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lossary" sheetId="1" r:id="rId4"/>
    <sheet state="visible" name="IDR View" sheetId="2" r:id="rId5"/>
    <sheet state="visible" name="Aggregate IDR" sheetId="3" r:id="rId6"/>
    <sheet state="visible" name="Raw Stats Imports" sheetId="4" r:id="rId7"/>
    <sheet state="visible" name="SBV Import" sheetId="5" r:id="rId8"/>
    <sheet state="visible" name="Constants" sheetId="6" r:id="rId9"/>
  </sheets>
  <definedNames/>
  <calcPr/>
</workbook>
</file>

<file path=xl/sharedStrings.xml><?xml version="1.0" encoding="utf-8"?>
<sst xmlns="http://schemas.openxmlformats.org/spreadsheetml/2006/main" count="4051" uniqueCount="184">
  <si>
    <t>Abbreviation</t>
  </si>
  <si>
    <t>Term</t>
  </si>
  <si>
    <t>Explanation</t>
  </si>
  <si>
    <t>Formula</t>
  </si>
  <si>
    <t>IDR</t>
  </si>
  <si>
    <t>Index Derived Rating</t>
  </si>
  <si>
    <t>Take the player's Indexes (defined below), and their raw per game stats, and multiply them by the average of their correlation to win% and PWE, sum the weighted indexes, then find what standard deviation the player's value is at. Multiply that value by 25 and add 50, to make the scale more intuitive.
An average player will have an IDR of around 50, and each standard deviation the player's score falls further away from average will be a 25 point increase or decrease.
So why IDR?
I believe that SBV is inherently flawed, because it doesn't do two things that I feel are very important in a performance metric:
1. It doesn't factor in stats against at all, and defense is just as important as offense (actually statistically it's more important)
2. It doesn't factor in strength of schedule.
IDR was designed to do both of these things. By also measuring your performance as ratios instead of just as raw per game stats you are not freely rewarded for getting 400 points against a team that normally gives up 400 points, and you aren't hurt for getting 150 points against a team that normally only gives up that many. It keeps track of both offensive and defensive stats, so what you let your opponents do is now also an important factor. you can't just ball chase your way to a high IDR in the same way that you can a high SBV.</t>
  </si>
  <si>
    <t>Player's Standard Deviation * 25 + 50</t>
  </si>
  <si>
    <t>OV</t>
  </si>
  <si>
    <t>Outlier Value</t>
  </si>
  <si>
    <t>Meant to give a better understanding of the statistics of standard deviations, this is a representation of how common the performance was. A score of 100 means that on average you would need to see 100 more players to see a performance that is as good compared to their competition. A negative number means you would need to see that many players to see a performance as poor.
Note: an Average Player has an OV of around 2. This is an exponential scale, an IDR of 50 would result in an IDR OV of 2, an IDR of 75 would result in an OV of ~3.15, an IDR of 100 would result in an OV of ~21.98, 125 results in ~370.4 etc</t>
  </si>
  <si>
    <t>2/(1-(erf(absolute value of the standard deviation the player fell at)/(square root of 2)) * (player's standard deviation/absolute value of player's standard deviation)</t>
  </si>
  <si>
    <t>GP</t>
  </si>
  <si>
    <t>Games Played</t>
  </si>
  <si>
    <t>GW</t>
  </si>
  <si>
    <t>Games Won</t>
  </si>
  <si>
    <t>GL</t>
  </si>
  <si>
    <t>Games Lost</t>
  </si>
  <si>
    <t>Win%</t>
  </si>
  <si>
    <t>Win Percent</t>
  </si>
  <si>
    <t>Percent of the games the player won</t>
  </si>
  <si>
    <t>GW/GP</t>
  </si>
  <si>
    <t>PWE</t>
  </si>
  <si>
    <t>Pythagorean Win Expectation</t>
  </si>
  <si>
    <r>
      <rPr>
        <rFont val="Arial"/>
        <color rgb="FF1155CC"/>
        <u/>
      </rPr>
      <t xml:space="preserve">A formula used across several sports to determine how many games the team "should have won" if luck were not a factor. Further Explained here: </t>
    </r>
    <r>
      <rPr>
        <rFont val="Arial"/>
        <color rgb="FF1155CC"/>
        <u/>
      </rPr>
      <t>https://en.wikipedia.org/wiki/Pythagorean_expectation</t>
    </r>
  </si>
  <si>
    <t>1/(1+POWER(Total Goals Against/Total Team Goals For,POWER((Total Goals Against + Total team Goals For)/Games Played,0.297))),0)</t>
  </si>
  <si>
    <t>PPG</t>
  </si>
  <si>
    <t>Points Per Game</t>
  </si>
  <si>
    <t>Average of the points the player has gotten in each of their games</t>
  </si>
  <si>
    <t>GPG</t>
  </si>
  <si>
    <t>Goals Per Game</t>
  </si>
  <si>
    <t>See PPG but for Goals</t>
  </si>
  <si>
    <t>APG</t>
  </si>
  <si>
    <t>Assists Per Game</t>
  </si>
  <si>
    <t>See PPG but for Assists</t>
  </si>
  <si>
    <t>SvPG</t>
  </si>
  <si>
    <t>Saves Per Game</t>
  </si>
  <si>
    <t>See PPG but for Saves</t>
  </si>
  <si>
    <t>ShPG</t>
  </si>
  <si>
    <t>Shots Per Game</t>
  </si>
  <si>
    <t>See PPG but for Shots</t>
  </si>
  <si>
    <t>PAPG</t>
  </si>
  <si>
    <t>Points Against Per Game</t>
  </si>
  <si>
    <t>Average of the points the player has allowed their opponents to get in each of their games</t>
  </si>
  <si>
    <t>Total Points Against / Games Played</t>
  </si>
  <si>
    <t>GAPG</t>
  </si>
  <si>
    <t>Goals Against Per Game</t>
  </si>
  <si>
    <t>See PAPG but for Goals</t>
  </si>
  <si>
    <t>Total Goals Against / Games Played</t>
  </si>
  <si>
    <t>AAPG</t>
  </si>
  <si>
    <t>Assists Against Per Game</t>
  </si>
  <si>
    <t>See PAPG but for Assists</t>
  </si>
  <si>
    <t>Total Assists Against / Games Played</t>
  </si>
  <si>
    <t>SvAPG</t>
  </si>
  <si>
    <t>Saves Against Per Game</t>
  </si>
  <si>
    <t>See PAPG but for Saves</t>
  </si>
  <si>
    <t>Total Saves Against / Games Played</t>
  </si>
  <si>
    <t>ShAPG</t>
  </si>
  <si>
    <t>Shots Against Per Game</t>
  </si>
  <si>
    <t>See PAPG but for Shots</t>
  </si>
  <si>
    <t>Total Shots Against / Games Played</t>
  </si>
  <si>
    <t xml:space="preserve">Average of the PPG of every player that the player has played against </t>
  </si>
  <si>
    <t>OGPG</t>
  </si>
  <si>
    <t>Opponent's Goals Per Game</t>
  </si>
  <si>
    <t>See OPPG but for Goals</t>
  </si>
  <si>
    <t>OAPG</t>
  </si>
  <si>
    <t>Opponent's Assists Per Game</t>
  </si>
  <si>
    <t>See OPPG but for Assists</t>
  </si>
  <si>
    <t>OSvPG</t>
  </si>
  <si>
    <t>Opponent's Saves Per Game</t>
  </si>
  <si>
    <t>See OPPG but for Saves</t>
  </si>
  <si>
    <t>OShPG</t>
  </si>
  <si>
    <t>Opponent's Shots Per Game</t>
  </si>
  <si>
    <t>See OPPG but for Shots</t>
  </si>
  <si>
    <t>Average of the PAPG of every player that the player has played against</t>
  </si>
  <si>
    <t>OGAPG</t>
  </si>
  <si>
    <t>Opponent's Goals Against Per Game</t>
  </si>
  <si>
    <t>See OPAPG but for Goals</t>
  </si>
  <si>
    <t>OAAPG</t>
  </si>
  <si>
    <t>Opponent's Assists Against Per Game</t>
  </si>
  <si>
    <t>See OPAPG but for Assists</t>
  </si>
  <si>
    <t>OSvAPG</t>
  </si>
  <si>
    <t>Opponent's Saves Against Per Game</t>
  </si>
  <si>
    <t>See OPAPG but for Saves</t>
  </si>
  <si>
    <t>OShAPG</t>
  </si>
  <si>
    <t>Opponent's Shots Against Per Game</t>
  </si>
  <si>
    <t>See OPAPG but for Shots</t>
  </si>
  <si>
    <t>PFI</t>
  </si>
  <si>
    <t>Points For Index</t>
  </si>
  <si>
    <t>A measure of how many points the player typically gets compared to his opponents' typical defense
Example: A PFI of 1.2 means that the player typically gets 1.2 times the points that their opponents normally allow.</t>
  </si>
  <si>
    <t>PPG/OPAPG</t>
  </si>
  <si>
    <t>GFI</t>
  </si>
  <si>
    <t>Goals For Index</t>
  </si>
  <si>
    <t>See PFI, but for Goals</t>
  </si>
  <si>
    <t>GPG/OGAPG</t>
  </si>
  <si>
    <t>AFI</t>
  </si>
  <si>
    <t>Assists For Index</t>
  </si>
  <si>
    <t>See PFI, but for Assists</t>
  </si>
  <si>
    <t>APG/OAAPG</t>
  </si>
  <si>
    <t>SvFI</t>
  </si>
  <si>
    <t>Saves For Index</t>
  </si>
  <si>
    <t>See PFI, but for Saves</t>
  </si>
  <si>
    <t>SvPG/OSvAPG</t>
  </si>
  <si>
    <t>ShFI</t>
  </si>
  <si>
    <t>Shots For Index</t>
  </si>
  <si>
    <t>See PFI, but for Shots</t>
  </si>
  <si>
    <t>ShPG/OShAPG</t>
  </si>
  <si>
    <t>PAI</t>
  </si>
  <si>
    <t>Points Against Index</t>
  </si>
  <si>
    <t>A measure of how many points the player typically allows his opponents to get, compared to his opponents' typical offense
Example: A PAI of .8 means that the player typically allows their opponents to get .8 times the points they normally get</t>
  </si>
  <si>
    <t>PAPG/OPPG</t>
  </si>
  <si>
    <t>GAI</t>
  </si>
  <si>
    <t>Goals Against Index</t>
  </si>
  <si>
    <t>See PAI but for Goals</t>
  </si>
  <si>
    <t>GAPG/OGPG</t>
  </si>
  <si>
    <t>AAI</t>
  </si>
  <si>
    <t>Assists Against Index</t>
  </si>
  <si>
    <t>See PAI but for Assists</t>
  </si>
  <si>
    <t>AAPG/OAPG</t>
  </si>
  <si>
    <t>SvAI</t>
  </si>
  <si>
    <t>Saves Against Index</t>
  </si>
  <si>
    <t>See PAI but for Saves</t>
  </si>
  <si>
    <t>SvAPG/OSvPG</t>
  </si>
  <si>
    <t>ShAI</t>
  </si>
  <si>
    <t>Shots Against Index</t>
  </si>
  <si>
    <t>See PAI but for Shots</t>
  </si>
  <si>
    <t>ShAPG/OShPG</t>
  </si>
  <si>
    <t>Tier</t>
  </si>
  <si>
    <t>All</t>
  </si>
  <si>
    <t xml:space="preserve">For GP: Green = above minimum game count to be included in IDR calc, Red = below
</t>
  </si>
  <si>
    <t>Sort By</t>
  </si>
  <si>
    <t>Smaller = Better?</t>
  </si>
  <si>
    <t>RSC ID</t>
  </si>
  <si>
    <t>Name</t>
  </si>
  <si>
    <t>Team</t>
  </si>
  <si>
    <t>IDR OV</t>
  </si>
  <si>
    <t>SBV</t>
  </si>
  <si>
    <t>SBV OV</t>
  </si>
  <si>
    <t>Win %</t>
  </si>
  <si>
    <t>Shot %</t>
  </si>
  <si>
    <t>OPPG</t>
  </si>
  <si>
    <t>OPAPG</t>
  </si>
  <si>
    <t>SBV to IDR OV Δ</t>
  </si>
  <si>
    <t>PPGr</t>
  </si>
  <si>
    <t>GPGr</t>
  </si>
  <si>
    <t>APGr</t>
  </si>
  <si>
    <t>SvPGr</t>
  </si>
  <si>
    <t>ShPGr</t>
  </si>
  <si>
    <t>Goals On Field</t>
  </si>
  <si>
    <t>PPI</t>
  </si>
  <si>
    <t>Tier #</t>
  </si>
  <si>
    <t>GP Met?</t>
  </si>
  <si>
    <t/>
  </si>
  <si>
    <t>SBV Sheet</t>
  </si>
  <si>
    <t>1hxIEGUe4I9X0LJ5frEqlnp8UYUNdkv0EAyh3I5GTz6c</t>
  </si>
  <si>
    <t>GP Mins</t>
  </si>
  <si>
    <t>Premier</t>
  </si>
  <si>
    <t>15JgDfvRgisqeuoDkJFCWnwwLGt6JkWH8uv8lpJkAF5Q</t>
  </si>
  <si>
    <t>Master</t>
  </si>
  <si>
    <t>177ZA2lzMItgPKD-ZOI39qi7g3bpeo2jz8aVNDAzO-EI</t>
  </si>
  <si>
    <t>Elite</t>
  </si>
  <si>
    <t>1uE7AvP8Gzk41HDaWdbGLB3m9_kUf5KL7_xKeD5q0rEE</t>
  </si>
  <si>
    <t>Veteran</t>
  </si>
  <si>
    <t>1h6Thwj62FiTTHpTSGgUeqnZGmxWymnjr_BifUwvrQ8M</t>
  </si>
  <si>
    <t>Rival</t>
  </si>
  <si>
    <t>1f-2HLgwOAT85D5RQuT22YwK_8cPoGfaIfRT2GN54Zbo</t>
  </si>
  <si>
    <t>Challenger</t>
  </si>
  <si>
    <t>1ci-0PBoJ8_HM-T_SXVcxQNQsCxveJdEok8IwRX9GYzo</t>
  </si>
  <si>
    <t>Prospect</t>
  </si>
  <si>
    <t>1aS2AgfVw3m2DffBNAFZDs1GLvn9Zx2nt3thlSA3JLb4</t>
  </si>
  <si>
    <t>Contender</t>
  </si>
  <si>
    <t>1VdjdhE15LOy741RRYCqGF28agAdPn6oJQZjExYsv7X0</t>
  </si>
  <si>
    <t>Amateur</t>
  </si>
  <si>
    <t>1vyB-sBNn6cEwBG-76XDSDLlnnEXSjaXskDiBu1SXyVU</t>
  </si>
  <si>
    <t>Raw Stats Import</t>
  </si>
  <si>
    <t>1SxZTvmDILAdZWBgzGjeUd7-9nmwcdBsqAQYOWp1UeHI</t>
  </si>
  <si>
    <t>Repull Imports</t>
  </si>
  <si>
    <t>Overall</t>
  </si>
  <si>
    <t>Average</t>
  </si>
  <si>
    <t>StDev</t>
  </si>
  <si>
    <t>Median</t>
  </si>
  <si>
    <t>Max</t>
  </si>
  <si>
    <t>Min</t>
  </si>
  <si>
    <t>Correls</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</si>
</sst>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00"/>
    <numFmt numFmtId="165" formatCode="0.0000000"/>
    <numFmt numFmtId="166" formatCode="0.0"/>
    <numFmt numFmtId="167" formatCode="0.0000"/>
  </numFmts>
  <fonts count="18">
    <font>
      <sz val="10.0"/>
      <color rgb="FF000000"/>
      <name val="Arial"/>
      <scheme val="minor"/>
    </font>
    <font>
      <color theme="1"/>
      <name val="Arial"/>
    </font>
    <font>
      <b/>
      <color rgb="FFF3F3F3"/>
      <name val="Arial"/>
    </font>
    <font>
      <u/>
      <color rgb="FF1155CC"/>
      <name val="Arial"/>
    </font>
    <font>
      <color theme="1"/>
      <name val="Arial"/>
      <scheme val="minor"/>
    </font>
    <font>
      <b/>
      <color rgb="FFF3F3F3"/>
      <name val="Arial"/>
      <scheme val="minor"/>
    </font>
    <font>
      <color rgb="FFEFEFEF"/>
      <name val="Arial"/>
      <scheme val="minor"/>
    </font>
    <font>
      <color rgb="FFFFFFFF"/>
      <name val="Arial"/>
      <scheme val="minor"/>
    </font>
    <font>
      <color rgb="FF000000"/>
      <name val="Arial"/>
      <scheme val="minor"/>
    </font>
    <font>
      <color rgb="FFF3F3F3"/>
      <name val="Arial"/>
      <scheme val="minor"/>
    </font>
    <font>
      <b/>
      <color rgb="FFFFFFFF"/>
      <name val="Arial"/>
      <scheme val="minor"/>
    </font>
    <font>
      <b/>
      <color rgb="FF000000"/>
      <name val="Arial"/>
      <scheme val="minor"/>
    </font>
    <font>
      <b/>
      <color theme="0"/>
      <name val="Arial"/>
    </font>
    <font>
      <b/>
      <color theme="1"/>
      <name val="Arial"/>
    </font>
    <font>
      <b/>
      <color theme="1"/>
      <name val="Arial"/>
      <scheme val="minor"/>
    </font>
    <font>
      <b/>
      <color theme="0"/>
      <name val="Arial"/>
      <scheme val="minor"/>
    </font>
    <font>
      <sz val="11.0"/>
      <color rgb="FF000000"/>
      <name val="Inconsolata"/>
    </font>
    <font>
      <sz val="10.0"/>
      <color theme="1"/>
      <name val="Arial"/>
      <scheme val="minor"/>
    </font>
  </fonts>
  <fills count="21">
    <fill>
      <patternFill patternType="none"/>
    </fill>
    <fill>
      <patternFill patternType="lightGray"/>
    </fill>
    <fill>
      <patternFill patternType="solid">
        <fgColor rgb="FF000000"/>
        <bgColor rgb="FF000000"/>
      </patternFill>
    </fill>
    <fill>
      <patternFill patternType="solid">
        <fgColor rgb="FF666666"/>
        <bgColor rgb="FF666666"/>
      </patternFill>
    </fill>
    <fill>
      <patternFill patternType="solid">
        <fgColor rgb="FFFFFFFF"/>
        <bgColor rgb="FFFFFFFF"/>
      </patternFill>
    </fill>
    <fill>
      <patternFill patternType="solid">
        <fgColor rgb="FFF3F3F3"/>
        <bgColor rgb="FFF3F3F3"/>
      </patternFill>
    </fill>
    <fill>
      <patternFill patternType="solid">
        <fgColor rgb="FF434343"/>
        <bgColor rgb="FF434343"/>
      </patternFill>
    </fill>
    <fill>
      <patternFill patternType="solid">
        <fgColor theme="1"/>
        <bgColor theme="1"/>
      </patternFill>
    </fill>
    <fill>
      <patternFill patternType="solid">
        <fgColor theme="0"/>
        <bgColor theme="0"/>
      </patternFill>
    </fill>
    <fill>
      <patternFill patternType="solid">
        <fgColor rgb="FFD9D9D9"/>
        <bgColor rgb="FFD9D9D9"/>
      </patternFill>
    </fill>
    <fill>
      <patternFill patternType="solid">
        <fgColor rgb="FFEAD1DC"/>
        <bgColor rgb="FFEAD1DC"/>
      </patternFill>
    </fill>
    <fill>
      <patternFill patternType="solid">
        <fgColor rgb="FFD9D2E9"/>
        <bgColor rgb="FFD9D2E9"/>
      </patternFill>
    </fill>
    <fill>
      <patternFill patternType="solid">
        <fgColor rgb="FFC9DAF8"/>
        <bgColor rgb="FFC9DAF8"/>
      </patternFill>
    </fill>
    <fill>
      <patternFill patternType="solid">
        <fgColor rgb="FF33FFDA"/>
        <bgColor rgb="FF33FFDA"/>
      </patternFill>
    </fill>
    <fill>
      <patternFill patternType="solid">
        <fgColor rgb="FFB6D7A8"/>
        <bgColor rgb="FFB6D7A8"/>
      </patternFill>
    </fill>
    <fill>
      <patternFill patternType="solid">
        <fgColor rgb="FFF9CB9C"/>
        <bgColor rgb="FFF9CB9C"/>
      </patternFill>
    </fill>
    <fill>
      <patternFill patternType="solid">
        <fgColor rgb="FFE06666"/>
        <bgColor rgb="FFE06666"/>
      </patternFill>
    </fill>
    <fill>
      <patternFill patternType="solid">
        <fgColor rgb="FFCC4125"/>
        <bgColor rgb="FFCC4125"/>
      </patternFill>
    </fill>
    <fill>
      <patternFill patternType="solid">
        <fgColor rgb="FFFCE5CD"/>
        <bgColor rgb="FFFCE5CD"/>
      </patternFill>
    </fill>
    <fill>
      <patternFill patternType="solid">
        <fgColor rgb="FF00FFFF"/>
        <bgColor rgb="FF00FFFF"/>
      </patternFill>
    </fill>
    <fill>
      <patternFill patternType="solid">
        <fgColor rgb="FFCC0000"/>
        <bgColor rgb="FFCC0000"/>
      </patternFill>
    </fill>
  </fills>
  <borders count="1">
    <border/>
  </borders>
  <cellStyleXfs count="1">
    <xf borderId="0" fillId="0" fontId="0" numFmtId="0" applyAlignment="1" applyFont="1"/>
  </cellStyleXfs>
  <cellXfs count="181">
    <xf borderId="0" fillId="0" fontId="0" numFmtId="0" xfId="0" applyAlignment="1" applyFont="1">
      <alignment readingOrder="0" shrinkToFit="0" vertical="bottom" wrapText="0"/>
    </xf>
    <xf borderId="0" fillId="2" fontId="1" numFmtId="0" xfId="0" applyAlignment="1" applyFill="1" applyFont="1">
      <alignment vertical="bottom"/>
    </xf>
    <xf borderId="0" fillId="2" fontId="1" numFmtId="0" xfId="0" applyAlignment="1" applyFont="1">
      <alignment horizontal="center" vertical="center"/>
    </xf>
    <xf borderId="0" fillId="2" fontId="1" numFmtId="0" xfId="0" applyAlignment="1" applyFont="1">
      <alignment horizontal="left" vertical="center"/>
    </xf>
    <xf borderId="0" fillId="3" fontId="2" numFmtId="0" xfId="0" applyAlignment="1" applyFill="1" applyFont="1">
      <alignment horizontal="center" vertical="center"/>
    </xf>
    <xf borderId="0" fillId="3" fontId="2" numFmtId="0" xfId="0" applyAlignment="1" applyFont="1">
      <alignment horizontal="center" shrinkToFit="0" vertical="center" wrapText="1"/>
    </xf>
    <xf borderId="0" fillId="3" fontId="2" numFmtId="0" xfId="0" applyAlignment="1" applyFont="1">
      <alignment horizontal="center" shrinkToFit="0" vertical="bottom" wrapText="1"/>
    </xf>
    <xf borderId="0" fillId="3" fontId="2" numFmtId="0" xfId="0" applyAlignment="1" applyFont="1">
      <alignment horizontal="left" shrinkToFit="0" vertical="center" wrapText="1"/>
    </xf>
    <xf borderId="0" fillId="4" fontId="1" numFmtId="0" xfId="0" applyAlignment="1" applyFill="1" applyFont="1">
      <alignment horizontal="center" vertical="center"/>
    </xf>
    <xf borderId="0" fillId="4" fontId="1" numFmtId="0" xfId="0" applyAlignment="1" applyFont="1">
      <alignment horizontal="center" shrinkToFit="0" vertical="center" wrapText="1"/>
    </xf>
    <xf borderId="0" fillId="4" fontId="1" numFmtId="0" xfId="0" applyAlignment="1" applyFont="1">
      <alignment readingOrder="0" shrinkToFit="0" vertical="bottom" wrapText="1"/>
    </xf>
    <xf borderId="0" fillId="4" fontId="1" numFmtId="0" xfId="0" applyAlignment="1" applyFont="1">
      <alignment horizontal="left" shrinkToFit="0" vertical="center" wrapText="1"/>
    </xf>
    <xf borderId="0" fillId="5" fontId="1" numFmtId="0" xfId="0" applyAlignment="1" applyFill="1" applyFont="1">
      <alignment horizontal="center" vertical="center"/>
    </xf>
    <xf borderId="0" fillId="5" fontId="1" numFmtId="0" xfId="0" applyAlignment="1" applyFont="1">
      <alignment horizontal="center" shrinkToFit="0" vertical="center" wrapText="1"/>
    </xf>
    <xf borderId="0" fillId="5" fontId="1" numFmtId="0" xfId="0" applyAlignment="1" applyFont="1">
      <alignment readingOrder="0" shrinkToFit="0" vertical="bottom" wrapText="1"/>
    </xf>
    <xf borderId="0" fillId="5" fontId="1" numFmtId="0" xfId="0" applyAlignment="1" applyFont="1">
      <alignment horizontal="left" shrinkToFit="0" vertical="center" wrapText="1"/>
    </xf>
    <xf borderId="0" fillId="2" fontId="1" numFmtId="0" xfId="0" applyAlignment="1" applyFont="1">
      <alignment horizontal="left" vertical="bottom"/>
    </xf>
    <xf borderId="0" fillId="5" fontId="1" numFmtId="0" xfId="0" applyAlignment="1" applyFont="1">
      <alignment shrinkToFit="0" vertical="bottom" wrapText="1"/>
    </xf>
    <xf borderId="0" fillId="4" fontId="3" numFmtId="0" xfId="0" applyAlignment="1" applyFont="1">
      <alignment shrinkToFit="0" wrapText="1"/>
    </xf>
    <xf borderId="0" fillId="2" fontId="1" numFmtId="0" xfId="0" applyAlignment="1" applyFont="1">
      <alignment horizontal="center" vertical="center"/>
    </xf>
    <xf borderId="0" fillId="2" fontId="1" numFmtId="0" xfId="0" applyAlignment="1" applyFont="1">
      <alignment vertical="bottom"/>
    </xf>
    <xf borderId="0" fillId="2" fontId="1" numFmtId="0" xfId="0" applyAlignment="1" applyFont="1">
      <alignment horizontal="left" vertical="center"/>
    </xf>
    <xf borderId="0" fillId="5" fontId="1" numFmtId="0" xfId="0" applyAlignment="1" applyFont="1">
      <alignment horizontal="left" vertical="center"/>
    </xf>
    <xf borderId="0" fillId="4" fontId="1" numFmtId="0" xfId="0" applyAlignment="1" applyFont="1">
      <alignment shrinkToFit="0" vertical="bottom" wrapText="1"/>
    </xf>
    <xf borderId="0" fillId="4" fontId="1" numFmtId="0" xfId="0" applyAlignment="1" applyFont="1">
      <alignment vertical="bottom"/>
    </xf>
    <xf borderId="0" fillId="4" fontId="1" numFmtId="0" xfId="0" applyAlignment="1" applyFont="1">
      <alignment horizontal="left" vertical="center"/>
    </xf>
    <xf borderId="0" fillId="5" fontId="1" numFmtId="0" xfId="0" applyAlignment="1" applyFont="1">
      <alignment vertical="bottom"/>
    </xf>
    <xf borderId="0" fillId="0" fontId="4" numFmtId="0" xfId="0" applyAlignment="1" applyFont="1">
      <alignment horizontal="left" vertical="center"/>
    </xf>
    <xf borderId="0" fillId="3" fontId="5" numFmtId="0" xfId="0" applyFont="1"/>
    <xf borderId="0" fillId="3" fontId="6" numFmtId="0" xfId="0" applyAlignment="1" applyFont="1">
      <alignment readingOrder="0"/>
    </xf>
    <xf borderId="0" fillId="0" fontId="4" numFmtId="0" xfId="0" applyFont="1"/>
    <xf borderId="0" fillId="0" fontId="7" numFmtId="2" xfId="0" applyFont="1" applyNumberFormat="1"/>
    <xf borderId="0" fillId="0" fontId="4" numFmtId="2" xfId="0" applyFont="1" applyNumberFormat="1"/>
    <xf borderId="0" fillId="6" fontId="7" numFmtId="3" xfId="0" applyAlignment="1" applyFill="1" applyFont="1" applyNumberFormat="1">
      <alignment horizontal="left" readingOrder="0" shrinkToFit="0" vertical="center" wrapText="1"/>
    </xf>
    <xf borderId="0" fillId="0" fontId="4" numFmtId="164" xfId="0" applyFont="1" applyNumberFormat="1"/>
    <xf borderId="0" fillId="2" fontId="7" numFmtId="164" xfId="0" applyFont="1" applyNumberFormat="1"/>
    <xf borderId="0" fillId="2" fontId="8" numFmtId="164" xfId="0" applyFont="1" applyNumberFormat="1"/>
    <xf borderId="0" fillId="2" fontId="4" numFmtId="0" xfId="0" applyFont="1"/>
    <xf borderId="0" fillId="3" fontId="5" numFmtId="0" xfId="0" applyAlignment="1" applyFont="1">
      <alignment readingOrder="0"/>
    </xf>
    <xf borderId="0" fillId="3" fontId="9" numFmtId="0" xfId="0" applyAlignment="1" applyFont="1">
      <alignment readingOrder="0"/>
    </xf>
    <xf borderId="0" fillId="0" fontId="4" numFmtId="3" xfId="0" applyFont="1" applyNumberFormat="1"/>
    <xf borderId="0" fillId="0" fontId="4" numFmtId="0" xfId="0" applyFont="1"/>
    <xf borderId="0" fillId="0" fontId="4" numFmtId="10" xfId="0" applyFont="1" applyNumberFormat="1"/>
    <xf borderId="0" fillId="6" fontId="5" numFmtId="0" xfId="0" applyFont="1"/>
    <xf borderId="0" fillId="6" fontId="10" numFmtId="2" xfId="0" applyFont="1" applyNumberFormat="1"/>
    <xf borderId="0" fillId="6" fontId="5" numFmtId="2" xfId="0" applyFont="1" applyNumberFormat="1"/>
    <xf borderId="0" fillId="6" fontId="5" numFmtId="3" xfId="0" applyFont="1" applyNumberFormat="1"/>
    <xf borderId="0" fillId="6" fontId="5" numFmtId="0" xfId="0" applyFont="1"/>
    <xf borderId="0" fillId="6" fontId="9" numFmtId="3" xfId="0" applyFont="1" applyNumberFormat="1"/>
    <xf borderId="0" fillId="6" fontId="5" numFmtId="10" xfId="0" applyFont="1" applyNumberFormat="1"/>
    <xf borderId="0" fillId="6" fontId="5" numFmtId="164" xfId="0" applyFont="1" applyNumberFormat="1"/>
    <xf borderId="0" fillId="6" fontId="10" numFmtId="164" xfId="0" applyFont="1" applyNumberFormat="1"/>
    <xf borderId="0" fillId="2" fontId="11" numFmtId="164" xfId="0" applyFont="1" applyNumberFormat="1"/>
    <xf borderId="0" fillId="2" fontId="5" numFmtId="0" xfId="0" applyFont="1"/>
    <xf borderId="0" fillId="0" fontId="7" numFmtId="3" xfId="0" applyFont="1" applyNumberFormat="1"/>
    <xf borderId="0" fillId="0" fontId="7" numFmtId="0" xfId="0" applyFont="1"/>
    <xf borderId="0" fillId="0" fontId="7" numFmtId="10" xfId="0" applyFont="1" applyNumberFormat="1"/>
    <xf borderId="0" fillId="0" fontId="7" numFmtId="164" xfId="0" applyFont="1" applyNumberFormat="1"/>
    <xf borderId="0" fillId="0" fontId="8" numFmtId="0" xfId="0" applyAlignment="1" applyFont="1">
      <alignment readingOrder="0"/>
    </xf>
    <xf borderId="0" fillId="0" fontId="7" numFmtId="3" xfId="0" applyAlignment="1" applyFont="1" applyNumberFormat="1">
      <alignment readingOrder="0"/>
    </xf>
    <xf borderId="0" fillId="0" fontId="8" numFmtId="164" xfId="0" applyFont="1" applyNumberFormat="1"/>
    <xf borderId="0" fillId="7" fontId="12" numFmtId="0" xfId="0" applyAlignment="1" applyFill="1" applyFont="1">
      <alignment horizontal="center" vertical="bottom"/>
    </xf>
    <xf borderId="0" fillId="7" fontId="12" numFmtId="0" xfId="0" applyAlignment="1" applyFont="1">
      <alignment horizontal="center" vertical="bottom"/>
    </xf>
    <xf borderId="0" fillId="7" fontId="12" numFmtId="0" xfId="0" applyAlignment="1" applyFont="1">
      <alignment horizontal="center" readingOrder="0" vertical="bottom"/>
    </xf>
    <xf borderId="0" fillId="8" fontId="13" numFmtId="0" xfId="0" applyAlignment="1" applyFill="1" applyFont="1">
      <alignment horizontal="center" vertical="bottom"/>
    </xf>
    <xf borderId="0" fillId="8" fontId="14" numFmtId="0" xfId="0" applyAlignment="1" applyFont="1">
      <alignment horizontal="center" readingOrder="0"/>
    </xf>
    <xf borderId="0" fillId="8" fontId="14" numFmtId="165" xfId="0" applyAlignment="1" applyFont="1" applyNumberFormat="1">
      <alignment horizontal="center" readingOrder="0"/>
    </xf>
    <xf borderId="0" fillId="7" fontId="15" numFmtId="0" xfId="0" applyAlignment="1" applyFont="1">
      <alignment horizontal="center" readingOrder="0"/>
    </xf>
    <xf borderId="0" fillId="7" fontId="15" numFmtId="165" xfId="0" applyAlignment="1" applyFont="1" applyNumberFormat="1">
      <alignment horizontal="center" readingOrder="0"/>
    </xf>
    <xf borderId="0" fillId="7" fontId="10" numFmtId="165" xfId="0" applyAlignment="1" applyFont="1" applyNumberFormat="1">
      <alignment horizontal="center" readingOrder="0"/>
    </xf>
    <xf borderId="0" fillId="4" fontId="16" numFmtId="0" xfId="0" applyAlignment="1" applyFont="1">
      <alignment readingOrder="0"/>
    </xf>
    <xf borderId="0" fillId="0" fontId="4" numFmtId="49" xfId="0" applyFont="1" applyNumberFormat="1"/>
    <xf borderId="0" fillId="0" fontId="17" numFmtId="0" xfId="0" applyAlignment="1" applyFont="1">
      <alignment vertical="bottom"/>
    </xf>
    <xf borderId="0" fillId="0" fontId="17" numFmtId="0" xfId="0" applyAlignment="1" applyFont="1">
      <alignment vertical="bottom"/>
    </xf>
    <xf borderId="0" fillId="0" fontId="17" numFmtId="0" xfId="0" applyAlignment="1" applyFont="1">
      <alignment readingOrder="0" vertical="bottom"/>
    </xf>
    <xf borderId="0" fillId="0" fontId="17" numFmtId="10" xfId="0" applyAlignment="1" applyFont="1" applyNumberFormat="1">
      <alignment vertical="bottom"/>
    </xf>
    <xf borderId="0" fillId="0" fontId="17" numFmtId="0" xfId="0" applyAlignment="1" applyFont="1">
      <alignment readingOrder="0"/>
    </xf>
    <xf borderId="0" fillId="0" fontId="17" numFmtId="165" xfId="0" applyAlignment="1" applyFont="1" applyNumberFormat="1">
      <alignment readingOrder="0"/>
    </xf>
    <xf borderId="0" fillId="4" fontId="0" numFmtId="0" xfId="0" applyAlignment="1" applyFont="1">
      <alignment readingOrder="0"/>
    </xf>
    <xf borderId="0" fillId="0" fontId="17" numFmtId="49" xfId="0" applyFont="1" applyNumberFormat="1"/>
    <xf borderId="0" fillId="0" fontId="17" numFmtId="0" xfId="0" applyFont="1"/>
    <xf borderId="0" fillId="0" fontId="17" numFmtId="10" xfId="0" applyFont="1" applyNumberFormat="1"/>
    <xf borderId="0" fillId="0" fontId="17" numFmtId="0" xfId="0" applyAlignment="1" applyFont="1">
      <alignment horizontal="right" vertical="bottom"/>
    </xf>
    <xf borderId="0" fillId="0" fontId="17" numFmtId="165" xfId="0" applyAlignment="1" applyFont="1" applyNumberFormat="1">
      <alignment horizontal="right" vertical="bottom"/>
    </xf>
    <xf borderId="0" fillId="0" fontId="17" numFmtId="0" xfId="0" applyAlignment="1" applyFont="1">
      <alignment horizontal="center" vertical="bottom"/>
    </xf>
    <xf borderId="0" fillId="4" fontId="0" numFmtId="0" xfId="0" applyFont="1"/>
    <xf borderId="0" fillId="0" fontId="17" numFmtId="10" xfId="0" applyAlignment="1" applyFont="1" applyNumberFormat="1">
      <alignment horizontal="right" vertical="bottom"/>
    </xf>
    <xf borderId="0" fillId="0" fontId="17" numFmtId="49" xfId="0" applyAlignment="1" applyFont="1" applyNumberFormat="1">
      <alignment vertical="bottom"/>
    </xf>
    <xf borderId="0" fillId="0" fontId="17" numFmtId="0" xfId="0" applyAlignment="1" applyFont="1">
      <alignment shrinkToFit="0" vertical="bottom" wrapText="0"/>
    </xf>
    <xf borderId="0" fillId="0" fontId="17" numFmtId="49" xfId="0" applyAlignment="1" applyFont="1" applyNumberFormat="1">
      <alignment readingOrder="0" vertical="bottom"/>
    </xf>
    <xf borderId="0" fillId="4" fontId="0" numFmtId="49" xfId="0" applyAlignment="1" applyFont="1" applyNumberFormat="1">
      <alignment readingOrder="0"/>
    </xf>
    <xf borderId="0" fillId="0" fontId="17" numFmtId="165" xfId="0" applyFont="1" applyNumberFormat="1"/>
    <xf borderId="0" fillId="0" fontId="4" numFmtId="166" xfId="0" applyFont="1" applyNumberFormat="1"/>
    <xf borderId="0" fillId="0" fontId="4" numFmtId="0" xfId="0" applyAlignment="1" applyFont="1">
      <alignment readingOrder="0"/>
    </xf>
    <xf borderId="0" fillId="0" fontId="1" numFmtId="0" xfId="0" applyAlignment="1" applyFont="1">
      <alignment vertical="bottom"/>
    </xf>
    <xf borderId="0" fillId="0" fontId="1" numFmtId="0" xfId="0" applyAlignment="1" applyFont="1">
      <alignment vertical="bottom"/>
    </xf>
    <xf borderId="0" fillId="0" fontId="1" numFmtId="0" xfId="0" applyAlignment="1" applyFont="1">
      <alignment readingOrder="0" vertical="bottom"/>
    </xf>
    <xf borderId="0" fillId="0" fontId="4" numFmtId="0" xfId="0" applyAlignment="1" applyFont="1">
      <alignment horizontal="left" readingOrder="0" vertical="center"/>
    </xf>
    <xf borderId="0" fillId="0" fontId="4" numFmtId="0" xfId="0" applyAlignment="1" applyFont="1">
      <alignment horizontal="center"/>
    </xf>
    <xf borderId="0" fillId="9" fontId="4" numFmtId="0" xfId="0" applyAlignment="1" applyFill="1" applyFont="1">
      <alignment horizontal="center" readingOrder="0"/>
    </xf>
    <xf borderId="0" fillId="10" fontId="4" numFmtId="0" xfId="0" applyAlignment="1" applyFill="1" applyFont="1">
      <alignment horizontal="center" readingOrder="0"/>
    </xf>
    <xf borderId="0" fillId="11" fontId="4" numFmtId="0" xfId="0" applyAlignment="1" applyFill="1" applyFont="1">
      <alignment horizontal="center" readingOrder="0"/>
    </xf>
    <xf borderId="0" fillId="12" fontId="4" numFmtId="0" xfId="0" applyAlignment="1" applyFill="1" applyFont="1">
      <alignment horizontal="center" readingOrder="0"/>
    </xf>
    <xf borderId="0" fillId="13" fontId="4" numFmtId="0" xfId="0" applyAlignment="1" applyFill="1" applyFont="1">
      <alignment horizontal="center" readingOrder="0"/>
    </xf>
    <xf borderId="0" fillId="14" fontId="4" numFmtId="0" xfId="0" applyAlignment="1" applyFill="1" applyFont="1">
      <alignment horizontal="center" readingOrder="0"/>
    </xf>
    <xf borderId="0" fillId="15" fontId="4" numFmtId="0" xfId="0" applyAlignment="1" applyFill="1" applyFont="1">
      <alignment horizontal="center" readingOrder="0"/>
    </xf>
    <xf borderId="0" fillId="16" fontId="4" numFmtId="0" xfId="0" applyAlignment="1" applyFill="1" applyFont="1">
      <alignment horizontal="center" readingOrder="0"/>
    </xf>
    <xf borderId="0" fillId="17" fontId="4" numFmtId="0" xfId="0" applyAlignment="1" applyFill="1" applyFont="1">
      <alignment horizontal="center" readingOrder="0"/>
    </xf>
    <xf borderId="0" fillId="18" fontId="4" numFmtId="0" xfId="0" applyAlignment="1" applyFill="1" applyFont="1">
      <alignment horizontal="center" readingOrder="0"/>
    </xf>
    <xf borderId="0" fillId="9" fontId="4" numFmtId="167" xfId="0" applyAlignment="1" applyFont="1" applyNumberFormat="1">
      <alignment horizontal="right"/>
    </xf>
    <xf borderId="0" fillId="10" fontId="4" numFmtId="167" xfId="0" applyAlignment="1" applyFont="1" applyNumberFormat="1">
      <alignment horizontal="right" readingOrder="0"/>
    </xf>
    <xf borderId="0" fillId="11" fontId="4" numFmtId="167" xfId="0" applyAlignment="1" applyFont="1" applyNumberFormat="1">
      <alignment horizontal="right" readingOrder="0"/>
    </xf>
    <xf borderId="0" fillId="12" fontId="4" numFmtId="167" xfId="0" applyAlignment="1" applyFont="1" applyNumberFormat="1">
      <alignment horizontal="right" readingOrder="0"/>
    </xf>
    <xf borderId="0" fillId="13" fontId="4" numFmtId="167" xfId="0" applyAlignment="1" applyFont="1" applyNumberFormat="1">
      <alignment horizontal="right" readingOrder="0"/>
    </xf>
    <xf borderId="0" fillId="14" fontId="4" numFmtId="167" xfId="0" applyAlignment="1" applyFont="1" applyNumberFormat="1">
      <alignment horizontal="right" readingOrder="0"/>
    </xf>
    <xf borderId="0" fillId="15" fontId="4" numFmtId="167" xfId="0" applyAlignment="1" applyFont="1" applyNumberFormat="1">
      <alignment horizontal="right" readingOrder="0"/>
    </xf>
    <xf borderId="0" fillId="16" fontId="4" numFmtId="167" xfId="0" applyAlignment="1" applyFont="1" applyNumberFormat="1">
      <alignment horizontal="right" readingOrder="0"/>
    </xf>
    <xf borderId="0" fillId="17" fontId="4" numFmtId="167" xfId="0" applyAlignment="1" applyFont="1" applyNumberFormat="1">
      <alignment horizontal="right" readingOrder="0"/>
    </xf>
    <xf borderId="0" fillId="18" fontId="4" numFmtId="167" xfId="0" applyAlignment="1" applyFont="1" applyNumberFormat="1">
      <alignment horizontal="right" readingOrder="0"/>
    </xf>
    <xf borderId="0" fillId="10" fontId="4" numFmtId="167" xfId="0" applyAlignment="1" applyFont="1" applyNumberFormat="1">
      <alignment horizontal="right"/>
    </xf>
    <xf borderId="0" fillId="11" fontId="4" numFmtId="167" xfId="0" applyAlignment="1" applyFont="1" applyNumberFormat="1">
      <alignment horizontal="right"/>
    </xf>
    <xf borderId="0" fillId="12" fontId="4" numFmtId="167" xfId="0" applyAlignment="1" applyFont="1" applyNumberFormat="1">
      <alignment horizontal="right"/>
    </xf>
    <xf borderId="0" fillId="13" fontId="4" numFmtId="167" xfId="0" applyAlignment="1" applyFont="1" applyNumberFormat="1">
      <alignment horizontal="right"/>
    </xf>
    <xf borderId="0" fillId="14" fontId="4" numFmtId="167" xfId="0" applyAlignment="1" applyFont="1" applyNumberFormat="1">
      <alignment horizontal="right"/>
    </xf>
    <xf borderId="0" fillId="15" fontId="4" numFmtId="167" xfId="0" applyAlignment="1" applyFont="1" applyNumberFormat="1">
      <alignment horizontal="right"/>
    </xf>
    <xf borderId="0" fillId="16" fontId="4" numFmtId="167" xfId="0" applyAlignment="1" applyFont="1" applyNumberFormat="1">
      <alignment horizontal="right"/>
    </xf>
    <xf borderId="0" fillId="17" fontId="4" numFmtId="167" xfId="0" applyAlignment="1" applyFont="1" applyNumberFormat="1">
      <alignment horizontal="right"/>
    </xf>
    <xf borderId="0" fillId="18" fontId="4" numFmtId="167" xfId="0" applyAlignment="1" applyFont="1" applyNumberFormat="1">
      <alignment horizontal="right"/>
    </xf>
    <xf borderId="0" fillId="0" fontId="4" numFmtId="167" xfId="0" applyFont="1" applyNumberFormat="1"/>
    <xf borderId="0" fillId="9" fontId="4" numFmtId="0" xfId="0" applyAlignment="1" applyFont="1">
      <alignment horizontal="center" readingOrder="0" vertical="center"/>
    </xf>
    <xf borderId="0" fillId="9" fontId="4" numFmtId="0" xfId="0" applyAlignment="1" applyFont="1">
      <alignment readingOrder="0"/>
    </xf>
    <xf borderId="0" fillId="9" fontId="4" numFmtId="167" xfId="0" applyAlignment="1" applyFont="1" applyNumberFormat="1">
      <alignment readingOrder="0"/>
    </xf>
    <xf borderId="0" fillId="0" fontId="4" numFmtId="167" xfId="0" applyAlignment="1" applyFont="1" applyNumberFormat="1">
      <alignment readingOrder="0"/>
    </xf>
    <xf borderId="0" fillId="9" fontId="4" numFmtId="167" xfId="0" applyFont="1" applyNumberFormat="1"/>
    <xf borderId="0" fillId="9" fontId="4" numFmtId="0" xfId="0" applyFont="1"/>
    <xf borderId="0" fillId="10" fontId="4" numFmtId="0" xfId="0" applyAlignment="1" applyFont="1">
      <alignment horizontal="center" readingOrder="0" vertical="center"/>
    </xf>
    <xf borderId="0" fillId="10" fontId="4" numFmtId="0" xfId="0" applyAlignment="1" applyFont="1">
      <alignment readingOrder="0"/>
    </xf>
    <xf borderId="0" fillId="10" fontId="4" numFmtId="167" xfId="0" applyAlignment="1" applyFont="1" applyNumberFormat="1">
      <alignment readingOrder="0"/>
    </xf>
    <xf borderId="0" fillId="10" fontId="4" numFmtId="167" xfId="0" applyFont="1" applyNumberFormat="1"/>
    <xf borderId="0" fillId="10" fontId="4" numFmtId="0" xfId="0" applyFont="1"/>
    <xf borderId="0" fillId="11" fontId="4" numFmtId="0" xfId="0" applyAlignment="1" applyFont="1">
      <alignment horizontal="center" readingOrder="0" vertical="center"/>
    </xf>
    <xf borderId="0" fillId="11" fontId="4" numFmtId="0" xfId="0" applyAlignment="1" applyFont="1">
      <alignment readingOrder="0"/>
    </xf>
    <xf borderId="0" fillId="11" fontId="4" numFmtId="167" xfId="0" applyAlignment="1" applyFont="1" applyNumberFormat="1">
      <alignment readingOrder="0"/>
    </xf>
    <xf borderId="0" fillId="11" fontId="4" numFmtId="167" xfId="0" applyFont="1" applyNumberFormat="1"/>
    <xf borderId="0" fillId="11" fontId="4" numFmtId="0" xfId="0" applyFont="1"/>
    <xf borderId="0" fillId="12" fontId="4" numFmtId="0" xfId="0" applyAlignment="1" applyFont="1">
      <alignment horizontal="center" readingOrder="0" vertical="center"/>
    </xf>
    <xf borderId="0" fillId="12" fontId="4" numFmtId="0" xfId="0" applyAlignment="1" applyFont="1">
      <alignment readingOrder="0"/>
    </xf>
    <xf borderId="0" fillId="12" fontId="4" numFmtId="167" xfId="0" applyAlignment="1" applyFont="1" applyNumberFormat="1">
      <alignment readingOrder="0"/>
    </xf>
    <xf borderId="0" fillId="12" fontId="4" numFmtId="167" xfId="0" applyFont="1" applyNumberFormat="1"/>
    <xf borderId="0" fillId="12" fontId="4" numFmtId="0" xfId="0" applyFont="1"/>
    <xf borderId="0" fillId="13" fontId="4" numFmtId="0" xfId="0" applyAlignment="1" applyFont="1">
      <alignment horizontal="center" readingOrder="0" vertical="center"/>
    </xf>
    <xf borderId="0" fillId="13" fontId="4" numFmtId="0" xfId="0" applyAlignment="1" applyFont="1">
      <alignment readingOrder="0"/>
    </xf>
    <xf borderId="0" fillId="13" fontId="4" numFmtId="167" xfId="0" applyAlignment="1" applyFont="1" applyNumberFormat="1">
      <alignment readingOrder="0"/>
    </xf>
    <xf borderId="0" fillId="19" fontId="4" numFmtId="0" xfId="0" applyAlignment="1" applyFill="1" applyFont="1">
      <alignment horizontal="center" readingOrder="0" vertical="center"/>
    </xf>
    <xf borderId="0" fillId="13" fontId="4" numFmtId="167" xfId="0" applyFont="1" applyNumberFormat="1"/>
    <xf borderId="0" fillId="13" fontId="4" numFmtId="0" xfId="0" applyFont="1"/>
    <xf borderId="0" fillId="14" fontId="4" numFmtId="0" xfId="0" applyAlignment="1" applyFont="1">
      <alignment horizontal="center" readingOrder="0" vertical="center"/>
    </xf>
    <xf borderId="0" fillId="14" fontId="4" numFmtId="0" xfId="0" applyAlignment="1" applyFont="1">
      <alignment readingOrder="0"/>
    </xf>
    <xf borderId="0" fillId="14" fontId="4" numFmtId="167" xfId="0" applyAlignment="1" applyFont="1" applyNumberFormat="1">
      <alignment readingOrder="0"/>
    </xf>
    <xf borderId="0" fillId="14" fontId="4" numFmtId="167" xfId="0" applyFont="1" applyNumberFormat="1"/>
    <xf borderId="0" fillId="14" fontId="4" numFmtId="0" xfId="0" applyFont="1"/>
    <xf borderId="0" fillId="15" fontId="4" numFmtId="0" xfId="0" applyAlignment="1" applyFont="1">
      <alignment horizontal="center" readingOrder="0" vertical="center"/>
    </xf>
    <xf borderId="0" fillId="15" fontId="4" numFmtId="0" xfId="0" applyAlignment="1" applyFont="1">
      <alignment readingOrder="0"/>
    </xf>
    <xf borderId="0" fillId="15" fontId="4" numFmtId="167" xfId="0" applyAlignment="1" applyFont="1" applyNumberFormat="1">
      <alignment readingOrder="0"/>
    </xf>
    <xf borderId="0" fillId="15" fontId="4" numFmtId="167" xfId="0" applyFont="1" applyNumberFormat="1"/>
    <xf borderId="0" fillId="15" fontId="4" numFmtId="0" xfId="0" applyFont="1"/>
    <xf borderId="0" fillId="16" fontId="4" numFmtId="0" xfId="0" applyAlignment="1" applyFont="1">
      <alignment horizontal="center" readingOrder="0" vertical="center"/>
    </xf>
    <xf borderId="0" fillId="16" fontId="4" numFmtId="0" xfId="0" applyAlignment="1" applyFont="1">
      <alignment readingOrder="0"/>
    </xf>
    <xf borderId="0" fillId="16" fontId="4" numFmtId="167" xfId="0" applyAlignment="1" applyFont="1" applyNumberFormat="1">
      <alignment readingOrder="0"/>
    </xf>
    <xf borderId="0" fillId="16" fontId="4" numFmtId="167" xfId="0" applyFont="1" applyNumberFormat="1"/>
    <xf borderId="0" fillId="16" fontId="4" numFmtId="0" xfId="0" applyFont="1"/>
    <xf borderId="0" fillId="20" fontId="4" numFmtId="0" xfId="0" applyAlignment="1" applyFill="1" applyFont="1">
      <alignment horizontal="center" readingOrder="0" vertical="center"/>
    </xf>
    <xf borderId="0" fillId="20" fontId="4" numFmtId="0" xfId="0" applyAlignment="1" applyFont="1">
      <alignment readingOrder="0"/>
    </xf>
    <xf borderId="0" fillId="20" fontId="4" numFmtId="167" xfId="0" applyAlignment="1" applyFont="1" applyNumberFormat="1">
      <alignment readingOrder="0"/>
    </xf>
    <xf borderId="0" fillId="20" fontId="4" numFmtId="167" xfId="0" applyFont="1" applyNumberFormat="1"/>
    <xf borderId="0" fillId="20" fontId="4" numFmtId="0" xfId="0" applyFont="1"/>
    <xf borderId="0" fillId="18" fontId="4" numFmtId="0" xfId="0" applyAlignment="1" applyFont="1">
      <alignment horizontal="center" readingOrder="0" vertical="center"/>
    </xf>
    <xf borderId="0" fillId="18" fontId="4" numFmtId="0" xfId="0" applyAlignment="1" applyFont="1">
      <alignment readingOrder="0"/>
    </xf>
    <xf borderId="0" fillId="18" fontId="4" numFmtId="167" xfId="0" applyAlignment="1" applyFont="1" applyNumberFormat="1">
      <alignment readingOrder="0"/>
    </xf>
    <xf borderId="0" fillId="18" fontId="4" numFmtId="167" xfId="0" applyFont="1" applyNumberFormat="1"/>
    <xf borderId="0" fillId="18" fontId="4" numFmtId="0" xfId="0" applyFont="1"/>
  </cellXfs>
  <cellStyles count="1">
    <cellStyle xfId="0" name="Normal" builtinId="0"/>
  </cellStyles>
  <dxfs count="25">
    <dxf>
      <font/>
      <fill>
        <patternFill patternType="solid">
          <fgColor rgb="FF000000"/>
          <bgColor rgb="FF000000"/>
        </patternFill>
      </fill>
      <border/>
    </dxf>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
      <font>
        <color rgb="FFFFFFFF"/>
      </font>
      <fill>
        <patternFill patternType="solid">
          <fgColor rgb="FFBC8484"/>
          <bgColor rgb="FFBC8484"/>
        </patternFill>
      </fill>
      <border/>
    </dxf>
    <dxf>
      <font>
        <color rgb="FFFFFFFF"/>
      </font>
      <fill>
        <patternFill patternType="solid">
          <fgColor rgb="FFA61C00"/>
          <bgColor rgb="FFA61C00"/>
        </patternFill>
      </fill>
      <border/>
    </dxf>
    <dxf>
      <font>
        <color rgb="FF000000"/>
      </font>
      <fill>
        <patternFill patternType="solid">
          <fgColor rgb="FFE06666"/>
          <bgColor rgb="FFE06666"/>
        </patternFill>
      </fill>
      <border/>
    </dxf>
    <dxf>
      <font>
        <color theme="1"/>
      </font>
      <fill>
        <patternFill patternType="solid">
          <fgColor rgb="FFFFD966"/>
          <bgColor rgb="FFFFD966"/>
        </patternFill>
      </fill>
      <border/>
    </dxf>
    <dxf>
      <font>
        <color rgb="FF000000"/>
      </font>
      <fill>
        <patternFill patternType="solid">
          <fgColor rgb="FF93C47D"/>
          <bgColor rgb="FF93C47D"/>
        </patternFill>
      </fill>
      <border/>
    </dxf>
    <dxf>
      <font>
        <color theme="1"/>
      </font>
      <fill>
        <patternFill patternType="solid">
          <fgColor rgb="FF33FFDA"/>
          <bgColor rgb="FF33FFDA"/>
        </patternFill>
      </fill>
      <border/>
    </dxf>
    <dxf>
      <font>
        <color rgb="FFFFFFFF"/>
      </font>
      <fill>
        <patternFill patternType="solid">
          <fgColor rgb="FF3D85C6"/>
          <bgColor rgb="FF3D85C6"/>
        </patternFill>
      </fill>
      <border/>
    </dxf>
    <dxf>
      <font>
        <color rgb="FFFFFFFF"/>
      </font>
      <fill>
        <patternFill patternType="solid">
          <fgColor rgb="FF674EA7"/>
          <bgColor rgb="FF674EA7"/>
        </patternFill>
      </fill>
      <border/>
    </dxf>
    <dxf>
      <font>
        <color rgb="FFFFFFFF"/>
      </font>
      <fill>
        <patternFill patternType="solid">
          <fgColor rgb="FFA64D79"/>
          <bgColor rgb="FFA64D79"/>
        </patternFill>
      </fill>
      <border/>
    </dxf>
    <dxf>
      <font/>
      <fill>
        <patternFill patternType="solid">
          <fgColor rgb="FF34A853"/>
          <bgColor rgb="FF34A853"/>
        </patternFill>
      </fill>
      <border/>
    </dxf>
    <dxf>
      <font/>
      <fill>
        <patternFill patternType="solid">
          <fgColor rgb="FFEA4335"/>
          <bgColor rgb="FFEA4335"/>
        </patternFill>
      </fill>
      <border/>
    </dxf>
    <dxf>
      <font/>
      <fill>
        <patternFill patternType="solid">
          <fgColor rgb="FF33FFDA"/>
          <bgColor rgb="FF33FFDA"/>
        </patternFill>
      </fill>
      <border/>
    </dxf>
    <dxf>
      <font/>
      <fill>
        <patternFill patternType="solid">
          <fgColor rgb="FFFF00FF"/>
          <bgColor rgb="FFFF00FF"/>
        </patternFill>
      </fill>
      <border/>
    </dxf>
    <dxf>
      <font/>
      <fill>
        <patternFill patternType="solid">
          <fgColor rgb="FF8E7CC3"/>
          <bgColor rgb="FF8E7CC3"/>
        </patternFill>
      </fill>
      <border/>
    </dxf>
    <dxf>
      <font/>
      <fill>
        <patternFill patternType="solid">
          <fgColor rgb="FF93C47D"/>
          <bgColor rgb="FF93C47D"/>
        </patternFill>
      </fill>
      <border/>
    </dxf>
    <dxf>
      <font/>
      <fill>
        <patternFill patternType="solid">
          <fgColor rgb="FF6D9EEB"/>
          <bgColor rgb="FF6D9EEB"/>
        </patternFill>
      </fill>
      <border/>
    </dxf>
    <dxf>
      <font/>
      <fill>
        <patternFill patternType="solid">
          <fgColor rgb="FFF6B26B"/>
          <bgColor rgb="FFF6B26B"/>
        </patternFill>
      </fill>
      <border/>
    </dxf>
    <dxf>
      <font/>
      <fill>
        <patternFill patternType="solid">
          <fgColor rgb="FFE06666"/>
          <bgColor rgb="FFE06666"/>
        </patternFill>
      </fill>
      <border/>
    </dxf>
    <dxf>
      <font>
        <color theme="1"/>
      </font>
      <fill>
        <patternFill patternType="solid">
          <fgColor rgb="FFCC4125"/>
          <bgColor rgb="FFCC4125"/>
        </patternFill>
      </fill>
      <border/>
    </dxf>
    <dxf>
      <font>
        <color rgb="FF000000"/>
      </font>
      <fill>
        <patternFill patternType="solid">
          <fgColor rgb="FFF4CCCC"/>
          <bgColor rgb="FFF4CCCC"/>
        </patternFill>
      </fill>
      <border/>
    </dxf>
    <dxf>
      <font/>
      <fill>
        <patternFill patternType="solid">
          <fgColor rgb="FFB7E1CD"/>
          <bgColor rgb="FFB7E1CD"/>
        </patternFill>
      </fill>
      <border/>
    </dxf>
  </dxfs>
  <tableStyles count="1">
    <tableStyle count="2" pivot="0" name="Glossary-style">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B3:E45" displayName="Table_1" name="Table_1" id="1">
  <tableColumns count="4">
    <tableColumn name="Column1" id="1"/>
    <tableColumn name="Column2" id="2"/>
    <tableColumn name="Column3" id="3"/>
    <tableColumn name="Column4" id="4"/>
  </tableColumns>
  <tableStyleInfo name="Glossary-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en.wikipedia.org/wiki/Pythagorean_expectation" TargetMode="External"/><Relationship Id="rId2" Type="http://schemas.openxmlformats.org/officeDocument/2006/relationships/drawing" Target="../drawings/drawing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8"/>
    <col customWidth="1" min="3" max="3" width="15.75"/>
    <col customWidth="1" min="4" max="4" width="62.5"/>
    <col customWidth="1" min="5" max="5" width="39.5"/>
    <col customWidth="1" min="6" max="6" width="1.38"/>
  </cols>
  <sheetData>
    <row r="1" ht="7.5" customHeight="1">
      <c r="A1" s="1"/>
      <c r="B1" s="2"/>
      <c r="C1" s="2"/>
      <c r="D1" s="1"/>
      <c r="E1" s="3"/>
      <c r="F1" s="1"/>
    </row>
    <row r="2">
      <c r="A2" s="1"/>
      <c r="B2" s="4" t="s">
        <v>0</v>
      </c>
      <c r="C2" s="5" t="s">
        <v>1</v>
      </c>
      <c r="D2" s="6" t="s">
        <v>2</v>
      </c>
      <c r="E2" s="7" t="s">
        <v>3</v>
      </c>
      <c r="F2" s="1"/>
    </row>
    <row r="3">
      <c r="A3" s="1"/>
      <c r="B3" s="8" t="s">
        <v>4</v>
      </c>
      <c r="C3" s="9" t="s">
        <v>5</v>
      </c>
      <c r="D3" s="10" t="s">
        <v>6</v>
      </c>
      <c r="E3" s="11" t="s">
        <v>7</v>
      </c>
      <c r="F3" s="1"/>
    </row>
    <row r="4">
      <c r="A4" s="1"/>
      <c r="B4" s="12" t="s">
        <v>8</v>
      </c>
      <c r="C4" s="13" t="s">
        <v>9</v>
      </c>
      <c r="D4" s="14" t="s">
        <v>10</v>
      </c>
      <c r="E4" s="15" t="s">
        <v>11</v>
      </c>
      <c r="F4" s="16"/>
    </row>
    <row r="5">
      <c r="A5" s="1"/>
      <c r="B5" s="8" t="s">
        <v>12</v>
      </c>
      <c r="C5" s="9" t="s">
        <v>13</v>
      </c>
      <c r="F5" s="1"/>
    </row>
    <row r="6">
      <c r="A6" s="1"/>
      <c r="B6" s="12" t="s">
        <v>14</v>
      </c>
      <c r="C6" s="13" t="s">
        <v>15</v>
      </c>
      <c r="F6" s="1"/>
    </row>
    <row r="7">
      <c r="A7" s="1"/>
      <c r="B7" s="8" t="s">
        <v>16</v>
      </c>
      <c r="C7" s="9" t="s">
        <v>17</v>
      </c>
      <c r="F7" s="1"/>
    </row>
    <row r="8">
      <c r="A8" s="1"/>
      <c r="B8" s="12" t="s">
        <v>18</v>
      </c>
      <c r="C8" s="13" t="s">
        <v>19</v>
      </c>
      <c r="D8" s="17" t="s">
        <v>20</v>
      </c>
      <c r="E8" s="15" t="s">
        <v>21</v>
      </c>
      <c r="F8" s="1"/>
    </row>
    <row r="9">
      <c r="A9" s="1"/>
      <c r="B9" s="8" t="s">
        <v>22</v>
      </c>
      <c r="C9" s="9" t="s">
        <v>23</v>
      </c>
      <c r="D9" s="18" t="s">
        <v>24</v>
      </c>
      <c r="E9" s="11" t="s">
        <v>25</v>
      </c>
      <c r="F9" s="1"/>
    </row>
    <row r="10">
      <c r="A10" s="1"/>
      <c r="B10" s="19"/>
      <c r="C10" s="19"/>
      <c r="D10" s="20"/>
      <c r="E10" s="21"/>
      <c r="F10" s="1"/>
    </row>
    <row r="11">
      <c r="A11" s="1"/>
      <c r="B11" s="12" t="s">
        <v>26</v>
      </c>
      <c r="C11" s="13" t="s">
        <v>27</v>
      </c>
      <c r="D11" s="17" t="s">
        <v>28</v>
      </c>
      <c r="E11" s="22" t="str">
        <f t="shared" ref="E11:E15" si="1">CONCATENATE("Total ",LEFT(C11,FIND(" ",C11)),"/",RIGHT(C11,LEN(C11) - (FIND(CHAR(160),SUBSTITUTE(C11," ",CHAR(160),2)) - 1)),"s Played")</f>
        <v>Total Points / Games Played</v>
      </c>
      <c r="F11" s="1"/>
    </row>
    <row r="12">
      <c r="A12" s="1"/>
      <c r="B12" s="8" t="s">
        <v>29</v>
      </c>
      <c r="C12" s="9" t="s">
        <v>30</v>
      </c>
      <c r="D12" s="23" t="s">
        <v>31</v>
      </c>
      <c r="E12" s="11" t="str">
        <f t="shared" si="1"/>
        <v>Total Goals / Games Played</v>
      </c>
      <c r="F12" s="1"/>
    </row>
    <row r="13">
      <c r="A13" s="1"/>
      <c r="B13" s="12" t="s">
        <v>32</v>
      </c>
      <c r="C13" s="13" t="s">
        <v>33</v>
      </c>
      <c r="D13" s="17" t="s">
        <v>34</v>
      </c>
      <c r="E13" s="15" t="str">
        <f t="shared" si="1"/>
        <v>Total Assists / Games Played</v>
      </c>
      <c r="F13" s="1"/>
    </row>
    <row r="14">
      <c r="A14" s="1"/>
      <c r="B14" s="8" t="s">
        <v>35</v>
      </c>
      <c r="C14" s="9" t="s">
        <v>36</v>
      </c>
      <c r="D14" s="24" t="s">
        <v>37</v>
      </c>
      <c r="E14" s="25" t="str">
        <f t="shared" si="1"/>
        <v>Total Saves / Games Played</v>
      </c>
      <c r="F14" s="1"/>
    </row>
    <row r="15">
      <c r="A15" s="1"/>
      <c r="B15" s="12" t="s">
        <v>38</v>
      </c>
      <c r="C15" s="13" t="s">
        <v>39</v>
      </c>
      <c r="D15" s="26" t="s">
        <v>40</v>
      </c>
      <c r="E15" s="22" t="str">
        <f t="shared" si="1"/>
        <v>Total Shots / Games Played</v>
      </c>
      <c r="F15" s="1"/>
    </row>
    <row r="16">
      <c r="A16" s="1"/>
      <c r="B16" s="19"/>
      <c r="C16" s="19"/>
      <c r="D16" s="20"/>
      <c r="E16" s="21"/>
      <c r="F16" s="1"/>
    </row>
    <row r="17">
      <c r="A17" s="1"/>
      <c r="B17" s="8" t="s">
        <v>41</v>
      </c>
      <c r="C17" s="9" t="s">
        <v>42</v>
      </c>
      <c r="D17" s="23" t="s">
        <v>43</v>
      </c>
      <c r="E17" s="11" t="s">
        <v>44</v>
      </c>
      <c r="F17" s="1"/>
    </row>
    <row r="18">
      <c r="A18" s="1"/>
      <c r="B18" s="12" t="s">
        <v>45</v>
      </c>
      <c r="C18" s="13" t="s">
        <v>46</v>
      </c>
      <c r="D18" s="17" t="s">
        <v>47</v>
      </c>
      <c r="E18" s="15" t="s">
        <v>48</v>
      </c>
      <c r="F18" s="1"/>
    </row>
    <row r="19">
      <c r="A19" s="1"/>
      <c r="B19" s="8" t="s">
        <v>49</v>
      </c>
      <c r="C19" s="9" t="s">
        <v>50</v>
      </c>
      <c r="D19" s="24" t="s">
        <v>51</v>
      </c>
      <c r="E19" s="27" t="s">
        <v>52</v>
      </c>
      <c r="F19" s="1"/>
    </row>
    <row r="20">
      <c r="A20" s="1"/>
      <c r="B20" s="12" t="s">
        <v>53</v>
      </c>
      <c r="C20" s="13" t="s">
        <v>54</v>
      </c>
      <c r="D20" s="26" t="s">
        <v>55</v>
      </c>
      <c r="E20" s="22" t="s">
        <v>56</v>
      </c>
      <c r="F20" s="1"/>
    </row>
    <row r="21">
      <c r="A21" s="1"/>
      <c r="B21" s="8" t="s">
        <v>57</v>
      </c>
      <c r="C21" s="9" t="s">
        <v>58</v>
      </c>
      <c r="D21" s="24" t="s">
        <v>59</v>
      </c>
      <c r="E21" s="11" t="s">
        <v>60</v>
      </c>
      <c r="F21" s="1"/>
    </row>
    <row r="22">
      <c r="A22" s="1"/>
      <c r="B22" s="19"/>
      <c r="C22" s="19"/>
      <c r="D22" s="20"/>
      <c r="E22" s="21"/>
      <c r="F22" s="1"/>
    </row>
    <row r="23">
      <c r="A23" s="1"/>
      <c r="B23" s="12" t="str">
        <f t="array" ref="B23:B27">"O"&amp;B11:B15</f>
        <v>OPPG</v>
      </c>
      <c r="C23" s="13" t="str">
        <f t="array" ref="C23:C27">"Opponent's "&amp;C11:C15</f>
        <v>Opponent's Points Per Game</v>
      </c>
      <c r="D23" s="17" t="s">
        <v>61</v>
      </c>
      <c r="F23" s="1"/>
    </row>
    <row r="24">
      <c r="A24" s="1"/>
      <c r="B24" s="8" t="s">
        <v>62</v>
      </c>
      <c r="C24" s="9" t="s">
        <v>63</v>
      </c>
      <c r="D24" s="23" t="s">
        <v>64</v>
      </c>
      <c r="F24" s="1"/>
    </row>
    <row r="25">
      <c r="A25" s="1"/>
      <c r="B25" s="12" t="s">
        <v>65</v>
      </c>
      <c r="C25" s="13" t="s">
        <v>66</v>
      </c>
      <c r="D25" s="17" t="s">
        <v>67</v>
      </c>
      <c r="F25" s="1"/>
    </row>
    <row r="26">
      <c r="A26" s="1"/>
      <c r="B26" s="8" t="s">
        <v>68</v>
      </c>
      <c r="C26" s="9" t="s">
        <v>69</v>
      </c>
      <c r="D26" s="23" t="s">
        <v>70</v>
      </c>
      <c r="F26" s="1"/>
    </row>
    <row r="27">
      <c r="A27" s="1"/>
      <c r="B27" s="12" t="s">
        <v>71</v>
      </c>
      <c r="C27" s="13" t="s">
        <v>72</v>
      </c>
      <c r="D27" s="17" t="s">
        <v>73</v>
      </c>
      <c r="F27" s="1"/>
    </row>
    <row r="28">
      <c r="A28" s="1"/>
      <c r="B28" s="19"/>
      <c r="C28" s="19"/>
      <c r="D28" s="20"/>
      <c r="E28" s="21"/>
      <c r="F28" s="1"/>
    </row>
    <row r="29">
      <c r="A29" s="1"/>
      <c r="B29" s="8" t="str">
        <f t="array" ref="B29:B33">"O"&amp;B17:B21</f>
        <v>OPAPG</v>
      </c>
      <c r="C29" s="9" t="str">
        <f t="array" ref="C29:C33">"Opponent's "&amp;C17:C21</f>
        <v>Opponent's Points Against Per Game</v>
      </c>
      <c r="D29" s="23" t="s">
        <v>74</v>
      </c>
      <c r="F29" s="1"/>
    </row>
    <row r="30">
      <c r="A30" s="1"/>
      <c r="B30" s="12" t="s">
        <v>75</v>
      </c>
      <c r="C30" s="13" t="s">
        <v>76</v>
      </c>
      <c r="D30" s="17" t="s">
        <v>77</v>
      </c>
      <c r="F30" s="1"/>
    </row>
    <row r="31">
      <c r="A31" s="1"/>
      <c r="B31" s="8" t="s">
        <v>78</v>
      </c>
      <c r="C31" s="9" t="s">
        <v>79</v>
      </c>
      <c r="D31" s="23" t="s">
        <v>80</v>
      </c>
      <c r="F31" s="1"/>
    </row>
    <row r="32">
      <c r="A32" s="1"/>
      <c r="B32" s="12" t="s">
        <v>81</v>
      </c>
      <c r="C32" s="13" t="s">
        <v>82</v>
      </c>
      <c r="D32" s="17" t="s">
        <v>83</v>
      </c>
      <c r="F32" s="1"/>
    </row>
    <row r="33">
      <c r="A33" s="1"/>
      <c r="B33" s="8" t="s">
        <v>84</v>
      </c>
      <c r="C33" s="9" t="s">
        <v>85</v>
      </c>
      <c r="D33" s="23" t="s">
        <v>86</v>
      </c>
      <c r="F33" s="1"/>
    </row>
    <row r="34">
      <c r="A34" s="1"/>
      <c r="B34" s="19"/>
      <c r="C34" s="19"/>
      <c r="D34" s="20"/>
      <c r="E34" s="21"/>
      <c r="F34" s="1"/>
    </row>
    <row r="35">
      <c r="A35" s="1"/>
      <c r="B35" s="8" t="s">
        <v>87</v>
      </c>
      <c r="C35" s="9" t="s">
        <v>88</v>
      </c>
      <c r="D35" s="23" t="s">
        <v>89</v>
      </c>
      <c r="E35" s="25" t="s">
        <v>90</v>
      </c>
      <c r="F35" s="1"/>
    </row>
    <row r="36">
      <c r="A36" s="1"/>
      <c r="B36" s="12" t="s">
        <v>91</v>
      </c>
      <c r="C36" s="13" t="s">
        <v>92</v>
      </c>
      <c r="D36" s="17" t="s">
        <v>93</v>
      </c>
      <c r="E36" s="15" t="s">
        <v>94</v>
      </c>
      <c r="F36" s="1"/>
    </row>
    <row r="37">
      <c r="A37" s="1"/>
      <c r="B37" s="8" t="s">
        <v>95</v>
      </c>
      <c r="C37" s="9" t="s">
        <v>96</v>
      </c>
      <c r="D37" s="23" t="s">
        <v>97</v>
      </c>
      <c r="E37" s="25" t="s">
        <v>98</v>
      </c>
      <c r="F37" s="1"/>
    </row>
    <row r="38">
      <c r="A38" s="1"/>
      <c r="B38" s="12" t="s">
        <v>99</v>
      </c>
      <c r="C38" s="13" t="s">
        <v>100</v>
      </c>
      <c r="D38" s="17" t="s">
        <v>101</v>
      </c>
      <c r="E38" s="22" t="s">
        <v>102</v>
      </c>
      <c r="F38" s="1"/>
    </row>
    <row r="39">
      <c r="A39" s="1"/>
      <c r="B39" s="8" t="s">
        <v>103</v>
      </c>
      <c r="C39" s="9" t="s">
        <v>104</v>
      </c>
      <c r="D39" s="23" t="s">
        <v>105</v>
      </c>
      <c r="E39" s="25" t="s">
        <v>106</v>
      </c>
      <c r="F39" s="1"/>
    </row>
    <row r="40">
      <c r="A40" s="1"/>
      <c r="B40" s="19"/>
      <c r="C40" s="19"/>
      <c r="D40" s="20"/>
      <c r="E40" s="21"/>
      <c r="F40" s="1"/>
    </row>
    <row r="41">
      <c r="A41" s="1"/>
      <c r="B41" s="12" t="s">
        <v>107</v>
      </c>
      <c r="C41" s="13" t="s">
        <v>108</v>
      </c>
      <c r="D41" s="17" t="s">
        <v>109</v>
      </c>
      <c r="E41" s="22" t="s">
        <v>110</v>
      </c>
      <c r="F41" s="1"/>
    </row>
    <row r="42">
      <c r="A42" s="1"/>
      <c r="B42" s="8" t="s">
        <v>111</v>
      </c>
      <c r="C42" s="9" t="s">
        <v>112</v>
      </c>
      <c r="D42" s="23" t="s">
        <v>113</v>
      </c>
      <c r="E42" s="11" t="s">
        <v>114</v>
      </c>
      <c r="F42" s="1"/>
    </row>
    <row r="43">
      <c r="A43" s="1"/>
      <c r="B43" s="12" t="s">
        <v>115</v>
      </c>
      <c r="C43" s="13" t="s">
        <v>116</v>
      </c>
      <c r="D43" s="17" t="s">
        <v>117</v>
      </c>
      <c r="E43" s="22" t="s">
        <v>118</v>
      </c>
      <c r="F43" s="1"/>
    </row>
    <row r="44">
      <c r="A44" s="1"/>
      <c r="B44" s="8" t="s">
        <v>119</v>
      </c>
      <c r="C44" s="9" t="s">
        <v>120</v>
      </c>
      <c r="D44" s="23" t="s">
        <v>121</v>
      </c>
      <c r="E44" s="25" t="s">
        <v>122</v>
      </c>
      <c r="F44" s="1"/>
    </row>
    <row r="45">
      <c r="A45" s="1"/>
      <c r="B45" s="12" t="s">
        <v>123</v>
      </c>
      <c r="C45" s="13" t="s">
        <v>124</v>
      </c>
      <c r="D45" s="17" t="s">
        <v>125</v>
      </c>
      <c r="E45" s="22" t="s">
        <v>126</v>
      </c>
      <c r="F45" s="1"/>
    </row>
    <row r="46" ht="7.5" customHeight="1">
      <c r="A46" s="1"/>
      <c r="B46" s="2"/>
      <c r="C46" s="2"/>
      <c r="D46" s="1"/>
      <c r="E46" s="3"/>
      <c r="F46" s="1"/>
    </row>
  </sheetData>
  <conditionalFormatting sqref="A1:C46 D1:E4 F1:F46 D8:D46 E8:E22 E28 E34:E46">
    <cfRule type="containsBlanks" dxfId="0" priority="1">
      <formula>LEN(TRIM(A1))=0</formula>
    </cfRule>
  </conditionalFormatting>
  <hyperlinks>
    <hyperlink r:id="rId1" ref="D9"/>
  </hyperlinks>
  <drawing r:id="rId2"/>
  <tableParts count="1">
    <tablePart r:id="rId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5.0" topLeftCell="E6" activePane="bottomRight" state="frozen"/>
      <selection activeCell="E1" sqref="E1" pane="topRight"/>
      <selection activeCell="A6" sqref="A6" pane="bottomLeft"/>
      <selection activeCell="E6" sqref="E6" pane="bottomRight"/>
    </sheetView>
  </sheetViews>
  <sheetFormatPr customHeight="1" defaultColWidth="12.63" defaultRowHeight="15.75"/>
  <cols>
    <col customWidth="1" min="1" max="1" width="15.0"/>
    <col customWidth="1" min="2" max="2" width="9.63"/>
    <col customWidth="1" min="4" max="4" width="18.5"/>
    <col customWidth="1" min="5" max="45" width="6.38"/>
  </cols>
  <sheetData>
    <row r="1">
      <c r="A1" s="28" t="s">
        <v>127</v>
      </c>
      <c r="B1" s="29" t="s">
        <v>128</v>
      </c>
      <c r="C1" s="30"/>
      <c r="D1" s="31"/>
      <c r="E1" s="32"/>
      <c r="F1" s="32"/>
      <c r="G1" s="32"/>
      <c r="H1" s="32"/>
      <c r="I1" s="33" t="s">
        <v>129</v>
      </c>
      <c r="O1" s="34"/>
      <c r="P1" s="34"/>
      <c r="Q1" s="34"/>
      <c r="R1" s="34"/>
      <c r="S1" s="32"/>
      <c r="T1" s="34"/>
      <c r="U1" s="34"/>
      <c r="V1" s="34"/>
      <c r="W1" s="34"/>
      <c r="X1" s="32"/>
      <c r="Y1" s="34"/>
      <c r="Z1" s="34"/>
      <c r="AA1" s="34"/>
      <c r="AB1" s="34"/>
      <c r="AC1" s="32"/>
      <c r="AD1" s="34"/>
      <c r="AE1" s="34"/>
      <c r="AF1" s="34"/>
      <c r="AG1" s="34"/>
      <c r="AH1" s="34"/>
      <c r="AI1" s="34"/>
      <c r="AJ1" s="34"/>
      <c r="AK1" s="34"/>
      <c r="AL1" s="34"/>
      <c r="AM1" s="34"/>
      <c r="AN1" s="34"/>
      <c r="AO1" s="34"/>
      <c r="AP1" s="35"/>
      <c r="AQ1" s="34"/>
      <c r="AR1" s="36"/>
      <c r="AS1" s="34"/>
      <c r="AT1" s="37"/>
      <c r="AU1" s="30"/>
      <c r="AV1" s="30"/>
      <c r="AW1" s="30"/>
      <c r="AX1" s="30"/>
      <c r="AY1" s="30"/>
      <c r="AZ1" s="30"/>
    </row>
    <row r="2">
      <c r="A2" s="28" t="s">
        <v>130</v>
      </c>
      <c r="B2" s="29" t="s">
        <v>4</v>
      </c>
      <c r="C2" s="30"/>
      <c r="D2" s="31"/>
      <c r="E2" s="32"/>
      <c r="F2" s="32"/>
      <c r="G2" s="32"/>
      <c r="H2" s="32"/>
      <c r="O2" s="34"/>
      <c r="P2" s="34"/>
      <c r="Q2" s="34"/>
      <c r="R2" s="34"/>
      <c r="S2" s="32"/>
      <c r="T2" s="34"/>
      <c r="U2" s="34"/>
      <c r="V2" s="34"/>
      <c r="W2" s="34"/>
      <c r="X2" s="32"/>
      <c r="Y2" s="34"/>
      <c r="Z2" s="34"/>
      <c r="AA2" s="34"/>
      <c r="AB2" s="34"/>
      <c r="AC2" s="32"/>
      <c r="AD2" s="34"/>
      <c r="AE2" s="34"/>
      <c r="AF2" s="34"/>
      <c r="AG2" s="34"/>
      <c r="AH2" s="34"/>
      <c r="AI2" s="34"/>
      <c r="AJ2" s="34"/>
      <c r="AK2" s="34"/>
      <c r="AL2" s="34"/>
      <c r="AM2" s="34"/>
      <c r="AN2" s="34"/>
      <c r="AO2" s="34"/>
      <c r="AP2" s="35"/>
      <c r="AQ2" s="34"/>
      <c r="AR2" s="36"/>
      <c r="AS2" s="34"/>
      <c r="AT2" s="37"/>
      <c r="AU2" s="30"/>
      <c r="AV2" s="30"/>
      <c r="AW2" s="30"/>
      <c r="AX2" s="30"/>
      <c r="AY2" s="30"/>
      <c r="AZ2" s="30"/>
    </row>
    <row r="3">
      <c r="A3" s="38" t="s">
        <v>131</v>
      </c>
      <c r="B3" s="39" t="b">
        <v>0</v>
      </c>
      <c r="C3" s="30"/>
      <c r="D3" s="31"/>
      <c r="E3" s="32"/>
      <c r="F3" s="32"/>
      <c r="G3" s="32"/>
      <c r="H3" s="32"/>
      <c r="O3" s="34"/>
      <c r="P3" s="34"/>
      <c r="Q3" s="34"/>
      <c r="R3" s="34"/>
      <c r="S3" s="32"/>
      <c r="T3" s="34"/>
      <c r="U3" s="34"/>
      <c r="V3" s="34"/>
      <c r="W3" s="34"/>
      <c r="X3" s="32"/>
      <c r="Y3" s="34"/>
      <c r="Z3" s="34"/>
      <c r="AA3" s="34"/>
      <c r="AB3" s="34"/>
      <c r="AC3" s="32"/>
      <c r="AD3" s="34"/>
      <c r="AE3" s="34"/>
      <c r="AF3" s="34"/>
      <c r="AG3" s="34"/>
      <c r="AH3" s="34"/>
      <c r="AI3" s="34"/>
      <c r="AJ3" s="34"/>
      <c r="AK3" s="34"/>
      <c r="AL3" s="34"/>
      <c r="AM3" s="34"/>
      <c r="AN3" s="34"/>
      <c r="AO3" s="34"/>
      <c r="AP3" s="35"/>
      <c r="AQ3" s="34"/>
      <c r="AR3" s="36"/>
      <c r="AS3" s="34"/>
      <c r="AT3" s="37"/>
      <c r="AU3" s="30"/>
      <c r="AV3" s="30"/>
      <c r="AW3" s="30"/>
      <c r="AX3" s="30"/>
      <c r="AY3" s="30"/>
      <c r="AZ3" s="30"/>
    </row>
    <row r="4">
      <c r="A4" s="30"/>
      <c r="B4" s="30"/>
      <c r="C4" s="30"/>
      <c r="D4" s="31"/>
      <c r="E4" s="32"/>
      <c r="F4" s="32"/>
      <c r="G4" s="32"/>
      <c r="H4" s="32"/>
      <c r="I4" s="40"/>
      <c r="J4" s="41"/>
      <c r="K4" s="40"/>
      <c r="L4" s="42"/>
      <c r="M4" s="42"/>
      <c r="N4" s="32"/>
      <c r="O4" s="34"/>
      <c r="P4" s="34"/>
      <c r="Q4" s="34"/>
      <c r="R4" s="34"/>
      <c r="S4" s="32"/>
      <c r="T4" s="34"/>
      <c r="U4" s="34"/>
      <c r="V4" s="34"/>
      <c r="W4" s="34"/>
      <c r="X4" s="32"/>
      <c r="Y4" s="34"/>
      <c r="Z4" s="34"/>
      <c r="AA4" s="34"/>
      <c r="AB4" s="34"/>
      <c r="AC4" s="32"/>
      <c r="AD4" s="34"/>
      <c r="AE4" s="34"/>
      <c r="AF4" s="34"/>
      <c r="AG4" s="34"/>
      <c r="AH4" s="34"/>
      <c r="AI4" s="34"/>
      <c r="AJ4" s="34"/>
      <c r="AK4" s="34"/>
      <c r="AL4" s="34"/>
      <c r="AM4" s="34"/>
      <c r="AN4" s="34"/>
      <c r="AO4" s="34"/>
      <c r="AP4" s="35"/>
      <c r="AQ4" s="34"/>
      <c r="AR4" s="36"/>
      <c r="AS4" s="34"/>
      <c r="AT4" s="37"/>
      <c r="AU4" s="30"/>
      <c r="AV4" s="30"/>
      <c r="AW4" s="30"/>
      <c r="AX4" s="30"/>
      <c r="AY4" s="30"/>
      <c r="AZ4" s="30"/>
    </row>
    <row r="5">
      <c r="A5" s="43" t="str">
        <f t="array" ref="A5:AQ5">{'Raw Stats Imports'!A1:D1,'Raw Stats Imports'!AV1,'Raw Stats Imports'!AW1,'Raw Stats Imports'!AX1:AY1,'Raw Stats Imports'!E1:AM1}</f>
        <v>Tier</v>
      </c>
      <c r="B5" s="43" t="s">
        <v>132</v>
      </c>
      <c r="C5" s="43" t="s">
        <v>133</v>
      </c>
      <c r="D5" s="44" t="s">
        <v>134</v>
      </c>
      <c r="E5" s="45" t="s">
        <v>4</v>
      </c>
      <c r="F5" s="45" t="s">
        <v>135</v>
      </c>
      <c r="G5" s="45" t="s">
        <v>136</v>
      </c>
      <c r="H5" s="45" t="s">
        <v>137</v>
      </c>
      <c r="I5" s="46" t="s">
        <v>12</v>
      </c>
      <c r="J5" s="47" t="s">
        <v>14</v>
      </c>
      <c r="K5" s="48" t="s">
        <v>16</v>
      </c>
      <c r="L5" s="49" t="s">
        <v>138</v>
      </c>
      <c r="M5" s="49" t="s">
        <v>139</v>
      </c>
      <c r="N5" s="45" t="s">
        <v>26</v>
      </c>
      <c r="O5" s="50" t="s">
        <v>29</v>
      </c>
      <c r="P5" s="50" t="s">
        <v>32</v>
      </c>
      <c r="Q5" s="50" t="s">
        <v>35</v>
      </c>
      <c r="R5" s="50" t="s">
        <v>38</v>
      </c>
      <c r="S5" s="45" t="s">
        <v>41</v>
      </c>
      <c r="T5" s="50" t="s">
        <v>45</v>
      </c>
      <c r="U5" s="50" t="s">
        <v>49</v>
      </c>
      <c r="V5" s="50" t="s">
        <v>53</v>
      </c>
      <c r="W5" s="50" t="s">
        <v>57</v>
      </c>
      <c r="X5" s="45" t="s">
        <v>140</v>
      </c>
      <c r="Y5" s="50" t="s">
        <v>62</v>
      </c>
      <c r="Z5" s="50" t="s">
        <v>65</v>
      </c>
      <c r="AA5" s="50" t="s">
        <v>68</v>
      </c>
      <c r="AB5" s="50" t="s">
        <v>71</v>
      </c>
      <c r="AC5" s="45" t="s">
        <v>141</v>
      </c>
      <c r="AD5" s="50" t="s">
        <v>75</v>
      </c>
      <c r="AE5" s="50" t="s">
        <v>78</v>
      </c>
      <c r="AF5" s="50" t="s">
        <v>81</v>
      </c>
      <c r="AG5" s="50" t="s">
        <v>84</v>
      </c>
      <c r="AH5" s="50" t="s">
        <v>87</v>
      </c>
      <c r="AI5" s="50" t="s">
        <v>91</v>
      </c>
      <c r="AJ5" s="50" t="s">
        <v>95</v>
      </c>
      <c r="AK5" s="50" t="s">
        <v>99</v>
      </c>
      <c r="AL5" s="50" t="s">
        <v>103</v>
      </c>
      <c r="AM5" s="50" t="s">
        <v>107</v>
      </c>
      <c r="AN5" s="50" t="s">
        <v>111</v>
      </c>
      <c r="AO5" s="50" t="s">
        <v>115</v>
      </c>
      <c r="AP5" s="51" t="s">
        <v>119</v>
      </c>
      <c r="AQ5" s="50" t="s">
        <v>123</v>
      </c>
      <c r="AR5" s="52"/>
      <c r="AS5" s="50"/>
      <c r="AT5" s="53"/>
      <c r="AU5" s="43"/>
      <c r="AV5" s="43"/>
      <c r="AW5" s="43"/>
      <c r="AX5" s="43"/>
      <c r="AY5" s="43"/>
      <c r="AZ5" s="43"/>
    </row>
    <row r="6">
      <c r="A6" s="30" t="str">
        <f>IFERROR(__xludf.DUMMYFUNCTION("IFERROR(SORT(FILTER({'Raw Stats Imports'!A2:D1250,'Raw Stats Imports'!AV2:AV1250,'Raw Stats Imports'!AW2:AW1250,'Raw Stats Imports'!AX2:AY1250,'Raw Stats Imports'!E2:AM1250,'Raw Stats Imports'!BB2:BB1250},IF(B1=""All"",'Raw Stats Imports'!A2:A1250&lt;&gt;"""",'"&amp;"Raw Stats Imports'!A2:A1250=B1)),1,1,MATCH(B2,5:5,0),B3))"),"Amateur")</f>
        <v>Amateur</v>
      </c>
      <c r="B6" s="30" t="str">
        <f>IFERROR(__xludf.DUMMYFUNCTION("""COMPUTED_VALUE"""),"RSC007179")</f>
        <v>RSC007179</v>
      </c>
      <c r="C6" s="30" t="str">
        <f>IFERROR(__xludf.DUMMYFUNCTION("""COMPUTED_VALUE"""),"B0A._.")</f>
        <v>B0A._.</v>
      </c>
      <c r="D6" s="31" t="str">
        <f>IFERROR(__xludf.DUMMYFUNCTION("""COMPUTED_VALUE"""),"Aeon Ale")</f>
        <v>Aeon Ale</v>
      </c>
      <c r="E6" s="31">
        <f>IFERROR(__xludf.DUMMYFUNCTION("""COMPUTED_VALUE"""),89.98346048945834)</f>
        <v>89.98346049</v>
      </c>
      <c r="F6" s="31">
        <f>IFERROR(__xludf.DUMMYFUNCTION("""COMPUTED_VALUE"""),18.22399393801347)</f>
        <v>18.22399394</v>
      </c>
      <c r="G6" s="31">
        <f>IFERROR(__xludf.DUMMYFUNCTION("""COMPUTED_VALUE"""),90.76411677002521)</f>
        <v>90.76411677</v>
      </c>
      <c r="H6" s="31">
        <f>IFERROR(__xludf.DUMMYFUNCTION("""COMPUTED_VALUE"""),19.4208302694358)</f>
        <v>19.42083027</v>
      </c>
      <c r="I6" s="54">
        <f>IFERROR(__xludf.DUMMYFUNCTION("""COMPUTED_VALUE"""),8.0)</f>
        <v>8</v>
      </c>
      <c r="J6" s="55">
        <f>IFERROR(__xludf.DUMMYFUNCTION("""COMPUTED_VALUE"""),5.0)</f>
        <v>5</v>
      </c>
      <c r="K6" s="54">
        <f>IFERROR(__xludf.DUMMYFUNCTION("""COMPUTED_VALUE"""),3.0)</f>
        <v>3</v>
      </c>
      <c r="L6" s="56">
        <f>IFERROR(__xludf.DUMMYFUNCTION("""COMPUTED_VALUE"""),0.625)</f>
        <v>0.625</v>
      </c>
      <c r="M6" s="56">
        <f>IFERROR(__xludf.DUMMYFUNCTION("""COMPUTED_VALUE"""),0.6470588235294118)</f>
        <v>0.6470588235</v>
      </c>
      <c r="N6" s="31">
        <f>IFERROR(__xludf.DUMMYFUNCTION("""COMPUTED_VALUE"""),398.375)</f>
        <v>398.375</v>
      </c>
      <c r="O6" s="57">
        <f>IFERROR(__xludf.DUMMYFUNCTION("""COMPUTED_VALUE"""),1.375)</f>
        <v>1.375</v>
      </c>
      <c r="P6" s="57">
        <f>IFERROR(__xludf.DUMMYFUNCTION("""COMPUTED_VALUE"""),0.875)</f>
        <v>0.875</v>
      </c>
      <c r="Q6" s="57">
        <f>IFERROR(__xludf.DUMMYFUNCTION("""COMPUTED_VALUE"""),0.875)</f>
        <v>0.875</v>
      </c>
      <c r="R6" s="57">
        <f>IFERROR(__xludf.DUMMYFUNCTION("""COMPUTED_VALUE"""),2.125)</f>
        <v>2.125</v>
      </c>
      <c r="S6" s="31">
        <f>IFERROR(__xludf.DUMMYFUNCTION("""COMPUTED_VALUE"""),297.125)</f>
        <v>297.125</v>
      </c>
      <c r="T6" s="57">
        <f>IFERROR(__xludf.DUMMYFUNCTION("""COMPUTED_VALUE"""),0.75)</f>
        <v>0.75</v>
      </c>
      <c r="U6" s="57">
        <f>IFERROR(__xludf.DUMMYFUNCTION("""COMPUTED_VALUE"""),0.41666666666666663)</f>
        <v>0.4166666667</v>
      </c>
      <c r="V6" s="57">
        <f>IFERROR(__xludf.DUMMYFUNCTION("""COMPUTED_VALUE"""),0.9583333333333331)</f>
        <v>0.9583333333</v>
      </c>
      <c r="W6" s="57">
        <f>IFERROR(__xludf.DUMMYFUNCTION("""COMPUTED_VALUE"""),2.0)</f>
        <v>2</v>
      </c>
      <c r="X6" s="31">
        <f>IFERROR(__xludf.DUMMYFUNCTION("""COMPUTED_VALUE"""),297.2148365374171)</f>
        <v>297.2148365</v>
      </c>
      <c r="Y6" s="57">
        <f>IFERROR(__xludf.DUMMYFUNCTION("""COMPUTED_VALUE"""),0.8467832446327072)</f>
        <v>0.8467832446</v>
      </c>
      <c r="Z6" s="57">
        <f>IFERROR(__xludf.DUMMYFUNCTION("""COMPUTED_VALUE"""),0.4413127692697585)</f>
        <v>0.4413127693</v>
      </c>
      <c r="AA6" s="57">
        <f>IFERROR(__xludf.DUMMYFUNCTION("""COMPUTED_VALUE"""),0.7712428948988088)</f>
        <v>0.7712428949</v>
      </c>
      <c r="AB6" s="57">
        <f>IFERROR(__xludf.DUMMYFUNCTION("""COMPUTED_VALUE"""),2.1177546070019186)</f>
        <v>2.117754607</v>
      </c>
      <c r="AC6" s="31">
        <f>IFERROR(__xludf.DUMMYFUNCTION("""COMPUTED_VALUE"""),301.33973923826073)</f>
        <v>301.3397392</v>
      </c>
      <c r="AD6" s="57">
        <f>IFERROR(__xludf.DUMMYFUNCTION("""COMPUTED_VALUE"""),0.859392913604383)</f>
        <v>0.8593929136</v>
      </c>
      <c r="AE6" s="57">
        <f>IFERROR(__xludf.DUMMYFUNCTION("""COMPUTED_VALUE"""),0.49692866538744673)</f>
        <v>0.4969286654</v>
      </c>
      <c r="AF6" s="57">
        <f>IFERROR(__xludf.DUMMYFUNCTION("""COMPUTED_VALUE"""),0.8472410786478886)</f>
        <v>0.8472410786</v>
      </c>
      <c r="AG6" s="57">
        <f>IFERROR(__xludf.DUMMYFUNCTION("""COMPUTED_VALUE"""),2.012851031220207)</f>
        <v>2.012851031</v>
      </c>
      <c r="AH6" s="57">
        <f>IFERROR(__xludf.DUMMYFUNCTION("""COMPUTED_VALUE"""),1.3220128251488803)</f>
        <v>1.322012825</v>
      </c>
      <c r="AI6" s="57">
        <f>IFERROR(__xludf.DUMMYFUNCTION("""COMPUTED_VALUE"""),1.5999666488208606)</f>
        <v>1.599966649</v>
      </c>
      <c r="AJ6" s="57">
        <f>IFERROR(__xludf.DUMMYFUNCTION("""COMPUTED_VALUE"""),1.7608161109357165)</f>
        <v>1.760816111</v>
      </c>
      <c r="AK6" s="57">
        <f>IFERROR(__xludf.DUMMYFUNCTION("""COMPUTED_VALUE"""),1.0327638992627834)</f>
        <v>1.032763899</v>
      </c>
      <c r="AL6" s="57">
        <f>IFERROR(__xludf.DUMMYFUNCTION("""COMPUTED_VALUE"""),1.0557164772952956)</f>
        <v>1.055716477</v>
      </c>
      <c r="AM6" s="57">
        <f>IFERROR(__xludf.DUMMYFUNCTION("""COMPUTED_VALUE"""),0.9996977387183503)</f>
        <v>0.9996977387</v>
      </c>
      <c r="AN6" s="57">
        <f>IFERROR(__xludf.DUMMYFUNCTION("""COMPUTED_VALUE"""),0.885704818504425)</f>
        <v>0.8857048185</v>
      </c>
      <c r="AO6" s="57">
        <f>IFERROR(__xludf.DUMMYFUNCTION("""COMPUTED_VALUE"""),0.9441527544197875)</f>
        <v>0.9441527544</v>
      </c>
      <c r="AP6" s="35">
        <f>IFERROR(__xludf.DUMMYFUNCTION("""COMPUTED_VALUE"""),1.2425830301607792)</f>
        <v>1.24258303</v>
      </c>
      <c r="AQ6" s="57">
        <f>IFERROR(__xludf.DUMMYFUNCTION("""COMPUTED_VALUE"""),0.9443964817205037)</f>
        <v>0.9443964817</v>
      </c>
      <c r="AR6" s="36" t="b">
        <f>IFERROR(__xludf.DUMMYFUNCTION("""COMPUTED_VALUE"""),TRUE)</f>
        <v>1</v>
      </c>
      <c r="AS6" s="57"/>
      <c r="AT6" s="37"/>
      <c r="AU6" s="30"/>
      <c r="AV6" s="30"/>
      <c r="AW6" s="30"/>
      <c r="AX6" s="30"/>
      <c r="AY6" s="30"/>
      <c r="AZ6" s="30"/>
    </row>
    <row r="7">
      <c r="A7" s="30" t="str">
        <f>IFERROR(__xludf.DUMMYFUNCTION("""COMPUTED_VALUE"""),"Amateur")</f>
        <v>Amateur</v>
      </c>
      <c r="B7" s="30" t="str">
        <f>IFERROR(__xludf.DUMMYFUNCTION("""COMPUTED_VALUE"""),"RSC007464")</f>
        <v>RSC007464</v>
      </c>
      <c r="C7" s="58" t="str">
        <f>IFERROR(__xludf.DUMMYFUNCTION("""COMPUTED_VALUE"""),"MoonKnight2")</f>
        <v>MoonKnight2</v>
      </c>
      <c r="D7" s="31" t="str">
        <f>IFERROR(__xludf.DUMMYFUNCTION("""COMPUTED_VALUE"""),"Hyenas")</f>
        <v>Hyenas</v>
      </c>
      <c r="E7" s="31">
        <f>IFERROR(__xludf.DUMMYFUNCTION("""COMPUTED_VALUE"""),82.4431171009231)</f>
        <v>82.4431171</v>
      </c>
      <c r="F7" s="31">
        <f>IFERROR(__xludf.DUMMYFUNCTION("""COMPUTED_VALUE"""),10.289020734466282)</f>
        <v>10.28902073</v>
      </c>
      <c r="G7" s="31">
        <f>IFERROR(__xludf.DUMMYFUNCTION("""COMPUTED_VALUE"""),77.79934450306605)</f>
        <v>77.7993445</v>
      </c>
      <c r="H7" s="31">
        <f>IFERROR(__xludf.DUMMYFUNCTION("""COMPUTED_VALUE"""),7.514575721982121)</f>
        <v>7.514575722</v>
      </c>
      <c r="I7" s="54">
        <f>IFERROR(__xludf.DUMMYFUNCTION("""COMPUTED_VALUE"""),35.0)</f>
        <v>35</v>
      </c>
      <c r="J7" s="55">
        <f>IFERROR(__xludf.DUMMYFUNCTION("""COMPUTED_VALUE"""),25.0)</f>
        <v>25</v>
      </c>
      <c r="K7" s="54">
        <f>IFERROR(__xludf.DUMMYFUNCTION("""COMPUTED_VALUE"""),10.0)</f>
        <v>10</v>
      </c>
      <c r="L7" s="56">
        <f>IFERROR(__xludf.DUMMYFUNCTION("""COMPUTED_VALUE"""),0.7142857142857143)</f>
        <v>0.7142857143</v>
      </c>
      <c r="M7" s="56">
        <f>IFERROR(__xludf.DUMMYFUNCTION("""COMPUTED_VALUE"""),0.3939393939393939)</f>
        <v>0.3939393939</v>
      </c>
      <c r="N7" s="31">
        <f>IFERROR(__xludf.DUMMYFUNCTION("""COMPUTED_VALUE"""),371.0571428571429)</f>
        <v>371.0571429</v>
      </c>
      <c r="O7" s="57">
        <f>IFERROR(__xludf.DUMMYFUNCTION("""COMPUTED_VALUE"""),1.1142857142857143)</f>
        <v>1.114285714</v>
      </c>
      <c r="P7" s="57">
        <f>IFERROR(__xludf.DUMMYFUNCTION("""COMPUTED_VALUE"""),0.5714285714285714)</f>
        <v>0.5714285714</v>
      </c>
      <c r="Q7" s="57">
        <f>IFERROR(__xludf.DUMMYFUNCTION("""COMPUTED_VALUE"""),1.2285714285714286)</f>
        <v>1.228571429</v>
      </c>
      <c r="R7" s="57">
        <f>IFERROR(__xludf.DUMMYFUNCTION("""COMPUTED_VALUE"""),2.8285714285714287)</f>
        <v>2.828571429</v>
      </c>
      <c r="S7" s="31">
        <f>IFERROR(__xludf.DUMMYFUNCTION("""COMPUTED_VALUE"""),266.7976190476191)</f>
        <v>266.797619</v>
      </c>
      <c r="T7" s="57">
        <f>IFERROR(__xludf.DUMMYFUNCTION("""COMPUTED_VALUE"""),0.569047619047619)</f>
        <v>0.569047619</v>
      </c>
      <c r="U7" s="57">
        <f>IFERROR(__xludf.DUMMYFUNCTION("""COMPUTED_VALUE"""),0.3047619047619047)</f>
        <v>0.3047619048</v>
      </c>
      <c r="V7" s="57">
        <f>IFERROR(__xludf.DUMMYFUNCTION("""COMPUTED_VALUE"""),0.9976190476190477)</f>
        <v>0.9976190476</v>
      </c>
      <c r="W7" s="57">
        <f>IFERROR(__xludf.DUMMYFUNCTION("""COMPUTED_VALUE"""),1.7880952380952386)</f>
        <v>1.788095238</v>
      </c>
      <c r="X7" s="31">
        <f>IFERROR(__xludf.DUMMYFUNCTION("""COMPUTED_VALUE"""),291.09881974198987)</f>
        <v>291.0988197</v>
      </c>
      <c r="Y7" s="57">
        <f>IFERROR(__xludf.DUMMYFUNCTION("""COMPUTED_VALUE"""),0.7250996311640054)</f>
        <v>0.7250996312</v>
      </c>
      <c r="Z7" s="57">
        <f>IFERROR(__xludf.DUMMYFUNCTION("""COMPUTED_VALUE"""),0.4301305801030482)</f>
        <v>0.4301305801</v>
      </c>
      <c r="AA7" s="57">
        <f>IFERROR(__xludf.DUMMYFUNCTION("""COMPUTED_VALUE"""),0.8636539690055076)</f>
        <v>0.863653969</v>
      </c>
      <c r="AB7" s="57">
        <f>IFERROR(__xludf.DUMMYFUNCTION("""COMPUTED_VALUE"""),2.05351818464341)</f>
        <v>2.053518185</v>
      </c>
      <c r="AC7" s="31">
        <f>IFERROR(__xludf.DUMMYFUNCTION("""COMPUTED_VALUE"""),301.5850457930751)</f>
        <v>301.5850458</v>
      </c>
      <c r="AD7" s="57">
        <f>IFERROR(__xludf.DUMMYFUNCTION("""COMPUTED_VALUE"""),0.8146887433763418)</f>
        <v>0.8146887434</v>
      </c>
      <c r="AE7" s="57">
        <f>IFERROR(__xludf.DUMMYFUNCTION("""COMPUTED_VALUE"""),0.46158100129651264)</f>
        <v>0.4615810013</v>
      </c>
      <c r="AF7" s="57">
        <f>IFERROR(__xludf.DUMMYFUNCTION("""COMPUTED_VALUE"""),0.8836818022535056)</f>
        <v>0.8836818023</v>
      </c>
      <c r="AG7" s="57">
        <f>IFERROR(__xludf.DUMMYFUNCTION("""COMPUTED_VALUE"""),2.0839570380588515)</f>
        <v>2.083957038</v>
      </c>
      <c r="AH7" s="57">
        <f>IFERROR(__xludf.DUMMYFUNCTION("""COMPUTED_VALUE"""),1.2303565711667757)</f>
        <v>1.230356571</v>
      </c>
      <c r="AI7" s="57">
        <f>IFERROR(__xludf.DUMMYFUNCTION("""COMPUTED_VALUE"""),1.3677440904212605)</f>
        <v>1.36774409</v>
      </c>
      <c r="AJ7" s="57">
        <f>IFERROR(__xludf.DUMMYFUNCTION("""COMPUTED_VALUE"""),1.2379811340230928)</f>
        <v>1.237981134</v>
      </c>
      <c r="AK7" s="57">
        <f>IFERROR(__xludf.DUMMYFUNCTION("""COMPUTED_VALUE"""),1.390287120814765)</f>
        <v>1.390287121</v>
      </c>
      <c r="AL7" s="57">
        <f>IFERROR(__xludf.DUMMYFUNCTION("""COMPUTED_VALUE"""),1.3573079372145622)</f>
        <v>1.357307937</v>
      </c>
      <c r="AM7" s="57">
        <f>IFERROR(__xludf.DUMMYFUNCTION("""COMPUTED_VALUE"""),0.9165190682809717)</f>
        <v>0.9165190683</v>
      </c>
      <c r="AN7" s="57">
        <f>IFERROR(__xludf.DUMMYFUNCTION("""COMPUTED_VALUE"""),0.7847854206381605)</f>
        <v>0.7847854206</v>
      </c>
      <c r="AO7" s="57">
        <f>IFERROR(__xludf.DUMMYFUNCTION("""COMPUTED_VALUE"""),0.708533452071442)</f>
        <v>0.7085334521</v>
      </c>
      <c r="AP7" s="35">
        <f>IFERROR(__xludf.DUMMYFUNCTION("""COMPUTED_VALUE"""),1.1551142974168231)</f>
        <v>1.155114297</v>
      </c>
      <c r="AQ7" s="57">
        <f>IFERROR(__xludf.DUMMYFUNCTION("""COMPUTED_VALUE"""),0.870747213960386)</f>
        <v>0.870747214</v>
      </c>
      <c r="AR7" s="36" t="b">
        <f>IFERROR(__xludf.DUMMYFUNCTION("""COMPUTED_VALUE"""),TRUE)</f>
        <v>1</v>
      </c>
      <c r="AS7" s="57"/>
      <c r="AT7" s="37"/>
      <c r="AU7" s="30"/>
      <c r="AV7" s="30"/>
      <c r="AW7" s="30"/>
      <c r="AX7" s="30"/>
      <c r="AY7" s="30"/>
      <c r="AZ7" s="30"/>
    </row>
    <row r="8">
      <c r="A8" s="30" t="str">
        <f>IFERROR(__xludf.DUMMYFUNCTION("""COMPUTED_VALUE"""),"Amateur")</f>
        <v>Amateur</v>
      </c>
      <c r="B8" s="30" t="str">
        <f>IFERROR(__xludf.DUMMYFUNCTION("""COMPUTED_VALUE"""),"RSC007899")</f>
        <v>RSC007899</v>
      </c>
      <c r="C8" s="30" t="str">
        <f>IFERROR(__xludf.DUMMYFUNCTION("""COMPUTED_VALUE"""),"SeaSpay12")</f>
        <v>SeaSpay12</v>
      </c>
      <c r="D8" s="31" t="str">
        <f>IFERROR(__xludf.DUMMYFUNCTION("""COMPUTED_VALUE"""),"Surprise")</f>
        <v>Surprise</v>
      </c>
      <c r="E8" s="31">
        <f>IFERROR(__xludf.DUMMYFUNCTION("""COMPUTED_VALUE"""),78.65957514921408)</f>
        <v>78.65957515</v>
      </c>
      <c r="F8" s="31">
        <f>IFERROR(__xludf.DUMMYFUNCTION("""COMPUTED_VALUE"""),7.947965902484177)</f>
        <v>7.947965902</v>
      </c>
      <c r="G8" s="31">
        <f>IFERROR(__xludf.DUMMYFUNCTION("""COMPUTED_VALUE"""),85.76266783178494)</f>
        <v>85.76266783</v>
      </c>
      <c r="H8" s="31">
        <f>IFERROR(__xludf.DUMMYFUNCTION("""COMPUTED_VALUE"""),13.108596029261314)</f>
        <v>13.10859603</v>
      </c>
      <c r="I8" s="54">
        <f>IFERROR(__xludf.DUMMYFUNCTION("""COMPUTED_VALUE"""),31.0)</f>
        <v>31</v>
      </c>
      <c r="J8" s="55">
        <f>IFERROR(__xludf.DUMMYFUNCTION("""COMPUTED_VALUE"""),18.0)</f>
        <v>18</v>
      </c>
      <c r="K8" s="54">
        <f>IFERROR(__xludf.DUMMYFUNCTION("""COMPUTED_VALUE"""),13.0)</f>
        <v>13</v>
      </c>
      <c r="L8" s="56">
        <f>IFERROR(__xludf.DUMMYFUNCTION("""COMPUTED_VALUE"""),0.5806451612903226)</f>
        <v>0.5806451613</v>
      </c>
      <c r="M8" s="56">
        <f>IFERROR(__xludf.DUMMYFUNCTION("""COMPUTED_VALUE"""),0.367816091954023)</f>
        <v>0.367816092</v>
      </c>
      <c r="N8" s="31">
        <f>IFERROR(__xludf.DUMMYFUNCTION("""COMPUTED_VALUE"""),405.8709677419355)</f>
        <v>405.8709677</v>
      </c>
      <c r="O8" s="57">
        <f>IFERROR(__xludf.DUMMYFUNCTION("""COMPUTED_VALUE"""),1.032258064516129)</f>
        <v>1.032258065</v>
      </c>
      <c r="P8" s="57">
        <f>IFERROR(__xludf.DUMMYFUNCTION("""COMPUTED_VALUE"""),0.45161290322580644)</f>
        <v>0.4516129032</v>
      </c>
      <c r="Q8" s="57">
        <f>IFERROR(__xludf.DUMMYFUNCTION("""COMPUTED_VALUE"""),1.3225806451612903)</f>
        <v>1.322580645</v>
      </c>
      <c r="R8" s="57">
        <f>IFERROR(__xludf.DUMMYFUNCTION("""COMPUTED_VALUE"""),2.806451612903226)</f>
        <v>2.806451613</v>
      </c>
      <c r="S8" s="31">
        <f>IFERROR(__xludf.DUMMYFUNCTION("""COMPUTED_VALUE"""),273.80645161290323)</f>
        <v>273.8064516</v>
      </c>
      <c r="T8" s="57">
        <f>IFERROR(__xludf.DUMMYFUNCTION("""COMPUTED_VALUE"""),0.7096774193548389)</f>
        <v>0.7096774194</v>
      </c>
      <c r="U8" s="57">
        <f>IFERROR(__xludf.DUMMYFUNCTION("""COMPUTED_VALUE"""),0.27956989247311825)</f>
        <v>0.2795698925</v>
      </c>
      <c r="V8" s="57">
        <f>IFERROR(__xludf.DUMMYFUNCTION("""COMPUTED_VALUE"""),0.8817204301075268)</f>
        <v>0.8817204301</v>
      </c>
      <c r="W8" s="57">
        <f>IFERROR(__xludf.DUMMYFUNCTION("""COMPUTED_VALUE"""),1.7526881720430108)</f>
        <v>1.752688172</v>
      </c>
      <c r="X8" s="31">
        <f>IFERROR(__xludf.DUMMYFUNCTION("""COMPUTED_VALUE"""),302.0507169430382)</f>
        <v>302.0507169</v>
      </c>
      <c r="Y8" s="57">
        <f>IFERROR(__xludf.DUMMYFUNCTION("""COMPUTED_VALUE"""),0.836384251931782)</f>
        <v>0.8363842519</v>
      </c>
      <c r="Z8" s="57">
        <f>IFERROR(__xludf.DUMMYFUNCTION("""COMPUTED_VALUE"""),0.4592557210188966)</f>
        <v>0.459255721</v>
      </c>
      <c r="AA8" s="57">
        <f>IFERROR(__xludf.DUMMYFUNCTION("""COMPUTED_VALUE"""),0.8634791088362737)</f>
        <v>0.8634791088</v>
      </c>
      <c r="AB8" s="57">
        <f>IFERROR(__xludf.DUMMYFUNCTION("""COMPUTED_VALUE"""),2.0482631288149444)</f>
        <v>2.048263129</v>
      </c>
      <c r="AC8" s="31">
        <f>IFERROR(__xludf.DUMMYFUNCTION("""COMPUTED_VALUE"""),300.65287056482504)</f>
        <v>300.6528706</v>
      </c>
      <c r="AD8" s="57">
        <f>IFERROR(__xludf.DUMMYFUNCTION("""COMPUTED_VALUE"""),0.8339402461373799)</f>
        <v>0.8339402461</v>
      </c>
      <c r="AE8" s="57">
        <f>IFERROR(__xludf.DUMMYFUNCTION("""COMPUTED_VALUE"""),0.47439707345149473)</f>
        <v>0.4743970735</v>
      </c>
      <c r="AF8" s="57">
        <f>IFERROR(__xludf.DUMMYFUNCTION("""COMPUTED_VALUE"""),0.832692469210292)</f>
        <v>0.8326924692</v>
      </c>
      <c r="AG8" s="57">
        <f>IFERROR(__xludf.DUMMYFUNCTION("""COMPUTED_VALUE"""),2.1126371837323203)</f>
        <v>2.112637184</v>
      </c>
      <c r="AH8" s="57">
        <f>IFERROR(__xludf.DUMMYFUNCTION("""COMPUTED_VALUE"""),1.3499653835981718)</f>
        <v>1.349965384</v>
      </c>
      <c r="AI8" s="57">
        <f>IFERROR(__xludf.DUMMYFUNCTION("""COMPUTED_VALUE"""),1.2378081874538513)</f>
        <v>1.237808187</v>
      </c>
      <c r="AJ8" s="57">
        <f>IFERROR(__xludf.DUMMYFUNCTION("""COMPUTED_VALUE"""),0.9519723634466773)</f>
        <v>0.9519723634</v>
      </c>
      <c r="AK8" s="57">
        <f>IFERROR(__xludf.DUMMYFUNCTION("""COMPUTED_VALUE"""),1.588318249612126)</f>
        <v>1.58831825</v>
      </c>
      <c r="AL8" s="57">
        <f>IFERROR(__xludf.DUMMYFUNCTION("""COMPUTED_VALUE"""),1.3284115391480371)</f>
        <v>1.328411539</v>
      </c>
      <c r="AM8" s="57">
        <f>IFERROR(__xludf.DUMMYFUNCTION("""COMPUTED_VALUE"""),0.9064916461182863)</f>
        <v>0.9064916461</v>
      </c>
      <c r="AN8" s="57">
        <f>IFERROR(__xludf.DUMMYFUNCTION("""COMPUTED_VALUE"""),0.848506434352045)</f>
        <v>0.8485064344</v>
      </c>
      <c r="AO8" s="57">
        <f>IFERROR(__xludf.DUMMYFUNCTION("""COMPUTED_VALUE"""),0.6087455848189968)</f>
        <v>0.6087455848</v>
      </c>
      <c r="AP8" s="35">
        <f>IFERROR(__xludf.DUMMYFUNCTION("""COMPUTED_VALUE"""),1.02112537649676)</f>
        <v>1.021125376</v>
      </c>
      <c r="AQ8" s="57">
        <f>IFERROR(__xludf.DUMMYFUNCTION("""COMPUTED_VALUE"""),0.8556948310918708)</f>
        <v>0.8556948311</v>
      </c>
      <c r="AR8" s="36" t="b">
        <f>IFERROR(__xludf.DUMMYFUNCTION("""COMPUTED_VALUE"""),TRUE)</f>
        <v>1</v>
      </c>
      <c r="AS8" s="57"/>
      <c r="AT8" s="37"/>
      <c r="AU8" s="30"/>
      <c r="AV8" s="30"/>
      <c r="AW8" s="30"/>
      <c r="AX8" s="30"/>
      <c r="AY8" s="30"/>
      <c r="AZ8" s="30"/>
    </row>
    <row r="9">
      <c r="A9" s="30" t="str">
        <f>IFERROR(__xludf.DUMMYFUNCTION("""COMPUTED_VALUE"""),"Amateur")</f>
        <v>Amateur</v>
      </c>
      <c r="B9" s="30" t="str">
        <f>IFERROR(__xludf.DUMMYFUNCTION("""COMPUTED_VALUE"""),"RSC006375")</f>
        <v>RSC006375</v>
      </c>
      <c r="C9" s="30" t="str">
        <f>IFERROR(__xludf.DUMMYFUNCTION("""COMPUTED_VALUE"""),"Rich-Rollin6060")</f>
        <v>Rich-Rollin6060</v>
      </c>
      <c r="D9" s="31" t="str">
        <f>IFERROR(__xludf.DUMMYFUNCTION("""COMPUTED_VALUE"""),"Hyenas")</f>
        <v>Hyenas</v>
      </c>
      <c r="E9" s="31">
        <f>IFERROR(__xludf.DUMMYFUNCTION("""COMPUTED_VALUE"""),77.35923789767848)</f>
        <v>77.3592379</v>
      </c>
      <c r="F9" s="31">
        <f>IFERROR(__xludf.DUMMYFUNCTION("""COMPUTED_VALUE"""),7.304790039361886)</f>
        <v>7.304790039</v>
      </c>
      <c r="G9" s="31">
        <f>IFERROR(__xludf.DUMMYFUNCTION("""COMPUTED_VALUE"""),55.780801522570016)</f>
        <v>55.78080152</v>
      </c>
      <c r="H9" s="31">
        <f>IFERROR(__xludf.DUMMYFUNCTION("""COMPUTED_VALUE"""),2.44757740820231)</f>
        <v>2.447577408</v>
      </c>
      <c r="I9" s="54">
        <f>IFERROR(__xludf.DUMMYFUNCTION("""COMPUTED_VALUE"""),28.0)</f>
        <v>28</v>
      </c>
      <c r="J9" s="55">
        <f>IFERROR(__xludf.DUMMYFUNCTION("""COMPUTED_VALUE"""),23.0)</f>
        <v>23</v>
      </c>
      <c r="K9" s="59">
        <f>IFERROR(__xludf.DUMMYFUNCTION("""COMPUTED_VALUE"""),5.0)</f>
        <v>5</v>
      </c>
      <c r="L9" s="56">
        <f>IFERROR(__xludf.DUMMYFUNCTION("""COMPUTED_VALUE"""),0.8214285714285714)</f>
        <v>0.8214285714</v>
      </c>
      <c r="M9" s="56">
        <f>IFERROR(__xludf.DUMMYFUNCTION("""COMPUTED_VALUE"""),0.49295774647887325)</f>
        <v>0.4929577465</v>
      </c>
      <c r="N9" s="31">
        <f>IFERROR(__xludf.DUMMYFUNCTION("""COMPUTED_VALUE"""),322.89285714285717)</f>
        <v>322.8928571</v>
      </c>
      <c r="O9" s="57">
        <f>IFERROR(__xludf.DUMMYFUNCTION("""COMPUTED_VALUE"""),1.25)</f>
        <v>1.25</v>
      </c>
      <c r="P9" s="57">
        <f>IFERROR(__xludf.DUMMYFUNCTION("""COMPUTED_VALUE"""),0.4642857142857143)</f>
        <v>0.4642857143</v>
      </c>
      <c r="Q9" s="57">
        <f>IFERROR(__xludf.DUMMYFUNCTION("""COMPUTED_VALUE"""),0.5)</f>
        <v>0.5</v>
      </c>
      <c r="R9" s="57">
        <f>IFERROR(__xludf.DUMMYFUNCTION("""COMPUTED_VALUE"""),2.5357142857142856)</f>
        <v>2.535714286</v>
      </c>
      <c r="S9" s="31">
        <f>IFERROR(__xludf.DUMMYFUNCTION("""COMPUTED_VALUE"""),257.0238095238095)</f>
        <v>257.0238095</v>
      </c>
      <c r="T9" s="57">
        <f>IFERROR(__xludf.DUMMYFUNCTION("""COMPUTED_VALUE"""),0.5357142857142856)</f>
        <v>0.5357142857</v>
      </c>
      <c r="U9" s="57">
        <f>IFERROR(__xludf.DUMMYFUNCTION("""COMPUTED_VALUE"""),0.2976190476190477)</f>
        <v>0.2976190476</v>
      </c>
      <c r="V9" s="57">
        <f>IFERROR(__xludf.DUMMYFUNCTION("""COMPUTED_VALUE"""),0.9523809523809526)</f>
        <v>0.9523809524</v>
      </c>
      <c r="W9" s="57">
        <f>IFERROR(__xludf.DUMMYFUNCTION("""COMPUTED_VALUE"""),1.7142857142857137)</f>
        <v>1.714285714</v>
      </c>
      <c r="X9" s="31">
        <f>IFERROR(__xludf.DUMMYFUNCTION("""COMPUTED_VALUE"""),292.77540966292736)</f>
        <v>292.7754097</v>
      </c>
      <c r="Y9" s="57">
        <f>IFERROR(__xludf.DUMMYFUNCTION("""COMPUTED_VALUE"""),0.736886079461126)</f>
        <v>0.7368860795</v>
      </c>
      <c r="Z9" s="57">
        <f>IFERROR(__xludf.DUMMYFUNCTION("""COMPUTED_VALUE"""),0.45270583499928685)</f>
        <v>0.452705835</v>
      </c>
      <c r="AA9" s="57">
        <f>IFERROR(__xludf.DUMMYFUNCTION("""COMPUTED_VALUE"""),0.8694290291639933)</f>
        <v>0.8694290292</v>
      </c>
      <c r="AB9" s="57">
        <f>IFERROR(__xludf.DUMMYFUNCTION("""COMPUTED_VALUE"""),2.0311299425249527)</f>
        <v>2.031129943</v>
      </c>
      <c r="AC9" s="31">
        <f>IFERROR(__xludf.DUMMYFUNCTION("""COMPUTED_VALUE"""),301.44866281533774)</f>
        <v>301.4486628</v>
      </c>
      <c r="AD9" s="57">
        <f>IFERROR(__xludf.DUMMYFUNCTION("""COMPUTED_VALUE"""),0.8313641759235247)</f>
        <v>0.8313641759</v>
      </c>
      <c r="AE9" s="57">
        <f>IFERROR(__xludf.DUMMYFUNCTION("""COMPUTED_VALUE"""),0.4738770988833747)</f>
        <v>0.4738770989</v>
      </c>
      <c r="AF9" s="57">
        <f>IFERROR(__xludf.DUMMYFUNCTION("""COMPUTED_VALUE"""),0.8431554852234626)</f>
        <v>0.8431554852</v>
      </c>
      <c r="AG9" s="57">
        <f>IFERROR(__xludf.DUMMYFUNCTION("""COMPUTED_VALUE"""),2.096743510982327)</f>
        <v>2.096743511</v>
      </c>
      <c r="AH9" s="57">
        <f>IFERROR(__xludf.DUMMYFUNCTION("""COMPUTED_VALUE"""),1.0711371353491648)</f>
        <v>1.071137135</v>
      </c>
      <c r="AI9" s="57">
        <f>IFERROR(__xludf.DUMMYFUNCTION("""COMPUTED_VALUE"""),1.5035528787506771)</f>
        <v>1.503552879</v>
      </c>
      <c r="AJ9" s="57">
        <f>IFERROR(__xludf.DUMMYFUNCTION("""COMPUTED_VALUE"""),0.9797597634064589)</f>
        <v>0.9797597634</v>
      </c>
      <c r="AK9" s="57">
        <f>IFERROR(__xludf.DUMMYFUNCTION("""COMPUTED_VALUE"""),0.5930104337368858)</f>
        <v>0.5930104337</v>
      </c>
      <c r="AL9" s="57">
        <f>IFERROR(__xludf.DUMMYFUNCTION("""COMPUTED_VALUE"""),1.2093583561521553)</f>
        <v>1.209358356</v>
      </c>
      <c r="AM9" s="57">
        <f>IFERROR(__xludf.DUMMYFUNCTION("""COMPUTED_VALUE"""),0.8778872850685148)</f>
        <v>0.8778872851</v>
      </c>
      <c r="AN9" s="57">
        <f>IFERROR(__xludf.DUMMYFUNCTION("""COMPUTED_VALUE"""),0.7269974296516031)</f>
        <v>0.7269974297</v>
      </c>
      <c r="AO9" s="57">
        <f>IFERROR(__xludf.DUMMYFUNCTION("""COMPUTED_VALUE"""),0.6574226011898358)</f>
        <v>0.6574226012</v>
      </c>
      <c r="AP9" s="35">
        <f>IFERROR(__xludf.DUMMYFUNCTION("""COMPUTED_VALUE"""),1.0954096544219627)</f>
        <v>1.095409654</v>
      </c>
      <c r="AQ9" s="57">
        <f>IFERROR(__xludf.DUMMYFUNCTION("""COMPUTED_VALUE"""),0.8440059291108862)</f>
        <v>0.8440059291</v>
      </c>
      <c r="AR9" s="36" t="b">
        <f>IFERROR(__xludf.DUMMYFUNCTION("""COMPUTED_VALUE"""),TRUE)</f>
        <v>1</v>
      </c>
      <c r="AS9" s="57"/>
      <c r="AT9" s="37"/>
      <c r="AU9" s="30"/>
      <c r="AV9" s="30"/>
      <c r="AW9" s="30"/>
      <c r="AX9" s="30"/>
      <c r="AY9" s="30"/>
      <c r="AZ9" s="30"/>
    </row>
    <row r="10">
      <c r="A10" s="30" t="str">
        <f>IFERROR(__xludf.DUMMYFUNCTION("""COMPUTED_VALUE"""),"Amateur")</f>
        <v>Amateur</v>
      </c>
      <c r="B10" s="30" t="str">
        <f>IFERROR(__xludf.DUMMYFUNCTION("""COMPUTED_VALUE"""),"RSC007571")</f>
        <v>RSC007571</v>
      </c>
      <c r="C10" s="30" t="str">
        <f>IFERROR(__xludf.DUMMYFUNCTION("""COMPUTED_VALUE"""),"StephMoney2")</f>
        <v>StephMoney2</v>
      </c>
      <c r="D10" s="31" t="str">
        <f>IFERROR(__xludf.DUMMYFUNCTION("""COMPUTED_VALUE"""),"Garlic Knots")</f>
        <v>Garlic Knots</v>
      </c>
      <c r="E10" s="31">
        <f>IFERROR(__xludf.DUMMYFUNCTION("""COMPUTED_VALUE"""),73.93443609129416)</f>
        <v>73.93443609</v>
      </c>
      <c r="F10" s="31">
        <f>IFERROR(__xludf.DUMMYFUNCTION("""COMPUTED_VALUE"""),5.910571063145628)</f>
        <v>5.910571063</v>
      </c>
      <c r="G10" s="31">
        <f>IFERROR(__xludf.DUMMYFUNCTION("""COMPUTED_VALUE"""),73.24021876732658)</f>
        <v>73.24021877</v>
      </c>
      <c r="H10" s="31">
        <f>IFERROR(__xludf.DUMMYFUNCTION("""COMPUTED_VALUE"""),5.672572935213097)</f>
        <v>5.672572935</v>
      </c>
      <c r="I10" s="54">
        <f>IFERROR(__xludf.DUMMYFUNCTION("""COMPUTED_VALUE"""),36.0)</f>
        <v>36</v>
      </c>
      <c r="J10" s="55">
        <f>IFERROR(__xludf.DUMMYFUNCTION("""COMPUTED_VALUE"""),26.0)</f>
        <v>26</v>
      </c>
      <c r="K10" s="54">
        <f>IFERROR(__xludf.DUMMYFUNCTION("""COMPUTED_VALUE"""),10.0)</f>
        <v>10</v>
      </c>
      <c r="L10" s="56">
        <f>IFERROR(__xludf.DUMMYFUNCTION("""COMPUTED_VALUE"""),0.7222222222222222)</f>
        <v>0.7222222222</v>
      </c>
      <c r="M10" s="56">
        <f>IFERROR(__xludf.DUMMYFUNCTION("""COMPUTED_VALUE"""),0.4125)</f>
        <v>0.4125</v>
      </c>
      <c r="N10" s="31">
        <f>IFERROR(__xludf.DUMMYFUNCTION("""COMPUTED_VALUE"""),356.4166666666667)</f>
        <v>356.4166667</v>
      </c>
      <c r="O10" s="57">
        <f>IFERROR(__xludf.DUMMYFUNCTION("""COMPUTED_VALUE"""),0.9166666666666666)</f>
        <v>0.9166666667</v>
      </c>
      <c r="P10" s="57">
        <f>IFERROR(__xludf.DUMMYFUNCTION("""COMPUTED_VALUE"""),0.6111111111111112)</f>
        <v>0.6111111111</v>
      </c>
      <c r="Q10" s="57">
        <f>IFERROR(__xludf.DUMMYFUNCTION("""COMPUTED_VALUE"""),1.1111111111111112)</f>
        <v>1.111111111</v>
      </c>
      <c r="R10" s="57">
        <f>IFERROR(__xludf.DUMMYFUNCTION("""COMPUTED_VALUE"""),2.2222222222222223)</f>
        <v>2.222222222</v>
      </c>
      <c r="S10" s="31">
        <f>IFERROR(__xludf.DUMMYFUNCTION("""COMPUTED_VALUE"""),252.38888888888889)</f>
        <v>252.3888889</v>
      </c>
      <c r="T10" s="57">
        <f>IFERROR(__xludf.DUMMYFUNCTION("""COMPUTED_VALUE"""),0.5277777777777777)</f>
        <v>0.5277777778</v>
      </c>
      <c r="U10" s="57">
        <f>IFERROR(__xludf.DUMMYFUNCTION("""COMPUTED_VALUE"""),0.29629629629629634)</f>
        <v>0.2962962963</v>
      </c>
      <c r="V10" s="57">
        <f>IFERROR(__xludf.DUMMYFUNCTION("""COMPUTED_VALUE"""),0.6666666666666669)</f>
        <v>0.6666666667</v>
      </c>
      <c r="W10" s="57">
        <f>IFERROR(__xludf.DUMMYFUNCTION("""COMPUTED_VALUE"""),2.1018518518518525)</f>
        <v>2.101851852</v>
      </c>
      <c r="X10" s="31">
        <f>IFERROR(__xludf.DUMMYFUNCTION("""COMPUTED_VALUE"""),288.6990200172403)</f>
        <v>288.69902</v>
      </c>
      <c r="Y10" s="57">
        <f>IFERROR(__xludf.DUMMYFUNCTION("""COMPUTED_VALUE"""),0.7318517032665457)</f>
        <v>0.7318517033</v>
      </c>
      <c r="Z10" s="57">
        <f>IFERROR(__xludf.DUMMYFUNCTION("""COMPUTED_VALUE"""),0.42749468752616404)</f>
        <v>0.4274946875</v>
      </c>
      <c r="AA10" s="57">
        <f>IFERROR(__xludf.DUMMYFUNCTION("""COMPUTED_VALUE"""),0.8309324945161509)</f>
        <v>0.8309324945</v>
      </c>
      <c r="AB10" s="57">
        <f>IFERROR(__xludf.DUMMYFUNCTION("""COMPUTED_VALUE"""),2.0736409171039045)</f>
        <v>2.073640917</v>
      </c>
      <c r="AC10" s="31">
        <f>IFERROR(__xludf.DUMMYFUNCTION("""COMPUTED_VALUE"""),302.138339389149)</f>
        <v>302.1383394</v>
      </c>
      <c r="AD10" s="57">
        <f>IFERROR(__xludf.DUMMYFUNCTION("""COMPUTED_VALUE"""),0.8095603119096649)</f>
        <v>0.8095603119</v>
      </c>
      <c r="AE10" s="57">
        <f>IFERROR(__xludf.DUMMYFUNCTION("""COMPUTED_VALUE"""),0.460410855105147)</f>
        <v>0.4604108551</v>
      </c>
      <c r="AF10" s="57">
        <f>IFERROR(__xludf.DUMMYFUNCTION("""COMPUTED_VALUE"""),0.9250316101106559)</f>
        <v>0.9250316101</v>
      </c>
      <c r="AG10" s="57">
        <f>IFERROR(__xludf.DUMMYFUNCTION("""COMPUTED_VALUE"""),2.0380019543666226)</f>
        <v>2.038001954</v>
      </c>
      <c r="AH10" s="57">
        <f>IFERROR(__xludf.DUMMYFUNCTION("""COMPUTED_VALUE"""),1.1796472681595305)</f>
        <v>1.179647268</v>
      </c>
      <c r="AI10" s="57">
        <f>IFERROR(__xludf.DUMMYFUNCTION("""COMPUTED_VALUE"""),1.1323018843455275)</f>
        <v>1.132301884</v>
      </c>
      <c r="AJ10" s="57">
        <f>IFERROR(__xludf.DUMMYFUNCTION("""COMPUTED_VALUE"""),1.3273169047492326)</f>
        <v>1.327316905</v>
      </c>
      <c r="AK10" s="57">
        <f>IFERROR(__xludf.DUMMYFUNCTION("""COMPUTED_VALUE"""),1.2011601538440353)</f>
        <v>1.201160154</v>
      </c>
      <c r="AL10" s="57">
        <f>IFERROR(__xludf.DUMMYFUNCTION("""COMPUTED_VALUE"""),1.0903925864550275)</f>
        <v>1.090392586</v>
      </c>
      <c r="AM10" s="57">
        <f>IFERROR(__xludf.DUMMYFUNCTION("""COMPUTED_VALUE"""),0.8742284226452065)</f>
        <v>0.8742284226</v>
      </c>
      <c r="AN10" s="57">
        <f>IFERROR(__xludf.DUMMYFUNCTION("""COMPUTED_VALUE"""),0.7211539925672035)</f>
        <v>0.7211539926</v>
      </c>
      <c r="AO10" s="57">
        <f>IFERROR(__xludf.DUMMYFUNCTION("""COMPUTED_VALUE"""),0.6930993646047637)</f>
        <v>0.6930993646</v>
      </c>
      <c r="AP10" s="35">
        <f>IFERROR(__xludf.DUMMYFUNCTION("""COMPUTED_VALUE"""),0.8023114646092454)</f>
        <v>0.8023114646</v>
      </c>
      <c r="AQ10" s="57">
        <f>IFERROR(__xludf.DUMMYFUNCTION("""COMPUTED_VALUE"""),1.0136045419027264)</f>
        <v>1.013604542</v>
      </c>
      <c r="AR10" s="36" t="b">
        <f>IFERROR(__xludf.DUMMYFUNCTION("""COMPUTED_VALUE"""),TRUE)</f>
        <v>1</v>
      </c>
      <c r="AS10" s="57"/>
      <c r="AT10" s="37"/>
      <c r="AU10" s="30"/>
      <c r="AV10" s="30"/>
      <c r="AW10" s="30"/>
      <c r="AX10" s="30"/>
      <c r="AY10" s="30"/>
      <c r="AZ10" s="30"/>
    </row>
    <row r="11">
      <c r="A11" s="30" t="str">
        <f>IFERROR(__xludf.DUMMYFUNCTION("""COMPUTED_VALUE"""),"Amateur")</f>
        <v>Amateur</v>
      </c>
      <c r="B11" s="30" t="str">
        <f>IFERROR(__xludf.DUMMYFUNCTION("""COMPUTED_VALUE"""),"RSC006256")</f>
        <v>RSC006256</v>
      </c>
      <c r="C11" s="30" t="str">
        <f>IFERROR(__xludf.DUMMYFUNCTION("""COMPUTED_VALUE"""),"CascaUnbroken")</f>
        <v>CascaUnbroken</v>
      </c>
      <c r="D11" s="31" t="str">
        <f>IFERROR(__xludf.DUMMYFUNCTION("""COMPUTED_VALUE"""),"Aeon Ale")</f>
        <v>Aeon Ale</v>
      </c>
      <c r="E11" s="31">
        <f>IFERROR(__xludf.DUMMYFUNCTION("""COMPUTED_VALUE"""),72.86635525204778)</f>
        <v>72.86635525</v>
      </c>
      <c r="F11" s="31">
        <f>IFERROR(__xludf.DUMMYFUNCTION("""COMPUTED_VALUE"""),5.549802413793076)</f>
        <v>5.549802414</v>
      </c>
      <c r="G11" s="31">
        <f>IFERROR(__xludf.DUMMYFUNCTION("""COMPUTED_VALUE"""),70.28647512374434)</f>
        <v>70.28647512</v>
      </c>
      <c r="H11" s="31">
        <f>IFERROR(__xludf.DUMMYFUNCTION("""COMPUTED_VALUE"""),4.794988745145068)</f>
        <v>4.794988745</v>
      </c>
      <c r="I11" s="54">
        <f>IFERROR(__xludf.DUMMYFUNCTION("""COMPUTED_VALUE"""),35.0)</f>
        <v>35</v>
      </c>
      <c r="J11" s="55">
        <f>IFERROR(__xludf.DUMMYFUNCTION("""COMPUTED_VALUE"""),19.0)</f>
        <v>19</v>
      </c>
      <c r="K11" s="54">
        <f>IFERROR(__xludf.DUMMYFUNCTION("""COMPUTED_VALUE"""),16.0)</f>
        <v>16</v>
      </c>
      <c r="L11" s="56">
        <f>IFERROR(__xludf.DUMMYFUNCTION("""COMPUTED_VALUE"""),0.5428571428571428)</f>
        <v>0.5428571429</v>
      </c>
      <c r="M11" s="56">
        <f>IFERROR(__xludf.DUMMYFUNCTION("""COMPUTED_VALUE"""),0.42391304347826086)</f>
        <v>0.4239130435</v>
      </c>
      <c r="N11" s="31">
        <f>IFERROR(__xludf.DUMMYFUNCTION("""COMPUTED_VALUE"""),351.6857142857143)</f>
        <v>351.6857143</v>
      </c>
      <c r="O11" s="57">
        <f>IFERROR(__xludf.DUMMYFUNCTION("""COMPUTED_VALUE"""),1.1142857142857143)</f>
        <v>1.114285714</v>
      </c>
      <c r="P11" s="57">
        <f>IFERROR(__xludf.DUMMYFUNCTION("""COMPUTED_VALUE"""),0.42857142857142855)</f>
        <v>0.4285714286</v>
      </c>
      <c r="Q11" s="57">
        <f>IFERROR(__xludf.DUMMYFUNCTION("""COMPUTED_VALUE"""),0.8285714285714286)</f>
        <v>0.8285714286</v>
      </c>
      <c r="R11" s="57">
        <f>IFERROR(__xludf.DUMMYFUNCTION("""COMPUTED_VALUE"""),2.6285714285714286)</f>
        <v>2.628571429</v>
      </c>
      <c r="S11" s="31">
        <f>IFERROR(__xludf.DUMMYFUNCTION("""COMPUTED_VALUE"""),285.5714285714285)</f>
        <v>285.5714286</v>
      </c>
      <c r="T11" s="57">
        <f>IFERROR(__xludf.DUMMYFUNCTION("""COMPUTED_VALUE"""),0.7142857142857142)</f>
        <v>0.7142857143</v>
      </c>
      <c r="U11" s="57">
        <f>IFERROR(__xludf.DUMMYFUNCTION("""COMPUTED_VALUE"""),0.38095238095238093)</f>
        <v>0.380952381</v>
      </c>
      <c r="V11" s="57">
        <f>IFERROR(__xludf.DUMMYFUNCTION("""COMPUTED_VALUE"""),0.7904761904761903)</f>
        <v>0.7904761905</v>
      </c>
      <c r="W11" s="57">
        <f>IFERROR(__xludf.DUMMYFUNCTION("""COMPUTED_VALUE"""),1.9619047619047612)</f>
        <v>1.961904762</v>
      </c>
      <c r="X11" s="31">
        <f>IFERROR(__xludf.DUMMYFUNCTION("""COMPUTED_VALUE"""),301.4787912591225)</f>
        <v>301.4787913</v>
      </c>
      <c r="Y11" s="57">
        <f>IFERROR(__xludf.DUMMYFUNCTION("""COMPUTED_VALUE"""),0.8008949616162442)</f>
        <v>0.8008949616</v>
      </c>
      <c r="Z11" s="57">
        <f>IFERROR(__xludf.DUMMYFUNCTION("""COMPUTED_VALUE"""),0.4511074274644622)</f>
        <v>0.4511074275</v>
      </c>
      <c r="AA11" s="57">
        <f>IFERROR(__xludf.DUMMYFUNCTION("""COMPUTED_VALUE"""),0.8785143229255883)</f>
        <v>0.8785143229</v>
      </c>
      <c r="AB11" s="57">
        <f>IFERROR(__xludf.DUMMYFUNCTION("""COMPUTED_VALUE"""),2.1279217237432526)</f>
        <v>2.127921724</v>
      </c>
      <c r="AC11" s="31">
        <f>IFERROR(__xludf.DUMMYFUNCTION("""COMPUTED_VALUE"""),297.390812153722)</f>
        <v>297.3908122</v>
      </c>
      <c r="AD11" s="57">
        <f>IFERROR(__xludf.DUMMYFUNCTION("""COMPUTED_VALUE"""),0.8039675753498216)</f>
        <v>0.8039675753</v>
      </c>
      <c r="AE11" s="57">
        <f>IFERROR(__xludf.DUMMYFUNCTION("""COMPUTED_VALUE"""),0.45667517822141734)</f>
        <v>0.4566751782</v>
      </c>
      <c r="AF11" s="57">
        <f>IFERROR(__xludf.DUMMYFUNCTION("""COMPUTED_VALUE"""),0.8776213933904704)</f>
        <v>0.8776213934</v>
      </c>
      <c r="AG11" s="57">
        <f>IFERROR(__xludf.DUMMYFUNCTION("""COMPUTED_VALUE"""),2.0451136449173957)</f>
        <v>2.045113645</v>
      </c>
      <c r="AH11" s="57">
        <f>IFERROR(__xludf.DUMMYFUNCTION("""COMPUTED_VALUE"""),1.1825708795062813)</f>
        <v>1.18257088</v>
      </c>
      <c r="AI11" s="57">
        <f>IFERROR(__xludf.DUMMYFUNCTION("""COMPUTED_VALUE"""),1.3859834008863696)</f>
        <v>1.385983401</v>
      </c>
      <c r="AJ11" s="57">
        <f>IFERROR(__xludf.DUMMYFUNCTION("""COMPUTED_VALUE"""),0.9384600893802842)</f>
        <v>0.9384600894</v>
      </c>
      <c r="AK11" s="57">
        <f>IFERROR(__xludf.DUMMYFUNCTION("""COMPUTED_VALUE"""),0.9441103359735232)</f>
        <v>0.944110336</v>
      </c>
      <c r="AL11" s="57">
        <f>IFERROR(__xludf.DUMMYFUNCTION("""COMPUTED_VALUE"""),1.2852935753003591)</f>
        <v>1.285293575</v>
      </c>
      <c r="AM11" s="57">
        <f>IFERROR(__xludf.DUMMYFUNCTION("""COMPUTED_VALUE"""),0.94723554973384)</f>
        <v>0.9472355497</v>
      </c>
      <c r="AN11" s="57">
        <f>IFERROR(__xludf.DUMMYFUNCTION("""COMPUTED_VALUE"""),0.8918594179244824)</f>
        <v>0.8918594179</v>
      </c>
      <c r="AO11" s="57">
        <f>IFERROR(__xludf.DUMMYFUNCTION("""COMPUTED_VALUE"""),0.8444826171309094)</f>
        <v>0.8444826171</v>
      </c>
      <c r="AP11" s="35">
        <f>IFERROR(__xludf.DUMMYFUNCTION("""COMPUTED_VALUE"""),0.8997874819431317)</f>
        <v>0.8997874819</v>
      </c>
      <c r="AQ11" s="57">
        <f>IFERROR(__xludf.DUMMYFUNCTION("""COMPUTED_VALUE"""),0.9219816405904024)</f>
        <v>0.9219816406</v>
      </c>
      <c r="AR11" s="36" t="b">
        <f>IFERROR(__xludf.DUMMYFUNCTION("""COMPUTED_VALUE"""),TRUE)</f>
        <v>1</v>
      </c>
      <c r="AS11" s="57"/>
      <c r="AT11" s="37"/>
      <c r="AU11" s="30"/>
      <c r="AV11" s="30"/>
      <c r="AW11" s="30"/>
      <c r="AX11" s="30"/>
      <c r="AY11" s="30"/>
      <c r="AZ11" s="30"/>
    </row>
    <row r="12">
      <c r="A12" s="30" t="str">
        <f>IFERROR(__xludf.DUMMYFUNCTION("""COMPUTED_VALUE"""),"Amateur")</f>
        <v>Amateur</v>
      </c>
      <c r="B12" s="30" t="str">
        <f>IFERROR(__xludf.DUMMYFUNCTION("""COMPUTED_VALUE"""),"RSC007463")</f>
        <v>RSC007463</v>
      </c>
      <c r="C12" s="30" t="str">
        <f>IFERROR(__xludf.DUMMYFUNCTION("""COMPUTED_VALUE"""),"xproteusx05")</f>
        <v>xproteusx05</v>
      </c>
      <c r="D12" s="31" t="str">
        <f>IFERROR(__xludf.DUMMYFUNCTION("""COMPUTED_VALUE"""),"Surprise")</f>
        <v>Surprise</v>
      </c>
      <c r="E12" s="31">
        <f>IFERROR(__xludf.DUMMYFUNCTION("""COMPUTED_VALUE"""),71.05142082174872)</f>
        <v>71.05142082</v>
      </c>
      <c r="F12" s="31">
        <f>IFERROR(__xludf.DUMMYFUNCTION("""COMPUTED_VALUE"""),5.003050080973428)</f>
        <v>5.003050081</v>
      </c>
      <c r="G12" s="31">
        <f>IFERROR(__xludf.DUMMYFUNCTION("""COMPUTED_VALUE"""),59.73773470130255)</f>
        <v>59.7377347</v>
      </c>
      <c r="H12" s="31">
        <f>IFERROR(__xludf.DUMMYFUNCTION("""COMPUTED_VALUE"""),2.869854808246433)</f>
        <v>2.869854808</v>
      </c>
      <c r="I12" s="54">
        <f>IFERROR(__xludf.DUMMYFUNCTION("""COMPUTED_VALUE"""),27.0)</f>
        <v>27</v>
      </c>
      <c r="J12" s="55">
        <f>IFERROR(__xludf.DUMMYFUNCTION("""COMPUTED_VALUE"""),18.0)</f>
        <v>18</v>
      </c>
      <c r="K12" s="54">
        <f>IFERROR(__xludf.DUMMYFUNCTION("""COMPUTED_VALUE"""),9.0)</f>
        <v>9</v>
      </c>
      <c r="L12" s="56">
        <f>IFERROR(__xludf.DUMMYFUNCTION("""COMPUTED_VALUE"""),0.6666666666666666)</f>
        <v>0.6666666667</v>
      </c>
      <c r="M12" s="56">
        <f>IFERROR(__xludf.DUMMYFUNCTION("""COMPUTED_VALUE"""),0.4769230769230769)</f>
        <v>0.4769230769</v>
      </c>
      <c r="N12" s="31">
        <f>IFERROR(__xludf.DUMMYFUNCTION("""COMPUTED_VALUE"""),318.44444444444446)</f>
        <v>318.4444444</v>
      </c>
      <c r="O12" s="57">
        <f>IFERROR(__xludf.DUMMYFUNCTION("""COMPUTED_VALUE"""),1.1481481481481481)</f>
        <v>1.148148148</v>
      </c>
      <c r="P12" s="57">
        <f>IFERROR(__xludf.DUMMYFUNCTION("""COMPUTED_VALUE"""),0.4074074074074074)</f>
        <v>0.4074074074</v>
      </c>
      <c r="Q12" s="57">
        <f>IFERROR(__xludf.DUMMYFUNCTION("""COMPUTED_VALUE"""),0.7037037037037037)</f>
        <v>0.7037037037</v>
      </c>
      <c r="R12" s="57">
        <f>IFERROR(__xludf.DUMMYFUNCTION("""COMPUTED_VALUE"""),2.4074074074074074)</f>
        <v>2.407407407</v>
      </c>
      <c r="S12" s="31">
        <f>IFERROR(__xludf.DUMMYFUNCTION("""COMPUTED_VALUE"""),263.1851851851851)</f>
        <v>263.1851852</v>
      </c>
      <c r="T12" s="57">
        <f>IFERROR(__xludf.DUMMYFUNCTION("""COMPUTED_VALUE"""),0.6265432098765431)</f>
        <v>0.6265432099</v>
      </c>
      <c r="U12" s="57">
        <f>IFERROR(__xludf.DUMMYFUNCTION("""COMPUTED_VALUE"""),0.22839506172839497)</f>
        <v>0.2283950617</v>
      </c>
      <c r="V12" s="57">
        <f>IFERROR(__xludf.DUMMYFUNCTION("""COMPUTED_VALUE"""),0.8919753086419754)</f>
        <v>0.8919753086</v>
      </c>
      <c r="W12" s="57">
        <f>IFERROR(__xludf.DUMMYFUNCTION("""COMPUTED_VALUE"""),1.6790123456790123)</f>
        <v>1.679012346</v>
      </c>
      <c r="X12" s="31">
        <f>IFERROR(__xludf.DUMMYFUNCTION("""COMPUTED_VALUE"""),296.1229249565219)</f>
        <v>296.122925</v>
      </c>
      <c r="Y12" s="57">
        <f>IFERROR(__xludf.DUMMYFUNCTION("""COMPUTED_VALUE"""),0.8106623573364031)</f>
        <v>0.8106623573</v>
      </c>
      <c r="Z12" s="57">
        <f>IFERROR(__xludf.DUMMYFUNCTION("""COMPUTED_VALUE"""),0.446298081159983)</f>
        <v>0.4462980812</v>
      </c>
      <c r="AA12" s="57">
        <f>IFERROR(__xludf.DUMMYFUNCTION("""COMPUTED_VALUE"""),0.82941120693598)</f>
        <v>0.8294112069</v>
      </c>
      <c r="AB12" s="57">
        <f>IFERROR(__xludf.DUMMYFUNCTION("""COMPUTED_VALUE"""),2.0363742948394017)</f>
        <v>2.036374295</v>
      </c>
      <c r="AC12" s="31">
        <f>IFERROR(__xludf.DUMMYFUNCTION("""COMPUTED_VALUE"""),310.54014562581966)</f>
        <v>310.5401456</v>
      </c>
      <c r="AD12" s="57">
        <f>IFERROR(__xludf.DUMMYFUNCTION("""COMPUTED_VALUE"""),0.9003577884758039)</f>
        <v>0.9003577885</v>
      </c>
      <c r="AE12" s="57">
        <f>IFERROR(__xludf.DUMMYFUNCTION("""COMPUTED_VALUE"""),0.5118296651595722)</f>
        <v>0.5118296652</v>
      </c>
      <c r="AF12" s="57">
        <f>IFERROR(__xludf.DUMMYFUNCTION("""COMPUTED_VALUE"""),0.8519647049713293)</f>
        <v>0.851964705</v>
      </c>
      <c r="AG12" s="57">
        <f>IFERROR(__xludf.DUMMYFUNCTION("""COMPUTED_VALUE"""),2.1372435350749885)</f>
        <v>2.137243535</v>
      </c>
      <c r="AH12" s="57">
        <f>IFERROR(__xludf.DUMMYFUNCTION("""COMPUTED_VALUE"""),1.025453388007839)</f>
        <v>1.025453388</v>
      </c>
      <c r="AI12" s="57">
        <f>IFERROR(__xludf.DUMMYFUNCTION("""COMPUTED_VALUE"""),1.2752132128404454)</f>
        <v>1.275213213</v>
      </c>
      <c r="AJ12" s="57">
        <f>IFERROR(__xludf.DUMMYFUNCTION("""COMPUTED_VALUE"""),0.7959824041859527)</f>
        <v>0.7959824042</v>
      </c>
      <c r="AK12" s="57">
        <f>IFERROR(__xludf.DUMMYFUNCTION("""COMPUTED_VALUE"""),0.8259775312257626)</f>
        <v>0.8259775312</v>
      </c>
      <c r="AL12" s="57">
        <f>IFERROR(__xludf.DUMMYFUNCTION("""COMPUTED_VALUE"""),1.1264076217327006)</f>
        <v>1.126407622</v>
      </c>
      <c r="AM12" s="57">
        <f>IFERROR(__xludf.DUMMYFUNCTION("""COMPUTED_VALUE"""),0.8887700444800994)</f>
        <v>0.8887700445</v>
      </c>
      <c r="AN12" s="57">
        <f>IFERROR(__xludf.DUMMYFUNCTION("""COMPUTED_VALUE"""),0.7728781337956518)</f>
        <v>0.7728781338</v>
      </c>
      <c r="AO12" s="57">
        <f>IFERROR(__xludf.DUMMYFUNCTION("""COMPUTED_VALUE"""),0.5117545231984157)</f>
        <v>0.5117545232</v>
      </c>
      <c r="AP12" s="35">
        <f>IFERROR(__xludf.DUMMYFUNCTION("""COMPUTED_VALUE"""),1.0754319464010142)</f>
        <v>1.075431946</v>
      </c>
      <c r="AQ12" s="57">
        <f>IFERROR(__xludf.DUMMYFUNCTION("""COMPUTED_VALUE"""),0.8245106756326578)</f>
        <v>0.8245106756</v>
      </c>
      <c r="AR12" s="36" t="b">
        <f>IFERROR(__xludf.DUMMYFUNCTION("""COMPUTED_VALUE"""),TRUE)</f>
        <v>1</v>
      </c>
      <c r="AS12" s="57"/>
      <c r="AT12" s="37"/>
      <c r="AU12" s="30"/>
      <c r="AV12" s="30"/>
      <c r="AW12" s="30"/>
      <c r="AX12" s="30"/>
      <c r="AY12" s="30"/>
      <c r="AZ12" s="30"/>
    </row>
    <row r="13">
      <c r="A13" s="30" t="str">
        <f>IFERROR(__xludf.DUMMYFUNCTION("""COMPUTED_VALUE"""),"Amateur")</f>
        <v>Amateur</v>
      </c>
      <c r="B13" s="30" t="str">
        <f>IFERROR(__xludf.DUMMYFUNCTION("""COMPUTED_VALUE"""),"RSC008012")</f>
        <v>RSC008012</v>
      </c>
      <c r="C13" s="30" t="str">
        <f>IFERROR(__xludf.DUMMYFUNCTION("""COMPUTED_VALUE"""),"mushxie")</f>
        <v>mushxie</v>
      </c>
      <c r="D13" s="31" t="str">
        <f>IFERROR(__xludf.DUMMYFUNCTION("""COMPUTED_VALUE"""),"Amaranth")</f>
        <v>Amaranth</v>
      </c>
      <c r="E13" s="31">
        <f>IFERROR(__xludf.DUMMYFUNCTION("""COMPUTED_VALUE"""),69.81604517020256)</f>
        <v>69.81604517</v>
      </c>
      <c r="F13" s="31">
        <f>IFERROR(__xludf.DUMMYFUNCTION("""COMPUTED_VALUE"""),4.673044115199317)</f>
        <v>4.673044115</v>
      </c>
      <c r="G13" s="31">
        <f>IFERROR(__xludf.DUMMYFUNCTION("""COMPUTED_VALUE"""),79.13278840975846)</f>
        <v>79.13278841</v>
      </c>
      <c r="H13" s="31">
        <f>IFERROR(__xludf.DUMMYFUNCTION("""COMPUTED_VALUE"""),8.200320343060554)</f>
        <v>8.200320343</v>
      </c>
      <c r="I13" s="54">
        <f>IFERROR(__xludf.DUMMYFUNCTION("""COMPUTED_VALUE"""),23.0)</f>
        <v>23</v>
      </c>
      <c r="J13" s="55">
        <f>IFERROR(__xludf.DUMMYFUNCTION("""COMPUTED_VALUE"""),14.0)</f>
        <v>14</v>
      </c>
      <c r="K13" s="54">
        <f>IFERROR(__xludf.DUMMYFUNCTION("""COMPUTED_VALUE"""),9.0)</f>
        <v>9</v>
      </c>
      <c r="L13" s="56">
        <f>IFERROR(__xludf.DUMMYFUNCTION("""COMPUTED_VALUE"""),0.6086956521739131)</f>
        <v>0.6086956522</v>
      </c>
      <c r="M13" s="56">
        <f>IFERROR(__xludf.DUMMYFUNCTION("""COMPUTED_VALUE"""),0.27450980392156865)</f>
        <v>0.2745098039</v>
      </c>
      <c r="N13" s="31">
        <f>IFERROR(__xludf.DUMMYFUNCTION("""COMPUTED_VALUE"""),322.82608695652175)</f>
        <v>322.826087</v>
      </c>
      <c r="O13" s="57">
        <f>IFERROR(__xludf.DUMMYFUNCTION("""COMPUTED_VALUE"""),0.6086956521739131)</f>
        <v>0.6086956522</v>
      </c>
      <c r="P13" s="57">
        <f>IFERROR(__xludf.DUMMYFUNCTION("""COMPUTED_VALUE"""),0.8260869565217391)</f>
        <v>0.8260869565</v>
      </c>
      <c r="Q13" s="57">
        <f>IFERROR(__xludf.DUMMYFUNCTION("""COMPUTED_VALUE"""),0.8695652173913043)</f>
        <v>0.8695652174</v>
      </c>
      <c r="R13" s="57">
        <f>IFERROR(__xludf.DUMMYFUNCTION("""COMPUTED_VALUE"""),2.217391304347826)</f>
        <v>2.217391304</v>
      </c>
      <c r="S13" s="31">
        <f>IFERROR(__xludf.DUMMYFUNCTION("""COMPUTED_VALUE"""),276.88405797101456)</f>
        <v>276.884058</v>
      </c>
      <c r="T13" s="57">
        <f>IFERROR(__xludf.DUMMYFUNCTION("""COMPUTED_VALUE"""),0.5797101449275364)</f>
        <v>0.5797101449</v>
      </c>
      <c r="U13" s="57">
        <f>IFERROR(__xludf.DUMMYFUNCTION("""COMPUTED_VALUE"""),0.39130434782608686)</f>
        <v>0.3913043478</v>
      </c>
      <c r="V13" s="57">
        <f>IFERROR(__xludf.DUMMYFUNCTION("""COMPUTED_VALUE"""),0.9275362318840581)</f>
        <v>0.9275362319</v>
      </c>
      <c r="W13" s="57">
        <f>IFERROR(__xludf.DUMMYFUNCTION("""COMPUTED_VALUE"""),1.6956521739130435)</f>
        <v>1.695652174</v>
      </c>
      <c r="X13" s="31">
        <f>IFERROR(__xludf.DUMMYFUNCTION("""COMPUTED_VALUE"""),286.066656552204)</f>
        <v>286.0666566</v>
      </c>
      <c r="Y13" s="57">
        <f>IFERROR(__xludf.DUMMYFUNCTION("""COMPUTED_VALUE"""),0.7832892736337173)</f>
        <v>0.7832892736</v>
      </c>
      <c r="Z13" s="57">
        <f>IFERROR(__xludf.DUMMYFUNCTION("""COMPUTED_VALUE"""),0.43715335613611334)</f>
        <v>0.4371533561</v>
      </c>
      <c r="AA13" s="57">
        <f>IFERROR(__xludf.DUMMYFUNCTION("""COMPUTED_VALUE"""),0.8307110164110413)</f>
        <v>0.8307110164</v>
      </c>
      <c r="AB13" s="57">
        <f>IFERROR(__xludf.DUMMYFUNCTION("""COMPUTED_VALUE"""),1.947809277932205)</f>
        <v>1.947809278</v>
      </c>
      <c r="AC13" s="31">
        <f>IFERROR(__xludf.DUMMYFUNCTION("""COMPUTED_VALUE"""),297.0685024564154)</f>
        <v>297.0685025</v>
      </c>
      <c r="AD13" s="57">
        <f>IFERROR(__xludf.DUMMYFUNCTION("""COMPUTED_VALUE"""),0.8105315192056866)</f>
        <v>0.8105315192</v>
      </c>
      <c r="AE13" s="57">
        <f>IFERROR(__xludf.DUMMYFUNCTION("""COMPUTED_VALUE"""),0.48368018898994736)</f>
        <v>0.483680189</v>
      </c>
      <c r="AF13" s="57">
        <f>IFERROR(__xludf.DUMMYFUNCTION("""COMPUTED_VALUE"""),0.8104816788824228)</f>
        <v>0.8104816789</v>
      </c>
      <c r="AG13" s="57">
        <f>IFERROR(__xludf.DUMMYFUNCTION("""COMPUTED_VALUE"""),2.085051468311409)</f>
        <v>2.085051468</v>
      </c>
      <c r="AH13" s="57">
        <f>IFERROR(__xludf.DUMMYFUNCTION("""COMPUTED_VALUE"""),1.0867058752009073)</f>
        <v>1.086705875</v>
      </c>
      <c r="AI13" s="57">
        <f>IFERROR(__xludf.DUMMYFUNCTION("""COMPUTED_VALUE"""),0.7509833211303482)</f>
        <v>0.7509833211</v>
      </c>
      <c r="AJ13" s="57">
        <f>IFERROR(__xludf.DUMMYFUNCTION("""COMPUTED_VALUE"""),1.7079197687356764)</f>
        <v>1.707919769</v>
      </c>
      <c r="AK13" s="57">
        <f>IFERROR(__xludf.DUMMYFUNCTION("""COMPUTED_VALUE"""),1.0728992894575384)</f>
        <v>1.072899289</v>
      </c>
      <c r="AL13" s="57">
        <f>IFERROR(__xludf.DUMMYFUNCTION("""COMPUTED_VALUE"""),1.0634707766439901)</f>
        <v>1.063470777</v>
      </c>
      <c r="AM13" s="57">
        <f>IFERROR(__xludf.DUMMYFUNCTION("""COMPUTED_VALUE"""),0.9679004932211884)</f>
        <v>0.9679004932</v>
      </c>
      <c r="AN13" s="57">
        <f>IFERROR(__xludf.DUMMYFUNCTION("""COMPUTED_VALUE"""),0.74009713198067)</f>
        <v>0.740097132</v>
      </c>
      <c r="AO13" s="57">
        <f>IFERROR(__xludf.DUMMYFUNCTION("""COMPUTED_VALUE"""),0.895119166611749)</f>
        <v>0.8951191666</v>
      </c>
      <c r="AP13" s="35">
        <f>IFERROR(__xludf.DUMMYFUNCTION("""COMPUTED_VALUE"""),1.1165570379592835)</f>
        <v>1.116557038</v>
      </c>
      <c r="AQ13" s="57">
        <f>IFERROR(__xludf.DUMMYFUNCTION("""COMPUTED_VALUE"""),0.8705432267542891)</f>
        <v>0.8705432268</v>
      </c>
      <c r="AR13" s="36" t="b">
        <f>IFERROR(__xludf.DUMMYFUNCTION("""COMPUTED_VALUE"""),TRUE)</f>
        <v>1</v>
      </c>
      <c r="AS13" s="57"/>
      <c r="AT13" s="37"/>
      <c r="AU13" s="30"/>
      <c r="AV13" s="30"/>
      <c r="AW13" s="30"/>
      <c r="AX13" s="30"/>
      <c r="AY13" s="30"/>
      <c r="AZ13" s="30"/>
    </row>
    <row r="14">
      <c r="A14" s="30" t="str">
        <f>IFERROR(__xludf.DUMMYFUNCTION("""COMPUTED_VALUE"""),"Amateur")</f>
        <v>Amateur</v>
      </c>
      <c r="B14" s="30" t="str">
        <f>IFERROR(__xludf.DUMMYFUNCTION("""COMPUTED_VALUE"""),"RSC007306")</f>
        <v>RSC007306</v>
      </c>
      <c r="C14" s="30" t="str">
        <f>IFERROR(__xludf.DUMMYFUNCTION("""COMPUTED_VALUE"""),"SAMCRO-8640")</f>
        <v>SAMCRO-8640</v>
      </c>
      <c r="D14" s="31"/>
      <c r="E14" s="31">
        <f>IFERROR(__xludf.DUMMYFUNCTION("""COMPUTED_VALUE"""),67.9832879589379)</f>
        <v>67.98328796</v>
      </c>
      <c r="F14" s="31">
        <f>IFERROR(__xludf.DUMMYFUNCTION("""COMPUTED_VALUE"""),4.237856651014692)</f>
        <v>4.237856651</v>
      </c>
      <c r="G14" s="31">
        <f>IFERROR(__xludf.DUMMYFUNCTION("""COMPUTED_VALUE"""),47.80902554614019)</f>
        <v>47.80902555</v>
      </c>
      <c r="H14" s="31">
        <f>IFERROR(__xludf.DUMMYFUNCTION("""COMPUTED_VALUE"""),-2.150159342160683)</f>
        <v>-2.150159342</v>
      </c>
      <c r="I14" s="54">
        <f>IFERROR(__xludf.DUMMYFUNCTION("""COMPUTED_VALUE"""),8.0)</f>
        <v>8</v>
      </c>
      <c r="J14" s="55">
        <f>IFERROR(__xludf.DUMMYFUNCTION("""COMPUTED_VALUE"""),5.0)</f>
        <v>5</v>
      </c>
      <c r="K14" s="54">
        <f>IFERROR(__xludf.DUMMYFUNCTION("""COMPUTED_VALUE"""),3.0)</f>
        <v>3</v>
      </c>
      <c r="L14" s="56">
        <f>IFERROR(__xludf.DUMMYFUNCTION("""COMPUTED_VALUE"""),0.625)</f>
        <v>0.625</v>
      </c>
      <c r="M14" s="56">
        <f>IFERROR(__xludf.DUMMYFUNCTION("""COMPUTED_VALUE"""),0.8125)</f>
        <v>0.8125</v>
      </c>
      <c r="N14" s="31">
        <f>IFERROR(__xludf.DUMMYFUNCTION("""COMPUTED_VALUE"""),333.5)</f>
        <v>333.5</v>
      </c>
      <c r="O14" s="57">
        <f>IFERROR(__xludf.DUMMYFUNCTION("""COMPUTED_VALUE"""),1.625)</f>
        <v>1.625</v>
      </c>
      <c r="P14" s="57">
        <f>IFERROR(__xludf.DUMMYFUNCTION("""COMPUTED_VALUE"""),0.25)</f>
        <v>0.25</v>
      </c>
      <c r="Q14" s="57">
        <f>IFERROR(__xludf.DUMMYFUNCTION("""COMPUTED_VALUE"""),0.5)</f>
        <v>0.5</v>
      </c>
      <c r="R14" s="57">
        <f>IFERROR(__xludf.DUMMYFUNCTION("""COMPUTED_VALUE"""),2.0)</f>
        <v>2</v>
      </c>
      <c r="S14" s="31">
        <f>IFERROR(__xludf.DUMMYFUNCTION("""COMPUTED_VALUE"""),297.8229166666667)</f>
        <v>297.8229167</v>
      </c>
      <c r="T14" s="57">
        <f>IFERROR(__xludf.DUMMYFUNCTION("""COMPUTED_VALUE"""),0.9062500000000001)</f>
        <v>0.90625</v>
      </c>
      <c r="U14" s="57">
        <f>IFERROR(__xludf.DUMMYFUNCTION("""COMPUTED_VALUE"""),0.53125)</f>
        <v>0.53125</v>
      </c>
      <c r="V14" s="57">
        <f>IFERROR(__xludf.DUMMYFUNCTION("""COMPUTED_VALUE"""),0.8229166666666666)</f>
        <v>0.8229166667</v>
      </c>
      <c r="W14" s="57">
        <f>IFERROR(__xludf.DUMMYFUNCTION("""COMPUTED_VALUE"""),1.9270833333333333)</f>
        <v>1.927083333</v>
      </c>
      <c r="X14" s="31">
        <f>IFERROR(__xludf.DUMMYFUNCTION("""COMPUTED_VALUE"""),295.5121166631634)</f>
        <v>295.5121167</v>
      </c>
      <c r="Y14" s="57">
        <f>IFERROR(__xludf.DUMMYFUNCTION("""COMPUTED_VALUE"""),0.7939767645185927)</f>
        <v>0.7939767645</v>
      </c>
      <c r="Z14" s="57">
        <f>IFERROR(__xludf.DUMMYFUNCTION("""COMPUTED_VALUE"""),0.49691710456962906)</f>
        <v>0.4969171046</v>
      </c>
      <c r="AA14" s="57">
        <f>IFERROR(__xludf.DUMMYFUNCTION("""COMPUTED_VALUE"""),0.8202053276851148)</f>
        <v>0.8202053277</v>
      </c>
      <c r="AB14" s="57">
        <f>IFERROR(__xludf.DUMMYFUNCTION("""COMPUTED_VALUE"""),2.0667949464222466)</f>
        <v>2.066794946</v>
      </c>
      <c r="AC14" s="31">
        <f>IFERROR(__xludf.DUMMYFUNCTION("""COMPUTED_VALUE"""),298.01212547922313)</f>
        <v>298.0121255</v>
      </c>
      <c r="AD14" s="57">
        <f>IFERROR(__xludf.DUMMYFUNCTION("""COMPUTED_VALUE"""),0.8208481673491608)</f>
        <v>0.8208481673</v>
      </c>
      <c r="AE14" s="57">
        <f>IFERROR(__xludf.DUMMYFUNCTION("""COMPUTED_VALUE"""),0.46570377356959863)</f>
        <v>0.4657037736</v>
      </c>
      <c r="AF14" s="57">
        <f>IFERROR(__xludf.DUMMYFUNCTION("""COMPUTED_VALUE"""),0.86922270650064)</f>
        <v>0.8692227065</v>
      </c>
      <c r="AG14" s="57">
        <f>IFERROR(__xludf.DUMMYFUNCTION("""COMPUTED_VALUE"""),1.9755183675561188)</f>
        <v>1.975518368</v>
      </c>
      <c r="AH14" s="57">
        <f>IFERROR(__xludf.DUMMYFUNCTION("""COMPUTED_VALUE"""),1.1190819818613422)</f>
        <v>1.119081982</v>
      </c>
      <c r="AI14" s="57">
        <f>IFERROR(__xludf.DUMMYFUNCTION("""COMPUTED_VALUE"""),1.979659655265796)</f>
        <v>1.979659655</v>
      </c>
      <c r="AJ14" s="57">
        <f>IFERROR(__xludf.DUMMYFUNCTION("""COMPUTED_VALUE"""),0.5368219331438119)</f>
        <v>0.5368219331</v>
      </c>
      <c r="AK14" s="57">
        <f>IFERROR(__xludf.DUMMYFUNCTION("""COMPUTED_VALUE"""),0.5752265745713487)</f>
        <v>0.5752265746</v>
      </c>
      <c r="AL14" s="57">
        <f>IFERROR(__xludf.DUMMYFUNCTION("""COMPUTED_VALUE"""),1.0123925106675506)</f>
        <v>1.012392511</v>
      </c>
      <c r="AM14" s="57">
        <f>IFERROR(__xludf.DUMMYFUNCTION("""COMPUTED_VALUE"""),1.0078196455346609)</f>
        <v>1.007819646</v>
      </c>
      <c r="AN14" s="57">
        <f>IFERROR(__xludf.DUMMYFUNCTION("""COMPUTED_VALUE"""),1.141406197887266)</f>
        <v>1.141406198</v>
      </c>
      <c r="AO14" s="57">
        <f>IFERROR(__xludf.DUMMYFUNCTION("""COMPUTED_VALUE"""),1.069091796427708)</f>
        <v>1.069091796</v>
      </c>
      <c r="AP14" s="35">
        <f>IFERROR(__xludf.DUMMYFUNCTION("""COMPUTED_VALUE"""),1.0033056832113052)</f>
        <v>1.003305683</v>
      </c>
      <c r="AQ14" s="57">
        <f>IFERROR(__xludf.DUMMYFUNCTION("""COMPUTED_VALUE"""),0.9324018024474257)</f>
        <v>0.9324018024</v>
      </c>
      <c r="AR14" s="36" t="b">
        <f>IFERROR(__xludf.DUMMYFUNCTION("""COMPUTED_VALUE"""),TRUE)</f>
        <v>1</v>
      </c>
      <c r="AS14" s="57"/>
      <c r="AT14" s="37"/>
      <c r="AU14" s="30"/>
      <c r="AV14" s="30"/>
      <c r="AW14" s="30"/>
      <c r="AX14" s="30"/>
      <c r="AY14" s="30"/>
      <c r="AZ14" s="30"/>
    </row>
    <row r="15">
      <c r="A15" s="30" t="str">
        <f>IFERROR(__xludf.DUMMYFUNCTION("""COMPUTED_VALUE"""),"Amateur")</f>
        <v>Amateur</v>
      </c>
      <c r="B15" s="30" t="str">
        <f>IFERROR(__xludf.DUMMYFUNCTION("""COMPUTED_VALUE"""),"RSC007955")</f>
        <v>RSC007955</v>
      </c>
      <c r="C15" s="30" t="str">
        <f>IFERROR(__xludf.DUMMYFUNCTION("""COMPUTED_VALUE"""),"JonathanVanDyk")</f>
        <v>JonathanVanDyk</v>
      </c>
      <c r="D15" s="31" t="str">
        <f>IFERROR(__xludf.DUMMYFUNCTION("""COMPUTED_VALUE"""),"Garlic Knots")</f>
        <v>Garlic Knots</v>
      </c>
      <c r="E15" s="31">
        <f>IFERROR(__xludf.DUMMYFUNCTION("""COMPUTED_VALUE"""),67.97042249049368)</f>
        <v>67.97042249</v>
      </c>
      <c r="F15" s="31">
        <f>IFERROR(__xludf.DUMMYFUNCTION("""COMPUTED_VALUE"""),4.235011425602192)</f>
        <v>4.235011426</v>
      </c>
      <c r="G15" s="31">
        <f>IFERROR(__xludf.DUMMYFUNCTION("""COMPUTED_VALUE"""),66.86181042003815)</f>
        <v>66.86181042</v>
      </c>
      <c r="H15" s="31">
        <f>IFERROR(__xludf.DUMMYFUNCTION("""COMPUTED_VALUE"""),3.9999118710791084)</f>
        <v>3.999911871</v>
      </c>
      <c r="I15" s="54">
        <f>IFERROR(__xludf.DUMMYFUNCTION("""COMPUTED_VALUE"""),36.0)</f>
        <v>36</v>
      </c>
      <c r="J15" s="55">
        <f>IFERROR(__xludf.DUMMYFUNCTION("""COMPUTED_VALUE"""),26.0)</f>
        <v>26</v>
      </c>
      <c r="K15" s="54">
        <f>IFERROR(__xludf.DUMMYFUNCTION("""COMPUTED_VALUE"""),10.0)</f>
        <v>10</v>
      </c>
      <c r="L15" s="56">
        <f>IFERROR(__xludf.DUMMYFUNCTION("""COMPUTED_VALUE"""),0.7222222222222222)</f>
        <v>0.7222222222</v>
      </c>
      <c r="M15" s="56">
        <f>IFERROR(__xludf.DUMMYFUNCTION("""COMPUTED_VALUE"""),0.4605263157894737)</f>
        <v>0.4605263158</v>
      </c>
      <c r="N15" s="31">
        <f>IFERROR(__xludf.DUMMYFUNCTION("""COMPUTED_VALUE"""),359.19444444444446)</f>
        <v>359.1944444</v>
      </c>
      <c r="O15" s="57">
        <f>IFERROR(__xludf.DUMMYFUNCTION("""COMPUTED_VALUE"""),0.9722222222222222)</f>
        <v>0.9722222222</v>
      </c>
      <c r="P15" s="57">
        <f>IFERROR(__xludf.DUMMYFUNCTION("""COMPUTED_VALUE"""),0.4166666666666667)</f>
        <v>0.4166666667</v>
      </c>
      <c r="Q15" s="57">
        <f>IFERROR(__xludf.DUMMYFUNCTION("""COMPUTED_VALUE"""),1.3333333333333333)</f>
        <v>1.333333333</v>
      </c>
      <c r="R15" s="57">
        <f>IFERROR(__xludf.DUMMYFUNCTION("""COMPUTED_VALUE"""),2.111111111111111)</f>
        <v>2.111111111</v>
      </c>
      <c r="S15" s="31">
        <f>IFERROR(__xludf.DUMMYFUNCTION("""COMPUTED_VALUE"""),252.38888888888889)</f>
        <v>252.3888889</v>
      </c>
      <c r="T15" s="57">
        <f>IFERROR(__xludf.DUMMYFUNCTION("""COMPUTED_VALUE"""),0.5277777777777777)</f>
        <v>0.5277777778</v>
      </c>
      <c r="U15" s="57">
        <f>IFERROR(__xludf.DUMMYFUNCTION("""COMPUTED_VALUE"""),0.29629629629629634)</f>
        <v>0.2962962963</v>
      </c>
      <c r="V15" s="57">
        <f>IFERROR(__xludf.DUMMYFUNCTION("""COMPUTED_VALUE"""),0.6666666666666669)</f>
        <v>0.6666666667</v>
      </c>
      <c r="W15" s="57">
        <f>IFERROR(__xludf.DUMMYFUNCTION("""COMPUTED_VALUE"""),2.1018518518518525)</f>
        <v>2.101851852</v>
      </c>
      <c r="X15" s="31">
        <f>IFERROR(__xludf.DUMMYFUNCTION("""COMPUTED_VALUE"""),288.6990200172403)</f>
        <v>288.69902</v>
      </c>
      <c r="Y15" s="57">
        <f>IFERROR(__xludf.DUMMYFUNCTION("""COMPUTED_VALUE"""),0.7318517032665457)</f>
        <v>0.7318517033</v>
      </c>
      <c r="Z15" s="57">
        <f>IFERROR(__xludf.DUMMYFUNCTION("""COMPUTED_VALUE"""),0.42749468752616404)</f>
        <v>0.4274946875</v>
      </c>
      <c r="AA15" s="57">
        <f>IFERROR(__xludf.DUMMYFUNCTION("""COMPUTED_VALUE"""),0.8309324945161509)</f>
        <v>0.8309324945</v>
      </c>
      <c r="AB15" s="57">
        <f>IFERROR(__xludf.DUMMYFUNCTION("""COMPUTED_VALUE"""),2.0736409171039045)</f>
        <v>2.073640917</v>
      </c>
      <c r="AC15" s="31">
        <f>IFERROR(__xludf.DUMMYFUNCTION("""COMPUTED_VALUE"""),302.138339389149)</f>
        <v>302.1383394</v>
      </c>
      <c r="AD15" s="57">
        <f>IFERROR(__xludf.DUMMYFUNCTION("""COMPUTED_VALUE"""),0.8095603119096649)</f>
        <v>0.8095603119</v>
      </c>
      <c r="AE15" s="57">
        <f>IFERROR(__xludf.DUMMYFUNCTION("""COMPUTED_VALUE"""),0.460410855105147)</f>
        <v>0.4604108551</v>
      </c>
      <c r="AF15" s="57">
        <f>IFERROR(__xludf.DUMMYFUNCTION("""COMPUTED_VALUE"""),0.9250316101106559)</f>
        <v>0.9250316101</v>
      </c>
      <c r="AG15" s="57">
        <f>IFERROR(__xludf.DUMMYFUNCTION("""COMPUTED_VALUE"""),2.0380019543666226)</f>
        <v>2.038001954</v>
      </c>
      <c r="AH15" s="57">
        <f>IFERROR(__xludf.DUMMYFUNCTION("""COMPUTED_VALUE"""),1.1888409963814892)</f>
        <v>1.188840996</v>
      </c>
      <c r="AI15" s="57">
        <f>IFERROR(__xludf.DUMMYFUNCTION("""COMPUTED_VALUE"""),1.2009262409725292)</f>
        <v>1.200926241</v>
      </c>
      <c r="AJ15" s="57">
        <f>IFERROR(__xludf.DUMMYFUNCTION("""COMPUTED_VALUE"""),0.9049887986926586)</f>
        <v>0.9049887987</v>
      </c>
      <c r="AK15" s="57">
        <f>IFERROR(__xludf.DUMMYFUNCTION("""COMPUTED_VALUE"""),1.4413921846128421)</f>
        <v>1.441392185</v>
      </c>
      <c r="AL15" s="57">
        <f>IFERROR(__xludf.DUMMYFUNCTION("""COMPUTED_VALUE"""),1.035872957132276)</f>
        <v>1.035872957</v>
      </c>
      <c r="AM15" s="57">
        <f>IFERROR(__xludf.DUMMYFUNCTION("""COMPUTED_VALUE"""),0.8742284226452065)</f>
        <v>0.8742284226</v>
      </c>
      <c r="AN15" s="57">
        <f>IFERROR(__xludf.DUMMYFUNCTION("""COMPUTED_VALUE"""),0.7211539925672035)</f>
        <v>0.7211539926</v>
      </c>
      <c r="AO15" s="57">
        <f>IFERROR(__xludf.DUMMYFUNCTION("""COMPUTED_VALUE"""),0.6930993646047637)</f>
        <v>0.6930993646</v>
      </c>
      <c r="AP15" s="35">
        <f>IFERROR(__xludf.DUMMYFUNCTION("""COMPUTED_VALUE"""),0.8023114646092454)</f>
        <v>0.8023114646</v>
      </c>
      <c r="AQ15" s="57">
        <f>IFERROR(__xludf.DUMMYFUNCTION("""COMPUTED_VALUE"""),1.0136045419027264)</f>
        <v>1.013604542</v>
      </c>
      <c r="AR15" s="36" t="b">
        <f>IFERROR(__xludf.DUMMYFUNCTION("""COMPUTED_VALUE"""),TRUE)</f>
        <v>1</v>
      </c>
      <c r="AS15" s="57"/>
      <c r="AT15" s="37"/>
      <c r="AU15" s="30"/>
      <c r="AV15" s="30"/>
      <c r="AW15" s="30"/>
      <c r="AX15" s="30"/>
      <c r="AY15" s="30"/>
      <c r="AZ15" s="30"/>
    </row>
    <row r="16">
      <c r="A16" s="30" t="str">
        <f>IFERROR(__xludf.DUMMYFUNCTION("""COMPUTED_VALUE"""),"Amateur")</f>
        <v>Amateur</v>
      </c>
      <c r="B16" s="30" t="str">
        <f>IFERROR(__xludf.DUMMYFUNCTION("""COMPUTED_VALUE"""),"RSC007808")</f>
        <v>RSC007808</v>
      </c>
      <c r="C16" s="30" t="str">
        <f>IFERROR(__xludf.DUMMYFUNCTION("""COMPUTED_VALUE"""),"Navybrat44")</f>
        <v>Navybrat44</v>
      </c>
      <c r="D16" s="31" t="str">
        <f>IFERROR(__xludf.DUMMYFUNCTION("""COMPUTED_VALUE"""),"Amaranth")</f>
        <v>Amaranth</v>
      </c>
      <c r="E16" s="31">
        <f>IFERROR(__xludf.DUMMYFUNCTION("""COMPUTED_VALUE"""),67.84772433711512)</f>
        <v>67.84772434</v>
      </c>
      <c r="F16" s="31">
        <f>IFERROR(__xludf.DUMMYFUNCTION("""COMPUTED_VALUE"""),4.208015077239624)</f>
        <v>4.208015077</v>
      </c>
      <c r="G16" s="31">
        <f>IFERROR(__xludf.DUMMYFUNCTION("""COMPUTED_VALUE"""),59.715153918063706)</f>
        <v>59.71515392</v>
      </c>
      <c r="H16" s="31">
        <f>IFERROR(__xludf.DUMMYFUNCTION("""COMPUTED_VALUE"""),2.867106002668641)</f>
        <v>2.867106003</v>
      </c>
      <c r="I16" s="54">
        <f>IFERROR(__xludf.DUMMYFUNCTION("""COMPUTED_VALUE"""),22.0)</f>
        <v>22</v>
      </c>
      <c r="J16" s="55">
        <f>IFERROR(__xludf.DUMMYFUNCTION("""COMPUTED_VALUE"""),11.0)</f>
        <v>11</v>
      </c>
      <c r="K16" s="54">
        <f>IFERROR(__xludf.DUMMYFUNCTION("""COMPUTED_VALUE"""),11.0)</f>
        <v>11</v>
      </c>
      <c r="L16" s="56">
        <f>IFERROR(__xludf.DUMMYFUNCTION("""COMPUTED_VALUE"""),0.5)</f>
        <v>0.5</v>
      </c>
      <c r="M16" s="56">
        <f>IFERROR(__xludf.DUMMYFUNCTION("""COMPUTED_VALUE"""),0.33333333333333337)</f>
        <v>0.3333333333</v>
      </c>
      <c r="N16" s="31">
        <f>IFERROR(__xludf.DUMMYFUNCTION("""COMPUTED_VALUE"""),342.77272727272725)</f>
        <v>342.7727273</v>
      </c>
      <c r="O16" s="57">
        <f>IFERROR(__xludf.DUMMYFUNCTION("""COMPUTED_VALUE"""),0.8636363636363636)</f>
        <v>0.8636363636</v>
      </c>
      <c r="P16" s="57">
        <f>IFERROR(__xludf.DUMMYFUNCTION("""COMPUTED_VALUE"""),0.4090909090909091)</f>
        <v>0.4090909091</v>
      </c>
      <c r="Q16" s="57">
        <f>IFERROR(__xludf.DUMMYFUNCTION("""COMPUTED_VALUE"""),1.1818181818181819)</f>
        <v>1.181818182</v>
      </c>
      <c r="R16" s="57">
        <f>IFERROR(__xludf.DUMMYFUNCTION("""COMPUTED_VALUE"""),2.590909090909091)</f>
        <v>2.590909091</v>
      </c>
      <c r="S16" s="31">
        <f>IFERROR(__xludf.DUMMYFUNCTION("""COMPUTED_VALUE"""),305.08333333333337)</f>
        <v>305.0833333</v>
      </c>
      <c r="T16" s="57">
        <f>IFERROR(__xludf.DUMMYFUNCTION("""COMPUTED_VALUE"""),0.6865079365079366)</f>
        <v>0.6865079365</v>
      </c>
      <c r="U16" s="57">
        <f>IFERROR(__xludf.DUMMYFUNCTION("""COMPUTED_VALUE"""),0.4246031746031745)</f>
        <v>0.4246031746</v>
      </c>
      <c r="V16" s="57">
        <f>IFERROR(__xludf.DUMMYFUNCTION("""COMPUTED_VALUE"""),1.1507936507936511)</f>
        <v>1.150793651</v>
      </c>
      <c r="W16" s="57">
        <f>IFERROR(__xludf.DUMMYFUNCTION("""COMPUTED_VALUE"""),2.091269841269841)</f>
        <v>2.091269841</v>
      </c>
      <c r="X16" s="31">
        <f>IFERROR(__xludf.DUMMYFUNCTION("""COMPUTED_VALUE"""),303.91319764464924)</f>
        <v>303.9131976</v>
      </c>
      <c r="Y16" s="57">
        <f>IFERROR(__xludf.DUMMYFUNCTION("""COMPUTED_VALUE"""),0.8298259088581671)</f>
        <v>0.8298259089</v>
      </c>
      <c r="Z16" s="57">
        <f>IFERROR(__xludf.DUMMYFUNCTION("""COMPUTED_VALUE"""),0.46393033916075377)</f>
        <v>0.4639303392</v>
      </c>
      <c r="AA16" s="57">
        <f>IFERROR(__xludf.DUMMYFUNCTION("""COMPUTED_VALUE"""),0.9635068961873878)</f>
        <v>0.9635068962</v>
      </c>
      <c r="AB16" s="57">
        <f>IFERROR(__xludf.DUMMYFUNCTION("""COMPUTED_VALUE"""),2.069471671583807)</f>
        <v>2.069471672</v>
      </c>
      <c r="AC16" s="31">
        <f>IFERROR(__xludf.DUMMYFUNCTION("""COMPUTED_VALUE"""),279.4756687581445)</f>
        <v>279.4756688</v>
      </c>
      <c r="AD16" s="57">
        <f>IFERROR(__xludf.DUMMYFUNCTION("""COMPUTED_VALUE"""),0.6845724390911282)</f>
        <v>0.6845724391</v>
      </c>
      <c r="AE16" s="57">
        <f>IFERROR(__xludf.DUMMYFUNCTION("""COMPUTED_VALUE"""),0.37723452184537676)</f>
        <v>0.3772345218</v>
      </c>
      <c r="AF16" s="57">
        <f>IFERROR(__xludf.DUMMYFUNCTION("""COMPUTED_VALUE"""),0.8218591090358884)</f>
        <v>0.821859109</v>
      </c>
      <c r="AG16" s="57">
        <f>IFERROR(__xludf.DUMMYFUNCTION("""COMPUTED_VALUE"""),2.035068657092467)</f>
        <v>2.035068657</v>
      </c>
      <c r="AH16" s="57">
        <f>IFERROR(__xludf.DUMMYFUNCTION("""COMPUTED_VALUE"""),1.2264850417778566)</f>
        <v>1.226485042</v>
      </c>
      <c r="AI16" s="57">
        <f>IFERROR(__xludf.DUMMYFUNCTION("""COMPUTED_VALUE"""),1.2615704552508271)</f>
        <v>1.261570455</v>
      </c>
      <c r="AJ16" s="57">
        <f>IFERROR(__xludf.DUMMYFUNCTION("""COMPUTED_VALUE"""),1.0844471685403962)</f>
        <v>1.084447169</v>
      </c>
      <c r="AK16" s="57">
        <f>IFERROR(__xludf.DUMMYFUNCTION("""COMPUTED_VALUE"""),1.437981484690918)</f>
        <v>1.437981485</v>
      </c>
      <c r="AL16" s="57">
        <f>IFERROR(__xludf.DUMMYFUNCTION("""COMPUTED_VALUE"""),1.273131047387247)</f>
        <v>1.273131047</v>
      </c>
      <c r="AM16" s="57">
        <f>IFERROR(__xludf.DUMMYFUNCTION("""COMPUTED_VALUE"""),1.003850229926679)</f>
        <v>1.00385023</v>
      </c>
      <c r="AN16" s="57">
        <f>IFERROR(__xludf.DUMMYFUNCTION("""COMPUTED_VALUE"""),0.8272915188350353)</f>
        <v>0.8272915188</v>
      </c>
      <c r="AO16" s="57">
        <f>IFERROR(__xludf.DUMMYFUNCTION("""COMPUTED_VALUE"""),0.9152304532858925)</f>
        <v>0.9152304533</v>
      </c>
      <c r="AP16" s="35">
        <f>IFERROR(__xludf.DUMMYFUNCTION("""COMPUTED_VALUE"""),1.1943802948866895)</f>
        <v>1.194380295</v>
      </c>
      <c r="AQ16" s="57">
        <f>IFERROR(__xludf.DUMMYFUNCTION("""COMPUTED_VALUE"""),1.0105332051582767)</f>
        <v>1.010533205</v>
      </c>
      <c r="AR16" s="36" t="b">
        <f>IFERROR(__xludf.DUMMYFUNCTION("""COMPUTED_VALUE"""),TRUE)</f>
        <v>1</v>
      </c>
      <c r="AS16" s="57"/>
      <c r="AT16" s="37"/>
      <c r="AU16" s="30"/>
      <c r="AV16" s="30"/>
      <c r="AW16" s="30"/>
      <c r="AX16" s="30"/>
      <c r="AY16" s="30"/>
      <c r="AZ16" s="30"/>
    </row>
    <row r="17">
      <c r="A17" s="30" t="str">
        <f>IFERROR(__xludf.DUMMYFUNCTION("""COMPUTED_VALUE"""),"Amateur")</f>
        <v>Amateur</v>
      </c>
      <c r="B17" s="30" t="str">
        <f>IFERROR(__xludf.DUMMYFUNCTION("""COMPUTED_VALUE"""),"RSC007581")</f>
        <v>RSC007581</v>
      </c>
      <c r="C17" s="30" t="str">
        <f>IFERROR(__xludf.DUMMYFUNCTION("""COMPUTED_VALUE"""),"Wrecklessjay02")</f>
        <v>Wrecklessjay02</v>
      </c>
      <c r="D17" s="31" t="str">
        <f>IFERROR(__xludf.DUMMYFUNCTION("""COMPUTED_VALUE"""),"Hyenas")</f>
        <v>Hyenas</v>
      </c>
      <c r="E17" s="31">
        <f>IFERROR(__xludf.DUMMYFUNCTION("""COMPUTED_VALUE"""),67.8472112567429)</f>
        <v>67.84721126</v>
      </c>
      <c r="F17" s="31">
        <f>IFERROR(__xludf.DUMMYFUNCTION("""COMPUTED_VALUE"""),4.207902712759496)</f>
        <v>4.207902713</v>
      </c>
      <c r="G17" s="31">
        <f>IFERROR(__xludf.DUMMYFUNCTION("""COMPUTED_VALUE"""),58.421466392417514)</f>
        <v>58.42146639</v>
      </c>
      <c r="H17" s="31">
        <f>IFERROR(__xludf.DUMMYFUNCTION("""COMPUTED_VALUE"""),2.716566540153609)</f>
        <v>2.71656654</v>
      </c>
      <c r="I17" s="54">
        <f>IFERROR(__xludf.DUMMYFUNCTION("""COMPUTED_VALUE"""),36.0)</f>
        <v>36</v>
      </c>
      <c r="J17" s="55">
        <f>IFERROR(__xludf.DUMMYFUNCTION("""COMPUTED_VALUE"""),26.0)</f>
        <v>26</v>
      </c>
      <c r="K17" s="54">
        <f>IFERROR(__xludf.DUMMYFUNCTION("""COMPUTED_VALUE"""),10.0)</f>
        <v>10</v>
      </c>
      <c r="L17" s="56">
        <f>IFERROR(__xludf.DUMMYFUNCTION("""COMPUTED_VALUE"""),0.7222222222222222)</f>
        <v>0.7222222222</v>
      </c>
      <c r="M17" s="56">
        <f>IFERROR(__xludf.DUMMYFUNCTION("""COMPUTED_VALUE"""),0.3875)</f>
        <v>0.3875</v>
      </c>
      <c r="N17" s="31">
        <f>IFERROR(__xludf.DUMMYFUNCTION("""COMPUTED_VALUE"""),316.22222222222223)</f>
        <v>316.2222222</v>
      </c>
      <c r="O17" s="57">
        <f>IFERROR(__xludf.DUMMYFUNCTION("""COMPUTED_VALUE"""),0.8611111111111112)</f>
        <v>0.8611111111</v>
      </c>
      <c r="P17" s="57">
        <f>IFERROR(__xludf.DUMMYFUNCTION("""COMPUTED_VALUE"""),0.5555555555555556)</f>
        <v>0.5555555556</v>
      </c>
      <c r="Q17" s="57">
        <f>IFERROR(__xludf.DUMMYFUNCTION("""COMPUTED_VALUE"""),0.9166666666666666)</f>
        <v>0.9166666667</v>
      </c>
      <c r="R17" s="57">
        <f>IFERROR(__xludf.DUMMYFUNCTION("""COMPUTED_VALUE"""),2.2222222222222223)</f>
        <v>2.222222222</v>
      </c>
      <c r="S17" s="31">
        <f>IFERROR(__xludf.DUMMYFUNCTION("""COMPUTED_VALUE"""),265.3148148148149)</f>
        <v>265.3148148</v>
      </c>
      <c r="T17" s="57">
        <f>IFERROR(__xludf.DUMMYFUNCTION("""COMPUTED_VALUE"""),0.5648148148148148)</f>
        <v>0.5648148148</v>
      </c>
      <c r="U17" s="57">
        <f>IFERROR(__xludf.DUMMYFUNCTION("""COMPUTED_VALUE"""),0.3055555555555554)</f>
        <v>0.3055555556</v>
      </c>
      <c r="V17" s="57">
        <f>IFERROR(__xludf.DUMMYFUNCTION("""COMPUTED_VALUE"""),0.9907407407407409)</f>
        <v>0.9907407407</v>
      </c>
      <c r="W17" s="57">
        <f>IFERROR(__xludf.DUMMYFUNCTION("""COMPUTED_VALUE"""),1.768518518518519)</f>
        <v>1.768518519</v>
      </c>
      <c r="X17" s="31">
        <f>IFERROR(__xludf.DUMMYFUNCTION("""COMPUTED_VALUE"""),291.04111656516636)</f>
        <v>291.0411166</v>
      </c>
      <c r="Y17" s="57">
        <f>IFERROR(__xludf.DUMMYFUNCTION("""COMPUTED_VALUE"""),0.7267620368694259)</f>
        <v>0.7267620369</v>
      </c>
      <c r="Z17" s="57">
        <f>IFERROR(__xludf.DUMMYFUNCTION("""COMPUTED_VALUE"""),0.4322207402136864)</f>
        <v>0.4322207402</v>
      </c>
      <c r="AA17" s="57">
        <f>IFERROR(__xludf.DUMMYFUNCTION("""COMPUTED_VALUE"""),0.8620650146693332)</f>
        <v>0.8620650147</v>
      </c>
      <c r="AB17" s="57">
        <f>IFERROR(__xludf.DUMMYFUNCTION("""COMPUTED_VALUE"""),2.053226311533542)</f>
        <v>2.053226312</v>
      </c>
      <c r="AC17" s="31">
        <f>IFERROR(__xludf.DUMMYFUNCTION("""COMPUTED_VALUE"""),302.34388412678)</f>
        <v>302.3438841</v>
      </c>
      <c r="AD17" s="57">
        <f>IFERROR(__xludf.DUMMYFUNCTION("""COMPUTED_VALUE"""),0.8201349640651112)</f>
        <v>0.8201349641</v>
      </c>
      <c r="AE17" s="57">
        <f>IFERROR(__xludf.DUMMYFUNCTION("""COMPUTED_VALUE"""),0.46787519689968604)</f>
        <v>0.4678751969</v>
      </c>
      <c r="AF17" s="57">
        <f>IFERROR(__xludf.DUMMYFUNCTION("""COMPUTED_VALUE"""),0.8827312623462248)</f>
        <v>0.8827312623</v>
      </c>
      <c r="AG17" s="57">
        <f>IFERROR(__xludf.DUMMYFUNCTION("""COMPUTED_VALUE"""),2.0887933568941346)</f>
        <v>2.088793357</v>
      </c>
      <c r="AH17" s="57">
        <f>IFERROR(__xludf.DUMMYFUNCTION("""COMPUTED_VALUE"""),1.0459024932339056)</f>
        <v>1.045902493</v>
      </c>
      <c r="AI17" s="57">
        <f>IFERROR(__xludf.DUMMYFUNCTION("""COMPUTED_VALUE"""),1.0499626876567925)</f>
        <v>1.049962688</v>
      </c>
      <c r="AJ17" s="57">
        <f>IFERROR(__xludf.DUMMYFUNCTION("""COMPUTED_VALUE"""),1.18740116859554)</f>
        <v>1.187401169</v>
      </c>
      <c r="AK17" s="57">
        <f>IFERROR(__xludf.DUMMYFUNCTION("""COMPUTED_VALUE"""),1.0384436416472262)</f>
        <v>1.038443642</v>
      </c>
      <c r="AL17" s="57">
        <f>IFERROR(__xludf.DUMMYFUNCTION("""COMPUTED_VALUE"""),1.0638784420142382)</f>
        <v>1.063878442</v>
      </c>
      <c r="AM17" s="57">
        <f>IFERROR(__xludf.DUMMYFUNCTION("""COMPUTED_VALUE"""),0.9116059543271057)</f>
        <v>0.9116059543</v>
      </c>
      <c r="AN17" s="57">
        <f>IFERROR(__xludf.DUMMYFUNCTION("""COMPUTED_VALUE"""),0.7771660958623965)</f>
        <v>0.7771660959</v>
      </c>
      <c r="AO17" s="57">
        <f>IFERROR(__xludf.DUMMYFUNCTION("""COMPUTED_VALUE"""),0.7069432980113154)</f>
        <v>0.706943298</v>
      </c>
      <c r="AP17" s="35">
        <f>IFERROR(__xludf.DUMMYFUNCTION("""COMPUTED_VALUE"""),1.1492645263197052)</f>
        <v>1.149264526</v>
      </c>
      <c r="AQ17" s="57">
        <f>IFERROR(__xludf.DUMMYFUNCTION("""COMPUTED_VALUE"""),0.8613363800104546)</f>
        <v>0.86133638</v>
      </c>
      <c r="AR17" s="36" t="b">
        <f>IFERROR(__xludf.DUMMYFUNCTION("""COMPUTED_VALUE"""),TRUE)</f>
        <v>1</v>
      </c>
      <c r="AS17" s="57"/>
      <c r="AT17" s="37"/>
      <c r="AU17" s="30"/>
      <c r="AV17" s="30"/>
      <c r="AW17" s="30"/>
      <c r="AX17" s="30"/>
      <c r="AY17" s="30"/>
      <c r="AZ17" s="30"/>
    </row>
    <row r="18">
      <c r="A18" s="30" t="str">
        <f>IFERROR(__xludf.DUMMYFUNCTION("""COMPUTED_VALUE"""),"Amateur")</f>
        <v>Amateur</v>
      </c>
      <c r="B18" s="30" t="str">
        <f>IFERROR(__xludf.DUMMYFUNCTION("""COMPUTED_VALUE"""),"RSC007468")</f>
        <v>RSC007468</v>
      </c>
      <c r="C18" s="30" t="str">
        <f>IFERROR(__xludf.DUMMYFUNCTION("""COMPUTED_VALUE"""),"im_link42")</f>
        <v>im_link42</v>
      </c>
      <c r="D18" s="31" t="str">
        <f>IFERROR(__xludf.DUMMYFUNCTION("""COMPUTED_VALUE"""),"Amaranth")</f>
        <v>Amaranth</v>
      </c>
      <c r="E18" s="31">
        <f>IFERROR(__xludf.DUMMYFUNCTION("""COMPUTED_VALUE"""),64.63378279597717)</f>
        <v>64.6337828</v>
      </c>
      <c r="F18" s="31">
        <f>IFERROR(__xludf.DUMMYFUNCTION("""COMPUTED_VALUE"""),3.5822295088102662)</f>
        <v>3.582229509</v>
      </c>
      <c r="G18" s="31">
        <f>IFERROR(__xludf.DUMMYFUNCTION("""COMPUTED_VALUE"""),56.97834113786346)</f>
        <v>56.97834114</v>
      </c>
      <c r="H18" s="31">
        <f>IFERROR(__xludf.DUMMYFUNCTION("""COMPUTED_VALUE"""),2.5636349850379503)</f>
        <v>2.563634985</v>
      </c>
      <c r="I18" s="54">
        <f>IFERROR(__xludf.DUMMYFUNCTION("""COMPUTED_VALUE"""),34.0)</f>
        <v>34</v>
      </c>
      <c r="J18" s="55">
        <f>IFERROR(__xludf.DUMMYFUNCTION("""COMPUTED_VALUE"""),19.0)</f>
        <v>19</v>
      </c>
      <c r="K18" s="54">
        <f>IFERROR(__xludf.DUMMYFUNCTION("""COMPUTED_VALUE"""),15.0)</f>
        <v>15</v>
      </c>
      <c r="L18" s="56">
        <f>IFERROR(__xludf.DUMMYFUNCTION("""COMPUTED_VALUE"""),0.5588235294117647)</f>
        <v>0.5588235294</v>
      </c>
      <c r="M18" s="56">
        <f>IFERROR(__xludf.DUMMYFUNCTION("""COMPUTED_VALUE"""),0.38271604938271603)</f>
        <v>0.3827160494</v>
      </c>
      <c r="N18" s="31">
        <f>IFERROR(__xludf.DUMMYFUNCTION("""COMPUTED_VALUE"""),312.4117647058824)</f>
        <v>312.4117647</v>
      </c>
      <c r="O18" s="57">
        <f>IFERROR(__xludf.DUMMYFUNCTION("""COMPUTED_VALUE"""),0.9117647058823529)</f>
        <v>0.9117647059</v>
      </c>
      <c r="P18" s="57">
        <f>IFERROR(__xludf.DUMMYFUNCTION("""COMPUTED_VALUE"""),0.5)</f>
        <v>0.5</v>
      </c>
      <c r="Q18" s="57">
        <f>IFERROR(__xludf.DUMMYFUNCTION("""COMPUTED_VALUE"""),0.7941176470588235)</f>
        <v>0.7941176471</v>
      </c>
      <c r="R18" s="57">
        <f>IFERROR(__xludf.DUMMYFUNCTION("""COMPUTED_VALUE"""),2.3823529411764706)</f>
        <v>2.382352941</v>
      </c>
      <c r="S18" s="31">
        <f>IFERROR(__xludf.DUMMYFUNCTION("""COMPUTED_VALUE"""),289.6010101010101)</f>
        <v>289.6010101</v>
      </c>
      <c r="T18" s="57">
        <f>IFERROR(__xludf.DUMMYFUNCTION("""COMPUTED_VALUE"""),0.6590909090909088)</f>
        <v>0.6590909091</v>
      </c>
      <c r="U18" s="57">
        <f>IFERROR(__xludf.DUMMYFUNCTION("""COMPUTED_VALUE"""),0.3914141414141414)</f>
        <v>0.3914141414</v>
      </c>
      <c r="V18" s="57">
        <f>IFERROR(__xludf.DUMMYFUNCTION("""COMPUTED_VALUE"""),0.9898989898989901)</f>
        <v>0.9898989899</v>
      </c>
      <c r="W18" s="57">
        <f>IFERROR(__xludf.DUMMYFUNCTION("""COMPUTED_VALUE"""),1.9873737373737372)</f>
        <v>1.987373737</v>
      </c>
      <c r="X18" s="31">
        <f>IFERROR(__xludf.DUMMYFUNCTION("""COMPUTED_VALUE"""),288.0948785448202)</f>
        <v>288.0948785</v>
      </c>
      <c r="Y18" s="57">
        <f>IFERROR(__xludf.DUMMYFUNCTION("""COMPUTED_VALUE"""),0.7799707398980013)</f>
        <v>0.7799707399</v>
      </c>
      <c r="Z18" s="57">
        <f>IFERROR(__xludf.DUMMYFUNCTION("""COMPUTED_VALUE"""),0.4305672046260568)</f>
        <v>0.4305672046</v>
      </c>
      <c r="AA18" s="57">
        <f>IFERROR(__xludf.DUMMYFUNCTION("""COMPUTED_VALUE"""),0.8684771780193263)</f>
        <v>0.868477178</v>
      </c>
      <c r="AB18" s="57">
        <f>IFERROR(__xludf.DUMMYFUNCTION("""COMPUTED_VALUE"""),1.97997314344836)</f>
        <v>1.979973143</v>
      </c>
      <c r="AC18" s="31">
        <f>IFERROR(__xludf.DUMMYFUNCTION("""COMPUTED_VALUE"""),296.2118225074737)</f>
        <v>296.2118225</v>
      </c>
      <c r="AD18" s="57">
        <f>IFERROR(__xludf.DUMMYFUNCTION("""COMPUTED_VALUE"""),0.8041453863620024)</f>
        <v>0.8041453864</v>
      </c>
      <c r="AE18" s="57">
        <f>IFERROR(__xludf.DUMMYFUNCTION("""COMPUTED_VALUE"""),0.47081642062053375)</f>
        <v>0.4708164206</v>
      </c>
      <c r="AF18" s="57">
        <f>IFERROR(__xludf.DUMMYFUNCTION("""COMPUTED_VALUE"""),0.8271040022230773)</f>
        <v>0.8271040022</v>
      </c>
      <c r="AG18" s="57">
        <f>IFERROR(__xludf.DUMMYFUNCTION("""COMPUTED_VALUE"""),2.0979564132461705)</f>
        <v>2.097956413</v>
      </c>
      <c r="AH18" s="57">
        <f>IFERROR(__xludf.DUMMYFUNCTION("""COMPUTED_VALUE"""),1.0546903970991905)</f>
        <v>1.054690397</v>
      </c>
      <c r="AI18" s="57">
        <f>IFERROR(__xludf.DUMMYFUNCTION("""COMPUTED_VALUE"""),1.133830674583891)</f>
        <v>1.133830675</v>
      </c>
      <c r="AJ18" s="57">
        <f>IFERROR(__xludf.DUMMYFUNCTION("""COMPUTED_VALUE"""),1.0619850500137664)</f>
        <v>1.06198505</v>
      </c>
      <c r="AK18" s="57">
        <f>IFERROR(__xludf.DUMMYFUNCTION("""COMPUTED_VALUE"""),0.9601182498505706)</f>
        <v>0.9601182499</v>
      </c>
      <c r="AL18" s="57">
        <f>IFERROR(__xludf.DUMMYFUNCTION("""COMPUTED_VALUE"""),1.1355588353192967)</f>
        <v>1.135558835</v>
      </c>
      <c r="AM18" s="57">
        <f>IFERROR(__xludf.DUMMYFUNCTION("""COMPUTED_VALUE"""),1.0052279011824072)</f>
        <v>1.005227901</v>
      </c>
      <c r="AN18" s="57">
        <f>IFERROR(__xludf.DUMMYFUNCTION("""COMPUTED_VALUE"""),0.8450200441840932)</f>
        <v>0.8450200442</v>
      </c>
      <c r="AO18" s="57">
        <f>IFERROR(__xludf.DUMMYFUNCTION("""COMPUTED_VALUE"""),0.9090663134784744)</f>
        <v>0.9090663135</v>
      </c>
      <c r="AP18" s="35">
        <f>IFERROR(__xludf.DUMMYFUNCTION("""COMPUTED_VALUE"""),1.1398100202892858)</f>
        <v>1.13981002</v>
      </c>
      <c r="AQ18" s="57">
        <f>IFERROR(__xludf.DUMMYFUNCTION("""COMPUTED_VALUE"""),1.0037377243978614)</f>
        <v>1.003737724</v>
      </c>
      <c r="AR18" s="36" t="b">
        <f>IFERROR(__xludf.DUMMYFUNCTION("""COMPUTED_VALUE"""),TRUE)</f>
        <v>1</v>
      </c>
      <c r="AS18" s="57"/>
      <c r="AT18" s="37"/>
      <c r="AU18" s="30"/>
      <c r="AV18" s="30"/>
      <c r="AW18" s="30"/>
      <c r="AX18" s="30"/>
      <c r="AY18" s="30"/>
      <c r="AZ18" s="30"/>
    </row>
    <row r="19">
      <c r="A19" s="30" t="str">
        <f>IFERROR(__xludf.DUMMYFUNCTION("""COMPUTED_VALUE"""),"Amateur")</f>
        <v>Amateur</v>
      </c>
      <c r="B19" s="30" t="str">
        <f>IFERROR(__xludf.DUMMYFUNCTION("""COMPUTED_VALUE"""),"RSC007216")</f>
        <v>RSC007216</v>
      </c>
      <c r="C19" s="30" t="str">
        <f>IFERROR(__xludf.DUMMYFUNCTION("""COMPUTED_VALUE"""),"ASAPxLEG")</f>
        <v>ASAPxLEG</v>
      </c>
      <c r="D19" s="31" t="str">
        <f>IFERROR(__xludf.DUMMYFUNCTION("""COMPUTED_VALUE"""),"Aeon Ale")</f>
        <v>Aeon Ale</v>
      </c>
      <c r="E19" s="31">
        <f>IFERROR(__xludf.DUMMYFUNCTION("""COMPUTED_VALUE"""),61.77524330776541)</f>
        <v>61.77524331</v>
      </c>
      <c r="F19" s="31">
        <f>IFERROR(__xludf.DUMMYFUNCTION("""COMPUTED_VALUE"""),3.136596659799069)</f>
        <v>3.13659666</v>
      </c>
      <c r="G19" s="31">
        <f>IFERROR(__xludf.DUMMYFUNCTION("""COMPUTED_VALUE"""),60.25629291046699)</f>
        <v>60.25629291</v>
      </c>
      <c r="H19" s="31">
        <f>IFERROR(__xludf.DUMMYFUNCTION("""COMPUTED_VALUE"""),2.9341805765832776)</f>
        <v>2.934180577</v>
      </c>
      <c r="I19" s="54">
        <f>IFERROR(__xludf.DUMMYFUNCTION("""COMPUTED_VALUE"""),28.0)</f>
        <v>28</v>
      </c>
      <c r="J19" s="55">
        <f>IFERROR(__xludf.DUMMYFUNCTION("""COMPUTED_VALUE"""),16.0)</f>
        <v>16</v>
      </c>
      <c r="K19" s="54">
        <f>IFERROR(__xludf.DUMMYFUNCTION("""COMPUTED_VALUE"""),12.0)</f>
        <v>12</v>
      </c>
      <c r="L19" s="56">
        <f>IFERROR(__xludf.DUMMYFUNCTION("""COMPUTED_VALUE"""),0.5714285714285714)</f>
        <v>0.5714285714</v>
      </c>
      <c r="M19" s="56">
        <f>IFERROR(__xludf.DUMMYFUNCTION("""COMPUTED_VALUE"""),0.47058823529411764)</f>
        <v>0.4705882353</v>
      </c>
      <c r="N19" s="31">
        <f>IFERROR(__xludf.DUMMYFUNCTION("""COMPUTED_VALUE"""),302.64285714285717)</f>
        <v>302.6428571</v>
      </c>
      <c r="O19" s="57">
        <f>IFERROR(__xludf.DUMMYFUNCTION("""COMPUTED_VALUE"""),0.8571428571428571)</f>
        <v>0.8571428571</v>
      </c>
      <c r="P19" s="57">
        <f>IFERROR(__xludf.DUMMYFUNCTION("""COMPUTED_VALUE"""),0.5714285714285714)</f>
        <v>0.5714285714</v>
      </c>
      <c r="Q19" s="57">
        <f>IFERROR(__xludf.DUMMYFUNCTION("""COMPUTED_VALUE"""),0.8571428571428571)</f>
        <v>0.8571428571</v>
      </c>
      <c r="R19" s="57">
        <f>IFERROR(__xludf.DUMMYFUNCTION("""COMPUTED_VALUE"""),1.8214285714285714)</f>
        <v>1.821428571</v>
      </c>
      <c r="S19" s="31">
        <f>IFERROR(__xludf.DUMMYFUNCTION("""COMPUTED_VALUE"""),285.8958333333333)</f>
        <v>285.8958333</v>
      </c>
      <c r="T19" s="57">
        <f>IFERROR(__xludf.DUMMYFUNCTION("""COMPUTED_VALUE"""),0.7142857142857141)</f>
        <v>0.7142857143</v>
      </c>
      <c r="U19" s="57">
        <f>IFERROR(__xludf.DUMMYFUNCTION("""COMPUTED_VALUE"""),0.3988095238095239)</f>
        <v>0.3988095238</v>
      </c>
      <c r="V19" s="57">
        <f>IFERROR(__xludf.DUMMYFUNCTION("""COMPUTED_VALUE"""),0.7708333333333336)</f>
        <v>0.7708333333</v>
      </c>
      <c r="W19" s="57">
        <f>IFERROR(__xludf.DUMMYFUNCTION("""COMPUTED_VALUE"""),1.8988095238095237)</f>
        <v>1.898809524</v>
      </c>
      <c r="X19" s="31">
        <f>IFERROR(__xludf.DUMMYFUNCTION("""COMPUTED_VALUE"""),300.3176879857405)</f>
        <v>300.317688</v>
      </c>
      <c r="Y19" s="57">
        <f>IFERROR(__xludf.DUMMYFUNCTION("""COMPUTED_VALUE"""),0.7936262035669988)</f>
        <v>0.7936262036</v>
      </c>
      <c r="Z19" s="57">
        <f>IFERROR(__xludf.DUMMYFUNCTION("""COMPUTED_VALUE"""),0.44579354627611584)</f>
        <v>0.4457935463</v>
      </c>
      <c r="AA19" s="57">
        <f>IFERROR(__xludf.DUMMYFUNCTION("""COMPUTED_VALUE"""),0.879323112970963)</f>
        <v>0.879323113</v>
      </c>
      <c r="AB19" s="57">
        <f>IFERROR(__xludf.DUMMYFUNCTION("""COMPUTED_VALUE"""),2.1164000641916574)</f>
        <v>2.116400064</v>
      </c>
      <c r="AC19" s="31">
        <f>IFERROR(__xludf.DUMMYFUNCTION("""COMPUTED_VALUE"""),298.4399066087877)</f>
        <v>298.4399066</v>
      </c>
      <c r="AD19" s="57">
        <f>IFERROR(__xludf.DUMMYFUNCTION("""COMPUTED_VALUE"""),0.8149849581786954)</f>
        <v>0.8149849582</v>
      </c>
      <c r="AE19" s="57">
        <f>IFERROR(__xludf.DUMMYFUNCTION("""COMPUTED_VALUE"""),0.4577735875001964)</f>
        <v>0.4577735875</v>
      </c>
      <c r="AF19" s="57">
        <f>IFERROR(__xludf.DUMMYFUNCTION("""COMPUTED_VALUE"""),0.8743309973774359)</f>
        <v>0.8743309974</v>
      </c>
      <c r="AG19" s="57">
        <f>IFERROR(__xludf.DUMMYFUNCTION("""COMPUTED_VALUE"""),2.0516194720304073)</f>
        <v>2.051619472</v>
      </c>
      <c r="AH19" s="57">
        <f>IFERROR(__xludf.DUMMYFUNCTION("""COMPUTED_VALUE"""),1.0140830714693225)</f>
        <v>1.014083071</v>
      </c>
      <c r="AI19" s="57">
        <f>IFERROR(__xludf.DUMMYFUNCTION("""COMPUTED_VALUE"""),1.0517284381031706)</f>
        <v>1.051728438</v>
      </c>
      <c r="AJ19" s="57">
        <f>IFERROR(__xludf.DUMMYFUNCTION("""COMPUTED_VALUE"""),1.2482777229438258)</f>
        <v>1.248277723</v>
      </c>
      <c r="AK19" s="57">
        <f>IFERROR(__xludf.DUMMYFUNCTION("""COMPUTED_VALUE"""),0.9803413806829052)</f>
        <v>0.9803413807</v>
      </c>
      <c r="AL19" s="57">
        <f>IFERROR(__xludf.DUMMYFUNCTION("""COMPUTED_VALUE"""),0.8878003919635131)</f>
        <v>0.887800392</v>
      </c>
      <c r="AM19" s="57">
        <f>IFERROR(__xludf.DUMMYFUNCTION("""COMPUTED_VALUE"""),0.9519780045286844)</f>
        <v>0.9519780045</v>
      </c>
      <c r="AN19" s="57">
        <f>IFERROR(__xludf.DUMMYFUNCTION("""COMPUTED_VALUE"""),0.9000278860190298)</f>
        <v>0.900027886</v>
      </c>
      <c r="AO19" s="57">
        <f>IFERROR(__xludf.DUMMYFUNCTION("""COMPUTED_VALUE"""),0.8946058711278629)</f>
        <v>0.8946058711</v>
      </c>
      <c r="AP19" s="35">
        <f>IFERROR(__xludf.DUMMYFUNCTION("""COMPUTED_VALUE"""),0.8766212578319752)</f>
        <v>0.8766212578</v>
      </c>
      <c r="AQ19" s="57">
        <f>IFERROR(__xludf.DUMMYFUNCTION("""COMPUTED_VALUE"""),0.8971883699761459)</f>
        <v>0.89718837</v>
      </c>
      <c r="AR19" s="36" t="b">
        <f>IFERROR(__xludf.DUMMYFUNCTION("""COMPUTED_VALUE"""),TRUE)</f>
        <v>1</v>
      </c>
      <c r="AS19" s="57"/>
      <c r="AT19" s="37"/>
      <c r="AU19" s="30"/>
      <c r="AV19" s="30"/>
      <c r="AW19" s="30"/>
      <c r="AX19" s="30"/>
      <c r="AY19" s="30"/>
      <c r="AZ19" s="30"/>
    </row>
    <row r="20">
      <c r="A20" s="30" t="str">
        <f>IFERROR(__xludf.DUMMYFUNCTION("""COMPUTED_VALUE"""),"Amateur")</f>
        <v>Amateur</v>
      </c>
      <c r="B20" s="30" t="str">
        <f>IFERROR(__xludf.DUMMYFUNCTION("""COMPUTED_VALUE"""),"RSC007852")</f>
        <v>RSC007852</v>
      </c>
      <c r="C20" s="30" t="str">
        <f>IFERROR(__xludf.DUMMYFUNCTION("""COMPUTED_VALUE"""),"Medicmac121")</f>
        <v>Medicmac121</v>
      </c>
      <c r="D20" s="31"/>
      <c r="E20" s="31">
        <f>IFERROR(__xludf.DUMMYFUNCTION("""COMPUTED_VALUE"""),61.15000639657234)</f>
        <v>61.1500064</v>
      </c>
      <c r="F20" s="31">
        <f>IFERROR(__xludf.DUMMYFUNCTION("""COMPUTED_VALUE"""),3.0506543098757795)</f>
        <v>3.05065431</v>
      </c>
      <c r="G20" s="31">
        <f>IFERROR(__xludf.DUMMYFUNCTION("""COMPUTED_VALUE"""),58.03854462970224)</f>
        <v>58.03854463</v>
      </c>
      <c r="H20" s="31">
        <f>IFERROR(__xludf.DUMMYFUNCTION("""COMPUTED_VALUE"""),2.674512430955419)</f>
        <v>2.674512431</v>
      </c>
      <c r="I20" s="54">
        <f>IFERROR(__xludf.DUMMYFUNCTION("""COMPUTED_VALUE"""),6.0)</f>
        <v>6</v>
      </c>
      <c r="J20" s="55">
        <f>IFERROR(__xludf.DUMMYFUNCTION("""COMPUTED_VALUE"""),2.0)</f>
        <v>2</v>
      </c>
      <c r="K20" s="54">
        <f>IFERROR(__xludf.DUMMYFUNCTION("""COMPUTED_VALUE"""),4.0)</f>
        <v>4</v>
      </c>
      <c r="L20" s="56">
        <f>IFERROR(__xludf.DUMMYFUNCTION("""COMPUTED_VALUE"""),0.3333333333333333)</f>
        <v>0.3333333333</v>
      </c>
      <c r="M20" s="56">
        <f>IFERROR(__xludf.DUMMYFUNCTION("""COMPUTED_VALUE"""),0.3)</f>
        <v>0.3</v>
      </c>
      <c r="N20" s="31">
        <f>IFERROR(__xludf.DUMMYFUNCTION("""COMPUTED_VALUE"""),252.16666666666666)</f>
        <v>252.1666667</v>
      </c>
      <c r="O20" s="57">
        <f>IFERROR(__xludf.DUMMYFUNCTION("""COMPUTED_VALUE"""),0.5)</f>
        <v>0.5</v>
      </c>
      <c r="P20" s="57">
        <f>IFERROR(__xludf.DUMMYFUNCTION("""COMPUTED_VALUE"""),0.6666666666666666)</f>
        <v>0.6666666667</v>
      </c>
      <c r="Q20" s="57">
        <f>IFERROR(__xludf.DUMMYFUNCTION("""COMPUTED_VALUE"""),0.6666666666666666)</f>
        <v>0.6666666667</v>
      </c>
      <c r="R20" s="57">
        <f>IFERROR(__xludf.DUMMYFUNCTION("""COMPUTED_VALUE"""),1.6666666666666667)</f>
        <v>1.666666667</v>
      </c>
      <c r="S20" s="31">
        <f>IFERROR(__xludf.DUMMYFUNCTION("""COMPUTED_VALUE"""),294.63888888888886)</f>
        <v>294.6388889</v>
      </c>
      <c r="T20" s="57">
        <f>IFERROR(__xludf.DUMMYFUNCTION("""COMPUTED_VALUE"""),0.9166666666666666)</f>
        <v>0.9166666667</v>
      </c>
      <c r="U20" s="57">
        <f>IFERROR(__xludf.DUMMYFUNCTION("""COMPUTED_VALUE"""),0.47222222222222215)</f>
        <v>0.4722222222</v>
      </c>
      <c r="V20" s="57">
        <f>IFERROR(__xludf.DUMMYFUNCTION("""COMPUTED_VALUE"""),0.5833333333333334)</f>
        <v>0.5833333333</v>
      </c>
      <c r="W20" s="57">
        <f>IFERROR(__xludf.DUMMYFUNCTION("""COMPUTED_VALUE"""),1.9166666666666667)</f>
        <v>1.916666667</v>
      </c>
      <c r="X20" s="31">
        <f>IFERROR(__xludf.DUMMYFUNCTION("""COMPUTED_VALUE"""),330.31069114079867)</f>
        <v>330.3106911</v>
      </c>
      <c r="Y20" s="57">
        <f>IFERROR(__xludf.DUMMYFUNCTION("""COMPUTED_VALUE"""),1.0095272575559313)</f>
        <v>1.009527258</v>
      </c>
      <c r="Z20" s="57">
        <f>IFERROR(__xludf.DUMMYFUNCTION("""COMPUTED_VALUE"""),0.5197692921707259)</f>
        <v>0.5197692922</v>
      </c>
      <c r="AA20" s="57">
        <f>IFERROR(__xludf.DUMMYFUNCTION("""COMPUTED_VALUE"""),0.8735794538661921)</f>
        <v>0.8735794539</v>
      </c>
      <c r="AB20" s="57">
        <f>IFERROR(__xludf.DUMMYFUNCTION("""COMPUTED_VALUE"""),2.43187498814739)</f>
        <v>2.431874988</v>
      </c>
      <c r="AC20" s="31">
        <f>IFERROR(__xludf.DUMMYFUNCTION("""COMPUTED_VALUE"""),267.20906086811107)</f>
        <v>267.2090609</v>
      </c>
      <c r="AD20" s="57">
        <f>IFERROR(__xludf.DUMMYFUNCTION("""COMPUTED_VALUE"""),0.6192334823457882)</f>
        <v>0.6192334823</v>
      </c>
      <c r="AE20" s="57">
        <f>IFERROR(__xludf.DUMMYFUNCTION("""COMPUTED_VALUE"""),0.30281701350996443)</f>
        <v>0.3028170135</v>
      </c>
      <c r="AF20" s="57">
        <f>IFERROR(__xludf.DUMMYFUNCTION("""COMPUTED_VALUE"""),0.9355920817091666)</f>
        <v>0.9355920817</v>
      </c>
      <c r="AG20" s="57">
        <f>IFERROR(__xludf.DUMMYFUNCTION("""COMPUTED_VALUE"""),1.7470554955023294)</f>
        <v>1.747055496</v>
      </c>
      <c r="AH20" s="57">
        <f>IFERROR(__xludf.DUMMYFUNCTION("""COMPUTED_VALUE"""),0.9437055234857136)</f>
        <v>0.9437055235</v>
      </c>
      <c r="AI20" s="57">
        <f>IFERROR(__xludf.DUMMYFUNCTION("""COMPUTED_VALUE"""),0.807449878365578)</f>
        <v>0.8074498784</v>
      </c>
      <c r="AJ20" s="57">
        <f>IFERROR(__xludf.DUMMYFUNCTION("""COMPUTED_VALUE"""),2.2015495725927217)</f>
        <v>2.201549573</v>
      </c>
      <c r="AK20" s="57">
        <f>IFERROR(__xludf.DUMMYFUNCTION("""COMPUTED_VALUE"""),0.7125612536702756)</f>
        <v>0.7125612537</v>
      </c>
      <c r="AL20" s="57">
        <f>IFERROR(__xludf.DUMMYFUNCTION("""COMPUTED_VALUE"""),0.9539861045956365)</f>
        <v>0.9539861046</v>
      </c>
      <c r="AM20" s="57">
        <f>IFERROR(__xludf.DUMMYFUNCTION("""COMPUTED_VALUE"""),0.8920053052817951)</f>
        <v>0.8920053053</v>
      </c>
      <c r="AN20" s="57">
        <f>IFERROR(__xludf.DUMMYFUNCTION("""COMPUTED_VALUE"""),0.908015766593484)</f>
        <v>0.9080157666</v>
      </c>
      <c r="AO20" s="57">
        <f>IFERROR(__xludf.DUMMYFUNCTION("""COMPUTED_VALUE"""),0.9085227414071892)</f>
        <v>0.9085227414</v>
      </c>
      <c r="AP20" s="35">
        <f>IFERROR(__xludf.DUMMYFUNCTION("""COMPUTED_VALUE"""),0.6677507475155016)</f>
        <v>0.6677507475</v>
      </c>
      <c r="AQ20" s="57">
        <f>IFERROR(__xludf.DUMMYFUNCTION("""COMPUTED_VALUE"""),0.7881435830411618)</f>
        <v>0.788143583</v>
      </c>
      <c r="AR20" s="36" t="b">
        <f>IFERROR(__xludf.DUMMYFUNCTION("""COMPUTED_VALUE"""),TRUE)</f>
        <v>1</v>
      </c>
      <c r="AS20" s="57"/>
      <c r="AT20" s="37"/>
      <c r="AU20" s="30"/>
      <c r="AV20" s="30"/>
      <c r="AW20" s="30"/>
      <c r="AX20" s="30"/>
      <c r="AY20" s="30"/>
      <c r="AZ20" s="30"/>
    </row>
    <row r="21">
      <c r="A21" s="30" t="str">
        <f>IFERROR(__xludf.DUMMYFUNCTION("""COMPUTED_VALUE"""),"Amateur")</f>
        <v>Amateur</v>
      </c>
      <c r="B21" s="30" t="str">
        <f>IFERROR(__xludf.DUMMYFUNCTION("""COMPUTED_VALUE"""),"RSC007621")</f>
        <v>RSC007621</v>
      </c>
      <c r="C21" s="30" t="str">
        <f>IFERROR(__xludf.DUMMYFUNCTION("""COMPUTED_VALUE"""),"Classy-God57")</f>
        <v>Classy-God57</v>
      </c>
      <c r="D21" s="31" t="str">
        <f>IFERROR(__xludf.DUMMYFUNCTION("""COMPUTED_VALUE"""),"Winter Fresh")</f>
        <v>Winter Fresh</v>
      </c>
      <c r="E21" s="31">
        <f>IFERROR(__xludf.DUMMYFUNCTION("""COMPUTED_VALUE"""),60.97116091228749)</f>
        <v>60.97116091</v>
      </c>
      <c r="F21" s="31">
        <f>IFERROR(__xludf.DUMMYFUNCTION("""COMPUTED_VALUE"""),3.026758923175093)</f>
        <v>3.026758923</v>
      </c>
      <c r="G21" s="31">
        <f>IFERROR(__xludf.DUMMYFUNCTION("""COMPUTED_VALUE"""),58.78111137384204)</f>
        <v>58.78111137</v>
      </c>
      <c r="H21" s="31">
        <f>IFERROR(__xludf.DUMMYFUNCTION("""COMPUTED_VALUE"""),2.7570806724808175)</f>
        <v>2.757080672</v>
      </c>
      <c r="I21" s="54">
        <f>IFERROR(__xludf.DUMMYFUNCTION("""COMPUTED_VALUE"""),31.0)</f>
        <v>31</v>
      </c>
      <c r="J21" s="55">
        <f>IFERROR(__xludf.DUMMYFUNCTION("""COMPUTED_VALUE"""),12.0)</f>
        <v>12</v>
      </c>
      <c r="K21" s="54">
        <f>IFERROR(__xludf.DUMMYFUNCTION("""COMPUTED_VALUE"""),19.0)</f>
        <v>19</v>
      </c>
      <c r="L21" s="56">
        <f>IFERROR(__xludf.DUMMYFUNCTION("""COMPUTED_VALUE"""),0.3870967741935484)</f>
        <v>0.3870967742</v>
      </c>
      <c r="M21" s="56">
        <f>IFERROR(__xludf.DUMMYFUNCTION("""COMPUTED_VALUE"""),0.41666666666666663)</f>
        <v>0.4166666667</v>
      </c>
      <c r="N21" s="31">
        <f>IFERROR(__xludf.DUMMYFUNCTION("""COMPUTED_VALUE"""),340.83870967741933)</f>
        <v>340.8387097</v>
      </c>
      <c r="O21" s="57">
        <f>IFERROR(__xludf.DUMMYFUNCTION("""COMPUTED_VALUE"""),0.967741935483871)</f>
        <v>0.9677419355</v>
      </c>
      <c r="P21" s="57">
        <f>IFERROR(__xludf.DUMMYFUNCTION("""COMPUTED_VALUE"""),0.5161290322580645)</f>
        <v>0.5161290323</v>
      </c>
      <c r="Q21" s="57">
        <f>IFERROR(__xludf.DUMMYFUNCTION("""COMPUTED_VALUE"""),0.8387096774193549)</f>
        <v>0.8387096774</v>
      </c>
      <c r="R21" s="57">
        <f>IFERROR(__xludf.DUMMYFUNCTION("""COMPUTED_VALUE"""),2.3225806451612905)</f>
        <v>2.322580645</v>
      </c>
      <c r="S21" s="31">
        <f>IFERROR(__xludf.DUMMYFUNCTION("""COMPUTED_VALUE"""),328.9032258064516)</f>
        <v>328.9032258</v>
      </c>
      <c r="T21" s="57">
        <f>IFERROR(__xludf.DUMMYFUNCTION("""COMPUTED_VALUE"""),1.010752688172043)</f>
        <v>1.010752688</v>
      </c>
      <c r="U21" s="57">
        <f>IFERROR(__xludf.DUMMYFUNCTION("""COMPUTED_VALUE"""),0.6881720430107525)</f>
        <v>0.688172043</v>
      </c>
      <c r="V21" s="57">
        <f>IFERROR(__xludf.DUMMYFUNCTION("""COMPUTED_VALUE"""),0.8494623655913979)</f>
        <v>0.8494623656</v>
      </c>
      <c r="W21" s="57">
        <f>IFERROR(__xludf.DUMMYFUNCTION("""COMPUTED_VALUE"""),2.258064516129033)</f>
        <v>2.258064516</v>
      </c>
      <c r="X21" s="31">
        <f>IFERROR(__xludf.DUMMYFUNCTION("""COMPUTED_VALUE"""),301.0478192436625)</f>
        <v>301.0478192</v>
      </c>
      <c r="Y21" s="57">
        <f>IFERROR(__xludf.DUMMYFUNCTION("""COMPUTED_VALUE"""),0.8345179024958497)</f>
        <v>0.8345179025</v>
      </c>
      <c r="Z21" s="57">
        <f>IFERROR(__xludf.DUMMYFUNCTION("""COMPUTED_VALUE"""),0.4550801103288611)</f>
        <v>0.4550801103</v>
      </c>
      <c r="AA21" s="57">
        <f>IFERROR(__xludf.DUMMYFUNCTION("""COMPUTED_VALUE"""),0.8572527234926979)</f>
        <v>0.8572527235</v>
      </c>
      <c r="AB21" s="57">
        <f>IFERROR(__xludf.DUMMYFUNCTION("""COMPUTED_VALUE"""),2.047713478477477)</f>
        <v>2.047713478</v>
      </c>
      <c r="AC21" s="31">
        <f>IFERROR(__xludf.DUMMYFUNCTION("""COMPUTED_VALUE"""),290.5865796995714)</f>
        <v>290.5865797</v>
      </c>
      <c r="AD21" s="57">
        <f>IFERROR(__xludf.DUMMYFUNCTION("""COMPUTED_VALUE"""),0.7593163585479327)</f>
        <v>0.7593163585</v>
      </c>
      <c r="AE21" s="57">
        <f>IFERROR(__xludf.DUMMYFUNCTION("""COMPUTED_VALUE"""),0.41225334937212366)</f>
        <v>0.4122533494</v>
      </c>
      <c r="AF21" s="57">
        <f>IFERROR(__xludf.DUMMYFUNCTION("""COMPUTED_VALUE"""),0.85539741333374)</f>
        <v>0.8553974133</v>
      </c>
      <c r="AG21" s="57">
        <f>IFERROR(__xludf.DUMMYFUNCTION("""COMPUTED_VALUE"""),2.0210295743597144)</f>
        <v>2.021029574</v>
      </c>
      <c r="AH21" s="57">
        <f>IFERROR(__xludf.DUMMYFUNCTION("""COMPUTED_VALUE"""),1.1729334163669982)</f>
        <v>1.172933416</v>
      </c>
      <c r="AI21" s="57">
        <f>IFERROR(__xludf.DUMMYFUNCTION("""COMPUTED_VALUE"""),1.2744910926646147)</f>
        <v>1.274491093</v>
      </c>
      <c r="AJ21" s="57">
        <f>IFERROR(__xludf.DUMMYFUNCTION("""COMPUTED_VALUE"""),1.251970500771303)</f>
        <v>1.251970501</v>
      </c>
      <c r="AK21" s="57">
        <f>IFERROR(__xludf.DUMMYFUNCTION("""COMPUTED_VALUE"""),0.9804912480979479)</f>
        <v>0.9804912481</v>
      </c>
      <c r="AL21" s="57">
        <f>IFERROR(__xludf.DUMMYFUNCTION("""COMPUTED_VALUE"""),1.1492066591341747)</f>
        <v>1.149206659</v>
      </c>
      <c r="AM21" s="57">
        <f>IFERROR(__xludf.DUMMYFUNCTION("""COMPUTED_VALUE"""),1.0925281791868535)</f>
        <v>1.092528179</v>
      </c>
      <c r="AN21" s="57">
        <f>IFERROR(__xludf.DUMMYFUNCTION("""COMPUTED_VALUE"""),1.2111815518266487)</f>
        <v>1.211181552</v>
      </c>
      <c r="AO21" s="57">
        <f>IFERROR(__xludf.DUMMYFUNCTION("""COMPUTED_VALUE"""),1.5121997806352137)</f>
        <v>1.512199781</v>
      </c>
      <c r="AP21" s="35">
        <f>IFERROR(__xludf.DUMMYFUNCTION("""COMPUTED_VALUE"""),0.9909124139383777)</f>
        <v>0.9909124139</v>
      </c>
      <c r="AQ21" s="57">
        <f>IFERROR(__xludf.DUMMYFUNCTION("""COMPUTED_VALUE"""),1.1027248391254214)</f>
        <v>1.102724839</v>
      </c>
      <c r="AR21" s="36" t="b">
        <f>IFERROR(__xludf.DUMMYFUNCTION("""COMPUTED_VALUE"""),TRUE)</f>
        <v>1</v>
      </c>
      <c r="AS21" s="57"/>
      <c r="AT21" s="37"/>
      <c r="AU21" s="30"/>
      <c r="AV21" s="30"/>
      <c r="AW21" s="30"/>
      <c r="AX21" s="30"/>
      <c r="AY21" s="30"/>
      <c r="AZ21" s="30"/>
    </row>
    <row r="22">
      <c r="A22" s="30" t="str">
        <f>IFERROR(__xludf.DUMMYFUNCTION("""COMPUTED_VALUE"""),"Amateur")</f>
        <v>Amateur</v>
      </c>
      <c r="B22" s="30" t="str">
        <f>IFERROR(__xludf.DUMMYFUNCTION("""COMPUTED_VALUE"""),"RSC007220")</f>
        <v>RSC007220</v>
      </c>
      <c r="C22" s="30" t="str">
        <f>IFERROR(__xludf.DUMMYFUNCTION("""COMPUTED_VALUE"""),"maxf")</f>
        <v>maxf</v>
      </c>
      <c r="D22" s="31" t="str">
        <f>IFERROR(__xludf.DUMMYFUNCTION("""COMPUTED_VALUE"""),"Garlic Knots")</f>
        <v>Garlic Knots</v>
      </c>
      <c r="E22" s="31">
        <f>IFERROR(__xludf.DUMMYFUNCTION("""COMPUTED_VALUE"""),59.50220615771238)</f>
        <v>59.50220616</v>
      </c>
      <c r="F22" s="31">
        <f>IFERROR(__xludf.DUMMYFUNCTION("""COMPUTED_VALUE"""),2.84139378130659)</f>
        <v>2.841393781</v>
      </c>
      <c r="G22" s="31">
        <f>IFERROR(__xludf.DUMMYFUNCTION("""COMPUTED_VALUE"""),48.336385776693305)</f>
        <v>48.33638578</v>
      </c>
      <c r="H22" s="31">
        <f>IFERROR(__xludf.DUMMYFUNCTION("""COMPUTED_VALUE"""),-2.1120566984400817)</f>
        <v>-2.112056698</v>
      </c>
      <c r="I22" s="54">
        <f>IFERROR(__xludf.DUMMYFUNCTION("""COMPUTED_VALUE"""),30.0)</f>
        <v>30</v>
      </c>
      <c r="J22" s="55">
        <f>IFERROR(__xludf.DUMMYFUNCTION("""COMPUTED_VALUE"""),23.0)</f>
        <v>23</v>
      </c>
      <c r="K22" s="54">
        <f>IFERROR(__xludf.DUMMYFUNCTION("""COMPUTED_VALUE"""),7.0)</f>
        <v>7</v>
      </c>
      <c r="L22" s="56">
        <f>IFERROR(__xludf.DUMMYFUNCTION("""COMPUTED_VALUE"""),0.7666666666666667)</f>
        <v>0.7666666667</v>
      </c>
      <c r="M22" s="56">
        <f>IFERROR(__xludf.DUMMYFUNCTION("""COMPUTED_VALUE"""),0.48)</f>
        <v>0.48</v>
      </c>
      <c r="N22" s="31">
        <f>IFERROR(__xludf.DUMMYFUNCTION("""COMPUTED_VALUE"""),270.46666666666664)</f>
        <v>270.4666667</v>
      </c>
      <c r="O22" s="57">
        <f>IFERROR(__xludf.DUMMYFUNCTION("""COMPUTED_VALUE"""),0.8)</f>
        <v>0.8</v>
      </c>
      <c r="P22" s="57">
        <f>IFERROR(__xludf.DUMMYFUNCTION("""COMPUTED_VALUE"""),0.5333333333333333)</f>
        <v>0.5333333333</v>
      </c>
      <c r="Q22" s="57">
        <f>IFERROR(__xludf.DUMMYFUNCTION("""COMPUTED_VALUE"""),0.9333333333333333)</f>
        <v>0.9333333333</v>
      </c>
      <c r="R22" s="57">
        <f>IFERROR(__xludf.DUMMYFUNCTION("""COMPUTED_VALUE"""),1.6666666666666667)</f>
        <v>1.666666667</v>
      </c>
      <c r="S22" s="31">
        <f>IFERROR(__xludf.DUMMYFUNCTION("""COMPUTED_VALUE"""),249.3277777777779)</f>
        <v>249.3277778</v>
      </c>
      <c r="T22" s="57">
        <f>IFERROR(__xludf.DUMMYFUNCTION("""COMPUTED_VALUE"""),0.5138888888888891)</f>
        <v>0.5138888889</v>
      </c>
      <c r="U22" s="57">
        <f>IFERROR(__xludf.DUMMYFUNCTION("""COMPUTED_VALUE"""),0.26944444444444443)</f>
        <v>0.2694444444</v>
      </c>
      <c r="V22" s="57">
        <f>IFERROR(__xludf.DUMMYFUNCTION("""COMPUTED_VALUE"""),0.675)</f>
        <v>0.675</v>
      </c>
      <c r="W22" s="57">
        <f>IFERROR(__xludf.DUMMYFUNCTION("""COMPUTED_VALUE"""),2.0277777777777777)</f>
        <v>2.027777778</v>
      </c>
      <c r="X22" s="31">
        <f>IFERROR(__xludf.DUMMYFUNCTION("""COMPUTED_VALUE"""),288.01979902647236)</f>
        <v>288.019799</v>
      </c>
      <c r="Y22" s="57">
        <f>IFERROR(__xludf.DUMMYFUNCTION("""COMPUTED_VALUE"""),0.7337291591445952)</f>
        <v>0.7337291591</v>
      </c>
      <c r="Z22" s="57">
        <f>IFERROR(__xludf.DUMMYFUNCTION("""COMPUTED_VALUE"""),0.4298891362360135)</f>
        <v>0.4298891362</v>
      </c>
      <c r="AA22" s="57">
        <f>IFERROR(__xludf.DUMMYFUNCTION("""COMPUTED_VALUE"""),0.8328298347159413)</f>
        <v>0.8328298347</v>
      </c>
      <c r="AB22" s="57">
        <f>IFERROR(__xludf.DUMMYFUNCTION("""COMPUTED_VALUE"""),2.0597474856893645)</f>
        <v>2.059747486</v>
      </c>
      <c r="AC22" s="31">
        <f>IFERROR(__xludf.DUMMYFUNCTION("""COMPUTED_VALUE"""),302.4733763229893)</f>
        <v>302.4733763</v>
      </c>
      <c r="AD22" s="57">
        <f>IFERROR(__xludf.DUMMYFUNCTION("""COMPUTED_VALUE"""),0.809720410830124)</f>
        <v>0.8097204108</v>
      </c>
      <c r="AE22" s="57">
        <f>IFERROR(__xludf.DUMMYFUNCTION("""COMPUTED_VALUE"""),0.46459965010341064)</f>
        <v>0.4645996501</v>
      </c>
      <c r="AF22" s="57">
        <f>IFERROR(__xludf.DUMMYFUNCTION("""COMPUTED_VALUE"""),0.9209640304064753)</f>
        <v>0.9209640304</v>
      </c>
      <c r="AG22" s="57">
        <f>IFERROR(__xludf.DUMMYFUNCTION("""COMPUTED_VALUE"""),2.044362547588732)</f>
        <v>2.044362548</v>
      </c>
      <c r="AH22" s="57">
        <f>IFERROR(__xludf.DUMMYFUNCTION("""COMPUTED_VALUE"""),0.8941833822023892)</f>
        <v>0.8941833822</v>
      </c>
      <c r="AI22" s="57">
        <f>IFERROR(__xludf.DUMMYFUNCTION("""COMPUTED_VALUE"""),0.9879953491351927)</f>
        <v>0.9879953491</v>
      </c>
      <c r="AJ22" s="57">
        <f>IFERROR(__xludf.DUMMYFUNCTION("""COMPUTED_VALUE"""),1.1479417455751935)</f>
        <v>1.147941746</v>
      </c>
      <c r="AK22" s="57">
        <f>IFERROR(__xludf.DUMMYFUNCTION("""COMPUTED_VALUE"""),1.013430820877335)</f>
        <v>1.013430821</v>
      </c>
      <c r="AL22" s="57">
        <f>IFERROR(__xludf.DUMMYFUNCTION("""COMPUTED_VALUE"""),0.8152500487902467)</f>
        <v>0.8152500488</v>
      </c>
      <c r="AM22" s="57">
        <f>IFERROR(__xludf.DUMMYFUNCTION("""COMPUTED_VALUE"""),0.8656619392851593)</f>
        <v>0.8656619393</v>
      </c>
      <c r="AN22" s="57">
        <f>IFERROR(__xludf.DUMMYFUNCTION("""COMPUTED_VALUE"""),0.7003795371687246)</f>
        <v>0.7003795372</v>
      </c>
      <c r="AO22" s="57">
        <f>IFERROR(__xludf.DUMMYFUNCTION("""COMPUTED_VALUE"""),0.6267765843157216)</f>
        <v>0.6267765843</v>
      </c>
      <c r="AP22" s="35">
        <f>IFERROR(__xludf.DUMMYFUNCTION("""COMPUTED_VALUE"""),0.8104896965299361)</f>
        <v>0.8104896965</v>
      </c>
      <c r="AQ22" s="57">
        <f>IFERROR(__xludf.DUMMYFUNCTION("""COMPUTED_VALUE"""),0.9844788217324187)</f>
        <v>0.9844788217</v>
      </c>
      <c r="AR22" s="36" t="b">
        <f>IFERROR(__xludf.DUMMYFUNCTION("""COMPUTED_VALUE"""),TRUE)</f>
        <v>1</v>
      </c>
      <c r="AS22" s="57"/>
      <c r="AT22" s="37"/>
      <c r="AU22" s="30"/>
      <c r="AV22" s="30"/>
      <c r="AW22" s="30"/>
      <c r="AX22" s="30"/>
      <c r="AY22" s="30"/>
      <c r="AZ22" s="30"/>
    </row>
    <row r="23">
      <c r="A23" s="30" t="str">
        <f>IFERROR(__xludf.DUMMYFUNCTION("""COMPUTED_VALUE"""),"Amateur")</f>
        <v>Amateur</v>
      </c>
      <c r="B23" s="30" t="str">
        <f>IFERROR(__xludf.DUMMYFUNCTION("""COMPUTED_VALUE"""),"RSC006797")</f>
        <v>RSC006797</v>
      </c>
      <c r="C23" s="30" t="str">
        <f>IFERROR(__xludf.DUMMYFUNCTION("""COMPUTED_VALUE"""),"The-Manimal")</f>
        <v>The-Manimal</v>
      </c>
      <c r="D23" s="31" t="str">
        <f>IFERROR(__xludf.DUMMYFUNCTION("""COMPUTED_VALUE"""),"Aloof Goofs")</f>
        <v>Aloof Goofs</v>
      </c>
      <c r="E23" s="31">
        <f>IFERROR(__xludf.DUMMYFUNCTION("""COMPUTED_VALUE"""),54.658226865660126)</f>
        <v>54.65822687</v>
      </c>
      <c r="F23" s="31">
        <f>IFERROR(__xludf.DUMMYFUNCTION("""COMPUTED_VALUE"""),2.346903536753637)</f>
        <v>2.346903537</v>
      </c>
      <c r="G23" s="31">
        <f>IFERROR(__xludf.DUMMYFUNCTION("""COMPUTED_VALUE"""),43.362011319801375)</f>
        <v>43.36201132</v>
      </c>
      <c r="H23" s="31">
        <f>IFERROR(__xludf.DUMMYFUNCTION("""COMPUTED_VALUE"""),-2.5296946511637093)</f>
        <v>-2.529694651</v>
      </c>
      <c r="I23" s="54">
        <f>IFERROR(__xludf.DUMMYFUNCTION("""COMPUTED_VALUE"""),25.0)</f>
        <v>25</v>
      </c>
      <c r="J23" s="55">
        <f>IFERROR(__xludf.DUMMYFUNCTION("""COMPUTED_VALUE"""),7.0)</f>
        <v>7</v>
      </c>
      <c r="K23" s="54">
        <f>IFERROR(__xludf.DUMMYFUNCTION("""COMPUTED_VALUE"""),18.0)</f>
        <v>18</v>
      </c>
      <c r="L23" s="56">
        <f>IFERROR(__xludf.DUMMYFUNCTION("""COMPUTED_VALUE"""),0.28)</f>
        <v>0.28</v>
      </c>
      <c r="M23" s="56">
        <f>IFERROR(__xludf.DUMMYFUNCTION("""COMPUTED_VALUE"""),0.27868852459016397)</f>
        <v>0.2786885246</v>
      </c>
      <c r="N23" s="31">
        <f>IFERROR(__xludf.DUMMYFUNCTION("""COMPUTED_VALUE"""),286.84)</f>
        <v>286.84</v>
      </c>
      <c r="O23" s="57">
        <f>IFERROR(__xludf.DUMMYFUNCTION("""COMPUTED_VALUE"""),0.68)</f>
        <v>0.68</v>
      </c>
      <c r="P23" s="57">
        <f>IFERROR(__xludf.DUMMYFUNCTION("""COMPUTED_VALUE"""),0.28)</f>
        <v>0.28</v>
      </c>
      <c r="Q23" s="57">
        <f>IFERROR(__xludf.DUMMYFUNCTION("""COMPUTED_VALUE"""),0.84)</f>
        <v>0.84</v>
      </c>
      <c r="R23" s="57">
        <f>IFERROR(__xludf.DUMMYFUNCTION("""COMPUTED_VALUE"""),2.44)</f>
        <v>2.44</v>
      </c>
      <c r="S23" s="31">
        <f>IFERROR(__xludf.DUMMYFUNCTION("""COMPUTED_VALUE"""),312.48)</f>
        <v>312.48</v>
      </c>
      <c r="T23" s="57">
        <f>IFERROR(__xludf.DUMMYFUNCTION("""COMPUTED_VALUE"""),0.8000000000000002)</f>
        <v>0.8</v>
      </c>
      <c r="U23" s="57">
        <f>IFERROR(__xludf.DUMMYFUNCTION("""COMPUTED_VALUE"""),0.43999999999999984)</f>
        <v>0.44</v>
      </c>
      <c r="V23" s="57">
        <f>IFERROR(__xludf.DUMMYFUNCTION("""COMPUTED_VALUE"""),1.133333333333333)</f>
        <v>1.133333333</v>
      </c>
      <c r="W23" s="57">
        <f>IFERROR(__xludf.DUMMYFUNCTION("""COMPUTED_VALUE"""),1.9999999999999993)</f>
        <v>2</v>
      </c>
      <c r="X23" s="31">
        <f>IFERROR(__xludf.DUMMYFUNCTION("""COMPUTED_VALUE"""),304.7150439648078)</f>
        <v>304.715044</v>
      </c>
      <c r="Y23" s="57">
        <f>IFERROR(__xludf.DUMMYFUNCTION("""COMPUTED_VALUE"""),0.824021478178066)</f>
        <v>0.8240214782</v>
      </c>
      <c r="Z23" s="57">
        <f>IFERROR(__xludf.DUMMYFUNCTION("""COMPUTED_VALUE"""),0.48343924020501844)</f>
        <v>0.4834392402</v>
      </c>
      <c r="AA23" s="57">
        <f>IFERROR(__xludf.DUMMYFUNCTION("""COMPUTED_VALUE"""),0.946512865507503)</f>
        <v>0.9465128655</v>
      </c>
      <c r="AB23" s="57">
        <f>IFERROR(__xludf.DUMMYFUNCTION("""COMPUTED_VALUE"""),2.02813587447182)</f>
        <v>2.028135874</v>
      </c>
      <c r="AC23" s="31">
        <f>IFERROR(__xludf.DUMMYFUNCTION("""COMPUTED_VALUE"""),271.0340733740139)</f>
        <v>271.0340734</v>
      </c>
      <c r="AD23" s="57">
        <f>IFERROR(__xludf.DUMMYFUNCTION("""COMPUTED_VALUE"""),0.606771113809917)</f>
        <v>0.6067711138</v>
      </c>
      <c r="AE23" s="57">
        <f>IFERROR(__xludf.DUMMYFUNCTION("""COMPUTED_VALUE"""),0.3407157165034677)</f>
        <v>0.3407157165</v>
      </c>
      <c r="AF23" s="57">
        <f>IFERROR(__xludf.DUMMYFUNCTION("""COMPUTED_VALUE"""),0.846579617065358)</f>
        <v>0.8465796171</v>
      </c>
      <c r="AG23" s="57">
        <f>IFERROR(__xludf.DUMMYFUNCTION("""COMPUTED_VALUE"""),1.9522640337170492)</f>
        <v>1.952264034</v>
      </c>
      <c r="AH23" s="57">
        <f>IFERROR(__xludf.DUMMYFUNCTION("""COMPUTED_VALUE"""),1.0583171201658277)</f>
        <v>1.05831712</v>
      </c>
      <c r="AI23" s="57">
        <f>IFERROR(__xludf.DUMMYFUNCTION("""COMPUTED_VALUE"""),1.1206861772477579)</f>
        <v>1.120686177</v>
      </c>
      <c r="AJ23" s="57">
        <f>IFERROR(__xludf.DUMMYFUNCTION("""COMPUTED_VALUE"""),0.8217994839611406)</f>
        <v>0.821799484</v>
      </c>
      <c r="AK23" s="57">
        <f>IFERROR(__xludf.DUMMYFUNCTION("""COMPUTED_VALUE"""),0.9922279996674547)</f>
        <v>0.9922279997</v>
      </c>
      <c r="AL23" s="57">
        <f>IFERROR(__xludf.DUMMYFUNCTION("""COMPUTED_VALUE"""),1.2498309438986677)</f>
        <v>1.249830944</v>
      </c>
      <c r="AM23" s="57">
        <f>IFERROR(__xludf.DUMMYFUNCTION("""COMPUTED_VALUE"""),1.0254826802581136)</f>
        <v>1.02548268</v>
      </c>
      <c r="AN23" s="57">
        <f>IFERROR(__xludf.DUMMYFUNCTION("""COMPUTED_VALUE"""),0.9708484805139084)</f>
        <v>0.9708484805</v>
      </c>
      <c r="AO23" s="57">
        <f>IFERROR(__xludf.DUMMYFUNCTION("""COMPUTED_VALUE"""),0.9101453986511382)</f>
        <v>0.9101453987</v>
      </c>
      <c r="AP23" s="35">
        <f>IFERROR(__xludf.DUMMYFUNCTION("""COMPUTED_VALUE"""),1.1973776317616776)</f>
        <v>1.197377632</v>
      </c>
      <c r="AQ23" s="57">
        <f>IFERROR(__xludf.DUMMYFUNCTION("""COMPUTED_VALUE"""),0.9861272241046729)</f>
        <v>0.9861272241</v>
      </c>
      <c r="AR23" s="36" t="b">
        <f>IFERROR(__xludf.DUMMYFUNCTION("""COMPUTED_VALUE"""),TRUE)</f>
        <v>1</v>
      </c>
      <c r="AS23" s="57"/>
      <c r="AT23" s="37"/>
      <c r="AU23" s="30"/>
      <c r="AV23" s="30"/>
      <c r="AW23" s="30"/>
      <c r="AX23" s="30"/>
      <c r="AY23" s="30"/>
      <c r="AZ23" s="30"/>
    </row>
    <row r="24">
      <c r="A24" s="30" t="str">
        <f>IFERROR(__xludf.DUMMYFUNCTION("""COMPUTED_VALUE"""),"Amateur")</f>
        <v>Amateur</v>
      </c>
      <c r="B24" s="30" t="str">
        <f>IFERROR(__xludf.DUMMYFUNCTION("""COMPUTED_VALUE"""),"RSC007921")</f>
        <v>RSC007921</v>
      </c>
      <c r="C24" s="30" t="str">
        <f>IFERROR(__xludf.DUMMYFUNCTION("""COMPUTED_VALUE"""),"sXCyBeast")</f>
        <v>sXCyBeast</v>
      </c>
      <c r="D24" s="31" t="str">
        <f>IFERROR(__xludf.DUMMYFUNCTION("""COMPUTED_VALUE"""),"Surprise")</f>
        <v>Surprise</v>
      </c>
      <c r="E24" s="31">
        <f>IFERROR(__xludf.DUMMYFUNCTION("""COMPUTED_VALUE"""),47.214328910159495)</f>
        <v>47.21432891</v>
      </c>
      <c r="F24" s="31">
        <f>IFERROR(__xludf.DUMMYFUNCTION("""COMPUTED_VALUE"""),-2.194720245034624)</f>
        <v>-2.194720245</v>
      </c>
      <c r="G24" s="31">
        <f>IFERROR(__xludf.DUMMYFUNCTION("""COMPUTED_VALUE"""),44.03050616300011)</f>
        <v>44.03050616</v>
      </c>
      <c r="H24" s="31">
        <f>IFERROR(__xludf.DUMMYFUNCTION("""COMPUTED_VALUE"""),-2.4652511432520434)</f>
        <v>-2.465251143</v>
      </c>
      <c r="I24" s="54">
        <f>IFERROR(__xludf.DUMMYFUNCTION("""COMPUTED_VALUE"""),22.0)</f>
        <v>22</v>
      </c>
      <c r="J24" s="55">
        <f>IFERROR(__xludf.DUMMYFUNCTION("""COMPUTED_VALUE"""),10.0)</f>
        <v>10</v>
      </c>
      <c r="K24" s="54">
        <f>IFERROR(__xludf.DUMMYFUNCTION("""COMPUTED_VALUE"""),12.0)</f>
        <v>12</v>
      </c>
      <c r="L24" s="56">
        <f>IFERROR(__xludf.DUMMYFUNCTION("""COMPUTED_VALUE"""),0.45454545454545453)</f>
        <v>0.4545454545</v>
      </c>
      <c r="M24" s="56">
        <f>IFERROR(__xludf.DUMMYFUNCTION("""COMPUTED_VALUE"""),0.30303030303030304)</f>
        <v>0.303030303</v>
      </c>
      <c r="N24" s="31">
        <f>IFERROR(__xludf.DUMMYFUNCTION("""COMPUTED_VALUE"""),228.13636363636363)</f>
        <v>228.1363636</v>
      </c>
      <c r="O24" s="57">
        <f>IFERROR(__xludf.DUMMYFUNCTION("""COMPUTED_VALUE"""),0.45454545454545453)</f>
        <v>0.4545454545</v>
      </c>
      <c r="P24" s="57">
        <f>IFERROR(__xludf.DUMMYFUNCTION("""COMPUTED_VALUE"""),0.6363636363636364)</f>
        <v>0.6363636364</v>
      </c>
      <c r="Q24" s="57">
        <f>IFERROR(__xludf.DUMMYFUNCTION("""COMPUTED_VALUE"""),0.5454545454545454)</f>
        <v>0.5454545455</v>
      </c>
      <c r="R24" s="57">
        <f>IFERROR(__xludf.DUMMYFUNCTION("""COMPUTED_VALUE"""),1.5)</f>
        <v>1.5</v>
      </c>
      <c r="S24" s="31">
        <f>IFERROR(__xludf.DUMMYFUNCTION("""COMPUTED_VALUE"""),289.61742424242425)</f>
        <v>289.6174242</v>
      </c>
      <c r="T24" s="57">
        <f>IFERROR(__xludf.DUMMYFUNCTION("""COMPUTED_VALUE"""),0.8977272727272727)</f>
        <v>0.8977272727</v>
      </c>
      <c r="U24" s="57">
        <f>IFERROR(__xludf.DUMMYFUNCTION("""COMPUTED_VALUE"""),0.40151515151515155)</f>
        <v>0.4015151515</v>
      </c>
      <c r="V24" s="57">
        <f>IFERROR(__xludf.DUMMYFUNCTION("""COMPUTED_VALUE"""),0.7651515151515152)</f>
        <v>0.7651515152</v>
      </c>
      <c r="W24" s="57">
        <f>IFERROR(__xludf.DUMMYFUNCTION("""COMPUTED_VALUE"""),1.75)</f>
        <v>1.75</v>
      </c>
      <c r="X24" s="31">
        <f>IFERROR(__xludf.DUMMYFUNCTION("""COMPUTED_VALUE"""),299.07067453274453)</f>
        <v>299.0706745</v>
      </c>
      <c r="Y24" s="57">
        <f>IFERROR(__xludf.DUMMYFUNCTION("""COMPUTED_VALUE"""),0.8251738183653866)</f>
        <v>0.8251738184</v>
      </c>
      <c r="Z24" s="57">
        <f>IFERROR(__xludf.DUMMYFUNCTION("""COMPUTED_VALUE"""),0.47675192836173785)</f>
        <v>0.4767519284</v>
      </c>
      <c r="AA24" s="57">
        <f>IFERROR(__xludf.DUMMYFUNCTION("""COMPUTED_VALUE"""),0.8541199806771953)</f>
        <v>0.8541199807</v>
      </c>
      <c r="AB24" s="57">
        <f>IFERROR(__xludf.DUMMYFUNCTION("""COMPUTED_VALUE"""),2.0364676002938116)</f>
        <v>2.0364676</v>
      </c>
      <c r="AC24" s="31">
        <f>IFERROR(__xludf.DUMMYFUNCTION("""COMPUTED_VALUE"""),290.99614299717643)</f>
        <v>290.996143</v>
      </c>
      <c r="AD24" s="57">
        <f>IFERROR(__xludf.DUMMYFUNCTION("""COMPUTED_VALUE"""),0.7547378727019761)</f>
        <v>0.7547378727</v>
      </c>
      <c r="AE24" s="57">
        <f>IFERROR(__xludf.DUMMYFUNCTION("""COMPUTED_VALUE"""),0.4463956162540809)</f>
        <v>0.4463956163</v>
      </c>
      <c r="AF24" s="57">
        <f>IFERROR(__xludf.DUMMYFUNCTION("""COMPUTED_VALUE"""),0.8427308970858486)</f>
        <v>0.8427308971</v>
      </c>
      <c r="AG24" s="57">
        <f>IFERROR(__xludf.DUMMYFUNCTION("""COMPUTED_VALUE"""),2.036758877616913)</f>
        <v>2.036758878</v>
      </c>
      <c r="AH24" s="57">
        <f>IFERROR(__xludf.DUMMYFUNCTION("""COMPUTED_VALUE"""),0.7839841493657779)</f>
        <v>0.7839841494</v>
      </c>
      <c r="AI24" s="57">
        <f>IFERROR(__xludf.DUMMYFUNCTION("""COMPUTED_VALUE"""),0.6022560560240247)</f>
        <v>0.602256056</v>
      </c>
      <c r="AJ24" s="57">
        <f>IFERROR(__xludf.DUMMYFUNCTION("""COMPUTED_VALUE"""),1.4255597796942272)</f>
        <v>1.42555978</v>
      </c>
      <c r="AK24" s="57">
        <f>IFERROR(__xludf.DUMMYFUNCTION("""COMPUTED_VALUE"""),0.6472464072940952)</f>
        <v>0.6472464073</v>
      </c>
      <c r="AL24" s="57">
        <f>IFERROR(__xludf.DUMMYFUNCTION("""COMPUTED_VALUE"""),0.7364642012779923)</f>
        <v>0.7364642013</v>
      </c>
      <c r="AM24" s="57">
        <f>IFERROR(__xludf.DUMMYFUNCTION("""COMPUTED_VALUE"""),0.9683912496432837)</f>
        <v>0.9683912496</v>
      </c>
      <c r="AN24" s="57">
        <f>IFERROR(__xludf.DUMMYFUNCTION("""COMPUTED_VALUE"""),1.0879250562088962)</f>
        <v>1.087925056</v>
      </c>
      <c r="AO24" s="57">
        <f>IFERROR(__xludf.DUMMYFUNCTION("""COMPUTED_VALUE"""),0.8421888358058197)</f>
        <v>0.8421888358</v>
      </c>
      <c r="AP24" s="35">
        <f>IFERROR(__xludf.DUMMYFUNCTION("""COMPUTED_VALUE"""),0.895836103195782)</f>
        <v>0.8958361032</v>
      </c>
      <c r="AQ24" s="57">
        <f>IFERROR(__xludf.DUMMYFUNCTION("""COMPUTED_VALUE"""),0.8593311279528918)</f>
        <v>0.859331128</v>
      </c>
      <c r="AR24" s="36" t="b">
        <f>IFERROR(__xludf.DUMMYFUNCTION("""COMPUTED_VALUE"""),TRUE)</f>
        <v>1</v>
      </c>
      <c r="AS24" s="57"/>
      <c r="AT24" s="37"/>
      <c r="AU24" s="30"/>
      <c r="AV24" s="30"/>
      <c r="AW24" s="30"/>
      <c r="AX24" s="30"/>
      <c r="AY24" s="30"/>
      <c r="AZ24" s="30"/>
    </row>
    <row r="25">
      <c r="A25" s="30" t="str">
        <f>IFERROR(__xludf.DUMMYFUNCTION("""COMPUTED_VALUE"""),"Amateur")</f>
        <v>Amateur</v>
      </c>
      <c r="B25" s="30" t="str">
        <f>IFERROR(__xludf.DUMMYFUNCTION("""COMPUTED_VALUE"""),"RSC006137")</f>
        <v>RSC006137</v>
      </c>
      <c r="C25" s="30" t="str">
        <f>IFERROR(__xludf.DUMMYFUNCTION("""COMPUTED_VALUE"""),"FULLBL00DN8V")</f>
        <v>FULLBL00DN8V</v>
      </c>
      <c r="D25" s="31" t="str">
        <f>IFERROR(__xludf.DUMMYFUNCTION("""COMPUTED_VALUE"""),"Winter Fresh")</f>
        <v>Winter Fresh</v>
      </c>
      <c r="E25" s="31">
        <f>IFERROR(__xludf.DUMMYFUNCTION("""COMPUTED_VALUE"""),46.62288997259758)</f>
        <v>46.62288997</v>
      </c>
      <c r="F25" s="31">
        <f>IFERROR(__xludf.DUMMYFUNCTION("""COMPUTED_VALUE"""),-2.2407830182332207)</f>
        <v>-2.240783018</v>
      </c>
      <c r="G25" s="31">
        <f>IFERROR(__xludf.DUMMYFUNCTION("""COMPUTED_VALUE"""),38.04425639830199)</f>
        <v>38.0442564</v>
      </c>
      <c r="H25" s="31">
        <f>IFERROR(__xludf.DUMMYFUNCTION("""COMPUTED_VALUE"""),-3.1621218556988357)</f>
        <v>-3.162121856</v>
      </c>
      <c r="I25" s="54">
        <f>IFERROR(__xludf.DUMMYFUNCTION("""COMPUTED_VALUE"""),31.0)</f>
        <v>31</v>
      </c>
      <c r="J25" s="55">
        <f>IFERROR(__xludf.DUMMYFUNCTION("""COMPUTED_VALUE"""),12.0)</f>
        <v>12</v>
      </c>
      <c r="K25" s="54">
        <f>IFERROR(__xludf.DUMMYFUNCTION("""COMPUTED_VALUE"""),19.0)</f>
        <v>19</v>
      </c>
      <c r="L25" s="56">
        <f>IFERROR(__xludf.DUMMYFUNCTION("""COMPUTED_VALUE"""),0.3870967741935484)</f>
        <v>0.3870967742</v>
      </c>
      <c r="M25" s="56">
        <f>IFERROR(__xludf.DUMMYFUNCTION("""COMPUTED_VALUE"""),0.39999999999999997)</f>
        <v>0.4</v>
      </c>
      <c r="N25" s="31">
        <f>IFERROR(__xludf.DUMMYFUNCTION("""COMPUTED_VALUE"""),256.7741935483871)</f>
        <v>256.7741935</v>
      </c>
      <c r="O25" s="57">
        <f>IFERROR(__xludf.DUMMYFUNCTION("""COMPUTED_VALUE"""),0.7741935483870968)</f>
        <v>0.7741935484</v>
      </c>
      <c r="P25" s="57">
        <f>IFERROR(__xludf.DUMMYFUNCTION("""COMPUTED_VALUE"""),0.4838709677419355)</f>
        <v>0.4838709677</v>
      </c>
      <c r="Q25" s="57">
        <f>IFERROR(__xludf.DUMMYFUNCTION("""COMPUTED_VALUE"""),0.7096774193548387)</f>
        <v>0.7096774194</v>
      </c>
      <c r="R25" s="57">
        <f>IFERROR(__xludf.DUMMYFUNCTION("""COMPUTED_VALUE"""),1.935483870967742)</f>
        <v>1.935483871</v>
      </c>
      <c r="S25" s="31">
        <f>IFERROR(__xludf.DUMMYFUNCTION("""COMPUTED_VALUE"""),328.9032258064516)</f>
        <v>328.9032258</v>
      </c>
      <c r="T25" s="57">
        <f>IFERROR(__xludf.DUMMYFUNCTION("""COMPUTED_VALUE"""),1.010752688172043)</f>
        <v>1.010752688</v>
      </c>
      <c r="U25" s="57">
        <f>IFERROR(__xludf.DUMMYFUNCTION("""COMPUTED_VALUE"""),0.6881720430107525)</f>
        <v>0.688172043</v>
      </c>
      <c r="V25" s="57">
        <f>IFERROR(__xludf.DUMMYFUNCTION("""COMPUTED_VALUE"""),0.8494623655913979)</f>
        <v>0.8494623656</v>
      </c>
      <c r="W25" s="57">
        <f>IFERROR(__xludf.DUMMYFUNCTION("""COMPUTED_VALUE"""),2.258064516129033)</f>
        <v>2.258064516</v>
      </c>
      <c r="X25" s="31">
        <f>IFERROR(__xludf.DUMMYFUNCTION("""COMPUTED_VALUE"""),301.0478192436625)</f>
        <v>301.0478192</v>
      </c>
      <c r="Y25" s="57">
        <f>IFERROR(__xludf.DUMMYFUNCTION("""COMPUTED_VALUE"""),0.8345179024958497)</f>
        <v>0.8345179025</v>
      </c>
      <c r="Z25" s="57">
        <f>IFERROR(__xludf.DUMMYFUNCTION("""COMPUTED_VALUE"""),0.4550801103288611)</f>
        <v>0.4550801103</v>
      </c>
      <c r="AA25" s="57">
        <f>IFERROR(__xludf.DUMMYFUNCTION("""COMPUTED_VALUE"""),0.8572527234926979)</f>
        <v>0.8572527235</v>
      </c>
      <c r="AB25" s="57">
        <f>IFERROR(__xludf.DUMMYFUNCTION("""COMPUTED_VALUE"""),2.047713478477477)</f>
        <v>2.047713478</v>
      </c>
      <c r="AC25" s="31">
        <f>IFERROR(__xludf.DUMMYFUNCTION("""COMPUTED_VALUE"""),290.5865796995714)</f>
        <v>290.5865797</v>
      </c>
      <c r="AD25" s="57">
        <f>IFERROR(__xludf.DUMMYFUNCTION("""COMPUTED_VALUE"""),0.7593163585479327)</f>
        <v>0.7593163585</v>
      </c>
      <c r="AE25" s="57">
        <f>IFERROR(__xludf.DUMMYFUNCTION("""COMPUTED_VALUE"""),0.41225334937212366)</f>
        <v>0.4122533494</v>
      </c>
      <c r="AF25" s="57">
        <f>IFERROR(__xludf.DUMMYFUNCTION("""COMPUTED_VALUE"""),0.85539741333374)</f>
        <v>0.8553974133</v>
      </c>
      <c r="AG25" s="57">
        <f>IFERROR(__xludf.DUMMYFUNCTION("""COMPUTED_VALUE"""),2.0210295743597144)</f>
        <v>2.021029574</v>
      </c>
      <c r="AH25" s="57">
        <f>IFERROR(__xludf.DUMMYFUNCTION("""COMPUTED_VALUE"""),0.8836409231763492)</f>
        <v>0.8836409232</v>
      </c>
      <c r="AI25" s="57">
        <f>IFERROR(__xludf.DUMMYFUNCTION("""COMPUTED_VALUE"""),1.0195928741316918)</f>
        <v>1.019592874</v>
      </c>
      <c r="AJ25" s="57">
        <f>IFERROR(__xludf.DUMMYFUNCTION("""COMPUTED_VALUE"""),1.1737223444730964)</f>
        <v>1.173722344</v>
      </c>
      <c r="AK25" s="57">
        <f>IFERROR(__xludf.DUMMYFUNCTION("""COMPUTED_VALUE"""),0.8296464406982635)</f>
        <v>0.8296464407</v>
      </c>
      <c r="AL25" s="57">
        <f>IFERROR(__xludf.DUMMYFUNCTION("""COMPUTED_VALUE"""),0.9576722159451455)</f>
        <v>0.9576722159</v>
      </c>
      <c r="AM25" s="57">
        <f>IFERROR(__xludf.DUMMYFUNCTION("""COMPUTED_VALUE"""),1.0925281791868535)</f>
        <v>1.092528179</v>
      </c>
      <c r="AN25" s="57">
        <f>IFERROR(__xludf.DUMMYFUNCTION("""COMPUTED_VALUE"""),1.2111815518266487)</f>
        <v>1.211181552</v>
      </c>
      <c r="AO25" s="57">
        <f>IFERROR(__xludf.DUMMYFUNCTION("""COMPUTED_VALUE"""),1.5121997806352137)</f>
        <v>1.512199781</v>
      </c>
      <c r="AP25" s="35">
        <f>IFERROR(__xludf.DUMMYFUNCTION("""COMPUTED_VALUE"""),0.9909124139383777)</f>
        <v>0.9909124139</v>
      </c>
      <c r="AQ25" s="57">
        <f>IFERROR(__xludf.DUMMYFUNCTION("""COMPUTED_VALUE"""),1.1027248391254214)</f>
        <v>1.102724839</v>
      </c>
      <c r="AR25" s="36" t="b">
        <f>IFERROR(__xludf.DUMMYFUNCTION("""COMPUTED_VALUE"""),TRUE)</f>
        <v>1</v>
      </c>
      <c r="AS25" s="57"/>
      <c r="AT25" s="37"/>
      <c r="AU25" s="30"/>
      <c r="AV25" s="30"/>
      <c r="AW25" s="30"/>
      <c r="AX25" s="30"/>
      <c r="AY25" s="30"/>
      <c r="AZ25" s="30"/>
    </row>
    <row r="26">
      <c r="A26" s="30" t="str">
        <f>IFERROR(__xludf.DUMMYFUNCTION("""COMPUTED_VALUE"""),"Amateur")</f>
        <v>Amateur</v>
      </c>
      <c r="B26" s="30" t="str">
        <f>IFERROR(__xludf.DUMMYFUNCTION("""COMPUTED_VALUE"""),"RSC006147")</f>
        <v>RSC006147</v>
      </c>
      <c r="C26" s="30" t="str">
        <f>IFERROR(__xludf.DUMMYFUNCTION("""COMPUTED_VALUE"""),"Stolris")</f>
        <v>Stolris</v>
      </c>
      <c r="D26" s="31"/>
      <c r="E26" s="31">
        <f>IFERROR(__xludf.DUMMYFUNCTION("""COMPUTED_VALUE"""),46.107986755723815)</f>
        <v>46.10798676</v>
      </c>
      <c r="F26" s="31">
        <f>IFERROR(__xludf.DUMMYFUNCTION("""COMPUTED_VALUE"""),-2.282362877050933)</f>
        <v>-2.282362877</v>
      </c>
      <c r="G26" s="31">
        <f>IFERROR(__xludf.DUMMYFUNCTION("""COMPUTED_VALUE"""),22.8895847507368)</f>
        <v>22.88958475</v>
      </c>
      <c r="H26" s="31">
        <f>IFERROR(__xludf.DUMMYFUNCTION("""COMPUTED_VALUE"""),-7.189586310830696)</f>
        <v>-7.189586311</v>
      </c>
      <c r="I26" s="54">
        <f>IFERROR(__xludf.DUMMYFUNCTION("""COMPUTED_VALUE"""),3.0)</f>
        <v>3</v>
      </c>
      <c r="J26" s="55">
        <f>IFERROR(__xludf.DUMMYFUNCTION("""COMPUTED_VALUE"""),1.0)</f>
        <v>1</v>
      </c>
      <c r="K26" s="54">
        <f>IFERROR(__xludf.DUMMYFUNCTION("""COMPUTED_VALUE"""),2.0)</f>
        <v>2</v>
      </c>
      <c r="L26" s="56">
        <f>IFERROR(__xludf.DUMMYFUNCTION("""COMPUTED_VALUE"""),0.3333333333333333)</f>
        <v>0.3333333333</v>
      </c>
      <c r="M26" s="56">
        <f>IFERROR(__xludf.DUMMYFUNCTION("""COMPUTED_VALUE"""),0.2857142857142857)</f>
        <v>0.2857142857</v>
      </c>
      <c r="N26" s="31">
        <f>IFERROR(__xludf.DUMMYFUNCTION("""COMPUTED_VALUE"""),198.0)</f>
        <v>198</v>
      </c>
      <c r="O26" s="57">
        <f>IFERROR(__xludf.DUMMYFUNCTION("""COMPUTED_VALUE"""),0.6666666666666666)</f>
        <v>0.6666666667</v>
      </c>
      <c r="P26" s="57">
        <f>IFERROR(__xludf.DUMMYFUNCTION("""COMPUTED_VALUE"""),0.3333333333333333)</f>
        <v>0.3333333333</v>
      </c>
      <c r="Q26" s="57">
        <f>IFERROR(__xludf.DUMMYFUNCTION("""COMPUTED_VALUE"""),0.3333333333333333)</f>
        <v>0.3333333333</v>
      </c>
      <c r="R26" s="57">
        <f>IFERROR(__xludf.DUMMYFUNCTION("""COMPUTED_VALUE"""),2.3333333333333335)</f>
        <v>2.333333333</v>
      </c>
      <c r="S26" s="31">
        <f>IFERROR(__xludf.DUMMYFUNCTION("""COMPUTED_VALUE"""),293.5555555555556)</f>
        <v>293.5555556</v>
      </c>
      <c r="T26" s="57">
        <f>IFERROR(__xludf.DUMMYFUNCTION("""COMPUTED_VALUE"""),0.7777777777777777)</f>
        <v>0.7777777778</v>
      </c>
      <c r="U26" s="57">
        <f>IFERROR(__xludf.DUMMYFUNCTION("""COMPUTED_VALUE"""),0.4444444444444444)</f>
        <v>0.4444444444</v>
      </c>
      <c r="V26" s="57">
        <f>IFERROR(__xludf.DUMMYFUNCTION("""COMPUTED_VALUE"""),0.9999999999999999)</f>
        <v>1</v>
      </c>
      <c r="W26" s="57">
        <f>IFERROR(__xludf.DUMMYFUNCTION("""COMPUTED_VALUE"""),1.888888888888889)</f>
        <v>1.888888889</v>
      </c>
      <c r="X26" s="31">
        <f>IFERROR(__xludf.DUMMYFUNCTION("""COMPUTED_VALUE"""),295.0908013555072)</f>
        <v>295.0908014</v>
      </c>
      <c r="Y26" s="57">
        <f>IFERROR(__xludf.DUMMYFUNCTION("""COMPUTED_VALUE"""),0.7914340561399383)</f>
        <v>0.7914340561</v>
      </c>
      <c r="Z26" s="57">
        <f>IFERROR(__xludf.DUMMYFUNCTION("""COMPUTED_VALUE"""),0.419025419025419)</f>
        <v>0.419025419</v>
      </c>
      <c r="AA26" s="57">
        <f>IFERROR(__xludf.DUMMYFUNCTION("""COMPUTED_VALUE"""),0.8265329441800029)</f>
        <v>0.8265329442</v>
      </c>
      <c r="AB26" s="57">
        <f>IFERROR(__xludf.DUMMYFUNCTION("""COMPUTED_VALUE"""),2.1791215320627084)</f>
        <v>2.179121532</v>
      </c>
      <c r="AC26" s="31">
        <f>IFERROR(__xludf.DUMMYFUNCTION("""COMPUTED_VALUE"""),295.22969160469165)</f>
        <v>295.2296916</v>
      </c>
      <c r="AD26" s="57">
        <f>IFERROR(__xludf.DUMMYFUNCTION("""COMPUTED_VALUE"""),0.7017380767380766)</f>
        <v>0.7017380767</v>
      </c>
      <c r="AE26" s="57">
        <f>IFERROR(__xludf.DUMMYFUNCTION("""COMPUTED_VALUE"""),0.40214415214415206)</f>
        <v>0.4021441521</v>
      </c>
      <c r="AF26" s="57">
        <f>IFERROR(__xludf.DUMMYFUNCTION("""COMPUTED_VALUE"""),1.0166777666777669)</f>
        <v>1.016677767</v>
      </c>
      <c r="AG26" s="57">
        <f>IFERROR(__xludf.DUMMYFUNCTION("""COMPUTED_VALUE"""),2.0339475339475332)</f>
        <v>2.033947534</v>
      </c>
      <c r="AH26" s="57">
        <f>IFERROR(__xludf.DUMMYFUNCTION("""COMPUTED_VALUE"""),0.6706642510236375)</f>
        <v>0.670664251</v>
      </c>
      <c r="AI26" s="57">
        <f>IFERROR(__xludf.DUMMYFUNCTION("""COMPUTED_VALUE"""),0.950022079128962)</f>
        <v>0.9500220791</v>
      </c>
      <c r="AJ26" s="57">
        <f>IFERROR(__xludf.DUMMYFUNCTION("""COMPUTED_VALUE"""),0.8288901667625074)</f>
        <v>0.8288901668</v>
      </c>
      <c r="AK26" s="57">
        <f>IFERROR(__xludf.DUMMYFUNCTION("""COMPUTED_VALUE"""),0.3278652728116384)</f>
        <v>0.3278652728</v>
      </c>
      <c r="AL26" s="57">
        <f>IFERROR(__xludf.DUMMYFUNCTION("""COMPUTED_VALUE"""),1.1471944553086604)</f>
        <v>1.147194455</v>
      </c>
      <c r="AM26" s="57">
        <f>IFERROR(__xludf.DUMMYFUNCTION("""COMPUTED_VALUE"""),0.9947973783225387)</f>
        <v>0.9947973783</v>
      </c>
      <c r="AN26" s="57">
        <f>IFERROR(__xludf.DUMMYFUNCTION("""COMPUTED_VALUE"""),0.9827448942129602)</f>
        <v>0.9827448942</v>
      </c>
      <c r="AO26" s="57">
        <f>IFERROR(__xludf.DUMMYFUNCTION("""COMPUTED_VALUE"""),1.0606622516556292)</f>
        <v>1.060662252</v>
      </c>
      <c r="AP26" s="35">
        <f>IFERROR(__xludf.DUMMYFUNCTION("""COMPUTED_VALUE"""),1.209873129729986)</f>
        <v>1.20987313</v>
      </c>
      <c r="AQ26" s="57">
        <f>IFERROR(__xludf.DUMMYFUNCTION("""COMPUTED_VALUE"""),0.8668120896868512)</f>
        <v>0.8668120897</v>
      </c>
      <c r="AR26" s="36" t="b">
        <f>IFERROR(__xludf.DUMMYFUNCTION("""COMPUTED_VALUE"""),TRUE)</f>
        <v>1</v>
      </c>
      <c r="AS26" s="57"/>
      <c r="AT26" s="37"/>
      <c r="AU26" s="30"/>
      <c r="AV26" s="30"/>
      <c r="AW26" s="30"/>
      <c r="AX26" s="30"/>
      <c r="AY26" s="30"/>
      <c r="AZ26" s="30"/>
    </row>
    <row r="27">
      <c r="A27" s="30" t="str">
        <f>IFERROR(__xludf.DUMMYFUNCTION("""COMPUTED_VALUE"""),"Amateur")</f>
        <v>Amateur</v>
      </c>
      <c r="B27" s="30" t="str">
        <f>IFERROR(__xludf.DUMMYFUNCTION("""COMPUTED_VALUE"""),"RSC000654")</f>
        <v>RSC000654</v>
      </c>
      <c r="C27" s="30" t="str">
        <f>IFERROR(__xludf.DUMMYFUNCTION("""COMPUTED_VALUE"""),"Rocci")</f>
        <v>Rocci</v>
      </c>
      <c r="D27" s="31" t="str">
        <f>IFERROR(__xludf.DUMMYFUNCTION("""COMPUTED_VALUE"""),"Aeon Ale")</f>
        <v>Aeon Ale</v>
      </c>
      <c r="E27" s="31">
        <f>IFERROR(__xludf.DUMMYFUNCTION("""COMPUTED_VALUE"""),44.7023130277991)</f>
        <v>44.70231303</v>
      </c>
      <c r="F27" s="31">
        <f>IFERROR(__xludf.DUMMYFUNCTION("""COMPUTED_VALUE"""),-2.4033284682616802)</f>
        <v>-2.403328468</v>
      </c>
      <c r="G27" s="31">
        <f>IFERROR(__xludf.DUMMYFUNCTION("""COMPUTED_VALUE"""),42.77240199804201)</f>
        <v>42.772402</v>
      </c>
      <c r="H27" s="31">
        <f>IFERROR(__xludf.DUMMYFUNCTION("""COMPUTED_VALUE"""),-2.5889905507032718)</f>
        <v>-2.588990551</v>
      </c>
      <c r="I27" s="54">
        <f>IFERROR(__xludf.DUMMYFUNCTION("""COMPUTED_VALUE"""),20.0)</f>
        <v>20</v>
      </c>
      <c r="J27" s="55">
        <f>IFERROR(__xludf.DUMMYFUNCTION("""COMPUTED_VALUE"""),11.0)</f>
        <v>11</v>
      </c>
      <c r="K27" s="54">
        <f>IFERROR(__xludf.DUMMYFUNCTION("""COMPUTED_VALUE"""),9.0)</f>
        <v>9</v>
      </c>
      <c r="L27" s="56">
        <f>IFERROR(__xludf.DUMMYFUNCTION("""COMPUTED_VALUE"""),0.55)</f>
        <v>0.55</v>
      </c>
      <c r="M27" s="56">
        <f>IFERROR(__xludf.DUMMYFUNCTION("""COMPUTED_VALUE"""),0.35714285714285715)</f>
        <v>0.3571428571</v>
      </c>
      <c r="N27" s="31">
        <f>IFERROR(__xludf.DUMMYFUNCTION("""COMPUTED_VALUE"""),253.4)</f>
        <v>253.4</v>
      </c>
      <c r="O27" s="57">
        <f>IFERROR(__xludf.DUMMYFUNCTION("""COMPUTED_VALUE"""),0.5)</f>
        <v>0.5</v>
      </c>
      <c r="P27" s="57">
        <f>IFERROR(__xludf.DUMMYFUNCTION("""COMPUTED_VALUE"""),0.45)</f>
        <v>0.45</v>
      </c>
      <c r="Q27" s="57">
        <f>IFERROR(__xludf.DUMMYFUNCTION("""COMPUTED_VALUE"""),1.1)</f>
        <v>1.1</v>
      </c>
      <c r="R27" s="57">
        <f>IFERROR(__xludf.DUMMYFUNCTION("""COMPUTED_VALUE"""),1.4)</f>
        <v>1.4</v>
      </c>
      <c r="S27" s="31">
        <f>IFERROR(__xludf.DUMMYFUNCTION("""COMPUTED_VALUE"""),287.29999999999995)</f>
        <v>287.3</v>
      </c>
      <c r="T27" s="57">
        <f>IFERROR(__xludf.DUMMYFUNCTION("""COMPUTED_VALUE"""),0.6833333333333333)</f>
        <v>0.6833333333</v>
      </c>
      <c r="U27" s="57">
        <f>IFERROR(__xludf.DUMMYFUNCTION("""COMPUTED_VALUE"""),0.35000000000000003)</f>
        <v>0.35</v>
      </c>
      <c r="V27" s="57">
        <f>IFERROR(__xludf.DUMMYFUNCTION("""COMPUTED_VALUE"""),0.8333333333333336)</f>
        <v>0.8333333333</v>
      </c>
      <c r="W27" s="57">
        <f>IFERROR(__xludf.DUMMYFUNCTION("""COMPUTED_VALUE"""),1.9000000000000004)</f>
        <v>1.9</v>
      </c>
      <c r="X27" s="31">
        <f>IFERROR(__xludf.DUMMYFUNCTION("""COMPUTED_VALUE"""),301.47123554174715)</f>
        <v>301.4712355</v>
      </c>
      <c r="Y27" s="57">
        <f>IFERROR(__xludf.DUMMYFUNCTION("""COMPUTED_VALUE"""),0.757791559011267)</f>
        <v>0.757791559</v>
      </c>
      <c r="Z27" s="57">
        <f>IFERROR(__xludf.DUMMYFUNCTION("""COMPUTED_VALUE"""),0.4314309871993781)</f>
        <v>0.4314309872</v>
      </c>
      <c r="AA27" s="57">
        <f>IFERROR(__xludf.DUMMYFUNCTION("""COMPUTED_VALUE"""),0.9172068136690967)</f>
        <v>0.9172068137</v>
      </c>
      <c r="AB27" s="57">
        <f>IFERROR(__xludf.DUMMYFUNCTION("""COMPUTED_VALUE"""),2.1040564008013196)</f>
        <v>2.104056401</v>
      </c>
      <c r="AC27" s="31">
        <f>IFERROR(__xludf.DUMMYFUNCTION("""COMPUTED_VALUE"""),293.5361997499807)</f>
        <v>293.5361997</v>
      </c>
      <c r="AD27" s="57">
        <f>IFERROR(__xludf.DUMMYFUNCTION("""COMPUTED_VALUE"""),0.7637346012963085)</f>
        <v>0.7637346013</v>
      </c>
      <c r="AE27" s="57">
        <f>IFERROR(__xludf.DUMMYFUNCTION("""COMPUTED_VALUE"""),0.4163982367774507)</f>
        <v>0.4163982368</v>
      </c>
      <c r="AF27" s="57">
        <f>IFERROR(__xludf.DUMMYFUNCTION("""COMPUTED_VALUE"""),0.8927409881076009)</f>
        <v>0.8927409881</v>
      </c>
      <c r="AG27" s="57">
        <f>IFERROR(__xludf.DUMMYFUNCTION("""COMPUTED_VALUE"""),2.030472239004055)</f>
        <v>2.030472239</v>
      </c>
      <c r="AH27" s="57">
        <f>IFERROR(__xludf.DUMMYFUNCTION("""COMPUTED_VALUE"""),0.86326660976)</f>
        <v>0.8632666098</v>
      </c>
      <c r="AI27" s="57">
        <f>IFERROR(__xludf.DUMMYFUNCTION("""COMPUTED_VALUE"""),0.6546776840427757)</f>
        <v>0.654677684</v>
      </c>
      <c r="AJ27" s="57">
        <f>IFERROR(__xludf.DUMMYFUNCTION("""COMPUTED_VALUE"""),1.080696218799092)</f>
        <v>1.080696219</v>
      </c>
      <c r="AK27" s="57">
        <f>IFERROR(__xludf.DUMMYFUNCTION("""COMPUTED_VALUE"""),1.2321602958230238)</f>
        <v>1.232160296</v>
      </c>
      <c r="AL27" s="57">
        <f>IFERROR(__xludf.DUMMYFUNCTION("""COMPUTED_VALUE"""),0.6894947752088937)</f>
        <v>0.6894947752</v>
      </c>
      <c r="AM27" s="57">
        <f>IFERROR(__xludf.DUMMYFUNCTION("""COMPUTED_VALUE"""),0.9529930757198731)</f>
        <v>0.9529930757</v>
      </c>
      <c r="AN27" s="57">
        <f>IFERROR(__xludf.DUMMYFUNCTION("""COMPUTED_VALUE"""),0.9017431313498879)</f>
        <v>0.9017431313</v>
      </c>
      <c r="AO27" s="57">
        <f>IFERROR(__xludf.DUMMYFUNCTION("""COMPUTED_VALUE"""),0.811253735555749)</f>
        <v>0.8112537356</v>
      </c>
      <c r="AP27" s="35">
        <f>IFERROR(__xludf.DUMMYFUNCTION("""COMPUTED_VALUE"""),0.9085555415792818)</f>
        <v>0.9085555416</v>
      </c>
      <c r="AQ27" s="57">
        <f>IFERROR(__xludf.DUMMYFUNCTION("""COMPUTED_VALUE"""),0.9030176183853221)</f>
        <v>0.9030176184</v>
      </c>
      <c r="AR27" s="36" t="b">
        <f>IFERROR(__xludf.DUMMYFUNCTION("""COMPUTED_VALUE"""),TRUE)</f>
        <v>1</v>
      </c>
      <c r="AS27" s="57"/>
      <c r="AT27" s="37"/>
      <c r="AU27" s="30"/>
      <c r="AV27" s="30"/>
      <c r="AW27" s="30"/>
      <c r="AX27" s="30"/>
      <c r="AY27" s="30"/>
      <c r="AZ27" s="30"/>
    </row>
    <row r="28">
      <c r="A28" s="30" t="str">
        <f>IFERROR(__xludf.DUMMYFUNCTION("""COMPUTED_VALUE"""),"Amateur")</f>
        <v>Amateur</v>
      </c>
      <c r="B28" s="30" t="str">
        <f>IFERROR(__xludf.DUMMYFUNCTION("""COMPUTED_VALUE"""),"RSC004190")</f>
        <v>RSC004190</v>
      </c>
      <c r="C28" s="30" t="str">
        <f>IFERROR(__xludf.DUMMYFUNCTION("""COMPUTED_VALUE"""),"demonikgoat4061")</f>
        <v>demonikgoat4061</v>
      </c>
      <c r="D28" s="31" t="str">
        <f>IFERROR(__xludf.DUMMYFUNCTION("""COMPUTED_VALUE"""),"Aloof Goofs")</f>
        <v>Aloof Goofs</v>
      </c>
      <c r="E28" s="31">
        <f>IFERROR(__xludf.DUMMYFUNCTION("""COMPUTED_VALUE"""),44.584033383035184)</f>
        <v>44.58403338</v>
      </c>
      <c r="F28" s="31">
        <f>IFERROR(__xludf.DUMMYFUNCTION("""COMPUTED_VALUE"""),-2.4140304866605726)</f>
        <v>-2.414030487</v>
      </c>
      <c r="G28" s="31">
        <f>IFERROR(__xludf.DUMMYFUNCTION("""COMPUTED_VALUE"""),39.07594675878976)</f>
        <v>39.07594676</v>
      </c>
      <c r="H28" s="31">
        <f>IFERROR(__xludf.DUMMYFUNCTION("""COMPUTED_VALUE"""),-3.020514673921006)</f>
        <v>-3.020514674</v>
      </c>
      <c r="I28" s="54">
        <f>IFERROR(__xludf.DUMMYFUNCTION("""COMPUTED_VALUE"""),35.0)</f>
        <v>35</v>
      </c>
      <c r="J28" s="55">
        <f>IFERROR(__xludf.DUMMYFUNCTION("""COMPUTED_VALUE"""),11.0)</f>
        <v>11</v>
      </c>
      <c r="K28" s="54">
        <f>IFERROR(__xludf.DUMMYFUNCTION("""COMPUTED_VALUE"""),24.0)</f>
        <v>24</v>
      </c>
      <c r="L28" s="56">
        <f>IFERROR(__xludf.DUMMYFUNCTION("""COMPUTED_VALUE"""),0.3142857142857143)</f>
        <v>0.3142857143</v>
      </c>
      <c r="M28" s="56">
        <f>IFERROR(__xludf.DUMMYFUNCTION("""COMPUTED_VALUE"""),0.36065573770491804)</f>
        <v>0.3606557377</v>
      </c>
      <c r="N28" s="31">
        <f>IFERROR(__xludf.DUMMYFUNCTION("""COMPUTED_VALUE"""),276.9142857142857)</f>
        <v>276.9142857</v>
      </c>
      <c r="O28" s="57">
        <f>IFERROR(__xludf.DUMMYFUNCTION("""COMPUTED_VALUE"""),0.6285714285714286)</f>
        <v>0.6285714286</v>
      </c>
      <c r="P28" s="57">
        <f>IFERROR(__xludf.DUMMYFUNCTION("""COMPUTED_VALUE"""),0.37142857142857144)</f>
        <v>0.3714285714</v>
      </c>
      <c r="Q28" s="57">
        <f>IFERROR(__xludf.DUMMYFUNCTION("""COMPUTED_VALUE"""),0.8857142857142857)</f>
        <v>0.8857142857</v>
      </c>
      <c r="R28" s="57">
        <f>IFERROR(__xludf.DUMMYFUNCTION("""COMPUTED_VALUE"""),1.7428571428571429)</f>
        <v>1.742857143</v>
      </c>
      <c r="S28" s="31">
        <f>IFERROR(__xludf.DUMMYFUNCTION("""COMPUTED_VALUE"""),317.48333333333323)</f>
        <v>317.4833333</v>
      </c>
      <c r="T28" s="57">
        <f>IFERROR(__xludf.DUMMYFUNCTION("""COMPUTED_VALUE"""),0.8928571428571432)</f>
        <v>0.8928571429</v>
      </c>
      <c r="U28" s="57">
        <f>IFERROR(__xludf.DUMMYFUNCTION("""COMPUTED_VALUE"""),0.5214285714285716)</f>
        <v>0.5214285714</v>
      </c>
      <c r="V28" s="57">
        <f>IFERROR(__xludf.DUMMYFUNCTION("""COMPUTED_VALUE"""),0.9880952380952384)</f>
        <v>0.9880952381</v>
      </c>
      <c r="W28" s="57">
        <f>IFERROR(__xludf.DUMMYFUNCTION("""COMPUTED_VALUE"""),2.1357142857142857)</f>
        <v>2.135714286</v>
      </c>
      <c r="X28" s="31">
        <f>IFERROR(__xludf.DUMMYFUNCTION("""COMPUTED_VALUE"""),300.7559189490684)</f>
        <v>300.7559189</v>
      </c>
      <c r="Y28" s="57">
        <f>IFERROR(__xludf.DUMMYFUNCTION("""COMPUTED_VALUE"""),0.8020084014059642)</f>
        <v>0.8020084014</v>
      </c>
      <c r="Z28" s="57">
        <f>IFERROR(__xludf.DUMMYFUNCTION("""COMPUTED_VALUE"""),0.4711218016457447)</f>
        <v>0.4711218016</v>
      </c>
      <c r="AA28" s="57">
        <f>IFERROR(__xludf.DUMMYFUNCTION("""COMPUTED_VALUE"""),0.9091814310439601)</f>
        <v>0.909181431</v>
      </c>
      <c r="AB28" s="57">
        <f>IFERROR(__xludf.DUMMYFUNCTION("""COMPUTED_VALUE"""),2.041050775184746)</f>
        <v>2.041050775</v>
      </c>
      <c r="AC28" s="31">
        <f>IFERROR(__xludf.DUMMYFUNCTION("""COMPUTED_VALUE"""),283.9099810357451)</f>
        <v>283.909981</v>
      </c>
      <c r="AD28" s="57">
        <f>IFERROR(__xludf.DUMMYFUNCTION("""COMPUTED_VALUE"""),0.7124122212609824)</f>
        <v>0.7124122213</v>
      </c>
      <c r="AE28" s="57">
        <f>IFERROR(__xludf.DUMMYFUNCTION("""COMPUTED_VALUE"""),0.39642633318332887)</f>
        <v>0.3964263332</v>
      </c>
      <c r="AF28" s="57">
        <f>IFERROR(__xludf.DUMMYFUNCTION("""COMPUTED_VALUE"""),0.8459348826969711)</f>
        <v>0.8459348827</v>
      </c>
      <c r="AG28" s="57">
        <f>IFERROR(__xludf.DUMMYFUNCTION("""COMPUTED_VALUE"""),2.010362666335251)</f>
        <v>2.010362666</v>
      </c>
      <c r="AH28" s="57">
        <f>IFERROR(__xludf.DUMMYFUNCTION("""COMPUTED_VALUE"""),0.9753594597275586)</f>
        <v>0.9753594597</v>
      </c>
      <c r="AI28" s="57">
        <f>IFERROR(__xludf.DUMMYFUNCTION("""COMPUTED_VALUE"""),0.8823142133340244)</f>
        <v>0.8823142133</v>
      </c>
      <c r="AJ28" s="57">
        <f>IFERROR(__xludf.DUMMYFUNCTION("""COMPUTED_VALUE"""),0.93694222693527)</f>
        <v>0.9369422269</v>
      </c>
      <c r="AK28" s="57">
        <f>IFERROR(__xludf.DUMMYFUNCTION("""COMPUTED_VALUE"""),1.0470241904323554)</f>
        <v>1.04702419</v>
      </c>
      <c r="AL28" s="57">
        <f>IFERROR(__xludf.DUMMYFUNCTION("""COMPUTED_VALUE"""),0.8669366836354199)</f>
        <v>0.8669366836</v>
      </c>
      <c r="AM28" s="57">
        <f>IFERROR(__xludf.DUMMYFUNCTION("""COMPUTED_VALUE"""),1.0556179058510815)</f>
        <v>1.055617906</v>
      </c>
      <c r="AN28" s="57">
        <f>IFERROR(__xludf.DUMMYFUNCTION("""COMPUTED_VALUE"""),1.1132765458465477)</f>
        <v>1.113276546</v>
      </c>
      <c r="AO28" s="57">
        <f>IFERROR(__xludf.DUMMYFUNCTION("""COMPUTED_VALUE"""),1.106780814657893)</f>
        <v>1.106780815</v>
      </c>
      <c r="AP28" s="35">
        <f>IFERROR(__xludf.DUMMYFUNCTION("""COMPUTED_VALUE"""),1.086796545064351)</f>
        <v>1.086796545</v>
      </c>
      <c r="AQ28" s="57">
        <f>IFERROR(__xludf.DUMMYFUNCTION("""COMPUTED_VALUE"""),1.0463797920563593)</f>
        <v>1.046379792</v>
      </c>
      <c r="AR28" s="36" t="b">
        <f>IFERROR(__xludf.DUMMYFUNCTION("""COMPUTED_VALUE"""),TRUE)</f>
        <v>1</v>
      </c>
      <c r="AS28" s="57"/>
      <c r="AT28" s="37"/>
      <c r="AU28" s="30"/>
      <c r="AV28" s="30"/>
      <c r="AW28" s="30"/>
      <c r="AX28" s="30"/>
      <c r="AY28" s="30"/>
      <c r="AZ28" s="30"/>
    </row>
    <row r="29">
      <c r="A29" s="30" t="str">
        <f>IFERROR(__xludf.DUMMYFUNCTION("""COMPUTED_VALUE"""),"Amateur")</f>
        <v>Amateur</v>
      </c>
      <c r="B29" s="30" t="str">
        <f>IFERROR(__xludf.DUMMYFUNCTION("""COMPUTED_VALUE"""),"RSC005925")</f>
        <v>RSC005925</v>
      </c>
      <c r="C29" s="30" t="str">
        <f>IFERROR(__xludf.DUMMYFUNCTION("""COMPUTED_VALUE"""),"Emily26210")</f>
        <v>Emily26210</v>
      </c>
      <c r="D29" s="31" t="str">
        <f>IFERROR(__xludf.DUMMYFUNCTION("""COMPUTED_VALUE"""),"Kiwis")</f>
        <v>Kiwis</v>
      </c>
      <c r="E29" s="31">
        <f>IFERROR(__xludf.DUMMYFUNCTION("""COMPUTED_VALUE"""),44.33382014189521)</f>
        <v>44.33382014</v>
      </c>
      <c r="F29" s="31">
        <f>IFERROR(__xludf.DUMMYFUNCTION("""COMPUTED_VALUE"""),-2.436949739672897)</f>
        <v>-2.43694974</v>
      </c>
      <c r="G29" s="31">
        <f>IFERROR(__xludf.DUMMYFUNCTION("""COMPUTED_VALUE"""),49.050845447884235)</f>
        <v>49.05084545</v>
      </c>
      <c r="H29" s="31">
        <f>IFERROR(__xludf.DUMMYFUNCTION("""COMPUTED_VALUE"""),-2.062462405368249)</f>
        <v>-2.062462405</v>
      </c>
      <c r="I29" s="54">
        <f>IFERROR(__xludf.DUMMYFUNCTION("""COMPUTED_VALUE"""),31.0)</f>
        <v>31</v>
      </c>
      <c r="J29" s="55">
        <f>IFERROR(__xludf.DUMMYFUNCTION("""COMPUTED_VALUE"""),7.0)</f>
        <v>7</v>
      </c>
      <c r="K29" s="54">
        <f>IFERROR(__xludf.DUMMYFUNCTION("""COMPUTED_VALUE"""),24.0)</f>
        <v>24</v>
      </c>
      <c r="L29" s="56">
        <f>IFERROR(__xludf.DUMMYFUNCTION("""COMPUTED_VALUE"""),0.22580645161290322)</f>
        <v>0.2258064516</v>
      </c>
      <c r="M29" s="56">
        <f>IFERROR(__xludf.DUMMYFUNCTION("""COMPUTED_VALUE"""),0.29333333333333333)</f>
        <v>0.2933333333</v>
      </c>
      <c r="N29" s="31">
        <f>IFERROR(__xludf.DUMMYFUNCTION("""COMPUTED_VALUE"""),306.93548387096774)</f>
        <v>306.9354839</v>
      </c>
      <c r="O29" s="57">
        <f>IFERROR(__xludf.DUMMYFUNCTION("""COMPUTED_VALUE"""),0.7096774193548387)</f>
        <v>0.7096774194</v>
      </c>
      <c r="P29" s="57">
        <f>IFERROR(__xludf.DUMMYFUNCTION("""COMPUTED_VALUE"""),0.3548387096774194)</f>
        <v>0.3548387097</v>
      </c>
      <c r="Q29" s="57">
        <f>IFERROR(__xludf.DUMMYFUNCTION("""COMPUTED_VALUE"""),1.1612903225806452)</f>
        <v>1.161290323</v>
      </c>
      <c r="R29" s="57">
        <f>IFERROR(__xludf.DUMMYFUNCTION("""COMPUTED_VALUE"""),2.4193548387096775)</f>
        <v>2.419354839</v>
      </c>
      <c r="S29" s="31">
        <f>IFERROR(__xludf.DUMMYFUNCTION("""COMPUTED_VALUE"""),346.7069892473119)</f>
        <v>346.7069892</v>
      </c>
      <c r="T29" s="57">
        <f>IFERROR(__xludf.DUMMYFUNCTION("""COMPUTED_VALUE"""),1.1532258064516125)</f>
        <v>1.153225806</v>
      </c>
      <c r="U29" s="57">
        <f>IFERROR(__xludf.DUMMYFUNCTION("""COMPUTED_VALUE"""),0.6451612903225805)</f>
        <v>0.6451612903</v>
      </c>
      <c r="V29" s="57">
        <f>IFERROR(__xludf.DUMMYFUNCTION("""COMPUTED_VALUE"""),0.8494623655913982)</f>
        <v>0.8494623656</v>
      </c>
      <c r="W29" s="57">
        <f>IFERROR(__xludf.DUMMYFUNCTION("""COMPUTED_VALUE"""),2.4999999999999996)</f>
        <v>2.5</v>
      </c>
      <c r="X29" s="31">
        <f>IFERROR(__xludf.DUMMYFUNCTION("""COMPUTED_VALUE"""),293.1427623197593)</f>
        <v>293.1427623</v>
      </c>
      <c r="Y29" s="57">
        <f>IFERROR(__xludf.DUMMYFUNCTION("""COMPUTED_VALUE"""),0.8146067934288945)</f>
        <v>0.8146067934</v>
      </c>
      <c r="Z29" s="57">
        <f>IFERROR(__xludf.DUMMYFUNCTION("""COMPUTED_VALUE"""),0.4216487194594151)</f>
        <v>0.4216487195</v>
      </c>
      <c r="AA29" s="57">
        <f>IFERROR(__xludf.DUMMYFUNCTION("""COMPUTED_VALUE"""),0.8231507495917525)</f>
        <v>0.8231507496</v>
      </c>
      <c r="AB29" s="57">
        <f>IFERROR(__xludf.DUMMYFUNCTION("""COMPUTED_VALUE"""),2.054609525698669)</f>
        <v>2.054609526</v>
      </c>
      <c r="AC29" s="31">
        <f>IFERROR(__xludf.DUMMYFUNCTION("""COMPUTED_VALUE"""),291.0146477130986)</f>
        <v>291.0146477</v>
      </c>
      <c r="AD29" s="57">
        <f>IFERROR(__xludf.DUMMYFUNCTION("""COMPUTED_VALUE"""),0.7637239021906919)</f>
        <v>0.7637239022</v>
      </c>
      <c r="AE29" s="57">
        <f>IFERROR(__xludf.DUMMYFUNCTION("""COMPUTED_VALUE"""),0.428973158238442)</f>
        <v>0.4289731582</v>
      </c>
      <c r="AF29" s="57">
        <f>IFERROR(__xludf.DUMMYFUNCTION("""COMPUTED_VALUE"""),0.8545688124214712)</f>
        <v>0.8545688124</v>
      </c>
      <c r="AG29" s="57">
        <f>IFERROR(__xludf.DUMMYFUNCTION("""COMPUTED_VALUE"""),2.008188292187378)</f>
        <v>2.008188292</v>
      </c>
      <c r="AH29" s="57">
        <f>IFERROR(__xludf.DUMMYFUNCTION("""COMPUTED_VALUE"""),1.0547080234035675)</f>
        <v>1.054708023</v>
      </c>
      <c r="AI29" s="57">
        <f>IFERROR(__xludf.DUMMYFUNCTION("""COMPUTED_VALUE"""),0.929232956202072)</f>
        <v>0.9292329562</v>
      </c>
      <c r="AJ29" s="57">
        <f>IFERROR(__xludf.DUMMYFUNCTION("""COMPUTED_VALUE"""),0.8271816146598723)</f>
        <v>0.8271816147</v>
      </c>
      <c r="AK29" s="57">
        <f>IFERROR(__xludf.DUMMYFUNCTION("""COMPUTED_VALUE"""),1.3589196161863906)</f>
        <v>1.358919616</v>
      </c>
      <c r="AL29" s="57">
        <f>IFERROR(__xludf.DUMMYFUNCTION("""COMPUTED_VALUE"""),1.2047450172485792)</f>
        <v>1.204745017</v>
      </c>
      <c r="AM29" s="57">
        <f>IFERROR(__xludf.DUMMYFUNCTION("""COMPUTED_VALUE"""),1.182724030106276)</f>
        <v>1.18272403</v>
      </c>
      <c r="AN29" s="57">
        <f>IFERROR(__xludf.DUMMYFUNCTION("""COMPUTED_VALUE"""),1.4156840033181917)</f>
        <v>1.415684003</v>
      </c>
      <c r="AO29" s="57">
        <f>IFERROR(__xludf.DUMMYFUNCTION("""COMPUTED_VALUE"""),1.5300919000767395)</f>
        <v>1.5300919</v>
      </c>
      <c r="AP29" s="35">
        <f>IFERROR(__xludf.DUMMYFUNCTION("""COMPUTED_VALUE"""),1.0319645168429903)</f>
        <v>1.031964517</v>
      </c>
      <c r="AQ29" s="57">
        <f>IFERROR(__xludf.DUMMYFUNCTION("""COMPUTED_VALUE"""),1.2167762140350613)</f>
        <v>1.216776214</v>
      </c>
      <c r="AR29" s="36" t="b">
        <f>IFERROR(__xludf.DUMMYFUNCTION("""COMPUTED_VALUE"""),TRUE)</f>
        <v>1</v>
      </c>
      <c r="AS29" s="57"/>
      <c r="AT29" s="37"/>
      <c r="AU29" s="30"/>
      <c r="AV29" s="30"/>
      <c r="AW29" s="30"/>
      <c r="AX29" s="30"/>
      <c r="AY29" s="30"/>
      <c r="AZ29" s="30"/>
    </row>
    <row r="30">
      <c r="A30" s="30" t="str">
        <f>IFERROR(__xludf.DUMMYFUNCTION("""COMPUTED_VALUE"""),"Amateur")</f>
        <v>Amateur</v>
      </c>
      <c r="B30" s="30" t="str">
        <f>IFERROR(__xludf.DUMMYFUNCTION("""COMPUTED_VALUE"""),"RSC007875")</f>
        <v>RSC007875</v>
      </c>
      <c r="C30" s="30" t="str">
        <f>IFERROR(__xludf.DUMMYFUNCTION("""COMPUTED_VALUE"""),"Flying__ferret")</f>
        <v>Flying__ferret</v>
      </c>
      <c r="D30" s="31" t="str">
        <f>IFERROR(__xludf.DUMMYFUNCTION("""COMPUTED_VALUE"""),"Winter Fresh")</f>
        <v>Winter Fresh</v>
      </c>
      <c r="E30" s="31">
        <f>IFERROR(__xludf.DUMMYFUNCTION("""COMPUTED_VALUE"""),44.33002514551977)</f>
        <v>44.33002515</v>
      </c>
      <c r="F30" s="31">
        <f>IFERROR(__xludf.DUMMYFUNCTION("""COMPUTED_VALUE"""),-2.437300309827406)</f>
        <v>-2.43730031</v>
      </c>
      <c r="G30" s="31">
        <f>IFERROR(__xludf.DUMMYFUNCTION("""COMPUTED_VALUE"""),41.51975856464725)</f>
        <v>41.51975856</v>
      </c>
      <c r="H30" s="31">
        <f>IFERROR(__xludf.DUMMYFUNCTION("""COMPUTED_VALUE"""),-2.7231194951687874)</f>
        <v>-2.723119495</v>
      </c>
      <c r="I30" s="54">
        <f>IFERROR(__xludf.DUMMYFUNCTION("""COMPUTED_VALUE"""),31.0)</f>
        <v>31</v>
      </c>
      <c r="J30" s="55">
        <f>IFERROR(__xludf.DUMMYFUNCTION("""COMPUTED_VALUE"""),12.0)</f>
        <v>12</v>
      </c>
      <c r="K30" s="54">
        <f>IFERROR(__xludf.DUMMYFUNCTION("""COMPUTED_VALUE"""),19.0)</f>
        <v>19</v>
      </c>
      <c r="L30" s="56">
        <f>IFERROR(__xludf.DUMMYFUNCTION("""COMPUTED_VALUE"""),0.3870967741935484)</f>
        <v>0.3870967742</v>
      </c>
      <c r="M30" s="56">
        <f>IFERROR(__xludf.DUMMYFUNCTION("""COMPUTED_VALUE"""),0.32758620689655177)</f>
        <v>0.3275862069</v>
      </c>
      <c r="N30" s="31">
        <f>IFERROR(__xludf.DUMMYFUNCTION("""COMPUTED_VALUE"""),269.4516129032258)</f>
        <v>269.4516129</v>
      </c>
      <c r="O30" s="57">
        <f>IFERROR(__xludf.DUMMYFUNCTION("""COMPUTED_VALUE"""),0.6129032258064516)</f>
        <v>0.6129032258</v>
      </c>
      <c r="P30" s="57">
        <f>IFERROR(__xludf.DUMMYFUNCTION("""COMPUTED_VALUE"""),0.5161290322580645)</f>
        <v>0.5161290323</v>
      </c>
      <c r="Q30" s="57">
        <f>IFERROR(__xludf.DUMMYFUNCTION("""COMPUTED_VALUE"""),0.8709677419354839)</f>
        <v>0.8709677419</v>
      </c>
      <c r="R30" s="57">
        <f>IFERROR(__xludf.DUMMYFUNCTION("""COMPUTED_VALUE"""),1.8709677419354838)</f>
        <v>1.870967742</v>
      </c>
      <c r="S30" s="31">
        <f>IFERROR(__xludf.DUMMYFUNCTION("""COMPUTED_VALUE"""),328.9032258064516)</f>
        <v>328.9032258</v>
      </c>
      <c r="T30" s="57">
        <f>IFERROR(__xludf.DUMMYFUNCTION("""COMPUTED_VALUE"""),1.010752688172043)</f>
        <v>1.010752688</v>
      </c>
      <c r="U30" s="57">
        <f>IFERROR(__xludf.DUMMYFUNCTION("""COMPUTED_VALUE"""),0.6881720430107525)</f>
        <v>0.688172043</v>
      </c>
      <c r="V30" s="57">
        <f>IFERROR(__xludf.DUMMYFUNCTION("""COMPUTED_VALUE"""),0.8494623655913979)</f>
        <v>0.8494623656</v>
      </c>
      <c r="W30" s="57">
        <f>IFERROR(__xludf.DUMMYFUNCTION("""COMPUTED_VALUE"""),2.258064516129033)</f>
        <v>2.258064516</v>
      </c>
      <c r="X30" s="31">
        <f>IFERROR(__xludf.DUMMYFUNCTION("""COMPUTED_VALUE"""),301.0478192436625)</f>
        <v>301.0478192</v>
      </c>
      <c r="Y30" s="57">
        <f>IFERROR(__xludf.DUMMYFUNCTION("""COMPUTED_VALUE"""),0.8345179024958497)</f>
        <v>0.8345179025</v>
      </c>
      <c r="Z30" s="57">
        <f>IFERROR(__xludf.DUMMYFUNCTION("""COMPUTED_VALUE"""),0.4550801103288611)</f>
        <v>0.4550801103</v>
      </c>
      <c r="AA30" s="57">
        <f>IFERROR(__xludf.DUMMYFUNCTION("""COMPUTED_VALUE"""),0.8572527234926979)</f>
        <v>0.8572527235</v>
      </c>
      <c r="AB30" s="57">
        <f>IFERROR(__xludf.DUMMYFUNCTION("""COMPUTED_VALUE"""),2.047713478477477)</f>
        <v>2.047713478</v>
      </c>
      <c r="AC30" s="31">
        <f>IFERROR(__xludf.DUMMYFUNCTION("""COMPUTED_VALUE"""),290.5865796995714)</f>
        <v>290.5865797</v>
      </c>
      <c r="AD30" s="57">
        <f>IFERROR(__xludf.DUMMYFUNCTION("""COMPUTED_VALUE"""),0.7593163585479327)</f>
        <v>0.7593163585</v>
      </c>
      <c r="AE30" s="57">
        <f>IFERROR(__xludf.DUMMYFUNCTION("""COMPUTED_VALUE"""),0.41225334937212366)</f>
        <v>0.4122533494</v>
      </c>
      <c r="AF30" s="57">
        <f>IFERROR(__xludf.DUMMYFUNCTION("""COMPUTED_VALUE"""),0.85539741333374)</f>
        <v>0.8553974133</v>
      </c>
      <c r="AG30" s="57">
        <f>IFERROR(__xludf.DUMMYFUNCTION("""COMPUTED_VALUE"""),2.0210295743597144)</f>
        <v>2.021029574</v>
      </c>
      <c r="AH30" s="57">
        <f>IFERROR(__xludf.DUMMYFUNCTION("""COMPUTED_VALUE"""),0.9272679185040258)</f>
        <v>0.9272679185</v>
      </c>
      <c r="AI30" s="57">
        <f>IFERROR(__xludf.DUMMYFUNCTION("""COMPUTED_VALUE"""),0.8071776920209226)</f>
        <v>0.807177692</v>
      </c>
      <c r="AJ30" s="57">
        <f>IFERROR(__xludf.DUMMYFUNCTION("""COMPUTED_VALUE"""),1.251970500771303)</f>
        <v>1.251970501</v>
      </c>
      <c r="AK30" s="57">
        <f>IFERROR(__xludf.DUMMYFUNCTION("""COMPUTED_VALUE"""),1.0182024499478688)</f>
        <v>1.01820245</v>
      </c>
      <c r="AL30" s="57">
        <f>IFERROR(__xludf.DUMMYFUNCTION("""COMPUTED_VALUE"""),0.925749808746974)</f>
        <v>0.9257498087</v>
      </c>
      <c r="AM30" s="57">
        <f>IFERROR(__xludf.DUMMYFUNCTION("""COMPUTED_VALUE"""),1.0925281791868535)</f>
        <v>1.092528179</v>
      </c>
      <c r="AN30" s="57">
        <f>IFERROR(__xludf.DUMMYFUNCTION("""COMPUTED_VALUE"""),1.2111815518266487)</f>
        <v>1.211181552</v>
      </c>
      <c r="AO30" s="57">
        <f>IFERROR(__xludf.DUMMYFUNCTION("""COMPUTED_VALUE"""),1.5121997806352137)</f>
        <v>1.512199781</v>
      </c>
      <c r="AP30" s="35">
        <f>IFERROR(__xludf.DUMMYFUNCTION("""COMPUTED_VALUE"""),0.9909124139383777)</f>
        <v>0.9909124139</v>
      </c>
      <c r="AQ30" s="57">
        <f>IFERROR(__xludf.DUMMYFUNCTION("""COMPUTED_VALUE"""),1.1027248391254214)</f>
        <v>1.102724839</v>
      </c>
      <c r="AR30" s="36" t="b">
        <f>IFERROR(__xludf.DUMMYFUNCTION("""COMPUTED_VALUE"""),TRUE)</f>
        <v>1</v>
      </c>
      <c r="AS30" s="57"/>
      <c r="AT30" s="37"/>
      <c r="AU30" s="30"/>
      <c r="AV30" s="30"/>
      <c r="AW30" s="30"/>
      <c r="AX30" s="30"/>
      <c r="AY30" s="30"/>
      <c r="AZ30" s="30"/>
    </row>
    <row r="31">
      <c r="A31" s="30" t="str">
        <f>IFERROR(__xludf.DUMMYFUNCTION("""COMPUTED_VALUE"""),"Amateur")</f>
        <v>Amateur</v>
      </c>
      <c r="B31" s="30" t="str">
        <f>IFERROR(__xludf.DUMMYFUNCTION("""COMPUTED_VALUE"""),"RSC007948")</f>
        <v>RSC007948</v>
      </c>
      <c r="C31" s="30" t="str">
        <f>IFERROR(__xludf.DUMMYFUNCTION("""COMPUTED_VALUE"""),"MasterOfDaTurtle")</f>
        <v>MasterOfDaTurtle</v>
      </c>
      <c r="D31" s="31" t="str">
        <f>IFERROR(__xludf.DUMMYFUNCTION("""COMPUTED_VALUE"""),"Kiwis")</f>
        <v>Kiwis</v>
      </c>
      <c r="E31" s="31">
        <f>IFERROR(__xludf.DUMMYFUNCTION("""COMPUTED_VALUE"""),43.98792908262926)</f>
        <v>43.98792908</v>
      </c>
      <c r="F31" s="31">
        <f>IFERROR(__xludf.DUMMYFUNCTION("""COMPUTED_VALUE"""),-2.469270035478073)</f>
        <v>-2.469270035</v>
      </c>
      <c r="G31" s="31">
        <f>IFERROR(__xludf.DUMMYFUNCTION("""COMPUTED_VALUE"""),38.58994434687939)</f>
        <v>38.58994435</v>
      </c>
      <c r="H31" s="31">
        <f>IFERROR(__xludf.DUMMYFUNCTION("""COMPUTED_VALUE"""),-3.0859398835132277)</f>
        <v>-3.085939884</v>
      </c>
      <c r="I31" s="54">
        <f>IFERROR(__xludf.DUMMYFUNCTION("""COMPUTED_VALUE"""),14.0)</f>
        <v>14</v>
      </c>
      <c r="J31" s="55">
        <f>IFERROR(__xludf.DUMMYFUNCTION("""COMPUTED_VALUE"""),3.0)</f>
        <v>3</v>
      </c>
      <c r="K31" s="54">
        <f>IFERROR(__xludf.DUMMYFUNCTION("""COMPUTED_VALUE"""),11.0)</f>
        <v>11</v>
      </c>
      <c r="L31" s="56">
        <f>IFERROR(__xludf.DUMMYFUNCTION("""COMPUTED_VALUE"""),0.21428571428571427)</f>
        <v>0.2142857143</v>
      </c>
      <c r="M31" s="56">
        <f>IFERROR(__xludf.DUMMYFUNCTION("""COMPUTED_VALUE"""),0.32142857142857145)</f>
        <v>0.3214285714</v>
      </c>
      <c r="N31" s="31">
        <f>IFERROR(__xludf.DUMMYFUNCTION("""COMPUTED_VALUE"""),257.57142857142856)</f>
        <v>257.5714286</v>
      </c>
      <c r="O31" s="57">
        <f>IFERROR(__xludf.DUMMYFUNCTION("""COMPUTED_VALUE"""),0.6428571428571429)</f>
        <v>0.6428571429</v>
      </c>
      <c r="P31" s="57">
        <f>IFERROR(__xludf.DUMMYFUNCTION("""COMPUTED_VALUE"""),0.42857142857142855)</f>
        <v>0.4285714286</v>
      </c>
      <c r="Q31" s="57">
        <f>IFERROR(__xludf.DUMMYFUNCTION("""COMPUTED_VALUE"""),0.35714285714285715)</f>
        <v>0.3571428571</v>
      </c>
      <c r="R31" s="57">
        <f>IFERROR(__xludf.DUMMYFUNCTION("""COMPUTED_VALUE"""),2.0)</f>
        <v>2</v>
      </c>
      <c r="S31" s="31">
        <f>IFERROR(__xludf.DUMMYFUNCTION("""COMPUTED_VALUE"""),304.0654761904762)</f>
        <v>304.0654762</v>
      </c>
      <c r="T31" s="57">
        <f>IFERROR(__xludf.DUMMYFUNCTION("""COMPUTED_VALUE"""),0.9583333333333331)</f>
        <v>0.9583333333</v>
      </c>
      <c r="U31" s="57">
        <f>IFERROR(__xludf.DUMMYFUNCTION("""COMPUTED_VALUE"""),0.4404761904761905)</f>
        <v>0.4404761905</v>
      </c>
      <c r="V31" s="57">
        <f>IFERROR(__xludf.DUMMYFUNCTION("""COMPUTED_VALUE"""),0.8690476190476188)</f>
        <v>0.869047619</v>
      </c>
      <c r="W31" s="57">
        <f>IFERROR(__xludf.DUMMYFUNCTION("""COMPUTED_VALUE"""),2.0952380952380945)</f>
        <v>2.095238095</v>
      </c>
      <c r="X31" s="31">
        <f>IFERROR(__xludf.DUMMYFUNCTION("""COMPUTED_VALUE"""),281.3077007668495)</f>
        <v>281.3077008</v>
      </c>
      <c r="Y31" s="57">
        <f>IFERROR(__xludf.DUMMYFUNCTION("""COMPUTED_VALUE"""),0.7460195417365385)</f>
        <v>0.7460195417</v>
      </c>
      <c r="Z31" s="57">
        <f>IFERROR(__xludf.DUMMYFUNCTION("""COMPUTED_VALUE"""),0.37412916290660947)</f>
        <v>0.3741291629</v>
      </c>
      <c r="AA31" s="57">
        <f>IFERROR(__xludf.DUMMYFUNCTION("""COMPUTED_VALUE"""),0.8103822597791154)</f>
        <v>0.8103822598</v>
      </c>
      <c r="AB31" s="57">
        <f>IFERROR(__xludf.DUMMYFUNCTION("""COMPUTED_VALUE"""),1.9420951860705185)</f>
        <v>1.942095186</v>
      </c>
      <c r="AC31" s="31">
        <f>IFERROR(__xludf.DUMMYFUNCTION("""COMPUTED_VALUE"""),289.9221998205168)</f>
        <v>289.9221998</v>
      </c>
      <c r="AD31" s="57">
        <f>IFERROR(__xludf.DUMMYFUNCTION("""COMPUTED_VALUE"""),0.789689062602341)</f>
        <v>0.7896890626</v>
      </c>
      <c r="AE31" s="57">
        <f>IFERROR(__xludf.DUMMYFUNCTION("""COMPUTED_VALUE"""),0.4242756402550159)</f>
        <v>0.4242756403</v>
      </c>
      <c r="AF31" s="57">
        <f>IFERROR(__xludf.DUMMYFUNCTION("""COMPUTED_VALUE"""),0.8030980074228017)</f>
        <v>0.8030980074</v>
      </c>
      <c r="AG31" s="57">
        <f>IFERROR(__xludf.DUMMYFUNCTION("""COMPUTED_VALUE"""),2.0330211733330237)</f>
        <v>2.033021173</v>
      </c>
      <c r="AH31" s="57">
        <f>IFERROR(__xludf.DUMMYFUNCTION("""COMPUTED_VALUE"""),0.888415680934003)</f>
        <v>0.8884156809</v>
      </c>
      <c r="AI31" s="57">
        <f>IFERROR(__xludf.DUMMYFUNCTION("""COMPUTED_VALUE"""),0.8140636274468229)</f>
        <v>0.8140636274</v>
      </c>
      <c r="AJ31" s="57">
        <f>IFERROR(__xludf.DUMMYFUNCTION("""COMPUTED_VALUE"""),1.0101249940105697)</f>
        <v>1.010124994</v>
      </c>
      <c r="AK31" s="57">
        <f>IFERROR(__xludf.DUMMYFUNCTION("""COMPUTED_VALUE"""),0.44470644160723777)</f>
        <v>0.4447064416</v>
      </c>
      <c r="AL31" s="57">
        <f>IFERROR(__xludf.DUMMYFUNCTION("""COMPUTED_VALUE"""),0.9837575851318423)</f>
        <v>0.9837575851</v>
      </c>
      <c r="AM31" s="57">
        <f>IFERROR(__xludf.DUMMYFUNCTION("""COMPUTED_VALUE"""),1.0808999375473498)</f>
        <v>1.080899938</v>
      </c>
      <c r="AN31" s="57">
        <f>IFERROR(__xludf.DUMMYFUNCTION("""COMPUTED_VALUE"""),1.284595482716959)</f>
        <v>1.284595483</v>
      </c>
      <c r="AO31" s="57">
        <f>IFERROR(__xludf.DUMMYFUNCTION("""COMPUTED_VALUE"""),1.1773372250752414)</f>
        <v>1.177337225</v>
      </c>
      <c r="AP31" s="35">
        <f>IFERROR(__xludf.DUMMYFUNCTION("""COMPUTED_VALUE"""),1.0723922057283113)</f>
        <v>1.072392206</v>
      </c>
      <c r="AQ31" s="57">
        <f>IFERROR(__xludf.DUMMYFUNCTION("""COMPUTED_VALUE"""),1.078854481626842)</f>
        <v>1.078854482</v>
      </c>
      <c r="AR31" s="36" t="b">
        <f>IFERROR(__xludf.DUMMYFUNCTION("""COMPUTED_VALUE"""),TRUE)</f>
        <v>1</v>
      </c>
      <c r="AS31" s="57"/>
      <c r="AT31" s="37"/>
      <c r="AU31" s="30"/>
      <c r="AV31" s="30"/>
      <c r="AW31" s="30"/>
      <c r="AX31" s="30"/>
      <c r="AY31" s="30"/>
      <c r="AZ31" s="30"/>
    </row>
    <row r="32">
      <c r="A32" s="30" t="str">
        <f>IFERROR(__xludf.DUMMYFUNCTION("""COMPUTED_VALUE"""),"Amateur")</f>
        <v>Amateur</v>
      </c>
      <c r="B32" s="30" t="str">
        <f>IFERROR(__xludf.DUMMYFUNCTION("""COMPUTED_VALUE"""),"RSC007161")</f>
        <v>RSC007161</v>
      </c>
      <c r="C32" s="30" t="str">
        <f>IFERROR(__xludf.DUMMYFUNCTION("""COMPUTED_VALUE"""),"MrAnderpants")</f>
        <v>MrAnderpants</v>
      </c>
      <c r="D32" s="31" t="str">
        <f>IFERROR(__xludf.DUMMYFUNCTION("""COMPUTED_VALUE"""),"Aloof Goofs")</f>
        <v>Aloof Goofs</v>
      </c>
      <c r="E32" s="31">
        <f>IFERROR(__xludf.DUMMYFUNCTION("""COMPUTED_VALUE"""),39.05319907656465)</f>
        <v>39.05319908</v>
      </c>
      <c r="F32" s="31">
        <f>IFERROR(__xludf.DUMMYFUNCTION("""COMPUTED_VALUE"""),-3.0235273640539186)</f>
        <v>-3.023527364</v>
      </c>
      <c r="G32" s="31">
        <f>IFERROR(__xludf.DUMMYFUNCTION("""COMPUTED_VALUE"""),35.887052095061826)</f>
        <v>35.8870521</v>
      </c>
      <c r="H32" s="31">
        <f>IFERROR(__xludf.DUMMYFUNCTION("""COMPUTED_VALUE"""),-3.4940496559287353)</f>
        <v>-3.494049656</v>
      </c>
      <c r="I32" s="54">
        <f>IFERROR(__xludf.DUMMYFUNCTION("""COMPUTED_VALUE"""),34.0)</f>
        <v>34</v>
      </c>
      <c r="J32" s="55">
        <f>IFERROR(__xludf.DUMMYFUNCTION("""COMPUTED_VALUE"""),9.0)</f>
        <v>9</v>
      </c>
      <c r="K32" s="54">
        <f>IFERROR(__xludf.DUMMYFUNCTION("""COMPUTED_VALUE"""),25.0)</f>
        <v>25</v>
      </c>
      <c r="L32" s="56">
        <f>IFERROR(__xludf.DUMMYFUNCTION("""COMPUTED_VALUE"""),0.2647058823529412)</f>
        <v>0.2647058824</v>
      </c>
      <c r="M32" s="56">
        <f>IFERROR(__xludf.DUMMYFUNCTION("""COMPUTED_VALUE"""),0.2222222222222222)</f>
        <v>0.2222222222</v>
      </c>
      <c r="N32" s="31">
        <f>IFERROR(__xludf.DUMMYFUNCTION("""COMPUTED_VALUE"""),264.2352941176471)</f>
        <v>264.2352941</v>
      </c>
      <c r="O32" s="57">
        <f>IFERROR(__xludf.DUMMYFUNCTION("""COMPUTED_VALUE"""),0.47058823529411764)</f>
        <v>0.4705882353</v>
      </c>
      <c r="P32" s="57">
        <f>IFERROR(__xludf.DUMMYFUNCTION("""COMPUTED_VALUE"""),0.2647058823529412)</f>
        <v>0.2647058824</v>
      </c>
      <c r="Q32" s="57">
        <f>IFERROR(__xludf.DUMMYFUNCTION("""COMPUTED_VALUE"""),0.7941176470588235)</f>
        <v>0.7941176471</v>
      </c>
      <c r="R32" s="57">
        <f>IFERROR(__xludf.DUMMYFUNCTION("""COMPUTED_VALUE"""),2.1176470588235294)</f>
        <v>2.117647059</v>
      </c>
      <c r="S32" s="31">
        <f>IFERROR(__xludf.DUMMYFUNCTION("""COMPUTED_VALUE"""),318.8431372549019)</f>
        <v>318.8431373</v>
      </c>
      <c r="T32" s="57">
        <f>IFERROR(__xludf.DUMMYFUNCTION("""COMPUTED_VALUE"""),0.9117647058823533)</f>
        <v>0.9117647059</v>
      </c>
      <c r="U32" s="57">
        <f>IFERROR(__xludf.DUMMYFUNCTION("""COMPUTED_VALUE"""),0.519607843137255)</f>
        <v>0.5196078431</v>
      </c>
      <c r="V32" s="57">
        <f>IFERROR(__xludf.DUMMYFUNCTION("""COMPUTED_VALUE"""),0.9509803921568626)</f>
        <v>0.9509803922</v>
      </c>
      <c r="W32" s="57">
        <f>IFERROR(__xludf.DUMMYFUNCTION("""COMPUTED_VALUE"""),2.1372549019607843)</f>
        <v>2.137254902</v>
      </c>
      <c r="X32" s="31">
        <f>IFERROR(__xludf.DUMMYFUNCTION("""COMPUTED_VALUE"""),302.92236609229735)</f>
        <v>302.9223661</v>
      </c>
      <c r="Y32" s="57">
        <f>IFERROR(__xludf.DUMMYFUNCTION("""COMPUTED_VALUE"""),0.8113702215397176)</f>
        <v>0.8113702215</v>
      </c>
      <c r="Z32" s="57">
        <f>IFERROR(__xludf.DUMMYFUNCTION("""COMPUTED_VALUE"""),0.47129119164601657)</f>
        <v>0.4712911916</v>
      </c>
      <c r="AA32" s="57">
        <f>IFERROR(__xludf.DUMMYFUNCTION("""COMPUTED_VALUE"""),0.9149425734174536)</f>
        <v>0.9149425734</v>
      </c>
      <c r="AB32" s="57">
        <f>IFERROR(__xludf.DUMMYFUNCTION("""COMPUTED_VALUE"""),2.0583312307421617)</f>
        <v>2.058331231</v>
      </c>
      <c r="AC32" s="31">
        <f>IFERROR(__xludf.DUMMYFUNCTION("""COMPUTED_VALUE"""),283.5766889575685)</f>
        <v>283.576689</v>
      </c>
      <c r="AD32" s="57">
        <f>IFERROR(__xludf.DUMMYFUNCTION("""COMPUTED_VALUE"""),0.7170146374255519)</f>
        <v>0.7170146374</v>
      </c>
      <c r="AE32" s="57">
        <f>IFERROR(__xludf.DUMMYFUNCTION("""COMPUTED_VALUE"""),0.3948955218484569)</f>
        <v>0.3948955218</v>
      </c>
      <c r="AF32" s="57">
        <f>IFERROR(__xludf.DUMMYFUNCTION("""COMPUTED_VALUE"""),0.8408075297362084)</f>
        <v>0.8408075297</v>
      </c>
      <c r="AG32" s="57">
        <f>IFERROR(__xludf.DUMMYFUNCTION("""COMPUTED_VALUE"""),2.0071080574500377)</f>
        <v>2.007108057</v>
      </c>
      <c r="AH32" s="57">
        <f>IFERROR(__xludf.DUMMYFUNCTION("""COMPUTED_VALUE"""),0.9317948350725843)</f>
        <v>0.9317948351</v>
      </c>
      <c r="AI32" s="57">
        <f>IFERROR(__xludf.DUMMYFUNCTION("""COMPUTED_VALUE"""),0.6563160788233966)</f>
        <v>0.6563160788</v>
      </c>
      <c r="AJ32" s="57">
        <f>IFERROR(__xludf.DUMMYFUNCTION("""COMPUTED_VALUE"""),0.6703187747328352)</f>
        <v>0.6703187747</v>
      </c>
      <c r="AK32" s="57">
        <f>IFERROR(__xludf.DUMMYFUNCTION("""COMPUTED_VALUE"""),0.9444701896377721)</f>
        <v>0.9444701896</v>
      </c>
      <c r="AL32" s="57">
        <f>IFERROR(__xludf.DUMMYFUNCTION("""COMPUTED_VALUE"""),1.0550737669370565)</f>
        <v>1.055073767</v>
      </c>
      <c r="AM32" s="57">
        <f>IFERROR(__xludf.DUMMYFUNCTION("""COMPUTED_VALUE"""),1.052557265308543)</f>
        <v>1.052557265</v>
      </c>
      <c r="AN32" s="57">
        <f>IFERROR(__xludf.DUMMYFUNCTION("""COMPUTED_VALUE"""),1.1237344946578387)</f>
        <v>1.123734495</v>
      </c>
      <c r="AO32" s="57">
        <f>IFERROR(__xludf.DUMMYFUNCTION("""COMPUTED_VALUE"""),1.1025197422478643)</f>
        <v>1.102519742</v>
      </c>
      <c r="AP32" s="35">
        <f>IFERROR(__xludf.DUMMYFUNCTION("""COMPUTED_VALUE"""),1.0393880662966661)</f>
        <v>1.039388066</v>
      </c>
      <c r="AQ32" s="57">
        <f>IFERROR(__xludf.DUMMYFUNCTION("""COMPUTED_VALUE"""),1.0383435231608305)</f>
        <v>1.038343523</v>
      </c>
      <c r="AR32" s="36" t="b">
        <f>IFERROR(__xludf.DUMMYFUNCTION("""COMPUTED_VALUE"""),TRUE)</f>
        <v>1</v>
      </c>
      <c r="AS32" s="57"/>
      <c r="AT32" s="37"/>
      <c r="AU32" s="30"/>
      <c r="AV32" s="30"/>
      <c r="AW32" s="30"/>
      <c r="AX32" s="30"/>
      <c r="AY32" s="30"/>
      <c r="AZ32" s="30"/>
    </row>
    <row r="33">
      <c r="A33" s="30" t="str">
        <f>IFERROR(__xludf.DUMMYFUNCTION("""COMPUTED_VALUE"""),"Amateur")</f>
        <v>Amateur</v>
      </c>
      <c r="B33" s="30" t="str">
        <f>IFERROR(__xludf.DUMMYFUNCTION("""COMPUTED_VALUE"""),"RSC007573")</f>
        <v>RSC007573</v>
      </c>
      <c r="C33" s="30" t="str">
        <f>IFERROR(__xludf.DUMMYFUNCTION("""COMPUTED_VALUE"""),"zag_42")</f>
        <v>zag_42</v>
      </c>
      <c r="D33" s="31" t="str">
        <f>IFERROR(__xludf.DUMMYFUNCTION("""COMPUTED_VALUE"""),"Amaranth")</f>
        <v>Amaranth</v>
      </c>
      <c r="E33" s="31">
        <f>IFERROR(__xludf.DUMMYFUNCTION("""COMPUTED_VALUE"""),34.41628934213191)</f>
        <v>34.41628934</v>
      </c>
      <c r="F33" s="31">
        <f>IFERROR(__xludf.DUMMYFUNCTION("""COMPUTED_VALUE"""),-3.7519539616544737)</f>
        <v>-3.751953962</v>
      </c>
      <c r="G33" s="31">
        <f>IFERROR(__xludf.DUMMYFUNCTION("""COMPUTED_VALUE"""),21.011143145005807)</f>
        <v>21.01114315</v>
      </c>
      <c r="H33" s="31">
        <f>IFERROR(__xludf.DUMMYFUNCTION("""COMPUTED_VALUE"""),-8.122476316723814)</f>
        <v>-8.122476317</v>
      </c>
      <c r="I33" s="54">
        <f>IFERROR(__xludf.DUMMYFUNCTION("""COMPUTED_VALUE"""),26.0)</f>
        <v>26</v>
      </c>
      <c r="J33" s="55">
        <f>IFERROR(__xludf.DUMMYFUNCTION("""COMPUTED_VALUE"""),12.0)</f>
        <v>12</v>
      </c>
      <c r="K33" s="54">
        <f>IFERROR(__xludf.DUMMYFUNCTION("""COMPUTED_VALUE"""),14.0)</f>
        <v>14</v>
      </c>
      <c r="L33" s="56">
        <f>IFERROR(__xludf.DUMMYFUNCTION("""COMPUTED_VALUE"""),0.46153846153846156)</f>
        <v>0.4615384615</v>
      </c>
      <c r="M33" s="56">
        <f>IFERROR(__xludf.DUMMYFUNCTION("""COMPUTED_VALUE"""),0.4285714285714285)</f>
        <v>0.4285714286</v>
      </c>
      <c r="N33" s="31">
        <f>IFERROR(__xludf.DUMMYFUNCTION("""COMPUTED_VALUE"""),216.34615384615384)</f>
        <v>216.3461538</v>
      </c>
      <c r="O33" s="57">
        <f>IFERROR(__xludf.DUMMYFUNCTION("""COMPUTED_VALUE"""),0.5769230769230769)</f>
        <v>0.5769230769</v>
      </c>
      <c r="P33" s="57">
        <f>IFERROR(__xludf.DUMMYFUNCTION("""COMPUTED_VALUE"""),0.3076923076923077)</f>
        <v>0.3076923077</v>
      </c>
      <c r="Q33" s="57">
        <f>IFERROR(__xludf.DUMMYFUNCTION("""COMPUTED_VALUE"""),0.5769230769230769)</f>
        <v>0.5769230769</v>
      </c>
      <c r="R33" s="57">
        <f>IFERROR(__xludf.DUMMYFUNCTION("""COMPUTED_VALUE"""),1.3461538461538463)</f>
        <v>1.346153846</v>
      </c>
      <c r="S33" s="31">
        <f>IFERROR(__xludf.DUMMYFUNCTION("""COMPUTED_VALUE"""),284.474358974359)</f>
        <v>284.474359</v>
      </c>
      <c r="T33" s="57">
        <f>IFERROR(__xludf.DUMMYFUNCTION("""COMPUTED_VALUE"""),0.6602564102564101)</f>
        <v>0.6602564103</v>
      </c>
      <c r="U33" s="57">
        <f>IFERROR(__xludf.DUMMYFUNCTION("""COMPUTED_VALUE"""),0.3653846153846153)</f>
        <v>0.3653846154</v>
      </c>
      <c r="V33" s="57">
        <f>IFERROR(__xludf.DUMMYFUNCTION("""COMPUTED_VALUE"""),0.9294871794871796)</f>
        <v>0.9294871795</v>
      </c>
      <c r="W33" s="57">
        <f>IFERROR(__xludf.DUMMYFUNCTION("""COMPUTED_VALUE"""),1.9871794871794868)</f>
        <v>1.987179487</v>
      </c>
      <c r="X33" s="31">
        <f>IFERROR(__xludf.DUMMYFUNCTION("""COMPUTED_VALUE"""),279.7284746517099)</f>
        <v>279.7284747</v>
      </c>
      <c r="Y33" s="57">
        <f>IFERROR(__xludf.DUMMYFUNCTION("""COMPUTED_VALUE"""),0.73418805928768)</f>
        <v>0.7341880593</v>
      </c>
      <c r="Z33" s="57">
        <f>IFERROR(__xludf.DUMMYFUNCTION("""COMPUTED_VALUE"""),0.41182051757715893)</f>
        <v>0.4118205176</v>
      </c>
      <c r="AA33" s="57">
        <f>IFERROR(__xludf.DUMMYFUNCTION("""COMPUTED_VALUE"""),0.8619055836109916)</f>
        <v>0.8619055836</v>
      </c>
      <c r="AB33" s="57">
        <f>IFERROR(__xludf.DUMMYFUNCTION("""COMPUTED_VALUE"""),1.887908035372456)</f>
        <v>1.887908035</v>
      </c>
      <c r="AC33" s="31">
        <f>IFERROR(__xludf.DUMMYFUNCTION("""COMPUTED_VALUE"""),304.7830685432034)</f>
        <v>304.7830685</v>
      </c>
      <c r="AD33" s="57">
        <f>IFERROR(__xludf.DUMMYFUNCTION("""COMPUTED_VALUE"""),0.8708147111807771)</f>
        <v>0.8708147112</v>
      </c>
      <c r="AE33" s="57">
        <f>IFERROR(__xludf.DUMMYFUNCTION("""COMPUTED_VALUE"""),0.5162573360296319)</f>
        <v>0.516257336</v>
      </c>
      <c r="AF33" s="57">
        <f>IFERROR(__xludf.DUMMYFUNCTION("""COMPUTED_VALUE"""),0.8032364895248357)</f>
        <v>0.8032364895</v>
      </c>
      <c r="AG33" s="57">
        <f>IFERROR(__xludf.DUMMYFUNCTION("""COMPUTED_VALUE"""),2.1780107021963446)</f>
        <v>2.178010702</v>
      </c>
      <c r="AH33" s="57">
        <f>IFERROR(__xludf.DUMMYFUNCTION("""COMPUTED_VALUE"""),0.7098365236633428)</f>
        <v>0.7098365237</v>
      </c>
      <c r="AI33" s="57">
        <f>IFERROR(__xludf.DUMMYFUNCTION("""COMPUTED_VALUE"""),0.6625095666342162)</f>
        <v>0.6625095666</v>
      </c>
      <c r="AJ33" s="57">
        <f>IFERROR(__xludf.DUMMYFUNCTION("""COMPUTED_VALUE"""),0.5960056859601641)</f>
        <v>0.596005686</v>
      </c>
      <c r="AK33" s="57">
        <f>IFERROR(__xludf.DUMMYFUNCTION("""COMPUTED_VALUE"""),0.7182480931168387)</f>
        <v>0.7182480931</v>
      </c>
      <c r="AL33" s="57">
        <f>IFERROR(__xludf.DUMMYFUNCTION("""COMPUTED_VALUE"""),0.6180657628524786)</f>
        <v>0.6180657629</v>
      </c>
      <c r="AM33" s="57">
        <f>IFERROR(__xludf.DUMMYFUNCTION("""COMPUTED_VALUE"""),1.0169660394014524)</f>
        <v>1.016966039</v>
      </c>
      <c r="AN33" s="57">
        <f>IFERROR(__xludf.DUMMYFUNCTION("""COMPUTED_VALUE"""),0.8993014826432897)</f>
        <v>0.8993014826</v>
      </c>
      <c r="AO33" s="57">
        <f>IFERROR(__xludf.DUMMYFUNCTION("""COMPUTED_VALUE"""),0.8872423781463405)</f>
        <v>0.8872423781</v>
      </c>
      <c r="AP33" s="35">
        <f>IFERROR(__xludf.DUMMYFUNCTION("""COMPUTED_VALUE"""),1.0784095116231316)</f>
        <v>1.078409512</v>
      </c>
      <c r="AQ33" s="57">
        <f>IFERROR(__xludf.DUMMYFUNCTION("""COMPUTED_VALUE"""),1.052582779429426)</f>
        <v>1.052582779</v>
      </c>
      <c r="AR33" s="36" t="b">
        <f>IFERROR(__xludf.DUMMYFUNCTION("""COMPUTED_VALUE"""),TRUE)</f>
        <v>1</v>
      </c>
      <c r="AS33" s="57"/>
      <c r="AT33" s="37"/>
      <c r="AU33" s="30"/>
      <c r="AV33" s="30"/>
      <c r="AW33" s="30"/>
      <c r="AX33" s="30"/>
      <c r="AY33" s="30"/>
      <c r="AZ33" s="30"/>
    </row>
    <row r="34">
      <c r="A34" s="30" t="str">
        <f>IFERROR(__xludf.DUMMYFUNCTION("""COMPUTED_VALUE"""),"Amateur")</f>
        <v>Amateur</v>
      </c>
      <c r="B34" s="30" t="str">
        <f>IFERROR(__xludf.DUMMYFUNCTION("""COMPUTED_VALUE"""),"RSC000146")</f>
        <v>RSC000146</v>
      </c>
      <c r="C34" s="30" t="str">
        <f>IFERROR(__xludf.DUMMYFUNCTION("""COMPUTED_VALUE"""),"EtherealDoom989")</f>
        <v>EtherealDoom989</v>
      </c>
      <c r="D34" s="31" t="str">
        <f>IFERROR(__xludf.DUMMYFUNCTION("""COMPUTED_VALUE"""),"Surprise")</f>
        <v>Surprise</v>
      </c>
      <c r="E34" s="31">
        <f>IFERROR(__xludf.DUMMYFUNCTION("""COMPUTED_VALUE"""),32.84773621308296)</f>
        <v>32.84773621</v>
      </c>
      <c r="F34" s="31">
        <f>IFERROR(__xludf.DUMMYFUNCTION("""COMPUTED_VALUE"""),-4.059627741226624)</f>
        <v>-4.059627741</v>
      </c>
      <c r="G34" s="31">
        <f>IFERROR(__xludf.DUMMYFUNCTION("""COMPUTED_VALUE"""),16.8885635029255)</f>
        <v>16.8885635</v>
      </c>
      <c r="H34" s="31">
        <f>IFERROR(__xludf.DUMMYFUNCTION("""COMPUTED_VALUE"""),-10.790328885811565)</f>
        <v>-10.79032889</v>
      </c>
      <c r="I34" s="54">
        <f>IFERROR(__xludf.DUMMYFUNCTION("""COMPUTED_VALUE"""),22.0)</f>
        <v>22</v>
      </c>
      <c r="J34" s="55">
        <f>IFERROR(__xludf.DUMMYFUNCTION("""COMPUTED_VALUE"""),11.0)</f>
        <v>11</v>
      </c>
      <c r="K34" s="54">
        <f>IFERROR(__xludf.DUMMYFUNCTION("""COMPUTED_VALUE"""),11.0)</f>
        <v>11</v>
      </c>
      <c r="L34" s="56">
        <f>IFERROR(__xludf.DUMMYFUNCTION("""COMPUTED_VALUE"""),0.5)</f>
        <v>0.5</v>
      </c>
      <c r="M34" s="56">
        <f>IFERROR(__xludf.DUMMYFUNCTION("""COMPUTED_VALUE"""),0.4)</f>
        <v>0.4</v>
      </c>
      <c r="N34" s="31">
        <f>IFERROR(__xludf.DUMMYFUNCTION("""COMPUTED_VALUE"""),191.9090909090909)</f>
        <v>191.9090909</v>
      </c>
      <c r="O34" s="57">
        <f>IFERROR(__xludf.DUMMYFUNCTION("""COMPUTED_VALUE"""),0.5454545454545454)</f>
        <v>0.5454545455</v>
      </c>
      <c r="P34" s="57">
        <f>IFERROR(__xludf.DUMMYFUNCTION("""COMPUTED_VALUE"""),0.2727272727272727)</f>
        <v>0.2727272727</v>
      </c>
      <c r="Q34" s="57">
        <f>IFERROR(__xludf.DUMMYFUNCTION("""COMPUTED_VALUE"""),0.18181818181818182)</f>
        <v>0.1818181818</v>
      </c>
      <c r="R34" s="57">
        <f>IFERROR(__xludf.DUMMYFUNCTION("""COMPUTED_VALUE"""),1.3636363636363635)</f>
        <v>1.363636364</v>
      </c>
      <c r="S34" s="31">
        <f>IFERROR(__xludf.DUMMYFUNCTION("""COMPUTED_VALUE"""),284.3371212121212)</f>
        <v>284.3371212</v>
      </c>
      <c r="T34" s="57">
        <f>IFERROR(__xludf.DUMMYFUNCTION("""COMPUTED_VALUE"""),0.7878787878787878)</f>
        <v>0.7878787879</v>
      </c>
      <c r="U34" s="57">
        <f>IFERROR(__xludf.DUMMYFUNCTION("""COMPUTED_VALUE"""),0.40909090909090917)</f>
        <v>0.4090909091</v>
      </c>
      <c r="V34" s="57">
        <f>IFERROR(__xludf.DUMMYFUNCTION("""COMPUTED_VALUE"""),0.7613636363636364)</f>
        <v>0.7613636364</v>
      </c>
      <c r="W34" s="57">
        <f>IFERROR(__xludf.DUMMYFUNCTION("""COMPUTED_VALUE"""),1.8712121212121209)</f>
        <v>1.871212121</v>
      </c>
      <c r="X34" s="31">
        <f>IFERROR(__xludf.DUMMYFUNCTION("""COMPUTED_VALUE"""),299.6755557749123)</f>
        <v>299.6755558</v>
      </c>
      <c r="Y34" s="57">
        <f>IFERROR(__xludf.DUMMYFUNCTION("""COMPUTED_VALUE"""),0.7986250333251406)</f>
        <v>0.7986250333</v>
      </c>
      <c r="Z34" s="57">
        <f>IFERROR(__xludf.DUMMYFUNCTION("""COMPUTED_VALUE"""),0.4671772464198831)</f>
        <v>0.4671772464</v>
      </c>
      <c r="AA34" s="57">
        <f>IFERROR(__xludf.DUMMYFUNCTION("""COMPUTED_VALUE"""),0.8682094385522319)</f>
        <v>0.8682094386</v>
      </c>
      <c r="AB34" s="57">
        <f>IFERROR(__xludf.DUMMYFUNCTION("""COMPUTED_VALUE"""),2.021700235218097)</f>
        <v>2.021700235</v>
      </c>
      <c r="AC34" s="31">
        <f>IFERROR(__xludf.DUMMYFUNCTION("""COMPUTED_VALUE"""),298.76625985066823)</f>
        <v>298.7662599</v>
      </c>
      <c r="AD34" s="57">
        <f>IFERROR(__xludf.DUMMYFUNCTION("""COMPUTED_VALUE"""),0.8178064776013051)</f>
        <v>0.8178064776</v>
      </c>
      <c r="AE34" s="57">
        <f>IFERROR(__xludf.DUMMYFUNCTION("""COMPUTED_VALUE"""),0.4511450482034654)</f>
        <v>0.4511450482</v>
      </c>
      <c r="AF34" s="57">
        <f>IFERROR(__xludf.DUMMYFUNCTION("""COMPUTED_VALUE"""),0.8304757574390265)</f>
        <v>0.8304757574</v>
      </c>
      <c r="AG34" s="57">
        <f>IFERROR(__xludf.DUMMYFUNCTION("""COMPUTED_VALUE"""),2.140562887680806)</f>
        <v>2.140562888</v>
      </c>
      <c r="AH34" s="57">
        <f>IFERROR(__xludf.DUMMYFUNCTION("""COMPUTED_VALUE"""),0.6423385659579246)</f>
        <v>0.642338566</v>
      </c>
      <c r="AI34" s="57">
        <f>IFERROR(__xludf.DUMMYFUNCTION("""COMPUTED_VALUE"""),0.6669726400974584)</f>
        <v>0.6669726401</v>
      </c>
      <c r="AJ34" s="57">
        <f>IFERROR(__xludf.DUMMYFUNCTION("""COMPUTED_VALUE"""),0.6045223677247884)</f>
        <v>0.6045223677</v>
      </c>
      <c r="AK34" s="57">
        <f>IFERROR(__xludf.DUMMYFUNCTION("""COMPUTED_VALUE"""),0.2189325578616073)</f>
        <v>0.2189325579</v>
      </c>
      <c r="AL34" s="57">
        <f>IFERROR(__xludf.DUMMYFUNCTION("""COMPUTED_VALUE"""),0.6370456908714306)</f>
        <v>0.6370456909</v>
      </c>
      <c r="AM34" s="57">
        <f>IFERROR(__xludf.DUMMYFUNCTION("""COMPUTED_VALUE"""),0.9488165308540818)</f>
        <v>0.9488165309</v>
      </c>
      <c r="AN34" s="57">
        <f>IFERROR(__xludf.DUMMYFUNCTION("""COMPUTED_VALUE"""),0.9865440663666529)</f>
        <v>0.9865440664</v>
      </c>
      <c r="AO34" s="57">
        <f>IFERROR(__xludf.DUMMYFUNCTION("""COMPUTED_VALUE"""),0.8756653116689508)</f>
        <v>0.8756653117</v>
      </c>
      <c r="AP34" s="35">
        <f>IFERROR(__xludf.DUMMYFUNCTION("""COMPUTED_VALUE"""),0.8769354519264794)</f>
        <v>0.8769354519</v>
      </c>
      <c r="AQ34" s="57">
        <f>IFERROR(__xludf.DUMMYFUNCTION("""COMPUTED_VALUE"""),0.925563586834256)</f>
        <v>0.9255635868</v>
      </c>
      <c r="AR34" s="36" t="b">
        <f>IFERROR(__xludf.DUMMYFUNCTION("""COMPUTED_VALUE"""),TRUE)</f>
        <v>1</v>
      </c>
      <c r="AS34" s="57"/>
      <c r="AT34" s="37"/>
      <c r="AU34" s="30"/>
      <c r="AV34" s="30"/>
      <c r="AW34" s="30"/>
      <c r="AX34" s="30"/>
      <c r="AY34" s="30"/>
      <c r="AZ34" s="30"/>
    </row>
    <row r="35">
      <c r="A35" s="30" t="str">
        <f>IFERROR(__xludf.DUMMYFUNCTION("""COMPUTED_VALUE"""),"Amateur")</f>
        <v>Amateur</v>
      </c>
      <c r="B35" s="30" t="str">
        <f>IFERROR(__xludf.DUMMYFUNCTION("""COMPUTED_VALUE"""),"RSC007632")</f>
        <v>RSC007632</v>
      </c>
      <c r="C35" s="30" t="str">
        <f>IFERROR(__xludf.DUMMYFUNCTION("""COMPUTED_VALUE"""),"yournewSTEPDADDI")</f>
        <v>yournewSTEPDADDI</v>
      </c>
      <c r="D35" s="31" t="str">
        <f>IFERROR(__xludf.DUMMYFUNCTION("""COMPUTED_VALUE"""),"Kiwis")</f>
        <v>Kiwis</v>
      </c>
      <c r="E35" s="31">
        <f>IFERROR(__xludf.DUMMYFUNCTION("""COMPUTED_VALUE"""),29.26422051119736)</f>
        <v>29.26422051</v>
      </c>
      <c r="F35" s="31">
        <f>IFERROR(__xludf.DUMMYFUNCTION("""COMPUTED_VALUE"""),-4.915690206182857)</f>
        <v>-4.915690206</v>
      </c>
      <c r="G35" s="31">
        <f>IFERROR(__xludf.DUMMYFUNCTION("""COMPUTED_VALUE"""),29.383792348130854)</f>
        <v>29.38379235</v>
      </c>
      <c r="H35" s="31">
        <f>IFERROR(__xludf.DUMMYFUNCTION("""COMPUTED_VALUE"""),-4.883154798365516)</f>
        <v>-4.883154798</v>
      </c>
      <c r="I35" s="54">
        <f>IFERROR(__xludf.DUMMYFUNCTION("""COMPUTED_VALUE"""),28.0)</f>
        <v>28</v>
      </c>
      <c r="J35" s="55">
        <f>IFERROR(__xludf.DUMMYFUNCTION("""COMPUTED_VALUE"""),7.0)</f>
        <v>7</v>
      </c>
      <c r="K35" s="54">
        <f>IFERROR(__xludf.DUMMYFUNCTION("""COMPUTED_VALUE"""),21.0)</f>
        <v>21</v>
      </c>
      <c r="L35" s="56">
        <f>IFERROR(__xludf.DUMMYFUNCTION("""COMPUTED_VALUE"""),0.25)</f>
        <v>0.25</v>
      </c>
      <c r="M35" s="56">
        <f>IFERROR(__xludf.DUMMYFUNCTION("""COMPUTED_VALUE"""),0.36170212765957444)</f>
        <v>0.3617021277</v>
      </c>
      <c r="N35" s="31">
        <f>IFERROR(__xludf.DUMMYFUNCTION("""COMPUTED_VALUE"""),278.75)</f>
        <v>278.75</v>
      </c>
      <c r="O35" s="57">
        <f>IFERROR(__xludf.DUMMYFUNCTION("""COMPUTED_VALUE"""),0.6071428571428571)</f>
        <v>0.6071428571</v>
      </c>
      <c r="P35" s="57">
        <f>IFERROR(__xludf.DUMMYFUNCTION("""COMPUTED_VALUE"""),0.25)</f>
        <v>0.25</v>
      </c>
      <c r="Q35" s="57">
        <f>IFERROR(__xludf.DUMMYFUNCTION("""COMPUTED_VALUE"""),0.8928571428571429)</f>
        <v>0.8928571429</v>
      </c>
      <c r="R35" s="57">
        <f>IFERROR(__xludf.DUMMYFUNCTION("""COMPUTED_VALUE"""),1.6785714285714286)</f>
        <v>1.678571429</v>
      </c>
      <c r="S35" s="31">
        <f>IFERROR(__xludf.DUMMYFUNCTION("""COMPUTED_VALUE"""),357.91964285714295)</f>
        <v>357.9196429</v>
      </c>
      <c r="T35" s="57">
        <f>IFERROR(__xludf.DUMMYFUNCTION("""COMPUTED_VALUE"""),1.25297619047619)</f>
        <v>1.25297619</v>
      </c>
      <c r="U35" s="57">
        <f>IFERROR(__xludf.DUMMYFUNCTION("""COMPUTED_VALUE"""),0.6785714285714286)</f>
        <v>0.6785714286</v>
      </c>
      <c r="V35" s="57">
        <f>IFERROR(__xludf.DUMMYFUNCTION("""COMPUTED_VALUE"""),0.8065476190476193)</f>
        <v>0.806547619</v>
      </c>
      <c r="W35" s="57">
        <f>IFERROR(__xludf.DUMMYFUNCTION("""COMPUTED_VALUE"""),2.577380952380952)</f>
        <v>2.577380952</v>
      </c>
      <c r="X35" s="31">
        <f>IFERROR(__xludf.DUMMYFUNCTION("""COMPUTED_VALUE"""),296.62545135500375)</f>
        <v>296.6254514</v>
      </c>
      <c r="Y35" s="57">
        <f>IFERROR(__xludf.DUMMYFUNCTION("""COMPUTED_VALUE"""),0.8285448002232699)</f>
        <v>0.8285448002</v>
      </c>
      <c r="Z35" s="57">
        <f>IFERROR(__xludf.DUMMYFUNCTION("""COMPUTED_VALUE"""),0.42936250662006303)</f>
        <v>0.4293625066</v>
      </c>
      <c r="AA35" s="57">
        <f>IFERROR(__xludf.DUMMYFUNCTION("""COMPUTED_VALUE"""),0.8390965335428603)</f>
        <v>0.8390965335</v>
      </c>
      <c r="AB35" s="57">
        <f>IFERROR(__xludf.DUMMYFUNCTION("""COMPUTED_VALUE"""),2.078061220634581)</f>
        <v>2.078061221</v>
      </c>
      <c r="AC35" s="31">
        <f>IFERROR(__xludf.DUMMYFUNCTION("""COMPUTED_VALUE"""),290.169575731111)</f>
        <v>290.1695757</v>
      </c>
      <c r="AD35" s="57">
        <f>IFERROR(__xludf.DUMMYFUNCTION("""COMPUTED_VALUE"""),0.7524681829452629)</f>
        <v>0.7524681829</v>
      </c>
      <c r="AE35" s="57">
        <f>IFERROR(__xludf.DUMMYFUNCTION("""COMPUTED_VALUE"""),0.42666807915852073)</f>
        <v>0.4266680792</v>
      </c>
      <c r="AF35" s="57">
        <f>IFERROR(__xludf.DUMMYFUNCTION("""COMPUTED_VALUE"""),0.8583703264643784)</f>
        <v>0.8583703265</v>
      </c>
      <c r="AG35" s="57">
        <f>IFERROR(__xludf.DUMMYFUNCTION("""COMPUTED_VALUE"""),2.0108505541261006)</f>
        <v>2.010850554</v>
      </c>
      <c r="AH35" s="57">
        <f>IFERROR(__xludf.DUMMYFUNCTION("""COMPUTED_VALUE"""),0.9606451651509699)</f>
        <v>0.9606451652</v>
      </c>
      <c r="AI35" s="57">
        <f>IFERROR(__xludf.DUMMYFUNCTION("""COMPUTED_VALUE"""),0.8068684775034837)</f>
        <v>0.8068684775</v>
      </c>
      <c r="AJ35" s="57">
        <f>IFERROR(__xludf.DUMMYFUNCTION("""COMPUTED_VALUE"""),0.5859355602440488)</f>
        <v>0.5859355602</v>
      </c>
      <c r="AK35" s="57">
        <f>IFERROR(__xludf.DUMMYFUNCTION("""COMPUTED_VALUE"""),1.0401770836310424)</f>
        <v>1.040177084</v>
      </c>
      <c r="AL35" s="57">
        <f>IFERROR(__xludf.DUMMYFUNCTION("""COMPUTED_VALUE"""),0.8347569266781848)</f>
        <v>0.8347569267</v>
      </c>
      <c r="AM35" s="57">
        <f>IFERROR(__xludf.DUMMYFUNCTION("""COMPUTED_VALUE"""),1.2066383421319495)</f>
        <v>1.206638342</v>
      </c>
      <c r="AN35" s="57">
        <f>IFERROR(__xludf.DUMMYFUNCTION("""COMPUTED_VALUE"""),1.5122612442182337)</f>
        <v>1.512261244</v>
      </c>
      <c r="AO35" s="57">
        <f>IFERROR(__xludf.DUMMYFUNCTION("""COMPUTED_VALUE"""),1.5804161241584307)</f>
        <v>1.580416124</v>
      </c>
      <c r="AP35" s="35">
        <f>IFERROR(__xludf.DUMMYFUNCTION("""COMPUTED_VALUE"""),0.9612095710158497)</f>
        <v>0.961209571</v>
      </c>
      <c r="AQ35" s="57">
        <f>IFERROR(__xludf.DUMMYFUNCTION("""COMPUTED_VALUE"""),1.2402815310676423)</f>
        <v>1.240281531</v>
      </c>
      <c r="AR35" s="36" t="b">
        <f>IFERROR(__xludf.DUMMYFUNCTION("""COMPUTED_VALUE"""),TRUE)</f>
        <v>1</v>
      </c>
      <c r="AS35" s="57"/>
      <c r="AT35" s="37"/>
      <c r="AU35" s="30"/>
      <c r="AV35" s="30"/>
      <c r="AW35" s="30"/>
      <c r="AX35" s="30"/>
      <c r="AY35" s="30"/>
      <c r="AZ35" s="30"/>
    </row>
    <row r="36">
      <c r="A36" s="30" t="str">
        <f>IFERROR(__xludf.DUMMYFUNCTION("""COMPUTED_VALUE"""),"Amateur")</f>
        <v>Amateur</v>
      </c>
      <c r="B36" s="30" t="str">
        <f>IFERROR(__xludf.DUMMYFUNCTION("""COMPUTED_VALUE"""),"RSC007393")</f>
        <v>RSC007393</v>
      </c>
      <c r="C36" s="30" t="str">
        <f>IFERROR(__xludf.DUMMYFUNCTION("""COMPUTED_VALUE"""),"Ubfghki9442")</f>
        <v>Ubfghki9442</v>
      </c>
      <c r="D36" s="31" t="str">
        <f>IFERROR(__xludf.DUMMYFUNCTION("""COMPUTED_VALUE"""),"Garlic Knots")</f>
        <v>Garlic Knots</v>
      </c>
      <c r="E36" s="31">
        <f>IFERROR(__xludf.DUMMYFUNCTION("""COMPUTED_VALUE"""),28.03026651158145)</f>
        <v>28.03026651</v>
      </c>
      <c r="F36" s="31">
        <f>IFERROR(__xludf.DUMMYFUNCTION("""COMPUTED_VALUE"""),-5.269876883964961)</f>
        <v>-5.269876884</v>
      </c>
      <c r="G36" s="31">
        <f>IFERROR(__xludf.DUMMYFUNCTION("""COMPUTED_VALUE"""),2.773333740745386)</f>
        <v>2.773333741</v>
      </c>
      <c r="H36" s="31">
        <f>IFERROR(__xludf.DUMMYFUNCTION("""COMPUTED_VALUE"""),-33.965719298415095)</f>
        <v>-33.9657193</v>
      </c>
      <c r="I36" s="54">
        <f>IFERROR(__xludf.DUMMYFUNCTION("""COMPUTED_VALUE"""),6.0)</f>
        <v>6</v>
      </c>
      <c r="J36" s="55">
        <f>IFERROR(__xludf.DUMMYFUNCTION("""COMPUTED_VALUE"""),3.0)</f>
        <v>3</v>
      </c>
      <c r="K36" s="54">
        <f>IFERROR(__xludf.DUMMYFUNCTION("""COMPUTED_VALUE"""),3.0)</f>
        <v>3</v>
      </c>
      <c r="L36" s="56">
        <f>IFERROR(__xludf.DUMMYFUNCTION("""COMPUTED_VALUE"""),0.5)</f>
        <v>0.5</v>
      </c>
      <c r="M36" s="56">
        <f>IFERROR(__xludf.DUMMYFUNCTION("""COMPUTED_VALUE"""),0.5)</f>
        <v>0.5</v>
      </c>
      <c r="N36" s="31">
        <f>IFERROR(__xludf.DUMMYFUNCTION("""COMPUTED_VALUE"""),158.16666666666666)</f>
        <v>158.1666667</v>
      </c>
      <c r="O36" s="57">
        <f>IFERROR(__xludf.DUMMYFUNCTION("""COMPUTED_VALUE"""),0.5)</f>
        <v>0.5</v>
      </c>
      <c r="P36" s="57">
        <f>IFERROR(__xludf.DUMMYFUNCTION("""COMPUTED_VALUE"""),0.3333333333333333)</f>
        <v>0.3333333333</v>
      </c>
      <c r="Q36" s="57">
        <f>IFERROR(__xludf.DUMMYFUNCTION("""COMPUTED_VALUE"""),0.16666666666666666)</f>
        <v>0.1666666667</v>
      </c>
      <c r="R36" s="57">
        <f>IFERROR(__xludf.DUMMYFUNCTION("""COMPUTED_VALUE"""),1.0)</f>
        <v>1</v>
      </c>
      <c r="S36" s="31">
        <f>IFERROR(__xludf.DUMMYFUNCTION("""COMPUTED_VALUE"""),267.69444444444446)</f>
        <v>267.6944444</v>
      </c>
      <c r="T36" s="57">
        <f>IFERROR(__xludf.DUMMYFUNCTION("""COMPUTED_VALUE"""),0.5972222222222222)</f>
        <v>0.5972222222</v>
      </c>
      <c r="U36" s="57">
        <f>IFERROR(__xludf.DUMMYFUNCTION("""COMPUTED_VALUE"""),0.4305555555555556)</f>
        <v>0.4305555556</v>
      </c>
      <c r="V36" s="57">
        <f>IFERROR(__xludf.DUMMYFUNCTION("""COMPUTED_VALUE"""),0.6249999999999999)</f>
        <v>0.625</v>
      </c>
      <c r="W36" s="57">
        <f>IFERROR(__xludf.DUMMYFUNCTION("""COMPUTED_VALUE"""),2.4722222222222223)</f>
        <v>2.472222222</v>
      </c>
      <c r="X36" s="31">
        <f>IFERROR(__xludf.DUMMYFUNCTION("""COMPUTED_VALUE"""),292.09512497107943)</f>
        <v>292.095125</v>
      </c>
      <c r="Y36" s="57">
        <f>IFERROR(__xludf.DUMMYFUNCTION("""COMPUTED_VALUE"""),0.7224644238762986)</f>
        <v>0.7224644239</v>
      </c>
      <c r="Z36" s="57">
        <f>IFERROR(__xludf.DUMMYFUNCTION("""COMPUTED_VALUE"""),0.41552244397691696)</f>
        <v>0.415522444</v>
      </c>
      <c r="AA36" s="57">
        <f>IFERROR(__xludf.DUMMYFUNCTION("""COMPUTED_VALUE"""),0.8214457935171985)</f>
        <v>0.8214457935</v>
      </c>
      <c r="AB36" s="57">
        <f>IFERROR(__xludf.DUMMYFUNCTION("""COMPUTED_VALUE"""),2.1431080741766055)</f>
        <v>2.143108074</v>
      </c>
      <c r="AC36" s="31">
        <f>IFERROR(__xludf.DUMMYFUNCTION("""COMPUTED_VALUE"""),300.46315471994694)</f>
        <v>300.4631547</v>
      </c>
      <c r="AD36" s="57">
        <f>IFERROR(__xludf.DUMMYFUNCTION("""COMPUTED_VALUE"""),0.8087598173073679)</f>
        <v>0.8087598173</v>
      </c>
      <c r="AE36" s="57">
        <f>IFERROR(__xludf.DUMMYFUNCTION("""COMPUTED_VALUE"""),0.4394668801138289)</f>
        <v>0.4394668801</v>
      </c>
      <c r="AF36" s="57">
        <f>IFERROR(__xludf.DUMMYFUNCTION("""COMPUTED_VALUE"""),0.9453695086315586)</f>
        <v>0.9453695086</v>
      </c>
      <c r="AG36" s="57">
        <f>IFERROR(__xludf.DUMMYFUNCTION("""COMPUTED_VALUE"""),2.00619898825607)</f>
        <v>2.006198988</v>
      </c>
      <c r="AH36" s="57">
        <f>IFERROR(__xludf.DUMMYFUNCTION("""COMPUTED_VALUE"""),0.5264095253678917)</f>
        <v>0.5264095254</v>
      </c>
      <c r="AI36" s="57">
        <f>IFERROR(__xludf.DUMMYFUNCTION("""COMPUTED_VALUE"""),0.618230517021317)</f>
        <v>0.618230517</v>
      </c>
      <c r="AJ36" s="57">
        <f>IFERROR(__xludf.DUMMYFUNCTION("""COMPUTED_VALUE"""),0.7584947772332574)</f>
        <v>0.7584947772</v>
      </c>
      <c r="AK36" s="57">
        <f>IFERROR(__xludf.DUMMYFUNCTION("""COMPUTED_VALUE"""),0.17629790800839348)</f>
        <v>0.176297908</v>
      </c>
      <c r="AL36" s="57">
        <f>IFERROR(__xludf.DUMMYFUNCTION("""COMPUTED_VALUE"""),0.4984550415257017)</f>
        <v>0.4984550415</v>
      </c>
      <c r="AM36" s="57">
        <f>IFERROR(__xludf.DUMMYFUNCTION("""COMPUTED_VALUE"""),0.9164632394017158)</f>
        <v>0.9164632394</v>
      </c>
      <c r="AN36" s="57">
        <f>IFERROR(__xludf.DUMMYFUNCTION("""COMPUTED_VALUE"""),0.826645856162572)</f>
        <v>0.8266458562</v>
      </c>
      <c r="AO36" s="57">
        <f>IFERROR(__xludf.DUMMYFUNCTION("""COMPUTED_VALUE"""),1.0361788196920447)</f>
        <v>1.03617882</v>
      </c>
      <c r="AP36" s="35">
        <f>IFERROR(__xludf.DUMMYFUNCTION("""COMPUTED_VALUE"""),0.7608536131446078)</f>
        <v>0.7608536131</v>
      </c>
      <c r="AQ36" s="57">
        <f>IFERROR(__xludf.DUMMYFUNCTION("""COMPUTED_VALUE"""),1.1535686193390244)</f>
        <v>1.153568619</v>
      </c>
      <c r="AR36" s="36" t="b">
        <f>IFERROR(__xludf.DUMMYFUNCTION("""COMPUTED_VALUE"""),TRUE)</f>
        <v>1</v>
      </c>
      <c r="AS36" s="57"/>
      <c r="AT36" s="37"/>
      <c r="AU36" s="30"/>
      <c r="AV36" s="30"/>
      <c r="AW36" s="30"/>
      <c r="AX36" s="30"/>
      <c r="AY36" s="30"/>
      <c r="AZ36" s="30"/>
    </row>
    <row r="37">
      <c r="A37" s="30" t="str">
        <f>IFERROR(__xludf.DUMMYFUNCTION("""COMPUTED_VALUE"""),"Amateur")</f>
        <v>Amateur</v>
      </c>
      <c r="B37" s="30" t="str">
        <f>IFERROR(__xludf.DUMMYFUNCTION("""COMPUTED_VALUE"""),"RSC007993")</f>
        <v>RSC007993</v>
      </c>
      <c r="C37" s="30" t="str">
        <f>IFERROR(__xludf.DUMMYFUNCTION("""COMPUTED_VALUE"""),"Origami Box")</f>
        <v>Origami Box</v>
      </c>
      <c r="D37" s="31" t="str">
        <f>IFERROR(__xludf.DUMMYFUNCTION("""COMPUTED_VALUE"""),"Aeon Ale")</f>
        <v>Aeon Ale</v>
      </c>
      <c r="E37" s="31">
        <f>IFERROR(__xludf.DUMMYFUNCTION("""COMPUTED_VALUE"""),27.90363875095546)</f>
        <v>27.90363875</v>
      </c>
      <c r="F37" s="31">
        <f>IFERROR(__xludf.DUMMYFUNCTION("""COMPUTED_VALUE"""),-5.3082107928768325)</f>
        <v>-5.308210793</v>
      </c>
      <c r="G37" s="31">
        <f>IFERROR(__xludf.DUMMYFUNCTION("""COMPUTED_VALUE"""),13.084138009518036)</f>
        <v>13.08413801</v>
      </c>
      <c r="H37" s="31">
        <f>IFERROR(__xludf.DUMMYFUNCTION("""COMPUTED_VALUE"""),-14.308849241635635)</f>
        <v>-14.30884924</v>
      </c>
      <c r="I37" s="54">
        <f>IFERROR(__xludf.DUMMYFUNCTION("""COMPUTED_VALUE"""),12.0)</f>
        <v>12</v>
      </c>
      <c r="J37" s="55">
        <f>IFERROR(__xludf.DUMMYFUNCTION("""COMPUTED_VALUE"""),5.0)</f>
        <v>5</v>
      </c>
      <c r="K37" s="54">
        <f>IFERROR(__xludf.DUMMYFUNCTION("""COMPUTED_VALUE"""),7.0)</f>
        <v>7</v>
      </c>
      <c r="L37" s="56">
        <f>IFERROR(__xludf.DUMMYFUNCTION("""COMPUTED_VALUE"""),0.4166666666666667)</f>
        <v>0.4166666667</v>
      </c>
      <c r="M37" s="56">
        <f>IFERROR(__xludf.DUMMYFUNCTION("""COMPUTED_VALUE"""),0.3333333333333333)</f>
        <v>0.3333333333</v>
      </c>
      <c r="N37" s="31">
        <f>IFERROR(__xludf.DUMMYFUNCTION("""COMPUTED_VALUE"""),190.5)</f>
        <v>190.5</v>
      </c>
      <c r="O37" s="57">
        <f>IFERROR(__xludf.DUMMYFUNCTION("""COMPUTED_VALUE"""),0.5)</f>
        <v>0.5</v>
      </c>
      <c r="P37" s="57">
        <f>IFERROR(__xludf.DUMMYFUNCTION("""COMPUTED_VALUE"""),0.25)</f>
        <v>0.25</v>
      </c>
      <c r="Q37" s="57">
        <f>IFERROR(__xludf.DUMMYFUNCTION("""COMPUTED_VALUE"""),0.5833333333333334)</f>
        <v>0.5833333333</v>
      </c>
      <c r="R37" s="57">
        <f>IFERROR(__xludf.DUMMYFUNCTION("""COMPUTED_VALUE"""),1.5)</f>
        <v>1.5</v>
      </c>
      <c r="S37" s="31">
        <f>IFERROR(__xludf.DUMMYFUNCTION("""COMPUTED_VALUE"""),295.0763888888889)</f>
        <v>295.0763889</v>
      </c>
      <c r="T37" s="57">
        <f>IFERROR(__xludf.DUMMYFUNCTION("""COMPUTED_VALUE"""),0.8055555555555557)</f>
        <v>0.8055555556</v>
      </c>
      <c r="U37" s="57">
        <f>IFERROR(__xludf.DUMMYFUNCTION("""COMPUTED_VALUE"""),0.4305555555555555)</f>
        <v>0.4305555556</v>
      </c>
      <c r="V37" s="57">
        <f>IFERROR(__xludf.DUMMYFUNCTION("""COMPUTED_VALUE"""),0.7569444444444443)</f>
        <v>0.7569444444</v>
      </c>
      <c r="W37" s="57">
        <f>IFERROR(__xludf.DUMMYFUNCTION("""COMPUTED_VALUE"""),2.263888888888889)</f>
        <v>2.263888889</v>
      </c>
      <c r="X37" s="31">
        <f>IFERROR(__xludf.DUMMYFUNCTION("""COMPUTED_VALUE"""),292.9718094685565)</f>
        <v>292.9718095</v>
      </c>
      <c r="Y37" s="57">
        <f>IFERROR(__xludf.DUMMYFUNCTION("""COMPUTED_VALUE"""),0.7651164782992237)</f>
        <v>0.7651164783</v>
      </c>
      <c r="Z37" s="57">
        <f>IFERROR(__xludf.DUMMYFUNCTION("""COMPUTED_VALUE"""),0.45169499572325494)</f>
        <v>0.4516949957</v>
      </c>
      <c r="AA37" s="57">
        <f>IFERROR(__xludf.DUMMYFUNCTION("""COMPUTED_VALUE"""),0.8679783851286249)</f>
        <v>0.8679783851</v>
      </c>
      <c r="AB37" s="57">
        <f>IFERROR(__xludf.DUMMYFUNCTION("""COMPUTED_VALUE"""),2.059827543787911)</f>
        <v>2.059827544</v>
      </c>
      <c r="AC37" s="31">
        <f>IFERROR(__xludf.DUMMYFUNCTION("""COMPUTED_VALUE"""),312.74556715193404)</f>
        <v>312.7455672</v>
      </c>
      <c r="AD37" s="57">
        <f>IFERROR(__xludf.DUMMYFUNCTION("""COMPUTED_VALUE"""),0.9013991790405047)</f>
        <v>0.901399179</v>
      </c>
      <c r="AE37" s="57">
        <f>IFERROR(__xludf.DUMMYFUNCTION("""COMPUTED_VALUE"""),0.5522386904106608)</f>
        <v>0.5522386904</v>
      </c>
      <c r="AF37" s="57">
        <f>IFERROR(__xludf.DUMMYFUNCTION("""COMPUTED_VALUE"""),0.8670065249168474)</f>
        <v>0.8670065249</v>
      </c>
      <c r="AG37" s="57">
        <f>IFERROR(__xludf.DUMMYFUNCTION("""COMPUTED_VALUE"""),2.173701100435989)</f>
        <v>2.1737011</v>
      </c>
      <c r="AH37" s="57">
        <f>IFERROR(__xludf.DUMMYFUNCTION("""COMPUTED_VALUE"""),0.6091213433808759)</f>
        <v>0.6091213434</v>
      </c>
      <c r="AI37" s="57">
        <f>IFERROR(__xludf.DUMMYFUNCTION("""COMPUTED_VALUE"""),0.554693205436714)</f>
        <v>0.5546932054</v>
      </c>
      <c r="AJ37" s="57">
        <f>IFERROR(__xludf.DUMMYFUNCTION("""COMPUTED_VALUE"""),0.4527027974336473)</f>
        <v>0.4527027974</v>
      </c>
      <c r="AK37" s="57">
        <f>IFERROR(__xludf.DUMMYFUNCTION("""COMPUTED_VALUE"""),0.6728130833724458)</f>
        <v>0.6728130834</v>
      </c>
      <c r="AL37" s="57">
        <f>IFERROR(__xludf.DUMMYFUNCTION("""COMPUTED_VALUE"""),0.6900672772807347)</f>
        <v>0.6900672773</v>
      </c>
      <c r="AM37" s="57">
        <f>IFERROR(__xludf.DUMMYFUNCTION("""COMPUTED_VALUE"""),1.0071835560702924)</f>
        <v>1.007183556</v>
      </c>
      <c r="AN37" s="57">
        <f>IFERROR(__xludf.DUMMYFUNCTION("""COMPUTED_VALUE"""),1.0528534914660628)</f>
        <v>1.052853491</v>
      </c>
      <c r="AO37" s="57">
        <f>IFERROR(__xludf.DUMMYFUNCTION("""COMPUTED_VALUE"""),0.9531997468029264)</f>
        <v>0.9531997468</v>
      </c>
      <c r="AP37" s="35">
        <f>IFERROR(__xludf.DUMMYFUNCTION("""COMPUTED_VALUE"""),0.8720775279816138)</f>
        <v>0.872077528</v>
      </c>
      <c r="AQ37" s="57">
        <f>IFERROR(__xludf.DUMMYFUNCTION("""COMPUTED_VALUE"""),1.0990671989586662)</f>
        <v>1.099067199</v>
      </c>
      <c r="AR37" s="36" t="b">
        <f>IFERROR(__xludf.DUMMYFUNCTION("""COMPUTED_VALUE"""),TRUE)</f>
        <v>1</v>
      </c>
      <c r="AS37" s="57"/>
      <c r="AT37" s="37"/>
      <c r="AU37" s="30"/>
      <c r="AV37" s="30"/>
      <c r="AW37" s="30"/>
      <c r="AX37" s="30"/>
      <c r="AY37" s="30"/>
      <c r="AZ37" s="30"/>
    </row>
    <row r="38">
      <c r="A38" s="30" t="str">
        <f>IFERROR(__xludf.DUMMYFUNCTION("""COMPUTED_VALUE"""),"Amateur")</f>
        <v>Amateur</v>
      </c>
      <c r="B38" s="30" t="str">
        <f>IFERROR(__xludf.DUMMYFUNCTION("""COMPUTED_VALUE"""),"RSC006022")</f>
        <v>RSC006022</v>
      </c>
      <c r="C38" s="30" t="str">
        <f>IFERROR(__xludf.DUMMYFUNCTION("""COMPUTED_VALUE"""),"N0MrThomasMn")</f>
        <v>N0MrThomasMn</v>
      </c>
      <c r="D38" s="31"/>
      <c r="E38" s="31">
        <f>IFERROR(__xludf.DUMMYFUNCTION("""COMPUTED_VALUE"""),12.59664700100356)</f>
        <v>12.596647</v>
      </c>
      <c r="F38" s="31">
        <f>IFERROR(__xludf.DUMMYFUNCTION("""COMPUTED_VALUE"""),-14.856776062571216)</f>
        <v>-14.85677606</v>
      </c>
      <c r="G38" s="31">
        <f>IFERROR(__xludf.DUMMYFUNCTION("""COMPUTED_VALUE"""),25.506400930179215)</f>
        <v>25.50640093</v>
      </c>
      <c r="H38" s="31">
        <f>IFERROR(__xludf.DUMMYFUNCTION("""COMPUTED_VALUE"""),-6.112235571103329)</f>
        <v>-6.112235571</v>
      </c>
      <c r="I38" s="54">
        <f>IFERROR(__xludf.DUMMYFUNCTION("""COMPUTED_VALUE"""),4.0)</f>
        <v>4</v>
      </c>
      <c r="J38" s="55">
        <f>IFERROR(__xludf.DUMMYFUNCTION("""COMPUTED_VALUE"""),0.0)</f>
        <v>0</v>
      </c>
      <c r="K38" s="54">
        <f>IFERROR(__xludf.DUMMYFUNCTION("""COMPUTED_VALUE"""),4.0)</f>
        <v>4</v>
      </c>
      <c r="L38" s="56">
        <f>IFERROR(__xludf.DUMMYFUNCTION("""COMPUTED_VALUE"""),0.0)</f>
        <v>0</v>
      </c>
      <c r="M38" s="56">
        <f>IFERROR(__xludf.DUMMYFUNCTION("""COMPUTED_VALUE"""),0.6)</f>
        <v>0.6</v>
      </c>
      <c r="N38" s="31">
        <f>IFERROR(__xludf.DUMMYFUNCTION("""COMPUTED_VALUE"""),233.0)</f>
        <v>233</v>
      </c>
      <c r="O38" s="57">
        <f>IFERROR(__xludf.DUMMYFUNCTION("""COMPUTED_VALUE"""),0.75)</f>
        <v>0.75</v>
      </c>
      <c r="P38" s="57">
        <f>IFERROR(__xludf.DUMMYFUNCTION("""COMPUTED_VALUE"""),0.25)</f>
        <v>0.25</v>
      </c>
      <c r="Q38" s="57">
        <f>IFERROR(__xludf.DUMMYFUNCTION("""COMPUTED_VALUE"""),0.5)</f>
        <v>0.5</v>
      </c>
      <c r="R38" s="57">
        <f>IFERROR(__xludf.DUMMYFUNCTION("""COMPUTED_VALUE"""),1.25)</f>
        <v>1.25</v>
      </c>
      <c r="S38" s="31">
        <f>IFERROR(__xludf.DUMMYFUNCTION("""COMPUTED_VALUE"""),393.375)</f>
        <v>393.375</v>
      </c>
      <c r="T38" s="57">
        <f>IFERROR(__xludf.DUMMYFUNCTION("""COMPUTED_VALUE"""),1.5208333333333333)</f>
        <v>1.520833333</v>
      </c>
      <c r="U38" s="57">
        <f>IFERROR(__xludf.DUMMYFUNCTION("""COMPUTED_VALUE"""),1.1041666666666665)</f>
        <v>1.104166667</v>
      </c>
      <c r="V38" s="57">
        <f>IFERROR(__xludf.DUMMYFUNCTION("""COMPUTED_VALUE"""),0.41666666666666663)</f>
        <v>0.4166666667</v>
      </c>
      <c r="W38" s="57">
        <f>IFERROR(__xludf.DUMMYFUNCTION("""COMPUTED_VALUE"""),2.770833333333333)</f>
        <v>2.770833333</v>
      </c>
      <c r="X38" s="31">
        <f>IFERROR(__xludf.DUMMYFUNCTION("""COMPUTED_VALUE"""),280.96254963622806)</f>
        <v>280.9625496</v>
      </c>
      <c r="Y38" s="57">
        <f>IFERROR(__xludf.DUMMYFUNCTION("""COMPUTED_VALUE"""),0.6793437786117072)</f>
        <v>0.6793437786</v>
      </c>
      <c r="Z38" s="57">
        <f>IFERROR(__xludf.DUMMYFUNCTION("""COMPUTED_VALUE"""),0.4954303831298046)</f>
        <v>0.4954303831</v>
      </c>
      <c r="AA38" s="57">
        <f>IFERROR(__xludf.DUMMYFUNCTION("""COMPUTED_VALUE"""),0.7581161550821645)</f>
        <v>0.7581161551</v>
      </c>
      <c r="AB38" s="57">
        <f>IFERROR(__xludf.DUMMYFUNCTION("""COMPUTED_VALUE"""),1.9796300848755009)</f>
        <v>1.979630085</v>
      </c>
      <c r="AC38" s="31">
        <f>IFERROR(__xludf.DUMMYFUNCTION("""COMPUTED_VALUE"""),296.9697794766497)</f>
        <v>296.9697795</v>
      </c>
      <c r="AD38" s="57">
        <f>IFERROR(__xludf.DUMMYFUNCTION("""COMPUTED_VALUE"""),0.7559483618444434)</f>
        <v>0.7559483618</v>
      </c>
      <c r="AE38" s="57">
        <f>IFERROR(__xludf.DUMMYFUNCTION("""COMPUTED_VALUE"""),0.43596530828626723)</f>
        <v>0.4359653083</v>
      </c>
      <c r="AF38" s="57">
        <f>IFERROR(__xludf.DUMMYFUNCTION("""COMPUTED_VALUE"""),0.9214803576353586)</f>
        <v>0.9214803576</v>
      </c>
      <c r="AG38" s="57">
        <f>IFERROR(__xludf.DUMMYFUNCTION("""COMPUTED_VALUE"""),2.0175637504102175)</f>
        <v>2.01756375</v>
      </c>
      <c r="AH38" s="57">
        <f>IFERROR(__xludf.DUMMYFUNCTION("""COMPUTED_VALUE"""),0.7845916187519695)</f>
        <v>0.7845916188</v>
      </c>
      <c r="AI38" s="57">
        <f>IFERROR(__xludf.DUMMYFUNCTION("""COMPUTED_VALUE"""),0.992131259032125)</f>
        <v>0.992131259</v>
      </c>
      <c r="AJ38" s="57">
        <f>IFERROR(__xludf.DUMMYFUNCTION("""COMPUTED_VALUE"""),0.5734401229830033)</f>
        <v>0.573440123</v>
      </c>
      <c r="AK38" s="57">
        <f>IFERROR(__xludf.DUMMYFUNCTION("""COMPUTED_VALUE"""),0.5426051633732776)</f>
        <v>0.5426051634</v>
      </c>
      <c r="AL38" s="57">
        <f>IFERROR(__xludf.DUMMYFUNCTION("""COMPUTED_VALUE"""),0.6195591092206361)</f>
        <v>0.6195591092</v>
      </c>
      <c r="AM38" s="57">
        <f>IFERROR(__xludf.DUMMYFUNCTION("""COMPUTED_VALUE"""),1.4000976304824833)</f>
        <v>1.40009763</v>
      </c>
      <c r="AN38" s="57">
        <f>IFERROR(__xludf.DUMMYFUNCTION("""COMPUTED_VALUE"""),2.238680004461477)</f>
        <v>2.238680004</v>
      </c>
      <c r="AO38" s="57">
        <f>IFERROR(__xludf.DUMMYFUNCTION("""COMPUTED_VALUE"""),2.228701961497123)</f>
        <v>2.228701961</v>
      </c>
      <c r="AP38" s="35">
        <f>IFERROR(__xludf.DUMMYFUNCTION("""COMPUTED_VALUE"""),0.5496079510685383)</f>
        <v>0.5496079511</v>
      </c>
      <c r="AQ38" s="57">
        <f>IFERROR(__xludf.DUMMYFUNCTION("""COMPUTED_VALUE"""),1.399672269330859)</f>
        <v>1.399672269</v>
      </c>
      <c r="AR38" s="36" t="b">
        <f>IFERROR(__xludf.DUMMYFUNCTION("""COMPUTED_VALUE"""),TRUE)</f>
        <v>1</v>
      </c>
      <c r="AS38" s="57"/>
      <c r="AT38" s="37"/>
      <c r="AU38" s="30"/>
      <c r="AV38" s="30"/>
      <c r="AW38" s="30"/>
      <c r="AX38" s="30"/>
      <c r="AY38" s="30"/>
      <c r="AZ38" s="30"/>
    </row>
    <row r="39">
      <c r="A39" s="30" t="str">
        <f>IFERROR(__xludf.DUMMYFUNCTION("""COMPUTED_VALUE"""),"Amateur")</f>
        <v>Amateur</v>
      </c>
      <c r="B39" s="30" t="str">
        <f>IFERROR(__xludf.DUMMYFUNCTION("""COMPUTED_VALUE"""),"RSC007678")</f>
        <v>RSC007678</v>
      </c>
      <c r="C39" s="30" t="str">
        <f>IFERROR(__xludf.DUMMYFUNCTION("""COMPUTED_VALUE"""),"SavedHawk")</f>
        <v>SavedHawk</v>
      </c>
      <c r="D39" s="31" t="str">
        <f>IFERROR(__xludf.DUMMYFUNCTION("""COMPUTED_VALUE"""),"Kiwis")</f>
        <v>Kiwis</v>
      </c>
      <c r="E39" s="31">
        <f>IFERROR(__xludf.DUMMYFUNCTION("""COMPUTED_VALUE"""),7.616543821871716)</f>
        <v>7.616543822</v>
      </c>
      <c r="F39" s="31">
        <f>IFERROR(__xludf.DUMMYFUNCTION("""COMPUTED_VALUE"""),-22.219439062237143)</f>
        <v>-22.21943906</v>
      </c>
      <c r="G39" s="31">
        <f>IFERROR(__xludf.DUMMYFUNCTION("""COMPUTED_VALUE"""),7.391317867310043)</f>
        <v>7.391317867</v>
      </c>
      <c r="H39" s="31">
        <f>IFERROR(__xludf.DUMMYFUNCTION("""COMPUTED_VALUE"""),-22.64589523714142)</f>
        <v>-22.64589524</v>
      </c>
      <c r="I39" s="54">
        <f>IFERROR(__xludf.DUMMYFUNCTION("""COMPUTED_VALUE"""),24.0)</f>
        <v>24</v>
      </c>
      <c r="J39" s="55">
        <f>IFERROR(__xludf.DUMMYFUNCTION("""COMPUTED_VALUE"""),4.0)</f>
        <v>4</v>
      </c>
      <c r="K39" s="54">
        <f>IFERROR(__xludf.DUMMYFUNCTION("""COMPUTED_VALUE"""),20.0)</f>
        <v>20</v>
      </c>
      <c r="L39" s="56">
        <f>IFERROR(__xludf.DUMMYFUNCTION("""COMPUTED_VALUE"""),0.16666666666666666)</f>
        <v>0.1666666667</v>
      </c>
      <c r="M39" s="56">
        <f>IFERROR(__xludf.DUMMYFUNCTION("""COMPUTED_VALUE"""),0.21739130434782608)</f>
        <v>0.2173913043</v>
      </c>
      <c r="N39" s="31">
        <f>IFERROR(__xludf.DUMMYFUNCTION("""COMPUTED_VALUE"""),172.91666666666666)</f>
        <v>172.9166667</v>
      </c>
      <c r="O39" s="57">
        <f>IFERROR(__xludf.DUMMYFUNCTION("""COMPUTED_VALUE"""),0.20833333333333334)</f>
        <v>0.2083333333</v>
      </c>
      <c r="P39" s="57">
        <f>IFERROR(__xludf.DUMMYFUNCTION("""COMPUTED_VALUE"""),0.2916666666666667)</f>
        <v>0.2916666667</v>
      </c>
      <c r="Q39" s="57">
        <f>IFERROR(__xludf.DUMMYFUNCTION("""COMPUTED_VALUE"""),0.75)</f>
        <v>0.75</v>
      </c>
      <c r="R39" s="57">
        <f>IFERROR(__xludf.DUMMYFUNCTION("""COMPUTED_VALUE"""),0.9583333333333334)</f>
        <v>0.9583333333</v>
      </c>
      <c r="S39" s="31">
        <f>IFERROR(__xludf.DUMMYFUNCTION("""COMPUTED_VALUE"""),366.1875)</f>
        <v>366.1875</v>
      </c>
      <c r="T39" s="57">
        <f>IFERROR(__xludf.DUMMYFUNCTION("""COMPUTED_VALUE"""),1.2916666666666667)</f>
        <v>1.291666667</v>
      </c>
      <c r="U39" s="57">
        <f>IFERROR(__xludf.DUMMYFUNCTION("""COMPUTED_VALUE"""),0.7708333333333334)</f>
        <v>0.7708333333</v>
      </c>
      <c r="V39" s="57">
        <f>IFERROR(__xludf.DUMMYFUNCTION("""COMPUTED_VALUE"""),0.7743055555555555)</f>
        <v>0.7743055556</v>
      </c>
      <c r="W39" s="57">
        <f>IFERROR(__xludf.DUMMYFUNCTION("""COMPUTED_VALUE"""),2.6875000000000004)</f>
        <v>2.6875</v>
      </c>
      <c r="X39" s="31">
        <f>IFERROR(__xludf.DUMMYFUNCTION("""COMPUTED_VALUE"""),300.50840477583245)</f>
        <v>300.5084048</v>
      </c>
      <c r="Y39" s="57">
        <f>IFERROR(__xludf.DUMMYFUNCTION("""COMPUTED_VALUE"""),0.8513195800668787)</f>
        <v>0.8513195801</v>
      </c>
      <c r="Z39" s="57">
        <f>IFERROR(__xludf.DUMMYFUNCTION("""COMPUTED_VALUE"""),0.45542273909637676)</f>
        <v>0.4554227391</v>
      </c>
      <c r="AA39" s="57">
        <f>IFERROR(__xludf.DUMMYFUNCTION("""COMPUTED_VALUE"""),0.8499691730228837)</f>
        <v>0.849969173</v>
      </c>
      <c r="AB39" s="57">
        <f>IFERROR(__xludf.DUMMYFUNCTION("""COMPUTED_VALUE"""),2.1030049779974016)</f>
        <v>2.103004978</v>
      </c>
      <c r="AC39" s="31">
        <f>IFERROR(__xludf.DUMMYFUNCTION("""COMPUTED_VALUE"""),287.0240607895272)</f>
        <v>287.0240608</v>
      </c>
      <c r="AD39" s="57">
        <f>IFERROR(__xludf.DUMMYFUNCTION("""COMPUTED_VALUE"""),0.7263659910519702)</f>
        <v>0.7263659911</v>
      </c>
      <c r="AE39" s="57">
        <f>IFERROR(__xludf.DUMMYFUNCTION("""COMPUTED_VALUE"""),0.4134747903916227)</f>
        <v>0.4134747904</v>
      </c>
      <c r="AF39" s="57">
        <f>IFERROR(__xludf.DUMMYFUNCTION("""COMPUTED_VALUE"""),0.8629157661664996)</f>
        <v>0.8629157662</v>
      </c>
      <c r="AG39" s="57">
        <f>IFERROR(__xludf.DUMMYFUNCTION("""COMPUTED_VALUE"""),1.9911754668086095)</f>
        <v>1.991175467</v>
      </c>
      <c r="AH39" s="57">
        <f>IFERROR(__xludf.DUMMYFUNCTION("""COMPUTED_VALUE"""),0.6024465899862844)</f>
        <v>0.60244659</v>
      </c>
      <c r="AI39" s="57">
        <f>IFERROR(__xludf.DUMMYFUNCTION("""COMPUTED_VALUE"""),0.2868159246162001)</f>
        <v>0.2868159246</v>
      </c>
      <c r="AJ39" s="57">
        <f>IFERROR(__xludf.DUMMYFUNCTION("""COMPUTED_VALUE"""),0.7054037475668458)</f>
        <v>0.7054037476</v>
      </c>
      <c r="AK39" s="57">
        <f>IFERROR(__xludf.DUMMYFUNCTION("""COMPUTED_VALUE"""),0.8691462474163295)</f>
        <v>0.8691462474</v>
      </c>
      <c r="AL39" s="57">
        <f>IFERROR(__xludf.DUMMYFUNCTION("""COMPUTED_VALUE"""),0.48129024754876)</f>
        <v>0.4812902475</v>
      </c>
      <c r="AM39" s="57">
        <f>IFERROR(__xludf.DUMMYFUNCTION("""COMPUTED_VALUE"""),1.21855992771038)</f>
        <v>1.218559928</v>
      </c>
      <c r="AN39" s="57">
        <f>IFERROR(__xludf.DUMMYFUNCTION("""COMPUTED_VALUE"""),1.5172523890090663)</f>
        <v>1.517252389</v>
      </c>
      <c r="AO39" s="57">
        <f>IFERROR(__xludf.DUMMYFUNCTION("""COMPUTED_VALUE"""),1.6925666356993414)</f>
        <v>1.692566636</v>
      </c>
      <c r="AP39" s="35">
        <f>IFERROR(__xludf.DUMMYFUNCTION("""COMPUTED_VALUE"""),0.9109807509862583)</f>
        <v>0.910980751</v>
      </c>
      <c r="AQ39" s="57">
        <f>IFERROR(__xludf.DUMMYFUNCTION("""COMPUTED_VALUE"""),1.2779332565152497)</f>
        <v>1.277933257</v>
      </c>
      <c r="AR39" s="36" t="b">
        <f>IFERROR(__xludf.DUMMYFUNCTION("""COMPUTED_VALUE"""),TRUE)</f>
        <v>1</v>
      </c>
      <c r="AS39" s="57"/>
      <c r="AT39" s="37"/>
      <c r="AU39" s="30"/>
      <c r="AV39" s="30"/>
      <c r="AW39" s="30"/>
      <c r="AX39" s="30"/>
      <c r="AY39" s="30"/>
      <c r="AZ39" s="30"/>
    </row>
    <row r="40">
      <c r="A40" s="30" t="str">
        <f>IFERROR(__xludf.DUMMYFUNCTION("""COMPUTED_VALUE"""),"Amateur")</f>
        <v>Amateur</v>
      </c>
      <c r="B40" s="30" t="str">
        <f>IFERROR(__xludf.DUMMYFUNCTION("""COMPUTED_VALUE"""),"RSC000968")</f>
        <v>RSC000968</v>
      </c>
      <c r="C40" s="30" t="str">
        <f>IFERROR(__xludf.DUMMYFUNCTION("""COMPUTED_VALUE"""),"Tsg_raven5336")</f>
        <v>Tsg_raven5336</v>
      </c>
      <c r="D40" s="31"/>
      <c r="E40" s="31">
        <f>IFERROR(__xludf.DUMMYFUNCTION("""COMPUTED_VALUE"""),5.115929998894877)</f>
        <v>5.115929999</v>
      </c>
      <c r="F40" s="31">
        <f>IFERROR(__xludf.DUMMYFUNCTION("""COMPUTED_VALUE"""),-27.54975938848299)</f>
        <v>-27.54975939</v>
      </c>
      <c r="G40" s="31">
        <f>IFERROR(__xludf.DUMMYFUNCTION("""COMPUTED_VALUE"""),-7.766953469920409)</f>
        <v>-7.76695347</v>
      </c>
      <c r="H40" s="31">
        <f>IFERROR(__xludf.DUMMYFUNCTION("""COMPUTED_VALUE"""),-95.9203187836438)</f>
        <v>-95.92031878</v>
      </c>
      <c r="I40" s="54">
        <f>IFERROR(__xludf.DUMMYFUNCTION("""COMPUTED_VALUE"""),6.0)</f>
        <v>6</v>
      </c>
      <c r="J40" s="55">
        <f>IFERROR(__xludf.DUMMYFUNCTION("""COMPUTED_VALUE"""),3.0)</f>
        <v>3</v>
      </c>
      <c r="K40" s="54">
        <f>IFERROR(__xludf.DUMMYFUNCTION("""COMPUTED_VALUE"""),3.0)</f>
        <v>3</v>
      </c>
      <c r="L40" s="56">
        <f>IFERROR(__xludf.DUMMYFUNCTION("""COMPUTED_VALUE"""),0.5)</f>
        <v>0.5</v>
      </c>
      <c r="M40" s="56">
        <f>IFERROR(__xludf.DUMMYFUNCTION("""COMPUTED_VALUE"""),0.0)</f>
        <v>0</v>
      </c>
      <c r="N40" s="31">
        <f>IFERROR(__xludf.DUMMYFUNCTION("""COMPUTED_VALUE"""),160.0)</f>
        <v>160</v>
      </c>
      <c r="O40" s="57">
        <f>IFERROR(__xludf.DUMMYFUNCTION("""COMPUTED_VALUE"""),0.0)</f>
        <v>0</v>
      </c>
      <c r="P40" s="57">
        <f>IFERROR(__xludf.DUMMYFUNCTION("""COMPUTED_VALUE"""),0.0)</f>
        <v>0</v>
      </c>
      <c r="Q40" s="57">
        <f>IFERROR(__xludf.DUMMYFUNCTION("""COMPUTED_VALUE"""),0.8333333333333334)</f>
        <v>0.8333333333</v>
      </c>
      <c r="R40" s="57">
        <f>IFERROR(__xludf.DUMMYFUNCTION("""COMPUTED_VALUE"""),0.6666666666666666)</f>
        <v>0.6666666667</v>
      </c>
      <c r="S40" s="31">
        <f>IFERROR(__xludf.DUMMYFUNCTION("""COMPUTED_VALUE"""),281.23611111111114)</f>
        <v>281.2361111</v>
      </c>
      <c r="T40" s="57">
        <f>IFERROR(__xludf.DUMMYFUNCTION("""COMPUTED_VALUE"""),0.5694444444444444)</f>
        <v>0.5694444444</v>
      </c>
      <c r="U40" s="57">
        <f>IFERROR(__xludf.DUMMYFUNCTION("""COMPUTED_VALUE"""),0.27777777777777773)</f>
        <v>0.2777777778</v>
      </c>
      <c r="V40" s="57">
        <f>IFERROR(__xludf.DUMMYFUNCTION("""COMPUTED_VALUE"""),1.125)</f>
        <v>1.125</v>
      </c>
      <c r="W40" s="57">
        <f>IFERROR(__xludf.DUMMYFUNCTION("""COMPUTED_VALUE"""),1.8472222222222223)</f>
        <v>1.847222222</v>
      </c>
      <c r="X40" s="31">
        <f>IFERROR(__xludf.DUMMYFUNCTION("""COMPUTED_VALUE"""),280.5863045156404)</f>
        <v>280.5863045</v>
      </c>
      <c r="Y40" s="57">
        <f>IFERROR(__xludf.DUMMYFUNCTION("""COMPUTED_VALUE"""),0.6568778617545221)</f>
        <v>0.6568778618</v>
      </c>
      <c r="Z40" s="57">
        <f>IFERROR(__xludf.DUMMYFUNCTION("""COMPUTED_VALUE"""),0.35541389245374067)</f>
        <v>0.3554138925</v>
      </c>
      <c r="AA40" s="57">
        <f>IFERROR(__xludf.DUMMYFUNCTION("""COMPUTED_VALUE"""),0.8361967486445665)</f>
        <v>0.8361967486</v>
      </c>
      <c r="AB40" s="57">
        <f>IFERROR(__xludf.DUMMYFUNCTION("""COMPUTED_VALUE"""),2.091692496834812)</f>
        <v>2.091692497</v>
      </c>
      <c r="AC40" s="31">
        <f>IFERROR(__xludf.DUMMYFUNCTION("""COMPUTED_VALUE"""),314.5052367878332)</f>
        <v>314.5052368</v>
      </c>
      <c r="AD40" s="57">
        <f>IFERROR(__xludf.DUMMYFUNCTION("""COMPUTED_VALUE"""),0.8587000397405208)</f>
        <v>0.8587000397</v>
      </c>
      <c r="AE40" s="57">
        <f>IFERROR(__xludf.DUMMYFUNCTION("""COMPUTED_VALUE"""),0.509447984372083)</f>
        <v>0.5094479844</v>
      </c>
      <c r="AF40" s="57">
        <f>IFERROR(__xludf.DUMMYFUNCTION("""COMPUTED_VALUE"""),0.994900153960875)</f>
        <v>0.994900154</v>
      </c>
      <c r="AG40" s="57">
        <f>IFERROR(__xludf.DUMMYFUNCTION("""COMPUTED_VALUE"""),2.1073274091616914)</f>
        <v>2.107327409</v>
      </c>
      <c r="AH40" s="57">
        <f>IFERROR(__xludf.DUMMYFUNCTION("""COMPUTED_VALUE"""),0.5087355671216909)</f>
        <v>0.5087355671</v>
      </c>
      <c r="AI40" s="57">
        <f>IFERROR(__xludf.DUMMYFUNCTION("""COMPUTED_VALUE"""),0.0)</f>
        <v>0</v>
      </c>
      <c r="AJ40" s="57">
        <f>IFERROR(__xludf.DUMMYFUNCTION("""COMPUTED_VALUE"""),0.0)</f>
        <v>0</v>
      </c>
      <c r="AK40" s="57">
        <f>IFERROR(__xludf.DUMMYFUNCTION("""COMPUTED_VALUE"""),0.8376049898230337)</f>
        <v>0.8376049898</v>
      </c>
      <c r="AL40" s="57">
        <f>IFERROR(__xludf.DUMMYFUNCTION("""COMPUTED_VALUE"""),0.3163564730227995)</f>
        <v>0.316356473</v>
      </c>
      <c r="AM40" s="57">
        <f>IFERROR(__xludf.DUMMYFUNCTION("""COMPUTED_VALUE"""),1.0023158884985226)</f>
        <v>1.002315888</v>
      </c>
      <c r="AN40" s="57">
        <f>IFERROR(__xludf.DUMMYFUNCTION("""COMPUTED_VALUE"""),0.8668954726582765)</f>
        <v>0.8668954727</v>
      </c>
      <c r="AO40" s="57">
        <f>IFERROR(__xludf.DUMMYFUNCTION("""COMPUTED_VALUE"""),0.7815613955324839)</f>
        <v>0.7815613955</v>
      </c>
      <c r="AP40" s="35">
        <f>IFERROR(__xludf.DUMMYFUNCTION("""COMPUTED_VALUE"""),1.3453771517571305)</f>
        <v>1.345377152</v>
      </c>
      <c r="AQ40" s="57">
        <f>IFERROR(__xludf.DUMMYFUNCTION("""COMPUTED_VALUE"""),0.8831232243828734)</f>
        <v>0.8831232244</v>
      </c>
      <c r="AR40" s="36" t="b">
        <f>IFERROR(__xludf.DUMMYFUNCTION("""COMPUTED_VALUE"""),TRUE)</f>
        <v>1</v>
      </c>
      <c r="AS40" s="57"/>
      <c r="AT40" s="37"/>
      <c r="AU40" s="30"/>
      <c r="AV40" s="30"/>
      <c r="AW40" s="30"/>
      <c r="AX40" s="30"/>
      <c r="AY40" s="30"/>
      <c r="AZ40" s="30"/>
    </row>
    <row r="41">
      <c r="A41" s="30" t="str">
        <f>IFERROR(__xludf.DUMMYFUNCTION("""COMPUTED_VALUE"""),"Amateur")</f>
        <v>Amateur</v>
      </c>
      <c r="B41" s="30" t="str">
        <f>IFERROR(__xludf.DUMMYFUNCTION("""COMPUTED_VALUE"""),"RSC007587")</f>
        <v>RSC007587</v>
      </c>
      <c r="C41" s="30" t="str">
        <f>IFERROR(__xludf.DUMMYFUNCTION("""COMPUTED_VALUE"""),"ShortyoShire")</f>
        <v>ShortyoShire</v>
      </c>
      <c r="D41" s="31" t="str">
        <f>IFERROR(__xludf.DUMMYFUNCTION("""COMPUTED_VALUE"""),"Aloof Goofs")</f>
        <v>Aloof Goofs</v>
      </c>
      <c r="E41" s="31">
        <f>IFERROR(__xludf.DUMMYFUNCTION("""COMPUTED_VALUE"""),-29.180718098475253)</f>
        <v>-29.1807181</v>
      </c>
      <c r="F41" s="31">
        <f>IFERROR(__xludf.DUMMYFUNCTION("""COMPUTED_VALUE"""),-1299.55172968214)</f>
        <v>-1299.55173</v>
      </c>
      <c r="G41" s="31">
        <f>IFERROR(__xludf.DUMMYFUNCTION("""COMPUTED_VALUE"""),-15.162276683420245)</f>
        <v>-15.16227668</v>
      </c>
      <c r="H41" s="31">
        <f>IFERROR(__xludf.DUMMYFUNCTION("""COMPUTED_VALUE"""),-218.63847071448785)</f>
        <v>-218.6384707</v>
      </c>
      <c r="I41" s="54">
        <f>IFERROR(__xludf.DUMMYFUNCTION("""COMPUTED_VALUE"""),6.0)</f>
        <v>6</v>
      </c>
      <c r="J41" s="55">
        <f>IFERROR(__xludf.DUMMYFUNCTION("""COMPUTED_VALUE"""),1.0)</f>
        <v>1</v>
      </c>
      <c r="K41" s="54">
        <f>IFERROR(__xludf.DUMMYFUNCTION("""COMPUTED_VALUE"""),5.0)</f>
        <v>5</v>
      </c>
      <c r="L41" s="56">
        <f>IFERROR(__xludf.DUMMYFUNCTION("""COMPUTED_VALUE"""),0.16666666666666666)</f>
        <v>0.1666666667</v>
      </c>
      <c r="M41" s="56">
        <f>IFERROR(__xludf.DUMMYFUNCTION("""COMPUTED_VALUE"""),0.0)</f>
        <v>0</v>
      </c>
      <c r="N41" s="31">
        <f>IFERROR(__xludf.DUMMYFUNCTION("""COMPUTED_VALUE"""),122.16666666666667)</f>
        <v>122.1666667</v>
      </c>
      <c r="O41" s="57">
        <f>IFERROR(__xludf.DUMMYFUNCTION("""COMPUTED_VALUE"""),0.0)</f>
        <v>0</v>
      </c>
      <c r="P41" s="57">
        <f>IFERROR(__xludf.DUMMYFUNCTION("""COMPUTED_VALUE"""),0.0)</f>
        <v>0</v>
      </c>
      <c r="Q41" s="57">
        <f>IFERROR(__xludf.DUMMYFUNCTION("""COMPUTED_VALUE"""),0.8333333333333334)</f>
        <v>0.8333333333</v>
      </c>
      <c r="R41" s="57">
        <f>IFERROR(__xludf.DUMMYFUNCTION("""COMPUTED_VALUE"""),0.6666666666666666)</f>
        <v>0.6666666667</v>
      </c>
      <c r="S41" s="31">
        <f>IFERROR(__xludf.DUMMYFUNCTION("""COMPUTED_VALUE"""),395.97222222222223)</f>
        <v>395.9722222</v>
      </c>
      <c r="T41" s="57">
        <f>IFERROR(__xludf.DUMMYFUNCTION("""COMPUTED_VALUE"""),1.5972222222222223)</f>
        <v>1.597222222</v>
      </c>
      <c r="U41" s="57">
        <f>IFERROR(__xludf.DUMMYFUNCTION("""COMPUTED_VALUE"""),1.0416666666666665)</f>
        <v>1.041666667</v>
      </c>
      <c r="V41" s="57">
        <f>IFERROR(__xludf.DUMMYFUNCTION("""COMPUTED_VALUE"""),0.49999999999999994)</f>
        <v>0.5</v>
      </c>
      <c r="W41" s="57">
        <f>IFERROR(__xludf.DUMMYFUNCTION("""COMPUTED_VALUE"""),3.0416666666666665)</f>
        <v>3.041666667</v>
      </c>
      <c r="X41" s="31">
        <f>IFERROR(__xludf.DUMMYFUNCTION("""COMPUTED_VALUE"""),278.0637641029368)</f>
        <v>278.0637641</v>
      </c>
      <c r="Y41" s="57">
        <f>IFERROR(__xludf.DUMMYFUNCTION("""COMPUTED_VALUE"""),0.6595597455636335)</f>
        <v>0.6595597456</v>
      </c>
      <c r="Z41" s="57">
        <f>IFERROR(__xludf.DUMMYFUNCTION("""COMPUTED_VALUE"""),0.44626767818826024)</f>
        <v>0.4462676782</v>
      </c>
      <c r="AA41" s="57">
        <f>IFERROR(__xludf.DUMMYFUNCTION("""COMPUTED_VALUE"""),0.7693636630399273)</f>
        <v>0.769363663</v>
      </c>
      <c r="AB41" s="57">
        <f>IFERROR(__xludf.DUMMYFUNCTION("""COMPUTED_VALUE"""),1.9772941391916206)</f>
        <v>1.977294139</v>
      </c>
      <c r="AC41" s="31">
        <f>IFERROR(__xludf.DUMMYFUNCTION("""COMPUTED_VALUE"""),310.28641660450484)</f>
        <v>310.2864166</v>
      </c>
      <c r="AD41" s="57">
        <f>IFERROR(__xludf.DUMMYFUNCTION("""COMPUTED_VALUE"""),0.8788775689306018)</f>
        <v>0.8788775689</v>
      </c>
      <c r="AE41" s="57">
        <f>IFERROR(__xludf.DUMMYFUNCTION("""COMPUTED_VALUE"""),0.4892295816975866)</f>
        <v>0.4892295817</v>
      </c>
      <c r="AF41" s="57">
        <f>IFERROR(__xludf.DUMMYFUNCTION("""COMPUTED_VALUE"""),0.8939865815139747)</f>
        <v>0.8939865815</v>
      </c>
      <c r="AG41" s="57">
        <f>IFERROR(__xludf.DUMMYFUNCTION("""COMPUTED_VALUE"""),2.1450590346650125)</f>
        <v>2.145059035</v>
      </c>
      <c r="AH41" s="57">
        <f>IFERROR(__xludf.DUMMYFUNCTION("""COMPUTED_VALUE"""),0.3937222518586172)</f>
        <v>0.3937222519</v>
      </c>
      <c r="AI41" s="57">
        <f>IFERROR(__xludf.DUMMYFUNCTION("""COMPUTED_VALUE"""),0.0)</f>
        <v>0</v>
      </c>
      <c r="AJ41" s="57">
        <f>IFERROR(__xludf.DUMMYFUNCTION("""COMPUTED_VALUE"""),0.0)</f>
        <v>0</v>
      </c>
      <c r="AK41" s="57">
        <f>IFERROR(__xludf.DUMMYFUNCTION("""COMPUTED_VALUE"""),0.9321541850461285)</f>
        <v>0.932154185</v>
      </c>
      <c r="AL41" s="57">
        <f>IFERROR(__xludf.DUMMYFUNCTION("""COMPUTED_VALUE"""),0.3107917571931898)</f>
        <v>0.3107917572</v>
      </c>
      <c r="AM41" s="57">
        <f>IFERROR(__xludf.DUMMYFUNCTION("""COMPUTED_VALUE"""),1.424033884816566)</f>
        <v>1.424033885</v>
      </c>
      <c r="AN41" s="57">
        <f>IFERROR(__xludf.DUMMYFUNCTION("""COMPUTED_VALUE"""),2.4216490362935956)</f>
        <v>2.421649036</v>
      </c>
      <c r="AO41" s="57">
        <f>IFERROR(__xludf.DUMMYFUNCTION("""COMPUTED_VALUE"""),2.3341745718524436)</f>
        <v>2.334174572</v>
      </c>
      <c r="AP41" s="35">
        <f>IFERROR(__xludf.DUMMYFUNCTION("""COMPUTED_VALUE"""),0.6498877241282601)</f>
        <v>0.6498877241</v>
      </c>
      <c r="AQ41" s="57">
        <f>IFERROR(__xludf.DUMMYFUNCTION("""COMPUTED_VALUE"""),1.5382975179960805)</f>
        <v>1.538297518</v>
      </c>
      <c r="AR41" s="36" t="b">
        <f>IFERROR(__xludf.DUMMYFUNCTION("""COMPUTED_VALUE"""),TRUE)</f>
        <v>1</v>
      </c>
      <c r="AS41" s="57"/>
      <c r="AT41" s="37"/>
      <c r="AU41" s="30"/>
      <c r="AV41" s="30"/>
      <c r="AW41" s="30"/>
      <c r="AX41" s="30"/>
      <c r="AY41" s="30"/>
      <c r="AZ41" s="30"/>
    </row>
    <row r="42">
      <c r="A42" s="30" t="str">
        <f>IFERROR(__xludf.DUMMYFUNCTION("""COMPUTED_VALUE"""),"Challenger")</f>
        <v>Challenger</v>
      </c>
      <c r="B42" s="30" t="str">
        <f>IFERROR(__xludf.DUMMYFUNCTION("""COMPUTED_VALUE"""),"RSC003193")</f>
        <v>RSC003193</v>
      </c>
      <c r="C42" s="30" t="str">
        <f>IFERROR(__xludf.DUMMYFUNCTION("""COMPUTED_VALUE"""),"ShiftDrink")</f>
        <v>ShiftDrink</v>
      </c>
      <c r="D42" s="31" t="str">
        <f>IFERROR(__xludf.DUMMYFUNCTION("""COMPUTED_VALUE"""),"Mugged")</f>
        <v>Mugged</v>
      </c>
      <c r="E42" s="31">
        <f>IFERROR(__xludf.DUMMYFUNCTION("""COMPUTED_VALUE"""),108.88234453161247)</f>
        <v>108.8823445</v>
      </c>
      <c r="F42" s="31">
        <f>IFERROR(__xludf.DUMMYFUNCTION("""COMPUTED_VALUE"""),108.0609891496923)</f>
        <v>108.0609891</v>
      </c>
      <c r="G42" s="31">
        <f>IFERROR(__xludf.DUMMYFUNCTION("""COMPUTED_VALUE"""),44.381116176732434)</f>
        <v>44.38111618</v>
      </c>
      <c r="H42" s="31">
        <f>IFERROR(__xludf.DUMMYFUNCTION("""COMPUTED_VALUE"""),-2.4325881162210634)</f>
        <v>-2.432588116</v>
      </c>
      <c r="I42" s="54">
        <f>IFERROR(__xludf.DUMMYFUNCTION("""COMPUTED_VALUE"""),2.0)</f>
        <v>2</v>
      </c>
      <c r="J42" s="55">
        <f>IFERROR(__xludf.DUMMYFUNCTION("""COMPUTED_VALUE"""),2.0)</f>
        <v>2</v>
      </c>
      <c r="K42" s="54">
        <f>IFERROR(__xludf.DUMMYFUNCTION("""COMPUTED_VALUE"""),0.0)</f>
        <v>0</v>
      </c>
      <c r="L42" s="56">
        <f>IFERROR(__xludf.DUMMYFUNCTION("""COMPUTED_VALUE"""),1.0)</f>
        <v>1</v>
      </c>
      <c r="M42" s="56">
        <f>IFERROR(__xludf.DUMMYFUNCTION("""COMPUTED_VALUE"""),0.625)</f>
        <v>0.625</v>
      </c>
      <c r="N42" s="31">
        <f>IFERROR(__xludf.DUMMYFUNCTION("""COMPUTED_VALUE"""),447.5)</f>
        <v>447.5</v>
      </c>
      <c r="O42" s="57">
        <f>IFERROR(__xludf.DUMMYFUNCTION("""COMPUTED_VALUE"""),2.5)</f>
        <v>2.5</v>
      </c>
      <c r="P42" s="57">
        <f>IFERROR(__xludf.DUMMYFUNCTION("""COMPUTED_VALUE"""),0.0)</f>
        <v>0</v>
      </c>
      <c r="Q42" s="57">
        <f>IFERROR(__xludf.DUMMYFUNCTION("""COMPUTED_VALUE"""),0.5)</f>
        <v>0.5</v>
      </c>
      <c r="R42" s="57">
        <f>IFERROR(__xludf.DUMMYFUNCTION("""COMPUTED_VALUE"""),4.0)</f>
        <v>4</v>
      </c>
      <c r="S42" s="31">
        <f>IFERROR(__xludf.DUMMYFUNCTION("""COMPUTED_VALUE"""),352.5)</f>
        <v>352.5</v>
      </c>
      <c r="T42" s="57">
        <f>IFERROR(__xludf.DUMMYFUNCTION("""COMPUTED_VALUE"""),1.0)</f>
        <v>1</v>
      </c>
      <c r="U42" s="57">
        <f>IFERROR(__xludf.DUMMYFUNCTION("""COMPUTED_VALUE"""),0.8333333333333333)</f>
        <v>0.8333333333</v>
      </c>
      <c r="V42" s="57">
        <f>IFERROR(__xludf.DUMMYFUNCTION("""COMPUTED_VALUE"""),1.3333333333333333)</f>
        <v>1.333333333</v>
      </c>
      <c r="W42" s="57">
        <f>IFERROR(__xludf.DUMMYFUNCTION("""COMPUTED_VALUE"""),2.833333333333333)</f>
        <v>2.833333333</v>
      </c>
      <c r="X42" s="31">
        <f>IFERROR(__xludf.DUMMYFUNCTION("""COMPUTED_VALUE"""),339.827207011837)</f>
        <v>339.827207</v>
      </c>
      <c r="Y42" s="57">
        <f>IFERROR(__xludf.DUMMYFUNCTION("""COMPUTED_VALUE"""),0.7271030993042378)</f>
        <v>0.7271030993</v>
      </c>
      <c r="Z42" s="57">
        <f>IFERROR(__xludf.DUMMYFUNCTION("""COMPUTED_VALUE"""),0.5360599078341014)</f>
        <v>0.5360599078</v>
      </c>
      <c r="AA42" s="57">
        <f>IFERROR(__xludf.DUMMYFUNCTION("""COMPUTED_VALUE"""),1.330069124423963)</f>
        <v>1.330069124</v>
      </c>
      <c r="AB42" s="57">
        <f>IFERROR(__xludf.DUMMYFUNCTION("""COMPUTED_VALUE"""),2.3785420619860846)</f>
        <v>2.378542062</v>
      </c>
      <c r="AC42" s="31">
        <f>IFERROR(__xludf.DUMMYFUNCTION("""COMPUTED_VALUE"""),352.2358814493539)</f>
        <v>352.2358814</v>
      </c>
      <c r="AD42" s="57">
        <f>IFERROR(__xludf.DUMMYFUNCTION("""COMPUTED_VALUE"""),0.8361065931749043)</f>
        <v>0.8361065932</v>
      </c>
      <c r="AE42" s="57">
        <f>IFERROR(__xludf.DUMMYFUNCTION("""COMPUTED_VALUE"""),0.6065600433721876)</f>
        <v>0.6065600434</v>
      </c>
      <c r="AF42" s="57">
        <f>IFERROR(__xludf.DUMMYFUNCTION("""COMPUTED_VALUE"""),1.1797769645492604)</f>
        <v>1.179776965</v>
      </c>
      <c r="AG42" s="57">
        <f>IFERROR(__xludf.DUMMYFUNCTION("""COMPUTED_VALUE"""),2.7068476853106835)</f>
        <v>2.706847685</v>
      </c>
      <c r="AH42" s="57">
        <f>IFERROR(__xludf.DUMMYFUNCTION("""COMPUTED_VALUE"""),1.2704554634203093)</f>
        <v>1.270455463</v>
      </c>
      <c r="AI42" s="57">
        <f>IFERROR(__xludf.DUMMYFUNCTION("""COMPUTED_VALUE"""),2.9900493793582936)</f>
        <v>2.990049379</v>
      </c>
      <c r="AJ42" s="57">
        <f>IFERROR(__xludf.DUMMYFUNCTION("""COMPUTED_VALUE"""),0.0)</f>
        <v>0</v>
      </c>
      <c r="AK42" s="57">
        <f>IFERROR(__xludf.DUMMYFUNCTION("""COMPUTED_VALUE"""),0.4238089189943012)</f>
        <v>0.423808919</v>
      </c>
      <c r="AL42" s="57">
        <f>IFERROR(__xludf.DUMMYFUNCTION("""COMPUTED_VALUE"""),1.4777336832459758)</f>
        <v>1.477733683</v>
      </c>
      <c r="AM42" s="57">
        <f>IFERROR(__xludf.DUMMYFUNCTION("""COMPUTED_VALUE"""),1.0372918728303044)</f>
        <v>1.037291873</v>
      </c>
      <c r="AN42" s="57">
        <f>IFERROR(__xludf.DUMMYFUNCTION("""COMPUTED_VALUE"""),1.3753207776956202)</f>
        <v>1.375320778</v>
      </c>
      <c r="AO42" s="57">
        <f>IFERROR(__xludf.DUMMYFUNCTION("""COMPUTED_VALUE"""),1.5545526183824054)</f>
        <v>1.554552618</v>
      </c>
      <c r="AP42" s="35">
        <f>IFERROR(__xludf.DUMMYFUNCTION("""COMPUTED_VALUE"""),1.0024541648621337)</f>
        <v>1.002454165</v>
      </c>
      <c r="AQ42" s="57">
        <f>IFERROR(__xludf.DUMMYFUNCTION("""COMPUTED_VALUE"""),1.191205898191053)</f>
        <v>1.191205898</v>
      </c>
      <c r="AR42" s="36" t="b">
        <f>IFERROR(__xludf.DUMMYFUNCTION("""COMPUTED_VALUE"""),TRUE)</f>
        <v>1</v>
      </c>
      <c r="AS42" s="57"/>
      <c r="AT42" s="37"/>
      <c r="AU42" s="30"/>
      <c r="AV42" s="30"/>
      <c r="AW42" s="30"/>
      <c r="AX42" s="30"/>
      <c r="AY42" s="30"/>
      <c r="AZ42" s="30"/>
    </row>
    <row r="43">
      <c r="A43" s="30" t="str">
        <f>IFERROR(__xludf.DUMMYFUNCTION("""COMPUTED_VALUE"""),"Challenger")</f>
        <v>Challenger</v>
      </c>
      <c r="B43" s="30" t="str">
        <f>IFERROR(__xludf.DUMMYFUNCTION("""COMPUTED_VALUE"""),"RSC006976")</f>
        <v>RSC006976</v>
      </c>
      <c r="C43" s="30" t="str">
        <f>IFERROR(__xludf.DUMMYFUNCTION("""COMPUTED_VALUE"""),"Slendda")</f>
        <v>Slendda</v>
      </c>
      <c r="D43" s="31" t="str">
        <f>IFERROR(__xludf.DUMMYFUNCTION("""COMPUTED_VALUE"""),"Meat Lovers")</f>
        <v>Meat Lovers</v>
      </c>
      <c r="E43" s="31">
        <f>IFERROR(__xludf.DUMMYFUNCTION("""COMPUTED_VALUE"""),100.641417527335)</f>
        <v>100.6414175</v>
      </c>
      <c r="F43" s="31">
        <f>IFERROR(__xludf.DUMMYFUNCTION("""COMPUTED_VALUE"""),46.728997418947834)</f>
        <v>46.72899742</v>
      </c>
      <c r="G43" s="31">
        <f>IFERROR(__xludf.DUMMYFUNCTION("""COMPUTED_VALUE"""),82.09380408368878)</f>
        <v>82.09380408</v>
      </c>
      <c r="H43" s="31">
        <f>IFERROR(__xludf.DUMMYFUNCTION("""COMPUTED_VALUE"""),10.038714993608428)</f>
        <v>10.03871499</v>
      </c>
      <c r="I43" s="54">
        <f>IFERROR(__xludf.DUMMYFUNCTION("""COMPUTED_VALUE"""),36.0)</f>
        <v>36</v>
      </c>
      <c r="J43" s="55">
        <f>IFERROR(__xludf.DUMMYFUNCTION("""COMPUTED_VALUE"""),28.0)</f>
        <v>28</v>
      </c>
      <c r="K43" s="54">
        <f>IFERROR(__xludf.DUMMYFUNCTION("""COMPUTED_VALUE"""),8.0)</f>
        <v>8</v>
      </c>
      <c r="L43" s="56">
        <f>IFERROR(__xludf.DUMMYFUNCTION("""COMPUTED_VALUE"""),0.7777777777777778)</f>
        <v>0.7777777778</v>
      </c>
      <c r="M43" s="56">
        <f>IFERROR(__xludf.DUMMYFUNCTION("""COMPUTED_VALUE"""),0.4513274336283186)</f>
        <v>0.4513274336</v>
      </c>
      <c r="N43" s="31">
        <f>IFERROR(__xludf.DUMMYFUNCTION("""COMPUTED_VALUE"""),419.25)</f>
        <v>419.25</v>
      </c>
      <c r="O43" s="57">
        <f>IFERROR(__xludf.DUMMYFUNCTION("""COMPUTED_VALUE"""),1.4166666666666667)</f>
        <v>1.416666667</v>
      </c>
      <c r="P43" s="57">
        <f>IFERROR(__xludf.DUMMYFUNCTION("""COMPUTED_VALUE"""),0.6388888888888888)</f>
        <v>0.6388888889</v>
      </c>
      <c r="Q43" s="57">
        <f>IFERROR(__xludf.DUMMYFUNCTION("""COMPUTED_VALUE"""),1.0277777777777777)</f>
        <v>1.027777778</v>
      </c>
      <c r="R43" s="57">
        <f>IFERROR(__xludf.DUMMYFUNCTION("""COMPUTED_VALUE"""),3.138888888888889)</f>
        <v>3.138888889</v>
      </c>
      <c r="S43" s="31">
        <f>IFERROR(__xludf.DUMMYFUNCTION("""COMPUTED_VALUE"""),312.42592592592587)</f>
        <v>312.4259259</v>
      </c>
      <c r="T43" s="57">
        <f>IFERROR(__xludf.DUMMYFUNCTION("""COMPUTED_VALUE"""),0.6296296296296297)</f>
        <v>0.6296296296</v>
      </c>
      <c r="U43" s="57">
        <f>IFERROR(__xludf.DUMMYFUNCTION("""COMPUTED_VALUE"""),0.45370370370370366)</f>
        <v>0.4537037037</v>
      </c>
      <c r="V43" s="57">
        <f>IFERROR(__xludf.DUMMYFUNCTION("""COMPUTED_VALUE"""),1.25)</f>
        <v>1.25</v>
      </c>
      <c r="W43" s="57">
        <f>IFERROR(__xludf.DUMMYFUNCTION("""COMPUTED_VALUE"""),2.2129629629629632)</f>
        <v>2.212962963</v>
      </c>
      <c r="X43" s="31">
        <f>IFERROR(__xludf.DUMMYFUNCTION("""COMPUTED_VALUE"""),329.7404052935383)</f>
        <v>329.7404053</v>
      </c>
      <c r="Y43" s="57">
        <f>IFERROR(__xludf.DUMMYFUNCTION("""COMPUTED_VALUE"""),0.7458885045360544)</f>
        <v>0.7458885045</v>
      </c>
      <c r="Z43" s="57">
        <f>IFERROR(__xludf.DUMMYFUNCTION("""COMPUTED_VALUE"""),0.5365835687989665)</f>
        <v>0.5365835688</v>
      </c>
      <c r="AA43" s="57">
        <f>IFERROR(__xludf.DUMMYFUNCTION("""COMPUTED_VALUE"""),1.2221964927403208)</f>
        <v>1.222196493</v>
      </c>
      <c r="AB43" s="57">
        <f>IFERROR(__xludf.DUMMYFUNCTION("""COMPUTED_VALUE"""),2.4223708961432266)</f>
        <v>2.422370896</v>
      </c>
      <c r="AC43" s="31">
        <f>IFERROR(__xludf.DUMMYFUNCTION("""COMPUTED_VALUE"""),342.76708274250984)</f>
        <v>342.7670827</v>
      </c>
      <c r="AD43" s="57">
        <f>IFERROR(__xludf.DUMMYFUNCTION("""COMPUTED_VALUE"""),0.7839896516173908)</f>
        <v>0.7839896516</v>
      </c>
      <c r="AE43" s="57">
        <f>IFERROR(__xludf.DUMMYFUNCTION("""COMPUTED_VALUE"""),0.5738647531544196)</f>
        <v>0.5738647532</v>
      </c>
      <c r="AF43" s="57">
        <f>IFERROR(__xludf.DUMMYFUNCTION("""COMPUTED_VALUE"""),1.2440832494000826)</f>
        <v>1.244083249</v>
      </c>
      <c r="AG43" s="57">
        <f>IFERROR(__xludf.DUMMYFUNCTION("""COMPUTED_VALUE"""),2.475789265068703)</f>
        <v>2.475789265</v>
      </c>
      <c r="AH43" s="57">
        <f>IFERROR(__xludf.DUMMYFUNCTION("""COMPUTED_VALUE"""),1.2231337870764705)</f>
        <v>1.223133787</v>
      </c>
      <c r="AI43" s="57">
        <f>IFERROR(__xludf.DUMMYFUNCTION("""COMPUTED_VALUE"""),1.806996640509281)</f>
        <v>1.806996641</v>
      </c>
      <c r="AJ43" s="57">
        <f>IFERROR(__xludf.DUMMYFUNCTION("""COMPUTED_VALUE"""),1.1133091645323128)</f>
        <v>1.113309165</v>
      </c>
      <c r="AK43" s="57">
        <f>IFERROR(__xludf.DUMMYFUNCTION("""COMPUTED_VALUE"""),0.8261326388514506)</f>
        <v>0.8261326389</v>
      </c>
      <c r="AL43" s="57">
        <f>IFERROR(__xludf.DUMMYFUNCTION("""COMPUTED_VALUE"""),1.2678336291282792)</f>
        <v>1.267833629</v>
      </c>
      <c r="AM43" s="57">
        <f>IFERROR(__xludf.DUMMYFUNCTION("""COMPUTED_VALUE"""),0.9474905741314933)</f>
        <v>0.9474905741</v>
      </c>
      <c r="AN43" s="57">
        <f>IFERROR(__xludf.DUMMYFUNCTION("""COMPUTED_VALUE"""),0.8441337087253568)</f>
        <v>0.8441337087</v>
      </c>
      <c r="AO43" s="57">
        <f>IFERROR(__xludf.DUMMYFUNCTION("""COMPUTED_VALUE"""),0.8455415523051282)</f>
        <v>0.8455415523</v>
      </c>
      <c r="AP43" s="35">
        <f>IFERROR(__xludf.DUMMYFUNCTION("""COMPUTED_VALUE"""),1.0227488030155774)</f>
        <v>1.022748803</v>
      </c>
      <c r="AQ43" s="57">
        <f>IFERROR(__xludf.DUMMYFUNCTION("""COMPUTED_VALUE"""),0.9135524896234215)</f>
        <v>0.9135524896</v>
      </c>
      <c r="AR43" s="36" t="b">
        <f>IFERROR(__xludf.DUMMYFUNCTION("""COMPUTED_VALUE"""),TRUE)</f>
        <v>1</v>
      </c>
      <c r="AS43" s="57"/>
      <c r="AT43" s="37"/>
      <c r="AU43" s="30"/>
      <c r="AV43" s="30"/>
      <c r="AW43" s="30"/>
      <c r="AX43" s="30"/>
      <c r="AY43" s="30"/>
      <c r="AZ43" s="30"/>
    </row>
    <row r="44">
      <c r="A44" s="30" t="str">
        <f>IFERROR(__xludf.DUMMYFUNCTION("""COMPUTED_VALUE"""),"Challenger")</f>
        <v>Challenger</v>
      </c>
      <c r="B44" s="30" t="str">
        <f>IFERROR(__xludf.DUMMYFUNCTION("""COMPUTED_VALUE"""),"RSC006355")</f>
        <v>RSC006355</v>
      </c>
      <c r="C44" s="30" t="str">
        <f>IFERROR(__xludf.DUMMYFUNCTION("""COMPUTED_VALUE"""),"Heartlesswins")</f>
        <v>Heartlesswins</v>
      </c>
      <c r="D44" s="31" t="str">
        <f>IFERROR(__xludf.DUMMYFUNCTION("""COMPUTED_VALUE"""),"Lilac")</f>
        <v>Lilac</v>
      </c>
      <c r="E44" s="31">
        <f>IFERROR(__xludf.DUMMYFUNCTION("""COMPUTED_VALUE"""),98.72267562665336)</f>
        <v>98.72267563</v>
      </c>
      <c r="F44" s="31">
        <f>IFERROR(__xludf.DUMMYFUNCTION("""COMPUTED_VALUE"""),38.98139359241357)</f>
        <v>38.98139359</v>
      </c>
      <c r="G44" s="31">
        <f>IFERROR(__xludf.DUMMYFUNCTION("""COMPUTED_VALUE"""),73.15414493868553)</f>
        <v>73.15414494</v>
      </c>
      <c r="H44" s="31">
        <f>IFERROR(__xludf.DUMMYFUNCTION("""COMPUTED_VALUE"""),5.6439806771888845)</f>
        <v>5.643980677</v>
      </c>
      <c r="I44" s="54">
        <f>IFERROR(__xludf.DUMMYFUNCTION("""COMPUTED_VALUE"""),30.0)</f>
        <v>30</v>
      </c>
      <c r="J44" s="55">
        <f>IFERROR(__xludf.DUMMYFUNCTION("""COMPUTED_VALUE"""),19.0)</f>
        <v>19</v>
      </c>
      <c r="K44" s="54">
        <f>IFERROR(__xludf.DUMMYFUNCTION("""COMPUTED_VALUE"""),11.0)</f>
        <v>11</v>
      </c>
      <c r="L44" s="56">
        <f>IFERROR(__xludf.DUMMYFUNCTION("""COMPUTED_VALUE"""),0.6333333333333333)</f>
        <v>0.6333333333</v>
      </c>
      <c r="M44" s="56">
        <f>IFERROR(__xludf.DUMMYFUNCTION("""COMPUTED_VALUE"""),0.38947368421052636)</f>
        <v>0.3894736842</v>
      </c>
      <c r="N44" s="31">
        <f>IFERROR(__xludf.DUMMYFUNCTION("""COMPUTED_VALUE"""),398.43333333333334)</f>
        <v>398.4333333</v>
      </c>
      <c r="O44" s="57">
        <f>IFERROR(__xludf.DUMMYFUNCTION("""COMPUTED_VALUE"""),1.2333333333333334)</f>
        <v>1.233333333</v>
      </c>
      <c r="P44" s="57">
        <f>IFERROR(__xludf.DUMMYFUNCTION("""COMPUTED_VALUE"""),0.9)</f>
        <v>0.9</v>
      </c>
      <c r="Q44" s="57">
        <f>IFERROR(__xludf.DUMMYFUNCTION("""COMPUTED_VALUE"""),1.1333333333333333)</f>
        <v>1.133333333</v>
      </c>
      <c r="R44" s="57">
        <f>IFERROR(__xludf.DUMMYFUNCTION("""COMPUTED_VALUE"""),3.1666666666666665)</f>
        <v>3.166666667</v>
      </c>
      <c r="S44" s="31">
        <f>IFERROR(__xludf.DUMMYFUNCTION("""COMPUTED_VALUE"""),334.6111111111111)</f>
        <v>334.6111111</v>
      </c>
      <c r="T44" s="57">
        <f>IFERROR(__xludf.DUMMYFUNCTION("""COMPUTED_VALUE"""),0.6444444444444444)</f>
        <v>0.6444444444</v>
      </c>
      <c r="U44" s="57">
        <f>IFERROR(__xludf.DUMMYFUNCTION("""COMPUTED_VALUE"""),0.5333333333333334)</f>
        <v>0.5333333333</v>
      </c>
      <c r="V44" s="57">
        <f>IFERROR(__xludf.DUMMYFUNCTION("""COMPUTED_VALUE"""),1.377777777777778)</f>
        <v>1.377777778</v>
      </c>
      <c r="W44" s="57">
        <f>IFERROR(__xludf.DUMMYFUNCTION("""COMPUTED_VALUE"""),2.4)</f>
        <v>2.4</v>
      </c>
      <c r="X44" s="31">
        <f>IFERROR(__xludf.DUMMYFUNCTION("""COMPUTED_VALUE"""),335.1539496050294)</f>
        <v>335.1539496</v>
      </c>
      <c r="Y44" s="57">
        <f>IFERROR(__xludf.DUMMYFUNCTION("""COMPUTED_VALUE"""),0.7876769873251596)</f>
        <v>0.7876769873</v>
      </c>
      <c r="Z44" s="57">
        <f>IFERROR(__xludf.DUMMYFUNCTION("""COMPUTED_VALUE"""),0.5336107158692073)</f>
        <v>0.5336107159</v>
      </c>
      <c r="AA44" s="57">
        <f>IFERROR(__xludf.DUMMYFUNCTION("""COMPUTED_VALUE"""),1.229478773497672)</f>
        <v>1.229478773</v>
      </c>
      <c r="AB44" s="57">
        <f>IFERROR(__xludf.DUMMYFUNCTION("""COMPUTED_VALUE"""),2.360896373636637)</f>
        <v>2.360896374</v>
      </c>
      <c r="AC44" s="31">
        <f>IFERROR(__xludf.DUMMYFUNCTION("""COMPUTED_VALUE"""),342.37195934748064)</f>
        <v>342.3719593</v>
      </c>
      <c r="AD44" s="57">
        <f>IFERROR(__xludf.DUMMYFUNCTION("""COMPUTED_VALUE"""),0.8425525605403443)</f>
        <v>0.8425525605</v>
      </c>
      <c r="AE44" s="57">
        <f>IFERROR(__xludf.DUMMYFUNCTION("""COMPUTED_VALUE"""),0.5911984149723094)</f>
        <v>0.591198415</v>
      </c>
      <c r="AF44" s="57">
        <f>IFERROR(__xludf.DUMMYFUNCTION("""COMPUTED_VALUE"""),1.194503938192977)</f>
        <v>1.194503938</v>
      </c>
      <c r="AG44" s="57">
        <f>IFERROR(__xludf.DUMMYFUNCTION("""COMPUTED_VALUE"""),2.533754348795171)</f>
        <v>2.533754349</v>
      </c>
      <c r="AH44" s="57">
        <f>IFERROR(__xludf.DUMMYFUNCTION("""COMPUTED_VALUE"""),1.1637440580493184)</f>
        <v>1.163744058</v>
      </c>
      <c r="AI44" s="57">
        <f>IFERROR(__xludf.DUMMYFUNCTION("""COMPUTED_VALUE"""),1.4638058099810107)</f>
        <v>1.46380581</v>
      </c>
      <c r="AJ44" s="57">
        <f>IFERROR(__xludf.DUMMYFUNCTION("""COMPUTED_VALUE"""),1.5223315509771018)</f>
        <v>1.522331551</v>
      </c>
      <c r="AK44" s="57">
        <f>IFERROR(__xludf.DUMMYFUNCTION("""COMPUTED_VALUE"""),0.9487899512895861)</f>
        <v>0.9487899513</v>
      </c>
      <c r="AL44" s="57">
        <f>IFERROR(__xludf.DUMMYFUNCTION("""COMPUTED_VALUE"""),1.2497922966259347)</f>
        <v>1.249792297</v>
      </c>
      <c r="AM44" s="57">
        <f>IFERROR(__xludf.DUMMYFUNCTION("""COMPUTED_VALUE"""),0.9983803309059671)</f>
        <v>0.9983803309</v>
      </c>
      <c r="AN44" s="57">
        <f>IFERROR(__xludf.DUMMYFUNCTION("""COMPUTED_VALUE"""),0.8181582740317033)</f>
        <v>0.818158274</v>
      </c>
      <c r="AO44" s="57">
        <f>IFERROR(__xludf.DUMMYFUNCTION("""COMPUTED_VALUE"""),0.9994801781005803)</f>
        <v>0.9994801781</v>
      </c>
      <c r="AP44" s="35">
        <f>IFERROR(__xludf.DUMMYFUNCTION("""COMPUTED_VALUE"""),1.120619410010812)</f>
        <v>1.12061941</v>
      </c>
      <c r="AQ44" s="57">
        <f>IFERROR(__xludf.DUMMYFUNCTION("""COMPUTED_VALUE"""),1.0165630422410827)</f>
        <v>1.016563042</v>
      </c>
      <c r="AR44" s="36" t="b">
        <f>IFERROR(__xludf.DUMMYFUNCTION("""COMPUTED_VALUE"""),TRUE)</f>
        <v>1</v>
      </c>
      <c r="AS44" s="57"/>
      <c r="AT44" s="37"/>
      <c r="AU44" s="30"/>
      <c r="AV44" s="30"/>
      <c r="AW44" s="30"/>
      <c r="AX44" s="30"/>
      <c r="AY44" s="30"/>
      <c r="AZ44" s="30"/>
    </row>
    <row r="45">
      <c r="A45" s="30" t="str">
        <f>IFERROR(__xludf.DUMMYFUNCTION("""COMPUTED_VALUE"""),"Challenger")</f>
        <v>Challenger</v>
      </c>
      <c r="B45" s="30" t="str">
        <f>IFERROR(__xludf.DUMMYFUNCTION("""COMPUTED_VALUE"""),"RSC004997")</f>
        <v>RSC004997</v>
      </c>
      <c r="C45" s="30" t="str">
        <f>IFERROR(__xludf.DUMMYFUNCTION("""COMPUTED_VALUE"""),"evelynnx")</f>
        <v>evelynnx</v>
      </c>
      <c r="D45" s="31" t="str">
        <f>IFERROR(__xludf.DUMMYFUNCTION("""COMPUTED_VALUE"""),"Deceased")</f>
        <v>Deceased</v>
      </c>
      <c r="E45" s="31">
        <f>IFERROR(__xludf.DUMMYFUNCTION("""COMPUTED_VALUE"""),98.59551522105228)</f>
        <v>98.59551522</v>
      </c>
      <c r="F45" s="31">
        <f>IFERROR(__xludf.DUMMYFUNCTION("""COMPUTED_VALUE"""),38.52296210802454)</f>
        <v>38.52296211</v>
      </c>
      <c r="G45" s="31">
        <f>IFERROR(__xludf.DUMMYFUNCTION("""COMPUTED_VALUE"""),76.71195015278248)</f>
        <v>76.71195015</v>
      </c>
      <c r="H45" s="31">
        <f>IFERROR(__xludf.DUMMYFUNCTION("""COMPUTED_VALUE"""),7.010043204924381)</f>
        <v>7.010043205</v>
      </c>
      <c r="I45" s="54">
        <f>IFERROR(__xludf.DUMMYFUNCTION("""COMPUTED_VALUE"""),19.0)</f>
        <v>19</v>
      </c>
      <c r="J45" s="55">
        <f>IFERROR(__xludf.DUMMYFUNCTION("""COMPUTED_VALUE"""),15.0)</f>
        <v>15</v>
      </c>
      <c r="K45" s="54">
        <f>IFERROR(__xludf.DUMMYFUNCTION("""COMPUTED_VALUE"""),4.0)</f>
        <v>4</v>
      </c>
      <c r="L45" s="56">
        <f>IFERROR(__xludf.DUMMYFUNCTION("""COMPUTED_VALUE"""),0.7894736842105263)</f>
        <v>0.7894736842</v>
      </c>
      <c r="M45" s="56">
        <f>IFERROR(__xludf.DUMMYFUNCTION("""COMPUTED_VALUE"""),0.3333333333333333)</f>
        <v>0.3333333333</v>
      </c>
      <c r="N45" s="31">
        <f>IFERROR(__xludf.DUMMYFUNCTION("""COMPUTED_VALUE"""),402.63157894736844)</f>
        <v>402.6315789</v>
      </c>
      <c r="O45" s="57">
        <f>IFERROR(__xludf.DUMMYFUNCTION("""COMPUTED_VALUE"""),1.1578947368421053)</f>
        <v>1.157894737</v>
      </c>
      <c r="P45" s="57">
        <f>IFERROR(__xludf.DUMMYFUNCTION("""COMPUTED_VALUE"""),0.8421052631578947)</f>
        <v>0.8421052632</v>
      </c>
      <c r="Q45" s="57">
        <f>IFERROR(__xludf.DUMMYFUNCTION("""COMPUTED_VALUE"""),1.0526315789473684)</f>
        <v>1.052631579</v>
      </c>
      <c r="R45" s="57">
        <f>IFERROR(__xludf.DUMMYFUNCTION("""COMPUTED_VALUE"""),3.473684210526316)</f>
        <v>3.473684211</v>
      </c>
      <c r="S45" s="31">
        <f>IFERROR(__xludf.DUMMYFUNCTION("""COMPUTED_VALUE"""),325.1578947368421)</f>
        <v>325.1578947</v>
      </c>
      <c r="T45" s="57">
        <f>IFERROR(__xludf.DUMMYFUNCTION("""COMPUTED_VALUE"""),0.5614035087719299)</f>
        <v>0.5614035088</v>
      </c>
      <c r="U45" s="57">
        <f>IFERROR(__xludf.DUMMYFUNCTION("""COMPUTED_VALUE"""),0.40350877192982454)</f>
        <v>0.4035087719</v>
      </c>
      <c r="V45" s="57">
        <f>IFERROR(__xludf.DUMMYFUNCTION("""COMPUTED_VALUE"""),1.5087719298245614)</f>
        <v>1.50877193</v>
      </c>
      <c r="W45" s="57">
        <f>IFERROR(__xludf.DUMMYFUNCTION("""COMPUTED_VALUE"""),2.0175438596491224)</f>
        <v>2.01754386</v>
      </c>
      <c r="X45" s="31">
        <f>IFERROR(__xludf.DUMMYFUNCTION("""COMPUTED_VALUE"""),325.97350624062034)</f>
        <v>325.9735062</v>
      </c>
      <c r="Y45" s="57">
        <f>IFERROR(__xludf.DUMMYFUNCTION("""COMPUTED_VALUE"""),0.7235067052498834)</f>
        <v>0.7235067052</v>
      </c>
      <c r="Z45" s="57">
        <f>IFERROR(__xludf.DUMMYFUNCTION("""COMPUTED_VALUE"""),0.4695235250989581)</f>
        <v>0.4695235251</v>
      </c>
      <c r="AA45" s="57">
        <f>IFERROR(__xludf.DUMMYFUNCTION("""COMPUTED_VALUE"""),1.257993869549475)</f>
        <v>1.25799387</v>
      </c>
      <c r="AB45" s="57">
        <f>IFERROR(__xludf.DUMMYFUNCTION("""COMPUTED_VALUE"""),2.2536678950604987)</f>
        <v>2.253667895</v>
      </c>
      <c r="AC45" s="31">
        <f>IFERROR(__xludf.DUMMYFUNCTION("""COMPUTED_VALUE"""),345.82187086887393)</f>
        <v>345.8218709</v>
      </c>
      <c r="AD45" s="57">
        <f>IFERROR(__xludf.DUMMYFUNCTION("""COMPUTED_VALUE"""),0.8662199803859917)</f>
        <v>0.8662199804</v>
      </c>
      <c r="AE45" s="57">
        <f>IFERROR(__xludf.DUMMYFUNCTION("""COMPUTED_VALUE"""),0.6165814646931068)</f>
        <v>0.6165814647</v>
      </c>
      <c r="AF45" s="57">
        <f>IFERROR(__xludf.DUMMYFUNCTION("""COMPUTED_VALUE"""),1.116731984557172)</f>
        <v>1.116731985</v>
      </c>
      <c r="AG45" s="57">
        <f>IFERROR(__xludf.DUMMYFUNCTION("""COMPUTED_VALUE"""),2.63819007071118)</f>
        <v>2.638190071</v>
      </c>
      <c r="AH45" s="57">
        <f>IFERROR(__xludf.DUMMYFUNCTION("""COMPUTED_VALUE"""),1.1642744801991867)</f>
        <v>1.16427448</v>
      </c>
      <c r="AI45" s="57">
        <f>IFERROR(__xludf.DUMMYFUNCTION("""COMPUTED_VALUE"""),1.3367213445320691)</f>
        <v>1.336721345</v>
      </c>
      <c r="AJ45" s="57">
        <f>IFERROR(__xludf.DUMMYFUNCTION("""COMPUTED_VALUE"""),1.3657648038074557)</f>
        <v>1.365764804</v>
      </c>
      <c r="AK45" s="57">
        <f>IFERROR(__xludf.DUMMYFUNCTION("""COMPUTED_VALUE"""),0.9426000092267243)</f>
        <v>0.9426000092</v>
      </c>
      <c r="AL45" s="57">
        <f>IFERROR(__xludf.DUMMYFUNCTION("""COMPUTED_VALUE"""),1.3166921705493004)</f>
        <v>1.316692171</v>
      </c>
      <c r="AM45" s="57">
        <f>IFERROR(__xludf.DUMMYFUNCTION("""COMPUTED_VALUE"""),0.9974979208795692)</f>
        <v>0.9974979209</v>
      </c>
      <c r="AN45" s="57">
        <f>IFERROR(__xludf.DUMMYFUNCTION("""COMPUTED_VALUE"""),0.7759479002727879)</f>
        <v>0.7759479003</v>
      </c>
      <c r="AO45" s="57">
        <f>IFERROR(__xludf.DUMMYFUNCTION("""COMPUTED_VALUE"""),0.8594005419532065)</f>
        <v>0.859400542</v>
      </c>
      <c r="AP45" s="35">
        <f>IFERROR(__xludf.DUMMYFUNCTION("""COMPUTED_VALUE"""),1.1993476012445892)</f>
        <v>1.199347601</v>
      </c>
      <c r="AQ45" s="57">
        <f>IFERROR(__xludf.DUMMYFUNCTION("""COMPUTED_VALUE"""),0.8952267830016554)</f>
        <v>0.895226783</v>
      </c>
      <c r="AR45" s="36" t="b">
        <f>IFERROR(__xludf.DUMMYFUNCTION("""COMPUTED_VALUE"""),TRUE)</f>
        <v>1</v>
      </c>
      <c r="AS45" s="57"/>
      <c r="AT45" s="37"/>
      <c r="AU45" s="30"/>
      <c r="AV45" s="30"/>
      <c r="AW45" s="30"/>
      <c r="AX45" s="30"/>
      <c r="AY45" s="30"/>
      <c r="AZ45" s="30"/>
    </row>
    <row r="46">
      <c r="A46" s="30" t="str">
        <f>IFERROR(__xludf.DUMMYFUNCTION("""COMPUTED_VALUE"""),"Challenger")</f>
        <v>Challenger</v>
      </c>
      <c r="B46" s="30" t="str">
        <f>IFERROR(__xludf.DUMMYFUNCTION("""COMPUTED_VALUE"""),"RSC007647")</f>
        <v>RSC007647</v>
      </c>
      <c r="C46" s="30" t="str">
        <f>IFERROR(__xludf.DUMMYFUNCTION("""COMPUTED_VALUE"""),"I'm Pale")</f>
        <v>I'm Pale</v>
      </c>
      <c r="D46" s="31" t="str">
        <f>IFERROR(__xludf.DUMMYFUNCTION("""COMPUTED_VALUE"""),"Cassowaries")</f>
        <v>Cassowaries</v>
      </c>
      <c r="E46" s="31">
        <f>IFERROR(__xludf.DUMMYFUNCTION("""COMPUTED_VALUE"""),98.59032183317451)</f>
        <v>98.59032183</v>
      </c>
      <c r="F46" s="31">
        <f>IFERROR(__xludf.DUMMYFUNCTION("""COMPUTED_VALUE"""),38.50437290712368)</f>
        <v>38.50437291</v>
      </c>
      <c r="G46" s="31">
        <f>IFERROR(__xludf.DUMMYFUNCTION("""COMPUTED_VALUE"""),83.22348421753212)</f>
        <v>83.22348422</v>
      </c>
      <c r="H46" s="31">
        <f>IFERROR(__xludf.DUMMYFUNCTION("""COMPUTED_VALUE"""),10.877370083596587)</f>
        <v>10.87737008</v>
      </c>
      <c r="I46" s="54">
        <f>IFERROR(__xludf.DUMMYFUNCTION("""COMPUTED_VALUE"""),36.0)</f>
        <v>36</v>
      </c>
      <c r="J46" s="55">
        <f>IFERROR(__xludf.DUMMYFUNCTION("""COMPUTED_VALUE"""),27.0)</f>
        <v>27</v>
      </c>
      <c r="K46" s="54">
        <f>IFERROR(__xludf.DUMMYFUNCTION("""COMPUTED_VALUE"""),9.0)</f>
        <v>9</v>
      </c>
      <c r="L46" s="56">
        <f>IFERROR(__xludf.DUMMYFUNCTION("""COMPUTED_VALUE"""),0.75)</f>
        <v>0.75</v>
      </c>
      <c r="M46" s="56">
        <f>IFERROR(__xludf.DUMMYFUNCTION("""COMPUTED_VALUE"""),0.34782608695652173)</f>
        <v>0.347826087</v>
      </c>
      <c r="N46" s="31">
        <f>IFERROR(__xludf.DUMMYFUNCTION("""COMPUTED_VALUE"""),435.8611111111111)</f>
        <v>435.8611111</v>
      </c>
      <c r="O46" s="57">
        <f>IFERROR(__xludf.DUMMYFUNCTION("""COMPUTED_VALUE"""),1.1111111111111112)</f>
        <v>1.111111111</v>
      </c>
      <c r="P46" s="57">
        <f>IFERROR(__xludf.DUMMYFUNCTION("""COMPUTED_VALUE"""),0.9722222222222222)</f>
        <v>0.9722222222</v>
      </c>
      <c r="Q46" s="57">
        <f>IFERROR(__xludf.DUMMYFUNCTION("""COMPUTED_VALUE"""),1.4166666666666667)</f>
        <v>1.416666667</v>
      </c>
      <c r="R46" s="57">
        <f>IFERROR(__xludf.DUMMYFUNCTION("""COMPUTED_VALUE"""),3.1944444444444446)</f>
        <v>3.194444444</v>
      </c>
      <c r="S46" s="31">
        <f>IFERROR(__xludf.DUMMYFUNCTION("""COMPUTED_VALUE"""),322.08333333333326)</f>
        <v>322.0833333</v>
      </c>
      <c r="T46" s="57">
        <f>IFERROR(__xludf.DUMMYFUNCTION("""COMPUTED_VALUE"""),0.7129629629629631)</f>
        <v>0.712962963</v>
      </c>
      <c r="U46" s="57">
        <f>IFERROR(__xludf.DUMMYFUNCTION("""COMPUTED_VALUE"""),0.44444444444444453)</f>
        <v>0.4444444444</v>
      </c>
      <c r="V46" s="57">
        <f>IFERROR(__xludf.DUMMYFUNCTION("""COMPUTED_VALUE"""),1.2777777777777777)</f>
        <v>1.277777778</v>
      </c>
      <c r="W46" s="57">
        <f>IFERROR(__xludf.DUMMYFUNCTION("""COMPUTED_VALUE"""),2.398148148148147)</f>
        <v>2.398148148</v>
      </c>
      <c r="X46" s="31">
        <f>IFERROR(__xludf.DUMMYFUNCTION("""COMPUTED_VALUE"""),316.4738613322481)</f>
        <v>316.4738613</v>
      </c>
      <c r="Y46" s="57">
        <f>IFERROR(__xludf.DUMMYFUNCTION("""COMPUTED_VALUE"""),0.6802615228983347)</f>
        <v>0.6802615229</v>
      </c>
      <c r="Z46" s="57">
        <f>IFERROR(__xludf.DUMMYFUNCTION("""COMPUTED_VALUE"""),0.4476486266373476)</f>
        <v>0.4476486266</v>
      </c>
      <c r="AA46" s="57">
        <f>IFERROR(__xludf.DUMMYFUNCTION("""COMPUTED_VALUE"""),1.2048384271228598)</f>
        <v>1.204838427</v>
      </c>
      <c r="AB46" s="57">
        <f>IFERROR(__xludf.DUMMYFUNCTION("""COMPUTED_VALUE"""),2.319022296670239)</f>
        <v>2.319022297</v>
      </c>
      <c r="AC46" s="31">
        <f>IFERROR(__xludf.DUMMYFUNCTION("""COMPUTED_VALUE"""),345.9012490151765)</f>
        <v>345.901249</v>
      </c>
      <c r="AD46" s="57">
        <f>IFERROR(__xludf.DUMMYFUNCTION("""COMPUTED_VALUE"""),0.8379194763209228)</f>
        <v>0.8379194763</v>
      </c>
      <c r="AE46" s="57">
        <f>IFERROR(__xludf.DUMMYFUNCTION("""COMPUTED_VALUE"""),0.5879163744889324)</f>
        <v>0.5879163745</v>
      </c>
      <c r="AF46" s="57">
        <f>IFERROR(__xludf.DUMMYFUNCTION("""COMPUTED_VALUE"""),1.2111797856103057)</f>
        <v>1.211179786</v>
      </c>
      <c r="AG46" s="57">
        <f>IFERROR(__xludf.DUMMYFUNCTION("""COMPUTED_VALUE"""),2.5374191106794735)</f>
        <v>2.537419111</v>
      </c>
      <c r="AH46" s="57">
        <f>IFERROR(__xludf.DUMMYFUNCTION("""COMPUTED_VALUE"""),1.26007382844688)</f>
        <v>1.260073828</v>
      </c>
      <c r="AI46" s="57">
        <f>IFERROR(__xludf.DUMMYFUNCTION("""COMPUTED_VALUE"""),1.3260356663264337)</f>
        <v>1.326035666</v>
      </c>
      <c r="AJ46" s="57">
        <f>IFERROR(__xludf.DUMMYFUNCTION("""COMPUTED_VALUE"""),1.6536743394285651)</f>
        <v>1.653674339</v>
      </c>
      <c r="AK46" s="57">
        <f>IFERROR(__xludf.DUMMYFUNCTION("""COMPUTED_VALUE"""),1.1696584466630753)</f>
        <v>1.169658447</v>
      </c>
      <c r="AL46" s="57">
        <f>IFERROR(__xludf.DUMMYFUNCTION("""COMPUTED_VALUE"""),1.258934494108477)</f>
        <v>1.258934494</v>
      </c>
      <c r="AM46" s="57">
        <f>IFERROR(__xludf.DUMMYFUNCTION("""COMPUTED_VALUE"""),1.0177249140812805)</f>
        <v>1.017724914</v>
      </c>
      <c r="AN46" s="57">
        <f>IFERROR(__xludf.DUMMYFUNCTION("""COMPUTED_VALUE"""),1.0480718649576122)</f>
        <v>1.048071865</v>
      </c>
      <c r="AO46" s="57">
        <f>IFERROR(__xludf.DUMMYFUNCTION("""COMPUTED_VALUE"""),0.9928421936263442)</f>
        <v>0.9928421936</v>
      </c>
      <c r="AP46" s="35">
        <f>IFERROR(__xludf.DUMMYFUNCTION("""COMPUTED_VALUE"""),1.0605386988105088)</f>
        <v>1.060538699</v>
      </c>
      <c r="AQ46" s="57">
        <f>IFERROR(__xludf.DUMMYFUNCTION("""COMPUTED_VALUE"""),1.0341203495936717)</f>
        <v>1.03412035</v>
      </c>
      <c r="AR46" s="36" t="b">
        <f>IFERROR(__xludf.DUMMYFUNCTION("""COMPUTED_VALUE"""),TRUE)</f>
        <v>1</v>
      </c>
      <c r="AS46" s="57"/>
      <c r="AT46" s="37"/>
      <c r="AU46" s="30"/>
      <c r="AV46" s="30"/>
      <c r="AW46" s="30"/>
      <c r="AX46" s="30"/>
      <c r="AY46" s="30"/>
      <c r="AZ46" s="30"/>
    </row>
    <row r="47">
      <c r="A47" s="30" t="str">
        <f>IFERROR(__xludf.DUMMYFUNCTION("""COMPUTED_VALUE"""),"Challenger")</f>
        <v>Challenger</v>
      </c>
      <c r="B47" s="30" t="str">
        <f>IFERROR(__xludf.DUMMYFUNCTION("""COMPUTED_VALUE"""),"RSC006769")</f>
        <v>RSC006769</v>
      </c>
      <c r="C47" s="30" t="str">
        <f>IFERROR(__xludf.DUMMYFUNCTION("""COMPUTED_VALUE"""),"baltostorm")</f>
        <v>baltostorm</v>
      </c>
      <c r="D47" s="31" t="str">
        <f>IFERROR(__xludf.DUMMYFUNCTION("""COMPUTED_VALUE"""),"Decuriones")</f>
        <v>Decuriones</v>
      </c>
      <c r="E47" s="31">
        <f>IFERROR(__xludf.DUMMYFUNCTION("""COMPUTED_VALUE"""),90.9264115901399)</f>
        <v>90.92641159</v>
      </c>
      <c r="F47" s="31">
        <f>IFERROR(__xludf.DUMMYFUNCTION("""COMPUTED_VALUE"""),19.68142228402073)</f>
        <v>19.68142228</v>
      </c>
      <c r="G47" s="31">
        <f>IFERROR(__xludf.DUMMYFUNCTION("""COMPUTED_VALUE"""),87.24212015792884)</f>
        <v>87.24212016</v>
      </c>
      <c r="H47" s="31">
        <f>IFERROR(__xludf.DUMMYFUNCTION("""COMPUTED_VALUE"""),14.672746605192767)</f>
        <v>14.67274661</v>
      </c>
      <c r="I47" s="54">
        <f>IFERROR(__xludf.DUMMYFUNCTION("""COMPUTED_VALUE"""),12.0)</f>
        <v>12</v>
      </c>
      <c r="J47" s="55">
        <f>IFERROR(__xludf.DUMMYFUNCTION("""COMPUTED_VALUE"""),10.0)</f>
        <v>10</v>
      </c>
      <c r="K47" s="54">
        <f>IFERROR(__xludf.DUMMYFUNCTION("""COMPUTED_VALUE"""),2.0)</f>
        <v>2</v>
      </c>
      <c r="L47" s="56">
        <f>IFERROR(__xludf.DUMMYFUNCTION("""COMPUTED_VALUE"""),0.8333333333333334)</f>
        <v>0.8333333333</v>
      </c>
      <c r="M47" s="56">
        <f>IFERROR(__xludf.DUMMYFUNCTION("""COMPUTED_VALUE"""),0.3611111111111111)</f>
        <v>0.3611111111</v>
      </c>
      <c r="N47" s="31">
        <f>IFERROR(__xludf.DUMMYFUNCTION("""COMPUTED_VALUE"""),400.3333333333333)</f>
        <v>400.3333333</v>
      </c>
      <c r="O47" s="57">
        <f>IFERROR(__xludf.DUMMYFUNCTION("""COMPUTED_VALUE"""),1.0833333333333333)</f>
        <v>1.083333333</v>
      </c>
      <c r="P47" s="57">
        <f>IFERROR(__xludf.DUMMYFUNCTION("""COMPUTED_VALUE"""),0.75)</f>
        <v>0.75</v>
      </c>
      <c r="Q47" s="57">
        <f>IFERROR(__xludf.DUMMYFUNCTION("""COMPUTED_VALUE"""),1.3333333333333333)</f>
        <v>1.333333333</v>
      </c>
      <c r="R47" s="57">
        <f>IFERROR(__xludf.DUMMYFUNCTION("""COMPUTED_VALUE"""),3.0)</f>
        <v>3</v>
      </c>
      <c r="S47" s="31">
        <f>IFERROR(__xludf.DUMMYFUNCTION("""COMPUTED_VALUE"""),269.22222222222223)</f>
        <v>269.2222222</v>
      </c>
      <c r="T47" s="57">
        <f>IFERROR(__xludf.DUMMYFUNCTION("""COMPUTED_VALUE"""),0.4166666666666666)</f>
        <v>0.4166666667</v>
      </c>
      <c r="U47" s="57">
        <f>IFERROR(__xludf.DUMMYFUNCTION("""COMPUTED_VALUE"""),0.3333333333333333)</f>
        <v>0.3333333333</v>
      </c>
      <c r="V47" s="57">
        <f>IFERROR(__xludf.DUMMYFUNCTION("""COMPUTED_VALUE"""),1.25)</f>
        <v>1.25</v>
      </c>
      <c r="W47" s="57">
        <f>IFERROR(__xludf.DUMMYFUNCTION("""COMPUTED_VALUE"""),1.6666666666666667)</f>
        <v>1.666666667</v>
      </c>
      <c r="X47" s="31">
        <f>IFERROR(__xludf.DUMMYFUNCTION("""COMPUTED_VALUE"""),318.11814161252806)</f>
        <v>318.1181416</v>
      </c>
      <c r="Y47" s="57">
        <f>IFERROR(__xludf.DUMMYFUNCTION("""COMPUTED_VALUE"""),0.6626146748834132)</f>
        <v>0.6626146749</v>
      </c>
      <c r="Z47" s="57">
        <f>IFERROR(__xludf.DUMMYFUNCTION("""COMPUTED_VALUE"""),0.4172419004467549)</f>
        <v>0.4172419004</v>
      </c>
      <c r="AA47" s="57">
        <f>IFERROR(__xludf.DUMMYFUNCTION("""COMPUTED_VALUE"""),1.2470090138970595)</f>
        <v>1.247009014</v>
      </c>
      <c r="AB47" s="57">
        <f>IFERROR(__xludf.DUMMYFUNCTION("""COMPUTED_VALUE"""),2.0783967475440437)</f>
        <v>2.078396748</v>
      </c>
      <c r="AC47" s="31">
        <f>IFERROR(__xludf.DUMMYFUNCTION("""COMPUTED_VALUE"""),339.1660743877016)</f>
        <v>339.1660744</v>
      </c>
      <c r="AD47" s="57">
        <f>IFERROR(__xludf.DUMMYFUNCTION("""COMPUTED_VALUE"""),0.8576167029815828)</f>
        <v>0.857616703</v>
      </c>
      <c r="AE47" s="57">
        <f>IFERROR(__xludf.DUMMYFUNCTION("""COMPUTED_VALUE"""),0.5726742419737361)</f>
        <v>0.572674242</v>
      </c>
      <c r="AF47" s="57">
        <f>IFERROR(__xludf.DUMMYFUNCTION("""COMPUTED_VALUE"""),1.127441681017345)</f>
        <v>1.127441681</v>
      </c>
      <c r="AG47" s="57">
        <f>IFERROR(__xludf.DUMMYFUNCTION("""COMPUTED_VALUE"""),2.640037705957219)</f>
        <v>2.640037706</v>
      </c>
      <c r="AH47" s="57">
        <f>IFERROR(__xludf.DUMMYFUNCTION("""COMPUTED_VALUE"""),1.18034604155518)</f>
        <v>1.180346042</v>
      </c>
      <c r="AI47" s="57">
        <f>IFERROR(__xludf.DUMMYFUNCTION("""COMPUTED_VALUE"""),1.2631905716936553)</f>
        <v>1.263190572</v>
      </c>
      <c r="AJ47" s="57">
        <f>IFERROR(__xludf.DUMMYFUNCTION("""COMPUTED_VALUE"""),1.309645073986751)</f>
        <v>1.309645074</v>
      </c>
      <c r="AK47" s="57">
        <f>IFERROR(__xludf.DUMMYFUNCTION("""COMPUTED_VALUE"""),1.1826184500560617)</f>
        <v>1.18261845</v>
      </c>
      <c r="AL47" s="57">
        <f>IFERROR(__xludf.DUMMYFUNCTION("""COMPUTED_VALUE"""),1.136347406414132)</f>
        <v>1.136347406</v>
      </c>
      <c r="AM47" s="57">
        <f>IFERROR(__xludf.DUMMYFUNCTION("""COMPUTED_VALUE"""),0.8462963503355879)</f>
        <v>0.8462963503</v>
      </c>
      <c r="AN47" s="57">
        <f>IFERROR(__xludf.DUMMYFUNCTION("""COMPUTED_VALUE"""),0.6288219721967053)</f>
        <v>0.6288219722</v>
      </c>
      <c r="AO47" s="57">
        <f>IFERROR(__xludf.DUMMYFUNCTION("""COMPUTED_VALUE"""),0.7988970737992088)</f>
        <v>0.7988970738</v>
      </c>
      <c r="AP47" s="35">
        <f>IFERROR(__xludf.DUMMYFUNCTION("""COMPUTED_VALUE"""),1.002398528053613)</f>
        <v>1.002398528</v>
      </c>
      <c r="AQ47" s="57">
        <f>IFERROR(__xludf.DUMMYFUNCTION("""COMPUTED_VALUE"""),0.8019001514682403)</f>
        <v>0.8019001515</v>
      </c>
      <c r="AR47" s="36" t="b">
        <f>IFERROR(__xludf.DUMMYFUNCTION("""COMPUTED_VALUE"""),TRUE)</f>
        <v>1</v>
      </c>
      <c r="AS47" s="57"/>
      <c r="AT47" s="37"/>
      <c r="AU47" s="30"/>
      <c r="AV47" s="30"/>
      <c r="AW47" s="30"/>
      <c r="AX47" s="30"/>
      <c r="AY47" s="30"/>
      <c r="AZ47" s="30"/>
    </row>
    <row r="48">
      <c r="A48" s="30" t="str">
        <f>IFERROR(__xludf.DUMMYFUNCTION("""COMPUTED_VALUE"""),"Challenger")</f>
        <v>Challenger</v>
      </c>
      <c r="B48" s="30" t="str">
        <f>IFERROR(__xludf.DUMMYFUNCTION("""COMPUTED_VALUE"""),"RSC005696")</f>
        <v>RSC005696</v>
      </c>
      <c r="C48" s="30" t="str">
        <f>IFERROR(__xludf.DUMMYFUNCTION("""COMPUTED_VALUE"""),"Jack.flv")</f>
        <v>Jack.flv</v>
      </c>
      <c r="D48" s="31"/>
      <c r="E48" s="31">
        <f>IFERROR(__xludf.DUMMYFUNCTION("""COMPUTED_VALUE"""),84.65650359385604)</f>
        <v>84.65650359</v>
      </c>
      <c r="F48" s="31">
        <f>IFERROR(__xludf.DUMMYFUNCTION("""COMPUTED_VALUE"""),12.072375168520733)</f>
        <v>12.07237517</v>
      </c>
      <c r="G48" s="31">
        <f>IFERROR(__xludf.DUMMYFUNCTION("""COMPUTED_VALUE"""),80.45514990006762)</f>
        <v>80.4551499</v>
      </c>
      <c r="H48" s="31">
        <f>IFERROR(__xludf.DUMMYFUNCTION("""COMPUTED_VALUE"""),8.96275386402215)</f>
        <v>8.962753864</v>
      </c>
      <c r="I48" s="54">
        <f>IFERROR(__xludf.DUMMYFUNCTION("""COMPUTED_VALUE"""),2.0)</f>
        <v>2</v>
      </c>
      <c r="J48" s="55">
        <f>IFERROR(__xludf.DUMMYFUNCTION("""COMPUTED_VALUE"""),1.0)</f>
        <v>1</v>
      </c>
      <c r="K48" s="54">
        <f>IFERROR(__xludf.DUMMYFUNCTION("""COMPUTED_VALUE"""),1.0)</f>
        <v>1</v>
      </c>
      <c r="L48" s="56">
        <f>IFERROR(__xludf.DUMMYFUNCTION("""COMPUTED_VALUE"""),0.5)</f>
        <v>0.5</v>
      </c>
      <c r="M48" s="56">
        <f>IFERROR(__xludf.DUMMYFUNCTION("""COMPUTED_VALUE"""),0.3333333333333333)</f>
        <v>0.3333333333</v>
      </c>
      <c r="N48" s="31">
        <f>IFERROR(__xludf.DUMMYFUNCTION("""COMPUTED_VALUE"""),330.0)</f>
        <v>330</v>
      </c>
      <c r="O48" s="57">
        <f>IFERROR(__xludf.DUMMYFUNCTION("""COMPUTED_VALUE"""),1.0)</f>
        <v>1</v>
      </c>
      <c r="P48" s="57">
        <f>IFERROR(__xludf.DUMMYFUNCTION("""COMPUTED_VALUE"""),0.5)</f>
        <v>0.5</v>
      </c>
      <c r="Q48" s="57">
        <f>IFERROR(__xludf.DUMMYFUNCTION("""COMPUTED_VALUE"""),0.5)</f>
        <v>0.5</v>
      </c>
      <c r="R48" s="57">
        <f>IFERROR(__xludf.DUMMYFUNCTION("""COMPUTED_VALUE"""),3.0)</f>
        <v>3</v>
      </c>
      <c r="S48" s="31">
        <f>IFERROR(__xludf.DUMMYFUNCTION("""COMPUTED_VALUE"""),336.0)</f>
        <v>336</v>
      </c>
      <c r="T48" s="57">
        <f>IFERROR(__xludf.DUMMYFUNCTION("""COMPUTED_VALUE"""),0.6666666666666666)</f>
        <v>0.6666666667</v>
      </c>
      <c r="U48" s="57">
        <f>IFERROR(__xludf.DUMMYFUNCTION("""COMPUTED_VALUE"""),0.3333333333333333)</f>
        <v>0.3333333333</v>
      </c>
      <c r="V48" s="57">
        <f>IFERROR(__xludf.DUMMYFUNCTION("""COMPUTED_VALUE"""),1.5)</f>
        <v>1.5</v>
      </c>
      <c r="W48" s="57">
        <f>IFERROR(__xludf.DUMMYFUNCTION("""COMPUTED_VALUE"""),1.8333333333333335)</f>
        <v>1.833333333</v>
      </c>
      <c r="X48" s="31">
        <f>IFERROR(__xludf.DUMMYFUNCTION("""COMPUTED_VALUE"""),333.8383487654321)</f>
        <v>333.8383488</v>
      </c>
      <c r="Y48" s="57">
        <f>IFERROR(__xludf.DUMMYFUNCTION("""COMPUTED_VALUE"""),0.7737654320987654)</f>
        <v>0.7737654321</v>
      </c>
      <c r="Z48" s="57">
        <f>IFERROR(__xludf.DUMMYFUNCTION("""COMPUTED_VALUE"""),0.47955246913580246)</f>
        <v>0.4795524691</v>
      </c>
      <c r="AA48" s="57">
        <f>IFERROR(__xludf.DUMMYFUNCTION("""COMPUTED_VALUE"""),1.0820987654320988)</f>
        <v>1.082098765</v>
      </c>
      <c r="AB48" s="57">
        <f>IFERROR(__xludf.DUMMYFUNCTION("""COMPUTED_VALUE"""),2.6412037037037037)</f>
        <v>2.641203704</v>
      </c>
      <c r="AC48" s="31">
        <f>IFERROR(__xludf.DUMMYFUNCTION("""COMPUTED_VALUE"""),312.8741769547324)</f>
        <v>312.874177</v>
      </c>
      <c r="AD48" s="57">
        <f>IFERROR(__xludf.DUMMYFUNCTION("""COMPUTED_VALUE"""),0.6204475308641975)</f>
        <v>0.6204475309</v>
      </c>
      <c r="AE48" s="57">
        <f>IFERROR(__xludf.DUMMYFUNCTION("""COMPUTED_VALUE"""),0.39979423868312763)</f>
        <v>0.3997942387</v>
      </c>
      <c r="AF48" s="57">
        <f>IFERROR(__xludf.DUMMYFUNCTION("""COMPUTED_VALUE"""),1.3649691358024691)</f>
        <v>1.364969136</v>
      </c>
      <c r="AG48" s="57">
        <f>IFERROR(__xludf.DUMMYFUNCTION("""COMPUTED_VALUE"""),2.1086934156378607)</f>
        <v>2.108693416</v>
      </c>
      <c r="AH48" s="57">
        <f>IFERROR(__xludf.DUMMYFUNCTION("""COMPUTED_VALUE"""),1.054737093396319)</f>
        <v>1.054737093</v>
      </c>
      <c r="AI48" s="57">
        <f>IFERROR(__xludf.DUMMYFUNCTION("""COMPUTED_VALUE"""),1.6117398333540607)</f>
        <v>1.611739833</v>
      </c>
      <c r="AJ48" s="57">
        <f>IFERROR(__xludf.DUMMYFUNCTION("""COMPUTED_VALUE"""),1.2506433350488932)</f>
        <v>1.250643335</v>
      </c>
      <c r="AK48" s="57">
        <f>IFERROR(__xludf.DUMMYFUNCTION("""COMPUTED_VALUE"""),0.3663086489542114)</f>
        <v>0.366308649</v>
      </c>
      <c r="AL48" s="57">
        <f>IFERROR(__xludf.DUMMYFUNCTION("""COMPUTED_VALUE"""),1.4226819213036368)</f>
        <v>1.422681921</v>
      </c>
      <c r="AM48" s="57">
        <f>IFERROR(__xludf.DUMMYFUNCTION("""COMPUTED_VALUE"""),1.006475143561433)</f>
        <v>1.006475144</v>
      </c>
      <c r="AN48" s="57">
        <f>IFERROR(__xludf.DUMMYFUNCTION("""COMPUTED_VALUE"""),0.86158755484643)</f>
        <v>0.8615875548</v>
      </c>
      <c r="AO48" s="57">
        <f>IFERROR(__xludf.DUMMYFUNCTION("""COMPUTED_VALUE"""),0.6950925181013676)</f>
        <v>0.6950925181</v>
      </c>
      <c r="AP48" s="35">
        <f>IFERROR(__xludf.DUMMYFUNCTION("""COMPUTED_VALUE"""),1.3861950941243582)</f>
        <v>1.386195094</v>
      </c>
      <c r="AQ48" s="57">
        <f>IFERROR(__xludf.DUMMYFUNCTION("""COMPUTED_VALUE"""),0.694127957931639)</f>
        <v>0.6941279579</v>
      </c>
      <c r="AR48" s="36" t="b">
        <f>IFERROR(__xludf.DUMMYFUNCTION("""COMPUTED_VALUE"""),TRUE)</f>
        <v>1</v>
      </c>
      <c r="AS48" s="57"/>
      <c r="AT48" s="37"/>
      <c r="AU48" s="30"/>
      <c r="AV48" s="30"/>
      <c r="AW48" s="30"/>
      <c r="AX48" s="30"/>
      <c r="AY48" s="30"/>
      <c r="AZ48" s="30"/>
    </row>
    <row r="49">
      <c r="A49" s="30" t="str">
        <f>IFERROR(__xludf.DUMMYFUNCTION("""COMPUTED_VALUE"""),"Challenger")</f>
        <v>Challenger</v>
      </c>
      <c r="B49" s="30" t="str">
        <f>IFERROR(__xludf.DUMMYFUNCTION("""COMPUTED_VALUE"""),"RSC002412")</f>
        <v>RSC002412</v>
      </c>
      <c r="C49" s="30" t="str">
        <f>IFERROR(__xludf.DUMMYFUNCTION("""COMPUTED_VALUE"""),"Rosefanatic3615")</f>
        <v>Rosefanatic3615</v>
      </c>
      <c r="D49" s="31" t="str">
        <f>IFERROR(__xludf.DUMMYFUNCTION("""COMPUTED_VALUE"""),"Solstice Sake")</f>
        <v>Solstice Sake</v>
      </c>
      <c r="E49" s="31">
        <f>IFERROR(__xludf.DUMMYFUNCTION("""COMPUTED_VALUE"""),84.085170381844)</f>
        <v>84.08517038</v>
      </c>
      <c r="F49" s="31">
        <f>IFERROR(__xludf.DUMMYFUNCTION("""COMPUTED_VALUE"""),11.577133547080205)</f>
        <v>11.57713355</v>
      </c>
      <c r="G49" s="31">
        <f>IFERROR(__xludf.DUMMYFUNCTION("""COMPUTED_VALUE"""),75.18399331378372)</f>
        <v>75.18399331</v>
      </c>
      <c r="H49" s="31">
        <f>IFERROR(__xludf.DUMMYFUNCTION("""COMPUTED_VALUE"""),6.374259524055281)</f>
        <v>6.374259524</v>
      </c>
      <c r="I49" s="54">
        <f>IFERROR(__xludf.DUMMYFUNCTION("""COMPUTED_VALUE"""),24.0)</f>
        <v>24</v>
      </c>
      <c r="J49" s="55">
        <f>IFERROR(__xludf.DUMMYFUNCTION("""COMPUTED_VALUE"""),16.0)</f>
        <v>16</v>
      </c>
      <c r="K49" s="54">
        <f>IFERROR(__xludf.DUMMYFUNCTION("""COMPUTED_VALUE"""),8.0)</f>
        <v>8</v>
      </c>
      <c r="L49" s="56">
        <f>IFERROR(__xludf.DUMMYFUNCTION("""COMPUTED_VALUE"""),0.6666666666666666)</f>
        <v>0.6666666667</v>
      </c>
      <c r="M49" s="56">
        <f>IFERROR(__xludf.DUMMYFUNCTION("""COMPUTED_VALUE"""),0.3571428571428572)</f>
        <v>0.3571428571</v>
      </c>
      <c r="N49" s="31">
        <f>IFERROR(__xludf.DUMMYFUNCTION("""COMPUTED_VALUE"""),395.5416666666667)</f>
        <v>395.5416667</v>
      </c>
      <c r="O49" s="57">
        <f>IFERROR(__xludf.DUMMYFUNCTION("""COMPUTED_VALUE"""),1.0416666666666667)</f>
        <v>1.041666667</v>
      </c>
      <c r="P49" s="57">
        <f>IFERROR(__xludf.DUMMYFUNCTION("""COMPUTED_VALUE"""),0.7083333333333334)</f>
        <v>0.7083333333</v>
      </c>
      <c r="Q49" s="57">
        <f>IFERROR(__xludf.DUMMYFUNCTION("""COMPUTED_VALUE"""),1.2916666666666667)</f>
        <v>1.291666667</v>
      </c>
      <c r="R49" s="57">
        <f>IFERROR(__xludf.DUMMYFUNCTION("""COMPUTED_VALUE"""),2.9166666666666665)</f>
        <v>2.916666667</v>
      </c>
      <c r="S49" s="31">
        <f>IFERROR(__xludf.DUMMYFUNCTION("""COMPUTED_VALUE"""),324.8333333333332)</f>
        <v>324.8333333</v>
      </c>
      <c r="T49" s="57">
        <f>IFERROR(__xludf.DUMMYFUNCTION("""COMPUTED_VALUE"""),0.736111111111111)</f>
        <v>0.7361111111</v>
      </c>
      <c r="U49" s="57">
        <f>IFERROR(__xludf.DUMMYFUNCTION("""COMPUTED_VALUE"""),0.4722222222222223)</f>
        <v>0.4722222222</v>
      </c>
      <c r="V49" s="57">
        <f>IFERROR(__xludf.DUMMYFUNCTION("""COMPUTED_VALUE"""),1.138888888888889)</f>
        <v>1.138888889</v>
      </c>
      <c r="W49" s="57">
        <f>IFERROR(__xludf.DUMMYFUNCTION("""COMPUTED_VALUE"""),2.361111111111111)</f>
        <v>2.361111111</v>
      </c>
      <c r="X49" s="31">
        <f>IFERROR(__xludf.DUMMYFUNCTION("""COMPUTED_VALUE"""),340.99162909279096)</f>
        <v>340.9916291</v>
      </c>
      <c r="Y49" s="57">
        <f>IFERROR(__xludf.DUMMYFUNCTION("""COMPUTED_VALUE"""),0.8175176263444018)</f>
        <v>0.8175176263</v>
      </c>
      <c r="Z49" s="57">
        <f>IFERROR(__xludf.DUMMYFUNCTION("""COMPUTED_VALUE"""),0.5884409667267335)</f>
        <v>0.5884409667</v>
      </c>
      <c r="AA49" s="57">
        <f>IFERROR(__xludf.DUMMYFUNCTION("""COMPUTED_VALUE"""),1.2333346512496484)</f>
        <v>1.233334651</v>
      </c>
      <c r="AB49" s="57">
        <f>IFERROR(__xludf.DUMMYFUNCTION("""COMPUTED_VALUE"""),2.476829395439111)</f>
        <v>2.476829395</v>
      </c>
      <c r="AC49" s="31">
        <f>IFERROR(__xludf.DUMMYFUNCTION("""COMPUTED_VALUE"""),338.98937884955103)</f>
        <v>338.9893788</v>
      </c>
      <c r="AD49" s="57">
        <f>IFERROR(__xludf.DUMMYFUNCTION("""COMPUTED_VALUE"""),0.8069587102042551)</f>
        <v>0.8069587102</v>
      </c>
      <c r="AE49" s="57">
        <f>IFERROR(__xludf.DUMMYFUNCTION("""COMPUTED_VALUE"""),0.5578737235713864)</f>
        <v>0.5578737236</v>
      </c>
      <c r="AF49" s="57">
        <f>IFERROR(__xludf.DUMMYFUNCTION("""COMPUTED_VALUE"""),1.2064836060249415)</f>
        <v>1.206483606</v>
      </c>
      <c r="AG49" s="57">
        <f>IFERROR(__xludf.DUMMYFUNCTION("""COMPUTED_VALUE"""),2.4653147670687163)</f>
        <v>2.465314767</v>
      </c>
      <c r="AH49" s="57">
        <f>IFERROR(__xludf.DUMMYFUNCTION("""COMPUTED_VALUE"""),1.1668261348159066)</f>
        <v>1.166826135</v>
      </c>
      <c r="AI49" s="57">
        <f>IFERROR(__xludf.DUMMYFUNCTION("""COMPUTED_VALUE"""),1.2908549762143382)</f>
        <v>1.290854976</v>
      </c>
      <c r="AJ49" s="57">
        <f>IFERROR(__xludf.DUMMYFUNCTION("""COMPUTED_VALUE"""),1.269701911749378)</f>
        <v>1.269701912</v>
      </c>
      <c r="AK49" s="57">
        <f>IFERROR(__xludf.DUMMYFUNCTION("""COMPUTED_VALUE"""),1.0706044078977432)</f>
        <v>1.070604408</v>
      </c>
      <c r="AL49" s="57">
        <f>IFERROR(__xludf.DUMMYFUNCTION("""COMPUTED_VALUE"""),1.183080840478075)</f>
        <v>1.18308084</v>
      </c>
      <c r="AM49" s="57">
        <f>IFERROR(__xludf.DUMMYFUNCTION("""COMPUTED_VALUE"""),0.9526138052055796)</f>
        <v>0.9526138052</v>
      </c>
      <c r="AN49" s="57">
        <f>IFERROR(__xludf.DUMMYFUNCTION("""COMPUTED_VALUE"""),0.9004223118744157)</f>
        <v>0.9004223119</v>
      </c>
      <c r="AO49" s="57">
        <f>IFERROR(__xludf.DUMMYFUNCTION("""COMPUTED_VALUE"""),0.8024971899033636)</f>
        <v>0.8024971899</v>
      </c>
      <c r="AP49" s="35">
        <f>IFERROR(__xludf.DUMMYFUNCTION("""COMPUTED_VALUE"""),0.9234224366719411)</f>
        <v>0.9234224367</v>
      </c>
      <c r="AQ49" s="57">
        <f>IFERROR(__xludf.DUMMYFUNCTION("""COMPUTED_VALUE"""),0.9532796709611545)</f>
        <v>0.953279671</v>
      </c>
      <c r="AR49" s="36" t="b">
        <f>IFERROR(__xludf.DUMMYFUNCTION("""COMPUTED_VALUE"""),TRUE)</f>
        <v>1</v>
      </c>
      <c r="AS49" s="57"/>
      <c r="AT49" s="37"/>
      <c r="AU49" s="30"/>
      <c r="AV49" s="30"/>
      <c r="AW49" s="30"/>
      <c r="AX49" s="30"/>
      <c r="AY49" s="30"/>
      <c r="AZ49" s="30"/>
    </row>
    <row r="50">
      <c r="A50" s="30" t="str">
        <f>IFERROR(__xludf.DUMMYFUNCTION("""COMPUTED_VALUE"""),"Challenger")</f>
        <v>Challenger</v>
      </c>
      <c r="B50" s="30" t="str">
        <f>IFERROR(__xludf.DUMMYFUNCTION("""COMPUTED_VALUE"""),"RSC004890")</f>
        <v>RSC004890</v>
      </c>
      <c r="C50" s="30" t="str">
        <f>IFERROR(__xludf.DUMMYFUNCTION("""COMPUTED_VALUE"""),"kamikaze7200")</f>
        <v>kamikaze7200</v>
      </c>
      <c r="D50" s="31" t="str">
        <f>IFERROR(__xludf.DUMMYFUNCTION("""COMPUTED_VALUE"""),"Lilac")</f>
        <v>Lilac</v>
      </c>
      <c r="E50" s="31">
        <f>IFERROR(__xludf.DUMMYFUNCTION("""COMPUTED_VALUE"""),83.22678657195806)</f>
        <v>83.22678657</v>
      </c>
      <c r="F50" s="31">
        <f>IFERROR(__xludf.DUMMYFUNCTION("""COMPUTED_VALUE"""),10.879948820355574)</f>
        <v>10.87994882</v>
      </c>
      <c r="G50" s="31">
        <f>IFERROR(__xludf.DUMMYFUNCTION("""COMPUTED_VALUE"""),67.49344489121395)</f>
        <v>67.49344489</v>
      </c>
      <c r="H50" s="31">
        <f>IFERROR(__xludf.DUMMYFUNCTION("""COMPUTED_VALUE"""),4.131454041553651)</f>
        <v>4.131454042</v>
      </c>
      <c r="I50" s="54">
        <f>IFERROR(__xludf.DUMMYFUNCTION("""COMPUTED_VALUE"""),32.0)</f>
        <v>32</v>
      </c>
      <c r="J50" s="55">
        <f>IFERROR(__xludf.DUMMYFUNCTION("""COMPUTED_VALUE"""),20.0)</f>
        <v>20</v>
      </c>
      <c r="K50" s="54">
        <f>IFERROR(__xludf.DUMMYFUNCTION("""COMPUTED_VALUE"""),12.0)</f>
        <v>12</v>
      </c>
      <c r="L50" s="56">
        <f>IFERROR(__xludf.DUMMYFUNCTION("""COMPUTED_VALUE"""),0.625)</f>
        <v>0.625</v>
      </c>
      <c r="M50" s="56">
        <f>IFERROR(__xludf.DUMMYFUNCTION("""COMPUTED_VALUE"""),0.3655913978494624)</f>
        <v>0.3655913978</v>
      </c>
      <c r="N50" s="31">
        <f>IFERROR(__xludf.DUMMYFUNCTION("""COMPUTED_VALUE"""),376.09375)</f>
        <v>376.09375</v>
      </c>
      <c r="O50" s="57">
        <f>IFERROR(__xludf.DUMMYFUNCTION("""COMPUTED_VALUE"""),1.0625)</f>
        <v>1.0625</v>
      </c>
      <c r="P50" s="57">
        <f>IFERROR(__xludf.DUMMYFUNCTION("""COMPUTED_VALUE"""),0.75)</f>
        <v>0.75</v>
      </c>
      <c r="Q50" s="57">
        <f>IFERROR(__xludf.DUMMYFUNCTION("""COMPUTED_VALUE"""),1.0)</f>
        <v>1</v>
      </c>
      <c r="R50" s="57">
        <f>IFERROR(__xludf.DUMMYFUNCTION("""COMPUTED_VALUE"""),2.90625)</f>
        <v>2.90625</v>
      </c>
      <c r="S50" s="31">
        <f>IFERROR(__xludf.DUMMYFUNCTION("""COMPUTED_VALUE"""),333.07291666666663)</f>
        <v>333.0729167</v>
      </c>
      <c r="T50" s="57">
        <f>IFERROR(__xludf.DUMMYFUNCTION("""COMPUTED_VALUE"""),0.6458333333333333)</f>
        <v>0.6458333333</v>
      </c>
      <c r="U50" s="57">
        <f>IFERROR(__xludf.DUMMYFUNCTION("""COMPUTED_VALUE"""),0.5208333333333334)</f>
        <v>0.5208333333</v>
      </c>
      <c r="V50" s="57">
        <f>IFERROR(__xludf.DUMMYFUNCTION("""COMPUTED_VALUE"""),1.40625)</f>
        <v>1.40625</v>
      </c>
      <c r="W50" s="57">
        <f>IFERROR(__xludf.DUMMYFUNCTION("""COMPUTED_VALUE"""),2.15625)</f>
        <v>2.15625</v>
      </c>
      <c r="X50" s="31">
        <f>IFERROR(__xludf.DUMMYFUNCTION("""COMPUTED_VALUE"""),339.04163141851325)</f>
        <v>339.0416314</v>
      </c>
      <c r="Y50" s="57">
        <f>IFERROR(__xludf.DUMMYFUNCTION("""COMPUTED_VALUE"""),0.7964649404784261)</f>
        <v>0.7964649405</v>
      </c>
      <c r="Z50" s="57">
        <f>IFERROR(__xludf.DUMMYFUNCTION("""COMPUTED_VALUE"""),0.5335426472692364)</f>
        <v>0.5335426473</v>
      </c>
      <c r="AA50" s="57">
        <f>IFERROR(__xludf.DUMMYFUNCTION("""COMPUTED_VALUE"""),1.256720582182326)</f>
        <v>1.256720582</v>
      </c>
      <c r="AB50" s="57">
        <f>IFERROR(__xludf.DUMMYFUNCTION("""COMPUTED_VALUE"""),2.3736945285212423)</f>
        <v>2.373694529</v>
      </c>
      <c r="AC50" s="31">
        <f>IFERROR(__xludf.DUMMYFUNCTION("""COMPUTED_VALUE"""),338.12912188030555)</f>
        <v>338.1291219</v>
      </c>
      <c r="AD50" s="57">
        <f>IFERROR(__xludf.DUMMYFUNCTION("""COMPUTED_VALUE"""),0.8124966483836479)</f>
        <v>0.8124966484</v>
      </c>
      <c r="AE50" s="57">
        <f>IFERROR(__xludf.DUMMYFUNCTION("""COMPUTED_VALUE"""),0.5719564395416128)</f>
        <v>0.5719564395</v>
      </c>
      <c r="AF50" s="57">
        <f>IFERROR(__xludf.DUMMYFUNCTION("""COMPUTED_VALUE"""),1.1972753302516277)</f>
        <v>1.19727533</v>
      </c>
      <c r="AG50" s="57">
        <f>IFERROR(__xludf.DUMMYFUNCTION("""COMPUTED_VALUE"""),2.5371427694064446)</f>
        <v>2.537142769</v>
      </c>
      <c r="AH50" s="57">
        <f>IFERROR(__xludf.DUMMYFUNCTION("""COMPUTED_VALUE"""),1.1122784926319762)</f>
        <v>1.112278493</v>
      </c>
      <c r="AI50" s="57">
        <f>IFERROR(__xludf.DUMMYFUNCTION("""COMPUTED_VALUE"""),1.3076977020320022)</f>
        <v>1.307697702</v>
      </c>
      <c r="AJ50" s="57">
        <f>IFERROR(__xludf.DUMMYFUNCTION("""COMPUTED_VALUE"""),1.311288671915431)</f>
        <v>1.311288672</v>
      </c>
      <c r="AK50" s="57">
        <f>IFERROR(__xludf.DUMMYFUNCTION("""COMPUTED_VALUE"""),0.8352297710751571)</f>
        <v>0.8352297711</v>
      </c>
      <c r="AL50" s="57">
        <f>IFERROR(__xludf.DUMMYFUNCTION("""COMPUTED_VALUE"""),1.1454814585305764)</f>
        <v>1.145481459</v>
      </c>
      <c r="AM50" s="57">
        <f>IFERROR(__xludf.DUMMYFUNCTION("""COMPUTED_VALUE"""),0.9823953337916816)</f>
        <v>0.9823953338</v>
      </c>
      <c r="AN50" s="57">
        <f>IFERROR(__xludf.DUMMYFUNCTION("""COMPUTED_VALUE"""),0.8108747799311663)</f>
        <v>0.8108747799</v>
      </c>
      <c r="AO50" s="57">
        <f>IFERROR(__xludf.DUMMYFUNCTION("""COMPUTED_VALUE"""),0.9761793850951719)</f>
        <v>0.9761793851</v>
      </c>
      <c r="AP50" s="35">
        <f>IFERROR(__xludf.DUMMYFUNCTION("""COMPUTED_VALUE"""),1.1189838218118562)</f>
        <v>1.118983822</v>
      </c>
      <c r="AQ50" s="57">
        <f>IFERROR(__xludf.DUMMYFUNCTION("""COMPUTED_VALUE"""),0.9083940558026625)</f>
        <v>0.9083940558</v>
      </c>
      <c r="AR50" s="36" t="b">
        <f>IFERROR(__xludf.DUMMYFUNCTION("""COMPUTED_VALUE"""),TRUE)</f>
        <v>1</v>
      </c>
      <c r="AS50" s="57"/>
      <c r="AT50" s="37"/>
      <c r="AU50" s="30"/>
      <c r="AV50" s="30"/>
      <c r="AW50" s="30"/>
      <c r="AX50" s="30"/>
      <c r="AY50" s="30"/>
      <c r="AZ50" s="30"/>
    </row>
    <row r="51">
      <c r="A51" s="30" t="str">
        <f>IFERROR(__xludf.DUMMYFUNCTION("""COMPUTED_VALUE"""),"Challenger")</f>
        <v>Challenger</v>
      </c>
      <c r="B51" s="30" t="str">
        <f>IFERROR(__xludf.DUMMYFUNCTION("""COMPUTED_VALUE"""),"RSC007093")</f>
        <v>RSC007093</v>
      </c>
      <c r="C51" s="30" t="str">
        <f>IFERROR(__xludf.DUMMYFUNCTION("""COMPUTED_VALUE"""),"Mangy")</f>
        <v>Mangy</v>
      </c>
      <c r="D51" s="31" t="str">
        <f>IFERROR(__xludf.DUMMYFUNCTION("""COMPUTED_VALUE"""),"Meat Lovers")</f>
        <v>Meat Lovers</v>
      </c>
      <c r="E51" s="31">
        <f>IFERROR(__xludf.DUMMYFUNCTION("""COMPUTED_VALUE"""),82.49557983945138)</f>
        <v>82.49557984</v>
      </c>
      <c r="F51" s="31">
        <f>IFERROR(__xludf.DUMMYFUNCTION("""COMPUTED_VALUE"""),10.327293927721565)</f>
        <v>10.32729393</v>
      </c>
      <c r="G51" s="31">
        <f>IFERROR(__xludf.DUMMYFUNCTION("""COMPUTED_VALUE"""),71.79744657768883)</f>
        <v>71.79744658</v>
      </c>
      <c r="H51" s="31">
        <f>IFERROR(__xludf.DUMMYFUNCTION("""COMPUTED_VALUE"""),5.218333786819452)</f>
        <v>5.218333787</v>
      </c>
      <c r="I51" s="54">
        <f>IFERROR(__xludf.DUMMYFUNCTION("""COMPUTED_VALUE"""),32.0)</f>
        <v>32</v>
      </c>
      <c r="J51" s="55">
        <f>IFERROR(__xludf.DUMMYFUNCTION("""COMPUTED_VALUE"""),26.0)</f>
        <v>26</v>
      </c>
      <c r="K51" s="54">
        <f>IFERROR(__xludf.DUMMYFUNCTION("""COMPUTED_VALUE"""),6.0)</f>
        <v>6</v>
      </c>
      <c r="L51" s="56">
        <f>IFERROR(__xludf.DUMMYFUNCTION("""COMPUTED_VALUE"""),0.8125)</f>
        <v>0.8125</v>
      </c>
      <c r="M51" s="56">
        <f>IFERROR(__xludf.DUMMYFUNCTION("""COMPUTED_VALUE"""),0.30434782608695654)</f>
        <v>0.3043478261</v>
      </c>
      <c r="N51" s="31">
        <f>IFERROR(__xludf.DUMMYFUNCTION("""COMPUTED_VALUE"""),383.59375)</f>
        <v>383.59375</v>
      </c>
      <c r="O51" s="57">
        <f>IFERROR(__xludf.DUMMYFUNCTION("""COMPUTED_VALUE"""),0.875)</f>
        <v>0.875</v>
      </c>
      <c r="P51" s="57">
        <f>IFERROR(__xludf.DUMMYFUNCTION("""COMPUTED_VALUE"""),0.875)</f>
        <v>0.875</v>
      </c>
      <c r="Q51" s="57">
        <f>IFERROR(__xludf.DUMMYFUNCTION("""COMPUTED_VALUE"""),1.34375)</f>
        <v>1.34375</v>
      </c>
      <c r="R51" s="57">
        <f>IFERROR(__xludf.DUMMYFUNCTION("""COMPUTED_VALUE"""),2.875)</f>
        <v>2.875</v>
      </c>
      <c r="S51" s="31">
        <f>IFERROR(__xludf.DUMMYFUNCTION("""COMPUTED_VALUE"""),310.8020833333333)</f>
        <v>310.8020833</v>
      </c>
      <c r="T51" s="57">
        <f>IFERROR(__xludf.DUMMYFUNCTION("""COMPUTED_VALUE"""),0.6250000000000001)</f>
        <v>0.625</v>
      </c>
      <c r="U51" s="57">
        <f>IFERROR(__xludf.DUMMYFUNCTION("""COMPUTED_VALUE"""),0.44791666666666663)</f>
        <v>0.4479166667</v>
      </c>
      <c r="V51" s="57">
        <f>IFERROR(__xludf.DUMMYFUNCTION("""COMPUTED_VALUE"""),1.2395833333333333)</f>
        <v>1.239583333</v>
      </c>
      <c r="W51" s="57">
        <f>IFERROR(__xludf.DUMMYFUNCTION("""COMPUTED_VALUE"""),2.239583333333333)</f>
        <v>2.239583333</v>
      </c>
      <c r="X51" s="31">
        <f>IFERROR(__xludf.DUMMYFUNCTION("""COMPUTED_VALUE"""),329.60537310922655)</f>
        <v>329.6053731</v>
      </c>
      <c r="Y51" s="57">
        <f>IFERROR(__xludf.DUMMYFUNCTION("""COMPUTED_VALUE"""),0.7299627742307415)</f>
        <v>0.7299627742</v>
      </c>
      <c r="Z51" s="57">
        <f>IFERROR(__xludf.DUMMYFUNCTION("""COMPUTED_VALUE"""),0.5359177234758352)</f>
        <v>0.5359177235</v>
      </c>
      <c r="AA51" s="57">
        <f>IFERROR(__xludf.DUMMYFUNCTION("""COMPUTED_VALUE"""),1.239554387666194)</f>
        <v>1.239554388</v>
      </c>
      <c r="AB51" s="57">
        <f>IFERROR(__xludf.DUMMYFUNCTION("""COMPUTED_VALUE"""),2.4361809033853024)</f>
        <v>2.436180903</v>
      </c>
      <c r="AC51" s="31">
        <f>IFERROR(__xludf.DUMMYFUNCTION("""COMPUTED_VALUE"""),345.9648605479616)</f>
        <v>345.9648605</v>
      </c>
      <c r="AD51" s="57">
        <f>IFERROR(__xludf.DUMMYFUNCTION("""COMPUTED_VALUE"""),0.8010104503372709)</f>
        <v>0.8010104503</v>
      </c>
      <c r="AE51" s="57">
        <f>IFERROR(__xludf.DUMMYFUNCTION("""COMPUTED_VALUE"""),0.5880523632181504)</f>
        <v>0.5880523632</v>
      </c>
      <c r="AF51" s="57">
        <f>IFERROR(__xludf.DUMMYFUNCTION("""COMPUTED_VALUE"""),1.263060192287244)</f>
        <v>1.263060192</v>
      </c>
      <c r="AG51" s="57">
        <f>IFERROR(__xludf.DUMMYFUNCTION("""COMPUTED_VALUE"""),2.5163382968215244)</f>
        <v>2.516338297</v>
      </c>
      <c r="AH51" s="57">
        <f>IFERROR(__xludf.DUMMYFUNCTION("""COMPUTED_VALUE"""),1.1087650618402092)</f>
        <v>1.108765062</v>
      </c>
      <c r="AI51" s="57">
        <f>IFERROR(__xludf.DUMMYFUNCTION("""COMPUTED_VALUE"""),1.0923702676183253)</f>
        <v>1.092370268</v>
      </c>
      <c r="AJ51" s="57">
        <f>IFERROR(__xludf.DUMMYFUNCTION("""COMPUTED_VALUE"""),1.4879627304131764)</f>
        <v>1.48796273</v>
      </c>
      <c r="AK51" s="57">
        <f>IFERROR(__xludf.DUMMYFUNCTION("""COMPUTED_VALUE"""),1.0638843724198424)</f>
        <v>1.063884372</v>
      </c>
      <c r="AL51" s="57">
        <f>IFERROR(__xludf.DUMMYFUNCTION("""COMPUTED_VALUE"""),1.1425331815008792)</f>
        <v>1.142533182</v>
      </c>
      <c r="AM51" s="57">
        <f>IFERROR(__xludf.DUMMYFUNCTION("""COMPUTED_VALUE"""),0.9429521139218138)</f>
        <v>0.9429521139</v>
      </c>
      <c r="AN51" s="57">
        <f>IFERROR(__xludf.DUMMYFUNCTION("""COMPUTED_VALUE"""),0.8562080452097649)</f>
        <v>0.8562080452</v>
      </c>
      <c r="AO51" s="57">
        <f>IFERROR(__xludf.DUMMYFUNCTION("""COMPUTED_VALUE"""),0.8357937180386299)</f>
        <v>0.835793718</v>
      </c>
      <c r="AP51" s="35">
        <f>IFERROR(__xludf.DUMMYFUNCTION("""COMPUTED_VALUE"""),1.0000233516717194)</f>
        <v>1.000023352</v>
      </c>
      <c r="AQ51" s="57">
        <f>IFERROR(__xludf.DUMMYFUNCTION("""COMPUTED_VALUE"""),0.9193009148956145)</f>
        <v>0.9193009149</v>
      </c>
      <c r="AR51" s="36" t="b">
        <f>IFERROR(__xludf.DUMMYFUNCTION("""COMPUTED_VALUE"""),TRUE)</f>
        <v>1</v>
      </c>
      <c r="AS51" s="57"/>
      <c r="AT51" s="37"/>
      <c r="AU51" s="30"/>
      <c r="AV51" s="30"/>
      <c r="AW51" s="30"/>
      <c r="AX51" s="30"/>
      <c r="AY51" s="30"/>
      <c r="AZ51" s="30"/>
    </row>
    <row r="52">
      <c r="A52" s="30" t="str">
        <f>IFERROR(__xludf.DUMMYFUNCTION("""COMPUTED_VALUE"""),"Challenger")</f>
        <v>Challenger</v>
      </c>
      <c r="B52" s="30" t="str">
        <f>IFERROR(__xludf.DUMMYFUNCTION("""COMPUTED_VALUE"""),"RSC005059")</f>
        <v>RSC005059</v>
      </c>
      <c r="C52" s="30" t="str">
        <f>IFERROR(__xludf.DUMMYFUNCTION("""COMPUTED_VALUE"""),"Jacobim Mugatu")</f>
        <v>Jacobim Mugatu</v>
      </c>
      <c r="D52" s="31" t="str">
        <f>IFERROR(__xludf.DUMMYFUNCTION("""COMPUTED_VALUE"""),"Lilac")</f>
        <v>Lilac</v>
      </c>
      <c r="E52" s="31">
        <f>IFERROR(__xludf.DUMMYFUNCTION("""COMPUTED_VALUE"""),78.68066497490571)</f>
        <v>78.68066497</v>
      </c>
      <c r="F52" s="31">
        <f>IFERROR(__xludf.DUMMYFUNCTION("""COMPUTED_VALUE"""),7.958995856133624)</f>
        <v>7.958995856</v>
      </c>
      <c r="G52" s="31">
        <f>IFERROR(__xludf.DUMMYFUNCTION("""COMPUTED_VALUE"""),65.55991092062486)</f>
        <v>65.55991092</v>
      </c>
      <c r="H52" s="31">
        <f>IFERROR(__xludf.DUMMYFUNCTION("""COMPUTED_VALUE"""),3.7475554965209503)</f>
        <v>3.747555497</v>
      </c>
      <c r="I52" s="54">
        <f>IFERROR(__xludf.DUMMYFUNCTION("""COMPUTED_VALUE"""),30.0)</f>
        <v>30</v>
      </c>
      <c r="J52" s="55">
        <f>IFERROR(__xludf.DUMMYFUNCTION("""COMPUTED_VALUE"""),21.0)</f>
        <v>21</v>
      </c>
      <c r="K52" s="54">
        <f>IFERROR(__xludf.DUMMYFUNCTION("""COMPUTED_VALUE"""),9.0)</f>
        <v>9</v>
      </c>
      <c r="L52" s="56">
        <f>IFERROR(__xludf.DUMMYFUNCTION("""COMPUTED_VALUE"""),0.7)</f>
        <v>0.7</v>
      </c>
      <c r="M52" s="56">
        <f>IFERROR(__xludf.DUMMYFUNCTION("""COMPUTED_VALUE"""),0.34615384615384615)</f>
        <v>0.3461538462</v>
      </c>
      <c r="N52" s="31">
        <f>IFERROR(__xludf.DUMMYFUNCTION("""COMPUTED_VALUE"""),385.06666666666666)</f>
        <v>385.0666667</v>
      </c>
      <c r="O52" s="57">
        <f>IFERROR(__xludf.DUMMYFUNCTION("""COMPUTED_VALUE"""),0.9)</f>
        <v>0.9</v>
      </c>
      <c r="P52" s="57">
        <f>IFERROR(__xludf.DUMMYFUNCTION("""COMPUTED_VALUE"""),0.8)</f>
        <v>0.8</v>
      </c>
      <c r="Q52" s="57">
        <f>IFERROR(__xludf.DUMMYFUNCTION("""COMPUTED_VALUE"""),1.5333333333333334)</f>
        <v>1.533333333</v>
      </c>
      <c r="R52" s="57">
        <f>IFERROR(__xludf.DUMMYFUNCTION("""COMPUTED_VALUE"""),2.6)</f>
        <v>2.6</v>
      </c>
      <c r="S52" s="31">
        <f>IFERROR(__xludf.DUMMYFUNCTION("""COMPUTED_VALUE"""),328.51111111111106)</f>
        <v>328.5111111</v>
      </c>
      <c r="T52" s="57">
        <f>IFERROR(__xludf.DUMMYFUNCTION("""COMPUTED_VALUE"""),0.6)</f>
        <v>0.6</v>
      </c>
      <c r="U52" s="57">
        <f>IFERROR(__xludf.DUMMYFUNCTION("""COMPUTED_VALUE"""),0.488888888888889)</f>
        <v>0.4888888889</v>
      </c>
      <c r="V52" s="57">
        <f>IFERROR(__xludf.DUMMYFUNCTION("""COMPUTED_VALUE"""),1.4111111111111114)</f>
        <v>1.411111111</v>
      </c>
      <c r="W52" s="57">
        <f>IFERROR(__xludf.DUMMYFUNCTION("""COMPUTED_VALUE"""),2.177777777777778)</f>
        <v>2.177777778</v>
      </c>
      <c r="X52" s="31">
        <f>IFERROR(__xludf.DUMMYFUNCTION("""COMPUTED_VALUE"""),342.08976442528257)</f>
        <v>342.0897644</v>
      </c>
      <c r="Y52" s="57">
        <f>IFERROR(__xludf.DUMMYFUNCTION("""COMPUTED_VALUE"""),0.8147184078631802)</f>
        <v>0.8147184079</v>
      </c>
      <c r="Z52" s="57">
        <f>IFERROR(__xludf.DUMMYFUNCTION("""COMPUTED_VALUE"""),0.5318632682749855)</f>
        <v>0.5318632683</v>
      </c>
      <c r="AA52" s="57">
        <f>IFERROR(__xludf.DUMMYFUNCTION("""COMPUTED_VALUE"""),1.255136506097609)</f>
        <v>1.255136506</v>
      </c>
      <c r="AB52" s="57">
        <f>IFERROR(__xludf.DUMMYFUNCTION("""COMPUTED_VALUE"""),2.4454714605955)</f>
        <v>2.445471461</v>
      </c>
      <c r="AC52" s="31">
        <f>IFERROR(__xludf.DUMMYFUNCTION("""COMPUTED_VALUE"""),338.5014153829542)</f>
        <v>338.5014154</v>
      </c>
      <c r="AD52" s="57">
        <f>IFERROR(__xludf.DUMMYFUNCTION("""COMPUTED_VALUE"""),0.7952351129248261)</f>
        <v>0.7952351129</v>
      </c>
      <c r="AE52" s="57">
        <f>IFERROR(__xludf.DUMMYFUNCTION("""COMPUTED_VALUE"""),0.549001959120862)</f>
        <v>0.5490019591</v>
      </c>
      <c r="AF52" s="57">
        <f>IFERROR(__xludf.DUMMYFUNCTION("""COMPUTED_VALUE"""),1.2430758987374495)</f>
        <v>1.243075899</v>
      </c>
      <c r="AG52" s="57">
        <f>IFERROR(__xludf.DUMMYFUNCTION("""COMPUTED_VALUE"""),2.501922710778103)</f>
        <v>2.501922711</v>
      </c>
      <c r="AH52" s="57">
        <f>IFERROR(__xludf.DUMMYFUNCTION("""COMPUTED_VALUE"""),1.1375629441047748)</f>
        <v>1.137562944</v>
      </c>
      <c r="AI52" s="57">
        <f>IFERROR(__xludf.DUMMYFUNCTION("""COMPUTED_VALUE"""),1.1317407712165213)</f>
        <v>1.131740771</v>
      </c>
      <c r="AJ52" s="57">
        <f>IFERROR(__xludf.DUMMYFUNCTION("""COMPUTED_VALUE"""),1.4571896997982865)</f>
        <v>1.4571897</v>
      </c>
      <c r="AK52" s="57">
        <f>IFERROR(__xludf.DUMMYFUNCTION("""COMPUTED_VALUE"""),1.2334993662822107)</f>
        <v>1.233499366</v>
      </c>
      <c r="AL52" s="57">
        <f>IFERROR(__xludf.DUMMYFUNCTION("""COMPUTED_VALUE"""),1.0392007669938752)</f>
        <v>1.039200767</v>
      </c>
      <c r="AM52" s="57">
        <f>IFERROR(__xludf.DUMMYFUNCTION("""COMPUTED_VALUE"""),0.9603067535885387)</f>
        <v>0.9603067536</v>
      </c>
      <c r="AN52" s="57">
        <f>IFERROR(__xludf.DUMMYFUNCTION("""COMPUTED_VALUE"""),0.7364507714679758)</f>
        <v>0.7364507715</v>
      </c>
      <c r="AO52" s="57">
        <f>IFERROR(__xludf.DUMMYFUNCTION("""COMPUTED_VALUE"""),0.9192003246896948)</f>
        <v>0.9192003247</v>
      </c>
      <c r="AP52" s="35">
        <f>IFERROR(__xludf.DUMMYFUNCTION("""COMPUTED_VALUE"""),1.1242690370774482)</f>
        <v>1.124269037</v>
      </c>
      <c r="AQ52" s="57">
        <f>IFERROR(__xludf.DUMMYFUNCTION("""COMPUTED_VALUE"""),0.8905349389141776)</f>
        <v>0.8905349389</v>
      </c>
      <c r="AR52" s="36" t="b">
        <f>IFERROR(__xludf.DUMMYFUNCTION("""COMPUTED_VALUE"""),TRUE)</f>
        <v>1</v>
      </c>
      <c r="AS52" s="57"/>
      <c r="AT52" s="37"/>
      <c r="AU52" s="30"/>
      <c r="AV52" s="30"/>
      <c r="AW52" s="30"/>
      <c r="AX52" s="30"/>
      <c r="AY52" s="30"/>
      <c r="AZ52" s="30"/>
    </row>
    <row r="53">
      <c r="A53" s="30" t="str">
        <f>IFERROR(__xludf.DUMMYFUNCTION("""COMPUTED_VALUE"""),"Challenger")</f>
        <v>Challenger</v>
      </c>
      <c r="B53" s="30" t="str">
        <f>IFERROR(__xludf.DUMMYFUNCTION("""COMPUTED_VALUE"""),"RSC007961")</f>
        <v>RSC007961</v>
      </c>
      <c r="C53" s="30" t="str">
        <f>IFERROR(__xludf.DUMMYFUNCTION("""COMPUTED_VALUE"""),"Skrilpp")</f>
        <v>Skrilpp</v>
      </c>
      <c r="D53" s="31"/>
      <c r="E53" s="31">
        <f>IFERROR(__xludf.DUMMYFUNCTION("""COMPUTED_VALUE"""),78.55438608111821)</f>
        <v>78.55438608</v>
      </c>
      <c r="F53" s="31">
        <f>IFERROR(__xludf.DUMMYFUNCTION("""COMPUTED_VALUE"""),7.893248511784729)</f>
        <v>7.893248512</v>
      </c>
      <c r="G53" s="31">
        <f>IFERROR(__xludf.DUMMYFUNCTION("""COMPUTED_VALUE"""),70.24683687904277)</f>
        <v>70.24683688</v>
      </c>
      <c r="H53" s="31">
        <f>IFERROR(__xludf.DUMMYFUNCTION("""COMPUTED_VALUE"""),4.784541360341021)</f>
        <v>4.78454136</v>
      </c>
      <c r="I53" s="54">
        <f>IFERROR(__xludf.DUMMYFUNCTION("""COMPUTED_VALUE"""),4.0)</f>
        <v>4</v>
      </c>
      <c r="J53" s="55">
        <f>IFERROR(__xludf.DUMMYFUNCTION("""COMPUTED_VALUE"""),3.0)</f>
        <v>3</v>
      </c>
      <c r="K53" s="54">
        <f>IFERROR(__xludf.DUMMYFUNCTION("""COMPUTED_VALUE"""),1.0)</f>
        <v>1</v>
      </c>
      <c r="L53" s="56">
        <f>IFERROR(__xludf.DUMMYFUNCTION("""COMPUTED_VALUE"""),0.75)</f>
        <v>0.75</v>
      </c>
      <c r="M53" s="56">
        <f>IFERROR(__xludf.DUMMYFUNCTION("""COMPUTED_VALUE"""),0.14285714285714285)</f>
        <v>0.1428571429</v>
      </c>
      <c r="N53" s="31">
        <f>IFERROR(__xludf.DUMMYFUNCTION("""COMPUTED_VALUE"""),352.5)</f>
        <v>352.5</v>
      </c>
      <c r="O53" s="57">
        <f>IFERROR(__xludf.DUMMYFUNCTION("""COMPUTED_VALUE"""),0.5)</f>
        <v>0.5</v>
      </c>
      <c r="P53" s="57">
        <f>IFERROR(__xludf.DUMMYFUNCTION("""COMPUTED_VALUE"""),0.75)</f>
        <v>0.75</v>
      </c>
      <c r="Q53" s="57">
        <f>IFERROR(__xludf.DUMMYFUNCTION("""COMPUTED_VALUE"""),1.5)</f>
        <v>1.5</v>
      </c>
      <c r="R53" s="57">
        <f>IFERROR(__xludf.DUMMYFUNCTION("""COMPUTED_VALUE"""),3.5)</f>
        <v>3.5</v>
      </c>
      <c r="S53" s="31">
        <f>IFERROR(__xludf.DUMMYFUNCTION("""COMPUTED_VALUE"""),241.08333333333334)</f>
        <v>241.0833333</v>
      </c>
      <c r="T53" s="57">
        <f>IFERROR(__xludf.DUMMYFUNCTION("""COMPUTED_VALUE"""),0.25)</f>
        <v>0.25</v>
      </c>
      <c r="U53" s="57">
        <f>IFERROR(__xludf.DUMMYFUNCTION("""COMPUTED_VALUE"""),0.16666666666666666)</f>
        <v>0.1666666667</v>
      </c>
      <c r="V53" s="57">
        <f>IFERROR(__xludf.DUMMYFUNCTION("""COMPUTED_VALUE"""),1.25)</f>
        <v>1.25</v>
      </c>
      <c r="W53" s="57">
        <f>IFERROR(__xludf.DUMMYFUNCTION("""COMPUTED_VALUE"""),2.25)</f>
        <v>2.25</v>
      </c>
      <c r="X53" s="31">
        <f>IFERROR(__xludf.DUMMYFUNCTION("""COMPUTED_VALUE"""),337.83638468013464)</f>
        <v>337.8363847</v>
      </c>
      <c r="Y53" s="57">
        <f>IFERROR(__xludf.DUMMYFUNCTION("""COMPUTED_VALUE"""),0.7802413502844538)</f>
        <v>0.7802413503</v>
      </c>
      <c r="Z53" s="57">
        <f>IFERROR(__xludf.DUMMYFUNCTION("""COMPUTED_VALUE"""),0.5509984906536631)</f>
        <v>0.5509984907</v>
      </c>
      <c r="AA53" s="57">
        <f>IFERROR(__xludf.DUMMYFUNCTION("""COMPUTED_VALUE"""),1.1904316150005805)</f>
        <v>1.190431615</v>
      </c>
      <c r="AB53" s="57">
        <f>IFERROR(__xludf.DUMMYFUNCTION("""COMPUTED_VALUE"""),2.6259288285150353)</f>
        <v>2.625928829</v>
      </c>
      <c r="AC53" s="31">
        <f>IFERROR(__xludf.DUMMYFUNCTION("""COMPUTED_VALUE"""),381.4018682998568)</f>
        <v>381.4018683</v>
      </c>
      <c r="AD53" s="57">
        <f>IFERROR(__xludf.DUMMYFUNCTION("""COMPUTED_VALUE"""),0.9296751035256783)</f>
        <v>0.9296751035</v>
      </c>
      <c r="AE53" s="57">
        <f>IFERROR(__xludf.DUMMYFUNCTION("""COMPUTED_VALUE"""),0.6142205096946476)</f>
        <v>0.6142205097</v>
      </c>
      <c r="AF53" s="57">
        <f>IFERROR(__xludf.DUMMYFUNCTION("""COMPUTED_VALUE"""),1.4223799295638373)</f>
        <v>1.42237993</v>
      </c>
      <c r="AG53" s="57">
        <f>IFERROR(__xludf.DUMMYFUNCTION("""COMPUTED_VALUE"""),2.49832617361353)</f>
        <v>2.498326174</v>
      </c>
      <c r="AH53" s="57">
        <f>IFERROR(__xludf.DUMMYFUNCTION("""COMPUTED_VALUE"""),0.9242220064922854)</f>
        <v>0.9242220065</v>
      </c>
      <c r="AI53" s="57">
        <f>IFERROR(__xludf.DUMMYFUNCTION("""COMPUTED_VALUE"""),0.5378222973851957)</f>
        <v>0.5378222974</v>
      </c>
      <c r="AJ53" s="57">
        <f>IFERROR(__xludf.DUMMYFUNCTION("""COMPUTED_VALUE"""),1.2210598444080834)</f>
        <v>1.221059844</v>
      </c>
      <c r="AK53" s="57">
        <f>IFERROR(__xludf.DUMMYFUNCTION("""COMPUTED_VALUE"""),1.0545705608064677)</f>
        <v>1.054570561</v>
      </c>
      <c r="AL53" s="57">
        <f>IFERROR(__xludf.DUMMYFUNCTION("""COMPUTED_VALUE"""),1.4009379707765175)</f>
        <v>1.400937971</v>
      </c>
      <c r="AM53" s="57">
        <f>IFERROR(__xludf.DUMMYFUNCTION("""COMPUTED_VALUE"""),0.7136097361496228)</f>
        <v>0.7136097361</v>
      </c>
      <c r="AN53" s="57">
        <f>IFERROR(__xludf.DUMMYFUNCTION("""COMPUTED_VALUE"""),0.3204136770101419)</f>
        <v>0.320413677</v>
      </c>
      <c r="AO53" s="57">
        <f>IFERROR(__xludf.DUMMYFUNCTION("""COMPUTED_VALUE"""),0.30248116736026964)</f>
        <v>0.3024811674</v>
      </c>
      <c r="AP53" s="35">
        <f>IFERROR(__xludf.DUMMYFUNCTION("""COMPUTED_VALUE"""),1.0500393170416518)</f>
        <v>1.050039317</v>
      </c>
      <c r="AQ53" s="57">
        <f>IFERROR(__xludf.DUMMYFUNCTION("""COMPUTED_VALUE"""),0.8568396734775088)</f>
        <v>0.8568396735</v>
      </c>
      <c r="AR53" s="36" t="b">
        <f>IFERROR(__xludf.DUMMYFUNCTION("""COMPUTED_VALUE"""),TRUE)</f>
        <v>1</v>
      </c>
      <c r="AS53" s="57"/>
      <c r="AT53" s="37"/>
      <c r="AU53" s="30"/>
      <c r="AV53" s="30"/>
      <c r="AW53" s="30"/>
      <c r="AX53" s="30"/>
      <c r="AY53" s="30"/>
      <c r="AZ53" s="30"/>
    </row>
    <row r="54">
      <c r="A54" s="30" t="str">
        <f>IFERROR(__xludf.DUMMYFUNCTION("""COMPUTED_VALUE"""),"Challenger")</f>
        <v>Challenger</v>
      </c>
      <c r="B54" s="30" t="str">
        <f>IFERROR(__xludf.DUMMYFUNCTION("""COMPUTED_VALUE"""),"RSC007256")</f>
        <v>RSC007256</v>
      </c>
      <c r="C54" s="30" t="str">
        <f>IFERROR(__xludf.DUMMYFUNCTION("""COMPUTED_VALUE"""),"Dark Odst RW7")</f>
        <v>Dark Odst RW7</v>
      </c>
      <c r="D54" s="31" t="str">
        <f>IFERROR(__xludf.DUMMYFUNCTION("""COMPUTED_VALUE"""),"Deceased")</f>
        <v>Deceased</v>
      </c>
      <c r="E54" s="31">
        <f>IFERROR(__xludf.DUMMYFUNCTION("""COMPUTED_VALUE"""),76.6151993744028)</f>
        <v>76.61519937</v>
      </c>
      <c r="F54" s="31">
        <f>IFERROR(__xludf.DUMMYFUNCTION("""COMPUTED_VALUE"""),6.967345494495671)</f>
        <v>6.967345494</v>
      </c>
      <c r="G54" s="31">
        <f>IFERROR(__xludf.DUMMYFUNCTION("""COMPUTED_VALUE"""),61.250661334169685)</f>
        <v>61.25066133</v>
      </c>
      <c r="H54" s="31">
        <f>IFERROR(__xludf.DUMMYFUNCTION("""COMPUTED_VALUE"""),3.0642354150874036)</f>
        <v>3.064235415</v>
      </c>
      <c r="I54" s="54">
        <f>IFERROR(__xludf.DUMMYFUNCTION("""COMPUTED_VALUE"""),31.0)</f>
        <v>31</v>
      </c>
      <c r="J54" s="55">
        <f>IFERROR(__xludf.DUMMYFUNCTION("""COMPUTED_VALUE"""),20.0)</f>
        <v>20</v>
      </c>
      <c r="K54" s="54">
        <f>IFERROR(__xludf.DUMMYFUNCTION("""COMPUTED_VALUE"""),11.0)</f>
        <v>11</v>
      </c>
      <c r="L54" s="56">
        <f>IFERROR(__xludf.DUMMYFUNCTION("""COMPUTED_VALUE"""),0.6451612903225806)</f>
        <v>0.6451612903</v>
      </c>
      <c r="M54" s="56">
        <f>IFERROR(__xludf.DUMMYFUNCTION("""COMPUTED_VALUE"""),0.326530612244898)</f>
        <v>0.3265306122</v>
      </c>
      <c r="N54" s="31">
        <f>IFERROR(__xludf.DUMMYFUNCTION("""COMPUTED_VALUE"""),375.93548387096774)</f>
        <v>375.9354839</v>
      </c>
      <c r="O54" s="57">
        <f>IFERROR(__xludf.DUMMYFUNCTION("""COMPUTED_VALUE"""),1.032258064516129)</f>
        <v>1.032258065</v>
      </c>
      <c r="P54" s="57">
        <f>IFERROR(__xludf.DUMMYFUNCTION("""COMPUTED_VALUE"""),0.6129032258064516)</f>
        <v>0.6129032258</v>
      </c>
      <c r="Q54" s="57">
        <f>IFERROR(__xludf.DUMMYFUNCTION("""COMPUTED_VALUE"""),1.1612903225806452)</f>
        <v>1.161290323</v>
      </c>
      <c r="R54" s="57">
        <f>IFERROR(__xludf.DUMMYFUNCTION("""COMPUTED_VALUE"""),3.161290322580645)</f>
        <v>3.161290323</v>
      </c>
      <c r="S54" s="31">
        <f>IFERROR(__xludf.DUMMYFUNCTION("""COMPUTED_VALUE"""),323.5376344086022)</f>
        <v>323.5376344</v>
      </c>
      <c r="T54" s="57">
        <f>IFERROR(__xludf.DUMMYFUNCTION("""COMPUTED_VALUE"""),0.5698924731182795)</f>
        <v>0.5698924731</v>
      </c>
      <c r="U54" s="57">
        <f>IFERROR(__xludf.DUMMYFUNCTION("""COMPUTED_VALUE"""),0.41935483870967744)</f>
        <v>0.4193548387</v>
      </c>
      <c r="V54" s="57">
        <f>IFERROR(__xludf.DUMMYFUNCTION("""COMPUTED_VALUE"""),1.3978494623655915)</f>
        <v>1.397849462</v>
      </c>
      <c r="W54" s="57">
        <f>IFERROR(__xludf.DUMMYFUNCTION("""COMPUTED_VALUE"""),2.086021505376345)</f>
        <v>2.086021505</v>
      </c>
      <c r="X54" s="31">
        <f>IFERROR(__xludf.DUMMYFUNCTION("""COMPUTED_VALUE"""),322.03152729203214)</f>
        <v>322.0315273</v>
      </c>
      <c r="Y54" s="57">
        <f>IFERROR(__xludf.DUMMYFUNCTION("""COMPUTED_VALUE"""),0.7055067318466566)</f>
        <v>0.7055067318</v>
      </c>
      <c r="Z54" s="57">
        <f>IFERROR(__xludf.DUMMYFUNCTION("""COMPUTED_VALUE"""),0.4483990114455204)</f>
        <v>0.4483990114</v>
      </c>
      <c r="AA54" s="57">
        <f>IFERROR(__xludf.DUMMYFUNCTION("""COMPUTED_VALUE"""),1.2651556395197623)</f>
        <v>1.26515564</v>
      </c>
      <c r="AB54" s="57">
        <f>IFERROR(__xludf.DUMMYFUNCTION("""COMPUTED_VALUE"""),2.2108055050336177)</f>
        <v>2.210805505</v>
      </c>
      <c r="AC54" s="31">
        <f>IFERROR(__xludf.DUMMYFUNCTION("""COMPUTED_VALUE"""),346.27483240706744)</f>
        <v>346.2748324</v>
      </c>
      <c r="AD54" s="57">
        <f>IFERROR(__xludf.DUMMYFUNCTION("""COMPUTED_VALUE"""),0.8691764114398355)</f>
        <v>0.8691764114</v>
      </c>
      <c r="AE54" s="57">
        <f>IFERROR(__xludf.DUMMYFUNCTION("""COMPUTED_VALUE"""),0.6189821867833313)</f>
        <v>0.6189821868</v>
      </c>
      <c r="AF54" s="57">
        <f>IFERROR(__xludf.DUMMYFUNCTION("""COMPUTED_VALUE"""),1.1329006571453322)</f>
        <v>1.132900657</v>
      </c>
      <c r="AG54" s="57">
        <f>IFERROR(__xludf.DUMMYFUNCTION("""COMPUTED_VALUE"""),2.650065202047979)</f>
        <v>2.650065202</v>
      </c>
      <c r="AH54" s="57">
        <f>IFERROR(__xludf.DUMMYFUNCTION("""COMPUTED_VALUE"""),1.085656388186573)</f>
        <v>1.085656388</v>
      </c>
      <c r="AI54" s="57">
        <f>IFERROR(__xludf.DUMMYFUNCTION("""COMPUTED_VALUE"""),1.1876277944613571)</f>
        <v>1.187627794</v>
      </c>
      <c r="AJ54" s="57">
        <f>IFERROR(__xludf.DUMMYFUNCTION("""COMPUTED_VALUE"""),0.9901791019084568)</f>
        <v>0.9901791019</v>
      </c>
      <c r="AK54" s="57">
        <f>IFERROR(__xludf.DUMMYFUNCTION("""COMPUTED_VALUE"""),1.0250592717519018)</f>
        <v>1.025059272</v>
      </c>
      <c r="AL54" s="57">
        <f>IFERROR(__xludf.DUMMYFUNCTION("""COMPUTED_VALUE"""),1.192910393350922)</f>
        <v>1.192910393</v>
      </c>
      <c r="AM54" s="57">
        <f>IFERROR(__xludf.DUMMYFUNCTION("""COMPUTED_VALUE"""),1.0046768933751142)</f>
        <v>1.004676893</v>
      </c>
      <c r="AN54" s="57">
        <f>IFERROR(__xludf.DUMMYFUNCTION("""COMPUTED_VALUE"""),0.8077775128050045)</f>
        <v>0.8077775128</v>
      </c>
      <c r="AO54" s="57">
        <f>IFERROR(__xludf.DUMMYFUNCTION("""COMPUTED_VALUE"""),0.9352269474408246)</f>
        <v>0.9352269474</v>
      </c>
      <c r="AP54" s="35">
        <f>IFERROR(__xludf.DUMMYFUNCTION("""COMPUTED_VALUE"""),1.1048833982957214)</f>
        <v>1.104883398</v>
      </c>
      <c r="AQ54" s="57">
        <f>IFERROR(__xludf.DUMMYFUNCTION("""COMPUTED_VALUE"""),0.9435572241098724)</f>
        <v>0.9435572241</v>
      </c>
      <c r="AR54" s="36" t="b">
        <f>IFERROR(__xludf.DUMMYFUNCTION("""COMPUTED_VALUE"""),TRUE)</f>
        <v>1</v>
      </c>
      <c r="AS54" s="57"/>
      <c r="AT54" s="37"/>
      <c r="AU54" s="30"/>
      <c r="AV54" s="30"/>
      <c r="AW54" s="30"/>
      <c r="AX54" s="30"/>
      <c r="AY54" s="30"/>
      <c r="AZ54" s="30"/>
    </row>
    <row r="55">
      <c r="A55" s="30" t="str">
        <f>IFERROR(__xludf.DUMMYFUNCTION("""COMPUTED_VALUE"""),"Challenger")</f>
        <v>Challenger</v>
      </c>
      <c r="B55" s="30" t="str">
        <f>IFERROR(__xludf.DUMMYFUNCTION("""COMPUTED_VALUE"""),"RSC002841")</f>
        <v>RSC002841</v>
      </c>
      <c r="C55" s="30" t="str">
        <f>IFERROR(__xludf.DUMMYFUNCTION("""COMPUTED_VALUE"""),"dyl")</f>
        <v>dyl</v>
      </c>
      <c r="D55" s="31" t="str">
        <f>IFERROR(__xludf.DUMMYFUNCTION("""COMPUTED_VALUE"""),"Cassowaries")</f>
        <v>Cassowaries</v>
      </c>
      <c r="E55" s="31">
        <f>IFERROR(__xludf.DUMMYFUNCTION("""COMPUTED_VALUE"""),76.10063121578409)</f>
        <v>76.10063122</v>
      </c>
      <c r="F55" s="31">
        <f>IFERROR(__xludf.DUMMYFUNCTION("""COMPUTED_VALUE"""),6.7459607533239545)</f>
        <v>6.745960753</v>
      </c>
      <c r="G55" s="31">
        <f>IFERROR(__xludf.DUMMYFUNCTION("""COMPUTED_VALUE"""),61.90396281930105)</f>
        <v>61.90396282</v>
      </c>
      <c r="H55" s="31">
        <f>IFERROR(__xludf.DUMMYFUNCTION("""COMPUTED_VALUE"""),3.1547659384929894)</f>
        <v>3.154765938</v>
      </c>
      <c r="I55" s="54">
        <f>IFERROR(__xludf.DUMMYFUNCTION("""COMPUTED_VALUE"""),35.0)</f>
        <v>35</v>
      </c>
      <c r="J55" s="55">
        <f>IFERROR(__xludf.DUMMYFUNCTION("""COMPUTED_VALUE"""),27.0)</f>
        <v>27</v>
      </c>
      <c r="K55" s="54">
        <f>IFERROR(__xludf.DUMMYFUNCTION("""COMPUTED_VALUE"""),8.0)</f>
        <v>8</v>
      </c>
      <c r="L55" s="56">
        <f>IFERROR(__xludf.DUMMYFUNCTION("""COMPUTED_VALUE"""),0.7714285714285715)</f>
        <v>0.7714285714</v>
      </c>
      <c r="M55" s="56">
        <f>IFERROR(__xludf.DUMMYFUNCTION("""COMPUTED_VALUE"""),0.39772727272727276)</f>
        <v>0.3977272727</v>
      </c>
      <c r="N55" s="31">
        <f>IFERROR(__xludf.DUMMYFUNCTION("""COMPUTED_VALUE"""),393.2857142857143)</f>
        <v>393.2857143</v>
      </c>
      <c r="O55" s="57">
        <f>IFERROR(__xludf.DUMMYFUNCTION("""COMPUTED_VALUE"""),1.0)</f>
        <v>1</v>
      </c>
      <c r="P55" s="57">
        <f>IFERROR(__xludf.DUMMYFUNCTION("""COMPUTED_VALUE"""),0.8285714285714286)</f>
        <v>0.8285714286</v>
      </c>
      <c r="Q55" s="57">
        <f>IFERROR(__xludf.DUMMYFUNCTION("""COMPUTED_VALUE"""),1.4)</f>
        <v>1.4</v>
      </c>
      <c r="R55" s="57">
        <f>IFERROR(__xludf.DUMMYFUNCTION("""COMPUTED_VALUE"""),2.5142857142857142)</f>
        <v>2.514285714</v>
      </c>
      <c r="S55" s="31">
        <f>IFERROR(__xludf.DUMMYFUNCTION("""COMPUTED_VALUE"""),319.29523809523806)</f>
        <v>319.2952381</v>
      </c>
      <c r="T55" s="57">
        <f>IFERROR(__xludf.DUMMYFUNCTION("""COMPUTED_VALUE"""),0.6952380952380953)</f>
        <v>0.6952380952</v>
      </c>
      <c r="U55" s="57">
        <f>IFERROR(__xludf.DUMMYFUNCTION("""COMPUTED_VALUE"""),0.4380952380952382)</f>
        <v>0.4380952381</v>
      </c>
      <c r="V55" s="57">
        <f>IFERROR(__xludf.DUMMYFUNCTION("""COMPUTED_VALUE"""),1.276190476190476)</f>
        <v>1.276190476</v>
      </c>
      <c r="W55" s="57">
        <f>IFERROR(__xludf.DUMMYFUNCTION("""COMPUTED_VALUE"""),2.3714285714285706)</f>
        <v>2.371428571</v>
      </c>
      <c r="X55" s="31">
        <f>IFERROR(__xludf.DUMMYFUNCTION("""COMPUTED_VALUE"""),316.34361937063085)</f>
        <v>316.3436194</v>
      </c>
      <c r="Y55" s="57">
        <f>IFERROR(__xludf.DUMMYFUNCTION("""COMPUTED_VALUE"""),0.6775125050942196)</f>
        <v>0.6775125051</v>
      </c>
      <c r="Z55" s="57">
        <f>IFERROR(__xludf.DUMMYFUNCTION("""COMPUTED_VALUE"""),0.4444169278984944)</f>
        <v>0.4444169279</v>
      </c>
      <c r="AA55" s="57">
        <f>IFERROR(__xludf.DUMMYFUNCTION("""COMPUTED_VALUE"""),1.2080312944306861)</f>
        <v>1.208031294</v>
      </c>
      <c r="AB55" s="57">
        <f>IFERROR(__xludf.DUMMYFUNCTION("""COMPUTED_VALUE"""),2.317355247780709)</f>
        <v>2.317355248</v>
      </c>
      <c r="AC55" s="31">
        <f>IFERROR(__xludf.DUMMYFUNCTION("""COMPUTED_VALUE"""),345.69212613042663)</f>
        <v>345.6921261</v>
      </c>
      <c r="AD55" s="57">
        <f>IFERROR(__xludf.DUMMYFUNCTION("""COMPUTED_VALUE"""),0.8341008354628202)</f>
        <v>0.8341008355</v>
      </c>
      <c r="AE55" s="57">
        <f>IFERROR(__xludf.DUMMYFUNCTION("""COMPUTED_VALUE"""),0.587582807187873)</f>
        <v>0.5875828072</v>
      </c>
      <c r="AF55" s="57">
        <f>IFERROR(__xludf.DUMMYFUNCTION("""COMPUTED_VALUE"""),1.2123878845971647)</f>
        <v>1.212387885</v>
      </c>
      <c r="AG55" s="57">
        <f>IFERROR(__xludf.DUMMYFUNCTION("""COMPUTED_VALUE"""),2.5320434651609567)</f>
        <v>2.532043465</v>
      </c>
      <c r="AH55" s="57">
        <f>IFERROR(__xludf.DUMMYFUNCTION("""COMPUTED_VALUE"""),1.1376762285217077)</f>
        <v>1.137676229</v>
      </c>
      <c r="AI55" s="57">
        <f>IFERROR(__xludf.DUMMYFUNCTION("""COMPUTED_VALUE"""),1.1988958138917662)</f>
        <v>1.198895814</v>
      </c>
      <c r="AJ55" s="57">
        <f>IFERROR(__xludf.DUMMYFUNCTION("""COMPUTED_VALUE"""),1.4101355901424497)</f>
        <v>1.41013559</v>
      </c>
      <c r="AK55" s="57">
        <f>IFERROR(__xludf.DUMMYFUNCTION("""COMPUTED_VALUE"""),1.1547459503566158)</f>
        <v>1.15474595</v>
      </c>
      <c r="AL55" s="57">
        <f>IFERROR(__xludf.DUMMYFUNCTION("""COMPUTED_VALUE"""),0.9929867906615444)</f>
        <v>0.9929867907</v>
      </c>
      <c r="AM55" s="57">
        <f>IFERROR(__xludf.DUMMYFUNCTION("""COMPUTED_VALUE"""),1.0093304196572053)</f>
        <v>1.00933042</v>
      </c>
      <c r="AN55" s="57">
        <f>IFERROR(__xludf.DUMMYFUNCTION("""COMPUTED_VALUE"""),1.0261627497804056)</f>
        <v>1.02616275</v>
      </c>
      <c r="AO55" s="57">
        <f>IFERROR(__xludf.DUMMYFUNCTION("""COMPUTED_VALUE"""),0.9857753172608671)</f>
        <v>0.9857753173</v>
      </c>
      <c r="AP55" s="35">
        <f>IFERROR(__xludf.DUMMYFUNCTION("""COMPUTED_VALUE"""),1.0564217020486308)</f>
        <v>1.056421702</v>
      </c>
      <c r="AQ55" s="57">
        <f>IFERROR(__xludf.DUMMYFUNCTION("""COMPUTED_VALUE"""),1.0233340674459157)</f>
        <v>1.023334067</v>
      </c>
      <c r="AR55" s="36" t="b">
        <f>IFERROR(__xludf.DUMMYFUNCTION("""COMPUTED_VALUE"""),TRUE)</f>
        <v>1</v>
      </c>
      <c r="AS55" s="57"/>
      <c r="AT55" s="37"/>
      <c r="AU55" s="30"/>
      <c r="AV55" s="30"/>
      <c r="AW55" s="30"/>
      <c r="AX55" s="30"/>
      <c r="AY55" s="30"/>
      <c r="AZ55" s="30"/>
    </row>
    <row r="56">
      <c r="A56" s="30" t="str">
        <f>IFERROR(__xludf.DUMMYFUNCTION("""COMPUTED_VALUE"""),"Challenger")</f>
        <v>Challenger</v>
      </c>
      <c r="B56" s="30" t="str">
        <f>IFERROR(__xludf.DUMMYFUNCTION("""COMPUTED_VALUE"""),"RSC007890")</f>
        <v>RSC007890</v>
      </c>
      <c r="C56" s="30" t="str">
        <f>IFERROR(__xludf.DUMMYFUNCTION("""COMPUTED_VALUE"""),"Ghost-Bacon")</f>
        <v>Ghost-Bacon</v>
      </c>
      <c r="D56" s="31" t="str">
        <f>IFERROR(__xludf.DUMMYFUNCTION("""COMPUTED_VALUE"""),"Void")</f>
        <v>Void</v>
      </c>
      <c r="E56" s="31">
        <f>IFERROR(__xludf.DUMMYFUNCTION("""COMPUTED_VALUE"""),75.38383689430998)</f>
        <v>75.38383689</v>
      </c>
      <c r="F56" s="31">
        <f>IFERROR(__xludf.DUMMYFUNCTION("""COMPUTED_VALUE"""),6.45291676948137)</f>
        <v>6.452916769</v>
      </c>
      <c r="G56" s="31">
        <f>IFERROR(__xludf.DUMMYFUNCTION("""COMPUTED_VALUE"""),67.89199394687554)</f>
        <v>67.89199395</v>
      </c>
      <c r="H56" s="31">
        <f>IFERROR(__xludf.DUMMYFUNCTION("""COMPUTED_VALUE"""),4.2177265293721)</f>
        <v>4.217726529</v>
      </c>
      <c r="I56" s="54">
        <f>IFERROR(__xludf.DUMMYFUNCTION("""COMPUTED_VALUE"""),15.0)</f>
        <v>15</v>
      </c>
      <c r="J56" s="55">
        <f>IFERROR(__xludf.DUMMYFUNCTION("""COMPUTED_VALUE"""),10.0)</f>
        <v>10</v>
      </c>
      <c r="K56" s="54">
        <f>IFERROR(__xludf.DUMMYFUNCTION("""COMPUTED_VALUE"""),5.0)</f>
        <v>5</v>
      </c>
      <c r="L56" s="56">
        <f>IFERROR(__xludf.DUMMYFUNCTION("""COMPUTED_VALUE"""),0.6666666666666666)</f>
        <v>0.6666666667</v>
      </c>
      <c r="M56" s="56">
        <f>IFERROR(__xludf.DUMMYFUNCTION("""COMPUTED_VALUE"""),0.25)</f>
        <v>0.25</v>
      </c>
      <c r="N56" s="31">
        <f>IFERROR(__xludf.DUMMYFUNCTION("""COMPUTED_VALUE"""),333.6666666666667)</f>
        <v>333.6666667</v>
      </c>
      <c r="O56" s="57">
        <f>IFERROR(__xludf.DUMMYFUNCTION("""COMPUTED_VALUE"""),0.8)</f>
        <v>0.8</v>
      </c>
      <c r="P56" s="57">
        <f>IFERROR(__xludf.DUMMYFUNCTION("""COMPUTED_VALUE"""),0.6666666666666666)</f>
        <v>0.6666666667</v>
      </c>
      <c r="Q56" s="57">
        <f>IFERROR(__xludf.DUMMYFUNCTION("""COMPUTED_VALUE"""),0.8666666666666667)</f>
        <v>0.8666666667</v>
      </c>
      <c r="R56" s="57">
        <f>IFERROR(__xludf.DUMMYFUNCTION("""COMPUTED_VALUE"""),3.2)</f>
        <v>3.2</v>
      </c>
      <c r="S56" s="31">
        <f>IFERROR(__xludf.DUMMYFUNCTION("""COMPUTED_VALUE"""),301.1111111111111)</f>
        <v>301.1111111</v>
      </c>
      <c r="T56" s="57">
        <f>IFERROR(__xludf.DUMMYFUNCTION("""COMPUTED_VALUE"""),0.5555555555555556)</f>
        <v>0.5555555556</v>
      </c>
      <c r="U56" s="57">
        <f>IFERROR(__xludf.DUMMYFUNCTION("""COMPUTED_VALUE"""),0.44444444444444436)</f>
        <v>0.4444444444</v>
      </c>
      <c r="V56" s="57">
        <f>IFERROR(__xludf.DUMMYFUNCTION("""COMPUTED_VALUE"""),1.2222222222222223)</f>
        <v>1.222222222</v>
      </c>
      <c r="W56" s="57">
        <f>IFERROR(__xludf.DUMMYFUNCTION("""COMPUTED_VALUE"""),2.177777777777778)</f>
        <v>2.177777778</v>
      </c>
      <c r="X56" s="31">
        <f>IFERROR(__xludf.DUMMYFUNCTION("""COMPUTED_VALUE"""),328.47123364569677)</f>
        <v>328.4712336</v>
      </c>
      <c r="Y56" s="57">
        <f>IFERROR(__xludf.DUMMYFUNCTION("""COMPUTED_VALUE"""),0.8191580685690084)</f>
        <v>0.8191580686</v>
      </c>
      <c r="Z56" s="57">
        <f>IFERROR(__xludf.DUMMYFUNCTION("""COMPUTED_VALUE"""),0.4721575632593243)</f>
        <v>0.4721575633</v>
      </c>
      <c r="AA56" s="57">
        <f>IFERROR(__xludf.DUMMYFUNCTION("""COMPUTED_VALUE"""),1.1991161437849924)</f>
        <v>1.199116144</v>
      </c>
      <c r="AB56" s="57">
        <f>IFERROR(__xludf.DUMMYFUNCTION("""COMPUTED_VALUE"""),2.343315108061874)</f>
        <v>2.343315108</v>
      </c>
      <c r="AC56" s="31">
        <f>IFERROR(__xludf.DUMMYFUNCTION("""COMPUTED_VALUE"""),326.35601838802086)</f>
        <v>326.3560184</v>
      </c>
      <c r="AD56" s="57">
        <f>IFERROR(__xludf.DUMMYFUNCTION("""COMPUTED_VALUE"""),0.7877743327247249)</f>
        <v>0.7877743327</v>
      </c>
      <c r="AE56" s="57">
        <f>IFERROR(__xludf.DUMMYFUNCTION("""COMPUTED_VALUE"""),0.5222376364826109)</f>
        <v>0.5222376365</v>
      </c>
      <c r="AF56" s="57">
        <f>IFERROR(__xludf.DUMMYFUNCTION("""COMPUTED_VALUE"""),1.1393166613061683)</f>
        <v>1.139316661</v>
      </c>
      <c r="AG56" s="57">
        <f>IFERROR(__xludf.DUMMYFUNCTION("""COMPUTED_VALUE"""),2.4054166559636405)</f>
        <v>2.405416656</v>
      </c>
      <c r="AH56" s="57">
        <f>IFERROR(__xludf.DUMMYFUNCTION("""COMPUTED_VALUE"""),1.0224008379399758)</f>
        <v>1.022400838</v>
      </c>
      <c r="AI56" s="57">
        <f>IFERROR(__xludf.DUMMYFUNCTION("""COMPUTED_VALUE"""),1.0155192505866362)</f>
        <v>1.015519251</v>
      </c>
      <c r="AJ56" s="57">
        <f>IFERROR(__xludf.DUMMYFUNCTION("""COMPUTED_VALUE"""),1.2765580649392068)</f>
        <v>1.276558065</v>
      </c>
      <c r="AK56" s="57">
        <f>IFERROR(__xludf.DUMMYFUNCTION("""COMPUTED_VALUE"""),0.7606898907921505)</f>
        <v>0.7606898908</v>
      </c>
      <c r="AL56" s="57">
        <f>IFERROR(__xludf.DUMMYFUNCTION("""COMPUTED_VALUE"""),1.3303308564303757)</f>
        <v>1.330330856</v>
      </c>
      <c r="AM56" s="57">
        <f>IFERROR(__xludf.DUMMYFUNCTION("""COMPUTED_VALUE"""),0.9167046616809754)</f>
        <v>0.9167046617</v>
      </c>
      <c r="AN56" s="57">
        <f>IFERROR(__xludf.DUMMYFUNCTION("""COMPUTED_VALUE"""),0.6782031171664566)</f>
        <v>0.6782031172</v>
      </c>
      <c r="AO56" s="57">
        <f>IFERROR(__xludf.DUMMYFUNCTION("""COMPUTED_VALUE"""),0.9413053586951461)</f>
        <v>0.9413053587</v>
      </c>
      <c r="AP56" s="35">
        <f>IFERROR(__xludf.DUMMYFUNCTION("""COMPUTED_VALUE"""),1.0192692580756155)</f>
        <v>1.019269258</v>
      </c>
      <c r="AQ56" s="57">
        <f>IFERROR(__xludf.DUMMYFUNCTION("""COMPUTED_VALUE"""),0.9293576311121854)</f>
        <v>0.9293576311</v>
      </c>
      <c r="AR56" s="36" t="b">
        <f>IFERROR(__xludf.DUMMYFUNCTION("""COMPUTED_VALUE"""),TRUE)</f>
        <v>1</v>
      </c>
      <c r="AS56" s="57"/>
      <c r="AT56" s="37"/>
      <c r="AU56" s="30"/>
      <c r="AV56" s="30"/>
      <c r="AW56" s="30"/>
      <c r="AX56" s="30"/>
      <c r="AY56" s="30"/>
      <c r="AZ56" s="30"/>
    </row>
    <row r="57">
      <c r="A57" s="30" t="str">
        <f>IFERROR(__xludf.DUMMYFUNCTION("""COMPUTED_VALUE"""),"Challenger")</f>
        <v>Challenger</v>
      </c>
      <c r="B57" s="30" t="str">
        <f>IFERROR(__xludf.DUMMYFUNCTION("""COMPUTED_VALUE"""),"RSC008000")</f>
        <v>RSC008000</v>
      </c>
      <c r="C57" s="30" t="str">
        <f>IFERROR(__xludf.DUMMYFUNCTION("""COMPUTED_VALUE"""),"ChefHoffy")</f>
        <v>ChefHoffy</v>
      </c>
      <c r="D57" s="31" t="str">
        <f>IFERROR(__xludf.DUMMYFUNCTION("""COMPUTED_VALUE"""),"Ryujin")</f>
        <v>Ryujin</v>
      </c>
      <c r="E57" s="31">
        <f>IFERROR(__xludf.DUMMYFUNCTION("""COMPUTED_VALUE"""),74.15134070223705)</f>
        <v>74.1513407</v>
      </c>
      <c r="F57" s="31">
        <f>IFERROR(__xludf.DUMMYFUNCTION("""COMPUTED_VALUE"""),5.987712970707619)</f>
        <v>5.987712971</v>
      </c>
      <c r="G57" s="31">
        <f>IFERROR(__xludf.DUMMYFUNCTION("""COMPUTED_VALUE"""),69.06893631404662)</f>
        <v>69.06893631</v>
      </c>
      <c r="H57" s="31">
        <f>IFERROR(__xludf.DUMMYFUNCTION("""COMPUTED_VALUE"""),4.488249158949173)</f>
        <v>4.488249159</v>
      </c>
      <c r="I57" s="54">
        <f>IFERROR(__xludf.DUMMYFUNCTION("""COMPUTED_VALUE"""),36.0)</f>
        <v>36</v>
      </c>
      <c r="J57" s="55">
        <f>IFERROR(__xludf.DUMMYFUNCTION("""COMPUTED_VALUE"""),24.0)</f>
        <v>24</v>
      </c>
      <c r="K57" s="54">
        <f>IFERROR(__xludf.DUMMYFUNCTION("""COMPUTED_VALUE"""),12.0)</f>
        <v>12</v>
      </c>
      <c r="L57" s="56">
        <f>IFERROR(__xludf.DUMMYFUNCTION("""COMPUTED_VALUE"""),0.6666666666666666)</f>
        <v>0.6666666667</v>
      </c>
      <c r="M57" s="56">
        <f>IFERROR(__xludf.DUMMYFUNCTION("""COMPUTED_VALUE"""),0.3229166666666667)</f>
        <v>0.3229166667</v>
      </c>
      <c r="N57" s="31">
        <f>IFERROR(__xludf.DUMMYFUNCTION("""COMPUTED_VALUE"""),340.52777777777777)</f>
        <v>340.5277778</v>
      </c>
      <c r="O57" s="57">
        <f>IFERROR(__xludf.DUMMYFUNCTION("""COMPUTED_VALUE"""),0.8611111111111112)</f>
        <v>0.8611111111</v>
      </c>
      <c r="P57" s="57">
        <f>IFERROR(__xludf.DUMMYFUNCTION("""COMPUTED_VALUE"""),0.6111111111111112)</f>
        <v>0.6111111111</v>
      </c>
      <c r="Q57" s="57">
        <f>IFERROR(__xludf.DUMMYFUNCTION("""COMPUTED_VALUE"""),1.0555555555555556)</f>
        <v>1.055555556</v>
      </c>
      <c r="R57" s="57">
        <f>IFERROR(__xludf.DUMMYFUNCTION("""COMPUTED_VALUE"""),2.6666666666666665)</f>
        <v>2.666666667</v>
      </c>
      <c r="S57" s="31">
        <f>IFERROR(__xludf.DUMMYFUNCTION("""COMPUTED_VALUE"""),291.35185185185185)</f>
        <v>291.3518519</v>
      </c>
      <c r="T57" s="57">
        <f>IFERROR(__xludf.DUMMYFUNCTION("""COMPUTED_VALUE"""),0.5185185185185186)</f>
        <v>0.5185185185</v>
      </c>
      <c r="U57" s="57">
        <f>IFERROR(__xludf.DUMMYFUNCTION("""COMPUTED_VALUE"""),0.3796296296296296)</f>
        <v>0.3796296296</v>
      </c>
      <c r="V57" s="57">
        <f>IFERROR(__xludf.DUMMYFUNCTION("""COMPUTED_VALUE"""),1.2037037037037037)</f>
        <v>1.203703704</v>
      </c>
      <c r="W57" s="57">
        <f>IFERROR(__xludf.DUMMYFUNCTION("""COMPUTED_VALUE"""),1.9074074074074074)</f>
        <v>1.907407407</v>
      </c>
      <c r="X57" s="31">
        <f>IFERROR(__xludf.DUMMYFUNCTION("""COMPUTED_VALUE"""),329.0240049043056)</f>
        <v>329.0240049</v>
      </c>
      <c r="Y57" s="57">
        <f>IFERROR(__xludf.DUMMYFUNCTION("""COMPUTED_VALUE"""),0.7648654839931854)</f>
        <v>0.764865484</v>
      </c>
      <c r="Z57" s="57">
        <f>IFERROR(__xludf.DUMMYFUNCTION("""COMPUTED_VALUE"""),0.5212809906852512)</f>
        <v>0.5212809907</v>
      </c>
      <c r="AA57" s="57">
        <f>IFERROR(__xludf.DUMMYFUNCTION("""COMPUTED_VALUE"""),1.1308448307067327)</f>
        <v>1.130844831</v>
      </c>
      <c r="AB57" s="57">
        <f>IFERROR(__xludf.DUMMYFUNCTION("""COMPUTED_VALUE"""),2.4023496296629117)</f>
        <v>2.40234963</v>
      </c>
      <c r="AC57" s="31">
        <f>IFERROR(__xludf.DUMMYFUNCTION("""COMPUTED_VALUE"""),320.7943840207231)</f>
        <v>320.794384</v>
      </c>
      <c r="AD57" s="57">
        <f>IFERROR(__xludf.DUMMYFUNCTION("""COMPUTED_VALUE"""),0.736558250003069)</f>
        <v>0.73655825</v>
      </c>
      <c r="AE57" s="57">
        <f>IFERROR(__xludf.DUMMYFUNCTION("""COMPUTED_VALUE"""),0.4971573499519356)</f>
        <v>0.49715735</v>
      </c>
      <c r="AF57" s="57">
        <f>IFERROR(__xludf.DUMMYFUNCTION("""COMPUTED_VALUE"""),1.170011649857392)</f>
        <v>1.17001165</v>
      </c>
      <c r="AG57" s="57">
        <f>IFERROR(__xludf.DUMMYFUNCTION("""COMPUTED_VALUE"""),2.3062613458907024)</f>
        <v>2.306261346</v>
      </c>
      <c r="AH57" s="57">
        <f>IFERROR(__xludf.DUMMYFUNCTION("""COMPUTED_VALUE"""),1.0615141496859244)</f>
        <v>1.06151415</v>
      </c>
      <c r="AI57" s="57">
        <f>IFERROR(__xludf.DUMMYFUNCTION("""COMPUTED_VALUE"""),1.169101168994473)</f>
        <v>1.169101169</v>
      </c>
      <c r="AJ57" s="57">
        <f>IFERROR(__xludf.DUMMYFUNCTION("""COMPUTED_VALUE"""),1.2292106536696932)</f>
        <v>1.229210654</v>
      </c>
      <c r="AK57" s="57">
        <f>IFERROR(__xludf.DUMMYFUNCTION("""COMPUTED_VALUE"""),0.9021752524295061)</f>
        <v>0.9021752524</v>
      </c>
      <c r="AL57" s="57">
        <f>IFERROR(__xludf.DUMMYFUNCTION("""COMPUTED_VALUE"""),1.1562725410188808)</f>
        <v>1.156272541</v>
      </c>
      <c r="AM57" s="57">
        <f>IFERROR(__xludf.DUMMYFUNCTION("""COMPUTED_VALUE"""),0.8855033295719245)</f>
        <v>0.8855033296</v>
      </c>
      <c r="AN57" s="57">
        <f>IFERROR(__xludf.DUMMYFUNCTION("""COMPUTED_VALUE"""),0.6779211892416083)</f>
        <v>0.6779211892</v>
      </c>
      <c r="AO57" s="57">
        <f>IFERROR(__xludf.DUMMYFUNCTION("""COMPUTED_VALUE"""),0.7282629453465903)</f>
        <v>0.7282629453</v>
      </c>
      <c r="AP57" s="35">
        <f>IFERROR(__xludf.DUMMYFUNCTION("""COMPUTED_VALUE"""),1.064428709420228)</f>
        <v>1.064428709</v>
      </c>
      <c r="AQ57" s="57">
        <f>IFERROR(__xludf.DUMMYFUNCTION("""COMPUTED_VALUE"""),0.7939757743235099)</f>
        <v>0.7939757743</v>
      </c>
      <c r="AR57" s="36" t="b">
        <f>IFERROR(__xludf.DUMMYFUNCTION("""COMPUTED_VALUE"""),TRUE)</f>
        <v>1</v>
      </c>
      <c r="AS57" s="57"/>
      <c r="AT57" s="37"/>
      <c r="AU57" s="30"/>
      <c r="AV57" s="30"/>
      <c r="AW57" s="30"/>
      <c r="AX57" s="30"/>
      <c r="AY57" s="30"/>
      <c r="AZ57" s="30"/>
    </row>
    <row r="58">
      <c r="A58" s="30" t="str">
        <f>IFERROR(__xludf.DUMMYFUNCTION("""COMPUTED_VALUE"""),"Challenger")</f>
        <v>Challenger</v>
      </c>
      <c r="B58" s="30" t="str">
        <f>IFERROR(__xludf.DUMMYFUNCTION("""COMPUTED_VALUE"""),"RSC006240")</f>
        <v>RSC006240</v>
      </c>
      <c r="C58" s="30" t="str">
        <f>IFERROR(__xludf.DUMMYFUNCTION("""COMPUTED_VALUE"""),"Canadian Gamer")</f>
        <v>Canadian Gamer</v>
      </c>
      <c r="D58" s="31" t="str">
        <f>IFERROR(__xludf.DUMMYFUNCTION("""COMPUTED_VALUE"""),"Meat Lovers")</f>
        <v>Meat Lovers</v>
      </c>
      <c r="E58" s="31">
        <f>IFERROR(__xludf.DUMMYFUNCTION("""COMPUTED_VALUE"""),74.1185679179366)</f>
        <v>74.11856792</v>
      </c>
      <c r="F58" s="31">
        <f>IFERROR(__xludf.DUMMYFUNCTION("""COMPUTED_VALUE"""),5.975970136178155)</f>
        <v>5.975970136</v>
      </c>
      <c r="G58" s="31">
        <f>IFERROR(__xludf.DUMMYFUNCTION("""COMPUTED_VALUE"""),59.75631132207429)</f>
        <v>59.75631132</v>
      </c>
      <c r="H58" s="31">
        <f>IFERROR(__xludf.DUMMYFUNCTION("""COMPUTED_VALUE"""),2.872119406936076)</f>
        <v>2.872119407</v>
      </c>
      <c r="I58" s="54">
        <f>IFERROR(__xludf.DUMMYFUNCTION("""COMPUTED_VALUE"""),28.0)</f>
        <v>28</v>
      </c>
      <c r="J58" s="55">
        <f>IFERROR(__xludf.DUMMYFUNCTION("""COMPUTED_VALUE"""),21.0)</f>
        <v>21</v>
      </c>
      <c r="K58" s="54">
        <f>IFERROR(__xludf.DUMMYFUNCTION("""COMPUTED_VALUE"""),7.0)</f>
        <v>7</v>
      </c>
      <c r="L58" s="56">
        <f>IFERROR(__xludf.DUMMYFUNCTION("""COMPUTED_VALUE"""),0.75)</f>
        <v>0.75</v>
      </c>
      <c r="M58" s="56">
        <f>IFERROR(__xludf.DUMMYFUNCTION("""COMPUTED_VALUE"""),0.34782608695652173)</f>
        <v>0.347826087</v>
      </c>
      <c r="N58" s="31">
        <f>IFERROR(__xludf.DUMMYFUNCTION("""COMPUTED_VALUE"""),354.0357142857143)</f>
        <v>354.0357143</v>
      </c>
      <c r="O58" s="57">
        <f>IFERROR(__xludf.DUMMYFUNCTION("""COMPUTED_VALUE"""),0.8571428571428571)</f>
        <v>0.8571428571</v>
      </c>
      <c r="P58" s="57">
        <f>IFERROR(__xludf.DUMMYFUNCTION("""COMPUTED_VALUE"""),0.8214285714285714)</f>
        <v>0.8214285714</v>
      </c>
      <c r="Q58" s="57">
        <f>IFERROR(__xludf.DUMMYFUNCTION("""COMPUTED_VALUE"""),1.3214285714285714)</f>
        <v>1.321428571</v>
      </c>
      <c r="R58" s="57">
        <f>IFERROR(__xludf.DUMMYFUNCTION("""COMPUTED_VALUE"""),2.4642857142857144)</f>
        <v>2.464285714</v>
      </c>
      <c r="S58" s="31">
        <f>IFERROR(__xludf.DUMMYFUNCTION("""COMPUTED_VALUE"""),310.8214285714286)</f>
        <v>310.8214286</v>
      </c>
      <c r="T58" s="57">
        <f>IFERROR(__xludf.DUMMYFUNCTION("""COMPUTED_VALUE"""),0.619047619047619)</f>
        <v>0.619047619</v>
      </c>
      <c r="U58" s="57">
        <f>IFERROR(__xludf.DUMMYFUNCTION("""COMPUTED_VALUE"""),0.45238095238095244)</f>
        <v>0.4523809524</v>
      </c>
      <c r="V58" s="57">
        <f>IFERROR(__xludf.DUMMYFUNCTION("""COMPUTED_VALUE"""),1.3095238095238098)</f>
        <v>1.30952381</v>
      </c>
      <c r="W58" s="57">
        <f>IFERROR(__xludf.DUMMYFUNCTION("""COMPUTED_VALUE"""),2.130952380952381)</f>
        <v>2.130952381</v>
      </c>
      <c r="X58" s="31">
        <f>IFERROR(__xludf.DUMMYFUNCTION("""COMPUTED_VALUE"""),325.7972763568478)</f>
        <v>325.7972764</v>
      </c>
      <c r="Y58" s="57">
        <f>IFERROR(__xludf.DUMMYFUNCTION("""COMPUTED_VALUE"""),0.751360497149418)</f>
        <v>0.7513604971</v>
      </c>
      <c r="Z58" s="57">
        <f>IFERROR(__xludf.DUMMYFUNCTION("""COMPUTED_VALUE"""),0.5426454191458613)</f>
        <v>0.5426454191</v>
      </c>
      <c r="AA58" s="57">
        <f>IFERROR(__xludf.DUMMYFUNCTION("""COMPUTED_VALUE"""),1.1808482307064239)</f>
        <v>1.180848231</v>
      </c>
      <c r="AB58" s="57">
        <f>IFERROR(__xludf.DUMMYFUNCTION("""COMPUTED_VALUE"""),2.457276816361845)</f>
        <v>2.457276816</v>
      </c>
      <c r="AC58" s="31">
        <f>IFERROR(__xludf.DUMMYFUNCTION("""COMPUTED_VALUE"""),340.8809990268925)</f>
        <v>340.880999</v>
      </c>
      <c r="AD58" s="57">
        <f>IFERROR(__xludf.DUMMYFUNCTION("""COMPUTED_VALUE"""),0.7677462830338585)</f>
        <v>0.767746283</v>
      </c>
      <c r="AE58" s="57">
        <f>IFERROR(__xludf.DUMMYFUNCTION("""COMPUTED_VALUE"""),0.5650096727952213)</f>
        <v>0.5650096728</v>
      </c>
      <c r="AF58" s="57">
        <f>IFERROR(__xludf.DUMMYFUNCTION("""COMPUTED_VALUE"""),1.2731736686345632)</f>
        <v>1.273173669</v>
      </c>
      <c r="AG58" s="57">
        <f>IFERROR(__xludf.DUMMYFUNCTION("""COMPUTED_VALUE"""),2.405526192711711)</f>
        <v>2.405526193</v>
      </c>
      <c r="AH58" s="57">
        <f>IFERROR(__xludf.DUMMYFUNCTION("""COMPUTED_VALUE"""),1.0385903447137692)</f>
        <v>1.038590345</v>
      </c>
      <c r="AI58" s="57">
        <f>IFERROR(__xludf.DUMMYFUNCTION("""COMPUTED_VALUE"""),1.1164402564812628)</f>
        <v>1.116440256</v>
      </c>
      <c r="AJ58" s="57">
        <f>IFERROR(__xludf.DUMMYFUNCTION("""COMPUTED_VALUE"""),1.4538309890604033)</f>
        <v>1.453830989</v>
      </c>
      <c r="AK58" s="57">
        <f>IFERROR(__xludf.DUMMYFUNCTION("""COMPUTED_VALUE"""),1.0379012730021036)</f>
        <v>1.037901273</v>
      </c>
      <c r="AL58" s="57">
        <f>IFERROR(__xludf.DUMMYFUNCTION("""COMPUTED_VALUE"""),1.0244268891155845)</f>
        <v>1.024426889</v>
      </c>
      <c r="AM58" s="57">
        <f>IFERROR(__xludf.DUMMYFUNCTION("""COMPUTED_VALUE"""),0.9540332320979379)</f>
        <v>0.9540332321</v>
      </c>
      <c r="AN58" s="57">
        <f>IFERROR(__xludf.DUMMYFUNCTION("""COMPUTED_VALUE"""),0.8239022698108563)</f>
        <v>0.8239022698</v>
      </c>
      <c r="AO58" s="57">
        <f>IFERROR(__xludf.DUMMYFUNCTION("""COMPUTED_VALUE"""),0.8336584746131506)</f>
        <v>0.8336584746</v>
      </c>
      <c r="AP58" s="35">
        <f>IFERROR(__xludf.DUMMYFUNCTION("""COMPUTED_VALUE"""),1.1089687696279205)</f>
        <v>1.10896877</v>
      </c>
      <c r="AQ58" s="57">
        <f>IFERROR(__xludf.DUMMYFUNCTION("""COMPUTED_VALUE"""),0.8672007837144664)</f>
        <v>0.8672007837</v>
      </c>
      <c r="AR58" s="36" t="b">
        <f>IFERROR(__xludf.DUMMYFUNCTION("""COMPUTED_VALUE"""),TRUE)</f>
        <v>1</v>
      </c>
      <c r="AS58" s="57"/>
      <c r="AT58" s="37"/>
      <c r="AU58" s="30"/>
      <c r="AV58" s="30"/>
      <c r="AW58" s="30"/>
      <c r="AX58" s="30"/>
      <c r="AY58" s="30"/>
      <c r="AZ58" s="30"/>
    </row>
    <row r="59">
      <c r="A59" s="30" t="str">
        <f>IFERROR(__xludf.DUMMYFUNCTION("""COMPUTED_VALUE"""),"Challenger")</f>
        <v>Challenger</v>
      </c>
      <c r="B59" s="30" t="str">
        <f>IFERROR(__xludf.DUMMYFUNCTION("""COMPUTED_VALUE"""),"RSC005265")</f>
        <v>RSC005265</v>
      </c>
      <c r="C59" s="30" t="str">
        <f>IFERROR(__xludf.DUMMYFUNCTION("""COMPUTED_VALUE"""),"doctorprofessor_")</f>
        <v>doctorprofessor_</v>
      </c>
      <c r="D59" s="31" t="str">
        <f>IFERROR(__xludf.DUMMYFUNCTION("""COMPUTED_VALUE"""),"Decuriones")</f>
        <v>Decuriones</v>
      </c>
      <c r="E59" s="31">
        <f>IFERROR(__xludf.DUMMYFUNCTION("""COMPUTED_VALUE"""),73.75144356959079)</f>
        <v>73.75144357</v>
      </c>
      <c r="F59" s="31">
        <f>IFERROR(__xludf.DUMMYFUNCTION("""COMPUTED_VALUE"""),5.846535802962955)</f>
        <v>5.846535803</v>
      </c>
      <c r="G59" s="31">
        <f>IFERROR(__xludf.DUMMYFUNCTION("""COMPUTED_VALUE"""),75.42329386305232)</f>
        <v>75.42329386</v>
      </c>
      <c r="H59" s="31">
        <f>IFERROR(__xludf.DUMMYFUNCTION("""COMPUTED_VALUE"""),6.468600366914249)</f>
        <v>6.468600367</v>
      </c>
      <c r="I59" s="54">
        <f>IFERROR(__xludf.DUMMYFUNCTION("""COMPUTED_VALUE"""),35.0)</f>
        <v>35</v>
      </c>
      <c r="J59" s="55">
        <f>IFERROR(__xludf.DUMMYFUNCTION("""COMPUTED_VALUE"""),24.0)</f>
        <v>24</v>
      </c>
      <c r="K59" s="54">
        <f>IFERROR(__xludf.DUMMYFUNCTION("""COMPUTED_VALUE"""),11.0)</f>
        <v>11</v>
      </c>
      <c r="L59" s="56">
        <f>IFERROR(__xludf.DUMMYFUNCTION("""COMPUTED_VALUE"""),0.6857142857142857)</f>
        <v>0.6857142857</v>
      </c>
      <c r="M59" s="56">
        <f>IFERROR(__xludf.DUMMYFUNCTION("""COMPUTED_VALUE"""),0.26666666666666666)</f>
        <v>0.2666666667</v>
      </c>
      <c r="N59" s="31">
        <f>IFERROR(__xludf.DUMMYFUNCTION("""COMPUTED_VALUE"""),347.51428571428573)</f>
        <v>347.5142857</v>
      </c>
      <c r="O59" s="57">
        <f>IFERROR(__xludf.DUMMYFUNCTION("""COMPUTED_VALUE"""),0.8)</f>
        <v>0.8</v>
      </c>
      <c r="P59" s="57">
        <f>IFERROR(__xludf.DUMMYFUNCTION("""COMPUTED_VALUE"""),0.6571428571428571)</f>
        <v>0.6571428571</v>
      </c>
      <c r="Q59" s="57">
        <f>IFERROR(__xludf.DUMMYFUNCTION("""COMPUTED_VALUE"""),0.8857142857142857)</f>
        <v>0.8857142857</v>
      </c>
      <c r="R59" s="57">
        <f>IFERROR(__xludf.DUMMYFUNCTION("""COMPUTED_VALUE"""),3.0)</f>
        <v>3</v>
      </c>
      <c r="S59" s="31">
        <f>IFERROR(__xludf.DUMMYFUNCTION("""COMPUTED_VALUE"""),285.39047619047625)</f>
        <v>285.3904762</v>
      </c>
      <c r="T59" s="57">
        <f>IFERROR(__xludf.DUMMYFUNCTION("""COMPUTED_VALUE"""),0.4857142857142858)</f>
        <v>0.4857142857</v>
      </c>
      <c r="U59" s="57">
        <f>IFERROR(__xludf.DUMMYFUNCTION("""COMPUTED_VALUE"""),0.3333333333333334)</f>
        <v>0.3333333333</v>
      </c>
      <c r="V59" s="57">
        <f>IFERROR(__xludf.DUMMYFUNCTION("""COMPUTED_VALUE"""),1.257142857142857)</f>
        <v>1.257142857</v>
      </c>
      <c r="W59" s="57">
        <f>IFERROR(__xludf.DUMMYFUNCTION("""COMPUTED_VALUE"""),1.8)</f>
        <v>1.8</v>
      </c>
      <c r="X59" s="31">
        <f>IFERROR(__xludf.DUMMYFUNCTION("""COMPUTED_VALUE"""),329.8432515432575)</f>
        <v>329.8432515</v>
      </c>
      <c r="Y59" s="57">
        <f>IFERROR(__xludf.DUMMYFUNCTION("""COMPUTED_VALUE"""),0.7029124663873172)</f>
        <v>0.7029124664</v>
      </c>
      <c r="Z59" s="57">
        <f>IFERROR(__xludf.DUMMYFUNCTION("""COMPUTED_VALUE"""),0.4977426091868689)</f>
        <v>0.4977426092</v>
      </c>
      <c r="AA59" s="57">
        <f>IFERROR(__xludf.DUMMYFUNCTION("""COMPUTED_VALUE"""),1.296753872789197)</f>
        <v>1.296753873</v>
      </c>
      <c r="AB59" s="57">
        <f>IFERROR(__xludf.DUMMYFUNCTION("""COMPUTED_VALUE"""),2.186210247846305)</f>
        <v>2.186210248</v>
      </c>
      <c r="AC59" s="31">
        <f>IFERROR(__xludf.DUMMYFUNCTION("""COMPUTED_VALUE"""),335.25847644871817)</f>
        <v>335.2584764</v>
      </c>
      <c r="AD59" s="57">
        <f>IFERROR(__xludf.DUMMYFUNCTION("""COMPUTED_VALUE"""),0.8103188238888875)</f>
        <v>0.8103188239</v>
      </c>
      <c r="AE59" s="57">
        <f>IFERROR(__xludf.DUMMYFUNCTION("""COMPUTED_VALUE"""),0.5670658793879211)</f>
        <v>0.5670658794</v>
      </c>
      <c r="AF59" s="57">
        <f>IFERROR(__xludf.DUMMYFUNCTION("""COMPUTED_VALUE"""),1.0985597398917153)</f>
        <v>1.09855974</v>
      </c>
      <c r="AG59" s="57">
        <f>IFERROR(__xludf.DUMMYFUNCTION("""COMPUTED_VALUE"""),2.5859250786674686)</f>
        <v>2.585925079</v>
      </c>
      <c r="AH59" s="57">
        <f>IFERROR(__xludf.DUMMYFUNCTION("""COMPUTED_VALUE"""),1.0365562994719455)</f>
        <v>1.036556299</v>
      </c>
      <c r="AI59" s="57">
        <f>IFERROR(__xludf.DUMMYFUNCTION("""COMPUTED_VALUE"""),0.9872657235835084)</f>
        <v>0.9872657236</v>
      </c>
      <c r="AJ59" s="57">
        <f>IFERROR(__xludf.DUMMYFUNCTION("""COMPUTED_VALUE"""),1.1588474655751873)</f>
        <v>1.158847466</v>
      </c>
      <c r="AK59" s="57">
        <f>IFERROR(__xludf.DUMMYFUNCTION("""COMPUTED_VALUE"""),0.8062504509782875)</f>
        <v>0.806250451</v>
      </c>
      <c r="AL59" s="57">
        <f>IFERROR(__xludf.DUMMYFUNCTION("""COMPUTED_VALUE"""),1.1601264184907882)</f>
        <v>1.160126418</v>
      </c>
      <c r="AM59" s="57">
        <f>IFERROR(__xludf.DUMMYFUNCTION("""COMPUTED_VALUE"""),0.8652306053108639)</f>
        <v>0.8652306053</v>
      </c>
      <c r="AN59" s="57">
        <f>IFERROR(__xludf.DUMMYFUNCTION("""COMPUTED_VALUE"""),0.6910025201440213)</f>
        <v>0.6910025201</v>
      </c>
      <c r="AO59" s="57">
        <f>IFERROR(__xludf.DUMMYFUNCTION("""COMPUTED_VALUE"""),0.6696901715484622)</f>
        <v>0.6696901715</v>
      </c>
      <c r="AP59" s="35">
        <f>IFERROR(__xludf.DUMMYFUNCTION("""COMPUTED_VALUE"""),0.9694537132469553)</f>
        <v>0.9694537132</v>
      </c>
      <c r="AQ59" s="57">
        <f>IFERROR(__xludf.DUMMYFUNCTION("""COMPUTED_VALUE"""),0.8233425864567367)</f>
        <v>0.8233425865</v>
      </c>
      <c r="AR59" s="36" t="b">
        <f>IFERROR(__xludf.DUMMYFUNCTION("""COMPUTED_VALUE"""),TRUE)</f>
        <v>1</v>
      </c>
      <c r="AS59" s="57"/>
      <c r="AT59" s="37"/>
      <c r="AU59" s="30"/>
      <c r="AV59" s="30"/>
      <c r="AW59" s="30"/>
      <c r="AX59" s="30"/>
      <c r="AY59" s="30"/>
      <c r="AZ59" s="30"/>
    </row>
    <row r="60">
      <c r="A60" s="30" t="str">
        <f>IFERROR(__xludf.DUMMYFUNCTION("""COMPUTED_VALUE"""),"Challenger")</f>
        <v>Challenger</v>
      </c>
      <c r="B60" s="30" t="str">
        <f>IFERROR(__xludf.DUMMYFUNCTION("""COMPUTED_VALUE"""),"RSC006017")</f>
        <v>RSC006017</v>
      </c>
      <c r="C60" s="30" t="str">
        <f>IFERROR(__xludf.DUMMYFUNCTION("""COMPUTED_VALUE"""),"Dondo RF")</f>
        <v>Dondo RF</v>
      </c>
      <c r="D60" s="31" t="str">
        <f>IFERROR(__xludf.DUMMYFUNCTION("""COMPUTED_VALUE"""),"Ryujin")</f>
        <v>Ryujin</v>
      </c>
      <c r="E60" s="31">
        <f>IFERROR(__xludf.DUMMYFUNCTION("""COMPUTED_VALUE"""),73.61251384006648)</f>
        <v>73.61251384</v>
      </c>
      <c r="F60" s="31">
        <f>IFERROR(__xludf.DUMMYFUNCTION("""COMPUTED_VALUE"""),5.798548244491962)</f>
        <v>5.798548244</v>
      </c>
      <c r="G60" s="31">
        <f>IFERROR(__xludf.DUMMYFUNCTION("""COMPUTED_VALUE"""),67.116130372885)</f>
        <v>67.11613037</v>
      </c>
      <c r="H60" s="31">
        <f>IFERROR(__xludf.DUMMYFUNCTION("""COMPUTED_VALUE"""),4.052127970054449)</f>
        <v>4.05212797</v>
      </c>
      <c r="I60" s="54">
        <f>IFERROR(__xludf.DUMMYFUNCTION("""COMPUTED_VALUE"""),35.0)</f>
        <v>35</v>
      </c>
      <c r="J60" s="55">
        <f>IFERROR(__xludf.DUMMYFUNCTION("""COMPUTED_VALUE"""),24.0)</f>
        <v>24</v>
      </c>
      <c r="K60" s="54">
        <f>IFERROR(__xludf.DUMMYFUNCTION("""COMPUTED_VALUE"""),11.0)</f>
        <v>11</v>
      </c>
      <c r="L60" s="56">
        <f>IFERROR(__xludf.DUMMYFUNCTION("""COMPUTED_VALUE"""),0.6857142857142857)</f>
        <v>0.6857142857</v>
      </c>
      <c r="M60" s="56">
        <f>IFERROR(__xludf.DUMMYFUNCTION("""COMPUTED_VALUE"""),0.3297872340425532)</f>
        <v>0.329787234</v>
      </c>
      <c r="N60" s="31">
        <f>IFERROR(__xludf.DUMMYFUNCTION("""COMPUTED_VALUE"""),336.9714285714286)</f>
        <v>336.9714286</v>
      </c>
      <c r="O60" s="57">
        <f>IFERROR(__xludf.DUMMYFUNCTION("""COMPUTED_VALUE"""),0.8857142857142857)</f>
        <v>0.8857142857</v>
      </c>
      <c r="P60" s="57">
        <f>IFERROR(__xludf.DUMMYFUNCTION("""COMPUTED_VALUE"""),0.5714285714285714)</f>
        <v>0.5714285714</v>
      </c>
      <c r="Q60" s="57">
        <f>IFERROR(__xludf.DUMMYFUNCTION("""COMPUTED_VALUE"""),1.0571428571428572)</f>
        <v>1.057142857</v>
      </c>
      <c r="R60" s="57">
        <f>IFERROR(__xludf.DUMMYFUNCTION("""COMPUTED_VALUE"""),2.6857142857142855)</f>
        <v>2.685714286</v>
      </c>
      <c r="S60" s="31">
        <f>IFERROR(__xludf.DUMMYFUNCTION("""COMPUTED_VALUE"""),287.84761904761905)</f>
        <v>287.847619</v>
      </c>
      <c r="T60" s="57">
        <f>IFERROR(__xludf.DUMMYFUNCTION("""COMPUTED_VALUE"""),0.4952380952380952)</f>
        <v>0.4952380952</v>
      </c>
      <c r="U60" s="57">
        <f>IFERROR(__xludf.DUMMYFUNCTION("""COMPUTED_VALUE"""),0.37142857142857144)</f>
        <v>0.3714285714</v>
      </c>
      <c r="V60" s="57">
        <f>IFERROR(__xludf.DUMMYFUNCTION("""COMPUTED_VALUE"""),1.2000000000000002)</f>
        <v>1.2</v>
      </c>
      <c r="W60" s="57">
        <f>IFERROR(__xludf.DUMMYFUNCTION("""COMPUTED_VALUE"""),1.8952380952380956)</f>
        <v>1.895238095</v>
      </c>
      <c r="X60" s="31">
        <f>IFERROR(__xludf.DUMMYFUNCTION("""COMPUTED_VALUE"""),328.88645222255917)</f>
        <v>328.8864522</v>
      </c>
      <c r="Y60" s="57">
        <f>IFERROR(__xludf.DUMMYFUNCTION("""COMPUTED_VALUE"""),0.7646111997615974)</f>
        <v>0.7646111998</v>
      </c>
      <c r="Z60" s="57">
        <f>IFERROR(__xludf.DUMMYFUNCTION("""COMPUTED_VALUE"""),0.5224732341580925)</f>
        <v>0.5224732342</v>
      </c>
      <c r="AA60" s="57">
        <f>IFERROR(__xludf.DUMMYFUNCTION("""COMPUTED_VALUE"""),1.1322375754288652)</f>
        <v>1.132237575</v>
      </c>
      <c r="AB60" s="57">
        <f>IFERROR(__xludf.DUMMYFUNCTION("""COMPUTED_VALUE"""),2.3955252275474606)</f>
        <v>2.395525228</v>
      </c>
      <c r="AC60" s="31">
        <f>IFERROR(__xludf.DUMMYFUNCTION("""COMPUTED_VALUE"""),321.02067565118)</f>
        <v>321.0206757</v>
      </c>
      <c r="AD60" s="57">
        <f>IFERROR(__xludf.DUMMYFUNCTION("""COMPUTED_VALUE"""),0.7398756991213223)</f>
        <v>0.7398756991</v>
      </c>
      <c r="AE60" s="57">
        <f>IFERROR(__xludf.DUMMYFUNCTION("""COMPUTED_VALUE"""),0.49993915313104437)</f>
        <v>0.4999391531</v>
      </c>
      <c r="AF60" s="57">
        <f>IFERROR(__xludf.DUMMYFUNCTION("""COMPUTED_VALUE"""),1.164441435973247)</f>
        <v>1.164441436</v>
      </c>
      <c r="AG60" s="57">
        <f>IFERROR(__xludf.DUMMYFUNCTION("""COMPUTED_VALUE"""),2.3119061438979265)</f>
        <v>2.311906144</v>
      </c>
      <c r="AH60" s="57">
        <f>IFERROR(__xludf.DUMMYFUNCTION("""COMPUTED_VALUE"""),1.0496876186803015)</f>
        <v>1.049687619</v>
      </c>
      <c r="AI60" s="57">
        <f>IFERROR(__xludf.DUMMYFUNCTION("""COMPUTED_VALUE"""),1.197112280841446)</f>
        <v>1.197112281</v>
      </c>
      <c r="AJ60" s="57">
        <f>IFERROR(__xludf.DUMMYFUNCTION("""COMPUTED_VALUE"""),1.142996238341805)</f>
        <v>1.142996238</v>
      </c>
      <c r="AK60" s="57">
        <f>IFERROR(__xludf.DUMMYFUNCTION("""COMPUTED_VALUE"""),0.9078540358358951)</f>
        <v>0.9078540358</v>
      </c>
      <c r="AL60" s="57">
        <f>IFERROR(__xludf.DUMMYFUNCTION("""COMPUTED_VALUE"""),1.1616882860071949)</f>
        <v>1.161688286</v>
      </c>
      <c r="AM60" s="57">
        <f>IFERROR(__xludf.DUMMYFUNCTION("""COMPUTED_VALUE"""),0.875218839518604)</f>
        <v>0.8752188395</v>
      </c>
      <c r="AN60" s="57">
        <f>IFERROR(__xludf.DUMMYFUNCTION("""COMPUTED_VALUE"""),0.6476992429518537)</f>
        <v>0.647699243</v>
      </c>
      <c r="AO60" s="57">
        <f>IFERROR(__xludf.DUMMYFUNCTION("""COMPUTED_VALUE"""),0.71090449643241)</f>
        <v>0.7109044964</v>
      </c>
      <c r="AP60" s="35">
        <f>IFERROR(__xludf.DUMMYFUNCTION("""COMPUTED_VALUE"""),1.0598482386044008)</f>
        <v>1.059848239</v>
      </c>
      <c r="AQ60" s="57">
        <f>IFERROR(__xludf.DUMMYFUNCTION("""COMPUTED_VALUE"""),0.7911576440288383)</f>
        <v>0.791157644</v>
      </c>
      <c r="AR60" s="36" t="b">
        <f>IFERROR(__xludf.DUMMYFUNCTION("""COMPUTED_VALUE"""),TRUE)</f>
        <v>1</v>
      </c>
      <c r="AS60" s="57"/>
      <c r="AT60" s="37"/>
      <c r="AU60" s="30"/>
      <c r="AV60" s="30"/>
      <c r="AW60" s="30"/>
      <c r="AX60" s="30"/>
      <c r="AY60" s="30"/>
      <c r="AZ60" s="30"/>
    </row>
    <row r="61">
      <c r="A61" s="30" t="str">
        <f>IFERROR(__xludf.DUMMYFUNCTION("""COMPUTED_VALUE"""),"Challenger")</f>
        <v>Challenger</v>
      </c>
      <c r="B61" s="30" t="str">
        <f>IFERROR(__xludf.DUMMYFUNCTION("""COMPUTED_VALUE"""),"RSC006928")</f>
        <v>RSC006928</v>
      </c>
      <c r="C61" s="30" t="str">
        <f>IFERROR(__xludf.DUMMYFUNCTION("""COMPUTED_VALUE"""),"Thunderbolt")</f>
        <v>Thunderbolt</v>
      </c>
      <c r="D61" s="31" t="str">
        <f>IFERROR(__xludf.DUMMYFUNCTION("""COMPUTED_VALUE"""),"Havarti Hustlers")</f>
        <v>Havarti Hustlers</v>
      </c>
      <c r="E61" s="31">
        <f>IFERROR(__xludf.DUMMYFUNCTION("""COMPUTED_VALUE"""),73.25466965630255)</f>
        <v>73.25466966</v>
      </c>
      <c r="F61" s="31">
        <f>IFERROR(__xludf.DUMMYFUNCTION("""COMPUTED_VALUE"""),5.677392682668324)</f>
        <v>5.677392683</v>
      </c>
      <c r="G61" s="31">
        <f>IFERROR(__xludf.DUMMYFUNCTION("""COMPUTED_VALUE"""),71.26862827867332)</f>
        <v>71.26862828</v>
      </c>
      <c r="H61" s="31">
        <f>IFERROR(__xludf.DUMMYFUNCTION("""COMPUTED_VALUE"""),5.064432918162619)</f>
        <v>5.064432918</v>
      </c>
      <c r="I61" s="54">
        <f>IFERROR(__xludf.DUMMYFUNCTION("""COMPUTED_VALUE"""),28.0)</f>
        <v>28</v>
      </c>
      <c r="J61" s="55">
        <f>IFERROR(__xludf.DUMMYFUNCTION("""COMPUTED_VALUE"""),14.0)</f>
        <v>14</v>
      </c>
      <c r="K61" s="54">
        <f>IFERROR(__xludf.DUMMYFUNCTION("""COMPUTED_VALUE"""),14.0)</f>
        <v>14</v>
      </c>
      <c r="L61" s="56">
        <f>IFERROR(__xludf.DUMMYFUNCTION("""COMPUTED_VALUE"""),0.5)</f>
        <v>0.5</v>
      </c>
      <c r="M61" s="56">
        <f>IFERROR(__xludf.DUMMYFUNCTION("""COMPUTED_VALUE"""),0.19)</f>
        <v>0.19</v>
      </c>
      <c r="N61" s="31">
        <f>IFERROR(__xludf.DUMMYFUNCTION("""COMPUTED_VALUE"""),368.07142857142856)</f>
        <v>368.0714286</v>
      </c>
      <c r="O61" s="57">
        <f>IFERROR(__xludf.DUMMYFUNCTION("""COMPUTED_VALUE"""),0.6785714285714286)</f>
        <v>0.6785714286</v>
      </c>
      <c r="P61" s="57">
        <f>IFERROR(__xludf.DUMMYFUNCTION("""COMPUTED_VALUE"""),0.75)</f>
        <v>0.75</v>
      </c>
      <c r="Q61" s="57">
        <f>IFERROR(__xludf.DUMMYFUNCTION("""COMPUTED_VALUE"""),1.4285714285714286)</f>
        <v>1.428571429</v>
      </c>
      <c r="R61" s="57">
        <f>IFERROR(__xludf.DUMMYFUNCTION("""COMPUTED_VALUE"""),3.5714285714285716)</f>
        <v>3.571428571</v>
      </c>
      <c r="S61" s="31">
        <f>IFERROR(__xludf.DUMMYFUNCTION("""COMPUTED_VALUE"""),350.4166666666667)</f>
        <v>350.4166667</v>
      </c>
      <c r="T61" s="57">
        <f>IFERROR(__xludf.DUMMYFUNCTION("""COMPUTED_VALUE"""),0.7380952380952382)</f>
        <v>0.7380952381</v>
      </c>
      <c r="U61" s="57">
        <f>IFERROR(__xludf.DUMMYFUNCTION("""COMPUTED_VALUE"""),0.4761904761904763)</f>
        <v>0.4761904762</v>
      </c>
      <c r="V61" s="57">
        <f>IFERROR(__xludf.DUMMYFUNCTION("""COMPUTED_VALUE"""),1.5357142857142854)</f>
        <v>1.535714286</v>
      </c>
      <c r="W61" s="57">
        <f>IFERROR(__xludf.DUMMYFUNCTION("""COMPUTED_VALUE"""),2.2857142857142856)</f>
        <v>2.285714286</v>
      </c>
      <c r="X61" s="31">
        <f>IFERROR(__xludf.DUMMYFUNCTION("""COMPUTED_VALUE"""),332.235056851065)</f>
        <v>332.2350569</v>
      </c>
      <c r="Y61" s="57">
        <f>IFERROR(__xludf.DUMMYFUNCTION("""COMPUTED_VALUE"""),0.6955860728631128)</f>
        <v>0.6955860729</v>
      </c>
      <c r="Z61" s="57">
        <f>IFERROR(__xludf.DUMMYFUNCTION("""COMPUTED_VALUE"""),0.48928265245074215)</f>
        <v>0.4892826525</v>
      </c>
      <c r="AA61" s="57">
        <f>IFERROR(__xludf.DUMMYFUNCTION("""COMPUTED_VALUE"""),1.3061638806335873)</f>
        <v>1.306163881</v>
      </c>
      <c r="AB61" s="57">
        <f>IFERROR(__xludf.DUMMYFUNCTION("""COMPUTED_VALUE"""),2.3609242090825857)</f>
        <v>2.360924209</v>
      </c>
      <c r="AC61" s="31">
        <f>IFERROR(__xludf.DUMMYFUNCTION("""COMPUTED_VALUE"""),343.30086247753104)</f>
        <v>343.3008625</v>
      </c>
      <c r="AD61" s="57">
        <f>IFERROR(__xludf.DUMMYFUNCTION("""COMPUTED_VALUE"""),0.8116936826196335)</f>
        <v>0.8116936826</v>
      </c>
      <c r="AE61" s="57">
        <f>IFERROR(__xludf.DUMMYFUNCTION("""COMPUTED_VALUE"""),0.585422080559087)</f>
        <v>0.5854220806</v>
      </c>
      <c r="AF61" s="57">
        <f>IFERROR(__xludf.DUMMYFUNCTION("""COMPUTED_VALUE"""),1.1864403361749076)</f>
        <v>1.186440336</v>
      </c>
      <c r="AG61" s="57">
        <f>IFERROR(__xludf.DUMMYFUNCTION("""COMPUTED_VALUE"""),2.5748474111637107)</f>
        <v>2.574847411</v>
      </c>
      <c r="AH61" s="57">
        <f>IFERROR(__xludf.DUMMYFUNCTION("""COMPUTED_VALUE"""),1.0721541038817481)</f>
        <v>1.072154104</v>
      </c>
      <c r="AI61" s="57">
        <f>IFERROR(__xludf.DUMMYFUNCTION("""COMPUTED_VALUE"""),0.8359944682351469)</f>
        <v>0.8359944682</v>
      </c>
      <c r="AJ61" s="57">
        <f>IFERROR(__xludf.DUMMYFUNCTION("""COMPUTED_VALUE"""),1.2811269422631593)</f>
        <v>1.281126942</v>
      </c>
      <c r="AK61" s="57">
        <f>IFERROR(__xludf.DUMMYFUNCTION("""COMPUTED_VALUE"""),1.2040819795263817)</f>
        <v>1.20408198</v>
      </c>
      <c r="AL61" s="57">
        <f>IFERROR(__xludf.DUMMYFUNCTION("""COMPUTED_VALUE"""),1.3870447452318941)</f>
        <v>1.387044745</v>
      </c>
      <c r="AM61" s="57">
        <f>IFERROR(__xludf.DUMMYFUNCTION("""COMPUTED_VALUE"""),1.054725139447738)</f>
        <v>1.054725139</v>
      </c>
      <c r="AN61" s="57">
        <f>IFERROR(__xludf.DUMMYFUNCTION("""COMPUTED_VALUE"""),1.061112731968817)</f>
        <v>1.061112732</v>
      </c>
      <c r="AO61" s="57">
        <f>IFERROR(__xludf.DUMMYFUNCTION("""COMPUTED_VALUE"""),0.9732421000526196)</f>
        <v>0.9732421001</v>
      </c>
      <c r="AP61" s="35">
        <f>IFERROR(__xludf.DUMMYFUNCTION("""COMPUTED_VALUE"""),1.1757439540965937)</f>
        <v>1.175743954</v>
      </c>
      <c r="AQ61" s="57">
        <f>IFERROR(__xludf.DUMMYFUNCTION("""COMPUTED_VALUE"""),0.9681438637127935)</f>
        <v>0.9681438637</v>
      </c>
      <c r="AR61" s="36" t="b">
        <f>IFERROR(__xludf.DUMMYFUNCTION("""COMPUTED_VALUE"""),TRUE)</f>
        <v>1</v>
      </c>
      <c r="AS61" s="57"/>
      <c r="AT61" s="37"/>
      <c r="AU61" s="30"/>
      <c r="AV61" s="30"/>
      <c r="AW61" s="30"/>
      <c r="AX61" s="30"/>
      <c r="AY61" s="30"/>
      <c r="AZ61" s="30"/>
    </row>
    <row r="62">
      <c r="A62" s="30" t="str">
        <f>IFERROR(__xludf.DUMMYFUNCTION("""COMPUTED_VALUE"""),"Challenger")</f>
        <v>Challenger</v>
      </c>
      <c r="B62" s="30" t="str">
        <f>IFERROR(__xludf.DUMMYFUNCTION("""COMPUTED_VALUE"""),"RSC003450")</f>
        <v>RSC003450</v>
      </c>
      <c r="C62" s="30" t="str">
        <f>IFERROR(__xludf.DUMMYFUNCTION("""COMPUTED_VALUE"""),"ChronoElevated")</f>
        <v>ChronoElevated</v>
      </c>
      <c r="D62" s="31" t="str">
        <f>IFERROR(__xludf.DUMMYFUNCTION("""COMPUTED_VALUE"""),"Mugged")</f>
        <v>Mugged</v>
      </c>
      <c r="E62" s="31">
        <f>IFERROR(__xludf.DUMMYFUNCTION("""COMPUTED_VALUE"""),73.1015462777133)</f>
        <v>73.10154628</v>
      </c>
      <c r="F62" s="31">
        <f>IFERROR(__xludf.DUMMYFUNCTION("""COMPUTED_VALUE"""),5.626605295003148)</f>
        <v>5.626605295</v>
      </c>
      <c r="G62" s="31">
        <f>IFERROR(__xludf.DUMMYFUNCTION("""COMPUTED_VALUE"""),54.13763663810145)</f>
        <v>54.13763664</v>
      </c>
      <c r="H62" s="31">
        <f>IFERROR(__xludf.DUMMYFUNCTION("""COMPUTED_VALUE"""),2.3026986003354937)</f>
        <v>2.3026986</v>
      </c>
      <c r="I62" s="54">
        <f>IFERROR(__xludf.DUMMYFUNCTION("""COMPUTED_VALUE"""),22.0)</f>
        <v>22</v>
      </c>
      <c r="J62" s="55">
        <f>IFERROR(__xludf.DUMMYFUNCTION("""COMPUTED_VALUE"""),13.0)</f>
        <v>13</v>
      </c>
      <c r="K62" s="54">
        <f>IFERROR(__xludf.DUMMYFUNCTION("""COMPUTED_VALUE"""),9.0)</f>
        <v>9</v>
      </c>
      <c r="L62" s="56">
        <f>IFERROR(__xludf.DUMMYFUNCTION("""COMPUTED_VALUE"""),0.5909090909090909)</f>
        <v>0.5909090909</v>
      </c>
      <c r="M62" s="56">
        <f>IFERROR(__xludf.DUMMYFUNCTION("""COMPUTED_VALUE"""),0.32786885245901637)</f>
        <v>0.3278688525</v>
      </c>
      <c r="N62" s="31">
        <f>IFERROR(__xludf.DUMMYFUNCTION("""COMPUTED_VALUE"""),349.3636363636364)</f>
        <v>349.3636364</v>
      </c>
      <c r="O62" s="57">
        <f>IFERROR(__xludf.DUMMYFUNCTION("""COMPUTED_VALUE"""),0.9090909090909091)</f>
        <v>0.9090909091</v>
      </c>
      <c r="P62" s="57">
        <f>IFERROR(__xludf.DUMMYFUNCTION("""COMPUTED_VALUE"""),0.8181818181818182)</f>
        <v>0.8181818182</v>
      </c>
      <c r="Q62" s="57">
        <f>IFERROR(__xludf.DUMMYFUNCTION("""COMPUTED_VALUE"""),1.2272727272727273)</f>
        <v>1.227272727</v>
      </c>
      <c r="R62" s="57">
        <f>IFERROR(__xludf.DUMMYFUNCTION("""COMPUTED_VALUE"""),2.772727272727273)</f>
        <v>2.772727273</v>
      </c>
      <c r="S62" s="31">
        <f>IFERROR(__xludf.DUMMYFUNCTION("""COMPUTED_VALUE"""),350.25757575757575)</f>
        <v>350.2575758</v>
      </c>
      <c r="T62" s="57">
        <f>IFERROR(__xludf.DUMMYFUNCTION("""COMPUTED_VALUE"""),0.9090909090909091)</f>
        <v>0.9090909091</v>
      </c>
      <c r="U62" s="57">
        <f>IFERROR(__xludf.DUMMYFUNCTION("""COMPUTED_VALUE"""),0.6212121212121212)</f>
        <v>0.6212121212</v>
      </c>
      <c r="V62" s="57">
        <f>IFERROR(__xludf.DUMMYFUNCTION("""COMPUTED_VALUE"""),1.1818181818181817)</f>
        <v>1.181818182</v>
      </c>
      <c r="W62" s="57">
        <f>IFERROR(__xludf.DUMMYFUNCTION("""COMPUTED_VALUE"""),2.7121212121212115)</f>
        <v>2.712121212</v>
      </c>
      <c r="X62" s="31">
        <f>IFERROR(__xludf.DUMMYFUNCTION("""COMPUTED_VALUE"""),332.7833549906983)</f>
        <v>332.783355</v>
      </c>
      <c r="Y62" s="57">
        <f>IFERROR(__xludf.DUMMYFUNCTION("""COMPUTED_VALUE"""),0.7784393819725731)</f>
        <v>0.778439382</v>
      </c>
      <c r="Z62" s="57">
        <f>IFERROR(__xludf.DUMMYFUNCTION("""COMPUTED_VALUE"""),0.5221006342184417)</f>
        <v>0.5221006342</v>
      </c>
      <c r="AA62" s="57">
        <f>IFERROR(__xludf.DUMMYFUNCTION("""COMPUTED_VALUE"""),1.2017265750608426)</f>
        <v>1.201726575</v>
      </c>
      <c r="AB62" s="57">
        <f>IFERROR(__xludf.DUMMYFUNCTION("""COMPUTED_VALUE"""),2.4799546725374686)</f>
        <v>2.479954673</v>
      </c>
      <c r="AC62" s="31">
        <f>IFERROR(__xludf.DUMMYFUNCTION("""COMPUTED_VALUE"""),336.3243491830045)</f>
        <v>336.3243492</v>
      </c>
      <c r="AD62" s="57">
        <f>IFERROR(__xludf.DUMMYFUNCTION("""COMPUTED_VALUE"""),0.7332482196235831)</f>
        <v>0.7332482196</v>
      </c>
      <c r="AE62" s="57">
        <f>IFERROR(__xludf.DUMMYFUNCTION("""COMPUTED_VALUE"""),0.5297485792774496)</f>
        <v>0.5297485793</v>
      </c>
      <c r="AF62" s="57">
        <f>IFERROR(__xludf.DUMMYFUNCTION("""COMPUTED_VALUE"""),1.2894824283682504)</f>
        <v>1.289482428</v>
      </c>
      <c r="AG62" s="57">
        <f>IFERROR(__xludf.DUMMYFUNCTION("""COMPUTED_VALUE"""),2.3633373265015294)</f>
        <v>2.363337327</v>
      </c>
      <c r="AH62" s="57">
        <f>IFERROR(__xludf.DUMMYFUNCTION("""COMPUTED_VALUE"""),1.0387699766975147)</f>
        <v>1.038769977</v>
      </c>
      <c r="AI62" s="57">
        <f>IFERROR(__xludf.DUMMYFUNCTION("""COMPUTED_VALUE"""),1.239813319366252)</f>
        <v>1.239813319</v>
      </c>
      <c r="AJ62" s="57">
        <f>IFERROR(__xludf.DUMMYFUNCTION("""COMPUTED_VALUE"""),1.5444719442150787)</f>
        <v>1.544471944</v>
      </c>
      <c r="AK62" s="57">
        <f>IFERROR(__xludf.DUMMYFUNCTION("""COMPUTED_VALUE"""),0.9517560691585033)</f>
        <v>0.9517560692</v>
      </c>
      <c r="AL62" s="57">
        <f>IFERROR(__xludf.DUMMYFUNCTION("""COMPUTED_VALUE"""),1.1732253545166857)</f>
        <v>1.173225355</v>
      </c>
      <c r="AM62" s="57">
        <f>IFERROR(__xludf.DUMMYFUNCTION("""COMPUTED_VALUE"""),1.0525092992327272)</f>
        <v>1.052509299</v>
      </c>
      <c r="AN62" s="57">
        <f>IFERROR(__xludf.DUMMYFUNCTION("""COMPUTED_VALUE"""),1.167837766361799)</f>
        <v>1.167837766</v>
      </c>
      <c r="AO62" s="57">
        <f>IFERROR(__xludf.DUMMYFUNCTION("""COMPUTED_VALUE"""),1.189832152075518)</f>
        <v>1.189832152</v>
      </c>
      <c r="AP62" s="35">
        <f>IFERROR(__xludf.DUMMYFUNCTION("""COMPUTED_VALUE"""),0.9834335083738553)</f>
        <v>0.9834335084</v>
      </c>
      <c r="AQ62" s="57">
        <f>IFERROR(__xludf.DUMMYFUNCTION("""COMPUTED_VALUE"""),1.0936172512162055)</f>
        <v>1.093617251</v>
      </c>
      <c r="AR62" s="36" t="b">
        <f>IFERROR(__xludf.DUMMYFUNCTION("""COMPUTED_VALUE"""),TRUE)</f>
        <v>1</v>
      </c>
      <c r="AS62" s="57"/>
      <c r="AT62" s="37"/>
      <c r="AU62" s="30"/>
      <c r="AV62" s="30"/>
      <c r="AW62" s="30"/>
      <c r="AX62" s="30"/>
      <c r="AY62" s="30"/>
      <c r="AZ62" s="30"/>
    </row>
    <row r="63">
      <c r="A63" s="30" t="str">
        <f>IFERROR(__xludf.DUMMYFUNCTION("""COMPUTED_VALUE"""),"Challenger")</f>
        <v>Challenger</v>
      </c>
      <c r="B63" s="30" t="str">
        <f>IFERROR(__xludf.DUMMYFUNCTION("""COMPUTED_VALUE"""),"RSC006322")</f>
        <v>RSC006322</v>
      </c>
      <c r="C63" s="30" t="str">
        <f>IFERROR(__xludf.DUMMYFUNCTION("""COMPUTED_VALUE"""),"Lorak")</f>
        <v>Lorak</v>
      </c>
      <c r="D63" s="31" t="str">
        <f>IFERROR(__xludf.DUMMYFUNCTION("""COMPUTED_VALUE"""),"Deceased")</f>
        <v>Deceased</v>
      </c>
      <c r="E63" s="31">
        <f>IFERROR(__xludf.DUMMYFUNCTION("""COMPUTED_VALUE"""),73.0401761355952)</f>
        <v>73.04017614</v>
      </c>
      <c r="F63" s="31">
        <f>IFERROR(__xludf.DUMMYFUNCTION("""COMPUTED_VALUE"""),5.606424793920556)</f>
        <v>5.606424794</v>
      </c>
      <c r="G63" s="31">
        <f>IFERROR(__xludf.DUMMYFUNCTION("""COMPUTED_VALUE"""),64.09724208179063)</f>
        <v>64.09724208</v>
      </c>
      <c r="H63" s="31">
        <f>IFERROR(__xludf.DUMMYFUNCTION("""COMPUTED_VALUE"""),3.4914420553442036)</f>
        <v>3.491442055</v>
      </c>
      <c r="I63" s="54">
        <f>IFERROR(__xludf.DUMMYFUNCTION("""COMPUTED_VALUE"""),30.0)</f>
        <v>30</v>
      </c>
      <c r="J63" s="55">
        <f>IFERROR(__xludf.DUMMYFUNCTION("""COMPUTED_VALUE"""),20.0)</f>
        <v>20</v>
      </c>
      <c r="K63" s="54">
        <f>IFERROR(__xludf.DUMMYFUNCTION("""COMPUTED_VALUE"""),10.0)</f>
        <v>10</v>
      </c>
      <c r="L63" s="56">
        <f>IFERROR(__xludf.DUMMYFUNCTION("""COMPUTED_VALUE"""),0.6666666666666666)</f>
        <v>0.6666666667</v>
      </c>
      <c r="M63" s="56">
        <f>IFERROR(__xludf.DUMMYFUNCTION("""COMPUTED_VALUE"""),0.33333333333333337)</f>
        <v>0.3333333333</v>
      </c>
      <c r="N63" s="31">
        <f>IFERROR(__xludf.DUMMYFUNCTION("""COMPUTED_VALUE"""),369.2)</f>
        <v>369.2</v>
      </c>
      <c r="O63" s="57">
        <f>IFERROR(__xludf.DUMMYFUNCTION("""COMPUTED_VALUE"""),0.9333333333333333)</f>
        <v>0.9333333333</v>
      </c>
      <c r="P63" s="57">
        <f>IFERROR(__xludf.DUMMYFUNCTION("""COMPUTED_VALUE"""),0.6333333333333333)</f>
        <v>0.6333333333</v>
      </c>
      <c r="Q63" s="57">
        <f>IFERROR(__xludf.DUMMYFUNCTION("""COMPUTED_VALUE"""),1.4666666666666666)</f>
        <v>1.466666667</v>
      </c>
      <c r="R63" s="57">
        <f>IFERROR(__xludf.DUMMYFUNCTION("""COMPUTED_VALUE"""),2.8)</f>
        <v>2.8</v>
      </c>
      <c r="S63" s="31">
        <f>IFERROR(__xludf.DUMMYFUNCTION("""COMPUTED_VALUE"""),299.62222222222226)</f>
        <v>299.6222222</v>
      </c>
      <c r="T63" s="57">
        <f>IFERROR(__xludf.DUMMYFUNCTION("""COMPUTED_VALUE"""),0.45555555555555555)</f>
        <v>0.4555555556</v>
      </c>
      <c r="U63" s="57">
        <f>IFERROR(__xludf.DUMMYFUNCTION("""COMPUTED_VALUE"""),0.34444444444444444)</f>
        <v>0.3444444444</v>
      </c>
      <c r="V63" s="57">
        <f>IFERROR(__xludf.DUMMYFUNCTION("""COMPUTED_VALUE"""),1.3666666666666671)</f>
        <v>1.366666667</v>
      </c>
      <c r="W63" s="57">
        <f>IFERROR(__xludf.DUMMYFUNCTION("""COMPUTED_VALUE"""),2.055555555555556)</f>
        <v>2.055555556</v>
      </c>
      <c r="X63" s="31">
        <f>IFERROR(__xludf.DUMMYFUNCTION("""COMPUTED_VALUE"""),324.6038491655275)</f>
        <v>324.6038492</v>
      </c>
      <c r="Y63" s="57">
        <f>IFERROR(__xludf.DUMMYFUNCTION("""COMPUTED_VALUE"""),0.7113548037859394)</f>
        <v>0.7113548038</v>
      </c>
      <c r="Z63" s="57">
        <f>IFERROR(__xludf.DUMMYFUNCTION("""COMPUTED_VALUE"""),0.46198205974670187)</f>
        <v>0.4619820597</v>
      </c>
      <c r="AA63" s="57">
        <f>IFERROR(__xludf.DUMMYFUNCTION("""COMPUTED_VALUE"""),1.2685948583443825)</f>
        <v>1.268594858</v>
      </c>
      <c r="AB63" s="57">
        <f>IFERROR(__xludf.DUMMYFUNCTION("""COMPUTED_VALUE"""),2.228052841789624)</f>
        <v>2.228052842</v>
      </c>
      <c r="AC63" s="31">
        <f>IFERROR(__xludf.DUMMYFUNCTION("""COMPUTED_VALUE"""),346.2328439564087)</f>
        <v>346.232844</v>
      </c>
      <c r="AD63" s="57">
        <f>IFERROR(__xludf.DUMMYFUNCTION("""COMPUTED_VALUE"""),0.860238236594403)</f>
        <v>0.8602382366</v>
      </c>
      <c r="AE63" s="57">
        <f>IFERROR(__xludf.DUMMYFUNCTION("""COMPUTED_VALUE"""),0.6073124013260148)</f>
        <v>0.6073124013</v>
      </c>
      <c r="AF63" s="57">
        <f>IFERROR(__xludf.DUMMYFUNCTION("""COMPUTED_VALUE"""),1.1471215858498938)</f>
        <v>1.147121586</v>
      </c>
      <c r="AG63" s="57">
        <f>IFERROR(__xludf.DUMMYFUNCTION("""COMPUTED_VALUE"""),2.6367994432763124)</f>
        <v>2.636799443</v>
      </c>
      <c r="AH63" s="57">
        <f>IFERROR(__xludf.DUMMYFUNCTION("""COMPUTED_VALUE"""),1.0663344233353058)</f>
        <v>1.066334423</v>
      </c>
      <c r="AI63" s="57">
        <f>IFERROR(__xludf.DUMMYFUNCTION("""COMPUTED_VALUE"""),1.0849707599935414)</f>
        <v>1.08497076</v>
      </c>
      <c r="AJ63" s="57">
        <f>IFERROR(__xludf.DUMMYFUNCTION("""COMPUTED_VALUE"""),1.0428460409346227)</f>
        <v>1.042846041</v>
      </c>
      <c r="AK63" s="57">
        <f>IFERROR(__xludf.DUMMYFUNCTION("""COMPUTED_VALUE"""),1.2785625209728961)</f>
        <v>1.278562521</v>
      </c>
      <c r="AL63" s="57">
        <f>IFERROR(__xludf.DUMMYFUNCTION("""COMPUTED_VALUE"""),1.0618934280875398)</f>
        <v>1.061893428</v>
      </c>
      <c r="AM63" s="57">
        <f>IFERROR(__xludf.DUMMYFUNCTION("""COMPUTED_VALUE"""),0.9230396466107025)</f>
        <v>0.9230396466</v>
      </c>
      <c r="AN63" s="57">
        <f>IFERROR(__xludf.DUMMYFUNCTION("""COMPUTED_VALUE"""),0.640405537617823)</f>
        <v>0.6404055376</v>
      </c>
      <c r="AO63" s="57">
        <f>IFERROR(__xludf.DUMMYFUNCTION("""COMPUTED_VALUE"""),0.7455796976906385)</f>
        <v>0.7455796977</v>
      </c>
      <c r="AP63" s="35">
        <f>IFERROR(__xludf.DUMMYFUNCTION("""COMPUTED_VALUE"""),1.0773074300886543)</f>
        <v>1.07730743</v>
      </c>
      <c r="AQ63" s="57">
        <f>IFERROR(__xludf.DUMMYFUNCTION("""COMPUTED_VALUE"""),0.9225793558399116)</f>
        <v>0.9225793558</v>
      </c>
      <c r="AR63" s="36" t="b">
        <f>IFERROR(__xludf.DUMMYFUNCTION("""COMPUTED_VALUE"""),TRUE)</f>
        <v>1</v>
      </c>
      <c r="AS63" s="57"/>
      <c r="AT63" s="37"/>
      <c r="AU63" s="30"/>
      <c r="AV63" s="30"/>
      <c r="AW63" s="30"/>
      <c r="AX63" s="30"/>
      <c r="AY63" s="30"/>
      <c r="AZ63" s="30"/>
    </row>
    <row r="64">
      <c r="A64" s="30" t="str">
        <f>IFERROR(__xludf.DUMMYFUNCTION("""COMPUTED_VALUE"""),"Challenger")</f>
        <v>Challenger</v>
      </c>
      <c r="B64" s="30" t="str">
        <f>IFERROR(__xludf.DUMMYFUNCTION("""COMPUTED_VALUE"""),"RSC004679")</f>
        <v>RSC004679</v>
      </c>
      <c r="C64" s="30" t="str">
        <f>IFERROR(__xludf.DUMMYFUNCTION("""COMPUTED_VALUE"""),"master_ibk810")</f>
        <v>master_ibk810</v>
      </c>
      <c r="D64" s="31" t="str">
        <f>IFERROR(__xludf.DUMMYFUNCTION("""COMPUTED_VALUE"""),"Squalls")</f>
        <v>Squalls</v>
      </c>
      <c r="E64" s="31">
        <f>IFERROR(__xludf.DUMMYFUNCTION("""COMPUTED_VALUE"""),71.5363806867456)</f>
        <v>71.53638069</v>
      </c>
      <c r="F64" s="31">
        <f>IFERROR(__xludf.DUMMYFUNCTION("""COMPUTED_VALUE"""),5.14155510950748)</f>
        <v>5.14155511</v>
      </c>
      <c r="G64" s="31">
        <f>IFERROR(__xludf.DUMMYFUNCTION("""COMPUTED_VALUE"""),57.85795860258267)</f>
        <v>57.8579586</v>
      </c>
      <c r="H64" s="31">
        <f>IFERROR(__xludf.DUMMYFUNCTION("""COMPUTED_VALUE"""),2.6550578081909975)</f>
        <v>2.655057808</v>
      </c>
      <c r="I64" s="54">
        <f>IFERROR(__xludf.DUMMYFUNCTION("""COMPUTED_VALUE"""),27.0)</f>
        <v>27</v>
      </c>
      <c r="J64" s="55">
        <f>IFERROR(__xludf.DUMMYFUNCTION("""COMPUTED_VALUE"""),17.0)</f>
        <v>17</v>
      </c>
      <c r="K64" s="54">
        <f>IFERROR(__xludf.DUMMYFUNCTION("""COMPUTED_VALUE"""),10.0)</f>
        <v>10</v>
      </c>
      <c r="L64" s="56">
        <f>IFERROR(__xludf.DUMMYFUNCTION("""COMPUTED_VALUE"""),0.6296296296296297)</f>
        <v>0.6296296296</v>
      </c>
      <c r="M64" s="56">
        <f>IFERROR(__xludf.DUMMYFUNCTION("""COMPUTED_VALUE"""),0.3466666666666667)</f>
        <v>0.3466666667</v>
      </c>
      <c r="N64" s="31">
        <f>IFERROR(__xludf.DUMMYFUNCTION("""COMPUTED_VALUE"""),315.6296296296296)</f>
        <v>315.6296296</v>
      </c>
      <c r="O64" s="57">
        <f>IFERROR(__xludf.DUMMYFUNCTION("""COMPUTED_VALUE"""),0.9629629629629629)</f>
        <v>0.962962963</v>
      </c>
      <c r="P64" s="57">
        <f>IFERROR(__xludf.DUMMYFUNCTION("""COMPUTED_VALUE"""),0.4074074074074074)</f>
        <v>0.4074074074</v>
      </c>
      <c r="Q64" s="57">
        <f>IFERROR(__xludf.DUMMYFUNCTION("""COMPUTED_VALUE"""),0.6296296296296297)</f>
        <v>0.6296296296</v>
      </c>
      <c r="R64" s="57">
        <f>IFERROR(__xludf.DUMMYFUNCTION("""COMPUTED_VALUE"""),2.7777777777777777)</f>
        <v>2.777777778</v>
      </c>
      <c r="S64" s="31">
        <f>IFERROR(__xludf.DUMMYFUNCTION("""COMPUTED_VALUE"""),295.4197530864197)</f>
        <v>295.4197531</v>
      </c>
      <c r="T64" s="57">
        <f>IFERROR(__xludf.DUMMYFUNCTION("""COMPUTED_VALUE"""),0.5925925925925926)</f>
        <v>0.5925925926</v>
      </c>
      <c r="U64" s="57">
        <f>IFERROR(__xludf.DUMMYFUNCTION("""COMPUTED_VALUE"""),0.3827160493827161)</f>
        <v>0.3827160494</v>
      </c>
      <c r="V64" s="57">
        <f>IFERROR(__xludf.DUMMYFUNCTION("""COMPUTED_VALUE"""),1.2962962962962965)</f>
        <v>1.296296296</v>
      </c>
      <c r="W64" s="57">
        <f>IFERROR(__xludf.DUMMYFUNCTION("""COMPUTED_VALUE"""),2.024691358024692)</f>
        <v>2.024691358</v>
      </c>
      <c r="X64" s="31">
        <f>IFERROR(__xludf.DUMMYFUNCTION("""COMPUTED_VALUE"""),341.9339363012246)</f>
        <v>341.9339363</v>
      </c>
      <c r="Y64" s="57">
        <f>IFERROR(__xludf.DUMMYFUNCTION("""COMPUTED_VALUE"""),0.8617255438406943)</f>
        <v>0.8617255438</v>
      </c>
      <c r="Z64" s="57">
        <f>IFERROR(__xludf.DUMMYFUNCTION("""COMPUTED_VALUE"""),0.5742580393666616)</f>
        <v>0.5742580394</v>
      </c>
      <c r="AA64" s="57">
        <f>IFERROR(__xludf.DUMMYFUNCTION("""COMPUTED_VALUE"""),1.150418570549384)</f>
        <v>1.150418571</v>
      </c>
      <c r="AB64" s="57">
        <f>IFERROR(__xludf.DUMMYFUNCTION("""COMPUTED_VALUE"""),2.5326253843951347)</f>
        <v>2.532625384</v>
      </c>
      <c r="AC64" s="31">
        <f>IFERROR(__xludf.DUMMYFUNCTION("""COMPUTED_VALUE"""),316.4509995473917)</f>
        <v>316.4509995</v>
      </c>
      <c r="AD64" s="57">
        <f>IFERROR(__xludf.DUMMYFUNCTION("""COMPUTED_VALUE"""),0.6839035424431236)</f>
        <v>0.6839035424</v>
      </c>
      <c r="AE64" s="57">
        <f>IFERROR(__xludf.DUMMYFUNCTION("""COMPUTED_VALUE"""),0.45822310536307154)</f>
        <v>0.4582231054</v>
      </c>
      <c r="AF64" s="57">
        <f>IFERROR(__xludf.DUMMYFUNCTION("""COMPUTED_VALUE"""),1.1994344405505422)</f>
        <v>1.199434441</v>
      </c>
      <c r="AG64" s="57">
        <f>IFERROR(__xludf.DUMMYFUNCTION("""COMPUTED_VALUE"""),2.242487403504324)</f>
        <v>2.242487404</v>
      </c>
      <c r="AH64" s="57">
        <f>IFERROR(__xludf.DUMMYFUNCTION("""COMPUTED_VALUE"""),0.9974044325379384)</f>
        <v>0.9974044325</v>
      </c>
      <c r="AI64" s="57">
        <f>IFERROR(__xludf.DUMMYFUNCTION("""COMPUTED_VALUE"""),1.4080391505546956)</f>
        <v>1.408039151</v>
      </c>
      <c r="AJ64" s="57">
        <f>IFERROR(__xludf.DUMMYFUNCTION("""COMPUTED_VALUE"""),0.8891027157711733)</f>
        <v>0.8891027158</v>
      </c>
      <c r="AK64" s="57">
        <f>IFERROR(__xludf.DUMMYFUNCTION("""COMPUTED_VALUE"""),0.5249387614221155)</f>
        <v>0.5249387614</v>
      </c>
      <c r="AL64" s="57">
        <f>IFERROR(__xludf.DUMMYFUNCTION("""COMPUTED_VALUE"""),1.2387038488764566)</f>
        <v>1.238703849</v>
      </c>
      <c r="AM64" s="57">
        <f>IFERROR(__xludf.DUMMYFUNCTION("""COMPUTED_VALUE"""),0.8639673390773692)</f>
        <v>0.8639673391</v>
      </c>
      <c r="AN64" s="57">
        <f>IFERROR(__xludf.DUMMYFUNCTION("""COMPUTED_VALUE"""),0.6876813584420611)</f>
        <v>0.6876813584</v>
      </c>
      <c r="AO64" s="57">
        <f>IFERROR(__xludf.DUMMYFUNCTION("""COMPUTED_VALUE"""),0.666453097991987)</f>
        <v>0.666453098</v>
      </c>
      <c r="AP64" s="35">
        <f>IFERROR(__xludf.DUMMYFUNCTION("""COMPUTED_VALUE"""),1.1268040428774098)</f>
        <v>1.126804043</v>
      </c>
      <c r="AQ64" s="57">
        <f>IFERROR(__xludf.DUMMYFUNCTION("""COMPUTED_VALUE"""),0.799443680261559)</f>
        <v>0.7994436803</v>
      </c>
      <c r="AR64" s="36" t="b">
        <f>IFERROR(__xludf.DUMMYFUNCTION("""COMPUTED_VALUE"""),TRUE)</f>
        <v>1</v>
      </c>
      <c r="AS64" s="57"/>
      <c r="AT64" s="37"/>
      <c r="AU64" s="30"/>
      <c r="AV64" s="30"/>
      <c r="AW64" s="30"/>
      <c r="AX64" s="30"/>
      <c r="AY64" s="30"/>
      <c r="AZ64" s="30"/>
    </row>
    <row r="65">
      <c r="A65" s="30" t="str">
        <f>IFERROR(__xludf.DUMMYFUNCTION("""COMPUTED_VALUE"""),"Challenger")</f>
        <v>Challenger</v>
      </c>
      <c r="B65" s="30" t="str">
        <f>IFERROR(__xludf.DUMMYFUNCTION("""COMPUTED_VALUE"""),"RSC004618")</f>
        <v>RSC004618</v>
      </c>
      <c r="C65" s="30" t="str">
        <f>IFERROR(__xludf.DUMMYFUNCTION("""COMPUTED_VALUE"""),"Squirrel")</f>
        <v>Squirrel</v>
      </c>
      <c r="D65" s="31" t="str">
        <f>IFERROR(__xludf.DUMMYFUNCTION("""COMPUTED_VALUE"""),"Mugged")</f>
        <v>Mugged</v>
      </c>
      <c r="E65" s="31">
        <f>IFERROR(__xludf.DUMMYFUNCTION("""COMPUTED_VALUE"""),70.43009944604093)</f>
        <v>70.43009945</v>
      </c>
      <c r="F65" s="31">
        <f>IFERROR(__xludf.DUMMYFUNCTION("""COMPUTED_VALUE"""),4.833114143309306)</f>
        <v>4.833114143</v>
      </c>
      <c r="G65" s="31">
        <f>IFERROR(__xludf.DUMMYFUNCTION("""COMPUTED_VALUE"""),60.44681367903303)</f>
        <v>60.44681368</v>
      </c>
      <c r="H65" s="31">
        <f>IFERROR(__xludf.DUMMYFUNCTION("""COMPUTED_VALUE"""),2.9584034921294635)</f>
        <v>2.958403492</v>
      </c>
      <c r="I65" s="54">
        <f>IFERROR(__xludf.DUMMYFUNCTION("""COMPUTED_VALUE"""),11.0)</f>
        <v>11</v>
      </c>
      <c r="J65" s="55">
        <f>IFERROR(__xludf.DUMMYFUNCTION("""COMPUTED_VALUE"""),6.0)</f>
        <v>6</v>
      </c>
      <c r="K65" s="54">
        <f>IFERROR(__xludf.DUMMYFUNCTION("""COMPUTED_VALUE"""),5.0)</f>
        <v>5</v>
      </c>
      <c r="L65" s="56">
        <f>IFERROR(__xludf.DUMMYFUNCTION("""COMPUTED_VALUE"""),0.5454545454545454)</f>
        <v>0.5454545455</v>
      </c>
      <c r="M65" s="56">
        <f>IFERROR(__xludf.DUMMYFUNCTION("""COMPUTED_VALUE"""),0.43478260869565216)</f>
        <v>0.4347826087</v>
      </c>
      <c r="N65" s="31">
        <f>IFERROR(__xludf.DUMMYFUNCTION("""COMPUTED_VALUE"""),441.3636363636364)</f>
        <v>441.3636364</v>
      </c>
      <c r="O65" s="57">
        <f>IFERROR(__xludf.DUMMYFUNCTION("""COMPUTED_VALUE"""),0.9090909090909091)</f>
        <v>0.9090909091</v>
      </c>
      <c r="P65" s="57">
        <f>IFERROR(__xludf.DUMMYFUNCTION("""COMPUTED_VALUE"""),0.5454545454545454)</f>
        <v>0.5454545455</v>
      </c>
      <c r="Q65" s="57">
        <f>IFERROR(__xludf.DUMMYFUNCTION("""COMPUTED_VALUE"""),2.0)</f>
        <v>2</v>
      </c>
      <c r="R65" s="57">
        <f>IFERROR(__xludf.DUMMYFUNCTION("""COMPUTED_VALUE"""),2.090909090909091)</f>
        <v>2.090909091</v>
      </c>
      <c r="S65" s="31">
        <f>IFERROR(__xludf.DUMMYFUNCTION("""COMPUTED_VALUE"""),332.09090909090907)</f>
        <v>332.0909091</v>
      </c>
      <c r="T65" s="57">
        <f>IFERROR(__xludf.DUMMYFUNCTION("""COMPUTED_VALUE"""),0.7575757575757575)</f>
        <v>0.7575757576</v>
      </c>
      <c r="U65" s="57">
        <f>IFERROR(__xludf.DUMMYFUNCTION("""COMPUTED_VALUE"""),0.42424242424242425)</f>
        <v>0.4242424242</v>
      </c>
      <c r="V65" s="57">
        <f>IFERROR(__xludf.DUMMYFUNCTION("""COMPUTED_VALUE"""),1.1818181818181819)</f>
        <v>1.181818182</v>
      </c>
      <c r="W65" s="57">
        <f>IFERROR(__xludf.DUMMYFUNCTION("""COMPUTED_VALUE"""),2.96969696969697)</f>
        <v>2.96969697</v>
      </c>
      <c r="X65" s="31">
        <f>IFERROR(__xludf.DUMMYFUNCTION("""COMPUTED_VALUE"""),334.646578626652)</f>
        <v>334.6465786</v>
      </c>
      <c r="Y65" s="57">
        <f>IFERROR(__xludf.DUMMYFUNCTION("""COMPUTED_VALUE"""),0.7900258608286467)</f>
        <v>0.7900258608</v>
      </c>
      <c r="Z65" s="57">
        <f>IFERROR(__xludf.DUMMYFUNCTION("""COMPUTED_VALUE"""),0.5211512961622933)</f>
        <v>0.5211512962</v>
      </c>
      <c r="AA65" s="57">
        <f>IFERROR(__xludf.DUMMYFUNCTION("""COMPUTED_VALUE"""),1.159504523661415)</f>
        <v>1.159504524</v>
      </c>
      <c r="AB65" s="57">
        <f>IFERROR(__xludf.DUMMYFUNCTION("""COMPUTED_VALUE"""),2.5643030324188683)</f>
        <v>2.564303032</v>
      </c>
      <c r="AC65" s="31">
        <f>IFERROR(__xludf.DUMMYFUNCTION("""COMPUTED_VALUE"""),320.41595403835873)</f>
        <v>320.415954</v>
      </c>
      <c r="AD65" s="57">
        <f>IFERROR(__xludf.DUMMYFUNCTION("""COMPUTED_VALUE"""),0.6560127228858902)</f>
        <v>0.6560127229</v>
      </c>
      <c r="AE65" s="57">
        <f>IFERROR(__xludf.DUMMYFUNCTION("""COMPUTED_VALUE"""),0.45411177477893006)</f>
        <v>0.4541117748</v>
      </c>
      <c r="AF65" s="57">
        <f>IFERROR(__xludf.DUMMYFUNCTION("""COMPUTED_VALUE"""),1.2174627665426785)</f>
        <v>1.217462767</v>
      </c>
      <c r="AG65" s="57">
        <f>IFERROR(__xludf.DUMMYFUNCTION("""COMPUTED_VALUE"""),2.2577021788898617)</f>
        <v>2.257702179</v>
      </c>
      <c r="AH65" s="57">
        <f>IFERROR(__xludf.DUMMYFUNCTION("""COMPUTED_VALUE"""),1.3774708493784873)</f>
        <v>1.377470849</v>
      </c>
      <c r="AI65" s="57">
        <f>IFERROR(__xludf.DUMMYFUNCTION("""COMPUTED_VALUE"""),1.3857824358827877)</f>
        <v>1.385782436</v>
      </c>
      <c r="AJ65" s="57">
        <f>IFERROR(__xludf.DUMMYFUNCTION("""COMPUTED_VALUE"""),1.20114600798467)</f>
        <v>1.201146008</v>
      </c>
      <c r="AK65" s="57">
        <f>IFERROR(__xludf.DUMMYFUNCTION("""COMPUTED_VALUE"""),1.6427607110150497)</f>
        <v>1.642760711</v>
      </c>
      <c r="AL65" s="57">
        <f>IFERROR(__xludf.DUMMYFUNCTION("""COMPUTED_VALUE"""),0.9261226349780178)</f>
        <v>0.926122635</v>
      </c>
      <c r="AM65" s="57">
        <f>IFERROR(__xludf.DUMMYFUNCTION("""COMPUTED_VALUE"""),0.9923630788450577)</f>
        <v>0.9923630788</v>
      </c>
      <c r="AN65" s="57">
        <f>IFERROR(__xludf.DUMMYFUNCTION("""COMPUTED_VALUE"""),0.9589252645238059)</f>
        <v>0.9589252645</v>
      </c>
      <c r="AO65" s="57">
        <f>IFERROR(__xludf.DUMMYFUNCTION("""COMPUTED_VALUE"""),0.8140484871984462)</f>
        <v>0.8140484872</v>
      </c>
      <c r="AP65" s="35">
        <f>IFERROR(__xludf.DUMMYFUNCTION("""COMPUTED_VALUE"""),1.0192441320421124)</f>
        <v>1.019244132</v>
      </c>
      <c r="AQ65" s="57">
        <f>IFERROR(__xludf.DUMMYFUNCTION("""COMPUTED_VALUE"""),1.1580912755446457)</f>
        <v>1.158091276</v>
      </c>
      <c r="AR65" s="36" t="b">
        <f>IFERROR(__xludf.DUMMYFUNCTION("""COMPUTED_VALUE"""),TRUE)</f>
        <v>1</v>
      </c>
      <c r="AS65" s="57"/>
      <c r="AT65" s="37"/>
      <c r="AU65" s="30"/>
      <c r="AV65" s="30"/>
      <c r="AW65" s="30"/>
      <c r="AX65" s="30"/>
      <c r="AY65" s="30"/>
      <c r="AZ65" s="30"/>
    </row>
    <row r="66">
      <c r="A66" s="30" t="str">
        <f>IFERROR(__xludf.DUMMYFUNCTION("""COMPUTED_VALUE"""),"Challenger")</f>
        <v>Challenger</v>
      </c>
      <c r="B66" s="30" t="str">
        <f>IFERROR(__xludf.DUMMYFUNCTION("""COMPUTED_VALUE"""),"RSC004901")</f>
        <v>RSC004901</v>
      </c>
      <c r="C66" s="30" t="str">
        <f>IFERROR(__xludf.DUMMYFUNCTION("""COMPUTED_VALUE"""),"Dofri9976")</f>
        <v>Dofri9976</v>
      </c>
      <c r="D66" s="31" t="str">
        <f>IFERROR(__xludf.DUMMYFUNCTION("""COMPUTED_VALUE"""),"Lilac")</f>
        <v>Lilac</v>
      </c>
      <c r="E66" s="31">
        <f>IFERROR(__xludf.DUMMYFUNCTION("""COMPUTED_VALUE"""),70.1321727532281)</f>
        <v>70.13217275</v>
      </c>
      <c r="F66" s="31">
        <f>IFERROR(__xludf.DUMMYFUNCTION("""COMPUTED_VALUE"""),4.754499813067343)</f>
        <v>4.754499813</v>
      </c>
      <c r="G66" s="31">
        <f>IFERROR(__xludf.DUMMYFUNCTION("""COMPUTED_VALUE"""),62.71217530004003)</f>
        <v>62.7121753</v>
      </c>
      <c r="H66" s="31">
        <f>IFERROR(__xludf.DUMMYFUNCTION("""COMPUTED_VALUE"""),3.272723341075427)</f>
        <v>3.272723341</v>
      </c>
      <c r="I66" s="54">
        <f>IFERROR(__xludf.DUMMYFUNCTION("""COMPUTED_VALUE"""),16.0)</f>
        <v>16</v>
      </c>
      <c r="J66" s="55">
        <f>IFERROR(__xludf.DUMMYFUNCTION("""COMPUTED_VALUE"""),9.0)</f>
        <v>9</v>
      </c>
      <c r="K66" s="54">
        <f>IFERROR(__xludf.DUMMYFUNCTION("""COMPUTED_VALUE"""),7.0)</f>
        <v>7</v>
      </c>
      <c r="L66" s="56">
        <f>IFERROR(__xludf.DUMMYFUNCTION("""COMPUTED_VALUE"""),0.5625)</f>
        <v>0.5625</v>
      </c>
      <c r="M66" s="56">
        <f>IFERROR(__xludf.DUMMYFUNCTION("""COMPUTED_VALUE"""),0.30434782608695654)</f>
        <v>0.3043478261</v>
      </c>
      <c r="N66" s="31">
        <f>IFERROR(__xludf.DUMMYFUNCTION("""COMPUTED_VALUE"""),393.0)</f>
        <v>393</v>
      </c>
      <c r="O66" s="57">
        <f>IFERROR(__xludf.DUMMYFUNCTION("""COMPUTED_VALUE"""),0.875)</f>
        <v>0.875</v>
      </c>
      <c r="P66" s="57">
        <f>IFERROR(__xludf.DUMMYFUNCTION("""COMPUTED_VALUE"""),0.75)</f>
        <v>0.75</v>
      </c>
      <c r="Q66" s="57">
        <f>IFERROR(__xludf.DUMMYFUNCTION("""COMPUTED_VALUE"""),1.6875)</f>
        <v>1.6875</v>
      </c>
      <c r="R66" s="57">
        <f>IFERROR(__xludf.DUMMYFUNCTION("""COMPUTED_VALUE"""),2.875)</f>
        <v>2.875</v>
      </c>
      <c r="S66" s="31">
        <f>IFERROR(__xludf.DUMMYFUNCTION("""COMPUTED_VALUE"""),367.06249999999994)</f>
        <v>367.0625</v>
      </c>
      <c r="T66" s="57">
        <f>IFERROR(__xludf.DUMMYFUNCTION("""COMPUTED_VALUE"""),0.6875)</f>
        <v>0.6875</v>
      </c>
      <c r="U66" s="57">
        <f>IFERROR(__xludf.DUMMYFUNCTION("""COMPUTED_VALUE"""),0.6041666666666667)</f>
        <v>0.6041666667</v>
      </c>
      <c r="V66" s="57">
        <f>IFERROR(__xludf.DUMMYFUNCTION("""COMPUTED_VALUE"""),1.5833333333333333)</f>
        <v>1.583333333</v>
      </c>
      <c r="W66" s="57">
        <f>IFERROR(__xludf.DUMMYFUNCTION("""COMPUTED_VALUE"""),2.354166666666667)</f>
        <v>2.354166667</v>
      </c>
      <c r="X66" s="31">
        <f>IFERROR(__xludf.DUMMYFUNCTION("""COMPUTED_VALUE"""),340.12415703767255)</f>
        <v>340.124157</v>
      </c>
      <c r="Y66" s="57">
        <f>IFERROR(__xludf.DUMMYFUNCTION("""COMPUTED_VALUE"""),0.7898009161811264)</f>
        <v>0.7898009162</v>
      </c>
      <c r="Z66" s="57">
        <f>IFERROR(__xludf.DUMMYFUNCTION("""COMPUTED_VALUE"""),0.5604239795693841)</f>
        <v>0.5604239796</v>
      </c>
      <c r="AA66" s="57">
        <f>IFERROR(__xludf.DUMMYFUNCTION("""COMPUTED_VALUE"""),1.26832582551741)</f>
        <v>1.268325826</v>
      </c>
      <c r="AB66" s="57">
        <f>IFERROR(__xludf.DUMMYFUNCTION("""COMPUTED_VALUE"""),2.412463882057498)</f>
        <v>2.412463882</v>
      </c>
      <c r="AC66" s="31">
        <f>IFERROR(__xludf.DUMMYFUNCTION("""COMPUTED_VALUE"""),361.808877138682)</f>
        <v>361.8088771</v>
      </c>
      <c r="AD66" s="57">
        <f>IFERROR(__xludf.DUMMYFUNCTION("""COMPUTED_VALUE"""),0.8916885850977414)</f>
        <v>0.8916885851</v>
      </c>
      <c r="AE66" s="57">
        <f>IFERROR(__xludf.DUMMYFUNCTION("""COMPUTED_VALUE"""),0.6350215420691673)</f>
        <v>0.6350215421</v>
      </c>
      <c r="AF66" s="57">
        <f>IFERROR(__xludf.DUMMYFUNCTION("""COMPUTED_VALUE"""),1.261748561627861)</f>
        <v>1.261748562</v>
      </c>
      <c r="AG66" s="57">
        <f>IFERROR(__xludf.DUMMYFUNCTION("""COMPUTED_VALUE"""),2.676577104684161)</f>
        <v>2.676577105</v>
      </c>
      <c r="AH66" s="57">
        <f>IFERROR(__xludf.DUMMYFUNCTION("""COMPUTED_VALUE"""),1.0862088379588386)</f>
        <v>1.086208838</v>
      </c>
      <c r="AI66" s="57">
        <f>IFERROR(__xludf.DUMMYFUNCTION("""COMPUTED_VALUE"""),0.9812842898556203)</f>
        <v>0.9812842899</v>
      </c>
      <c r="AJ66" s="57">
        <f>IFERROR(__xludf.DUMMYFUNCTION("""COMPUTED_VALUE"""),1.1810622952351892)</f>
        <v>1.181062295</v>
      </c>
      <c r="AK66" s="57">
        <f>IFERROR(__xludf.DUMMYFUNCTION("""COMPUTED_VALUE"""),1.3374296997991821)</f>
        <v>1.3374297</v>
      </c>
      <c r="AL66" s="57">
        <f>IFERROR(__xludf.DUMMYFUNCTION("""COMPUTED_VALUE"""),1.0741330765209745)</f>
        <v>1.074133077</v>
      </c>
      <c r="AM66" s="57">
        <f>IFERROR(__xludf.DUMMYFUNCTION("""COMPUTED_VALUE"""),1.0792014986437546)</f>
        <v>1.079201499</v>
      </c>
      <c r="AN66" s="57">
        <f>IFERROR(__xludf.DUMMYFUNCTION("""COMPUTED_VALUE"""),0.8704725278418574)</f>
        <v>0.8704725278</v>
      </c>
      <c r="AO66" s="57">
        <f>IFERROR(__xludf.DUMMYFUNCTION("""COMPUTED_VALUE"""),1.0780528469372304)</f>
        <v>1.078052847</v>
      </c>
      <c r="AP66" s="35">
        <f>IFERROR(__xludf.DUMMYFUNCTION("""COMPUTED_VALUE"""),1.2483648140551085)</f>
        <v>1.248364814</v>
      </c>
      <c r="AQ66" s="57">
        <f>IFERROR(__xludf.DUMMYFUNCTION("""COMPUTED_VALUE"""),0.9758349893549032)</f>
        <v>0.9758349894</v>
      </c>
      <c r="AR66" s="36" t="b">
        <f>IFERROR(__xludf.DUMMYFUNCTION("""COMPUTED_VALUE"""),TRUE)</f>
        <v>1</v>
      </c>
      <c r="AS66" s="57"/>
      <c r="AT66" s="37"/>
      <c r="AU66" s="30"/>
      <c r="AV66" s="30"/>
      <c r="AW66" s="30"/>
      <c r="AX66" s="30"/>
      <c r="AY66" s="30"/>
      <c r="AZ66" s="30"/>
    </row>
    <row r="67">
      <c r="A67" s="30" t="str">
        <f>IFERROR(__xludf.DUMMYFUNCTION("""COMPUTED_VALUE"""),"Challenger")</f>
        <v>Challenger</v>
      </c>
      <c r="B67" s="30" t="str">
        <f>IFERROR(__xludf.DUMMYFUNCTION("""COMPUTED_VALUE"""),"RSC007307")</f>
        <v>RSC007307</v>
      </c>
      <c r="C67" s="30" t="str">
        <f>IFERROR(__xludf.DUMMYFUNCTION("""COMPUTED_VALUE"""),"Jmh187-")</f>
        <v>Jmh187-</v>
      </c>
      <c r="D67" s="31" t="str">
        <f>IFERROR(__xludf.DUMMYFUNCTION("""COMPUTED_VALUE"""),"Chromatic Chaos")</f>
        <v>Chromatic Chaos</v>
      </c>
      <c r="E67" s="31">
        <f>IFERROR(__xludf.DUMMYFUNCTION("""COMPUTED_VALUE"""),69.54781750558044)</f>
        <v>69.54781751</v>
      </c>
      <c r="F67" s="31">
        <f>IFERROR(__xludf.DUMMYFUNCTION("""COMPUTED_VALUE"""),4.605473487642149)</f>
        <v>4.605473488</v>
      </c>
      <c r="G67" s="31">
        <f>IFERROR(__xludf.DUMMYFUNCTION("""COMPUTED_VALUE"""),73.29975709913921)</f>
        <v>73.2997571</v>
      </c>
      <c r="H67" s="31">
        <f>IFERROR(__xludf.DUMMYFUNCTION("""COMPUTED_VALUE"""),5.69246654400472)</f>
        <v>5.692466544</v>
      </c>
      <c r="I67" s="54">
        <f>IFERROR(__xludf.DUMMYFUNCTION("""COMPUTED_VALUE"""),24.0)</f>
        <v>24</v>
      </c>
      <c r="J67" s="55">
        <f>IFERROR(__xludf.DUMMYFUNCTION("""COMPUTED_VALUE"""),8.0)</f>
        <v>8</v>
      </c>
      <c r="K67" s="54">
        <f>IFERROR(__xludf.DUMMYFUNCTION("""COMPUTED_VALUE"""),16.0)</f>
        <v>16</v>
      </c>
      <c r="L67" s="56">
        <f>IFERROR(__xludf.DUMMYFUNCTION("""COMPUTED_VALUE"""),0.3333333333333333)</f>
        <v>0.3333333333</v>
      </c>
      <c r="M67" s="56">
        <f>IFERROR(__xludf.DUMMYFUNCTION("""COMPUTED_VALUE"""),0.4067796610169491)</f>
        <v>0.406779661</v>
      </c>
      <c r="N67" s="31">
        <f>IFERROR(__xludf.DUMMYFUNCTION("""COMPUTED_VALUE"""),420.2083333333333)</f>
        <v>420.2083333</v>
      </c>
      <c r="O67" s="57">
        <f>IFERROR(__xludf.DUMMYFUNCTION("""COMPUTED_VALUE"""),1.0)</f>
        <v>1</v>
      </c>
      <c r="P67" s="57">
        <f>IFERROR(__xludf.DUMMYFUNCTION("""COMPUTED_VALUE"""),0.625)</f>
        <v>0.625</v>
      </c>
      <c r="Q67" s="57">
        <f>IFERROR(__xludf.DUMMYFUNCTION("""COMPUTED_VALUE"""),2.0833333333333335)</f>
        <v>2.083333333</v>
      </c>
      <c r="R67" s="57">
        <f>IFERROR(__xludf.DUMMYFUNCTION("""COMPUTED_VALUE"""),2.4583333333333335)</f>
        <v>2.458333333</v>
      </c>
      <c r="S67" s="31">
        <f>IFERROR(__xludf.DUMMYFUNCTION("""COMPUTED_VALUE"""),338.48611111111114)</f>
        <v>338.4861111</v>
      </c>
      <c r="T67" s="57">
        <f>IFERROR(__xludf.DUMMYFUNCTION("""COMPUTED_VALUE"""),0.9166666666666665)</f>
        <v>0.9166666667</v>
      </c>
      <c r="U67" s="57">
        <f>IFERROR(__xludf.DUMMYFUNCTION("""COMPUTED_VALUE"""),0.5277777777777778)</f>
        <v>0.5277777778</v>
      </c>
      <c r="V67" s="57">
        <f>IFERROR(__xludf.DUMMYFUNCTION("""COMPUTED_VALUE"""),1.0833333333333335)</f>
        <v>1.083333333</v>
      </c>
      <c r="W67" s="57">
        <f>IFERROR(__xludf.DUMMYFUNCTION("""COMPUTED_VALUE"""),2.736111111111111)</f>
        <v>2.736111111</v>
      </c>
      <c r="X67" s="31">
        <f>IFERROR(__xludf.DUMMYFUNCTION("""COMPUTED_VALUE"""),329.5249749529905)</f>
        <v>329.524975</v>
      </c>
      <c r="Y67" s="57">
        <f>IFERROR(__xludf.DUMMYFUNCTION("""COMPUTED_VALUE"""),0.769772486862559)</f>
        <v>0.7697724869</v>
      </c>
      <c r="Z67" s="57">
        <f>IFERROR(__xludf.DUMMYFUNCTION("""COMPUTED_VALUE"""),0.5131279637649674)</f>
        <v>0.5131279638</v>
      </c>
      <c r="AA67" s="57">
        <f>IFERROR(__xludf.DUMMYFUNCTION("""COMPUTED_VALUE"""),1.1340059941643055)</f>
        <v>1.134005994</v>
      </c>
      <c r="AB67" s="57">
        <f>IFERROR(__xludf.DUMMYFUNCTION("""COMPUTED_VALUE"""),2.4461905319557693)</f>
        <v>2.446190532</v>
      </c>
      <c r="AC67" s="31">
        <f>IFERROR(__xludf.DUMMYFUNCTION("""COMPUTED_VALUE"""),340.9974499206586)</f>
        <v>340.9974499</v>
      </c>
      <c r="AD67" s="57">
        <f>IFERROR(__xludf.DUMMYFUNCTION("""COMPUTED_VALUE"""),0.7899361190728308)</f>
        <v>0.7899361191</v>
      </c>
      <c r="AE67" s="57">
        <f>IFERROR(__xludf.DUMMYFUNCTION("""COMPUTED_VALUE"""),0.5303053476681084)</f>
        <v>0.5303053477</v>
      </c>
      <c r="AF67" s="57">
        <f>IFERROR(__xludf.DUMMYFUNCTION("""COMPUTED_VALUE"""),1.2539802643430489)</f>
        <v>1.253980264</v>
      </c>
      <c r="AG67" s="57">
        <f>IFERROR(__xludf.DUMMYFUNCTION("""COMPUTED_VALUE"""),2.399906603645663)</f>
        <v>2.399906604</v>
      </c>
      <c r="AH67" s="57">
        <f>IFERROR(__xludf.DUMMYFUNCTION("""COMPUTED_VALUE"""),1.2322917178152066)</f>
        <v>1.232291718</v>
      </c>
      <c r="AI67" s="57">
        <f>IFERROR(__xludf.DUMMYFUNCTION("""COMPUTED_VALUE"""),1.265925149964945)</f>
        <v>1.26592515</v>
      </c>
      <c r="AJ67" s="57">
        <f>IFERROR(__xludf.DUMMYFUNCTION("""COMPUTED_VALUE"""),1.178566278368281)</f>
        <v>1.178566278</v>
      </c>
      <c r="AK67" s="57">
        <f>IFERROR(__xludf.DUMMYFUNCTION("""COMPUTED_VALUE"""),1.661376492575644)</f>
        <v>1.661376493</v>
      </c>
      <c r="AL67" s="57">
        <f>IFERROR(__xludf.DUMMYFUNCTION("""COMPUTED_VALUE"""),1.0243454181087361)</f>
        <v>1.024345418</v>
      </c>
      <c r="AM67" s="57">
        <f>IFERROR(__xludf.DUMMYFUNCTION("""COMPUTED_VALUE"""),1.0271941031462002)</f>
        <v>1.027194103</v>
      </c>
      <c r="AN67" s="57">
        <f>IFERROR(__xludf.DUMMYFUNCTION("""COMPUTED_VALUE"""),1.1908280463527858)</f>
        <v>1.190828046</v>
      </c>
      <c r="AO67" s="57">
        <f>IFERROR(__xludf.DUMMYFUNCTION("""COMPUTED_VALUE"""),1.028550020749835)</f>
        <v>1.028550021</v>
      </c>
      <c r="AP67" s="35">
        <f>IFERROR(__xludf.DUMMYFUNCTION("""COMPUTED_VALUE"""),0.9553153501024351)</f>
        <v>0.9553153501</v>
      </c>
      <c r="AQ67" s="57">
        <f>IFERROR(__xludf.DUMMYFUNCTION("""COMPUTED_VALUE"""),1.1185192140056015)</f>
        <v>1.118519214</v>
      </c>
      <c r="AR67" s="36" t="b">
        <f>IFERROR(__xludf.DUMMYFUNCTION("""COMPUTED_VALUE"""),TRUE)</f>
        <v>1</v>
      </c>
      <c r="AS67" s="57"/>
      <c r="AT67" s="37"/>
      <c r="AU67" s="30"/>
      <c r="AV67" s="30"/>
      <c r="AW67" s="30"/>
      <c r="AX67" s="30"/>
      <c r="AY67" s="30"/>
      <c r="AZ67" s="30"/>
    </row>
    <row r="68">
      <c r="A68" s="30" t="str">
        <f>IFERROR(__xludf.DUMMYFUNCTION("""COMPUTED_VALUE"""),"Challenger")</f>
        <v>Challenger</v>
      </c>
      <c r="B68" s="30" t="str">
        <f>IFERROR(__xludf.DUMMYFUNCTION("""COMPUTED_VALUE"""),"RSC004333")</f>
        <v>RSC004333</v>
      </c>
      <c r="C68" s="30" t="str">
        <f>IFERROR(__xludf.DUMMYFUNCTION("""COMPUTED_VALUE"""),"Penguin")</f>
        <v>Penguin</v>
      </c>
      <c r="D68" s="31" t="str">
        <f>IFERROR(__xludf.DUMMYFUNCTION("""COMPUTED_VALUE"""),"Mugged")</f>
        <v>Mugged</v>
      </c>
      <c r="E68" s="31">
        <f>IFERROR(__xludf.DUMMYFUNCTION("""COMPUTED_VALUE"""),69.23122334900893)</f>
        <v>69.23122335</v>
      </c>
      <c r="F68" s="31">
        <f>IFERROR(__xludf.DUMMYFUNCTION("""COMPUTED_VALUE"""),4.527493300486653)</f>
        <v>4.5274933</v>
      </c>
      <c r="G68" s="31">
        <f>IFERROR(__xludf.DUMMYFUNCTION("""COMPUTED_VALUE"""),59.90401853238165)</f>
        <v>59.90401853</v>
      </c>
      <c r="H68" s="31">
        <f>IFERROR(__xludf.DUMMYFUNCTION("""COMPUTED_VALUE"""),2.890229999908268)</f>
        <v>2.89023</v>
      </c>
      <c r="I68" s="54">
        <f>IFERROR(__xludf.DUMMYFUNCTION("""COMPUTED_VALUE"""),33.0)</f>
        <v>33</v>
      </c>
      <c r="J68" s="55">
        <f>IFERROR(__xludf.DUMMYFUNCTION("""COMPUTED_VALUE"""),18.0)</f>
        <v>18</v>
      </c>
      <c r="K68" s="54">
        <f>IFERROR(__xludf.DUMMYFUNCTION("""COMPUTED_VALUE"""),15.0)</f>
        <v>15</v>
      </c>
      <c r="L68" s="56">
        <f>IFERROR(__xludf.DUMMYFUNCTION("""COMPUTED_VALUE"""),0.5454545454545454)</f>
        <v>0.5454545455</v>
      </c>
      <c r="M68" s="56">
        <f>IFERROR(__xludf.DUMMYFUNCTION("""COMPUTED_VALUE"""),0.3522727272727273)</f>
        <v>0.3522727273</v>
      </c>
      <c r="N68" s="31">
        <f>IFERROR(__xludf.DUMMYFUNCTION("""COMPUTED_VALUE"""),389.42424242424244)</f>
        <v>389.4242424</v>
      </c>
      <c r="O68" s="57">
        <f>IFERROR(__xludf.DUMMYFUNCTION("""COMPUTED_VALUE"""),0.9393939393939394)</f>
        <v>0.9393939394</v>
      </c>
      <c r="P68" s="57">
        <f>IFERROR(__xludf.DUMMYFUNCTION("""COMPUTED_VALUE"""),0.5757575757575758)</f>
        <v>0.5757575758</v>
      </c>
      <c r="Q68" s="57">
        <f>IFERROR(__xludf.DUMMYFUNCTION("""COMPUTED_VALUE"""),1.393939393939394)</f>
        <v>1.393939394</v>
      </c>
      <c r="R68" s="57">
        <f>IFERROR(__xludf.DUMMYFUNCTION("""COMPUTED_VALUE"""),2.6666666666666665)</f>
        <v>2.666666667</v>
      </c>
      <c r="S68" s="31">
        <f>IFERROR(__xludf.DUMMYFUNCTION("""COMPUTED_VALUE"""),340.13131313131305)</f>
        <v>340.1313131</v>
      </c>
      <c r="T68" s="57">
        <f>IFERROR(__xludf.DUMMYFUNCTION("""COMPUTED_VALUE"""),0.8383838383838385)</f>
        <v>0.8383838384</v>
      </c>
      <c r="U68" s="57">
        <f>IFERROR(__xludf.DUMMYFUNCTION("""COMPUTED_VALUE"""),0.5353535353535355)</f>
        <v>0.5353535354</v>
      </c>
      <c r="V68" s="57">
        <f>IFERROR(__xludf.DUMMYFUNCTION("""COMPUTED_VALUE"""),1.171717171717172)</f>
        <v>1.171717172</v>
      </c>
      <c r="W68" s="57">
        <f>IFERROR(__xludf.DUMMYFUNCTION("""COMPUTED_VALUE"""),2.777777777777778)</f>
        <v>2.777777778</v>
      </c>
      <c r="X68" s="31">
        <f>IFERROR(__xludf.DUMMYFUNCTION("""COMPUTED_VALUE"""),332.56694755209924)</f>
        <v>332.5669476</v>
      </c>
      <c r="Y68" s="57">
        <f>IFERROR(__xludf.DUMMYFUNCTION("""COMPUTED_VALUE"""),0.7747719120473745)</f>
        <v>0.774771912</v>
      </c>
      <c r="Z68" s="57">
        <f>IFERROR(__xludf.DUMMYFUNCTION("""COMPUTED_VALUE"""),0.5176983849160611)</f>
        <v>0.5176983849</v>
      </c>
      <c r="AA68" s="57">
        <f>IFERROR(__xludf.DUMMYFUNCTION("""COMPUTED_VALUE"""),1.1896394928914626)</f>
        <v>1.189639493</v>
      </c>
      <c r="AB68" s="57">
        <f>IFERROR(__xludf.DUMMYFUNCTION("""COMPUTED_VALUE"""),2.4917238496804033)</f>
        <v>2.49172385</v>
      </c>
      <c r="AC68" s="31">
        <f>IFERROR(__xludf.DUMMYFUNCTION("""COMPUTED_VALUE"""),332.0501418787398)</f>
        <v>332.0501419</v>
      </c>
      <c r="AD68" s="57">
        <f>IFERROR(__xludf.DUMMYFUNCTION("""COMPUTED_VALUE"""),0.7148972860969325)</f>
        <v>0.7148972861</v>
      </c>
      <c r="AE68" s="57">
        <f>IFERROR(__xludf.DUMMYFUNCTION("""COMPUTED_VALUE"""),0.5124522986469907)</f>
        <v>0.5124522986</v>
      </c>
      <c r="AF68" s="57">
        <f>IFERROR(__xludf.DUMMYFUNCTION("""COMPUTED_VALUE"""),1.2598437817770687)</f>
        <v>1.259843782</v>
      </c>
      <c r="AG68" s="57">
        <f>IFERROR(__xludf.DUMMYFUNCTION("""COMPUTED_VALUE"""),2.3456933886859765)</f>
        <v>2.345693389</v>
      </c>
      <c r="AH68" s="57">
        <f>IFERROR(__xludf.DUMMYFUNCTION("""COMPUTED_VALUE"""),1.1727874598121837)</f>
        <v>1.17278746</v>
      </c>
      <c r="AI68" s="57">
        <f>IFERROR(__xludf.DUMMYFUNCTION("""COMPUTED_VALUE"""),1.3140264450053705)</f>
        <v>1.314026445</v>
      </c>
      <c r="AJ68" s="57">
        <f>IFERROR(__xludf.DUMMYFUNCTION("""COMPUTED_VALUE"""),1.1235339899493626)</f>
        <v>1.12353399</v>
      </c>
      <c r="AK68" s="57">
        <f>IFERROR(__xludf.DUMMYFUNCTION("""COMPUTED_VALUE"""),1.1064382855255095)</f>
        <v>1.106438286</v>
      </c>
      <c r="AL68" s="57">
        <f>IFERROR(__xludf.DUMMYFUNCTION("""COMPUTED_VALUE"""),1.1368351377587735)</f>
        <v>1.136835138</v>
      </c>
      <c r="AM68" s="57">
        <f>IFERROR(__xludf.DUMMYFUNCTION("""COMPUTED_VALUE"""),1.0227453919726306)</f>
        <v>1.022745392</v>
      </c>
      <c r="AN68" s="57">
        <f>IFERROR(__xludf.DUMMYFUNCTION("""COMPUTED_VALUE"""),1.082104068755366)</f>
        <v>1.082104069</v>
      </c>
      <c r="AO68" s="57">
        <f>IFERROR(__xludf.DUMMYFUNCTION("""COMPUTED_VALUE"""),1.0341031591982597)</f>
        <v>1.034103159</v>
      </c>
      <c r="AP68" s="35">
        <f>IFERROR(__xludf.DUMMYFUNCTION("""COMPUTED_VALUE"""),0.9849346619027165)</f>
        <v>0.9849346619</v>
      </c>
      <c r="AQ68" s="57">
        <f>IFERROR(__xludf.DUMMYFUNCTION("""COMPUTED_VALUE"""),1.1148016174160171)</f>
        <v>1.114801617</v>
      </c>
      <c r="AR68" s="36" t="b">
        <f>IFERROR(__xludf.DUMMYFUNCTION("""COMPUTED_VALUE"""),TRUE)</f>
        <v>1</v>
      </c>
      <c r="AS68" s="57"/>
      <c r="AT68" s="37"/>
      <c r="AU68" s="30"/>
      <c r="AV68" s="30"/>
      <c r="AW68" s="30"/>
      <c r="AX68" s="30"/>
      <c r="AY68" s="30"/>
      <c r="AZ68" s="30"/>
    </row>
    <row r="69">
      <c r="A69" s="30" t="str">
        <f>IFERROR(__xludf.DUMMYFUNCTION("""COMPUTED_VALUE"""),"Challenger")</f>
        <v>Challenger</v>
      </c>
      <c r="B69" s="30" t="str">
        <f>IFERROR(__xludf.DUMMYFUNCTION("""COMPUTED_VALUE"""),"RSC007960")</f>
        <v>RSC007960</v>
      </c>
      <c r="C69" s="30" t="str">
        <f>IFERROR(__xludf.DUMMYFUNCTION("""COMPUTED_VALUE"""),"Kayo")</f>
        <v>Kayo</v>
      </c>
      <c r="D69" s="31" t="str">
        <f>IFERROR(__xludf.DUMMYFUNCTION("""COMPUTED_VALUE"""),"Warbirds")</f>
        <v>Warbirds</v>
      </c>
      <c r="E69" s="31">
        <f>IFERROR(__xludf.DUMMYFUNCTION("""COMPUTED_VALUE"""),67.66301602900003)</f>
        <v>67.66301603</v>
      </c>
      <c r="F69" s="31">
        <f>IFERROR(__xludf.DUMMYFUNCTION("""COMPUTED_VALUE"""),4.167843899917158)</f>
        <v>4.1678439</v>
      </c>
      <c r="G69" s="31">
        <f>IFERROR(__xludf.DUMMYFUNCTION("""COMPUTED_VALUE"""),61.27466685230008)</f>
        <v>61.27466685</v>
      </c>
      <c r="H69" s="31">
        <f>IFERROR(__xludf.DUMMYFUNCTION("""COMPUTED_VALUE"""),3.0674886456860717)</f>
        <v>3.067488646</v>
      </c>
      <c r="I69" s="54">
        <f>IFERROR(__xludf.DUMMYFUNCTION("""COMPUTED_VALUE"""),32.0)</f>
        <v>32</v>
      </c>
      <c r="J69" s="55">
        <f>IFERROR(__xludf.DUMMYFUNCTION("""COMPUTED_VALUE"""),18.0)</f>
        <v>18</v>
      </c>
      <c r="K69" s="54">
        <f>IFERROR(__xludf.DUMMYFUNCTION("""COMPUTED_VALUE"""),14.0)</f>
        <v>14</v>
      </c>
      <c r="L69" s="56">
        <f>IFERROR(__xludf.DUMMYFUNCTION("""COMPUTED_VALUE"""),0.5625)</f>
        <v>0.5625</v>
      </c>
      <c r="M69" s="56">
        <f>IFERROR(__xludf.DUMMYFUNCTION("""COMPUTED_VALUE"""),0.34444444444444444)</f>
        <v>0.3444444444</v>
      </c>
      <c r="N69" s="31">
        <f>IFERROR(__xludf.DUMMYFUNCTION("""COMPUTED_VALUE"""),383.71875)</f>
        <v>383.71875</v>
      </c>
      <c r="O69" s="57">
        <f>IFERROR(__xludf.DUMMYFUNCTION("""COMPUTED_VALUE"""),0.96875)</f>
        <v>0.96875</v>
      </c>
      <c r="P69" s="57">
        <f>IFERROR(__xludf.DUMMYFUNCTION("""COMPUTED_VALUE"""),0.5)</f>
        <v>0.5</v>
      </c>
      <c r="Q69" s="57">
        <f>IFERROR(__xludf.DUMMYFUNCTION("""COMPUTED_VALUE"""),1.5625)</f>
        <v>1.5625</v>
      </c>
      <c r="R69" s="57">
        <f>IFERROR(__xludf.DUMMYFUNCTION("""COMPUTED_VALUE"""),2.8125)</f>
        <v>2.8125</v>
      </c>
      <c r="S69" s="31">
        <f>IFERROR(__xludf.DUMMYFUNCTION("""COMPUTED_VALUE"""),347.15624999999994)</f>
        <v>347.15625</v>
      </c>
      <c r="T69" s="57">
        <f>IFERROR(__xludf.DUMMYFUNCTION("""COMPUTED_VALUE"""),0.78125)</f>
        <v>0.78125</v>
      </c>
      <c r="U69" s="57">
        <f>IFERROR(__xludf.DUMMYFUNCTION("""COMPUTED_VALUE"""),0.5833333333333333)</f>
        <v>0.5833333333</v>
      </c>
      <c r="V69" s="57">
        <f>IFERROR(__xludf.DUMMYFUNCTION("""COMPUTED_VALUE"""),1.3125000000000002)</f>
        <v>1.3125</v>
      </c>
      <c r="W69" s="57">
        <f>IFERROR(__xludf.DUMMYFUNCTION("""COMPUTED_VALUE"""),2.635416666666666)</f>
        <v>2.635416667</v>
      </c>
      <c r="X69" s="31">
        <f>IFERROR(__xludf.DUMMYFUNCTION("""COMPUTED_VALUE"""),330.446850180411)</f>
        <v>330.4468502</v>
      </c>
      <c r="Y69" s="57">
        <f>IFERROR(__xludf.DUMMYFUNCTION("""COMPUTED_VALUE"""),0.7305781860085017)</f>
        <v>0.730578186</v>
      </c>
      <c r="Z69" s="57">
        <f>IFERROR(__xludf.DUMMYFUNCTION("""COMPUTED_VALUE"""),0.5066145759200308)</f>
        <v>0.5066145759</v>
      </c>
      <c r="AA69" s="57">
        <f>IFERROR(__xludf.DUMMYFUNCTION("""COMPUTED_VALUE"""),1.2241101199047897)</f>
        <v>1.22411012</v>
      </c>
      <c r="AB69" s="57">
        <f>IFERROR(__xludf.DUMMYFUNCTION("""COMPUTED_VALUE"""),2.465705240639669)</f>
        <v>2.465705241</v>
      </c>
      <c r="AC69" s="31">
        <f>IFERROR(__xludf.DUMMYFUNCTION("""COMPUTED_VALUE"""),329.9615513359829)</f>
        <v>329.9615513</v>
      </c>
      <c r="AD69" s="57">
        <f>IFERROR(__xludf.DUMMYFUNCTION("""COMPUTED_VALUE"""),0.7292725287628526)</f>
        <v>0.7292725288</v>
      </c>
      <c r="AE69" s="57">
        <f>IFERROR(__xludf.DUMMYFUNCTION("""COMPUTED_VALUE"""),0.5030737486778853)</f>
        <v>0.5030737487</v>
      </c>
      <c r="AF69" s="57">
        <f>IFERROR(__xludf.DUMMYFUNCTION("""COMPUTED_VALUE"""),1.254465469060495)</f>
        <v>1.254465469</v>
      </c>
      <c r="AG69" s="57">
        <f>IFERROR(__xludf.DUMMYFUNCTION("""COMPUTED_VALUE"""),2.352130927620573)</f>
        <v>2.352130928</v>
      </c>
      <c r="AH69" s="57">
        <f>IFERROR(__xludf.DUMMYFUNCTION("""COMPUTED_VALUE"""),1.162919583952613)</f>
        <v>1.162919584</v>
      </c>
      <c r="AI69" s="57">
        <f>IFERROR(__xludf.DUMMYFUNCTION("""COMPUTED_VALUE"""),1.3283785715107082)</f>
        <v>1.328378572</v>
      </c>
      <c r="AJ69" s="57">
        <f>IFERROR(__xludf.DUMMYFUNCTION("""COMPUTED_VALUE"""),0.9938900634629348)</f>
        <v>0.9938900635</v>
      </c>
      <c r="AK69" s="57">
        <f>IFERROR(__xludf.DUMMYFUNCTION("""COMPUTED_VALUE"""),1.245550426485793)</f>
        <v>1.245550426</v>
      </c>
      <c r="AL69" s="57">
        <f>IFERROR(__xludf.DUMMYFUNCTION("""COMPUTED_VALUE"""),1.1957242545359235)</f>
        <v>1.195724255</v>
      </c>
      <c r="AM69" s="57">
        <f>IFERROR(__xludf.DUMMYFUNCTION("""COMPUTED_VALUE"""),1.0505660738193336)</f>
        <v>1.050566074</v>
      </c>
      <c r="AN69" s="57">
        <f>IFERROR(__xludf.DUMMYFUNCTION("""COMPUTED_VALUE"""),1.0693585094134042)</f>
        <v>1.069358509</v>
      </c>
      <c r="AO69" s="57">
        <f>IFERROR(__xludf.DUMMYFUNCTION("""COMPUTED_VALUE"""),1.1514341692083738)</f>
        <v>1.151434169</v>
      </c>
      <c r="AP69" s="35">
        <f>IFERROR(__xludf.DUMMYFUNCTION("""COMPUTED_VALUE"""),1.072207458020268)</f>
        <v>1.072207458</v>
      </c>
      <c r="AQ69" s="57">
        <f>IFERROR(__xludf.DUMMYFUNCTION("""COMPUTED_VALUE"""),1.068828756669621)</f>
        <v>1.068828757</v>
      </c>
      <c r="AR69" s="36" t="b">
        <f>IFERROR(__xludf.DUMMYFUNCTION("""COMPUTED_VALUE"""),TRUE)</f>
        <v>1</v>
      </c>
      <c r="AS69" s="57"/>
      <c r="AT69" s="37"/>
      <c r="AU69" s="30"/>
      <c r="AV69" s="30"/>
      <c r="AW69" s="30"/>
      <c r="AX69" s="30"/>
      <c r="AY69" s="30"/>
      <c r="AZ69" s="30"/>
    </row>
    <row r="70">
      <c r="A70" s="30" t="str">
        <f>IFERROR(__xludf.DUMMYFUNCTION("""COMPUTED_VALUE"""),"Challenger")</f>
        <v>Challenger</v>
      </c>
      <c r="B70" s="30" t="str">
        <f>IFERROR(__xludf.DUMMYFUNCTION("""COMPUTED_VALUE"""),"RSC007626")</f>
        <v>RSC007626</v>
      </c>
      <c r="C70" s="30" t="str">
        <f>IFERROR(__xludf.DUMMYFUNCTION("""COMPUTED_VALUE"""),"ACDye2")</f>
        <v>ACDye2</v>
      </c>
      <c r="D70" s="31" t="str">
        <f>IFERROR(__xludf.DUMMYFUNCTION("""COMPUTED_VALUE"""),"Squalls")</f>
        <v>Squalls</v>
      </c>
      <c r="E70" s="31">
        <f>IFERROR(__xludf.DUMMYFUNCTION("""COMPUTED_VALUE"""),67.53109190825269)</f>
        <v>67.53109191</v>
      </c>
      <c r="F70" s="31">
        <f>IFERROR(__xludf.DUMMYFUNCTION("""COMPUTED_VALUE"""),4.139492990995108)</f>
        <v>4.139492991</v>
      </c>
      <c r="G70" s="31">
        <f>IFERROR(__xludf.DUMMYFUNCTION("""COMPUTED_VALUE"""),65.83780783345539)</f>
        <v>65.83780783</v>
      </c>
      <c r="H70" s="31">
        <f>IFERROR(__xludf.DUMMYFUNCTION("""COMPUTED_VALUE"""),3.799398286581719)</f>
        <v>3.799398287</v>
      </c>
      <c r="I70" s="54">
        <f>IFERROR(__xludf.DUMMYFUNCTION("""COMPUTED_VALUE"""),30.0)</f>
        <v>30</v>
      </c>
      <c r="J70" s="55">
        <f>IFERROR(__xludf.DUMMYFUNCTION("""COMPUTED_VALUE"""),16.0)</f>
        <v>16</v>
      </c>
      <c r="K70" s="54">
        <f>IFERROR(__xludf.DUMMYFUNCTION("""COMPUTED_VALUE"""),14.0)</f>
        <v>14</v>
      </c>
      <c r="L70" s="56">
        <f>IFERROR(__xludf.DUMMYFUNCTION("""COMPUTED_VALUE"""),0.5333333333333333)</f>
        <v>0.5333333333</v>
      </c>
      <c r="M70" s="56">
        <f>IFERROR(__xludf.DUMMYFUNCTION("""COMPUTED_VALUE"""),0.2588235294117647)</f>
        <v>0.2588235294</v>
      </c>
      <c r="N70" s="31">
        <f>IFERROR(__xludf.DUMMYFUNCTION("""COMPUTED_VALUE"""),358.6666666666667)</f>
        <v>358.6666667</v>
      </c>
      <c r="O70" s="57">
        <f>IFERROR(__xludf.DUMMYFUNCTION("""COMPUTED_VALUE"""),0.7333333333333333)</f>
        <v>0.7333333333</v>
      </c>
      <c r="P70" s="57">
        <f>IFERROR(__xludf.DUMMYFUNCTION("""COMPUTED_VALUE"""),0.5)</f>
        <v>0.5</v>
      </c>
      <c r="Q70" s="57">
        <f>IFERROR(__xludf.DUMMYFUNCTION("""COMPUTED_VALUE"""),1.3666666666666667)</f>
        <v>1.366666667</v>
      </c>
      <c r="R70" s="57">
        <f>IFERROR(__xludf.DUMMYFUNCTION("""COMPUTED_VALUE"""),2.8333333333333335)</f>
        <v>2.833333333</v>
      </c>
      <c r="S70" s="31">
        <f>IFERROR(__xludf.DUMMYFUNCTION("""COMPUTED_VALUE"""),324.24444444444435)</f>
        <v>324.2444444</v>
      </c>
      <c r="T70" s="57">
        <f>IFERROR(__xludf.DUMMYFUNCTION("""COMPUTED_VALUE"""),0.6333333333333332)</f>
        <v>0.6333333333</v>
      </c>
      <c r="U70" s="57">
        <f>IFERROR(__xludf.DUMMYFUNCTION("""COMPUTED_VALUE"""),0.4000000000000001)</f>
        <v>0.4</v>
      </c>
      <c r="V70" s="57">
        <f>IFERROR(__xludf.DUMMYFUNCTION("""COMPUTED_VALUE"""),1.4444444444444442)</f>
        <v>1.444444444</v>
      </c>
      <c r="W70" s="57">
        <f>IFERROR(__xludf.DUMMYFUNCTION("""COMPUTED_VALUE"""),2.155555555555556)</f>
        <v>2.155555556</v>
      </c>
      <c r="X70" s="31">
        <f>IFERROR(__xludf.DUMMYFUNCTION("""COMPUTED_VALUE"""),338.6455646997075)</f>
        <v>338.6455647</v>
      </c>
      <c r="Y70" s="57">
        <f>IFERROR(__xludf.DUMMYFUNCTION("""COMPUTED_VALUE"""),0.8027807219221714)</f>
        <v>0.8027807219</v>
      </c>
      <c r="Z70" s="57">
        <f>IFERROR(__xludf.DUMMYFUNCTION("""COMPUTED_VALUE"""),0.5257560115773882)</f>
        <v>0.5257560116</v>
      </c>
      <c r="AA70" s="57">
        <f>IFERROR(__xludf.DUMMYFUNCTION("""COMPUTED_VALUE"""),1.1959537825581414)</f>
        <v>1.195953783</v>
      </c>
      <c r="AB70" s="57">
        <f>IFERROR(__xludf.DUMMYFUNCTION("""COMPUTED_VALUE"""),2.461350846508864)</f>
        <v>2.461350847</v>
      </c>
      <c r="AC70" s="31">
        <f>IFERROR(__xludf.DUMMYFUNCTION("""COMPUTED_VALUE"""),320.26712176804347)</f>
        <v>320.2671218</v>
      </c>
      <c r="AD70" s="57">
        <f>IFERROR(__xludf.DUMMYFUNCTION("""COMPUTED_VALUE"""),0.6747224002080282)</f>
        <v>0.6747224002</v>
      </c>
      <c r="AE70" s="57">
        <f>IFERROR(__xludf.DUMMYFUNCTION("""COMPUTED_VALUE"""),0.4635931756134382)</f>
        <v>0.4635931756</v>
      </c>
      <c r="AF70" s="57">
        <f>IFERROR(__xludf.DUMMYFUNCTION("""COMPUTED_VALUE"""),1.1917994345182703)</f>
        <v>1.191799435</v>
      </c>
      <c r="AG70" s="57">
        <f>IFERROR(__xludf.DUMMYFUNCTION("""COMPUTED_VALUE"""),2.330033236198721)</f>
        <v>2.330033236</v>
      </c>
      <c r="AH70" s="57">
        <f>IFERROR(__xludf.DUMMYFUNCTION("""COMPUTED_VALUE"""),1.1198984918796455)</f>
        <v>1.119898492</v>
      </c>
      <c r="AI70" s="57">
        <f>IFERROR(__xludf.DUMMYFUNCTION("""COMPUTED_VALUE"""),1.086866736760532)</f>
        <v>1.086866737</v>
      </c>
      <c r="AJ70" s="57">
        <f>IFERROR(__xludf.DUMMYFUNCTION("""COMPUTED_VALUE"""),1.0785318384775344)</f>
        <v>1.078531838</v>
      </c>
      <c r="AK70" s="57">
        <f>IFERROR(__xludf.DUMMYFUNCTION("""COMPUTED_VALUE"""),1.1467253860705835)</f>
        <v>1.146725386</v>
      </c>
      <c r="AL70" s="57">
        <f>IFERROR(__xludf.DUMMYFUNCTION("""COMPUTED_VALUE"""),1.2160055441765758)</f>
        <v>1.216005544</v>
      </c>
      <c r="AM70" s="57">
        <f>IFERROR(__xludf.DUMMYFUNCTION("""COMPUTED_VALUE"""),0.9574743573918256)</f>
        <v>0.9574743574</v>
      </c>
      <c r="AN70" s="57">
        <f>IFERROR(__xludf.DUMMYFUNCTION("""COMPUTED_VALUE"""),0.7889244423021086)</f>
        <v>0.7889244423</v>
      </c>
      <c r="AO70" s="57">
        <f>IFERROR(__xludf.DUMMYFUNCTION("""COMPUTED_VALUE"""),0.7608091799082024)</f>
        <v>0.7608091799</v>
      </c>
      <c r="AP70" s="35">
        <f>IFERROR(__xludf.DUMMYFUNCTION("""COMPUTED_VALUE"""),1.207776141110388)</f>
        <v>1.207776141</v>
      </c>
      <c r="AQ70" s="57">
        <f>IFERROR(__xludf.DUMMYFUNCTION("""COMPUTED_VALUE"""),0.8757611937416226)</f>
        <v>0.8757611937</v>
      </c>
      <c r="AR70" s="36" t="b">
        <f>IFERROR(__xludf.DUMMYFUNCTION("""COMPUTED_VALUE"""),TRUE)</f>
        <v>1</v>
      </c>
      <c r="AS70" s="57"/>
      <c r="AT70" s="37"/>
      <c r="AU70" s="30"/>
      <c r="AV70" s="30"/>
      <c r="AW70" s="30"/>
      <c r="AX70" s="30"/>
      <c r="AY70" s="30"/>
      <c r="AZ70" s="30"/>
    </row>
    <row r="71">
      <c r="A71" s="30" t="str">
        <f>IFERROR(__xludf.DUMMYFUNCTION("""COMPUTED_VALUE"""),"Challenger")</f>
        <v>Challenger</v>
      </c>
      <c r="B71" s="30" t="str">
        <f>IFERROR(__xludf.DUMMYFUNCTION("""COMPUTED_VALUE"""),"RSC004681")</f>
        <v>RSC004681</v>
      </c>
      <c r="C71" s="30" t="str">
        <f>IFERROR(__xludf.DUMMYFUNCTION("""COMPUTED_VALUE"""),"Speciial_Eddy")</f>
        <v>Speciial_Eddy</v>
      </c>
      <c r="D71" s="31" t="str">
        <f>IFERROR(__xludf.DUMMYFUNCTION("""COMPUTED_VALUE"""),"Jock O Lanterns")</f>
        <v>Jock O Lanterns</v>
      </c>
      <c r="E71" s="31">
        <f>IFERROR(__xludf.DUMMYFUNCTION("""COMPUTED_VALUE"""),66.89081013064026)</f>
        <v>66.89081013</v>
      </c>
      <c r="F71" s="31">
        <f>IFERROR(__xludf.DUMMYFUNCTION("""COMPUTED_VALUE"""),4.005815948521708)</f>
        <v>4.005815949</v>
      </c>
      <c r="G71" s="31">
        <f>IFERROR(__xludf.DUMMYFUNCTION("""COMPUTED_VALUE"""),45.43728313106222)</f>
        <v>45.43728313</v>
      </c>
      <c r="H71" s="31">
        <f>IFERROR(__xludf.DUMMYFUNCTION("""COMPUTED_VALUE"""),-2.33867923033227)</f>
        <v>-2.33867923</v>
      </c>
      <c r="I71" s="54">
        <f>IFERROR(__xludf.DUMMYFUNCTION("""COMPUTED_VALUE"""),11.0)</f>
        <v>11</v>
      </c>
      <c r="J71" s="55">
        <f>IFERROR(__xludf.DUMMYFUNCTION("""COMPUTED_VALUE"""),7.0)</f>
        <v>7</v>
      </c>
      <c r="K71" s="54">
        <f>IFERROR(__xludf.DUMMYFUNCTION("""COMPUTED_VALUE"""),4.0)</f>
        <v>4</v>
      </c>
      <c r="L71" s="56">
        <f>IFERROR(__xludf.DUMMYFUNCTION("""COMPUTED_VALUE"""),0.6363636363636364)</f>
        <v>0.6363636364</v>
      </c>
      <c r="M71" s="56">
        <f>IFERROR(__xludf.DUMMYFUNCTION("""COMPUTED_VALUE"""),0.2571428571428572)</f>
        <v>0.2571428571</v>
      </c>
      <c r="N71" s="31">
        <f>IFERROR(__xludf.DUMMYFUNCTION("""COMPUTED_VALUE"""),375.6363636363636)</f>
        <v>375.6363636</v>
      </c>
      <c r="O71" s="57">
        <f>IFERROR(__xludf.DUMMYFUNCTION("""COMPUTED_VALUE"""),0.8181818181818182)</f>
        <v>0.8181818182</v>
      </c>
      <c r="P71" s="57">
        <f>IFERROR(__xludf.DUMMYFUNCTION("""COMPUTED_VALUE"""),0.5454545454545454)</f>
        <v>0.5454545455</v>
      </c>
      <c r="Q71" s="57">
        <f>IFERROR(__xludf.DUMMYFUNCTION("""COMPUTED_VALUE"""),1.6363636363636365)</f>
        <v>1.636363636</v>
      </c>
      <c r="R71" s="57">
        <f>IFERROR(__xludf.DUMMYFUNCTION("""COMPUTED_VALUE"""),3.1818181818181817)</f>
        <v>3.181818182</v>
      </c>
      <c r="S71" s="31">
        <f>IFERROR(__xludf.DUMMYFUNCTION("""COMPUTED_VALUE"""),395.3636363636364)</f>
        <v>395.3636364</v>
      </c>
      <c r="T71" s="57">
        <f>IFERROR(__xludf.DUMMYFUNCTION("""COMPUTED_VALUE"""),0.8484848484848485)</f>
        <v>0.8484848485</v>
      </c>
      <c r="U71" s="57">
        <f>IFERROR(__xludf.DUMMYFUNCTION("""COMPUTED_VALUE"""),0.606060606060606)</f>
        <v>0.6060606061</v>
      </c>
      <c r="V71" s="57">
        <f>IFERROR(__xludf.DUMMYFUNCTION("""COMPUTED_VALUE"""),1.5454545454545454)</f>
        <v>1.545454545</v>
      </c>
      <c r="W71" s="57">
        <f>IFERROR(__xludf.DUMMYFUNCTION("""COMPUTED_VALUE"""),2.8181818181818183)</f>
        <v>2.818181818</v>
      </c>
      <c r="X71" s="31">
        <f>IFERROR(__xludf.DUMMYFUNCTION("""COMPUTED_VALUE"""),339.39131220210766)</f>
        <v>339.3913122</v>
      </c>
      <c r="Y71" s="57">
        <f>IFERROR(__xludf.DUMMYFUNCTION("""COMPUTED_VALUE"""),0.8072199265381084)</f>
        <v>0.8072199265</v>
      </c>
      <c r="Z71" s="57">
        <f>IFERROR(__xludf.DUMMYFUNCTION("""COMPUTED_VALUE"""),0.6390878481787573)</f>
        <v>0.6390878482</v>
      </c>
      <c r="AA71" s="57">
        <f>IFERROR(__xludf.DUMMYFUNCTION("""COMPUTED_VALUE"""),1.14400443832262)</f>
        <v>1.144004438</v>
      </c>
      <c r="AB71" s="57">
        <f>IFERROR(__xludf.DUMMYFUNCTION("""COMPUTED_VALUE"""),2.5425950522541436)</f>
        <v>2.542595052</v>
      </c>
      <c r="AC71" s="31">
        <f>IFERROR(__xludf.DUMMYFUNCTION("""COMPUTED_VALUE"""),334.97252512498727)</f>
        <v>334.9725251</v>
      </c>
      <c r="AD71" s="57">
        <f>IFERROR(__xludf.DUMMYFUNCTION("""COMPUTED_VALUE"""),0.7787292113049687)</f>
        <v>0.7787292113</v>
      </c>
      <c r="AE71" s="57">
        <f>IFERROR(__xludf.DUMMYFUNCTION("""COMPUTED_VALUE"""),0.5311156296004781)</f>
        <v>0.5311156296</v>
      </c>
      <c r="AF71" s="57">
        <f>IFERROR(__xludf.DUMMYFUNCTION("""COMPUTED_VALUE"""),1.2466974033261915)</f>
        <v>1.246697403</v>
      </c>
      <c r="AG71" s="57">
        <f>IFERROR(__xludf.DUMMYFUNCTION("""COMPUTED_VALUE"""),2.4045320630547904)</f>
        <v>2.404532063</v>
      </c>
      <c r="AH71" s="57">
        <f>IFERROR(__xludf.DUMMYFUNCTION("""COMPUTED_VALUE"""),1.1213945486908323)</f>
        <v>1.121394549</v>
      </c>
      <c r="AI71" s="57">
        <f>IFERROR(__xludf.DUMMYFUNCTION("""COMPUTED_VALUE"""),1.0506628058946654)</f>
        <v>1.050662806</v>
      </c>
      <c r="AJ71" s="57">
        <f>IFERROR(__xludf.DUMMYFUNCTION("""COMPUTED_VALUE"""),1.0269977290347367)</f>
        <v>1.026997729</v>
      </c>
      <c r="AK71" s="57">
        <f>IFERROR(__xludf.DUMMYFUNCTION("""COMPUTED_VALUE"""),1.3125587909285883)</f>
        <v>1.312558791</v>
      </c>
      <c r="AL71" s="57">
        <f>IFERROR(__xludf.DUMMYFUNCTION("""COMPUTED_VALUE"""),1.32325878731511)</f>
        <v>1.323258787</v>
      </c>
      <c r="AM71" s="57">
        <f>IFERROR(__xludf.DUMMYFUNCTION("""COMPUTED_VALUE"""),1.1649197317349043)</f>
        <v>1.164919732</v>
      </c>
      <c r="AN71" s="57">
        <f>IFERROR(__xludf.DUMMYFUNCTION("""COMPUTED_VALUE"""),1.0511198009242801)</f>
        <v>1.051119801</v>
      </c>
      <c r="AO71" s="57">
        <f>IFERROR(__xludf.DUMMYFUNCTION("""COMPUTED_VALUE"""),0.9483212797547773)</f>
        <v>0.9483212798</v>
      </c>
      <c r="AP71" s="35">
        <f>IFERROR(__xludf.DUMMYFUNCTION("""COMPUTED_VALUE"""),1.3509165643802448)</f>
        <v>1.350916564</v>
      </c>
      <c r="AQ71" s="57">
        <f>IFERROR(__xludf.DUMMYFUNCTION("""COMPUTED_VALUE"""),1.108387989539802)</f>
        <v>1.10838799</v>
      </c>
      <c r="AR71" s="36" t="b">
        <f>IFERROR(__xludf.DUMMYFUNCTION("""COMPUTED_VALUE"""),TRUE)</f>
        <v>1</v>
      </c>
      <c r="AS71" s="57"/>
      <c r="AT71" s="37"/>
      <c r="AU71" s="30"/>
      <c r="AV71" s="30"/>
      <c r="AW71" s="30"/>
      <c r="AX71" s="30"/>
      <c r="AY71" s="30"/>
      <c r="AZ71" s="30"/>
    </row>
    <row r="72">
      <c r="A72" s="30" t="str">
        <f>IFERROR(__xludf.DUMMYFUNCTION("""COMPUTED_VALUE"""),"Challenger")</f>
        <v>Challenger</v>
      </c>
      <c r="B72" s="30" t="str">
        <f>IFERROR(__xludf.DUMMYFUNCTION("""COMPUTED_VALUE"""),"RSC006353")</f>
        <v>RSC006353</v>
      </c>
      <c r="C72" s="30" t="str">
        <f>IFERROR(__xludf.DUMMYFUNCTION("""COMPUTED_VALUE"""),"Novarchite")</f>
        <v>Novarchite</v>
      </c>
      <c r="D72" s="31"/>
      <c r="E72" s="31">
        <f>IFERROR(__xludf.DUMMYFUNCTION("""COMPUTED_VALUE"""),66.83798005886106)</f>
        <v>66.83798006</v>
      </c>
      <c r="F72" s="31">
        <f>IFERROR(__xludf.DUMMYFUNCTION("""COMPUTED_VALUE"""),3.995069791611853)</f>
        <v>3.995069792</v>
      </c>
      <c r="G72" s="31">
        <f>IFERROR(__xludf.DUMMYFUNCTION("""COMPUTED_VALUE"""),39.16340607223939)</f>
        <v>39.16340607</v>
      </c>
      <c r="H72" s="31">
        <f>IFERROR(__xludf.DUMMYFUNCTION("""COMPUTED_VALUE"""),-3.0089762702475005)</f>
        <v>-3.00897627</v>
      </c>
      <c r="I72" s="54">
        <f>IFERROR(__xludf.DUMMYFUNCTION("""COMPUTED_VALUE"""),4.0)</f>
        <v>4</v>
      </c>
      <c r="J72" s="55">
        <f>IFERROR(__xludf.DUMMYFUNCTION("""COMPUTED_VALUE"""),3.0)</f>
        <v>3</v>
      </c>
      <c r="K72" s="54">
        <f>IFERROR(__xludf.DUMMYFUNCTION("""COMPUTED_VALUE"""),1.0)</f>
        <v>1</v>
      </c>
      <c r="L72" s="56">
        <f>IFERROR(__xludf.DUMMYFUNCTION("""COMPUTED_VALUE"""),0.75)</f>
        <v>0.75</v>
      </c>
      <c r="M72" s="56">
        <f>IFERROR(__xludf.DUMMYFUNCTION("""COMPUTED_VALUE"""),0.13333333333333333)</f>
        <v>0.1333333333</v>
      </c>
      <c r="N72" s="31">
        <f>IFERROR(__xludf.DUMMYFUNCTION("""COMPUTED_VALUE"""),270.0)</f>
        <v>270</v>
      </c>
      <c r="O72" s="57">
        <f>IFERROR(__xludf.DUMMYFUNCTION("""COMPUTED_VALUE"""),0.5)</f>
        <v>0.5</v>
      </c>
      <c r="P72" s="57">
        <f>IFERROR(__xludf.DUMMYFUNCTION("""COMPUTED_VALUE"""),0.75)</f>
        <v>0.75</v>
      </c>
      <c r="Q72" s="57">
        <f>IFERROR(__xludf.DUMMYFUNCTION("""COMPUTED_VALUE"""),0.5)</f>
        <v>0.5</v>
      </c>
      <c r="R72" s="57">
        <f>IFERROR(__xludf.DUMMYFUNCTION("""COMPUTED_VALUE"""),3.75)</f>
        <v>3.75</v>
      </c>
      <c r="S72" s="31">
        <f>IFERROR(__xludf.DUMMYFUNCTION("""COMPUTED_VALUE"""),293.5)</f>
        <v>293.5</v>
      </c>
      <c r="T72" s="57">
        <f>IFERROR(__xludf.DUMMYFUNCTION("""COMPUTED_VALUE"""),0.49999999999999994)</f>
        <v>0.5</v>
      </c>
      <c r="U72" s="57">
        <f>IFERROR(__xludf.DUMMYFUNCTION("""COMPUTED_VALUE"""),0.25)</f>
        <v>0.25</v>
      </c>
      <c r="V72" s="57">
        <f>IFERROR(__xludf.DUMMYFUNCTION("""COMPUTED_VALUE"""),1.4166666666666665)</f>
        <v>1.416666667</v>
      </c>
      <c r="W72" s="57">
        <f>IFERROR(__xludf.DUMMYFUNCTION("""COMPUTED_VALUE"""),1.75)</f>
        <v>1.75</v>
      </c>
      <c r="X72" s="31">
        <f>IFERROR(__xludf.DUMMYFUNCTION("""COMPUTED_VALUE"""),334.767894265233)</f>
        <v>334.7678943</v>
      </c>
      <c r="Y72" s="57">
        <f>IFERROR(__xludf.DUMMYFUNCTION("""COMPUTED_VALUE"""),0.611356886840758)</f>
        <v>0.6113568868</v>
      </c>
      <c r="Z72" s="57">
        <f>IFERROR(__xludf.DUMMYFUNCTION("""COMPUTED_VALUE"""),0.42346390168970816)</f>
        <v>0.4234639017</v>
      </c>
      <c r="AA72" s="57">
        <f>IFERROR(__xludf.DUMMYFUNCTION("""COMPUTED_VALUE"""),1.4985215053763443)</f>
        <v>1.498521505</v>
      </c>
      <c r="AB72" s="57">
        <f>IFERROR(__xludf.DUMMYFUNCTION("""COMPUTED_VALUE"""),2.007153097798259)</f>
        <v>2.007153098</v>
      </c>
      <c r="AC72" s="31">
        <f>IFERROR(__xludf.DUMMYFUNCTION("""COMPUTED_VALUE"""),346.637585338795)</f>
        <v>346.6375853</v>
      </c>
      <c r="AD72" s="57">
        <f>IFERROR(__xludf.DUMMYFUNCTION("""COMPUTED_VALUE"""),0.7762877624167948)</f>
        <v>0.7762877624</v>
      </c>
      <c r="AE72" s="57">
        <f>IFERROR(__xludf.DUMMYFUNCTION("""COMPUTED_VALUE"""),0.5471142686465265)</f>
        <v>0.5471142686</v>
      </c>
      <c r="AF72" s="57">
        <f>IFERROR(__xludf.DUMMYFUNCTION("""COMPUTED_VALUE"""),1.0394593787335722)</f>
        <v>1.039459379</v>
      </c>
      <c r="AG72" s="57">
        <f>IFERROR(__xludf.DUMMYFUNCTION("""COMPUTED_VALUE"""),2.891429424816522)</f>
        <v>2.891429425</v>
      </c>
      <c r="AH72" s="57">
        <f>IFERROR(__xludf.DUMMYFUNCTION("""COMPUTED_VALUE"""),0.7789114955209161)</f>
        <v>0.7789114955</v>
      </c>
      <c r="AI72" s="57">
        <f>IFERROR(__xludf.DUMMYFUNCTION("""COMPUTED_VALUE"""),0.6440910500036277)</f>
        <v>0.64409105</v>
      </c>
      <c r="AJ72" s="57">
        <f>IFERROR(__xludf.DUMMYFUNCTION("""COMPUTED_VALUE"""),1.3708288066684506)</f>
        <v>1.370828807</v>
      </c>
      <c r="AK72" s="57">
        <f>IFERROR(__xludf.DUMMYFUNCTION("""COMPUTED_VALUE"""),0.48101927812626616)</f>
        <v>0.4810192781</v>
      </c>
      <c r="AL72" s="57">
        <f>IFERROR(__xludf.DUMMYFUNCTION("""COMPUTED_VALUE"""),1.2969363761102208)</f>
        <v>1.296936376</v>
      </c>
      <c r="AM72" s="57">
        <f>IFERROR(__xludf.DUMMYFUNCTION("""COMPUTED_VALUE"""),0.8767268457573865)</f>
        <v>0.8767268458</v>
      </c>
      <c r="AN72" s="57">
        <f>IFERROR(__xludf.DUMMYFUNCTION("""COMPUTED_VALUE"""),0.8178528953583809)</f>
        <v>0.8178528954</v>
      </c>
      <c r="AO72" s="57">
        <f>IFERROR(__xludf.DUMMYFUNCTION("""COMPUTED_VALUE"""),0.5903690940418972)</f>
        <v>0.590369094</v>
      </c>
      <c r="AP72" s="35">
        <f>IFERROR(__xludf.DUMMYFUNCTION("""COMPUTED_VALUE"""),0.9453762669297693)</f>
        <v>0.9453762669</v>
      </c>
      <c r="AQ72" s="57">
        <f>IFERROR(__xludf.DUMMYFUNCTION("""COMPUTED_VALUE"""),0.8718816725638207)</f>
        <v>0.8718816726</v>
      </c>
      <c r="AR72" s="36" t="b">
        <f>IFERROR(__xludf.DUMMYFUNCTION("""COMPUTED_VALUE"""),TRUE)</f>
        <v>1</v>
      </c>
      <c r="AS72" s="57"/>
      <c r="AT72" s="37"/>
      <c r="AU72" s="30"/>
      <c r="AV72" s="30"/>
      <c r="AW72" s="30"/>
      <c r="AX72" s="30"/>
      <c r="AY72" s="30"/>
      <c r="AZ72" s="30"/>
    </row>
    <row r="73">
      <c r="A73" s="30" t="str">
        <f>IFERROR(__xludf.DUMMYFUNCTION("""COMPUTED_VALUE"""),"Challenger")</f>
        <v>Challenger</v>
      </c>
      <c r="B73" s="30" t="str">
        <f>IFERROR(__xludf.DUMMYFUNCTION("""COMPUTED_VALUE"""),"RSC004059")</f>
        <v>RSC004059</v>
      </c>
      <c r="C73" s="30" t="str">
        <f>IFERROR(__xludf.DUMMYFUNCTION("""COMPUTED_VALUE"""),"turboalpaca")</f>
        <v>turboalpaca</v>
      </c>
      <c r="D73" s="31" t="str">
        <f>IFERROR(__xludf.DUMMYFUNCTION("""COMPUTED_VALUE"""),"Decuriones")</f>
        <v>Decuriones</v>
      </c>
      <c r="E73" s="31">
        <f>IFERROR(__xludf.DUMMYFUNCTION("""COMPUTED_VALUE"""),66.27375915975266)</f>
        <v>66.27375916</v>
      </c>
      <c r="F73" s="31">
        <f>IFERROR(__xludf.DUMMYFUNCTION("""COMPUTED_VALUE"""),3.8829030811440237)</f>
        <v>3.882903081</v>
      </c>
      <c r="G73" s="31">
        <f>IFERROR(__xludf.DUMMYFUNCTION("""COMPUTED_VALUE"""),64.94332062322053)</f>
        <v>64.94332062</v>
      </c>
      <c r="H73" s="31">
        <f>IFERROR(__xludf.DUMMYFUNCTION("""COMPUTED_VALUE"""),3.6362431816605807)</f>
        <v>3.636243182</v>
      </c>
      <c r="I73" s="54">
        <f>IFERROR(__xludf.DUMMYFUNCTION("""COMPUTED_VALUE"""),25.0)</f>
        <v>25</v>
      </c>
      <c r="J73" s="55">
        <f>IFERROR(__xludf.DUMMYFUNCTION("""COMPUTED_VALUE"""),15.0)</f>
        <v>15</v>
      </c>
      <c r="K73" s="54">
        <f>IFERROR(__xludf.DUMMYFUNCTION("""COMPUTED_VALUE"""),10.0)</f>
        <v>10</v>
      </c>
      <c r="L73" s="56">
        <f>IFERROR(__xludf.DUMMYFUNCTION("""COMPUTED_VALUE"""),0.6)</f>
        <v>0.6</v>
      </c>
      <c r="M73" s="56">
        <f>IFERROR(__xludf.DUMMYFUNCTION("""COMPUTED_VALUE"""),0.3442622950819672)</f>
        <v>0.3442622951</v>
      </c>
      <c r="N73" s="31">
        <f>IFERROR(__xludf.DUMMYFUNCTION("""COMPUTED_VALUE"""),327.04)</f>
        <v>327.04</v>
      </c>
      <c r="O73" s="57">
        <f>IFERROR(__xludf.DUMMYFUNCTION("""COMPUTED_VALUE"""),0.84)</f>
        <v>0.84</v>
      </c>
      <c r="P73" s="57">
        <f>IFERROR(__xludf.DUMMYFUNCTION("""COMPUTED_VALUE"""),0.72)</f>
        <v>0.72</v>
      </c>
      <c r="Q73" s="57">
        <f>IFERROR(__xludf.DUMMYFUNCTION("""COMPUTED_VALUE"""),0.88)</f>
        <v>0.88</v>
      </c>
      <c r="R73" s="57">
        <f>IFERROR(__xludf.DUMMYFUNCTION("""COMPUTED_VALUE"""),2.44)</f>
        <v>2.44</v>
      </c>
      <c r="S73" s="31">
        <f>IFERROR(__xludf.DUMMYFUNCTION("""COMPUTED_VALUE"""),296.87999999999994)</f>
        <v>296.88</v>
      </c>
      <c r="T73" s="57">
        <f>IFERROR(__xludf.DUMMYFUNCTION("""COMPUTED_VALUE"""),0.5733333333333334)</f>
        <v>0.5733333333</v>
      </c>
      <c r="U73" s="57">
        <f>IFERROR(__xludf.DUMMYFUNCTION("""COMPUTED_VALUE"""),0.3999999999999999)</f>
        <v>0.4</v>
      </c>
      <c r="V73" s="57">
        <f>IFERROR(__xludf.DUMMYFUNCTION("""COMPUTED_VALUE"""),1.2400000000000002)</f>
        <v>1.24</v>
      </c>
      <c r="W73" s="57">
        <f>IFERROR(__xludf.DUMMYFUNCTION("""COMPUTED_VALUE"""),1.8933333333333335)</f>
        <v>1.893333333</v>
      </c>
      <c r="X73" s="31">
        <f>IFERROR(__xludf.DUMMYFUNCTION("""COMPUTED_VALUE"""),327.9849846933521)</f>
        <v>327.9849847</v>
      </c>
      <c r="Y73" s="57">
        <f>IFERROR(__xludf.DUMMYFUNCTION("""COMPUTED_VALUE"""),0.7140208095224126)</f>
        <v>0.7140208095</v>
      </c>
      <c r="Z73" s="57">
        <f>IFERROR(__xludf.DUMMYFUNCTION("""COMPUTED_VALUE"""),0.5327288967964009)</f>
        <v>0.5327288968</v>
      </c>
      <c r="AA73" s="57">
        <f>IFERROR(__xludf.DUMMYFUNCTION("""COMPUTED_VALUE"""),1.2589139540958558)</f>
        <v>1.258913954</v>
      </c>
      <c r="AB73" s="57">
        <f>IFERROR(__xludf.DUMMYFUNCTION("""COMPUTED_VALUE"""),2.190903494025852)</f>
        <v>2.190903494</v>
      </c>
      <c r="AC73" s="31">
        <f>IFERROR(__xludf.DUMMYFUNCTION("""COMPUTED_VALUE"""),332.26603928540027)</f>
        <v>332.2660393</v>
      </c>
      <c r="AD73" s="57">
        <f>IFERROR(__xludf.DUMMYFUNCTION("""COMPUTED_VALUE"""),0.813710635188421)</f>
        <v>0.8137106352</v>
      </c>
      <c r="AE73" s="57">
        <f>IFERROR(__xludf.DUMMYFUNCTION("""COMPUTED_VALUE"""),0.5745110051303646)</f>
        <v>0.5745110051</v>
      </c>
      <c r="AF73" s="57">
        <f>IFERROR(__xludf.DUMMYFUNCTION("""COMPUTED_VALUE"""),1.079802696793078)</f>
        <v>1.079802697</v>
      </c>
      <c r="AG73" s="57">
        <f>IFERROR(__xludf.DUMMYFUNCTION("""COMPUTED_VALUE"""),2.533669499551351)</f>
        <v>2.5336695</v>
      </c>
      <c r="AH73" s="57">
        <f>IFERROR(__xludf.DUMMYFUNCTION("""COMPUTED_VALUE"""),0.9842715214090497)</f>
        <v>0.9842715214</v>
      </c>
      <c r="AI73" s="57">
        <f>IFERROR(__xludf.DUMMYFUNCTION("""COMPUTED_VALUE"""),1.0323080019784816)</f>
        <v>1.032308002</v>
      </c>
      <c r="AJ73" s="57">
        <f>IFERROR(__xludf.DUMMYFUNCTION("""COMPUTED_VALUE"""),1.253239700493852)</f>
        <v>1.2532397</v>
      </c>
      <c r="AK73" s="57">
        <f>IFERROR(__xludf.DUMMYFUNCTION("""COMPUTED_VALUE"""),0.8149636990290217)</f>
        <v>0.814963699</v>
      </c>
      <c r="AL73" s="57">
        <f>IFERROR(__xludf.DUMMYFUNCTION("""COMPUTED_VALUE"""),0.9630301033469686)</f>
        <v>0.9630301033</v>
      </c>
      <c r="AM73" s="57">
        <f>IFERROR(__xludf.DUMMYFUNCTION("""COMPUTED_VALUE"""),0.9051633881275584)</f>
        <v>0.9051633881</v>
      </c>
      <c r="AN73" s="57">
        <f>IFERROR(__xludf.DUMMYFUNCTION("""COMPUTED_VALUE"""),0.8029644594207542)</f>
        <v>0.8029644594</v>
      </c>
      <c r="AO73" s="57">
        <f>IFERROR(__xludf.DUMMYFUNCTION("""COMPUTED_VALUE"""),0.750850953281163)</f>
        <v>0.7508509533</v>
      </c>
      <c r="AP73" s="35">
        <f>IFERROR(__xludf.DUMMYFUNCTION("""COMPUTED_VALUE"""),0.9849759754951326)</f>
        <v>0.9849759755</v>
      </c>
      <c r="AQ73" s="57">
        <f>IFERROR(__xludf.DUMMYFUNCTION("""COMPUTED_VALUE"""),0.8641792477377797)</f>
        <v>0.8641792477</v>
      </c>
      <c r="AR73" s="36" t="b">
        <f>IFERROR(__xludf.DUMMYFUNCTION("""COMPUTED_VALUE"""),TRUE)</f>
        <v>1</v>
      </c>
      <c r="AS73" s="57"/>
      <c r="AT73" s="37"/>
      <c r="AU73" s="30"/>
      <c r="AV73" s="30"/>
      <c r="AW73" s="30"/>
      <c r="AX73" s="30"/>
      <c r="AY73" s="30"/>
      <c r="AZ73" s="30"/>
    </row>
    <row r="74">
      <c r="A74" s="30" t="str">
        <f>IFERROR(__xludf.DUMMYFUNCTION("""COMPUTED_VALUE"""),"Challenger")</f>
        <v>Challenger</v>
      </c>
      <c r="B74" s="30" t="str">
        <f>IFERROR(__xludf.DUMMYFUNCTION("""COMPUTED_VALUE"""),"RSC005150")</f>
        <v>RSC005150</v>
      </c>
      <c r="C74" s="30" t="str">
        <f>IFERROR(__xludf.DUMMYFUNCTION("""COMPUTED_VALUE"""),"Galatiq")</f>
        <v>Galatiq</v>
      </c>
      <c r="D74" s="31" t="str">
        <f>IFERROR(__xludf.DUMMYFUNCTION("""COMPUTED_VALUE"""),"Lions")</f>
        <v>Lions</v>
      </c>
      <c r="E74" s="31">
        <f>IFERROR(__xludf.DUMMYFUNCTION("""COMPUTED_VALUE"""),66.26542613503918)</f>
        <v>66.26542614</v>
      </c>
      <c r="F74" s="31">
        <f>IFERROR(__xludf.DUMMYFUNCTION("""COMPUTED_VALUE"""),3.881281501281101)</f>
        <v>3.881281501</v>
      </c>
      <c r="G74" s="31">
        <f>IFERROR(__xludf.DUMMYFUNCTION("""COMPUTED_VALUE"""),59.718694153453804)</f>
        <v>59.71869415</v>
      </c>
      <c r="H74" s="31">
        <f>IFERROR(__xludf.DUMMYFUNCTION("""COMPUTED_VALUE"""),2.867536678540614)</f>
        <v>2.867536679</v>
      </c>
      <c r="I74" s="54">
        <f>IFERROR(__xludf.DUMMYFUNCTION("""COMPUTED_VALUE"""),33.0)</f>
        <v>33</v>
      </c>
      <c r="J74" s="55">
        <f>IFERROR(__xludf.DUMMYFUNCTION("""COMPUTED_VALUE"""),16.0)</f>
        <v>16</v>
      </c>
      <c r="K74" s="54">
        <f>IFERROR(__xludf.DUMMYFUNCTION("""COMPUTED_VALUE"""),17.0)</f>
        <v>17</v>
      </c>
      <c r="L74" s="56">
        <f>IFERROR(__xludf.DUMMYFUNCTION("""COMPUTED_VALUE"""),0.48484848484848486)</f>
        <v>0.4848484848</v>
      </c>
      <c r="M74" s="56">
        <f>IFERROR(__xludf.DUMMYFUNCTION("""COMPUTED_VALUE"""),0.2705882352941177)</f>
        <v>0.2705882353</v>
      </c>
      <c r="N74" s="31">
        <f>IFERROR(__xludf.DUMMYFUNCTION("""COMPUTED_VALUE"""),345.72727272727275)</f>
        <v>345.7272727</v>
      </c>
      <c r="O74" s="57">
        <f>IFERROR(__xludf.DUMMYFUNCTION("""COMPUTED_VALUE"""),0.696969696969697)</f>
        <v>0.696969697</v>
      </c>
      <c r="P74" s="57">
        <f>IFERROR(__xludf.DUMMYFUNCTION("""COMPUTED_VALUE"""),0.9090909090909091)</f>
        <v>0.9090909091</v>
      </c>
      <c r="Q74" s="57">
        <f>IFERROR(__xludf.DUMMYFUNCTION("""COMPUTED_VALUE"""),1.303030303030303)</f>
        <v>1.303030303</v>
      </c>
      <c r="R74" s="57">
        <f>IFERROR(__xludf.DUMMYFUNCTION("""COMPUTED_VALUE"""),2.5757575757575757)</f>
        <v>2.575757576</v>
      </c>
      <c r="S74" s="31">
        <f>IFERROR(__xludf.DUMMYFUNCTION("""COMPUTED_VALUE"""),331.67676767676767)</f>
        <v>331.6767677</v>
      </c>
      <c r="T74" s="57">
        <f>IFERROR(__xludf.DUMMYFUNCTION("""COMPUTED_VALUE"""),0.7373737373737375)</f>
        <v>0.7373737374</v>
      </c>
      <c r="U74" s="57">
        <f>IFERROR(__xludf.DUMMYFUNCTION("""COMPUTED_VALUE"""),0.48484848484848486)</f>
        <v>0.4848484848</v>
      </c>
      <c r="V74" s="57">
        <f>IFERROR(__xludf.DUMMYFUNCTION("""COMPUTED_VALUE"""),1.3838383838383836)</f>
        <v>1.383838384</v>
      </c>
      <c r="W74" s="57">
        <f>IFERROR(__xludf.DUMMYFUNCTION("""COMPUTED_VALUE"""),2.1818181818181817)</f>
        <v>2.181818182</v>
      </c>
      <c r="X74" s="31">
        <f>IFERROR(__xludf.DUMMYFUNCTION("""COMPUTED_VALUE"""),334.23106984594637)</f>
        <v>334.2310698</v>
      </c>
      <c r="Y74" s="57">
        <f>IFERROR(__xludf.DUMMYFUNCTION("""COMPUTED_VALUE"""),0.7428366056866924)</f>
        <v>0.7428366057</v>
      </c>
      <c r="Z74" s="57">
        <f>IFERROR(__xludf.DUMMYFUNCTION("""COMPUTED_VALUE"""),0.5063938493346053)</f>
        <v>0.5063938493</v>
      </c>
      <c r="AA74" s="57">
        <f>IFERROR(__xludf.DUMMYFUNCTION("""COMPUTED_VALUE"""),1.2685402195639603)</f>
        <v>1.26854022</v>
      </c>
      <c r="AB74" s="57">
        <f>IFERROR(__xludf.DUMMYFUNCTION("""COMPUTED_VALUE"""),2.359500978394111)</f>
        <v>2.359500978</v>
      </c>
      <c r="AC74" s="31">
        <f>IFERROR(__xludf.DUMMYFUNCTION("""COMPUTED_VALUE"""),345.96860233429203)</f>
        <v>345.9686023</v>
      </c>
      <c r="AD74" s="57">
        <f>IFERROR(__xludf.DUMMYFUNCTION("""COMPUTED_VALUE"""),0.8380498080098412)</f>
        <v>0.838049808</v>
      </c>
      <c r="AE74" s="57">
        <f>IFERROR(__xludf.DUMMYFUNCTION("""COMPUTED_VALUE"""),0.5807820794628568)</f>
        <v>0.5807820795</v>
      </c>
      <c r="AF74" s="57">
        <f>IFERROR(__xludf.DUMMYFUNCTION("""COMPUTED_VALUE"""),1.2109124623472276)</f>
        <v>1.210912462</v>
      </c>
      <c r="AG74" s="57">
        <f>IFERROR(__xludf.DUMMYFUNCTION("""COMPUTED_VALUE"""),2.599384242560402)</f>
        <v>2.599384243</v>
      </c>
      <c r="AH74" s="57">
        <f>IFERROR(__xludf.DUMMYFUNCTION("""COMPUTED_VALUE"""),0.9993024522878926)</f>
        <v>0.9993024523</v>
      </c>
      <c r="AI74" s="57">
        <f>IFERROR(__xludf.DUMMYFUNCTION("""COMPUTED_VALUE"""),0.8316566513210305)</f>
        <v>0.8316566513</v>
      </c>
      <c r="AJ74" s="57">
        <f>IFERROR(__xludf.DUMMYFUNCTION("""COMPUTED_VALUE"""),1.565287465363416)</f>
        <v>1.565287465</v>
      </c>
      <c r="AK74" s="57">
        <f>IFERROR(__xludf.DUMMYFUNCTION("""COMPUTED_VALUE"""),1.0760730800511495)</f>
        <v>1.07607308</v>
      </c>
      <c r="AL74" s="57">
        <f>IFERROR(__xludf.DUMMYFUNCTION("""COMPUTED_VALUE"""),0.990910667835874)</f>
        <v>0.9909106678</v>
      </c>
      <c r="AM74" s="57">
        <f>IFERROR(__xludf.DUMMYFUNCTION("""COMPUTED_VALUE"""),0.9923576758726949)</f>
        <v>0.9923576759</v>
      </c>
      <c r="AN74" s="57">
        <f>IFERROR(__xludf.DUMMYFUNCTION("""COMPUTED_VALUE"""),0.9926459354976119)</f>
        <v>0.9926459355</v>
      </c>
      <c r="AO74" s="57">
        <f>IFERROR(__xludf.DUMMYFUNCTION("""COMPUTED_VALUE"""),0.9574533448334123)</f>
        <v>0.9574533448</v>
      </c>
      <c r="AP74" s="35">
        <f>IFERROR(__xludf.DUMMYFUNCTION("""COMPUTED_VALUE"""),1.0908904286172771)</f>
        <v>1.090890429</v>
      </c>
      <c r="AQ74" s="57">
        <f>IFERROR(__xludf.DUMMYFUNCTION("""COMPUTED_VALUE"""),0.9246947561357396)</f>
        <v>0.9246947561</v>
      </c>
      <c r="AR74" s="36" t="b">
        <f>IFERROR(__xludf.DUMMYFUNCTION("""COMPUTED_VALUE"""),TRUE)</f>
        <v>1</v>
      </c>
      <c r="AS74" s="57"/>
      <c r="AT74" s="37"/>
      <c r="AU74" s="30"/>
      <c r="AV74" s="30"/>
      <c r="AW74" s="30"/>
      <c r="AX74" s="30"/>
      <c r="AY74" s="30"/>
      <c r="AZ74" s="30"/>
    </row>
    <row r="75">
      <c r="A75" s="30" t="str">
        <f>IFERROR(__xludf.DUMMYFUNCTION("""COMPUTED_VALUE"""),"Challenger")</f>
        <v>Challenger</v>
      </c>
      <c r="B75" s="30" t="str">
        <f>IFERROR(__xludf.DUMMYFUNCTION("""COMPUTED_VALUE"""),"RSC007870")</f>
        <v>RSC007870</v>
      </c>
      <c r="C75" s="30" t="str">
        <f>IFERROR(__xludf.DUMMYFUNCTION("""COMPUTED_VALUE"""),"King_OaF")</f>
        <v>King_OaF</v>
      </c>
      <c r="D75" s="31" t="str">
        <f>IFERROR(__xludf.DUMMYFUNCTION("""COMPUTED_VALUE"""),"Metal")</f>
        <v>Metal</v>
      </c>
      <c r="E75" s="31">
        <f>IFERROR(__xludf.DUMMYFUNCTION("""COMPUTED_VALUE"""),66.15528718572648)</f>
        <v>66.15528719</v>
      </c>
      <c r="F75" s="31">
        <f>IFERROR(__xludf.DUMMYFUNCTION("""COMPUTED_VALUE"""),3.859942741660687)</f>
        <v>3.859942742</v>
      </c>
      <c r="G75" s="31">
        <f>IFERROR(__xludf.DUMMYFUNCTION("""COMPUTED_VALUE"""),76.13409261498508)</f>
        <v>76.13409261</v>
      </c>
      <c r="H75" s="31">
        <f>IFERROR(__xludf.DUMMYFUNCTION("""COMPUTED_VALUE"""),6.760070447847026)</f>
        <v>6.760070448</v>
      </c>
      <c r="I75" s="54">
        <f>IFERROR(__xludf.DUMMYFUNCTION("""COMPUTED_VALUE"""),21.0)</f>
        <v>21</v>
      </c>
      <c r="J75" s="55">
        <f>IFERROR(__xludf.DUMMYFUNCTION("""COMPUTED_VALUE"""),12.0)</f>
        <v>12</v>
      </c>
      <c r="K75" s="54">
        <f>IFERROR(__xludf.DUMMYFUNCTION("""COMPUTED_VALUE"""),9.0)</f>
        <v>9</v>
      </c>
      <c r="L75" s="56">
        <f>IFERROR(__xludf.DUMMYFUNCTION("""COMPUTED_VALUE"""),0.5714285714285714)</f>
        <v>0.5714285714</v>
      </c>
      <c r="M75" s="56">
        <f>IFERROR(__xludf.DUMMYFUNCTION("""COMPUTED_VALUE"""),0.3508771929824561)</f>
        <v>0.350877193</v>
      </c>
      <c r="N75" s="31">
        <f>IFERROR(__xludf.DUMMYFUNCTION("""COMPUTED_VALUE"""),374.5238095238095)</f>
        <v>374.5238095</v>
      </c>
      <c r="O75" s="57">
        <f>IFERROR(__xludf.DUMMYFUNCTION("""COMPUTED_VALUE"""),0.9523809523809523)</f>
        <v>0.9523809524</v>
      </c>
      <c r="P75" s="57">
        <f>IFERROR(__xludf.DUMMYFUNCTION("""COMPUTED_VALUE"""),0.5714285714285714)</f>
        <v>0.5714285714</v>
      </c>
      <c r="Q75" s="57">
        <f>IFERROR(__xludf.DUMMYFUNCTION("""COMPUTED_VALUE"""),1.0952380952380953)</f>
        <v>1.095238095</v>
      </c>
      <c r="R75" s="57">
        <f>IFERROR(__xludf.DUMMYFUNCTION("""COMPUTED_VALUE"""),2.7142857142857144)</f>
        <v>2.714285714</v>
      </c>
      <c r="S75" s="31">
        <f>IFERROR(__xludf.DUMMYFUNCTION("""COMPUTED_VALUE"""),315.04761904761904)</f>
        <v>315.047619</v>
      </c>
      <c r="T75" s="57">
        <f>IFERROR(__xludf.DUMMYFUNCTION("""COMPUTED_VALUE"""),0.6984126984126986)</f>
        <v>0.6984126984</v>
      </c>
      <c r="U75" s="57">
        <f>IFERROR(__xludf.DUMMYFUNCTION("""COMPUTED_VALUE"""),0.4444444444444445)</f>
        <v>0.4444444444</v>
      </c>
      <c r="V75" s="57">
        <f>IFERROR(__xludf.DUMMYFUNCTION("""COMPUTED_VALUE"""),1.0634920634920637)</f>
        <v>1.063492063</v>
      </c>
      <c r="W75" s="57">
        <f>IFERROR(__xludf.DUMMYFUNCTION("""COMPUTED_VALUE"""),2.253968253968254)</f>
        <v>2.253968254</v>
      </c>
      <c r="X75" s="31">
        <f>IFERROR(__xludf.DUMMYFUNCTION("""COMPUTED_VALUE"""),322.3076435816726)</f>
        <v>322.3076436</v>
      </c>
      <c r="Y75" s="57">
        <f>IFERROR(__xludf.DUMMYFUNCTION("""COMPUTED_VALUE"""),0.7074127585435085)</f>
        <v>0.7074127585</v>
      </c>
      <c r="Z75" s="57">
        <f>IFERROR(__xludf.DUMMYFUNCTION("""COMPUTED_VALUE"""),0.48252678942006966)</f>
        <v>0.4825267894</v>
      </c>
      <c r="AA75" s="57">
        <f>IFERROR(__xludf.DUMMYFUNCTION("""COMPUTED_VALUE"""),1.2112380943113734)</f>
        <v>1.211238094</v>
      </c>
      <c r="AB75" s="57">
        <f>IFERROR(__xludf.DUMMYFUNCTION("""COMPUTED_VALUE"""),2.270815880355425)</f>
        <v>2.27081588</v>
      </c>
      <c r="AC75" s="31">
        <f>IFERROR(__xludf.DUMMYFUNCTION("""COMPUTED_VALUE"""),342.65395485911796)</f>
        <v>342.6539549</v>
      </c>
      <c r="AD75" s="57">
        <f>IFERROR(__xludf.DUMMYFUNCTION("""COMPUTED_VALUE"""),0.8369385585500285)</f>
        <v>0.8369385586</v>
      </c>
      <c r="AE75" s="57">
        <f>IFERROR(__xludf.DUMMYFUNCTION("""COMPUTED_VALUE"""),0.5930324582045253)</f>
        <v>0.5930324582</v>
      </c>
      <c r="AF75" s="57">
        <f>IFERROR(__xludf.DUMMYFUNCTION("""COMPUTED_VALUE"""),1.1357887845013286)</f>
        <v>1.135788785</v>
      </c>
      <c r="AG75" s="57">
        <f>IFERROR(__xludf.DUMMYFUNCTION("""COMPUTED_VALUE"""),2.5292203249416056)</f>
        <v>2.529220325</v>
      </c>
      <c r="AH75" s="57">
        <f>IFERROR(__xludf.DUMMYFUNCTION("""COMPUTED_VALUE"""),1.0930088627688388)</f>
        <v>1.093008863</v>
      </c>
      <c r="AI75" s="57">
        <f>IFERROR(__xludf.DUMMYFUNCTION("""COMPUTED_VALUE"""),1.1379341322628562)</f>
        <v>1.137934132</v>
      </c>
      <c r="AJ75" s="57">
        <f>IFERROR(__xludf.DUMMYFUNCTION("""COMPUTED_VALUE"""),0.9635704817214185)</f>
        <v>0.9635704817</v>
      </c>
      <c r="AK75" s="57">
        <f>IFERROR(__xludf.DUMMYFUNCTION("""COMPUTED_VALUE"""),0.964297332552868)</f>
        <v>0.9642973326</v>
      </c>
      <c r="AL75" s="57">
        <f>IFERROR(__xludf.DUMMYFUNCTION("""COMPUTED_VALUE"""),1.0731709244620204)</f>
        <v>1.073170924</v>
      </c>
      <c r="AM75" s="57">
        <f>IFERROR(__xludf.DUMMYFUNCTION("""COMPUTED_VALUE"""),0.977474860808835)</f>
        <v>0.9774748608</v>
      </c>
      <c r="AN75" s="57">
        <f>IFERROR(__xludf.DUMMYFUNCTION("""COMPUTED_VALUE"""),0.9872774981478422)</f>
        <v>0.9872774981</v>
      </c>
      <c r="AO75" s="57">
        <f>IFERROR(__xludf.DUMMYFUNCTION("""COMPUTED_VALUE"""),0.9210772421125158)</f>
        <v>0.9210772421</v>
      </c>
      <c r="AP75" s="35">
        <f>IFERROR(__xludf.DUMMYFUNCTION("""COMPUTED_VALUE"""),0.878020653814304)</f>
        <v>0.8780206538</v>
      </c>
      <c r="AQ75" s="57">
        <f>IFERROR(__xludf.DUMMYFUNCTION("""COMPUTED_VALUE"""),0.9925808047526363)</f>
        <v>0.9925808048</v>
      </c>
      <c r="AR75" s="36" t="b">
        <f>IFERROR(__xludf.DUMMYFUNCTION("""COMPUTED_VALUE"""),TRUE)</f>
        <v>1</v>
      </c>
      <c r="AS75" s="57"/>
      <c r="AT75" s="37"/>
      <c r="AU75" s="30"/>
      <c r="AV75" s="30"/>
      <c r="AW75" s="30"/>
      <c r="AX75" s="30"/>
      <c r="AY75" s="30"/>
      <c r="AZ75" s="30"/>
    </row>
    <row r="76">
      <c r="A76" s="30" t="str">
        <f>IFERROR(__xludf.DUMMYFUNCTION("""COMPUTED_VALUE"""),"Challenger")</f>
        <v>Challenger</v>
      </c>
      <c r="B76" s="30" t="str">
        <f>IFERROR(__xludf.DUMMYFUNCTION("""COMPUTED_VALUE"""),"RSC003109")</f>
        <v>RSC003109</v>
      </c>
      <c r="C76" s="30" t="str">
        <f>IFERROR(__xludf.DUMMYFUNCTION("""COMPUTED_VALUE"""),"Kflip11")</f>
        <v>Kflip11</v>
      </c>
      <c r="D76" s="31" t="str">
        <f>IFERROR(__xludf.DUMMYFUNCTION("""COMPUTED_VALUE"""),"Cassowaries")</f>
        <v>Cassowaries</v>
      </c>
      <c r="E76" s="31">
        <f>IFERROR(__xludf.DUMMYFUNCTION("""COMPUTED_VALUE"""),65.78726399141281)</f>
        <v>65.78726399</v>
      </c>
      <c r="F76" s="31">
        <f>IFERROR(__xludf.DUMMYFUNCTION("""COMPUTED_VALUE"""),3.7898898706458537)</f>
        <v>3.789889871</v>
      </c>
      <c r="G76" s="31">
        <f>IFERROR(__xludf.DUMMYFUNCTION("""COMPUTED_VALUE"""),45.98767359689114)</f>
        <v>45.9876736</v>
      </c>
      <c r="H76" s="31">
        <f>IFERROR(__xludf.DUMMYFUNCTION("""COMPUTED_VALUE"""),-2.2922828125859143)</f>
        <v>-2.292282813</v>
      </c>
      <c r="I76" s="54">
        <f>IFERROR(__xludf.DUMMYFUNCTION("""COMPUTED_VALUE"""),35.0)</f>
        <v>35</v>
      </c>
      <c r="J76" s="55">
        <f>IFERROR(__xludf.DUMMYFUNCTION("""COMPUTED_VALUE"""),26.0)</f>
        <v>26</v>
      </c>
      <c r="K76" s="54">
        <f>IFERROR(__xludf.DUMMYFUNCTION("""COMPUTED_VALUE"""),9.0)</f>
        <v>9</v>
      </c>
      <c r="L76" s="56">
        <f>IFERROR(__xludf.DUMMYFUNCTION("""COMPUTED_VALUE"""),0.7428571428571429)</f>
        <v>0.7428571429</v>
      </c>
      <c r="M76" s="56">
        <f>IFERROR(__xludf.DUMMYFUNCTION("""COMPUTED_VALUE"""),0.3398058252427184)</f>
        <v>0.3398058252</v>
      </c>
      <c r="N76" s="31">
        <f>IFERROR(__xludf.DUMMYFUNCTION("""COMPUTED_VALUE"""),332.25714285714287)</f>
        <v>332.2571429</v>
      </c>
      <c r="O76" s="57">
        <f>IFERROR(__xludf.DUMMYFUNCTION("""COMPUTED_VALUE"""),1.0)</f>
        <v>1</v>
      </c>
      <c r="P76" s="57">
        <f>IFERROR(__xludf.DUMMYFUNCTION("""COMPUTED_VALUE"""),0.5714285714285714)</f>
        <v>0.5714285714</v>
      </c>
      <c r="Q76" s="57">
        <f>IFERROR(__xludf.DUMMYFUNCTION("""COMPUTED_VALUE"""),1.0)</f>
        <v>1</v>
      </c>
      <c r="R76" s="57">
        <f>IFERROR(__xludf.DUMMYFUNCTION("""COMPUTED_VALUE"""),2.942857142857143)</f>
        <v>2.942857143</v>
      </c>
      <c r="S76" s="31">
        <f>IFERROR(__xludf.DUMMYFUNCTION("""COMPUTED_VALUE"""),319.9714285714286)</f>
        <v>319.9714286</v>
      </c>
      <c r="T76" s="57">
        <f>IFERROR(__xludf.DUMMYFUNCTION("""COMPUTED_VALUE"""),0.7047619047619049)</f>
        <v>0.7047619048</v>
      </c>
      <c r="U76" s="57">
        <f>IFERROR(__xludf.DUMMYFUNCTION("""COMPUTED_VALUE"""),0.44761904761904775)</f>
        <v>0.4476190476</v>
      </c>
      <c r="V76" s="57">
        <f>IFERROR(__xludf.DUMMYFUNCTION("""COMPUTED_VALUE"""),1.257142857142857)</f>
        <v>1.257142857</v>
      </c>
      <c r="W76" s="57">
        <f>IFERROR(__xludf.DUMMYFUNCTION("""COMPUTED_VALUE"""),2.3619047619047606)</f>
        <v>2.361904762</v>
      </c>
      <c r="X76" s="31">
        <f>IFERROR(__xludf.DUMMYFUNCTION("""COMPUTED_VALUE"""),316.4742858322718)</f>
        <v>316.4742858</v>
      </c>
      <c r="Y76" s="57">
        <f>IFERROR(__xludf.DUMMYFUNCTION("""COMPUTED_VALUE"""),0.6802695423265191)</f>
        <v>0.6802695423</v>
      </c>
      <c r="Z76" s="57">
        <f>IFERROR(__xludf.DUMMYFUNCTION("""COMPUTED_VALUE"""),0.45078341498462166)</f>
        <v>0.450783415</v>
      </c>
      <c r="AA76" s="57">
        <f>IFERROR(__xludf.DUMMYFUNCTION("""COMPUTED_VALUE"""),1.2009700997532997)</f>
        <v>1.2009701</v>
      </c>
      <c r="AB76" s="57">
        <f>IFERROR(__xludf.DUMMYFUNCTION("""COMPUTED_VALUE"""),2.330096715874501)</f>
        <v>2.330096716</v>
      </c>
      <c r="AC76" s="31">
        <f>IFERROR(__xludf.DUMMYFUNCTION("""COMPUTED_VALUE"""),345.43277895419794)</f>
        <v>345.432779</v>
      </c>
      <c r="AD76" s="57">
        <f>IFERROR(__xludf.DUMMYFUNCTION("""COMPUTED_VALUE"""),0.8339454186657241)</f>
        <v>0.8339454187</v>
      </c>
      <c r="AE76" s="57">
        <f>IFERROR(__xludf.DUMMYFUNCTION("""COMPUTED_VALUE"""),0.5847595973031939)</f>
        <v>0.5847595973</v>
      </c>
      <c r="AF76" s="57">
        <f>IFERROR(__xludf.DUMMYFUNCTION("""COMPUTED_VALUE"""),1.2185699980581388)</f>
        <v>1.218569998</v>
      </c>
      <c r="AG76" s="57">
        <f>IFERROR(__xludf.DUMMYFUNCTION("""COMPUTED_VALUE"""),2.525914792622989)</f>
        <v>2.525914793</v>
      </c>
      <c r="AH76" s="57">
        <f>IFERROR(__xludf.DUMMYFUNCTION("""COMPUTED_VALUE"""),0.9618575974841054)</f>
        <v>0.9618575975</v>
      </c>
      <c r="AI76" s="57">
        <f>IFERROR(__xludf.DUMMYFUNCTION("""COMPUTED_VALUE"""),1.1991192440387237)</f>
        <v>1.199119244</v>
      </c>
      <c r="AJ76" s="57">
        <f>IFERROR(__xludf.DUMMYFUNCTION("""COMPUTED_VALUE"""),0.9772025530900171)</f>
        <v>0.9772025531</v>
      </c>
      <c r="AK76" s="57">
        <f>IFERROR(__xludf.DUMMYFUNCTION("""COMPUTED_VALUE"""),0.820634023153005)</f>
        <v>0.8206340232</v>
      </c>
      <c r="AL76" s="57">
        <f>IFERROR(__xludf.DUMMYFUNCTION("""COMPUTED_VALUE"""),1.1650658808649632)</f>
        <v>1.165065881</v>
      </c>
      <c r="AM76" s="57">
        <f>IFERROR(__xludf.DUMMYFUNCTION("""COMPUTED_VALUE"""),1.0110503219241334)</f>
        <v>1.011050322</v>
      </c>
      <c r="AN76" s="57">
        <f>IFERROR(__xludf.DUMMYFUNCTION("""COMPUTED_VALUE"""),1.036003908614844)</f>
        <v>1.036003909</v>
      </c>
      <c r="AO76" s="57">
        <f>IFERROR(__xludf.DUMMYFUNCTION("""COMPUTED_VALUE"""),0.9929802932841222)</f>
        <v>0.9929802933</v>
      </c>
      <c r="AP76" s="35">
        <f>IFERROR(__xludf.DUMMYFUNCTION("""COMPUTED_VALUE"""),1.0467728192409587)</f>
        <v>1.046772819</v>
      </c>
      <c r="AQ76" s="57">
        <f>IFERROR(__xludf.DUMMYFUNCTION("""COMPUTED_VALUE"""),1.0136509552644564)</f>
        <v>1.013650955</v>
      </c>
      <c r="AR76" s="36" t="b">
        <f>IFERROR(__xludf.DUMMYFUNCTION("""COMPUTED_VALUE"""),TRUE)</f>
        <v>1</v>
      </c>
      <c r="AS76" s="57"/>
      <c r="AT76" s="37"/>
      <c r="AU76" s="30"/>
      <c r="AV76" s="30"/>
      <c r="AW76" s="30"/>
      <c r="AX76" s="30"/>
      <c r="AY76" s="30"/>
      <c r="AZ76" s="30"/>
    </row>
    <row r="77">
      <c r="A77" s="30" t="str">
        <f>IFERROR(__xludf.DUMMYFUNCTION("""COMPUTED_VALUE"""),"Challenger")</f>
        <v>Challenger</v>
      </c>
      <c r="B77" s="30" t="str">
        <f>IFERROR(__xludf.DUMMYFUNCTION("""COMPUTED_VALUE"""),"RSC006067")</f>
        <v>RSC006067</v>
      </c>
      <c r="C77" s="30" t="str">
        <f>IFERROR(__xludf.DUMMYFUNCTION("""COMPUTED_VALUE"""),"ShinxX403")</f>
        <v>ShinxX403</v>
      </c>
      <c r="D77" s="31" t="str">
        <f>IFERROR(__xludf.DUMMYFUNCTION("""COMPUTED_VALUE"""),"Panda Bears")</f>
        <v>Panda Bears</v>
      </c>
      <c r="E77" s="31">
        <f>IFERROR(__xludf.DUMMYFUNCTION("""COMPUTED_VALUE"""),65.74383543184662)</f>
        <v>65.74383543</v>
      </c>
      <c r="F77" s="31">
        <f>IFERROR(__xludf.DUMMYFUNCTION("""COMPUTED_VALUE"""),3.7817482913842366)</f>
        <v>3.781748291</v>
      </c>
      <c r="G77" s="31">
        <f>IFERROR(__xludf.DUMMYFUNCTION("""COMPUTED_VALUE"""),46.395664709524596)</f>
        <v>46.39566471</v>
      </c>
      <c r="H77" s="31">
        <f>IFERROR(__xludf.DUMMYFUNCTION("""COMPUTED_VALUE"""),-2.258959081352072)</f>
        <v>-2.258959081</v>
      </c>
      <c r="I77" s="54">
        <f>IFERROR(__xludf.DUMMYFUNCTION("""COMPUTED_VALUE"""),20.0)</f>
        <v>20</v>
      </c>
      <c r="J77" s="55">
        <f>IFERROR(__xludf.DUMMYFUNCTION("""COMPUTED_VALUE"""),10.0)</f>
        <v>10</v>
      </c>
      <c r="K77" s="54">
        <f>IFERROR(__xludf.DUMMYFUNCTION("""COMPUTED_VALUE"""),10.0)</f>
        <v>10</v>
      </c>
      <c r="L77" s="56">
        <f>IFERROR(__xludf.DUMMYFUNCTION("""COMPUTED_VALUE"""),0.5)</f>
        <v>0.5</v>
      </c>
      <c r="M77" s="56">
        <f>IFERROR(__xludf.DUMMYFUNCTION("""COMPUTED_VALUE"""),0.3278688524590164)</f>
        <v>0.3278688525</v>
      </c>
      <c r="N77" s="31">
        <f>IFERROR(__xludf.DUMMYFUNCTION("""COMPUTED_VALUE"""),350.8)</f>
        <v>350.8</v>
      </c>
      <c r="O77" s="57">
        <f>IFERROR(__xludf.DUMMYFUNCTION("""COMPUTED_VALUE"""),1.0)</f>
        <v>1</v>
      </c>
      <c r="P77" s="57">
        <f>IFERROR(__xludf.DUMMYFUNCTION("""COMPUTED_VALUE"""),0.45)</f>
        <v>0.45</v>
      </c>
      <c r="Q77" s="57">
        <f>IFERROR(__xludf.DUMMYFUNCTION("""COMPUTED_VALUE"""),1.15)</f>
        <v>1.15</v>
      </c>
      <c r="R77" s="57">
        <f>IFERROR(__xludf.DUMMYFUNCTION("""COMPUTED_VALUE"""),3.05)</f>
        <v>3.05</v>
      </c>
      <c r="S77" s="31">
        <f>IFERROR(__xludf.DUMMYFUNCTION("""COMPUTED_VALUE"""),368.0)</f>
        <v>368</v>
      </c>
      <c r="T77" s="57">
        <f>IFERROR(__xludf.DUMMYFUNCTION("""COMPUTED_VALUE"""),0.7499999999999999)</f>
        <v>0.75</v>
      </c>
      <c r="U77" s="57">
        <f>IFERROR(__xludf.DUMMYFUNCTION("""COMPUTED_VALUE"""),0.5333333333333333)</f>
        <v>0.5333333333</v>
      </c>
      <c r="V77" s="57">
        <f>IFERROR(__xludf.DUMMYFUNCTION("""COMPUTED_VALUE"""),1.5499999999999998)</f>
        <v>1.55</v>
      </c>
      <c r="W77" s="57">
        <f>IFERROR(__xludf.DUMMYFUNCTION("""COMPUTED_VALUE"""),2.566666666666666)</f>
        <v>2.566666667</v>
      </c>
      <c r="X77" s="31">
        <f>IFERROR(__xludf.DUMMYFUNCTION("""COMPUTED_VALUE"""),345.81661835859256)</f>
        <v>345.8166184</v>
      </c>
      <c r="Y77" s="57">
        <f>IFERROR(__xludf.DUMMYFUNCTION("""COMPUTED_VALUE"""),0.7803575743731129)</f>
        <v>0.7803575744</v>
      </c>
      <c r="Z77" s="57">
        <f>IFERROR(__xludf.DUMMYFUNCTION("""COMPUTED_VALUE"""),0.5406691615717599)</f>
        <v>0.5406691616</v>
      </c>
      <c r="AA77" s="57">
        <f>IFERROR(__xludf.DUMMYFUNCTION("""COMPUTED_VALUE"""),1.354825060025404)</f>
        <v>1.35482506</v>
      </c>
      <c r="AB77" s="57">
        <f>IFERROR(__xludf.DUMMYFUNCTION("""COMPUTED_VALUE"""),2.4481098557082808)</f>
        <v>2.448109856</v>
      </c>
      <c r="AC77" s="31">
        <f>IFERROR(__xludf.DUMMYFUNCTION("""COMPUTED_VALUE"""),336.4397288897093)</f>
        <v>336.4397289</v>
      </c>
      <c r="AD77" s="57">
        <f>IFERROR(__xludf.DUMMYFUNCTION("""COMPUTED_VALUE"""),0.7752861614354997)</f>
        <v>0.7752861614</v>
      </c>
      <c r="AE77" s="57">
        <f>IFERROR(__xludf.DUMMYFUNCTION("""COMPUTED_VALUE"""),0.5372595851374993)</f>
        <v>0.5372595851</v>
      </c>
      <c r="AF77" s="57">
        <f>IFERROR(__xludf.DUMMYFUNCTION("""COMPUTED_VALUE"""),1.2158290550056425)</f>
        <v>1.215829055</v>
      </c>
      <c r="AG77" s="57">
        <f>IFERROR(__xludf.DUMMYFUNCTION("""COMPUTED_VALUE"""),2.5812730257023997)</f>
        <v>2.581273026</v>
      </c>
      <c r="AH77" s="57">
        <f>IFERROR(__xludf.DUMMYFUNCTION("""COMPUTED_VALUE"""),1.042683042093992)</f>
        <v>1.042683042</v>
      </c>
      <c r="AI77" s="57">
        <f>IFERROR(__xludf.DUMMYFUNCTION("""COMPUTED_VALUE"""),1.289846317066238)</f>
        <v>1.289846317</v>
      </c>
      <c r="AJ77" s="57">
        <f>IFERROR(__xludf.DUMMYFUNCTION("""COMPUTED_VALUE"""),0.8375839397724897)</f>
        <v>0.8375839398</v>
      </c>
      <c r="AK77" s="57">
        <f>IFERROR(__xludf.DUMMYFUNCTION("""COMPUTED_VALUE"""),0.945856652516552)</f>
        <v>0.9458566525</v>
      </c>
      <c r="AL77" s="57">
        <f>IFERROR(__xludf.DUMMYFUNCTION("""COMPUTED_VALUE"""),1.1815875227573236)</f>
        <v>1.181587523</v>
      </c>
      <c r="AM77" s="57">
        <f>IFERROR(__xludf.DUMMYFUNCTION("""COMPUTED_VALUE"""),1.0641478184209312)</f>
        <v>1.064147818</v>
      </c>
      <c r="AN77" s="57">
        <f>IFERROR(__xludf.DUMMYFUNCTION("""COMPUTED_VALUE"""),0.9610978667087325)</f>
        <v>0.9610978667</v>
      </c>
      <c r="AO77" s="57">
        <f>IFERROR(__xludf.DUMMYFUNCTION("""COMPUTED_VALUE"""),0.986431946262478)</f>
        <v>0.9864319463</v>
      </c>
      <c r="AP77" s="35">
        <f>IFERROR(__xludf.DUMMYFUNCTION("""COMPUTED_VALUE"""),1.1440591451496596)</f>
        <v>1.144059145</v>
      </c>
      <c r="AQ77" s="57">
        <f>IFERROR(__xludf.DUMMYFUNCTION("""COMPUTED_VALUE"""),1.0484278966002873)</f>
        <v>1.048427897</v>
      </c>
      <c r="AR77" s="36" t="b">
        <f>IFERROR(__xludf.DUMMYFUNCTION("""COMPUTED_VALUE"""),TRUE)</f>
        <v>1</v>
      </c>
      <c r="AS77" s="57"/>
      <c r="AT77" s="37"/>
      <c r="AU77" s="30"/>
      <c r="AV77" s="30"/>
      <c r="AW77" s="30"/>
      <c r="AX77" s="30"/>
      <c r="AY77" s="30"/>
      <c r="AZ77" s="30"/>
    </row>
    <row r="78">
      <c r="A78" s="30" t="str">
        <f>IFERROR(__xludf.DUMMYFUNCTION("""COMPUTED_VALUE"""),"Challenger")</f>
        <v>Challenger</v>
      </c>
      <c r="B78" s="30" t="str">
        <f>IFERROR(__xludf.DUMMYFUNCTION("""COMPUTED_VALUE"""),"RSC000426")</f>
        <v>RSC000426</v>
      </c>
      <c r="C78" s="30" t="str">
        <f>IFERROR(__xludf.DUMMYFUNCTION("""COMPUTED_VALUE"""),"struttrl")</f>
        <v>struttrl</v>
      </c>
      <c r="D78" s="31" t="str">
        <f>IFERROR(__xludf.DUMMYFUNCTION("""COMPUTED_VALUE"""),"Void")</f>
        <v>Void</v>
      </c>
      <c r="E78" s="31">
        <f>IFERROR(__xludf.DUMMYFUNCTION("""COMPUTED_VALUE"""),63.10181915801094)</f>
        <v>63.10181916</v>
      </c>
      <c r="F78" s="31">
        <f>IFERROR(__xludf.DUMMYFUNCTION("""COMPUTED_VALUE"""),3.3320675387471)</f>
        <v>3.332067539</v>
      </c>
      <c r="G78" s="31">
        <f>IFERROR(__xludf.DUMMYFUNCTION("""COMPUTED_VALUE"""),59.21070690262819)</f>
        <v>59.2107069</v>
      </c>
      <c r="H78" s="31">
        <f>IFERROR(__xludf.DUMMYFUNCTION("""COMPUTED_VALUE"""),2.8068051457680454)</f>
        <v>2.806805146</v>
      </c>
      <c r="I78" s="54">
        <f>IFERROR(__xludf.DUMMYFUNCTION("""COMPUTED_VALUE"""),36.0)</f>
        <v>36</v>
      </c>
      <c r="J78" s="55">
        <f>IFERROR(__xludf.DUMMYFUNCTION("""COMPUTED_VALUE"""),24.0)</f>
        <v>24</v>
      </c>
      <c r="K78" s="54">
        <f>IFERROR(__xludf.DUMMYFUNCTION("""COMPUTED_VALUE"""),12.0)</f>
        <v>12</v>
      </c>
      <c r="L78" s="56">
        <f>IFERROR(__xludf.DUMMYFUNCTION("""COMPUTED_VALUE"""),0.6666666666666666)</f>
        <v>0.6666666667</v>
      </c>
      <c r="M78" s="56">
        <f>IFERROR(__xludf.DUMMYFUNCTION("""COMPUTED_VALUE"""),0.4177215189873417)</f>
        <v>0.417721519</v>
      </c>
      <c r="N78" s="31">
        <f>IFERROR(__xludf.DUMMYFUNCTION("""COMPUTED_VALUE"""),342.55555555555554)</f>
        <v>342.5555556</v>
      </c>
      <c r="O78" s="57">
        <f>IFERROR(__xludf.DUMMYFUNCTION("""COMPUTED_VALUE"""),0.9166666666666666)</f>
        <v>0.9166666667</v>
      </c>
      <c r="P78" s="57">
        <f>IFERROR(__xludf.DUMMYFUNCTION("""COMPUTED_VALUE"""),0.6111111111111112)</f>
        <v>0.6111111111</v>
      </c>
      <c r="Q78" s="57">
        <f>IFERROR(__xludf.DUMMYFUNCTION("""COMPUTED_VALUE"""),1.0277777777777777)</f>
        <v>1.027777778</v>
      </c>
      <c r="R78" s="57">
        <f>IFERROR(__xludf.DUMMYFUNCTION("""COMPUTED_VALUE"""),2.1944444444444446)</f>
        <v>2.194444444</v>
      </c>
      <c r="S78" s="31">
        <f>IFERROR(__xludf.DUMMYFUNCTION("""COMPUTED_VALUE"""),314.43518518518505)</f>
        <v>314.4351852</v>
      </c>
      <c r="T78" s="57">
        <f>IFERROR(__xludf.DUMMYFUNCTION("""COMPUTED_VALUE"""),0.6296296296296295)</f>
        <v>0.6296296296</v>
      </c>
      <c r="U78" s="57">
        <f>IFERROR(__xludf.DUMMYFUNCTION("""COMPUTED_VALUE"""),0.45370370370370366)</f>
        <v>0.4537037037</v>
      </c>
      <c r="V78" s="57">
        <f>IFERROR(__xludf.DUMMYFUNCTION("""COMPUTED_VALUE"""),1.1296296296296298)</f>
        <v>1.12962963</v>
      </c>
      <c r="W78" s="57">
        <f>IFERROR(__xludf.DUMMYFUNCTION("""COMPUTED_VALUE"""),2.148148148148148)</f>
        <v>2.148148148</v>
      </c>
      <c r="X78" s="31">
        <f>IFERROR(__xludf.DUMMYFUNCTION("""COMPUTED_VALUE"""),332.07572617432675)</f>
        <v>332.0757262</v>
      </c>
      <c r="Y78" s="57">
        <f>IFERROR(__xludf.DUMMYFUNCTION("""COMPUTED_VALUE"""),0.7988504842524182)</f>
        <v>0.7988504843</v>
      </c>
      <c r="Z78" s="57">
        <f>IFERROR(__xludf.DUMMYFUNCTION("""COMPUTED_VALUE"""),0.5160258608086107)</f>
        <v>0.5160258608</v>
      </c>
      <c r="AA78" s="57">
        <f>IFERROR(__xludf.DUMMYFUNCTION("""COMPUTED_VALUE"""),1.1976392066948265)</f>
        <v>1.197639207</v>
      </c>
      <c r="AB78" s="57">
        <f>IFERROR(__xludf.DUMMYFUNCTION("""COMPUTED_VALUE"""),2.3643704430832138)</f>
        <v>2.364370443</v>
      </c>
      <c r="AC78" s="31">
        <f>IFERROR(__xludf.DUMMYFUNCTION("""COMPUTED_VALUE"""),332.14237991948704)</f>
        <v>332.1423799</v>
      </c>
      <c r="AD78" s="57">
        <f>IFERROR(__xludf.DUMMYFUNCTION("""COMPUTED_VALUE"""),0.7846304463507026)</f>
        <v>0.7846304464</v>
      </c>
      <c r="AE78" s="57">
        <f>IFERROR(__xludf.DUMMYFUNCTION("""COMPUTED_VALUE"""),0.5230243852729618)</f>
        <v>0.5230243853</v>
      </c>
      <c r="AF78" s="57">
        <f>IFERROR(__xludf.DUMMYFUNCTION("""COMPUTED_VALUE"""),1.1835554321391006)</f>
        <v>1.183555432</v>
      </c>
      <c r="AG78" s="57">
        <f>IFERROR(__xludf.DUMMYFUNCTION("""COMPUTED_VALUE"""),2.428558704371798)</f>
        <v>2.428558704</v>
      </c>
      <c r="AH78" s="57">
        <f>IFERROR(__xludf.DUMMYFUNCTION("""COMPUTED_VALUE"""),1.0313515415846441)</f>
        <v>1.031351542</v>
      </c>
      <c r="AI78" s="57">
        <f>IFERROR(__xludf.DUMMYFUNCTION("""COMPUTED_VALUE"""),1.1682782269411816)</f>
        <v>1.168278227</v>
      </c>
      <c r="AJ78" s="57">
        <f>IFERROR(__xludf.DUMMYFUNCTION("""COMPUTED_VALUE"""),1.1684180094053889)</f>
        <v>1.168418009</v>
      </c>
      <c r="AK78" s="57">
        <f>IFERROR(__xludf.DUMMYFUNCTION("""COMPUTED_VALUE"""),0.8683816151476927)</f>
        <v>0.8683816151</v>
      </c>
      <c r="AL78" s="57">
        <f>IFERROR(__xludf.DUMMYFUNCTION("""COMPUTED_VALUE"""),0.9035995055396808)</f>
        <v>0.9035995055</v>
      </c>
      <c r="AM78" s="57">
        <f>IFERROR(__xludf.DUMMYFUNCTION("""COMPUTED_VALUE"""),0.9468779570480225)</f>
        <v>0.946877957</v>
      </c>
      <c r="AN78" s="57">
        <f>IFERROR(__xludf.DUMMYFUNCTION("""COMPUTED_VALUE"""),0.7881695536791853)</f>
        <v>0.7881695537</v>
      </c>
      <c r="AO78" s="57">
        <f>IFERROR(__xludf.DUMMYFUNCTION("""COMPUTED_VALUE"""),0.8792266786644212)</f>
        <v>0.8792266787</v>
      </c>
      <c r="AP78" s="35">
        <f>IFERROR(__xludf.DUMMYFUNCTION("""COMPUTED_VALUE"""),0.9432136350538444)</f>
        <v>0.9432136351</v>
      </c>
      <c r="AQ78" s="57">
        <f>IFERROR(__xludf.DUMMYFUNCTION("""COMPUTED_VALUE"""),0.9085497386555446)</f>
        <v>0.9085497387</v>
      </c>
      <c r="AR78" s="36" t="b">
        <f>IFERROR(__xludf.DUMMYFUNCTION("""COMPUTED_VALUE"""),TRUE)</f>
        <v>1</v>
      </c>
      <c r="AS78" s="57"/>
      <c r="AT78" s="37"/>
      <c r="AU78" s="30"/>
      <c r="AV78" s="30"/>
      <c r="AW78" s="30"/>
      <c r="AX78" s="30"/>
      <c r="AY78" s="30"/>
      <c r="AZ78" s="30"/>
    </row>
    <row r="79">
      <c r="A79" s="30" t="str">
        <f>IFERROR(__xludf.DUMMYFUNCTION("""COMPUTED_VALUE"""),"Challenger")</f>
        <v>Challenger</v>
      </c>
      <c r="B79" s="30" t="str">
        <f>IFERROR(__xludf.DUMMYFUNCTION("""COMPUTED_VALUE"""),"RSC007313")</f>
        <v>RSC007313</v>
      </c>
      <c r="C79" s="30" t="str">
        <f>IFERROR(__xludf.DUMMYFUNCTION("""COMPUTED_VALUE"""),"xNunYaBidn3ss")</f>
        <v>xNunYaBidn3ss</v>
      </c>
      <c r="D79" s="31" t="str">
        <f>IFERROR(__xludf.DUMMYFUNCTION("""COMPUTED_VALUE"""),"Zombies")</f>
        <v>Zombies</v>
      </c>
      <c r="E79" s="31">
        <f>IFERROR(__xludf.DUMMYFUNCTION("""COMPUTED_VALUE"""),62.72176337695592)</f>
        <v>62.72176338</v>
      </c>
      <c r="F79" s="31">
        <f>IFERROR(__xludf.DUMMYFUNCTION("""COMPUTED_VALUE"""),3.2741638751417317)</f>
        <v>3.274163875</v>
      </c>
      <c r="G79" s="31">
        <f>IFERROR(__xludf.DUMMYFUNCTION("""COMPUTED_VALUE"""),67.02301318525555)</f>
        <v>67.02301319</v>
      </c>
      <c r="H79" s="31">
        <f>IFERROR(__xludf.DUMMYFUNCTION("""COMPUTED_VALUE"""),4.032894070797706)</f>
        <v>4.032894071</v>
      </c>
      <c r="I79" s="54">
        <f>IFERROR(__xludf.DUMMYFUNCTION("""COMPUTED_VALUE"""),19.0)</f>
        <v>19</v>
      </c>
      <c r="J79" s="55">
        <f>IFERROR(__xludf.DUMMYFUNCTION("""COMPUTED_VALUE"""),11.0)</f>
        <v>11</v>
      </c>
      <c r="K79" s="54">
        <f>IFERROR(__xludf.DUMMYFUNCTION("""COMPUTED_VALUE"""),8.0)</f>
        <v>8</v>
      </c>
      <c r="L79" s="56">
        <f>IFERROR(__xludf.DUMMYFUNCTION("""COMPUTED_VALUE"""),0.5789473684210527)</f>
        <v>0.5789473684</v>
      </c>
      <c r="M79" s="56">
        <f>IFERROR(__xludf.DUMMYFUNCTION("""COMPUTED_VALUE"""),0.3125)</f>
        <v>0.3125</v>
      </c>
      <c r="N79" s="31">
        <f>IFERROR(__xludf.DUMMYFUNCTION("""COMPUTED_VALUE"""),364.2631578947368)</f>
        <v>364.2631579</v>
      </c>
      <c r="O79" s="57">
        <f>IFERROR(__xludf.DUMMYFUNCTION("""COMPUTED_VALUE"""),0.7894736842105263)</f>
        <v>0.7894736842</v>
      </c>
      <c r="P79" s="57">
        <f>IFERROR(__xludf.DUMMYFUNCTION("""COMPUTED_VALUE"""),0.5263157894736842)</f>
        <v>0.5263157895</v>
      </c>
      <c r="Q79" s="57">
        <f>IFERROR(__xludf.DUMMYFUNCTION("""COMPUTED_VALUE"""),1.5789473684210527)</f>
        <v>1.578947368</v>
      </c>
      <c r="R79" s="57">
        <f>IFERROR(__xludf.DUMMYFUNCTION("""COMPUTED_VALUE"""),2.526315789473684)</f>
        <v>2.526315789</v>
      </c>
      <c r="S79" s="31">
        <f>IFERROR(__xludf.DUMMYFUNCTION("""COMPUTED_VALUE"""),294.7894736842105)</f>
        <v>294.7894737</v>
      </c>
      <c r="T79" s="57">
        <f>IFERROR(__xludf.DUMMYFUNCTION("""COMPUTED_VALUE"""),0.6140350877192983)</f>
        <v>0.6140350877</v>
      </c>
      <c r="U79" s="57">
        <f>IFERROR(__xludf.DUMMYFUNCTION("""COMPUTED_VALUE"""),0.40350877192982454)</f>
        <v>0.4035087719</v>
      </c>
      <c r="V79" s="57">
        <f>IFERROR(__xludf.DUMMYFUNCTION("""COMPUTED_VALUE"""),1.192982456140351)</f>
        <v>1.192982456</v>
      </c>
      <c r="W79" s="57">
        <f>IFERROR(__xludf.DUMMYFUNCTION("""COMPUTED_VALUE"""),2.228070175438597)</f>
        <v>2.228070175</v>
      </c>
      <c r="X79" s="31">
        <f>IFERROR(__xludf.DUMMYFUNCTION("""COMPUTED_VALUE"""),341.7912754937941)</f>
        <v>341.7912755</v>
      </c>
      <c r="Y79" s="57">
        <f>IFERROR(__xludf.DUMMYFUNCTION("""COMPUTED_VALUE"""),0.7982328612534345)</f>
        <v>0.7982328613</v>
      </c>
      <c r="Z79" s="57">
        <f>IFERROR(__xludf.DUMMYFUNCTION("""COMPUTED_VALUE"""),0.5672100406676707)</f>
        <v>0.5672100407</v>
      </c>
      <c r="AA79" s="57">
        <f>IFERROR(__xludf.DUMMYFUNCTION("""COMPUTED_VALUE"""),1.224043701101027)</f>
        <v>1.224043701</v>
      </c>
      <c r="AB79" s="57">
        <f>IFERROR(__xludf.DUMMYFUNCTION("""COMPUTED_VALUE"""),2.4989507957836623)</f>
        <v>2.498950796</v>
      </c>
      <c r="AC79" s="31">
        <f>IFERROR(__xludf.DUMMYFUNCTION("""COMPUTED_VALUE"""),342.41480525373134)</f>
        <v>342.4148053</v>
      </c>
      <c r="AD79" s="57">
        <f>IFERROR(__xludf.DUMMYFUNCTION("""COMPUTED_VALUE"""),0.7743134955702368)</f>
        <v>0.7743134956</v>
      </c>
      <c r="AE79" s="57">
        <f>IFERROR(__xludf.DUMMYFUNCTION("""COMPUTED_VALUE"""),0.542177262712234)</f>
        <v>0.5421772627</v>
      </c>
      <c r="AF79" s="57">
        <f>IFERROR(__xludf.DUMMYFUNCTION("""COMPUTED_VALUE"""),1.2988312710311611)</f>
        <v>1.298831271</v>
      </c>
      <c r="AG79" s="57">
        <f>IFERROR(__xludf.DUMMYFUNCTION("""COMPUTED_VALUE"""),2.478604639165493)</f>
        <v>2.478604639</v>
      </c>
      <c r="AH79" s="57">
        <f>IFERROR(__xludf.DUMMYFUNCTION("""COMPUTED_VALUE"""),1.0638066821462808)</f>
        <v>1.063806682</v>
      </c>
      <c r="AI79" s="57">
        <f>IFERROR(__xludf.DUMMYFUNCTION("""COMPUTED_VALUE"""),1.0195788769368213)</f>
        <v>1.019578877</v>
      </c>
      <c r="AJ79" s="57">
        <f>IFERROR(__xludf.DUMMYFUNCTION("""COMPUTED_VALUE"""),0.97074485720924)</f>
        <v>0.9707448572</v>
      </c>
      <c r="AK79" s="57">
        <f>IFERROR(__xludf.DUMMYFUNCTION("""COMPUTED_VALUE"""),1.2156678112373314)</f>
        <v>1.215667811</v>
      </c>
      <c r="AL79" s="57">
        <f>IFERROR(__xludf.DUMMYFUNCTION("""COMPUTED_VALUE"""),1.0192491975340832)</f>
        <v>1.019249198</v>
      </c>
      <c r="AM79" s="57">
        <f>IFERROR(__xludf.DUMMYFUNCTION("""COMPUTED_VALUE"""),0.8624839041263446)</f>
        <v>0.8624839041</v>
      </c>
      <c r="AN79" s="57">
        <f>IFERROR(__xludf.DUMMYFUNCTION("""COMPUTED_VALUE"""),0.7692430586672446)</f>
        <v>0.7692430587</v>
      </c>
      <c r="AO79" s="57">
        <f>IFERROR(__xludf.DUMMYFUNCTION("""COMPUTED_VALUE"""),0.7113921528167041)</f>
        <v>0.7113921528</v>
      </c>
      <c r="AP79" s="35">
        <f>IFERROR(__xludf.DUMMYFUNCTION("""COMPUTED_VALUE"""),0.9746240718916029)</f>
        <v>0.9746240719</v>
      </c>
      <c r="AQ79" s="57">
        <f>IFERROR(__xludf.DUMMYFUNCTION("""COMPUTED_VALUE"""),0.8916022593153469)</f>
        <v>0.8916022593</v>
      </c>
      <c r="AR79" s="36" t="b">
        <f>IFERROR(__xludf.DUMMYFUNCTION("""COMPUTED_VALUE"""),TRUE)</f>
        <v>1</v>
      </c>
      <c r="AS79" s="57"/>
      <c r="AT79" s="37"/>
      <c r="AU79" s="30"/>
      <c r="AV79" s="30"/>
      <c r="AW79" s="30"/>
      <c r="AX79" s="30"/>
      <c r="AY79" s="30"/>
      <c r="AZ79" s="30"/>
    </row>
    <row r="80">
      <c r="A80" s="30" t="str">
        <f>IFERROR(__xludf.DUMMYFUNCTION("""COMPUTED_VALUE"""),"Challenger")</f>
        <v>Challenger</v>
      </c>
      <c r="B80" s="30" t="str">
        <f>IFERROR(__xludf.DUMMYFUNCTION("""COMPUTED_VALUE"""),"RSC004028")</f>
        <v>RSC004028</v>
      </c>
      <c r="C80" s="30" t="str">
        <f>IFERROR(__xludf.DUMMYFUNCTION("""COMPUTED_VALUE"""),"parker on 3 legs")</f>
        <v>parker on 3 legs</v>
      </c>
      <c r="D80" s="31" t="str">
        <f>IFERROR(__xludf.DUMMYFUNCTION("""COMPUTED_VALUE"""),"Solstice Sake")</f>
        <v>Solstice Sake</v>
      </c>
      <c r="E80" s="31">
        <f>IFERROR(__xludf.DUMMYFUNCTION("""COMPUTED_VALUE"""),62.54888345328729)</f>
        <v>62.54888345</v>
      </c>
      <c r="F80" s="31">
        <f>IFERROR(__xludf.DUMMYFUNCTION("""COMPUTED_VALUE"""),3.248340833116206)</f>
        <v>3.248340833</v>
      </c>
      <c r="G80" s="31">
        <f>IFERROR(__xludf.DUMMYFUNCTION("""COMPUTED_VALUE"""),65.89451938609639)</f>
        <v>65.89451939</v>
      </c>
      <c r="H80" s="31">
        <f>IFERROR(__xludf.DUMMYFUNCTION("""COMPUTED_VALUE"""),3.8101093367069927)</f>
        <v>3.810109337</v>
      </c>
      <c r="I80" s="54">
        <f>IFERROR(__xludf.DUMMYFUNCTION("""COMPUTED_VALUE"""),21.0)</f>
        <v>21</v>
      </c>
      <c r="J80" s="55">
        <f>IFERROR(__xludf.DUMMYFUNCTION("""COMPUTED_VALUE"""),12.0)</f>
        <v>12</v>
      </c>
      <c r="K80" s="54">
        <f>IFERROR(__xludf.DUMMYFUNCTION("""COMPUTED_VALUE"""),9.0)</f>
        <v>9</v>
      </c>
      <c r="L80" s="56">
        <f>IFERROR(__xludf.DUMMYFUNCTION("""COMPUTED_VALUE"""),0.5714285714285714)</f>
        <v>0.5714285714</v>
      </c>
      <c r="M80" s="56">
        <f>IFERROR(__xludf.DUMMYFUNCTION("""COMPUTED_VALUE"""),0.25490196078431376)</f>
        <v>0.2549019608</v>
      </c>
      <c r="N80" s="31">
        <f>IFERROR(__xludf.DUMMYFUNCTION("""COMPUTED_VALUE"""),395.6666666666667)</f>
        <v>395.6666667</v>
      </c>
      <c r="O80" s="57">
        <f>IFERROR(__xludf.DUMMYFUNCTION("""COMPUTED_VALUE"""),0.6190476190476191)</f>
        <v>0.619047619</v>
      </c>
      <c r="P80" s="57">
        <f>IFERROR(__xludf.DUMMYFUNCTION("""COMPUTED_VALUE"""),0.8095238095238095)</f>
        <v>0.8095238095</v>
      </c>
      <c r="Q80" s="57">
        <f>IFERROR(__xludf.DUMMYFUNCTION("""COMPUTED_VALUE"""),1.8095238095238095)</f>
        <v>1.80952381</v>
      </c>
      <c r="R80" s="57">
        <f>IFERROR(__xludf.DUMMYFUNCTION("""COMPUTED_VALUE"""),2.4285714285714284)</f>
        <v>2.428571429</v>
      </c>
      <c r="S80" s="31">
        <f>IFERROR(__xludf.DUMMYFUNCTION("""COMPUTED_VALUE"""),336.95238095238096)</f>
        <v>336.952381</v>
      </c>
      <c r="T80" s="57">
        <f>IFERROR(__xludf.DUMMYFUNCTION("""COMPUTED_VALUE"""),0.7936507936507935)</f>
        <v>0.7936507937</v>
      </c>
      <c r="U80" s="57">
        <f>IFERROR(__xludf.DUMMYFUNCTION("""COMPUTED_VALUE"""),0.5396825396825397)</f>
        <v>0.5396825397</v>
      </c>
      <c r="V80" s="57">
        <f>IFERROR(__xludf.DUMMYFUNCTION("""COMPUTED_VALUE"""),1.1269841269841272)</f>
        <v>1.126984127</v>
      </c>
      <c r="W80" s="57">
        <f>IFERROR(__xludf.DUMMYFUNCTION("""COMPUTED_VALUE"""),2.5238095238095237)</f>
        <v>2.523809524</v>
      </c>
      <c r="X80" s="31">
        <f>IFERROR(__xludf.DUMMYFUNCTION("""COMPUTED_VALUE"""),336.3579884780663)</f>
        <v>336.3579885</v>
      </c>
      <c r="Y80" s="57">
        <f>IFERROR(__xludf.DUMMYFUNCTION("""COMPUTED_VALUE"""),0.7854926128422612)</f>
        <v>0.7854926128</v>
      </c>
      <c r="Z80" s="57">
        <f>IFERROR(__xludf.DUMMYFUNCTION("""COMPUTED_VALUE"""),0.5512219811676197)</f>
        <v>0.5512219812</v>
      </c>
      <c r="AA80" s="57">
        <f>IFERROR(__xludf.DUMMYFUNCTION("""COMPUTED_VALUE"""),1.2310489419994153)</f>
        <v>1.231048942</v>
      </c>
      <c r="AB80" s="57">
        <f>IFERROR(__xludf.DUMMYFUNCTION("""COMPUTED_VALUE"""),2.4141594119157537)</f>
        <v>2.414159412</v>
      </c>
      <c r="AC80" s="31">
        <f>IFERROR(__xludf.DUMMYFUNCTION("""COMPUTED_VALUE"""),336.0754679064384)</f>
        <v>336.0754679</v>
      </c>
      <c r="AD80" s="57">
        <f>IFERROR(__xludf.DUMMYFUNCTION("""COMPUTED_VALUE"""),0.8086181002241197)</f>
        <v>0.8086181002</v>
      </c>
      <c r="AE80" s="57">
        <f>IFERROR(__xludf.DUMMYFUNCTION("""COMPUTED_VALUE"""),0.5554483950155651)</f>
        <v>0.555448395</v>
      </c>
      <c r="AF80" s="57">
        <f>IFERROR(__xludf.DUMMYFUNCTION("""COMPUTED_VALUE"""),1.142693272625434)</f>
        <v>1.142693273</v>
      </c>
      <c r="AG80" s="57">
        <f>IFERROR(__xludf.DUMMYFUNCTION("""COMPUTED_VALUE"""),2.4858586286369517)</f>
        <v>2.485858629</v>
      </c>
      <c r="AH80" s="57">
        <f>IFERROR(__xludf.DUMMYFUNCTION("""COMPUTED_VALUE"""),1.177314932064063)</f>
        <v>1.177314932</v>
      </c>
      <c r="AI80" s="57">
        <f>IFERROR(__xludf.DUMMYFUNCTION("""COMPUTED_VALUE"""),0.7655624068717253)</f>
        <v>0.7655624069</v>
      </c>
      <c r="AJ80" s="57">
        <f>IFERROR(__xludf.DUMMYFUNCTION("""COMPUTED_VALUE"""),1.4574239781557468)</f>
        <v>1.457423978</v>
      </c>
      <c r="AK80" s="57">
        <f>IFERROR(__xludf.DUMMYFUNCTION("""COMPUTED_VALUE"""),1.5835603944410002)</f>
        <v>1.583560394</v>
      </c>
      <c r="AL80" s="57">
        <f>IFERROR(__xludf.DUMMYFUNCTION("""COMPUTED_VALUE"""),0.9769547634746489)</f>
        <v>0.9769547635</v>
      </c>
      <c r="AM80" s="57">
        <f>IFERROR(__xludf.DUMMYFUNCTION("""COMPUTED_VALUE"""),1.0017671424335843)</f>
        <v>1.001767142</v>
      </c>
      <c r="AN80" s="57">
        <f>IFERROR(__xludf.DUMMYFUNCTION("""COMPUTED_VALUE"""),1.0103860694233804)</f>
        <v>1.010386069</v>
      </c>
      <c r="AO80" s="57">
        <f>IFERROR(__xludf.DUMMYFUNCTION("""COMPUTED_VALUE"""),0.9790657087719239)</f>
        <v>0.9790657088</v>
      </c>
      <c r="AP80" s="35">
        <f>IFERROR(__xludf.DUMMYFUNCTION("""COMPUTED_VALUE"""),0.9154665493264057)</f>
        <v>0.9154665493</v>
      </c>
      <c r="AQ80" s="57">
        <f>IFERROR(__xludf.DUMMYFUNCTION("""COMPUTED_VALUE"""),1.0454195822167176)</f>
        <v>1.045419582</v>
      </c>
      <c r="AR80" s="36" t="b">
        <f>IFERROR(__xludf.DUMMYFUNCTION("""COMPUTED_VALUE"""),TRUE)</f>
        <v>1</v>
      </c>
      <c r="AS80" s="57"/>
      <c r="AT80" s="37"/>
      <c r="AU80" s="30"/>
      <c r="AV80" s="30"/>
      <c r="AW80" s="30"/>
      <c r="AX80" s="30"/>
      <c r="AY80" s="30"/>
      <c r="AZ80" s="30"/>
    </row>
    <row r="81">
      <c r="A81" s="30" t="str">
        <f>IFERROR(__xludf.DUMMYFUNCTION("""COMPUTED_VALUE"""),"Challenger")</f>
        <v>Challenger</v>
      </c>
      <c r="B81" s="30" t="str">
        <f>IFERROR(__xludf.DUMMYFUNCTION("""COMPUTED_VALUE"""),"RSC007934")</f>
        <v>RSC007934</v>
      </c>
      <c r="C81" s="30" t="str">
        <f>IFERROR(__xludf.DUMMYFUNCTION("""COMPUTED_VALUE"""),"Chicknn.")</f>
        <v>Chicknn.</v>
      </c>
      <c r="D81" s="31"/>
      <c r="E81" s="31">
        <f>IFERROR(__xludf.DUMMYFUNCTION("""COMPUTED_VALUE"""),62.2548536741582)</f>
        <v>62.25485367</v>
      </c>
      <c r="F81" s="31">
        <f>IFERROR(__xludf.DUMMYFUNCTION("""COMPUTED_VALUE"""),3.2051460688174895)</f>
        <v>3.205146069</v>
      </c>
      <c r="G81" s="31">
        <f>IFERROR(__xludf.DUMMYFUNCTION("""COMPUTED_VALUE"""),54.47943173541511)</f>
        <v>54.47943174</v>
      </c>
      <c r="H81" s="31">
        <f>IFERROR(__xludf.DUMMYFUNCTION("""COMPUTED_VALUE"""),2.3315498613409114)</f>
        <v>2.331549861</v>
      </c>
      <c r="I81" s="54">
        <f>IFERROR(__xludf.DUMMYFUNCTION("""COMPUTED_VALUE"""),26.0)</f>
        <v>26</v>
      </c>
      <c r="J81" s="55">
        <f>IFERROR(__xludf.DUMMYFUNCTION("""COMPUTED_VALUE"""),10.0)</f>
        <v>10</v>
      </c>
      <c r="K81" s="54">
        <f>IFERROR(__xludf.DUMMYFUNCTION("""COMPUTED_VALUE"""),16.0)</f>
        <v>16</v>
      </c>
      <c r="L81" s="56">
        <f>IFERROR(__xludf.DUMMYFUNCTION("""COMPUTED_VALUE"""),0.38461538461538464)</f>
        <v>0.3846153846</v>
      </c>
      <c r="M81" s="56">
        <f>IFERROR(__xludf.DUMMYFUNCTION("""COMPUTED_VALUE"""),0.30434782608695654)</f>
        <v>0.3043478261</v>
      </c>
      <c r="N81" s="31">
        <f>IFERROR(__xludf.DUMMYFUNCTION("""COMPUTED_VALUE"""),354.9230769230769)</f>
        <v>354.9230769</v>
      </c>
      <c r="O81" s="57">
        <f>IFERROR(__xludf.DUMMYFUNCTION("""COMPUTED_VALUE"""),0.8076923076923077)</f>
        <v>0.8076923077</v>
      </c>
      <c r="P81" s="57">
        <f>IFERROR(__xludf.DUMMYFUNCTION("""COMPUTED_VALUE"""),0.7692307692307693)</f>
        <v>0.7692307692</v>
      </c>
      <c r="Q81" s="57">
        <f>IFERROR(__xludf.DUMMYFUNCTION("""COMPUTED_VALUE"""),1.1923076923076923)</f>
        <v>1.192307692</v>
      </c>
      <c r="R81" s="57">
        <f>IFERROR(__xludf.DUMMYFUNCTION("""COMPUTED_VALUE"""),2.6538461538461537)</f>
        <v>2.653846154</v>
      </c>
      <c r="S81" s="31">
        <f>IFERROR(__xludf.DUMMYFUNCTION("""COMPUTED_VALUE"""),353.3717948717949)</f>
        <v>353.3717949</v>
      </c>
      <c r="T81" s="57">
        <f>IFERROR(__xludf.DUMMYFUNCTION("""COMPUTED_VALUE"""),0.9871794871794871)</f>
        <v>0.9871794872</v>
      </c>
      <c r="U81" s="57">
        <f>IFERROR(__xludf.DUMMYFUNCTION("""COMPUTED_VALUE"""),0.6538461538461539)</f>
        <v>0.6538461538</v>
      </c>
      <c r="V81" s="57">
        <f>IFERROR(__xludf.DUMMYFUNCTION("""COMPUTED_VALUE"""),1.1153846153846154)</f>
        <v>1.115384615</v>
      </c>
      <c r="W81" s="57">
        <f>IFERROR(__xludf.DUMMYFUNCTION("""COMPUTED_VALUE"""),2.7564102564102564)</f>
        <v>2.756410256</v>
      </c>
      <c r="X81" s="31">
        <f>IFERROR(__xludf.DUMMYFUNCTION("""COMPUTED_VALUE"""),337.17292366096297)</f>
        <v>337.1729237</v>
      </c>
      <c r="Y81" s="57">
        <f>IFERROR(__xludf.DUMMYFUNCTION("""COMPUTED_VALUE"""),0.7840714644570089)</f>
        <v>0.7840714645</v>
      </c>
      <c r="Z81" s="57">
        <f>IFERROR(__xludf.DUMMYFUNCTION("""COMPUTED_VALUE"""),0.5495095439086698)</f>
        <v>0.5495095439</v>
      </c>
      <c r="AA81" s="57">
        <f>IFERROR(__xludf.DUMMYFUNCTION("""COMPUTED_VALUE"""),1.1894417672657946)</f>
        <v>1.189441767</v>
      </c>
      <c r="AB81" s="57">
        <f>IFERROR(__xludf.DUMMYFUNCTION("""COMPUTED_VALUE"""),2.501457460695799)</f>
        <v>2.501457461</v>
      </c>
      <c r="AC81" s="31">
        <f>IFERROR(__xludf.DUMMYFUNCTION("""COMPUTED_VALUE"""),344.75001512275253)</f>
        <v>344.7500151</v>
      </c>
      <c r="AD81" s="57">
        <f>IFERROR(__xludf.DUMMYFUNCTION("""COMPUTED_VALUE"""),0.8040187226239965)</f>
        <v>0.8040187226</v>
      </c>
      <c r="AE81" s="57">
        <f>IFERROR(__xludf.DUMMYFUNCTION("""COMPUTED_VALUE"""),0.542441023597974)</f>
        <v>0.5424410236</v>
      </c>
      <c r="AF81" s="57">
        <f>IFERROR(__xludf.DUMMYFUNCTION("""COMPUTED_VALUE"""),1.285884627788924)</f>
        <v>1.285884628</v>
      </c>
      <c r="AG81" s="57">
        <f>IFERROR(__xludf.DUMMYFUNCTION("""COMPUTED_VALUE"""),2.4710138358097256)</f>
        <v>2.471013836</v>
      </c>
      <c r="AH81" s="57">
        <f>IFERROR(__xludf.DUMMYFUNCTION("""COMPUTED_VALUE"""),1.029508517343218)</f>
        <v>1.029508517</v>
      </c>
      <c r="AI81" s="57">
        <f>IFERROR(__xludf.DUMMYFUNCTION("""COMPUTED_VALUE"""),1.0045690292588239)</f>
        <v>1.004569029</v>
      </c>
      <c r="AJ81" s="57">
        <f>IFERROR(__xludf.DUMMYFUNCTION("""COMPUTED_VALUE"""),1.4180910656950585)</f>
        <v>1.418091066</v>
      </c>
      <c r="AK81" s="57">
        <f>IFERROR(__xludf.DUMMYFUNCTION("""COMPUTED_VALUE"""),0.9272275805628557)</f>
        <v>0.9272275806</v>
      </c>
      <c r="AL81" s="57">
        <f>IFERROR(__xludf.DUMMYFUNCTION("""COMPUTED_VALUE"""),1.073990811134619)</f>
        <v>1.073990811</v>
      </c>
      <c r="AM81" s="57">
        <f>IFERROR(__xludf.DUMMYFUNCTION("""COMPUTED_VALUE"""),1.0480432148434327)</f>
        <v>1.048043215</v>
      </c>
      <c r="AN81" s="57">
        <f>IFERROR(__xludf.DUMMYFUNCTION("""COMPUTED_VALUE"""),1.2590427428233677)</f>
        <v>1.259042743</v>
      </c>
      <c r="AO81" s="57">
        <f>IFERROR(__xludf.DUMMYFUNCTION("""COMPUTED_VALUE"""),1.1898722435198053)</f>
        <v>1.189872244</v>
      </c>
      <c r="AP81" s="35">
        <f>IFERROR(__xludf.DUMMYFUNCTION("""COMPUTED_VALUE"""),0.9377378919092302)</f>
        <v>0.9377378919</v>
      </c>
      <c r="AQ81" s="57">
        <f>IFERROR(__xludf.DUMMYFUNCTION("""COMPUTED_VALUE"""),1.101921699537333)</f>
        <v>1.1019217</v>
      </c>
      <c r="AR81" s="36" t="b">
        <f>IFERROR(__xludf.DUMMYFUNCTION("""COMPUTED_VALUE"""),TRUE)</f>
        <v>1</v>
      </c>
      <c r="AS81" s="57"/>
      <c r="AT81" s="37"/>
      <c r="AU81" s="30"/>
      <c r="AV81" s="30"/>
      <c r="AW81" s="30"/>
      <c r="AX81" s="30"/>
      <c r="AY81" s="30"/>
      <c r="AZ81" s="30"/>
    </row>
    <row r="82">
      <c r="A82" s="30" t="str">
        <f>IFERROR(__xludf.DUMMYFUNCTION("""COMPUTED_VALUE"""),"Challenger")</f>
        <v>Challenger</v>
      </c>
      <c r="B82" s="30" t="str">
        <f>IFERROR(__xludf.DUMMYFUNCTION("""COMPUTED_VALUE"""),"RSC006659")</f>
        <v>RSC006659</v>
      </c>
      <c r="C82" s="30" t="str">
        <f>IFERROR(__xludf.DUMMYFUNCTION("""COMPUTED_VALUE"""),"Zalama")</f>
        <v>Zalama</v>
      </c>
      <c r="D82" s="31" t="str">
        <f>IFERROR(__xludf.DUMMYFUNCTION("""COMPUTED_VALUE"""),"Solstice Sake")</f>
        <v>Solstice Sake</v>
      </c>
      <c r="E82" s="31">
        <f>IFERROR(__xludf.DUMMYFUNCTION("""COMPUTED_VALUE"""),62.0121938846015)</f>
        <v>62.01219388</v>
      </c>
      <c r="F82" s="31">
        <f>IFERROR(__xludf.DUMMYFUNCTION("""COMPUTED_VALUE"""),3.1701719392992387)</f>
        <v>3.170171939</v>
      </c>
      <c r="G82" s="31">
        <f>IFERROR(__xludf.DUMMYFUNCTION("""COMPUTED_VALUE"""),43.48422141156195)</f>
        <v>43.48422141</v>
      </c>
      <c r="H82" s="31">
        <f>IFERROR(__xludf.DUMMYFUNCTION("""COMPUTED_VALUE"""),-2.5176963512595325)</f>
        <v>-2.517696351</v>
      </c>
      <c r="I82" s="54">
        <f>IFERROR(__xludf.DUMMYFUNCTION("""COMPUTED_VALUE"""),26.0)</f>
        <v>26</v>
      </c>
      <c r="J82" s="55">
        <f>IFERROR(__xludf.DUMMYFUNCTION("""COMPUTED_VALUE"""),15.0)</f>
        <v>15</v>
      </c>
      <c r="K82" s="54">
        <f>IFERROR(__xludf.DUMMYFUNCTION("""COMPUTED_VALUE"""),11.0)</f>
        <v>11</v>
      </c>
      <c r="L82" s="56">
        <f>IFERROR(__xludf.DUMMYFUNCTION("""COMPUTED_VALUE"""),0.5769230769230769)</f>
        <v>0.5769230769</v>
      </c>
      <c r="M82" s="56">
        <f>IFERROR(__xludf.DUMMYFUNCTION("""COMPUTED_VALUE"""),0.42424242424242425)</f>
        <v>0.4242424242</v>
      </c>
      <c r="N82" s="31">
        <f>IFERROR(__xludf.DUMMYFUNCTION("""COMPUTED_VALUE"""),321.4230769230769)</f>
        <v>321.4230769</v>
      </c>
      <c r="O82" s="57">
        <f>IFERROR(__xludf.DUMMYFUNCTION("""COMPUTED_VALUE"""),1.0769230769230769)</f>
        <v>1.076923077</v>
      </c>
      <c r="P82" s="57">
        <f>IFERROR(__xludf.DUMMYFUNCTION("""COMPUTED_VALUE"""),0.4230769230769231)</f>
        <v>0.4230769231</v>
      </c>
      <c r="Q82" s="57">
        <f>IFERROR(__xludf.DUMMYFUNCTION("""COMPUTED_VALUE"""),0.7307692307692307)</f>
        <v>0.7307692308</v>
      </c>
      <c r="R82" s="57">
        <f>IFERROR(__xludf.DUMMYFUNCTION("""COMPUTED_VALUE"""),2.5384615384615383)</f>
        <v>2.538461538</v>
      </c>
      <c r="S82" s="31">
        <f>IFERROR(__xludf.DUMMYFUNCTION("""COMPUTED_VALUE"""),329.33333333333326)</f>
        <v>329.3333333</v>
      </c>
      <c r="T82" s="57">
        <f>IFERROR(__xludf.DUMMYFUNCTION("""COMPUTED_VALUE"""),0.7564102564102562)</f>
        <v>0.7564102564</v>
      </c>
      <c r="U82" s="57">
        <f>IFERROR(__xludf.DUMMYFUNCTION("""COMPUTED_VALUE"""),0.4615384615384616)</f>
        <v>0.4615384615</v>
      </c>
      <c r="V82" s="57">
        <f>IFERROR(__xludf.DUMMYFUNCTION("""COMPUTED_VALUE"""),1.1794871794871795)</f>
        <v>1.179487179</v>
      </c>
      <c r="W82" s="57">
        <f>IFERROR(__xludf.DUMMYFUNCTION("""COMPUTED_VALUE"""),2.423076923076923)</f>
        <v>2.423076923</v>
      </c>
      <c r="X82" s="31">
        <f>IFERROR(__xludf.DUMMYFUNCTION("""COMPUTED_VALUE"""),338.49352736991136)</f>
        <v>338.4935274</v>
      </c>
      <c r="Y82" s="57">
        <f>IFERROR(__xludf.DUMMYFUNCTION("""COMPUTED_VALUE"""),0.8196173384998383)</f>
        <v>0.8196173385</v>
      </c>
      <c r="Z82" s="57">
        <f>IFERROR(__xludf.DUMMYFUNCTION("""COMPUTED_VALUE"""),0.5744641044916718)</f>
        <v>0.5744641045</v>
      </c>
      <c r="AA82" s="57">
        <f>IFERROR(__xludf.DUMMYFUNCTION("""COMPUTED_VALUE"""),1.1972224343225224)</f>
        <v>1.197222434</v>
      </c>
      <c r="AB82" s="57">
        <f>IFERROR(__xludf.DUMMYFUNCTION("""COMPUTED_VALUE"""),2.488952588106998)</f>
        <v>2.488952588</v>
      </c>
      <c r="AC82" s="31">
        <f>IFERROR(__xludf.DUMMYFUNCTION("""COMPUTED_VALUE"""),335.080965168333)</f>
        <v>335.0809652</v>
      </c>
      <c r="AD82" s="57">
        <f>IFERROR(__xludf.DUMMYFUNCTION("""COMPUTED_VALUE"""),0.7797929404397792)</f>
        <v>0.7797929404</v>
      </c>
      <c r="AE82" s="57">
        <f>IFERROR(__xludf.DUMMYFUNCTION("""COMPUTED_VALUE"""),0.5459602106481529)</f>
        <v>0.5459602106</v>
      </c>
      <c r="AF82" s="57">
        <f>IFERROR(__xludf.DUMMYFUNCTION("""COMPUTED_VALUE"""),1.1957624368474873)</f>
        <v>1.195762437</v>
      </c>
      <c r="AG82" s="57">
        <f>IFERROR(__xludf.DUMMYFUNCTION("""COMPUTED_VALUE"""),2.4252980280763885)</f>
        <v>2.425298028</v>
      </c>
      <c r="AH82" s="57">
        <f>IFERROR(__xludf.DUMMYFUNCTION("""COMPUTED_VALUE"""),0.9592400354988984)</f>
        <v>0.9592400355</v>
      </c>
      <c r="AI82" s="57">
        <f>IFERROR(__xludf.DUMMYFUNCTION("""COMPUTED_VALUE"""),1.3810372229270573)</f>
        <v>1.381037223</v>
      </c>
      <c r="AJ82" s="57">
        <f>IFERROR(__xludf.DUMMYFUNCTION("""COMPUTED_VALUE"""),0.7749226314032203)</f>
        <v>0.7749226314</v>
      </c>
      <c r="AK82" s="57">
        <f>IFERROR(__xludf.DUMMYFUNCTION("""COMPUTED_VALUE"""),0.6111324526097621)</f>
        <v>0.6111324526</v>
      </c>
      <c r="AL82" s="57">
        <f>IFERROR(__xludf.DUMMYFUNCTION("""COMPUTED_VALUE"""),1.0466596307237774)</f>
        <v>1.046659631</v>
      </c>
      <c r="AM82" s="57">
        <f>IFERROR(__xludf.DUMMYFUNCTION("""COMPUTED_VALUE"""),0.9729383480158317)</f>
        <v>0.972938348</v>
      </c>
      <c r="AN82" s="57">
        <f>IFERROR(__xludf.DUMMYFUNCTION("""COMPUTED_VALUE"""),0.9228822047551223)</f>
        <v>0.9228822048</v>
      </c>
      <c r="AO82" s="57">
        <f>IFERROR(__xludf.DUMMYFUNCTION("""COMPUTED_VALUE"""),0.8034243705215748)</f>
        <v>0.8034243705</v>
      </c>
      <c r="AP82" s="35">
        <f>IFERROR(__xludf.DUMMYFUNCTION("""COMPUTED_VALUE"""),0.9851863326923215)</f>
        <v>0.9851863327</v>
      </c>
      <c r="AQ82" s="57">
        <f>IFERROR(__xludf.DUMMYFUNCTION("""COMPUTED_VALUE"""),0.9735327762590377)</f>
        <v>0.9735327763</v>
      </c>
      <c r="AR82" s="36" t="b">
        <f>IFERROR(__xludf.DUMMYFUNCTION("""COMPUTED_VALUE"""),TRUE)</f>
        <v>1</v>
      </c>
      <c r="AS82" s="57"/>
      <c r="AT82" s="37"/>
      <c r="AU82" s="30"/>
      <c r="AV82" s="30"/>
      <c r="AW82" s="30"/>
      <c r="AX82" s="30"/>
      <c r="AY82" s="30"/>
      <c r="AZ82" s="30"/>
    </row>
    <row r="83">
      <c r="A83" s="30" t="str">
        <f>IFERROR(__xludf.DUMMYFUNCTION("""COMPUTED_VALUE"""),"Challenger")</f>
        <v>Challenger</v>
      </c>
      <c r="B83" s="30" t="str">
        <f>IFERROR(__xludf.DUMMYFUNCTION("""COMPUTED_VALUE"""),"RSC006092")</f>
        <v>RSC006092</v>
      </c>
      <c r="C83" s="30" t="str">
        <f>IFERROR(__xludf.DUMMYFUNCTION("""COMPUTED_VALUE"""),"Mickstery")</f>
        <v>Mickstery</v>
      </c>
      <c r="D83" s="31" t="str">
        <f>IFERROR(__xludf.DUMMYFUNCTION("""COMPUTED_VALUE"""),"Void")</f>
        <v>Void</v>
      </c>
      <c r="E83" s="31">
        <f>IFERROR(__xludf.DUMMYFUNCTION("""COMPUTED_VALUE"""),61.9246131051511)</f>
        <v>61.92461311</v>
      </c>
      <c r="F83" s="31">
        <f>IFERROR(__xludf.DUMMYFUNCTION("""COMPUTED_VALUE"""),3.157696258431529)</f>
        <v>3.157696258</v>
      </c>
      <c r="G83" s="31">
        <f>IFERROR(__xludf.DUMMYFUNCTION("""COMPUTED_VALUE"""),56.54276770125147)</f>
        <v>56.5427677</v>
      </c>
      <c r="H83" s="31">
        <f>IFERROR(__xludf.DUMMYFUNCTION("""COMPUTED_VALUE"""),2.5203375984422207)</f>
        <v>2.520337598</v>
      </c>
      <c r="I83" s="54">
        <f>IFERROR(__xludf.DUMMYFUNCTION("""COMPUTED_VALUE"""),19.0)</f>
        <v>19</v>
      </c>
      <c r="J83" s="55">
        <f>IFERROR(__xludf.DUMMYFUNCTION("""COMPUTED_VALUE"""),13.0)</f>
        <v>13</v>
      </c>
      <c r="K83" s="54">
        <f>IFERROR(__xludf.DUMMYFUNCTION("""COMPUTED_VALUE"""),6.0)</f>
        <v>6</v>
      </c>
      <c r="L83" s="56">
        <f>IFERROR(__xludf.DUMMYFUNCTION("""COMPUTED_VALUE"""),0.6842105263157895)</f>
        <v>0.6842105263</v>
      </c>
      <c r="M83" s="56">
        <f>IFERROR(__xludf.DUMMYFUNCTION("""COMPUTED_VALUE"""),0.39024390243902435)</f>
        <v>0.3902439024</v>
      </c>
      <c r="N83" s="31">
        <f>IFERROR(__xludf.DUMMYFUNCTION("""COMPUTED_VALUE"""),326.6842105263158)</f>
        <v>326.6842105</v>
      </c>
      <c r="O83" s="57">
        <f>IFERROR(__xludf.DUMMYFUNCTION("""COMPUTED_VALUE"""),0.8421052631578947)</f>
        <v>0.8421052632</v>
      </c>
      <c r="P83" s="57">
        <f>IFERROR(__xludf.DUMMYFUNCTION("""COMPUTED_VALUE"""),0.7368421052631579)</f>
        <v>0.7368421053</v>
      </c>
      <c r="Q83" s="57">
        <f>IFERROR(__xludf.DUMMYFUNCTION("""COMPUTED_VALUE"""),1.0)</f>
        <v>1</v>
      </c>
      <c r="R83" s="57">
        <f>IFERROR(__xludf.DUMMYFUNCTION("""COMPUTED_VALUE"""),2.1578947368421053)</f>
        <v>2.157894737</v>
      </c>
      <c r="S83" s="31">
        <f>IFERROR(__xludf.DUMMYFUNCTION("""COMPUTED_VALUE"""),322.68421052631584)</f>
        <v>322.6842105</v>
      </c>
      <c r="T83" s="57">
        <f>IFERROR(__xludf.DUMMYFUNCTION("""COMPUTED_VALUE"""),0.6842105263157895)</f>
        <v>0.6842105263</v>
      </c>
      <c r="U83" s="57">
        <f>IFERROR(__xludf.DUMMYFUNCTION("""COMPUTED_VALUE"""),0.4736842105263157)</f>
        <v>0.4736842105</v>
      </c>
      <c r="V83" s="57">
        <f>IFERROR(__xludf.DUMMYFUNCTION("""COMPUTED_VALUE"""),1.0175438596491226)</f>
        <v>1.01754386</v>
      </c>
      <c r="W83" s="57">
        <f>IFERROR(__xludf.DUMMYFUNCTION("""COMPUTED_VALUE"""),2.1578947368421053)</f>
        <v>2.157894737</v>
      </c>
      <c r="X83" s="31">
        <f>IFERROR(__xludf.DUMMYFUNCTION("""COMPUTED_VALUE"""),334.73583895049666)</f>
        <v>334.735839</v>
      </c>
      <c r="Y83" s="57">
        <f>IFERROR(__xludf.DUMMYFUNCTION("""COMPUTED_VALUE"""),0.7854587126502314)</f>
        <v>0.7854587127</v>
      </c>
      <c r="Z83" s="57">
        <f>IFERROR(__xludf.DUMMYFUNCTION("""COMPUTED_VALUE"""),0.5544980316815005)</f>
        <v>0.5544980317</v>
      </c>
      <c r="AA83" s="57">
        <f>IFERROR(__xludf.DUMMYFUNCTION("""COMPUTED_VALUE"""),1.2086353554407732)</f>
        <v>1.208635355</v>
      </c>
      <c r="AB83" s="57">
        <f>IFERROR(__xludf.DUMMYFUNCTION("""COMPUTED_VALUE"""),2.351852732771591)</f>
        <v>2.351852733</v>
      </c>
      <c r="AC83" s="31">
        <f>IFERROR(__xludf.DUMMYFUNCTION("""COMPUTED_VALUE"""),338.7387919669346)</f>
        <v>338.738792</v>
      </c>
      <c r="AD83" s="57">
        <f>IFERROR(__xludf.DUMMYFUNCTION("""COMPUTED_VALUE"""),0.7994308429487381)</f>
        <v>0.7994308429</v>
      </c>
      <c r="AE83" s="57">
        <f>IFERROR(__xludf.DUMMYFUNCTION("""COMPUTED_VALUE"""),0.5366170971169051)</f>
        <v>0.5366170971</v>
      </c>
      <c r="AF83" s="57">
        <f>IFERROR(__xludf.DUMMYFUNCTION("""COMPUTED_VALUE"""),1.1993845982005342)</f>
        <v>1.199384598</v>
      </c>
      <c r="AG83" s="57">
        <f>IFERROR(__xludf.DUMMYFUNCTION("""COMPUTED_VALUE"""),2.480498772981811)</f>
        <v>2.480498773</v>
      </c>
      <c r="AH83" s="57">
        <f>IFERROR(__xludf.DUMMYFUNCTION("""COMPUTED_VALUE"""),0.9644133422965164)</f>
        <v>0.9644133423</v>
      </c>
      <c r="AI83" s="57">
        <f>IFERROR(__xludf.DUMMYFUNCTION("""COMPUTED_VALUE"""),1.053381002979257)</f>
        <v>1.053381003</v>
      </c>
      <c r="AJ83" s="57">
        <f>IFERROR(__xludf.DUMMYFUNCTION("""COMPUTED_VALUE"""),1.373124541170988)</f>
        <v>1.373124541</v>
      </c>
      <c r="AK83" s="57">
        <f>IFERROR(__xludf.DUMMYFUNCTION("""COMPUTED_VALUE"""),0.8337609149728321)</f>
        <v>0.833760915</v>
      </c>
      <c r="AL83" s="57">
        <f>IFERROR(__xludf.DUMMYFUNCTION("""COMPUTED_VALUE"""),0.8699438840068835)</f>
        <v>0.869943884</v>
      </c>
      <c r="AM83" s="57">
        <f>IFERROR(__xludf.DUMMYFUNCTION("""COMPUTED_VALUE"""),0.9639965996411782)</f>
        <v>0.9639965996</v>
      </c>
      <c r="AN83" s="57">
        <f>IFERROR(__xludf.DUMMYFUNCTION("""COMPUTED_VALUE"""),0.8710967429556947)</f>
        <v>0.871096743</v>
      </c>
      <c r="AO83" s="57">
        <f>IFERROR(__xludf.DUMMYFUNCTION("""COMPUTED_VALUE"""),0.8542576951804157)</f>
        <v>0.8542576952</v>
      </c>
      <c r="AP83" s="35">
        <f>IFERROR(__xludf.DUMMYFUNCTION("""COMPUTED_VALUE"""),0.8418948321084303)</f>
        <v>0.8418948321</v>
      </c>
      <c r="AQ83" s="57">
        <f>IFERROR(__xludf.DUMMYFUNCTION("""COMPUTED_VALUE"""),0.9175297019125378)</f>
        <v>0.9175297019</v>
      </c>
      <c r="AR83" s="36" t="b">
        <f>IFERROR(__xludf.DUMMYFUNCTION("""COMPUTED_VALUE"""),TRUE)</f>
        <v>1</v>
      </c>
      <c r="AS83" s="57"/>
      <c r="AT83" s="37"/>
      <c r="AU83" s="30"/>
      <c r="AV83" s="30"/>
      <c r="AW83" s="30"/>
      <c r="AX83" s="30"/>
      <c r="AY83" s="30"/>
      <c r="AZ83" s="30"/>
    </row>
    <row r="84">
      <c r="A84" s="30" t="str">
        <f>IFERROR(__xludf.DUMMYFUNCTION("""COMPUTED_VALUE"""),"Challenger")</f>
        <v>Challenger</v>
      </c>
      <c r="B84" s="30" t="str">
        <f>IFERROR(__xludf.DUMMYFUNCTION("""COMPUTED_VALUE"""),"RSC001066")</f>
        <v>RSC001066</v>
      </c>
      <c r="C84" s="30" t="str">
        <f>IFERROR(__xludf.DUMMYFUNCTION("""COMPUTED_VALUE"""),"risu")</f>
        <v>risu</v>
      </c>
      <c r="D84" s="31" t="str">
        <f>IFERROR(__xludf.DUMMYFUNCTION("""COMPUTED_VALUE"""),"Trippy Hippies")</f>
        <v>Trippy Hippies</v>
      </c>
      <c r="E84" s="31">
        <f>IFERROR(__xludf.DUMMYFUNCTION("""COMPUTED_VALUE"""),61.50667160313184)</f>
        <v>61.5066716</v>
      </c>
      <c r="F84" s="31">
        <f>IFERROR(__xludf.DUMMYFUNCTION("""COMPUTED_VALUE"""),3.099215099982533)</f>
        <v>3.0992151</v>
      </c>
      <c r="G84" s="31">
        <f>IFERROR(__xludf.DUMMYFUNCTION("""COMPUTED_VALUE"""),55.499715756983)</f>
        <v>55.49971576</v>
      </c>
      <c r="H84" s="31">
        <f>IFERROR(__xludf.DUMMYFUNCTION("""COMPUTED_VALUE"""),2.4216592929975285)</f>
        <v>2.421659293</v>
      </c>
      <c r="I84" s="54">
        <f>IFERROR(__xludf.DUMMYFUNCTION("""COMPUTED_VALUE"""),31.0)</f>
        <v>31</v>
      </c>
      <c r="J84" s="55">
        <f>IFERROR(__xludf.DUMMYFUNCTION("""COMPUTED_VALUE"""),16.0)</f>
        <v>16</v>
      </c>
      <c r="K84" s="54">
        <f>IFERROR(__xludf.DUMMYFUNCTION("""COMPUTED_VALUE"""),15.0)</f>
        <v>15</v>
      </c>
      <c r="L84" s="56">
        <f>IFERROR(__xludf.DUMMYFUNCTION("""COMPUTED_VALUE"""),0.5161290322580645)</f>
        <v>0.5161290323</v>
      </c>
      <c r="M84" s="56">
        <f>IFERROR(__xludf.DUMMYFUNCTION("""COMPUTED_VALUE"""),0.32941176470588235)</f>
        <v>0.3294117647</v>
      </c>
      <c r="N84" s="31">
        <f>IFERROR(__xludf.DUMMYFUNCTION("""COMPUTED_VALUE"""),333.1290322580645)</f>
        <v>333.1290323</v>
      </c>
      <c r="O84" s="57">
        <f>IFERROR(__xludf.DUMMYFUNCTION("""COMPUTED_VALUE"""),0.9032258064516129)</f>
        <v>0.9032258065</v>
      </c>
      <c r="P84" s="57">
        <f>IFERROR(__xludf.DUMMYFUNCTION("""COMPUTED_VALUE"""),0.6129032258064516)</f>
        <v>0.6129032258</v>
      </c>
      <c r="Q84" s="57">
        <f>IFERROR(__xludf.DUMMYFUNCTION("""COMPUTED_VALUE"""),1.0)</f>
        <v>1</v>
      </c>
      <c r="R84" s="57">
        <f>IFERROR(__xludf.DUMMYFUNCTION("""COMPUTED_VALUE"""),2.7419354838709675)</f>
        <v>2.741935484</v>
      </c>
      <c r="S84" s="31">
        <f>IFERROR(__xludf.DUMMYFUNCTION("""COMPUTED_VALUE"""),322.9139784946237)</f>
        <v>322.9139785</v>
      </c>
      <c r="T84" s="57">
        <f>IFERROR(__xludf.DUMMYFUNCTION("""COMPUTED_VALUE"""),0.7634408602150538)</f>
        <v>0.7634408602</v>
      </c>
      <c r="U84" s="57">
        <f>IFERROR(__xludf.DUMMYFUNCTION("""COMPUTED_VALUE"""),0.5591397849462365)</f>
        <v>0.5591397849</v>
      </c>
      <c r="V84" s="57">
        <f>IFERROR(__xludf.DUMMYFUNCTION("""COMPUTED_VALUE"""),1.204301075268817)</f>
        <v>1.204301075</v>
      </c>
      <c r="W84" s="57">
        <f>IFERROR(__xludf.DUMMYFUNCTION("""COMPUTED_VALUE"""),2.4301075268817205)</f>
        <v>2.430107527</v>
      </c>
      <c r="X84" s="31">
        <f>IFERROR(__xludf.DUMMYFUNCTION("""COMPUTED_VALUE"""),336.69464875366964)</f>
        <v>336.6946488</v>
      </c>
      <c r="Y84" s="57">
        <f>IFERROR(__xludf.DUMMYFUNCTION("""COMPUTED_VALUE"""),0.7566353999422688)</f>
        <v>0.7566353999</v>
      </c>
      <c r="Z84" s="57">
        <f>IFERROR(__xludf.DUMMYFUNCTION("""COMPUTED_VALUE"""),0.5660235604007726)</f>
        <v>0.5660235604</v>
      </c>
      <c r="AA84" s="57">
        <f>IFERROR(__xludf.DUMMYFUNCTION("""COMPUTED_VALUE"""),1.2871342368012977)</f>
        <v>1.287134237</v>
      </c>
      <c r="AB84" s="57">
        <f>IFERROR(__xludf.DUMMYFUNCTION("""COMPUTED_VALUE"""),2.3276735865984826)</f>
        <v>2.327673587</v>
      </c>
      <c r="AC84" s="31">
        <f>IFERROR(__xludf.DUMMYFUNCTION("""COMPUTED_VALUE"""),341.7051515389518)</f>
        <v>341.7051515</v>
      </c>
      <c r="AD84" s="57">
        <f>IFERROR(__xludf.DUMMYFUNCTION("""COMPUTED_VALUE"""),0.8307973246518623)</f>
        <v>0.8307973247</v>
      </c>
      <c r="AE84" s="57">
        <f>IFERROR(__xludf.DUMMYFUNCTION("""COMPUTED_VALUE"""),0.5913818769915378)</f>
        <v>0.591381877</v>
      </c>
      <c r="AF84" s="57">
        <f>IFERROR(__xludf.DUMMYFUNCTION("""COMPUTED_VALUE"""),1.1722066712726444)</f>
        <v>1.172206671</v>
      </c>
      <c r="AG84" s="57">
        <f>IFERROR(__xludf.DUMMYFUNCTION("""COMPUTED_VALUE"""),2.5909020721361844)</f>
        <v>2.590902072</v>
      </c>
      <c r="AH84" s="57">
        <f>IFERROR(__xludf.DUMMYFUNCTION("""COMPUTED_VALUE"""),0.9749019900862992)</f>
        <v>0.9749019901</v>
      </c>
      <c r="AI84" s="57">
        <f>IFERROR(__xludf.DUMMYFUNCTION("""COMPUTED_VALUE"""),1.0871794836726287)</f>
        <v>1.087179484</v>
      </c>
      <c r="AJ84" s="57">
        <f>IFERROR(__xludf.DUMMYFUNCTION("""COMPUTED_VALUE"""),1.0363916272246905)</f>
        <v>1.036391627</v>
      </c>
      <c r="AK84" s="57">
        <f>IFERROR(__xludf.DUMMYFUNCTION("""COMPUTED_VALUE"""),0.8530918860189708)</f>
        <v>0.853091886</v>
      </c>
      <c r="AL84" s="57">
        <f>IFERROR(__xludf.DUMMYFUNCTION("""COMPUTED_VALUE"""),1.0582937554294582)</f>
        <v>1.058293755</v>
      </c>
      <c r="AM84" s="57">
        <f>IFERROR(__xludf.DUMMYFUNCTION("""COMPUTED_VALUE"""),0.9590707179040197)</f>
        <v>0.9590707179</v>
      </c>
      <c r="AN84" s="57">
        <f>IFERROR(__xludf.DUMMYFUNCTION("""COMPUTED_VALUE"""),1.008994372022911)</f>
        <v>1.008994372</v>
      </c>
      <c r="AO84" s="57">
        <f>IFERROR(__xludf.DUMMYFUNCTION("""COMPUTED_VALUE"""),0.9878383587961214)</f>
        <v>0.9878383588</v>
      </c>
      <c r="AP84" s="35">
        <f>IFERROR(__xludf.DUMMYFUNCTION("""COMPUTED_VALUE"""),0.9356452814600502)</f>
        <v>0.9356452815</v>
      </c>
      <c r="AQ84" s="57">
        <f>IFERROR(__xludf.DUMMYFUNCTION("""COMPUTED_VALUE"""),1.0440070037624685)</f>
        <v>1.044007004</v>
      </c>
      <c r="AR84" s="36" t="b">
        <f>IFERROR(__xludf.DUMMYFUNCTION("""COMPUTED_VALUE"""),TRUE)</f>
        <v>1</v>
      </c>
      <c r="AS84" s="57"/>
      <c r="AT84" s="37"/>
      <c r="AU84" s="30"/>
      <c r="AV84" s="30"/>
      <c r="AW84" s="30"/>
      <c r="AX84" s="30"/>
      <c r="AY84" s="30"/>
      <c r="AZ84" s="30"/>
    </row>
    <row r="85">
      <c r="A85" s="30" t="str">
        <f>IFERROR(__xludf.DUMMYFUNCTION("""COMPUTED_VALUE"""),"Challenger")</f>
        <v>Challenger</v>
      </c>
      <c r="B85" s="30" t="str">
        <f>IFERROR(__xludf.DUMMYFUNCTION("""COMPUTED_VALUE"""),"RSC007613")</f>
        <v>RSC007613</v>
      </c>
      <c r="C85" s="30" t="str">
        <f>IFERROR(__xludf.DUMMYFUNCTION("""COMPUTED_VALUE"""),"Squatch70")</f>
        <v>Squatch70</v>
      </c>
      <c r="D85" s="31" t="str">
        <f>IFERROR(__xludf.DUMMYFUNCTION("""COMPUTED_VALUE"""),"Panda Bears")</f>
        <v>Panda Bears</v>
      </c>
      <c r="E85" s="31">
        <f>IFERROR(__xludf.DUMMYFUNCTION("""COMPUTED_VALUE"""),61.42035391789898)</f>
        <v>61.42035392</v>
      </c>
      <c r="F85" s="31">
        <f>IFERROR(__xludf.DUMMYFUNCTION("""COMPUTED_VALUE"""),3.087350582206407)</f>
        <v>3.087350582</v>
      </c>
      <c r="G85" s="31">
        <f>IFERROR(__xludf.DUMMYFUNCTION("""COMPUTED_VALUE"""),52.906372092683426)</f>
        <v>52.90637209</v>
      </c>
      <c r="H85" s="31">
        <f>IFERROR(__xludf.DUMMYFUNCTION("""COMPUTED_VALUE"""),2.2039768674456446)</f>
        <v>2.203976867</v>
      </c>
      <c r="I85" s="54">
        <f>IFERROR(__xludf.DUMMYFUNCTION("""COMPUTED_VALUE"""),31.0)</f>
        <v>31</v>
      </c>
      <c r="J85" s="55">
        <f>IFERROR(__xludf.DUMMYFUNCTION("""COMPUTED_VALUE"""),17.0)</f>
        <v>17</v>
      </c>
      <c r="K85" s="54">
        <f>IFERROR(__xludf.DUMMYFUNCTION("""COMPUTED_VALUE"""),14.0)</f>
        <v>14</v>
      </c>
      <c r="L85" s="56">
        <f>IFERROR(__xludf.DUMMYFUNCTION("""COMPUTED_VALUE"""),0.5483870967741935)</f>
        <v>0.5483870968</v>
      </c>
      <c r="M85" s="56">
        <f>IFERROR(__xludf.DUMMYFUNCTION("""COMPUTED_VALUE"""),0.2597402597402597)</f>
        <v>0.2597402597</v>
      </c>
      <c r="N85" s="31">
        <f>IFERROR(__xludf.DUMMYFUNCTION("""COMPUTED_VALUE"""),364.4193548387097)</f>
        <v>364.4193548</v>
      </c>
      <c r="O85" s="57">
        <f>IFERROR(__xludf.DUMMYFUNCTION("""COMPUTED_VALUE"""),0.6451612903225806)</f>
        <v>0.6451612903</v>
      </c>
      <c r="P85" s="57">
        <f>IFERROR(__xludf.DUMMYFUNCTION("""COMPUTED_VALUE"""),0.7096774193548387)</f>
        <v>0.7096774194</v>
      </c>
      <c r="Q85" s="57">
        <f>IFERROR(__xludf.DUMMYFUNCTION("""COMPUTED_VALUE"""),1.5483870967741935)</f>
        <v>1.548387097</v>
      </c>
      <c r="R85" s="57">
        <f>IFERROR(__xludf.DUMMYFUNCTION("""COMPUTED_VALUE"""),2.4838709677419355)</f>
        <v>2.483870968</v>
      </c>
      <c r="S85" s="31">
        <f>IFERROR(__xludf.DUMMYFUNCTION("""COMPUTED_VALUE"""),336.5376344086022)</f>
        <v>336.5376344</v>
      </c>
      <c r="T85" s="57">
        <f>IFERROR(__xludf.DUMMYFUNCTION("""COMPUTED_VALUE"""),0.6881720430107527)</f>
        <v>0.688172043</v>
      </c>
      <c r="U85" s="57">
        <f>IFERROR(__xludf.DUMMYFUNCTION("""COMPUTED_VALUE"""),0.4838709677419356)</f>
        <v>0.4838709677</v>
      </c>
      <c r="V85" s="57">
        <f>IFERROR(__xludf.DUMMYFUNCTION("""COMPUTED_VALUE"""),1.3333333333333335)</f>
        <v>1.333333333</v>
      </c>
      <c r="W85" s="57">
        <f>IFERROR(__xludf.DUMMYFUNCTION("""COMPUTED_VALUE"""),2.5806451612903225)</f>
        <v>2.580645161</v>
      </c>
      <c r="X85" s="31">
        <f>IFERROR(__xludf.DUMMYFUNCTION("""COMPUTED_VALUE"""),345.60506230200224)</f>
        <v>345.6050623</v>
      </c>
      <c r="Y85" s="57">
        <f>IFERROR(__xludf.DUMMYFUNCTION("""COMPUTED_VALUE"""),0.8075691909341287)</f>
        <v>0.8075691909</v>
      </c>
      <c r="Z85" s="57">
        <f>IFERROR(__xludf.DUMMYFUNCTION("""COMPUTED_VALUE"""),0.5732616811335582)</f>
        <v>0.5732616811</v>
      </c>
      <c r="AA85" s="57">
        <f>IFERROR(__xludf.DUMMYFUNCTION("""COMPUTED_VALUE"""),1.3020404100895504)</f>
        <v>1.30204041</v>
      </c>
      <c r="AB85" s="57">
        <f>IFERROR(__xludf.DUMMYFUNCTION("""COMPUTED_VALUE"""),2.471154471042112)</f>
        <v>2.471154471</v>
      </c>
      <c r="AC85" s="31">
        <f>IFERROR(__xludf.DUMMYFUNCTION("""COMPUTED_VALUE"""),332.7635857460999)</f>
        <v>332.7635857</v>
      </c>
      <c r="AD85" s="57">
        <f>IFERROR(__xludf.DUMMYFUNCTION("""COMPUTED_VALUE"""),0.7649331171378312)</f>
        <v>0.7649331171</v>
      </c>
      <c r="AE85" s="57">
        <f>IFERROR(__xludf.DUMMYFUNCTION("""COMPUTED_VALUE"""),0.5311846667758441)</f>
        <v>0.5311846668</v>
      </c>
      <c r="AF85" s="57">
        <f>IFERROR(__xludf.DUMMYFUNCTION("""COMPUTED_VALUE"""),1.2206278659949954)</f>
        <v>1.220627866</v>
      </c>
      <c r="AG85" s="57">
        <f>IFERROR(__xludf.DUMMYFUNCTION("""COMPUTED_VALUE"""),2.491060759014675)</f>
        <v>2.491060759</v>
      </c>
      <c r="AH85" s="57">
        <f>IFERROR(__xludf.DUMMYFUNCTION("""COMPUTED_VALUE"""),1.0951299073834457)</f>
        <v>1.095129907</v>
      </c>
      <c r="AI85" s="57">
        <f>IFERROR(__xludf.DUMMYFUNCTION("""COMPUTED_VALUE"""),0.8434218310962875)</f>
        <v>0.8434218311</v>
      </c>
      <c r="AJ85" s="57">
        <f>IFERROR(__xludf.DUMMYFUNCTION("""COMPUTED_VALUE"""),1.336027682542872)</f>
        <v>1.336027683</v>
      </c>
      <c r="AK85" s="57">
        <f>IFERROR(__xludf.DUMMYFUNCTION("""COMPUTED_VALUE"""),1.2685169165067562)</f>
        <v>1.268516917</v>
      </c>
      <c r="AL85" s="57">
        <f>IFERROR(__xludf.DUMMYFUNCTION("""COMPUTED_VALUE"""),0.9971137631843298)</f>
        <v>0.9971137632</v>
      </c>
      <c r="AM85" s="57">
        <f>IFERROR(__xludf.DUMMYFUNCTION("""COMPUTED_VALUE"""),0.9737636137821482)</f>
        <v>0.9737636138</v>
      </c>
      <c r="AN85" s="57">
        <f>IFERROR(__xludf.DUMMYFUNCTION("""COMPUTED_VALUE"""),0.852152423267575)</f>
        <v>0.8521524233</v>
      </c>
      <c r="AO85" s="57">
        <f>IFERROR(__xludf.DUMMYFUNCTION("""COMPUTED_VALUE"""),0.8440664772589319)</f>
        <v>0.8440664773</v>
      </c>
      <c r="AP85" s="35">
        <f>IFERROR(__xludf.DUMMYFUNCTION("""COMPUTED_VALUE"""),1.0240337573252667)</f>
        <v>1.024033757</v>
      </c>
      <c r="AQ85" s="57">
        <f>IFERROR(__xludf.DUMMYFUNCTION("""COMPUTED_VALUE"""),1.0443075054721436)</f>
        <v>1.044307505</v>
      </c>
      <c r="AR85" s="36" t="b">
        <f>IFERROR(__xludf.DUMMYFUNCTION("""COMPUTED_VALUE"""),TRUE)</f>
        <v>1</v>
      </c>
      <c r="AS85" s="57"/>
      <c r="AT85" s="37"/>
      <c r="AU85" s="30"/>
      <c r="AV85" s="30"/>
      <c r="AW85" s="30"/>
      <c r="AX85" s="30"/>
      <c r="AY85" s="30"/>
      <c r="AZ85" s="30"/>
    </row>
    <row r="86">
      <c r="A86" s="30" t="str">
        <f>IFERROR(__xludf.DUMMYFUNCTION("""COMPUTED_VALUE"""),"Challenger")</f>
        <v>Challenger</v>
      </c>
      <c r="B86" s="30" t="str">
        <f>IFERROR(__xludf.DUMMYFUNCTION("""COMPUTED_VALUE"""),"RSC006072")</f>
        <v>RSC006072</v>
      </c>
      <c r="C86" s="30" t="str">
        <f>IFERROR(__xludf.DUMMYFUNCTION("""COMPUTED_VALUE"""),"AveX InceptionZ")</f>
        <v>AveX InceptionZ</v>
      </c>
      <c r="D86" s="31" t="str">
        <f>IFERROR(__xludf.DUMMYFUNCTION("""COMPUTED_VALUE"""),"Ryujin")</f>
        <v>Ryujin</v>
      </c>
      <c r="E86" s="31">
        <f>IFERROR(__xludf.DUMMYFUNCTION("""COMPUTED_VALUE"""),61.15523738018017)</f>
        <v>61.15523738</v>
      </c>
      <c r="F86" s="31">
        <f>IFERROR(__xludf.DUMMYFUNCTION("""COMPUTED_VALUE"""),3.0513577468052735)</f>
        <v>3.051357747</v>
      </c>
      <c r="G86" s="31">
        <f>IFERROR(__xludf.DUMMYFUNCTION("""COMPUTED_VALUE"""),58.32852715741127)</f>
        <v>58.32852716</v>
      </c>
      <c r="H86" s="31">
        <f>IFERROR(__xludf.DUMMYFUNCTION("""COMPUTED_VALUE"""),2.706258189735248)</f>
        <v>2.70625819</v>
      </c>
      <c r="I86" s="54">
        <f>IFERROR(__xludf.DUMMYFUNCTION("""COMPUTED_VALUE"""),24.0)</f>
        <v>24</v>
      </c>
      <c r="J86" s="55">
        <f>IFERROR(__xludf.DUMMYFUNCTION("""COMPUTED_VALUE"""),17.0)</f>
        <v>17</v>
      </c>
      <c r="K86" s="54">
        <f>IFERROR(__xludf.DUMMYFUNCTION("""COMPUTED_VALUE"""),7.0)</f>
        <v>7</v>
      </c>
      <c r="L86" s="56">
        <f>IFERROR(__xludf.DUMMYFUNCTION("""COMPUTED_VALUE"""),0.7083333333333334)</f>
        <v>0.7083333333</v>
      </c>
      <c r="M86" s="56">
        <f>IFERROR(__xludf.DUMMYFUNCTION("""COMPUTED_VALUE"""),0.30909090909090914)</f>
        <v>0.3090909091</v>
      </c>
      <c r="N86" s="31">
        <f>IFERROR(__xludf.DUMMYFUNCTION("""COMPUTED_VALUE"""),330.875)</f>
        <v>330.875</v>
      </c>
      <c r="O86" s="57">
        <f>IFERROR(__xludf.DUMMYFUNCTION("""COMPUTED_VALUE"""),0.7083333333333334)</f>
        <v>0.7083333333</v>
      </c>
      <c r="P86" s="57">
        <f>IFERROR(__xludf.DUMMYFUNCTION("""COMPUTED_VALUE"""),0.5)</f>
        <v>0.5</v>
      </c>
      <c r="Q86" s="57">
        <f>IFERROR(__xludf.DUMMYFUNCTION("""COMPUTED_VALUE"""),1.375)</f>
        <v>1.375</v>
      </c>
      <c r="R86" s="57">
        <f>IFERROR(__xludf.DUMMYFUNCTION("""COMPUTED_VALUE"""),2.2916666666666665)</f>
        <v>2.291666667</v>
      </c>
      <c r="S86" s="31">
        <f>IFERROR(__xludf.DUMMYFUNCTION("""COMPUTED_VALUE"""),299.6944444444444)</f>
        <v>299.6944444</v>
      </c>
      <c r="T86" s="57">
        <f>IFERROR(__xludf.DUMMYFUNCTION("""COMPUTED_VALUE"""),0.5416666666666666)</f>
        <v>0.5416666667</v>
      </c>
      <c r="U86" s="57">
        <f>IFERROR(__xludf.DUMMYFUNCTION("""COMPUTED_VALUE"""),0.37500000000000006)</f>
        <v>0.375</v>
      </c>
      <c r="V86" s="57">
        <f>IFERROR(__xludf.DUMMYFUNCTION("""COMPUTED_VALUE"""),1.1944444444444442)</f>
        <v>1.194444444</v>
      </c>
      <c r="W86" s="57">
        <f>IFERROR(__xludf.DUMMYFUNCTION("""COMPUTED_VALUE"""),2.0277777777777772)</f>
        <v>2.027777778</v>
      </c>
      <c r="X86" s="31">
        <f>IFERROR(__xludf.DUMMYFUNCTION("""COMPUTED_VALUE"""),337.1796493415397)</f>
        <v>337.1796493</v>
      </c>
      <c r="Y86" s="57">
        <f>IFERROR(__xludf.DUMMYFUNCTION("""COMPUTED_VALUE"""),0.7874146627603036)</f>
        <v>0.7874146628</v>
      </c>
      <c r="Z86" s="57">
        <f>IFERROR(__xludf.DUMMYFUNCTION("""COMPUTED_VALUE"""),0.566303044561267)</f>
        <v>0.5663030446</v>
      </c>
      <c r="AA86" s="57">
        <f>IFERROR(__xludf.DUMMYFUNCTION("""COMPUTED_VALUE"""),1.125468573055543)</f>
        <v>1.125468573</v>
      </c>
      <c r="AB86" s="57">
        <f>IFERROR(__xludf.DUMMYFUNCTION("""COMPUTED_VALUE"""),2.496159130058297)</f>
        <v>2.49615913</v>
      </c>
      <c r="AC86" s="31">
        <f>IFERROR(__xludf.DUMMYFUNCTION("""COMPUTED_VALUE"""),310.5915518130125)</f>
        <v>310.5915518</v>
      </c>
      <c r="AD86" s="57">
        <f>IFERROR(__xludf.DUMMYFUNCTION("""COMPUTED_VALUE"""),0.6771747425598714)</f>
        <v>0.6771747426</v>
      </c>
      <c r="AE86" s="57">
        <f>IFERROR(__xludf.DUMMYFUNCTION("""COMPUTED_VALUE"""),0.440883045022786)</f>
        <v>0.440883045</v>
      </c>
      <c r="AF86" s="57">
        <f>IFERROR(__xludf.DUMMYFUNCTION("""COMPUTED_VALUE"""),1.1996249288271306)</f>
        <v>1.199624929</v>
      </c>
      <c r="AG86" s="57">
        <f>IFERROR(__xludf.DUMMYFUNCTION("""COMPUTED_VALUE"""),2.1881385032160297)</f>
        <v>2.188138503</v>
      </c>
      <c r="AH86" s="57">
        <f>IFERROR(__xludf.DUMMYFUNCTION("""COMPUTED_VALUE"""),1.0653058593145472)</f>
        <v>1.065305859</v>
      </c>
      <c r="AI86" s="57">
        <f>IFERROR(__xludf.DUMMYFUNCTION("""COMPUTED_VALUE"""),1.0460126298504218)</f>
        <v>1.04601263</v>
      </c>
      <c r="AJ86" s="57">
        <f>IFERROR(__xludf.DUMMYFUNCTION("""COMPUTED_VALUE"""),1.1340876126777764)</f>
        <v>1.134087613</v>
      </c>
      <c r="AK86" s="57">
        <f>IFERROR(__xludf.DUMMYFUNCTION("""COMPUTED_VALUE"""),1.1461915861854697)</f>
        <v>1.146191586</v>
      </c>
      <c r="AL86" s="57">
        <f>IFERROR(__xludf.DUMMYFUNCTION("""COMPUTED_VALUE"""),1.0473133502739775)</f>
        <v>1.04731335</v>
      </c>
      <c r="AM86" s="57">
        <f>IFERROR(__xludf.DUMMYFUNCTION("""COMPUTED_VALUE"""),0.8888272024414933)</f>
        <v>0.8888272024</v>
      </c>
      <c r="AN86" s="57">
        <f>IFERROR(__xludf.DUMMYFUNCTION("""COMPUTED_VALUE"""),0.6879052325084211)</f>
        <v>0.6879052325</v>
      </c>
      <c r="AO86" s="57">
        <f>IFERROR(__xludf.DUMMYFUNCTION("""COMPUTED_VALUE"""),0.6621896237385135)</f>
        <v>0.6621896237</v>
      </c>
      <c r="AP86" s="35">
        <f>IFERROR(__xludf.DUMMYFUNCTION("""COMPUTED_VALUE"""),1.0612863593353283)</f>
        <v>1.061286359</v>
      </c>
      <c r="AQ86" s="57">
        <f>IFERROR(__xludf.DUMMYFUNCTION("""COMPUTED_VALUE"""),0.8123591774897857)</f>
        <v>0.8123591775</v>
      </c>
      <c r="AR86" s="36" t="b">
        <f>IFERROR(__xludf.DUMMYFUNCTION("""COMPUTED_VALUE"""),TRUE)</f>
        <v>1</v>
      </c>
      <c r="AS86" s="57"/>
      <c r="AT86" s="37"/>
      <c r="AU86" s="30"/>
      <c r="AV86" s="30"/>
      <c r="AW86" s="30"/>
      <c r="AX86" s="30"/>
      <c r="AY86" s="30"/>
      <c r="AZ86" s="30"/>
    </row>
    <row r="87">
      <c r="A87" s="30" t="str">
        <f>IFERROR(__xludf.DUMMYFUNCTION("""COMPUTED_VALUE"""),"Challenger")</f>
        <v>Challenger</v>
      </c>
      <c r="B87" s="30" t="str">
        <f>IFERROR(__xludf.DUMMYFUNCTION("""COMPUTED_VALUE"""),"RSC005859")</f>
        <v>RSC005859</v>
      </c>
      <c r="C87" s="30" t="str">
        <f>IFERROR(__xludf.DUMMYFUNCTION("""COMPUTED_VALUE"""),"LedTasso")</f>
        <v>LedTasso</v>
      </c>
      <c r="D87" s="31" t="str">
        <f>IFERROR(__xludf.DUMMYFUNCTION("""COMPUTED_VALUE"""),"Jock O Lanterns")</f>
        <v>Jock O Lanterns</v>
      </c>
      <c r="E87" s="31">
        <f>IFERROR(__xludf.DUMMYFUNCTION("""COMPUTED_VALUE"""),60.994517392740576)</f>
        <v>60.99451739</v>
      </c>
      <c r="F87" s="31">
        <f>IFERROR(__xludf.DUMMYFUNCTION("""COMPUTED_VALUE"""),3.0298625504907943)</f>
        <v>3.02986255</v>
      </c>
      <c r="G87" s="31">
        <f>IFERROR(__xludf.DUMMYFUNCTION("""COMPUTED_VALUE"""),50.92852217066237)</f>
        <v>50.92852217</v>
      </c>
      <c r="H87" s="31">
        <f>IFERROR(__xludf.DUMMYFUNCTION("""COMPUTED_VALUE"""),2.061063814632679)</f>
        <v>2.061063815</v>
      </c>
      <c r="I87" s="54">
        <f>IFERROR(__xludf.DUMMYFUNCTION("""COMPUTED_VALUE"""),32.0)</f>
        <v>32</v>
      </c>
      <c r="J87" s="55">
        <f>IFERROR(__xludf.DUMMYFUNCTION("""COMPUTED_VALUE"""),13.0)</f>
        <v>13</v>
      </c>
      <c r="K87" s="54">
        <f>IFERROR(__xludf.DUMMYFUNCTION("""COMPUTED_VALUE"""),19.0)</f>
        <v>19</v>
      </c>
      <c r="L87" s="56">
        <f>IFERROR(__xludf.DUMMYFUNCTION("""COMPUTED_VALUE"""),0.40625)</f>
        <v>0.40625</v>
      </c>
      <c r="M87" s="56">
        <f>IFERROR(__xludf.DUMMYFUNCTION("""COMPUTED_VALUE"""),0.39285714285714285)</f>
        <v>0.3928571429</v>
      </c>
      <c r="N87" s="31">
        <f>IFERROR(__xludf.DUMMYFUNCTION("""COMPUTED_VALUE"""),348.46875)</f>
        <v>348.46875</v>
      </c>
      <c r="O87" s="57">
        <f>IFERROR(__xludf.DUMMYFUNCTION("""COMPUTED_VALUE"""),1.03125)</f>
        <v>1.03125</v>
      </c>
      <c r="P87" s="57">
        <f>IFERROR(__xludf.DUMMYFUNCTION("""COMPUTED_VALUE"""),0.5)</f>
        <v>0.5</v>
      </c>
      <c r="Q87" s="57">
        <f>IFERROR(__xludf.DUMMYFUNCTION("""COMPUTED_VALUE"""),1.0625)</f>
        <v>1.0625</v>
      </c>
      <c r="R87" s="57">
        <f>IFERROR(__xludf.DUMMYFUNCTION("""COMPUTED_VALUE"""),2.625)</f>
        <v>2.625</v>
      </c>
      <c r="S87" s="31">
        <f>IFERROR(__xludf.DUMMYFUNCTION("""COMPUTED_VALUE"""),386.29166666666674)</f>
        <v>386.2916667</v>
      </c>
      <c r="T87" s="57">
        <f>IFERROR(__xludf.DUMMYFUNCTION("""COMPUTED_VALUE"""),0.9583333333333335)</f>
        <v>0.9583333333</v>
      </c>
      <c r="U87" s="57">
        <f>IFERROR(__xludf.DUMMYFUNCTION("""COMPUTED_VALUE"""),0.6354166666666667)</f>
        <v>0.6354166667</v>
      </c>
      <c r="V87" s="57">
        <f>IFERROR(__xludf.DUMMYFUNCTION("""COMPUTED_VALUE"""),1.458333333333333)</f>
        <v>1.458333333</v>
      </c>
      <c r="W87" s="57">
        <f>IFERROR(__xludf.DUMMYFUNCTION("""COMPUTED_VALUE"""),2.4999999999999996)</f>
        <v>2.5</v>
      </c>
      <c r="X87" s="31">
        <f>IFERROR(__xludf.DUMMYFUNCTION("""COMPUTED_VALUE"""),346.07009731409534)</f>
        <v>346.0700973</v>
      </c>
      <c r="Y87" s="57">
        <f>IFERROR(__xludf.DUMMYFUNCTION("""COMPUTED_VALUE"""),0.8180994170276144)</f>
        <v>0.818099417</v>
      </c>
      <c r="Z87" s="57">
        <f>IFERROR(__xludf.DUMMYFUNCTION("""COMPUTED_VALUE"""),0.6083126811888674)</f>
        <v>0.6083126812</v>
      </c>
      <c r="AA87" s="57">
        <f>IFERROR(__xludf.DUMMYFUNCTION("""COMPUTED_VALUE"""),1.258878630220542)</f>
        <v>1.25887863</v>
      </c>
      <c r="AB87" s="57">
        <f>IFERROR(__xludf.DUMMYFUNCTION("""COMPUTED_VALUE"""),2.4972840059729955)</f>
        <v>2.497284006</v>
      </c>
      <c r="AC87" s="31">
        <f>IFERROR(__xludf.DUMMYFUNCTION("""COMPUTED_VALUE"""),333.85924432505686)</f>
        <v>333.8592443</v>
      </c>
      <c r="AD87" s="57">
        <f>IFERROR(__xludf.DUMMYFUNCTION("""COMPUTED_VALUE"""),0.7791027391862624)</f>
        <v>0.7791027392</v>
      </c>
      <c r="AE87" s="57">
        <f>IFERROR(__xludf.DUMMYFUNCTION("""COMPUTED_VALUE"""),0.5454355996400582)</f>
        <v>0.5454355996</v>
      </c>
      <c r="AF87" s="57">
        <f>IFERROR(__xludf.DUMMYFUNCTION("""COMPUTED_VALUE"""),1.1772255180393736)</f>
        <v>1.177225518</v>
      </c>
      <c r="AG87" s="57">
        <f>IFERROR(__xludf.DUMMYFUNCTION("""COMPUTED_VALUE"""),2.4944710273954174)</f>
        <v>2.494471027</v>
      </c>
      <c r="AH87" s="57">
        <f>IFERROR(__xludf.DUMMYFUNCTION("""COMPUTED_VALUE"""),1.043759476256164)</f>
        <v>1.043759476</v>
      </c>
      <c r="AI87" s="57">
        <f>IFERROR(__xludf.DUMMYFUNCTION("""COMPUTED_VALUE"""),1.3236380109215045)</f>
        <v>1.323638011</v>
      </c>
      <c r="AJ87" s="57">
        <f>IFERROR(__xludf.DUMMYFUNCTION("""COMPUTED_VALUE"""),0.916698507266409)</f>
        <v>0.9166985073</v>
      </c>
      <c r="AK87" s="57">
        <f>IFERROR(__xludf.DUMMYFUNCTION("""COMPUTED_VALUE"""),0.9025458450557164)</f>
        <v>0.9025458451</v>
      </c>
      <c r="AL87" s="57">
        <f>IFERROR(__xludf.DUMMYFUNCTION("""COMPUTED_VALUE"""),1.052327315559513)</f>
        <v>1.052327316</v>
      </c>
      <c r="AM87" s="57">
        <f>IFERROR(__xludf.DUMMYFUNCTION("""COMPUTED_VALUE"""),1.1162237641007915)</f>
        <v>1.116223764</v>
      </c>
      <c r="AN87" s="57">
        <f>IFERROR(__xludf.DUMMYFUNCTION("""COMPUTED_VALUE"""),1.171414272381746)</f>
        <v>1.171414272</v>
      </c>
      <c r="AO87" s="57">
        <f>IFERROR(__xludf.DUMMYFUNCTION("""COMPUTED_VALUE"""),1.044556009295792)</f>
        <v>1.044556009</v>
      </c>
      <c r="AP87" s="35">
        <f>IFERROR(__xludf.DUMMYFUNCTION("""COMPUTED_VALUE"""),1.1584383897896884)</f>
        <v>1.15843839</v>
      </c>
      <c r="AQ87" s="57">
        <f>IFERROR(__xludf.DUMMYFUNCTION("""COMPUTED_VALUE"""),1.0010875791541962)</f>
        <v>1.001087579</v>
      </c>
      <c r="AR87" s="36" t="b">
        <f>IFERROR(__xludf.DUMMYFUNCTION("""COMPUTED_VALUE"""),TRUE)</f>
        <v>1</v>
      </c>
      <c r="AS87" s="57"/>
      <c r="AT87" s="37"/>
      <c r="AU87" s="30"/>
      <c r="AV87" s="30"/>
      <c r="AW87" s="30"/>
      <c r="AX87" s="30"/>
      <c r="AY87" s="30"/>
      <c r="AZ87" s="30"/>
    </row>
    <row r="88">
      <c r="A88" s="30" t="str">
        <f>IFERROR(__xludf.DUMMYFUNCTION("""COMPUTED_VALUE"""),"Challenger")</f>
        <v>Challenger</v>
      </c>
      <c r="B88" s="30" t="str">
        <f>IFERROR(__xludf.DUMMYFUNCTION("""COMPUTED_VALUE"""),"RSC003387")</f>
        <v>RSC003387</v>
      </c>
      <c r="C88" s="30" t="str">
        <f>IFERROR(__xludf.DUMMYFUNCTION("""COMPUTED_VALUE"""),"Redline")</f>
        <v>Redline</v>
      </c>
      <c r="D88" s="31" t="str">
        <f>IFERROR(__xludf.DUMMYFUNCTION("""COMPUTED_VALUE"""),"Havarti Hustlers")</f>
        <v>Havarti Hustlers</v>
      </c>
      <c r="E88" s="31">
        <f>IFERROR(__xludf.DUMMYFUNCTION("""COMPUTED_VALUE"""),60.667444819466176)</f>
        <v>60.66744482</v>
      </c>
      <c r="F88" s="31">
        <f>IFERROR(__xludf.DUMMYFUNCTION("""COMPUTED_VALUE"""),2.9868602413549286)</f>
        <v>2.986860241</v>
      </c>
      <c r="G88" s="31">
        <f>IFERROR(__xludf.DUMMYFUNCTION("""COMPUTED_VALUE"""),46.59774702523052)</f>
        <v>46.59774703</v>
      </c>
      <c r="H88" s="31">
        <f>IFERROR(__xludf.DUMMYFUNCTION("""COMPUTED_VALUE"""),-2.2427809510227563)</f>
        <v>-2.242780951</v>
      </c>
      <c r="I88" s="54">
        <f>IFERROR(__xludf.DUMMYFUNCTION("""COMPUTED_VALUE"""),21.0)</f>
        <v>21</v>
      </c>
      <c r="J88" s="55">
        <f>IFERROR(__xludf.DUMMYFUNCTION("""COMPUTED_VALUE"""),12.0)</f>
        <v>12</v>
      </c>
      <c r="K88" s="54">
        <f>IFERROR(__xludf.DUMMYFUNCTION("""COMPUTED_VALUE"""),9.0)</f>
        <v>9</v>
      </c>
      <c r="L88" s="56">
        <f>IFERROR(__xludf.DUMMYFUNCTION("""COMPUTED_VALUE"""),0.5714285714285714)</f>
        <v>0.5714285714</v>
      </c>
      <c r="M88" s="56">
        <f>IFERROR(__xludf.DUMMYFUNCTION("""COMPUTED_VALUE"""),0.2777777777777778)</f>
        <v>0.2777777778</v>
      </c>
      <c r="N88" s="31">
        <f>IFERROR(__xludf.DUMMYFUNCTION("""COMPUTED_VALUE"""),324.6190476190476)</f>
        <v>324.6190476</v>
      </c>
      <c r="O88" s="57">
        <f>IFERROR(__xludf.DUMMYFUNCTION("""COMPUTED_VALUE"""),0.7142857142857143)</f>
        <v>0.7142857143</v>
      </c>
      <c r="P88" s="57">
        <f>IFERROR(__xludf.DUMMYFUNCTION("""COMPUTED_VALUE"""),0.7619047619047619)</f>
        <v>0.7619047619</v>
      </c>
      <c r="Q88" s="57">
        <f>IFERROR(__xludf.DUMMYFUNCTION("""COMPUTED_VALUE"""),1.1428571428571428)</f>
        <v>1.142857143</v>
      </c>
      <c r="R88" s="57">
        <f>IFERROR(__xludf.DUMMYFUNCTION("""COMPUTED_VALUE"""),2.5714285714285716)</f>
        <v>2.571428571</v>
      </c>
      <c r="S88" s="31">
        <f>IFERROR(__xludf.DUMMYFUNCTION("""COMPUTED_VALUE"""),335.063492063492)</f>
        <v>335.0634921</v>
      </c>
      <c r="T88" s="57">
        <f>IFERROR(__xludf.DUMMYFUNCTION("""COMPUTED_VALUE"""),0.6031746031746031)</f>
        <v>0.6031746032</v>
      </c>
      <c r="U88" s="57">
        <f>IFERROR(__xludf.DUMMYFUNCTION("""COMPUTED_VALUE"""),0.4603174603174603)</f>
        <v>0.4603174603</v>
      </c>
      <c r="V88" s="57">
        <f>IFERROR(__xludf.DUMMYFUNCTION("""COMPUTED_VALUE"""),1.5555555555555558)</f>
        <v>1.555555556</v>
      </c>
      <c r="W88" s="57">
        <f>IFERROR(__xludf.DUMMYFUNCTION("""COMPUTED_VALUE"""),2.1428571428571432)</f>
        <v>2.142857143</v>
      </c>
      <c r="X88" s="31">
        <f>IFERROR(__xludf.DUMMYFUNCTION("""COMPUTED_VALUE"""),324.2624608689936)</f>
        <v>324.2624609</v>
      </c>
      <c r="Y88" s="57">
        <f>IFERROR(__xludf.DUMMYFUNCTION("""COMPUTED_VALUE"""),0.6738659088302171)</f>
        <v>0.6738659088</v>
      </c>
      <c r="Z88" s="57">
        <f>IFERROR(__xludf.DUMMYFUNCTION("""COMPUTED_VALUE"""),0.45155688450976994)</f>
        <v>0.4515568845</v>
      </c>
      <c r="AA88" s="57">
        <f>IFERROR(__xludf.DUMMYFUNCTION("""COMPUTED_VALUE"""),1.2801710823103247)</f>
        <v>1.280171082</v>
      </c>
      <c r="AB88" s="57">
        <f>IFERROR(__xludf.DUMMYFUNCTION("""COMPUTED_VALUE"""),2.3338175029684693)</f>
        <v>2.333817503</v>
      </c>
      <c r="AC88" s="31">
        <f>IFERROR(__xludf.DUMMYFUNCTION("""COMPUTED_VALUE"""),337.9084750582727)</f>
        <v>337.9084751</v>
      </c>
      <c r="AD88" s="57">
        <f>IFERROR(__xludf.DUMMYFUNCTION("""COMPUTED_VALUE"""),0.7959829836109917)</f>
        <v>0.7959829836</v>
      </c>
      <c r="AE88" s="57">
        <f>IFERROR(__xludf.DUMMYFUNCTION("""COMPUTED_VALUE"""),0.5621684036479524)</f>
        <v>0.5621684036</v>
      </c>
      <c r="AF88" s="57">
        <f>IFERROR(__xludf.DUMMYFUNCTION("""COMPUTED_VALUE"""),1.2128709262555009)</f>
        <v>1.212870926</v>
      </c>
      <c r="AG88" s="57">
        <f>IFERROR(__xludf.DUMMYFUNCTION("""COMPUTED_VALUE"""),2.531093636103462)</f>
        <v>2.531093636</v>
      </c>
      <c r="AH88" s="57">
        <f>IFERROR(__xludf.DUMMYFUNCTION("""COMPUTED_VALUE"""),0.9606715178217021)</f>
        <v>0.9606715178</v>
      </c>
      <c r="AI88" s="57">
        <f>IFERROR(__xludf.DUMMYFUNCTION("""COMPUTED_VALUE"""),0.8973630454326345)</f>
        <v>0.8973630454</v>
      </c>
      <c r="AJ88" s="57">
        <f>IFERROR(__xludf.DUMMYFUNCTION("""COMPUTED_VALUE"""),1.3552963079402995)</f>
        <v>1.355296308</v>
      </c>
      <c r="AK88" s="57">
        <f>IFERROR(__xludf.DUMMYFUNCTION("""COMPUTED_VALUE"""),0.9422743328389347)</f>
        <v>0.9422743328</v>
      </c>
      <c r="AL88" s="57">
        <f>IFERROR(__xludf.DUMMYFUNCTION("""COMPUTED_VALUE"""),1.0159357736710222)</f>
        <v>1.015935774</v>
      </c>
      <c r="AM88" s="57">
        <f>IFERROR(__xludf.DUMMYFUNCTION("""COMPUTED_VALUE"""),1.033309533165056)</f>
        <v>1.033309533</v>
      </c>
      <c r="AN88" s="57">
        <f>IFERROR(__xludf.DUMMYFUNCTION("""COMPUTED_VALUE"""),0.8950958866900849)</f>
        <v>0.8950958867</v>
      </c>
      <c r="AO88" s="57">
        <f>IFERROR(__xludf.DUMMYFUNCTION("""COMPUTED_VALUE"""),1.0194008243661288)</f>
        <v>1.019400824</v>
      </c>
      <c r="AP88" s="35">
        <f>IFERROR(__xludf.DUMMYFUNCTION("""COMPUTED_VALUE"""),1.215115367821186)</f>
        <v>1.215115368</v>
      </c>
      <c r="AQ88" s="57">
        <f>IFERROR(__xludf.DUMMYFUNCTION("""COMPUTED_VALUE"""),0.9181768240796735)</f>
        <v>0.9181768241</v>
      </c>
      <c r="AR88" s="36" t="b">
        <f>IFERROR(__xludf.DUMMYFUNCTION("""COMPUTED_VALUE"""),TRUE)</f>
        <v>1</v>
      </c>
      <c r="AS88" s="57"/>
      <c r="AT88" s="37"/>
      <c r="AU88" s="30"/>
      <c r="AV88" s="30"/>
      <c r="AW88" s="30"/>
      <c r="AX88" s="30"/>
      <c r="AY88" s="30"/>
      <c r="AZ88" s="30"/>
    </row>
    <row r="89">
      <c r="A89" s="30" t="str">
        <f>IFERROR(__xludf.DUMMYFUNCTION("""COMPUTED_VALUE"""),"Challenger")</f>
        <v>Challenger</v>
      </c>
      <c r="B89" s="30" t="str">
        <f>IFERROR(__xludf.DUMMYFUNCTION("""COMPUTED_VALUE"""),"RSC006747")</f>
        <v>RSC006747</v>
      </c>
      <c r="C89" s="30" t="str">
        <f>IFERROR(__xludf.DUMMYFUNCTION("""COMPUTED_VALUE"""),"Panda")</f>
        <v>Panda</v>
      </c>
      <c r="D89" s="31" t="str">
        <f>IFERROR(__xludf.DUMMYFUNCTION("""COMPUTED_VALUE"""),"Toucans")</f>
        <v>Toucans</v>
      </c>
      <c r="E89" s="31">
        <f>IFERROR(__xludf.DUMMYFUNCTION("""COMPUTED_VALUE"""),60.167126107334674)</f>
        <v>60.16712611</v>
      </c>
      <c r="F89" s="31">
        <f>IFERROR(__xludf.DUMMYFUNCTION("""COMPUTED_VALUE"""),2.9229538893293374)</f>
        <v>2.922953889</v>
      </c>
      <c r="G89" s="31">
        <f>IFERROR(__xludf.DUMMYFUNCTION("""COMPUTED_VALUE"""),62.09488896486499)</f>
        <v>62.09488896</v>
      </c>
      <c r="H89" s="31">
        <f>IFERROR(__xludf.DUMMYFUNCTION("""COMPUTED_VALUE"""),3.1820230086171897)</f>
        <v>3.182023009</v>
      </c>
      <c r="I89" s="54">
        <f>IFERROR(__xludf.DUMMYFUNCTION("""COMPUTED_VALUE"""),31.0)</f>
        <v>31</v>
      </c>
      <c r="J89" s="55">
        <f>IFERROR(__xludf.DUMMYFUNCTION("""COMPUTED_VALUE"""),16.0)</f>
        <v>16</v>
      </c>
      <c r="K89" s="54">
        <f>IFERROR(__xludf.DUMMYFUNCTION("""COMPUTED_VALUE"""),15.0)</f>
        <v>15</v>
      </c>
      <c r="L89" s="56">
        <f>IFERROR(__xludf.DUMMYFUNCTION("""COMPUTED_VALUE"""),0.5161290322580645)</f>
        <v>0.5161290323</v>
      </c>
      <c r="M89" s="56">
        <f>IFERROR(__xludf.DUMMYFUNCTION("""COMPUTED_VALUE"""),0.2972972972972973)</f>
        <v>0.2972972973</v>
      </c>
      <c r="N89" s="31">
        <f>IFERROR(__xludf.DUMMYFUNCTION("""COMPUTED_VALUE"""),312.5806451612903)</f>
        <v>312.5806452</v>
      </c>
      <c r="O89" s="57">
        <f>IFERROR(__xludf.DUMMYFUNCTION("""COMPUTED_VALUE"""),0.7096774193548387)</f>
        <v>0.7096774194</v>
      </c>
      <c r="P89" s="57">
        <f>IFERROR(__xludf.DUMMYFUNCTION("""COMPUTED_VALUE"""),0.7096774193548387)</f>
        <v>0.7096774194</v>
      </c>
      <c r="Q89" s="57">
        <f>IFERROR(__xludf.DUMMYFUNCTION("""COMPUTED_VALUE"""),0.967741935483871)</f>
        <v>0.9677419355</v>
      </c>
      <c r="R89" s="57">
        <f>IFERROR(__xludf.DUMMYFUNCTION("""COMPUTED_VALUE"""),2.3870967741935485)</f>
        <v>2.387096774</v>
      </c>
      <c r="S89" s="31">
        <f>IFERROR(__xludf.DUMMYFUNCTION("""COMPUTED_VALUE"""),309.3440860215053)</f>
        <v>309.344086</v>
      </c>
      <c r="T89" s="57">
        <f>IFERROR(__xludf.DUMMYFUNCTION("""COMPUTED_VALUE"""),0.7096774193548389)</f>
        <v>0.7096774194</v>
      </c>
      <c r="U89" s="57">
        <f>IFERROR(__xludf.DUMMYFUNCTION("""COMPUTED_VALUE"""),0.4731182795698924)</f>
        <v>0.4731182796</v>
      </c>
      <c r="V89" s="57">
        <f>IFERROR(__xludf.DUMMYFUNCTION("""COMPUTED_VALUE"""),1.1075268817204302)</f>
        <v>1.107526882</v>
      </c>
      <c r="W89" s="57">
        <f>IFERROR(__xludf.DUMMYFUNCTION("""COMPUTED_VALUE"""),2.150537634408603)</f>
        <v>2.150537634</v>
      </c>
      <c r="X89" s="31">
        <f>IFERROR(__xludf.DUMMYFUNCTION("""COMPUTED_VALUE"""),320.40930290542633)</f>
        <v>320.4093029</v>
      </c>
      <c r="Y89" s="57">
        <f>IFERROR(__xludf.DUMMYFUNCTION("""COMPUTED_VALUE"""),0.7121781185795439)</f>
        <v>0.7121781186</v>
      </c>
      <c r="Z89" s="57">
        <f>IFERROR(__xludf.DUMMYFUNCTION("""COMPUTED_VALUE"""),0.4815137143412376)</f>
        <v>0.4815137143</v>
      </c>
      <c r="AA89" s="57">
        <f>IFERROR(__xludf.DUMMYFUNCTION("""COMPUTED_VALUE"""),1.1376078481202523)</f>
        <v>1.137607848</v>
      </c>
      <c r="AB89" s="57">
        <f>IFERROR(__xludf.DUMMYFUNCTION("""COMPUTED_VALUE"""),2.4014792579682256)</f>
        <v>2.401479258</v>
      </c>
      <c r="AC89" s="31">
        <f>IFERROR(__xludf.DUMMYFUNCTION("""COMPUTED_VALUE"""),321.5164958882612)</f>
        <v>321.5164959</v>
      </c>
      <c r="AD89" s="57">
        <f>IFERROR(__xludf.DUMMYFUNCTION("""COMPUTED_VALUE"""),0.7123216085800638)</f>
        <v>0.7123216086</v>
      </c>
      <c r="AE89" s="57">
        <f>IFERROR(__xludf.DUMMYFUNCTION("""COMPUTED_VALUE"""),0.49668603936954375)</f>
        <v>0.4966860394</v>
      </c>
      <c r="AF89" s="57">
        <f>IFERROR(__xludf.DUMMYFUNCTION("""COMPUTED_VALUE"""),1.1652104036386084)</f>
        <v>1.165210404</v>
      </c>
      <c r="AG89" s="57">
        <f>IFERROR(__xludf.DUMMYFUNCTION("""COMPUTED_VALUE"""),2.274796827208962)</f>
        <v>2.274796827</v>
      </c>
      <c r="AH89" s="57">
        <f>IFERROR(__xludf.DUMMYFUNCTION("""COMPUTED_VALUE"""),0.972207178041414)</f>
        <v>0.972207178</v>
      </c>
      <c r="AI89" s="57">
        <f>IFERROR(__xludf.DUMMYFUNCTION("""COMPUTED_VALUE"""),0.9962879278216816)</f>
        <v>0.9962879278</v>
      </c>
      <c r="AJ89" s="57">
        <f>IFERROR(__xludf.DUMMYFUNCTION("""COMPUTED_VALUE"""),1.4288249781605507)</f>
        <v>1.428824978</v>
      </c>
      <c r="AK89" s="57">
        <f>IFERROR(__xludf.DUMMYFUNCTION("""COMPUTED_VALUE"""),0.8305297759631208)</f>
        <v>0.830529776</v>
      </c>
      <c r="AL89" s="57">
        <f>IFERROR(__xludf.DUMMYFUNCTION("""COMPUTED_VALUE"""),1.0493670228661132)</f>
        <v>1.049367023</v>
      </c>
      <c r="AM89" s="57">
        <f>IFERROR(__xludf.DUMMYFUNCTION("""COMPUTED_VALUE"""),0.9654653695021237)</f>
        <v>0.9654653695</v>
      </c>
      <c r="AN89" s="57">
        <f>IFERROR(__xludf.DUMMYFUNCTION("""COMPUTED_VALUE"""),0.9964886604074655)</f>
        <v>0.9964886604</v>
      </c>
      <c r="AO89" s="57">
        <f>IFERROR(__xludf.DUMMYFUNCTION("""COMPUTED_VALUE"""),0.9825644950054412)</f>
        <v>0.982564495</v>
      </c>
      <c r="AP89" s="35">
        <f>IFERROR(__xludf.DUMMYFUNCTION("""COMPUTED_VALUE"""),0.9735577014086824)</f>
        <v>0.9735577014</v>
      </c>
      <c r="AQ89" s="57">
        <f>IFERROR(__xludf.DUMMYFUNCTION("""COMPUTED_VALUE"""),0.8955053962148596)</f>
        <v>0.8955053962</v>
      </c>
      <c r="AR89" s="36" t="b">
        <f>IFERROR(__xludf.DUMMYFUNCTION("""COMPUTED_VALUE"""),TRUE)</f>
        <v>1</v>
      </c>
      <c r="AS89" s="57"/>
      <c r="AT89" s="37"/>
      <c r="AU89" s="30"/>
      <c r="AV89" s="30"/>
      <c r="AW89" s="30"/>
      <c r="AX89" s="30"/>
      <c r="AY89" s="30"/>
      <c r="AZ89" s="30"/>
    </row>
    <row r="90">
      <c r="A90" s="30" t="str">
        <f>IFERROR(__xludf.DUMMYFUNCTION("""COMPUTED_VALUE"""),"Challenger")</f>
        <v>Challenger</v>
      </c>
      <c r="B90" s="30" t="str">
        <f>IFERROR(__xludf.DUMMYFUNCTION("""COMPUTED_VALUE"""),"RSC004763")</f>
        <v>RSC004763</v>
      </c>
      <c r="C90" s="30" t="str">
        <f>IFERROR(__xludf.DUMMYFUNCTION("""COMPUTED_VALUE"""),"Rmuru-")</f>
        <v>Rmuru-</v>
      </c>
      <c r="D90" s="31" t="str">
        <f>IFERROR(__xludf.DUMMYFUNCTION("""COMPUTED_VALUE"""),"Warbirds")</f>
        <v>Warbirds</v>
      </c>
      <c r="E90" s="31">
        <f>IFERROR(__xludf.DUMMYFUNCTION("""COMPUTED_VALUE"""),59.99274837503576)</f>
        <v>59.99274838</v>
      </c>
      <c r="F90" s="31">
        <f>IFERROR(__xludf.DUMMYFUNCTION("""COMPUTED_VALUE"""),2.901198914929645)</f>
        <v>2.901198915</v>
      </c>
      <c r="G90" s="31">
        <f>IFERROR(__xludf.DUMMYFUNCTION("""COMPUTED_VALUE"""),54.288915524578364)</f>
        <v>54.28891552</v>
      </c>
      <c r="H90" s="31">
        <f>IFERROR(__xludf.DUMMYFUNCTION("""COMPUTED_VALUE"""),2.315387998849585)</f>
        <v>2.315387999</v>
      </c>
      <c r="I90" s="54">
        <f>IFERROR(__xludf.DUMMYFUNCTION("""COMPUTED_VALUE"""),36.0)</f>
        <v>36</v>
      </c>
      <c r="J90" s="55">
        <f>IFERROR(__xludf.DUMMYFUNCTION("""COMPUTED_VALUE"""),18.0)</f>
        <v>18</v>
      </c>
      <c r="K90" s="54">
        <f>IFERROR(__xludf.DUMMYFUNCTION("""COMPUTED_VALUE"""),18.0)</f>
        <v>18</v>
      </c>
      <c r="L90" s="56">
        <f>IFERROR(__xludf.DUMMYFUNCTION("""COMPUTED_VALUE"""),0.5)</f>
        <v>0.5</v>
      </c>
      <c r="M90" s="56">
        <f>IFERROR(__xludf.DUMMYFUNCTION("""COMPUTED_VALUE"""),0.2626262626262626)</f>
        <v>0.2626262626</v>
      </c>
      <c r="N90" s="31">
        <f>IFERROR(__xludf.DUMMYFUNCTION("""COMPUTED_VALUE"""),366.0)</f>
        <v>366</v>
      </c>
      <c r="O90" s="57">
        <f>IFERROR(__xludf.DUMMYFUNCTION("""COMPUTED_VALUE"""),0.7222222222222222)</f>
        <v>0.7222222222</v>
      </c>
      <c r="P90" s="57">
        <f>IFERROR(__xludf.DUMMYFUNCTION("""COMPUTED_VALUE"""),0.6388888888888888)</f>
        <v>0.6388888889</v>
      </c>
      <c r="Q90" s="57">
        <f>IFERROR(__xludf.DUMMYFUNCTION("""COMPUTED_VALUE"""),1.6388888888888888)</f>
        <v>1.638888889</v>
      </c>
      <c r="R90" s="57">
        <f>IFERROR(__xludf.DUMMYFUNCTION("""COMPUTED_VALUE"""),2.75)</f>
        <v>2.75</v>
      </c>
      <c r="S90" s="31">
        <f>IFERROR(__xludf.DUMMYFUNCTION("""COMPUTED_VALUE"""),363.84259259259244)</f>
        <v>363.8425926</v>
      </c>
      <c r="T90" s="57">
        <f>IFERROR(__xludf.DUMMYFUNCTION("""COMPUTED_VALUE"""),0.8888888888888888)</f>
        <v>0.8888888889</v>
      </c>
      <c r="U90" s="57">
        <f>IFERROR(__xludf.DUMMYFUNCTION("""COMPUTED_VALUE"""),0.6759259259259259)</f>
        <v>0.6759259259</v>
      </c>
      <c r="V90" s="57">
        <f>IFERROR(__xludf.DUMMYFUNCTION("""COMPUTED_VALUE"""),1.2777777777777777)</f>
        <v>1.277777778</v>
      </c>
      <c r="W90" s="57">
        <f>IFERROR(__xludf.DUMMYFUNCTION("""COMPUTED_VALUE"""),2.824074074074073)</f>
        <v>2.824074074</v>
      </c>
      <c r="X90" s="31">
        <f>IFERROR(__xludf.DUMMYFUNCTION("""COMPUTED_VALUE"""),336.5779210598363)</f>
        <v>336.5779211</v>
      </c>
      <c r="Y90" s="57">
        <f>IFERROR(__xludf.DUMMYFUNCTION("""COMPUTED_VALUE"""),0.7660254069634652)</f>
        <v>0.766025407</v>
      </c>
      <c r="Z90" s="57">
        <f>IFERROR(__xludf.DUMMYFUNCTION("""COMPUTED_VALUE"""),0.5368173067554889)</f>
        <v>0.5368173068</v>
      </c>
      <c r="AA90" s="57">
        <f>IFERROR(__xludf.DUMMYFUNCTION("""COMPUTED_VALUE"""),1.2248740454415294)</f>
        <v>1.224874045</v>
      </c>
      <c r="AB90" s="57">
        <f>IFERROR(__xludf.DUMMYFUNCTION("""COMPUTED_VALUE"""),2.5057444584639494)</f>
        <v>2.505744458</v>
      </c>
      <c r="AC90" s="31">
        <f>IFERROR(__xludf.DUMMYFUNCTION("""COMPUTED_VALUE"""),327.89358036645467)</f>
        <v>327.8935804</v>
      </c>
      <c r="AD90" s="57">
        <f>IFERROR(__xludf.DUMMYFUNCTION("""COMPUTED_VALUE"""),0.7176377014439153)</f>
        <v>0.7176377014</v>
      </c>
      <c r="AE90" s="57">
        <f>IFERROR(__xludf.DUMMYFUNCTION("""COMPUTED_VALUE"""),0.4973248626303914)</f>
        <v>0.4973248626</v>
      </c>
      <c r="AF90" s="57">
        <f>IFERROR(__xludf.DUMMYFUNCTION("""COMPUTED_VALUE"""),1.255788088900334)</f>
        <v>1.255788089</v>
      </c>
      <c r="AG90" s="57">
        <f>IFERROR(__xludf.DUMMYFUNCTION("""COMPUTED_VALUE"""),2.3346163311163863)</f>
        <v>2.334616331</v>
      </c>
      <c r="AH90" s="57">
        <f>IFERROR(__xludf.DUMMYFUNCTION("""COMPUTED_VALUE"""),1.1162158148718786)</f>
        <v>1.116215815</v>
      </c>
      <c r="AI90" s="57">
        <f>IFERROR(__xludf.DUMMYFUNCTION("""COMPUTED_VALUE"""),1.0063883499558102)</f>
        <v>1.00638835</v>
      </c>
      <c r="AJ90" s="57">
        <f>IFERROR(__xludf.DUMMYFUNCTION("""COMPUTED_VALUE"""),1.2846510136447913)</f>
        <v>1.284651014</v>
      </c>
      <c r="AK90" s="57">
        <f>IFERROR(__xludf.DUMMYFUNCTION("""COMPUTED_VALUE"""),1.3050680312822744)</f>
        <v>1.305068031</v>
      </c>
      <c r="AL90" s="57">
        <f>IFERROR(__xludf.DUMMYFUNCTION("""COMPUTED_VALUE"""),1.1779237399084679)</f>
        <v>1.17792374</v>
      </c>
      <c r="AM90" s="57">
        <f>IFERROR(__xludf.DUMMYFUNCTION("""COMPUTED_VALUE"""),1.0810055259920306)</f>
        <v>1.081005526</v>
      </c>
      <c r="AN90" s="57">
        <f>IFERROR(__xludf.DUMMYFUNCTION("""COMPUTED_VALUE"""),1.1603908706010888)</f>
        <v>1.160390871</v>
      </c>
      <c r="AO90" s="57">
        <f>IFERROR(__xludf.DUMMYFUNCTION("""COMPUTED_VALUE"""),1.2591358687953007)</f>
        <v>1.259135869</v>
      </c>
      <c r="AP90" s="35">
        <f>IFERROR(__xludf.DUMMYFUNCTION("""COMPUTED_VALUE"""),1.0431911611917437)</f>
        <v>1.043191161</v>
      </c>
      <c r="AQ90" s="57">
        <f>IFERROR(__xludf.DUMMYFUNCTION("""COMPUTED_VALUE"""),1.1270399359898269)</f>
        <v>1.127039936</v>
      </c>
      <c r="AR90" s="36" t="b">
        <f>IFERROR(__xludf.DUMMYFUNCTION("""COMPUTED_VALUE"""),TRUE)</f>
        <v>1</v>
      </c>
      <c r="AS90" s="57"/>
      <c r="AT90" s="37"/>
      <c r="AU90" s="30"/>
      <c r="AV90" s="30"/>
      <c r="AW90" s="30"/>
      <c r="AX90" s="30"/>
      <c r="AY90" s="30"/>
      <c r="AZ90" s="30"/>
    </row>
    <row r="91">
      <c r="A91" s="30" t="str">
        <f>IFERROR(__xludf.DUMMYFUNCTION("""COMPUTED_VALUE"""),"Challenger")</f>
        <v>Challenger</v>
      </c>
      <c r="B91" s="30" t="str">
        <f>IFERROR(__xludf.DUMMYFUNCTION("""COMPUTED_VALUE"""),"RSC006159")</f>
        <v>RSC006159</v>
      </c>
      <c r="C91" s="30" t="str">
        <f>IFERROR(__xludf.DUMMYFUNCTION("""COMPUTED_VALUE"""),"Peter Potamus")</f>
        <v>Peter Potamus</v>
      </c>
      <c r="D91" s="31" t="str">
        <f>IFERROR(__xludf.DUMMYFUNCTION("""COMPUTED_VALUE"""),"Lions")</f>
        <v>Lions</v>
      </c>
      <c r="E91" s="31">
        <f>IFERROR(__xludf.DUMMYFUNCTION("""COMPUTED_VALUE"""),58.36772996386064)</f>
        <v>58.36772996</v>
      </c>
      <c r="F91" s="31">
        <f>IFERROR(__xludf.DUMMYFUNCTION("""COMPUTED_VALUE"""),2.7105983758912333)</f>
        <v>2.710598376</v>
      </c>
      <c r="G91" s="31">
        <f>IFERROR(__xludf.DUMMYFUNCTION("""COMPUTED_VALUE"""),52.61329457543195)</f>
        <v>52.61329458</v>
      </c>
      <c r="H91" s="31">
        <f>IFERROR(__xludf.DUMMYFUNCTION("""COMPUTED_VALUE"""),2.181626165641229)</f>
        <v>2.181626166</v>
      </c>
      <c r="I91" s="54">
        <f>IFERROR(__xludf.DUMMYFUNCTION("""COMPUTED_VALUE"""),28.0)</f>
        <v>28</v>
      </c>
      <c r="J91" s="55">
        <f>IFERROR(__xludf.DUMMYFUNCTION("""COMPUTED_VALUE"""),13.0)</f>
        <v>13</v>
      </c>
      <c r="K91" s="54">
        <f>IFERROR(__xludf.DUMMYFUNCTION("""COMPUTED_VALUE"""),15.0)</f>
        <v>15</v>
      </c>
      <c r="L91" s="56">
        <f>IFERROR(__xludf.DUMMYFUNCTION("""COMPUTED_VALUE"""),0.4642857142857143)</f>
        <v>0.4642857143</v>
      </c>
      <c r="M91" s="56">
        <f>IFERROR(__xludf.DUMMYFUNCTION("""COMPUTED_VALUE"""),0.37037037037037035)</f>
        <v>0.3703703704</v>
      </c>
      <c r="N91" s="31">
        <f>IFERROR(__xludf.DUMMYFUNCTION("""COMPUTED_VALUE"""),331.92857142857144)</f>
        <v>331.9285714</v>
      </c>
      <c r="O91" s="57">
        <f>IFERROR(__xludf.DUMMYFUNCTION("""COMPUTED_VALUE"""),1.0714285714285714)</f>
        <v>1.071428571</v>
      </c>
      <c r="P91" s="57">
        <f>IFERROR(__xludf.DUMMYFUNCTION("""COMPUTED_VALUE"""),0.32142857142857145)</f>
        <v>0.3214285714</v>
      </c>
      <c r="Q91" s="57">
        <f>IFERROR(__xludf.DUMMYFUNCTION("""COMPUTED_VALUE"""),0.9642857142857143)</f>
        <v>0.9642857143</v>
      </c>
      <c r="R91" s="57">
        <f>IFERROR(__xludf.DUMMYFUNCTION("""COMPUTED_VALUE"""),2.892857142857143)</f>
        <v>2.892857143</v>
      </c>
      <c r="S91" s="31">
        <f>IFERROR(__xludf.DUMMYFUNCTION("""COMPUTED_VALUE"""),331.5357142857143)</f>
        <v>331.5357143</v>
      </c>
      <c r="T91" s="57">
        <f>IFERROR(__xludf.DUMMYFUNCTION("""COMPUTED_VALUE"""),0.7261904761904762)</f>
        <v>0.7261904762</v>
      </c>
      <c r="U91" s="57">
        <f>IFERROR(__xludf.DUMMYFUNCTION("""COMPUTED_VALUE"""),0.47619047619047616)</f>
        <v>0.4761904762</v>
      </c>
      <c r="V91" s="57">
        <f>IFERROR(__xludf.DUMMYFUNCTION("""COMPUTED_VALUE"""),1.345238095238095)</f>
        <v>1.345238095</v>
      </c>
      <c r="W91" s="57">
        <f>IFERROR(__xludf.DUMMYFUNCTION("""COMPUTED_VALUE"""),2.130952380952381)</f>
        <v>2.130952381</v>
      </c>
      <c r="X91" s="31">
        <f>IFERROR(__xludf.DUMMYFUNCTION("""COMPUTED_VALUE"""),331.82033562561344)</f>
        <v>331.8203356</v>
      </c>
      <c r="Y91" s="57">
        <f>IFERROR(__xludf.DUMMYFUNCTION("""COMPUTED_VALUE"""),0.7413581609768752)</f>
        <v>0.741358161</v>
      </c>
      <c r="Z91" s="57">
        <f>IFERROR(__xludf.DUMMYFUNCTION("""COMPUTED_VALUE"""),0.498349519776538)</f>
        <v>0.4983495198</v>
      </c>
      <c r="AA91" s="57">
        <f>IFERROR(__xludf.DUMMYFUNCTION("""COMPUTED_VALUE"""),1.249928077636298)</f>
        <v>1.249928078</v>
      </c>
      <c r="AB91" s="57">
        <f>IFERROR(__xludf.DUMMYFUNCTION("""COMPUTED_VALUE"""),2.302067859204363)</f>
        <v>2.302067859</v>
      </c>
      <c r="AC91" s="31">
        <f>IFERROR(__xludf.DUMMYFUNCTION("""COMPUTED_VALUE"""),340.48152921657623)</f>
        <v>340.4815292</v>
      </c>
      <c r="AD91" s="57">
        <f>IFERROR(__xludf.DUMMYFUNCTION("""COMPUTED_VALUE"""),0.8427618365492512)</f>
        <v>0.8427618365</v>
      </c>
      <c r="AE91" s="57">
        <f>IFERROR(__xludf.DUMMYFUNCTION("""COMPUTED_VALUE"""),0.586836242970047)</f>
        <v>0.586836243</v>
      </c>
      <c r="AF91" s="57">
        <f>IFERROR(__xludf.DUMMYFUNCTION("""COMPUTED_VALUE"""),1.1563631674733372)</f>
        <v>1.156363167</v>
      </c>
      <c r="AG91" s="57">
        <f>IFERROR(__xludf.DUMMYFUNCTION("""COMPUTED_VALUE"""),2.593218100642058)</f>
        <v>2.593218101</v>
      </c>
      <c r="AH91" s="57">
        <f>IFERROR(__xludf.DUMMYFUNCTION("""COMPUTED_VALUE"""),0.9748798185684712)</f>
        <v>0.9748798186</v>
      </c>
      <c r="AI91" s="57">
        <f>IFERROR(__xludf.DUMMYFUNCTION("""COMPUTED_VALUE"""),1.2713301966966286)</f>
        <v>1.271330197</v>
      </c>
      <c r="AJ91" s="57">
        <f>IFERROR(__xludf.DUMMYFUNCTION("""COMPUTED_VALUE"""),0.5477312883774591)</f>
        <v>0.5477312884</v>
      </c>
      <c r="AK91" s="57">
        <f>IFERROR(__xludf.DUMMYFUNCTION("""COMPUTED_VALUE"""),0.8338952168397807)</f>
        <v>0.8338952168</v>
      </c>
      <c r="AL91" s="57">
        <f>IFERROR(__xludf.DUMMYFUNCTION("""COMPUTED_VALUE"""),1.1155471813731737)</f>
        <v>1.115547181</v>
      </c>
      <c r="AM91" s="57">
        <f>IFERROR(__xludf.DUMMYFUNCTION("""COMPUTED_VALUE"""),0.9991422426254782)</f>
        <v>0.9991422426</v>
      </c>
      <c r="AN91" s="57">
        <f>IFERROR(__xludf.DUMMYFUNCTION("""COMPUTED_VALUE"""),0.9795406787369645)</f>
        <v>0.9795406787</v>
      </c>
      <c r="AO91" s="57">
        <f>IFERROR(__xludf.DUMMYFUNCTION("""COMPUTED_VALUE"""),0.955535136070768)</f>
        <v>0.9555351361</v>
      </c>
      <c r="AP91" s="35">
        <f>IFERROR(__xludf.DUMMYFUNCTION("""COMPUTED_VALUE"""),1.0762524014837997)</f>
        <v>1.076252401</v>
      </c>
      <c r="AQ91" s="57">
        <f>IFERROR(__xludf.DUMMYFUNCTION("""COMPUTED_VALUE"""),0.9256687948759588)</f>
        <v>0.9256687949</v>
      </c>
      <c r="AR91" s="36" t="b">
        <f>IFERROR(__xludf.DUMMYFUNCTION("""COMPUTED_VALUE"""),TRUE)</f>
        <v>1</v>
      </c>
      <c r="AS91" s="57"/>
      <c r="AT91" s="37"/>
      <c r="AU91" s="30"/>
      <c r="AV91" s="30"/>
      <c r="AW91" s="30"/>
      <c r="AX91" s="30"/>
      <c r="AY91" s="30"/>
      <c r="AZ91" s="30"/>
    </row>
    <row r="92">
      <c r="A92" s="30" t="str">
        <f>IFERROR(__xludf.DUMMYFUNCTION("""COMPUTED_VALUE"""),"Challenger")</f>
        <v>Challenger</v>
      </c>
      <c r="B92" s="30" t="str">
        <f>IFERROR(__xludf.DUMMYFUNCTION("""COMPUTED_VALUE"""),"RSC006535")</f>
        <v>RSC006535</v>
      </c>
      <c r="C92" s="30" t="str">
        <f>IFERROR(__xludf.DUMMYFUNCTION("""COMPUTED_VALUE"""),"Westandalone0")</f>
        <v>Westandalone0</v>
      </c>
      <c r="D92" s="31" t="str">
        <f>IFERROR(__xludf.DUMMYFUNCTION("""COMPUTED_VALUE"""),"Deceased")</f>
        <v>Deceased</v>
      </c>
      <c r="E92" s="31">
        <f>IFERROR(__xludf.DUMMYFUNCTION("""COMPUTED_VALUE"""),58.04413170136322)</f>
        <v>58.0441317</v>
      </c>
      <c r="F92" s="31">
        <f>IFERROR(__xludf.DUMMYFUNCTION("""COMPUTED_VALUE"""),2.675118156123417)</f>
        <v>2.675118156</v>
      </c>
      <c r="G92" s="31">
        <f>IFERROR(__xludf.DUMMYFUNCTION("""COMPUTED_VALUE"""),53.26861103672651)</f>
        <v>53.26861104</v>
      </c>
      <c r="H92" s="31">
        <f>IFERROR(__xludf.DUMMYFUNCTION("""COMPUTED_VALUE"""),2.2321989738759442)</f>
        <v>2.232198974</v>
      </c>
      <c r="I92" s="54">
        <f>IFERROR(__xludf.DUMMYFUNCTION("""COMPUTED_VALUE"""),28.0)</f>
        <v>28</v>
      </c>
      <c r="J92" s="55">
        <f>IFERROR(__xludf.DUMMYFUNCTION("""COMPUTED_VALUE"""),17.0)</f>
        <v>17</v>
      </c>
      <c r="K92" s="54">
        <f>IFERROR(__xludf.DUMMYFUNCTION("""COMPUTED_VALUE"""),11.0)</f>
        <v>11</v>
      </c>
      <c r="L92" s="56">
        <f>IFERROR(__xludf.DUMMYFUNCTION("""COMPUTED_VALUE"""),0.6071428571428571)</f>
        <v>0.6071428571</v>
      </c>
      <c r="M92" s="56">
        <f>IFERROR(__xludf.DUMMYFUNCTION("""COMPUTED_VALUE"""),0.225)</f>
        <v>0.225</v>
      </c>
      <c r="N92" s="31">
        <f>IFERROR(__xludf.DUMMYFUNCTION("""COMPUTED_VALUE"""),319.5)</f>
        <v>319.5</v>
      </c>
      <c r="O92" s="57">
        <f>IFERROR(__xludf.DUMMYFUNCTION("""COMPUTED_VALUE"""),0.6428571428571429)</f>
        <v>0.6428571429</v>
      </c>
      <c r="P92" s="57">
        <f>IFERROR(__xludf.DUMMYFUNCTION("""COMPUTED_VALUE"""),0.75)</f>
        <v>0.75</v>
      </c>
      <c r="Q92" s="57">
        <f>IFERROR(__xludf.DUMMYFUNCTION("""COMPUTED_VALUE"""),0.8928571428571429)</f>
        <v>0.8928571429</v>
      </c>
      <c r="R92" s="57">
        <f>IFERROR(__xludf.DUMMYFUNCTION("""COMPUTED_VALUE"""),2.857142857142857)</f>
        <v>2.857142857</v>
      </c>
      <c r="S92" s="31">
        <f>IFERROR(__xludf.DUMMYFUNCTION("""COMPUTED_VALUE"""),317.5238095238095)</f>
        <v>317.5238095</v>
      </c>
      <c r="T92" s="57">
        <f>IFERROR(__xludf.DUMMYFUNCTION("""COMPUTED_VALUE"""),0.6071428571428571)</f>
        <v>0.6071428571</v>
      </c>
      <c r="U92" s="57">
        <f>IFERROR(__xludf.DUMMYFUNCTION("""COMPUTED_VALUE"""),0.46428571428571425)</f>
        <v>0.4642857143</v>
      </c>
      <c r="V92" s="57">
        <f>IFERROR(__xludf.DUMMYFUNCTION("""COMPUTED_VALUE"""),1.3571428571428572)</f>
        <v>1.357142857</v>
      </c>
      <c r="W92" s="57">
        <f>IFERROR(__xludf.DUMMYFUNCTION("""COMPUTED_VALUE"""),2.011904761904762)</f>
        <v>2.011904762</v>
      </c>
      <c r="X92" s="31">
        <f>IFERROR(__xludf.DUMMYFUNCTION("""COMPUTED_VALUE"""),323.06508416227126)</f>
        <v>323.0650842</v>
      </c>
      <c r="Y92" s="57">
        <f>IFERROR(__xludf.DUMMYFUNCTION("""COMPUTED_VALUE"""),0.7194701379179117)</f>
        <v>0.7194701379</v>
      </c>
      <c r="Z92" s="57">
        <f>IFERROR(__xludf.DUMMYFUNCTION("""COMPUTED_VALUE"""),0.44619255896936616)</f>
        <v>0.446192559</v>
      </c>
      <c r="AA92" s="57">
        <f>IFERROR(__xludf.DUMMYFUNCTION("""COMPUTED_VALUE"""),1.273323377569476)</f>
        <v>1.273323378</v>
      </c>
      <c r="AB92" s="57">
        <f>IFERROR(__xludf.DUMMYFUNCTION("""COMPUTED_VALUE"""),2.219863692963934)</f>
        <v>2.219863693</v>
      </c>
      <c r="AC92" s="31">
        <f>IFERROR(__xludf.DUMMYFUNCTION("""COMPUTED_VALUE"""),347.2637415661408)</f>
        <v>347.2637416</v>
      </c>
      <c r="AD92" s="57">
        <f>IFERROR(__xludf.DUMMYFUNCTION("""COMPUTED_VALUE"""),0.8755756873095624)</f>
        <v>0.8755756873</v>
      </c>
      <c r="AE92" s="57">
        <f>IFERROR(__xludf.DUMMYFUNCTION("""COMPUTED_VALUE"""),0.6312968165076777)</f>
        <v>0.6312968165</v>
      </c>
      <c r="AF92" s="57">
        <f>IFERROR(__xludf.DUMMYFUNCTION("""COMPUTED_VALUE"""),1.1318533273362268)</f>
        <v>1.131853327</v>
      </c>
      <c r="AG92" s="57">
        <f>IFERROR(__xludf.DUMMYFUNCTION("""COMPUTED_VALUE"""),2.668730593619263)</f>
        <v>2.668730594</v>
      </c>
      <c r="AH92" s="57">
        <f>IFERROR(__xludf.DUMMYFUNCTION("""COMPUTED_VALUE"""),0.9200499843694367)</f>
        <v>0.9200499844</v>
      </c>
      <c r="AI92" s="57">
        <f>IFERROR(__xludf.DUMMYFUNCTION("""COMPUTED_VALUE"""),0.7342108194352579)</f>
        <v>0.7342108194</v>
      </c>
      <c r="AJ92" s="57">
        <f>IFERROR(__xludf.DUMMYFUNCTION("""COMPUTED_VALUE"""),1.1880307018638019)</f>
        <v>1.188030702</v>
      </c>
      <c r="AK92" s="57">
        <f>IFERROR(__xludf.DUMMYFUNCTION("""COMPUTED_VALUE"""),0.7888452693410796)</f>
        <v>0.7888452693</v>
      </c>
      <c r="AL92" s="57">
        <f>IFERROR(__xludf.DUMMYFUNCTION("""COMPUTED_VALUE"""),1.0705999563890314)</f>
        <v>1.070599956</v>
      </c>
      <c r="AM92" s="57">
        <f>IFERROR(__xludf.DUMMYFUNCTION("""COMPUTED_VALUE"""),0.982847807113447)</f>
        <v>0.9828478071</v>
      </c>
      <c r="AN92" s="57">
        <f>IFERROR(__xludf.DUMMYFUNCTION("""COMPUTED_VALUE"""),0.843874992365742)</f>
        <v>0.8438749924</v>
      </c>
      <c r="AO92" s="57">
        <f>IFERROR(__xludf.DUMMYFUNCTION("""COMPUTED_VALUE"""),1.0405501054480613)</f>
        <v>1.040550105</v>
      </c>
      <c r="AP92" s="35">
        <f>IFERROR(__xludf.DUMMYFUNCTION("""COMPUTED_VALUE"""),1.0658273311005853)</f>
        <v>1.065827331</v>
      </c>
      <c r="AQ92" s="57">
        <f>IFERROR(__xludf.DUMMYFUNCTION("""COMPUTED_VALUE"""),0.9063190538597854)</f>
        <v>0.9063190539</v>
      </c>
      <c r="AR92" s="36" t="b">
        <f>IFERROR(__xludf.DUMMYFUNCTION("""COMPUTED_VALUE"""),TRUE)</f>
        <v>1</v>
      </c>
      <c r="AS92" s="57"/>
      <c r="AT92" s="37"/>
      <c r="AU92" s="30"/>
      <c r="AV92" s="30"/>
      <c r="AW92" s="30"/>
      <c r="AX92" s="30"/>
      <c r="AY92" s="30"/>
      <c r="AZ92" s="30"/>
    </row>
    <row r="93">
      <c r="A93" s="30" t="str">
        <f>IFERROR(__xludf.DUMMYFUNCTION("""COMPUTED_VALUE"""),"Challenger")</f>
        <v>Challenger</v>
      </c>
      <c r="B93" s="30" t="str">
        <f>IFERROR(__xludf.DUMMYFUNCTION("""COMPUTED_VALUE"""),"RSC004614")</f>
        <v>RSC004614</v>
      </c>
      <c r="C93" s="30" t="str">
        <f>IFERROR(__xludf.DUMMYFUNCTION("""COMPUTED_VALUE"""),"Ex ample")</f>
        <v>Ex ample</v>
      </c>
      <c r="D93" s="31" t="str">
        <f>IFERROR(__xludf.DUMMYFUNCTION("""COMPUTED_VALUE"""),"Pharaohs")</f>
        <v>Pharaohs</v>
      </c>
      <c r="E93" s="31">
        <f>IFERROR(__xludf.DUMMYFUNCTION("""COMPUTED_VALUE"""),57.06496325096742)</f>
        <v>57.06496325</v>
      </c>
      <c r="F93" s="31">
        <f>IFERROR(__xludf.DUMMYFUNCTION("""COMPUTED_VALUE"""),2.5723981944835392)</f>
        <v>2.572398194</v>
      </c>
      <c r="G93" s="31">
        <f>IFERROR(__xludf.DUMMYFUNCTION("""COMPUTED_VALUE"""),57.18331948021618)</f>
        <v>57.18331948</v>
      </c>
      <c r="H93" s="31">
        <f>IFERROR(__xludf.DUMMYFUNCTION("""COMPUTED_VALUE"""),2.5844550609806807)</f>
        <v>2.584455061</v>
      </c>
      <c r="I93" s="54">
        <f>IFERROR(__xludf.DUMMYFUNCTION("""COMPUTED_VALUE"""),31.0)</f>
        <v>31</v>
      </c>
      <c r="J93" s="55">
        <f>IFERROR(__xludf.DUMMYFUNCTION("""COMPUTED_VALUE"""),15.0)</f>
        <v>15</v>
      </c>
      <c r="K93" s="54">
        <f>IFERROR(__xludf.DUMMYFUNCTION("""COMPUTED_VALUE"""),16.0)</f>
        <v>16</v>
      </c>
      <c r="L93" s="56">
        <f>IFERROR(__xludf.DUMMYFUNCTION("""COMPUTED_VALUE"""),0.4838709677419355)</f>
        <v>0.4838709677</v>
      </c>
      <c r="M93" s="56">
        <f>IFERROR(__xludf.DUMMYFUNCTION("""COMPUTED_VALUE"""),0.3194444444444444)</f>
        <v>0.3194444444</v>
      </c>
      <c r="N93" s="31">
        <f>IFERROR(__xludf.DUMMYFUNCTION("""COMPUTED_VALUE"""),369.4193548387097)</f>
        <v>369.4193548</v>
      </c>
      <c r="O93" s="57">
        <f>IFERROR(__xludf.DUMMYFUNCTION("""COMPUTED_VALUE"""),0.7419354838709677)</f>
        <v>0.7419354839</v>
      </c>
      <c r="P93" s="57">
        <f>IFERROR(__xludf.DUMMYFUNCTION("""COMPUTED_VALUE"""),0.6129032258064516)</f>
        <v>0.6129032258</v>
      </c>
      <c r="Q93" s="57">
        <f>IFERROR(__xludf.DUMMYFUNCTION("""COMPUTED_VALUE"""),1.6774193548387097)</f>
        <v>1.677419355</v>
      </c>
      <c r="R93" s="57">
        <f>IFERROR(__xludf.DUMMYFUNCTION("""COMPUTED_VALUE"""),2.3225806451612905)</f>
        <v>2.322580645</v>
      </c>
      <c r="S93" s="31">
        <f>IFERROR(__xludf.DUMMYFUNCTION("""COMPUTED_VALUE"""),342.68817204301064)</f>
        <v>342.688172</v>
      </c>
      <c r="T93" s="57">
        <f>IFERROR(__xludf.DUMMYFUNCTION("""COMPUTED_VALUE"""),0.7311827956989249)</f>
        <v>0.7311827957</v>
      </c>
      <c r="U93" s="57">
        <f>IFERROR(__xludf.DUMMYFUNCTION("""COMPUTED_VALUE"""),0.5161290322580645)</f>
        <v>0.5161290323</v>
      </c>
      <c r="V93" s="57">
        <f>IFERROR(__xludf.DUMMYFUNCTION("""COMPUTED_VALUE"""),1.0537634408602152)</f>
        <v>1.053763441</v>
      </c>
      <c r="W93" s="57">
        <f>IFERROR(__xludf.DUMMYFUNCTION("""COMPUTED_VALUE"""),2.860215053763441)</f>
        <v>2.860215054</v>
      </c>
      <c r="X93" s="31">
        <f>IFERROR(__xludf.DUMMYFUNCTION("""COMPUTED_VALUE"""),330.782724721451)</f>
        <v>330.7827247</v>
      </c>
      <c r="Y93" s="57">
        <f>IFERROR(__xludf.DUMMYFUNCTION("""COMPUTED_VALUE"""),0.7011163447029483)</f>
        <v>0.7011163447</v>
      </c>
      <c r="Z93" s="57">
        <f>IFERROR(__xludf.DUMMYFUNCTION("""COMPUTED_VALUE"""),0.502516348856315)</f>
        <v>0.5025163489</v>
      </c>
      <c r="AA93" s="57">
        <f>IFERROR(__xludf.DUMMYFUNCTION("""COMPUTED_VALUE"""),1.2174675347512556)</f>
        <v>1.217467535</v>
      </c>
      <c r="AB93" s="57">
        <f>IFERROR(__xludf.DUMMYFUNCTION("""COMPUTED_VALUE"""),2.515376738370113)</f>
        <v>2.515376738</v>
      </c>
      <c r="AC93" s="31">
        <f>IFERROR(__xludf.DUMMYFUNCTION("""COMPUTED_VALUE"""),334.4461642322916)</f>
        <v>334.4461642</v>
      </c>
      <c r="AD93" s="57">
        <f>IFERROR(__xludf.DUMMYFUNCTION("""COMPUTED_VALUE"""),0.7198270142833879)</f>
        <v>0.7198270143</v>
      </c>
      <c r="AE93" s="57">
        <f>IFERROR(__xludf.DUMMYFUNCTION("""COMPUTED_VALUE"""),0.4877605128076425)</f>
        <v>0.4877605128</v>
      </c>
      <c r="AF93" s="57">
        <f>IFERROR(__xludf.DUMMYFUNCTION("""COMPUTED_VALUE"""),1.3326323183977513)</f>
        <v>1.332632318</v>
      </c>
      <c r="AG93" s="57">
        <f>IFERROR(__xludf.DUMMYFUNCTION("""COMPUTED_VALUE"""),2.35317638539859)</f>
        <v>2.353176385</v>
      </c>
      <c r="AH93" s="57">
        <f>IFERROR(__xludf.DUMMYFUNCTION("""COMPUTED_VALUE"""),1.1045704640885856)</f>
        <v>1.104570464</v>
      </c>
      <c r="AI93" s="57">
        <f>IFERROR(__xludf.DUMMYFUNCTION("""COMPUTED_VALUE"""),1.0307135869436486)</f>
        <v>1.030713587</v>
      </c>
      <c r="AJ93" s="57">
        <f>IFERROR(__xludf.DUMMYFUNCTION("""COMPUTED_VALUE"""),1.256565895993638)</f>
        <v>1.256565896</v>
      </c>
      <c r="AK93" s="57">
        <f>IFERROR(__xludf.DUMMYFUNCTION("""COMPUTED_VALUE"""),1.2587263055840505)</f>
        <v>1.258726306</v>
      </c>
      <c r="AL93" s="57">
        <f>IFERROR(__xludf.DUMMYFUNCTION("""COMPUTED_VALUE"""),0.9869981101173948)</f>
        <v>0.9869981101</v>
      </c>
      <c r="AM93" s="57">
        <f>IFERROR(__xludf.DUMMYFUNCTION("""COMPUTED_VALUE"""),1.0359917445253075)</f>
        <v>1.035991745</v>
      </c>
      <c r="AN93" s="57">
        <f>IFERROR(__xludf.DUMMYFUNCTION("""COMPUTED_VALUE"""),1.0428836828910546)</f>
        <v>1.042883683</v>
      </c>
      <c r="AO93" s="57">
        <f>IFERROR(__xludf.DUMMYFUNCTION("""COMPUTED_VALUE"""),1.0270890358746154)</f>
        <v>1.027089036</v>
      </c>
      <c r="AP93" s="35">
        <f>IFERROR(__xludf.DUMMYFUNCTION("""COMPUTED_VALUE"""),0.8655371997870258)</f>
        <v>0.8655371998</v>
      </c>
      <c r="AQ93" s="57">
        <f>IFERROR(__xludf.DUMMYFUNCTION("""COMPUTED_VALUE"""),1.1370921143274835)</f>
        <v>1.137092114</v>
      </c>
      <c r="AR93" s="36" t="b">
        <f>IFERROR(__xludf.DUMMYFUNCTION("""COMPUTED_VALUE"""),TRUE)</f>
        <v>1</v>
      </c>
      <c r="AS93" s="57"/>
      <c r="AT93" s="37"/>
      <c r="AU93" s="30"/>
      <c r="AV93" s="30"/>
      <c r="AW93" s="30"/>
      <c r="AX93" s="30"/>
      <c r="AY93" s="30"/>
      <c r="AZ93" s="30"/>
    </row>
    <row r="94">
      <c r="A94" s="30" t="str">
        <f>IFERROR(__xludf.DUMMYFUNCTION("""COMPUTED_VALUE"""),"Challenger")</f>
        <v>Challenger</v>
      </c>
      <c r="B94" s="30" t="str">
        <f>IFERROR(__xludf.DUMMYFUNCTION("""COMPUTED_VALUE"""),"RSC001995")</f>
        <v>RSC001995</v>
      </c>
      <c r="C94" s="30" t="str">
        <f>IFERROR(__xludf.DUMMYFUNCTION("""COMPUTED_VALUE"""),"Tvveedle")</f>
        <v>Tvveedle</v>
      </c>
      <c r="D94" s="31"/>
      <c r="E94" s="31">
        <f>IFERROR(__xludf.DUMMYFUNCTION("""COMPUTED_VALUE"""),55.77303457463895)</f>
        <v>55.77303457</v>
      </c>
      <c r="F94" s="31">
        <f>IFERROR(__xludf.DUMMYFUNCTION("""COMPUTED_VALUE"""),2.4468546880386937)</f>
        <v>2.446854688</v>
      </c>
      <c r="G94" s="31">
        <f>IFERROR(__xludf.DUMMYFUNCTION("""COMPUTED_VALUE"""),73.90778602219028)</f>
        <v>73.90778602</v>
      </c>
      <c r="H94" s="31">
        <f>IFERROR(__xludf.DUMMYFUNCTION("""COMPUTED_VALUE"""),5.901186204821726)</f>
        <v>5.901186205</v>
      </c>
      <c r="I94" s="54">
        <f>IFERROR(__xludf.DUMMYFUNCTION("""COMPUTED_VALUE"""),8.0)</f>
        <v>8</v>
      </c>
      <c r="J94" s="55">
        <f>IFERROR(__xludf.DUMMYFUNCTION("""COMPUTED_VALUE"""),5.0)</f>
        <v>5</v>
      </c>
      <c r="K94" s="54">
        <f>IFERROR(__xludf.DUMMYFUNCTION("""COMPUTED_VALUE"""),3.0)</f>
        <v>3</v>
      </c>
      <c r="L94" s="56">
        <f>IFERROR(__xludf.DUMMYFUNCTION("""COMPUTED_VALUE"""),0.625)</f>
        <v>0.625</v>
      </c>
      <c r="M94" s="56">
        <f>IFERROR(__xludf.DUMMYFUNCTION("""COMPUTED_VALUE"""),0.3181818181818182)</f>
        <v>0.3181818182</v>
      </c>
      <c r="N94" s="31">
        <f>IFERROR(__xludf.DUMMYFUNCTION("""COMPUTED_VALUE"""),322.625)</f>
        <v>322.625</v>
      </c>
      <c r="O94" s="57">
        <f>IFERROR(__xludf.DUMMYFUNCTION("""COMPUTED_VALUE"""),0.875)</f>
        <v>0.875</v>
      </c>
      <c r="P94" s="57">
        <f>IFERROR(__xludf.DUMMYFUNCTION("""COMPUTED_VALUE"""),0.375)</f>
        <v>0.375</v>
      </c>
      <c r="Q94" s="57">
        <f>IFERROR(__xludf.DUMMYFUNCTION("""COMPUTED_VALUE"""),0.875)</f>
        <v>0.875</v>
      </c>
      <c r="R94" s="57">
        <f>IFERROR(__xludf.DUMMYFUNCTION("""COMPUTED_VALUE"""),2.75)</f>
        <v>2.75</v>
      </c>
      <c r="S94" s="31">
        <f>IFERROR(__xludf.DUMMYFUNCTION("""COMPUTED_VALUE"""),265.8333333333333)</f>
        <v>265.8333333</v>
      </c>
      <c r="T94" s="57">
        <f>IFERROR(__xludf.DUMMYFUNCTION("""COMPUTED_VALUE"""),0.41666666666666674)</f>
        <v>0.4166666667</v>
      </c>
      <c r="U94" s="57">
        <f>IFERROR(__xludf.DUMMYFUNCTION("""COMPUTED_VALUE"""),0.29166666666666663)</f>
        <v>0.2916666667</v>
      </c>
      <c r="V94" s="57">
        <f>IFERROR(__xludf.DUMMYFUNCTION("""COMPUTED_VALUE"""),1.0416666666666667)</f>
        <v>1.041666667</v>
      </c>
      <c r="W94" s="57">
        <f>IFERROR(__xludf.DUMMYFUNCTION("""COMPUTED_VALUE"""),1.6666666666666667)</f>
        <v>1.666666667</v>
      </c>
      <c r="X94" s="31">
        <f>IFERROR(__xludf.DUMMYFUNCTION("""COMPUTED_VALUE"""),321.96482117187054)</f>
        <v>321.9648212</v>
      </c>
      <c r="Y94" s="57">
        <f>IFERROR(__xludf.DUMMYFUNCTION("""COMPUTED_VALUE"""),0.6124569495442361)</f>
        <v>0.6124569495</v>
      </c>
      <c r="Z94" s="57">
        <f>IFERROR(__xludf.DUMMYFUNCTION("""COMPUTED_VALUE"""),0.44577374449290963)</f>
        <v>0.4457737445</v>
      </c>
      <c r="AA94" s="57">
        <f>IFERROR(__xludf.DUMMYFUNCTION("""COMPUTED_VALUE"""),1.3865366185574917)</f>
        <v>1.386536619</v>
      </c>
      <c r="AB94" s="57">
        <f>IFERROR(__xludf.DUMMYFUNCTION("""COMPUTED_VALUE"""),2.0737286390607075)</f>
        <v>2.073728639</v>
      </c>
      <c r="AC94" s="31">
        <f>IFERROR(__xludf.DUMMYFUNCTION("""COMPUTED_VALUE"""),352.4577965203677)</f>
        <v>352.4577965</v>
      </c>
      <c r="AD94" s="57">
        <f>IFERROR(__xludf.DUMMYFUNCTION("""COMPUTED_VALUE"""),0.8667025226512893)</f>
        <v>0.8667025227</v>
      </c>
      <c r="AE94" s="57">
        <f>IFERROR(__xludf.DUMMYFUNCTION("""COMPUTED_VALUE"""),0.641420452834115)</f>
        <v>0.6414204528</v>
      </c>
      <c r="AF94" s="57">
        <f>IFERROR(__xludf.DUMMYFUNCTION("""COMPUTED_VALUE"""),1.0872968776953595)</f>
        <v>1.087296878</v>
      </c>
      <c r="AG94" s="57">
        <f>IFERROR(__xludf.DUMMYFUNCTION("""COMPUTED_VALUE"""),2.8383994503633976)</f>
        <v>2.83839945</v>
      </c>
      <c r="AH94" s="57">
        <f>IFERROR(__xludf.DUMMYFUNCTION("""COMPUTED_VALUE"""),0.9153578192484565)</f>
        <v>0.9153578192</v>
      </c>
      <c r="AI94" s="57">
        <f>IFERROR(__xludf.DUMMYFUNCTION("""COMPUTED_VALUE"""),1.0095736162430082)</f>
        <v>1.009573616</v>
      </c>
      <c r="AJ94" s="57">
        <f>IFERROR(__xludf.DUMMYFUNCTION("""COMPUTED_VALUE"""),0.5846399165213134)</f>
        <v>0.5846399165</v>
      </c>
      <c r="AK94" s="57">
        <f>IFERROR(__xludf.DUMMYFUNCTION("""COMPUTED_VALUE"""),0.8047480112834084)</f>
        <v>0.8047480113</v>
      </c>
      <c r="AL94" s="57">
        <f>IFERROR(__xludf.DUMMYFUNCTION("""COMPUTED_VALUE"""),0.9688558809606309)</f>
        <v>0.968855881</v>
      </c>
      <c r="AM94" s="57">
        <f>IFERROR(__xludf.DUMMYFUNCTION("""COMPUTED_VALUE"""),0.8256595623266144)</f>
        <v>0.8256595623</v>
      </c>
      <c r="AN94" s="57">
        <f>IFERROR(__xludf.DUMMYFUNCTION("""COMPUTED_VALUE"""),0.6803199261217168)</f>
        <v>0.6803199261</v>
      </c>
      <c r="AO94" s="57">
        <f>IFERROR(__xludf.DUMMYFUNCTION("""COMPUTED_VALUE"""),0.6542930584627686)</f>
        <v>0.6542930585</v>
      </c>
      <c r="AP94" s="35">
        <f>IFERROR(__xludf.DUMMYFUNCTION("""COMPUTED_VALUE"""),0.7512723809273667)</f>
        <v>0.7512723809</v>
      </c>
      <c r="AQ94" s="57">
        <f>IFERROR(__xludf.DUMMYFUNCTION("""COMPUTED_VALUE"""),0.8037052849024553)</f>
        <v>0.8037052849</v>
      </c>
      <c r="AR94" s="36" t="b">
        <f>IFERROR(__xludf.DUMMYFUNCTION("""COMPUTED_VALUE"""),TRUE)</f>
        <v>1</v>
      </c>
      <c r="AS94" s="57"/>
      <c r="AT94" s="37"/>
      <c r="AU94" s="30"/>
      <c r="AV94" s="30"/>
      <c r="AW94" s="30"/>
      <c r="AX94" s="30"/>
      <c r="AY94" s="30"/>
      <c r="AZ94" s="30"/>
    </row>
    <row r="95">
      <c r="A95" s="30" t="str">
        <f>IFERROR(__xludf.DUMMYFUNCTION("""COMPUTED_VALUE"""),"Challenger")</f>
        <v>Challenger</v>
      </c>
      <c r="B95" s="30" t="str">
        <f>IFERROR(__xludf.DUMMYFUNCTION("""COMPUTED_VALUE"""),"RSC007294")</f>
        <v>RSC007294</v>
      </c>
      <c r="C95" s="30" t="str">
        <f>IFERROR(__xludf.DUMMYFUNCTION("""COMPUTED_VALUE"""),"CF0UR_")</f>
        <v>CF0UR_</v>
      </c>
      <c r="D95" s="31" t="str">
        <f>IFERROR(__xludf.DUMMYFUNCTION("""COMPUTED_VALUE"""),"Havarti Hustlers")</f>
        <v>Havarti Hustlers</v>
      </c>
      <c r="E95" s="31">
        <f>IFERROR(__xludf.DUMMYFUNCTION("""COMPUTED_VALUE"""),54.9437613160789)</f>
        <v>54.94376132</v>
      </c>
      <c r="F95" s="31">
        <f>IFERROR(__xludf.DUMMYFUNCTION("""COMPUTED_VALUE"""),2.3718031120877017)</f>
        <v>2.371803112</v>
      </c>
      <c r="G95" s="31">
        <f>IFERROR(__xludf.DUMMYFUNCTION("""COMPUTED_VALUE"""),50.813532332295196)</f>
        <v>50.81353233</v>
      </c>
      <c r="H95" s="31">
        <f>IFERROR(__xludf.DUMMYFUNCTION("""COMPUTED_VALUE"""),2.0533029517049575)</f>
        <v>2.053302952</v>
      </c>
      <c r="I95" s="54">
        <f>IFERROR(__xludf.DUMMYFUNCTION("""COMPUTED_VALUE"""),32.0)</f>
        <v>32</v>
      </c>
      <c r="J95" s="55">
        <f>IFERROR(__xludf.DUMMYFUNCTION("""COMPUTED_VALUE"""),16.0)</f>
        <v>16</v>
      </c>
      <c r="K95" s="54">
        <f>IFERROR(__xludf.DUMMYFUNCTION("""COMPUTED_VALUE"""),16.0)</f>
        <v>16</v>
      </c>
      <c r="L95" s="56">
        <f>IFERROR(__xludf.DUMMYFUNCTION("""COMPUTED_VALUE"""),0.5)</f>
        <v>0.5</v>
      </c>
      <c r="M95" s="56">
        <f>IFERROR(__xludf.DUMMYFUNCTION("""COMPUTED_VALUE"""),0.4)</f>
        <v>0.4</v>
      </c>
      <c r="N95" s="31">
        <f>IFERROR(__xludf.DUMMYFUNCTION("""COMPUTED_VALUE"""),365.5)</f>
        <v>365.5</v>
      </c>
      <c r="O95" s="57">
        <f>IFERROR(__xludf.DUMMYFUNCTION("""COMPUTED_VALUE"""),1.0)</f>
        <v>1</v>
      </c>
      <c r="P95" s="57">
        <f>IFERROR(__xludf.DUMMYFUNCTION("""COMPUTED_VALUE"""),0.375)</f>
        <v>0.375</v>
      </c>
      <c r="Q95" s="57">
        <f>IFERROR(__xludf.DUMMYFUNCTION("""COMPUTED_VALUE"""),1.15625)</f>
        <v>1.15625</v>
      </c>
      <c r="R95" s="57">
        <f>IFERROR(__xludf.DUMMYFUNCTION("""COMPUTED_VALUE"""),2.5)</f>
        <v>2.5</v>
      </c>
      <c r="S95" s="31">
        <f>IFERROR(__xludf.DUMMYFUNCTION("""COMPUTED_VALUE"""),353.05208333333337)</f>
        <v>353.0520833</v>
      </c>
      <c r="T95" s="57">
        <f>IFERROR(__xludf.DUMMYFUNCTION("""COMPUTED_VALUE"""),0.7187500000000001)</f>
        <v>0.71875</v>
      </c>
      <c r="U95" s="57">
        <f>IFERROR(__xludf.DUMMYFUNCTION("""COMPUTED_VALUE"""),0.47916666666666674)</f>
        <v>0.4791666667</v>
      </c>
      <c r="V95" s="57">
        <f>IFERROR(__xludf.DUMMYFUNCTION("""COMPUTED_VALUE"""),1.5624999999999998)</f>
        <v>1.5625</v>
      </c>
      <c r="W95" s="57">
        <f>IFERROR(__xludf.DUMMYFUNCTION("""COMPUTED_VALUE"""),2.239583333333333)</f>
        <v>2.239583333</v>
      </c>
      <c r="X95" s="31">
        <f>IFERROR(__xludf.DUMMYFUNCTION("""COMPUTED_VALUE"""),330.2143731065052)</f>
        <v>330.2143731</v>
      </c>
      <c r="Y95" s="57">
        <f>IFERROR(__xludf.DUMMYFUNCTION("""COMPUTED_VALUE"""),0.695300919168329)</f>
        <v>0.6953009192</v>
      </c>
      <c r="Z95" s="57">
        <f>IFERROR(__xludf.DUMMYFUNCTION("""COMPUTED_VALUE"""),0.4872569362790148)</f>
        <v>0.4872569363</v>
      </c>
      <c r="AA95" s="57">
        <f>IFERROR(__xludf.DUMMYFUNCTION("""COMPUTED_VALUE"""),1.2943446063806001)</f>
        <v>1.294344606</v>
      </c>
      <c r="AB95" s="57">
        <f>IFERROR(__xludf.DUMMYFUNCTION("""COMPUTED_VALUE"""),2.3135472869358664)</f>
        <v>2.313547287</v>
      </c>
      <c r="AC95" s="31">
        <f>IFERROR(__xludf.DUMMYFUNCTION("""COMPUTED_VALUE"""),340.395543366795)</f>
        <v>340.3955434</v>
      </c>
      <c r="AD95" s="57">
        <f>IFERROR(__xludf.DUMMYFUNCTION("""COMPUTED_VALUE"""),0.8091606285125023)</f>
        <v>0.8091606285</v>
      </c>
      <c r="AE95" s="57">
        <f>IFERROR(__xludf.DUMMYFUNCTION("""COMPUTED_VALUE"""),0.578510346130227)</f>
        <v>0.5785103461</v>
      </c>
      <c r="AF95" s="57">
        <f>IFERROR(__xludf.DUMMYFUNCTION("""COMPUTED_VALUE"""),1.1707207642385138)</f>
        <v>1.170720764</v>
      </c>
      <c r="AG95" s="57">
        <f>IFERROR(__xludf.DUMMYFUNCTION("""COMPUTED_VALUE"""),2.5761989871424165)</f>
        <v>2.576198987</v>
      </c>
      <c r="AH95" s="57">
        <f>IFERROR(__xludf.DUMMYFUNCTION("""COMPUTED_VALUE"""),1.0737508381716783)</f>
        <v>1.073750838</v>
      </c>
      <c r="AI95" s="57">
        <f>IFERROR(__xludf.DUMMYFUNCTION("""COMPUTED_VALUE"""),1.2358485630205736)</f>
        <v>1.235848563</v>
      </c>
      <c r="AJ95" s="57">
        <f>IFERROR(__xludf.DUMMYFUNCTION("""COMPUTED_VALUE"""),0.648216583347992)</f>
        <v>0.6482165833</v>
      </c>
      <c r="AK95" s="57">
        <f>IFERROR(__xludf.DUMMYFUNCTION("""COMPUTED_VALUE"""),0.9876394400094832)</f>
        <v>0.98763944</v>
      </c>
      <c r="AL95" s="57">
        <f>IFERROR(__xludf.DUMMYFUNCTION("""COMPUTED_VALUE"""),0.9704219326524391)</f>
        <v>0.9704219327</v>
      </c>
      <c r="AM95" s="57">
        <f>IFERROR(__xludf.DUMMYFUNCTION("""COMPUTED_VALUE"""),1.0691602549337313)</f>
        <v>1.069160255</v>
      </c>
      <c r="AN95" s="57">
        <f>IFERROR(__xludf.DUMMYFUNCTION("""COMPUTED_VALUE"""),1.033725082457419)</f>
        <v>1.033725082</v>
      </c>
      <c r="AO95" s="57">
        <f>IFERROR(__xludf.DUMMYFUNCTION("""COMPUTED_VALUE"""),0.9833962966763897)</f>
        <v>0.9833962967</v>
      </c>
      <c r="AP95" s="35">
        <f>IFERROR(__xludf.DUMMYFUNCTION("""COMPUTED_VALUE"""),1.2071746521733864)</f>
        <v>1.207174652</v>
      </c>
      <c r="AQ95" s="57">
        <f>IFERROR(__xludf.DUMMYFUNCTION("""COMPUTED_VALUE"""),0.9680300662017185)</f>
        <v>0.9680300662</v>
      </c>
      <c r="AR95" s="36" t="b">
        <f>IFERROR(__xludf.DUMMYFUNCTION("""COMPUTED_VALUE"""),TRUE)</f>
        <v>1</v>
      </c>
      <c r="AS95" s="57"/>
      <c r="AT95" s="37"/>
      <c r="AU95" s="30"/>
      <c r="AV95" s="30"/>
      <c r="AW95" s="30"/>
      <c r="AX95" s="30"/>
      <c r="AY95" s="30"/>
      <c r="AZ95" s="30"/>
    </row>
    <row r="96">
      <c r="A96" s="30" t="str">
        <f>IFERROR(__xludf.DUMMYFUNCTION("""COMPUTED_VALUE"""),"Challenger")</f>
        <v>Challenger</v>
      </c>
      <c r="B96" s="30" t="str">
        <f>IFERROR(__xludf.DUMMYFUNCTION("""COMPUTED_VALUE"""),"RSC000967")</f>
        <v>RSC000967</v>
      </c>
      <c r="C96" s="30" t="str">
        <f>IFERROR(__xludf.DUMMYFUNCTION("""COMPUTED_VALUE"""),"tr1ppn")</f>
        <v>tr1ppn</v>
      </c>
      <c r="D96" s="31" t="str">
        <f>IFERROR(__xludf.DUMMYFUNCTION("""COMPUTED_VALUE"""),"Bingo")</f>
        <v>Bingo</v>
      </c>
      <c r="E96" s="31">
        <f>IFERROR(__xludf.DUMMYFUNCTION("""COMPUTED_VALUE"""),54.83399763672297)</f>
        <v>54.83399764</v>
      </c>
      <c r="F96" s="31">
        <f>IFERROR(__xludf.DUMMYFUNCTION("""COMPUTED_VALUE"""),2.3621755776602)</f>
        <v>2.362175578</v>
      </c>
      <c r="G96" s="31">
        <f>IFERROR(__xludf.DUMMYFUNCTION("""COMPUTED_VALUE"""),48.30144085734485)</f>
        <v>48.30144086</v>
      </c>
      <c r="H96" s="31">
        <f>IFERROR(__xludf.DUMMYFUNCTION("""COMPUTED_VALUE"""),-2.1145415129913645)</f>
        <v>-2.114541513</v>
      </c>
      <c r="I96" s="54">
        <f>IFERROR(__xludf.DUMMYFUNCTION("""COMPUTED_VALUE"""),34.0)</f>
        <v>34</v>
      </c>
      <c r="J96" s="55">
        <f>IFERROR(__xludf.DUMMYFUNCTION("""COMPUTED_VALUE"""),13.0)</f>
        <v>13</v>
      </c>
      <c r="K96" s="54">
        <f>IFERROR(__xludf.DUMMYFUNCTION("""COMPUTED_VALUE"""),21.0)</f>
        <v>21</v>
      </c>
      <c r="L96" s="56">
        <f>IFERROR(__xludf.DUMMYFUNCTION("""COMPUTED_VALUE"""),0.38235294117647056)</f>
        <v>0.3823529412</v>
      </c>
      <c r="M96" s="56">
        <f>IFERROR(__xludf.DUMMYFUNCTION("""COMPUTED_VALUE"""),0.32222222222222224)</f>
        <v>0.3222222222</v>
      </c>
      <c r="N96" s="31">
        <f>IFERROR(__xludf.DUMMYFUNCTION("""COMPUTED_VALUE"""),326.29411764705884)</f>
        <v>326.2941176</v>
      </c>
      <c r="O96" s="57">
        <f>IFERROR(__xludf.DUMMYFUNCTION("""COMPUTED_VALUE"""),0.8529411764705882)</f>
        <v>0.8529411765</v>
      </c>
      <c r="P96" s="57">
        <f>IFERROR(__xludf.DUMMYFUNCTION("""COMPUTED_VALUE"""),0.5)</f>
        <v>0.5</v>
      </c>
      <c r="Q96" s="57">
        <f>IFERROR(__xludf.DUMMYFUNCTION("""COMPUTED_VALUE"""),1.0)</f>
        <v>1</v>
      </c>
      <c r="R96" s="57">
        <f>IFERROR(__xludf.DUMMYFUNCTION("""COMPUTED_VALUE"""),2.6470588235294117)</f>
        <v>2.647058824</v>
      </c>
      <c r="S96" s="31">
        <f>IFERROR(__xludf.DUMMYFUNCTION("""COMPUTED_VALUE"""),360.1372549019608)</f>
        <v>360.1372549</v>
      </c>
      <c r="T96" s="57">
        <f>IFERROR(__xludf.DUMMYFUNCTION("""COMPUTED_VALUE"""),1.0098039215686274)</f>
        <v>1.009803922</v>
      </c>
      <c r="U96" s="57">
        <f>IFERROR(__xludf.DUMMYFUNCTION("""COMPUTED_VALUE"""),0.7647058823529411)</f>
        <v>0.7647058824</v>
      </c>
      <c r="V96" s="57">
        <f>IFERROR(__xludf.DUMMYFUNCTION("""COMPUTED_VALUE"""),0.9117647058823528)</f>
        <v>0.9117647059</v>
      </c>
      <c r="W96" s="57">
        <f>IFERROR(__xludf.DUMMYFUNCTION("""COMPUTED_VALUE"""),2.8627450980392157)</f>
        <v>2.862745098</v>
      </c>
      <c r="X96" s="31">
        <f>IFERROR(__xludf.DUMMYFUNCTION("""COMPUTED_VALUE"""),340.11822502982665)</f>
        <v>340.118225</v>
      </c>
      <c r="Y96" s="57">
        <f>IFERROR(__xludf.DUMMYFUNCTION("""COMPUTED_VALUE"""),0.8376993702820349)</f>
        <v>0.8376993703</v>
      </c>
      <c r="Z96" s="57">
        <f>IFERROR(__xludf.DUMMYFUNCTION("""COMPUTED_VALUE"""),0.580124456553819)</f>
        <v>0.5801244566</v>
      </c>
      <c r="AA96" s="57">
        <f>IFERROR(__xludf.DUMMYFUNCTION("""COMPUTED_VALUE"""),1.100072305604474)</f>
        <v>1.100072306</v>
      </c>
      <c r="AB96" s="57">
        <f>IFERROR(__xludf.DUMMYFUNCTION("""COMPUTED_VALUE"""),2.6908963037293363)</f>
        <v>2.690896304</v>
      </c>
      <c r="AC96" s="31">
        <f>IFERROR(__xludf.DUMMYFUNCTION("""COMPUTED_VALUE"""),328.4222932257022)</f>
        <v>328.4222932</v>
      </c>
      <c r="AD96" s="57">
        <f>IFERROR(__xludf.DUMMYFUNCTION("""COMPUTED_VALUE"""),0.7005131511325025)</f>
        <v>0.7005131511</v>
      </c>
      <c r="AE96" s="57">
        <f>IFERROR(__xludf.DUMMYFUNCTION("""COMPUTED_VALUE"""),0.49158623371382576)</f>
        <v>0.4915862337</v>
      </c>
      <c r="AF96" s="57">
        <f>IFERROR(__xludf.DUMMYFUNCTION("""COMPUTED_VALUE"""),1.31065258283861)</f>
        <v>1.310652583</v>
      </c>
      <c r="AG96" s="57">
        <f>IFERROR(__xludf.DUMMYFUNCTION("""COMPUTED_VALUE"""),2.2240506646732072)</f>
        <v>2.224050665</v>
      </c>
      <c r="AH96" s="57">
        <f>IFERROR(__xludf.DUMMYFUNCTION("""COMPUTED_VALUE"""),0.99352000268392)</f>
        <v>0.9935200027</v>
      </c>
      <c r="AI96" s="57">
        <f>IFERROR(__xludf.DUMMYFUNCTION("""COMPUTED_VALUE"""),1.2175948090220134)</f>
        <v>1.217594809</v>
      </c>
      <c r="AJ96" s="57">
        <f>IFERROR(__xludf.DUMMYFUNCTION("""COMPUTED_VALUE"""),1.0171155449627018)</f>
        <v>1.017115545</v>
      </c>
      <c r="AK96" s="57">
        <f>IFERROR(__xludf.DUMMYFUNCTION("""COMPUTED_VALUE"""),0.7629786970962213)</f>
        <v>0.7629786971</v>
      </c>
      <c r="AL96" s="57">
        <f>IFERROR(__xludf.DUMMYFUNCTION("""COMPUTED_VALUE"""),1.19019717741833)</f>
        <v>1.190197177</v>
      </c>
      <c r="AM96" s="57">
        <f>IFERROR(__xludf.DUMMYFUNCTION("""COMPUTED_VALUE"""),1.0588590331211407)</f>
        <v>1.058859033</v>
      </c>
      <c r="AN96" s="57">
        <f>IFERROR(__xludf.DUMMYFUNCTION("""COMPUTED_VALUE"""),1.205449063700082)</f>
        <v>1.205449064</v>
      </c>
      <c r="AO96" s="57">
        <f>IFERROR(__xludf.DUMMYFUNCTION("""COMPUTED_VALUE"""),1.3181755633879197)</f>
        <v>1.318175563</v>
      </c>
      <c r="AP96" s="35">
        <f>IFERROR(__xludf.DUMMYFUNCTION("""COMPUTED_VALUE"""),0.8288225248806269)</f>
        <v>0.8288225249</v>
      </c>
      <c r="AQ96" s="57">
        <f>IFERROR(__xludf.DUMMYFUNCTION("""COMPUTED_VALUE"""),1.0638630310918011)</f>
        <v>1.063863031</v>
      </c>
      <c r="AR96" s="36" t="b">
        <f>IFERROR(__xludf.DUMMYFUNCTION("""COMPUTED_VALUE"""),TRUE)</f>
        <v>1</v>
      </c>
      <c r="AS96" s="57"/>
      <c r="AT96" s="37"/>
      <c r="AU96" s="30"/>
      <c r="AV96" s="30"/>
      <c r="AW96" s="30"/>
      <c r="AX96" s="30"/>
      <c r="AY96" s="30"/>
      <c r="AZ96" s="30"/>
    </row>
    <row r="97">
      <c r="A97" s="30" t="str">
        <f>IFERROR(__xludf.DUMMYFUNCTION("""COMPUTED_VALUE"""),"Challenger")</f>
        <v>Challenger</v>
      </c>
      <c r="B97" s="30" t="str">
        <f>IFERROR(__xludf.DUMMYFUNCTION("""COMPUTED_VALUE"""),"RSC006883")</f>
        <v>RSC006883</v>
      </c>
      <c r="C97" s="30" t="str">
        <f>IFERROR(__xludf.DUMMYFUNCTION("""COMPUTED_VALUE"""),"Kit")</f>
        <v>Kit</v>
      </c>
      <c r="D97" s="31" t="str">
        <f>IFERROR(__xludf.DUMMYFUNCTION("""COMPUTED_VALUE"""),"Trippy Hippies")</f>
        <v>Trippy Hippies</v>
      </c>
      <c r="E97" s="31">
        <f>IFERROR(__xludf.DUMMYFUNCTION("""COMPUTED_VALUE"""),53.681991628089015)</f>
        <v>53.68199163</v>
      </c>
      <c r="F97" s="31">
        <f>IFERROR(__xludf.DUMMYFUNCTION("""COMPUTED_VALUE"""),2.2652332573486706)</f>
        <v>2.265233257</v>
      </c>
      <c r="G97" s="31">
        <f>IFERROR(__xludf.DUMMYFUNCTION("""COMPUTED_VALUE"""),60.271675425453196)</f>
        <v>60.27167543</v>
      </c>
      <c r="H97" s="31">
        <f>IFERROR(__xludf.DUMMYFUNCTION("""COMPUTED_VALUE"""),2.9361243989174537)</f>
        <v>2.936124399</v>
      </c>
      <c r="I97" s="54">
        <f>IFERROR(__xludf.DUMMYFUNCTION("""COMPUTED_VALUE"""),13.0)</f>
        <v>13</v>
      </c>
      <c r="J97" s="55">
        <f>IFERROR(__xludf.DUMMYFUNCTION("""COMPUTED_VALUE"""),5.0)</f>
        <v>5</v>
      </c>
      <c r="K97" s="54">
        <f>IFERROR(__xludf.DUMMYFUNCTION("""COMPUTED_VALUE"""),8.0)</f>
        <v>8</v>
      </c>
      <c r="L97" s="56">
        <f>IFERROR(__xludf.DUMMYFUNCTION("""COMPUTED_VALUE"""),0.38461538461538464)</f>
        <v>0.3846153846</v>
      </c>
      <c r="M97" s="56">
        <f>IFERROR(__xludf.DUMMYFUNCTION("""COMPUTED_VALUE"""),0.39285714285714285)</f>
        <v>0.3928571429</v>
      </c>
      <c r="N97" s="31">
        <f>IFERROR(__xludf.DUMMYFUNCTION("""COMPUTED_VALUE"""),360.6923076923077)</f>
        <v>360.6923077</v>
      </c>
      <c r="O97" s="57">
        <f>IFERROR(__xludf.DUMMYFUNCTION("""COMPUTED_VALUE"""),0.8461538461538461)</f>
        <v>0.8461538462</v>
      </c>
      <c r="P97" s="57">
        <f>IFERROR(__xludf.DUMMYFUNCTION("""COMPUTED_VALUE"""),0.38461538461538464)</f>
        <v>0.3846153846</v>
      </c>
      <c r="Q97" s="57">
        <f>IFERROR(__xludf.DUMMYFUNCTION("""COMPUTED_VALUE"""),1.6923076923076923)</f>
        <v>1.692307692</v>
      </c>
      <c r="R97" s="57">
        <f>IFERROR(__xludf.DUMMYFUNCTION("""COMPUTED_VALUE"""),2.1538461538461537)</f>
        <v>2.153846154</v>
      </c>
      <c r="S97" s="31">
        <f>IFERROR(__xludf.DUMMYFUNCTION("""COMPUTED_VALUE"""),304.6666666666667)</f>
        <v>304.6666667</v>
      </c>
      <c r="T97" s="57">
        <f>IFERROR(__xludf.DUMMYFUNCTION("""COMPUTED_VALUE"""),0.7435897435897435)</f>
        <v>0.7435897436</v>
      </c>
      <c r="U97" s="57">
        <f>IFERROR(__xludf.DUMMYFUNCTION("""COMPUTED_VALUE"""),0.46153846153846156)</f>
        <v>0.4615384615</v>
      </c>
      <c r="V97" s="57">
        <f>IFERROR(__xludf.DUMMYFUNCTION("""COMPUTED_VALUE"""),1.0769230769230769)</f>
        <v>1.076923077</v>
      </c>
      <c r="W97" s="57">
        <f>IFERROR(__xludf.DUMMYFUNCTION("""COMPUTED_VALUE"""),2.4871794871794872)</f>
        <v>2.487179487</v>
      </c>
      <c r="X97" s="31">
        <f>IFERROR(__xludf.DUMMYFUNCTION("""COMPUTED_VALUE"""),326.2997354235759)</f>
        <v>326.2997354</v>
      </c>
      <c r="Y97" s="57">
        <f>IFERROR(__xludf.DUMMYFUNCTION("""COMPUTED_VALUE"""),0.7688022949900777)</f>
        <v>0.768802295</v>
      </c>
      <c r="Z97" s="57">
        <f>IFERROR(__xludf.DUMMYFUNCTION("""COMPUTED_VALUE"""),0.5201327874404797)</f>
        <v>0.5201327874</v>
      </c>
      <c r="AA97" s="57">
        <f>IFERROR(__xludf.DUMMYFUNCTION("""COMPUTED_VALUE"""),1.1610486296006661)</f>
        <v>1.16104863</v>
      </c>
      <c r="AB97" s="57">
        <f>IFERROR(__xludf.DUMMYFUNCTION("""COMPUTED_VALUE"""),2.518891378648166)</f>
        <v>2.518891379</v>
      </c>
      <c r="AC97" s="31">
        <f>IFERROR(__xludf.DUMMYFUNCTION("""COMPUTED_VALUE"""),320.79052816039064)</f>
        <v>320.7905282</v>
      </c>
      <c r="AD97" s="57">
        <f>IFERROR(__xludf.DUMMYFUNCTION("""COMPUTED_VALUE"""),0.6935028053617797)</f>
        <v>0.6935028054</v>
      </c>
      <c r="AE97" s="57">
        <f>IFERROR(__xludf.DUMMYFUNCTION("""COMPUTED_VALUE"""),0.48938489935850416)</f>
        <v>0.4893848994</v>
      </c>
      <c r="AF97" s="57">
        <f>IFERROR(__xludf.DUMMYFUNCTION("""COMPUTED_VALUE"""),1.2514080296414383)</f>
        <v>1.25140803</v>
      </c>
      <c r="AG97" s="57">
        <f>IFERROR(__xludf.DUMMYFUNCTION("""COMPUTED_VALUE"""),2.208922331160265)</f>
        <v>2.208922331</v>
      </c>
      <c r="AH97" s="57">
        <f>IFERROR(__xludf.DUMMYFUNCTION("""COMPUTED_VALUE"""),1.124385778348065)</f>
        <v>1.124385778</v>
      </c>
      <c r="AI97" s="57">
        <f>IFERROR(__xludf.DUMMYFUNCTION("""COMPUTED_VALUE"""),1.2201159672489472)</f>
        <v>1.220115967</v>
      </c>
      <c r="AJ97" s="57">
        <f>IFERROR(__xludf.DUMMYFUNCTION("""COMPUTED_VALUE"""),0.7859159224560186)</f>
        <v>0.7859159225</v>
      </c>
      <c r="AK97" s="57">
        <f>IFERROR(__xludf.DUMMYFUNCTION("""COMPUTED_VALUE"""),1.352322865302841)</f>
        <v>1.352322865</v>
      </c>
      <c r="AL97" s="57">
        <f>IFERROR(__xludf.DUMMYFUNCTION("""COMPUTED_VALUE"""),0.9750664943999269)</f>
        <v>0.9750664944</v>
      </c>
      <c r="AM97" s="57">
        <f>IFERROR(__xludf.DUMMYFUNCTION("""COMPUTED_VALUE"""),0.9337018501445399)</f>
        <v>0.9337018501</v>
      </c>
      <c r="AN97" s="57">
        <f>IFERROR(__xludf.DUMMYFUNCTION("""COMPUTED_VALUE"""),0.9672054160547744)</f>
        <v>0.9672054161</v>
      </c>
      <c r="AO97" s="57">
        <f>IFERROR(__xludf.DUMMYFUNCTION("""COMPUTED_VALUE"""),0.8873473710620035)</f>
        <v>0.8873473711</v>
      </c>
      <c r="AP97" s="35">
        <f>IFERROR(__xludf.DUMMYFUNCTION("""COMPUTED_VALUE"""),0.9275434718815149)</f>
        <v>0.9275434719</v>
      </c>
      <c r="AQ97" s="57">
        <f>IFERROR(__xludf.DUMMYFUNCTION("""COMPUTED_VALUE"""),0.9874103775424814)</f>
        <v>0.9874103775</v>
      </c>
      <c r="AR97" s="36" t="b">
        <f>IFERROR(__xludf.DUMMYFUNCTION("""COMPUTED_VALUE"""),TRUE)</f>
        <v>1</v>
      </c>
      <c r="AS97" s="57"/>
      <c r="AT97" s="37"/>
      <c r="AU97" s="30"/>
      <c r="AV97" s="30"/>
      <c r="AW97" s="30"/>
      <c r="AX97" s="30"/>
      <c r="AY97" s="30"/>
      <c r="AZ97" s="30"/>
    </row>
    <row r="98">
      <c r="A98" s="30" t="str">
        <f>IFERROR(__xludf.DUMMYFUNCTION("""COMPUTED_VALUE"""),"Challenger")</f>
        <v>Challenger</v>
      </c>
      <c r="B98" s="30" t="str">
        <f>IFERROR(__xludf.DUMMYFUNCTION("""COMPUTED_VALUE"""),"RSC006244")</f>
        <v>RSC006244</v>
      </c>
      <c r="C98" s="30" t="str">
        <f>IFERROR(__xludf.DUMMYFUNCTION("""COMPUTED_VALUE"""),"Whiite Bear")</f>
        <v>Whiite Bear</v>
      </c>
      <c r="D98" s="31" t="str">
        <f>IFERROR(__xludf.DUMMYFUNCTION("""COMPUTED_VALUE"""),"Panda Bears")</f>
        <v>Panda Bears</v>
      </c>
      <c r="E98" s="31">
        <f>IFERROR(__xludf.DUMMYFUNCTION("""COMPUTED_VALUE"""),53.084631087396005)</f>
        <v>53.08463109</v>
      </c>
      <c r="F98" s="31">
        <f>IFERROR(__xludf.DUMMYFUNCTION("""COMPUTED_VALUE"""),2.217781627640252)</f>
        <v>2.217781628</v>
      </c>
      <c r="G98" s="31">
        <f>IFERROR(__xludf.DUMMYFUNCTION("""COMPUTED_VALUE"""),49.33818655971776)</f>
        <v>49.33818656</v>
      </c>
      <c r="H98" s="31">
        <f>IFERROR(__xludf.DUMMYFUNCTION("""COMPUTED_VALUE"""),-2.0431504430046856)</f>
        <v>-2.043150443</v>
      </c>
      <c r="I98" s="54">
        <f>IFERROR(__xludf.DUMMYFUNCTION("""COMPUTED_VALUE"""),22.0)</f>
        <v>22</v>
      </c>
      <c r="J98" s="55">
        <f>IFERROR(__xludf.DUMMYFUNCTION("""COMPUTED_VALUE"""),8.0)</f>
        <v>8</v>
      </c>
      <c r="K98" s="54">
        <f>IFERROR(__xludf.DUMMYFUNCTION("""COMPUTED_VALUE"""),14.0)</f>
        <v>14</v>
      </c>
      <c r="L98" s="56">
        <f>IFERROR(__xludf.DUMMYFUNCTION("""COMPUTED_VALUE"""),0.36363636363636365)</f>
        <v>0.3636363636</v>
      </c>
      <c r="M98" s="56">
        <f>IFERROR(__xludf.DUMMYFUNCTION("""COMPUTED_VALUE"""),0.37037037037037035)</f>
        <v>0.3703703704</v>
      </c>
      <c r="N98" s="31">
        <f>IFERROR(__xludf.DUMMYFUNCTION("""COMPUTED_VALUE"""),368.90909090909093)</f>
        <v>368.9090909</v>
      </c>
      <c r="O98" s="57">
        <f>IFERROR(__xludf.DUMMYFUNCTION("""COMPUTED_VALUE"""),0.9090909090909091)</f>
        <v>0.9090909091</v>
      </c>
      <c r="P98" s="57">
        <f>IFERROR(__xludf.DUMMYFUNCTION("""COMPUTED_VALUE"""),0.3181818181818182)</f>
        <v>0.3181818182</v>
      </c>
      <c r="Q98" s="57">
        <f>IFERROR(__xludf.DUMMYFUNCTION("""COMPUTED_VALUE"""),1.4545454545454546)</f>
        <v>1.454545455</v>
      </c>
      <c r="R98" s="57">
        <f>IFERROR(__xludf.DUMMYFUNCTION("""COMPUTED_VALUE"""),2.4545454545454546)</f>
        <v>2.454545455</v>
      </c>
      <c r="S98" s="31">
        <f>IFERROR(__xludf.DUMMYFUNCTION("""COMPUTED_VALUE"""),345.8030303030303)</f>
        <v>345.8030303</v>
      </c>
      <c r="T98" s="57">
        <f>IFERROR(__xludf.DUMMYFUNCTION("""COMPUTED_VALUE"""),0.7575757575757577)</f>
        <v>0.7575757576</v>
      </c>
      <c r="U98" s="57">
        <f>IFERROR(__xludf.DUMMYFUNCTION("""COMPUTED_VALUE"""),0.5)</f>
        <v>0.5</v>
      </c>
      <c r="V98" s="57">
        <f>IFERROR(__xludf.DUMMYFUNCTION("""COMPUTED_VALUE"""),1.303030303030303)</f>
        <v>1.303030303</v>
      </c>
      <c r="W98" s="57">
        <f>IFERROR(__xludf.DUMMYFUNCTION("""COMPUTED_VALUE"""),2.6969696969696972)</f>
        <v>2.696969697</v>
      </c>
      <c r="X98" s="31">
        <f>IFERROR(__xludf.DUMMYFUNCTION("""COMPUTED_VALUE"""),348.5823714645403)</f>
        <v>348.5823715</v>
      </c>
      <c r="Y98" s="57">
        <f>IFERROR(__xludf.DUMMYFUNCTION("""COMPUTED_VALUE"""),0.7901024767653378)</f>
        <v>0.7901024768</v>
      </c>
      <c r="Z98" s="57">
        <f>IFERROR(__xludf.DUMMYFUNCTION("""COMPUTED_VALUE"""),0.5708062042083494)</f>
        <v>0.5708062042</v>
      </c>
      <c r="AA98" s="57">
        <f>IFERROR(__xludf.DUMMYFUNCTION("""COMPUTED_VALUE"""),1.3462729959317352)</f>
        <v>1.346272996</v>
      </c>
      <c r="AB98" s="57">
        <f>IFERROR(__xludf.DUMMYFUNCTION("""COMPUTED_VALUE"""),2.4385908885373677)</f>
        <v>2.438590889</v>
      </c>
      <c r="AC98" s="31">
        <f>IFERROR(__xludf.DUMMYFUNCTION("""COMPUTED_VALUE"""),332.18027703615735)</f>
        <v>332.180277</v>
      </c>
      <c r="AD98" s="57">
        <f>IFERROR(__xludf.DUMMYFUNCTION("""COMPUTED_VALUE"""),0.7366059326535478)</f>
        <v>0.7366059327</v>
      </c>
      <c r="AE98" s="57">
        <f>IFERROR(__xludf.DUMMYFUNCTION("""COMPUTED_VALUE"""),0.5221671570242897)</f>
        <v>0.522167157</v>
      </c>
      <c r="AF98" s="57">
        <f>IFERROR(__xludf.DUMMYFUNCTION("""COMPUTED_VALUE"""),1.2081950934706214)</f>
        <v>1.208195093</v>
      </c>
      <c r="AG98" s="57">
        <f>IFERROR(__xludf.DUMMYFUNCTION("""COMPUTED_VALUE"""),2.4946464847130807)</f>
        <v>2.494646485</v>
      </c>
      <c r="AH98" s="57">
        <f>IFERROR(__xludf.DUMMYFUNCTION("""COMPUTED_VALUE"""),1.1105689181809422)</f>
        <v>1.110568918</v>
      </c>
      <c r="AI98" s="57">
        <f>IFERROR(__xludf.DUMMYFUNCTION("""COMPUTED_VALUE"""),1.234161807271904)</f>
        <v>1.234161807</v>
      </c>
      <c r="AJ98" s="57">
        <f>IFERROR(__xludf.DUMMYFUNCTION("""COMPUTED_VALUE"""),0.6093485848383553)</f>
        <v>0.6093485848</v>
      </c>
      <c r="AK98" s="57">
        <f>IFERROR(__xludf.DUMMYFUNCTION("""COMPUTED_VALUE"""),1.2038994880927512)</f>
        <v>1.203899488</v>
      </c>
      <c r="AL98" s="57">
        <f>IFERROR(__xludf.DUMMYFUNCTION("""COMPUTED_VALUE"""),0.9839251651833794)</f>
        <v>0.9839251652</v>
      </c>
      <c r="AM98" s="57">
        <f>IFERROR(__xludf.DUMMYFUNCTION("""COMPUTED_VALUE"""),0.9920267305835553)</f>
        <v>0.9920267306</v>
      </c>
      <c r="AN98" s="57">
        <f>IFERROR(__xludf.DUMMYFUNCTION("""COMPUTED_VALUE"""),0.9588322779055903)</f>
        <v>0.9588322779</v>
      </c>
      <c r="AO98" s="57">
        <f>IFERROR(__xludf.DUMMYFUNCTION("""COMPUTED_VALUE"""),0.8759540388903964)</f>
        <v>0.8759540389</v>
      </c>
      <c r="AP98" s="35">
        <f>IFERROR(__xludf.DUMMYFUNCTION("""COMPUTED_VALUE"""),0.9678796997101583)</f>
        <v>0.9678796997</v>
      </c>
      <c r="AQ98" s="57">
        <f>IFERROR(__xludf.DUMMYFUNCTION("""COMPUTED_VALUE"""),1.105954143291047)</f>
        <v>1.105954143</v>
      </c>
      <c r="AR98" s="36" t="b">
        <f>IFERROR(__xludf.DUMMYFUNCTION("""COMPUTED_VALUE"""),TRUE)</f>
        <v>1</v>
      </c>
      <c r="AS98" s="57"/>
      <c r="AT98" s="37"/>
      <c r="AU98" s="30"/>
      <c r="AV98" s="30"/>
      <c r="AW98" s="30"/>
      <c r="AX98" s="30"/>
      <c r="AY98" s="30"/>
      <c r="AZ98" s="30"/>
    </row>
    <row r="99">
      <c r="A99" s="30" t="str">
        <f>IFERROR(__xludf.DUMMYFUNCTION("""COMPUTED_VALUE"""),"Challenger")</f>
        <v>Challenger</v>
      </c>
      <c r="B99" s="30" t="str">
        <f>IFERROR(__xludf.DUMMYFUNCTION("""COMPUTED_VALUE"""),"RSC002427")</f>
        <v>RSC002427</v>
      </c>
      <c r="C99" s="30" t="str">
        <f>IFERROR(__xludf.DUMMYFUNCTION("""COMPUTED_VALUE"""),"Free.")</f>
        <v>Free.</v>
      </c>
      <c r="D99" s="31" t="str">
        <f>IFERROR(__xludf.DUMMYFUNCTION("""COMPUTED_VALUE"""),"Ryujin")</f>
        <v>Ryujin</v>
      </c>
      <c r="E99" s="31">
        <f>IFERROR(__xludf.DUMMYFUNCTION("""COMPUTED_VALUE"""),52.787296980412954)</f>
        <v>52.78729698</v>
      </c>
      <c r="F99" s="31">
        <f>IFERROR(__xludf.DUMMYFUNCTION("""COMPUTED_VALUE"""),2.1948444521929313)</f>
        <v>2.194844452</v>
      </c>
      <c r="G99" s="31">
        <f>IFERROR(__xludf.DUMMYFUNCTION("""COMPUTED_VALUE"""),48.645939170656554)</f>
        <v>48.64593917</v>
      </c>
      <c r="H99" s="31">
        <f>IFERROR(__xludf.DUMMYFUNCTION("""COMPUTED_VALUE"""),-2.0902884399567125)</f>
        <v>-2.09028844</v>
      </c>
      <c r="I99" s="54">
        <f>IFERROR(__xludf.DUMMYFUNCTION("""COMPUTED_VALUE"""),13.0)</f>
        <v>13</v>
      </c>
      <c r="J99" s="55">
        <f>IFERROR(__xludf.DUMMYFUNCTION("""COMPUTED_VALUE"""),7.0)</f>
        <v>7</v>
      </c>
      <c r="K99" s="54">
        <f>IFERROR(__xludf.DUMMYFUNCTION("""COMPUTED_VALUE"""),6.0)</f>
        <v>6</v>
      </c>
      <c r="L99" s="56">
        <f>IFERROR(__xludf.DUMMYFUNCTION("""COMPUTED_VALUE"""),0.5384615384615384)</f>
        <v>0.5384615385</v>
      </c>
      <c r="M99" s="56">
        <f>IFERROR(__xludf.DUMMYFUNCTION("""COMPUTED_VALUE"""),0.3636363636363637)</f>
        <v>0.3636363636</v>
      </c>
      <c r="N99" s="31">
        <f>IFERROR(__xludf.DUMMYFUNCTION("""COMPUTED_VALUE"""),298.0)</f>
        <v>298</v>
      </c>
      <c r="O99" s="57">
        <f>IFERROR(__xludf.DUMMYFUNCTION("""COMPUTED_VALUE"""),0.9230769230769231)</f>
        <v>0.9230769231</v>
      </c>
      <c r="P99" s="57">
        <f>IFERROR(__xludf.DUMMYFUNCTION("""COMPUTED_VALUE"""),0.38461538461538464)</f>
        <v>0.3846153846</v>
      </c>
      <c r="Q99" s="57">
        <f>IFERROR(__xludf.DUMMYFUNCTION("""COMPUTED_VALUE"""),0.8461538461538461)</f>
        <v>0.8461538462</v>
      </c>
      <c r="R99" s="57">
        <f>IFERROR(__xludf.DUMMYFUNCTION("""COMPUTED_VALUE"""),2.5384615384615383)</f>
        <v>2.538461538</v>
      </c>
      <c r="S99" s="31">
        <f>IFERROR(__xludf.DUMMYFUNCTION("""COMPUTED_VALUE"""),285.38461538461536)</f>
        <v>285.3846154</v>
      </c>
      <c r="T99" s="57">
        <f>IFERROR(__xludf.DUMMYFUNCTION("""COMPUTED_VALUE"""),0.5384615384615384)</f>
        <v>0.5384615385</v>
      </c>
      <c r="U99" s="57">
        <f>IFERROR(__xludf.DUMMYFUNCTION("""COMPUTED_VALUE"""),0.4102564102564103)</f>
        <v>0.4102564103</v>
      </c>
      <c r="V99" s="57">
        <f>IFERROR(__xludf.DUMMYFUNCTION("""COMPUTED_VALUE"""),1.2307692307692308)</f>
        <v>1.230769231</v>
      </c>
      <c r="W99" s="57">
        <f>IFERROR(__xludf.DUMMYFUNCTION("""COMPUTED_VALUE"""),1.7179487179487178)</f>
        <v>1.717948718</v>
      </c>
      <c r="X99" s="31">
        <f>IFERROR(__xludf.DUMMYFUNCTION("""COMPUTED_VALUE"""),314.3377647018063)</f>
        <v>314.3377647</v>
      </c>
      <c r="Y99" s="57">
        <f>IFERROR(__xludf.DUMMYFUNCTION("""COMPUTED_VALUE"""),0.7239208422773954)</f>
        <v>0.7239208423</v>
      </c>
      <c r="Z99" s="57">
        <f>IFERROR(__xludf.DUMMYFUNCTION("""COMPUTED_VALUE"""),0.4349534664872642)</f>
        <v>0.4349534665</v>
      </c>
      <c r="AA99" s="57">
        <f>IFERROR(__xludf.DUMMYFUNCTION("""COMPUTED_VALUE"""),1.1370205321185716)</f>
        <v>1.137020532</v>
      </c>
      <c r="AB99" s="57">
        <f>IFERROR(__xludf.DUMMYFUNCTION("""COMPUTED_VALUE"""),2.24753625001303)</f>
        <v>2.24753625</v>
      </c>
      <c r="AC99" s="31">
        <f>IFERROR(__xludf.DUMMYFUNCTION("""COMPUTED_VALUE"""),339.02113524526663)</f>
        <v>339.0211352</v>
      </c>
      <c r="AD99" s="57">
        <f>IFERROR(__xludf.DUMMYFUNCTION("""COMPUTED_VALUE"""),0.8372577468875199)</f>
        <v>0.8372577469</v>
      </c>
      <c r="AE99" s="57">
        <f>IFERROR(__xludf.DUMMYFUNCTION("""COMPUTED_VALUE"""),0.593558904338918)</f>
        <v>0.5935589043</v>
      </c>
      <c r="AF99" s="57">
        <f>IFERROR(__xludf.DUMMYFUNCTION("""COMPUTED_VALUE"""),1.130337710678268)</f>
        <v>1.130337711</v>
      </c>
      <c r="AG99" s="57">
        <f>IFERROR(__xludf.DUMMYFUNCTION("""COMPUTED_VALUE"""),2.509136753116801)</f>
        <v>2.509136753</v>
      </c>
      <c r="AH99" s="57">
        <f>IFERROR(__xludf.DUMMYFUNCTION("""COMPUTED_VALUE"""),0.8790012451123742)</f>
        <v>0.8790012451</v>
      </c>
      <c r="AI99" s="57">
        <f>IFERROR(__xludf.DUMMYFUNCTION("""COMPUTED_VALUE"""),1.102500307113829)</f>
        <v>1.102500307</v>
      </c>
      <c r="AJ99" s="57">
        <f>IFERROR(__xludf.DUMMYFUNCTION("""COMPUTED_VALUE"""),0.6479818292739686)</f>
        <v>0.6479818293</v>
      </c>
      <c r="AK99" s="57">
        <f>IFERROR(__xludf.DUMMYFUNCTION("""COMPUTED_VALUE"""),0.7485849920428692)</f>
        <v>0.748584992</v>
      </c>
      <c r="AL99" s="57">
        <f>IFERROR(__xludf.DUMMYFUNCTION("""COMPUTED_VALUE"""),1.0116872009101578)</f>
        <v>1.011687201</v>
      </c>
      <c r="AM99" s="57">
        <f>IFERROR(__xludf.DUMMYFUNCTION("""COMPUTED_VALUE"""),0.9078915976110695)</f>
        <v>0.9078915976</v>
      </c>
      <c r="AN99" s="57">
        <f>IFERROR(__xludf.DUMMYFUNCTION("""COMPUTED_VALUE"""),0.7438127306399727)</f>
        <v>0.7438127306</v>
      </c>
      <c r="AO99" s="57">
        <f>IFERROR(__xludf.DUMMYFUNCTION("""COMPUTED_VALUE"""),0.9432190840314247)</f>
        <v>0.943219084</v>
      </c>
      <c r="AP99" s="35">
        <f>IFERROR(__xludf.DUMMYFUNCTION("""COMPUTED_VALUE"""),1.0824511923948994)</f>
        <v>1.082451192</v>
      </c>
      <c r="AQ99" s="57">
        <f>IFERROR(__xludf.DUMMYFUNCTION("""COMPUTED_VALUE"""),0.764369748402838)</f>
        <v>0.7643697484</v>
      </c>
      <c r="AR99" s="36" t="b">
        <f>IFERROR(__xludf.DUMMYFUNCTION("""COMPUTED_VALUE"""),TRUE)</f>
        <v>1</v>
      </c>
      <c r="AS99" s="57"/>
      <c r="AT99" s="37"/>
      <c r="AU99" s="30"/>
      <c r="AV99" s="30"/>
      <c r="AW99" s="30"/>
      <c r="AX99" s="30"/>
      <c r="AY99" s="30"/>
      <c r="AZ99" s="30"/>
    </row>
    <row r="100">
      <c r="A100" s="30" t="str">
        <f>IFERROR(__xludf.DUMMYFUNCTION("""COMPUTED_VALUE"""),"Challenger")</f>
        <v>Challenger</v>
      </c>
      <c r="B100" s="30" t="str">
        <f>IFERROR(__xludf.DUMMYFUNCTION("""COMPUTED_VALUE"""),"RSC005526")</f>
        <v>RSC005526</v>
      </c>
      <c r="C100" s="30" t="str">
        <f>IFERROR(__xludf.DUMMYFUNCTION("""COMPUTED_VALUE"""),"Vortex3524")</f>
        <v>Vortex3524</v>
      </c>
      <c r="D100" s="31" t="str">
        <f>IFERROR(__xludf.DUMMYFUNCTION("""COMPUTED_VALUE"""),"Zombies")</f>
        <v>Zombies</v>
      </c>
      <c r="E100" s="31">
        <f>IFERROR(__xludf.DUMMYFUNCTION("""COMPUTED_VALUE"""),52.70413733475813)</f>
        <v>52.70413733</v>
      </c>
      <c r="F100" s="31">
        <f>IFERROR(__xludf.DUMMYFUNCTION("""COMPUTED_VALUE"""),2.1885084523009875)</f>
        <v>2.188508452</v>
      </c>
      <c r="G100" s="31">
        <f>IFERROR(__xludf.DUMMYFUNCTION("""COMPUTED_VALUE"""),56.55822713564793)</f>
        <v>56.55822714</v>
      </c>
      <c r="H100" s="31">
        <f>IFERROR(__xludf.DUMMYFUNCTION("""COMPUTED_VALUE"""),2.521852672848333)</f>
        <v>2.521852673</v>
      </c>
      <c r="I100" s="54">
        <f>IFERROR(__xludf.DUMMYFUNCTION("""COMPUTED_VALUE"""),30.0)</f>
        <v>30</v>
      </c>
      <c r="J100" s="55">
        <f>IFERROR(__xludf.DUMMYFUNCTION("""COMPUTED_VALUE"""),12.0)</f>
        <v>12</v>
      </c>
      <c r="K100" s="54">
        <f>IFERROR(__xludf.DUMMYFUNCTION("""COMPUTED_VALUE"""),18.0)</f>
        <v>18</v>
      </c>
      <c r="L100" s="56">
        <f>IFERROR(__xludf.DUMMYFUNCTION("""COMPUTED_VALUE"""),0.4)</f>
        <v>0.4</v>
      </c>
      <c r="M100" s="56">
        <f>IFERROR(__xludf.DUMMYFUNCTION("""COMPUTED_VALUE"""),0.375)</f>
        <v>0.375</v>
      </c>
      <c r="N100" s="31">
        <f>IFERROR(__xludf.DUMMYFUNCTION("""COMPUTED_VALUE"""),354.3)</f>
        <v>354.3</v>
      </c>
      <c r="O100" s="57">
        <f>IFERROR(__xludf.DUMMYFUNCTION("""COMPUTED_VALUE"""),0.9)</f>
        <v>0.9</v>
      </c>
      <c r="P100" s="57">
        <f>IFERROR(__xludf.DUMMYFUNCTION("""COMPUTED_VALUE"""),0.3333333333333333)</f>
        <v>0.3333333333</v>
      </c>
      <c r="Q100" s="57">
        <f>IFERROR(__xludf.DUMMYFUNCTION("""COMPUTED_VALUE"""),1.3333333333333333)</f>
        <v>1.333333333</v>
      </c>
      <c r="R100" s="57">
        <f>IFERROR(__xludf.DUMMYFUNCTION("""COMPUTED_VALUE"""),2.4)</f>
        <v>2.4</v>
      </c>
      <c r="S100" s="31">
        <f>IFERROR(__xludf.DUMMYFUNCTION("""COMPUTED_VALUE"""),321.3444444444445)</f>
        <v>321.3444444</v>
      </c>
      <c r="T100" s="57">
        <f>IFERROR(__xludf.DUMMYFUNCTION("""COMPUTED_VALUE"""),0.7444444444444446)</f>
        <v>0.7444444444</v>
      </c>
      <c r="U100" s="57">
        <f>IFERROR(__xludf.DUMMYFUNCTION("""COMPUTED_VALUE"""),0.5000000000000002)</f>
        <v>0.5</v>
      </c>
      <c r="V100" s="57">
        <f>IFERROR(__xludf.DUMMYFUNCTION("""COMPUTED_VALUE"""),1.1888888888888887)</f>
        <v>1.188888889</v>
      </c>
      <c r="W100" s="57">
        <f>IFERROR(__xludf.DUMMYFUNCTION("""COMPUTED_VALUE"""),2.5111111111111106)</f>
        <v>2.511111111</v>
      </c>
      <c r="X100" s="31">
        <f>IFERROR(__xludf.DUMMYFUNCTION("""COMPUTED_VALUE"""),337.11872895209734)</f>
        <v>337.118729</v>
      </c>
      <c r="Y100" s="57">
        <f>IFERROR(__xludf.DUMMYFUNCTION("""COMPUTED_VALUE"""),0.7887118043295831)</f>
        <v>0.7887118043</v>
      </c>
      <c r="Z100" s="57">
        <f>IFERROR(__xludf.DUMMYFUNCTION("""COMPUTED_VALUE"""),0.5587909612164565)</f>
        <v>0.5587909612</v>
      </c>
      <c r="AA100" s="57">
        <f>IFERROR(__xludf.DUMMYFUNCTION("""COMPUTED_VALUE"""),1.190412676521205)</f>
        <v>1.190412677</v>
      </c>
      <c r="AB100" s="57">
        <f>IFERROR(__xludf.DUMMYFUNCTION("""COMPUTED_VALUE"""),2.513433836617502)</f>
        <v>2.513433837</v>
      </c>
      <c r="AC100" s="31">
        <f>IFERROR(__xludf.DUMMYFUNCTION("""COMPUTED_VALUE"""),337.62414788326237)</f>
        <v>337.6241479</v>
      </c>
      <c r="AD100" s="57">
        <f>IFERROR(__xludf.DUMMYFUNCTION("""COMPUTED_VALUE"""),0.7509451573280109)</f>
        <v>0.7509451573</v>
      </c>
      <c r="AE100" s="57">
        <f>IFERROR(__xludf.DUMMYFUNCTION("""COMPUTED_VALUE"""),0.5191822125849466)</f>
        <v>0.5191822126</v>
      </c>
      <c r="AF100" s="57">
        <f>IFERROR(__xludf.DUMMYFUNCTION("""COMPUTED_VALUE"""),1.3218251215561985)</f>
        <v>1.321825122</v>
      </c>
      <c r="AG100" s="57">
        <f>IFERROR(__xludf.DUMMYFUNCTION("""COMPUTED_VALUE"""),2.3741152945898274)</f>
        <v>2.374115295</v>
      </c>
      <c r="AH100" s="57">
        <f>IFERROR(__xludf.DUMMYFUNCTION("""COMPUTED_VALUE"""),1.0493917636557901)</f>
        <v>1.049391764</v>
      </c>
      <c r="AI100" s="57">
        <f>IFERROR(__xludf.DUMMYFUNCTION("""COMPUTED_VALUE"""),1.1984896516309544)</f>
        <v>1.198489652</v>
      </c>
      <c r="AJ100" s="57">
        <f>IFERROR(__xludf.DUMMYFUNCTION("""COMPUTED_VALUE"""),0.6420353495427091)</f>
        <v>0.6420353495</v>
      </c>
      <c r="AK100" s="57">
        <f>IFERROR(__xludf.DUMMYFUNCTION("""COMPUTED_VALUE"""),1.0087063043283562)</f>
        <v>1.008706304</v>
      </c>
      <c r="AL100" s="57">
        <f>IFERROR(__xludf.DUMMYFUNCTION("""COMPUTED_VALUE"""),1.0109028847373835)</f>
        <v>1.010902885</v>
      </c>
      <c r="AM100" s="57">
        <f>IFERROR(__xludf.DUMMYFUNCTION("""COMPUTED_VALUE"""),0.9532085192754323)</f>
        <v>0.9532085193</v>
      </c>
      <c r="AN100" s="57">
        <f>IFERROR(__xludf.DUMMYFUNCTION("""COMPUTED_VALUE"""),0.9438738463883314)</f>
        <v>0.9438738464</v>
      </c>
      <c r="AO100" s="57">
        <f>IFERROR(__xludf.DUMMYFUNCTION("""COMPUTED_VALUE"""),0.8947889903435952)</f>
        <v>0.8947889903</v>
      </c>
      <c r="AP100" s="35">
        <f>IFERROR(__xludf.DUMMYFUNCTION("""COMPUTED_VALUE"""),0.9987199500959874)</f>
        <v>0.9987199501</v>
      </c>
      <c r="AQ100" s="57">
        <f>IFERROR(__xludf.DUMMYFUNCTION("""COMPUTED_VALUE"""),0.9990758756118613)</f>
        <v>0.9990758756</v>
      </c>
      <c r="AR100" s="36" t="b">
        <f>IFERROR(__xludf.DUMMYFUNCTION("""COMPUTED_VALUE"""),TRUE)</f>
        <v>1</v>
      </c>
      <c r="AS100" s="57"/>
      <c r="AT100" s="37"/>
      <c r="AU100" s="30"/>
      <c r="AV100" s="30"/>
      <c r="AW100" s="30"/>
      <c r="AX100" s="30"/>
      <c r="AY100" s="30"/>
      <c r="AZ100" s="30"/>
    </row>
    <row r="101">
      <c r="A101" s="30" t="str">
        <f>IFERROR(__xludf.DUMMYFUNCTION("""COMPUTED_VALUE"""),"Challenger")</f>
        <v>Challenger</v>
      </c>
      <c r="B101" s="30" t="str">
        <f>IFERROR(__xludf.DUMMYFUNCTION("""COMPUTED_VALUE"""),"RSC006299")</f>
        <v>RSC006299</v>
      </c>
      <c r="C101" s="30" t="str">
        <f>IFERROR(__xludf.DUMMYFUNCTION("""COMPUTED_VALUE"""),"dr_zachattack")</f>
        <v>dr_zachattack</v>
      </c>
      <c r="D101" s="31" t="str">
        <f>IFERROR(__xludf.DUMMYFUNCTION("""COMPUTED_VALUE"""),"Trippy Hippies")</f>
        <v>Trippy Hippies</v>
      </c>
      <c r="E101" s="31">
        <f>IFERROR(__xludf.DUMMYFUNCTION("""COMPUTED_VALUE"""),52.429303685569)</f>
        <v>52.42930369</v>
      </c>
      <c r="F101" s="31">
        <f>IFERROR(__xludf.DUMMYFUNCTION("""COMPUTED_VALUE"""),2.1678109232068077)</f>
        <v>2.167810923</v>
      </c>
      <c r="G101" s="31">
        <f>IFERROR(__xludf.DUMMYFUNCTION("""COMPUTED_VALUE"""),60.74754543512881)</f>
        <v>60.74754544</v>
      </c>
      <c r="H101" s="31">
        <f>IFERROR(__xludf.DUMMYFUNCTION("""COMPUTED_VALUE"""),2.9973006457764786)</f>
        <v>2.997300646</v>
      </c>
      <c r="I101" s="54">
        <f>IFERROR(__xludf.DUMMYFUNCTION("""COMPUTED_VALUE"""),32.0)</f>
        <v>32</v>
      </c>
      <c r="J101" s="55">
        <f>IFERROR(__xludf.DUMMYFUNCTION("""COMPUTED_VALUE"""),16.0)</f>
        <v>16</v>
      </c>
      <c r="K101" s="54">
        <f>IFERROR(__xludf.DUMMYFUNCTION("""COMPUTED_VALUE"""),16.0)</f>
        <v>16</v>
      </c>
      <c r="L101" s="56">
        <f>IFERROR(__xludf.DUMMYFUNCTION("""COMPUTED_VALUE"""),0.5)</f>
        <v>0.5</v>
      </c>
      <c r="M101" s="56">
        <f>IFERROR(__xludf.DUMMYFUNCTION("""COMPUTED_VALUE"""),0.30666666666666664)</f>
        <v>0.3066666667</v>
      </c>
      <c r="N101" s="31">
        <f>IFERROR(__xludf.DUMMYFUNCTION("""COMPUTED_VALUE"""),362.03125)</f>
        <v>362.03125</v>
      </c>
      <c r="O101" s="57">
        <f>IFERROR(__xludf.DUMMYFUNCTION("""COMPUTED_VALUE"""),0.71875)</f>
        <v>0.71875</v>
      </c>
      <c r="P101" s="57">
        <f>IFERROR(__xludf.DUMMYFUNCTION("""COMPUTED_VALUE"""),0.53125)</f>
        <v>0.53125</v>
      </c>
      <c r="Q101" s="57">
        <f>IFERROR(__xludf.DUMMYFUNCTION("""COMPUTED_VALUE"""),1.375)</f>
        <v>1.375</v>
      </c>
      <c r="R101" s="57">
        <f>IFERROR(__xludf.DUMMYFUNCTION("""COMPUTED_VALUE"""),2.34375)</f>
        <v>2.34375</v>
      </c>
      <c r="S101" s="31">
        <f>IFERROR(__xludf.DUMMYFUNCTION("""COMPUTED_VALUE"""),321.68750000000006)</f>
        <v>321.6875</v>
      </c>
      <c r="T101" s="57">
        <f>IFERROR(__xludf.DUMMYFUNCTION("""COMPUTED_VALUE"""),0.7395833333333334)</f>
        <v>0.7395833333</v>
      </c>
      <c r="U101" s="57">
        <f>IFERROR(__xludf.DUMMYFUNCTION("""COMPUTED_VALUE"""),0.5208333333333333)</f>
        <v>0.5208333333</v>
      </c>
      <c r="V101" s="57">
        <f>IFERROR(__xludf.DUMMYFUNCTION("""COMPUTED_VALUE"""),1.2499999999999998)</f>
        <v>1.25</v>
      </c>
      <c r="W101" s="57">
        <f>IFERROR(__xludf.DUMMYFUNCTION("""COMPUTED_VALUE"""),2.3125)</f>
        <v>2.3125</v>
      </c>
      <c r="X101" s="31">
        <f>IFERROR(__xludf.DUMMYFUNCTION("""COMPUTED_VALUE"""),339.48376580684294)</f>
        <v>339.4837658</v>
      </c>
      <c r="Y101" s="57">
        <f>IFERROR(__xludf.DUMMYFUNCTION("""COMPUTED_VALUE"""),0.7856039688718363)</f>
        <v>0.7856039689</v>
      </c>
      <c r="Z101" s="57">
        <f>IFERROR(__xludf.DUMMYFUNCTION("""COMPUTED_VALUE"""),0.5836855352697096)</f>
        <v>0.5836855353</v>
      </c>
      <c r="AA101" s="57">
        <f>IFERROR(__xludf.DUMMYFUNCTION("""COMPUTED_VALUE"""),1.2679848976255979)</f>
        <v>1.267984898</v>
      </c>
      <c r="AB101" s="57">
        <f>IFERROR(__xludf.DUMMYFUNCTION("""COMPUTED_VALUE"""),2.3440490137703747)</f>
        <v>2.344049014</v>
      </c>
      <c r="AC101" s="31">
        <f>IFERROR(__xludf.DUMMYFUNCTION("""COMPUTED_VALUE"""),335.01430060661863)</f>
        <v>335.0143006</v>
      </c>
      <c r="AD101" s="57">
        <f>IFERROR(__xludf.DUMMYFUNCTION("""COMPUTED_VALUE"""),0.7879260551497217)</f>
        <v>0.7879260551</v>
      </c>
      <c r="AE101" s="57">
        <f>IFERROR(__xludf.DUMMYFUNCTION("""COMPUTED_VALUE"""),0.561664490677281)</f>
        <v>0.5616644907</v>
      </c>
      <c r="AF101" s="57">
        <f>IFERROR(__xludf.DUMMYFUNCTION("""COMPUTED_VALUE"""),1.16487800139657)</f>
        <v>1.164878001</v>
      </c>
      <c r="AG101" s="57">
        <f>IFERROR(__xludf.DUMMYFUNCTION("""COMPUTED_VALUE"""),2.526924509541623)</f>
        <v>2.52692451</v>
      </c>
      <c r="AH101" s="57">
        <f>IFERROR(__xludf.DUMMYFUNCTION("""COMPUTED_VALUE"""),1.080644167560791)</f>
        <v>1.080644168</v>
      </c>
      <c r="AI101" s="57">
        <f>IFERROR(__xludf.DUMMYFUNCTION("""COMPUTED_VALUE"""),0.9122048894085919)</f>
        <v>0.9122048894</v>
      </c>
      <c r="AJ101" s="57">
        <f>IFERROR(__xludf.DUMMYFUNCTION("""COMPUTED_VALUE"""),0.9458493617059434)</f>
        <v>0.9458493617</v>
      </c>
      <c r="AK101" s="57">
        <f>IFERROR(__xludf.DUMMYFUNCTION("""COMPUTED_VALUE"""),1.1803811200413392)</f>
        <v>1.18038112</v>
      </c>
      <c r="AL101" s="57">
        <f>IFERROR(__xludf.DUMMYFUNCTION("""COMPUTED_VALUE"""),0.927510889680337)</f>
        <v>0.9275108897</v>
      </c>
      <c r="AM101" s="57">
        <f>IFERROR(__xludf.DUMMYFUNCTION("""COMPUTED_VALUE"""),0.9475784482225625)</f>
        <v>0.9475784482</v>
      </c>
      <c r="AN101" s="57">
        <f>IFERROR(__xludf.DUMMYFUNCTION("""COMPUTED_VALUE"""),0.9414200572273195)</f>
        <v>0.9414200572</v>
      </c>
      <c r="AO101" s="57">
        <f>IFERROR(__xludf.DUMMYFUNCTION("""COMPUTED_VALUE"""),0.8923183835499134)</f>
        <v>0.8923183835</v>
      </c>
      <c r="AP101" s="35">
        <f>IFERROR(__xludf.DUMMYFUNCTION("""COMPUTED_VALUE"""),0.9858161578586021)</f>
        <v>0.9858161579</v>
      </c>
      <c r="AQ101" s="57">
        <f>IFERROR(__xludf.DUMMYFUNCTION("""COMPUTED_VALUE"""),0.9865408045714759)</f>
        <v>0.9865408046</v>
      </c>
      <c r="AR101" s="36" t="b">
        <f>IFERROR(__xludf.DUMMYFUNCTION("""COMPUTED_VALUE"""),TRUE)</f>
        <v>1</v>
      </c>
      <c r="AS101" s="57"/>
      <c r="AT101" s="37"/>
      <c r="AU101" s="30"/>
      <c r="AV101" s="30"/>
      <c r="AW101" s="30"/>
      <c r="AX101" s="30"/>
      <c r="AY101" s="30"/>
      <c r="AZ101" s="30"/>
    </row>
    <row r="102">
      <c r="A102" s="30" t="str">
        <f>IFERROR(__xludf.DUMMYFUNCTION("""COMPUTED_VALUE"""),"Challenger")</f>
        <v>Challenger</v>
      </c>
      <c r="B102" s="30" t="str">
        <f>IFERROR(__xludf.DUMMYFUNCTION("""COMPUTED_VALUE"""),"RSC007001")</f>
        <v>RSC007001</v>
      </c>
      <c r="C102" s="30" t="str">
        <f>IFERROR(__xludf.DUMMYFUNCTION("""COMPUTED_VALUE"""),"tankersrul")</f>
        <v>tankersrul</v>
      </c>
      <c r="D102" s="31" t="str">
        <f>IFERROR(__xludf.DUMMYFUNCTION("""COMPUTED_VALUE"""),"Squalls")</f>
        <v>Squalls</v>
      </c>
      <c r="E102" s="31">
        <f>IFERROR(__xludf.DUMMYFUNCTION("""COMPUTED_VALUE"""),52.36186397029309)</f>
        <v>52.36186397</v>
      </c>
      <c r="F102" s="31">
        <f>IFERROR(__xludf.DUMMYFUNCTION("""COMPUTED_VALUE"""),2.1627883392683938)</f>
        <v>2.162788339</v>
      </c>
      <c r="G102" s="31">
        <f>IFERROR(__xludf.DUMMYFUNCTION("""COMPUTED_VALUE"""),50.924978324533974)</f>
        <v>50.92497832</v>
      </c>
      <c r="H102" s="31">
        <f>IFERROR(__xludf.DUMMYFUNCTION("""COMPUTED_VALUE"""),2.0608237772912106)</f>
        <v>2.060823777</v>
      </c>
      <c r="I102" s="54">
        <f>IFERROR(__xludf.DUMMYFUNCTION("""COMPUTED_VALUE"""),32.0)</f>
        <v>32</v>
      </c>
      <c r="J102" s="55">
        <f>IFERROR(__xludf.DUMMYFUNCTION("""COMPUTED_VALUE"""),17.0)</f>
        <v>17</v>
      </c>
      <c r="K102" s="54">
        <f>IFERROR(__xludf.DUMMYFUNCTION("""COMPUTED_VALUE"""),15.0)</f>
        <v>15</v>
      </c>
      <c r="L102" s="56">
        <f>IFERROR(__xludf.DUMMYFUNCTION("""COMPUTED_VALUE"""),0.53125)</f>
        <v>0.53125</v>
      </c>
      <c r="M102" s="56">
        <f>IFERROR(__xludf.DUMMYFUNCTION("""COMPUTED_VALUE"""),0.2702702702702703)</f>
        <v>0.2702702703</v>
      </c>
      <c r="N102" s="31">
        <f>IFERROR(__xludf.DUMMYFUNCTION("""COMPUTED_VALUE"""),327.21875)</f>
        <v>327.21875</v>
      </c>
      <c r="O102" s="57">
        <f>IFERROR(__xludf.DUMMYFUNCTION("""COMPUTED_VALUE"""),0.625)</f>
        <v>0.625</v>
      </c>
      <c r="P102" s="57">
        <f>IFERROR(__xludf.DUMMYFUNCTION("""COMPUTED_VALUE"""),0.53125)</f>
        <v>0.53125</v>
      </c>
      <c r="Q102" s="57">
        <f>IFERROR(__xludf.DUMMYFUNCTION("""COMPUTED_VALUE"""),1.25)</f>
        <v>1.25</v>
      </c>
      <c r="R102" s="57">
        <f>IFERROR(__xludf.DUMMYFUNCTION("""COMPUTED_VALUE"""),2.3125)</f>
        <v>2.3125</v>
      </c>
      <c r="S102" s="31">
        <f>IFERROR(__xludf.DUMMYFUNCTION("""COMPUTED_VALUE"""),318.9583333333332)</f>
        <v>318.9583333</v>
      </c>
      <c r="T102" s="57">
        <f>IFERROR(__xludf.DUMMYFUNCTION("""COMPUTED_VALUE"""),0.6354166666666665)</f>
        <v>0.6354166667</v>
      </c>
      <c r="U102" s="57">
        <f>IFERROR(__xludf.DUMMYFUNCTION("""COMPUTED_VALUE"""),0.41666666666666674)</f>
        <v>0.4166666667</v>
      </c>
      <c r="V102" s="57">
        <f>IFERROR(__xludf.DUMMYFUNCTION("""COMPUTED_VALUE"""),1.3541666666666667)</f>
        <v>1.354166667</v>
      </c>
      <c r="W102" s="57">
        <f>IFERROR(__xludf.DUMMYFUNCTION("""COMPUTED_VALUE"""),2.1458333333333335)</f>
        <v>2.145833333</v>
      </c>
      <c r="X102" s="31">
        <f>IFERROR(__xludf.DUMMYFUNCTION("""COMPUTED_VALUE"""),339.3316277033958)</f>
        <v>339.3316277</v>
      </c>
      <c r="Y102" s="57">
        <f>IFERROR(__xludf.DUMMYFUNCTION("""COMPUTED_VALUE"""),0.7988922193547214)</f>
        <v>0.7988922194</v>
      </c>
      <c r="Z102" s="57">
        <f>IFERROR(__xludf.DUMMYFUNCTION("""COMPUTED_VALUE"""),0.5276760708489496)</f>
        <v>0.5276760708</v>
      </c>
      <c r="AA102" s="57">
        <f>IFERROR(__xludf.DUMMYFUNCTION("""COMPUTED_VALUE"""),1.2293363668756458)</f>
        <v>1.229336367</v>
      </c>
      <c r="AB102" s="57">
        <f>IFERROR(__xludf.DUMMYFUNCTION("""COMPUTED_VALUE"""),2.4199178941482815)</f>
        <v>2.419917894</v>
      </c>
      <c r="AC102" s="31">
        <f>IFERROR(__xludf.DUMMYFUNCTION("""COMPUTED_VALUE"""),323.8659944113727)</f>
        <v>323.8659944</v>
      </c>
      <c r="AD102" s="57">
        <f>IFERROR(__xludf.DUMMYFUNCTION("""COMPUTED_VALUE"""),0.7173093099692716)</f>
        <v>0.71730931</v>
      </c>
      <c r="AE102" s="57">
        <f>IFERROR(__xludf.DUMMYFUNCTION("""COMPUTED_VALUE"""),0.4819732620560408)</f>
        <v>0.4819732621</v>
      </c>
      <c r="AF102" s="57">
        <f>IFERROR(__xludf.DUMMYFUNCTION("""COMPUTED_VALUE"""),1.17097187246289)</f>
        <v>1.170971872</v>
      </c>
      <c r="AG102" s="57">
        <f>IFERROR(__xludf.DUMMYFUNCTION("""COMPUTED_VALUE"""),2.3976102890091333)</f>
        <v>2.397610289</v>
      </c>
      <c r="AH102" s="57">
        <f>IFERROR(__xludf.DUMMYFUNCTION("""COMPUTED_VALUE"""),1.0103522927583706)</f>
        <v>1.010352293</v>
      </c>
      <c r="AI102" s="57">
        <f>IFERROR(__xludf.DUMMYFUNCTION("""COMPUTED_VALUE"""),0.8713117079531201)</f>
        <v>0.871311708</v>
      </c>
      <c r="AJ102" s="57">
        <f>IFERROR(__xludf.DUMMYFUNCTION("""COMPUTED_VALUE"""),1.1022395676759131)</f>
        <v>1.102239568</v>
      </c>
      <c r="AK102" s="57">
        <f>IFERROR(__xludf.DUMMYFUNCTION("""COMPUTED_VALUE"""),1.0674893474348714)</f>
        <v>1.067489347</v>
      </c>
      <c r="AL102" s="57">
        <f>IFERROR(__xludf.DUMMYFUNCTION("""COMPUTED_VALUE"""),0.9645020337961984)</f>
        <v>0.9645020338</v>
      </c>
      <c r="AM102" s="57">
        <f>IFERROR(__xludf.DUMMYFUNCTION("""COMPUTED_VALUE"""),0.9399605203088509)</f>
        <v>0.9399605203</v>
      </c>
      <c r="AN102" s="57">
        <f>IFERROR(__xludf.DUMMYFUNCTION("""COMPUTED_VALUE"""),0.7953722057524896)</f>
        <v>0.7953722058</v>
      </c>
      <c r="AO102" s="57">
        <f>IFERROR(__xludf.DUMMYFUNCTION("""COMPUTED_VALUE"""),0.7896258513226005)</f>
        <v>0.7896258513</v>
      </c>
      <c r="AP102" s="35">
        <f>IFERROR(__xludf.DUMMYFUNCTION("""COMPUTED_VALUE"""),1.101542834942951)</f>
        <v>1.101542835</v>
      </c>
      <c r="AQ102" s="57">
        <f>IFERROR(__xludf.DUMMYFUNCTION("""COMPUTED_VALUE"""),0.8867380742637074)</f>
        <v>0.8867380743</v>
      </c>
      <c r="AR102" s="36" t="b">
        <f>IFERROR(__xludf.DUMMYFUNCTION("""COMPUTED_VALUE"""),TRUE)</f>
        <v>1</v>
      </c>
      <c r="AS102" s="57"/>
      <c r="AT102" s="37"/>
      <c r="AU102" s="30"/>
      <c r="AV102" s="30"/>
      <c r="AW102" s="30"/>
      <c r="AX102" s="30"/>
      <c r="AY102" s="30"/>
      <c r="AZ102" s="30"/>
    </row>
    <row r="103">
      <c r="A103" s="30" t="str">
        <f>IFERROR(__xludf.DUMMYFUNCTION("""COMPUTED_VALUE"""),"Challenger")</f>
        <v>Challenger</v>
      </c>
      <c r="B103" s="30" t="str">
        <f>IFERROR(__xludf.DUMMYFUNCTION("""COMPUTED_VALUE"""),"RSC007590")</f>
        <v>RSC007590</v>
      </c>
      <c r="C103" s="30" t="str">
        <f>IFERROR(__xludf.DUMMYFUNCTION("""COMPUTED_VALUE"""),"DonkeyPancakes2")</f>
        <v>DonkeyPancakes2</v>
      </c>
      <c r="D103" s="31" t="str">
        <f>IFERROR(__xludf.DUMMYFUNCTION("""COMPUTED_VALUE"""),"Lions")</f>
        <v>Lions</v>
      </c>
      <c r="E103" s="31">
        <f>IFERROR(__xludf.DUMMYFUNCTION("""COMPUTED_VALUE"""),51.852822672193234)</f>
        <v>51.85282267</v>
      </c>
      <c r="F103" s="31">
        <f>IFERROR(__xludf.DUMMYFUNCTION("""COMPUTED_VALUE"""),2.125577988492932)</f>
        <v>2.125577988</v>
      </c>
      <c r="G103" s="31">
        <f>IFERROR(__xludf.DUMMYFUNCTION("""COMPUTED_VALUE"""),44.53890902889711)</f>
        <v>44.53890903</v>
      </c>
      <c r="H103" s="31">
        <f>IFERROR(__xludf.DUMMYFUNCTION("""COMPUTED_VALUE"""),-2.418135627835604)</f>
        <v>-2.418135628</v>
      </c>
      <c r="I103" s="54">
        <f>IFERROR(__xludf.DUMMYFUNCTION("""COMPUTED_VALUE"""),36.0)</f>
        <v>36</v>
      </c>
      <c r="J103" s="55">
        <f>IFERROR(__xludf.DUMMYFUNCTION("""COMPUTED_VALUE"""),17.0)</f>
        <v>17</v>
      </c>
      <c r="K103" s="54">
        <f>IFERROR(__xludf.DUMMYFUNCTION("""COMPUTED_VALUE"""),19.0)</f>
        <v>19</v>
      </c>
      <c r="L103" s="56">
        <f>IFERROR(__xludf.DUMMYFUNCTION("""COMPUTED_VALUE"""),0.4722222222222222)</f>
        <v>0.4722222222</v>
      </c>
      <c r="M103" s="56">
        <f>IFERROR(__xludf.DUMMYFUNCTION("""COMPUTED_VALUE"""),0.30208333333333337)</f>
        <v>0.3020833333</v>
      </c>
      <c r="N103" s="31">
        <f>IFERROR(__xludf.DUMMYFUNCTION("""COMPUTED_VALUE"""),311.19444444444446)</f>
        <v>311.1944444</v>
      </c>
      <c r="O103" s="57">
        <f>IFERROR(__xludf.DUMMYFUNCTION("""COMPUTED_VALUE"""),0.8055555555555556)</f>
        <v>0.8055555556</v>
      </c>
      <c r="P103" s="57">
        <f>IFERROR(__xludf.DUMMYFUNCTION("""COMPUTED_VALUE"""),0.5)</f>
        <v>0.5</v>
      </c>
      <c r="Q103" s="57">
        <f>IFERROR(__xludf.DUMMYFUNCTION("""COMPUTED_VALUE"""),1.0277777777777777)</f>
        <v>1.027777778</v>
      </c>
      <c r="R103" s="57">
        <f>IFERROR(__xludf.DUMMYFUNCTION("""COMPUTED_VALUE"""),2.6666666666666665)</f>
        <v>2.666666667</v>
      </c>
      <c r="S103" s="31">
        <f>IFERROR(__xludf.DUMMYFUNCTION("""COMPUTED_VALUE"""),327.03703703703707)</f>
        <v>327.037037</v>
      </c>
      <c r="T103" s="57">
        <f>IFERROR(__xludf.DUMMYFUNCTION("""COMPUTED_VALUE"""),0.7129629629629629)</f>
        <v>0.712962963</v>
      </c>
      <c r="U103" s="57">
        <f>IFERROR(__xludf.DUMMYFUNCTION("""COMPUTED_VALUE"""),0.48148148148148134)</f>
        <v>0.4814814815</v>
      </c>
      <c r="V103" s="57">
        <f>IFERROR(__xludf.DUMMYFUNCTION("""COMPUTED_VALUE"""),1.3518518518518516)</f>
        <v>1.351851852</v>
      </c>
      <c r="W103" s="57">
        <f>IFERROR(__xludf.DUMMYFUNCTION("""COMPUTED_VALUE"""),2.2129629629629632)</f>
        <v>2.212962963</v>
      </c>
      <c r="X103" s="31">
        <f>IFERROR(__xludf.DUMMYFUNCTION("""COMPUTED_VALUE"""),334.4834196744647)</f>
        <v>334.4834197</v>
      </c>
      <c r="Y103" s="57">
        <f>IFERROR(__xludf.DUMMYFUNCTION("""COMPUTED_VALUE"""),0.7481321485930703)</f>
        <v>0.7481321486</v>
      </c>
      <c r="Z103" s="57">
        <f>IFERROR(__xludf.DUMMYFUNCTION("""COMPUTED_VALUE"""),0.5073099127901038)</f>
        <v>0.5073099128</v>
      </c>
      <c r="AA103" s="57">
        <f>IFERROR(__xludf.DUMMYFUNCTION("""COMPUTED_VALUE"""),1.259334908884449)</f>
        <v>1.259334909</v>
      </c>
      <c r="AB103" s="57">
        <f>IFERROR(__xludf.DUMMYFUNCTION("""COMPUTED_VALUE"""),2.3816099849389953)</f>
        <v>2.381609985</v>
      </c>
      <c r="AC103" s="31">
        <f>IFERROR(__xludf.DUMMYFUNCTION("""COMPUTED_VALUE"""),346.18102262669595)</f>
        <v>346.1810226</v>
      </c>
      <c r="AD103" s="57">
        <f>IFERROR(__xludf.DUMMYFUNCTION("""COMPUTED_VALUE"""),0.8367356513995827)</f>
        <v>0.8367356514</v>
      </c>
      <c r="AE103" s="57">
        <f>IFERROR(__xludf.DUMMYFUNCTION("""COMPUTED_VALUE"""),0.5786773017623692)</f>
        <v>0.5786773018</v>
      </c>
      <c r="AF103" s="57">
        <f>IFERROR(__xludf.DUMMYFUNCTION("""COMPUTED_VALUE"""),1.218387601124547)</f>
        <v>1.218387601</v>
      </c>
      <c r="AG103" s="57">
        <f>IFERROR(__xludf.DUMMYFUNCTION("""COMPUTED_VALUE"""),2.586335305851102)</f>
        <v>2.586335306</v>
      </c>
      <c r="AH103" s="57">
        <f>IFERROR(__xludf.DUMMYFUNCTION("""COMPUTED_VALUE"""),0.8989355975761293)</f>
        <v>0.8989355976</v>
      </c>
      <c r="AI103" s="57">
        <f>IFERROR(__xludf.DUMMYFUNCTION("""COMPUTED_VALUE"""),0.9627360256589126)</f>
        <v>0.9627360257</v>
      </c>
      <c r="AJ103" s="57">
        <f>IFERROR(__xludf.DUMMYFUNCTION("""COMPUTED_VALUE"""),0.8640394196856236)</f>
        <v>0.8640394197</v>
      </c>
      <c r="AK103" s="57">
        <f>IFERROR(__xludf.DUMMYFUNCTION("""COMPUTED_VALUE"""),0.8435556770515062)</f>
        <v>0.8435556771</v>
      </c>
      <c r="AL103" s="57">
        <f>IFERROR(__xludf.DUMMYFUNCTION("""COMPUTED_VALUE"""),1.0310599173408916)</f>
        <v>1.031059917</v>
      </c>
      <c r="AM103" s="57">
        <f>IFERROR(__xludf.DUMMYFUNCTION("""COMPUTED_VALUE"""),0.9777376629171192)</f>
        <v>0.9777376629</v>
      </c>
      <c r="AN103" s="57">
        <f>IFERROR(__xludf.DUMMYFUNCTION("""COMPUTED_VALUE"""),0.9529906772536828)</f>
        <v>0.9529906773</v>
      </c>
      <c r="AO103" s="57">
        <f>IFERROR(__xludf.DUMMYFUNCTION("""COMPUTED_VALUE"""),0.9490874696956516)</f>
        <v>0.9490874697</v>
      </c>
      <c r="AP103" s="35">
        <f>IFERROR(__xludf.DUMMYFUNCTION("""COMPUTED_VALUE"""),1.0734649236789255)</f>
        <v>1.073464924</v>
      </c>
      <c r="AQ103" s="57">
        <f>IFERROR(__xludf.DUMMYFUNCTION("""COMPUTED_VALUE"""),0.9291878086493864)</f>
        <v>0.9291878086</v>
      </c>
      <c r="AR103" s="36" t="b">
        <f>IFERROR(__xludf.DUMMYFUNCTION("""COMPUTED_VALUE"""),TRUE)</f>
        <v>1</v>
      </c>
      <c r="AS103" s="57"/>
      <c r="AT103" s="37"/>
      <c r="AU103" s="30"/>
      <c r="AV103" s="30"/>
      <c r="AW103" s="30"/>
      <c r="AX103" s="30"/>
      <c r="AY103" s="30"/>
      <c r="AZ103" s="30"/>
    </row>
    <row r="104">
      <c r="A104" s="30" t="str">
        <f>IFERROR(__xludf.DUMMYFUNCTION("""COMPUTED_VALUE"""),"Challenger")</f>
        <v>Challenger</v>
      </c>
      <c r="B104" s="30" t="str">
        <f>IFERROR(__xludf.DUMMYFUNCTION("""COMPUTED_VALUE"""),"RSC007824")</f>
        <v>RSC007824</v>
      </c>
      <c r="C104" s="30" t="str">
        <f>IFERROR(__xludf.DUMMYFUNCTION("""COMPUTED_VALUE"""),"Akki404")</f>
        <v>Akki404</v>
      </c>
      <c r="D104" s="31" t="str">
        <f>IFERROR(__xludf.DUMMYFUNCTION("""COMPUTED_VALUE"""),"Bingo")</f>
        <v>Bingo</v>
      </c>
      <c r="E104" s="31">
        <f>IFERROR(__xludf.DUMMYFUNCTION("""COMPUTED_VALUE"""),51.34868807360069)</f>
        <v>51.34868807</v>
      </c>
      <c r="F104" s="31">
        <f>IFERROR(__xludf.DUMMYFUNCTION("""COMPUTED_VALUE"""),2.0899144435856556)</f>
        <v>2.089914444</v>
      </c>
      <c r="G104" s="31">
        <f>IFERROR(__xludf.DUMMYFUNCTION("""COMPUTED_VALUE"""),54.14887861113938)</f>
        <v>54.14887861</v>
      </c>
      <c r="H104" s="31">
        <f>IFERROR(__xludf.DUMMYFUNCTION("""COMPUTED_VALUE"""),2.303637241288752)</f>
        <v>2.303637241</v>
      </c>
      <c r="I104" s="54">
        <f>IFERROR(__xludf.DUMMYFUNCTION("""COMPUTED_VALUE"""),35.0)</f>
        <v>35</v>
      </c>
      <c r="J104" s="55">
        <f>IFERROR(__xludf.DUMMYFUNCTION("""COMPUTED_VALUE"""),12.0)</f>
        <v>12</v>
      </c>
      <c r="K104" s="54">
        <f>IFERROR(__xludf.DUMMYFUNCTION("""COMPUTED_VALUE"""),23.0)</f>
        <v>23</v>
      </c>
      <c r="L104" s="56">
        <f>IFERROR(__xludf.DUMMYFUNCTION("""COMPUTED_VALUE"""),0.34285714285714286)</f>
        <v>0.3428571429</v>
      </c>
      <c r="M104" s="56">
        <f>IFERROR(__xludf.DUMMYFUNCTION("""COMPUTED_VALUE"""),0.4444444444444445)</f>
        <v>0.4444444444</v>
      </c>
      <c r="N104" s="31">
        <f>IFERROR(__xludf.DUMMYFUNCTION("""COMPUTED_VALUE"""),362.51428571428573)</f>
        <v>362.5142857</v>
      </c>
      <c r="O104" s="57">
        <f>IFERROR(__xludf.DUMMYFUNCTION("""COMPUTED_VALUE"""),0.8)</f>
        <v>0.8</v>
      </c>
      <c r="P104" s="57">
        <f>IFERROR(__xludf.DUMMYFUNCTION("""COMPUTED_VALUE"""),0.6857142857142857)</f>
        <v>0.6857142857</v>
      </c>
      <c r="Q104" s="57">
        <f>IFERROR(__xludf.DUMMYFUNCTION("""COMPUTED_VALUE"""),1.3142857142857143)</f>
        <v>1.314285714</v>
      </c>
      <c r="R104" s="57">
        <f>IFERROR(__xludf.DUMMYFUNCTION("""COMPUTED_VALUE"""),1.8)</f>
        <v>1.8</v>
      </c>
      <c r="S104" s="31">
        <f>IFERROR(__xludf.DUMMYFUNCTION("""COMPUTED_VALUE"""),359.0952380952381)</f>
        <v>359.0952381</v>
      </c>
      <c r="T104" s="57">
        <f>IFERROR(__xludf.DUMMYFUNCTION("""COMPUTED_VALUE"""),1.0095238095238097)</f>
        <v>1.00952381</v>
      </c>
      <c r="U104" s="57">
        <f>IFERROR(__xludf.DUMMYFUNCTION("""COMPUTED_VALUE"""),0.7714285714285715)</f>
        <v>0.7714285714</v>
      </c>
      <c r="V104" s="57">
        <f>IFERROR(__xludf.DUMMYFUNCTION("""COMPUTED_VALUE"""),0.8857142857142856)</f>
        <v>0.8857142857</v>
      </c>
      <c r="W104" s="57">
        <f>IFERROR(__xludf.DUMMYFUNCTION("""COMPUTED_VALUE"""),2.8761904761904757)</f>
        <v>2.876190476</v>
      </c>
      <c r="X104" s="31">
        <f>IFERROR(__xludf.DUMMYFUNCTION("""COMPUTED_VALUE"""),337.9137669500177)</f>
        <v>337.913767</v>
      </c>
      <c r="Y104" s="57">
        <f>IFERROR(__xludf.DUMMYFUNCTION("""COMPUTED_VALUE"""),0.8285901078306166)</f>
        <v>0.8285901078</v>
      </c>
      <c r="Z104" s="57">
        <f>IFERROR(__xludf.DUMMYFUNCTION("""COMPUTED_VALUE"""),0.5709404475869451)</f>
        <v>0.5709404476</v>
      </c>
      <c r="AA104" s="57">
        <f>IFERROR(__xludf.DUMMYFUNCTION("""COMPUTED_VALUE"""),1.0944687769227155)</f>
        <v>1.094468777</v>
      </c>
      <c r="AB104" s="57">
        <f>IFERROR(__xludf.DUMMYFUNCTION("""COMPUTED_VALUE"""),2.674144622543499)</f>
        <v>2.674144623</v>
      </c>
      <c r="AC104" s="31">
        <f>IFERROR(__xludf.DUMMYFUNCTION("""COMPUTED_VALUE"""),328.9764505792231)</f>
        <v>328.9764506</v>
      </c>
      <c r="AD104" s="57">
        <f>IFERROR(__xludf.DUMMYFUNCTION("""COMPUTED_VALUE"""),0.7057303016317223)</f>
        <v>0.7057303016</v>
      </c>
      <c r="AE104" s="57">
        <f>IFERROR(__xludf.DUMMYFUNCTION("""COMPUTED_VALUE"""),0.49541568392547136)</f>
        <v>0.4954156839</v>
      </c>
      <c r="AF104" s="57">
        <f>IFERROR(__xludf.DUMMYFUNCTION("""COMPUTED_VALUE"""),1.3083649162665647)</f>
        <v>1.308364916</v>
      </c>
      <c r="AG104" s="57">
        <f>IFERROR(__xludf.DUMMYFUNCTION("""COMPUTED_VALUE"""),2.228588755411501)</f>
        <v>2.228588755</v>
      </c>
      <c r="AH104" s="57">
        <f>IFERROR(__xludf.DUMMYFUNCTION("""COMPUTED_VALUE"""),1.1019460057886001)</f>
        <v>1.101946006</v>
      </c>
      <c r="AI104" s="57">
        <f>IFERROR(__xludf.DUMMYFUNCTION("""COMPUTED_VALUE"""),1.1335775127556749)</f>
        <v>1.133577513</v>
      </c>
      <c r="AJ104" s="57">
        <f>IFERROR(__xludf.DUMMYFUNCTION("""COMPUTED_VALUE"""),1.3841190498471223)</f>
        <v>1.38411905</v>
      </c>
      <c r="AK104" s="57">
        <f>IFERROR(__xludf.DUMMYFUNCTION("""COMPUTED_VALUE"""),1.0045253414743378)</f>
        <v>1.004525341</v>
      </c>
      <c r="AL104" s="57">
        <f>IFERROR(__xludf.DUMMYFUNCTION("""COMPUTED_VALUE"""),0.8076860280431758)</f>
        <v>0.807686028</v>
      </c>
      <c r="AM104" s="57">
        <f>IFERROR(__xludf.DUMMYFUNCTION("""COMPUTED_VALUE"""),1.0626830665598581)</f>
        <v>1.062683067</v>
      </c>
      <c r="AN104" s="57">
        <f>IFERROR(__xludf.DUMMYFUNCTION("""COMPUTED_VALUE"""),1.2183633378956296)</f>
        <v>1.218363338</v>
      </c>
      <c r="AO104" s="57">
        <f>IFERROR(__xludf.DUMMYFUNCTION("""COMPUTED_VALUE"""),1.3511541784944134)</f>
        <v>1.351154178</v>
      </c>
      <c r="AP104" s="35">
        <f>IFERROR(__xludf.DUMMYFUNCTION("""COMPUTED_VALUE"""),0.809264096326824)</f>
        <v>0.8092640963</v>
      </c>
      <c r="AQ104" s="57">
        <f>IFERROR(__xludf.DUMMYFUNCTION("""COMPUTED_VALUE"""),1.0755553203606474)</f>
        <v>1.07555532</v>
      </c>
      <c r="AR104" s="36" t="b">
        <f>IFERROR(__xludf.DUMMYFUNCTION("""COMPUTED_VALUE"""),TRUE)</f>
        <v>1</v>
      </c>
      <c r="AS104" s="57"/>
      <c r="AT104" s="37"/>
      <c r="AU104" s="30"/>
      <c r="AV104" s="30"/>
      <c r="AW104" s="30"/>
      <c r="AX104" s="30"/>
      <c r="AY104" s="30"/>
      <c r="AZ104" s="30"/>
    </row>
    <row r="105">
      <c r="A105" s="30" t="str">
        <f>IFERROR(__xludf.DUMMYFUNCTION("""COMPUTED_VALUE"""),"Challenger")</f>
        <v>Challenger</v>
      </c>
      <c r="B105" s="30" t="str">
        <f>IFERROR(__xludf.DUMMYFUNCTION("""COMPUTED_VALUE"""),"RSC007197")</f>
        <v>RSC007197</v>
      </c>
      <c r="C105" s="30" t="str">
        <f>IFERROR(__xludf.DUMMYFUNCTION("""COMPUTED_VALUE"""),"xMaster P")</f>
        <v>xMaster P</v>
      </c>
      <c r="D105" s="31" t="str">
        <f>IFERROR(__xludf.DUMMYFUNCTION("""COMPUTED_VALUE"""),"Mugged")</f>
        <v>Mugged</v>
      </c>
      <c r="E105" s="31">
        <f>IFERROR(__xludf.DUMMYFUNCTION("""COMPUTED_VALUE"""),50.357680268259244)</f>
        <v>50.35768027</v>
      </c>
      <c r="F105" s="31">
        <f>IFERROR(__xludf.DUMMYFUNCTION("""COMPUTED_VALUE"""),2.0230938450737774)</f>
        <v>2.023093845</v>
      </c>
      <c r="G105" s="31">
        <f>IFERROR(__xludf.DUMMYFUNCTION("""COMPUTED_VALUE"""),44.31301795328465)</f>
        <v>44.31301795</v>
      </c>
      <c r="H105" s="31">
        <f>IFERROR(__xludf.DUMMYFUNCTION("""COMPUTED_VALUE"""),-2.4388724733091642)</f>
        <v>-2.438872473</v>
      </c>
      <c r="I105" s="54">
        <f>IFERROR(__xludf.DUMMYFUNCTION("""COMPUTED_VALUE"""),31.0)</f>
        <v>31</v>
      </c>
      <c r="J105" s="55">
        <f>IFERROR(__xludf.DUMMYFUNCTION("""COMPUTED_VALUE"""),19.0)</f>
        <v>19</v>
      </c>
      <c r="K105" s="54">
        <f>IFERROR(__xludf.DUMMYFUNCTION("""COMPUTED_VALUE"""),12.0)</f>
        <v>12</v>
      </c>
      <c r="L105" s="56">
        <f>IFERROR(__xludf.DUMMYFUNCTION("""COMPUTED_VALUE"""),0.6129032258064516)</f>
        <v>0.6129032258</v>
      </c>
      <c r="M105" s="56">
        <f>IFERROR(__xludf.DUMMYFUNCTION("""COMPUTED_VALUE"""),0.34375)</f>
        <v>0.34375</v>
      </c>
      <c r="N105" s="31">
        <f>IFERROR(__xludf.DUMMYFUNCTION("""COMPUTED_VALUE"""),337.03225806451616)</f>
        <v>337.0322581</v>
      </c>
      <c r="O105" s="57">
        <f>IFERROR(__xludf.DUMMYFUNCTION("""COMPUTED_VALUE"""),0.7096774193548387)</f>
        <v>0.7096774194</v>
      </c>
      <c r="P105" s="57">
        <f>IFERROR(__xludf.DUMMYFUNCTION("""COMPUTED_VALUE"""),0.6129032258064516)</f>
        <v>0.6129032258</v>
      </c>
      <c r="Q105" s="57">
        <f>IFERROR(__xludf.DUMMYFUNCTION("""COMPUTED_VALUE"""),1.3225806451612903)</f>
        <v>1.322580645</v>
      </c>
      <c r="R105" s="57">
        <f>IFERROR(__xludf.DUMMYFUNCTION("""COMPUTED_VALUE"""),2.064516129032258)</f>
        <v>2.064516129</v>
      </c>
      <c r="S105" s="31">
        <f>IFERROR(__xludf.DUMMYFUNCTION("""COMPUTED_VALUE"""),315.0537634408602)</f>
        <v>315.0537634</v>
      </c>
      <c r="T105" s="57">
        <f>IFERROR(__xludf.DUMMYFUNCTION("""COMPUTED_VALUE"""),0.7096774193548386)</f>
        <v>0.7096774194</v>
      </c>
      <c r="U105" s="57">
        <f>IFERROR(__xludf.DUMMYFUNCTION("""COMPUTED_VALUE"""),0.4086021505376344)</f>
        <v>0.4086021505</v>
      </c>
      <c r="V105" s="57">
        <f>IFERROR(__xludf.DUMMYFUNCTION("""COMPUTED_VALUE"""),1.1290322580645162)</f>
        <v>1.129032258</v>
      </c>
      <c r="W105" s="57">
        <f>IFERROR(__xludf.DUMMYFUNCTION("""COMPUTED_VALUE"""),2.6021505376344076)</f>
        <v>2.602150538</v>
      </c>
      <c r="X105" s="31">
        <f>IFERROR(__xludf.DUMMYFUNCTION("""COMPUTED_VALUE"""),322.53026866274274)</f>
        <v>322.5302687</v>
      </c>
      <c r="Y105" s="57">
        <f>IFERROR(__xludf.DUMMYFUNCTION("""COMPUTED_VALUE"""),0.724747601785618)</f>
        <v>0.7247476018</v>
      </c>
      <c r="Z105" s="57">
        <f>IFERROR(__xludf.DUMMYFUNCTION("""COMPUTED_VALUE"""),0.4720397364782876)</f>
        <v>0.4720397365</v>
      </c>
      <c r="AA105" s="57">
        <f>IFERROR(__xludf.DUMMYFUNCTION("""COMPUTED_VALUE"""),1.1708829792546205)</f>
        <v>1.170882979</v>
      </c>
      <c r="AB105" s="57">
        <f>IFERROR(__xludf.DUMMYFUNCTION("""COMPUTED_VALUE"""),2.4027143212055484)</f>
        <v>2.402714321</v>
      </c>
      <c r="AC105" s="31">
        <f>IFERROR(__xludf.DUMMYFUNCTION("""COMPUTED_VALUE"""),334.0772227664616)</f>
        <v>334.0772228</v>
      </c>
      <c r="AD105" s="57">
        <f>IFERROR(__xludf.DUMMYFUNCTION("""COMPUTED_VALUE"""),0.7482864436874586)</f>
        <v>0.7482864437</v>
      </c>
      <c r="AE105" s="57">
        <f>IFERROR(__xludf.DUMMYFUNCTION("""COMPUTED_VALUE"""),0.5325505385218646)</f>
        <v>0.5325505385</v>
      </c>
      <c r="AF105" s="57">
        <f>IFERROR(__xludf.DUMMYFUNCTION("""COMPUTED_VALUE"""),1.2244972352072114)</f>
        <v>1.224497235</v>
      </c>
      <c r="AG105" s="57">
        <f>IFERROR(__xludf.DUMMYFUNCTION("""COMPUTED_VALUE"""),2.40030278796109)</f>
        <v>2.400302788</v>
      </c>
      <c r="AH105" s="57">
        <f>IFERROR(__xludf.DUMMYFUNCTION("""COMPUTED_VALUE"""),1.008845365971329)</f>
        <v>1.008845366</v>
      </c>
      <c r="AI105" s="57">
        <f>IFERROR(__xludf.DUMMYFUNCTION("""COMPUTED_VALUE"""),0.9484034160202615)</f>
        <v>0.948403416</v>
      </c>
      <c r="AJ105" s="57">
        <f>IFERROR(__xludf.DUMMYFUNCTION("""COMPUTED_VALUE"""),1.1508827453402115)</f>
        <v>1.150882745</v>
      </c>
      <c r="AK105" s="57">
        <f>IFERROR(__xludf.DUMMYFUNCTION("""COMPUTED_VALUE"""),1.0801009648155564)</f>
        <v>1.080100965</v>
      </c>
      <c r="AL105" s="57">
        <f>IFERROR(__xludf.DUMMYFUNCTION("""COMPUTED_VALUE"""),0.8601065413026237)</f>
        <v>0.8601065413</v>
      </c>
      <c r="AM105" s="57">
        <f>IFERROR(__xludf.DUMMYFUNCTION("""COMPUTED_VALUE"""),0.9768192137349427)</f>
        <v>0.9768192137</v>
      </c>
      <c r="AN105" s="57">
        <f>IFERROR(__xludf.DUMMYFUNCTION("""COMPUTED_VALUE"""),0.979206302451157)</f>
        <v>0.9792063025</v>
      </c>
      <c r="AO105" s="57">
        <f>IFERROR(__xludf.DUMMYFUNCTION("""COMPUTED_VALUE"""),0.8656096488530025)</f>
        <v>0.8656096489</v>
      </c>
      <c r="AP105" s="35">
        <f>IFERROR(__xludf.DUMMYFUNCTION("""COMPUTED_VALUE"""),0.9642571273717325)</f>
        <v>0.9642571274</v>
      </c>
      <c r="AQ105" s="57">
        <f>IFERROR(__xludf.DUMMYFUNCTION("""COMPUTED_VALUE"""),1.0830045480932553)</f>
        <v>1.083004548</v>
      </c>
      <c r="AR105" s="36" t="b">
        <f>IFERROR(__xludf.DUMMYFUNCTION("""COMPUTED_VALUE"""),TRUE)</f>
        <v>1</v>
      </c>
      <c r="AS105" s="57"/>
      <c r="AT105" s="37"/>
      <c r="AU105" s="30"/>
      <c r="AV105" s="30"/>
      <c r="AW105" s="30"/>
      <c r="AX105" s="30"/>
      <c r="AY105" s="30"/>
      <c r="AZ105" s="30"/>
    </row>
    <row r="106">
      <c r="A106" s="30" t="str">
        <f>IFERROR(__xludf.DUMMYFUNCTION("""COMPUTED_VALUE"""),"Challenger")</f>
        <v>Challenger</v>
      </c>
      <c r="B106" s="30" t="str">
        <f>IFERROR(__xludf.DUMMYFUNCTION("""COMPUTED_VALUE"""),"RSC006643")</f>
        <v>RSC006643</v>
      </c>
      <c r="C106" s="30" t="str">
        <f>IFERROR(__xludf.DUMMYFUNCTION("""COMPUTED_VALUE"""),"Napkhan")</f>
        <v>Napkhan</v>
      </c>
      <c r="D106" s="31" t="str">
        <f>IFERROR(__xludf.DUMMYFUNCTION("""COMPUTED_VALUE"""),"Void")</f>
        <v>Void</v>
      </c>
      <c r="E106" s="31">
        <f>IFERROR(__xludf.DUMMYFUNCTION("""COMPUTED_VALUE"""),50.083846742174316)</f>
        <v>50.08384674</v>
      </c>
      <c r="F106" s="31">
        <f>IFERROR(__xludf.DUMMYFUNCTION("""COMPUTED_VALUE"""),2.005366351986277)</f>
        <v>2.005366352</v>
      </c>
      <c r="G106" s="31">
        <f>IFERROR(__xludf.DUMMYFUNCTION("""COMPUTED_VALUE"""),50.35672585327983)</f>
        <v>50.35672585</v>
      </c>
      <c r="H106" s="31">
        <f>IFERROR(__xludf.DUMMYFUNCTION("""COMPUTED_VALUE"""),2.0230315172948483)</f>
        <v>2.023031517</v>
      </c>
      <c r="I106" s="54">
        <f>IFERROR(__xludf.DUMMYFUNCTION("""COMPUTED_VALUE"""),36.0)</f>
        <v>36</v>
      </c>
      <c r="J106" s="55">
        <f>IFERROR(__xludf.DUMMYFUNCTION("""COMPUTED_VALUE"""),24.0)</f>
        <v>24</v>
      </c>
      <c r="K106" s="54">
        <f>IFERROR(__xludf.DUMMYFUNCTION("""COMPUTED_VALUE"""),12.0)</f>
        <v>12</v>
      </c>
      <c r="L106" s="56">
        <f>IFERROR(__xludf.DUMMYFUNCTION("""COMPUTED_VALUE"""),0.6666666666666666)</f>
        <v>0.6666666667</v>
      </c>
      <c r="M106" s="56">
        <f>IFERROR(__xludf.DUMMYFUNCTION("""COMPUTED_VALUE"""),0.3333333333333333)</f>
        <v>0.3333333333</v>
      </c>
      <c r="N106" s="31">
        <f>IFERROR(__xludf.DUMMYFUNCTION("""COMPUTED_VALUE"""),323.22222222222223)</f>
        <v>323.2222222</v>
      </c>
      <c r="O106" s="57">
        <f>IFERROR(__xludf.DUMMYFUNCTION("""COMPUTED_VALUE"""),0.8611111111111112)</f>
        <v>0.8611111111</v>
      </c>
      <c r="P106" s="57">
        <f>IFERROR(__xludf.DUMMYFUNCTION("""COMPUTED_VALUE"""),0.2777777777777778)</f>
        <v>0.2777777778</v>
      </c>
      <c r="Q106" s="57">
        <f>IFERROR(__xludf.DUMMYFUNCTION("""COMPUTED_VALUE"""),1.2222222222222223)</f>
        <v>1.222222222</v>
      </c>
      <c r="R106" s="57">
        <f>IFERROR(__xludf.DUMMYFUNCTION("""COMPUTED_VALUE"""),2.5833333333333335)</f>
        <v>2.583333333</v>
      </c>
      <c r="S106" s="31">
        <f>IFERROR(__xludf.DUMMYFUNCTION("""COMPUTED_VALUE"""),314.43518518518505)</f>
        <v>314.4351852</v>
      </c>
      <c r="T106" s="57">
        <f>IFERROR(__xludf.DUMMYFUNCTION("""COMPUTED_VALUE"""),0.6296296296296295)</f>
        <v>0.6296296296</v>
      </c>
      <c r="U106" s="57">
        <f>IFERROR(__xludf.DUMMYFUNCTION("""COMPUTED_VALUE"""),0.45370370370370366)</f>
        <v>0.4537037037</v>
      </c>
      <c r="V106" s="57">
        <f>IFERROR(__xludf.DUMMYFUNCTION("""COMPUTED_VALUE"""),1.1296296296296298)</f>
        <v>1.12962963</v>
      </c>
      <c r="W106" s="57">
        <f>IFERROR(__xludf.DUMMYFUNCTION("""COMPUTED_VALUE"""),2.148148148148148)</f>
        <v>2.148148148</v>
      </c>
      <c r="X106" s="31">
        <f>IFERROR(__xludf.DUMMYFUNCTION("""COMPUTED_VALUE"""),332.07572617432675)</f>
        <v>332.0757262</v>
      </c>
      <c r="Y106" s="57">
        <f>IFERROR(__xludf.DUMMYFUNCTION("""COMPUTED_VALUE"""),0.7988504842524182)</f>
        <v>0.7988504843</v>
      </c>
      <c r="Z106" s="57">
        <f>IFERROR(__xludf.DUMMYFUNCTION("""COMPUTED_VALUE"""),0.5160258608086107)</f>
        <v>0.5160258608</v>
      </c>
      <c r="AA106" s="57">
        <f>IFERROR(__xludf.DUMMYFUNCTION("""COMPUTED_VALUE"""),1.1976392066948265)</f>
        <v>1.197639207</v>
      </c>
      <c r="AB106" s="57">
        <f>IFERROR(__xludf.DUMMYFUNCTION("""COMPUTED_VALUE"""),2.3643704430832138)</f>
        <v>2.364370443</v>
      </c>
      <c r="AC106" s="31">
        <f>IFERROR(__xludf.DUMMYFUNCTION("""COMPUTED_VALUE"""),332.14237991948704)</f>
        <v>332.1423799</v>
      </c>
      <c r="AD106" s="57">
        <f>IFERROR(__xludf.DUMMYFUNCTION("""COMPUTED_VALUE"""),0.7846304463507026)</f>
        <v>0.7846304464</v>
      </c>
      <c r="AE106" s="57">
        <f>IFERROR(__xludf.DUMMYFUNCTION("""COMPUTED_VALUE"""),0.5230243852729618)</f>
        <v>0.5230243853</v>
      </c>
      <c r="AF106" s="57">
        <f>IFERROR(__xludf.DUMMYFUNCTION("""COMPUTED_VALUE"""),1.1835554321391006)</f>
        <v>1.183555432</v>
      </c>
      <c r="AG106" s="57">
        <f>IFERROR(__xludf.DUMMYFUNCTION("""COMPUTED_VALUE"""),2.428558704371798)</f>
        <v>2.428558704</v>
      </c>
      <c r="AH106" s="57">
        <f>IFERROR(__xludf.DUMMYFUNCTION("""COMPUTED_VALUE"""),0.9731435726466852)</f>
        <v>0.9731435726</v>
      </c>
      <c r="AI106" s="57">
        <f>IFERROR(__xludf.DUMMYFUNCTION("""COMPUTED_VALUE"""),1.0974734859144433)</f>
        <v>1.097473486</v>
      </c>
      <c r="AJ106" s="57">
        <f>IFERROR(__xludf.DUMMYFUNCTION("""COMPUTED_VALUE"""),0.5310990951842676)</f>
        <v>0.5310990952</v>
      </c>
      <c r="AK106" s="57">
        <f>IFERROR(__xludf.DUMMYFUNCTION("""COMPUTED_VALUE"""),1.0326700288242834)</f>
        <v>1.032670029</v>
      </c>
      <c r="AL106" s="57">
        <f>IFERROR(__xludf.DUMMYFUNCTION("""COMPUTED_VALUE"""),1.0637310634834218)</f>
        <v>1.063731063</v>
      </c>
      <c r="AM106" s="57">
        <f>IFERROR(__xludf.DUMMYFUNCTION("""COMPUTED_VALUE"""),0.9468779570480225)</f>
        <v>0.946877957</v>
      </c>
      <c r="AN106" s="57">
        <f>IFERROR(__xludf.DUMMYFUNCTION("""COMPUTED_VALUE"""),0.7881695536791853)</f>
        <v>0.7881695537</v>
      </c>
      <c r="AO106" s="57">
        <f>IFERROR(__xludf.DUMMYFUNCTION("""COMPUTED_VALUE"""),0.8792266786644212)</f>
        <v>0.8792266787</v>
      </c>
      <c r="AP106" s="35">
        <f>IFERROR(__xludf.DUMMYFUNCTION("""COMPUTED_VALUE"""),0.9432136350538444)</f>
        <v>0.9432136351</v>
      </c>
      <c r="AQ106" s="57">
        <f>IFERROR(__xludf.DUMMYFUNCTION("""COMPUTED_VALUE"""),0.9085497386555446)</f>
        <v>0.9085497387</v>
      </c>
      <c r="AR106" s="36" t="b">
        <f>IFERROR(__xludf.DUMMYFUNCTION("""COMPUTED_VALUE"""),TRUE)</f>
        <v>1</v>
      </c>
      <c r="AS106" s="57"/>
      <c r="AT106" s="37"/>
      <c r="AU106" s="30"/>
      <c r="AV106" s="30"/>
      <c r="AW106" s="30"/>
      <c r="AX106" s="30"/>
      <c r="AY106" s="30"/>
      <c r="AZ106" s="30"/>
    </row>
    <row r="107">
      <c r="A107" s="30" t="str">
        <f>IFERROR(__xludf.DUMMYFUNCTION("""COMPUTED_VALUE"""),"Challenger")</f>
        <v>Challenger</v>
      </c>
      <c r="B107" s="30" t="str">
        <f>IFERROR(__xludf.DUMMYFUNCTION("""COMPUTED_VALUE"""),"RSC007939")</f>
        <v>RSC007939</v>
      </c>
      <c r="C107" s="30" t="str">
        <f>IFERROR(__xludf.DUMMYFUNCTION("""COMPUTED_VALUE"""),"bryan_rown_")</f>
        <v>bryan_rown_</v>
      </c>
      <c r="D107" s="31" t="str">
        <f>IFERROR(__xludf.DUMMYFUNCTION("""COMPUTED_VALUE"""),"Metal")</f>
        <v>Metal</v>
      </c>
      <c r="E107" s="31">
        <f>IFERROR(__xludf.DUMMYFUNCTION("""COMPUTED_VALUE"""),48.325108596152404)</f>
        <v>48.3251086</v>
      </c>
      <c r="F107" s="31">
        <f>IFERROR(__xludf.DUMMYFUNCTION("""COMPUTED_VALUE"""),-2.1128579674878982)</f>
        <v>-2.112857967</v>
      </c>
      <c r="G107" s="31">
        <f>IFERROR(__xludf.DUMMYFUNCTION("""COMPUTED_VALUE"""),47.4267567750079)</f>
        <v>47.42675678</v>
      </c>
      <c r="H107" s="31">
        <f>IFERROR(__xludf.DUMMYFUNCTION("""COMPUTED_VALUE"""),-2.1786047572070824)</f>
        <v>-2.178604757</v>
      </c>
      <c r="I107" s="54">
        <f>IFERROR(__xludf.DUMMYFUNCTION("""COMPUTED_VALUE"""),25.0)</f>
        <v>25</v>
      </c>
      <c r="J107" s="55">
        <f>IFERROR(__xludf.DUMMYFUNCTION("""COMPUTED_VALUE"""),12.0)</f>
        <v>12</v>
      </c>
      <c r="K107" s="54">
        <f>IFERROR(__xludf.DUMMYFUNCTION("""COMPUTED_VALUE"""),13.0)</f>
        <v>13</v>
      </c>
      <c r="L107" s="56">
        <f>IFERROR(__xludf.DUMMYFUNCTION("""COMPUTED_VALUE"""),0.48)</f>
        <v>0.48</v>
      </c>
      <c r="M107" s="56">
        <f>IFERROR(__xludf.DUMMYFUNCTION("""COMPUTED_VALUE"""),0.44)</f>
        <v>0.44</v>
      </c>
      <c r="N107" s="31">
        <f>IFERROR(__xludf.DUMMYFUNCTION("""COMPUTED_VALUE"""),331.2)</f>
        <v>331.2</v>
      </c>
      <c r="O107" s="57">
        <f>IFERROR(__xludf.DUMMYFUNCTION("""COMPUTED_VALUE"""),0.88)</f>
        <v>0.88</v>
      </c>
      <c r="P107" s="57">
        <f>IFERROR(__xludf.DUMMYFUNCTION("""COMPUTED_VALUE"""),0.6)</f>
        <v>0.6</v>
      </c>
      <c r="Q107" s="57">
        <f>IFERROR(__xludf.DUMMYFUNCTION("""COMPUTED_VALUE"""),1.12)</f>
        <v>1.12</v>
      </c>
      <c r="R107" s="57">
        <f>IFERROR(__xludf.DUMMYFUNCTION("""COMPUTED_VALUE"""),2.0)</f>
        <v>2</v>
      </c>
      <c r="S107" s="31">
        <f>IFERROR(__xludf.DUMMYFUNCTION("""COMPUTED_VALUE"""),322.5866666666667)</f>
        <v>322.5866667</v>
      </c>
      <c r="T107" s="57">
        <f>IFERROR(__xludf.DUMMYFUNCTION("""COMPUTED_VALUE"""),0.7866666666666667)</f>
        <v>0.7866666667</v>
      </c>
      <c r="U107" s="57">
        <f>IFERROR(__xludf.DUMMYFUNCTION("""COMPUTED_VALUE"""),0.4933333333333333)</f>
        <v>0.4933333333</v>
      </c>
      <c r="V107" s="57">
        <f>IFERROR(__xludf.DUMMYFUNCTION("""COMPUTED_VALUE"""),1.04)</f>
        <v>1.04</v>
      </c>
      <c r="W107" s="57">
        <f>IFERROR(__xludf.DUMMYFUNCTION("""COMPUTED_VALUE"""),2.4000000000000004)</f>
        <v>2.4</v>
      </c>
      <c r="X107" s="31">
        <f>IFERROR(__xludf.DUMMYFUNCTION("""COMPUTED_VALUE"""),325.85967483443324)</f>
        <v>325.8596748</v>
      </c>
      <c r="Y107" s="57">
        <f>IFERROR(__xludf.DUMMYFUNCTION("""COMPUTED_VALUE"""),0.7236113614557148)</f>
        <v>0.7236113615</v>
      </c>
      <c r="Z107" s="57">
        <f>IFERROR(__xludf.DUMMYFUNCTION("""COMPUTED_VALUE"""),0.4988205122782103)</f>
        <v>0.4988205123</v>
      </c>
      <c r="AA107" s="57">
        <f>IFERROR(__xludf.DUMMYFUNCTION("""COMPUTED_VALUE"""),1.2415519367168584)</f>
        <v>1.241551937</v>
      </c>
      <c r="AB107" s="57">
        <f>IFERROR(__xludf.DUMMYFUNCTION("""COMPUTED_VALUE"""),2.2957057587007204)</f>
        <v>2.295705759</v>
      </c>
      <c r="AC107" s="31">
        <f>IFERROR(__xludf.DUMMYFUNCTION("""COMPUTED_VALUE"""),346.44341766676416)</f>
        <v>346.4434177</v>
      </c>
      <c r="AD107" s="57">
        <f>IFERROR(__xludf.DUMMYFUNCTION("""COMPUTED_VALUE"""),0.8466167747278134)</f>
        <v>0.8466167747</v>
      </c>
      <c r="AE107" s="57">
        <f>IFERROR(__xludf.DUMMYFUNCTION("""COMPUTED_VALUE"""),0.6079816374658626)</f>
        <v>0.6079816375</v>
      </c>
      <c r="AF107" s="57">
        <f>IFERROR(__xludf.DUMMYFUNCTION("""COMPUTED_VALUE"""),1.1668701817156966)</f>
        <v>1.166870182</v>
      </c>
      <c r="AG107" s="57">
        <f>IFERROR(__xludf.DUMMYFUNCTION("""COMPUTED_VALUE"""),2.5685094382628453)</f>
        <v>2.568509438</v>
      </c>
      <c r="AH107" s="57">
        <f>IFERROR(__xludf.DUMMYFUNCTION("""COMPUTED_VALUE"""),0.9560002676066819)</f>
        <v>0.9560002676</v>
      </c>
      <c r="AI107" s="57">
        <f>IFERROR(__xludf.DUMMYFUNCTION("""COMPUTED_VALUE"""),1.0394313298161606)</f>
        <v>1.03943133</v>
      </c>
      <c r="AJ107" s="57">
        <f>IFERROR(__xludf.DUMMYFUNCTION("""COMPUTED_VALUE"""),0.9868719103110892)</f>
        <v>0.9868719103</v>
      </c>
      <c r="AK107" s="57">
        <f>IFERROR(__xludf.DUMMYFUNCTION("""COMPUTED_VALUE"""),0.9598325653957656)</f>
        <v>0.9598325654</v>
      </c>
      <c r="AL107" s="57">
        <f>IFERROR(__xludf.DUMMYFUNCTION("""COMPUTED_VALUE"""),0.7786617289413801)</f>
        <v>0.7786617289</v>
      </c>
      <c r="AM107" s="57">
        <f>IFERROR(__xludf.DUMMYFUNCTION("""COMPUTED_VALUE"""),0.9899557741551497)</f>
        <v>0.9899557742</v>
      </c>
      <c r="AN107" s="57">
        <f>IFERROR(__xludf.DUMMYFUNCTION("""COMPUTED_VALUE"""),1.0871397390501185)</f>
        <v>1.087139739</v>
      </c>
      <c r="AO107" s="57">
        <f>IFERROR(__xludf.DUMMYFUNCTION("""COMPUTED_VALUE"""),0.9889996926553482)</f>
        <v>0.9889996927</v>
      </c>
      <c r="AP107" s="35">
        <f>IFERROR(__xludf.DUMMYFUNCTION("""COMPUTED_VALUE"""),0.8376612924870148)</f>
        <v>0.8376612925</v>
      </c>
      <c r="AQ107" s="57">
        <f>IFERROR(__xludf.DUMMYFUNCTION("""COMPUTED_VALUE"""),1.0454301431723143)</f>
        <v>1.045430143</v>
      </c>
      <c r="AR107" s="36" t="b">
        <f>IFERROR(__xludf.DUMMYFUNCTION("""COMPUTED_VALUE"""),TRUE)</f>
        <v>1</v>
      </c>
      <c r="AS107" s="57"/>
      <c r="AT107" s="37"/>
      <c r="AU107" s="30"/>
      <c r="AV107" s="30"/>
      <c r="AW107" s="30"/>
      <c r="AX107" s="30"/>
      <c r="AY107" s="30"/>
      <c r="AZ107" s="30"/>
    </row>
    <row r="108">
      <c r="A108" s="30" t="str">
        <f>IFERROR(__xludf.DUMMYFUNCTION("""COMPUTED_VALUE"""),"Challenger")</f>
        <v>Challenger</v>
      </c>
      <c r="B108" s="30" t="str">
        <f>IFERROR(__xludf.DUMMYFUNCTION("""COMPUTED_VALUE"""),"RSC003978")</f>
        <v>RSC003978</v>
      </c>
      <c r="C108" s="30" t="str">
        <f>IFERROR(__xludf.DUMMYFUNCTION("""COMPUTED_VALUE"""),"thenio")</f>
        <v>thenio</v>
      </c>
      <c r="D108" s="31" t="str">
        <f>IFERROR(__xludf.DUMMYFUNCTION("""COMPUTED_VALUE"""),"Quarter")</f>
        <v>Quarter</v>
      </c>
      <c r="E108" s="31">
        <f>IFERROR(__xludf.DUMMYFUNCTION("""COMPUTED_VALUE"""),47.98416598599811)</f>
        <v>47.98416599</v>
      </c>
      <c r="F108" s="31">
        <f>IFERROR(__xludf.DUMMYFUNCTION("""COMPUTED_VALUE"""),-2.1373606116096835)</f>
        <v>-2.137360612</v>
      </c>
      <c r="G108" s="31">
        <f>IFERROR(__xludf.DUMMYFUNCTION("""COMPUTED_VALUE"""),45.81360063833557)</f>
        <v>45.81360064</v>
      </c>
      <c r="H108" s="31">
        <f>IFERROR(__xludf.DUMMYFUNCTION("""COMPUTED_VALUE"""),-2.3067750479968185)</f>
        <v>-2.306775048</v>
      </c>
      <c r="I108" s="54">
        <f>IFERROR(__xludf.DUMMYFUNCTION("""COMPUTED_VALUE"""),24.0)</f>
        <v>24</v>
      </c>
      <c r="J108" s="55">
        <f>IFERROR(__xludf.DUMMYFUNCTION("""COMPUTED_VALUE"""),6.0)</f>
        <v>6</v>
      </c>
      <c r="K108" s="54">
        <f>IFERROR(__xludf.DUMMYFUNCTION("""COMPUTED_VALUE"""),18.0)</f>
        <v>18</v>
      </c>
      <c r="L108" s="56">
        <f>IFERROR(__xludf.DUMMYFUNCTION("""COMPUTED_VALUE"""),0.25)</f>
        <v>0.25</v>
      </c>
      <c r="M108" s="56">
        <f>IFERROR(__xludf.DUMMYFUNCTION("""COMPUTED_VALUE"""),0.4107142857142857)</f>
        <v>0.4107142857</v>
      </c>
      <c r="N108" s="31">
        <f>IFERROR(__xludf.DUMMYFUNCTION("""COMPUTED_VALUE"""),336.5)</f>
        <v>336.5</v>
      </c>
      <c r="O108" s="57">
        <f>IFERROR(__xludf.DUMMYFUNCTION("""COMPUTED_VALUE"""),0.9583333333333334)</f>
        <v>0.9583333333</v>
      </c>
      <c r="P108" s="57">
        <f>IFERROR(__xludf.DUMMYFUNCTION("""COMPUTED_VALUE"""),0.3333333333333333)</f>
        <v>0.3333333333</v>
      </c>
      <c r="Q108" s="57">
        <f>IFERROR(__xludf.DUMMYFUNCTION("""COMPUTED_VALUE"""),1.1666666666666667)</f>
        <v>1.166666667</v>
      </c>
      <c r="R108" s="57">
        <f>IFERROR(__xludf.DUMMYFUNCTION("""COMPUTED_VALUE"""),2.3333333333333335)</f>
        <v>2.333333333</v>
      </c>
      <c r="S108" s="31">
        <f>IFERROR(__xludf.DUMMYFUNCTION("""COMPUTED_VALUE"""),374.2222222222222)</f>
        <v>374.2222222</v>
      </c>
      <c r="T108" s="57">
        <f>IFERROR(__xludf.DUMMYFUNCTION("""COMPUTED_VALUE"""),1.0555555555555556)</f>
        <v>1.055555556</v>
      </c>
      <c r="U108" s="57">
        <f>IFERROR(__xludf.DUMMYFUNCTION("""COMPUTED_VALUE"""),0.7499999999999997)</f>
        <v>0.75</v>
      </c>
      <c r="V108" s="57">
        <f>IFERROR(__xludf.DUMMYFUNCTION("""COMPUTED_VALUE"""),0.9027777777777777)</f>
        <v>0.9027777778</v>
      </c>
      <c r="W108" s="57">
        <f>IFERROR(__xludf.DUMMYFUNCTION("""COMPUTED_VALUE"""),2.986111111111111)</f>
        <v>2.986111111</v>
      </c>
      <c r="X108" s="31">
        <f>IFERROR(__xludf.DUMMYFUNCTION("""COMPUTED_VALUE"""),344.39726969487816)</f>
        <v>344.3972697</v>
      </c>
      <c r="Y108" s="57">
        <f>IFERROR(__xludf.DUMMYFUNCTION("""COMPUTED_VALUE"""),0.8401501200704021)</f>
        <v>0.8401501201</v>
      </c>
      <c r="Z108" s="57">
        <f>IFERROR(__xludf.DUMMYFUNCTION("""COMPUTED_VALUE"""),0.6131683581015196)</f>
        <v>0.6131683581</v>
      </c>
      <c r="AA108" s="57">
        <f>IFERROR(__xludf.DUMMYFUNCTION("""COMPUTED_VALUE"""),1.1274054131159368)</f>
        <v>1.127405413</v>
      </c>
      <c r="AB108" s="57">
        <f>IFERROR(__xludf.DUMMYFUNCTION("""COMPUTED_VALUE"""),2.6286962869794794)</f>
        <v>2.628696287</v>
      </c>
      <c r="AC108" s="31">
        <f>IFERROR(__xludf.DUMMYFUNCTION("""COMPUTED_VALUE"""),324.01355766707184)</f>
        <v>324.0135577</v>
      </c>
      <c r="AD108" s="57">
        <f>IFERROR(__xludf.DUMMYFUNCTION("""COMPUTED_VALUE"""),0.6982278839860364)</f>
        <v>0.698227884</v>
      </c>
      <c r="AE108" s="57">
        <f>IFERROR(__xludf.DUMMYFUNCTION("""COMPUTED_VALUE"""),0.4702840954102489)</f>
        <v>0.4702840954</v>
      </c>
      <c r="AF108" s="57">
        <f>IFERROR(__xludf.DUMMYFUNCTION("""COMPUTED_VALUE"""),1.2485693205028412)</f>
        <v>1.248569321</v>
      </c>
      <c r="AG108" s="57">
        <f>IFERROR(__xludf.DUMMYFUNCTION("""COMPUTED_VALUE"""),2.2221209105669484)</f>
        <v>2.222120911</v>
      </c>
      <c r="AH108" s="57">
        <f>IFERROR(__xludf.DUMMYFUNCTION("""COMPUTED_VALUE"""),1.0385367897035906)</f>
        <v>1.03853679</v>
      </c>
      <c r="AI108" s="57">
        <f>IFERROR(__xludf.DUMMYFUNCTION("""COMPUTED_VALUE"""),1.3725222886579802)</f>
        <v>1.372522289</v>
      </c>
      <c r="AJ108" s="57">
        <f>IFERROR(__xludf.DUMMYFUNCTION("""COMPUTED_VALUE"""),0.7087914232833079)</f>
        <v>0.7087914233</v>
      </c>
      <c r="AK108" s="57">
        <f>IFERROR(__xludf.DUMMYFUNCTION("""COMPUTED_VALUE"""),0.9344027980735667)</f>
        <v>0.9344027981</v>
      </c>
      <c r="AL108" s="57">
        <f>IFERROR(__xludf.DUMMYFUNCTION("""COMPUTED_VALUE"""),1.0500478719396105)</f>
        <v>1.050047872</v>
      </c>
      <c r="AM108" s="57">
        <f>IFERROR(__xludf.DUMMYFUNCTION("""COMPUTED_VALUE"""),1.0866004325579226)</f>
        <v>1.086600433</v>
      </c>
      <c r="AN108" s="57">
        <f>IFERROR(__xludf.DUMMYFUNCTION("""COMPUTED_VALUE"""),1.256389221806102)</f>
        <v>1.256389222</v>
      </c>
      <c r="AO108" s="57">
        <f>IFERROR(__xludf.DUMMYFUNCTION("""COMPUTED_VALUE"""),1.223155092872267)</f>
        <v>1.223155093</v>
      </c>
      <c r="AP108" s="35">
        <f>IFERROR(__xludf.DUMMYFUNCTION("""COMPUTED_VALUE"""),0.8007570012305241)</f>
        <v>0.8007570012</v>
      </c>
      <c r="AQ108" s="57">
        <f>IFERROR(__xludf.DUMMYFUNCTION("""COMPUTED_VALUE"""),1.1359665724420076)</f>
        <v>1.135966572</v>
      </c>
      <c r="AR108" s="36" t="b">
        <f>IFERROR(__xludf.DUMMYFUNCTION("""COMPUTED_VALUE"""),TRUE)</f>
        <v>1</v>
      </c>
      <c r="AS108" s="57"/>
      <c r="AT108" s="37"/>
      <c r="AU108" s="30"/>
      <c r="AV108" s="30"/>
      <c r="AW108" s="30"/>
      <c r="AX108" s="30"/>
      <c r="AY108" s="30"/>
      <c r="AZ108" s="30"/>
    </row>
    <row r="109">
      <c r="A109" s="30" t="str">
        <f>IFERROR(__xludf.DUMMYFUNCTION("""COMPUTED_VALUE"""),"Challenger")</f>
        <v>Challenger</v>
      </c>
      <c r="B109" s="30" t="str">
        <f>IFERROR(__xludf.DUMMYFUNCTION("""COMPUTED_VALUE"""),"RSC006908")</f>
        <v>RSC006908</v>
      </c>
      <c r="C109" s="30" t="str">
        <f>IFERROR(__xludf.DUMMYFUNCTION("""COMPUTED_VALUE"""),"OvrSizedFrog")</f>
        <v>OvrSizedFrog</v>
      </c>
      <c r="D109" s="31" t="str">
        <f>IFERROR(__xludf.DUMMYFUNCTION("""COMPUTED_VALUE"""),"Toucans")</f>
        <v>Toucans</v>
      </c>
      <c r="E109" s="31">
        <f>IFERROR(__xludf.DUMMYFUNCTION("""COMPUTED_VALUE"""),47.65398951990593)</f>
        <v>47.65398952</v>
      </c>
      <c r="F109" s="31">
        <f>IFERROR(__xludf.DUMMYFUNCTION("""COMPUTED_VALUE"""),-2.16161083817433)</f>
        <v>-2.161610838</v>
      </c>
      <c r="G109" s="31">
        <f>IFERROR(__xludf.DUMMYFUNCTION("""COMPUTED_VALUE"""),40.00432429877597)</f>
        <v>40.0043243</v>
      </c>
      <c r="H109" s="31">
        <f>IFERROR(__xludf.DUMMYFUNCTION("""COMPUTED_VALUE"""),-2.901561948826336)</f>
        <v>-2.901561949</v>
      </c>
      <c r="I109" s="54">
        <f>IFERROR(__xludf.DUMMYFUNCTION("""COMPUTED_VALUE"""),21.0)</f>
        <v>21</v>
      </c>
      <c r="J109" s="55">
        <f>IFERROR(__xludf.DUMMYFUNCTION("""COMPUTED_VALUE"""),12.0)</f>
        <v>12</v>
      </c>
      <c r="K109" s="54">
        <f>IFERROR(__xludf.DUMMYFUNCTION("""COMPUTED_VALUE"""),9.0)</f>
        <v>9</v>
      </c>
      <c r="L109" s="56">
        <f>IFERROR(__xludf.DUMMYFUNCTION("""COMPUTED_VALUE"""),0.5714285714285714)</f>
        <v>0.5714285714</v>
      </c>
      <c r="M109" s="56">
        <f>IFERROR(__xludf.DUMMYFUNCTION("""COMPUTED_VALUE"""),0.4347826086956521)</f>
        <v>0.4347826087</v>
      </c>
      <c r="N109" s="31">
        <f>IFERROR(__xludf.DUMMYFUNCTION("""COMPUTED_VALUE"""),305.4761904761905)</f>
        <v>305.4761905</v>
      </c>
      <c r="O109" s="57">
        <f>IFERROR(__xludf.DUMMYFUNCTION("""COMPUTED_VALUE"""),0.9523809523809523)</f>
        <v>0.9523809524</v>
      </c>
      <c r="P109" s="57">
        <f>IFERROR(__xludf.DUMMYFUNCTION("""COMPUTED_VALUE"""),0.2857142857142857)</f>
        <v>0.2857142857</v>
      </c>
      <c r="Q109" s="57">
        <f>IFERROR(__xludf.DUMMYFUNCTION("""COMPUTED_VALUE"""),1.0)</f>
        <v>1</v>
      </c>
      <c r="R109" s="57">
        <f>IFERROR(__xludf.DUMMYFUNCTION("""COMPUTED_VALUE"""),2.1904761904761907)</f>
        <v>2.19047619</v>
      </c>
      <c r="S109" s="31">
        <f>IFERROR(__xludf.DUMMYFUNCTION("""COMPUTED_VALUE"""),322.9206349206349)</f>
        <v>322.9206349</v>
      </c>
      <c r="T109" s="57">
        <f>IFERROR(__xludf.DUMMYFUNCTION("""COMPUTED_VALUE"""),0.73015873015873)</f>
        <v>0.7301587302</v>
      </c>
      <c r="U109" s="57">
        <f>IFERROR(__xludf.DUMMYFUNCTION("""COMPUTED_VALUE"""),0.5238095238095238)</f>
        <v>0.5238095238</v>
      </c>
      <c r="V109" s="57">
        <f>IFERROR(__xludf.DUMMYFUNCTION("""COMPUTED_VALUE"""),1.1904761904761902)</f>
        <v>1.19047619</v>
      </c>
      <c r="W109" s="57">
        <f>IFERROR(__xludf.DUMMYFUNCTION("""COMPUTED_VALUE"""),2.3333333333333335)</f>
        <v>2.333333333</v>
      </c>
      <c r="X109" s="31">
        <f>IFERROR(__xludf.DUMMYFUNCTION("""COMPUTED_VALUE"""),330.1844049872668)</f>
        <v>330.184405</v>
      </c>
      <c r="Y109" s="57">
        <f>IFERROR(__xludf.DUMMYFUNCTION("""COMPUTED_VALUE"""),0.747338102819572)</f>
        <v>0.7473381028</v>
      </c>
      <c r="Z109" s="57">
        <f>IFERROR(__xludf.DUMMYFUNCTION("""COMPUTED_VALUE"""),0.5135262757873066)</f>
        <v>0.5135262758</v>
      </c>
      <c r="AA109" s="57">
        <f>IFERROR(__xludf.DUMMYFUNCTION("""COMPUTED_VALUE"""),1.14525285911384)</f>
        <v>1.145252859</v>
      </c>
      <c r="AB109" s="57">
        <f>IFERROR(__xludf.DUMMYFUNCTION("""COMPUTED_VALUE"""),2.4882979270435452)</f>
        <v>2.488297927</v>
      </c>
      <c r="AC109" s="31">
        <f>IFERROR(__xludf.DUMMYFUNCTION("""COMPUTED_VALUE"""),320.51901614082084)</f>
        <v>320.5190161</v>
      </c>
      <c r="AD109" s="57">
        <f>IFERROR(__xludf.DUMMYFUNCTION("""COMPUTED_VALUE"""),0.6852053848117041)</f>
        <v>0.6852053848</v>
      </c>
      <c r="AE109" s="57">
        <f>IFERROR(__xludf.DUMMYFUNCTION("""COMPUTED_VALUE"""),0.4764438717279865)</f>
        <v>0.4764438717</v>
      </c>
      <c r="AF109" s="57">
        <f>IFERROR(__xludf.DUMMYFUNCTION("""COMPUTED_VALUE"""),1.1943034893011468)</f>
        <v>1.194303489</v>
      </c>
      <c r="AG109" s="57">
        <f>IFERROR(__xludf.DUMMYFUNCTION("""COMPUTED_VALUE"""),2.255892699342204)</f>
        <v>2.255892699</v>
      </c>
      <c r="AH109" s="57">
        <f>IFERROR(__xludf.DUMMYFUNCTION("""COMPUTED_VALUE"""),0.9530672911524811)</f>
        <v>0.9530672912</v>
      </c>
      <c r="AI109" s="57">
        <f>IFERROR(__xludf.DUMMYFUNCTION("""COMPUTED_VALUE"""),1.3899204143625763)</f>
        <v>1.389920414</v>
      </c>
      <c r="AJ109" s="57">
        <f>IFERROR(__xludf.DUMMYFUNCTION("""COMPUTED_VALUE"""),0.5996808914301809)</f>
        <v>0.5996808914</v>
      </c>
      <c r="AK109" s="57">
        <f>IFERROR(__xludf.DUMMYFUNCTION("""COMPUTED_VALUE"""),0.8373081121827379)</f>
        <v>0.8373081122</v>
      </c>
      <c r="AL109" s="57">
        <f>IFERROR(__xludf.DUMMYFUNCTION("""COMPUTED_VALUE"""),0.9710019413223474)</f>
        <v>0.9710019413</v>
      </c>
      <c r="AM109" s="57">
        <f>IFERROR(__xludf.DUMMYFUNCTION("""COMPUTED_VALUE"""),0.9780008687360263)</f>
        <v>0.9780008687</v>
      </c>
      <c r="AN109" s="57">
        <f>IFERROR(__xludf.DUMMYFUNCTION("""COMPUTED_VALUE"""),0.9770125829313033)</f>
        <v>0.9770125829</v>
      </c>
      <c r="AO109" s="57">
        <f>IFERROR(__xludf.DUMMYFUNCTION("""COMPUTED_VALUE"""),1.0200247747916142)</f>
        <v>1.020024775</v>
      </c>
      <c r="AP109" s="35">
        <f>IFERROR(__xludf.DUMMYFUNCTION("""COMPUTED_VALUE"""),1.0394876389108887)</f>
        <v>1.039487639</v>
      </c>
      <c r="AQ109" s="57">
        <f>IFERROR(__xludf.DUMMYFUNCTION("""COMPUTED_VALUE"""),0.9377226528921592)</f>
        <v>0.9377226529</v>
      </c>
      <c r="AR109" s="36" t="b">
        <f>IFERROR(__xludf.DUMMYFUNCTION("""COMPUTED_VALUE"""),TRUE)</f>
        <v>1</v>
      </c>
      <c r="AS109" s="57"/>
      <c r="AT109" s="37"/>
      <c r="AU109" s="30"/>
      <c r="AV109" s="30"/>
      <c r="AW109" s="30"/>
      <c r="AX109" s="30"/>
      <c r="AY109" s="30"/>
      <c r="AZ109" s="30"/>
    </row>
    <row r="110">
      <c r="A110" s="30" t="str">
        <f>IFERROR(__xludf.DUMMYFUNCTION("""COMPUTED_VALUE"""),"Challenger")</f>
        <v>Challenger</v>
      </c>
      <c r="B110" s="30" t="str">
        <f>IFERROR(__xludf.DUMMYFUNCTION("""COMPUTED_VALUE"""),"RSC007848")</f>
        <v>RSC007848</v>
      </c>
      <c r="C110" s="30" t="str">
        <f>IFERROR(__xludf.DUMMYFUNCTION("""COMPUTED_VALUE"""),"Ninji &lt;3")</f>
        <v>Ninji &lt;3</v>
      </c>
      <c r="D110" s="31" t="str">
        <f>IFERROR(__xludf.DUMMYFUNCTION("""COMPUTED_VALUE"""),"Squalls")</f>
        <v>Squalls</v>
      </c>
      <c r="E110" s="31">
        <f>IFERROR(__xludf.DUMMYFUNCTION("""COMPUTED_VALUE"""),47.03155443955198)</f>
        <v>47.03155444</v>
      </c>
      <c r="F110" s="31">
        <f>IFERROR(__xludf.DUMMYFUNCTION("""COMPUTED_VALUE"""),-2.208765757263457)</f>
        <v>-2.208765757</v>
      </c>
      <c r="G110" s="31">
        <f>IFERROR(__xludf.DUMMYFUNCTION("""COMPUTED_VALUE"""),37.82014453957893)</f>
        <v>37.82014454</v>
      </c>
      <c r="H110" s="31">
        <f>IFERROR(__xludf.DUMMYFUNCTION("""COMPUTED_VALUE"""),-3.1942722755430686)</f>
        <v>-3.194272276</v>
      </c>
      <c r="I110" s="54">
        <f>IFERROR(__xludf.DUMMYFUNCTION("""COMPUTED_VALUE"""),19.0)</f>
        <v>19</v>
      </c>
      <c r="J110" s="55">
        <f>IFERROR(__xludf.DUMMYFUNCTION("""COMPUTED_VALUE"""),10.0)</f>
        <v>10</v>
      </c>
      <c r="K110" s="54">
        <f>IFERROR(__xludf.DUMMYFUNCTION("""COMPUTED_VALUE"""),9.0)</f>
        <v>9</v>
      </c>
      <c r="L110" s="56">
        <f>IFERROR(__xludf.DUMMYFUNCTION("""COMPUTED_VALUE"""),0.5263157894736842)</f>
        <v>0.5263157895</v>
      </c>
      <c r="M110" s="56">
        <f>IFERROR(__xludf.DUMMYFUNCTION("""COMPUTED_VALUE"""),0.24444444444444446)</f>
        <v>0.2444444444</v>
      </c>
      <c r="N110" s="31">
        <f>IFERROR(__xludf.DUMMYFUNCTION("""COMPUTED_VALUE"""),294.1578947368421)</f>
        <v>294.1578947</v>
      </c>
      <c r="O110" s="57">
        <f>IFERROR(__xludf.DUMMYFUNCTION("""COMPUTED_VALUE"""),0.5789473684210527)</f>
        <v>0.5789473684</v>
      </c>
      <c r="P110" s="57">
        <f>IFERROR(__xludf.DUMMYFUNCTION("""COMPUTED_VALUE"""),0.5263157894736842)</f>
        <v>0.5263157895</v>
      </c>
      <c r="Q110" s="57">
        <f>IFERROR(__xludf.DUMMYFUNCTION("""COMPUTED_VALUE"""),1.0526315789473684)</f>
        <v>1.052631579</v>
      </c>
      <c r="R110" s="57">
        <f>IFERROR(__xludf.DUMMYFUNCTION("""COMPUTED_VALUE"""),2.3684210526315788)</f>
        <v>2.368421053</v>
      </c>
      <c r="S110" s="31">
        <f>IFERROR(__xludf.DUMMYFUNCTION("""COMPUTED_VALUE"""),341.14035087719304)</f>
        <v>341.1403509</v>
      </c>
      <c r="T110" s="57">
        <f>IFERROR(__xludf.DUMMYFUNCTION("""COMPUTED_VALUE"""),0.6140350877192983)</f>
        <v>0.6140350877</v>
      </c>
      <c r="U110" s="57">
        <f>IFERROR(__xludf.DUMMYFUNCTION("""COMPUTED_VALUE"""),0.4385964912280701)</f>
        <v>0.4385964912</v>
      </c>
      <c r="V110" s="57">
        <f>IFERROR(__xludf.DUMMYFUNCTION("""COMPUTED_VALUE"""),1.5964912280701755)</f>
        <v>1.596491228</v>
      </c>
      <c r="W110" s="57">
        <f>IFERROR(__xludf.DUMMYFUNCTION("""COMPUTED_VALUE"""),2.0526315789473686)</f>
        <v>2.052631579</v>
      </c>
      <c r="X110" s="31">
        <f>IFERROR(__xludf.DUMMYFUNCTION("""COMPUTED_VALUE"""),357.7639226134029)</f>
        <v>357.7639226</v>
      </c>
      <c r="Y110" s="57">
        <f>IFERROR(__xludf.DUMMYFUNCTION("""COMPUTED_VALUE"""),0.8134287593717339)</f>
        <v>0.8134287594</v>
      </c>
      <c r="Z110" s="57">
        <f>IFERROR(__xludf.DUMMYFUNCTION("""COMPUTED_VALUE"""),0.5871279061439633)</f>
        <v>0.5871279061</v>
      </c>
      <c r="AA110" s="57">
        <f>IFERROR(__xludf.DUMMYFUNCTION("""COMPUTED_VALUE"""),1.3611821584112977)</f>
        <v>1.361182158</v>
      </c>
      <c r="AB110" s="57">
        <f>IFERROR(__xludf.DUMMYFUNCTION("""COMPUTED_VALUE"""),2.5816024661170025)</f>
        <v>2.581602466</v>
      </c>
      <c r="AC110" s="31">
        <f>IFERROR(__xludf.DUMMYFUNCTION("""COMPUTED_VALUE"""),336.4107240893963)</f>
        <v>336.4107241</v>
      </c>
      <c r="AD110" s="57">
        <f>IFERROR(__xludf.DUMMYFUNCTION("""COMPUTED_VALUE"""),0.7511353900571945)</f>
        <v>0.7511353901</v>
      </c>
      <c r="AE110" s="57">
        <f>IFERROR(__xludf.DUMMYFUNCTION("""COMPUTED_VALUE"""),0.504166882420435)</f>
        <v>0.5041668824</v>
      </c>
      <c r="AF110" s="57">
        <f>IFERROR(__xludf.DUMMYFUNCTION("""COMPUTED_VALUE"""),1.224911016457277)</f>
        <v>1.224911016</v>
      </c>
      <c r="AG110" s="57">
        <f>IFERROR(__xludf.DUMMYFUNCTION("""COMPUTED_VALUE"""),2.555708203570292)</f>
        <v>2.555708204</v>
      </c>
      <c r="AH110" s="57">
        <f>IFERROR(__xludf.DUMMYFUNCTION("""COMPUTED_VALUE"""),0.874401062965739)</f>
        <v>0.874401063</v>
      </c>
      <c r="AI110" s="57">
        <f>IFERROR(__xludf.DUMMYFUNCTION("""COMPUTED_VALUE"""),0.7707630023622895)</f>
        <v>0.7707630024</v>
      </c>
      <c r="AJ110" s="57">
        <f>IFERROR(__xludf.DUMMYFUNCTION("""COMPUTED_VALUE"""),1.0439316976690642)</f>
        <v>1.043931698</v>
      </c>
      <c r="AK110" s="57">
        <f>IFERROR(__xludf.DUMMYFUNCTION("""COMPUTED_VALUE"""),0.859353507973028)</f>
        <v>0.859353508</v>
      </c>
      <c r="AL110" s="57">
        <f>IFERROR(__xludf.DUMMYFUNCTION("""COMPUTED_VALUE"""),0.9267181008078014)</f>
        <v>0.9267181008</v>
      </c>
      <c r="AM110" s="57">
        <f>IFERROR(__xludf.DUMMYFUNCTION("""COMPUTED_VALUE"""),0.953534801343921)</f>
        <v>0.9535348013</v>
      </c>
      <c r="AN110" s="57">
        <f>IFERROR(__xludf.DUMMYFUNCTION("""COMPUTED_VALUE"""),0.7548726064143086)</f>
        <v>0.7548726064</v>
      </c>
      <c r="AO110" s="57">
        <f>IFERROR(__xludf.DUMMYFUNCTION("""COMPUTED_VALUE"""),0.7470203453768839)</f>
        <v>0.7470203454</v>
      </c>
      <c r="AP110" s="35">
        <f>IFERROR(__xludf.DUMMYFUNCTION("""COMPUTED_VALUE"""),1.1728711092815958)</f>
        <v>1.172871109</v>
      </c>
      <c r="AQ110" s="57">
        <f>IFERROR(__xludf.DUMMYFUNCTION("""COMPUTED_VALUE"""),0.7950997901062354)</f>
        <v>0.7950997901</v>
      </c>
      <c r="AR110" s="36" t="b">
        <f>IFERROR(__xludf.DUMMYFUNCTION("""COMPUTED_VALUE"""),TRUE)</f>
        <v>1</v>
      </c>
      <c r="AS110" s="57"/>
      <c r="AT110" s="37"/>
      <c r="AU110" s="30"/>
      <c r="AV110" s="30"/>
      <c r="AW110" s="30"/>
      <c r="AX110" s="30"/>
      <c r="AY110" s="30"/>
      <c r="AZ110" s="30"/>
    </row>
    <row r="111">
      <c r="A111" s="30" t="str">
        <f>IFERROR(__xludf.DUMMYFUNCTION("""COMPUTED_VALUE"""),"Challenger")</f>
        <v>Challenger</v>
      </c>
      <c r="B111" s="30" t="str">
        <f>IFERROR(__xludf.DUMMYFUNCTION("""COMPUTED_VALUE"""),"RSC007291")</f>
        <v>RSC007291</v>
      </c>
      <c r="C111" s="30" t="str">
        <f>IFERROR(__xludf.DUMMYFUNCTION("""COMPUTED_VALUE"""),"brdtrd999")</f>
        <v>brdtrd999</v>
      </c>
      <c r="D111" s="31" t="str">
        <f>IFERROR(__xludf.DUMMYFUNCTION("""COMPUTED_VALUE"""),"Hydras")</f>
        <v>Hydras</v>
      </c>
      <c r="E111" s="31">
        <f>IFERROR(__xludf.DUMMYFUNCTION("""COMPUTED_VALUE"""),46.79403486569881)</f>
        <v>46.79403487</v>
      </c>
      <c r="F111" s="31">
        <f>IFERROR(__xludf.DUMMYFUNCTION("""COMPUTED_VALUE"""),-2.2272703314115363)</f>
        <v>-2.227270331</v>
      </c>
      <c r="G111" s="31">
        <f>IFERROR(__xludf.DUMMYFUNCTION("""COMPUTED_VALUE"""),35.2110352577525)</f>
        <v>35.21103526</v>
      </c>
      <c r="H111" s="31">
        <f>IFERROR(__xludf.DUMMYFUNCTION("""COMPUTED_VALUE"""),-3.609155782239576)</f>
        <v>-3.609155782</v>
      </c>
      <c r="I111" s="54">
        <f>IFERROR(__xludf.DUMMYFUNCTION("""COMPUTED_VALUE"""),26.0)</f>
        <v>26</v>
      </c>
      <c r="J111" s="55">
        <f>IFERROR(__xludf.DUMMYFUNCTION("""COMPUTED_VALUE"""),15.0)</f>
        <v>15</v>
      </c>
      <c r="K111" s="54">
        <f>IFERROR(__xludf.DUMMYFUNCTION("""COMPUTED_VALUE"""),11.0)</f>
        <v>11</v>
      </c>
      <c r="L111" s="56">
        <f>IFERROR(__xludf.DUMMYFUNCTION("""COMPUTED_VALUE"""),0.5769230769230769)</f>
        <v>0.5769230769</v>
      </c>
      <c r="M111" s="56">
        <f>IFERROR(__xludf.DUMMYFUNCTION("""COMPUTED_VALUE"""),0.29577464788732394)</f>
        <v>0.2957746479</v>
      </c>
      <c r="N111" s="31">
        <f>IFERROR(__xludf.DUMMYFUNCTION("""COMPUTED_VALUE"""),335.9230769230769)</f>
        <v>335.9230769</v>
      </c>
      <c r="O111" s="57">
        <f>IFERROR(__xludf.DUMMYFUNCTION("""COMPUTED_VALUE"""),0.8076923076923077)</f>
        <v>0.8076923077</v>
      </c>
      <c r="P111" s="57">
        <f>IFERROR(__xludf.DUMMYFUNCTION("""COMPUTED_VALUE"""),0.3076923076923077)</f>
        <v>0.3076923077</v>
      </c>
      <c r="Q111" s="57">
        <f>IFERROR(__xludf.DUMMYFUNCTION("""COMPUTED_VALUE"""),1.2692307692307692)</f>
        <v>1.269230769</v>
      </c>
      <c r="R111" s="57">
        <f>IFERROR(__xludf.DUMMYFUNCTION("""COMPUTED_VALUE"""),2.730769230769231)</f>
        <v>2.730769231</v>
      </c>
      <c r="S111" s="31">
        <f>IFERROR(__xludf.DUMMYFUNCTION("""COMPUTED_VALUE"""),344.1410256410257)</f>
        <v>344.1410256</v>
      </c>
      <c r="T111" s="57">
        <f>IFERROR(__xludf.DUMMYFUNCTION("""COMPUTED_VALUE"""),0.7564102564102563)</f>
        <v>0.7564102564</v>
      </c>
      <c r="U111" s="57">
        <f>IFERROR(__xludf.DUMMYFUNCTION("""COMPUTED_VALUE"""),0.5128205128205129)</f>
        <v>0.5128205128</v>
      </c>
      <c r="V111" s="57">
        <f>IFERROR(__xludf.DUMMYFUNCTION("""COMPUTED_VALUE"""),1.2948717948717952)</f>
        <v>1.294871795</v>
      </c>
      <c r="W111" s="57">
        <f>IFERROR(__xludf.DUMMYFUNCTION("""COMPUTED_VALUE"""),2.8589743589743595)</f>
        <v>2.858974359</v>
      </c>
      <c r="X111" s="31">
        <f>IFERROR(__xludf.DUMMYFUNCTION("""COMPUTED_VALUE"""),337.66950618541097)</f>
        <v>337.6695062</v>
      </c>
      <c r="Y111" s="57">
        <f>IFERROR(__xludf.DUMMYFUNCTION("""COMPUTED_VALUE"""),0.7487659520634538)</f>
        <v>0.7487659521</v>
      </c>
      <c r="Z111" s="57">
        <f>IFERROR(__xludf.DUMMYFUNCTION("""COMPUTED_VALUE"""),0.5233323943419715)</f>
        <v>0.5233323943</v>
      </c>
      <c r="AA111" s="57">
        <f>IFERROR(__xludf.DUMMYFUNCTION("""COMPUTED_VALUE"""),1.2883208159416386)</f>
        <v>1.288320816</v>
      </c>
      <c r="AB111" s="57">
        <f>IFERROR(__xludf.DUMMYFUNCTION("""COMPUTED_VALUE"""),2.5641713876307297)</f>
        <v>2.564171388</v>
      </c>
      <c r="AC111" s="31">
        <f>IFERROR(__xludf.DUMMYFUNCTION("""COMPUTED_VALUE"""),345.96498465421996)</f>
        <v>345.9649847</v>
      </c>
      <c r="AD111" s="57">
        <f>IFERROR(__xludf.DUMMYFUNCTION("""COMPUTED_VALUE"""),0.7560238337566765)</f>
        <v>0.7560238338</v>
      </c>
      <c r="AE111" s="57">
        <f>IFERROR(__xludf.DUMMYFUNCTION("""COMPUTED_VALUE"""),0.5121558596695694)</f>
        <v>0.5121558597</v>
      </c>
      <c r="AF111" s="57">
        <f>IFERROR(__xludf.DUMMYFUNCTION("""COMPUTED_VALUE"""),1.3562124029020977)</f>
        <v>1.356212403</v>
      </c>
      <c r="AG111" s="57">
        <f>IFERROR(__xludf.DUMMYFUNCTION("""COMPUTED_VALUE"""),2.52909842175662)</f>
        <v>2.529098422</v>
      </c>
      <c r="AH111" s="57">
        <f>IFERROR(__xludf.DUMMYFUNCTION("""COMPUTED_VALUE"""),0.97097420786332)</f>
        <v>0.9709742079</v>
      </c>
      <c r="AI111" s="57">
        <f>IFERROR(__xludf.DUMMYFUNCTION("""COMPUTED_VALUE"""),1.0683423876716835)</f>
        <v>1.068342388</v>
      </c>
      <c r="AJ111" s="57">
        <f>IFERROR(__xludf.DUMMYFUNCTION("""COMPUTED_VALUE"""),0.600778653378726)</f>
        <v>0.6007786534</v>
      </c>
      <c r="AK111" s="57">
        <f>IFERROR(__xludf.DUMMYFUNCTION("""COMPUTED_VALUE"""),0.935864298626675)</f>
        <v>0.9358642986</v>
      </c>
      <c r="AL111" s="57">
        <f>IFERROR(__xludf.DUMMYFUNCTION("""COMPUTED_VALUE"""),1.0797401980396388)</f>
        <v>1.079740198</v>
      </c>
      <c r="AM111" s="57">
        <f>IFERROR(__xludf.DUMMYFUNCTION("""COMPUTED_VALUE"""),1.0191652468969503)</f>
        <v>1.019165247</v>
      </c>
      <c r="AN111" s="57">
        <f>IFERROR(__xludf.DUMMYFUNCTION("""COMPUTED_VALUE"""),1.0102092039918966)</f>
        <v>1.010209204</v>
      </c>
      <c r="AO111" s="57">
        <f>IFERROR(__xludf.DUMMYFUNCTION("""COMPUTED_VALUE"""),0.9799135661481914)</f>
        <v>0.9799135661</v>
      </c>
      <c r="AP111" s="35">
        <f>IFERROR(__xludf.DUMMYFUNCTION("""COMPUTED_VALUE"""),1.0050848972158914)</f>
        <v>1.005084897</v>
      </c>
      <c r="AQ111" s="57">
        <f>IFERROR(__xludf.DUMMYFUNCTION("""COMPUTED_VALUE"""),1.1149700728920562)</f>
        <v>1.114970073</v>
      </c>
      <c r="AR111" s="36" t="b">
        <f>IFERROR(__xludf.DUMMYFUNCTION("""COMPUTED_VALUE"""),TRUE)</f>
        <v>1</v>
      </c>
      <c r="AS111" s="57"/>
      <c r="AT111" s="37"/>
      <c r="AU111" s="30"/>
      <c r="AV111" s="30"/>
      <c r="AW111" s="30"/>
      <c r="AX111" s="30"/>
      <c r="AY111" s="30"/>
      <c r="AZ111" s="30"/>
    </row>
    <row r="112">
      <c r="A112" s="30" t="str">
        <f>IFERROR(__xludf.DUMMYFUNCTION("""COMPUTED_VALUE"""),"Challenger")</f>
        <v>Challenger</v>
      </c>
      <c r="B112" s="30" t="str">
        <f>IFERROR(__xludf.DUMMYFUNCTION("""COMPUTED_VALUE"""),"RSC002897")</f>
        <v>RSC002897</v>
      </c>
      <c r="C112" s="30" t="str">
        <f>IFERROR(__xludf.DUMMYFUNCTION("""COMPUTED_VALUE"""),"VickyViksta")</f>
        <v>VickyViksta</v>
      </c>
      <c r="D112" s="31" t="str">
        <f>IFERROR(__xludf.DUMMYFUNCTION("""COMPUTED_VALUE"""),"Panda Bears")</f>
        <v>Panda Bears</v>
      </c>
      <c r="E112" s="31">
        <f>IFERROR(__xludf.DUMMYFUNCTION("""COMPUTED_VALUE"""),45.87796562112502)</f>
        <v>45.87796562</v>
      </c>
      <c r="F112" s="31">
        <f>IFERROR(__xludf.DUMMYFUNCTION("""COMPUTED_VALUE"""),-2.301397051443134)</f>
        <v>-2.301397051</v>
      </c>
      <c r="G112" s="31">
        <f>IFERROR(__xludf.DUMMYFUNCTION("""COMPUTED_VALUE"""),36.00289433693979)</f>
        <v>36.00289434</v>
      </c>
      <c r="H112" s="31">
        <f>IFERROR(__xludf.DUMMYFUNCTION("""COMPUTED_VALUE"""),-3.4748862511764957)</f>
        <v>-3.474886251</v>
      </c>
      <c r="I112" s="54">
        <f>IFERROR(__xludf.DUMMYFUNCTION("""COMPUTED_VALUE"""),31.0)</f>
        <v>31</v>
      </c>
      <c r="J112" s="55">
        <f>IFERROR(__xludf.DUMMYFUNCTION("""COMPUTED_VALUE"""),16.0)</f>
        <v>16</v>
      </c>
      <c r="K112" s="54">
        <f>IFERROR(__xludf.DUMMYFUNCTION("""COMPUTED_VALUE"""),15.0)</f>
        <v>15</v>
      </c>
      <c r="L112" s="56">
        <f>IFERROR(__xludf.DUMMYFUNCTION("""COMPUTED_VALUE"""),0.5161290322580645)</f>
        <v>0.5161290323</v>
      </c>
      <c r="M112" s="56">
        <f>IFERROR(__xludf.DUMMYFUNCTION("""COMPUTED_VALUE"""),0.25316455696202533)</f>
        <v>0.253164557</v>
      </c>
      <c r="N112" s="31">
        <f>IFERROR(__xludf.DUMMYFUNCTION("""COMPUTED_VALUE"""),334.0967741935484)</f>
        <v>334.0967742</v>
      </c>
      <c r="O112" s="57">
        <f>IFERROR(__xludf.DUMMYFUNCTION("""COMPUTED_VALUE"""),0.6451612903225806)</f>
        <v>0.6451612903</v>
      </c>
      <c r="P112" s="57">
        <f>IFERROR(__xludf.DUMMYFUNCTION("""COMPUTED_VALUE"""),0.41935483870967744)</f>
        <v>0.4193548387</v>
      </c>
      <c r="Q112" s="57">
        <f>IFERROR(__xludf.DUMMYFUNCTION("""COMPUTED_VALUE"""),1.4838709677419355)</f>
        <v>1.483870968</v>
      </c>
      <c r="R112" s="57">
        <f>IFERROR(__xludf.DUMMYFUNCTION("""COMPUTED_VALUE"""),2.5483870967741935)</f>
        <v>2.548387097</v>
      </c>
      <c r="S112" s="31">
        <f>IFERROR(__xludf.DUMMYFUNCTION("""COMPUTED_VALUE"""),348.0322580645162)</f>
        <v>348.0322581</v>
      </c>
      <c r="T112" s="57">
        <f>IFERROR(__xludf.DUMMYFUNCTION("""COMPUTED_VALUE"""),0.6666666666666667)</f>
        <v>0.6666666667</v>
      </c>
      <c r="U112" s="57">
        <f>IFERROR(__xludf.DUMMYFUNCTION("""COMPUTED_VALUE"""),0.4408602150537635)</f>
        <v>0.4408602151</v>
      </c>
      <c r="V112" s="57">
        <f>IFERROR(__xludf.DUMMYFUNCTION("""COMPUTED_VALUE"""),1.4623655913978497)</f>
        <v>1.462365591</v>
      </c>
      <c r="W112" s="57">
        <f>IFERROR(__xludf.DUMMYFUNCTION("""COMPUTED_VALUE"""),2.731182795698926)</f>
        <v>2.731182796</v>
      </c>
      <c r="X112" s="31">
        <f>IFERROR(__xludf.DUMMYFUNCTION("""COMPUTED_VALUE"""),342.87041490759043)</f>
        <v>342.8704149</v>
      </c>
      <c r="Y112" s="57">
        <f>IFERROR(__xludf.DUMMYFUNCTION("""COMPUTED_VALUE"""),0.7818588119771317)</f>
        <v>0.781858812</v>
      </c>
      <c r="Z112" s="57">
        <f>IFERROR(__xludf.DUMMYFUNCTION("""COMPUTED_VALUE"""),0.5401441175009063)</f>
        <v>0.5401441175</v>
      </c>
      <c r="AA112" s="57">
        <f>IFERROR(__xludf.DUMMYFUNCTION("""COMPUTED_VALUE"""),1.3159143620423264)</f>
        <v>1.315914362</v>
      </c>
      <c r="AB112" s="57">
        <f>IFERROR(__xludf.DUMMYFUNCTION("""COMPUTED_VALUE"""),2.4625511788358017)</f>
        <v>2.462551179</v>
      </c>
      <c r="AC112" s="31">
        <f>IFERROR(__xludf.DUMMYFUNCTION("""COMPUTED_VALUE"""),333.37533516969256)</f>
        <v>333.3753352</v>
      </c>
      <c r="AD112" s="57">
        <f>IFERROR(__xludf.DUMMYFUNCTION("""COMPUTED_VALUE"""),0.7759091015598786)</f>
        <v>0.7759091016</v>
      </c>
      <c r="AE112" s="57">
        <f>IFERROR(__xludf.DUMMYFUNCTION("""COMPUTED_VALUE"""),0.5320400944605296)</f>
        <v>0.5320400945</v>
      </c>
      <c r="AF112" s="57">
        <f>IFERROR(__xludf.DUMMYFUNCTION("""COMPUTED_VALUE"""),1.2135924757515746)</f>
        <v>1.213592476</v>
      </c>
      <c r="AG112" s="57">
        <f>IFERROR(__xludf.DUMMYFUNCTION("""COMPUTED_VALUE"""),2.532176977122308)</f>
        <v>2.532176977</v>
      </c>
      <c r="AH112" s="57">
        <f>IFERROR(__xludf.DUMMYFUNCTION("""COMPUTED_VALUE"""),1.0021640443900526)</f>
        <v>1.002164044</v>
      </c>
      <c r="AI112" s="57">
        <f>IFERROR(__xludf.DUMMYFUNCTION("""COMPUTED_VALUE"""),0.8314908138408944)</f>
        <v>0.8314908138</v>
      </c>
      <c r="AJ112" s="57">
        <f>IFERROR(__xludf.DUMMYFUNCTION("""COMPUTED_VALUE"""),0.7882015717911051)</f>
        <v>0.7882015718</v>
      </c>
      <c r="AK112" s="57">
        <f>IFERROR(__xludf.DUMMYFUNCTION("""COMPUTED_VALUE"""),1.222709432853873)</f>
        <v>1.222709433</v>
      </c>
      <c r="AL112" s="57">
        <f>IFERROR(__xludf.DUMMYFUNCTION("""COMPUTED_VALUE"""),1.0064016535172464)</f>
        <v>1.006401654</v>
      </c>
      <c r="AM112" s="57">
        <f>IFERROR(__xludf.DUMMYFUNCTION("""COMPUTED_VALUE"""),1.0150547931011107)</f>
        <v>1.015054793</v>
      </c>
      <c r="AN112" s="57">
        <f>IFERROR(__xludf.DUMMYFUNCTION("""COMPUTED_VALUE"""),0.8526688661100181)</f>
        <v>0.8526688661</v>
      </c>
      <c r="AO112" s="57">
        <f>IFERROR(__xludf.DUMMYFUNCTION("""COMPUTED_VALUE"""),0.8161899773962156)</f>
        <v>0.8161899774</v>
      </c>
      <c r="AP112" s="35">
        <f>IFERROR(__xludf.DUMMYFUNCTION("""COMPUTED_VALUE"""),1.1112923709778713)</f>
        <v>1.111292371</v>
      </c>
      <c r="AQ112" s="57">
        <f>IFERROR(__xludf.DUMMYFUNCTION("""COMPUTED_VALUE"""),1.1090867142871415)</f>
        <v>1.109086714</v>
      </c>
      <c r="AR112" s="36" t="b">
        <f>IFERROR(__xludf.DUMMYFUNCTION("""COMPUTED_VALUE"""),TRUE)</f>
        <v>1</v>
      </c>
      <c r="AS112" s="57"/>
      <c r="AT112" s="37"/>
      <c r="AU112" s="30"/>
      <c r="AV112" s="30"/>
      <c r="AW112" s="30"/>
      <c r="AX112" s="30"/>
      <c r="AY112" s="30"/>
      <c r="AZ112" s="30"/>
    </row>
    <row r="113">
      <c r="A113" s="30" t="str">
        <f>IFERROR(__xludf.DUMMYFUNCTION("""COMPUTED_VALUE"""),"Challenger")</f>
        <v>Challenger</v>
      </c>
      <c r="B113" s="30" t="str">
        <f>IFERROR(__xludf.DUMMYFUNCTION("""COMPUTED_VALUE"""),"RSC000357")</f>
        <v>RSC000357</v>
      </c>
      <c r="C113" s="30" t="str">
        <f>IFERROR(__xludf.DUMMYFUNCTION("""COMPUTED_VALUE"""),"Primed")</f>
        <v>Primed</v>
      </c>
      <c r="D113" s="31" t="str">
        <f>IFERROR(__xludf.DUMMYFUNCTION("""COMPUTED_VALUE"""),"Decuriones")</f>
        <v>Decuriones</v>
      </c>
      <c r="E113" s="31">
        <f>IFERROR(__xludf.DUMMYFUNCTION("""COMPUTED_VALUE"""),44.73856737855295)</f>
        <v>44.73856738</v>
      </c>
      <c r="F113" s="31">
        <f>IFERROR(__xludf.DUMMYFUNCTION("""COMPUTED_VALUE"""),-2.400064980782625)</f>
        <v>-2.400064981</v>
      </c>
      <c r="G113" s="31">
        <f>IFERROR(__xludf.DUMMYFUNCTION("""COMPUTED_VALUE"""),44.072848701558556)</f>
        <v>44.0728487</v>
      </c>
      <c r="H113" s="31">
        <f>IFERROR(__xludf.DUMMYFUNCTION("""COMPUTED_VALUE"""),-2.4612657294599827)</f>
        <v>-2.461265729</v>
      </c>
      <c r="I113" s="54">
        <f>IFERROR(__xludf.DUMMYFUNCTION("""COMPUTED_VALUE"""),32.0)</f>
        <v>32</v>
      </c>
      <c r="J113" s="55">
        <f>IFERROR(__xludf.DUMMYFUNCTION("""COMPUTED_VALUE"""),21.0)</f>
        <v>21</v>
      </c>
      <c r="K113" s="54">
        <f>IFERROR(__xludf.DUMMYFUNCTION("""COMPUTED_VALUE"""),11.0)</f>
        <v>11</v>
      </c>
      <c r="L113" s="56">
        <f>IFERROR(__xludf.DUMMYFUNCTION("""COMPUTED_VALUE"""),0.65625)</f>
        <v>0.65625</v>
      </c>
      <c r="M113" s="56">
        <f>IFERROR(__xludf.DUMMYFUNCTION("""COMPUTED_VALUE"""),0.24358974358974358)</f>
        <v>0.2435897436</v>
      </c>
      <c r="N113" s="31">
        <f>IFERROR(__xludf.DUMMYFUNCTION("""COMPUTED_VALUE"""),283.375)</f>
        <v>283.375</v>
      </c>
      <c r="O113" s="57">
        <f>IFERROR(__xludf.DUMMYFUNCTION("""COMPUTED_VALUE"""),0.59375)</f>
        <v>0.59375</v>
      </c>
      <c r="P113" s="57">
        <f>IFERROR(__xludf.DUMMYFUNCTION("""COMPUTED_VALUE"""),0.46875)</f>
        <v>0.46875</v>
      </c>
      <c r="Q113" s="57">
        <f>IFERROR(__xludf.DUMMYFUNCTION("""COMPUTED_VALUE"""),0.9375)</f>
        <v>0.9375</v>
      </c>
      <c r="R113" s="57">
        <f>IFERROR(__xludf.DUMMYFUNCTION("""COMPUTED_VALUE"""),2.4375)</f>
        <v>2.4375</v>
      </c>
      <c r="S113" s="31">
        <f>IFERROR(__xludf.DUMMYFUNCTION("""COMPUTED_VALUE"""),288.25)</f>
        <v>288.25</v>
      </c>
      <c r="T113" s="57">
        <f>IFERROR(__xludf.DUMMYFUNCTION("""COMPUTED_VALUE"""),0.5104166666666667)</f>
        <v>0.5104166667</v>
      </c>
      <c r="U113" s="57">
        <f>IFERROR(__xludf.DUMMYFUNCTION("""COMPUTED_VALUE"""),0.3541666666666667)</f>
        <v>0.3541666667</v>
      </c>
      <c r="V113" s="57">
        <f>IFERROR(__xludf.DUMMYFUNCTION("""COMPUTED_VALUE"""),1.2395833333333335)</f>
        <v>1.239583333</v>
      </c>
      <c r="W113" s="57">
        <f>IFERROR(__xludf.DUMMYFUNCTION("""COMPUTED_VALUE"""),1.791666666666667)</f>
        <v>1.791666667</v>
      </c>
      <c r="X113" s="31">
        <f>IFERROR(__xludf.DUMMYFUNCTION("""COMPUTED_VALUE"""),330.37598283450745)</f>
        <v>330.3759828</v>
      </c>
      <c r="Y113" s="57">
        <f>IFERROR(__xludf.DUMMYFUNCTION("""COMPUTED_VALUE"""),0.7055610901202767)</f>
        <v>0.7055610901</v>
      </c>
      <c r="Z113" s="57">
        <f>IFERROR(__xludf.DUMMYFUNCTION("""COMPUTED_VALUE"""),0.5148071544034465)</f>
        <v>0.5148071544</v>
      </c>
      <c r="AA113" s="57">
        <f>IFERROR(__xludf.DUMMYFUNCTION("""COMPUTED_VALUE"""),1.2856604774430649)</f>
        <v>1.285660477</v>
      </c>
      <c r="AB113" s="57">
        <f>IFERROR(__xludf.DUMMYFUNCTION("""COMPUTED_VALUE"""),2.200035224720327)</f>
        <v>2.200035225</v>
      </c>
      <c r="AC113" s="31">
        <f>IFERROR(__xludf.DUMMYFUNCTION("""COMPUTED_VALUE"""),334.1243972889888)</f>
        <v>334.1243973</v>
      </c>
      <c r="AD113" s="57">
        <f>IFERROR(__xludf.DUMMYFUNCTION("""COMPUTED_VALUE"""),0.7984859972118229)</f>
        <v>0.7984859972</v>
      </c>
      <c r="AE113" s="57">
        <f>IFERROR(__xludf.DUMMYFUNCTION("""COMPUTED_VALUE"""),0.5617944399390118)</f>
        <v>0.5617944399</v>
      </c>
      <c r="AF113" s="57">
        <f>IFERROR(__xludf.DUMMYFUNCTION("""COMPUTED_VALUE"""),1.1015454499655033)</f>
        <v>1.10154545</v>
      </c>
      <c r="AG113" s="57">
        <f>IFERROR(__xludf.DUMMYFUNCTION("""COMPUTED_VALUE"""),2.5720716197535682)</f>
        <v>2.57207162</v>
      </c>
      <c r="AH113" s="57">
        <f>IFERROR(__xludf.DUMMYFUNCTION("""COMPUTED_VALUE"""),0.8481122668659992)</f>
        <v>0.8481122669</v>
      </c>
      <c r="AI113" s="57">
        <f>IFERROR(__xludf.DUMMYFUNCTION("""COMPUTED_VALUE"""),0.7435947556666915)</f>
        <v>0.7435947557</v>
      </c>
      <c r="AJ113" s="57">
        <f>IFERROR(__xludf.DUMMYFUNCTION("""COMPUTED_VALUE"""),0.8343799202620933)</f>
        <v>0.8343799203</v>
      </c>
      <c r="AK113" s="57">
        <f>IFERROR(__xludf.DUMMYFUNCTION("""COMPUTED_VALUE"""),0.8510770027958078)</f>
        <v>0.8510770028</v>
      </c>
      <c r="AL113" s="57">
        <f>IFERROR(__xludf.DUMMYFUNCTION("""COMPUTED_VALUE"""),0.9476796762889279)</f>
        <v>0.9476796763</v>
      </c>
      <c r="AM113" s="57">
        <f>IFERROR(__xludf.DUMMYFUNCTION("""COMPUTED_VALUE"""),0.8724907831583832)</f>
        <v>0.8724907832</v>
      </c>
      <c r="AN113" s="57">
        <f>IFERROR(__xludf.DUMMYFUNCTION("""COMPUTED_VALUE"""),0.7234195221559855)</f>
        <v>0.7234195222</v>
      </c>
      <c r="AO113" s="57">
        <f>IFERROR(__xludf.DUMMYFUNCTION("""COMPUTED_VALUE"""),0.6879598770865404)</f>
        <v>0.6879598771</v>
      </c>
      <c r="AP113" s="35">
        <f>IFERROR(__xludf.DUMMYFUNCTION("""COMPUTED_VALUE"""),0.9641607213427218)</f>
        <v>0.9641607213</v>
      </c>
      <c r="AQ113" s="57">
        <f>IFERROR(__xludf.DUMMYFUNCTION("""COMPUTED_VALUE"""),0.8143809001487362)</f>
        <v>0.8143809001</v>
      </c>
      <c r="AR113" s="36" t="b">
        <f>IFERROR(__xludf.DUMMYFUNCTION("""COMPUTED_VALUE"""),TRUE)</f>
        <v>1</v>
      </c>
      <c r="AS113" s="57"/>
      <c r="AT113" s="37"/>
      <c r="AU113" s="30"/>
      <c r="AV113" s="30"/>
      <c r="AW113" s="30"/>
      <c r="AX113" s="30"/>
      <c r="AY113" s="30"/>
      <c r="AZ113" s="30"/>
    </row>
    <row r="114">
      <c r="A114" s="30" t="str">
        <f>IFERROR(__xludf.DUMMYFUNCTION("""COMPUTED_VALUE"""),"Challenger")</f>
        <v>Challenger</v>
      </c>
      <c r="B114" s="30" t="str">
        <f>IFERROR(__xludf.DUMMYFUNCTION("""COMPUTED_VALUE"""),"RSC003424")</f>
        <v>RSC003424</v>
      </c>
      <c r="C114" s="30" t="str">
        <f>IFERROR(__xludf.DUMMYFUNCTION("""COMPUTED_VALUE"""),"Fryder")</f>
        <v>Fryder</v>
      </c>
      <c r="D114" s="31" t="str">
        <f>IFERROR(__xludf.DUMMYFUNCTION("""COMPUTED_VALUE"""),"Metal")</f>
        <v>Metal</v>
      </c>
      <c r="E114" s="31">
        <f>IFERROR(__xludf.DUMMYFUNCTION("""COMPUTED_VALUE"""),44.5884490138526)</f>
        <v>44.58844901</v>
      </c>
      <c r="F114" s="31">
        <f>IFERROR(__xludf.DUMMYFUNCTION("""COMPUTED_VALUE"""),-2.413629441534346)</f>
        <v>-2.413629442</v>
      </c>
      <c r="G114" s="31">
        <f>IFERROR(__xludf.DUMMYFUNCTION("""COMPUTED_VALUE"""),56.23724648133328)</f>
        <v>56.23724648</v>
      </c>
      <c r="H114" s="31">
        <f>IFERROR(__xludf.DUMMYFUNCTION("""COMPUTED_VALUE"""),2.490716216150793)</f>
        <v>2.490716216</v>
      </c>
      <c r="I114" s="54">
        <f>IFERROR(__xludf.DUMMYFUNCTION("""COMPUTED_VALUE"""),25.0)</f>
        <v>25</v>
      </c>
      <c r="J114" s="55">
        <f>IFERROR(__xludf.DUMMYFUNCTION("""COMPUTED_VALUE"""),10.0)</f>
        <v>10</v>
      </c>
      <c r="K114" s="54">
        <f>IFERROR(__xludf.DUMMYFUNCTION("""COMPUTED_VALUE"""),15.0)</f>
        <v>15</v>
      </c>
      <c r="L114" s="56">
        <f>IFERROR(__xludf.DUMMYFUNCTION("""COMPUTED_VALUE"""),0.4)</f>
        <v>0.4</v>
      </c>
      <c r="M114" s="56">
        <f>IFERROR(__xludf.DUMMYFUNCTION("""COMPUTED_VALUE"""),0.25806451612903225)</f>
        <v>0.2580645161</v>
      </c>
      <c r="N114" s="31">
        <f>IFERROR(__xludf.DUMMYFUNCTION("""COMPUTED_VALUE"""),334.96)</f>
        <v>334.96</v>
      </c>
      <c r="O114" s="57">
        <f>IFERROR(__xludf.DUMMYFUNCTION("""COMPUTED_VALUE"""),0.64)</f>
        <v>0.64</v>
      </c>
      <c r="P114" s="57">
        <f>IFERROR(__xludf.DUMMYFUNCTION("""COMPUTED_VALUE"""),0.56)</f>
        <v>0.56</v>
      </c>
      <c r="Q114" s="57">
        <f>IFERROR(__xludf.DUMMYFUNCTION("""COMPUTED_VALUE"""),1.36)</f>
        <v>1.36</v>
      </c>
      <c r="R114" s="57">
        <f>IFERROR(__xludf.DUMMYFUNCTION("""COMPUTED_VALUE"""),2.48)</f>
        <v>2.48</v>
      </c>
      <c r="S114" s="31">
        <f>IFERROR(__xludf.DUMMYFUNCTION("""COMPUTED_VALUE"""),323.05333333333334)</f>
        <v>323.0533333</v>
      </c>
      <c r="T114" s="57">
        <f>IFERROR(__xludf.DUMMYFUNCTION("""COMPUTED_VALUE"""),0.7866666666666667)</f>
        <v>0.7866666667</v>
      </c>
      <c r="U114" s="57">
        <f>IFERROR(__xludf.DUMMYFUNCTION("""COMPUTED_VALUE"""),0.5199999999999999)</f>
        <v>0.52</v>
      </c>
      <c r="V114" s="57">
        <f>IFERROR(__xludf.DUMMYFUNCTION("""COMPUTED_VALUE"""),1.0533333333333337)</f>
        <v>1.053333333</v>
      </c>
      <c r="W114" s="57">
        <f>IFERROR(__xludf.DUMMYFUNCTION("""COMPUTED_VALUE"""),2.3466666666666667)</f>
        <v>2.346666667</v>
      </c>
      <c r="X114" s="31">
        <f>IFERROR(__xludf.DUMMYFUNCTION("""COMPUTED_VALUE"""),325.85967483443324)</f>
        <v>325.8596748</v>
      </c>
      <c r="Y114" s="57">
        <f>IFERROR(__xludf.DUMMYFUNCTION("""COMPUTED_VALUE"""),0.7236113614557148)</f>
        <v>0.7236113615</v>
      </c>
      <c r="Z114" s="57">
        <f>IFERROR(__xludf.DUMMYFUNCTION("""COMPUTED_VALUE"""),0.4988205122782104)</f>
        <v>0.4988205123</v>
      </c>
      <c r="AA114" s="57">
        <f>IFERROR(__xludf.DUMMYFUNCTION("""COMPUTED_VALUE"""),1.2415519367168584)</f>
        <v>1.241551937</v>
      </c>
      <c r="AB114" s="57">
        <f>IFERROR(__xludf.DUMMYFUNCTION("""COMPUTED_VALUE"""),2.2957057587007204)</f>
        <v>2.295705759</v>
      </c>
      <c r="AC114" s="31">
        <f>IFERROR(__xludf.DUMMYFUNCTION("""COMPUTED_VALUE"""),346.44341766676416)</f>
        <v>346.4434177</v>
      </c>
      <c r="AD114" s="57">
        <f>IFERROR(__xludf.DUMMYFUNCTION("""COMPUTED_VALUE"""),0.8466167747278134)</f>
        <v>0.8466167747</v>
      </c>
      <c r="AE114" s="57">
        <f>IFERROR(__xludf.DUMMYFUNCTION("""COMPUTED_VALUE"""),0.6079816374658626)</f>
        <v>0.6079816375</v>
      </c>
      <c r="AF114" s="57">
        <f>IFERROR(__xludf.DUMMYFUNCTION("""COMPUTED_VALUE"""),1.1668701817156966)</f>
        <v>1.166870182</v>
      </c>
      <c r="AG114" s="57">
        <f>IFERROR(__xludf.DUMMYFUNCTION("""COMPUTED_VALUE"""),2.5685094382628453)</f>
        <v>2.568509438</v>
      </c>
      <c r="AH114" s="57">
        <f>IFERROR(__xludf.DUMMYFUNCTION("""COMPUTED_VALUE"""),0.966853410741347)</f>
        <v>0.9668534107</v>
      </c>
      <c r="AI114" s="57">
        <f>IFERROR(__xludf.DUMMYFUNCTION("""COMPUTED_VALUE"""),0.7559500580481169)</f>
        <v>0.755950058</v>
      </c>
      <c r="AJ114" s="57">
        <f>IFERROR(__xludf.DUMMYFUNCTION("""COMPUTED_VALUE"""),0.9210804496236834)</f>
        <v>0.9210804496</v>
      </c>
      <c r="AK114" s="57">
        <f>IFERROR(__xludf.DUMMYFUNCTION("""COMPUTED_VALUE"""),1.1655109722662866)</f>
        <v>1.165510972</v>
      </c>
      <c r="AL114" s="57">
        <f>IFERROR(__xludf.DUMMYFUNCTION("""COMPUTED_VALUE"""),0.9655405438873113)</f>
        <v>0.9655405439</v>
      </c>
      <c r="AM114" s="57">
        <f>IFERROR(__xludf.DUMMYFUNCTION("""COMPUTED_VALUE"""),0.9913878834423874)</f>
        <v>0.9913878834</v>
      </c>
      <c r="AN114" s="57">
        <f>IFERROR(__xludf.DUMMYFUNCTION("""COMPUTED_VALUE"""),1.0871397390501185)</f>
        <v>1.087139739</v>
      </c>
      <c r="AO114" s="57">
        <f>IFERROR(__xludf.DUMMYFUNCTION("""COMPUTED_VALUE"""),1.0424591355015829)</f>
        <v>1.042459136</v>
      </c>
      <c r="AP114" s="35">
        <f>IFERROR(__xludf.DUMMYFUNCTION("""COMPUTED_VALUE"""),0.8484005398265922)</f>
        <v>0.8484005398</v>
      </c>
      <c r="AQ114" s="57">
        <f>IFERROR(__xludf.DUMMYFUNCTION("""COMPUTED_VALUE"""),1.0221983622129294)</f>
        <v>1.022198362</v>
      </c>
      <c r="AR114" s="36" t="b">
        <f>IFERROR(__xludf.DUMMYFUNCTION("""COMPUTED_VALUE"""),TRUE)</f>
        <v>1</v>
      </c>
      <c r="AS114" s="57"/>
      <c r="AT114" s="37"/>
      <c r="AU114" s="30"/>
      <c r="AV114" s="30"/>
      <c r="AW114" s="30"/>
      <c r="AX114" s="30"/>
      <c r="AY114" s="30"/>
      <c r="AZ114" s="30"/>
    </row>
    <row r="115">
      <c r="A115" s="30" t="str">
        <f>IFERROR(__xludf.DUMMYFUNCTION("""COMPUTED_VALUE"""),"Challenger")</f>
        <v>Challenger</v>
      </c>
      <c r="B115" s="30" t="str">
        <f>IFERROR(__xludf.DUMMYFUNCTION("""COMPUTED_VALUE"""),"RSC002128")</f>
        <v>RSC002128</v>
      </c>
      <c r="C115" s="30" t="str">
        <f>IFERROR(__xludf.DUMMYFUNCTION("""COMPUTED_VALUE"""),"Velo")</f>
        <v>Velo</v>
      </c>
      <c r="D115" s="31" t="str">
        <f>IFERROR(__xludf.DUMMYFUNCTION("""COMPUTED_VALUE"""),"Jock O Lanterns")</f>
        <v>Jock O Lanterns</v>
      </c>
      <c r="E115" s="31">
        <f>IFERROR(__xludf.DUMMYFUNCTION("""COMPUTED_VALUE"""),44.37478040210621)</f>
        <v>44.3747804</v>
      </c>
      <c r="F115" s="31">
        <f>IFERROR(__xludf.DUMMYFUNCTION("""COMPUTED_VALUE"""),-2.433171601008674)</f>
        <v>-2.433171601</v>
      </c>
      <c r="G115" s="31">
        <f>IFERROR(__xludf.DUMMYFUNCTION("""COMPUTED_VALUE"""),45.63327712294735)</f>
        <v>45.63327712</v>
      </c>
      <c r="H115" s="31">
        <f>IFERROR(__xludf.DUMMYFUNCTION("""COMPUTED_VALUE"""),-2.321964006521473)</f>
        <v>-2.321964007</v>
      </c>
      <c r="I115" s="54">
        <f>IFERROR(__xludf.DUMMYFUNCTION("""COMPUTED_VALUE"""),36.0)</f>
        <v>36</v>
      </c>
      <c r="J115" s="55">
        <f>IFERROR(__xludf.DUMMYFUNCTION("""COMPUTED_VALUE"""),16.0)</f>
        <v>16</v>
      </c>
      <c r="K115" s="54">
        <f>IFERROR(__xludf.DUMMYFUNCTION("""COMPUTED_VALUE"""),20.0)</f>
        <v>20</v>
      </c>
      <c r="L115" s="56">
        <f>IFERROR(__xludf.DUMMYFUNCTION("""COMPUTED_VALUE"""),0.4444444444444444)</f>
        <v>0.4444444444</v>
      </c>
      <c r="M115" s="56">
        <f>IFERROR(__xludf.DUMMYFUNCTION("""COMPUTED_VALUE"""),0.2247191011235955)</f>
        <v>0.2247191011</v>
      </c>
      <c r="N115" s="31">
        <f>IFERROR(__xludf.DUMMYFUNCTION("""COMPUTED_VALUE"""),324.72222222222223)</f>
        <v>324.7222222</v>
      </c>
      <c r="O115" s="57">
        <f>IFERROR(__xludf.DUMMYFUNCTION("""COMPUTED_VALUE"""),0.5555555555555556)</f>
        <v>0.5555555556</v>
      </c>
      <c r="P115" s="57">
        <f>IFERROR(__xludf.DUMMYFUNCTION("""COMPUTED_VALUE"""),0.6388888888888888)</f>
        <v>0.6388888889</v>
      </c>
      <c r="Q115" s="57">
        <f>IFERROR(__xludf.DUMMYFUNCTION("""COMPUTED_VALUE"""),1.1388888888888888)</f>
        <v>1.138888889</v>
      </c>
      <c r="R115" s="57">
        <f>IFERROR(__xludf.DUMMYFUNCTION("""COMPUTED_VALUE"""),2.4722222222222223)</f>
        <v>2.472222222</v>
      </c>
      <c r="S115" s="31">
        <f>IFERROR(__xludf.DUMMYFUNCTION("""COMPUTED_VALUE"""),378.49074074074076)</f>
        <v>378.4907407</v>
      </c>
      <c r="T115" s="57">
        <f>IFERROR(__xludf.DUMMYFUNCTION("""COMPUTED_VALUE"""),0.9351851851851851)</f>
        <v>0.9351851852</v>
      </c>
      <c r="U115" s="57">
        <f>IFERROR(__xludf.DUMMYFUNCTION("""COMPUTED_VALUE"""),0.6111111111111112)</f>
        <v>0.6111111111</v>
      </c>
      <c r="V115" s="57">
        <f>IFERROR(__xludf.DUMMYFUNCTION("""COMPUTED_VALUE"""),1.398148148148148)</f>
        <v>1.398148148</v>
      </c>
      <c r="W115" s="57">
        <f>IFERROR(__xludf.DUMMYFUNCTION("""COMPUTED_VALUE"""),2.4537037037037037)</f>
        <v>2.453703704</v>
      </c>
      <c r="X115" s="31">
        <f>IFERROR(__xludf.DUMMYFUNCTION("""COMPUTED_VALUE"""),339.2224518212834)</f>
        <v>339.2224518</v>
      </c>
      <c r="Y115" s="57">
        <f>IFERROR(__xludf.DUMMYFUNCTION("""COMPUTED_VALUE"""),0.7959073942602362)</f>
        <v>0.7959073943</v>
      </c>
      <c r="Z115" s="57">
        <f>IFERROR(__xludf.DUMMYFUNCTION("""COMPUTED_VALUE"""),0.5882813058379158)</f>
        <v>0.5882813058</v>
      </c>
      <c r="AA115" s="57">
        <f>IFERROR(__xludf.DUMMYFUNCTION("""COMPUTED_VALUE"""),1.2152784793879565)</f>
        <v>1.215278479</v>
      </c>
      <c r="AB115" s="57">
        <f>IFERROR(__xludf.DUMMYFUNCTION("""COMPUTED_VALUE"""),2.435506658507983)</f>
        <v>2.435506659</v>
      </c>
      <c r="AC115" s="31">
        <f>IFERROR(__xludf.DUMMYFUNCTION("""COMPUTED_VALUE"""),335.9476602193547)</f>
        <v>335.9476602</v>
      </c>
      <c r="AD115" s="57">
        <f>IFERROR(__xludf.DUMMYFUNCTION("""COMPUTED_VALUE"""),0.8054005268636585)</f>
        <v>0.8054005269</v>
      </c>
      <c r="AE115" s="57">
        <f>IFERROR(__xludf.DUMMYFUNCTION("""COMPUTED_VALUE"""),0.5543462344724199)</f>
        <v>0.5543462345</v>
      </c>
      <c r="AF115" s="57">
        <f>IFERROR(__xludf.DUMMYFUNCTION("""COMPUTED_VALUE"""),1.1625492259115418)</f>
        <v>1.162549226</v>
      </c>
      <c r="AG115" s="57">
        <f>IFERROR(__xludf.DUMMYFUNCTION("""COMPUTED_VALUE"""),2.500065716831841)</f>
        <v>2.500065717</v>
      </c>
      <c r="AH115" s="57">
        <f>IFERROR(__xludf.DUMMYFUNCTION("""COMPUTED_VALUE"""),0.9665857532991808)</f>
        <v>0.9665857533</v>
      </c>
      <c r="AI115" s="57">
        <f>IFERROR(__xludf.DUMMYFUNCTION("""COMPUTED_VALUE"""),0.6897879216927831)</f>
        <v>0.6897879217</v>
      </c>
      <c r="AJ115" s="57">
        <f>IFERROR(__xludf.DUMMYFUNCTION("""COMPUTED_VALUE"""),1.152508755646062)</f>
        <v>1.152508756</v>
      </c>
      <c r="AK115" s="57">
        <f>IFERROR(__xludf.DUMMYFUNCTION("""COMPUTED_VALUE"""),0.9796478837237184)</f>
        <v>0.9796478837</v>
      </c>
      <c r="AL115" s="57">
        <f>IFERROR(__xludf.DUMMYFUNCTION("""COMPUTED_VALUE"""),0.9888628949142573)</f>
        <v>0.9888628949</v>
      </c>
      <c r="AM115" s="57">
        <f>IFERROR(__xludf.DUMMYFUNCTION("""COMPUTED_VALUE"""),1.1157596990076162)</f>
        <v>1.115759699</v>
      </c>
      <c r="AN115" s="57">
        <f>IFERROR(__xludf.DUMMYFUNCTION("""COMPUTED_VALUE"""),1.1749924575765527)</f>
        <v>1.174992458</v>
      </c>
      <c r="AO115" s="57">
        <f>IFERROR(__xludf.DUMMYFUNCTION("""COMPUTED_VALUE"""),1.0388076334342764)</f>
        <v>1.038807633</v>
      </c>
      <c r="AP115" s="35">
        <f>IFERROR(__xludf.DUMMYFUNCTION("""COMPUTED_VALUE"""),1.150475526277968)</f>
        <v>1.150475526</v>
      </c>
      <c r="AQ115" s="57">
        <f>IFERROR(__xludf.DUMMYFUNCTION("""COMPUTED_VALUE"""),1.0074715645437275)</f>
        <v>1.007471565</v>
      </c>
      <c r="AR115" s="36" t="b">
        <f>IFERROR(__xludf.DUMMYFUNCTION("""COMPUTED_VALUE"""),TRUE)</f>
        <v>1</v>
      </c>
      <c r="AS115" s="57"/>
      <c r="AT115" s="37"/>
      <c r="AU115" s="30"/>
      <c r="AV115" s="30"/>
      <c r="AW115" s="30"/>
      <c r="AX115" s="30"/>
      <c r="AY115" s="30"/>
      <c r="AZ115" s="30"/>
    </row>
    <row r="116">
      <c r="A116" s="30" t="str">
        <f>IFERROR(__xludf.DUMMYFUNCTION("""COMPUTED_VALUE"""),"Challenger")</f>
        <v>Challenger</v>
      </c>
      <c r="B116" s="30" t="str">
        <f>IFERROR(__xludf.DUMMYFUNCTION("""COMPUTED_VALUE"""),"RSC006923")</f>
        <v>RSC006923</v>
      </c>
      <c r="C116" s="30" t="str">
        <f>IFERROR(__xludf.DUMMYFUNCTION("""COMPUTED_VALUE"""),"LostZealous")</f>
        <v>LostZealous</v>
      </c>
      <c r="D116" s="31" t="str">
        <f>IFERROR(__xludf.DUMMYFUNCTION("""COMPUTED_VALUE"""),"Zombies")</f>
        <v>Zombies</v>
      </c>
      <c r="E116" s="31">
        <f>IFERROR(__xludf.DUMMYFUNCTION("""COMPUTED_VALUE"""),44.29858569415478)</f>
        <v>44.29858569</v>
      </c>
      <c r="F116" s="31">
        <f>IFERROR(__xludf.DUMMYFUNCTION("""COMPUTED_VALUE"""),-2.440208007759418)</f>
        <v>-2.440208008</v>
      </c>
      <c r="G116" s="31">
        <f>IFERROR(__xludf.DUMMYFUNCTION("""COMPUTED_VALUE"""),46.13682074907566)</f>
        <v>46.13682075</v>
      </c>
      <c r="H116" s="31">
        <f>IFERROR(__xludf.DUMMYFUNCTION("""COMPUTED_VALUE"""),-2.2799971215115122)</f>
        <v>-2.279997122</v>
      </c>
      <c r="I116" s="54">
        <f>IFERROR(__xludf.DUMMYFUNCTION("""COMPUTED_VALUE"""),36.0)</f>
        <v>36</v>
      </c>
      <c r="J116" s="55">
        <f>IFERROR(__xludf.DUMMYFUNCTION("""COMPUTED_VALUE"""),16.0)</f>
        <v>16</v>
      </c>
      <c r="K116" s="54">
        <f>IFERROR(__xludf.DUMMYFUNCTION("""COMPUTED_VALUE"""),20.0)</f>
        <v>20</v>
      </c>
      <c r="L116" s="56">
        <f>IFERROR(__xludf.DUMMYFUNCTION("""COMPUTED_VALUE"""),0.4444444444444444)</f>
        <v>0.4444444444</v>
      </c>
      <c r="M116" s="56">
        <f>IFERROR(__xludf.DUMMYFUNCTION("""COMPUTED_VALUE"""),0.34210526315789475)</f>
        <v>0.3421052632</v>
      </c>
      <c r="N116" s="31">
        <f>IFERROR(__xludf.DUMMYFUNCTION("""COMPUTED_VALUE"""),319.97222222222223)</f>
        <v>319.9722222</v>
      </c>
      <c r="O116" s="57">
        <f>IFERROR(__xludf.DUMMYFUNCTION("""COMPUTED_VALUE"""),0.7222222222222222)</f>
        <v>0.7222222222</v>
      </c>
      <c r="P116" s="57">
        <f>IFERROR(__xludf.DUMMYFUNCTION("""COMPUTED_VALUE"""),0.4166666666666667)</f>
        <v>0.4166666667</v>
      </c>
      <c r="Q116" s="57">
        <f>IFERROR(__xludf.DUMMYFUNCTION("""COMPUTED_VALUE"""),1.3611111111111112)</f>
        <v>1.361111111</v>
      </c>
      <c r="R116" s="57">
        <f>IFERROR(__xludf.DUMMYFUNCTION("""COMPUTED_VALUE"""),2.111111111111111)</f>
        <v>2.111111111</v>
      </c>
      <c r="S116" s="31">
        <f>IFERROR(__xludf.DUMMYFUNCTION("""COMPUTED_VALUE"""),313.5740740740741)</f>
        <v>313.5740741</v>
      </c>
      <c r="T116" s="57">
        <f>IFERROR(__xludf.DUMMYFUNCTION("""COMPUTED_VALUE"""),0.7407407407407408)</f>
        <v>0.7407407407</v>
      </c>
      <c r="U116" s="57">
        <f>IFERROR(__xludf.DUMMYFUNCTION("""COMPUTED_VALUE"""),0.5000000000000001)</f>
        <v>0.5</v>
      </c>
      <c r="V116" s="57">
        <f>IFERROR(__xludf.DUMMYFUNCTION("""COMPUTED_VALUE"""),1.111111111111111)</f>
        <v>1.111111111</v>
      </c>
      <c r="W116" s="57">
        <f>IFERROR(__xludf.DUMMYFUNCTION("""COMPUTED_VALUE"""),2.4907407407407405)</f>
        <v>2.490740741</v>
      </c>
      <c r="X116" s="31">
        <f>IFERROR(__xludf.DUMMYFUNCTION("""COMPUTED_VALUE"""),337.60034588823396)</f>
        <v>337.6003459</v>
      </c>
      <c r="Y116" s="57">
        <f>IFERROR(__xludf.DUMMYFUNCTION("""COMPUTED_VALUE"""),0.797659958082181)</f>
        <v>0.7976599581</v>
      </c>
      <c r="Z116" s="57">
        <f>IFERROR(__xludf.DUMMYFUNCTION("""COMPUTED_VALUE"""),0.5660524413144286)</f>
        <v>0.5660524413</v>
      </c>
      <c r="AA116" s="57">
        <f>IFERROR(__xludf.DUMMYFUNCTION("""COMPUTED_VALUE"""),1.1707920514843437)</f>
        <v>1.170792051</v>
      </c>
      <c r="AB116" s="57">
        <f>IFERROR(__xludf.DUMMYFUNCTION("""COMPUTED_VALUE"""),2.542772829349495)</f>
        <v>2.542772829</v>
      </c>
      <c r="AC116" s="31">
        <f>IFERROR(__xludf.DUMMYFUNCTION("""COMPUTED_VALUE"""),333.0994048844733)</f>
        <v>333.0994049</v>
      </c>
      <c r="AD116" s="57">
        <f>IFERROR(__xludf.DUMMYFUNCTION("""COMPUTED_VALUE"""),0.7263373634388155)</f>
        <v>0.7263373634</v>
      </c>
      <c r="AE116" s="57">
        <f>IFERROR(__xludf.DUMMYFUNCTION("""COMPUTED_VALUE"""),0.5026457459520366)</f>
        <v>0.502645746</v>
      </c>
      <c r="AF116" s="57">
        <f>IFERROR(__xludf.DUMMYFUNCTION("""COMPUTED_VALUE"""),1.3231153009120316)</f>
        <v>1.323115301</v>
      </c>
      <c r="AG116" s="57">
        <f>IFERROR(__xludf.DUMMYFUNCTION("""COMPUTED_VALUE"""),2.318694120158237)</f>
        <v>2.31869412</v>
      </c>
      <c r="AH116" s="57">
        <f>IFERROR(__xludf.DUMMYFUNCTION("""COMPUTED_VALUE"""),0.9605907952108054)</f>
        <v>0.9605907952</v>
      </c>
      <c r="AI116" s="57">
        <f>IFERROR(__xludf.DUMMYFUNCTION("""COMPUTED_VALUE"""),0.9943343941483193)</f>
        <v>0.9943343941</v>
      </c>
      <c r="AJ116" s="57">
        <f>IFERROR(__xludf.DUMMYFUNCTION("""COMPUTED_VALUE"""),0.8289469671676597)</f>
        <v>0.8289469672</v>
      </c>
      <c r="AK116" s="57">
        <f>IFERROR(__xludf.DUMMYFUNCTION("""COMPUTED_VALUE"""),1.02871693054482)</f>
        <v>1.028716931</v>
      </c>
      <c r="AL116" s="57">
        <f>IFERROR(__xludf.DUMMYFUNCTION("""COMPUTED_VALUE"""),0.9104741728361482)</f>
        <v>0.9104741728</v>
      </c>
      <c r="AM116" s="57">
        <f>IFERROR(__xludf.DUMMYFUNCTION("""COMPUTED_VALUE"""),0.9288322061668917)</f>
        <v>0.9288322062</v>
      </c>
      <c r="AN116" s="57">
        <f>IFERROR(__xludf.DUMMYFUNCTION("""COMPUTED_VALUE"""),0.9286422531747845)</f>
        <v>0.9286422532</v>
      </c>
      <c r="AO116" s="57">
        <f>IFERROR(__xludf.DUMMYFUNCTION("""COMPUTED_VALUE"""),0.883310385233834)</f>
        <v>0.8833103852</v>
      </c>
      <c r="AP116" s="35">
        <f>IFERROR(__xludf.DUMMYFUNCTION("""COMPUTED_VALUE"""),0.9490251575439306)</f>
        <v>0.9490251575</v>
      </c>
      <c r="AQ116" s="57">
        <f>IFERROR(__xludf.DUMMYFUNCTION("""COMPUTED_VALUE"""),0.9795372641990729)</f>
        <v>0.9795372642</v>
      </c>
      <c r="AR116" s="36" t="b">
        <f>IFERROR(__xludf.DUMMYFUNCTION("""COMPUTED_VALUE"""),TRUE)</f>
        <v>1</v>
      </c>
      <c r="AS116" s="57"/>
      <c r="AT116" s="37"/>
      <c r="AU116" s="30"/>
      <c r="AV116" s="30"/>
      <c r="AW116" s="30"/>
      <c r="AX116" s="30"/>
      <c r="AY116" s="30"/>
      <c r="AZ116" s="30"/>
    </row>
    <row r="117">
      <c r="A117" s="30" t="str">
        <f>IFERROR(__xludf.DUMMYFUNCTION("""COMPUTED_VALUE"""),"Challenger")</f>
        <v>Challenger</v>
      </c>
      <c r="B117" s="30" t="str">
        <f>IFERROR(__xludf.DUMMYFUNCTION("""COMPUTED_VALUE"""),"RSC007065")</f>
        <v>RSC007065</v>
      </c>
      <c r="C117" s="30" t="str">
        <f>IFERROR(__xludf.DUMMYFUNCTION("""COMPUTED_VALUE"""),"Rampage")</f>
        <v>Rampage</v>
      </c>
      <c r="D117" s="31" t="str">
        <f>IFERROR(__xludf.DUMMYFUNCTION("""COMPUTED_VALUE"""),"Havarti Hustlers")</f>
        <v>Havarti Hustlers</v>
      </c>
      <c r="E117" s="31">
        <f>IFERROR(__xludf.DUMMYFUNCTION("""COMPUTED_VALUE"""),44.17302489488483)</f>
        <v>44.17302489</v>
      </c>
      <c r="F117" s="31">
        <f>IFERROR(__xludf.DUMMYFUNCTION("""COMPUTED_VALUE"""),-2.451881644444211)</f>
        <v>-2.451881644</v>
      </c>
      <c r="G117" s="31">
        <f>IFERROR(__xludf.DUMMYFUNCTION("""COMPUTED_VALUE"""),40.031071866642314)</f>
        <v>40.03107187</v>
      </c>
      <c r="H117" s="31">
        <f>IFERROR(__xludf.DUMMYFUNCTION("""COMPUTED_VALUE"""),-2.898247578909778)</f>
        <v>-2.898247579</v>
      </c>
      <c r="I117" s="54">
        <f>IFERROR(__xludf.DUMMYFUNCTION("""COMPUTED_VALUE"""),15.0)</f>
        <v>15</v>
      </c>
      <c r="J117" s="55">
        <f>IFERROR(__xludf.DUMMYFUNCTION("""COMPUTED_VALUE"""),6.0)</f>
        <v>6</v>
      </c>
      <c r="K117" s="54">
        <f>IFERROR(__xludf.DUMMYFUNCTION("""COMPUTED_VALUE"""),9.0)</f>
        <v>9</v>
      </c>
      <c r="L117" s="56">
        <f>IFERROR(__xludf.DUMMYFUNCTION("""COMPUTED_VALUE"""),0.4)</f>
        <v>0.4</v>
      </c>
      <c r="M117" s="56">
        <f>IFERROR(__xludf.DUMMYFUNCTION("""COMPUTED_VALUE"""),0.25)</f>
        <v>0.25</v>
      </c>
      <c r="N117" s="31">
        <f>IFERROR(__xludf.DUMMYFUNCTION("""COMPUTED_VALUE"""),314.4)</f>
        <v>314.4</v>
      </c>
      <c r="O117" s="57">
        <f>IFERROR(__xludf.DUMMYFUNCTION("""COMPUTED_VALUE"""),0.6666666666666666)</f>
        <v>0.6666666667</v>
      </c>
      <c r="P117" s="57">
        <f>IFERROR(__xludf.DUMMYFUNCTION("""COMPUTED_VALUE"""),0.5333333333333333)</f>
        <v>0.5333333333</v>
      </c>
      <c r="Q117" s="57">
        <f>IFERROR(__xludf.DUMMYFUNCTION("""COMPUTED_VALUE"""),1.0)</f>
        <v>1</v>
      </c>
      <c r="R117" s="57">
        <f>IFERROR(__xludf.DUMMYFUNCTION("""COMPUTED_VALUE"""),2.6666666666666665)</f>
        <v>2.666666667</v>
      </c>
      <c r="S117" s="31">
        <f>IFERROR(__xludf.DUMMYFUNCTION("""COMPUTED_VALUE"""),383.1555555555556)</f>
        <v>383.1555556</v>
      </c>
      <c r="T117" s="57">
        <f>IFERROR(__xludf.DUMMYFUNCTION("""COMPUTED_VALUE"""),0.8444444444444442)</f>
        <v>0.8444444444</v>
      </c>
      <c r="U117" s="57">
        <f>IFERROR(__xludf.DUMMYFUNCTION("""COMPUTED_VALUE"""),0.511111111111111)</f>
        <v>0.5111111111</v>
      </c>
      <c r="V117" s="57">
        <f>IFERROR(__xludf.DUMMYFUNCTION("""COMPUTED_VALUE"""),1.6222222222222222)</f>
        <v>1.622222222</v>
      </c>
      <c r="W117" s="57">
        <f>IFERROR(__xludf.DUMMYFUNCTION("""COMPUTED_VALUE"""),2.288888888888889)</f>
        <v>2.288888889</v>
      </c>
      <c r="X117" s="31">
        <f>IFERROR(__xludf.DUMMYFUNCTION("""COMPUTED_VALUE"""),334.77510724917664)</f>
        <v>334.7751072</v>
      </c>
      <c r="Y117" s="57">
        <f>IFERROR(__xludf.DUMMYFUNCTION("""COMPUTED_VALUE"""),0.7247776467447562)</f>
        <v>0.7247776467</v>
      </c>
      <c r="Z117" s="57">
        <f>IFERROR(__xludf.DUMMYFUNCTION("""COMPUTED_VALUE"""),0.5334556719020667)</f>
        <v>0.5334556719</v>
      </c>
      <c r="AA117" s="57">
        <f>IFERROR(__xludf.DUMMYFUNCTION("""COMPUTED_VALUE"""),1.2921248948067416)</f>
        <v>1.292124895</v>
      </c>
      <c r="AB117" s="57">
        <f>IFERROR(__xludf.DUMMYFUNCTION("""COMPUTED_VALUE"""),2.1967320631496787)</f>
        <v>2.196732063</v>
      </c>
      <c r="AC117" s="31">
        <f>IFERROR(__xludf.DUMMYFUNCTION("""COMPUTED_VALUE"""),338.4541766586854)</f>
        <v>338.4541767</v>
      </c>
      <c r="AD117" s="57">
        <f>IFERROR(__xludf.DUMMYFUNCTION("""COMPUTED_VALUE"""),0.8228809637079718)</f>
        <v>0.8228809637</v>
      </c>
      <c r="AE117" s="57">
        <f>IFERROR(__xludf.DUMMYFUNCTION("""COMPUTED_VALUE"""),0.588487161338205)</f>
        <v>0.5884871613</v>
      </c>
      <c r="AF117" s="57">
        <f>IFERROR(__xludf.DUMMYFUNCTION("""COMPUTED_VALUE"""),1.082367336466799)</f>
        <v>1.082367336</v>
      </c>
      <c r="AG117" s="57">
        <f>IFERROR(__xludf.DUMMYFUNCTION("""COMPUTED_VALUE"""),2.6418694204238684)</f>
        <v>2.64186942</v>
      </c>
      <c r="AH117" s="57">
        <f>IFERROR(__xludf.DUMMYFUNCTION("""COMPUTED_VALUE"""),0.9289292958469149)</f>
        <v>0.9289292958</v>
      </c>
      <c r="AI117" s="57">
        <f>IFERROR(__xludf.DUMMYFUNCTION("""COMPUTED_VALUE"""),0.810161731853183)</f>
        <v>0.8101617319</v>
      </c>
      <c r="AJ117" s="57">
        <f>IFERROR(__xludf.DUMMYFUNCTION("""COMPUTED_VALUE"""),0.9062786214750153)</f>
        <v>0.9062786215</v>
      </c>
      <c r="AK117" s="57">
        <f>IFERROR(__xludf.DUMMYFUNCTION("""COMPUTED_VALUE"""),0.9239007556014459)</f>
        <v>0.9239007556</v>
      </c>
      <c r="AL117" s="57">
        <f>IFERROR(__xludf.DUMMYFUNCTION("""COMPUTED_VALUE"""),1.009386249771126)</f>
        <v>1.00938625</v>
      </c>
      <c r="AM117" s="57">
        <f>IFERROR(__xludf.DUMMYFUNCTION("""COMPUTED_VALUE"""),1.1445162655727832)</f>
        <v>1.144516266</v>
      </c>
      <c r="AN117" s="57">
        <f>IFERROR(__xludf.DUMMYFUNCTION("""COMPUTED_VALUE"""),1.1651082897453526)</f>
        <v>1.16510829</v>
      </c>
      <c r="AO117" s="57">
        <f>IFERROR(__xludf.DUMMYFUNCTION("""COMPUTED_VALUE"""),0.9581135566310789)</f>
        <v>0.9581135566</v>
      </c>
      <c r="AP117" s="35">
        <f>IFERROR(__xludf.DUMMYFUNCTION("""COMPUTED_VALUE"""),1.255468591884728)</f>
        <v>1.255468592</v>
      </c>
      <c r="AQ117" s="57">
        <f>IFERROR(__xludf.DUMMYFUNCTION("""COMPUTED_VALUE"""),1.0419517825069098)</f>
        <v>1.041951783</v>
      </c>
      <c r="AR117" s="36" t="b">
        <f>IFERROR(__xludf.DUMMYFUNCTION("""COMPUTED_VALUE"""),TRUE)</f>
        <v>1</v>
      </c>
      <c r="AS117" s="57"/>
      <c r="AT117" s="37"/>
      <c r="AU117" s="30"/>
      <c r="AV117" s="30"/>
      <c r="AW117" s="30"/>
      <c r="AX117" s="30"/>
      <c r="AY117" s="30"/>
      <c r="AZ117" s="30"/>
    </row>
    <row r="118">
      <c r="A118" s="30" t="str">
        <f>IFERROR(__xludf.DUMMYFUNCTION("""COMPUTED_VALUE"""),"Challenger")</f>
        <v>Challenger</v>
      </c>
      <c r="B118" s="30" t="str">
        <f>IFERROR(__xludf.DUMMYFUNCTION("""COMPUTED_VALUE"""),"RSC007589")</f>
        <v>RSC007589</v>
      </c>
      <c r="C118" s="30" t="str">
        <f>IFERROR(__xludf.DUMMYFUNCTION("""COMPUTED_VALUE"""),"LilBoneSamaTTV")</f>
        <v>LilBoneSamaTTV</v>
      </c>
      <c r="D118" s="31" t="str">
        <f>IFERROR(__xludf.DUMMYFUNCTION("""COMPUTED_VALUE"""),"Hydras")</f>
        <v>Hydras</v>
      </c>
      <c r="E118" s="31">
        <f>IFERROR(__xludf.DUMMYFUNCTION("""COMPUTED_VALUE"""),43.38793746807739)</f>
        <v>43.38793747</v>
      </c>
      <c r="F118" s="31">
        <f>IFERROR(__xludf.DUMMYFUNCTION("""COMPUTED_VALUE"""),-2.527141030769156)</f>
        <v>-2.527141031</v>
      </c>
      <c r="G118" s="31">
        <f>IFERROR(__xludf.DUMMYFUNCTION("""COMPUTED_VALUE"""),48.32440165840151)</f>
        <v>48.32440166</v>
      </c>
      <c r="H118" s="31">
        <f>IFERROR(__xludf.DUMMYFUNCTION("""COMPUTED_VALUE"""),-2.112908216451349)</f>
        <v>-2.112908216</v>
      </c>
      <c r="I118" s="54">
        <f>IFERROR(__xludf.DUMMYFUNCTION("""COMPUTED_VALUE"""),35.0)</f>
        <v>35</v>
      </c>
      <c r="J118" s="55">
        <f>IFERROR(__xludf.DUMMYFUNCTION("""COMPUTED_VALUE"""),17.0)</f>
        <v>17</v>
      </c>
      <c r="K118" s="54">
        <f>IFERROR(__xludf.DUMMYFUNCTION("""COMPUTED_VALUE"""),18.0)</f>
        <v>18</v>
      </c>
      <c r="L118" s="56">
        <f>IFERROR(__xludf.DUMMYFUNCTION("""COMPUTED_VALUE"""),0.4857142857142857)</f>
        <v>0.4857142857</v>
      </c>
      <c r="M118" s="56">
        <f>IFERROR(__xludf.DUMMYFUNCTION("""COMPUTED_VALUE"""),0.2894736842105263)</f>
        <v>0.2894736842</v>
      </c>
      <c r="N118" s="31">
        <f>IFERROR(__xludf.DUMMYFUNCTION("""COMPUTED_VALUE"""),357.0857142857143)</f>
        <v>357.0857143</v>
      </c>
      <c r="O118" s="57">
        <f>IFERROR(__xludf.DUMMYFUNCTION("""COMPUTED_VALUE"""),0.6285714285714286)</f>
        <v>0.6285714286</v>
      </c>
      <c r="P118" s="57">
        <f>IFERROR(__xludf.DUMMYFUNCTION("""COMPUTED_VALUE"""),0.45714285714285713)</f>
        <v>0.4571428571</v>
      </c>
      <c r="Q118" s="57">
        <f>IFERROR(__xludf.DUMMYFUNCTION("""COMPUTED_VALUE"""),1.6857142857142857)</f>
        <v>1.685714286</v>
      </c>
      <c r="R118" s="57">
        <f>IFERROR(__xludf.DUMMYFUNCTION("""COMPUTED_VALUE"""),2.1714285714285713)</f>
        <v>2.171428571</v>
      </c>
      <c r="S118" s="31">
        <f>IFERROR(__xludf.DUMMYFUNCTION("""COMPUTED_VALUE"""),334.3142857142857)</f>
        <v>334.3142857</v>
      </c>
      <c r="T118" s="57">
        <f>IFERROR(__xludf.DUMMYFUNCTION("""COMPUTED_VALUE"""),0.7333333333333333)</f>
        <v>0.7333333333</v>
      </c>
      <c r="U118" s="57">
        <f>IFERROR(__xludf.DUMMYFUNCTION("""COMPUTED_VALUE"""),0.5047619047619047)</f>
        <v>0.5047619048</v>
      </c>
      <c r="V118" s="57">
        <f>IFERROR(__xludf.DUMMYFUNCTION("""COMPUTED_VALUE"""),1.2095238095238094)</f>
        <v>1.20952381</v>
      </c>
      <c r="W118" s="57">
        <f>IFERROR(__xludf.DUMMYFUNCTION("""COMPUTED_VALUE"""),2.6285714285714294)</f>
        <v>2.628571429</v>
      </c>
      <c r="X118" s="31">
        <f>IFERROR(__xludf.DUMMYFUNCTION("""COMPUTED_VALUE"""),334.9969016862735)</f>
        <v>334.9969017</v>
      </c>
      <c r="Y118" s="57">
        <f>IFERROR(__xludf.DUMMYFUNCTION("""COMPUTED_VALUE"""),0.7698979150131011)</f>
        <v>0.769897915</v>
      </c>
      <c r="Z118" s="57">
        <f>IFERROR(__xludf.DUMMYFUNCTION("""COMPUTED_VALUE"""),0.515573444990831)</f>
        <v>0.515573445</v>
      </c>
      <c r="AA118" s="57">
        <f>IFERROR(__xludf.DUMMYFUNCTION("""COMPUTED_VALUE"""),1.2178587839450574)</f>
        <v>1.217858784</v>
      </c>
      <c r="AB118" s="57">
        <f>IFERROR(__xludf.DUMMYFUNCTION("""COMPUTED_VALUE"""),2.536183927577993)</f>
        <v>2.536183928</v>
      </c>
      <c r="AC118" s="31">
        <f>IFERROR(__xludf.DUMMYFUNCTION("""COMPUTED_VALUE"""),339.33991233746156)</f>
        <v>339.3399123</v>
      </c>
      <c r="AD118" s="57">
        <f>IFERROR(__xludf.DUMMYFUNCTION("""COMPUTED_VALUE"""),0.7437111742720907)</f>
        <v>0.7437111743</v>
      </c>
      <c r="AE118" s="57">
        <f>IFERROR(__xludf.DUMMYFUNCTION("""COMPUTED_VALUE"""),0.5042448365842883)</f>
        <v>0.5042448366</v>
      </c>
      <c r="AF118" s="57">
        <f>IFERROR(__xludf.DUMMYFUNCTION("""COMPUTED_VALUE"""),1.3198004985820138)</f>
        <v>1.319800499</v>
      </c>
      <c r="AG118" s="57">
        <f>IFERROR(__xludf.DUMMYFUNCTION("""COMPUTED_VALUE"""),2.432225477363177)</f>
        <v>2.432225477</v>
      </c>
      <c r="AH118" s="57">
        <f>IFERROR(__xludf.DUMMYFUNCTION("""COMPUTED_VALUE"""),1.052295062570197)</f>
        <v>1.052295063</v>
      </c>
      <c r="AI118" s="57">
        <f>IFERROR(__xludf.DUMMYFUNCTION("""COMPUTED_VALUE"""),0.8451821759793303)</f>
        <v>0.845182176</v>
      </c>
      <c r="AJ118" s="57">
        <f>IFERROR(__xludf.DUMMYFUNCTION("""COMPUTED_VALUE"""),0.9065890693884027)</f>
        <v>0.9065890694</v>
      </c>
      <c r="AK118" s="57">
        <f>IFERROR(__xludf.DUMMYFUNCTION("""COMPUTED_VALUE"""),1.2772493172456048)</f>
        <v>1.277249317</v>
      </c>
      <c r="AL118" s="57">
        <f>IFERROR(__xludf.DUMMYFUNCTION("""COMPUTED_VALUE"""),0.8927743713065038)</f>
        <v>0.8927743713</v>
      </c>
      <c r="AM118" s="57">
        <f>IFERROR(__xludf.DUMMYFUNCTION("""COMPUTED_VALUE"""),0.9979623215362539)</f>
        <v>0.9979623215</v>
      </c>
      <c r="AN118" s="57">
        <f>IFERROR(__xludf.DUMMYFUNCTION("""COMPUTED_VALUE"""),0.9525072337945666)</f>
        <v>0.9525072338</v>
      </c>
      <c r="AO118" s="57">
        <f>IFERROR(__xludf.DUMMYFUNCTION("""COMPUTED_VALUE"""),0.9790300677159225)</f>
        <v>0.9790300677</v>
      </c>
      <c r="AP118" s="35">
        <f>IFERROR(__xludf.DUMMYFUNCTION("""COMPUTED_VALUE"""),0.9931560419556624)</f>
        <v>0.993156042</v>
      </c>
      <c r="AQ118" s="57">
        <f>IFERROR(__xludf.DUMMYFUNCTION("""COMPUTED_VALUE"""),1.036427760616583)</f>
        <v>1.036427761</v>
      </c>
      <c r="AR118" s="36" t="b">
        <f>IFERROR(__xludf.DUMMYFUNCTION("""COMPUTED_VALUE"""),TRUE)</f>
        <v>1</v>
      </c>
      <c r="AS118" s="57"/>
      <c r="AT118" s="37"/>
      <c r="AU118" s="30"/>
      <c r="AV118" s="30"/>
      <c r="AW118" s="30"/>
      <c r="AX118" s="30"/>
      <c r="AY118" s="30"/>
      <c r="AZ118" s="30"/>
    </row>
    <row r="119">
      <c r="A119" s="30" t="str">
        <f>IFERROR(__xludf.DUMMYFUNCTION("""COMPUTED_VALUE"""),"Challenger")</f>
        <v>Challenger</v>
      </c>
      <c r="B119" s="30" t="str">
        <f>IFERROR(__xludf.DUMMYFUNCTION("""COMPUTED_VALUE"""),"RSC008009")</f>
        <v>RSC008009</v>
      </c>
      <c r="C119" s="30" t="str">
        <f>IFERROR(__xludf.DUMMYFUNCTION("""COMPUTED_VALUE"""),"Daddy Driz")</f>
        <v>Daddy Driz</v>
      </c>
      <c r="D119" s="31" t="str">
        <f>IFERROR(__xludf.DUMMYFUNCTION("""COMPUTED_VALUE"""),"Toucans")</f>
        <v>Toucans</v>
      </c>
      <c r="E119" s="31">
        <f>IFERROR(__xludf.DUMMYFUNCTION("""COMPUTED_VALUE"""),43.28964681740116)</f>
        <v>43.28964682</v>
      </c>
      <c r="F119" s="31">
        <f>IFERROR(__xludf.DUMMYFUNCTION("""COMPUTED_VALUE"""),-2.5368458906089937)</f>
        <v>-2.536845891</v>
      </c>
      <c r="G119" s="31">
        <f>IFERROR(__xludf.DUMMYFUNCTION("""COMPUTED_VALUE"""),57.14476371430108)</f>
        <v>57.14476371</v>
      </c>
      <c r="H119" s="31">
        <f>IFERROR(__xludf.DUMMYFUNCTION("""COMPUTED_VALUE"""),2.580516809704382)</f>
        <v>2.58051681</v>
      </c>
      <c r="I119" s="54">
        <f>IFERROR(__xludf.DUMMYFUNCTION("""COMPUTED_VALUE"""),27.0)</f>
        <v>27</v>
      </c>
      <c r="J119" s="55">
        <f>IFERROR(__xludf.DUMMYFUNCTION("""COMPUTED_VALUE"""),13.0)</f>
        <v>13</v>
      </c>
      <c r="K119" s="54">
        <f>IFERROR(__xludf.DUMMYFUNCTION("""COMPUTED_VALUE"""),14.0)</f>
        <v>14</v>
      </c>
      <c r="L119" s="56">
        <f>IFERROR(__xludf.DUMMYFUNCTION("""COMPUTED_VALUE"""),0.48148148148148145)</f>
        <v>0.4814814815</v>
      </c>
      <c r="M119" s="56">
        <f>IFERROR(__xludf.DUMMYFUNCTION("""COMPUTED_VALUE"""),0.3559322033898305)</f>
        <v>0.3559322034</v>
      </c>
      <c r="N119" s="31">
        <f>IFERROR(__xludf.DUMMYFUNCTION("""COMPUTED_VALUE"""),324.5925925925926)</f>
        <v>324.5925926</v>
      </c>
      <c r="O119" s="57">
        <f>IFERROR(__xludf.DUMMYFUNCTION("""COMPUTED_VALUE"""),0.7777777777777778)</f>
        <v>0.7777777778</v>
      </c>
      <c r="P119" s="57">
        <f>IFERROR(__xludf.DUMMYFUNCTION("""COMPUTED_VALUE"""),0.25925925925925924)</f>
        <v>0.2592592593</v>
      </c>
      <c r="Q119" s="57">
        <f>IFERROR(__xludf.DUMMYFUNCTION("""COMPUTED_VALUE"""),0.9259259259259259)</f>
        <v>0.9259259259</v>
      </c>
      <c r="R119" s="57">
        <f>IFERROR(__xludf.DUMMYFUNCTION("""COMPUTED_VALUE"""),2.185185185185185)</f>
        <v>2.185185185</v>
      </c>
      <c r="S119" s="31">
        <f>IFERROR(__xludf.DUMMYFUNCTION("""COMPUTED_VALUE"""),300.3703703703704)</f>
        <v>300.3703704</v>
      </c>
      <c r="T119" s="57">
        <f>IFERROR(__xludf.DUMMYFUNCTION("""COMPUTED_VALUE"""),0.6419753086419753)</f>
        <v>0.6419753086</v>
      </c>
      <c r="U119" s="57">
        <f>IFERROR(__xludf.DUMMYFUNCTION("""COMPUTED_VALUE"""),0.4074074074074074)</f>
        <v>0.4074074074</v>
      </c>
      <c r="V119" s="57">
        <f>IFERROR(__xludf.DUMMYFUNCTION("""COMPUTED_VALUE"""),1.1604938271604939)</f>
        <v>1.160493827</v>
      </c>
      <c r="W119" s="57">
        <f>IFERROR(__xludf.DUMMYFUNCTION("""COMPUTED_VALUE"""),2.037037037037037)</f>
        <v>2.037037037</v>
      </c>
      <c r="X119" s="31">
        <f>IFERROR(__xludf.DUMMYFUNCTION("""COMPUTED_VALUE"""),316.27972953959244)</f>
        <v>316.2797295</v>
      </c>
      <c r="Y119" s="57">
        <f>IFERROR(__xludf.DUMMYFUNCTION("""COMPUTED_VALUE"""),0.6961597808080404)</f>
        <v>0.6961597808</v>
      </c>
      <c r="Z119" s="57">
        <f>IFERROR(__xludf.DUMMYFUNCTION("""COMPUTED_VALUE"""),0.47030501653618156)</f>
        <v>0.4703050165</v>
      </c>
      <c r="AA119" s="57">
        <f>IFERROR(__xludf.DUMMYFUNCTION("""COMPUTED_VALUE"""),1.128722948396231)</f>
        <v>1.128722948</v>
      </c>
      <c r="AB119" s="57">
        <f>IFERROR(__xludf.DUMMYFUNCTION("""COMPUTED_VALUE"""),2.3959551881985126)</f>
        <v>2.395955188</v>
      </c>
      <c r="AC119" s="31">
        <f>IFERROR(__xludf.DUMMYFUNCTION("""COMPUTED_VALUE"""),321.43234087551525)</f>
        <v>321.4323409</v>
      </c>
      <c r="AD119" s="57">
        <f>IFERROR(__xludf.DUMMYFUNCTION("""COMPUTED_VALUE"""),0.7053572774884451)</f>
        <v>0.7053572775</v>
      </c>
      <c r="AE119" s="57">
        <f>IFERROR(__xludf.DUMMYFUNCTION("""COMPUTED_VALUE"""),0.4987423343361036)</f>
        <v>0.4987423343</v>
      </c>
      <c r="AF119" s="57">
        <f>IFERROR(__xludf.DUMMYFUNCTION("""COMPUTED_VALUE"""),1.1829085370806443)</f>
        <v>1.182908537</v>
      </c>
      <c r="AG119" s="57">
        <f>IFERROR(__xludf.DUMMYFUNCTION("""COMPUTED_VALUE"""),2.2553996501153986)</f>
        <v>2.25539965</v>
      </c>
      <c r="AH119" s="57">
        <f>IFERROR(__xludf.DUMMYFUNCTION("""COMPUTED_VALUE"""),1.0098317789319815)</f>
        <v>1.009831779</v>
      </c>
      <c r="AI119" s="57">
        <f>IFERROR(__xludf.DUMMYFUNCTION("""COMPUTED_VALUE"""),1.102672082079027)</f>
        <v>1.102672082</v>
      </c>
      <c r="AJ119" s="57">
        <f>IFERROR(__xludf.DUMMYFUNCTION("""COMPUTED_VALUE"""),0.5198260532753248)</f>
        <v>0.5198260533</v>
      </c>
      <c r="AK119" s="57">
        <f>IFERROR(__xludf.DUMMYFUNCTION("""COMPUTED_VALUE"""),0.7827536085005035)</f>
        <v>0.7827536085</v>
      </c>
      <c r="AL119" s="57">
        <f>IFERROR(__xludf.DUMMYFUNCTION("""COMPUTED_VALUE"""),0.9688682824231968)</f>
        <v>0.9688682824</v>
      </c>
      <c r="AM119" s="57">
        <f>IFERROR(__xludf.DUMMYFUNCTION("""COMPUTED_VALUE"""),0.9496984546167999)</f>
        <v>0.9496984546</v>
      </c>
      <c r="AN119" s="57">
        <f>IFERROR(__xludf.DUMMYFUNCTION("""COMPUTED_VALUE"""),0.9221666151078527)</f>
        <v>0.9221666151</v>
      </c>
      <c r="AO119" s="57">
        <f>IFERROR(__xludf.DUMMYFUNCTION("""COMPUTED_VALUE"""),0.8662620917973234)</f>
        <v>0.8662620918</v>
      </c>
      <c r="AP119" s="35">
        <f>IFERROR(__xludf.DUMMYFUNCTION("""COMPUTED_VALUE"""),1.0281476325163805)</f>
        <v>1.028147633</v>
      </c>
      <c r="AQ119" s="57">
        <f>IFERROR(__xludf.DUMMYFUNCTION("""COMPUTED_VALUE"""),0.8501983038208067)</f>
        <v>0.8501983038</v>
      </c>
      <c r="AR119" s="36" t="b">
        <f>IFERROR(__xludf.DUMMYFUNCTION("""COMPUTED_VALUE"""),TRUE)</f>
        <v>1</v>
      </c>
      <c r="AS119" s="57"/>
      <c r="AT119" s="37"/>
      <c r="AU119" s="30"/>
      <c r="AV119" s="30"/>
      <c r="AW119" s="30"/>
      <c r="AX119" s="30"/>
      <c r="AY119" s="30"/>
      <c r="AZ119" s="30"/>
    </row>
    <row r="120">
      <c r="A120" s="30" t="str">
        <f>IFERROR(__xludf.DUMMYFUNCTION("""COMPUTED_VALUE"""),"Challenger")</f>
        <v>Challenger</v>
      </c>
      <c r="B120" s="30" t="str">
        <f>IFERROR(__xludf.DUMMYFUNCTION("""COMPUTED_VALUE"""),"RSC007549")</f>
        <v>RSC007549</v>
      </c>
      <c r="C120" s="30" t="str">
        <f>IFERROR(__xludf.DUMMYFUNCTION("""COMPUTED_VALUE"""),"Whiffy_RL")</f>
        <v>Whiffy_RL</v>
      </c>
      <c r="D120" s="31" t="str">
        <f>IFERROR(__xludf.DUMMYFUNCTION("""COMPUTED_VALUE"""),"Apple Associates")</f>
        <v>Apple Associates</v>
      </c>
      <c r="E120" s="31">
        <f>IFERROR(__xludf.DUMMYFUNCTION("""COMPUTED_VALUE"""),42.95162566837508)</f>
        <v>42.95162567</v>
      </c>
      <c r="F120" s="31">
        <f>IFERROR(__xludf.DUMMYFUNCTION("""COMPUTED_VALUE"""),-2.5707159878624757)</f>
        <v>-2.570715988</v>
      </c>
      <c r="G120" s="31">
        <f>IFERROR(__xludf.DUMMYFUNCTION("""COMPUTED_VALUE"""),41.733950784044346)</f>
        <v>41.73395078</v>
      </c>
      <c r="H120" s="31">
        <f>IFERROR(__xludf.DUMMYFUNCTION("""COMPUTED_VALUE"""),-2.6993651887683066)</f>
        <v>-2.699365189</v>
      </c>
      <c r="I120" s="54">
        <f>IFERROR(__xludf.DUMMYFUNCTION("""COMPUTED_VALUE"""),32.0)</f>
        <v>32</v>
      </c>
      <c r="J120" s="55">
        <f>IFERROR(__xludf.DUMMYFUNCTION("""COMPUTED_VALUE"""),11.0)</f>
        <v>11</v>
      </c>
      <c r="K120" s="54">
        <f>IFERROR(__xludf.DUMMYFUNCTION("""COMPUTED_VALUE"""),21.0)</f>
        <v>21</v>
      </c>
      <c r="L120" s="56">
        <f>IFERROR(__xludf.DUMMYFUNCTION("""COMPUTED_VALUE"""),0.34375)</f>
        <v>0.34375</v>
      </c>
      <c r="M120" s="56">
        <f>IFERROR(__xludf.DUMMYFUNCTION("""COMPUTED_VALUE"""),0.3142857142857143)</f>
        <v>0.3142857143</v>
      </c>
      <c r="N120" s="31">
        <f>IFERROR(__xludf.DUMMYFUNCTION("""COMPUTED_VALUE"""),321.78125)</f>
        <v>321.78125</v>
      </c>
      <c r="O120" s="57">
        <f>IFERROR(__xludf.DUMMYFUNCTION("""COMPUTED_VALUE"""),0.6875)</f>
        <v>0.6875</v>
      </c>
      <c r="P120" s="57">
        <f>IFERROR(__xludf.DUMMYFUNCTION("""COMPUTED_VALUE"""),0.34375)</f>
        <v>0.34375</v>
      </c>
      <c r="Q120" s="57">
        <f>IFERROR(__xludf.DUMMYFUNCTION("""COMPUTED_VALUE"""),1.28125)</f>
        <v>1.28125</v>
      </c>
      <c r="R120" s="57">
        <f>IFERROR(__xludf.DUMMYFUNCTION("""COMPUTED_VALUE"""),2.1875)</f>
        <v>2.1875</v>
      </c>
      <c r="S120" s="31">
        <f>IFERROR(__xludf.DUMMYFUNCTION("""COMPUTED_VALUE"""),337.03125)</f>
        <v>337.03125</v>
      </c>
      <c r="T120" s="57">
        <f>IFERROR(__xludf.DUMMYFUNCTION("""COMPUTED_VALUE"""),0.7916666666666665)</f>
        <v>0.7916666667</v>
      </c>
      <c r="U120" s="57">
        <f>IFERROR(__xludf.DUMMYFUNCTION("""COMPUTED_VALUE"""),0.5625)</f>
        <v>0.5625</v>
      </c>
      <c r="V120" s="57">
        <f>IFERROR(__xludf.DUMMYFUNCTION("""COMPUTED_VALUE"""),1.3020833333333333)</f>
        <v>1.302083333</v>
      </c>
      <c r="W120" s="57">
        <f>IFERROR(__xludf.DUMMYFUNCTION("""COMPUTED_VALUE"""),2.3229166666666665)</f>
        <v>2.322916667</v>
      </c>
      <c r="X120" s="31">
        <f>IFERROR(__xludf.DUMMYFUNCTION("""COMPUTED_VALUE"""),358.1524621622405)</f>
        <v>358.1524622</v>
      </c>
      <c r="Y120" s="57">
        <f>IFERROR(__xludf.DUMMYFUNCTION("""COMPUTED_VALUE"""),0.8595567424473677)</f>
        <v>0.8595567424</v>
      </c>
      <c r="Z120" s="57">
        <f>IFERROR(__xludf.DUMMYFUNCTION("""COMPUTED_VALUE"""),0.6289664098409058)</f>
        <v>0.6289664098</v>
      </c>
      <c r="AA120" s="57">
        <f>IFERROR(__xludf.DUMMYFUNCTION("""COMPUTED_VALUE"""),1.276315027005551)</f>
        <v>1.276315027</v>
      </c>
      <c r="AB120" s="57">
        <f>IFERROR(__xludf.DUMMYFUNCTION("""COMPUTED_VALUE"""),2.630245403677863)</f>
        <v>2.630245404</v>
      </c>
      <c r="AC120" s="31">
        <f>IFERROR(__xludf.DUMMYFUNCTION("""COMPUTED_VALUE"""),326.0113644129791)</f>
        <v>326.0113644</v>
      </c>
      <c r="AD120" s="57">
        <f>IFERROR(__xludf.DUMMYFUNCTION("""COMPUTED_VALUE"""),0.6770584556261641)</f>
        <v>0.6770584556</v>
      </c>
      <c r="AE120" s="57">
        <f>IFERROR(__xludf.DUMMYFUNCTION("""COMPUTED_VALUE"""),0.47294475803716407)</f>
        <v>0.472944758</v>
      </c>
      <c r="AF120" s="57">
        <f>IFERROR(__xludf.DUMMYFUNCTION("""COMPUTED_VALUE"""),1.2885163760037752)</f>
        <v>1.288516376</v>
      </c>
      <c r="AG120" s="57">
        <f>IFERROR(__xludf.DUMMYFUNCTION("""COMPUTED_VALUE"""),2.356748343502376)</f>
        <v>2.356748344</v>
      </c>
      <c r="AH120" s="57">
        <f>IFERROR(__xludf.DUMMYFUNCTION("""COMPUTED_VALUE"""),0.987024641240357)</f>
        <v>0.9870246412</v>
      </c>
      <c r="AI120" s="57">
        <f>IFERROR(__xludf.DUMMYFUNCTION("""COMPUTED_VALUE"""),1.0154219244838754)</f>
        <v>1.015421924</v>
      </c>
      <c r="AJ120" s="57">
        <f>IFERROR(__xludf.DUMMYFUNCTION("""COMPUTED_VALUE"""),0.7268290728639137)</f>
        <v>0.7268290729</v>
      </c>
      <c r="AK120" s="57">
        <f>IFERROR(__xludf.DUMMYFUNCTION("""COMPUTED_VALUE"""),0.9943606646069092)</f>
        <v>0.9943606646</v>
      </c>
      <c r="AL120" s="57">
        <f>IFERROR(__xludf.DUMMYFUNCTION("""COMPUTED_VALUE"""),0.9281856529276881)</f>
        <v>0.9281856529</v>
      </c>
      <c r="AM120" s="57">
        <f>IFERROR(__xludf.DUMMYFUNCTION("""COMPUTED_VALUE"""),0.9410273154769693)</f>
        <v>0.9410273155</v>
      </c>
      <c r="AN120" s="57">
        <f>IFERROR(__xludf.DUMMYFUNCTION("""COMPUTED_VALUE"""),0.921017342511442)</f>
        <v>0.9210173425</v>
      </c>
      <c r="AO120" s="57">
        <f>IFERROR(__xludf.DUMMYFUNCTION("""COMPUTED_VALUE"""),0.8943243887098546)</f>
        <v>0.8943243887</v>
      </c>
      <c r="AP120" s="35">
        <f>IFERROR(__xludf.DUMMYFUNCTION("""COMPUTED_VALUE"""),1.0201896128953671)</f>
        <v>1.020189613</v>
      </c>
      <c r="AQ120" s="57">
        <f>IFERROR(__xludf.DUMMYFUNCTION("""COMPUTED_VALUE"""),0.883155869569638)</f>
        <v>0.8831558696</v>
      </c>
      <c r="AR120" s="36" t="b">
        <f>IFERROR(__xludf.DUMMYFUNCTION("""COMPUTED_VALUE"""),TRUE)</f>
        <v>1</v>
      </c>
      <c r="AS120" s="57"/>
      <c r="AT120" s="37"/>
      <c r="AU120" s="30"/>
      <c r="AV120" s="30"/>
      <c r="AW120" s="30"/>
      <c r="AX120" s="30"/>
      <c r="AY120" s="30"/>
      <c r="AZ120" s="30"/>
    </row>
    <row r="121">
      <c r="A121" s="30" t="str">
        <f>IFERROR(__xludf.DUMMYFUNCTION("""COMPUTED_VALUE"""),"Challenger")</f>
        <v>Challenger</v>
      </c>
      <c r="B121" s="30" t="str">
        <f>IFERROR(__xludf.DUMMYFUNCTION("""COMPUTED_VALUE"""),"RSC002877")</f>
        <v>RSC002877</v>
      </c>
      <c r="C121" s="30" t="str">
        <f>IFERROR(__xludf.DUMMYFUNCTION("""COMPUTED_VALUE"""),"robophant")</f>
        <v>robophant</v>
      </c>
      <c r="D121" s="31" t="str">
        <f>IFERROR(__xludf.DUMMYFUNCTION("""COMPUTED_VALUE"""),"Hydras")</f>
        <v>Hydras</v>
      </c>
      <c r="E121" s="31">
        <f>IFERROR(__xludf.DUMMYFUNCTION("""COMPUTED_VALUE"""),42.45221346871278)</f>
        <v>42.45221347</v>
      </c>
      <c r="F121" s="31">
        <f>IFERROR(__xludf.DUMMYFUNCTION("""COMPUTED_VALUE"""),-2.6221957703202516)</f>
        <v>-2.62219577</v>
      </c>
      <c r="G121" s="31">
        <f>IFERROR(__xludf.DUMMYFUNCTION("""COMPUTED_VALUE"""),47.49026846642873)</f>
        <v>47.49026847</v>
      </c>
      <c r="H121" s="31">
        <f>IFERROR(__xludf.DUMMYFUNCTION("""COMPUTED_VALUE"""),-2.1738296466183673)</f>
        <v>-2.173829647</v>
      </c>
      <c r="I121" s="54">
        <f>IFERROR(__xludf.DUMMYFUNCTION("""COMPUTED_VALUE"""),36.0)</f>
        <v>36</v>
      </c>
      <c r="J121" s="55">
        <f>IFERROR(__xludf.DUMMYFUNCTION("""COMPUTED_VALUE"""),17.0)</f>
        <v>17</v>
      </c>
      <c r="K121" s="54">
        <f>IFERROR(__xludf.DUMMYFUNCTION("""COMPUTED_VALUE"""),19.0)</f>
        <v>19</v>
      </c>
      <c r="L121" s="56">
        <f>IFERROR(__xludf.DUMMYFUNCTION("""COMPUTED_VALUE"""),0.4722222222222222)</f>
        <v>0.4722222222</v>
      </c>
      <c r="M121" s="56">
        <f>IFERROR(__xludf.DUMMYFUNCTION("""COMPUTED_VALUE"""),0.2197802197802198)</f>
        <v>0.2197802198</v>
      </c>
      <c r="N121" s="31">
        <f>IFERROR(__xludf.DUMMYFUNCTION("""COMPUTED_VALUE"""),342.27777777777777)</f>
        <v>342.2777778</v>
      </c>
      <c r="O121" s="57">
        <f>IFERROR(__xludf.DUMMYFUNCTION("""COMPUTED_VALUE"""),0.5555555555555556)</f>
        <v>0.5555555556</v>
      </c>
      <c r="P121" s="57">
        <f>IFERROR(__xludf.DUMMYFUNCTION("""COMPUTED_VALUE"""),0.4444444444444444)</f>
        <v>0.4444444444</v>
      </c>
      <c r="Q121" s="57">
        <f>IFERROR(__xludf.DUMMYFUNCTION("""COMPUTED_VALUE"""),1.5277777777777777)</f>
        <v>1.527777778</v>
      </c>
      <c r="R121" s="57">
        <f>IFERROR(__xludf.DUMMYFUNCTION("""COMPUTED_VALUE"""),2.5277777777777777)</f>
        <v>2.527777778</v>
      </c>
      <c r="S121" s="31">
        <f>IFERROR(__xludf.DUMMYFUNCTION("""COMPUTED_VALUE"""),340.5648148148148)</f>
        <v>340.5648148</v>
      </c>
      <c r="T121" s="57">
        <f>IFERROR(__xludf.DUMMYFUNCTION("""COMPUTED_VALUE"""),0.7777777777777777)</f>
        <v>0.7777777778</v>
      </c>
      <c r="U121" s="57">
        <f>IFERROR(__xludf.DUMMYFUNCTION("""COMPUTED_VALUE"""),0.5462962962962963)</f>
        <v>0.5462962963</v>
      </c>
      <c r="V121" s="57">
        <f>IFERROR(__xludf.DUMMYFUNCTION("""COMPUTED_VALUE"""),1.185185185185185)</f>
        <v>1.185185185</v>
      </c>
      <c r="W121" s="57">
        <f>IFERROR(__xludf.DUMMYFUNCTION("""COMPUTED_VALUE"""),2.685185185185186)</f>
        <v>2.685185185</v>
      </c>
      <c r="X121" s="31">
        <f>IFERROR(__xludf.DUMMYFUNCTION("""COMPUTED_VALUE"""),336.4451726417841)</f>
        <v>336.4451726</v>
      </c>
      <c r="Y121" s="57">
        <f>IFERROR(__xludf.DUMMYFUNCTION("""COMPUTED_VALUE"""),0.7773184461804328)</f>
        <v>0.7773184462</v>
      </c>
      <c r="Z121" s="57">
        <f>IFERROR(__xludf.DUMMYFUNCTION("""COMPUTED_VALUE"""),0.523216980983884)</f>
        <v>0.523216981</v>
      </c>
      <c r="AA121" s="57">
        <f>IFERROR(__xludf.DUMMYFUNCTION("""COMPUTED_VALUE"""),1.2193688794527564)</f>
        <v>1.219368879</v>
      </c>
      <c r="AB121" s="57">
        <f>IFERROR(__xludf.DUMMYFUNCTION("""COMPUTED_VALUE"""),2.545841663863672)</f>
        <v>2.545841664</v>
      </c>
      <c r="AC121" s="31">
        <f>IFERROR(__xludf.DUMMYFUNCTION("""COMPUTED_VALUE"""),338.8151925503098)</f>
        <v>338.8151926</v>
      </c>
      <c r="AD121" s="57">
        <f>IFERROR(__xludf.DUMMYFUNCTION("""COMPUTED_VALUE"""),0.742617002421597)</f>
        <v>0.7426170024</v>
      </c>
      <c r="AE121" s="57">
        <f>IFERROR(__xludf.DUMMYFUNCTION("""COMPUTED_VALUE"""),0.5025543201065648)</f>
        <v>0.5025543201</v>
      </c>
      <c r="AF121" s="57">
        <f>IFERROR(__xludf.DUMMYFUNCTION("""COMPUTED_VALUE"""),1.3184274394650235)</f>
        <v>1.318427439</v>
      </c>
      <c r="AG121" s="57">
        <f>IFERROR(__xludf.DUMMYFUNCTION("""COMPUTED_VALUE"""),2.4306958944871764)</f>
        <v>2.430695894</v>
      </c>
      <c r="AH121" s="57">
        <f>IFERROR(__xludf.DUMMYFUNCTION("""COMPUTED_VALUE"""),1.010219687025852)</f>
        <v>1.010219687</v>
      </c>
      <c r="AI121" s="57">
        <f>IFERROR(__xludf.DUMMYFUNCTION("""COMPUTED_VALUE"""),0.7481050847798347)</f>
        <v>0.7481050848</v>
      </c>
      <c r="AJ121" s="57">
        <f>IFERROR(__xludf.DUMMYFUNCTION("""COMPUTED_VALUE"""),0.8843709558604563)</f>
        <v>0.8843709559</v>
      </c>
      <c r="AK121" s="57">
        <f>IFERROR(__xludf.DUMMYFUNCTION("""COMPUTED_VALUE"""),1.1587879105411383)</f>
        <v>1.158787911</v>
      </c>
      <c r="AL121" s="57">
        <f>IFERROR(__xludf.DUMMYFUNCTION("""COMPUTED_VALUE"""),1.0399399544429986)</f>
        <v>1.039939954</v>
      </c>
      <c r="AM121" s="57">
        <f>IFERROR(__xludf.DUMMYFUNCTION("""COMPUTED_VALUE"""),1.0122446166805814)</f>
        <v>1.012244617</v>
      </c>
      <c r="AN121" s="57">
        <f>IFERROR(__xludf.DUMMYFUNCTION("""COMPUTED_VALUE"""),1.000590918174658)</f>
        <v>1.000590918</v>
      </c>
      <c r="AO121" s="57">
        <f>IFERROR(__xludf.DUMMYFUNCTION("""COMPUTED_VALUE"""),1.0441104095456013)</f>
        <v>1.04411041</v>
      </c>
      <c r="AP121" s="35">
        <f>IFERROR(__xludf.DUMMYFUNCTION("""COMPUTED_VALUE"""),0.9719660761861391)</f>
        <v>0.9719660762</v>
      </c>
      <c r="AQ121" s="57">
        <f>IFERROR(__xludf.DUMMYFUNCTION("""COMPUTED_VALUE"""),1.0547337736275557)</f>
        <v>1.054733774</v>
      </c>
      <c r="AR121" s="36" t="b">
        <f>IFERROR(__xludf.DUMMYFUNCTION("""COMPUTED_VALUE"""),TRUE)</f>
        <v>1</v>
      </c>
      <c r="AS121" s="57"/>
      <c r="AT121" s="37"/>
      <c r="AU121" s="30"/>
      <c r="AV121" s="30"/>
      <c r="AW121" s="30"/>
      <c r="AX121" s="30"/>
      <c r="AY121" s="30"/>
      <c r="AZ121" s="30"/>
    </row>
    <row r="122">
      <c r="A122" s="30" t="str">
        <f>IFERROR(__xludf.DUMMYFUNCTION("""COMPUTED_VALUE"""),"Challenger")</f>
        <v>Challenger</v>
      </c>
      <c r="B122" s="30" t="str">
        <f>IFERROR(__xludf.DUMMYFUNCTION("""COMPUTED_VALUE"""),"RSC000025")</f>
        <v>RSC000025</v>
      </c>
      <c r="C122" s="30" t="str">
        <f>IFERROR(__xludf.DUMMYFUNCTION("""COMPUTED_VALUE"""),"Slayerof666")</f>
        <v>Slayerof666</v>
      </c>
      <c r="D122" s="31" t="str">
        <f>IFERROR(__xludf.DUMMYFUNCTION("""COMPUTED_VALUE"""),"Apple Associates")</f>
        <v>Apple Associates</v>
      </c>
      <c r="E122" s="31">
        <f>IFERROR(__xludf.DUMMYFUNCTION("""COMPUTED_VALUE"""),40.56718151650964)</f>
        <v>40.56718152</v>
      </c>
      <c r="F122" s="31">
        <f>IFERROR(__xludf.DUMMYFUNCTION("""COMPUTED_VALUE"""),-2.8330971232895106)</f>
        <v>-2.833097123</v>
      </c>
      <c r="G122" s="31">
        <f>IFERROR(__xludf.DUMMYFUNCTION("""COMPUTED_VALUE"""),43.60018458874471)</f>
        <v>43.60018459</v>
      </c>
      <c r="H122" s="31">
        <f>IFERROR(__xludf.DUMMYFUNCTION("""COMPUTED_VALUE"""),-2.5064021700286863)</f>
        <v>-2.50640217</v>
      </c>
      <c r="I122" s="54">
        <f>IFERROR(__xludf.DUMMYFUNCTION("""COMPUTED_VALUE"""),32.0)</f>
        <v>32</v>
      </c>
      <c r="J122" s="55">
        <f>IFERROR(__xludf.DUMMYFUNCTION("""COMPUTED_VALUE"""),9.0)</f>
        <v>9</v>
      </c>
      <c r="K122" s="54">
        <f>IFERROR(__xludf.DUMMYFUNCTION("""COMPUTED_VALUE"""),23.0)</f>
        <v>23</v>
      </c>
      <c r="L122" s="56">
        <f>IFERROR(__xludf.DUMMYFUNCTION("""COMPUTED_VALUE"""),0.28125)</f>
        <v>0.28125</v>
      </c>
      <c r="M122" s="56">
        <f>IFERROR(__xludf.DUMMYFUNCTION("""COMPUTED_VALUE"""),0.2289156626506024)</f>
        <v>0.2289156627</v>
      </c>
      <c r="N122" s="31">
        <f>IFERROR(__xludf.DUMMYFUNCTION("""COMPUTED_VALUE"""),306.34375)</f>
        <v>306.34375</v>
      </c>
      <c r="O122" s="57">
        <f>IFERROR(__xludf.DUMMYFUNCTION("""COMPUTED_VALUE"""),0.59375)</f>
        <v>0.59375</v>
      </c>
      <c r="P122" s="57">
        <f>IFERROR(__xludf.DUMMYFUNCTION("""COMPUTED_VALUE"""),0.3125)</f>
        <v>0.3125</v>
      </c>
      <c r="Q122" s="57">
        <f>IFERROR(__xludf.DUMMYFUNCTION("""COMPUTED_VALUE"""),1.34375)</f>
        <v>1.34375</v>
      </c>
      <c r="R122" s="57">
        <f>IFERROR(__xludf.DUMMYFUNCTION("""COMPUTED_VALUE"""),2.59375)</f>
        <v>2.59375</v>
      </c>
      <c r="S122" s="31">
        <f>IFERROR(__xludf.DUMMYFUNCTION("""COMPUTED_VALUE"""),346.4583333333333)</f>
        <v>346.4583333</v>
      </c>
      <c r="T122" s="57">
        <f>IFERROR(__xludf.DUMMYFUNCTION("""COMPUTED_VALUE"""),0.90625)</f>
        <v>0.90625</v>
      </c>
      <c r="U122" s="57">
        <f>IFERROR(__xludf.DUMMYFUNCTION("""COMPUTED_VALUE"""),0.6458333333333334)</f>
        <v>0.6458333333</v>
      </c>
      <c r="V122" s="57">
        <f>IFERROR(__xludf.DUMMYFUNCTION("""COMPUTED_VALUE"""),1.166666666666667)</f>
        <v>1.166666667</v>
      </c>
      <c r="W122" s="57">
        <f>IFERROR(__xludf.DUMMYFUNCTION("""COMPUTED_VALUE"""),2.5312500000000004)</f>
        <v>2.53125</v>
      </c>
      <c r="X122" s="31">
        <f>IFERROR(__xludf.DUMMYFUNCTION("""COMPUTED_VALUE"""),354.6715367560864)</f>
        <v>354.6715368</v>
      </c>
      <c r="Y122" s="57">
        <f>IFERROR(__xludf.DUMMYFUNCTION("""COMPUTED_VALUE"""),0.8671732550022105)</f>
        <v>0.867173255</v>
      </c>
      <c r="Z122" s="57">
        <f>IFERROR(__xludf.DUMMYFUNCTION("""COMPUTED_VALUE"""),0.6433665680523383)</f>
        <v>0.6433665681</v>
      </c>
      <c r="AA122" s="57">
        <f>IFERROR(__xludf.DUMMYFUNCTION("""COMPUTED_VALUE"""),1.2046673722746024)</f>
        <v>1.204667372</v>
      </c>
      <c r="AB122" s="57">
        <f>IFERROR(__xludf.DUMMYFUNCTION("""COMPUTED_VALUE"""),2.655647328486018)</f>
        <v>2.655647328</v>
      </c>
      <c r="AC122" s="31">
        <f>IFERROR(__xludf.DUMMYFUNCTION("""COMPUTED_VALUE"""),320.48104310509507)</f>
        <v>320.4810431</v>
      </c>
      <c r="AD122" s="57">
        <f>IFERROR(__xludf.DUMMYFUNCTION("""COMPUTED_VALUE"""),0.6665701071605329)</f>
        <v>0.6665701072</v>
      </c>
      <c r="AE122" s="57">
        <f>IFERROR(__xludf.DUMMYFUNCTION("""COMPUTED_VALUE"""),0.4592179009562193)</f>
        <v>0.459217901</v>
      </c>
      <c r="AF122" s="57">
        <f>IFERROR(__xludf.DUMMYFUNCTION("""COMPUTED_VALUE"""),1.2955684766628364)</f>
        <v>1.295568477</v>
      </c>
      <c r="AG122" s="57">
        <f>IFERROR(__xludf.DUMMYFUNCTION("""COMPUTED_VALUE"""),2.251501289782441)</f>
        <v>2.25150129</v>
      </c>
      <c r="AH122" s="57">
        <f>IFERROR(__xludf.DUMMYFUNCTION("""COMPUTED_VALUE"""),0.9558872719330889)</f>
        <v>0.9558872719</v>
      </c>
      <c r="AI122" s="57">
        <f>IFERROR(__xludf.DUMMYFUNCTION("""COMPUTED_VALUE"""),0.8907540161518295)</f>
        <v>0.8907540162</v>
      </c>
      <c r="AJ122" s="57">
        <f>IFERROR(__xludf.DUMMYFUNCTION("""COMPUTED_VALUE"""),0.6805048308205933)</f>
        <v>0.6805048308</v>
      </c>
      <c r="AK122" s="57">
        <f>IFERROR(__xludf.DUMMYFUNCTION("""COMPUTED_VALUE"""),1.037189484157002)</f>
        <v>1.037189484</v>
      </c>
      <c r="AL122" s="57">
        <f>IFERROR(__xludf.DUMMYFUNCTION("""COMPUTED_VALUE"""),1.1520091113297253)</f>
        <v>1.152009111</v>
      </c>
      <c r="AM122" s="57">
        <f>IFERROR(__xludf.DUMMYFUNCTION("""COMPUTED_VALUE"""),0.9768427895345843)</f>
        <v>0.9768427895</v>
      </c>
      <c r="AN122" s="57">
        <f>IFERROR(__xludf.DUMMYFUNCTION("""COMPUTED_VALUE"""),1.0450622119309825)</f>
        <v>1.045062212</v>
      </c>
      <c r="AO122" s="57">
        <f>IFERROR(__xludf.DUMMYFUNCTION("""COMPUTED_VALUE"""),1.0038341521047056)</f>
        <v>1.003834152</v>
      </c>
      <c r="AP122" s="35">
        <f>IFERROR(__xludf.DUMMYFUNCTION("""COMPUTED_VALUE"""),0.9684554371750069)</f>
        <v>0.9684554372</v>
      </c>
      <c r="AQ122" s="57">
        <f>IFERROR(__xludf.DUMMYFUNCTION("""COMPUTED_VALUE"""),0.9531574365497785)</f>
        <v>0.9531574365</v>
      </c>
      <c r="AR122" s="36" t="b">
        <f>IFERROR(__xludf.DUMMYFUNCTION("""COMPUTED_VALUE"""),TRUE)</f>
        <v>1</v>
      </c>
      <c r="AS122" s="57"/>
      <c r="AT122" s="37"/>
      <c r="AU122" s="30"/>
      <c r="AV122" s="30"/>
      <c r="AW122" s="30"/>
      <c r="AX122" s="30"/>
      <c r="AY122" s="30"/>
      <c r="AZ122" s="30"/>
    </row>
    <row r="123">
      <c r="A123" s="30" t="str">
        <f>IFERROR(__xludf.DUMMYFUNCTION("""COMPUTED_VALUE"""),"Challenger")</f>
        <v>Challenger</v>
      </c>
      <c r="B123" s="30" t="str">
        <f>IFERROR(__xludf.DUMMYFUNCTION("""COMPUTED_VALUE"""),"RSC004817")</f>
        <v>RSC004817</v>
      </c>
      <c r="C123" s="30" t="str">
        <f>IFERROR(__xludf.DUMMYFUNCTION("""COMPUTED_VALUE"""),"crybound")</f>
        <v>crybound</v>
      </c>
      <c r="D123" s="31" t="str">
        <f>IFERROR(__xludf.DUMMYFUNCTION("""COMPUTED_VALUE"""),"Chromatic Chaos")</f>
        <v>Chromatic Chaos</v>
      </c>
      <c r="E123" s="31">
        <f>IFERROR(__xludf.DUMMYFUNCTION("""COMPUTED_VALUE"""),39.802248967805184)</f>
        <v>39.80224897</v>
      </c>
      <c r="F123" s="31">
        <f>IFERROR(__xludf.DUMMYFUNCTION("""COMPUTED_VALUE"""),-2.9268019111398544)</f>
        <v>-2.926801911</v>
      </c>
      <c r="G123" s="31">
        <f>IFERROR(__xludf.DUMMYFUNCTION("""COMPUTED_VALUE"""),29.046489307851157)</f>
        <v>29.04648931</v>
      </c>
      <c r="H123" s="31">
        <f>IFERROR(__xludf.DUMMYFUNCTION("""COMPUTED_VALUE"""),-4.975720476304417)</f>
        <v>-4.975720476</v>
      </c>
      <c r="I123" s="54">
        <f>IFERROR(__xludf.DUMMYFUNCTION("""COMPUTED_VALUE"""),23.0)</f>
        <v>23</v>
      </c>
      <c r="J123" s="55">
        <f>IFERROR(__xludf.DUMMYFUNCTION("""COMPUTED_VALUE"""),10.0)</f>
        <v>10</v>
      </c>
      <c r="K123" s="54">
        <f>IFERROR(__xludf.DUMMYFUNCTION("""COMPUTED_VALUE"""),13.0)</f>
        <v>13</v>
      </c>
      <c r="L123" s="56">
        <f>IFERROR(__xludf.DUMMYFUNCTION("""COMPUTED_VALUE"""),0.43478260869565216)</f>
        <v>0.4347826087</v>
      </c>
      <c r="M123" s="56">
        <f>IFERROR(__xludf.DUMMYFUNCTION("""COMPUTED_VALUE"""),0.3018867924528302)</f>
        <v>0.3018867925</v>
      </c>
      <c r="N123" s="31">
        <f>IFERROR(__xludf.DUMMYFUNCTION("""COMPUTED_VALUE"""),301.2608695652174)</f>
        <v>301.2608696</v>
      </c>
      <c r="O123" s="57">
        <f>IFERROR(__xludf.DUMMYFUNCTION("""COMPUTED_VALUE"""),0.6956521739130435)</f>
        <v>0.6956521739</v>
      </c>
      <c r="P123" s="57">
        <f>IFERROR(__xludf.DUMMYFUNCTION("""COMPUTED_VALUE"""),0.5217391304347826)</f>
        <v>0.5217391304</v>
      </c>
      <c r="Q123" s="57">
        <f>IFERROR(__xludf.DUMMYFUNCTION("""COMPUTED_VALUE"""),1.0)</f>
        <v>1</v>
      </c>
      <c r="R123" s="57">
        <f>IFERROR(__xludf.DUMMYFUNCTION("""COMPUTED_VALUE"""),2.3043478260869565)</f>
        <v>2.304347826</v>
      </c>
      <c r="S123" s="31">
        <f>IFERROR(__xludf.DUMMYFUNCTION("""COMPUTED_VALUE"""),347.9855072463768)</f>
        <v>347.9855072</v>
      </c>
      <c r="T123" s="57">
        <f>IFERROR(__xludf.DUMMYFUNCTION("""COMPUTED_VALUE"""),0.9275362318840579)</f>
        <v>0.9275362319</v>
      </c>
      <c r="U123" s="57">
        <f>IFERROR(__xludf.DUMMYFUNCTION("""COMPUTED_VALUE"""),0.5652173913043478)</f>
        <v>0.5652173913</v>
      </c>
      <c r="V123" s="57">
        <f>IFERROR(__xludf.DUMMYFUNCTION("""COMPUTED_VALUE"""),1.1884057971014494)</f>
        <v>1.188405797</v>
      </c>
      <c r="W123" s="57">
        <f>IFERROR(__xludf.DUMMYFUNCTION("""COMPUTED_VALUE"""),2.840579710144927)</f>
        <v>2.84057971</v>
      </c>
      <c r="X123" s="31">
        <f>IFERROR(__xludf.DUMMYFUNCTION("""COMPUTED_VALUE"""),332.2961533545671)</f>
        <v>332.2961534</v>
      </c>
      <c r="Y123" s="57">
        <f>IFERROR(__xludf.DUMMYFUNCTION("""COMPUTED_VALUE"""),0.785085735097366)</f>
        <v>0.7850857351</v>
      </c>
      <c r="Z123" s="57">
        <f>IFERROR(__xludf.DUMMYFUNCTION("""COMPUTED_VALUE"""),0.5367294007914845)</f>
        <v>0.5367294008</v>
      </c>
      <c r="AA123" s="57">
        <f>IFERROR(__xludf.DUMMYFUNCTION("""COMPUTED_VALUE"""),1.1507141222414339)</f>
        <v>1.150714122</v>
      </c>
      <c r="AB123" s="57">
        <f>IFERROR(__xludf.DUMMYFUNCTION("""COMPUTED_VALUE"""),2.5134608742566895)</f>
        <v>2.513460874</v>
      </c>
      <c r="AC123" s="31">
        <f>IFERROR(__xludf.DUMMYFUNCTION("""COMPUTED_VALUE"""),343.19919055010746)</f>
        <v>343.1991906</v>
      </c>
      <c r="AD123" s="57">
        <f>IFERROR(__xludf.DUMMYFUNCTION("""COMPUTED_VALUE"""),0.7970364323480877)</f>
        <v>0.7970364323</v>
      </c>
      <c r="AE123" s="57">
        <f>IFERROR(__xludf.DUMMYFUNCTION("""COMPUTED_VALUE"""),0.5490562785284685)</f>
        <v>0.5490562785</v>
      </c>
      <c r="AF123" s="57">
        <f>IFERROR(__xludf.DUMMYFUNCTION("""COMPUTED_VALUE"""),1.2693241447059553)</f>
        <v>1.269324145</v>
      </c>
      <c r="AG123" s="57">
        <f>IFERROR(__xludf.DUMMYFUNCTION("""COMPUTED_VALUE"""),2.4459177055498773)</f>
        <v>2.445917706</v>
      </c>
      <c r="AH123" s="57">
        <f>IFERROR(__xludf.DUMMYFUNCTION("""COMPUTED_VALUE"""),0.8778018068234137)</f>
        <v>0.8778018068</v>
      </c>
      <c r="AI123" s="57">
        <f>IFERROR(__xludf.DUMMYFUNCTION("""COMPUTED_VALUE"""),0.872798464009526)</f>
        <v>0.872798464</v>
      </c>
      <c r="AJ123" s="57">
        <f>IFERROR(__xludf.DUMMYFUNCTION("""COMPUTED_VALUE"""),0.9502470891200828)</f>
        <v>0.9502470891</v>
      </c>
      <c r="AK123" s="57">
        <f>IFERROR(__xludf.DUMMYFUNCTION("""COMPUTED_VALUE"""),0.7878208290378456)</f>
        <v>0.787820829</v>
      </c>
      <c r="AL123" s="57">
        <f>IFERROR(__xludf.DUMMYFUNCTION("""COMPUTED_VALUE"""),0.9421199334950258)</f>
        <v>0.9421199335</v>
      </c>
      <c r="AM123" s="57">
        <f>IFERROR(__xludf.DUMMYFUNCTION("""COMPUTED_VALUE"""),1.0472149729493523)</f>
        <v>1.047214973</v>
      </c>
      <c r="AN123" s="57">
        <f>IFERROR(__xludf.DUMMYFUNCTION("""COMPUTED_VALUE"""),1.1814457840951922)</f>
        <v>1.181445784</v>
      </c>
      <c r="AO123" s="57">
        <f>IFERROR(__xludf.DUMMYFUNCTION("""COMPUTED_VALUE"""),1.0530770076520006)</f>
        <v>1.053077008</v>
      </c>
      <c r="AP123" s="35">
        <f>IFERROR(__xludf.DUMMYFUNCTION("""COMPUTED_VALUE"""),1.0327550293608958)</f>
        <v>1.032755029</v>
      </c>
      <c r="AQ123" s="57">
        <f>IFERROR(__xludf.DUMMYFUNCTION("""COMPUTED_VALUE"""),1.1301467785867074)</f>
        <v>1.130146779</v>
      </c>
      <c r="AR123" s="36" t="b">
        <f>IFERROR(__xludf.DUMMYFUNCTION("""COMPUTED_VALUE"""),TRUE)</f>
        <v>1</v>
      </c>
      <c r="AS123" s="57"/>
      <c r="AT123" s="37"/>
      <c r="AU123" s="30"/>
      <c r="AV123" s="30"/>
      <c r="AW123" s="30"/>
      <c r="AX123" s="30"/>
      <c r="AY123" s="30"/>
      <c r="AZ123" s="30"/>
    </row>
    <row r="124">
      <c r="A124" s="30" t="str">
        <f>IFERROR(__xludf.DUMMYFUNCTION("""COMPUTED_VALUE"""),"Challenger")</f>
        <v>Challenger</v>
      </c>
      <c r="B124" s="30" t="str">
        <f>IFERROR(__xludf.DUMMYFUNCTION("""COMPUTED_VALUE"""),"RSC006777")</f>
        <v>RSC006777</v>
      </c>
      <c r="C124" s="30" t="str">
        <f>IFERROR(__xludf.DUMMYFUNCTION("""COMPUTED_VALUE"""),"AlteredSp4rky")</f>
        <v>AlteredSp4rky</v>
      </c>
      <c r="D124" s="31" t="str">
        <f>IFERROR(__xludf.DUMMYFUNCTION("""COMPUTED_VALUE"""),"Toucans")</f>
        <v>Toucans</v>
      </c>
      <c r="E124" s="31">
        <f>IFERROR(__xludf.DUMMYFUNCTION("""COMPUTED_VALUE"""),39.552803587922924)</f>
        <v>39.55280359</v>
      </c>
      <c r="F124" s="31">
        <f>IFERROR(__xludf.DUMMYFUNCTION("""COMPUTED_VALUE"""),-2.9584524777857166)</f>
        <v>-2.958452478</v>
      </c>
      <c r="G124" s="31">
        <f>IFERROR(__xludf.DUMMYFUNCTION("""COMPUTED_VALUE"""),55.97152827459723)</f>
        <v>55.97152827</v>
      </c>
      <c r="H124" s="31">
        <f>IFERROR(__xludf.DUMMYFUNCTION("""COMPUTED_VALUE"""),2.4654429153915065)</f>
        <v>2.465442915</v>
      </c>
      <c r="I124" s="54">
        <f>IFERROR(__xludf.DUMMYFUNCTION("""COMPUTED_VALUE"""),17.0)</f>
        <v>17</v>
      </c>
      <c r="J124" s="55">
        <f>IFERROR(__xludf.DUMMYFUNCTION("""COMPUTED_VALUE"""),7.0)</f>
        <v>7</v>
      </c>
      <c r="K124" s="54">
        <f>IFERROR(__xludf.DUMMYFUNCTION("""COMPUTED_VALUE"""),10.0)</f>
        <v>10</v>
      </c>
      <c r="L124" s="56">
        <f>IFERROR(__xludf.DUMMYFUNCTION("""COMPUTED_VALUE"""),0.4117647058823529)</f>
        <v>0.4117647059</v>
      </c>
      <c r="M124" s="56">
        <f>IFERROR(__xludf.DUMMYFUNCTION("""COMPUTED_VALUE"""),0.2571428571428572)</f>
        <v>0.2571428571</v>
      </c>
      <c r="N124" s="31">
        <f>IFERROR(__xludf.DUMMYFUNCTION("""COMPUTED_VALUE"""),283.5882352941176)</f>
        <v>283.5882353</v>
      </c>
      <c r="O124" s="57">
        <f>IFERROR(__xludf.DUMMYFUNCTION("""COMPUTED_VALUE"""),0.5294117647058824)</f>
        <v>0.5294117647</v>
      </c>
      <c r="P124" s="57">
        <f>IFERROR(__xludf.DUMMYFUNCTION("""COMPUTED_VALUE"""),0.6470588235294118)</f>
        <v>0.6470588235</v>
      </c>
      <c r="Q124" s="57">
        <f>IFERROR(__xludf.DUMMYFUNCTION("""COMPUTED_VALUE"""),0.8823529411764706)</f>
        <v>0.8823529412</v>
      </c>
      <c r="R124" s="57">
        <f>IFERROR(__xludf.DUMMYFUNCTION("""COMPUTED_VALUE"""),2.0588235294117645)</f>
        <v>2.058823529</v>
      </c>
      <c r="S124" s="31">
        <f>IFERROR(__xludf.DUMMYFUNCTION("""COMPUTED_VALUE"""),297.47058823529414)</f>
        <v>297.4705882</v>
      </c>
      <c r="T124" s="57">
        <f>IFERROR(__xludf.DUMMYFUNCTION("""COMPUTED_VALUE"""),0.7254901960784315)</f>
        <v>0.7254901961</v>
      </c>
      <c r="U124" s="57">
        <f>IFERROR(__xludf.DUMMYFUNCTION("""COMPUTED_VALUE"""),0.43137254901960775)</f>
        <v>0.431372549</v>
      </c>
      <c r="V124" s="57">
        <f>IFERROR(__xludf.DUMMYFUNCTION("""COMPUTED_VALUE"""),1.0196078431372548)</f>
        <v>1.019607843</v>
      </c>
      <c r="W124" s="57">
        <f>IFERROR(__xludf.DUMMYFUNCTION("""COMPUTED_VALUE"""),1.96078431372549)</f>
        <v>1.960784314</v>
      </c>
      <c r="X124" s="31">
        <f>IFERROR(__xludf.DUMMYFUNCTION("""COMPUTED_VALUE"""),308.21526005718187)</f>
        <v>308.2152601</v>
      </c>
      <c r="Y124" s="57">
        <f>IFERROR(__xludf.DUMMYFUNCTION("""COMPUTED_VALUE"""),0.6518985982192441)</f>
        <v>0.6518985982</v>
      </c>
      <c r="Z124" s="57">
        <f>IFERROR(__xludf.DUMMYFUNCTION("""COMPUTED_VALUE"""),0.43419805721853)</f>
        <v>0.4341980572</v>
      </c>
      <c r="AA124" s="57">
        <f>IFERROR(__xludf.DUMMYFUNCTION("""COMPUTED_VALUE"""),1.1408289546755517)</f>
        <v>1.140828955</v>
      </c>
      <c r="AB124" s="57">
        <f>IFERROR(__xludf.DUMMYFUNCTION("""COMPUTED_VALUE"""),2.2237370699913956)</f>
        <v>2.22373707</v>
      </c>
      <c r="AC124" s="31">
        <f>IFERROR(__xludf.DUMMYFUNCTION("""COMPUTED_VALUE"""),324.6633913797909)</f>
        <v>324.6633914</v>
      </c>
      <c r="AD124" s="57">
        <f>IFERROR(__xludf.DUMMYFUNCTION("""COMPUTED_VALUE"""),0.777119171197891)</f>
        <v>0.7771191712</v>
      </c>
      <c r="AE124" s="57">
        <f>IFERROR(__xludf.DUMMYFUNCTION("""COMPUTED_VALUE"""),0.5365032781449545)</f>
        <v>0.5365032781</v>
      </c>
      <c r="AF124" s="57">
        <f>IFERROR(__xludf.DUMMYFUNCTION("""COMPUTED_VALUE"""),1.0890402195736684)</f>
        <v>1.08904022</v>
      </c>
      <c r="AG124" s="57">
        <f>IFERROR(__xludf.DUMMYFUNCTION("""COMPUTED_VALUE"""),2.3443996560134583)</f>
        <v>2.344399656</v>
      </c>
      <c r="AH124" s="57">
        <f>IFERROR(__xludf.DUMMYFUNCTION("""COMPUTED_VALUE"""),0.8734838692126407)</f>
        <v>0.8734838692</v>
      </c>
      <c r="AI124" s="57">
        <f>IFERROR(__xludf.DUMMYFUNCTION("""COMPUTED_VALUE"""),0.6812491369757616)</f>
        <v>0.681249137</v>
      </c>
      <c r="AJ124" s="57">
        <f>IFERROR(__xludf.DUMMYFUNCTION("""COMPUTED_VALUE"""),1.2060668590259518)</f>
        <v>1.206066859</v>
      </c>
      <c r="AK124" s="57">
        <f>IFERROR(__xludf.DUMMYFUNCTION("""COMPUTED_VALUE"""),0.8102115287550072)</f>
        <v>0.8102115288</v>
      </c>
      <c r="AL124" s="57">
        <f>IFERROR(__xludf.DUMMYFUNCTION("""COMPUTED_VALUE"""),0.8781879506469035)</f>
        <v>0.8781879506</v>
      </c>
      <c r="AM124" s="57">
        <f>IFERROR(__xludf.DUMMYFUNCTION("""COMPUTED_VALUE"""),0.9651390660543728)</f>
        <v>0.9651390661</v>
      </c>
      <c r="AN124" s="57">
        <f>IFERROR(__xludf.DUMMYFUNCTION("""COMPUTED_VALUE"""),1.11288810569652)</f>
        <v>1.112888106</v>
      </c>
      <c r="AO124" s="57">
        <f>IFERROR(__xludf.DUMMYFUNCTION("""COMPUTED_VALUE"""),0.9934925821247971)</f>
        <v>0.9934925821</v>
      </c>
      <c r="AP124" s="35">
        <f>IFERROR(__xludf.DUMMYFUNCTION("""COMPUTED_VALUE"""),0.8937429567846376)</f>
        <v>0.8937429568</v>
      </c>
      <c r="AQ124" s="57">
        <f>IFERROR(__xludf.DUMMYFUNCTION("""COMPUTED_VALUE"""),0.8817518672443936)</f>
        <v>0.8817518672</v>
      </c>
      <c r="AR124" s="36" t="b">
        <f>IFERROR(__xludf.DUMMYFUNCTION("""COMPUTED_VALUE"""),TRUE)</f>
        <v>1</v>
      </c>
      <c r="AS124" s="57"/>
      <c r="AT124" s="37"/>
      <c r="AU124" s="30"/>
      <c r="AV124" s="30"/>
      <c r="AW124" s="30"/>
      <c r="AX124" s="30"/>
      <c r="AY124" s="30"/>
      <c r="AZ124" s="30"/>
    </row>
    <row r="125">
      <c r="A125" s="30" t="str">
        <f>IFERROR(__xludf.DUMMYFUNCTION("""COMPUTED_VALUE"""),"Challenger")</f>
        <v>Challenger</v>
      </c>
      <c r="B125" s="30" t="str">
        <f>IFERROR(__xludf.DUMMYFUNCTION("""COMPUTED_VALUE"""),"RSC007546")</f>
        <v>RSC007546</v>
      </c>
      <c r="C125" s="30" t="str">
        <f>IFERROR(__xludf.DUMMYFUNCTION("""COMPUTED_VALUE"""),"N0TTopmarx")</f>
        <v>N0TTopmarx</v>
      </c>
      <c r="D125" s="31" t="str">
        <f>IFERROR(__xludf.DUMMYFUNCTION("""COMPUTED_VALUE"""),"Metal")</f>
        <v>Metal</v>
      </c>
      <c r="E125" s="31">
        <f>IFERROR(__xludf.DUMMYFUNCTION("""COMPUTED_VALUE"""),39.17758093844512)</f>
        <v>39.17758094</v>
      </c>
      <c r="F125" s="31">
        <f>IFERROR(__xludf.DUMMYFUNCTION("""COMPUTED_VALUE"""),-3.0071128496740585)</f>
        <v>-3.00711285</v>
      </c>
      <c r="G125" s="31">
        <f>IFERROR(__xludf.DUMMYFUNCTION("""COMPUTED_VALUE"""),41.67266264468354)</f>
        <v>41.67266264</v>
      </c>
      <c r="H125" s="31">
        <f>IFERROR(__xludf.DUMMYFUNCTION("""COMPUTED_VALUE"""),-2.7061266472853083)</f>
        <v>-2.706126647</v>
      </c>
      <c r="I125" s="54">
        <f>IFERROR(__xludf.DUMMYFUNCTION("""COMPUTED_VALUE"""),25.0)</f>
        <v>25</v>
      </c>
      <c r="J125" s="55">
        <f>IFERROR(__xludf.DUMMYFUNCTION("""COMPUTED_VALUE"""),11.0)</f>
        <v>11</v>
      </c>
      <c r="K125" s="54">
        <f>IFERROR(__xludf.DUMMYFUNCTION("""COMPUTED_VALUE"""),14.0)</f>
        <v>14</v>
      </c>
      <c r="L125" s="56">
        <f>IFERROR(__xludf.DUMMYFUNCTION("""COMPUTED_VALUE"""),0.44)</f>
        <v>0.44</v>
      </c>
      <c r="M125" s="56">
        <f>IFERROR(__xludf.DUMMYFUNCTION("""COMPUTED_VALUE"""),0.29032258064516125)</f>
        <v>0.2903225806</v>
      </c>
      <c r="N125" s="31">
        <f>IFERROR(__xludf.DUMMYFUNCTION("""COMPUTED_VALUE"""),325.6)</f>
        <v>325.6</v>
      </c>
      <c r="O125" s="57">
        <f>IFERROR(__xludf.DUMMYFUNCTION("""COMPUTED_VALUE"""),0.72)</f>
        <v>0.72</v>
      </c>
      <c r="P125" s="57">
        <f>IFERROR(__xludf.DUMMYFUNCTION("""COMPUTED_VALUE"""),0.4)</f>
        <v>0.4</v>
      </c>
      <c r="Q125" s="57">
        <f>IFERROR(__xludf.DUMMYFUNCTION("""COMPUTED_VALUE"""),1.04)</f>
        <v>1.04</v>
      </c>
      <c r="R125" s="57">
        <f>IFERROR(__xludf.DUMMYFUNCTION("""COMPUTED_VALUE"""),2.48)</f>
        <v>2.48</v>
      </c>
      <c r="S125" s="31">
        <f>IFERROR(__xludf.DUMMYFUNCTION("""COMPUTED_VALUE"""),323.8)</f>
        <v>323.8</v>
      </c>
      <c r="T125" s="57">
        <f>IFERROR(__xludf.DUMMYFUNCTION("""COMPUTED_VALUE"""),0.8)</f>
        <v>0.8</v>
      </c>
      <c r="U125" s="57">
        <f>IFERROR(__xludf.DUMMYFUNCTION("""COMPUTED_VALUE"""),0.5333333333333332)</f>
        <v>0.5333333333</v>
      </c>
      <c r="V125" s="57">
        <f>IFERROR(__xludf.DUMMYFUNCTION("""COMPUTED_VALUE"""),1.0133333333333332)</f>
        <v>1.013333333</v>
      </c>
      <c r="W125" s="57">
        <f>IFERROR(__xludf.DUMMYFUNCTION("""COMPUTED_VALUE"""),2.4800000000000004)</f>
        <v>2.48</v>
      </c>
      <c r="X125" s="31">
        <f>IFERROR(__xludf.DUMMYFUNCTION("""COMPUTED_VALUE"""),325.85967483443324)</f>
        <v>325.8596748</v>
      </c>
      <c r="Y125" s="57">
        <f>IFERROR(__xludf.DUMMYFUNCTION("""COMPUTED_VALUE"""),0.7236113614557148)</f>
        <v>0.7236113615</v>
      </c>
      <c r="Z125" s="57">
        <f>IFERROR(__xludf.DUMMYFUNCTION("""COMPUTED_VALUE"""),0.4988205122782103)</f>
        <v>0.4988205123</v>
      </c>
      <c r="AA125" s="57">
        <f>IFERROR(__xludf.DUMMYFUNCTION("""COMPUTED_VALUE"""),1.2415519367168584)</f>
        <v>1.241551937</v>
      </c>
      <c r="AB125" s="57">
        <f>IFERROR(__xludf.DUMMYFUNCTION("""COMPUTED_VALUE"""),2.2957057587007204)</f>
        <v>2.295705759</v>
      </c>
      <c r="AC125" s="31">
        <f>IFERROR(__xludf.DUMMYFUNCTION("""COMPUTED_VALUE"""),346.44341766676416)</f>
        <v>346.4434177</v>
      </c>
      <c r="AD125" s="57">
        <f>IFERROR(__xludf.DUMMYFUNCTION("""COMPUTED_VALUE"""),0.8466167747278134)</f>
        <v>0.8466167747</v>
      </c>
      <c r="AE125" s="57">
        <f>IFERROR(__xludf.DUMMYFUNCTION("""COMPUTED_VALUE"""),0.6079816374658626)</f>
        <v>0.6079816375</v>
      </c>
      <c r="AF125" s="57">
        <f>IFERROR(__xludf.DUMMYFUNCTION("""COMPUTED_VALUE"""),1.1668701817156966)</f>
        <v>1.166870182</v>
      </c>
      <c r="AG125" s="57">
        <f>IFERROR(__xludf.DUMMYFUNCTION("""COMPUTED_VALUE"""),2.5685094382628453)</f>
        <v>2.568509438</v>
      </c>
      <c r="AH125" s="57">
        <f>IFERROR(__xludf.DUMMYFUNCTION("""COMPUTED_VALUE"""),0.9398360118742018)</f>
        <v>0.9398360119</v>
      </c>
      <c r="AI125" s="57">
        <f>IFERROR(__xludf.DUMMYFUNCTION("""COMPUTED_VALUE"""),0.8504438153041315)</f>
        <v>0.8504438153</v>
      </c>
      <c r="AJ125" s="57">
        <f>IFERROR(__xludf.DUMMYFUNCTION("""COMPUTED_VALUE"""),0.6579146068740596)</f>
        <v>0.6579146069</v>
      </c>
      <c r="AK125" s="57">
        <f>IFERROR(__xludf.DUMMYFUNCTION("""COMPUTED_VALUE"""),0.891273096438925)</f>
        <v>0.8912730964</v>
      </c>
      <c r="AL125" s="57">
        <f>IFERROR(__xludf.DUMMYFUNCTION("""COMPUTED_VALUE"""),0.9655405438873113)</f>
        <v>0.9655405439</v>
      </c>
      <c r="AM125" s="57">
        <f>IFERROR(__xludf.DUMMYFUNCTION("""COMPUTED_VALUE"""),0.9936792583019678)</f>
        <v>0.9936792583</v>
      </c>
      <c r="AN125" s="57">
        <f>IFERROR(__xludf.DUMMYFUNCTION("""COMPUTED_VALUE"""),1.1055658363221543)</f>
        <v>1.105565836</v>
      </c>
      <c r="AO125" s="57">
        <f>IFERROR(__xludf.DUMMYFUNCTION("""COMPUTED_VALUE"""),1.0691888569247006)</f>
        <v>1.069188857</v>
      </c>
      <c r="AP125" s="35">
        <f>IFERROR(__xludf.DUMMYFUNCTION("""COMPUTED_VALUE"""),0.8161827978078605)</f>
        <v>0.8161827978</v>
      </c>
      <c r="AQ125" s="57">
        <f>IFERROR(__xludf.DUMMYFUNCTION("""COMPUTED_VALUE"""),1.0802778146113914)</f>
        <v>1.080277815</v>
      </c>
      <c r="AR125" s="36" t="b">
        <f>IFERROR(__xludf.DUMMYFUNCTION("""COMPUTED_VALUE"""),TRUE)</f>
        <v>1</v>
      </c>
      <c r="AS125" s="57"/>
      <c r="AT125" s="37"/>
      <c r="AU125" s="30"/>
      <c r="AV125" s="30"/>
      <c r="AW125" s="30"/>
      <c r="AX125" s="30"/>
      <c r="AY125" s="30"/>
      <c r="AZ125" s="30"/>
    </row>
    <row r="126">
      <c r="A126" s="30" t="str">
        <f>IFERROR(__xludf.DUMMYFUNCTION("""COMPUTED_VALUE"""),"Challenger")</f>
        <v>Challenger</v>
      </c>
      <c r="B126" s="30" t="str">
        <f>IFERROR(__xludf.DUMMYFUNCTION("""COMPUTED_VALUE"""),"RSC004844")</f>
        <v>RSC004844</v>
      </c>
      <c r="C126" s="30" t="str">
        <f>IFERROR(__xludf.DUMMYFUNCTION("""COMPUTED_VALUE"""),"Calicat01")</f>
        <v>Calicat01</v>
      </c>
      <c r="D126" s="31" t="str">
        <f>IFERROR(__xludf.DUMMYFUNCTION("""COMPUTED_VALUE"""),"Threshers")</f>
        <v>Threshers</v>
      </c>
      <c r="E126" s="31">
        <f>IFERROR(__xludf.DUMMYFUNCTION("""COMPUTED_VALUE"""),38.85669820599215)</f>
        <v>38.85669821</v>
      </c>
      <c r="F126" s="31">
        <f>IFERROR(__xludf.DUMMYFUNCTION("""COMPUTED_VALUE"""),-3.049753086119993)</f>
        <v>-3.049753086</v>
      </c>
      <c r="G126" s="31">
        <f>IFERROR(__xludf.DUMMYFUNCTION("""COMPUTED_VALUE"""),41.52770616848383)</f>
        <v>41.52770617</v>
      </c>
      <c r="H126" s="31">
        <f>IFERROR(__xludf.DUMMYFUNCTION("""COMPUTED_VALUE"""),-2.722231857275668)</f>
        <v>-2.722231857</v>
      </c>
      <c r="I126" s="54">
        <f>IFERROR(__xludf.DUMMYFUNCTION("""COMPUTED_VALUE"""),34.0)</f>
        <v>34</v>
      </c>
      <c r="J126" s="55">
        <f>IFERROR(__xludf.DUMMYFUNCTION("""COMPUTED_VALUE"""),12.0)</f>
        <v>12</v>
      </c>
      <c r="K126" s="54">
        <f>IFERROR(__xludf.DUMMYFUNCTION("""COMPUTED_VALUE"""),22.0)</f>
        <v>22</v>
      </c>
      <c r="L126" s="56">
        <f>IFERROR(__xludf.DUMMYFUNCTION("""COMPUTED_VALUE"""),0.35294117647058826)</f>
        <v>0.3529411765</v>
      </c>
      <c r="M126" s="56">
        <f>IFERROR(__xludf.DUMMYFUNCTION("""COMPUTED_VALUE"""),0.2289156626506024)</f>
        <v>0.2289156627</v>
      </c>
      <c r="N126" s="31">
        <f>IFERROR(__xludf.DUMMYFUNCTION("""COMPUTED_VALUE"""),326.29411764705884)</f>
        <v>326.2941176</v>
      </c>
      <c r="O126" s="57">
        <f>IFERROR(__xludf.DUMMYFUNCTION("""COMPUTED_VALUE"""),0.5588235294117647)</f>
        <v>0.5588235294</v>
      </c>
      <c r="P126" s="57">
        <f>IFERROR(__xludf.DUMMYFUNCTION("""COMPUTED_VALUE"""),0.4411764705882353)</f>
        <v>0.4411764706</v>
      </c>
      <c r="Q126" s="57">
        <f>IFERROR(__xludf.DUMMYFUNCTION("""COMPUTED_VALUE"""),1.4705882352941178)</f>
        <v>1.470588235</v>
      </c>
      <c r="R126" s="57">
        <f>IFERROR(__xludf.DUMMYFUNCTION("""COMPUTED_VALUE"""),2.4411764705882355)</f>
        <v>2.441176471</v>
      </c>
      <c r="S126" s="31">
        <f>IFERROR(__xludf.DUMMYFUNCTION("""COMPUTED_VALUE"""),365.0588235294118)</f>
        <v>365.0588235</v>
      </c>
      <c r="T126" s="57">
        <f>IFERROR(__xludf.DUMMYFUNCTION("""COMPUTED_VALUE"""),0.9509803921568626)</f>
        <v>0.9509803922</v>
      </c>
      <c r="U126" s="57">
        <f>IFERROR(__xludf.DUMMYFUNCTION("""COMPUTED_VALUE"""),0.7352941176470589)</f>
        <v>0.7352941176</v>
      </c>
      <c r="V126" s="57">
        <f>IFERROR(__xludf.DUMMYFUNCTION("""COMPUTED_VALUE"""),1.196078431372549)</f>
        <v>1.196078431</v>
      </c>
      <c r="W126" s="57">
        <f>IFERROR(__xludf.DUMMYFUNCTION("""COMPUTED_VALUE"""),2.8235294117647056)</f>
        <v>2.823529412</v>
      </c>
      <c r="X126" s="31">
        <f>IFERROR(__xludf.DUMMYFUNCTION("""COMPUTED_VALUE"""),347.30989897044265)</f>
        <v>347.309899</v>
      </c>
      <c r="Y126" s="57">
        <f>IFERROR(__xludf.DUMMYFUNCTION("""COMPUTED_VALUE"""),0.8583916630878108)</f>
        <v>0.8583916631</v>
      </c>
      <c r="Z126" s="57">
        <f>IFERROR(__xludf.DUMMYFUNCTION("""COMPUTED_VALUE"""),0.5975790490135405)</f>
        <v>0.597579049</v>
      </c>
      <c r="AA126" s="57">
        <f>IFERROR(__xludf.DUMMYFUNCTION("""COMPUTED_VALUE"""),1.16540516462872)</f>
        <v>1.165405165</v>
      </c>
      <c r="AB126" s="57">
        <f>IFERROR(__xludf.DUMMYFUNCTION("""COMPUTED_VALUE"""),2.634170440266727)</f>
        <v>2.63417044</v>
      </c>
      <c r="AC126" s="31">
        <f>IFERROR(__xludf.DUMMYFUNCTION("""COMPUTED_VALUE"""),325.2819621710357)</f>
        <v>325.2819622</v>
      </c>
      <c r="AD126" s="57">
        <f>IFERROR(__xludf.DUMMYFUNCTION("""COMPUTED_VALUE"""),0.7201035864167996)</f>
        <v>0.7201035864</v>
      </c>
      <c r="AE126" s="57">
        <f>IFERROR(__xludf.DUMMYFUNCTION("""COMPUTED_VALUE"""),0.48109191414498537)</f>
        <v>0.4810919141</v>
      </c>
      <c r="AF126" s="57">
        <f>IFERROR(__xludf.DUMMYFUNCTION("""COMPUTED_VALUE"""),1.2329016017120216)</f>
        <v>1.232901602</v>
      </c>
      <c r="AG126" s="57">
        <f>IFERROR(__xludf.DUMMYFUNCTION("""COMPUTED_VALUE"""),2.301934703067011)</f>
        <v>2.301934703</v>
      </c>
      <c r="AH126" s="57">
        <f>IFERROR(__xludf.DUMMYFUNCTION("""COMPUTED_VALUE"""),1.0031116249707415)</f>
        <v>1.003111625</v>
      </c>
      <c r="AI126" s="57">
        <f>IFERROR(__xludf.DUMMYFUNCTION("""COMPUTED_VALUE"""),0.7760321430871403)</f>
        <v>0.7760321431</v>
      </c>
      <c r="AJ126" s="57">
        <f>IFERROR(__xludf.DUMMYFUNCTION("""COMPUTED_VALUE"""),0.9170315642745954)</f>
        <v>0.9170315643</v>
      </c>
      <c r="AK126" s="57">
        <f>IFERROR(__xludf.DUMMYFUNCTION("""COMPUTED_VALUE"""),1.1927863774789826)</f>
        <v>1.192786377</v>
      </c>
      <c r="AL126" s="57">
        <f>IFERROR(__xludf.DUMMYFUNCTION("""COMPUTED_VALUE"""),1.0604890170584353)</f>
        <v>1.060489017</v>
      </c>
      <c r="AM126" s="57">
        <f>IFERROR(__xludf.DUMMYFUNCTION("""COMPUTED_VALUE"""),1.0511039985084896)</f>
        <v>1.051103999</v>
      </c>
      <c r="AN126" s="57">
        <f>IFERROR(__xludf.DUMMYFUNCTION("""COMPUTED_VALUE"""),1.1078630339162325)</f>
        <v>1.107863034</v>
      </c>
      <c r="AO126" s="57">
        <f>IFERROR(__xludf.DUMMYFUNCTION("""COMPUTED_VALUE"""),1.2304549814135097)</f>
        <v>1.230454981</v>
      </c>
      <c r="AP126" s="35">
        <f>IFERROR(__xludf.DUMMYFUNCTION("""COMPUTED_VALUE"""),1.0263198307977304)</f>
        <v>1.026319831</v>
      </c>
      <c r="AQ126" s="57">
        <f>IFERROR(__xludf.DUMMYFUNCTION("""COMPUTED_VALUE"""),1.0718856185626335)</f>
        <v>1.071885619</v>
      </c>
      <c r="AR126" s="36" t="b">
        <f>IFERROR(__xludf.DUMMYFUNCTION("""COMPUTED_VALUE"""),TRUE)</f>
        <v>1</v>
      </c>
      <c r="AS126" s="57"/>
      <c r="AT126" s="37"/>
      <c r="AU126" s="30"/>
      <c r="AV126" s="30"/>
      <c r="AW126" s="30"/>
      <c r="AX126" s="30"/>
      <c r="AY126" s="30"/>
      <c r="AZ126" s="30"/>
    </row>
    <row r="127">
      <c r="A127" s="30" t="str">
        <f>IFERROR(__xludf.DUMMYFUNCTION("""COMPUTED_VALUE"""),"Challenger")</f>
        <v>Challenger</v>
      </c>
      <c r="B127" s="30" t="str">
        <f>IFERROR(__xludf.DUMMYFUNCTION("""COMPUTED_VALUE"""),"RSC005663")</f>
        <v>RSC005663</v>
      </c>
      <c r="C127" s="30" t="str">
        <f>IFERROR(__xludf.DUMMYFUNCTION("""COMPUTED_VALUE"""),"Pure_Pusher")</f>
        <v>Pure_Pusher</v>
      </c>
      <c r="D127" s="31" t="str">
        <f>IFERROR(__xludf.DUMMYFUNCTION("""COMPUTED_VALUE"""),"Chromatic Chaos")</f>
        <v>Chromatic Chaos</v>
      </c>
      <c r="E127" s="31">
        <f>IFERROR(__xludf.DUMMYFUNCTION("""COMPUTED_VALUE"""),38.321671605250046)</f>
        <v>38.32167161</v>
      </c>
      <c r="F127" s="31">
        <f>IFERROR(__xludf.DUMMYFUNCTION("""COMPUTED_VALUE"""),-3.1230255242171543)</f>
        <v>-3.123025524</v>
      </c>
      <c r="G127" s="31">
        <f>IFERROR(__xludf.DUMMYFUNCTION("""COMPUTED_VALUE"""),29.614396997271335)</f>
        <v>29.614397</v>
      </c>
      <c r="H127" s="31">
        <f>IFERROR(__xludf.DUMMYFUNCTION("""COMPUTED_VALUE"""),-4.8212569320989465)</f>
        <v>-4.821256932</v>
      </c>
      <c r="I127" s="54">
        <f>IFERROR(__xludf.DUMMYFUNCTION("""COMPUTED_VALUE"""),23.0)</f>
        <v>23</v>
      </c>
      <c r="J127" s="55">
        <f>IFERROR(__xludf.DUMMYFUNCTION("""COMPUTED_VALUE"""),11.0)</f>
        <v>11</v>
      </c>
      <c r="K127" s="54">
        <f>IFERROR(__xludf.DUMMYFUNCTION("""COMPUTED_VALUE"""),12.0)</f>
        <v>12</v>
      </c>
      <c r="L127" s="56">
        <f>IFERROR(__xludf.DUMMYFUNCTION("""COMPUTED_VALUE"""),0.4782608695652174)</f>
        <v>0.4782608696</v>
      </c>
      <c r="M127" s="56">
        <f>IFERROR(__xludf.DUMMYFUNCTION("""COMPUTED_VALUE"""),0.38)</f>
        <v>0.38</v>
      </c>
      <c r="N127" s="31">
        <f>IFERROR(__xludf.DUMMYFUNCTION("""COMPUTED_VALUE"""),306.9130434782609)</f>
        <v>306.9130435</v>
      </c>
      <c r="O127" s="57">
        <f>IFERROR(__xludf.DUMMYFUNCTION("""COMPUTED_VALUE"""),0.8260869565217391)</f>
        <v>0.8260869565</v>
      </c>
      <c r="P127" s="57">
        <f>IFERROR(__xludf.DUMMYFUNCTION("""COMPUTED_VALUE"""),0.391304347826087)</f>
        <v>0.3913043478</v>
      </c>
      <c r="Q127" s="57">
        <f>IFERROR(__xludf.DUMMYFUNCTION("""COMPUTED_VALUE"""),1.0869565217391304)</f>
        <v>1.086956522</v>
      </c>
      <c r="R127" s="57">
        <f>IFERROR(__xludf.DUMMYFUNCTION("""COMPUTED_VALUE"""),2.1739130434782608)</f>
        <v>2.173913043</v>
      </c>
      <c r="S127" s="31">
        <f>IFERROR(__xludf.DUMMYFUNCTION("""COMPUTED_VALUE"""),358.30434782608694)</f>
        <v>358.3043478</v>
      </c>
      <c r="T127" s="57">
        <f>IFERROR(__xludf.DUMMYFUNCTION("""COMPUTED_VALUE"""),0.9999999999999999)</f>
        <v>1</v>
      </c>
      <c r="U127" s="57">
        <f>IFERROR(__xludf.DUMMYFUNCTION("""COMPUTED_VALUE"""),0.5797101449275363)</f>
        <v>0.5797101449</v>
      </c>
      <c r="V127" s="57">
        <f>IFERROR(__xludf.DUMMYFUNCTION("""COMPUTED_VALUE"""),1.2028985507246375)</f>
        <v>1.202898551</v>
      </c>
      <c r="W127" s="57">
        <f>IFERROR(__xludf.DUMMYFUNCTION("""COMPUTED_VALUE"""),2.579710144927536)</f>
        <v>2.579710145</v>
      </c>
      <c r="X127" s="31">
        <f>IFERROR(__xludf.DUMMYFUNCTION("""COMPUTED_VALUE"""),337.5338842028912)</f>
        <v>337.5338842</v>
      </c>
      <c r="Y127" s="57">
        <f>IFERROR(__xludf.DUMMYFUNCTION("""COMPUTED_VALUE"""),0.8058378354951867)</f>
        <v>0.8058378355</v>
      </c>
      <c r="Z127" s="57">
        <f>IFERROR(__xludf.DUMMYFUNCTION("""COMPUTED_VALUE"""),0.5444884692727534)</f>
        <v>0.5444884693</v>
      </c>
      <c r="AA127" s="57">
        <f>IFERROR(__xludf.DUMMYFUNCTION("""COMPUTED_VALUE"""),1.1666927621458831)</f>
        <v>1.166692762</v>
      </c>
      <c r="AB127" s="57">
        <f>IFERROR(__xludf.DUMMYFUNCTION("""COMPUTED_VALUE"""),2.4793714945334147)</f>
        <v>2.479371495</v>
      </c>
      <c r="AC127" s="31">
        <f>IFERROR(__xludf.DUMMYFUNCTION("""COMPUTED_VALUE"""),335.210939448624)</f>
        <v>335.2109394</v>
      </c>
      <c r="AD127" s="57">
        <f>IFERROR(__xludf.DUMMYFUNCTION("""COMPUTED_VALUE"""),0.7836582676158801)</f>
        <v>0.7836582676</v>
      </c>
      <c r="AE127" s="57">
        <f>IFERROR(__xludf.DUMMYFUNCTION("""COMPUTED_VALUE"""),0.532823043718469)</f>
        <v>0.5328230437</v>
      </c>
      <c r="AF127" s="57">
        <f>IFERROR(__xludf.DUMMYFUNCTION("""COMPUTED_VALUE"""),1.206194573978701)</f>
        <v>1.206194574</v>
      </c>
      <c r="AG127" s="57">
        <f>IFERROR(__xludf.DUMMYFUNCTION("""COMPUTED_VALUE"""),2.4512976962154753)</f>
        <v>2.451297696</v>
      </c>
      <c r="AH127" s="57">
        <f>IFERROR(__xludf.DUMMYFUNCTION("""COMPUTED_VALUE"""),0.9155818243375073)</f>
        <v>0.9155818243</v>
      </c>
      <c r="AI127" s="57">
        <f>IFERROR(__xludf.DUMMYFUNCTION("""COMPUTED_VALUE"""),1.0541418251541448)</f>
        <v>1.054141825</v>
      </c>
      <c r="AJ127" s="57">
        <f>IFERROR(__xludf.DUMMYFUNCTION("""COMPUTED_VALUE"""),0.734398319365562)</f>
        <v>0.7343983194</v>
      </c>
      <c r="AK127" s="57">
        <f>IFERROR(__xludf.DUMMYFUNCTION("""COMPUTED_VALUE"""),0.9011452589723918)</f>
        <v>0.901145259</v>
      </c>
      <c r="AL127" s="57">
        <f>IFERROR(__xludf.DUMMYFUNCTION("""COMPUTED_VALUE"""),0.8868417111616166)</f>
        <v>0.8868417112</v>
      </c>
      <c r="AM127" s="57">
        <f>IFERROR(__xludf.DUMMYFUNCTION("""COMPUTED_VALUE"""),1.061535936376422)</f>
        <v>1.061535936</v>
      </c>
      <c r="AN127" s="57">
        <f>IFERROR(__xludf.DUMMYFUNCTION("""COMPUTED_VALUE"""),1.2409444629582336)</f>
        <v>1.240944463</v>
      </c>
      <c r="AO127" s="57">
        <f>IFERROR(__xludf.DUMMYFUNCTION("""COMPUTED_VALUE"""),1.0646876428840204)</f>
        <v>1.064687643</v>
      </c>
      <c r="AP127" s="35">
        <f>IFERROR(__xludf.DUMMYFUNCTION("""COMPUTED_VALUE"""),1.031032838938815)</f>
        <v>1.031032839</v>
      </c>
      <c r="AQ127" s="57">
        <f>IFERROR(__xludf.DUMMYFUNCTION("""COMPUTED_VALUE"""),1.0404693893655512)</f>
        <v>1.040469389</v>
      </c>
      <c r="AR127" s="36" t="b">
        <f>IFERROR(__xludf.DUMMYFUNCTION("""COMPUTED_VALUE"""),TRUE)</f>
        <v>1</v>
      </c>
      <c r="AS127" s="57"/>
      <c r="AT127" s="37"/>
      <c r="AU127" s="30"/>
      <c r="AV127" s="30"/>
      <c r="AW127" s="30"/>
      <c r="AX127" s="30"/>
      <c r="AY127" s="30"/>
      <c r="AZ127" s="30"/>
    </row>
    <row r="128">
      <c r="A128" s="30" t="str">
        <f>IFERROR(__xludf.DUMMYFUNCTION("""COMPUTED_VALUE"""),"Challenger")</f>
        <v>Challenger</v>
      </c>
      <c r="B128" s="30" t="str">
        <f>IFERROR(__xludf.DUMMYFUNCTION("""COMPUTED_VALUE"""),"RSC006346")</f>
        <v>RSC006346</v>
      </c>
      <c r="C128" s="30" t="str">
        <f>IFERROR(__xludf.DUMMYFUNCTION("""COMPUTED_VALUE"""),"MobBossCitrus")</f>
        <v>MobBossCitrus</v>
      </c>
      <c r="D128" s="31" t="str">
        <f>IFERROR(__xludf.DUMMYFUNCTION("""COMPUTED_VALUE"""),"Jock O Lanterns")</f>
        <v>Jock O Lanterns</v>
      </c>
      <c r="E128" s="31">
        <f>IFERROR(__xludf.DUMMYFUNCTION("""COMPUTED_VALUE"""),38.02618699034575)</f>
        <v>38.02618699</v>
      </c>
      <c r="F128" s="31">
        <f>IFERROR(__xludf.DUMMYFUNCTION("""COMPUTED_VALUE"""),-3.1646951353962987)</f>
        <v>-3.164695135</v>
      </c>
      <c r="G128" s="31">
        <f>IFERROR(__xludf.DUMMYFUNCTION("""COMPUTED_VALUE"""),44.517873412796604)</f>
        <v>44.51787341</v>
      </c>
      <c r="H128" s="31">
        <f>IFERROR(__xludf.DUMMYFUNCTION("""COMPUTED_VALUE"""),-2.420053542194067)</f>
        <v>-2.420053542</v>
      </c>
      <c r="I128" s="54">
        <f>IFERROR(__xludf.DUMMYFUNCTION("""COMPUTED_VALUE"""),29.0)</f>
        <v>29</v>
      </c>
      <c r="J128" s="55">
        <f>IFERROR(__xludf.DUMMYFUNCTION("""COMPUTED_VALUE"""),12.0)</f>
        <v>12</v>
      </c>
      <c r="K128" s="54">
        <f>IFERROR(__xludf.DUMMYFUNCTION("""COMPUTED_VALUE"""),17.0)</f>
        <v>17</v>
      </c>
      <c r="L128" s="56">
        <f>IFERROR(__xludf.DUMMYFUNCTION("""COMPUTED_VALUE"""),0.41379310344827586)</f>
        <v>0.4137931034</v>
      </c>
      <c r="M128" s="56">
        <f>IFERROR(__xludf.DUMMYFUNCTION("""COMPUTED_VALUE"""),0.2898550724637681)</f>
        <v>0.2898550725</v>
      </c>
      <c r="N128" s="31">
        <f>IFERROR(__xludf.DUMMYFUNCTION("""COMPUTED_VALUE"""),305.0)</f>
        <v>305</v>
      </c>
      <c r="O128" s="57">
        <f>IFERROR(__xludf.DUMMYFUNCTION("""COMPUTED_VALUE"""),0.6896551724137931)</f>
        <v>0.6896551724</v>
      </c>
      <c r="P128" s="57">
        <f>IFERROR(__xludf.DUMMYFUNCTION("""COMPUTED_VALUE"""),0.4827586206896552)</f>
        <v>0.4827586207</v>
      </c>
      <c r="Q128" s="57">
        <f>IFERROR(__xludf.DUMMYFUNCTION("""COMPUTED_VALUE"""),1.103448275862069)</f>
        <v>1.103448276</v>
      </c>
      <c r="R128" s="57">
        <f>IFERROR(__xludf.DUMMYFUNCTION("""COMPUTED_VALUE"""),2.3793103448275863)</f>
        <v>2.379310345</v>
      </c>
      <c r="S128" s="31">
        <f>IFERROR(__xludf.DUMMYFUNCTION("""COMPUTED_VALUE"""),363.4827586206897)</f>
        <v>363.4827586</v>
      </c>
      <c r="T128" s="57">
        <f>IFERROR(__xludf.DUMMYFUNCTION("""COMPUTED_VALUE"""),0.942528735632184)</f>
        <v>0.9425287356</v>
      </c>
      <c r="U128" s="57">
        <f>IFERROR(__xludf.DUMMYFUNCTION("""COMPUTED_VALUE"""),0.5862068965517241)</f>
        <v>0.5862068966</v>
      </c>
      <c r="V128" s="57">
        <f>IFERROR(__xludf.DUMMYFUNCTION("""COMPUTED_VALUE"""),1.275862068965517)</f>
        <v>1.275862069</v>
      </c>
      <c r="W128" s="57">
        <f>IFERROR(__xludf.DUMMYFUNCTION("""COMPUTED_VALUE"""),2.2643678160919536)</f>
        <v>2.264367816</v>
      </c>
      <c r="X128" s="31">
        <f>IFERROR(__xludf.DUMMYFUNCTION("""COMPUTED_VALUE"""),331.6023787192473)</f>
        <v>331.6023787</v>
      </c>
      <c r="Y128" s="57">
        <f>IFERROR(__xludf.DUMMYFUNCTION("""COMPUTED_VALUE"""),0.7671286844804885)</f>
        <v>0.7671286845</v>
      </c>
      <c r="Z128" s="57">
        <f>IFERROR(__xludf.DUMMYFUNCTION("""COMPUTED_VALUE"""),0.5469062721489605)</f>
        <v>0.5469062721</v>
      </c>
      <c r="AA128" s="57">
        <f>IFERROR(__xludf.DUMMYFUNCTION("""COMPUTED_VALUE"""),1.194202949218162)</f>
        <v>1.194202949</v>
      </c>
      <c r="AB128" s="57">
        <f>IFERROR(__xludf.DUMMYFUNCTION("""COMPUTED_VALUE"""),2.3267188154014944)</f>
        <v>2.326718815</v>
      </c>
      <c r="AC128" s="31">
        <f>IFERROR(__xludf.DUMMYFUNCTION("""COMPUTED_VALUE"""),338.6219979660986)</f>
        <v>338.621998</v>
      </c>
      <c r="AD128" s="57">
        <f>IFERROR(__xludf.DUMMYFUNCTION("""COMPUTED_VALUE"""),0.8445354812368402)</f>
        <v>0.8445354812</v>
      </c>
      <c r="AE128" s="57">
        <f>IFERROR(__xludf.DUMMYFUNCTION("""COMPUTED_VALUE"""),0.5729902678595554)</f>
        <v>0.5729902679</v>
      </c>
      <c r="AF128" s="57">
        <f>IFERROR(__xludf.DUMMYFUNCTION("""COMPUTED_VALUE"""),1.1144364224752747)</f>
        <v>1.114436422</v>
      </c>
      <c r="AG128" s="57">
        <f>IFERROR(__xludf.DUMMYFUNCTION("""COMPUTED_VALUE"""),2.5424760704012592)</f>
        <v>2.54247607</v>
      </c>
      <c r="AH128" s="57">
        <f>IFERROR(__xludf.DUMMYFUNCTION("""COMPUTED_VALUE"""),0.9007093509339441)</f>
        <v>0.9007093509</v>
      </c>
      <c r="AI128" s="57">
        <f>IFERROR(__xludf.DUMMYFUNCTION("""COMPUTED_VALUE"""),0.8166088787694017)</f>
        <v>0.8166088788</v>
      </c>
      <c r="AJ128" s="57">
        <f>IFERROR(__xludf.DUMMYFUNCTION("""COMPUTED_VALUE"""),0.8425249917298477)</f>
        <v>0.8425249917</v>
      </c>
      <c r="AK128" s="57">
        <f>IFERROR(__xludf.DUMMYFUNCTION("""COMPUTED_VALUE"""),0.9901401763334332)</f>
        <v>0.9901401763</v>
      </c>
      <c r="AL128" s="57">
        <f>IFERROR(__xludf.DUMMYFUNCTION("""COMPUTED_VALUE"""),0.9358240860265317)</f>
        <v>0.935824086</v>
      </c>
      <c r="AM128" s="57">
        <f>IFERROR(__xludf.DUMMYFUNCTION("""COMPUTED_VALUE"""),1.0961403836262407)</f>
        <v>1.096140384</v>
      </c>
      <c r="AN128" s="57">
        <f>IFERROR(__xludf.DUMMYFUNCTION("""COMPUTED_VALUE"""),1.2286448867056496)</f>
        <v>1.228644887</v>
      </c>
      <c r="AO128" s="57">
        <f>IFERROR(__xludf.DUMMYFUNCTION("""COMPUTED_VALUE"""),1.071859889718104)</f>
        <v>1.07185989</v>
      </c>
      <c r="AP128" s="35">
        <f>IFERROR(__xludf.DUMMYFUNCTION("""COMPUTED_VALUE"""),1.0683795997998637)</f>
        <v>1.0683796</v>
      </c>
      <c r="AQ128" s="57">
        <f>IFERROR(__xludf.DUMMYFUNCTION("""COMPUTED_VALUE"""),0.973202176860902)</f>
        <v>0.9732021769</v>
      </c>
      <c r="AR128" s="36" t="b">
        <f>IFERROR(__xludf.DUMMYFUNCTION("""COMPUTED_VALUE"""),TRUE)</f>
        <v>1</v>
      </c>
      <c r="AS128" s="57"/>
      <c r="AT128" s="37"/>
      <c r="AU128" s="30"/>
      <c r="AV128" s="30"/>
      <c r="AW128" s="30"/>
      <c r="AX128" s="30"/>
      <c r="AY128" s="30"/>
      <c r="AZ128" s="30"/>
    </row>
    <row r="129">
      <c r="A129" s="30" t="str">
        <f>IFERROR(__xludf.DUMMYFUNCTION("""COMPUTED_VALUE"""),"Challenger")</f>
        <v>Challenger</v>
      </c>
      <c r="B129" s="30" t="str">
        <f>IFERROR(__xludf.DUMMYFUNCTION("""COMPUTED_VALUE"""),"RSC007604")</f>
        <v>RSC007604</v>
      </c>
      <c r="C129" s="30" t="str">
        <f>IFERROR(__xludf.DUMMYFUNCTION("""COMPUTED_VALUE"""),"RiisenJT")</f>
        <v>RiisenJT</v>
      </c>
      <c r="D129" s="31" t="str">
        <f>IFERROR(__xludf.DUMMYFUNCTION("""COMPUTED_VALUE"""),"Threshers")</f>
        <v>Threshers</v>
      </c>
      <c r="E129" s="31">
        <f>IFERROR(__xludf.DUMMYFUNCTION("""COMPUTED_VALUE"""),37.89157314637096)</f>
        <v>37.89157315</v>
      </c>
      <c r="F129" s="31">
        <f>IFERROR(__xludf.DUMMYFUNCTION("""COMPUTED_VALUE"""),-3.183969763444245)</f>
        <v>-3.183969763</v>
      </c>
      <c r="G129" s="31">
        <f>IFERROR(__xludf.DUMMYFUNCTION("""COMPUTED_VALUE"""),38.753402058657656)</f>
        <v>38.75340206</v>
      </c>
      <c r="H129" s="31">
        <f>IFERROR(__xludf.DUMMYFUNCTION("""COMPUTED_VALUE"""),-3.063685287352485)</f>
        <v>-3.063685287</v>
      </c>
      <c r="I129" s="54">
        <f>IFERROR(__xludf.DUMMYFUNCTION("""COMPUTED_VALUE"""),33.0)</f>
        <v>33</v>
      </c>
      <c r="J129" s="55">
        <f>IFERROR(__xludf.DUMMYFUNCTION("""COMPUTED_VALUE"""),10.0)</f>
        <v>10</v>
      </c>
      <c r="K129" s="54">
        <f>IFERROR(__xludf.DUMMYFUNCTION("""COMPUTED_VALUE"""),23.0)</f>
        <v>23</v>
      </c>
      <c r="L129" s="56">
        <f>IFERROR(__xludf.DUMMYFUNCTION("""COMPUTED_VALUE"""),0.30303030303030304)</f>
        <v>0.303030303</v>
      </c>
      <c r="M129" s="56">
        <f>IFERROR(__xludf.DUMMYFUNCTION("""COMPUTED_VALUE"""),0.2837837837837838)</f>
        <v>0.2837837838</v>
      </c>
      <c r="N129" s="31">
        <f>IFERROR(__xludf.DUMMYFUNCTION("""COMPUTED_VALUE"""),315.2121212121212)</f>
        <v>315.2121212</v>
      </c>
      <c r="O129" s="57">
        <f>IFERROR(__xludf.DUMMYFUNCTION("""COMPUTED_VALUE"""),0.6363636363636364)</f>
        <v>0.6363636364</v>
      </c>
      <c r="P129" s="57">
        <f>IFERROR(__xludf.DUMMYFUNCTION("""COMPUTED_VALUE"""),0.48484848484848486)</f>
        <v>0.4848484848</v>
      </c>
      <c r="Q129" s="57">
        <f>IFERROR(__xludf.DUMMYFUNCTION("""COMPUTED_VALUE"""),1.121212121212121)</f>
        <v>1.121212121</v>
      </c>
      <c r="R129" s="57">
        <f>IFERROR(__xludf.DUMMYFUNCTION("""COMPUTED_VALUE"""),2.242424242424242)</f>
        <v>2.242424242</v>
      </c>
      <c r="S129" s="31">
        <f>IFERROR(__xludf.DUMMYFUNCTION("""COMPUTED_VALUE"""),366.7878787878788)</f>
        <v>366.7878788</v>
      </c>
      <c r="T129" s="57">
        <f>IFERROR(__xludf.DUMMYFUNCTION("""COMPUTED_VALUE"""),0.9797979797979797)</f>
        <v>0.9797979798</v>
      </c>
      <c r="U129" s="57">
        <f>IFERROR(__xludf.DUMMYFUNCTION("""COMPUTED_VALUE"""),0.7575757575757576)</f>
        <v>0.7575757576</v>
      </c>
      <c r="V129" s="57">
        <f>IFERROR(__xludf.DUMMYFUNCTION("""COMPUTED_VALUE"""),1.1717171717171717)</f>
        <v>1.171717172</v>
      </c>
      <c r="W129" s="57">
        <f>IFERROR(__xludf.DUMMYFUNCTION("""COMPUTED_VALUE"""),2.8080808080808075)</f>
        <v>2.808080808</v>
      </c>
      <c r="X129" s="31">
        <f>IFERROR(__xludf.DUMMYFUNCTION("""COMPUTED_VALUE"""),347.3109136566253)</f>
        <v>347.3109137</v>
      </c>
      <c r="Y129" s="57">
        <f>IFERROR(__xludf.DUMMYFUNCTION("""COMPUTED_VALUE"""),0.8392795198755508)</f>
        <v>0.8392795199</v>
      </c>
      <c r="Z129" s="57">
        <f>IFERROR(__xludf.DUMMYFUNCTION("""COMPUTED_VALUE"""),0.5844958571859394)</f>
        <v>0.5844958572</v>
      </c>
      <c r="AA129" s="57">
        <f>IFERROR(__xludf.DUMMYFUNCTION("""COMPUTED_VALUE"""),1.1929535482141809)</f>
        <v>1.192953548</v>
      </c>
      <c r="AB129" s="57">
        <f>IFERROR(__xludf.DUMMYFUNCTION("""COMPUTED_VALUE"""),2.6172935735745964)</f>
        <v>2.617293574</v>
      </c>
      <c r="AC129" s="31">
        <f>IFERROR(__xludf.DUMMYFUNCTION("""COMPUTED_VALUE"""),328.5483052648254)</f>
        <v>328.5483053</v>
      </c>
      <c r="AD129" s="57">
        <f>IFERROR(__xludf.DUMMYFUNCTION("""COMPUTED_VALUE"""),0.7350324169914851)</f>
        <v>0.735032417</v>
      </c>
      <c r="AE129" s="57">
        <f>IFERROR(__xludf.DUMMYFUNCTION("""COMPUTED_VALUE"""),0.49036711836119173)</f>
        <v>0.4903671184</v>
      </c>
      <c r="AF129" s="57">
        <f>IFERROR(__xludf.DUMMYFUNCTION("""COMPUTED_VALUE"""),1.2328794744821294)</f>
        <v>1.232879474</v>
      </c>
      <c r="AG129" s="57">
        <f>IFERROR(__xludf.DUMMYFUNCTION("""COMPUTED_VALUE"""),2.353233653895223)</f>
        <v>2.353233654</v>
      </c>
      <c r="AH129" s="57">
        <f>IFERROR(__xludf.DUMMYFUNCTION("""COMPUTED_VALUE"""),0.9594087571325178)</f>
        <v>0.9594087571</v>
      </c>
      <c r="AI129" s="57">
        <f>IFERROR(__xludf.DUMMYFUNCTION("""COMPUTED_VALUE"""),0.8657626815539595)</f>
        <v>0.8657626816</v>
      </c>
      <c r="AJ129" s="57">
        <f>IFERROR(__xludf.DUMMYFUNCTION("""COMPUTED_VALUE"""),0.9887459144260118)</f>
        <v>0.9887459144</v>
      </c>
      <c r="AK129" s="57">
        <f>IFERROR(__xludf.DUMMYFUNCTION("""COMPUTED_VALUE"""),0.9094255719384783)</f>
        <v>0.9094255719</v>
      </c>
      <c r="AL129" s="57">
        <f>IFERROR(__xludf.DUMMYFUNCTION("""COMPUTED_VALUE"""),0.9529118533182788)</f>
        <v>0.9529118533</v>
      </c>
      <c r="AM129" s="57">
        <f>IFERROR(__xludf.DUMMYFUNCTION("""COMPUTED_VALUE"""),1.0560793351587843)</f>
        <v>1.056079335</v>
      </c>
      <c r="AN129" s="57">
        <f>IFERROR(__xludf.DUMMYFUNCTION("""COMPUTED_VALUE"""),1.167427485831258)</f>
        <v>1.167427486</v>
      </c>
      <c r="AO129" s="57">
        <f>IFERROR(__xludf.DUMMYFUNCTION("""COMPUTED_VALUE"""),1.2961182671560973)</f>
        <v>1.296118267</v>
      </c>
      <c r="AP129" s="35">
        <f>IFERROR(__xludf.DUMMYFUNCTION("""COMPUTED_VALUE"""),0.9821984883411433)</f>
        <v>0.9821984883</v>
      </c>
      <c r="AQ129" s="57">
        <f>IFERROR(__xludf.DUMMYFUNCTION("""COMPUTED_VALUE"""),1.0728948546057222)</f>
        <v>1.072894855</v>
      </c>
      <c r="AR129" s="36" t="b">
        <f>IFERROR(__xludf.DUMMYFUNCTION("""COMPUTED_VALUE"""),TRUE)</f>
        <v>1</v>
      </c>
      <c r="AS129" s="57"/>
      <c r="AT129" s="37"/>
      <c r="AU129" s="30"/>
      <c r="AV129" s="30"/>
      <c r="AW129" s="30"/>
      <c r="AX129" s="30"/>
      <c r="AY129" s="30"/>
      <c r="AZ129" s="30"/>
    </row>
    <row r="130">
      <c r="A130" s="30" t="str">
        <f>IFERROR(__xludf.DUMMYFUNCTION("""COMPUTED_VALUE"""),"Challenger")</f>
        <v>Challenger</v>
      </c>
      <c r="B130" s="30" t="str">
        <f>IFERROR(__xludf.DUMMYFUNCTION("""COMPUTED_VALUE"""),"RSC000663")</f>
        <v>RSC000663</v>
      </c>
      <c r="C130" s="30" t="str">
        <f>IFERROR(__xludf.DUMMYFUNCTION("""COMPUTED_VALUE"""),"DrProfessorNoah")</f>
        <v>DrProfessorNoah</v>
      </c>
      <c r="D130" s="31" t="str">
        <f>IFERROR(__xludf.DUMMYFUNCTION("""COMPUTED_VALUE"""),"Apple Associates")</f>
        <v>Apple Associates</v>
      </c>
      <c r="E130" s="31">
        <f>IFERROR(__xludf.DUMMYFUNCTION("""COMPUTED_VALUE"""),37.88516846545501)</f>
        <v>37.88516847</v>
      </c>
      <c r="F130" s="31">
        <f>IFERROR(__xludf.DUMMYFUNCTION("""COMPUTED_VALUE"""),-3.1848914117944727)</f>
        <v>-3.184891412</v>
      </c>
      <c r="G130" s="31">
        <f>IFERROR(__xludf.DUMMYFUNCTION("""COMPUTED_VALUE"""),35.40891717223845)</f>
        <v>35.40891717</v>
      </c>
      <c r="H130" s="31">
        <f>IFERROR(__xludf.DUMMYFUNCTION("""COMPUTED_VALUE"""),-3.574873772749976)</f>
        <v>-3.574873773</v>
      </c>
      <c r="I130" s="54">
        <f>IFERROR(__xludf.DUMMYFUNCTION("""COMPUTED_VALUE"""),34.0)</f>
        <v>34</v>
      </c>
      <c r="J130" s="55">
        <f>IFERROR(__xludf.DUMMYFUNCTION("""COMPUTED_VALUE"""),12.0)</f>
        <v>12</v>
      </c>
      <c r="K130" s="54">
        <f>IFERROR(__xludf.DUMMYFUNCTION("""COMPUTED_VALUE"""),22.0)</f>
        <v>22</v>
      </c>
      <c r="L130" s="56">
        <f>IFERROR(__xludf.DUMMYFUNCTION("""COMPUTED_VALUE"""),0.35294117647058826)</f>
        <v>0.3529411765</v>
      </c>
      <c r="M130" s="56">
        <f>IFERROR(__xludf.DUMMYFUNCTION("""COMPUTED_VALUE"""),0.20512820512820515)</f>
        <v>0.2051282051</v>
      </c>
      <c r="N130" s="31">
        <f>IFERROR(__xludf.DUMMYFUNCTION("""COMPUTED_VALUE"""),287.0882352941176)</f>
        <v>287.0882353</v>
      </c>
      <c r="O130" s="57">
        <f>IFERROR(__xludf.DUMMYFUNCTION("""COMPUTED_VALUE"""),0.47058823529411764)</f>
        <v>0.4705882353</v>
      </c>
      <c r="P130" s="57">
        <f>IFERROR(__xludf.DUMMYFUNCTION("""COMPUTED_VALUE"""),0.5)</f>
        <v>0.5</v>
      </c>
      <c r="Q130" s="57">
        <f>IFERROR(__xludf.DUMMYFUNCTION("""COMPUTED_VALUE"""),1.088235294117647)</f>
        <v>1.088235294</v>
      </c>
      <c r="R130" s="57">
        <f>IFERROR(__xludf.DUMMYFUNCTION("""COMPUTED_VALUE"""),2.2941176470588234)</f>
        <v>2.294117647</v>
      </c>
      <c r="S130" s="31">
        <f>IFERROR(__xludf.DUMMYFUNCTION("""COMPUTED_VALUE"""),336.6470588235294)</f>
        <v>336.6470588</v>
      </c>
      <c r="T130" s="57">
        <f>IFERROR(__xludf.DUMMYFUNCTION("""COMPUTED_VALUE"""),0.8333333333333333)</f>
        <v>0.8333333333</v>
      </c>
      <c r="U130" s="57">
        <f>IFERROR(__xludf.DUMMYFUNCTION("""COMPUTED_VALUE"""),0.5784313725490196)</f>
        <v>0.5784313725</v>
      </c>
      <c r="V130" s="57">
        <f>IFERROR(__xludf.DUMMYFUNCTION("""COMPUTED_VALUE"""),1.2254901960784312)</f>
        <v>1.225490196</v>
      </c>
      <c r="W130" s="57">
        <f>IFERROR(__xludf.DUMMYFUNCTION("""COMPUTED_VALUE"""),2.4215686274509802)</f>
        <v>2.421568627</v>
      </c>
      <c r="X130" s="31">
        <f>IFERROR(__xludf.DUMMYFUNCTION("""COMPUTED_VALUE"""),352.1167355065868)</f>
        <v>352.1167355</v>
      </c>
      <c r="Y130" s="57">
        <f>IFERROR(__xludf.DUMMYFUNCTION("""COMPUTED_VALUE"""),0.8346887103493592)</f>
        <v>0.8346887103</v>
      </c>
      <c r="Z130" s="57">
        <f>IFERROR(__xludf.DUMMYFUNCTION("""COMPUTED_VALUE"""),0.6136320748923064)</f>
        <v>0.6136320749</v>
      </c>
      <c r="AA130" s="57">
        <f>IFERROR(__xludf.DUMMYFUNCTION("""COMPUTED_VALUE"""),1.2493355937723796)</f>
        <v>1.249335594</v>
      </c>
      <c r="AB130" s="57">
        <f>IFERROR(__xludf.DUMMYFUNCTION("""COMPUTED_VALUE"""),2.5700782422376163)</f>
        <v>2.570078242</v>
      </c>
      <c r="AC130" s="31">
        <f>IFERROR(__xludf.DUMMYFUNCTION("""COMPUTED_VALUE"""),325.7141741698949)</f>
        <v>325.7141742</v>
      </c>
      <c r="AD130" s="57">
        <f>IFERROR(__xludf.DUMMYFUNCTION("""COMPUTED_VALUE"""),0.6897524986763152)</f>
        <v>0.6897524987</v>
      </c>
      <c r="AE130" s="57">
        <f>IFERROR(__xludf.DUMMYFUNCTION("""COMPUTED_VALUE"""),0.47565643511982403)</f>
        <v>0.4756564351</v>
      </c>
      <c r="AF130" s="57">
        <f>IFERROR(__xludf.DUMMYFUNCTION("""COMPUTED_VALUE"""),1.2681745155897004)</f>
        <v>1.268174516</v>
      </c>
      <c r="AG130" s="57">
        <f>IFERROR(__xludf.DUMMYFUNCTION("""COMPUTED_VALUE"""),2.3541301658520837)</f>
        <v>2.354130166</v>
      </c>
      <c r="AH130" s="57">
        <f>IFERROR(__xludf.DUMMYFUNCTION("""COMPUTED_VALUE"""),0.8814115505589583)</f>
        <v>0.8814115506</v>
      </c>
      <c r="AI130" s="57">
        <f>IFERROR(__xludf.DUMMYFUNCTION("""COMPUTED_VALUE"""),0.6822566590149517)</f>
        <v>0.682256659</v>
      </c>
      <c r="AJ130" s="57">
        <f>IFERROR(__xludf.DUMMYFUNCTION("""COMPUTED_VALUE"""),1.0511788826614814)</f>
        <v>1.051178883</v>
      </c>
      <c r="AK130" s="57">
        <f>IFERROR(__xludf.DUMMYFUNCTION("""COMPUTED_VALUE"""),0.8581116248118408)</f>
        <v>0.8581116248</v>
      </c>
      <c r="AL130" s="57">
        <f>IFERROR(__xludf.DUMMYFUNCTION("""COMPUTED_VALUE"""),0.974507561364374)</f>
        <v>0.9745075614</v>
      </c>
      <c r="AM130" s="57">
        <f>IFERROR(__xludf.DUMMYFUNCTION("""COMPUTED_VALUE"""),0.9560666247209144)</f>
        <v>0.9560666247</v>
      </c>
      <c r="AN130" s="57">
        <f>IFERROR(__xludf.DUMMYFUNCTION("""COMPUTED_VALUE"""),0.9983761886326956)</f>
        <v>0.9983761886</v>
      </c>
      <c r="AO130" s="57">
        <f>IFERROR(__xludf.DUMMYFUNCTION("""COMPUTED_VALUE"""),0.9426354915533633)</f>
        <v>0.9426354916</v>
      </c>
      <c r="AP130" s="35">
        <f>IFERROR(__xludf.DUMMYFUNCTION("""COMPUTED_VALUE"""),0.9809135369128906)</f>
        <v>0.9809135369</v>
      </c>
      <c r="AQ130" s="57">
        <f>IFERROR(__xludf.DUMMYFUNCTION("""COMPUTED_VALUE"""),0.9422159168752242)</f>
        <v>0.9422159169</v>
      </c>
      <c r="AR130" s="36" t="b">
        <f>IFERROR(__xludf.DUMMYFUNCTION("""COMPUTED_VALUE"""),TRUE)</f>
        <v>1</v>
      </c>
      <c r="AS130" s="57"/>
      <c r="AT130" s="37"/>
      <c r="AU130" s="30"/>
      <c r="AV130" s="30"/>
      <c r="AW130" s="30"/>
      <c r="AX130" s="30"/>
      <c r="AY130" s="30"/>
      <c r="AZ130" s="30"/>
    </row>
    <row r="131">
      <c r="A131" s="30" t="str">
        <f>IFERROR(__xludf.DUMMYFUNCTION("""COMPUTED_VALUE"""),"Challenger")</f>
        <v>Challenger</v>
      </c>
      <c r="B131" s="30" t="str">
        <f>IFERROR(__xludf.DUMMYFUNCTION("""COMPUTED_VALUE"""),"RSC007969")</f>
        <v>RSC007969</v>
      </c>
      <c r="C131" s="30" t="str">
        <f>IFERROR(__xludf.DUMMYFUNCTION("""COMPUTED_VALUE"""),"EcHo.rll")</f>
        <v>EcHo.rll</v>
      </c>
      <c r="D131" s="31" t="str">
        <f>IFERROR(__xludf.DUMMYFUNCTION("""COMPUTED_VALUE"""),"Shade")</f>
        <v>Shade</v>
      </c>
      <c r="E131" s="31">
        <f>IFERROR(__xludf.DUMMYFUNCTION("""COMPUTED_VALUE"""),37.73330194661594)</f>
        <v>37.73330195</v>
      </c>
      <c r="F131" s="31">
        <f>IFERROR(__xludf.DUMMYFUNCTION("""COMPUTED_VALUE"""),-3.206868661266453)</f>
        <v>-3.206868661</v>
      </c>
      <c r="G131" s="31">
        <f>IFERROR(__xludf.DUMMYFUNCTION("""COMPUTED_VALUE"""),44.97677670372977)</f>
        <v>44.9767767</v>
      </c>
      <c r="H131" s="31">
        <f>IFERROR(__xludf.DUMMYFUNCTION("""COMPUTED_VALUE"""),-2.3788167000418667)</f>
        <v>-2.3788167</v>
      </c>
      <c r="I131" s="54">
        <f>IFERROR(__xludf.DUMMYFUNCTION("""COMPUTED_VALUE"""),10.0)</f>
        <v>10</v>
      </c>
      <c r="J131" s="55">
        <f>IFERROR(__xludf.DUMMYFUNCTION("""COMPUTED_VALUE"""),4.0)</f>
        <v>4</v>
      </c>
      <c r="K131" s="54">
        <f>IFERROR(__xludf.DUMMYFUNCTION("""COMPUTED_VALUE"""),6.0)</f>
        <v>6</v>
      </c>
      <c r="L131" s="56">
        <f>IFERROR(__xludf.DUMMYFUNCTION("""COMPUTED_VALUE"""),0.4)</f>
        <v>0.4</v>
      </c>
      <c r="M131" s="56">
        <f>IFERROR(__xludf.DUMMYFUNCTION("""COMPUTED_VALUE"""),0.3333333333333333)</f>
        <v>0.3333333333</v>
      </c>
      <c r="N131" s="31">
        <f>IFERROR(__xludf.DUMMYFUNCTION("""COMPUTED_VALUE"""),314.6)</f>
        <v>314.6</v>
      </c>
      <c r="O131" s="57">
        <f>IFERROR(__xludf.DUMMYFUNCTION("""COMPUTED_VALUE"""),0.6)</f>
        <v>0.6</v>
      </c>
      <c r="P131" s="57">
        <f>IFERROR(__xludf.DUMMYFUNCTION("""COMPUTED_VALUE"""),0.5)</f>
        <v>0.5</v>
      </c>
      <c r="Q131" s="57">
        <f>IFERROR(__xludf.DUMMYFUNCTION("""COMPUTED_VALUE"""),1.3)</f>
        <v>1.3</v>
      </c>
      <c r="R131" s="57">
        <f>IFERROR(__xludf.DUMMYFUNCTION("""COMPUTED_VALUE"""),1.8)</f>
        <v>1.8</v>
      </c>
      <c r="S131" s="31">
        <f>IFERROR(__xludf.DUMMYFUNCTION("""COMPUTED_VALUE"""),328.6333333333333)</f>
        <v>328.6333333</v>
      </c>
      <c r="T131" s="57">
        <f>IFERROR(__xludf.DUMMYFUNCTION("""COMPUTED_VALUE"""),0.9)</f>
        <v>0.9</v>
      </c>
      <c r="U131" s="57">
        <f>IFERROR(__xludf.DUMMYFUNCTION("""COMPUTED_VALUE"""),0.6666666666666666)</f>
        <v>0.6666666667</v>
      </c>
      <c r="V131" s="57">
        <f>IFERROR(__xludf.DUMMYFUNCTION("""COMPUTED_VALUE"""),0.7999999999999999)</f>
        <v>0.8</v>
      </c>
      <c r="W131" s="57">
        <f>IFERROR(__xludf.DUMMYFUNCTION("""COMPUTED_VALUE"""),2.7)</f>
        <v>2.7</v>
      </c>
      <c r="X131" s="31">
        <f>IFERROR(__xludf.DUMMYFUNCTION("""COMPUTED_VALUE"""),352.2902695405889)</f>
        <v>352.2902695</v>
      </c>
      <c r="Y131" s="57">
        <f>IFERROR(__xludf.DUMMYFUNCTION("""COMPUTED_VALUE"""),0.8884286579258116)</f>
        <v>0.8884286579</v>
      </c>
      <c r="Z131" s="57">
        <f>IFERROR(__xludf.DUMMYFUNCTION("""COMPUTED_VALUE"""),0.6349810452625129)</f>
        <v>0.6349810453</v>
      </c>
      <c r="AA131" s="57">
        <f>IFERROR(__xludf.DUMMYFUNCTION("""COMPUTED_VALUE"""),1.139485813809027)</f>
        <v>1.139485814</v>
      </c>
      <c r="AB131" s="57">
        <f>IFERROR(__xludf.DUMMYFUNCTION("""COMPUTED_VALUE"""),2.5611067502085842)</f>
        <v>2.56110675</v>
      </c>
      <c r="AC131" s="31">
        <f>IFERROR(__xludf.DUMMYFUNCTION("""COMPUTED_VALUE"""),316.51349564437476)</f>
        <v>316.5134956</v>
      </c>
      <c r="AD131" s="57">
        <f>IFERROR(__xludf.DUMMYFUNCTION("""COMPUTED_VALUE"""),0.7119305905127116)</f>
        <v>0.7119305905</v>
      </c>
      <c r="AE131" s="57">
        <f>IFERROR(__xludf.DUMMYFUNCTION("""COMPUTED_VALUE"""),0.45527475101795156)</f>
        <v>0.455274751</v>
      </c>
      <c r="AF131" s="57">
        <f>IFERROR(__xludf.DUMMYFUNCTION("""COMPUTED_VALUE"""),1.1846498899777416)</f>
        <v>1.18464989</v>
      </c>
      <c r="AG131" s="57">
        <f>IFERROR(__xludf.DUMMYFUNCTION("""COMPUTED_VALUE"""),2.2763567233712707)</f>
        <v>2.276356723</v>
      </c>
      <c r="AH131" s="57">
        <f>IFERROR(__xludf.DUMMYFUNCTION("""COMPUTED_VALUE"""),0.9939544579592755)</f>
        <v>0.993954458</v>
      </c>
      <c r="AI131" s="57">
        <f>IFERROR(__xludf.DUMMYFUNCTION("""COMPUTED_VALUE"""),0.8427787877016178)</f>
        <v>0.8427787877</v>
      </c>
      <c r="AJ131" s="57">
        <f>IFERROR(__xludf.DUMMYFUNCTION("""COMPUTED_VALUE"""),1.0982379296942055)</f>
        <v>1.09823793</v>
      </c>
      <c r="AK131" s="57">
        <f>IFERROR(__xludf.DUMMYFUNCTION("""COMPUTED_VALUE"""),1.0973706332969193)</f>
        <v>1.097370633</v>
      </c>
      <c r="AL131" s="57">
        <f>IFERROR(__xludf.DUMMYFUNCTION("""COMPUTED_VALUE"""),0.7907372256375578)</f>
        <v>0.7907372256</v>
      </c>
      <c r="AM131" s="57">
        <f>IFERROR(__xludf.DUMMYFUNCTION("""COMPUTED_VALUE"""),0.932848170237271)</f>
        <v>0.9328481702</v>
      </c>
      <c r="AN131" s="57">
        <f>IFERROR(__xludf.DUMMYFUNCTION("""COMPUTED_VALUE"""),1.0130245033981724)</f>
        <v>1.013024503</v>
      </c>
      <c r="AO131" s="57">
        <f>IFERROR(__xludf.DUMMYFUNCTION("""COMPUTED_VALUE"""),1.049900105901672)</f>
        <v>1.049900106</v>
      </c>
      <c r="AP131" s="35">
        <f>IFERROR(__xludf.DUMMYFUNCTION("""COMPUTED_VALUE"""),0.702071048454559)</f>
        <v>0.7020710485</v>
      </c>
      <c r="AQ131" s="57">
        <f>IFERROR(__xludf.DUMMYFUNCTION("""COMPUTED_VALUE"""),1.0542317300050472)</f>
        <v>1.05423173</v>
      </c>
      <c r="AR131" s="36" t="b">
        <f>IFERROR(__xludf.DUMMYFUNCTION("""COMPUTED_VALUE"""),TRUE)</f>
        <v>1</v>
      </c>
      <c r="AS131" s="57"/>
      <c r="AT131" s="37"/>
      <c r="AU131" s="30"/>
      <c r="AV131" s="30"/>
      <c r="AW131" s="30"/>
      <c r="AX131" s="30"/>
      <c r="AY131" s="30"/>
      <c r="AZ131" s="30"/>
    </row>
    <row r="132">
      <c r="A132" s="30" t="str">
        <f>IFERROR(__xludf.DUMMYFUNCTION("""COMPUTED_VALUE"""),"Challenger")</f>
        <v>Challenger</v>
      </c>
      <c r="B132" s="30" t="str">
        <f>IFERROR(__xludf.DUMMYFUNCTION("""COMPUTED_VALUE"""),"RSC004597")</f>
        <v>RSC004597</v>
      </c>
      <c r="C132" s="30" t="str">
        <f>IFERROR(__xludf.DUMMYFUNCTION("""COMPUTED_VALUE"""),"xXBlindBeastXx")</f>
        <v>xXBlindBeastXx</v>
      </c>
      <c r="D132" s="31" t="str">
        <f>IFERROR(__xludf.DUMMYFUNCTION("""COMPUTED_VALUE"""),"Warbirds")</f>
        <v>Warbirds</v>
      </c>
      <c r="E132" s="31">
        <f>IFERROR(__xludf.DUMMYFUNCTION("""COMPUTED_VALUE"""),37.0057069032469)</f>
        <v>37.0057069</v>
      </c>
      <c r="F132" s="31">
        <f>IFERROR(__xludf.DUMMYFUNCTION("""COMPUTED_VALUE"""),-3.3155251527284624)</f>
        <v>-3.315525153</v>
      </c>
      <c r="G132" s="31">
        <f>IFERROR(__xludf.DUMMYFUNCTION("""COMPUTED_VALUE"""),24.77996157318832)</f>
        <v>24.77996157</v>
      </c>
      <c r="H132" s="31">
        <f>IFERROR(__xludf.DUMMYFUNCTION("""COMPUTED_VALUE"""),-6.388351249816951)</f>
        <v>-6.38835125</v>
      </c>
      <c r="I132" s="54">
        <f>IFERROR(__xludf.DUMMYFUNCTION("""COMPUTED_VALUE"""),34.0)</f>
        <v>34</v>
      </c>
      <c r="J132" s="55">
        <f>IFERROR(__xludf.DUMMYFUNCTION("""COMPUTED_VALUE"""),16.0)</f>
        <v>16</v>
      </c>
      <c r="K132" s="54">
        <f>IFERROR(__xludf.DUMMYFUNCTION("""COMPUTED_VALUE"""),18.0)</f>
        <v>18</v>
      </c>
      <c r="L132" s="56">
        <f>IFERROR(__xludf.DUMMYFUNCTION("""COMPUTED_VALUE"""),0.47058823529411764)</f>
        <v>0.4705882353</v>
      </c>
      <c r="M132" s="56">
        <f>IFERROR(__xludf.DUMMYFUNCTION("""COMPUTED_VALUE"""),0.3548387096774194)</f>
        <v>0.3548387097</v>
      </c>
      <c r="N132" s="31">
        <f>IFERROR(__xludf.DUMMYFUNCTION("""COMPUTED_VALUE"""),298.38235294117646)</f>
        <v>298.3823529</v>
      </c>
      <c r="O132" s="57">
        <f>IFERROR(__xludf.DUMMYFUNCTION("""COMPUTED_VALUE"""),0.6470588235294118)</f>
        <v>0.6470588235</v>
      </c>
      <c r="P132" s="57">
        <f>IFERROR(__xludf.DUMMYFUNCTION("""COMPUTED_VALUE"""),0.6176470588235294)</f>
        <v>0.6176470588</v>
      </c>
      <c r="Q132" s="57">
        <f>IFERROR(__xludf.DUMMYFUNCTION("""COMPUTED_VALUE"""),1.2058823529411764)</f>
        <v>1.205882353</v>
      </c>
      <c r="R132" s="57">
        <f>IFERROR(__xludf.DUMMYFUNCTION("""COMPUTED_VALUE"""),1.8235294117647058)</f>
        <v>1.823529412</v>
      </c>
      <c r="S132" s="31">
        <f>IFERROR(__xludf.DUMMYFUNCTION("""COMPUTED_VALUE"""),368.81372549019596)</f>
        <v>368.8137255</v>
      </c>
      <c r="T132" s="57">
        <f>IFERROR(__xludf.DUMMYFUNCTION("""COMPUTED_VALUE"""),0.9215686274509803)</f>
        <v>0.9215686275</v>
      </c>
      <c r="U132" s="57">
        <f>IFERROR(__xludf.DUMMYFUNCTION("""COMPUTED_VALUE"""),0.7058823529411764)</f>
        <v>0.7058823529</v>
      </c>
      <c r="V132" s="57">
        <f>IFERROR(__xludf.DUMMYFUNCTION("""COMPUTED_VALUE"""),1.2941176470588236)</f>
        <v>1.294117647</v>
      </c>
      <c r="W132" s="57">
        <f>IFERROR(__xludf.DUMMYFUNCTION("""COMPUTED_VALUE"""),2.8039215686274503)</f>
        <v>2.803921569</v>
      </c>
      <c r="X132" s="31">
        <f>IFERROR(__xludf.DUMMYFUNCTION("""COMPUTED_VALUE"""),340.880598574662)</f>
        <v>340.8805986</v>
      </c>
      <c r="Y132" s="57">
        <f>IFERROR(__xludf.DUMMYFUNCTION("""COMPUTED_VALUE"""),0.7860928562723876)</f>
        <v>0.7860928563</v>
      </c>
      <c r="Z132" s="57">
        <f>IFERROR(__xludf.DUMMYFUNCTION("""COMPUTED_VALUE"""),0.5530105828093247)</f>
        <v>0.5530105828</v>
      </c>
      <c r="AA132" s="57">
        <f>IFERROR(__xludf.DUMMYFUNCTION("""COMPUTED_VALUE"""),1.2385504758987462)</f>
        <v>1.238550476</v>
      </c>
      <c r="AB132" s="57">
        <f>IFERROR(__xludf.DUMMYFUNCTION("""COMPUTED_VALUE"""),2.53177885342157)</f>
        <v>2.531778853</v>
      </c>
      <c r="AC132" s="31">
        <f>IFERROR(__xludf.DUMMYFUNCTION("""COMPUTED_VALUE"""),327.0023637703695)</f>
        <v>327.0023638</v>
      </c>
      <c r="AD132" s="57">
        <f>IFERROR(__xludf.DUMMYFUNCTION("""COMPUTED_VALUE"""),0.7107656554863173)</f>
        <v>0.7107656555</v>
      </c>
      <c r="AE132" s="57">
        <f>IFERROR(__xludf.DUMMYFUNCTION("""COMPUTED_VALUE"""),0.491605813865171)</f>
        <v>0.4916058139</v>
      </c>
      <c r="AF132" s="57">
        <f>IFERROR(__xludf.DUMMYFUNCTION("""COMPUTED_VALUE"""),1.2551681538476296)</f>
        <v>1.255168154</v>
      </c>
      <c r="AG132" s="57">
        <f>IFERROR(__xludf.DUMMYFUNCTION("""COMPUTED_VALUE"""),2.337951369509898)</f>
        <v>2.33795137</v>
      </c>
      <c r="AH132" s="57">
        <f>IFERROR(__xludf.DUMMYFUNCTION("""COMPUTED_VALUE"""),0.9124776637722078)</f>
        <v>0.9124776638</v>
      </c>
      <c r="AI132" s="57">
        <f>IFERROR(__xludf.DUMMYFUNCTION("""COMPUTED_VALUE"""),0.9103687249585571)</f>
        <v>0.910368725</v>
      </c>
      <c r="AJ132" s="57">
        <f>IFERROR(__xludf.DUMMYFUNCTION("""COMPUTED_VALUE"""),1.2563868070789879)</f>
        <v>1.256386807</v>
      </c>
      <c r="AK132" s="57">
        <f>IFERROR(__xludf.DUMMYFUNCTION("""COMPUTED_VALUE"""),0.9607337066707986)</f>
        <v>0.9607337067</v>
      </c>
      <c r="AL132" s="57">
        <f>IFERROR(__xludf.DUMMYFUNCTION("""COMPUTED_VALUE"""),0.7799689230263888)</f>
        <v>0.779968923</v>
      </c>
      <c r="AM132" s="57">
        <f>IFERROR(__xludf.DUMMYFUNCTION("""COMPUTED_VALUE"""),1.0819440209631523)</f>
        <v>1.081944021</v>
      </c>
      <c r="AN132" s="57">
        <f>IFERROR(__xludf.DUMMYFUNCTION("""COMPUTED_VALUE"""),1.1723406720944036)</f>
        <v>1.172340672</v>
      </c>
      <c r="AO132" s="57">
        <f>IFERROR(__xludf.DUMMYFUNCTION("""COMPUTED_VALUE"""),1.2764355238108729)</f>
        <v>1.276435524</v>
      </c>
      <c r="AP132" s="35">
        <f>IFERROR(__xludf.DUMMYFUNCTION("""COMPUTED_VALUE"""),1.0448646803189474)</f>
        <v>1.04486468</v>
      </c>
      <c r="AQ132" s="57">
        <f>IFERROR(__xludf.DUMMYFUNCTION("""COMPUTED_VALUE"""),1.1074907134318202)</f>
        <v>1.107490713</v>
      </c>
      <c r="AR132" s="36" t="b">
        <f>IFERROR(__xludf.DUMMYFUNCTION("""COMPUTED_VALUE"""),TRUE)</f>
        <v>1</v>
      </c>
      <c r="AS132" s="57"/>
      <c r="AT132" s="37"/>
      <c r="AU132" s="30"/>
      <c r="AV132" s="30"/>
      <c r="AW132" s="30"/>
      <c r="AX132" s="30"/>
      <c r="AY132" s="30"/>
      <c r="AZ132" s="30"/>
    </row>
    <row r="133">
      <c r="A133" s="30" t="str">
        <f>IFERROR(__xludf.DUMMYFUNCTION("""COMPUTED_VALUE"""),"Challenger")</f>
        <v>Challenger</v>
      </c>
      <c r="B133" s="30" t="str">
        <f>IFERROR(__xludf.DUMMYFUNCTION("""COMPUTED_VALUE"""),"RSC000347")</f>
        <v>RSC000347</v>
      </c>
      <c r="C133" s="30" t="str">
        <f>IFERROR(__xludf.DUMMYFUNCTION("""COMPUTED_VALUE"""),"Chris.")</f>
        <v>Chris.</v>
      </c>
      <c r="D133" s="31" t="str">
        <f>IFERROR(__xludf.DUMMYFUNCTION("""COMPUTED_VALUE"""),"Zombies")</f>
        <v>Zombies</v>
      </c>
      <c r="E133" s="31">
        <f>IFERROR(__xludf.DUMMYFUNCTION("""COMPUTED_VALUE"""),36.11904397572984)</f>
        <v>36.11904398</v>
      </c>
      <c r="F133" s="31">
        <f>IFERROR(__xludf.DUMMYFUNCTION("""COMPUTED_VALUE"""),-3.4558327228269348)</f>
        <v>-3.455832723</v>
      </c>
      <c r="G133" s="31">
        <f>IFERROR(__xludf.DUMMYFUNCTION("""COMPUTED_VALUE"""),29.352787799954513)</f>
        <v>29.3527878</v>
      </c>
      <c r="H133" s="31">
        <f>IFERROR(__xludf.DUMMYFUNCTION("""COMPUTED_VALUE"""),-4.891562000479754)</f>
        <v>-4.891562</v>
      </c>
      <c r="I133" s="54">
        <f>IFERROR(__xludf.DUMMYFUNCTION("""COMPUTED_VALUE"""),13.0)</f>
        <v>13</v>
      </c>
      <c r="J133" s="55">
        <f>IFERROR(__xludf.DUMMYFUNCTION("""COMPUTED_VALUE"""),6.0)</f>
        <v>6</v>
      </c>
      <c r="K133" s="54">
        <f>IFERROR(__xludf.DUMMYFUNCTION("""COMPUTED_VALUE"""),7.0)</f>
        <v>7</v>
      </c>
      <c r="L133" s="56">
        <f>IFERROR(__xludf.DUMMYFUNCTION("""COMPUTED_VALUE"""),0.46153846153846156)</f>
        <v>0.4615384615</v>
      </c>
      <c r="M133" s="56">
        <f>IFERROR(__xludf.DUMMYFUNCTION("""COMPUTED_VALUE"""),0.3478260869565218)</f>
        <v>0.347826087</v>
      </c>
      <c r="N133" s="31">
        <f>IFERROR(__xludf.DUMMYFUNCTION("""COMPUTED_VALUE"""),230.92307692307693)</f>
        <v>230.9230769</v>
      </c>
      <c r="O133" s="57">
        <f>IFERROR(__xludf.DUMMYFUNCTION("""COMPUTED_VALUE"""),0.6153846153846154)</f>
        <v>0.6153846154</v>
      </c>
      <c r="P133" s="57">
        <f>IFERROR(__xludf.DUMMYFUNCTION("""COMPUTED_VALUE"""),0.5384615384615384)</f>
        <v>0.5384615385</v>
      </c>
      <c r="Q133" s="57">
        <f>IFERROR(__xludf.DUMMYFUNCTION("""COMPUTED_VALUE"""),0.23076923076923078)</f>
        <v>0.2307692308</v>
      </c>
      <c r="R133" s="57">
        <f>IFERROR(__xludf.DUMMYFUNCTION("""COMPUTED_VALUE"""),1.7692307692307692)</f>
        <v>1.769230769</v>
      </c>
      <c r="S133" s="31">
        <f>IFERROR(__xludf.DUMMYFUNCTION("""COMPUTED_VALUE"""),312.84615384615387)</f>
        <v>312.8461538</v>
      </c>
      <c r="T133" s="57">
        <f>IFERROR(__xludf.DUMMYFUNCTION("""COMPUTED_VALUE"""),0.7948717948717949)</f>
        <v>0.7948717949</v>
      </c>
      <c r="U133" s="57">
        <f>IFERROR(__xludf.DUMMYFUNCTION("""COMPUTED_VALUE"""),0.5641025641025641)</f>
        <v>0.5641025641</v>
      </c>
      <c r="V133" s="57">
        <f>IFERROR(__xludf.DUMMYFUNCTION("""COMPUTED_VALUE"""),0.8974358974358974)</f>
        <v>0.8974358974</v>
      </c>
      <c r="W133" s="57">
        <f>IFERROR(__xludf.DUMMYFUNCTION("""COMPUTED_VALUE"""),2.4102564102564106)</f>
        <v>2.41025641</v>
      </c>
      <c r="X133" s="31">
        <f>IFERROR(__xludf.DUMMYFUNCTION("""COMPUTED_VALUE"""),336.64196511213254)</f>
        <v>336.6419651</v>
      </c>
      <c r="Y133" s="57">
        <f>IFERROR(__xludf.DUMMYFUNCTION("""COMPUTED_VALUE"""),0.8088931013155578)</f>
        <v>0.8088931013</v>
      </c>
      <c r="Z133" s="57">
        <f>IFERROR(__xludf.DUMMYFUNCTION("""COMPUTED_VALUE"""),0.5666805563703826)</f>
        <v>0.5666805564</v>
      </c>
      <c r="AA133" s="57">
        <f>IFERROR(__xludf.DUMMYFUNCTION("""COMPUTED_VALUE"""),1.1133810349194961)</f>
        <v>1.113381035</v>
      </c>
      <c r="AB133" s="57">
        <f>IFERROR(__xludf.DUMMYFUNCTION("""COMPUTED_VALUE"""),2.6193278175505217)</f>
        <v>2.619327818</v>
      </c>
      <c r="AC133" s="31">
        <f>IFERROR(__xludf.DUMMYFUNCTION("""COMPUTED_VALUE"""),318.46910444543505)</f>
        <v>318.4691044</v>
      </c>
      <c r="AD133" s="57">
        <f>IFERROR(__xludf.DUMMYFUNCTION("""COMPUTED_VALUE"""),0.6459352268140522)</f>
        <v>0.6459352268</v>
      </c>
      <c r="AE133" s="57">
        <f>IFERROR(__xludf.DUMMYFUNCTION("""COMPUTED_VALUE"""),0.4422593156774298)</f>
        <v>0.4422593157</v>
      </c>
      <c r="AF133" s="57">
        <f>IFERROR(__xludf.DUMMYFUNCTION("""COMPUTED_VALUE"""),1.3470051246581436)</f>
        <v>1.347005125</v>
      </c>
      <c r="AG133" s="57">
        <f>IFERROR(__xludf.DUMMYFUNCTION("""COMPUTED_VALUE"""),2.115756785834329)</f>
        <v>2.115756786</v>
      </c>
      <c r="AH133" s="57">
        <f>IFERROR(__xludf.DUMMYFUNCTION("""COMPUTED_VALUE"""),0.7251035459944974)</f>
        <v>0.725103546</v>
      </c>
      <c r="AI133" s="57">
        <f>IFERROR(__xludf.DUMMYFUNCTION("""COMPUTED_VALUE"""),0.9527032894921652)</f>
        <v>0.9527032895</v>
      </c>
      <c r="AJ133" s="57">
        <f>IFERROR(__xludf.DUMMYFUNCTION("""COMPUTED_VALUE"""),1.2175244689572022)</f>
        <v>1.217524469</v>
      </c>
      <c r="AK133" s="57">
        <f>IFERROR(__xludf.DUMMYFUNCTION("""COMPUTED_VALUE"""),0.1713202322283649)</f>
        <v>0.1713202322</v>
      </c>
      <c r="AL133" s="57">
        <f>IFERROR(__xludf.DUMMYFUNCTION("""COMPUTED_VALUE"""),0.8362165165090512)</f>
        <v>0.8362165165</v>
      </c>
      <c r="AM133" s="57">
        <f>IFERROR(__xludf.DUMMYFUNCTION("""COMPUTED_VALUE"""),0.9293141861916934)</f>
        <v>0.9293141862</v>
      </c>
      <c r="AN133" s="57">
        <f>IFERROR(__xludf.DUMMYFUNCTION("""COMPUTED_VALUE"""),0.9826660575779926)</f>
        <v>0.9826660576</v>
      </c>
      <c r="AO133" s="57">
        <f>IFERROR(__xludf.DUMMYFUNCTION("""COMPUTED_VALUE"""),0.9954507133889846)</f>
        <v>0.9954507134</v>
      </c>
      <c r="AP133" s="35">
        <f>IFERROR(__xludf.DUMMYFUNCTION("""COMPUTED_VALUE"""),0.8060456117799664)</f>
        <v>0.8060456118</v>
      </c>
      <c r="AQ133" s="57">
        <f>IFERROR(__xludf.DUMMYFUNCTION("""COMPUTED_VALUE"""),0.9201812747937654)</f>
        <v>0.9201812748</v>
      </c>
      <c r="AR133" s="36" t="b">
        <f>IFERROR(__xludf.DUMMYFUNCTION("""COMPUTED_VALUE"""),TRUE)</f>
        <v>1</v>
      </c>
      <c r="AS133" s="57"/>
      <c r="AT133" s="37"/>
      <c r="AU133" s="30"/>
      <c r="AV133" s="30"/>
      <c r="AW133" s="30"/>
      <c r="AX133" s="30"/>
      <c r="AY133" s="30"/>
      <c r="AZ133" s="30"/>
    </row>
    <row r="134">
      <c r="A134" s="30" t="str">
        <f>IFERROR(__xludf.DUMMYFUNCTION("""COMPUTED_VALUE"""),"Challenger")</f>
        <v>Challenger</v>
      </c>
      <c r="B134" s="30" t="str">
        <f>IFERROR(__xludf.DUMMYFUNCTION("""COMPUTED_VALUE"""),"RSC004073")</f>
        <v>RSC004073</v>
      </c>
      <c r="C134" s="30" t="str">
        <f>IFERROR(__xludf.DUMMYFUNCTION("""COMPUTED_VALUE"""),"BusterChugs")</f>
        <v>BusterChugs</v>
      </c>
      <c r="D134" s="31" t="str">
        <f>IFERROR(__xludf.DUMMYFUNCTION("""COMPUTED_VALUE"""),"Spearmint")</f>
        <v>Spearmint</v>
      </c>
      <c r="E134" s="31">
        <f>IFERROR(__xludf.DUMMYFUNCTION("""COMPUTED_VALUE"""),35.60979082410452)</f>
        <v>35.60979082</v>
      </c>
      <c r="F134" s="31">
        <f>IFERROR(__xludf.DUMMYFUNCTION("""COMPUTED_VALUE"""),-3.54057546374979)</f>
        <v>-3.540575464</v>
      </c>
      <c r="G134" s="31">
        <f>IFERROR(__xludf.DUMMYFUNCTION("""COMPUTED_VALUE"""),47.99229510674045)</f>
        <v>47.99229511</v>
      </c>
      <c r="H134" s="31">
        <f>IFERROR(__xludf.DUMMYFUNCTION("""COMPUTED_VALUE"""),-2.136770080096787)</f>
        <v>-2.13677008</v>
      </c>
      <c r="I134" s="54">
        <f>IFERROR(__xludf.DUMMYFUNCTION("""COMPUTED_VALUE"""),32.0)</f>
        <v>32</v>
      </c>
      <c r="J134" s="55">
        <f>IFERROR(__xludf.DUMMYFUNCTION("""COMPUTED_VALUE"""),11.0)</f>
        <v>11</v>
      </c>
      <c r="K134" s="54">
        <f>IFERROR(__xludf.DUMMYFUNCTION("""COMPUTED_VALUE"""),21.0)</f>
        <v>21</v>
      </c>
      <c r="L134" s="56">
        <f>IFERROR(__xludf.DUMMYFUNCTION("""COMPUTED_VALUE"""),0.34375)</f>
        <v>0.34375</v>
      </c>
      <c r="M134" s="56">
        <f>IFERROR(__xludf.DUMMYFUNCTION("""COMPUTED_VALUE"""),0.4262295081967213)</f>
        <v>0.4262295082</v>
      </c>
      <c r="N134" s="31">
        <f>IFERROR(__xludf.DUMMYFUNCTION("""COMPUTED_VALUE"""),321.53125)</f>
        <v>321.53125</v>
      </c>
      <c r="O134" s="57">
        <f>IFERROR(__xludf.DUMMYFUNCTION("""COMPUTED_VALUE"""),0.8125)</f>
        <v>0.8125</v>
      </c>
      <c r="P134" s="57">
        <f>IFERROR(__xludf.DUMMYFUNCTION("""COMPUTED_VALUE"""),0.4375)</f>
        <v>0.4375</v>
      </c>
      <c r="Q134" s="57">
        <f>IFERROR(__xludf.DUMMYFUNCTION("""COMPUTED_VALUE"""),0.96875)</f>
        <v>0.96875</v>
      </c>
      <c r="R134" s="57">
        <f>IFERROR(__xludf.DUMMYFUNCTION("""COMPUTED_VALUE"""),1.90625)</f>
        <v>1.90625</v>
      </c>
      <c r="S134" s="31">
        <f>IFERROR(__xludf.DUMMYFUNCTION("""COMPUTED_VALUE"""),342.96875000000006)</f>
        <v>342.96875</v>
      </c>
      <c r="T134" s="57">
        <f>IFERROR(__xludf.DUMMYFUNCTION("""COMPUTED_VALUE"""),0.9687499999999999)</f>
        <v>0.96875</v>
      </c>
      <c r="U134" s="57">
        <f>IFERROR(__xludf.DUMMYFUNCTION("""COMPUTED_VALUE"""),0.59375)</f>
        <v>0.59375</v>
      </c>
      <c r="V134" s="57">
        <f>IFERROR(__xludf.DUMMYFUNCTION("""COMPUTED_VALUE"""),1.0625)</f>
        <v>1.0625</v>
      </c>
      <c r="W134" s="57">
        <f>IFERROR(__xludf.DUMMYFUNCTION("""COMPUTED_VALUE"""),2.53125)</f>
        <v>2.53125</v>
      </c>
      <c r="X134" s="31">
        <f>IFERROR(__xludf.DUMMYFUNCTION("""COMPUTED_VALUE"""),332.8946001894185)</f>
        <v>332.8946002</v>
      </c>
      <c r="Y134" s="57">
        <f>IFERROR(__xludf.DUMMYFUNCTION("""COMPUTED_VALUE"""),0.7324991584511875)</f>
        <v>0.7324991585</v>
      </c>
      <c r="Z134" s="57">
        <f>IFERROR(__xludf.DUMMYFUNCTION("""COMPUTED_VALUE"""),0.4927522128472148)</f>
        <v>0.4927522128</v>
      </c>
      <c r="AA134" s="57">
        <f>IFERROR(__xludf.DUMMYFUNCTION("""COMPUTED_VALUE"""),1.304749779188201)</f>
        <v>1.304749779</v>
      </c>
      <c r="AB134" s="57">
        <f>IFERROR(__xludf.DUMMYFUNCTION("""COMPUTED_VALUE"""),2.3489659051709513)</f>
        <v>2.348965905</v>
      </c>
      <c r="AC134" s="31">
        <f>IFERROR(__xludf.DUMMYFUNCTION("""COMPUTED_VALUE"""),334.998132331704)</f>
        <v>334.9981323</v>
      </c>
      <c r="AD134" s="57">
        <f>IFERROR(__xludf.DUMMYFUNCTION("""COMPUTED_VALUE"""),0.7693470184409197)</f>
        <v>0.7693470184</v>
      </c>
      <c r="AE134" s="57">
        <f>IFERROR(__xludf.DUMMYFUNCTION("""COMPUTED_VALUE"""),0.5262969756197038)</f>
        <v>0.5262969756</v>
      </c>
      <c r="AF134" s="57">
        <f>IFERROR(__xludf.DUMMYFUNCTION("""COMPUTED_VALUE"""),1.180287064264395)</f>
        <v>1.180287064</v>
      </c>
      <c r="AG134" s="57">
        <f>IFERROR(__xludf.DUMMYFUNCTION("""COMPUTED_VALUE"""),2.4827853969200775)</f>
        <v>2.482785397</v>
      </c>
      <c r="AH134" s="57">
        <f>IFERROR(__xludf.DUMMYFUNCTION("""COMPUTED_VALUE"""),0.959800127129158)</f>
        <v>0.9598001271</v>
      </c>
      <c r="AI134" s="57">
        <f>IFERROR(__xludf.DUMMYFUNCTION("""COMPUTED_VALUE"""),1.0560903994227855)</f>
        <v>1.056090399</v>
      </c>
      <c r="AJ134" s="57">
        <f>IFERROR(__xludf.DUMMYFUNCTION("""COMPUTED_VALUE"""),0.8312797151928392)</f>
        <v>0.8312797152</v>
      </c>
      <c r="AK134" s="57">
        <f>IFERROR(__xludf.DUMMYFUNCTION("""COMPUTED_VALUE"""),0.8207749024206803)</f>
        <v>0.8207749024</v>
      </c>
      <c r="AL134" s="57">
        <f>IFERROR(__xludf.DUMMYFUNCTION("""COMPUTED_VALUE"""),0.7677868584069828)</f>
        <v>0.7677868584</v>
      </c>
      <c r="AM134" s="57">
        <f>IFERROR(__xludf.DUMMYFUNCTION("""COMPUTED_VALUE"""),1.030262280628311)</f>
        <v>1.030262281</v>
      </c>
      <c r="AN134" s="57">
        <f>IFERROR(__xludf.DUMMYFUNCTION("""COMPUTED_VALUE"""),1.3225271166841288)</f>
        <v>1.322527117</v>
      </c>
      <c r="AO134" s="57">
        <f>IFERROR(__xludf.DUMMYFUNCTION("""COMPUTED_VALUE"""),1.2049666841051834)</f>
        <v>1.204966684</v>
      </c>
      <c r="AP134" s="35">
        <f>IFERROR(__xludf.DUMMYFUNCTION("""COMPUTED_VALUE"""),0.8143323853720629)</f>
        <v>0.8143323854</v>
      </c>
      <c r="AQ134" s="57">
        <f>IFERROR(__xludf.DUMMYFUNCTION("""COMPUTED_VALUE"""),1.0776018478717693)</f>
        <v>1.077601848</v>
      </c>
      <c r="AR134" s="36" t="b">
        <f>IFERROR(__xludf.DUMMYFUNCTION("""COMPUTED_VALUE"""),TRUE)</f>
        <v>1</v>
      </c>
      <c r="AS134" s="57"/>
      <c r="AT134" s="37"/>
      <c r="AU134" s="30"/>
      <c r="AV134" s="30"/>
      <c r="AW134" s="30"/>
      <c r="AX134" s="30"/>
      <c r="AY134" s="30"/>
      <c r="AZ134" s="30"/>
    </row>
    <row r="135">
      <c r="A135" s="30" t="str">
        <f>IFERROR(__xludf.DUMMYFUNCTION("""COMPUTED_VALUE"""),"Challenger")</f>
        <v>Challenger</v>
      </c>
      <c r="B135" s="30" t="str">
        <f>IFERROR(__xludf.DUMMYFUNCTION("""COMPUTED_VALUE"""),"RSC006583")</f>
        <v>RSC006583</v>
      </c>
      <c r="C135" s="30" t="str">
        <f>IFERROR(__xludf.DUMMYFUNCTION("""COMPUTED_VALUE"""),"DaScrappyDoo15")</f>
        <v>DaScrappyDoo15</v>
      </c>
      <c r="D135" s="31" t="str">
        <f>IFERROR(__xludf.DUMMYFUNCTION("""COMPUTED_VALUE"""),"Solstice Sake")</f>
        <v>Solstice Sake</v>
      </c>
      <c r="E135" s="31">
        <f>IFERROR(__xludf.DUMMYFUNCTION("""COMPUTED_VALUE"""),34.933879231259795)</f>
        <v>34.93387923</v>
      </c>
      <c r="F135" s="31">
        <f>IFERROR(__xludf.DUMMYFUNCTION("""COMPUTED_VALUE"""),-3.6580124856549343)</f>
        <v>-3.658012486</v>
      </c>
      <c r="G135" s="31">
        <f>IFERROR(__xludf.DUMMYFUNCTION("""COMPUTED_VALUE"""),25.078838717859924)</f>
        <v>25.07883872</v>
      </c>
      <c r="H135" s="31">
        <f>IFERROR(__xludf.DUMMYFUNCTION("""COMPUTED_VALUE"""),-6.272757423566852)</f>
        <v>-6.272757424</v>
      </c>
      <c r="I135" s="54">
        <f>IFERROR(__xludf.DUMMYFUNCTION("""COMPUTED_VALUE"""),5.0)</f>
        <v>5</v>
      </c>
      <c r="J135" s="55">
        <f>IFERROR(__xludf.DUMMYFUNCTION("""COMPUTED_VALUE"""),2.0)</f>
        <v>2</v>
      </c>
      <c r="K135" s="54">
        <f>IFERROR(__xludf.DUMMYFUNCTION("""COMPUTED_VALUE"""),3.0)</f>
        <v>3</v>
      </c>
      <c r="L135" s="56">
        <f>IFERROR(__xludf.DUMMYFUNCTION("""COMPUTED_VALUE"""),0.4)</f>
        <v>0.4</v>
      </c>
      <c r="M135" s="56">
        <f>IFERROR(__xludf.DUMMYFUNCTION("""COMPUTED_VALUE"""),0.5)</f>
        <v>0.5</v>
      </c>
      <c r="N135" s="31">
        <f>IFERROR(__xludf.DUMMYFUNCTION("""COMPUTED_VALUE"""),316.4)</f>
        <v>316.4</v>
      </c>
      <c r="O135" s="57">
        <f>IFERROR(__xludf.DUMMYFUNCTION("""COMPUTED_VALUE"""),0.8)</f>
        <v>0.8</v>
      </c>
      <c r="P135" s="57">
        <f>IFERROR(__xludf.DUMMYFUNCTION("""COMPUTED_VALUE"""),0.2)</f>
        <v>0.2</v>
      </c>
      <c r="Q135" s="57">
        <f>IFERROR(__xludf.DUMMYFUNCTION("""COMPUTED_VALUE"""),1.2)</f>
        <v>1.2</v>
      </c>
      <c r="R135" s="57">
        <f>IFERROR(__xludf.DUMMYFUNCTION("""COMPUTED_VALUE"""),1.6)</f>
        <v>1.6</v>
      </c>
      <c r="S135" s="31">
        <f>IFERROR(__xludf.DUMMYFUNCTION("""COMPUTED_VALUE"""),330.93333333333334)</f>
        <v>330.9333333</v>
      </c>
      <c r="T135" s="57">
        <f>IFERROR(__xludf.DUMMYFUNCTION("""COMPUTED_VALUE"""),0.8)</f>
        <v>0.8</v>
      </c>
      <c r="U135" s="57">
        <f>IFERROR(__xludf.DUMMYFUNCTION("""COMPUTED_VALUE"""),0.4666666666666666)</f>
        <v>0.4666666667</v>
      </c>
      <c r="V135" s="57">
        <f>IFERROR(__xludf.DUMMYFUNCTION("""COMPUTED_VALUE"""),1.2)</f>
        <v>1.2</v>
      </c>
      <c r="W135" s="57">
        <f>IFERROR(__xludf.DUMMYFUNCTION("""COMPUTED_VALUE"""),2.7333333333333334)</f>
        <v>2.733333333</v>
      </c>
      <c r="X135" s="31">
        <f>IFERROR(__xludf.DUMMYFUNCTION("""COMPUTED_VALUE"""),375.03074584037597)</f>
        <v>375.0307458</v>
      </c>
      <c r="Y135" s="57">
        <f>IFERROR(__xludf.DUMMYFUNCTION("""COMPUTED_VALUE"""),0.9886485203280435)</f>
        <v>0.9886485203</v>
      </c>
      <c r="Z135" s="57">
        <f>IFERROR(__xludf.DUMMYFUNCTION("""COMPUTED_VALUE"""),0.7421181117464428)</f>
        <v>0.7421181117</v>
      </c>
      <c r="AA135" s="57">
        <f>IFERROR(__xludf.DUMMYFUNCTION("""COMPUTED_VALUE"""),1.258894111965641)</f>
        <v>1.258894112</v>
      </c>
      <c r="AB135" s="57">
        <f>IFERROR(__xludf.DUMMYFUNCTION("""COMPUTED_VALUE"""),2.8082183806920833)</f>
        <v>2.808218381</v>
      </c>
      <c r="AC135" s="31">
        <f>IFERROR(__xludf.DUMMYFUNCTION("""COMPUTED_VALUE"""),331.9620891086862)</f>
        <v>331.9620891</v>
      </c>
      <c r="AD135" s="57">
        <f>IFERROR(__xludf.DUMMYFUNCTION("""COMPUTED_VALUE"""),0.6804846915330787)</f>
        <v>0.6804846915</v>
      </c>
      <c r="AE135" s="57">
        <f>IFERROR(__xludf.DUMMYFUNCTION("""COMPUTED_VALUE"""),0.5079057160438647)</f>
        <v>0.507905716</v>
      </c>
      <c r="AF135" s="57">
        <f>IFERROR(__xludf.DUMMYFUNCTION("""COMPUTED_VALUE"""),1.340579476818958)</f>
        <v>1.340579477</v>
      </c>
      <c r="AG135" s="57">
        <f>IFERROR(__xludf.DUMMYFUNCTION("""COMPUTED_VALUE"""),2.295186444574593)</f>
        <v>2.295186445</v>
      </c>
      <c r="AH135" s="57">
        <f>IFERROR(__xludf.DUMMYFUNCTION("""COMPUTED_VALUE"""),0.9531208845248859)</f>
        <v>0.9531208845</v>
      </c>
      <c r="AI135" s="57">
        <f>IFERROR(__xludf.DUMMYFUNCTION("""COMPUTED_VALUE"""),1.1756326188582769)</f>
        <v>1.175632619</v>
      </c>
      <c r="AJ135" s="57">
        <f>IFERROR(__xludf.DUMMYFUNCTION("""COMPUTED_VALUE"""),0.3937738711779476)</f>
        <v>0.3937738712</v>
      </c>
      <c r="AK135" s="57">
        <f>IFERROR(__xludf.DUMMYFUNCTION("""COMPUTED_VALUE"""),0.8951352909321444)</f>
        <v>0.8951352909</v>
      </c>
      <c r="AL135" s="57">
        <f>IFERROR(__xludf.DUMMYFUNCTION("""COMPUTED_VALUE"""),0.6971111230558684)</f>
        <v>0.6971111231</v>
      </c>
      <c r="AM135" s="57">
        <f>IFERROR(__xludf.DUMMYFUNCTION("""COMPUTED_VALUE"""),0.8824165405206224)</f>
        <v>0.8824165405</v>
      </c>
      <c r="AN135" s="57">
        <f>IFERROR(__xludf.DUMMYFUNCTION("""COMPUTED_VALUE"""),0.8091854522116232)</f>
        <v>0.8091854522</v>
      </c>
      <c r="AO135" s="57">
        <f>IFERROR(__xludf.DUMMYFUNCTION("""COMPUTED_VALUE"""),0.6288307201780182)</f>
        <v>0.6288307202</v>
      </c>
      <c r="AP135" s="35">
        <f>IFERROR(__xludf.DUMMYFUNCTION("""COMPUTED_VALUE"""),0.9532175808863832)</f>
        <v>0.9532175809</v>
      </c>
      <c r="AQ135" s="57">
        <f>IFERROR(__xludf.DUMMYFUNCTION("""COMPUTED_VALUE"""),0.97333360971012)</f>
        <v>0.9733336097</v>
      </c>
      <c r="AR135" s="36" t="b">
        <f>IFERROR(__xludf.DUMMYFUNCTION("""COMPUTED_VALUE"""),TRUE)</f>
        <v>1</v>
      </c>
      <c r="AS135" s="57"/>
      <c r="AT135" s="37"/>
      <c r="AU135" s="30"/>
      <c r="AV135" s="30"/>
      <c r="AW135" s="30"/>
      <c r="AX135" s="30"/>
      <c r="AY135" s="30"/>
      <c r="AZ135" s="30"/>
    </row>
    <row r="136">
      <c r="A136" s="30" t="str">
        <f>IFERROR(__xludf.DUMMYFUNCTION("""COMPUTED_VALUE"""),"Challenger")</f>
        <v>Challenger</v>
      </c>
      <c r="B136" s="30" t="str">
        <f>IFERROR(__xludf.DUMMYFUNCTION("""COMPUTED_VALUE"""),"RSC000938")</f>
        <v>RSC000938</v>
      </c>
      <c r="C136" s="30" t="str">
        <f>IFERROR(__xludf.DUMMYFUNCTION("""COMPUTED_VALUE"""),"Nukem_IV")</f>
        <v>Nukem_IV</v>
      </c>
      <c r="D136" s="31" t="str">
        <f>IFERROR(__xludf.DUMMYFUNCTION("""COMPUTED_VALUE"""),"Spearmint")</f>
        <v>Spearmint</v>
      </c>
      <c r="E136" s="31">
        <f>IFERROR(__xludf.DUMMYFUNCTION("""COMPUTED_VALUE"""),32.81629415292106)</f>
        <v>32.81629415</v>
      </c>
      <c r="F136" s="31">
        <f>IFERROR(__xludf.DUMMYFUNCTION("""COMPUTED_VALUE"""),-4.066170331957925)</f>
        <v>-4.066170332</v>
      </c>
      <c r="G136" s="31">
        <f>IFERROR(__xludf.DUMMYFUNCTION("""COMPUTED_VALUE"""),45.35909197315088)</f>
        <v>45.35909197</v>
      </c>
      <c r="H136" s="31">
        <f>IFERROR(__xludf.DUMMYFUNCTION("""COMPUTED_VALUE"""),-2.3454083635690517)</f>
        <v>-2.345408364</v>
      </c>
      <c r="I136" s="54">
        <f>IFERROR(__xludf.DUMMYFUNCTION("""COMPUTED_VALUE"""),31.0)</f>
        <v>31</v>
      </c>
      <c r="J136" s="55">
        <f>IFERROR(__xludf.DUMMYFUNCTION("""COMPUTED_VALUE"""),11.0)</f>
        <v>11</v>
      </c>
      <c r="K136" s="54">
        <f>IFERROR(__xludf.DUMMYFUNCTION("""COMPUTED_VALUE"""),20.0)</f>
        <v>20</v>
      </c>
      <c r="L136" s="56">
        <f>IFERROR(__xludf.DUMMYFUNCTION("""COMPUTED_VALUE"""),0.3548387096774194)</f>
        <v>0.3548387097</v>
      </c>
      <c r="M136" s="56">
        <f>IFERROR(__xludf.DUMMYFUNCTION("""COMPUTED_VALUE"""),0.2142857142857143)</f>
        <v>0.2142857143</v>
      </c>
      <c r="N136" s="31">
        <f>IFERROR(__xludf.DUMMYFUNCTION("""COMPUTED_VALUE"""),294.19354838709677)</f>
        <v>294.1935484</v>
      </c>
      <c r="O136" s="57">
        <f>IFERROR(__xludf.DUMMYFUNCTION("""COMPUTED_VALUE"""),0.5806451612903226)</f>
        <v>0.5806451613</v>
      </c>
      <c r="P136" s="57">
        <f>IFERROR(__xludf.DUMMYFUNCTION("""COMPUTED_VALUE"""),0.2903225806451613)</f>
        <v>0.2903225806</v>
      </c>
      <c r="Q136" s="57">
        <f>IFERROR(__xludf.DUMMYFUNCTION("""COMPUTED_VALUE"""),1.0)</f>
        <v>1</v>
      </c>
      <c r="R136" s="57">
        <f>IFERROR(__xludf.DUMMYFUNCTION("""COMPUTED_VALUE"""),2.7096774193548385)</f>
        <v>2.709677419</v>
      </c>
      <c r="S136" s="31">
        <f>IFERROR(__xludf.DUMMYFUNCTION("""COMPUTED_VALUE"""),354.49462365591404)</f>
        <v>354.4946237</v>
      </c>
      <c r="T136" s="57">
        <f>IFERROR(__xludf.DUMMYFUNCTION("""COMPUTED_VALUE"""),0.8817204301075269)</f>
        <v>0.8817204301</v>
      </c>
      <c r="U136" s="57">
        <f>IFERROR(__xludf.DUMMYFUNCTION("""COMPUTED_VALUE"""),0.6021505376344084)</f>
        <v>0.6021505376</v>
      </c>
      <c r="V136" s="57">
        <f>IFERROR(__xludf.DUMMYFUNCTION("""COMPUTED_VALUE"""),1.3225806451612905)</f>
        <v>1.322580645</v>
      </c>
      <c r="W136" s="57">
        <f>IFERROR(__xludf.DUMMYFUNCTION("""COMPUTED_VALUE"""),2.3010752688172045)</f>
        <v>2.301075269</v>
      </c>
      <c r="X136" s="31">
        <f>IFERROR(__xludf.DUMMYFUNCTION("""COMPUTED_VALUE"""),333.27941003974917)</f>
        <v>333.27941</v>
      </c>
      <c r="Y136" s="57">
        <f>IFERROR(__xludf.DUMMYFUNCTION("""COMPUTED_VALUE"""),0.7738420004691353)</f>
        <v>0.7738420005</v>
      </c>
      <c r="Z136" s="57">
        <f>IFERROR(__xludf.DUMMYFUNCTION("""COMPUTED_VALUE"""),0.5553048592648885)</f>
        <v>0.5553048593</v>
      </c>
      <c r="AA136" s="57">
        <f>IFERROR(__xludf.DUMMYFUNCTION("""COMPUTED_VALUE"""),1.2035626077757438)</f>
        <v>1.203562608</v>
      </c>
      <c r="AB136" s="57">
        <f>IFERROR(__xludf.DUMMYFUNCTION("""COMPUTED_VALUE"""),2.5096926671319153)</f>
        <v>2.509692667</v>
      </c>
      <c r="AC136" s="31">
        <f>IFERROR(__xludf.DUMMYFUNCTION("""COMPUTED_VALUE"""),337.28611811057533)</f>
        <v>337.2861181</v>
      </c>
      <c r="AD136" s="57">
        <f>IFERROR(__xludf.DUMMYFUNCTION("""COMPUTED_VALUE"""),0.7758757693507545)</f>
        <v>0.7758757694</v>
      </c>
      <c r="AE136" s="57">
        <f>IFERROR(__xludf.DUMMYFUNCTION("""COMPUTED_VALUE"""),0.5467660770639694)</f>
        <v>0.5467660771</v>
      </c>
      <c r="AF136" s="57">
        <f>IFERROR(__xludf.DUMMYFUNCTION("""COMPUTED_VALUE"""),1.2414340680301381)</f>
        <v>1.241434068</v>
      </c>
      <c r="AG136" s="57">
        <f>IFERROR(__xludf.DUMMYFUNCTION("""COMPUTED_VALUE"""),2.432619514158403)</f>
        <v>2.432619514</v>
      </c>
      <c r="AH136" s="57">
        <f>IFERROR(__xludf.DUMMYFUNCTION("""COMPUTED_VALUE"""),0.8722373456551474)</f>
        <v>0.8722373457</v>
      </c>
      <c r="AI136" s="57">
        <f>IFERROR(__xludf.DUMMYFUNCTION("""COMPUTED_VALUE"""),0.7483738817829058)</f>
        <v>0.7483738818</v>
      </c>
      <c r="AJ136" s="57">
        <f>IFERROR(__xludf.DUMMYFUNCTION("""COMPUTED_VALUE"""),0.5309813333777742)</f>
        <v>0.5309813334</v>
      </c>
      <c r="AK136" s="57">
        <f>IFERROR(__xludf.DUMMYFUNCTION("""COMPUTED_VALUE"""),0.8055200237792436)</f>
        <v>0.8055200238</v>
      </c>
      <c r="AL136" s="57">
        <f>IFERROR(__xludf.DUMMYFUNCTION("""COMPUTED_VALUE"""),1.113892823593618)</f>
        <v>1.113892824</v>
      </c>
      <c r="AM136" s="57">
        <f>IFERROR(__xludf.DUMMYFUNCTION("""COMPUTED_VALUE"""),1.0636559384620687)</f>
        <v>1.063655938</v>
      </c>
      <c r="AN136" s="57">
        <f>IFERROR(__xludf.DUMMYFUNCTION("""COMPUTED_VALUE"""),1.1394062735971828)</f>
        <v>1.139406274</v>
      </c>
      <c r="AO136" s="57">
        <f>IFERROR(__xludf.DUMMYFUNCTION("""COMPUTED_VALUE"""),1.08436028892586)</f>
        <v>1.084360289</v>
      </c>
      <c r="AP136" s="35">
        <f>IFERROR(__xludf.DUMMYFUNCTION("""COMPUTED_VALUE"""),1.0988881148488812)</f>
        <v>1.098888115</v>
      </c>
      <c r="AQ136" s="57">
        <f>IFERROR(__xludf.DUMMYFUNCTION("""COMPUTED_VALUE"""),0.916875320613213)</f>
        <v>0.9168753206</v>
      </c>
      <c r="AR136" s="36" t="b">
        <f>IFERROR(__xludf.DUMMYFUNCTION("""COMPUTED_VALUE"""),TRUE)</f>
        <v>1</v>
      </c>
      <c r="AS136" s="57"/>
      <c r="AT136" s="37"/>
      <c r="AU136" s="30"/>
      <c r="AV136" s="30"/>
      <c r="AW136" s="30"/>
      <c r="AX136" s="30"/>
      <c r="AY136" s="30"/>
      <c r="AZ136" s="30"/>
    </row>
    <row r="137">
      <c r="A137" s="30" t="str">
        <f>IFERROR(__xludf.DUMMYFUNCTION("""COMPUTED_VALUE"""),"Challenger")</f>
        <v>Challenger</v>
      </c>
      <c r="B137" s="30" t="str">
        <f>IFERROR(__xludf.DUMMYFUNCTION("""COMPUTED_VALUE"""),"RSC001933")</f>
        <v>RSC001933</v>
      </c>
      <c r="C137" s="30" t="str">
        <f>IFERROR(__xludf.DUMMYFUNCTION("""COMPUTED_VALUE"""),"Ducky")</f>
        <v>Ducky</v>
      </c>
      <c r="D137" s="31" t="str">
        <f>IFERROR(__xludf.DUMMYFUNCTION("""COMPUTED_VALUE"""),"Spearmint")</f>
        <v>Spearmint</v>
      </c>
      <c r="E137" s="31">
        <f>IFERROR(__xludf.DUMMYFUNCTION("""COMPUTED_VALUE"""),32.68571910869987)</f>
        <v>32.68571911</v>
      </c>
      <c r="F137" s="31">
        <f>IFERROR(__xludf.DUMMYFUNCTION("""COMPUTED_VALUE"""),-4.09350660521726)</f>
        <v>-4.093506605</v>
      </c>
      <c r="G137" s="31">
        <f>IFERROR(__xludf.DUMMYFUNCTION("""COMPUTED_VALUE"""),46.91570378290961)</f>
        <v>46.91570378</v>
      </c>
      <c r="H137" s="31">
        <f>IFERROR(__xludf.DUMMYFUNCTION("""COMPUTED_VALUE"""),-2.217755543671121)</f>
        <v>-2.217755544</v>
      </c>
      <c r="I137" s="54">
        <f>IFERROR(__xludf.DUMMYFUNCTION("""COMPUTED_VALUE"""),22.0)</f>
        <v>22</v>
      </c>
      <c r="J137" s="55">
        <f>IFERROR(__xludf.DUMMYFUNCTION("""COMPUTED_VALUE"""),6.0)</f>
        <v>6</v>
      </c>
      <c r="K137" s="54">
        <f>IFERROR(__xludf.DUMMYFUNCTION("""COMPUTED_VALUE"""),16.0)</f>
        <v>16</v>
      </c>
      <c r="L137" s="56">
        <f>IFERROR(__xludf.DUMMYFUNCTION("""COMPUTED_VALUE"""),0.2727272727272727)</f>
        <v>0.2727272727</v>
      </c>
      <c r="M137" s="56">
        <f>IFERROR(__xludf.DUMMYFUNCTION("""COMPUTED_VALUE"""),0.3695652173913044)</f>
        <v>0.3695652174</v>
      </c>
      <c r="N137" s="31">
        <f>IFERROR(__xludf.DUMMYFUNCTION("""COMPUTED_VALUE"""),330.77272727272725)</f>
        <v>330.7727273</v>
      </c>
      <c r="O137" s="57">
        <f>IFERROR(__xludf.DUMMYFUNCTION("""COMPUTED_VALUE"""),0.7727272727272727)</f>
        <v>0.7727272727</v>
      </c>
      <c r="P137" s="57">
        <f>IFERROR(__xludf.DUMMYFUNCTION("""COMPUTED_VALUE"""),0.3181818181818182)</f>
        <v>0.3181818182</v>
      </c>
      <c r="Q137" s="57">
        <f>IFERROR(__xludf.DUMMYFUNCTION("""COMPUTED_VALUE"""),1.3181818181818181)</f>
        <v>1.318181818</v>
      </c>
      <c r="R137" s="57">
        <f>IFERROR(__xludf.DUMMYFUNCTION("""COMPUTED_VALUE"""),2.090909090909091)</f>
        <v>2.090909091</v>
      </c>
      <c r="S137" s="31">
        <f>IFERROR(__xludf.DUMMYFUNCTION("""COMPUTED_VALUE"""),359.54545454545456)</f>
        <v>359.5454545</v>
      </c>
      <c r="T137" s="57">
        <f>IFERROR(__xludf.DUMMYFUNCTION("""COMPUTED_VALUE"""),1.0606060606060608)</f>
        <v>1.060606061</v>
      </c>
      <c r="U137" s="57">
        <f>IFERROR(__xludf.DUMMYFUNCTION("""COMPUTED_VALUE"""),0.7272727272727273)</f>
        <v>0.7272727273</v>
      </c>
      <c r="V137" s="57">
        <f>IFERROR(__xludf.DUMMYFUNCTION("""COMPUTED_VALUE"""),0.9848484848484849)</f>
        <v>0.9848484848</v>
      </c>
      <c r="W137" s="57">
        <f>IFERROR(__xludf.DUMMYFUNCTION("""COMPUTED_VALUE"""),2.8181818181818183)</f>
        <v>2.818181818</v>
      </c>
      <c r="X137" s="31">
        <f>IFERROR(__xludf.DUMMYFUNCTION("""COMPUTED_VALUE"""),341.26804099473446)</f>
        <v>341.268041</v>
      </c>
      <c r="Y137" s="57">
        <f>IFERROR(__xludf.DUMMYFUNCTION("""COMPUTED_VALUE"""),0.8023700040946512)</f>
        <v>0.8023700041</v>
      </c>
      <c r="Z137" s="57">
        <f>IFERROR(__xludf.DUMMYFUNCTION("""COMPUTED_VALUE"""),0.5554116257972944)</f>
        <v>0.5554116258</v>
      </c>
      <c r="AA137" s="57">
        <f>IFERROR(__xludf.DUMMYFUNCTION("""COMPUTED_VALUE"""),1.2575868868228424)</f>
        <v>1.257586887</v>
      </c>
      <c r="AB137" s="57">
        <f>IFERROR(__xludf.DUMMYFUNCTION("""COMPUTED_VALUE"""),2.4608961694168245)</f>
        <v>2.460896169</v>
      </c>
      <c r="AC137" s="31">
        <f>IFERROR(__xludf.DUMMYFUNCTION("""COMPUTED_VALUE"""),326.09973570703664)</f>
        <v>326.0997357</v>
      </c>
      <c r="AD137" s="57">
        <f>IFERROR(__xludf.DUMMYFUNCTION("""COMPUTED_VALUE"""),0.7346248698129845)</f>
        <v>0.7346248698</v>
      </c>
      <c r="AE137" s="57">
        <f>IFERROR(__xludf.DUMMYFUNCTION("""COMPUTED_VALUE"""),0.49710428762551684)</f>
        <v>0.4971042876</v>
      </c>
      <c r="AF137" s="57">
        <f>IFERROR(__xludf.DUMMYFUNCTION("""COMPUTED_VALUE"""),1.1782604104164038)</f>
        <v>1.17826041</v>
      </c>
      <c r="AG137" s="57">
        <f>IFERROR(__xludf.DUMMYFUNCTION("""COMPUTED_VALUE"""),2.3678953153959497)</f>
        <v>2.367895315</v>
      </c>
      <c r="AH137" s="57">
        <f>IFERROR(__xludf.DUMMYFUNCTION("""COMPUTED_VALUE"""),1.014329945884681)</f>
        <v>1.014329946</v>
      </c>
      <c r="AI137" s="57">
        <f>IFERROR(__xludf.DUMMYFUNCTION("""COMPUTED_VALUE"""),1.0518664756394485)</f>
        <v>1.051866476</v>
      </c>
      <c r="AJ137" s="57">
        <f>IFERROR(__xludf.DUMMYFUNCTION("""COMPUTED_VALUE"""),0.640070556827532)</f>
        <v>0.6400705568</v>
      </c>
      <c r="AK137" s="57">
        <f>IFERROR(__xludf.DUMMYFUNCTION("""COMPUTED_VALUE"""),1.118752532571272)</f>
        <v>1.118752533</v>
      </c>
      <c r="AL137" s="57">
        <f>IFERROR(__xludf.DUMMYFUNCTION("""COMPUTED_VALUE"""),0.8830242947456728)</f>
        <v>0.8830242947</v>
      </c>
      <c r="AM137" s="57">
        <f>IFERROR(__xludf.DUMMYFUNCTION("""COMPUTED_VALUE"""),1.0535573547919832)</f>
        <v>1.053557355</v>
      </c>
      <c r="AN137" s="57">
        <f>IFERROR(__xludf.DUMMYFUNCTION("""COMPUTED_VALUE"""),1.3218416132128326)</f>
        <v>1.321841613</v>
      </c>
      <c r="AO137" s="57">
        <f>IFERROR(__xludf.DUMMYFUNCTION("""COMPUTED_VALUE"""),1.309430147827255)</f>
        <v>1.309430148</v>
      </c>
      <c r="AP137" s="35">
        <f>IFERROR(__xludf.DUMMYFUNCTION("""COMPUTED_VALUE"""),0.7831255996447278)</f>
        <v>0.7831255996</v>
      </c>
      <c r="AQ137" s="57">
        <f>IFERROR(__xludf.DUMMYFUNCTION("""COMPUTED_VALUE"""),1.145185178149821)</f>
        <v>1.145185178</v>
      </c>
      <c r="AR137" s="36" t="b">
        <f>IFERROR(__xludf.DUMMYFUNCTION("""COMPUTED_VALUE"""),TRUE)</f>
        <v>1</v>
      </c>
      <c r="AS137" s="57"/>
      <c r="AT137" s="37"/>
      <c r="AU137" s="30"/>
      <c r="AV137" s="30"/>
      <c r="AW137" s="30"/>
      <c r="AX137" s="30"/>
      <c r="AY137" s="30"/>
      <c r="AZ137" s="30"/>
    </row>
    <row r="138">
      <c r="A138" s="30" t="str">
        <f>IFERROR(__xludf.DUMMYFUNCTION("""COMPUTED_VALUE"""),"Challenger")</f>
        <v>Challenger</v>
      </c>
      <c r="B138" s="30" t="str">
        <f>IFERROR(__xludf.DUMMYFUNCTION("""COMPUTED_VALUE"""),"RSC007406")</f>
        <v>RSC007406</v>
      </c>
      <c r="C138" s="30" t="str">
        <f>IFERROR(__xludf.DUMMYFUNCTION("""COMPUTED_VALUE"""),"junior1000gsxr")</f>
        <v>junior1000gsxr</v>
      </c>
      <c r="D138" s="31"/>
      <c r="E138" s="31">
        <f>IFERROR(__xludf.DUMMYFUNCTION("""COMPUTED_VALUE"""),31.93738150325159)</f>
        <v>31.9373815</v>
      </c>
      <c r="F138" s="31">
        <f>IFERROR(__xludf.DUMMYFUNCTION("""COMPUTED_VALUE"""),-4.255462093803406)</f>
        <v>-4.255462094</v>
      </c>
      <c r="G138" s="31">
        <f>IFERROR(__xludf.DUMMYFUNCTION("""COMPUTED_VALUE"""),38.770174548453404)</f>
        <v>38.77017455</v>
      </c>
      <c r="H138" s="31">
        <f>IFERROR(__xludf.DUMMYFUNCTION("""COMPUTED_VALUE"""),-3.0614161859715403)</f>
        <v>-3.061416186</v>
      </c>
      <c r="I138" s="54">
        <f>IFERROR(__xludf.DUMMYFUNCTION("""COMPUTED_VALUE"""),12.0)</f>
        <v>12</v>
      </c>
      <c r="J138" s="55">
        <f>IFERROR(__xludf.DUMMYFUNCTION("""COMPUTED_VALUE"""),5.0)</f>
        <v>5</v>
      </c>
      <c r="K138" s="54">
        <f>IFERROR(__xludf.DUMMYFUNCTION("""COMPUTED_VALUE"""),7.0)</f>
        <v>7</v>
      </c>
      <c r="L138" s="56">
        <f>IFERROR(__xludf.DUMMYFUNCTION("""COMPUTED_VALUE"""),0.4166666666666667)</f>
        <v>0.4166666667</v>
      </c>
      <c r="M138" s="56">
        <f>IFERROR(__xludf.DUMMYFUNCTION("""COMPUTED_VALUE"""),0.31818181818181823)</f>
        <v>0.3181818182</v>
      </c>
      <c r="N138" s="31">
        <f>IFERROR(__xludf.DUMMYFUNCTION("""COMPUTED_VALUE"""),334.9166666666667)</f>
        <v>334.9166667</v>
      </c>
      <c r="O138" s="57">
        <f>IFERROR(__xludf.DUMMYFUNCTION("""COMPUTED_VALUE"""),0.5833333333333334)</f>
        <v>0.5833333333</v>
      </c>
      <c r="P138" s="57">
        <f>IFERROR(__xludf.DUMMYFUNCTION("""COMPUTED_VALUE"""),0.6666666666666666)</f>
        <v>0.6666666667</v>
      </c>
      <c r="Q138" s="57">
        <f>IFERROR(__xludf.DUMMYFUNCTION("""COMPUTED_VALUE"""),1.5833333333333333)</f>
        <v>1.583333333</v>
      </c>
      <c r="R138" s="57">
        <f>IFERROR(__xludf.DUMMYFUNCTION("""COMPUTED_VALUE"""),1.8333333333333333)</f>
        <v>1.833333333</v>
      </c>
      <c r="S138" s="31">
        <f>IFERROR(__xludf.DUMMYFUNCTION("""COMPUTED_VALUE"""),344.3333333333333)</f>
        <v>344.3333333</v>
      </c>
      <c r="T138" s="57">
        <f>IFERROR(__xludf.DUMMYFUNCTION("""COMPUTED_VALUE"""),0.9444444444444443)</f>
        <v>0.9444444444</v>
      </c>
      <c r="U138" s="57">
        <f>IFERROR(__xludf.DUMMYFUNCTION("""COMPUTED_VALUE"""),0.6944444444444443)</f>
        <v>0.6944444444</v>
      </c>
      <c r="V138" s="57">
        <f>IFERROR(__xludf.DUMMYFUNCTION("""COMPUTED_VALUE"""),0.9166666666666666)</f>
        <v>0.9166666667</v>
      </c>
      <c r="W138" s="57">
        <f>IFERROR(__xludf.DUMMYFUNCTION("""COMPUTED_VALUE"""),3.0833333333333335)</f>
        <v>3.083333333</v>
      </c>
      <c r="X138" s="31">
        <f>IFERROR(__xludf.DUMMYFUNCTION("""COMPUTED_VALUE"""),329.2738253259086)</f>
        <v>329.2738253</v>
      </c>
      <c r="Y138" s="57">
        <f>IFERROR(__xludf.DUMMYFUNCTION("""COMPUTED_VALUE"""),0.7708215050169075)</f>
        <v>0.770821505</v>
      </c>
      <c r="Z138" s="57">
        <f>IFERROR(__xludf.DUMMYFUNCTION("""COMPUTED_VALUE"""),0.5334686599054416)</f>
        <v>0.5334686599</v>
      </c>
      <c r="AA138" s="57">
        <f>IFERROR(__xludf.DUMMYFUNCTION("""COMPUTED_VALUE"""),1.1095809655436093)</f>
        <v>1.109580966</v>
      </c>
      <c r="AB138" s="57">
        <f>IFERROR(__xludf.DUMMYFUNCTION("""COMPUTED_VALUE"""),2.351263173820645)</f>
        <v>2.351263174</v>
      </c>
      <c r="AC138" s="31">
        <f>IFERROR(__xludf.DUMMYFUNCTION("""COMPUTED_VALUE"""),353.71977373857163)</f>
        <v>353.7197737</v>
      </c>
      <c r="AD138" s="57">
        <f>IFERROR(__xludf.DUMMYFUNCTION("""COMPUTED_VALUE"""),0.9119385208944597)</f>
        <v>0.9119385209</v>
      </c>
      <c r="AE138" s="57">
        <f>IFERROR(__xludf.DUMMYFUNCTION("""COMPUTED_VALUE"""),0.5826308775303028)</f>
        <v>0.5826308775</v>
      </c>
      <c r="AF138" s="57">
        <f>IFERROR(__xludf.DUMMYFUNCTION("""COMPUTED_VALUE"""),1.1895049616553448)</f>
        <v>1.189504962</v>
      </c>
      <c r="AG138" s="57">
        <f>IFERROR(__xludf.DUMMYFUNCTION("""COMPUTED_VALUE"""),2.478275352078034)</f>
        <v>2.478275352</v>
      </c>
      <c r="AH138" s="57">
        <f>IFERROR(__xludf.DUMMYFUNCTION("""COMPUTED_VALUE"""),0.9468417983163079)</f>
        <v>0.9468417983</v>
      </c>
      <c r="AI138" s="57">
        <f>IFERROR(__xludf.DUMMYFUNCTION("""COMPUTED_VALUE"""),0.6396630035555254)</f>
        <v>0.6396630036</v>
      </c>
      <c r="AJ138" s="57">
        <f>IFERROR(__xludf.DUMMYFUNCTION("""COMPUTED_VALUE"""),1.1442350420777228)</f>
        <v>1.144235042</v>
      </c>
      <c r="AK138" s="57">
        <f>IFERROR(__xludf.DUMMYFUNCTION("""COMPUTED_VALUE"""),1.331085942785751)</f>
        <v>1.331085943</v>
      </c>
      <c r="AL138" s="57">
        <f>IFERROR(__xludf.DUMMYFUNCTION("""COMPUTED_VALUE"""),0.7397617588360725)</f>
        <v>0.7397617588</v>
      </c>
      <c r="AM138" s="57">
        <f>IFERROR(__xludf.DUMMYFUNCTION("""COMPUTED_VALUE"""),1.0457355150914869)</f>
        <v>1.045735515</v>
      </c>
      <c r="AN138" s="57">
        <f>IFERROR(__xludf.DUMMYFUNCTION("""COMPUTED_VALUE"""),1.225244026402362)</f>
        <v>1.225244026</v>
      </c>
      <c r="AO138" s="57">
        <f>IFERROR(__xludf.DUMMYFUNCTION("""COMPUTED_VALUE"""),1.3017530300046793)</f>
        <v>1.30175303</v>
      </c>
      <c r="AP138" s="35">
        <f>IFERROR(__xludf.DUMMYFUNCTION("""COMPUTED_VALUE"""),0.8261376998456084)</f>
        <v>0.8261376998</v>
      </c>
      <c r="AQ138" s="57">
        <f>IFERROR(__xludf.DUMMYFUNCTION("""COMPUTED_VALUE"""),1.3113518587215924)</f>
        <v>1.311351859</v>
      </c>
      <c r="AR138" s="36" t="b">
        <f>IFERROR(__xludf.DUMMYFUNCTION("""COMPUTED_VALUE"""),TRUE)</f>
        <v>1</v>
      </c>
      <c r="AS138" s="57"/>
      <c r="AT138" s="37"/>
      <c r="AU138" s="30"/>
      <c r="AV138" s="30"/>
      <c r="AW138" s="30"/>
      <c r="AX138" s="30"/>
      <c r="AY138" s="30"/>
      <c r="AZ138" s="30"/>
    </row>
    <row r="139">
      <c r="A139" s="30" t="str">
        <f>IFERROR(__xludf.DUMMYFUNCTION("""COMPUTED_VALUE"""),"Challenger")</f>
        <v>Challenger</v>
      </c>
      <c r="B139" s="30" t="str">
        <f>IFERROR(__xludf.DUMMYFUNCTION("""COMPUTED_VALUE"""),"RSC003912")</f>
        <v>RSC003912</v>
      </c>
      <c r="C139" s="30" t="str">
        <f>IFERROR(__xludf.DUMMYFUNCTION("""COMPUTED_VALUE"""),"ItsJustSticky.")</f>
        <v>ItsJustSticky.</v>
      </c>
      <c r="D139" s="31" t="str">
        <f>IFERROR(__xludf.DUMMYFUNCTION("""COMPUTED_VALUE"""),"Pharaohs")</f>
        <v>Pharaohs</v>
      </c>
      <c r="E139" s="31">
        <f>IFERROR(__xludf.DUMMYFUNCTION("""COMPUTED_VALUE"""),29.46066815533584)</f>
        <v>29.46066816</v>
      </c>
      <c r="F139" s="31">
        <f>IFERROR(__xludf.DUMMYFUNCTION("""COMPUTED_VALUE"""),-4.862396543894993)</f>
        <v>-4.862396544</v>
      </c>
      <c r="G139" s="31">
        <f>IFERROR(__xludf.DUMMYFUNCTION("""COMPUTED_VALUE"""),38.903032335088405)</f>
        <v>38.90303234</v>
      </c>
      <c r="H139" s="31">
        <f>IFERROR(__xludf.DUMMYFUNCTION("""COMPUTED_VALUE"""),-3.043536510410724)</f>
        <v>-3.04353651</v>
      </c>
      <c r="I139" s="54">
        <f>IFERROR(__xludf.DUMMYFUNCTION("""COMPUTED_VALUE"""),28.0)</f>
        <v>28</v>
      </c>
      <c r="J139" s="55">
        <f>IFERROR(__xludf.DUMMYFUNCTION("""COMPUTED_VALUE"""),13.0)</f>
        <v>13</v>
      </c>
      <c r="K139" s="54">
        <f>IFERROR(__xludf.DUMMYFUNCTION("""COMPUTED_VALUE"""),15.0)</f>
        <v>15</v>
      </c>
      <c r="L139" s="56">
        <f>IFERROR(__xludf.DUMMYFUNCTION("""COMPUTED_VALUE"""),0.4642857142857143)</f>
        <v>0.4642857143</v>
      </c>
      <c r="M139" s="56">
        <f>IFERROR(__xludf.DUMMYFUNCTION("""COMPUTED_VALUE"""),0.28260869565217395)</f>
        <v>0.2826086957</v>
      </c>
      <c r="N139" s="31">
        <f>IFERROR(__xludf.DUMMYFUNCTION("""COMPUTED_VALUE"""),345.75)</f>
        <v>345.75</v>
      </c>
      <c r="O139" s="57">
        <f>IFERROR(__xludf.DUMMYFUNCTION("""COMPUTED_VALUE"""),0.4642857142857143)</f>
        <v>0.4642857143</v>
      </c>
      <c r="P139" s="57">
        <f>IFERROR(__xludf.DUMMYFUNCTION("""COMPUTED_VALUE"""),0.5357142857142857)</f>
        <v>0.5357142857</v>
      </c>
      <c r="Q139" s="57">
        <f>IFERROR(__xludf.DUMMYFUNCTION("""COMPUTED_VALUE"""),1.75)</f>
        <v>1.75</v>
      </c>
      <c r="R139" s="57">
        <f>IFERROR(__xludf.DUMMYFUNCTION("""COMPUTED_VALUE"""),1.6428571428571428)</f>
        <v>1.642857143</v>
      </c>
      <c r="S139" s="31">
        <f>IFERROR(__xludf.DUMMYFUNCTION("""COMPUTED_VALUE"""),341.84523809523813)</f>
        <v>341.8452381</v>
      </c>
      <c r="T139" s="57">
        <f>IFERROR(__xludf.DUMMYFUNCTION("""COMPUTED_VALUE"""),0.7738095238095238)</f>
        <v>0.7738095238</v>
      </c>
      <c r="U139" s="57">
        <f>IFERROR(__xludf.DUMMYFUNCTION("""COMPUTED_VALUE"""),0.5595238095238094)</f>
        <v>0.5595238095</v>
      </c>
      <c r="V139" s="57">
        <f>IFERROR(__xludf.DUMMYFUNCTION("""COMPUTED_VALUE"""),0.9999999999999999)</f>
        <v>1</v>
      </c>
      <c r="W139" s="57">
        <f>IFERROR(__xludf.DUMMYFUNCTION("""COMPUTED_VALUE"""),3.0119047619047623)</f>
        <v>3.011904762</v>
      </c>
      <c r="X139" s="31">
        <f>IFERROR(__xludf.DUMMYFUNCTION("""COMPUTED_VALUE"""),325.559534933359)</f>
        <v>325.5595349</v>
      </c>
      <c r="Y139" s="57">
        <f>IFERROR(__xludf.DUMMYFUNCTION("""COMPUTED_VALUE"""),0.708568999919084)</f>
        <v>0.7085689999</v>
      </c>
      <c r="Z139" s="57">
        <f>IFERROR(__xludf.DUMMYFUNCTION("""COMPUTED_VALUE"""),0.5145680474261353)</f>
        <v>0.5145680474</v>
      </c>
      <c r="AA139" s="57">
        <f>IFERROR(__xludf.DUMMYFUNCTION("""COMPUTED_VALUE"""),1.146881326701935)</f>
        <v>1.146881327</v>
      </c>
      <c r="AB139" s="57">
        <f>IFERROR(__xludf.DUMMYFUNCTION("""COMPUTED_VALUE"""),2.5588901440084184)</f>
        <v>2.558890144</v>
      </c>
      <c r="AC139" s="31">
        <f>IFERROR(__xludf.DUMMYFUNCTION("""COMPUTED_VALUE"""),335.79030723955185)</f>
        <v>335.7903072</v>
      </c>
      <c r="AD139" s="57">
        <f>IFERROR(__xludf.DUMMYFUNCTION("""COMPUTED_VALUE"""),0.7366737644449831)</f>
        <v>0.7366737644</v>
      </c>
      <c r="AE139" s="57">
        <f>IFERROR(__xludf.DUMMYFUNCTION("""COMPUTED_VALUE"""),0.4954523773003797)</f>
        <v>0.4954523773</v>
      </c>
      <c r="AF139" s="57">
        <f>IFERROR(__xludf.DUMMYFUNCTION("""COMPUTED_VALUE"""),1.323715734471662)</f>
        <v>1.323715734</v>
      </c>
      <c r="AG139" s="57">
        <f>IFERROR(__xludf.DUMMYFUNCTION("""COMPUTED_VALUE"""),2.319306887563838)</f>
        <v>2.319306888</v>
      </c>
      <c r="AH139" s="57">
        <f>IFERROR(__xludf.DUMMYFUNCTION("""COMPUTED_VALUE"""),1.0296604534011844)</f>
        <v>1.029660453</v>
      </c>
      <c r="AI139" s="57">
        <f>IFERROR(__xludf.DUMMYFUNCTION("""COMPUTED_VALUE"""),0.6302460284241445)</f>
        <v>0.6302460284</v>
      </c>
      <c r="AJ139" s="57">
        <f>IFERROR(__xludf.DUMMYFUNCTION("""COMPUTED_VALUE"""),1.0812629230548554)</f>
        <v>1.081262923</v>
      </c>
      <c r="AK139" s="57">
        <f>IFERROR(__xludf.DUMMYFUNCTION("""COMPUTED_VALUE"""),1.322036109738079)</f>
        <v>1.32203611</v>
      </c>
      <c r="AL139" s="57">
        <f>IFERROR(__xludf.DUMMYFUNCTION("""COMPUTED_VALUE"""),0.7083396990998345)</f>
        <v>0.7083396991</v>
      </c>
      <c r="AM139" s="57">
        <f>IFERROR(__xludf.DUMMYFUNCTION("""COMPUTED_VALUE"""),1.0500237327259139)</f>
        <v>1.050023733</v>
      </c>
      <c r="AN139" s="57">
        <f>IFERROR(__xludf.DUMMYFUNCTION("""COMPUTED_VALUE"""),1.0920736355921443)</f>
        <v>1.092073636</v>
      </c>
      <c r="AO139" s="57">
        <f>IFERROR(__xludf.DUMMYFUNCTION("""COMPUTED_VALUE"""),1.0873660195625097)</f>
        <v>1.08736602</v>
      </c>
      <c r="AP139" s="35">
        <f>IFERROR(__xludf.DUMMYFUNCTION("""COMPUTED_VALUE"""),0.8719297949297692)</f>
        <v>0.8719297949</v>
      </c>
      <c r="AQ139" s="57">
        <f>IFERROR(__xludf.DUMMYFUNCTION("""COMPUTED_VALUE"""),1.1770355866808377)</f>
        <v>1.177035587</v>
      </c>
      <c r="AR139" s="36" t="b">
        <f>IFERROR(__xludf.DUMMYFUNCTION("""COMPUTED_VALUE"""),TRUE)</f>
        <v>1</v>
      </c>
      <c r="AS139" s="57"/>
      <c r="AT139" s="37"/>
      <c r="AU139" s="30"/>
      <c r="AV139" s="30"/>
      <c r="AW139" s="30"/>
      <c r="AX139" s="30"/>
      <c r="AY139" s="30"/>
      <c r="AZ139" s="30"/>
    </row>
    <row r="140">
      <c r="A140" s="30" t="str">
        <f>IFERROR(__xludf.DUMMYFUNCTION("""COMPUTED_VALUE"""),"Challenger")</f>
        <v>Challenger</v>
      </c>
      <c r="B140" s="30" t="str">
        <f>IFERROR(__xludf.DUMMYFUNCTION("""COMPUTED_VALUE"""),"RSC002911")</f>
        <v>RSC002911</v>
      </c>
      <c r="C140" s="30" t="str">
        <f>IFERROR(__xludf.DUMMYFUNCTION("""COMPUTED_VALUE"""),"Alextross")</f>
        <v>Alextross</v>
      </c>
      <c r="D140" s="31" t="str">
        <f>IFERROR(__xludf.DUMMYFUNCTION("""COMPUTED_VALUE"""),"Meat Lovers")</f>
        <v>Meat Lovers</v>
      </c>
      <c r="E140" s="31">
        <f>IFERROR(__xludf.DUMMYFUNCTION("""COMPUTED_VALUE"""),29.06157128130193)</f>
        <v>29.06157128</v>
      </c>
      <c r="F140" s="31">
        <f>IFERROR(__xludf.DUMMYFUNCTION("""COMPUTED_VALUE"""),-4.9715292364210315)</f>
        <v>-4.971529236</v>
      </c>
      <c r="G140" s="31">
        <f>IFERROR(__xludf.DUMMYFUNCTION("""COMPUTED_VALUE"""),18.884916000782496)</f>
        <v>18.884916</v>
      </c>
      <c r="H140" s="31">
        <f>IFERROR(__xludf.DUMMYFUNCTION("""COMPUTED_VALUE"""),-9.377450531417535)</f>
        <v>-9.377450531</v>
      </c>
      <c r="I140" s="54">
        <f>IFERROR(__xludf.DUMMYFUNCTION("""COMPUTED_VALUE"""),11.0)</f>
        <v>11</v>
      </c>
      <c r="J140" s="55">
        <f>IFERROR(__xludf.DUMMYFUNCTION("""COMPUTED_VALUE"""),8.0)</f>
        <v>8</v>
      </c>
      <c r="K140" s="54">
        <f>IFERROR(__xludf.DUMMYFUNCTION("""COMPUTED_VALUE"""),3.0)</f>
        <v>3</v>
      </c>
      <c r="L140" s="56">
        <f>IFERROR(__xludf.DUMMYFUNCTION("""COMPUTED_VALUE"""),0.7272727272727273)</f>
        <v>0.7272727273</v>
      </c>
      <c r="M140" s="56">
        <f>IFERROR(__xludf.DUMMYFUNCTION("""COMPUTED_VALUE"""),0.3)</f>
        <v>0.3</v>
      </c>
      <c r="N140" s="31">
        <f>IFERROR(__xludf.DUMMYFUNCTION("""COMPUTED_VALUE"""),258.45454545454544)</f>
        <v>258.4545455</v>
      </c>
      <c r="O140" s="57">
        <f>IFERROR(__xludf.DUMMYFUNCTION("""COMPUTED_VALUE"""),0.5454545454545454)</f>
        <v>0.5454545455</v>
      </c>
      <c r="P140" s="57">
        <f>IFERROR(__xludf.DUMMYFUNCTION("""COMPUTED_VALUE"""),0.45454545454545453)</f>
        <v>0.4545454545</v>
      </c>
      <c r="Q140" s="57">
        <f>IFERROR(__xludf.DUMMYFUNCTION("""COMPUTED_VALUE"""),1.0)</f>
        <v>1</v>
      </c>
      <c r="R140" s="57">
        <f>IFERROR(__xludf.DUMMYFUNCTION("""COMPUTED_VALUE"""),1.8181818181818181)</f>
        <v>1.818181818</v>
      </c>
      <c r="S140" s="31">
        <f>IFERROR(__xludf.DUMMYFUNCTION("""COMPUTED_VALUE"""),316.0)</f>
        <v>316</v>
      </c>
      <c r="T140" s="57">
        <f>IFERROR(__xludf.DUMMYFUNCTION("""COMPUTED_VALUE"""),0.6363636363636364)</f>
        <v>0.6363636364</v>
      </c>
      <c r="U140" s="57">
        <f>IFERROR(__xludf.DUMMYFUNCTION("""COMPUTED_VALUE"""),0.42424242424242425)</f>
        <v>0.4242424242</v>
      </c>
      <c r="V140" s="57">
        <f>IFERROR(__xludf.DUMMYFUNCTION("""COMPUTED_VALUE"""),1.1212121212121213)</f>
        <v>1.121212121</v>
      </c>
      <c r="W140" s="57">
        <f>IFERROR(__xludf.DUMMYFUNCTION("""COMPUTED_VALUE"""),2.272727272727273)</f>
        <v>2.272727273</v>
      </c>
      <c r="X140" s="31">
        <f>IFERROR(__xludf.DUMMYFUNCTION("""COMPUTED_VALUE"""),340.1573756940761)</f>
        <v>340.1573757</v>
      </c>
      <c r="Y140" s="57">
        <f>IFERROR(__xludf.DUMMYFUNCTION("""COMPUTED_VALUE"""),0.783300390239551)</f>
        <v>0.7833003902</v>
      </c>
      <c r="Z140" s="57">
        <f>IFERROR(__xludf.DUMMYFUNCTION("""COMPUTED_VALUE"""),0.5222547578698221)</f>
        <v>0.5222547579</v>
      </c>
      <c r="AA140" s="57">
        <f>IFERROR(__xludf.DUMMYFUNCTION("""COMPUTED_VALUE"""),1.2729640349874956)</f>
        <v>1.272964035</v>
      </c>
      <c r="AB140" s="57">
        <f>IFERROR(__xludf.DUMMYFUNCTION("""COMPUTED_VALUE"""),2.3260151503076614)</f>
        <v>2.32601515</v>
      </c>
      <c r="AC140" s="31">
        <f>IFERROR(__xludf.DUMMYFUNCTION("""COMPUTED_VALUE"""),337.27921046351025)</f>
        <v>337.2792105</v>
      </c>
      <c r="AD140" s="57">
        <f>IFERROR(__xludf.DUMMYFUNCTION("""COMPUTED_VALUE"""),0.7588567543261291)</f>
        <v>0.7588567543</v>
      </c>
      <c r="AE140" s="57">
        <f>IFERROR(__xludf.DUMMYFUNCTION("""COMPUTED_VALUE"""),0.5412015622275618)</f>
        <v>0.5412015622</v>
      </c>
      <c r="AF140" s="57">
        <f>IFERROR(__xludf.DUMMYFUNCTION("""COMPUTED_VALUE"""),1.1451106782719624)</f>
        <v>1.145110678</v>
      </c>
      <c r="AG140" s="57">
        <f>IFERROR(__xludf.DUMMYFUNCTION("""COMPUTED_VALUE"""),2.508339790423687)</f>
        <v>2.50833979</v>
      </c>
      <c r="AH140" s="57">
        <f>IFERROR(__xludf.DUMMYFUNCTION("""COMPUTED_VALUE"""),0.7662925476472772)</f>
        <v>0.7662925476</v>
      </c>
      <c r="AI140" s="57">
        <f>IFERROR(__xludf.DUMMYFUNCTION("""COMPUTED_VALUE"""),0.718784595834445)</f>
        <v>0.7187845958</v>
      </c>
      <c r="AJ140" s="57">
        <f>IFERROR(__xludf.DUMMYFUNCTION("""COMPUTED_VALUE"""),0.8398820074993233)</f>
        <v>0.8398820075</v>
      </c>
      <c r="AK140" s="57">
        <f>IFERROR(__xludf.DUMMYFUNCTION("""COMPUTED_VALUE"""),0.87327803239863)</f>
        <v>0.8732780324</v>
      </c>
      <c r="AL140" s="57">
        <f>IFERROR(__xludf.DUMMYFUNCTION("""COMPUTED_VALUE"""),0.7248546728490508)</f>
        <v>0.7248546728</v>
      </c>
      <c r="AM140" s="57">
        <f>IFERROR(__xludf.DUMMYFUNCTION("""COMPUTED_VALUE"""),0.928981767204712)</f>
        <v>0.9289817672</v>
      </c>
      <c r="AN140" s="57">
        <f>IFERROR(__xludf.DUMMYFUNCTION("""COMPUTED_VALUE"""),0.8124132763026225)</f>
        <v>0.8124132763</v>
      </c>
      <c r="AO140" s="57">
        <f>IFERROR(__xludf.DUMMYFUNCTION("""COMPUTED_VALUE"""),0.8123285003143456)</f>
        <v>0.8123285003</v>
      </c>
      <c r="AP140" s="35">
        <f>IFERROR(__xludf.DUMMYFUNCTION("""COMPUTED_VALUE"""),0.8807885300727566)</f>
        <v>0.8807885301</v>
      </c>
      <c r="AQ140" s="57">
        <f>IFERROR(__xludf.DUMMYFUNCTION("""COMPUTED_VALUE"""),0.9770904856000873)</f>
        <v>0.9770904856</v>
      </c>
      <c r="AR140" s="36" t="b">
        <f>IFERROR(__xludf.DUMMYFUNCTION("""COMPUTED_VALUE"""),TRUE)</f>
        <v>1</v>
      </c>
      <c r="AS140" s="57"/>
      <c r="AT140" s="37"/>
      <c r="AU140" s="30"/>
      <c r="AV140" s="30"/>
      <c r="AW140" s="30"/>
      <c r="AX140" s="30"/>
      <c r="AY140" s="30"/>
      <c r="AZ140" s="30"/>
    </row>
    <row r="141">
      <c r="A141" s="30" t="str">
        <f>IFERROR(__xludf.DUMMYFUNCTION("""COMPUTED_VALUE"""),"Challenger")</f>
        <v>Challenger</v>
      </c>
      <c r="B141" s="30" t="str">
        <f>IFERROR(__xludf.DUMMYFUNCTION("""COMPUTED_VALUE"""),"RSC007911")</f>
        <v>RSC007911</v>
      </c>
      <c r="C141" s="30" t="str">
        <f>IFERROR(__xludf.DUMMYFUNCTION("""COMPUTED_VALUE"""),"Redhood913011")</f>
        <v>Redhood913011</v>
      </c>
      <c r="D141" s="31" t="str">
        <f>IFERROR(__xludf.DUMMYFUNCTION("""COMPUTED_VALUE"""),"Lions")</f>
        <v>Lions</v>
      </c>
      <c r="E141" s="31">
        <f>IFERROR(__xludf.DUMMYFUNCTION("""COMPUTED_VALUE"""),28.524649493518133)</f>
        <v>28.52464949</v>
      </c>
      <c r="F141" s="31">
        <f>IFERROR(__xludf.DUMMYFUNCTION("""COMPUTED_VALUE"""),-5.123833041242918)</f>
        <v>-5.123833041</v>
      </c>
      <c r="G141" s="31">
        <f>IFERROR(__xludf.DUMMYFUNCTION("""COMPUTED_VALUE"""),28.173387037567313)</f>
        <v>28.17338704</v>
      </c>
      <c r="H141" s="31">
        <f>IFERROR(__xludf.DUMMYFUNCTION("""COMPUTED_VALUE"""),-5.227010201233076)</f>
        <v>-5.227010201</v>
      </c>
      <c r="I141" s="54">
        <f>IFERROR(__xludf.DUMMYFUNCTION("""COMPUTED_VALUE"""),6.0)</f>
        <v>6</v>
      </c>
      <c r="J141" s="55">
        <f>IFERROR(__xludf.DUMMYFUNCTION("""COMPUTED_VALUE"""),1.0)</f>
        <v>1</v>
      </c>
      <c r="K141" s="54">
        <f>IFERROR(__xludf.DUMMYFUNCTION("""COMPUTED_VALUE"""),5.0)</f>
        <v>5</v>
      </c>
      <c r="L141" s="56">
        <f>IFERROR(__xludf.DUMMYFUNCTION("""COMPUTED_VALUE"""),0.16666666666666666)</f>
        <v>0.1666666667</v>
      </c>
      <c r="M141" s="56">
        <f>IFERROR(__xludf.DUMMYFUNCTION("""COMPUTED_VALUE"""),0.23076923076923078)</f>
        <v>0.2307692308</v>
      </c>
      <c r="N141" s="31">
        <f>IFERROR(__xludf.DUMMYFUNCTION("""COMPUTED_VALUE"""),270.1666666666667)</f>
        <v>270.1666667</v>
      </c>
      <c r="O141" s="57">
        <f>IFERROR(__xludf.DUMMYFUNCTION("""COMPUTED_VALUE"""),0.5)</f>
        <v>0.5</v>
      </c>
      <c r="P141" s="57">
        <f>IFERROR(__xludf.DUMMYFUNCTION("""COMPUTED_VALUE"""),0.5)</f>
        <v>0.5</v>
      </c>
      <c r="Q141" s="57">
        <f>IFERROR(__xludf.DUMMYFUNCTION("""COMPUTED_VALUE"""),0.8333333333333334)</f>
        <v>0.8333333333</v>
      </c>
      <c r="R141" s="57">
        <f>IFERROR(__xludf.DUMMYFUNCTION("""COMPUTED_VALUE"""),2.1666666666666665)</f>
        <v>2.166666667</v>
      </c>
      <c r="S141" s="31">
        <f>IFERROR(__xludf.DUMMYFUNCTION("""COMPUTED_VALUE"""),336.5)</f>
        <v>336.5</v>
      </c>
      <c r="T141" s="57">
        <f>IFERROR(__xludf.DUMMYFUNCTION("""COMPUTED_VALUE"""),0.7777777777777777)</f>
        <v>0.7777777778</v>
      </c>
      <c r="U141" s="57">
        <f>IFERROR(__xludf.DUMMYFUNCTION("""COMPUTED_VALUE"""),0.6666666666666666)</f>
        <v>0.6666666667</v>
      </c>
      <c r="V141" s="57">
        <f>IFERROR(__xludf.DUMMYFUNCTION("""COMPUTED_VALUE"""),1.277777777777778)</f>
        <v>1.277777778</v>
      </c>
      <c r="W141" s="57">
        <f>IFERROR(__xludf.DUMMYFUNCTION("""COMPUTED_VALUE"""),2.6666666666666665)</f>
        <v>2.666666667</v>
      </c>
      <c r="X141" s="31">
        <f>IFERROR(__xludf.DUMMYFUNCTION("""COMPUTED_VALUE"""),343.51565539945915)</f>
        <v>343.5156554</v>
      </c>
      <c r="Y141" s="57">
        <f>IFERROR(__xludf.DUMMYFUNCTION("""COMPUTED_VALUE"""),0.7849119903891407)</f>
        <v>0.7849119904</v>
      </c>
      <c r="Z141" s="57">
        <f>IFERROR(__xludf.DUMMYFUNCTION("""COMPUTED_VALUE"""),0.5218653484110473)</f>
        <v>0.5218653484</v>
      </c>
      <c r="AA141" s="57">
        <f>IFERROR(__xludf.DUMMYFUNCTION("""COMPUTED_VALUE"""),1.2760812564576003)</f>
        <v>1.276081256</v>
      </c>
      <c r="AB141" s="57">
        <f>IFERROR(__xludf.DUMMYFUNCTION("""COMPUTED_VALUE"""),2.6594475392190446)</f>
        <v>2.659447539</v>
      </c>
      <c r="AC141" s="31">
        <f>IFERROR(__xludf.DUMMYFUNCTION("""COMPUTED_VALUE"""),349.68713833375574)</f>
        <v>349.6871383</v>
      </c>
      <c r="AD141" s="57">
        <f>IFERROR(__xludf.DUMMYFUNCTION("""COMPUTED_VALUE"""),0.7619464159562725)</f>
        <v>0.761946416</v>
      </c>
      <c r="AE141" s="57">
        <f>IFERROR(__xludf.DUMMYFUNCTION("""COMPUTED_VALUE"""),0.5207731262166746)</f>
        <v>0.5207731262</v>
      </c>
      <c r="AF141" s="57">
        <f>IFERROR(__xludf.DUMMYFUNCTION("""COMPUTED_VALUE"""),1.3745902179593934)</f>
        <v>1.374590218</v>
      </c>
      <c r="AG141" s="57">
        <f>IFERROR(__xludf.DUMMYFUNCTION("""COMPUTED_VALUE"""),2.534480938300383)</f>
        <v>2.534480938</v>
      </c>
      <c r="AH141" s="57">
        <f>IFERROR(__xludf.DUMMYFUNCTION("""COMPUTED_VALUE"""),0.7725953775537736)</f>
        <v>0.7725953776</v>
      </c>
      <c r="AI141" s="57">
        <f>IFERROR(__xludf.DUMMYFUNCTION("""COMPUTED_VALUE"""),0.6562141241552799)</f>
        <v>0.6562141242</v>
      </c>
      <c r="AJ141" s="57">
        <f>IFERROR(__xludf.DUMMYFUNCTION("""COMPUTED_VALUE"""),0.9601109865872156)</f>
        <v>0.9601109866</v>
      </c>
      <c r="AK141" s="57">
        <f>IFERROR(__xludf.DUMMYFUNCTION("""COMPUTED_VALUE"""),0.6062412800888641)</f>
        <v>0.6062412801</v>
      </c>
      <c r="AL141" s="57">
        <f>IFERROR(__xludf.DUMMYFUNCTION("""COMPUTED_VALUE"""),0.8548758974370618)</f>
        <v>0.8548758974</v>
      </c>
      <c r="AM141" s="57">
        <f>IFERROR(__xludf.DUMMYFUNCTION("""COMPUTED_VALUE"""),0.9795768976196996)</f>
        <v>0.9795768976</v>
      </c>
      <c r="AN141" s="57">
        <f>IFERROR(__xludf.DUMMYFUNCTION("""COMPUTED_VALUE"""),0.9909108120417092)</f>
        <v>0.990910812</v>
      </c>
      <c r="AO141" s="57">
        <f>IFERROR(__xludf.DUMMYFUNCTION("""COMPUTED_VALUE"""),1.2774687353672822)</f>
        <v>1.277468735</v>
      </c>
      <c r="AP141" s="35">
        <f>IFERROR(__xludf.DUMMYFUNCTION("""COMPUTED_VALUE"""),1.0013294775012112)</f>
        <v>1.001329478</v>
      </c>
      <c r="AQ141" s="57">
        <f>IFERROR(__xludf.DUMMYFUNCTION("""COMPUTED_VALUE"""),1.0027145214715316)</f>
        <v>1.002714521</v>
      </c>
      <c r="AR141" s="36" t="b">
        <f>IFERROR(__xludf.DUMMYFUNCTION("""COMPUTED_VALUE"""),TRUE)</f>
        <v>1</v>
      </c>
      <c r="AS141" s="57"/>
      <c r="AT141" s="37"/>
      <c r="AU141" s="30"/>
      <c r="AV141" s="30"/>
      <c r="AW141" s="30"/>
      <c r="AX141" s="30"/>
      <c r="AY141" s="30"/>
      <c r="AZ141" s="30"/>
    </row>
    <row r="142">
      <c r="A142" s="30" t="str">
        <f>IFERROR(__xludf.DUMMYFUNCTION("""COMPUTED_VALUE"""),"Challenger")</f>
        <v>Challenger</v>
      </c>
      <c r="B142" s="30" t="str">
        <f>IFERROR(__xludf.DUMMYFUNCTION("""COMPUTED_VALUE"""),"RSC007525")</f>
        <v>RSC007525</v>
      </c>
      <c r="C142" s="30" t="str">
        <f>IFERROR(__xludf.DUMMYFUNCTION("""COMPUTED_VALUE"""),"BulletNote")</f>
        <v>BulletNote</v>
      </c>
      <c r="D142" s="31" t="str">
        <f>IFERROR(__xludf.DUMMYFUNCTION("""COMPUTED_VALUE"""),"Quarter")</f>
        <v>Quarter</v>
      </c>
      <c r="E142" s="31">
        <f>IFERROR(__xludf.DUMMYFUNCTION("""COMPUTED_VALUE"""),26.914385397394106)</f>
        <v>26.9143854</v>
      </c>
      <c r="F142" s="31">
        <f>IFERROR(__xludf.DUMMYFUNCTION("""COMPUTED_VALUE"""),-5.621356893712591)</f>
        <v>-5.621356894</v>
      </c>
      <c r="G142" s="31">
        <f>IFERROR(__xludf.DUMMYFUNCTION("""COMPUTED_VALUE"""),37.55853592976562)</f>
        <v>37.55853593</v>
      </c>
      <c r="H142" s="31">
        <f>IFERROR(__xludf.DUMMYFUNCTION("""COMPUTED_VALUE"""),-3.2324553041048745)</f>
        <v>-3.232455304</v>
      </c>
      <c r="I142" s="54">
        <f>IFERROR(__xludf.DUMMYFUNCTION("""COMPUTED_VALUE"""),20.0)</f>
        <v>20</v>
      </c>
      <c r="J142" s="55">
        <f>IFERROR(__xludf.DUMMYFUNCTION("""COMPUTED_VALUE"""),4.0)</f>
        <v>4</v>
      </c>
      <c r="K142" s="54">
        <f>IFERROR(__xludf.DUMMYFUNCTION("""COMPUTED_VALUE"""),16.0)</f>
        <v>16</v>
      </c>
      <c r="L142" s="56">
        <f>IFERROR(__xludf.DUMMYFUNCTION("""COMPUTED_VALUE"""),0.2)</f>
        <v>0.2</v>
      </c>
      <c r="M142" s="56">
        <f>IFERROR(__xludf.DUMMYFUNCTION("""COMPUTED_VALUE"""),0.2727272727272727)</f>
        <v>0.2727272727</v>
      </c>
      <c r="N142" s="31">
        <f>IFERROR(__xludf.DUMMYFUNCTION("""COMPUTED_VALUE"""),316.95)</f>
        <v>316.95</v>
      </c>
      <c r="O142" s="57">
        <f>IFERROR(__xludf.DUMMYFUNCTION("""COMPUTED_VALUE"""),0.3)</f>
        <v>0.3</v>
      </c>
      <c r="P142" s="57">
        <f>IFERROR(__xludf.DUMMYFUNCTION("""COMPUTED_VALUE"""),0.8)</f>
        <v>0.8</v>
      </c>
      <c r="Q142" s="57">
        <f>IFERROR(__xludf.DUMMYFUNCTION("""COMPUTED_VALUE"""),1.65)</f>
        <v>1.65</v>
      </c>
      <c r="R142" s="57">
        <f>IFERROR(__xludf.DUMMYFUNCTION("""COMPUTED_VALUE"""),1.1)</f>
        <v>1.1</v>
      </c>
      <c r="S142" s="31">
        <f>IFERROR(__xludf.DUMMYFUNCTION("""COMPUTED_VALUE"""),337.6666666666667)</f>
        <v>337.6666667</v>
      </c>
      <c r="T142" s="57">
        <f>IFERROR(__xludf.DUMMYFUNCTION("""COMPUTED_VALUE"""),0.9833333333333332)</f>
        <v>0.9833333333</v>
      </c>
      <c r="U142" s="57">
        <f>IFERROR(__xludf.DUMMYFUNCTION("""COMPUTED_VALUE"""),0.6166666666666667)</f>
        <v>0.6166666667</v>
      </c>
      <c r="V142" s="57">
        <f>IFERROR(__xludf.DUMMYFUNCTION("""COMPUTED_VALUE"""),0.8666666666666665)</f>
        <v>0.8666666667</v>
      </c>
      <c r="W142" s="57">
        <f>IFERROR(__xludf.DUMMYFUNCTION("""COMPUTED_VALUE"""),3.1000000000000005)</f>
        <v>3.1</v>
      </c>
      <c r="X142" s="31">
        <f>IFERROR(__xludf.DUMMYFUNCTION("""COMPUTED_VALUE"""),328.13136686913197)</f>
        <v>328.1313669</v>
      </c>
      <c r="Y142" s="57">
        <f>IFERROR(__xludf.DUMMYFUNCTION("""COMPUTED_VALUE"""),0.7842008970168987)</f>
        <v>0.784200897</v>
      </c>
      <c r="Z142" s="57">
        <f>IFERROR(__xludf.DUMMYFUNCTION("""COMPUTED_VALUE"""),0.5730212186339095)</f>
        <v>0.5730212186</v>
      </c>
      <c r="AA142" s="57">
        <f>IFERROR(__xludf.DUMMYFUNCTION("""COMPUTED_VALUE"""),1.0687408008658006)</f>
        <v>1.068740801</v>
      </c>
      <c r="AB142" s="57">
        <f>IFERROR(__xludf.DUMMYFUNCTION("""COMPUTED_VALUE"""),2.5422498760750027)</f>
        <v>2.542249876</v>
      </c>
      <c r="AC142" s="31">
        <f>IFERROR(__xludf.DUMMYFUNCTION("""COMPUTED_VALUE"""),314.6992692208622)</f>
        <v>314.6992692</v>
      </c>
      <c r="AD142" s="57">
        <f>IFERROR(__xludf.DUMMYFUNCTION("""COMPUTED_VALUE"""),0.654639278970207)</f>
        <v>0.654639279</v>
      </c>
      <c r="AE142" s="57">
        <f>IFERROR(__xludf.DUMMYFUNCTION("""COMPUTED_VALUE"""),0.454165673599389)</f>
        <v>0.4541656736</v>
      </c>
      <c r="AF142" s="57">
        <f>IFERROR(__xludf.DUMMYFUNCTION("""COMPUTED_VALUE"""),1.273551839677123)</f>
        <v>1.27355184</v>
      </c>
      <c r="AG142" s="57">
        <f>IFERROR(__xludf.DUMMYFUNCTION("""COMPUTED_VALUE"""),2.1122175533598844)</f>
        <v>2.112217553</v>
      </c>
      <c r="AH142" s="57">
        <f>IFERROR(__xludf.DUMMYFUNCTION("""COMPUTED_VALUE"""),1.0071520051022367)</f>
        <v>1.007152005</v>
      </c>
      <c r="AI142" s="57">
        <f>IFERROR(__xludf.DUMMYFUNCTION("""COMPUTED_VALUE"""),0.45826764393349695)</f>
        <v>0.4582676439</v>
      </c>
      <c r="AJ142" s="57">
        <f>IFERROR(__xludf.DUMMYFUNCTION("""COMPUTED_VALUE"""),1.7614717414897918)</f>
        <v>1.761471741</v>
      </c>
      <c r="AK142" s="57">
        <f>IFERROR(__xludf.DUMMYFUNCTION("""COMPUTED_VALUE"""),1.2955891928343615)</f>
        <v>1.295589193</v>
      </c>
      <c r="AL142" s="57">
        <f>IFERROR(__xludf.DUMMYFUNCTION("""COMPUTED_VALUE"""),0.52077968874477)</f>
        <v>0.5207796887</v>
      </c>
      <c r="AM142" s="57">
        <f>IFERROR(__xludf.DUMMYFUNCTION("""COMPUTED_VALUE"""),1.029059397425232)</f>
        <v>1.029059397</v>
      </c>
      <c r="AN142" s="57">
        <f>IFERROR(__xludf.DUMMYFUNCTION("""COMPUTED_VALUE"""),1.2539303857900885)</f>
        <v>1.253930386</v>
      </c>
      <c r="AO142" s="57">
        <f>IFERROR(__xludf.DUMMYFUNCTION("""COMPUTED_VALUE"""),1.0761672458426732)</f>
        <v>1.076167246</v>
      </c>
      <c r="AP142" s="35">
        <f>IFERROR(__xludf.DUMMYFUNCTION("""COMPUTED_VALUE"""),0.8109231592586048)</f>
        <v>0.8109231593</v>
      </c>
      <c r="AQ142" s="57">
        <f>IFERROR(__xludf.DUMMYFUNCTION("""COMPUTED_VALUE"""),1.2193923300671419)</f>
        <v>1.21939233</v>
      </c>
      <c r="AR142" s="36" t="b">
        <f>IFERROR(__xludf.DUMMYFUNCTION("""COMPUTED_VALUE"""),TRUE)</f>
        <v>1</v>
      </c>
      <c r="AS142" s="57"/>
      <c r="AT142" s="37"/>
      <c r="AU142" s="30"/>
      <c r="AV142" s="30"/>
      <c r="AW142" s="30"/>
      <c r="AX142" s="30"/>
      <c r="AY142" s="30"/>
      <c r="AZ142" s="30"/>
    </row>
    <row r="143">
      <c r="A143" s="30" t="str">
        <f>IFERROR(__xludf.DUMMYFUNCTION("""COMPUTED_VALUE"""),"Challenger")</f>
        <v>Challenger</v>
      </c>
      <c r="B143" s="30" t="str">
        <f>IFERROR(__xludf.DUMMYFUNCTION("""COMPUTED_VALUE"""),"RSC003331")</f>
        <v>RSC003331</v>
      </c>
      <c r="C143" s="30" t="str">
        <f>IFERROR(__xludf.DUMMYFUNCTION("""COMPUTED_VALUE"""),"Frostii")</f>
        <v>Frostii</v>
      </c>
      <c r="D143" s="31" t="str">
        <f>IFERROR(__xludf.DUMMYFUNCTION("""COMPUTED_VALUE"""),"Spearmint")</f>
        <v>Spearmint</v>
      </c>
      <c r="E143" s="31">
        <f>IFERROR(__xludf.DUMMYFUNCTION("""COMPUTED_VALUE"""),26.896140925959973)</f>
        <v>26.89614093</v>
      </c>
      <c r="F143" s="31">
        <f>IFERROR(__xludf.DUMMYFUNCTION("""COMPUTED_VALUE"""),-5.627367761398342)</f>
        <v>-5.627367761</v>
      </c>
      <c r="G143" s="31">
        <f>IFERROR(__xludf.DUMMYFUNCTION("""COMPUTED_VALUE"""),43.1539497804841)</f>
        <v>43.15394978</v>
      </c>
      <c r="H143" s="31">
        <f>IFERROR(__xludf.DUMMYFUNCTION("""COMPUTED_VALUE"""),-2.5503501645589326)</f>
        <v>-2.550350165</v>
      </c>
      <c r="I143" s="54">
        <f>IFERROR(__xludf.DUMMYFUNCTION("""COMPUTED_VALUE"""),22.0)</f>
        <v>22</v>
      </c>
      <c r="J143" s="55">
        <f>IFERROR(__xludf.DUMMYFUNCTION("""COMPUTED_VALUE"""),7.0)</f>
        <v>7</v>
      </c>
      <c r="K143" s="54">
        <f>IFERROR(__xludf.DUMMYFUNCTION("""COMPUTED_VALUE"""),15.0)</f>
        <v>15</v>
      </c>
      <c r="L143" s="56">
        <f>IFERROR(__xludf.DUMMYFUNCTION("""COMPUTED_VALUE"""),0.3181818181818182)</f>
        <v>0.3181818182</v>
      </c>
      <c r="M143" s="56">
        <f>IFERROR(__xludf.DUMMYFUNCTION("""COMPUTED_VALUE"""),0.2978723404255319)</f>
        <v>0.2978723404</v>
      </c>
      <c r="N143" s="31">
        <f>IFERROR(__xludf.DUMMYFUNCTION("""COMPUTED_VALUE"""),292.1363636363636)</f>
        <v>292.1363636</v>
      </c>
      <c r="O143" s="57">
        <f>IFERROR(__xludf.DUMMYFUNCTION("""COMPUTED_VALUE"""),0.6363636363636364)</f>
        <v>0.6363636364</v>
      </c>
      <c r="P143" s="57">
        <f>IFERROR(__xludf.DUMMYFUNCTION("""COMPUTED_VALUE"""),0.4090909090909091)</f>
        <v>0.4090909091</v>
      </c>
      <c r="Q143" s="57">
        <f>IFERROR(__xludf.DUMMYFUNCTION("""COMPUTED_VALUE"""),0.8181818181818182)</f>
        <v>0.8181818182</v>
      </c>
      <c r="R143" s="57">
        <f>IFERROR(__xludf.DUMMYFUNCTION("""COMPUTED_VALUE"""),2.1363636363636362)</f>
        <v>2.136363636</v>
      </c>
      <c r="S143" s="31">
        <f>IFERROR(__xludf.DUMMYFUNCTION("""COMPUTED_VALUE"""),347.28787878787875)</f>
        <v>347.2878788</v>
      </c>
      <c r="T143" s="57">
        <f>IFERROR(__xludf.DUMMYFUNCTION("""COMPUTED_VALUE"""),0.9848484848484848)</f>
        <v>0.9848484848</v>
      </c>
      <c r="U143" s="57">
        <f>IFERROR(__xludf.DUMMYFUNCTION("""COMPUTED_VALUE"""),0.606060606060606)</f>
        <v>0.6060606061</v>
      </c>
      <c r="V143" s="57">
        <f>IFERROR(__xludf.DUMMYFUNCTION("""COMPUTED_VALUE"""),1.0)</f>
        <v>1</v>
      </c>
      <c r="W143" s="57">
        <f>IFERROR(__xludf.DUMMYFUNCTION("""COMPUTED_VALUE"""),2.5303030303030303)</f>
        <v>2.53030303</v>
      </c>
      <c r="X143" s="31">
        <f>IFERROR(__xludf.DUMMYFUNCTION("""COMPUTED_VALUE"""),335.4964786577029)</f>
        <v>335.4964787</v>
      </c>
      <c r="Y143" s="57">
        <f>IFERROR(__xludf.DUMMYFUNCTION("""COMPUTED_VALUE"""),0.726858431064008)</f>
        <v>0.7268584311</v>
      </c>
      <c r="Z143" s="57">
        <f>IFERROR(__xludf.DUMMYFUNCTION("""COMPUTED_VALUE"""),0.48351518781315855)</f>
        <v>0.4835151878</v>
      </c>
      <c r="AA143" s="57">
        <f>IFERROR(__xludf.DUMMYFUNCTION("""COMPUTED_VALUE"""),1.3129637965473642)</f>
        <v>1.312963797</v>
      </c>
      <c r="AB143" s="57">
        <f>IFERROR(__xludf.DUMMYFUNCTION("""COMPUTED_VALUE"""),2.3353223403726617)</f>
        <v>2.33532234</v>
      </c>
      <c r="AC143" s="31">
        <f>IFERROR(__xludf.DUMMYFUNCTION("""COMPUTED_VALUE"""),338.0017712387564)</f>
        <v>338.0017712</v>
      </c>
      <c r="AD143" s="57">
        <f>IFERROR(__xludf.DUMMYFUNCTION("""COMPUTED_VALUE"""),0.7806279016975822)</f>
        <v>0.7806279017</v>
      </c>
      <c r="AE143" s="57">
        <f>IFERROR(__xludf.DUMMYFUNCTION("""COMPUTED_VALUE"""),0.5312310821489729)</f>
        <v>0.5312310821</v>
      </c>
      <c r="AF143" s="57">
        <f>IFERROR(__xludf.DUMMYFUNCTION("""COMPUTED_VALUE"""),1.1671255025728982)</f>
        <v>1.167125503</v>
      </c>
      <c r="AG143" s="57">
        <f>IFERROR(__xludf.DUMMYFUNCTION("""COMPUTED_VALUE"""),2.5242271124375284)</f>
        <v>2.524227112</v>
      </c>
      <c r="AH143" s="57">
        <f>IFERROR(__xludf.DUMMYFUNCTION("""COMPUTED_VALUE"""),0.8643042388970366)</f>
        <v>0.8643042389</v>
      </c>
      <c r="AI143" s="57">
        <f>IFERROR(__xludf.DUMMYFUNCTION("""COMPUTED_VALUE"""),0.8151945824377742)</f>
        <v>0.8151945824</v>
      </c>
      <c r="AJ143" s="57">
        <f>IFERROR(__xludf.DUMMYFUNCTION("""COMPUTED_VALUE"""),0.7700808985724746)</f>
        <v>0.7700808986</v>
      </c>
      <c r="AK143" s="57">
        <f>IFERROR(__xludf.DUMMYFUNCTION("""COMPUTED_VALUE"""),0.7010229974224343)</f>
        <v>0.7010229974</v>
      </c>
      <c r="AL143" s="57">
        <f>IFERROR(__xludf.DUMMYFUNCTION("""COMPUTED_VALUE"""),0.8463436692511592)</f>
        <v>0.8463436693</v>
      </c>
      <c r="AM143" s="57">
        <f>IFERROR(__xludf.DUMMYFUNCTION("""COMPUTED_VALUE"""),1.0351461218828657)</f>
        <v>1.035146122</v>
      </c>
      <c r="AN143" s="57">
        <f>IFERROR(__xludf.DUMMYFUNCTION("""COMPUTED_VALUE"""),1.3549385172664494)</f>
        <v>1.354938517</v>
      </c>
      <c r="AO143" s="57">
        <f>IFERROR(__xludf.DUMMYFUNCTION("""COMPUTED_VALUE"""),1.2534468850951623)</f>
        <v>1.253446885</v>
      </c>
      <c r="AP143" s="35">
        <f>IFERROR(__xludf.DUMMYFUNCTION("""COMPUTED_VALUE"""),0.7616356236399285)</f>
        <v>0.7616356236</v>
      </c>
      <c r="AQ143" s="57">
        <f>IFERROR(__xludf.DUMMYFUNCTION("""COMPUTED_VALUE"""),1.0834919816247954)</f>
        <v>1.083491982</v>
      </c>
      <c r="AR143" s="36" t="b">
        <f>IFERROR(__xludf.DUMMYFUNCTION("""COMPUTED_VALUE"""),TRUE)</f>
        <v>1</v>
      </c>
      <c r="AS143" s="57"/>
      <c r="AT143" s="37"/>
      <c r="AU143" s="30"/>
      <c r="AV143" s="30"/>
      <c r="AW143" s="30"/>
      <c r="AX143" s="30"/>
      <c r="AY143" s="30"/>
      <c r="AZ143" s="30"/>
    </row>
    <row r="144">
      <c r="A144" s="30" t="str">
        <f>IFERROR(__xludf.DUMMYFUNCTION("""COMPUTED_VALUE"""),"Challenger")</f>
        <v>Challenger</v>
      </c>
      <c r="B144" s="30" t="str">
        <f>IFERROR(__xludf.DUMMYFUNCTION("""COMPUTED_VALUE"""),"RSC007370")</f>
        <v>RSC007370</v>
      </c>
      <c r="C144" s="30" t="str">
        <f>IFERROR(__xludf.DUMMYFUNCTION("""COMPUTED_VALUE"""),"Jarrod81535")</f>
        <v>Jarrod81535</v>
      </c>
      <c r="D144" s="31" t="str">
        <f>IFERROR(__xludf.DUMMYFUNCTION("""COMPUTED_VALUE"""),"Trippy Hippies")</f>
        <v>Trippy Hippies</v>
      </c>
      <c r="E144" s="31">
        <f>IFERROR(__xludf.DUMMYFUNCTION("""COMPUTED_VALUE"""),26.627256885044105)</f>
        <v>26.62725689</v>
      </c>
      <c r="F144" s="31">
        <f>IFERROR(__xludf.DUMMYFUNCTION("""COMPUTED_VALUE"""),-5.716983721305904)</f>
        <v>-5.716983721</v>
      </c>
      <c r="G144" s="31">
        <f>IFERROR(__xludf.DUMMYFUNCTION("""COMPUTED_VALUE"""),30.6736046314078)</f>
        <v>30.67360463</v>
      </c>
      <c r="H144" s="31">
        <f>IFERROR(__xludf.DUMMYFUNCTION("""COMPUTED_VALUE"""),-4.550735993399191)</f>
        <v>-4.550735993</v>
      </c>
      <c r="I144" s="54">
        <f>IFERROR(__xludf.DUMMYFUNCTION("""COMPUTED_VALUE"""),32.0)</f>
        <v>32</v>
      </c>
      <c r="J144" s="55">
        <f>IFERROR(__xludf.DUMMYFUNCTION("""COMPUTED_VALUE"""),14.0)</f>
        <v>14</v>
      </c>
      <c r="K144" s="54">
        <f>IFERROR(__xludf.DUMMYFUNCTION("""COMPUTED_VALUE"""),18.0)</f>
        <v>18</v>
      </c>
      <c r="L144" s="56">
        <f>IFERROR(__xludf.DUMMYFUNCTION("""COMPUTED_VALUE"""),0.4375)</f>
        <v>0.4375</v>
      </c>
      <c r="M144" s="56">
        <f>IFERROR(__xludf.DUMMYFUNCTION("""COMPUTED_VALUE"""),0.2537313432835821)</f>
        <v>0.2537313433</v>
      </c>
      <c r="N144" s="31">
        <f>IFERROR(__xludf.DUMMYFUNCTION("""COMPUTED_VALUE"""),280.1875)</f>
        <v>280.1875</v>
      </c>
      <c r="O144" s="57">
        <f>IFERROR(__xludf.DUMMYFUNCTION("""COMPUTED_VALUE"""),0.53125)</f>
        <v>0.53125</v>
      </c>
      <c r="P144" s="57">
        <f>IFERROR(__xludf.DUMMYFUNCTION("""COMPUTED_VALUE"""),0.40625)</f>
        <v>0.40625</v>
      </c>
      <c r="Q144" s="57">
        <f>IFERROR(__xludf.DUMMYFUNCTION("""COMPUTED_VALUE"""),1.1875)</f>
        <v>1.1875</v>
      </c>
      <c r="R144" s="57">
        <f>IFERROR(__xludf.DUMMYFUNCTION("""COMPUTED_VALUE"""),2.09375)</f>
        <v>2.09375</v>
      </c>
      <c r="S144" s="31">
        <f>IFERROR(__xludf.DUMMYFUNCTION("""COMPUTED_VALUE"""),323.25)</f>
        <v>323.25</v>
      </c>
      <c r="T144" s="57">
        <f>IFERROR(__xludf.DUMMYFUNCTION("""COMPUTED_VALUE"""),0.7812500000000001)</f>
        <v>0.78125</v>
      </c>
      <c r="U144" s="57">
        <f>IFERROR(__xludf.DUMMYFUNCTION("""COMPUTED_VALUE"""),0.53125)</f>
        <v>0.53125</v>
      </c>
      <c r="V144" s="57">
        <f>IFERROR(__xludf.DUMMYFUNCTION("""COMPUTED_VALUE"""),1.208333333333333)</f>
        <v>1.208333333</v>
      </c>
      <c r="W144" s="57">
        <f>IFERROR(__xludf.DUMMYFUNCTION("""COMPUTED_VALUE"""),2.385416666666667)</f>
        <v>2.385416667</v>
      </c>
      <c r="X144" s="31">
        <f>IFERROR(__xludf.DUMMYFUNCTION("""COMPUTED_VALUE"""),334.63697752950554)</f>
        <v>334.6369775</v>
      </c>
      <c r="Y144" s="57">
        <f>IFERROR(__xludf.DUMMYFUNCTION("""COMPUTED_VALUE"""),0.7448712411216452)</f>
        <v>0.7448712411</v>
      </c>
      <c r="Z144" s="57">
        <f>IFERROR(__xludf.DUMMYFUNCTION("""COMPUTED_VALUE"""),0.5522630515034758)</f>
        <v>0.5522630515</v>
      </c>
      <c r="AA144" s="57">
        <f>IFERROR(__xludf.DUMMYFUNCTION("""COMPUTED_VALUE"""),1.2815369093393745)</f>
        <v>1.281536909</v>
      </c>
      <c r="AB144" s="57">
        <f>IFERROR(__xludf.DUMMYFUNCTION("""COMPUTED_VALUE"""),2.2942855738300048)</f>
        <v>2.294285574</v>
      </c>
      <c r="AC144" s="31">
        <f>IFERROR(__xludf.DUMMYFUNCTION("""COMPUTED_VALUE"""),336.19766386432696)</f>
        <v>336.1976639</v>
      </c>
      <c r="AD144" s="57">
        <f>IFERROR(__xludf.DUMMYFUNCTION("""COMPUTED_VALUE"""),0.8056879373647289)</f>
        <v>0.8056879374</v>
      </c>
      <c r="AE144" s="57">
        <f>IFERROR(__xludf.DUMMYFUNCTION("""COMPUTED_VALUE"""),0.5749607608899114)</f>
        <v>0.5749607609</v>
      </c>
      <c r="AF144" s="57">
        <f>IFERROR(__xludf.DUMMYFUNCTION("""COMPUTED_VALUE"""),1.1475763024657353)</f>
        <v>1.147576302</v>
      </c>
      <c r="AG144" s="57">
        <f>IFERROR(__xludf.DUMMYFUNCTION("""COMPUTED_VALUE"""),2.556004851432167)</f>
        <v>2.556004851</v>
      </c>
      <c r="AH144" s="57">
        <f>IFERROR(__xludf.DUMMYFUNCTION("""COMPUTED_VALUE"""),0.83340109142778)</f>
        <v>0.8334010914</v>
      </c>
      <c r="AI144" s="57">
        <f>IFERROR(__xludf.DUMMYFUNCTION("""COMPUTED_VALUE"""),0.6593743996436515)</f>
        <v>0.6593743996</v>
      </c>
      <c r="AJ144" s="57">
        <f>IFERROR(__xludf.DUMMYFUNCTION("""COMPUTED_VALUE"""),0.7065699568283847)</f>
        <v>0.7065699568</v>
      </c>
      <c r="AK144" s="57">
        <f>IFERROR(__xludf.DUMMYFUNCTION("""COMPUTED_VALUE"""),1.034789579959505)</f>
        <v>1.03478958</v>
      </c>
      <c r="AL144" s="57">
        <f>IFERROR(__xludf.DUMMYFUNCTION("""COMPUTED_VALUE"""),0.819149462422515)</f>
        <v>0.8191494624</v>
      </c>
      <c r="AM144" s="57">
        <f>IFERROR(__xludf.DUMMYFUNCTION("""COMPUTED_VALUE"""),0.9659721480466051)</f>
        <v>0.965972148</v>
      </c>
      <c r="AN144" s="57">
        <f>IFERROR(__xludf.DUMMYFUNCTION("""COMPUTED_VALUE"""),1.0488389897072343)</f>
        <v>1.04883899</v>
      </c>
      <c r="AO144" s="57">
        <f>IFERROR(__xludf.DUMMYFUNCTION("""COMPUTED_VALUE"""),0.9619510096750633)</f>
        <v>0.9619510097</v>
      </c>
      <c r="AP144" s="35">
        <f>IFERROR(__xludf.DUMMYFUNCTION("""COMPUTED_VALUE"""),0.9428782928743134)</f>
        <v>0.9428782929</v>
      </c>
      <c r="AQ144" s="57">
        <f>IFERROR(__xludf.DUMMYFUNCTION("""COMPUTED_VALUE"""),1.0397209021737128)</f>
        <v>1.039720902</v>
      </c>
      <c r="AR144" s="36" t="b">
        <f>IFERROR(__xludf.DUMMYFUNCTION("""COMPUTED_VALUE"""),TRUE)</f>
        <v>1</v>
      </c>
      <c r="AS144" s="57"/>
      <c r="AT144" s="37"/>
      <c r="AU144" s="30"/>
      <c r="AV144" s="30"/>
      <c r="AW144" s="30"/>
      <c r="AX144" s="30"/>
      <c r="AY144" s="30"/>
      <c r="AZ144" s="30"/>
    </row>
    <row r="145">
      <c r="A145" s="30" t="str">
        <f>IFERROR(__xludf.DUMMYFUNCTION("""COMPUTED_VALUE"""),"Challenger")</f>
        <v>Challenger</v>
      </c>
      <c r="B145" s="30" t="str">
        <f>IFERROR(__xludf.DUMMYFUNCTION("""COMPUTED_VALUE"""),"RSC007457")</f>
        <v>RSC007457</v>
      </c>
      <c r="C145" s="30" t="str">
        <f>IFERROR(__xludf.DUMMYFUNCTION("""COMPUTED_VALUE"""),"Fyooze")</f>
        <v>Fyooze</v>
      </c>
      <c r="D145" s="31" t="str">
        <f>IFERROR(__xludf.DUMMYFUNCTION("""COMPUTED_VALUE"""),"Threshers")</f>
        <v>Threshers</v>
      </c>
      <c r="E145" s="31">
        <f>IFERROR(__xludf.DUMMYFUNCTION("""COMPUTED_VALUE"""),24.761692817688935)</f>
        <v>24.76169282</v>
      </c>
      <c r="F145" s="31">
        <f>IFERROR(__xludf.DUMMYFUNCTION("""COMPUTED_VALUE"""),-6.395509326004021)</f>
        <v>-6.395509326</v>
      </c>
      <c r="G145" s="31">
        <f>IFERROR(__xludf.DUMMYFUNCTION("""COMPUTED_VALUE"""),22.652457418824646)</f>
        <v>22.65245742</v>
      </c>
      <c r="H145" s="31">
        <f>IFERROR(__xludf.DUMMYFUNCTION("""COMPUTED_VALUE"""),-7.299320910419536)</f>
        <v>-7.29932091</v>
      </c>
      <c r="I145" s="54">
        <f>IFERROR(__xludf.DUMMYFUNCTION("""COMPUTED_VALUE"""),30.0)</f>
        <v>30</v>
      </c>
      <c r="J145" s="55">
        <f>IFERROR(__xludf.DUMMYFUNCTION("""COMPUTED_VALUE"""),10.0)</f>
        <v>10</v>
      </c>
      <c r="K145" s="54">
        <f>IFERROR(__xludf.DUMMYFUNCTION("""COMPUTED_VALUE"""),20.0)</f>
        <v>20</v>
      </c>
      <c r="L145" s="56">
        <f>IFERROR(__xludf.DUMMYFUNCTION("""COMPUTED_VALUE"""),0.3333333333333333)</f>
        <v>0.3333333333</v>
      </c>
      <c r="M145" s="56">
        <f>IFERROR(__xludf.DUMMYFUNCTION("""COMPUTED_VALUE"""),0.34545454545454546)</f>
        <v>0.3454545455</v>
      </c>
      <c r="N145" s="31">
        <f>IFERROR(__xludf.DUMMYFUNCTION("""COMPUTED_VALUE"""),264.43333333333334)</f>
        <v>264.4333333</v>
      </c>
      <c r="O145" s="57">
        <f>IFERROR(__xludf.DUMMYFUNCTION("""COMPUTED_VALUE"""),0.6333333333333333)</f>
        <v>0.6333333333</v>
      </c>
      <c r="P145" s="57">
        <f>IFERROR(__xludf.DUMMYFUNCTION("""COMPUTED_VALUE"""),0.4)</f>
        <v>0.4</v>
      </c>
      <c r="Q145" s="57">
        <f>IFERROR(__xludf.DUMMYFUNCTION("""COMPUTED_VALUE"""),0.9)</f>
        <v>0.9</v>
      </c>
      <c r="R145" s="57">
        <f>IFERROR(__xludf.DUMMYFUNCTION("""COMPUTED_VALUE"""),1.8333333333333333)</f>
        <v>1.833333333</v>
      </c>
      <c r="S145" s="31">
        <f>IFERROR(__xludf.DUMMYFUNCTION("""COMPUTED_VALUE"""),360.23333333333335)</f>
        <v>360.2333333</v>
      </c>
      <c r="T145" s="57">
        <f>IFERROR(__xludf.DUMMYFUNCTION("""COMPUTED_VALUE"""),0.9777777777777777)</f>
        <v>0.9777777778</v>
      </c>
      <c r="U145" s="57">
        <f>IFERROR(__xludf.DUMMYFUNCTION("""COMPUTED_VALUE"""),0.7333333333333332)</f>
        <v>0.7333333333</v>
      </c>
      <c r="V145" s="57">
        <f>IFERROR(__xludf.DUMMYFUNCTION("""COMPUTED_VALUE"""),1.1555555555555554)</f>
        <v>1.155555556</v>
      </c>
      <c r="W145" s="57">
        <f>IFERROR(__xludf.DUMMYFUNCTION("""COMPUTED_VALUE"""),2.633333333333333)</f>
        <v>2.633333333</v>
      </c>
      <c r="X145" s="31">
        <f>IFERROR(__xludf.DUMMYFUNCTION("""COMPUTED_VALUE"""),345.92929089504344)</f>
        <v>345.9292909</v>
      </c>
      <c r="Y145" s="57">
        <f>IFERROR(__xludf.DUMMYFUNCTION("""COMPUTED_VALUE"""),0.8544177118735725)</f>
        <v>0.8544177119</v>
      </c>
      <c r="Z145" s="57">
        <f>IFERROR(__xludf.DUMMYFUNCTION("""COMPUTED_VALUE"""),0.5862149425888605)</f>
        <v>0.5862149426</v>
      </c>
      <c r="AA145" s="57">
        <f>IFERROR(__xludf.DUMMYFUNCTION("""COMPUTED_VALUE"""),1.168912281682566)</f>
        <v>1.168912282</v>
      </c>
      <c r="AB145" s="57">
        <f>IFERROR(__xludf.DUMMYFUNCTION("""COMPUTED_VALUE"""),2.5859774219753984)</f>
        <v>2.585977422</v>
      </c>
      <c r="AC145" s="31">
        <f>IFERROR(__xludf.DUMMYFUNCTION("""COMPUTED_VALUE"""),326.56099782569413)</f>
        <v>326.5609978</v>
      </c>
      <c r="AD145" s="57">
        <f>IFERROR(__xludf.DUMMYFUNCTION("""COMPUTED_VALUE"""),0.7423817146447823)</f>
        <v>0.7423817146</v>
      </c>
      <c r="AE145" s="57">
        <f>IFERROR(__xludf.DUMMYFUNCTION("""COMPUTED_VALUE"""),0.4899996769504865)</f>
        <v>0.489999677</v>
      </c>
      <c r="AF145" s="57">
        <f>IFERROR(__xludf.DUMMYFUNCTION("""COMPUTED_VALUE"""),1.2125246907418645)</f>
        <v>1.212524691</v>
      </c>
      <c r="AG145" s="57">
        <f>IFERROR(__xludf.DUMMYFUNCTION("""COMPUTED_VALUE"""),2.3357936013043887)</f>
        <v>2.335793601</v>
      </c>
      <c r="AH145" s="57">
        <f>IFERROR(__xludf.DUMMYFUNCTION("""COMPUTED_VALUE"""),0.8097517312048325)</f>
        <v>0.8097517312</v>
      </c>
      <c r="AI145" s="57">
        <f>IFERROR(__xludf.DUMMYFUNCTION("""COMPUTED_VALUE"""),0.8531100926110136)</f>
        <v>0.8531100926</v>
      </c>
      <c r="AJ145" s="57">
        <f>IFERROR(__xludf.DUMMYFUNCTION("""COMPUTED_VALUE"""),0.816327068804209)</f>
        <v>0.8163270688</v>
      </c>
      <c r="AK145" s="57">
        <f>IFERROR(__xludf.DUMMYFUNCTION("""COMPUTED_VALUE"""),0.7422529263708015)</f>
        <v>0.7422529264</v>
      </c>
      <c r="AL145" s="57">
        <f>IFERROR(__xludf.DUMMYFUNCTION("""COMPUTED_VALUE"""),0.784886700738257)</f>
        <v>0.7848867007</v>
      </c>
      <c r="AM145" s="57">
        <f>IFERROR(__xludf.DUMMYFUNCTION("""COMPUTED_VALUE"""),1.0413496133885634)</f>
        <v>1.041349613</v>
      </c>
      <c r="AN145" s="57">
        <f>IFERROR(__xludf.DUMMYFUNCTION("""COMPUTED_VALUE"""),1.144379106600799)</f>
        <v>1.144379107</v>
      </c>
      <c r="AO145" s="57">
        <f>IFERROR(__xludf.DUMMYFUNCTION("""COMPUTED_VALUE"""),1.2509632219451177)</f>
        <v>1.250963222</v>
      </c>
      <c r="AP145" s="35">
        <f>IFERROR(__xludf.DUMMYFUNCTION("""COMPUTED_VALUE"""),0.9885733717265898)</f>
        <v>0.9885733717</v>
      </c>
      <c r="AQ145" s="57">
        <f>IFERROR(__xludf.DUMMYFUNCTION("""COMPUTED_VALUE"""),1.01831257726982)</f>
        <v>1.018312577</v>
      </c>
      <c r="AR145" s="36" t="b">
        <f>IFERROR(__xludf.DUMMYFUNCTION("""COMPUTED_VALUE"""),TRUE)</f>
        <v>1</v>
      </c>
      <c r="AS145" s="57"/>
      <c r="AT145" s="37"/>
      <c r="AU145" s="30"/>
      <c r="AV145" s="30"/>
      <c r="AW145" s="30"/>
      <c r="AX145" s="30"/>
      <c r="AY145" s="30"/>
      <c r="AZ145" s="30"/>
    </row>
    <row r="146">
      <c r="A146" s="30" t="str">
        <f>IFERROR(__xludf.DUMMYFUNCTION("""COMPUTED_VALUE"""),"Challenger")</f>
        <v>Challenger</v>
      </c>
      <c r="B146" s="30" t="str">
        <f>IFERROR(__xludf.DUMMYFUNCTION("""COMPUTED_VALUE"""),"RSC002834")</f>
        <v>RSC002834</v>
      </c>
      <c r="C146" s="30" t="str">
        <f>IFERROR(__xludf.DUMMYFUNCTION("""COMPUTED_VALUE"""),"Clockwork7678")</f>
        <v>Clockwork7678</v>
      </c>
      <c r="D146" s="31" t="str">
        <f>IFERROR(__xludf.DUMMYFUNCTION("""COMPUTED_VALUE"""),"Pharaohs")</f>
        <v>Pharaohs</v>
      </c>
      <c r="E146" s="31">
        <f>IFERROR(__xludf.DUMMYFUNCTION("""COMPUTED_VALUE"""),24.66018916708982)</f>
        <v>24.66018917</v>
      </c>
      <c r="F146" s="31">
        <f>IFERROR(__xludf.DUMMYFUNCTION("""COMPUTED_VALUE"""),-6.435477091736073)</f>
        <v>-6.435477092</v>
      </c>
      <c r="G146" s="31">
        <f>IFERROR(__xludf.DUMMYFUNCTION("""COMPUTED_VALUE"""),31.553318204617593)</f>
        <v>31.5533182</v>
      </c>
      <c r="H146" s="31">
        <f>IFERROR(__xludf.DUMMYFUNCTION("""COMPUTED_VALUE"""),-4.342208507440034)</f>
        <v>-4.342208507</v>
      </c>
      <c r="I146" s="54">
        <f>IFERROR(__xludf.DUMMYFUNCTION("""COMPUTED_VALUE"""),24.0)</f>
        <v>24</v>
      </c>
      <c r="J146" s="55">
        <f>IFERROR(__xludf.DUMMYFUNCTION("""COMPUTED_VALUE"""),10.0)</f>
        <v>10</v>
      </c>
      <c r="K146" s="54">
        <f>IFERROR(__xludf.DUMMYFUNCTION("""COMPUTED_VALUE"""),14.0)</f>
        <v>14</v>
      </c>
      <c r="L146" s="56">
        <f>IFERROR(__xludf.DUMMYFUNCTION("""COMPUTED_VALUE"""),0.4166666666666667)</f>
        <v>0.4166666667</v>
      </c>
      <c r="M146" s="56">
        <f>IFERROR(__xludf.DUMMYFUNCTION("""COMPUTED_VALUE"""),0.2857142857142857)</f>
        <v>0.2857142857</v>
      </c>
      <c r="N146" s="31">
        <f>IFERROR(__xludf.DUMMYFUNCTION("""COMPUTED_VALUE"""),296.9583333333333)</f>
        <v>296.9583333</v>
      </c>
      <c r="O146" s="57">
        <f>IFERROR(__xludf.DUMMYFUNCTION("""COMPUTED_VALUE"""),0.6666666666666666)</f>
        <v>0.6666666667</v>
      </c>
      <c r="P146" s="57">
        <f>IFERROR(__xludf.DUMMYFUNCTION("""COMPUTED_VALUE"""),0.25)</f>
        <v>0.25</v>
      </c>
      <c r="Q146" s="57">
        <f>IFERROR(__xludf.DUMMYFUNCTION("""COMPUTED_VALUE"""),0.875)</f>
        <v>0.875</v>
      </c>
      <c r="R146" s="57">
        <f>IFERROR(__xludf.DUMMYFUNCTION("""COMPUTED_VALUE"""),2.3333333333333335)</f>
        <v>2.333333333</v>
      </c>
      <c r="S146" s="31">
        <f>IFERROR(__xludf.DUMMYFUNCTION("""COMPUTED_VALUE"""),374.90277777777777)</f>
        <v>374.9027778</v>
      </c>
      <c r="T146" s="57">
        <f>IFERROR(__xludf.DUMMYFUNCTION("""COMPUTED_VALUE"""),0.8333333333333331)</f>
        <v>0.8333333333</v>
      </c>
      <c r="U146" s="57">
        <f>IFERROR(__xludf.DUMMYFUNCTION("""COMPUTED_VALUE"""),0.5694444444444443)</f>
        <v>0.5694444444</v>
      </c>
      <c r="V146" s="57">
        <f>IFERROR(__xludf.DUMMYFUNCTION("""COMPUTED_VALUE"""),1.236111111111111)</f>
        <v>1.236111111</v>
      </c>
      <c r="W146" s="57">
        <f>IFERROR(__xludf.DUMMYFUNCTION("""COMPUTED_VALUE"""),2.694444444444444)</f>
        <v>2.694444444</v>
      </c>
      <c r="X146" s="31">
        <f>IFERROR(__xludf.DUMMYFUNCTION("""COMPUTED_VALUE"""),320.7982228203777)</f>
        <v>320.7982228</v>
      </c>
      <c r="Y146" s="57">
        <f>IFERROR(__xludf.DUMMYFUNCTION("""COMPUTED_VALUE"""),0.6576799192785391)</f>
        <v>0.6576799193</v>
      </c>
      <c r="Z146" s="57">
        <f>IFERROR(__xludf.DUMMYFUNCTION("""COMPUTED_VALUE"""),0.488465577052688)</f>
        <v>0.4884655771</v>
      </c>
      <c r="AA146" s="57">
        <f>IFERROR(__xludf.DUMMYFUNCTION("""COMPUTED_VALUE"""),1.1703366394440395)</f>
        <v>1.170336639</v>
      </c>
      <c r="AB146" s="57">
        <f>IFERROR(__xludf.DUMMYFUNCTION("""COMPUTED_VALUE"""),2.3604895253934832)</f>
        <v>2.360489525</v>
      </c>
      <c r="AC146" s="31">
        <f>IFERROR(__xludf.DUMMYFUNCTION("""COMPUTED_VALUE"""),342.4689569227315)</f>
        <v>342.4689569</v>
      </c>
      <c r="AD146" s="57">
        <f>IFERROR(__xludf.DUMMYFUNCTION("""COMPUTED_VALUE"""),0.7985492814751406)</f>
        <v>0.7985492815</v>
      </c>
      <c r="AE146" s="57">
        <f>IFERROR(__xludf.DUMMYFUNCTION("""COMPUTED_VALUE"""),0.5235845673852307)</f>
        <v>0.5235845674</v>
      </c>
      <c r="AF146" s="57">
        <f>IFERROR(__xludf.DUMMYFUNCTION("""COMPUTED_VALUE"""),1.3030974640058006)</f>
        <v>1.303097464</v>
      </c>
      <c r="AG146" s="57">
        <f>IFERROR(__xludf.DUMMYFUNCTION("""COMPUTED_VALUE"""),2.411617493341842)</f>
        <v>2.411617493</v>
      </c>
      <c r="AH146" s="57">
        <f>IFERROR(__xludf.DUMMYFUNCTION("""COMPUTED_VALUE"""),0.8671102221984273)</f>
        <v>0.8671102222</v>
      </c>
      <c r="AI146" s="57">
        <f>IFERROR(__xludf.DUMMYFUNCTION("""COMPUTED_VALUE"""),0.8348472437858182)</f>
        <v>0.8348472438</v>
      </c>
      <c r="AJ146" s="57">
        <f>IFERROR(__xludf.DUMMYFUNCTION("""COMPUTED_VALUE"""),0.47747778596396423)</f>
        <v>0.477477786</v>
      </c>
      <c r="AK146" s="57">
        <f>IFERROR(__xludf.DUMMYFUNCTION("""COMPUTED_VALUE"""),0.6714770185418034)</f>
        <v>0.6714770185</v>
      </c>
      <c r="AL146" s="57">
        <f>IFERROR(__xludf.DUMMYFUNCTION("""COMPUTED_VALUE"""),0.9675387327282867)</f>
        <v>0.9675387327</v>
      </c>
      <c r="AM146" s="57">
        <f>IFERROR(__xludf.DUMMYFUNCTION("""COMPUTED_VALUE"""),1.1686560308274976)</f>
        <v>1.168656031</v>
      </c>
      <c r="AN146" s="57">
        <f>IFERROR(__xludf.DUMMYFUNCTION("""COMPUTED_VALUE"""),1.267080397174787)</f>
        <v>1.267080397</v>
      </c>
      <c r="AO146" s="57">
        <f>IFERROR(__xludf.DUMMYFUNCTION("""COMPUTED_VALUE"""),1.1657821373624073)</f>
        <v>1.165782137</v>
      </c>
      <c r="AP146" s="35">
        <f>IFERROR(__xludf.DUMMYFUNCTION("""COMPUTED_VALUE"""),1.0562013265673005)</f>
        <v>1.056201327</v>
      </c>
      <c r="AQ146" s="57">
        <f>IFERROR(__xludf.DUMMYFUNCTION("""COMPUTED_VALUE"""),1.1414769756266097)</f>
        <v>1.141476976</v>
      </c>
      <c r="AR146" s="36" t="b">
        <f>IFERROR(__xludf.DUMMYFUNCTION("""COMPUTED_VALUE"""),TRUE)</f>
        <v>1</v>
      </c>
      <c r="AS146" s="57"/>
      <c r="AT146" s="37"/>
      <c r="AU146" s="30"/>
      <c r="AV146" s="30"/>
      <c r="AW146" s="30"/>
      <c r="AX146" s="30"/>
      <c r="AY146" s="30"/>
      <c r="AZ146" s="30"/>
    </row>
    <row r="147">
      <c r="A147" s="30" t="str">
        <f>IFERROR(__xludf.DUMMYFUNCTION("""COMPUTED_VALUE"""),"Challenger")</f>
        <v>Challenger</v>
      </c>
      <c r="B147" s="30" t="str">
        <f>IFERROR(__xludf.DUMMYFUNCTION("""COMPUTED_VALUE"""),"RSC006225")</f>
        <v>RSC006225</v>
      </c>
      <c r="C147" s="30" t="str">
        <f>IFERROR(__xludf.DUMMYFUNCTION("""COMPUTED_VALUE"""),"renightly")</f>
        <v>renightly</v>
      </c>
      <c r="D147" s="31" t="str">
        <f>IFERROR(__xludf.DUMMYFUNCTION("""COMPUTED_VALUE"""),"Quarter")</f>
        <v>Quarter</v>
      </c>
      <c r="E147" s="31">
        <f>IFERROR(__xludf.DUMMYFUNCTION("""COMPUTED_VALUE"""),22.94220799760073)</f>
        <v>22.942208</v>
      </c>
      <c r="F147" s="31">
        <f>IFERROR(__xludf.DUMMYFUNCTION("""COMPUTED_VALUE"""),-7.1655294482584155)</f>
        <v>-7.165529448</v>
      </c>
      <c r="G147" s="31">
        <f>IFERROR(__xludf.DUMMYFUNCTION("""COMPUTED_VALUE"""),31.887125347957884)</f>
        <v>31.88712535</v>
      </c>
      <c r="H147" s="31">
        <f>IFERROR(__xludf.DUMMYFUNCTION("""COMPUTED_VALUE"""),-4.266670032743356)</f>
        <v>-4.266670033</v>
      </c>
      <c r="I147" s="54">
        <f>IFERROR(__xludf.DUMMYFUNCTION("""COMPUTED_VALUE"""),29.0)</f>
        <v>29</v>
      </c>
      <c r="J147" s="55">
        <f>IFERROR(__xludf.DUMMYFUNCTION("""COMPUTED_VALUE"""),7.0)</f>
        <v>7</v>
      </c>
      <c r="K147" s="54">
        <f>IFERROR(__xludf.DUMMYFUNCTION("""COMPUTED_VALUE"""),22.0)</f>
        <v>22</v>
      </c>
      <c r="L147" s="56">
        <f>IFERROR(__xludf.DUMMYFUNCTION("""COMPUTED_VALUE"""),0.2413793103448276)</f>
        <v>0.2413793103</v>
      </c>
      <c r="M147" s="56">
        <f>IFERROR(__xludf.DUMMYFUNCTION("""COMPUTED_VALUE"""),0.24528301886792453)</f>
        <v>0.2452830189</v>
      </c>
      <c r="N147" s="31">
        <f>IFERROR(__xludf.DUMMYFUNCTION("""COMPUTED_VALUE"""),304.3103448275862)</f>
        <v>304.3103448</v>
      </c>
      <c r="O147" s="57">
        <f>IFERROR(__xludf.DUMMYFUNCTION("""COMPUTED_VALUE"""),0.4482758620689655)</f>
        <v>0.4482758621</v>
      </c>
      <c r="P147" s="57">
        <f>IFERROR(__xludf.DUMMYFUNCTION("""COMPUTED_VALUE"""),0.41379310344827586)</f>
        <v>0.4137931034</v>
      </c>
      <c r="Q147" s="57">
        <f>IFERROR(__xludf.DUMMYFUNCTION("""COMPUTED_VALUE"""),1.6206896551724137)</f>
        <v>1.620689655</v>
      </c>
      <c r="R147" s="57">
        <f>IFERROR(__xludf.DUMMYFUNCTION("""COMPUTED_VALUE"""),1.8275862068965518)</f>
        <v>1.827586207</v>
      </c>
      <c r="S147" s="31">
        <f>IFERROR(__xludf.DUMMYFUNCTION("""COMPUTED_VALUE"""),359.1264367816092)</f>
        <v>359.1264368</v>
      </c>
      <c r="T147" s="57">
        <f>IFERROR(__xludf.DUMMYFUNCTION("""COMPUTED_VALUE"""),0.9310344827586209)</f>
        <v>0.9310344828</v>
      </c>
      <c r="U147" s="57">
        <f>IFERROR(__xludf.DUMMYFUNCTION("""COMPUTED_VALUE"""),0.6896551724137931)</f>
        <v>0.6896551724</v>
      </c>
      <c r="V147" s="57">
        <f>IFERROR(__xludf.DUMMYFUNCTION("""COMPUTED_VALUE"""),0.9770114942528736)</f>
        <v>0.9770114943</v>
      </c>
      <c r="W147" s="57">
        <f>IFERROR(__xludf.DUMMYFUNCTION("""COMPUTED_VALUE"""),3.022988505747126)</f>
        <v>3.022988506</v>
      </c>
      <c r="X147" s="31">
        <f>IFERROR(__xludf.DUMMYFUNCTION("""COMPUTED_VALUE"""),342.73675090338327)</f>
        <v>342.7367509</v>
      </c>
      <c r="Y147" s="57">
        <f>IFERROR(__xludf.DUMMYFUNCTION("""COMPUTED_VALUE"""),0.8394076216528069)</f>
        <v>0.8394076217</v>
      </c>
      <c r="Z147" s="57">
        <f>IFERROR(__xludf.DUMMYFUNCTION("""COMPUTED_VALUE"""),0.5985204074894374)</f>
        <v>0.5985204075</v>
      </c>
      <c r="AA147" s="57">
        <f>IFERROR(__xludf.DUMMYFUNCTION("""COMPUTED_VALUE"""),1.1225219216771232)</f>
        <v>1.122521922</v>
      </c>
      <c r="AB147" s="57">
        <f>IFERROR(__xludf.DUMMYFUNCTION("""COMPUTED_VALUE"""),2.5403527748610006)</f>
        <v>2.540352775</v>
      </c>
      <c r="AC147" s="31">
        <f>IFERROR(__xludf.DUMMYFUNCTION("""COMPUTED_VALUE"""),321.49926253087756)</f>
        <v>321.4992625</v>
      </c>
      <c r="AD147" s="57">
        <f>IFERROR(__xludf.DUMMYFUNCTION("""COMPUTED_VALUE"""),0.7118094552161647)</f>
        <v>0.7118094552</v>
      </c>
      <c r="AE147" s="57">
        <f>IFERROR(__xludf.DUMMYFUNCTION("""COMPUTED_VALUE"""),0.47573339810567356)</f>
        <v>0.4757333981</v>
      </c>
      <c r="AF147" s="57">
        <f>IFERROR(__xludf.DUMMYFUNCTION("""COMPUTED_VALUE"""),1.1851420788893228)</f>
        <v>1.185142079</v>
      </c>
      <c r="AG147" s="57">
        <f>IFERROR(__xludf.DUMMYFUNCTION("""COMPUTED_VALUE"""),2.2660662238721194)</f>
        <v>2.266066224</v>
      </c>
      <c r="AH147" s="57">
        <f>IFERROR(__xludf.DUMMYFUNCTION("""COMPUTED_VALUE"""),0.9465351255614763)</f>
        <v>0.9465351256</v>
      </c>
      <c r="AI147" s="57">
        <f>IFERROR(__xludf.DUMMYFUNCTION("""COMPUTED_VALUE"""),0.6297694681968388)</f>
        <v>0.6297694682</v>
      </c>
      <c r="AJ147" s="57">
        <f>IFERROR(__xludf.DUMMYFUNCTION("""COMPUTED_VALUE"""),0.8698004073204904)</f>
        <v>0.8698004073</v>
      </c>
      <c r="AK147" s="57">
        <f>IFERROR(__xludf.DUMMYFUNCTION("""COMPUTED_VALUE"""),1.3675066340495412)</f>
        <v>1.367506634</v>
      </c>
      <c r="AL147" s="57">
        <f>IFERROR(__xludf.DUMMYFUNCTION("""COMPUTED_VALUE"""),0.8065016757425919)</f>
        <v>0.8065016757</v>
      </c>
      <c r="AM147" s="57">
        <f>IFERROR(__xludf.DUMMYFUNCTION("""COMPUTED_VALUE"""),1.047820042160714)</f>
        <v>1.047820042</v>
      </c>
      <c r="AN147" s="57">
        <f>IFERROR(__xludf.DUMMYFUNCTION("""COMPUTED_VALUE"""),1.1091565751159125)</f>
        <v>1.109156575</v>
      </c>
      <c r="AO147" s="57">
        <f>IFERROR(__xludf.DUMMYFUNCTION("""COMPUTED_VALUE"""),1.1522667628103627)</f>
        <v>1.152266763</v>
      </c>
      <c r="AP147" s="35">
        <f>IFERROR(__xludf.DUMMYFUNCTION("""COMPUTED_VALUE"""),0.8703718612400485)</f>
        <v>0.8703718612</v>
      </c>
      <c r="AQ147" s="57">
        <f>IFERROR(__xludf.DUMMYFUNCTION("""COMPUTED_VALUE"""),1.1899876803183502)</f>
        <v>1.18998768</v>
      </c>
      <c r="AR147" s="36" t="b">
        <f>IFERROR(__xludf.DUMMYFUNCTION("""COMPUTED_VALUE"""),TRUE)</f>
        <v>1</v>
      </c>
      <c r="AS147" s="57"/>
      <c r="AT147" s="37"/>
      <c r="AU147" s="30"/>
      <c r="AV147" s="30"/>
      <c r="AW147" s="30"/>
      <c r="AX147" s="30"/>
      <c r="AY147" s="30"/>
      <c r="AZ147" s="30"/>
    </row>
    <row r="148">
      <c r="A148" s="30" t="str">
        <f>IFERROR(__xludf.DUMMYFUNCTION("""COMPUTED_VALUE"""),"Challenger")</f>
        <v>Challenger</v>
      </c>
      <c r="B148" s="30" t="str">
        <f>IFERROR(__xludf.DUMMYFUNCTION("""COMPUTED_VALUE"""),"RSC007560")</f>
        <v>RSC007560</v>
      </c>
      <c r="C148" s="30" t="str">
        <f>IFERROR(__xludf.DUMMYFUNCTION("""COMPUTED_VALUE"""),"ObiWan_Can_O_Bee")</f>
        <v>ObiWan_Can_O_Bee</v>
      </c>
      <c r="D148" s="31" t="str">
        <f>IFERROR(__xludf.DUMMYFUNCTION("""COMPUTED_VALUE"""),"Shade")</f>
        <v>Shade</v>
      </c>
      <c r="E148" s="31">
        <f>IFERROR(__xludf.DUMMYFUNCTION("""COMPUTED_VALUE"""),22.870505854281113)</f>
        <v>22.87050585</v>
      </c>
      <c r="F148" s="31">
        <f>IFERROR(__xludf.DUMMYFUNCTION("""COMPUTED_VALUE"""),-7.198334600769741)</f>
        <v>-7.198334601</v>
      </c>
      <c r="G148" s="31">
        <f>IFERROR(__xludf.DUMMYFUNCTION("""COMPUTED_VALUE"""),35.11713241893153)</f>
        <v>35.11713242</v>
      </c>
      <c r="H148" s="31">
        <f>IFERROR(__xludf.DUMMYFUNCTION("""COMPUTED_VALUE"""),-3.625598052881925)</f>
        <v>-3.625598053</v>
      </c>
      <c r="I148" s="54">
        <f>IFERROR(__xludf.DUMMYFUNCTION("""COMPUTED_VALUE"""),34.0)</f>
        <v>34</v>
      </c>
      <c r="J148" s="55">
        <f>IFERROR(__xludf.DUMMYFUNCTION("""COMPUTED_VALUE"""),10.0)</f>
        <v>10</v>
      </c>
      <c r="K148" s="54">
        <f>IFERROR(__xludf.DUMMYFUNCTION("""COMPUTED_VALUE"""),24.0)</f>
        <v>24</v>
      </c>
      <c r="L148" s="56">
        <f>IFERROR(__xludf.DUMMYFUNCTION("""COMPUTED_VALUE"""),0.29411764705882354)</f>
        <v>0.2941176471</v>
      </c>
      <c r="M148" s="56">
        <f>IFERROR(__xludf.DUMMYFUNCTION("""COMPUTED_VALUE"""),0.26582278481012656)</f>
        <v>0.2658227848</v>
      </c>
      <c r="N148" s="31">
        <f>IFERROR(__xludf.DUMMYFUNCTION("""COMPUTED_VALUE"""),282.44117647058823)</f>
        <v>282.4411765</v>
      </c>
      <c r="O148" s="57">
        <f>IFERROR(__xludf.DUMMYFUNCTION("""COMPUTED_VALUE"""),0.6176470588235294)</f>
        <v>0.6176470588</v>
      </c>
      <c r="P148" s="57">
        <f>IFERROR(__xludf.DUMMYFUNCTION("""COMPUTED_VALUE"""),0.17647058823529413)</f>
        <v>0.1764705882</v>
      </c>
      <c r="Q148" s="57">
        <f>IFERROR(__xludf.DUMMYFUNCTION("""COMPUTED_VALUE"""),1.088235294117647)</f>
        <v>1.088235294</v>
      </c>
      <c r="R148" s="57">
        <f>IFERROR(__xludf.DUMMYFUNCTION("""COMPUTED_VALUE"""),2.323529411764706)</f>
        <v>2.323529412</v>
      </c>
      <c r="S148" s="31">
        <f>IFERROR(__xludf.DUMMYFUNCTION("""COMPUTED_VALUE"""),356.12745098039215)</f>
        <v>356.127451</v>
      </c>
      <c r="T148" s="57">
        <f>IFERROR(__xludf.DUMMYFUNCTION("""COMPUTED_VALUE"""),0.8921568627450979)</f>
        <v>0.8921568627</v>
      </c>
      <c r="U148" s="57">
        <f>IFERROR(__xludf.DUMMYFUNCTION("""COMPUTED_VALUE"""),0.6862745098039217)</f>
        <v>0.6862745098</v>
      </c>
      <c r="V148" s="57">
        <f>IFERROR(__xludf.DUMMYFUNCTION("""COMPUTED_VALUE"""),1.2450980392156865)</f>
        <v>1.245098039</v>
      </c>
      <c r="W148" s="57">
        <f>IFERROR(__xludf.DUMMYFUNCTION("""COMPUTED_VALUE"""),2.4313725490196076)</f>
        <v>2.431372549</v>
      </c>
      <c r="X148" s="31">
        <f>IFERROR(__xludf.DUMMYFUNCTION("""COMPUTED_VALUE"""),340.52049987671194)</f>
        <v>340.5204999</v>
      </c>
      <c r="Y148" s="57">
        <f>IFERROR(__xludf.DUMMYFUNCTION("""COMPUTED_VALUE"""),0.8047988943914831)</f>
        <v>0.8047988944</v>
      </c>
      <c r="Z148" s="57">
        <f>IFERROR(__xludf.DUMMYFUNCTION("""COMPUTED_VALUE"""),0.580541942107314)</f>
        <v>0.5805419421</v>
      </c>
      <c r="AA148" s="57">
        <f>IFERROR(__xludf.DUMMYFUNCTION("""COMPUTED_VALUE"""),1.21772442850344)</f>
        <v>1.217724429</v>
      </c>
      <c r="AB148" s="57">
        <f>IFERROR(__xludf.DUMMYFUNCTION("""COMPUTED_VALUE"""),2.52025732604071)</f>
        <v>2.520257326</v>
      </c>
      <c r="AC148" s="31">
        <f>IFERROR(__xludf.DUMMYFUNCTION("""COMPUTED_VALUE"""),331.90384725927)</f>
        <v>331.9038473</v>
      </c>
      <c r="AD148" s="57">
        <f>IFERROR(__xludf.DUMMYFUNCTION("""COMPUTED_VALUE"""),0.7549947346073838)</f>
        <v>0.7549947346</v>
      </c>
      <c r="AE148" s="57">
        <f>IFERROR(__xludf.DUMMYFUNCTION("""COMPUTED_VALUE"""),0.5211224759263975)</f>
        <v>0.5211224759</v>
      </c>
      <c r="AF148" s="57">
        <f>IFERROR(__xludf.DUMMYFUNCTION("""COMPUTED_VALUE"""),1.2234226631807898)</f>
        <v>1.223422663</v>
      </c>
      <c r="AG148" s="57">
        <f>IFERROR(__xludf.DUMMYFUNCTION("""COMPUTED_VALUE"""),2.413657408324595)</f>
        <v>2.413657408</v>
      </c>
      <c r="AH148" s="57">
        <f>IFERROR(__xludf.DUMMYFUNCTION("""COMPUTED_VALUE"""),0.8509728911034783)</f>
        <v>0.8509728911</v>
      </c>
      <c r="AI148" s="57">
        <f>IFERROR(__xludf.DUMMYFUNCTION("""COMPUTED_VALUE"""),0.8180812799240533)</f>
        <v>0.8180812799</v>
      </c>
      <c r="AJ148" s="57">
        <f>IFERROR(__xludf.DUMMYFUNCTION("""COMPUTED_VALUE"""),0.33863553461512674)</f>
        <v>0.3386355346</v>
      </c>
      <c r="AK148" s="57">
        <f>IFERROR(__xludf.DUMMYFUNCTION("""COMPUTED_VALUE"""),0.8895006826899318)</f>
        <v>0.8895006827</v>
      </c>
      <c r="AL148" s="57">
        <f>IFERROR(__xludf.DUMMYFUNCTION("""COMPUTED_VALUE"""),0.9626591593947668)</f>
        <v>0.9626591594</v>
      </c>
      <c r="AM148" s="57">
        <f>IFERROR(__xludf.DUMMYFUNCTION("""COMPUTED_VALUE"""),1.045832633011319)</f>
        <v>1.045832633</v>
      </c>
      <c r="AN148" s="57">
        <f>IFERROR(__xludf.DUMMYFUNCTION("""COMPUTED_VALUE"""),1.108546332459449)</f>
        <v>1.108546332</v>
      </c>
      <c r="AO148" s="57">
        <f>IFERROR(__xludf.DUMMYFUNCTION("""COMPUTED_VALUE"""),1.1821273538184134)</f>
        <v>1.182127354</v>
      </c>
      <c r="AP148" s="35">
        <f>IFERROR(__xludf.DUMMYFUNCTION("""COMPUTED_VALUE"""),1.0224793147542321)</f>
        <v>1.022479315</v>
      </c>
      <c r="AQ148" s="57">
        <f>IFERROR(__xludf.DUMMYFUNCTION("""COMPUTED_VALUE"""),0.9647318644399145)</f>
        <v>0.9647318644</v>
      </c>
      <c r="AR148" s="36" t="b">
        <f>IFERROR(__xludf.DUMMYFUNCTION("""COMPUTED_VALUE"""),TRUE)</f>
        <v>1</v>
      </c>
      <c r="AS148" s="57"/>
      <c r="AT148" s="37"/>
      <c r="AU148" s="30"/>
      <c r="AV148" s="30"/>
      <c r="AW148" s="30"/>
      <c r="AX148" s="30"/>
      <c r="AY148" s="30"/>
      <c r="AZ148" s="30"/>
    </row>
    <row r="149">
      <c r="A149" s="30" t="str">
        <f>IFERROR(__xludf.DUMMYFUNCTION("""COMPUTED_VALUE"""),"Challenger")</f>
        <v>Challenger</v>
      </c>
      <c r="B149" s="30" t="str">
        <f>IFERROR(__xludf.DUMMYFUNCTION("""COMPUTED_VALUE"""),"RSC005844")</f>
        <v>RSC005844</v>
      </c>
      <c r="C149" s="30" t="str">
        <f>IFERROR(__xludf.DUMMYFUNCTION("""COMPUTED_VALUE"""),"xr.")</f>
        <v>xr.</v>
      </c>
      <c r="D149" s="31" t="str">
        <f>IFERROR(__xludf.DUMMYFUNCTION("""COMPUTED_VALUE"""),"Bingo")</f>
        <v>Bingo</v>
      </c>
      <c r="E149" s="31">
        <f>IFERROR(__xludf.DUMMYFUNCTION("""COMPUTED_VALUE"""),22.61796601155775)</f>
        <v>22.61796601</v>
      </c>
      <c r="F149" s="31">
        <f>IFERROR(__xludf.DUMMYFUNCTION("""COMPUTED_VALUE"""),-7.315465784440121)</f>
        <v>-7.315465784</v>
      </c>
      <c r="G149" s="31">
        <f>IFERROR(__xludf.DUMMYFUNCTION("""COMPUTED_VALUE"""),32.70535567923854)</f>
        <v>32.70535568</v>
      </c>
      <c r="H149" s="31">
        <f>IFERROR(__xludf.DUMMYFUNCTION("""COMPUTED_VALUE"""),-4.089378499139755)</f>
        <v>-4.089378499</v>
      </c>
      <c r="I149" s="54">
        <f>IFERROR(__xludf.DUMMYFUNCTION("""COMPUTED_VALUE"""),31.0)</f>
        <v>31</v>
      </c>
      <c r="J149" s="55">
        <f>IFERROR(__xludf.DUMMYFUNCTION("""COMPUTED_VALUE"""),13.0)</f>
        <v>13</v>
      </c>
      <c r="K149" s="54">
        <f>IFERROR(__xludf.DUMMYFUNCTION("""COMPUTED_VALUE"""),18.0)</f>
        <v>18</v>
      </c>
      <c r="L149" s="56">
        <f>IFERROR(__xludf.DUMMYFUNCTION("""COMPUTED_VALUE"""),0.41935483870967744)</f>
        <v>0.4193548387</v>
      </c>
      <c r="M149" s="56">
        <f>IFERROR(__xludf.DUMMYFUNCTION("""COMPUTED_VALUE"""),0.24074074074074076)</f>
        <v>0.2407407407</v>
      </c>
      <c r="N149" s="31">
        <f>IFERROR(__xludf.DUMMYFUNCTION("""COMPUTED_VALUE"""),300.83870967741933)</f>
        <v>300.8387097</v>
      </c>
      <c r="O149" s="57">
        <f>IFERROR(__xludf.DUMMYFUNCTION("""COMPUTED_VALUE"""),0.41935483870967744)</f>
        <v>0.4193548387</v>
      </c>
      <c r="P149" s="57">
        <f>IFERROR(__xludf.DUMMYFUNCTION("""COMPUTED_VALUE"""),0.45161290322580644)</f>
        <v>0.4516129032</v>
      </c>
      <c r="Q149" s="57">
        <f>IFERROR(__xludf.DUMMYFUNCTION("""COMPUTED_VALUE"""),1.4838709677419355)</f>
        <v>1.483870968</v>
      </c>
      <c r="R149" s="57">
        <f>IFERROR(__xludf.DUMMYFUNCTION("""COMPUTED_VALUE"""),1.7419354838709677)</f>
        <v>1.741935484</v>
      </c>
      <c r="S149" s="31">
        <f>IFERROR(__xludf.DUMMYFUNCTION("""COMPUTED_VALUE"""),341.6129032258064)</f>
        <v>341.6129032</v>
      </c>
      <c r="T149" s="57">
        <f>IFERROR(__xludf.DUMMYFUNCTION("""COMPUTED_VALUE"""),0.8924731182795699)</f>
        <v>0.8924731183</v>
      </c>
      <c r="U149" s="57">
        <f>IFERROR(__xludf.DUMMYFUNCTION("""COMPUTED_VALUE"""),0.6451612903225806)</f>
        <v>0.6451612903</v>
      </c>
      <c r="V149" s="57">
        <f>IFERROR(__xludf.DUMMYFUNCTION("""COMPUTED_VALUE"""),0.9354838709677418)</f>
        <v>0.935483871</v>
      </c>
      <c r="W149" s="57">
        <f>IFERROR(__xludf.DUMMYFUNCTION("""COMPUTED_VALUE"""),2.6236559139784945)</f>
        <v>2.623655914</v>
      </c>
      <c r="X149" s="31">
        <f>IFERROR(__xludf.DUMMYFUNCTION("""COMPUTED_VALUE"""),334.35927701451067)</f>
        <v>334.359277</v>
      </c>
      <c r="Y149" s="57">
        <f>IFERROR(__xludf.DUMMYFUNCTION("""COMPUTED_VALUE"""),0.814718777167054)</f>
        <v>0.8147187772</v>
      </c>
      <c r="Z149" s="57">
        <f>IFERROR(__xludf.DUMMYFUNCTION("""COMPUTED_VALUE"""),0.5495514293897309)</f>
        <v>0.5495514294</v>
      </c>
      <c r="AA149" s="57">
        <f>IFERROR(__xludf.DUMMYFUNCTION("""COMPUTED_VALUE"""),1.0987820328522415)</f>
        <v>1.098782033</v>
      </c>
      <c r="AB149" s="57">
        <f>IFERROR(__xludf.DUMMYFUNCTION("""COMPUTED_VALUE"""),2.6148172702005246)</f>
        <v>2.61481727</v>
      </c>
      <c r="AC149" s="31">
        <f>IFERROR(__xludf.DUMMYFUNCTION("""COMPUTED_VALUE"""),330.12435879922356)</f>
        <v>330.1243588</v>
      </c>
      <c r="AD149" s="57">
        <f>IFERROR(__xludf.DUMMYFUNCTION("""COMPUTED_VALUE"""),0.7232501422877562)</f>
        <v>0.7232501423</v>
      </c>
      <c r="AE149" s="57">
        <f>IFERROR(__xludf.DUMMYFUNCTION("""COMPUTED_VALUE"""),0.5047845151262242)</f>
        <v>0.5047845151</v>
      </c>
      <c r="AF149" s="57">
        <f>IFERROR(__xludf.DUMMYFUNCTION("""COMPUTED_VALUE"""),1.2941337850145826)</f>
        <v>1.294133785</v>
      </c>
      <c r="AG149" s="57">
        <f>IFERROR(__xludf.DUMMYFUNCTION("""COMPUTED_VALUE"""),2.253445212476425)</f>
        <v>2.253445212</v>
      </c>
      <c r="AH149" s="57">
        <f>IFERROR(__xludf.DUMMYFUNCTION("""COMPUTED_VALUE"""),0.9112890389902573)</f>
        <v>0.911289039</v>
      </c>
      <c r="AI149" s="57">
        <f>IFERROR(__xludf.DUMMYFUNCTION("""COMPUTED_VALUE"""),0.5798199187119284)</f>
        <v>0.5798199187</v>
      </c>
      <c r="AJ149" s="57">
        <f>IFERROR(__xludf.DUMMYFUNCTION("""COMPUTED_VALUE"""),0.894664732559948)</f>
        <v>0.8946647326</v>
      </c>
      <c r="AK149" s="57">
        <f>IFERROR(__xludf.DUMMYFUNCTION("""COMPUTED_VALUE"""),1.1466132674414453)</f>
        <v>1.146613267</v>
      </c>
      <c r="AL149" s="57">
        <f>IFERROR(__xludf.DUMMYFUNCTION("""COMPUTED_VALUE"""),0.7730099113244766)</f>
        <v>0.7730099113</v>
      </c>
      <c r="AM149" s="57">
        <f>IFERROR(__xludf.DUMMYFUNCTION("""COMPUTED_VALUE"""),1.0216941078353299)</f>
        <v>1.021694108</v>
      </c>
      <c r="AN149" s="57">
        <f>IFERROR(__xludf.DUMMYFUNCTION("""COMPUTED_VALUE"""),1.0954370309014896)</f>
        <v>1.095437031</v>
      </c>
      <c r="AO149" s="57">
        <f>IFERROR(__xludf.DUMMYFUNCTION("""COMPUTED_VALUE"""),1.173978004277094)</f>
        <v>1.173978004</v>
      </c>
      <c r="AP149" s="35">
        <f>IFERROR(__xludf.DUMMYFUNCTION("""COMPUTED_VALUE"""),0.851382569971037)</f>
        <v>0.85138257</v>
      </c>
      <c r="AQ149" s="57">
        <f>IFERROR(__xludf.DUMMYFUNCTION("""COMPUTED_VALUE"""),1.0033802147013096)</f>
        <v>1.003380215</v>
      </c>
      <c r="AR149" s="36" t="b">
        <f>IFERROR(__xludf.DUMMYFUNCTION("""COMPUTED_VALUE"""),TRUE)</f>
        <v>1</v>
      </c>
      <c r="AS149" s="57"/>
      <c r="AT149" s="37"/>
      <c r="AU149" s="30"/>
      <c r="AV149" s="30"/>
      <c r="AW149" s="30"/>
      <c r="AX149" s="30"/>
      <c r="AY149" s="30"/>
      <c r="AZ149" s="30"/>
    </row>
    <row r="150">
      <c r="A150" s="30" t="str">
        <f>IFERROR(__xludf.DUMMYFUNCTION("""COMPUTED_VALUE"""),"Challenger")</f>
        <v>Challenger</v>
      </c>
      <c r="B150" s="30" t="str">
        <f>IFERROR(__xludf.DUMMYFUNCTION("""COMPUTED_VALUE"""),"RSC006642")</f>
        <v>RSC006642</v>
      </c>
      <c r="C150" s="30" t="str">
        <f>IFERROR(__xludf.DUMMYFUNCTION("""COMPUTED_VALUE"""),"Zonekiller.")</f>
        <v>Zonekiller.</v>
      </c>
      <c r="D150" s="31" t="str">
        <f>IFERROR(__xludf.DUMMYFUNCTION("""COMPUTED_VALUE"""),"Pharaohs")</f>
        <v>Pharaohs</v>
      </c>
      <c r="E150" s="31">
        <f>IFERROR(__xludf.DUMMYFUNCTION("""COMPUTED_VALUE"""),19.815244800846816)</f>
        <v>19.8152448</v>
      </c>
      <c r="F150" s="31">
        <f>IFERROR(__xludf.DUMMYFUNCTION("""COMPUTED_VALUE"""),-8.79964466036497)</f>
        <v>-8.79964466</v>
      </c>
      <c r="G150" s="31">
        <f>IFERROR(__xludf.DUMMYFUNCTION("""COMPUTED_VALUE"""),31.602732069520467)</f>
        <v>31.60273207</v>
      </c>
      <c r="H150" s="31">
        <f>IFERROR(__xludf.DUMMYFUNCTION("""COMPUTED_VALUE"""),-4.330905362567506)</f>
        <v>-4.330905363</v>
      </c>
      <c r="I150" s="54">
        <f>IFERROR(__xludf.DUMMYFUNCTION("""COMPUTED_VALUE"""),25.0)</f>
        <v>25</v>
      </c>
      <c r="J150" s="55">
        <f>IFERROR(__xludf.DUMMYFUNCTION("""COMPUTED_VALUE"""),10.0)</f>
        <v>10</v>
      </c>
      <c r="K150" s="54">
        <f>IFERROR(__xludf.DUMMYFUNCTION("""COMPUTED_VALUE"""),15.0)</f>
        <v>15</v>
      </c>
      <c r="L150" s="56">
        <f>IFERROR(__xludf.DUMMYFUNCTION("""COMPUTED_VALUE"""),0.4)</f>
        <v>0.4</v>
      </c>
      <c r="M150" s="56">
        <f>IFERROR(__xludf.DUMMYFUNCTION("""COMPUTED_VALUE"""),0.326530612244898)</f>
        <v>0.3265306122</v>
      </c>
      <c r="N150" s="31">
        <f>IFERROR(__xludf.DUMMYFUNCTION("""COMPUTED_VALUE"""),310.68)</f>
        <v>310.68</v>
      </c>
      <c r="O150" s="57">
        <f>IFERROR(__xludf.DUMMYFUNCTION("""COMPUTED_VALUE"""),0.64)</f>
        <v>0.64</v>
      </c>
      <c r="P150" s="57">
        <f>IFERROR(__xludf.DUMMYFUNCTION("""COMPUTED_VALUE"""),0.2)</f>
        <v>0.2</v>
      </c>
      <c r="Q150" s="57">
        <f>IFERROR(__xludf.DUMMYFUNCTION("""COMPUTED_VALUE"""),1.4)</f>
        <v>1.4</v>
      </c>
      <c r="R150" s="57">
        <f>IFERROR(__xludf.DUMMYFUNCTION("""COMPUTED_VALUE"""),1.96)</f>
        <v>1.96</v>
      </c>
      <c r="S150" s="31">
        <f>IFERROR(__xludf.DUMMYFUNCTION("""COMPUTED_VALUE"""),338.13333333333327)</f>
        <v>338.1333333</v>
      </c>
      <c r="T150" s="57">
        <f>IFERROR(__xludf.DUMMYFUNCTION("""COMPUTED_VALUE"""),0.7866666666666667)</f>
        <v>0.7866666667</v>
      </c>
      <c r="U150" s="57">
        <f>IFERROR(__xludf.DUMMYFUNCTION("""COMPUTED_VALUE"""),0.5466666666666665)</f>
        <v>0.5466666667</v>
      </c>
      <c r="V150" s="57">
        <f>IFERROR(__xludf.DUMMYFUNCTION("""COMPUTED_VALUE"""),0.9466666666666665)</f>
        <v>0.9466666667</v>
      </c>
      <c r="W150" s="57">
        <f>IFERROR(__xludf.DUMMYFUNCTION("""COMPUTED_VALUE"""),2.8933333333333335)</f>
        <v>2.893333333</v>
      </c>
      <c r="X150" s="31">
        <f>IFERROR(__xludf.DUMMYFUNCTION("""COMPUTED_VALUE"""),319.4347818698567)</f>
        <v>319.4347819</v>
      </c>
      <c r="Y150" s="57">
        <f>IFERROR(__xludf.DUMMYFUNCTION("""COMPUTED_VALUE"""),0.6769402436764865)</f>
        <v>0.6769402437</v>
      </c>
      <c r="Z150" s="57">
        <f>IFERROR(__xludf.DUMMYFUNCTION("""COMPUTED_VALUE"""),0.47020192353035484)</f>
        <v>0.4702019235</v>
      </c>
      <c r="AA150" s="57">
        <f>IFERROR(__xludf.DUMMYFUNCTION("""COMPUTED_VALUE"""),1.1419777290844657)</f>
        <v>1.141977729</v>
      </c>
      <c r="AB150" s="57">
        <f>IFERROR(__xludf.DUMMYFUNCTION("""COMPUTED_VALUE"""),2.367190293191241)</f>
        <v>2.367190293</v>
      </c>
      <c r="AC150" s="31">
        <f>IFERROR(__xludf.DUMMYFUNCTION("""COMPUTED_VALUE"""),332.532670834298)</f>
        <v>332.5326708</v>
      </c>
      <c r="AD150" s="57">
        <f>IFERROR(__xludf.DUMMYFUNCTION("""COMPUTED_VALUE"""),0.7660648266040421)</f>
        <v>0.7660648266</v>
      </c>
      <c r="AE150" s="57">
        <f>IFERROR(__xludf.DUMMYFUNCTION("""COMPUTED_VALUE"""),0.5080385097016977)</f>
        <v>0.5080385097</v>
      </c>
      <c r="AF150" s="57">
        <f>IFERROR(__xludf.DUMMYFUNCTION("""COMPUTED_VALUE"""),1.2308292360823985)</f>
        <v>1.230829236</v>
      </c>
      <c r="AG150" s="57">
        <f>IFERROR(__xludf.DUMMYFUNCTION("""COMPUTED_VALUE"""),2.4043954913886925)</f>
        <v>2.404395491</v>
      </c>
      <c r="AH150" s="57">
        <f>IFERROR(__xludf.DUMMYFUNCTION("""COMPUTED_VALUE"""),0.9342841388201906)</f>
        <v>0.9342841388</v>
      </c>
      <c r="AI150" s="57">
        <f>IFERROR(__xludf.DUMMYFUNCTION("""COMPUTED_VALUE"""),0.8354384352002086)</f>
        <v>0.8354384352</v>
      </c>
      <c r="AJ150" s="57">
        <f>IFERROR(__xludf.DUMMYFUNCTION("""COMPUTED_VALUE"""),0.39367094458534835)</f>
        <v>0.3936709446</v>
      </c>
      <c r="AK150" s="57">
        <f>IFERROR(__xludf.DUMMYFUNCTION("""COMPUTED_VALUE"""),1.1374445446681576)</f>
        <v>1.137444545</v>
      </c>
      <c r="AL150" s="57">
        <f>IFERROR(__xludf.DUMMYFUNCTION("""COMPUTED_VALUE"""),0.815173712901938)</f>
        <v>0.8151737129</v>
      </c>
      <c r="AM150" s="57">
        <f>IFERROR(__xludf.DUMMYFUNCTION("""COMPUTED_VALUE"""),1.0585363664971672)</f>
        <v>1.058536366</v>
      </c>
      <c r="AN150" s="57">
        <f>IFERROR(__xludf.DUMMYFUNCTION("""COMPUTED_VALUE"""),1.1620917415018084)</f>
        <v>1.162091742</v>
      </c>
      <c r="AO150" s="57">
        <f>IFERROR(__xludf.DUMMYFUNCTION("""COMPUTED_VALUE"""),1.162621076839077)</f>
        <v>1.162621077</v>
      </c>
      <c r="AP150" s="35">
        <f>IFERROR(__xludf.DUMMYFUNCTION("""COMPUTED_VALUE"""),0.828971215949735)</f>
        <v>0.8289712159</v>
      </c>
      <c r="AQ150" s="57">
        <f>IFERROR(__xludf.DUMMYFUNCTION("""COMPUTED_VALUE"""),1.2222647843966916)</f>
        <v>1.222264784</v>
      </c>
      <c r="AR150" s="36" t="b">
        <f>IFERROR(__xludf.DUMMYFUNCTION("""COMPUTED_VALUE"""),TRUE)</f>
        <v>1</v>
      </c>
      <c r="AS150" s="57"/>
      <c r="AT150" s="37"/>
      <c r="AU150" s="30"/>
      <c r="AV150" s="30"/>
      <c r="AW150" s="30"/>
      <c r="AX150" s="30"/>
      <c r="AY150" s="30"/>
      <c r="AZ150" s="30"/>
    </row>
    <row r="151">
      <c r="A151" s="30" t="str">
        <f>IFERROR(__xludf.DUMMYFUNCTION("""COMPUTED_VALUE"""),"Challenger")</f>
        <v>Challenger</v>
      </c>
      <c r="B151" s="30" t="str">
        <f>IFERROR(__xludf.DUMMYFUNCTION("""COMPUTED_VALUE"""),"RSC006187")</f>
        <v>RSC006187</v>
      </c>
      <c r="C151" s="30" t="str">
        <f>IFERROR(__xludf.DUMMYFUNCTION("""COMPUTED_VALUE"""),"1985 Fiat Panda")</f>
        <v>1985 Fiat Panda</v>
      </c>
      <c r="D151" s="31" t="str">
        <f>IFERROR(__xludf.DUMMYFUNCTION("""COMPUTED_VALUE"""),"Quarter")</f>
        <v>Quarter</v>
      </c>
      <c r="E151" s="31">
        <f>IFERROR(__xludf.DUMMYFUNCTION("""COMPUTED_VALUE"""),19.239423230650626)</f>
        <v>19.23942323</v>
      </c>
      <c r="F151" s="31">
        <f>IFERROR(__xludf.DUMMYFUNCTION("""COMPUTED_VALUE"""),-9.151696388681462)</f>
        <v>-9.151696389</v>
      </c>
      <c r="G151" s="31">
        <f>IFERROR(__xludf.DUMMYFUNCTION("""COMPUTED_VALUE"""),31.884982358521597)</f>
        <v>31.88498236</v>
      </c>
      <c r="H151" s="31">
        <f>IFERROR(__xludf.DUMMYFUNCTION("""COMPUTED_VALUE"""),-4.2671489032611385)</f>
        <v>-4.267148903</v>
      </c>
      <c r="I151" s="54">
        <f>IFERROR(__xludf.DUMMYFUNCTION("""COMPUTED_VALUE"""),30.0)</f>
        <v>30</v>
      </c>
      <c r="J151" s="55">
        <f>IFERROR(__xludf.DUMMYFUNCTION("""COMPUTED_VALUE"""),8.0)</f>
        <v>8</v>
      </c>
      <c r="K151" s="54">
        <f>IFERROR(__xludf.DUMMYFUNCTION("""COMPUTED_VALUE"""),22.0)</f>
        <v>22</v>
      </c>
      <c r="L151" s="56">
        <f>IFERROR(__xludf.DUMMYFUNCTION("""COMPUTED_VALUE"""),0.26666666666666666)</f>
        <v>0.2666666667</v>
      </c>
      <c r="M151" s="56">
        <f>IFERROR(__xludf.DUMMYFUNCTION("""COMPUTED_VALUE"""),0.3877551020408163)</f>
        <v>0.387755102</v>
      </c>
      <c r="N151" s="31">
        <f>IFERROR(__xludf.DUMMYFUNCTION("""COMPUTED_VALUE"""),308.56666666666666)</f>
        <v>308.5666667</v>
      </c>
      <c r="O151" s="57">
        <f>IFERROR(__xludf.DUMMYFUNCTION("""COMPUTED_VALUE"""),0.6333333333333333)</f>
        <v>0.6333333333</v>
      </c>
      <c r="P151" s="57">
        <f>IFERROR(__xludf.DUMMYFUNCTION("""COMPUTED_VALUE"""),0.26666666666666666)</f>
        <v>0.2666666667</v>
      </c>
      <c r="Q151" s="57">
        <f>IFERROR(__xludf.DUMMYFUNCTION("""COMPUTED_VALUE"""),1.2333333333333334)</f>
        <v>1.233333333</v>
      </c>
      <c r="R151" s="57">
        <f>IFERROR(__xludf.DUMMYFUNCTION("""COMPUTED_VALUE"""),1.6333333333333333)</f>
        <v>1.633333333</v>
      </c>
      <c r="S151" s="31">
        <f>IFERROR(__xludf.DUMMYFUNCTION("""COMPUTED_VALUE"""),353.5444444444445)</f>
        <v>353.5444444</v>
      </c>
      <c r="T151" s="57">
        <f>IFERROR(__xludf.DUMMYFUNCTION("""COMPUTED_VALUE"""),0.9444444444444445)</f>
        <v>0.9444444444</v>
      </c>
      <c r="U151" s="57">
        <f>IFERROR(__xludf.DUMMYFUNCTION("""COMPUTED_VALUE"""),0.6555555555555556)</f>
        <v>0.6555555556</v>
      </c>
      <c r="V151" s="57">
        <f>IFERROR(__xludf.DUMMYFUNCTION("""COMPUTED_VALUE"""),0.9777777777777779)</f>
        <v>0.9777777778</v>
      </c>
      <c r="W151" s="57">
        <f>IFERROR(__xludf.DUMMYFUNCTION("""COMPUTED_VALUE"""),2.811111111111111)</f>
        <v>2.811111111</v>
      </c>
      <c r="X151" s="31">
        <f>IFERROR(__xludf.DUMMYFUNCTION("""COMPUTED_VALUE"""),340.1815202069933)</f>
        <v>340.1815202</v>
      </c>
      <c r="Y151" s="57">
        <f>IFERROR(__xludf.DUMMYFUNCTION("""COMPUTED_VALUE"""),0.825227587592223)</f>
        <v>0.8252275876</v>
      </c>
      <c r="Z151" s="57">
        <f>IFERROR(__xludf.DUMMYFUNCTION("""COMPUTED_VALUE"""),0.5772581375674284)</f>
        <v>0.5772581376</v>
      </c>
      <c r="AA151" s="57">
        <f>IFERROR(__xludf.DUMMYFUNCTION("""COMPUTED_VALUE"""),1.1449664365348553)</f>
        <v>1.144966437</v>
      </c>
      <c r="AB151" s="57">
        <f>IFERROR(__xludf.DUMMYFUNCTION("""COMPUTED_VALUE"""),2.499536593127211)</f>
        <v>2.499536593</v>
      </c>
      <c r="AC151" s="31">
        <f>IFERROR(__xludf.DUMMYFUNCTION("""COMPUTED_VALUE"""),332.4924384587555)</f>
        <v>332.4924385</v>
      </c>
      <c r="AD151" s="57">
        <f>IFERROR(__xludf.DUMMYFUNCTION("""COMPUTED_VALUE"""),0.7707032430626417)</f>
        <v>0.7707032431</v>
      </c>
      <c r="AE151" s="57">
        <f>IFERROR(__xludf.DUMMYFUNCTION("""COMPUTED_VALUE"""),0.5132441198761218)</f>
        <v>0.5132441199</v>
      </c>
      <c r="AF151" s="57">
        <f>IFERROR(__xludf.DUMMYFUNCTION("""COMPUTED_VALUE"""),1.2025671710711654)</f>
        <v>1.202567171</v>
      </c>
      <c r="AG151" s="57">
        <f>IFERROR(__xludf.DUMMYFUNCTION("""COMPUTED_VALUE"""),2.343852972153615)</f>
        <v>2.343852972</v>
      </c>
      <c r="AH151" s="57">
        <f>IFERROR(__xludf.DUMMYFUNCTION("""COMPUTED_VALUE"""),0.9280411551522946)</f>
        <v>0.9280411552</v>
      </c>
      <c r="AI151" s="57">
        <f>IFERROR(__xludf.DUMMYFUNCTION("""COMPUTED_VALUE"""),0.8217603066214901)</f>
        <v>0.8217603066</v>
      </c>
      <c r="AJ151" s="57">
        <f>IFERROR(__xludf.DUMMYFUNCTION("""COMPUTED_VALUE"""),0.5195708169652876)</f>
        <v>0.519570817</v>
      </c>
      <c r="AK151" s="57">
        <f>IFERROR(__xludf.DUMMYFUNCTION("""COMPUTED_VALUE"""),1.0255837370271497)</f>
        <v>1.025583737</v>
      </c>
      <c r="AL151" s="57">
        <f>IFERROR(__xludf.DUMMYFUNCTION("""COMPUTED_VALUE"""),0.6968582725701301)</f>
        <v>0.6968582726</v>
      </c>
      <c r="AM151" s="57">
        <f>IFERROR(__xludf.DUMMYFUNCTION("""COMPUTED_VALUE"""),1.039281746490286)</f>
        <v>1.039281746</v>
      </c>
      <c r="AN151" s="57">
        <f>IFERROR(__xludf.DUMMYFUNCTION("""COMPUTED_VALUE"""),1.1444654282584783)</f>
        <v>1.144465428</v>
      </c>
      <c r="AO151" s="57">
        <f>IFERROR(__xludf.DUMMYFUNCTION("""COMPUTED_VALUE"""),1.1356367505152432)</f>
        <v>1.135636751</v>
      </c>
      <c r="AP151" s="35">
        <f>IFERROR(__xludf.DUMMYFUNCTION("""COMPUTED_VALUE"""),0.8539794238309204)</f>
        <v>0.8539794238</v>
      </c>
      <c r="AQ151" s="57">
        <f>IFERROR(__xludf.DUMMYFUNCTION("""COMPUTED_VALUE"""),1.124652913200236)</f>
        <v>1.124652913</v>
      </c>
      <c r="AR151" s="36" t="b">
        <f>IFERROR(__xludf.DUMMYFUNCTION("""COMPUTED_VALUE"""),TRUE)</f>
        <v>1</v>
      </c>
      <c r="AS151" s="57"/>
      <c r="AT151" s="37"/>
      <c r="AU151" s="30"/>
      <c r="AV151" s="30"/>
      <c r="AW151" s="30"/>
      <c r="AX151" s="30"/>
      <c r="AY151" s="30"/>
      <c r="AZ151" s="30"/>
    </row>
    <row r="152">
      <c r="A152" s="30" t="str">
        <f>IFERROR(__xludf.DUMMYFUNCTION("""COMPUTED_VALUE"""),"Challenger")</f>
        <v>Challenger</v>
      </c>
      <c r="B152" s="30" t="str">
        <f>IFERROR(__xludf.DUMMYFUNCTION("""COMPUTED_VALUE"""),"RSC007967")</f>
        <v>RSC007967</v>
      </c>
      <c r="C152" s="30" t="str">
        <f>IFERROR(__xludf.DUMMYFUNCTION("""COMPUTED_VALUE"""),"davisino1605")</f>
        <v>davisino1605</v>
      </c>
      <c r="D152" s="31" t="str">
        <f>IFERROR(__xludf.DUMMYFUNCTION("""COMPUTED_VALUE"""),"Threshers")</f>
        <v>Threshers</v>
      </c>
      <c r="E152" s="31">
        <f>IFERROR(__xludf.DUMMYFUNCTION("""COMPUTED_VALUE"""),17.836808258768514)</f>
        <v>17.83680826</v>
      </c>
      <c r="F152" s="31">
        <f>IFERROR(__xludf.DUMMYFUNCTION("""COMPUTED_VALUE"""),-10.087816024675515)</f>
        <v>-10.08781602</v>
      </c>
      <c r="G152" s="31">
        <f>IFERROR(__xludf.DUMMYFUNCTION("""COMPUTED_VALUE"""),-5.765118569657076)</f>
        <v>-5.76511857</v>
      </c>
      <c r="H152" s="31">
        <f>IFERROR(__xludf.DUMMYFUNCTION("""COMPUTED_VALUE"""),-77.79884544887936)</f>
        <v>-77.79884545</v>
      </c>
      <c r="I152" s="54">
        <f>IFERROR(__xludf.DUMMYFUNCTION("""COMPUTED_VALUE"""),5.0)</f>
        <v>5</v>
      </c>
      <c r="J152" s="55">
        <f>IFERROR(__xludf.DUMMYFUNCTION("""COMPUTED_VALUE"""),1.0)</f>
        <v>1</v>
      </c>
      <c r="K152" s="54">
        <f>IFERROR(__xludf.DUMMYFUNCTION("""COMPUTED_VALUE"""),4.0)</f>
        <v>4</v>
      </c>
      <c r="L152" s="56">
        <f>IFERROR(__xludf.DUMMYFUNCTION("""COMPUTED_VALUE"""),0.2)</f>
        <v>0.2</v>
      </c>
      <c r="M152" s="56">
        <f>IFERROR(__xludf.DUMMYFUNCTION("""COMPUTED_VALUE"""),0.5714285714285715)</f>
        <v>0.5714285714</v>
      </c>
      <c r="N152" s="31">
        <f>IFERROR(__xludf.DUMMYFUNCTION("""COMPUTED_VALUE"""),246.0)</f>
        <v>246</v>
      </c>
      <c r="O152" s="57">
        <f>IFERROR(__xludf.DUMMYFUNCTION("""COMPUTED_VALUE"""),0.8)</f>
        <v>0.8</v>
      </c>
      <c r="P152" s="57">
        <f>IFERROR(__xludf.DUMMYFUNCTION("""COMPUTED_VALUE"""),0.4)</f>
        <v>0.4</v>
      </c>
      <c r="Q152" s="57">
        <f>IFERROR(__xludf.DUMMYFUNCTION("""COMPUTED_VALUE"""),0.8)</f>
        <v>0.8</v>
      </c>
      <c r="R152" s="57">
        <f>IFERROR(__xludf.DUMMYFUNCTION("""COMPUTED_VALUE"""),1.4)</f>
        <v>1.4</v>
      </c>
      <c r="S152" s="31">
        <f>IFERROR(__xludf.DUMMYFUNCTION("""COMPUTED_VALUE"""),435.9333333333333)</f>
        <v>435.9333333</v>
      </c>
      <c r="T152" s="57">
        <f>IFERROR(__xludf.DUMMYFUNCTION("""COMPUTED_VALUE"""),1.3333333333333333)</f>
        <v>1.333333333</v>
      </c>
      <c r="U152" s="57">
        <f>IFERROR(__xludf.DUMMYFUNCTION("""COMPUTED_VALUE"""),1.0666666666666669)</f>
        <v>1.066666667</v>
      </c>
      <c r="V152" s="57">
        <f>IFERROR(__xludf.DUMMYFUNCTION("""COMPUTED_VALUE"""),1.4)</f>
        <v>1.4</v>
      </c>
      <c r="W152" s="57">
        <f>IFERROR(__xludf.DUMMYFUNCTION("""COMPUTED_VALUE"""),3.2666666666666666)</f>
        <v>3.266666667</v>
      </c>
      <c r="X152" s="31">
        <f>IFERROR(__xludf.DUMMYFUNCTION("""COMPUTED_VALUE"""),376.6360833333333)</f>
        <v>376.6360833</v>
      </c>
      <c r="Y152" s="57">
        <f>IFERROR(__xludf.DUMMYFUNCTION("""COMPUTED_VALUE"""),0.9635)</f>
        <v>0.9635</v>
      </c>
      <c r="Z152" s="57">
        <f>IFERROR(__xludf.DUMMYFUNCTION("""COMPUTED_VALUE"""),0.744)</f>
        <v>0.744</v>
      </c>
      <c r="AA152" s="57">
        <f>IFERROR(__xludf.DUMMYFUNCTION("""COMPUTED_VALUE"""),1.3054999999999999)</f>
        <v>1.3055</v>
      </c>
      <c r="AB152" s="57">
        <f>IFERROR(__xludf.DUMMYFUNCTION("""COMPUTED_VALUE"""),2.7735833333333333)</f>
        <v>2.773583333</v>
      </c>
      <c r="AC152" s="31">
        <f>IFERROR(__xludf.DUMMYFUNCTION("""COMPUTED_VALUE"""),337.2808611111111)</f>
        <v>337.2808611</v>
      </c>
      <c r="AD152" s="57">
        <f>IFERROR(__xludf.DUMMYFUNCTION("""COMPUTED_VALUE"""),0.6737777777777778)</f>
        <v>0.6737777778</v>
      </c>
      <c r="AE152" s="57">
        <f>IFERROR(__xludf.DUMMYFUNCTION("""COMPUTED_VALUE"""),0.5325555555555556)</f>
        <v>0.5325555556</v>
      </c>
      <c r="AF152" s="57">
        <f>IFERROR(__xludf.DUMMYFUNCTION("""COMPUTED_VALUE"""),1.3628055555555556)</f>
        <v>1.362805556</v>
      </c>
      <c r="AG152" s="57">
        <f>IFERROR(__xludf.DUMMYFUNCTION("""COMPUTED_VALUE"""),2.2994166666666667)</f>
        <v>2.299416667</v>
      </c>
      <c r="AH152" s="57">
        <f>IFERROR(__xludf.DUMMYFUNCTION("""COMPUTED_VALUE"""),0.7293624642370672)</f>
        <v>0.7293624642</v>
      </c>
      <c r="AI152" s="57">
        <f>IFERROR(__xludf.DUMMYFUNCTION("""COMPUTED_VALUE"""),1.187335092348285)</f>
        <v>1.187335092</v>
      </c>
      <c r="AJ152" s="57">
        <f>IFERROR(__xludf.DUMMYFUNCTION("""COMPUTED_VALUE"""),0.7510953473815982)</f>
        <v>0.7510953474</v>
      </c>
      <c r="AK152" s="57">
        <f>IFERROR(__xludf.DUMMYFUNCTION("""COMPUTED_VALUE"""),0.5870243166670064)</f>
        <v>0.5870243167</v>
      </c>
      <c r="AL152" s="57">
        <f>IFERROR(__xludf.DUMMYFUNCTION("""COMPUTED_VALUE"""),0.6088500706700974)</f>
        <v>0.6088500707</v>
      </c>
      <c r="AM152" s="57">
        <f>IFERROR(__xludf.DUMMYFUNCTION("""COMPUTED_VALUE"""),1.1574391106534534)</f>
        <v>1.157439111</v>
      </c>
      <c r="AN152" s="57">
        <f>IFERROR(__xludf.DUMMYFUNCTION("""COMPUTED_VALUE"""),1.383843625670299)</f>
        <v>1.383843626</v>
      </c>
      <c r="AO152" s="57">
        <f>IFERROR(__xludf.DUMMYFUNCTION("""COMPUTED_VALUE"""),1.4336917562724016)</f>
        <v>1.433691756</v>
      </c>
      <c r="AP152" s="35">
        <f>IFERROR(__xludf.DUMMYFUNCTION("""COMPUTED_VALUE"""),1.0723860589812333)</f>
        <v>1.072386059</v>
      </c>
      <c r="AQ152" s="57">
        <f>IFERROR(__xludf.DUMMYFUNCTION("""COMPUTED_VALUE"""),1.1777784454526334)</f>
        <v>1.177778445</v>
      </c>
      <c r="AR152" s="36" t="b">
        <f>IFERROR(__xludf.DUMMYFUNCTION("""COMPUTED_VALUE"""),TRUE)</f>
        <v>1</v>
      </c>
      <c r="AS152" s="57"/>
      <c r="AT152" s="37"/>
      <c r="AU152" s="30"/>
      <c r="AV152" s="30"/>
      <c r="AW152" s="30"/>
      <c r="AX152" s="30"/>
      <c r="AY152" s="30"/>
      <c r="AZ152" s="30"/>
    </row>
    <row r="153">
      <c r="A153" s="30" t="str">
        <f>IFERROR(__xludf.DUMMYFUNCTION("""COMPUTED_VALUE"""),"Challenger")</f>
        <v>Challenger</v>
      </c>
      <c r="B153" s="30" t="str">
        <f>IFERROR(__xludf.DUMMYFUNCTION("""COMPUTED_VALUE"""),"RSC007568")</f>
        <v>RSC007568</v>
      </c>
      <c r="C153" s="30" t="str">
        <f>IFERROR(__xludf.DUMMYFUNCTION("""COMPUTED_VALUE"""),"Chills1912")</f>
        <v>Chills1912</v>
      </c>
      <c r="D153" s="31" t="str">
        <f>IFERROR(__xludf.DUMMYFUNCTION("""COMPUTED_VALUE"""),"Threshers")</f>
        <v>Threshers</v>
      </c>
      <c r="E153" s="31">
        <f>IFERROR(__xludf.DUMMYFUNCTION("""COMPUTED_VALUE"""),14.372152826468685)</f>
        <v>14.37215283</v>
      </c>
      <c r="F153" s="31">
        <f>IFERROR(__xludf.DUMMYFUNCTION("""COMPUTED_VALUE"""),-12.976540493164972)</f>
        <v>-12.97654049</v>
      </c>
      <c r="G153" s="31">
        <f>IFERROR(__xludf.DUMMYFUNCTION("""COMPUTED_VALUE"""),10.547720577309562)</f>
        <v>10.54772058</v>
      </c>
      <c r="H153" s="31">
        <f>IFERROR(__xludf.DUMMYFUNCTION("""COMPUTED_VALUE"""),-17.46043783109401)</f>
        <v>-17.46043783</v>
      </c>
      <c r="I153" s="54">
        <f>IFERROR(__xludf.DUMMYFUNCTION("""COMPUTED_VALUE"""),11.0)</f>
        <v>11</v>
      </c>
      <c r="J153" s="55">
        <f>IFERROR(__xludf.DUMMYFUNCTION("""COMPUTED_VALUE"""),4.0)</f>
        <v>4</v>
      </c>
      <c r="K153" s="54">
        <f>IFERROR(__xludf.DUMMYFUNCTION("""COMPUTED_VALUE"""),7.0)</f>
        <v>7</v>
      </c>
      <c r="L153" s="56">
        <f>IFERROR(__xludf.DUMMYFUNCTION("""COMPUTED_VALUE"""),0.36363636363636365)</f>
        <v>0.3636363636</v>
      </c>
      <c r="M153" s="56">
        <f>IFERROR(__xludf.DUMMYFUNCTION("""COMPUTED_VALUE"""),0.3157894736842105)</f>
        <v>0.3157894737</v>
      </c>
      <c r="N153" s="31">
        <f>IFERROR(__xludf.DUMMYFUNCTION("""COMPUTED_VALUE"""),300.3636363636364)</f>
        <v>300.3636364</v>
      </c>
      <c r="O153" s="57">
        <f>IFERROR(__xludf.DUMMYFUNCTION("""COMPUTED_VALUE"""),0.5454545454545454)</f>
        <v>0.5454545455</v>
      </c>
      <c r="P153" s="57">
        <f>IFERROR(__xludf.DUMMYFUNCTION("""COMPUTED_VALUE"""),0.09090909090909091)</f>
        <v>0.09090909091</v>
      </c>
      <c r="Q153" s="57">
        <f>IFERROR(__xludf.DUMMYFUNCTION("""COMPUTED_VALUE"""),2.1818181818181817)</f>
        <v>2.181818182</v>
      </c>
      <c r="R153" s="57">
        <f>IFERROR(__xludf.DUMMYFUNCTION("""COMPUTED_VALUE"""),1.7272727272727273)</f>
        <v>1.727272727</v>
      </c>
      <c r="S153" s="31">
        <f>IFERROR(__xludf.DUMMYFUNCTION("""COMPUTED_VALUE"""),333.45454545454544)</f>
        <v>333.4545455</v>
      </c>
      <c r="T153" s="57">
        <f>IFERROR(__xludf.DUMMYFUNCTION("""COMPUTED_VALUE"""),0.7272727272727273)</f>
        <v>0.7272727273</v>
      </c>
      <c r="U153" s="57">
        <f>IFERROR(__xludf.DUMMYFUNCTION("""COMPUTED_VALUE"""),0.6363636363636362)</f>
        <v>0.6363636364</v>
      </c>
      <c r="V153" s="57">
        <f>IFERROR(__xludf.DUMMYFUNCTION("""COMPUTED_VALUE"""),1.0909090909090908)</f>
        <v>1.090909091</v>
      </c>
      <c r="W153" s="57">
        <f>IFERROR(__xludf.DUMMYFUNCTION("""COMPUTED_VALUE"""),3.303030303030303)</f>
        <v>3.303030303</v>
      </c>
      <c r="X153" s="31">
        <f>IFERROR(__xludf.DUMMYFUNCTION("""COMPUTED_VALUE"""),349.8643082221181)</f>
        <v>349.8643082</v>
      </c>
      <c r="Y153" s="57">
        <f>IFERROR(__xludf.DUMMYFUNCTION("""COMPUTED_VALUE"""),0.8205014692281246)</f>
        <v>0.8205014692</v>
      </c>
      <c r="Z153" s="57">
        <f>IFERROR(__xludf.DUMMYFUNCTION("""COMPUTED_VALUE"""),0.5617384533343786)</f>
        <v>0.5617384533</v>
      </c>
      <c r="AA153" s="57">
        <f>IFERROR(__xludf.DUMMYFUNCTION("""COMPUTED_VALUE"""),1.252560119877607)</f>
        <v>1.25256012</v>
      </c>
      <c r="AB153" s="57">
        <f>IFERROR(__xludf.DUMMYFUNCTION("""COMPUTED_VALUE"""),2.73032095553318)</f>
        <v>2.730320956</v>
      </c>
      <c r="AC153" s="31">
        <f>IFERROR(__xludf.DUMMYFUNCTION("""COMPUTED_VALUE"""),319.84451558732826)</f>
        <v>319.8445156</v>
      </c>
      <c r="AD153" s="57">
        <f>IFERROR(__xludf.DUMMYFUNCTION("""COMPUTED_VALUE"""),0.6340514010293298)</f>
        <v>0.634051401</v>
      </c>
      <c r="AE153" s="57">
        <f>IFERROR(__xludf.DUMMYFUNCTION("""COMPUTED_VALUE"""),0.45090021592568275)</f>
        <v>0.4509002159</v>
      </c>
      <c r="AF153" s="57">
        <f>IFERROR(__xludf.DUMMYFUNCTION("""COMPUTED_VALUE"""),1.2868824650375303)</f>
        <v>1.286882465</v>
      </c>
      <c r="AG153" s="57">
        <f>IFERROR(__xludf.DUMMYFUNCTION("""COMPUTED_VALUE"""),2.2860457396676983)</f>
        <v>2.28604574</v>
      </c>
      <c r="AH153" s="57">
        <f>IFERROR(__xludf.DUMMYFUNCTION("""COMPUTED_VALUE"""),0.9390926582313932)</f>
        <v>0.9390926582</v>
      </c>
      <c r="AI153" s="57">
        <f>IFERROR(__xludf.DUMMYFUNCTION("""COMPUTED_VALUE"""),0.86026865419593)</f>
        <v>0.8602686542</v>
      </c>
      <c r="AJ153" s="57">
        <f>IFERROR(__xludf.DUMMYFUNCTION("""COMPUTED_VALUE"""),0.20161687153433194)</f>
        <v>0.2016168715</v>
      </c>
      <c r="AK153" s="57">
        <f>IFERROR(__xludf.DUMMYFUNCTION("""COMPUTED_VALUE"""),1.6954292572123528)</f>
        <v>1.695429257</v>
      </c>
      <c r="AL153" s="57">
        <f>IFERROR(__xludf.DUMMYFUNCTION("""COMPUTED_VALUE"""),0.7555722518149638)</f>
        <v>0.7555722518</v>
      </c>
      <c r="AM153" s="57">
        <f>IFERROR(__xludf.DUMMYFUNCTION("""COMPUTED_VALUE"""),0.9530967795744555)</f>
        <v>0.9530967796</v>
      </c>
      <c r="AN153" s="57">
        <f>IFERROR(__xludf.DUMMYFUNCTION("""COMPUTED_VALUE"""),0.8863758988230686)</f>
        <v>0.8863758988</v>
      </c>
      <c r="AO153" s="57">
        <f>IFERROR(__xludf.DUMMYFUNCTION("""COMPUTED_VALUE"""),1.1328468481840543)</f>
        <v>1.132846848</v>
      </c>
      <c r="AP153" s="35">
        <f>IFERROR(__xludf.DUMMYFUNCTION("""COMPUTED_VALUE"""),0.8709434969202821)</f>
        <v>0.8709434969</v>
      </c>
      <c r="AQ153" s="57">
        <f>IFERROR(__xludf.DUMMYFUNCTION("""COMPUTED_VALUE"""),1.2097589832200824)</f>
        <v>1.209758983</v>
      </c>
      <c r="AR153" s="36" t="b">
        <f>IFERROR(__xludf.DUMMYFUNCTION("""COMPUTED_VALUE"""),TRUE)</f>
        <v>1</v>
      </c>
      <c r="AS153" s="57"/>
      <c r="AT153" s="37"/>
      <c r="AU153" s="30"/>
      <c r="AV153" s="30"/>
      <c r="AW153" s="30"/>
      <c r="AX153" s="30"/>
      <c r="AY153" s="30"/>
      <c r="AZ153" s="30"/>
    </row>
    <row r="154">
      <c r="A154" s="30" t="str">
        <f>IFERROR(__xludf.DUMMYFUNCTION("""COMPUTED_VALUE"""),"Challenger")</f>
        <v>Challenger</v>
      </c>
      <c r="B154" s="30" t="str">
        <f>IFERROR(__xludf.DUMMYFUNCTION("""COMPUTED_VALUE"""),"RSC004902")</f>
        <v>RSC004902</v>
      </c>
      <c r="C154" s="30" t="str">
        <f>IFERROR(__xludf.DUMMYFUNCTION("""COMPUTED_VALUE"""),"cuse42")</f>
        <v>cuse42</v>
      </c>
      <c r="D154" s="31" t="str">
        <f>IFERROR(__xludf.DUMMYFUNCTION("""COMPUTED_VALUE"""),"Hydras")</f>
        <v>Hydras</v>
      </c>
      <c r="E154" s="31">
        <f>IFERROR(__xludf.DUMMYFUNCTION("""COMPUTED_VALUE"""),14.320395554223744)</f>
        <v>14.32039555</v>
      </c>
      <c r="F154" s="31">
        <f>IFERROR(__xludf.DUMMYFUNCTION("""COMPUTED_VALUE"""),-13.027040355912424)</f>
        <v>-13.02704036</v>
      </c>
      <c r="G154" s="31">
        <f>IFERROR(__xludf.DUMMYFUNCTION("""COMPUTED_VALUE"""),-4.844882670544813)</f>
        <v>-4.844882671</v>
      </c>
      <c r="H154" s="31">
        <f>IFERROR(__xludf.DUMMYFUNCTION("""COMPUTED_VALUE"""),-70.79613845290604)</f>
        <v>-70.79613845</v>
      </c>
      <c r="I154" s="54">
        <f>IFERROR(__xludf.DUMMYFUNCTION("""COMPUTED_VALUE"""),3.0)</f>
        <v>3</v>
      </c>
      <c r="J154" s="55">
        <f>IFERROR(__xludf.DUMMYFUNCTION("""COMPUTED_VALUE"""),0.0)</f>
        <v>0</v>
      </c>
      <c r="K154" s="54">
        <f>IFERROR(__xludf.DUMMYFUNCTION("""COMPUTED_VALUE"""),3.0)</f>
        <v>3</v>
      </c>
      <c r="L154" s="56">
        <f>IFERROR(__xludf.DUMMYFUNCTION("""COMPUTED_VALUE"""),0.0)</f>
        <v>0</v>
      </c>
      <c r="M154" s="56">
        <f>IFERROR(__xludf.DUMMYFUNCTION("""COMPUTED_VALUE"""),0.19999999999999998)</f>
        <v>0.2</v>
      </c>
      <c r="N154" s="31">
        <f>IFERROR(__xludf.DUMMYFUNCTION("""COMPUTED_VALUE"""),232.0)</f>
        <v>232</v>
      </c>
      <c r="O154" s="57">
        <f>IFERROR(__xludf.DUMMYFUNCTION("""COMPUTED_VALUE"""),0.3333333333333333)</f>
        <v>0.3333333333</v>
      </c>
      <c r="P154" s="57">
        <f>IFERROR(__xludf.DUMMYFUNCTION("""COMPUTED_VALUE"""),0.6666666666666666)</f>
        <v>0.6666666667</v>
      </c>
      <c r="Q154" s="57">
        <f>IFERROR(__xludf.DUMMYFUNCTION("""COMPUTED_VALUE"""),1.0)</f>
        <v>1</v>
      </c>
      <c r="R154" s="57">
        <f>IFERROR(__xludf.DUMMYFUNCTION("""COMPUTED_VALUE"""),1.6666666666666667)</f>
        <v>1.666666667</v>
      </c>
      <c r="S154" s="31">
        <f>IFERROR(__xludf.DUMMYFUNCTION("""COMPUTED_VALUE"""),457.5555555555555)</f>
        <v>457.5555556</v>
      </c>
      <c r="T154" s="57">
        <f>IFERROR(__xludf.DUMMYFUNCTION("""COMPUTED_VALUE"""),1.4444444444444446)</f>
        <v>1.444444444</v>
      </c>
      <c r="U154" s="57">
        <f>IFERROR(__xludf.DUMMYFUNCTION("""COMPUTED_VALUE"""),1.222222222222222)</f>
        <v>1.222222222</v>
      </c>
      <c r="V154" s="57">
        <f>IFERROR(__xludf.DUMMYFUNCTION("""COMPUTED_VALUE"""),1.1111111111111112)</f>
        <v>1.111111111</v>
      </c>
      <c r="W154" s="57">
        <f>IFERROR(__xludf.DUMMYFUNCTION("""COMPUTED_VALUE"""),4.0)</f>
        <v>4</v>
      </c>
      <c r="X154" s="31">
        <f>IFERROR(__xludf.DUMMYFUNCTION("""COMPUTED_VALUE"""),374.86739054925243)</f>
        <v>374.8673905</v>
      </c>
      <c r="Y154" s="57">
        <f>IFERROR(__xludf.DUMMYFUNCTION("""COMPUTED_VALUE"""),0.982560642945476)</f>
        <v>0.9825606429</v>
      </c>
      <c r="Z154" s="57">
        <f>IFERROR(__xludf.DUMMYFUNCTION("""COMPUTED_VALUE"""),0.7174222892955208)</f>
        <v>0.7174222893</v>
      </c>
      <c r="AA154" s="57">
        <f>IFERROR(__xludf.DUMMYFUNCTION("""COMPUTED_VALUE"""),1.2242299296628667)</f>
        <v>1.22422993</v>
      </c>
      <c r="AB154" s="57">
        <f>IFERROR(__xludf.DUMMYFUNCTION("""COMPUTED_VALUE"""),2.989443890490863)</f>
        <v>2.98944389</v>
      </c>
      <c r="AC154" s="31">
        <f>IFERROR(__xludf.DUMMYFUNCTION("""COMPUTED_VALUE"""),316.7057130580334)</f>
        <v>316.7057131</v>
      </c>
      <c r="AD154" s="57">
        <f>IFERROR(__xludf.DUMMYFUNCTION("""COMPUTED_VALUE"""),0.59248948735838)</f>
        <v>0.5924894874</v>
      </c>
      <c r="AE154" s="57">
        <f>IFERROR(__xludf.DUMMYFUNCTION("""COMPUTED_VALUE"""),0.4139501980758347)</f>
        <v>0.4139501981</v>
      </c>
      <c r="AF154" s="57">
        <f>IFERROR(__xludf.DUMMYFUNCTION("""COMPUTED_VALUE"""),1.3562286840158944)</f>
        <v>1.356228684</v>
      </c>
      <c r="AG154" s="57">
        <f>IFERROR(__xludf.DUMMYFUNCTION("""COMPUTED_VALUE"""),2.1604538027665736)</f>
        <v>2.160453803</v>
      </c>
      <c r="AH154" s="57">
        <f>IFERROR(__xludf.DUMMYFUNCTION("""COMPUTED_VALUE"""),0.732541253392193)</f>
        <v>0.7325412534</v>
      </c>
      <c r="AI154" s="57">
        <f>IFERROR(__xludf.DUMMYFUNCTION("""COMPUTED_VALUE"""),0.5625978864528097)</f>
        <v>0.5625978865</v>
      </c>
      <c r="AJ154" s="57">
        <f>IFERROR(__xludf.DUMMYFUNCTION("""COMPUTED_VALUE"""),1.6104996923918244)</f>
        <v>1.610499692</v>
      </c>
      <c r="AK154" s="57">
        <f>IFERROR(__xludf.DUMMYFUNCTION("""COMPUTED_VALUE"""),0.73733877758648)</f>
        <v>0.7373387776</v>
      </c>
      <c r="AL154" s="57">
        <f>IFERROR(__xludf.DUMMYFUNCTION("""COMPUTED_VALUE"""),0.7714428628524309)</f>
        <v>0.7714428629</v>
      </c>
      <c r="AM154" s="57">
        <f>IFERROR(__xludf.DUMMYFUNCTION("""COMPUTED_VALUE"""),1.2205797759179562)</f>
        <v>1.220579776</v>
      </c>
      <c r="AN154" s="57">
        <f>IFERROR(__xludf.DUMMYFUNCTION("""COMPUTED_VALUE"""),1.4700817245379931)</f>
        <v>1.470081725</v>
      </c>
      <c r="AO154" s="57">
        <f>IFERROR(__xludf.DUMMYFUNCTION("""COMPUTED_VALUE"""),1.7036301219779415)</f>
        <v>1.703630122</v>
      </c>
      <c r="AP154" s="35">
        <f>IFERROR(__xludf.DUMMYFUNCTION("""COMPUTED_VALUE"""),0.907600022013098)</f>
        <v>0.907600022</v>
      </c>
      <c r="AQ154" s="57">
        <f>IFERROR(__xludf.DUMMYFUNCTION("""COMPUTED_VALUE"""),1.3380415042154228)</f>
        <v>1.338041504</v>
      </c>
      <c r="AR154" s="36" t="b">
        <f>IFERROR(__xludf.DUMMYFUNCTION("""COMPUTED_VALUE"""),TRUE)</f>
        <v>1</v>
      </c>
      <c r="AS154" s="57"/>
      <c r="AT154" s="37"/>
      <c r="AU154" s="30"/>
      <c r="AV154" s="30"/>
      <c r="AW154" s="30"/>
      <c r="AX154" s="30"/>
      <c r="AY154" s="30"/>
      <c r="AZ154" s="30"/>
    </row>
    <row r="155">
      <c r="A155" s="30" t="str">
        <f>IFERROR(__xludf.DUMMYFUNCTION("""COMPUTED_VALUE"""),"Challenger")</f>
        <v>Challenger</v>
      </c>
      <c r="B155" s="30" t="str">
        <f>IFERROR(__xludf.DUMMYFUNCTION("""COMPUTED_VALUE"""),"RSC006066")</f>
        <v>RSC006066</v>
      </c>
      <c r="C155" s="30" t="str">
        <f>IFERROR(__xludf.DUMMYFUNCTION("""COMPUTED_VALUE"""),"GoldenTiger5")</f>
        <v>GoldenTiger5</v>
      </c>
      <c r="D155" s="31"/>
      <c r="E155" s="31">
        <f>IFERROR(__xludf.DUMMYFUNCTION("""COMPUTED_VALUE"""),12.536589577988202)</f>
        <v>12.53658958</v>
      </c>
      <c r="F155" s="31">
        <f>IFERROR(__xludf.DUMMYFUNCTION("""COMPUTED_VALUE"""),-14.926048326938862)</f>
        <v>-14.92604833</v>
      </c>
      <c r="G155" s="31">
        <f>IFERROR(__xludf.DUMMYFUNCTION("""COMPUTED_VALUE"""),5.608848702583295)</f>
        <v>5.608848703</v>
      </c>
      <c r="H155" s="31">
        <f>IFERROR(__xludf.DUMMYFUNCTION("""COMPUTED_VALUE"""),-26.38826188638657)</f>
        <v>-26.38826189</v>
      </c>
      <c r="I155" s="54">
        <f>IFERROR(__xludf.DUMMYFUNCTION("""COMPUTED_VALUE"""),4.0)</f>
        <v>4</v>
      </c>
      <c r="J155" s="55">
        <f>IFERROR(__xludf.DUMMYFUNCTION("""COMPUTED_VALUE"""),0.0)</f>
        <v>0</v>
      </c>
      <c r="K155" s="54">
        <f>IFERROR(__xludf.DUMMYFUNCTION("""COMPUTED_VALUE"""),4.0)</f>
        <v>4</v>
      </c>
      <c r="L155" s="56">
        <f>IFERROR(__xludf.DUMMYFUNCTION("""COMPUTED_VALUE"""),0.0)</f>
        <v>0</v>
      </c>
      <c r="M155" s="56">
        <f>IFERROR(__xludf.DUMMYFUNCTION("""COMPUTED_VALUE"""),0.08333333333333333)</f>
        <v>0.08333333333</v>
      </c>
      <c r="N155" s="31">
        <f>IFERROR(__xludf.DUMMYFUNCTION("""COMPUTED_VALUE"""),286.25)</f>
        <v>286.25</v>
      </c>
      <c r="O155" s="57">
        <f>IFERROR(__xludf.DUMMYFUNCTION("""COMPUTED_VALUE"""),0.25)</f>
        <v>0.25</v>
      </c>
      <c r="P155" s="57">
        <f>IFERROR(__xludf.DUMMYFUNCTION("""COMPUTED_VALUE"""),0.25)</f>
        <v>0.25</v>
      </c>
      <c r="Q155" s="57">
        <f>IFERROR(__xludf.DUMMYFUNCTION("""COMPUTED_VALUE"""),1.5)</f>
        <v>1.5</v>
      </c>
      <c r="R155" s="57">
        <f>IFERROR(__xludf.DUMMYFUNCTION("""COMPUTED_VALUE"""),3.0)</f>
        <v>3</v>
      </c>
      <c r="S155" s="31">
        <f>IFERROR(__xludf.DUMMYFUNCTION("""COMPUTED_VALUE"""),483.1666666666667)</f>
        <v>483.1666667</v>
      </c>
      <c r="T155" s="57">
        <f>IFERROR(__xludf.DUMMYFUNCTION("""COMPUTED_VALUE"""),0.8333333333333333)</f>
        <v>0.8333333333</v>
      </c>
      <c r="U155" s="57">
        <f>IFERROR(__xludf.DUMMYFUNCTION("""COMPUTED_VALUE"""),0.41666666666666663)</f>
        <v>0.4166666667</v>
      </c>
      <c r="V155" s="57">
        <f>IFERROR(__xludf.DUMMYFUNCTION("""COMPUTED_VALUE"""),2.4166666666666665)</f>
        <v>2.416666667</v>
      </c>
      <c r="W155" s="57">
        <f>IFERROR(__xludf.DUMMYFUNCTION("""COMPUTED_VALUE"""),3.666666666666667)</f>
        <v>3.666666667</v>
      </c>
      <c r="X155" s="31">
        <f>IFERROR(__xludf.DUMMYFUNCTION("""COMPUTED_VALUE"""),345.09552299552297)</f>
        <v>345.095523</v>
      </c>
      <c r="Y155" s="57">
        <f>IFERROR(__xludf.DUMMYFUNCTION("""COMPUTED_VALUE"""),0.663939763939764)</f>
        <v>0.6639397639</v>
      </c>
      <c r="Z155" s="57">
        <f>IFERROR(__xludf.DUMMYFUNCTION("""COMPUTED_VALUE"""),0.40309320309320307)</f>
        <v>0.4030932031</v>
      </c>
      <c r="AA155" s="57">
        <f>IFERROR(__xludf.DUMMYFUNCTION("""COMPUTED_VALUE"""),1.4942409442409443)</f>
        <v>1.494240944</v>
      </c>
      <c r="AB155" s="57">
        <f>IFERROR(__xludf.DUMMYFUNCTION("""COMPUTED_VALUE"""),2.4766585266585266)</f>
        <v>2.476658527</v>
      </c>
      <c r="AC155" s="31">
        <f>IFERROR(__xludf.DUMMYFUNCTION("""COMPUTED_VALUE"""),339.67337539004205)</f>
        <v>339.6733754</v>
      </c>
      <c r="AD155" s="57">
        <f>IFERROR(__xludf.DUMMYFUNCTION("""COMPUTED_VALUE"""),0.7558404558404558)</f>
        <v>0.7558404558</v>
      </c>
      <c r="AE155" s="57">
        <f>IFERROR(__xludf.DUMMYFUNCTION("""COMPUTED_VALUE"""),0.5212929046262379)</f>
        <v>0.5212929046</v>
      </c>
      <c r="AF155" s="57">
        <f>IFERROR(__xludf.DUMMYFUNCTION("""COMPUTED_VALUE"""),1.2298602631935964)</f>
        <v>1.229860263</v>
      </c>
      <c r="AG155" s="57">
        <f>IFERROR(__xludf.DUMMYFUNCTION("""COMPUTED_VALUE"""),2.7242436575769915)</f>
        <v>2.724243658</v>
      </c>
      <c r="AH155" s="57">
        <f>IFERROR(__xludf.DUMMYFUNCTION("""COMPUTED_VALUE"""),0.8427213339029096)</f>
        <v>0.8427213339</v>
      </c>
      <c r="AI155" s="57">
        <f>IFERROR(__xludf.DUMMYFUNCTION("""COMPUTED_VALUE"""),0.33075763286845083)</f>
        <v>0.3307576329</v>
      </c>
      <c r="AJ155" s="57">
        <f>IFERROR(__xludf.DUMMYFUNCTION("""COMPUTED_VALUE"""),0.47957683248968763)</f>
        <v>0.4795768325</v>
      </c>
      <c r="AK155" s="57">
        <f>IFERROR(__xludf.DUMMYFUNCTION("""COMPUTED_VALUE"""),1.2196507561801595)</f>
        <v>1.219650756</v>
      </c>
      <c r="AL155" s="57">
        <f>IFERROR(__xludf.DUMMYFUNCTION("""COMPUTED_VALUE"""),1.1012230832055137)</f>
        <v>1.101223083</v>
      </c>
      <c r="AM155" s="57">
        <f>IFERROR(__xludf.DUMMYFUNCTION("""COMPUTED_VALUE"""),1.4000954358162883)</f>
        <v>1.400095436</v>
      </c>
      <c r="AN155" s="57">
        <f>IFERROR(__xludf.DUMMYFUNCTION("""COMPUTED_VALUE"""),1.2551339422546435)</f>
        <v>1.255133942</v>
      </c>
      <c r="AO155" s="57">
        <f>IFERROR(__xludf.DUMMYFUNCTION("""COMPUTED_VALUE"""),1.0336732633279482)</f>
        <v>1.033673263</v>
      </c>
      <c r="AP155" s="35">
        <f>IFERROR(__xludf.DUMMYFUNCTION("""COMPUTED_VALUE"""),1.6173206041374424)</f>
        <v>1.617320604</v>
      </c>
      <c r="AQ155" s="57">
        <f>IFERROR(__xludf.DUMMYFUNCTION("""COMPUTED_VALUE"""),1.48048938810054)</f>
        <v>1.480489388</v>
      </c>
      <c r="AR155" s="36" t="b">
        <f>IFERROR(__xludf.DUMMYFUNCTION("""COMPUTED_VALUE"""),TRUE)</f>
        <v>1</v>
      </c>
      <c r="AS155" s="57"/>
      <c r="AT155" s="37"/>
      <c r="AU155" s="30"/>
      <c r="AV155" s="30"/>
      <c r="AW155" s="30"/>
      <c r="AX155" s="30"/>
      <c r="AY155" s="30"/>
      <c r="AZ155" s="30"/>
    </row>
    <row r="156">
      <c r="A156" s="30" t="str">
        <f>IFERROR(__xludf.DUMMYFUNCTION("""COMPUTED_VALUE"""),"Challenger")</f>
        <v>Challenger</v>
      </c>
      <c r="B156" s="30" t="str">
        <f>IFERROR(__xludf.DUMMYFUNCTION("""COMPUTED_VALUE"""),"RSC007447")</f>
        <v>RSC007447</v>
      </c>
      <c r="C156" s="30" t="str">
        <f>IFERROR(__xludf.DUMMYFUNCTION("""COMPUTED_VALUE"""),"1R3IGN")</f>
        <v>1R3IGN</v>
      </c>
      <c r="D156" s="31"/>
      <c r="E156" s="31">
        <f>IFERROR(__xludf.DUMMYFUNCTION("""COMPUTED_VALUE"""),10.96170479282248)</f>
        <v>10.96170479</v>
      </c>
      <c r="F156" s="31">
        <f>IFERROR(__xludf.DUMMYFUNCTION("""COMPUTED_VALUE"""),-16.892130886024276)</f>
        <v>-16.89213089</v>
      </c>
      <c r="G156" s="31">
        <f>IFERROR(__xludf.DUMMYFUNCTION("""COMPUTED_VALUE"""),24.202354990671438)</f>
        <v>24.20235499</v>
      </c>
      <c r="H156" s="31">
        <f>IFERROR(__xludf.DUMMYFUNCTION("""COMPUTED_VALUE"""),-6.619968340678924)</f>
        <v>-6.619968341</v>
      </c>
      <c r="I156" s="54">
        <f>IFERROR(__xludf.DUMMYFUNCTION("""COMPUTED_VALUE"""),10.0)</f>
        <v>10</v>
      </c>
      <c r="J156" s="55">
        <f>IFERROR(__xludf.DUMMYFUNCTION("""COMPUTED_VALUE"""),3.0)</f>
        <v>3</v>
      </c>
      <c r="K156" s="54">
        <f>IFERROR(__xludf.DUMMYFUNCTION("""COMPUTED_VALUE"""),7.0)</f>
        <v>7</v>
      </c>
      <c r="L156" s="56">
        <f>IFERROR(__xludf.DUMMYFUNCTION("""COMPUTED_VALUE"""),0.3)</f>
        <v>0.3</v>
      </c>
      <c r="M156" s="56">
        <f>IFERROR(__xludf.DUMMYFUNCTION("""COMPUTED_VALUE"""),0.35714285714285715)</f>
        <v>0.3571428571</v>
      </c>
      <c r="N156" s="31">
        <f>IFERROR(__xludf.DUMMYFUNCTION("""COMPUTED_VALUE"""),228.9)</f>
        <v>228.9</v>
      </c>
      <c r="O156" s="57">
        <f>IFERROR(__xludf.DUMMYFUNCTION("""COMPUTED_VALUE"""),0.5)</f>
        <v>0.5</v>
      </c>
      <c r="P156" s="57">
        <f>IFERROR(__xludf.DUMMYFUNCTION("""COMPUTED_VALUE"""),0.4)</f>
        <v>0.4</v>
      </c>
      <c r="Q156" s="57">
        <f>IFERROR(__xludf.DUMMYFUNCTION("""COMPUTED_VALUE"""),0.7)</f>
        <v>0.7</v>
      </c>
      <c r="R156" s="57">
        <f>IFERROR(__xludf.DUMMYFUNCTION("""COMPUTED_VALUE"""),1.4)</f>
        <v>1.4</v>
      </c>
      <c r="S156" s="31">
        <f>IFERROR(__xludf.DUMMYFUNCTION("""COMPUTED_VALUE"""),331.49999999999994)</f>
        <v>331.5</v>
      </c>
      <c r="T156" s="57">
        <f>IFERROR(__xludf.DUMMYFUNCTION("""COMPUTED_VALUE"""),0.8666666666666666)</f>
        <v>0.8666666667</v>
      </c>
      <c r="U156" s="57">
        <f>IFERROR(__xludf.DUMMYFUNCTION("""COMPUTED_VALUE"""),0.5666666666666667)</f>
        <v>0.5666666667</v>
      </c>
      <c r="V156" s="57">
        <f>IFERROR(__xludf.DUMMYFUNCTION("""COMPUTED_VALUE"""),0.9333333333333333)</f>
        <v>0.9333333333</v>
      </c>
      <c r="W156" s="57">
        <f>IFERROR(__xludf.DUMMYFUNCTION("""COMPUTED_VALUE"""),2.2)</f>
        <v>2.2</v>
      </c>
      <c r="X156" s="31">
        <f>IFERROR(__xludf.DUMMYFUNCTION("""COMPUTED_VALUE"""),323.26428725407095)</f>
        <v>323.2642873</v>
      </c>
      <c r="Y156" s="57">
        <f>IFERROR(__xludf.DUMMYFUNCTION("""COMPUTED_VALUE"""),0.8061362406000626)</f>
        <v>0.8061362406</v>
      </c>
      <c r="Z156" s="57">
        <f>IFERROR(__xludf.DUMMYFUNCTION("""COMPUTED_VALUE"""),0.4766332052362712)</f>
        <v>0.4766332052</v>
      </c>
      <c r="AA156" s="57">
        <f>IFERROR(__xludf.DUMMYFUNCTION("""COMPUTED_VALUE"""),1.0433788835456668)</f>
        <v>1.043378884</v>
      </c>
      <c r="AB156" s="57">
        <f>IFERROR(__xludf.DUMMYFUNCTION("""COMPUTED_VALUE"""),2.320616121540794)</f>
        <v>2.320616122</v>
      </c>
      <c r="AC156" s="31">
        <f>IFERROR(__xludf.DUMMYFUNCTION("""COMPUTED_VALUE"""),328.8108442758181)</f>
        <v>328.8108443</v>
      </c>
      <c r="AD156" s="57">
        <f>IFERROR(__xludf.DUMMYFUNCTION("""COMPUTED_VALUE"""),0.7953028335690457)</f>
        <v>0.7953028336</v>
      </c>
      <c r="AE156" s="57">
        <f>IFERROR(__xludf.DUMMYFUNCTION("""COMPUTED_VALUE"""),0.5275433627602059)</f>
        <v>0.5275433628</v>
      </c>
      <c r="AF156" s="57">
        <f>IFERROR(__xludf.DUMMYFUNCTION("""COMPUTED_VALUE"""),1.1524968334615378)</f>
        <v>1.152496833</v>
      </c>
      <c r="AG156" s="57">
        <f>IFERROR(__xludf.DUMMYFUNCTION("""COMPUTED_VALUE"""),2.3309929267877694)</f>
        <v>2.330992927</v>
      </c>
      <c r="AH156" s="57">
        <f>IFERROR(__xludf.DUMMYFUNCTION("""COMPUTED_VALUE"""),0.6961449233955028)</f>
        <v>0.6961449234</v>
      </c>
      <c r="AI156" s="57">
        <f>IFERROR(__xludf.DUMMYFUNCTION("""COMPUTED_VALUE"""),0.6286913347915182)</f>
        <v>0.6286913348</v>
      </c>
      <c r="AJ156" s="57">
        <f>IFERROR(__xludf.DUMMYFUNCTION("""COMPUTED_VALUE"""),0.7582315089836881)</f>
        <v>0.758231509</v>
      </c>
      <c r="AK156" s="57">
        <f>IFERROR(__xludf.DUMMYFUNCTION("""COMPUTED_VALUE"""),0.6073769399413808)</f>
        <v>0.6073769399</v>
      </c>
      <c r="AL156" s="57">
        <f>IFERROR(__xludf.DUMMYFUNCTION("""COMPUTED_VALUE"""),0.6006024230752486)</f>
        <v>0.6006024231</v>
      </c>
      <c r="AM156" s="57">
        <f>IFERROR(__xludf.DUMMYFUNCTION("""COMPUTED_VALUE"""),1.025476716948495)</f>
        <v>1.025476717</v>
      </c>
      <c r="AN156" s="57">
        <f>IFERROR(__xludf.DUMMYFUNCTION("""COMPUTED_VALUE"""),1.0750870920051268)</f>
        <v>1.075087092</v>
      </c>
      <c r="AO156" s="57">
        <f>IFERROR(__xludf.DUMMYFUNCTION("""COMPUTED_VALUE"""),1.1888946477947653)</f>
        <v>1.188894648</v>
      </c>
      <c r="AP156" s="35">
        <f>IFERROR(__xludf.DUMMYFUNCTION("""COMPUTED_VALUE"""),0.8945296364074662)</f>
        <v>0.8945296364</v>
      </c>
      <c r="AQ156" s="57">
        <f>IFERROR(__xludf.DUMMYFUNCTION("""COMPUTED_VALUE"""),0.9480240956609791)</f>
        <v>0.9480240957</v>
      </c>
      <c r="AR156" s="36" t="b">
        <f>IFERROR(__xludf.DUMMYFUNCTION("""COMPUTED_VALUE"""),TRUE)</f>
        <v>1</v>
      </c>
      <c r="AS156" s="57"/>
      <c r="AT156" s="37"/>
      <c r="AU156" s="30"/>
      <c r="AV156" s="30"/>
      <c r="AW156" s="30"/>
      <c r="AX156" s="30"/>
      <c r="AY156" s="30"/>
      <c r="AZ156" s="30"/>
    </row>
    <row r="157">
      <c r="A157" s="30" t="str">
        <f>IFERROR(__xludf.DUMMYFUNCTION("""COMPUTED_VALUE"""),"Challenger")</f>
        <v>Challenger</v>
      </c>
      <c r="B157" s="30" t="str">
        <f>IFERROR(__xludf.DUMMYFUNCTION("""COMPUTED_VALUE"""),"RSC005154")</f>
        <v>RSC005154</v>
      </c>
      <c r="C157" s="30" t="str">
        <f>IFERROR(__xludf.DUMMYFUNCTION("""COMPUTED_VALUE"""),"TacoBae")</f>
        <v>TacoBae</v>
      </c>
      <c r="D157" s="31"/>
      <c r="E157" s="31">
        <f>IFERROR(__xludf.DUMMYFUNCTION("""COMPUTED_VALUE"""),8.280869635777208)</f>
        <v>8.280869636</v>
      </c>
      <c r="F157" s="31">
        <f>IFERROR(__xludf.DUMMYFUNCTION("""COMPUTED_VALUE"""),-21.01636859482968)</f>
        <v>-21.01636859</v>
      </c>
      <c r="G157" s="31">
        <f>IFERROR(__xludf.DUMMYFUNCTION("""COMPUTED_VALUE"""),18.33750189848357)</f>
        <v>18.3375019</v>
      </c>
      <c r="H157" s="31">
        <f>IFERROR(__xludf.DUMMYFUNCTION("""COMPUTED_VALUE"""),-9.740220687653512)</f>
        <v>-9.740220688</v>
      </c>
      <c r="I157" s="54">
        <f>IFERROR(__xludf.DUMMYFUNCTION("""COMPUTED_VALUE"""),32.0)</f>
        <v>32</v>
      </c>
      <c r="J157" s="55">
        <f>IFERROR(__xludf.DUMMYFUNCTION("""COMPUTED_VALUE"""),9.0)</f>
        <v>9</v>
      </c>
      <c r="K157" s="54">
        <f>IFERROR(__xludf.DUMMYFUNCTION("""COMPUTED_VALUE"""),23.0)</f>
        <v>23</v>
      </c>
      <c r="L157" s="56">
        <f>IFERROR(__xludf.DUMMYFUNCTION("""COMPUTED_VALUE"""),0.28125)</f>
        <v>0.28125</v>
      </c>
      <c r="M157" s="56">
        <f>IFERROR(__xludf.DUMMYFUNCTION("""COMPUTED_VALUE"""),0.22807017543859648)</f>
        <v>0.2280701754</v>
      </c>
      <c r="N157" s="31">
        <f>IFERROR(__xludf.DUMMYFUNCTION("""COMPUTED_VALUE"""),239.65625)</f>
        <v>239.65625</v>
      </c>
      <c r="O157" s="57">
        <f>IFERROR(__xludf.DUMMYFUNCTION("""COMPUTED_VALUE"""),0.40625)</f>
        <v>0.40625</v>
      </c>
      <c r="P157" s="57">
        <f>IFERROR(__xludf.DUMMYFUNCTION("""COMPUTED_VALUE"""),0.4375)</f>
        <v>0.4375</v>
      </c>
      <c r="Q157" s="57">
        <f>IFERROR(__xludf.DUMMYFUNCTION("""COMPUTED_VALUE"""),0.8125)</f>
        <v>0.8125</v>
      </c>
      <c r="R157" s="57">
        <f>IFERROR(__xludf.DUMMYFUNCTION("""COMPUTED_VALUE"""),1.78125)</f>
        <v>1.78125</v>
      </c>
      <c r="S157" s="31">
        <f>IFERROR(__xludf.DUMMYFUNCTION("""COMPUTED_VALUE"""),367.7083333333334)</f>
        <v>367.7083333</v>
      </c>
      <c r="T157" s="57">
        <f>IFERROR(__xludf.DUMMYFUNCTION("""COMPUTED_VALUE"""),1.09375)</f>
        <v>1.09375</v>
      </c>
      <c r="U157" s="57">
        <f>IFERROR(__xludf.DUMMYFUNCTION("""COMPUTED_VALUE"""),0.6770833333333333)</f>
        <v>0.6770833333</v>
      </c>
      <c r="V157" s="57">
        <f>IFERROR(__xludf.DUMMYFUNCTION("""COMPUTED_VALUE"""),1.0729166666666667)</f>
        <v>1.072916667</v>
      </c>
      <c r="W157" s="57">
        <f>IFERROR(__xludf.DUMMYFUNCTION("""COMPUTED_VALUE"""),2.5729166666666665)</f>
        <v>2.572916667</v>
      </c>
      <c r="X157" s="31">
        <f>IFERROR(__xludf.DUMMYFUNCTION("""COMPUTED_VALUE"""),339.5925193998377)</f>
        <v>339.5925194</v>
      </c>
      <c r="Y157" s="57">
        <f>IFERROR(__xludf.DUMMYFUNCTION("""COMPUTED_VALUE"""),0.7558584380604669)</f>
        <v>0.7558584381</v>
      </c>
      <c r="Z157" s="57">
        <f>IFERROR(__xludf.DUMMYFUNCTION("""COMPUTED_VALUE"""),0.5138589995790015)</f>
        <v>0.5138589996</v>
      </c>
      <c r="AA157" s="57">
        <f>IFERROR(__xludf.DUMMYFUNCTION("""COMPUTED_VALUE"""),1.3212409269293488)</f>
        <v>1.321240927</v>
      </c>
      <c r="AB157" s="57">
        <f>IFERROR(__xludf.DUMMYFUNCTION("""COMPUTED_VALUE"""),2.3859940390740855)</f>
        <v>2.385994039</v>
      </c>
      <c r="AC157" s="31">
        <f>IFERROR(__xludf.DUMMYFUNCTION("""COMPUTED_VALUE"""),337.31635959055626)</f>
        <v>337.3163596</v>
      </c>
      <c r="AD157" s="57">
        <f>IFERROR(__xludf.DUMMYFUNCTION("""COMPUTED_VALUE"""),0.7827292766148444)</f>
        <v>0.7827292766</v>
      </c>
      <c r="AE157" s="57">
        <f>IFERROR(__xludf.DUMMYFUNCTION("""COMPUTED_VALUE"""),0.529793787449849)</f>
        <v>0.5297937874</v>
      </c>
      <c r="AF157" s="57">
        <f>IFERROR(__xludf.DUMMYFUNCTION("""COMPUTED_VALUE"""),1.1787913377686685)</f>
        <v>1.178791338</v>
      </c>
      <c r="AG157" s="57">
        <f>IFERROR(__xludf.DUMMYFUNCTION("""COMPUTED_VALUE"""),2.515736319454333)</f>
        <v>2.515736319</v>
      </c>
      <c r="AH157" s="57">
        <f>IFERROR(__xludf.DUMMYFUNCTION("""COMPUTED_VALUE"""),0.7104791783324748)</f>
        <v>0.7104791783</v>
      </c>
      <c r="AI157" s="57">
        <f>IFERROR(__xludf.DUMMYFUNCTION("""COMPUTED_VALUE"""),0.5190172542886784)</f>
        <v>0.5190172543</v>
      </c>
      <c r="AJ157" s="57">
        <f>IFERROR(__xludf.DUMMYFUNCTION("""COMPUTED_VALUE"""),0.8257929978867756)</f>
        <v>0.8257929979</v>
      </c>
      <c r="AK157" s="57">
        <f>IFERROR(__xludf.DUMMYFUNCTION("""COMPUTED_VALUE"""),0.6892653296366933)</f>
        <v>0.6892653296</v>
      </c>
      <c r="AL157" s="57">
        <f>IFERROR(__xludf.DUMMYFUNCTION("""COMPUTED_VALUE"""),0.7080432023918769)</f>
        <v>0.7080432024</v>
      </c>
      <c r="AM157" s="57">
        <f>IFERROR(__xludf.DUMMYFUNCTION("""COMPUTED_VALUE"""),1.0827927952688263)</f>
        <v>1.082792795</v>
      </c>
      <c r="AN157" s="57">
        <f>IFERROR(__xludf.DUMMYFUNCTION("""COMPUTED_VALUE"""),1.4470302174658034)</f>
        <v>1.447030217</v>
      </c>
      <c r="AO157" s="57">
        <f>IFERROR(__xludf.DUMMYFUNCTION("""COMPUTED_VALUE"""),1.3176442056829976)</f>
        <v>1.317644206</v>
      </c>
      <c r="AP157" s="35">
        <f>IFERROR(__xludf.DUMMYFUNCTION("""COMPUTED_VALUE"""),0.8120522493654476)</f>
        <v>0.8120522494</v>
      </c>
      <c r="AQ157" s="57">
        <f>IFERROR(__xludf.DUMMYFUNCTION("""COMPUTED_VALUE"""),1.0783416154992234)</f>
        <v>1.078341615</v>
      </c>
      <c r="AR157" s="36" t="b">
        <f>IFERROR(__xludf.DUMMYFUNCTION("""COMPUTED_VALUE"""),TRUE)</f>
        <v>1</v>
      </c>
      <c r="AS157" s="57"/>
      <c r="AT157" s="37"/>
      <c r="AU157" s="30"/>
      <c r="AV157" s="30"/>
      <c r="AW157" s="30"/>
      <c r="AX157" s="30"/>
      <c r="AY157" s="30"/>
      <c r="AZ157" s="30"/>
    </row>
    <row r="158">
      <c r="A158" s="30" t="str">
        <f>IFERROR(__xludf.DUMMYFUNCTION("""COMPUTED_VALUE"""),"Challenger")</f>
        <v>Challenger</v>
      </c>
      <c r="B158" s="30" t="str">
        <f>IFERROR(__xludf.DUMMYFUNCTION("""COMPUTED_VALUE"""),"RSC006413")</f>
        <v>RSC006413</v>
      </c>
      <c r="C158" s="30" t="str">
        <f>IFERROR(__xludf.DUMMYFUNCTION("""COMPUTED_VALUE"""),"BlueFlre")</f>
        <v>BlueFlre</v>
      </c>
      <c r="D158" s="31" t="str">
        <f>IFERROR(__xludf.DUMMYFUNCTION("""COMPUTED_VALUE"""),"Shade")</f>
        <v>Shade</v>
      </c>
      <c r="E158" s="31">
        <f>IFERROR(__xludf.DUMMYFUNCTION("""COMPUTED_VALUE"""),7.302876849199848)</f>
        <v>7.302876849</v>
      </c>
      <c r="F158" s="31">
        <f>IFERROR(__xludf.DUMMYFUNCTION("""COMPUTED_VALUE"""),-22.816022723039787)</f>
        <v>-22.81602272</v>
      </c>
      <c r="G158" s="31">
        <f>IFERROR(__xludf.DUMMYFUNCTION("""COMPUTED_VALUE"""),32.04441652097671)</f>
        <v>32.04441652</v>
      </c>
      <c r="H158" s="31">
        <f>IFERROR(__xludf.DUMMYFUNCTION("""COMPUTED_VALUE"""),-4.231733183454886)</f>
        <v>-4.231733183</v>
      </c>
      <c r="I158" s="54">
        <f>IFERROR(__xludf.DUMMYFUNCTION("""COMPUTED_VALUE"""),15.0)</f>
        <v>15</v>
      </c>
      <c r="J158" s="55">
        <f>IFERROR(__xludf.DUMMYFUNCTION("""COMPUTED_VALUE"""),6.0)</f>
        <v>6</v>
      </c>
      <c r="K158" s="54">
        <f>IFERROR(__xludf.DUMMYFUNCTION("""COMPUTED_VALUE"""),9.0)</f>
        <v>9</v>
      </c>
      <c r="L158" s="56">
        <f>IFERROR(__xludf.DUMMYFUNCTION("""COMPUTED_VALUE"""),0.4)</f>
        <v>0.4</v>
      </c>
      <c r="M158" s="56">
        <f>IFERROR(__xludf.DUMMYFUNCTION("""COMPUTED_VALUE"""),0.11538461538461539)</f>
        <v>0.1153846154</v>
      </c>
      <c r="N158" s="31">
        <f>IFERROR(__xludf.DUMMYFUNCTION("""COMPUTED_VALUE"""),250.66666666666666)</f>
        <v>250.6666667</v>
      </c>
      <c r="O158" s="57">
        <f>IFERROR(__xludf.DUMMYFUNCTION("""COMPUTED_VALUE"""),0.2)</f>
        <v>0.2</v>
      </c>
      <c r="P158" s="57">
        <f>IFERROR(__xludf.DUMMYFUNCTION("""COMPUTED_VALUE"""),0.3333333333333333)</f>
        <v>0.3333333333</v>
      </c>
      <c r="Q158" s="57">
        <f>IFERROR(__xludf.DUMMYFUNCTION("""COMPUTED_VALUE"""),1.0)</f>
        <v>1</v>
      </c>
      <c r="R158" s="57">
        <f>IFERROR(__xludf.DUMMYFUNCTION("""COMPUTED_VALUE"""),1.7333333333333334)</f>
        <v>1.733333333</v>
      </c>
      <c r="S158" s="31">
        <f>IFERROR(__xludf.DUMMYFUNCTION("""COMPUTED_VALUE"""),310.0666666666667)</f>
        <v>310.0666667</v>
      </c>
      <c r="T158" s="57">
        <f>IFERROR(__xludf.DUMMYFUNCTION("""COMPUTED_VALUE"""),0.688888888888889)</f>
        <v>0.6888888889</v>
      </c>
      <c r="U158" s="57">
        <f>IFERROR(__xludf.DUMMYFUNCTION("""COMPUTED_VALUE"""),0.4444444444444444)</f>
        <v>0.4444444444</v>
      </c>
      <c r="V158" s="57">
        <f>IFERROR(__xludf.DUMMYFUNCTION("""COMPUTED_VALUE"""),1.2444444444444442)</f>
        <v>1.244444444</v>
      </c>
      <c r="W158" s="57">
        <f>IFERROR(__xludf.DUMMYFUNCTION("""COMPUTED_VALUE"""),1.9555555555555555)</f>
        <v>1.955555556</v>
      </c>
      <c r="X158" s="31">
        <f>IFERROR(__xludf.DUMMYFUNCTION("""COMPUTED_VALUE"""),328.11713955179846)</f>
        <v>328.1171396</v>
      </c>
      <c r="Y158" s="57">
        <f>IFERROR(__xludf.DUMMYFUNCTION("""COMPUTED_VALUE"""),0.7369806029938858)</f>
        <v>0.736980603</v>
      </c>
      <c r="Z158" s="57">
        <f>IFERROR(__xludf.DUMMYFUNCTION("""COMPUTED_VALUE"""),0.4751522488724682)</f>
        <v>0.4751522489</v>
      </c>
      <c r="AA158" s="57">
        <f>IFERROR(__xludf.DUMMYFUNCTION("""COMPUTED_VALUE"""),1.247348631009553)</f>
        <v>1.247348631</v>
      </c>
      <c r="AB158" s="57">
        <f>IFERROR(__xludf.DUMMYFUNCTION("""COMPUTED_VALUE"""),2.387009041450112)</f>
        <v>2.387009041</v>
      </c>
      <c r="AC158" s="31">
        <f>IFERROR(__xludf.DUMMYFUNCTION("""COMPUTED_VALUE"""),343.04926194631565)</f>
        <v>343.0492619</v>
      </c>
      <c r="AD158" s="57">
        <f>IFERROR(__xludf.DUMMYFUNCTION("""COMPUTED_VALUE"""),0.7777280136400772)</f>
        <v>0.7777280136</v>
      </c>
      <c r="AE158" s="57">
        <f>IFERROR(__xludf.DUMMYFUNCTION("""COMPUTED_VALUE"""),0.5470112730874906)</f>
        <v>0.5470112731</v>
      </c>
      <c r="AF158" s="57">
        <f>IFERROR(__xludf.DUMMYFUNCTION("""COMPUTED_VALUE"""),1.228025614839059)</f>
        <v>1.228025615</v>
      </c>
      <c r="AG158" s="57">
        <f>IFERROR(__xludf.DUMMYFUNCTION("""COMPUTED_VALUE"""),2.5395535835600667)</f>
        <v>2.539553584</v>
      </c>
      <c r="AH158" s="57">
        <f>IFERROR(__xludf.DUMMYFUNCTION("""COMPUTED_VALUE"""),0.7307016643746457)</f>
        <v>0.7307016644</v>
      </c>
      <c r="AI158" s="57">
        <f>IFERROR(__xludf.DUMMYFUNCTION("""COMPUTED_VALUE"""),0.2571593108288851)</f>
        <v>0.2571593108</v>
      </c>
      <c r="AJ158" s="57">
        <f>IFERROR(__xludf.DUMMYFUNCTION("""COMPUTED_VALUE"""),0.6093719631259208)</f>
        <v>0.6093719631</v>
      </c>
      <c r="AK158" s="57">
        <f>IFERROR(__xludf.DUMMYFUNCTION("""COMPUTED_VALUE"""),0.8143152617635396)</f>
        <v>0.8143152618</v>
      </c>
      <c r="AL158" s="57">
        <f>IFERROR(__xludf.DUMMYFUNCTION("""COMPUTED_VALUE"""),0.6825346567027204)</f>
        <v>0.6825346567</v>
      </c>
      <c r="AM158" s="57">
        <f>IFERROR(__xludf.DUMMYFUNCTION("""COMPUTED_VALUE"""),0.9449877171616565)</f>
        <v>0.9449877172</v>
      </c>
      <c r="AN158" s="57">
        <f>IFERROR(__xludf.DUMMYFUNCTION("""COMPUTED_VALUE"""),0.9347449391345842)</f>
        <v>0.9347449391</v>
      </c>
      <c r="AO158" s="57">
        <f>IFERROR(__xludf.DUMMYFUNCTION("""COMPUTED_VALUE"""),0.9353727052731138)</f>
        <v>0.9353727053</v>
      </c>
      <c r="AP158" s="35">
        <f>IFERROR(__xludf.DUMMYFUNCTION("""COMPUTED_VALUE"""),0.9976717122279132)</f>
        <v>0.9976717122</v>
      </c>
      <c r="AQ158" s="57">
        <f>IFERROR(__xludf.DUMMYFUNCTION("""COMPUTED_VALUE"""),0.8192493290128269)</f>
        <v>0.819249329</v>
      </c>
      <c r="AR158" s="36" t="b">
        <f>IFERROR(__xludf.DUMMYFUNCTION("""COMPUTED_VALUE"""),TRUE)</f>
        <v>1</v>
      </c>
      <c r="AS158" s="57"/>
      <c r="AT158" s="37"/>
      <c r="AU158" s="30"/>
      <c r="AV158" s="30"/>
      <c r="AW158" s="30"/>
      <c r="AX158" s="30"/>
      <c r="AY158" s="30"/>
      <c r="AZ158" s="30"/>
    </row>
    <row r="159">
      <c r="A159" s="30" t="str">
        <f>IFERROR(__xludf.DUMMYFUNCTION("""COMPUTED_VALUE"""),"Challenger")</f>
        <v>Challenger</v>
      </c>
      <c r="B159" s="30" t="str">
        <f>IFERROR(__xludf.DUMMYFUNCTION("""COMPUTED_VALUE"""),"RSC007118")</f>
        <v>RSC007118</v>
      </c>
      <c r="C159" s="30" t="str">
        <f>IFERROR(__xludf.DUMMYFUNCTION("""COMPUTED_VALUE"""),"Vampress Maru")</f>
        <v>Vampress Maru</v>
      </c>
      <c r="D159" s="31" t="str">
        <f>IFERROR(__xludf.DUMMYFUNCTION("""COMPUTED_VALUE"""),"Bingo")</f>
        <v>Bingo</v>
      </c>
      <c r="E159" s="31">
        <f>IFERROR(__xludf.DUMMYFUNCTION("""COMPUTED_VALUE"""),4.994396125421687)</f>
        <v>4.994396125</v>
      </c>
      <c r="F159" s="31">
        <f>IFERROR(__xludf.DUMMYFUNCTION("""COMPUTED_VALUE"""),-27.84536031480958)</f>
        <v>-27.84536031</v>
      </c>
      <c r="G159" s="31">
        <f>IFERROR(__xludf.DUMMYFUNCTION("""COMPUTED_VALUE"""),13.085091432917814)</f>
        <v>13.08509143</v>
      </c>
      <c r="H159" s="31">
        <f>IFERROR(__xludf.DUMMYFUNCTION("""COMPUTED_VALUE"""),-14.307802192267152)</f>
        <v>-14.30780219</v>
      </c>
      <c r="I159" s="54">
        <f>IFERROR(__xludf.DUMMYFUNCTION("""COMPUTED_VALUE"""),9.0)</f>
        <v>9</v>
      </c>
      <c r="J159" s="55">
        <f>IFERROR(__xludf.DUMMYFUNCTION("""COMPUTED_VALUE"""),0.0)</f>
        <v>0</v>
      </c>
      <c r="K159" s="54">
        <f>IFERROR(__xludf.DUMMYFUNCTION("""COMPUTED_VALUE"""),9.0)</f>
        <v>9</v>
      </c>
      <c r="L159" s="56">
        <f>IFERROR(__xludf.DUMMYFUNCTION("""COMPUTED_VALUE"""),0.0)</f>
        <v>0</v>
      </c>
      <c r="M159" s="56">
        <f>IFERROR(__xludf.DUMMYFUNCTION("""COMPUTED_VALUE"""),0.31250000000000006)</f>
        <v>0.3125</v>
      </c>
      <c r="N159" s="31">
        <f>IFERROR(__xludf.DUMMYFUNCTION("""COMPUTED_VALUE"""),275.55555555555554)</f>
        <v>275.5555556</v>
      </c>
      <c r="O159" s="57">
        <f>IFERROR(__xludf.DUMMYFUNCTION("""COMPUTED_VALUE"""),0.5555555555555556)</f>
        <v>0.5555555556</v>
      </c>
      <c r="P159" s="57">
        <f>IFERROR(__xludf.DUMMYFUNCTION("""COMPUTED_VALUE"""),0.1111111111111111)</f>
        <v>0.1111111111</v>
      </c>
      <c r="Q159" s="57">
        <f>IFERROR(__xludf.DUMMYFUNCTION("""COMPUTED_VALUE"""),1.6666666666666667)</f>
        <v>1.666666667</v>
      </c>
      <c r="R159" s="57">
        <f>IFERROR(__xludf.DUMMYFUNCTION("""COMPUTED_VALUE"""),1.7777777777777777)</f>
        <v>1.777777778</v>
      </c>
      <c r="S159" s="31">
        <f>IFERROR(__xludf.DUMMYFUNCTION("""COMPUTED_VALUE"""),379.3703703703704)</f>
        <v>379.3703704</v>
      </c>
      <c r="T159" s="57">
        <f>IFERROR(__xludf.DUMMYFUNCTION("""COMPUTED_VALUE"""),1.2222222222222223)</f>
        <v>1.222222222</v>
      </c>
      <c r="U159" s="57">
        <f>IFERROR(__xludf.DUMMYFUNCTION("""COMPUTED_VALUE"""),0.9259259259259258)</f>
        <v>0.9259259259</v>
      </c>
      <c r="V159" s="57">
        <f>IFERROR(__xludf.DUMMYFUNCTION("""COMPUTED_VALUE"""),0.8518518518518517)</f>
        <v>0.8518518519</v>
      </c>
      <c r="W159" s="57">
        <f>IFERROR(__xludf.DUMMYFUNCTION("""COMPUTED_VALUE"""),3.2962962962962963)</f>
        <v>3.296296296</v>
      </c>
      <c r="X159" s="31">
        <f>IFERROR(__xludf.DUMMYFUNCTION("""COMPUTED_VALUE"""),340.0048316749269)</f>
        <v>340.0048317</v>
      </c>
      <c r="Y159" s="57">
        <f>IFERROR(__xludf.DUMMYFUNCTION("""COMPUTED_VALUE"""),0.8546611744532225)</f>
        <v>0.8546611745</v>
      </c>
      <c r="Z159" s="57">
        <f>IFERROR(__xludf.DUMMYFUNCTION("""COMPUTED_VALUE"""),0.5847681005091185)</f>
        <v>0.5847681005</v>
      </c>
      <c r="AA159" s="57">
        <f>IFERROR(__xludf.DUMMYFUNCTION("""COMPUTED_VALUE"""),1.0394508244514347)</f>
        <v>1.039450824</v>
      </c>
      <c r="AB159" s="57">
        <f>IFERROR(__xludf.DUMMYFUNCTION("""COMPUTED_VALUE"""),2.8187797309705496)</f>
        <v>2.818779731</v>
      </c>
      <c r="AC159" s="31">
        <f>IFERROR(__xludf.DUMMYFUNCTION("""COMPUTED_VALUE"""),320.1071355223055)</f>
        <v>320.1071355</v>
      </c>
      <c r="AD159" s="57">
        <f>IFERROR(__xludf.DUMMYFUNCTION("""COMPUTED_VALUE"""),0.6235377019868292)</f>
        <v>0.623537702</v>
      </c>
      <c r="AE159" s="57">
        <f>IFERROR(__xludf.DUMMYFUNCTION("""COMPUTED_VALUE"""),0.4619712245920397)</f>
        <v>0.4619712246</v>
      </c>
      <c r="AF159" s="57">
        <f>IFERROR(__xludf.DUMMYFUNCTION("""COMPUTED_VALUE"""),1.2893990780826785)</f>
        <v>1.289399078</v>
      </c>
      <c r="AG159" s="57">
        <f>IFERROR(__xludf.DUMMYFUNCTION("""COMPUTED_VALUE"""),2.135287083875031)</f>
        <v>2.135287084</v>
      </c>
      <c r="AH159" s="57">
        <f>IFERROR(__xludf.DUMMYFUNCTION("""COMPUTED_VALUE"""),0.8608229088862484)</f>
        <v>0.8608229089</v>
      </c>
      <c r="AI159" s="57">
        <f>IFERROR(__xludf.DUMMYFUNCTION("""COMPUTED_VALUE"""),0.8909734788856286)</f>
        <v>0.8909734789</v>
      </c>
      <c r="AJ159" s="57">
        <f>IFERROR(__xludf.DUMMYFUNCTION("""COMPUTED_VALUE"""),0.24051522085435464)</f>
        <v>0.2405152209</v>
      </c>
      <c r="AK159" s="57">
        <f>IFERROR(__xludf.DUMMYFUNCTION("""COMPUTED_VALUE"""),1.292591793337545)</f>
        <v>1.292591793</v>
      </c>
      <c r="AL159" s="57">
        <f>IFERROR(__xludf.DUMMYFUNCTION("""COMPUTED_VALUE"""),0.8325708478278901)</f>
        <v>0.8325708478</v>
      </c>
      <c r="AM159" s="57">
        <f>IFERROR(__xludf.DUMMYFUNCTION("""COMPUTED_VALUE"""),1.1157793508448735)</f>
        <v>1.115779351</v>
      </c>
      <c r="AN159" s="57">
        <f>IFERROR(__xludf.DUMMYFUNCTION("""COMPUTED_VALUE"""),1.430066392104626)</f>
        <v>1.430066392</v>
      </c>
      <c r="AO159" s="57">
        <f>IFERROR(__xludf.DUMMYFUNCTION("""COMPUTED_VALUE"""),1.583407037969041)</f>
        <v>1.583407038</v>
      </c>
      <c r="AP159" s="35">
        <f>IFERROR(__xludf.DUMMYFUNCTION("""COMPUTED_VALUE"""),0.819521069985598)</f>
        <v>0.81952107</v>
      </c>
      <c r="AQ159" s="57">
        <f>IFERROR(__xludf.DUMMYFUNCTION("""COMPUTED_VALUE"""),1.1694054203949205)</f>
        <v>1.16940542</v>
      </c>
      <c r="AR159" s="36" t="b">
        <f>IFERROR(__xludf.DUMMYFUNCTION("""COMPUTED_VALUE"""),TRUE)</f>
        <v>1</v>
      </c>
      <c r="AS159" s="57"/>
      <c r="AT159" s="37"/>
      <c r="AU159" s="30"/>
      <c r="AV159" s="30"/>
      <c r="AW159" s="30"/>
      <c r="AX159" s="30"/>
      <c r="AY159" s="30"/>
      <c r="AZ159" s="30"/>
    </row>
    <row r="160">
      <c r="A160" s="30" t="str">
        <f>IFERROR(__xludf.DUMMYFUNCTION("""COMPUTED_VALUE"""),"Challenger")</f>
        <v>Challenger</v>
      </c>
      <c r="B160" s="30" t="str">
        <f>IFERROR(__xludf.DUMMYFUNCTION("""COMPUTED_VALUE"""),"RSC007946")</f>
        <v>RSC007946</v>
      </c>
      <c r="C160" s="30" t="str">
        <f>IFERROR(__xludf.DUMMYFUNCTION("""COMPUTED_VALUE"""),"hagerity_tv")</f>
        <v>hagerity_tv</v>
      </c>
      <c r="D160" s="31"/>
      <c r="E160" s="31">
        <f>IFERROR(__xludf.DUMMYFUNCTION("""COMPUTED_VALUE"""),1.5152034074309952)</f>
        <v>1.515203407</v>
      </c>
      <c r="F160" s="31">
        <f>IFERROR(__xludf.DUMMYFUNCTION("""COMPUTED_VALUE"""),-38.128907372714096)</f>
        <v>-38.12890737</v>
      </c>
      <c r="G160" s="31">
        <f>IFERROR(__xludf.DUMMYFUNCTION("""COMPUTED_VALUE"""),0.4118700947246907)</f>
        <v>0.4118700947</v>
      </c>
      <c r="H160" s="31">
        <f>IFERROR(__xludf.DUMMYFUNCTION("""COMPUTED_VALUE"""),-42.27543691858329)</f>
        <v>-42.27543692</v>
      </c>
      <c r="I160" s="54">
        <f>IFERROR(__xludf.DUMMYFUNCTION("""COMPUTED_VALUE"""),3.0)</f>
        <v>3</v>
      </c>
      <c r="J160" s="55">
        <f>IFERROR(__xludf.DUMMYFUNCTION("""COMPUTED_VALUE"""),1.0)</f>
        <v>1</v>
      </c>
      <c r="K160" s="54">
        <f>IFERROR(__xludf.DUMMYFUNCTION("""COMPUTED_VALUE"""),2.0)</f>
        <v>2</v>
      </c>
      <c r="L160" s="56">
        <f>IFERROR(__xludf.DUMMYFUNCTION("""COMPUTED_VALUE"""),0.3333333333333333)</f>
        <v>0.3333333333</v>
      </c>
      <c r="M160" s="56">
        <f>IFERROR(__xludf.DUMMYFUNCTION("""COMPUTED_VALUE"""),0.5)</f>
        <v>0.5</v>
      </c>
      <c r="N160" s="31">
        <f>IFERROR(__xludf.DUMMYFUNCTION("""COMPUTED_VALUE"""),253.0)</f>
        <v>253</v>
      </c>
      <c r="O160" s="57">
        <f>IFERROR(__xludf.DUMMYFUNCTION("""COMPUTED_VALUE"""),0.3333333333333333)</f>
        <v>0.3333333333</v>
      </c>
      <c r="P160" s="57">
        <f>IFERROR(__xludf.DUMMYFUNCTION("""COMPUTED_VALUE"""),0.6666666666666666)</f>
        <v>0.6666666667</v>
      </c>
      <c r="Q160" s="57">
        <f>IFERROR(__xludf.DUMMYFUNCTION("""COMPUTED_VALUE"""),1.3333333333333333)</f>
        <v>1.333333333</v>
      </c>
      <c r="R160" s="57">
        <f>IFERROR(__xludf.DUMMYFUNCTION("""COMPUTED_VALUE"""),0.6666666666666666)</f>
        <v>0.6666666667</v>
      </c>
      <c r="S160" s="31">
        <f>IFERROR(__xludf.DUMMYFUNCTION("""COMPUTED_VALUE"""),417.0)</f>
        <v>417</v>
      </c>
      <c r="T160" s="57">
        <f>IFERROR(__xludf.DUMMYFUNCTION("""COMPUTED_VALUE"""),1.4444444444444446)</f>
        <v>1.444444444</v>
      </c>
      <c r="U160" s="57">
        <f>IFERROR(__xludf.DUMMYFUNCTION("""COMPUTED_VALUE"""),1.2222222222222223)</f>
        <v>1.222222222</v>
      </c>
      <c r="V160" s="57">
        <f>IFERROR(__xludf.DUMMYFUNCTION("""COMPUTED_VALUE"""),0.7777777777777777)</f>
        <v>0.7777777778</v>
      </c>
      <c r="W160" s="57">
        <f>IFERROR(__xludf.DUMMYFUNCTION("""COMPUTED_VALUE"""),3.3333333333333335)</f>
        <v>3.333333333</v>
      </c>
      <c r="X160" s="31">
        <f>IFERROR(__xludf.DUMMYFUNCTION("""COMPUTED_VALUE"""),388.29421296296294)</f>
        <v>388.294213</v>
      </c>
      <c r="Y160" s="57">
        <f>IFERROR(__xludf.DUMMYFUNCTION("""COMPUTED_VALUE"""),1.0597222222222222)</f>
        <v>1.059722222</v>
      </c>
      <c r="Z160" s="57">
        <f>IFERROR(__xludf.DUMMYFUNCTION("""COMPUTED_VALUE"""),0.8055555555555555)</f>
        <v>0.8055555556</v>
      </c>
      <c r="AA160" s="57">
        <f>IFERROR(__xludf.DUMMYFUNCTION("""COMPUTED_VALUE"""),1.2564814814814815)</f>
        <v>1.256481481</v>
      </c>
      <c r="AB160" s="57">
        <f>IFERROR(__xludf.DUMMYFUNCTION("""COMPUTED_VALUE"""),2.952083333333333)</f>
        <v>2.952083333</v>
      </c>
      <c r="AC160" s="31">
        <f>IFERROR(__xludf.DUMMYFUNCTION("""COMPUTED_VALUE"""),340.6320216049383)</f>
        <v>340.6320216</v>
      </c>
      <c r="AD160" s="57">
        <f>IFERROR(__xludf.DUMMYFUNCTION("""COMPUTED_VALUE"""),0.649537037037037)</f>
        <v>0.649537037</v>
      </c>
      <c r="AE160" s="57">
        <f>IFERROR(__xludf.DUMMYFUNCTION("""COMPUTED_VALUE"""),0.5399691358024693)</f>
        <v>0.5399691358</v>
      </c>
      <c r="AF160" s="57">
        <f>IFERROR(__xludf.DUMMYFUNCTION("""COMPUTED_VALUE"""),1.4366512345679014)</f>
        <v>1.436651235</v>
      </c>
      <c r="AG160" s="57">
        <f>IFERROR(__xludf.DUMMYFUNCTION("""COMPUTED_VALUE"""),2.2838734567901233)</f>
        <v>2.283873457</v>
      </c>
      <c r="AH160" s="57">
        <f>IFERROR(__xludf.DUMMYFUNCTION("""COMPUTED_VALUE"""),0.7427369828824459)</f>
        <v>0.7427369829</v>
      </c>
      <c r="AI160" s="57">
        <f>IFERROR(__xludf.DUMMYFUNCTION("""COMPUTED_VALUE"""),0.5131860299358517)</f>
        <v>0.5131860299</v>
      </c>
      <c r="AJ160" s="57">
        <f>IFERROR(__xludf.DUMMYFUNCTION("""COMPUTED_VALUE"""),1.234638468133752)</f>
        <v>1.234638468</v>
      </c>
      <c r="AK160" s="57">
        <f>IFERROR(__xludf.DUMMYFUNCTION("""COMPUTED_VALUE"""),0.9280842150491432)</f>
        <v>0.928084215</v>
      </c>
      <c r="AL160" s="57">
        <f>IFERROR(__xludf.DUMMYFUNCTION("""COMPUTED_VALUE"""),0.29190175343761615)</f>
        <v>0.2919017534</v>
      </c>
      <c r="AM160" s="57">
        <f>IFERROR(__xludf.DUMMYFUNCTION("""COMPUTED_VALUE"""),1.0739279290772616)</f>
        <v>1.073927929</v>
      </c>
      <c r="AN160" s="57">
        <f>IFERROR(__xludf.DUMMYFUNCTION("""COMPUTED_VALUE"""),1.3630406290956751)</f>
        <v>1.363040629</v>
      </c>
      <c r="AO160" s="57">
        <f>IFERROR(__xludf.DUMMYFUNCTION("""COMPUTED_VALUE"""),1.5172413793103452)</f>
        <v>1.517241379</v>
      </c>
      <c r="AP160" s="35">
        <f>IFERROR(__xludf.DUMMYFUNCTION("""COMPUTED_VALUE"""),0.6190125276344878)</f>
        <v>0.6190125276</v>
      </c>
      <c r="AQ160" s="57">
        <f>IFERROR(__xludf.DUMMYFUNCTION("""COMPUTED_VALUE"""),1.129146083274524)</f>
        <v>1.129146083</v>
      </c>
      <c r="AR160" s="36" t="b">
        <f>IFERROR(__xludf.DUMMYFUNCTION("""COMPUTED_VALUE"""),TRUE)</f>
        <v>1</v>
      </c>
      <c r="AS160" s="57"/>
      <c r="AT160" s="37"/>
      <c r="AU160" s="30"/>
      <c r="AV160" s="30"/>
      <c r="AW160" s="30"/>
      <c r="AX160" s="30"/>
      <c r="AY160" s="30"/>
      <c r="AZ160" s="30"/>
    </row>
    <row r="161">
      <c r="A161" s="30" t="str">
        <f>IFERROR(__xludf.DUMMYFUNCTION("""COMPUTED_VALUE"""),"Challenger")</f>
        <v>Challenger</v>
      </c>
      <c r="B161" s="30" t="str">
        <f>IFERROR(__xludf.DUMMYFUNCTION("""COMPUTED_VALUE"""),"RSC005219")</f>
        <v>RSC005219</v>
      </c>
      <c r="C161" s="30" t="str">
        <f>IFERROR(__xludf.DUMMYFUNCTION("""COMPUTED_VALUE"""),"iargue")</f>
        <v>iargue</v>
      </c>
      <c r="D161" s="31" t="str">
        <f>IFERROR(__xludf.DUMMYFUNCTION("""COMPUTED_VALUE"""),"Shade")</f>
        <v>Shade</v>
      </c>
      <c r="E161" s="31">
        <f>IFERROR(__xludf.DUMMYFUNCTION("""COMPUTED_VALUE"""),-2.719986578761713)</f>
        <v>-2.719986579</v>
      </c>
      <c r="F161" s="31">
        <f>IFERROR(__xludf.DUMMYFUNCTION("""COMPUTED_VALUE"""),-57.205137227917206)</f>
        <v>-57.20513723</v>
      </c>
      <c r="G161" s="31">
        <f>IFERROR(__xludf.DUMMYFUNCTION("""COMPUTED_VALUE"""),5.803955843707882)</f>
        <v>5.803955844</v>
      </c>
      <c r="H161" s="31">
        <f>IFERROR(__xludf.DUMMYFUNCTION("""COMPUTED_VALUE"""),-25.944590531624616)</f>
        <v>-25.94459053</v>
      </c>
      <c r="I161" s="54">
        <f>IFERROR(__xludf.DUMMYFUNCTION("""COMPUTED_VALUE"""),27.0)</f>
        <v>27</v>
      </c>
      <c r="J161" s="55">
        <f>IFERROR(__xludf.DUMMYFUNCTION("""COMPUTED_VALUE"""),5.0)</f>
        <v>5</v>
      </c>
      <c r="K161" s="54">
        <f>IFERROR(__xludf.DUMMYFUNCTION("""COMPUTED_VALUE"""),22.0)</f>
        <v>22</v>
      </c>
      <c r="L161" s="56">
        <f>IFERROR(__xludf.DUMMYFUNCTION("""COMPUTED_VALUE"""),0.18518518518518517)</f>
        <v>0.1851851852</v>
      </c>
      <c r="M161" s="56">
        <f>IFERROR(__xludf.DUMMYFUNCTION("""COMPUTED_VALUE"""),0.21428571428571427)</f>
        <v>0.2142857143</v>
      </c>
      <c r="N161" s="31">
        <f>IFERROR(__xludf.DUMMYFUNCTION("""COMPUTED_VALUE"""),220.1851851851852)</f>
        <v>220.1851852</v>
      </c>
      <c r="O161" s="57">
        <f>IFERROR(__xludf.DUMMYFUNCTION("""COMPUTED_VALUE"""),0.3333333333333333)</f>
        <v>0.3333333333</v>
      </c>
      <c r="P161" s="57">
        <f>IFERROR(__xludf.DUMMYFUNCTION("""COMPUTED_VALUE"""),0.25925925925925924)</f>
        <v>0.2592592593</v>
      </c>
      <c r="Q161" s="57">
        <f>IFERROR(__xludf.DUMMYFUNCTION("""COMPUTED_VALUE"""),0.7777777777777778)</f>
        <v>0.7777777778</v>
      </c>
      <c r="R161" s="57">
        <f>IFERROR(__xludf.DUMMYFUNCTION("""COMPUTED_VALUE"""),1.5555555555555556)</f>
        <v>1.555555556</v>
      </c>
      <c r="S161" s="31">
        <f>IFERROR(__xludf.DUMMYFUNCTION("""COMPUTED_VALUE"""),371.3827160493826)</f>
        <v>371.382716</v>
      </c>
      <c r="T161" s="57">
        <f>IFERROR(__xludf.DUMMYFUNCTION("""COMPUTED_VALUE"""),0.9629629629629629)</f>
        <v>0.962962963</v>
      </c>
      <c r="U161" s="57">
        <f>IFERROR(__xludf.DUMMYFUNCTION("""COMPUTED_VALUE"""),0.7037037037037036)</f>
        <v>0.7037037037</v>
      </c>
      <c r="V161" s="57">
        <f>IFERROR(__xludf.DUMMYFUNCTION("""COMPUTED_VALUE"""),1.2962962962962963)</f>
        <v>1.296296296</v>
      </c>
      <c r="W161" s="57">
        <f>IFERROR(__xludf.DUMMYFUNCTION("""COMPUTED_VALUE"""),2.5925925925925926)</f>
        <v>2.592592593</v>
      </c>
      <c r="X161" s="31">
        <f>IFERROR(__xludf.DUMMYFUNCTION("""COMPUTED_VALUE"""),343.4874776489768)</f>
        <v>343.4874776</v>
      </c>
      <c r="Y161" s="57">
        <f>IFERROR(__xludf.DUMMYFUNCTION("""COMPUTED_VALUE"""),0.8116787193136551)</f>
        <v>0.8116787193</v>
      </c>
      <c r="Z161" s="57">
        <f>IFERROR(__xludf.DUMMYFUNCTION("""COMPUTED_VALUE"""),0.581558902310185)</f>
        <v>0.5815589023</v>
      </c>
      <c r="AA161" s="57">
        <f>IFERROR(__xludf.DUMMYFUNCTION("""COMPUTED_VALUE"""),1.243626085246983)</f>
        <v>1.243626085</v>
      </c>
      <c r="AB161" s="57">
        <f>IFERROR(__xludf.DUMMYFUNCTION("""COMPUTED_VALUE"""),2.5139282346538656)</f>
        <v>2.513928235</v>
      </c>
      <c r="AC161" s="31">
        <f>IFERROR(__xludf.DUMMYFUNCTION("""COMPUTED_VALUE"""),332.92344949540865)</f>
        <v>332.9234495</v>
      </c>
      <c r="AD161" s="57">
        <f>IFERROR(__xludf.DUMMYFUNCTION("""COMPUTED_VALUE"""),0.7612151021401203)</f>
        <v>0.7612151021</v>
      </c>
      <c r="AE161" s="57">
        <f>IFERROR(__xludf.DUMMYFUNCTION("""COMPUTED_VALUE"""),0.525392925768274)</f>
        <v>0.5253929258</v>
      </c>
      <c r="AF161" s="57">
        <f>IFERROR(__xludf.DUMMYFUNCTION("""COMPUTED_VALUE"""),1.1903935739645084)</f>
        <v>1.190393574</v>
      </c>
      <c r="AG161" s="57">
        <f>IFERROR(__xludf.DUMMYFUNCTION("""COMPUTED_VALUE"""),2.4724499860827955)</f>
        <v>2.472449986</v>
      </c>
      <c r="AH161" s="57">
        <f>IFERROR(__xludf.DUMMYFUNCTION("""COMPUTED_VALUE"""),0.6613688087123517)</f>
        <v>0.6613688087</v>
      </c>
      <c r="AI161" s="57">
        <f>IFERROR(__xludf.DUMMYFUNCTION("""COMPUTED_VALUE"""),0.4378963743575008)</f>
        <v>0.4378963744</v>
      </c>
      <c r="AJ161" s="57">
        <f>IFERROR(__xludf.DUMMYFUNCTION("""COMPUTED_VALUE"""),0.49345784182409463)</f>
        <v>0.4934578418</v>
      </c>
      <c r="AK161" s="57">
        <f>IFERROR(__xludf.DUMMYFUNCTION("""COMPUTED_VALUE"""),0.6533786764216583)</f>
        <v>0.6533786764</v>
      </c>
      <c r="AL161" s="57">
        <f>IFERROR(__xludf.DUMMYFUNCTION("""COMPUTED_VALUE"""),0.6291555195500987)</f>
        <v>0.6291555196</v>
      </c>
      <c r="AM161" s="57">
        <f>IFERROR(__xludf.DUMMYFUNCTION("""COMPUTED_VALUE"""),1.081211806006253)</f>
        <v>1.081211806</v>
      </c>
      <c r="AN161" s="57">
        <f>IFERROR(__xludf.DUMMYFUNCTION("""COMPUTED_VALUE"""),1.1863843908304406)</f>
        <v>1.186384391</v>
      </c>
      <c r="AO161" s="57">
        <f>IFERROR(__xludf.DUMMYFUNCTION("""COMPUTED_VALUE"""),1.2100299744502414)</f>
        <v>1.210029974</v>
      </c>
      <c r="AP161" s="57">
        <f>IFERROR(__xludf.DUMMYFUNCTION("""COMPUTED_VALUE"""),1.0423521279218368)</f>
        <v>1.042352128</v>
      </c>
      <c r="AQ161" s="57">
        <f>IFERROR(__xludf.DUMMYFUNCTION("""COMPUTED_VALUE"""),1.0312914095376147)</f>
        <v>1.03129141</v>
      </c>
      <c r="AR161" s="60" t="b">
        <f>IFERROR(__xludf.DUMMYFUNCTION("""COMPUTED_VALUE"""),TRUE)</f>
        <v>1</v>
      </c>
      <c r="AS161" s="57"/>
      <c r="AT161" s="30"/>
      <c r="AU161" s="30"/>
      <c r="AV161" s="30"/>
      <c r="AW161" s="30"/>
      <c r="AX161" s="30"/>
      <c r="AY161" s="30"/>
      <c r="AZ161" s="30"/>
    </row>
    <row r="162">
      <c r="A162" s="30" t="str">
        <f>IFERROR(__xludf.DUMMYFUNCTION("""COMPUTED_VALUE"""),"Challenger")</f>
        <v>Challenger</v>
      </c>
      <c r="B162" s="30" t="str">
        <f>IFERROR(__xludf.DUMMYFUNCTION("""COMPUTED_VALUE"""),"RSC006868")</f>
        <v>RSC006868</v>
      </c>
      <c r="C162" s="30" t="str">
        <f>IFERROR(__xludf.DUMMYFUNCTION("""COMPUTED_VALUE"""),"TraxStar_19")</f>
        <v>TraxStar_19</v>
      </c>
      <c r="D162" s="31" t="str">
        <f>IFERROR(__xludf.DUMMYFUNCTION("""COMPUTED_VALUE"""),"Warbirds")</f>
        <v>Warbirds</v>
      </c>
      <c r="E162" s="31">
        <f>IFERROR(__xludf.DUMMYFUNCTION("""COMPUTED_VALUE"""),-23.146796876862098)</f>
        <v>-23.14679688</v>
      </c>
      <c r="F162" s="31">
        <f>IFERROR(__xludf.DUMMYFUNCTION("""COMPUTED_VALUE"""),-582.254561227137)</f>
        <v>-582.2545612</v>
      </c>
      <c r="G162" s="31">
        <f>IFERROR(__xludf.DUMMYFUNCTION("""COMPUTED_VALUE"""),-27.936999620311568)</f>
        <v>-27.93699962</v>
      </c>
      <c r="H162" s="31">
        <f>IFERROR(__xludf.DUMMYFUNCTION("""COMPUTED_VALUE"""),-1096.4651876937824)</f>
        <v>-1096.465188</v>
      </c>
      <c r="I162" s="54">
        <f>IFERROR(__xludf.DUMMYFUNCTION("""COMPUTED_VALUE"""),6.0)</f>
        <v>6</v>
      </c>
      <c r="J162" s="55">
        <f>IFERROR(__xludf.DUMMYFUNCTION("""COMPUTED_VALUE"""),2.0)</f>
        <v>2</v>
      </c>
      <c r="K162" s="54">
        <f>IFERROR(__xludf.DUMMYFUNCTION("""COMPUTED_VALUE"""),4.0)</f>
        <v>4</v>
      </c>
      <c r="L162" s="56">
        <f>IFERROR(__xludf.DUMMYFUNCTION("""COMPUTED_VALUE"""),0.3333333333333333)</f>
        <v>0.3333333333</v>
      </c>
      <c r="M162" s="56">
        <f>IFERROR(__xludf.DUMMYFUNCTION("""COMPUTED_VALUE"""),0.375)</f>
        <v>0.375</v>
      </c>
      <c r="N162" s="31">
        <f>IFERROR(__xludf.DUMMYFUNCTION("""COMPUTED_VALUE"""),194.5)</f>
        <v>194.5</v>
      </c>
      <c r="O162" s="57">
        <f>IFERROR(__xludf.DUMMYFUNCTION("""COMPUTED_VALUE"""),0.5)</f>
        <v>0.5</v>
      </c>
      <c r="P162" s="57">
        <f>IFERROR(__xludf.DUMMYFUNCTION("""COMPUTED_VALUE"""),0.0)</f>
        <v>0</v>
      </c>
      <c r="Q162" s="57">
        <f>IFERROR(__xludf.DUMMYFUNCTION("""COMPUTED_VALUE"""),1.3333333333333333)</f>
        <v>1.333333333</v>
      </c>
      <c r="R162" s="57">
        <f>IFERROR(__xludf.DUMMYFUNCTION("""COMPUTED_VALUE"""),1.3333333333333333)</f>
        <v>1.333333333</v>
      </c>
      <c r="S162" s="31">
        <f>IFERROR(__xludf.DUMMYFUNCTION("""COMPUTED_VALUE"""),424.6666666666667)</f>
        <v>424.6666667</v>
      </c>
      <c r="T162" s="57">
        <f>IFERROR(__xludf.DUMMYFUNCTION("""COMPUTED_VALUE"""),1.2777777777777777)</f>
        <v>1.277777778</v>
      </c>
      <c r="U162" s="57">
        <f>IFERROR(__xludf.DUMMYFUNCTION("""COMPUTED_VALUE"""),1.0)</f>
        <v>1</v>
      </c>
      <c r="V162" s="57">
        <f>IFERROR(__xludf.DUMMYFUNCTION("""COMPUTED_VALUE"""),1.0)</f>
        <v>1</v>
      </c>
      <c r="W162" s="57">
        <f>IFERROR(__xludf.DUMMYFUNCTION("""COMPUTED_VALUE"""),3.944444444444444)</f>
        <v>3.944444444</v>
      </c>
      <c r="X162" s="31">
        <f>IFERROR(__xludf.DUMMYFUNCTION("""COMPUTED_VALUE"""),344.895126499425)</f>
        <v>344.8951265</v>
      </c>
      <c r="Y162" s="57">
        <f>IFERROR(__xludf.DUMMYFUNCTION("""COMPUTED_VALUE"""),0.8413617059727118)</f>
        <v>0.841361706</v>
      </c>
      <c r="Z162" s="57">
        <f>IFERROR(__xludf.DUMMYFUNCTION("""COMPUTED_VALUE"""),0.6061366402395287)</f>
        <v>0.6061366402</v>
      </c>
      <c r="AA162" s="57">
        <f>IFERROR(__xludf.DUMMYFUNCTION("""COMPUTED_VALUE"""),1.1514485423799148)</f>
        <v>1.151448542</v>
      </c>
      <c r="AB162" s="57">
        <f>IFERROR(__xludf.DUMMYFUNCTION("""COMPUTED_VALUE"""),2.571758715433605)</f>
        <v>2.571758715</v>
      </c>
      <c r="AC162" s="31">
        <f>IFERROR(__xludf.DUMMYFUNCTION("""COMPUTED_VALUE"""),321.9146292401203)</f>
        <v>321.9146292</v>
      </c>
      <c r="AD162" s="57">
        <f>IFERROR(__xludf.DUMMYFUNCTION("""COMPUTED_VALUE"""),0.6945268828359699)</f>
        <v>0.6945268828</v>
      </c>
      <c r="AE162" s="57">
        <f>IFERROR(__xludf.DUMMYFUNCTION("""COMPUTED_VALUE"""),0.4990720800466742)</f>
        <v>0.49907208</v>
      </c>
      <c r="AF162" s="57">
        <f>IFERROR(__xludf.DUMMYFUNCTION("""COMPUTED_VALUE"""),1.2663550266781343)</f>
        <v>1.266355027</v>
      </c>
      <c r="AG162" s="57">
        <f>IFERROR(__xludf.DUMMYFUNCTION("""COMPUTED_VALUE"""),2.2223065988641575)</f>
        <v>2.222306599</v>
      </c>
      <c r="AH162" s="57">
        <f>IFERROR(__xludf.DUMMYFUNCTION("""COMPUTED_VALUE"""),0.6041974558879706)</f>
        <v>0.6041974559</v>
      </c>
      <c r="AI162" s="57">
        <f>IFERROR(__xludf.DUMMYFUNCTION("""COMPUTED_VALUE"""),0.7199145380209677)</f>
        <v>0.719914538</v>
      </c>
      <c r="AJ162" s="57">
        <f>IFERROR(__xludf.DUMMYFUNCTION("""COMPUTED_VALUE"""),0.0)</f>
        <v>0</v>
      </c>
      <c r="AK162" s="57">
        <f>IFERROR(__xludf.DUMMYFUNCTION("""COMPUTED_VALUE"""),1.0528906232803408)</f>
        <v>1.052890623</v>
      </c>
      <c r="AL162" s="57">
        <f>IFERROR(__xludf.DUMMYFUNCTION("""COMPUTED_VALUE"""),0.5999772191716538)</f>
        <v>0.5999772192</v>
      </c>
      <c r="AM162" s="57">
        <f>IFERROR(__xludf.DUMMYFUNCTION("""COMPUTED_VALUE"""),1.2312921640177907)</f>
        <v>1.231292164</v>
      </c>
      <c r="AN162" s="57">
        <f>IFERROR(__xludf.DUMMYFUNCTION("""COMPUTED_VALUE"""),1.5187020858056741)</f>
        <v>1.518702086</v>
      </c>
      <c r="AO162" s="57">
        <f>IFERROR(__xludf.DUMMYFUNCTION("""COMPUTED_VALUE"""),1.6497930229144822)</f>
        <v>1.649793023</v>
      </c>
      <c r="AP162" s="35">
        <f>IFERROR(__xludf.DUMMYFUNCTION("""COMPUTED_VALUE"""),0.868471289158187)</f>
        <v>0.8684712892</v>
      </c>
      <c r="AQ162" s="57">
        <f>IFERROR(__xludf.DUMMYFUNCTION("""COMPUTED_VALUE"""),1.5337536996659507)</f>
        <v>1.5337537</v>
      </c>
      <c r="AR162" s="36" t="b">
        <f>IFERROR(__xludf.DUMMYFUNCTION("""COMPUTED_VALUE"""),TRUE)</f>
        <v>1</v>
      </c>
      <c r="AS162" s="57"/>
      <c r="AT162" s="37"/>
      <c r="AU162" s="30"/>
      <c r="AV162" s="30"/>
      <c r="AW162" s="30"/>
      <c r="AX162" s="30"/>
      <c r="AY162" s="30"/>
      <c r="AZ162" s="30"/>
    </row>
    <row r="163">
      <c r="A163" s="30" t="str">
        <f>IFERROR(__xludf.DUMMYFUNCTION("""COMPUTED_VALUE"""),"Challenger")</f>
        <v>Challenger</v>
      </c>
      <c r="B163" s="30" t="str">
        <f>IFERROR(__xludf.DUMMYFUNCTION("""COMPUTED_VALUE"""),"RSC007874")</f>
        <v>RSC007874</v>
      </c>
      <c r="C163" s="30" t="str">
        <f>IFERROR(__xludf.DUMMYFUNCTION("""COMPUTED_VALUE"""),"SALTY NUM NUM")</f>
        <v>SALTY NUM NUM</v>
      </c>
      <c r="D163" s="31" t="str">
        <f>IFERROR(__xludf.DUMMYFUNCTION("""COMPUTED_VALUE"""),"Apple Associates")</f>
        <v>Apple Associates</v>
      </c>
      <c r="E163" s="31">
        <f>IFERROR(__xludf.DUMMYFUNCTION("""COMPUTED_VALUE"""),-38.89197075772786)</f>
        <v>-38.89197076</v>
      </c>
      <c r="F163" s="31">
        <f>IFERROR(__xludf.DUMMYFUNCTION("""COMPUTED_VALUE"""),-5304.977835243714)</f>
        <v>-5304.977835</v>
      </c>
      <c r="G163" s="31">
        <f>IFERROR(__xludf.DUMMYFUNCTION("""COMPUTED_VALUE"""),-20.260610616304092)</f>
        <v>-20.26061062</v>
      </c>
      <c r="H163" s="31">
        <f>IFERROR(__xludf.DUMMYFUNCTION("""COMPUTED_VALUE"""),-404.23470484700425)</f>
        <v>-404.2347048</v>
      </c>
      <c r="I163" s="54">
        <f>IFERROR(__xludf.DUMMYFUNCTION("""COMPUTED_VALUE"""),6.0)</f>
        <v>6</v>
      </c>
      <c r="J163" s="55">
        <f>IFERROR(__xludf.DUMMYFUNCTION("""COMPUTED_VALUE"""),1.0)</f>
        <v>1</v>
      </c>
      <c r="K163" s="54">
        <f>IFERROR(__xludf.DUMMYFUNCTION("""COMPUTED_VALUE"""),5.0)</f>
        <v>5</v>
      </c>
      <c r="L163" s="56">
        <f>IFERROR(__xludf.DUMMYFUNCTION("""COMPUTED_VALUE"""),0.16666666666666666)</f>
        <v>0.1666666667</v>
      </c>
      <c r="M163" s="56">
        <f>IFERROR(__xludf.DUMMYFUNCTION("""COMPUTED_VALUE"""),0.5)</f>
        <v>0.5</v>
      </c>
      <c r="N163" s="31">
        <f>IFERROR(__xludf.DUMMYFUNCTION("""COMPUTED_VALUE"""),185.0)</f>
        <v>185</v>
      </c>
      <c r="O163" s="57">
        <f>IFERROR(__xludf.DUMMYFUNCTION("""COMPUTED_VALUE"""),0.3333333333333333)</f>
        <v>0.3333333333</v>
      </c>
      <c r="P163" s="57">
        <f>IFERROR(__xludf.DUMMYFUNCTION("""COMPUTED_VALUE"""),0.0)</f>
        <v>0</v>
      </c>
      <c r="Q163" s="57">
        <f>IFERROR(__xludf.DUMMYFUNCTION("""COMPUTED_VALUE"""),0.8333333333333334)</f>
        <v>0.8333333333</v>
      </c>
      <c r="R163" s="57">
        <f>IFERROR(__xludf.DUMMYFUNCTION("""COMPUTED_VALUE"""),0.6666666666666666)</f>
        <v>0.6666666667</v>
      </c>
      <c r="S163" s="31">
        <f>IFERROR(__xludf.DUMMYFUNCTION("""COMPUTED_VALUE"""),381.7222222222222)</f>
        <v>381.7222222</v>
      </c>
      <c r="T163" s="57">
        <f>IFERROR(__xludf.DUMMYFUNCTION("""COMPUTED_VALUE"""),1.388888888888889)</f>
        <v>1.388888889</v>
      </c>
      <c r="U163" s="57">
        <f>IFERROR(__xludf.DUMMYFUNCTION("""COMPUTED_VALUE"""),0.9444444444444443)</f>
        <v>0.9444444444</v>
      </c>
      <c r="V163" s="57">
        <f>IFERROR(__xludf.DUMMYFUNCTION("""COMPUTED_VALUE"""),0.4444444444444445)</f>
        <v>0.4444444444</v>
      </c>
      <c r="W163" s="57">
        <f>IFERROR(__xludf.DUMMYFUNCTION("""COMPUTED_VALUE"""),3.2222222222222228)</f>
        <v>3.222222222</v>
      </c>
      <c r="X163" s="31">
        <f>IFERROR(__xludf.DUMMYFUNCTION("""COMPUTED_VALUE"""),324.0456183492911)</f>
        <v>324.0456183</v>
      </c>
      <c r="Y163" s="57">
        <f>IFERROR(__xludf.DUMMYFUNCTION("""COMPUTED_VALUE"""),0.7507852507789257)</f>
        <v>0.7507852508</v>
      </c>
      <c r="Z163" s="57">
        <f>IFERROR(__xludf.DUMMYFUNCTION("""COMPUTED_VALUE"""),0.5954593179366529)</f>
        <v>0.5954593179</v>
      </c>
      <c r="AA163" s="57">
        <f>IFERROR(__xludf.DUMMYFUNCTION("""COMPUTED_VALUE"""),0.9612321360244617)</f>
        <v>0.961232136</v>
      </c>
      <c r="AB163" s="57">
        <f>IFERROR(__xludf.DUMMYFUNCTION("""COMPUTED_VALUE"""),2.411356775286777)</f>
        <v>2.411356775</v>
      </c>
      <c r="AC163" s="31">
        <f>IFERROR(__xludf.DUMMYFUNCTION("""COMPUTED_VALUE"""),296.20697640744874)</f>
        <v>296.2069764</v>
      </c>
      <c r="AD163" s="57">
        <f>IFERROR(__xludf.DUMMYFUNCTION("""COMPUTED_VALUE"""),0.6255555704294197)</f>
        <v>0.6255555704</v>
      </c>
      <c r="AE163" s="57">
        <f>IFERROR(__xludf.DUMMYFUNCTION("""COMPUTED_VALUE"""),0.41005145985116465)</f>
        <v>0.4100514599</v>
      </c>
      <c r="AF163" s="57">
        <f>IFERROR(__xludf.DUMMYFUNCTION("""COMPUTED_VALUE"""),1.1469333290199129)</f>
        <v>1.146933329</v>
      </c>
      <c r="AG163" s="57">
        <f>IFERROR(__xludf.DUMMYFUNCTION("""COMPUTED_VALUE"""),1.961857552260251)</f>
        <v>1.961857552</v>
      </c>
      <c r="AH163" s="57">
        <f>IFERROR(__xludf.DUMMYFUNCTION("""COMPUTED_VALUE"""),0.6245632774885169)</f>
        <v>0.6245632775</v>
      </c>
      <c r="AI163" s="57">
        <f>IFERROR(__xludf.DUMMYFUNCTION("""COMPUTED_VALUE"""),0.5328596676143622)</f>
        <v>0.5328596676</v>
      </c>
      <c r="AJ163" s="57">
        <f>IFERROR(__xludf.DUMMYFUNCTION("""COMPUTED_VALUE"""),0.0)</f>
        <v>0</v>
      </c>
      <c r="AK163" s="57">
        <f>IFERROR(__xludf.DUMMYFUNCTION("""COMPUTED_VALUE"""),0.7265752177987891)</f>
        <v>0.7265752178</v>
      </c>
      <c r="AL163" s="57">
        <f>IFERROR(__xludf.DUMMYFUNCTION("""COMPUTED_VALUE"""),0.33981400224425146)</f>
        <v>0.3398140022</v>
      </c>
      <c r="AM163" s="57">
        <f>IFERROR(__xludf.DUMMYFUNCTION("""COMPUTED_VALUE"""),1.1779891490795011)</f>
        <v>1.177989149</v>
      </c>
      <c r="AN163" s="57">
        <f>IFERROR(__xludf.DUMMYFUNCTION("""COMPUTED_VALUE"""),1.849914988937173)</f>
        <v>1.849914989</v>
      </c>
      <c r="AO163" s="57">
        <f>IFERROR(__xludf.DUMMYFUNCTION("""COMPUTED_VALUE"""),1.5860771945211507)</f>
        <v>1.586077195</v>
      </c>
      <c r="AP163" s="35">
        <f>IFERROR(__xludf.DUMMYFUNCTION("""COMPUTED_VALUE"""),0.4623695232273572)</f>
        <v>0.4623695232</v>
      </c>
      <c r="AQ163" s="57">
        <f>IFERROR(__xludf.DUMMYFUNCTION("""COMPUTED_VALUE"""),1.3362693796479002)</f>
        <v>1.33626938</v>
      </c>
      <c r="AR163" s="36" t="b">
        <f>IFERROR(__xludf.DUMMYFUNCTION("""COMPUTED_VALUE"""),TRUE)</f>
        <v>1</v>
      </c>
      <c r="AS163" s="57"/>
      <c r="AT163" s="37"/>
      <c r="AU163" s="30"/>
      <c r="AV163" s="30"/>
      <c r="AW163" s="30"/>
      <c r="AX163" s="30"/>
      <c r="AY163" s="30"/>
      <c r="AZ163" s="30"/>
    </row>
    <row r="164">
      <c r="A164" s="30" t="str">
        <f>IFERROR(__xludf.DUMMYFUNCTION("""COMPUTED_VALUE"""),"Contender")</f>
        <v>Contender</v>
      </c>
      <c r="B164" s="30" t="str">
        <f>IFERROR(__xludf.DUMMYFUNCTION("""COMPUTED_VALUE"""),"RSC006439")</f>
        <v>RSC006439</v>
      </c>
      <c r="C164" s="30" t="str">
        <f>IFERROR(__xludf.DUMMYFUNCTION("""COMPUTED_VALUE"""),"sel_en_ium")</f>
        <v>sel_en_ium</v>
      </c>
      <c r="D164" s="31"/>
      <c r="E164" s="31">
        <f>IFERROR(__xludf.DUMMYFUNCTION("""COMPUTED_VALUE"""),137.02038164764957)</f>
        <v>137.0203816</v>
      </c>
      <c r="F164" s="31">
        <f>IFERROR(__xludf.DUMMYFUNCTION("""COMPUTED_VALUE"""),4000.8790822305664)</f>
        <v>4000.879082</v>
      </c>
      <c r="G164" s="31">
        <f>IFERROR(__xludf.DUMMYFUNCTION("""COMPUTED_VALUE"""),102.25150687520923)</f>
        <v>102.2515069</v>
      </c>
      <c r="H164" s="31">
        <f>IFERROR(__xludf.DUMMYFUNCTION("""COMPUTED_VALUE"""),54.626323004728846)</f>
        <v>54.626323</v>
      </c>
      <c r="I164" s="54">
        <f>IFERROR(__xludf.DUMMYFUNCTION("""COMPUTED_VALUE"""),1.0)</f>
        <v>1</v>
      </c>
      <c r="J164" s="55">
        <f>IFERROR(__xludf.DUMMYFUNCTION("""COMPUTED_VALUE"""),1.0)</f>
        <v>1</v>
      </c>
      <c r="K164" s="54">
        <f>IFERROR(__xludf.DUMMYFUNCTION("""COMPUTED_VALUE"""),0.0)</f>
        <v>0</v>
      </c>
      <c r="L164" s="56">
        <f>IFERROR(__xludf.DUMMYFUNCTION("""COMPUTED_VALUE"""),1.0)</f>
        <v>1</v>
      </c>
      <c r="M164" s="56">
        <f>IFERROR(__xludf.DUMMYFUNCTION("""COMPUTED_VALUE"""),0.3333333333333333)</f>
        <v>0.3333333333</v>
      </c>
      <c r="N164" s="31">
        <f>IFERROR(__xludf.DUMMYFUNCTION("""COMPUTED_VALUE"""),378.0)</f>
        <v>378</v>
      </c>
      <c r="O164" s="57">
        <f>IFERROR(__xludf.DUMMYFUNCTION("""COMPUTED_VALUE"""),1.0)</f>
        <v>1</v>
      </c>
      <c r="P164" s="57">
        <f>IFERROR(__xludf.DUMMYFUNCTION("""COMPUTED_VALUE"""),2.0)</f>
        <v>2</v>
      </c>
      <c r="Q164" s="57">
        <f>IFERROR(__xludf.DUMMYFUNCTION("""COMPUTED_VALUE"""),1.0)</f>
        <v>1</v>
      </c>
      <c r="R164" s="57">
        <f>IFERROR(__xludf.DUMMYFUNCTION("""COMPUTED_VALUE"""),3.0)</f>
        <v>3</v>
      </c>
      <c r="S164" s="31">
        <f>IFERROR(__xludf.DUMMYFUNCTION("""COMPUTED_VALUE"""),167.33333333333334)</f>
        <v>167.3333333</v>
      </c>
      <c r="T164" s="57">
        <f>IFERROR(__xludf.DUMMYFUNCTION("""COMPUTED_VALUE"""),0.3333333333333333)</f>
        <v>0.3333333333</v>
      </c>
      <c r="U164" s="57">
        <f>IFERROR(__xludf.DUMMYFUNCTION("""COMPUTED_VALUE"""),0.0)</f>
        <v>0</v>
      </c>
      <c r="V164" s="57">
        <f>IFERROR(__xludf.DUMMYFUNCTION("""COMPUTED_VALUE"""),0.6666666666666666)</f>
        <v>0.6666666667</v>
      </c>
      <c r="W164" s="57">
        <f>IFERROR(__xludf.DUMMYFUNCTION("""COMPUTED_VALUE"""),1.3333333333333333)</f>
        <v>1.333333333</v>
      </c>
      <c r="X164" s="31">
        <f>IFERROR(__xludf.DUMMYFUNCTION("""COMPUTED_VALUE"""),332.0986590038314)</f>
        <v>332.098659</v>
      </c>
      <c r="Y164" s="57">
        <f>IFERROR(__xludf.DUMMYFUNCTION("""COMPUTED_VALUE"""),0.8199233716475095)</f>
        <v>0.8199233716</v>
      </c>
      <c r="Z164" s="57">
        <f>IFERROR(__xludf.DUMMYFUNCTION("""COMPUTED_VALUE"""),0.603448275862069)</f>
        <v>0.6034482759</v>
      </c>
      <c r="AA164" s="57">
        <f>IFERROR(__xludf.DUMMYFUNCTION("""COMPUTED_VALUE"""),0.9592911877394635)</f>
        <v>0.9592911877</v>
      </c>
      <c r="AB164" s="57">
        <f>IFERROR(__xludf.DUMMYFUNCTION("""COMPUTED_VALUE"""),2.1920498084291187)</f>
        <v>2.192049808</v>
      </c>
      <c r="AC164" s="31">
        <f>IFERROR(__xludf.DUMMYFUNCTION("""COMPUTED_VALUE"""),336.86685823754783)</f>
        <v>336.8668582</v>
      </c>
      <c r="AD164" s="57">
        <f>IFERROR(__xludf.DUMMYFUNCTION("""COMPUTED_VALUE"""),0.8903256704980843)</f>
        <v>0.8903256705</v>
      </c>
      <c r="AE164" s="57">
        <f>IFERROR(__xludf.DUMMYFUNCTION("""COMPUTED_VALUE"""),0.6152618135376756)</f>
        <v>0.6152618135</v>
      </c>
      <c r="AF164" s="57">
        <f>IFERROR(__xludf.DUMMYFUNCTION("""COMPUTED_VALUE"""),0.9776500638569604)</f>
        <v>0.9776500639</v>
      </c>
      <c r="AG164" s="57">
        <f>IFERROR(__xludf.DUMMYFUNCTION("""COMPUTED_VALUE"""),2.1645913154533845)</f>
        <v>2.164591315</v>
      </c>
      <c r="AH164" s="57">
        <f>IFERROR(__xludf.DUMMYFUNCTION("""COMPUTED_VALUE"""),1.1221050416703395)</f>
        <v>1.122105042</v>
      </c>
      <c r="AI164" s="57">
        <f>IFERROR(__xludf.DUMMYFUNCTION("""COMPUTED_VALUE"""),1.1231845077998923)</f>
        <v>1.123184508</v>
      </c>
      <c r="AJ164" s="57">
        <f>IFERROR(__xludf.DUMMYFUNCTION("""COMPUTED_VALUE"""),3.250648676699533)</f>
        <v>3.250648677</v>
      </c>
      <c r="AK164" s="57">
        <f>IFERROR(__xludf.DUMMYFUNCTION("""COMPUTED_VALUE"""),1.022860875244938)</f>
        <v>1.022860875</v>
      </c>
      <c r="AL164" s="57">
        <f>IFERROR(__xludf.DUMMYFUNCTION("""COMPUTED_VALUE"""),1.3859429161442585)</f>
        <v>1.385942916</v>
      </c>
      <c r="AM164" s="57">
        <f>IFERROR(__xludf.DUMMYFUNCTION("""COMPUTED_VALUE"""),0.503866332478635)</f>
        <v>0.5038663325</v>
      </c>
      <c r="AN164" s="57">
        <f>IFERROR(__xludf.DUMMYFUNCTION("""COMPUTED_VALUE"""),0.40654205607476634)</f>
        <v>0.4065420561</v>
      </c>
      <c r="AO164" s="57">
        <f>IFERROR(__xludf.DUMMYFUNCTION("""COMPUTED_VALUE"""),0.0)</f>
        <v>0</v>
      </c>
      <c r="AP164" s="35">
        <f>IFERROR(__xludf.DUMMYFUNCTION("""COMPUTED_VALUE"""),0.6949575636545182)</f>
        <v>0.6949575637</v>
      </c>
      <c r="AQ164" s="57">
        <f>IFERROR(__xludf.DUMMYFUNCTION("""COMPUTED_VALUE"""),0.6082586847279877)</f>
        <v>0.6082586847</v>
      </c>
      <c r="AR164" s="36" t="b">
        <f>IFERROR(__xludf.DUMMYFUNCTION("""COMPUTED_VALUE"""),TRUE)</f>
        <v>1</v>
      </c>
      <c r="AS164" s="57"/>
      <c r="AT164" s="37"/>
      <c r="AU164" s="30"/>
      <c r="AV164" s="30"/>
      <c r="AW164" s="30"/>
      <c r="AX164" s="30"/>
      <c r="AY164" s="30"/>
      <c r="AZ164" s="30"/>
    </row>
    <row r="165">
      <c r="A165" s="30" t="str">
        <f>IFERROR(__xludf.DUMMYFUNCTION("""COMPUTED_VALUE"""),"Contender")</f>
        <v>Contender</v>
      </c>
      <c r="B165" s="30" t="str">
        <f>IFERROR(__xludf.DUMMYFUNCTION("""COMPUTED_VALUE"""),"RSC007284")</f>
        <v>RSC007284</v>
      </c>
      <c r="C165" s="30" t="str">
        <f>IFERROR(__xludf.DUMMYFUNCTION("""COMPUTED_VALUE"""),"7aco104")</f>
        <v>7aco104</v>
      </c>
      <c r="D165" s="31" t="str">
        <f>IFERROR(__xludf.DUMMYFUNCTION("""COMPUTED_VALUE"""),"Cheese Pizza")</f>
        <v>Cheese Pizza</v>
      </c>
      <c r="E165" s="31">
        <f>IFERROR(__xludf.DUMMYFUNCTION("""COMPUTED_VALUE"""),95.76416989930809)</f>
        <v>95.7641699</v>
      </c>
      <c r="F165" s="31">
        <f>IFERROR(__xludf.DUMMYFUNCTION("""COMPUTED_VALUE"""),29.77731259317379)</f>
        <v>29.77731259</v>
      </c>
      <c r="G165" s="31">
        <f>IFERROR(__xludf.DUMMYFUNCTION("""COMPUTED_VALUE"""),81.16429048384819)</f>
        <v>81.16429048</v>
      </c>
      <c r="H165" s="31">
        <f>IFERROR(__xludf.DUMMYFUNCTION("""COMPUTED_VALUE"""),9.40934646340052)</f>
        <v>9.409346463</v>
      </c>
      <c r="I165" s="54">
        <f>IFERROR(__xludf.DUMMYFUNCTION("""COMPUTED_VALUE"""),35.0)</f>
        <v>35</v>
      </c>
      <c r="J165" s="55">
        <f>IFERROR(__xludf.DUMMYFUNCTION("""COMPUTED_VALUE"""),25.0)</f>
        <v>25</v>
      </c>
      <c r="K165" s="54">
        <f>IFERROR(__xludf.DUMMYFUNCTION("""COMPUTED_VALUE"""),10.0)</f>
        <v>10</v>
      </c>
      <c r="L165" s="56">
        <f>IFERROR(__xludf.DUMMYFUNCTION("""COMPUTED_VALUE"""),0.7142857142857143)</f>
        <v>0.7142857143</v>
      </c>
      <c r="M165" s="56">
        <f>IFERROR(__xludf.DUMMYFUNCTION("""COMPUTED_VALUE"""),0.4495412844036697)</f>
        <v>0.4495412844</v>
      </c>
      <c r="N165" s="31">
        <f>IFERROR(__xludf.DUMMYFUNCTION("""COMPUTED_VALUE"""),421.2)</f>
        <v>421.2</v>
      </c>
      <c r="O165" s="57">
        <f>IFERROR(__xludf.DUMMYFUNCTION("""COMPUTED_VALUE"""),1.4)</f>
        <v>1.4</v>
      </c>
      <c r="P165" s="57">
        <f>IFERROR(__xludf.DUMMYFUNCTION("""COMPUTED_VALUE"""),0.7428571428571429)</f>
        <v>0.7428571429</v>
      </c>
      <c r="Q165" s="57">
        <f>IFERROR(__xludf.DUMMYFUNCTION("""COMPUTED_VALUE"""),1.2)</f>
        <v>1.2</v>
      </c>
      <c r="R165" s="57">
        <f>IFERROR(__xludf.DUMMYFUNCTION("""COMPUTED_VALUE"""),3.1142857142857143)</f>
        <v>3.114285714</v>
      </c>
      <c r="S165" s="31">
        <f>IFERROR(__xludf.DUMMYFUNCTION("""COMPUTED_VALUE"""),306.3142857142857)</f>
        <v>306.3142857</v>
      </c>
      <c r="T165" s="57">
        <f>IFERROR(__xludf.DUMMYFUNCTION("""COMPUTED_VALUE"""),0.6095238095238094)</f>
        <v>0.6095238095</v>
      </c>
      <c r="U165" s="57">
        <f>IFERROR(__xludf.DUMMYFUNCTION("""COMPUTED_VALUE"""),0.3809523809523811)</f>
        <v>0.380952381</v>
      </c>
      <c r="V165" s="57">
        <f>IFERROR(__xludf.DUMMYFUNCTION("""COMPUTED_VALUE"""),1.2476190476190478)</f>
        <v>1.247619048</v>
      </c>
      <c r="W165" s="57">
        <f>IFERROR(__xludf.DUMMYFUNCTION("""COMPUTED_VALUE"""),2.0000000000000004)</f>
        <v>2</v>
      </c>
      <c r="X165" s="31">
        <f>IFERROR(__xludf.DUMMYFUNCTION("""COMPUTED_VALUE"""),325.54878677131535)</f>
        <v>325.5487868</v>
      </c>
      <c r="Y165" s="57">
        <f>IFERROR(__xludf.DUMMYFUNCTION("""COMPUTED_VALUE"""),0.7856479577429777)</f>
        <v>0.7856479577</v>
      </c>
      <c r="Z165" s="57">
        <f>IFERROR(__xludf.DUMMYFUNCTION("""COMPUTED_VALUE"""),0.5405530043060564)</f>
        <v>0.5405530043</v>
      </c>
      <c r="AA165" s="57">
        <f>IFERROR(__xludf.DUMMYFUNCTION("""COMPUTED_VALUE"""),1.0731094605293774)</f>
        <v>1.073109461</v>
      </c>
      <c r="AB165" s="57">
        <f>IFERROR(__xludf.DUMMYFUNCTION("""COMPUTED_VALUE"""),2.242640440299134)</f>
        <v>2.24264044</v>
      </c>
      <c r="AC165" s="31">
        <f>IFERROR(__xludf.DUMMYFUNCTION("""COMPUTED_VALUE"""),325.47037830330055)</f>
        <v>325.4703783</v>
      </c>
      <c r="AD165" s="57">
        <f>IFERROR(__xludf.DUMMYFUNCTION("""COMPUTED_VALUE"""),0.7996734045879141)</f>
        <v>0.7996734046</v>
      </c>
      <c r="AE165" s="57">
        <f>IFERROR(__xludf.DUMMYFUNCTION("""COMPUTED_VALUE"""),0.5390681063655498)</f>
        <v>0.5390681064</v>
      </c>
      <c r="AF165" s="57">
        <f>IFERROR(__xludf.DUMMYFUNCTION("""COMPUTED_VALUE"""),1.0529608490872542)</f>
        <v>1.052960849</v>
      </c>
      <c r="AG165" s="57">
        <f>IFERROR(__xludf.DUMMYFUNCTION("""COMPUTED_VALUE"""),2.2764213335279395)</f>
        <v>2.276421334</v>
      </c>
      <c r="AH165" s="57">
        <f>IFERROR(__xludf.DUMMYFUNCTION("""COMPUTED_VALUE"""),1.2941269869035226)</f>
        <v>1.294126987</v>
      </c>
      <c r="AI165" s="57">
        <f>IFERROR(__xludf.DUMMYFUNCTION("""COMPUTED_VALUE"""),1.7507147192439703)</f>
        <v>1.750714719</v>
      </c>
      <c r="AJ165" s="57">
        <f>IFERROR(__xludf.DUMMYFUNCTION("""COMPUTED_VALUE"""),1.3780394983215736)</f>
        <v>1.378039498</v>
      </c>
      <c r="AK165" s="57">
        <f>IFERROR(__xludf.DUMMYFUNCTION("""COMPUTED_VALUE"""),1.13964351195033)</f>
        <v>1.139643512</v>
      </c>
      <c r="AL165" s="57">
        <f>IFERROR(__xludf.DUMMYFUNCTION("""COMPUTED_VALUE"""),1.3680620842975821)</f>
        <v>1.368062084</v>
      </c>
      <c r="AM165" s="57">
        <f>IFERROR(__xludf.DUMMYFUNCTION("""COMPUTED_VALUE"""),0.9409166864119168)</f>
        <v>0.9409166864</v>
      </c>
      <c r="AN165" s="57">
        <f>IFERROR(__xludf.DUMMYFUNCTION("""COMPUTED_VALUE"""),0.7758230687378853)</f>
        <v>0.7758230687</v>
      </c>
      <c r="AO165" s="57">
        <f>IFERROR(__xludf.DUMMYFUNCTION("""COMPUTED_VALUE"""),0.704745654760415)</f>
        <v>0.7047456548</v>
      </c>
      <c r="AP165" s="35">
        <f>IFERROR(__xludf.DUMMYFUNCTION("""COMPUTED_VALUE"""),1.1626204907406024)</f>
        <v>1.162620491</v>
      </c>
      <c r="AQ165" s="57">
        <f>IFERROR(__xludf.DUMMYFUNCTION("""COMPUTED_VALUE"""),0.8918059105958293)</f>
        <v>0.8918059106</v>
      </c>
      <c r="AR165" s="36" t="b">
        <f>IFERROR(__xludf.DUMMYFUNCTION("""COMPUTED_VALUE"""),TRUE)</f>
        <v>1</v>
      </c>
      <c r="AS165" s="57"/>
      <c r="AT165" s="37"/>
      <c r="AU165" s="30"/>
      <c r="AV165" s="30"/>
      <c r="AW165" s="30"/>
      <c r="AX165" s="30"/>
      <c r="AY165" s="30"/>
      <c r="AZ165" s="30"/>
    </row>
    <row r="166">
      <c r="A166" s="30" t="str">
        <f>IFERROR(__xludf.DUMMYFUNCTION("""COMPUTED_VALUE"""),"Contender")</f>
        <v>Contender</v>
      </c>
      <c r="B166" s="30" t="str">
        <f>IFERROR(__xludf.DUMMYFUNCTION("""COMPUTED_VALUE"""),"RSC007537")</f>
        <v>RSC007537</v>
      </c>
      <c r="C166" s="30" t="str">
        <f>IFERROR(__xludf.DUMMYFUNCTION("""COMPUTED_VALUE"""),"yoshawatt")</f>
        <v>yoshawatt</v>
      </c>
      <c r="D166" s="31" t="str">
        <f>IFERROR(__xludf.DUMMYFUNCTION("""COMPUTED_VALUE"""),"Rheas")</f>
        <v>Rheas</v>
      </c>
      <c r="E166" s="31">
        <f>IFERROR(__xludf.DUMMYFUNCTION("""COMPUTED_VALUE"""),87.09959093336046)</f>
        <v>87.09959093</v>
      </c>
      <c r="F166" s="31">
        <f>IFERROR(__xludf.DUMMYFUNCTION("""COMPUTED_VALUE"""),14.51239146016233)</f>
        <v>14.51239146</v>
      </c>
      <c r="G166" s="31">
        <f>IFERROR(__xludf.DUMMYFUNCTION("""COMPUTED_VALUE"""),81.14585136299755)</f>
        <v>81.14585136</v>
      </c>
      <c r="H166" s="31">
        <f>IFERROR(__xludf.DUMMYFUNCTION("""COMPUTED_VALUE"""),9.397377898235705)</f>
        <v>9.397377898</v>
      </c>
      <c r="I166" s="54">
        <f>IFERROR(__xludf.DUMMYFUNCTION("""COMPUTED_VALUE"""),28.0)</f>
        <v>28</v>
      </c>
      <c r="J166" s="55">
        <f>IFERROR(__xludf.DUMMYFUNCTION("""COMPUTED_VALUE"""),23.0)</f>
        <v>23</v>
      </c>
      <c r="K166" s="54">
        <f>IFERROR(__xludf.DUMMYFUNCTION("""COMPUTED_VALUE"""),5.0)</f>
        <v>5</v>
      </c>
      <c r="L166" s="56">
        <f>IFERROR(__xludf.DUMMYFUNCTION("""COMPUTED_VALUE"""),0.8214285714285714)</f>
        <v>0.8214285714</v>
      </c>
      <c r="M166" s="56">
        <f>IFERROR(__xludf.DUMMYFUNCTION("""COMPUTED_VALUE"""),0.36363636363636365)</f>
        <v>0.3636363636</v>
      </c>
      <c r="N166" s="31">
        <f>IFERROR(__xludf.DUMMYFUNCTION("""COMPUTED_VALUE"""),369.75)</f>
        <v>369.75</v>
      </c>
      <c r="O166" s="57">
        <f>IFERROR(__xludf.DUMMYFUNCTION("""COMPUTED_VALUE"""),1.1428571428571428)</f>
        <v>1.142857143</v>
      </c>
      <c r="P166" s="57">
        <f>IFERROR(__xludf.DUMMYFUNCTION("""COMPUTED_VALUE"""),0.7142857142857143)</f>
        <v>0.7142857143</v>
      </c>
      <c r="Q166" s="57">
        <f>IFERROR(__xludf.DUMMYFUNCTION("""COMPUTED_VALUE"""),0.8214285714285714)</f>
        <v>0.8214285714</v>
      </c>
      <c r="R166" s="57">
        <f>IFERROR(__xludf.DUMMYFUNCTION("""COMPUTED_VALUE"""),3.142857142857143)</f>
        <v>3.142857143</v>
      </c>
      <c r="S166" s="31">
        <f>IFERROR(__xludf.DUMMYFUNCTION("""COMPUTED_VALUE"""),270.11904761904765)</f>
        <v>270.1190476</v>
      </c>
      <c r="T166" s="57">
        <f>IFERROR(__xludf.DUMMYFUNCTION("""COMPUTED_VALUE"""),0.47619047619047616)</f>
        <v>0.4761904762</v>
      </c>
      <c r="U166" s="57">
        <f>IFERROR(__xludf.DUMMYFUNCTION("""COMPUTED_VALUE"""),0.33333333333333337)</f>
        <v>0.3333333333</v>
      </c>
      <c r="V166" s="57">
        <f>IFERROR(__xludf.DUMMYFUNCTION("""COMPUTED_VALUE"""),1.0595238095238098)</f>
        <v>1.05952381</v>
      </c>
      <c r="W166" s="57">
        <f>IFERROR(__xludf.DUMMYFUNCTION("""COMPUTED_VALUE"""),1.8452380952380951)</f>
        <v>1.845238095</v>
      </c>
      <c r="X166" s="31">
        <f>IFERROR(__xludf.DUMMYFUNCTION("""COMPUTED_VALUE"""),327.22141537590954)</f>
        <v>327.2214154</v>
      </c>
      <c r="Y166" s="57">
        <f>IFERROR(__xludf.DUMMYFUNCTION("""COMPUTED_VALUE"""),0.8035082992768003)</f>
        <v>0.8035082993</v>
      </c>
      <c r="Z166" s="57">
        <f>IFERROR(__xludf.DUMMYFUNCTION("""COMPUTED_VALUE"""),0.5185046224628993)</f>
        <v>0.5185046225</v>
      </c>
      <c r="AA166" s="57">
        <f>IFERROR(__xludf.DUMMYFUNCTION("""COMPUTED_VALUE"""),1.0977427119399028)</f>
        <v>1.097742712</v>
      </c>
      <c r="AB166" s="57">
        <f>IFERROR(__xludf.DUMMYFUNCTION("""COMPUTED_VALUE"""),2.3042527216363564)</f>
        <v>2.304252722</v>
      </c>
      <c r="AC166" s="31">
        <f>IFERROR(__xludf.DUMMYFUNCTION("""COMPUTED_VALUE"""),330.3937690907579)</f>
        <v>330.3937691</v>
      </c>
      <c r="AD166" s="57">
        <f>IFERROR(__xludf.DUMMYFUNCTION("""COMPUTED_VALUE"""),0.8149983315321238)</f>
        <v>0.8149983315</v>
      </c>
      <c r="AE166" s="57">
        <f>IFERROR(__xludf.DUMMYFUNCTION("""COMPUTED_VALUE"""),0.53821393458462)</f>
        <v>0.5382139346</v>
      </c>
      <c r="AF166" s="57">
        <f>IFERROR(__xludf.DUMMYFUNCTION("""COMPUTED_VALUE"""),1.110731377534081)</f>
        <v>1.110731378</v>
      </c>
      <c r="AG166" s="57">
        <f>IFERROR(__xludf.DUMMYFUNCTION("""COMPUTED_VALUE"""),2.3350364020140533)</f>
        <v>2.335036402</v>
      </c>
      <c r="AH166" s="57">
        <f>IFERROR(__xludf.DUMMYFUNCTION("""COMPUTED_VALUE"""),1.1191191680689083)</f>
        <v>1.119119168</v>
      </c>
      <c r="AI166" s="57">
        <f>IFERROR(__xludf.DUMMYFUNCTION("""COMPUTED_VALUE"""),1.4022815736428245)</f>
        <v>1.402281574</v>
      </c>
      <c r="AJ166" s="57">
        <f>IFERROR(__xludf.DUMMYFUNCTION("""COMPUTED_VALUE"""),1.3271408790948196)</f>
        <v>1.327140879</v>
      </c>
      <c r="AK166" s="57">
        <f>IFERROR(__xludf.DUMMYFUNCTION("""COMPUTED_VALUE"""),0.7395384591117011)</f>
        <v>0.7395384591</v>
      </c>
      <c r="AL166" s="57">
        <f>IFERROR(__xludf.DUMMYFUNCTION("""COMPUTED_VALUE"""),1.3459563800145964)</f>
        <v>1.34595638</v>
      </c>
      <c r="AM166" s="57">
        <f>IFERROR(__xludf.DUMMYFUNCTION("""COMPUTED_VALUE"""),0.825493182677964)</f>
        <v>0.8254931827</v>
      </c>
      <c r="AN166" s="57">
        <f>IFERROR(__xludf.DUMMYFUNCTION("""COMPUTED_VALUE"""),0.5926391508576484)</f>
        <v>0.5926391509</v>
      </c>
      <c r="AO166" s="57">
        <f>IFERROR(__xludf.DUMMYFUNCTION("""COMPUTED_VALUE"""),0.6428743715919031)</f>
        <v>0.6428743716</v>
      </c>
      <c r="AP166" s="35">
        <f>IFERROR(__xludf.DUMMYFUNCTION("""COMPUTED_VALUE"""),0.9651840982405125)</f>
        <v>0.9651840982</v>
      </c>
      <c r="AQ166" s="57">
        <f>IFERROR(__xludf.DUMMYFUNCTION("""COMPUTED_VALUE"""),0.8007967519846114)</f>
        <v>0.800796752</v>
      </c>
      <c r="AR166" s="36" t="b">
        <f>IFERROR(__xludf.DUMMYFUNCTION("""COMPUTED_VALUE"""),TRUE)</f>
        <v>1</v>
      </c>
      <c r="AS166" s="57"/>
      <c r="AT166" s="37"/>
      <c r="AU166" s="30"/>
      <c r="AV166" s="30"/>
      <c r="AW166" s="30"/>
      <c r="AX166" s="30"/>
      <c r="AY166" s="30"/>
      <c r="AZ166" s="30"/>
    </row>
    <row r="167">
      <c r="A167" s="30" t="str">
        <f>IFERROR(__xludf.DUMMYFUNCTION("""COMPUTED_VALUE"""),"Contender")</f>
        <v>Contender</v>
      </c>
      <c r="B167" s="30" t="str">
        <f>IFERROR(__xludf.DUMMYFUNCTION("""COMPUTED_VALUE"""),"RSC006640")</f>
        <v>RSC006640</v>
      </c>
      <c r="C167" s="30" t="str">
        <f>IFERROR(__xludf.DUMMYFUNCTION("""COMPUTED_VALUE"""),"VeryBadKittyCat")</f>
        <v>VeryBadKittyCat</v>
      </c>
      <c r="D167" s="31" t="str">
        <f>IFERROR(__xludf.DUMMYFUNCTION("""COMPUTED_VALUE"""),"Cheese Pizza")</f>
        <v>Cheese Pizza</v>
      </c>
      <c r="E167" s="31">
        <f>IFERROR(__xludf.DUMMYFUNCTION("""COMPUTED_VALUE"""),86.25804105487484)</f>
        <v>86.25804105</v>
      </c>
      <c r="F167" s="31">
        <f>IFERROR(__xludf.DUMMYFUNCTION("""COMPUTED_VALUE"""),13.608326158292401)</f>
        <v>13.60832616</v>
      </c>
      <c r="G167" s="31">
        <f>IFERROR(__xludf.DUMMYFUNCTION("""COMPUTED_VALUE"""),63.12822612926782)</f>
        <v>63.12822613</v>
      </c>
      <c r="H167" s="31">
        <f>IFERROR(__xludf.DUMMYFUNCTION("""COMPUTED_VALUE"""),3.336149677011989)</f>
        <v>3.336149677</v>
      </c>
      <c r="I167" s="54">
        <f>IFERROR(__xludf.DUMMYFUNCTION("""COMPUTED_VALUE"""),24.0)</f>
        <v>24</v>
      </c>
      <c r="J167" s="55">
        <f>IFERROR(__xludf.DUMMYFUNCTION("""COMPUTED_VALUE"""),18.0)</f>
        <v>18</v>
      </c>
      <c r="K167" s="54">
        <f>IFERROR(__xludf.DUMMYFUNCTION("""COMPUTED_VALUE"""),6.0)</f>
        <v>6</v>
      </c>
      <c r="L167" s="56">
        <f>IFERROR(__xludf.DUMMYFUNCTION("""COMPUTED_VALUE"""),0.75)</f>
        <v>0.75</v>
      </c>
      <c r="M167" s="56">
        <f>IFERROR(__xludf.DUMMYFUNCTION("""COMPUTED_VALUE"""),0.3066666666666667)</f>
        <v>0.3066666667</v>
      </c>
      <c r="N167" s="31">
        <f>IFERROR(__xludf.DUMMYFUNCTION("""COMPUTED_VALUE"""),371.5)</f>
        <v>371.5</v>
      </c>
      <c r="O167" s="57">
        <f>IFERROR(__xludf.DUMMYFUNCTION("""COMPUTED_VALUE"""),0.9583333333333334)</f>
        <v>0.9583333333</v>
      </c>
      <c r="P167" s="57">
        <f>IFERROR(__xludf.DUMMYFUNCTION("""COMPUTED_VALUE"""),0.7916666666666666)</f>
        <v>0.7916666667</v>
      </c>
      <c r="Q167" s="57">
        <f>IFERROR(__xludf.DUMMYFUNCTION("""COMPUTED_VALUE"""),1.0)</f>
        <v>1</v>
      </c>
      <c r="R167" s="57">
        <f>IFERROR(__xludf.DUMMYFUNCTION("""COMPUTED_VALUE"""),3.125)</f>
        <v>3.125</v>
      </c>
      <c r="S167" s="31">
        <f>IFERROR(__xludf.DUMMYFUNCTION("""COMPUTED_VALUE"""),304.5833333333333)</f>
        <v>304.5833333</v>
      </c>
      <c r="T167" s="57">
        <f>IFERROR(__xludf.DUMMYFUNCTION("""COMPUTED_VALUE"""),0.5555555555555557)</f>
        <v>0.5555555556</v>
      </c>
      <c r="U167" s="57">
        <f>IFERROR(__xludf.DUMMYFUNCTION("""COMPUTED_VALUE"""),0.31944444444444436)</f>
        <v>0.3194444444</v>
      </c>
      <c r="V167" s="57">
        <f>IFERROR(__xludf.DUMMYFUNCTION("""COMPUTED_VALUE"""),1.4027777777777777)</f>
        <v>1.402777778</v>
      </c>
      <c r="W167" s="57">
        <f>IFERROR(__xludf.DUMMYFUNCTION("""COMPUTED_VALUE"""),1.986111111111111)</f>
        <v>1.986111111</v>
      </c>
      <c r="X167" s="31">
        <f>IFERROR(__xludf.DUMMYFUNCTION("""COMPUTED_VALUE"""),327.01421972233203)</f>
        <v>327.0142197</v>
      </c>
      <c r="Y167" s="57">
        <f>IFERROR(__xludf.DUMMYFUNCTION("""COMPUTED_VALUE"""),0.8012497329171332)</f>
        <v>0.8012497329</v>
      </c>
      <c r="Z167" s="57">
        <f>IFERROR(__xludf.DUMMYFUNCTION("""COMPUTED_VALUE"""),0.5594062439997639)</f>
        <v>0.559406244</v>
      </c>
      <c r="AA167" s="57">
        <f>IFERROR(__xludf.DUMMYFUNCTION("""COMPUTED_VALUE"""),1.056406350477736)</f>
        <v>1.05640635</v>
      </c>
      <c r="AB167" s="57">
        <f>IFERROR(__xludf.DUMMYFUNCTION("""COMPUTED_VALUE"""),2.2793403916348383)</f>
        <v>2.279340392</v>
      </c>
      <c r="AC167" s="31">
        <f>IFERROR(__xludf.DUMMYFUNCTION("""COMPUTED_VALUE"""),321.27004398523866)</f>
        <v>321.270044</v>
      </c>
      <c r="AD167" s="57">
        <f>IFERROR(__xludf.DUMMYFUNCTION("""COMPUTED_VALUE"""),0.7745878370939089)</f>
        <v>0.7745878371</v>
      </c>
      <c r="AE167" s="57">
        <f>IFERROR(__xludf.DUMMYFUNCTION("""COMPUTED_VALUE"""),0.5113537658961606)</f>
        <v>0.5113537659</v>
      </c>
      <c r="AF167" s="57">
        <f>IFERROR(__xludf.DUMMYFUNCTION("""COMPUTED_VALUE"""),1.060535692923397)</f>
        <v>1.060535693</v>
      </c>
      <c r="AG167" s="57">
        <f>IFERROR(__xludf.DUMMYFUNCTION("""COMPUTED_VALUE"""),2.2499064107425832)</f>
        <v>2.249906411</v>
      </c>
      <c r="AH167" s="57">
        <f>IFERROR(__xludf.DUMMYFUNCTION("""COMPUTED_VALUE"""),1.1563480845947445)</f>
        <v>1.156348085</v>
      </c>
      <c r="AI167" s="57">
        <f>IFERROR(__xludf.DUMMYFUNCTION("""COMPUTED_VALUE"""),1.237217120435042)</f>
        <v>1.23721712</v>
      </c>
      <c r="AJ167" s="57">
        <f>IFERROR(__xludf.DUMMYFUNCTION("""COMPUTED_VALUE"""),1.5481780314636981)</f>
        <v>1.548178031</v>
      </c>
      <c r="AK167" s="57">
        <f>IFERROR(__xludf.DUMMYFUNCTION("""COMPUTED_VALUE"""),0.9429197024415757)</f>
        <v>0.9429197024</v>
      </c>
      <c r="AL167" s="57">
        <f>IFERROR(__xludf.DUMMYFUNCTION("""COMPUTED_VALUE"""),1.3889466624385463)</f>
        <v>1.388946662</v>
      </c>
      <c r="AM167" s="57">
        <f>IFERROR(__xludf.DUMMYFUNCTION("""COMPUTED_VALUE"""),0.9314069999523421)</f>
        <v>0.931407</v>
      </c>
      <c r="AN167" s="57">
        <f>IFERROR(__xludf.DUMMYFUNCTION("""COMPUTED_VALUE"""),0.6933612988960738)</f>
        <v>0.6933612989</v>
      </c>
      <c r="AO167" s="57">
        <f>IFERROR(__xludf.DUMMYFUNCTION("""COMPUTED_VALUE"""),0.571041971502519)</f>
        <v>0.5710419715</v>
      </c>
      <c r="AP167" s="35">
        <f>IFERROR(__xludf.DUMMYFUNCTION("""COMPUTED_VALUE"""),1.3278770779287754)</f>
        <v>1.327877078</v>
      </c>
      <c r="AQ167" s="57">
        <f>IFERROR(__xludf.DUMMYFUNCTION("""COMPUTED_VALUE"""),0.8713534487433836)</f>
        <v>0.8713534487</v>
      </c>
      <c r="AR167" s="36" t="b">
        <f>IFERROR(__xludf.DUMMYFUNCTION("""COMPUTED_VALUE"""),TRUE)</f>
        <v>1</v>
      </c>
      <c r="AS167" s="57"/>
      <c r="AT167" s="37"/>
      <c r="AU167" s="30"/>
      <c r="AV167" s="30"/>
      <c r="AW167" s="30"/>
      <c r="AX167" s="30"/>
      <c r="AY167" s="30"/>
      <c r="AZ167" s="30"/>
    </row>
    <row r="168">
      <c r="A168" s="30" t="str">
        <f>IFERROR(__xludf.DUMMYFUNCTION("""COMPUTED_VALUE"""),"Contender")</f>
        <v>Contender</v>
      </c>
      <c r="B168" s="30" t="str">
        <f>IFERROR(__xludf.DUMMYFUNCTION("""COMPUTED_VALUE"""),"RSC007885")</f>
        <v>RSC007885</v>
      </c>
      <c r="C168" s="30" t="str">
        <f>IFERROR(__xludf.DUMMYFUNCTION("""COMPUTED_VALUE"""),"Larkspur")</f>
        <v>Larkspur</v>
      </c>
      <c r="D168" s="31" t="str">
        <f>IFERROR(__xludf.DUMMYFUNCTION("""COMPUTED_VALUE"""),"Rheas")</f>
        <v>Rheas</v>
      </c>
      <c r="E168" s="31">
        <f>IFERROR(__xludf.DUMMYFUNCTION("""COMPUTED_VALUE"""),81.51479385059251)</f>
        <v>81.51479385</v>
      </c>
      <c r="F168" s="31">
        <f>IFERROR(__xludf.DUMMYFUNCTION("""COMPUTED_VALUE"""),9.640599831584346)</f>
        <v>9.640599832</v>
      </c>
      <c r="G168" s="31">
        <f>IFERROR(__xludf.DUMMYFUNCTION("""COMPUTED_VALUE"""),83.8413270806391)</f>
        <v>83.84132708</v>
      </c>
      <c r="H168" s="31">
        <f>IFERROR(__xludf.DUMMYFUNCTION("""COMPUTED_VALUE"""),11.373518214470158)</f>
        <v>11.37351821</v>
      </c>
      <c r="I168" s="54">
        <f>IFERROR(__xludf.DUMMYFUNCTION("""COMPUTED_VALUE"""),36.0)</f>
        <v>36</v>
      </c>
      <c r="J168" s="55">
        <f>IFERROR(__xludf.DUMMYFUNCTION("""COMPUTED_VALUE"""),28.0)</f>
        <v>28</v>
      </c>
      <c r="K168" s="54">
        <f>IFERROR(__xludf.DUMMYFUNCTION("""COMPUTED_VALUE"""),8.0)</f>
        <v>8</v>
      </c>
      <c r="L168" s="56">
        <f>IFERROR(__xludf.DUMMYFUNCTION("""COMPUTED_VALUE"""),0.7777777777777778)</f>
        <v>0.7777777778</v>
      </c>
      <c r="M168" s="56">
        <f>IFERROR(__xludf.DUMMYFUNCTION("""COMPUTED_VALUE"""),0.3877551020408163)</f>
        <v>0.387755102</v>
      </c>
      <c r="N168" s="31">
        <f>IFERROR(__xludf.DUMMYFUNCTION("""COMPUTED_VALUE"""),378.52777777777777)</f>
        <v>378.5277778</v>
      </c>
      <c r="O168" s="57">
        <f>IFERROR(__xludf.DUMMYFUNCTION("""COMPUTED_VALUE"""),1.0555555555555556)</f>
        <v>1.055555556</v>
      </c>
      <c r="P168" s="57">
        <f>IFERROR(__xludf.DUMMYFUNCTION("""COMPUTED_VALUE"""),0.7222222222222222)</f>
        <v>0.7222222222</v>
      </c>
      <c r="Q168" s="57">
        <f>IFERROR(__xludf.DUMMYFUNCTION("""COMPUTED_VALUE"""),1.2222222222222223)</f>
        <v>1.222222222</v>
      </c>
      <c r="R168" s="57">
        <f>IFERROR(__xludf.DUMMYFUNCTION("""COMPUTED_VALUE"""),2.7222222222222223)</f>
        <v>2.722222222</v>
      </c>
      <c r="S168" s="31">
        <f>IFERROR(__xludf.DUMMYFUNCTION("""COMPUTED_VALUE"""),272.50000000000006)</f>
        <v>272.5</v>
      </c>
      <c r="T168" s="57">
        <f>IFERROR(__xludf.DUMMYFUNCTION("""COMPUTED_VALUE"""),0.48148148148148145)</f>
        <v>0.4814814815</v>
      </c>
      <c r="U168" s="57">
        <f>IFERROR(__xludf.DUMMYFUNCTION("""COMPUTED_VALUE"""),0.3148148148148148)</f>
        <v>0.3148148148</v>
      </c>
      <c r="V168" s="57">
        <f>IFERROR(__xludf.DUMMYFUNCTION("""COMPUTED_VALUE"""),1.0740740740740737)</f>
        <v>1.074074074</v>
      </c>
      <c r="W168" s="57">
        <f>IFERROR(__xludf.DUMMYFUNCTION("""COMPUTED_VALUE"""),1.8333333333333333)</f>
        <v>1.833333333</v>
      </c>
      <c r="X168" s="31">
        <f>IFERROR(__xludf.DUMMYFUNCTION("""COMPUTED_VALUE"""),321.7841828640536)</f>
        <v>321.7841829</v>
      </c>
      <c r="Y168" s="57">
        <f>IFERROR(__xludf.DUMMYFUNCTION("""COMPUTED_VALUE"""),0.779156023319923)</f>
        <v>0.7791560233</v>
      </c>
      <c r="Z168" s="57">
        <f>IFERROR(__xludf.DUMMYFUNCTION("""COMPUTED_VALUE"""),0.4974215370061881)</f>
        <v>0.497421537</v>
      </c>
      <c r="AA168" s="57">
        <f>IFERROR(__xludf.DUMMYFUNCTION("""COMPUTED_VALUE"""),1.0821675327931262)</f>
        <v>1.082167533</v>
      </c>
      <c r="AB168" s="57">
        <f>IFERROR(__xludf.DUMMYFUNCTION("""COMPUTED_VALUE"""),2.246810488910887)</f>
        <v>2.246810489</v>
      </c>
      <c r="AC168" s="31">
        <f>IFERROR(__xludf.DUMMYFUNCTION("""COMPUTED_VALUE"""),330.2647125060126)</f>
        <v>330.2647125</v>
      </c>
      <c r="AD168" s="57">
        <f>IFERROR(__xludf.DUMMYFUNCTION("""COMPUTED_VALUE"""),0.8247339107788938)</f>
        <v>0.8247339108</v>
      </c>
      <c r="AE168" s="57">
        <f>IFERROR(__xludf.DUMMYFUNCTION("""COMPUTED_VALUE"""),0.5383366220402378)</f>
        <v>0.538336622</v>
      </c>
      <c r="AF168" s="57">
        <f>IFERROR(__xludf.DUMMYFUNCTION("""COMPUTED_VALUE"""),1.095254004858268)</f>
        <v>1.095254005</v>
      </c>
      <c r="AG168" s="57">
        <f>IFERROR(__xludf.DUMMYFUNCTION("""COMPUTED_VALUE"""),2.327791784295009)</f>
        <v>2.327791784</v>
      </c>
      <c r="AH168" s="57">
        <f>IFERROR(__xludf.DUMMYFUNCTION("""COMPUTED_VALUE"""),1.1461344898325658)</f>
        <v>1.14613449</v>
      </c>
      <c r="AI168" s="57">
        <f>IFERROR(__xludf.DUMMYFUNCTION("""COMPUTED_VALUE"""),1.279874080306301)</f>
        <v>1.27987408</v>
      </c>
      <c r="AJ168" s="57">
        <f>IFERROR(__xludf.DUMMYFUNCTION("""COMPUTED_VALUE"""),1.3415810714958938)</f>
        <v>1.341581071</v>
      </c>
      <c r="AK168" s="57">
        <f>IFERROR(__xludf.DUMMYFUNCTION("""COMPUTED_VALUE"""),1.1159258188518424)</f>
        <v>1.115925819</v>
      </c>
      <c r="AL168" s="57">
        <f>IFERROR(__xludf.DUMMYFUNCTION("""COMPUTED_VALUE"""),1.1694440373010724)</f>
        <v>1.169444037</v>
      </c>
      <c r="AM168" s="57">
        <f>IFERROR(__xludf.DUMMYFUNCTION("""COMPUTED_VALUE"""),0.8468408781768028)</f>
        <v>0.8468408782</v>
      </c>
      <c r="AN168" s="57">
        <f>IFERROR(__xludf.DUMMYFUNCTION("""COMPUTED_VALUE"""),0.6179525885328159)</f>
        <v>0.6179525885</v>
      </c>
      <c r="AO168" s="57">
        <f>IFERROR(__xludf.DUMMYFUNCTION("""COMPUTED_VALUE"""),0.6328934141243233)</f>
        <v>0.6328934141</v>
      </c>
      <c r="AP168" s="35">
        <f>IFERROR(__xludf.DUMMYFUNCTION("""COMPUTED_VALUE"""),0.9925210667722004)</f>
        <v>0.9925210668</v>
      </c>
      <c r="AQ168" s="57">
        <f>IFERROR(__xludf.DUMMYFUNCTION("""COMPUTED_VALUE"""),0.8159715037746769)</f>
        <v>0.8159715038</v>
      </c>
      <c r="AR168" s="36" t="b">
        <f>IFERROR(__xludf.DUMMYFUNCTION("""COMPUTED_VALUE"""),TRUE)</f>
        <v>1</v>
      </c>
      <c r="AS168" s="57"/>
      <c r="AT168" s="37"/>
      <c r="AU168" s="30"/>
      <c r="AV168" s="30"/>
      <c r="AW168" s="30"/>
      <c r="AX168" s="30"/>
      <c r="AY168" s="30"/>
      <c r="AZ168" s="30"/>
    </row>
    <row r="169">
      <c r="A169" s="30" t="str">
        <f>IFERROR(__xludf.DUMMYFUNCTION("""COMPUTED_VALUE"""),"Contender")</f>
        <v>Contender</v>
      </c>
      <c r="B169" s="30" t="str">
        <f>IFERROR(__xludf.DUMMYFUNCTION("""COMPUTED_VALUE"""),"RSC007515")</f>
        <v>RSC007515</v>
      </c>
      <c r="C169" s="30" t="str">
        <f>IFERROR(__xludf.DUMMYFUNCTION("""COMPUTED_VALUE"""),"superstrikzz")</f>
        <v>superstrikzz</v>
      </c>
      <c r="D169" s="31" t="str">
        <f>IFERROR(__xludf.DUMMYFUNCTION("""COMPUTED_VALUE"""),"Clover")</f>
        <v>Clover</v>
      </c>
      <c r="E169" s="31">
        <f>IFERROR(__xludf.DUMMYFUNCTION("""COMPUTED_VALUE"""),75.28263626317269)</f>
        <v>75.28263626</v>
      </c>
      <c r="F169" s="31">
        <f>IFERROR(__xludf.DUMMYFUNCTION("""COMPUTED_VALUE"""),6.412923155473492)</f>
        <v>6.412923155</v>
      </c>
      <c r="G169" s="31">
        <f>IFERROR(__xludf.DUMMYFUNCTION("""COMPUTED_VALUE"""),70.22610515618805)</f>
        <v>70.22610516</v>
      </c>
      <c r="H169" s="31">
        <f>IFERROR(__xludf.DUMMYFUNCTION("""COMPUTED_VALUE"""),4.779089923777346)</f>
        <v>4.779089924</v>
      </c>
      <c r="I169" s="54">
        <f>IFERROR(__xludf.DUMMYFUNCTION("""COMPUTED_VALUE"""),35.0)</f>
        <v>35</v>
      </c>
      <c r="J169" s="55">
        <f>IFERROR(__xludf.DUMMYFUNCTION("""COMPUTED_VALUE"""),20.0)</f>
        <v>20</v>
      </c>
      <c r="K169" s="54">
        <f>IFERROR(__xludf.DUMMYFUNCTION("""COMPUTED_VALUE"""),15.0)</f>
        <v>15</v>
      </c>
      <c r="L169" s="56">
        <f>IFERROR(__xludf.DUMMYFUNCTION("""COMPUTED_VALUE"""),0.5714285714285714)</f>
        <v>0.5714285714</v>
      </c>
      <c r="M169" s="56">
        <f>IFERROR(__xludf.DUMMYFUNCTION("""COMPUTED_VALUE"""),0.3469387755102041)</f>
        <v>0.3469387755</v>
      </c>
      <c r="N169" s="31">
        <f>IFERROR(__xludf.DUMMYFUNCTION("""COMPUTED_VALUE"""),377.65714285714284)</f>
        <v>377.6571429</v>
      </c>
      <c r="O169" s="57">
        <f>IFERROR(__xludf.DUMMYFUNCTION("""COMPUTED_VALUE"""),0.9714285714285714)</f>
        <v>0.9714285714</v>
      </c>
      <c r="P169" s="57">
        <f>IFERROR(__xludf.DUMMYFUNCTION("""COMPUTED_VALUE"""),0.7142857142857143)</f>
        <v>0.7142857143</v>
      </c>
      <c r="Q169" s="57">
        <f>IFERROR(__xludf.DUMMYFUNCTION("""COMPUTED_VALUE"""),1.0)</f>
        <v>1</v>
      </c>
      <c r="R169" s="57">
        <f>IFERROR(__xludf.DUMMYFUNCTION("""COMPUTED_VALUE"""),2.8)</f>
        <v>2.8</v>
      </c>
      <c r="S169" s="31">
        <f>IFERROR(__xludf.DUMMYFUNCTION("""COMPUTED_VALUE"""),312.2857142857143)</f>
        <v>312.2857143</v>
      </c>
      <c r="T169" s="57">
        <f>IFERROR(__xludf.DUMMYFUNCTION("""COMPUTED_VALUE"""),0.6666666666666666)</f>
        <v>0.6666666667</v>
      </c>
      <c r="U169" s="57">
        <f>IFERROR(__xludf.DUMMYFUNCTION("""COMPUTED_VALUE"""),0.4380952380952382)</f>
        <v>0.4380952381</v>
      </c>
      <c r="V169" s="57">
        <f>IFERROR(__xludf.DUMMYFUNCTION("""COMPUTED_VALUE"""),1.1523809523809525)</f>
        <v>1.152380952</v>
      </c>
      <c r="W169" s="57">
        <f>IFERROR(__xludf.DUMMYFUNCTION("""COMPUTED_VALUE"""),2.257142857142857)</f>
        <v>2.257142857</v>
      </c>
      <c r="X169" s="31">
        <f>IFERROR(__xludf.DUMMYFUNCTION("""COMPUTED_VALUE"""),318.6070831078885)</f>
        <v>318.6070831</v>
      </c>
      <c r="Y169" s="57">
        <f>IFERROR(__xludf.DUMMYFUNCTION("""COMPUTED_VALUE"""),0.7410504320369856)</f>
        <v>0.741050432</v>
      </c>
      <c r="Z169" s="57">
        <f>IFERROR(__xludf.DUMMYFUNCTION("""COMPUTED_VALUE"""),0.5108004991725933)</f>
        <v>0.5108004992</v>
      </c>
      <c r="AA169" s="57">
        <f>IFERROR(__xludf.DUMMYFUNCTION("""COMPUTED_VALUE"""),1.0893027242275122)</f>
        <v>1.089302724</v>
      </c>
      <c r="AB169" s="57">
        <f>IFERROR(__xludf.DUMMYFUNCTION("""COMPUTED_VALUE"""),2.1818374090437707)</f>
        <v>2.181837409</v>
      </c>
      <c r="AC169" s="31">
        <f>IFERROR(__xludf.DUMMYFUNCTION("""COMPUTED_VALUE"""),326.88940974090303)</f>
        <v>326.8894097</v>
      </c>
      <c r="AD169" s="57">
        <f>IFERROR(__xludf.DUMMYFUNCTION("""COMPUTED_VALUE"""),0.808456839517047)</f>
        <v>0.8084568395</v>
      </c>
      <c r="AE169" s="57">
        <f>IFERROR(__xludf.DUMMYFUNCTION("""COMPUTED_VALUE"""),0.5259404132187464)</f>
        <v>0.5259404132</v>
      </c>
      <c r="AF169" s="57">
        <f>IFERROR(__xludf.DUMMYFUNCTION("""COMPUTED_VALUE"""),1.0766026370463648)</f>
        <v>1.076602637</v>
      </c>
      <c r="AG169" s="57">
        <f>IFERROR(__xludf.DUMMYFUNCTION("""COMPUTED_VALUE"""),2.273185905040323)</f>
        <v>2.273185905</v>
      </c>
      <c r="AH169" s="57">
        <f>IFERROR(__xludf.DUMMYFUNCTION("""COMPUTED_VALUE"""),1.1553055302601543)</f>
        <v>1.15530553</v>
      </c>
      <c r="AI169" s="57">
        <f>IFERROR(__xludf.DUMMYFUNCTION("""COMPUTED_VALUE"""),1.2015837134965421)</f>
        <v>1.201583713</v>
      </c>
      <c r="AJ169" s="57">
        <f>IFERROR(__xludf.DUMMYFUNCTION("""COMPUTED_VALUE"""),1.3581114824668024)</f>
        <v>1.358111482</v>
      </c>
      <c r="AK169" s="57">
        <f>IFERROR(__xludf.DUMMYFUNCTION("""COMPUTED_VALUE"""),0.9288478084574245)</f>
        <v>0.9288478085</v>
      </c>
      <c r="AL169" s="57">
        <f>IFERROR(__xludf.DUMMYFUNCTION("""COMPUTED_VALUE"""),1.231751434755765)</f>
        <v>1.231751435</v>
      </c>
      <c r="AM169" s="57">
        <f>IFERROR(__xludf.DUMMYFUNCTION("""COMPUTED_VALUE"""),0.9801593587923039)</f>
        <v>0.9801593588</v>
      </c>
      <c r="AN169" s="57">
        <f>IFERROR(__xludf.DUMMYFUNCTION("""COMPUTED_VALUE"""),0.8996238823235629)</f>
        <v>0.8996238823</v>
      </c>
      <c r="AO169" s="57">
        <f>IFERROR(__xludf.DUMMYFUNCTION("""COMPUTED_VALUE"""),0.8576640759061027)</f>
        <v>0.8576640759</v>
      </c>
      <c r="AP169" s="35">
        <f>IFERROR(__xludf.DUMMYFUNCTION("""COMPUTED_VALUE"""),1.0579069773264111)</f>
        <v>1.057906977</v>
      </c>
      <c r="AQ169" s="57">
        <f>IFERROR(__xludf.DUMMYFUNCTION("""COMPUTED_VALUE"""),1.0345146928854292)</f>
        <v>1.034514693</v>
      </c>
      <c r="AR169" s="36" t="b">
        <f>IFERROR(__xludf.DUMMYFUNCTION("""COMPUTED_VALUE"""),TRUE)</f>
        <v>1</v>
      </c>
      <c r="AS169" s="57"/>
      <c r="AT169" s="37"/>
      <c r="AU169" s="30"/>
      <c r="AV169" s="30"/>
      <c r="AW169" s="30"/>
      <c r="AX169" s="30"/>
      <c r="AY169" s="30"/>
      <c r="AZ169" s="30"/>
    </row>
    <row r="170">
      <c r="A170" s="30" t="str">
        <f>IFERROR(__xludf.DUMMYFUNCTION("""COMPUTED_VALUE"""),"Contender")</f>
        <v>Contender</v>
      </c>
      <c r="B170" s="30" t="str">
        <f>IFERROR(__xludf.DUMMYFUNCTION("""COMPUTED_VALUE"""),"RSC003223")</f>
        <v>RSC003223</v>
      </c>
      <c r="C170" s="30" t="str">
        <f>IFERROR(__xludf.DUMMYFUNCTION("""COMPUTED_VALUE"""),"AZoroARK")</f>
        <v>AZoroARK</v>
      </c>
      <c r="D170" s="31" t="str">
        <f>IFERROR(__xludf.DUMMYFUNCTION("""COMPUTED_VALUE"""),"Cheese Pizza")</f>
        <v>Cheese Pizza</v>
      </c>
      <c r="E170" s="31">
        <f>IFERROR(__xludf.DUMMYFUNCTION("""COMPUTED_VALUE"""),71.5318255320128)</f>
        <v>71.53182553</v>
      </c>
      <c r="F170" s="31">
        <f>IFERROR(__xludf.DUMMYFUNCTION("""COMPUTED_VALUE"""),5.1402294310612735)</f>
        <v>5.140229431</v>
      </c>
      <c r="G170" s="31">
        <f>IFERROR(__xludf.DUMMYFUNCTION("""COMPUTED_VALUE"""),55.02766956626269)</f>
        <v>55.02766957</v>
      </c>
      <c r="H170" s="31">
        <f>IFERROR(__xludf.DUMMYFUNCTION("""COMPUTED_VALUE"""),2.379210236671157)</f>
        <v>2.379210237</v>
      </c>
      <c r="I170" s="54">
        <f>IFERROR(__xludf.DUMMYFUNCTION("""COMPUTED_VALUE"""),33.0)</f>
        <v>33</v>
      </c>
      <c r="J170" s="55">
        <f>IFERROR(__xludf.DUMMYFUNCTION("""COMPUTED_VALUE"""),24.0)</f>
        <v>24</v>
      </c>
      <c r="K170" s="54">
        <f>IFERROR(__xludf.DUMMYFUNCTION("""COMPUTED_VALUE"""),9.0)</f>
        <v>9</v>
      </c>
      <c r="L170" s="56">
        <f>IFERROR(__xludf.DUMMYFUNCTION("""COMPUTED_VALUE"""),0.7272727272727273)</f>
        <v>0.7272727273</v>
      </c>
      <c r="M170" s="56">
        <f>IFERROR(__xludf.DUMMYFUNCTION("""COMPUTED_VALUE"""),0.3111111111111111)</f>
        <v>0.3111111111</v>
      </c>
      <c r="N170" s="31">
        <f>IFERROR(__xludf.DUMMYFUNCTION("""COMPUTED_VALUE"""),343.57575757575756)</f>
        <v>343.5757576</v>
      </c>
      <c r="O170" s="57">
        <f>IFERROR(__xludf.DUMMYFUNCTION("""COMPUTED_VALUE"""),0.8484848484848485)</f>
        <v>0.8484848485</v>
      </c>
      <c r="P170" s="57">
        <f>IFERROR(__xludf.DUMMYFUNCTION("""COMPUTED_VALUE"""),0.7272727272727273)</f>
        <v>0.7272727273</v>
      </c>
      <c r="Q170" s="57">
        <f>IFERROR(__xludf.DUMMYFUNCTION("""COMPUTED_VALUE"""),1.0303030303030303)</f>
        <v>1.03030303</v>
      </c>
      <c r="R170" s="57">
        <f>IFERROR(__xludf.DUMMYFUNCTION("""COMPUTED_VALUE"""),2.727272727272727)</f>
        <v>2.727272727</v>
      </c>
      <c r="S170" s="31">
        <f>IFERROR(__xludf.DUMMYFUNCTION("""COMPUTED_VALUE"""),305.8686868686869)</f>
        <v>305.8686869</v>
      </c>
      <c r="T170" s="57">
        <f>IFERROR(__xludf.DUMMYFUNCTION("""COMPUTED_VALUE"""),0.606060606060606)</f>
        <v>0.6060606061</v>
      </c>
      <c r="U170" s="57">
        <f>IFERROR(__xludf.DUMMYFUNCTION("""COMPUTED_VALUE"""),0.37373737373737387)</f>
        <v>0.3737373737</v>
      </c>
      <c r="V170" s="57">
        <f>IFERROR(__xludf.DUMMYFUNCTION("""COMPUTED_VALUE"""),1.2525252525252526)</f>
        <v>1.252525253</v>
      </c>
      <c r="W170" s="57">
        <f>IFERROR(__xludf.DUMMYFUNCTION("""COMPUTED_VALUE"""),1.9898989898989905)</f>
        <v>1.98989899</v>
      </c>
      <c r="X170" s="31">
        <f>IFERROR(__xludf.DUMMYFUNCTION("""COMPUTED_VALUE"""),324.2101049370292)</f>
        <v>324.2101049</v>
      </c>
      <c r="Y170" s="57">
        <f>IFERROR(__xludf.DUMMYFUNCTION("""COMPUTED_VALUE"""),0.7787495976382551)</f>
        <v>0.7787495976</v>
      </c>
      <c r="Z170" s="57">
        <f>IFERROR(__xludf.DUMMYFUNCTION("""COMPUTED_VALUE"""),0.5314988172975089)</f>
        <v>0.5314988173</v>
      </c>
      <c r="AA170" s="57">
        <f>IFERROR(__xludf.DUMMYFUNCTION("""COMPUTED_VALUE"""),1.0726180986695257)</f>
        <v>1.072618099</v>
      </c>
      <c r="AB170" s="57">
        <f>IFERROR(__xludf.DUMMYFUNCTION("""COMPUTED_VALUE"""),2.2237079545580847)</f>
        <v>2.223707955</v>
      </c>
      <c r="AC170" s="31">
        <f>IFERROR(__xludf.DUMMYFUNCTION("""COMPUTED_VALUE"""),328.77414662118537)</f>
        <v>328.7741466</v>
      </c>
      <c r="AD170" s="57">
        <f>IFERROR(__xludf.DUMMYFUNCTION("""COMPUTED_VALUE"""),0.8193639417480175)</f>
        <v>0.8193639417</v>
      </c>
      <c r="AE170" s="57">
        <f>IFERROR(__xludf.DUMMYFUNCTION("""COMPUTED_VALUE"""),0.5528088595384713)</f>
        <v>0.5528088595</v>
      </c>
      <c r="AF170" s="57">
        <f>IFERROR(__xludf.DUMMYFUNCTION("""COMPUTED_VALUE"""),1.0516759152443247)</f>
        <v>1.051675915</v>
      </c>
      <c r="AG170" s="57">
        <f>IFERROR(__xludf.DUMMYFUNCTION("""COMPUTED_VALUE"""),2.303483585263318)</f>
        <v>2.303483585</v>
      </c>
      <c r="AH170" s="57">
        <f>IFERROR(__xludf.DUMMYFUNCTION("""COMPUTED_VALUE"""),1.0450206048945407)</f>
        <v>1.045020605</v>
      </c>
      <c r="AI170" s="57">
        <f>IFERROR(__xludf.DUMMYFUNCTION("""COMPUTED_VALUE"""),1.035540869268307)</f>
        <v>1.035540869</v>
      </c>
      <c r="AJ170" s="57">
        <f>IFERROR(__xludf.DUMMYFUNCTION("""COMPUTED_VALUE"""),1.3155952816673602)</f>
        <v>1.315595282</v>
      </c>
      <c r="AK170" s="57">
        <f>IFERROR(__xludf.DUMMYFUNCTION("""COMPUTED_VALUE"""),0.9796773087302955)</f>
        <v>0.9796773087</v>
      </c>
      <c r="AL170" s="57">
        <f>IFERROR(__xludf.DUMMYFUNCTION("""COMPUTED_VALUE"""),1.183977495963343)</f>
        <v>1.183977496</v>
      </c>
      <c r="AM170" s="57">
        <f>IFERROR(__xludf.DUMMYFUNCTION("""COMPUTED_VALUE"""),0.943427370741869)</f>
        <v>0.9434273707</v>
      </c>
      <c r="AN170" s="57">
        <f>IFERROR(__xludf.DUMMYFUNCTION("""COMPUTED_VALUE"""),0.7782483713617703)</f>
        <v>0.7782483714</v>
      </c>
      <c r="AO170" s="57">
        <f>IFERROR(__xludf.DUMMYFUNCTION("""COMPUTED_VALUE"""),0.7031763036420318)</f>
        <v>0.7031763036</v>
      </c>
      <c r="AP170" s="35">
        <f>IFERROR(__xludf.DUMMYFUNCTION("""COMPUTED_VALUE"""),1.1677271286759785)</f>
        <v>1.167727129</v>
      </c>
      <c r="AQ170" s="57">
        <f>IFERROR(__xludf.DUMMYFUNCTION("""COMPUTED_VALUE"""),0.8948562628559923)</f>
        <v>0.8948562629</v>
      </c>
      <c r="AR170" s="36" t="b">
        <f>IFERROR(__xludf.DUMMYFUNCTION("""COMPUTED_VALUE"""),TRUE)</f>
        <v>1</v>
      </c>
      <c r="AS170" s="57"/>
      <c r="AT170" s="37"/>
      <c r="AU170" s="30"/>
      <c r="AV170" s="30"/>
      <c r="AW170" s="30"/>
      <c r="AX170" s="30"/>
      <c r="AY170" s="30"/>
      <c r="AZ170" s="30"/>
    </row>
    <row r="171">
      <c r="A171" s="30" t="str">
        <f>IFERROR(__xludf.DUMMYFUNCTION("""COMPUTED_VALUE"""),"Contender")</f>
        <v>Contender</v>
      </c>
      <c r="B171" s="30" t="str">
        <f>IFERROR(__xludf.DUMMYFUNCTION("""COMPUTED_VALUE"""),"RSC004708")</f>
        <v>RSC004708</v>
      </c>
      <c r="C171" s="30" t="str">
        <f>IFERROR(__xludf.DUMMYFUNCTION("""COMPUTED_VALUE"""),"loganskito")</f>
        <v>loganskito</v>
      </c>
      <c r="D171" s="31"/>
      <c r="E171" s="31">
        <f>IFERROR(__xludf.DUMMYFUNCTION("""COMPUTED_VALUE"""),71.24040290969215)</f>
        <v>71.24040291</v>
      </c>
      <c r="F171" s="31">
        <f>IFERROR(__xludf.DUMMYFUNCTION("""COMPUTED_VALUE"""),5.0563971737372215)</f>
        <v>5.056397174</v>
      </c>
      <c r="G171" s="31">
        <f>IFERROR(__xludf.DUMMYFUNCTION("""COMPUTED_VALUE"""),48.712461314360475)</f>
        <v>48.71246131</v>
      </c>
      <c r="H171" s="31">
        <f>IFERROR(__xludf.DUMMYFUNCTION("""COMPUTED_VALUE"""),-2.085666958235516)</f>
        <v>-2.085666958</v>
      </c>
      <c r="I171" s="54">
        <f>IFERROR(__xludf.DUMMYFUNCTION("""COMPUTED_VALUE"""),14.0)</f>
        <v>14</v>
      </c>
      <c r="J171" s="55">
        <f>IFERROR(__xludf.DUMMYFUNCTION("""COMPUTED_VALUE"""),5.0)</f>
        <v>5</v>
      </c>
      <c r="K171" s="54">
        <f>IFERROR(__xludf.DUMMYFUNCTION("""COMPUTED_VALUE"""),9.0)</f>
        <v>9</v>
      </c>
      <c r="L171" s="56">
        <f>IFERROR(__xludf.DUMMYFUNCTION("""COMPUTED_VALUE"""),0.35714285714285715)</f>
        <v>0.3571428571</v>
      </c>
      <c r="M171" s="56">
        <f>IFERROR(__xludf.DUMMYFUNCTION("""COMPUTED_VALUE"""),0.30952380952380953)</f>
        <v>0.3095238095</v>
      </c>
      <c r="N171" s="31">
        <f>IFERROR(__xludf.DUMMYFUNCTION("""COMPUTED_VALUE"""),354.0)</f>
        <v>354</v>
      </c>
      <c r="O171" s="57">
        <f>IFERROR(__xludf.DUMMYFUNCTION("""COMPUTED_VALUE"""),0.9285714285714286)</f>
        <v>0.9285714286</v>
      </c>
      <c r="P171" s="57">
        <f>IFERROR(__xludf.DUMMYFUNCTION("""COMPUTED_VALUE"""),0.5714285714285714)</f>
        <v>0.5714285714</v>
      </c>
      <c r="Q171" s="57">
        <f>IFERROR(__xludf.DUMMYFUNCTION("""COMPUTED_VALUE"""),1.3571428571428572)</f>
        <v>1.357142857</v>
      </c>
      <c r="R171" s="57">
        <f>IFERROR(__xludf.DUMMYFUNCTION("""COMPUTED_VALUE"""),3.0)</f>
        <v>3</v>
      </c>
      <c r="S171" s="31">
        <f>IFERROR(__xludf.DUMMYFUNCTION("""COMPUTED_VALUE"""),362.4047619047619)</f>
        <v>362.4047619</v>
      </c>
      <c r="T171" s="57">
        <f>IFERROR(__xludf.DUMMYFUNCTION("""COMPUTED_VALUE"""),0.9047619047619048)</f>
        <v>0.9047619048</v>
      </c>
      <c r="U171" s="57">
        <f>IFERROR(__xludf.DUMMYFUNCTION("""COMPUTED_VALUE"""),0.5952380952380952)</f>
        <v>0.5952380952</v>
      </c>
      <c r="V171" s="57">
        <f>IFERROR(__xludf.DUMMYFUNCTION("""COMPUTED_VALUE"""),1.2142857142857142)</f>
        <v>1.214285714</v>
      </c>
      <c r="W171" s="57">
        <f>IFERROR(__xludf.DUMMYFUNCTION("""COMPUTED_VALUE"""),2.880952380952381)</f>
        <v>2.880952381</v>
      </c>
      <c r="X171" s="31">
        <f>IFERROR(__xludf.DUMMYFUNCTION("""COMPUTED_VALUE"""),341.69072862359377)</f>
        <v>341.6907286</v>
      </c>
      <c r="Y171" s="57">
        <f>IFERROR(__xludf.DUMMYFUNCTION("""COMPUTED_VALUE"""),0.899009015992611)</f>
        <v>0.899009016</v>
      </c>
      <c r="Z171" s="57">
        <f>IFERROR(__xludf.DUMMYFUNCTION("""COMPUTED_VALUE"""),0.6029779487105714)</f>
        <v>0.6029779487</v>
      </c>
      <c r="AA171" s="57">
        <f>IFERROR(__xludf.DUMMYFUNCTION("""COMPUTED_VALUE"""),1.0369137756178075)</f>
        <v>1.036913776</v>
      </c>
      <c r="AB171" s="57">
        <f>IFERROR(__xludf.DUMMYFUNCTION("""COMPUTED_VALUE"""),2.5119286525286713)</f>
        <v>2.511928653</v>
      </c>
      <c r="AC171" s="31">
        <f>IFERROR(__xludf.DUMMYFUNCTION("""COMPUTED_VALUE"""),310.76037172341915)</f>
        <v>310.7603717</v>
      </c>
      <c r="AD171" s="57">
        <f>IFERROR(__xludf.DUMMYFUNCTION("""COMPUTED_VALUE"""),0.7043139395668873)</f>
        <v>0.7043139396</v>
      </c>
      <c r="AE171" s="57">
        <f>IFERROR(__xludf.DUMMYFUNCTION("""COMPUTED_VALUE"""),0.4521329336303716)</f>
        <v>0.4521329336</v>
      </c>
      <c r="AF171" s="57">
        <f>IFERROR(__xludf.DUMMYFUNCTION("""COMPUTED_VALUE"""),1.0875519361405377)</f>
        <v>1.087551936</v>
      </c>
      <c r="AG171" s="57">
        <f>IFERROR(__xludf.DUMMYFUNCTION("""COMPUTED_VALUE"""),2.0797647053910278)</f>
        <v>2.079764705</v>
      </c>
      <c r="AH171" s="57">
        <f>IFERROR(__xludf.DUMMYFUNCTION("""COMPUTED_VALUE"""),1.1391413842015374)</f>
        <v>1.139141384</v>
      </c>
      <c r="AI171" s="57">
        <f>IFERROR(__xludf.DUMMYFUNCTION("""COMPUTED_VALUE"""),1.318405580815917)</f>
        <v>1.318405581</v>
      </c>
      <c r="AJ171" s="57">
        <f>IFERROR(__xludf.DUMMYFUNCTION("""COMPUTED_VALUE"""),1.2638508034358906)</f>
        <v>1.263850803</v>
      </c>
      <c r="AK171" s="57">
        <f>IFERROR(__xludf.DUMMYFUNCTION("""COMPUTED_VALUE"""),1.2478878590010454)</f>
        <v>1.247887859</v>
      </c>
      <c r="AL171" s="57">
        <f>IFERROR(__xludf.DUMMYFUNCTION("""COMPUTED_VALUE"""),1.4424708680859906)</f>
        <v>1.442470868</v>
      </c>
      <c r="AM171" s="57">
        <f>IFERROR(__xludf.DUMMYFUNCTION("""COMPUTED_VALUE"""),1.0606221695408853)</f>
        <v>1.06062217</v>
      </c>
      <c r="AN171" s="57">
        <f>IFERROR(__xludf.DUMMYFUNCTION("""COMPUTED_VALUE"""),1.0063991446881564)</f>
        <v>1.006399145</v>
      </c>
      <c r="AO171" s="57">
        <f>IFERROR(__xludf.DUMMYFUNCTION("""COMPUTED_VALUE"""),0.9871639526967324)</f>
        <v>0.9871639527</v>
      </c>
      <c r="AP171" s="35">
        <f>IFERROR(__xludf.DUMMYFUNCTION("""COMPUTED_VALUE"""),1.1710575583415566)</f>
        <v>1.171057558</v>
      </c>
      <c r="AQ171" s="57">
        <f>IFERROR(__xludf.DUMMYFUNCTION("""COMPUTED_VALUE"""),1.1469085230793583)</f>
        <v>1.146908523</v>
      </c>
      <c r="AR171" s="36" t="b">
        <f>IFERROR(__xludf.DUMMYFUNCTION("""COMPUTED_VALUE"""),TRUE)</f>
        <v>1</v>
      </c>
      <c r="AS171" s="57"/>
      <c r="AT171" s="37"/>
      <c r="AU171" s="30"/>
      <c r="AV171" s="30"/>
      <c r="AW171" s="30"/>
      <c r="AX171" s="30"/>
      <c r="AY171" s="30"/>
      <c r="AZ171" s="30"/>
    </row>
    <row r="172">
      <c r="A172" s="30" t="str">
        <f>IFERROR(__xludf.DUMMYFUNCTION("""COMPUTED_VALUE"""),"Contender")</f>
        <v>Contender</v>
      </c>
      <c r="B172" s="30" t="str">
        <f>IFERROR(__xludf.DUMMYFUNCTION("""COMPUTED_VALUE"""),"RSC007153")</f>
        <v>RSC007153</v>
      </c>
      <c r="C172" s="30" t="str">
        <f>IFERROR(__xludf.DUMMYFUNCTION("""COMPUTED_VALUE"""),"Washyman111670")</f>
        <v>Washyman111670</v>
      </c>
      <c r="D172" s="31" t="str">
        <f>IFERROR(__xludf.DUMMYFUNCTION("""COMPUTED_VALUE"""),"Ice")</f>
        <v>Ice</v>
      </c>
      <c r="E172" s="31">
        <f>IFERROR(__xludf.DUMMYFUNCTION("""COMPUTED_VALUE"""),70.18478167852305)</f>
        <v>70.18478168</v>
      </c>
      <c r="F172" s="31">
        <f>IFERROR(__xludf.DUMMYFUNCTION("""COMPUTED_VALUE"""),4.768249978529691)</f>
        <v>4.768249979</v>
      </c>
      <c r="G172" s="31">
        <f>IFERROR(__xludf.DUMMYFUNCTION("""COMPUTED_VALUE"""),73.34723587492547)</f>
        <v>73.34723587</v>
      </c>
      <c r="H172" s="31">
        <f>IFERROR(__xludf.DUMMYFUNCTION("""COMPUTED_VALUE"""),5.708399063459606)</f>
        <v>5.708399063</v>
      </c>
      <c r="I172" s="54">
        <f>IFERROR(__xludf.DUMMYFUNCTION("""COMPUTED_VALUE"""),32.0)</f>
        <v>32</v>
      </c>
      <c r="J172" s="55">
        <f>IFERROR(__xludf.DUMMYFUNCTION("""COMPUTED_VALUE"""),18.0)</f>
        <v>18</v>
      </c>
      <c r="K172" s="54">
        <f>IFERROR(__xludf.DUMMYFUNCTION("""COMPUTED_VALUE"""),14.0)</f>
        <v>14</v>
      </c>
      <c r="L172" s="56">
        <f>IFERROR(__xludf.DUMMYFUNCTION("""COMPUTED_VALUE"""),0.5625)</f>
        <v>0.5625</v>
      </c>
      <c r="M172" s="56">
        <f>IFERROR(__xludf.DUMMYFUNCTION("""COMPUTED_VALUE"""),0.4367816091954023)</f>
        <v>0.4367816092</v>
      </c>
      <c r="N172" s="31">
        <f>IFERROR(__xludf.DUMMYFUNCTION("""COMPUTED_VALUE"""),404.65625)</f>
        <v>404.65625</v>
      </c>
      <c r="O172" s="57">
        <f>IFERROR(__xludf.DUMMYFUNCTION("""COMPUTED_VALUE"""),1.1875)</f>
        <v>1.1875</v>
      </c>
      <c r="P172" s="57">
        <f>IFERROR(__xludf.DUMMYFUNCTION("""COMPUTED_VALUE"""),0.5)</f>
        <v>0.5</v>
      </c>
      <c r="Q172" s="57">
        <f>IFERROR(__xludf.DUMMYFUNCTION("""COMPUTED_VALUE"""),1.46875)</f>
        <v>1.46875</v>
      </c>
      <c r="R172" s="57">
        <f>IFERROR(__xludf.DUMMYFUNCTION("""COMPUTED_VALUE"""),2.71875)</f>
        <v>2.71875</v>
      </c>
      <c r="S172" s="31">
        <f>IFERROR(__xludf.DUMMYFUNCTION("""COMPUTED_VALUE"""),318.73958333333337)</f>
        <v>318.7395833</v>
      </c>
      <c r="T172" s="57">
        <f>IFERROR(__xludf.DUMMYFUNCTION("""COMPUTED_VALUE"""),0.71875)</f>
        <v>0.71875</v>
      </c>
      <c r="U172" s="57">
        <f>IFERROR(__xludf.DUMMYFUNCTION("""COMPUTED_VALUE"""),0.5416666666666666)</f>
        <v>0.5416666667</v>
      </c>
      <c r="V172" s="57">
        <f>IFERROR(__xludf.DUMMYFUNCTION("""COMPUTED_VALUE"""),1.0520833333333335)</f>
        <v>1.052083333</v>
      </c>
      <c r="W172" s="57">
        <f>IFERROR(__xludf.DUMMYFUNCTION("""COMPUTED_VALUE"""),2.3958333333333326)</f>
        <v>2.395833333</v>
      </c>
      <c r="X172" s="31">
        <f>IFERROR(__xludf.DUMMYFUNCTION("""COMPUTED_VALUE"""),307.677098748083)</f>
        <v>307.6770987</v>
      </c>
      <c r="Y172" s="57">
        <f>IFERROR(__xludf.DUMMYFUNCTION("""COMPUTED_VALUE"""),0.7289508959057623)</f>
        <v>0.7289508959</v>
      </c>
      <c r="Z172" s="57">
        <f>IFERROR(__xludf.DUMMYFUNCTION("""COMPUTED_VALUE"""),0.470055782867236)</f>
        <v>0.4700557829</v>
      </c>
      <c r="AA172" s="57">
        <f>IFERROR(__xludf.DUMMYFUNCTION("""COMPUTED_VALUE"""),1.0231423712534395)</f>
        <v>1.023142371</v>
      </c>
      <c r="AB172" s="57">
        <f>IFERROR(__xludf.DUMMYFUNCTION("""COMPUTED_VALUE"""),2.1213990925283346)</f>
        <v>2.121399093</v>
      </c>
      <c r="AC172" s="31">
        <f>IFERROR(__xludf.DUMMYFUNCTION("""COMPUTED_VALUE"""),325.2817088861314)</f>
        <v>325.2817089</v>
      </c>
      <c r="AD172" s="57">
        <f>IFERROR(__xludf.DUMMYFUNCTION("""COMPUTED_VALUE"""),0.8067797706146383)</f>
        <v>0.8067797706</v>
      </c>
      <c r="AE172" s="57">
        <f>IFERROR(__xludf.DUMMYFUNCTION("""COMPUTED_VALUE"""),0.522641891963532)</f>
        <v>0.522641892</v>
      </c>
      <c r="AF172" s="57">
        <f>IFERROR(__xludf.DUMMYFUNCTION("""COMPUTED_VALUE"""),1.0565500960990124)</f>
        <v>1.056550096</v>
      </c>
      <c r="AG172" s="57">
        <f>IFERROR(__xludf.DUMMYFUNCTION("""COMPUTED_VALUE"""),2.2598212883774913)</f>
        <v>2.259821288</v>
      </c>
      <c r="AH172" s="57">
        <f>IFERROR(__xludf.DUMMYFUNCTION("""COMPUTED_VALUE"""),1.2440178434430649)</f>
        <v>1.244017843</v>
      </c>
      <c r="AI172" s="57">
        <f>IFERROR(__xludf.DUMMYFUNCTION("""COMPUTED_VALUE"""),1.4719010605525138)</f>
        <v>1.471901061</v>
      </c>
      <c r="AJ172" s="57">
        <f>IFERROR(__xludf.DUMMYFUNCTION("""COMPUTED_VALUE"""),0.9566780001532831)</f>
        <v>0.9566780002</v>
      </c>
      <c r="AK172" s="57">
        <f>IFERROR(__xludf.DUMMYFUNCTION("""COMPUTED_VALUE"""),1.3901375859250873)</f>
        <v>1.390137586</v>
      </c>
      <c r="AL172" s="57">
        <f>IFERROR(__xludf.DUMMYFUNCTION("""COMPUTED_VALUE"""),1.2030818604917253)</f>
        <v>1.20308186</v>
      </c>
      <c r="AM172" s="57">
        <f>IFERROR(__xludf.DUMMYFUNCTION("""COMPUTED_VALUE"""),1.0359548521169202)</f>
        <v>1.035954852</v>
      </c>
      <c r="AN172" s="57">
        <f>IFERROR(__xludf.DUMMYFUNCTION("""COMPUTED_VALUE"""),0.9860060588949724)</f>
        <v>0.9860060589</v>
      </c>
      <c r="AO172" s="57">
        <f>IFERROR(__xludf.DUMMYFUNCTION("""COMPUTED_VALUE"""),1.1523455011288664)</f>
        <v>1.152345501</v>
      </c>
      <c r="AP172" s="35">
        <f>IFERROR(__xludf.DUMMYFUNCTION("""COMPUTED_VALUE"""),1.0282863488924212)</f>
        <v>1.028286349</v>
      </c>
      <c r="AQ172" s="57">
        <f>IFERROR(__xludf.DUMMYFUNCTION("""COMPUTED_VALUE"""),1.1293647394172874)</f>
        <v>1.129364739</v>
      </c>
      <c r="AR172" s="36" t="b">
        <f>IFERROR(__xludf.DUMMYFUNCTION("""COMPUTED_VALUE"""),TRUE)</f>
        <v>1</v>
      </c>
      <c r="AS172" s="57"/>
      <c r="AT172" s="37"/>
      <c r="AU172" s="30"/>
      <c r="AV172" s="30"/>
      <c r="AW172" s="30"/>
      <c r="AX172" s="30"/>
      <c r="AY172" s="30"/>
      <c r="AZ172" s="30"/>
    </row>
    <row r="173">
      <c r="A173" s="30" t="str">
        <f>IFERROR(__xludf.DUMMYFUNCTION("""COMPUTED_VALUE"""),"Contender")</f>
        <v>Contender</v>
      </c>
      <c r="B173" s="30" t="str">
        <f>IFERROR(__xludf.DUMMYFUNCTION("""COMPUTED_VALUE"""),"RSC007894")</f>
        <v>RSC007894</v>
      </c>
      <c r="C173" s="30" t="str">
        <f>IFERROR(__xludf.DUMMYFUNCTION("""COMPUTED_VALUE"""),"BlackCoop03")</f>
        <v>BlackCoop03</v>
      </c>
      <c r="D173" s="31" t="str">
        <f>IFERROR(__xludf.DUMMYFUNCTION("""COMPUTED_VALUE"""),"Clover")</f>
        <v>Clover</v>
      </c>
      <c r="E173" s="31">
        <f>IFERROR(__xludf.DUMMYFUNCTION("""COMPUTED_VALUE"""),67.1342188909004)</f>
        <v>67.13421889</v>
      </c>
      <c r="F173" s="31">
        <f>IFERROR(__xludf.DUMMYFUNCTION("""COMPUTED_VALUE"""),4.055879844353178)</f>
        <v>4.055879844</v>
      </c>
      <c r="G173" s="31">
        <f>IFERROR(__xludf.DUMMYFUNCTION("""COMPUTED_VALUE"""),58.1673439541212)</f>
        <v>58.16734395</v>
      </c>
      <c r="H173" s="31">
        <f>IFERROR(__xludf.DUMMYFUNCTION("""COMPUTED_VALUE"""),2.688535133631012)</f>
        <v>2.688535134</v>
      </c>
      <c r="I173" s="54">
        <f>IFERROR(__xludf.DUMMYFUNCTION("""COMPUTED_VALUE"""),20.0)</f>
        <v>20</v>
      </c>
      <c r="J173" s="55">
        <f>IFERROR(__xludf.DUMMYFUNCTION("""COMPUTED_VALUE"""),10.0)</f>
        <v>10</v>
      </c>
      <c r="K173" s="54">
        <f>IFERROR(__xludf.DUMMYFUNCTION("""COMPUTED_VALUE"""),10.0)</f>
        <v>10</v>
      </c>
      <c r="L173" s="56">
        <f>IFERROR(__xludf.DUMMYFUNCTION("""COMPUTED_VALUE"""),0.5)</f>
        <v>0.5</v>
      </c>
      <c r="M173" s="56">
        <f>IFERROR(__xludf.DUMMYFUNCTION("""COMPUTED_VALUE"""),0.3333333333333333)</f>
        <v>0.3333333333</v>
      </c>
      <c r="N173" s="31">
        <f>IFERROR(__xludf.DUMMYFUNCTION("""COMPUTED_VALUE"""),362.15)</f>
        <v>362.15</v>
      </c>
      <c r="O173" s="57">
        <f>IFERROR(__xludf.DUMMYFUNCTION("""COMPUTED_VALUE"""),0.75)</f>
        <v>0.75</v>
      </c>
      <c r="P173" s="57">
        <f>IFERROR(__xludf.DUMMYFUNCTION("""COMPUTED_VALUE"""),0.75)</f>
        <v>0.75</v>
      </c>
      <c r="Q173" s="57">
        <f>IFERROR(__xludf.DUMMYFUNCTION("""COMPUTED_VALUE"""),1.35)</f>
        <v>1.35</v>
      </c>
      <c r="R173" s="57">
        <f>IFERROR(__xludf.DUMMYFUNCTION("""COMPUTED_VALUE"""),2.25)</f>
        <v>2.25</v>
      </c>
      <c r="S173" s="31">
        <f>IFERROR(__xludf.DUMMYFUNCTION("""COMPUTED_VALUE"""),323.1833333333333)</f>
        <v>323.1833333</v>
      </c>
      <c r="T173" s="57">
        <f>IFERROR(__xludf.DUMMYFUNCTION("""COMPUTED_VALUE"""),0.6666666666666666)</f>
        <v>0.6666666667</v>
      </c>
      <c r="U173" s="57">
        <f>IFERROR(__xludf.DUMMYFUNCTION("""COMPUTED_VALUE"""),0.5000000000000001)</f>
        <v>0.5</v>
      </c>
      <c r="V173" s="57">
        <f>IFERROR(__xludf.DUMMYFUNCTION("""COMPUTED_VALUE"""),1.1)</f>
        <v>1.1</v>
      </c>
      <c r="W173" s="57">
        <f>IFERROR(__xludf.DUMMYFUNCTION("""COMPUTED_VALUE"""),2.416666666666667)</f>
        <v>2.416666667</v>
      </c>
      <c r="X173" s="31">
        <f>IFERROR(__xludf.DUMMYFUNCTION("""COMPUTED_VALUE"""),331.9462443749595)</f>
        <v>331.9462444</v>
      </c>
      <c r="Y173" s="57">
        <f>IFERROR(__xludf.DUMMYFUNCTION("""COMPUTED_VALUE"""),0.8196435555524495)</f>
        <v>0.8196435556</v>
      </c>
      <c r="Z173" s="57">
        <f>IFERROR(__xludf.DUMMYFUNCTION("""COMPUTED_VALUE"""),0.5736793291939534)</f>
        <v>0.5736793292</v>
      </c>
      <c r="AA173" s="57">
        <f>IFERROR(__xludf.DUMMYFUNCTION("""COMPUTED_VALUE"""),1.0702532072364364)</f>
        <v>1.070253207</v>
      </c>
      <c r="AB173" s="57">
        <f>IFERROR(__xludf.DUMMYFUNCTION("""COMPUTED_VALUE"""),2.34090180752017)</f>
        <v>2.340901808</v>
      </c>
      <c r="AC173" s="31">
        <f>IFERROR(__xludf.DUMMYFUNCTION("""COMPUTED_VALUE"""),321.52719434360563)</f>
        <v>321.5271943</v>
      </c>
      <c r="AD173" s="57">
        <f>IFERROR(__xludf.DUMMYFUNCTION("""COMPUTED_VALUE"""),0.7687642671454)</f>
        <v>0.7687642671</v>
      </c>
      <c r="AE173" s="57">
        <f>IFERROR(__xludf.DUMMYFUNCTION("""COMPUTED_VALUE"""),0.5036480886005957)</f>
        <v>0.5036480886</v>
      </c>
      <c r="AF173" s="57">
        <f>IFERROR(__xludf.DUMMYFUNCTION("""COMPUTED_VALUE"""),1.1077481339899893)</f>
        <v>1.107748134</v>
      </c>
      <c r="AG173" s="57">
        <f>IFERROR(__xludf.DUMMYFUNCTION("""COMPUTED_VALUE"""),2.2056052956191596)</f>
        <v>2.205605296</v>
      </c>
      <c r="AH173" s="57">
        <f>IFERROR(__xludf.DUMMYFUNCTION("""COMPUTED_VALUE"""),1.1263432965268314)</f>
        <v>1.126343297</v>
      </c>
      <c r="AI173" s="57">
        <f>IFERROR(__xludf.DUMMYFUNCTION("""COMPUTED_VALUE"""),0.9755916502010739)</f>
        <v>0.9755916502</v>
      </c>
      <c r="AJ173" s="57">
        <f>IFERROR(__xludf.DUMMYFUNCTION("""COMPUTED_VALUE"""),1.489135007111616)</f>
        <v>1.489135007</v>
      </c>
      <c r="AK173" s="57">
        <f>IFERROR(__xludf.DUMMYFUNCTION("""COMPUTED_VALUE"""),1.2186885796299614)</f>
        <v>1.21868858</v>
      </c>
      <c r="AL173" s="57">
        <f>IFERROR(__xludf.DUMMYFUNCTION("""COMPUTED_VALUE"""),1.0201281273984146)</f>
        <v>1.020128127</v>
      </c>
      <c r="AM173" s="57">
        <f>IFERROR(__xludf.DUMMYFUNCTION("""COMPUTED_VALUE"""),0.9736014153191387)</f>
        <v>0.9736014153</v>
      </c>
      <c r="AN173" s="57">
        <f>IFERROR(__xludf.DUMMYFUNCTION("""COMPUTED_VALUE"""),0.813361688932362)</f>
        <v>0.8133616889</v>
      </c>
      <c r="AO173" s="57">
        <f>IFERROR(__xludf.DUMMYFUNCTION("""COMPUTED_VALUE"""),0.8715670489688443)</f>
        <v>0.871567049</v>
      </c>
      <c r="AP173" s="35">
        <f>IFERROR(__xludf.DUMMYFUNCTION("""COMPUTED_VALUE"""),1.027794163626358)</f>
        <v>1.027794164</v>
      </c>
      <c r="AQ173" s="57">
        <f>IFERROR(__xludf.DUMMYFUNCTION("""COMPUTED_VALUE"""),1.0323656715984846)</f>
        <v>1.032365672</v>
      </c>
      <c r="AR173" s="36" t="b">
        <f>IFERROR(__xludf.DUMMYFUNCTION("""COMPUTED_VALUE"""),TRUE)</f>
        <v>1</v>
      </c>
      <c r="AS173" s="57"/>
      <c r="AT173" s="37"/>
      <c r="AU173" s="30"/>
      <c r="AV173" s="30"/>
      <c r="AW173" s="30"/>
      <c r="AX173" s="30"/>
      <c r="AY173" s="30"/>
      <c r="AZ173" s="30"/>
    </row>
    <row r="174">
      <c r="A174" s="30" t="str">
        <f>IFERROR(__xludf.DUMMYFUNCTION("""COMPUTED_VALUE"""),"Contender")</f>
        <v>Contender</v>
      </c>
      <c r="B174" s="30" t="str">
        <f>IFERROR(__xludf.DUMMYFUNCTION("""COMPUTED_VALUE"""),"RSC007630")</f>
        <v>RSC007630</v>
      </c>
      <c r="C174" s="30" t="str">
        <f>IFERROR(__xludf.DUMMYFUNCTION("""COMPUTED_VALUE"""),"Grey")</f>
        <v>Grey</v>
      </c>
      <c r="D174" s="31" t="str">
        <f>IFERROR(__xludf.DUMMYFUNCTION("""COMPUTED_VALUE"""),"Rad Lads")</f>
        <v>Rad Lads</v>
      </c>
      <c r="E174" s="31">
        <f>IFERROR(__xludf.DUMMYFUNCTION("""COMPUTED_VALUE"""),65.59914155010364)</f>
        <v>65.59914155</v>
      </c>
      <c r="F174" s="31">
        <f>IFERROR(__xludf.DUMMYFUNCTION("""COMPUTED_VALUE"""),3.7548098915101993)</f>
        <v>3.754809892</v>
      </c>
      <c r="G174" s="31">
        <f>IFERROR(__xludf.DUMMYFUNCTION("""COMPUTED_VALUE"""),59.07058281304424)</f>
        <v>59.07058281</v>
      </c>
      <c r="H174" s="31">
        <f>IFERROR(__xludf.DUMMYFUNCTION("""COMPUTED_VALUE"""),2.790424306335687)</f>
        <v>2.790424306</v>
      </c>
      <c r="I174" s="54">
        <f>IFERROR(__xludf.DUMMYFUNCTION("""COMPUTED_VALUE"""),19.0)</f>
        <v>19</v>
      </c>
      <c r="J174" s="55">
        <f>IFERROR(__xludf.DUMMYFUNCTION("""COMPUTED_VALUE"""),10.0)</f>
        <v>10</v>
      </c>
      <c r="K174" s="54">
        <f>IFERROR(__xludf.DUMMYFUNCTION("""COMPUTED_VALUE"""),9.0)</f>
        <v>9</v>
      </c>
      <c r="L174" s="56">
        <f>IFERROR(__xludf.DUMMYFUNCTION("""COMPUTED_VALUE"""),0.5263157894736842)</f>
        <v>0.5263157895</v>
      </c>
      <c r="M174" s="56">
        <f>IFERROR(__xludf.DUMMYFUNCTION("""COMPUTED_VALUE"""),0.39215686274509803)</f>
        <v>0.3921568627</v>
      </c>
      <c r="N174" s="31">
        <f>IFERROR(__xludf.DUMMYFUNCTION("""COMPUTED_VALUE"""),336.57894736842104)</f>
        <v>336.5789474</v>
      </c>
      <c r="O174" s="57">
        <f>IFERROR(__xludf.DUMMYFUNCTION("""COMPUTED_VALUE"""),1.0526315789473684)</f>
        <v>1.052631579</v>
      </c>
      <c r="P174" s="57">
        <f>IFERROR(__xludf.DUMMYFUNCTION("""COMPUTED_VALUE"""),0.5789473684210527)</f>
        <v>0.5789473684</v>
      </c>
      <c r="Q174" s="57">
        <f>IFERROR(__xludf.DUMMYFUNCTION("""COMPUTED_VALUE"""),0.8947368421052632)</f>
        <v>0.8947368421</v>
      </c>
      <c r="R174" s="57">
        <f>IFERROR(__xludf.DUMMYFUNCTION("""COMPUTED_VALUE"""),2.6842105263157894)</f>
        <v>2.684210526</v>
      </c>
      <c r="S174" s="31">
        <f>IFERROR(__xludf.DUMMYFUNCTION("""COMPUTED_VALUE"""),331.280701754386)</f>
        <v>331.2807018</v>
      </c>
      <c r="T174" s="57">
        <f>IFERROR(__xludf.DUMMYFUNCTION("""COMPUTED_VALUE"""),0.8596491228070177)</f>
        <v>0.8596491228</v>
      </c>
      <c r="U174" s="57">
        <f>IFERROR(__xludf.DUMMYFUNCTION("""COMPUTED_VALUE"""),0.5087719298245613)</f>
        <v>0.5087719298</v>
      </c>
      <c r="V174" s="57">
        <f>IFERROR(__xludf.DUMMYFUNCTION("""COMPUTED_VALUE"""),0.9473684210526315)</f>
        <v>0.9473684211</v>
      </c>
      <c r="W174" s="57">
        <f>IFERROR(__xludf.DUMMYFUNCTION("""COMPUTED_VALUE"""),2.12280701754386)</f>
        <v>2.122807018</v>
      </c>
      <c r="X174" s="31">
        <f>IFERROR(__xludf.DUMMYFUNCTION("""COMPUTED_VALUE"""),319.1906513442698)</f>
        <v>319.1906513</v>
      </c>
      <c r="Y174" s="57">
        <f>IFERROR(__xludf.DUMMYFUNCTION("""COMPUTED_VALUE"""),0.7581992525877974)</f>
        <v>0.7581992526</v>
      </c>
      <c r="Z174" s="57">
        <f>IFERROR(__xludf.DUMMYFUNCTION("""COMPUTED_VALUE"""),0.5340463458110515)</f>
        <v>0.5340463458</v>
      </c>
      <c r="AA174" s="57">
        <f>IFERROR(__xludf.DUMMYFUNCTION("""COMPUTED_VALUE"""),1.084738891569387)</f>
        <v>1.084738892</v>
      </c>
      <c r="AB174" s="57">
        <f>IFERROR(__xludf.DUMMYFUNCTION("""COMPUTED_VALUE"""),2.2268737518931023)</f>
        <v>2.226873752</v>
      </c>
      <c r="AC174" s="31">
        <f>IFERROR(__xludf.DUMMYFUNCTION("""COMPUTED_VALUE"""),327.33656455272177)</f>
        <v>327.3365646</v>
      </c>
      <c r="AD174" s="57">
        <f>IFERROR(__xludf.DUMMYFUNCTION("""COMPUTED_VALUE"""),0.8028151651410166)</f>
        <v>0.8028151651</v>
      </c>
      <c r="AE174" s="57">
        <f>IFERROR(__xludf.DUMMYFUNCTION("""COMPUTED_VALUE"""),0.5289364230540704)</f>
        <v>0.5289364231</v>
      </c>
      <c r="AF174" s="57">
        <f>IFERROR(__xludf.DUMMYFUNCTION("""COMPUTED_VALUE"""),1.0832044181308884)</f>
        <v>1.083204418</v>
      </c>
      <c r="AG174" s="57">
        <f>IFERROR(__xludf.DUMMYFUNCTION("""COMPUTED_VALUE"""),2.3592665747851513)</f>
        <v>2.359266575</v>
      </c>
      <c r="AH174" s="57">
        <f>IFERROR(__xludf.DUMMYFUNCTION("""COMPUTED_VALUE"""),1.0282351066656064)</f>
        <v>1.028235107</v>
      </c>
      <c r="AI174" s="57">
        <f>IFERROR(__xludf.DUMMYFUNCTION("""COMPUTED_VALUE"""),1.311175504217675)</f>
        <v>1.311175504</v>
      </c>
      <c r="AJ174" s="57">
        <f>IFERROR(__xludf.DUMMYFUNCTION("""COMPUTED_VALUE"""),1.0945500124158964)</f>
        <v>1.094550012</v>
      </c>
      <c r="AK174" s="57">
        <f>IFERROR(__xludf.DUMMYFUNCTION("""COMPUTED_VALUE"""),0.8260092251554574)</f>
        <v>0.8260092252</v>
      </c>
      <c r="AL174" s="57">
        <f>IFERROR(__xludf.DUMMYFUNCTION("""COMPUTED_VALUE"""),1.1377309181605428)</f>
        <v>1.137730918</v>
      </c>
      <c r="AM174" s="57">
        <f>IFERROR(__xludf.DUMMYFUNCTION("""COMPUTED_VALUE"""),1.0378772071149296)</f>
        <v>1.037877207</v>
      </c>
      <c r="AN174" s="57">
        <f>IFERROR(__xludf.DUMMYFUNCTION("""COMPUTED_VALUE"""),1.1338037064438713)</f>
        <v>1.133803706</v>
      </c>
      <c r="AO174" s="57">
        <f>IFERROR(__xludf.DUMMYFUNCTION("""COMPUTED_VALUE"""),0.9526737404258312)</f>
        <v>0.9526737404</v>
      </c>
      <c r="AP174" s="35">
        <f>IFERROR(__xludf.DUMMYFUNCTION("""COMPUTED_VALUE"""),0.8733607953172864)</f>
        <v>0.8733607953</v>
      </c>
      <c r="AQ174" s="57">
        <f>IFERROR(__xludf.DUMMYFUNCTION("""COMPUTED_VALUE"""),0.9532677888628516)</f>
        <v>0.9532677889</v>
      </c>
      <c r="AR174" s="36" t="b">
        <f>IFERROR(__xludf.DUMMYFUNCTION("""COMPUTED_VALUE"""),TRUE)</f>
        <v>1</v>
      </c>
      <c r="AS174" s="57"/>
      <c r="AT174" s="37"/>
      <c r="AU174" s="30"/>
      <c r="AV174" s="30"/>
      <c r="AW174" s="30"/>
      <c r="AX174" s="30"/>
      <c r="AY174" s="30"/>
      <c r="AZ174" s="30"/>
    </row>
    <row r="175">
      <c r="A175" s="30" t="str">
        <f>IFERROR(__xludf.DUMMYFUNCTION("""COMPUTED_VALUE"""),"Contender")</f>
        <v>Contender</v>
      </c>
      <c r="B175" s="30" t="str">
        <f>IFERROR(__xludf.DUMMYFUNCTION("""COMPUTED_VALUE"""),"RSC006251")</f>
        <v>RSC006251</v>
      </c>
      <c r="C175" s="30" t="str">
        <f>IFERROR(__xludf.DUMMYFUNCTION("""COMPUTED_VALUE"""),"MiniTechniks")</f>
        <v>MiniTechniks</v>
      </c>
      <c r="D175" s="31" t="str">
        <f>IFERROR(__xludf.DUMMYFUNCTION("""COMPUTED_VALUE"""),"Rad Lads")</f>
        <v>Rad Lads</v>
      </c>
      <c r="E175" s="31">
        <f>IFERROR(__xludf.DUMMYFUNCTION("""COMPUTED_VALUE"""),65.22769426113172)</f>
        <v>65.22769426</v>
      </c>
      <c r="F175" s="31">
        <f>IFERROR(__xludf.DUMMYFUNCTION("""COMPUTED_VALUE"""),3.686955317200997)</f>
        <v>3.686955317</v>
      </c>
      <c r="G175" s="31">
        <f>IFERROR(__xludf.DUMMYFUNCTION("""COMPUTED_VALUE"""),64.93541340168481)</f>
        <v>64.9354134</v>
      </c>
      <c r="H175" s="31">
        <f>IFERROR(__xludf.DUMMYFUNCTION("""COMPUTED_VALUE"""),3.6348481282026297)</f>
        <v>3.634848128</v>
      </c>
      <c r="I175" s="54">
        <f>IFERROR(__xludf.DUMMYFUNCTION("""COMPUTED_VALUE"""),29.0)</f>
        <v>29</v>
      </c>
      <c r="J175" s="55">
        <f>IFERROR(__xludf.DUMMYFUNCTION("""COMPUTED_VALUE"""),11.0)</f>
        <v>11</v>
      </c>
      <c r="K175" s="54">
        <f>IFERROR(__xludf.DUMMYFUNCTION("""COMPUTED_VALUE"""),18.0)</f>
        <v>18</v>
      </c>
      <c r="L175" s="56">
        <f>IFERROR(__xludf.DUMMYFUNCTION("""COMPUTED_VALUE"""),0.3793103448275862)</f>
        <v>0.3793103448</v>
      </c>
      <c r="M175" s="56">
        <f>IFERROR(__xludf.DUMMYFUNCTION("""COMPUTED_VALUE"""),0.3333333333333333)</f>
        <v>0.3333333333</v>
      </c>
      <c r="N175" s="31">
        <f>IFERROR(__xludf.DUMMYFUNCTION("""COMPUTED_VALUE"""),349.44827586206895)</f>
        <v>349.4482759</v>
      </c>
      <c r="O175" s="57">
        <f>IFERROR(__xludf.DUMMYFUNCTION("""COMPUTED_VALUE"""),0.9310344827586207)</f>
        <v>0.9310344828</v>
      </c>
      <c r="P175" s="57">
        <f>IFERROR(__xludf.DUMMYFUNCTION("""COMPUTED_VALUE"""),0.5862068965517241)</f>
        <v>0.5862068966</v>
      </c>
      <c r="Q175" s="57">
        <f>IFERROR(__xludf.DUMMYFUNCTION("""COMPUTED_VALUE"""),0.8620689655172413)</f>
        <v>0.8620689655</v>
      </c>
      <c r="R175" s="57">
        <f>IFERROR(__xludf.DUMMYFUNCTION("""COMPUTED_VALUE"""),2.793103448275862)</f>
        <v>2.793103448</v>
      </c>
      <c r="S175" s="31">
        <f>IFERROR(__xludf.DUMMYFUNCTION("""COMPUTED_VALUE"""),338.2643678160919)</f>
        <v>338.2643678</v>
      </c>
      <c r="T175" s="57">
        <f>IFERROR(__xludf.DUMMYFUNCTION("""COMPUTED_VALUE"""),0.8735632183908046)</f>
        <v>0.8735632184</v>
      </c>
      <c r="U175" s="57">
        <f>IFERROR(__xludf.DUMMYFUNCTION("""COMPUTED_VALUE"""),0.5632183908045978)</f>
        <v>0.5632183908</v>
      </c>
      <c r="V175" s="57">
        <f>IFERROR(__xludf.DUMMYFUNCTION("""COMPUTED_VALUE"""),1.0574712643678161)</f>
        <v>1.057471264</v>
      </c>
      <c r="W175" s="57">
        <f>IFERROR(__xludf.DUMMYFUNCTION("""COMPUTED_VALUE"""),2.1149425287356323)</f>
        <v>2.114942529</v>
      </c>
      <c r="X175" s="31">
        <f>IFERROR(__xludf.DUMMYFUNCTION("""COMPUTED_VALUE"""),327.01794617876584)</f>
        <v>327.0179462</v>
      </c>
      <c r="Y175" s="57">
        <f>IFERROR(__xludf.DUMMYFUNCTION("""COMPUTED_VALUE"""),0.7863932777256406)</f>
        <v>0.7863932777</v>
      </c>
      <c r="Z175" s="57">
        <f>IFERROR(__xludf.DUMMYFUNCTION("""COMPUTED_VALUE"""),0.5257016237631955)</f>
        <v>0.5257016238</v>
      </c>
      <c r="AA175" s="57">
        <f>IFERROR(__xludf.DUMMYFUNCTION("""COMPUTED_VALUE"""),1.1205283457209616)</f>
        <v>1.120528346</v>
      </c>
      <c r="AB175" s="57">
        <f>IFERROR(__xludf.DUMMYFUNCTION("""COMPUTED_VALUE"""),2.2886886622523446)</f>
        <v>2.288688662</v>
      </c>
      <c r="AC175" s="31">
        <f>IFERROR(__xludf.DUMMYFUNCTION("""COMPUTED_VALUE"""),325.09217103740224)</f>
        <v>325.092171</v>
      </c>
      <c r="AD175" s="57">
        <f>IFERROR(__xludf.DUMMYFUNCTION("""COMPUTED_VALUE"""),0.7867501218413175)</f>
        <v>0.7867501218</v>
      </c>
      <c r="AE175" s="57">
        <f>IFERROR(__xludf.DUMMYFUNCTION("""COMPUTED_VALUE"""),0.5078375727233936)</f>
        <v>0.5078375727</v>
      </c>
      <c r="AF175" s="57">
        <f>IFERROR(__xludf.DUMMYFUNCTION("""COMPUTED_VALUE"""),1.090349417253412)</f>
        <v>1.090349417</v>
      </c>
      <c r="AG175" s="57">
        <f>IFERROR(__xludf.DUMMYFUNCTION("""COMPUTED_VALUE"""),2.3030270939132094)</f>
        <v>2.303027094</v>
      </c>
      <c r="AH175" s="57">
        <f>IFERROR(__xludf.DUMMYFUNCTION("""COMPUTED_VALUE"""),1.0749206132739029)</f>
        <v>1.074920613</v>
      </c>
      <c r="AI175" s="57">
        <f>IFERROR(__xludf.DUMMYFUNCTION("""COMPUTED_VALUE"""),1.1833928675849692)</f>
        <v>1.183392868</v>
      </c>
      <c r="AJ175" s="57">
        <f>IFERROR(__xludf.DUMMYFUNCTION("""COMPUTED_VALUE"""),1.154319664470782)</f>
        <v>1.154319664</v>
      </c>
      <c r="AK175" s="57">
        <f>IFERROR(__xludf.DUMMYFUNCTION("""COMPUTED_VALUE"""),0.7906355081005053)</f>
        <v>0.7906355081</v>
      </c>
      <c r="AL175" s="57">
        <f>IFERROR(__xludf.DUMMYFUNCTION("""COMPUTED_VALUE"""),1.212796608280424)</f>
        <v>1.212796608</v>
      </c>
      <c r="AM175" s="57">
        <f>IFERROR(__xludf.DUMMYFUNCTION("""COMPUTED_VALUE"""),1.0343908393063486)</f>
        <v>1.034390839</v>
      </c>
      <c r="AN175" s="57">
        <f>IFERROR(__xludf.DUMMYFUNCTION("""COMPUTED_VALUE"""),1.110847769346747)</f>
        <v>1.110847769</v>
      </c>
      <c r="AO175" s="57">
        <f>IFERROR(__xludf.DUMMYFUNCTION("""COMPUTED_VALUE"""),1.071365134413779)</f>
        <v>1.071365134</v>
      </c>
      <c r="AP175" s="35">
        <f>IFERROR(__xludf.DUMMYFUNCTION("""COMPUTED_VALUE"""),0.9437255812457169)</f>
        <v>0.9437255812</v>
      </c>
      <c r="AQ175" s="57">
        <f>IFERROR(__xludf.DUMMYFUNCTION("""COMPUTED_VALUE"""),0.924084854186447)</f>
        <v>0.9240848542</v>
      </c>
      <c r="AR175" s="36" t="b">
        <f>IFERROR(__xludf.DUMMYFUNCTION("""COMPUTED_VALUE"""),TRUE)</f>
        <v>1</v>
      </c>
      <c r="AS175" s="57"/>
      <c r="AT175" s="37"/>
      <c r="AU175" s="30"/>
      <c r="AV175" s="30"/>
      <c r="AW175" s="30"/>
      <c r="AX175" s="30"/>
      <c r="AY175" s="30"/>
      <c r="AZ175" s="30"/>
    </row>
    <row r="176">
      <c r="A176" s="30" t="str">
        <f>IFERROR(__xludf.DUMMYFUNCTION("""COMPUTED_VALUE"""),"Contender")</f>
        <v>Contender</v>
      </c>
      <c r="B176" s="30" t="str">
        <f>IFERROR(__xludf.DUMMYFUNCTION("""COMPUTED_VALUE"""),"RSC006381")</f>
        <v>RSC006381</v>
      </c>
      <c r="C176" s="30" t="str">
        <f>IFERROR(__xludf.DUMMYFUNCTION("""COMPUTED_VALUE"""),"YERP_YERP02")</f>
        <v>YERP_YERP02</v>
      </c>
      <c r="D176" s="31" t="str">
        <f>IFERROR(__xludf.DUMMYFUNCTION("""COMPUTED_VALUE"""),"Rad Lads")</f>
        <v>Rad Lads</v>
      </c>
      <c r="E176" s="31">
        <f>IFERROR(__xludf.DUMMYFUNCTION("""COMPUTED_VALUE"""),62.08410956189169)</f>
        <v>62.08410956</v>
      </c>
      <c r="F176" s="31">
        <f>IFERROR(__xludf.DUMMYFUNCTION("""COMPUTED_VALUE"""),3.1804742627138407)</f>
        <v>3.180474263</v>
      </c>
      <c r="G176" s="31">
        <f>IFERROR(__xludf.DUMMYFUNCTION("""COMPUTED_VALUE"""),57.00497459887541)</f>
        <v>57.0049746</v>
      </c>
      <c r="H176" s="31">
        <f>IFERROR(__xludf.DUMMYFUNCTION("""COMPUTED_VALUE"""),2.5663239275456773)</f>
        <v>2.566323928</v>
      </c>
      <c r="I176" s="54">
        <f>IFERROR(__xludf.DUMMYFUNCTION("""COMPUTED_VALUE"""),29.0)</f>
        <v>29</v>
      </c>
      <c r="J176" s="55">
        <f>IFERROR(__xludf.DUMMYFUNCTION("""COMPUTED_VALUE"""),14.0)</f>
        <v>14</v>
      </c>
      <c r="K176" s="54">
        <f>IFERROR(__xludf.DUMMYFUNCTION("""COMPUTED_VALUE"""),15.0)</f>
        <v>15</v>
      </c>
      <c r="L176" s="56">
        <f>IFERROR(__xludf.DUMMYFUNCTION("""COMPUTED_VALUE"""),0.4827586206896552)</f>
        <v>0.4827586207</v>
      </c>
      <c r="M176" s="56">
        <f>IFERROR(__xludf.DUMMYFUNCTION("""COMPUTED_VALUE"""),0.38461538461538464)</f>
        <v>0.3846153846</v>
      </c>
      <c r="N176" s="31">
        <f>IFERROR(__xludf.DUMMYFUNCTION("""COMPUTED_VALUE"""),327.9310344827586)</f>
        <v>327.9310345</v>
      </c>
      <c r="O176" s="57">
        <f>IFERROR(__xludf.DUMMYFUNCTION("""COMPUTED_VALUE"""),0.8620689655172413)</f>
        <v>0.8620689655</v>
      </c>
      <c r="P176" s="57">
        <f>IFERROR(__xludf.DUMMYFUNCTION("""COMPUTED_VALUE"""),0.7241379310344828)</f>
        <v>0.724137931</v>
      </c>
      <c r="Q176" s="57">
        <f>IFERROR(__xludf.DUMMYFUNCTION("""COMPUTED_VALUE"""),0.7241379310344828)</f>
        <v>0.724137931</v>
      </c>
      <c r="R176" s="57">
        <f>IFERROR(__xludf.DUMMYFUNCTION("""COMPUTED_VALUE"""),2.2413793103448274)</f>
        <v>2.24137931</v>
      </c>
      <c r="S176" s="31">
        <f>IFERROR(__xludf.DUMMYFUNCTION("""COMPUTED_VALUE"""),326.919540229885)</f>
        <v>326.9195402</v>
      </c>
      <c r="T176" s="57">
        <f>IFERROR(__xludf.DUMMYFUNCTION("""COMPUTED_VALUE"""),0.8390804597701149)</f>
        <v>0.8390804598</v>
      </c>
      <c r="U176" s="57">
        <f>IFERROR(__xludf.DUMMYFUNCTION("""COMPUTED_VALUE"""),0.6436781609195401)</f>
        <v>0.6436781609</v>
      </c>
      <c r="V176" s="57">
        <f>IFERROR(__xludf.DUMMYFUNCTION("""COMPUTED_VALUE"""),0.9310344827586207)</f>
        <v>0.9310344828</v>
      </c>
      <c r="W176" s="57">
        <f>IFERROR(__xludf.DUMMYFUNCTION("""COMPUTED_VALUE"""),2.1149425287356323)</f>
        <v>2.114942529</v>
      </c>
      <c r="X176" s="31">
        <f>IFERROR(__xludf.DUMMYFUNCTION("""COMPUTED_VALUE"""),324.74662058217393)</f>
        <v>324.7466206</v>
      </c>
      <c r="Y176" s="57">
        <f>IFERROR(__xludf.DUMMYFUNCTION("""COMPUTED_VALUE"""),0.7810052552230137)</f>
        <v>0.7810052552</v>
      </c>
      <c r="Z176" s="57">
        <f>IFERROR(__xludf.DUMMYFUNCTION("""COMPUTED_VALUE"""),0.5283659078676418)</f>
        <v>0.5283659079</v>
      </c>
      <c r="AA176" s="57">
        <f>IFERROR(__xludf.DUMMYFUNCTION("""COMPUTED_VALUE"""),1.09957231701899)</f>
        <v>1.099572317</v>
      </c>
      <c r="AB176" s="57">
        <f>IFERROR(__xludf.DUMMYFUNCTION("""COMPUTED_VALUE"""),2.2877996467715445)</f>
        <v>2.287799647</v>
      </c>
      <c r="AC176" s="31">
        <f>IFERROR(__xludf.DUMMYFUNCTION("""COMPUTED_VALUE"""),325.4035452047982)</f>
        <v>325.4035452</v>
      </c>
      <c r="AD176" s="57">
        <f>IFERROR(__xludf.DUMMYFUNCTION("""COMPUTED_VALUE"""),0.7944007674356751)</f>
        <v>0.7944007674</v>
      </c>
      <c r="AE176" s="57">
        <f>IFERROR(__xludf.DUMMYFUNCTION("""COMPUTED_VALUE"""),0.5077869359587609)</f>
        <v>0.507786936</v>
      </c>
      <c r="AF176" s="57">
        <f>IFERROR(__xludf.DUMMYFUNCTION("""COMPUTED_VALUE"""),1.092953655570125)</f>
        <v>1.092953656</v>
      </c>
      <c r="AG176" s="57">
        <f>IFERROR(__xludf.DUMMYFUNCTION("""COMPUTED_VALUE"""),2.289046114896734)</f>
        <v>2.289046115</v>
      </c>
      <c r="AH176" s="57">
        <f>IFERROR(__xludf.DUMMYFUNCTION("""COMPUTED_VALUE"""),1.0077672456714315)</f>
        <v>1.007767246</v>
      </c>
      <c r="AI176" s="57">
        <f>IFERROR(__xludf.DUMMYFUNCTION("""COMPUTED_VALUE"""),1.085181435939443)</f>
        <v>1.085181436</v>
      </c>
      <c r="AJ176" s="57">
        <f>IFERROR(__xludf.DUMMYFUNCTION("""COMPUTED_VALUE"""),1.4260664852813236)</f>
        <v>1.426066485</v>
      </c>
      <c r="AK176" s="57">
        <f>IFERROR(__xludf.DUMMYFUNCTION("""COMPUTED_VALUE"""),0.6625513601093596)</f>
        <v>0.6625513601</v>
      </c>
      <c r="AL176" s="57">
        <f>IFERROR(__xludf.DUMMYFUNCTION("""COMPUTED_VALUE"""),0.9791761274525232)</f>
        <v>0.9791761275</v>
      </c>
      <c r="AM176" s="57">
        <f>IFERROR(__xludf.DUMMYFUNCTION("""COMPUTED_VALUE"""),1.006691123201885)</f>
        <v>1.006691123</v>
      </c>
      <c r="AN176" s="57">
        <f>IFERROR(__xludf.DUMMYFUNCTION("""COMPUTED_VALUE"""),1.0743595566850803)</f>
        <v>1.074359557</v>
      </c>
      <c r="AO176" s="57">
        <f>IFERROR(__xludf.DUMMYFUNCTION("""COMPUTED_VALUE"""),1.2182431745402933)</f>
        <v>1.218243175</v>
      </c>
      <c r="AP176" s="35">
        <f>IFERROR(__xludf.DUMMYFUNCTION("""COMPUTED_VALUE"""),0.8467241929868824)</f>
        <v>0.846724193</v>
      </c>
      <c r="AQ176" s="57">
        <f>IFERROR(__xludf.DUMMYFUNCTION("""COMPUTED_VALUE"""),0.9244439440840715)</f>
        <v>0.9244439441</v>
      </c>
      <c r="AR176" s="36" t="b">
        <f>IFERROR(__xludf.DUMMYFUNCTION("""COMPUTED_VALUE"""),TRUE)</f>
        <v>1</v>
      </c>
      <c r="AS176" s="57"/>
      <c r="AT176" s="37"/>
      <c r="AU176" s="30"/>
      <c r="AV176" s="30"/>
      <c r="AW176" s="30"/>
      <c r="AX176" s="30"/>
      <c r="AY176" s="30"/>
      <c r="AZ176" s="30"/>
    </row>
    <row r="177">
      <c r="A177" s="30" t="str">
        <f>IFERROR(__xludf.DUMMYFUNCTION("""COMPUTED_VALUE"""),"Contender")</f>
        <v>Contender</v>
      </c>
      <c r="B177" s="30" t="str">
        <f>IFERROR(__xludf.DUMMYFUNCTION("""COMPUTED_VALUE"""),"RSC007520")</f>
        <v>RSC007520</v>
      </c>
      <c r="C177" s="30" t="str">
        <f>IFERROR(__xludf.DUMMYFUNCTION("""COMPUTED_VALUE"""),"Blitzzzzz.")</f>
        <v>Blitzzzzz.</v>
      </c>
      <c r="D177" s="31" t="str">
        <f>IFERROR(__xludf.DUMMYFUNCTION("""COMPUTED_VALUE"""),"Devoured")</f>
        <v>Devoured</v>
      </c>
      <c r="E177" s="31">
        <f>IFERROR(__xludf.DUMMYFUNCTION("""COMPUTED_VALUE"""),61.02534347546344)</f>
        <v>61.02534348</v>
      </c>
      <c r="F177" s="31">
        <f>IFERROR(__xludf.DUMMYFUNCTION("""COMPUTED_VALUE"""),3.0339665419154818)</f>
        <v>3.033966542</v>
      </c>
      <c r="G177" s="31">
        <f>IFERROR(__xludf.DUMMYFUNCTION("""COMPUTED_VALUE"""),51.07357817321217)</f>
        <v>51.07357817</v>
      </c>
      <c r="H177" s="31">
        <f>IFERROR(__xludf.DUMMYFUNCTION("""COMPUTED_VALUE"""),2.070936041184811)</f>
        <v>2.070936041</v>
      </c>
      <c r="I177" s="54">
        <f>IFERROR(__xludf.DUMMYFUNCTION("""COMPUTED_VALUE"""),34.0)</f>
        <v>34</v>
      </c>
      <c r="J177" s="55">
        <f>IFERROR(__xludf.DUMMYFUNCTION("""COMPUTED_VALUE"""),15.0)</f>
        <v>15</v>
      </c>
      <c r="K177" s="54">
        <f>IFERROR(__xludf.DUMMYFUNCTION("""COMPUTED_VALUE"""),19.0)</f>
        <v>19</v>
      </c>
      <c r="L177" s="56">
        <f>IFERROR(__xludf.DUMMYFUNCTION("""COMPUTED_VALUE"""),0.4411764705882353)</f>
        <v>0.4411764706</v>
      </c>
      <c r="M177" s="56">
        <f>IFERROR(__xludf.DUMMYFUNCTION("""COMPUTED_VALUE"""),0.39999999999999997)</f>
        <v>0.4</v>
      </c>
      <c r="N177" s="31">
        <f>IFERROR(__xludf.DUMMYFUNCTION("""COMPUTED_VALUE"""),327.8529411764706)</f>
        <v>327.8529412</v>
      </c>
      <c r="O177" s="57">
        <f>IFERROR(__xludf.DUMMYFUNCTION("""COMPUTED_VALUE"""),0.7647058823529411)</f>
        <v>0.7647058824</v>
      </c>
      <c r="P177" s="57">
        <f>IFERROR(__xludf.DUMMYFUNCTION("""COMPUTED_VALUE"""),0.7647058823529411)</f>
        <v>0.7647058824</v>
      </c>
      <c r="Q177" s="57">
        <f>IFERROR(__xludf.DUMMYFUNCTION("""COMPUTED_VALUE"""),1.0)</f>
        <v>1</v>
      </c>
      <c r="R177" s="57">
        <f>IFERROR(__xludf.DUMMYFUNCTION("""COMPUTED_VALUE"""),1.911764705882353)</f>
        <v>1.911764706</v>
      </c>
      <c r="S177" s="31">
        <f>IFERROR(__xludf.DUMMYFUNCTION("""COMPUTED_VALUE"""),343.2941176470588)</f>
        <v>343.2941176</v>
      </c>
      <c r="T177" s="57">
        <f>IFERROR(__xludf.DUMMYFUNCTION("""COMPUTED_VALUE"""),0.9019607843137253)</f>
        <v>0.9019607843</v>
      </c>
      <c r="U177" s="57">
        <f>IFERROR(__xludf.DUMMYFUNCTION("""COMPUTED_VALUE"""),0.5686274509803924)</f>
        <v>0.568627451</v>
      </c>
      <c r="V177" s="57">
        <f>IFERROR(__xludf.DUMMYFUNCTION("""COMPUTED_VALUE"""),1.1666666666666663)</f>
        <v>1.166666667</v>
      </c>
      <c r="W177" s="57">
        <f>IFERROR(__xludf.DUMMYFUNCTION("""COMPUTED_VALUE"""),2.3725490196078427)</f>
        <v>2.37254902</v>
      </c>
      <c r="X177" s="31">
        <f>IFERROR(__xludf.DUMMYFUNCTION("""COMPUTED_VALUE"""),329.3709158247151)</f>
        <v>329.3709158</v>
      </c>
      <c r="Y177" s="57">
        <f>IFERROR(__xludf.DUMMYFUNCTION("""COMPUTED_VALUE"""),0.8177123445763271)</f>
        <v>0.8177123446</v>
      </c>
      <c r="Z177" s="57">
        <f>IFERROR(__xludf.DUMMYFUNCTION("""COMPUTED_VALUE"""),0.5165567850756989)</f>
        <v>0.5165567851</v>
      </c>
      <c r="AA177" s="57">
        <f>IFERROR(__xludf.DUMMYFUNCTION("""COMPUTED_VALUE"""),1.081008320815211)</f>
        <v>1.081008321</v>
      </c>
      <c r="AB177" s="57">
        <f>IFERROR(__xludf.DUMMYFUNCTION("""COMPUTED_VALUE"""),2.3041896954019676)</f>
        <v>2.304189695</v>
      </c>
      <c r="AC177" s="31">
        <f>IFERROR(__xludf.DUMMYFUNCTION("""COMPUTED_VALUE"""),312.4303172203347)</f>
        <v>312.4303172</v>
      </c>
      <c r="AD177" s="57">
        <f>IFERROR(__xludf.DUMMYFUNCTION("""COMPUTED_VALUE"""),0.7198300093757962)</f>
        <v>0.7198300094</v>
      </c>
      <c r="AE177" s="57">
        <f>IFERROR(__xludf.DUMMYFUNCTION("""COMPUTED_VALUE"""),0.4683596258595421)</f>
        <v>0.4683596259</v>
      </c>
      <c r="AF177" s="57">
        <f>IFERROR(__xludf.DUMMYFUNCTION("""COMPUTED_VALUE"""),1.05824802837074)</f>
        <v>1.058248028</v>
      </c>
      <c r="AG177" s="57">
        <f>IFERROR(__xludf.DUMMYFUNCTION("""COMPUTED_VALUE"""),2.169677431678126)</f>
        <v>2.169677432</v>
      </c>
      <c r="AH177" s="57">
        <f>IFERROR(__xludf.DUMMYFUNCTION("""COMPUTED_VALUE"""),1.0493634039530788)</f>
        <v>1.049363404</v>
      </c>
      <c r="AI177" s="57">
        <f>IFERROR(__xludf.DUMMYFUNCTION("""COMPUTED_VALUE"""),1.0623423202598337)</f>
        <v>1.06234232</v>
      </c>
      <c r="AJ177" s="57">
        <f>IFERROR(__xludf.DUMMYFUNCTION("""COMPUTED_VALUE"""),1.632732285473025)</f>
        <v>1.632732285</v>
      </c>
      <c r="AK177" s="57">
        <f>IFERROR(__xludf.DUMMYFUNCTION("""COMPUTED_VALUE"""),0.9449580563259657)</f>
        <v>0.9449580563</v>
      </c>
      <c r="AL177" s="57">
        <f>IFERROR(__xludf.DUMMYFUNCTION("""COMPUTED_VALUE"""),0.8811285391873704)</f>
        <v>0.8811285392</v>
      </c>
      <c r="AM177" s="57">
        <f>IFERROR(__xludf.DUMMYFUNCTION("""COMPUTED_VALUE"""),1.0422721046498027)</f>
        <v>1.042272105</v>
      </c>
      <c r="AN177" s="57">
        <f>IFERROR(__xludf.DUMMYFUNCTION("""COMPUTED_VALUE"""),1.1030294336342066)</f>
        <v>1.103029434</v>
      </c>
      <c r="AO177" s="57">
        <f>IFERROR(__xludf.DUMMYFUNCTION("""COMPUTED_VALUE"""),1.1008033722702195)</f>
        <v>1.100803372</v>
      </c>
      <c r="AP177" s="35">
        <f>IFERROR(__xludf.DUMMYFUNCTION("""COMPUTED_VALUE"""),1.0792393029748915)</f>
        <v>1.079239303</v>
      </c>
      <c r="AQ177" s="57">
        <f>IFERROR(__xludf.DUMMYFUNCTION("""COMPUTED_VALUE"""),1.0296674029669897)</f>
        <v>1.029667403</v>
      </c>
      <c r="AR177" s="36" t="b">
        <f>IFERROR(__xludf.DUMMYFUNCTION("""COMPUTED_VALUE"""),TRUE)</f>
        <v>1</v>
      </c>
      <c r="AS177" s="57"/>
      <c r="AT177" s="37"/>
      <c r="AU177" s="30"/>
      <c r="AV177" s="30"/>
      <c r="AW177" s="30"/>
      <c r="AX177" s="30"/>
      <c r="AY177" s="30"/>
      <c r="AZ177" s="30"/>
    </row>
    <row r="178">
      <c r="A178" s="30" t="str">
        <f>IFERROR(__xludf.DUMMYFUNCTION("""COMPUTED_VALUE"""),"Contender")</f>
        <v>Contender</v>
      </c>
      <c r="B178" s="30" t="str">
        <f>IFERROR(__xludf.DUMMYFUNCTION("""COMPUTED_VALUE"""),"RSC007513")</f>
        <v>RSC007513</v>
      </c>
      <c r="C178" s="30" t="str">
        <f>IFERROR(__xludf.DUMMYFUNCTION("""COMPUTED_VALUE"""),"Russ")</f>
        <v>Russ</v>
      </c>
      <c r="D178" s="31" t="str">
        <f>IFERROR(__xludf.DUMMYFUNCTION("""COMPUTED_VALUE"""),"Toothpaste")</f>
        <v>Toothpaste</v>
      </c>
      <c r="E178" s="31">
        <f>IFERROR(__xludf.DUMMYFUNCTION("""COMPUTED_VALUE"""),58.75124031441065)</f>
        <v>58.75124031</v>
      </c>
      <c r="F178" s="31">
        <f>IFERROR(__xludf.DUMMYFUNCTION("""COMPUTED_VALUE"""),2.7536774978832823)</f>
        <v>2.753677498</v>
      </c>
      <c r="G178" s="31">
        <f>IFERROR(__xludf.DUMMYFUNCTION("""COMPUTED_VALUE"""),68.97738418314812)</f>
        <v>68.97738418</v>
      </c>
      <c r="H178" s="31">
        <f>IFERROR(__xludf.DUMMYFUNCTION("""COMPUTED_VALUE"""),4.466324369877385)</f>
        <v>4.46632437</v>
      </c>
      <c r="I178" s="54">
        <f>IFERROR(__xludf.DUMMYFUNCTION("""COMPUTED_VALUE"""),5.0)</f>
        <v>5</v>
      </c>
      <c r="J178" s="55">
        <f>IFERROR(__xludf.DUMMYFUNCTION("""COMPUTED_VALUE"""),2.0)</f>
        <v>2</v>
      </c>
      <c r="K178" s="54">
        <f>IFERROR(__xludf.DUMMYFUNCTION("""COMPUTED_VALUE"""),3.0)</f>
        <v>3</v>
      </c>
      <c r="L178" s="56">
        <f>IFERROR(__xludf.DUMMYFUNCTION("""COMPUTED_VALUE"""),0.4)</f>
        <v>0.4</v>
      </c>
      <c r="M178" s="56">
        <f>IFERROR(__xludf.DUMMYFUNCTION("""COMPUTED_VALUE"""),0.25)</f>
        <v>0.25</v>
      </c>
      <c r="N178" s="31">
        <f>IFERROR(__xludf.DUMMYFUNCTION("""COMPUTED_VALUE"""),313.4)</f>
        <v>313.4</v>
      </c>
      <c r="O178" s="57">
        <f>IFERROR(__xludf.DUMMYFUNCTION("""COMPUTED_VALUE"""),0.6)</f>
        <v>0.6</v>
      </c>
      <c r="P178" s="57">
        <f>IFERROR(__xludf.DUMMYFUNCTION("""COMPUTED_VALUE"""),0.8)</f>
        <v>0.8</v>
      </c>
      <c r="Q178" s="57">
        <f>IFERROR(__xludf.DUMMYFUNCTION("""COMPUTED_VALUE"""),1.0)</f>
        <v>1</v>
      </c>
      <c r="R178" s="57">
        <f>IFERROR(__xludf.DUMMYFUNCTION("""COMPUTED_VALUE"""),2.4)</f>
        <v>2.4</v>
      </c>
      <c r="S178" s="31">
        <f>IFERROR(__xludf.DUMMYFUNCTION("""COMPUTED_VALUE"""),335.19999999999993)</f>
        <v>335.2</v>
      </c>
      <c r="T178" s="57">
        <f>IFERROR(__xludf.DUMMYFUNCTION("""COMPUTED_VALUE"""),0.7333333333333333)</f>
        <v>0.7333333333</v>
      </c>
      <c r="U178" s="57">
        <f>IFERROR(__xludf.DUMMYFUNCTION("""COMPUTED_VALUE"""),0.3333333333333333)</f>
        <v>0.3333333333</v>
      </c>
      <c r="V178" s="57">
        <f>IFERROR(__xludf.DUMMYFUNCTION("""COMPUTED_VALUE"""),1.2)</f>
        <v>1.2</v>
      </c>
      <c r="W178" s="57">
        <f>IFERROR(__xludf.DUMMYFUNCTION("""COMPUTED_VALUE"""),1.8)</f>
        <v>1.8</v>
      </c>
      <c r="X178" s="31">
        <f>IFERROR(__xludf.DUMMYFUNCTION("""COMPUTED_VALUE"""),302.1565173894206)</f>
        <v>302.1565174</v>
      </c>
      <c r="Y178" s="57">
        <f>IFERROR(__xludf.DUMMYFUNCTION("""COMPUTED_VALUE"""),0.6287210209145695)</f>
        <v>0.6287210209</v>
      </c>
      <c r="Z178" s="57">
        <f>IFERROR(__xludf.DUMMYFUNCTION("""COMPUTED_VALUE"""),0.35987730907085747)</f>
        <v>0.3598773091</v>
      </c>
      <c r="AA178" s="57">
        <f>IFERROR(__xludf.DUMMYFUNCTION("""COMPUTED_VALUE"""),1.170539111426208)</f>
        <v>1.170539111</v>
      </c>
      <c r="AB178" s="57">
        <f>IFERROR(__xludf.DUMMYFUNCTION("""COMPUTED_VALUE"""),1.9614224467288985)</f>
        <v>1.961422447</v>
      </c>
      <c r="AC178" s="31">
        <f>IFERROR(__xludf.DUMMYFUNCTION("""COMPUTED_VALUE"""),324.426434643612)</f>
        <v>324.4264346</v>
      </c>
      <c r="AD178" s="57">
        <f>IFERROR(__xludf.DUMMYFUNCTION("""COMPUTED_VALUE"""),0.7994345123216091)</f>
        <v>0.7994345123</v>
      </c>
      <c r="AE178" s="57">
        <f>IFERROR(__xludf.DUMMYFUNCTION("""COMPUTED_VALUE"""),0.508345379232476)</f>
        <v>0.5083453792</v>
      </c>
      <c r="AF178" s="57">
        <f>IFERROR(__xludf.DUMMYFUNCTION("""COMPUTED_VALUE"""),1.0248871361613296)</f>
        <v>1.024887136</v>
      </c>
      <c r="AG178" s="57">
        <f>IFERROR(__xludf.DUMMYFUNCTION("""COMPUTED_VALUE"""),2.448141452335001)</f>
        <v>2.448141452</v>
      </c>
      <c r="AH178" s="57">
        <f>IFERROR(__xludf.DUMMYFUNCTION("""COMPUTED_VALUE"""),0.9660125271366226)</f>
        <v>0.9660125271</v>
      </c>
      <c r="AI178" s="57">
        <f>IFERROR(__xludf.DUMMYFUNCTION("""COMPUTED_VALUE"""),0.7505305197014344)</f>
        <v>0.7505305197</v>
      </c>
      <c r="AJ178" s="57">
        <f>IFERROR(__xludf.DUMMYFUNCTION("""COMPUTED_VALUE"""),1.5737331992824997)</f>
        <v>1.573733199</v>
      </c>
      <c r="AK178" s="57">
        <f>IFERROR(__xludf.DUMMYFUNCTION("""COMPUTED_VALUE"""),0.9757171933540474)</f>
        <v>0.9757171934</v>
      </c>
      <c r="AL178" s="57">
        <f>IFERROR(__xludf.DUMMYFUNCTION("""COMPUTED_VALUE"""),0.9803355103157603)</f>
        <v>0.9803355103</v>
      </c>
      <c r="AM178" s="57">
        <f>IFERROR(__xludf.DUMMYFUNCTION("""COMPUTED_VALUE"""),1.10935882798779)</f>
        <v>1.109358828</v>
      </c>
      <c r="AN178" s="57">
        <f>IFERROR(__xludf.DUMMYFUNCTION("""COMPUTED_VALUE"""),1.1663890802737746)</f>
        <v>1.16638908</v>
      </c>
      <c r="AO178" s="57">
        <f>IFERROR(__xludf.DUMMYFUNCTION("""COMPUTED_VALUE"""),0.9262415965984179)</f>
        <v>0.9262415966</v>
      </c>
      <c r="AP178" s="35">
        <f>IFERROR(__xludf.DUMMYFUNCTION("""COMPUTED_VALUE"""),1.025168649459219)</f>
        <v>1.025168649</v>
      </c>
      <c r="AQ178" s="57">
        <f>IFERROR(__xludf.DUMMYFUNCTION("""COMPUTED_VALUE"""),0.9177013360899863)</f>
        <v>0.9177013361</v>
      </c>
      <c r="AR178" s="36" t="b">
        <f>IFERROR(__xludf.DUMMYFUNCTION("""COMPUTED_VALUE"""),TRUE)</f>
        <v>1</v>
      </c>
      <c r="AS178" s="57"/>
      <c r="AT178" s="37"/>
      <c r="AU178" s="30"/>
      <c r="AV178" s="30"/>
      <c r="AW178" s="30"/>
      <c r="AX178" s="30"/>
      <c r="AY178" s="30"/>
      <c r="AZ178" s="30"/>
    </row>
    <row r="179">
      <c r="A179" s="30" t="str">
        <f>IFERROR(__xludf.DUMMYFUNCTION("""COMPUTED_VALUE"""),"Contender")</f>
        <v>Contender</v>
      </c>
      <c r="B179" s="30" t="str">
        <f>IFERROR(__xludf.DUMMYFUNCTION("""COMPUTED_VALUE"""),"RSC007465")</f>
        <v>RSC007465</v>
      </c>
      <c r="C179" s="30" t="str">
        <f>IFERROR(__xludf.DUMMYFUNCTION("""COMPUTED_VALUE"""),"xReaperDenTTV")</f>
        <v>xReaperDenTTV</v>
      </c>
      <c r="D179" s="31"/>
      <c r="E179" s="31">
        <f>IFERROR(__xludf.DUMMYFUNCTION("""COMPUTED_VALUE"""),57.872984772626616)</f>
        <v>57.87298477</v>
      </c>
      <c r="F179" s="31">
        <f>IFERROR(__xludf.DUMMYFUNCTION("""COMPUTED_VALUE"""),2.656667472088828)</f>
        <v>2.656667472</v>
      </c>
      <c r="G179" s="31">
        <f>IFERROR(__xludf.DUMMYFUNCTION("""COMPUTED_VALUE"""),61.77696303317568)</f>
        <v>61.77696303</v>
      </c>
      <c r="H179" s="31">
        <f>IFERROR(__xludf.DUMMYFUNCTION("""COMPUTED_VALUE"""),3.136838316469553)</f>
        <v>3.136838316</v>
      </c>
      <c r="I179" s="54">
        <f>IFERROR(__xludf.DUMMYFUNCTION("""COMPUTED_VALUE"""),26.0)</f>
        <v>26</v>
      </c>
      <c r="J179" s="55">
        <f>IFERROR(__xludf.DUMMYFUNCTION("""COMPUTED_VALUE"""),11.0)</f>
        <v>11</v>
      </c>
      <c r="K179" s="54">
        <f>IFERROR(__xludf.DUMMYFUNCTION("""COMPUTED_VALUE"""),15.0)</f>
        <v>15</v>
      </c>
      <c r="L179" s="56">
        <f>IFERROR(__xludf.DUMMYFUNCTION("""COMPUTED_VALUE"""),0.4230769230769231)</f>
        <v>0.4230769231</v>
      </c>
      <c r="M179" s="56">
        <f>IFERROR(__xludf.DUMMYFUNCTION("""COMPUTED_VALUE"""),0.34920634920634924)</f>
        <v>0.3492063492</v>
      </c>
      <c r="N179" s="31">
        <f>IFERROR(__xludf.DUMMYFUNCTION("""COMPUTED_VALUE"""),344.38461538461536)</f>
        <v>344.3846154</v>
      </c>
      <c r="O179" s="57">
        <f>IFERROR(__xludf.DUMMYFUNCTION("""COMPUTED_VALUE"""),0.8461538461538461)</f>
        <v>0.8461538462</v>
      </c>
      <c r="P179" s="57">
        <f>IFERROR(__xludf.DUMMYFUNCTION("""COMPUTED_VALUE"""),0.5)</f>
        <v>0.5</v>
      </c>
      <c r="Q179" s="57">
        <f>IFERROR(__xludf.DUMMYFUNCTION("""COMPUTED_VALUE"""),1.1153846153846154)</f>
        <v>1.115384615</v>
      </c>
      <c r="R179" s="57">
        <f>IFERROR(__xludf.DUMMYFUNCTION("""COMPUTED_VALUE"""),2.423076923076923)</f>
        <v>2.423076923</v>
      </c>
      <c r="S179" s="31">
        <f>IFERROR(__xludf.DUMMYFUNCTION("""COMPUTED_VALUE"""),323.03846153846155)</f>
        <v>323.0384615</v>
      </c>
      <c r="T179" s="57">
        <f>IFERROR(__xludf.DUMMYFUNCTION("""COMPUTED_VALUE"""),0.8333333333333333)</f>
        <v>0.8333333333</v>
      </c>
      <c r="U179" s="57">
        <f>IFERROR(__xludf.DUMMYFUNCTION("""COMPUTED_VALUE"""),0.48717948717948717)</f>
        <v>0.4871794872</v>
      </c>
      <c r="V179" s="57">
        <f>IFERROR(__xludf.DUMMYFUNCTION("""COMPUTED_VALUE"""),1.0384615384615383)</f>
        <v>1.038461538</v>
      </c>
      <c r="W179" s="57">
        <f>IFERROR(__xludf.DUMMYFUNCTION("""COMPUTED_VALUE"""),2.294871794871795)</f>
        <v>2.294871795</v>
      </c>
      <c r="X179" s="31">
        <f>IFERROR(__xludf.DUMMYFUNCTION("""COMPUTED_VALUE"""),323.27863602814983)</f>
        <v>323.278636</v>
      </c>
      <c r="Y179" s="57">
        <f>IFERROR(__xludf.DUMMYFUNCTION("""COMPUTED_VALUE"""),0.825250982439311)</f>
        <v>0.8252509824</v>
      </c>
      <c r="Z179" s="57">
        <f>IFERROR(__xludf.DUMMYFUNCTION("""COMPUTED_VALUE"""),0.5228229076814401)</f>
        <v>0.5228229077</v>
      </c>
      <c r="AA179" s="57">
        <f>IFERROR(__xludf.DUMMYFUNCTION("""COMPUTED_VALUE"""),1.0237246396397592)</f>
        <v>1.02372464</v>
      </c>
      <c r="AB179" s="57">
        <f>IFERROR(__xludf.DUMMYFUNCTION("""COMPUTED_VALUE"""),2.266866984899699)</f>
        <v>2.266866985</v>
      </c>
      <c r="AC179" s="31">
        <f>IFERROR(__xludf.DUMMYFUNCTION("""COMPUTED_VALUE"""),321.04565513516286)</f>
        <v>321.0456551</v>
      </c>
      <c r="AD179" s="57">
        <f>IFERROR(__xludf.DUMMYFUNCTION("""COMPUTED_VALUE"""),0.7673965142606463)</f>
        <v>0.7673965143</v>
      </c>
      <c r="AE179" s="57">
        <f>IFERROR(__xludf.DUMMYFUNCTION("""COMPUTED_VALUE"""),0.5144065442694972)</f>
        <v>0.5144065443</v>
      </c>
      <c r="AF179" s="57">
        <f>IFERROR(__xludf.DUMMYFUNCTION("""COMPUTED_VALUE"""),1.0659949622917497)</f>
        <v>1.065994962</v>
      </c>
      <c r="AG179" s="57">
        <f>IFERROR(__xludf.DUMMYFUNCTION("""COMPUTED_VALUE"""),2.211957153542771)</f>
        <v>2.211957154</v>
      </c>
      <c r="AH179" s="57">
        <f>IFERROR(__xludf.DUMMYFUNCTION("""COMPUTED_VALUE"""),1.072696701781018)</f>
        <v>1.072696702</v>
      </c>
      <c r="AI179" s="57">
        <f>IFERROR(__xludf.DUMMYFUNCTION("""COMPUTED_VALUE"""),1.1026292541465075)</f>
        <v>1.102629254</v>
      </c>
      <c r="AJ179" s="57">
        <f>IFERROR(__xludf.DUMMYFUNCTION("""COMPUTED_VALUE"""),0.9719938549966238)</f>
        <v>0.971993855</v>
      </c>
      <c r="AK179" s="57">
        <f>IFERROR(__xludf.DUMMYFUNCTION("""COMPUTED_VALUE"""),1.0463319760786527)</f>
        <v>1.046331976</v>
      </c>
      <c r="AL179" s="57">
        <f>IFERROR(__xludf.DUMMYFUNCTION("""COMPUTED_VALUE"""),1.0954447825519644)</f>
        <v>1.095444783</v>
      </c>
      <c r="AM179" s="57">
        <f>IFERROR(__xludf.DUMMYFUNCTION("""COMPUTED_VALUE"""),0.9992570666201791)</f>
        <v>0.9992570666</v>
      </c>
      <c r="AN179" s="57">
        <f>IFERROR(__xludf.DUMMYFUNCTION("""COMPUTED_VALUE"""),1.0097938094785808)</f>
        <v>1.009793809</v>
      </c>
      <c r="AO179" s="57">
        <f>IFERROR(__xludf.DUMMYFUNCTION("""COMPUTED_VALUE"""),0.9318250597319451)</f>
        <v>0.9318250597</v>
      </c>
      <c r="AP179" s="35">
        <f>IFERROR(__xludf.DUMMYFUNCTION("""COMPUTED_VALUE"""),1.0143953737666849)</f>
        <v>1.014395374</v>
      </c>
      <c r="AQ179" s="57">
        <f>IFERROR(__xludf.DUMMYFUNCTION("""COMPUTED_VALUE"""),1.0123539714322212)</f>
        <v>1.012353971</v>
      </c>
      <c r="AR179" s="36" t="b">
        <f>IFERROR(__xludf.DUMMYFUNCTION("""COMPUTED_VALUE"""),TRUE)</f>
        <v>1</v>
      </c>
      <c r="AS179" s="57"/>
      <c r="AT179" s="37"/>
      <c r="AU179" s="30"/>
      <c r="AV179" s="30"/>
      <c r="AW179" s="30"/>
      <c r="AX179" s="30"/>
      <c r="AY179" s="30"/>
      <c r="AZ179" s="30"/>
    </row>
    <row r="180">
      <c r="A180" s="30" t="str">
        <f>IFERROR(__xludf.DUMMYFUNCTION("""COMPUTED_VALUE"""),"Contender")</f>
        <v>Contender</v>
      </c>
      <c r="B180" s="30" t="str">
        <f>IFERROR(__xludf.DUMMYFUNCTION("""COMPUTED_VALUE"""),"RSC007918")</f>
        <v>RSC007918</v>
      </c>
      <c r="C180" s="30" t="str">
        <f>IFERROR(__xludf.DUMMYFUNCTION("""COMPUTED_VALUE"""),"TheBLKBoy")</f>
        <v>TheBLKBoy</v>
      </c>
      <c r="D180" s="31" t="str">
        <f>IFERROR(__xludf.DUMMYFUNCTION("""COMPUTED_VALUE"""),"Clover")</f>
        <v>Clover</v>
      </c>
      <c r="E180" s="31">
        <f>IFERROR(__xludf.DUMMYFUNCTION("""COMPUTED_VALUE"""),57.82920266410852)</f>
        <v>57.82920266</v>
      </c>
      <c r="F180" s="31">
        <f>IFERROR(__xludf.DUMMYFUNCTION("""COMPUTED_VALUE"""),2.6519819431391887)</f>
        <v>2.651981943</v>
      </c>
      <c r="G180" s="31">
        <f>IFERROR(__xludf.DUMMYFUNCTION("""COMPUTED_VALUE"""),53.15181148454002)</f>
        <v>53.15181148</v>
      </c>
      <c r="H180" s="31">
        <f>IFERROR(__xludf.DUMMYFUNCTION("""COMPUTED_VALUE"""),2.2230260493530447)</f>
        <v>2.223026049</v>
      </c>
      <c r="I180" s="54">
        <f>IFERROR(__xludf.DUMMYFUNCTION("""COMPUTED_VALUE"""),25.0)</f>
        <v>25</v>
      </c>
      <c r="J180" s="55">
        <f>IFERROR(__xludf.DUMMYFUNCTION("""COMPUTED_VALUE"""),14.0)</f>
        <v>14</v>
      </c>
      <c r="K180" s="54">
        <f>IFERROR(__xludf.DUMMYFUNCTION("""COMPUTED_VALUE"""),11.0)</f>
        <v>11</v>
      </c>
      <c r="L180" s="56">
        <f>IFERROR(__xludf.DUMMYFUNCTION("""COMPUTED_VALUE"""),0.56)</f>
        <v>0.56</v>
      </c>
      <c r="M180" s="56">
        <f>IFERROR(__xludf.DUMMYFUNCTION("""COMPUTED_VALUE"""),0.4150943396226415)</f>
        <v>0.4150943396</v>
      </c>
      <c r="N180" s="31">
        <f>IFERROR(__xludf.DUMMYFUNCTION("""COMPUTED_VALUE"""),341.6)</f>
        <v>341.6</v>
      </c>
      <c r="O180" s="57">
        <f>IFERROR(__xludf.DUMMYFUNCTION("""COMPUTED_VALUE"""),0.88)</f>
        <v>0.88</v>
      </c>
      <c r="P180" s="57">
        <f>IFERROR(__xludf.DUMMYFUNCTION("""COMPUTED_VALUE"""),0.6)</f>
        <v>0.6</v>
      </c>
      <c r="Q180" s="57">
        <f>IFERROR(__xludf.DUMMYFUNCTION("""COMPUTED_VALUE"""),1.4)</f>
        <v>1.4</v>
      </c>
      <c r="R180" s="57">
        <f>IFERROR(__xludf.DUMMYFUNCTION("""COMPUTED_VALUE"""),2.12)</f>
        <v>2.12</v>
      </c>
      <c r="S180" s="31">
        <f>IFERROR(__xludf.DUMMYFUNCTION("""COMPUTED_VALUE"""),314.5999999999999)</f>
        <v>314.6</v>
      </c>
      <c r="T180" s="57">
        <f>IFERROR(__xludf.DUMMYFUNCTION("""COMPUTED_VALUE"""),0.72)</f>
        <v>0.72</v>
      </c>
      <c r="U180" s="57">
        <f>IFERROR(__xludf.DUMMYFUNCTION("""COMPUTED_VALUE"""),0.4666666666666666)</f>
        <v>0.4666666667</v>
      </c>
      <c r="V180" s="57">
        <f>IFERROR(__xludf.DUMMYFUNCTION("""COMPUTED_VALUE"""),1.12)</f>
        <v>1.12</v>
      </c>
      <c r="W180" s="57">
        <f>IFERROR(__xludf.DUMMYFUNCTION("""COMPUTED_VALUE"""),2.333333333333333)</f>
        <v>2.333333333</v>
      </c>
      <c r="X180" s="31">
        <f>IFERROR(__xludf.DUMMYFUNCTION("""COMPUTED_VALUE"""),315.32118103158115)</f>
        <v>315.321181</v>
      </c>
      <c r="Y180" s="57">
        <f>IFERROR(__xludf.DUMMYFUNCTION("""COMPUTED_VALUE"""),0.7186505257812263)</f>
        <v>0.7186505258</v>
      </c>
      <c r="Z180" s="57">
        <f>IFERROR(__xludf.DUMMYFUNCTION("""COMPUTED_VALUE"""),0.4833298062708519)</f>
        <v>0.4833298063</v>
      </c>
      <c r="AA180" s="57">
        <f>IFERROR(__xludf.DUMMYFUNCTION("""COMPUTED_VALUE"""),1.0934912225026243)</f>
        <v>1.093491223</v>
      </c>
      <c r="AB180" s="57">
        <f>IFERROR(__xludf.DUMMYFUNCTION("""COMPUTED_VALUE"""),2.1510512580671097)</f>
        <v>2.151051258</v>
      </c>
      <c r="AC180" s="31">
        <f>IFERROR(__xludf.DUMMYFUNCTION("""COMPUTED_VALUE"""),328.2231173624196)</f>
        <v>328.2231174</v>
      </c>
      <c r="AD180" s="57">
        <f>IFERROR(__xludf.DUMMYFUNCTION("""COMPUTED_VALUE"""),0.8197020129892766)</f>
        <v>0.819702013</v>
      </c>
      <c r="AE180" s="57">
        <f>IFERROR(__xludf.DUMMYFUNCTION("""COMPUTED_VALUE"""),0.5280080074418227)</f>
        <v>0.5280080074</v>
      </c>
      <c r="AF180" s="57">
        <f>IFERROR(__xludf.DUMMYFUNCTION("""COMPUTED_VALUE"""),1.0620931430556013)</f>
        <v>1.062093143</v>
      </c>
      <c r="AG180" s="57">
        <f>IFERROR(__xludf.DUMMYFUNCTION("""COMPUTED_VALUE"""),2.2692001051928754)</f>
        <v>2.269200105</v>
      </c>
      <c r="AH180" s="57">
        <f>IFERROR(__xludf.DUMMYFUNCTION("""COMPUTED_VALUE"""),1.0407554554507805)</f>
        <v>1.040755455</v>
      </c>
      <c r="AI180" s="57">
        <f>IFERROR(__xludf.DUMMYFUNCTION("""COMPUTED_VALUE"""),1.0735608624295427)</f>
        <v>1.073560862</v>
      </c>
      <c r="AJ180" s="57">
        <f>IFERROR(__xludf.DUMMYFUNCTION("""COMPUTED_VALUE"""),1.1363464029778174)</f>
        <v>1.136346403</v>
      </c>
      <c r="AK180" s="57">
        <f>IFERROR(__xludf.DUMMYFUNCTION("""COMPUTED_VALUE"""),1.3181518110287893)</f>
        <v>1.318151811</v>
      </c>
      <c r="AL180" s="57">
        <f>IFERROR(__xludf.DUMMYFUNCTION("""COMPUTED_VALUE"""),0.9342499126227594)</f>
        <v>0.9342499126</v>
      </c>
      <c r="AM180" s="57">
        <f>IFERROR(__xludf.DUMMYFUNCTION("""COMPUTED_VALUE"""),0.9977128684180939)</f>
        <v>0.9977128684</v>
      </c>
      <c r="AN180" s="57">
        <f>IFERROR(__xludf.DUMMYFUNCTION("""COMPUTED_VALUE"""),1.0018777892318476)</f>
        <v>1.001877789</v>
      </c>
      <c r="AO180" s="57">
        <f>IFERROR(__xludf.DUMMYFUNCTION("""COMPUTED_VALUE"""),0.9655242871679064)</f>
        <v>0.9655242872</v>
      </c>
      <c r="AP180" s="35">
        <f>IFERROR(__xludf.DUMMYFUNCTION("""COMPUTED_VALUE"""),1.0242423322216583)</f>
        <v>1.024242332</v>
      </c>
      <c r="AQ180" s="57">
        <f>IFERROR(__xludf.DUMMYFUNCTION("""COMPUTED_VALUE"""),1.0847409258996543)</f>
        <v>1.084740926</v>
      </c>
      <c r="AR180" s="36" t="b">
        <f>IFERROR(__xludf.DUMMYFUNCTION("""COMPUTED_VALUE"""),TRUE)</f>
        <v>1</v>
      </c>
      <c r="AS180" s="57"/>
      <c r="AT180" s="37"/>
      <c r="AU180" s="30"/>
      <c r="AV180" s="30"/>
      <c r="AW180" s="30"/>
      <c r="AX180" s="30"/>
      <c r="AY180" s="30"/>
      <c r="AZ180" s="30"/>
    </row>
    <row r="181">
      <c r="A181" s="30" t="str">
        <f>IFERROR(__xludf.DUMMYFUNCTION("""COMPUTED_VALUE"""),"Contender")</f>
        <v>Contender</v>
      </c>
      <c r="B181" s="30" t="str">
        <f>IFERROR(__xludf.DUMMYFUNCTION("""COMPUTED_VALUE"""),"RSC004509")</f>
        <v>RSC004509</v>
      </c>
      <c r="C181" s="30" t="str">
        <f>IFERROR(__xludf.DUMMYFUNCTION("""COMPUTED_VALUE"""),"tazlien")</f>
        <v>tazlien</v>
      </c>
      <c r="D181" s="31" t="str">
        <f>IFERROR(__xludf.DUMMYFUNCTION("""COMPUTED_VALUE"""),"Zebras")</f>
        <v>Zebras</v>
      </c>
      <c r="E181" s="31">
        <f>IFERROR(__xludf.DUMMYFUNCTION("""COMPUTED_VALUE"""),56.65182722441172)</f>
        <v>56.65182722</v>
      </c>
      <c r="F181" s="31">
        <f>IFERROR(__xludf.DUMMYFUNCTION("""COMPUTED_VALUE"""),2.531059517016097)</f>
        <v>2.531059517</v>
      </c>
      <c r="G181" s="31">
        <f>IFERROR(__xludf.DUMMYFUNCTION("""COMPUTED_VALUE"""),42.508314870873946)</f>
        <v>42.50831487</v>
      </c>
      <c r="H181" s="31">
        <f>IFERROR(__xludf.DUMMYFUNCTION("""COMPUTED_VALUE"""),-2.6163255507735714)</f>
        <v>-2.616325551</v>
      </c>
      <c r="I181" s="54">
        <f>IFERROR(__xludf.DUMMYFUNCTION("""COMPUTED_VALUE"""),24.0)</f>
        <v>24</v>
      </c>
      <c r="J181" s="55">
        <f>IFERROR(__xludf.DUMMYFUNCTION("""COMPUTED_VALUE"""),9.0)</f>
        <v>9</v>
      </c>
      <c r="K181" s="54">
        <f>IFERROR(__xludf.DUMMYFUNCTION("""COMPUTED_VALUE"""),15.0)</f>
        <v>15</v>
      </c>
      <c r="L181" s="56">
        <f>IFERROR(__xludf.DUMMYFUNCTION("""COMPUTED_VALUE"""),0.375)</f>
        <v>0.375</v>
      </c>
      <c r="M181" s="56">
        <f>IFERROR(__xludf.DUMMYFUNCTION("""COMPUTED_VALUE"""),0.3958333333333333)</f>
        <v>0.3958333333</v>
      </c>
      <c r="N181" s="31">
        <f>IFERROR(__xludf.DUMMYFUNCTION("""COMPUTED_VALUE"""),345.5833333333333)</f>
        <v>345.5833333</v>
      </c>
      <c r="O181" s="57">
        <f>IFERROR(__xludf.DUMMYFUNCTION("""COMPUTED_VALUE"""),0.7916666666666666)</f>
        <v>0.7916666667</v>
      </c>
      <c r="P181" s="57">
        <f>IFERROR(__xludf.DUMMYFUNCTION("""COMPUTED_VALUE"""),0.625)</f>
        <v>0.625</v>
      </c>
      <c r="Q181" s="57">
        <f>IFERROR(__xludf.DUMMYFUNCTION("""COMPUTED_VALUE"""),1.25)</f>
        <v>1.25</v>
      </c>
      <c r="R181" s="57">
        <f>IFERROR(__xludf.DUMMYFUNCTION("""COMPUTED_VALUE"""),2.0)</f>
        <v>2</v>
      </c>
      <c r="S181" s="31">
        <f>IFERROR(__xludf.DUMMYFUNCTION("""COMPUTED_VALUE"""),355.2638888888889)</f>
        <v>355.2638889</v>
      </c>
      <c r="T181" s="57">
        <f>IFERROR(__xludf.DUMMYFUNCTION("""COMPUTED_VALUE"""),0.9166666666666669)</f>
        <v>0.9166666667</v>
      </c>
      <c r="U181" s="57">
        <f>IFERROR(__xludf.DUMMYFUNCTION("""COMPUTED_VALUE"""),0.6666666666666666)</f>
        <v>0.6666666667</v>
      </c>
      <c r="V181" s="57">
        <f>IFERROR(__xludf.DUMMYFUNCTION("""COMPUTED_VALUE"""),1.1111111111111114)</f>
        <v>1.111111111</v>
      </c>
      <c r="W181" s="57">
        <f>IFERROR(__xludf.DUMMYFUNCTION("""COMPUTED_VALUE"""),2.6388888888888884)</f>
        <v>2.638888889</v>
      </c>
      <c r="X181" s="31">
        <f>IFERROR(__xludf.DUMMYFUNCTION("""COMPUTED_VALUE"""),339.0207099886033)</f>
        <v>339.02071</v>
      </c>
      <c r="Y181" s="57">
        <f>IFERROR(__xludf.DUMMYFUNCTION("""COMPUTED_VALUE"""),0.8573975537253822)</f>
        <v>0.8573975537</v>
      </c>
      <c r="Z181" s="57">
        <f>IFERROR(__xludf.DUMMYFUNCTION("""COMPUTED_VALUE"""),0.5586308100692993)</f>
        <v>0.5586308101</v>
      </c>
      <c r="AA181" s="57">
        <f>IFERROR(__xludf.DUMMYFUNCTION("""COMPUTED_VALUE"""),1.09928192040394)</f>
        <v>1.09928192</v>
      </c>
      <c r="AB181" s="57">
        <f>IFERROR(__xludf.DUMMYFUNCTION("""COMPUTED_VALUE"""),2.4452322180400246)</f>
        <v>2.445232218</v>
      </c>
      <c r="AC181" s="31">
        <f>IFERROR(__xludf.DUMMYFUNCTION("""COMPUTED_VALUE"""),318.23363536203834)</f>
        <v>318.2336354</v>
      </c>
      <c r="AD181" s="57">
        <f>IFERROR(__xludf.DUMMYFUNCTION("""COMPUTED_VALUE"""),0.7347664820523692)</f>
        <v>0.7347664821</v>
      </c>
      <c r="AE181" s="57">
        <f>IFERROR(__xludf.DUMMYFUNCTION("""COMPUTED_VALUE"""),0.47295299927060985)</f>
        <v>0.4729529993</v>
      </c>
      <c r="AF181" s="57">
        <f>IFERROR(__xludf.DUMMYFUNCTION("""COMPUTED_VALUE"""),1.1229720767150713)</f>
        <v>1.122972077</v>
      </c>
      <c r="AG181" s="57">
        <f>IFERROR(__xludf.DUMMYFUNCTION("""COMPUTED_VALUE"""),2.178876408330637)</f>
        <v>2.178876408</v>
      </c>
      <c r="AH181" s="57">
        <f>IFERROR(__xludf.DUMMYFUNCTION("""COMPUTED_VALUE"""),1.0859421975938546)</f>
        <v>1.085942198</v>
      </c>
      <c r="AI181" s="57">
        <f>IFERROR(__xludf.DUMMYFUNCTION("""COMPUTED_VALUE"""),1.0774398206833855)</f>
        <v>1.077439821</v>
      </c>
      <c r="AJ181" s="57">
        <f>IFERROR(__xludf.DUMMYFUNCTION("""COMPUTED_VALUE"""),1.3214843778639267)</f>
        <v>1.321484378</v>
      </c>
      <c r="AK181" s="57">
        <f>IFERROR(__xludf.DUMMYFUNCTION("""COMPUTED_VALUE"""),1.1131176152273634)</f>
        <v>1.113117615</v>
      </c>
      <c r="AL181" s="57">
        <f>IFERROR(__xludf.DUMMYFUNCTION("""COMPUTED_VALUE"""),0.9179042888129278)</f>
        <v>0.9179042888</v>
      </c>
      <c r="AM181" s="57">
        <f>IFERROR(__xludf.DUMMYFUNCTION("""COMPUTED_VALUE"""),1.04791205499166)</f>
        <v>1.047912055</v>
      </c>
      <c r="AN181" s="57">
        <f>IFERROR(__xludf.DUMMYFUNCTION("""COMPUTED_VALUE"""),1.069126757691063)</f>
        <v>1.069126758</v>
      </c>
      <c r="AO181" s="57">
        <f>IFERROR(__xludf.DUMMYFUNCTION("""COMPUTED_VALUE"""),1.1933940173904216)</f>
        <v>1.193394017</v>
      </c>
      <c r="AP181" s="35">
        <f>IFERROR(__xludf.DUMMYFUNCTION("""COMPUTED_VALUE"""),1.0107608344025387)</f>
        <v>1.010760834</v>
      </c>
      <c r="AQ181" s="57">
        <f>IFERROR(__xludf.DUMMYFUNCTION("""COMPUTED_VALUE"""),1.0791976604185631)</f>
        <v>1.07919766</v>
      </c>
      <c r="AR181" s="36" t="b">
        <f>IFERROR(__xludf.DUMMYFUNCTION("""COMPUTED_VALUE"""),TRUE)</f>
        <v>1</v>
      </c>
      <c r="AS181" s="57"/>
      <c r="AT181" s="37"/>
      <c r="AU181" s="30"/>
      <c r="AV181" s="30"/>
      <c r="AW181" s="30"/>
      <c r="AX181" s="30"/>
      <c r="AY181" s="30"/>
      <c r="AZ181" s="30"/>
    </row>
    <row r="182">
      <c r="A182" s="30" t="str">
        <f>IFERROR(__xludf.DUMMYFUNCTION("""COMPUTED_VALUE"""),"Contender")</f>
        <v>Contender</v>
      </c>
      <c r="B182" s="30" t="str">
        <f>IFERROR(__xludf.DUMMYFUNCTION("""COMPUTED_VALUE"""),"RSC005759")</f>
        <v>RSC005759</v>
      </c>
      <c r="C182" s="30" t="str">
        <f>IFERROR(__xludf.DUMMYFUNCTION("""COMPUTED_VALUE"""),"XerNaut")</f>
        <v>XerNaut</v>
      </c>
      <c r="D182" s="31" t="str">
        <f>IFERROR(__xludf.DUMMYFUNCTION("""COMPUTED_VALUE"""),"Devoured")</f>
        <v>Devoured</v>
      </c>
      <c r="E182" s="31">
        <f>IFERROR(__xludf.DUMMYFUNCTION("""COMPUTED_VALUE"""),54.62205304216829)</f>
        <v>54.62205304</v>
      </c>
      <c r="F182" s="31">
        <f>IFERROR(__xludf.DUMMYFUNCTION("""COMPUTED_VALUE"""),2.3437825179495313)</f>
        <v>2.343782518</v>
      </c>
      <c r="G182" s="31">
        <f>IFERROR(__xludf.DUMMYFUNCTION("""COMPUTED_VALUE"""),51.98205042749776)</f>
        <v>51.98205043</v>
      </c>
      <c r="H182" s="31">
        <f>IFERROR(__xludf.DUMMYFUNCTION("""COMPUTED_VALUE"""),2.1349084755289227)</f>
        <v>2.134908476</v>
      </c>
      <c r="I182" s="54">
        <f>IFERROR(__xludf.DUMMYFUNCTION("""COMPUTED_VALUE"""),33.0)</f>
        <v>33</v>
      </c>
      <c r="J182" s="55">
        <f>IFERROR(__xludf.DUMMYFUNCTION("""COMPUTED_VALUE"""),15.0)</f>
        <v>15</v>
      </c>
      <c r="K182" s="54">
        <f>IFERROR(__xludf.DUMMYFUNCTION("""COMPUTED_VALUE"""),18.0)</f>
        <v>18</v>
      </c>
      <c r="L182" s="56">
        <f>IFERROR(__xludf.DUMMYFUNCTION("""COMPUTED_VALUE"""),0.45454545454545453)</f>
        <v>0.4545454545</v>
      </c>
      <c r="M182" s="56">
        <f>IFERROR(__xludf.DUMMYFUNCTION("""COMPUTED_VALUE"""),0.3225806451612903)</f>
        <v>0.3225806452</v>
      </c>
      <c r="N182" s="31">
        <f>IFERROR(__xludf.DUMMYFUNCTION("""COMPUTED_VALUE"""),330.8787878787879)</f>
        <v>330.8787879</v>
      </c>
      <c r="O182" s="57">
        <f>IFERROR(__xludf.DUMMYFUNCTION("""COMPUTED_VALUE"""),0.9090909090909091)</f>
        <v>0.9090909091</v>
      </c>
      <c r="P182" s="57">
        <f>IFERROR(__xludf.DUMMYFUNCTION("""COMPUTED_VALUE"""),0.3333333333333333)</f>
        <v>0.3333333333</v>
      </c>
      <c r="Q182" s="57">
        <f>IFERROR(__xludf.DUMMYFUNCTION("""COMPUTED_VALUE"""),1.121212121212121)</f>
        <v>1.121212121</v>
      </c>
      <c r="R182" s="57">
        <f>IFERROR(__xludf.DUMMYFUNCTION("""COMPUTED_VALUE"""),2.8181818181818183)</f>
        <v>2.818181818</v>
      </c>
      <c r="S182" s="31">
        <f>IFERROR(__xludf.DUMMYFUNCTION("""COMPUTED_VALUE"""),343.73737373737373)</f>
        <v>343.7373737</v>
      </c>
      <c r="T182" s="57">
        <f>IFERROR(__xludf.DUMMYFUNCTION("""COMPUTED_VALUE"""),0.9292929292929291)</f>
        <v>0.9292929293</v>
      </c>
      <c r="U182" s="57">
        <f>IFERROR(__xludf.DUMMYFUNCTION("""COMPUTED_VALUE"""),0.6060606060606063)</f>
        <v>0.6060606061</v>
      </c>
      <c r="V182" s="57">
        <f>IFERROR(__xludf.DUMMYFUNCTION("""COMPUTED_VALUE"""),1.121212121212121)</f>
        <v>1.121212121</v>
      </c>
      <c r="W182" s="57">
        <f>IFERROR(__xludf.DUMMYFUNCTION("""COMPUTED_VALUE"""),2.383838383838383)</f>
        <v>2.383838384</v>
      </c>
      <c r="X182" s="31">
        <f>IFERROR(__xludf.DUMMYFUNCTION("""COMPUTED_VALUE"""),331.0771466322754)</f>
        <v>331.0771466</v>
      </c>
      <c r="Y182" s="57">
        <f>IFERROR(__xludf.DUMMYFUNCTION("""COMPUTED_VALUE"""),0.827737642024419)</f>
        <v>0.827737642</v>
      </c>
      <c r="Z182" s="57">
        <f>IFERROR(__xludf.DUMMYFUNCTION("""COMPUTED_VALUE"""),0.5211029182133142)</f>
        <v>0.5211029182</v>
      </c>
      <c r="AA182" s="57">
        <f>IFERROR(__xludf.DUMMYFUNCTION("""COMPUTED_VALUE"""),1.0814181000716339)</f>
        <v>1.0814181</v>
      </c>
      <c r="AB182" s="57">
        <f>IFERROR(__xludf.DUMMYFUNCTION("""COMPUTED_VALUE"""),2.323173230485073)</f>
        <v>2.32317323</v>
      </c>
      <c r="AC182" s="31">
        <f>IFERROR(__xludf.DUMMYFUNCTION("""COMPUTED_VALUE"""),313.71293202834886)</f>
        <v>313.712932</v>
      </c>
      <c r="AD182" s="57">
        <f>IFERROR(__xludf.DUMMYFUNCTION("""COMPUTED_VALUE"""),0.7254187247598681)</f>
        <v>0.7254187248</v>
      </c>
      <c r="AE182" s="57">
        <f>IFERROR(__xludf.DUMMYFUNCTION("""COMPUTED_VALUE"""),0.4751076411310249)</f>
        <v>0.4751076411</v>
      </c>
      <c r="AF182" s="57">
        <f>IFERROR(__xludf.DUMMYFUNCTION("""COMPUTED_VALUE"""),1.0600323169316228)</f>
        <v>1.060032317</v>
      </c>
      <c r="AG182" s="57">
        <f>IFERROR(__xludf.DUMMYFUNCTION("""COMPUTED_VALUE"""),2.178656683467559)</f>
        <v>2.178656683</v>
      </c>
      <c r="AH182" s="57">
        <f>IFERROR(__xludf.DUMMYFUNCTION("""COMPUTED_VALUE"""),1.054718355853076)</f>
        <v>1.054718356</v>
      </c>
      <c r="AI182" s="57">
        <f>IFERROR(__xludf.DUMMYFUNCTION("""COMPUTED_VALUE"""),1.2531947109468964)</f>
        <v>1.253194711</v>
      </c>
      <c r="AJ182" s="57">
        <f>IFERROR(__xludf.DUMMYFUNCTION("""COMPUTED_VALUE"""),0.7015953953925292)</f>
        <v>0.7015953954</v>
      </c>
      <c r="AK182" s="57">
        <f>IFERROR(__xludf.DUMMYFUNCTION("""COMPUTED_VALUE"""),1.0577150368939598)</f>
        <v>1.057715037</v>
      </c>
      <c r="AL182" s="57">
        <f>IFERROR(__xludf.DUMMYFUNCTION("""COMPUTED_VALUE"""),1.2935410335952466)</f>
        <v>1.293541034</v>
      </c>
      <c r="AM182" s="57">
        <f>IFERROR(__xludf.DUMMYFUNCTION("""COMPUTED_VALUE"""),1.0382395077216247)</f>
        <v>1.038239508</v>
      </c>
      <c r="AN182" s="57">
        <f>IFERROR(__xludf.DUMMYFUNCTION("""COMPUTED_VALUE"""),1.1226901884274993)</f>
        <v>1.122690188</v>
      </c>
      <c r="AO182" s="57">
        <f>IFERROR(__xludf.DUMMYFUNCTION("""COMPUTED_VALUE"""),1.1630343735908892)</f>
        <v>1.163034374</v>
      </c>
      <c r="AP182" s="35">
        <f>IFERROR(__xludf.DUMMYFUNCTION("""COMPUTED_VALUE"""),1.0367979980526045)</f>
        <v>1.036797998</v>
      </c>
      <c r="AQ182" s="57">
        <f>IFERROR(__xludf.DUMMYFUNCTION("""COMPUTED_VALUE"""),1.0261130562961263)</f>
        <v>1.026113056</v>
      </c>
      <c r="AR182" s="36" t="b">
        <f>IFERROR(__xludf.DUMMYFUNCTION("""COMPUTED_VALUE"""),TRUE)</f>
        <v>1</v>
      </c>
      <c r="AS182" s="57"/>
      <c r="AT182" s="37"/>
      <c r="AU182" s="30"/>
      <c r="AV182" s="30"/>
      <c r="AW182" s="30"/>
      <c r="AX182" s="30"/>
      <c r="AY182" s="30"/>
      <c r="AZ182" s="30"/>
    </row>
    <row r="183">
      <c r="A183" s="30" t="str">
        <f>IFERROR(__xludf.DUMMYFUNCTION("""COMPUTED_VALUE"""),"Contender")</f>
        <v>Contender</v>
      </c>
      <c r="B183" s="30" t="str">
        <f>IFERROR(__xludf.DUMMYFUNCTION("""COMPUTED_VALUE"""),"RSC001262")</f>
        <v>RSC001262</v>
      </c>
      <c r="C183" s="30" t="str">
        <f>IFERROR(__xludf.DUMMYFUNCTION("""COMPUTED_VALUE"""),"droogin01")</f>
        <v>droogin01</v>
      </c>
      <c r="D183" s="31" t="str">
        <f>IFERROR(__xludf.DUMMYFUNCTION("""COMPUTED_VALUE"""),"Zebras")</f>
        <v>Zebras</v>
      </c>
      <c r="E183" s="31">
        <f>IFERROR(__xludf.DUMMYFUNCTION("""COMPUTED_VALUE"""),54.30268184253136)</f>
        <v>54.30268184</v>
      </c>
      <c r="F183" s="31">
        <f>IFERROR(__xludf.DUMMYFUNCTION("""COMPUTED_VALUE"""),2.3165490238841793)</f>
        <v>2.316549024</v>
      </c>
      <c r="G183" s="31">
        <f>IFERROR(__xludf.DUMMYFUNCTION("""COMPUTED_VALUE"""),61.0653548817009)</f>
        <v>61.06535488</v>
      </c>
      <c r="H183" s="31">
        <f>IFERROR(__xludf.DUMMYFUNCTION("""COMPUTED_VALUE"""),3.039306675186809)</f>
        <v>3.039306675</v>
      </c>
      <c r="I183" s="54">
        <f>IFERROR(__xludf.DUMMYFUNCTION("""COMPUTED_VALUE"""),31.0)</f>
        <v>31</v>
      </c>
      <c r="J183" s="55">
        <f>IFERROR(__xludf.DUMMYFUNCTION("""COMPUTED_VALUE"""),11.0)</f>
        <v>11</v>
      </c>
      <c r="K183" s="54">
        <f>IFERROR(__xludf.DUMMYFUNCTION("""COMPUTED_VALUE"""),20.0)</f>
        <v>20</v>
      </c>
      <c r="L183" s="56">
        <f>IFERROR(__xludf.DUMMYFUNCTION("""COMPUTED_VALUE"""),0.3548387096774194)</f>
        <v>0.3548387097</v>
      </c>
      <c r="M183" s="56">
        <f>IFERROR(__xludf.DUMMYFUNCTION("""COMPUTED_VALUE"""),0.25675675675675674)</f>
        <v>0.2567567568</v>
      </c>
      <c r="N183" s="31">
        <f>IFERROR(__xludf.DUMMYFUNCTION("""COMPUTED_VALUE"""),334.19354838709677)</f>
        <v>334.1935484</v>
      </c>
      <c r="O183" s="57">
        <f>IFERROR(__xludf.DUMMYFUNCTION("""COMPUTED_VALUE"""),0.6129032258064516)</f>
        <v>0.6129032258</v>
      </c>
      <c r="P183" s="57">
        <f>IFERROR(__xludf.DUMMYFUNCTION("""COMPUTED_VALUE"""),0.6129032258064516)</f>
        <v>0.6129032258</v>
      </c>
      <c r="Q183" s="57">
        <f>IFERROR(__xludf.DUMMYFUNCTION("""COMPUTED_VALUE"""),1.2258064516129032)</f>
        <v>1.225806452</v>
      </c>
      <c r="R183" s="57">
        <f>IFERROR(__xludf.DUMMYFUNCTION("""COMPUTED_VALUE"""),2.3870967741935485)</f>
        <v>2.387096774</v>
      </c>
      <c r="S183" s="31">
        <f>IFERROR(__xludf.DUMMYFUNCTION("""COMPUTED_VALUE"""),337.6451612903225)</f>
        <v>337.6451613</v>
      </c>
      <c r="T183" s="57">
        <f>IFERROR(__xludf.DUMMYFUNCTION("""COMPUTED_VALUE"""),0.8924731182795701)</f>
        <v>0.8924731183</v>
      </c>
      <c r="U183" s="57">
        <f>IFERROR(__xludf.DUMMYFUNCTION("""COMPUTED_VALUE"""),0.5591397849462365)</f>
        <v>0.5591397849</v>
      </c>
      <c r="V183" s="57">
        <f>IFERROR(__xludf.DUMMYFUNCTION("""COMPUTED_VALUE"""),1.118279569892473)</f>
        <v>1.11827957</v>
      </c>
      <c r="W183" s="57">
        <f>IFERROR(__xludf.DUMMYFUNCTION("""COMPUTED_VALUE"""),2.279569892473119)</f>
        <v>2.279569892</v>
      </c>
      <c r="X183" s="31">
        <f>IFERROR(__xludf.DUMMYFUNCTION("""COMPUTED_VALUE"""),327.5628802081192)</f>
        <v>327.5628802</v>
      </c>
      <c r="Y183" s="57">
        <f>IFERROR(__xludf.DUMMYFUNCTION("""COMPUTED_VALUE"""),0.8389286877814978)</f>
        <v>0.8389286878</v>
      </c>
      <c r="Z183" s="57">
        <f>IFERROR(__xludf.DUMMYFUNCTION("""COMPUTED_VALUE"""),0.5222335386499274)</f>
        <v>0.5222335386</v>
      </c>
      <c r="AA183" s="57">
        <f>IFERROR(__xludf.DUMMYFUNCTION("""COMPUTED_VALUE"""),1.061360474561826)</f>
        <v>1.061360475</v>
      </c>
      <c r="AB183" s="57">
        <f>IFERROR(__xludf.DUMMYFUNCTION("""COMPUTED_VALUE"""),2.286171754081168)</f>
        <v>2.286171754</v>
      </c>
      <c r="AC183" s="31">
        <f>IFERROR(__xludf.DUMMYFUNCTION("""COMPUTED_VALUE"""),319.88657579023686)</f>
        <v>319.8865758</v>
      </c>
      <c r="AD183" s="57">
        <f>IFERROR(__xludf.DUMMYFUNCTION("""COMPUTED_VALUE"""),0.75126930278214)</f>
        <v>0.7512693028</v>
      </c>
      <c r="AE183" s="57">
        <f>IFERROR(__xludf.DUMMYFUNCTION("""COMPUTED_VALUE"""),0.5045174113556192)</f>
        <v>0.5045174114</v>
      </c>
      <c r="AF183" s="57">
        <f>IFERROR(__xludf.DUMMYFUNCTION("""COMPUTED_VALUE"""),1.0746877143820464)</f>
        <v>1.074687714</v>
      </c>
      <c r="AG183" s="57">
        <f>IFERROR(__xludf.DUMMYFUNCTION("""COMPUTED_VALUE"""),2.228881879126068)</f>
        <v>2.228881879</v>
      </c>
      <c r="AH183" s="57">
        <f>IFERROR(__xludf.DUMMYFUNCTION("""COMPUTED_VALUE"""),1.0447251422211652)</f>
        <v>1.044725142</v>
      </c>
      <c r="AI183" s="57">
        <f>IFERROR(__xludf.DUMMYFUNCTION("""COMPUTED_VALUE"""),0.8158235981913758)</f>
        <v>0.8158235982</v>
      </c>
      <c r="AJ183" s="57">
        <f>IFERROR(__xludf.DUMMYFUNCTION("""COMPUTED_VALUE"""),1.2148306718683977)</f>
        <v>1.214830672</v>
      </c>
      <c r="AK183" s="57">
        <f>IFERROR(__xludf.DUMMYFUNCTION("""COMPUTED_VALUE"""),1.1406164183404213)</f>
        <v>1.140616418</v>
      </c>
      <c r="AL183" s="57">
        <f>IFERROR(__xludf.DUMMYFUNCTION("""COMPUTED_VALUE"""),1.0709839747674363)</f>
        <v>1.070983975</v>
      </c>
      <c r="AM183" s="57">
        <f>IFERROR(__xludf.DUMMYFUNCTION("""COMPUTED_VALUE"""),1.0307796813723138)</f>
        <v>1.030779681</v>
      </c>
      <c r="AN183" s="57">
        <f>IFERROR(__xludf.DUMMYFUNCTION("""COMPUTED_VALUE"""),1.0638247699451877)</f>
        <v>1.06382477</v>
      </c>
      <c r="AO183" s="57">
        <f>IFERROR(__xludf.DUMMYFUNCTION("""COMPUTED_VALUE"""),1.0706700040593309)</f>
        <v>1.070670004</v>
      </c>
      <c r="AP183" s="35">
        <f>IFERROR(__xludf.DUMMYFUNCTION("""COMPUTED_VALUE"""),1.0536284294496134)</f>
        <v>1.053628429</v>
      </c>
      <c r="AQ183" s="57">
        <f>IFERROR(__xludf.DUMMYFUNCTION("""COMPUTED_VALUE"""),0.9971122635050215)</f>
        <v>0.9971122635</v>
      </c>
      <c r="AR183" s="36" t="b">
        <f>IFERROR(__xludf.DUMMYFUNCTION("""COMPUTED_VALUE"""),TRUE)</f>
        <v>1</v>
      </c>
      <c r="AS183" s="57"/>
      <c r="AT183" s="37"/>
      <c r="AU183" s="30"/>
      <c r="AV183" s="30"/>
      <c r="AW183" s="30"/>
      <c r="AX183" s="30"/>
      <c r="AY183" s="30"/>
      <c r="AZ183" s="30"/>
    </row>
    <row r="184">
      <c r="A184" s="30" t="str">
        <f>IFERROR(__xludf.DUMMYFUNCTION("""COMPUTED_VALUE"""),"Contender")</f>
        <v>Contender</v>
      </c>
      <c r="B184" s="30" t="str">
        <f>IFERROR(__xludf.DUMMYFUNCTION("""COMPUTED_VALUE"""),"RSC007203")</f>
        <v>RSC007203</v>
      </c>
      <c r="C184" s="30" t="str">
        <f>IFERROR(__xludf.DUMMYFUNCTION("""COMPUTED_VALUE"""),"CoachJimmy_TECT")</f>
        <v>CoachJimmy_TECT</v>
      </c>
      <c r="D184" s="31" t="str">
        <f>IFERROR(__xludf.DUMMYFUNCTION("""COMPUTED_VALUE"""),"Celestial Cider")</f>
        <v>Celestial Cider</v>
      </c>
      <c r="E184" s="31">
        <f>IFERROR(__xludf.DUMMYFUNCTION("""COMPUTED_VALUE"""),51.95288990678711)</f>
        <v>51.95288991</v>
      </c>
      <c r="F184" s="31">
        <f>IFERROR(__xludf.DUMMYFUNCTION("""COMPUTED_VALUE"""),2.1327962074947355)</f>
        <v>2.132796207</v>
      </c>
      <c r="G184" s="31">
        <f>IFERROR(__xludf.DUMMYFUNCTION("""COMPUTED_VALUE"""),67.84502490892515)</f>
        <v>67.84502491</v>
      </c>
      <c r="H184" s="31">
        <f>IFERROR(__xludf.DUMMYFUNCTION("""COMPUTED_VALUE"""),4.2074239519145165)</f>
        <v>4.207423952</v>
      </c>
      <c r="I184" s="54">
        <f>IFERROR(__xludf.DUMMYFUNCTION("""COMPUTED_VALUE"""),27.0)</f>
        <v>27</v>
      </c>
      <c r="J184" s="55">
        <f>IFERROR(__xludf.DUMMYFUNCTION("""COMPUTED_VALUE"""),13.0)</f>
        <v>13</v>
      </c>
      <c r="K184" s="54">
        <f>IFERROR(__xludf.DUMMYFUNCTION("""COMPUTED_VALUE"""),14.0)</f>
        <v>14</v>
      </c>
      <c r="L184" s="56">
        <f>IFERROR(__xludf.DUMMYFUNCTION("""COMPUTED_VALUE"""),0.48148148148148145)</f>
        <v>0.4814814815</v>
      </c>
      <c r="M184" s="56">
        <f>IFERROR(__xludf.DUMMYFUNCTION("""COMPUTED_VALUE"""),0.29577464788732394)</f>
        <v>0.2957746479</v>
      </c>
      <c r="N184" s="31">
        <f>IFERROR(__xludf.DUMMYFUNCTION("""COMPUTED_VALUE"""),359.7037037037037)</f>
        <v>359.7037037</v>
      </c>
      <c r="O184" s="57">
        <f>IFERROR(__xludf.DUMMYFUNCTION("""COMPUTED_VALUE"""),0.7777777777777778)</f>
        <v>0.7777777778</v>
      </c>
      <c r="P184" s="57">
        <f>IFERROR(__xludf.DUMMYFUNCTION("""COMPUTED_VALUE"""),0.48148148148148145)</f>
        <v>0.4814814815</v>
      </c>
      <c r="Q184" s="57">
        <f>IFERROR(__xludf.DUMMYFUNCTION("""COMPUTED_VALUE"""),1.4444444444444444)</f>
        <v>1.444444444</v>
      </c>
      <c r="R184" s="57">
        <f>IFERROR(__xludf.DUMMYFUNCTION("""COMPUTED_VALUE"""),2.6296296296296298)</f>
        <v>2.62962963</v>
      </c>
      <c r="S184" s="31">
        <f>IFERROR(__xludf.DUMMYFUNCTION("""COMPUTED_VALUE"""),323.0617283950618)</f>
        <v>323.0617284</v>
      </c>
      <c r="T184" s="57">
        <f>IFERROR(__xludf.DUMMYFUNCTION("""COMPUTED_VALUE"""),0.8765432098765431)</f>
        <v>0.8765432099</v>
      </c>
      <c r="U184" s="57">
        <f>IFERROR(__xludf.DUMMYFUNCTION("""COMPUTED_VALUE"""),0.5925925925925926)</f>
        <v>0.5925925926</v>
      </c>
      <c r="V184" s="57">
        <f>IFERROR(__xludf.DUMMYFUNCTION("""COMPUTED_VALUE"""),0.9382716049382714)</f>
        <v>0.9382716049</v>
      </c>
      <c r="W184" s="57">
        <f>IFERROR(__xludf.DUMMYFUNCTION("""COMPUTED_VALUE"""),2.246913580246914)</f>
        <v>2.24691358</v>
      </c>
      <c r="X184" s="31">
        <f>IFERROR(__xludf.DUMMYFUNCTION("""COMPUTED_VALUE"""),306.46715740652195)</f>
        <v>306.4671574</v>
      </c>
      <c r="Y184" s="57">
        <f>IFERROR(__xludf.DUMMYFUNCTION("""COMPUTED_VALUE"""),0.7183409976183536)</f>
        <v>0.7183409976</v>
      </c>
      <c r="Z184" s="57">
        <f>IFERROR(__xludf.DUMMYFUNCTION("""COMPUTED_VALUE"""),0.443750757913735)</f>
        <v>0.4437507579</v>
      </c>
      <c r="AA184" s="57">
        <f>IFERROR(__xludf.DUMMYFUNCTION("""COMPUTED_VALUE"""),1.0214057757529715)</f>
        <v>1.021405776</v>
      </c>
      <c r="AB184" s="57">
        <f>IFERROR(__xludf.DUMMYFUNCTION("""COMPUTED_VALUE"""),2.144419050068165)</f>
        <v>2.14441905</v>
      </c>
      <c r="AC184" s="31">
        <f>IFERROR(__xludf.DUMMYFUNCTION("""COMPUTED_VALUE"""),328.6084496621458)</f>
        <v>328.6084497</v>
      </c>
      <c r="AD184" s="57">
        <f>IFERROR(__xludf.DUMMYFUNCTION("""COMPUTED_VALUE"""),0.8481501400790356)</f>
        <v>0.8481501401</v>
      </c>
      <c r="AE184" s="57">
        <f>IFERROR(__xludf.DUMMYFUNCTION("""COMPUTED_VALUE"""),0.528979782578068)</f>
        <v>0.5289797826</v>
      </c>
      <c r="AF184" s="57">
        <f>IFERROR(__xludf.DUMMYFUNCTION("""COMPUTED_VALUE"""),1.0593171435698143)</f>
        <v>1.059317144</v>
      </c>
      <c r="AG184" s="57">
        <f>IFERROR(__xludf.DUMMYFUNCTION("""COMPUTED_VALUE"""),2.2837245388733542)</f>
        <v>2.283724539</v>
      </c>
      <c r="AH184" s="57">
        <f>IFERROR(__xludf.DUMMYFUNCTION("""COMPUTED_VALUE"""),1.094627067786991)</f>
        <v>1.094627068</v>
      </c>
      <c r="AI184" s="57">
        <f>IFERROR(__xludf.DUMMYFUNCTION("""COMPUTED_VALUE"""),0.9170284139849343)</f>
        <v>0.917028414</v>
      </c>
      <c r="AJ184" s="57">
        <f>IFERROR(__xludf.DUMMYFUNCTION("""COMPUTED_VALUE"""),0.9102077193478059)</f>
        <v>0.9102077193</v>
      </c>
      <c r="AK184" s="57">
        <f>IFERROR(__xludf.DUMMYFUNCTION("""COMPUTED_VALUE"""),1.3635618503980609)</f>
        <v>1.36356185</v>
      </c>
      <c r="AL184" s="57">
        <f>IFERROR(__xludf.DUMMYFUNCTION("""COMPUTED_VALUE"""),1.1514653299328839)</f>
        <v>1.15146533</v>
      </c>
      <c r="AM184" s="57">
        <f>IFERROR(__xludf.DUMMYFUNCTION("""COMPUTED_VALUE"""),1.0541479587208344)</f>
        <v>1.054147959</v>
      </c>
      <c r="AN184" s="57">
        <f>IFERROR(__xludf.DUMMYFUNCTION("""COMPUTED_VALUE"""),1.2202327484895141)</f>
        <v>1.220232748</v>
      </c>
      <c r="AO184" s="57">
        <f>IFERROR(__xludf.DUMMYFUNCTION("""COMPUTED_VALUE"""),1.335417646109784)</f>
        <v>1.335417646</v>
      </c>
      <c r="AP184" s="35">
        <f>IFERROR(__xludf.DUMMYFUNCTION("""COMPUTED_VALUE"""),0.9186080862393653)</f>
        <v>0.9186080862</v>
      </c>
      <c r="AQ184" s="57">
        <f>IFERROR(__xludf.DUMMYFUNCTION("""COMPUTED_VALUE"""),1.0477959427638412)</f>
        <v>1.047795943</v>
      </c>
      <c r="AR184" s="36" t="b">
        <f>IFERROR(__xludf.DUMMYFUNCTION("""COMPUTED_VALUE"""),TRUE)</f>
        <v>1</v>
      </c>
      <c r="AS184" s="57"/>
      <c r="AT184" s="37"/>
      <c r="AU184" s="30"/>
      <c r="AV184" s="30"/>
      <c r="AW184" s="30"/>
      <c r="AX184" s="30"/>
      <c r="AY184" s="30"/>
      <c r="AZ184" s="30"/>
    </row>
    <row r="185">
      <c r="A185" s="30" t="str">
        <f>IFERROR(__xludf.DUMMYFUNCTION("""COMPUTED_VALUE"""),"Contender")</f>
        <v>Contender</v>
      </c>
      <c r="B185" s="30" t="str">
        <f>IFERROR(__xludf.DUMMYFUNCTION("""COMPUTED_VALUE"""),"RSC005974")</f>
        <v>RSC005974</v>
      </c>
      <c r="C185" s="30" t="str">
        <f>IFERROR(__xludf.DUMMYFUNCTION("""COMPUTED_VALUE"""),"Angry-Hermit")</f>
        <v>Angry-Hermit</v>
      </c>
      <c r="D185" s="31" t="str">
        <f>IFERROR(__xludf.DUMMYFUNCTION("""COMPUTED_VALUE"""),"Devoured")</f>
        <v>Devoured</v>
      </c>
      <c r="E185" s="31">
        <f>IFERROR(__xludf.DUMMYFUNCTION("""COMPUTED_VALUE"""),51.73580890286032)</f>
        <v>51.7358089</v>
      </c>
      <c r="F185" s="31">
        <f>IFERROR(__xludf.DUMMYFUNCTION("""COMPUTED_VALUE"""),2.1171964020083465)</f>
        <v>2.117196402</v>
      </c>
      <c r="G185" s="31">
        <f>IFERROR(__xludf.DUMMYFUNCTION("""COMPUTED_VALUE"""),34.48263632910054)</f>
        <v>34.48263633</v>
      </c>
      <c r="H185" s="31">
        <f>IFERROR(__xludf.DUMMYFUNCTION("""COMPUTED_VALUE"""),-3.7397114596900063)</f>
        <v>-3.73971146</v>
      </c>
      <c r="I185" s="54">
        <f>IFERROR(__xludf.DUMMYFUNCTION("""COMPUTED_VALUE"""),28.0)</f>
        <v>28</v>
      </c>
      <c r="J185" s="55">
        <f>IFERROR(__xludf.DUMMYFUNCTION("""COMPUTED_VALUE"""),11.0)</f>
        <v>11</v>
      </c>
      <c r="K185" s="54">
        <f>IFERROR(__xludf.DUMMYFUNCTION("""COMPUTED_VALUE"""),17.0)</f>
        <v>17</v>
      </c>
      <c r="L185" s="56">
        <f>IFERROR(__xludf.DUMMYFUNCTION("""COMPUTED_VALUE"""),0.39285714285714285)</f>
        <v>0.3928571429</v>
      </c>
      <c r="M185" s="56">
        <f>IFERROR(__xludf.DUMMYFUNCTION("""COMPUTED_VALUE"""),0.30769230769230765)</f>
        <v>0.3076923077</v>
      </c>
      <c r="N185" s="31">
        <f>IFERROR(__xludf.DUMMYFUNCTION("""COMPUTED_VALUE"""),279.5)</f>
        <v>279.5</v>
      </c>
      <c r="O185" s="57">
        <f>IFERROR(__xludf.DUMMYFUNCTION("""COMPUTED_VALUE"""),0.5714285714285714)</f>
        <v>0.5714285714</v>
      </c>
      <c r="P185" s="57">
        <f>IFERROR(__xludf.DUMMYFUNCTION("""COMPUTED_VALUE"""),0.7142857142857143)</f>
        <v>0.7142857143</v>
      </c>
      <c r="Q185" s="57">
        <f>IFERROR(__xludf.DUMMYFUNCTION("""COMPUTED_VALUE"""),0.7142857142857143)</f>
        <v>0.7142857143</v>
      </c>
      <c r="R185" s="57">
        <f>IFERROR(__xludf.DUMMYFUNCTION("""COMPUTED_VALUE"""),1.8571428571428572)</f>
        <v>1.857142857</v>
      </c>
      <c r="S185" s="31">
        <f>IFERROR(__xludf.DUMMYFUNCTION("""COMPUTED_VALUE"""),333.1666666666667)</f>
        <v>333.1666667</v>
      </c>
      <c r="T185" s="57">
        <f>IFERROR(__xludf.DUMMYFUNCTION("""COMPUTED_VALUE"""),0.8214285714285715)</f>
        <v>0.8214285714</v>
      </c>
      <c r="U185" s="57">
        <f>IFERROR(__xludf.DUMMYFUNCTION("""COMPUTED_VALUE"""),0.5238095238095238)</f>
        <v>0.5238095238</v>
      </c>
      <c r="V185" s="57">
        <f>IFERROR(__xludf.DUMMYFUNCTION("""COMPUTED_VALUE"""),1.2142857142857142)</f>
        <v>1.214285714</v>
      </c>
      <c r="W185" s="57">
        <f>IFERROR(__xludf.DUMMYFUNCTION("""COMPUTED_VALUE"""),2.3690476190476195)</f>
        <v>2.369047619</v>
      </c>
      <c r="X185" s="31">
        <f>IFERROR(__xludf.DUMMYFUNCTION("""COMPUTED_VALUE"""),331.1746771213595)</f>
        <v>331.1746771</v>
      </c>
      <c r="Y185" s="57">
        <f>IFERROR(__xludf.DUMMYFUNCTION("""COMPUTED_VALUE"""),0.8261242296702077)</f>
        <v>0.8261242297</v>
      </c>
      <c r="Z185" s="57">
        <f>IFERROR(__xludf.DUMMYFUNCTION("""COMPUTED_VALUE"""),0.5183037408342048)</f>
        <v>0.5183037408</v>
      </c>
      <c r="AA185" s="57">
        <f>IFERROR(__xludf.DUMMYFUNCTION("""COMPUTED_VALUE"""),1.0876131458695486)</f>
        <v>1.087613146</v>
      </c>
      <c r="AB185" s="57">
        <f>IFERROR(__xludf.DUMMYFUNCTION("""COMPUTED_VALUE"""),2.313429017209743)</f>
        <v>2.313429017</v>
      </c>
      <c r="AC185" s="31">
        <f>IFERROR(__xludf.DUMMYFUNCTION("""COMPUTED_VALUE"""),311.83155216751254)</f>
        <v>311.8315522</v>
      </c>
      <c r="AD185" s="57">
        <f>IFERROR(__xludf.DUMMYFUNCTION("""COMPUTED_VALUE"""),0.7118117541211516)</f>
        <v>0.7118117541</v>
      </c>
      <c r="AE185" s="57">
        <f>IFERROR(__xludf.DUMMYFUNCTION("""COMPUTED_VALUE"""),0.4653291939208302)</f>
        <v>0.4653291939</v>
      </c>
      <c r="AF185" s="57">
        <f>IFERROR(__xludf.DUMMYFUNCTION("""COMPUTED_VALUE"""),1.0613416117635353)</f>
        <v>1.061341612</v>
      </c>
      <c r="AG185" s="57">
        <f>IFERROR(__xludf.DUMMYFUNCTION("""COMPUTED_VALUE"""),2.1735850836411252)</f>
        <v>2.173585084</v>
      </c>
      <c r="AH185" s="57">
        <f>IFERROR(__xludf.DUMMYFUNCTION("""COMPUTED_VALUE"""),0.8963172522383355)</f>
        <v>0.8963172522</v>
      </c>
      <c r="AI185" s="57">
        <f>IFERROR(__xludf.DUMMYFUNCTION("""COMPUTED_VALUE"""),0.8027804656500702)</f>
        <v>0.8027804657</v>
      </c>
      <c r="AJ185" s="57">
        <f>IFERROR(__xludf.DUMMYFUNCTION("""COMPUTED_VALUE"""),1.5350116081632326)</f>
        <v>1.535011608</v>
      </c>
      <c r="AK185" s="57">
        <f>IFERROR(__xludf.DUMMYFUNCTION("""COMPUTED_VALUE"""),0.6730026471861876)</f>
        <v>0.6730026472</v>
      </c>
      <c r="AL185" s="57">
        <f>IFERROR(__xludf.DUMMYFUNCTION("""COMPUTED_VALUE"""),0.8544146125772204)</f>
        <v>0.8544146126</v>
      </c>
      <c r="AM185" s="57">
        <f>IFERROR(__xludf.DUMMYFUNCTION("""COMPUTED_VALUE"""),1.0060149210761584)</f>
        <v>1.006014921</v>
      </c>
      <c r="AN185" s="57">
        <f>IFERROR(__xludf.DUMMYFUNCTION("""COMPUTED_VALUE"""),0.9943160385896069)</f>
        <v>0.9943160386</v>
      </c>
      <c r="AO185" s="57">
        <f>IFERROR(__xludf.DUMMYFUNCTION("""COMPUTED_VALUE"""),1.0106226958085571)</f>
        <v>1.010622696</v>
      </c>
      <c r="AP185" s="35">
        <f>IFERROR(__xludf.DUMMYFUNCTION("""COMPUTED_VALUE"""),1.1164684050548972)</f>
        <v>1.116468405</v>
      </c>
      <c r="AQ185" s="57">
        <f>IFERROR(__xludf.DUMMYFUNCTION("""COMPUTED_VALUE"""),1.0240416288652585)</f>
        <v>1.024041629</v>
      </c>
      <c r="AR185" s="36" t="b">
        <f>IFERROR(__xludf.DUMMYFUNCTION("""COMPUTED_VALUE"""),TRUE)</f>
        <v>1</v>
      </c>
      <c r="AS185" s="57"/>
      <c r="AT185" s="37"/>
      <c r="AU185" s="30"/>
      <c r="AV185" s="30"/>
      <c r="AW185" s="30"/>
      <c r="AX185" s="30"/>
      <c r="AY185" s="30"/>
      <c r="AZ185" s="30"/>
    </row>
    <row r="186">
      <c r="A186" s="30" t="str">
        <f>IFERROR(__xludf.DUMMYFUNCTION("""COMPUTED_VALUE"""),"Contender")</f>
        <v>Contender</v>
      </c>
      <c r="B186" s="30" t="str">
        <f>IFERROR(__xludf.DUMMYFUNCTION("""COMPUTED_VALUE"""),"RSC007165")</f>
        <v>RSC007165</v>
      </c>
      <c r="C186" s="30" t="str">
        <f>IFERROR(__xludf.DUMMYFUNCTION("""COMPUTED_VALUE"""),"BRG")</f>
        <v>BRG</v>
      </c>
      <c r="D186" s="31" t="str">
        <f>IFERROR(__xludf.DUMMYFUNCTION("""COMPUTED_VALUE"""),"Rheas")</f>
        <v>Rheas</v>
      </c>
      <c r="E186" s="31">
        <f>IFERROR(__xludf.DUMMYFUNCTION("""COMPUTED_VALUE"""),51.03997435506303)</f>
        <v>51.03997436</v>
      </c>
      <c r="F186" s="31">
        <f>IFERROR(__xludf.DUMMYFUNCTION("""COMPUTED_VALUE"""),2.068640831215907)</f>
        <v>2.068640831</v>
      </c>
      <c r="G186" s="31">
        <f>IFERROR(__xludf.DUMMYFUNCTION("""COMPUTED_VALUE"""),47.491321037706086)</f>
        <v>47.49132104</v>
      </c>
      <c r="H186" s="31">
        <f>IFERROR(__xludf.DUMMYFUNCTION("""COMPUTED_VALUE"""),-2.1737506753131135)</f>
        <v>-2.173750675</v>
      </c>
      <c r="I186" s="54">
        <f>IFERROR(__xludf.DUMMYFUNCTION("""COMPUTED_VALUE"""),30.0)</f>
        <v>30</v>
      </c>
      <c r="J186" s="55">
        <f>IFERROR(__xludf.DUMMYFUNCTION("""COMPUTED_VALUE"""),22.0)</f>
        <v>22</v>
      </c>
      <c r="K186" s="54">
        <f>IFERROR(__xludf.DUMMYFUNCTION("""COMPUTED_VALUE"""),8.0)</f>
        <v>8</v>
      </c>
      <c r="L186" s="56">
        <f>IFERROR(__xludf.DUMMYFUNCTION("""COMPUTED_VALUE"""),0.7333333333333333)</f>
        <v>0.7333333333</v>
      </c>
      <c r="M186" s="56">
        <f>IFERROR(__xludf.DUMMYFUNCTION("""COMPUTED_VALUE"""),0.2777777777777778)</f>
        <v>0.2777777778</v>
      </c>
      <c r="N186" s="31">
        <f>IFERROR(__xludf.DUMMYFUNCTION("""COMPUTED_VALUE"""),294.6333333333333)</f>
        <v>294.6333333</v>
      </c>
      <c r="O186" s="57">
        <f>IFERROR(__xludf.DUMMYFUNCTION("""COMPUTED_VALUE"""),0.5)</f>
        <v>0.5</v>
      </c>
      <c r="P186" s="57">
        <f>IFERROR(__xludf.DUMMYFUNCTION("""COMPUTED_VALUE"""),0.6333333333333333)</f>
        <v>0.6333333333</v>
      </c>
      <c r="Q186" s="57">
        <f>IFERROR(__xludf.DUMMYFUNCTION("""COMPUTED_VALUE"""),1.2)</f>
        <v>1.2</v>
      </c>
      <c r="R186" s="57">
        <f>IFERROR(__xludf.DUMMYFUNCTION("""COMPUTED_VALUE"""),1.8)</f>
        <v>1.8</v>
      </c>
      <c r="S186" s="31">
        <f>IFERROR(__xludf.DUMMYFUNCTION("""COMPUTED_VALUE"""),270.2555555555556)</f>
        <v>270.2555556</v>
      </c>
      <c r="T186" s="57">
        <f>IFERROR(__xludf.DUMMYFUNCTION("""COMPUTED_VALUE"""),0.4666666666666667)</f>
        <v>0.4666666667</v>
      </c>
      <c r="U186" s="57">
        <f>IFERROR(__xludf.DUMMYFUNCTION("""COMPUTED_VALUE"""),0.2888888888888889)</f>
        <v>0.2888888889</v>
      </c>
      <c r="V186" s="57">
        <f>IFERROR(__xludf.DUMMYFUNCTION("""COMPUTED_VALUE"""),1.088888888888889)</f>
        <v>1.088888889</v>
      </c>
      <c r="W186" s="57">
        <f>IFERROR(__xludf.DUMMYFUNCTION("""COMPUTED_VALUE"""),1.811111111111111)</f>
        <v>1.811111111</v>
      </c>
      <c r="X186" s="31">
        <f>IFERROR(__xludf.DUMMYFUNCTION("""COMPUTED_VALUE"""),322.3237010194605)</f>
        <v>322.323701</v>
      </c>
      <c r="Y186" s="57">
        <f>IFERROR(__xludf.DUMMYFUNCTION("""COMPUTED_VALUE"""),0.7882916751356032)</f>
        <v>0.7882916751</v>
      </c>
      <c r="Z186" s="57">
        <f>IFERROR(__xludf.DUMMYFUNCTION("""COMPUTED_VALUE"""),0.4885230898719197)</f>
        <v>0.4885230899</v>
      </c>
      <c r="AA186" s="57">
        <f>IFERROR(__xludf.DUMMYFUNCTION("""COMPUTED_VALUE"""),1.084042103663783)</f>
        <v>1.084042104</v>
      </c>
      <c r="AB186" s="57">
        <f>IFERROR(__xludf.DUMMYFUNCTION("""COMPUTED_VALUE"""),2.246429768544174)</f>
        <v>2.246429769</v>
      </c>
      <c r="AC186" s="31">
        <f>IFERROR(__xludf.DUMMYFUNCTION("""COMPUTED_VALUE"""),328.08215000755314)</f>
        <v>328.08215</v>
      </c>
      <c r="AD186" s="57">
        <f>IFERROR(__xludf.DUMMYFUNCTION("""COMPUTED_VALUE"""),0.8123335033800193)</f>
        <v>0.8123335034</v>
      </c>
      <c r="AE186" s="57">
        <f>IFERROR(__xludf.DUMMYFUNCTION("""COMPUTED_VALUE"""),0.5317266499635254)</f>
        <v>0.53172665</v>
      </c>
      <c r="AF186" s="57">
        <f>IFERROR(__xludf.DUMMYFUNCTION("""COMPUTED_VALUE"""),1.0868694494698339)</f>
        <v>1.086869449</v>
      </c>
      <c r="AG186" s="57">
        <f>IFERROR(__xludf.DUMMYFUNCTION("""COMPUTED_VALUE"""),2.3107686822727413)</f>
        <v>2.310768682</v>
      </c>
      <c r="AH186" s="57">
        <f>IFERROR(__xludf.DUMMYFUNCTION("""COMPUTED_VALUE"""),0.8980474351516846)</f>
        <v>0.8980474352</v>
      </c>
      <c r="AI186" s="57">
        <f>IFERROR(__xludf.DUMMYFUNCTION("""COMPUTED_VALUE"""),0.6155107451798575)</f>
        <v>0.6155107452</v>
      </c>
      <c r="AJ186" s="57">
        <f>IFERROR(__xludf.DUMMYFUNCTION("""COMPUTED_VALUE"""),1.1910881904767756)</f>
        <v>1.19108819</v>
      </c>
      <c r="AK186" s="57">
        <f>IFERROR(__xludf.DUMMYFUNCTION("""COMPUTED_VALUE"""),1.1040884446474692)</f>
        <v>1.104088445</v>
      </c>
      <c r="AL186" s="57">
        <f>IFERROR(__xludf.DUMMYFUNCTION("""COMPUTED_VALUE"""),0.7789615697187059)</f>
        <v>0.7789615697</v>
      </c>
      <c r="AM186" s="57">
        <f>IFERROR(__xludf.DUMMYFUNCTION("""COMPUTED_VALUE"""),0.8384600781784853)</f>
        <v>0.8384600782</v>
      </c>
      <c r="AN186" s="57">
        <f>IFERROR(__xludf.DUMMYFUNCTION("""COMPUTED_VALUE"""),0.591997456507948)</f>
        <v>0.5919974565</v>
      </c>
      <c r="AO186" s="57">
        <f>IFERROR(__xludf.DUMMYFUNCTION("""COMPUTED_VALUE"""),0.5913515550813154)</f>
        <v>0.5913515551</v>
      </c>
      <c r="AP186" s="35">
        <f>IFERROR(__xludf.DUMMYFUNCTION("""COMPUTED_VALUE"""),1.0044710304228268)</f>
        <v>1.00447103</v>
      </c>
      <c r="AQ186" s="57">
        <f>IFERROR(__xludf.DUMMYFUNCTION("""COMPUTED_VALUE"""),0.8062175530574558)</f>
        <v>0.8062175531</v>
      </c>
      <c r="AR186" s="36" t="b">
        <f>IFERROR(__xludf.DUMMYFUNCTION("""COMPUTED_VALUE"""),TRUE)</f>
        <v>1</v>
      </c>
      <c r="AS186" s="57"/>
      <c r="AT186" s="37"/>
      <c r="AU186" s="30"/>
      <c r="AV186" s="30"/>
      <c r="AW186" s="30"/>
      <c r="AX186" s="30"/>
      <c r="AY186" s="30"/>
      <c r="AZ186" s="30"/>
    </row>
    <row r="187">
      <c r="A187" s="30" t="str">
        <f>IFERROR(__xludf.DUMMYFUNCTION("""COMPUTED_VALUE"""),"Contender")</f>
        <v>Contender</v>
      </c>
      <c r="B187" s="30" t="str">
        <f>IFERROR(__xludf.DUMMYFUNCTION("""COMPUTED_VALUE"""),"RSC006817")</f>
        <v>RSC006817</v>
      </c>
      <c r="C187" s="30" t="str">
        <f>IFERROR(__xludf.DUMMYFUNCTION("""COMPUTED_VALUE"""),"Froz3nSlack5r")</f>
        <v>Froz3nSlack5r</v>
      </c>
      <c r="D187" s="31" t="str">
        <f>IFERROR(__xludf.DUMMYFUNCTION("""COMPUTED_VALUE"""),"Celestial Cider")</f>
        <v>Celestial Cider</v>
      </c>
      <c r="E187" s="31">
        <f>IFERROR(__xludf.DUMMYFUNCTION("""COMPUTED_VALUE"""),48.33590799694529)</f>
        <v>48.335908</v>
      </c>
      <c r="F187" s="31">
        <f>IFERROR(__xludf.DUMMYFUNCTION("""COMPUTED_VALUE"""),-2.1120906339261754)</f>
        <v>-2.112090634</v>
      </c>
      <c r="G187" s="31">
        <f>IFERROR(__xludf.DUMMYFUNCTION("""COMPUTED_VALUE"""),48.26591560456107)</f>
        <v>48.2659156</v>
      </c>
      <c r="H187" s="31">
        <f>IFERROR(__xludf.DUMMYFUNCTION("""COMPUTED_VALUE"""),-2.1170733506584307)</f>
        <v>-2.117073351</v>
      </c>
      <c r="I187" s="54">
        <f>IFERROR(__xludf.DUMMYFUNCTION("""COMPUTED_VALUE"""),35.0)</f>
        <v>35</v>
      </c>
      <c r="J187" s="55">
        <f>IFERROR(__xludf.DUMMYFUNCTION("""COMPUTED_VALUE"""),16.0)</f>
        <v>16</v>
      </c>
      <c r="K187" s="54">
        <f>IFERROR(__xludf.DUMMYFUNCTION("""COMPUTED_VALUE"""),19.0)</f>
        <v>19</v>
      </c>
      <c r="L187" s="56">
        <f>IFERROR(__xludf.DUMMYFUNCTION("""COMPUTED_VALUE"""),0.45714285714285713)</f>
        <v>0.4571428571</v>
      </c>
      <c r="M187" s="56">
        <f>IFERROR(__xludf.DUMMYFUNCTION("""COMPUTED_VALUE"""),0.3908045977011494)</f>
        <v>0.3908045977</v>
      </c>
      <c r="N187" s="31">
        <f>IFERROR(__xludf.DUMMYFUNCTION("""COMPUTED_VALUE"""),305.8)</f>
        <v>305.8</v>
      </c>
      <c r="O187" s="57">
        <f>IFERROR(__xludf.DUMMYFUNCTION("""COMPUTED_VALUE"""),0.9714285714285714)</f>
        <v>0.9714285714</v>
      </c>
      <c r="P187" s="57">
        <f>IFERROR(__xludf.DUMMYFUNCTION("""COMPUTED_VALUE"""),0.34285714285714286)</f>
        <v>0.3428571429</v>
      </c>
      <c r="Q187" s="57">
        <f>IFERROR(__xludf.DUMMYFUNCTION("""COMPUTED_VALUE"""),0.6)</f>
        <v>0.6</v>
      </c>
      <c r="R187" s="57">
        <f>IFERROR(__xludf.DUMMYFUNCTION("""COMPUTED_VALUE"""),2.4857142857142858)</f>
        <v>2.485714286</v>
      </c>
      <c r="S187" s="31">
        <f>IFERROR(__xludf.DUMMYFUNCTION("""COMPUTED_VALUE"""),331.11428571428576)</f>
        <v>331.1142857</v>
      </c>
      <c r="T187" s="57">
        <f>IFERROR(__xludf.DUMMYFUNCTION("""COMPUTED_VALUE"""),0.857142857142857)</f>
        <v>0.8571428571</v>
      </c>
      <c r="U187" s="57">
        <f>IFERROR(__xludf.DUMMYFUNCTION("""COMPUTED_VALUE"""),0.580952380952381)</f>
        <v>0.580952381</v>
      </c>
      <c r="V187" s="57">
        <f>IFERROR(__xludf.DUMMYFUNCTION("""COMPUTED_VALUE"""),1.0952380952380953)</f>
        <v>1.095238095</v>
      </c>
      <c r="W187" s="57">
        <f>IFERROR(__xludf.DUMMYFUNCTION("""COMPUTED_VALUE"""),2.047619047619048)</f>
        <v>2.047619048</v>
      </c>
      <c r="X187" s="31">
        <f>IFERROR(__xludf.DUMMYFUNCTION("""COMPUTED_VALUE"""),312.7810719811022)</f>
        <v>312.781072</v>
      </c>
      <c r="Y187" s="57">
        <f>IFERROR(__xludf.DUMMYFUNCTION("""COMPUTED_VALUE"""),0.7370319474758349)</f>
        <v>0.7370319475</v>
      </c>
      <c r="Z187" s="57">
        <f>IFERROR(__xludf.DUMMYFUNCTION("""COMPUTED_VALUE"""),0.4630241742033556)</f>
        <v>0.4630241742</v>
      </c>
      <c r="AA187" s="57">
        <f>IFERROR(__xludf.DUMMYFUNCTION("""COMPUTED_VALUE"""),1.054026962152132)</f>
        <v>1.054026962</v>
      </c>
      <c r="AB187" s="57">
        <f>IFERROR(__xludf.DUMMYFUNCTION("""COMPUTED_VALUE"""),2.191129142523491)</f>
        <v>2.191129143</v>
      </c>
      <c r="AC187" s="31">
        <f>IFERROR(__xludf.DUMMYFUNCTION("""COMPUTED_VALUE"""),326.8105851938614)</f>
        <v>326.8105852</v>
      </c>
      <c r="AD187" s="57">
        <f>IFERROR(__xludf.DUMMYFUNCTION("""COMPUTED_VALUE"""),0.829831912466886)</f>
        <v>0.8298319125</v>
      </c>
      <c r="AE187" s="57">
        <f>IFERROR(__xludf.DUMMYFUNCTION("""COMPUTED_VALUE"""),0.5222201882900356)</f>
        <v>0.5222201883</v>
      </c>
      <c r="AF187" s="57">
        <f>IFERROR(__xludf.DUMMYFUNCTION("""COMPUTED_VALUE"""),1.0687517301036091)</f>
        <v>1.06875173</v>
      </c>
      <c r="AG187" s="57">
        <f>IFERROR(__xludf.DUMMYFUNCTION("""COMPUTED_VALUE"""),2.2732748875423043)</f>
        <v>2.273274888</v>
      </c>
      <c r="AH187" s="57">
        <f>IFERROR(__xludf.DUMMYFUNCTION("""COMPUTED_VALUE"""),0.9357102060161299)</f>
        <v>0.935710206</v>
      </c>
      <c r="AI187" s="57">
        <f>IFERROR(__xludf.DUMMYFUNCTION("""COMPUTED_VALUE"""),1.1706329400381257)</f>
        <v>1.17063294</v>
      </c>
      <c r="AJ187" s="57">
        <f>IFERROR(__xludf.DUMMYFUNCTION("""COMPUTED_VALUE"""),0.6565375114658026)</f>
        <v>0.6565375115</v>
      </c>
      <c r="AK187" s="57">
        <f>IFERROR(__xludf.DUMMYFUNCTION("""COMPUTED_VALUE"""),0.5614025999675655)</f>
        <v>0.5614026</v>
      </c>
      <c r="AL187" s="57">
        <f>IFERROR(__xludf.DUMMYFUNCTION("""COMPUTED_VALUE"""),1.0934508181725682)</f>
        <v>1.093450818</v>
      </c>
      <c r="AM187" s="57">
        <f>IFERROR(__xludf.DUMMYFUNCTION("""COMPUTED_VALUE"""),1.058613565127404)</f>
        <v>1.058613565</v>
      </c>
      <c r="AN187" s="57">
        <f>IFERROR(__xludf.DUMMYFUNCTION("""COMPUTED_VALUE"""),1.1629656761533531)</f>
        <v>1.162965676</v>
      </c>
      <c r="AO187" s="57">
        <f>IFERROR(__xludf.DUMMYFUNCTION("""COMPUTED_VALUE"""),1.2546912522481655)</f>
        <v>1.254691252</v>
      </c>
      <c r="AP187" s="35">
        <f>IFERROR(__xludf.DUMMYFUNCTION("""COMPUTED_VALUE"""),1.03909874658407)</f>
        <v>1.039098747</v>
      </c>
      <c r="AQ187" s="57">
        <f>IFERROR(__xludf.DUMMYFUNCTION("""COMPUTED_VALUE"""),0.9345040453712534)</f>
        <v>0.9345040454</v>
      </c>
      <c r="AR187" s="36" t="b">
        <f>IFERROR(__xludf.DUMMYFUNCTION("""COMPUTED_VALUE"""),TRUE)</f>
        <v>1</v>
      </c>
      <c r="AS187" s="57"/>
      <c r="AT187" s="37"/>
      <c r="AU187" s="30"/>
      <c r="AV187" s="30"/>
      <c r="AW187" s="30"/>
      <c r="AX187" s="30"/>
      <c r="AY187" s="30"/>
      <c r="AZ187" s="30"/>
    </row>
    <row r="188">
      <c r="A188" s="30" t="str">
        <f>IFERROR(__xludf.DUMMYFUNCTION("""COMPUTED_VALUE"""),"Contender")</f>
        <v>Contender</v>
      </c>
      <c r="B188" s="30" t="str">
        <f>IFERROR(__xludf.DUMMYFUNCTION("""COMPUTED_VALUE"""),"RSC005550")</f>
        <v>RSC005550</v>
      </c>
      <c r="C188" s="30" t="str">
        <f>IFERROR(__xludf.DUMMYFUNCTION("""COMPUTED_VALUE"""),"Shraggaholic")</f>
        <v>Shraggaholic</v>
      </c>
      <c r="D188" s="31" t="str">
        <f>IFERROR(__xludf.DUMMYFUNCTION("""COMPUTED_VALUE"""),"Ice")</f>
        <v>Ice</v>
      </c>
      <c r="E188" s="31">
        <f>IFERROR(__xludf.DUMMYFUNCTION("""COMPUTED_VALUE"""),46.361416782355256)</f>
        <v>46.36141678</v>
      </c>
      <c r="F188" s="31">
        <f>IFERROR(__xludf.DUMMYFUNCTION("""COMPUTED_VALUE"""),-2.2617221732464627)</f>
        <v>-2.261722173</v>
      </c>
      <c r="G188" s="31">
        <f>IFERROR(__xludf.DUMMYFUNCTION("""COMPUTED_VALUE"""),42.69154574618104)</f>
        <v>42.69154575</v>
      </c>
      <c r="H188" s="31">
        <f>IFERROR(__xludf.DUMMYFUNCTION("""COMPUTED_VALUE"""),-2.597307889287533)</f>
        <v>-2.597307889</v>
      </c>
      <c r="I188" s="54">
        <f>IFERROR(__xludf.DUMMYFUNCTION("""COMPUTED_VALUE"""),34.0)</f>
        <v>34</v>
      </c>
      <c r="J188" s="55">
        <f>IFERROR(__xludf.DUMMYFUNCTION("""COMPUTED_VALUE"""),20.0)</f>
        <v>20</v>
      </c>
      <c r="K188" s="54">
        <f>IFERROR(__xludf.DUMMYFUNCTION("""COMPUTED_VALUE"""),14.0)</f>
        <v>14</v>
      </c>
      <c r="L188" s="56">
        <f>IFERROR(__xludf.DUMMYFUNCTION("""COMPUTED_VALUE"""),0.5882352941176471)</f>
        <v>0.5882352941</v>
      </c>
      <c r="M188" s="56">
        <f>IFERROR(__xludf.DUMMYFUNCTION("""COMPUTED_VALUE"""),0.31506849315068497)</f>
        <v>0.3150684932</v>
      </c>
      <c r="N188" s="31">
        <f>IFERROR(__xludf.DUMMYFUNCTION("""COMPUTED_VALUE"""),318.1470588235294)</f>
        <v>318.1470588</v>
      </c>
      <c r="O188" s="57">
        <f>IFERROR(__xludf.DUMMYFUNCTION("""COMPUTED_VALUE"""),0.6764705882352942)</f>
        <v>0.6764705882</v>
      </c>
      <c r="P188" s="57">
        <f>IFERROR(__xludf.DUMMYFUNCTION("""COMPUTED_VALUE"""),0.5)</f>
        <v>0.5</v>
      </c>
      <c r="Q188" s="57">
        <f>IFERROR(__xludf.DUMMYFUNCTION("""COMPUTED_VALUE"""),1.2647058823529411)</f>
        <v>1.264705882</v>
      </c>
      <c r="R188" s="57">
        <f>IFERROR(__xludf.DUMMYFUNCTION("""COMPUTED_VALUE"""),2.1470588235294117)</f>
        <v>2.147058824</v>
      </c>
      <c r="S188" s="31">
        <f>IFERROR(__xludf.DUMMYFUNCTION("""COMPUTED_VALUE"""),320.82352941176475)</f>
        <v>320.8235294</v>
      </c>
      <c r="T188" s="57">
        <f>IFERROR(__xludf.DUMMYFUNCTION("""COMPUTED_VALUE"""),0.7352941176470589)</f>
        <v>0.7352941176</v>
      </c>
      <c r="U188" s="57">
        <f>IFERROR(__xludf.DUMMYFUNCTION("""COMPUTED_VALUE"""),0.5490196078431372)</f>
        <v>0.5490196078</v>
      </c>
      <c r="V188" s="57">
        <f>IFERROR(__xludf.DUMMYFUNCTION("""COMPUTED_VALUE"""),1.0098039215686274)</f>
        <v>1.009803922</v>
      </c>
      <c r="W188" s="57">
        <f>IFERROR(__xludf.DUMMYFUNCTION("""COMPUTED_VALUE"""),2.4705882352941178)</f>
        <v>2.470588235</v>
      </c>
      <c r="X188" s="31">
        <f>IFERROR(__xludf.DUMMYFUNCTION("""COMPUTED_VALUE"""),309.5667579429293)</f>
        <v>309.5667579</v>
      </c>
      <c r="Y188" s="57">
        <f>IFERROR(__xludf.DUMMYFUNCTION("""COMPUTED_VALUE"""),0.740093995870029)</f>
        <v>0.7400939959</v>
      </c>
      <c r="Z188" s="57">
        <f>IFERROR(__xludf.DUMMYFUNCTION("""COMPUTED_VALUE"""),0.47797764108170543)</f>
        <v>0.4779776411</v>
      </c>
      <c r="AA188" s="57">
        <f>IFERROR(__xludf.DUMMYFUNCTION("""COMPUTED_VALUE"""),1.0174218765039922)</f>
        <v>1.017421877</v>
      </c>
      <c r="AB188" s="57">
        <f>IFERROR(__xludf.DUMMYFUNCTION("""COMPUTED_VALUE"""),2.1470098883299906)</f>
        <v>2.147009888</v>
      </c>
      <c r="AC188" s="31">
        <f>IFERROR(__xludf.DUMMYFUNCTION("""COMPUTED_VALUE"""),324.00240004416787)</f>
        <v>324.0024</v>
      </c>
      <c r="AD188" s="57">
        <f>IFERROR(__xludf.DUMMYFUNCTION("""COMPUTED_VALUE"""),0.7982333048688188)</f>
        <v>0.7982333049</v>
      </c>
      <c r="AE188" s="57">
        <f>IFERROR(__xludf.DUMMYFUNCTION("""COMPUTED_VALUE"""),0.517603508983486)</f>
        <v>0.517603509</v>
      </c>
      <c r="AF188" s="57">
        <f>IFERROR(__xludf.DUMMYFUNCTION("""COMPUTED_VALUE"""),1.055610768346071)</f>
        <v>1.055610768</v>
      </c>
      <c r="AG188" s="57">
        <f>IFERROR(__xludf.DUMMYFUNCTION("""COMPUTED_VALUE"""),2.243620792774896)</f>
        <v>2.243620793</v>
      </c>
      <c r="AH188" s="57">
        <f>IFERROR(__xludf.DUMMYFUNCTION("""COMPUTED_VALUE"""),0.9819280930640011)</f>
        <v>0.9819280931</v>
      </c>
      <c r="AI188" s="57">
        <f>IFERROR(__xludf.DUMMYFUNCTION("""COMPUTED_VALUE"""),0.847459739037655)</f>
        <v>0.847459739</v>
      </c>
      <c r="AJ188" s="57">
        <f>IFERROR(__xludf.DUMMYFUNCTION("""COMPUTED_VALUE"""),0.965990360038213)</f>
        <v>0.96599036</v>
      </c>
      <c r="AK188" s="57">
        <f>IFERROR(__xludf.DUMMYFUNCTION("""COMPUTED_VALUE"""),1.1980797470780638)</f>
        <v>1.198079747</v>
      </c>
      <c r="AL188" s="57">
        <f>IFERROR(__xludf.DUMMYFUNCTION("""COMPUTED_VALUE"""),0.9569615464625566)</f>
        <v>0.9569615465</v>
      </c>
      <c r="AM188" s="57">
        <f>IFERROR(__xludf.DUMMYFUNCTION("""COMPUTED_VALUE"""),1.0363629853012535)</f>
        <v>1.036362985</v>
      </c>
      <c r="AN188" s="57">
        <f>IFERROR(__xludf.DUMMYFUNCTION("""COMPUTED_VALUE"""),0.9935145018744173)</f>
        <v>0.9935145019</v>
      </c>
      <c r="AO188" s="57">
        <f>IFERROR(__xludf.DUMMYFUNCTION("""COMPUTED_VALUE"""),1.1486303137541278)</f>
        <v>1.148630314</v>
      </c>
      <c r="AP188" s="35">
        <f>IFERROR(__xludf.DUMMYFUNCTION("""COMPUTED_VALUE"""),0.9925124915128215)</f>
        <v>0.9925124915</v>
      </c>
      <c r="AQ188" s="57">
        <f>IFERROR(__xludf.DUMMYFUNCTION("""COMPUTED_VALUE"""),1.1507111582126044)</f>
        <v>1.150711158</v>
      </c>
      <c r="AR188" s="36" t="b">
        <f>IFERROR(__xludf.DUMMYFUNCTION("""COMPUTED_VALUE"""),TRUE)</f>
        <v>1</v>
      </c>
      <c r="AS188" s="57"/>
      <c r="AT188" s="37"/>
      <c r="AU188" s="30"/>
      <c r="AV188" s="30"/>
      <c r="AW188" s="30"/>
      <c r="AX188" s="30"/>
      <c r="AY188" s="30"/>
      <c r="AZ188" s="30"/>
    </row>
    <row r="189">
      <c r="A189" s="30" t="str">
        <f>IFERROR(__xludf.DUMMYFUNCTION("""COMPUTED_VALUE"""),"Contender")</f>
        <v>Contender</v>
      </c>
      <c r="B189" s="30" t="str">
        <f>IFERROR(__xludf.DUMMYFUNCTION("""COMPUTED_VALUE"""),"RSC006880")</f>
        <v>RSC006880</v>
      </c>
      <c r="C189" s="30" t="str">
        <f>IFERROR(__xludf.DUMMYFUNCTION("""COMPUTED_VALUE"""),"Kenjicat17")</f>
        <v>Kenjicat17</v>
      </c>
      <c r="D189" s="31" t="str">
        <f>IFERROR(__xludf.DUMMYFUNCTION("""COMPUTED_VALUE"""),"Ice")</f>
        <v>Ice</v>
      </c>
      <c r="E189" s="31">
        <f>IFERROR(__xludf.DUMMYFUNCTION("""COMPUTED_VALUE"""),45.68071362240843)</f>
        <v>45.68071362</v>
      </c>
      <c r="F189" s="31">
        <f>IFERROR(__xludf.DUMMYFUNCTION("""COMPUTED_VALUE"""),-2.3179508222074885)</f>
        <v>-2.317950822</v>
      </c>
      <c r="G189" s="31">
        <f>IFERROR(__xludf.DUMMYFUNCTION("""COMPUTED_VALUE"""),38.629898523506796)</f>
        <v>38.62989852</v>
      </c>
      <c r="H189" s="31">
        <f>IFERROR(__xludf.DUMMYFUNCTION("""COMPUTED_VALUE"""),-3.0804764785329612)</f>
        <v>-3.080476479</v>
      </c>
      <c r="I189" s="54">
        <f>IFERROR(__xludf.DUMMYFUNCTION("""COMPUTED_VALUE"""),35.0)</f>
        <v>35</v>
      </c>
      <c r="J189" s="55">
        <f>IFERROR(__xludf.DUMMYFUNCTION("""COMPUTED_VALUE"""),21.0)</f>
        <v>21</v>
      </c>
      <c r="K189" s="54">
        <f>IFERROR(__xludf.DUMMYFUNCTION("""COMPUTED_VALUE"""),14.0)</f>
        <v>14</v>
      </c>
      <c r="L189" s="56">
        <f>IFERROR(__xludf.DUMMYFUNCTION("""COMPUTED_VALUE"""),0.6)</f>
        <v>0.6</v>
      </c>
      <c r="M189" s="56">
        <f>IFERROR(__xludf.DUMMYFUNCTION("""COMPUTED_VALUE"""),0.4)</f>
        <v>0.4</v>
      </c>
      <c r="N189" s="31">
        <f>IFERROR(__xludf.DUMMYFUNCTION("""COMPUTED_VALUE"""),312.8)</f>
        <v>312.8</v>
      </c>
      <c r="O189" s="57">
        <f>IFERROR(__xludf.DUMMYFUNCTION("""COMPUTED_VALUE"""),0.8)</f>
        <v>0.8</v>
      </c>
      <c r="P189" s="57">
        <f>IFERROR(__xludf.DUMMYFUNCTION("""COMPUTED_VALUE"""),0.42857142857142855)</f>
        <v>0.4285714286</v>
      </c>
      <c r="Q189" s="57">
        <f>IFERROR(__xludf.DUMMYFUNCTION("""COMPUTED_VALUE"""),1.0)</f>
        <v>1</v>
      </c>
      <c r="R189" s="57">
        <f>IFERROR(__xludf.DUMMYFUNCTION("""COMPUTED_VALUE"""),2.0)</f>
        <v>2</v>
      </c>
      <c r="S189" s="31">
        <f>IFERROR(__xludf.DUMMYFUNCTION("""COMPUTED_VALUE"""),318.5238095238096)</f>
        <v>318.5238095</v>
      </c>
      <c r="T189" s="57">
        <f>IFERROR(__xludf.DUMMYFUNCTION("""COMPUTED_VALUE"""),0.7238095238095238)</f>
        <v>0.7238095238</v>
      </c>
      <c r="U189" s="57">
        <f>IFERROR(__xludf.DUMMYFUNCTION("""COMPUTED_VALUE"""),0.5428571428571427)</f>
        <v>0.5428571429</v>
      </c>
      <c r="V189" s="57">
        <f>IFERROR(__xludf.DUMMYFUNCTION("""COMPUTED_VALUE"""),1.0190476190476192)</f>
        <v>1.019047619</v>
      </c>
      <c r="W189" s="57">
        <f>IFERROR(__xludf.DUMMYFUNCTION("""COMPUTED_VALUE"""),2.4190476190476193)</f>
        <v>2.419047619</v>
      </c>
      <c r="X189" s="31">
        <f>IFERROR(__xludf.DUMMYFUNCTION("""COMPUTED_VALUE"""),311.0566004172146)</f>
        <v>311.0566004</v>
      </c>
      <c r="Y189" s="57">
        <f>IFERROR(__xludf.DUMMYFUNCTION("""COMPUTED_VALUE"""),0.7449622733210083)</f>
        <v>0.7449622733</v>
      </c>
      <c r="Z189" s="57">
        <f>IFERROR(__xludf.DUMMYFUNCTION("""COMPUTED_VALUE"""),0.48258638144256716)</f>
        <v>0.4825863814</v>
      </c>
      <c r="AA189" s="57">
        <f>IFERROR(__xludf.DUMMYFUNCTION("""COMPUTED_VALUE"""),1.0286063183078664)</f>
        <v>1.028606318</v>
      </c>
      <c r="AB189" s="57">
        <f>IFERROR(__xludf.DUMMYFUNCTION("""COMPUTED_VALUE"""),2.151659403834711)</f>
        <v>2.151659404</v>
      </c>
      <c r="AC189" s="31">
        <f>IFERROR(__xludf.DUMMYFUNCTION("""COMPUTED_VALUE"""),323.20492441325365)</f>
        <v>323.2049244</v>
      </c>
      <c r="AD189" s="57">
        <f>IFERROR(__xludf.DUMMYFUNCTION("""COMPUTED_VALUE"""),0.7892761695442392)</f>
        <v>0.7892761695</v>
      </c>
      <c r="AE189" s="57">
        <f>IFERROR(__xludf.DUMMYFUNCTION("""COMPUTED_VALUE"""),0.5125247492378676)</f>
        <v>0.5125247492</v>
      </c>
      <c r="AF189" s="57">
        <f>IFERROR(__xludf.DUMMYFUNCTION("""COMPUTED_VALUE"""),1.0620765749022507)</f>
        <v>1.062076575</v>
      </c>
      <c r="AG189" s="57">
        <f>IFERROR(__xludf.DUMMYFUNCTION("""COMPUTED_VALUE"""),2.2442398646341077)</f>
        <v>2.244239865</v>
      </c>
      <c r="AH189" s="57">
        <f>IFERROR(__xludf.DUMMYFUNCTION("""COMPUTED_VALUE"""),0.9678070362568184)</f>
        <v>0.9678070363</v>
      </c>
      <c r="AI189" s="57">
        <f>IFERROR(__xludf.DUMMYFUNCTION("""COMPUTED_VALUE"""),1.0135869178236476)</f>
        <v>1.013586918</v>
      </c>
      <c r="AJ189" s="57">
        <f>IFERROR(__xludf.DUMMYFUNCTION("""COMPUTED_VALUE"""),0.8361965528664148)</f>
        <v>0.8361965529</v>
      </c>
      <c r="AK189" s="57">
        <f>IFERROR(__xludf.DUMMYFUNCTION("""COMPUTED_VALUE"""),0.9415516956411886)</f>
        <v>0.9415516956</v>
      </c>
      <c r="AL189" s="57">
        <f>IFERROR(__xludf.DUMMYFUNCTION("""COMPUTED_VALUE"""),0.8911703385707714)</f>
        <v>0.8911703386</v>
      </c>
      <c r="AM189" s="57">
        <f>IFERROR(__xludf.DUMMYFUNCTION("""COMPUTED_VALUE"""),1.0240059497100507)</f>
        <v>1.02400595</v>
      </c>
      <c r="AN189" s="57">
        <f>IFERROR(__xludf.DUMMYFUNCTION("""COMPUTED_VALUE"""),0.9716056097482809)</f>
        <v>0.9716056097</v>
      </c>
      <c r="AO189" s="57">
        <f>IFERROR(__xludf.DUMMYFUNCTION("""COMPUTED_VALUE"""),1.1248911360374731)</f>
        <v>1.124891136</v>
      </c>
      <c r="AP189" s="35">
        <f>IFERROR(__xludf.DUMMYFUNCTION("""COMPUTED_VALUE"""),0.9907071353829792)</f>
        <v>0.9907071354</v>
      </c>
      <c r="AQ189" s="57">
        <f>IFERROR(__xludf.DUMMYFUNCTION("""COMPUTED_VALUE"""),1.124270697646833)</f>
        <v>1.124270698</v>
      </c>
      <c r="AR189" s="36" t="b">
        <f>IFERROR(__xludf.DUMMYFUNCTION("""COMPUTED_VALUE"""),TRUE)</f>
        <v>1</v>
      </c>
      <c r="AS189" s="57"/>
      <c r="AT189" s="37"/>
      <c r="AU189" s="30"/>
      <c r="AV189" s="30"/>
      <c r="AW189" s="30"/>
      <c r="AX189" s="30"/>
      <c r="AY189" s="30"/>
      <c r="AZ189" s="30"/>
    </row>
    <row r="190">
      <c r="A190" s="30" t="str">
        <f>IFERROR(__xludf.DUMMYFUNCTION("""COMPUTED_VALUE"""),"Contender")</f>
        <v>Contender</v>
      </c>
      <c r="B190" s="30" t="str">
        <f>IFERROR(__xludf.DUMMYFUNCTION("""COMPUTED_VALUE"""),"RSC006784")</f>
        <v>RSC006784</v>
      </c>
      <c r="C190" s="30" t="str">
        <f>IFERROR(__xludf.DUMMYFUNCTION("""COMPUTED_VALUE"""),"KittyMeowMeow360")</f>
        <v>KittyMeowMeow360</v>
      </c>
      <c r="D190" s="31" t="str">
        <f>IFERROR(__xludf.DUMMYFUNCTION("""COMPUTED_VALUE"""),"Legionaries")</f>
        <v>Legionaries</v>
      </c>
      <c r="E190" s="31">
        <f>IFERROR(__xludf.DUMMYFUNCTION("""COMPUTED_VALUE"""),43.7878408163533)</f>
        <v>43.78784082</v>
      </c>
      <c r="F190" s="31">
        <f>IFERROR(__xludf.DUMMYFUNCTION("""COMPUTED_VALUE"""),-2.4883107971628604)</f>
        <v>-2.488310797</v>
      </c>
      <c r="G190" s="31">
        <f>IFERROR(__xludf.DUMMYFUNCTION("""COMPUTED_VALUE"""),43.40555203774414)</f>
        <v>43.40555204</v>
      </c>
      <c r="H190" s="31">
        <f>IFERROR(__xludf.DUMMYFUNCTION("""COMPUTED_VALUE"""),-2.5254086075534117)</f>
        <v>-2.525408608</v>
      </c>
      <c r="I190" s="54">
        <f>IFERROR(__xludf.DUMMYFUNCTION("""COMPUTED_VALUE"""),35.0)</f>
        <v>35</v>
      </c>
      <c r="J190" s="55">
        <f>IFERROR(__xludf.DUMMYFUNCTION("""COMPUTED_VALUE"""),16.0)</f>
        <v>16</v>
      </c>
      <c r="K190" s="54">
        <f>IFERROR(__xludf.DUMMYFUNCTION("""COMPUTED_VALUE"""),19.0)</f>
        <v>19</v>
      </c>
      <c r="L190" s="56">
        <f>IFERROR(__xludf.DUMMYFUNCTION("""COMPUTED_VALUE"""),0.45714285714285713)</f>
        <v>0.4571428571</v>
      </c>
      <c r="M190" s="56">
        <f>IFERROR(__xludf.DUMMYFUNCTION("""COMPUTED_VALUE"""),0.3098591549295775)</f>
        <v>0.3098591549</v>
      </c>
      <c r="N190" s="31">
        <f>IFERROR(__xludf.DUMMYFUNCTION("""COMPUTED_VALUE"""),320.25714285714287)</f>
        <v>320.2571429</v>
      </c>
      <c r="O190" s="57">
        <f>IFERROR(__xludf.DUMMYFUNCTION("""COMPUTED_VALUE"""),0.6285714285714286)</f>
        <v>0.6285714286</v>
      </c>
      <c r="P190" s="57">
        <f>IFERROR(__xludf.DUMMYFUNCTION("""COMPUTED_VALUE"""),0.42857142857142855)</f>
        <v>0.4285714286</v>
      </c>
      <c r="Q190" s="57">
        <f>IFERROR(__xludf.DUMMYFUNCTION("""COMPUTED_VALUE"""),1.3142857142857143)</f>
        <v>1.314285714</v>
      </c>
      <c r="R190" s="57">
        <f>IFERROR(__xludf.DUMMYFUNCTION("""COMPUTED_VALUE"""),2.0285714285714285)</f>
        <v>2.028571429</v>
      </c>
      <c r="S190" s="31">
        <f>IFERROR(__xludf.DUMMYFUNCTION("""COMPUTED_VALUE"""),327.6761904761905)</f>
        <v>327.6761905</v>
      </c>
      <c r="T190" s="57">
        <f>IFERROR(__xludf.DUMMYFUNCTION("""COMPUTED_VALUE"""),0.8190476190476189)</f>
        <v>0.819047619</v>
      </c>
      <c r="U190" s="57">
        <f>IFERROR(__xludf.DUMMYFUNCTION("""COMPUTED_VALUE"""),0.5238095238095237)</f>
        <v>0.5238095238</v>
      </c>
      <c r="V190" s="57">
        <f>IFERROR(__xludf.DUMMYFUNCTION("""COMPUTED_VALUE"""),0.9904761904761904)</f>
        <v>0.9904761905</v>
      </c>
      <c r="W190" s="57">
        <f>IFERROR(__xludf.DUMMYFUNCTION("""COMPUTED_VALUE"""),2.5428571428571427)</f>
        <v>2.542857143</v>
      </c>
      <c r="X190" s="31">
        <f>IFERROR(__xludf.DUMMYFUNCTION("""COMPUTED_VALUE"""),328.33420810580276)</f>
        <v>328.3342081</v>
      </c>
      <c r="Y190" s="57">
        <f>IFERROR(__xludf.DUMMYFUNCTION("""COMPUTED_VALUE"""),0.8140900888211792)</f>
        <v>0.8140900888</v>
      </c>
      <c r="Z190" s="57">
        <f>IFERROR(__xludf.DUMMYFUNCTION("""COMPUTED_VALUE"""),0.5361790468187118)</f>
        <v>0.5361790468</v>
      </c>
      <c r="AA190" s="57">
        <f>IFERROR(__xludf.DUMMYFUNCTION("""COMPUTED_VALUE"""),1.051984346248827)</f>
        <v>1.051984346</v>
      </c>
      <c r="AB190" s="57">
        <f>IFERROR(__xludf.DUMMYFUNCTION("""COMPUTED_VALUE"""),2.3693886615005404)</f>
        <v>2.369388662</v>
      </c>
      <c r="AC190" s="31">
        <f>IFERROR(__xludf.DUMMYFUNCTION("""COMPUTED_VALUE"""),320.9510544978292)</f>
        <v>320.9510545</v>
      </c>
      <c r="AD190" s="57">
        <f>IFERROR(__xludf.DUMMYFUNCTION("""COMPUTED_VALUE"""),0.7780607691026123)</f>
        <v>0.7780607691</v>
      </c>
      <c r="AE190" s="57">
        <f>IFERROR(__xludf.DUMMYFUNCTION("""COMPUTED_VALUE"""),0.49595053822874013)</f>
        <v>0.4959505382</v>
      </c>
      <c r="AF190" s="57">
        <f>IFERROR(__xludf.DUMMYFUNCTION("""COMPUTED_VALUE"""),1.0751153581408108)</f>
        <v>1.075115358</v>
      </c>
      <c r="AG190" s="57">
        <f>IFERROR(__xludf.DUMMYFUNCTION("""COMPUTED_VALUE"""),2.1916103440627643)</f>
        <v>2.191610344</v>
      </c>
      <c r="AH190" s="57">
        <f>IFERROR(__xludf.DUMMYFUNCTION("""COMPUTED_VALUE"""),0.9978379518279756)</f>
        <v>0.9978379518</v>
      </c>
      <c r="AI190" s="57">
        <f>IFERROR(__xludf.DUMMYFUNCTION("""COMPUTED_VALUE"""),0.8078693252924196)</f>
        <v>0.8078693253</v>
      </c>
      <c r="AJ190" s="57">
        <f>IFERROR(__xludf.DUMMYFUNCTION("""COMPUTED_VALUE"""),0.8641414728614827)</f>
        <v>0.8641414729</v>
      </c>
      <c r="AK190" s="57">
        <f>IFERROR(__xludf.DUMMYFUNCTION("""COMPUTED_VALUE"""),1.2224601800484918)</f>
        <v>1.22246018</v>
      </c>
      <c r="AL190" s="57">
        <f>IFERROR(__xludf.DUMMYFUNCTION("""COMPUTED_VALUE"""),0.9256077085358625)</f>
        <v>0.9256077085</v>
      </c>
      <c r="AM190" s="57">
        <f>IFERROR(__xludf.DUMMYFUNCTION("""COMPUTED_VALUE"""),0.9979958907315555)</f>
        <v>0.9979958907</v>
      </c>
      <c r="AN190" s="57">
        <f>IFERROR(__xludf.DUMMYFUNCTION("""COMPUTED_VALUE"""),1.0060896580053178)</f>
        <v>1.006089658</v>
      </c>
      <c r="AO190" s="57">
        <f>IFERROR(__xludf.DUMMYFUNCTION("""COMPUTED_VALUE"""),0.9769302379819211)</f>
        <v>0.976930238</v>
      </c>
      <c r="AP190" s="35">
        <f>IFERROR(__xludf.DUMMYFUNCTION("""COMPUTED_VALUE"""),0.9415313013050406)</f>
        <v>0.9415313013</v>
      </c>
      <c r="AQ190" s="57">
        <f>IFERROR(__xludf.DUMMYFUNCTION("""COMPUTED_VALUE"""),1.0732123370788582)</f>
        <v>1.073212337</v>
      </c>
      <c r="AR190" s="36" t="b">
        <f>IFERROR(__xludf.DUMMYFUNCTION("""COMPUTED_VALUE"""),TRUE)</f>
        <v>1</v>
      </c>
      <c r="AS190" s="57"/>
      <c r="AT190" s="37"/>
      <c r="AU190" s="30"/>
      <c r="AV190" s="30"/>
      <c r="AW190" s="30"/>
      <c r="AX190" s="30"/>
      <c r="AY190" s="30"/>
      <c r="AZ190" s="30"/>
    </row>
    <row r="191">
      <c r="A191" s="30" t="str">
        <f>IFERROR(__xludf.DUMMYFUNCTION("""COMPUTED_VALUE"""),"Contender")</f>
        <v>Contender</v>
      </c>
      <c r="B191" s="30" t="str">
        <f>IFERROR(__xludf.DUMMYFUNCTION("""COMPUTED_VALUE"""),"RSC003153")</f>
        <v>RSC003153</v>
      </c>
      <c r="C191" s="30" t="str">
        <f>IFERROR(__xludf.DUMMYFUNCTION("""COMPUTED_VALUE"""),"Theman")</f>
        <v>Theman</v>
      </c>
      <c r="D191" s="31" t="str">
        <f>IFERROR(__xludf.DUMMYFUNCTION("""COMPUTED_VALUE"""),"Clover")</f>
        <v>Clover</v>
      </c>
      <c r="E191" s="31">
        <f>IFERROR(__xludf.DUMMYFUNCTION("""COMPUTED_VALUE"""),43.641931951228536)</f>
        <v>43.64193195</v>
      </c>
      <c r="F191" s="31">
        <f>IFERROR(__xludf.DUMMYFUNCTION("""COMPUTED_VALUE"""),-2.502357698944759)</f>
        <v>-2.502357699</v>
      </c>
      <c r="G191" s="31">
        <f>IFERROR(__xludf.DUMMYFUNCTION("""COMPUTED_VALUE"""),35.861135835060196)</f>
        <v>35.86113584</v>
      </c>
      <c r="H191" s="31">
        <f>IFERROR(__xludf.DUMMYFUNCTION("""COMPUTED_VALUE"""),-3.4983589694752206)</f>
        <v>-3.498358969</v>
      </c>
      <c r="I191" s="54">
        <f>IFERROR(__xludf.DUMMYFUNCTION("""COMPUTED_VALUE"""),26.0)</f>
        <v>26</v>
      </c>
      <c r="J191" s="55">
        <f>IFERROR(__xludf.DUMMYFUNCTION("""COMPUTED_VALUE"""),14.0)</f>
        <v>14</v>
      </c>
      <c r="K191" s="54">
        <f>IFERROR(__xludf.DUMMYFUNCTION("""COMPUTED_VALUE"""),12.0)</f>
        <v>12</v>
      </c>
      <c r="L191" s="56">
        <f>IFERROR(__xludf.DUMMYFUNCTION("""COMPUTED_VALUE"""),0.5384615384615384)</f>
        <v>0.5384615385</v>
      </c>
      <c r="M191" s="56">
        <f>IFERROR(__xludf.DUMMYFUNCTION("""COMPUTED_VALUE"""),0.4074074074074074)</f>
        <v>0.4074074074</v>
      </c>
      <c r="N191" s="31">
        <f>IFERROR(__xludf.DUMMYFUNCTION("""COMPUTED_VALUE"""),323.53846153846155)</f>
        <v>323.5384615</v>
      </c>
      <c r="O191" s="57">
        <f>IFERROR(__xludf.DUMMYFUNCTION("""COMPUTED_VALUE"""),0.8461538461538461)</f>
        <v>0.8461538462</v>
      </c>
      <c r="P191" s="57">
        <f>IFERROR(__xludf.DUMMYFUNCTION("""COMPUTED_VALUE"""),0.2692307692307692)</f>
        <v>0.2692307692</v>
      </c>
      <c r="Q191" s="57">
        <f>IFERROR(__xludf.DUMMYFUNCTION("""COMPUTED_VALUE"""),1.2307692307692308)</f>
        <v>1.230769231</v>
      </c>
      <c r="R191" s="57">
        <f>IFERROR(__xludf.DUMMYFUNCTION("""COMPUTED_VALUE"""),2.076923076923077)</f>
        <v>2.076923077</v>
      </c>
      <c r="S191" s="31">
        <f>IFERROR(__xludf.DUMMYFUNCTION("""COMPUTED_VALUE"""),326.4615384615384)</f>
        <v>326.4615385</v>
      </c>
      <c r="T191" s="57">
        <f>IFERROR(__xludf.DUMMYFUNCTION("""COMPUTED_VALUE"""),0.6923076923076923)</f>
        <v>0.6923076923</v>
      </c>
      <c r="U191" s="57">
        <f>IFERROR(__xludf.DUMMYFUNCTION("""COMPUTED_VALUE"""),0.4358974358974359)</f>
        <v>0.4358974359</v>
      </c>
      <c r="V191" s="57">
        <f>IFERROR(__xludf.DUMMYFUNCTION("""COMPUTED_VALUE"""),1.205128205128205)</f>
        <v>1.205128205</v>
      </c>
      <c r="W191" s="57">
        <f>IFERROR(__xludf.DUMMYFUNCTION("""COMPUTED_VALUE"""),2.3974358974358974)</f>
        <v>2.397435897</v>
      </c>
      <c r="X191" s="31">
        <f>IFERROR(__xludf.DUMMYFUNCTION("""COMPUTED_VALUE"""),319.2951350402153)</f>
        <v>319.295135</v>
      </c>
      <c r="Y191" s="57">
        <f>IFERROR(__xludf.DUMMYFUNCTION("""COMPUTED_VALUE"""),0.7486486524030123)</f>
        <v>0.7486486524</v>
      </c>
      <c r="Z191" s="57">
        <f>IFERROR(__xludf.DUMMYFUNCTION("""COMPUTED_VALUE"""),0.5287960827279276)</f>
        <v>0.5287960827</v>
      </c>
      <c r="AA191" s="57">
        <f>IFERROR(__xludf.DUMMYFUNCTION("""COMPUTED_VALUE"""),1.0868384543302065)</f>
        <v>1.086838454</v>
      </c>
      <c r="AB191" s="57">
        <f>IFERROR(__xludf.DUMMYFUNCTION("""COMPUTED_VALUE"""),2.192249173852319)</f>
        <v>2.192249174</v>
      </c>
      <c r="AC191" s="31">
        <f>IFERROR(__xludf.DUMMYFUNCTION("""COMPUTED_VALUE"""),327.61210287628546)</f>
        <v>327.6121029</v>
      </c>
      <c r="AD191" s="57">
        <f>IFERROR(__xludf.DUMMYFUNCTION("""COMPUTED_VALUE"""),0.8046466219316332)</f>
        <v>0.8046466219</v>
      </c>
      <c r="AE191" s="57">
        <f>IFERROR(__xludf.DUMMYFUNCTION("""COMPUTED_VALUE"""),0.5243844974455658)</f>
        <v>0.5243844974</v>
      </c>
      <c r="AF191" s="57">
        <f>IFERROR(__xludf.DUMMYFUNCTION("""COMPUTED_VALUE"""),1.0980112155943837)</f>
        <v>1.098011216</v>
      </c>
      <c r="AG191" s="57">
        <f>IFERROR(__xludf.DUMMYFUNCTION("""COMPUTED_VALUE"""),2.277046584920152)</f>
        <v>2.277046585</v>
      </c>
      <c r="AH191" s="57">
        <f>IFERROR(__xludf.DUMMYFUNCTION("""COMPUTED_VALUE"""),0.9875656567566974)</f>
        <v>0.9875656568</v>
      </c>
      <c r="AI191" s="57">
        <f>IFERROR(__xludf.DUMMYFUNCTION("""COMPUTED_VALUE"""),1.0515844136927721)</f>
        <v>1.051584414</v>
      </c>
      <c r="AJ191" s="57">
        <f>IFERROR(__xludf.DUMMYFUNCTION("""COMPUTED_VALUE"""),0.513422442010153)</f>
        <v>0.513422442</v>
      </c>
      <c r="AK191" s="57">
        <f>IFERROR(__xludf.DUMMYFUNCTION("""COMPUTED_VALUE"""),1.1209077041193805)</f>
        <v>1.120907704</v>
      </c>
      <c r="AL191" s="57">
        <f>IFERROR(__xludf.DUMMYFUNCTION("""COMPUTED_VALUE"""),0.9121126860897786)</f>
        <v>0.9121126861</v>
      </c>
      <c r="AM191" s="57">
        <f>IFERROR(__xludf.DUMMYFUNCTION("""COMPUTED_VALUE"""),1.0224444491470892)</f>
        <v>1.022444449</v>
      </c>
      <c r="AN191" s="57">
        <f>IFERROR(__xludf.DUMMYFUNCTION("""COMPUTED_VALUE"""),0.9247431222717402)</f>
        <v>0.9247431223</v>
      </c>
      <c r="AO191" s="57">
        <f>IFERROR(__xludf.DUMMYFUNCTION("""COMPUTED_VALUE"""),0.824320470849083)</f>
        <v>0.8243204708</v>
      </c>
      <c r="AP191" s="35">
        <f>IFERROR(__xludf.DUMMYFUNCTION("""COMPUTED_VALUE"""),1.108838392979845)</f>
        <v>1.108838393</v>
      </c>
      <c r="AQ191" s="57">
        <f>IFERROR(__xludf.DUMMYFUNCTION("""COMPUTED_VALUE"""),1.0935964424258466)</f>
        <v>1.093596442</v>
      </c>
      <c r="AR191" s="36" t="b">
        <f>IFERROR(__xludf.DUMMYFUNCTION("""COMPUTED_VALUE"""),TRUE)</f>
        <v>1</v>
      </c>
      <c r="AS191" s="57"/>
      <c r="AT191" s="37"/>
      <c r="AU191" s="30"/>
      <c r="AV191" s="30"/>
      <c r="AW191" s="30"/>
      <c r="AX191" s="30"/>
      <c r="AY191" s="30"/>
      <c r="AZ191" s="30"/>
    </row>
    <row r="192">
      <c r="A192" s="30" t="str">
        <f>IFERROR(__xludf.DUMMYFUNCTION("""COMPUTED_VALUE"""),"Contender")</f>
        <v>Contender</v>
      </c>
      <c r="B192" s="30" t="str">
        <f>IFERROR(__xludf.DUMMYFUNCTION("""COMPUTED_VALUE"""),"RSC000963")</f>
        <v>RSC000963</v>
      </c>
      <c r="C192" s="30" t="str">
        <f>IFERROR(__xludf.DUMMYFUNCTION("""COMPUTED_VALUE"""),"Sup3rm4n")</f>
        <v>Sup3rm4n</v>
      </c>
      <c r="D192" s="31" t="str">
        <f>IFERROR(__xludf.DUMMYFUNCTION("""COMPUTED_VALUE"""),"Rheas")</f>
        <v>Rheas</v>
      </c>
      <c r="E192" s="31">
        <f>IFERROR(__xludf.DUMMYFUNCTION("""COMPUTED_VALUE"""),42.63212775178594)</f>
        <v>42.63212775</v>
      </c>
      <c r="F192" s="31">
        <f>IFERROR(__xludf.DUMMYFUNCTION("""COMPUTED_VALUE"""),-2.6034490652105284)</f>
        <v>-2.603449065</v>
      </c>
      <c r="G192" s="31">
        <f>IFERROR(__xludf.DUMMYFUNCTION("""COMPUTED_VALUE"""),39.7789690907854)</f>
        <v>39.77896909</v>
      </c>
      <c r="H192" s="31">
        <f>IFERROR(__xludf.DUMMYFUNCTION("""COMPUTED_VALUE"""),-2.929732522566997)</f>
        <v>-2.929732523</v>
      </c>
      <c r="I192" s="54">
        <f>IFERROR(__xludf.DUMMYFUNCTION("""COMPUTED_VALUE"""),14.0)</f>
        <v>14</v>
      </c>
      <c r="J192" s="55">
        <f>IFERROR(__xludf.DUMMYFUNCTION("""COMPUTED_VALUE"""),11.0)</f>
        <v>11</v>
      </c>
      <c r="K192" s="54">
        <f>IFERROR(__xludf.DUMMYFUNCTION("""COMPUTED_VALUE"""),3.0)</f>
        <v>3</v>
      </c>
      <c r="L192" s="56">
        <f>IFERROR(__xludf.DUMMYFUNCTION("""COMPUTED_VALUE"""),0.7857142857142857)</f>
        <v>0.7857142857</v>
      </c>
      <c r="M192" s="56">
        <f>IFERROR(__xludf.DUMMYFUNCTION("""COMPUTED_VALUE"""),0.4799999999999999)</f>
        <v>0.48</v>
      </c>
      <c r="N192" s="31">
        <f>IFERROR(__xludf.DUMMYFUNCTION("""COMPUTED_VALUE"""),296.2142857142857)</f>
        <v>296.2142857</v>
      </c>
      <c r="O192" s="57">
        <f>IFERROR(__xludf.DUMMYFUNCTION("""COMPUTED_VALUE"""),0.8571428571428571)</f>
        <v>0.8571428571</v>
      </c>
      <c r="P192" s="57">
        <f>IFERROR(__xludf.DUMMYFUNCTION("""COMPUTED_VALUE"""),0.2857142857142857)</f>
        <v>0.2857142857</v>
      </c>
      <c r="Q192" s="57">
        <f>IFERROR(__xludf.DUMMYFUNCTION("""COMPUTED_VALUE"""),0.9285714285714286)</f>
        <v>0.9285714286</v>
      </c>
      <c r="R192" s="57">
        <f>IFERROR(__xludf.DUMMYFUNCTION("""COMPUTED_VALUE"""),1.7857142857142858)</f>
        <v>1.785714286</v>
      </c>
      <c r="S192" s="31">
        <f>IFERROR(__xludf.DUMMYFUNCTION("""COMPUTED_VALUE"""),282.07142857142856)</f>
        <v>282.0714286</v>
      </c>
      <c r="T192" s="57">
        <f>IFERROR(__xludf.DUMMYFUNCTION("""COMPUTED_VALUE"""),0.5238095238095238)</f>
        <v>0.5238095238</v>
      </c>
      <c r="U192" s="57">
        <f>IFERROR(__xludf.DUMMYFUNCTION("""COMPUTED_VALUE"""),0.33333333333333337)</f>
        <v>0.3333333333</v>
      </c>
      <c r="V192" s="57">
        <f>IFERROR(__xludf.DUMMYFUNCTION("""COMPUTED_VALUE"""),1.0714285714285716)</f>
        <v>1.071428571</v>
      </c>
      <c r="W192" s="57">
        <f>IFERROR(__xludf.DUMMYFUNCTION("""COMPUTED_VALUE"""),1.8571428571428572)</f>
        <v>1.857142857</v>
      </c>
      <c r="X192" s="31">
        <f>IFERROR(__xludf.DUMMYFUNCTION("""COMPUTED_VALUE"""),309.7536075073269)</f>
        <v>309.7536075</v>
      </c>
      <c r="Y192" s="57">
        <f>IFERROR(__xludf.DUMMYFUNCTION("""COMPUTED_VALUE"""),0.7108750746582814)</f>
        <v>0.7108750747</v>
      </c>
      <c r="Z192" s="57">
        <f>IFERROR(__xludf.DUMMYFUNCTION("""COMPUTED_VALUE"""),0.4743234670947691)</f>
        <v>0.4743234671</v>
      </c>
      <c r="AA192" s="57">
        <f>IFERROR(__xludf.DUMMYFUNCTION("""COMPUTED_VALUE"""),1.0470002369195917)</f>
        <v>1.047000237</v>
      </c>
      <c r="AB192" s="57">
        <f>IFERROR(__xludf.DUMMYFUNCTION("""COMPUTED_VALUE"""),2.1327418528171895)</f>
        <v>2.132741853</v>
      </c>
      <c r="AC192" s="31">
        <f>IFERROR(__xludf.DUMMYFUNCTION("""COMPUTED_VALUE"""),334.6835189760786)</f>
        <v>334.683519</v>
      </c>
      <c r="AD192" s="57">
        <f>IFERROR(__xludf.DUMMYFUNCTION("""COMPUTED_VALUE"""),0.8707773708414503)</f>
        <v>0.8707773708</v>
      </c>
      <c r="AE192" s="57">
        <f>IFERROR(__xludf.DUMMYFUNCTION("""COMPUTED_VALUE"""),0.5527462228301435)</f>
        <v>0.5527462228</v>
      </c>
      <c r="AF192" s="57">
        <f>IFERROR(__xludf.DUMMYFUNCTION("""COMPUTED_VALUE"""),1.0822661639104292)</f>
        <v>1.082266164</v>
      </c>
      <c r="AG192" s="57">
        <f>IFERROR(__xludf.DUMMYFUNCTION("""COMPUTED_VALUE"""),2.3497806246189197)</f>
        <v>2.349780625</v>
      </c>
      <c r="AH192" s="57">
        <f>IFERROR(__xludf.DUMMYFUNCTION("""COMPUTED_VALUE"""),0.8850578798158794)</f>
        <v>0.8850578798</v>
      </c>
      <c r="AI192" s="57">
        <f>IFERROR(__xludf.DUMMYFUNCTION("""COMPUTED_VALUE"""),0.9843421359406505)</f>
        <v>0.9843421359</v>
      </c>
      <c r="AJ192" s="57">
        <f>IFERROR(__xludf.DUMMYFUNCTION("""COMPUTED_VALUE"""),0.5168995714731178)</f>
        <v>0.5168995715</v>
      </c>
      <c r="AK192" s="57">
        <f>IFERROR(__xludf.DUMMYFUNCTION("""COMPUTED_VALUE"""),0.8579880435477416)</f>
        <v>0.8579880435</v>
      </c>
      <c r="AL192" s="57">
        <f>IFERROR(__xludf.DUMMYFUNCTION("""COMPUTED_VALUE"""),0.7599493616574898)</f>
        <v>0.7599493617</v>
      </c>
      <c r="AM192" s="57">
        <f>IFERROR(__xludf.DUMMYFUNCTION("""COMPUTED_VALUE"""),0.9106316173081421)</f>
        <v>0.9106316173</v>
      </c>
      <c r="AN192" s="57">
        <f>IFERROR(__xludf.DUMMYFUNCTION("""COMPUTED_VALUE"""),0.7368517232951511)</f>
        <v>0.7368517233</v>
      </c>
      <c r="AO192" s="57">
        <f>IFERROR(__xludf.DUMMYFUNCTION("""COMPUTED_VALUE"""),0.7027553061521493)</f>
        <v>0.7027553062</v>
      </c>
      <c r="AP192" s="35">
        <f>IFERROR(__xludf.DUMMYFUNCTION("""COMPUTED_VALUE"""),1.0233317373268713)</f>
        <v>1.023331737</v>
      </c>
      <c r="AQ192" s="57">
        <f>IFERROR(__xludf.DUMMYFUNCTION("""COMPUTED_VALUE"""),0.8707771429016189)</f>
        <v>0.8707771429</v>
      </c>
      <c r="AR192" s="36" t="b">
        <f>IFERROR(__xludf.DUMMYFUNCTION("""COMPUTED_VALUE"""),TRUE)</f>
        <v>1</v>
      </c>
      <c r="AS192" s="57"/>
      <c r="AT192" s="37"/>
      <c r="AU192" s="30"/>
      <c r="AV192" s="30"/>
      <c r="AW192" s="30"/>
      <c r="AX192" s="30"/>
      <c r="AY192" s="30"/>
      <c r="AZ192" s="30"/>
    </row>
    <row r="193">
      <c r="A193" s="30" t="str">
        <f>IFERROR(__xludf.DUMMYFUNCTION("""COMPUTED_VALUE"""),"Contender")</f>
        <v>Contender</v>
      </c>
      <c r="B193" s="30" t="str">
        <f>IFERROR(__xludf.DUMMYFUNCTION("""COMPUTED_VALUE"""),"RSC000989")</f>
        <v>RSC000989</v>
      </c>
      <c r="C193" s="30" t="str">
        <f>IFERROR(__xludf.DUMMYFUNCTION("""COMPUTED_VALUE"""),"Piky Life88")</f>
        <v>Piky Life88</v>
      </c>
      <c r="D193" s="31" t="str">
        <f>IFERROR(__xludf.DUMMYFUNCTION("""COMPUTED_VALUE"""),"Devoured")</f>
        <v>Devoured</v>
      </c>
      <c r="E193" s="31">
        <f>IFERROR(__xludf.DUMMYFUNCTION("""COMPUTED_VALUE"""),41.794748461907496)</f>
        <v>41.79474846</v>
      </c>
      <c r="F193" s="31">
        <f>IFERROR(__xludf.DUMMYFUNCTION("""COMPUTED_VALUE"""),-2.6926857630184005)</f>
        <v>-2.692685763</v>
      </c>
      <c r="G193" s="31">
        <f>IFERROR(__xludf.DUMMYFUNCTION("""COMPUTED_VALUE"""),41.25996181426)</f>
        <v>41.25996181</v>
      </c>
      <c r="H193" s="31">
        <f>IFERROR(__xludf.DUMMYFUNCTION("""COMPUTED_VALUE"""),-2.7524030511532978)</f>
        <v>-2.752403051</v>
      </c>
      <c r="I193" s="54">
        <f>IFERROR(__xludf.DUMMYFUNCTION("""COMPUTED_VALUE"""),8.0)</f>
        <v>8</v>
      </c>
      <c r="J193" s="55">
        <f>IFERROR(__xludf.DUMMYFUNCTION("""COMPUTED_VALUE"""),4.0)</f>
        <v>4</v>
      </c>
      <c r="K193" s="54">
        <f>IFERROR(__xludf.DUMMYFUNCTION("""COMPUTED_VALUE"""),4.0)</f>
        <v>4</v>
      </c>
      <c r="L193" s="56">
        <f>IFERROR(__xludf.DUMMYFUNCTION("""COMPUTED_VALUE"""),0.5)</f>
        <v>0.5</v>
      </c>
      <c r="M193" s="56">
        <f>IFERROR(__xludf.DUMMYFUNCTION("""COMPUTED_VALUE"""),0.25)</f>
        <v>0.25</v>
      </c>
      <c r="N193" s="31">
        <f>IFERROR(__xludf.DUMMYFUNCTION("""COMPUTED_VALUE"""),260.875)</f>
        <v>260.875</v>
      </c>
      <c r="O193" s="57">
        <f>IFERROR(__xludf.DUMMYFUNCTION("""COMPUTED_VALUE"""),0.625)</f>
        <v>0.625</v>
      </c>
      <c r="P193" s="57">
        <f>IFERROR(__xludf.DUMMYFUNCTION("""COMPUTED_VALUE"""),0.375)</f>
        <v>0.375</v>
      </c>
      <c r="Q193" s="57">
        <f>IFERROR(__xludf.DUMMYFUNCTION("""COMPUTED_VALUE"""),0.875)</f>
        <v>0.875</v>
      </c>
      <c r="R193" s="57">
        <f>IFERROR(__xludf.DUMMYFUNCTION("""COMPUTED_VALUE"""),2.5)</f>
        <v>2.5</v>
      </c>
      <c r="S193" s="31">
        <f>IFERROR(__xludf.DUMMYFUNCTION("""COMPUTED_VALUE"""),323.2916666666667)</f>
        <v>323.2916667</v>
      </c>
      <c r="T193" s="57">
        <f>IFERROR(__xludf.DUMMYFUNCTION("""COMPUTED_VALUE"""),1.0)</f>
        <v>1</v>
      </c>
      <c r="U193" s="57">
        <f>IFERROR(__xludf.DUMMYFUNCTION("""COMPUTED_VALUE"""),0.5416666666666666)</f>
        <v>0.5416666667</v>
      </c>
      <c r="V193" s="57">
        <f>IFERROR(__xludf.DUMMYFUNCTION("""COMPUTED_VALUE"""),0.8333333333333333)</f>
        <v>0.8333333333</v>
      </c>
      <c r="W193" s="57">
        <f>IFERROR(__xludf.DUMMYFUNCTION("""COMPUTED_VALUE"""),2.25)</f>
        <v>2.25</v>
      </c>
      <c r="X193" s="31">
        <f>IFERROR(__xludf.DUMMYFUNCTION("""COMPUTED_VALUE"""),325.9084666560165)</f>
        <v>325.9084667</v>
      </c>
      <c r="Y193" s="57">
        <f>IFERROR(__xludf.DUMMYFUNCTION("""COMPUTED_VALUE"""),0.765744497193)</f>
        <v>0.7657444972</v>
      </c>
      <c r="Z193" s="57">
        <f>IFERROR(__xludf.DUMMYFUNCTION("""COMPUTED_VALUE"""),0.504803277568704)</f>
        <v>0.5048032776</v>
      </c>
      <c r="AA193" s="57">
        <f>IFERROR(__xludf.DUMMYFUNCTION("""COMPUTED_VALUE"""),1.1351013238206977)</f>
        <v>1.135101324</v>
      </c>
      <c r="AB193" s="57">
        <f>IFERROR(__xludf.DUMMYFUNCTION("""COMPUTED_VALUE"""),2.2605524745554235)</f>
        <v>2.260552475</v>
      </c>
      <c r="AC193" s="31">
        <f>IFERROR(__xludf.DUMMYFUNCTION("""COMPUTED_VALUE"""),307.0100810302489)</f>
        <v>307.010081</v>
      </c>
      <c r="AD193" s="57">
        <f>IFERROR(__xludf.DUMMYFUNCTION("""COMPUTED_VALUE"""),0.6926874659727806)</f>
        <v>0.692687466</v>
      </c>
      <c r="AE193" s="57">
        <f>IFERROR(__xludf.DUMMYFUNCTION("""COMPUTED_VALUE"""),0.43979264347156055)</f>
        <v>0.4397926435</v>
      </c>
      <c r="AF193" s="57">
        <f>IFERROR(__xludf.DUMMYFUNCTION("""COMPUTED_VALUE"""),1.0370250047503524)</f>
        <v>1.037025005</v>
      </c>
      <c r="AG193" s="57">
        <f>IFERROR(__xludf.DUMMYFUNCTION("""COMPUTED_VALUE"""),2.2260858847746325)</f>
        <v>2.226085885</v>
      </c>
      <c r="AH193" s="57">
        <f>IFERROR(__xludf.DUMMYFUNCTION("""COMPUTED_VALUE"""),0.8497277976168368)</f>
        <v>0.8497277976</v>
      </c>
      <c r="AI193" s="57">
        <f>IFERROR(__xludf.DUMMYFUNCTION("""COMPUTED_VALUE"""),0.9022828197450877)</f>
        <v>0.9022828197</v>
      </c>
      <c r="AJ193" s="57">
        <f>IFERROR(__xludf.DUMMYFUNCTION("""COMPUTED_VALUE"""),0.8526745628118939)</f>
        <v>0.8526745628</v>
      </c>
      <c r="AK193" s="57">
        <f>IFERROR(__xludf.DUMMYFUNCTION("""COMPUTED_VALUE"""),0.8437597897754091)</f>
        <v>0.8437597898</v>
      </c>
      <c r="AL193" s="57">
        <f>IFERROR(__xludf.DUMMYFUNCTION("""COMPUTED_VALUE"""),1.123047415689938)</f>
        <v>1.123047416</v>
      </c>
      <c r="AM193" s="57">
        <f>IFERROR(__xludf.DUMMYFUNCTION("""COMPUTED_VALUE"""),0.9919707517383654)</f>
        <v>0.9919707517</v>
      </c>
      <c r="AN193" s="57">
        <f>IFERROR(__xludf.DUMMYFUNCTION("""COMPUTED_VALUE"""),1.305918623856539)</f>
        <v>1.305918624</v>
      </c>
      <c r="AO193" s="57">
        <f>IFERROR(__xludf.DUMMYFUNCTION("""COMPUTED_VALUE"""),1.0730252570377685)</f>
        <v>1.073025257</v>
      </c>
      <c r="AP193" s="35">
        <f>IFERROR(__xludf.DUMMYFUNCTION("""COMPUTED_VALUE"""),0.7341488516006416)</f>
        <v>0.7341488516</v>
      </c>
      <c r="AQ193" s="57">
        <f>IFERROR(__xludf.DUMMYFUNCTION("""COMPUTED_VALUE"""),0.9953319046232276)</f>
        <v>0.9953319046</v>
      </c>
      <c r="AR193" s="36" t="b">
        <f>IFERROR(__xludf.DUMMYFUNCTION("""COMPUTED_VALUE"""),TRUE)</f>
        <v>1</v>
      </c>
      <c r="AS193" s="57"/>
      <c r="AT193" s="37"/>
      <c r="AU193" s="30"/>
      <c r="AV193" s="30"/>
      <c r="AW193" s="30"/>
      <c r="AX193" s="30"/>
      <c r="AY193" s="30"/>
      <c r="AZ193" s="30"/>
    </row>
    <row r="194">
      <c r="A194" s="30" t="str">
        <f>IFERROR(__xludf.DUMMYFUNCTION("""COMPUTED_VALUE"""),"Contender")</f>
        <v>Contender</v>
      </c>
      <c r="B194" s="30" t="str">
        <f>IFERROR(__xludf.DUMMYFUNCTION("""COMPUTED_VALUE"""),"RSC006900")</f>
        <v>RSC006900</v>
      </c>
      <c r="C194" s="30" t="str">
        <f>IFERROR(__xludf.DUMMYFUNCTION("""COMPUTED_VALUE"""),"VeloxcityX")</f>
        <v>VeloxcityX</v>
      </c>
      <c r="D194" s="31" t="str">
        <f>IFERROR(__xludf.DUMMYFUNCTION("""COMPUTED_VALUE"""),"Rad Lads")</f>
        <v>Rad Lads</v>
      </c>
      <c r="E194" s="31">
        <f>IFERROR(__xludf.DUMMYFUNCTION("""COMPUTED_VALUE"""),40.46339948811214)</f>
        <v>40.46339949</v>
      </c>
      <c r="F194" s="31">
        <f>IFERROR(__xludf.DUMMYFUNCTION("""COMPUTED_VALUE"""),-2.8455210822907135)</f>
        <v>-2.845521082</v>
      </c>
      <c r="G194" s="31">
        <f>IFERROR(__xludf.DUMMYFUNCTION("""COMPUTED_VALUE"""),47.39454503314186)</f>
        <v>47.39454503</v>
      </c>
      <c r="H194" s="31">
        <f>IFERROR(__xludf.DUMMYFUNCTION("""COMPUTED_VALUE"""),-2.181034138524063)</f>
        <v>-2.181034139</v>
      </c>
      <c r="I194" s="54">
        <f>IFERROR(__xludf.DUMMYFUNCTION("""COMPUTED_VALUE"""),24.0)</f>
        <v>24</v>
      </c>
      <c r="J194" s="55">
        <f>IFERROR(__xludf.DUMMYFUNCTION("""COMPUTED_VALUE"""),8.0)</f>
        <v>8</v>
      </c>
      <c r="K194" s="54">
        <f>IFERROR(__xludf.DUMMYFUNCTION("""COMPUTED_VALUE"""),16.0)</f>
        <v>16</v>
      </c>
      <c r="L194" s="56">
        <f>IFERROR(__xludf.DUMMYFUNCTION("""COMPUTED_VALUE"""),0.3333333333333333)</f>
        <v>0.3333333333</v>
      </c>
      <c r="M194" s="56">
        <f>IFERROR(__xludf.DUMMYFUNCTION("""COMPUTED_VALUE"""),0.4324324324324324)</f>
        <v>0.4324324324</v>
      </c>
      <c r="N194" s="31">
        <f>IFERROR(__xludf.DUMMYFUNCTION("""COMPUTED_VALUE"""),318.9166666666667)</f>
        <v>318.9166667</v>
      </c>
      <c r="O194" s="57">
        <f>IFERROR(__xludf.DUMMYFUNCTION("""COMPUTED_VALUE"""),0.6666666666666666)</f>
        <v>0.6666666667</v>
      </c>
      <c r="P194" s="57">
        <f>IFERROR(__xludf.DUMMYFUNCTION("""COMPUTED_VALUE"""),0.5)</f>
        <v>0.5</v>
      </c>
      <c r="Q194" s="57">
        <f>IFERROR(__xludf.DUMMYFUNCTION("""COMPUTED_VALUE"""),1.2916666666666667)</f>
        <v>1.291666667</v>
      </c>
      <c r="R194" s="57">
        <f>IFERROR(__xludf.DUMMYFUNCTION("""COMPUTED_VALUE"""),1.5416666666666667)</f>
        <v>1.541666667</v>
      </c>
      <c r="S194" s="31">
        <f>IFERROR(__xludf.DUMMYFUNCTION("""COMPUTED_VALUE"""),345.4166666666666)</f>
        <v>345.4166667</v>
      </c>
      <c r="T194" s="57">
        <f>IFERROR(__xludf.DUMMYFUNCTION("""COMPUTED_VALUE"""),0.9583333333333334)</f>
        <v>0.9583333333</v>
      </c>
      <c r="U194" s="57">
        <f>IFERROR(__xludf.DUMMYFUNCTION("""COMPUTED_VALUE"""),0.638888888888889)</f>
        <v>0.6388888889</v>
      </c>
      <c r="V194" s="57">
        <f>IFERROR(__xludf.DUMMYFUNCTION("""COMPUTED_VALUE"""),0.9444444444444445)</f>
        <v>0.9444444444</v>
      </c>
      <c r="W194" s="57">
        <f>IFERROR(__xludf.DUMMYFUNCTION("""COMPUTED_VALUE"""),2.263888888888889)</f>
        <v>2.263888889</v>
      </c>
      <c r="X194" s="31">
        <f>IFERROR(__xludf.DUMMYFUNCTION("""COMPUTED_VALUE"""),321.73307035931117)</f>
        <v>321.7330704</v>
      </c>
      <c r="Y194" s="57">
        <f>IFERROR(__xludf.DUMMYFUNCTION("""COMPUTED_VALUE"""),0.7836510051767407)</f>
        <v>0.7836510052</v>
      </c>
      <c r="Z194" s="57">
        <f>IFERROR(__xludf.DUMMYFUNCTION("""COMPUTED_VALUE"""),0.543921227193286)</f>
        <v>0.5439212272</v>
      </c>
      <c r="AA194" s="57">
        <f>IFERROR(__xludf.DUMMYFUNCTION("""COMPUTED_VALUE"""),1.0463395077825226)</f>
        <v>1.046339508</v>
      </c>
      <c r="AB194" s="57">
        <f>IFERROR(__xludf.DUMMYFUNCTION("""COMPUTED_VALUE"""),2.2684833987499435)</f>
        <v>2.268483399</v>
      </c>
      <c r="AC194" s="31">
        <f>IFERROR(__xludf.DUMMYFUNCTION("""COMPUTED_VALUE"""),320.9257540395562)</f>
        <v>320.925754</v>
      </c>
      <c r="AD194" s="57">
        <f>IFERROR(__xludf.DUMMYFUNCTION("""COMPUTED_VALUE"""),0.7754622881430479)</f>
        <v>0.7754622881</v>
      </c>
      <c r="AE194" s="57">
        <f>IFERROR(__xludf.DUMMYFUNCTION("""COMPUTED_VALUE"""),0.4794920380091951)</f>
        <v>0.479492038</v>
      </c>
      <c r="AF194" s="57">
        <f>IFERROR(__xludf.DUMMYFUNCTION("""COMPUTED_VALUE"""),1.0930457463515064)</f>
        <v>1.093045746</v>
      </c>
      <c r="AG194" s="57">
        <f>IFERROR(__xludf.DUMMYFUNCTION("""COMPUTED_VALUE"""),2.2316950694095308)</f>
        <v>2.231695069</v>
      </c>
      <c r="AH194" s="57">
        <f>IFERROR(__xludf.DUMMYFUNCTION("""COMPUTED_VALUE"""),0.9937397128538277)</f>
        <v>0.9937397129</v>
      </c>
      <c r="AI194" s="57">
        <f>IFERROR(__xludf.DUMMYFUNCTION("""COMPUTED_VALUE"""),0.8597022406635564)</f>
        <v>0.8597022407</v>
      </c>
      <c r="AJ194" s="57">
        <f>IFERROR(__xludf.DUMMYFUNCTION("""COMPUTED_VALUE"""),1.0427701825372366)</f>
        <v>1.042770183</v>
      </c>
      <c r="AK194" s="57">
        <f>IFERROR(__xludf.DUMMYFUNCTION("""COMPUTED_VALUE"""),1.1817132731892879)</f>
        <v>1.181713273</v>
      </c>
      <c r="AL194" s="57">
        <f>IFERROR(__xludf.DUMMYFUNCTION("""COMPUTED_VALUE"""),0.690805248350782)</f>
        <v>0.6908052484</v>
      </c>
      <c r="AM194" s="57">
        <f>IFERROR(__xludf.DUMMYFUNCTION("""COMPUTED_VALUE"""),1.073612564231913)</f>
        <v>1.073612564</v>
      </c>
      <c r="AN194" s="57">
        <f>IFERROR(__xludf.DUMMYFUNCTION("""COMPUTED_VALUE"""),1.222908318885134)</f>
        <v>1.222908319</v>
      </c>
      <c r="AO194" s="57">
        <f>IFERROR(__xludf.DUMMYFUNCTION("""COMPUTED_VALUE"""),1.174598189862253)</f>
        <v>1.17459819</v>
      </c>
      <c r="AP194" s="35">
        <f>IFERROR(__xludf.DUMMYFUNCTION("""COMPUTED_VALUE"""),0.9026175896253584)</f>
        <v>0.9026175896</v>
      </c>
      <c r="AQ194" s="57">
        <f>IFERROR(__xludf.DUMMYFUNCTION("""COMPUTED_VALUE"""),0.9979746336854012)</f>
        <v>0.9979746337</v>
      </c>
      <c r="AR194" s="36" t="b">
        <f>IFERROR(__xludf.DUMMYFUNCTION("""COMPUTED_VALUE"""),TRUE)</f>
        <v>1</v>
      </c>
      <c r="AS194" s="57"/>
      <c r="AT194" s="37"/>
      <c r="AU194" s="30"/>
      <c r="AV194" s="30"/>
      <c r="AW194" s="30"/>
      <c r="AX194" s="30"/>
      <c r="AY194" s="30"/>
      <c r="AZ194" s="30"/>
    </row>
    <row r="195">
      <c r="A195" s="30" t="str">
        <f>IFERROR(__xludf.DUMMYFUNCTION("""COMPUTED_VALUE"""),"Contender")</f>
        <v>Contender</v>
      </c>
      <c r="B195" s="30" t="str">
        <f>IFERROR(__xludf.DUMMYFUNCTION("""COMPUTED_VALUE"""),"RSC006779")</f>
        <v>RSC006779</v>
      </c>
      <c r="C195" s="30" t="str">
        <f>IFERROR(__xludf.DUMMYFUNCTION("""COMPUTED_VALUE"""),"I am CANDYMAN")</f>
        <v>I am CANDYMAN</v>
      </c>
      <c r="D195" s="31"/>
      <c r="E195" s="31">
        <f>IFERROR(__xludf.DUMMYFUNCTION("""COMPUTED_VALUE"""),40.202343846016866)</f>
        <v>40.20234385</v>
      </c>
      <c r="F195" s="31">
        <f>IFERROR(__xludf.DUMMYFUNCTION("""COMPUTED_VALUE"""),-2.8771700666341786)</f>
        <v>-2.877170067</v>
      </c>
      <c r="G195" s="31">
        <f>IFERROR(__xludf.DUMMYFUNCTION("""COMPUTED_VALUE"""),35.763390688088386)</f>
        <v>35.76339069</v>
      </c>
      <c r="H195" s="31">
        <f>IFERROR(__xludf.DUMMYFUNCTION("""COMPUTED_VALUE"""),-3.514684973111304)</f>
        <v>-3.514684973</v>
      </c>
      <c r="I195" s="54">
        <f>IFERROR(__xludf.DUMMYFUNCTION("""COMPUTED_VALUE"""),4.0)</f>
        <v>4</v>
      </c>
      <c r="J195" s="55">
        <f>IFERROR(__xludf.DUMMYFUNCTION("""COMPUTED_VALUE"""),2.0)</f>
        <v>2</v>
      </c>
      <c r="K195" s="54">
        <f>IFERROR(__xludf.DUMMYFUNCTION("""COMPUTED_VALUE"""),2.0)</f>
        <v>2</v>
      </c>
      <c r="L195" s="56">
        <f>IFERROR(__xludf.DUMMYFUNCTION("""COMPUTED_VALUE"""),0.5)</f>
        <v>0.5</v>
      </c>
      <c r="M195" s="56">
        <f>IFERROR(__xludf.DUMMYFUNCTION("""COMPUTED_VALUE"""),0.4444444444444444)</f>
        <v>0.4444444444</v>
      </c>
      <c r="N195" s="31">
        <f>IFERROR(__xludf.DUMMYFUNCTION("""COMPUTED_VALUE"""),281.25)</f>
        <v>281.25</v>
      </c>
      <c r="O195" s="57">
        <f>IFERROR(__xludf.DUMMYFUNCTION("""COMPUTED_VALUE"""),1.0)</f>
        <v>1</v>
      </c>
      <c r="P195" s="57">
        <f>IFERROR(__xludf.DUMMYFUNCTION("""COMPUTED_VALUE"""),0.25)</f>
        <v>0.25</v>
      </c>
      <c r="Q195" s="57">
        <f>IFERROR(__xludf.DUMMYFUNCTION("""COMPUTED_VALUE"""),0.5)</f>
        <v>0.5</v>
      </c>
      <c r="R195" s="57">
        <f>IFERROR(__xludf.DUMMYFUNCTION("""COMPUTED_VALUE"""),2.25)</f>
        <v>2.25</v>
      </c>
      <c r="S195" s="31">
        <f>IFERROR(__xludf.DUMMYFUNCTION("""COMPUTED_VALUE"""),336.33333333333337)</f>
        <v>336.3333333</v>
      </c>
      <c r="T195" s="57">
        <f>IFERROR(__xludf.DUMMYFUNCTION("""COMPUTED_VALUE"""),0.8333333333333334)</f>
        <v>0.8333333333</v>
      </c>
      <c r="U195" s="57">
        <f>IFERROR(__xludf.DUMMYFUNCTION("""COMPUTED_VALUE"""),0.5833333333333334)</f>
        <v>0.5833333333</v>
      </c>
      <c r="V195" s="57">
        <f>IFERROR(__xludf.DUMMYFUNCTION("""COMPUTED_VALUE"""),1.0)</f>
        <v>1</v>
      </c>
      <c r="W195" s="57">
        <f>IFERROR(__xludf.DUMMYFUNCTION("""COMPUTED_VALUE"""),2.5)</f>
        <v>2.5</v>
      </c>
      <c r="X195" s="31">
        <f>IFERROR(__xludf.DUMMYFUNCTION("""COMPUTED_VALUE"""),307.50123456790124)</f>
        <v>307.5012346</v>
      </c>
      <c r="Y195" s="57">
        <f>IFERROR(__xludf.DUMMYFUNCTION("""COMPUTED_VALUE"""),0.7275132275132274)</f>
        <v>0.7275132275</v>
      </c>
      <c r="Z195" s="57">
        <f>IFERROR(__xludf.DUMMYFUNCTION("""COMPUTED_VALUE"""),0.45255731922398584)</f>
        <v>0.4525573192</v>
      </c>
      <c r="AA195" s="57">
        <f>IFERROR(__xludf.DUMMYFUNCTION("""COMPUTED_VALUE"""),0.9481481481481481)</f>
        <v>0.9481481481</v>
      </c>
      <c r="AB195" s="57">
        <f>IFERROR(__xludf.DUMMYFUNCTION("""COMPUTED_VALUE"""),2.2606701940035276)</f>
        <v>2.260670194</v>
      </c>
      <c r="AC195" s="31">
        <f>IFERROR(__xludf.DUMMYFUNCTION("""COMPUTED_VALUE"""),323.3660787771899)</f>
        <v>323.3660788</v>
      </c>
      <c r="AD195" s="57">
        <f>IFERROR(__xludf.DUMMYFUNCTION("""COMPUTED_VALUE"""),0.8556731334509111)</f>
        <v>0.8556731335</v>
      </c>
      <c r="AE195" s="57">
        <f>IFERROR(__xludf.DUMMYFUNCTION("""COMPUTED_VALUE"""),0.5726631393298061)</f>
        <v>0.5726631393</v>
      </c>
      <c r="AF195" s="57">
        <f>IFERROR(__xludf.DUMMYFUNCTION("""COMPUTED_VALUE"""),0.996355085243974)</f>
        <v>0.9963550852</v>
      </c>
      <c r="AG195" s="57">
        <f>IFERROR(__xludf.DUMMYFUNCTION("""COMPUTED_VALUE"""),2.1648442092886544)</f>
        <v>2.164844209</v>
      </c>
      <c r="AH195" s="57">
        <f>IFERROR(__xludf.DUMMYFUNCTION("""COMPUTED_VALUE"""),0.86975727653175)</f>
        <v>0.8697572765</v>
      </c>
      <c r="AI195" s="57">
        <f>IFERROR(__xludf.DUMMYFUNCTION("""COMPUTED_VALUE"""),1.1686705599450362)</f>
        <v>1.16867056</v>
      </c>
      <c r="AJ195" s="57">
        <f>IFERROR(__xludf.DUMMYFUNCTION("""COMPUTED_VALUE"""),0.43655682168155213)</f>
        <v>0.4365568217</v>
      </c>
      <c r="AK195" s="57">
        <f>IFERROR(__xludf.DUMMYFUNCTION("""COMPUTED_VALUE"""),0.5018291243804579)</f>
        <v>0.5018291244</v>
      </c>
      <c r="AL195" s="57">
        <f>IFERROR(__xludf.DUMMYFUNCTION("""COMPUTED_VALUE"""),1.0393357592874208)</f>
        <v>1.039335759</v>
      </c>
      <c r="AM195" s="57">
        <f>IFERROR(__xludf.DUMMYFUNCTION("""COMPUTED_VALUE"""),1.0937625463713887)</f>
        <v>1.093762546</v>
      </c>
      <c r="AN195" s="57">
        <f>IFERROR(__xludf.DUMMYFUNCTION("""COMPUTED_VALUE"""),1.1454545454545455)</f>
        <v>1.145454545</v>
      </c>
      <c r="AO195" s="57">
        <f>IFERROR(__xludf.DUMMYFUNCTION("""COMPUTED_VALUE"""),1.288971161340608)</f>
        <v>1.288971161</v>
      </c>
      <c r="AP195" s="35">
        <f>IFERROR(__xludf.DUMMYFUNCTION("""COMPUTED_VALUE"""),1.0546875)</f>
        <v>1.0546875</v>
      </c>
      <c r="AQ195" s="57">
        <f>IFERROR(__xludf.DUMMYFUNCTION("""COMPUTED_VALUE"""),1.1058667498829768)</f>
        <v>1.10586675</v>
      </c>
      <c r="AR195" s="36" t="b">
        <f>IFERROR(__xludf.DUMMYFUNCTION("""COMPUTED_VALUE"""),TRUE)</f>
        <v>1</v>
      </c>
      <c r="AS195" s="57"/>
      <c r="AT195" s="37"/>
      <c r="AU195" s="30"/>
      <c r="AV195" s="30"/>
      <c r="AW195" s="30"/>
      <c r="AX195" s="30"/>
      <c r="AY195" s="30"/>
      <c r="AZ195" s="30"/>
    </row>
    <row r="196">
      <c r="A196" s="30" t="str">
        <f>IFERROR(__xludf.DUMMYFUNCTION("""COMPUTED_VALUE"""),"Contender")</f>
        <v>Contender</v>
      </c>
      <c r="B196" s="30" t="str">
        <f>IFERROR(__xludf.DUMMYFUNCTION("""COMPUTED_VALUE"""),"RSC005870")</f>
        <v>RSC005870</v>
      </c>
      <c r="C196" s="30" t="str">
        <f>IFERROR(__xludf.DUMMYFUNCTION("""COMPUTED_VALUE"""),"Evil twin")</f>
        <v>Evil twin</v>
      </c>
      <c r="D196" s="31" t="str">
        <f>IFERROR(__xludf.DUMMYFUNCTION("""COMPUTED_VALUE"""),"Toothpaste")</f>
        <v>Toothpaste</v>
      </c>
      <c r="E196" s="31">
        <f>IFERROR(__xludf.DUMMYFUNCTION("""COMPUTED_VALUE"""),38.6213384228769)</f>
        <v>38.62133842</v>
      </c>
      <c r="F196" s="31">
        <f>IFERROR(__xludf.DUMMYFUNCTION("""COMPUTED_VALUE"""),-3.081645707349789)</f>
        <v>-3.081645707</v>
      </c>
      <c r="G196" s="31">
        <f>IFERROR(__xludf.DUMMYFUNCTION("""COMPUTED_VALUE"""),46.48554611041989)</f>
        <v>46.48554611</v>
      </c>
      <c r="H196" s="31">
        <f>IFERROR(__xludf.DUMMYFUNCTION("""COMPUTED_VALUE"""),-2.2517369742946136)</f>
        <v>-2.251736974</v>
      </c>
      <c r="I196" s="54">
        <f>IFERROR(__xludf.DUMMYFUNCTION("""COMPUTED_VALUE"""),28.0)</f>
        <v>28</v>
      </c>
      <c r="J196" s="55">
        <f>IFERROR(__xludf.DUMMYFUNCTION("""COMPUTED_VALUE"""),8.0)</f>
        <v>8</v>
      </c>
      <c r="K196" s="54">
        <f>IFERROR(__xludf.DUMMYFUNCTION("""COMPUTED_VALUE"""),20.0)</f>
        <v>20</v>
      </c>
      <c r="L196" s="56">
        <f>IFERROR(__xludf.DUMMYFUNCTION("""COMPUTED_VALUE"""),0.2857142857142857)</f>
        <v>0.2857142857</v>
      </c>
      <c r="M196" s="56">
        <f>IFERROR(__xludf.DUMMYFUNCTION("""COMPUTED_VALUE"""),0.29310344827586204)</f>
        <v>0.2931034483</v>
      </c>
      <c r="N196" s="31">
        <f>IFERROR(__xludf.DUMMYFUNCTION("""COMPUTED_VALUE"""),280.14285714285717)</f>
        <v>280.1428571</v>
      </c>
      <c r="O196" s="57">
        <f>IFERROR(__xludf.DUMMYFUNCTION("""COMPUTED_VALUE"""),0.6071428571428571)</f>
        <v>0.6071428571</v>
      </c>
      <c r="P196" s="57">
        <f>IFERROR(__xludf.DUMMYFUNCTION("""COMPUTED_VALUE"""),0.39285714285714285)</f>
        <v>0.3928571429</v>
      </c>
      <c r="Q196" s="57">
        <f>IFERROR(__xludf.DUMMYFUNCTION("""COMPUTED_VALUE"""),0.9642857142857143)</f>
        <v>0.9642857143</v>
      </c>
      <c r="R196" s="57">
        <f>IFERROR(__xludf.DUMMYFUNCTION("""COMPUTED_VALUE"""),2.0714285714285716)</f>
        <v>2.071428571</v>
      </c>
      <c r="S196" s="31">
        <f>IFERROR(__xludf.DUMMYFUNCTION("""COMPUTED_VALUE"""),328.23809523809524)</f>
        <v>328.2380952</v>
      </c>
      <c r="T196" s="57">
        <f>IFERROR(__xludf.DUMMYFUNCTION("""COMPUTED_VALUE"""),0.8809523809523807)</f>
        <v>0.880952381</v>
      </c>
      <c r="U196" s="57">
        <f>IFERROR(__xludf.DUMMYFUNCTION("""COMPUTED_VALUE"""),0.511904761904762)</f>
        <v>0.5119047619</v>
      </c>
      <c r="V196" s="57">
        <f>IFERROR(__xludf.DUMMYFUNCTION("""COMPUTED_VALUE"""),1.0357142857142858)</f>
        <v>1.035714286</v>
      </c>
      <c r="W196" s="57">
        <f>IFERROR(__xludf.DUMMYFUNCTION("""COMPUTED_VALUE"""),2.0952380952380953)</f>
        <v>2.095238095</v>
      </c>
      <c r="X196" s="31">
        <f>IFERROR(__xludf.DUMMYFUNCTION("""COMPUTED_VALUE"""),326.45658755020895)</f>
        <v>326.4565876</v>
      </c>
      <c r="Y196" s="57">
        <f>IFERROR(__xludf.DUMMYFUNCTION("""COMPUTED_VALUE"""),0.7843327323643455)</f>
        <v>0.7843327324</v>
      </c>
      <c r="Z196" s="57">
        <f>IFERROR(__xludf.DUMMYFUNCTION("""COMPUTED_VALUE"""),0.5207878925839944)</f>
        <v>0.5207878926</v>
      </c>
      <c r="AA196" s="57">
        <f>IFERROR(__xludf.DUMMYFUNCTION("""COMPUTED_VALUE"""),1.0889639681626986)</f>
        <v>1.088963968</v>
      </c>
      <c r="AB196" s="57">
        <f>IFERROR(__xludf.DUMMYFUNCTION("""COMPUTED_VALUE"""),2.2362774603436093)</f>
        <v>2.23627746</v>
      </c>
      <c r="AC196" s="31">
        <f>IFERROR(__xludf.DUMMYFUNCTION("""COMPUTED_VALUE"""),321.4366807985883)</f>
        <v>321.4366808</v>
      </c>
      <c r="AD196" s="57">
        <f>IFERROR(__xludf.DUMMYFUNCTION("""COMPUTED_VALUE"""),0.7848664249487156)</f>
        <v>0.7848664249</v>
      </c>
      <c r="AE196" s="57">
        <f>IFERROR(__xludf.DUMMYFUNCTION("""COMPUTED_VALUE"""),0.5245860923841418)</f>
        <v>0.5245860924</v>
      </c>
      <c r="AF196" s="57">
        <f>IFERROR(__xludf.DUMMYFUNCTION("""COMPUTED_VALUE"""),1.0518680732429917)</f>
        <v>1.051868073</v>
      </c>
      <c r="AG196" s="57">
        <f>IFERROR(__xludf.DUMMYFUNCTION("""COMPUTED_VALUE"""),2.236875216219251)</f>
        <v>2.236875216</v>
      </c>
      <c r="AH196" s="57">
        <f>IFERROR(__xludf.DUMMYFUNCTION("""COMPUTED_VALUE"""),0.8715335675034369)</f>
        <v>0.8715335675</v>
      </c>
      <c r="AI196" s="57">
        <f>IFERROR(__xludf.DUMMYFUNCTION("""COMPUTED_VALUE"""),0.7735620200373953)</f>
        <v>0.77356202</v>
      </c>
      <c r="AJ196" s="57">
        <f>IFERROR(__xludf.DUMMYFUNCTION("""COMPUTED_VALUE"""),0.7488897409988197)</f>
        <v>0.748889741</v>
      </c>
      <c r="AK196" s="57">
        <f>IFERROR(__xludf.DUMMYFUNCTION("""COMPUTED_VALUE"""),0.9167363653435605)</f>
        <v>0.9167363653</v>
      </c>
      <c r="AL196" s="57">
        <f>IFERROR(__xludf.DUMMYFUNCTION("""COMPUTED_VALUE"""),0.9260367124678882)</f>
        <v>0.9260367125</v>
      </c>
      <c r="AM196" s="57">
        <f>IFERROR(__xludf.DUMMYFUNCTION("""COMPUTED_VALUE"""),1.0054571044231488)</f>
        <v>1.005457104</v>
      </c>
      <c r="AN196" s="57">
        <f>IFERROR(__xludf.DUMMYFUNCTION("""COMPUTED_VALUE"""),1.123187066663377)</f>
        <v>1.123187067</v>
      </c>
      <c r="AO196" s="57">
        <f>IFERROR(__xludf.DUMMYFUNCTION("""COMPUTED_VALUE"""),0.9829429009281361)</f>
        <v>0.9829429009</v>
      </c>
      <c r="AP196" s="35">
        <f>IFERROR(__xludf.DUMMYFUNCTION("""COMPUTED_VALUE"""),0.9511006020352945)</f>
        <v>0.951100602</v>
      </c>
      <c r="AQ196" s="57">
        <f>IFERROR(__xludf.DUMMYFUNCTION("""COMPUTED_VALUE"""),0.9369311869360598)</f>
        <v>0.9369311869</v>
      </c>
      <c r="AR196" s="36" t="b">
        <f>IFERROR(__xludf.DUMMYFUNCTION("""COMPUTED_VALUE"""),TRUE)</f>
        <v>1</v>
      </c>
      <c r="AS196" s="57"/>
      <c r="AT196" s="37"/>
      <c r="AU196" s="30"/>
      <c r="AV196" s="30"/>
      <c r="AW196" s="30"/>
      <c r="AX196" s="30"/>
      <c r="AY196" s="30"/>
      <c r="AZ196" s="30"/>
    </row>
    <row r="197">
      <c r="A197" s="30" t="str">
        <f>IFERROR(__xludf.DUMMYFUNCTION("""COMPUTED_VALUE"""),"Contender")</f>
        <v>Contender</v>
      </c>
      <c r="B197" s="30" t="str">
        <f>IFERROR(__xludf.DUMMYFUNCTION("""COMPUTED_VALUE"""),"RSC007635")</f>
        <v>RSC007635</v>
      </c>
      <c r="C197" s="30" t="str">
        <f>IFERROR(__xludf.DUMMYFUNCTION("""COMPUTED_VALUE"""),"MungsApprentice")</f>
        <v>MungsApprentice</v>
      </c>
      <c r="D197" s="31" t="str">
        <f>IFERROR(__xludf.DUMMYFUNCTION("""COMPUTED_VALUE"""),"Ice")</f>
        <v>Ice</v>
      </c>
      <c r="E197" s="31">
        <f>IFERROR(__xludf.DUMMYFUNCTION("""COMPUTED_VALUE"""),35.10881837579034)</f>
        <v>35.10881838</v>
      </c>
      <c r="F197" s="31">
        <f>IFERROR(__xludf.DUMMYFUNCTION("""COMPUTED_VALUE"""),-3.6270592767139234)</f>
        <v>-3.627059277</v>
      </c>
      <c r="G197" s="31">
        <f>IFERROR(__xludf.DUMMYFUNCTION("""COMPUTED_VALUE"""),32.004635456626175)</f>
        <v>32.00463546</v>
      </c>
      <c r="H197" s="31">
        <f>IFERROR(__xludf.DUMMYFUNCTION("""COMPUTED_VALUE"""),-4.240529933834353)</f>
        <v>-4.240529934</v>
      </c>
      <c r="I197" s="54">
        <f>IFERROR(__xludf.DUMMYFUNCTION("""COMPUTED_VALUE"""),7.0)</f>
        <v>7</v>
      </c>
      <c r="J197" s="55">
        <f>IFERROR(__xludf.DUMMYFUNCTION("""COMPUTED_VALUE"""),4.0)</f>
        <v>4</v>
      </c>
      <c r="K197" s="54">
        <f>IFERROR(__xludf.DUMMYFUNCTION("""COMPUTED_VALUE"""),3.0)</f>
        <v>3</v>
      </c>
      <c r="L197" s="56">
        <f>IFERROR(__xludf.DUMMYFUNCTION("""COMPUTED_VALUE"""),0.5714285714285714)</f>
        <v>0.5714285714</v>
      </c>
      <c r="M197" s="56">
        <f>IFERROR(__xludf.DUMMYFUNCTION("""COMPUTED_VALUE"""),0.3)</f>
        <v>0.3</v>
      </c>
      <c r="N197" s="31">
        <f>IFERROR(__xludf.DUMMYFUNCTION("""COMPUTED_VALUE"""),266.14285714285717)</f>
        <v>266.1428571</v>
      </c>
      <c r="O197" s="57">
        <f>IFERROR(__xludf.DUMMYFUNCTION("""COMPUTED_VALUE"""),0.42857142857142855)</f>
        <v>0.4285714286</v>
      </c>
      <c r="P197" s="57">
        <f>IFERROR(__xludf.DUMMYFUNCTION("""COMPUTED_VALUE"""),0.5714285714285714)</f>
        <v>0.5714285714</v>
      </c>
      <c r="Q197" s="57">
        <f>IFERROR(__xludf.DUMMYFUNCTION("""COMPUTED_VALUE"""),1.1428571428571428)</f>
        <v>1.142857143</v>
      </c>
      <c r="R197" s="57">
        <f>IFERROR(__xludf.DUMMYFUNCTION("""COMPUTED_VALUE"""),1.4285714285714286)</f>
        <v>1.428571429</v>
      </c>
      <c r="S197" s="31">
        <f>IFERROR(__xludf.DUMMYFUNCTION("""COMPUTED_VALUE"""),341.57142857142856)</f>
        <v>341.5714286</v>
      </c>
      <c r="T197" s="57">
        <f>IFERROR(__xludf.DUMMYFUNCTION("""COMPUTED_VALUE"""),0.9523809523809524)</f>
        <v>0.9523809524</v>
      </c>
      <c r="U197" s="57">
        <f>IFERROR(__xludf.DUMMYFUNCTION("""COMPUTED_VALUE"""),0.857142857142857)</f>
        <v>0.8571428571</v>
      </c>
      <c r="V197" s="57">
        <f>IFERROR(__xludf.DUMMYFUNCTION("""COMPUTED_VALUE"""),0.9047619047619049)</f>
        <v>0.9047619048</v>
      </c>
      <c r="W197" s="57">
        <f>IFERROR(__xludf.DUMMYFUNCTION("""COMPUTED_VALUE"""),2.380952380952381)</f>
        <v>2.380952381</v>
      </c>
      <c r="X197" s="31">
        <f>IFERROR(__xludf.DUMMYFUNCTION("""COMPUTED_VALUE"""),345.28333670285963)</f>
        <v>345.2833367</v>
      </c>
      <c r="Y197" s="57">
        <f>IFERROR(__xludf.DUMMYFUNCTION("""COMPUTED_VALUE"""),0.9290670901612047)</f>
        <v>0.9290670902</v>
      </c>
      <c r="Z197" s="57">
        <f>IFERROR(__xludf.DUMMYFUNCTION("""COMPUTED_VALUE"""),0.6253305783510607)</f>
        <v>0.6253305784</v>
      </c>
      <c r="AA197" s="57">
        <f>IFERROR(__xludf.DUMMYFUNCTION("""COMPUTED_VALUE"""),1.0214980484231198)</f>
        <v>1.021498048</v>
      </c>
      <c r="AB197" s="57">
        <f>IFERROR(__xludf.DUMMYFUNCTION("""COMPUTED_VALUE"""),2.493106341319979)</f>
        <v>2.493106341</v>
      </c>
      <c r="AC197" s="31">
        <f>IFERROR(__xludf.DUMMYFUNCTION("""COMPUTED_VALUE"""),313.67329041002876)</f>
        <v>313.6732904</v>
      </c>
      <c r="AD197" s="57">
        <f>IFERROR(__xludf.DUMMYFUNCTION("""COMPUTED_VALUE"""),0.6949628062652)</f>
        <v>0.6949628063</v>
      </c>
      <c r="AE197" s="57">
        <f>IFERROR(__xludf.DUMMYFUNCTION("""COMPUTED_VALUE"""),0.46704872570398454)</f>
        <v>0.4670487257</v>
      </c>
      <c r="AF197" s="57">
        <f>IFERROR(__xludf.DUMMYFUNCTION("""COMPUTED_VALUE"""),1.0829807446288304)</f>
        <v>1.082980745</v>
      </c>
      <c r="AG197" s="57">
        <f>IFERROR(__xludf.DUMMYFUNCTION("""COMPUTED_VALUE"""),2.1217277738537788)</f>
        <v>2.121727774</v>
      </c>
      <c r="AH197" s="57">
        <f>IFERROR(__xludf.DUMMYFUNCTION("""COMPUTED_VALUE"""),0.8484715316211956)</f>
        <v>0.8484715316</v>
      </c>
      <c r="AI197" s="57">
        <f>IFERROR(__xludf.DUMMYFUNCTION("""COMPUTED_VALUE"""),0.6166825399975209)</f>
        <v>0.61668254</v>
      </c>
      <c r="AJ197" s="57">
        <f>IFERROR(__xludf.DUMMYFUNCTION("""COMPUTED_VALUE"""),1.223488128711313)</f>
        <v>1.223488129</v>
      </c>
      <c r="AK197" s="57">
        <f>IFERROR(__xludf.DUMMYFUNCTION("""COMPUTED_VALUE"""),1.0552885160011167)</f>
        <v>1.055288516</v>
      </c>
      <c r="AL197" s="57">
        <f>IFERROR(__xludf.DUMMYFUNCTION("""COMPUTED_VALUE"""),0.6733057115883709)</f>
        <v>0.6733057116</v>
      </c>
      <c r="AM197" s="57">
        <f>IFERROR(__xludf.DUMMYFUNCTION("""COMPUTED_VALUE"""),0.9892496748702778)</f>
        <v>0.9892496749</v>
      </c>
      <c r="AN197" s="57">
        <f>IFERROR(__xludf.DUMMYFUNCTION("""COMPUTED_VALUE"""),1.0250938414099917)</f>
        <v>1.025093841</v>
      </c>
      <c r="AO197" s="57">
        <f>IFERROR(__xludf.DUMMYFUNCTION("""COMPUTED_VALUE"""),1.3707035715462117)</f>
        <v>1.370703572</v>
      </c>
      <c r="AP197" s="35">
        <f>IFERROR(__xludf.DUMMYFUNCTION("""COMPUTED_VALUE"""),0.8857206395632182)</f>
        <v>0.8857206396</v>
      </c>
      <c r="AQ197" s="57">
        <f>IFERROR(__xludf.DUMMYFUNCTION("""COMPUTED_VALUE"""),0.9550143696204239)</f>
        <v>0.9550143696</v>
      </c>
      <c r="AR197" s="36" t="b">
        <f>IFERROR(__xludf.DUMMYFUNCTION("""COMPUTED_VALUE"""),TRUE)</f>
        <v>1</v>
      </c>
      <c r="AS197" s="57"/>
      <c r="AT197" s="37"/>
      <c r="AU197" s="30"/>
      <c r="AV197" s="30"/>
      <c r="AW197" s="30"/>
      <c r="AX197" s="30"/>
      <c r="AY197" s="30"/>
      <c r="AZ197" s="30"/>
    </row>
    <row r="198">
      <c r="A198" s="30" t="str">
        <f>IFERROR(__xludf.DUMMYFUNCTION("""COMPUTED_VALUE"""),"Contender")</f>
        <v>Contender</v>
      </c>
      <c r="B198" s="30" t="str">
        <f>IFERROR(__xludf.DUMMYFUNCTION("""COMPUTED_VALUE"""),"RSC000086")</f>
        <v>RSC000086</v>
      </c>
      <c r="C198" s="30" t="str">
        <f>IFERROR(__xludf.DUMMYFUNCTION("""COMPUTED_VALUE"""),"Stale Popcorn")</f>
        <v>Stale Popcorn</v>
      </c>
      <c r="D198" s="31" t="str">
        <f>IFERROR(__xludf.DUMMYFUNCTION("""COMPUTED_VALUE"""),"Toothpaste")</f>
        <v>Toothpaste</v>
      </c>
      <c r="E198" s="31">
        <f>IFERROR(__xludf.DUMMYFUNCTION("""COMPUTED_VALUE"""),32.60273141599949)</f>
        <v>32.60273142</v>
      </c>
      <c r="F198" s="31">
        <f>IFERROR(__xludf.DUMMYFUNCTION("""COMPUTED_VALUE"""),-4.1110201146548135)</f>
        <v>-4.111020115</v>
      </c>
      <c r="G198" s="31">
        <f>IFERROR(__xludf.DUMMYFUNCTION("""COMPUTED_VALUE"""),46.0916975438361)</f>
        <v>46.09169754</v>
      </c>
      <c r="H198" s="31">
        <f>IFERROR(__xludf.DUMMYFUNCTION("""COMPUTED_VALUE"""),-2.283701348779673)</f>
        <v>-2.283701349</v>
      </c>
      <c r="I198" s="54">
        <f>IFERROR(__xludf.DUMMYFUNCTION("""COMPUTED_VALUE"""),32.0)</f>
        <v>32</v>
      </c>
      <c r="J198" s="55">
        <f>IFERROR(__xludf.DUMMYFUNCTION("""COMPUTED_VALUE"""),9.0)</f>
        <v>9</v>
      </c>
      <c r="K198" s="54">
        <f>IFERROR(__xludf.DUMMYFUNCTION("""COMPUTED_VALUE"""),23.0)</f>
        <v>23</v>
      </c>
      <c r="L198" s="56">
        <f>IFERROR(__xludf.DUMMYFUNCTION("""COMPUTED_VALUE"""),0.28125)</f>
        <v>0.28125</v>
      </c>
      <c r="M198" s="56">
        <f>IFERROR(__xludf.DUMMYFUNCTION("""COMPUTED_VALUE"""),0.2727272727272727)</f>
        <v>0.2727272727</v>
      </c>
      <c r="N198" s="31">
        <f>IFERROR(__xludf.DUMMYFUNCTION("""COMPUTED_VALUE"""),291.875)</f>
        <v>291.875</v>
      </c>
      <c r="O198" s="57">
        <f>IFERROR(__xludf.DUMMYFUNCTION("""COMPUTED_VALUE"""),0.5625)</f>
        <v>0.5625</v>
      </c>
      <c r="P198" s="57">
        <f>IFERROR(__xludf.DUMMYFUNCTION("""COMPUTED_VALUE"""),0.25)</f>
        <v>0.25</v>
      </c>
      <c r="Q198" s="57">
        <f>IFERROR(__xludf.DUMMYFUNCTION("""COMPUTED_VALUE"""),1.125)</f>
        <v>1.125</v>
      </c>
      <c r="R198" s="57">
        <f>IFERROR(__xludf.DUMMYFUNCTION("""COMPUTED_VALUE"""),2.0625)</f>
        <v>2.0625</v>
      </c>
      <c r="S198" s="31">
        <f>IFERROR(__xludf.DUMMYFUNCTION("""COMPUTED_VALUE"""),323.01041666666674)</f>
        <v>323.0104167</v>
      </c>
      <c r="T198" s="57">
        <f>IFERROR(__xludf.DUMMYFUNCTION("""COMPUTED_VALUE"""),0.8749999999999999)</f>
        <v>0.875</v>
      </c>
      <c r="U198" s="57">
        <f>IFERROR(__xludf.DUMMYFUNCTION("""COMPUTED_VALUE"""),0.4791666666666667)</f>
        <v>0.4791666667</v>
      </c>
      <c r="V198" s="57">
        <f>IFERROR(__xludf.DUMMYFUNCTION("""COMPUTED_VALUE"""),0.8958333333333333)</f>
        <v>0.8958333333</v>
      </c>
      <c r="W198" s="57">
        <f>IFERROR(__xludf.DUMMYFUNCTION("""COMPUTED_VALUE"""),2.3125)</f>
        <v>2.3125</v>
      </c>
      <c r="X198" s="31">
        <f>IFERROR(__xludf.DUMMYFUNCTION("""COMPUTED_VALUE"""),326.0006337764254)</f>
        <v>326.0006338</v>
      </c>
      <c r="Y198" s="57">
        <f>IFERROR(__xludf.DUMMYFUNCTION("""COMPUTED_VALUE"""),0.7951800637628208)</f>
        <v>0.7951800638</v>
      </c>
      <c r="Z198" s="57">
        <f>IFERROR(__xludf.DUMMYFUNCTION("""COMPUTED_VALUE"""),0.5176533356942863)</f>
        <v>0.5176533357</v>
      </c>
      <c r="AA198" s="57">
        <f>IFERROR(__xludf.DUMMYFUNCTION("""COMPUTED_VALUE"""),1.0823930474673273)</f>
        <v>1.082393047</v>
      </c>
      <c r="AB198" s="57">
        <f>IFERROR(__xludf.DUMMYFUNCTION("""COMPUTED_VALUE"""),2.198699546518313)</f>
        <v>2.198699547</v>
      </c>
      <c r="AC198" s="31">
        <f>IFERROR(__xludf.DUMMYFUNCTION("""COMPUTED_VALUE"""),320.31520398906014)</f>
        <v>320.315204</v>
      </c>
      <c r="AD198" s="57">
        <f>IFERROR(__xludf.DUMMYFUNCTION("""COMPUTED_VALUE"""),0.7760745592296829)</f>
        <v>0.7760745592</v>
      </c>
      <c r="AE198" s="57">
        <f>IFERROR(__xludf.DUMMYFUNCTION("""COMPUTED_VALUE"""),0.5187386736124436)</f>
        <v>0.5187386736</v>
      </c>
      <c r="AF198" s="57">
        <f>IFERROR(__xludf.DUMMYFUNCTION("""COMPUTED_VALUE"""),1.034942182912875)</f>
        <v>1.034942183</v>
      </c>
      <c r="AG198" s="57">
        <f>IFERROR(__xludf.DUMMYFUNCTION("""COMPUTED_VALUE"""),2.242822573810665)</f>
        <v>2.242822574</v>
      </c>
      <c r="AH198" s="57">
        <f>IFERROR(__xludf.DUMMYFUNCTION("""COMPUTED_VALUE"""),0.9112118199983056)</f>
        <v>0.91121182</v>
      </c>
      <c r="AI198" s="57">
        <f>IFERROR(__xludf.DUMMYFUNCTION("""COMPUTED_VALUE"""),0.7248014940192434)</f>
        <v>0.724801494</v>
      </c>
      <c r="AJ198" s="57">
        <f>IFERROR(__xludf.DUMMYFUNCTION("""COMPUTED_VALUE"""),0.4819382334828157)</f>
        <v>0.4819382335</v>
      </c>
      <c r="AK198" s="57">
        <f>IFERROR(__xludf.DUMMYFUNCTION("""COMPUTED_VALUE"""),1.0870172446094086)</f>
        <v>1.087017245</v>
      </c>
      <c r="AL198" s="57">
        <f>IFERROR(__xludf.DUMMYFUNCTION("""COMPUTED_VALUE"""),0.9196001610130541)</f>
        <v>0.919600161</v>
      </c>
      <c r="AM198" s="57">
        <f>IFERROR(__xludf.DUMMYFUNCTION("""COMPUTED_VALUE"""),0.990827572710152)</f>
        <v>0.9908275727</v>
      </c>
      <c r="AN198" s="57">
        <f>IFERROR(__xludf.DUMMYFUNCTION("""COMPUTED_VALUE"""),1.1003796999882873)</f>
        <v>1.1003797</v>
      </c>
      <c r="AO198" s="57">
        <f>IFERROR(__xludf.DUMMYFUNCTION("""COMPUTED_VALUE"""),0.9256516545459896)</f>
        <v>0.9256516545</v>
      </c>
      <c r="AP198" s="35">
        <f>IFERROR(__xludf.DUMMYFUNCTION("""COMPUTED_VALUE"""),0.8276414334233558)</f>
        <v>0.8276414334</v>
      </c>
      <c r="AQ198" s="57">
        <f>IFERROR(__xludf.DUMMYFUNCTION("""COMPUTED_VALUE"""),1.051758073840463)</f>
        <v>1.051758074</v>
      </c>
      <c r="AR198" s="36" t="b">
        <f>IFERROR(__xludf.DUMMYFUNCTION("""COMPUTED_VALUE"""),TRUE)</f>
        <v>1</v>
      </c>
      <c r="AS198" s="57"/>
      <c r="AT198" s="37"/>
      <c r="AU198" s="30"/>
      <c r="AV198" s="30"/>
      <c r="AW198" s="30"/>
      <c r="AX198" s="30"/>
      <c r="AY198" s="30"/>
      <c r="AZ198" s="30"/>
    </row>
    <row r="199">
      <c r="A199" s="30" t="str">
        <f>IFERROR(__xludf.DUMMYFUNCTION("""COMPUTED_VALUE"""),"Contender")</f>
        <v>Contender</v>
      </c>
      <c r="B199" s="30" t="str">
        <f>IFERROR(__xludf.DUMMYFUNCTION("""COMPUTED_VALUE"""),"RSC005937")</f>
        <v>RSC005937</v>
      </c>
      <c r="C199" s="30" t="str">
        <f>IFERROR(__xludf.DUMMYFUNCTION("""COMPUTED_VALUE"""),"SlashFabo420")</f>
        <v>SlashFabo420</v>
      </c>
      <c r="D199" s="31" t="str">
        <f>IFERROR(__xludf.DUMMYFUNCTION("""COMPUTED_VALUE"""),"Celestial Cider")</f>
        <v>Celestial Cider</v>
      </c>
      <c r="E199" s="31">
        <f>IFERROR(__xludf.DUMMYFUNCTION("""COMPUTED_VALUE"""),32.57849457062981)</f>
        <v>32.57849457</v>
      </c>
      <c r="F199" s="31">
        <f>IFERROR(__xludf.DUMMYFUNCTION("""COMPUTED_VALUE"""),-4.116155634419816)</f>
        <v>-4.116155634</v>
      </c>
      <c r="G199" s="31">
        <f>IFERROR(__xludf.DUMMYFUNCTION("""COMPUTED_VALUE"""),29.49171459437834)</f>
        <v>29.49171459</v>
      </c>
      <c r="H199" s="31">
        <f>IFERROR(__xludf.DUMMYFUNCTION("""COMPUTED_VALUE"""),-4.854048452949081)</f>
        <v>-4.854048453</v>
      </c>
      <c r="I199" s="54">
        <f>IFERROR(__xludf.DUMMYFUNCTION("""COMPUTED_VALUE"""),30.0)</f>
        <v>30</v>
      </c>
      <c r="J199" s="55">
        <f>IFERROR(__xludf.DUMMYFUNCTION("""COMPUTED_VALUE"""),14.0)</f>
        <v>14</v>
      </c>
      <c r="K199" s="54">
        <f>IFERROR(__xludf.DUMMYFUNCTION("""COMPUTED_VALUE"""),16.0)</f>
        <v>16</v>
      </c>
      <c r="L199" s="56">
        <f>IFERROR(__xludf.DUMMYFUNCTION("""COMPUTED_VALUE"""),0.4666666666666667)</f>
        <v>0.4666666667</v>
      </c>
      <c r="M199" s="56">
        <f>IFERROR(__xludf.DUMMYFUNCTION("""COMPUTED_VALUE"""),0.26)</f>
        <v>0.26</v>
      </c>
      <c r="N199" s="31">
        <f>IFERROR(__xludf.DUMMYFUNCTION("""COMPUTED_VALUE"""),257.0)</f>
        <v>257</v>
      </c>
      <c r="O199" s="57">
        <f>IFERROR(__xludf.DUMMYFUNCTION("""COMPUTED_VALUE"""),0.43333333333333335)</f>
        <v>0.4333333333</v>
      </c>
      <c r="P199" s="57">
        <f>IFERROR(__xludf.DUMMYFUNCTION("""COMPUTED_VALUE"""),0.5333333333333333)</f>
        <v>0.5333333333</v>
      </c>
      <c r="Q199" s="57">
        <f>IFERROR(__xludf.DUMMYFUNCTION("""COMPUTED_VALUE"""),0.8)</f>
        <v>0.8</v>
      </c>
      <c r="R199" s="57">
        <f>IFERROR(__xludf.DUMMYFUNCTION("""COMPUTED_VALUE"""),1.6666666666666667)</f>
        <v>1.666666667</v>
      </c>
      <c r="S199" s="31">
        <f>IFERROR(__xludf.DUMMYFUNCTION("""COMPUTED_VALUE"""),315.9222222222222)</f>
        <v>315.9222222</v>
      </c>
      <c r="T199" s="57">
        <f>IFERROR(__xludf.DUMMYFUNCTION("""COMPUTED_VALUE"""),0.8333333333333333)</f>
        <v>0.8333333333</v>
      </c>
      <c r="U199" s="57">
        <f>IFERROR(__xludf.DUMMYFUNCTION("""COMPUTED_VALUE"""),0.5444444444444445)</f>
        <v>0.5444444444</v>
      </c>
      <c r="V199" s="57">
        <f>IFERROR(__xludf.DUMMYFUNCTION("""COMPUTED_VALUE"""),0.9555555555555555)</f>
        <v>0.9555555556</v>
      </c>
      <c r="W199" s="57">
        <f>IFERROR(__xludf.DUMMYFUNCTION("""COMPUTED_VALUE"""),2.2000000000000006)</f>
        <v>2.2</v>
      </c>
      <c r="X199" s="31">
        <f>IFERROR(__xludf.DUMMYFUNCTION("""COMPUTED_VALUE"""),313.86314695941286)</f>
        <v>313.863147</v>
      </c>
      <c r="Y199" s="57">
        <f>IFERROR(__xludf.DUMMYFUNCTION("""COMPUTED_VALUE"""),0.7672317556568118)</f>
        <v>0.7672317557</v>
      </c>
      <c r="Z199" s="57">
        <f>IFERROR(__xludf.DUMMYFUNCTION("""COMPUTED_VALUE"""),0.4617553516216376)</f>
        <v>0.4617553516</v>
      </c>
      <c r="AA199" s="57">
        <f>IFERROR(__xludf.DUMMYFUNCTION("""COMPUTED_VALUE"""),1.031655972275434)</f>
        <v>1.031655972</v>
      </c>
      <c r="AB199" s="57">
        <f>IFERROR(__xludf.DUMMYFUNCTION("""COMPUTED_VALUE"""),2.181127866672866)</f>
        <v>2.181127867</v>
      </c>
      <c r="AC199" s="31">
        <f>IFERROR(__xludf.DUMMYFUNCTION("""COMPUTED_VALUE"""),326.2865863802927)</f>
        <v>326.2865864</v>
      </c>
      <c r="AD199" s="57">
        <f>IFERROR(__xludf.DUMMYFUNCTION("""COMPUTED_VALUE"""),0.82986158561147)</f>
        <v>0.8298615856</v>
      </c>
      <c r="AE199" s="57">
        <f>IFERROR(__xludf.DUMMYFUNCTION("""COMPUTED_VALUE"""),0.5289322674163961)</f>
        <v>0.5289322674</v>
      </c>
      <c r="AF199" s="57">
        <f>IFERROR(__xludf.DUMMYFUNCTION("""COMPUTED_VALUE"""),1.0396372875154767)</f>
        <v>1.039637288</v>
      </c>
      <c r="AG199" s="57">
        <f>IFERROR(__xludf.DUMMYFUNCTION("""COMPUTED_VALUE"""),2.2629235724366685)</f>
        <v>2.262923572</v>
      </c>
      <c r="AH199" s="57">
        <f>IFERROR(__xludf.DUMMYFUNCTION("""COMPUTED_VALUE"""),0.7876511347005298)</f>
        <v>0.7876511347</v>
      </c>
      <c r="AI199" s="57">
        <f>IFERROR(__xludf.DUMMYFUNCTION("""COMPUTED_VALUE"""),0.5221754336466107)</f>
        <v>0.5221754336</v>
      </c>
      <c r="AJ199" s="57">
        <f>IFERROR(__xludf.DUMMYFUNCTION("""COMPUTED_VALUE"""),1.0083206606744461)</f>
        <v>1.008320661</v>
      </c>
      <c r="AK199" s="57">
        <f>IFERROR(__xludf.DUMMYFUNCTION("""COMPUTED_VALUE"""),0.769499141293632)</f>
        <v>0.7694991413</v>
      </c>
      <c r="AL199" s="57">
        <f>IFERROR(__xludf.DUMMYFUNCTION("""COMPUTED_VALUE"""),0.7365103651609564)</f>
        <v>0.7365103652</v>
      </c>
      <c r="AM199" s="57">
        <f>IFERROR(__xludf.DUMMYFUNCTION("""COMPUTED_VALUE"""),1.0065604238113233)</f>
        <v>1.006560424</v>
      </c>
      <c r="AN199" s="57">
        <f>IFERROR(__xludf.DUMMYFUNCTION("""COMPUTED_VALUE"""),1.0861559459565555)</f>
        <v>1.086155946</v>
      </c>
      <c r="AO199" s="57">
        <f>IFERROR(__xludf.DUMMYFUNCTION("""COMPUTED_VALUE"""),1.1790755484098046)</f>
        <v>1.179075548</v>
      </c>
      <c r="AP199" s="35">
        <f>IFERROR(__xludf.DUMMYFUNCTION("""COMPUTED_VALUE"""),0.9262346957076879)</f>
        <v>0.9262346957</v>
      </c>
      <c r="AQ199" s="57">
        <f>IFERROR(__xludf.DUMMYFUNCTION("""COMPUTED_VALUE"""),1.008652465366885)</f>
        <v>1.008652465</v>
      </c>
      <c r="AR199" s="36" t="b">
        <f>IFERROR(__xludf.DUMMYFUNCTION("""COMPUTED_VALUE"""),TRUE)</f>
        <v>1</v>
      </c>
      <c r="AS199" s="57"/>
      <c r="AT199" s="37"/>
      <c r="AU199" s="30"/>
      <c r="AV199" s="30"/>
      <c r="AW199" s="30"/>
      <c r="AX199" s="30"/>
      <c r="AY199" s="30"/>
      <c r="AZ199" s="30"/>
    </row>
    <row r="200">
      <c r="A200" s="30" t="str">
        <f>IFERROR(__xludf.DUMMYFUNCTION("""COMPUTED_VALUE"""),"Contender")</f>
        <v>Contender</v>
      </c>
      <c r="B200" s="30" t="str">
        <f>IFERROR(__xludf.DUMMYFUNCTION("""COMPUTED_VALUE"""),"RSC007538")</f>
        <v>RSC007538</v>
      </c>
      <c r="C200" s="30" t="str">
        <f>IFERROR(__xludf.DUMMYFUNCTION("""COMPUTED_VALUE"""),"FattyMcChef04")</f>
        <v>FattyMcChef04</v>
      </c>
      <c r="D200" s="31" t="str">
        <f>IFERROR(__xludf.DUMMYFUNCTION("""COMPUTED_VALUE"""),"Cheese Pizza")</f>
        <v>Cheese Pizza</v>
      </c>
      <c r="E200" s="31">
        <f>IFERROR(__xludf.DUMMYFUNCTION("""COMPUTED_VALUE"""),31.84233646967195)</f>
        <v>31.84233647</v>
      </c>
      <c r="F200" s="31">
        <f>IFERROR(__xludf.DUMMYFUNCTION("""COMPUTED_VALUE"""),-4.276694703832363)</f>
        <v>-4.276694704</v>
      </c>
      <c r="G200" s="31">
        <f>IFERROR(__xludf.DUMMYFUNCTION("""COMPUTED_VALUE"""),19.070995167619344)</f>
        <v>19.07099517</v>
      </c>
      <c r="H200" s="31">
        <f>IFERROR(__xludf.DUMMYFUNCTION("""COMPUTED_VALUE"""),-9.258075574143936)</f>
        <v>-9.258075574</v>
      </c>
      <c r="I200" s="54">
        <f>IFERROR(__xludf.DUMMYFUNCTION("""COMPUTED_VALUE"""),11.0)</f>
        <v>11</v>
      </c>
      <c r="J200" s="55">
        <f>IFERROR(__xludf.DUMMYFUNCTION("""COMPUTED_VALUE"""),6.0)</f>
        <v>6</v>
      </c>
      <c r="K200" s="54">
        <f>IFERROR(__xludf.DUMMYFUNCTION("""COMPUTED_VALUE"""),5.0)</f>
        <v>5</v>
      </c>
      <c r="L200" s="56">
        <f>IFERROR(__xludf.DUMMYFUNCTION("""COMPUTED_VALUE"""),0.5454545454545454)</f>
        <v>0.5454545455</v>
      </c>
      <c r="M200" s="56">
        <f>IFERROR(__xludf.DUMMYFUNCTION("""COMPUTED_VALUE"""),0.4444444444444444)</f>
        <v>0.4444444444</v>
      </c>
      <c r="N200" s="31">
        <f>IFERROR(__xludf.DUMMYFUNCTION("""COMPUTED_VALUE"""),252.9090909090909)</f>
        <v>252.9090909</v>
      </c>
      <c r="O200" s="57">
        <f>IFERROR(__xludf.DUMMYFUNCTION("""COMPUTED_VALUE"""),0.7272727272727273)</f>
        <v>0.7272727273</v>
      </c>
      <c r="P200" s="57">
        <f>IFERROR(__xludf.DUMMYFUNCTION("""COMPUTED_VALUE"""),0.2727272727272727)</f>
        <v>0.2727272727</v>
      </c>
      <c r="Q200" s="57">
        <f>IFERROR(__xludf.DUMMYFUNCTION("""COMPUTED_VALUE"""),0.7272727272727273)</f>
        <v>0.7272727273</v>
      </c>
      <c r="R200" s="57">
        <f>IFERROR(__xludf.DUMMYFUNCTION("""COMPUTED_VALUE"""),1.6363636363636365)</f>
        <v>1.636363636</v>
      </c>
      <c r="S200" s="31">
        <f>IFERROR(__xludf.DUMMYFUNCTION("""COMPUTED_VALUE"""),322.48484848484844)</f>
        <v>322.4848485</v>
      </c>
      <c r="T200" s="57">
        <f>IFERROR(__xludf.DUMMYFUNCTION("""COMPUTED_VALUE"""),0.7575757575757577)</f>
        <v>0.7575757576</v>
      </c>
      <c r="U200" s="57">
        <f>IFERROR(__xludf.DUMMYFUNCTION("""COMPUTED_VALUE"""),0.5757575757575757)</f>
        <v>0.5757575758</v>
      </c>
      <c r="V200" s="57">
        <f>IFERROR(__xludf.DUMMYFUNCTION("""COMPUTED_VALUE"""),0.9090909090909093)</f>
        <v>0.9090909091</v>
      </c>
      <c r="W200" s="57">
        <f>IFERROR(__xludf.DUMMYFUNCTION("""COMPUTED_VALUE"""),2.151515151515152)</f>
        <v>2.151515152</v>
      </c>
      <c r="X200" s="31">
        <f>IFERROR(__xludf.DUMMYFUNCTION("""COMPUTED_VALUE"""),330.11649419141355)</f>
        <v>330.1164942</v>
      </c>
      <c r="Y200" s="57">
        <f>IFERROR(__xludf.DUMMYFUNCTION("""COMPUTED_VALUE"""),0.7921997413466694)</f>
        <v>0.7921997413</v>
      </c>
      <c r="Z200" s="57">
        <f>IFERROR(__xludf.DUMMYFUNCTION("""COMPUTED_VALUE"""),0.5350371130126415)</f>
        <v>0.535037113</v>
      </c>
      <c r="AA200" s="57">
        <f>IFERROR(__xludf.DUMMYFUNCTION("""COMPUTED_VALUE"""),1.1228092075001221)</f>
        <v>1.122809208</v>
      </c>
      <c r="AB200" s="57">
        <f>IFERROR(__xludf.DUMMYFUNCTION("""COMPUTED_VALUE"""),2.2565923636447254)</f>
        <v>2.256592364</v>
      </c>
      <c r="AC200" s="31">
        <f>IFERROR(__xludf.DUMMYFUNCTION("""COMPUTED_VALUE"""),320.4776360929566)</f>
        <v>320.4776361</v>
      </c>
      <c r="AD200" s="57">
        <f>IFERROR(__xludf.DUMMYFUNCTION("""COMPUTED_VALUE"""),0.7696015044276457)</f>
        <v>0.7696015044</v>
      </c>
      <c r="AE200" s="57">
        <f>IFERROR(__xludf.DUMMYFUNCTION("""COMPUTED_VALUE"""),0.5402740165935654)</f>
        <v>0.5402740166</v>
      </c>
      <c r="AF200" s="57">
        <f>IFERROR(__xludf.DUMMYFUNCTION("""COMPUTED_VALUE"""),1.0409840395029546)</f>
        <v>1.04098404</v>
      </c>
      <c r="AG200" s="57">
        <f>IFERROR(__xludf.DUMMYFUNCTION("""COMPUTED_VALUE"""),2.2422504437807387)</f>
        <v>2.242250444</v>
      </c>
      <c r="AH200" s="57">
        <f>IFERROR(__xludf.DUMMYFUNCTION("""COMPUTED_VALUE"""),0.7891629943118185)</f>
        <v>0.7891629943</v>
      </c>
      <c r="AI200" s="57">
        <f>IFERROR(__xludf.DUMMYFUNCTION("""COMPUTED_VALUE"""),0.9449990977000513)</f>
        <v>0.9449990977</v>
      </c>
      <c r="AJ200" s="57">
        <f>IFERROR(__xludf.DUMMYFUNCTION("""COMPUTED_VALUE"""),0.5047943531447646)</f>
        <v>0.5047943531</v>
      </c>
      <c r="AK200" s="57">
        <f>IFERROR(__xludf.DUMMYFUNCTION("""COMPUTED_VALUE"""),0.698639652169867)</f>
        <v>0.6986396522</v>
      </c>
      <c r="AL200" s="57">
        <f>IFERROR(__xludf.DUMMYFUNCTION("""COMPUTED_VALUE"""),0.7297862916706598)</f>
        <v>0.7297862917</v>
      </c>
      <c r="AM200" s="57">
        <f>IFERROR(__xludf.DUMMYFUNCTION("""COMPUTED_VALUE"""),0.9768819618502915)</f>
        <v>0.9768819619</v>
      </c>
      <c r="AN200" s="57">
        <f>IFERROR(__xludf.DUMMYFUNCTION("""COMPUTED_VALUE"""),0.9562938714016064)</f>
        <v>0.9562938714</v>
      </c>
      <c r="AO200" s="57">
        <f>IFERROR(__xludf.DUMMYFUNCTION("""COMPUTED_VALUE"""),1.076107734874033)</f>
        <v>1.076107735</v>
      </c>
      <c r="AP200" s="35">
        <f>IFERROR(__xludf.DUMMYFUNCTION("""COMPUTED_VALUE"""),0.8096575117289554)</f>
        <v>0.8096575117</v>
      </c>
      <c r="AQ200" s="57">
        <f>IFERROR(__xludf.DUMMYFUNCTION("""COMPUTED_VALUE"""),0.953435448146311)</f>
        <v>0.9534354481</v>
      </c>
      <c r="AR200" s="36" t="b">
        <f>IFERROR(__xludf.DUMMYFUNCTION("""COMPUTED_VALUE"""),TRUE)</f>
        <v>1</v>
      </c>
      <c r="AS200" s="57"/>
      <c r="AT200" s="37"/>
      <c r="AU200" s="30"/>
      <c r="AV200" s="30"/>
      <c r="AW200" s="30"/>
      <c r="AX200" s="30"/>
      <c r="AY200" s="30"/>
      <c r="AZ200" s="30"/>
    </row>
    <row r="201">
      <c r="A201" s="30" t="str">
        <f>IFERROR(__xludf.DUMMYFUNCTION("""COMPUTED_VALUE"""),"Contender")</f>
        <v>Contender</v>
      </c>
      <c r="B201" s="30" t="str">
        <f>IFERROR(__xludf.DUMMYFUNCTION("""COMPUTED_VALUE"""),"RSC006919")</f>
        <v>RSC006919</v>
      </c>
      <c r="C201" s="30" t="str">
        <f>IFERROR(__xludf.DUMMYFUNCTION("""COMPUTED_VALUE"""),"rinny_b0y")</f>
        <v>rinny_b0y</v>
      </c>
      <c r="D201" s="31" t="str">
        <f>IFERROR(__xludf.DUMMYFUNCTION("""COMPUTED_VALUE"""),"Zebras")</f>
        <v>Zebras</v>
      </c>
      <c r="E201" s="31">
        <f>IFERROR(__xludf.DUMMYFUNCTION("""COMPUTED_VALUE"""),29.797052143162556)</f>
        <v>29.79705214</v>
      </c>
      <c r="F201" s="31">
        <f>IFERROR(__xludf.DUMMYFUNCTION("""COMPUTED_VALUE"""),-4.773011037579903)</f>
        <v>-4.773011038</v>
      </c>
      <c r="G201" s="31">
        <f>IFERROR(__xludf.DUMMYFUNCTION("""COMPUTED_VALUE"""),26.035577436433247)</f>
        <v>26.03557744</v>
      </c>
      <c r="H201" s="31">
        <f>IFERROR(__xludf.DUMMYFUNCTION("""COMPUTED_VALUE"""),-5.921155088900593)</f>
        <v>-5.921155089</v>
      </c>
      <c r="I201" s="54">
        <f>IFERROR(__xludf.DUMMYFUNCTION("""COMPUTED_VALUE"""),30.0)</f>
        <v>30</v>
      </c>
      <c r="J201" s="55">
        <f>IFERROR(__xludf.DUMMYFUNCTION("""COMPUTED_VALUE"""),12.0)</f>
        <v>12</v>
      </c>
      <c r="K201" s="54">
        <f>IFERROR(__xludf.DUMMYFUNCTION("""COMPUTED_VALUE"""),18.0)</f>
        <v>18</v>
      </c>
      <c r="L201" s="56">
        <f>IFERROR(__xludf.DUMMYFUNCTION("""COMPUTED_VALUE"""),0.4)</f>
        <v>0.4</v>
      </c>
      <c r="M201" s="56">
        <f>IFERROR(__xludf.DUMMYFUNCTION("""COMPUTED_VALUE"""),0.29508196721311475)</f>
        <v>0.2950819672</v>
      </c>
      <c r="N201" s="31">
        <f>IFERROR(__xludf.DUMMYFUNCTION("""COMPUTED_VALUE"""),275.93333333333334)</f>
        <v>275.9333333</v>
      </c>
      <c r="O201" s="57">
        <f>IFERROR(__xludf.DUMMYFUNCTION("""COMPUTED_VALUE"""),0.6)</f>
        <v>0.6</v>
      </c>
      <c r="P201" s="57">
        <f>IFERROR(__xludf.DUMMYFUNCTION("""COMPUTED_VALUE"""),0.23333333333333334)</f>
        <v>0.2333333333</v>
      </c>
      <c r="Q201" s="57">
        <f>IFERROR(__xludf.DUMMYFUNCTION("""COMPUTED_VALUE"""),1.1)</f>
        <v>1.1</v>
      </c>
      <c r="R201" s="57">
        <f>IFERROR(__xludf.DUMMYFUNCTION("""COMPUTED_VALUE"""),2.033333333333333)</f>
        <v>2.033333333</v>
      </c>
      <c r="S201" s="31">
        <f>IFERROR(__xludf.DUMMYFUNCTION("""COMPUTED_VALUE"""),356.9444444444444)</f>
        <v>356.9444444</v>
      </c>
      <c r="T201" s="57">
        <f>IFERROR(__xludf.DUMMYFUNCTION("""COMPUTED_VALUE"""),0.9555555555555557)</f>
        <v>0.9555555556</v>
      </c>
      <c r="U201" s="57">
        <f>IFERROR(__xludf.DUMMYFUNCTION("""COMPUTED_VALUE"""),0.6555555555555554)</f>
        <v>0.6555555556</v>
      </c>
      <c r="V201" s="57">
        <f>IFERROR(__xludf.DUMMYFUNCTION("""COMPUTED_VALUE"""),1.1666666666666667)</f>
        <v>1.166666667</v>
      </c>
      <c r="W201" s="57">
        <f>IFERROR(__xludf.DUMMYFUNCTION("""COMPUTED_VALUE"""),2.4222222222222225)</f>
        <v>2.422222222</v>
      </c>
      <c r="X201" s="31">
        <f>IFERROR(__xludf.DUMMYFUNCTION("""COMPUTED_VALUE"""),334.17980412305934)</f>
        <v>334.1798041</v>
      </c>
      <c r="Y201" s="57">
        <f>IFERROR(__xludf.DUMMYFUNCTION("""COMPUTED_VALUE"""),0.8600995794078957)</f>
        <v>0.8600995794</v>
      </c>
      <c r="Z201" s="57">
        <f>IFERROR(__xludf.DUMMYFUNCTION("""COMPUTED_VALUE"""),0.5405414374188321)</f>
        <v>0.5405414374</v>
      </c>
      <c r="AA201" s="57">
        <f>IFERROR(__xludf.DUMMYFUNCTION("""COMPUTED_VALUE"""),1.0917704121811629)</f>
        <v>1.091770412</v>
      </c>
      <c r="AB201" s="57">
        <f>IFERROR(__xludf.DUMMYFUNCTION("""COMPUTED_VALUE"""),2.319670231975055)</f>
        <v>2.319670232</v>
      </c>
      <c r="AC201" s="31">
        <f>IFERROR(__xludf.DUMMYFUNCTION("""COMPUTED_VALUE"""),319.4539375468213)</f>
        <v>319.4539375</v>
      </c>
      <c r="AD201" s="57">
        <f>IFERROR(__xludf.DUMMYFUNCTION("""COMPUTED_VALUE"""),0.7385373710908606)</f>
        <v>0.7385373711</v>
      </c>
      <c r="AE201" s="57">
        <f>IFERROR(__xludf.DUMMYFUNCTION("""COMPUTED_VALUE"""),0.5003194682595178)</f>
        <v>0.5003194683</v>
      </c>
      <c r="AF201" s="57">
        <f>IFERROR(__xludf.DUMMYFUNCTION("""COMPUTED_VALUE"""),1.082310238456997)</f>
        <v>1.082310238</v>
      </c>
      <c r="AG201" s="57">
        <f>IFERROR(__xludf.DUMMYFUNCTION("""COMPUTED_VALUE"""),2.2479820180098145)</f>
        <v>2.247982018</v>
      </c>
      <c r="AH201" s="57">
        <f>IFERROR(__xludf.DUMMYFUNCTION("""COMPUTED_VALUE"""),0.8637656353598419)</f>
        <v>0.8637656354</v>
      </c>
      <c r="AI201" s="57">
        <f>IFERROR(__xludf.DUMMYFUNCTION("""COMPUTED_VALUE"""),0.8124165729267928)</f>
        <v>0.8124165729</v>
      </c>
      <c r="AJ201" s="57">
        <f>IFERROR(__xludf.DUMMYFUNCTION("""COMPUTED_VALUE"""),0.46636868668141124)</f>
        <v>0.4663686867</v>
      </c>
      <c r="AK201" s="57">
        <f>IFERROR(__xludf.DUMMYFUNCTION("""COMPUTED_VALUE"""),1.0163444462728384)</f>
        <v>1.016344446</v>
      </c>
      <c r="AL201" s="57">
        <f>IFERROR(__xludf.DUMMYFUNCTION("""COMPUTED_VALUE"""),0.904514945868422)</f>
        <v>0.9045149459</v>
      </c>
      <c r="AM201" s="57">
        <f>IFERROR(__xludf.DUMMYFUNCTION("""COMPUTED_VALUE"""),1.068120933822207)</f>
        <v>1.068120934</v>
      </c>
      <c r="AN201" s="57">
        <f>IFERROR(__xludf.DUMMYFUNCTION("""COMPUTED_VALUE"""),1.110982470440659)</f>
        <v>1.11098247</v>
      </c>
      <c r="AO201" s="57">
        <f>IFERROR(__xludf.DUMMYFUNCTION("""COMPUTED_VALUE"""),1.2127757655101028)</f>
        <v>1.212775766</v>
      </c>
      <c r="AP201" s="35">
        <f>IFERROR(__xludf.DUMMYFUNCTION("""COMPUTED_VALUE"""),1.0686007366107995)</f>
        <v>1.068600737</v>
      </c>
      <c r="AQ201" s="57">
        <f>IFERROR(__xludf.DUMMYFUNCTION("""COMPUTED_VALUE"""),1.044209728104262)</f>
        <v>1.044209728</v>
      </c>
      <c r="AR201" s="36" t="b">
        <f>IFERROR(__xludf.DUMMYFUNCTION("""COMPUTED_VALUE"""),TRUE)</f>
        <v>1</v>
      </c>
      <c r="AS201" s="57"/>
      <c r="AT201" s="37"/>
      <c r="AU201" s="30"/>
      <c r="AV201" s="30"/>
      <c r="AW201" s="30"/>
      <c r="AX201" s="30"/>
      <c r="AY201" s="30"/>
      <c r="AZ201" s="30"/>
    </row>
    <row r="202">
      <c r="A202" s="30" t="str">
        <f>IFERROR(__xludf.DUMMYFUNCTION("""COMPUTED_VALUE"""),"Contender")</f>
        <v>Contender</v>
      </c>
      <c r="B202" s="30" t="str">
        <f>IFERROR(__xludf.DUMMYFUNCTION("""COMPUTED_VALUE"""),"RSC005714")</f>
        <v>RSC005714</v>
      </c>
      <c r="C202" s="30" t="str">
        <f>IFERROR(__xludf.DUMMYFUNCTION("""COMPUTED_VALUE"""),"T_i_m_o_g")</f>
        <v>T_i_m_o_g</v>
      </c>
      <c r="D202" s="31" t="str">
        <f>IFERROR(__xludf.DUMMYFUNCTION("""COMPUTED_VALUE"""),"Legionaries")</f>
        <v>Legionaries</v>
      </c>
      <c r="E202" s="31">
        <f>IFERROR(__xludf.DUMMYFUNCTION("""COMPUTED_VALUE"""),29.15934728087073)</f>
        <v>29.15934728</v>
      </c>
      <c r="F202" s="31">
        <f>IFERROR(__xludf.DUMMYFUNCTION("""COMPUTED_VALUE"""),-4.944477127333381)</f>
        <v>-4.944477127</v>
      </c>
      <c r="G202" s="31">
        <f>IFERROR(__xludf.DUMMYFUNCTION("""COMPUTED_VALUE"""),30.29437822060917)</f>
        <v>30.29437822</v>
      </c>
      <c r="H202" s="31">
        <f>IFERROR(__xludf.DUMMYFUNCTION("""COMPUTED_VALUE"""),-4.645057417159267)</f>
        <v>-4.645057417</v>
      </c>
      <c r="I202" s="54">
        <f>IFERROR(__xludf.DUMMYFUNCTION("""COMPUTED_VALUE"""),16.0)</f>
        <v>16</v>
      </c>
      <c r="J202" s="55">
        <f>IFERROR(__xludf.DUMMYFUNCTION("""COMPUTED_VALUE"""),8.0)</f>
        <v>8</v>
      </c>
      <c r="K202" s="54">
        <f>IFERROR(__xludf.DUMMYFUNCTION("""COMPUTED_VALUE"""),8.0)</f>
        <v>8</v>
      </c>
      <c r="L202" s="56">
        <f>IFERROR(__xludf.DUMMYFUNCTION("""COMPUTED_VALUE"""),0.5)</f>
        <v>0.5</v>
      </c>
      <c r="M202" s="56">
        <f>IFERROR(__xludf.DUMMYFUNCTION("""COMPUTED_VALUE"""),0.2962962962962963)</f>
        <v>0.2962962963</v>
      </c>
      <c r="N202" s="31">
        <f>IFERROR(__xludf.DUMMYFUNCTION("""COMPUTED_VALUE"""),285.75)</f>
        <v>285.75</v>
      </c>
      <c r="O202" s="57">
        <f>IFERROR(__xludf.DUMMYFUNCTION("""COMPUTED_VALUE"""),0.5)</f>
        <v>0.5</v>
      </c>
      <c r="P202" s="57">
        <f>IFERROR(__xludf.DUMMYFUNCTION("""COMPUTED_VALUE"""),0.25)</f>
        <v>0.25</v>
      </c>
      <c r="Q202" s="57">
        <f>IFERROR(__xludf.DUMMYFUNCTION("""COMPUTED_VALUE"""),1.1875)</f>
        <v>1.1875</v>
      </c>
      <c r="R202" s="57">
        <f>IFERROR(__xludf.DUMMYFUNCTION("""COMPUTED_VALUE"""),1.6875)</f>
        <v>1.6875</v>
      </c>
      <c r="S202" s="31">
        <f>IFERROR(__xludf.DUMMYFUNCTION("""COMPUTED_VALUE"""),301.31249999999994)</f>
        <v>301.3125</v>
      </c>
      <c r="T202" s="57">
        <f>IFERROR(__xludf.DUMMYFUNCTION("""COMPUTED_VALUE"""),0.6875)</f>
        <v>0.6875</v>
      </c>
      <c r="U202" s="57">
        <f>IFERROR(__xludf.DUMMYFUNCTION("""COMPUTED_VALUE"""),0.3958333333333333)</f>
        <v>0.3958333333</v>
      </c>
      <c r="V202" s="57">
        <f>IFERROR(__xludf.DUMMYFUNCTION("""COMPUTED_VALUE"""),0.9791666666666666)</f>
        <v>0.9791666667</v>
      </c>
      <c r="W202" s="57">
        <f>IFERROR(__xludf.DUMMYFUNCTION("""COMPUTED_VALUE"""),2.3333333333333335)</f>
        <v>2.333333333</v>
      </c>
      <c r="X202" s="31">
        <f>IFERROR(__xludf.DUMMYFUNCTION("""COMPUTED_VALUE"""),321.07698811605076)</f>
        <v>321.0769881</v>
      </c>
      <c r="Y202" s="57">
        <f>IFERROR(__xludf.DUMMYFUNCTION("""COMPUTED_VALUE"""),0.7675000122426595)</f>
        <v>0.7675000122</v>
      </c>
      <c r="Z202" s="57">
        <f>IFERROR(__xludf.DUMMYFUNCTION("""COMPUTED_VALUE"""),0.49711605796164626)</f>
        <v>0.497116058</v>
      </c>
      <c r="AA202" s="57">
        <f>IFERROR(__xludf.DUMMYFUNCTION("""COMPUTED_VALUE"""),1.0900684181015063)</f>
        <v>1.090068418</v>
      </c>
      <c r="AB202" s="57">
        <f>IFERROR(__xludf.DUMMYFUNCTION("""COMPUTED_VALUE"""),2.248335714530567)</f>
        <v>2.248335715</v>
      </c>
      <c r="AC202" s="31">
        <f>IFERROR(__xludf.DUMMYFUNCTION("""COMPUTED_VALUE"""),327.4798824541471)</f>
        <v>327.4798825</v>
      </c>
      <c r="AD202" s="57">
        <f>IFERROR(__xludf.DUMMYFUNCTION("""COMPUTED_VALUE"""),0.8162269735982972)</f>
        <v>0.8162269736</v>
      </c>
      <c r="AE202" s="57">
        <f>IFERROR(__xludf.DUMMYFUNCTION("""COMPUTED_VALUE"""),0.5108847851494911)</f>
        <v>0.5108847851</v>
      </c>
      <c r="AF202" s="57">
        <f>IFERROR(__xludf.DUMMYFUNCTION("""COMPUTED_VALUE"""),1.0684824183169772)</f>
        <v>1.068482418</v>
      </c>
      <c r="AG202" s="57">
        <f>IFERROR(__xludf.DUMMYFUNCTION("""COMPUTED_VALUE"""),2.3052060072280653)</f>
        <v>2.305206007</v>
      </c>
      <c r="AH202" s="57">
        <f>IFERROR(__xludf.DUMMYFUNCTION("""COMPUTED_VALUE"""),0.8725726840335298)</f>
        <v>0.872572684</v>
      </c>
      <c r="AI202" s="57">
        <f>IFERROR(__xludf.DUMMYFUNCTION("""COMPUTED_VALUE"""),0.6125747079832147)</f>
        <v>0.612574708</v>
      </c>
      <c r="AJ202" s="57">
        <f>IFERROR(__xludf.DUMMYFUNCTION("""COMPUTED_VALUE"""),0.48934712339661274)</f>
        <v>0.4893471234</v>
      </c>
      <c r="AK202" s="57">
        <f>IFERROR(__xludf.DUMMYFUNCTION("""COMPUTED_VALUE"""),1.1113893683627416)</f>
        <v>1.111389368</v>
      </c>
      <c r="AL202" s="57">
        <f>IFERROR(__xludf.DUMMYFUNCTION("""COMPUTED_VALUE"""),0.7320386961984207)</f>
        <v>0.7320386962</v>
      </c>
      <c r="AM202" s="57">
        <f>IFERROR(__xludf.DUMMYFUNCTION("""COMPUTED_VALUE"""),0.938443149625824)</f>
        <v>0.9384431496</v>
      </c>
      <c r="AN202" s="57">
        <f>IFERROR(__xludf.DUMMYFUNCTION("""COMPUTED_VALUE"""),0.8957654580240372)</f>
        <v>0.895765458</v>
      </c>
      <c r="AO202" s="57">
        <f>IFERROR(__xludf.DUMMYFUNCTION("""COMPUTED_VALUE"""),0.7962593985726223)</f>
        <v>0.7962593986</v>
      </c>
      <c r="AP202" s="35">
        <f>IFERROR(__xludf.DUMMYFUNCTION("""COMPUTED_VALUE"""),0.8982616599167332)</f>
        <v>0.8982616599</v>
      </c>
      <c r="AQ202" s="57">
        <f>IFERROR(__xludf.DUMMYFUNCTION("""COMPUTED_VALUE"""),1.037804682927662)</f>
        <v>1.037804683</v>
      </c>
      <c r="AR202" s="36" t="b">
        <f>IFERROR(__xludf.DUMMYFUNCTION("""COMPUTED_VALUE"""),TRUE)</f>
        <v>1</v>
      </c>
      <c r="AS202" s="57"/>
      <c r="AT202" s="37"/>
      <c r="AU202" s="30"/>
      <c r="AV202" s="30"/>
      <c r="AW202" s="30"/>
      <c r="AX202" s="30"/>
      <c r="AY202" s="30"/>
      <c r="AZ202" s="30"/>
    </row>
    <row r="203">
      <c r="A203" s="30" t="str">
        <f>IFERROR(__xludf.DUMMYFUNCTION("""COMPUTED_VALUE"""),"Contender")</f>
        <v>Contender</v>
      </c>
      <c r="B203" s="30" t="str">
        <f>IFERROR(__xludf.DUMMYFUNCTION("""COMPUTED_VALUE"""),"RSC006441")</f>
        <v>RSC006441</v>
      </c>
      <c r="C203" s="30" t="str">
        <f>IFERROR(__xludf.DUMMYFUNCTION("""COMPUTED_VALUE"""),"tvitchyramrod420")</f>
        <v>tvitchyramrod420</v>
      </c>
      <c r="D203" s="31" t="str">
        <f>IFERROR(__xludf.DUMMYFUNCTION("""COMPUTED_VALUE"""),"Legionaries")</f>
        <v>Legionaries</v>
      </c>
      <c r="E203" s="31">
        <f>IFERROR(__xludf.DUMMYFUNCTION("""COMPUTED_VALUE"""),28.754953742143936)</f>
        <v>28.75495374</v>
      </c>
      <c r="F203" s="31">
        <f>IFERROR(__xludf.DUMMYFUNCTION("""COMPUTED_VALUE"""),-5.057717908526734)</f>
        <v>-5.057717909</v>
      </c>
      <c r="G203" s="31">
        <f>IFERROR(__xludf.DUMMYFUNCTION("""COMPUTED_VALUE"""),29.417324301937818)</f>
        <v>29.4173243</v>
      </c>
      <c r="H203" s="31">
        <f>IFERROR(__xludf.DUMMYFUNCTION("""COMPUTED_VALUE"""),-4.87408510232645)</f>
        <v>-4.874085102</v>
      </c>
      <c r="I203" s="54">
        <f>IFERROR(__xludf.DUMMYFUNCTION("""COMPUTED_VALUE"""),24.0)</f>
        <v>24</v>
      </c>
      <c r="J203" s="55">
        <f>IFERROR(__xludf.DUMMYFUNCTION("""COMPUTED_VALUE"""),12.0)</f>
        <v>12</v>
      </c>
      <c r="K203" s="54">
        <f>IFERROR(__xludf.DUMMYFUNCTION("""COMPUTED_VALUE"""),12.0)</f>
        <v>12</v>
      </c>
      <c r="L203" s="56">
        <f>IFERROR(__xludf.DUMMYFUNCTION("""COMPUTED_VALUE"""),0.5)</f>
        <v>0.5</v>
      </c>
      <c r="M203" s="56">
        <f>IFERROR(__xludf.DUMMYFUNCTION("""COMPUTED_VALUE"""),0.3111111111111111)</f>
        <v>0.3111111111</v>
      </c>
      <c r="N203" s="31">
        <f>IFERROR(__xludf.DUMMYFUNCTION("""COMPUTED_VALUE"""),279.4166666666667)</f>
        <v>279.4166667</v>
      </c>
      <c r="O203" s="57">
        <f>IFERROR(__xludf.DUMMYFUNCTION("""COMPUTED_VALUE"""),0.5833333333333334)</f>
        <v>0.5833333333</v>
      </c>
      <c r="P203" s="57">
        <f>IFERROR(__xludf.DUMMYFUNCTION("""COMPUTED_VALUE"""),0.20833333333333334)</f>
        <v>0.2083333333</v>
      </c>
      <c r="Q203" s="57">
        <f>IFERROR(__xludf.DUMMYFUNCTION("""COMPUTED_VALUE"""),1.0833333333333333)</f>
        <v>1.083333333</v>
      </c>
      <c r="R203" s="57">
        <f>IFERROR(__xludf.DUMMYFUNCTION("""COMPUTED_VALUE"""),1.875)</f>
        <v>1.875</v>
      </c>
      <c r="S203" s="31">
        <f>IFERROR(__xludf.DUMMYFUNCTION("""COMPUTED_VALUE"""),314.5833333333333)</f>
        <v>314.5833333</v>
      </c>
      <c r="T203" s="57">
        <f>IFERROR(__xludf.DUMMYFUNCTION("""COMPUTED_VALUE"""),0.8055555555555557)</f>
        <v>0.8055555556</v>
      </c>
      <c r="U203" s="57">
        <f>IFERROR(__xludf.DUMMYFUNCTION("""COMPUTED_VALUE"""),0.513888888888889)</f>
        <v>0.5138888889</v>
      </c>
      <c r="V203" s="57">
        <f>IFERROR(__xludf.DUMMYFUNCTION("""COMPUTED_VALUE"""),0.8749999999999999)</f>
        <v>0.875</v>
      </c>
      <c r="W203" s="57">
        <f>IFERROR(__xludf.DUMMYFUNCTION("""COMPUTED_VALUE"""),2.527777777777778)</f>
        <v>2.527777778</v>
      </c>
      <c r="X203" s="31">
        <f>IFERROR(__xludf.DUMMYFUNCTION("""COMPUTED_VALUE"""),325.14709752476546)</f>
        <v>325.1470975</v>
      </c>
      <c r="Y203" s="57">
        <f>IFERROR(__xludf.DUMMYFUNCTION("""COMPUTED_VALUE"""),0.7913951672971353)</f>
        <v>0.7913951673</v>
      </c>
      <c r="Z203" s="57">
        <f>IFERROR(__xludf.DUMMYFUNCTION("""COMPUTED_VALUE"""),0.5192584908294594)</f>
        <v>0.5192584908</v>
      </c>
      <c r="AA203" s="57">
        <f>IFERROR(__xludf.DUMMYFUNCTION("""COMPUTED_VALUE"""),1.053465660825583)</f>
        <v>1.053465661</v>
      </c>
      <c r="AB203" s="57">
        <f>IFERROR(__xludf.DUMMYFUNCTION("""COMPUTED_VALUE"""),2.346341891936193)</f>
        <v>2.346341892</v>
      </c>
      <c r="AC203" s="31">
        <f>IFERROR(__xludf.DUMMYFUNCTION("""COMPUTED_VALUE"""),326.08225460446454)</f>
        <v>326.0822546</v>
      </c>
      <c r="AD203" s="57">
        <f>IFERROR(__xludf.DUMMYFUNCTION("""COMPUTED_VALUE"""),0.8087467782946239)</f>
        <v>0.8087467783</v>
      </c>
      <c r="AE203" s="57">
        <f>IFERROR(__xludf.DUMMYFUNCTION("""COMPUTED_VALUE"""),0.5131827802966554)</f>
        <v>0.5131827803</v>
      </c>
      <c r="AF203" s="57">
        <f>IFERROR(__xludf.DUMMYFUNCTION("""COMPUTED_VALUE"""),1.0826618001514696)</f>
        <v>1.0826618</v>
      </c>
      <c r="AG203" s="57">
        <f>IFERROR(__xludf.DUMMYFUNCTION("""COMPUTED_VALUE"""),2.2371344552389223)</f>
        <v>2.237134455</v>
      </c>
      <c r="AH203" s="57">
        <f>IFERROR(__xludf.DUMMYFUNCTION("""COMPUTED_VALUE"""),0.8568901334591087)</f>
        <v>0.8568901335</v>
      </c>
      <c r="AI203" s="57">
        <f>IFERROR(__xludf.DUMMYFUNCTION("""COMPUTED_VALUE"""),0.7212805651768877)</f>
        <v>0.7212805652</v>
      </c>
      <c r="AJ203" s="57">
        <f>IFERROR(__xludf.DUMMYFUNCTION("""COMPUTED_VALUE"""),0.40596321882215564)</f>
        <v>0.4059632188</v>
      </c>
      <c r="AK203" s="57">
        <f>IFERROR(__xludf.DUMMYFUNCTION("""COMPUTED_VALUE"""),1.0006202612688189)</f>
        <v>1.000620261</v>
      </c>
      <c r="AL203" s="57">
        <f>IFERROR(__xludf.DUMMYFUNCTION("""COMPUTED_VALUE"""),0.8381257530628632)</f>
        <v>0.8381257531</v>
      </c>
      <c r="AM203" s="57">
        <f>IFERROR(__xludf.DUMMYFUNCTION("""COMPUTED_VALUE"""),0.9675108150377153)</f>
        <v>0.967510815</v>
      </c>
      <c r="AN203" s="57">
        <f>IFERROR(__xludf.DUMMYFUNCTION("""COMPUTED_VALUE"""),1.0178929425444718)</f>
        <v>1.017892943</v>
      </c>
      <c r="AO203" s="57">
        <f>IFERROR(__xludf.DUMMYFUNCTION("""COMPUTED_VALUE"""),0.9896590965089601)</f>
        <v>0.9896590965</v>
      </c>
      <c r="AP203" s="35">
        <f>IFERROR(__xludf.DUMMYFUNCTION("""COMPUTED_VALUE"""),0.8305918574643215)</f>
        <v>0.8305918575</v>
      </c>
      <c r="AQ203" s="57">
        <f>IFERROR(__xludf.DUMMYFUNCTION("""COMPUTED_VALUE"""),1.0773271305708414)</f>
        <v>1.077327131</v>
      </c>
      <c r="AR203" s="36" t="b">
        <f>IFERROR(__xludf.DUMMYFUNCTION("""COMPUTED_VALUE"""),TRUE)</f>
        <v>1</v>
      </c>
      <c r="AS203" s="57"/>
      <c r="AT203" s="37"/>
      <c r="AU203" s="30"/>
      <c r="AV203" s="30"/>
      <c r="AW203" s="30"/>
      <c r="AX203" s="30"/>
      <c r="AY203" s="30"/>
      <c r="AZ203" s="30"/>
    </row>
    <row r="204">
      <c r="A204" s="30" t="str">
        <f>IFERROR(__xludf.DUMMYFUNCTION("""COMPUTED_VALUE"""),"Contender")</f>
        <v>Contender</v>
      </c>
      <c r="B204" s="30" t="str">
        <f>IFERROR(__xludf.DUMMYFUNCTION("""COMPUTED_VALUE"""),"RSC007271")</f>
        <v>RSC007271</v>
      </c>
      <c r="C204" s="30" t="str">
        <f>IFERROR(__xludf.DUMMYFUNCTION("""COMPUTED_VALUE"""),"Darth. -.-")</f>
        <v>Darth. -.-</v>
      </c>
      <c r="D204" s="31" t="str">
        <f>IFERROR(__xludf.DUMMYFUNCTION("""COMPUTED_VALUE"""),"Toothpaste")</f>
        <v>Toothpaste</v>
      </c>
      <c r="E204" s="31">
        <f>IFERROR(__xludf.DUMMYFUNCTION("""COMPUTED_VALUE"""),27.5284200484296)</f>
        <v>27.52842005</v>
      </c>
      <c r="F204" s="31">
        <f>IFERROR(__xludf.DUMMYFUNCTION("""COMPUTED_VALUE"""),-5.424088714105682)</f>
        <v>-5.424088714</v>
      </c>
      <c r="G204" s="31">
        <f>IFERROR(__xludf.DUMMYFUNCTION("""COMPUTED_VALUE"""),39.5611764860798)</f>
        <v>39.56117649</v>
      </c>
      <c r="H204" s="31">
        <f>IFERROR(__xludf.DUMMYFUNCTION("""COMPUTED_VALUE"""),-2.957381136932279)</f>
        <v>-2.957381137</v>
      </c>
      <c r="I204" s="54">
        <f>IFERROR(__xludf.DUMMYFUNCTION("""COMPUTED_VALUE"""),28.0)</f>
        <v>28</v>
      </c>
      <c r="J204" s="55">
        <f>IFERROR(__xludf.DUMMYFUNCTION("""COMPUTED_VALUE"""),6.0)</f>
        <v>6</v>
      </c>
      <c r="K204" s="54">
        <f>IFERROR(__xludf.DUMMYFUNCTION("""COMPUTED_VALUE"""),22.0)</f>
        <v>22</v>
      </c>
      <c r="L204" s="56">
        <f>IFERROR(__xludf.DUMMYFUNCTION("""COMPUTED_VALUE"""),0.21428571428571427)</f>
        <v>0.2142857143</v>
      </c>
      <c r="M204" s="56">
        <f>IFERROR(__xludf.DUMMYFUNCTION("""COMPUTED_VALUE"""),0.32692307692307687)</f>
        <v>0.3269230769</v>
      </c>
      <c r="N204" s="31">
        <f>IFERROR(__xludf.DUMMYFUNCTION("""COMPUTED_VALUE"""),292.82142857142856)</f>
        <v>292.8214286</v>
      </c>
      <c r="O204" s="57">
        <f>IFERROR(__xludf.DUMMYFUNCTION("""COMPUTED_VALUE"""),0.6071428571428571)</f>
        <v>0.6071428571</v>
      </c>
      <c r="P204" s="57">
        <f>IFERROR(__xludf.DUMMYFUNCTION("""COMPUTED_VALUE"""),0.21428571428571427)</f>
        <v>0.2142857143</v>
      </c>
      <c r="Q204" s="57">
        <f>IFERROR(__xludf.DUMMYFUNCTION("""COMPUTED_VALUE"""),0.9642857142857143)</f>
        <v>0.9642857143</v>
      </c>
      <c r="R204" s="57">
        <f>IFERROR(__xludf.DUMMYFUNCTION("""COMPUTED_VALUE"""),1.8571428571428572)</f>
        <v>1.857142857</v>
      </c>
      <c r="S204" s="31">
        <f>IFERROR(__xludf.DUMMYFUNCTION("""COMPUTED_VALUE"""),350.8214285714285)</f>
        <v>350.8214286</v>
      </c>
      <c r="T204" s="57">
        <f>IFERROR(__xludf.DUMMYFUNCTION("""COMPUTED_VALUE"""),1.0238095238095235)</f>
        <v>1.023809524</v>
      </c>
      <c r="U204" s="57">
        <f>IFERROR(__xludf.DUMMYFUNCTION("""COMPUTED_VALUE"""),0.5595238095238096)</f>
        <v>0.5595238095</v>
      </c>
      <c r="V204" s="57">
        <f>IFERROR(__xludf.DUMMYFUNCTION("""COMPUTED_VALUE"""),1.0595238095238095)</f>
        <v>1.05952381</v>
      </c>
      <c r="W204" s="57">
        <f>IFERROR(__xludf.DUMMYFUNCTION("""COMPUTED_VALUE"""),2.2142857142857144)</f>
        <v>2.214285714</v>
      </c>
      <c r="X204" s="31">
        <f>IFERROR(__xludf.DUMMYFUNCTION("""COMPUTED_VALUE"""),321.7932898060647)</f>
        <v>321.7932898</v>
      </c>
      <c r="Y204" s="57">
        <f>IFERROR(__xludf.DUMMYFUNCTION("""COMPUTED_VALUE"""),0.7692739321567921)</f>
        <v>0.7692739322</v>
      </c>
      <c r="Z204" s="57">
        <f>IFERROR(__xludf.DUMMYFUNCTION("""COMPUTED_VALUE"""),0.5043394772193189)</f>
        <v>0.5043394772</v>
      </c>
      <c r="AA204" s="57">
        <f>IFERROR(__xludf.DUMMYFUNCTION("""COMPUTED_VALUE"""),1.0634423906944555)</f>
        <v>1.063442391</v>
      </c>
      <c r="AB204" s="57">
        <f>IFERROR(__xludf.DUMMYFUNCTION("""COMPUTED_VALUE"""),2.2056218721021805)</f>
        <v>2.205621872</v>
      </c>
      <c r="AC204" s="31">
        <f>IFERROR(__xludf.DUMMYFUNCTION("""COMPUTED_VALUE"""),317.75980478823016)</f>
        <v>317.7598048</v>
      </c>
      <c r="AD204" s="57">
        <f>IFERROR(__xludf.DUMMYFUNCTION("""COMPUTED_VALUE"""),0.7730837515718508)</f>
        <v>0.7730837516</v>
      </c>
      <c r="AE204" s="57">
        <f>IFERROR(__xludf.DUMMYFUNCTION("""COMPUTED_VALUE"""),0.516192740526267)</f>
        <v>0.5161927405</v>
      </c>
      <c r="AF204" s="57">
        <f>IFERROR(__xludf.DUMMYFUNCTION("""COMPUTED_VALUE"""),1.0311071363910114)</f>
        <v>1.031107136</v>
      </c>
      <c r="AG204" s="57">
        <f>IFERROR(__xludf.DUMMYFUNCTION("""COMPUTED_VALUE"""),2.2212661143923014)</f>
        <v>2.221266114</v>
      </c>
      <c r="AH204" s="57">
        <f>IFERROR(__xludf.DUMMYFUNCTION("""COMPUTED_VALUE"""),0.9215181535203243)</f>
        <v>0.9215181535</v>
      </c>
      <c r="AI204" s="57">
        <f>IFERROR(__xludf.DUMMYFUNCTION("""COMPUTED_VALUE"""),0.7853519827682329)</f>
        <v>0.7853519828</v>
      </c>
      <c r="AJ204" s="57">
        <f>IFERROR(__xludf.DUMMYFUNCTION("""COMPUTED_VALUE"""),0.41512733028218585)</f>
        <v>0.4151273303</v>
      </c>
      <c r="AK204" s="57">
        <f>IFERROR(__xludf.DUMMYFUNCTION("""COMPUTED_VALUE"""),0.9351944916808748)</f>
        <v>0.9351944917</v>
      </c>
      <c r="AL204" s="57">
        <f>IFERROR(__xludf.DUMMYFUNCTION("""COMPUTED_VALUE"""),0.8360740053205818)</f>
        <v>0.8360740053</v>
      </c>
      <c r="AM204" s="57">
        <f>IFERROR(__xludf.DUMMYFUNCTION("""COMPUTED_VALUE"""),1.0902074085598807)</f>
        <v>1.090207409</v>
      </c>
      <c r="AN204" s="57">
        <f>IFERROR(__xludf.DUMMYFUNCTION("""COMPUTED_VALUE"""),1.3308777030037884)</f>
        <v>1.330877703</v>
      </c>
      <c r="AO204" s="57">
        <f>IFERROR(__xludf.DUMMYFUNCTION("""COMPUTED_VALUE"""),1.1094190219031637)</f>
        <v>1.109419022</v>
      </c>
      <c r="AP204" s="35">
        <f>IFERROR(__xludf.DUMMYFUNCTION("""COMPUTED_VALUE"""),0.9963151918665881)</f>
        <v>0.9963151919</v>
      </c>
      <c r="AQ204" s="57">
        <f>IFERROR(__xludf.DUMMYFUNCTION("""COMPUTED_VALUE"""),1.0039280723015664)</f>
        <v>1.003928072</v>
      </c>
      <c r="AR204" s="36" t="b">
        <f>IFERROR(__xludf.DUMMYFUNCTION("""COMPUTED_VALUE"""),TRUE)</f>
        <v>1</v>
      </c>
      <c r="AS204" s="57"/>
      <c r="AT204" s="37"/>
      <c r="AU204" s="30"/>
      <c r="AV204" s="30"/>
      <c r="AW204" s="30"/>
      <c r="AX204" s="30"/>
      <c r="AY204" s="30"/>
      <c r="AZ204" s="30"/>
    </row>
    <row r="205">
      <c r="A205" s="30" t="str">
        <f>IFERROR(__xludf.DUMMYFUNCTION("""COMPUTED_VALUE"""),"Contender")</f>
        <v>Contender</v>
      </c>
      <c r="B205" s="30" t="str">
        <f>IFERROR(__xludf.DUMMYFUNCTION("""COMPUTED_VALUE"""),"RSC007119")</f>
        <v>RSC007119</v>
      </c>
      <c r="C205" s="30" t="str">
        <f>IFERROR(__xludf.DUMMYFUNCTION("""COMPUTED_VALUE"""),"EvilSuperman_")</f>
        <v>EvilSuperman_</v>
      </c>
      <c r="D205" s="31" t="str">
        <f>IFERROR(__xludf.DUMMYFUNCTION("""COMPUTED_VALUE"""),"Celestial Cider")</f>
        <v>Celestial Cider</v>
      </c>
      <c r="E205" s="31">
        <f>IFERROR(__xludf.DUMMYFUNCTION("""COMPUTED_VALUE"""),25.071180542030362)</f>
        <v>25.07118054</v>
      </c>
      <c r="F205" s="31">
        <f>IFERROR(__xludf.DUMMYFUNCTION("""COMPUTED_VALUE"""),-6.275684060238588)</f>
        <v>-6.27568406</v>
      </c>
      <c r="G205" s="31">
        <f>IFERROR(__xludf.DUMMYFUNCTION("""COMPUTED_VALUE"""),12.397565578013086)</f>
        <v>12.39756558</v>
      </c>
      <c r="H205" s="31">
        <f>IFERROR(__xludf.DUMMYFUNCTION("""COMPUTED_VALUE"""),-15.08792917410814)</f>
        <v>-15.08792917</v>
      </c>
      <c r="I205" s="54">
        <f>IFERROR(__xludf.DUMMYFUNCTION("""COMPUTED_VALUE"""),15.0)</f>
        <v>15</v>
      </c>
      <c r="J205" s="55">
        <f>IFERROR(__xludf.DUMMYFUNCTION("""COMPUTED_VALUE"""),7.0)</f>
        <v>7</v>
      </c>
      <c r="K205" s="54">
        <f>IFERROR(__xludf.DUMMYFUNCTION("""COMPUTED_VALUE"""),8.0)</f>
        <v>8</v>
      </c>
      <c r="L205" s="56">
        <f>IFERROR(__xludf.DUMMYFUNCTION("""COMPUTED_VALUE"""),0.4666666666666667)</f>
        <v>0.4666666667</v>
      </c>
      <c r="M205" s="56">
        <f>IFERROR(__xludf.DUMMYFUNCTION("""COMPUTED_VALUE"""),0.411764705882353)</f>
        <v>0.4117647059</v>
      </c>
      <c r="N205" s="31">
        <f>IFERROR(__xludf.DUMMYFUNCTION("""COMPUTED_VALUE"""),221.2)</f>
        <v>221.2</v>
      </c>
      <c r="O205" s="57">
        <f>IFERROR(__xludf.DUMMYFUNCTION("""COMPUTED_VALUE"""),0.4666666666666667)</f>
        <v>0.4666666667</v>
      </c>
      <c r="P205" s="57">
        <f>IFERROR(__xludf.DUMMYFUNCTION("""COMPUTED_VALUE"""),0.4)</f>
        <v>0.4</v>
      </c>
      <c r="Q205" s="57">
        <f>IFERROR(__xludf.DUMMYFUNCTION("""COMPUTED_VALUE"""),0.6666666666666666)</f>
        <v>0.6666666667</v>
      </c>
      <c r="R205" s="57">
        <f>IFERROR(__xludf.DUMMYFUNCTION("""COMPUTED_VALUE"""),1.1333333333333333)</f>
        <v>1.133333333</v>
      </c>
      <c r="S205" s="31">
        <f>IFERROR(__xludf.DUMMYFUNCTION("""COMPUTED_VALUE"""),315.5777777777777)</f>
        <v>315.5777778</v>
      </c>
      <c r="T205" s="57">
        <f>IFERROR(__xludf.DUMMYFUNCTION("""COMPUTED_VALUE"""),0.8000000000000002)</f>
        <v>0.8</v>
      </c>
      <c r="U205" s="57">
        <f>IFERROR(__xludf.DUMMYFUNCTION("""COMPUTED_VALUE"""),0.4666666666666667)</f>
        <v>0.4666666667</v>
      </c>
      <c r="V205" s="57">
        <f>IFERROR(__xludf.DUMMYFUNCTION("""COMPUTED_VALUE"""),0.9777777777777777)</f>
        <v>0.9777777778</v>
      </c>
      <c r="W205" s="57">
        <f>IFERROR(__xludf.DUMMYFUNCTION("""COMPUTED_VALUE"""),2.2222222222222223)</f>
        <v>2.222222222</v>
      </c>
      <c r="X205" s="31">
        <f>IFERROR(__xludf.DUMMYFUNCTION("""COMPUTED_VALUE"""),332.32357419965837)</f>
        <v>332.3235742</v>
      </c>
      <c r="Y205" s="57">
        <f>IFERROR(__xludf.DUMMYFUNCTION("""COMPUTED_VALUE"""),0.8285426505429838)</f>
        <v>0.8285426505</v>
      </c>
      <c r="Z205" s="57">
        <f>IFERROR(__xludf.DUMMYFUNCTION("""COMPUTED_VALUE"""),0.547474429563105)</f>
        <v>0.5474744296</v>
      </c>
      <c r="AA205" s="57">
        <f>IFERROR(__xludf.DUMMYFUNCTION("""COMPUTED_VALUE"""),1.0951958809754436)</f>
        <v>1.095195881</v>
      </c>
      <c r="AB205" s="57">
        <f>IFERROR(__xludf.DUMMYFUNCTION("""COMPUTED_VALUE"""),2.290782810521605)</f>
        <v>2.290782811</v>
      </c>
      <c r="AC205" s="31">
        <f>IFERROR(__xludf.DUMMYFUNCTION("""COMPUTED_VALUE"""),323.50031870355144)</f>
        <v>323.5003187</v>
      </c>
      <c r="AD205" s="57">
        <f>IFERROR(__xludf.DUMMYFUNCTION("""COMPUTED_VALUE"""),0.7768971141793517)</f>
        <v>0.7768971142</v>
      </c>
      <c r="AE205" s="57">
        <f>IFERROR(__xludf.DUMMYFUNCTION("""COMPUTED_VALUE"""),0.5127985345443588)</f>
        <v>0.5127985345</v>
      </c>
      <c r="AF205" s="57">
        <f>IFERROR(__xludf.DUMMYFUNCTION("""COMPUTED_VALUE"""),1.068579891857091)</f>
        <v>1.068579892</v>
      </c>
      <c r="AG205" s="57">
        <f>IFERROR(__xludf.DUMMYFUNCTION("""COMPUTED_VALUE"""),2.222215189822975)</f>
        <v>2.22221519</v>
      </c>
      <c r="AH205" s="57">
        <f>IFERROR(__xludf.DUMMYFUNCTION("""COMPUTED_VALUE"""),0.6837705782995002)</f>
        <v>0.6837705783</v>
      </c>
      <c r="AI205" s="57">
        <f>IFERROR(__xludf.DUMMYFUNCTION("""COMPUTED_VALUE"""),0.6006801391708267)</f>
        <v>0.6006801392</v>
      </c>
      <c r="AJ205" s="57">
        <f>IFERROR(__xludf.DUMMYFUNCTION("""COMPUTED_VALUE"""),0.780033430390778)</f>
        <v>0.7800334304</v>
      </c>
      <c r="AK205" s="57">
        <f>IFERROR(__xludf.DUMMYFUNCTION("""COMPUTED_VALUE"""),0.6238809767494903)</f>
        <v>0.6238809767</v>
      </c>
      <c r="AL205" s="57">
        <f>IFERROR(__xludf.DUMMYFUNCTION("""COMPUTED_VALUE"""),0.5100016139407347)</f>
        <v>0.5100016139</v>
      </c>
      <c r="AM205" s="57">
        <f>IFERROR(__xludf.DUMMYFUNCTION("""COMPUTED_VALUE"""),0.9496099653411291)</f>
        <v>0.9496099653</v>
      </c>
      <c r="AN205" s="57">
        <f>IFERROR(__xludf.DUMMYFUNCTION("""COMPUTED_VALUE"""),0.9655507769886339)</f>
        <v>0.965550777</v>
      </c>
      <c r="AO205" s="57">
        <f>IFERROR(__xludf.DUMMYFUNCTION("""COMPUTED_VALUE"""),0.8523990189625396)</f>
        <v>0.852399019</v>
      </c>
      <c r="AP205" s="35">
        <f>IFERROR(__xludf.DUMMYFUNCTION("""COMPUTED_VALUE"""),0.8927880343257988)</f>
        <v>0.8927880343</v>
      </c>
      <c r="AQ205" s="57">
        <f>IFERROR(__xludf.DUMMYFUNCTION("""COMPUTED_VALUE"""),0.9700711093236414)</f>
        <v>0.9700711093</v>
      </c>
      <c r="AR205" s="36" t="b">
        <f>IFERROR(__xludf.DUMMYFUNCTION("""COMPUTED_VALUE"""),TRUE)</f>
        <v>1</v>
      </c>
      <c r="AS205" s="57"/>
      <c r="AT205" s="37"/>
      <c r="AU205" s="30"/>
      <c r="AV205" s="30"/>
      <c r="AW205" s="30"/>
      <c r="AX205" s="30"/>
      <c r="AY205" s="30"/>
      <c r="AZ205" s="30"/>
    </row>
    <row r="206">
      <c r="A206" s="30" t="str">
        <f>IFERROR(__xludf.DUMMYFUNCTION("""COMPUTED_VALUE"""),"Contender")</f>
        <v>Contender</v>
      </c>
      <c r="B206" s="30" t="str">
        <f>IFERROR(__xludf.DUMMYFUNCTION("""COMPUTED_VALUE"""),"RSC006024")</f>
        <v>RSC006024</v>
      </c>
      <c r="C206" s="30" t="str">
        <f>IFERROR(__xludf.DUMMYFUNCTION("""COMPUTED_VALUE"""),"DrizzyDaDizzy")</f>
        <v>DrizzyDaDizzy</v>
      </c>
      <c r="D206" s="31"/>
      <c r="E206" s="31">
        <f>IFERROR(__xludf.DUMMYFUNCTION("""COMPUTED_VALUE"""),21.436575735512715)</f>
        <v>21.43657574</v>
      </c>
      <c r="F206" s="31">
        <f>IFERROR(__xludf.DUMMYFUNCTION("""COMPUTED_VALUE"""),-7.897930690569477)</f>
        <v>-7.897930691</v>
      </c>
      <c r="G206" s="31">
        <f>IFERROR(__xludf.DUMMYFUNCTION("""COMPUTED_VALUE"""),25.245379163909043)</f>
        <v>25.24537916</v>
      </c>
      <c r="H206" s="31">
        <f>IFERROR(__xludf.DUMMYFUNCTION("""COMPUTED_VALUE"""),-6.209564398130382)</f>
        <v>-6.209564398</v>
      </c>
      <c r="I206" s="54">
        <f>IFERROR(__xludf.DUMMYFUNCTION("""COMPUTED_VALUE"""),7.0)</f>
        <v>7</v>
      </c>
      <c r="J206" s="55">
        <f>IFERROR(__xludf.DUMMYFUNCTION("""COMPUTED_VALUE"""),2.0)</f>
        <v>2</v>
      </c>
      <c r="K206" s="54">
        <f>IFERROR(__xludf.DUMMYFUNCTION("""COMPUTED_VALUE"""),5.0)</f>
        <v>5</v>
      </c>
      <c r="L206" s="56">
        <f>IFERROR(__xludf.DUMMYFUNCTION("""COMPUTED_VALUE"""),0.2857142857142857)</f>
        <v>0.2857142857</v>
      </c>
      <c r="M206" s="56">
        <f>IFERROR(__xludf.DUMMYFUNCTION("""COMPUTED_VALUE"""),0.6)</f>
        <v>0.6</v>
      </c>
      <c r="N206" s="31">
        <f>IFERROR(__xludf.DUMMYFUNCTION("""COMPUTED_VALUE"""),287.14285714285717)</f>
        <v>287.1428571</v>
      </c>
      <c r="O206" s="57">
        <f>IFERROR(__xludf.DUMMYFUNCTION("""COMPUTED_VALUE"""),0.8571428571428571)</f>
        <v>0.8571428571</v>
      </c>
      <c r="P206" s="57">
        <f>IFERROR(__xludf.DUMMYFUNCTION("""COMPUTED_VALUE"""),0.0)</f>
        <v>0</v>
      </c>
      <c r="Q206" s="57">
        <f>IFERROR(__xludf.DUMMYFUNCTION("""COMPUTED_VALUE"""),1.1428571428571428)</f>
        <v>1.142857143</v>
      </c>
      <c r="R206" s="57">
        <f>IFERROR(__xludf.DUMMYFUNCTION("""COMPUTED_VALUE"""),1.4285714285714286)</f>
        <v>1.428571429</v>
      </c>
      <c r="S206" s="31">
        <f>IFERROR(__xludf.DUMMYFUNCTION("""COMPUTED_VALUE"""),341.85714285714283)</f>
        <v>341.8571429</v>
      </c>
      <c r="T206" s="57">
        <f>IFERROR(__xludf.DUMMYFUNCTION("""COMPUTED_VALUE"""),1.0)</f>
        <v>1</v>
      </c>
      <c r="U206" s="57">
        <f>IFERROR(__xludf.DUMMYFUNCTION("""COMPUTED_VALUE"""),0.7619047619047619)</f>
        <v>0.7619047619</v>
      </c>
      <c r="V206" s="57">
        <f>IFERROR(__xludf.DUMMYFUNCTION("""COMPUTED_VALUE"""),1.0)</f>
        <v>1</v>
      </c>
      <c r="W206" s="57">
        <f>IFERROR(__xludf.DUMMYFUNCTION("""COMPUTED_VALUE"""),2.4761904761904767)</f>
        <v>2.476190476</v>
      </c>
      <c r="X206" s="31">
        <f>IFERROR(__xludf.DUMMYFUNCTION("""COMPUTED_VALUE"""),326.4536878996613)</f>
        <v>326.4536879</v>
      </c>
      <c r="Y206" s="57">
        <f>IFERROR(__xludf.DUMMYFUNCTION("""COMPUTED_VALUE"""),0.8071993327245429)</f>
        <v>0.8071993327</v>
      </c>
      <c r="Z206" s="57">
        <f>IFERROR(__xludf.DUMMYFUNCTION("""COMPUTED_VALUE"""),0.5127497722735818)</f>
        <v>0.5127497723</v>
      </c>
      <c r="AA206" s="57">
        <f>IFERROR(__xludf.DUMMYFUNCTION("""COMPUTED_VALUE"""),1.1066065315014897)</f>
        <v>1.106606532</v>
      </c>
      <c r="AB206" s="57">
        <f>IFERROR(__xludf.DUMMYFUNCTION("""COMPUTED_VALUE"""),2.2561456491428484)</f>
        <v>2.256145649</v>
      </c>
      <c r="AC206" s="31">
        <f>IFERROR(__xludf.DUMMYFUNCTION("""COMPUTED_VALUE"""),303.04581751741534)</f>
        <v>303.0458175</v>
      </c>
      <c r="AD206" s="57">
        <f>IFERROR(__xludf.DUMMYFUNCTION("""COMPUTED_VALUE"""),0.6734367203671593)</f>
        <v>0.6734367204</v>
      </c>
      <c r="AE206" s="57">
        <f>IFERROR(__xludf.DUMMYFUNCTION("""COMPUTED_VALUE"""),0.45367550153964714)</f>
        <v>0.4536755015</v>
      </c>
      <c r="AF206" s="57">
        <f>IFERROR(__xludf.DUMMYFUNCTION("""COMPUTED_VALUE"""),1.0398542512921598)</f>
        <v>1.039854251</v>
      </c>
      <c r="AG206" s="57">
        <f>IFERROR(__xludf.DUMMYFUNCTION("""COMPUTED_VALUE"""),2.114597258656549)</f>
        <v>2.114597259</v>
      </c>
      <c r="AH206" s="57">
        <f>IFERROR(__xludf.DUMMYFUNCTION("""COMPUTED_VALUE"""),0.9475229174755257)</f>
        <v>0.9475229175</v>
      </c>
      <c r="AI206" s="57">
        <f>IFERROR(__xludf.DUMMYFUNCTION("""COMPUTED_VALUE"""),1.2727890107856619)</f>
        <v>1.272789011</v>
      </c>
      <c r="AJ206" s="57">
        <f>IFERROR(__xludf.DUMMYFUNCTION("""COMPUTED_VALUE"""),0.0)</f>
        <v>0</v>
      </c>
      <c r="AK206" s="57">
        <f>IFERROR(__xludf.DUMMYFUNCTION("""COMPUTED_VALUE"""),1.099055123770459)</f>
        <v>1.099055124</v>
      </c>
      <c r="AL206" s="57">
        <f>IFERROR(__xludf.DUMMYFUNCTION("""COMPUTED_VALUE"""),0.6755761281365853)</f>
        <v>0.6755761281</v>
      </c>
      <c r="AM206" s="57">
        <f>IFERROR(__xludf.DUMMYFUNCTION("""COMPUTED_VALUE"""),1.0471841964983895)</f>
        <v>1.047184196</v>
      </c>
      <c r="AN206" s="57">
        <f>IFERROR(__xludf.DUMMYFUNCTION("""COMPUTED_VALUE"""),1.2388513709800728)</f>
        <v>1.238851371</v>
      </c>
      <c r="AO206" s="57">
        <f>IFERROR(__xludf.DUMMYFUNCTION("""COMPUTED_VALUE"""),1.4859192594594492)</f>
        <v>1.485919259</v>
      </c>
      <c r="AP206" s="35">
        <f>IFERROR(__xludf.DUMMYFUNCTION("""COMPUTED_VALUE"""),0.9036635620098487)</f>
        <v>0.903663562</v>
      </c>
      <c r="AQ206" s="57">
        <f>IFERROR(__xludf.DUMMYFUNCTION("""COMPUTED_VALUE"""),1.0975313039436205)</f>
        <v>1.097531304</v>
      </c>
      <c r="AR206" s="36" t="b">
        <f>IFERROR(__xludf.DUMMYFUNCTION("""COMPUTED_VALUE"""),TRUE)</f>
        <v>1</v>
      </c>
      <c r="AS206" s="57"/>
      <c r="AT206" s="37"/>
      <c r="AU206" s="30"/>
      <c r="AV206" s="30"/>
      <c r="AW206" s="30"/>
      <c r="AX206" s="30"/>
      <c r="AY206" s="30"/>
      <c r="AZ206" s="30"/>
    </row>
    <row r="207">
      <c r="A207" s="30" t="str">
        <f>IFERROR(__xludf.DUMMYFUNCTION("""COMPUTED_VALUE"""),"Contender")</f>
        <v>Contender</v>
      </c>
      <c r="B207" s="30" t="str">
        <f>IFERROR(__xludf.DUMMYFUNCTION("""COMPUTED_VALUE"""),"RSC000323")</f>
        <v>RSC000323</v>
      </c>
      <c r="C207" s="30" t="str">
        <f>IFERROR(__xludf.DUMMYFUNCTION("""COMPUTED_VALUE"""),"Styk75")</f>
        <v>Styk75</v>
      </c>
      <c r="D207" s="31" t="str">
        <f>IFERROR(__xludf.DUMMYFUNCTION("""COMPUTED_VALUE"""),"Legionaries")</f>
        <v>Legionaries</v>
      </c>
      <c r="E207" s="31">
        <f>IFERROR(__xludf.DUMMYFUNCTION("""COMPUTED_VALUE"""),14.858051749145261)</f>
        <v>14.85805175</v>
      </c>
      <c r="F207" s="31">
        <f>IFERROR(__xludf.DUMMYFUNCTION("""COMPUTED_VALUE"""),-12.514095298461497)</f>
        <v>-12.5140953</v>
      </c>
      <c r="G207" s="31">
        <f>IFERROR(__xludf.DUMMYFUNCTION("""COMPUTED_VALUE"""),11.53543170803222)</f>
        <v>11.53543171</v>
      </c>
      <c r="H207" s="31">
        <f>IFERROR(__xludf.DUMMYFUNCTION("""COMPUTED_VALUE"""),-16.141242726382863)</f>
        <v>-16.14124273</v>
      </c>
      <c r="I207" s="54">
        <f>IFERROR(__xludf.DUMMYFUNCTION("""COMPUTED_VALUE"""),13.0)</f>
        <v>13</v>
      </c>
      <c r="J207" s="55">
        <f>IFERROR(__xludf.DUMMYFUNCTION("""COMPUTED_VALUE"""),3.0)</f>
        <v>3</v>
      </c>
      <c r="K207" s="54">
        <f>IFERROR(__xludf.DUMMYFUNCTION("""COMPUTED_VALUE"""),10.0)</f>
        <v>10</v>
      </c>
      <c r="L207" s="56">
        <f>IFERROR(__xludf.DUMMYFUNCTION("""COMPUTED_VALUE"""),0.23076923076923078)</f>
        <v>0.2307692308</v>
      </c>
      <c r="M207" s="56">
        <f>IFERROR(__xludf.DUMMYFUNCTION("""COMPUTED_VALUE"""),0.35294117647058826)</f>
        <v>0.3529411765</v>
      </c>
      <c r="N207" s="31">
        <f>IFERROR(__xludf.DUMMYFUNCTION("""COMPUTED_VALUE"""),221.92307692307693)</f>
        <v>221.9230769</v>
      </c>
      <c r="O207" s="57">
        <f>IFERROR(__xludf.DUMMYFUNCTION("""COMPUTED_VALUE"""),0.46153846153846156)</f>
        <v>0.4615384615</v>
      </c>
      <c r="P207" s="57">
        <f>IFERROR(__xludf.DUMMYFUNCTION("""COMPUTED_VALUE"""),0.3076923076923077)</f>
        <v>0.3076923077</v>
      </c>
      <c r="Q207" s="57">
        <f>IFERROR(__xludf.DUMMYFUNCTION("""COMPUTED_VALUE"""),1.0)</f>
        <v>1</v>
      </c>
      <c r="R207" s="57">
        <f>IFERROR(__xludf.DUMMYFUNCTION("""COMPUTED_VALUE"""),1.3076923076923077)</f>
        <v>1.307692308</v>
      </c>
      <c r="S207" s="31">
        <f>IFERROR(__xludf.DUMMYFUNCTION("""COMPUTED_VALUE"""),353.2820512820512)</f>
        <v>353.2820513</v>
      </c>
      <c r="T207" s="57">
        <f>IFERROR(__xludf.DUMMYFUNCTION("""COMPUTED_VALUE"""),0.9999999999999998)</f>
        <v>1</v>
      </c>
      <c r="U207" s="57">
        <f>IFERROR(__xludf.DUMMYFUNCTION("""COMPUTED_VALUE"""),0.6923076923076922)</f>
        <v>0.6923076923</v>
      </c>
      <c r="V207" s="57">
        <f>IFERROR(__xludf.DUMMYFUNCTION("""COMPUTED_VALUE"""),1.0512820512820513)</f>
        <v>1.051282051</v>
      </c>
      <c r="W207" s="57">
        <f>IFERROR(__xludf.DUMMYFUNCTION("""COMPUTED_VALUE"""),2.3333333333333335)</f>
        <v>2.333333333</v>
      </c>
      <c r="X207" s="31">
        <f>IFERROR(__xludf.DUMMYFUNCTION("""COMPUTED_VALUE"""),322.6883541295193)</f>
        <v>322.6883541</v>
      </c>
      <c r="Y207" s="57">
        <f>IFERROR(__xludf.DUMMYFUNCTION("""COMPUTED_VALUE"""),0.7704193800949748)</f>
        <v>0.7704193801</v>
      </c>
      <c r="Z207" s="57">
        <f>IFERROR(__xludf.DUMMYFUNCTION("""COMPUTED_VALUE"""),0.49432140469458613)</f>
        <v>0.4943214047</v>
      </c>
      <c r="AA207" s="57">
        <f>IFERROR(__xludf.DUMMYFUNCTION("""COMPUTED_VALUE"""),1.1042582016919704)</f>
        <v>1.104258202</v>
      </c>
      <c r="AB207" s="57">
        <f>IFERROR(__xludf.DUMMYFUNCTION("""COMPUTED_VALUE"""),2.2350406453971017)</f>
        <v>2.235040645</v>
      </c>
      <c r="AC207" s="31">
        <f>IFERROR(__xludf.DUMMYFUNCTION("""COMPUTED_VALUE"""),326.88792466874753)</f>
        <v>326.8879247</v>
      </c>
      <c r="AD207" s="57">
        <f>IFERROR(__xludf.DUMMYFUNCTION("""COMPUTED_VALUE"""),0.8233220568543677)</f>
        <v>0.8233220569</v>
      </c>
      <c r="AE207" s="57">
        <f>IFERROR(__xludf.DUMMYFUNCTION("""COMPUTED_VALUE"""),0.5465316260638111)</f>
        <v>0.5465316261</v>
      </c>
      <c r="AF207" s="57">
        <f>IFERROR(__xludf.DUMMYFUNCTION("""COMPUTED_VALUE"""),1.0733998495236716)</f>
        <v>1.07339985</v>
      </c>
      <c r="AG207" s="57">
        <f>IFERROR(__xludf.DUMMYFUNCTION("""COMPUTED_VALUE"""),2.294721738723628)</f>
        <v>2.294721739</v>
      </c>
      <c r="AH207" s="57">
        <f>IFERROR(__xludf.DUMMYFUNCTION("""COMPUTED_VALUE"""),0.6788965274503886)</f>
        <v>0.6788965275</v>
      </c>
      <c r="AI207" s="57">
        <f>IFERROR(__xludf.DUMMYFUNCTION("""COMPUTED_VALUE"""),0.5605807079939561)</f>
        <v>0.560580708</v>
      </c>
      <c r="AJ207" s="57">
        <f>IFERROR(__xludf.DUMMYFUNCTION("""COMPUTED_VALUE"""),0.5629908554576174)</f>
        <v>0.5629908555</v>
      </c>
      <c r="AK207" s="57">
        <f>IFERROR(__xludf.DUMMYFUNCTION("""COMPUTED_VALUE"""),0.9316192846903758)</f>
        <v>0.9316192847</v>
      </c>
      <c r="AL207" s="57">
        <f>IFERROR(__xludf.DUMMYFUNCTION("""COMPUTED_VALUE"""),0.5698696646416368)</f>
        <v>0.5698696646</v>
      </c>
      <c r="AM207" s="57">
        <f>IFERROR(__xludf.DUMMYFUNCTION("""COMPUTED_VALUE"""),1.0948088047213886)</f>
        <v>1.094808805</v>
      </c>
      <c r="AN207" s="57">
        <f>IFERROR(__xludf.DUMMYFUNCTION("""COMPUTED_VALUE"""),1.2979943467630877)</f>
        <v>1.297994347</v>
      </c>
      <c r="AO207" s="57">
        <f>IFERROR(__xludf.DUMMYFUNCTION("""COMPUTED_VALUE"""),1.4005213728008215)</f>
        <v>1.400521373</v>
      </c>
      <c r="AP207" s="35">
        <f>IFERROR(__xludf.DUMMYFUNCTION("""COMPUTED_VALUE"""),0.9520255766914406)</f>
        <v>0.9520255767</v>
      </c>
      <c r="AQ207" s="57">
        <f>IFERROR(__xludf.DUMMYFUNCTION("""COMPUTED_VALUE"""),1.0439780315130547)</f>
        <v>1.043978032</v>
      </c>
      <c r="AR207" s="36" t="b">
        <f>IFERROR(__xludf.DUMMYFUNCTION("""COMPUTED_VALUE"""),TRUE)</f>
        <v>1</v>
      </c>
      <c r="AS207" s="57"/>
      <c r="AT207" s="37"/>
      <c r="AU207" s="30"/>
      <c r="AV207" s="30"/>
      <c r="AW207" s="30"/>
      <c r="AX207" s="30"/>
      <c r="AY207" s="30"/>
      <c r="AZ207" s="30"/>
    </row>
    <row r="208">
      <c r="A208" s="30" t="str">
        <f>IFERROR(__xludf.DUMMYFUNCTION("""COMPUTED_VALUE"""),"Contender")</f>
        <v>Contender</v>
      </c>
      <c r="B208" s="30" t="str">
        <f>IFERROR(__xludf.DUMMYFUNCTION("""COMPUTED_VALUE"""),"RSC005527")</f>
        <v>RSC005527</v>
      </c>
      <c r="C208" s="30" t="str">
        <f>IFERROR(__xludf.DUMMYFUNCTION("""COMPUTED_VALUE"""),"Colossus4203316")</f>
        <v>Colossus4203316</v>
      </c>
      <c r="D208" s="31" t="str">
        <f>IFERROR(__xludf.DUMMYFUNCTION("""COMPUTED_VALUE"""),"Zebras")</f>
        <v>Zebras</v>
      </c>
      <c r="E208" s="31">
        <f>IFERROR(__xludf.DUMMYFUNCTION("""COMPUTED_VALUE"""),11.177981276695853)</f>
        <v>11.17798128</v>
      </c>
      <c r="F208" s="31">
        <f>IFERROR(__xludf.DUMMYFUNCTION("""COMPUTED_VALUE"""),-16.604175918319736)</f>
        <v>-16.60417592</v>
      </c>
      <c r="G208" s="31">
        <f>IFERROR(__xludf.DUMMYFUNCTION("""COMPUTED_VALUE"""),-1.1414604160703732)</f>
        <v>-1.141460416</v>
      </c>
      <c r="H208" s="31">
        <f>IFERROR(__xludf.DUMMYFUNCTION("""COMPUTED_VALUE"""),-49.03163779242019)</f>
        <v>-49.03163779</v>
      </c>
      <c r="I208" s="54">
        <f>IFERROR(__xludf.DUMMYFUNCTION("""COMPUTED_VALUE"""),13.0)</f>
        <v>13</v>
      </c>
      <c r="J208" s="55">
        <f>IFERROR(__xludf.DUMMYFUNCTION("""COMPUTED_VALUE"""),3.0)</f>
        <v>3</v>
      </c>
      <c r="K208" s="54">
        <f>IFERROR(__xludf.DUMMYFUNCTION("""COMPUTED_VALUE"""),10.0)</f>
        <v>10</v>
      </c>
      <c r="L208" s="56">
        <f>IFERROR(__xludf.DUMMYFUNCTION("""COMPUTED_VALUE"""),0.23076923076923078)</f>
        <v>0.2307692308</v>
      </c>
      <c r="M208" s="56">
        <f>IFERROR(__xludf.DUMMYFUNCTION("""COMPUTED_VALUE"""),0.3125)</f>
        <v>0.3125</v>
      </c>
      <c r="N208" s="31">
        <f>IFERROR(__xludf.DUMMYFUNCTION("""COMPUTED_VALUE"""),223.15384615384616)</f>
        <v>223.1538462</v>
      </c>
      <c r="O208" s="57">
        <f>IFERROR(__xludf.DUMMYFUNCTION("""COMPUTED_VALUE"""),0.38461538461538464)</f>
        <v>0.3846153846</v>
      </c>
      <c r="P208" s="57">
        <f>IFERROR(__xludf.DUMMYFUNCTION("""COMPUTED_VALUE"""),0.3076923076923077)</f>
        <v>0.3076923077</v>
      </c>
      <c r="Q208" s="57">
        <f>IFERROR(__xludf.DUMMYFUNCTION("""COMPUTED_VALUE"""),0.8461538461538461)</f>
        <v>0.8461538462</v>
      </c>
      <c r="R208" s="57">
        <f>IFERROR(__xludf.DUMMYFUNCTION("""COMPUTED_VALUE"""),1.2307692307692308)</f>
        <v>1.230769231</v>
      </c>
      <c r="S208" s="31">
        <f>IFERROR(__xludf.DUMMYFUNCTION("""COMPUTED_VALUE"""),387.7435897435898)</f>
        <v>387.7435897</v>
      </c>
      <c r="T208" s="57">
        <f>IFERROR(__xludf.DUMMYFUNCTION("""COMPUTED_VALUE"""),1.128205128205128)</f>
        <v>1.128205128</v>
      </c>
      <c r="U208" s="57">
        <f>IFERROR(__xludf.DUMMYFUNCTION("""COMPUTED_VALUE"""),0.7692307692307693)</f>
        <v>0.7692307692</v>
      </c>
      <c r="V208" s="57">
        <f>IFERROR(__xludf.DUMMYFUNCTION("""COMPUTED_VALUE"""),1.0769230769230769)</f>
        <v>1.076923077</v>
      </c>
      <c r="W208" s="57">
        <f>IFERROR(__xludf.DUMMYFUNCTION("""COMPUTED_VALUE"""),2.8205128205128207)</f>
        <v>2.820512821</v>
      </c>
      <c r="X208" s="31">
        <f>IFERROR(__xludf.DUMMYFUNCTION("""COMPUTED_VALUE"""),335.2524401343991)</f>
        <v>335.2524401</v>
      </c>
      <c r="Y208" s="57">
        <f>IFERROR(__xludf.DUMMYFUNCTION("""COMPUTED_VALUE"""),0.8596688726748015)</f>
        <v>0.8596688727</v>
      </c>
      <c r="Z208" s="57">
        <f>IFERROR(__xludf.DUMMYFUNCTION("""COMPUTED_VALUE"""),0.5109446722841948)</f>
        <v>0.5109446723</v>
      </c>
      <c r="AA208" s="57">
        <f>IFERROR(__xludf.DUMMYFUNCTION("""COMPUTED_VALUE"""),1.1194036849404299)</f>
        <v>1.119403685</v>
      </c>
      <c r="AB208" s="57">
        <f>IFERROR(__xludf.DUMMYFUNCTION("""COMPUTED_VALUE"""),2.294179501231304)</f>
        <v>2.294179501</v>
      </c>
      <c r="AC208" s="31">
        <f>IFERROR(__xludf.DUMMYFUNCTION("""COMPUTED_VALUE"""),321.0981755190732)</f>
        <v>321.0981755</v>
      </c>
      <c r="AD208" s="57">
        <f>IFERROR(__xludf.DUMMYFUNCTION("""COMPUTED_VALUE"""),0.7488871358083924)</f>
        <v>0.7488871358</v>
      </c>
      <c r="AE208" s="57">
        <f>IFERROR(__xludf.DUMMYFUNCTION("""COMPUTED_VALUE"""),0.5071546733116402)</f>
        <v>0.5071546733</v>
      </c>
      <c r="AF208" s="57">
        <f>IFERROR(__xludf.DUMMYFUNCTION("""COMPUTED_VALUE"""),1.0786512748225445)</f>
        <v>1.078651275</v>
      </c>
      <c r="AG208" s="57">
        <f>IFERROR(__xludf.DUMMYFUNCTION("""COMPUTED_VALUE"""),2.2898067330480085)</f>
        <v>2.289806733</v>
      </c>
      <c r="AH208" s="57">
        <f>IFERROR(__xludf.DUMMYFUNCTION("""COMPUTED_VALUE"""),0.6949707695881655)</f>
        <v>0.6949707696</v>
      </c>
      <c r="AI208" s="57">
        <f>IFERROR(__xludf.DUMMYFUNCTION("""COMPUTED_VALUE"""),0.513582576365407)</f>
        <v>0.5135825764</v>
      </c>
      <c r="AJ208" s="57">
        <f>IFERROR(__xludf.DUMMYFUNCTION("""COMPUTED_VALUE"""),0.6067030905643152)</f>
        <v>0.6067030906</v>
      </c>
      <c r="AK208" s="57">
        <f>IFERROR(__xludf.DUMMYFUNCTION("""COMPUTED_VALUE"""),0.7844554267949594)</f>
        <v>0.7844554268</v>
      </c>
      <c r="AL208" s="57">
        <f>IFERROR(__xludf.DUMMYFUNCTION("""COMPUTED_VALUE"""),0.5374991753696736)</f>
        <v>0.5374991754</v>
      </c>
      <c r="AM208" s="57">
        <f>IFERROR(__xludf.DUMMYFUNCTION("""COMPUTED_VALUE"""),1.1565720135792228)</f>
        <v>1.156572014</v>
      </c>
      <c r="AN208" s="57">
        <f>IFERROR(__xludf.DUMMYFUNCTION("""COMPUTED_VALUE"""),1.3123717329613134)</f>
        <v>1.312371733</v>
      </c>
      <c r="AO208" s="57">
        <f>IFERROR(__xludf.DUMMYFUNCTION("""COMPUTED_VALUE"""),1.5055069774813348)</f>
        <v>1.505506977</v>
      </c>
      <c r="AP208" s="35">
        <f>IFERROR(__xludf.DUMMYFUNCTION("""COMPUTED_VALUE"""),0.9620506805642562)</f>
        <v>0.9620506806</v>
      </c>
      <c r="AQ208" s="57">
        <f>IFERROR(__xludf.DUMMYFUNCTION("""COMPUTED_VALUE"""),1.2294211586316717)</f>
        <v>1.229421159</v>
      </c>
      <c r="AR208" s="36" t="b">
        <f>IFERROR(__xludf.DUMMYFUNCTION("""COMPUTED_VALUE"""),TRUE)</f>
        <v>1</v>
      </c>
      <c r="AS208" s="57"/>
      <c r="AT208" s="37"/>
      <c r="AU208" s="30"/>
      <c r="AV208" s="30"/>
      <c r="AW208" s="30"/>
      <c r="AX208" s="30"/>
      <c r="AY208" s="30"/>
      <c r="AZ208" s="30"/>
    </row>
    <row r="209">
      <c r="A209" s="30" t="str">
        <f>IFERROR(__xludf.DUMMYFUNCTION("""COMPUTED_VALUE"""),"Contender")</f>
        <v>Contender</v>
      </c>
      <c r="B209" s="30" t="str">
        <f>IFERROR(__xludf.DUMMYFUNCTION("""COMPUTED_VALUE"""),"RSC007910")</f>
        <v>RSC007910</v>
      </c>
      <c r="C209" s="30" t="str">
        <f>IFERROR(__xludf.DUMMYFUNCTION("""COMPUTED_VALUE"""),"TTVCAPTAINDRC")</f>
        <v>TTVCAPTAINDRC</v>
      </c>
      <c r="D209" s="31"/>
      <c r="E209" s="31">
        <f>IFERROR(__xludf.DUMMYFUNCTION("""COMPUTED_VALUE"""),9.817957744522325)</f>
        <v>9.817957745</v>
      </c>
      <c r="F209" s="31">
        <f>IFERROR(__xludf.DUMMYFUNCTION("""COMPUTED_VALUE"""),-18.51978935875559)</f>
        <v>-18.51978936</v>
      </c>
      <c r="G209" s="31">
        <f>IFERROR(__xludf.DUMMYFUNCTION("""COMPUTED_VALUE"""),18.360159532905058)</f>
        <v>18.36015953</v>
      </c>
      <c r="H209" s="31">
        <f>IFERROR(__xludf.DUMMYFUNCTION("""COMPUTED_VALUE"""),-9.724854123823249)</f>
        <v>-9.724854124</v>
      </c>
      <c r="I209" s="54">
        <f>IFERROR(__xludf.DUMMYFUNCTION("""COMPUTED_VALUE"""),3.0)</f>
        <v>3</v>
      </c>
      <c r="J209" s="55">
        <f>IFERROR(__xludf.DUMMYFUNCTION("""COMPUTED_VALUE"""),0.0)</f>
        <v>0</v>
      </c>
      <c r="K209" s="54">
        <f>IFERROR(__xludf.DUMMYFUNCTION("""COMPUTED_VALUE"""),3.0)</f>
        <v>3</v>
      </c>
      <c r="L209" s="56">
        <f>IFERROR(__xludf.DUMMYFUNCTION("""COMPUTED_VALUE"""),0.0)</f>
        <v>0</v>
      </c>
      <c r="M209" s="56">
        <f>IFERROR(__xludf.DUMMYFUNCTION("""COMPUTED_VALUE"""),0.5)</f>
        <v>0.5</v>
      </c>
      <c r="N209" s="31">
        <f>IFERROR(__xludf.DUMMYFUNCTION("""COMPUTED_VALUE"""),225.66666666666666)</f>
        <v>225.6666667</v>
      </c>
      <c r="O209" s="57">
        <f>IFERROR(__xludf.DUMMYFUNCTION("""COMPUTED_VALUE"""),0.3333333333333333)</f>
        <v>0.3333333333</v>
      </c>
      <c r="P209" s="57">
        <f>IFERROR(__xludf.DUMMYFUNCTION("""COMPUTED_VALUE"""),0.3333333333333333)</f>
        <v>0.3333333333</v>
      </c>
      <c r="Q209" s="57">
        <f>IFERROR(__xludf.DUMMYFUNCTION("""COMPUTED_VALUE"""),1.3333333333333333)</f>
        <v>1.333333333</v>
      </c>
      <c r="R209" s="57">
        <f>IFERROR(__xludf.DUMMYFUNCTION("""COMPUTED_VALUE"""),0.6666666666666666)</f>
        <v>0.6666666667</v>
      </c>
      <c r="S209" s="31">
        <f>IFERROR(__xludf.DUMMYFUNCTION("""COMPUTED_VALUE"""),338.4444444444444)</f>
        <v>338.4444444</v>
      </c>
      <c r="T209" s="57">
        <f>IFERROR(__xludf.DUMMYFUNCTION("""COMPUTED_VALUE"""),1.111111111111111)</f>
        <v>1.111111111</v>
      </c>
      <c r="U209" s="57">
        <f>IFERROR(__xludf.DUMMYFUNCTION("""COMPUTED_VALUE"""),0.5555555555555555)</f>
        <v>0.5555555556</v>
      </c>
      <c r="V209" s="57">
        <f>IFERROR(__xludf.DUMMYFUNCTION("""COMPUTED_VALUE"""),1.0)</f>
        <v>1</v>
      </c>
      <c r="W209" s="57">
        <f>IFERROR(__xludf.DUMMYFUNCTION("""COMPUTED_VALUE"""),2.111111111111111)</f>
        <v>2.111111111</v>
      </c>
      <c r="X209" s="31">
        <f>IFERROR(__xludf.DUMMYFUNCTION("""COMPUTED_VALUE"""),323.7785714285714)</f>
        <v>323.7785714</v>
      </c>
      <c r="Y209" s="57">
        <f>IFERROR(__xludf.DUMMYFUNCTION("""COMPUTED_VALUE"""),0.8116971916971917)</f>
        <v>0.8116971917</v>
      </c>
      <c r="Z209" s="57">
        <f>IFERROR(__xludf.DUMMYFUNCTION("""COMPUTED_VALUE"""),0.48449328449328455)</f>
        <v>0.4844932845</v>
      </c>
      <c r="AA209" s="57">
        <f>IFERROR(__xludf.DUMMYFUNCTION("""COMPUTED_VALUE"""),1.0862026862026861)</f>
        <v>1.086202686</v>
      </c>
      <c r="AB209" s="57">
        <f>IFERROR(__xludf.DUMMYFUNCTION("""COMPUTED_VALUE"""),2.220964590964591)</f>
        <v>2.220964591</v>
      </c>
      <c r="AC209" s="31">
        <f>IFERROR(__xludf.DUMMYFUNCTION("""COMPUTED_VALUE"""),325.3235856735857)</f>
        <v>325.3235857</v>
      </c>
      <c r="AD209" s="57">
        <f>IFERROR(__xludf.DUMMYFUNCTION("""COMPUTED_VALUE"""),0.7603011803011802)</f>
        <v>0.7603011803</v>
      </c>
      <c r="AE209" s="57">
        <f>IFERROR(__xludf.DUMMYFUNCTION("""COMPUTED_VALUE"""),0.49997964997965)</f>
        <v>0.49997965</v>
      </c>
      <c r="AF209" s="57">
        <f>IFERROR(__xludf.DUMMYFUNCTION("""COMPUTED_VALUE"""),1.124139194139194)</f>
        <v>1.124139194</v>
      </c>
      <c r="AG209" s="57">
        <f>IFERROR(__xludf.DUMMYFUNCTION("""COMPUTED_VALUE"""),2.2817053317053317)</f>
        <v>2.281705332</v>
      </c>
      <c r="AH209" s="57">
        <f>IFERROR(__xludf.DUMMYFUNCTION("""COMPUTED_VALUE"""),0.6936683247217431)</f>
        <v>0.6936683247</v>
      </c>
      <c r="AI209" s="57">
        <f>IFERROR(__xludf.DUMMYFUNCTION("""COMPUTED_VALUE"""),0.43842274873398074)</f>
        <v>0.4384227487</v>
      </c>
      <c r="AJ209" s="57">
        <f>IFERROR(__xludf.DUMMYFUNCTION("""COMPUTED_VALUE"""),0.6666938011315071)</f>
        <v>0.6666938011</v>
      </c>
      <c r="AK209" s="57">
        <f>IFERROR(__xludf.DUMMYFUNCTION("""COMPUTED_VALUE"""),1.1860927368112353)</f>
        <v>1.186092737</v>
      </c>
      <c r="AL209" s="57">
        <f>IFERROR(__xludf.DUMMYFUNCTION("""COMPUTED_VALUE"""),0.29217912471125457)</f>
        <v>0.2921791247</v>
      </c>
      <c r="AM209" s="57">
        <f>IFERROR(__xludf.DUMMYFUNCTION("""COMPUTED_VALUE"""),1.0452959964310313)</f>
        <v>1.045295996</v>
      </c>
      <c r="AN209" s="57">
        <f>IFERROR(__xludf.DUMMYFUNCTION("""COMPUTED_VALUE"""),1.368873913174283)</f>
        <v>1.368873913</v>
      </c>
      <c r="AO209" s="57">
        <f>IFERROR(__xludf.DUMMYFUNCTION("""COMPUTED_VALUE"""),1.1466733870967738)</f>
        <v>1.146673387</v>
      </c>
      <c r="AP209" s="35">
        <f>IFERROR(__xludf.DUMMYFUNCTION("""COMPUTED_VALUE"""),0.9206384892086331)</f>
        <v>0.9206384892</v>
      </c>
      <c r="AQ209" s="57">
        <f>IFERROR(__xludf.DUMMYFUNCTION("""COMPUTED_VALUE"""),0.9505379418022287)</f>
        <v>0.9505379418</v>
      </c>
      <c r="AR209" s="36" t="b">
        <f>IFERROR(__xludf.DUMMYFUNCTION("""COMPUTED_VALUE"""),TRUE)</f>
        <v>1</v>
      </c>
      <c r="AS209" s="57"/>
      <c r="AT209" s="37"/>
      <c r="AU209" s="30"/>
      <c r="AV209" s="30"/>
      <c r="AW209" s="30"/>
      <c r="AX209" s="30"/>
      <c r="AY209" s="30"/>
      <c r="AZ209" s="30"/>
    </row>
    <row r="210">
      <c r="A210" s="30" t="str">
        <f>IFERROR(__xludf.DUMMYFUNCTION("""COMPUTED_VALUE"""),"Contender")</f>
        <v>Contender</v>
      </c>
      <c r="B210" s="30" t="str">
        <f>IFERROR(__xludf.DUMMYFUNCTION("""COMPUTED_VALUE"""),"RSC001765")</f>
        <v>RSC001765</v>
      </c>
      <c r="C210" s="30" t="str">
        <f>IFERROR(__xludf.DUMMYFUNCTION("""COMPUTED_VALUE"""),"Trios")</f>
        <v>Trios</v>
      </c>
      <c r="D210" s="31"/>
      <c r="E210" s="31">
        <f>IFERROR(__xludf.DUMMYFUNCTION("""COMPUTED_VALUE"""),-2.981464768239576)</f>
        <v>-2.981464768</v>
      </c>
      <c r="F210" s="31">
        <f>IFERROR(__xludf.DUMMYFUNCTION("""COMPUTED_VALUE"""),-58.705050295234564)</f>
        <v>-58.7050503</v>
      </c>
      <c r="G210" s="31">
        <f>IFERROR(__xludf.DUMMYFUNCTION("""COMPUTED_VALUE"""),-0.9567060663569151)</f>
        <v>-0.9567060664</v>
      </c>
      <c r="H210" s="31">
        <f>IFERROR(__xludf.DUMMYFUNCTION("""COMPUTED_VALUE"""),-48.165944378503745)</f>
        <v>-48.16594438</v>
      </c>
      <c r="I210" s="54">
        <f>IFERROR(__xludf.DUMMYFUNCTION("""COMPUTED_VALUE"""),4.0)</f>
        <v>4</v>
      </c>
      <c r="J210" s="55">
        <f>IFERROR(__xludf.DUMMYFUNCTION("""COMPUTED_VALUE"""),1.0)</f>
        <v>1</v>
      </c>
      <c r="K210" s="54">
        <f>IFERROR(__xludf.DUMMYFUNCTION("""COMPUTED_VALUE"""),3.0)</f>
        <v>3</v>
      </c>
      <c r="L210" s="56">
        <f>IFERROR(__xludf.DUMMYFUNCTION("""COMPUTED_VALUE"""),0.25)</f>
        <v>0.25</v>
      </c>
      <c r="M210" s="56">
        <f>IFERROR(__xludf.DUMMYFUNCTION("""COMPUTED_VALUE"""),0.16666666666666666)</f>
        <v>0.1666666667</v>
      </c>
      <c r="N210" s="31">
        <f>IFERROR(__xludf.DUMMYFUNCTION("""COMPUTED_VALUE"""),204.75)</f>
        <v>204.75</v>
      </c>
      <c r="O210" s="57">
        <f>IFERROR(__xludf.DUMMYFUNCTION("""COMPUTED_VALUE"""),0.25)</f>
        <v>0.25</v>
      </c>
      <c r="P210" s="57">
        <f>IFERROR(__xludf.DUMMYFUNCTION("""COMPUTED_VALUE"""),0.25)</f>
        <v>0.25</v>
      </c>
      <c r="Q210" s="57">
        <f>IFERROR(__xludf.DUMMYFUNCTION("""COMPUTED_VALUE"""),0.75)</f>
        <v>0.75</v>
      </c>
      <c r="R210" s="57">
        <f>IFERROR(__xludf.DUMMYFUNCTION("""COMPUTED_VALUE"""),1.5)</f>
        <v>1.5</v>
      </c>
      <c r="S210" s="31">
        <f>IFERROR(__xludf.DUMMYFUNCTION("""COMPUTED_VALUE"""),376.25)</f>
        <v>376.25</v>
      </c>
      <c r="T210" s="57">
        <f>IFERROR(__xludf.DUMMYFUNCTION("""COMPUTED_VALUE"""),1.5)</f>
        <v>1.5</v>
      </c>
      <c r="U210" s="57">
        <f>IFERROR(__xludf.DUMMYFUNCTION("""COMPUTED_VALUE"""),0.9166666666666666)</f>
        <v>0.9166666667</v>
      </c>
      <c r="V210" s="57">
        <f>IFERROR(__xludf.DUMMYFUNCTION("""COMPUTED_VALUE"""),0.6666666666666666)</f>
        <v>0.6666666667</v>
      </c>
      <c r="W210" s="57">
        <f>IFERROR(__xludf.DUMMYFUNCTION("""COMPUTED_VALUE"""),2.7499999999999996)</f>
        <v>2.75</v>
      </c>
      <c r="X210" s="31">
        <f>IFERROR(__xludf.DUMMYFUNCTION("""COMPUTED_VALUE"""),307.50123456790124)</f>
        <v>307.5012346</v>
      </c>
      <c r="Y210" s="57">
        <f>IFERROR(__xludf.DUMMYFUNCTION("""COMPUTED_VALUE"""),0.7275132275132276)</f>
        <v>0.7275132275</v>
      </c>
      <c r="Z210" s="57">
        <f>IFERROR(__xludf.DUMMYFUNCTION("""COMPUTED_VALUE"""),0.45255731922398584)</f>
        <v>0.4525573192</v>
      </c>
      <c r="AA210" s="57">
        <f>IFERROR(__xludf.DUMMYFUNCTION("""COMPUTED_VALUE"""),0.9481481481481482)</f>
        <v>0.9481481481</v>
      </c>
      <c r="AB210" s="57">
        <f>IFERROR(__xludf.DUMMYFUNCTION("""COMPUTED_VALUE"""),2.2606701940035276)</f>
        <v>2.260670194</v>
      </c>
      <c r="AC210" s="31">
        <f>IFERROR(__xludf.DUMMYFUNCTION("""COMPUTED_VALUE"""),323.3660787771899)</f>
        <v>323.3660788</v>
      </c>
      <c r="AD210" s="57">
        <f>IFERROR(__xludf.DUMMYFUNCTION("""COMPUTED_VALUE"""),0.8556731334509111)</f>
        <v>0.8556731335</v>
      </c>
      <c r="AE210" s="57">
        <f>IFERROR(__xludf.DUMMYFUNCTION("""COMPUTED_VALUE"""),0.5726631393298061)</f>
        <v>0.5726631393</v>
      </c>
      <c r="AF210" s="57">
        <f>IFERROR(__xludf.DUMMYFUNCTION("""COMPUTED_VALUE"""),0.996355085243974)</f>
        <v>0.9963550852</v>
      </c>
      <c r="AG210" s="57">
        <f>IFERROR(__xludf.DUMMYFUNCTION("""COMPUTED_VALUE"""),2.1648442092886544)</f>
        <v>2.164844209</v>
      </c>
      <c r="AH210" s="57">
        <f>IFERROR(__xludf.DUMMYFUNCTION("""COMPUTED_VALUE"""),0.633183297315114)</f>
        <v>0.6331832973</v>
      </c>
      <c r="AI210" s="57">
        <f>IFERROR(__xludf.DUMMYFUNCTION("""COMPUTED_VALUE"""),0.29216763998625905)</f>
        <v>0.29216764</v>
      </c>
      <c r="AJ210" s="57">
        <f>IFERROR(__xludf.DUMMYFUNCTION("""COMPUTED_VALUE"""),0.43655682168155213)</f>
        <v>0.4365568217</v>
      </c>
      <c r="AK210" s="57">
        <f>IFERROR(__xludf.DUMMYFUNCTION("""COMPUTED_VALUE"""),0.7527436865706869)</f>
        <v>0.7527436866</v>
      </c>
      <c r="AL210" s="57">
        <f>IFERROR(__xludf.DUMMYFUNCTION("""COMPUTED_VALUE"""),0.692890506191614)</f>
        <v>0.6928905062</v>
      </c>
      <c r="AM210" s="57">
        <f>IFERROR(__xludf.DUMMYFUNCTION("""COMPUTED_VALUE"""),1.2235723233069424)</f>
        <v>1.223572323</v>
      </c>
      <c r="AN210" s="57">
        <f>IFERROR(__xludf.DUMMYFUNCTION("""COMPUTED_VALUE"""),2.0618181818181816)</f>
        <v>2.061818182</v>
      </c>
      <c r="AO210" s="57">
        <f>IFERROR(__xludf.DUMMYFUNCTION("""COMPUTED_VALUE"""),2.0255261106780984)</f>
        <v>2.025526111</v>
      </c>
      <c r="AP210" s="35">
        <f>IFERROR(__xludf.DUMMYFUNCTION("""COMPUTED_VALUE"""),0.7031249999999999)</f>
        <v>0.703125</v>
      </c>
      <c r="AQ210" s="57">
        <f>IFERROR(__xludf.DUMMYFUNCTION("""COMPUTED_VALUE"""),1.2164534248712744)</f>
        <v>1.216453425</v>
      </c>
      <c r="AR210" s="36" t="b">
        <f>IFERROR(__xludf.DUMMYFUNCTION("""COMPUTED_VALUE"""),TRUE)</f>
        <v>1</v>
      </c>
      <c r="AS210" s="57"/>
      <c r="AT210" s="37"/>
      <c r="AU210" s="30"/>
      <c r="AV210" s="30"/>
      <c r="AW210" s="30"/>
      <c r="AX210" s="30"/>
      <c r="AY210" s="30"/>
      <c r="AZ210" s="30"/>
    </row>
    <row r="211">
      <c r="A211" s="30" t="str">
        <f>IFERROR(__xludf.DUMMYFUNCTION("""COMPUTED_VALUE"""),"Elite")</f>
        <v>Elite</v>
      </c>
      <c r="B211" s="30" t="str">
        <f>IFERROR(__xludf.DUMMYFUNCTION("""COMPUTED_VALUE"""),"RSC007869")</f>
        <v>RSC007869</v>
      </c>
      <c r="C211" s="30" t="str">
        <f>IFERROR(__xludf.DUMMYFUNCTION("""COMPUTED_VALUE"""),"Swishira")</f>
        <v>Swishira</v>
      </c>
      <c r="D211" s="31" t="str">
        <f>IFERROR(__xludf.DUMMYFUNCTION("""COMPUTED_VALUE"""),"Black-Holes")</f>
        <v>Black-Holes</v>
      </c>
      <c r="E211" s="31">
        <f>IFERROR(__xludf.DUMMYFUNCTION("""COMPUTED_VALUE"""),126.15790455603492)</f>
        <v>126.1579046</v>
      </c>
      <c r="F211" s="31">
        <f>IFERROR(__xludf.DUMMYFUNCTION("""COMPUTED_VALUE"""),863.3189862493921)</f>
        <v>863.3189862</v>
      </c>
      <c r="G211" s="31">
        <f>IFERROR(__xludf.DUMMYFUNCTION("""COMPUTED_VALUE"""),102.840765417136)</f>
        <v>102.8407654</v>
      </c>
      <c r="H211" s="31">
        <f>IFERROR(__xludf.DUMMYFUNCTION("""COMPUTED_VALUE"""),57.8924338954759)</f>
        <v>57.8924339</v>
      </c>
      <c r="I211" s="54">
        <f>IFERROR(__xludf.DUMMYFUNCTION("""COMPUTED_VALUE"""),32.0)</f>
        <v>32</v>
      </c>
      <c r="J211" s="55">
        <f>IFERROR(__xludf.DUMMYFUNCTION("""COMPUTED_VALUE"""),24.0)</f>
        <v>24</v>
      </c>
      <c r="K211" s="54">
        <f>IFERROR(__xludf.DUMMYFUNCTION("""COMPUTED_VALUE"""),8.0)</f>
        <v>8</v>
      </c>
      <c r="L211" s="56">
        <f>IFERROR(__xludf.DUMMYFUNCTION("""COMPUTED_VALUE"""),0.75)</f>
        <v>0.75</v>
      </c>
      <c r="M211" s="56">
        <f>IFERROR(__xludf.DUMMYFUNCTION("""COMPUTED_VALUE"""),0.4108527131782946)</f>
        <v>0.4108527132</v>
      </c>
      <c r="N211" s="31">
        <f>IFERROR(__xludf.DUMMYFUNCTION("""COMPUTED_VALUE"""),509.21875)</f>
        <v>509.21875</v>
      </c>
      <c r="O211" s="57">
        <f>IFERROR(__xludf.DUMMYFUNCTION("""COMPUTED_VALUE"""),1.65625)</f>
        <v>1.65625</v>
      </c>
      <c r="P211" s="57">
        <f>IFERROR(__xludf.DUMMYFUNCTION("""COMPUTED_VALUE"""),1.125)</f>
        <v>1.125</v>
      </c>
      <c r="Q211" s="57">
        <f>IFERROR(__xludf.DUMMYFUNCTION("""COMPUTED_VALUE"""),1.0625)</f>
        <v>1.0625</v>
      </c>
      <c r="R211" s="57">
        <f>IFERROR(__xludf.DUMMYFUNCTION("""COMPUTED_VALUE"""),4.03125)</f>
        <v>4.03125</v>
      </c>
      <c r="S211" s="31">
        <f>IFERROR(__xludf.DUMMYFUNCTION("""COMPUTED_VALUE"""),369.2604166666666)</f>
        <v>369.2604167</v>
      </c>
      <c r="T211" s="57">
        <f>IFERROR(__xludf.DUMMYFUNCTION("""COMPUTED_VALUE"""),0.7291666666666666)</f>
        <v>0.7291666667</v>
      </c>
      <c r="U211" s="57">
        <f>IFERROR(__xludf.DUMMYFUNCTION("""COMPUTED_VALUE"""),0.53125)</f>
        <v>0.53125</v>
      </c>
      <c r="V211" s="57">
        <f>IFERROR(__xludf.DUMMYFUNCTION("""COMPUTED_VALUE"""),1.770833333333334)</f>
        <v>1.770833333</v>
      </c>
      <c r="W211" s="57">
        <f>IFERROR(__xludf.DUMMYFUNCTION("""COMPUTED_VALUE"""),2.3125)</f>
        <v>2.3125</v>
      </c>
      <c r="X211" s="31">
        <f>IFERROR(__xludf.DUMMYFUNCTION("""COMPUTED_VALUE"""),342.81915386696414)</f>
        <v>342.8191539</v>
      </c>
      <c r="Y211" s="57">
        <f>IFERROR(__xludf.DUMMYFUNCTION("""COMPUTED_VALUE"""),0.6838194963636273)</f>
        <v>0.6838194964</v>
      </c>
      <c r="Z211" s="57">
        <f>IFERROR(__xludf.DUMMYFUNCTION("""COMPUTED_VALUE"""),0.4914675616686758)</f>
        <v>0.4914675617</v>
      </c>
      <c r="AA211" s="57">
        <f>IFERROR(__xludf.DUMMYFUNCTION("""COMPUTED_VALUE"""),1.460370414921018)</f>
        <v>1.460370415</v>
      </c>
      <c r="AB211" s="57">
        <f>IFERROR(__xludf.DUMMYFUNCTION("""COMPUTED_VALUE"""),2.476930968495191)</f>
        <v>2.476930968</v>
      </c>
      <c r="AC211" s="31">
        <f>IFERROR(__xludf.DUMMYFUNCTION("""COMPUTED_VALUE"""),379.64447265833104)</f>
        <v>379.6444727</v>
      </c>
      <c r="AD211" s="57">
        <f>IFERROR(__xludf.DUMMYFUNCTION("""COMPUTED_VALUE"""),0.8981434192444838)</f>
        <v>0.8981434192</v>
      </c>
      <c r="AE211" s="57">
        <f>IFERROR(__xludf.DUMMYFUNCTION("""COMPUTED_VALUE"""),0.6944079222097672)</f>
        <v>0.6944079222</v>
      </c>
      <c r="AF211" s="57">
        <f>IFERROR(__xludf.DUMMYFUNCTION("""COMPUTED_VALUE"""),1.3550507243795002)</f>
        <v>1.355050724</v>
      </c>
      <c r="AG211" s="57">
        <f>IFERROR(__xludf.DUMMYFUNCTION("""COMPUTED_VALUE"""),2.9310176924767815)</f>
        <v>2.931017692</v>
      </c>
      <c r="AH211" s="57">
        <f>IFERROR(__xludf.DUMMYFUNCTION("""COMPUTED_VALUE"""),1.3413042640509665)</f>
        <v>1.341304264</v>
      </c>
      <c r="AI211" s="57">
        <f>IFERROR(__xludf.DUMMYFUNCTION("""COMPUTED_VALUE"""),1.8440818743550265)</f>
        <v>1.844081874</v>
      </c>
      <c r="AJ211" s="57">
        <f>IFERROR(__xludf.DUMMYFUNCTION("""COMPUTED_VALUE"""),1.6200852035500817)</f>
        <v>1.620085204</v>
      </c>
      <c r="AK211" s="57">
        <f>IFERROR(__xludf.DUMMYFUNCTION("""COMPUTED_VALUE"""),0.784103488440653)</f>
        <v>0.7841034884</v>
      </c>
      <c r="AL211" s="57">
        <f>IFERROR(__xludf.DUMMYFUNCTION("""COMPUTED_VALUE"""),1.375375525827514)</f>
        <v>1.375375526</v>
      </c>
      <c r="AM211" s="57">
        <f>IFERROR(__xludf.DUMMYFUNCTION("""COMPUTED_VALUE"""),1.0771288958083227)</f>
        <v>1.077128896</v>
      </c>
      <c r="AN211" s="57">
        <f>IFERROR(__xludf.DUMMYFUNCTION("""COMPUTED_VALUE"""),1.0663145326276653)</f>
        <v>1.066314533</v>
      </c>
      <c r="AO211" s="57">
        <f>IFERROR(__xludf.DUMMYFUNCTION("""COMPUTED_VALUE"""),1.0809462138177568)</f>
        <v>1.080946214</v>
      </c>
      <c r="AP211" s="35">
        <f>IFERROR(__xludf.DUMMYFUNCTION("""COMPUTED_VALUE"""),1.212591898082999)</f>
        <v>1.212591898</v>
      </c>
      <c r="AQ211" s="57">
        <f>IFERROR(__xludf.DUMMYFUNCTION("""COMPUTED_VALUE"""),0.9336150378889696)</f>
        <v>0.9336150379</v>
      </c>
      <c r="AR211" s="36" t="b">
        <f>IFERROR(__xludf.DUMMYFUNCTION("""COMPUTED_VALUE"""),TRUE)</f>
        <v>1</v>
      </c>
      <c r="AS211" s="57"/>
      <c r="AT211" s="37"/>
      <c r="AU211" s="30"/>
      <c r="AV211" s="30"/>
      <c r="AW211" s="30"/>
      <c r="AX211" s="30"/>
      <c r="AY211" s="30"/>
      <c r="AZ211" s="30"/>
    </row>
    <row r="212">
      <c r="A212" s="30" t="str">
        <f>IFERROR(__xludf.DUMMYFUNCTION("""COMPUTED_VALUE"""),"Elite")</f>
        <v>Elite</v>
      </c>
      <c r="B212" s="30" t="str">
        <f>IFERROR(__xludf.DUMMYFUNCTION("""COMPUTED_VALUE"""),"RSC000579")</f>
        <v>RSC000579</v>
      </c>
      <c r="C212" s="30" t="str">
        <f>IFERROR(__xludf.DUMMYFUNCTION("""COMPUTED_VALUE"""),"Cryptt.")</f>
        <v>Cryptt.</v>
      </c>
      <c r="D212" s="31" t="str">
        <f>IFERROR(__xludf.DUMMYFUNCTION("""COMPUTED_VALUE"""),"Cotija Cartel")</f>
        <v>Cotija Cartel</v>
      </c>
      <c r="E212" s="31">
        <f>IFERROR(__xludf.DUMMYFUNCTION("""COMPUTED_VALUE"""),112.99282088028892)</f>
        <v>112.9928209</v>
      </c>
      <c r="F212" s="31">
        <f>IFERROR(__xludf.DUMMYFUNCTION("""COMPUTED_VALUE"""),170.2843429518639)</f>
        <v>170.284343</v>
      </c>
      <c r="G212" s="31">
        <f>IFERROR(__xludf.DUMMYFUNCTION("""COMPUTED_VALUE"""),92.78440972292199)</f>
        <v>92.78440972</v>
      </c>
      <c r="H212" s="31">
        <f>IFERROR(__xludf.DUMMYFUNCTION("""COMPUTED_VALUE"""),22.985427030899857)</f>
        <v>22.98542703</v>
      </c>
      <c r="I212" s="54">
        <f>IFERROR(__xludf.DUMMYFUNCTION("""COMPUTED_VALUE"""),34.0)</f>
        <v>34</v>
      </c>
      <c r="J212" s="55">
        <f>IFERROR(__xludf.DUMMYFUNCTION("""COMPUTED_VALUE"""),28.0)</f>
        <v>28</v>
      </c>
      <c r="K212" s="54">
        <f>IFERROR(__xludf.DUMMYFUNCTION("""COMPUTED_VALUE"""),6.0)</f>
        <v>6</v>
      </c>
      <c r="L212" s="56">
        <f>IFERROR(__xludf.DUMMYFUNCTION("""COMPUTED_VALUE"""),0.8235294117647058)</f>
        <v>0.8235294118</v>
      </c>
      <c r="M212" s="56">
        <f>IFERROR(__xludf.DUMMYFUNCTION("""COMPUTED_VALUE"""),0.3309859154929577)</f>
        <v>0.3309859155</v>
      </c>
      <c r="N212" s="31">
        <f>IFERROR(__xludf.DUMMYFUNCTION("""COMPUTED_VALUE"""),461.38235294117646)</f>
        <v>461.3823529</v>
      </c>
      <c r="O212" s="57">
        <f>IFERROR(__xludf.DUMMYFUNCTION("""COMPUTED_VALUE"""),1.3823529411764706)</f>
        <v>1.382352941</v>
      </c>
      <c r="P212" s="57">
        <f>IFERROR(__xludf.DUMMYFUNCTION("""COMPUTED_VALUE"""),0.5882352941176471)</f>
        <v>0.5882352941</v>
      </c>
      <c r="Q212" s="57">
        <f>IFERROR(__xludf.DUMMYFUNCTION("""COMPUTED_VALUE"""),1.3823529411764706)</f>
        <v>1.382352941</v>
      </c>
      <c r="R212" s="57">
        <f>IFERROR(__xludf.DUMMYFUNCTION("""COMPUTED_VALUE"""),4.176470588235294)</f>
        <v>4.176470588</v>
      </c>
      <c r="S212" s="31">
        <f>IFERROR(__xludf.DUMMYFUNCTION("""COMPUTED_VALUE"""),311.52941176470586)</f>
        <v>311.5294118</v>
      </c>
      <c r="T212" s="57">
        <f>IFERROR(__xludf.DUMMYFUNCTION("""COMPUTED_VALUE"""),0.5196078431372549)</f>
        <v>0.5196078431</v>
      </c>
      <c r="U212" s="57">
        <f>IFERROR(__xludf.DUMMYFUNCTION("""COMPUTED_VALUE"""),0.3431372549019609)</f>
        <v>0.3431372549</v>
      </c>
      <c r="V212" s="57">
        <f>IFERROR(__xludf.DUMMYFUNCTION("""COMPUTED_VALUE"""),1.3823529411764703)</f>
        <v>1.382352941</v>
      </c>
      <c r="W212" s="57">
        <f>IFERROR(__xludf.DUMMYFUNCTION("""COMPUTED_VALUE"""),2.1960784313725488)</f>
        <v>2.196078431</v>
      </c>
      <c r="X212" s="31">
        <f>IFERROR(__xludf.DUMMYFUNCTION("""COMPUTED_VALUE"""),353.2376148931269)</f>
        <v>353.2376149</v>
      </c>
      <c r="Y212" s="57">
        <f>IFERROR(__xludf.DUMMYFUNCTION("""COMPUTED_VALUE"""),0.7353127369008049)</f>
        <v>0.7353127369</v>
      </c>
      <c r="Z212" s="57">
        <f>IFERROR(__xludf.DUMMYFUNCTION("""COMPUTED_VALUE"""),0.5268882677113926)</f>
        <v>0.5268882677</v>
      </c>
      <c r="AA212" s="57">
        <f>IFERROR(__xludf.DUMMYFUNCTION("""COMPUTED_VALUE"""),1.4549859553692295)</f>
        <v>1.454985955</v>
      </c>
      <c r="AB212" s="57">
        <f>IFERROR(__xludf.DUMMYFUNCTION("""COMPUTED_VALUE"""),2.5306299757001574)</f>
        <v>2.530629976</v>
      </c>
      <c r="AC212" s="31">
        <f>IFERROR(__xludf.DUMMYFUNCTION("""COMPUTED_VALUE"""),366.5870068238791)</f>
        <v>366.5870068</v>
      </c>
      <c r="AD212" s="57">
        <f>IFERROR(__xludf.DUMMYFUNCTION("""COMPUTED_VALUE"""),0.8144779137505729)</f>
        <v>0.8144779138</v>
      </c>
      <c r="AE212" s="57">
        <f>IFERROR(__xludf.DUMMYFUNCTION("""COMPUTED_VALUE"""),0.5953047128130842)</f>
        <v>0.5953047128</v>
      </c>
      <c r="AF212" s="57">
        <f>IFERROR(__xludf.DUMMYFUNCTION("""COMPUTED_VALUE"""),1.3805195613188737)</f>
        <v>1.380519561</v>
      </c>
      <c r="AG212" s="57">
        <f>IFERROR(__xludf.DUMMYFUNCTION("""COMPUTED_VALUE"""),2.787228817363668)</f>
        <v>2.787228817</v>
      </c>
      <c r="AH212" s="57">
        <f>IFERROR(__xludf.DUMMYFUNCTION("""COMPUTED_VALUE"""),1.2585889416501885)</f>
        <v>1.258588942</v>
      </c>
      <c r="AI212" s="57">
        <f>IFERROR(__xludf.DUMMYFUNCTION("""COMPUTED_VALUE"""),1.6972258152598656)</f>
        <v>1.697225815</v>
      </c>
      <c r="AJ212" s="57">
        <f>IFERROR(__xludf.DUMMYFUNCTION("""COMPUTED_VALUE"""),0.9881247056452301)</f>
        <v>0.9881247056</v>
      </c>
      <c r="AK212" s="57">
        <f>IFERROR(__xludf.DUMMYFUNCTION("""COMPUTED_VALUE"""),1.001328036131444)</f>
        <v>1.001328036</v>
      </c>
      <c r="AL212" s="57">
        <f>IFERROR(__xludf.DUMMYFUNCTION("""COMPUTED_VALUE"""),1.498431188073628)</f>
        <v>1.498431188</v>
      </c>
      <c r="AM212" s="57">
        <f>IFERROR(__xludf.DUMMYFUNCTION("""COMPUTED_VALUE"""),0.8819259292614124)</f>
        <v>0.8819259293</v>
      </c>
      <c r="AN212" s="57">
        <f>IFERROR(__xludf.DUMMYFUNCTION("""COMPUTED_VALUE"""),0.7066487727756455)</f>
        <v>0.7066487728</v>
      </c>
      <c r="AO212" s="57">
        <f>IFERROR(__xludf.DUMMYFUNCTION("""COMPUTED_VALUE"""),0.6512524114314064)</f>
        <v>0.6512524114</v>
      </c>
      <c r="AP212" s="35">
        <f>IFERROR(__xludf.DUMMYFUNCTION("""COMPUTED_VALUE"""),0.950079920754749)</f>
        <v>0.9500799208</v>
      </c>
      <c r="AQ212" s="57">
        <f>IFERROR(__xludf.DUMMYFUNCTION("""COMPUTED_VALUE"""),0.8677991063331781)</f>
        <v>0.8677991063</v>
      </c>
      <c r="AR212" s="36" t="b">
        <f>IFERROR(__xludf.DUMMYFUNCTION("""COMPUTED_VALUE"""),TRUE)</f>
        <v>1</v>
      </c>
      <c r="AS212" s="57"/>
      <c r="AT212" s="37"/>
      <c r="AU212" s="30"/>
      <c r="AV212" s="30"/>
      <c r="AW212" s="30"/>
      <c r="AX212" s="30"/>
      <c r="AY212" s="30"/>
      <c r="AZ212" s="30"/>
    </row>
    <row r="213">
      <c r="A213" s="30" t="str">
        <f>IFERROR(__xludf.DUMMYFUNCTION("""COMPUTED_VALUE"""),"Elite")</f>
        <v>Elite</v>
      </c>
      <c r="B213" s="30" t="str">
        <f>IFERROR(__xludf.DUMMYFUNCTION("""COMPUTED_VALUE"""),"RSC000197")</f>
        <v>RSC000197</v>
      </c>
      <c r="C213" s="30" t="str">
        <f>IFERROR(__xludf.DUMMYFUNCTION("""COMPUTED_VALUE"""),"kareemostyle")</f>
        <v>kareemostyle</v>
      </c>
      <c r="D213" s="31" t="str">
        <f>IFERROR(__xludf.DUMMYFUNCTION("""COMPUTED_VALUE"""),"Drive Bye")</f>
        <v>Drive Bye</v>
      </c>
      <c r="E213" s="31">
        <f>IFERROR(__xludf.DUMMYFUNCTION("""COMPUTED_VALUE"""),105.59016635268996)</f>
        <v>105.5901664</v>
      </c>
      <c r="F213" s="31">
        <f>IFERROR(__xludf.DUMMYFUNCTION("""COMPUTED_VALUE"""),76.40901915587243)</f>
        <v>76.40901916</v>
      </c>
      <c r="G213" s="31">
        <f>IFERROR(__xludf.DUMMYFUNCTION("""COMPUTED_VALUE"""),109.33569203030532)</f>
        <v>109.335692</v>
      </c>
      <c r="H213" s="31">
        <f>IFERROR(__xludf.DUMMYFUNCTION("""COMPUTED_VALUE"""),113.48262097658831)</f>
        <v>113.482621</v>
      </c>
      <c r="I213" s="54">
        <f>IFERROR(__xludf.DUMMYFUNCTION("""COMPUTED_VALUE"""),4.0)</f>
        <v>4</v>
      </c>
      <c r="J213" s="55">
        <f>IFERROR(__xludf.DUMMYFUNCTION("""COMPUTED_VALUE"""),3.0)</f>
        <v>3</v>
      </c>
      <c r="K213" s="54">
        <f>IFERROR(__xludf.DUMMYFUNCTION("""COMPUTED_VALUE"""),1.0)</f>
        <v>1</v>
      </c>
      <c r="L213" s="56">
        <f>IFERROR(__xludf.DUMMYFUNCTION("""COMPUTED_VALUE"""),0.75)</f>
        <v>0.75</v>
      </c>
      <c r="M213" s="56">
        <f>IFERROR(__xludf.DUMMYFUNCTION("""COMPUTED_VALUE"""),0.6)</f>
        <v>0.6</v>
      </c>
      <c r="N213" s="31">
        <f>IFERROR(__xludf.DUMMYFUNCTION("""COMPUTED_VALUE"""),521.75)</f>
        <v>521.75</v>
      </c>
      <c r="O213" s="57">
        <f>IFERROR(__xludf.DUMMYFUNCTION("""COMPUTED_VALUE"""),1.5)</f>
        <v>1.5</v>
      </c>
      <c r="P213" s="57">
        <f>IFERROR(__xludf.DUMMYFUNCTION("""COMPUTED_VALUE"""),0.75)</f>
        <v>0.75</v>
      </c>
      <c r="Q213" s="57">
        <f>IFERROR(__xludf.DUMMYFUNCTION("""COMPUTED_VALUE"""),2.25)</f>
        <v>2.25</v>
      </c>
      <c r="R213" s="57">
        <f>IFERROR(__xludf.DUMMYFUNCTION("""COMPUTED_VALUE"""),2.5)</f>
        <v>2.5</v>
      </c>
      <c r="S213" s="31">
        <f>IFERROR(__xludf.DUMMYFUNCTION("""COMPUTED_VALUE"""),313.9166666666667)</f>
        <v>313.9166667</v>
      </c>
      <c r="T213" s="57">
        <f>IFERROR(__xludf.DUMMYFUNCTION("""COMPUTED_VALUE"""),0.6666666666666666)</f>
        <v>0.6666666667</v>
      </c>
      <c r="U213" s="57">
        <f>IFERROR(__xludf.DUMMYFUNCTION("""COMPUTED_VALUE"""),0.41666666666666663)</f>
        <v>0.4166666667</v>
      </c>
      <c r="V213" s="57">
        <f>IFERROR(__xludf.DUMMYFUNCTION("""COMPUTED_VALUE"""),0.8333333333333334)</f>
        <v>0.8333333333</v>
      </c>
      <c r="W213" s="57">
        <f>IFERROR(__xludf.DUMMYFUNCTION("""COMPUTED_VALUE"""),3.0833333333333335)</f>
        <v>3.083333333</v>
      </c>
      <c r="X213" s="31">
        <f>IFERROR(__xludf.DUMMYFUNCTION("""COMPUTED_VALUE"""),372.8339947089947)</f>
        <v>372.8339947</v>
      </c>
      <c r="Y213" s="57">
        <f>IFERROR(__xludf.DUMMYFUNCTION("""COMPUTED_VALUE"""),0.8115079365079364)</f>
        <v>0.8115079365</v>
      </c>
      <c r="Z213" s="57">
        <f>IFERROR(__xludf.DUMMYFUNCTION("""COMPUTED_VALUE"""),0.6031746031746031)</f>
        <v>0.6031746032</v>
      </c>
      <c r="AA213" s="57">
        <f>IFERROR(__xludf.DUMMYFUNCTION("""COMPUTED_VALUE"""),1.5059523809523807)</f>
        <v>1.505952381</v>
      </c>
      <c r="AB213" s="57">
        <f>IFERROR(__xludf.DUMMYFUNCTION("""COMPUTED_VALUE"""),2.861111111111111)</f>
        <v>2.861111111</v>
      </c>
      <c r="AC213" s="31">
        <f>IFERROR(__xludf.DUMMYFUNCTION("""COMPUTED_VALUE"""),363.1671075837742)</f>
        <v>363.1671076</v>
      </c>
      <c r="AD213" s="57">
        <f>IFERROR(__xludf.DUMMYFUNCTION("""COMPUTED_VALUE"""),0.8269400352733687)</f>
        <v>0.8269400353</v>
      </c>
      <c r="AE213" s="57">
        <f>IFERROR(__xludf.DUMMYFUNCTION("""COMPUTED_VALUE"""),0.5954585537918872)</f>
        <v>0.5954585538</v>
      </c>
      <c r="AF213" s="57">
        <f>IFERROR(__xludf.DUMMYFUNCTION("""COMPUTED_VALUE"""),1.4488536155202822)</f>
        <v>1.448853616</v>
      </c>
      <c r="AG213" s="57">
        <f>IFERROR(__xludf.DUMMYFUNCTION("""COMPUTED_VALUE"""),2.53615520282187)</f>
        <v>2.536155203</v>
      </c>
      <c r="AH213" s="57">
        <f>IFERROR(__xludf.DUMMYFUNCTION("""COMPUTED_VALUE"""),1.4366664521776504)</f>
        <v>1.436666452</v>
      </c>
      <c r="AI213" s="57">
        <f>IFERROR(__xludf.DUMMYFUNCTION("""COMPUTED_VALUE"""),1.8139162889896026)</f>
        <v>1.813916289</v>
      </c>
      <c r="AJ213" s="57">
        <f>IFERROR(__xludf.DUMMYFUNCTION("""COMPUTED_VALUE"""),1.2595335061088484)</f>
        <v>1.259533506</v>
      </c>
      <c r="AK213" s="57">
        <f>IFERROR(__xludf.DUMMYFUNCTION("""COMPUTED_VALUE"""),1.5529519172245891)</f>
        <v>1.552951917</v>
      </c>
      <c r="AL213" s="57">
        <f>IFERROR(__xludf.DUMMYFUNCTION("""COMPUTED_VALUE"""),0.9857440890125172)</f>
        <v>0.985744089</v>
      </c>
      <c r="AM213" s="57">
        <f>IFERROR(__xludf.DUMMYFUNCTION("""COMPUTED_VALUE"""),0.8419743669342322)</f>
        <v>0.8419743669</v>
      </c>
      <c r="AN213" s="57">
        <f>IFERROR(__xludf.DUMMYFUNCTION("""COMPUTED_VALUE"""),0.8215158924205379)</f>
        <v>0.8215158924</v>
      </c>
      <c r="AO213" s="57">
        <f>IFERROR(__xludf.DUMMYFUNCTION("""COMPUTED_VALUE"""),0.6907894736842105)</f>
        <v>0.6907894737</v>
      </c>
      <c r="AP213" s="35">
        <f>IFERROR(__xludf.DUMMYFUNCTION("""COMPUTED_VALUE"""),0.5533596837944665)</f>
        <v>0.5533596838</v>
      </c>
      <c r="AQ213" s="57">
        <f>IFERROR(__xludf.DUMMYFUNCTION("""COMPUTED_VALUE"""),1.0776699029126213)</f>
        <v>1.077669903</v>
      </c>
      <c r="AR213" s="36" t="b">
        <f>IFERROR(__xludf.DUMMYFUNCTION("""COMPUTED_VALUE"""),TRUE)</f>
        <v>1</v>
      </c>
      <c r="AS213" s="57"/>
      <c r="AT213" s="37"/>
      <c r="AU213" s="30"/>
      <c r="AV213" s="30"/>
      <c r="AW213" s="30"/>
      <c r="AX213" s="30"/>
      <c r="AY213" s="30"/>
      <c r="AZ213" s="30"/>
    </row>
    <row r="214">
      <c r="A214" s="30" t="str">
        <f>IFERROR(__xludf.DUMMYFUNCTION("""COMPUTED_VALUE"""),"Elite")</f>
        <v>Elite</v>
      </c>
      <c r="B214" s="30" t="str">
        <f>IFERROR(__xludf.DUMMYFUNCTION("""COMPUTED_VALUE"""),"RSC001056")</f>
        <v>RSC001056</v>
      </c>
      <c r="C214" s="30" t="str">
        <f>IFERROR(__xludf.DUMMYFUNCTION("""COMPUTED_VALUE"""),"mysandislost")</f>
        <v>mysandislost</v>
      </c>
      <c r="D214" s="31" t="str">
        <f>IFERROR(__xludf.DUMMYFUNCTION("""COMPUTED_VALUE"""),"Orochi")</f>
        <v>Orochi</v>
      </c>
      <c r="E214" s="31">
        <f>IFERROR(__xludf.DUMMYFUNCTION("""COMPUTED_VALUE"""),93.81932716276081)</f>
        <v>93.81932716</v>
      </c>
      <c r="F214" s="31">
        <f>IFERROR(__xludf.DUMMYFUNCTION("""COMPUTED_VALUE"""),25.11270437225964)</f>
        <v>25.11270437</v>
      </c>
      <c r="G214" s="31">
        <f>IFERROR(__xludf.DUMMYFUNCTION("""COMPUTED_VALUE"""),76.59872584992317)</f>
        <v>76.59872585</v>
      </c>
      <c r="H214" s="31">
        <f>IFERROR(__xludf.DUMMYFUNCTION("""COMPUTED_VALUE"""),6.960109807225077)</f>
        <v>6.960109807</v>
      </c>
      <c r="I214" s="54">
        <f>IFERROR(__xludf.DUMMYFUNCTION("""COMPUTED_VALUE"""),16.0)</f>
        <v>16</v>
      </c>
      <c r="J214" s="55">
        <f>IFERROR(__xludf.DUMMYFUNCTION("""COMPUTED_VALUE"""),10.0)</f>
        <v>10</v>
      </c>
      <c r="K214" s="54">
        <f>IFERROR(__xludf.DUMMYFUNCTION("""COMPUTED_VALUE"""),6.0)</f>
        <v>6</v>
      </c>
      <c r="L214" s="56">
        <f>IFERROR(__xludf.DUMMYFUNCTION("""COMPUTED_VALUE"""),0.625)</f>
        <v>0.625</v>
      </c>
      <c r="M214" s="56">
        <f>IFERROR(__xludf.DUMMYFUNCTION("""COMPUTED_VALUE"""),0.23728813559322035)</f>
        <v>0.2372881356</v>
      </c>
      <c r="N214" s="31">
        <f>IFERROR(__xludf.DUMMYFUNCTION("""COMPUTED_VALUE"""),407.6875)</f>
        <v>407.6875</v>
      </c>
      <c r="O214" s="57">
        <f>IFERROR(__xludf.DUMMYFUNCTION("""COMPUTED_VALUE"""),0.875)</f>
        <v>0.875</v>
      </c>
      <c r="P214" s="57">
        <f>IFERROR(__xludf.DUMMYFUNCTION("""COMPUTED_VALUE"""),0.875)</f>
        <v>0.875</v>
      </c>
      <c r="Q214" s="57">
        <f>IFERROR(__xludf.DUMMYFUNCTION("""COMPUTED_VALUE"""),1.5)</f>
        <v>1.5</v>
      </c>
      <c r="R214" s="57">
        <f>IFERROR(__xludf.DUMMYFUNCTION("""COMPUTED_VALUE"""),3.6875)</f>
        <v>3.6875</v>
      </c>
      <c r="S214" s="31">
        <f>IFERROR(__xludf.DUMMYFUNCTION("""COMPUTED_VALUE"""),338.9375)</f>
        <v>338.9375</v>
      </c>
      <c r="T214" s="57">
        <f>IFERROR(__xludf.DUMMYFUNCTION("""COMPUTED_VALUE"""),0.6041666666666667)</f>
        <v>0.6041666667</v>
      </c>
      <c r="U214" s="57">
        <f>IFERROR(__xludf.DUMMYFUNCTION("""COMPUTED_VALUE"""),0.4375)</f>
        <v>0.4375</v>
      </c>
      <c r="V214" s="57">
        <f>IFERROR(__xludf.DUMMYFUNCTION("""COMPUTED_VALUE"""),1.479166666666667)</f>
        <v>1.479166667</v>
      </c>
      <c r="W214" s="57">
        <f>IFERROR(__xludf.DUMMYFUNCTION("""COMPUTED_VALUE"""),2.5625)</f>
        <v>2.5625</v>
      </c>
      <c r="X214" s="31">
        <f>IFERROR(__xludf.DUMMYFUNCTION("""COMPUTED_VALUE"""),362.7313453654826)</f>
        <v>362.7313454</v>
      </c>
      <c r="Y214" s="57">
        <f>IFERROR(__xludf.DUMMYFUNCTION("""COMPUTED_VALUE"""),0.7272302858549718)</f>
        <v>0.7272302859</v>
      </c>
      <c r="Z214" s="57">
        <f>IFERROR(__xludf.DUMMYFUNCTION("""COMPUTED_VALUE"""),0.5942435229339113)</f>
        <v>0.5942435229</v>
      </c>
      <c r="AA214" s="57">
        <f>IFERROR(__xludf.DUMMYFUNCTION("""COMPUTED_VALUE"""),1.4320362512196283)</f>
        <v>1.432036251</v>
      </c>
      <c r="AB214" s="57">
        <f>IFERROR(__xludf.DUMMYFUNCTION("""COMPUTED_VALUE"""),2.6936247810385185)</f>
        <v>2.693624781</v>
      </c>
      <c r="AC214" s="31">
        <f>IFERROR(__xludf.DUMMYFUNCTION("""COMPUTED_VALUE"""),349.77438501731274)</f>
        <v>349.774385</v>
      </c>
      <c r="AD214" s="57">
        <f>IFERROR(__xludf.DUMMYFUNCTION("""COMPUTED_VALUE"""),0.6869815593098254)</f>
        <v>0.6869815593</v>
      </c>
      <c r="AE214" s="57">
        <f>IFERROR(__xludf.DUMMYFUNCTION("""COMPUTED_VALUE"""),0.5185774470471736)</f>
        <v>0.518577447</v>
      </c>
      <c r="AF214" s="57">
        <f>IFERROR(__xludf.DUMMYFUNCTION("""COMPUTED_VALUE"""),1.4662673876258259)</f>
        <v>1.466267388</v>
      </c>
      <c r="AG214" s="57">
        <f>IFERROR(__xludf.DUMMYFUNCTION("""COMPUTED_VALUE"""),2.5541606100836134)</f>
        <v>2.55416061</v>
      </c>
      <c r="AH214" s="57">
        <f>IFERROR(__xludf.DUMMYFUNCTION("""COMPUTED_VALUE"""),1.1655727733745305)</f>
        <v>1.165572773</v>
      </c>
      <c r="AI214" s="57">
        <f>IFERROR(__xludf.DUMMYFUNCTION("""COMPUTED_VALUE"""),1.273687754994569)</f>
        <v>1.273687755</v>
      </c>
      <c r="AJ214" s="57">
        <f>IFERROR(__xludf.DUMMYFUNCTION("""COMPUTED_VALUE"""),1.6873082410010856)</f>
        <v>1.687308241</v>
      </c>
      <c r="AK214" s="57">
        <f>IFERROR(__xludf.DUMMYFUNCTION("""COMPUTED_VALUE"""),1.0230057714294485)</f>
        <v>1.023005771</v>
      </c>
      <c r="AL214" s="57">
        <f>IFERROR(__xludf.DUMMYFUNCTION("""COMPUTED_VALUE"""),1.4437228361607555)</f>
        <v>1.443722836</v>
      </c>
      <c r="AM214" s="57">
        <f>IFERROR(__xludf.DUMMYFUNCTION("""COMPUTED_VALUE"""),0.9344036690804643)</f>
        <v>0.9344036691</v>
      </c>
      <c r="AN214" s="57">
        <f>IFERROR(__xludf.DUMMYFUNCTION("""COMPUTED_VALUE"""),0.8307776483158635)</f>
        <v>0.8307776483</v>
      </c>
      <c r="AO214" s="57">
        <f>IFERROR(__xludf.DUMMYFUNCTION("""COMPUTED_VALUE"""),0.736230153321598)</f>
        <v>0.7362301533</v>
      </c>
      <c r="AP214" s="35">
        <f>IFERROR(__xludf.DUMMYFUNCTION("""COMPUTED_VALUE"""),1.0329114681328067)</f>
        <v>1.032911468</v>
      </c>
      <c r="AQ214" s="57">
        <f>IFERROR(__xludf.DUMMYFUNCTION("""COMPUTED_VALUE"""),0.9513203242108711)</f>
        <v>0.9513203242</v>
      </c>
      <c r="AR214" s="36" t="b">
        <f>IFERROR(__xludf.DUMMYFUNCTION("""COMPUTED_VALUE"""),TRUE)</f>
        <v>1</v>
      </c>
      <c r="AS214" s="57"/>
      <c r="AT214" s="37"/>
      <c r="AU214" s="30"/>
      <c r="AV214" s="30"/>
      <c r="AW214" s="30"/>
      <c r="AX214" s="30"/>
      <c r="AY214" s="30"/>
      <c r="AZ214" s="30"/>
    </row>
    <row r="215">
      <c r="A215" s="30" t="str">
        <f>IFERROR(__xludf.DUMMYFUNCTION("""COMPUTED_VALUE"""),"Elite")</f>
        <v>Elite</v>
      </c>
      <c r="B215" s="30" t="str">
        <f>IFERROR(__xludf.DUMMYFUNCTION("""COMPUTED_VALUE"""),"RSC000714")</f>
        <v>RSC000714</v>
      </c>
      <c r="C215" s="30" t="str">
        <f>IFERROR(__xludf.DUMMYFUNCTION("""COMPUTED_VALUE"""),"duffy")</f>
        <v>duffy</v>
      </c>
      <c r="D215" s="31" t="str">
        <f>IFERROR(__xludf.DUMMYFUNCTION("""COMPUTED_VALUE"""),"Thrashers")</f>
        <v>Thrashers</v>
      </c>
      <c r="E215" s="31">
        <f>IFERROR(__xludf.DUMMYFUNCTION("""COMPUTED_VALUE"""),93.59624981933385)</f>
        <v>93.59624982</v>
      </c>
      <c r="F215" s="31">
        <f>IFERROR(__xludf.DUMMYFUNCTION("""COMPUTED_VALUE"""),24.63501669229624)</f>
        <v>24.63501669</v>
      </c>
      <c r="G215" s="31">
        <f>IFERROR(__xludf.DUMMYFUNCTION("""COMPUTED_VALUE"""),78.61389533735712)</f>
        <v>78.61389534</v>
      </c>
      <c r="H215" s="31">
        <f>IFERROR(__xludf.DUMMYFUNCTION("""COMPUTED_VALUE"""),7.92414359733925)</f>
        <v>7.924143597</v>
      </c>
      <c r="I215" s="54">
        <f>IFERROR(__xludf.DUMMYFUNCTION("""COMPUTED_VALUE"""),36.0)</f>
        <v>36</v>
      </c>
      <c r="J215" s="55">
        <f>IFERROR(__xludf.DUMMYFUNCTION("""COMPUTED_VALUE"""),19.0)</f>
        <v>19</v>
      </c>
      <c r="K215" s="54">
        <f>IFERROR(__xludf.DUMMYFUNCTION("""COMPUTED_VALUE"""),17.0)</f>
        <v>17</v>
      </c>
      <c r="L215" s="56">
        <f>IFERROR(__xludf.DUMMYFUNCTION("""COMPUTED_VALUE"""),0.5277777777777778)</f>
        <v>0.5277777778</v>
      </c>
      <c r="M215" s="56">
        <f>IFERROR(__xludf.DUMMYFUNCTION("""COMPUTED_VALUE"""),0.3418803418803419)</f>
        <v>0.3418803419</v>
      </c>
      <c r="N215" s="31">
        <f>IFERROR(__xludf.DUMMYFUNCTION("""COMPUTED_VALUE"""),439.6388888888889)</f>
        <v>439.6388889</v>
      </c>
      <c r="O215" s="57">
        <f>IFERROR(__xludf.DUMMYFUNCTION("""COMPUTED_VALUE"""),1.1111111111111112)</f>
        <v>1.111111111</v>
      </c>
      <c r="P215" s="57">
        <f>IFERROR(__xludf.DUMMYFUNCTION("""COMPUTED_VALUE"""),0.8055555555555556)</f>
        <v>0.8055555556</v>
      </c>
      <c r="Q215" s="57">
        <f>IFERROR(__xludf.DUMMYFUNCTION("""COMPUTED_VALUE"""),1.5)</f>
        <v>1.5</v>
      </c>
      <c r="R215" s="57">
        <f>IFERROR(__xludf.DUMMYFUNCTION("""COMPUTED_VALUE"""),3.25)</f>
        <v>3.25</v>
      </c>
      <c r="S215" s="31">
        <f>IFERROR(__xludf.DUMMYFUNCTION("""COMPUTED_VALUE"""),376.5648148148148)</f>
        <v>376.5648148</v>
      </c>
      <c r="T215" s="57">
        <f>IFERROR(__xludf.DUMMYFUNCTION("""COMPUTED_VALUE"""),0.898148148148148)</f>
        <v>0.8981481481</v>
      </c>
      <c r="U215" s="57">
        <f>IFERROR(__xludf.DUMMYFUNCTION("""COMPUTED_VALUE"""),0.6481481481481483)</f>
        <v>0.6481481481</v>
      </c>
      <c r="V215" s="57">
        <f>IFERROR(__xludf.DUMMYFUNCTION("""COMPUTED_VALUE"""),1.5185185185185184)</f>
        <v>1.518518519</v>
      </c>
      <c r="W215" s="57">
        <f>IFERROR(__xludf.DUMMYFUNCTION("""COMPUTED_VALUE"""),2.5462962962962963)</f>
        <v>2.546296296</v>
      </c>
      <c r="X215" s="31">
        <f>IFERROR(__xludf.DUMMYFUNCTION("""COMPUTED_VALUE"""),368.4035286567312)</f>
        <v>368.4035287</v>
      </c>
      <c r="Y215" s="57">
        <f>IFERROR(__xludf.DUMMYFUNCTION("""COMPUTED_VALUE"""),0.8051259124550891)</f>
        <v>0.8051259125</v>
      </c>
      <c r="Z215" s="57">
        <f>IFERROR(__xludf.DUMMYFUNCTION("""COMPUTED_VALUE"""),0.6141087762578504)</f>
        <v>0.6141087763</v>
      </c>
      <c r="AA215" s="57">
        <f>IFERROR(__xludf.DUMMYFUNCTION("""COMPUTED_VALUE"""),1.4282221704968117)</f>
        <v>1.42822217</v>
      </c>
      <c r="AB215" s="57">
        <f>IFERROR(__xludf.DUMMYFUNCTION("""COMPUTED_VALUE"""),2.6976929219493577)</f>
        <v>2.697692922</v>
      </c>
      <c r="AC215" s="31">
        <f>IFERROR(__xludf.DUMMYFUNCTION("""COMPUTED_VALUE"""),344.9032302066567)</f>
        <v>344.9032302</v>
      </c>
      <c r="AD215" s="57">
        <f>IFERROR(__xludf.DUMMYFUNCTION("""COMPUTED_VALUE"""),0.6990731273057497)</f>
        <v>0.6990731273</v>
      </c>
      <c r="AE215" s="57">
        <f>IFERROR(__xludf.DUMMYFUNCTION("""COMPUTED_VALUE"""),0.5056816235824899)</f>
        <v>0.5056816236</v>
      </c>
      <c r="AF215" s="57">
        <f>IFERROR(__xludf.DUMMYFUNCTION("""COMPUTED_VALUE"""),1.404643681359883)</f>
        <v>1.404643681</v>
      </c>
      <c r="AG215" s="57">
        <f>IFERROR(__xludf.DUMMYFUNCTION("""COMPUTED_VALUE"""),2.514119393109605)</f>
        <v>2.514119393</v>
      </c>
      <c r="AH215" s="57">
        <f>IFERROR(__xludf.DUMMYFUNCTION("""COMPUTED_VALUE"""),1.274673155787695)</f>
        <v>1.274673156</v>
      </c>
      <c r="AI215" s="57">
        <f>IFERROR(__xludf.DUMMYFUNCTION("""COMPUTED_VALUE"""),1.589406126070629)</f>
        <v>1.589406126</v>
      </c>
      <c r="AJ215" s="57">
        <f>IFERROR(__xludf.DUMMYFUNCTION("""COMPUTED_VALUE"""),1.593009352106995)</f>
        <v>1.593009352</v>
      </c>
      <c r="AK215" s="57">
        <f>IFERROR(__xludf.DUMMYFUNCTION("""COMPUTED_VALUE"""),1.0678864824620855)</f>
        <v>1.067886482</v>
      </c>
      <c r="AL215" s="57">
        <f>IFERROR(__xludf.DUMMYFUNCTION("""COMPUTED_VALUE"""),1.2926991490170308)</f>
        <v>1.292699149</v>
      </c>
      <c r="AM215" s="57">
        <f>IFERROR(__xludf.DUMMYFUNCTION("""COMPUTED_VALUE"""),1.0221531161437056)</f>
        <v>1.022153116</v>
      </c>
      <c r="AN215" s="57">
        <f>IFERROR(__xludf.DUMMYFUNCTION("""COMPUTED_VALUE"""),1.115537500723836)</f>
        <v>1.115537501</v>
      </c>
      <c r="AO215" s="57">
        <f>IFERROR(__xludf.DUMMYFUNCTION("""COMPUTED_VALUE"""),1.0554288966487682)</f>
        <v>1.055428897</v>
      </c>
      <c r="AP215" s="35">
        <f>IFERROR(__xludf.DUMMYFUNCTION("""COMPUTED_VALUE"""),1.0632229003911182)</f>
        <v>1.0632229</v>
      </c>
      <c r="AQ215" s="57">
        <f>IFERROR(__xludf.DUMMYFUNCTION("""COMPUTED_VALUE"""),0.9438792219747302)</f>
        <v>0.943879222</v>
      </c>
      <c r="AR215" s="36" t="b">
        <f>IFERROR(__xludf.DUMMYFUNCTION("""COMPUTED_VALUE"""),TRUE)</f>
        <v>1</v>
      </c>
      <c r="AS215" s="57"/>
      <c r="AT215" s="37"/>
      <c r="AU215" s="30"/>
      <c r="AV215" s="30"/>
      <c r="AW215" s="30"/>
      <c r="AX215" s="30"/>
      <c r="AY215" s="30"/>
      <c r="AZ215" s="30"/>
    </row>
    <row r="216">
      <c r="A216" s="30" t="str">
        <f>IFERROR(__xludf.DUMMYFUNCTION("""COMPUTED_VALUE"""),"Elite")</f>
        <v>Elite</v>
      </c>
      <c r="B216" s="30" t="str">
        <f>IFERROR(__xludf.DUMMYFUNCTION("""COMPUTED_VALUE"""),"RSC006838")</f>
        <v>RSC006838</v>
      </c>
      <c r="C216" s="30" t="str">
        <f>IFERROR(__xludf.DUMMYFUNCTION("""COMPUTED_VALUE"""),"ZachOff")</f>
        <v>ZachOff</v>
      </c>
      <c r="D216" s="31" t="str">
        <f>IFERROR(__xludf.DUMMYFUNCTION("""COMPUTED_VALUE"""),"Great Whites")</f>
        <v>Great Whites</v>
      </c>
      <c r="E216" s="31">
        <f>IFERROR(__xludf.DUMMYFUNCTION("""COMPUTED_VALUE"""),93.45245210053692)</f>
        <v>93.4524521</v>
      </c>
      <c r="F216" s="31">
        <f>IFERROR(__xludf.DUMMYFUNCTION("""COMPUTED_VALUE"""),24.332814762203647)</f>
        <v>24.33281476</v>
      </c>
      <c r="G216" s="31">
        <f>IFERROR(__xludf.DUMMYFUNCTION("""COMPUTED_VALUE"""),84.29593222873837)</f>
        <v>84.29593223</v>
      </c>
      <c r="H216" s="31">
        <f>IFERROR(__xludf.DUMMYFUNCTION("""COMPUTED_VALUE"""),11.75681525381427)</f>
        <v>11.75681525</v>
      </c>
      <c r="I216" s="54">
        <f>IFERROR(__xludf.DUMMYFUNCTION("""COMPUTED_VALUE"""),32.0)</f>
        <v>32</v>
      </c>
      <c r="J216" s="55">
        <f>IFERROR(__xludf.DUMMYFUNCTION("""COMPUTED_VALUE"""),25.0)</f>
        <v>25</v>
      </c>
      <c r="K216" s="54">
        <f>IFERROR(__xludf.DUMMYFUNCTION("""COMPUTED_VALUE"""),7.0)</f>
        <v>7</v>
      </c>
      <c r="L216" s="56">
        <f>IFERROR(__xludf.DUMMYFUNCTION("""COMPUTED_VALUE"""),0.78125)</f>
        <v>0.78125</v>
      </c>
      <c r="M216" s="56">
        <f>IFERROR(__xludf.DUMMYFUNCTION("""COMPUTED_VALUE"""),0.33636363636363636)</f>
        <v>0.3363636364</v>
      </c>
      <c r="N216" s="31">
        <f>IFERROR(__xludf.DUMMYFUNCTION("""COMPUTED_VALUE"""),408.21875)</f>
        <v>408.21875</v>
      </c>
      <c r="O216" s="57">
        <f>IFERROR(__xludf.DUMMYFUNCTION("""COMPUTED_VALUE"""),1.15625)</f>
        <v>1.15625</v>
      </c>
      <c r="P216" s="57">
        <f>IFERROR(__xludf.DUMMYFUNCTION("""COMPUTED_VALUE"""),0.71875)</f>
        <v>0.71875</v>
      </c>
      <c r="Q216" s="57">
        <f>IFERROR(__xludf.DUMMYFUNCTION("""COMPUTED_VALUE"""),1.28125)</f>
        <v>1.28125</v>
      </c>
      <c r="R216" s="57">
        <f>IFERROR(__xludf.DUMMYFUNCTION("""COMPUTED_VALUE"""),3.4375)</f>
        <v>3.4375</v>
      </c>
      <c r="S216" s="31">
        <f>IFERROR(__xludf.DUMMYFUNCTION("""COMPUTED_VALUE"""),304.375)</f>
        <v>304.375</v>
      </c>
      <c r="T216" s="57">
        <f>IFERROR(__xludf.DUMMYFUNCTION("""COMPUTED_VALUE"""),0.4583333333333333)</f>
        <v>0.4583333333</v>
      </c>
      <c r="U216" s="57">
        <f>IFERROR(__xludf.DUMMYFUNCTION("""COMPUTED_VALUE"""),0.3541666666666667)</f>
        <v>0.3541666667</v>
      </c>
      <c r="V216" s="57">
        <f>IFERROR(__xludf.DUMMYFUNCTION("""COMPUTED_VALUE"""),1.458333333333333)</f>
        <v>1.458333333</v>
      </c>
      <c r="W216" s="57">
        <f>IFERROR(__xludf.DUMMYFUNCTION("""COMPUTED_VALUE"""),2.09375)</f>
        <v>2.09375</v>
      </c>
      <c r="X216" s="31">
        <f>IFERROR(__xludf.DUMMYFUNCTION("""COMPUTED_VALUE"""),355.5493089746832)</f>
        <v>355.549309</v>
      </c>
      <c r="Y216" s="57">
        <f>IFERROR(__xludf.DUMMYFUNCTION("""COMPUTED_VALUE"""),0.7046543598523222)</f>
        <v>0.7046543599</v>
      </c>
      <c r="Z216" s="57">
        <f>IFERROR(__xludf.DUMMYFUNCTION("""COMPUTED_VALUE"""),0.5039786090206272)</f>
        <v>0.503978609</v>
      </c>
      <c r="AA216" s="57">
        <f>IFERROR(__xludf.DUMMYFUNCTION("""COMPUTED_VALUE"""),1.5120499910012872)</f>
        <v>1.512049991</v>
      </c>
      <c r="AB216" s="57">
        <f>IFERROR(__xludf.DUMMYFUNCTION("""COMPUTED_VALUE"""),2.603919035545697)</f>
        <v>2.603919036</v>
      </c>
      <c r="AC216" s="31">
        <f>IFERROR(__xludf.DUMMYFUNCTION("""COMPUTED_VALUE"""),378.7951155114175)</f>
        <v>378.7951155</v>
      </c>
      <c r="AD216" s="57">
        <f>IFERROR(__xludf.DUMMYFUNCTION("""COMPUTED_VALUE"""),0.8431964259840503)</f>
        <v>0.843196426</v>
      </c>
      <c r="AE216" s="57">
        <f>IFERROR(__xludf.DUMMYFUNCTION("""COMPUTED_VALUE"""),0.6656267267566366)</f>
        <v>0.6656267268</v>
      </c>
      <c r="AF216" s="57">
        <f>IFERROR(__xludf.DUMMYFUNCTION("""COMPUTED_VALUE"""),1.466986288256997)</f>
        <v>1.466986288</v>
      </c>
      <c r="AG216" s="57">
        <f>IFERROR(__xludf.DUMMYFUNCTION("""COMPUTED_VALUE"""),2.8487199316128833)</f>
        <v>2.848719932</v>
      </c>
      <c r="AH216" s="57">
        <f>IFERROR(__xludf.DUMMYFUNCTION("""COMPUTED_VALUE"""),1.077676911036345)</f>
        <v>1.077676911</v>
      </c>
      <c r="AI216" s="57">
        <f>IFERROR(__xludf.DUMMYFUNCTION("""COMPUTED_VALUE"""),1.3712700438104932)</f>
        <v>1.371270044</v>
      </c>
      <c r="AJ216" s="57">
        <f>IFERROR(__xludf.DUMMYFUNCTION("""COMPUTED_VALUE"""),1.0798094053437644)</f>
        <v>1.079809405</v>
      </c>
      <c r="AK216" s="57">
        <f>IFERROR(__xludf.DUMMYFUNCTION("""COMPUTED_VALUE"""),0.8733892131482156)</f>
        <v>0.8733892131</v>
      </c>
      <c r="AL216" s="57">
        <f>IFERROR(__xludf.DUMMYFUNCTION("""COMPUTED_VALUE"""),1.2066823283866175)</f>
        <v>1.206682328</v>
      </c>
      <c r="AM216" s="57">
        <f>IFERROR(__xludf.DUMMYFUNCTION("""COMPUTED_VALUE"""),0.8560697273684561)</f>
        <v>0.8560697274</v>
      </c>
      <c r="AN216" s="57">
        <f>IFERROR(__xludf.DUMMYFUNCTION("""COMPUTED_VALUE"""),0.6504370929165733)</f>
        <v>0.6504370929</v>
      </c>
      <c r="AO216" s="57">
        <f>IFERROR(__xludf.DUMMYFUNCTION("""COMPUTED_VALUE"""),0.7027414662596744)</f>
        <v>0.7027414663</v>
      </c>
      <c r="AP216" s="35">
        <f>IFERROR(__xludf.DUMMYFUNCTION("""COMPUTED_VALUE"""),0.9644742845887108)</f>
        <v>0.9644742846</v>
      </c>
      <c r="AQ216" s="57">
        <f>IFERROR(__xludf.DUMMYFUNCTION("""COMPUTED_VALUE"""),0.8040764599123635)</f>
        <v>0.8040764599</v>
      </c>
      <c r="AR216" s="36" t="b">
        <f>IFERROR(__xludf.DUMMYFUNCTION("""COMPUTED_VALUE"""),TRUE)</f>
        <v>1</v>
      </c>
      <c r="AS216" s="57"/>
      <c r="AT216" s="37"/>
      <c r="AU216" s="30"/>
      <c r="AV216" s="30"/>
      <c r="AW216" s="30"/>
      <c r="AX216" s="30"/>
      <c r="AY216" s="30"/>
      <c r="AZ216" s="30"/>
    </row>
    <row r="217">
      <c r="A217" s="30" t="str">
        <f>IFERROR(__xludf.DUMMYFUNCTION("""COMPUTED_VALUE"""),"Elite")</f>
        <v>Elite</v>
      </c>
      <c r="B217" s="30" t="str">
        <f>IFERROR(__xludf.DUMMYFUNCTION("""COMPUTED_VALUE"""),"RSC007876")</f>
        <v>RSC007876</v>
      </c>
      <c r="C217" s="30" t="str">
        <f>IFERROR(__xludf.DUMMYFUNCTION("""COMPUTED_VALUE"""),"dwsn.")</f>
        <v>dwsn.</v>
      </c>
      <c r="D217" s="31" t="str">
        <f>IFERROR(__xludf.DUMMYFUNCTION("""COMPUTED_VALUE"""),"Great Whites")</f>
        <v>Great Whites</v>
      </c>
      <c r="E217" s="31">
        <f>IFERROR(__xludf.DUMMYFUNCTION("""COMPUTED_VALUE"""),88.02468981081464)</f>
        <v>88.02468981</v>
      </c>
      <c r="F217" s="31">
        <f>IFERROR(__xludf.DUMMYFUNCTION("""COMPUTED_VALUE"""),15.592967294678846)</f>
        <v>15.59296729</v>
      </c>
      <c r="G217" s="31">
        <f>IFERROR(__xludf.DUMMYFUNCTION("""COMPUTED_VALUE"""),90.65367769913456)</f>
        <v>90.6536777</v>
      </c>
      <c r="H217" s="31">
        <f>IFERROR(__xludf.DUMMYFUNCTION("""COMPUTED_VALUE"""),19.24587636325639)</f>
        <v>19.24587636</v>
      </c>
      <c r="I217" s="54">
        <f>IFERROR(__xludf.DUMMYFUNCTION("""COMPUTED_VALUE"""),32.0)</f>
        <v>32</v>
      </c>
      <c r="J217" s="55">
        <f>IFERROR(__xludf.DUMMYFUNCTION("""COMPUTED_VALUE"""),23.0)</f>
        <v>23</v>
      </c>
      <c r="K217" s="54">
        <f>IFERROR(__xludf.DUMMYFUNCTION("""COMPUTED_VALUE"""),9.0)</f>
        <v>9</v>
      </c>
      <c r="L217" s="56">
        <f>IFERROR(__xludf.DUMMYFUNCTION("""COMPUTED_VALUE"""),0.71875)</f>
        <v>0.71875</v>
      </c>
      <c r="M217" s="56">
        <f>IFERROR(__xludf.DUMMYFUNCTION("""COMPUTED_VALUE"""),0.32323232323232326)</f>
        <v>0.3232323232</v>
      </c>
      <c r="N217" s="31">
        <f>IFERROR(__xludf.DUMMYFUNCTION("""COMPUTED_VALUE"""),414.3125)</f>
        <v>414.3125</v>
      </c>
      <c r="O217" s="57">
        <f>IFERROR(__xludf.DUMMYFUNCTION("""COMPUTED_VALUE"""),1.0)</f>
        <v>1</v>
      </c>
      <c r="P217" s="57">
        <f>IFERROR(__xludf.DUMMYFUNCTION("""COMPUTED_VALUE"""),0.84375)</f>
        <v>0.84375</v>
      </c>
      <c r="Q217" s="57">
        <f>IFERROR(__xludf.DUMMYFUNCTION("""COMPUTED_VALUE"""),1.5625)</f>
        <v>1.5625</v>
      </c>
      <c r="R217" s="57">
        <f>IFERROR(__xludf.DUMMYFUNCTION("""COMPUTED_VALUE"""),3.09375)</f>
        <v>3.09375</v>
      </c>
      <c r="S217" s="31">
        <f>IFERROR(__xludf.DUMMYFUNCTION("""COMPUTED_VALUE"""),298.5625)</f>
        <v>298.5625</v>
      </c>
      <c r="T217" s="57">
        <f>IFERROR(__xludf.DUMMYFUNCTION("""COMPUTED_VALUE"""),0.47916666666666663)</f>
        <v>0.4791666667</v>
      </c>
      <c r="U217" s="57">
        <f>IFERROR(__xludf.DUMMYFUNCTION("""COMPUTED_VALUE"""),0.3854166666666667)</f>
        <v>0.3854166667</v>
      </c>
      <c r="V217" s="57">
        <f>IFERROR(__xludf.DUMMYFUNCTION("""COMPUTED_VALUE"""),1.395833333333333)</f>
        <v>1.395833333</v>
      </c>
      <c r="W217" s="57">
        <f>IFERROR(__xludf.DUMMYFUNCTION("""COMPUTED_VALUE"""),2.0104166666666665)</f>
        <v>2.010416667</v>
      </c>
      <c r="X217" s="31">
        <f>IFERROR(__xludf.DUMMYFUNCTION("""COMPUTED_VALUE"""),355.46412867465915)</f>
        <v>355.4641287</v>
      </c>
      <c r="Y217" s="57">
        <f>IFERROR(__xludf.DUMMYFUNCTION("""COMPUTED_VALUE"""),0.727379753671466)</f>
        <v>0.7273797537</v>
      </c>
      <c r="Z217" s="57">
        <f>IFERROR(__xludf.DUMMYFUNCTION("""COMPUTED_VALUE"""),0.5145906821327002)</f>
        <v>0.5145906821</v>
      </c>
      <c r="AA217" s="57">
        <f>IFERROR(__xludf.DUMMYFUNCTION("""COMPUTED_VALUE"""),1.4913970328483293)</f>
        <v>1.491397033</v>
      </c>
      <c r="AB217" s="57">
        <f>IFERROR(__xludf.DUMMYFUNCTION("""COMPUTED_VALUE"""),2.630154229749641)</f>
        <v>2.63015423</v>
      </c>
      <c r="AC217" s="31">
        <f>IFERROR(__xludf.DUMMYFUNCTION("""COMPUTED_VALUE"""),373.4395772418167)</f>
        <v>373.4395772</v>
      </c>
      <c r="AD217" s="57">
        <f>IFERROR(__xludf.DUMMYFUNCTION("""COMPUTED_VALUE"""),0.8211674807780218)</f>
        <v>0.8211674808</v>
      </c>
      <c r="AE217" s="57">
        <f>IFERROR(__xludf.DUMMYFUNCTION("""COMPUTED_VALUE"""),0.64717397002263)</f>
        <v>0.64717397</v>
      </c>
      <c r="AF217" s="57">
        <f>IFERROR(__xludf.DUMMYFUNCTION("""COMPUTED_VALUE"""),1.4659578992077746)</f>
        <v>1.465957899</v>
      </c>
      <c r="AG217" s="57">
        <f>IFERROR(__xludf.DUMMYFUNCTION("""COMPUTED_VALUE"""),2.78619112168824)</f>
        <v>2.786191122</v>
      </c>
      <c r="AH217" s="57">
        <f>IFERROR(__xludf.DUMMYFUNCTION("""COMPUTED_VALUE"""),1.1094498956432688)</f>
        <v>1.109449896</v>
      </c>
      <c r="AI217" s="57">
        <f>IFERROR(__xludf.DUMMYFUNCTION("""COMPUTED_VALUE"""),1.217778374580228)</f>
        <v>1.217778375</v>
      </c>
      <c r="AJ217" s="57">
        <f>IFERROR(__xludf.DUMMYFUNCTION("""COMPUTED_VALUE"""),1.3037452664706157)</f>
        <v>1.303745266</v>
      </c>
      <c r="AK217" s="57">
        <f>IFERROR(__xludf.DUMMYFUNCTION("""COMPUTED_VALUE"""),1.065855984571179)</f>
        <v>1.065855985</v>
      </c>
      <c r="AL217" s="57">
        <f>IFERROR(__xludf.DUMMYFUNCTION("""COMPUTED_VALUE"""),1.110386856062265)</f>
        <v>1.110386856</v>
      </c>
      <c r="AM217" s="57">
        <f>IFERROR(__xludf.DUMMYFUNCTION("""COMPUTED_VALUE"""),0.8399230074584016)</f>
        <v>0.8399230075</v>
      </c>
      <c r="AN217" s="57">
        <f>IFERROR(__xludf.DUMMYFUNCTION("""COMPUTED_VALUE"""),0.6587572230984735)</f>
        <v>0.6587572231</v>
      </c>
      <c r="AO217" s="57">
        <f>IFERROR(__xludf.DUMMYFUNCTION("""COMPUTED_VALUE"""),0.7489771580575905)</f>
        <v>0.7489771581</v>
      </c>
      <c r="AP217" s="35">
        <f>IFERROR(__xludf.DUMMYFUNCTION("""COMPUTED_VALUE"""),0.9359233675472152)</f>
        <v>0.9359233675</v>
      </c>
      <c r="AQ217" s="57">
        <f>IFERROR(__xludf.DUMMYFUNCTION("""COMPUTED_VALUE"""),0.7643721588364929)</f>
        <v>0.7643721588</v>
      </c>
      <c r="AR217" s="36" t="b">
        <f>IFERROR(__xludf.DUMMYFUNCTION("""COMPUTED_VALUE"""),TRUE)</f>
        <v>1</v>
      </c>
      <c r="AS217" s="57"/>
      <c r="AT217" s="37"/>
      <c r="AU217" s="30"/>
      <c r="AV217" s="30"/>
      <c r="AW217" s="30"/>
      <c r="AX217" s="30"/>
      <c r="AY217" s="30"/>
      <c r="AZ217" s="30"/>
    </row>
    <row r="218">
      <c r="A218" s="30" t="str">
        <f>IFERROR(__xludf.DUMMYFUNCTION("""COMPUTED_VALUE"""),"Elite")</f>
        <v>Elite</v>
      </c>
      <c r="B218" s="30" t="str">
        <f>IFERROR(__xludf.DUMMYFUNCTION("""COMPUTED_VALUE"""),"RSC002890")</f>
        <v>RSC002890</v>
      </c>
      <c r="C218" s="30" t="str">
        <f>IFERROR(__xludf.DUMMYFUNCTION("""COMPUTED_VALUE"""),"Myth1ck")</f>
        <v>Myth1ck</v>
      </c>
      <c r="D218" s="31" t="str">
        <f>IFERROR(__xludf.DUMMYFUNCTION("""COMPUTED_VALUE"""),"Black-Holes")</f>
        <v>Black-Holes</v>
      </c>
      <c r="E218" s="31">
        <f>IFERROR(__xludf.DUMMYFUNCTION("""COMPUTED_VALUE"""),87.24043429833682)</f>
        <v>87.2404343</v>
      </c>
      <c r="F218" s="31">
        <f>IFERROR(__xludf.DUMMYFUNCTION("""COMPUTED_VALUE"""),14.670837213899294)</f>
        <v>14.67083721</v>
      </c>
      <c r="G218" s="31">
        <f>IFERROR(__xludf.DUMMYFUNCTION("""COMPUTED_VALUE"""),63.62506194807355)</f>
        <v>63.62506195</v>
      </c>
      <c r="H218" s="31">
        <f>IFERROR(__xludf.DUMMYFUNCTION("""COMPUTED_VALUE"""),3.4144153792198284)</f>
        <v>3.414415379</v>
      </c>
      <c r="I218" s="54">
        <f>IFERROR(__xludf.DUMMYFUNCTION("""COMPUTED_VALUE"""),36.0)</f>
        <v>36</v>
      </c>
      <c r="J218" s="55">
        <f>IFERROR(__xludf.DUMMYFUNCTION("""COMPUTED_VALUE"""),25.0)</f>
        <v>25</v>
      </c>
      <c r="K218" s="54">
        <f>IFERROR(__xludf.DUMMYFUNCTION("""COMPUTED_VALUE"""),11.0)</f>
        <v>11</v>
      </c>
      <c r="L218" s="56">
        <f>IFERROR(__xludf.DUMMYFUNCTION("""COMPUTED_VALUE"""),0.6944444444444444)</f>
        <v>0.6944444444</v>
      </c>
      <c r="M218" s="56">
        <f>IFERROR(__xludf.DUMMYFUNCTION("""COMPUTED_VALUE"""),0.3333333333333333)</f>
        <v>0.3333333333</v>
      </c>
      <c r="N218" s="31">
        <f>IFERROR(__xludf.DUMMYFUNCTION("""COMPUTED_VALUE"""),398.72222222222223)</f>
        <v>398.7222222</v>
      </c>
      <c r="O218" s="57">
        <f>IFERROR(__xludf.DUMMYFUNCTION("""COMPUTED_VALUE"""),1.1944444444444444)</f>
        <v>1.194444444</v>
      </c>
      <c r="P218" s="57">
        <f>IFERROR(__xludf.DUMMYFUNCTION("""COMPUTED_VALUE"""),0.8055555555555556)</f>
        <v>0.8055555556</v>
      </c>
      <c r="Q218" s="57">
        <f>IFERROR(__xludf.DUMMYFUNCTION("""COMPUTED_VALUE"""),1.1111111111111112)</f>
        <v>1.111111111</v>
      </c>
      <c r="R218" s="57">
        <f>IFERROR(__xludf.DUMMYFUNCTION("""COMPUTED_VALUE"""),3.5833333333333335)</f>
        <v>3.583333333</v>
      </c>
      <c r="S218" s="31">
        <f>IFERROR(__xludf.DUMMYFUNCTION("""COMPUTED_VALUE"""),372.1388888888888)</f>
        <v>372.1388889</v>
      </c>
      <c r="T218" s="57">
        <f>IFERROR(__xludf.DUMMYFUNCTION("""COMPUTED_VALUE"""),0.7592592592592592)</f>
        <v>0.7592592593</v>
      </c>
      <c r="U218" s="57">
        <f>IFERROR(__xludf.DUMMYFUNCTION("""COMPUTED_VALUE"""),0.5277777777777778)</f>
        <v>0.5277777778</v>
      </c>
      <c r="V218" s="57">
        <f>IFERROR(__xludf.DUMMYFUNCTION("""COMPUTED_VALUE"""),1.7222222222222228)</f>
        <v>1.722222222</v>
      </c>
      <c r="W218" s="57">
        <f>IFERROR(__xludf.DUMMYFUNCTION("""COMPUTED_VALUE"""),2.388888888888889)</f>
        <v>2.388888889</v>
      </c>
      <c r="X218" s="31">
        <f>IFERROR(__xludf.DUMMYFUNCTION("""COMPUTED_VALUE"""),346.1856467215035)</f>
        <v>346.1856467</v>
      </c>
      <c r="Y218" s="57">
        <f>IFERROR(__xludf.DUMMYFUNCTION("""COMPUTED_VALUE"""),0.7012861413422359)</f>
        <v>0.7012861413</v>
      </c>
      <c r="Z218" s="57">
        <f>IFERROR(__xludf.DUMMYFUNCTION("""COMPUTED_VALUE"""),0.5017595238906426)</f>
        <v>0.5017595239</v>
      </c>
      <c r="AA218" s="57">
        <f>IFERROR(__xludf.DUMMYFUNCTION("""COMPUTED_VALUE"""),1.45747000952258)</f>
        <v>1.45747001</v>
      </c>
      <c r="AB218" s="57">
        <f>IFERROR(__xludf.DUMMYFUNCTION("""COMPUTED_VALUE"""),2.5086663713977146)</f>
        <v>2.508666371</v>
      </c>
      <c r="AC218" s="31">
        <f>IFERROR(__xludf.DUMMYFUNCTION("""COMPUTED_VALUE"""),376.0417835165731)</f>
        <v>376.0417835</v>
      </c>
      <c r="AD218" s="57">
        <f>IFERROR(__xludf.DUMMYFUNCTION("""COMPUTED_VALUE"""),0.8711587579312835)</f>
        <v>0.8711587579</v>
      </c>
      <c r="AE218" s="57">
        <f>IFERROR(__xludf.DUMMYFUNCTION("""COMPUTED_VALUE"""),0.6726654191154672)</f>
        <v>0.6726654191</v>
      </c>
      <c r="AF218" s="57">
        <f>IFERROR(__xludf.DUMMYFUNCTION("""COMPUTED_VALUE"""),1.3685846266681432)</f>
        <v>1.368584627</v>
      </c>
      <c r="AG218" s="57">
        <f>IFERROR(__xludf.DUMMYFUNCTION("""COMPUTED_VALUE"""),2.877565567595406)</f>
        <v>2.877565568</v>
      </c>
      <c r="AH218" s="57">
        <f>IFERROR(__xludf.DUMMYFUNCTION("""COMPUTED_VALUE"""),1.060313613273376)</f>
        <v>1.060313613</v>
      </c>
      <c r="AI218" s="57">
        <f>IFERROR(__xludf.DUMMYFUNCTION("""COMPUTED_VALUE"""),1.3710984749563426)</f>
        <v>1.371098475</v>
      </c>
      <c r="AJ218" s="57">
        <f>IFERROR(__xludf.DUMMYFUNCTION("""COMPUTED_VALUE"""),1.1975575563477525)</f>
        <v>1.197557556</v>
      </c>
      <c r="AK218" s="57">
        <f>IFERROR(__xludf.DUMMYFUNCTION("""COMPUTED_VALUE"""),0.8118687653361573)</f>
        <v>0.8118687653</v>
      </c>
      <c r="AL218" s="57">
        <f>IFERROR(__xludf.DUMMYFUNCTION("""COMPUTED_VALUE"""),1.2452655722898756)</f>
        <v>1.245265572</v>
      </c>
      <c r="AM218" s="57">
        <f>IFERROR(__xludf.DUMMYFUNCTION("""COMPUTED_VALUE"""),1.0749691456395474)</f>
        <v>1.074969146</v>
      </c>
      <c r="AN218" s="57">
        <f>IFERROR(__xludf.DUMMYFUNCTION("""COMPUTED_VALUE"""),1.0826668523722212)</f>
        <v>1.082666852</v>
      </c>
      <c r="AO218" s="57">
        <f>IFERROR(__xludf.DUMMYFUNCTION("""COMPUTED_VALUE"""),1.051854030961664)</f>
        <v>1.051854031</v>
      </c>
      <c r="AP218" s="35">
        <f>IFERROR(__xludf.DUMMYFUNCTION("""COMPUTED_VALUE"""),1.1816519111678785)</f>
        <v>1.181651911</v>
      </c>
      <c r="AQ218" s="57">
        <f>IFERROR(__xludf.DUMMYFUNCTION("""COMPUTED_VALUE"""),0.9522545190247473)</f>
        <v>0.952254519</v>
      </c>
      <c r="AR218" s="36" t="b">
        <f>IFERROR(__xludf.DUMMYFUNCTION("""COMPUTED_VALUE"""),TRUE)</f>
        <v>1</v>
      </c>
      <c r="AS218" s="57"/>
      <c r="AT218" s="37"/>
      <c r="AU218" s="30"/>
      <c r="AV218" s="30"/>
      <c r="AW218" s="30"/>
      <c r="AX218" s="30"/>
      <c r="AY218" s="30"/>
      <c r="AZ218" s="30"/>
    </row>
    <row r="219">
      <c r="A219" s="30" t="str">
        <f>IFERROR(__xludf.DUMMYFUNCTION("""COMPUTED_VALUE"""),"Elite")</f>
        <v>Elite</v>
      </c>
      <c r="B219" s="30" t="str">
        <f>IFERROR(__xludf.DUMMYFUNCTION("""COMPUTED_VALUE"""),"RSC000009")</f>
        <v>RSC000009</v>
      </c>
      <c r="C219" s="30" t="str">
        <f>IFERROR(__xludf.DUMMYFUNCTION("""COMPUTED_VALUE"""),"Timbo")</f>
        <v>Timbo</v>
      </c>
      <c r="D219" s="31" t="str">
        <f>IFERROR(__xludf.DUMMYFUNCTION("""COMPUTED_VALUE"""),"Menthol")</f>
        <v>Menthol</v>
      </c>
      <c r="E219" s="31">
        <f>IFERROR(__xludf.DUMMYFUNCTION("""COMPUTED_VALUE"""),85.61455161112923)</f>
        <v>85.61455161</v>
      </c>
      <c r="F219" s="31">
        <f>IFERROR(__xludf.DUMMYFUNCTION("""COMPUTED_VALUE"""),12.963607143332359)</f>
        <v>12.96360714</v>
      </c>
      <c r="G219" s="31">
        <f>IFERROR(__xludf.DUMMYFUNCTION("""COMPUTED_VALUE"""),80.2869032815318)</f>
        <v>80.28690328</v>
      </c>
      <c r="H219" s="31">
        <f>IFERROR(__xludf.DUMMYFUNCTION("""COMPUTED_VALUE"""),8.860810865776667)</f>
        <v>8.860810866</v>
      </c>
      <c r="I219" s="54">
        <f>IFERROR(__xludf.DUMMYFUNCTION("""COMPUTED_VALUE"""),36.0)</f>
        <v>36</v>
      </c>
      <c r="J219" s="55">
        <f>IFERROR(__xludf.DUMMYFUNCTION("""COMPUTED_VALUE"""),22.0)</f>
        <v>22</v>
      </c>
      <c r="K219" s="54">
        <f>IFERROR(__xludf.DUMMYFUNCTION("""COMPUTED_VALUE"""),14.0)</f>
        <v>14</v>
      </c>
      <c r="L219" s="56">
        <f>IFERROR(__xludf.DUMMYFUNCTION("""COMPUTED_VALUE"""),0.6111111111111112)</f>
        <v>0.6111111111</v>
      </c>
      <c r="M219" s="56">
        <f>IFERROR(__xludf.DUMMYFUNCTION("""COMPUTED_VALUE"""),0.3486238532110092)</f>
        <v>0.3486238532</v>
      </c>
      <c r="N219" s="31">
        <f>IFERROR(__xludf.DUMMYFUNCTION("""COMPUTED_VALUE"""),432.78125)</f>
        <v>432.78125</v>
      </c>
      <c r="O219" s="57">
        <f>IFERROR(__xludf.DUMMYFUNCTION("""COMPUTED_VALUE"""),1.1875)</f>
        <v>1.1875</v>
      </c>
      <c r="P219" s="57">
        <f>IFERROR(__xludf.DUMMYFUNCTION("""COMPUTED_VALUE"""),0.75)</f>
        <v>0.75</v>
      </c>
      <c r="Q219" s="57">
        <f>IFERROR(__xludf.DUMMYFUNCTION("""COMPUTED_VALUE"""),1.09375)</f>
        <v>1.09375</v>
      </c>
      <c r="R219" s="57">
        <f>IFERROR(__xludf.DUMMYFUNCTION("""COMPUTED_VALUE"""),3.40625)</f>
        <v>3.40625</v>
      </c>
      <c r="S219" s="31">
        <f>IFERROR(__xludf.DUMMYFUNCTION("""COMPUTED_VALUE"""),371.9166666666667)</f>
        <v>371.9166667</v>
      </c>
      <c r="T219" s="57">
        <f>IFERROR(__xludf.DUMMYFUNCTION("""COMPUTED_VALUE"""),0.7291666666666666)</f>
        <v>0.7291666667</v>
      </c>
      <c r="U219" s="57">
        <f>IFERROR(__xludf.DUMMYFUNCTION("""COMPUTED_VALUE"""),0.5000000000000001)</f>
        <v>0.5</v>
      </c>
      <c r="V219" s="57">
        <f>IFERROR(__xludf.DUMMYFUNCTION("""COMPUTED_VALUE"""),1.78125)</f>
        <v>1.78125</v>
      </c>
      <c r="W219" s="57">
        <f>IFERROR(__xludf.DUMMYFUNCTION("""COMPUTED_VALUE"""),2.239583333333334)</f>
        <v>2.239583333</v>
      </c>
      <c r="X219" s="31">
        <f>IFERROR(__xludf.DUMMYFUNCTION("""COMPUTED_VALUE"""),350.73561926183766)</f>
        <v>350.7356193</v>
      </c>
      <c r="Y219" s="57">
        <f>IFERROR(__xludf.DUMMYFUNCTION("""COMPUTED_VALUE"""),0.6926458019624947)</f>
        <v>0.692645802</v>
      </c>
      <c r="Z219" s="57">
        <f>IFERROR(__xludf.DUMMYFUNCTION("""COMPUTED_VALUE"""),0.5554266735652322)</f>
        <v>0.5554266736</v>
      </c>
      <c r="AA219" s="57">
        <f>IFERROR(__xludf.DUMMYFUNCTION("""COMPUTED_VALUE"""),1.5450754352572402)</f>
        <v>1.545075435</v>
      </c>
      <c r="AB219" s="57">
        <f>IFERROR(__xludf.DUMMYFUNCTION("""COMPUTED_VALUE"""),2.3444456259966584)</f>
        <v>2.344445626</v>
      </c>
      <c r="AC219" s="31">
        <f>IFERROR(__xludf.DUMMYFUNCTION("""COMPUTED_VALUE"""),382.53921131328417)</f>
        <v>382.5392113</v>
      </c>
      <c r="AD219" s="57">
        <f>IFERROR(__xludf.DUMMYFUNCTION("""COMPUTED_VALUE"""),0.91967600380362)</f>
        <v>0.9196760038</v>
      </c>
      <c r="AE219" s="57">
        <f>IFERROR(__xludf.DUMMYFUNCTION("""COMPUTED_VALUE"""),0.6988397463923103)</f>
        <v>0.6988397464</v>
      </c>
      <c r="AF219" s="57">
        <f>IFERROR(__xludf.DUMMYFUNCTION("""COMPUTED_VALUE"""),1.3247631064041512)</f>
        <v>1.324763106</v>
      </c>
      <c r="AG219" s="57">
        <f>IFERROR(__xludf.DUMMYFUNCTION("""COMPUTED_VALUE"""),2.948102055078348)</f>
        <v>2.948102055</v>
      </c>
      <c r="AH219" s="57">
        <f>IFERROR(__xludf.DUMMYFUNCTION("""COMPUTED_VALUE"""),1.1313382712172992)</f>
        <v>1.131338271</v>
      </c>
      <c r="AI219" s="57">
        <f>IFERROR(__xludf.DUMMYFUNCTION("""COMPUTED_VALUE"""),1.2912155966761192)</f>
        <v>1.291215597</v>
      </c>
      <c r="AJ219" s="57">
        <f>IFERROR(__xludf.DUMMYFUNCTION("""COMPUTED_VALUE"""),1.0732074182554718)</f>
        <v>1.073207418</v>
      </c>
      <c r="AK219" s="57">
        <f>IFERROR(__xludf.DUMMYFUNCTION("""COMPUTED_VALUE"""),0.8256193086240168)</f>
        <v>0.8256193086</v>
      </c>
      <c r="AL219" s="57">
        <f>IFERROR(__xludf.DUMMYFUNCTION("""COMPUTED_VALUE"""),1.1554043707993265)</f>
        <v>1.155404371</v>
      </c>
      <c r="AM219" s="57">
        <f>IFERROR(__xludf.DUMMYFUNCTION("""COMPUTED_VALUE"""),1.060390351711089)</f>
        <v>1.060390352</v>
      </c>
      <c r="AN219" s="57">
        <f>IFERROR(__xludf.DUMMYFUNCTION("""COMPUTED_VALUE"""),1.0527266094744185)</f>
        <v>1.052726609</v>
      </c>
      <c r="AO219" s="57">
        <f>IFERROR(__xludf.DUMMYFUNCTION("""COMPUTED_VALUE"""),0.9002088372719779)</f>
        <v>0.9002088373</v>
      </c>
      <c r="AP219" s="35">
        <f>IFERROR(__xludf.DUMMYFUNCTION("""COMPUTED_VALUE"""),1.152856332677012)</f>
        <v>1.152856333</v>
      </c>
      <c r="AQ219" s="57">
        <f>IFERROR(__xludf.DUMMYFUNCTION("""COMPUTED_VALUE"""),0.9552720304107092)</f>
        <v>0.9552720304</v>
      </c>
      <c r="AR219" s="36" t="b">
        <f>IFERROR(__xludf.DUMMYFUNCTION("""COMPUTED_VALUE"""),TRUE)</f>
        <v>1</v>
      </c>
      <c r="AS219" s="57"/>
      <c r="AT219" s="37"/>
      <c r="AU219" s="30"/>
      <c r="AV219" s="30"/>
      <c r="AW219" s="30"/>
      <c r="AX219" s="30"/>
      <c r="AY219" s="30"/>
      <c r="AZ219" s="30"/>
    </row>
    <row r="220">
      <c r="A220" s="30" t="str">
        <f>IFERROR(__xludf.DUMMYFUNCTION("""COMPUTED_VALUE"""),"Elite")</f>
        <v>Elite</v>
      </c>
      <c r="B220" s="30" t="str">
        <f>IFERROR(__xludf.DUMMYFUNCTION("""COMPUTED_VALUE"""),"RSC007882")</f>
        <v>RSC007882</v>
      </c>
      <c r="C220" s="30" t="str">
        <f>IFERROR(__xludf.DUMMYFUNCTION("""COMPUTED_VALUE"""),"mirage")</f>
        <v>mirage</v>
      </c>
      <c r="D220" s="31"/>
      <c r="E220" s="31">
        <f>IFERROR(__xludf.DUMMYFUNCTION("""COMPUTED_VALUE"""),84.27747353552692)</f>
        <v>84.27747354</v>
      </c>
      <c r="F220" s="31">
        <f>IFERROR(__xludf.DUMMYFUNCTION("""COMPUTED_VALUE"""),11.740939807485356)</f>
        <v>11.74093981</v>
      </c>
      <c r="G220" s="31">
        <f>IFERROR(__xludf.DUMMYFUNCTION("""COMPUTED_VALUE"""),92.8223266032814)</f>
        <v>92.8223266</v>
      </c>
      <c r="H220" s="31">
        <f>IFERROR(__xludf.DUMMYFUNCTION("""COMPUTED_VALUE"""),23.059482697415383)</f>
        <v>23.0594827</v>
      </c>
      <c r="I220" s="54">
        <f>IFERROR(__xludf.DUMMYFUNCTION("""COMPUTED_VALUE"""),8.0)</f>
        <v>8</v>
      </c>
      <c r="J220" s="55">
        <f>IFERROR(__xludf.DUMMYFUNCTION("""COMPUTED_VALUE"""),6.0)</f>
        <v>6</v>
      </c>
      <c r="K220" s="54">
        <f>IFERROR(__xludf.DUMMYFUNCTION("""COMPUTED_VALUE"""),2.0)</f>
        <v>2</v>
      </c>
      <c r="L220" s="56">
        <f>IFERROR(__xludf.DUMMYFUNCTION("""COMPUTED_VALUE"""),0.75)</f>
        <v>0.75</v>
      </c>
      <c r="M220" s="56">
        <f>IFERROR(__xludf.DUMMYFUNCTION("""COMPUTED_VALUE"""),0.4166666666666667)</f>
        <v>0.4166666667</v>
      </c>
      <c r="N220" s="31">
        <f>IFERROR(__xludf.DUMMYFUNCTION("""COMPUTED_VALUE"""),471.5)</f>
        <v>471.5</v>
      </c>
      <c r="O220" s="57">
        <f>IFERROR(__xludf.DUMMYFUNCTION("""COMPUTED_VALUE"""),1.25)</f>
        <v>1.25</v>
      </c>
      <c r="P220" s="57">
        <f>IFERROR(__xludf.DUMMYFUNCTION("""COMPUTED_VALUE"""),0.5)</f>
        <v>0.5</v>
      </c>
      <c r="Q220" s="57">
        <f>IFERROR(__xludf.DUMMYFUNCTION("""COMPUTED_VALUE"""),1.625)</f>
        <v>1.625</v>
      </c>
      <c r="R220" s="57">
        <f>IFERROR(__xludf.DUMMYFUNCTION("""COMPUTED_VALUE"""),3.0)</f>
        <v>3</v>
      </c>
      <c r="S220" s="31">
        <f>IFERROR(__xludf.DUMMYFUNCTION("""COMPUTED_VALUE"""),324.5)</f>
        <v>324.5</v>
      </c>
      <c r="T220" s="57">
        <f>IFERROR(__xludf.DUMMYFUNCTION("""COMPUTED_VALUE"""),0.5)</f>
        <v>0.5</v>
      </c>
      <c r="U220" s="57">
        <f>IFERROR(__xludf.DUMMYFUNCTION("""COMPUTED_VALUE"""),0.3333333333333333)</f>
        <v>0.3333333333</v>
      </c>
      <c r="V220" s="57">
        <f>IFERROR(__xludf.DUMMYFUNCTION("""COMPUTED_VALUE"""),1.3333333333333335)</f>
        <v>1.333333333</v>
      </c>
      <c r="W220" s="57">
        <f>IFERROR(__xludf.DUMMYFUNCTION("""COMPUTED_VALUE"""),2.2916666666666665)</f>
        <v>2.291666667</v>
      </c>
      <c r="X220" s="31">
        <f>IFERROR(__xludf.DUMMYFUNCTION("""COMPUTED_VALUE"""),335.6006783460511)</f>
        <v>335.6006783</v>
      </c>
      <c r="Y220" s="57">
        <f>IFERROR(__xludf.DUMMYFUNCTION("""COMPUTED_VALUE"""),0.6167304565504362)</f>
        <v>0.6167304566</v>
      </c>
      <c r="Z220" s="57">
        <f>IFERROR(__xludf.DUMMYFUNCTION("""COMPUTED_VALUE"""),0.40424575002414753)</f>
        <v>0.40424575</v>
      </c>
      <c r="AA220" s="57">
        <f>IFERROR(__xludf.DUMMYFUNCTION("""COMPUTED_VALUE"""),1.5044793779580798)</f>
        <v>1.504479378</v>
      </c>
      <c r="AB220" s="57">
        <f>IFERROR(__xludf.DUMMYFUNCTION("""COMPUTED_VALUE"""),2.433722914453138)</f>
        <v>2.433722914</v>
      </c>
      <c r="AC220" s="31">
        <f>IFERROR(__xludf.DUMMYFUNCTION("""COMPUTED_VALUE"""),379.6929979367226)</f>
        <v>379.6929979</v>
      </c>
      <c r="AD220" s="57">
        <f>IFERROR(__xludf.DUMMYFUNCTION("""COMPUTED_VALUE"""),0.8978945984524076)</f>
        <v>0.8978945985</v>
      </c>
      <c r="AE220" s="57">
        <f>IFERROR(__xludf.DUMMYFUNCTION("""COMPUTED_VALUE"""),0.7080415499533145)</f>
        <v>0.70804155</v>
      </c>
      <c r="AF220" s="57">
        <f>IFERROR(__xludf.DUMMYFUNCTION("""COMPUTED_VALUE"""),1.4086949434946392)</f>
        <v>1.408694943</v>
      </c>
      <c r="AG220" s="57">
        <f>IFERROR(__xludf.DUMMYFUNCTION("""COMPUTED_VALUE"""),2.843861682604076)</f>
        <v>2.843861683</v>
      </c>
      <c r="AH220" s="57">
        <f>IFERROR(__xludf.DUMMYFUNCTION("""COMPUTED_VALUE"""),1.2417927182280497)</f>
        <v>1.241792718</v>
      </c>
      <c r="AI220" s="57">
        <f>IFERROR(__xludf.DUMMYFUNCTION("""COMPUTED_VALUE"""),1.3921455838519063)</f>
        <v>1.392145584</v>
      </c>
      <c r="AJ220" s="57">
        <f>IFERROR(__xludf.DUMMYFUNCTION("""COMPUTED_VALUE"""),0.7061732465177617)</f>
        <v>0.7061732465</v>
      </c>
      <c r="AK220" s="57">
        <f>IFERROR(__xludf.DUMMYFUNCTION("""COMPUTED_VALUE"""),1.1535499630379584)</f>
        <v>1.153549963</v>
      </c>
      <c r="AL220" s="57">
        <f>IFERROR(__xludf.DUMMYFUNCTION("""COMPUTED_VALUE"""),1.054903625711132)</f>
        <v>1.054903626</v>
      </c>
      <c r="AM220" s="57">
        <f>IFERROR(__xludf.DUMMYFUNCTION("""COMPUTED_VALUE"""),0.966922956172917)</f>
        <v>0.9669229562</v>
      </c>
      <c r="AN220" s="57">
        <f>IFERROR(__xludf.DUMMYFUNCTION("""COMPUTED_VALUE"""),0.8107269467388627)</f>
        <v>0.8107269467</v>
      </c>
      <c r="AO220" s="57">
        <f>IFERROR(__xludf.DUMMYFUNCTION("""COMPUTED_VALUE"""),0.8245809221579243)</f>
        <v>0.8245809222</v>
      </c>
      <c r="AP220" s="35">
        <f>IFERROR(__xludf.DUMMYFUNCTION("""COMPUTED_VALUE"""),0.8862423459356217)</f>
        <v>0.8862423459</v>
      </c>
      <c r="AQ220" s="57">
        <f>IFERROR(__xludf.DUMMYFUNCTION("""COMPUTED_VALUE"""),0.9416300652211298)</f>
        <v>0.9416300652</v>
      </c>
      <c r="AR220" s="36" t="b">
        <f>IFERROR(__xludf.DUMMYFUNCTION("""COMPUTED_VALUE"""),TRUE)</f>
        <v>1</v>
      </c>
      <c r="AS220" s="57"/>
      <c r="AT220" s="37"/>
      <c r="AU220" s="30"/>
      <c r="AV220" s="30"/>
      <c r="AW220" s="30"/>
      <c r="AX220" s="30"/>
      <c r="AY220" s="30"/>
      <c r="AZ220" s="30"/>
    </row>
    <row r="221">
      <c r="A221" s="30" t="str">
        <f>IFERROR(__xludf.DUMMYFUNCTION("""COMPUTED_VALUE"""),"Elite")</f>
        <v>Elite</v>
      </c>
      <c r="B221" s="30" t="str">
        <f>IFERROR(__xludf.DUMMYFUNCTION("""COMPUTED_VALUE"""),"RSC007049")</f>
        <v>RSC007049</v>
      </c>
      <c r="C221" s="30" t="str">
        <f>IFERROR(__xludf.DUMMYFUNCTION("""COMPUTED_VALUE"""),"dillyn.")</f>
        <v>dillyn.</v>
      </c>
      <c r="D221" s="31"/>
      <c r="E221" s="31">
        <f>IFERROR(__xludf.DUMMYFUNCTION("""COMPUTED_VALUE"""),83.15053618571295)</f>
        <v>83.15053619</v>
      </c>
      <c r="F221" s="31">
        <f>IFERROR(__xludf.DUMMYFUNCTION("""COMPUTED_VALUE"""),10.820602382176475)</f>
        <v>10.82060238</v>
      </c>
      <c r="G221" s="31">
        <f>IFERROR(__xludf.DUMMYFUNCTION("""COMPUTED_VALUE"""),64.85227386001885)</f>
        <v>64.85227386</v>
      </c>
      <c r="H221" s="31">
        <f>IFERROR(__xludf.DUMMYFUNCTION("""COMPUTED_VALUE"""),3.62022873362617)</f>
        <v>3.620228734</v>
      </c>
      <c r="I221" s="54">
        <f>IFERROR(__xludf.DUMMYFUNCTION("""COMPUTED_VALUE"""),8.0)</f>
        <v>8</v>
      </c>
      <c r="J221" s="55">
        <f>IFERROR(__xludf.DUMMYFUNCTION("""COMPUTED_VALUE"""),4.0)</f>
        <v>4</v>
      </c>
      <c r="K221" s="54">
        <f>IFERROR(__xludf.DUMMYFUNCTION("""COMPUTED_VALUE"""),4.0)</f>
        <v>4</v>
      </c>
      <c r="L221" s="56">
        <f>IFERROR(__xludf.DUMMYFUNCTION("""COMPUTED_VALUE"""),0.5)</f>
        <v>0.5</v>
      </c>
      <c r="M221" s="56">
        <f>IFERROR(__xludf.DUMMYFUNCTION("""COMPUTED_VALUE"""),0.3333333333333333)</f>
        <v>0.3333333333</v>
      </c>
      <c r="N221" s="31">
        <f>IFERROR(__xludf.DUMMYFUNCTION("""COMPUTED_VALUE"""),455.875)</f>
        <v>455.875</v>
      </c>
      <c r="O221" s="57">
        <f>IFERROR(__xludf.DUMMYFUNCTION("""COMPUTED_VALUE"""),1.0)</f>
        <v>1</v>
      </c>
      <c r="P221" s="57">
        <f>IFERROR(__xludf.DUMMYFUNCTION("""COMPUTED_VALUE"""),0.375)</f>
        <v>0.375</v>
      </c>
      <c r="Q221" s="57">
        <f>IFERROR(__xludf.DUMMYFUNCTION("""COMPUTED_VALUE"""),2.375)</f>
        <v>2.375</v>
      </c>
      <c r="R221" s="57">
        <f>IFERROR(__xludf.DUMMYFUNCTION("""COMPUTED_VALUE"""),3.0)</f>
        <v>3</v>
      </c>
      <c r="S221" s="31">
        <f>IFERROR(__xludf.DUMMYFUNCTION("""COMPUTED_VALUE"""),348.375)</f>
        <v>348.375</v>
      </c>
      <c r="T221" s="57">
        <f>IFERROR(__xludf.DUMMYFUNCTION("""COMPUTED_VALUE"""),0.7499999999999999)</f>
        <v>0.75</v>
      </c>
      <c r="U221" s="57">
        <f>IFERROR(__xludf.DUMMYFUNCTION("""COMPUTED_VALUE"""),0.5416666666666667)</f>
        <v>0.5416666667</v>
      </c>
      <c r="V221" s="57">
        <f>IFERROR(__xludf.DUMMYFUNCTION("""COMPUTED_VALUE"""),1.2083333333333333)</f>
        <v>1.208333333</v>
      </c>
      <c r="W221" s="57">
        <f>IFERROR(__xludf.DUMMYFUNCTION("""COMPUTED_VALUE"""),3.2916666666666665)</f>
        <v>3.291666667</v>
      </c>
      <c r="X221" s="31">
        <f>IFERROR(__xludf.DUMMYFUNCTION("""COMPUTED_VALUE"""),377.56845724400875)</f>
        <v>377.5684572</v>
      </c>
      <c r="Y221" s="57">
        <f>IFERROR(__xludf.DUMMYFUNCTION("""COMPUTED_VALUE"""),0.8802083333333335)</f>
        <v>0.8802083333</v>
      </c>
      <c r="Z221" s="57">
        <f>IFERROR(__xludf.DUMMYFUNCTION("""COMPUTED_VALUE"""),0.7514978213507624)</f>
        <v>0.7514978214</v>
      </c>
      <c r="AA221" s="57">
        <f>IFERROR(__xludf.DUMMYFUNCTION("""COMPUTED_VALUE"""),1.1978826252723311)</f>
        <v>1.197882625</v>
      </c>
      <c r="AB221" s="57">
        <f>IFERROR(__xludf.DUMMYFUNCTION("""COMPUTED_VALUE"""),3.0311478758169934)</f>
        <v>3.031147876</v>
      </c>
      <c r="AC221" s="31">
        <f>IFERROR(__xludf.DUMMYFUNCTION("""COMPUTED_VALUE"""),354.19696350762524)</f>
        <v>354.1969635</v>
      </c>
      <c r="AD221" s="57">
        <f>IFERROR(__xludf.DUMMYFUNCTION("""COMPUTED_VALUE"""),0.6334649600580973)</f>
        <v>0.6334649601</v>
      </c>
      <c r="AE221" s="57">
        <f>IFERROR(__xludf.DUMMYFUNCTION("""COMPUTED_VALUE"""),0.4709626906318083)</f>
        <v>0.4709626906</v>
      </c>
      <c r="AF221" s="57">
        <f>IFERROR(__xludf.DUMMYFUNCTION("""COMPUTED_VALUE"""),1.7513162672476394)</f>
        <v>1.751316267</v>
      </c>
      <c r="AG221" s="57">
        <f>IFERROR(__xludf.DUMMYFUNCTION("""COMPUTED_VALUE"""),2.192617556281772)</f>
        <v>2.192617556</v>
      </c>
      <c r="AH221" s="57">
        <f>IFERROR(__xludf.DUMMYFUNCTION("""COMPUTED_VALUE"""),1.2870663697549902)</f>
        <v>1.28706637</v>
      </c>
      <c r="AI221" s="57">
        <f>IFERROR(__xludf.DUMMYFUNCTION("""COMPUTED_VALUE"""),1.5786192813384445)</f>
        <v>1.578619281</v>
      </c>
      <c r="AJ221" s="57">
        <f>IFERROR(__xludf.DUMMYFUNCTION("""COMPUTED_VALUE"""),0.7962414166967835)</f>
        <v>0.7962414167</v>
      </c>
      <c r="AK221" s="57">
        <f>IFERROR(__xludf.DUMMYFUNCTION("""COMPUTED_VALUE"""),1.3561228456654142)</f>
        <v>1.356122846</v>
      </c>
      <c r="AL221" s="57">
        <f>IFERROR(__xludf.DUMMYFUNCTION("""COMPUTED_VALUE"""),1.3682276653332022)</f>
        <v>1.368227665</v>
      </c>
      <c r="AM221" s="57">
        <f>IFERROR(__xludf.DUMMYFUNCTION("""COMPUTED_VALUE"""),0.9226803598555319)</f>
        <v>0.9226803599</v>
      </c>
      <c r="AN221" s="57">
        <f>IFERROR(__xludf.DUMMYFUNCTION("""COMPUTED_VALUE"""),0.8520710059171595)</f>
        <v>0.8520710059</v>
      </c>
      <c r="AO221" s="57">
        <f>IFERROR(__xludf.DUMMYFUNCTION("""COMPUTED_VALUE"""),0.7207827504982789)</f>
        <v>0.7207827505</v>
      </c>
      <c r="AP221" s="35">
        <f>IFERROR(__xludf.DUMMYFUNCTION("""COMPUTED_VALUE"""),1.008724317258234)</f>
        <v>1.008724317</v>
      </c>
      <c r="AQ221" s="57">
        <f>IFERROR(__xludf.DUMMYFUNCTION("""COMPUTED_VALUE"""),1.085947238974428)</f>
        <v>1.085947239</v>
      </c>
      <c r="AR221" s="36" t="b">
        <f>IFERROR(__xludf.DUMMYFUNCTION("""COMPUTED_VALUE"""),TRUE)</f>
        <v>1</v>
      </c>
      <c r="AS221" s="57"/>
      <c r="AT221" s="37"/>
      <c r="AU221" s="30"/>
      <c r="AV221" s="30"/>
      <c r="AW221" s="30"/>
      <c r="AX221" s="30"/>
      <c r="AY221" s="30"/>
      <c r="AZ221" s="30"/>
    </row>
    <row r="222">
      <c r="A222" s="30" t="str">
        <f>IFERROR(__xludf.DUMMYFUNCTION("""COMPUTED_VALUE"""),"Elite")</f>
        <v>Elite</v>
      </c>
      <c r="B222" s="30" t="str">
        <f>IFERROR(__xludf.DUMMYFUNCTION("""COMPUTED_VALUE"""),"RSC002498")</f>
        <v>RSC002498</v>
      </c>
      <c r="C222" s="30" t="str">
        <f>IFERROR(__xludf.DUMMYFUNCTION("""COMPUTED_VALUE"""),"Justin")</f>
        <v>Justin</v>
      </c>
      <c r="D222" s="31" t="str">
        <f>IFERROR(__xludf.DUMMYFUNCTION("""COMPUTED_VALUE"""),"Nightshade")</f>
        <v>Nightshade</v>
      </c>
      <c r="E222" s="31">
        <f>IFERROR(__xludf.DUMMYFUNCTION("""COMPUTED_VALUE"""),81.48236559903877)</f>
        <v>81.4823656</v>
      </c>
      <c r="F222" s="31">
        <f>IFERROR(__xludf.DUMMYFUNCTION("""COMPUTED_VALUE"""),9.618902251342806)</f>
        <v>9.618902251</v>
      </c>
      <c r="G222" s="31">
        <f>IFERROR(__xludf.DUMMYFUNCTION("""COMPUTED_VALUE"""),63.392602328133385)</f>
        <v>63.39260233</v>
      </c>
      <c r="H222" s="31">
        <f>IFERROR(__xludf.DUMMYFUNCTION("""COMPUTED_VALUE"""),3.3774480151029347)</f>
        <v>3.377448015</v>
      </c>
      <c r="I222" s="54">
        <f>IFERROR(__xludf.DUMMYFUNCTION("""COMPUTED_VALUE"""),29.0)</f>
        <v>29</v>
      </c>
      <c r="J222" s="55">
        <f>IFERROR(__xludf.DUMMYFUNCTION("""COMPUTED_VALUE"""),18.0)</f>
        <v>18</v>
      </c>
      <c r="K222" s="54">
        <f>IFERROR(__xludf.DUMMYFUNCTION("""COMPUTED_VALUE"""),11.0)</f>
        <v>11</v>
      </c>
      <c r="L222" s="56">
        <f>IFERROR(__xludf.DUMMYFUNCTION("""COMPUTED_VALUE"""),0.6206896551724138)</f>
        <v>0.6206896552</v>
      </c>
      <c r="M222" s="56">
        <f>IFERROR(__xludf.DUMMYFUNCTION("""COMPUTED_VALUE"""),0.35353535353535354)</f>
        <v>0.3535353535</v>
      </c>
      <c r="N222" s="31">
        <f>IFERROR(__xludf.DUMMYFUNCTION("""COMPUTED_VALUE"""),381.17241379310343)</f>
        <v>381.1724138</v>
      </c>
      <c r="O222" s="57">
        <f>IFERROR(__xludf.DUMMYFUNCTION("""COMPUTED_VALUE"""),1.206896551724138)</f>
        <v>1.206896552</v>
      </c>
      <c r="P222" s="57">
        <f>IFERROR(__xludf.DUMMYFUNCTION("""COMPUTED_VALUE"""),0.5862068965517241)</f>
        <v>0.5862068966</v>
      </c>
      <c r="Q222" s="57">
        <f>IFERROR(__xludf.DUMMYFUNCTION("""COMPUTED_VALUE"""),0.9655172413793104)</f>
        <v>0.9655172414</v>
      </c>
      <c r="R222" s="57">
        <f>IFERROR(__xludf.DUMMYFUNCTION("""COMPUTED_VALUE"""),3.413793103448276)</f>
        <v>3.413793103</v>
      </c>
      <c r="S222" s="31">
        <f>IFERROR(__xludf.DUMMYFUNCTION("""COMPUTED_VALUE"""),343.1724137931035)</f>
        <v>343.1724138</v>
      </c>
      <c r="T222" s="57">
        <f>IFERROR(__xludf.DUMMYFUNCTION("""COMPUTED_VALUE"""),0.67816091954023)</f>
        <v>0.6781609195</v>
      </c>
      <c r="U222" s="57">
        <f>IFERROR(__xludf.DUMMYFUNCTION("""COMPUTED_VALUE"""),0.5057471264367814)</f>
        <v>0.5057471264</v>
      </c>
      <c r="V222" s="57">
        <f>IFERROR(__xludf.DUMMYFUNCTION("""COMPUTED_VALUE"""),1.4482758620689655)</f>
        <v>1.448275862</v>
      </c>
      <c r="W222" s="57">
        <f>IFERROR(__xludf.DUMMYFUNCTION("""COMPUTED_VALUE"""),2.5747126436781604)</f>
        <v>2.574712644</v>
      </c>
      <c r="X222" s="31">
        <f>IFERROR(__xludf.DUMMYFUNCTION("""COMPUTED_VALUE"""),338.9490599887698)</f>
        <v>338.94906</v>
      </c>
      <c r="Y222" s="57">
        <f>IFERROR(__xludf.DUMMYFUNCTION("""COMPUTED_VALUE"""),0.6661619947299183)</f>
        <v>0.6661619947</v>
      </c>
      <c r="Z222" s="57">
        <f>IFERROR(__xludf.DUMMYFUNCTION("""COMPUTED_VALUE"""),0.5371047872028802)</f>
        <v>0.5371047872</v>
      </c>
      <c r="AA222" s="57">
        <f>IFERROR(__xludf.DUMMYFUNCTION("""COMPUTED_VALUE"""),1.3693761919137082)</f>
        <v>1.369376192</v>
      </c>
      <c r="AB222" s="57">
        <f>IFERROR(__xludf.DUMMYFUNCTION("""COMPUTED_VALUE"""),2.4466240352871673)</f>
        <v>2.446624035</v>
      </c>
      <c r="AC222" s="31">
        <f>IFERROR(__xludf.DUMMYFUNCTION("""COMPUTED_VALUE"""),368.67922895307544)</f>
        <v>368.679229</v>
      </c>
      <c r="AD222" s="57">
        <f>IFERROR(__xludf.DUMMYFUNCTION("""COMPUTED_VALUE"""),0.8469808273638667)</f>
        <v>0.8469808274</v>
      </c>
      <c r="AE222" s="57">
        <f>IFERROR(__xludf.DUMMYFUNCTION("""COMPUTED_VALUE"""),0.6525368414383131)</f>
        <v>0.6525368414</v>
      </c>
      <c r="AF222" s="57">
        <f>IFERROR(__xludf.DUMMYFUNCTION("""COMPUTED_VALUE"""),1.3237814461261481)</f>
        <v>1.323781446</v>
      </c>
      <c r="AG222" s="57">
        <f>IFERROR(__xludf.DUMMYFUNCTION("""COMPUTED_VALUE"""),2.768379829652534)</f>
        <v>2.76837983</v>
      </c>
      <c r="AH222" s="57">
        <f>IFERROR(__xludf.DUMMYFUNCTION("""COMPUTED_VALUE"""),1.033886326809092)</f>
        <v>1.033886327</v>
      </c>
      <c r="AI222" s="57">
        <f>IFERROR(__xludf.DUMMYFUNCTION("""COMPUTED_VALUE"""),1.4249396358598443)</f>
        <v>1.424939636</v>
      </c>
      <c r="AJ222" s="57">
        <f>IFERROR(__xludf.DUMMYFUNCTION("""COMPUTED_VALUE"""),0.8983506513741271)</f>
        <v>0.8983506514</v>
      </c>
      <c r="AK222" s="57">
        <f>IFERROR(__xludf.DUMMYFUNCTION("""COMPUTED_VALUE"""),0.7293630260529446)</f>
        <v>0.7293630261</v>
      </c>
      <c r="AL222" s="57">
        <f>IFERROR(__xludf.DUMMYFUNCTION("""COMPUTED_VALUE"""),1.2331375438018377)</f>
        <v>1.233137544</v>
      </c>
      <c r="AM222" s="57">
        <f>IFERROR(__xludf.DUMMYFUNCTION("""COMPUTED_VALUE"""),1.01246014313913)</f>
        <v>1.012460143</v>
      </c>
      <c r="AN222" s="57">
        <f>IFERROR(__xludf.DUMMYFUNCTION("""COMPUTED_VALUE"""),1.018012022458856)</f>
        <v>1.018012022</v>
      </c>
      <c r="AO222" s="57">
        <f>IFERROR(__xludf.DUMMYFUNCTION("""COMPUTED_VALUE"""),0.9416172383616196)</f>
        <v>0.9416172384</v>
      </c>
      <c r="AP222" s="35">
        <f>IFERROR(__xludf.DUMMYFUNCTION("""COMPUTED_VALUE"""),1.0576172352208013)</f>
        <v>1.057617235</v>
      </c>
      <c r="AQ222" s="57">
        <f>IFERROR(__xludf.DUMMYFUNCTION("""COMPUTED_VALUE"""),1.0523532044742456)</f>
        <v>1.052353204</v>
      </c>
      <c r="AR222" s="36" t="b">
        <f>IFERROR(__xludf.DUMMYFUNCTION("""COMPUTED_VALUE"""),TRUE)</f>
        <v>1</v>
      </c>
      <c r="AS222" s="57"/>
      <c r="AT222" s="37"/>
      <c r="AU222" s="30"/>
      <c r="AV222" s="30"/>
      <c r="AW222" s="30"/>
      <c r="AX222" s="30"/>
      <c r="AY222" s="30"/>
      <c r="AZ222" s="30"/>
    </row>
    <row r="223">
      <c r="A223" s="30" t="str">
        <f>IFERROR(__xludf.DUMMYFUNCTION("""COMPUTED_VALUE"""),"Elite")</f>
        <v>Elite</v>
      </c>
      <c r="B223" s="30" t="str">
        <f>IFERROR(__xludf.DUMMYFUNCTION("""COMPUTED_VALUE"""),"RSC004630")</f>
        <v>RSC004630</v>
      </c>
      <c r="C223" s="30" t="str">
        <f>IFERROR(__xludf.DUMMYFUNCTION("""COMPUTED_VALUE"""),"Supe")</f>
        <v>Supe</v>
      </c>
      <c r="D223" s="31" t="str">
        <f>IFERROR(__xludf.DUMMYFUNCTION("""COMPUTED_VALUE"""),"Pylons")</f>
        <v>Pylons</v>
      </c>
      <c r="E223" s="31">
        <f>IFERROR(__xludf.DUMMYFUNCTION("""COMPUTED_VALUE"""),80.87669531231118)</f>
        <v>80.87669531</v>
      </c>
      <c r="F223" s="31">
        <f>IFERROR(__xludf.DUMMYFUNCTION("""COMPUTED_VALUE"""),9.224868122209564)</f>
        <v>9.224868122</v>
      </c>
      <c r="G223" s="31">
        <f>IFERROR(__xludf.DUMMYFUNCTION("""COMPUTED_VALUE"""),77.53545533763443)</f>
        <v>77.53545534</v>
      </c>
      <c r="H223" s="31">
        <f>IFERROR(__xludf.DUMMYFUNCTION("""COMPUTED_VALUE"""),7.3878519810292005)</f>
        <v>7.387851981</v>
      </c>
      <c r="I223" s="54">
        <f>IFERROR(__xludf.DUMMYFUNCTION("""COMPUTED_VALUE"""),24.0)</f>
        <v>24</v>
      </c>
      <c r="J223" s="55">
        <f>IFERROR(__xludf.DUMMYFUNCTION("""COMPUTED_VALUE"""),13.0)</f>
        <v>13</v>
      </c>
      <c r="K223" s="54">
        <f>IFERROR(__xludf.DUMMYFUNCTION("""COMPUTED_VALUE"""),11.0)</f>
        <v>11</v>
      </c>
      <c r="L223" s="56">
        <f>IFERROR(__xludf.DUMMYFUNCTION("""COMPUTED_VALUE"""),0.5416666666666666)</f>
        <v>0.5416666667</v>
      </c>
      <c r="M223" s="56">
        <f>IFERROR(__xludf.DUMMYFUNCTION("""COMPUTED_VALUE"""),0.3125)</f>
        <v>0.3125</v>
      </c>
      <c r="N223" s="31">
        <f>IFERROR(__xludf.DUMMYFUNCTION("""COMPUTED_VALUE"""),426.0416666666667)</f>
        <v>426.0416667</v>
      </c>
      <c r="O223" s="57">
        <f>IFERROR(__xludf.DUMMYFUNCTION("""COMPUTED_VALUE"""),1.0416666666666667)</f>
        <v>1.041666667</v>
      </c>
      <c r="P223" s="57">
        <f>IFERROR(__xludf.DUMMYFUNCTION("""COMPUTED_VALUE"""),0.6666666666666666)</f>
        <v>0.6666666667</v>
      </c>
      <c r="Q223" s="57">
        <f>IFERROR(__xludf.DUMMYFUNCTION("""COMPUTED_VALUE"""),1.4583333333333333)</f>
        <v>1.458333333</v>
      </c>
      <c r="R223" s="57">
        <f>IFERROR(__xludf.DUMMYFUNCTION("""COMPUTED_VALUE"""),3.3333333333333335)</f>
        <v>3.333333333</v>
      </c>
      <c r="S223" s="31">
        <f>IFERROR(__xludf.DUMMYFUNCTION("""COMPUTED_VALUE"""),350.25)</f>
        <v>350.25</v>
      </c>
      <c r="T223" s="57">
        <f>IFERROR(__xludf.DUMMYFUNCTION("""COMPUTED_VALUE"""),0.7361111111111112)</f>
        <v>0.7361111111</v>
      </c>
      <c r="U223" s="57">
        <f>IFERROR(__xludf.DUMMYFUNCTION("""COMPUTED_VALUE"""),0.5416666666666666)</f>
        <v>0.5416666667</v>
      </c>
      <c r="V223" s="57">
        <f>IFERROR(__xludf.DUMMYFUNCTION("""COMPUTED_VALUE"""),1.4166666666666667)</f>
        <v>1.416666667</v>
      </c>
      <c r="W223" s="57">
        <f>IFERROR(__xludf.DUMMYFUNCTION("""COMPUTED_VALUE"""),2.4999999999999996)</f>
        <v>2.5</v>
      </c>
      <c r="X223" s="31">
        <f>IFERROR(__xludf.DUMMYFUNCTION("""COMPUTED_VALUE"""),355.2655648306195)</f>
        <v>355.2655648</v>
      </c>
      <c r="Y223" s="57">
        <f>IFERROR(__xludf.DUMMYFUNCTION("""COMPUTED_VALUE"""),0.7256045526454439)</f>
        <v>0.7256045526</v>
      </c>
      <c r="Z223" s="57">
        <f>IFERROR(__xludf.DUMMYFUNCTION("""COMPUTED_VALUE"""),0.5140116273751067)</f>
        <v>0.5140116274</v>
      </c>
      <c r="AA223" s="57">
        <f>IFERROR(__xludf.DUMMYFUNCTION("""COMPUTED_VALUE"""),1.5018645402170725)</f>
        <v>1.50186454</v>
      </c>
      <c r="AB223" s="57">
        <f>IFERROR(__xludf.DUMMYFUNCTION("""COMPUTED_VALUE"""),2.4018245337191764)</f>
        <v>2.401824534</v>
      </c>
      <c r="AC223" s="31">
        <f>IFERROR(__xludf.DUMMYFUNCTION("""COMPUTED_VALUE"""),358.7389276956648)</f>
        <v>358.7389277</v>
      </c>
      <c r="AD223" s="57">
        <f>IFERROR(__xludf.DUMMYFUNCTION("""COMPUTED_VALUE"""),0.7798483284559586)</f>
        <v>0.7798483285</v>
      </c>
      <c r="AE223" s="57">
        <f>IFERROR(__xludf.DUMMYFUNCTION("""COMPUTED_VALUE"""),0.5928142319823524)</f>
        <v>0.592814232</v>
      </c>
      <c r="AF223" s="57">
        <f>IFERROR(__xludf.DUMMYFUNCTION("""COMPUTED_VALUE"""),1.322858511572033)</f>
        <v>1.322858512</v>
      </c>
      <c r="AG223" s="57">
        <f>IFERROR(__xludf.DUMMYFUNCTION("""COMPUTED_VALUE"""),2.75839545143521)</f>
        <v>2.758395451</v>
      </c>
      <c r="AH223" s="57">
        <f>IFERROR(__xludf.DUMMYFUNCTION("""COMPUTED_VALUE"""),1.187609243868003)</f>
        <v>1.187609244</v>
      </c>
      <c r="AI223" s="57">
        <f>IFERROR(__xludf.DUMMYFUNCTION("""COMPUTED_VALUE"""),1.3357298190650595)</f>
        <v>1.335729819</v>
      </c>
      <c r="AJ223" s="57">
        <f>IFERROR(__xludf.DUMMYFUNCTION("""COMPUTED_VALUE"""),1.1245793887865243)</f>
        <v>1.124579389</v>
      </c>
      <c r="AK223" s="57">
        <f>IFERROR(__xludf.DUMMYFUNCTION("""COMPUTED_VALUE"""),1.1024106664289495)</f>
        <v>1.102410666</v>
      </c>
      <c r="AL223" s="57">
        <f>IFERROR(__xludf.DUMMYFUNCTION("""COMPUTED_VALUE"""),1.2084320004221947)</f>
        <v>1.208432</v>
      </c>
      <c r="AM223" s="57">
        <f>IFERROR(__xludf.DUMMYFUNCTION("""COMPUTED_VALUE"""),0.9858822094592512)</f>
        <v>0.9858822095</v>
      </c>
      <c r="AN223" s="57">
        <f>IFERROR(__xludf.DUMMYFUNCTION("""COMPUTED_VALUE"""),1.0144797306292552)</f>
        <v>1.014479731</v>
      </c>
      <c r="AO223" s="57">
        <f>IFERROR(__xludf.DUMMYFUNCTION("""COMPUTED_VALUE"""),1.0538023613060765)</f>
        <v>1.053802361</v>
      </c>
      <c r="AP223" s="35">
        <f>IFERROR(__xludf.DUMMYFUNCTION("""COMPUTED_VALUE"""),0.9432719321423677)</f>
        <v>0.9432719321</v>
      </c>
      <c r="AQ223" s="57">
        <f>IFERROR(__xludf.DUMMYFUNCTION("""COMPUTED_VALUE"""),1.0408753699125557)</f>
        <v>1.04087537</v>
      </c>
      <c r="AR223" s="36" t="b">
        <f>IFERROR(__xludf.DUMMYFUNCTION("""COMPUTED_VALUE"""),TRUE)</f>
        <v>1</v>
      </c>
      <c r="AS223" s="57"/>
      <c r="AT223" s="37"/>
      <c r="AU223" s="30"/>
      <c r="AV223" s="30"/>
      <c r="AW223" s="30"/>
      <c r="AX223" s="30"/>
      <c r="AY223" s="30"/>
      <c r="AZ223" s="30"/>
    </row>
    <row r="224">
      <c r="A224" s="30" t="str">
        <f>IFERROR(__xludf.DUMMYFUNCTION("""COMPUTED_VALUE"""),"Elite")</f>
        <v>Elite</v>
      </c>
      <c r="B224" s="30" t="str">
        <f>IFERROR(__xludf.DUMMYFUNCTION("""COMPUTED_VALUE"""),"RSC007895")</f>
        <v>RSC007895</v>
      </c>
      <c r="C224" s="30" t="str">
        <f>IFERROR(__xludf.DUMMYFUNCTION("""COMPUTED_VALUE"""),"Lup")</f>
        <v>Lup</v>
      </c>
      <c r="D224" s="31" t="str">
        <f>IFERROR(__xludf.DUMMYFUNCTION("""COMPUTED_VALUE"""),"Wyverns")</f>
        <v>Wyverns</v>
      </c>
      <c r="E224" s="31">
        <f>IFERROR(__xludf.DUMMYFUNCTION("""COMPUTED_VALUE"""),79.1680044461312)</f>
        <v>79.16800445</v>
      </c>
      <c r="F224" s="31">
        <f>IFERROR(__xludf.DUMMYFUNCTION("""COMPUTED_VALUE"""),8.219513907386018)</f>
        <v>8.219513907</v>
      </c>
      <c r="G224" s="31">
        <f>IFERROR(__xludf.DUMMYFUNCTION("""COMPUTED_VALUE"""),62.90535570486708)</f>
        <v>62.9053557</v>
      </c>
      <c r="H224" s="31">
        <f>IFERROR(__xludf.DUMMYFUNCTION("""COMPUTED_VALUE"""),3.3019385350538992)</f>
        <v>3.301938535</v>
      </c>
      <c r="I224" s="54">
        <f>IFERROR(__xludf.DUMMYFUNCTION("""COMPUTED_VALUE"""),34.0)</f>
        <v>34</v>
      </c>
      <c r="J224" s="55">
        <f>IFERROR(__xludf.DUMMYFUNCTION("""COMPUTED_VALUE"""),18.0)</f>
        <v>18</v>
      </c>
      <c r="K224" s="54">
        <f>IFERROR(__xludf.DUMMYFUNCTION("""COMPUTED_VALUE"""),16.0)</f>
        <v>16</v>
      </c>
      <c r="L224" s="56">
        <f>IFERROR(__xludf.DUMMYFUNCTION("""COMPUTED_VALUE"""),0.5294117647058824)</f>
        <v>0.5294117647</v>
      </c>
      <c r="M224" s="56">
        <f>IFERROR(__xludf.DUMMYFUNCTION("""COMPUTED_VALUE"""),0.33333333333333326)</f>
        <v>0.3333333333</v>
      </c>
      <c r="N224" s="31">
        <f>IFERROR(__xludf.DUMMYFUNCTION("""COMPUTED_VALUE"""),391.29411764705884)</f>
        <v>391.2941176</v>
      </c>
      <c r="O224" s="57">
        <f>IFERROR(__xludf.DUMMYFUNCTION("""COMPUTED_VALUE"""),1.0294117647058822)</f>
        <v>1.029411765</v>
      </c>
      <c r="P224" s="57">
        <f>IFERROR(__xludf.DUMMYFUNCTION("""COMPUTED_VALUE"""),0.5294117647058824)</f>
        <v>0.5294117647</v>
      </c>
      <c r="Q224" s="57">
        <f>IFERROR(__xludf.DUMMYFUNCTION("""COMPUTED_VALUE"""),1.588235294117647)</f>
        <v>1.588235294</v>
      </c>
      <c r="R224" s="57">
        <f>IFERROR(__xludf.DUMMYFUNCTION("""COMPUTED_VALUE"""),3.088235294117647)</f>
        <v>3.088235294</v>
      </c>
      <c r="S224" s="31">
        <f>IFERROR(__xludf.DUMMYFUNCTION("""COMPUTED_VALUE"""),353.89215686274514)</f>
        <v>353.8921569</v>
      </c>
      <c r="T224" s="57">
        <f>IFERROR(__xludf.DUMMYFUNCTION("""COMPUTED_VALUE"""),0.6862745098039215)</f>
        <v>0.6862745098</v>
      </c>
      <c r="U224" s="57">
        <f>IFERROR(__xludf.DUMMYFUNCTION("""COMPUTED_VALUE"""),0.5294117647058824)</f>
        <v>0.5294117647</v>
      </c>
      <c r="V224" s="57">
        <f>IFERROR(__xludf.DUMMYFUNCTION("""COMPUTED_VALUE"""),1.4901960784313724)</f>
        <v>1.490196078</v>
      </c>
      <c r="W224" s="57">
        <f>IFERROR(__xludf.DUMMYFUNCTION("""COMPUTED_VALUE"""),2.519607843137255)</f>
        <v>2.519607843</v>
      </c>
      <c r="X224" s="31">
        <f>IFERROR(__xludf.DUMMYFUNCTION("""COMPUTED_VALUE"""),358.52990525109334)</f>
        <v>358.5299053</v>
      </c>
      <c r="Y224" s="57">
        <f>IFERROR(__xludf.DUMMYFUNCTION("""COMPUTED_VALUE"""),0.7970607979710405)</f>
        <v>0.797060798</v>
      </c>
      <c r="Z224" s="57">
        <f>IFERROR(__xludf.DUMMYFUNCTION("""COMPUTED_VALUE"""),0.5997481218608871)</f>
        <v>0.5997481219</v>
      </c>
      <c r="AA224" s="57">
        <f>IFERROR(__xludf.DUMMYFUNCTION("""COMPUTED_VALUE"""),1.3228642265133563)</f>
        <v>1.322864227</v>
      </c>
      <c r="AB224" s="57">
        <f>IFERROR(__xludf.DUMMYFUNCTION("""COMPUTED_VALUE"""),2.737382727664263)</f>
        <v>2.737382728</v>
      </c>
      <c r="AC224" s="31">
        <f>IFERROR(__xludf.DUMMYFUNCTION("""COMPUTED_VALUE"""),356.05788380660266)</f>
        <v>356.0578838</v>
      </c>
      <c r="AD224" s="57">
        <f>IFERROR(__xludf.DUMMYFUNCTION("""COMPUTED_VALUE"""),0.7194435037394942)</f>
        <v>0.7194435037</v>
      </c>
      <c r="AE224" s="57">
        <f>IFERROR(__xludf.DUMMYFUNCTION("""COMPUTED_VALUE"""),0.5387149949105149)</f>
        <v>0.5387149949</v>
      </c>
      <c r="AF224" s="57">
        <f>IFERROR(__xludf.DUMMYFUNCTION("""COMPUTED_VALUE"""),1.508404613121169)</f>
        <v>1.508404613</v>
      </c>
      <c r="AG224" s="57">
        <f>IFERROR(__xludf.DUMMYFUNCTION("""COMPUTED_VALUE"""),2.498679534333938)</f>
        <v>2.498679534</v>
      </c>
      <c r="AH224" s="57">
        <f>IFERROR(__xludf.DUMMYFUNCTION("""COMPUTED_VALUE"""),1.0989620942071183)</f>
        <v>1.098962094</v>
      </c>
      <c r="AI224" s="57">
        <f>IFERROR(__xludf.DUMMYFUNCTION("""COMPUTED_VALUE"""),1.4308444782046785)</f>
        <v>1.430844478</v>
      </c>
      <c r="AJ224" s="57">
        <f>IFERROR(__xludf.DUMMYFUNCTION("""COMPUTED_VALUE"""),0.9827307012195236)</f>
        <v>0.9827307012</v>
      </c>
      <c r="AK224" s="57">
        <f>IFERROR(__xludf.DUMMYFUNCTION("""COMPUTED_VALUE"""),1.052923917297822)</f>
        <v>1.052923917</v>
      </c>
      <c r="AL224" s="57">
        <f>IFERROR(__xludf.DUMMYFUNCTION("""COMPUTED_VALUE"""),1.235946927840374)</f>
        <v>1.235946928</v>
      </c>
      <c r="AM224" s="57">
        <f>IFERROR(__xludf.DUMMYFUNCTION("""COMPUTED_VALUE"""),0.9870645423982131)</f>
        <v>0.9870645424</v>
      </c>
      <c r="AN224" s="57">
        <f>IFERROR(__xludf.DUMMYFUNCTION("""COMPUTED_VALUE"""),0.8610064772359508)</f>
        <v>0.8610064772</v>
      </c>
      <c r="AO224" s="57">
        <f>IFERROR(__xludf.DUMMYFUNCTION("""COMPUTED_VALUE"""),0.8827235057664433)</f>
        <v>0.8827235058</v>
      </c>
      <c r="AP224" s="35">
        <f>IFERROR(__xludf.DUMMYFUNCTION("""COMPUTED_VALUE"""),1.1264920832873748)</f>
        <v>1.126492083</v>
      </c>
      <c r="AQ224" s="57">
        <f>IFERROR(__xludf.DUMMYFUNCTION("""COMPUTED_VALUE"""),0.9204441226555011)</f>
        <v>0.9204441227</v>
      </c>
      <c r="AR224" s="36" t="b">
        <f>IFERROR(__xludf.DUMMYFUNCTION("""COMPUTED_VALUE"""),TRUE)</f>
        <v>1</v>
      </c>
      <c r="AS224" s="57"/>
      <c r="AT224" s="37"/>
      <c r="AU224" s="30"/>
      <c r="AV224" s="30"/>
      <c r="AW224" s="30"/>
      <c r="AX224" s="30"/>
      <c r="AY224" s="30"/>
      <c r="AZ224" s="30"/>
    </row>
    <row r="225">
      <c r="A225" s="30" t="str">
        <f>IFERROR(__xludf.DUMMYFUNCTION("""COMPUTED_VALUE"""),"Elite")</f>
        <v>Elite</v>
      </c>
      <c r="B225" s="30" t="str">
        <f>IFERROR(__xludf.DUMMYFUNCTION("""COMPUTED_VALUE"""),"RSC005290")</f>
        <v>RSC005290</v>
      </c>
      <c r="C225" s="30" t="str">
        <f>IFERROR(__xludf.DUMMYFUNCTION("""COMPUTED_VALUE"""),"IMWASHEDGREG")</f>
        <v>IMWASHEDGREG</v>
      </c>
      <c r="D225" s="31" t="str">
        <f>IFERROR(__xludf.DUMMYFUNCTION("""COMPUTED_VALUE"""),"Geeky Ghouls")</f>
        <v>Geeky Ghouls</v>
      </c>
      <c r="E225" s="31">
        <f>IFERROR(__xludf.DUMMYFUNCTION("""COMPUTED_VALUE"""),78.52678489517724)</f>
        <v>78.5267849</v>
      </c>
      <c r="F225" s="31">
        <f>IFERROR(__xludf.DUMMYFUNCTION("""COMPUTED_VALUE"""),7.878972257343314)</f>
        <v>7.878972257</v>
      </c>
      <c r="G225" s="31">
        <f>IFERROR(__xludf.DUMMYFUNCTION("""COMPUTED_VALUE"""),62.425799580896054)</f>
        <v>62.42579958</v>
      </c>
      <c r="H225" s="31">
        <f>IFERROR(__xludf.DUMMYFUNCTION("""COMPUTED_VALUE"""),3.2301489313745693)</f>
        <v>3.230148931</v>
      </c>
      <c r="I225" s="54">
        <f>IFERROR(__xludf.DUMMYFUNCTION("""COMPUTED_VALUE"""),31.0)</f>
        <v>31</v>
      </c>
      <c r="J225" s="55">
        <f>IFERROR(__xludf.DUMMYFUNCTION("""COMPUTED_VALUE"""),16.0)</f>
        <v>16</v>
      </c>
      <c r="K225" s="54">
        <f>IFERROR(__xludf.DUMMYFUNCTION("""COMPUTED_VALUE"""),15.0)</f>
        <v>15</v>
      </c>
      <c r="L225" s="56">
        <f>IFERROR(__xludf.DUMMYFUNCTION("""COMPUTED_VALUE"""),0.5161290322580645)</f>
        <v>0.5161290323</v>
      </c>
      <c r="M225" s="56">
        <f>IFERROR(__xludf.DUMMYFUNCTION("""COMPUTED_VALUE"""),0.27927927927927926)</f>
        <v>0.2792792793</v>
      </c>
      <c r="N225" s="31">
        <f>IFERROR(__xludf.DUMMYFUNCTION("""COMPUTED_VALUE"""),402.93548387096774)</f>
        <v>402.9354839</v>
      </c>
      <c r="O225" s="57">
        <f>IFERROR(__xludf.DUMMYFUNCTION("""COMPUTED_VALUE"""),1.0)</f>
        <v>1</v>
      </c>
      <c r="P225" s="57">
        <f>IFERROR(__xludf.DUMMYFUNCTION("""COMPUTED_VALUE"""),0.4838709677419355)</f>
        <v>0.4838709677</v>
      </c>
      <c r="Q225" s="57">
        <f>IFERROR(__xludf.DUMMYFUNCTION("""COMPUTED_VALUE"""),1.3548387096774193)</f>
        <v>1.35483871</v>
      </c>
      <c r="R225" s="57">
        <f>IFERROR(__xludf.DUMMYFUNCTION("""COMPUTED_VALUE"""),3.5806451612903225)</f>
        <v>3.580645161</v>
      </c>
      <c r="S225" s="31">
        <f>IFERROR(__xludf.DUMMYFUNCTION("""COMPUTED_VALUE"""),381.9784946236558)</f>
        <v>381.9784946</v>
      </c>
      <c r="T225" s="57">
        <f>IFERROR(__xludf.DUMMYFUNCTION("""COMPUTED_VALUE"""),0.752688172043011)</f>
        <v>0.752688172</v>
      </c>
      <c r="U225" s="57">
        <f>IFERROR(__xludf.DUMMYFUNCTION("""COMPUTED_VALUE"""),0.5806451612903226)</f>
        <v>0.5806451613</v>
      </c>
      <c r="V225" s="57">
        <f>IFERROR(__xludf.DUMMYFUNCTION("""COMPUTED_VALUE"""),1.7096774193548385)</f>
        <v>1.709677419</v>
      </c>
      <c r="W225" s="57">
        <f>IFERROR(__xludf.DUMMYFUNCTION("""COMPUTED_VALUE"""),2.634408602150538)</f>
        <v>2.634408602</v>
      </c>
      <c r="X225" s="31">
        <f>IFERROR(__xludf.DUMMYFUNCTION("""COMPUTED_VALUE"""),365.19229741953745)</f>
        <v>365.1922974</v>
      </c>
      <c r="Y225" s="57">
        <f>IFERROR(__xludf.DUMMYFUNCTION("""COMPUTED_VALUE"""),0.8046711317749363)</f>
        <v>0.8046711318</v>
      </c>
      <c r="Z225" s="57">
        <f>IFERROR(__xludf.DUMMYFUNCTION("""COMPUTED_VALUE"""),0.6165130541942552)</f>
        <v>0.6165130542</v>
      </c>
      <c r="AA225" s="57">
        <f>IFERROR(__xludf.DUMMYFUNCTION("""COMPUTED_VALUE"""),1.4024169948250664)</f>
        <v>1.402416995</v>
      </c>
      <c r="AB225" s="57">
        <f>IFERROR(__xludf.DUMMYFUNCTION("""COMPUTED_VALUE"""),2.7556430698075722)</f>
        <v>2.75564307</v>
      </c>
      <c r="AC225" s="31">
        <f>IFERROR(__xludf.DUMMYFUNCTION("""COMPUTED_VALUE"""),358.3397025822027)</f>
        <v>358.3397026</v>
      </c>
      <c r="AD225" s="57">
        <f>IFERROR(__xludf.DUMMYFUNCTION("""COMPUTED_VALUE"""),0.7666608540430164)</f>
        <v>0.766660854</v>
      </c>
      <c r="AE225" s="57">
        <f>IFERROR(__xludf.DUMMYFUNCTION("""COMPUTED_VALUE"""),0.5583508426349815)</f>
        <v>0.5583508426</v>
      </c>
      <c r="AF225" s="57">
        <f>IFERROR(__xludf.DUMMYFUNCTION("""COMPUTED_VALUE"""),1.4545301865619056)</f>
        <v>1.454530187</v>
      </c>
      <c r="AG225" s="57">
        <f>IFERROR(__xludf.DUMMYFUNCTION("""COMPUTED_VALUE"""),2.646361826667725)</f>
        <v>2.646361827</v>
      </c>
      <c r="AH225" s="57">
        <f>IFERROR(__xludf.DUMMYFUNCTION("""COMPUTED_VALUE"""),1.1244511310563887)</f>
        <v>1.124451131</v>
      </c>
      <c r="AI225" s="57">
        <f>IFERROR(__xludf.DUMMYFUNCTION("""COMPUTED_VALUE"""),1.3043577153137014)</f>
        <v>1.304357715</v>
      </c>
      <c r="AJ225" s="57">
        <f>IFERROR(__xludf.DUMMYFUNCTION("""COMPUTED_VALUE"""),0.8666073923313898)</f>
        <v>0.8666073923</v>
      </c>
      <c r="AK225" s="57">
        <f>IFERROR(__xludf.DUMMYFUNCTION("""COMPUTED_VALUE"""),0.9314613902100385)</f>
        <v>0.9314613902</v>
      </c>
      <c r="AL225" s="57">
        <f>IFERROR(__xludf.DUMMYFUNCTION("""COMPUTED_VALUE"""),1.3530444420742869)</f>
        <v>1.353044442</v>
      </c>
      <c r="AM225" s="57">
        <f>IFERROR(__xludf.DUMMYFUNCTION("""COMPUTED_VALUE"""),1.0459653648851037)</f>
        <v>1.045965365</v>
      </c>
      <c r="AN225" s="57">
        <f>IFERROR(__xludf.DUMMYFUNCTION("""COMPUTED_VALUE"""),0.9353985029669676)</f>
        <v>0.935398503</v>
      </c>
      <c r="AO225" s="57">
        <f>IFERROR(__xludf.DUMMYFUNCTION("""COMPUTED_VALUE"""),0.9418213569689782)</f>
        <v>0.941821357</v>
      </c>
      <c r="AP225" s="35">
        <f>IFERROR(__xludf.DUMMYFUNCTION("""COMPUTED_VALUE"""),1.219093483367334)</f>
        <v>1.219093483</v>
      </c>
      <c r="AQ225" s="57">
        <f>IFERROR(__xludf.DUMMYFUNCTION("""COMPUTED_VALUE"""),0.9560050178539632)</f>
        <v>0.9560050179</v>
      </c>
      <c r="AR225" s="36" t="b">
        <f>IFERROR(__xludf.DUMMYFUNCTION("""COMPUTED_VALUE"""),TRUE)</f>
        <v>1</v>
      </c>
      <c r="AS225" s="57"/>
      <c r="AT225" s="37"/>
      <c r="AU225" s="30"/>
      <c r="AV225" s="30"/>
      <c r="AW225" s="30"/>
      <c r="AX225" s="30"/>
      <c r="AY225" s="30"/>
      <c r="AZ225" s="30"/>
    </row>
    <row r="226">
      <c r="A226" s="30" t="str">
        <f>IFERROR(__xludf.DUMMYFUNCTION("""COMPUTED_VALUE"""),"Elite")</f>
        <v>Elite</v>
      </c>
      <c r="B226" s="30" t="str">
        <f>IFERROR(__xludf.DUMMYFUNCTION("""COMPUTED_VALUE"""),"RSC007901")</f>
        <v>RSC007901</v>
      </c>
      <c r="C226" s="30" t="str">
        <f>IFERROR(__xludf.DUMMYFUNCTION("""COMPUTED_VALUE"""),"JUICY")</f>
        <v>JUICY</v>
      </c>
      <c r="D226" s="31" t="str">
        <f>IFERROR(__xludf.DUMMYFUNCTION("""COMPUTED_VALUE"""),"Despair")</f>
        <v>Despair</v>
      </c>
      <c r="E226" s="31">
        <f>IFERROR(__xludf.DUMMYFUNCTION("""COMPUTED_VALUE"""),76.78983861782261)</f>
        <v>76.78983862</v>
      </c>
      <c r="F226" s="31">
        <f>IFERROR(__xludf.DUMMYFUNCTION("""COMPUTED_VALUE"""),7.04466870027579)</f>
        <v>7.0446687</v>
      </c>
      <c r="G226" s="31">
        <f>IFERROR(__xludf.DUMMYFUNCTION("""COMPUTED_VALUE"""),64.63364151399581)</f>
        <v>64.63364151</v>
      </c>
      <c r="H226" s="31">
        <f>IFERROR(__xludf.DUMMYFUNCTION("""COMPUTED_VALUE"""),3.582205133008191)</f>
        <v>3.582205133</v>
      </c>
      <c r="I226" s="54">
        <f>IFERROR(__xludf.DUMMYFUNCTION("""COMPUTED_VALUE"""),35.0)</f>
        <v>35</v>
      </c>
      <c r="J226" s="55">
        <f>IFERROR(__xludf.DUMMYFUNCTION("""COMPUTED_VALUE"""),21.0)</f>
        <v>21</v>
      </c>
      <c r="K226" s="54">
        <f>IFERROR(__xludf.DUMMYFUNCTION("""COMPUTED_VALUE"""),14.0)</f>
        <v>14</v>
      </c>
      <c r="L226" s="56">
        <f>IFERROR(__xludf.DUMMYFUNCTION("""COMPUTED_VALUE"""),0.6)</f>
        <v>0.6</v>
      </c>
      <c r="M226" s="56">
        <f>IFERROR(__xludf.DUMMYFUNCTION("""COMPUTED_VALUE"""),0.2773109243697479)</f>
        <v>0.2773109244</v>
      </c>
      <c r="N226" s="31">
        <f>IFERROR(__xludf.DUMMYFUNCTION("""COMPUTED_VALUE"""),404.22857142857146)</f>
        <v>404.2285714</v>
      </c>
      <c r="O226" s="57">
        <f>IFERROR(__xludf.DUMMYFUNCTION("""COMPUTED_VALUE"""),0.9428571428571428)</f>
        <v>0.9428571429</v>
      </c>
      <c r="P226" s="57">
        <f>IFERROR(__xludf.DUMMYFUNCTION("""COMPUTED_VALUE"""),0.5428571428571428)</f>
        <v>0.5428571429</v>
      </c>
      <c r="Q226" s="57">
        <f>IFERROR(__xludf.DUMMYFUNCTION("""COMPUTED_VALUE"""),1.5714285714285714)</f>
        <v>1.571428571</v>
      </c>
      <c r="R226" s="57">
        <f>IFERROR(__xludf.DUMMYFUNCTION("""COMPUTED_VALUE"""),3.4)</f>
        <v>3.4</v>
      </c>
      <c r="S226" s="31">
        <f>IFERROR(__xludf.DUMMYFUNCTION("""COMPUTED_VALUE"""),352.50476190476195)</f>
        <v>352.5047619</v>
      </c>
      <c r="T226" s="57">
        <f>IFERROR(__xludf.DUMMYFUNCTION("""COMPUTED_VALUE"""),0.5904761904761903)</f>
        <v>0.5904761905</v>
      </c>
      <c r="U226" s="57">
        <f>IFERROR(__xludf.DUMMYFUNCTION("""COMPUTED_VALUE"""),0.4571428571428571)</f>
        <v>0.4571428571</v>
      </c>
      <c r="V226" s="57">
        <f>IFERROR(__xludf.DUMMYFUNCTION("""COMPUTED_VALUE"""),1.6571428571428573)</f>
        <v>1.657142857</v>
      </c>
      <c r="W226" s="57">
        <f>IFERROR(__xludf.DUMMYFUNCTION("""COMPUTED_VALUE"""),2.542857142857143)</f>
        <v>2.542857143</v>
      </c>
      <c r="X226" s="31">
        <f>IFERROR(__xludf.DUMMYFUNCTION("""COMPUTED_VALUE"""),362.5382932734232)</f>
        <v>362.5382933</v>
      </c>
      <c r="Y226" s="57">
        <f>IFERROR(__xludf.DUMMYFUNCTION("""COMPUTED_VALUE"""),0.7147151828411962)</f>
        <v>0.7147151828</v>
      </c>
      <c r="Z226" s="57">
        <f>IFERROR(__xludf.DUMMYFUNCTION("""COMPUTED_VALUE"""),0.5847223826274309)</f>
        <v>0.5847223826</v>
      </c>
      <c r="AA226" s="57">
        <f>IFERROR(__xludf.DUMMYFUNCTION("""COMPUTED_VALUE"""),1.561430853829654)</f>
        <v>1.561430854</v>
      </c>
      <c r="AB226" s="57">
        <f>IFERROR(__xludf.DUMMYFUNCTION("""COMPUTED_VALUE"""),2.6325478414824093)</f>
        <v>2.632547841</v>
      </c>
      <c r="AC226" s="31">
        <f>IFERROR(__xludf.DUMMYFUNCTION("""COMPUTED_VALUE"""),366.0636532479072)</f>
        <v>366.0636532</v>
      </c>
      <c r="AD226" s="57">
        <f>IFERROR(__xludf.DUMMYFUNCTION("""COMPUTED_VALUE"""),0.792335276005052)</f>
        <v>0.792335276</v>
      </c>
      <c r="AE226" s="57">
        <f>IFERROR(__xludf.DUMMYFUNCTION("""COMPUTED_VALUE"""),0.5878077312680805)</f>
        <v>0.5878077313</v>
      </c>
      <c r="AF226" s="57">
        <f>IFERROR(__xludf.DUMMYFUNCTION("""COMPUTED_VALUE"""),1.4185508715567736)</f>
        <v>1.418550872</v>
      </c>
      <c r="AG226" s="57">
        <f>IFERROR(__xludf.DUMMYFUNCTION("""COMPUTED_VALUE"""),2.7763780438708854)</f>
        <v>2.776378044</v>
      </c>
      <c r="AH226" s="57">
        <f>IFERROR(__xludf.DUMMYFUNCTION("""COMPUTED_VALUE"""),1.1042576006714822)</f>
        <v>1.104257601</v>
      </c>
      <c r="AI226" s="57">
        <f>IFERROR(__xludf.DUMMYFUNCTION("""COMPUTED_VALUE"""),1.1899724414783357)</f>
        <v>1.189972441</v>
      </c>
      <c r="AJ226" s="57">
        <f>IFERROR(__xludf.DUMMYFUNCTION("""COMPUTED_VALUE"""),0.9235284158070436)</f>
        <v>0.9235284158</v>
      </c>
      <c r="AK226" s="57">
        <f>IFERROR(__xludf.DUMMYFUNCTION("""COMPUTED_VALUE"""),1.1077703330470086)</f>
        <v>1.107770333</v>
      </c>
      <c r="AL226" s="57">
        <f>IFERROR(__xludf.DUMMYFUNCTION("""COMPUTED_VALUE"""),1.2246170897028301)</f>
        <v>1.22461709</v>
      </c>
      <c r="AM226" s="57">
        <f>IFERROR(__xludf.DUMMYFUNCTION("""COMPUTED_VALUE"""),0.972324216352246)</f>
        <v>0.9723242164</v>
      </c>
      <c r="AN226" s="57">
        <f>IFERROR(__xludf.DUMMYFUNCTION("""COMPUTED_VALUE"""),0.8261699270594468)</f>
        <v>0.8261699271</v>
      </c>
      <c r="AO226" s="57">
        <f>IFERROR(__xludf.DUMMYFUNCTION("""COMPUTED_VALUE"""),0.7818117977435729)</f>
        <v>0.7818117977</v>
      </c>
      <c r="AP226" s="35">
        <f>IFERROR(__xludf.DUMMYFUNCTION("""COMPUTED_VALUE"""),1.061297625238066)</f>
        <v>1.061297625</v>
      </c>
      <c r="AQ226" s="57">
        <f>IFERROR(__xludf.DUMMYFUNCTION("""COMPUTED_VALUE"""),0.9659300783780778)</f>
        <v>0.9659300784</v>
      </c>
      <c r="AR226" s="36" t="b">
        <f>IFERROR(__xludf.DUMMYFUNCTION("""COMPUTED_VALUE"""),TRUE)</f>
        <v>1</v>
      </c>
      <c r="AS226" s="57"/>
      <c r="AT226" s="37"/>
      <c r="AU226" s="30"/>
      <c r="AV226" s="30"/>
      <c r="AW226" s="30"/>
      <c r="AX226" s="30"/>
      <c r="AY226" s="30"/>
      <c r="AZ226" s="30"/>
    </row>
    <row r="227">
      <c r="A227" s="30" t="str">
        <f>IFERROR(__xludf.DUMMYFUNCTION("""COMPUTED_VALUE"""),"Elite")</f>
        <v>Elite</v>
      </c>
      <c r="B227" s="30" t="str">
        <f>IFERROR(__xludf.DUMMYFUNCTION("""COMPUTED_VALUE"""),"RSC006972")</f>
        <v>RSC006972</v>
      </c>
      <c r="C227" s="30" t="str">
        <f>IFERROR(__xludf.DUMMYFUNCTION("""COMPUTED_VALUE"""),"galaxiezz.")</f>
        <v>galaxiezz.</v>
      </c>
      <c r="D227" s="31" t="str">
        <f>IFERROR(__xludf.DUMMYFUNCTION("""COMPUTED_VALUE"""),"Cotija Cartel")</f>
        <v>Cotija Cartel</v>
      </c>
      <c r="E227" s="31">
        <f>IFERROR(__xludf.DUMMYFUNCTION("""COMPUTED_VALUE"""),76.1689493315786)</f>
        <v>76.16894933</v>
      </c>
      <c r="F227" s="31">
        <f>IFERROR(__xludf.DUMMYFUNCTION("""COMPUTED_VALUE"""),6.774810295254454)</f>
        <v>6.774810295</v>
      </c>
      <c r="G227" s="31">
        <f>IFERROR(__xludf.DUMMYFUNCTION("""COMPUTED_VALUE"""),62.40350327448823)</f>
        <v>62.40350327</v>
      </c>
      <c r="H227" s="31">
        <f>IFERROR(__xludf.DUMMYFUNCTION("""COMPUTED_VALUE"""),3.2268705532126742)</f>
        <v>3.226870553</v>
      </c>
      <c r="I227" s="54">
        <f>IFERROR(__xludf.DUMMYFUNCTION("""COMPUTED_VALUE"""),30.0)</f>
        <v>30</v>
      </c>
      <c r="J227" s="55">
        <f>IFERROR(__xludf.DUMMYFUNCTION("""COMPUTED_VALUE"""),24.0)</f>
        <v>24</v>
      </c>
      <c r="K227" s="54">
        <f>IFERROR(__xludf.DUMMYFUNCTION("""COMPUTED_VALUE"""),6.0)</f>
        <v>6</v>
      </c>
      <c r="L227" s="56">
        <f>IFERROR(__xludf.DUMMYFUNCTION("""COMPUTED_VALUE"""),0.8)</f>
        <v>0.8</v>
      </c>
      <c r="M227" s="56">
        <f>IFERROR(__xludf.DUMMYFUNCTION("""COMPUTED_VALUE"""),0.3670886075949367)</f>
        <v>0.3670886076</v>
      </c>
      <c r="N227" s="31">
        <f>IFERROR(__xludf.DUMMYFUNCTION("""COMPUTED_VALUE"""),383.43333333333334)</f>
        <v>383.4333333</v>
      </c>
      <c r="O227" s="57">
        <f>IFERROR(__xludf.DUMMYFUNCTION("""COMPUTED_VALUE"""),0.9666666666666667)</f>
        <v>0.9666666667</v>
      </c>
      <c r="P227" s="57">
        <f>IFERROR(__xludf.DUMMYFUNCTION("""COMPUTED_VALUE"""),0.6666666666666666)</f>
        <v>0.6666666667</v>
      </c>
      <c r="Q227" s="57">
        <f>IFERROR(__xludf.DUMMYFUNCTION("""COMPUTED_VALUE"""),1.4)</f>
        <v>1.4</v>
      </c>
      <c r="R227" s="57">
        <f>IFERROR(__xludf.DUMMYFUNCTION("""COMPUTED_VALUE"""),2.6333333333333333)</f>
        <v>2.633333333</v>
      </c>
      <c r="S227" s="31">
        <f>IFERROR(__xludf.DUMMYFUNCTION("""COMPUTED_VALUE"""),309.6666666666667)</f>
        <v>309.6666667</v>
      </c>
      <c r="T227" s="57">
        <f>IFERROR(__xludf.DUMMYFUNCTION("""COMPUTED_VALUE"""),0.5222222222222224)</f>
        <v>0.5222222222</v>
      </c>
      <c r="U227" s="57">
        <f>IFERROR(__xludf.DUMMYFUNCTION("""COMPUTED_VALUE"""),0.3222222222222223)</f>
        <v>0.3222222222</v>
      </c>
      <c r="V227" s="57">
        <f>IFERROR(__xludf.DUMMYFUNCTION("""COMPUTED_VALUE"""),1.377777777777778)</f>
        <v>1.377777778</v>
      </c>
      <c r="W227" s="57">
        <f>IFERROR(__xludf.DUMMYFUNCTION("""COMPUTED_VALUE"""),2.1555555555555554)</f>
        <v>2.155555556</v>
      </c>
      <c r="X227" s="31">
        <f>IFERROR(__xludf.DUMMYFUNCTION("""COMPUTED_VALUE"""),353.24362970346)</f>
        <v>353.2436297</v>
      </c>
      <c r="Y227" s="57">
        <f>IFERROR(__xludf.DUMMYFUNCTION("""COMPUTED_VALUE"""),0.7629245409743516)</f>
        <v>0.762924541</v>
      </c>
      <c r="Z227" s="57">
        <f>IFERROR(__xludf.DUMMYFUNCTION("""COMPUTED_VALUE"""),0.5438825072320487)</f>
        <v>0.5438825072</v>
      </c>
      <c r="AA227" s="57">
        <f>IFERROR(__xludf.DUMMYFUNCTION("""COMPUTED_VALUE"""),1.3962517872694977)</f>
        <v>1.396251787</v>
      </c>
      <c r="AB227" s="57">
        <f>IFERROR(__xludf.DUMMYFUNCTION("""COMPUTED_VALUE"""),2.6117459219921284)</f>
        <v>2.611745922</v>
      </c>
      <c r="AC227" s="31">
        <f>IFERROR(__xludf.DUMMYFUNCTION("""COMPUTED_VALUE"""),366.4063595313148)</f>
        <v>366.4063595</v>
      </c>
      <c r="AD227" s="57">
        <f>IFERROR(__xludf.DUMMYFUNCTION("""COMPUTED_VALUE"""),0.8057739581996384)</f>
        <v>0.8057739582</v>
      </c>
      <c r="AE227" s="57">
        <f>IFERROR(__xludf.DUMMYFUNCTION("""COMPUTED_VALUE"""),0.5939574019668895)</f>
        <v>0.593957402</v>
      </c>
      <c r="AF227" s="57">
        <f>IFERROR(__xludf.DUMMYFUNCTION("""COMPUTED_VALUE"""),1.4181554824780362)</f>
        <v>1.418155482</v>
      </c>
      <c r="AG227" s="57">
        <f>IFERROR(__xludf.DUMMYFUNCTION("""COMPUTED_VALUE"""),2.7218462005823643)</f>
        <v>2.721846201</v>
      </c>
      <c r="AH227" s="57">
        <f>IFERROR(__xludf.DUMMYFUNCTION("""COMPUTED_VALUE"""),1.0464701917941555)</f>
        <v>1.046470192</v>
      </c>
      <c r="AI227" s="57">
        <f>IFERROR(__xludf.DUMMYFUNCTION("""COMPUTED_VALUE"""),1.1996747435552708)</f>
        <v>1.199674744</v>
      </c>
      <c r="AJ227" s="57">
        <f>IFERROR(__xludf.DUMMYFUNCTION("""COMPUTED_VALUE"""),1.1224149483767698)</f>
        <v>1.122414948</v>
      </c>
      <c r="AK227" s="57">
        <f>IFERROR(__xludf.DUMMYFUNCTION("""COMPUTED_VALUE"""),0.987197819489925)</f>
        <v>0.9871978195</v>
      </c>
      <c r="AL227" s="57">
        <f>IFERROR(__xludf.DUMMYFUNCTION("""COMPUTED_VALUE"""),0.9674805772530083)</f>
        <v>0.9674805773</v>
      </c>
      <c r="AM227" s="57">
        <f>IFERROR(__xludf.DUMMYFUNCTION("""COMPUTED_VALUE"""),0.8766376535271841)</f>
        <v>0.8766376535</v>
      </c>
      <c r="AN227" s="57">
        <f>IFERROR(__xludf.DUMMYFUNCTION("""COMPUTED_VALUE"""),0.6845004901209211)</f>
        <v>0.6845004901</v>
      </c>
      <c r="AO227" s="57">
        <f>IFERROR(__xludf.DUMMYFUNCTION("""COMPUTED_VALUE"""),0.5924482180206349)</f>
        <v>0.592448218</v>
      </c>
      <c r="AP227" s="35">
        <f>IFERROR(__xludf.DUMMYFUNCTION("""COMPUTED_VALUE"""),0.9867688552593745)</f>
        <v>0.9867688553</v>
      </c>
      <c r="AQ227" s="57">
        <f>IFERROR(__xludf.DUMMYFUNCTION("""COMPUTED_VALUE"""),0.8253312611325491)</f>
        <v>0.8253312611</v>
      </c>
      <c r="AR227" s="36" t="b">
        <f>IFERROR(__xludf.DUMMYFUNCTION("""COMPUTED_VALUE"""),TRUE)</f>
        <v>1</v>
      </c>
      <c r="AS227" s="57"/>
      <c r="AT227" s="37"/>
      <c r="AU227" s="30"/>
      <c r="AV227" s="30"/>
      <c r="AW227" s="30"/>
      <c r="AX227" s="30"/>
      <c r="AY227" s="30"/>
      <c r="AZ227" s="30"/>
    </row>
    <row r="228">
      <c r="A228" s="30" t="str">
        <f>IFERROR(__xludf.DUMMYFUNCTION("""COMPUTED_VALUE"""),"Elite")</f>
        <v>Elite</v>
      </c>
      <c r="B228" s="30" t="str">
        <f>IFERROR(__xludf.DUMMYFUNCTION("""COMPUTED_VALUE"""),"RSC001055")</f>
        <v>RSC001055</v>
      </c>
      <c r="C228" s="30" t="str">
        <f>IFERROR(__xludf.DUMMYFUNCTION("""COMPUTED_VALUE"""),"Scotti")</f>
        <v>Scotti</v>
      </c>
      <c r="D228" s="31" t="str">
        <f>IFERROR(__xludf.DUMMYFUNCTION("""COMPUTED_VALUE"""),"Menthol")</f>
        <v>Menthol</v>
      </c>
      <c r="E228" s="31">
        <f>IFERROR(__xludf.DUMMYFUNCTION("""COMPUTED_VALUE"""),74.77171015243873)</f>
        <v>74.77171015</v>
      </c>
      <c r="F228" s="31">
        <f>IFERROR(__xludf.DUMMYFUNCTION("""COMPUTED_VALUE"""),6.21600928122328)</f>
        <v>6.216009281</v>
      </c>
      <c r="G228" s="31">
        <f>IFERROR(__xludf.DUMMYFUNCTION("""COMPUTED_VALUE"""),78.37133895854777)</f>
        <v>78.37133896</v>
      </c>
      <c r="H228" s="31">
        <f>IFERROR(__xludf.DUMMYFUNCTION("""COMPUTED_VALUE"""),7.799196236614232)</f>
        <v>7.799196237</v>
      </c>
      <c r="I228" s="54">
        <f>IFERROR(__xludf.DUMMYFUNCTION("""COMPUTED_VALUE"""),36.0)</f>
        <v>36</v>
      </c>
      <c r="J228" s="55">
        <f>IFERROR(__xludf.DUMMYFUNCTION("""COMPUTED_VALUE"""),22.0)</f>
        <v>22</v>
      </c>
      <c r="K228" s="54">
        <f>IFERROR(__xludf.DUMMYFUNCTION("""COMPUTED_VALUE"""),14.0)</f>
        <v>14</v>
      </c>
      <c r="L228" s="56">
        <f>IFERROR(__xludf.DUMMYFUNCTION("""COMPUTED_VALUE"""),0.6111111111111112)</f>
        <v>0.6111111111</v>
      </c>
      <c r="M228" s="56">
        <f>IFERROR(__xludf.DUMMYFUNCTION("""COMPUTED_VALUE"""),0.2727272727272727)</f>
        <v>0.2727272727</v>
      </c>
      <c r="N228" s="31">
        <f>IFERROR(__xludf.DUMMYFUNCTION("""COMPUTED_VALUE"""),417.125)</f>
        <v>417.125</v>
      </c>
      <c r="O228" s="57">
        <f>IFERROR(__xludf.DUMMYFUNCTION("""COMPUTED_VALUE"""),0.84375)</f>
        <v>0.84375</v>
      </c>
      <c r="P228" s="57">
        <f>IFERROR(__xludf.DUMMYFUNCTION("""COMPUTED_VALUE"""),1.03125)</f>
        <v>1.03125</v>
      </c>
      <c r="Q228" s="57">
        <f>IFERROR(__xludf.DUMMYFUNCTION("""COMPUTED_VALUE"""),1.5)</f>
        <v>1.5</v>
      </c>
      <c r="R228" s="57">
        <f>IFERROR(__xludf.DUMMYFUNCTION("""COMPUTED_VALUE"""),3.09375)</f>
        <v>3.09375</v>
      </c>
      <c r="S228" s="31">
        <f>IFERROR(__xludf.DUMMYFUNCTION("""COMPUTED_VALUE"""),371.9166666666667)</f>
        <v>371.9166667</v>
      </c>
      <c r="T228" s="57">
        <f>IFERROR(__xludf.DUMMYFUNCTION("""COMPUTED_VALUE"""),0.7291666666666666)</f>
        <v>0.7291666667</v>
      </c>
      <c r="U228" s="57">
        <f>IFERROR(__xludf.DUMMYFUNCTION("""COMPUTED_VALUE"""),0.5000000000000001)</f>
        <v>0.5</v>
      </c>
      <c r="V228" s="57">
        <f>IFERROR(__xludf.DUMMYFUNCTION("""COMPUTED_VALUE"""),1.78125)</f>
        <v>1.78125</v>
      </c>
      <c r="W228" s="57">
        <f>IFERROR(__xludf.DUMMYFUNCTION("""COMPUTED_VALUE"""),2.239583333333334)</f>
        <v>2.239583333</v>
      </c>
      <c r="X228" s="31">
        <f>IFERROR(__xludf.DUMMYFUNCTION("""COMPUTED_VALUE"""),350.73561926183766)</f>
        <v>350.7356193</v>
      </c>
      <c r="Y228" s="57">
        <f>IFERROR(__xludf.DUMMYFUNCTION("""COMPUTED_VALUE"""),0.6926458019624947)</f>
        <v>0.692645802</v>
      </c>
      <c r="Z228" s="57">
        <f>IFERROR(__xludf.DUMMYFUNCTION("""COMPUTED_VALUE"""),0.5554266735652322)</f>
        <v>0.5554266736</v>
      </c>
      <c r="AA228" s="57">
        <f>IFERROR(__xludf.DUMMYFUNCTION("""COMPUTED_VALUE"""),1.5450754352572402)</f>
        <v>1.545075435</v>
      </c>
      <c r="AB228" s="57">
        <f>IFERROR(__xludf.DUMMYFUNCTION("""COMPUTED_VALUE"""),2.3444456259966584)</f>
        <v>2.344445626</v>
      </c>
      <c r="AC228" s="31">
        <f>IFERROR(__xludf.DUMMYFUNCTION("""COMPUTED_VALUE"""),382.53921131328417)</f>
        <v>382.5392113</v>
      </c>
      <c r="AD228" s="57">
        <f>IFERROR(__xludf.DUMMYFUNCTION("""COMPUTED_VALUE"""),0.91967600380362)</f>
        <v>0.9196760038</v>
      </c>
      <c r="AE228" s="57">
        <f>IFERROR(__xludf.DUMMYFUNCTION("""COMPUTED_VALUE"""),0.6988397463923103)</f>
        <v>0.6988397464</v>
      </c>
      <c r="AF228" s="57">
        <f>IFERROR(__xludf.DUMMYFUNCTION("""COMPUTED_VALUE"""),1.3247631064041512)</f>
        <v>1.324763106</v>
      </c>
      <c r="AG228" s="57">
        <f>IFERROR(__xludf.DUMMYFUNCTION("""COMPUTED_VALUE"""),2.948102055078348)</f>
        <v>2.948102055</v>
      </c>
      <c r="AH228" s="57">
        <f>IFERROR(__xludf.DUMMYFUNCTION("""COMPUTED_VALUE"""),1.0904110942456862)</f>
        <v>1.090411094</v>
      </c>
      <c r="AI228" s="57">
        <f>IFERROR(__xludf.DUMMYFUNCTION("""COMPUTED_VALUE"""),0.9174426607961899)</f>
        <v>0.9174426608</v>
      </c>
      <c r="AJ228" s="57">
        <f>IFERROR(__xludf.DUMMYFUNCTION("""COMPUTED_VALUE"""),1.4756602001012737)</f>
        <v>1.4756602</v>
      </c>
      <c r="AK228" s="57">
        <f>IFERROR(__xludf.DUMMYFUNCTION("""COMPUTED_VALUE"""),1.13227790897008)</f>
        <v>1.132277909</v>
      </c>
      <c r="AL228" s="57">
        <f>IFERROR(__xludf.DUMMYFUNCTION("""COMPUTED_VALUE"""),1.0494039698085627)</f>
        <v>1.04940397</v>
      </c>
      <c r="AM228" s="57">
        <f>IFERROR(__xludf.DUMMYFUNCTION("""COMPUTED_VALUE"""),1.060390351711089)</f>
        <v>1.060390352</v>
      </c>
      <c r="AN228" s="57">
        <f>IFERROR(__xludf.DUMMYFUNCTION("""COMPUTED_VALUE"""),1.0527266094744185)</f>
        <v>1.052726609</v>
      </c>
      <c r="AO228" s="57">
        <f>IFERROR(__xludf.DUMMYFUNCTION("""COMPUTED_VALUE"""),0.9002088372719779)</f>
        <v>0.9002088373</v>
      </c>
      <c r="AP228" s="35">
        <f>IFERROR(__xludf.DUMMYFUNCTION("""COMPUTED_VALUE"""),1.152856332677012)</f>
        <v>1.152856333</v>
      </c>
      <c r="AQ228" s="57">
        <f>IFERROR(__xludf.DUMMYFUNCTION("""COMPUTED_VALUE"""),0.9552720304107092)</f>
        <v>0.9552720304</v>
      </c>
      <c r="AR228" s="36" t="b">
        <f>IFERROR(__xludf.DUMMYFUNCTION("""COMPUTED_VALUE"""),TRUE)</f>
        <v>1</v>
      </c>
      <c r="AS228" s="57"/>
      <c r="AT228" s="37"/>
      <c r="AU228" s="30"/>
      <c r="AV228" s="30"/>
      <c r="AW228" s="30"/>
      <c r="AX228" s="30"/>
      <c r="AY228" s="30"/>
      <c r="AZ228" s="30"/>
    </row>
    <row r="229">
      <c r="A229" s="30" t="str">
        <f>IFERROR(__xludf.DUMMYFUNCTION("""COMPUTED_VALUE"""),"Elite")</f>
        <v>Elite</v>
      </c>
      <c r="B229" s="30" t="str">
        <f>IFERROR(__xludf.DUMMYFUNCTION("""COMPUTED_VALUE"""),"RSC001986")</f>
        <v>RSC001986</v>
      </c>
      <c r="C229" s="30" t="str">
        <f>IFERROR(__xludf.DUMMYFUNCTION("""COMPUTED_VALUE"""),"Colinn")</f>
        <v>Colinn</v>
      </c>
      <c r="D229" s="31" t="str">
        <f>IFERROR(__xludf.DUMMYFUNCTION("""COMPUTED_VALUE"""),"Desolation")</f>
        <v>Desolation</v>
      </c>
      <c r="E229" s="31">
        <f>IFERROR(__xludf.DUMMYFUNCTION("""COMPUTED_VALUE"""),73.09915155930672)</f>
        <v>73.09915156</v>
      </c>
      <c r="F229" s="31">
        <f>IFERROR(__xludf.DUMMYFUNCTION("""COMPUTED_VALUE"""),5.625815970148875)</f>
        <v>5.62581597</v>
      </c>
      <c r="G229" s="31">
        <f>IFERROR(__xludf.DUMMYFUNCTION("""COMPUTED_VALUE"""),63.91431266794935)</f>
        <v>63.91431267</v>
      </c>
      <c r="H229" s="31">
        <f>IFERROR(__xludf.DUMMYFUNCTION("""COMPUTED_VALUE"""),3.4612882620257435)</f>
        <v>3.461288262</v>
      </c>
      <c r="I229" s="54">
        <f>IFERROR(__xludf.DUMMYFUNCTION("""COMPUTED_VALUE"""),28.0)</f>
        <v>28</v>
      </c>
      <c r="J229" s="55">
        <f>IFERROR(__xludf.DUMMYFUNCTION("""COMPUTED_VALUE"""),18.0)</f>
        <v>18</v>
      </c>
      <c r="K229" s="54">
        <f>IFERROR(__xludf.DUMMYFUNCTION("""COMPUTED_VALUE"""),10.0)</f>
        <v>10</v>
      </c>
      <c r="L229" s="56">
        <f>IFERROR(__xludf.DUMMYFUNCTION("""COMPUTED_VALUE"""),0.6428571428571429)</f>
        <v>0.6428571429</v>
      </c>
      <c r="M229" s="56">
        <f>IFERROR(__xludf.DUMMYFUNCTION("""COMPUTED_VALUE"""),0.3827160493827161)</f>
        <v>0.3827160494</v>
      </c>
      <c r="N229" s="31">
        <f>IFERROR(__xludf.DUMMYFUNCTION("""COMPUTED_VALUE"""),413.57142857142856)</f>
        <v>413.5714286</v>
      </c>
      <c r="O229" s="57">
        <f>IFERROR(__xludf.DUMMYFUNCTION("""COMPUTED_VALUE"""),1.1071428571428572)</f>
        <v>1.107142857</v>
      </c>
      <c r="P229" s="57">
        <f>IFERROR(__xludf.DUMMYFUNCTION("""COMPUTED_VALUE"""),0.5)</f>
        <v>0.5</v>
      </c>
      <c r="Q229" s="57">
        <f>IFERROR(__xludf.DUMMYFUNCTION("""COMPUTED_VALUE"""),1.7857142857142858)</f>
        <v>1.785714286</v>
      </c>
      <c r="R229" s="57">
        <f>IFERROR(__xludf.DUMMYFUNCTION("""COMPUTED_VALUE"""),2.892857142857143)</f>
        <v>2.892857143</v>
      </c>
      <c r="S229" s="31">
        <f>IFERROR(__xludf.DUMMYFUNCTION("""COMPUTED_VALUE"""),334.0357142857143)</f>
        <v>334.0357143</v>
      </c>
      <c r="T229" s="57">
        <f>IFERROR(__xludf.DUMMYFUNCTION("""COMPUTED_VALUE"""),0.6785714285714285)</f>
        <v>0.6785714286</v>
      </c>
      <c r="U229" s="57">
        <f>IFERROR(__xludf.DUMMYFUNCTION("""COMPUTED_VALUE"""),0.4642857142857143)</f>
        <v>0.4642857143</v>
      </c>
      <c r="V229" s="57">
        <f>IFERROR(__xludf.DUMMYFUNCTION("""COMPUTED_VALUE"""),1.2142857142857142)</f>
        <v>1.214285714</v>
      </c>
      <c r="W229" s="57">
        <f>IFERROR(__xludf.DUMMYFUNCTION("""COMPUTED_VALUE"""),2.6071428571428568)</f>
        <v>2.607142857</v>
      </c>
      <c r="X229" s="31">
        <f>IFERROR(__xludf.DUMMYFUNCTION("""COMPUTED_VALUE"""),354.939648076295)</f>
        <v>354.9396481</v>
      </c>
      <c r="Y229" s="57">
        <f>IFERROR(__xludf.DUMMYFUNCTION("""COMPUTED_VALUE"""),0.6754944167469523)</f>
        <v>0.6754944167</v>
      </c>
      <c r="Z229" s="57">
        <f>IFERROR(__xludf.DUMMYFUNCTION("""COMPUTED_VALUE"""),0.5246053505398621)</f>
        <v>0.5246053505</v>
      </c>
      <c r="AA229" s="57">
        <f>IFERROR(__xludf.DUMMYFUNCTION("""COMPUTED_VALUE"""),1.4724832962952352)</f>
        <v>1.472483296</v>
      </c>
      <c r="AB229" s="57">
        <f>IFERROR(__xludf.DUMMYFUNCTION("""COMPUTED_VALUE"""),2.5310083390857088)</f>
        <v>2.531008339</v>
      </c>
      <c r="AC229" s="31">
        <f>IFERROR(__xludf.DUMMYFUNCTION("""COMPUTED_VALUE"""),372.5522002555319)</f>
        <v>372.5522003</v>
      </c>
      <c r="AD229" s="57">
        <f>IFERROR(__xludf.DUMMYFUNCTION("""COMPUTED_VALUE"""),0.8286584085446732)</f>
        <v>0.8286584085</v>
      </c>
      <c r="AE229" s="57">
        <f>IFERROR(__xludf.DUMMYFUNCTION("""COMPUTED_VALUE"""),0.6086944938600256)</f>
        <v>0.6086944939</v>
      </c>
      <c r="AF229" s="57">
        <f>IFERROR(__xludf.DUMMYFUNCTION("""COMPUTED_VALUE"""),1.4499393283199908)</f>
        <v>1.449939328</v>
      </c>
      <c r="AG229" s="57">
        <f>IFERROR(__xludf.DUMMYFUNCTION("""COMPUTED_VALUE"""),2.7887922063903656)</f>
        <v>2.788792206</v>
      </c>
      <c r="AH229" s="57">
        <f>IFERROR(__xludf.DUMMYFUNCTION("""COMPUTED_VALUE"""),1.1101033044168354)</f>
        <v>1.110103304</v>
      </c>
      <c r="AI229" s="57">
        <f>IFERROR(__xludf.DUMMYFUNCTION("""COMPUTED_VALUE"""),1.3360666418473575)</f>
        <v>1.336066642</v>
      </c>
      <c r="AJ229" s="57">
        <f>IFERROR(__xludf.DUMMYFUNCTION("""COMPUTED_VALUE"""),0.8214301345643176)</f>
        <v>0.8214301346</v>
      </c>
      <c r="AK229" s="57">
        <f>IFERROR(__xludf.DUMMYFUNCTION("""COMPUTED_VALUE"""),1.2315786259714392)</f>
        <v>1.231578626</v>
      </c>
      <c r="AL229" s="57">
        <f>IFERROR(__xludf.DUMMYFUNCTION("""COMPUTED_VALUE"""),1.0373154142600938)</f>
        <v>1.037315414</v>
      </c>
      <c r="AM229" s="57">
        <f>IFERROR(__xludf.DUMMYFUNCTION("""COMPUTED_VALUE"""),0.9411056671074194)</f>
        <v>0.9411056671</v>
      </c>
      <c r="AN229" s="57">
        <f>IFERROR(__xludf.DUMMYFUNCTION("""COMPUTED_VALUE"""),1.0045551994926833)</f>
        <v>1.004555199</v>
      </c>
      <c r="AO229" s="57">
        <f>IFERROR(__xludf.DUMMYFUNCTION("""COMPUTED_VALUE"""),0.8850190220285136)</f>
        <v>0.885019022</v>
      </c>
      <c r="AP229" s="35">
        <f>IFERROR(__xludf.DUMMYFUNCTION("""COMPUTED_VALUE"""),0.8246516054483296)</f>
        <v>0.8246516054</v>
      </c>
      <c r="AQ229" s="57">
        <f>IFERROR(__xludf.DUMMYFUNCTION("""COMPUTED_VALUE"""),1.0300807061286295)</f>
        <v>1.030080706</v>
      </c>
      <c r="AR229" s="36" t="b">
        <f>IFERROR(__xludf.DUMMYFUNCTION("""COMPUTED_VALUE"""),TRUE)</f>
        <v>1</v>
      </c>
      <c r="AS229" s="57"/>
      <c r="AT229" s="37"/>
      <c r="AU229" s="30"/>
      <c r="AV229" s="30"/>
      <c r="AW229" s="30"/>
      <c r="AX229" s="30"/>
      <c r="AY229" s="30"/>
      <c r="AZ229" s="30"/>
    </row>
    <row r="230">
      <c r="A230" s="30" t="str">
        <f>IFERROR(__xludf.DUMMYFUNCTION("""COMPUTED_VALUE"""),"Elite")</f>
        <v>Elite</v>
      </c>
      <c r="B230" s="30" t="str">
        <f>IFERROR(__xludf.DUMMYFUNCTION("""COMPUTED_VALUE"""),"RSC002178")</f>
        <v>RSC002178</v>
      </c>
      <c r="C230" s="30" t="str">
        <f>IFERROR(__xludf.DUMMYFUNCTION("""COMPUTED_VALUE"""),"bird")</f>
        <v>bird</v>
      </c>
      <c r="D230" s="31" t="str">
        <f>IFERROR(__xludf.DUMMYFUNCTION("""COMPUTED_VALUE"""),"Afterburners")</f>
        <v>Afterburners</v>
      </c>
      <c r="E230" s="31">
        <f>IFERROR(__xludf.DUMMYFUNCTION("""COMPUTED_VALUE"""),72.78307916672657)</f>
        <v>72.78307917</v>
      </c>
      <c r="F230" s="31">
        <f>IFERROR(__xludf.DUMMYFUNCTION("""COMPUTED_VALUE"""),5.522952897707909)</f>
        <v>5.522952898</v>
      </c>
      <c r="G230" s="31">
        <f>IFERROR(__xludf.DUMMYFUNCTION("""COMPUTED_VALUE"""),42.085095793039535)</f>
        <v>42.08509579</v>
      </c>
      <c r="H230" s="31">
        <f>IFERROR(__xludf.DUMMYFUNCTION("""COMPUTED_VALUE"""),-2.6611667672920114)</f>
        <v>-2.661166767</v>
      </c>
      <c r="I230" s="54">
        <f>IFERROR(__xludf.DUMMYFUNCTION("""COMPUTED_VALUE"""),10.0)</f>
        <v>10</v>
      </c>
      <c r="J230" s="55">
        <f>IFERROR(__xludf.DUMMYFUNCTION("""COMPUTED_VALUE"""),5.0)</f>
        <v>5</v>
      </c>
      <c r="K230" s="54">
        <f>IFERROR(__xludf.DUMMYFUNCTION("""COMPUTED_VALUE"""),5.0)</f>
        <v>5</v>
      </c>
      <c r="L230" s="56">
        <f>IFERROR(__xludf.DUMMYFUNCTION("""COMPUTED_VALUE"""),0.5)</f>
        <v>0.5</v>
      </c>
      <c r="M230" s="56">
        <f>IFERROR(__xludf.DUMMYFUNCTION("""COMPUTED_VALUE"""),0.34375)</f>
        <v>0.34375</v>
      </c>
      <c r="N230" s="31">
        <f>IFERROR(__xludf.DUMMYFUNCTION("""COMPUTED_VALUE"""),372.3)</f>
        <v>372.3</v>
      </c>
      <c r="O230" s="57">
        <f>IFERROR(__xludf.DUMMYFUNCTION("""COMPUTED_VALUE"""),1.1)</f>
        <v>1.1</v>
      </c>
      <c r="P230" s="57">
        <f>IFERROR(__xludf.DUMMYFUNCTION("""COMPUTED_VALUE"""),0.5)</f>
        <v>0.5</v>
      </c>
      <c r="Q230" s="57">
        <f>IFERROR(__xludf.DUMMYFUNCTION("""COMPUTED_VALUE"""),1.5)</f>
        <v>1.5</v>
      </c>
      <c r="R230" s="57">
        <f>IFERROR(__xludf.DUMMYFUNCTION("""COMPUTED_VALUE"""),3.2)</f>
        <v>3.2</v>
      </c>
      <c r="S230" s="31">
        <f>IFERROR(__xludf.DUMMYFUNCTION("""COMPUTED_VALUE"""),365.2)</f>
        <v>365.2</v>
      </c>
      <c r="T230" s="57">
        <f>IFERROR(__xludf.DUMMYFUNCTION("""COMPUTED_VALUE"""),0.8)</f>
        <v>0.8</v>
      </c>
      <c r="U230" s="57">
        <f>IFERROR(__xludf.DUMMYFUNCTION("""COMPUTED_VALUE"""),0.4999999999999999)</f>
        <v>0.5</v>
      </c>
      <c r="V230" s="57">
        <f>IFERROR(__xludf.DUMMYFUNCTION("""COMPUTED_VALUE"""),1.5666666666666669)</f>
        <v>1.566666667</v>
      </c>
      <c r="W230" s="57">
        <f>IFERROR(__xludf.DUMMYFUNCTION("""COMPUTED_VALUE"""),2.9)</f>
        <v>2.9</v>
      </c>
      <c r="X230" s="31">
        <f>IFERROR(__xludf.DUMMYFUNCTION("""COMPUTED_VALUE"""),364.8414113756614)</f>
        <v>364.8414114</v>
      </c>
      <c r="Y230" s="57">
        <f>IFERROR(__xludf.DUMMYFUNCTION("""COMPUTED_VALUE"""),0.8308597883597884)</f>
        <v>0.8308597884</v>
      </c>
      <c r="Z230" s="57">
        <f>IFERROR(__xludf.DUMMYFUNCTION("""COMPUTED_VALUE"""),0.651577380952381)</f>
        <v>0.651577381</v>
      </c>
      <c r="AA230" s="57">
        <f>IFERROR(__xludf.DUMMYFUNCTION("""COMPUTED_VALUE"""),1.452864417989418)</f>
        <v>1.452864418</v>
      </c>
      <c r="AB230" s="57">
        <f>IFERROR(__xludf.DUMMYFUNCTION("""COMPUTED_VALUE"""),2.6848379629629626)</f>
        <v>2.684837963</v>
      </c>
      <c r="AC230" s="31">
        <f>IFERROR(__xludf.DUMMYFUNCTION("""COMPUTED_VALUE"""),375.73630665784833)</f>
        <v>375.7363067</v>
      </c>
      <c r="AD230" s="57">
        <f>IFERROR(__xludf.DUMMYFUNCTION("""COMPUTED_VALUE"""),0.8854863315696647)</f>
        <v>0.8854863316</v>
      </c>
      <c r="AE230" s="57">
        <f>IFERROR(__xludf.DUMMYFUNCTION("""COMPUTED_VALUE"""),0.6573891093474427)</f>
        <v>0.6573891093</v>
      </c>
      <c r="AF230" s="57">
        <f>IFERROR(__xludf.DUMMYFUNCTION("""COMPUTED_VALUE"""),1.4477517636684303)</f>
        <v>1.447751764</v>
      </c>
      <c r="AG230" s="57">
        <f>IFERROR(__xludf.DUMMYFUNCTION("""COMPUTED_VALUE"""),2.7132385361552034)</f>
        <v>2.713238536</v>
      </c>
      <c r="AH230" s="57">
        <f>IFERROR(__xludf.DUMMYFUNCTION("""COMPUTED_VALUE"""),0.9908544726794861)</f>
        <v>0.9908544727</v>
      </c>
      <c r="AI230" s="57">
        <f>IFERROR(__xludf.DUMMYFUNCTION("""COMPUTED_VALUE"""),1.2422552000888325)</f>
        <v>1.2422552</v>
      </c>
      <c r="AJ230" s="57">
        <f>IFERROR(__xludf.DUMMYFUNCTION("""COMPUTED_VALUE"""),0.760584550140061)</f>
        <v>0.7605845501</v>
      </c>
      <c r="AK230" s="57">
        <f>IFERROR(__xludf.DUMMYFUNCTION("""COMPUTED_VALUE"""),1.0360892230579495)</f>
        <v>1.036089223</v>
      </c>
      <c r="AL230" s="57">
        <f>IFERROR(__xludf.DUMMYFUNCTION("""COMPUTED_VALUE"""),1.1794023847732027)</f>
        <v>1.179402385</v>
      </c>
      <c r="AM230" s="57">
        <f>IFERROR(__xludf.DUMMYFUNCTION("""COMPUTED_VALUE"""),1.000982861630171)</f>
        <v>1.000982862</v>
      </c>
      <c r="AN230" s="57">
        <f>IFERROR(__xludf.DUMMYFUNCTION("""COMPUTED_VALUE"""),0.962858007100441)</f>
        <v>0.9628580071</v>
      </c>
      <c r="AO230" s="57">
        <f>IFERROR(__xludf.DUMMYFUNCTION("""COMPUTED_VALUE"""),0.7673685652948428)</f>
        <v>0.7673685653</v>
      </c>
      <c r="AP230" s="35">
        <f>IFERROR(__xludf.DUMMYFUNCTION("""COMPUTED_VALUE"""),1.0783295724419606)</f>
        <v>1.078329572</v>
      </c>
      <c r="AQ230" s="57">
        <f>IFERROR(__xludf.DUMMYFUNCTION("""COMPUTED_VALUE"""),1.080139673233608)</f>
        <v>1.080139673</v>
      </c>
      <c r="AR230" s="36" t="b">
        <f>IFERROR(__xludf.DUMMYFUNCTION("""COMPUTED_VALUE"""),TRUE)</f>
        <v>1</v>
      </c>
      <c r="AS230" s="57"/>
      <c r="AT230" s="37"/>
      <c r="AU230" s="30"/>
      <c r="AV230" s="30"/>
      <c r="AW230" s="30"/>
      <c r="AX230" s="30"/>
      <c r="AY230" s="30"/>
      <c r="AZ230" s="30"/>
    </row>
    <row r="231">
      <c r="A231" s="30" t="str">
        <f>IFERROR(__xludf.DUMMYFUNCTION("""COMPUTED_VALUE"""),"Elite")</f>
        <v>Elite</v>
      </c>
      <c r="B231" s="30" t="str">
        <f>IFERROR(__xludf.DUMMYFUNCTION("""COMPUTED_VALUE"""),"RSC006494")</f>
        <v>RSC006494</v>
      </c>
      <c r="C231" s="30" t="str">
        <f>IFERROR(__xludf.DUMMYFUNCTION("""COMPUTED_VALUE"""),"Jimbo")</f>
        <v>Jimbo</v>
      </c>
      <c r="D231" s="31" t="str">
        <f>IFERROR(__xludf.DUMMYFUNCTION("""COMPUTED_VALUE"""),"Desolation")</f>
        <v>Desolation</v>
      </c>
      <c r="E231" s="31">
        <f>IFERROR(__xludf.DUMMYFUNCTION("""COMPUTED_VALUE"""),72.57243775343822)</f>
        <v>72.57243775</v>
      </c>
      <c r="F231" s="31">
        <f>IFERROR(__xludf.DUMMYFUNCTION("""COMPUTED_VALUE"""),5.455830666351975)</f>
        <v>5.455830666</v>
      </c>
      <c r="G231" s="31">
        <f>IFERROR(__xludf.DUMMYFUNCTION("""COMPUTED_VALUE"""),68.37069031884725)</f>
        <v>68.37069032</v>
      </c>
      <c r="H231" s="31">
        <f>IFERROR(__xludf.DUMMYFUNCTION("""COMPUTED_VALUE"""),4.324843416939157)</f>
        <v>4.324843417</v>
      </c>
      <c r="I231" s="54">
        <f>IFERROR(__xludf.DUMMYFUNCTION("""COMPUTED_VALUE"""),36.0)</f>
        <v>36</v>
      </c>
      <c r="J231" s="55">
        <f>IFERROR(__xludf.DUMMYFUNCTION("""COMPUTED_VALUE"""),22.0)</f>
        <v>22</v>
      </c>
      <c r="K231" s="54">
        <f>IFERROR(__xludf.DUMMYFUNCTION("""COMPUTED_VALUE"""),14.0)</f>
        <v>14</v>
      </c>
      <c r="L231" s="56">
        <f>IFERROR(__xludf.DUMMYFUNCTION("""COMPUTED_VALUE"""),0.6111111111111112)</f>
        <v>0.6111111111</v>
      </c>
      <c r="M231" s="56">
        <f>IFERROR(__xludf.DUMMYFUNCTION("""COMPUTED_VALUE"""),0.35238095238095235)</f>
        <v>0.3523809524</v>
      </c>
      <c r="N231" s="31">
        <f>IFERROR(__xludf.DUMMYFUNCTION("""COMPUTED_VALUE"""),410.44444444444446)</f>
        <v>410.4444444</v>
      </c>
      <c r="O231" s="57">
        <f>IFERROR(__xludf.DUMMYFUNCTION("""COMPUTED_VALUE"""),1.0277777777777777)</f>
        <v>1.027777778</v>
      </c>
      <c r="P231" s="57">
        <f>IFERROR(__xludf.DUMMYFUNCTION("""COMPUTED_VALUE"""),0.6111111111111112)</f>
        <v>0.6111111111</v>
      </c>
      <c r="Q231" s="57">
        <f>IFERROR(__xludf.DUMMYFUNCTION("""COMPUTED_VALUE"""),1.4444444444444444)</f>
        <v>1.444444444</v>
      </c>
      <c r="R231" s="57">
        <f>IFERROR(__xludf.DUMMYFUNCTION("""COMPUTED_VALUE"""),2.9166666666666665)</f>
        <v>2.916666667</v>
      </c>
      <c r="S231" s="31">
        <f>IFERROR(__xludf.DUMMYFUNCTION("""COMPUTED_VALUE"""),351.2777777777777)</f>
        <v>351.2777778</v>
      </c>
      <c r="T231" s="57">
        <f>IFERROR(__xludf.DUMMYFUNCTION("""COMPUTED_VALUE"""),0.7314814814814814)</f>
        <v>0.7314814815</v>
      </c>
      <c r="U231" s="57">
        <f>IFERROR(__xludf.DUMMYFUNCTION("""COMPUTED_VALUE"""),0.5092592592592592)</f>
        <v>0.5092592593</v>
      </c>
      <c r="V231" s="57">
        <f>IFERROR(__xludf.DUMMYFUNCTION("""COMPUTED_VALUE"""),1.3148148148148144)</f>
        <v>1.314814815</v>
      </c>
      <c r="W231" s="57">
        <f>IFERROR(__xludf.DUMMYFUNCTION("""COMPUTED_VALUE"""),2.546296296296296)</f>
        <v>2.546296296</v>
      </c>
      <c r="X231" s="31">
        <f>IFERROR(__xludf.DUMMYFUNCTION("""COMPUTED_VALUE"""),356.71096068572814)</f>
        <v>356.7109607</v>
      </c>
      <c r="Y231" s="57">
        <f>IFERROR(__xludf.DUMMYFUNCTION("""COMPUTED_VALUE"""),0.6849688211729004)</f>
        <v>0.6849688212</v>
      </c>
      <c r="Z231" s="57">
        <f>IFERROR(__xludf.DUMMYFUNCTION("""COMPUTED_VALUE"""),0.5332119509886019)</f>
        <v>0.533211951</v>
      </c>
      <c r="AA231" s="57">
        <f>IFERROR(__xludf.DUMMYFUNCTION("""COMPUTED_VALUE"""),1.4757553930305791)</f>
        <v>1.475755393</v>
      </c>
      <c r="AB231" s="57">
        <f>IFERROR(__xludf.DUMMYFUNCTION("""COMPUTED_VALUE"""),2.5634480268185476)</f>
        <v>2.563448027</v>
      </c>
      <c r="AC231" s="31">
        <f>IFERROR(__xludf.DUMMYFUNCTION("""COMPUTED_VALUE"""),370.82212097681963)</f>
        <v>370.822121</v>
      </c>
      <c r="AD231" s="57">
        <f>IFERROR(__xludf.DUMMYFUNCTION("""COMPUTED_VALUE"""),0.8092959824769981)</f>
        <v>0.8092959825</v>
      </c>
      <c r="AE231" s="57">
        <f>IFERROR(__xludf.DUMMYFUNCTION("""COMPUTED_VALUE"""),0.6009004606907655)</f>
        <v>0.6009004607</v>
      </c>
      <c r="AF231" s="57">
        <f>IFERROR(__xludf.DUMMYFUNCTION("""COMPUTED_VALUE"""),1.459637146493881)</f>
        <v>1.459637146</v>
      </c>
      <c r="AG231" s="57">
        <f>IFERROR(__xludf.DUMMYFUNCTION("""COMPUTED_VALUE"""),2.7325978257552697)</f>
        <v>2.732597826</v>
      </c>
      <c r="AH231" s="57">
        <f>IFERROR(__xludf.DUMMYFUNCTION("""COMPUTED_VALUE"""),1.1068499456376866)</f>
        <v>1.106849946</v>
      </c>
      <c r="AI231" s="57">
        <f>IFERROR(__xludf.DUMMYFUNCTION("""COMPUTED_VALUE"""),1.2699652537901847)</f>
        <v>1.269965254</v>
      </c>
      <c r="AJ231" s="57">
        <f>IFERROR(__xludf.DUMMYFUNCTION("""COMPUTED_VALUE"""),1.0169922492797026)</f>
        <v>1.016992249</v>
      </c>
      <c r="AK231" s="57">
        <f>IFERROR(__xludf.DUMMYFUNCTION("""COMPUTED_VALUE"""),0.9895914528580406)</f>
        <v>0.9895914529</v>
      </c>
      <c r="AL231" s="57">
        <f>IFERROR(__xludf.DUMMYFUNCTION("""COMPUTED_VALUE"""),1.067360384750552)</f>
        <v>1.067360385</v>
      </c>
      <c r="AM231" s="57">
        <f>IFERROR(__xludf.DUMMYFUNCTION("""COMPUTED_VALUE"""),0.9847686684549701)</f>
        <v>0.9847686685</v>
      </c>
      <c r="AN231" s="57">
        <f>IFERROR(__xludf.DUMMYFUNCTION("""COMPUTED_VALUE"""),1.0679047846717102)</f>
        <v>1.067904785</v>
      </c>
      <c r="AO231" s="57">
        <f>IFERROR(__xludf.DUMMYFUNCTION("""COMPUTED_VALUE"""),0.9550784792333833)</f>
        <v>0.9550784792</v>
      </c>
      <c r="AP231" s="35">
        <f>IFERROR(__xludf.DUMMYFUNCTION("""COMPUTED_VALUE"""),0.8909435947340428)</f>
        <v>0.8909435947</v>
      </c>
      <c r="AQ231" s="57">
        <f>IFERROR(__xludf.DUMMYFUNCTION("""COMPUTED_VALUE"""),0.9933091171177212)</f>
        <v>0.9933091171</v>
      </c>
      <c r="AR231" s="36" t="b">
        <f>IFERROR(__xludf.DUMMYFUNCTION("""COMPUTED_VALUE"""),TRUE)</f>
        <v>1</v>
      </c>
      <c r="AS231" s="57"/>
      <c r="AT231" s="37"/>
      <c r="AU231" s="30"/>
      <c r="AV231" s="30"/>
      <c r="AW231" s="30"/>
      <c r="AX231" s="30"/>
      <c r="AY231" s="30"/>
      <c r="AZ231" s="30"/>
    </row>
    <row r="232">
      <c r="A232" s="30" t="str">
        <f>IFERROR(__xludf.DUMMYFUNCTION("""COMPUTED_VALUE"""),"Elite")</f>
        <v>Elite</v>
      </c>
      <c r="B232" s="30" t="str">
        <f>IFERROR(__xludf.DUMMYFUNCTION("""COMPUTED_VALUE"""),"RSC005274")</f>
        <v>RSC005274</v>
      </c>
      <c r="C232" s="30" t="str">
        <f>IFERROR(__xludf.DUMMYFUNCTION("""COMPUTED_VALUE"""),"KING.")</f>
        <v>KING.</v>
      </c>
      <c r="D232" s="31" t="str">
        <f>IFERROR(__xludf.DUMMYFUNCTION("""COMPUTED_VALUE"""),"Cotija Cartel")</f>
        <v>Cotija Cartel</v>
      </c>
      <c r="E232" s="31">
        <f>IFERROR(__xludf.DUMMYFUNCTION("""COMPUTED_VALUE"""),72.38201280515082)</f>
        <v>72.38201281</v>
      </c>
      <c r="F232" s="31">
        <f>IFERROR(__xludf.DUMMYFUNCTION("""COMPUTED_VALUE"""),5.396113078772478)</f>
        <v>5.396113079</v>
      </c>
      <c r="G232" s="31">
        <f>IFERROR(__xludf.DUMMYFUNCTION("""COMPUTED_VALUE"""),49.40313662201046)</f>
        <v>49.40313662</v>
      </c>
      <c r="H232" s="31">
        <f>IFERROR(__xludf.DUMMYFUNCTION("""COMPUTED_VALUE"""),-2.0388343163515352)</f>
        <v>-2.038834316</v>
      </c>
      <c r="I232" s="54">
        <f>IFERROR(__xludf.DUMMYFUNCTION("""COMPUTED_VALUE"""),13.0)</f>
        <v>13</v>
      </c>
      <c r="J232" s="55">
        <f>IFERROR(__xludf.DUMMYFUNCTION("""COMPUTED_VALUE"""),7.0)</f>
        <v>7</v>
      </c>
      <c r="K232" s="54">
        <f>IFERROR(__xludf.DUMMYFUNCTION("""COMPUTED_VALUE"""),6.0)</f>
        <v>6</v>
      </c>
      <c r="L232" s="56">
        <f>IFERROR(__xludf.DUMMYFUNCTION("""COMPUTED_VALUE"""),0.5384615384615384)</f>
        <v>0.5384615385</v>
      </c>
      <c r="M232" s="56">
        <f>IFERROR(__xludf.DUMMYFUNCTION("""COMPUTED_VALUE"""),0.3611111111111111)</f>
        <v>0.3611111111</v>
      </c>
      <c r="N232" s="31">
        <f>IFERROR(__xludf.DUMMYFUNCTION("""COMPUTED_VALUE"""),351.6923076923077)</f>
        <v>351.6923077</v>
      </c>
      <c r="O232" s="57">
        <f>IFERROR(__xludf.DUMMYFUNCTION("""COMPUTED_VALUE"""),1.0)</f>
        <v>1</v>
      </c>
      <c r="P232" s="57">
        <f>IFERROR(__xludf.DUMMYFUNCTION("""COMPUTED_VALUE"""),0.8461538461538461)</f>
        <v>0.8461538462</v>
      </c>
      <c r="Q232" s="57">
        <f>IFERROR(__xludf.DUMMYFUNCTION("""COMPUTED_VALUE"""),1.0769230769230769)</f>
        <v>1.076923077</v>
      </c>
      <c r="R232" s="57">
        <f>IFERROR(__xludf.DUMMYFUNCTION("""COMPUTED_VALUE"""),2.769230769230769)</f>
        <v>2.769230769</v>
      </c>
      <c r="S232" s="31">
        <f>IFERROR(__xludf.DUMMYFUNCTION("""COMPUTED_VALUE"""),349.84615384615387)</f>
        <v>349.8461538</v>
      </c>
      <c r="T232" s="57">
        <f>IFERROR(__xludf.DUMMYFUNCTION("""COMPUTED_VALUE"""),0.6923076923076923)</f>
        <v>0.6923076923</v>
      </c>
      <c r="U232" s="57">
        <f>IFERROR(__xludf.DUMMYFUNCTION("""COMPUTED_VALUE"""),0.5128205128205127)</f>
        <v>0.5128205128</v>
      </c>
      <c r="V232" s="57">
        <f>IFERROR(__xludf.DUMMYFUNCTION("""COMPUTED_VALUE"""),1.666666666666667)</f>
        <v>1.666666667</v>
      </c>
      <c r="W232" s="57">
        <f>IFERROR(__xludf.DUMMYFUNCTION("""COMPUTED_VALUE"""),2.2564102564102564)</f>
        <v>2.256410256</v>
      </c>
      <c r="X232" s="31">
        <f>IFERROR(__xludf.DUMMYFUNCTION("""COMPUTED_VALUE"""),355.7989796717681)</f>
        <v>355.7989797</v>
      </c>
      <c r="Y232" s="57">
        <f>IFERROR(__xludf.DUMMYFUNCTION("""COMPUTED_VALUE"""),0.7278181203181203)</f>
        <v>0.7278181203</v>
      </c>
      <c r="Z232" s="57">
        <f>IFERROR(__xludf.DUMMYFUNCTION("""COMPUTED_VALUE"""),0.5573186193378501)</f>
        <v>0.5573186193</v>
      </c>
      <c r="AA232" s="57">
        <f>IFERROR(__xludf.DUMMYFUNCTION("""COMPUTED_VALUE"""),1.5460258832374218)</f>
        <v>1.546025883</v>
      </c>
      <c r="AB232" s="57">
        <f>IFERROR(__xludf.DUMMYFUNCTION("""COMPUTED_VALUE"""),2.5407916549262706)</f>
        <v>2.540791655</v>
      </c>
      <c r="AC232" s="31">
        <f>IFERROR(__xludf.DUMMYFUNCTION("""COMPUTED_VALUE"""),372.5895216275024)</f>
        <v>372.5895216</v>
      </c>
      <c r="AD232" s="57">
        <f>IFERROR(__xludf.DUMMYFUNCTION("""COMPUTED_VALUE"""),0.8540898943463046)</f>
        <v>0.8540898943</v>
      </c>
      <c r="AE232" s="57">
        <f>IFERROR(__xludf.DUMMYFUNCTION("""COMPUTED_VALUE"""),0.6344052607834659)</f>
        <v>0.6344052608</v>
      </c>
      <c r="AF232" s="57">
        <f>IFERROR(__xludf.DUMMYFUNCTION("""COMPUTED_VALUE"""),1.3319535324984044)</f>
        <v>1.331953532</v>
      </c>
      <c r="AG232" s="57">
        <f>IFERROR(__xludf.DUMMYFUNCTION("""COMPUTED_VALUE"""),2.9234608040697787)</f>
        <v>2.923460804</v>
      </c>
      <c r="AH232" s="57">
        <f>IFERROR(__xludf.DUMMYFUNCTION("""COMPUTED_VALUE"""),0.9439135758732186)</f>
        <v>0.9439135759</v>
      </c>
      <c r="AI232" s="57">
        <f>IFERROR(__xludf.DUMMYFUNCTION("""COMPUTED_VALUE"""),1.1708369418951745)</f>
        <v>1.170836942</v>
      </c>
      <c r="AJ232" s="57">
        <f>IFERROR(__xludf.DUMMYFUNCTION("""COMPUTED_VALUE"""),1.3337749518484114)</f>
        <v>1.333774952</v>
      </c>
      <c r="AK232" s="57">
        <f>IFERROR(__xludf.DUMMYFUNCTION("""COMPUTED_VALUE"""),0.8085290144492085)</f>
        <v>0.8085290144</v>
      </c>
      <c r="AL232" s="57">
        <f>IFERROR(__xludf.DUMMYFUNCTION("""COMPUTED_VALUE"""),0.9472440216662715)</f>
        <v>0.9472440217</v>
      </c>
      <c r="AM232" s="57">
        <f>IFERROR(__xludf.DUMMYFUNCTION("""COMPUTED_VALUE"""),0.9832691318252069)</f>
        <v>0.9832691318</v>
      </c>
      <c r="AN232" s="57">
        <f>IFERROR(__xludf.DUMMYFUNCTION("""COMPUTED_VALUE"""),0.9512097500472964)</f>
        <v>0.95120975</v>
      </c>
      <c r="AO232" s="57">
        <f>IFERROR(__xludf.DUMMYFUNCTION("""COMPUTED_VALUE"""),0.9201567918721151)</f>
        <v>0.9201567919</v>
      </c>
      <c r="AP232" s="35">
        <f>IFERROR(__xludf.DUMMYFUNCTION("""COMPUTED_VALUE"""),1.078032835502482)</f>
        <v>1.078032836</v>
      </c>
      <c r="AQ232" s="57">
        <f>IFERROR(__xludf.DUMMYFUNCTION("""COMPUTED_VALUE"""),0.8880737041289336)</f>
        <v>0.8880737041</v>
      </c>
      <c r="AR232" s="36" t="b">
        <f>IFERROR(__xludf.DUMMYFUNCTION("""COMPUTED_VALUE"""),TRUE)</f>
        <v>1</v>
      </c>
      <c r="AS232" s="57"/>
      <c r="AT232" s="37"/>
      <c r="AU232" s="30"/>
      <c r="AV232" s="30"/>
      <c r="AW232" s="30"/>
      <c r="AX232" s="30"/>
      <c r="AY232" s="30"/>
      <c r="AZ232" s="30"/>
    </row>
    <row r="233">
      <c r="A233" s="30" t="str">
        <f>IFERROR(__xludf.DUMMYFUNCTION("""COMPUTED_VALUE"""),"Elite")</f>
        <v>Elite</v>
      </c>
      <c r="B233" s="30" t="str">
        <f>IFERROR(__xludf.DUMMYFUNCTION("""COMPUTED_VALUE"""),"RSC004797")</f>
        <v>RSC004797</v>
      </c>
      <c r="C233" s="30" t="str">
        <f>IFERROR(__xludf.DUMMYFUNCTION("""COMPUTED_VALUE"""),"Tempest")</f>
        <v>Tempest</v>
      </c>
      <c r="D233" s="31" t="str">
        <f>IFERROR(__xludf.DUMMYFUNCTION("""COMPUTED_VALUE"""),"Demons")</f>
        <v>Demons</v>
      </c>
      <c r="E233" s="31">
        <f>IFERROR(__xludf.DUMMYFUNCTION("""COMPUTED_VALUE"""),72.26674083120469)</f>
        <v>72.26674083</v>
      </c>
      <c r="F233" s="31">
        <f>IFERROR(__xludf.DUMMYFUNCTION("""COMPUTED_VALUE"""),5.360400778043063)</f>
        <v>5.360400778</v>
      </c>
      <c r="G233" s="31">
        <f>IFERROR(__xludf.DUMMYFUNCTION("""COMPUTED_VALUE"""),60.19761715947194)</f>
        <v>60.19761716</v>
      </c>
      <c r="H233" s="31">
        <f>IFERROR(__xludf.DUMMYFUNCTION("""COMPUTED_VALUE"""),2.9267850721696176)</f>
        <v>2.926785072</v>
      </c>
      <c r="I233" s="54">
        <f>IFERROR(__xludf.DUMMYFUNCTION("""COMPUTED_VALUE"""),25.0)</f>
        <v>25</v>
      </c>
      <c r="J233" s="55">
        <f>IFERROR(__xludf.DUMMYFUNCTION("""COMPUTED_VALUE"""),11.0)</f>
        <v>11</v>
      </c>
      <c r="K233" s="54">
        <f>IFERROR(__xludf.DUMMYFUNCTION("""COMPUTED_VALUE"""),14.0)</f>
        <v>14</v>
      </c>
      <c r="L233" s="56">
        <f>IFERROR(__xludf.DUMMYFUNCTION("""COMPUTED_VALUE"""),0.44)</f>
        <v>0.44</v>
      </c>
      <c r="M233" s="56">
        <f>IFERROR(__xludf.DUMMYFUNCTION("""COMPUTED_VALUE"""),0.26666666666666666)</f>
        <v>0.2666666667</v>
      </c>
      <c r="N233" s="31">
        <f>IFERROR(__xludf.DUMMYFUNCTION("""COMPUTED_VALUE"""),400.72)</f>
        <v>400.72</v>
      </c>
      <c r="O233" s="57">
        <f>IFERROR(__xludf.DUMMYFUNCTION("""COMPUTED_VALUE"""),0.8)</f>
        <v>0.8</v>
      </c>
      <c r="P233" s="57">
        <f>IFERROR(__xludf.DUMMYFUNCTION("""COMPUTED_VALUE"""),0.8)</f>
        <v>0.8</v>
      </c>
      <c r="Q233" s="57">
        <f>IFERROR(__xludf.DUMMYFUNCTION("""COMPUTED_VALUE"""),1.88)</f>
        <v>1.88</v>
      </c>
      <c r="R233" s="57">
        <f>IFERROR(__xludf.DUMMYFUNCTION("""COMPUTED_VALUE"""),3.0)</f>
        <v>3</v>
      </c>
      <c r="S233" s="31">
        <f>IFERROR(__xludf.DUMMYFUNCTION("""COMPUTED_VALUE"""),382.92)</f>
        <v>382.92</v>
      </c>
      <c r="T233" s="57">
        <f>IFERROR(__xludf.DUMMYFUNCTION("""COMPUTED_VALUE"""),0.8933333333333334)</f>
        <v>0.8933333333</v>
      </c>
      <c r="U233" s="57">
        <f>IFERROR(__xludf.DUMMYFUNCTION("""COMPUTED_VALUE"""),0.72)</f>
        <v>0.72</v>
      </c>
      <c r="V233" s="57">
        <f>IFERROR(__xludf.DUMMYFUNCTION("""COMPUTED_VALUE"""),1.3200000000000003)</f>
        <v>1.32</v>
      </c>
      <c r="W233" s="57">
        <f>IFERROR(__xludf.DUMMYFUNCTION("""COMPUTED_VALUE"""),3.0000000000000004)</f>
        <v>3</v>
      </c>
      <c r="X233" s="31">
        <f>IFERROR(__xludf.DUMMYFUNCTION("""COMPUTED_VALUE"""),376.6421432605408)</f>
        <v>376.6421433</v>
      </c>
      <c r="Y233" s="57">
        <f>IFERROR(__xludf.DUMMYFUNCTION("""COMPUTED_VALUE"""),0.8923780888332644)</f>
        <v>0.8923780888</v>
      </c>
      <c r="Z233" s="57">
        <f>IFERROR(__xludf.DUMMYFUNCTION("""COMPUTED_VALUE"""),0.653933821272351)</f>
        <v>0.6539338213</v>
      </c>
      <c r="AA233" s="57">
        <f>IFERROR(__xludf.DUMMYFUNCTION("""COMPUTED_VALUE"""),1.3831092455901102)</f>
        <v>1.383109246</v>
      </c>
      <c r="AB233" s="57">
        <f>IFERROR(__xludf.DUMMYFUNCTION("""COMPUTED_VALUE"""),2.81856468908623)</f>
        <v>2.818564689</v>
      </c>
      <c r="AC233" s="31">
        <f>IFERROR(__xludf.DUMMYFUNCTION("""COMPUTED_VALUE"""),353.32959274439395)</f>
        <v>353.3295927</v>
      </c>
      <c r="AD233" s="57">
        <f>IFERROR(__xludf.DUMMYFUNCTION("""COMPUTED_VALUE"""),0.7207675280925013)</f>
        <v>0.7207675281</v>
      </c>
      <c r="AE233" s="57">
        <f>IFERROR(__xludf.DUMMYFUNCTION("""COMPUTED_VALUE"""),0.5246991643324824)</f>
        <v>0.5246991643</v>
      </c>
      <c r="AF233" s="57">
        <f>IFERROR(__xludf.DUMMYFUNCTION("""COMPUTED_VALUE"""),1.4995028835455326)</f>
        <v>1.499502884</v>
      </c>
      <c r="AG233" s="57">
        <f>IFERROR(__xludf.DUMMYFUNCTION("""COMPUTED_VALUE"""),2.452617865891961)</f>
        <v>2.452617866</v>
      </c>
      <c r="AH233" s="57">
        <f>IFERROR(__xludf.DUMMYFUNCTION("""COMPUTED_VALUE"""),1.1341252140459384)</f>
        <v>1.134125214</v>
      </c>
      <c r="AI233" s="57">
        <f>IFERROR(__xludf.DUMMYFUNCTION("""COMPUTED_VALUE"""),1.1099279154780821)</f>
        <v>1.109927915</v>
      </c>
      <c r="AJ233" s="57">
        <f>IFERROR(__xludf.DUMMYFUNCTION("""COMPUTED_VALUE"""),1.5246831982622897)</f>
        <v>1.524683198</v>
      </c>
      <c r="AK233" s="57">
        <f>IFERROR(__xludf.DUMMYFUNCTION("""COMPUTED_VALUE"""),1.2537488394519072)</f>
        <v>1.253748839</v>
      </c>
      <c r="AL233" s="57">
        <f>IFERROR(__xludf.DUMMYFUNCTION("""COMPUTED_VALUE"""),1.2231828046759208)</f>
        <v>1.223182805</v>
      </c>
      <c r="AM233" s="57">
        <f>IFERROR(__xludf.DUMMYFUNCTION("""COMPUTED_VALUE"""),1.0166679614902163)</f>
        <v>1.016667961</v>
      </c>
      <c r="AN233" s="57">
        <f>IFERROR(__xludf.DUMMYFUNCTION("""COMPUTED_VALUE"""),1.0010704481788857)</f>
        <v>1.001070448</v>
      </c>
      <c r="AO233" s="57">
        <f>IFERROR(__xludf.DUMMYFUNCTION("""COMPUTED_VALUE"""),1.1010288450887964)</f>
        <v>1.101028845</v>
      </c>
      <c r="AP233" s="35">
        <f>IFERROR(__xludf.DUMMYFUNCTION("""COMPUTED_VALUE"""),0.9543714671915275)</f>
        <v>0.9543714672</v>
      </c>
      <c r="AQ233" s="57">
        <f>IFERROR(__xludf.DUMMYFUNCTION("""COMPUTED_VALUE"""),1.0643715262652322)</f>
        <v>1.064371526</v>
      </c>
      <c r="AR233" s="36" t="b">
        <f>IFERROR(__xludf.DUMMYFUNCTION("""COMPUTED_VALUE"""),TRUE)</f>
        <v>1</v>
      </c>
      <c r="AS233" s="57"/>
      <c r="AT233" s="37"/>
      <c r="AU233" s="30"/>
      <c r="AV233" s="30"/>
      <c r="AW233" s="30"/>
      <c r="AX233" s="30"/>
      <c r="AY233" s="30"/>
      <c r="AZ233" s="30"/>
    </row>
    <row r="234">
      <c r="A234" s="30" t="str">
        <f>IFERROR(__xludf.DUMMYFUNCTION("""COMPUTED_VALUE"""),"Elite")</f>
        <v>Elite</v>
      </c>
      <c r="B234" s="30" t="str">
        <f>IFERROR(__xludf.DUMMYFUNCTION("""COMPUTED_VALUE"""),"RSC003125")</f>
        <v>RSC003125</v>
      </c>
      <c r="C234" s="30" t="str">
        <f>IFERROR(__xludf.DUMMYFUNCTION("""COMPUTED_VALUE"""),"GrandPlat")</f>
        <v>GrandPlat</v>
      </c>
      <c r="D234" s="31" t="str">
        <f>IFERROR(__xludf.DUMMYFUNCTION("""COMPUTED_VALUE"""),"Despair")</f>
        <v>Despair</v>
      </c>
      <c r="E234" s="31">
        <f>IFERROR(__xludf.DUMMYFUNCTION("""COMPUTED_VALUE"""),70.69020630235441)</f>
        <v>70.6902063</v>
      </c>
      <c r="F234" s="31">
        <f>IFERROR(__xludf.DUMMYFUNCTION("""COMPUTED_VALUE"""),4.903253977263649)</f>
        <v>4.903253977</v>
      </c>
      <c r="G234" s="31">
        <f>IFERROR(__xludf.DUMMYFUNCTION("""COMPUTED_VALUE"""),62.876754397761815)</f>
        <v>62.8767544</v>
      </c>
      <c r="H234" s="31">
        <f>IFERROR(__xludf.DUMMYFUNCTION("""COMPUTED_VALUE"""),3.2975875795507084)</f>
        <v>3.29758758</v>
      </c>
      <c r="I234" s="54">
        <f>IFERROR(__xludf.DUMMYFUNCTION("""COMPUTED_VALUE"""),35.0)</f>
        <v>35</v>
      </c>
      <c r="J234" s="55">
        <f>IFERROR(__xludf.DUMMYFUNCTION("""COMPUTED_VALUE"""),22.0)</f>
        <v>22</v>
      </c>
      <c r="K234" s="54">
        <f>IFERROR(__xludf.DUMMYFUNCTION("""COMPUTED_VALUE"""),13.0)</f>
        <v>13</v>
      </c>
      <c r="L234" s="56">
        <f>IFERROR(__xludf.DUMMYFUNCTION("""COMPUTED_VALUE"""),0.6285714285714286)</f>
        <v>0.6285714286</v>
      </c>
      <c r="M234" s="56">
        <f>IFERROR(__xludf.DUMMYFUNCTION("""COMPUTED_VALUE"""),0.3157894736842105)</f>
        <v>0.3157894737</v>
      </c>
      <c r="N234" s="31">
        <f>IFERROR(__xludf.DUMMYFUNCTION("""COMPUTED_VALUE"""),404.6857142857143)</f>
        <v>404.6857143</v>
      </c>
      <c r="O234" s="57">
        <f>IFERROR(__xludf.DUMMYFUNCTION("""COMPUTED_VALUE"""),0.8571428571428571)</f>
        <v>0.8571428571</v>
      </c>
      <c r="P234" s="57">
        <f>IFERROR(__xludf.DUMMYFUNCTION("""COMPUTED_VALUE"""),0.7142857142857143)</f>
        <v>0.7142857143</v>
      </c>
      <c r="Q234" s="57">
        <f>IFERROR(__xludf.DUMMYFUNCTION("""COMPUTED_VALUE"""),1.6571428571428573)</f>
        <v>1.657142857</v>
      </c>
      <c r="R234" s="57">
        <f>IFERROR(__xludf.DUMMYFUNCTION("""COMPUTED_VALUE"""),2.7142857142857144)</f>
        <v>2.714285714</v>
      </c>
      <c r="S234" s="31">
        <f>IFERROR(__xludf.DUMMYFUNCTION("""COMPUTED_VALUE"""),349.752380952381)</f>
        <v>349.752381</v>
      </c>
      <c r="T234" s="57">
        <f>IFERROR(__xludf.DUMMYFUNCTION("""COMPUTED_VALUE"""),0.5809523809523808)</f>
        <v>0.580952381</v>
      </c>
      <c r="U234" s="57">
        <f>IFERROR(__xludf.DUMMYFUNCTION("""COMPUTED_VALUE"""),0.4476190476190475)</f>
        <v>0.4476190476</v>
      </c>
      <c r="V234" s="57">
        <f>IFERROR(__xludf.DUMMYFUNCTION("""COMPUTED_VALUE"""),1.6476190476190478)</f>
        <v>1.647619048</v>
      </c>
      <c r="W234" s="57">
        <f>IFERROR(__xludf.DUMMYFUNCTION("""COMPUTED_VALUE"""),2.5047619047619047)</f>
        <v>2.504761905</v>
      </c>
      <c r="X234" s="31">
        <f>IFERROR(__xludf.DUMMYFUNCTION("""COMPUTED_VALUE"""),362.5382932734232)</f>
        <v>362.5382933</v>
      </c>
      <c r="Y234" s="57">
        <f>IFERROR(__xludf.DUMMYFUNCTION("""COMPUTED_VALUE"""),0.7147151828411962)</f>
        <v>0.7147151828</v>
      </c>
      <c r="Z234" s="57">
        <f>IFERROR(__xludf.DUMMYFUNCTION("""COMPUTED_VALUE"""),0.5847223826274309)</f>
        <v>0.5847223826</v>
      </c>
      <c r="AA234" s="57">
        <f>IFERROR(__xludf.DUMMYFUNCTION("""COMPUTED_VALUE"""),1.561430853829654)</f>
        <v>1.561430854</v>
      </c>
      <c r="AB234" s="57">
        <f>IFERROR(__xludf.DUMMYFUNCTION("""COMPUTED_VALUE"""),2.6325478414824093)</f>
        <v>2.632547841</v>
      </c>
      <c r="AC234" s="31">
        <f>IFERROR(__xludf.DUMMYFUNCTION("""COMPUTED_VALUE"""),366.0636532479072)</f>
        <v>366.0636532</v>
      </c>
      <c r="AD234" s="57">
        <f>IFERROR(__xludf.DUMMYFUNCTION("""COMPUTED_VALUE"""),0.792335276005052)</f>
        <v>0.792335276</v>
      </c>
      <c r="AE234" s="57">
        <f>IFERROR(__xludf.DUMMYFUNCTION("""COMPUTED_VALUE"""),0.5878077312680805)</f>
        <v>0.5878077313</v>
      </c>
      <c r="AF234" s="57">
        <f>IFERROR(__xludf.DUMMYFUNCTION("""COMPUTED_VALUE"""),1.4185508715567736)</f>
        <v>1.418550872</v>
      </c>
      <c r="AG234" s="57">
        <f>IFERROR(__xludf.DUMMYFUNCTION("""COMPUTED_VALUE"""),2.7763780438708854)</f>
        <v>2.776378044</v>
      </c>
      <c r="AH234" s="57">
        <f>IFERROR(__xludf.DUMMYFUNCTION("""COMPUTED_VALUE"""),1.1055064076838332)</f>
        <v>1.105506408</v>
      </c>
      <c r="AI234" s="57">
        <f>IFERROR(__xludf.DUMMYFUNCTION("""COMPUTED_VALUE"""),1.0817931286166689)</f>
        <v>1.081793129</v>
      </c>
      <c r="AJ234" s="57">
        <f>IFERROR(__xludf.DUMMYFUNCTION("""COMPUTED_VALUE"""),1.215168968167163)</f>
        <v>1.215168968</v>
      </c>
      <c r="AK234" s="57">
        <f>IFERROR(__xludf.DUMMYFUNCTION("""COMPUTED_VALUE"""),1.1681941693950273)</f>
        <v>1.168194169</v>
      </c>
      <c r="AL234" s="57">
        <f>IFERROR(__xludf.DUMMYFUNCTION("""COMPUTED_VALUE"""),0.9776354917795703)</f>
        <v>0.9776354918</v>
      </c>
      <c r="AM234" s="57">
        <f>IFERROR(__xludf.DUMMYFUNCTION("""COMPUTED_VALUE"""),0.9647322433015394)</f>
        <v>0.9647322433</v>
      </c>
      <c r="AN234" s="57">
        <f>IFERROR(__xludf.DUMMYFUNCTION("""COMPUTED_VALUE"""),0.8128446056552623)</f>
        <v>0.8128446057</v>
      </c>
      <c r="AO234" s="57">
        <f>IFERROR(__xludf.DUMMYFUNCTION("""COMPUTED_VALUE"""),0.7655240519572484)</f>
        <v>0.765524052</v>
      </c>
      <c r="AP234" s="35">
        <f>IFERROR(__xludf.DUMMYFUNCTION("""COMPUTED_VALUE"""),1.0551982135987665)</f>
        <v>1.055198214</v>
      </c>
      <c r="AQ234" s="57">
        <f>IFERROR(__xludf.DUMMYFUNCTION("""COMPUTED_VALUE"""),0.9514592157806533)</f>
        <v>0.9514592158</v>
      </c>
      <c r="AR234" s="36" t="b">
        <f>IFERROR(__xludf.DUMMYFUNCTION("""COMPUTED_VALUE"""),TRUE)</f>
        <v>1</v>
      </c>
      <c r="AS234" s="57"/>
      <c r="AT234" s="37"/>
      <c r="AU234" s="30"/>
      <c r="AV234" s="30"/>
      <c r="AW234" s="30"/>
      <c r="AX234" s="30"/>
      <c r="AY234" s="30"/>
      <c r="AZ234" s="30"/>
    </row>
    <row r="235">
      <c r="A235" s="30" t="str">
        <f>IFERROR(__xludf.DUMMYFUNCTION("""COMPUTED_VALUE"""),"Elite")</f>
        <v>Elite</v>
      </c>
      <c r="B235" s="30" t="str">
        <f>IFERROR(__xludf.DUMMYFUNCTION("""COMPUTED_VALUE"""),"RSC005024")</f>
        <v>RSC005024</v>
      </c>
      <c r="C235" s="30" t="str">
        <f>IFERROR(__xludf.DUMMYFUNCTION("""COMPUTED_VALUE"""),"SSpekky")</f>
        <v>SSpekky</v>
      </c>
      <c r="D235" s="31" t="str">
        <f>IFERROR(__xludf.DUMMYFUNCTION("""COMPUTED_VALUE"""),"Wyverns")</f>
        <v>Wyverns</v>
      </c>
      <c r="E235" s="31">
        <f>IFERROR(__xludf.DUMMYFUNCTION("""COMPUTED_VALUE"""),70.31898399771808)</f>
        <v>70.318984</v>
      </c>
      <c r="F235" s="31">
        <f>IFERROR(__xludf.DUMMYFUNCTION("""COMPUTED_VALUE"""),4.803581085186905)</f>
        <v>4.803581085</v>
      </c>
      <c r="G235" s="31">
        <f>IFERROR(__xludf.DUMMYFUNCTION("""COMPUTED_VALUE"""),66.72553213932484)</f>
        <v>66.72553214</v>
      </c>
      <c r="H235" s="31">
        <f>IFERROR(__xludf.DUMMYFUNCTION("""COMPUTED_VALUE"""),3.9723374368213156)</f>
        <v>3.972337437</v>
      </c>
      <c r="I235" s="54">
        <f>IFERROR(__xludf.DUMMYFUNCTION("""COMPUTED_VALUE"""),33.0)</f>
        <v>33</v>
      </c>
      <c r="J235" s="55">
        <f>IFERROR(__xludf.DUMMYFUNCTION("""COMPUTED_VALUE"""),18.0)</f>
        <v>18</v>
      </c>
      <c r="K235" s="54">
        <f>IFERROR(__xludf.DUMMYFUNCTION("""COMPUTED_VALUE"""),15.0)</f>
        <v>15</v>
      </c>
      <c r="L235" s="56">
        <f>IFERROR(__xludf.DUMMYFUNCTION("""COMPUTED_VALUE"""),0.5454545454545454)</f>
        <v>0.5454545455</v>
      </c>
      <c r="M235" s="56">
        <f>IFERROR(__xludf.DUMMYFUNCTION("""COMPUTED_VALUE"""),0.2916666666666667)</f>
        <v>0.2916666667</v>
      </c>
      <c r="N235" s="31">
        <f>IFERROR(__xludf.DUMMYFUNCTION("""COMPUTED_VALUE"""),386.09090909090907)</f>
        <v>386.0909091</v>
      </c>
      <c r="O235" s="57">
        <f>IFERROR(__xludf.DUMMYFUNCTION("""COMPUTED_VALUE"""),0.8484848484848485)</f>
        <v>0.8484848485</v>
      </c>
      <c r="P235" s="57">
        <f>IFERROR(__xludf.DUMMYFUNCTION("""COMPUTED_VALUE"""),0.5454545454545454)</f>
        <v>0.5454545455</v>
      </c>
      <c r="Q235" s="57">
        <f>IFERROR(__xludf.DUMMYFUNCTION("""COMPUTED_VALUE"""),1.4242424242424243)</f>
        <v>1.424242424</v>
      </c>
      <c r="R235" s="57">
        <f>IFERROR(__xludf.DUMMYFUNCTION("""COMPUTED_VALUE"""),2.909090909090909)</f>
        <v>2.909090909</v>
      </c>
      <c r="S235" s="31">
        <f>IFERROR(__xludf.DUMMYFUNCTION("""COMPUTED_VALUE"""),345.5858585858586)</f>
        <v>345.5858586</v>
      </c>
      <c r="T235" s="57">
        <f>IFERROR(__xludf.DUMMYFUNCTION("""COMPUTED_VALUE"""),0.6666666666666664)</f>
        <v>0.6666666667</v>
      </c>
      <c r="U235" s="57">
        <f>IFERROR(__xludf.DUMMYFUNCTION("""COMPUTED_VALUE"""),0.5151515151515151)</f>
        <v>0.5151515152</v>
      </c>
      <c r="V235" s="57">
        <f>IFERROR(__xludf.DUMMYFUNCTION("""COMPUTED_VALUE"""),1.424242424242424)</f>
        <v>1.424242424</v>
      </c>
      <c r="W235" s="57">
        <f>IFERROR(__xludf.DUMMYFUNCTION("""COMPUTED_VALUE"""),2.464646464646465)</f>
        <v>2.464646465</v>
      </c>
      <c r="X235" s="31">
        <f>IFERROR(__xludf.DUMMYFUNCTION("""COMPUTED_VALUE"""),358.4766628530838)</f>
        <v>358.4766629</v>
      </c>
      <c r="Y235" s="57">
        <f>IFERROR(__xludf.DUMMYFUNCTION("""COMPUTED_VALUE"""),0.7996476310803966)</f>
        <v>0.7996476311</v>
      </c>
      <c r="Z235" s="57">
        <f>IFERROR(__xludf.DUMMYFUNCTION("""COMPUTED_VALUE"""),0.6066901779391877)</f>
        <v>0.6066901779</v>
      </c>
      <c r="AA235" s="57">
        <f>IFERROR(__xludf.DUMMYFUNCTION("""COMPUTED_VALUE"""),1.3155608481781564)</f>
        <v>1.315560848</v>
      </c>
      <c r="AB235" s="57">
        <f>IFERROR(__xludf.DUMMYFUNCTION("""COMPUTED_VALUE"""),2.7295695257142008)</f>
        <v>2.729569526</v>
      </c>
      <c r="AC235" s="31">
        <f>IFERROR(__xludf.DUMMYFUNCTION("""COMPUTED_VALUE"""),354.00876783917835)</f>
        <v>354.0087678</v>
      </c>
      <c r="AD235" s="57">
        <f>IFERROR(__xludf.DUMMYFUNCTION("""COMPUTED_VALUE"""),0.712617608867042)</f>
        <v>0.7126176089</v>
      </c>
      <c r="AE235" s="57">
        <f>IFERROR(__xludf.DUMMYFUNCTION("""COMPUTED_VALUE"""),0.534423211724622)</f>
        <v>0.5344232117</v>
      </c>
      <c r="AF235" s="57">
        <f>IFERROR(__xludf.DUMMYFUNCTION("""COMPUTED_VALUE"""),1.505487141774278)</f>
        <v>1.505487142</v>
      </c>
      <c r="AG235" s="57">
        <f>IFERROR(__xludf.DUMMYFUNCTION("""COMPUTED_VALUE"""),2.476090944295606)</f>
        <v>2.476090944</v>
      </c>
      <c r="AH235" s="57">
        <f>IFERROR(__xludf.DUMMYFUNCTION("""COMPUTED_VALUE"""),1.0906252730618955)</f>
        <v>1.090625273</v>
      </c>
      <c r="AI235" s="57">
        <f>IFERROR(__xludf.DUMMYFUNCTION("""COMPUTED_VALUE"""),1.190659391414444)</f>
        <v>1.190659391</v>
      </c>
      <c r="AJ235" s="57">
        <f>IFERROR(__xludf.DUMMYFUNCTION("""COMPUTED_VALUE"""),1.0206415692430808)</f>
        <v>1.020641569</v>
      </c>
      <c r="AK235" s="57">
        <f>IFERROR(__xludf.DUMMYFUNCTION("""COMPUTED_VALUE"""),0.946034266731695)</f>
        <v>0.9460342667</v>
      </c>
      <c r="AL235" s="57">
        <f>IFERROR(__xludf.DUMMYFUNCTION("""COMPUTED_VALUE"""),1.1748723994943904)</f>
        <v>1.174872399</v>
      </c>
      <c r="AM235" s="57">
        <f>IFERROR(__xludf.DUMMYFUNCTION("""COMPUTED_VALUE"""),0.9640400461089198)</f>
        <v>0.9640400461</v>
      </c>
      <c r="AN235" s="57">
        <f>IFERROR(__xludf.DUMMYFUNCTION("""COMPUTED_VALUE"""),0.8337005460341815)</f>
        <v>0.833700546</v>
      </c>
      <c r="AO235" s="57">
        <f>IFERROR(__xludf.DUMMYFUNCTION("""COMPUTED_VALUE"""),0.8491179417167884)</f>
        <v>0.8491179417</v>
      </c>
      <c r="AP235" s="35">
        <f>IFERROR(__xludf.DUMMYFUNCTION("""COMPUTED_VALUE"""),1.082612352149864)</f>
        <v>1.082612352</v>
      </c>
      <c r="AQ235" s="57">
        <f>IFERROR(__xludf.DUMMYFUNCTION("""COMPUTED_VALUE"""),0.9029432815057467)</f>
        <v>0.9029432815</v>
      </c>
      <c r="AR235" s="36" t="b">
        <f>IFERROR(__xludf.DUMMYFUNCTION("""COMPUTED_VALUE"""),TRUE)</f>
        <v>1</v>
      </c>
      <c r="AS235" s="57"/>
      <c r="AT235" s="37"/>
      <c r="AU235" s="30"/>
      <c r="AV235" s="30"/>
      <c r="AW235" s="30"/>
      <c r="AX235" s="30"/>
      <c r="AY235" s="30"/>
      <c r="AZ235" s="30"/>
    </row>
    <row r="236">
      <c r="A236" s="30" t="str">
        <f>IFERROR(__xludf.DUMMYFUNCTION("""COMPUTED_VALUE"""),"Elite")</f>
        <v>Elite</v>
      </c>
      <c r="B236" s="30" t="str">
        <f>IFERROR(__xludf.DUMMYFUNCTION("""COMPUTED_VALUE"""),"RSC006783")</f>
        <v>RSC006783</v>
      </c>
      <c r="C236" s="30" t="str">
        <f>IFERROR(__xludf.DUMMYFUNCTION("""COMPUTED_VALUE"""),"ImSouperGreat")</f>
        <v>ImSouperGreat</v>
      </c>
      <c r="D236" s="31" t="str">
        <f>IFERROR(__xludf.DUMMYFUNCTION("""COMPUTED_VALUE"""),"Sloths")</f>
        <v>Sloths</v>
      </c>
      <c r="E236" s="31">
        <f>IFERROR(__xludf.DUMMYFUNCTION("""COMPUTED_VALUE"""),69.63219785827312)</f>
        <v>69.63219786</v>
      </c>
      <c r="F236" s="31">
        <f>IFERROR(__xludf.DUMMYFUNCTION("""COMPUTED_VALUE"""),4.6265797266501485)</f>
        <v>4.626579727</v>
      </c>
      <c r="G236" s="31">
        <f>IFERROR(__xludf.DUMMYFUNCTION("""COMPUTED_VALUE"""),59.64036296654259)</f>
        <v>59.64036297</v>
      </c>
      <c r="H236" s="31">
        <f>IFERROR(__xludf.DUMMYFUNCTION("""COMPUTED_VALUE"""),2.858032199110248)</f>
        <v>2.858032199</v>
      </c>
      <c r="I236" s="54">
        <f>IFERROR(__xludf.DUMMYFUNCTION("""COMPUTED_VALUE"""),36.0)</f>
        <v>36</v>
      </c>
      <c r="J236" s="55">
        <f>IFERROR(__xludf.DUMMYFUNCTION("""COMPUTED_VALUE"""),20.0)</f>
        <v>20</v>
      </c>
      <c r="K236" s="54">
        <f>IFERROR(__xludf.DUMMYFUNCTION("""COMPUTED_VALUE"""),16.0)</f>
        <v>16</v>
      </c>
      <c r="L236" s="56">
        <f>IFERROR(__xludf.DUMMYFUNCTION("""COMPUTED_VALUE"""),0.5555555555555556)</f>
        <v>0.5555555556</v>
      </c>
      <c r="M236" s="56">
        <f>IFERROR(__xludf.DUMMYFUNCTION("""COMPUTED_VALUE"""),0.34285714285714286)</f>
        <v>0.3428571429</v>
      </c>
      <c r="N236" s="31">
        <f>IFERROR(__xludf.DUMMYFUNCTION("""COMPUTED_VALUE"""),419.75)</f>
        <v>419.75</v>
      </c>
      <c r="O236" s="57">
        <f>IFERROR(__xludf.DUMMYFUNCTION("""COMPUTED_VALUE"""),1.0)</f>
        <v>1</v>
      </c>
      <c r="P236" s="57">
        <f>IFERROR(__xludf.DUMMYFUNCTION("""COMPUTED_VALUE"""),0.5277777777777778)</f>
        <v>0.5277777778</v>
      </c>
      <c r="Q236" s="57">
        <f>IFERROR(__xludf.DUMMYFUNCTION("""COMPUTED_VALUE"""),1.8611111111111112)</f>
        <v>1.861111111</v>
      </c>
      <c r="R236" s="57">
        <f>IFERROR(__xludf.DUMMYFUNCTION("""COMPUTED_VALUE"""),2.9166666666666665)</f>
        <v>2.916666667</v>
      </c>
      <c r="S236" s="31">
        <f>IFERROR(__xludf.DUMMYFUNCTION("""COMPUTED_VALUE"""),360.9351851851853)</f>
        <v>360.9351852</v>
      </c>
      <c r="T236" s="57">
        <f>IFERROR(__xludf.DUMMYFUNCTION("""COMPUTED_VALUE"""),0.685185185185185)</f>
        <v>0.6851851852</v>
      </c>
      <c r="U236" s="57">
        <f>IFERROR(__xludf.DUMMYFUNCTION("""COMPUTED_VALUE"""),0.5462962962962964)</f>
        <v>0.5462962963</v>
      </c>
      <c r="V236" s="57">
        <f>IFERROR(__xludf.DUMMYFUNCTION("""COMPUTED_VALUE"""),1.5648148148148149)</f>
        <v>1.564814815</v>
      </c>
      <c r="W236" s="57">
        <f>IFERROR(__xludf.DUMMYFUNCTION("""COMPUTED_VALUE"""),2.611111111111111)</f>
        <v>2.611111111</v>
      </c>
      <c r="X236" s="31">
        <f>IFERROR(__xludf.DUMMYFUNCTION("""COMPUTED_VALUE"""),360.4181224194023)</f>
        <v>360.4181224</v>
      </c>
      <c r="Y236" s="57">
        <f>IFERROR(__xludf.DUMMYFUNCTION("""COMPUTED_VALUE"""),0.7406160470012418)</f>
        <v>0.740616047</v>
      </c>
      <c r="Z236" s="57">
        <f>IFERROR(__xludf.DUMMYFUNCTION("""COMPUTED_VALUE"""),0.5597078584627698)</f>
        <v>0.5597078585</v>
      </c>
      <c r="AA236" s="57">
        <f>IFERROR(__xludf.DUMMYFUNCTION("""COMPUTED_VALUE"""),1.4781881534079468)</f>
        <v>1.478188153</v>
      </c>
      <c r="AB236" s="57">
        <f>IFERROR(__xludf.DUMMYFUNCTION("""COMPUTED_VALUE"""),2.53481197097043)</f>
        <v>2.534811971</v>
      </c>
      <c r="AC236" s="31">
        <f>IFERROR(__xludf.DUMMYFUNCTION("""COMPUTED_VALUE"""),372.2010010490547)</f>
        <v>372.201001</v>
      </c>
      <c r="AD236" s="57">
        <f>IFERROR(__xludf.DUMMYFUNCTION("""COMPUTED_VALUE"""),0.8244855945955659)</f>
        <v>0.8244855946</v>
      </c>
      <c r="AE236" s="57">
        <f>IFERROR(__xludf.DUMMYFUNCTION("""COMPUTED_VALUE"""),0.6064958364779425)</f>
        <v>0.6064958365</v>
      </c>
      <c r="AF236" s="57">
        <f>IFERROR(__xludf.DUMMYFUNCTION("""COMPUTED_VALUE"""),1.442983676061934)</f>
        <v>1.442983676</v>
      </c>
      <c r="AG236" s="57">
        <f>IFERROR(__xludf.DUMMYFUNCTION("""COMPUTED_VALUE"""),2.7763475920960845)</f>
        <v>2.776347592</v>
      </c>
      <c r="AH236" s="57">
        <f>IFERROR(__xludf.DUMMYFUNCTION("""COMPUTED_VALUE"""),1.1277508626170474)</f>
        <v>1.127750863</v>
      </c>
      <c r="AI236" s="57">
        <f>IFERROR(__xludf.DUMMYFUNCTION("""COMPUTED_VALUE"""),1.2128774675445106)</f>
        <v>1.212877468</v>
      </c>
      <c r="AJ236" s="57">
        <f>IFERROR(__xludf.DUMMYFUNCTION("""COMPUTED_VALUE"""),0.8702084104034447)</f>
        <v>0.8702084104</v>
      </c>
      <c r="AK236" s="57">
        <f>IFERROR(__xludf.DUMMYFUNCTION("""COMPUTED_VALUE"""),1.2897658802283158)</f>
        <v>1.28976588</v>
      </c>
      <c r="AL236" s="57">
        <f>IFERROR(__xludf.DUMMYFUNCTION("""COMPUTED_VALUE"""),1.050540888673325)</f>
        <v>1.050540889</v>
      </c>
      <c r="AM236" s="57">
        <f>IFERROR(__xludf.DUMMYFUNCTION("""COMPUTED_VALUE"""),1.0014346192203434)</f>
        <v>1.001434619</v>
      </c>
      <c r="AN236" s="57">
        <f>IFERROR(__xludf.DUMMYFUNCTION("""COMPUTED_VALUE"""),0.9251557375235162)</f>
        <v>0.9251557375</v>
      </c>
      <c r="AO236" s="57">
        <f>IFERROR(__xludf.DUMMYFUNCTION("""COMPUTED_VALUE"""),0.9760382814647125)</f>
        <v>0.9760382815</v>
      </c>
      <c r="AP236" s="35">
        <f>IFERROR(__xludf.DUMMYFUNCTION("""COMPUTED_VALUE"""),1.0586032713137032)</f>
        <v>1.058603271</v>
      </c>
      <c r="AQ236" s="57">
        <f>IFERROR(__xludf.DUMMYFUNCTION("""COMPUTED_VALUE"""),1.0301005127853609)</f>
        <v>1.030100513</v>
      </c>
      <c r="AR236" s="36" t="b">
        <f>IFERROR(__xludf.DUMMYFUNCTION("""COMPUTED_VALUE"""),TRUE)</f>
        <v>1</v>
      </c>
      <c r="AS236" s="57"/>
      <c r="AT236" s="37"/>
      <c r="AU236" s="30"/>
      <c r="AV236" s="30"/>
      <c r="AW236" s="30"/>
      <c r="AX236" s="30"/>
      <c r="AY236" s="30"/>
      <c r="AZ236" s="30"/>
    </row>
    <row r="237">
      <c r="A237" s="30" t="str">
        <f>IFERROR(__xludf.DUMMYFUNCTION("""COMPUTED_VALUE"""),"Elite")</f>
        <v>Elite</v>
      </c>
      <c r="B237" s="30" t="str">
        <f>IFERROR(__xludf.DUMMYFUNCTION("""COMPUTED_VALUE"""),"RSC007868")</f>
        <v>RSC007868</v>
      </c>
      <c r="C237" s="30" t="str">
        <f>IFERROR(__xludf.DUMMYFUNCTION("""COMPUTED_VALUE"""),"JayX")</f>
        <v>JayX</v>
      </c>
      <c r="D237" s="31" t="str">
        <f>IFERROR(__xludf.DUMMYFUNCTION("""COMPUTED_VALUE"""),"Afterburners")</f>
        <v>Afterburners</v>
      </c>
      <c r="E237" s="31">
        <f>IFERROR(__xludf.DUMMYFUNCTION("""COMPUTED_VALUE"""),69.16200113702737)</f>
        <v>69.16200114</v>
      </c>
      <c r="F237" s="31">
        <f>IFERROR(__xludf.DUMMYFUNCTION("""COMPUTED_VALUE"""),4.510694308422793)</f>
        <v>4.510694308</v>
      </c>
      <c r="G237" s="31">
        <f>IFERROR(__xludf.DUMMYFUNCTION("""COMPUTED_VALUE"""),50.4598933382193)</f>
        <v>50.45989334</v>
      </c>
      <c r="H237" s="31">
        <f>IFERROR(__xludf.DUMMYFUNCTION("""COMPUTED_VALUE"""),2.029790924716549)</f>
        <v>2.029790925</v>
      </c>
      <c r="I237" s="54">
        <f>IFERROR(__xludf.DUMMYFUNCTION("""COMPUTED_VALUE"""),37.0)</f>
        <v>37</v>
      </c>
      <c r="J237" s="55">
        <f>IFERROR(__xludf.DUMMYFUNCTION("""COMPUTED_VALUE"""),19.0)</f>
        <v>19</v>
      </c>
      <c r="K237" s="54">
        <f>IFERROR(__xludf.DUMMYFUNCTION("""COMPUTED_VALUE"""),18.0)</f>
        <v>18</v>
      </c>
      <c r="L237" s="56">
        <f>IFERROR(__xludf.DUMMYFUNCTION("""COMPUTED_VALUE"""),0.5135135135135135)</f>
        <v>0.5135135135</v>
      </c>
      <c r="M237" s="56">
        <f>IFERROR(__xludf.DUMMYFUNCTION("""COMPUTED_VALUE"""),0.3513513513513513)</f>
        <v>0.3513513514</v>
      </c>
      <c r="N237" s="31">
        <f>IFERROR(__xludf.DUMMYFUNCTION("""COMPUTED_VALUE"""),377.2972972972973)</f>
        <v>377.2972973</v>
      </c>
      <c r="O237" s="57">
        <f>IFERROR(__xludf.DUMMYFUNCTION("""COMPUTED_VALUE"""),1.054054054054054)</f>
        <v>1.054054054</v>
      </c>
      <c r="P237" s="57">
        <f>IFERROR(__xludf.DUMMYFUNCTION("""COMPUTED_VALUE"""),0.5135135135135135)</f>
        <v>0.5135135135</v>
      </c>
      <c r="Q237" s="57">
        <f>IFERROR(__xludf.DUMMYFUNCTION("""COMPUTED_VALUE"""),1.3243243243243243)</f>
        <v>1.324324324</v>
      </c>
      <c r="R237" s="57">
        <f>IFERROR(__xludf.DUMMYFUNCTION("""COMPUTED_VALUE"""),3.0)</f>
        <v>3</v>
      </c>
      <c r="S237" s="31">
        <f>IFERROR(__xludf.DUMMYFUNCTION("""COMPUTED_VALUE"""),368.036036036036)</f>
        <v>368.036036</v>
      </c>
      <c r="T237" s="57">
        <f>IFERROR(__xludf.DUMMYFUNCTION("""COMPUTED_VALUE"""),0.7657657657657658)</f>
        <v>0.7657657658</v>
      </c>
      <c r="U237" s="57">
        <f>IFERROR(__xludf.DUMMYFUNCTION("""COMPUTED_VALUE"""),0.5675675675675678)</f>
        <v>0.5675675676</v>
      </c>
      <c r="V237" s="57">
        <f>IFERROR(__xludf.DUMMYFUNCTION("""COMPUTED_VALUE"""),1.5765765765765767)</f>
        <v>1.576576577</v>
      </c>
      <c r="W237" s="57">
        <f>IFERROR(__xludf.DUMMYFUNCTION("""COMPUTED_VALUE"""),2.63963963963964)</f>
        <v>2.63963964</v>
      </c>
      <c r="X237" s="31">
        <f>IFERROR(__xludf.DUMMYFUNCTION("""COMPUTED_VALUE"""),358.29836057306244)</f>
        <v>358.2983606</v>
      </c>
      <c r="Y237" s="57">
        <f>IFERROR(__xludf.DUMMYFUNCTION("""COMPUTED_VALUE"""),0.774409342216165)</f>
        <v>0.7744093422</v>
      </c>
      <c r="Z237" s="57">
        <f>IFERROR(__xludf.DUMMYFUNCTION("""COMPUTED_VALUE"""),0.5959977961908208)</f>
        <v>0.5959977962</v>
      </c>
      <c r="AA237" s="57">
        <f>IFERROR(__xludf.DUMMYFUNCTION("""COMPUTED_VALUE"""),1.432841443613107)</f>
        <v>1.432841444</v>
      </c>
      <c r="AB237" s="57">
        <f>IFERROR(__xludf.DUMMYFUNCTION("""COMPUTED_VALUE"""),2.619219199321819)</f>
        <v>2.619219199</v>
      </c>
      <c r="AC237" s="31">
        <f>IFERROR(__xludf.DUMMYFUNCTION("""COMPUTED_VALUE"""),369.48330910982156)</f>
        <v>369.4833091</v>
      </c>
      <c r="AD237" s="57">
        <f>IFERROR(__xludf.DUMMYFUNCTION("""COMPUTED_VALUE"""),0.8396295783962907)</f>
        <v>0.8396295784</v>
      </c>
      <c r="AE237" s="57">
        <f>IFERROR(__xludf.DUMMYFUNCTION("""COMPUTED_VALUE"""),0.6319273900001945)</f>
        <v>0.63192739</v>
      </c>
      <c r="AF237" s="57">
        <f>IFERROR(__xludf.DUMMYFUNCTION("""COMPUTED_VALUE"""),1.433963379392506)</f>
        <v>1.433963379</v>
      </c>
      <c r="AG237" s="57">
        <f>IFERROR(__xludf.DUMMYFUNCTION("""COMPUTED_VALUE"""),2.6953387327648484)</f>
        <v>2.695338733</v>
      </c>
      <c r="AH237" s="57">
        <f>IFERROR(__xludf.DUMMYFUNCTION("""COMPUTED_VALUE"""),1.0211484199551573)</f>
        <v>1.02114842</v>
      </c>
      <c r="AI237" s="57">
        <f>IFERROR(__xludf.DUMMYFUNCTION("""COMPUTED_VALUE"""),1.2553798498467839)</f>
        <v>1.25537985</v>
      </c>
      <c r="AJ237" s="57">
        <f>IFERROR(__xludf.DUMMYFUNCTION("""COMPUTED_VALUE"""),0.8126147428320134)</f>
        <v>0.8126147428</v>
      </c>
      <c r="AK237" s="57">
        <f>IFERROR(__xludf.DUMMYFUNCTION("""COMPUTED_VALUE"""),0.9235412447459922)</f>
        <v>0.9235412447</v>
      </c>
      <c r="AL237" s="57">
        <f>IFERROR(__xludf.DUMMYFUNCTION("""COMPUTED_VALUE"""),1.113032645408035)</f>
        <v>1.113032645</v>
      </c>
      <c r="AM237" s="57">
        <f>IFERROR(__xludf.DUMMYFUNCTION("""COMPUTED_VALUE"""),1.0271775607552296)</f>
        <v>1.027177561</v>
      </c>
      <c r="AN237" s="57">
        <f>IFERROR(__xludf.DUMMYFUNCTION("""COMPUTED_VALUE"""),0.9888384915067483)</f>
        <v>0.9888384915</v>
      </c>
      <c r="AO237" s="57">
        <f>IFERROR(__xludf.DUMMYFUNCTION("""COMPUTED_VALUE"""),0.952298097736337)</f>
        <v>0.9522980977</v>
      </c>
      <c r="AP237" s="35">
        <f>IFERROR(__xludf.DUMMYFUNCTION("""COMPUTED_VALUE"""),1.1003147512267804)</f>
        <v>1.100314751</v>
      </c>
      <c r="AQ237" s="57">
        <f>IFERROR(__xludf.DUMMYFUNCTION("""COMPUTED_VALUE"""),1.007796384633676)</f>
        <v>1.007796385</v>
      </c>
      <c r="AR237" s="36" t="b">
        <f>IFERROR(__xludf.DUMMYFUNCTION("""COMPUTED_VALUE"""),TRUE)</f>
        <v>1</v>
      </c>
      <c r="AS237" s="57"/>
      <c r="AT237" s="37"/>
      <c r="AU237" s="30"/>
      <c r="AV237" s="30"/>
      <c r="AW237" s="30"/>
      <c r="AX237" s="30"/>
      <c r="AY237" s="30"/>
      <c r="AZ237" s="30"/>
    </row>
    <row r="238">
      <c r="A238" s="30" t="str">
        <f>IFERROR(__xludf.DUMMYFUNCTION("""COMPUTED_VALUE"""),"Elite")</f>
        <v>Elite</v>
      </c>
      <c r="B238" s="30" t="str">
        <f>IFERROR(__xludf.DUMMYFUNCTION("""COMPUTED_VALUE"""),"RSC005030")</f>
        <v>RSC005030</v>
      </c>
      <c r="C238" s="30" t="str">
        <f>IFERROR(__xludf.DUMMYFUNCTION("""COMPUTED_VALUE"""),"Joe")</f>
        <v>Joe</v>
      </c>
      <c r="D238" s="31" t="str">
        <f>IFERROR(__xludf.DUMMYFUNCTION("""COMPUTED_VALUE"""),"Fire")</f>
        <v>Fire</v>
      </c>
      <c r="E238" s="31">
        <f>IFERROR(__xludf.DUMMYFUNCTION("""COMPUTED_VALUE"""),67.58686963018982)</f>
        <v>67.58686963</v>
      </c>
      <c r="F238" s="31">
        <f>IFERROR(__xludf.DUMMYFUNCTION("""COMPUTED_VALUE"""),4.1514454343097995)</f>
        <v>4.151445434</v>
      </c>
      <c r="G238" s="31">
        <f>IFERROR(__xludf.DUMMYFUNCTION("""COMPUTED_VALUE"""),53.88681021281221)</f>
        <v>53.88681021</v>
      </c>
      <c r="H238" s="31">
        <f>IFERROR(__xludf.DUMMYFUNCTION("""COMPUTED_VALUE"""),2.281935649986874)</f>
        <v>2.28193565</v>
      </c>
      <c r="I238" s="54">
        <f>IFERROR(__xludf.DUMMYFUNCTION("""COMPUTED_VALUE"""),34.0)</f>
        <v>34</v>
      </c>
      <c r="J238" s="55">
        <f>IFERROR(__xludf.DUMMYFUNCTION("""COMPUTED_VALUE"""),18.0)</f>
        <v>18</v>
      </c>
      <c r="K238" s="54">
        <f>IFERROR(__xludf.DUMMYFUNCTION("""COMPUTED_VALUE"""),16.0)</f>
        <v>16</v>
      </c>
      <c r="L238" s="56">
        <f>IFERROR(__xludf.DUMMYFUNCTION("""COMPUTED_VALUE"""),0.5294117647058824)</f>
        <v>0.5294117647</v>
      </c>
      <c r="M238" s="56">
        <f>IFERROR(__xludf.DUMMYFUNCTION("""COMPUTED_VALUE"""),0.2844036697247706)</f>
        <v>0.2844036697</v>
      </c>
      <c r="N238" s="31">
        <f>IFERROR(__xludf.DUMMYFUNCTION("""COMPUTED_VALUE"""),396.1764705882353)</f>
        <v>396.1764706</v>
      </c>
      <c r="O238" s="57">
        <f>IFERROR(__xludf.DUMMYFUNCTION("""COMPUTED_VALUE"""),0.9117647058823529)</f>
        <v>0.9117647059</v>
      </c>
      <c r="P238" s="57">
        <f>IFERROR(__xludf.DUMMYFUNCTION("""COMPUTED_VALUE"""),0.4117647058823529)</f>
        <v>0.4117647059</v>
      </c>
      <c r="Q238" s="57">
        <f>IFERROR(__xludf.DUMMYFUNCTION("""COMPUTED_VALUE"""),1.8235294117647058)</f>
        <v>1.823529412</v>
      </c>
      <c r="R238" s="57">
        <f>IFERROR(__xludf.DUMMYFUNCTION("""COMPUTED_VALUE"""),3.2058823529411766)</f>
        <v>3.205882353</v>
      </c>
      <c r="S238" s="31">
        <f>IFERROR(__xludf.DUMMYFUNCTION("""COMPUTED_VALUE"""),366.53921568627453)</f>
        <v>366.5392157</v>
      </c>
      <c r="T238" s="57">
        <f>IFERROR(__xludf.DUMMYFUNCTION("""COMPUTED_VALUE"""),0.784313725490196)</f>
        <v>0.7843137255</v>
      </c>
      <c r="U238" s="57">
        <f>IFERROR(__xludf.DUMMYFUNCTION("""COMPUTED_VALUE"""),0.5784313725490197)</f>
        <v>0.5784313725</v>
      </c>
      <c r="V238" s="57">
        <f>IFERROR(__xludf.DUMMYFUNCTION("""COMPUTED_VALUE"""),1.5392156862745094)</f>
        <v>1.539215686</v>
      </c>
      <c r="W238" s="57">
        <f>IFERROR(__xludf.DUMMYFUNCTION("""COMPUTED_VALUE"""),2.6666666666666674)</f>
        <v>2.666666667</v>
      </c>
      <c r="X238" s="31">
        <f>IFERROR(__xludf.DUMMYFUNCTION("""COMPUTED_VALUE"""),367.34181600942094)</f>
        <v>367.341816</v>
      </c>
      <c r="Y238" s="57">
        <f>IFERROR(__xludf.DUMMYFUNCTION("""COMPUTED_VALUE"""),0.7904725198070075)</f>
        <v>0.7904725198</v>
      </c>
      <c r="Z238" s="57">
        <f>IFERROR(__xludf.DUMMYFUNCTION("""COMPUTED_VALUE"""),0.5779947860143425)</f>
        <v>0.577994786</v>
      </c>
      <c r="AA238" s="57">
        <f>IFERROR(__xludf.DUMMYFUNCTION("""COMPUTED_VALUE"""),1.480160975328202)</f>
        <v>1.480160975</v>
      </c>
      <c r="AB238" s="57">
        <f>IFERROR(__xludf.DUMMYFUNCTION("""COMPUTED_VALUE"""),2.6689349913375926)</f>
        <v>2.668934991</v>
      </c>
      <c r="AC238" s="31">
        <f>IFERROR(__xludf.DUMMYFUNCTION("""COMPUTED_VALUE"""),355.58195806956365)</f>
        <v>355.5819581</v>
      </c>
      <c r="AD238" s="57">
        <f>IFERROR(__xludf.DUMMYFUNCTION("""COMPUTED_VALUE"""),0.7342670491591593)</f>
        <v>0.7342670492</v>
      </c>
      <c r="AE238" s="57">
        <f>IFERROR(__xludf.DUMMYFUNCTION("""COMPUTED_VALUE"""),0.542533932980184)</f>
        <v>0.542533933</v>
      </c>
      <c r="AF238" s="57">
        <f>IFERROR(__xludf.DUMMYFUNCTION("""COMPUTED_VALUE"""),1.407882546410362)</f>
        <v>1.407882546</v>
      </c>
      <c r="AG238" s="57">
        <f>IFERROR(__xludf.DUMMYFUNCTION("""COMPUTED_VALUE"""),2.6449980634547305)</f>
        <v>2.644998063</v>
      </c>
      <c r="AH238" s="57">
        <f>IFERROR(__xludf.DUMMYFUNCTION("""COMPUTED_VALUE"""),1.1141635890050698)</f>
        <v>1.114163589</v>
      </c>
      <c r="AI238" s="57">
        <f>IFERROR(__xludf.DUMMYFUNCTION("""COMPUTED_VALUE"""),1.2417344710299254)</f>
        <v>1.241734471</v>
      </c>
      <c r="AJ238" s="57">
        <f>IFERROR(__xludf.DUMMYFUNCTION("""COMPUTED_VALUE"""),0.7589658099733875)</f>
        <v>0.75896581</v>
      </c>
      <c r="AK238" s="57">
        <f>IFERROR(__xludf.DUMMYFUNCTION("""COMPUTED_VALUE"""),1.2952283671774374)</f>
        <v>1.295228367</v>
      </c>
      <c r="AL238" s="57">
        <f>IFERROR(__xludf.DUMMYFUNCTION("""COMPUTED_VALUE"""),1.2120547070472536)</f>
        <v>1.212054707</v>
      </c>
      <c r="AM238" s="57">
        <f>IFERROR(__xludf.DUMMYFUNCTION("""COMPUTED_VALUE"""),0.997815113095848)</f>
        <v>0.9978151131</v>
      </c>
      <c r="AN238" s="57">
        <f>IFERROR(__xludf.DUMMYFUNCTION("""COMPUTED_VALUE"""),0.992208717997793)</f>
        <v>0.992208718</v>
      </c>
      <c r="AO238" s="57">
        <f>IFERROR(__xludf.DUMMYFUNCTION("""COMPUTED_VALUE"""),1.0007553468391777)</f>
        <v>1.000755347</v>
      </c>
      <c r="AP238" s="35">
        <f>IFERROR(__xludf.DUMMYFUNCTION("""COMPUTED_VALUE"""),1.0398974921854112)</f>
        <v>1.039897492</v>
      </c>
      <c r="AQ238" s="57">
        <f>IFERROR(__xludf.DUMMYFUNCTION("""COMPUTED_VALUE"""),0.9991501011908168)</f>
        <v>0.9991501012</v>
      </c>
      <c r="AR238" s="36" t="b">
        <f>IFERROR(__xludf.DUMMYFUNCTION("""COMPUTED_VALUE"""),TRUE)</f>
        <v>1</v>
      </c>
      <c r="AS238" s="57"/>
      <c r="AT238" s="37"/>
      <c r="AU238" s="30"/>
      <c r="AV238" s="30"/>
      <c r="AW238" s="30"/>
      <c r="AX238" s="30"/>
      <c r="AY238" s="30"/>
      <c r="AZ238" s="30"/>
    </row>
    <row r="239">
      <c r="A239" s="30" t="str">
        <f>IFERROR(__xludf.DUMMYFUNCTION("""COMPUTED_VALUE"""),"Elite")</f>
        <v>Elite</v>
      </c>
      <c r="B239" s="30" t="str">
        <f>IFERROR(__xludf.DUMMYFUNCTION("""COMPUTED_VALUE"""),"RSC007975")</f>
        <v>RSC007975</v>
      </c>
      <c r="C239" s="30" t="str">
        <f>IFERROR(__xludf.DUMMYFUNCTION("""COMPUTED_VALUE"""),"egor")</f>
        <v>egor</v>
      </c>
      <c r="D239" s="31"/>
      <c r="E239" s="31">
        <f>IFERROR(__xludf.DUMMYFUNCTION("""COMPUTED_VALUE"""),67.56583456437204)</f>
        <v>67.56583456</v>
      </c>
      <c r="F239" s="31">
        <f>IFERROR(__xludf.DUMMYFUNCTION("""COMPUTED_VALUE"""),4.146931995699567)</f>
        <v>4.146931996</v>
      </c>
      <c r="G239" s="31">
        <f>IFERROR(__xludf.DUMMYFUNCTION("""COMPUTED_VALUE"""),25.823839700970634)</f>
        <v>25.8238397</v>
      </c>
      <c r="H239" s="31">
        <f>IFERROR(__xludf.DUMMYFUNCTION("""COMPUTED_VALUE"""),-5.996626910889693)</f>
        <v>-5.996626911</v>
      </c>
      <c r="I239" s="54">
        <f>IFERROR(__xludf.DUMMYFUNCTION("""COMPUTED_VALUE"""),1.0)</f>
        <v>1</v>
      </c>
      <c r="J239" s="55">
        <f>IFERROR(__xludf.DUMMYFUNCTION("""COMPUTED_VALUE"""),0.0)</f>
        <v>0</v>
      </c>
      <c r="K239" s="54">
        <f>IFERROR(__xludf.DUMMYFUNCTION("""COMPUTED_VALUE"""),1.0)</f>
        <v>1</v>
      </c>
      <c r="L239" s="56">
        <f>IFERROR(__xludf.DUMMYFUNCTION("""COMPUTED_VALUE"""),0.0)</f>
        <v>0</v>
      </c>
      <c r="M239" s="56">
        <f>IFERROR(__xludf.DUMMYFUNCTION("""COMPUTED_VALUE"""),0.3333333333333333)</f>
        <v>0.3333333333</v>
      </c>
      <c r="N239" s="31">
        <f>IFERROR(__xludf.DUMMYFUNCTION("""COMPUTED_VALUE"""),418.0)</f>
        <v>418</v>
      </c>
      <c r="O239" s="57">
        <f>IFERROR(__xludf.DUMMYFUNCTION("""COMPUTED_VALUE"""),1.0)</f>
        <v>1</v>
      </c>
      <c r="P239" s="57">
        <f>IFERROR(__xludf.DUMMYFUNCTION("""COMPUTED_VALUE"""),1.0)</f>
        <v>1</v>
      </c>
      <c r="Q239" s="57">
        <f>IFERROR(__xludf.DUMMYFUNCTION("""COMPUTED_VALUE"""),2.0)</f>
        <v>2</v>
      </c>
      <c r="R239" s="57">
        <f>IFERROR(__xludf.DUMMYFUNCTION("""COMPUTED_VALUE"""),3.0)</f>
        <v>3</v>
      </c>
      <c r="S239" s="31">
        <f>IFERROR(__xludf.DUMMYFUNCTION("""COMPUTED_VALUE"""),488.0)</f>
        <v>488</v>
      </c>
      <c r="T239" s="57">
        <f>IFERROR(__xludf.DUMMYFUNCTION("""COMPUTED_VALUE"""),1.6666666666666667)</f>
        <v>1.666666667</v>
      </c>
      <c r="U239" s="57">
        <f>IFERROR(__xludf.DUMMYFUNCTION("""COMPUTED_VALUE"""),1.0)</f>
        <v>1</v>
      </c>
      <c r="V239" s="57">
        <f>IFERROR(__xludf.DUMMYFUNCTION("""COMPUTED_VALUE"""),1.6666666666666667)</f>
        <v>1.666666667</v>
      </c>
      <c r="W239" s="57">
        <f>IFERROR(__xludf.DUMMYFUNCTION("""COMPUTED_VALUE"""),4.0)</f>
        <v>4</v>
      </c>
      <c r="X239" s="31">
        <f>IFERROR(__xludf.DUMMYFUNCTION("""COMPUTED_VALUE"""),373.7592592592593)</f>
        <v>373.7592593</v>
      </c>
      <c r="Y239" s="57">
        <f>IFERROR(__xludf.DUMMYFUNCTION("""COMPUTED_VALUE"""),0.8148148148148149)</f>
        <v>0.8148148148</v>
      </c>
      <c r="Z239" s="57">
        <f>IFERROR(__xludf.DUMMYFUNCTION("""COMPUTED_VALUE"""),0.5925925925925926)</f>
        <v>0.5925925926</v>
      </c>
      <c r="AA239" s="57">
        <f>IFERROR(__xludf.DUMMYFUNCTION("""COMPUTED_VALUE"""),1.4907407407407407)</f>
        <v>1.490740741</v>
      </c>
      <c r="AB239" s="57">
        <f>IFERROR(__xludf.DUMMYFUNCTION("""COMPUTED_VALUE"""),2.9259259259259256)</f>
        <v>2.925925926</v>
      </c>
      <c r="AC239" s="31">
        <f>IFERROR(__xludf.DUMMYFUNCTION("""COMPUTED_VALUE"""),360.9351851851853)</f>
        <v>360.9351852</v>
      </c>
      <c r="AD239" s="57">
        <f>IFERROR(__xludf.DUMMYFUNCTION("""COMPUTED_VALUE"""),0.685185185185185)</f>
        <v>0.6851851852</v>
      </c>
      <c r="AE239" s="57">
        <f>IFERROR(__xludf.DUMMYFUNCTION("""COMPUTED_VALUE"""),0.5462962962962964)</f>
        <v>0.5462962963</v>
      </c>
      <c r="AF239" s="57">
        <f>IFERROR(__xludf.DUMMYFUNCTION("""COMPUTED_VALUE"""),1.5648148148148149)</f>
        <v>1.564814815</v>
      </c>
      <c r="AG239" s="57">
        <f>IFERROR(__xludf.DUMMYFUNCTION("""COMPUTED_VALUE"""),2.611111111111111)</f>
        <v>2.611111111</v>
      </c>
      <c r="AH239" s="57">
        <f>IFERROR(__xludf.DUMMYFUNCTION("""COMPUTED_VALUE"""),1.1581026654010926)</f>
        <v>1.158102665</v>
      </c>
      <c r="AI239" s="57">
        <f>IFERROR(__xludf.DUMMYFUNCTION("""COMPUTED_VALUE"""),1.4594594594594599)</f>
        <v>1.459459459</v>
      </c>
      <c r="AJ239" s="57">
        <f>IFERROR(__xludf.DUMMYFUNCTION("""COMPUTED_VALUE"""),1.830508474576271)</f>
        <v>1.830508475</v>
      </c>
      <c r="AK239" s="57">
        <f>IFERROR(__xludf.DUMMYFUNCTION("""COMPUTED_VALUE"""),1.2781065088757395)</f>
        <v>1.278106509</v>
      </c>
      <c r="AL239" s="57">
        <f>IFERROR(__xludf.DUMMYFUNCTION("""COMPUTED_VALUE"""),1.1489361702127658)</f>
        <v>1.14893617</v>
      </c>
      <c r="AM239" s="57">
        <f>IFERROR(__xludf.DUMMYFUNCTION("""COMPUTED_VALUE"""),1.3056532725561114)</f>
        <v>1.305653273</v>
      </c>
      <c r="AN239" s="57">
        <f>IFERROR(__xludf.DUMMYFUNCTION("""COMPUTED_VALUE"""),2.0454545454545454)</f>
        <v>2.045454545</v>
      </c>
      <c r="AO239" s="57">
        <f>IFERROR(__xludf.DUMMYFUNCTION("""COMPUTED_VALUE"""),1.6875)</f>
        <v>1.6875</v>
      </c>
      <c r="AP239" s="35">
        <f>IFERROR(__xludf.DUMMYFUNCTION("""COMPUTED_VALUE"""),1.1180124223602486)</f>
        <v>1.118012422</v>
      </c>
      <c r="AQ239" s="57">
        <f>IFERROR(__xludf.DUMMYFUNCTION("""COMPUTED_VALUE"""),1.3670886075949369)</f>
        <v>1.367088608</v>
      </c>
      <c r="AR239" s="36" t="b">
        <f>IFERROR(__xludf.DUMMYFUNCTION("""COMPUTED_VALUE"""),TRUE)</f>
        <v>1</v>
      </c>
      <c r="AS239" s="57"/>
      <c r="AT239" s="37"/>
      <c r="AU239" s="30"/>
      <c r="AV239" s="30"/>
      <c r="AW239" s="30"/>
      <c r="AX239" s="30"/>
      <c r="AY239" s="30"/>
      <c r="AZ239" s="30"/>
    </row>
    <row r="240">
      <c r="A240" s="30" t="str">
        <f>IFERROR(__xludf.DUMMYFUNCTION("""COMPUTED_VALUE"""),"Elite")</f>
        <v>Elite</v>
      </c>
      <c r="B240" s="30" t="str">
        <f>IFERROR(__xludf.DUMMYFUNCTION("""COMPUTED_VALUE"""),"RSC006409")</f>
        <v>RSC006409</v>
      </c>
      <c r="C240" s="30" t="str">
        <f>IFERROR(__xludf.DUMMYFUNCTION("""COMPUTED_VALUE"""),"Reported.")</f>
        <v>Reported.</v>
      </c>
      <c r="D240" s="31" t="str">
        <f>IFERROR(__xludf.DUMMYFUNCTION("""COMPUTED_VALUE"""),"Forge Defenders")</f>
        <v>Forge Defenders</v>
      </c>
      <c r="E240" s="31">
        <f>IFERROR(__xludf.DUMMYFUNCTION("""COMPUTED_VALUE"""),67.52296137206827)</f>
        <v>67.52296137</v>
      </c>
      <c r="F240" s="31">
        <f>IFERROR(__xludf.DUMMYFUNCTION("""COMPUTED_VALUE"""),4.13775490962339)</f>
        <v>4.13775491</v>
      </c>
      <c r="G240" s="31">
        <f>IFERROR(__xludf.DUMMYFUNCTION("""COMPUTED_VALUE"""),57.05406612630219)</f>
        <v>57.05406613</v>
      </c>
      <c r="H240" s="31">
        <f>IFERROR(__xludf.DUMMYFUNCTION("""COMPUTED_VALUE"""),2.571292954291581)</f>
        <v>2.571292954</v>
      </c>
      <c r="I240" s="54">
        <f>IFERROR(__xludf.DUMMYFUNCTION("""COMPUTED_VALUE"""),20.0)</f>
        <v>20</v>
      </c>
      <c r="J240" s="55">
        <f>IFERROR(__xludf.DUMMYFUNCTION("""COMPUTED_VALUE"""),12.0)</f>
        <v>12</v>
      </c>
      <c r="K240" s="54">
        <f>IFERROR(__xludf.DUMMYFUNCTION("""COMPUTED_VALUE"""),8.0)</f>
        <v>8</v>
      </c>
      <c r="L240" s="56">
        <f>IFERROR(__xludf.DUMMYFUNCTION("""COMPUTED_VALUE"""),0.6)</f>
        <v>0.6</v>
      </c>
      <c r="M240" s="56">
        <f>IFERROR(__xludf.DUMMYFUNCTION("""COMPUTED_VALUE"""),0.2631578947368421)</f>
        <v>0.2631578947</v>
      </c>
      <c r="N240" s="31">
        <f>IFERROR(__xludf.DUMMYFUNCTION("""COMPUTED_VALUE"""),367.25)</f>
        <v>367.25</v>
      </c>
      <c r="O240" s="57">
        <f>IFERROR(__xludf.DUMMYFUNCTION("""COMPUTED_VALUE"""),0.75)</f>
        <v>0.75</v>
      </c>
      <c r="P240" s="57">
        <f>IFERROR(__xludf.DUMMYFUNCTION("""COMPUTED_VALUE"""),0.6)</f>
        <v>0.6</v>
      </c>
      <c r="Q240" s="57">
        <f>IFERROR(__xludf.DUMMYFUNCTION("""COMPUTED_VALUE"""),1.45)</f>
        <v>1.45</v>
      </c>
      <c r="R240" s="57">
        <f>IFERROR(__xludf.DUMMYFUNCTION("""COMPUTED_VALUE"""),2.85)</f>
        <v>2.85</v>
      </c>
      <c r="S240" s="31">
        <f>IFERROR(__xludf.DUMMYFUNCTION("""COMPUTED_VALUE"""),344.98333333333323)</f>
        <v>344.9833333</v>
      </c>
      <c r="T240" s="57">
        <f>IFERROR(__xludf.DUMMYFUNCTION("""COMPUTED_VALUE"""),0.6000000000000001)</f>
        <v>0.6</v>
      </c>
      <c r="U240" s="57">
        <f>IFERROR(__xludf.DUMMYFUNCTION("""COMPUTED_VALUE"""),0.45)</f>
        <v>0.45</v>
      </c>
      <c r="V240" s="57">
        <f>IFERROR(__xludf.DUMMYFUNCTION("""COMPUTED_VALUE"""),1.6166666666666667)</f>
        <v>1.616666667</v>
      </c>
      <c r="W240" s="57">
        <f>IFERROR(__xludf.DUMMYFUNCTION("""COMPUTED_VALUE"""),2.3166666666666664)</f>
        <v>2.316666667</v>
      </c>
      <c r="X240" s="31">
        <f>IFERROR(__xludf.DUMMYFUNCTION("""COMPUTED_VALUE"""),371.0456620574965)</f>
        <v>371.0456621</v>
      </c>
      <c r="Y240" s="57">
        <f>IFERROR(__xludf.DUMMYFUNCTION("""COMPUTED_VALUE"""),0.8230501773144967)</f>
        <v>0.8230501773</v>
      </c>
      <c r="Z240" s="57">
        <f>IFERROR(__xludf.DUMMYFUNCTION("""COMPUTED_VALUE"""),0.5708767942816289)</f>
        <v>0.5708767943</v>
      </c>
      <c r="AA240" s="57">
        <f>IFERROR(__xludf.DUMMYFUNCTION("""COMPUTED_VALUE"""),1.4570743647564353)</f>
        <v>1.457074365</v>
      </c>
      <c r="AB240" s="57">
        <f>IFERROR(__xludf.DUMMYFUNCTION("""COMPUTED_VALUE"""),2.7225021291152123)</f>
        <v>2.722502129</v>
      </c>
      <c r="AC240" s="31">
        <f>IFERROR(__xludf.DUMMYFUNCTION("""COMPUTED_VALUE"""),354.0917273971718)</f>
        <v>354.0917274</v>
      </c>
      <c r="AD240" s="57">
        <f>IFERROR(__xludf.DUMMYFUNCTION("""COMPUTED_VALUE"""),0.7016758324876807)</f>
        <v>0.7016758325</v>
      </c>
      <c r="AE240" s="57">
        <f>IFERROR(__xludf.DUMMYFUNCTION("""COMPUTED_VALUE"""),0.5159052285300548)</f>
        <v>0.5159052285</v>
      </c>
      <c r="AF240" s="57">
        <f>IFERROR(__xludf.DUMMYFUNCTION("""COMPUTED_VALUE"""),1.4490225927193445)</f>
        <v>1.449022593</v>
      </c>
      <c r="AG240" s="57">
        <f>IFERROR(__xludf.DUMMYFUNCTION("""COMPUTED_VALUE"""),2.598200967785607)</f>
        <v>2.598200968</v>
      </c>
      <c r="AH240" s="57">
        <f>IFERROR(__xludf.DUMMYFUNCTION("""COMPUTED_VALUE"""),1.0371606326404488)</f>
        <v>1.037160633</v>
      </c>
      <c r="AI240" s="57">
        <f>IFERROR(__xludf.DUMMYFUNCTION("""COMPUTED_VALUE"""),1.0688696478842568)</f>
        <v>1.068869648</v>
      </c>
      <c r="AJ240" s="57">
        <f>IFERROR(__xludf.DUMMYFUNCTION("""COMPUTED_VALUE"""),1.1630043016031308)</f>
        <v>1.163004302</v>
      </c>
      <c r="AK240" s="57">
        <f>IFERROR(__xludf.DUMMYFUNCTION("""COMPUTED_VALUE"""),1.0006745286688878)</f>
        <v>1.000674529</v>
      </c>
      <c r="AL240" s="57">
        <f>IFERROR(__xludf.DUMMYFUNCTION("""COMPUTED_VALUE"""),1.096912839051475)</f>
        <v>1.096912839</v>
      </c>
      <c r="AM240" s="57">
        <f>IFERROR(__xludf.DUMMYFUNCTION("""COMPUTED_VALUE"""),0.9297597805627366)</f>
        <v>0.9297597806</v>
      </c>
      <c r="AN240" s="57">
        <f>IFERROR(__xludf.DUMMYFUNCTION("""COMPUTED_VALUE"""),0.7289956512222867)</f>
        <v>0.7289956512</v>
      </c>
      <c r="AO240" s="57">
        <f>IFERROR(__xludf.DUMMYFUNCTION("""COMPUTED_VALUE"""),0.7882611528574464)</f>
        <v>0.7882611529</v>
      </c>
      <c r="AP240" s="35">
        <f>IFERROR(__xludf.DUMMYFUNCTION("""COMPUTED_VALUE"""),1.1095292771394745)</f>
        <v>1.109529277</v>
      </c>
      <c r="AQ240" s="57">
        <f>IFERROR(__xludf.DUMMYFUNCTION("""COMPUTED_VALUE"""),0.8509329127391946)</f>
        <v>0.8509329127</v>
      </c>
      <c r="AR240" s="36" t="b">
        <f>IFERROR(__xludf.DUMMYFUNCTION("""COMPUTED_VALUE"""),TRUE)</f>
        <v>1</v>
      </c>
      <c r="AS240" s="57"/>
      <c r="AT240" s="37"/>
      <c r="AU240" s="30"/>
      <c r="AV240" s="30"/>
      <c r="AW240" s="30"/>
      <c r="AX240" s="30"/>
      <c r="AY240" s="30"/>
      <c r="AZ240" s="30"/>
    </row>
    <row r="241">
      <c r="A241" s="30" t="str">
        <f>IFERROR(__xludf.DUMMYFUNCTION("""COMPUTED_VALUE"""),"Elite")</f>
        <v>Elite</v>
      </c>
      <c r="B241" s="30" t="str">
        <f>IFERROR(__xludf.DUMMYFUNCTION("""COMPUTED_VALUE"""),"RSC001292")</f>
        <v>RSC001292</v>
      </c>
      <c r="C241" s="30" t="str">
        <f>IFERROR(__xludf.DUMMYFUNCTION("""COMPUTED_VALUE"""),"flamethrowr")</f>
        <v>flamethrowr</v>
      </c>
      <c r="D241" s="31" t="str">
        <f>IFERROR(__xludf.DUMMYFUNCTION("""COMPUTED_VALUE"""),"Black-Holes")</f>
        <v>Black-Holes</v>
      </c>
      <c r="E241" s="31">
        <f>IFERROR(__xludf.DUMMYFUNCTION("""COMPUTED_VALUE"""),67.20980311458221)</f>
        <v>67.20980311</v>
      </c>
      <c r="F241" s="31">
        <f>IFERROR(__xludf.DUMMYFUNCTION("""COMPUTED_VALUE"""),4.071612482245041)</f>
        <v>4.071612482</v>
      </c>
      <c r="G241" s="31">
        <f>IFERROR(__xludf.DUMMYFUNCTION("""COMPUTED_VALUE"""),56.80546284247575)</f>
        <v>56.80546284</v>
      </c>
      <c r="H241" s="31">
        <f>IFERROR(__xludf.DUMMYFUNCTION("""COMPUTED_VALUE"""),2.5462980408700924)</f>
        <v>2.546298041</v>
      </c>
      <c r="I241" s="54">
        <f>IFERROR(__xludf.DUMMYFUNCTION("""COMPUTED_VALUE"""),11.0)</f>
        <v>11</v>
      </c>
      <c r="J241" s="55">
        <f>IFERROR(__xludf.DUMMYFUNCTION("""COMPUTED_VALUE"""),7.0)</f>
        <v>7</v>
      </c>
      <c r="K241" s="54">
        <f>IFERROR(__xludf.DUMMYFUNCTION("""COMPUTED_VALUE"""),4.0)</f>
        <v>4</v>
      </c>
      <c r="L241" s="56">
        <f>IFERROR(__xludf.DUMMYFUNCTION("""COMPUTED_VALUE"""),0.6363636363636364)</f>
        <v>0.6363636364</v>
      </c>
      <c r="M241" s="56">
        <f>IFERROR(__xludf.DUMMYFUNCTION("""COMPUTED_VALUE"""),0.34375)</f>
        <v>0.34375</v>
      </c>
      <c r="N241" s="31">
        <f>IFERROR(__xludf.DUMMYFUNCTION("""COMPUTED_VALUE"""),389.6363636363636)</f>
        <v>389.6363636</v>
      </c>
      <c r="O241" s="57">
        <f>IFERROR(__xludf.DUMMYFUNCTION("""COMPUTED_VALUE"""),1.0)</f>
        <v>1</v>
      </c>
      <c r="P241" s="57">
        <f>IFERROR(__xludf.DUMMYFUNCTION("""COMPUTED_VALUE"""),0.9090909090909091)</f>
        <v>0.9090909091</v>
      </c>
      <c r="Q241" s="57">
        <f>IFERROR(__xludf.DUMMYFUNCTION("""COMPUTED_VALUE"""),1.3636363636363635)</f>
        <v>1.363636364</v>
      </c>
      <c r="R241" s="57">
        <f>IFERROR(__xludf.DUMMYFUNCTION("""COMPUTED_VALUE"""),2.909090909090909)</f>
        <v>2.909090909</v>
      </c>
      <c r="S241" s="31">
        <f>IFERROR(__xludf.DUMMYFUNCTION("""COMPUTED_VALUE"""),375.30303030303037)</f>
        <v>375.3030303</v>
      </c>
      <c r="T241" s="57">
        <f>IFERROR(__xludf.DUMMYFUNCTION("""COMPUTED_VALUE"""),0.8181818181818182)</f>
        <v>0.8181818182</v>
      </c>
      <c r="U241" s="57">
        <f>IFERROR(__xludf.DUMMYFUNCTION("""COMPUTED_VALUE"""),0.5151515151515151)</f>
        <v>0.5151515152</v>
      </c>
      <c r="V241" s="57">
        <f>IFERROR(__xludf.DUMMYFUNCTION("""COMPUTED_VALUE"""),1.5454545454545454)</f>
        <v>1.545454545</v>
      </c>
      <c r="W241" s="57">
        <f>IFERROR(__xludf.DUMMYFUNCTION("""COMPUTED_VALUE"""),2.5454545454545454)</f>
        <v>2.545454545</v>
      </c>
      <c r="X241" s="31">
        <f>IFERROR(__xludf.DUMMYFUNCTION("""COMPUTED_VALUE"""),341.68478739335546)</f>
        <v>341.6847874</v>
      </c>
      <c r="Y241" s="57">
        <f>IFERROR(__xludf.DUMMYFUNCTION("""COMPUTED_VALUE"""),0.6486955528924322)</f>
        <v>0.6486955529</v>
      </c>
      <c r="Z241" s="57">
        <f>IFERROR(__xludf.DUMMYFUNCTION("""COMPUTED_VALUE"""),0.42575812426244125)</f>
        <v>0.4257581243</v>
      </c>
      <c r="AA241" s="57">
        <f>IFERROR(__xludf.DUMMYFUNCTION("""COMPUTED_VALUE"""),1.5137815103840564)</f>
        <v>1.51378151</v>
      </c>
      <c r="AB241" s="57">
        <f>IFERROR(__xludf.DUMMYFUNCTION("""COMPUTED_VALUE"""),2.4209631189763225)</f>
        <v>2.420963119</v>
      </c>
      <c r="AC241" s="31">
        <f>IFERROR(__xludf.DUMMYFUNCTION("""COMPUTED_VALUE"""),383.53322272008097)</f>
        <v>383.5332227</v>
      </c>
      <c r="AD241" s="57">
        <f>IFERROR(__xludf.DUMMYFUNCTION("""COMPUTED_VALUE"""),0.9282292967317448)</f>
        <v>0.9282292967</v>
      </c>
      <c r="AE241" s="57">
        <f>IFERROR(__xludf.DUMMYFUNCTION("""COMPUTED_VALUE"""),0.7184733324982615)</f>
        <v>0.7184733325</v>
      </c>
      <c r="AF241" s="57">
        <f>IFERROR(__xludf.DUMMYFUNCTION("""COMPUTED_VALUE"""),1.3319948945830669)</f>
        <v>1.331994895</v>
      </c>
      <c r="AG241" s="57">
        <f>IFERROR(__xludf.DUMMYFUNCTION("""COMPUTED_VALUE"""),2.986079368535662)</f>
        <v>2.986079369</v>
      </c>
      <c r="AH241" s="57">
        <f>IFERROR(__xludf.DUMMYFUNCTION("""COMPUTED_VALUE"""),1.0159129393615451)</f>
        <v>1.015912939</v>
      </c>
      <c r="AI241" s="57">
        <f>IFERROR(__xludf.DUMMYFUNCTION("""COMPUTED_VALUE"""),1.077320015130913)</f>
        <v>1.077320015</v>
      </c>
      <c r="AJ241" s="57">
        <f>IFERROR(__xludf.DUMMYFUNCTION("""COMPUTED_VALUE"""),1.265309188205825)</f>
        <v>1.265309188</v>
      </c>
      <c r="AK241" s="57">
        <f>IFERROR(__xludf.DUMMYFUNCTION("""COMPUTED_VALUE"""),1.0237549476968535)</f>
        <v>1.023754948</v>
      </c>
      <c r="AL241" s="57">
        <f>IFERROR(__xludf.DUMMYFUNCTION("""COMPUTED_VALUE"""),0.9742175441630987)</f>
        <v>0.9742175442</v>
      </c>
      <c r="AM241" s="57">
        <f>IFERROR(__xludf.DUMMYFUNCTION("""COMPUTED_VALUE"""),1.098389639076828)</f>
        <v>1.098389639</v>
      </c>
      <c r="AN241" s="57">
        <f>IFERROR(__xludf.DUMMYFUNCTION("""COMPUTED_VALUE"""),1.2612724328595644)</f>
        <v>1.261272433</v>
      </c>
      <c r="AO241" s="57">
        <f>IFERROR(__xludf.DUMMYFUNCTION("""COMPUTED_VALUE"""),1.2099628540123193)</f>
        <v>1.209962854</v>
      </c>
      <c r="AP241" s="35">
        <f>IFERROR(__xludf.DUMMYFUNCTION("""COMPUTED_VALUE"""),1.020923121899179)</f>
        <v>1.020923122</v>
      </c>
      <c r="AQ241" s="57">
        <f>IFERROR(__xludf.DUMMYFUNCTION("""COMPUTED_VALUE"""),1.0514222730211862)</f>
        <v>1.051422273</v>
      </c>
      <c r="AR241" s="36" t="b">
        <f>IFERROR(__xludf.DUMMYFUNCTION("""COMPUTED_VALUE"""),TRUE)</f>
        <v>1</v>
      </c>
      <c r="AS241" s="57"/>
      <c r="AT241" s="37"/>
      <c r="AU241" s="30"/>
      <c r="AV241" s="30"/>
      <c r="AW241" s="30"/>
      <c r="AX241" s="30"/>
      <c r="AY241" s="30"/>
      <c r="AZ241" s="30"/>
    </row>
    <row r="242">
      <c r="A242" s="30" t="str">
        <f>IFERROR(__xludf.DUMMYFUNCTION("""COMPUTED_VALUE"""),"Elite")</f>
        <v>Elite</v>
      </c>
      <c r="B242" s="30" t="str">
        <f>IFERROR(__xludf.DUMMYFUNCTION("""COMPUTED_VALUE"""),"RSC006703")</f>
        <v>RSC006703</v>
      </c>
      <c r="C242" s="30" t="str">
        <f>IFERROR(__xludf.DUMMYFUNCTION("""COMPUTED_VALUE"""),"cav")</f>
        <v>cav</v>
      </c>
      <c r="D242" s="31" t="str">
        <f>IFERROR(__xludf.DUMMYFUNCTION("""COMPUTED_VALUE"""),"Praetorian Guard")</f>
        <v>Praetorian Guard</v>
      </c>
      <c r="E242" s="31">
        <f>IFERROR(__xludf.DUMMYFUNCTION("""COMPUTED_VALUE"""),67.15194537935508)</f>
        <v>67.15194538</v>
      </c>
      <c r="F242" s="31">
        <f>IFERROR(__xludf.DUMMYFUNCTION("""COMPUTED_VALUE"""),4.0595615645323315)</f>
        <v>4.059561565</v>
      </c>
      <c r="G242" s="31">
        <f>IFERROR(__xludf.DUMMYFUNCTION("""COMPUTED_VALUE"""),58.0226766170405)</f>
        <v>58.02267662</v>
      </c>
      <c r="H242" s="31">
        <f>IFERROR(__xludf.DUMMYFUNCTION("""COMPUTED_VALUE"""),2.672793350410484)</f>
        <v>2.67279335</v>
      </c>
      <c r="I242" s="54">
        <f>IFERROR(__xludf.DUMMYFUNCTION("""COMPUTED_VALUE"""),24.0)</f>
        <v>24</v>
      </c>
      <c r="J242" s="55">
        <f>IFERROR(__xludf.DUMMYFUNCTION("""COMPUTED_VALUE"""),17.0)</f>
        <v>17</v>
      </c>
      <c r="K242" s="54">
        <f>IFERROR(__xludf.DUMMYFUNCTION("""COMPUTED_VALUE"""),7.0)</f>
        <v>7</v>
      </c>
      <c r="L242" s="56">
        <f>IFERROR(__xludf.DUMMYFUNCTION("""COMPUTED_VALUE"""),0.7083333333333334)</f>
        <v>0.7083333333</v>
      </c>
      <c r="M242" s="56">
        <f>IFERROR(__xludf.DUMMYFUNCTION("""COMPUTED_VALUE"""),0.323943661971831)</f>
        <v>0.323943662</v>
      </c>
      <c r="N242" s="31">
        <f>IFERROR(__xludf.DUMMYFUNCTION("""COMPUTED_VALUE"""),405.4583333333333)</f>
        <v>405.4583333</v>
      </c>
      <c r="O242" s="57">
        <f>IFERROR(__xludf.DUMMYFUNCTION("""COMPUTED_VALUE"""),0.9583333333333334)</f>
        <v>0.9583333333</v>
      </c>
      <c r="P242" s="57">
        <f>IFERROR(__xludf.DUMMYFUNCTION("""COMPUTED_VALUE"""),0.5)</f>
        <v>0.5</v>
      </c>
      <c r="Q242" s="57">
        <f>IFERROR(__xludf.DUMMYFUNCTION("""COMPUTED_VALUE"""),1.6666666666666667)</f>
        <v>1.666666667</v>
      </c>
      <c r="R242" s="57">
        <f>IFERROR(__xludf.DUMMYFUNCTION("""COMPUTED_VALUE"""),2.9583333333333335)</f>
        <v>2.958333333</v>
      </c>
      <c r="S242" s="31">
        <f>IFERROR(__xludf.DUMMYFUNCTION("""COMPUTED_VALUE"""),355.8194444444444)</f>
        <v>355.8194444</v>
      </c>
      <c r="T242" s="57">
        <f>IFERROR(__xludf.DUMMYFUNCTION("""COMPUTED_VALUE"""),0.6944444444444445)</f>
        <v>0.6944444444</v>
      </c>
      <c r="U242" s="57">
        <f>IFERROR(__xludf.DUMMYFUNCTION("""COMPUTED_VALUE"""),0.5277777777777778)</f>
        <v>0.5277777778</v>
      </c>
      <c r="V242" s="57">
        <f>IFERROR(__xludf.DUMMYFUNCTION("""COMPUTED_VALUE"""),1.375)</f>
        <v>1.375</v>
      </c>
      <c r="W242" s="57">
        <f>IFERROR(__xludf.DUMMYFUNCTION("""COMPUTED_VALUE"""),2.625)</f>
        <v>2.625</v>
      </c>
      <c r="X242" s="31">
        <f>IFERROR(__xludf.DUMMYFUNCTION("""COMPUTED_VALUE"""),365.7767603139541)</f>
        <v>365.7767603</v>
      </c>
      <c r="Y242" s="57">
        <f>IFERROR(__xludf.DUMMYFUNCTION("""COMPUTED_VALUE"""),0.7477622039630184)</f>
        <v>0.747762204</v>
      </c>
      <c r="Z242" s="57">
        <f>IFERROR(__xludf.DUMMYFUNCTION("""COMPUTED_VALUE"""),0.5550260284730248)</f>
        <v>0.5550260285</v>
      </c>
      <c r="AA242" s="57">
        <f>IFERROR(__xludf.DUMMYFUNCTION("""COMPUTED_VALUE"""),1.5101991566488222)</f>
        <v>1.510199157</v>
      </c>
      <c r="AB242" s="57">
        <f>IFERROR(__xludf.DUMMYFUNCTION("""COMPUTED_VALUE"""),2.6478366809883673)</f>
        <v>2.647836681</v>
      </c>
      <c r="AC242" s="31">
        <f>IFERROR(__xludf.DUMMYFUNCTION("""COMPUTED_VALUE"""),374.4118427673802)</f>
        <v>374.4118428</v>
      </c>
      <c r="AD242" s="57">
        <f>IFERROR(__xludf.DUMMYFUNCTION("""COMPUTED_VALUE"""),0.8211060094758666)</f>
        <v>0.8211060095</v>
      </c>
      <c r="AE242" s="57">
        <f>IFERROR(__xludf.DUMMYFUNCTION("""COMPUTED_VALUE"""),0.6162087957350538)</f>
        <v>0.6162087957</v>
      </c>
      <c r="AF242" s="57">
        <f>IFERROR(__xludf.DUMMYFUNCTION("""COMPUTED_VALUE"""),1.4293743704062)</f>
        <v>1.42937437</v>
      </c>
      <c r="AG242" s="57">
        <f>IFERROR(__xludf.DUMMYFUNCTION("""COMPUTED_VALUE"""),2.7957110614763128)</f>
        <v>2.795711061</v>
      </c>
      <c r="AH242" s="57">
        <f>IFERROR(__xludf.DUMMYFUNCTION("""COMPUTED_VALUE"""),1.082920695927992)</f>
        <v>1.082920696</v>
      </c>
      <c r="AI242" s="57">
        <f>IFERROR(__xludf.DUMMYFUNCTION("""COMPUTED_VALUE"""),1.1671249781073487)</f>
        <v>1.167124978</v>
      </c>
      <c r="AJ242" s="57">
        <f>IFERROR(__xludf.DUMMYFUNCTION("""COMPUTED_VALUE"""),0.8114132798178701)</f>
        <v>0.8114132798</v>
      </c>
      <c r="AK242" s="57">
        <f>IFERROR(__xludf.DUMMYFUNCTION("""COMPUTED_VALUE"""),1.1660112991903113)</f>
        <v>1.166011299</v>
      </c>
      <c r="AL242" s="57">
        <f>IFERROR(__xludf.DUMMYFUNCTION("""COMPUTED_VALUE"""),1.0581684831804994)</f>
        <v>1.058168483</v>
      </c>
      <c r="AM242" s="57">
        <f>IFERROR(__xludf.DUMMYFUNCTION("""COMPUTED_VALUE"""),0.9727776147917021)</f>
        <v>0.9727776148</v>
      </c>
      <c r="AN242" s="57">
        <f>IFERROR(__xludf.DUMMYFUNCTION("""COMPUTED_VALUE"""),0.9286969049304734)</f>
        <v>0.9286969049</v>
      </c>
      <c r="AO242" s="57">
        <f>IFERROR(__xludf.DUMMYFUNCTION("""COMPUTED_VALUE"""),0.9509063552024545)</f>
        <v>0.9509063552</v>
      </c>
      <c r="AP242" s="35">
        <f>IFERROR(__xludf.DUMMYFUNCTION("""COMPUTED_VALUE"""),0.9104759421606132)</f>
        <v>0.9104759422</v>
      </c>
      <c r="AQ242" s="57">
        <f>IFERROR(__xludf.DUMMYFUNCTION("""COMPUTED_VALUE"""),0.991375343822247)</f>
        <v>0.9913753438</v>
      </c>
      <c r="AR242" s="36" t="b">
        <f>IFERROR(__xludf.DUMMYFUNCTION("""COMPUTED_VALUE"""),TRUE)</f>
        <v>1</v>
      </c>
      <c r="AS242" s="57"/>
      <c r="AT242" s="37"/>
      <c r="AU242" s="30"/>
      <c r="AV242" s="30"/>
      <c r="AW242" s="30"/>
      <c r="AX242" s="30"/>
      <c r="AY242" s="30"/>
      <c r="AZ242" s="30"/>
    </row>
    <row r="243">
      <c r="A243" s="30" t="str">
        <f>IFERROR(__xludf.DUMMYFUNCTION("""COMPUTED_VALUE"""),"Elite")</f>
        <v>Elite</v>
      </c>
      <c r="B243" s="30" t="str">
        <f>IFERROR(__xludf.DUMMYFUNCTION("""COMPUTED_VALUE"""),"RSC006197")</f>
        <v>RSC006197</v>
      </c>
      <c r="C243" s="30" t="str">
        <f>IFERROR(__xludf.DUMMYFUNCTION("""COMPUTED_VALUE"""),"Bullet")</f>
        <v>Bullet</v>
      </c>
      <c r="D243" s="31"/>
      <c r="E243" s="31">
        <f>IFERROR(__xludf.DUMMYFUNCTION("""COMPUTED_VALUE"""),66.69716951613742)</f>
        <v>66.69716952</v>
      </c>
      <c r="F243" s="31">
        <f>IFERROR(__xludf.DUMMYFUNCTION("""COMPUTED_VALUE"""),3.9666337378028804)</f>
        <v>3.966633738</v>
      </c>
      <c r="G243" s="31">
        <f>IFERROR(__xludf.DUMMYFUNCTION("""COMPUTED_VALUE"""),57.32959432939934)</f>
        <v>57.32959433</v>
      </c>
      <c r="H243" s="31">
        <f>IFERROR(__xludf.DUMMYFUNCTION("""COMPUTED_VALUE"""),2.5994899995748417)</f>
        <v>2.59949</v>
      </c>
      <c r="I243" s="54">
        <f>IFERROR(__xludf.DUMMYFUNCTION("""COMPUTED_VALUE"""),11.0)</f>
        <v>11</v>
      </c>
      <c r="J243" s="55">
        <f>IFERROR(__xludf.DUMMYFUNCTION("""COMPUTED_VALUE"""),4.0)</f>
        <v>4</v>
      </c>
      <c r="K243" s="54">
        <f>IFERROR(__xludf.DUMMYFUNCTION("""COMPUTED_VALUE"""),7.0)</f>
        <v>7</v>
      </c>
      <c r="L243" s="56">
        <f>IFERROR(__xludf.DUMMYFUNCTION("""COMPUTED_VALUE"""),0.36363636363636365)</f>
        <v>0.3636363636</v>
      </c>
      <c r="M243" s="56">
        <f>IFERROR(__xludf.DUMMYFUNCTION("""COMPUTED_VALUE"""),0.2631578947368421)</f>
        <v>0.2631578947</v>
      </c>
      <c r="N243" s="31">
        <f>IFERROR(__xludf.DUMMYFUNCTION("""COMPUTED_VALUE"""),371.7142857142857)</f>
        <v>371.7142857</v>
      </c>
      <c r="O243" s="57">
        <f>IFERROR(__xludf.DUMMYFUNCTION("""COMPUTED_VALUE"""),0.7142857142857143)</f>
        <v>0.7142857143</v>
      </c>
      <c r="P243" s="57">
        <f>IFERROR(__xludf.DUMMYFUNCTION("""COMPUTED_VALUE"""),1.0)</f>
        <v>1</v>
      </c>
      <c r="Q243" s="57">
        <f>IFERROR(__xludf.DUMMYFUNCTION("""COMPUTED_VALUE"""),1.2857142857142858)</f>
        <v>1.285714286</v>
      </c>
      <c r="R243" s="57">
        <f>IFERROR(__xludf.DUMMYFUNCTION("""COMPUTED_VALUE"""),2.7142857142857144)</f>
        <v>2.714285714</v>
      </c>
      <c r="S243" s="31">
        <f>IFERROR(__xludf.DUMMYFUNCTION("""COMPUTED_VALUE"""),393.047619047619)</f>
        <v>393.047619</v>
      </c>
      <c r="T243" s="57">
        <f>IFERROR(__xludf.DUMMYFUNCTION("""COMPUTED_VALUE"""),1.0)</f>
        <v>1</v>
      </c>
      <c r="U243" s="57">
        <f>IFERROR(__xludf.DUMMYFUNCTION("""COMPUTED_VALUE"""),0.6666666666666666)</f>
        <v>0.6666666667</v>
      </c>
      <c r="V243" s="57">
        <f>IFERROR(__xludf.DUMMYFUNCTION("""COMPUTED_VALUE"""),1.2857142857142854)</f>
        <v>1.285714286</v>
      </c>
      <c r="W243" s="57">
        <f>IFERROR(__xludf.DUMMYFUNCTION("""COMPUTED_VALUE"""),2.9523809523809526)</f>
        <v>2.952380952</v>
      </c>
      <c r="X243" s="31">
        <f>IFERROR(__xludf.DUMMYFUNCTION("""COMPUTED_VALUE"""),378.56112889251835)</f>
        <v>378.5611289</v>
      </c>
      <c r="Y243" s="57">
        <f>IFERROR(__xludf.DUMMYFUNCTION("""COMPUTED_VALUE"""),0.8507032802671748)</f>
        <v>0.8507032803</v>
      </c>
      <c r="Z243" s="57">
        <f>IFERROR(__xludf.DUMMYFUNCTION("""COMPUTED_VALUE"""),0.6148073754057527)</f>
        <v>0.6148073754</v>
      </c>
      <c r="AA243" s="57">
        <f>IFERROR(__xludf.DUMMYFUNCTION("""COMPUTED_VALUE"""),1.3910555131143365)</f>
        <v>1.391055513</v>
      </c>
      <c r="AB243" s="57">
        <f>IFERROR(__xludf.DUMMYFUNCTION("""COMPUTED_VALUE"""),2.9433213619826195)</f>
        <v>2.943321362</v>
      </c>
      <c r="AC243" s="31">
        <f>IFERROR(__xludf.DUMMYFUNCTION("""COMPUTED_VALUE"""),362.6658744793633)</f>
        <v>362.6658745</v>
      </c>
      <c r="AD243" s="57">
        <f>IFERROR(__xludf.DUMMYFUNCTION("""COMPUTED_VALUE"""),0.7356382330013161)</f>
        <v>0.735638233</v>
      </c>
      <c r="AE243" s="57">
        <f>IFERROR(__xludf.DUMMYFUNCTION("""COMPUTED_VALUE"""),0.5367588275296186)</f>
        <v>0.5367588275</v>
      </c>
      <c r="AF243" s="57">
        <f>IFERROR(__xludf.DUMMYFUNCTION("""COMPUTED_VALUE"""),1.5793068324508488)</f>
        <v>1.579306832</v>
      </c>
      <c r="AG243" s="57">
        <f>IFERROR(__xludf.DUMMYFUNCTION("""COMPUTED_VALUE"""),2.5029482012240645)</f>
        <v>2.502948201</v>
      </c>
      <c r="AH243" s="57">
        <f>IFERROR(__xludf.DUMMYFUNCTION("""COMPUTED_VALUE"""),1.024949717830254)</f>
        <v>1.024949718</v>
      </c>
      <c r="AI243" s="57">
        <f>IFERROR(__xludf.DUMMYFUNCTION("""COMPUTED_VALUE"""),0.9709741585500714)</f>
        <v>0.9709741586</v>
      </c>
      <c r="AJ243" s="57">
        <f>IFERROR(__xludf.DUMMYFUNCTION("""COMPUTED_VALUE"""),1.863034101558059)</f>
        <v>1.863034102</v>
      </c>
      <c r="AK243" s="57">
        <f>IFERROR(__xludf.DUMMYFUNCTION("""COMPUTED_VALUE"""),0.8141003757446227)</f>
        <v>0.8141003757</v>
      </c>
      <c r="AL243" s="57">
        <f>IFERROR(__xludf.DUMMYFUNCTION("""COMPUTED_VALUE"""),1.0844354321668725)</f>
        <v>1.084435432</v>
      </c>
      <c r="AM243" s="57">
        <f>IFERROR(__xludf.DUMMYFUNCTION("""COMPUTED_VALUE"""),1.038267241535022)</f>
        <v>1.038267242</v>
      </c>
      <c r="AN243" s="57">
        <f>IFERROR(__xludf.DUMMYFUNCTION("""COMPUTED_VALUE"""),1.1754979946544188)</f>
        <v>1.175497995</v>
      </c>
      <c r="AO243" s="57">
        <f>IFERROR(__xludf.DUMMYFUNCTION("""COMPUTED_VALUE"""),1.0843504703024887)</f>
        <v>1.08435047</v>
      </c>
      <c r="AP243" s="35">
        <f>IFERROR(__xludf.DUMMYFUNCTION("""COMPUTED_VALUE"""),0.9242724489375624)</f>
        <v>0.9242724489</v>
      </c>
      <c r="AQ243" s="57">
        <f>IFERROR(__xludf.DUMMYFUNCTION("""COMPUTED_VALUE"""),1.003078016051985)</f>
        <v>1.003078016</v>
      </c>
      <c r="AR243" s="36" t="b">
        <f>IFERROR(__xludf.DUMMYFUNCTION("""COMPUTED_VALUE"""),TRUE)</f>
        <v>1</v>
      </c>
      <c r="AS243" s="57"/>
      <c r="AT243" s="37"/>
      <c r="AU243" s="30"/>
      <c r="AV243" s="30"/>
      <c r="AW243" s="30"/>
      <c r="AX243" s="30"/>
      <c r="AY243" s="30"/>
      <c r="AZ243" s="30"/>
    </row>
    <row r="244">
      <c r="A244" s="30" t="str">
        <f>IFERROR(__xludf.DUMMYFUNCTION("""COMPUTED_VALUE"""),"Elite")</f>
        <v>Elite</v>
      </c>
      <c r="B244" s="30" t="str">
        <f>IFERROR(__xludf.DUMMYFUNCTION("""COMPUTED_VALUE"""),"RSC000623")</f>
        <v>RSC000623</v>
      </c>
      <c r="C244" s="30" t="str">
        <f>IFERROR(__xludf.DUMMYFUNCTION("""COMPUTED_VALUE"""),"wall2wall3")</f>
        <v>wall2wall3</v>
      </c>
      <c r="D244" s="31" t="str">
        <f>IFERROR(__xludf.DUMMYFUNCTION("""COMPUTED_VALUE"""),"Cyclones")</f>
        <v>Cyclones</v>
      </c>
      <c r="E244" s="31">
        <f>IFERROR(__xludf.DUMMYFUNCTION("""COMPUTED_VALUE"""),65.65483329229023)</f>
        <v>65.65483329</v>
      </c>
      <c r="F244" s="31">
        <f>IFERROR(__xludf.DUMMYFUNCTION("""COMPUTED_VALUE"""),3.765144300966526)</f>
        <v>3.765144301</v>
      </c>
      <c r="G244" s="31">
        <f>IFERROR(__xludf.DUMMYFUNCTION("""COMPUTED_VALUE"""),58.05461929498648)</f>
        <v>58.05461929</v>
      </c>
      <c r="H244" s="31">
        <f>IFERROR(__xludf.DUMMYFUNCTION("""COMPUTED_VALUE"""),2.676255797276205)</f>
        <v>2.676255797</v>
      </c>
      <c r="I244" s="54">
        <f>IFERROR(__xludf.DUMMYFUNCTION("""COMPUTED_VALUE"""),36.0)</f>
        <v>36</v>
      </c>
      <c r="J244" s="55">
        <f>IFERROR(__xludf.DUMMYFUNCTION("""COMPUTED_VALUE"""),18.0)</f>
        <v>18</v>
      </c>
      <c r="K244" s="54">
        <f>IFERROR(__xludf.DUMMYFUNCTION("""COMPUTED_VALUE"""),18.0)</f>
        <v>18</v>
      </c>
      <c r="L244" s="56">
        <f>IFERROR(__xludf.DUMMYFUNCTION("""COMPUTED_VALUE"""),0.5)</f>
        <v>0.5</v>
      </c>
      <c r="M244" s="56">
        <f>IFERROR(__xludf.DUMMYFUNCTION("""COMPUTED_VALUE"""),0.3364485981308411)</f>
        <v>0.3364485981</v>
      </c>
      <c r="N244" s="31">
        <f>IFERROR(__xludf.DUMMYFUNCTION("""COMPUTED_VALUE"""),401.9166666666667)</f>
        <v>401.9166667</v>
      </c>
      <c r="O244" s="57">
        <f>IFERROR(__xludf.DUMMYFUNCTION("""COMPUTED_VALUE"""),1.0)</f>
        <v>1</v>
      </c>
      <c r="P244" s="57">
        <f>IFERROR(__xludf.DUMMYFUNCTION("""COMPUTED_VALUE"""),0.4722222222222222)</f>
        <v>0.4722222222</v>
      </c>
      <c r="Q244" s="57">
        <f>IFERROR(__xludf.DUMMYFUNCTION("""COMPUTED_VALUE"""),1.6666666666666667)</f>
        <v>1.666666667</v>
      </c>
      <c r="R244" s="57">
        <f>IFERROR(__xludf.DUMMYFUNCTION("""COMPUTED_VALUE"""),2.9722222222222223)</f>
        <v>2.972222222</v>
      </c>
      <c r="S244" s="31">
        <f>IFERROR(__xludf.DUMMYFUNCTION("""COMPUTED_VALUE"""),367.87962962962973)</f>
        <v>367.8796296</v>
      </c>
      <c r="T244" s="57">
        <f>IFERROR(__xludf.DUMMYFUNCTION("""COMPUTED_VALUE"""),0.7962962962962964)</f>
        <v>0.7962962963</v>
      </c>
      <c r="U244" s="57">
        <f>IFERROR(__xludf.DUMMYFUNCTION("""COMPUTED_VALUE"""),0.5648148148148151)</f>
        <v>0.5648148148</v>
      </c>
      <c r="V244" s="57">
        <f>IFERROR(__xludf.DUMMYFUNCTION("""COMPUTED_VALUE"""),1.509259259259259)</f>
        <v>1.509259259</v>
      </c>
      <c r="W244" s="57">
        <f>IFERROR(__xludf.DUMMYFUNCTION("""COMPUTED_VALUE"""),2.7222222222222223)</f>
        <v>2.722222222</v>
      </c>
      <c r="X244" s="31">
        <f>IFERROR(__xludf.DUMMYFUNCTION("""COMPUTED_VALUE"""),365.58651854084826)</f>
        <v>365.5865185</v>
      </c>
      <c r="Y244" s="57">
        <f>IFERROR(__xludf.DUMMYFUNCTION("""COMPUTED_VALUE"""),0.7858159312661233)</f>
        <v>0.7858159313</v>
      </c>
      <c r="Z244" s="57">
        <f>IFERROR(__xludf.DUMMYFUNCTION("""COMPUTED_VALUE"""),0.5635523761751304)</f>
        <v>0.5635523762</v>
      </c>
      <c r="AA244" s="57">
        <f>IFERROR(__xludf.DUMMYFUNCTION("""COMPUTED_VALUE"""),1.480659134524002)</f>
        <v>1.480659135</v>
      </c>
      <c r="AB244" s="57">
        <f>IFERROR(__xludf.DUMMYFUNCTION("""COMPUTED_VALUE"""),2.691399811125868)</f>
        <v>2.691399811</v>
      </c>
      <c r="AC244" s="31">
        <f>IFERROR(__xludf.DUMMYFUNCTION("""COMPUTED_VALUE"""),376.5087073928382)</f>
        <v>376.5087074</v>
      </c>
      <c r="AD244" s="57">
        <f>IFERROR(__xludf.DUMMYFUNCTION("""COMPUTED_VALUE"""),0.8428390910120696)</f>
        <v>0.842839091</v>
      </c>
      <c r="AE244" s="57">
        <f>IFERROR(__xludf.DUMMYFUNCTION("""COMPUTED_VALUE"""),0.6366927506133773)</f>
        <v>0.6366927506</v>
      </c>
      <c r="AF244" s="57">
        <f>IFERROR(__xludf.DUMMYFUNCTION("""COMPUTED_VALUE"""),1.4547968644207936)</f>
        <v>1.454796864</v>
      </c>
      <c r="AG244" s="57">
        <f>IFERROR(__xludf.DUMMYFUNCTION("""COMPUTED_VALUE"""),2.791720033964337)</f>
        <v>2.791720034</v>
      </c>
      <c r="AH244" s="57">
        <f>IFERROR(__xludf.DUMMYFUNCTION("""COMPUTED_VALUE"""),1.067483058890637)</f>
        <v>1.067483059</v>
      </c>
      <c r="AI244" s="57">
        <f>IFERROR(__xludf.DUMMYFUNCTION("""COMPUTED_VALUE"""),1.1864660890362997)</f>
        <v>1.186466089</v>
      </c>
      <c r="AJ244" s="57">
        <f>IFERROR(__xludf.DUMMYFUNCTION("""COMPUTED_VALUE"""),0.7416799103920888)</f>
        <v>0.7416799104</v>
      </c>
      <c r="AK244" s="57">
        <f>IFERROR(__xludf.DUMMYFUNCTION("""COMPUTED_VALUE"""),1.1456353168112072)</f>
        <v>1.145635317</v>
      </c>
      <c r="AL244" s="57">
        <f>IFERROR(__xludf.DUMMYFUNCTION("""COMPUTED_VALUE"""),1.064656264260699)</f>
        <v>1.064656264</v>
      </c>
      <c r="AM244" s="57">
        <f>IFERROR(__xludf.DUMMYFUNCTION("""COMPUTED_VALUE"""),1.006272416986091)</f>
        <v>1.006272417</v>
      </c>
      <c r="AN244" s="57">
        <f>IFERROR(__xludf.DUMMYFUNCTION("""COMPUTED_VALUE"""),1.013336921043694)</f>
        <v>1.013336921</v>
      </c>
      <c r="AO244" s="57">
        <f>IFERROR(__xludf.DUMMYFUNCTION("""COMPUTED_VALUE"""),1.002240144293691)</f>
        <v>1.002240144</v>
      </c>
      <c r="AP244" s="35">
        <f>IFERROR(__xludf.DUMMYFUNCTION("""COMPUTED_VALUE"""),1.0193158060950005)</f>
        <v>1.019315806</v>
      </c>
      <c r="AQ244" s="57">
        <f>IFERROR(__xludf.DUMMYFUNCTION("""COMPUTED_VALUE"""),1.011452185947602)</f>
        <v>1.011452186</v>
      </c>
      <c r="AR244" s="36" t="b">
        <f>IFERROR(__xludf.DUMMYFUNCTION("""COMPUTED_VALUE"""),TRUE)</f>
        <v>1</v>
      </c>
      <c r="AS244" s="57"/>
      <c r="AT244" s="37"/>
      <c r="AU244" s="30"/>
      <c r="AV244" s="30"/>
      <c r="AW244" s="30"/>
      <c r="AX244" s="30"/>
      <c r="AY244" s="30"/>
      <c r="AZ244" s="30"/>
    </row>
    <row r="245">
      <c r="A245" s="30" t="str">
        <f>IFERROR(__xludf.DUMMYFUNCTION("""COMPUTED_VALUE"""),"Elite")</f>
        <v>Elite</v>
      </c>
      <c r="B245" s="30" t="str">
        <f>IFERROR(__xludf.DUMMYFUNCTION("""COMPUTED_VALUE"""),"RSC000787")</f>
        <v>RSC000787</v>
      </c>
      <c r="C245" s="30" t="str">
        <f>IFERROR(__xludf.DUMMYFUNCTION("""COMPUTED_VALUE"""),"buckle")</f>
        <v>buckle</v>
      </c>
      <c r="D245" s="31" t="str">
        <f>IFERROR(__xludf.DUMMYFUNCTION("""COMPUTED_VALUE"""),"Praetorian Guard")</f>
        <v>Praetorian Guard</v>
      </c>
      <c r="E245" s="31">
        <f>IFERROR(__xludf.DUMMYFUNCTION("""COMPUTED_VALUE"""),65.15011883486926)</f>
        <v>65.15011883</v>
      </c>
      <c r="F245" s="31">
        <f>IFERROR(__xludf.DUMMYFUNCTION("""COMPUTED_VALUE"""),3.673016354263435)</f>
        <v>3.673016354</v>
      </c>
      <c r="G245" s="31">
        <f>IFERROR(__xludf.DUMMYFUNCTION("""COMPUTED_VALUE"""),66.76343051211845)</f>
        <v>66.76343051</v>
      </c>
      <c r="H245" s="31">
        <f>IFERROR(__xludf.DUMMYFUNCTION("""COMPUTED_VALUE"""),3.979977627315465)</f>
        <v>3.979977627</v>
      </c>
      <c r="I245" s="54">
        <f>IFERROR(__xludf.DUMMYFUNCTION("""COMPUTED_VALUE"""),24.0)</f>
        <v>24</v>
      </c>
      <c r="J245" s="55">
        <f>IFERROR(__xludf.DUMMYFUNCTION("""COMPUTED_VALUE"""),15.0)</f>
        <v>15</v>
      </c>
      <c r="K245" s="54">
        <f>IFERROR(__xludf.DUMMYFUNCTION("""COMPUTED_VALUE"""),9.0)</f>
        <v>9</v>
      </c>
      <c r="L245" s="56">
        <f>IFERROR(__xludf.DUMMYFUNCTION("""COMPUTED_VALUE"""),0.625)</f>
        <v>0.625</v>
      </c>
      <c r="M245" s="56">
        <f>IFERROR(__xludf.DUMMYFUNCTION("""COMPUTED_VALUE"""),0.38095238095238093)</f>
        <v>0.380952381</v>
      </c>
      <c r="N245" s="31">
        <f>IFERROR(__xludf.DUMMYFUNCTION("""COMPUTED_VALUE"""),407.3333333333333)</f>
        <v>407.3333333</v>
      </c>
      <c r="O245" s="57">
        <f>IFERROR(__xludf.DUMMYFUNCTION("""COMPUTED_VALUE"""),1.0)</f>
        <v>1</v>
      </c>
      <c r="P245" s="57">
        <f>IFERROR(__xludf.DUMMYFUNCTION("""COMPUTED_VALUE"""),0.625)</f>
        <v>0.625</v>
      </c>
      <c r="Q245" s="57">
        <f>IFERROR(__xludf.DUMMYFUNCTION("""COMPUTED_VALUE"""),1.625)</f>
        <v>1.625</v>
      </c>
      <c r="R245" s="57">
        <f>IFERROR(__xludf.DUMMYFUNCTION("""COMPUTED_VALUE"""),2.625)</f>
        <v>2.625</v>
      </c>
      <c r="S245" s="31">
        <f>IFERROR(__xludf.DUMMYFUNCTION("""COMPUTED_VALUE"""),351.7638888888889)</f>
        <v>351.7638889</v>
      </c>
      <c r="T245" s="57">
        <f>IFERROR(__xludf.DUMMYFUNCTION("""COMPUTED_VALUE"""),0.6944444444444443)</f>
        <v>0.6944444444</v>
      </c>
      <c r="U245" s="57">
        <f>IFERROR(__xludf.DUMMYFUNCTION("""COMPUTED_VALUE"""),0.5833333333333334)</f>
        <v>0.5833333333</v>
      </c>
      <c r="V245" s="57">
        <f>IFERROR(__xludf.DUMMYFUNCTION("""COMPUTED_VALUE"""),1.3888888888888886)</f>
        <v>1.388888889</v>
      </c>
      <c r="W245" s="57">
        <f>IFERROR(__xludf.DUMMYFUNCTION("""COMPUTED_VALUE"""),2.3611111111111116)</f>
        <v>2.361111111</v>
      </c>
      <c r="X245" s="31">
        <f>IFERROR(__xludf.DUMMYFUNCTION("""COMPUTED_VALUE"""),356.69558170165345)</f>
        <v>356.6955817</v>
      </c>
      <c r="Y245" s="57">
        <f>IFERROR(__xludf.DUMMYFUNCTION("""COMPUTED_VALUE"""),0.7310836552679797)</f>
        <v>0.7310836553</v>
      </c>
      <c r="Z245" s="57">
        <f>IFERROR(__xludf.DUMMYFUNCTION("""COMPUTED_VALUE"""),0.5210676033474106)</f>
        <v>0.5210676033</v>
      </c>
      <c r="AA245" s="57">
        <f>IFERROR(__xludf.DUMMYFUNCTION("""COMPUTED_VALUE"""),1.5103502414687322)</f>
        <v>1.510350241</v>
      </c>
      <c r="AB245" s="57">
        <f>IFERROR(__xludf.DUMMYFUNCTION("""COMPUTED_VALUE"""),2.3817608449737375)</f>
        <v>2.381760845</v>
      </c>
      <c r="AC245" s="31">
        <f>IFERROR(__xludf.DUMMYFUNCTION("""COMPUTED_VALUE"""),375.50294493991737)</f>
        <v>375.5029449</v>
      </c>
      <c r="AD245" s="57">
        <f>IFERROR(__xludf.DUMMYFUNCTION("""COMPUTED_VALUE"""),0.8680162241573797)</f>
        <v>0.8680162242</v>
      </c>
      <c r="AE245" s="57">
        <f>IFERROR(__xludf.DUMMYFUNCTION("""COMPUTED_VALUE"""),0.651135138634216)</f>
        <v>0.6511351386</v>
      </c>
      <c r="AF245" s="57">
        <f>IFERROR(__xludf.DUMMYFUNCTION("""COMPUTED_VALUE"""),1.3352627756055178)</f>
        <v>1.335262776</v>
      </c>
      <c r="AG245" s="57">
        <f>IFERROR(__xludf.DUMMYFUNCTION("""COMPUTED_VALUE"""),2.8763305626366975)</f>
        <v>2.876330563</v>
      </c>
      <c r="AH245" s="57">
        <f>IFERROR(__xludf.DUMMYFUNCTION("""COMPUTED_VALUE"""),1.0847673468939345)</f>
        <v>1.084767347</v>
      </c>
      <c r="AI245" s="57">
        <f>IFERROR(__xludf.DUMMYFUNCTION("""COMPUTED_VALUE"""),1.1520521992209796)</f>
        <v>1.152052199</v>
      </c>
      <c r="AJ245" s="57">
        <f>IFERROR(__xludf.DUMMYFUNCTION("""COMPUTED_VALUE"""),0.9598621897613518)</f>
        <v>0.9598621898</v>
      </c>
      <c r="AK245" s="57">
        <f>IFERROR(__xludf.DUMMYFUNCTION("""COMPUTED_VALUE"""),1.2169889176031974)</f>
        <v>1.216988918</v>
      </c>
      <c r="AL245" s="57">
        <f>IFERROR(__xludf.DUMMYFUNCTION("""COMPUTED_VALUE"""),0.9126211131983711)</f>
        <v>0.9126211132</v>
      </c>
      <c r="AM245" s="57">
        <f>IFERROR(__xludf.DUMMYFUNCTION("""COMPUTED_VALUE"""),0.9861739447703911)</f>
        <v>0.9861739448</v>
      </c>
      <c r="AN245" s="57">
        <f>IFERROR(__xludf.DUMMYFUNCTION("""COMPUTED_VALUE"""),0.9498836958540603)</f>
        <v>0.9498836959</v>
      </c>
      <c r="AO245" s="57">
        <f>IFERROR(__xludf.DUMMYFUNCTION("""COMPUTED_VALUE"""),1.119496452256711)</f>
        <v>1.119496452</v>
      </c>
      <c r="AP245" s="35">
        <f>IFERROR(__xludf.DUMMYFUNCTION("""COMPUTED_VALUE"""),0.9195806712609063)</f>
        <v>0.9195806713</v>
      </c>
      <c r="AQ245" s="57">
        <f>IFERROR(__xludf.DUMMYFUNCTION("""COMPUTED_VALUE"""),0.9913300556996714)</f>
        <v>0.9913300557</v>
      </c>
      <c r="AR245" s="36" t="b">
        <f>IFERROR(__xludf.DUMMYFUNCTION("""COMPUTED_VALUE"""),TRUE)</f>
        <v>1</v>
      </c>
      <c r="AS245" s="57"/>
      <c r="AT245" s="37"/>
      <c r="AU245" s="30"/>
      <c r="AV245" s="30"/>
      <c r="AW245" s="30"/>
      <c r="AX245" s="30"/>
      <c r="AY245" s="30"/>
      <c r="AZ245" s="30"/>
    </row>
    <row r="246">
      <c r="A246" s="30" t="str">
        <f>IFERROR(__xludf.DUMMYFUNCTION("""COMPUTED_VALUE"""),"Elite")</f>
        <v>Elite</v>
      </c>
      <c r="B246" s="30" t="str">
        <f>IFERROR(__xludf.DUMMYFUNCTION("""COMPUTED_VALUE"""),"RSC005298")</f>
        <v>RSC005298</v>
      </c>
      <c r="C246" s="30" t="str">
        <f>IFERROR(__xludf.DUMMYFUNCTION("""COMPUTED_VALUE"""),"Kaisaroh")</f>
        <v>Kaisaroh</v>
      </c>
      <c r="D246" s="31" t="str">
        <f>IFERROR(__xludf.DUMMYFUNCTION("""COMPUTED_VALUE"""),"Nightshade")</f>
        <v>Nightshade</v>
      </c>
      <c r="E246" s="31">
        <f>IFERROR(__xludf.DUMMYFUNCTION("""COMPUTED_VALUE"""),64.16533973337235)</f>
        <v>64.16533973</v>
      </c>
      <c r="F246" s="31">
        <f>IFERROR(__xludf.DUMMYFUNCTION("""COMPUTED_VALUE"""),3.502769656030615)</f>
        <v>3.502769656</v>
      </c>
      <c r="G246" s="31">
        <f>IFERROR(__xludf.DUMMYFUNCTION("""COMPUTED_VALUE"""),62.1051759388665)</f>
        <v>62.10517594</v>
      </c>
      <c r="H246" s="31">
        <f>IFERROR(__xludf.DUMMYFUNCTION("""COMPUTED_VALUE"""),3.1835021096411733)</f>
        <v>3.18350211</v>
      </c>
      <c r="I246" s="54">
        <f>IFERROR(__xludf.DUMMYFUNCTION("""COMPUTED_VALUE"""),36.0)</f>
        <v>36</v>
      </c>
      <c r="J246" s="55">
        <f>IFERROR(__xludf.DUMMYFUNCTION("""COMPUTED_VALUE"""),20.0)</f>
        <v>20</v>
      </c>
      <c r="K246" s="54">
        <f>IFERROR(__xludf.DUMMYFUNCTION("""COMPUTED_VALUE"""),16.0)</f>
        <v>16</v>
      </c>
      <c r="L246" s="56">
        <f>IFERROR(__xludf.DUMMYFUNCTION("""COMPUTED_VALUE"""),0.5555555555555556)</f>
        <v>0.5555555556</v>
      </c>
      <c r="M246" s="56">
        <f>IFERROR(__xludf.DUMMYFUNCTION("""COMPUTED_VALUE"""),0.3106796116504854)</f>
        <v>0.3106796117</v>
      </c>
      <c r="N246" s="31">
        <f>IFERROR(__xludf.DUMMYFUNCTION("""COMPUTED_VALUE"""),373.8888888888889)</f>
        <v>373.8888889</v>
      </c>
      <c r="O246" s="57">
        <f>IFERROR(__xludf.DUMMYFUNCTION("""COMPUTED_VALUE"""),0.8888888888888888)</f>
        <v>0.8888888889</v>
      </c>
      <c r="P246" s="57">
        <f>IFERROR(__xludf.DUMMYFUNCTION("""COMPUTED_VALUE"""),0.6944444444444444)</f>
        <v>0.6944444444</v>
      </c>
      <c r="Q246" s="57">
        <f>IFERROR(__xludf.DUMMYFUNCTION("""COMPUTED_VALUE"""),1.1666666666666667)</f>
        <v>1.166666667</v>
      </c>
      <c r="R246" s="57">
        <f>IFERROR(__xludf.DUMMYFUNCTION("""COMPUTED_VALUE"""),2.861111111111111)</f>
        <v>2.861111111</v>
      </c>
      <c r="S246" s="31">
        <f>IFERROR(__xludf.DUMMYFUNCTION("""COMPUTED_VALUE"""),347.57407407407413)</f>
        <v>347.5740741</v>
      </c>
      <c r="T246" s="57">
        <f>IFERROR(__xludf.DUMMYFUNCTION("""COMPUTED_VALUE"""),0.7314814814814815)</f>
        <v>0.7314814815</v>
      </c>
      <c r="U246" s="57">
        <f>IFERROR(__xludf.DUMMYFUNCTION("""COMPUTED_VALUE"""),0.5185185185185186)</f>
        <v>0.5185185185</v>
      </c>
      <c r="V246" s="57">
        <f>IFERROR(__xludf.DUMMYFUNCTION("""COMPUTED_VALUE"""),1.416666666666667)</f>
        <v>1.416666667</v>
      </c>
      <c r="W246" s="57">
        <f>IFERROR(__xludf.DUMMYFUNCTION("""COMPUTED_VALUE"""),2.5092592592592595)</f>
        <v>2.509259259</v>
      </c>
      <c r="X246" s="31">
        <f>IFERROR(__xludf.DUMMYFUNCTION("""COMPUTED_VALUE"""),341.98781906393947)</f>
        <v>341.9878191</v>
      </c>
      <c r="Y246" s="57">
        <f>IFERROR(__xludf.DUMMYFUNCTION("""COMPUTED_VALUE"""),0.6777306405805732)</f>
        <v>0.6777306406</v>
      </c>
      <c r="Z246" s="57">
        <f>IFERROR(__xludf.DUMMYFUNCTION("""COMPUTED_VALUE"""),0.530722427350558)</f>
        <v>0.5307224274</v>
      </c>
      <c r="AA246" s="57">
        <f>IFERROR(__xludf.DUMMYFUNCTION("""COMPUTED_VALUE"""),1.3864794012431219)</f>
        <v>1.386479401</v>
      </c>
      <c r="AB246" s="57">
        <f>IFERROR(__xludf.DUMMYFUNCTION("""COMPUTED_VALUE"""),2.4599730961630133)</f>
        <v>2.459973096</v>
      </c>
      <c r="AC246" s="31">
        <f>IFERROR(__xludf.DUMMYFUNCTION("""COMPUTED_VALUE"""),366.9536720762573)</f>
        <v>366.9536721</v>
      </c>
      <c r="AD246" s="57">
        <f>IFERROR(__xludf.DUMMYFUNCTION("""COMPUTED_VALUE"""),0.8340740857005766)</f>
        <v>0.8340740857</v>
      </c>
      <c r="AE246" s="57">
        <f>IFERROR(__xludf.DUMMYFUNCTION("""COMPUTED_VALUE"""),0.6410080853890217)</f>
        <v>0.6410080854</v>
      </c>
      <c r="AF246" s="57">
        <f>IFERROR(__xludf.DUMMYFUNCTION("""COMPUTED_VALUE"""),1.3382730086897707)</f>
        <v>1.338273009</v>
      </c>
      <c r="AG246" s="57">
        <f>IFERROR(__xludf.DUMMYFUNCTION("""COMPUTED_VALUE"""),2.7482321740563385)</f>
        <v>2.748232174</v>
      </c>
      <c r="AH246" s="57">
        <f>IFERROR(__xludf.DUMMYFUNCTION("""COMPUTED_VALUE"""),1.0188994342893247)</f>
        <v>1.018899434</v>
      </c>
      <c r="AI246" s="57">
        <f>IFERROR(__xludf.DUMMYFUNCTION("""COMPUTED_VALUE"""),1.065719345712882)</f>
        <v>1.065719346</v>
      </c>
      <c r="AJ246" s="57">
        <f>IFERROR(__xludf.DUMMYFUNCTION("""COMPUTED_VALUE"""),1.0833630031717818)</f>
        <v>1.083363003</v>
      </c>
      <c r="AK246" s="57">
        <f>IFERROR(__xludf.DUMMYFUNCTION("""COMPUTED_VALUE"""),0.8717703032872834)</f>
        <v>0.8717703033</v>
      </c>
      <c r="AL246" s="57">
        <f>IFERROR(__xludf.DUMMYFUNCTION("""COMPUTED_VALUE"""),1.0410732899936055)</f>
        <v>1.04107329</v>
      </c>
      <c r="AM246" s="57">
        <f>IFERROR(__xludf.DUMMYFUNCTION("""COMPUTED_VALUE"""),1.0163346607648918)</f>
        <v>1.016334661</v>
      </c>
      <c r="AN246" s="57">
        <f>IFERROR(__xludf.DUMMYFUNCTION("""COMPUTED_VALUE"""),1.0793100351119775)</f>
        <v>1.079310035</v>
      </c>
      <c r="AO246" s="57">
        <f>IFERROR(__xludf.DUMMYFUNCTION("""COMPUTED_VALUE"""),0.9770051005890913)</f>
        <v>0.9770051006</v>
      </c>
      <c r="AP246" s="35">
        <f>IFERROR(__xludf.DUMMYFUNCTION("""COMPUTED_VALUE"""),1.0217726028936882)</f>
        <v>1.021772603</v>
      </c>
      <c r="AQ246" s="57">
        <f>IFERROR(__xludf.DUMMYFUNCTION("""COMPUTED_VALUE"""),1.0200352447647176)</f>
        <v>1.020035245</v>
      </c>
      <c r="AR246" s="36" t="b">
        <f>IFERROR(__xludf.DUMMYFUNCTION("""COMPUTED_VALUE"""),TRUE)</f>
        <v>1</v>
      </c>
      <c r="AS246" s="57"/>
      <c r="AT246" s="37"/>
      <c r="AU246" s="30"/>
      <c r="AV246" s="30"/>
      <c r="AW246" s="30"/>
      <c r="AX246" s="30"/>
      <c r="AY246" s="30"/>
      <c r="AZ246" s="30"/>
    </row>
    <row r="247">
      <c r="A247" s="30" t="str">
        <f>IFERROR(__xludf.DUMMYFUNCTION("""COMPUTED_VALUE"""),"Elite")</f>
        <v>Elite</v>
      </c>
      <c r="B247" s="30" t="str">
        <f>IFERROR(__xludf.DUMMYFUNCTION("""COMPUTED_VALUE"""),"RSC006751")</f>
        <v>RSC006751</v>
      </c>
      <c r="C247" s="30" t="str">
        <f>IFERROR(__xludf.DUMMYFUNCTION("""COMPUTED_VALUE"""),"cl0wdy.")</f>
        <v>cl0wdy.</v>
      </c>
      <c r="D247" s="31" t="str">
        <f>IFERROR(__xludf.DUMMYFUNCTION("""COMPUTED_VALUE"""),"Cotija Cartel")</f>
        <v>Cotija Cartel</v>
      </c>
      <c r="E247" s="31">
        <f>IFERROR(__xludf.DUMMYFUNCTION("""COMPUTED_VALUE"""),63.82665087507978)</f>
        <v>63.82665088</v>
      </c>
      <c r="F247" s="31">
        <f>IFERROR(__xludf.DUMMYFUNCTION("""COMPUTED_VALUE"""),3.4469791247395922)</f>
        <v>3.446979125</v>
      </c>
      <c r="G247" s="31">
        <f>IFERROR(__xludf.DUMMYFUNCTION("""COMPUTED_VALUE"""),53.72464288402713)</f>
        <v>53.72464288</v>
      </c>
      <c r="H247" s="31">
        <f>IFERROR(__xludf.DUMMYFUNCTION("""COMPUTED_VALUE"""),2.2686928545450264)</f>
        <v>2.268692855</v>
      </c>
      <c r="I247" s="54">
        <f>IFERROR(__xludf.DUMMYFUNCTION("""COMPUTED_VALUE"""),31.0)</f>
        <v>31</v>
      </c>
      <c r="J247" s="55">
        <f>IFERROR(__xludf.DUMMYFUNCTION("""COMPUTED_VALUE"""),25.0)</f>
        <v>25</v>
      </c>
      <c r="K247" s="54">
        <f>IFERROR(__xludf.DUMMYFUNCTION("""COMPUTED_VALUE"""),6.0)</f>
        <v>6</v>
      </c>
      <c r="L247" s="56">
        <f>IFERROR(__xludf.DUMMYFUNCTION("""COMPUTED_VALUE"""),0.8064516129032258)</f>
        <v>0.8064516129</v>
      </c>
      <c r="M247" s="56">
        <f>IFERROR(__xludf.DUMMYFUNCTION("""COMPUTED_VALUE"""),0.28205128205128205)</f>
        <v>0.2820512821</v>
      </c>
      <c r="N247" s="31">
        <f>IFERROR(__xludf.DUMMYFUNCTION("""COMPUTED_VALUE"""),340.7741935483871)</f>
        <v>340.7741935</v>
      </c>
      <c r="O247" s="57">
        <f>IFERROR(__xludf.DUMMYFUNCTION("""COMPUTED_VALUE"""),0.7096774193548387)</f>
        <v>0.7096774194</v>
      </c>
      <c r="P247" s="57">
        <f>IFERROR(__xludf.DUMMYFUNCTION("""COMPUTED_VALUE"""),0.8709677419354839)</f>
        <v>0.8709677419</v>
      </c>
      <c r="Q247" s="57">
        <f>IFERROR(__xludf.DUMMYFUNCTION("""COMPUTED_VALUE"""),1.096774193548387)</f>
        <v>1.096774194</v>
      </c>
      <c r="R247" s="57">
        <f>IFERROR(__xludf.DUMMYFUNCTION("""COMPUTED_VALUE"""),2.5161290322580645)</f>
        <v>2.516129032</v>
      </c>
      <c r="S247" s="31">
        <f>IFERROR(__xludf.DUMMYFUNCTION("""COMPUTED_VALUE"""),311.5483870967742)</f>
        <v>311.5483871</v>
      </c>
      <c r="T247" s="57">
        <f>IFERROR(__xludf.DUMMYFUNCTION("""COMPUTED_VALUE"""),0.5376344086021506)</f>
        <v>0.5376344086</v>
      </c>
      <c r="U247" s="57">
        <f>IFERROR(__xludf.DUMMYFUNCTION("""COMPUTED_VALUE"""),0.3548387096774195)</f>
        <v>0.3548387097</v>
      </c>
      <c r="V247" s="57">
        <f>IFERROR(__xludf.DUMMYFUNCTION("""COMPUTED_VALUE"""),1.3548387096774186)</f>
        <v>1.35483871</v>
      </c>
      <c r="W247" s="57">
        <f>IFERROR(__xludf.DUMMYFUNCTION("""COMPUTED_VALUE"""),2.10752688172043)</f>
        <v>2.107526882</v>
      </c>
      <c r="X247" s="31">
        <f>IFERROR(__xludf.DUMMYFUNCTION("""COMPUTED_VALUE"""),351.77775868481206)</f>
        <v>351.7777587</v>
      </c>
      <c r="Y247" s="57">
        <f>IFERROR(__xludf.DUMMYFUNCTION("""COMPUTED_VALUE"""),0.7258675585770525)</f>
        <v>0.7258675586</v>
      </c>
      <c r="Z247" s="57">
        <f>IFERROR(__xludf.DUMMYFUNCTION("""COMPUTED_VALUE"""),0.5111597291189628)</f>
        <v>0.5111597291</v>
      </c>
      <c r="AA247" s="57">
        <f>IFERROR(__xludf.DUMMYFUNCTION("""COMPUTED_VALUE"""),1.4672254257506292)</f>
        <v>1.467225426</v>
      </c>
      <c r="AB247" s="57">
        <f>IFERROR(__xludf.DUMMYFUNCTION("""COMPUTED_VALUE"""),2.48562373678942)</f>
        <v>2.485623737</v>
      </c>
      <c r="AC247" s="31">
        <f>IFERROR(__xludf.DUMMYFUNCTION("""COMPUTED_VALUE"""),367.86981925570336)</f>
        <v>367.8698193</v>
      </c>
      <c r="AD247" s="57">
        <f>IFERROR(__xludf.DUMMYFUNCTION("""COMPUTED_VALUE"""),0.8294910281825466)</f>
        <v>0.8294910282</v>
      </c>
      <c r="AE247" s="57">
        <f>IFERROR(__xludf.DUMMYFUNCTION("""COMPUTED_VALUE"""),0.6097851978454547)</f>
        <v>0.6097851978</v>
      </c>
      <c r="AF247" s="57">
        <f>IFERROR(__xludf.DUMMYFUNCTION("""COMPUTED_VALUE"""),1.3450624657912817)</f>
        <v>1.345062466</v>
      </c>
      <c r="AG247" s="57">
        <f>IFERROR(__xludf.DUMMYFUNCTION("""COMPUTED_VALUE"""),2.8332102078607972)</f>
        <v>2.833210208</v>
      </c>
      <c r="AH247" s="57">
        <f>IFERROR(__xludf.DUMMYFUNCTION("""COMPUTED_VALUE"""),0.9263445265443688)</f>
        <v>0.9263445265</v>
      </c>
      <c r="AI247" s="57">
        <f>IFERROR(__xludf.DUMMYFUNCTION("""COMPUTED_VALUE"""),0.855557679640942)</f>
        <v>0.8555576796</v>
      </c>
      <c r="AJ247" s="57">
        <f>IFERROR(__xludf.DUMMYFUNCTION("""COMPUTED_VALUE"""),1.4283189310151536)</f>
        <v>1.428318931</v>
      </c>
      <c r="AK247" s="57">
        <f>IFERROR(__xludf.DUMMYFUNCTION("""COMPUTED_VALUE"""),0.815407627112076)</f>
        <v>0.8154076271</v>
      </c>
      <c r="AL247" s="57">
        <f>IFERROR(__xludf.DUMMYFUNCTION("""COMPUTED_VALUE"""),0.8880841334246979)</f>
        <v>0.8880841334</v>
      </c>
      <c r="AM247" s="57">
        <f>IFERROR(__xludf.DUMMYFUNCTION("""COMPUTED_VALUE"""),0.8856398092408031)</f>
        <v>0.8856398092</v>
      </c>
      <c r="AN247" s="57">
        <f>IFERROR(__xludf.DUMMYFUNCTION("""COMPUTED_VALUE"""),0.7406783816817727)</f>
        <v>0.7406783817</v>
      </c>
      <c r="AO247" s="57">
        <f>IFERROR(__xludf.DUMMYFUNCTION("""COMPUTED_VALUE"""),0.6941836171034464)</f>
        <v>0.6941836171</v>
      </c>
      <c r="AP247" s="35">
        <f>IFERROR(__xludf.DUMMYFUNCTION("""COMPUTED_VALUE"""),0.9234018753350639)</f>
        <v>0.9234018753</v>
      </c>
      <c r="AQ247" s="57">
        <f>IFERROR(__xludf.DUMMYFUNCTION("""COMPUTED_VALUE"""),0.8478865286516122)</f>
        <v>0.8478865287</v>
      </c>
      <c r="AR247" s="36" t="b">
        <f>IFERROR(__xludf.DUMMYFUNCTION("""COMPUTED_VALUE"""),TRUE)</f>
        <v>1</v>
      </c>
      <c r="AS247" s="57"/>
      <c r="AT247" s="37"/>
      <c r="AU247" s="30"/>
      <c r="AV247" s="30"/>
      <c r="AW247" s="30"/>
      <c r="AX247" s="30"/>
      <c r="AY247" s="30"/>
      <c r="AZ247" s="30"/>
    </row>
    <row r="248">
      <c r="A248" s="30" t="str">
        <f>IFERROR(__xludf.DUMMYFUNCTION("""COMPUTED_VALUE"""),"Elite")</f>
        <v>Elite</v>
      </c>
      <c r="B248" s="30" t="str">
        <f>IFERROR(__xludf.DUMMYFUNCTION("""COMPUTED_VALUE"""),"RSC007580")</f>
        <v>RSC007580</v>
      </c>
      <c r="C248" s="30" t="str">
        <f>IFERROR(__xludf.DUMMYFUNCTION("""COMPUTED_VALUE"""),"M4ttiusM4ximu5")</f>
        <v>M4ttiusM4ximu5</v>
      </c>
      <c r="D248" s="31"/>
      <c r="E248" s="31">
        <f>IFERROR(__xludf.DUMMYFUNCTION("""COMPUTED_VALUE"""),63.21952318341346)</f>
        <v>63.21952318</v>
      </c>
      <c r="F248" s="31">
        <f>IFERROR(__xludf.DUMMYFUNCTION("""COMPUTED_VALUE"""),3.350322652109827)</f>
        <v>3.350322652</v>
      </c>
      <c r="G248" s="31">
        <f>IFERROR(__xludf.DUMMYFUNCTION("""COMPUTED_VALUE"""),55.277603015482214)</f>
        <v>55.27760302</v>
      </c>
      <c r="H248" s="31">
        <f>IFERROR(__xludf.DUMMYFUNCTION("""COMPUTED_VALUE"""),2.4015196098512743)</f>
        <v>2.40151961</v>
      </c>
      <c r="I248" s="54">
        <f>IFERROR(__xludf.DUMMYFUNCTION("""COMPUTED_VALUE"""),32.0)</f>
        <v>32</v>
      </c>
      <c r="J248" s="55">
        <f>IFERROR(__xludf.DUMMYFUNCTION("""COMPUTED_VALUE"""),17.0)</f>
        <v>17</v>
      </c>
      <c r="K248" s="54">
        <f>IFERROR(__xludf.DUMMYFUNCTION("""COMPUTED_VALUE"""),15.0)</f>
        <v>15</v>
      </c>
      <c r="L248" s="56">
        <f>IFERROR(__xludf.DUMMYFUNCTION("""COMPUTED_VALUE"""),0.53125)</f>
        <v>0.53125</v>
      </c>
      <c r="M248" s="56">
        <f>IFERROR(__xludf.DUMMYFUNCTION("""COMPUTED_VALUE"""),0.3146067415730337)</f>
        <v>0.3146067416</v>
      </c>
      <c r="N248" s="31">
        <f>IFERROR(__xludf.DUMMYFUNCTION("""COMPUTED_VALUE"""),370.5)</f>
        <v>370.5</v>
      </c>
      <c r="O248" s="57">
        <f>IFERROR(__xludf.DUMMYFUNCTION("""COMPUTED_VALUE"""),0.875)</f>
        <v>0.875</v>
      </c>
      <c r="P248" s="57">
        <f>IFERROR(__xludf.DUMMYFUNCTION("""COMPUTED_VALUE"""),0.71875)</f>
        <v>0.71875</v>
      </c>
      <c r="Q248" s="57">
        <f>IFERROR(__xludf.DUMMYFUNCTION("""COMPUTED_VALUE"""),1.28125)</f>
        <v>1.28125</v>
      </c>
      <c r="R248" s="57">
        <f>IFERROR(__xludf.DUMMYFUNCTION("""COMPUTED_VALUE"""),2.78125)</f>
        <v>2.78125</v>
      </c>
      <c r="S248" s="31">
        <f>IFERROR(__xludf.DUMMYFUNCTION("""COMPUTED_VALUE"""),368.19791666666674)</f>
        <v>368.1979167</v>
      </c>
      <c r="T248" s="57">
        <f>IFERROR(__xludf.DUMMYFUNCTION("""COMPUTED_VALUE"""),0.7812500000000001)</f>
        <v>0.78125</v>
      </c>
      <c r="U248" s="57">
        <f>IFERROR(__xludf.DUMMYFUNCTION("""COMPUTED_VALUE"""),0.5520833333333335)</f>
        <v>0.5520833333</v>
      </c>
      <c r="V248" s="57">
        <f>IFERROR(__xludf.DUMMYFUNCTION("""COMPUTED_VALUE"""),1.5729166666666665)</f>
        <v>1.572916667</v>
      </c>
      <c r="W248" s="57">
        <f>IFERROR(__xludf.DUMMYFUNCTION("""COMPUTED_VALUE"""),2.625)</f>
        <v>2.625</v>
      </c>
      <c r="X248" s="31">
        <f>IFERROR(__xludf.DUMMYFUNCTION("""COMPUTED_VALUE"""),365.64724655289865)</f>
        <v>365.6472466</v>
      </c>
      <c r="Y248" s="57">
        <f>IFERROR(__xludf.DUMMYFUNCTION("""COMPUTED_VALUE"""),0.7717744041558701)</f>
        <v>0.7717744042</v>
      </c>
      <c r="Z248" s="57">
        <f>IFERROR(__xludf.DUMMYFUNCTION("""COMPUTED_VALUE"""),0.5554373954192441)</f>
        <v>0.5554373954</v>
      </c>
      <c r="AA248" s="57">
        <f>IFERROR(__xludf.DUMMYFUNCTION("""COMPUTED_VALUE"""),1.512819072635799)</f>
        <v>1.512819073</v>
      </c>
      <c r="AB248" s="57">
        <f>IFERROR(__xludf.DUMMYFUNCTION("""COMPUTED_VALUE"""),2.6541268708499355)</f>
        <v>2.654126871</v>
      </c>
      <c r="AC248" s="31">
        <f>IFERROR(__xludf.DUMMYFUNCTION("""COMPUTED_VALUE"""),376.52652999904177)</f>
        <v>376.52653</v>
      </c>
      <c r="AD248" s="57">
        <f>IFERROR(__xludf.DUMMYFUNCTION("""COMPUTED_VALUE"""),0.8377580205984548)</f>
        <v>0.8377580206</v>
      </c>
      <c r="AE248" s="57">
        <f>IFERROR(__xludf.DUMMYFUNCTION("""COMPUTED_VALUE"""),0.6366593598721484)</f>
        <v>0.6366593599</v>
      </c>
      <c r="AF248" s="57">
        <f>IFERROR(__xludf.DUMMYFUNCTION("""COMPUTED_VALUE"""),1.4428289570412938)</f>
        <v>1.442828957</v>
      </c>
      <c r="AG248" s="57">
        <f>IFERROR(__xludf.DUMMYFUNCTION("""COMPUTED_VALUE"""),2.827365207962966)</f>
        <v>2.827365208</v>
      </c>
      <c r="AH248" s="57">
        <f>IFERROR(__xludf.DUMMYFUNCTION("""COMPUTED_VALUE"""),0.9839944080459427)</f>
        <v>0.983994408</v>
      </c>
      <c r="AI248" s="57">
        <f>IFERROR(__xludf.DUMMYFUNCTION("""COMPUTED_VALUE"""),1.044454339422428)</f>
        <v>1.044454339</v>
      </c>
      <c r="AJ248" s="57">
        <f>IFERROR(__xludf.DUMMYFUNCTION("""COMPUTED_VALUE"""),1.1289396580053999)</f>
        <v>1.128939658</v>
      </c>
      <c r="AK248" s="57">
        <f>IFERROR(__xludf.DUMMYFUNCTION("""COMPUTED_VALUE"""),0.8880123965818982)</f>
        <v>0.8880123966</v>
      </c>
      <c r="AL248" s="57">
        <f>IFERROR(__xludf.DUMMYFUNCTION("""COMPUTED_VALUE"""),0.9836896882535417)</f>
        <v>0.9836896883</v>
      </c>
      <c r="AM248" s="57">
        <f>IFERROR(__xludf.DUMMYFUNCTION("""COMPUTED_VALUE"""),1.0069757673216857)</f>
        <v>1.006975767</v>
      </c>
      <c r="AN248" s="57">
        <f>IFERROR(__xludf.DUMMYFUNCTION("""COMPUTED_VALUE"""),1.0122776756952623)</f>
        <v>1.012277676</v>
      </c>
      <c r="AO248" s="57">
        <f>IFERROR(__xludf.DUMMYFUNCTION("""COMPUTED_VALUE"""),0.9939614039069534)</f>
        <v>0.9939614039</v>
      </c>
      <c r="AP248" s="35">
        <f>IFERROR(__xludf.DUMMYFUNCTION("""COMPUTED_VALUE"""),1.0397255660758948)</f>
        <v>1.039725566</v>
      </c>
      <c r="AQ248" s="57">
        <f>IFERROR(__xludf.DUMMYFUNCTION("""COMPUTED_VALUE"""),0.9890258181815521)</f>
        <v>0.9890258182</v>
      </c>
      <c r="AR248" s="36" t="b">
        <f>IFERROR(__xludf.DUMMYFUNCTION("""COMPUTED_VALUE"""),TRUE)</f>
        <v>1</v>
      </c>
      <c r="AS248" s="57"/>
      <c r="AT248" s="37"/>
      <c r="AU248" s="30"/>
      <c r="AV248" s="30"/>
      <c r="AW248" s="30"/>
      <c r="AX248" s="30"/>
      <c r="AY248" s="30"/>
      <c r="AZ248" s="30"/>
    </row>
    <row r="249">
      <c r="A249" s="30" t="str">
        <f>IFERROR(__xludf.DUMMYFUNCTION("""COMPUTED_VALUE"""),"Elite")</f>
        <v>Elite</v>
      </c>
      <c r="B249" s="30" t="str">
        <f>IFERROR(__xludf.DUMMYFUNCTION("""COMPUTED_VALUE"""),"RSC006395")</f>
        <v>RSC006395</v>
      </c>
      <c r="C249" s="30" t="str">
        <f>IFERROR(__xludf.DUMMYFUNCTION("""COMPUTED_VALUE"""),"Gizmo")</f>
        <v>Gizmo</v>
      </c>
      <c r="D249" s="31" t="str">
        <f>IFERROR(__xludf.DUMMYFUNCTION("""COMPUTED_VALUE"""),"Forge Defenders")</f>
        <v>Forge Defenders</v>
      </c>
      <c r="E249" s="31">
        <f>IFERROR(__xludf.DUMMYFUNCTION("""COMPUTED_VALUE"""),63.193892377934084)</f>
        <v>63.19389238</v>
      </c>
      <c r="F249" s="31">
        <f>IFERROR(__xludf.DUMMYFUNCTION("""COMPUTED_VALUE"""),3.3463343362675166)</f>
        <v>3.346334336</v>
      </c>
      <c r="G249" s="31">
        <f>IFERROR(__xludf.DUMMYFUNCTION("""COMPUTED_VALUE"""),55.765526120896524)</f>
        <v>55.76552612</v>
      </c>
      <c r="H249" s="31">
        <f>IFERROR(__xludf.DUMMYFUNCTION("""COMPUTED_VALUE"""),2.4461563773208277)</f>
        <v>2.446156377</v>
      </c>
      <c r="I249" s="54">
        <f>IFERROR(__xludf.DUMMYFUNCTION("""COMPUTED_VALUE"""),36.0)</f>
        <v>36</v>
      </c>
      <c r="J249" s="55">
        <f>IFERROR(__xludf.DUMMYFUNCTION("""COMPUTED_VALUE"""),21.0)</f>
        <v>21</v>
      </c>
      <c r="K249" s="54">
        <f>IFERROR(__xludf.DUMMYFUNCTION("""COMPUTED_VALUE"""),15.0)</f>
        <v>15</v>
      </c>
      <c r="L249" s="56">
        <f>IFERROR(__xludf.DUMMYFUNCTION("""COMPUTED_VALUE"""),0.5833333333333334)</f>
        <v>0.5833333333</v>
      </c>
      <c r="M249" s="56">
        <f>IFERROR(__xludf.DUMMYFUNCTION("""COMPUTED_VALUE"""),0.28723404255319146)</f>
        <v>0.2872340426</v>
      </c>
      <c r="N249" s="31">
        <f>IFERROR(__xludf.DUMMYFUNCTION("""COMPUTED_VALUE"""),381.4166666666667)</f>
        <v>381.4166667</v>
      </c>
      <c r="O249" s="57">
        <f>IFERROR(__xludf.DUMMYFUNCTION("""COMPUTED_VALUE"""),0.75)</f>
        <v>0.75</v>
      </c>
      <c r="P249" s="57">
        <f>IFERROR(__xludf.DUMMYFUNCTION("""COMPUTED_VALUE"""),0.5833333333333334)</f>
        <v>0.5833333333</v>
      </c>
      <c r="Q249" s="57">
        <f>IFERROR(__xludf.DUMMYFUNCTION("""COMPUTED_VALUE"""),1.4722222222222223)</f>
        <v>1.472222222</v>
      </c>
      <c r="R249" s="57">
        <f>IFERROR(__xludf.DUMMYFUNCTION("""COMPUTED_VALUE"""),2.611111111111111)</f>
        <v>2.611111111</v>
      </c>
      <c r="S249" s="31">
        <f>IFERROR(__xludf.DUMMYFUNCTION("""COMPUTED_VALUE"""),341.25925925925935)</f>
        <v>341.2592593</v>
      </c>
      <c r="T249" s="57">
        <f>IFERROR(__xludf.DUMMYFUNCTION("""COMPUTED_VALUE"""),0.6203703703703703)</f>
        <v>0.6203703704</v>
      </c>
      <c r="U249" s="57">
        <f>IFERROR(__xludf.DUMMYFUNCTION("""COMPUTED_VALUE"""),0.49074074074074076)</f>
        <v>0.4907407407</v>
      </c>
      <c r="V249" s="57">
        <f>IFERROR(__xludf.DUMMYFUNCTION("""COMPUTED_VALUE"""),1.4907407407407405)</f>
        <v>1.490740741</v>
      </c>
      <c r="W249" s="57">
        <f>IFERROR(__xludf.DUMMYFUNCTION("""COMPUTED_VALUE"""),2.564814814814815)</f>
        <v>2.564814815</v>
      </c>
      <c r="X249" s="31">
        <f>IFERROR(__xludf.DUMMYFUNCTION("""COMPUTED_VALUE"""),373.0059669719192)</f>
        <v>373.005967</v>
      </c>
      <c r="Y249" s="57">
        <f>IFERROR(__xludf.DUMMYFUNCTION("""COMPUTED_VALUE"""),0.8387988643399383)</f>
        <v>0.8387988643</v>
      </c>
      <c r="Z249" s="57">
        <f>IFERROR(__xludf.DUMMYFUNCTION("""COMPUTED_VALUE"""),0.5886138586785374)</f>
        <v>0.5886138587</v>
      </c>
      <c r="AA249" s="57">
        <f>IFERROR(__xludf.DUMMYFUNCTION("""COMPUTED_VALUE"""),1.451054326723556)</f>
        <v>1.451054327</v>
      </c>
      <c r="AB249" s="57">
        <f>IFERROR(__xludf.DUMMYFUNCTION("""COMPUTED_VALUE"""),2.792997539044281)</f>
        <v>2.792997539</v>
      </c>
      <c r="AC249" s="31">
        <f>IFERROR(__xludf.DUMMYFUNCTION("""COMPUTED_VALUE"""),357.9693934318449)</f>
        <v>357.9693934</v>
      </c>
      <c r="AD249" s="57">
        <f>IFERROR(__xludf.DUMMYFUNCTION("""COMPUTED_VALUE"""),0.7246464527952796)</f>
        <v>0.7246464528</v>
      </c>
      <c r="AE249" s="57">
        <f>IFERROR(__xludf.DUMMYFUNCTION("""COMPUTED_VALUE"""),0.5347922298153863)</f>
        <v>0.5347922298</v>
      </c>
      <c r="AF249" s="57">
        <f>IFERROR(__xludf.DUMMYFUNCTION("""COMPUTED_VALUE"""),1.4758636179337405)</f>
        <v>1.475863618</v>
      </c>
      <c r="AG249" s="57">
        <f>IFERROR(__xludf.DUMMYFUNCTION("""COMPUTED_VALUE"""),2.6134768447009926)</f>
        <v>2.613476845</v>
      </c>
      <c r="AH249" s="57">
        <f>IFERROR(__xludf.DUMMYFUNCTION("""COMPUTED_VALUE"""),1.065500776505034)</f>
        <v>1.065500777</v>
      </c>
      <c r="AI249" s="57">
        <f>IFERROR(__xludf.DUMMYFUNCTION("""COMPUTED_VALUE"""),1.0349874716241563)</f>
        <v>1.034987472</v>
      </c>
      <c r="AJ249" s="57">
        <f>IFERROR(__xludf.DUMMYFUNCTION("""COMPUTED_VALUE"""),1.0907662841973298)</f>
        <v>1.090766284</v>
      </c>
      <c r="AK249" s="57">
        <f>IFERROR(__xludf.DUMMYFUNCTION("""COMPUTED_VALUE"""),0.997532701756944)</f>
        <v>0.9975327018</v>
      </c>
      <c r="AL249" s="57">
        <f>IFERROR(__xludf.DUMMYFUNCTION("""COMPUTED_VALUE"""),0.9990947945092079)</f>
        <v>0.9990947945</v>
      </c>
      <c r="AM249" s="57">
        <f>IFERROR(__xludf.DUMMYFUNCTION("""COMPUTED_VALUE"""),0.9148895446086797)</f>
        <v>0.9148895446</v>
      </c>
      <c r="AN249" s="57">
        <f>IFERROR(__xludf.DUMMYFUNCTION("""COMPUTED_VALUE"""),0.7395937175696439)</f>
        <v>0.7395937176</v>
      </c>
      <c r="AO249" s="57">
        <f>IFERROR(__xludf.DUMMYFUNCTION("""COMPUTED_VALUE"""),0.8337227088782349)</f>
        <v>0.8337227089</v>
      </c>
      <c r="AP249" s="35">
        <f>IFERROR(__xludf.DUMMYFUNCTION("""COMPUTED_VALUE"""),1.027350053878958)</f>
        <v>1.027350054</v>
      </c>
      <c r="AQ249" s="57">
        <f>IFERROR(__xludf.DUMMYFUNCTION("""COMPUTED_VALUE"""),0.9183018527443649)</f>
        <v>0.9183018527</v>
      </c>
      <c r="AR249" s="36" t="b">
        <f>IFERROR(__xludf.DUMMYFUNCTION("""COMPUTED_VALUE"""),TRUE)</f>
        <v>1</v>
      </c>
      <c r="AS249" s="57"/>
      <c r="AT249" s="37"/>
      <c r="AU249" s="30"/>
      <c r="AV249" s="30"/>
      <c r="AW249" s="30"/>
      <c r="AX249" s="30"/>
      <c r="AY249" s="30"/>
      <c r="AZ249" s="30"/>
    </row>
    <row r="250">
      <c r="A250" s="30" t="str">
        <f>IFERROR(__xludf.DUMMYFUNCTION("""COMPUTED_VALUE"""),"Elite")</f>
        <v>Elite</v>
      </c>
      <c r="B250" s="30" t="str">
        <f>IFERROR(__xludf.DUMMYFUNCTION("""COMPUTED_VALUE"""),"RSC004863")</f>
        <v>RSC004863</v>
      </c>
      <c r="C250" s="30" t="str">
        <f>IFERROR(__xludf.DUMMYFUNCTION("""COMPUTED_VALUE"""),"wicked")</f>
        <v>wicked</v>
      </c>
      <c r="D250" s="31" t="str">
        <f>IFERROR(__xludf.DUMMYFUNCTION("""COMPUTED_VALUE"""),"Forge Defenders")</f>
        <v>Forge Defenders</v>
      </c>
      <c r="E250" s="31">
        <f>IFERROR(__xludf.DUMMYFUNCTION("""COMPUTED_VALUE"""),63.11242259808313)</f>
        <v>63.1124226</v>
      </c>
      <c r="F250" s="31">
        <f>IFERROR(__xludf.DUMMYFUNCTION("""COMPUTED_VALUE"""),3.3337057490095097)</f>
        <v>3.333705749</v>
      </c>
      <c r="G250" s="31">
        <f>IFERROR(__xludf.DUMMYFUNCTION("""COMPUTED_VALUE"""),47.7910680872997)</f>
        <v>47.79106809</v>
      </c>
      <c r="H250" s="31">
        <f>IFERROR(__xludf.DUMMYFUNCTION("""COMPUTED_VALUE"""),-2.1514798510817066)</f>
        <v>-2.151479851</v>
      </c>
      <c r="I250" s="54">
        <f>IFERROR(__xludf.DUMMYFUNCTION("""COMPUTED_VALUE"""),29.0)</f>
        <v>29</v>
      </c>
      <c r="J250" s="55">
        <f>IFERROR(__xludf.DUMMYFUNCTION("""COMPUTED_VALUE"""),17.0)</f>
        <v>17</v>
      </c>
      <c r="K250" s="54">
        <f>IFERROR(__xludf.DUMMYFUNCTION("""COMPUTED_VALUE"""),12.0)</f>
        <v>12</v>
      </c>
      <c r="L250" s="56">
        <f>IFERROR(__xludf.DUMMYFUNCTION("""COMPUTED_VALUE"""),0.5862068965517241)</f>
        <v>0.5862068966</v>
      </c>
      <c r="M250" s="56">
        <f>IFERROR(__xludf.DUMMYFUNCTION("""COMPUTED_VALUE"""),0.22340425531914895)</f>
        <v>0.2234042553</v>
      </c>
      <c r="N250" s="31">
        <f>IFERROR(__xludf.DUMMYFUNCTION("""COMPUTED_VALUE"""),346.44827586206895)</f>
        <v>346.4482759</v>
      </c>
      <c r="O250" s="57">
        <f>IFERROR(__xludf.DUMMYFUNCTION("""COMPUTED_VALUE"""),0.7241379310344828)</f>
        <v>0.724137931</v>
      </c>
      <c r="P250" s="57">
        <f>IFERROR(__xludf.DUMMYFUNCTION("""COMPUTED_VALUE"""),0.4482758620689655)</f>
        <v>0.4482758621</v>
      </c>
      <c r="Q250" s="57">
        <f>IFERROR(__xludf.DUMMYFUNCTION("""COMPUTED_VALUE"""),1.3448275862068966)</f>
        <v>1.344827586</v>
      </c>
      <c r="R250" s="57">
        <f>IFERROR(__xludf.DUMMYFUNCTION("""COMPUTED_VALUE"""),3.2413793103448274)</f>
        <v>3.24137931</v>
      </c>
      <c r="S250" s="31">
        <f>IFERROR(__xludf.DUMMYFUNCTION("""COMPUTED_VALUE"""),341.72413793103453)</f>
        <v>341.7241379</v>
      </c>
      <c r="T250" s="57">
        <f>IFERROR(__xludf.DUMMYFUNCTION("""COMPUTED_VALUE"""),0.6091954022988505)</f>
        <v>0.6091954023</v>
      </c>
      <c r="U250" s="57">
        <f>IFERROR(__xludf.DUMMYFUNCTION("""COMPUTED_VALUE"""),0.45977011494252884)</f>
        <v>0.4597701149</v>
      </c>
      <c r="V250" s="57">
        <f>IFERROR(__xludf.DUMMYFUNCTION("""COMPUTED_VALUE"""),1.5402298850574714)</f>
        <v>1.540229885</v>
      </c>
      <c r="W250" s="57">
        <f>IFERROR(__xludf.DUMMYFUNCTION("""COMPUTED_VALUE"""),2.5172413793103443)</f>
        <v>2.517241379</v>
      </c>
      <c r="X250" s="31">
        <f>IFERROR(__xludf.DUMMYFUNCTION("""COMPUTED_VALUE"""),372.7168960370253)</f>
        <v>372.716896</v>
      </c>
      <c r="Y250" s="57">
        <f>IFERROR(__xludf.DUMMYFUNCTION("""COMPUTED_VALUE"""),0.8347411843967965)</f>
        <v>0.8347411844</v>
      </c>
      <c r="Z250" s="57">
        <f>IFERROR(__xludf.DUMMYFUNCTION("""COMPUTED_VALUE"""),0.580018691835795)</f>
        <v>0.5800186918</v>
      </c>
      <c r="AA250" s="57">
        <f>IFERROR(__xludf.DUMMYFUNCTION("""COMPUTED_VALUE"""),1.457687864084172)</f>
        <v>1.457687864</v>
      </c>
      <c r="AB250" s="57">
        <f>IFERROR(__xludf.DUMMYFUNCTION("""COMPUTED_VALUE"""),2.7887961142573854)</f>
        <v>2.788796114</v>
      </c>
      <c r="AC250" s="31">
        <f>IFERROR(__xludf.DUMMYFUNCTION("""COMPUTED_VALUE"""),359.45564070744365)</f>
        <v>359.4556407</v>
      </c>
      <c r="AD250" s="57">
        <f>IFERROR(__xludf.DUMMYFUNCTION("""COMPUTED_VALUE"""),0.7346723125120842)</f>
        <v>0.7346723125</v>
      </c>
      <c r="AE250" s="57">
        <f>IFERROR(__xludf.DUMMYFUNCTION("""COMPUTED_VALUE"""),0.5406072825292341)</f>
        <v>0.5406072825</v>
      </c>
      <c r="AF250" s="57">
        <f>IFERROR(__xludf.DUMMYFUNCTION("""COMPUTED_VALUE"""),1.4713687644038305)</f>
        <v>1.471368764</v>
      </c>
      <c r="AG250" s="57">
        <f>IFERROR(__xludf.DUMMYFUNCTION("""COMPUTED_VALUE"""),2.6360995742259288)</f>
        <v>2.636099574</v>
      </c>
      <c r="AH250" s="57">
        <f>IFERROR(__xludf.DUMMYFUNCTION("""COMPUTED_VALUE"""),0.9638137133700978)</f>
        <v>0.9638137134</v>
      </c>
      <c r="AI250" s="57">
        <f>IFERROR(__xludf.DUMMYFUNCTION("""COMPUTED_VALUE"""),0.9856611154412762)</f>
        <v>0.9856611154</v>
      </c>
      <c r="AJ250" s="57">
        <f>IFERROR(__xludf.DUMMYFUNCTION("""COMPUTED_VALUE"""),0.8292079602992111)</f>
        <v>0.8292079603</v>
      </c>
      <c r="AK250" s="57">
        <f>IFERROR(__xludf.DUMMYFUNCTION("""COMPUTED_VALUE"""),0.9139976454181383)</f>
        <v>0.9139976454</v>
      </c>
      <c r="AL250" s="57">
        <f>IFERROR(__xludf.DUMMYFUNCTION("""COMPUTED_VALUE"""),1.2296118636932123)</f>
        <v>1.229611864</v>
      </c>
      <c r="AM250" s="57">
        <f>IFERROR(__xludf.DUMMYFUNCTION("""COMPUTED_VALUE"""),0.9168463827759716)</f>
        <v>0.9168463828</v>
      </c>
      <c r="AN250" s="57">
        <f>IFERROR(__xludf.DUMMYFUNCTION("""COMPUTED_VALUE"""),0.7298015405087139)</f>
        <v>0.7298015405</v>
      </c>
      <c r="AO250" s="57">
        <f>IFERROR(__xludf.DUMMYFUNCTION("""COMPUTED_VALUE"""),0.7926815487399691)</f>
        <v>0.7926815487</v>
      </c>
      <c r="AP250" s="35">
        <f>IFERROR(__xludf.DUMMYFUNCTION("""COMPUTED_VALUE"""),1.0566253057372872)</f>
        <v>1.056625306</v>
      </c>
      <c r="AQ250" s="57">
        <f>IFERROR(__xludf.DUMMYFUNCTION("""COMPUTED_VALUE"""),0.9026265371072665)</f>
        <v>0.9026265371</v>
      </c>
      <c r="AR250" s="36" t="b">
        <f>IFERROR(__xludf.DUMMYFUNCTION("""COMPUTED_VALUE"""),TRUE)</f>
        <v>1</v>
      </c>
      <c r="AS250" s="57"/>
      <c r="AT250" s="37"/>
      <c r="AU250" s="30"/>
      <c r="AV250" s="30"/>
      <c r="AW250" s="30"/>
      <c r="AX250" s="30"/>
      <c r="AY250" s="30"/>
      <c r="AZ250" s="30"/>
    </row>
    <row r="251">
      <c r="A251" s="30" t="str">
        <f>IFERROR(__xludf.DUMMYFUNCTION("""COMPUTED_VALUE"""),"Elite")</f>
        <v>Elite</v>
      </c>
      <c r="B251" s="30" t="str">
        <f>IFERROR(__xludf.DUMMYFUNCTION("""COMPUTED_VALUE"""),"RSC000371")</f>
        <v>RSC000371</v>
      </c>
      <c r="C251" s="30" t="str">
        <f>IFERROR(__xludf.DUMMYFUNCTION("""COMPUTED_VALUE"""),"Capn' Clutch")</f>
        <v>Capn' Clutch</v>
      </c>
      <c r="D251" s="31" t="str">
        <f>IFERROR(__xludf.DUMMYFUNCTION("""COMPUTED_VALUE"""),"Teddy Bears")</f>
        <v>Teddy Bears</v>
      </c>
      <c r="E251" s="31">
        <f>IFERROR(__xludf.DUMMYFUNCTION("""COMPUTED_VALUE"""),62.82258388220733)</f>
        <v>62.82258388</v>
      </c>
      <c r="F251" s="31">
        <f>IFERROR(__xludf.DUMMYFUNCTION("""COMPUTED_VALUE"""),3.2893712902710663)</f>
        <v>3.28937129</v>
      </c>
      <c r="G251" s="31">
        <f>IFERROR(__xludf.DUMMYFUNCTION("""COMPUTED_VALUE"""),54.19276641386365)</f>
        <v>54.19276641</v>
      </c>
      <c r="H251" s="31">
        <f>IFERROR(__xludf.DUMMYFUNCTION("""COMPUTED_VALUE"""),2.3073082858086598)</f>
        <v>2.307308286</v>
      </c>
      <c r="I251" s="54">
        <f>IFERROR(__xludf.DUMMYFUNCTION("""COMPUTED_VALUE"""),16.0)</f>
        <v>16</v>
      </c>
      <c r="J251" s="55">
        <f>IFERROR(__xludf.DUMMYFUNCTION("""COMPUTED_VALUE"""),8.0)</f>
        <v>8</v>
      </c>
      <c r="K251" s="54">
        <f>IFERROR(__xludf.DUMMYFUNCTION("""COMPUTED_VALUE"""),8.0)</f>
        <v>8</v>
      </c>
      <c r="L251" s="56">
        <f>IFERROR(__xludf.DUMMYFUNCTION("""COMPUTED_VALUE"""),0.5)</f>
        <v>0.5</v>
      </c>
      <c r="M251" s="56">
        <f>IFERROR(__xludf.DUMMYFUNCTION("""COMPUTED_VALUE"""),0.27450980392156865)</f>
        <v>0.2745098039</v>
      </c>
      <c r="N251" s="31">
        <f>IFERROR(__xludf.DUMMYFUNCTION("""COMPUTED_VALUE"""),369.25)</f>
        <v>369.25</v>
      </c>
      <c r="O251" s="57">
        <f>IFERROR(__xludf.DUMMYFUNCTION("""COMPUTED_VALUE"""),0.875)</f>
        <v>0.875</v>
      </c>
      <c r="P251" s="57">
        <f>IFERROR(__xludf.DUMMYFUNCTION("""COMPUTED_VALUE"""),0.6875)</f>
        <v>0.6875</v>
      </c>
      <c r="Q251" s="57">
        <f>IFERROR(__xludf.DUMMYFUNCTION("""COMPUTED_VALUE"""),1.25)</f>
        <v>1.25</v>
      </c>
      <c r="R251" s="57">
        <f>IFERROR(__xludf.DUMMYFUNCTION("""COMPUTED_VALUE"""),3.1875)</f>
        <v>3.1875</v>
      </c>
      <c r="S251" s="31">
        <f>IFERROR(__xludf.DUMMYFUNCTION("""COMPUTED_VALUE"""),368.8958333333333)</f>
        <v>368.8958333</v>
      </c>
      <c r="T251" s="57">
        <f>IFERROR(__xludf.DUMMYFUNCTION("""COMPUTED_VALUE"""),0.75)</f>
        <v>0.75</v>
      </c>
      <c r="U251" s="57">
        <f>IFERROR(__xludf.DUMMYFUNCTION("""COMPUTED_VALUE"""),0.5208333333333333)</f>
        <v>0.5208333333</v>
      </c>
      <c r="V251" s="57">
        <f>IFERROR(__xludf.DUMMYFUNCTION("""COMPUTED_VALUE"""),1.6874999999999998)</f>
        <v>1.6875</v>
      </c>
      <c r="W251" s="57">
        <f>IFERROR(__xludf.DUMMYFUNCTION("""COMPUTED_VALUE"""),2.458333333333333)</f>
        <v>2.458333333</v>
      </c>
      <c r="X251" s="31">
        <f>IFERROR(__xludf.DUMMYFUNCTION("""COMPUTED_VALUE"""),349.90272992143093)</f>
        <v>349.9027299</v>
      </c>
      <c r="Y251" s="57">
        <f>IFERROR(__xludf.DUMMYFUNCTION("""COMPUTED_VALUE"""),0.6564611079850644)</f>
        <v>0.656461108</v>
      </c>
      <c r="Z251" s="57">
        <f>IFERROR(__xludf.DUMMYFUNCTION("""COMPUTED_VALUE"""),0.4929723062950648)</f>
        <v>0.4929723063</v>
      </c>
      <c r="AA251" s="57">
        <f>IFERROR(__xludf.DUMMYFUNCTION("""COMPUTED_VALUE"""),1.6238085256927168)</f>
        <v>1.623808526</v>
      </c>
      <c r="AB251" s="57">
        <f>IFERROR(__xludf.DUMMYFUNCTION("""COMPUTED_VALUE"""),2.4289008276867032)</f>
        <v>2.428900828</v>
      </c>
      <c r="AC251" s="31">
        <f>IFERROR(__xludf.DUMMYFUNCTION("""COMPUTED_VALUE"""),375.785746598857)</f>
        <v>375.7857466</v>
      </c>
      <c r="AD251" s="57">
        <f>IFERROR(__xludf.DUMMYFUNCTION("""COMPUTED_VALUE"""),0.8807033918464577)</f>
        <v>0.8807033918</v>
      </c>
      <c r="AE251" s="57">
        <f>IFERROR(__xludf.DUMMYFUNCTION("""COMPUTED_VALUE"""),0.653823214309556)</f>
        <v>0.6538232143</v>
      </c>
      <c r="AF251" s="57">
        <f>IFERROR(__xludf.DUMMYFUNCTION("""COMPUTED_VALUE"""),1.3174100332420813)</f>
        <v>1.317410033</v>
      </c>
      <c r="AG251" s="57">
        <f>IFERROR(__xludf.DUMMYFUNCTION("""COMPUTED_VALUE"""),2.9734739592646973)</f>
        <v>2.973473959</v>
      </c>
      <c r="AH251" s="57">
        <f>IFERROR(__xludf.DUMMYFUNCTION("""COMPUTED_VALUE"""),0.9826077847336936)</f>
        <v>0.9826077847</v>
      </c>
      <c r="AI251" s="57">
        <f>IFERROR(__xludf.DUMMYFUNCTION("""COMPUTED_VALUE"""),0.9935240491869798)</f>
        <v>0.9935240492</v>
      </c>
      <c r="AJ251" s="57">
        <f>IFERROR(__xludf.DUMMYFUNCTION("""COMPUTED_VALUE"""),1.0515074793207013)</f>
        <v>1.051507479</v>
      </c>
      <c r="AK251" s="57">
        <f>IFERROR(__xludf.DUMMYFUNCTION("""COMPUTED_VALUE"""),0.9488313952823112)</f>
        <v>0.9488313953</v>
      </c>
      <c r="AL251" s="57">
        <f>IFERROR(__xludf.DUMMYFUNCTION("""COMPUTED_VALUE"""),1.0719784479929424)</f>
        <v>1.071978448</v>
      </c>
      <c r="AM251" s="57">
        <f>IFERROR(__xludf.DUMMYFUNCTION("""COMPUTED_VALUE"""),1.0542810952522925)</f>
        <v>1.054281095</v>
      </c>
      <c r="AN251" s="57">
        <f>IFERROR(__xludf.DUMMYFUNCTION("""COMPUTED_VALUE"""),1.1424896172479173)</f>
        <v>1.142489617</v>
      </c>
      <c r="AO251" s="57">
        <f>IFERROR(__xludf.DUMMYFUNCTION("""COMPUTED_VALUE"""),1.0565164141727517)</f>
        <v>1.056516414</v>
      </c>
      <c r="AP251" s="35">
        <f>IFERROR(__xludf.DUMMYFUNCTION("""COMPUTED_VALUE"""),1.039223512686086)</f>
        <v>1.039223513</v>
      </c>
      <c r="AQ251" s="57">
        <f>IFERROR(__xludf.DUMMYFUNCTION("""COMPUTED_VALUE"""),1.0121176234579579)</f>
        <v>1.012117623</v>
      </c>
      <c r="AR251" s="36" t="b">
        <f>IFERROR(__xludf.DUMMYFUNCTION("""COMPUTED_VALUE"""),TRUE)</f>
        <v>1</v>
      </c>
      <c r="AS251" s="57"/>
      <c r="AT251" s="37"/>
      <c r="AU251" s="30"/>
      <c r="AV251" s="30"/>
      <c r="AW251" s="30"/>
      <c r="AX251" s="30"/>
      <c r="AY251" s="30"/>
      <c r="AZ251" s="30"/>
    </row>
    <row r="252">
      <c r="A252" s="30" t="str">
        <f>IFERROR(__xludf.DUMMYFUNCTION("""COMPUTED_VALUE"""),"Elite")</f>
        <v>Elite</v>
      </c>
      <c r="B252" s="30" t="str">
        <f>IFERROR(__xludf.DUMMYFUNCTION("""COMPUTED_VALUE"""),"RSC002097")</f>
        <v>RSC002097</v>
      </c>
      <c r="C252" s="30" t="str">
        <f>IFERROR(__xludf.DUMMYFUNCTION("""COMPUTED_VALUE"""),"NoobZ")</f>
        <v>NoobZ</v>
      </c>
      <c r="D252" s="31" t="str">
        <f>IFERROR(__xludf.DUMMYFUNCTION("""COMPUTED_VALUE"""),"Thrashers")</f>
        <v>Thrashers</v>
      </c>
      <c r="E252" s="31">
        <f>IFERROR(__xludf.DUMMYFUNCTION("""COMPUTED_VALUE"""),62.75547971631837)</f>
        <v>62.75547972</v>
      </c>
      <c r="F252" s="31">
        <f>IFERROR(__xludf.DUMMYFUNCTION("""COMPUTED_VALUE"""),3.2792373379175235)</f>
        <v>3.279237338</v>
      </c>
      <c r="G252" s="31">
        <f>IFERROR(__xludf.DUMMYFUNCTION("""COMPUTED_VALUE"""),46.57500919395238)</f>
        <v>46.57500919</v>
      </c>
      <c r="H252" s="31">
        <f>IFERROR(__xludf.DUMMYFUNCTION("""COMPUTED_VALUE"""),-2.2445906005693246)</f>
        <v>-2.244590601</v>
      </c>
      <c r="I252" s="54">
        <f>IFERROR(__xludf.DUMMYFUNCTION("""COMPUTED_VALUE"""),36.0)</f>
        <v>36</v>
      </c>
      <c r="J252" s="55">
        <f>IFERROR(__xludf.DUMMYFUNCTION("""COMPUTED_VALUE"""),19.0)</f>
        <v>19</v>
      </c>
      <c r="K252" s="54">
        <f>IFERROR(__xludf.DUMMYFUNCTION("""COMPUTED_VALUE"""),17.0)</f>
        <v>17</v>
      </c>
      <c r="L252" s="56">
        <f>IFERROR(__xludf.DUMMYFUNCTION("""COMPUTED_VALUE"""),0.5277777777777778)</f>
        <v>0.5277777778</v>
      </c>
      <c r="M252" s="56">
        <f>IFERROR(__xludf.DUMMYFUNCTION("""COMPUTED_VALUE"""),0.30303030303030304)</f>
        <v>0.303030303</v>
      </c>
      <c r="N252" s="31">
        <f>IFERROR(__xludf.DUMMYFUNCTION("""COMPUTED_VALUE"""),352.69444444444446)</f>
        <v>352.6944444</v>
      </c>
      <c r="O252" s="57">
        <f>IFERROR(__xludf.DUMMYFUNCTION("""COMPUTED_VALUE"""),0.8333333333333334)</f>
        <v>0.8333333333</v>
      </c>
      <c r="P252" s="57">
        <f>IFERROR(__xludf.DUMMYFUNCTION("""COMPUTED_VALUE"""),0.6111111111111112)</f>
        <v>0.6111111111</v>
      </c>
      <c r="Q252" s="57">
        <f>IFERROR(__xludf.DUMMYFUNCTION("""COMPUTED_VALUE"""),1.1388888888888888)</f>
        <v>1.138888889</v>
      </c>
      <c r="R252" s="57">
        <f>IFERROR(__xludf.DUMMYFUNCTION("""COMPUTED_VALUE"""),2.75)</f>
        <v>2.75</v>
      </c>
      <c r="S252" s="31">
        <f>IFERROR(__xludf.DUMMYFUNCTION("""COMPUTED_VALUE"""),376.5648148148148)</f>
        <v>376.5648148</v>
      </c>
      <c r="T252" s="57">
        <f>IFERROR(__xludf.DUMMYFUNCTION("""COMPUTED_VALUE"""),0.898148148148148)</f>
        <v>0.8981481481</v>
      </c>
      <c r="U252" s="57">
        <f>IFERROR(__xludf.DUMMYFUNCTION("""COMPUTED_VALUE"""),0.6481481481481483)</f>
        <v>0.6481481481</v>
      </c>
      <c r="V252" s="57">
        <f>IFERROR(__xludf.DUMMYFUNCTION("""COMPUTED_VALUE"""),1.5185185185185184)</f>
        <v>1.518518519</v>
      </c>
      <c r="W252" s="57">
        <f>IFERROR(__xludf.DUMMYFUNCTION("""COMPUTED_VALUE"""),2.5462962962962963)</f>
        <v>2.546296296</v>
      </c>
      <c r="X252" s="31">
        <f>IFERROR(__xludf.DUMMYFUNCTION("""COMPUTED_VALUE"""),368.4035286567312)</f>
        <v>368.4035287</v>
      </c>
      <c r="Y252" s="57">
        <f>IFERROR(__xludf.DUMMYFUNCTION("""COMPUTED_VALUE"""),0.8051259124550891)</f>
        <v>0.8051259125</v>
      </c>
      <c r="Z252" s="57">
        <f>IFERROR(__xludf.DUMMYFUNCTION("""COMPUTED_VALUE"""),0.6141087762578504)</f>
        <v>0.6141087763</v>
      </c>
      <c r="AA252" s="57">
        <f>IFERROR(__xludf.DUMMYFUNCTION("""COMPUTED_VALUE"""),1.4282221704968117)</f>
        <v>1.42822217</v>
      </c>
      <c r="AB252" s="57">
        <f>IFERROR(__xludf.DUMMYFUNCTION("""COMPUTED_VALUE"""),2.6976929219493577)</f>
        <v>2.697692922</v>
      </c>
      <c r="AC252" s="31">
        <f>IFERROR(__xludf.DUMMYFUNCTION("""COMPUTED_VALUE"""),344.9032302066567)</f>
        <v>344.9032302</v>
      </c>
      <c r="AD252" s="57">
        <f>IFERROR(__xludf.DUMMYFUNCTION("""COMPUTED_VALUE"""),0.6990731273057497)</f>
        <v>0.6990731273</v>
      </c>
      <c r="AE252" s="57">
        <f>IFERROR(__xludf.DUMMYFUNCTION("""COMPUTED_VALUE"""),0.5056816235824899)</f>
        <v>0.5056816236</v>
      </c>
      <c r="AF252" s="57">
        <f>IFERROR(__xludf.DUMMYFUNCTION("""COMPUTED_VALUE"""),1.404643681359883)</f>
        <v>1.404643681</v>
      </c>
      <c r="AG252" s="57">
        <f>IFERROR(__xludf.DUMMYFUNCTION("""COMPUTED_VALUE"""),2.514119393109605)</f>
        <v>2.514119393</v>
      </c>
      <c r="AH252" s="57">
        <f>IFERROR(__xludf.DUMMYFUNCTION("""COMPUTED_VALUE"""),1.02258956587075)</f>
        <v>1.022589566</v>
      </c>
      <c r="AI252" s="57">
        <f>IFERROR(__xludf.DUMMYFUNCTION("""COMPUTED_VALUE"""),1.1920545945529717)</f>
        <v>1.192054595</v>
      </c>
      <c r="AJ252" s="57">
        <f>IFERROR(__xludf.DUMMYFUNCTION("""COMPUTED_VALUE"""),1.2084898533225479)</f>
        <v>1.208489853</v>
      </c>
      <c r="AK252" s="57">
        <f>IFERROR(__xludf.DUMMYFUNCTION("""COMPUTED_VALUE"""),0.810802699647139)</f>
        <v>0.8108026996</v>
      </c>
      <c r="AL252" s="57">
        <f>IFERROR(__xludf.DUMMYFUNCTION("""COMPUTED_VALUE"""),1.0938223568605645)</f>
        <v>1.093822357</v>
      </c>
      <c r="AM252" s="57">
        <f>IFERROR(__xludf.DUMMYFUNCTION("""COMPUTED_VALUE"""),1.0221531161437056)</f>
        <v>1.022153116</v>
      </c>
      <c r="AN252" s="57">
        <f>IFERROR(__xludf.DUMMYFUNCTION("""COMPUTED_VALUE"""),1.115537500723836)</f>
        <v>1.115537501</v>
      </c>
      <c r="AO252" s="57">
        <f>IFERROR(__xludf.DUMMYFUNCTION("""COMPUTED_VALUE"""),1.0554288966487682)</f>
        <v>1.055428897</v>
      </c>
      <c r="AP252" s="35">
        <f>IFERROR(__xludf.DUMMYFUNCTION("""COMPUTED_VALUE"""),1.0632229003911182)</f>
        <v>1.0632229</v>
      </c>
      <c r="AQ252" s="57">
        <f>IFERROR(__xludf.DUMMYFUNCTION("""COMPUTED_VALUE"""),0.9438792219747302)</f>
        <v>0.943879222</v>
      </c>
      <c r="AR252" s="36" t="b">
        <f>IFERROR(__xludf.DUMMYFUNCTION("""COMPUTED_VALUE"""),TRUE)</f>
        <v>1</v>
      </c>
      <c r="AS252" s="57"/>
      <c r="AT252" s="37"/>
      <c r="AU252" s="30"/>
      <c r="AV252" s="30"/>
      <c r="AW252" s="30"/>
      <c r="AX252" s="30"/>
      <c r="AY252" s="30"/>
      <c r="AZ252" s="30"/>
    </row>
    <row r="253">
      <c r="A253" s="30" t="str">
        <f>IFERROR(__xludf.DUMMYFUNCTION("""COMPUTED_VALUE"""),"Elite")</f>
        <v>Elite</v>
      </c>
      <c r="B253" s="30" t="str">
        <f>IFERROR(__xludf.DUMMYFUNCTION("""COMPUTED_VALUE"""),"RSC007843")</f>
        <v>RSC007843</v>
      </c>
      <c r="C253" s="30" t="str">
        <f>IFERROR(__xludf.DUMMYFUNCTION("""COMPUTED_VALUE"""),"BLOO")</f>
        <v>BLOO</v>
      </c>
      <c r="D253" s="31" t="str">
        <f>IFERROR(__xludf.DUMMYFUNCTION("""COMPUTED_VALUE"""),"Praetorian Guard")</f>
        <v>Praetorian Guard</v>
      </c>
      <c r="E253" s="31">
        <f>IFERROR(__xludf.DUMMYFUNCTION("""COMPUTED_VALUE"""),61.83896070765384)</f>
        <v>61.83896071</v>
      </c>
      <c r="F253" s="31">
        <f>IFERROR(__xludf.DUMMYFUNCTION("""COMPUTED_VALUE"""),3.145569932170053)</f>
        <v>3.145569932</v>
      </c>
      <c r="G253" s="31">
        <f>IFERROR(__xludf.DUMMYFUNCTION("""COMPUTED_VALUE"""),60.99373761572494)</f>
        <v>60.99373762</v>
      </c>
      <c r="H253" s="31">
        <f>IFERROR(__xludf.DUMMYFUNCTION("""COMPUTED_VALUE"""),3.0297588509946443)</f>
        <v>3.029758851</v>
      </c>
      <c r="I253" s="54">
        <f>IFERROR(__xludf.DUMMYFUNCTION("""COMPUTED_VALUE"""),24.0)</f>
        <v>24</v>
      </c>
      <c r="J253" s="55">
        <f>IFERROR(__xludf.DUMMYFUNCTION("""COMPUTED_VALUE"""),16.0)</f>
        <v>16</v>
      </c>
      <c r="K253" s="54">
        <f>IFERROR(__xludf.DUMMYFUNCTION("""COMPUTED_VALUE"""),8.0)</f>
        <v>8</v>
      </c>
      <c r="L253" s="56">
        <f>IFERROR(__xludf.DUMMYFUNCTION("""COMPUTED_VALUE"""),0.6666666666666666)</f>
        <v>0.6666666667</v>
      </c>
      <c r="M253" s="56">
        <f>IFERROR(__xludf.DUMMYFUNCTION("""COMPUTED_VALUE"""),0.22077922077922077)</f>
        <v>0.2207792208</v>
      </c>
      <c r="N253" s="31">
        <f>IFERROR(__xludf.DUMMYFUNCTION("""COMPUTED_VALUE"""),357.2916666666667)</f>
        <v>357.2916667</v>
      </c>
      <c r="O253" s="57">
        <f>IFERROR(__xludf.DUMMYFUNCTION("""COMPUTED_VALUE"""),0.7083333333333334)</f>
        <v>0.7083333333</v>
      </c>
      <c r="P253" s="57">
        <f>IFERROR(__xludf.DUMMYFUNCTION("""COMPUTED_VALUE"""),0.7083333333333334)</f>
        <v>0.7083333333</v>
      </c>
      <c r="Q253" s="57">
        <f>IFERROR(__xludf.DUMMYFUNCTION("""COMPUTED_VALUE"""),1.0833333333333333)</f>
        <v>1.083333333</v>
      </c>
      <c r="R253" s="57">
        <f>IFERROR(__xludf.DUMMYFUNCTION("""COMPUTED_VALUE"""),3.2083333333333335)</f>
        <v>3.208333333</v>
      </c>
      <c r="S253" s="31">
        <f>IFERROR(__xludf.DUMMYFUNCTION("""COMPUTED_VALUE"""),347.6666666666667)</f>
        <v>347.6666667</v>
      </c>
      <c r="T253" s="57">
        <f>IFERROR(__xludf.DUMMYFUNCTION("""COMPUTED_VALUE"""),0.6388888888888888)</f>
        <v>0.6388888889</v>
      </c>
      <c r="U253" s="57">
        <f>IFERROR(__xludf.DUMMYFUNCTION("""COMPUTED_VALUE"""),0.5277777777777778)</f>
        <v>0.5277777778</v>
      </c>
      <c r="V253" s="57">
        <f>IFERROR(__xludf.DUMMYFUNCTION("""COMPUTED_VALUE"""),1.597222222222222)</f>
        <v>1.597222222</v>
      </c>
      <c r="W253" s="57">
        <f>IFERROR(__xludf.DUMMYFUNCTION("""COMPUTED_VALUE"""),2.236111111111111)</f>
        <v>2.236111111</v>
      </c>
      <c r="X253" s="31">
        <f>IFERROR(__xludf.DUMMYFUNCTION("""COMPUTED_VALUE"""),352.40239362187344)</f>
        <v>352.4023936</v>
      </c>
      <c r="Y253" s="57">
        <f>IFERROR(__xludf.DUMMYFUNCTION("""COMPUTED_VALUE"""),0.7173705174017136)</f>
        <v>0.7173705174</v>
      </c>
      <c r="Z253" s="57">
        <f>IFERROR(__xludf.DUMMYFUNCTION("""COMPUTED_VALUE"""),0.5435692391481932)</f>
        <v>0.5435692391</v>
      </c>
      <c r="AA253" s="57">
        <f>IFERROR(__xludf.DUMMYFUNCTION("""COMPUTED_VALUE"""),1.5032010641204734)</f>
        <v>1.503201064</v>
      </c>
      <c r="AB253" s="57">
        <f>IFERROR(__xludf.DUMMYFUNCTION("""COMPUTED_VALUE"""),2.4062112588706417)</f>
        <v>2.406211259</v>
      </c>
      <c r="AC253" s="31">
        <f>IFERROR(__xludf.DUMMYFUNCTION("""COMPUTED_VALUE"""),369.4823462275862)</f>
        <v>369.4823462</v>
      </c>
      <c r="AD253" s="57">
        <f>IFERROR(__xludf.DUMMYFUNCTION("""COMPUTED_VALUE"""),0.8363990489790579)</f>
        <v>0.836399049</v>
      </c>
      <c r="AE253" s="57">
        <f>IFERROR(__xludf.DUMMYFUNCTION("""COMPUTED_VALUE"""),0.6292578464892756)</f>
        <v>0.6292578465</v>
      </c>
      <c r="AF253" s="57">
        <f>IFERROR(__xludf.DUMMYFUNCTION("""COMPUTED_VALUE"""),1.3498004275728486)</f>
        <v>1.349800428</v>
      </c>
      <c r="AG253" s="57">
        <f>IFERROR(__xludf.DUMMYFUNCTION("""COMPUTED_VALUE"""),2.897379304983847)</f>
        <v>2.897379305</v>
      </c>
      <c r="AH253" s="57">
        <f>IFERROR(__xludf.DUMMYFUNCTION("""COMPUTED_VALUE"""),0.9670060567564693)</f>
        <v>0.9670060568</v>
      </c>
      <c r="AI253" s="57">
        <f>IFERROR(__xludf.DUMMYFUNCTION("""COMPUTED_VALUE"""),0.8468844317768573)</f>
        <v>0.8468844318</v>
      </c>
      <c r="AJ253" s="57">
        <f>IFERROR(__xludf.DUMMYFUNCTION("""COMPUTED_VALUE"""),1.1256646814739488)</f>
        <v>1.125664681</v>
      </c>
      <c r="AK253" s="57">
        <f>IFERROR(__xludf.DUMMYFUNCTION("""COMPUTED_VALUE"""),0.8025877835002136)</f>
        <v>0.8025877835</v>
      </c>
      <c r="AL253" s="57">
        <f>IFERROR(__xludf.DUMMYFUNCTION("""COMPUTED_VALUE"""),1.1073225130774584)</f>
        <v>1.107322513</v>
      </c>
      <c r="AM253" s="57">
        <f>IFERROR(__xludf.DUMMYFUNCTION("""COMPUTED_VALUE"""),0.9865615925404634)</f>
        <v>0.9865615925</v>
      </c>
      <c r="AN253" s="57">
        <f>IFERROR(__xludf.DUMMYFUNCTION("""COMPUTED_VALUE"""),0.8905981963169018)</f>
        <v>0.8905981963</v>
      </c>
      <c r="AO253" s="57">
        <f>IFERROR(__xludf.DUMMYFUNCTION("""COMPUTED_VALUE"""),0.970948574288049)</f>
        <v>0.9709485743</v>
      </c>
      <c r="AP253" s="35">
        <f>IFERROR(__xludf.DUMMYFUNCTION("""COMPUTED_VALUE"""),1.0625472934698597)</f>
        <v>1.062547293</v>
      </c>
      <c r="AQ253" s="57">
        <f>IFERROR(__xludf.DUMMYFUNCTION("""COMPUTED_VALUE"""),0.9293078913447661)</f>
        <v>0.9293078913</v>
      </c>
      <c r="AR253" s="36" t="b">
        <f>IFERROR(__xludf.DUMMYFUNCTION("""COMPUTED_VALUE"""),TRUE)</f>
        <v>1</v>
      </c>
      <c r="AS253" s="57"/>
      <c r="AT253" s="37"/>
      <c r="AU253" s="30"/>
      <c r="AV253" s="30"/>
      <c r="AW253" s="30"/>
      <c r="AX253" s="30"/>
      <c r="AY253" s="30"/>
      <c r="AZ253" s="30"/>
    </row>
    <row r="254">
      <c r="A254" s="30" t="str">
        <f>IFERROR(__xludf.DUMMYFUNCTION("""COMPUTED_VALUE"""),"Elite")</f>
        <v>Elite</v>
      </c>
      <c r="B254" s="30" t="str">
        <f>IFERROR(__xludf.DUMMYFUNCTION("""COMPUTED_VALUE"""),"RSC007354")</f>
        <v>RSC007354</v>
      </c>
      <c r="C254" s="30" t="str">
        <f>IFERROR(__xludf.DUMMYFUNCTION("""COMPUTED_VALUE"""),"Fanatic")</f>
        <v>Fanatic</v>
      </c>
      <c r="D254" s="31" t="str">
        <f>IFERROR(__xludf.DUMMYFUNCTION("""COMPUTED_VALUE"""),"Desolation")</f>
        <v>Desolation</v>
      </c>
      <c r="E254" s="31">
        <f>IFERROR(__xludf.DUMMYFUNCTION("""COMPUTED_VALUE"""),60.93490321324785)</f>
        <v>60.93490321</v>
      </c>
      <c r="F254" s="31">
        <f>IFERROR(__xludf.DUMMYFUNCTION("""COMPUTED_VALUE"""),3.021951038385264)</f>
        <v>3.021951038</v>
      </c>
      <c r="G254" s="31">
        <f>IFERROR(__xludf.DUMMYFUNCTION("""COMPUTED_VALUE"""),58.61536739614877)</f>
        <v>58.6153674</v>
      </c>
      <c r="H254" s="31">
        <f>IFERROR(__xludf.DUMMYFUNCTION("""COMPUTED_VALUE"""),2.738285403574941)</f>
        <v>2.738285404</v>
      </c>
      <c r="I254" s="54">
        <f>IFERROR(__xludf.DUMMYFUNCTION("""COMPUTED_VALUE"""),32.0)</f>
        <v>32</v>
      </c>
      <c r="J254" s="55">
        <f>IFERROR(__xludf.DUMMYFUNCTION("""COMPUTED_VALUE"""),20.0)</f>
        <v>20</v>
      </c>
      <c r="K254" s="54">
        <f>IFERROR(__xludf.DUMMYFUNCTION("""COMPUTED_VALUE"""),12.0)</f>
        <v>12</v>
      </c>
      <c r="L254" s="56">
        <f>IFERROR(__xludf.DUMMYFUNCTION("""COMPUTED_VALUE"""),0.625)</f>
        <v>0.625</v>
      </c>
      <c r="M254" s="56">
        <f>IFERROR(__xludf.DUMMYFUNCTION("""COMPUTED_VALUE"""),0.32142857142857145)</f>
        <v>0.3214285714</v>
      </c>
      <c r="N254" s="31">
        <f>IFERROR(__xludf.DUMMYFUNCTION("""COMPUTED_VALUE"""),382.5)</f>
        <v>382.5</v>
      </c>
      <c r="O254" s="57">
        <f>IFERROR(__xludf.DUMMYFUNCTION("""COMPUTED_VALUE"""),0.84375)</f>
        <v>0.84375</v>
      </c>
      <c r="P254" s="57">
        <f>IFERROR(__xludf.DUMMYFUNCTION("""COMPUTED_VALUE"""),0.65625)</f>
        <v>0.65625</v>
      </c>
      <c r="Q254" s="57">
        <f>IFERROR(__xludf.DUMMYFUNCTION("""COMPUTED_VALUE"""),1.40625)</f>
        <v>1.40625</v>
      </c>
      <c r="R254" s="57">
        <f>IFERROR(__xludf.DUMMYFUNCTION("""COMPUTED_VALUE"""),2.625)</f>
        <v>2.625</v>
      </c>
      <c r="S254" s="31">
        <f>IFERROR(__xludf.DUMMYFUNCTION("""COMPUTED_VALUE"""),346.8020833333333)</f>
        <v>346.8020833</v>
      </c>
      <c r="T254" s="57">
        <f>IFERROR(__xludf.DUMMYFUNCTION("""COMPUTED_VALUE"""),0.6770833333333334)</f>
        <v>0.6770833333</v>
      </c>
      <c r="U254" s="57">
        <f>IFERROR(__xludf.DUMMYFUNCTION("""COMPUTED_VALUE"""),0.44791666666666674)</f>
        <v>0.4479166667</v>
      </c>
      <c r="V254" s="57">
        <f>IFERROR(__xludf.DUMMYFUNCTION("""COMPUTED_VALUE"""),1.4062499999999998)</f>
        <v>1.40625</v>
      </c>
      <c r="W254" s="57">
        <f>IFERROR(__xludf.DUMMYFUNCTION("""COMPUTED_VALUE"""),2.4999999999999996)</f>
        <v>2.5</v>
      </c>
      <c r="X254" s="31">
        <f>IFERROR(__xludf.DUMMYFUNCTION("""COMPUTED_VALUE"""),351.70651479922196)</f>
        <v>351.7065148</v>
      </c>
      <c r="Y254" s="57">
        <f>IFERROR(__xludf.DUMMYFUNCTION("""COMPUTED_VALUE"""),0.6553989515972909)</f>
        <v>0.6553989516</v>
      </c>
      <c r="Z254" s="57">
        <f>IFERROR(__xludf.DUMMYFUNCTION("""COMPUTED_VALUE"""),0.500644694862177)</f>
        <v>0.5006446949</v>
      </c>
      <c r="AA254" s="57">
        <f>IFERROR(__xludf.DUMMYFUNCTION("""COMPUTED_VALUE"""),1.5049296782705126)</f>
        <v>1.504929678</v>
      </c>
      <c r="AB254" s="57">
        <f>IFERROR(__xludf.DUMMYFUNCTION("""COMPUTED_VALUE"""),2.4991568079486437)</f>
        <v>2.499156808</v>
      </c>
      <c r="AC254" s="31">
        <f>IFERROR(__xludf.DUMMYFUNCTION("""COMPUTED_VALUE"""),371.412386098922)</f>
        <v>371.4123861</v>
      </c>
      <c r="AD254" s="57">
        <f>IFERROR(__xludf.DUMMYFUNCTION("""COMPUTED_VALUE"""),0.8182126099162524)</f>
        <v>0.8182126099</v>
      </c>
      <c r="AE254" s="57">
        <f>IFERROR(__xludf.DUMMYFUNCTION("""COMPUTED_VALUE"""),0.6139759812400744)</f>
        <v>0.6139759812</v>
      </c>
      <c r="AF254" s="57">
        <f>IFERROR(__xludf.DUMMYFUNCTION("""COMPUTED_VALUE"""),1.4325431786945053)</f>
        <v>1.432543179</v>
      </c>
      <c r="AG254" s="57">
        <f>IFERROR(__xludf.DUMMYFUNCTION("""COMPUTED_VALUE"""),2.7903183873080115)</f>
        <v>2.790318387</v>
      </c>
      <c r="AH254" s="57">
        <f>IFERROR(__xludf.DUMMYFUNCTION("""COMPUTED_VALUE"""),1.029852569047401)</f>
        <v>1.029852569</v>
      </c>
      <c r="AI254" s="57">
        <f>IFERROR(__xludf.DUMMYFUNCTION("""COMPUTED_VALUE"""),1.031211191045273)</f>
        <v>1.031211191</v>
      </c>
      <c r="AJ254" s="57">
        <f>IFERROR(__xludf.DUMMYFUNCTION("""COMPUTED_VALUE"""),1.068852886841832)</f>
        <v>1.068852887</v>
      </c>
      <c r="AK254" s="57">
        <f>IFERROR(__xludf.DUMMYFUNCTION("""COMPUTED_VALUE"""),0.9816458037108057)</f>
        <v>0.9816458037</v>
      </c>
      <c r="AL254" s="57">
        <f>IFERROR(__xludf.DUMMYFUNCTION("""COMPUTED_VALUE"""),0.9407528588637141)</f>
        <v>0.9407528589</v>
      </c>
      <c r="AM254" s="57">
        <f>IFERROR(__xludf.DUMMYFUNCTION("""COMPUTED_VALUE"""),0.9860553294877451)</f>
        <v>0.9860553295</v>
      </c>
      <c r="AN254" s="57">
        <f>IFERROR(__xludf.DUMMYFUNCTION("""COMPUTED_VALUE"""),1.033085774219191)</f>
        <v>1.033085774</v>
      </c>
      <c r="AO254" s="57">
        <f>IFERROR(__xludf.DUMMYFUNCTION("""COMPUTED_VALUE"""),0.8946797424668091)</f>
        <v>0.8946797425</v>
      </c>
      <c r="AP254" s="35">
        <f>IFERROR(__xludf.DUMMYFUNCTION("""COMPUTED_VALUE"""),0.9344290436321803)</f>
        <v>0.9344290436</v>
      </c>
      <c r="AQ254" s="57">
        <f>IFERROR(__xludf.DUMMYFUNCTION("""COMPUTED_VALUE"""),1.000337390614576)</f>
        <v>1.000337391</v>
      </c>
      <c r="AR254" s="36" t="b">
        <f>IFERROR(__xludf.DUMMYFUNCTION("""COMPUTED_VALUE"""),TRUE)</f>
        <v>1</v>
      </c>
      <c r="AS254" s="57"/>
      <c r="AT254" s="37"/>
      <c r="AU254" s="30"/>
      <c r="AV254" s="30"/>
      <c r="AW254" s="30"/>
      <c r="AX254" s="30"/>
      <c r="AY254" s="30"/>
      <c r="AZ254" s="30"/>
    </row>
    <row r="255">
      <c r="A255" s="30" t="str">
        <f>IFERROR(__xludf.DUMMYFUNCTION("""COMPUTED_VALUE"""),"Elite")</f>
        <v>Elite</v>
      </c>
      <c r="B255" s="30" t="str">
        <f>IFERROR(__xludf.DUMMYFUNCTION("""COMPUTED_VALUE"""),"RSC007166")</f>
        <v>RSC007166</v>
      </c>
      <c r="C255" s="30" t="str">
        <f>IFERROR(__xludf.DUMMYFUNCTION("""COMPUTED_VALUE"""),"nelz")</f>
        <v>nelz</v>
      </c>
      <c r="D255" s="31" t="str">
        <f>IFERROR(__xludf.DUMMYFUNCTION("""COMPUTED_VALUE"""),"Ghastly Goombahs")</f>
        <v>Ghastly Goombahs</v>
      </c>
      <c r="E255" s="31">
        <f>IFERROR(__xludf.DUMMYFUNCTION("""COMPUTED_VALUE"""),60.64681894651165)</f>
        <v>60.64681895</v>
      </c>
      <c r="F255" s="31">
        <f>IFERROR(__xludf.DUMMYFUNCTION("""COMPUTED_VALUE"""),2.984181303226538)</f>
        <v>2.984181303</v>
      </c>
      <c r="G255" s="31">
        <f>IFERROR(__xludf.DUMMYFUNCTION("""COMPUTED_VALUE"""),57.16099102025201)</f>
        <v>57.16099102</v>
      </c>
      <c r="H255" s="31">
        <f>IFERROR(__xludf.DUMMYFUNCTION("""COMPUTED_VALUE"""),2.5821730846894018)</f>
        <v>2.582173085</v>
      </c>
      <c r="I255" s="54">
        <f>IFERROR(__xludf.DUMMYFUNCTION("""COMPUTED_VALUE"""),32.0)</f>
        <v>32</v>
      </c>
      <c r="J255" s="55">
        <f>IFERROR(__xludf.DUMMYFUNCTION("""COMPUTED_VALUE"""),13.0)</f>
        <v>13</v>
      </c>
      <c r="K255" s="54">
        <f>IFERROR(__xludf.DUMMYFUNCTION("""COMPUTED_VALUE"""),19.0)</f>
        <v>19</v>
      </c>
      <c r="L255" s="56">
        <f>IFERROR(__xludf.DUMMYFUNCTION("""COMPUTED_VALUE"""),0.40625)</f>
        <v>0.40625</v>
      </c>
      <c r="M255" s="56">
        <f>IFERROR(__xludf.DUMMYFUNCTION("""COMPUTED_VALUE"""),0.2608695652173913)</f>
        <v>0.2608695652</v>
      </c>
      <c r="N255" s="31">
        <f>IFERROR(__xludf.DUMMYFUNCTION("""COMPUTED_VALUE"""),392.09375)</f>
        <v>392.09375</v>
      </c>
      <c r="O255" s="57">
        <f>IFERROR(__xludf.DUMMYFUNCTION("""COMPUTED_VALUE"""),0.75)</f>
        <v>0.75</v>
      </c>
      <c r="P255" s="57">
        <f>IFERROR(__xludf.DUMMYFUNCTION("""COMPUTED_VALUE"""),0.59375)</f>
        <v>0.59375</v>
      </c>
      <c r="Q255" s="57">
        <f>IFERROR(__xludf.DUMMYFUNCTION("""COMPUTED_VALUE"""),1.875)</f>
        <v>1.875</v>
      </c>
      <c r="R255" s="57">
        <f>IFERROR(__xludf.DUMMYFUNCTION("""COMPUTED_VALUE"""),2.875)</f>
        <v>2.875</v>
      </c>
      <c r="S255" s="31">
        <f>IFERROR(__xludf.DUMMYFUNCTION("""COMPUTED_VALUE"""),367.75000000000006)</f>
        <v>367.75</v>
      </c>
      <c r="T255" s="57">
        <f>IFERROR(__xludf.DUMMYFUNCTION("""COMPUTED_VALUE"""),0.8125000000000001)</f>
        <v>0.8125</v>
      </c>
      <c r="U255" s="57">
        <f>IFERROR(__xludf.DUMMYFUNCTION("""COMPUTED_VALUE"""),0.5624999999999999)</f>
        <v>0.5625</v>
      </c>
      <c r="V255" s="57">
        <f>IFERROR(__xludf.DUMMYFUNCTION("""COMPUTED_VALUE"""),1.40625)</f>
        <v>1.40625</v>
      </c>
      <c r="W255" s="57">
        <f>IFERROR(__xludf.DUMMYFUNCTION("""COMPUTED_VALUE"""),2.760416666666666)</f>
        <v>2.760416667</v>
      </c>
      <c r="X255" s="31">
        <f>IFERROR(__xludf.DUMMYFUNCTION("""COMPUTED_VALUE"""),365.46733534317866)</f>
        <v>365.4673353</v>
      </c>
      <c r="Y255" s="57">
        <f>IFERROR(__xludf.DUMMYFUNCTION("""COMPUTED_VALUE"""),0.7914945413662844)</f>
        <v>0.7914945414</v>
      </c>
      <c r="Z255" s="57">
        <f>IFERROR(__xludf.DUMMYFUNCTION("""COMPUTED_VALUE"""),0.5857333705142032)</f>
        <v>0.5857333705</v>
      </c>
      <c r="AA255" s="57">
        <f>IFERROR(__xludf.DUMMYFUNCTION("""COMPUTED_VALUE"""),1.4172679982179812)</f>
        <v>1.417267998</v>
      </c>
      <c r="AB255" s="57">
        <f>IFERROR(__xludf.DUMMYFUNCTION("""COMPUTED_VALUE"""),2.7479840143283583)</f>
        <v>2.747984014</v>
      </c>
      <c r="AC255" s="31">
        <f>IFERROR(__xludf.DUMMYFUNCTION("""COMPUTED_VALUE"""),359.7567060421768)</f>
        <v>359.756706</v>
      </c>
      <c r="AD255" s="57">
        <f>IFERROR(__xludf.DUMMYFUNCTION("""COMPUTED_VALUE"""),0.7636794767382231)</f>
        <v>0.7636794767</v>
      </c>
      <c r="AE255" s="57">
        <f>IFERROR(__xludf.DUMMYFUNCTION("""COMPUTED_VALUE"""),0.5730972132691127)</f>
        <v>0.5730972133</v>
      </c>
      <c r="AF255" s="57">
        <f>IFERROR(__xludf.DUMMYFUNCTION("""COMPUTED_VALUE"""),1.432718995469001)</f>
        <v>1.432718995</v>
      </c>
      <c r="AG255" s="57">
        <f>IFERROR(__xludf.DUMMYFUNCTION("""COMPUTED_VALUE"""),2.6171151813384683)</f>
        <v>2.617115181</v>
      </c>
      <c r="AH255" s="57">
        <f>IFERROR(__xludf.DUMMYFUNCTION("""COMPUTED_VALUE"""),1.0898858684625383)</f>
        <v>1.089885868</v>
      </c>
      <c r="AI255" s="57">
        <f>IFERROR(__xludf.DUMMYFUNCTION("""COMPUTED_VALUE"""),0.9820874108118631)</f>
        <v>0.9820874108</v>
      </c>
      <c r="AJ255" s="57">
        <f>IFERROR(__xludf.DUMMYFUNCTION("""COMPUTED_VALUE"""),1.0360371438783968)</f>
        <v>1.036037144</v>
      </c>
      <c r="AK255" s="57">
        <f>IFERROR(__xludf.DUMMYFUNCTION("""COMPUTED_VALUE"""),1.308700454122351)</f>
        <v>1.308700454</v>
      </c>
      <c r="AL255" s="57">
        <f>IFERROR(__xludf.DUMMYFUNCTION("""COMPUTED_VALUE"""),1.0985378177087497)</f>
        <v>1.098537818</v>
      </c>
      <c r="AM255" s="57">
        <f>IFERROR(__xludf.DUMMYFUNCTION("""COMPUTED_VALUE"""),1.0062458787313453)</f>
        <v>1.006245879</v>
      </c>
      <c r="AN255" s="57">
        <f>IFERROR(__xludf.DUMMYFUNCTION("""COMPUTED_VALUE"""),1.0265389810490113)</f>
        <v>1.026538981</v>
      </c>
      <c r="AO255" s="57">
        <f>IFERROR(__xludf.DUMMYFUNCTION("""COMPUTED_VALUE"""),0.960334562304676)</f>
        <v>0.9603345623</v>
      </c>
      <c r="AP255" s="35">
        <f>IFERROR(__xludf.DUMMYFUNCTION("""COMPUTED_VALUE"""),0.9922258893647251)</f>
        <v>0.9922258894</v>
      </c>
      <c r="AQ255" s="57">
        <f>IFERROR(__xludf.DUMMYFUNCTION("""COMPUTED_VALUE"""),1.0045242811724822)</f>
        <v>1.004524281</v>
      </c>
      <c r="AR255" s="36" t="b">
        <f>IFERROR(__xludf.DUMMYFUNCTION("""COMPUTED_VALUE"""),TRUE)</f>
        <v>1</v>
      </c>
      <c r="AS255" s="57"/>
      <c r="AT255" s="37"/>
      <c r="AU255" s="30"/>
      <c r="AV255" s="30"/>
      <c r="AW255" s="30"/>
      <c r="AX255" s="30"/>
      <c r="AY255" s="30"/>
      <c r="AZ255" s="30"/>
    </row>
    <row r="256">
      <c r="A256" s="30" t="str">
        <f>IFERROR(__xludf.DUMMYFUNCTION("""COMPUTED_VALUE"""),"Elite")</f>
        <v>Elite</v>
      </c>
      <c r="B256" s="30" t="str">
        <f>IFERROR(__xludf.DUMMYFUNCTION("""COMPUTED_VALUE"""),"RSC007382")</f>
        <v>RSC007382</v>
      </c>
      <c r="C256" s="30" t="str">
        <f>IFERROR(__xludf.DUMMYFUNCTION("""COMPUTED_VALUE"""),"takeeover")</f>
        <v>takeeover</v>
      </c>
      <c r="D256" s="31" t="str">
        <f>IFERROR(__xludf.DUMMYFUNCTION("""COMPUTED_VALUE"""),"Afterburners")</f>
        <v>Afterburners</v>
      </c>
      <c r="E256" s="31">
        <f>IFERROR(__xludf.DUMMYFUNCTION("""COMPUTED_VALUE"""),60.59883036839426)</f>
        <v>60.59883037</v>
      </c>
      <c r="F256" s="31">
        <f>IFERROR(__xludf.DUMMYFUNCTION("""COMPUTED_VALUE"""),2.977963366773701)</f>
        <v>2.977963367</v>
      </c>
      <c r="G256" s="31">
        <f>IFERROR(__xludf.DUMMYFUNCTION("""COMPUTED_VALUE"""),63.33203293232782)</f>
        <v>63.33203293</v>
      </c>
      <c r="H256" s="31">
        <f>IFERROR(__xludf.DUMMYFUNCTION("""COMPUTED_VALUE"""),3.367917022714173)</f>
        <v>3.367917023</v>
      </c>
      <c r="I256" s="54">
        <f>IFERROR(__xludf.DUMMYFUNCTION("""COMPUTED_VALUE"""),36.0)</f>
        <v>36</v>
      </c>
      <c r="J256" s="55">
        <f>IFERROR(__xludf.DUMMYFUNCTION("""COMPUTED_VALUE"""),19.0)</f>
        <v>19</v>
      </c>
      <c r="K256" s="54">
        <f>IFERROR(__xludf.DUMMYFUNCTION("""COMPUTED_VALUE"""),17.0)</f>
        <v>17</v>
      </c>
      <c r="L256" s="56">
        <f>IFERROR(__xludf.DUMMYFUNCTION("""COMPUTED_VALUE"""),0.5277777777777778)</f>
        <v>0.5277777778</v>
      </c>
      <c r="M256" s="56">
        <f>IFERROR(__xludf.DUMMYFUNCTION("""COMPUTED_VALUE"""),0.23958333333333331)</f>
        <v>0.2395833333</v>
      </c>
      <c r="N256" s="31">
        <f>IFERROR(__xludf.DUMMYFUNCTION("""COMPUTED_VALUE"""),411.55555555555554)</f>
        <v>411.5555556</v>
      </c>
      <c r="O256" s="57">
        <f>IFERROR(__xludf.DUMMYFUNCTION("""COMPUTED_VALUE"""),0.6388888888888888)</f>
        <v>0.6388888889</v>
      </c>
      <c r="P256" s="57">
        <f>IFERROR(__xludf.DUMMYFUNCTION("""COMPUTED_VALUE"""),0.8611111111111112)</f>
        <v>0.8611111111</v>
      </c>
      <c r="Q256" s="57">
        <f>IFERROR(__xludf.DUMMYFUNCTION("""COMPUTED_VALUE"""),2.0)</f>
        <v>2</v>
      </c>
      <c r="R256" s="57">
        <f>IFERROR(__xludf.DUMMYFUNCTION("""COMPUTED_VALUE"""),2.6666666666666665)</f>
        <v>2.666666667</v>
      </c>
      <c r="S256" s="31">
        <f>IFERROR(__xludf.DUMMYFUNCTION("""COMPUTED_VALUE"""),364.287037037037)</f>
        <v>364.287037</v>
      </c>
      <c r="T256" s="57">
        <f>IFERROR(__xludf.DUMMYFUNCTION("""COMPUTED_VALUE"""),0.7500000000000001)</f>
        <v>0.75</v>
      </c>
      <c r="U256" s="57">
        <f>IFERROR(__xludf.DUMMYFUNCTION("""COMPUTED_VALUE"""),0.5462962962962964)</f>
        <v>0.5462962963</v>
      </c>
      <c r="V256" s="57">
        <f>IFERROR(__xludf.DUMMYFUNCTION("""COMPUTED_VALUE"""),1.5648148148148149)</f>
        <v>1.564814815</v>
      </c>
      <c r="W256" s="57">
        <f>IFERROR(__xludf.DUMMYFUNCTION("""COMPUTED_VALUE"""),2.6388888888888893)</f>
        <v>2.638888889</v>
      </c>
      <c r="X256" s="31">
        <f>IFERROR(__xludf.DUMMYFUNCTION("""COMPUTED_VALUE"""),358.6009972791631)</f>
        <v>358.6009973</v>
      </c>
      <c r="Y256" s="57">
        <f>IFERROR(__xludf.DUMMYFUNCTION("""COMPUTED_VALUE"""),0.7753078380537392)</f>
        <v>0.7753078381</v>
      </c>
      <c r="Z256" s="57">
        <f>IFERROR(__xludf.DUMMYFUNCTION("""COMPUTED_VALUE"""),0.5950268355029997)</f>
        <v>0.5950268355</v>
      </c>
      <c r="AA256" s="57">
        <f>IFERROR(__xludf.DUMMYFUNCTION("""COMPUTED_VALUE"""),1.4304247817734357)</f>
        <v>1.430424782</v>
      </c>
      <c r="AB256" s="57">
        <f>IFERROR(__xludf.DUMMYFUNCTION("""COMPUTED_VALUE"""),2.624074053623968)</f>
        <v>2.624074054</v>
      </c>
      <c r="AC256" s="31">
        <f>IFERROR(__xludf.DUMMYFUNCTION("""COMPUTED_VALUE"""),369.53633116867263)</f>
        <v>369.5363312</v>
      </c>
      <c r="AD256" s="57">
        <f>IFERROR(__xludf.DUMMYFUNCTION("""COMPUTED_VALUE"""),0.8385674566517628)</f>
        <v>0.8385674567</v>
      </c>
      <c r="AE256" s="57">
        <f>IFERROR(__xludf.DUMMYFUNCTION("""COMPUTED_VALUE"""),0.6328118124051578)</f>
        <v>0.6328118124</v>
      </c>
      <c r="AF256" s="57">
        <f>IFERROR(__xludf.DUMMYFUNCTION("""COMPUTED_VALUE"""),1.4335497617222899)</f>
        <v>1.433549762</v>
      </c>
      <c r="AG256" s="57">
        <f>IFERROR(__xludf.DUMMYFUNCTION("""COMPUTED_VALUE"""),2.695388069501947)</f>
        <v>2.69538807</v>
      </c>
      <c r="AH256" s="57">
        <f>IFERROR(__xludf.DUMMYFUNCTION("""COMPUTED_VALUE"""),1.1137079654766164)</f>
        <v>1.113707965</v>
      </c>
      <c r="AI256" s="57">
        <f>IFERROR(__xludf.DUMMYFUNCTION("""COMPUTED_VALUE"""),0.7618813296664865)</f>
        <v>0.7618813297</v>
      </c>
      <c r="AJ256" s="57">
        <f>IFERROR(__xludf.DUMMYFUNCTION("""COMPUTED_VALUE"""),1.3607696541539662)</f>
        <v>1.360769654</v>
      </c>
      <c r="AK256" s="57">
        <f>IFERROR(__xludf.DUMMYFUNCTION("""COMPUTED_VALUE"""),1.3951381761573227)</f>
        <v>1.395138176</v>
      </c>
      <c r="AL256" s="57">
        <f>IFERROR(__xludf.DUMMYFUNCTION("""COMPUTED_VALUE"""),0.9893442420554351)</f>
        <v>0.9893442421</v>
      </c>
      <c r="AM256" s="57">
        <f>IFERROR(__xludf.DUMMYFUNCTION("""COMPUTED_VALUE"""),1.0158561738562246)</f>
        <v>1.015856174</v>
      </c>
      <c r="AN256" s="57">
        <f>IFERROR(__xludf.DUMMYFUNCTION("""COMPUTED_VALUE"""),0.9673576909563181)</f>
        <v>0.967357691</v>
      </c>
      <c r="AO256" s="57">
        <f>IFERROR(__xludf.DUMMYFUNCTION("""COMPUTED_VALUE"""),0.9181036277708223)</f>
        <v>0.9181036278</v>
      </c>
      <c r="AP256" s="35">
        <f>IFERROR(__xludf.DUMMYFUNCTION("""COMPUTED_VALUE"""),1.093951135882002)</f>
        <v>1.093951136</v>
      </c>
      <c r="AQ256" s="57">
        <f>IFERROR(__xludf.DUMMYFUNCTION("""COMPUTED_VALUE"""),1.005645738253637)</f>
        <v>1.005645738</v>
      </c>
      <c r="AR256" s="36" t="b">
        <f>IFERROR(__xludf.DUMMYFUNCTION("""COMPUTED_VALUE"""),TRUE)</f>
        <v>1</v>
      </c>
      <c r="AS256" s="57"/>
      <c r="AT256" s="37"/>
      <c r="AU256" s="30"/>
      <c r="AV256" s="30"/>
      <c r="AW256" s="30"/>
      <c r="AX256" s="30"/>
      <c r="AY256" s="30"/>
      <c r="AZ256" s="30"/>
    </row>
    <row r="257">
      <c r="A257" s="30" t="str">
        <f>IFERROR(__xludf.DUMMYFUNCTION("""COMPUTED_VALUE"""),"Elite")</f>
        <v>Elite</v>
      </c>
      <c r="B257" s="30" t="str">
        <f>IFERROR(__xludf.DUMMYFUNCTION("""COMPUTED_VALUE"""),"RSC007836")</f>
        <v>RSC007836</v>
      </c>
      <c r="C257" s="30" t="str">
        <f>IFERROR(__xludf.DUMMYFUNCTION("""COMPUTED_VALUE"""),"Eclipse")</f>
        <v>Eclipse</v>
      </c>
      <c r="D257" s="31" t="str">
        <f>IFERROR(__xludf.DUMMYFUNCTION("""COMPUTED_VALUE"""),"Great Whites")</f>
        <v>Great Whites</v>
      </c>
      <c r="E257" s="31">
        <f>IFERROR(__xludf.DUMMYFUNCTION("""COMPUTED_VALUE"""),60.012505189160166)</f>
        <v>60.01250519</v>
      </c>
      <c r="F257" s="31">
        <f>IFERROR(__xludf.DUMMYFUNCTION("""COMPUTED_VALUE"""),2.9036505001544834)</f>
        <v>2.9036505</v>
      </c>
      <c r="G257" s="31">
        <f>IFERROR(__xludf.DUMMYFUNCTION("""COMPUTED_VALUE"""),56.05936453270581)</f>
        <v>56.05936453</v>
      </c>
      <c r="H257" s="31">
        <f>IFERROR(__xludf.DUMMYFUNCTION("""COMPUTED_VALUE"""),2.473747575114349)</f>
        <v>2.473747575</v>
      </c>
      <c r="I257" s="54">
        <f>IFERROR(__xludf.DUMMYFUNCTION("""COMPUTED_VALUE"""),36.0)</f>
        <v>36</v>
      </c>
      <c r="J257" s="55">
        <f>IFERROR(__xludf.DUMMYFUNCTION("""COMPUTED_VALUE"""),26.0)</f>
        <v>26</v>
      </c>
      <c r="K257" s="54">
        <f>IFERROR(__xludf.DUMMYFUNCTION("""COMPUTED_VALUE"""),10.0)</f>
        <v>10</v>
      </c>
      <c r="L257" s="56">
        <f>IFERROR(__xludf.DUMMYFUNCTION("""COMPUTED_VALUE"""),0.7222222222222222)</f>
        <v>0.7222222222</v>
      </c>
      <c r="M257" s="56">
        <f>IFERROR(__xludf.DUMMYFUNCTION("""COMPUTED_VALUE"""),0.3103448275862069)</f>
        <v>0.3103448276</v>
      </c>
      <c r="N257" s="31">
        <f>IFERROR(__xludf.DUMMYFUNCTION("""COMPUTED_VALUE"""),351.1111111111111)</f>
        <v>351.1111111</v>
      </c>
      <c r="O257" s="57">
        <f>IFERROR(__xludf.DUMMYFUNCTION("""COMPUTED_VALUE"""),0.75)</f>
        <v>0.75</v>
      </c>
      <c r="P257" s="57">
        <f>IFERROR(__xludf.DUMMYFUNCTION("""COMPUTED_VALUE"""),0.7222222222222222)</f>
        <v>0.7222222222</v>
      </c>
      <c r="Q257" s="57">
        <f>IFERROR(__xludf.DUMMYFUNCTION("""COMPUTED_VALUE"""),1.2222222222222223)</f>
        <v>1.222222222</v>
      </c>
      <c r="R257" s="57">
        <f>IFERROR(__xludf.DUMMYFUNCTION("""COMPUTED_VALUE"""),2.4166666666666665)</f>
        <v>2.416666667</v>
      </c>
      <c r="S257" s="31">
        <f>IFERROR(__xludf.DUMMYFUNCTION("""COMPUTED_VALUE"""),310.72222222222223)</f>
        <v>310.7222222</v>
      </c>
      <c r="T257" s="57">
        <f>IFERROR(__xludf.DUMMYFUNCTION("""COMPUTED_VALUE"""),0.4907407407407407)</f>
        <v>0.4907407407</v>
      </c>
      <c r="U257" s="57">
        <f>IFERROR(__xludf.DUMMYFUNCTION("""COMPUTED_VALUE"""),0.38888888888888895)</f>
        <v>0.3888888889</v>
      </c>
      <c r="V257" s="57">
        <f>IFERROR(__xludf.DUMMYFUNCTION("""COMPUTED_VALUE"""),1.4907407407407405)</f>
        <v>1.490740741</v>
      </c>
      <c r="W257" s="57">
        <f>IFERROR(__xludf.DUMMYFUNCTION("""COMPUTED_VALUE"""),2.092592592592593)</f>
        <v>2.092592593</v>
      </c>
      <c r="X257" s="31">
        <f>IFERROR(__xludf.DUMMYFUNCTION("""COMPUTED_VALUE"""),358.52030794008505)</f>
        <v>358.5203079</v>
      </c>
      <c r="Y257" s="57">
        <f>IFERROR(__xludf.DUMMYFUNCTION("""COMPUTED_VALUE"""),0.7215708039689926)</f>
        <v>0.721570804</v>
      </c>
      <c r="Z257" s="57">
        <f>IFERROR(__xludf.DUMMYFUNCTION("""COMPUTED_VALUE"""),0.49731693790984277)</f>
        <v>0.4973169379</v>
      </c>
      <c r="AA257" s="57">
        <f>IFERROR(__xludf.DUMMYFUNCTION("""COMPUTED_VALUE"""),1.5459243466588326)</f>
        <v>1.545924347</v>
      </c>
      <c r="AB257" s="57">
        <f>IFERROR(__xludf.DUMMYFUNCTION("""COMPUTED_VALUE"""),2.604063459953826)</f>
        <v>2.60406346</v>
      </c>
      <c r="AC257" s="31">
        <f>IFERROR(__xludf.DUMMYFUNCTION("""COMPUTED_VALUE"""),377.29435819496007)</f>
        <v>377.2943582</v>
      </c>
      <c r="AD257" s="57">
        <f>IFERROR(__xludf.DUMMYFUNCTION("""COMPUTED_VALUE"""),0.8384841157768189)</f>
        <v>0.8384841158</v>
      </c>
      <c r="AE257" s="57">
        <f>IFERROR(__xludf.DUMMYFUNCTION("""COMPUTED_VALUE"""),0.6582132819954238)</f>
        <v>0.658213282</v>
      </c>
      <c r="AF257" s="57">
        <f>IFERROR(__xludf.DUMMYFUNCTION("""COMPUTED_VALUE"""),1.456329126162349)</f>
        <v>1.456329126</v>
      </c>
      <c r="AG257" s="57">
        <f>IFERROR(__xludf.DUMMYFUNCTION("""COMPUTED_VALUE"""),2.862894459725231)</f>
        <v>2.86289446</v>
      </c>
      <c r="AH257" s="57">
        <f>IFERROR(__xludf.DUMMYFUNCTION("""COMPUTED_VALUE"""),0.9306026010854919)</f>
        <v>0.9306026011</v>
      </c>
      <c r="AI257" s="57">
        <f>IFERROR(__xludf.DUMMYFUNCTION("""COMPUTED_VALUE"""),0.894471327349067)</f>
        <v>0.8944713273</v>
      </c>
      <c r="AJ257" s="57">
        <f>IFERROR(__xludf.DUMMYFUNCTION("""COMPUTED_VALUE"""),1.097246503493139)</f>
        <v>1.097246503</v>
      </c>
      <c r="AK257" s="57">
        <f>IFERROR(__xludf.DUMMYFUNCTION("""COMPUTED_VALUE"""),0.8392486288061585)</f>
        <v>0.8392486288</v>
      </c>
      <c r="AL257" s="57">
        <f>IFERROR(__xludf.DUMMYFUNCTION("""COMPUTED_VALUE"""),0.8441340400996159)</f>
        <v>0.8441340401</v>
      </c>
      <c r="AM257" s="57">
        <f>IFERROR(__xludf.DUMMYFUNCTION("""COMPUTED_VALUE"""),0.8666795585653387)</f>
        <v>0.8666795586</v>
      </c>
      <c r="AN257" s="57">
        <f>IFERROR(__xludf.DUMMYFUNCTION("""COMPUTED_VALUE"""),0.6801006055697187)</f>
        <v>0.6801006056</v>
      </c>
      <c r="AO257" s="57">
        <f>IFERROR(__xludf.DUMMYFUNCTION("""COMPUTED_VALUE"""),0.7819739470835991)</f>
        <v>0.7819739471</v>
      </c>
      <c r="AP257" s="35">
        <f>IFERROR(__xludf.DUMMYFUNCTION("""COMPUTED_VALUE"""),0.9643038121255034)</f>
        <v>0.9643038121</v>
      </c>
      <c r="AQ257" s="57">
        <f>IFERROR(__xludf.DUMMYFUNCTION("""COMPUTED_VALUE"""),0.803587402831457)</f>
        <v>0.8035874028</v>
      </c>
      <c r="AR257" s="36" t="b">
        <f>IFERROR(__xludf.DUMMYFUNCTION("""COMPUTED_VALUE"""),TRUE)</f>
        <v>1</v>
      </c>
      <c r="AS257" s="57"/>
      <c r="AT257" s="37"/>
      <c r="AU257" s="30"/>
      <c r="AV257" s="30"/>
      <c r="AW257" s="30"/>
      <c r="AX257" s="30"/>
      <c r="AY257" s="30"/>
      <c r="AZ257" s="30"/>
    </row>
    <row r="258">
      <c r="A258" s="30" t="str">
        <f>IFERROR(__xludf.DUMMYFUNCTION("""COMPUTED_VALUE"""),"Elite")</f>
        <v>Elite</v>
      </c>
      <c r="B258" s="30" t="str">
        <f>IFERROR(__xludf.DUMMYFUNCTION("""COMPUTED_VALUE"""),"RSC006637")</f>
        <v>RSC006637</v>
      </c>
      <c r="C258" s="30" t="str">
        <f>IFERROR(__xludf.DUMMYFUNCTION("""COMPUTED_VALUE"""),"nekodah")</f>
        <v>nekodah</v>
      </c>
      <c r="D258" s="31" t="str">
        <f>IFERROR(__xludf.DUMMYFUNCTION("""COMPUTED_VALUE"""),"Stoked Blokes")</f>
        <v>Stoked Blokes</v>
      </c>
      <c r="E258" s="31">
        <f>IFERROR(__xludf.DUMMYFUNCTION("""COMPUTED_VALUE"""),59.278192373385586)</f>
        <v>59.27819237</v>
      </c>
      <c r="F258" s="31">
        <f>IFERROR(__xludf.DUMMYFUNCTION("""COMPUTED_VALUE"""),2.814751001557847)</f>
        <v>2.814751002</v>
      </c>
      <c r="G258" s="31">
        <f>IFERROR(__xludf.DUMMYFUNCTION("""COMPUTED_VALUE"""),49.208780208458414)</f>
        <v>49.20878021</v>
      </c>
      <c r="H258" s="31">
        <f>IFERROR(__xludf.DUMMYFUNCTION("""COMPUTED_VALUE"""),-2.0518036666189854)</f>
        <v>-2.051803667</v>
      </c>
      <c r="I258" s="54">
        <f>IFERROR(__xludf.DUMMYFUNCTION("""COMPUTED_VALUE"""),12.0)</f>
        <v>12</v>
      </c>
      <c r="J258" s="55">
        <f>IFERROR(__xludf.DUMMYFUNCTION("""COMPUTED_VALUE"""),8.0)</f>
        <v>8</v>
      </c>
      <c r="K258" s="54">
        <f>IFERROR(__xludf.DUMMYFUNCTION("""COMPUTED_VALUE"""),4.0)</f>
        <v>4</v>
      </c>
      <c r="L258" s="56">
        <f>IFERROR(__xludf.DUMMYFUNCTION("""COMPUTED_VALUE"""),0.6666666666666666)</f>
        <v>0.6666666667</v>
      </c>
      <c r="M258" s="56">
        <f>IFERROR(__xludf.DUMMYFUNCTION("""COMPUTED_VALUE"""),0.29729729729729726)</f>
        <v>0.2972972973</v>
      </c>
      <c r="N258" s="31">
        <f>IFERROR(__xludf.DUMMYFUNCTION("""COMPUTED_VALUE"""),348.5)</f>
        <v>348.5</v>
      </c>
      <c r="O258" s="57">
        <f>IFERROR(__xludf.DUMMYFUNCTION("""COMPUTED_VALUE"""),0.9166666666666666)</f>
        <v>0.9166666667</v>
      </c>
      <c r="P258" s="57">
        <f>IFERROR(__xludf.DUMMYFUNCTION("""COMPUTED_VALUE"""),0.16666666666666666)</f>
        <v>0.1666666667</v>
      </c>
      <c r="Q258" s="57">
        <f>IFERROR(__xludf.DUMMYFUNCTION("""COMPUTED_VALUE"""),1.1666666666666667)</f>
        <v>1.166666667</v>
      </c>
      <c r="R258" s="57">
        <f>IFERROR(__xludf.DUMMYFUNCTION("""COMPUTED_VALUE"""),3.0833333333333335)</f>
        <v>3.083333333</v>
      </c>
      <c r="S258" s="31">
        <f>IFERROR(__xludf.DUMMYFUNCTION("""COMPUTED_VALUE"""),330.1666666666667)</f>
        <v>330.1666667</v>
      </c>
      <c r="T258" s="57">
        <f>IFERROR(__xludf.DUMMYFUNCTION("""COMPUTED_VALUE"""),0.5277777777777778)</f>
        <v>0.5277777778</v>
      </c>
      <c r="U258" s="57">
        <f>IFERROR(__xludf.DUMMYFUNCTION("""COMPUTED_VALUE"""),0.49999999999999994)</f>
        <v>0.5</v>
      </c>
      <c r="V258" s="57">
        <f>IFERROR(__xludf.DUMMYFUNCTION("""COMPUTED_VALUE"""),1.7777777777777777)</f>
        <v>1.777777778</v>
      </c>
      <c r="W258" s="57">
        <f>IFERROR(__xludf.DUMMYFUNCTION("""COMPUTED_VALUE"""),2.1111111111111107)</f>
        <v>2.111111111</v>
      </c>
      <c r="X258" s="31">
        <f>IFERROR(__xludf.DUMMYFUNCTION("""COMPUTED_VALUE"""),361.6061542418486)</f>
        <v>361.6061542</v>
      </c>
      <c r="Y258" s="57">
        <f>IFERROR(__xludf.DUMMYFUNCTION("""COMPUTED_VALUE"""),0.7474497467553024)</f>
        <v>0.7474497468</v>
      </c>
      <c r="Z258" s="57">
        <f>IFERROR(__xludf.DUMMYFUNCTION("""COMPUTED_VALUE"""),0.6288639601139603)</f>
        <v>0.6288639601</v>
      </c>
      <c r="AA258" s="57">
        <f>IFERROR(__xludf.DUMMYFUNCTION("""COMPUTED_VALUE"""),1.5597962171573287)</f>
        <v>1.559796217</v>
      </c>
      <c r="AB258" s="57">
        <f>IFERROR(__xludf.DUMMYFUNCTION("""COMPUTED_VALUE"""),2.3342869578980694)</f>
        <v>2.334286958</v>
      </c>
      <c r="AC258" s="31">
        <f>IFERROR(__xludf.DUMMYFUNCTION("""COMPUTED_VALUE"""),357.3669164820091)</f>
        <v>357.3669165</v>
      </c>
      <c r="AD258" s="57">
        <f>IFERROR(__xludf.DUMMYFUNCTION("""COMPUTED_VALUE"""),0.79602287116176)</f>
        <v>0.7960228712</v>
      </c>
      <c r="AE258" s="57">
        <f>IFERROR(__xludf.DUMMYFUNCTION("""COMPUTED_VALUE"""),0.5935849952516619)</f>
        <v>0.5935849953</v>
      </c>
      <c r="AF258" s="57">
        <f>IFERROR(__xludf.DUMMYFUNCTION("""COMPUTED_VALUE"""),1.283603592909149)</f>
        <v>1.283603593</v>
      </c>
      <c r="AG258" s="57">
        <f>IFERROR(__xludf.DUMMYFUNCTION("""COMPUTED_VALUE"""),2.8034009971509968)</f>
        <v>2.803400997</v>
      </c>
      <c r="AH258" s="57">
        <f>IFERROR(__xludf.DUMMYFUNCTION("""COMPUTED_VALUE"""),0.9751881999338472)</f>
        <v>0.9751881999</v>
      </c>
      <c r="AI258" s="57">
        <f>IFERROR(__xludf.DUMMYFUNCTION("""COMPUTED_VALUE"""),1.1515582025034437)</f>
        <v>1.151558203</v>
      </c>
      <c r="AJ258" s="57">
        <f>IFERROR(__xludf.DUMMYFUNCTION("""COMPUTED_VALUE"""),0.2807797838555624)</f>
        <v>0.2807797839</v>
      </c>
      <c r="AK258" s="57">
        <f>IFERROR(__xludf.DUMMYFUNCTION("""COMPUTED_VALUE"""),0.908899502238493)</f>
        <v>0.9088995022</v>
      </c>
      <c r="AL258" s="57">
        <f>IFERROR(__xludf.DUMMYFUNCTION("""COMPUTED_VALUE"""),1.0998545468403638)</f>
        <v>1.099854547</v>
      </c>
      <c r="AM258" s="57">
        <f>IFERROR(__xludf.DUMMYFUNCTION("""COMPUTED_VALUE"""),0.9130559941904234)</f>
        <v>0.9130559942</v>
      </c>
      <c r="AN258" s="57">
        <f>IFERROR(__xludf.DUMMYFUNCTION("""COMPUTED_VALUE"""),0.7061046981002723)</f>
        <v>0.7061046981</v>
      </c>
      <c r="AO258" s="57">
        <f>IFERROR(__xludf.DUMMYFUNCTION("""COMPUTED_VALUE"""),0.7950845202027349)</f>
        <v>0.7950845202</v>
      </c>
      <c r="AP258" s="35">
        <f>IFERROR(__xludf.DUMMYFUNCTION("""COMPUTED_VALUE"""),1.1397500251781045)</f>
        <v>1.139750025</v>
      </c>
      <c r="AQ258" s="57">
        <f>IFERROR(__xludf.DUMMYFUNCTION("""COMPUTED_VALUE"""),0.9043922830345077)</f>
        <v>0.904392283</v>
      </c>
      <c r="AR258" s="36" t="b">
        <f>IFERROR(__xludf.DUMMYFUNCTION("""COMPUTED_VALUE"""),TRUE)</f>
        <v>1</v>
      </c>
      <c r="AS258" s="57"/>
      <c r="AT258" s="37"/>
      <c r="AU258" s="30"/>
      <c r="AV258" s="30"/>
      <c r="AW258" s="30"/>
      <c r="AX258" s="30"/>
      <c r="AY258" s="30"/>
      <c r="AZ258" s="30"/>
    </row>
    <row r="259">
      <c r="A259" s="30" t="str">
        <f>IFERROR(__xludf.DUMMYFUNCTION("""COMPUTED_VALUE"""),"Elite")</f>
        <v>Elite</v>
      </c>
      <c r="B259" s="30" t="str">
        <f>IFERROR(__xludf.DUMMYFUNCTION("""COMPUTED_VALUE"""),"RSC000438")</f>
        <v>RSC000438</v>
      </c>
      <c r="C259" s="30" t="str">
        <f>IFERROR(__xludf.DUMMYFUNCTION("""COMPUTED_VALUE"""),"Limon")</f>
        <v>Limon</v>
      </c>
      <c r="D259" s="31" t="str">
        <f>IFERROR(__xludf.DUMMYFUNCTION("""COMPUTED_VALUE"""),"Menthol")</f>
        <v>Menthol</v>
      </c>
      <c r="E259" s="31">
        <f>IFERROR(__xludf.DUMMYFUNCTION("""COMPUTED_VALUE"""),58.75933264916772)</f>
        <v>58.75933265</v>
      </c>
      <c r="F259" s="31">
        <f>IFERROR(__xludf.DUMMYFUNCTION("""COMPUTED_VALUE"""),2.7545987587623815)</f>
        <v>2.754598759</v>
      </c>
      <c r="G259" s="31">
        <f>IFERROR(__xludf.DUMMYFUNCTION("""COMPUTED_VALUE"""),39.34799525564256)</f>
        <v>39.34799526</v>
      </c>
      <c r="H259" s="31">
        <f>IFERROR(__xludf.DUMMYFUNCTION("""COMPUTED_VALUE"""),-2.984854483448174)</f>
        <v>-2.984854483</v>
      </c>
      <c r="I259" s="54">
        <f>IFERROR(__xludf.DUMMYFUNCTION("""COMPUTED_VALUE"""),17.0)</f>
        <v>17</v>
      </c>
      <c r="J259" s="55">
        <f>IFERROR(__xludf.DUMMYFUNCTION("""COMPUTED_VALUE"""),11.0)</f>
        <v>11</v>
      </c>
      <c r="K259" s="54">
        <f>IFERROR(__xludf.DUMMYFUNCTION("""COMPUTED_VALUE"""),6.0)</f>
        <v>6</v>
      </c>
      <c r="L259" s="56">
        <f>IFERROR(__xludf.DUMMYFUNCTION("""COMPUTED_VALUE"""),0.6470588235294118)</f>
        <v>0.6470588235</v>
      </c>
      <c r="M259" s="56">
        <f>IFERROR(__xludf.DUMMYFUNCTION("""COMPUTED_VALUE"""),0.3148148148148148)</f>
        <v>0.3148148148</v>
      </c>
      <c r="N259" s="31">
        <f>IFERROR(__xludf.DUMMYFUNCTION("""COMPUTED_VALUE"""),349.70588235294116)</f>
        <v>349.7058824</v>
      </c>
      <c r="O259" s="57">
        <f>IFERROR(__xludf.DUMMYFUNCTION("""COMPUTED_VALUE"""),1.0)</f>
        <v>1</v>
      </c>
      <c r="P259" s="57">
        <f>IFERROR(__xludf.DUMMYFUNCTION("""COMPUTED_VALUE"""),0.4117647058823529)</f>
        <v>0.4117647059</v>
      </c>
      <c r="Q259" s="57">
        <f>IFERROR(__xludf.DUMMYFUNCTION("""COMPUTED_VALUE"""),1.0588235294117647)</f>
        <v>1.058823529</v>
      </c>
      <c r="R259" s="57">
        <f>IFERROR(__xludf.DUMMYFUNCTION("""COMPUTED_VALUE"""),3.176470588235294)</f>
        <v>3.176470588</v>
      </c>
      <c r="S259" s="31">
        <f>IFERROR(__xludf.DUMMYFUNCTION("""COMPUTED_VALUE"""),387.3137254901961)</f>
        <v>387.3137255</v>
      </c>
      <c r="T259" s="57">
        <f>IFERROR(__xludf.DUMMYFUNCTION("""COMPUTED_VALUE"""),0.7058823529411765)</f>
        <v>0.7058823529</v>
      </c>
      <c r="U259" s="57">
        <f>IFERROR(__xludf.DUMMYFUNCTION("""COMPUTED_VALUE"""),0.5098039215686273)</f>
        <v>0.5098039216</v>
      </c>
      <c r="V259" s="57">
        <f>IFERROR(__xludf.DUMMYFUNCTION("""COMPUTED_VALUE"""),2.0588235294117645)</f>
        <v>2.058823529</v>
      </c>
      <c r="W259" s="57">
        <f>IFERROR(__xludf.DUMMYFUNCTION("""COMPUTED_VALUE"""),2.1568627450980395)</f>
        <v>2.156862745</v>
      </c>
      <c r="X259" s="31">
        <f>IFERROR(__xludf.DUMMYFUNCTION("""COMPUTED_VALUE"""),353.4957094487795)</f>
        <v>353.4957094</v>
      </c>
      <c r="Y259" s="57">
        <f>IFERROR(__xludf.DUMMYFUNCTION("""COMPUTED_VALUE"""),0.6608577335907011)</f>
        <v>0.6608577336</v>
      </c>
      <c r="Z259" s="57">
        <f>IFERROR(__xludf.DUMMYFUNCTION("""COMPUTED_VALUE"""),0.5284515251195838)</f>
        <v>0.5284515251</v>
      </c>
      <c r="AA259" s="57">
        <f>IFERROR(__xludf.DUMMYFUNCTION("""COMPUTED_VALUE"""),1.6439066670954277)</f>
        <v>1.643906667</v>
      </c>
      <c r="AB259" s="57">
        <f>IFERROR(__xludf.DUMMYFUNCTION("""COMPUTED_VALUE"""),2.3368738640484246)</f>
        <v>2.336873864</v>
      </c>
      <c r="AC259" s="31">
        <f>IFERROR(__xludf.DUMMYFUNCTION("""COMPUTED_VALUE"""),386.7617876639101)</f>
        <v>386.7617877</v>
      </c>
      <c r="AD259" s="57">
        <f>IFERROR(__xludf.DUMMYFUNCTION("""COMPUTED_VALUE"""),0.927590025561429)</f>
        <v>0.9275900256</v>
      </c>
      <c r="AE259" s="57">
        <f>IFERROR(__xludf.DUMMYFUNCTION("""COMPUTED_VALUE"""),0.7289221625881929)</f>
        <v>0.7289221626</v>
      </c>
      <c r="AF259" s="57">
        <f>IFERROR(__xludf.DUMMYFUNCTION("""COMPUTED_VALUE"""),1.3325874071057617)</f>
        <v>1.332587407</v>
      </c>
      <c r="AG259" s="57">
        <f>IFERROR(__xludf.DUMMYFUNCTION("""COMPUTED_VALUE"""),3.0895700682818372)</f>
        <v>3.089570068</v>
      </c>
      <c r="AH259" s="57">
        <f>IFERROR(__xludf.DUMMYFUNCTION("""COMPUTED_VALUE"""),0.9041893317982852)</f>
        <v>0.9041893318</v>
      </c>
      <c r="AI259" s="57">
        <f>IFERROR(__xludf.DUMMYFUNCTION("""COMPUTED_VALUE"""),1.07806247635613)</f>
        <v>1.078062476</v>
      </c>
      <c r="AJ259" s="57">
        <f>IFERROR(__xludf.DUMMYFUNCTION("""COMPUTED_VALUE"""),0.5648953029776114)</f>
        <v>0.564895303</v>
      </c>
      <c r="AK259" s="57">
        <f>IFERROR(__xludf.DUMMYFUNCTION("""COMPUTED_VALUE"""),0.7945621606251082)</f>
        <v>0.7945621606</v>
      </c>
      <c r="AL259" s="57">
        <f>IFERROR(__xludf.DUMMYFUNCTION("""COMPUTED_VALUE"""),1.0281270591159577)</f>
        <v>1.028127059</v>
      </c>
      <c r="AM259" s="57">
        <f>IFERROR(__xludf.DUMMYFUNCTION("""COMPUTED_VALUE"""),1.095667401717974)</f>
        <v>1.095667402</v>
      </c>
      <c r="AN259" s="57">
        <f>IFERROR(__xludf.DUMMYFUNCTION("""COMPUTED_VALUE"""),1.068130577977561)</f>
        <v>1.068130578</v>
      </c>
      <c r="AO259" s="57">
        <f>IFERROR(__xludf.DUMMYFUNCTION("""COMPUTED_VALUE"""),0.9647127453237329)</f>
        <v>0.9647127453</v>
      </c>
      <c r="AP259" s="35">
        <f>IFERROR(__xludf.DUMMYFUNCTION("""COMPUTED_VALUE"""),1.25239684869059)</f>
        <v>1.252396849</v>
      </c>
      <c r="AQ259" s="57">
        <f>IFERROR(__xludf.DUMMYFUNCTION("""COMPUTED_VALUE"""),0.9229692617476016)</f>
        <v>0.9229692617</v>
      </c>
      <c r="AR259" s="36" t="b">
        <f>IFERROR(__xludf.DUMMYFUNCTION("""COMPUTED_VALUE"""),TRUE)</f>
        <v>1</v>
      </c>
      <c r="AS259" s="57"/>
      <c r="AT259" s="37"/>
      <c r="AU259" s="30"/>
      <c r="AV259" s="30"/>
      <c r="AW259" s="30"/>
      <c r="AX259" s="30"/>
      <c r="AY259" s="30"/>
      <c r="AZ259" s="30"/>
    </row>
    <row r="260">
      <c r="A260" s="30" t="str">
        <f>IFERROR(__xludf.DUMMYFUNCTION("""COMPUTED_VALUE"""),"Elite")</f>
        <v>Elite</v>
      </c>
      <c r="B260" s="30" t="str">
        <f>IFERROR(__xludf.DUMMYFUNCTION("""COMPUTED_VALUE"""),"RSC005373")</f>
        <v>RSC005373</v>
      </c>
      <c r="C260" s="30" t="str">
        <f>IFERROR(__xludf.DUMMYFUNCTION("""COMPUTED_VALUE"""),"dvorl.ttv")</f>
        <v>dvorl.ttv</v>
      </c>
      <c r="D260" s="31" t="str">
        <f>IFERROR(__xludf.DUMMYFUNCTION("""COMPUTED_VALUE"""),"Despair")</f>
        <v>Despair</v>
      </c>
      <c r="E260" s="31">
        <f>IFERROR(__xludf.DUMMYFUNCTION("""COMPUTED_VALUE"""),57.915236962722815)</f>
        <v>57.91523696</v>
      </c>
      <c r="F260" s="31">
        <f>IFERROR(__xludf.DUMMYFUNCTION("""COMPUTED_VALUE"""),2.661202534035348)</f>
        <v>2.661202534</v>
      </c>
      <c r="G260" s="31">
        <f>IFERROR(__xludf.DUMMYFUNCTION("""COMPUTED_VALUE"""),40.06951442595976)</f>
        <v>40.06951443</v>
      </c>
      <c r="H260" s="31">
        <f>IFERROR(__xludf.DUMMYFUNCTION("""COMPUTED_VALUE"""),-2.893494822667972)</f>
        <v>-2.893494823</v>
      </c>
      <c r="I260" s="54">
        <f>IFERROR(__xludf.DUMMYFUNCTION("""COMPUTED_VALUE"""),31.0)</f>
        <v>31</v>
      </c>
      <c r="J260" s="55">
        <f>IFERROR(__xludf.DUMMYFUNCTION("""COMPUTED_VALUE"""),20.0)</f>
        <v>20</v>
      </c>
      <c r="K260" s="54">
        <f>IFERROR(__xludf.DUMMYFUNCTION("""COMPUTED_VALUE"""),11.0)</f>
        <v>11</v>
      </c>
      <c r="L260" s="56">
        <f>IFERROR(__xludf.DUMMYFUNCTION("""COMPUTED_VALUE"""),0.6451612903225806)</f>
        <v>0.6451612903</v>
      </c>
      <c r="M260" s="56">
        <f>IFERROR(__xludf.DUMMYFUNCTION("""COMPUTED_VALUE"""),0.28735632183908044)</f>
        <v>0.2873563218</v>
      </c>
      <c r="N260" s="31">
        <f>IFERROR(__xludf.DUMMYFUNCTION("""COMPUTED_VALUE"""),327.38709677419354)</f>
        <v>327.3870968</v>
      </c>
      <c r="O260" s="57">
        <f>IFERROR(__xludf.DUMMYFUNCTION("""COMPUTED_VALUE"""),0.8064516129032258)</f>
        <v>0.8064516129</v>
      </c>
      <c r="P260" s="57">
        <f>IFERROR(__xludf.DUMMYFUNCTION("""COMPUTED_VALUE"""),0.5483870967741935)</f>
        <v>0.5483870968</v>
      </c>
      <c r="Q260" s="57">
        <f>IFERROR(__xludf.DUMMYFUNCTION("""COMPUTED_VALUE"""),1.032258064516129)</f>
        <v>1.032258065</v>
      </c>
      <c r="R260" s="57">
        <f>IFERROR(__xludf.DUMMYFUNCTION("""COMPUTED_VALUE"""),2.806451612903226)</f>
        <v>2.806451613</v>
      </c>
      <c r="S260" s="31">
        <f>IFERROR(__xludf.DUMMYFUNCTION("""COMPUTED_VALUE"""),350.81720430107526)</f>
        <v>350.8172043</v>
      </c>
      <c r="T260" s="57">
        <f>IFERROR(__xludf.DUMMYFUNCTION("""COMPUTED_VALUE"""),0.6236559139784947)</f>
        <v>0.623655914</v>
      </c>
      <c r="U260" s="57">
        <f>IFERROR(__xludf.DUMMYFUNCTION("""COMPUTED_VALUE"""),0.4946236559139785)</f>
        <v>0.4946236559</v>
      </c>
      <c r="V260" s="57">
        <f>IFERROR(__xludf.DUMMYFUNCTION("""COMPUTED_VALUE"""),1.655913978494624)</f>
        <v>1.655913978</v>
      </c>
      <c r="W260" s="57">
        <f>IFERROR(__xludf.DUMMYFUNCTION("""COMPUTED_VALUE"""),2.440860215053763)</f>
        <v>2.440860215</v>
      </c>
      <c r="X260" s="31">
        <f>IFERROR(__xludf.DUMMYFUNCTION("""COMPUTED_VALUE"""),361.8835078396548)</f>
        <v>361.8835078</v>
      </c>
      <c r="Y260" s="57">
        <f>IFERROR(__xludf.DUMMYFUNCTION("""COMPUTED_VALUE"""),0.7104947682553309)</f>
        <v>0.7104947683</v>
      </c>
      <c r="Z260" s="57">
        <f>IFERROR(__xludf.DUMMYFUNCTION("""COMPUTED_VALUE"""),0.586105709566787)</f>
        <v>0.5861057096</v>
      </c>
      <c r="AA260" s="57">
        <f>IFERROR(__xludf.DUMMYFUNCTION("""COMPUTED_VALUE"""),1.5680577073853603)</f>
        <v>1.568057707</v>
      </c>
      <c r="AB260" s="57">
        <f>IFERROR(__xludf.DUMMYFUNCTION("""COMPUTED_VALUE"""),2.598495945980068)</f>
        <v>2.598495946</v>
      </c>
      <c r="AC260" s="31">
        <f>IFERROR(__xludf.DUMMYFUNCTION("""COMPUTED_VALUE"""),365.40827659381785)</f>
        <v>365.4082766</v>
      </c>
      <c r="AD260" s="57">
        <f>IFERROR(__xludf.DUMMYFUNCTION("""COMPUTED_VALUE"""),0.8015396448710821)</f>
        <v>0.8015396449</v>
      </c>
      <c r="AE260" s="57">
        <f>IFERROR(__xludf.DUMMYFUNCTION("""COMPUTED_VALUE"""),0.5869097049735772)</f>
        <v>0.586909705</v>
      </c>
      <c r="AF260" s="57">
        <f>IFERROR(__xludf.DUMMYFUNCTION("""COMPUTED_VALUE"""),1.396334486434292)</f>
        <v>1.396334486</v>
      </c>
      <c r="AG260" s="57">
        <f>IFERROR(__xludf.DUMMYFUNCTION("""COMPUTED_VALUE"""),2.7890000389595664)</f>
        <v>2.789000039</v>
      </c>
      <c r="AH260" s="57">
        <f>IFERROR(__xludf.DUMMYFUNCTION("""COMPUTED_VALUE"""),0.8959487722225623)</f>
        <v>0.8959487722</v>
      </c>
      <c r="AI260" s="57">
        <f>IFERROR(__xludf.DUMMYFUNCTION("""COMPUTED_VALUE"""),1.006128166040912)</f>
        <v>1.006128166</v>
      </c>
      <c r="AJ260" s="57">
        <f>IFERROR(__xludf.DUMMYFUNCTION("""COMPUTED_VALUE"""),0.9343636544549592)</f>
        <v>0.9343636545</v>
      </c>
      <c r="AK260" s="57">
        <f>IFERROR(__xludf.DUMMYFUNCTION("""COMPUTED_VALUE"""),0.7392627443816303)</f>
        <v>0.7392627444</v>
      </c>
      <c r="AL260" s="57">
        <f>IFERROR(__xludf.DUMMYFUNCTION("""COMPUTED_VALUE"""),1.006257287092104)</f>
        <v>1.006257287</v>
      </c>
      <c r="AM260" s="57">
        <f>IFERROR(__xludf.DUMMYFUNCTION("""COMPUTED_VALUE"""),0.9694202601145261)</f>
        <v>0.9694202601</v>
      </c>
      <c r="AN260" s="57">
        <f>IFERROR(__xludf.DUMMYFUNCTION("""COMPUTED_VALUE"""),0.8777769265070382)</f>
        <v>0.8777769265</v>
      </c>
      <c r="AO260" s="57">
        <f>IFERROR(__xludf.DUMMYFUNCTION("""COMPUTED_VALUE"""),0.8439154368238003)</f>
        <v>0.8439154368</v>
      </c>
      <c r="AP260" s="35">
        <f>IFERROR(__xludf.DUMMYFUNCTION("""COMPUTED_VALUE"""),1.0560287231110637)</f>
        <v>1.056028723</v>
      </c>
      <c r="AQ260" s="57">
        <f>IFERROR(__xludf.DUMMYFUNCTION("""COMPUTED_VALUE"""),0.939335779541942)</f>
        <v>0.9393357795</v>
      </c>
      <c r="AR260" s="36" t="b">
        <f>IFERROR(__xludf.DUMMYFUNCTION("""COMPUTED_VALUE"""),TRUE)</f>
        <v>1</v>
      </c>
      <c r="AS260" s="57"/>
      <c r="AT260" s="37"/>
      <c r="AU260" s="30"/>
      <c r="AV260" s="30"/>
      <c r="AW260" s="30"/>
      <c r="AX260" s="30"/>
      <c r="AY260" s="30"/>
      <c r="AZ260" s="30"/>
    </row>
    <row r="261">
      <c r="A261" s="30" t="str">
        <f>IFERROR(__xludf.DUMMYFUNCTION("""COMPUTED_VALUE"""),"Elite")</f>
        <v>Elite</v>
      </c>
      <c r="B261" s="30" t="str">
        <f>IFERROR(__xludf.DUMMYFUNCTION("""COMPUTED_VALUE"""),"RSC007941")</f>
        <v>RSC007941</v>
      </c>
      <c r="C261" s="30" t="str">
        <f>IFERROR(__xludf.DUMMYFUNCTION("""COMPUTED_VALUE"""),"Shepherd")</f>
        <v>Shepherd</v>
      </c>
      <c r="D261" s="31" t="str">
        <f>IFERROR(__xludf.DUMMYFUNCTION("""COMPUTED_VALUE"""),"Demons")</f>
        <v>Demons</v>
      </c>
      <c r="E261" s="31">
        <f>IFERROR(__xludf.DUMMYFUNCTION("""COMPUTED_VALUE"""),57.149234587399086)</f>
        <v>57.14923459</v>
      </c>
      <c r="F261" s="31">
        <f>IFERROR(__xludf.DUMMYFUNCTION("""COMPUTED_VALUE"""),2.580972957600988)</f>
        <v>2.580972958</v>
      </c>
      <c r="G261" s="31">
        <f>IFERROR(__xludf.DUMMYFUNCTION("""COMPUTED_VALUE"""),53.57083672305354)</f>
        <v>53.57083672</v>
      </c>
      <c r="H261" s="31">
        <f>IFERROR(__xludf.DUMMYFUNCTION("""COMPUTED_VALUE"""),2.25626244444485)</f>
        <v>2.256262444</v>
      </c>
      <c r="I261" s="54">
        <f>IFERROR(__xludf.DUMMYFUNCTION("""COMPUTED_VALUE"""),27.0)</f>
        <v>27</v>
      </c>
      <c r="J261" s="55">
        <f>IFERROR(__xludf.DUMMYFUNCTION("""COMPUTED_VALUE"""),12.0)</f>
        <v>12</v>
      </c>
      <c r="K261" s="54">
        <f>IFERROR(__xludf.DUMMYFUNCTION("""COMPUTED_VALUE"""),15.0)</f>
        <v>15</v>
      </c>
      <c r="L261" s="56">
        <f>IFERROR(__xludf.DUMMYFUNCTION("""COMPUTED_VALUE"""),0.4444444444444444)</f>
        <v>0.4444444444</v>
      </c>
      <c r="M261" s="56">
        <f>IFERROR(__xludf.DUMMYFUNCTION("""COMPUTED_VALUE"""),0.4150943396226415)</f>
        <v>0.4150943396</v>
      </c>
      <c r="N261" s="31">
        <f>IFERROR(__xludf.DUMMYFUNCTION("""COMPUTED_VALUE"""),400.51851851851853)</f>
        <v>400.5185185</v>
      </c>
      <c r="O261" s="57">
        <f>IFERROR(__xludf.DUMMYFUNCTION("""COMPUTED_VALUE"""),0.8148148148148148)</f>
        <v>0.8148148148</v>
      </c>
      <c r="P261" s="57">
        <f>IFERROR(__xludf.DUMMYFUNCTION("""COMPUTED_VALUE"""),0.7777777777777778)</f>
        <v>0.7777777778</v>
      </c>
      <c r="Q261" s="57">
        <f>IFERROR(__xludf.DUMMYFUNCTION("""COMPUTED_VALUE"""),1.8518518518518519)</f>
        <v>1.851851852</v>
      </c>
      <c r="R261" s="57">
        <f>IFERROR(__xludf.DUMMYFUNCTION("""COMPUTED_VALUE"""),1.962962962962963)</f>
        <v>1.962962963</v>
      </c>
      <c r="S261" s="31">
        <f>IFERROR(__xludf.DUMMYFUNCTION("""COMPUTED_VALUE"""),367.4320987654321)</f>
        <v>367.4320988</v>
      </c>
      <c r="T261" s="57">
        <f>IFERROR(__xludf.DUMMYFUNCTION("""COMPUTED_VALUE"""),0.8148148148148148)</f>
        <v>0.8148148148</v>
      </c>
      <c r="U261" s="57">
        <f>IFERROR(__xludf.DUMMYFUNCTION("""COMPUTED_VALUE"""),0.7037037037037037)</f>
        <v>0.7037037037</v>
      </c>
      <c r="V261" s="57">
        <f>IFERROR(__xludf.DUMMYFUNCTION("""COMPUTED_VALUE"""),1.2962962962962963)</f>
        <v>1.296296296</v>
      </c>
      <c r="W261" s="57">
        <f>IFERROR(__xludf.DUMMYFUNCTION("""COMPUTED_VALUE"""),2.9629629629629637)</f>
        <v>2.962962963</v>
      </c>
      <c r="X261" s="31">
        <f>IFERROR(__xludf.DUMMYFUNCTION("""COMPUTED_VALUE"""),363.90466954929116)</f>
        <v>363.9046695</v>
      </c>
      <c r="Y261" s="57">
        <f>IFERROR(__xludf.DUMMYFUNCTION("""COMPUTED_VALUE"""),0.8245727143705321)</f>
        <v>0.8245727144</v>
      </c>
      <c r="Z261" s="57">
        <f>IFERROR(__xludf.DUMMYFUNCTION("""COMPUTED_VALUE"""),0.5876928057638559)</f>
        <v>0.5876928058</v>
      </c>
      <c r="AA261" s="57">
        <f>IFERROR(__xludf.DUMMYFUNCTION("""COMPUTED_VALUE"""),1.3753305564778222)</f>
        <v>1.375330556</v>
      </c>
      <c r="AB261" s="57">
        <f>IFERROR(__xludf.DUMMYFUNCTION("""COMPUTED_VALUE"""),2.676879552095914)</f>
        <v>2.676879552</v>
      </c>
      <c r="AC261" s="31">
        <f>IFERROR(__xludf.DUMMYFUNCTION("""COMPUTED_VALUE"""),356.1269824410705)</f>
        <v>356.1269824</v>
      </c>
      <c r="AD261" s="57">
        <f>IFERROR(__xludf.DUMMYFUNCTION("""COMPUTED_VALUE"""),0.7459704054082137)</f>
        <v>0.7459704054</v>
      </c>
      <c r="AE261" s="57">
        <f>IFERROR(__xludf.DUMMYFUNCTION("""COMPUTED_VALUE"""),0.5520236026872144)</f>
        <v>0.5520236027</v>
      </c>
      <c r="AF261" s="57">
        <f>IFERROR(__xludf.DUMMYFUNCTION("""COMPUTED_VALUE"""),1.4759194231497217)</f>
        <v>1.475919423</v>
      </c>
      <c r="AG261" s="57">
        <f>IFERROR(__xludf.DUMMYFUNCTION("""COMPUTED_VALUE"""),2.5112185341566433)</f>
        <v>2.511218534</v>
      </c>
      <c r="AH261" s="57">
        <f>IFERROR(__xludf.DUMMYFUNCTION("""COMPUTED_VALUE"""),1.1246508640630555)</f>
        <v>1.124650864</v>
      </c>
      <c r="AI261" s="57">
        <f>IFERROR(__xludf.DUMMYFUNCTION("""COMPUTED_VALUE"""),1.0922883922840447)</f>
        <v>1.092288392</v>
      </c>
      <c r="AJ261" s="57">
        <f>IFERROR(__xludf.DUMMYFUNCTION("""COMPUTED_VALUE"""),1.408957468469839)</f>
        <v>1.408957468</v>
      </c>
      <c r="AK261" s="57">
        <f>IFERROR(__xludf.DUMMYFUNCTION("""COMPUTED_VALUE"""),1.2547106724158845)</f>
        <v>1.254710672</v>
      </c>
      <c r="AL261" s="57">
        <f>IFERROR(__xludf.DUMMYFUNCTION("""COMPUTED_VALUE"""),0.7816774750040605)</f>
        <v>0.781677475</v>
      </c>
      <c r="AM261" s="57">
        <f>IFERROR(__xludf.DUMMYFUNCTION("""COMPUTED_VALUE"""),1.0096932782437493)</f>
        <v>1.009693278</v>
      </c>
      <c r="AN261" s="57">
        <f>IFERROR(__xludf.DUMMYFUNCTION("""COMPUTED_VALUE"""),0.9881661139331218)</f>
        <v>0.9881661139</v>
      </c>
      <c r="AO261" s="57">
        <f>IFERROR(__xludf.DUMMYFUNCTION("""COMPUTED_VALUE"""),1.197400575270038)</f>
        <v>1.197400575</v>
      </c>
      <c r="AP261" s="35">
        <f>IFERROR(__xludf.DUMMYFUNCTION("""COMPUTED_VALUE"""),0.9425343530620521)</f>
        <v>0.9425343531</v>
      </c>
      <c r="AQ261" s="57">
        <f>IFERROR(__xludf.DUMMYFUNCTION("""COMPUTED_VALUE"""),1.1068719773525317)</f>
        <v>1.106871977</v>
      </c>
      <c r="AR261" s="36" t="b">
        <f>IFERROR(__xludf.DUMMYFUNCTION("""COMPUTED_VALUE"""),TRUE)</f>
        <v>1</v>
      </c>
      <c r="AS261" s="57"/>
      <c r="AT261" s="37"/>
      <c r="AU261" s="30"/>
      <c r="AV261" s="30"/>
      <c r="AW261" s="30"/>
      <c r="AX261" s="30"/>
      <c r="AY261" s="30"/>
      <c r="AZ261" s="30"/>
    </row>
    <row r="262">
      <c r="A262" s="30" t="str">
        <f>IFERROR(__xludf.DUMMYFUNCTION("""COMPUTED_VALUE"""),"Elite")</f>
        <v>Elite</v>
      </c>
      <c r="B262" s="30" t="str">
        <f>IFERROR(__xludf.DUMMYFUNCTION("""COMPUTED_VALUE"""),"RSC000508")</f>
        <v>RSC000508</v>
      </c>
      <c r="C262" s="30" t="str">
        <f>IFERROR(__xludf.DUMMYFUNCTION("""COMPUTED_VALUE"""),"Bender_Escobar")</f>
        <v>Bender_Escobar</v>
      </c>
      <c r="D262" s="31" t="str">
        <f>IFERROR(__xludf.DUMMYFUNCTION("""COMPUTED_VALUE"""),"Demons")</f>
        <v>Demons</v>
      </c>
      <c r="E262" s="31">
        <f>IFERROR(__xludf.DUMMYFUNCTION("""COMPUTED_VALUE"""),56.81211762566511)</f>
        <v>56.81211763</v>
      </c>
      <c r="F262" s="31">
        <f>IFERROR(__xludf.DUMMYFUNCTION("""COMPUTED_VALUE"""),2.5469616748721084)</f>
        <v>2.546961675</v>
      </c>
      <c r="G262" s="31">
        <f>IFERROR(__xludf.DUMMYFUNCTION("""COMPUTED_VALUE"""),36.52619534471858)</f>
        <v>36.52619534</v>
      </c>
      <c r="H262" s="31">
        <f>IFERROR(__xludf.DUMMYFUNCTION("""COMPUTED_VALUE"""),-3.3902910888041777)</f>
        <v>-3.390291089</v>
      </c>
      <c r="I262" s="54">
        <f>IFERROR(__xludf.DUMMYFUNCTION("""COMPUTED_VALUE"""),32.0)</f>
        <v>32</v>
      </c>
      <c r="J262" s="55">
        <f>IFERROR(__xludf.DUMMYFUNCTION("""COMPUTED_VALUE"""),11.0)</f>
        <v>11</v>
      </c>
      <c r="K262" s="54">
        <f>IFERROR(__xludf.DUMMYFUNCTION("""COMPUTED_VALUE"""),21.0)</f>
        <v>21</v>
      </c>
      <c r="L262" s="56">
        <f>IFERROR(__xludf.DUMMYFUNCTION("""COMPUTED_VALUE"""),0.34375)</f>
        <v>0.34375</v>
      </c>
      <c r="M262" s="56">
        <f>IFERROR(__xludf.DUMMYFUNCTION("""COMPUTED_VALUE"""),0.3373493975903614)</f>
        <v>0.3373493976</v>
      </c>
      <c r="N262" s="31">
        <f>IFERROR(__xludf.DUMMYFUNCTION("""COMPUTED_VALUE"""),344.5625)</f>
        <v>344.5625</v>
      </c>
      <c r="O262" s="57">
        <f>IFERROR(__xludf.DUMMYFUNCTION("""COMPUTED_VALUE"""),0.875)</f>
        <v>0.875</v>
      </c>
      <c r="P262" s="57">
        <f>IFERROR(__xludf.DUMMYFUNCTION("""COMPUTED_VALUE"""),0.53125)</f>
        <v>0.53125</v>
      </c>
      <c r="Q262" s="57">
        <f>IFERROR(__xludf.DUMMYFUNCTION("""COMPUTED_VALUE"""),1.34375)</f>
        <v>1.34375</v>
      </c>
      <c r="R262" s="57">
        <f>IFERROR(__xludf.DUMMYFUNCTION("""COMPUTED_VALUE"""),2.59375)</f>
        <v>2.59375</v>
      </c>
      <c r="S262" s="31">
        <f>IFERROR(__xludf.DUMMYFUNCTION("""COMPUTED_VALUE"""),398.82291666666663)</f>
        <v>398.8229167</v>
      </c>
      <c r="T262" s="57">
        <f>IFERROR(__xludf.DUMMYFUNCTION("""COMPUTED_VALUE"""),0.9791666666666667)</f>
        <v>0.9791666667</v>
      </c>
      <c r="U262" s="57">
        <f>IFERROR(__xludf.DUMMYFUNCTION("""COMPUTED_VALUE"""),0.8020833333333336)</f>
        <v>0.8020833333</v>
      </c>
      <c r="V262" s="57">
        <f>IFERROR(__xludf.DUMMYFUNCTION("""COMPUTED_VALUE"""),1.3125000000000002)</f>
        <v>1.3125</v>
      </c>
      <c r="W262" s="57">
        <f>IFERROR(__xludf.DUMMYFUNCTION("""COMPUTED_VALUE"""),3.0625000000000004)</f>
        <v>3.0625</v>
      </c>
      <c r="X262" s="31">
        <f>IFERROR(__xludf.DUMMYFUNCTION("""COMPUTED_VALUE"""),376.23308069812845)</f>
        <v>376.2330807</v>
      </c>
      <c r="Y262" s="57">
        <f>IFERROR(__xludf.DUMMYFUNCTION("""COMPUTED_VALUE"""),0.905795881563902)</f>
        <v>0.9057958816</v>
      </c>
      <c r="Z262" s="57">
        <f>IFERROR(__xludf.DUMMYFUNCTION("""COMPUTED_VALUE"""),0.652426127137152)</f>
        <v>0.6524261271</v>
      </c>
      <c r="AA262" s="57">
        <f>IFERROR(__xludf.DUMMYFUNCTION("""COMPUTED_VALUE"""),1.3402744439672631)</f>
        <v>1.340274444</v>
      </c>
      <c r="AB262" s="57">
        <f>IFERROR(__xludf.DUMMYFUNCTION("""COMPUTED_VALUE"""),2.809388539777452)</f>
        <v>2.80938854</v>
      </c>
      <c r="AC262" s="31">
        <f>IFERROR(__xludf.DUMMYFUNCTION("""COMPUTED_VALUE"""),352.5072028083147)</f>
        <v>352.5072028</v>
      </c>
      <c r="AD262" s="57">
        <f>IFERROR(__xludf.DUMMYFUNCTION("""COMPUTED_VALUE"""),0.7046105261464748)</f>
        <v>0.7046105261</v>
      </c>
      <c r="AE262" s="57">
        <f>IFERROR(__xludf.DUMMYFUNCTION("""COMPUTED_VALUE"""),0.5117017953830609)</f>
        <v>0.5117017954</v>
      </c>
      <c r="AF262" s="57">
        <f>IFERROR(__xludf.DUMMYFUNCTION("""COMPUTED_VALUE"""),1.530460100988688)</f>
        <v>1.530460101</v>
      </c>
      <c r="AG262" s="57">
        <f>IFERROR(__xludf.DUMMYFUNCTION("""COMPUTED_VALUE"""),2.433001826763124)</f>
        <v>2.433001827</v>
      </c>
      <c r="AH262" s="57">
        <f>IFERROR(__xludf.DUMMYFUNCTION("""COMPUTED_VALUE"""),0.9774622965289171)</f>
        <v>0.9774622965</v>
      </c>
      <c r="AI262" s="57">
        <f>IFERROR(__xludf.DUMMYFUNCTION("""COMPUTED_VALUE"""),1.241820789685598)</f>
        <v>1.24182079</v>
      </c>
      <c r="AJ262" s="57">
        <f>IFERROR(__xludf.DUMMYFUNCTION("""COMPUTED_VALUE"""),1.038202337363904)</f>
        <v>1.038202337</v>
      </c>
      <c r="AK262" s="57">
        <f>IFERROR(__xludf.DUMMYFUNCTION("""COMPUTED_VALUE"""),0.8780039408619199)</f>
        <v>0.8780039409</v>
      </c>
      <c r="AL262" s="57">
        <f>IFERROR(__xludf.DUMMYFUNCTION("""COMPUTED_VALUE"""),1.0660698941811877)</f>
        <v>1.066069894</v>
      </c>
      <c r="AM262" s="57">
        <f>IFERROR(__xludf.DUMMYFUNCTION("""COMPUTED_VALUE"""),1.0600421311348303)</f>
        <v>1.060042131</v>
      </c>
      <c r="AN262" s="57">
        <f>IFERROR(__xludf.DUMMYFUNCTION("""COMPUTED_VALUE"""),1.0810014558424426)</f>
        <v>1.081001456</v>
      </c>
      <c r="AO262" s="57">
        <f>IFERROR(__xludf.DUMMYFUNCTION("""COMPUTED_VALUE"""),1.2293856729081005)</f>
        <v>1.229385673</v>
      </c>
      <c r="AP262" s="35">
        <f>IFERROR(__xludf.DUMMYFUNCTION("""COMPUTED_VALUE"""),0.9792770472552998)</f>
        <v>0.9792770473</v>
      </c>
      <c r="AQ262" s="57">
        <f>IFERROR(__xludf.DUMMYFUNCTION("""COMPUTED_VALUE"""),1.0900948575246197)</f>
        <v>1.090094858</v>
      </c>
      <c r="AR262" s="36" t="b">
        <f>IFERROR(__xludf.DUMMYFUNCTION("""COMPUTED_VALUE"""),TRUE)</f>
        <v>1</v>
      </c>
      <c r="AS262" s="57"/>
      <c r="AT262" s="37"/>
      <c r="AU262" s="30"/>
      <c r="AV262" s="30"/>
      <c r="AW262" s="30"/>
      <c r="AX262" s="30"/>
      <c r="AY262" s="30"/>
      <c r="AZ262" s="30"/>
    </row>
    <row r="263">
      <c r="A263" s="30" t="str">
        <f>IFERROR(__xludf.DUMMYFUNCTION("""COMPUTED_VALUE"""),"Elite")</f>
        <v>Elite</v>
      </c>
      <c r="B263" s="30" t="str">
        <f>IFERROR(__xludf.DUMMYFUNCTION("""COMPUTED_VALUE"""),"RSC005464")</f>
        <v>RSC005464</v>
      </c>
      <c r="C263" s="30" t="str">
        <f>IFERROR(__xludf.DUMMYFUNCTION("""COMPUTED_VALUE"""),"taz.rm")</f>
        <v>taz.rm</v>
      </c>
      <c r="D263" s="31" t="str">
        <f>IFERROR(__xludf.DUMMYFUNCTION("""COMPUTED_VALUE"""),"Sloths")</f>
        <v>Sloths</v>
      </c>
      <c r="E263" s="31">
        <f>IFERROR(__xludf.DUMMYFUNCTION("""COMPUTED_VALUE"""),56.77405377846931)</f>
        <v>56.77405378</v>
      </c>
      <c r="F263" s="31">
        <f>IFERROR(__xludf.DUMMYFUNCTION("""COMPUTED_VALUE"""),2.543169854902174)</f>
        <v>2.543169855</v>
      </c>
      <c r="G263" s="31">
        <f>IFERROR(__xludf.DUMMYFUNCTION("""COMPUTED_VALUE"""),43.2312648701505)</f>
        <v>43.23126487</v>
      </c>
      <c r="H263" s="31">
        <f>IFERROR(__xludf.DUMMYFUNCTION("""COMPUTED_VALUE"""),-2.5426407994514153)</f>
        <v>-2.542640799</v>
      </c>
      <c r="I263" s="54">
        <f>IFERROR(__xludf.DUMMYFUNCTION("""COMPUTED_VALUE"""),36.0)</f>
        <v>36</v>
      </c>
      <c r="J263" s="55">
        <f>IFERROR(__xludf.DUMMYFUNCTION("""COMPUTED_VALUE"""),20.0)</f>
        <v>20</v>
      </c>
      <c r="K263" s="54">
        <f>IFERROR(__xludf.DUMMYFUNCTION("""COMPUTED_VALUE"""),16.0)</f>
        <v>16</v>
      </c>
      <c r="L263" s="56">
        <f>IFERROR(__xludf.DUMMYFUNCTION("""COMPUTED_VALUE"""),0.5555555555555556)</f>
        <v>0.5555555556</v>
      </c>
      <c r="M263" s="56">
        <f>IFERROR(__xludf.DUMMYFUNCTION("""COMPUTED_VALUE"""),0.2761904761904762)</f>
        <v>0.2761904762</v>
      </c>
      <c r="N263" s="31">
        <f>IFERROR(__xludf.DUMMYFUNCTION("""COMPUTED_VALUE"""),352.52777777777777)</f>
        <v>352.5277778</v>
      </c>
      <c r="O263" s="57">
        <f>IFERROR(__xludf.DUMMYFUNCTION("""COMPUTED_VALUE"""),0.8055555555555556)</f>
        <v>0.8055555556</v>
      </c>
      <c r="P263" s="57">
        <f>IFERROR(__xludf.DUMMYFUNCTION("""COMPUTED_VALUE"""),0.5277777777777778)</f>
        <v>0.5277777778</v>
      </c>
      <c r="Q263" s="57">
        <f>IFERROR(__xludf.DUMMYFUNCTION("""COMPUTED_VALUE"""),1.3333333333333333)</f>
        <v>1.333333333</v>
      </c>
      <c r="R263" s="57">
        <f>IFERROR(__xludf.DUMMYFUNCTION("""COMPUTED_VALUE"""),2.9166666666666665)</f>
        <v>2.916666667</v>
      </c>
      <c r="S263" s="31">
        <f>IFERROR(__xludf.DUMMYFUNCTION("""COMPUTED_VALUE"""),360.9351851851853)</f>
        <v>360.9351852</v>
      </c>
      <c r="T263" s="57">
        <f>IFERROR(__xludf.DUMMYFUNCTION("""COMPUTED_VALUE"""),0.685185185185185)</f>
        <v>0.6851851852</v>
      </c>
      <c r="U263" s="57">
        <f>IFERROR(__xludf.DUMMYFUNCTION("""COMPUTED_VALUE"""),0.5462962962962964)</f>
        <v>0.5462962963</v>
      </c>
      <c r="V263" s="57">
        <f>IFERROR(__xludf.DUMMYFUNCTION("""COMPUTED_VALUE"""),1.5648148148148149)</f>
        <v>1.564814815</v>
      </c>
      <c r="W263" s="57">
        <f>IFERROR(__xludf.DUMMYFUNCTION("""COMPUTED_VALUE"""),2.611111111111111)</f>
        <v>2.611111111</v>
      </c>
      <c r="X263" s="31">
        <f>IFERROR(__xludf.DUMMYFUNCTION("""COMPUTED_VALUE"""),360.4181224194023)</f>
        <v>360.4181224</v>
      </c>
      <c r="Y263" s="57">
        <f>IFERROR(__xludf.DUMMYFUNCTION("""COMPUTED_VALUE"""),0.7406160470012418)</f>
        <v>0.740616047</v>
      </c>
      <c r="Z263" s="57">
        <f>IFERROR(__xludf.DUMMYFUNCTION("""COMPUTED_VALUE"""),0.5597078584627698)</f>
        <v>0.5597078585</v>
      </c>
      <c r="AA263" s="57">
        <f>IFERROR(__xludf.DUMMYFUNCTION("""COMPUTED_VALUE"""),1.4781881534079468)</f>
        <v>1.478188153</v>
      </c>
      <c r="AB263" s="57">
        <f>IFERROR(__xludf.DUMMYFUNCTION("""COMPUTED_VALUE"""),2.53481197097043)</f>
        <v>2.534811971</v>
      </c>
      <c r="AC263" s="31">
        <f>IFERROR(__xludf.DUMMYFUNCTION("""COMPUTED_VALUE"""),372.2010010490547)</f>
        <v>372.201001</v>
      </c>
      <c r="AD263" s="57">
        <f>IFERROR(__xludf.DUMMYFUNCTION("""COMPUTED_VALUE"""),0.8244855945955659)</f>
        <v>0.8244855946</v>
      </c>
      <c r="AE263" s="57">
        <f>IFERROR(__xludf.DUMMYFUNCTION("""COMPUTED_VALUE"""),0.6064958364779425)</f>
        <v>0.6064958365</v>
      </c>
      <c r="AF263" s="57">
        <f>IFERROR(__xludf.DUMMYFUNCTION("""COMPUTED_VALUE"""),1.442983676061934)</f>
        <v>1.442983676</v>
      </c>
      <c r="AG263" s="57">
        <f>IFERROR(__xludf.DUMMYFUNCTION("""COMPUTED_VALUE"""),2.7763475920960845)</f>
        <v>2.776347592</v>
      </c>
      <c r="AH263" s="57">
        <f>IFERROR(__xludf.DUMMYFUNCTION("""COMPUTED_VALUE"""),0.9471435508882898)</f>
        <v>0.9471435509</v>
      </c>
      <c r="AI263" s="57">
        <f>IFERROR(__xludf.DUMMYFUNCTION("""COMPUTED_VALUE"""),0.9770401821886335)</f>
        <v>0.9770401822</v>
      </c>
      <c r="AJ263" s="57">
        <f>IFERROR(__xludf.DUMMYFUNCTION("""COMPUTED_VALUE"""),0.8702084104034447)</f>
        <v>0.8702084104</v>
      </c>
      <c r="AK263" s="57">
        <f>IFERROR(__xludf.DUMMYFUNCTION("""COMPUTED_VALUE"""),0.9240113768799874)</f>
        <v>0.9240113769</v>
      </c>
      <c r="AL263" s="57">
        <f>IFERROR(__xludf.DUMMYFUNCTION("""COMPUTED_VALUE"""),1.050540888673325)</f>
        <v>1.050540889</v>
      </c>
      <c r="AM263" s="57">
        <f>IFERROR(__xludf.DUMMYFUNCTION("""COMPUTED_VALUE"""),1.0014346192203434)</f>
        <v>1.001434619</v>
      </c>
      <c r="AN263" s="57">
        <f>IFERROR(__xludf.DUMMYFUNCTION("""COMPUTED_VALUE"""),0.9251557375235162)</f>
        <v>0.9251557375</v>
      </c>
      <c r="AO263" s="57">
        <f>IFERROR(__xludf.DUMMYFUNCTION("""COMPUTED_VALUE"""),0.9760382814647125)</f>
        <v>0.9760382815</v>
      </c>
      <c r="AP263" s="35">
        <f>IFERROR(__xludf.DUMMYFUNCTION("""COMPUTED_VALUE"""),1.0586032713137032)</f>
        <v>1.058603271</v>
      </c>
      <c r="AQ263" s="57">
        <f>IFERROR(__xludf.DUMMYFUNCTION("""COMPUTED_VALUE"""),1.0301005127853609)</f>
        <v>1.030100513</v>
      </c>
      <c r="AR263" s="36" t="b">
        <f>IFERROR(__xludf.DUMMYFUNCTION("""COMPUTED_VALUE"""),TRUE)</f>
        <v>1</v>
      </c>
      <c r="AS263" s="57"/>
      <c r="AT263" s="37"/>
      <c r="AU263" s="30"/>
      <c r="AV263" s="30"/>
      <c r="AW263" s="30"/>
      <c r="AX263" s="30"/>
      <c r="AY263" s="30"/>
      <c r="AZ263" s="30"/>
    </row>
    <row r="264">
      <c r="A264" s="30" t="str">
        <f>IFERROR(__xludf.DUMMYFUNCTION("""COMPUTED_VALUE"""),"Elite")</f>
        <v>Elite</v>
      </c>
      <c r="B264" s="30" t="str">
        <f>IFERROR(__xludf.DUMMYFUNCTION("""COMPUTED_VALUE"""),"RSC002164")</f>
        <v>RSC002164</v>
      </c>
      <c r="C264" s="30" t="str">
        <f>IFERROR(__xludf.DUMMYFUNCTION("""COMPUTED_VALUE"""),"Dosia")</f>
        <v>Dosia</v>
      </c>
      <c r="D264" s="31" t="str">
        <f>IFERROR(__xludf.DUMMYFUNCTION("""COMPUTED_VALUE"""),"Wyverns")</f>
        <v>Wyverns</v>
      </c>
      <c r="E264" s="31">
        <f>IFERROR(__xludf.DUMMYFUNCTION("""COMPUTED_VALUE"""),56.715982782364456)</f>
        <v>56.71598278</v>
      </c>
      <c r="F264" s="31">
        <f>IFERROR(__xludf.DUMMYFUNCTION("""COMPUTED_VALUE"""),2.5374036841469194)</f>
        <v>2.537403684</v>
      </c>
      <c r="G264" s="31">
        <f>IFERROR(__xludf.DUMMYFUNCTION("""COMPUTED_VALUE"""),50.27418143372623)</f>
        <v>50.27418143</v>
      </c>
      <c r="H264" s="31">
        <f>IFERROR(__xludf.DUMMYFUNCTION("""COMPUTED_VALUE"""),2.0176553517069493)</f>
        <v>2.017655352</v>
      </c>
      <c r="I264" s="54">
        <f>IFERROR(__xludf.DUMMYFUNCTION("""COMPUTED_VALUE"""),31.0)</f>
        <v>31</v>
      </c>
      <c r="J264" s="55">
        <f>IFERROR(__xludf.DUMMYFUNCTION("""COMPUTED_VALUE"""),16.0)</f>
        <v>16</v>
      </c>
      <c r="K264" s="54">
        <f>IFERROR(__xludf.DUMMYFUNCTION("""COMPUTED_VALUE"""),15.0)</f>
        <v>15</v>
      </c>
      <c r="L264" s="56">
        <f>IFERROR(__xludf.DUMMYFUNCTION("""COMPUTED_VALUE"""),0.5161290322580645)</f>
        <v>0.5161290323</v>
      </c>
      <c r="M264" s="56">
        <f>IFERROR(__xludf.DUMMYFUNCTION("""COMPUTED_VALUE"""),0.2816901408450704)</f>
        <v>0.2816901408</v>
      </c>
      <c r="N264" s="31">
        <f>IFERROR(__xludf.DUMMYFUNCTION("""COMPUTED_VALUE"""),341.96774193548384)</f>
        <v>341.9677419</v>
      </c>
      <c r="O264" s="57">
        <f>IFERROR(__xludf.DUMMYFUNCTION("""COMPUTED_VALUE"""),0.6451612903225806)</f>
        <v>0.6451612903</v>
      </c>
      <c r="P264" s="57">
        <f>IFERROR(__xludf.DUMMYFUNCTION("""COMPUTED_VALUE"""),0.6774193548387096)</f>
        <v>0.6774193548</v>
      </c>
      <c r="Q264" s="57">
        <f>IFERROR(__xludf.DUMMYFUNCTION("""COMPUTED_VALUE"""),1.2903225806451613)</f>
        <v>1.290322581</v>
      </c>
      <c r="R264" s="57">
        <f>IFERROR(__xludf.DUMMYFUNCTION("""COMPUTED_VALUE"""),2.2903225806451615)</f>
        <v>2.290322581</v>
      </c>
      <c r="S264" s="31">
        <f>IFERROR(__xludf.DUMMYFUNCTION("""COMPUTED_VALUE"""),342.1827956989248)</f>
        <v>342.1827957</v>
      </c>
      <c r="T264" s="57">
        <f>IFERROR(__xludf.DUMMYFUNCTION("""COMPUTED_VALUE"""),0.6129032258064516)</f>
        <v>0.6129032258</v>
      </c>
      <c r="U264" s="57">
        <f>IFERROR(__xludf.DUMMYFUNCTION("""COMPUTED_VALUE"""),0.45161290322580655)</f>
        <v>0.4516129032</v>
      </c>
      <c r="V264" s="57">
        <f>IFERROR(__xludf.DUMMYFUNCTION("""COMPUTED_VALUE"""),1.5161290322580645)</f>
        <v>1.516129032</v>
      </c>
      <c r="W264" s="57">
        <f>IFERROR(__xludf.DUMMYFUNCTION("""COMPUTED_VALUE"""),2.3655913978494625)</f>
        <v>2.365591398</v>
      </c>
      <c r="X264" s="31">
        <f>IFERROR(__xludf.DUMMYFUNCTION("""COMPUTED_VALUE"""),358.06721607367746)</f>
        <v>358.0672161</v>
      </c>
      <c r="Y264" s="57">
        <f>IFERROR(__xludf.DUMMYFUNCTION("""COMPUTED_VALUE"""),0.7950220950679784)</f>
        <v>0.7950220951</v>
      </c>
      <c r="Z264" s="57">
        <f>IFERROR(__xludf.DUMMYFUNCTION("""COMPUTED_VALUE"""),0.5974960686239835)</f>
        <v>0.5974960686</v>
      </c>
      <c r="AA264" s="57">
        <f>IFERROR(__xludf.DUMMYFUNCTION("""COMPUTED_VALUE"""),1.339688823214503)</f>
        <v>1.339688823</v>
      </c>
      <c r="AB264" s="57">
        <f>IFERROR(__xludf.DUMMYFUNCTION("""COMPUTED_VALUE"""),2.71782887689281)</f>
        <v>2.717828877</v>
      </c>
      <c r="AC264" s="31">
        <f>IFERROR(__xludf.DUMMYFUNCTION("""COMPUTED_VALUE"""),350.780508404132)</f>
        <v>350.7805084</v>
      </c>
      <c r="AD264" s="57">
        <f>IFERROR(__xludf.DUMMYFUNCTION("""COMPUTED_VALUE"""),0.6986063129808506)</f>
        <v>0.698606313</v>
      </c>
      <c r="AE264" s="57">
        <f>IFERROR(__xludf.DUMMYFUNCTION("""COMPUTED_VALUE"""),0.5283927799385698)</f>
        <v>0.5283927799</v>
      </c>
      <c r="AF264" s="57">
        <f>IFERROR(__xludf.DUMMYFUNCTION("""COMPUTED_VALUE"""),1.4803035634171915)</f>
        <v>1.480303563</v>
      </c>
      <c r="AG264" s="57">
        <f>IFERROR(__xludf.DUMMYFUNCTION("""COMPUTED_VALUE"""),2.4979878895657825)</f>
        <v>2.49798789</v>
      </c>
      <c r="AH264" s="57">
        <f>IFERROR(__xludf.DUMMYFUNCTION("""COMPUTED_VALUE"""),0.974876692810722)</f>
        <v>0.9748766928</v>
      </c>
      <c r="AI264" s="57">
        <f>IFERROR(__xludf.DUMMYFUNCTION("""COMPUTED_VALUE"""),0.9234976528765851)</f>
        <v>0.9234976529</v>
      </c>
      <c r="AJ264" s="57">
        <f>IFERROR(__xludf.DUMMYFUNCTION("""COMPUTED_VALUE"""),1.2820374928617788)</f>
        <v>1.282037493</v>
      </c>
      <c r="AK264" s="57">
        <f>IFERROR(__xludf.DUMMYFUNCTION("""COMPUTED_VALUE"""),0.8716607948078767)</f>
        <v>0.8716607948</v>
      </c>
      <c r="AL264" s="57">
        <f>IFERROR(__xludf.DUMMYFUNCTION("""COMPUTED_VALUE"""),0.9168669672947378)</f>
        <v>0.9168669673</v>
      </c>
      <c r="AM264" s="57">
        <f>IFERROR(__xludf.DUMMYFUNCTION("""COMPUTED_VALUE"""),0.9556384397629851)</f>
        <v>0.9556384398</v>
      </c>
      <c r="AN264" s="57">
        <f>IFERROR(__xludf.DUMMYFUNCTION("""COMPUTED_VALUE"""),0.7709260278534087)</f>
        <v>0.7709260279</v>
      </c>
      <c r="AO264" s="57">
        <f>IFERROR(__xludf.DUMMYFUNCTION("""COMPUTED_VALUE"""),0.7558424681619382)</f>
        <v>0.7558424682</v>
      </c>
      <c r="AP264" s="35">
        <f>IFERROR(__xludf.DUMMYFUNCTION("""COMPUTED_VALUE"""),1.1317023819159764)</f>
        <v>1.131702382</v>
      </c>
      <c r="AQ264" s="57">
        <f>IFERROR(__xludf.DUMMYFUNCTION("""COMPUTED_VALUE"""),0.8703974771781633)</f>
        <v>0.8703974772</v>
      </c>
      <c r="AR264" s="36" t="b">
        <f>IFERROR(__xludf.DUMMYFUNCTION("""COMPUTED_VALUE"""),TRUE)</f>
        <v>1</v>
      </c>
      <c r="AS264" s="57"/>
      <c r="AT264" s="37"/>
      <c r="AU264" s="30"/>
      <c r="AV264" s="30"/>
      <c r="AW264" s="30"/>
      <c r="AX264" s="30"/>
      <c r="AY264" s="30"/>
      <c r="AZ264" s="30"/>
    </row>
    <row r="265">
      <c r="A265" s="30" t="str">
        <f>IFERROR(__xludf.DUMMYFUNCTION("""COMPUTED_VALUE"""),"Elite")</f>
        <v>Elite</v>
      </c>
      <c r="B265" s="30" t="str">
        <f>IFERROR(__xludf.DUMMYFUNCTION("""COMPUTED_VALUE"""),"RSC000666")</f>
        <v>RSC000666</v>
      </c>
      <c r="C265" s="30" t="str">
        <f>IFERROR(__xludf.DUMMYFUNCTION("""COMPUTED_VALUE"""),"AEB311")</f>
        <v>AEB311</v>
      </c>
      <c r="D265" s="31" t="str">
        <f>IFERROR(__xludf.DUMMYFUNCTION("""COMPUTED_VALUE"""),"Teddy Bears")</f>
        <v>Teddy Bears</v>
      </c>
      <c r="E265" s="31">
        <f>IFERROR(__xludf.DUMMYFUNCTION("""COMPUTED_VALUE"""),56.40405768959141)</f>
        <v>56.40405769</v>
      </c>
      <c r="F265" s="31">
        <f>IFERROR(__xludf.DUMMYFUNCTION("""COMPUTED_VALUE"""),2.5068137957215706)</f>
        <v>2.506813796</v>
      </c>
      <c r="G265" s="31">
        <f>IFERROR(__xludf.DUMMYFUNCTION("""COMPUTED_VALUE"""),52.36831852681541)</f>
        <v>52.36831853</v>
      </c>
      <c r="H265" s="31">
        <f>IFERROR(__xludf.DUMMYFUNCTION("""COMPUTED_VALUE"""),2.1632680919299276)</f>
        <v>2.163268092</v>
      </c>
      <c r="I265" s="54">
        <f>IFERROR(__xludf.DUMMYFUNCTION("""COMPUTED_VALUE"""),29.0)</f>
        <v>29</v>
      </c>
      <c r="J265" s="55">
        <f>IFERROR(__xludf.DUMMYFUNCTION("""COMPUTED_VALUE"""),14.0)</f>
        <v>14</v>
      </c>
      <c r="K265" s="54">
        <f>IFERROR(__xludf.DUMMYFUNCTION("""COMPUTED_VALUE"""),15.0)</f>
        <v>15</v>
      </c>
      <c r="L265" s="56">
        <f>IFERROR(__xludf.DUMMYFUNCTION("""COMPUTED_VALUE"""),0.4827586206896552)</f>
        <v>0.4827586207</v>
      </c>
      <c r="M265" s="56">
        <f>IFERROR(__xludf.DUMMYFUNCTION("""COMPUTED_VALUE"""),0.325)</f>
        <v>0.325</v>
      </c>
      <c r="N265" s="31">
        <f>IFERROR(__xludf.DUMMYFUNCTION("""COMPUTED_VALUE"""),344.6896551724138)</f>
        <v>344.6896552</v>
      </c>
      <c r="O265" s="57">
        <f>IFERROR(__xludf.DUMMYFUNCTION("""COMPUTED_VALUE"""),0.896551724137931)</f>
        <v>0.8965517241</v>
      </c>
      <c r="P265" s="57">
        <f>IFERROR(__xludf.DUMMYFUNCTION("""COMPUTED_VALUE"""),0.5517241379310345)</f>
        <v>0.5517241379</v>
      </c>
      <c r="Q265" s="57">
        <f>IFERROR(__xludf.DUMMYFUNCTION("""COMPUTED_VALUE"""),0.896551724137931)</f>
        <v>0.8965517241</v>
      </c>
      <c r="R265" s="57">
        <f>IFERROR(__xludf.DUMMYFUNCTION("""COMPUTED_VALUE"""),2.7586206896551726)</f>
        <v>2.75862069</v>
      </c>
      <c r="S265" s="31">
        <f>IFERROR(__xludf.DUMMYFUNCTION("""COMPUTED_VALUE"""),359.5632183908046)</f>
        <v>359.5632184</v>
      </c>
      <c r="T265" s="57">
        <f>IFERROR(__xludf.DUMMYFUNCTION("""COMPUTED_VALUE"""),0.793103448275862)</f>
        <v>0.7931034483</v>
      </c>
      <c r="U265" s="57">
        <f>IFERROR(__xludf.DUMMYFUNCTION("""COMPUTED_VALUE"""),0.5977011494252874)</f>
        <v>0.5977011494</v>
      </c>
      <c r="V265" s="57">
        <f>IFERROR(__xludf.DUMMYFUNCTION("""COMPUTED_VALUE"""),1.4482758620689653)</f>
        <v>1.448275862</v>
      </c>
      <c r="W265" s="57">
        <f>IFERROR(__xludf.DUMMYFUNCTION("""COMPUTED_VALUE"""),2.505747126436782)</f>
        <v>2.505747126</v>
      </c>
      <c r="X265" s="31">
        <f>IFERROR(__xludf.DUMMYFUNCTION("""COMPUTED_VALUE"""),358.6805690658563)</f>
        <v>358.6805691</v>
      </c>
      <c r="Y265" s="57">
        <f>IFERROR(__xludf.DUMMYFUNCTION("""COMPUTED_VALUE"""),0.7632428229921429)</f>
        <v>0.763242823</v>
      </c>
      <c r="Z265" s="57">
        <f>IFERROR(__xludf.DUMMYFUNCTION("""COMPUTED_VALUE"""),0.5652409651162491)</f>
        <v>0.5652409651</v>
      </c>
      <c r="AA265" s="57">
        <f>IFERROR(__xludf.DUMMYFUNCTION("""COMPUTED_VALUE"""),1.4774522505497492)</f>
        <v>1.477452251</v>
      </c>
      <c r="AB265" s="57">
        <f>IFERROR(__xludf.DUMMYFUNCTION("""COMPUTED_VALUE"""),2.5892213056609905)</f>
        <v>2.589221306</v>
      </c>
      <c r="AC265" s="31">
        <f>IFERROR(__xludf.DUMMYFUNCTION("""COMPUTED_VALUE"""),372.0662770559528)</f>
        <v>372.0662771</v>
      </c>
      <c r="AD265" s="57">
        <f>IFERROR(__xludf.DUMMYFUNCTION("""COMPUTED_VALUE"""),0.8700909829961189)</f>
        <v>0.870090983</v>
      </c>
      <c r="AE265" s="57">
        <f>IFERROR(__xludf.DUMMYFUNCTION("""COMPUTED_VALUE"""),0.644605072461379)</f>
        <v>0.6446050725</v>
      </c>
      <c r="AF265" s="57">
        <f>IFERROR(__xludf.DUMMYFUNCTION("""COMPUTED_VALUE"""),1.3774785194662584)</f>
        <v>1.377478519</v>
      </c>
      <c r="AG265" s="57">
        <f>IFERROR(__xludf.DUMMYFUNCTION("""COMPUTED_VALUE"""),2.7908487231019743)</f>
        <v>2.790848723</v>
      </c>
      <c r="AH265" s="57">
        <f>IFERROR(__xludf.DUMMYFUNCTION("""COMPUTED_VALUE"""),0.9264200397301203)</f>
        <v>0.9264200397</v>
      </c>
      <c r="AI265" s="57">
        <f>IFERROR(__xludf.DUMMYFUNCTION("""COMPUTED_VALUE"""),1.0304114646156841)</f>
        <v>1.030411465</v>
      </c>
      <c r="AJ265" s="57">
        <f>IFERROR(__xludf.DUMMYFUNCTION("""COMPUTED_VALUE"""),0.8559103263403044)</f>
        <v>0.8559103263</v>
      </c>
      <c r="AK265" s="57">
        <f>IFERROR(__xludf.DUMMYFUNCTION("""COMPUTED_VALUE"""),0.6508643956824274)</f>
        <v>0.6508643957</v>
      </c>
      <c r="AL265" s="57">
        <f>IFERROR(__xludf.DUMMYFUNCTION("""COMPUTED_VALUE"""),0.9884522463793807)</f>
        <v>0.9884522464</v>
      </c>
      <c r="AM265" s="57">
        <f>IFERROR(__xludf.DUMMYFUNCTION("""COMPUTED_VALUE"""),1.0024608228074554)</f>
        <v>1.002460823</v>
      </c>
      <c r="AN265" s="57">
        <f>IFERROR(__xludf.DUMMYFUNCTION("""COMPUTED_VALUE"""),1.0391233620339284)</f>
        <v>1.039123362</v>
      </c>
      <c r="AO265" s="57">
        <f>IFERROR(__xludf.DUMMYFUNCTION("""COMPUTED_VALUE"""),1.057427161710338)</f>
        <v>1.057427162</v>
      </c>
      <c r="AP265" s="35">
        <f>IFERROR(__xludf.DUMMYFUNCTION("""COMPUTED_VALUE"""),0.9802522291533093)</f>
        <v>0.9802522292</v>
      </c>
      <c r="AQ265" s="57">
        <f>IFERROR(__xludf.DUMMYFUNCTION("""COMPUTED_VALUE"""),0.9677608943500877)</f>
        <v>0.9677608944</v>
      </c>
      <c r="AR265" s="36" t="b">
        <f>IFERROR(__xludf.DUMMYFUNCTION("""COMPUTED_VALUE"""),TRUE)</f>
        <v>1</v>
      </c>
      <c r="AS265" s="57"/>
      <c r="AT265" s="37"/>
      <c r="AU265" s="30"/>
      <c r="AV265" s="30"/>
      <c r="AW265" s="30"/>
      <c r="AX265" s="30"/>
      <c r="AY265" s="30"/>
      <c r="AZ265" s="30"/>
    </row>
    <row r="266">
      <c r="A266" s="30" t="str">
        <f>IFERROR(__xludf.DUMMYFUNCTION("""COMPUTED_VALUE"""),"Elite")</f>
        <v>Elite</v>
      </c>
      <c r="B266" s="30" t="str">
        <f>IFERROR(__xludf.DUMMYFUNCTION("""COMPUTED_VALUE"""),"RSC005705")</f>
        <v>RSC005705</v>
      </c>
      <c r="C266" s="30" t="str">
        <f>IFERROR(__xludf.DUMMYFUNCTION("""COMPUTED_VALUE"""),"Rapidz (Goofy and Silly)")</f>
        <v>Rapidz (Goofy and Silly)</v>
      </c>
      <c r="D266" s="31" t="str">
        <f>IFERROR(__xludf.DUMMYFUNCTION("""COMPUTED_VALUE"""),"Keno")</f>
        <v>Keno</v>
      </c>
      <c r="E266" s="31">
        <f>IFERROR(__xludf.DUMMYFUNCTION("""COMPUTED_VALUE"""),56.12154282188963)</f>
        <v>56.12154282</v>
      </c>
      <c r="F266" s="31">
        <f>IFERROR(__xludf.DUMMYFUNCTION("""COMPUTED_VALUE"""),2.4796559478137215)</f>
        <v>2.479655948</v>
      </c>
      <c r="G266" s="31">
        <f>IFERROR(__xludf.DUMMYFUNCTION("""COMPUTED_VALUE"""),48.630921866528006)</f>
        <v>48.63092187</v>
      </c>
      <c r="H266" s="31">
        <f>IFERROR(__xludf.DUMMYFUNCTION("""COMPUTED_VALUE"""),-2.091334478391159)</f>
        <v>-2.091334478</v>
      </c>
      <c r="I266" s="54">
        <f>IFERROR(__xludf.DUMMYFUNCTION("""COMPUTED_VALUE"""),24.0)</f>
        <v>24</v>
      </c>
      <c r="J266" s="55">
        <f>IFERROR(__xludf.DUMMYFUNCTION("""COMPUTED_VALUE"""),12.0)</f>
        <v>12</v>
      </c>
      <c r="K266" s="54">
        <f>IFERROR(__xludf.DUMMYFUNCTION("""COMPUTED_VALUE"""),12.0)</f>
        <v>12</v>
      </c>
      <c r="L266" s="56">
        <f>IFERROR(__xludf.DUMMYFUNCTION("""COMPUTED_VALUE"""),0.5)</f>
        <v>0.5</v>
      </c>
      <c r="M266" s="56">
        <f>IFERROR(__xludf.DUMMYFUNCTION("""COMPUTED_VALUE"""),0.2463768115942029)</f>
        <v>0.2463768116</v>
      </c>
      <c r="N266" s="31">
        <f>IFERROR(__xludf.DUMMYFUNCTION("""COMPUTED_VALUE"""),359.8333333333333)</f>
        <v>359.8333333</v>
      </c>
      <c r="O266" s="57">
        <f>IFERROR(__xludf.DUMMYFUNCTION("""COMPUTED_VALUE"""),0.7083333333333334)</f>
        <v>0.7083333333</v>
      </c>
      <c r="P266" s="57">
        <f>IFERROR(__xludf.DUMMYFUNCTION("""COMPUTED_VALUE"""),0.5416666666666666)</f>
        <v>0.5416666667</v>
      </c>
      <c r="Q266" s="57">
        <f>IFERROR(__xludf.DUMMYFUNCTION("""COMPUTED_VALUE"""),1.5416666666666667)</f>
        <v>1.541666667</v>
      </c>
      <c r="R266" s="57">
        <f>IFERROR(__xludf.DUMMYFUNCTION("""COMPUTED_VALUE"""),2.875)</f>
        <v>2.875</v>
      </c>
      <c r="S266" s="31">
        <f>IFERROR(__xludf.DUMMYFUNCTION("""COMPUTED_VALUE"""),342.9861111111111)</f>
        <v>342.9861111</v>
      </c>
      <c r="T266" s="57">
        <f>IFERROR(__xludf.DUMMYFUNCTION("""COMPUTED_VALUE"""),0.6527777777777778)</f>
        <v>0.6527777778</v>
      </c>
      <c r="U266" s="57">
        <f>IFERROR(__xludf.DUMMYFUNCTION("""COMPUTED_VALUE"""),0.4444444444444444)</f>
        <v>0.4444444444</v>
      </c>
      <c r="V266" s="57">
        <f>IFERROR(__xludf.DUMMYFUNCTION("""COMPUTED_VALUE"""),1.486111111111111)</f>
        <v>1.486111111</v>
      </c>
      <c r="W266" s="57">
        <f>IFERROR(__xludf.DUMMYFUNCTION("""COMPUTED_VALUE"""),2.5833333333333335)</f>
        <v>2.583333333</v>
      </c>
      <c r="X266" s="31">
        <f>IFERROR(__xludf.DUMMYFUNCTION("""COMPUTED_VALUE"""),350.4861431291422)</f>
        <v>350.4861431</v>
      </c>
      <c r="Y266" s="57">
        <f>IFERROR(__xludf.DUMMYFUNCTION("""COMPUTED_VALUE"""),0.7533034596364429)</f>
        <v>0.7533034596</v>
      </c>
      <c r="Z266" s="57">
        <f>IFERROR(__xludf.DUMMYFUNCTION("""COMPUTED_VALUE"""),0.5664199596423957)</f>
        <v>0.5664199596</v>
      </c>
      <c r="AA266" s="57">
        <f>IFERROR(__xludf.DUMMYFUNCTION("""COMPUTED_VALUE"""),1.3322442049795875)</f>
        <v>1.332244205</v>
      </c>
      <c r="AB266" s="57">
        <f>IFERROR(__xludf.DUMMYFUNCTION("""COMPUTED_VALUE"""),2.635948660603387)</f>
        <v>2.635948661</v>
      </c>
      <c r="AC266" s="31">
        <f>IFERROR(__xludf.DUMMYFUNCTION("""COMPUTED_VALUE"""),368.4049546025904)</f>
        <v>368.4049546</v>
      </c>
      <c r="AD266" s="57">
        <f>IFERROR(__xludf.DUMMYFUNCTION("""COMPUTED_VALUE"""),0.8467542312946291)</f>
        <v>0.8467542313</v>
      </c>
      <c r="AE266" s="57">
        <f>IFERROR(__xludf.DUMMYFUNCTION("""COMPUTED_VALUE"""),0.6364672227926187)</f>
        <v>0.6364672228</v>
      </c>
      <c r="AF266" s="57">
        <f>IFERROR(__xludf.DUMMYFUNCTION("""COMPUTED_VALUE"""),1.407167854387379)</f>
        <v>1.407167854</v>
      </c>
      <c r="AG266" s="57">
        <f>IFERROR(__xludf.DUMMYFUNCTION("""COMPUTED_VALUE"""),2.6726870857124463)</f>
        <v>2.672687086</v>
      </c>
      <c r="AH266" s="57">
        <f>IFERROR(__xludf.DUMMYFUNCTION("""COMPUTED_VALUE"""),0.9767331542039016)</f>
        <v>0.9767331542</v>
      </c>
      <c r="AI266" s="57">
        <f>IFERROR(__xludf.DUMMYFUNCTION("""COMPUTED_VALUE"""),0.8365276572050195)</f>
        <v>0.8365276572</v>
      </c>
      <c r="AJ266" s="57">
        <f>IFERROR(__xludf.DUMMYFUNCTION("""COMPUTED_VALUE"""),0.8510519430835779)</f>
        <v>0.8510519431</v>
      </c>
      <c r="AK266" s="57">
        <f>IFERROR(__xludf.DUMMYFUNCTION("""COMPUTED_VALUE"""),1.0955812143234631)</f>
        <v>1.095581214</v>
      </c>
      <c r="AL266" s="57">
        <f>IFERROR(__xludf.DUMMYFUNCTION("""COMPUTED_VALUE"""),1.0756964462353527)</f>
        <v>1.075696446</v>
      </c>
      <c r="AM266" s="57">
        <f>IFERROR(__xludf.DUMMYFUNCTION("""COMPUTED_VALUE"""),0.9786010597991955)</f>
        <v>0.9786010598</v>
      </c>
      <c r="AN266" s="57">
        <f>IFERROR(__xludf.DUMMYFUNCTION("""COMPUTED_VALUE"""),0.8665535375249963)</f>
        <v>0.8665535375</v>
      </c>
      <c r="AO266" s="57">
        <f>IFERROR(__xludf.DUMMYFUNCTION("""COMPUTED_VALUE"""),0.7846553372254759)</f>
        <v>0.7846553372</v>
      </c>
      <c r="AP266" s="35">
        <f>IFERROR(__xludf.DUMMYFUNCTION("""COMPUTED_VALUE"""),1.1154945208666762)</f>
        <v>1.115494521</v>
      </c>
      <c r="AQ266" s="57">
        <f>IFERROR(__xludf.DUMMYFUNCTION("""COMPUTED_VALUE"""),0.9800393201671805)</f>
        <v>0.9800393202</v>
      </c>
      <c r="AR266" s="36" t="b">
        <f>IFERROR(__xludf.DUMMYFUNCTION("""COMPUTED_VALUE"""),TRUE)</f>
        <v>1</v>
      </c>
      <c r="AS266" s="57"/>
      <c r="AT266" s="37"/>
      <c r="AU266" s="30"/>
      <c r="AV266" s="30"/>
      <c r="AW266" s="30"/>
      <c r="AX266" s="30"/>
      <c r="AY266" s="30"/>
      <c r="AZ266" s="30"/>
    </row>
    <row r="267">
      <c r="A267" s="30" t="str">
        <f>IFERROR(__xludf.DUMMYFUNCTION("""COMPUTED_VALUE"""),"Elite")</f>
        <v>Elite</v>
      </c>
      <c r="B267" s="30" t="str">
        <f>IFERROR(__xludf.DUMMYFUNCTION("""COMPUTED_VALUE"""),"RSC005193")</f>
        <v>RSC005193</v>
      </c>
      <c r="C267" s="30" t="str">
        <f>IFERROR(__xludf.DUMMYFUNCTION("""COMPUTED_VALUE"""),"RegularlyJones")</f>
        <v>RegularlyJones</v>
      </c>
      <c r="D267" s="31" t="str">
        <f>IFERROR(__xludf.DUMMYFUNCTION("""COMPUTED_VALUE"""),"Sloths")</f>
        <v>Sloths</v>
      </c>
      <c r="E267" s="31">
        <f>IFERROR(__xludf.DUMMYFUNCTION("""COMPUTED_VALUE"""),55.3494439489424)</f>
        <v>55.34944395</v>
      </c>
      <c r="F267" s="31">
        <f>IFERROR(__xludf.DUMMYFUNCTION("""COMPUTED_VALUE"""),2.40800110748899)</f>
        <v>2.408001107</v>
      </c>
      <c r="G267" s="31">
        <f>IFERROR(__xludf.DUMMYFUNCTION("""COMPUTED_VALUE"""),47.67505875350116)</f>
        <v>47.67505875</v>
      </c>
      <c r="H267" s="31">
        <f>IFERROR(__xludf.DUMMYFUNCTION("""COMPUTED_VALUE"""),-2.160047817983898)</f>
        <v>-2.160047818</v>
      </c>
      <c r="I267" s="54">
        <f>IFERROR(__xludf.DUMMYFUNCTION("""COMPUTED_VALUE"""),36.0)</f>
        <v>36</v>
      </c>
      <c r="J267" s="55">
        <f>IFERROR(__xludf.DUMMYFUNCTION("""COMPUTED_VALUE"""),20.0)</f>
        <v>20</v>
      </c>
      <c r="K267" s="54">
        <f>IFERROR(__xludf.DUMMYFUNCTION("""COMPUTED_VALUE"""),16.0)</f>
        <v>16</v>
      </c>
      <c r="L267" s="56">
        <f>IFERROR(__xludf.DUMMYFUNCTION("""COMPUTED_VALUE"""),0.5555555555555556)</f>
        <v>0.5555555556</v>
      </c>
      <c r="M267" s="56">
        <f>IFERROR(__xludf.DUMMYFUNCTION("""COMPUTED_VALUE"""),0.21698113207547168)</f>
        <v>0.2169811321</v>
      </c>
      <c r="N267" s="31">
        <f>IFERROR(__xludf.DUMMYFUNCTION("""COMPUTED_VALUE"""),349.0)</f>
        <v>349</v>
      </c>
      <c r="O267" s="57">
        <f>IFERROR(__xludf.DUMMYFUNCTION("""COMPUTED_VALUE"""),0.6388888888888888)</f>
        <v>0.6388888889</v>
      </c>
      <c r="P267" s="57">
        <f>IFERROR(__xludf.DUMMYFUNCTION("""COMPUTED_VALUE"""),0.7222222222222222)</f>
        <v>0.7222222222</v>
      </c>
      <c r="Q267" s="57">
        <f>IFERROR(__xludf.DUMMYFUNCTION("""COMPUTED_VALUE"""),1.2777777777777777)</f>
        <v>1.277777778</v>
      </c>
      <c r="R267" s="57">
        <f>IFERROR(__xludf.DUMMYFUNCTION("""COMPUTED_VALUE"""),2.9444444444444446)</f>
        <v>2.944444444</v>
      </c>
      <c r="S267" s="31">
        <f>IFERROR(__xludf.DUMMYFUNCTION("""COMPUTED_VALUE"""),360.9351851851853)</f>
        <v>360.9351852</v>
      </c>
      <c r="T267" s="57">
        <f>IFERROR(__xludf.DUMMYFUNCTION("""COMPUTED_VALUE"""),0.685185185185185)</f>
        <v>0.6851851852</v>
      </c>
      <c r="U267" s="57">
        <f>IFERROR(__xludf.DUMMYFUNCTION("""COMPUTED_VALUE"""),0.5462962962962964)</f>
        <v>0.5462962963</v>
      </c>
      <c r="V267" s="57">
        <f>IFERROR(__xludf.DUMMYFUNCTION("""COMPUTED_VALUE"""),1.5648148148148149)</f>
        <v>1.564814815</v>
      </c>
      <c r="W267" s="57">
        <f>IFERROR(__xludf.DUMMYFUNCTION("""COMPUTED_VALUE"""),2.611111111111111)</f>
        <v>2.611111111</v>
      </c>
      <c r="X267" s="31">
        <f>IFERROR(__xludf.DUMMYFUNCTION("""COMPUTED_VALUE"""),360.4181224194023)</f>
        <v>360.4181224</v>
      </c>
      <c r="Y267" s="57">
        <f>IFERROR(__xludf.DUMMYFUNCTION("""COMPUTED_VALUE"""),0.7406160470012418)</f>
        <v>0.740616047</v>
      </c>
      <c r="Z267" s="57">
        <f>IFERROR(__xludf.DUMMYFUNCTION("""COMPUTED_VALUE"""),0.5597078584627698)</f>
        <v>0.5597078585</v>
      </c>
      <c r="AA267" s="57">
        <f>IFERROR(__xludf.DUMMYFUNCTION("""COMPUTED_VALUE"""),1.4781881534079468)</f>
        <v>1.478188153</v>
      </c>
      <c r="AB267" s="57">
        <f>IFERROR(__xludf.DUMMYFUNCTION("""COMPUTED_VALUE"""),2.53481197097043)</f>
        <v>2.534811971</v>
      </c>
      <c r="AC267" s="31">
        <f>IFERROR(__xludf.DUMMYFUNCTION("""COMPUTED_VALUE"""),372.2010010490547)</f>
        <v>372.201001</v>
      </c>
      <c r="AD267" s="57">
        <f>IFERROR(__xludf.DUMMYFUNCTION("""COMPUTED_VALUE"""),0.8244855945955659)</f>
        <v>0.8244855946</v>
      </c>
      <c r="AE267" s="57">
        <f>IFERROR(__xludf.DUMMYFUNCTION("""COMPUTED_VALUE"""),0.6064958364779425)</f>
        <v>0.6064958365</v>
      </c>
      <c r="AF267" s="57">
        <f>IFERROR(__xludf.DUMMYFUNCTION("""COMPUTED_VALUE"""),1.442983676061934)</f>
        <v>1.442983676</v>
      </c>
      <c r="AG267" s="57">
        <f>IFERROR(__xludf.DUMMYFUNCTION("""COMPUTED_VALUE"""),2.7763475920960845)</f>
        <v>2.776347592</v>
      </c>
      <c r="AH267" s="57">
        <f>IFERROR(__xludf.DUMMYFUNCTION("""COMPUTED_VALUE"""),0.9376653985785576)</f>
        <v>0.9376653986</v>
      </c>
      <c r="AI267" s="57">
        <f>IFERROR(__xludf.DUMMYFUNCTION("""COMPUTED_VALUE"""),0.7748939375978817)</f>
        <v>0.7748939376</v>
      </c>
      <c r="AJ267" s="57">
        <f>IFERROR(__xludf.DUMMYFUNCTION("""COMPUTED_VALUE"""),1.1908115089731346)</f>
        <v>1.190811509</v>
      </c>
      <c r="AK267" s="57">
        <f>IFERROR(__xludf.DUMMYFUNCTION("""COMPUTED_VALUE"""),0.8855109028433212)</f>
        <v>0.8855109028</v>
      </c>
      <c r="AL267" s="57">
        <f>IFERROR(__xludf.DUMMYFUNCTION("""COMPUTED_VALUE"""),1.0605460399940234)</f>
        <v>1.06054604</v>
      </c>
      <c r="AM267" s="57">
        <f>IFERROR(__xludf.DUMMYFUNCTION("""COMPUTED_VALUE"""),1.0014346192203434)</f>
        <v>1.001434619</v>
      </c>
      <c r="AN267" s="57">
        <f>IFERROR(__xludf.DUMMYFUNCTION("""COMPUTED_VALUE"""),0.9251557375235162)</f>
        <v>0.9251557375</v>
      </c>
      <c r="AO267" s="57">
        <f>IFERROR(__xludf.DUMMYFUNCTION("""COMPUTED_VALUE"""),0.9760382814647125)</f>
        <v>0.9760382815</v>
      </c>
      <c r="AP267" s="35">
        <f>IFERROR(__xludf.DUMMYFUNCTION("""COMPUTED_VALUE"""),1.0586032713137032)</f>
        <v>1.058603271</v>
      </c>
      <c r="AQ267" s="57">
        <f>IFERROR(__xludf.DUMMYFUNCTION("""COMPUTED_VALUE"""),1.0301005127853609)</f>
        <v>1.030100513</v>
      </c>
      <c r="AR267" s="36" t="b">
        <f>IFERROR(__xludf.DUMMYFUNCTION("""COMPUTED_VALUE"""),TRUE)</f>
        <v>1</v>
      </c>
      <c r="AS267" s="57"/>
      <c r="AT267" s="37"/>
      <c r="AU267" s="30"/>
      <c r="AV267" s="30"/>
      <c r="AW267" s="30"/>
      <c r="AX267" s="30"/>
      <c r="AY267" s="30"/>
      <c r="AZ267" s="30"/>
    </row>
    <row r="268">
      <c r="A268" s="30" t="str">
        <f>IFERROR(__xludf.DUMMYFUNCTION("""COMPUTED_VALUE"""),"Elite")</f>
        <v>Elite</v>
      </c>
      <c r="B268" s="30" t="str">
        <f>IFERROR(__xludf.DUMMYFUNCTION("""COMPUTED_VALUE"""),"RSC000867")</f>
        <v>RSC000867</v>
      </c>
      <c r="C268" s="30" t="str">
        <f>IFERROR(__xludf.DUMMYFUNCTION("""COMPUTED_VALUE"""),"Ritter")</f>
        <v>Ritter</v>
      </c>
      <c r="D268" s="31" t="str">
        <f>IFERROR(__xludf.DUMMYFUNCTION("""COMPUTED_VALUE"""),"Pylons")</f>
        <v>Pylons</v>
      </c>
      <c r="E268" s="31">
        <f>IFERROR(__xludf.DUMMYFUNCTION("""COMPUTED_VALUE"""),55.264243641844764)</f>
        <v>55.26424364</v>
      </c>
      <c r="F268" s="31">
        <f>IFERROR(__xludf.DUMMYFUNCTION("""COMPUTED_VALUE"""),2.4003177374983227)</f>
        <v>2.400317737</v>
      </c>
      <c r="G268" s="31">
        <f>IFERROR(__xludf.DUMMYFUNCTION("""COMPUTED_VALUE"""),34.946039919402835)</f>
        <v>34.94603992</v>
      </c>
      <c r="H268" s="31">
        <f>IFERROR(__xludf.DUMMYFUNCTION("""COMPUTED_VALUE"""),-3.6558479664111965)</f>
        <v>-3.655847966</v>
      </c>
      <c r="I268" s="54">
        <f>IFERROR(__xludf.DUMMYFUNCTION("""COMPUTED_VALUE"""),12.0)</f>
        <v>12</v>
      </c>
      <c r="J268" s="55">
        <f>IFERROR(__xludf.DUMMYFUNCTION("""COMPUTED_VALUE"""),7.0)</f>
        <v>7</v>
      </c>
      <c r="K268" s="54">
        <f>IFERROR(__xludf.DUMMYFUNCTION("""COMPUTED_VALUE"""),5.0)</f>
        <v>5</v>
      </c>
      <c r="L268" s="56">
        <f>IFERROR(__xludf.DUMMYFUNCTION("""COMPUTED_VALUE"""),0.5833333333333334)</f>
        <v>0.5833333333</v>
      </c>
      <c r="M268" s="56">
        <f>IFERROR(__xludf.DUMMYFUNCTION("""COMPUTED_VALUE"""),0.39999999999999997)</f>
        <v>0.4</v>
      </c>
      <c r="N268" s="31">
        <f>IFERROR(__xludf.DUMMYFUNCTION("""COMPUTED_VALUE"""),349.75)</f>
        <v>349.75</v>
      </c>
      <c r="O268" s="57">
        <f>IFERROR(__xludf.DUMMYFUNCTION("""COMPUTED_VALUE"""),0.8333333333333334)</f>
        <v>0.8333333333</v>
      </c>
      <c r="P268" s="57">
        <f>IFERROR(__xludf.DUMMYFUNCTION("""COMPUTED_VALUE"""),0.75)</f>
        <v>0.75</v>
      </c>
      <c r="Q268" s="57">
        <f>IFERROR(__xludf.DUMMYFUNCTION("""COMPUTED_VALUE"""),1.5)</f>
        <v>1.5</v>
      </c>
      <c r="R268" s="57">
        <f>IFERROR(__xludf.DUMMYFUNCTION("""COMPUTED_VALUE"""),2.0833333333333335)</f>
        <v>2.083333333</v>
      </c>
      <c r="S268" s="31">
        <f>IFERROR(__xludf.DUMMYFUNCTION("""COMPUTED_VALUE"""),363.47222222222223)</f>
        <v>363.4722222</v>
      </c>
      <c r="T268" s="57">
        <f>IFERROR(__xludf.DUMMYFUNCTION("""COMPUTED_VALUE"""),0.8888888888888888)</f>
        <v>0.8888888889</v>
      </c>
      <c r="U268" s="57">
        <f>IFERROR(__xludf.DUMMYFUNCTION("""COMPUTED_VALUE"""),0.5555555555555555)</f>
        <v>0.5555555556</v>
      </c>
      <c r="V268" s="57">
        <f>IFERROR(__xludf.DUMMYFUNCTION("""COMPUTED_VALUE"""),1.4166666666666667)</f>
        <v>1.416666667</v>
      </c>
      <c r="W268" s="57">
        <f>IFERROR(__xludf.DUMMYFUNCTION("""COMPUTED_VALUE"""),2.9722222222222228)</f>
        <v>2.972222222</v>
      </c>
      <c r="X268" s="31">
        <f>IFERROR(__xludf.DUMMYFUNCTION("""COMPUTED_VALUE"""),363.2304106771498)</f>
        <v>363.2304107</v>
      </c>
      <c r="Y268" s="57">
        <f>IFERROR(__xludf.DUMMYFUNCTION("""COMPUTED_VALUE"""),0.7804886571832143)</f>
        <v>0.7804886572</v>
      </c>
      <c r="Z268" s="57">
        <f>IFERROR(__xludf.DUMMYFUNCTION("""COMPUTED_VALUE"""),0.5437047005783512)</f>
        <v>0.5437047006</v>
      </c>
      <c r="AA268" s="57">
        <f>IFERROR(__xludf.DUMMYFUNCTION("""COMPUTED_VALUE"""),1.4570450038470062)</f>
        <v>1.457045004</v>
      </c>
      <c r="AB268" s="57">
        <f>IFERROR(__xludf.DUMMYFUNCTION("""COMPUTED_VALUE"""),2.7615948296057184)</f>
        <v>2.76159483</v>
      </c>
      <c r="AC268" s="31">
        <f>IFERROR(__xludf.DUMMYFUNCTION("""COMPUTED_VALUE"""),362.3526226139624)</f>
        <v>362.3526226</v>
      </c>
      <c r="AD268" s="57">
        <f>IFERROR(__xludf.DUMMYFUNCTION("""COMPUTED_VALUE"""),0.7332282501790471)</f>
        <v>0.7332282502</v>
      </c>
      <c r="AE268" s="57">
        <f>IFERROR(__xludf.DUMMYFUNCTION("""COMPUTED_VALUE"""),0.5560319377190157)</f>
        <v>0.5560319377</v>
      </c>
      <c r="AF268" s="57">
        <f>IFERROR(__xludf.DUMMYFUNCTION("""COMPUTED_VALUE"""),1.5521481681194818)</f>
        <v>1.552148168</v>
      </c>
      <c r="AG268" s="57">
        <f>IFERROR(__xludf.DUMMYFUNCTION("""COMPUTED_VALUE"""),2.6135453819086956)</f>
        <v>2.613545382</v>
      </c>
      <c r="AH268" s="57">
        <f>IFERROR(__xludf.DUMMYFUNCTION("""COMPUTED_VALUE"""),0.9652200044171094)</f>
        <v>0.9652200044</v>
      </c>
      <c r="AI268" s="57">
        <f>IFERROR(__xludf.DUMMYFUNCTION("""COMPUTED_VALUE"""),1.1365264951668754)</f>
        <v>1.136526495</v>
      </c>
      <c r="AJ268" s="57">
        <f>IFERROR(__xludf.DUMMYFUNCTION("""COMPUTED_VALUE"""),1.348843383127758)</f>
        <v>1.348843383</v>
      </c>
      <c r="AK268" s="57">
        <f>IFERROR(__xludf.DUMMYFUNCTION("""COMPUTED_VALUE"""),0.9664025837284193)</f>
        <v>0.9664025837</v>
      </c>
      <c r="AL268" s="57">
        <f>IFERROR(__xludf.DUMMYFUNCTION("""COMPUTED_VALUE"""),0.7971291976617052)</f>
        <v>0.7971291977</v>
      </c>
      <c r="AM268" s="57">
        <f>IFERROR(__xludf.DUMMYFUNCTION("""COMPUTED_VALUE"""),1.0006657249447304)</f>
        <v>1.000665725</v>
      </c>
      <c r="AN268" s="57">
        <f>IFERROR(__xludf.DUMMYFUNCTION("""COMPUTED_VALUE"""),1.1388876452053658)</f>
        <v>1.138887645</v>
      </c>
      <c r="AO268" s="57">
        <f>IFERROR(__xludf.DUMMYFUNCTION("""COMPUTED_VALUE"""),1.0217964916701994)</f>
        <v>1.021796492</v>
      </c>
      <c r="AP268" s="35">
        <f>IFERROR(__xludf.DUMMYFUNCTION("""COMPUTED_VALUE"""),0.9722875154345065)</f>
        <v>0.9722875154</v>
      </c>
      <c r="AQ268" s="57">
        <f>IFERROR(__xludf.DUMMYFUNCTION("""COMPUTED_VALUE"""),1.0762702009572405)</f>
        <v>1.076270201</v>
      </c>
      <c r="AR268" s="36" t="b">
        <f>IFERROR(__xludf.DUMMYFUNCTION("""COMPUTED_VALUE"""),TRUE)</f>
        <v>1</v>
      </c>
      <c r="AS268" s="57"/>
      <c r="AT268" s="37"/>
      <c r="AU268" s="30"/>
      <c r="AV268" s="30"/>
      <c r="AW268" s="30"/>
      <c r="AX268" s="30"/>
      <c r="AY268" s="30"/>
      <c r="AZ268" s="30"/>
    </row>
    <row r="269">
      <c r="A269" s="30" t="str">
        <f>IFERROR(__xludf.DUMMYFUNCTION("""COMPUTED_VALUE"""),"Elite")</f>
        <v>Elite</v>
      </c>
      <c r="B269" s="30" t="str">
        <f>IFERROR(__xludf.DUMMYFUNCTION("""COMPUTED_VALUE"""),"RSC004966")</f>
        <v>RSC004966</v>
      </c>
      <c r="C269" s="30" t="str">
        <f>IFERROR(__xludf.DUMMYFUNCTION("""COMPUTED_VALUE"""),"Buck")</f>
        <v>Buck</v>
      </c>
      <c r="D269" s="31" t="str">
        <f>IFERROR(__xludf.DUMMYFUNCTION("""COMPUTED_VALUE"""),"Thrashers")</f>
        <v>Thrashers</v>
      </c>
      <c r="E269" s="31">
        <f>IFERROR(__xludf.DUMMYFUNCTION("""COMPUTED_VALUE"""),54.82704858872669)</f>
        <v>54.82704859</v>
      </c>
      <c r="F269" s="31">
        <f>IFERROR(__xludf.DUMMYFUNCTION("""COMPUTED_VALUE"""),2.3615684206285366)</f>
        <v>2.361568421</v>
      </c>
      <c r="G269" s="31">
        <f>IFERROR(__xludf.DUMMYFUNCTION("""COMPUTED_VALUE"""),29.878499716916743)</f>
        <v>29.87849972</v>
      </c>
      <c r="H269" s="31">
        <f>IFERROR(__xludf.DUMMYFUNCTION("""COMPUTED_VALUE"""),-4.751717231503908)</f>
        <v>-4.751717232</v>
      </c>
      <c r="I269" s="54">
        <f>IFERROR(__xludf.DUMMYFUNCTION("""COMPUTED_VALUE"""),32.0)</f>
        <v>32</v>
      </c>
      <c r="J269" s="55">
        <f>IFERROR(__xludf.DUMMYFUNCTION("""COMPUTED_VALUE"""),19.0)</f>
        <v>19</v>
      </c>
      <c r="K269" s="54">
        <f>IFERROR(__xludf.DUMMYFUNCTION("""COMPUTED_VALUE"""),13.0)</f>
        <v>13</v>
      </c>
      <c r="L269" s="56">
        <f>IFERROR(__xludf.DUMMYFUNCTION("""COMPUTED_VALUE"""),0.59375)</f>
        <v>0.59375</v>
      </c>
      <c r="M269" s="56">
        <f>IFERROR(__xludf.DUMMYFUNCTION("""COMPUTED_VALUE"""),0.25263157894736843)</f>
        <v>0.2526315789</v>
      </c>
      <c r="N269" s="31">
        <f>IFERROR(__xludf.DUMMYFUNCTION("""COMPUTED_VALUE"""),302.96875)</f>
        <v>302.96875</v>
      </c>
      <c r="O269" s="57">
        <f>IFERROR(__xludf.DUMMYFUNCTION("""COMPUTED_VALUE"""),0.75)</f>
        <v>0.75</v>
      </c>
      <c r="P269" s="57">
        <f>IFERROR(__xludf.DUMMYFUNCTION("""COMPUTED_VALUE"""),0.46875)</f>
        <v>0.46875</v>
      </c>
      <c r="Q269" s="57">
        <f>IFERROR(__xludf.DUMMYFUNCTION("""COMPUTED_VALUE"""),1.03125)</f>
        <v>1.03125</v>
      </c>
      <c r="R269" s="57">
        <f>IFERROR(__xludf.DUMMYFUNCTION("""COMPUTED_VALUE"""),2.96875)</f>
        <v>2.96875</v>
      </c>
      <c r="S269" s="31">
        <f>IFERROR(__xludf.DUMMYFUNCTION("""COMPUTED_VALUE"""),375.96875000000006)</f>
        <v>375.96875</v>
      </c>
      <c r="T269" s="57">
        <f>IFERROR(__xludf.DUMMYFUNCTION("""COMPUTED_VALUE"""),0.8541666666666666)</f>
        <v>0.8541666667</v>
      </c>
      <c r="U269" s="57">
        <f>IFERROR(__xludf.DUMMYFUNCTION("""COMPUTED_VALUE"""),0.6145833333333335)</f>
        <v>0.6145833333</v>
      </c>
      <c r="V269" s="57">
        <f>IFERROR(__xludf.DUMMYFUNCTION("""COMPUTED_VALUE"""),1.6145833333333333)</f>
        <v>1.614583333</v>
      </c>
      <c r="W269" s="57">
        <f>IFERROR(__xludf.DUMMYFUNCTION("""COMPUTED_VALUE"""),2.427083333333334)</f>
        <v>2.427083333</v>
      </c>
      <c r="X269" s="31">
        <f>IFERROR(__xludf.DUMMYFUNCTION("""COMPUTED_VALUE"""),368.0494558499338)</f>
        <v>368.0494558</v>
      </c>
      <c r="Y269" s="57">
        <f>IFERROR(__xludf.DUMMYFUNCTION("""COMPUTED_VALUE"""),0.8102805404008643)</f>
        <v>0.8102805404</v>
      </c>
      <c r="Z269" s="57">
        <f>IFERROR(__xludf.DUMMYFUNCTION("""COMPUTED_VALUE"""),0.6063816325493411)</f>
        <v>0.6063816325</v>
      </c>
      <c r="AA269" s="57">
        <f>IFERROR(__xludf.DUMMYFUNCTION("""COMPUTED_VALUE"""),1.4371897566237277)</f>
        <v>1.437189757</v>
      </c>
      <c r="AB269" s="57">
        <f>IFERROR(__xludf.DUMMYFUNCTION("""COMPUTED_VALUE"""),2.6749508334893237)</f>
        <v>2.674950833</v>
      </c>
      <c r="AC269" s="31">
        <f>IFERROR(__xludf.DUMMYFUNCTION("""COMPUTED_VALUE"""),344.216944167674)</f>
        <v>344.2169442</v>
      </c>
      <c r="AD269" s="57">
        <f>IFERROR(__xludf.DUMMYFUNCTION("""COMPUTED_VALUE"""),0.7027381324164992)</f>
        <v>0.7027381324</v>
      </c>
      <c r="AE269" s="57">
        <f>IFERROR(__xludf.DUMMYFUNCTION("""COMPUTED_VALUE"""),0.49983318455499237)</f>
        <v>0.4998331846</v>
      </c>
      <c r="AF269" s="57">
        <f>IFERROR(__xludf.DUMMYFUNCTION("""COMPUTED_VALUE"""),1.3952318575792508)</f>
        <v>1.395231858</v>
      </c>
      <c r="AG269" s="57">
        <f>IFERROR(__xludf.DUMMYFUNCTION("""COMPUTED_VALUE"""),2.536524749347071)</f>
        <v>2.536524749</v>
      </c>
      <c r="AH269" s="57">
        <f>IFERROR(__xludf.DUMMYFUNCTION("""COMPUTED_VALUE"""),0.8801680310438719)</f>
        <v>0.880168031</v>
      </c>
      <c r="AI269" s="57">
        <f>IFERROR(__xludf.DUMMYFUNCTION("""COMPUTED_VALUE"""),1.067253882212115)</f>
        <v>1.067253882</v>
      </c>
      <c r="AJ269" s="57">
        <f>IFERROR(__xludf.DUMMYFUNCTION("""COMPUTED_VALUE"""),0.9378128833469388)</f>
        <v>0.9378128833</v>
      </c>
      <c r="AK269" s="57">
        <f>IFERROR(__xludf.DUMMYFUNCTION("""COMPUTED_VALUE"""),0.7391244647962919)</f>
        <v>0.7391244648</v>
      </c>
      <c r="AL269" s="57">
        <f>IFERROR(__xludf.DUMMYFUNCTION("""COMPUTED_VALUE"""),1.1704005650897704)</f>
        <v>1.170400565</v>
      </c>
      <c r="AM269" s="57">
        <f>IFERROR(__xludf.DUMMYFUNCTION("""COMPUTED_VALUE"""),1.021516929380532)</f>
        <v>1.021516929</v>
      </c>
      <c r="AN269" s="57">
        <f>IFERROR(__xludf.DUMMYFUNCTION("""COMPUTED_VALUE"""),1.0541616441190738)</f>
        <v>1.054161644</v>
      </c>
      <c r="AO269" s="57">
        <f>IFERROR(__xludf.DUMMYFUNCTION("""COMPUTED_VALUE"""),1.0135256418462264)</f>
        <v>1.013525642</v>
      </c>
      <c r="AP269" s="35">
        <f>IFERROR(__xludf.DUMMYFUNCTION("""COMPUTED_VALUE"""),1.1234308663083863)</f>
        <v>1.123430866</v>
      </c>
      <c r="AQ269" s="57">
        <f>IFERROR(__xludf.DUMMYFUNCTION("""COMPUTED_VALUE"""),0.9073375491419181)</f>
        <v>0.9073375491</v>
      </c>
      <c r="AR269" s="36" t="b">
        <f>IFERROR(__xludf.DUMMYFUNCTION("""COMPUTED_VALUE"""),TRUE)</f>
        <v>1</v>
      </c>
      <c r="AS269" s="57"/>
      <c r="AT269" s="37"/>
      <c r="AU269" s="30"/>
      <c r="AV269" s="30"/>
      <c r="AW269" s="30"/>
      <c r="AX269" s="30"/>
      <c r="AY269" s="30"/>
      <c r="AZ269" s="30"/>
    </row>
    <row r="270">
      <c r="A270" s="30" t="str">
        <f>IFERROR(__xludf.DUMMYFUNCTION("""COMPUTED_VALUE"""),"Elite")</f>
        <v>Elite</v>
      </c>
      <c r="B270" s="30" t="str">
        <f>IFERROR(__xludf.DUMMYFUNCTION("""COMPUTED_VALUE"""),"RSC003427")</f>
        <v>RSC003427</v>
      </c>
      <c r="C270" s="30" t="str">
        <f>IFERROR(__xludf.DUMMYFUNCTION("""COMPUTED_VALUE"""),"(P|F)ineapple")</f>
        <v>(P|F)ineapple</v>
      </c>
      <c r="D270" s="31" t="str">
        <f>IFERROR(__xludf.DUMMYFUNCTION("""COMPUTED_VALUE"""),"Orochi")</f>
        <v>Orochi</v>
      </c>
      <c r="E270" s="31">
        <f>IFERROR(__xludf.DUMMYFUNCTION("""COMPUTED_VALUE"""),53.53040309120616)</f>
        <v>53.53040309</v>
      </c>
      <c r="F270" s="31">
        <f>IFERROR(__xludf.DUMMYFUNCTION("""COMPUTED_VALUE"""),2.253015413299329)</f>
        <v>2.253015413</v>
      </c>
      <c r="G270" s="31">
        <f>IFERROR(__xludf.DUMMYFUNCTION("""COMPUTED_VALUE"""),40.010924203752545)</f>
        <v>40.0109242</v>
      </c>
      <c r="H270" s="31">
        <f>IFERROR(__xludf.DUMMYFUNCTION("""COMPUTED_VALUE"""),-2.900743562577921)</f>
        <v>-2.900743563</v>
      </c>
      <c r="I270" s="54">
        <f>IFERROR(__xludf.DUMMYFUNCTION("""COMPUTED_VALUE"""),33.0)</f>
        <v>33</v>
      </c>
      <c r="J270" s="55">
        <f>IFERROR(__xludf.DUMMYFUNCTION("""COMPUTED_VALUE"""),15.0)</f>
        <v>15</v>
      </c>
      <c r="K270" s="54">
        <f>IFERROR(__xludf.DUMMYFUNCTION("""COMPUTED_VALUE"""),18.0)</f>
        <v>18</v>
      </c>
      <c r="L270" s="56">
        <f>IFERROR(__xludf.DUMMYFUNCTION("""COMPUTED_VALUE"""),0.45454545454545453)</f>
        <v>0.4545454545</v>
      </c>
      <c r="M270" s="56">
        <f>IFERROR(__xludf.DUMMYFUNCTION("""COMPUTED_VALUE"""),0.4)</f>
        <v>0.4</v>
      </c>
      <c r="N270" s="31">
        <f>IFERROR(__xludf.DUMMYFUNCTION("""COMPUTED_VALUE"""),351.8787878787879)</f>
        <v>351.8787879</v>
      </c>
      <c r="O270" s="57">
        <f>IFERROR(__xludf.DUMMYFUNCTION("""COMPUTED_VALUE"""),0.8484848484848485)</f>
        <v>0.8484848485</v>
      </c>
      <c r="P270" s="57">
        <f>IFERROR(__xludf.DUMMYFUNCTION("""COMPUTED_VALUE"""),0.48484848484848486)</f>
        <v>0.4848484848</v>
      </c>
      <c r="Q270" s="57">
        <f>IFERROR(__xludf.DUMMYFUNCTION("""COMPUTED_VALUE"""),1.5757575757575757)</f>
        <v>1.575757576</v>
      </c>
      <c r="R270" s="57">
        <f>IFERROR(__xludf.DUMMYFUNCTION("""COMPUTED_VALUE"""),2.121212121212121)</f>
        <v>2.121212121</v>
      </c>
      <c r="S270" s="31">
        <f>IFERROR(__xludf.DUMMYFUNCTION("""COMPUTED_VALUE"""),362.4343434343434)</f>
        <v>362.4343434</v>
      </c>
      <c r="T270" s="57">
        <f>IFERROR(__xludf.DUMMYFUNCTION("""COMPUTED_VALUE"""),0.828282828282828)</f>
        <v>0.8282828283</v>
      </c>
      <c r="U270" s="57">
        <f>IFERROR(__xludf.DUMMYFUNCTION("""COMPUTED_VALUE"""),0.616161616161616)</f>
        <v>0.6161616162</v>
      </c>
      <c r="V270" s="57">
        <f>IFERROR(__xludf.DUMMYFUNCTION("""COMPUTED_VALUE"""),1.3030303030303028)</f>
        <v>1.303030303</v>
      </c>
      <c r="W270" s="57">
        <f>IFERROR(__xludf.DUMMYFUNCTION("""COMPUTED_VALUE"""),2.86868686868687)</f>
        <v>2.868686869</v>
      </c>
      <c r="X270" s="31">
        <f>IFERROR(__xludf.DUMMYFUNCTION("""COMPUTED_VALUE"""),372.13984923697296)</f>
        <v>372.1398492</v>
      </c>
      <c r="Y270" s="57">
        <f>IFERROR(__xludf.DUMMYFUNCTION("""COMPUTED_VALUE"""),0.8144821635563396)</f>
        <v>0.8144821636</v>
      </c>
      <c r="Z270" s="57">
        <f>IFERROR(__xludf.DUMMYFUNCTION("""COMPUTED_VALUE"""),0.6354636641480353)</f>
        <v>0.6354636641</v>
      </c>
      <c r="AA270" s="57">
        <f>IFERROR(__xludf.DUMMYFUNCTION("""COMPUTED_VALUE"""),1.390831997403528)</f>
        <v>1.390831997</v>
      </c>
      <c r="AB270" s="57">
        <f>IFERROR(__xludf.DUMMYFUNCTION("""COMPUTED_VALUE"""),2.847924338060154)</f>
        <v>2.847924338</v>
      </c>
      <c r="AC270" s="31">
        <f>IFERROR(__xludf.DUMMYFUNCTION("""COMPUTED_VALUE"""),353.41773016527696)</f>
        <v>353.4177302</v>
      </c>
      <c r="AD270" s="57">
        <f>IFERROR(__xludf.DUMMYFUNCTION("""COMPUTED_VALUE"""),0.6863507631870998)</f>
        <v>0.6863507632</v>
      </c>
      <c r="AE270" s="57">
        <f>IFERROR(__xludf.DUMMYFUNCTION("""COMPUTED_VALUE"""),0.5170382314195212)</f>
        <v>0.5170382314</v>
      </c>
      <c r="AF270" s="57">
        <f>IFERROR(__xludf.DUMMYFUNCTION("""COMPUTED_VALUE"""),1.5481932874563766)</f>
        <v>1.548193287</v>
      </c>
      <c r="AG270" s="57">
        <f>IFERROR(__xludf.DUMMYFUNCTION("""COMPUTED_VALUE"""),2.495741411177198)</f>
        <v>2.495741411</v>
      </c>
      <c r="AH270" s="57">
        <f>IFERROR(__xludf.DUMMYFUNCTION("""COMPUTED_VALUE"""),0.9956455430638146)</f>
        <v>0.9956455431</v>
      </c>
      <c r="AI270" s="57">
        <f>IFERROR(__xludf.DUMMYFUNCTION("""COMPUTED_VALUE"""),1.2362262766997913)</f>
        <v>1.236226277</v>
      </c>
      <c r="AJ270" s="57">
        <f>IFERROR(__xludf.DUMMYFUNCTION("""COMPUTED_VALUE"""),0.9377420379869011)</f>
        <v>0.937742038</v>
      </c>
      <c r="AK270" s="57">
        <f>IFERROR(__xludf.DUMMYFUNCTION("""COMPUTED_VALUE"""),1.0178041647154317)</f>
        <v>1.017804165</v>
      </c>
      <c r="AL270" s="57">
        <f>IFERROR(__xludf.DUMMYFUNCTION("""COMPUTED_VALUE"""),0.8499326539649724)</f>
        <v>0.849932654</v>
      </c>
      <c r="AM270" s="57">
        <f>IFERROR(__xludf.DUMMYFUNCTION("""COMPUTED_VALUE"""),0.9739197352217736)</f>
        <v>0.9739197352</v>
      </c>
      <c r="AN270" s="57">
        <f>IFERROR(__xludf.DUMMYFUNCTION("""COMPUTED_VALUE"""),1.0169440969293047)</f>
        <v>1.016944097</v>
      </c>
      <c r="AO270" s="57">
        <f>IFERROR(__xludf.DUMMYFUNCTION("""COMPUTED_VALUE"""),0.9696252530625846)</f>
        <v>0.9696252531</v>
      </c>
      <c r="AP270" s="35">
        <f>IFERROR(__xludf.DUMMYFUNCTION("""COMPUTED_VALUE"""),0.936871099789811)</f>
        <v>0.9368710998</v>
      </c>
      <c r="AQ270" s="57">
        <f>IFERROR(__xludf.DUMMYFUNCTION("""COMPUTED_VALUE"""),1.007290408087477)</f>
        <v>1.007290408</v>
      </c>
      <c r="AR270" s="36" t="b">
        <f>IFERROR(__xludf.DUMMYFUNCTION("""COMPUTED_VALUE"""),TRUE)</f>
        <v>1</v>
      </c>
      <c r="AS270" s="57"/>
      <c r="AT270" s="37"/>
      <c r="AU270" s="30"/>
      <c r="AV270" s="30"/>
      <c r="AW270" s="30"/>
      <c r="AX270" s="30"/>
      <c r="AY270" s="30"/>
      <c r="AZ270" s="30"/>
    </row>
    <row r="271">
      <c r="A271" s="30" t="str">
        <f>IFERROR(__xludf.DUMMYFUNCTION("""COMPUTED_VALUE"""),"Elite")</f>
        <v>Elite</v>
      </c>
      <c r="B271" s="30" t="str">
        <f>IFERROR(__xludf.DUMMYFUNCTION("""COMPUTED_VALUE"""),"RSC003831")</f>
        <v>RSC003831</v>
      </c>
      <c r="C271" s="30" t="str">
        <f>IFERROR(__xludf.DUMMYFUNCTION("""COMPUTED_VALUE"""),"Aki")</f>
        <v>Aki</v>
      </c>
      <c r="D271" s="31" t="str">
        <f>IFERROR(__xludf.DUMMYFUNCTION("""COMPUTED_VALUE"""),"Stoked Blokes")</f>
        <v>Stoked Blokes</v>
      </c>
      <c r="E271" s="31">
        <f>IFERROR(__xludf.DUMMYFUNCTION("""COMPUTED_VALUE"""),53.4687056704956)</f>
        <v>53.46870567</v>
      </c>
      <c r="F271" s="31">
        <f>IFERROR(__xludf.DUMMYFUNCTION("""COMPUTED_VALUE"""),2.248077341882077)</f>
        <v>2.248077342</v>
      </c>
      <c r="G271" s="31">
        <f>IFERROR(__xludf.DUMMYFUNCTION("""COMPUTED_VALUE"""),55.205435234809634)</f>
        <v>55.20543523</v>
      </c>
      <c r="H271" s="31">
        <f>IFERROR(__xludf.DUMMYFUNCTION("""COMPUTED_VALUE"""),2.3950397316446836)</f>
        <v>2.395039732</v>
      </c>
      <c r="I271" s="54">
        <f>IFERROR(__xludf.DUMMYFUNCTION("""COMPUTED_VALUE"""),30.0)</f>
        <v>30</v>
      </c>
      <c r="J271" s="55">
        <f>IFERROR(__xludf.DUMMYFUNCTION("""COMPUTED_VALUE"""),14.0)</f>
        <v>14</v>
      </c>
      <c r="K271" s="54">
        <f>IFERROR(__xludf.DUMMYFUNCTION("""COMPUTED_VALUE"""),16.0)</f>
        <v>16</v>
      </c>
      <c r="L271" s="56">
        <f>IFERROR(__xludf.DUMMYFUNCTION("""COMPUTED_VALUE"""),0.4666666666666667)</f>
        <v>0.4666666667</v>
      </c>
      <c r="M271" s="56">
        <f>IFERROR(__xludf.DUMMYFUNCTION("""COMPUTED_VALUE"""),0.20930232558139533)</f>
        <v>0.2093023256</v>
      </c>
      <c r="N271" s="31">
        <f>IFERROR(__xludf.DUMMYFUNCTION("""COMPUTED_VALUE"""),341.4)</f>
        <v>341.4</v>
      </c>
      <c r="O271" s="57">
        <f>IFERROR(__xludf.DUMMYFUNCTION("""COMPUTED_VALUE"""),0.6)</f>
        <v>0.6</v>
      </c>
      <c r="P271" s="57">
        <f>IFERROR(__xludf.DUMMYFUNCTION("""COMPUTED_VALUE"""),0.6666666666666666)</f>
        <v>0.6666666667</v>
      </c>
      <c r="Q271" s="57">
        <f>IFERROR(__xludf.DUMMYFUNCTION("""COMPUTED_VALUE"""),1.2333333333333334)</f>
        <v>1.233333333</v>
      </c>
      <c r="R271" s="57">
        <f>IFERROR(__xludf.DUMMYFUNCTION("""COMPUTED_VALUE"""),2.8666666666666667)</f>
        <v>2.866666667</v>
      </c>
      <c r="S271" s="31">
        <f>IFERROR(__xludf.DUMMYFUNCTION("""COMPUTED_VALUE"""),353.13333333333344)</f>
        <v>353.1333333</v>
      </c>
      <c r="T271" s="57">
        <f>IFERROR(__xludf.DUMMYFUNCTION("""COMPUTED_VALUE"""),0.7000000000000003)</f>
        <v>0.7</v>
      </c>
      <c r="U271" s="57">
        <f>IFERROR(__xludf.DUMMYFUNCTION("""COMPUTED_VALUE"""),0.511111111111111)</f>
        <v>0.5111111111</v>
      </c>
      <c r="V271" s="57">
        <f>IFERROR(__xludf.DUMMYFUNCTION("""COMPUTED_VALUE"""),1.5555555555555558)</f>
        <v>1.555555556</v>
      </c>
      <c r="W271" s="57">
        <f>IFERROR(__xludf.DUMMYFUNCTION("""COMPUTED_VALUE"""),2.4444444444444446)</f>
        <v>2.444444444</v>
      </c>
      <c r="X271" s="31">
        <f>IFERROR(__xludf.DUMMYFUNCTION("""COMPUTED_VALUE"""),360.85331819893474)</f>
        <v>360.8533182</v>
      </c>
      <c r="Y271" s="57">
        <f>IFERROR(__xludf.DUMMYFUNCTION("""COMPUTED_VALUE"""),0.7538484631860005)</f>
        <v>0.7538484632</v>
      </c>
      <c r="Z271" s="57">
        <f>IFERROR(__xludf.DUMMYFUNCTION("""COMPUTED_VALUE"""),0.5797548926195447)</f>
        <v>0.5797548926</v>
      </c>
      <c r="AA271" s="57">
        <f>IFERROR(__xludf.DUMMYFUNCTION("""COMPUTED_VALUE"""),1.4997849698728853)</f>
        <v>1.49978497</v>
      </c>
      <c r="AB271" s="57">
        <f>IFERROR(__xludf.DUMMYFUNCTION("""COMPUTED_VALUE"""),2.5433328648838724)</f>
        <v>2.543332865</v>
      </c>
      <c r="AC271" s="31">
        <f>IFERROR(__xludf.DUMMYFUNCTION("""COMPUTED_VALUE"""),361.22003568106913)</f>
        <v>361.2200357</v>
      </c>
      <c r="AD271" s="57">
        <f>IFERROR(__xludf.DUMMYFUNCTION("""COMPUTED_VALUE"""),0.7930531154122973)</f>
        <v>0.7930531154</v>
      </c>
      <c r="AE271" s="57">
        <f>IFERROR(__xludf.DUMMYFUNCTION("""COMPUTED_VALUE"""),0.5830204098859046)</f>
        <v>0.5830204099</v>
      </c>
      <c r="AF271" s="57">
        <f>IFERROR(__xludf.DUMMYFUNCTION("""COMPUTED_VALUE"""),1.346637166611193)</f>
        <v>1.346637167</v>
      </c>
      <c r="AG271" s="57">
        <f>IFERROR(__xludf.DUMMYFUNCTION("""COMPUTED_VALUE"""),2.760245062041124)</f>
        <v>2.760245062</v>
      </c>
      <c r="AH271" s="57">
        <f>IFERROR(__xludf.DUMMYFUNCTION("""COMPUTED_VALUE"""),0.9451302980918567)</f>
        <v>0.9451302981</v>
      </c>
      <c r="AI271" s="57">
        <f>IFERROR(__xludf.DUMMYFUNCTION("""COMPUTED_VALUE"""),0.7565697534497022)</f>
        <v>0.7565697534</v>
      </c>
      <c r="AJ271" s="57">
        <f>IFERROR(__xludf.DUMMYFUNCTION("""COMPUTED_VALUE"""),1.1434705464207184)</f>
        <v>1.143470546</v>
      </c>
      <c r="AK271" s="57">
        <f>IFERROR(__xludf.DUMMYFUNCTION("""COMPUTED_VALUE"""),0.915861647006975)</f>
        <v>0.915861647</v>
      </c>
      <c r="AL271" s="57">
        <f>IFERROR(__xludf.DUMMYFUNCTION("""COMPUTED_VALUE"""),1.0385551290677237)</f>
        <v>1.038555129</v>
      </c>
      <c r="AM271" s="57">
        <f>IFERROR(__xludf.DUMMYFUNCTION("""COMPUTED_VALUE"""),0.9786063076705717)</f>
        <v>0.9786063077</v>
      </c>
      <c r="AN271" s="57">
        <f>IFERROR(__xludf.DUMMYFUNCTION("""COMPUTED_VALUE"""),0.9285685839851424)</f>
        <v>0.928568584</v>
      </c>
      <c r="AO271" s="57">
        <f>IFERROR(__xludf.DUMMYFUNCTION("""COMPUTED_VALUE"""),0.8815986162733771)</f>
        <v>0.8815986163</v>
      </c>
      <c r="AP271" s="35">
        <f>IFERROR(__xludf.DUMMYFUNCTION("""COMPUTED_VALUE"""),1.0371857211553448)</f>
        <v>1.037185721</v>
      </c>
      <c r="AQ271" s="57">
        <f>IFERROR(__xludf.DUMMYFUNCTION("""COMPUTED_VALUE"""),0.961118569336797)</f>
        <v>0.9611185693</v>
      </c>
      <c r="AR271" s="36" t="b">
        <f>IFERROR(__xludf.DUMMYFUNCTION("""COMPUTED_VALUE"""),TRUE)</f>
        <v>1</v>
      </c>
      <c r="AS271" s="57"/>
      <c r="AT271" s="37"/>
      <c r="AU271" s="30"/>
      <c r="AV271" s="30"/>
      <c r="AW271" s="30"/>
      <c r="AX271" s="30"/>
      <c r="AY271" s="30"/>
      <c r="AZ271" s="30"/>
    </row>
    <row r="272">
      <c r="A272" s="30" t="str">
        <f>IFERROR(__xludf.DUMMYFUNCTION("""COMPUTED_VALUE"""),"Elite")</f>
        <v>Elite</v>
      </c>
      <c r="B272" s="30" t="str">
        <f>IFERROR(__xludf.DUMMYFUNCTION("""COMPUTED_VALUE"""),"RSC001889")</f>
        <v>RSC001889</v>
      </c>
      <c r="C272" s="30" t="str">
        <f>IFERROR(__xludf.DUMMYFUNCTION("""COMPUTED_VALUE"""),"Phelpsy")</f>
        <v>Phelpsy</v>
      </c>
      <c r="D272" s="31" t="str">
        <f>IFERROR(__xludf.DUMMYFUNCTION("""COMPUTED_VALUE"""),"Forge Defenders")</f>
        <v>Forge Defenders</v>
      </c>
      <c r="E272" s="31">
        <f>IFERROR(__xludf.DUMMYFUNCTION("""COMPUTED_VALUE"""),53.09262629610694)</f>
        <v>53.0926263</v>
      </c>
      <c r="F272" s="31">
        <f>IFERROR(__xludf.DUMMYFUNCTION("""COMPUTED_VALUE"""),2.218404565873022)</f>
        <v>2.218404566</v>
      </c>
      <c r="G272" s="31">
        <f>IFERROR(__xludf.DUMMYFUNCTION("""COMPUTED_VALUE"""),35.26763704189133)</f>
        <v>35.26763704</v>
      </c>
      <c r="H272" s="31">
        <f>IFERROR(__xludf.DUMMYFUNCTION("""COMPUTED_VALUE"""),-3.5992992214149964)</f>
        <v>-3.599299221</v>
      </c>
      <c r="I272" s="54">
        <f>IFERROR(__xludf.DUMMYFUNCTION("""COMPUTED_VALUE"""),23.0)</f>
        <v>23</v>
      </c>
      <c r="J272" s="55">
        <f>IFERROR(__xludf.DUMMYFUNCTION("""COMPUTED_VALUE"""),13.0)</f>
        <v>13</v>
      </c>
      <c r="K272" s="54">
        <f>IFERROR(__xludf.DUMMYFUNCTION("""COMPUTED_VALUE"""),10.0)</f>
        <v>10</v>
      </c>
      <c r="L272" s="56">
        <f>IFERROR(__xludf.DUMMYFUNCTION("""COMPUTED_VALUE"""),0.5652173913043478)</f>
        <v>0.5652173913</v>
      </c>
      <c r="M272" s="56">
        <f>IFERROR(__xludf.DUMMYFUNCTION("""COMPUTED_VALUE"""),0.3333333333333333)</f>
        <v>0.3333333333</v>
      </c>
      <c r="N272" s="31">
        <f>IFERROR(__xludf.DUMMYFUNCTION("""COMPUTED_VALUE"""),325.04347826086956)</f>
        <v>325.0434783</v>
      </c>
      <c r="O272" s="57">
        <f>IFERROR(__xludf.DUMMYFUNCTION("""COMPUTED_VALUE"""),0.7391304347826086)</f>
        <v>0.7391304348</v>
      </c>
      <c r="P272" s="57">
        <f>IFERROR(__xludf.DUMMYFUNCTION("""COMPUTED_VALUE"""),0.6086956521739131)</f>
        <v>0.6086956522</v>
      </c>
      <c r="Q272" s="57">
        <f>IFERROR(__xludf.DUMMYFUNCTION("""COMPUTED_VALUE"""),1.2608695652173914)</f>
        <v>1.260869565</v>
      </c>
      <c r="R272" s="57">
        <f>IFERROR(__xludf.DUMMYFUNCTION("""COMPUTED_VALUE"""),2.217391304347826)</f>
        <v>2.217391304</v>
      </c>
      <c r="S272" s="31">
        <f>IFERROR(__xludf.DUMMYFUNCTION("""COMPUTED_VALUE"""),337.4347826086957)</f>
        <v>337.4347826</v>
      </c>
      <c r="T272" s="57">
        <f>IFERROR(__xludf.DUMMYFUNCTION("""COMPUTED_VALUE"""),0.6521739130434783)</f>
        <v>0.652173913</v>
      </c>
      <c r="U272" s="57">
        <f>IFERROR(__xludf.DUMMYFUNCTION("""COMPUTED_VALUE"""),0.5652173913043479)</f>
        <v>0.5652173913</v>
      </c>
      <c r="V272" s="57">
        <f>IFERROR(__xludf.DUMMYFUNCTION("""COMPUTED_VALUE"""),1.3188405797101452)</f>
        <v>1.31884058</v>
      </c>
      <c r="W272" s="57">
        <f>IFERROR(__xludf.DUMMYFUNCTION("""COMPUTED_VALUE"""),2.8405797101449273)</f>
        <v>2.84057971</v>
      </c>
      <c r="X272" s="31">
        <f>IFERROR(__xludf.DUMMYFUNCTION("""COMPUTED_VALUE"""),375.0750606849789)</f>
        <v>375.0750607</v>
      </c>
      <c r="Y272" s="57">
        <f>IFERROR(__xludf.DUMMYFUNCTION("""COMPUTED_VALUE"""),0.8576095799425446)</f>
        <v>0.8576095799</v>
      </c>
      <c r="Z272" s="57">
        <f>IFERROR(__xludf.DUMMYFUNCTION("""COMPUTED_VALUE"""),0.6148747772166995)</f>
        <v>0.6148747772</v>
      </c>
      <c r="AA272" s="57">
        <f>IFERROR(__xludf.DUMMYFUNCTION("""COMPUTED_VALUE"""),1.4374554856750592)</f>
        <v>1.437455486</v>
      </c>
      <c r="AB272" s="57">
        <f>IFERROR(__xludf.DUMMYFUNCTION("""COMPUTED_VALUE"""),2.8595953441486883)</f>
        <v>2.859595344</v>
      </c>
      <c r="AC272" s="31">
        <f>IFERROR(__xludf.DUMMYFUNCTION("""COMPUTED_VALUE"""),359.4673129840663)</f>
        <v>359.467313</v>
      </c>
      <c r="AD272" s="57">
        <f>IFERROR(__xludf.DUMMYFUNCTION("""COMPUTED_VALUE"""),0.7319796038546116)</f>
        <v>0.7319796039</v>
      </c>
      <c r="AE272" s="57">
        <f>IFERROR(__xludf.DUMMYFUNCTION("""COMPUTED_VALUE"""),0.5438836862069101)</f>
        <v>0.5438836862</v>
      </c>
      <c r="AF272" s="57">
        <f>IFERROR(__xludf.DUMMYFUNCTION("""COMPUTED_VALUE"""),1.5048710638752765)</f>
        <v>1.504871064</v>
      </c>
      <c r="AG272" s="57">
        <f>IFERROR(__xludf.DUMMYFUNCTION("""COMPUTED_VALUE"""),2.5982359047916264)</f>
        <v>2.598235905</v>
      </c>
      <c r="AH272" s="57">
        <f>IFERROR(__xludf.DUMMYFUNCTION("""COMPUTED_VALUE"""),0.9042365370096317)</f>
        <v>0.904236537</v>
      </c>
      <c r="AI272" s="57">
        <f>IFERROR(__xludf.DUMMYFUNCTION("""COMPUTED_VALUE"""),1.0097691669144069)</f>
        <v>1.009769167</v>
      </c>
      <c r="AJ272" s="57">
        <f>IFERROR(__xludf.DUMMYFUNCTION("""COMPUTED_VALUE"""),1.1191651222690775)</f>
        <v>1.119165122</v>
      </c>
      <c r="AK272" s="57">
        <f>IFERROR(__xludf.DUMMYFUNCTION("""COMPUTED_VALUE"""),0.8378588674370924)</f>
        <v>0.8378588674</v>
      </c>
      <c r="AL272" s="57">
        <f>IFERROR(__xludf.DUMMYFUNCTION("""COMPUTED_VALUE"""),0.8534218545200409)</f>
        <v>0.8534218545</v>
      </c>
      <c r="AM272" s="57">
        <f>IFERROR(__xludf.DUMMYFUNCTION("""COMPUTED_VALUE"""),0.8996460121674237)</f>
        <v>0.8996460122</v>
      </c>
      <c r="AN272" s="57">
        <f>IFERROR(__xludf.DUMMYFUNCTION("""COMPUTED_VALUE"""),0.7604554896496964)</f>
        <v>0.7604554896</v>
      </c>
      <c r="AO272" s="57">
        <f>IFERROR(__xludf.DUMMYFUNCTION("""COMPUTED_VALUE"""),0.9192398391471978)</f>
        <v>0.9192398391</v>
      </c>
      <c r="AP272" s="35">
        <f>IFERROR(__xludf.DUMMYFUNCTION("""COMPUTED_VALUE"""),0.9174827275369783)</f>
        <v>0.9174827275</v>
      </c>
      <c r="AQ272" s="57">
        <f>IFERROR(__xludf.DUMMYFUNCTION("""COMPUTED_VALUE"""),0.9933502360595632)</f>
        <v>0.9933502361</v>
      </c>
      <c r="AR272" s="36" t="b">
        <f>IFERROR(__xludf.DUMMYFUNCTION("""COMPUTED_VALUE"""),TRUE)</f>
        <v>1</v>
      </c>
      <c r="AS272" s="57"/>
      <c r="AT272" s="37"/>
      <c r="AU272" s="30"/>
      <c r="AV272" s="30"/>
      <c r="AW272" s="30"/>
      <c r="AX272" s="30"/>
      <c r="AY272" s="30"/>
      <c r="AZ272" s="30"/>
    </row>
    <row r="273">
      <c r="A273" s="30" t="str">
        <f>IFERROR(__xludf.DUMMYFUNCTION("""COMPUTED_VALUE"""),"Elite")</f>
        <v>Elite</v>
      </c>
      <c r="B273" s="30" t="str">
        <f>IFERROR(__xludf.DUMMYFUNCTION("""COMPUTED_VALUE"""),"RSC003360")</f>
        <v>RSC003360</v>
      </c>
      <c r="C273" s="30" t="str">
        <f>IFERROR(__xludf.DUMMYFUNCTION("""COMPUTED_VALUE"""),"flossy")</f>
        <v>flossy</v>
      </c>
      <c r="D273" s="31" t="str">
        <f>IFERROR(__xludf.DUMMYFUNCTION("""COMPUTED_VALUE"""),"Geeky Ghouls")</f>
        <v>Geeky Ghouls</v>
      </c>
      <c r="E273" s="31">
        <f>IFERROR(__xludf.DUMMYFUNCTION("""COMPUTED_VALUE"""),52.88231551621242)</f>
        <v>52.88231552</v>
      </c>
      <c r="F273" s="31">
        <f>IFERROR(__xludf.DUMMYFUNCTION("""COMPUTED_VALUE"""),2.2021261396802236)</f>
        <v>2.20212614</v>
      </c>
      <c r="G273" s="31">
        <f>IFERROR(__xludf.DUMMYFUNCTION("""COMPUTED_VALUE"""),37.21307492934123)</f>
        <v>37.21307493</v>
      </c>
      <c r="H273" s="31">
        <f>IFERROR(__xludf.DUMMYFUNCTION("""COMPUTED_VALUE"""),-3.2839801061068927)</f>
        <v>-3.283980106</v>
      </c>
      <c r="I273" s="54">
        <f>IFERROR(__xludf.DUMMYFUNCTION("""COMPUTED_VALUE"""),36.0)</f>
        <v>36</v>
      </c>
      <c r="J273" s="55">
        <f>IFERROR(__xludf.DUMMYFUNCTION("""COMPUTED_VALUE"""),17.0)</f>
        <v>17</v>
      </c>
      <c r="K273" s="54">
        <f>IFERROR(__xludf.DUMMYFUNCTION("""COMPUTED_VALUE"""),19.0)</f>
        <v>19</v>
      </c>
      <c r="L273" s="56">
        <f>IFERROR(__xludf.DUMMYFUNCTION("""COMPUTED_VALUE"""),0.4722222222222222)</f>
        <v>0.4722222222</v>
      </c>
      <c r="M273" s="56">
        <f>IFERROR(__xludf.DUMMYFUNCTION("""COMPUTED_VALUE"""),0.26804123711340205)</f>
        <v>0.2680412371</v>
      </c>
      <c r="N273" s="31">
        <f>IFERROR(__xludf.DUMMYFUNCTION("""COMPUTED_VALUE"""),339.1111111111111)</f>
        <v>339.1111111</v>
      </c>
      <c r="O273" s="57">
        <f>IFERROR(__xludf.DUMMYFUNCTION("""COMPUTED_VALUE"""),0.7222222222222222)</f>
        <v>0.7222222222</v>
      </c>
      <c r="P273" s="57">
        <f>IFERROR(__xludf.DUMMYFUNCTION("""COMPUTED_VALUE"""),0.4722222222222222)</f>
        <v>0.4722222222</v>
      </c>
      <c r="Q273" s="57">
        <f>IFERROR(__xludf.DUMMYFUNCTION("""COMPUTED_VALUE"""),1.5)</f>
        <v>1.5</v>
      </c>
      <c r="R273" s="57">
        <f>IFERROR(__xludf.DUMMYFUNCTION("""COMPUTED_VALUE"""),2.6944444444444446)</f>
        <v>2.694444444</v>
      </c>
      <c r="S273" s="31">
        <f>IFERROR(__xludf.DUMMYFUNCTION("""COMPUTED_VALUE"""),385.05555555555554)</f>
        <v>385.0555556</v>
      </c>
      <c r="T273" s="57">
        <f>IFERROR(__xludf.DUMMYFUNCTION("""COMPUTED_VALUE"""),0.824074074074074)</f>
        <v>0.8240740741</v>
      </c>
      <c r="U273" s="57">
        <f>IFERROR(__xludf.DUMMYFUNCTION("""COMPUTED_VALUE"""),0.6388888888888888)</f>
        <v>0.6388888889</v>
      </c>
      <c r="V273" s="57">
        <f>IFERROR(__xludf.DUMMYFUNCTION("""COMPUTED_VALUE"""),1.6018518518518516)</f>
        <v>1.601851852</v>
      </c>
      <c r="W273" s="57">
        <f>IFERROR(__xludf.DUMMYFUNCTION("""COMPUTED_VALUE"""),2.7685185185185186)</f>
        <v>2.768518519</v>
      </c>
      <c r="X273" s="31">
        <f>IFERROR(__xludf.DUMMYFUNCTION("""COMPUTED_VALUE"""),372.251067842272)</f>
        <v>372.2510678</v>
      </c>
      <c r="Y273" s="57">
        <f>IFERROR(__xludf.DUMMYFUNCTION("""COMPUTED_VALUE"""),0.8371154636865534)</f>
        <v>0.8371154637</v>
      </c>
      <c r="Z273" s="57">
        <f>IFERROR(__xludf.DUMMYFUNCTION("""COMPUTED_VALUE"""),0.65796833539047)</f>
        <v>0.6579683354</v>
      </c>
      <c r="AA273" s="57">
        <f>IFERROR(__xludf.DUMMYFUNCTION("""COMPUTED_VALUE"""),1.3613674152363757)</f>
        <v>1.361367415</v>
      </c>
      <c r="AB273" s="57">
        <f>IFERROR(__xludf.DUMMYFUNCTION("""COMPUTED_VALUE"""),2.8449118147239676)</f>
        <v>2.844911815</v>
      </c>
      <c r="AC273" s="31">
        <f>IFERROR(__xludf.DUMMYFUNCTION("""COMPUTED_VALUE"""),354.08282054014643)</f>
        <v>354.0828205</v>
      </c>
      <c r="AD273" s="57">
        <f>IFERROR(__xludf.DUMMYFUNCTION("""COMPUTED_VALUE"""),0.707432556768346)</f>
        <v>0.7074325568</v>
      </c>
      <c r="AE273" s="57">
        <f>IFERROR(__xludf.DUMMYFUNCTION("""COMPUTED_VALUE"""),0.5200300434945367)</f>
        <v>0.5200300435</v>
      </c>
      <c r="AF273" s="57">
        <f>IFERROR(__xludf.DUMMYFUNCTION("""COMPUTED_VALUE"""),1.5314076318383805)</f>
        <v>1.531407632</v>
      </c>
      <c r="AG273" s="57">
        <f>IFERROR(__xludf.DUMMYFUNCTION("""COMPUTED_VALUE"""),2.502540529034737)</f>
        <v>2.502540529</v>
      </c>
      <c r="AH273" s="57">
        <f>IFERROR(__xludf.DUMMYFUNCTION("""COMPUTED_VALUE"""),0.957716927903488)</f>
        <v>0.9577169279</v>
      </c>
      <c r="AI273" s="57">
        <f>IFERROR(__xludf.DUMMYFUNCTION("""COMPUTED_VALUE"""),1.0209061136816173)</f>
        <v>1.020906114</v>
      </c>
      <c r="AJ273" s="57">
        <f>IFERROR(__xludf.DUMMYFUNCTION("""COMPUTED_VALUE"""),0.9080671936739424)</f>
        <v>0.9080671937</v>
      </c>
      <c r="AK273" s="57">
        <f>IFERROR(__xludf.DUMMYFUNCTION("""COMPUTED_VALUE"""),0.9794910047557507)</f>
        <v>0.9794910048</v>
      </c>
      <c r="AL273" s="57">
        <f>IFERROR(__xludf.DUMMYFUNCTION("""COMPUTED_VALUE"""),1.0766836393589707)</f>
        <v>1.076683639</v>
      </c>
      <c r="AM273" s="57">
        <f>IFERROR(__xludf.DUMMYFUNCTION("""COMPUTED_VALUE"""),1.03439745059028)</f>
        <v>1.034397451</v>
      </c>
      <c r="AN273" s="57">
        <f>IFERROR(__xludf.DUMMYFUNCTION("""COMPUTED_VALUE"""),0.9844210384609946)</f>
        <v>0.9844210385</v>
      </c>
      <c r="AO273" s="57">
        <f>IFERROR(__xludf.DUMMYFUNCTION("""COMPUTED_VALUE"""),0.9710024852635827)</f>
        <v>0.9710024853</v>
      </c>
      <c r="AP273" s="35">
        <f>IFERROR(__xludf.DUMMYFUNCTION("""COMPUTED_VALUE"""),1.176649179291338)</f>
        <v>1.176649179</v>
      </c>
      <c r="AQ273" s="57">
        <f>IFERROR(__xludf.DUMMYFUNCTION("""COMPUTED_VALUE"""),0.973147393950817)</f>
        <v>0.973147394</v>
      </c>
      <c r="AR273" s="36" t="b">
        <f>IFERROR(__xludf.DUMMYFUNCTION("""COMPUTED_VALUE"""),TRUE)</f>
        <v>1</v>
      </c>
      <c r="AS273" s="57"/>
      <c r="AT273" s="37"/>
      <c r="AU273" s="30"/>
      <c r="AV273" s="30"/>
      <c r="AW273" s="30"/>
      <c r="AX273" s="30"/>
      <c r="AY273" s="30"/>
      <c r="AZ273" s="30"/>
    </row>
    <row r="274">
      <c r="A274" s="30" t="str">
        <f>IFERROR(__xludf.DUMMYFUNCTION("""COMPUTED_VALUE"""),"Elite")</f>
        <v>Elite</v>
      </c>
      <c r="B274" s="30" t="str">
        <f>IFERROR(__xludf.DUMMYFUNCTION("""COMPUTED_VALUE"""),"RSC007925")</f>
        <v>RSC007925</v>
      </c>
      <c r="C274" s="30" t="str">
        <f>IFERROR(__xludf.DUMMYFUNCTION("""COMPUTED_VALUE"""),"Monkey")</f>
        <v>Monkey</v>
      </c>
      <c r="D274" s="31" t="str">
        <f>IFERROR(__xludf.DUMMYFUNCTION("""COMPUTED_VALUE"""),"Fire")</f>
        <v>Fire</v>
      </c>
      <c r="E274" s="31">
        <f>IFERROR(__xludf.DUMMYFUNCTION("""COMPUTED_VALUE"""),52.805506265601245)</f>
        <v>52.80550627</v>
      </c>
      <c r="F274" s="31">
        <f>IFERROR(__xludf.DUMMYFUNCTION("""COMPUTED_VALUE"""),2.196236419013504)</f>
        <v>2.196236419</v>
      </c>
      <c r="G274" s="31">
        <f>IFERROR(__xludf.DUMMYFUNCTION("""COMPUTED_VALUE"""),41.291288106818996)</f>
        <v>41.29128811</v>
      </c>
      <c r="H274" s="31">
        <f>IFERROR(__xludf.DUMMYFUNCTION("""COMPUTED_VALUE"""),-2.7488443112900858)</f>
        <v>-2.748844311</v>
      </c>
      <c r="I274" s="54">
        <f>IFERROR(__xludf.DUMMYFUNCTION("""COMPUTED_VALUE"""),28.0)</f>
        <v>28</v>
      </c>
      <c r="J274" s="55">
        <f>IFERROR(__xludf.DUMMYFUNCTION("""COMPUTED_VALUE"""),17.0)</f>
        <v>17</v>
      </c>
      <c r="K274" s="54">
        <f>IFERROR(__xludf.DUMMYFUNCTION("""COMPUTED_VALUE"""),11.0)</f>
        <v>11</v>
      </c>
      <c r="L274" s="56">
        <f>IFERROR(__xludf.DUMMYFUNCTION("""COMPUTED_VALUE"""),0.6071428571428571)</f>
        <v>0.6071428571</v>
      </c>
      <c r="M274" s="56">
        <f>IFERROR(__xludf.DUMMYFUNCTION("""COMPUTED_VALUE"""),0.29577464788732394)</f>
        <v>0.2957746479</v>
      </c>
      <c r="N274" s="31">
        <f>IFERROR(__xludf.DUMMYFUNCTION("""COMPUTED_VALUE"""),357.89285714285717)</f>
        <v>357.8928571</v>
      </c>
      <c r="O274" s="57">
        <f>IFERROR(__xludf.DUMMYFUNCTION("""COMPUTED_VALUE"""),0.75)</f>
        <v>0.75</v>
      </c>
      <c r="P274" s="57">
        <f>IFERROR(__xludf.DUMMYFUNCTION("""COMPUTED_VALUE"""),0.42857142857142855)</f>
        <v>0.4285714286</v>
      </c>
      <c r="Q274" s="57">
        <f>IFERROR(__xludf.DUMMYFUNCTION("""COMPUTED_VALUE"""),1.5714285714285714)</f>
        <v>1.571428571</v>
      </c>
      <c r="R274" s="57">
        <f>IFERROR(__xludf.DUMMYFUNCTION("""COMPUTED_VALUE"""),2.5357142857142856)</f>
        <v>2.535714286</v>
      </c>
      <c r="S274" s="31">
        <f>IFERROR(__xludf.DUMMYFUNCTION("""COMPUTED_VALUE"""),355.7857142857143)</f>
        <v>355.7857143</v>
      </c>
      <c r="T274" s="57">
        <f>IFERROR(__xludf.DUMMYFUNCTION("""COMPUTED_VALUE"""),0.6785714285714286)</f>
        <v>0.6785714286</v>
      </c>
      <c r="U274" s="57">
        <f>IFERROR(__xludf.DUMMYFUNCTION("""COMPUTED_VALUE"""),0.4880952380952381)</f>
        <v>0.4880952381</v>
      </c>
      <c r="V274" s="57">
        <f>IFERROR(__xludf.DUMMYFUNCTION("""COMPUTED_VALUE"""),1.5952380952380951)</f>
        <v>1.595238095</v>
      </c>
      <c r="W274" s="57">
        <f>IFERROR(__xludf.DUMMYFUNCTION("""COMPUTED_VALUE"""),2.5595238095238098)</f>
        <v>2.55952381</v>
      </c>
      <c r="X274" s="31">
        <f>IFERROR(__xludf.DUMMYFUNCTION("""COMPUTED_VALUE"""),366.47312564326995)</f>
        <v>366.4731256</v>
      </c>
      <c r="Y274" s="57">
        <f>IFERROR(__xludf.DUMMYFUNCTION("""COMPUTED_VALUE"""),0.7859264170979747)</f>
        <v>0.7859264171</v>
      </c>
      <c r="Z274" s="57">
        <f>IFERROR(__xludf.DUMMYFUNCTION("""COMPUTED_VALUE"""),0.574697492520898)</f>
        <v>0.5746974925</v>
      </c>
      <c r="AA274" s="57">
        <f>IFERROR(__xludf.DUMMYFUNCTION("""COMPUTED_VALUE"""),1.5008337643316563)</f>
        <v>1.500833764</v>
      </c>
      <c r="AB274" s="57">
        <f>IFERROR(__xludf.DUMMYFUNCTION("""COMPUTED_VALUE"""),2.6049624464339396)</f>
        <v>2.604962446</v>
      </c>
      <c r="AC274" s="31">
        <f>IFERROR(__xludf.DUMMYFUNCTION("""COMPUTED_VALUE"""),356.3568022975548)</f>
        <v>356.3568023</v>
      </c>
      <c r="AD274" s="57">
        <f>IFERROR(__xludf.DUMMYFUNCTION("""COMPUTED_VALUE"""),0.7457883192204625)</f>
        <v>0.7457883192</v>
      </c>
      <c r="AE274" s="57">
        <f>IFERROR(__xludf.DUMMYFUNCTION("""COMPUTED_VALUE"""),0.5495146523667348)</f>
        <v>0.5495146524</v>
      </c>
      <c r="AF274" s="57">
        <f>IFERROR(__xludf.DUMMYFUNCTION("""COMPUTED_VALUE"""),1.3772688706258893)</f>
        <v>1.377268871</v>
      </c>
      <c r="AG274" s="57">
        <f>IFERROR(__xludf.DUMMYFUNCTION("""COMPUTED_VALUE"""),2.6899969050674137)</f>
        <v>2.689996905</v>
      </c>
      <c r="AH274" s="57">
        <f>IFERROR(__xludf.DUMMYFUNCTION("""COMPUTED_VALUE"""),1.0043104406465624)</f>
        <v>1.004310441</v>
      </c>
      <c r="AI274" s="57">
        <f>IFERROR(__xludf.DUMMYFUNCTION("""COMPUTED_VALUE"""),1.0056472871336195)</f>
        <v>1.005647287</v>
      </c>
      <c r="AJ274" s="57">
        <f>IFERROR(__xludf.DUMMYFUNCTION("""COMPUTED_VALUE"""),0.779909010115728)</f>
        <v>0.7799090101</v>
      </c>
      <c r="AK274" s="57">
        <f>IFERROR(__xludf.DUMMYFUNCTION("""COMPUTED_VALUE"""),1.1409744349441715)</f>
        <v>1.140974435</v>
      </c>
      <c r="AL274" s="57">
        <f>IFERROR(__xludf.DUMMYFUNCTION("""COMPUTED_VALUE"""),0.9426458004236025)</f>
        <v>0.9426458004</v>
      </c>
      <c r="AM274" s="57">
        <f>IFERROR(__xludf.DUMMYFUNCTION("""COMPUTED_VALUE"""),0.9708371211700829)</f>
        <v>0.9708371212</v>
      </c>
      <c r="AN274" s="57">
        <f>IFERROR(__xludf.DUMMYFUNCTION("""COMPUTED_VALUE"""),0.8634032573647883)</f>
        <v>0.8634032574</v>
      </c>
      <c r="AO274" s="57">
        <f>IFERROR(__xludf.DUMMYFUNCTION("""COMPUTED_VALUE"""),0.8493081046068585)</f>
        <v>0.8493081046</v>
      </c>
      <c r="AP274" s="35">
        <f>IFERROR(__xludf.DUMMYFUNCTION("""COMPUTED_VALUE"""),1.0629012573877417)</f>
        <v>1.062901257</v>
      </c>
      <c r="AQ274" s="57">
        <f>IFERROR(__xludf.DUMMYFUNCTION("""COMPUTED_VALUE"""),0.9825568936810075)</f>
        <v>0.9825568937</v>
      </c>
      <c r="AR274" s="36" t="b">
        <f>IFERROR(__xludf.DUMMYFUNCTION("""COMPUTED_VALUE"""),TRUE)</f>
        <v>1</v>
      </c>
      <c r="AS274" s="57"/>
      <c r="AT274" s="37"/>
      <c r="AU274" s="30"/>
      <c r="AV274" s="30"/>
      <c r="AW274" s="30"/>
      <c r="AX274" s="30"/>
      <c r="AY274" s="30"/>
      <c r="AZ274" s="30"/>
    </row>
    <row r="275">
      <c r="A275" s="30" t="str">
        <f>IFERROR(__xludf.DUMMYFUNCTION("""COMPUTED_VALUE"""),"Elite")</f>
        <v>Elite</v>
      </c>
      <c r="B275" s="30" t="str">
        <f>IFERROR(__xludf.DUMMYFUNCTION("""COMPUTED_VALUE"""),"RSC007263")</f>
        <v>RSC007263</v>
      </c>
      <c r="C275" s="30" t="str">
        <f>IFERROR(__xludf.DUMMYFUNCTION("""COMPUTED_VALUE"""),"HardPointy")</f>
        <v>HardPointy</v>
      </c>
      <c r="D275" s="31"/>
      <c r="E275" s="31">
        <f>IFERROR(__xludf.DUMMYFUNCTION("""COMPUTED_VALUE"""),52.63922350023675)</f>
        <v>52.6392235</v>
      </c>
      <c r="F275" s="31">
        <f>IFERROR(__xludf.DUMMYFUNCTION("""COMPUTED_VALUE"""),2.1835864041472544)</f>
        <v>2.183586404</v>
      </c>
      <c r="G275" s="31">
        <f>IFERROR(__xludf.DUMMYFUNCTION("""COMPUTED_VALUE"""),54.99199766062543)</f>
        <v>54.99199766</v>
      </c>
      <c r="H275" s="31">
        <f>IFERROR(__xludf.DUMMYFUNCTION("""COMPUTED_VALUE"""),2.376056207009608)</f>
        <v>2.376056207</v>
      </c>
      <c r="I275" s="54">
        <f>IFERROR(__xludf.DUMMYFUNCTION("""COMPUTED_VALUE"""),15.0)</f>
        <v>15</v>
      </c>
      <c r="J275" s="55">
        <f>IFERROR(__xludf.DUMMYFUNCTION("""COMPUTED_VALUE"""),5.0)</f>
        <v>5</v>
      </c>
      <c r="K275" s="54">
        <f>IFERROR(__xludf.DUMMYFUNCTION("""COMPUTED_VALUE"""),10.0)</f>
        <v>10</v>
      </c>
      <c r="L275" s="56">
        <f>IFERROR(__xludf.DUMMYFUNCTION("""COMPUTED_VALUE"""),0.3333333333333333)</f>
        <v>0.3333333333</v>
      </c>
      <c r="M275" s="56">
        <f>IFERROR(__xludf.DUMMYFUNCTION("""COMPUTED_VALUE"""),0.18181818181818182)</f>
        <v>0.1818181818</v>
      </c>
      <c r="N275" s="31">
        <f>IFERROR(__xludf.DUMMYFUNCTION("""COMPUTED_VALUE"""),404.53333333333336)</f>
        <v>404.5333333</v>
      </c>
      <c r="O275" s="57">
        <f>IFERROR(__xludf.DUMMYFUNCTION("""COMPUTED_VALUE"""),0.5333333333333333)</f>
        <v>0.5333333333</v>
      </c>
      <c r="P275" s="57">
        <f>IFERROR(__xludf.DUMMYFUNCTION("""COMPUTED_VALUE"""),0.8)</f>
        <v>0.8</v>
      </c>
      <c r="Q275" s="57">
        <f>IFERROR(__xludf.DUMMYFUNCTION("""COMPUTED_VALUE"""),2.0)</f>
        <v>2</v>
      </c>
      <c r="R275" s="57">
        <f>IFERROR(__xludf.DUMMYFUNCTION("""COMPUTED_VALUE"""),2.933333333333333)</f>
        <v>2.933333333</v>
      </c>
      <c r="S275" s="31">
        <f>IFERROR(__xludf.DUMMYFUNCTION("""COMPUTED_VALUE"""),395.64444444444445)</f>
        <v>395.6444444</v>
      </c>
      <c r="T275" s="57">
        <f>IFERROR(__xludf.DUMMYFUNCTION("""COMPUTED_VALUE"""),0.977777777777778)</f>
        <v>0.9777777778</v>
      </c>
      <c r="U275" s="57">
        <f>IFERROR(__xludf.DUMMYFUNCTION("""COMPUTED_VALUE"""),0.7555555555555554)</f>
        <v>0.7555555556</v>
      </c>
      <c r="V275" s="57">
        <f>IFERROR(__xludf.DUMMYFUNCTION("""COMPUTED_VALUE"""),1.333333333333333)</f>
        <v>1.333333333</v>
      </c>
      <c r="W275" s="57">
        <f>IFERROR(__xludf.DUMMYFUNCTION("""COMPUTED_VALUE"""),3.2888888888888888)</f>
        <v>3.288888889</v>
      </c>
      <c r="X275" s="31">
        <f>IFERROR(__xludf.DUMMYFUNCTION("""COMPUTED_VALUE"""),366.16451264247763)</f>
        <v>366.1645126</v>
      </c>
      <c r="Y275" s="57">
        <f>IFERROR(__xludf.DUMMYFUNCTION("""COMPUTED_VALUE"""),0.7652607167284589)</f>
        <v>0.7652607167</v>
      </c>
      <c r="Z275" s="57">
        <f>IFERROR(__xludf.DUMMYFUNCTION("""COMPUTED_VALUE"""),0.5680361892055441)</f>
        <v>0.5680361892</v>
      </c>
      <c r="AA275" s="57">
        <f>IFERROR(__xludf.DUMMYFUNCTION("""COMPUTED_VALUE"""),1.4515400279486301)</f>
        <v>1.451540028</v>
      </c>
      <c r="AB275" s="57">
        <f>IFERROR(__xludf.DUMMYFUNCTION("""COMPUTED_VALUE"""),2.8330555115931464)</f>
        <v>2.833055512</v>
      </c>
      <c r="AC275" s="31">
        <f>IFERROR(__xludf.DUMMYFUNCTION("""COMPUTED_VALUE"""),358.01045067692564)</f>
        <v>358.0104507</v>
      </c>
      <c r="AD275" s="57">
        <f>IFERROR(__xludf.DUMMYFUNCTION("""COMPUTED_VALUE"""),0.7046181461916227)</f>
        <v>0.7046181462</v>
      </c>
      <c r="AE275" s="57">
        <f>IFERROR(__xludf.DUMMYFUNCTION("""COMPUTED_VALUE"""),0.5313738595459027)</f>
        <v>0.5313738595</v>
      </c>
      <c r="AF275" s="57">
        <f>IFERROR(__xludf.DUMMYFUNCTION("""COMPUTED_VALUE"""),1.5067710347432568)</f>
        <v>1.506771035</v>
      </c>
      <c r="AG275" s="57">
        <f>IFERROR(__xludf.DUMMYFUNCTION("""COMPUTED_VALUE"""),2.5961526431822133)</f>
        <v>2.596152643</v>
      </c>
      <c r="AH275" s="57">
        <f>IFERROR(__xludf.DUMMYFUNCTION("""COMPUTED_VALUE"""),1.1299483927590446)</f>
        <v>1.129948393</v>
      </c>
      <c r="AI275" s="57">
        <f>IFERROR(__xludf.DUMMYFUNCTION("""COMPUTED_VALUE"""),0.7569111528221869)</f>
        <v>0.7569111528</v>
      </c>
      <c r="AJ275" s="57">
        <f>IFERROR(__xludf.DUMMYFUNCTION("""COMPUTED_VALUE"""),1.5055313422524357)</f>
        <v>1.505531342</v>
      </c>
      <c r="AK275" s="57">
        <f>IFERROR(__xludf.DUMMYFUNCTION("""COMPUTED_VALUE"""),1.3273416822356066)</f>
        <v>1.327341682</v>
      </c>
      <c r="AL275" s="57">
        <f>IFERROR(__xludf.DUMMYFUNCTION("""COMPUTED_VALUE"""),1.1298770667574551)</f>
        <v>1.129877067</v>
      </c>
      <c r="AM275" s="57">
        <f>IFERROR(__xludf.DUMMYFUNCTION("""COMPUTED_VALUE"""),1.0805100734345356)</f>
        <v>1.080510073</v>
      </c>
      <c r="AN275" s="57">
        <f>IFERROR(__xludf.DUMMYFUNCTION("""COMPUTED_VALUE"""),1.2777054360739224)</f>
        <v>1.277705436</v>
      </c>
      <c r="AO275" s="57">
        <f>IFERROR(__xludf.DUMMYFUNCTION("""COMPUTED_VALUE"""),1.3301186965081857)</f>
        <v>1.330118697</v>
      </c>
      <c r="AP275" s="35">
        <f>IFERROR(__xludf.DUMMYFUNCTION("""COMPUTED_VALUE"""),0.918564633190067)</f>
        <v>0.9185646332</v>
      </c>
      <c r="AQ275" s="57">
        <f>IFERROR(__xludf.DUMMYFUNCTION("""COMPUTED_VALUE"""),1.1608981452818086)</f>
        <v>1.160898145</v>
      </c>
      <c r="AR275" s="36" t="b">
        <f>IFERROR(__xludf.DUMMYFUNCTION("""COMPUTED_VALUE"""),TRUE)</f>
        <v>1</v>
      </c>
      <c r="AS275" s="57"/>
      <c r="AT275" s="37"/>
      <c r="AU275" s="30"/>
      <c r="AV275" s="30"/>
      <c r="AW275" s="30"/>
      <c r="AX275" s="30"/>
      <c r="AY275" s="30"/>
      <c r="AZ275" s="30"/>
    </row>
    <row r="276">
      <c r="A276" s="30" t="str">
        <f>IFERROR(__xludf.DUMMYFUNCTION("""COMPUTED_VALUE"""),"Elite")</f>
        <v>Elite</v>
      </c>
      <c r="B276" s="30" t="str">
        <f>IFERROR(__xludf.DUMMYFUNCTION("""COMPUTED_VALUE"""),"RSC007964")</f>
        <v>RSC007964</v>
      </c>
      <c r="C276" s="30" t="str">
        <f>IFERROR(__xludf.DUMMYFUNCTION("""COMPUTED_VALUE"""),"Buxter")</f>
        <v>Buxter</v>
      </c>
      <c r="D276" s="31" t="str">
        <f>IFERROR(__xludf.DUMMYFUNCTION("""COMPUTED_VALUE"""),"Afterburners")</f>
        <v>Afterburners</v>
      </c>
      <c r="E276" s="31">
        <f>IFERROR(__xludf.DUMMYFUNCTION("""COMPUTED_VALUE"""),52.46166531442462)</f>
        <v>52.46166531</v>
      </c>
      <c r="F276" s="31">
        <f>IFERROR(__xludf.DUMMYFUNCTION("""COMPUTED_VALUE"""),2.1702288855778606)</f>
        <v>2.170228886</v>
      </c>
      <c r="G276" s="31">
        <f>IFERROR(__xludf.DUMMYFUNCTION("""COMPUTED_VALUE"""),32.68160786852986)</f>
        <v>32.68160787</v>
      </c>
      <c r="H276" s="31">
        <f>IFERROR(__xludf.DUMMYFUNCTION("""COMPUTED_VALUE"""),-4.094371663141079)</f>
        <v>-4.094371663</v>
      </c>
      <c r="I276" s="54">
        <f>IFERROR(__xludf.DUMMYFUNCTION("""COMPUTED_VALUE"""),25.0)</f>
        <v>25</v>
      </c>
      <c r="J276" s="55">
        <f>IFERROR(__xludf.DUMMYFUNCTION("""COMPUTED_VALUE"""),14.0)</f>
        <v>14</v>
      </c>
      <c r="K276" s="54">
        <f>IFERROR(__xludf.DUMMYFUNCTION("""COMPUTED_VALUE"""),11.0)</f>
        <v>11</v>
      </c>
      <c r="L276" s="56">
        <f>IFERROR(__xludf.DUMMYFUNCTION("""COMPUTED_VALUE"""),0.56)</f>
        <v>0.56</v>
      </c>
      <c r="M276" s="56">
        <f>IFERROR(__xludf.DUMMYFUNCTION("""COMPUTED_VALUE"""),0.2465753424657534)</f>
        <v>0.2465753425</v>
      </c>
      <c r="N276" s="31">
        <f>IFERROR(__xludf.DUMMYFUNCTION("""COMPUTED_VALUE"""),292.96)</f>
        <v>292.96</v>
      </c>
      <c r="O276" s="57">
        <f>IFERROR(__xludf.DUMMYFUNCTION("""COMPUTED_VALUE"""),0.72)</f>
        <v>0.72</v>
      </c>
      <c r="P276" s="57">
        <f>IFERROR(__xludf.DUMMYFUNCTION("""COMPUTED_VALUE"""),0.6)</f>
        <v>0.6</v>
      </c>
      <c r="Q276" s="57">
        <f>IFERROR(__xludf.DUMMYFUNCTION("""COMPUTED_VALUE"""),0.88)</f>
        <v>0.88</v>
      </c>
      <c r="R276" s="57">
        <f>IFERROR(__xludf.DUMMYFUNCTION("""COMPUTED_VALUE"""),2.92)</f>
        <v>2.92</v>
      </c>
      <c r="S276" s="31">
        <f>IFERROR(__xludf.DUMMYFUNCTION("""COMPUTED_VALUE"""),358.3733333333333)</f>
        <v>358.3733333</v>
      </c>
      <c r="T276" s="57">
        <f>IFERROR(__xludf.DUMMYFUNCTION("""COMPUTED_VALUE"""),0.7066666666666666)</f>
        <v>0.7066666667</v>
      </c>
      <c r="U276" s="57">
        <f>IFERROR(__xludf.DUMMYFUNCTION("""COMPUTED_VALUE"""),0.5333333333333332)</f>
        <v>0.5333333333</v>
      </c>
      <c r="V276" s="57">
        <f>IFERROR(__xludf.DUMMYFUNCTION("""COMPUTED_VALUE"""),1.5466666666666669)</f>
        <v>1.546666667</v>
      </c>
      <c r="W276" s="57">
        <f>IFERROR(__xludf.DUMMYFUNCTION("""COMPUTED_VALUE"""),2.5333333333333328)</f>
        <v>2.533333333</v>
      </c>
      <c r="X276" s="31">
        <f>IFERROR(__xludf.DUMMYFUNCTION("""COMPUTED_VALUE"""),356.5527339655927)</f>
        <v>356.552734</v>
      </c>
      <c r="Y276" s="57">
        <f>IFERROR(__xludf.DUMMYFUNCTION("""COMPUTED_VALUE"""),0.754416831770929)</f>
        <v>0.7544168318</v>
      </c>
      <c r="Z276" s="57">
        <f>IFERROR(__xludf.DUMMYFUNCTION("""COMPUTED_VALUE"""),0.5709695955052723)</f>
        <v>0.5709695955</v>
      </c>
      <c r="AA276" s="57">
        <f>IFERROR(__xludf.DUMMYFUNCTION("""COMPUTED_VALUE"""),1.4178722677643298)</f>
        <v>1.417872268</v>
      </c>
      <c r="AB276" s="57">
        <f>IFERROR(__xludf.DUMMYFUNCTION("""COMPUTED_VALUE"""),2.6069536742555517)</f>
        <v>2.606953674</v>
      </c>
      <c r="AC276" s="31">
        <f>IFERROR(__xludf.DUMMYFUNCTION("""COMPUTED_VALUE"""),367.1348136201019)</f>
        <v>367.1348136</v>
      </c>
      <c r="AD276" s="57">
        <f>IFERROR(__xludf.DUMMYFUNCTION("""COMPUTED_VALUE"""),0.8182279665027009)</f>
        <v>0.8182279665</v>
      </c>
      <c r="AE276" s="57">
        <f>IFERROR(__xludf.DUMMYFUNCTION("""COMPUTED_VALUE"""),0.6242898387875888)</f>
        <v>0.6242898388</v>
      </c>
      <c r="AF276" s="57">
        <f>IFERROR(__xludf.DUMMYFUNCTION("""COMPUTED_VALUE"""),1.4272568067919136)</f>
        <v>1.427256807</v>
      </c>
      <c r="AG276" s="57">
        <f>IFERROR(__xludf.DUMMYFUNCTION("""COMPUTED_VALUE"""),2.688320901211553)</f>
        <v>2.688320901</v>
      </c>
      <c r="AH276" s="57">
        <f>IFERROR(__xludf.DUMMYFUNCTION("""COMPUTED_VALUE"""),0.7979630074067141)</f>
        <v>0.7979630074</v>
      </c>
      <c r="AI276" s="57">
        <f>IFERROR(__xludf.DUMMYFUNCTION("""COMPUTED_VALUE"""),0.8799503677165297)</f>
        <v>0.8799503677</v>
      </c>
      <c r="AJ276" s="57">
        <f>IFERROR(__xludf.DUMMYFUNCTION("""COMPUTED_VALUE"""),0.9610920484710095)</f>
        <v>0.9610920485</v>
      </c>
      <c r="AK276" s="57">
        <f>IFERROR(__xludf.DUMMYFUNCTION("""COMPUTED_VALUE"""),0.6165673870408798)</f>
        <v>0.616567387</v>
      </c>
      <c r="AL276" s="57">
        <f>IFERROR(__xludf.DUMMYFUNCTION("""COMPUTED_VALUE"""),1.086179852518364)</f>
        <v>1.086179853</v>
      </c>
      <c r="AM276" s="57">
        <f>IFERROR(__xludf.DUMMYFUNCTION("""COMPUTED_VALUE"""),1.0051061152932184)</f>
        <v>1.005106115</v>
      </c>
      <c r="AN276" s="57">
        <f>IFERROR(__xludf.DUMMYFUNCTION("""COMPUTED_VALUE"""),0.9367058592897868)</f>
        <v>0.9367058593</v>
      </c>
      <c r="AO276" s="57">
        <f>IFERROR(__xludf.DUMMYFUNCTION("""COMPUTED_VALUE"""),0.9340835966254327)</f>
        <v>0.9340835966</v>
      </c>
      <c r="AP276" s="35">
        <f>IFERROR(__xludf.DUMMYFUNCTION("""COMPUTED_VALUE"""),1.09083639043552)</f>
        <v>1.09083639</v>
      </c>
      <c r="AQ276" s="57">
        <f>IFERROR(__xludf.DUMMYFUNCTION("""COMPUTED_VALUE"""),0.9717600118294231)</f>
        <v>0.9717600118</v>
      </c>
      <c r="AR276" s="36" t="b">
        <f>IFERROR(__xludf.DUMMYFUNCTION("""COMPUTED_VALUE"""),TRUE)</f>
        <v>1</v>
      </c>
      <c r="AS276" s="57"/>
      <c r="AT276" s="37"/>
      <c r="AU276" s="30"/>
      <c r="AV276" s="30"/>
      <c r="AW276" s="30"/>
      <c r="AX276" s="30"/>
      <c r="AY276" s="30"/>
      <c r="AZ276" s="30"/>
    </row>
    <row r="277">
      <c r="A277" s="30" t="str">
        <f>IFERROR(__xludf.DUMMYFUNCTION("""COMPUTED_VALUE"""),"Elite")</f>
        <v>Elite</v>
      </c>
      <c r="B277" s="30" t="str">
        <f>IFERROR(__xludf.DUMMYFUNCTION("""COMPUTED_VALUE"""),"RSC006193")</f>
        <v>RSC006193</v>
      </c>
      <c r="C277" s="30" t="str">
        <f>IFERROR(__xludf.DUMMYFUNCTION("""COMPUTED_VALUE"""),"Saucy Rexy")</f>
        <v>Saucy Rexy</v>
      </c>
      <c r="D277" s="31" t="str">
        <f>IFERROR(__xludf.DUMMYFUNCTION("""COMPUTED_VALUE"""),"Keno")</f>
        <v>Keno</v>
      </c>
      <c r="E277" s="31">
        <f>IFERROR(__xludf.DUMMYFUNCTION("""COMPUTED_VALUE"""),51.96463640263769)</f>
        <v>51.9646364</v>
      </c>
      <c r="F277" s="31">
        <f>IFERROR(__xludf.DUMMYFUNCTION("""COMPUTED_VALUE"""),2.1336465956553643)</f>
        <v>2.133646596</v>
      </c>
      <c r="G277" s="31">
        <f>IFERROR(__xludf.DUMMYFUNCTION("""COMPUTED_VALUE"""),42.45142779932048)</f>
        <v>42.4514278</v>
      </c>
      <c r="H277" s="31">
        <f>IFERROR(__xludf.DUMMYFUNCTION("""COMPUTED_VALUE"""),-2.6222781383375033)</f>
        <v>-2.622278138</v>
      </c>
      <c r="I277" s="54">
        <f>IFERROR(__xludf.DUMMYFUNCTION("""COMPUTED_VALUE"""),30.0)</f>
        <v>30</v>
      </c>
      <c r="J277" s="55">
        <f>IFERROR(__xludf.DUMMYFUNCTION("""COMPUTED_VALUE"""),13.0)</f>
        <v>13</v>
      </c>
      <c r="K277" s="54">
        <f>IFERROR(__xludf.DUMMYFUNCTION("""COMPUTED_VALUE"""),17.0)</f>
        <v>17</v>
      </c>
      <c r="L277" s="56">
        <f>IFERROR(__xludf.DUMMYFUNCTION("""COMPUTED_VALUE"""),0.43333333333333335)</f>
        <v>0.4333333333</v>
      </c>
      <c r="M277" s="56">
        <f>IFERROR(__xludf.DUMMYFUNCTION("""COMPUTED_VALUE"""),0.4642857142857143)</f>
        <v>0.4642857143</v>
      </c>
      <c r="N277" s="31">
        <f>IFERROR(__xludf.DUMMYFUNCTION("""COMPUTED_VALUE"""),354.03333333333336)</f>
        <v>354.0333333</v>
      </c>
      <c r="O277" s="57">
        <f>IFERROR(__xludf.DUMMYFUNCTION("""COMPUTED_VALUE"""),0.8666666666666667)</f>
        <v>0.8666666667</v>
      </c>
      <c r="P277" s="57">
        <f>IFERROR(__xludf.DUMMYFUNCTION("""COMPUTED_VALUE"""),0.4)</f>
        <v>0.4</v>
      </c>
      <c r="Q277" s="57">
        <f>IFERROR(__xludf.DUMMYFUNCTION("""COMPUTED_VALUE"""),1.6333333333333333)</f>
        <v>1.633333333</v>
      </c>
      <c r="R277" s="57">
        <f>IFERROR(__xludf.DUMMYFUNCTION("""COMPUTED_VALUE"""),1.8666666666666667)</f>
        <v>1.866666667</v>
      </c>
      <c r="S277" s="31">
        <f>IFERROR(__xludf.DUMMYFUNCTION("""COMPUTED_VALUE"""),341.23333333333335)</f>
        <v>341.2333333</v>
      </c>
      <c r="T277" s="57">
        <f>IFERROR(__xludf.DUMMYFUNCTION("""COMPUTED_VALUE"""),0.6999999999999998)</f>
        <v>0.7</v>
      </c>
      <c r="U277" s="57">
        <f>IFERROR(__xludf.DUMMYFUNCTION("""COMPUTED_VALUE"""),0.5111111111111112)</f>
        <v>0.5111111111</v>
      </c>
      <c r="V277" s="57">
        <f>IFERROR(__xludf.DUMMYFUNCTION("""COMPUTED_VALUE"""),1.1777777777777783)</f>
        <v>1.177777778</v>
      </c>
      <c r="W277" s="57">
        <f>IFERROR(__xludf.DUMMYFUNCTION("""COMPUTED_VALUE"""),2.9333333333333327)</f>
        <v>2.933333333</v>
      </c>
      <c r="X277" s="31">
        <f>IFERROR(__xludf.DUMMYFUNCTION("""COMPUTED_VALUE"""),365.8182191324647)</f>
        <v>365.8182191</v>
      </c>
      <c r="Y277" s="57">
        <f>IFERROR(__xludf.DUMMYFUNCTION("""COMPUTED_VALUE"""),0.8221058014996814)</f>
        <v>0.8221058015</v>
      </c>
      <c r="Z277" s="57">
        <f>IFERROR(__xludf.DUMMYFUNCTION("""COMPUTED_VALUE"""),0.6118727671912311)</f>
        <v>0.6118727672</v>
      </c>
      <c r="AA277" s="57">
        <f>IFERROR(__xludf.DUMMYFUNCTION("""COMPUTED_VALUE"""),1.3457461580143373)</f>
        <v>1.345746158</v>
      </c>
      <c r="AB277" s="57">
        <f>IFERROR(__xludf.DUMMYFUNCTION("""COMPUTED_VALUE"""),2.8754739254162645)</f>
        <v>2.875473925</v>
      </c>
      <c r="AC277" s="31">
        <f>IFERROR(__xludf.DUMMYFUNCTION("""COMPUTED_VALUE"""),349.9520455819426)</f>
        <v>349.9520456</v>
      </c>
      <c r="AD277" s="57">
        <f>IFERROR(__xludf.DUMMYFUNCTION("""COMPUTED_VALUE"""),0.6968658005009033)</f>
        <v>0.6968658005</v>
      </c>
      <c r="AE277" s="57">
        <f>IFERROR(__xludf.DUMMYFUNCTION("""COMPUTED_VALUE"""),0.5161758818191983)</f>
        <v>0.5161758818</v>
      </c>
      <c r="AF277" s="57">
        <f>IFERROR(__xludf.DUMMYFUNCTION("""COMPUTED_VALUE"""),1.5078299749171615)</f>
        <v>1.507829975</v>
      </c>
      <c r="AG277" s="57">
        <f>IFERROR(__xludf.DUMMYFUNCTION("""COMPUTED_VALUE"""),2.443698708086399)</f>
        <v>2.443698708</v>
      </c>
      <c r="AH277" s="57">
        <f>IFERROR(__xludf.DUMMYFUNCTION("""COMPUTED_VALUE"""),1.011662420045592)</f>
        <v>1.01166242</v>
      </c>
      <c r="AI277" s="57">
        <f>IFERROR(__xludf.DUMMYFUNCTION("""COMPUTED_VALUE"""),1.2436636523756963)</f>
        <v>1.243663652</v>
      </c>
      <c r="AJ277" s="57">
        <f>IFERROR(__xludf.DUMMYFUNCTION("""COMPUTED_VALUE"""),0.7749296588407992)</f>
        <v>0.7749296588</v>
      </c>
      <c r="AK277" s="57">
        <f>IFERROR(__xludf.DUMMYFUNCTION("""COMPUTED_VALUE"""),1.0832344233129247)</f>
        <v>1.083234423</v>
      </c>
      <c r="AL277" s="57">
        <f>IFERROR(__xludf.DUMMYFUNCTION("""COMPUTED_VALUE"""),0.7638694003027926)</f>
        <v>0.7638694003</v>
      </c>
      <c r="AM277" s="57">
        <f>IFERROR(__xludf.DUMMYFUNCTION("""COMPUTED_VALUE"""),0.9327948021357869)</f>
        <v>0.9327948021</v>
      </c>
      <c r="AN277" s="57">
        <f>IFERROR(__xludf.DUMMYFUNCTION("""COMPUTED_VALUE"""),0.8514719136187378)</f>
        <v>0.8514719136</v>
      </c>
      <c r="AO277" s="57">
        <f>IFERROR(__xludf.DUMMYFUNCTION("""COMPUTED_VALUE"""),0.8353225352017858)</f>
        <v>0.8353225352</v>
      </c>
      <c r="AP277" s="35">
        <f>IFERROR(__xludf.DUMMYFUNCTION("""COMPUTED_VALUE"""),0.8751856884478139)</f>
        <v>0.8751856884</v>
      </c>
      <c r="AQ277" s="57">
        <f>IFERROR(__xludf.DUMMYFUNCTION("""COMPUTED_VALUE"""),1.0201216945163891)</f>
        <v>1.020121695</v>
      </c>
      <c r="AR277" s="36" t="b">
        <f>IFERROR(__xludf.DUMMYFUNCTION("""COMPUTED_VALUE"""),TRUE)</f>
        <v>1</v>
      </c>
      <c r="AS277" s="57"/>
      <c r="AT277" s="37"/>
      <c r="AU277" s="30"/>
      <c r="AV277" s="30"/>
      <c r="AW277" s="30"/>
      <c r="AX277" s="30"/>
      <c r="AY277" s="30"/>
      <c r="AZ277" s="30"/>
    </row>
    <row r="278">
      <c r="A278" s="30" t="str">
        <f>IFERROR(__xludf.DUMMYFUNCTION("""COMPUTED_VALUE"""),"Elite")</f>
        <v>Elite</v>
      </c>
      <c r="B278" s="30" t="str">
        <f>IFERROR(__xludf.DUMMYFUNCTION("""COMPUTED_VALUE"""),"RSC005899")</f>
        <v>RSC005899</v>
      </c>
      <c r="C278" s="30" t="str">
        <f>IFERROR(__xludf.DUMMYFUNCTION("""COMPUTED_VALUE"""),"DJDancingDuckGif")</f>
        <v>DJDancingDuckGif</v>
      </c>
      <c r="D278" s="31" t="str">
        <f>IFERROR(__xludf.DUMMYFUNCTION("""COMPUTED_VALUE"""),"Black-Holes")</f>
        <v>Black-Holes</v>
      </c>
      <c r="E278" s="31">
        <f>IFERROR(__xludf.DUMMYFUNCTION("""COMPUTED_VALUE"""),51.65090102325611)</f>
        <v>51.65090102</v>
      </c>
      <c r="F278" s="31">
        <f>IFERROR(__xludf.DUMMYFUNCTION("""COMPUTED_VALUE"""),2.1111540966143107)</f>
        <v>2.111154097</v>
      </c>
      <c r="G278" s="31">
        <f>IFERROR(__xludf.DUMMYFUNCTION("""COMPUTED_VALUE"""),40.841921373090585)</f>
        <v>40.84192137</v>
      </c>
      <c r="H278" s="31">
        <f>IFERROR(__xludf.DUMMYFUNCTION("""COMPUTED_VALUE"""),-2.800634217114525)</f>
        <v>-2.800634217</v>
      </c>
      <c r="I278" s="54">
        <f>IFERROR(__xludf.DUMMYFUNCTION("""COMPUTED_VALUE"""),24.0)</f>
        <v>24</v>
      </c>
      <c r="J278" s="55">
        <f>IFERROR(__xludf.DUMMYFUNCTION("""COMPUTED_VALUE"""),16.0)</f>
        <v>16</v>
      </c>
      <c r="K278" s="54">
        <f>IFERROR(__xludf.DUMMYFUNCTION("""COMPUTED_VALUE"""),8.0)</f>
        <v>8</v>
      </c>
      <c r="L278" s="56">
        <f>IFERROR(__xludf.DUMMYFUNCTION("""COMPUTED_VALUE"""),0.6666666666666666)</f>
        <v>0.6666666667</v>
      </c>
      <c r="M278" s="56">
        <f>IFERROR(__xludf.DUMMYFUNCTION("""COMPUTED_VALUE"""),0.29824561403508776)</f>
        <v>0.298245614</v>
      </c>
      <c r="N278" s="31">
        <f>IFERROR(__xludf.DUMMYFUNCTION("""COMPUTED_VALUE"""),370.8333333333333)</f>
        <v>370.8333333</v>
      </c>
      <c r="O278" s="57">
        <f>IFERROR(__xludf.DUMMYFUNCTION("""COMPUTED_VALUE"""),0.7083333333333334)</f>
        <v>0.7083333333</v>
      </c>
      <c r="P278" s="57">
        <f>IFERROR(__xludf.DUMMYFUNCTION("""COMPUTED_VALUE"""),0.6666666666666666)</f>
        <v>0.6666666667</v>
      </c>
      <c r="Q278" s="57">
        <f>IFERROR(__xludf.DUMMYFUNCTION("""COMPUTED_VALUE"""),1.75)</f>
        <v>1.75</v>
      </c>
      <c r="R278" s="57">
        <f>IFERROR(__xludf.DUMMYFUNCTION("""COMPUTED_VALUE"""),2.375)</f>
        <v>2.375</v>
      </c>
      <c r="S278" s="31">
        <f>IFERROR(__xludf.DUMMYFUNCTION("""COMPUTED_VALUE"""),367.1805555555556)</f>
        <v>367.1805556</v>
      </c>
      <c r="T278" s="57">
        <f>IFERROR(__xludf.DUMMYFUNCTION("""COMPUTED_VALUE"""),0.7083333333333334)</f>
        <v>0.7083333333</v>
      </c>
      <c r="U278" s="57">
        <f>IFERROR(__xludf.DUMMYFUNCTION("""COMPUTED_VALUE"""),0.4722222222222223)</f>
        <v>0.4722222222</v>
      </c>
      <c r="V278" s="57">
        <f>IFERROR(__xludf.DUMMYFUNCTION("""COMPUTED_VALUE"""),1.763888888888889)</f>
        <v>1.763888889</v>
      </c>
      <c r="W278" s="57">
        <f>IFERROR(__xludf.DUMMYFUNCTION("""COMPUTED_VALUE"""),2.4444444444444446)</f>
        <v>2.444444444</v>
      </c>
      <c r="X278" s="31">
        <f>IFERROR(__xludf.DUMMYFUNCTION("""COMPUTED_VALUE"""),348.10288054567405)</f>
        <v>348.1028805</v>
      </c>
      <c r="Y278" s="57">
        <f>IFERROR(__xludf.DUMMYFUNCTION("""COMPUTED_VALUE"""),0.7205286920352477)</f>
        <v>0.720528692</v>
      </c>
      <c r="Z278" s="57">
        <f>IFERROR(__xludf.DUMMYFUNCTION("""COMPUTED_VALUE"""),0.5305092380952844)</f>
        <v>0.5305092381</v>
      </c>
      <c r="AA278" s="57">
        <f>IFERROR(__xludf.DUMMYFUNCTION("""COMPUTED_VALUE"""),1.4317891914413232)</f>
        <v>1.431789191</v>
      </c>
      <c r="AB278" s="57">
        <f>IFERROR(__xludf.DUMMYFUNCTION("""COMPUTED_VALUE"""),2.544917584524658)</f>
        <v>2.544917585</v>
      </c>
      <c r="AC278" s="31">
        <f>IFERROR(__xludf.DUMMYFUNCTION("""COMPUTED_VALUE"""),369.97229518657474)</f>
        <v>369.9722952</v>
      </c>
      <c r="AD278" s="57">
        <f>IFERROR(__xludf.DUMMYFUNCTION("""COMPUTED_VALUE"""),0.8285087358346696)</f>
        <v>0.8285087358</v>
      </c>
      <c r="AE278" s="57">
        <f>IFERROR(__xludf.DUMMYFUNCTION("""COMPUTED_VALUE"""),0.6417347668576362)</f>
        <v>0.6417347669</v>
      </c>
      <c r="AF278" s="57">
        <f>IFERROR(__xludf.DUMMYFUNCTION("""COMPUTED_VALUE"""),1.3797349368195027)</f>
        <v>1.379734937</v>
      </c>
      <c r="AG278" s="57">
        <f>IFERROR(__xludf.DUMMYFUNCTION("""COMPUTED_VALUE"""),2.804090095600369)</f>
        <v>2.804090096</v>
      </c>
      <c r="AH278" s="57">
        <f>IFERROR(__xludf.DUMMYFUNCTION("""COMPUTED_VALUE"""),1.0023273043899796)</f>
        <v>1.002327304</v>
      </c>
      <c r="AI278" s="57">
        <f>IFERROR(__xludf.DUMMYFUNCTION("""COMPUTED_VALUE"""),0.8549497460877499)</f>
        <v>0.8549497461</v>
      </c>
      <c r="AJ278" s="57">
        <f>IFERROR(__xludf.DUMMYFUNCTION("""COMPUTED_VALUE"""),1.0388507855529063)</f>
        <v>1.038850786</v>
      </c>
      <c r="AK278" s="57">
        <f>IFERROR(__xludf.DUMMYFUNCTION("""COMPUTED_VALUE"""),1.2683595618981818)</f>
        <v>1.268359562</v>
      </c>
      <c r="AL278" s="57">
        <f>IFERROR(__xludf.DUMMYFUNCTION("""COMPUTED_VALUE"""),0.8469770652970054)</f>
        <v>0.8469770653</v>
      </c>
      <c r="AM278" s="57">
        <f>IFERROR(__xludf.DUMMYFUNCTION("""COMPUTED_VALUE"""),1.0548047030808134)</f>
        <v>1.054804703</v>
      </c>
      <c r="AN278" s="57">
        <f>IFERROR(__xludf.DUMMYFUNCTION("""COMPUTED_VALUE"""),0.9830744301556311)</f>
        <v>0.9830744302</v>
      </c>
      <c r="AO278" s="57">
        <f>IFERROR(__xludf.DUMMYFUNCTION("""COMPUTED_VALUE"""),0.8901300643089024)</f>
        <v>0.8901300643</v>
      </c>
      <c r="AP278" s="35">
        <f>IFERROR(__xludf.DUMMYFUNCTION("""COMPUTED_VALUE"""),1.2319473421315987)</f>
        <v>1.231947342</v>
      </c>
      <c r="AQ278" s="57">
        <f>IFERROR(__xludf.DUMMYFUNCTION("""COMPUTED_VALUE"""),0.9605200810072678)</f>
        <v>0.960520081</v>
      </c>
      <c r="AR278" s="36" t="b">
        <f>IFERROR(__xludf.DUMMYFUNCTION("""COMPUTED_VALUE"""),TRUE)</f>
        <v>1</v>
      </c>
      <c r="AS278" s="57"/>
      <c r="AT278" s="37"/>
      <c r="AU278" s="30"/>
      <c r="AV278" s="30"/>
      <c r="AW278" s="30"/>
      <c r="AX278" s="30"/>
      <c r="AY278" s="30"/>
      <c r="AZ278" s="30"/>
    </row>
    <row r="279">
      <c r="A279" s="30" t="str">
        <f>IFERROR(__xludf.DUMMYFUNCTION("""COMPUTED_VALUE"""),"Elite")</f>
        <v>Elite</v>
      </c>
      <c r="B279" s="30" t="str">
        <f>IFERROR(__xludf.DUMMYFUNCTION("""COMPUTED_VALUE"""),"RSC007884")</f>
        <v>RSC007884</v>
      </c>
      <c r="C279" s="30" t="str">
        <f>IFERROR(__xludf.DUMMYFUNCTION("""COMPUTED_VALUE"""),"Luis.")</f>
        <v>Luis.</v>
      </c>
      <c r="D279" s="31" t="str">
        <f>IFERROR(__xludf.DUMMYFUNCTION("""COMPUTED_VALUE"""),"Fire")</f>
        <v>Fire</v>
      </c>
      <c r="E279" s="31">
        <f>IFERROR(__xludf.DUMMYFUNCTION("""COMPUTED_VALUE"""),50.996935942313726)</f>
        <v>50.99693594</v>
      </c>
      <c r="F279" s="31">
        <f>IFERROR(__xludf.DUMMYFUNCTION("""COMPUTED_VALUE"""),2.0657084529547434)</f>
        <v>2.065708453</v>
      </c>
      <c r="G279" s="31">
        <f>IFERROR(__xludf.DUMMYFUNCTION("""COMPUTED_VALUE"""),43.37901522762196)</f>
        <v>43.37901523</v>
      </c>
      <c r="H279" s="31">
        <f>IFERROR(__xludf.DUMMYFUNCTION("""COMPUTED_VALUE"""),-2.528019332379974)</f>
        <v>-2.528019332</v>
      </c>
      <c r="I279" s="54">
        <f>IFERROR(__xludf.DUMMYFUNCTION("""COMPUTED_VALUE"""),29.0)</f>
        <v>29</v>
      </c>
      <c r="J279" s="55">
        <f>IFERROR(__xludf.DUMMYFUNCTION("""COMPUTED_VALUE"""),15.0)</f>
        <v>15</v>
      </c>
      <c r="K279" s="54">
        <f>IFERROR(__xludf.DUMMYFUNCTION("""COMPUTED_VALUE"""),14.0)</f>
        <v>14</v>
      </c>
      <c r="L279" s="56">
        <f>IFERROR(__xludf.DUMMYFUNCTION("""COMPUTED_VALUE"""),0.5172413793103449)</f>
        <v>0.5172413793</v>
      </c>
      <c r="M279" s="56">
        <f>IFERROR(__xludf.DUMMYFUNCTION("""COMPUTED_VALUE"""),0.27848101265822783)</f>
        <v>0.2784810127</v>
      </c>
      <c r="N279" s="31">
        <f>IFERROR(__xludf.DUMMYFUNCTION("""COMPUTED_VALUE"""),337.86206896551727)</f>
        <v>337.862069</v>
      </c>
      <c r="O279" s="57">
        <f>IFERROR(__xludf.DUMMYFUNCTION("""COMPUTED_VALUE"""),0.7586206896551724)</f>
        <v>0.7586206897</v>
      </c>
      <c r="P279" s="57">
        <f>IFERROR(__xludf.DUMMYFUNCTION("""COMPUTED_VALUE"""),0.5172413793103449)</f>
        <v>0.5172413793</v>
      </c>
      <c r="Q279" s="57">
        <f>IFERROR(__xludf.DUMMYFUNCTION("""COMPUTED_VALUE"""),1.0)</f>
        <v>1</v>
      </c>
      <c r="R279" s="57">
        <f>IFERROR(__xludf.DUMMYFUNCTION("""COMPUTED_VALUE"""),2.7241379310344827)</f>
        <v>2.724137931</v>
      </c>
      <c r="S279" s="31">
        <f>IFERROR(__xludf.DUMMYFUNCTION("""COMPUTED_VALUE"""),359.264367816092)</f>
        <v>359.2643678</v>
      </c>
      <c r="T279" s="57">
        <f>IFERROR(__xludf.DUMMYFUNCTION("""COMPUTED_VALUE"""),0.850574712643678)</f>
        <v>0.8505747126</v>
      </c>
      <c r="U279" s="57">
        <f>IFERROR(__xludf.DUMMYFUNCTION("""COMPUTED_VALUE"""),0.6436781609195402)</f>
        <v>0.6436781609</v>
      </c>
      <c r="V279" s="57">
        <f>IFERROR(__xludf.DUMMYFUNCTION("""COMPUTED_VALUE"""),1.3448275862068964)</f>
        <v>1.344827586</v>
      </c>
      <c r="W279" s="57">
        <f>IFERROR(__xludf.DUMMYFUNCTION("""COMPUTED_VALUE"""),2.7356321839080464)</f>
        <v>2.735632184</v>
      </c>
      <c r="X279" s="31">
        <f>IFERROR(__xludf.DUMMYFUNCTION("""COMPUTED_VALUE"""),360.365518797554)</f>
        <v>360.3655188</v>
      </c>
      <c r="Y279" s="57">
        <f>IFERROR(__xludf.DUMMYFUNCTION("""COMPUTED_VALUE"""),0.7613221507247775)</f>
        <v>0.7613221507</v>
      </c>
      <c r="Z279" s="57">
        <f>IFERROR(__xludf.DUMMYFUNCTION("""COMPUTED_VALUE"""),0.5780208882901033)</f>
        <v>0.5780208883</v>
      </c>
      <c r="AA279" s="57">
        <f>IFERROR(__xludf.DUMMYFUNCTION("""COMPUTED_VALUE"""),1.4482299790428175)</f>
        <v>1.448229979</v>
      </c>
      <c r="AB279" s="57">
        <f>IFERROR(__xludf.DUMMYFUNCTION("""COMPUTED_VALUE"""),2.6776514324212632)</f>
        <v>2.677651432</v>
      </c>
      <c r="AC279" s="31">
        <f>IFERROR(__xludf.DUMMYFUNCTION("""COMPUTED_VALUE"""),359.6465938714841)</f>
        <v>359.6465939</v>
      </c>
      <c r="AD279" s="57">
        <f>IFERROR(__xludf.DUMMYFUNCTION("""COMPUTED_VALUE"""),0.7525874601806846)</f>
        <v>0.7525874602</v>
      </c>
      <c r="AE279" s="57">
        <f>IFERROR(__xludf.DUMMYFUNCTION("""COMPUTED_VALUE"""),0.5607005264974423)</f>
        <v>0.5607005265</v>
      </c>
      <c r="AF279" s="57">
        <f>IFERROR(__xludf.DUMMYFUNCTION("""COMPUTED_VALUE"""),1.4330806731072918)</f>
        <v>1.433080673</v>
      </c>
      <c r="AG279" s="57">
        <f>IFERROR(__xludf.DUMMYFUNCTION("""COMPUTED_VALUE"""),2.653118080277908)</f>
        <v>2.65311808</v>
      </c>
      <c r="AH279" s="57">
        <f>IFERROR(__xludf.DUMMYFUNCTION("""COMPUTED_VALUE"""),0.9394279682410915)</f>
        <v>0.9394279682</v>
      </c>
      <c r="AI279" s="57">
        <f>IFERROR(__xludf.DUMMYFUNCTION("""COMPUTED_VALUE"""),1.0080166489527203)</f>
        <v>1.008016649</v>
      </c>
      <c r="AJ279" s="57">
        <f>IFERROR(__xludf.DUMMYFUNCTION("""COMPUTED_VALUE"""),0.9224913387212672)</f>
        <v>0.9224913387</v>
      </c>
      <c r="AK279" s="57">
        <f>IFERROR(__xludf.DUMMYFUNCTION("""COMPUTED_VALUE"""),0.6977974225496599)</f>
        <v>0.6977974225</v>
      </c>
      <c r="AL279" s="57">
        <f>IFERROR(__xludf.DUMMYFUNCTION("""COMPUTED_VALUE"""),1.026768447015044)</f>
        <v>1.026768447</v>
      </c>
      <c r="AM279" s="57">
        <f>IFERROR(__xludf.DUMMYFUNCTION("""COMPUTED_VALUE"""),0.9969443497670469)</f>
        <v>0.9969443498</v>
      </c>
      <c r="AN279" s="57">
        <f>IFERROR(__xludf.DUMMYFUNCTION("""COMPUTED_VALUE"""),1.1172336334020128)</f>
        <v>1.117233633</v>
      </c>
      <c r="AO279" s="57">
        <f>IFERROR(__xludf.DUMMYFUNCTION("""COMPUTED_VALUE"""),1.1135897922714588)</f>
        <v>1.113589792</v>
      </c>
      <c r="AP279" s="35">
        <f>IFERROR(__xludf.DUMMYFUNCTION("""COMPUTED_VALUE"""),0.9286008477021978)</f>
        <v>0.9286008477</v>
      </c>
      <c r="AQ279" s="57">
        <f>IFERROR(__xludf.DUMMYFUNCTION("""COMPUTED_VALUE"""),1.0216535844750914)</f>
        <v>1.021653584</v>
      </c>
      <c r="AR279" s="36" t="b">
        <f>IFERROR(__xludf.DUMMYFUNCTION("""COMPUTED_VALUE"""),TRUE)</f>
        <v>1</v>
      </c>
      <c r="AS279" s="57"/>
      <c r="AT279" s="37"/>
      <c r="AU279" s="30"/>
      <c r="AV279" s="30"/>
      <c r="AW279" s="30"/>
      <c r="AX279" s="30"/>
      <c r="AY279" s="30"/>
      <c r="AZ279" s="30"/>
    </row>
    <row r="280">
      <c r="A280" s="30" t="str">
        <f>IFERROR(__xludf.DUMMYFUNCTION("""COMPUTED_VALUE"""),"Elite")</f>
        <v>Elite</v>
      </c>
      <c r="B280" s="30" t="str">
        <f>IFERROR(__xludf.DUMMYFUNCTION("""COMPUTED_VALUE"""),"RSC000626")</f>
        <v>RSC000626</v>
      </c>
      <c r="C280" s="30" t="str">
        <f>IFERROR(__xludf.DUMMYFUNCTION("""COMPUTED_VALUE"""),"Canadian Things")</f>
        <v>Canadian Things</v>
      </c>
      <c r="D280" s="31" t="str">
        <f>IFERROR(__xludf.DUMMYFUNCTION("""COMPUTED_VALUE"""),"Menthol")</f>
        <v>Menthol</v>
      </c>
      <c r="E280" s="31">
        <f>IFERROR(__xludf.DUMMYFUNCTION("""COMPUTED_VALUE"""),50.8799993170299)</f>
        <v>50.87999932</v>
      </c>
      <c r="F280" s="31">
        <f>IFERROR(__xludf.DUMMYFUNCTION("""COMPUTED_VALUE"""),2.057781932213043)</f>
        <v>2.057781932</v>
      </c>
      <c r="G280" s="31">
        <f>IFERROR(__xludf.DUMMYFUNCTION("""COMPUTED_VALUE"""),52.90977550326427)</f>
        <v>52.9097755</v>
      </c>
      <c r="H280" s="31">
        <f>IFERROR(__xludf.DUMMYFUNCTION("""COMPUTED_VALUE"""),2.204238934167969)</f>
        <v>2.204238934</v>
      </c>
      <c r="I280" s="54">
        <f>IFERROR(__xludf.DUMMYFUNCTION("""COMPUTED_VALUE"""),19.0)</f>
        <v>19</v>
      </c>
      <c r="J280" s="55">
        <f>IFERROR(__xludf.DUMMYFUNCTION("""COMPUTED_VALUE"""),11.0)</f>
        <v>11</v>
      </c>
      <c r="K280" s="54">
        <f>IFERROR(__xludf.DUMMYFUNCTION("""COMPUTED_VALUE"""),8.0)</f>
        <v>8</v>
      </c>
      <c r="L280" s="56">
        <f>IFERROR(__xludf.DUMMYFUNCTION("""COMPUTED_VALUE"""),0.5789473684210527)</f>
        <v>0.5789473684</v>
      </c>
      <c r="M280" s="56">
        <f>IFERROR(__xludf.DUMMYFUNCTION("""COMPUTED_VALUE"""),0.26829268292682923)</f>
        <v>0.2682926829</v>
      </c>
      <c r="N280" s="31">
        <f>IFERROR(__xludf.DUMMYFUNCTION("""COMPUTED_VALUE"""),340.3333333333333)</f>
        <v>340.3333333</v>
      </c>
      <c r="O280" s="57">
        <f>IFERROR(__xludf.DUMMYFUNCTION("""COMPUTED_VALUE"""),0.7333333333333333)</f>
        <v>0.7333333333</v>
      </c>
      <c r="P280" s="57">
        <f>IFERROR(__xludf.DUMMYFUNCTION("""COMPUTED_VALUE"""),0.6)</f>
        <v>0.6</v>
      </c>
      <c r="Q280" s="57">
        <f>IFERROR(__xludf.DUMMYFUNCTION("""COMPUTED_VALUE"""),1.1333333333333333)</f>
        <v>1.133333333</v>
      </c>
      <c r="R280" s="57">
        <f>IFERROR(__xludf.DUMMYFUNCTION("""COMPUTED_VALUE"""),2.7333333333333334)</f>
        <v>2.733333333</v>
      </c>
      <c r="S280" s="31">
        <f>IFERROR(__xludf.DUMMYFUNCTION("""COMPUTED_VALUE"""),354.46666666666664)</f>
        <v>354.4666667</v>
      </c>
      <c r="T280" s="57">
        <f>IFERROR(__xludf.DUMMYFUNCTION("""COMPUTED_VALUE"""),0.7555555555555558)</f>
        <v>0.7555555556</v>
      </c>
      <c r="U280" s="57">
        <f>IFERROR(__xludf.DUMMYFUNCTION("""COMPUTED_VALUE"""),0.4888888888888889)</f>
        <v>0.4888888889</v>
      </c>
      <c r="V280" s="57">
        <f>IFERROR(__xludf.DUMMYFUNCTION("""COMPUTED_VALUE"""),1.466666666666667)</f>
        <v>1.466666667</v>
      </c>
      <c r="W280" s="57">
        <f>IFERROR(__xludf.DUMMYFUNCTION("""COMPUTED_VALUE"""),2.3333333333333335)</f>
        <v>2.333333333</v>
      </c>
      <c r="X280" s="31">
        <f>IFERROR(__xludf.DUMMYFUNCTION("""COMPUTED_VALUE"""),348.2660648840476)</f>
        <v>348.2660649</v>
      </c>
      <c r="Y280" s="57">
        <f>IFERROR(__xludf.DUMMYFUNCTION("""COMPUTED_VALUE"""),0.7210877578740998)</f>
        <v>0.7210877579</v>
      </c>
      <c r="Z280" s="57">
        <f>IFERROR(__xludf.DUMMYFUNCTION("""COMPUTED_VALUE"""),0.5795623327008128)</f>
        <v>0.5795623327</v>
      </c>
      <c r="AA280" s="57">
        <f>IFERROR(__xludf.DUMMYFUNCTION("""COMPUTED_VALUE"""),1.4566474909809686)</f>
        <v>1.456647491</v>
      </c>
      <c r="AB280" s="57">
        <f>IFERROR(__xludf.DUMMYFUNCTION("""COMPUTED_VALUE"""),2.3512203603713955)</f>
        <v>2.35122036</v>
      </c>
      <c r="AC280" s="31">
        <f>IFERROR(__xludf.DUMMYFUNCTION("""COMPUTED_VALUE"""),378.7611166837769)</f>
        <v>378.7611167</v>
      </c>
      <c r="AD280" s="57">
        <f>IFERROR(__xludf.DUMMYFUNCTION("""COMPUTED_VALUE"""),0.9125950369676853)</f>
        <v>0.912595037</v>
      </c>
      <c r="AE280" s="57">
        <f>IFERROR(__xludf.DUMMYFUNCTION("""COMPUTED_VALUE"""),0.6719239003223096)</f>
        <v>0.6719239003</v>
      </c>
      <c r="AF280" s="57">
        <f>IFERROR(__xludf.DUMMYFUNCTION("""COMPUTED_VALUE"""),1.3177624163027104)</f>
        <v>1.317762416</v>
      </c>
      <c r="AG280" s="57">
        <f>IFERROR(__xludf.DUMMYFUNCTION("""COMPUTED_VALUE"""),2.821525411685752)</f>
        <v>2.821525412</v>
      </c>
      <c r="AH280" s="57">
        <f>IFERROR(__xludf.DUMMYFUNCTION("""COMPUTED_VALUE"""),0.898543483853633)</f>
        <v>0.8985434839</v>
      </c>
      <c r="AI280" s="57">
        <f>IFERROR(__xludf.DUMMYFUNCTION("""COMPUTED_VALUE"""),0.803569276214791)</f>
        <v>0.8035692762</v>
      </c>
      <c r="AJ280" s="57">
        <f>IFERROR(__xludf.DUMMYFUNCTION("""COMPUTED_VALUE"""),0.8929582646370979)</f>
        <v>0.8929582646</v>
      </c>
      <c r="AK280" s="57">
        <f>IFERROR(__xludf.DUMMYFUNCTION("""COMPUTED_VALUE"""),0.8600437524338903)</f>
        <v>0.8600437524</v>
      </c>
      <c r="AL280" s="57">
        <f>IFERROR(__xludf.DUMMYFUNCTION("""COMPUTED_VALUE"""),0.9687431210127833)</f>
        <v>0.968743121</v>
      </c>
      <c r="AM280" s="57">
        <f>IFERROR(__xludf.DUMMYFUNCTION("""COMPUTED_VALUE"""),1.0178042089305586)</f>
        <v>1.017804209</v>
      </c>
      <c r="AN280" s="57">
        <f>IFERROR(__xludf.DUMMYFUNCTION("""COMPUTED_VALUE"""),1.0477997266006476)</f>
        <v>1.047799727</v>
      </c>
      <c r="AO280" s="57">
        <f>IFERROR(__xludf.DUMMYFUNCTION("""COMPUTED_VALUE"""),0.8435484180116097)</f>
        <v>0.843548418</v>
      </c>
      <c r="AP280" s="35">
        <f>IFERROR(__xludf.DUMMYFUNCTION("""COMPUTED_VALUE"""),1.006878243190431)</f>
        <v>1.006878243</v>
      </c>
      <c r="AQ280" s="57">
        <f>IFERROR(__xludf.DUMMYFUNCTION("""COMPUTED_VALUE"""),0.9923924497509725)</f>
        <v>0.9923924498</v>
      </c>
      <c r="AR280" s="36" t="b">
        <f>IFERROR(__xludf.DUMMYFUNCTION("""COMPUTED_VALUE"""),TRUE)</f>
        <v>1</v>
      </c>
      <c r="AS280" s="57"/>
      <c r="AT280" s="37"/>
      <c r="AU280" s="30"/>
      <c r="AV280" s="30"/>
      <c r="AW280" s="30"/>
      <c r="AX280" s="30"/>
      <c r="AY280" s="30"/>
      <c r="AZ280" s="30"/>
    </row>
    <row r="281">
      <c r="A281" s="30" t="str">
        <f>IFERROR(__xludf.DUMMYFUNCTION("""COMPUTED_VALUE"""),"Elite")</f>
        <v>Elite</v>
      </c>
      <c r="B281" s="30" t="str">
        <f>IFERROR(__xludf.DUMMYFUNCTION("""COMPUTED_VALUE"""),"RSC006218")</f>
        <v>RSC006218</v>
      </c>
      <c r="C281" s="30" t="str">
        <f>IFERROR(__xludf.DUMMYFUNCTION("""COMPUTED_VALUE"""),"Stingray")</f>
        <v>Stingray</v>
      </c>
      <c r="D281" s="31" t="str">
        <f>IFERROR(__xludf.DUMMYFUNCTION("""COMPUTED_VALUE"""),"Keno")</f>
        <v>Keno</v>
      </c>
      <c r="E281" s="31">
        <f>IFERROR(__xludf.DUMMYFUNCTION("""COMPUTED_VALUE"""),50.415932214326304)</f>
        <v>50.41593221</v>
      </c>
      <c r="F281" s="31">
        <f>IFERROR(__xludf.DUMMYFUNCTION("""COMPUTED_VALUE"""),2.0269051866947065)</f>
        <v>2.026905187</v>
      </c>
      <c r="G281" s="31">
        <f>IFERROR(__xludf.DUMMYFUNCTION("""COMPUTED_VALUE"""),63.637624987071575)</f>
        <v>63.63762499</v>
      </c>
      <c r="H281" s="31">
        <f>IFERROR(__xludf.DUMMYFUNCTION("""COMPUTED_VALUE"""),3.4164309382921614)</f>
        <v>3.416430938</v>
      </c>
      <c r="I281" s="54">
        <f>IFERROR(__xludf.DUMMYFUNCTION("""COMPUTED_VALUE"""),32.0)</f>
        <v>32</v>
      </c>
      <c r="J281" s="55">
        <f>IFERROR(__xludf.DUMMYFUNCTION("""COMPUTED_VALUE"""),15.0)</f>
        <v>15</v>
      </c>
      <c r="K281" s="54">
        <f>IFERROR(__xludf.DUMMYFUNCTION("""COMPUTED_VALUE"""),17.0)</f>
        <v>17</v>
      </c>
      <c r="L281" s="56">
        <f>IFERROR(__xludf.DUMMYFUNCTION("""COMPUTED_VALUE"""),0.46875)</f>
        <v>0.46875</v>
      </c>
      <c r="M281" s="56">
        <f>IFERROR(__xludf.DUMMYFUNCTION("""COMPUTED_VALUE"""),0.2676056338028169)</f>
        <v>0.2676056338</v>
      </c>
      <c r="N281" s="31">
        <f>IFERROR(__xludf.DUMMYFUNCTION("""COMPUTED_VALUE"""),390.40625)</f>
        <v>390.40625</v>
      </c>
      <c r="O281" s="57">
        <f>IFERROR(__xludf.DUMMYFUNCTION("""COMPUTED_VALUE"""),0.59375)</f>
        <v>0.59375</v>
      </c>
      <c r="P281" s="57">
        <f>IFERROR(__xludf.DUMMYFUNCTION("""COMPUTED_VALUE"""),0.625)</f>
        <v>0.625</v>
      </c>
      <c r="Q281" s="57">
        <f>IFERROR(__xludf.DUMMYFUNCTION("""COMPUTED_VALUE"""),2.0)</f>
        <v>2</v>
      </c>
      <c r="R281" s="57">
        <f>IFERROR(__xludf.DUMMYFUNCTION("""COMPUTED_VALUE"""),2.21875)</f>
        <v>2.21875</v>
      </c>
      <c r="S281" s="31">
        <f>IFERROR(__xludf.DUMMYFUNCTION("""COMPUTED_VALUE"""),335.1770833333333)</f>
        <v>335.1770833</v>
      </c>
      <c r="T281" s="57">
        <f>IFERROR(__xludf.DUMMYFUNCTION("""COMPUTED_VALUE"""),0.6979166666666665)</f>
        <v>0.6979166667</v>
      </c>
      <c r="U281" s="57">
        <f>IFERROR(__xludf.DUMMYFUNCTION("""COMPUTED_VALUE"""),0.46875000000000006)</f>
        <v>0.46875</v>
      </c>
      <c r="V281" s="57">
        <f>IFERROR(__xludf.DUMMYFUNCTION("""COMPUTED_VALUE"""),1.1145833333333335)</f>
        <v>1.114583333</v>
      </c>
      <c r="W281" s="57">
        <f>IFERROR(__xludf.DUMMYFUNCTION("""COMPUTED_VALUE"""),2.885416666666666)</f>
        <v>2.885416667</v>
      </c>
      <c r="X281" s="31">
        <f>IFERROR(__xludf.DUMMYFUNCTION("""COMPUTED_VALUE"""),357.3327906359492)</f>
        <v>357.3327906</v>
      </c>
      <c r="Y281" s="57">
        <f>IFERROR(__xludf.DUMMYFUNCTION("""COMPUTED_VALUE"""),0.7806954795884489)</f>
        <v>0.7806954796</v>
      </c>
      <c r="Z281" s="57">
        <f>IFERROR(__xludf.DUMMYFUNCTION("""COMPUTED_VALUE"""),0.5620641284052528)</f>
        <v>0.5620641284</v>
      </c>
      <c r="AA281" s="57">
        <f>IFERROR(__xludf.DUMMYFUNCTION("""COMPUTED_VALUE"""),1.3512746688779187)</f>
        <v>1.351274669</v>
      </c>
      <c r="AB281" s="57">
        <f>IFERROR(__xludf.DUMMYFUNCTION("""COMPUTED_VALUE"""),2.787048383370941)</f>
        <v>2.787048383</v>
      </c>
      <c r="AC281" s="31">
        <f>IFERROR(__xludf.DUMMYFUNCTION("""COMPUTED_VALUE"""),358.72457739118795)</f>
        <v>358.7245774</v>
      </c>
      <c r="AD281" s="57">
        <f>IFERROR(__xludf.DUMMYFUNCTION("""COMPUTED_VALUE"""),0.7483101551394001)</f>
        <v>0.7483101551</v>
      </c>
      <c r="AE281" s="57">
        <f>IFERROR(__xludf.DUMMYFUNCTION("""COMPUTED_VALUE"""),0.5721748882727892)</f>
        <v>0.5721748883</v>
      </c>
      <c r="AF281" s="57">
        <f>IFERROR(__xludf.DUMMYFUNCTION("""COMPUTED_VALUE"""),1.5129900438036419)</f>
        <v>1.512990044</v>
      </c>
      <c r="AG281" s="57">
        <f>IFERROR(__xludf.DUMMYFUNCTION("""COMPUTED_VALUE"""),2.4953133116259463)</f>
        <v>2.495313312</v>
      </c>
      <c r="AH281" s="57">
        <f>IFERROR(__xludf.DUMMYFUNCTION("""COMPUTED_VALUE"""),1.0883175411041415)</f>
        <v>1.088317541</v>
      </c>
      <c r="AI281" s="57">
        <f>IFERROR(__xludf.DUMMYFUNCTION("""COMPUTED_VALUE"""),0.7934544198312962)</f>
        <v>0.7934544198</v>
      </c>
      <c r="AJ281" s="57">
        <f>IFERROR(__xludf.DUMMYFUNCTION("""COMPUTED_VALUE"""),1.0923233661768568)</f>
        <v>1.092323366</v>
      </c>
      <c r="AK281" s="57">
        <f>IFERROR(__xludf.DUMMYFUNCTION("""COMPUTED_VALUE"""),1.3218857640146924)</f>
        <v>1.321885764</v>
      </c>
      <c r="AL281" s="57">
        <f>IFERROR(__xludf.DUMMYFUNCTION("""COMPUTED_VALUE"""),0.8891668992677566)</f>
        <v>0.8891668993</v>
      </c>
      <c r="AM281" s="57">
        <f>IFERROR(__xludf.DUMMYFUNCTION("""COMPUTED_VALUE"""),0.937996993605918)</f>
        <v>0.9379969936</v>
      </c>
      <c r="AN281" s="57">
        <f>IFERROR(__xludf.DUMMYFUNCTION("""COMPUTED_VALUE"""),0.8939678593176689)</f>
        <v>0.8939678593</v>
      </c>
      <c r="AO281" s="57">
        <f>IFERROR(__xludf.DUMMYFUNCTION("""COMPUTED_VALUE"""),0.8339795697867904)</f>
        <v>0.8339795698</v>
      </c>
      <c r="AP281" s="35">
        <f>IFERROR(__xludf.DUMMYFUNCTION("""COMPUTED_VALUE"""),0.8248384721507948)</f>
        <v>0.8248384722</v>
      </c>
      <c r="AQ281" s="57">
        <f>IFERROR(__xludf.DUMMYFUNCTION("""COMPUTED_VALUE"""),1.0352947885234587)</f>
        <v>1.035294789</v>
      </c>
      <c r="AR281" s="36" t="b">
        <f>IFERROR(__xludf.DUMMYFUNCTION("""COMPUTED_VALUE"""),TRUE)</f>
        <v>1</v>
      </c>
      <c r="AS281" s="57"/>
      <c r="AT281" s="37"/>
      <c r="AU281" s="30"/>
      <c r="AV281" s="30"/>
      <c r="AW281" s="30"/>
      <c r="AX281" s="30"/>
      <c r="AY281" s="30"/>
      <c r="AZ281" s="30"/>
    </row>
    <row r="282">
      <c r="A282" s="30" t="str">
        <f>IFERROR(__xludf.DUMMYFUNCTION("""COMPUTED_VALUE"""),"Elite")</f>
        <v>Elite</v>
      </c>
      <c r="B282" s="30" t="str">
        <f>IFERROR(__xludf.DUMMYFUNCTION("""COMPUTED_VALUE"""),"RSC002161")</f>
        <v>RSC002161</v>
      </c>
      <c r="C282" s="30" t="str">
        <f>IFERROR(__xludf.DUMMYFUNCTION("""COMPUTED_VALUE"""),"TheAngryTryhard")</f>
        <v>TheAngryTryhard</v>
      </c>
      <c r="D282" s="31" t="str">
        <f>IFERROR(__xludf.DUMMYFUNCTION("""COMPUTED_VALUE"""),"Loonie")</f>
        <v>Loonie</v>
      </c>
      <c r="E282" s="31">
        <f>IFERROR(__xludf.DUMMYFUNCTION("""COMPUTED_VALUE"""),50.38157281125647)</f>
        <v>50.38157281</v>
      </c>
      <c r="F282" s="31">
        <f>IFERROR(__xludf.DUMMYFUNCTION("""COMPUTED_VALUE"""),2.0246553813932895)</f>
        <v>2.024655381</v>
      </c>
      <c r="G282" s="31">
        <f>IFERROR(__xludf.DUMMYFUNCTION("""COMPUTED_VALUE"""),41.528138236676185)</f>
        <v>41.52813824</v>
      </c>
      <c r="H282" s="31">
        <f>IFERROR(__xludf.DUMMYFUNCTION("""COMPUTED_VALUE"""),-2.722183615053022)</f>
        <v>-2.722183615</v>
      </c>
      <c r="I282" s="54">
        <f>IFERROR(__xludf.DUMMYFUNCTION("""COMPUTED_VALUE"""),24.0)</f>
        <v>24</v>
      </c>
      <c r="J282" s="55">
        <f>IFERROR(__xludf.DUMMYFUNCTION("""COMPUTED_VALUE"""),7.0)</f>
        <v>7</v>
      </c>
      <c r="K282" s="54">
        <f>IFERROR(__xludf.DUMMYFUNCTION("""COMPUTED_VALUE"""),17.0)</f>
        <v>17</v>
      </c>
      <c r="L282" s="56">
        <f>IFERROR(__xludf.DUMMYFUNCTION("""COMPUTED_VALUE"""),0.2916666666666667)</f>
        <v>0.2916666667</v>
      </c>
      <c r="M282" s="56">
        <f>IFERROR(__xludf.DUMMYFUNCTION("""COMPUTED_VALUE"""),0.2794117647058823)</f>
        <v>0.2794117647</v>
      </c>
      <c r="N282" s="31">
        <f>IFERROR(__xludf.DUMMYFUNCTION("""COMPUTED_VALUE"""),349.5416666666667)</f>
        <v>349.5416667</v>
      </c>
      <c r="O282" s="57">
        <f>IFERROR(__xludf.DUMMYFUNCTION("""COMPUTED_VALUE"""),0.7916666666666666)</f>
        <v>0.7916666667</v>
      </c>
      <c r="P282" s="57">
        <f>IFERROR(__xludf.DUMMYFUNCTION("""COMPUTED_VALUE"""),0.375)</f>
        <v>0.375</v>
      </c>
      <c r="Q282" s="57">
        <f>IFERROR(__xludf.DUMMYFUNCTION("""COMPUTED_VALUE"""),1.5)</f>
        <v>1.5</v>
      </c>
      <c r="R282" s="57">
        <f>IFERROR(__xludf.DUMMYFUNCTION("""COMPUTED_VALUE"""),2.8333333333333335)</f>
        <v>2.833333333</v>
      </c>
      <c r="S282" s="31">
        <f>IFERROR(__xludf.DUMMYFUNCTION("""COMPUTED_VALUE"""),410.5138888888889)</f>
        <v>410.5138889</v>
      </c>
      <c r="T282" s="57">
        <f>IFERROR(__xludf.DUMMYFUNCTION("""COMPUTED_VALUE"""),1.111111111111111)</f>
        <v>1.111111111</v>
      </c>
      <c r="U282" s="57">
        <f>IFERROR(__xludf.DUMMYFUNCTION("""COMPUTED_VALUE"""),0.9166666666666665)</f>
        <v>0.9166666667</v>
      </c>
      <c r="V282" s="57">
        <f>IFERROR(__xludf.DUMMYFUNCTION("""COMPUTED_VALUE"""),1.2916666666666667)</f>
        <v>1.291666667</v>
      </c>
      <c r="W282" s="57">
        <f>IFERROR(__xludf.DUMMYFUNCTION("""COMPUTED_VALUE"""),3.166666666666666)</f>
        <v>3.166666667</v>
      </c>
      <c r="X282" s="31">
        <f>IFERROR(__xludf.DUMMYFUNCTION("""COMPUTED_VALUE"""),388.8123946595501)</f>
        <v>388.8123947</v>
      </c>
      <c r="Y282" s="57">
        <f>IFERROR(__xludf.DUMMYFUNCTION("""COMPUTED_VALUE"""),0.9397137374175418)</f>
        <v>0.9397137374</v>
      </c>
      <c r="Z282" s="57">
        <f>IFERROR(__xludf.DUMMYFUNCTION("""COMPUTED_VALUE"""),0.6767652112121421)</f>
        <v>0.6767652112</v>
      </c>
      <c r="AA282" s="57">
        <f>IFERROR(__xludf.DUMMYFUNCTION("""COMPUTED_VALUE"""),1.3820653405409369)</f>
        <v>1.382065341</v>
      </c>
      <c r="AB282" s="57">
        <f>IFERROR(__xludf.DUMMYFUNCTION("""COMPUTED_VALUE"""),2.9642032397976017)</f>
        <v>2.96420324</v>
      </c>
      <c r="AC282" s="31">
        <f>IFERROR(__xludf.DUMMYFUNCTION("""COMPUTED_VALUE"""),351.0237695590406)</f>
        <v>351.0237696</v>
      </c>
      <c r="AD282" s="57">
        <f>IFERROR(__xludf.DUMMYFUNCTION("""COMPUTED_VALUE"""),0.6809393279755954)</f>
        <v>0.680939328</v>
      </c>
      <c r="AE282" s="57">
        <f>IFERROR(__xludf.DUMMYFUNCTION("""COMPUTED_VALUE"""),0.49662660896010236)</f>
        <v>0.496626609</v>
      </c>
      <c r="AF282" s="57">
        <f>IFERROR(__xludf.DUMMYFUNCTION("""COMPUTED_VALUE"""),1.5243534109691053)</f>
        <v>1.524353411</v>
      </c>
      <c r="AG282" s="57">
        <f>IFERROR(__xludf.DUMMYFUNCTION("""COMPUTED_VALUE"""),2.4263060825187854)</f>
        <v>2.426306083</v>
      </c>
      <c r="AH282" s="57">
        <f>IFERROR(__xludf.DUMMYFUNCTION("""COMPUTED_VALUE"""),0.9957777705645525)</f>
        <v>0.9957777706</v>
      </c>
      <c r="AI282" s="57">
        <f>IFERROR(__xludf.DUMMYFUNCTION("""COMPUTED_VALUE"""),1.1626096983122696)</f>
        <v>1.162609698</v>
      </c>
      <c r="AJ282" s="57">
        <f>IFERROR(__xludf.DUMMYFUNCTION("""COMPUTED_VALUE"""),0.7550944577561419)</f>
        <v>0.7550944578</v>
      </c>
      <c r="AK282" s="57">
        <f>IFERROR(__xludf.DUMMYFUNCTION("""COMPUTED_VALUE"""),0.9840237763802931)</f>
        <v>0.9840237764</v>
      </c>
      <c r="AL282" s="57">
        <f>IFERROR(__xludf.DUMMYFUNCTION("""COMPUTED_VALUE"""),1.1677559372031112)</f>
        <v>1.167755937</v>
      </c>
      <c r="AM282" s="57">
        <f>IFERROR(__xludf.DUMMYFUNCTION("""COMPUTED_VALUE"""),1.0558148210484415)</f>
        <v>1.055814821</v>
      </c>
      <c r="AN282" s="57">
        <f>IFERROR(__xludf.DUMMYFUNCTION("""COMPUTED_VALUE"""),1.182393176633335)</f>
        <v>1.182393177</v>
      </c>
      <c r="AO282" s="57">
        <f>IFERROR(__xludf.DUMMYFUNCTION("""COMPUTED_VALUE"""),1.3544825465021189)</f>
        <v>1.354482547</v>
      </c>
      <c r="AP282" s="35">
        <f>IFERROR(__xludf.DUMMYFUNCTION("""COMPUTED_VALUE"""),0.9345916063281868)</f>
        <v>0.9345916063</v>
      </c>
      <c r="AQ282" s="57">
        <f>IFERROR(__xludf.DUMMYFUNCTION("""COMPUTED_VALUE"""),1.0683028154583925)</f>
        <v>1.068302815</v>
      </c>
      <c r="AR282" s="36" t="b">
        <f>IFERROR(__xludf.DUMMYFUNCTION("""COMPUTED_VALUE"""),TRUE)</f>
        <v>1</v>
      </c>
      <c r="AS282" s="57"/>
      <c r="AT282" s="37"/>
      <c r="AU282" s="30"/>
      <c r="AV282" s="30"/>
      <c r="AW282" s="30"/>
      <c r="AX282" s="30"/>
      <c r="AY282" s="30"/>
      <c r="AZ282" s="30"/>
    </row>
    <row r="283">
      <c r="A283" s="30" t="str">
        <f>IFERROR(__xludf.DUMMYFUNCTION("""COMPUTED_VALUE"""),"Elite")</f>
        <v>Elite</v>
      </c>
      <c r="B283" s="30" t="str">
        <f>IFERROR(__xludf.DUMMYFUNCTION("""COMPUTED_VALUE"""),"RSC005236")</f>
        <v>RSC005236</v>
      </c>
      <c r="C283" s="30" t="str">
        <f>IFERROR(__xludf.DUMMYFUNCTION("""COMPUTED_VALUE"""),"Rozi-")</f>
        <v>Rozi-</v>
      </c>
      <c r="D283" s="31" t="str">
        <f>IFERROR(__xludf.DUMMYFUNCTION("""COMPUTED_VALUE"""),"Praetorian Guard")</f>
        <v>Praetorian Guard</v>
      </c>
      <c r="E283" s="31">
        <f>IFERROR(__xludf.DUMMYFUNCTION("""COMPUTED_VALUE"""),50.01719212468344)</f>
        <v>50.01719212</v>
      </c>
      <c r="F283" s="31">
        <f>IFERROR(__xludf.DUMMYFUNCTION("""COMPUTED_VALUE"""),2.0010979888406917)</f>
        <v>2.001097989</v>
      </c>
      <c r="G283" s="31">
        <f>IFERROR(__xludf.DUMMYFUNCTION("""COMPUTED_VALUE"""),51.71443434576381)</f>
        <v>51.71443435</v>
      </c>
      <c r="H283" s="31">
        <f>IFERROR(__xludf.DUMMYFUNCTION("""COMPUTED_VALUE"""),2.1156721993623386)</f>
        <v>2.115672199</v>
      </c>
      <c r="I283" s="54">
        <f>IFERROR(__xludf.DUMMYFUNCTION("""COMPUTED_VALUE"""),36.0)</f>
        <v>36</v>
      </c>
      <c r="J283" s="55">
        <f>IFERROR(__xludf.DUMMYFUNCTION("""COMPUTED_VALUE"""),24.0)</f>
        <v>24</v>
      </c>
      <c r="K283" s="54">
        <f>IFERROR(__xludf.DUMMYFUNCTION("""COMPUTED_VALUE"""),12.0)</f>
        <v>12</v>
      </c>
      <c r="L283" s="56">
        <f>IFERROR(__xludf.DUMMYFUNCTION("""COMPUTED_VALUE"""),0.6666666666666666)</f>
        <v>0.6666666667</v>
      </c>
      <c r="M283" s="56">
        <f>IFERROR(__xludf.DUMMYFUNCTION("""COMPUTED_VALUE"""),0.20792079207920794)</f>
        <v>0.2079207921</v>
      </c>
      <c r="N283" s="31">
        <f>IFERROR(__xludf.DUMMYFUNCTION("""COMPUTED_VALUE"""),349.0833333333333)</f>
        <v>349.0833333</v>
      </c>
      <c r="O283" s="57">
        <f>IFERROR(__xludf.DUMMYFUNCTION("""COMPUTED_VALUE"""),0.5833333333333334)</f>
        <v>0.5833333333</v>
      </c>
      <c r="P283" s="57">
        <f>IFERROR(__xludf.DUMMYFUNCTION("""COMPUTED_VALUE"""),0.6944444444444444)</f>
        <v>0.6944444444</v>
      </c>
      <c r="Q283" s="57">
        <f>IFERROR(__xludf.DUMMYFUNCTION("""COMPUTED_VALUE"""),1.3611111111111112)</f>
        <v>1.361111111</v>
      </c>
      <c r="R283" s="57">
        <f>IFERROR(__xludf.DUMMYFUNCTION("""COMPUTED_VALUE"""),2.8055555555555554)</f>
        <v>2.805555556</v>
      </c>
      <c r="S283" s="31">
        <f>IFERROR(__xludf.DUMMYFUNCTION("""COMPUTED_VALUE"""),351.75)</f>
        <v>351.75</v>
      </c>
      <c r="T283" s="57">
        <f>IFERROR(__xludf.DUMMYFUNCTION("""COMPUTED_VALUE"""),0.6759259259259258)</f>
        <v>0.6759259259</v>
      </c>
      <c r="U283" s="57">
        <f>IFERROR(__xludf.DUMMYFUNCTION("""COMPUTED_VALUE"""),0.5462962962962963)</f>
        <v>0.5462962963</v>
      </c>
      <c r="V283" s="57">
        <f>IFERROR(__xludf.DUMMYFUNCTION("""COMPUTED_VALUE"""),1.4537037037037033)</f>
        <v>1.453703704</v>
      </c>
      <c r="W283" s="57">
        <f>IFERROR(__xludf.DUMMYFUNCTION("""COMPUTED_VALUE"""),2.4074074074074074)</f>
        <v>2.407407407</v>
      </c>
      <c r="X283" s="31">
        <f>IFERROR(__xludf.DUMMYFUNCTION("""COMPUTED_VALUE"""),358.2915785458271)</f>
        <v>358.2915785</v>
      </c>
      <c r="Y283" s="57">
        <f>IFERROR(__xludf.DUMMYFUNCTION("""COMPUTED_VALUE"""),0.7320721255442373)</f>
        <v>0.7320721255</v>
      </c>
      <c r="Z283" s="57">
        <f>IFERROR(__xludf.DUMMYFUNCTION("""COMPUTED_VALUE"""),0.5398876236562093)</f>
        <v>0.5398876237</v>
      </c>
      <c r="AA283" s="57">
        <f>IFERROR(__xludf.DUMMYFUNCTION("""COMPUTED_VALUE"""),1.5079168207460094)</f>
        <v>1.507916821</v>
      </c>
      <c r="AB283" s="57">
        <f>IFERROR(__xludf.DUMMYFUNCTION("""COMPUTED_VALUE"""),2.478602928277583)</f>
        <v>2.478602928</v>
      </c>
      <c r="AC283" s="31">
        <f>IFERROR(__xludf.DUMMYFUNCTION("""COMPUTED_VALUE"""),373.13237797829464)</f>
        <v>373.132378</v>
      </c>
      <c r="AD283" s="57">
        <f>IFERROR(__xludf.DUMMYFUNCTION("""COMPUTED_VALUE"""),0.8418404275374347)</f>
        <v>0.8418404275</v>
      </c>
      <c r="AE283" s="57">
        <f>IFERROR(__xludf.DUMMYFUNCTION("""COMPUTED_VALUE"""),0.6322005936195152)</f>
        <v>0.6322005936</v>
      </c>
      <c r="AF283" s="57">
        <f>IFERROR(__xludf.DUMMYFUNCTION("""COMPUTED_VALUE"""),1.371479191194855)</f>
        <v>1.371479191</v>
      </c>
      <c r="AG283" s="57">
        <f>IFERROR(__xludf.DUMMYFUNCTION("""COMPUTED_VALUE"""),2.856473643032285)</f>
        <v>2.856473643</v>
      </c>
      <c r="AH283" s="57">
        <f>IFERROR(__xludf.DUMMYFUNCTION("""COMPUTED_VALUE"""),0.9355482234608966)</f>
        <v>0.9355482235</v>
      </c>
      <c r="AI283" s="57">
        <f>IFERROR(__xludf.DUMMYFUNCTION("""COMPUTED_VALUE"""),0.6929262533039777)</f>
        <v>0.6929262533</v>
      </c>
      <c r="AJ283" s="57">
        <f>IFERROR(__xludf.DUMMYFUNCTION("""COMPUTED_VALUE"""),1.098455856342315)</f>
        <v>1.098455856</v>
      </c>
      <c r="AK283" s="57">
        <f>IFERROR(__xludf.DUMMYFUNCTION("""COMPUTED_VALUE"""),0.9924402206389212)</f>
        <v>0.9924402206</v>
      </c>
      <c r="AL283" s="57">
        <f>IFERROR(__xludf.DUMMYFUNCTION("""COMPUTED_VALUE"""),0.9821744942051425)</f>
        <v>0.9821744942</v>
      </c>
      <c r="AM283" s="57">
        <f>IFERROR(__xludf.DUMMYFUNCTION("""COMPUTED_VALUE"""),0.981742304487376)</f>
        <v>0.9817423045</v>
      </c>
      <c r="AN283" s="57">
        <f>IFERROR(__xludf.DUMMYFUNCTION("""COMPUTED_VALUE"""),0.9233050984196793)</f>
        <v>0.9233050984</v>
      </c>
      <c r="AO283" s="57">
        <f>IFERROR(__xludf.DUMMYFUNCTION("""COMPUTED_VALUE"""),1.0118703825745927)</f>
        <v>1.011870383</v>
      </c>
      <c r="AP283" s="35">
        <f>IFERROR(__xludf.DUMMYFUNCTION("""COMPUTED_VALUE"""),0.9640476740517522)</f>
        <v>0.9640476741</v>
      </c>
      <c r="AQ283" s="57">
        <f>IFERROR(__xludf.DUMMYFUNCTION("""COMPUTED_VALUE"""),0.9712759474065293)</f>
        <v>0.9712759474</v>
      </c>
      <c r="AR283" s="36" t="b">
        <f>IFERROR(__xludf.DUMMYFUNCTION("""COMPUTED_VALUE"""),TRUE)</f>
        <v>1</v>
      </c>
      <c r="AS283" s="57"/>
      <c r="AT283" s="37"/>
      <c r="AU283" s="30"/>
      <c r="AV283" s="30"/>
      <c r="AW283" s="30"/>
      <c r="AX283" s="30"/>
      <c r="AY283" s="30"/>
      <c r="AZ283" s="30"/>
    </row>
    <row r="284">
      <c r="A284" s="30" t="str">
        <f>IFERROR(__xludf.DUMMYFUNCTION("""COMPUTED_VALUE"""),"Elite")</f>
        <v>Elite</v>
      </c>
      <c r="B284" s="30" t="str">
        <f>IFERROR(__xludf.DUMMYFUNCTION("""COMPUTED_VALUE"""),"RSC003113")</f>
        <v>RSC003113</v>
      </c>
      <c r="C284" s="30" t="str">
        <f>IFERROR(__xludf.DUMMYFUNCTION("""COMPUTED_VALUE"""),"Nebulade")</f>
        <v>Nebulade</v>
      </c>
      <c r="D284" s="31" t="str">
        <f>IFERROR(__xludf.DUMMYFUNCTION("""COMPUTED_VALUE"""),"Pylons")</f>
        <v>Pylons</v>
      </c>
      <c r="E284" s="31">
        <f>IFERROR(__xludf.DUMMYFUNCTION("""COMPUTED_VALUE"""),49.98939495124653)</f>
        <v>49.98939495</v>
      </c>
      <c r="F284" s="31">
        <f>IFERROR(__xludf.DUMMYFUNCTION("""COMPUTED_VALUE"""),-2.000677157546626)</f>
        <v>-2.000677158</v>
      </c>
      <c r="G284" s="31">
        <f>IFERROR(__xludf.DUMMYFUNCTION("""COMPUTED_VALUE"""),44.366904503622706)</f>
        <v>44.3669045</v>
      </c>
      <c r="H284" s="31">
        <f>IFERROR(__xludf.DUMMYFUNCTION("""COMPUTED_VALUE"""),-2.4338972653978312)</f>
        <v>-2.433897265</v>
      </c>
      <c r="I284" s="54">
        <f>IFERROR(__xludf.DUMMYFUNCTION("""COMPUTED_VALUE"""),36.0)</f>
        <v>36</v>
      </c>
      <c r="J284" s="55">
        <f>IFERROR(__xludf.DUMMYFUNCTION("""COMPUTED_VALUE"""),15.0)</f>
        <v>15</v>
      </c>
      <c r="K284" s="54">
        <f>IFERROR(__xludf.DUMMYFUNCTION("""COMPUTED_VALUE"""),21.0)</f>
        <v>21</v>
      </c>
      <c r="L284" s="56">
        <f>IFERROR(__xludf.DUMMYFUNCTION("""COMPUTED_VALUE"""),0.4166666666666667)</f>
        <v>0.4166666667</v>
      </c>
      <c r="M284" s="56">
        <f>IFERROR(__xludf.DUMMYFUNCTION("""COMPUTED_VALUE"""),0.2727272727272727)</f>
        <v>0.2727272727</v>
      </c>
      <c r="N284" s="31">
        <f>IFERROR(__xludf.DUMMYFUNCTION("""COMPUTED_VALUE"""),344.6388888888889)</f>
        <v>344.6388889</v>
      </c>
      <c r="O284" s="57">
        <f>IFERROR(__xludf.DUMMYFUNCTION("""COMPUTED_VALUE"""),0.75)</f>
        <v>0.75</v>
      </c>
      <c r="P284" s="57">
        <f>IFERROR(__xludf.DUMMYFUNCTION("""COMPUTED_VALUE"""),0.5)</f>
        <v>0.5</v>
      </c>
      <c r="Q284" s="57">
        <f>IFERROR(__xludf.DUMMYFUNCTION("""COMPUTED_VALUE"""),1.4166666666666667)</f>
        <v>1.416666667</v>
      </c>
      <c r="R284" s="57">
        <f>IFERROR(__xludf.DUMMYFUNCTION("""COMPUTED_VALUE"""),2.75)</f>
        <v>2.75</v>
      </c>
      <c r="S284" s="31">
        <f>IFERROR(__xludf.DUMMYFUNCTION("""COMPUTED_VALUE"""),366.45370370370364)</f>
        <v>366.4537037</v>
      </c>
      <c r="T284" s="57">
        <f>IFERROR(__xludf.DUMMYFUNCTION("""COMPUTED_VALUE"""),0.8518518518518519)</f>
        <v>0.8518518519</v>
      </c>
      <c r="U284" s="57">
        <f>IFERROR(__xludf.DUMMYFUNCTION("""COMPUTED_VALUE"""),0.6018518518518519)</f>
        <v>0.6018518519</v>
      </c>
      <c r="V284" s="57">
        <f>IFERROR(__xludf.DUMMYFUNCTION("""COMPUTED_VALUE"""),1.4537037037037033)</f>
        <v>1.453703704</v>
      </c>
      <c r="W284" s="57">
        <f>IFERROR(__xludf.DUMMYFUNCTION("""COMPUTED_VALUE"""),2.620370370370371)</f>
        <v>2.62037037</v>
      </c>
      <c r="X284" s="31">
        <f>IFERROR(__xludf.DUMMYFUNCTION("""COMPUTED_VALUE"""),363.0838485852589)</f>
        <v>363.0838486</v>
      </c>
      <c r="Y284" s="57">
        <f>IFERROR(__xludf.DUMMYFUNCTION("""COMPUTED_VALUE"""),0.7708742530293515)</f>
        <v>0.770874253</v>
      </c>
      <c r="Z284" s="57">
        <f>IFERROR(__xludf.DUMMYFUNCTION("""COMPUTED_VALUE"""),0.5545130874364107)</f>
        <v>0.5545130874</v>
      </c>
      <c r="AA284" s="57">
        <f>IFERROR(__xludf.DUMMYFUNCTION("""COMPUTED_VALUE"""),1.5129005607747694)</f>
        <v>1.512900561</v>
      </c>
      <c r="AB284" s="57">
        <f>IFERROR(__xludf.DUMMYFUNCTION("""COMPUTED_VALUE"""),2.5376496998924845)</f>
        <v>2.5376497</v>
      </c>
      <c r="AC284" s="31">
        <f>IFERROR(__xludf.DUMMYFUNCTION("""COMPUTED_VALUE"""),360.48768740226046)</f>
        <v>360.4876874</v>
      </c>
      <c r="AD284" s="57">
        <f>IFERROR(__xludf.DUMMYFUNCTION("""COMPUTED_VALUE"""),0.7695653817972308)</f>
        <v>0.7695653818</v>
      </c>
      <c r="AE284" s="57">
        <f>IFERROR(__xludf.DUMMYFUNCTION("""COMPUTED_VALUE"""),0.586915682149626)</f>
        <v>0.5869156821</v>
      </c>
      <c r="AF284" s="57">
        <f>IFERROR(__xludf.DUMMYFUNCTION("""COMPUTED_VALUE"""),1.3817516391377143)</f>
        <v>1.381751639</v>
      </c>
      <c r="AG284" s="57">
        <f>IFERROR(__xludf.DUMMYFUNCTION("""COMPUTED_VALUE"""),2.7456542761694327)</f>
        <v>2.745654276</v>
      </c>
      <c r="AH284" s="57">
        <f>IFERROR(__xludf.DUMMYFUNCTION("""COMPUTED_VALUE"""),0.9560351183487545)</f>
        <v>0.9560351183</v>
      </c>
      <c r="AI284" s="57">
        <f>IFERROR(__xludf.DUMMYFUNCTION("""COMPUTED_VALUE"""),0.9745760629830592)</f>
        <v>0.974576063</v>
      </c>
      <c r="AJ284" s="57">
        <f>IFERROR(__xludf.DUMMYFUNCTION("""COMPUTED_VALUE"""),0.8519111266012006)</f>
        <v>0.8519111266</v>
      </c>
      <c r="AK284" s="57">
        <f>IFERROR(__xludf.DUMMYFUNCTION("""COMPUTED_VALUE"""),1.025268670968063)</f>
        <v>1.025268671</v>
      </c>
      <c r="AL284" s="57">
        <f>IFERROR(__xludf.DUMMYFUNCTION("""COMPUTED_VALUE"""),1.0015827643954613)</f>
        <v>1.001582764</v>
      </c>
      <c r="AM284" s="57">
        <f>IFERROR(__xludf.DUMMYFUNCTION("""COMPUTED_VALUE"""),1.0092812035885794)</f>
        <v>1.009281204</v>
      </c>
      <c r="AN284" s="57">
        <f>IFERROR(__xludf.DUMMYFUNCTION("""COMPUTED_VALUE"""),1.1050464437024297)</f>
        <v>1.105046444</v>
      </c>
      <c r="AO284" s="57">
        <f>IFERROR(__xludf.DUMMYFUNCTION("""COMPUTED_VALUE"""),1.0853699677933566)</f>
        <v>1.085369968</v>
      </c>
      <c r="AP284" s="35">
        <f>IFERROR(__xludf.DUMMYFUNCTION("""COMPUTED_VALUE"""),0.960871944524397)</f>
        <v>0.9608719445</v>
      </c>
      <c r="AQ284" s="57">
        <f>IFERROR(__xludf.DUMMYFUNCTION("""COMPUTED_VALUE"""),1.0325973559240236)</f>
        <v>1.032597356</v>
      </c>
      <c r="AR284" s="36" t="b">
        <f>IFERROR(__xludf.DUMMYFUNCTION("""COMPUTED_VALUE"""),TRUE)</f>
        <v>1</v>
      </c>
      <c r="AS284" s="57"/>
      <c r="AT284" s="37"/>
      <c r="AU284" s="30"/>
      <c r="AV284" s="30"/>
      <c r="AW284" s="30"/>
      <c r="AX284" s="30"/>
      <c r="AY284" s="30"/>
      <c r="AZ284" s="30"/>
    </row>
    <row r="285">
      <c r="A285" s="30" t="str">
        <f>IFERROR(__xludf.DUMMYFUNCTION("""COMPUTED_VALUE"""),"Elite")</f>
        <v>Elite</v>
      </c>
      <c r="B285" s="30" t="str">
        <f>IFERROR(__xludf.DUMMYFUNCTION("""COMPUTED_VALUE"""),"RSC005872")</f>
        <v>RSC005872</v>
      </c>
      <c r="C285" s="30" t="str">
        <f>IFERROR(__xludf.DUMMYFUNCTION("""COMPUTED_VALUE"""),"Ditto")</f>
        <v>Ditto</v>
      </c>
      <c r="D285" s="31" t="str">
        <f>IFERROR(__xludf.DUMMYFUNCTION("""COMPUTED_VALUE"""),"Pixel Picassos")</f>
        <v>Pixel Picassos</v>
      </c>
      <c r="E285" s="31">
        <f>IFERROR(__xludf.DUMMYFUNCTION("""COMPUTED_VALUE"""),49.922834471226686)</f>
        <v>49.92283447</v>
      </c>
      <c r="F285" s="31">
        <f>IFERROR(__xludf.DUMMYFUNCTION("""COMPUTED_VALUE"""),-2.0049376872573563)</f>
        <v>-2.004937687</v>
      </c>
      <c r="G285" s="31">
        <f>IFERROR(__xludf.DUMMYFUNCTION("""COMPUTED_VALUE"""),37.40918882694653)</f>
        <v>37.40918883</v>
      </c>
      <c r="H285" s="31">
        <f>IFERROR(__xludf.DUMMYFUNCTION("""COMPUTED_VALUE"""),-3.254574331599381)</f>
        <v>-3.254574332</v>
      </c>
      <c r="I285" s="54">
        <f>IFERROR(__xludf.DUMMYFUNCTION("""COMPUTED_VALUE"""),28.0)</f>
        <v>28</v>
      </c>
      <c r="J285" s="55">
        <f>IFERROR(__xludf.DUMMYFUNCTION("""COMPUTED_VALUE"""),5.0)</f>
        <v>5</v>
      </c>
      <c r="K285" s="54">
        <f>IFERROR(__xludf.DUMMYFUNCTION("""COMPUTED_VALUE"""),23.0)</f>
        <v>23</v>
      </c>
      <c r="L285" s="56">
        <f>IFERROR(__xludf.DUMMYFUNCTION("""COMPUTED_VALUE"""),0.17857142857142858)</f>
        <v>0.1785714286</v>
      </c>
      <c r="M285" s="56">
        <f>IFERROR(__xludf.DUMMYFUNCTION("""COMPUTED_VALUE"""),0.2666666666666667)</f>
        <v>0.2666666667</v>
      </c>
      <c r="N285" s="31">
        <f>IFERROR(__xludf.DUMMYFUNCTION("""COMPUTED_VALUE"""),365.14285714285717)</f>
        <v>365.1428571</v>
      </c>
      <c r="O285" s="57">
        <f>IFERROR(__xludf.DUMMYFUNCTION("""COMPUTED_VALUE"""),0.7142857142857143)</f>
        <v>0.7142857143</v>
      </c>
      <c r="P285" s="57">
        <f>IFERROR(__xludf.DUMMYFUNCTION("""COMPUTED_VALUE"""),0.4642857142857143)</f>
        <v>0.4642857143</v>
      </c>
      <c r="Q285" s="57">
        <f>IFERROR(__xludf.DUMMYFUNCTION("""COMPUTED_VALUE"""),1.6785714285714286)</f>
        <v>1.678571429</v>
      </c>
      <c r="R285" s="57">
        <f>IFERROR(__xludf.DUMMYFUNCTION("""COMPUTED_VALUE"""),2.6785714285714284)</f>
        <v>2.678571429</v>
      </c>
      <c r="S285" s="31">
        <f>IFERROR(__xludf.DUMMYFUNCTION("""COMPUTED_VALUE"""),397.0119047619047)</f>
        <v>397.0119048</v>
      </c>
      <c r="T285" s="57">
        <f>IFERROR(__xludf.DUMMYFUNCTION("""COMPUTED_VALUE"""),1.0238095238095235)</f>
        <v>1.023809524</v>
      </c>
      <c r="U285" s="57">
        <f>IFERROR(__xludf.DUMMYFUNCTION("""COMPUTED_VALUE"""),0.75)</f>
        <v>0.75</v>
      </c>
      <c r="V285" s="57">
        <f>IFERROR(__xludf.DUMMYFUNCTION("""COMPUTED_VALUE"""),1.2023809523809523)</f>
        <v>1.202380952</v>
      </c>
      <c r="W285" s="57">
        <f>IFERROR(__xludf.DUMMYFUNCTION("""COMPUTED_VALUE"""),3.452380952380952)</f>
        <v>3.452380952</v>
      </c>
      <c r="X285" s="31">
        <f>IFERROR(__xludf.DUMMYFUNCTION("""COMPUTED_VALUE"""),377.93776278698624)</f>
        <v>377.9377628</v>
      </c>
      <c r="Y285" s="57">
        <f>IFERROR(__xludf.DUMMYFUNCTION("""COMPUTED_VALUE"""),0.904821510450199)</f>
        <v>0.9048215105</v>
      </c>
      <c r="Z285" s="57">
        <f>IFERROR(__xludf.DUMMYFUNCTION("""COMPUTED_VALUE"""),0.6797003177216089)</f>
        <v>0.6797003177</v>
      </c>
      <c r="AA285" s="57">
        <f>IFERROR(__xludf.DUMMYFUNCTION("""COMPUTED_VALUE"""),1.2986754345219558)</f>
        <v>1.298675435</v>
      </c>
      <c r="AB285" s="57">
        <f>IFERROR(__xludf.DUMMYFUNCTION("""COMPUTED_VALUE"""),2.994595743403525)</f>
        <v>2.994595743</v>
      </c>
      <c r="AC285" s="31">
        <f>IFERROR(__xludf.DUMMYFUNCTION("""COMPUTED_VALUE"""),358.92377632211935)</f>
        <v>358.9237763</v>
      </c>
      <c r="AD285" s="57">
        <f>IFERROR(__xludf.DUMMYFUNCTION("""COMPUTED_VALUE"""),0.7013721688952013)</f>
        <v>0.7013721689</v>
      </c>
      <c r="AE285" s="57">
        <f>IFERROR(__xludf.DUMMYFUNCTION("""COMPUTED_VALUE"""),0.5148653445975403)</f>
        <v>0.5148653446</v>
      </c>
      <c r="AF285" s="57">
        <f>IFERROR(__xludf.DUMMYFUNCTION("""COMPUTED_VALUE"""),1.6107091146234418)</f>
        <v>1.610709115</v>
      </c>
      <c r="AG285" s="57">
        <f>IFERROR(__xludf.DUMMYFUNCTION("""COMPUTED_VALUE"""),2.4462637661455804)</f>
        <v>2.446263766</v>
      </c>
      <c r="AH285" s="57">
        <f>IFERROR(__xludf.DUMMYFUNCTION("""COMPUTED_VALUE"""),1.0173270238167684)</f>
        <v>1.017327024</v>
      </c>
      <c r="AI285" s="57">
        <f>IFERROR(__xludf.DUMMYFUNCTION("""COMPUTED_VALUE"""),1.018411830356563)</f>
        <v>1.01841183</v>
      </c>
      <c r="AJ285" s="57">
        <f>IFERROR(__xludf.DUMMYFUNCTION("""COMPUTED_VALUE"""),0.901761439485963)</f>
        <v>0.9017614395</v>
      </c>
      <c r="AK285" s="57">
        <f>IFERROR(__xludf.DUMMYFUNCTION("""COMPUTED_VALUE"""),1.0421319487993659)</f>
        <v>1.042131949</v>
      </c>
      <c r="AL285" s="57">
        <f>IFERROR(__xludf.DUMMYFUNCTION("""COMPUTED_VALUE"""),1.0949642739433123)</f>
        <v>1.094964274</v>
      </c>
      <c r="AM285" s="57">
        <f>IFERROR(__xludf.DUMMYFUNCTION("""COMPUTED_VALUE"""),1.050469002711616)</f>
        <v>1.050469003</v>
      </c>
      <c r="AN285" s="57">
        <f>IFERROR(__xludf.DUMMYFUNCTION("""COMPUTED_VALUE"""),1.1315044038907975)</f>
        <v>1.131504404</v>
      </c>
      <c r="AO285" s="57">
        <f>IFERROR(__xludf.DUMMYFUNCTION("""COMPUTED_VALUE"""),1.1034274671432247)</f>
        <v>1.103427467</v>
      </c>
      <c r="AP285" s="35">
        <f>IFERROR(__xludf.DUMMYFUNCTION("""COMPUTED_VALUE"""),0.9258517720584669)</f>
        <v>0.9258517721</v>
      </c>
      <c r="AQ285" s="57">
        <f>IFERROR(__xludf.DUMMYFUNCTION("""COMPUTED_VALUE"""),1.1528704533778336)</f>
        <v>1.152870453</v>
      </c>
      <c r="AR285" s="36" t="b">
        <f>IFERROR(__xludf.DUMMYFUNCTION("""COMPUTED_VALUE"""),TRUE)</f>
        <v>1</v>
      </c>
      <c r="AS285" s="57"/>
      <c r="AT285" s="37"/>
      <c r="AU285" s="30"/>
      <c r="AV285" s="30"/>
      <c r="AW285" s="30"/>
      <c r="AX285" s="30"/>
      <c r="AY285" s="30"/>
      <c r="AZ285" s="30"/>
    </row>
    <row r="286">
      <c r="A286" s="30" t="str">
        <f>IFERROR(__xludf.DUMMYFUNCTION("""COMPUTED_VALUE"""),"Elite")</f>
        <v>Elite</v>
      </c>
      <c r="B286" s="30" t="str">
        <f>IFERROR(__xludf.DUMMYFUNCTION("""COMPUTED_VALUE"""),"RSC000344")</f>
        <v>RSC000344</v>
      </c>
      <c r="C286" s="30" t="str">
        <f>IFERROR(__xludf.DUMMYFUNCTION("""COMPUTED_VALUE"""),"Mezmer")</f>
        <v>Mezmer</v>
      </c>
      <c r="D286" s="31" t="str">
        <f>IFERROR(__xludf.DUMMYFUNCTION("""COMPUTED_VALUE"""),"Demons")</f>
        <v>Demons</v>
      </c>
      <c r="E286" s="31">
        <f>IFERROR(__xludf.DUMMYFUNCTION("""COMPUTED_VALUE"""),49.12788312310828)</f>
        <v>49.12788312</v>
      </c>
      <c r="F286" s="31">
        <f>IFERROR(__xludf.DUMMYFUNCTION("""COMPUTED_VALUE"""),-2.057249762127809)</f>
        <v>-2.057249762</v>
      </c>
      <c r="G286" s="31">
        <f>IFERROR(__xludf.DUMMYFUNCTION("""COMPUTED_VALUE"""),30.33060737409049)</f>
        <v>30.33060737</v>
      </c>
      <c r="H286" s="31">
        <f>IFERROR(__xludf.DUMMYFUNCTION("""COMPUTED_VALUE"""),-4.6359270006927655)</f>
        <v>-4.635927001</v>
      </c>
      <c r="I286" s="54">
        <f>IFERROR(__xludf.DUMMYFUNCTION("""COMPUTED_VALUE"""),24.0)</f>
        <v>24</v>
      </c>
      <c r="J286" s="55">
        <f>IFERROR(__xludf.DUMMYFUNCTION("""COMPUTED_VALUE"""),11.0)</f>
        <v>11</v>
      </c>
      <c r="K286" s="54">
        <f>IFERROR(__xludf.DUMMYFUNCTION("""COMPUTED_VALUE"""),13.0)</f>
        <v>13</v>
      </c>
      <c r="L286" s="56">
        <f>IFERROR(__xludf.DUMMYFUNCTION("""COMPUTED_VALUE"""),0.4583333333333333)</f>
        <v>0.4583333333</v>
      </c>
      <c r="M286" s="56">
        <f>IFERROR(__xludf.DUMMYFUNCTION("""COMPUTED_VALUE"""),0.29032258064516125)</f>
        <v>0.2903225806</v>
      </c>
      <c r="N286" s="31">
        <f>IFERROR(__xludf.DUMMYFUNCTION("""COMPUTED_VALUE"""),308.5416666666667)</f>
        <v>308.5416667</v>
      </c>
      <c r="O286" s="57">
        <f>IFERROR(__xludf.DUMMYFUNCTION("""COMPUTED_VALUE"""),0.75)</f>
        <v>0.75</v>
      </c>
      <c r="P286" s="57">
        <f>IFERROR(__xludf.DUMMYFUNCTION("""COMPUTED_VALUE"""),0.4583333333333333)</f>
        <v>0.4583333333</v>
      </c>
      <c r="Q286" s="57">
        <f>IFERROR(__xludf.DUMMYFUNCTION("""COMPUTED_VALUE"""),1.0416666666666667)</f>
        <v>1.041666667</v>
      </c>
      <c r="R286" s="57">
        <f>IFERROR(__xludf.DUMMYFUNCTION("""COMPUTED_VALUE"""),2.5833333333333335)</f>
        <v>2.583333333</v>
      </c>
      <c r="S286" s="31">
        <f>IFERROR(__xludf.DUMMYFUNCTION("""COMPUTED_VALUE"""),374.2083333333334)</f>
        <v>374.2083333</v>
      </c>
      <c r="T286" s="57">
        <f>IFERROR(__xludf.DUMMYFUNCTION("""COMPUTED_VALUE"""),0.9305555555555555)</f>
        <v>0.9305555556</v>
      </c>
      <c r="U286" s="57">
        <f>IFERROR(__xludf.DUMMYFUNCTION("""COMPUTED_VALUE"""),0.722222222222222)</f>
        <v>0.7222222222</v>
      </c>
      <c r="V286" s="57">
        <f>IFERROR(__xludf.DUMMYFUNCTION("""COMPUTED_VALUE"""),1.2083333333333333)</f>
        <v>1.208333333</v>
      </c>
      <c r="W286" s="57">
        <f>IFERROR(__xludf.DUMMYFUNCTION("""COMPUTED_VALUE"""),2.9166666666666674)</f>
        <v>2.916666667</v>
      </c>
      <c r="X286" s="31">
        <f>IFERROR(__xludf.DUMMYFUNCTION("""COMPUTED_VALUE"""),376.37619896571294)</f>
        <v>376.376199</v>
      </c>
      <c r="Y286" s="57">
        <f>IFERROR(__xludf.DUMMYFUNCTION("""COMPUTED_VALUE"""),0.9153937284450967)</f>
        <v>0.9153937284</v>
      </c>
      <c r="Z286" s="57">
        <f>IFERROR(__xludf.DUMMYFUNCTION("""COMPUTED_VALUE"""),0.671277059198892)</f>
        <v>0.6712770592</v>
      </c>
      <c r="AA286" s="57">
        <f>IFERROR(__xludf.DUMMYFUNCTION("""COMPUTED_VALUE"""),1.293916811972754)</f>
        <v>1.293916812</v>
      </c>
      <c r="AB286" s="57">
        <f>IFERROR(__xludf.DUMMYFUNCTION("""COMPUTED_VALUE"""),2.8462917255004805)</f>
        <v>2.846291726</v>
      </c>
      <c r="AC286" s="31">
        <f>IFERROR(__xludf.DUMMYFUNCTION("""COMPUTED_VALUE"""),353.76935803688957)</f>
        <v>353.769358</v>
      </c>
      <c r="AD286" s="57">
        <f>IFERROR(__xludf.DUMMYFUNCTION("""COMPUTED_VALUE"""),0.7220911321059477)</f>
        <v>0.7220911321</v>
      </c>
      <c r="AE286" s="57">
        <f>IFERROR(__xludf.DUMMYFUNCTION("""COMPUTED_VALUE"""),0.515512548714654)</f>
        <v>0.5155125487</v>
      </c>
      <c r="AF286" s="57">
        <f>IFERROR(__xludf.DUMMYFUNCTION("""COMPUTED_VALUE"""),1.5381233334377196)</f>
        <v>1.538123333</v>
      </c>
      <c r="AG286" s="57">
        <f>IFERROR(__xludf.DUMMYFUNCTION("""COMPUTED_VALUE"""),2.4004569004378045)</f>
        <v>2.4004569</v>
      </c>
      <c r="AH286" s="57">
        <f>IFERROR(__xludf.DUMMYFUNCTION("""COMPUTED_VALUE"""),0.8721548649063418)</f>
        <v>0.8721548649</v>
      </c>
      <c r="AI286" s="57">
        <f>IFERROR(__xludf.DUMMYFUNCTION("""COMPUTED_VALUE"""),1.0386500632027669)</f>
        <v>1.038650063</v>
      </c>
      <c r="AJ286" s="57">
        <f>IFERROR(__xludf.DUMMYFUNCTION("""COMPUTED_VALUE"""),0.8890827865899915)</f>
        <v>0.8890827866</v>
      </c>
      <c r="AK286" s="57">
        <f>IFERROR(__xludf.DUMMYFUNCTION("""COMPUTED_VALUE"""),0.6772322115018776)</f>
        <v>0.6772322115</v>
      </c>
      <c r="AL286" s="57">
        <f>IFERROR(__xludf.DUMMYFUNCTION("""COMPUTED_VALUE"""),1.0761840101616384)</f>
        <v>1.07618401</v>
      </c>
      <c r="AM286" s="57">
        <f>IFERROR(__xludf.DUMMYFUNCTION("""COMPUTED_VALUE"""),0.9942401627989845)</f>
        <v>0.9942401628</v>
      </c>
      <c r="AN286" s="57">
        <f>IFERROR(__xludf.DUMMYFUNCTION("""COMPUTED_VALUE"""),1.0165631756470659)</f>
        <v>1.016563176</v>
      </c>
      <c r="AO286" s="57">
        <f>IFERROR(__xludf.DUMMYFUNCTION("""COMPUTED_VALUE"""),1.0758929004428193)</f>
        <v>1.0758929</v>
      </c>
      <c r="AP286" s="35">
        <f>IFERROR(__xludf.DUMMYFUNCTION("""COMPUTED_VALUE"""),0.933857047186104)</f>
        <v>0.9338570472</v>
      </c>
      <c r="AQ286" s="57">
        <f>IFERROR(__xludf.DUMMYFUNCTION("""COMPUTED_VALUE"""),1.0247251328933307)</f>
        <v>1.024725133</v>
      </c>
      <c r="AR286" s="36" t="b">
        <f>IFERROR(__xludf.DUMMYFUNCTION("""COMPUTED_VALUE"""),TRUE)</f>
        <v>1</v>
      </c>
      <c r="AS286" s="57"/>
      <c r="AT286" s="37"/>
      <c r="AU286" s="30"/>
      <c r="AV286" s="30"/>
      <c r="AW286" s="30"/>
      <c r="AX286" s="30"/>
      <c r="AY286" s="30"/>
      <c r="AZ286" s="30"/>
    </row>
    <row r="287">
      <c r="A287" s="30" t="str">
        <f>IFERROR(__xludf.DUMMYFUNCTION("""COMPUTED_VALUE"""),"Elite")</f>
        <v>Elite</v>
      </c>
      <c r="B287" s="30" t="str">
        <f>IFERROR(__xludf.DUMMYFUNCTION("""COMPUTED_VALUE"""),"RSC000488")</f>
        <v>RSC000488</v>
      </c>
      <c r="C287" s="30" t="str">
        <f>IFERROR(__xludf.DUMMYFUNCTION("""COMPUTED_VALUE"""),"theblobofglob22")</f>
        <v>theblobofglob22</v>
      </c>
      <c r="D287" s="31"/>
      <c r="E287" s="31">
        <f>IFERROR(__xludf.DUMMYFUNCTION("""COMPUTED_VALUE"""),48.81286890486693)</f>
        <v>48.8128689</v>
      </c>
      <c r="F287" s="31">
        <f>IFERROR(__xludf.DUMMYFUNCTION("""COMPUTED_VALUE"""),-2.078728752519359)</f>
        <v>-2.078728753</v>
      </c>
      <c r="G287" s="31">
        <f>IFERROR(__xludf.DUMMYFUNCTION("""COMPUTED_VALUE"""),46.03386059625161)</f>
        <v>46.0338606</v>
      </c>
      <c r="H287" s="31">
        <f>IFERROR(__xludf.DUMMYFUNCTION("""COMPUTED_VALUE"""),-2.2884653639315453)</f>
        <v>-2.288465364</v>
      </c>
      <c r="I287" s="54">
        <f>IFERROR(__xludf.DUMMYFUNCTION("""COMPUTED_VALUE"""),4.0)</f>
        <v>4</v>
      </c>
      <c r="J287" s="55">
        <f>IFERROR(__xludf.DUMMYFUNCTION("""COMPUTED_VALUE"""),1.0)</f>
        <v>1</v>
      </c>
      <c r="K287" s="54">
        <f>IFERROR(__xludf.DUMMYFUNCTION("""COMPUTED_VALUE"""),3.0)</f>
        <v>3</v>
      </c>
      <c r="L287" s="56">
        <f>IFERROR(__xludf.DUMMYFUNCTION("""COMPUTED_VALUE"""),0.25)</f>
        <v>0.25</v>
      </c>
      <c r="M287" s="56">
        <f>IFERROR(__xludf.DUMMYFUNCTION("""COMPUTED_VALUE"""),0.4444444444444444)</f>
        <v>0.4444444444</v>
      </c>
      <c r="N287" s="31">
        <f>IFERROR(__xludf.DUMMYFUNCTION("""COMPUTED_VALUE"""),368.5)</f>
        <v>368.5</v>
      </c>
      <c r="O287" s="57">
        <f>IFERROR(__xludf.DUMMYFUNCTION("""COMPUTED_VALUE"""),1.0)</f>
        <v>1</v>
      </c>
      <c r="P287" s="57">
        <f>IFERROR(__xludf.DUMMYFUNCTION("""COMPUTED_VALUE"""),0.25)</f>
        <v>0.25</v>
      </c>
      <c r="Q287" s="57">
        <f>IFERROR(__xludf.DUMMYFUNCTION("""COMPUTED_VALUE"""),1.75)</f>
        <v>1.75</v>
      </c>
      <c r="R287" s="57">
        <f>IFERROR(__xludf.DUMMYFUNCTION("""COMPUTED_VALUE"""),2.25)</f>
        <v>2.25</v>
      </c>
      <c r="S287" s="31">
        <f>IFERROR(__xludf.DUMMYFUNCTION("""COMPUTED_VALUE"""),339.5833333333333)</f>
        <v>339.5833333</v>
      </c>
      <c r="T287" s="57">
        <f>IFERROR(__xludf.DUMMYFUNCTION("""COMPUTED_VALUE"""),0.9999999999999999)</f>
        <v>1</v>
      </c>
      <c r="U287" s="57">
        <f>IFERROR(__xludf.DUMMYFUNCTION("""COMPUTED_VALUE"""),0.6666666666666666)</f>
        <v>0.6666666667</v>
      </c>
      <c r="V287" s="57">
        <f>IFERROR(__xludf.DUMMYFUNCTION("""COMPUTED_VALUE"""),0.9166666666666666)</f>
        <v>0.9166666667</v>
      </c>
      <c r="W287" s="57">
        <f>IFERROR(__xludf.DUMMYFUNCTION("""COMPUTED_VALUE"""),3.0833333333333335)</f>
        <v>3.083333333</v>
      </c>
      <c r="X287" s="31">
        <f>IFERROR(__xludf.DUMMYFUNCTION("""COMPUTED_VALUE"""),379.0912698412699)</f>
        <v>379.0912698</v>
      </c>
      <c r="Y287" s="57">
        <f>IFERROR(__xludf.DUMMYFUNCTION("""COMPUTED_VALUE"""),0.8035714285714285)</f>
        <v>0.8035714286</v>
      </c>
      <c r="Z287" s="57">
        <f>IFERROR(__xludf.DUMMYFUNCTION("""COMPUTED_VALUE"""),0.6231812169312169)</f>
        <v>0.6231812169</v>
      </c>
      <c r="AA287" s="57">
        <f>IFERROR(__xludf.DUMMYFUNCTION("""COMPUTED_VALUE"""),1.5540674603174605)</f>
        <v>1.55406746</v>
      </c>
      <c r="AB287" s="57">
        <f>IFERROR(__xludf.DUMMYFUNCTION("""COMPUTED_VALUE"""),2.7273478835978837)</f>
        <v>2.727347884</v>
      </c>
      <c r="AC287" s="31">
        <f>IFERROR(__xludf.DUMMYFUNCTION("""COMPUTED_VALUE"""),365.148864638448)</f>
        <v>365.1488646</v>
      </c>
      <c r="AD287" s="57">
        <f>IFERROR(__xludf.DUMMYFUNCTION("""COMPUTED_VALUE"""),0.771880511463845)</f>
        <v>0.7718805115</v>
      </c>
      <c r="AE287" s="57">
        <f>IFERROR(__xludf.DUMMYFUNCTION("""COMPUTED_VALUE"""),0.5389660493827162)</f>
        <v>0.5389660494</v>
      </c>
      <c r="AF287" s="57">
        <f>IFERROR(__xludf.DUMMYFUNCTION("""COMPUTED_VALUE"""),1.5432649911816576)</f>
        <v>1.543264991</v>
      </c>
      <c r="AG287" s="57">
        <f>IFERROR(__xludf.DUMMYFUNCTION("""COMPUTED_VALUE"""),2.6633597883597884)</f>
        <v>2.663359788</v>
      </c>
      <c r="AH287" s="57">
        <f>IFERROR(__xludf.DUMMYFUNCTION("""COMPUTED_VALUE"""),1.009177449763866)</f>
        <v>1.00917745</v>
      </c>
      <c r="AI287" s="57">
        <f>IFERROR(__xludf.DUMMYFUNCTION("""COMPUTED_VALUE"""),1.2955373081042483)</f>
        <v>1.295537308</v>
      </c>
      <c r="AJ287" s="57">
        <f>IFERROR(__xludf.DUMMYFUNCTION("""COMPUTED_VALUE"""),0.4638511095204007)</f>
        <v>0.4638511095</v>
      </c>
      <c r="AK287" s="57">
        <f>IFERROR(__xludf.DUMMYFUNCTION("""COMPUTED_VALUE"""),1.133959501446377)</f>
        <v>1.133959501</v>
      </c>
      <c r="AL287" s="57">
        <f>IFERROR(__xludf.DUMMYFUNCTION("""COMPUTED_VALUE"""),0.8447976160913832)</f>
        <v>0.8447976161</v>
      </c>
      <c r="AM287" s="57">
        <f>IFERROR(__xludf.DUMMYFUNCTION("""COMPUTED_VALUE"""),0.8957825208571039)</f>
        <v>0.8957825209</v>
      </c>
      <c r="AN287" s="57">
        <f>IFERROR(__xludf.DUMMYFUNCTION("""COMPUTED_VALUE"""),1.2444444444444445)</f>
        <v>1.244444444</v>
      </c>
      <c r="AO287" s="57">
        <f>IFERROR(__xludf.DUMMYFUNCTION("""COMPUTED_VALUE"""),1.0697797824356594)</f>
        <v>1.069779782</v>
      </c>
      <c r="AP287" s="35">
        <f>IFERROR(__xludf.DUMMYFUNCTION("""COMPUTED_VALUE"""),0.5898499840408553)</f>
        <v>0.589849984</v>
      </c>
      <c r="AQ287" s="57">
        <f>IFERROR(__xludf.DUMMYFUNCTION("""COMPUTED_VALUE"""),1.1305244013337374)</f>
        <v>1.130524401</v>
      </c>
      <c r="AR287" s="36" t="b">
        <f>IFERROR(__xludf.DUMMYFUNCTION("""COMPUTED_VALUE"""),TRUE)</f>
        <v>1</v>
      </c>
      <c r="AS287" s="57"/>
      <c r="AT287" s="37"/>
      <c r="AU287" s="30"/>
      <c r="AV287" s="30"/>
      <c r="AW287" s="30"/>
      <c r="AX287" s="30"/>
      <c r="AY287" s="30"/>
      <c r="AZ287" s="30"/>
    </row>
    <row r="288">
      <c r="A288" s="30" t="str">
        <f>IFERROR(__xludf.DUMMYFUNCTION("""COMPUTED_VALUE"""),"Elite")</f>
        <v>Elite</v>
      </c>
      <c r="B288" s="30" t="str">
        <f>IFERROR(__xludf.DUMMYFUNCTION("""COMPUTED_VALUE"""),"RSC005845")</f>
        <v>RSC005845</v>
      </c>
      <c r="C288" s="30" t="str">
        <f>IFERROR(__xludf.DUMMYFUNCTION("""COMPUTED_VALUE"""),"Milk_shakes.")</f>
        <v>Milk_shakes.</v>
      </c>
      <c r="D288" s="31"/>
      <c r="E288" s="31">
        <f>IFERROR(__xludf.DUMMYFUNCTION("""COMPUTED_VALUE"""),46.794233978009665)</f>
        <v>46.79423398</v>
      </c>
      <c r="F288" s="31">
        <f>IFERROR(__xludf.DUMMYFUNCTION("""COMPUTED_VALUE"""),-2.2272546984884674)</f>
        <v>-2.227254698</v>
      </c>
      <c r="G288" s="31">
        <f>IFERROR(__xludf.DUMMYFUNCTION("""COMPUTED_VALUE"""),50.32380617955794)</f>
        <v>50.32380618</v>
      </c>
      <c r="H288" s="31">
        <f>IFERROR(__xludf.DUMMYFUNCTION("""COMPUTED_VALUE"""),2.02088403612955)</f>
        <v>2.020884036</v>
      </c>
      <c r="I288" s="54">
        <f>IFERROR(__xludf.DUMMYFUNCTION("""COMPUTED_VALUE"""),24.0)</f>
        <v>24</v>
      </c>
      <c r="J288" s="55">
        <f>IFERROR(__xludf.DUMMYFUNCTION("""COMPUTED_VALUE"""),10.0)</f>
        <v>10</v>
      </c>
      <c r="K288" s="54">
        <f>IFERROR(__xludf.DUMMYFUNCTION("""COMPUTED_VALUE"""),14.0)</f>
        <v>14</v>
      </c>
      <c r="L288" s="56">
        <f>IFERROR(__xludf.DUMMYFUNCTION("""COMPUTED_VALUE"""),0.4166666666666667)</f>
        <v>0.4166666667</v>
      </c>
      <c r="M288" s="56">
        <f>IFERROR(__xludf.DUMMYFUNCTION("""COMPUTED_VALUE"""),0.28571428571428575)</f>
        <v>0.2857142857</v>
      </c>
      <c r="N288" s="31">
        <f>IFERROR(__xludf.DUMMYFUNCTION("""COMPUTED_VALUE"""),332.375)</f>
        <v>332.375</v>
      </c>
      <c r="O288" s="57">
        <f>IFERROR(__xludf.DUMMYFUNCTION("""COMPUTED_VALUE"""),0.5833333333333334)</f>
        <v>0.5833333333</v>
      </c>
      <c r="P288" s="57">
        <f>IFERROR(__xludf.DUMMYFUNCTION("""COMPUTED_VALUE"""),0.5833333333333334)</f>
        <v>0.5833333333</v>
      </c>
      <c r="Q288" s="57">
        <f>IFERROR(__xludf.DUMMYFUNCTION("""COMPUTED_VALUE"""),1.4583333333333333)</f>
        <v>1.458333333</v>
      </c>
      <c r="R288" s="57">
        <f>IFERROR(__xludf.DUMMYFUNCTION("""COMPUTED_VALUE"""),2.0416666666666665)</f>
        <v>2.041666667</v>
      </c>
      <c r="S288" s="31">
        <f>IFERROR(__xludf.DUMMYFUNCTION("""COMPUTED_VALUE"""),329.15277777777777)</f>
        <v>329.1527778</v>
      </c>
      <c r="T288" s="57">
        <f>IFERROR(__xludf.DUMMYFUNCTION("""COMPUTED_VALUE"""),0.6805555555555555)</f>
        <v>0.6805555556</v>
      </c>
      <c r="U288" s="57">
        <f>IFERROR(__xludf.DUMMYFUNCTION("""COMPUTED_VALUE"""),0.513888888888889)</f>
        <v>0.5138888889</v>
      </c>
      <c r="V288" s="57">
        <f>IFERROR(__xludf.DUMMYFUNCTION("""COMPUTED_VALUE"""),1.1250000000000002)</f>
        <v>1.125</v>
      </c>
      <c r="W288" s="57">
        <f>IFERROR(__xludf.DUMMYFUNCTION("""COMPUTED_VALUE"""),2.6527777777777772)</f>
        <v>2.652777778</v>
      </c>
      <c r="X288" s="31">
        <f>IFERROR(__xludf.DUMMYFUNCTION("""COMPUTED_VALUE"""),365.72490411655207)</f>
        <v>365.7249041</v>
      </c>
      <c r="Y288" s="57">
        <f>IFERROR(__xludf.DUMMYFUNCTION("""COMPUTED_VALUE"""),0.8401125212451525)</f>
        <v>0.8401125212</v>
      </c>
      <c r="Z288" s="57">
        <f>IFERROR(__xludf.DUMMYFUNCTION("""COMPUTED_VALUE"""),0.6336254109573186)</f>
        <v>0.633625411</v>
      </c>
      <c r="AA288" s="57">
        <f>IFERROR(__xludf.DUMMYFUNCTION("""COMPUTED_VALUE"""),1.2909990160106712)</f>
        <v>1.290999016</v>
      </c>
      <c r="AB288" s="57">
        <f>IFERROR(__xludf.DUMMYFUNCTION("""COMPUTED_VALUE"""),2.8881238164884615)</f>
        <v>2.888123816</v>
      </c>
      <c r="AC288" s="31">
        <f>IFERROR(__xludf.DUMMYFUNCTION("""COMPUTED_VALUE"""),348.7568051879509)</f>
        <v>348.7568052</v>
      </c>
      <c r="AD288" s="57">
        <f>IFERROR(__xludf.DUMMYFUNCTION("""COMPUTED_VALUE"""),0.7134956780296645)</f>
        <v>0.713495678</v>
      </c>
      <c r="AE288" s="57">
        <f>IFERROR(__xludf.DUMMYFUNCTION("""COMPUTED_VALUE"""),0.5254039625860939)</f>
        <v>0.5254039626</v>
      </c>
      <c r="AF288" s="57">
        <f>IFERROR(__xludf.DUMMYFUNCTION("""COMPUTED_VALUE"""),1.4794150882729011)</f>
        <v>1.479415088</v>
      </c>
      <c r="AG288" s="57">
        <f>IFERROR(__xludf.DUMMYFUNCTION("""COMPUTED_VALUE"""),2.3982228067684095)</f>
        <v>2.398222807</v>
      </c>
      <c r="AH288" s="57">
        <f>IFERROR(__xludf.DUMMYFUNCTION("""COMPUTED_VALUE"""),0.9530279984669476)</f>
        <v>0.9530279985</v>
      </c>
      <c r="AI288" s="57">
        <f>IFERROR(__xludf.DUMMYFUNCTION("""COMPUTED_VALUE"""),0.8175709416267558)</f>
        <v>0.8175709416</v>
      </c>
      <c r="AJ288" s="57">
        <f>IFERROR(__xludf.DUMMYFUNCTION("""COMPUTED_VALUE"""),1.1102568211745205)</f>
        <v>1.110256821</v>
      </c>
      <c r="AK288" s="57">
        <f>IFERROR(__xludf.DUMMYFUNCTION("""COMPUTED_VALUE"""),0.9857499392113277)</f>
        <v>0.9857499392</v>
      </c>
      <c r="AL288" s="57">
        <f>IFERROR(__xludf.DUMMYFUNCTION("""COMPUTED_VALUE"""),0.8513248480935763)</f>
        <v>0.8513248481</v>
      </c>
      <c r="AM288" s="57">
        <f>IFERROR(__xludf.DUMMYFUNCTION("""COMPUTED_VALUE"""),0.9000009954828802)</f>
        <v>0.9000009955</v>
      </c>
      <c r="AN288" s="57">
        <f>IFERROR(__xludf.DUMMYFUNCTION("""COMPUTED_VALUE"""),0.810076672285382)</f>
        <v>0.8100766723</v>
      </c>
      <c r="AO288" s="57">
        <f>IFERROR(__xludf.DUMMYFUNCTION("""COMPUTED_VALUE"""),0.8110294820917541)</f>
        <v>0.8110294821</v>
      </c>
      <c r="AP288" s="35">
        <f>IFERROR(__xludf.DUMMYFUNCTION("""COMPUTED_VALUE"""),0.8714181699970414)</f>
        <v>0.87141817</v>
      </c>
      <c r="AQ288" s="57">
        <f>IFERROR(__xludf.DUMMYFUNCTION("""COMPUTED_VALUE"""),0.9185124829596707)</f>
        <v>0.918512483</v>
      </c>
      <c r="AR288" s="36" t="b">
        <f>IFERROR(__xludf.DUMMYFUNCTION("""COMPUTED_VALUE"""),TRUE)</f>
        <v>1</v>
      </c>
      <c r="AS288" s="57"/>
      <c r="AT288" s="37"/>
      <c r="AU288" s="30"/>
      <c r="AV288" s="30"/>
      <c r="AW288" s="30"/>
      <c r="AX288" s="30"/>
      <c r="AY288" s="30"/>
      <c r="AZ288" s="30"/>
    </row>
    <row r="289">
      <c r="A289" s="30" t="str">
        <f>IFERROR(__xludf.DUMMYFUNCTION("""COMPUTED_VALUE"""),"Elite")</f>
        <v>Elite</v>
      </c>
      <c r="B289" s="30" t="str">
        <f>IFERROR(__xludf.DUMMYFUNCTION("""COMPUTED_VALUE"""),"RSC007839")</f>
        <v>RSC007839</v>
      </c>
      <c r="C289" s="30" t="str">
        <f>IFERROR(__xludf.DUMMYFUNCTION("""COMPUTED_VALUE"""),"DoxxyWoxxyy")</f>
        <v>DoxxyWoxxyy</v>
      </c>
      <c r="D289" s="31" t="str">
        <f>IFERROR(__xludf.DUMMYFUNCTION("""COMPUTED_VALUE"""),"Pylons")</f>
        <v>Pylons</v>
      </c>
      <c r="E289" s="31">
        <f>IFERROR(__xludf.DUMMYFUNCTION("""COMPUTED_VALUE"""),45.82846627940991)</f>
        <v>45.82846628</v>
      </c>
      <c r="F289" s="31">
        <f>IFERROR(__xludf.DUMMYFUNCTION("""COMPUTED_VALUE"""),-2.305530927746613)</f>
        <v>-2.305530928</v>
      </c>
      <c r="G289" s="31">
        <f>IFERROR(__xludf.DUMMYFUNCTION("""COMPUTED_VALUE"""),49.91307194210584)</f>
        <v>49.91307194</v>
      </c>
      <c r="H289" s="31">
        <f>IFERROR(__xludf.DUMMYFUNCTION("""COMPUTED_VALUE"""),-2.005564109956634)</f>
        <v>-2.00556411</v>
      </c>
      <c r="I289" s="54">
        <f>IFERROR(__xludf.DUMMYFUNCTION("""COMPUTED_VALUE"""),28.0)</f>
        <v>28</v>
      </c>
      <c r="J289" s="55">
        <f>IFERROR(__xludf.DUMMYFUNCTION("""COMPUTED_VALUE"""),9.0)</f>
        <v>9</v>
      </c>
      <c r="K289" s="54">
        <f>IFERROR(__xludf.DUMMYFUNCTION("""COMPUTED_VALUE"""),19.0)</f>
        <v>19</v>
      </c>
      <c r="L289" s="56">
        <f>IFERROR(__xludf.DUMMYFUNCTION("""COMPUTED_VALUE"""),0.32142857142857145)</f>
        <v>0.3214285714</v>
      </c>
      <c r="M289" s="56">
        <f>IFERROR(__xludf.DUMMYFUNCTION("""COMPUTED_VALUE"""),0.2571428571428572)</f>
        <v>0.2571428571</v>
      </c>
      <c r="N289" s="31">
        <f>IFERROR(__xludf.DUMMYFUNCTION("""COMPUTED_VALUE"""),347.82142857142856)</f>
        <v>347.8214286</v>
      </c>
      <c r="O289" s="57">
        <f>IFERROR(__xludf.DUMMYFUNCTION("""COMPUTED_VALUE"""),0.6428571428571429)</f>
        <v>0.6428571429</v>
      </c>
      <c r="P289" s="57">
        <f>IFERROR(__xludf.DUMMYFUNCTION("""COMPUTED_VALUE"""),0.6428571428571429)</f>
        <v>0.6428571429</v>
      </c>
      <c r="Q289" s="57">
        <f>IFERROR(__xludf.DUMMYFUNCTION("""COMPUTED_VALUE"""),1.6428571428571428)</f>
        <v>1.642857143</v>
      </c>
      <c r="R289" s="57">
        <f>IFERROR(__xludf.DUMMYFUNCTION("""COMPUTED_VALUE"""),2.5)</f>
        <v>2.5</v>
      </c>
      <c r="S289" s="31">
        <f>IFERROR(__xludf.DUMMYFUNCTION("""COMPUTED_VALUE"""),372.797619047619)</f>
        <v>372.797619</v>
      </c>
      <c r="T289" s="57">
        <f>IFERROR(__xludf.DUMMYFUNCTION("""COMPUTED_VALUE"""),0.892857142857143)</f>
        <v>0.8928571429</v>
      </c>
      <c r="U289" s="57">
        <f>IFERROR(__xludf.DUMMYFUNCTION("""COMPUTED_VALUE"""),0.6428571428571429)</f>
        <v>0.6428571429</v>
      </c>
      <c r="V289" s="57">
        <f>IFERROR(__xludf.DUMMYFUNCTION("""COMPUTED_VALUE"""),1.476190476190476)</f>
        <v>1.476190476</v>
      </c>
      <c r="W289" s="57">
        <f>IFERROR(__xludf.DUMMYFUNCTION("""COMPUTED_VALUE"""),2.488095238095238)</f>
        <v>2.488095238</v>
      </c>
      <c r="X289" s="31">
        <f>IFERROR(__xludf.DUMMYFUNCTION("""COMPUTED_VALUE"""),366.5043996611821)</f>
        <v>366.5043997</v>
      </c>
      <c r="Y289" s="57">
        <f>IFERROR(__xludf.DUMMYFUNCTION("""COMPUTED_VALUE"""),0.7890792082666673)</f>
        <v>0.7890792083</v>
      </c>
      <c r="Z289" s="57">
        <f>IFERROR(__xludf.DUMMYFUNCTION("""COMPUTED_VALUE"""),0.5693578123133779)</f>
        <v>0.5693578123</v>
      </c>
      <c r="AA289" s="57">
        <f>IFERROR(__xludf.DUMMYFUNCTION("""COMPUTED_VALUE"""),1.548348357700054)</f>
        <v>1.548348358</v>
      </c>
      <c r="AB289" s="57">
        <f>IFERROR(__xludf.DUMMYFUNCTION("""COMPUTED_VALUE"""),2.4989930998720133)</f>
        <v>2.4989931</v>
      </c>
      <c r="AC289" s="31">
        <f>IFERROR(__xludf.DUMMYFUNCTION("""COMPUTED_VALUE"""),360.48695421035484)</f>
        <v>360.4869542</v>
      </c>
      <c r="AD289" s="57">
        <f>IFERROR(__xludf.DUMMYFUNCTION("""COMPUTED_VALUE"""),0.7850675363867149)</f>
        <v>0.7850675364</v>
      </c>
      <c r="AE289" s="57">
        <f>IFERROR(__xludf.DUMMYFUNCTION("""COMPUTED_VALUE"""),0.5939615111583106)</f>
        <v>0.5939615112</v>
      </c>
      <c r="AF289" s="57">
        <f>IFERROR(__xludf.DUMMYFUNCTION("""COMPUTED_VALUE"""),1.335642679960881)</f>
        <v>1.33564268</v>
      </c>
      <c r="AG289" s="57">
        <f>IFERROR(__xludf.DUMMYFUNCTION("""COMPUTED_VALUE"""),2.796390259896898)</f>
        <v>2.79639026</v>
      </c>
      <c r="AH289" s="57">
        <f>IFERROR(__xludf.DUMMYFUNCTION("""COMPUTED_VALUE"""),0.9648655090260615)</f>
        <v>0.964865509</v>
      </c>
      <c r="AI289" s="57">
        <f>IFERROR(__xludf.DUMMYFUNCTION("""COMPUTED_VALUE"""),0.8188558475056841)</f>
        <v>0.8188558475</v>
      </c>
      <c r="AJ289" s="57">
        <f>IFERROR(__xludf.DUMMYFUNCTION("""COMPUTED_VALUE"""),1.0823212123685906)</f>
        <v>1.082321212</v>
      </c>
      <c r="AK289" s="57">
        <f>IFERROR(__xludf.DUMMYFUNCTION("""COMPUTED_VALUE"""),1.2300124632923977)</f>
        <v>1.230012463</v>
      </c>
      <c r="AL289" s="57">
        <f>IFERROR(__xludf.DUMMYFUNCTION("""COMPUTED_VALUE"""),0.8940096938015276)</f>
        <v>0.8940096938</v>
      </c>
      <c r="AM289" s="57">
        <f>IFERROR(__xludf.DUMMYFUNCTION("""COMPUTED_VALUE"""),1.017170924529841)</f>
        <v>1.017170925</v>
      </c>
      <c r="AN289" s="57">
        <f>IFERROR(__xludf.DUMMYFUNCTION("""COMPUTED_VALUE"""),1.1315177659013975)</f>
        <v>1.131517766</v>
      </c>
      <c r="AO289" s="57">
        <f>IFERROR(__xludf.DUMMYFUNCTION("""COMPUTED_VALUE"""),1.1290916343891502)</f>
        <v>1.129091634</v>
      </c>
      <c r="AP289" s="35">
        <f>IFERROR(__xludf.DUMMYFUNCTION("""COMPUTED_VALUE"""),0.9533968688953417)</f>
        <v>0.9533968689</v>
      </c>
      <c r="AQ289" s="57">
        <f>IFERROR(__xludf.DUMMYFUNCTION("""COMPUTED_VALUE"""),0.9956390988925367)</f>
        <v>0.9956390989</v>
      </c>
      <c r="AR289" s="36" t="b">
        <f>IFERROR(__xludf.DUMMYFUNCTION("""COMPUTED_VALUE"""),TRUE)</f>
        <v>1</v>
      </c>
      <c r="AS289" s="57"/>
      <c r="AT289" s="37"/>
      <c r="AU289" s="30"/>
      <c r="AV289" s="30"/>
      <c r="AW289" s="30"/>
      <c r="AX289" s="30"/>
      <c r="AY289" s="30"/>
      <c r="AZ289" s="30"/>
    </row>
    <row r="290">
      <c r="A290" s="30" t="str">
        <f>IFERROR(__xludf.DUMMYFUNCTION("""COMPUTED_VALUE"""),"Elite")</f>
        <v>Elite</v>
      </c>
      <c r="B290" s="30" t="str">
        <f>IFERROR(__xludf.DUMMYFUNCTION("""COMPUTED_VALUE"""),"RSC003986")</f>
        <v>RSC003986</v>
      </c>
      <c r="C290" s="30" t="str">
        <f>IFERROR(__xludf.DUMMYFUNCTION("""COMPUTED_VALUE"""),"Reprise")</f>
        <v>Reprise</v>
      </c>
      <c r="D290" s="31"/>
      <c r="E290" s="31">
        <f>IFERROR(__xludf.DUMMYFUNCTION("""COMPUTED_VALUE"""),44.9089835117599)</f>
        <v>44.90898351</v>
      </c>
      <c r="F290" s="31">
        <f>IFERROR(__xludf.DUMMYFUNCTION("""COMPUTED_VALUE"""),-2.3848296678489325)</f>
        <v>-2.384829668</v>
      </c>
      <c r="G290" s="31">
        <f>IFERROR(__xludf.DUMMYFUNCTION("""COMPUTED_VALUE"""),49.24658963815844)</f>
        <v>49.24658964</v>
      </c>
      <c r="H290" s="31">
        <f>IFERROR(__xludf.DUMMYFUNCTION("""COMPUTED_VALUE"""),-2.049267969011491)</f>
        <v>-2.049267969</v>
      </c>
      <c r="I290" s="54">
        <f>IFERROR(__xludf.DUMMYFUNCTION("""COMPUTED_VALUE"""),4.0)</f>
        <v>4</v>
      </c>
      <c r="J290" s="55">
        <f>IFERROR(__xludf.DUMMYFUNCTION("""COMPUTED_VALUE"""),2.0)</f>
        <v>2</v>
      </c>
      <c r="K290" s="54">
        <f>IFERROR(__xludf.DUMMYFUNCTION("""COMPUTED_VALUE"""),2.0)</f>
        <v>2</v>
      </c>
      <c r="L290" s="56">
        <f>IFERROR(__xludf.DUMMYFUNCTION("""COMPUTED_VALUE"""),0.5)</f>
        <v>0.5</v>
      </c>
      <c r="M290" s="56">
        <f>IFERROR(__xludf.DUMMYFUNCTION("""COMPUTED_VALUE"""),0.2)</f>
        <v>0.2</v>
      </c>
      <c r="N290" s="31">
        <f>IFERROR(__xludf.DUMMYFUNCTION("""COMPUTED_VALUE"""),369.75)</f>
        <v>369.75</v>
      </c>
      <c r="O290" s="57">
        <f>IFERROR(__xludf.DUMMYFUNCTION("""COMPUTED_VALUE"""),0.5)</f>
        <v>0.5</v>
      </c>
      <c r="P290" s="57">
        <f>IFERROR(__xludf.DUMMYFUNCTION("""COMPUTED_VALUE"""),0.5)</f>
        <v>0.5</v>
      </c>
      <c r="Q290" s="57">
        <f>IFERROR(__xludf.DUMMYFUNCTION("""COMPUTED_VALUE"""),1.5)</f>
        <v>1.5</v>
      </c>
      <c r="R290" s="57">
        <f>IFERROR(__xludf.DUMMYFUNCTION("""COMPUTED_VALUE"""),2.5)</f>
        <v>2.5</v>
      </c>
      <c r="S290" s="31">
        <f>IFERROR(__xludf.DUMMYFUNCTION("""COMPUTED_VALUE"""),362.5833333333333)</f>
        <v>362.5833333</v>
      </c>
      <c r="T290" s="57">
        <f>IFERROR(__xludf.DUMMYFUNCTION("""COMPUTED_VALUE"""),0.8333333333333333)</f>
        <v>0.8333333333</v>
      </c>
      <c r="U290" s="57">
        <f>IFERROR(__xludf.DUMMYFUNCTION("""COMPUTED_VALUE"""),0.49999999999999994)</f>
        <v>0.5</v>
      </c>
      <c r="V290" s="57">
        <f>IFERROR(__xludf.DUMMYFUNCTION("""COMPUTED_VALUE"""),1.25)</f>
        <v>1.25</v>
      </c>
      <c r="W290" s="57">
        <f>IFERROR(__xludf.DUMMYFUNCTION("""COMPUTED_VALUE"""),3.0000000000000004)</f>
        <v>3</v>
      </c>
      <c r="X290" s="31">
        <f>IFERROR(__xludf.DUMMYFUNCTION("""COMPUTED_VALUE"""),387.2916666666667)</f>
        <v>387.2916667</v>
      </c>
      <c r="Y290" s="57">
        <f>IFERROR(__xludf.DUMMYFUNCTION("""COMPUTED_VALUE"""),0.8472222222222223)</f>
        <v>0.8472222222</v>
      </c>
      <c r="Z290" s="57">
        <f>IFERROR(__xludf.DUMMYFUNCTION("""COMPUTED_VALUE"""),0.6064814814814815)</f>
        <v>0.6064814815</v>
      </c>
      <c r="AA290" s="57">
        <f>IFERROR(__xludf.DUMMYFUNCTION("""COMPUTED_VALUE"""),1.5509259259259263)</f>
        <v>1.550925926</v>
      </c>
      <c r="AB290" s="57">
        <f>IFERROR(__xludf.DUMMYFUNCTION("""COMPUTED_VALUE"""),2.7962962962962963)</f>
        <v>2.796296296</v>
      </c>
      <c r="AC290" s="31">
        <f>IFERROR(__xludf.DUMMYFUNCTION("""COMPUTED_VALUE"""),353.1111111111111)</f>
        <v>353.1111111</v>
      </c>
      <c r="AD290" s="57">
        <f>IFERROR(__xludf.DUMMYFUNCTION("""COMPUTED_VALUE"""),0.6882716049382717)</f>
        <v>0.6882716049</v>
      </c>
      <c r="AE290" s="57">
        <f>IFERROR(__xludf.DUMMYFUNCTION("""COMPUTED_VALUE"""),0.5524691358024691)</f>
        <v>0.5524691358</v>
      </c>
      <c r="AF290" s="57">
        <f>IFERROR(__xludf.DUMMYFUNCTION("""COMPUTED_VALUE"""),1.405864197530864)</f>
        <v>1.405864198</v>
      </c>
      <c r="AG290" s="57">
        <f>IFERROR(__xludf.DUMMYFUNCTION("""COMPUTED_VALUE"""),2.4645061728395063)</f>
        <v>2.464506173</v>
      </c>
      <c r="AH290" s="57">
        <f>IFERROR(__xludf.DUMMYFUNCTION("""COMPUTED_VALUE"""),1.0471208307111393)</f>
        <v>1.047120831</v>
      </c>
      <c r="AI290" s="57">
        <f>IFERROR(__xludf.DUMMYFUNCTION("""COMPUTED_VALUE"""),0.726457399103139)</f>
        <v>0.7264573991</v>
      </c>
      <c r="AJ290" s="57">
        <f>IFERROR(__xludf.DUMMYFUNCTION("""COMPUTED_VALUE"""),0.9050279329608938)</f>
        <v>0.905027933</v>
      </c>
      <c r="AK290" s="57">
        <f>IFERROR(__xludf.DUMMYFUNCTION("""COMPUTED_VALUE"""),1.0669593852908894)</f>
        <v>1.066959385</v>
      </c>
      <c r="AL290" s="57">
        <f>IFERROR(__xludf.DUMMYFUNCTION("""COMPUTED_VALUE"""),1.0144020037570445)</f>
        <v>1.014402004</v>
      </c>
      <c r="AM290" s="57">
        <f>IFERROR(__xludf.DUMMYFUNCTION("""COMPUTED_VALUE"""),0.9362022592791822)</f>
        <v>0.9362022593</v>
      </c>
      <c r="AN290" s="57">
        <f>IFERROR(__xludf.DUMMYFUNCTION("""COMPUTED_VALUE"""),0.9836065573770489)</f>
        <v>0.9836065574</v>
      </c>
      <c r="AO290" s="57">
        <f>IFERROR(__xludf.DUMMYFUNCTION("""COMPUTED_VALUE"""),0.8244274809160304)</f>
        <v>0.8244274809</v>
      </c>
      <c r="AP290" s="35">
        <f>IFERROR(__xludf.DUMMYFUNCTION("""COMPUTED_VALUE"""),0.8059701492537311)</f>
        <v>0.8059701493</v>
      </c>
      <c r="AQ290" s="57">
        <f>IFERROR(__xludf.DUMMYFUNCTION("""COMPUTED_VALUE"""),1.0728476821192054)</f>
        <v>1.072847682</v>
      </c>
      <c r="AR290" s="36" t="b">
        <f>IFERROR(__xludf.DUMMYFUNCTION("""COMPUTED_VALUE"""),TRUE)</f>
        <v>1</v>
      </c>
      <c r="AS290" s="57"/>
      <c r="AT290" s="37"/>
      <c r="AU290" s="30"/>
      <c r="AV290" s="30"/>
      <c r="AW290" s="30"/>
      <c r="AX290" s="30"/>
      <c r="AY290" s="30"/>
      <c r="AZ290" s="30"/>
    </row>
    <row r="291">
      <c r="A291" s="30" t="str">
        <f>IFERROR(__xludf.DUMMYFUNCTION("""COMPUTED_VALUE"""),"Elite")</f>
        <v>Elite</v>
      </c>
      <c r="B291" s="30" t="str">
        <f>IFERROR(__xludf.DUMMYFUNCTION("""COMPUTED_VALUE"""),"RSC006185")</f>
        <v>RSC006185</v>
      </c>
      <c r="C291" s="30" t="str">
        <f>IFERROR(__xludf.DUMMYFUNCTION("""COMPUTED_VALUE"""),"sandro")</f>
        <v>sandro</v>
      </c>
      <c r="D291" s="31" t="str">
        <f>IFERROR(__xludf.DUMMYFUNCTION("""COMPUTED_VALUE"""),"Summoned")</f>
        <v>Summoned</v>
      </c>
      <c r="E291" s="31">
        <f>IFERROR(__xludf.DUMMYFUNCTION("""COMPUTED_VALUE"""),44.78934631956664)</f>
        <v>44.78934632</v>
      </c>
      <c r="F291" s="31">
        <f>IFERROR(__xludf.DUMMYFUNCTION("""COMPUTED_VALUE"""),-2.395507248940935)</f>
        <v>-2.395507249</v>
      </c>
      <c r="G291" s="31">
        <f>IFERROR(__xludf.DUMMYFUNCTION("""COMPUTED_VALUE"""),57.30800501419863)</f>
        <v>57.30800501</v>
      </c>
      <c r="H291" s="31">
        <f>IFERROR(__xludf.DUMMYFUNCTION("""COMPUTED_VALUE"""),2.597261551998821)</f>
        <v>2.597261552</v>
      </c>
      <c r="I291" s="54">
        <f>IFERROR(__xludf.DUMMYFUNCTION("""COMPUTED_VALUE"""),16.0)</f>
        <v>16</v>
      </c>
      <c r="J291" s="55">
        <f>IFERROR(__xludf.DUMMYFUNCTION("""COMPUTED_VALUE"""),6.0)</f>
        <v>6</v>
      </c>
      <c r="K291" s="54">
        <f>IFERROR(__xludf.DUMMYFUNCTION("""COMPUTED_VALUE"""),10.0)</f>
        <v>10</v>
      </c>
      <c r="L291" s="56">
        <f>IFERROR(__xludf.DUMMYFUNCTION("""COMPUTED_VALUE"""),0.375)</f>
        <v>0.375</v>
      </c>
      <c r="M291" s="56">
        <f>IFERROR(__xludf.DUMMYFUNCTION("""COMPUTED_VALUE"""),0.2926829268292683)</f>
        <v>0.2926829268</v>
      </c>
      <c r="N291" s="31">
        <f>IFERROR(__xludf.DUMMYFUNCTION("""COMPUTED_VALUE"""),356.4375)</f>
        <v>356.4375</v>
      </c>
      <c r="O291" s="57">
        <f>IFERROR(__xludf.DUMMYFUNCTION("""COMPUTED_VALUE"""),0.75)</f>
        <v>0.75</v>
      </c>
      <c r="P291" s="57">
        <f>IFERROR(__xludf.DUMMYFUNCTION("""COMPUTED_VALUE"""),0.5)</f>
        <v>0.5</v>
      </c>
      <c r="Q291" s="57">
        <f>IFERROR(__xludf.DUMMYFUNCTION("""COMPUTED_VALUE"""),1.1875)</f>
        <v>1.1875</v>
      </c>
      <c r="R291" s="57">
        <f>IFERROR(__xludf.DUMMYFUNCTION("""COMPUTED_VALUE"""),2.5625)</f>
        <v>2.5625</v>
      </c>
      <c r="S291" s="31">
        <f>IFERROR(__xludf.DUMMYFUNCTION("""COMPUTED_VALUE"""),355.4166666666667)</f>
        <v>355.4166667</v>
      </c>
      <c r="T291" s="57">
        <f>IFERROR(__xludf.DUMMYFUNCTION("""COMPUTED_VALUE"""),0.8541666666666666)</f>
        <v>0.8541666667</v>
      </c>
      <c r="U291" s="57">
        <f>IFERROR(__xludf.DUMMYFUNCTION("""COMPUTED_VALUE"""),0.6666666666666666)</f>
        <v>0.6666666667</v>
      </c>
      <c r="V291" s="57">
        <f>IFERROR(__xludf.DUMMYFUNCTION("""COMPUTED_VALUE"""),1.1458333333333333)</f>
        <v>1.145833333</v>
      </c>
      <c r="W291" s="57">
        <f>IFERROR(__xludf.DUMMYFUNCTION("""COMPUTED_VALUE"""),2.645833333333333)</f>
        <v>2.645833333</v>
      </c>
      <c r="X291" s="31">
        <f>IFERROR(__xludf.DUMMYFUNCTION("""COMPUTED_VALUE"""),355.4363522091468)</f>
        <v>355.4363522</v>
      </c>
      <c r="Y291" s="57">
        <f>IFERROR(__xludf.DUMMYFUNCTION("""COMPUTED_VALUE"""),0.7482817536337649)</f>
        <v>0.7482817536</v>
      </c>
      <c r="Z291" s="57">
        <f>IFERROR(__xludf.DUMMYFUNCTION("""COMPUTED_VALUE"""),0.587725209815727)</f>
        <v>0.5877252098</v>
      </c>
      <c r="AA291" s="57">
        <f>IFERROR(__xludf.DUMMYFUNCTION("""COMPUTED_VALUE"""),1.40290746822356)</f>
        <v>1.402907468</v>
      </c>
      <c r="AB291" s="57">
        <f>IFERROR(__xludf.DUMMYFUNCTION("""COMPUTED_VALUE"""),2.57135825275193)</f>
        <v>2.571358253</v>
      </c>
      <c r="AC291" s="31">
        <f>IFERROR(__xludf.DUMMYFUNCTION("""COMPUTED_VALUE"""),373.87023795586776)</f>
        <v>373.870238</v>
      </c>
      <c r="AD291" s="57">
        <f>IFERROR(__xludf.DUMMYFUNCTION("""COMPUTED_VALUE"""),0.8826245970929877)</f>
        <v>0.8826245971</v>
      </c>
      <c r="AE291" s="57">
        <f>IFERROR(__xludf.DUMMYFUNCTION("""COMPUTED_VALUE"""),0.7007285775101867)</f>
        <v>0.7007285775</v>
      </c>
      <c r="AF291" s="57">
        <f>IFERROR(__xludf.DUMMYFUNCTION("""COMPUTED_VALUE"""),1.3674832375478927)</f>
        <v>1.367483238</v>
      </c>
      <c r="AG291" s="57">
        <f>IFERROR(__xludf.DUMMYFUNCTION("""COMPUTED_VALUE"""),2.743639010521195)</f>
        <v>2.743639011</v>
      </c>
      <c r="AH291" s="57">
        <f>IFERROR(__xludf.DUMMYFUNCTION("""COMPUTED_VALUE"""),0.9533722233382869)</f>
        <v>0.9533722233</v>
      </c>
      <c r="AI291" s="57">
        <f>IFERROR(__xludf.DUMMYFUNCTION("""COMPUTED_VALUE"""),0.8497383853454797)</f>
        <v>0.8497383853</v>
      </c>
      <c r="AJ291" s="57">
        <f>IFERROR(__xludf.DUMMYFUNCTION("""COMPUTED_VALUE"""),0.7135430408398484)</f>
        <v>0.7135430408</v>
      </c>
      <c r="AK291" s="57">
        <f>IFERROR(__xludf.DUMMYFUNCTION("""COMPUTED_VALUE"""),0.8683835877428155)</f>
        <v>0.8683835877</v>
      </c>
      <c r="AL291" s="57">
        <f>IFERROR(__xludf.DUMMYFUNCTION("""COMPUTED_VALUE"""),0.9339785555510144)</f>
        <v>0.9339785556</v>
      </c>
      <c r="AM291" s="57">
        <f>IFERROR(__xludf.DUMMYFUNCTION("""COMPUTED_VALUE"""),0.9999446158437151)</f>
        <v>0.9999446158</v>
      </c>
      <c r="AN291" s="57">
        <f>IFERROR(__xludf.DUMMYFUNCTION("""COMPUTED_VALUE"""),1.141504069180772)</f>
        <v>1.141504069</v>
      </c>
      <c r="AO291" s="57">
        <f>IFERROR(__xludf.DUMMYFUNCTION("""COMPUTED_VALUE"""),1.1343169486905125)</f>
        <v>1.134316949</v>
      </c>
      <c r="AP291" s="35">
        <f>IFERROR(__xludf.DUMMYFUNCTION("""COMPUTED_VALUE"""),0.8167561719407279)</f>
        <v>0.8167561719</v>
      </c>
      <c r="AQ291" s="57">
        <f>IFERROR(__xludf.DUMMYFUNCTION("""COMPUTED_VALUE"""),1.0289633233726565)</f>
        <v>1.028963323</v>
      </c>
      <c r="AR291" s="36" t="b">
        <f>IFERROR(__xludf.DUMMYFUNCTION("""COMPUTED_VALUE"""),TRUE)</f>
        <v>1</v>
      </c>
      <c r="AS291" s="57"/>
      <c r="AT291" s="37"/>
      <c r="AU291" s="30"/>
      <c r="AV291" s="30"/>
      <c r="AW291" s="30"/>
      <c r="AX291" s="30"/>
      <c r="AY291" s="30"/>
      <c r="AZ291" s="30"/>
    </row>
    <row r="292">
      <c r="A292" s="30" t="str">
        <f>IFERROR(__xludf.DUMMYFUNCTION("""COMPUTED_VALUE"""),"Elite")</f>
        <v>Elite</v>
      </c>
      <c r="B292" s="30" t="str">
        <f>IFERROR(__xludf.DUMMYFUNCTION("""COMPUTED_VALUE"""),"RSC005374")</f>
        <v>RSC005374</v>
      </c>
      <c r="C292" s="30" t="str">
        <f>IFERROR(__xludf.DUMMYFUNCTION("""COMPUTED_VALUE"""),"A Yapping Panda")</f>
        <v>A Yapping Panda</v>
      </c>
      <c r="D292" s="31" t="str">
        <f>IFERROR(__xludf.DUMMYFUNCTION("""COMPUTED_VALUE"""),"Loonie")</f>
        <v>Loonie</v>
      </c>
      <c r="E292" s="31">
        <f>IFERROR(__xludf.DUMMYFUNCTION("""COMPUTED_VALUE"""),44.038423479292845)</f>
        <v>44.03842348</v>
      </c>
      <c r="F292" s="31">
        <f>IFERROR(__xludf.DUMMYFUNCTION("""COMPUTED_VALUE"""),-2.4645050819130674)</f>
        <v>-2.464505082</v>
      </c>
      <c r="G292" s="31">
        <f>IFERROR(__xludf.DUMMYFUNCTION("""COMPUTED_VALUE"""),46.67317552615924)</f>
        <v>46.67317553</v>
      </c>
      <c r="H292" s="31">
        <f>IFERROR(__xludf.DUMMYFUNCTION("""COMPUTED_VALUE"""),-2.236797030791218)</f>
        <v>-2.236797031</v>
      </c>
      <c r="I292" s="54">
        <f>IFERROR(__xludf.DUMMYFUNCTION("""COMPUTED_VALUE"""),29.0)</f>
        <v>29</v>
      </c>
      <c r="J292" s="55">
        <f>IFERROR(__xludf.DUMMYFUNCTION("""COMPUTED_VALUE"""),10.0)</f>
        <v>10</v>
      </c>
      <c r="K292" s="54">
        <f>IFERROR(__xludf.DUMMYFUNCTION("""COMPUTED_VALUE"""),19.0)</f>
        <v>19</v>
      </c>
      <c r="L292" s="56">
        <f>IFERROR(__xludf.DUMMYFUNCTION("""COMPUTED_VALUE"""),0.3448275862068966)</f>
        <v>0.3448275862</v>
      </c>
      <c r="M292" s="56">
        <f>IFERROR(__xludf.DUMMYFUNCTION("""COMPUTED_VALUE"""),0.2876712328767123)</f>
        <v>0.2876712329</v>
      </c>
      <c r="N292" s="31">
        <f>IFERROR(__xludf.DUMMYFUNCTION("""COMPUTED_VALUE"""),357.58620689655174)</f>
        <v>357.5862069</v>
      </c>
      <c r="O292" s="57">
        <f>IFERROR(__xludf.DUMMYFUNCTION("""COMPUTED_VALUE"""),0.7241379310344828)</f>
        <v>0.724137931</v>
      </c>
      <c r="P292" s="57">
        <f>IFERROR(__xludf.DUMMYFUNCTION("""COMPUTED_VALUE"""),0.3103448275862069)</f>
        <v>0.3103448276</v>
      </c>
      <c r="Q292" s="57">
        <f>IFERROR(__xludf.DUMMYFUNCTION("""COMPUTED_VALUE"""),1.4827586206896552)</f>
        <v>1.482758621</v>
      </c>
      <c r="R292" s="57">
        <f>IFERROR(__xludf.DUMMYFUNCTION("""COMPUTED_VALUE"""),2.5172413793103448)</f>
        <v>2.517241379</v>
      </c>
      <c r="S292" s="31">
        <f>IFERROR(__xludf.DUMMYFUNCTION("""COMPUTED_VALUE"""),388.75862068965523)</f>
        <v>388.7586207</v>
      </c>
      <c r="T292" s="57">
        <f>IFERROR(__xludf.DUMMYFUNCTION("""COMPUTED_VALUE"""),0.9770114942528734)</f>
        <v>0.9770114943</v>
      </c>
      <c r="U292" s="57">
        <f>IFERROR(__xludf.DUMMYFUNCTION("""COMPUTED_VALUE"""),0.8390804597701148)</f>
        <v>0.8390804598</v>
      </c>
      <c r="V292" s="57">
        <f>IFERROR(__xludf.DUMMYFUNCTION("""COMPUTED_VALUE"""),1.2873563218390804)</f>
        <v>1.287356322</v>
      </c>
      <c r="W292" s="57">
        <f>IFERROR(__xludf.DUMMYFUNCTION("""COMPUTED_VALUE"""),2.9885057471264362)</f>
        <v>2.988505747</v>
      </c>
      <c r="X292" s="31">
        <f>IFERROR(__xludf.DUMMYFUNCTION("""COMPUTED_VALUE"""),385.15924340747506)</f>
        <v>385.1592434</v>
      </c>
      <c r="Y292" s="57">
        <f>IFERROR(__xludf.DUMMYFUNCTION("""COMPUTED_VALUE"""),0.9082538084827679)</f>
        <v>0.9082538085</v>
      </c>
      <c r="Z292" s="57">
        <f>IFERROR(__xludf.DUMMYFUNCTION("""COMPUTED_VALUE"""),0.645121002919754)</f>
        <v>0.6451210029</v>
      </c>
      <c r="AA292" s="57">
        <f>IFERROR(__xludf.DUMMYFUNCTION("""COMPUTED_VALUE"""),1.3875717398039553)</f>
        <v>1.38757174</v>
      </c>
      <c r="AB292" s="57">
        <f>IFERROR(__xludf.DUMMYFUNCTION("""COMPUTED_VALUE"""),2.882318682127292)</f>
        <v>2.882318682</v>
      </c>
      <c r="AC292" s="31">
        <f>IFERROR(__xludf.DUMMYFUNCTION("""COMPUTED_VALUE"""),348.0170409955184)</f>
        <v>348.017041</v>
      </c>
      <c r="AD292" s="57">
        <f>IFERROR(__xludf.DUMMYFUNCTION("""COMPUTED_VALUE"""),0.6818886895118822)</f>
        <v>0.6818886895</v>
      </c>
      <c r="AE292" s="57">
        <f>IFERROR(__xludf.DUMMYFUNCTION("""COMPUTED_VALUE"""),0.4909710853859394)</f>
        <v>0.4909710854</v>
      </c>
      <c r="AF292" s="57">
        <f>IFERROR(__xludf.DUMMYFUNCTION("""COMPUTED_VALUE"""),1.4702318383095878)</f>
        <v>1.470231838</v>
      </c>
      <c r="AG292" s="57">
        <f>IFERROR(__xludf.DUMMYFUNCTION("""COMPUTED_VALUE"""),2.461468030460421)</f>
        <v>2.46146803</v>
      </c>
      <c r="AH292" s="57">
        <f>IFERROR(__xludf.DUMMYFUNCTION("""COMPUTED_VALUE"""),1.0274962567167985)</f>
        <v>1.027496257</v>
      </c>
      <c r="AI292" s="57">
        <f>IFERROR(__xludf.DUMMYFUNCTION("""COMPUTED_VALUE"""),1.0619591469581993)</f>
        <v>1.061959147</v>
      </c>
      <c r="AJ292" s="57">
        <f>IFERROR(__xludf.DUMMYFUNCTION("""COMPUTED_VALUE"""),0.6321040827531687)</f>
        <v>0.6321040828</v>
      </c>
      <c r="AK292" s="57">
        <f>IFERROR(__xludf.DUMMYFUNCTION("""COMPUTED_VALUE"""),1.0085202769071238)</f>
        <v>1.008520277</v>
      </c>
      <c r="AL292" s="57">
        <f>IFERROR(__xludf.DUMMYFUNCTION("""COMPUTED_VALUE"""),1.0226585712914953)</f>
        <v>1.022658571</v>
      </c>
      <c r="AM292" s="57">
        <f>IFERROR(__xludf.DUMMYFUNCTION("""COMPUTED_VALUE"""),1.0093451665610742)</f>
        <v>1.009345167</v>
      </c>
      <c r="AN292" s="57">
        <f>IFERROR(__xludf.DUMMYFUNCTION("""COMPUTED_VALUE"""),1.0757031626269364)</f>
        <v>1.075703163</v>
      </c>
      <c r="AO292" s="57">
        <f>IFERROR(__xludf.DUMMYFUNCTION("""COMPUTED_VALUE"""),1.3006559327204035)</f>
        <v>1.300655933</v>
      </c>
      <c r="AP292" s="35">
        <f>IFERROR(__xludf.DUMMYFUNCTION("""COMPUTED_VALUE"""),0.9277764060119631)</f>
        <v>0.927776406</v>
      </c>
      <c r="AQ292" s="57">
        <f>IFERROR(__xludf.DUMMYFUNCTION("""COMPUTED_VALUE"""),1.0368408481885052)</f>
        <v>1.036840848</v>
      </c>
      <c r="AR292" s="36" t="b">
        <f>IFERROR(__xludf.DUMMYFUNCTION("""COMPUTED_VALUE"""),TRUE)</f>
        <v>1</v>
      </c>
      <c r="AS292" s="57"/>
      <c r="AT292" s="37"/>
      <c r="AU292" s="30"/>
      <c r="AV292" s="30"/>
      <c r="AW292" s="30"/>
      <c r="AX292" s="30"/>
      <c r="AY292" s="30"/>
      <c r="AZ292" s="30"/>
    </row>
    <row r="293">
      <c r="A293" s="30" t="str">
        <f>IFERROR(__xludf.DUMMYFUNCTION("""COMPUTED_VALUE"""),"Elite")</f>
        <v>Elite</v>
      </c>
      <c r="B293" s="30" t="str">
        <f>IFERROR(__xludf.DUMMYFUNCTION("""COMPUTED_VALUE"""),"RSC005009")</f>
        <v>RSC005009</v>
      </c>
      <c r="C293" s="30" t="str">
        <f>IFERROR(__xludf.DUMMYFUNCTION("""COMPUTED_VALUE"""),"Qeetz")</f>
        <v>Qeetz</v>
      </c>
      <c r="D293" s="31"/>
      <c r="E293" s="31">
        <f>IFERROR(__xludf.DUMMYFUNCTION("""COMPUTED_VALUE"""),43.86649796352857)</f>
        <v>43.86649796</v>
      </c>
      <c r="F293" s="31">
        <f>IFERROR(__xludf.DUMMYFUNCTION("""COMPUTED_VALUE"""),-2.480795174227208)</f>
        <v>-2.480795174</v>
      </c>
      <c r="G293" s="31">
        <f>IFERROR(__xludf.DUMMYFUNCTION("""COMPUTED_VALUE"""),7.3098430607740426)</f>
        <v>7.309843061</v>
      </c>
      <c r="H293" s="31">
        <f>IFERROR(__xludf.DUMMYFUNCTION("""COMPUTED_VALUE"""),-22.80256711687527)</f>
        <v>-22.80256712</v>
      </c>
      <c r="I293" s="54">
        <f>IFERROR(__xludf.DUMMYFUNCTION("""COMPUTED_VALUE"""),2.0)</f>
        <v>2</v>
      </c>
      <c r="J293" s="55">
        <f>IFERROR(__xludf.DUMMYFUNCTION("""COMPUTED_VALUE"""),1.0)</f>
        <v>1</v>
      </c>
      <c r="K293" s="54">
        <f>IFERROR(__xludf.DUMMYFUNCTION("""COMPUTED_VALUE"""),1.0)</f>
        <v>1</v>
      </c>
      <c r="L293" s="56">
        <f>IFERROR(__xludf.DUMMYFUNCTION("""COMPUTED_VALUE"""),0.5)</f>
        <v>0.5</v>
      </c>
      <c r="M293" s="56">
        <f>IFERROR(__xludf.DUMMYFUNCTION("""COMPUTED_VALUE"""),0.4)</f>
        <v>0.4</v>
      </c>
      <c r="N293" s="31">
        <f>IFERROR(__xludf.DUMMYFUNCTION("""COMPUTED_VALUE"""),241.0)</f>
        <v>241</v>
      </c>
      <c r="O293" s="57">
        <f>IFERROR(__xludf.DUMMYFUNCTION("""COMPUTED_VALUE"""),1.0)</f>
        <v>1</v>
      </c>
      <c r="P293" s="57">
        <f>IFERROR(__xludf.DUMMYFUNCTION("""COMPUTED_VALUE"""),0.0)</f>
        <v>0</v>
      </c>
      <c r="Q293" s="57">
        <f>IFERROR(__xludf.DUMMYFUNCTION("""COMPUTED_VALUE"""),0.0)</f>
        <v>0</v>
      </c>
      <c r="R293" s="57">
        <f>IFERROR(__xludf.DUMMYFUNCTION("""COMPUTED_VALUE"""),2.5)</f>
        <v>2.5</v>
      </c>
      <c r="S293" s="31">
        <f>IFERROR(__xludf.DUMMYFUNCTION("""COMPUTED_VALUE"""),385.0)</f>
        <v>385</v>
      </c>
      <c r="T293" s="57">
        <f>IFERROR(__xludf.DUMMYFUNCTION("""COMPUTED_VALUE"""),1.0)</f>
        <v>1</v>
      </c>
      <c r="U293" s="57">
        <f>IFERROR(__xludf.DUMMYFUNCTION("""COMPUTED_VALUE"""),0.5)</f>
        <v>0.5</v>
      </c>
      <c r="V293" s="57">
        <f>IFERROR(__xludf.DUMMYFUNCTION("""COMPUTED_VALUE"""),1.5)</f>
        <v>1.5</v>
      </c>
      <c r="W293" s="57">
        <f>IFERROR(__xludf.DUMMYFUNCTION("""COMPUTED_VALUE"""),2.5)</f>
        <v>2.5</v>
      </c>
      <c r="X293" s="31">
        <f>IFERROR(__xludf.DUMMYFUNCTION("""COMPUTED_VALUE"""),373.1175895578172)</f>
        <v>373.1175896</v>
      </c>
      <c r="Y293" s="57">
        <f>IFERROR(__xludf.DUMMYFUNCTION("""COMPUTED_VALUE"""),0.8410193011711038)</f>
        <v>0.8410193012</v>
      </c>
      <c r="Z293" s="57">
        <f>IFERROR(__xludf.DUMMYFUNCTION("""COMPUTED_VALUE"""),0.5840952216663791)</f>
        <v>0.5840952217</v>
      </c>
      <c r="AA293" s="57">
        <f>IFERROR(__xludf.DUMMYFUNCTION("""COMPUTED_VALUE"""),1.4342667663350774)</f>
        <v>1.434266766</v>
      </c>
      <c r="AB293" s="57">
        <f>IFERROR(__xludf.DUMMYFUNCTION("""COMPUTED_VALUE"""),2.762549594617906)</f>
        <v>2.762549595</v>
      </c>
      <c r="AC293" s="31">
        <f>IFERROR(__xludf.DUMMYFUNCTION("""COMPUTED_VALUE"""),347.22027038250957)</f>
        <v>347.2202704</v>
      </c>
      <c r="AD293" s="57">
        <f>IFERROR(__xludf.DUMMYFUNCTION("""COMPUTED_VALUE"""),0.6552814674256798)</f>
        <v>0.6552814674</v>
      </c>
      <c r="AE293" s="57">
        <f>IFERROR(__xludf.DUMMYFUNCTION("""COMPUTED_VALUE"""),0.498725394361068)</f>
        <v>0.4987253944</v>
      </c>
      <c r="AF293" s="57">
        <f>IFERROR(__xludf.DUMMYFUNCTION("""COMPUTED_VALUE"""),1.4768558449772868)</f>
        <v>1.476855845</v>
      </c>
      <c r="AG293" s="57">
        <f>IFERROR(__xludf.DUMMYFUNCTION("""COMPUTED_VALUE"""),2.4499485685443942)</f>
        <v>2.449948569</v>
      </c>
      <c r="AH293" s="57">
        <f>IFERROR(__xludf.DUMMYFUNCTION("""COMPUTED_VALUE"""),0.6940839016527067)</f>
        <v>0.6940839017</v>
      </c>
      <c r="AI293" s="57">
        <f>IFERROR(__xludf.DUMMYFUNCTION("""COMPUTED_VALUE"""),1.5260617760617763)</f>
        <v>1.526061776</v>
      </c>
      <c r="AJ293" s="57">
        <f>IFERROR(__xludf.DUMMYFUNCTION("""COMPUTED_VALUE"""),0.0)</f>
        <v>0</v>
      </c>
      <c r="AK293" s="57">
        <f>IFERROR(__xludf.DUMMYFUNCTION("""COMPUTED_VALUE"""),0.0)</f>
        <v>0</v>
      </c>
      <c r="AL293" s="57">
        <f>IFERROR(__xludf.DUMMYFUNCTION("""COMPUTED_VALUE"""),1.020429584562807)</f>
        <v>1.020429585</v>
      </c>
      <c r="AM293" s="57">
        <f>IFERROR(__xludf.DUMMYFUNCTION("""COMPUTED_VALUE"""),1.0318462886090807)</f>
        <v>1.031846289</v>
      </c>
      <c r="AN293" s="57">
        <f>IFERROR(__xludf.DUMMYFUNCTION("""COMPUTED_VALUE"""),1.1890333534646809)</f>
        <v>1.189033353</v>
      </c>
      <c r="AO293" s="57">
        <f>IFERROR(__xludf.DUMMYFUNCTION("""COMPUTED_VALUE"""),0.8560248080330776)</f>
        <v>0.856024808</v>
      </c>
      <c r="AP293" s="35">
        <f>IFERROR(__xludf.DUMMYFUNCTION("""COMPUTED_VALUE"""),1.0458305492449553)</f>
        <v>1.045830549</v>
      </c>
      <c r="AQ293" s="57">
        <f>IFERROR(__xludf.DUMMYFUNCTION("""COMPUTED_VALUE"""),0.9049611289768646)</f>
        <v>0.904961129</v>
      </c>
      <c r="AR293" s="36" t="b">
        <f>IFERROR(__xludf.DUMMYFUNCTION("""COMPUTED_VALUE"""),TRUE)</f>
        <v>1</v>
      </c>
      <c r="AS293" s="57"/>
      <c r="AT293" s="37"/>
      <c r="AU293" s="30"/>
      <c r="AV293" s="30"/>
      <c r="AW293" s="30"/>
      <c r="AX293" s="30"/>
      <c r="AY293" s="30"/>
      <c r="AZ293" s="30"/>
    </row>
    <row r="294">
      <c r="A294" s="30" t="str">
        <f>IFERROR(__xludf.DUMMYFUNCTION("""COMPUTED_VALUE"""),"Elite")</f>
        <v>Elite</v>
      </c>
      <c r="B294" s="30" t="str">
        <f>IFERROR(__xludf.DUMMYFUNCTION("""COMPUTED_VALUE"""),"RSC002892")</f>
        <v>RSC002892</v>
      </c>
      <c r="C294" s="30" t="str">
        <f>IFERROR(__xludf.DUMMYFUNCTION("""COMPUTED_VALUE"""),"nickm")</f>
        <v>nickm</v>
      </c>
      <c r="D294" s="31" t="str">
        <f>IFERROR(__xludf.DUMMYFUNCTION("""COMPUTED_VALUE"""),"Cyclones")</f>
        <v>Cyclones</v>
      </c>
      <c r="E294" s="31">
        <f>IFERROR(__xludf.DUMMYFUNCTION("""COMPUTED_VALUE"""),43.86359526571831)</f>
        <v>43.86359527</v>
      </c>
      <c r="F294" s="31">
        <f>IFERROR(__xludf.DUMMYFUNCTION("""COMPUTED_VALUE"""),-2.481071820909855)</f>
        <v>-2.481071821</v>
      </c>
      <c r="G294" s="31">
        <f>IFERROR(__xludf.DUMMYFUNCTION("""COMPUTED_VALUE"""),32.406620975871405)</f>
        <v>32.40662098</v>
      </c>
      <c r="H294" s="31">
        <f>IFERROR(__xludf.DUMMYFUNCTION("""COMPUTED_VALUE"""),-4.152843587042451)</f>
        <v>-4.152843587</v>
      </c>
      <c r="I294" s="54">
        <f>IFERROR(__xludf.DUMMYFUNCTION("""COMPUTED_VALUE"""),8.0)</f>
        <v>8</v>
      </c>
      <c r="J294" s="55">
        <f>IFERROR(__xludf.DUMMYFUNCTION("""COMPUTED_VALUE"""),3.0)</f>
        <v>3</v>
      </c>
      <c r="K294" s="54">
        <f>IFERROR(__xludf.DUMMYFUNCTION("""COMPUTED_VALUE"""),5.0)</f>
        <v>5</v>
      </c>
      <c r="L294" s="56">
        <f>IFERROR(__xludf.DUMMYFUNCTION("""COMPUTED_VALUE"""),0.375)</f>
        <v>0.375</v>
      </c>
      <c r="M294" s="56">
        <f>IFERROR(__xludf.DUMMYFUNCTION("""COMPUTED_VALUE"""),0.2631578947368421)</f>
        <v>0.2631578947</v>
      </c>
      <c r="N294" s="31">
        <f>IFERROR(__xludf.DUMMYFUNCTION("""COMPUTED_VALUE"""),323.5)</f>
        <v>323.5</v>
      </c>
      <c r="O294" s="57">
        <f>IFERROR(__xludf.DUMMYFUNCTION("""COMPUTED_VALUE"""),0.625)</f>
        <v>0.625</v>
      </c>
      <c r="P294" s="57">
        <f>IFERROR(__xludf.DUMMYFUNCTION("""COMPUTED_VALUE"""),0.625)</f>
        <v>0.625</v>
      </c>
      <c r="Q294" s="57">
        <f>IFERROR(__xludf.DUMMYFUNCTION("""COMPUTED_VALUE"""),1.375)</f>
        <v>1.375</v>
      </c>
      <c r="R294" s="57">
        <f>IFERROR(__xludf.DUMMYFUNCTION("""COMPUTED_VALUE"""),2.375)</f>
        <v>2.375</v>
      </c>
      <c r="S294" s="31">
        <f>IFERROR(__xludf.DUMMYFUNCTION("""COMPUTED_VALUE"""),397.66666666666663)</f>
        <v>397.6666667</v>
      </c>
      <c r="T294" s="57">
        <f>IFERROR(__xludf.DUMMYFUNCTION("""COMPUTED_VALUE"""),1.0)</f>
        <v>1</v>
      </c>
      <c r="U294" s="57">
        <f>IFERROR(__xludf.DUMMYFUNCTION("""COMPUTED_VALUE"""),0.7916666666666667)</f>
        <v>0.7916666667</v>
      </c>
      <c r="V294" s="57">
        <f>IFERROR(__xludf.DUMMYFUNCTION("""COMPUTED_VALUE"""),1.375)</f>
        <v>1.375</v>
      </c>
      <c r="W294" s="57">
        <f>IFERROR(__xludf.DUMMYFUNCTION("""COMPUTED_VALUE"""),3.0000000000000004)</f>
        <v>3</v>
      </c>
      <c r="X294" s="31">
        <f>IFERROR(__xludf.DUMMYFUNCTION("""COMPUTED_VALUE"""),381.5730553580282)</f>
        <v>381.5730554</v>
      </c>
      <c r="Y294" s="57">
        <f>IFERROR(__xludf.DUMMYFUNCTION("""COMPUTED_VALUE"""),0.9203633092641712)</f>
        <v>0.9203633093</v>
      </c>
      <c r="Z294" s="57">
        <f>IFERROR(__xludf.DUMMYFUNCTION("""COMPUTED_VALUE"""),0.7892000961383608)</f>
        <v>0.7892000961</v>
      </c>
      <c r="AA294" s="57">
        <f>IFERROR(__xludf.DUMMYFUNCTION("""COMPUTED_VALUE"""),1.1081889079177731)</f>
        <v>1.108188908</v>
      </c>
      <c r="AB294" s="57">
        <f>IFERROR(__xludf.DUMMYFUNCTION("""COMPUTED_VALUE"""),3.1769818570534643)</f>
        <v>3.176981857</v>
      </c>
      <c r="AC294" s="31">
        <f>IFERROR(__xludf.DUMMYFUNCTION("""COMPUTED_VALUE"""),380.3280760125066)</f>
        <v>380.328076</v>
      </c>
      <c r="AD294" s="57">
        <f>IFERROR(__xludf.DUMMYFUNCTION("""COMPUTED_VALUE"""),0.8050126663562889)</f>
        <v>0.8050126664</v>
      </c>
      <c r="AE294" s="57">
        <f>IFERROR(__xludf.DUMMYFUNCTION("""COMPUTED_VALUE"""),0.6160741504561025)</f>
        <v>0.6160741505</v>
      </c>
      <c r="AF294" s="57">
        <f>IFERROR(__xludf.DUMMYFUNCTION("""COMPUTED_VALUE"""),1.6708691817493266)</f>
        <v>1.670869182</v>
      </c>
      <c r="AG294" s="57">
        <f>IFERROR(__xludf.DUMMYFUNCTION("""COMPUTED_VALUE"""),2.4506725957991256)</f>
        <v>2.450672596</v>
      </c>
      <c r="AH294" s="57">
        <f>IFERROR(__xludf.DUMMYFUNCTION("""COMPUTED_VALUE"""),0.8505814332501767)</f>
        <v>0.8505814333</v>
      </c>
      <c r="AI294" s="57">
        <f>IFERROR(__xludf.DUMMYFUNCTION("""COMPUTED_VALUE"""),0.7763852994126462)</f>
        <v>0.7763852994</v>
      </c>
      <c r="AJ294" s="57">
        <f>IFERROR(__xludf.DUMMYFUNCTION("""COMPUTED_VALUE"""),1.014488271480453)</f>
        <v>1.014488271</v>
      </c>
      <c r="AK294" s="57">
        <f>IFERROR(__xludf.DUMMYFUNCTION("""COMPUTED_VALUE"""),0.8229249871976425)</f>
        <v>0.8229249872</v>
      </c>
      <c r="AL294" s="57">
        <f>IFERROR(__xludf.DUMMYFUNCTION("""COMPUTED_VALUE"""),0.9691217031892219)</f>
        <v>0.9691217032</v>
      </c>
      <c r="AM294" s="57">
        <f>IFERROR(__xludf.DUMMYFUNCTION("""COMPUTED_VALUE"""),1.0421770119316676)</f>
        <v>1.042177012</v>
      </c>
      <c r="AN294" s="57">
        <f>IFERROR(__xludf.DUMMYFUNCTION("""COMPUTED_VALUE"""),1.0865274505559095)</f>
        <v>1.086527451</v>
      </c>
      <c r="AO294" s="57">
        <f>IFERROR(__xludf.DUMMYFUNCTION("""COMPUTED_VALUE"""),1.003125405762588)</f>
        <v>1.003125406</v>
      </c>
      <c r="AP294" s="35">
        <f>IFERROR(__xludf.DUMMYFUNCTION("""COMPUTED_VALUE"""),1.24076318592969)</f>
        <v>1.240763186</v>
      </c>
      <c r="AQ294" s="57">
        <f>IFERROR(__xludf.DUMMYFUNCTION("""COMPUTED_VALUE"""),0.9442924558538058)</f>
        <v>0.9442924559</v>
      </c>
      <c r="AR294" s="36" t="b">
        <f>IFERROR(__xludf.DUMMYFUNCTION("""COMPUTED_VALUE"""),TRUE)</f>
        <v>1</v>
      </c>
      <c r="AS294" s="57"/>
      <c r="AT294" s="37"/>
      <c r="AU294" s="30"/>
      <c r="AV294" s="30"/>
      <c r="AW294" s="30"/>
      <c r="AX294" s="30"/>
      <c r="AY294" s="30"/>
      <c r="AZ294" s="30"/>
    </row>
    <row r="295">
      <c r="A295" s="30" t="str">
        <f>IFERROR(__xludf.DUMMYFUNCTION("""COMPUTED_VALUE"""),"Elite")</f>
        <v>Elite</v>
      </c>
      <c r="B295" s="30" t="str">
        <f>IFERROR(__xludf.DUMMYFUNCTION("""COMPUTED_VALUE"""),"RSC007295")</f>
        <v>RSC007295</v>
      </c>
      <c r="C295" s="30" t="str">
        <f>IFERROR(__xludf.DUMMYFUNCTION("""COMPUTED_VALUE"""),"TheLegendaryChance")</f>
        <v>TheLegendaryChance</v>
      </c>
      <c r="D295" s="31" t="str">
        <f>IFERROR(__xludf.DUMMYFUNCTION("""COMPUTED_VALUE"""),"Geeky Ghouls")</f>
        <v>Geeky Ghouls</v>
      </c>
      <c r="E295" s="31">
        <f>IFERROR(__xludf.DUMMYFUNCTION("""COMPUTED_VALUE"""),43.708557021901484)</f>
        <v>43.70855702</v>
      </c>
      <c r="F295" s="31">
        <f>IFERROR(__xludf.DUMMYFUNCTION("""COMPUTED_VALUE"""),-2.4959265213583803)</f>
        <v>-2.495926521</v>
      </c>
      <c r="G295" s="31">
        <f>IFERROR(__xludf.DUMMYFUNCTION("""COMPUTED_VALUE"""),37.841084931455015)</f>
        <v>37.84108493</v>
      </c>
      <c r="H295" s="31">
        <f>IFERROR(__xludf.DUMMYFUNCTION("""COMPUTED_VALUE"""),-3.1912465186289842)</f>
        <v>-3.191246519</v>
      </c>
      <c r="I295" s="54">
        <f>IFERROR(__xludf.DUMMYFUNCTION("""COMPUTED_VALUE"""),29.0)</f>
        <v>29</v>
      </c>
      <c r="J295" s="55">
        <f>IFERROR(__xludf.DUMMYFUNCTION("""COMPUTED_VALUE"""),16.0)</f>
        <v>16</v>
      </c>
      <c r="K295" s="54">
        <f>IFERROR(__xludf.DUMMYFUNCTION("""COMPUTED_VALUE"""),13.0)</f>
        <v>13</v>
      </c>
      <c r="L295" s="56">
        <f>IFERROR(__xludf.DUMMYFUNCTION("""COMPUTED_VALUE"""),0.5517241379310345)</f>
        <v>0.5517241379</v>
      </c>
      <c r="M295" s="56">
        <f>IFERROR(__xludf.DUMMYFUNCTION("""COMPUTED_VALUE"""),0.23529411764705885)</f>
        <v>0.2352941176</v>
      </c>
      <c r="N295" s="31">
        <f>IFERROR(__xludf.DUMMYFUNCTION("""COMPUTED_VALUE"""),331.0344827586207)</f>
        <v>331.0344828</v>
      </c>
      <c r="O295" s="57">
        <f>IFERROR(__xludf.DUMMYFUNCTION("""COMPUTED_VALUE"""),0.5517241379310345)</f>
        <v>0.5517241379</v>
      </c>
      <c r="P295" s="57">
        <f>IFERROR(__xludf.DUMMYFUNCTION("""COMPUTED_VALUE"""),0.5862068965517241)</f>
        <v>0.5862068966</v>
      </c>
      <c r="Q295" s="57">
        <f>IFERROR(__xludf.DUMMYFUNCTION("""COMPUTED_VALUE"""),1.3448275862068966)</f>
        <v>1.344827586</v>
      </c>
      <c r="R295" s="57">
        <f>IFERROR(__xludf.DUMMYFUNCTION("""COMPUTED_VALUE"""),2.3448275862068964)</f>
        <v>2.344827586</v>
      </c>
      <c r="S295" s="31">
        <f>IFERROR(__xludf.DUMMYFUNCTION("""COMPUTED_VALUE"""),380.3908045977011)</f>
        <v>380.3908046</v>
      </c>
      <c r="T295" s="57">
        <f>IFERROR(__xludf.DUMMYFUNCTION("""COMPUTED_VALUE"""),0.7356321839080461)</f>
        <v>0.7356321839</v>
      </c>
      <c r="U295" s="57">
        <f>IFERROR(__xludf.DUMMYFUNCTION("""COMPUTED_VALUE"""),0.632183908045977)</f>
        <v>0.632183908</v>
      </c>
      <c r="V295" s="57">
        <f>IFERROR(__xludf.DUMMYFUNCTION("""COMPUTED_VALUE"""),1.7011494252873562)</f>
        <v>1.701149425</v>
      </c>
      <c r="W295" s="57">
        <f>IFERROR(__xludf.DUMMYFUNCTION("""COMPUTED_VALUE"""),2.5057471264367814)</f>
        <v>2.505747126</v>
      </c>
      <c r="X295" s="31">
        <f>IFERROR(__xludf.DUMMYFUNCTION("""COMPUTED_VALUE"""),368.7643082918601)</f>
        <v>368.7643083</v>
      </c>
      <c r="Y295" s="57">
        <f>IFERROR(__xludf.DUMMYFUNCTION("""COMPUTED_VALUE"""),0.8242257571368118)</f>
        <v>0.8242257571</v>
      </c>
      <c r="Z295" s="57">
        <f>IFERROR(__xludf.DUMMYFUNCTION("""COMPUTED_VALUE"""),0.6555081479515117)</f>
        <v>0.655508148</v>
      </c>
      <c r="AA295" s="57">
        <f>IFERROR(__xludf.DUMMYFUNCTION("""COMPUTED_VALUE"""),1.3779046775192405)</f>
        <v>1.377904678</v>
      </c>
      <c r="AB295" s="57">
        <f>IFERROR(__xludf.DUMMYFUNCTION("""COMPUTED_VALUE"""),2.7268334041980116)</f>
        <v>2.726833404</v>
      </c>
      <c r="AC295" s="31">
        <f>IFERROR(__xludf.DUMMYFUNCTION("""COMPUTED_VALUE"""),355.91984330134323)</f>
        <v>355.9198433</v>
      </c>
      <c r="AD295" s="57">
        <f>IFERROR(__xludf.DUMMYFUNCTION("""COMPUTED_VALUE"""),0.7581680851504039)</f>
        <v>0.7581680852</v>
      </c>
      <c r="AE295" s="57">
        <f>IFERROR(__xludf.DUMMYFUNCTION("""COMPUTED_VALUE"""),0.5444064510865353)</f>
        <v>0.5444064511</v>
      </c>
      <c r="AF295" s="57">
        <f>IFERROR(__xludf.DUMMYFUNCTION("""COMPUTED_VALUE"""),1.4299852676673839)</f>
        <v>1.429985268</v>
      </c>
      <c r="AG295" s="57">
        <f>IFERROR(__xludf.DUMMYFUNCTION("""COMPUTED_VALUE"""),2.5816923762417296)</f>
        <v>2.581692376</v>
      </c>
      <c r="AH295" s="57">
        <f>IFERROR(__xludf.DUMMYFUNCTION("""COMPUTED_VALUE"""),0.9300815590614512)</f>
        <v>0.9300815591</v>
      </c>
      <c r="AI295" s="57">
        <f>IFERROR(__xludf.DUMMYFUNCTION("""COMPUTED_VALUE"""),0.7277068881389073)</f>
        <v>0.7277068881</v>
      </c>
      <c r="AJ295" s="57">
        <f>IFERROR(__xludf.DUMMYFUNCTION("""COMPUTED_VALUE"""),1.076781686517055)</f>
        <v>1.076781687</v>
      </c>
      <c r="AK295" s="57">
        <f>IFERROR(__xludf.DUMMYFUNCTION("""COMPUTED_VALUE"""),0.9404485602852413)</f>
        <v>0.9404485603</v>
      </c>
      <c r="AL295" s="57">
        <f>IFERROR(__xludf.DUMMYFUNCTION("""COMPUTED_VALUE"""),0.9082521247633513)</f>
        <v>0.9082521248</v>
      </c>
      <c r="AM295" s="57">
        <f>IFERROR(__xludf.DUMMYFUNCTION("""COMPUTED_VALUE"""),1.031528258143245)</f>
        <v>1.031528258</v>
      </c>
      <c r="AN295" s="57">
        <f>IFERROR(__xludf.DUMMYFUNCTION("""COMPUTED_VALUE"""),0.892512976618783)</f>
        <v>0.8925129766</v>
      </c>
      <c r="AO295" s="57">
        <f>IFERROR(__xludf.DUMMYFUNCTION("""COMPUTED_VALUE"""),0.9644180778249304)</f>
        <v>0.9644180778</v>
      </c>
      <c r="AP295" s="35">
        <f>IFERROR(__xludf.DUMMYFUNCTION("""COMPUTED_VALUE"""),1.234591516410323)</f>
        <v>1.234591516</v>
      </c>
      <c r="AQ295" s="57">
        <f>IFERROR(__xludf.DUMMYFUNCTION("""COMPUTED_VALUE"""),0.9189219710229222)</f>
        <v>0.918921971</v>
      </c>
      <c r="AR295" s="36" t="b">
        <f>IFERROR(__xludf.DUMMYFUNCTION("""COMPUTED_VALUE"""),TRUE)</f>
        <v>1</v>
      </c>
      <c r="AS295" s="57"/>
      <c r="AT295" s="37"/>
      <c r="AU295" s="30"/>
      <c r="AV295" s="30"/>
      <c r="AW295" s="30"/>
      <c r="AX295" s="30"/>
      <c r="AY295" s="30"/>
      <c r="AZ295" s="30"/>
    </row>
    <row r="296">
      <c r="A296" s="30" t="str">
        <f>IFERROR(__xludf.DUMMYFUNCTION("""COMPUTED_VALUE"""),"Elite")</f>
        <v>Elite</v>
      </c>
      <c r="B296" s="30" t="str">
        <f>IFERROR(__xludf.DUMMYFUNCTION("""COMPUTED_VALUE"""),"RSC003561")</f>
        <v>RSC003561</v>
      </c>
      <c r="C296" s="30" t="str">
        <f>IFERROR(__xludf.DUMMYFUNCTION("""COMPUTED_VALUE"""),"Dooober")</f>
        <v>Dooober</v>
      </c>
      <c r="D296" s="31" t="str">
        <f>IFERROR(__xludf.DUMMYFUNCTION("""COMPUTED_VALUE"""),"Drive Bye")</f>
        <v>Drive Bye</v>
      </c>
      <c r="E296" s="31">
        <f>IFERROR(__xludf.DUMMYFUNCTION("""COMPUTED_VALUE"""),43.705002208080636)</f>
        <v>43.70500221</v>
      </c>
      <c r="F296" s="31">
        <f>IFERROR(__xludf.DUMMYFUNCTION("""COMPUTED_VALUE"""),-2.4962689341885897)</f>
        <v>-2.496268934</v>
      </c>
      <c r="G296" s="31">
        <f>IFERROR(__xludf.DUMMYFUNCTION("""COMPUTED_VALUE"""),39.163974437250246)</f>
        <v>39.16397444</v>
      </c>
      <c r="H296" s="31">
        <f>IFERROR(__xludf.DUMMYFUNCTION("""COMPUTED_VALUE"""),-3.0089015176492357)</f>
        <v>-3.008901518</v>
      </c>
      <c r="I296" s="54">
        <f>IFERROR(__xludf.DUMMYFUNCTION("""COMPUTED_VALUE"""),33.0)</f>
        <v>33</v>
      </c>
      <c r="J296" s="55">
        <f>IFERROR(__xludf.DUMMYFUNCTION("""COMPUTED_VALUE"""),11.0)</f>
        <v>11</v>
      </c>
      <c r="K296" s="54">
        <f>IFERROR(__xludf.DUMMYFUNCTION("""COMPUTED_VALUE"""),22.0)</f>
        <v>22</v>
      </c>
      <c r="L296" s="56">
        <f>IFERROR(__xludf.DUMMYFUNCTION("""COMPUTED_VALUE"""),0.3333333333333333)</f>
        <v>0.3333333333</v>
      </c>
      <c r="M296" s="56">
        <f>IFERROR(__xludf.DUMMYFUNCTION("""COMPUTED_VALUE"""),0.3164556962025316)</f>
        <v>0.3164556962</v>
      </c>
      <c r="N296" s="31">
        <f>IFERROR(__xludf.DUMMYFUNCTION("""COMPUTED_VALUE"""),358.8181818181818)</f>
        <v>358.8181818</v>
      </c>
      <c r="O296" s="57">
        <f>IFERROR(__xludf.DUMMYFUNCTION("""COMPUTED_VALUE"""),0.7575757575757576)</f>
        <v>0.7575757576</v>
      </c>
      <c r="P296" s="57">
        <f>IFERROR(__xludf.DUMMYFUNCTION("""COMPUTED_VALUE"""),0.42424242424242425)</f>
        <v>0.4242424242</v>
      </c>
      <c r="Q296" s="57">
        <f>IFERROR(__xludf.DUMMYFUNCTION("""COMPUTED_VALUE"""),1.9090909090909092)</f>
        <v>1.909090909</v>
      </c>
      <c r="R296" s="57">
        <f>IFERROR(__xludf.DUMMYFUNCTION("""COMPUTED_VALUE"""),2.393939393939394)</f>
        <v>2.393939394</v>
      </c>
      <c r="S296" s="31">
        <f>IFERROR(__xludf.DUMMYFUNCTION("""COMPUTED_VALUE"""),397.4747474747475)</f>
        <v>397.4747475</v>
      </c>
      <c r="T296" s="57">
        <f>IFERROR(__xludf.DUMMYFUNCTION("""COMPUTED_VALUE"""),0.9393939393939393)</f>
        <v>0.9393939394</v>
      </c>
      <c r="U296" s="57">
        <f>IFERROR(__xludf.DUMMYFUNCTION("""COMPUTED_VALUE"""),0.7676767676767676)</f>
        <v>0.7676767677</v>
      </c>
      <c r="V296" s="57">
        <f>IFERROR(__xludf.DUMMYFUNCTION("""COMPUTED_VALUE"""),1.3838383838383836)</f>
        <v>1.383838384</v>
      </c>
      <c r="W296" s="57">
        <f>IFERROR(__xludf.DUMMYFUNCTION("""COMPUTED_VALUE"""),3.1616161616161613)</f>
        <v>3.161616162</v>
      </c>
      <c r="X296" s="31">
        <f>IFERROR(__xludf.DUMMYFUNCTION("""COMPUTED_VALUE"""),366.6371615625338)</f>
        <v>366.6371616</v>
      </c>
      <c r="Y296" s="57">
        <f>IFERROR(__xludf.DUMMYFUNCTION("""COMPUTED_VALUE"""),0.7936772162407103)</f>
        <v>0.7936772162</v>
      </c>
      <c r="Z296" s="57">
        <f>IFERROR(__xludf.DUMMYFUNCTION("""COMPUTED_VALUE"""),0.6188320413552348)</f>
        <v>0.6188320414</v>
      </c>
      <c r="AA296" s="57">
        <f>IFERROR(__xludf.DUMMYFUNCTION("""COMPUTED_VALUE"""),1.400094037613841)</f>
        <v>1.400094038</v>
      </c>
      <c r="AB296" s="57">
        <f>IFERROR(__xludf.DUMMYFUNCTION("""COMPUTED_VALUE"""),2.7588015133355186)</f>
        <v>2.758801513</v>
      </c>
      <c r="AC296" s="31">
        <f>IFERROR(__xludf.DUMMYFUNCTION("""COMPUTED_VALUE"""),353.321953736601)</f>
        <v>353.3219537</v>
      </c>
      <c r="AD296" s="57">
        <f>IFERROR(__xludf.DUMMYFUNCTION("""COMPUTED_VALUE"""),0.7278799280427811)</f>
        <v>0.727879928</v>
      </c>
      <c r="AE296" s="57">
        <f>IFERROR(__xludf.DUMMYFUNCTION("""COMPUTED_VALUE"""),0.5430431724899665)</f>
        <v>0.5430431725</v>
      </c>
      <c r="AF296" s="57">
        <f>IFERROR(__xludf.DUMMYFUNCTION("""COMPUTED_VALUE"""),1.4662264286329645)</f>
        <v>1.466226429</v>
      </c>
      <c r="AG296" s="57">
        <f>IFERROR(__xludf.DUMMYFUNCTION("""COMPUTED_VALUE"""),2.519331825655037)</f>
        <v>2.519331826</v>
      </c>
      <c r="AH296" s="57">
        <f>IFERROR(__xludf.DUMMYFUNCTION("""COMPUTED_VALUE"""),1.015555863493493)</f>
        <v>1.015555863</v>
      </c>
      <c r="AI296" s="57">
        <f>IFERROR(__xludf.DUMMYFUNCTION("""COMPUTED_VALUE"""),1.0407977035619411)</f>
        <v>1.040797704</v>
      </c>
      <c r="AJ296" s="57">
        <f>IFERROR(__xludf.DUMMYFUNCTION("""COMPUTED_VALUE"""),0.7812314853295808)</f>
        <v>0.7812314853</v>
      </c>
      <c r="AK296" s="57">
        <f>IFERROR(__xludf.DUMMYFUNCTION("""COMPUTED_VALUE"""),1.3020437169931858)</f>
        <v>1.302043717</v>
      </c>
      <c r="AL296" s="57">
        <f>IFERROR(__xludf.DUMMYFUNCTION("""COMPUTED_VALUE"""),0.9502279015258182)</f>
        <v>0.9502279015</v>
      </c>
      <c r="AM296" s="57">
        <f>IFERROR(__xludf.DUMMYFUNCTION("""COMPUTED_VALUE"""),1.0841092751776447)</f>
        <v>1.084109275</v>
      </c>
      <c r="AN296" s="57">
        <f>IFERROR(__xludf.DUMMYFUNCTION("""COMPUTED_VALUE"""),1.1835969587780575)</f>
        <v>1.183596959</v>
      </c>
      <c r="AO296" s="57">
        <f>IFERROR(__xludf.DUMMYFUNCTION("""COMPUTED_VALUE"""),1.2405252417046224)</f>
        <v>1.240525242</v>
      </c>
      <c r="AP296" s="35">
        <f>IFERROR(__xludf.DUMMYFUNCTION("""COMPUTED_VALUE"""),0.9883895985992757)</f>
        <v>0.9883895986</v>
      </c>
      <c r="AQ296" s="57">
        <f>IFERROR(__xludf.DUMMYFUNCTION("""COMPUTED_VALUE"""),1.146010739204511)</f>
        <v>1.146010739</v>
      </c>
      <c r="AR296" s="36" t="b">
        <f>IFERROR(__xludf.DUMMYFUNCTION("""COMPUTED_VALUE"""),TRUE)</f>
        <v>1</v>
      </c>
      <c r="AS296" s="57"/>
      <c r="AT296" s="37"/>
      <c r="AU296" s="30"/>
      <c r="AV296" s="30"/>
      <c r="AW296" s="30"/>
      <c r="AX296" s="30"/>
      <c r="AY296" s="30"/>
      <c r="AZ296" s="30"/>
    </row>
    <row r="297">
      <c r="A297" s="30" t="str">
        <f>IFERROR(__xludf.DUMMYFUNCTION("""COMPUTED_VALUE"""),"Elite")</f>
        <v>Elite</v>
      </c>
      <c r="B297" s="30" t="str">
        <f>IFERROR(__xludf.DUMMYFUNCTION("""COMPUTED_VALUE"""),"RSC005008")</f>
        <v>RSC005008</v>
      </c>
      <c r="C297" s="30" t="str">
        <f>IFERROR(__xludf.DUMMYFUNCTION("""COMPUTED_VALUE"""),"W0NDER")</f>
        <v>W0NDER</v>
      </c>
      <c r="D297" s="31" t="str">
        <f>IFERROR(__xludf.DUMMYFUNCTION("""COMPUTED_VALUE"""),"Ghastly Goombahs")</f>
        <v>Ghastly Goombahs</v>
      </c>
      <c r="E297" s="31">
        <f>IFERROR(__xludf.DUMMYFUNCTION("""COMPUTED_VALUE"""),43.44580931219949)</f>
        <v>43.44580931</v>
      </c>
      <c r="F297" s="31">
        <f>IFERROR(__xludf.DUMMYFUNCTION("""COMPUTED_VALUE"""),-2.5214569359541237)</f>
        <v>-2.521456936</v>
      </c>
      <c r="G297" s="31">
        <f>IFERROR(__xludf.DUMMYFUNCTION("""COMPUTED_VALUE"""),39.51502157301857)</f>
        <v>39.51502157</v>
      </c>
      <c r="H297" s="31">
        <f>IFERROR(__xludf.DUMMYFUNCTION("""COMPUTED_VALUE"""),-2.9632946120246246)</f>
        <v>-2.963294612</v>
      </c>
      <c r="I297" s="54">
        <f>IFERROR(__xludf.DUMMYFUNCTION("""COMPUTED_VALUE"""),31.0)</f>
        <v>31</v>
      </c>
      <c r="J297" s="55">
        <f>IFERROR(__xludf.DUMMYFUNCTION("""COMPUTED_VALUE"""),10.0)</f>
        <v>10</v>
      </c>
      <c r="K297" s="54">
        <f>IFERROR(__xludf.DUMMYFUNCTION("""COMPUTED_VALUE"""),21.0)</f>
        <v>21</v>
      </c>
      <c r="L297" s="56">
        <f>IFERROR(__xludf.DUMMYFUNCTION("""COMPUTED_VALUE"""),0.3225806451612903)</f>
        <v>0.3225806452</v>
      </c>
      <c r="M297" s="56">
        <f>IFERROR(__xludf.DUMMYFUNCTION("""COMPUTED_VALUE"""),0.3108108108108108)</f>
        <v>0.3108108108</v>
      </c>
      <c r="N297" s="31">
        <f>IFERROR(__xludf.DUMMYFUNCTION("""COMPUTED_VALUE"""),349.2903225806452)</f>
        <v>349.2903226</v>
      </c>
      <c r="O297" s="57">
        <f>IFERROR(__xludf.DUMMYFUNCTION("""COMPUTED_VALUE"""),0.7419354838709677)</f>
        <v>0.7419354839</v>
      </c>
      <c r="P297" s="57">
        <f>IFERROR(__xludf.DUMMYFUNCTION("""COMPUTED_VALUE"""),0.3225806451612903)</f>
        <v>0.3225806452</v>
      </c>
      <c r="Q297" s="57">
        <f>IFERROR(__xludf.DUMMYFUNCTION("""COMPUTED_VALUE"""),1.3548387096774193)</f>
        <v>1.35483871</v>
      </c>
      <c r="R297" s="57">
        <f>IFERROR(__xludf.DUMMYFUNCTION("""COMPUTED_VALUE"""),2.3870967741935485)</f>
        <v>2.387096774</v>
      </c>
      <c r="S297" s="31">
        <f>IFERROR(__xludf.DUMMYFUNCTION("""COMPUTED_VALUE"""),372.3870967741936)</f>
        <v>372.3870968</v>
      </c>
      <c r="T297" s="57">
        <f>IFERROR(__xludf.DUMMYFUNCTION("""COMPUTED_VALUE"""),0.8494623655913978)</f>
        <v>0.8494623656</v>
      </c>
      <c r="U297" s="57">
        <f>IFERROR(__xludf.DUMMYFUNCTION("""COMPUTED_VALUE"""),0.5806451612903225)</f>
        <v>0.5806451613</v>
      </c>
      <c r="V297" s="57">
        <f>IFERROR(__xludf.DUMMYFUNCTION("""COMPUTED_VALUE"""),1.3440860215053763)</f>
        <v>1.344086022</v>
      </c>
      <c r="W297" s="57">
        <f>IFERROR(__xludf.DUMMYFUNCTION("""COMPUTED_VALUE"""),2.806451612903225)</f>
        <v>2.806451613</v>
      </c>
      <c r="X297" s="31">
        <f>IFERROR(__xludf.DUMMYFUNCTION("""COMPUTED_VALUE"""),368.6381545349374)</f>
        <v>368.6381545</v>
      </c>
      <c r="Y297" s="57">
        <f>IFERROR(__xludf.DUMMYFUNCTION("""COMPUTED_VALUE"""),0.7976419908294987)</f>
        <v>0.7976419908</v>
      </c>
      <c r="Z297" s="57">
        <f>IFERROR(__xludf.DUMMYFUNCTION("""COMPUTED_VALUE"""),0.592615121377841)</f>
        <v>0.5926151214</v>
      </c>
      <c r="AA297" s="57">
        <f>IFERROR(__xludf.DUMMYFUNCTION("""COMPUTED_VALUE"""),1.4397499638610358)</f>
        <v>1.439749964</v>
      </c>
      <c r="AB297" s="57">
        <f>IFERROR(__xludf.DUMMYFUNCTION("""COMPUTED_VALUE"""),2.769209471272536)</f>
        <v>2.769209471</v>
      </c>
      <c r="AC297" s="31">
        <f>IFERROR(__xludf.DUMMYFUNCTION("""COMPUTED_VALUE"""),357.0925508893889)</f>
        <v>357.0925509</v>
      </c>
      <c r="AD297" s="57">
        <f>IFERROR(__xludf.DUMMYFUNCTION("""COMPUTED_VALUE"""),0.7510017340860557)</f>
        <v>0.7510017341</v>
      </c>
      <c r="AE297" s="57">
        <f>IFERROR(__xludf.DUMMYFUNCTION("""COMPUTED_VALUE"""),0.5609430668534573)</f>
        <v>0.5609430669</v>
      </c>
      <c r="AF297" s="57">
        <f>IFERROR(__xludf.DUMMYFUNCTION("""COMPUTED_VALUE"""),1.4202264615555193)</f>
        <v>1.420226462</v>
      </c>
      <c r="AG297" s="57">
        <f>IFERROR(__xludf.DUMMYFUNCTION("""COMPUTED_VALUE"""),2.6032004367468478)</f>
        <v>2.603200437</v>
      </c>
      <c r="AH297" s="57">
        <f>IFERROR(__xludf.DUMMYFUNCTION("""COMPUTED_VALUE"""),0.9781506830951494)</f>
        <v>0.9781506831</v>
      </c>
      <c r="AI297" s="57">
        <f>IFERROR(__xludf.DUMMYFUNCTION("""COMPUTED_VALUE"""),0.9879277905714541)</f>
        <v>0.9879277906</v>
      </c>
      <c r="AJ297" s="57">
        <f>IFERROR(__xludf.DUMMYFUNCTION("""COMPUTED_VALUE"""),0.5750684235581477)</f>
        <v>0.5750684236</v>
      </c>
      <c r="AK297" s="57">
        <f>IFERROR(__xludf.DUMMYFUNCTION("""COMPUTED_VALUE"""),0.9539596299265658)</f>
        <v>0.9539596299</v>
      </c>
      <c r="AL297" s="57">
        <f>IFERROR(__xludf.DUMMYFUNCTION("""COMPUTED_VALUE"""),0.9169853924796669)</f>
        <v>0.9169853925</v>
      </c>
      <c r="AM297" s="57">
        <f>IFERROR(__xludf.DUMMYFUNCTION("""COMPUTED_VALUE"""),1.0101697075930345)</f>
        <v>1.010169708</v>
      </c>
      <c r="AN297" s="57">
        <f>IFERROR(__xludf.DUMMYFUNCTION("""COMPUTED_VALUE"""),1.0649669593096636)</f>
        <v>1.064966959</v>
      </c>
      <c r="AO297" s="57">
        <f>IFERROR(__xludf.DUMMYFUNCTION("""COMPUTED_VALUE"""),0.9798014602467651)</f>
        <v>0.9798014602</v>
      </c>
      <c r="AP297" s="35">
        <f>IFERROR(__xludf.DUMMYFUNCTION("""COMPUTED_VALUE"""),0.9335551694690697)</f>
        <v>0.9335551695</v>
      </c>
      <c r="AQ297" s="57">
        <f>IFERROR(__xludf.DUMMYFUNCTION("""COMPUTED_VALUE"""),1.0134486545770678)</f>
        <v>1.013448655</v>
      </c>
      <c r="AR297" s="36" t="b">
        <f>IFERROR(__xludf.DUMMYFUNCTION("""COMPUTED_VALUE"""),TRUE)</f>
        <v>1</v>
      </c>
      <c r="AS297" s="57"/>
      <c r="AT297" s="37"/>
      <c r="AU297" s="30"/>
      <c r="AV297" s="30"/>
      <c r="AW297" s="30"/>
      <c r="AX297" s="30"/>
      <c r="AY297" s="30"/>
      <c r="AZ297" s="30"/>
    </row>
    <row r="298">
      <c r="A298" s="30" t="str">
        <f>IFERROR(__xludf.DUMMYFUNCTION("""COMPUTED_VALUE"""),"Elite")</f>
        <v>Elite</v>
      </c>
      <c r="B298" s="30" t="str">
        <f>IFERROR(__xludf.DUMMYFUNCTION("""COMPUTED_VALUE"""),"RSC007642")</f>
        <v>RSC007642</v>
      </c>
      <c r="C298" s="30" t="str">
        <f>IFERROR(__xludf.DUMMYFUNCTION("""COMPUTED_VALUE"""),"Luminati7")</f>
        <v>Luminati7</v>
      </c>
      <c r="D298" s="31"/>
      <c r="E298" s="31">
        <f>IFERROR(__xludf.DUMMYFUNCTION("""COMPUTED_VALUE"""),43.300964483674974)</f>
        <v>43.30096448</v>
      </c>
      <c r="F298" s="31">
        <f>IFERROR(__xludf.DUMMYFUNCTION("""COMPUTED_VALUE"""),-2.5357251503971163)</f>
        <v>-2.53572515</v>
      </c>
      <c r="G298" s="31">
        <f>IFERROR(__xludf.DUMMYFUNCTION("""COMPUTED_VALUE"""),38.65822490672755)</f>
        <v>38.65822491</v>
      </c>
      <c r="H298" s="31">
        <f>IFERROR(__xludf.DUMMYFUNCTION("""COMPUTED_VALUE"""),-3.076612386343558)</f>
        <v>-3.076612386</v>
      </c>
      <c r="I298" s="54">
        <f>IFERROR(__xludf.DUMMYFUNCTION("""COMPUTED_VALUE"""),8.0)</f>
        <v>8</v>
      </c>
      <c r="J298" s="55">
        <f>IFERROR(__xludf.DUMMYFUNCTION("""COMPUTED_VALUE"""),2.0)</f>
        <v>2</v>
      </c>
      <c r="K298" s="54">
        <f>IFERROR(__xludf.DUMMYFUNCTION("""COMPUTED_VALUE"""),6.0)</f>
        <v>6</v>
      </c>
      <c r="L298" s="56">
        <f>IFERROR(__xludf.DUMMYFUNCTION("""COMPUTED_VALUE"""),0.25)</f>
        <v>0.25</v>
      </c>
      <c r="M298" s="56">
        <f>IFERROR(__xludf.DUMMYFUNCTION("""COMPUTED_VALUE"""),0.35294117647058826)</f>
        <v>0.3529411765</v>
      </c>
      <c r="N298" s="31">
        <f>IFERROR(__xludf.DUMMYFUNCTION("""COMPUTED_VALUE"""),458.25)</f>
        <v>458.25</v>
      </c>
      <c r="O298" s="57">
        <f>IFERROR(__xludf.DUMMYFUNCTION("""COMPUTED_VALUE"""),0.75)</f>
        <v>0.75</v>
      </c>
      <c r="P298" s="57">
        <f>IFERROR(__xludf.DUMMYFUNCTION("""COMPUTED_VALUE"""),0.25)</f>
        <v>0.25</v>
      </c>
      <c r="Q298" s="57">
        <f>IFERROR(__xludf.DUMMYFUNCTION("""COMPUTED_VALUE"""),2.75)</f>
        <v>2.75</v>
      </c>
      <c r="R298" s="57">
        <f>IFERROR(__xludf.DUMMYFUNCTION("""COMPUTED_VALUE"""),2.125)</f>
        <v>2.125</v>
      </c>
      <c r="S298" s="31">
        <f>IFERROR(__xludf.DUMMYFUNCTION("""COMPUTED_VALUE"""),427.9166666666667)</f>
        <v>427.9166667</v>
      </c>
      <c r="T298" s="57">
        <f>IFERROR(__xludf.DUMMYFUNCTION("""COMPUTED_VALUE"""),0.9166666666666666)</f>
        <v>0.9166666667</v>
      </c>
      <c r="U298" s="57">
        <f>IFERROR(__xludf.DUMMYFUNCTION("""COMPUTED_VALUE"""),0.7916666666666666)</f>
        <v>0.7916666667</v>
      </c>
      <c r="V298" s="57">
        <f>IFERROR(__xludf.DUMMYFUNCTION("""COMPUTED_VALUE"""),1.5416666666666667)</f>
        <v>1.541666667</v>
      </c>
      <c r="W298" s="57">
        <f>IFERROR(__xludf.DUMMYFUNCTION("""COMPUTED_VALUE"""),3.791666666666667)</f>
        <v>3.791666667</v>
      </c>
      <c r="X298" s="31">
        <f>IFERROR(__xludf.DUMMYFUNCTION("""COMPUTED_VALUE"""),366.1631117724868)</f>
        <v>366.1631118</v>
      </c>
      <c r="Y298" s="57">
        <f>IFERROR(__xludf.DUMMYFUNCTION("""COMPUTED_VALUE"""),0.802827380952381)</f>
        <v>0.802827381</v>
      </c>
      <c r="Z298" s="57">
        <f>IFERROR(__xludf.DUMMYFUNCTION("""COMPUTED_VALUE"""),0.6767526455026455)</f>
        <v>0.6767526455</v>
      </c>
      <c r="AA298" s="57">
        <f>IFERROR(__xludf.DUMMYFUNCTION("""COMPUTED_VALUE"""),1.3192791005291007)</f>
        <v>1.319279101</v>
      </c>
      <c r="AB298" s="57">
        <f>IFERROR(__xludf.DUMMYFUNCTION("""COMPUTED_VALUE"""),2.839368386243386)</f>
        <v>2.839368386</v>
      </c>
      <c r="AC298" s="31">
        <f>IFERROR(__xludf.DUMMYFUNCTION("""COMPUTED_VALUE"""),349.21563602292775)</f>
        <v>349.215636</v>
      </c>
      <c r="AD298" s="57">
        <f>IFERROR(__xludf.DUMMYFUNCTION("""COMPUTED_VALUE"""),0.6552303791887125)</f>
        <v>0.6552303792</v>
      </c>
      <c r="AE298" s="57">
        <f>IFERROR(__xludf.DUMMYFUNCTION("""COMPUTED_VALUE"""),0.48360339506172845)</f>
        <v>0.4836033951</v>
      </c>
      <c r="AF298" s="57">
        <f>IFERROR(__xludf.DUMMYFUNCTION("""COMPUTED_VALUE"""),1.5964781746031746)</f>
        <v>1.596478175</v>
      </c>
      <c r="AG298" s="57">
        <f>IFERROR(__xludf.DUMMYFUNCTION("""COMPUTED_VALUE"""),2.4321814373897706)</f>
        <v>2.432181437</v>
      </c>
      <c r="AH298" s="57">
        <f>IFERROR(__xludf.DUMMYFUNCTION("""COMPUTED_VALUE"""),1.312226466199565)</f>
        <v>1.312226466</v>
      </c>
      <c r="AI298" s="57">
        <f>IFERROR(__xludf.DUMMYFUNCTION("""COMPUTED_VALUE"""),1.1446355721916137)</f>
        <v>1.144635572</v>
      </c>
      <c r="AJ298" s="57">
        <f>IFERROR(__xludf.DUMMYFUNCTION("""COMPUTED_VALUE"""),0.5169525329078579)</f>
        <v>0.5169525329</v>
      </c>
      <c r="AK298" s="57">
        <f>IFERROR(__xludf.DUMMYFUNCTION("""COMPUTED_VALUE"""),1.7225415566257574)</f>
        <v>1.722541557</v>
      </c>
      <c r="AL298" s="57">
        <f>IFERROR(__xludf.DUMMYFUNCTION("""COMPUTED_VALUE"""),0.8737012655933106)</f>
        <v>0.8737012656</v>
      </c>
      <c r="AM298" s="57">
        <f>IFERROR(__xludf.DUMMYFUNCTION("""COMPUTED_VALUE"""),1.1686503989854393)</f>
        <v>1.168650399</v>
      </c>
      <c r="AN298" s="57">
        <f>IFERROR(__xludf.DUMMYFUNCTION("""COMPUTED_VALUE"""),1.1417979610750693)</f>
        <v>1.141797961</v>
      </c>
      <c r="AO298" s="57">
        <f>IFERROR(__xludf.DUMMYFUNCTION("""COMPUTED_VALUE"""),1.169802101148302)</f>
        <v>1.169802101</v>
      </c>
      <c r="AP298" s="35">
        <f>IFERROR(__xludf.DUMMYFUNCTION("""COMPUTED_VALUE"""),1.1685674896603584)</f>
        <v>1.16856749</v>
      </c>
      <c r="AQ298" s="57">
        <f>IFERROR(__xludf.DUMMYFUNCTION("""COMPUTED_VALUE"""),1.335390886591935)</f>
        <v>1.335390887</v>
      </c>
      <c r="AR298" s="36" t="b">
        <f>IFERROR(__xludf.DUMMYFUNCTION("""COMPUTED_VALUE"""),TRUE)</f>
        <v>1</v>
      </c>
      <c r="AS298" s="57"/>
      <c r="AT298" s="37"/>
      <c r="AU298" s="30"/>
      <c r="AV298" s="30"/>
      <c r="AW298" s="30"/>
      <c r="AX298" s="30"/>
      <c r="AY298" s="30"/>
      <c r="AZ298" s="30"/>
    </row>
    <row r="299">
      <c r="A299" s="30" t="str">
        <f>IFERROR(__xludf.DUMMYFUNCTION("""COMPUTED_VALUE"""),"Elite")</f>
        <v>Elite</v>
      </c>
      <c r="B299" s="30" t="str">
        <f>IFERROR(__xludf.DUMMYFUNCTION("""COMPUTED_VALUE"""),"RSC005508")</f>
        <v>RSC005508</v>
      </c>
      <c r="C299" s="30" t="str">
        <f>IFERROR(__xludf.DUMMYFUNCTION("""COMPUTED_VALUE"""),"Lil Windex")</f>
        <v>Lil Windex</v>
      </c>
      <c r="D299" s="31" t="str">
        <f>IFERROR(__xludf.DUMMYFUNCTION("""COMPUTED_VALUE"""),"Cyclones")</f>
        <v>Cyclones</v>
      </c>
      <c r="E299" s="31">
        <f>IFERROR(__xludf.DUMMYFUNCTION("""COMPUTED_VALUE"""),42.75432668705395)</f>
        <v>42.75432669</v>
      </c>
      <c r="F299" s="31">
        <f>IFERROR(__xludf.DUMMYFUNCTION("""COMPUTED_VALUE"""),-2.590845931519263)</f>
        <v>-2.590845932</v>
      </c>
      <c r="G299" s="31">
        <f>IFERROR(__xludf.DUMMYFUNCTION("""COMPUTED_VALUE"""),49.11435474577822)</f>
        <v>49.11435475</v>
      </c>
      <c r="H299" s="31">
        <f>IFERROR(__xludf.DUMMYFUNCTION("""COMPUTED_VALUE"""),-2.058163274081514)</f>
        <v>-2.058163274</v>
      </c>
      <c r="I299" s="54">
        <f>IFERROR(__xludf.DUMMYFUNCTION("""COMPUTED_VALUE"""),28.0)</f>
        <v>28</v>
      </c>
      <c r="J299" s="55">
        <f>IFERROR(__xludf.DUMMYFUNCTION("""COMPUTED_VALUE"""),15.0)</f>
        <v>15</v>
      </c>
      <c r="K299" s="54">
        <f>IFERROR(__xludf.DUMMYFUNCTION("""COMPUTED_VALUE"""),13.0)</f>
        <v>13</v>
      </c>
      <c r="L299" s="56">
        <f>IFERROR(__xludf.DUMMYFUNCTION("""COMPUTED_VALUE"""),0.5357142857142857)</f>
        <v>0.5357142857</v>
      </c>
      <c r="M299" s="56">
        <f>IFERROR(__xludf.DUMMYFUNCTION("""COMPUTED_VALUE"""),0.22058823529411767)</f>
        <v>0.2205882353</v>
      </c>
      <c r="N299" s="31">
        <f>IFERROR(__xludf.DUMMYFUNCTION("""COMPUTED_VALUE"""),364.85714285714283)</f>
        <v>364.8571429</v>
      </c>
      <c r="O299" s="57">
        <f>IFERROR(__xludf.DUMMYFUNCTION("""COMPUTED_VALUE"""),0.5357142857142857)</f>
        <v>0.5357142857</v>
      </c>
      <c r="P299" s="57">
        <f>IFERROR(__xludf.DUMMYFUNCTION("""COMPUTED_VALUE"""),0.6785714285714286)</f>
        <v>0.6785714286</v>
      </c>
      <c r="Q299" s="57">
        <f>IFERROR(__xludf.DUMMYFUNCTION("""COMPUTED_VALUE"""),1.7142857142857142)</f>
        <v>1.714285714</v>
      </c>
      <c r="R299" s="57">
        <f>IFERROR(__xludf.DUMMYFUNCTION("""COMPUTED_VALUE"""),2.4285714285714284)</f>
        <v>2.428571429</v>
      </c>
      <c r="S299" s="31">
        <f>IFERROR(__xludf.DUMMYFUNCTION("""COMPUTED_VALUE"""),359.3690476190476)</f>
        <v>359.3690476</v>
      </c>
      <c r="T299" s="57">
        <f>IFERROR(__xludf.DUMMYFUNCTION("""COMPUTED_VALUE"""),0.7380952380952381)</f>
        <v>0.7380952381</v>
      </c>
      <c r="U299" s="57">
        <f>IFERROR(__xludf.DUMMYFUNCTION("""COMPUTED_VALUE"""),0.4999999999999999)</f>
        <v>0.5</v>
      </c>
      <c r="V299" s="57">
        <f>IFERROR(__xludf.DUMMYFUNCTION("""COMPUTED_VALUE"""),1.5476190476190474)</f>
        <v>1.547619048</v>
      </c>
      <c r="W299" s="57">
        <f>IFERROR(__xludf.DUMMYFUNCTION("""COMPUTED_VALUE"""),2.6428571428571432)</f>
        <v>2.642857143</v>
      </c>
      <c r="X299" s="31">
        <f>IFERROR(__xludf.DUMMYFUNCTION("""COMPUTED_VALUE"""),361.0189365930826)</f>
        <v>361.0189366</v>
      </c>
      <c r="Y299" s="57">
        <f>IFERROR(__xludf.DUMMYFUNCTION("""COMPUTED_VALUE"""),0.7473738232666809)</f>
        <v>0.7473738233</v>
      </c>
      <c r="Z299" s="57">
        <f>IFERROR(__xludf.DUMMYFUNCTION("""COMPUTED_VALUE"""),0.499081599042779)</f>
        <v>0.499081599</v>
      </c>
      <c r="AA299" s="57">
        <f>IFERROR(__xludf.DUMMYFUNCTION("""COMPUTED_VALUE"""),1.5870791992686395)</f>
        <v>1.587079199</v>
      </c>
      <c r="AB299" s="57">
        <f>IFERROR(__xludf.DUMMYFUNCTION("""COMPUTED_VALUE"""),2.5526620837179834)</f>
        <v>2.552662084</v>
      </c>
      <c r="AC299" s="31">
        <f>IFERROR(__xludf.DUMMYFUNCTION("""COMPUTED_VALUE"""),375.41745921578985)</f>
        <v>375.4174592</v>
      </c>
      <c r="AD299" s="57">
        <f>IFERROR(__xludf.DUMMYFUNCTION("""COMPUTED_VALUE"""),0.8536466409137216)</f>
        <v>0.8536466409</v>
      </c>
      <c r="AE299" s="57">
        <f>IFERROR(__xludf.DUMMYFUNCTION("""COMPUTED_VALUE"""),0.6425837792297419)</f>
        <v>0.6425837792</v>
      </c>
      <c r="AF299" s="57">
        <f>IFERROR(__xludf.DUMMYFUNCTION("""COMPUTED_VALUE"""),1.3930619166126417)</f>
        <v>1.393061917</v>
      </c>
      <c r="AG299" s="57">
        <f>IFERROR(__xludf.DUMMYFUNCTION("""COMPUTED_VALUE"""),2.8891621591543943)</f>
        <v>2.889162159</v>
      </c>
      <c r="AH299" s="57">
        <f>IFERROR(__xludf.DUMMYFUNCTION("""COMPUTED_VALUE"""),0.9718704708600754)</f>
        <v>0.9718704709</v>
      </c>
      <c r="AI299" s="57">
        <f>IFERROR(__xludf.DUMMYFUNCTION("""COMPUTED_VALUE"""),0.6275597654093394)</f>
        <v>0.6275597654</v>
      </c>
      <c r="AJ299" s="57">
        <f>IFERROR(__xludf.DUMMYFUNCTION("""COMPUTED_VALUE"""),1.056004602831439)</f>
        <v>1.056004603</v>
      </c>
      <c r="AK299" s="57">
        <f>IFERROR(__xludf.DUMMYFUNCTION("""COMPUTED_VALUE"""),1.230588313299209)</f>
        <v>1.230588313</v>
      </c>
      <c r="AL299" s="57">
        <f>IFERROR(__xludf.DUMMYFUNCTION("""COMPUTED_VALUE"""),0.8405798272265297)</f>
        <v>0.8405798272</v>
      </c>
      <c r="AM299" s="57">
        <f>IFERROR(__xludf.DUMMYFUNCTION("""COMPUTED_VALUE"""),0.9954299101603784)</f>
        <v>0.9954299102</v>
      </c>
      <c r="AN299" s="57">
        <f>IFERROR(__xludf.DUMMYFUNCTION("""COMPUTED_VALUE"""),0.9875850814109501)</f>
        <v>0.9875850814</v>
      </c>
      <c r="AO299" s="57">
        <f>IFERROR(__xludf.DUMMYFUNCTION("""COMPUTED_VALUE"""),1.0018401819641967)</f>
        <v>1.001840182</v>
      </c>
      <c r="AP299" s="35">
        <f>IFERROR(__xludf.DUMMYFUNCTION("""COMPUTED_VALUE"""),0.9751366209904483)</f>
        <v>0.975136621</v>
      </c>
      <c r="AQ299" s="57">
        <f>IFERROR(__xludf.DUMMYFUNCTION("""COMPUTED_VALUE"""),1.0353337246298537)</f>
        <v>1.035333725</v>
      </c>
      <c r="AR299" s="36" t="b">
        <f>IFERROR(__xludf.DUMMYFUNCTION("""COMPUTED_VALUE"""),TRUE)</f>
        <v>1</v>
      </c>
      <c r="AS299" s="57"/>
      <c r="AT299" s="37"/>
      <c r="AU299" s="30"/>
      <c r="AV299" s="30"/>
      <c r="AW299" s="30"/>
      <c r="AX299" s="30"/>
      <c r="AY299" s="30"/>
      <c r="AZ299" s="30"/>
    </row>
    <row r="300">
      <c r="A300" s="30" t="str">
        <f>IFERROR(__xludf.DUMMYFUNCTION("""COMPUTED_VALUE"""),"Elite")</f>
        <v>Elite</v>
      </c>
      <c r="B300" s="30" t="str">
        <f>IFERROR(__xludf.DUMMYFUNCTION("""COMPUTED_VALUE"""),"RSC007514")</f>
        <v>RSC007514</v>
      </c>
      <c r="C300" s="30" t="str">
        <f>IFERROR(__xludf.DUMMYFUNCTION("""COMPUTED_VALUE"""),"Sauce_Boss_36")</f>
        <v>Sauce_Boss_36</v>
      </c>
      <c r="D300" s="31" t="str">
        <f>IFERROR(__xludf.DUMMYFUNCTION("""COMPUTED_VALUE"""),"Majesties")</f>
        <v>Majesties</v>
      </c>
      <c r="E300" s="31">
        <f>IFERROR(__xludf.DUMMYFUNCTION("""COMPUTED_VALUE"""),42.25631873382668)</f>
        <v>42.25631873</v>
      </c>
      <c r="F300" s="31">
        <f>IFERROR(__xludf.DUMMYFUNCTION("""COMPUTED_VALUE"""),-2.642869676748835)</f>
        <v>-2.642869677</v>
      </c>
      <c r="G300" s="31">
        <f>IFERROR(__xludf.DUMMYFUNCTION("""COMPUTED_VALUE"""),32.58964384690032)</f>
        <v>32.58964385</v>
      </c>
      <c r="H300" s="31">
        <f>IFERROR(__xludf.DUMMYFUNCTION("""COMPUTED_VALUE"""),-4.113792063955218)</f>
        <v>-4.113792064</v>
      </c>
      <c r="I300" s="54">
        <f>IFERROR(__xludf.DUMMYFUNCTION("""COMPUTED_VALUE"""),33.0)</f>
        <v>33</v>
      </c>
      <c r="J300" s="55">
        <f>IFERROR(__xludf.DUMMYFUNCTION("""COMPUTED_VALUE"""),9.0)</f>
        <v>9</v>
      </c>
      <c r="K300" s="54">
        <f>IFERROR(__xludf.DUMMYFUNCTION("""COMPUTED_VALUE"""),24.0)</f>
        <v>24</v>
      </c>
      <c r="L300" s="56">
        <f>IFERROR(__xludf.DUMMYFUNCTION("""COMPUTED_VALUE"""),0.2727272727272727)</f>
        <v>0.2727272727</v>
      </c>
      <c r="M300" s="56">
        <f>IFERROR(__xludf.DUMMYFUNCTION("""COMPUTED_VALUE"""),0.36)</f>
        <v>0.36</v>
      </c>
      <c r="N300" s="31">
        <f>IFERROR(__xludf.DUMMYFUNCTION("""COMPUTED_VALUE"""),336.42424242424244)</f>
        <v>336.4242424</v>
      </c>
      <c r="O300" s="57">
        <f>IFERROR(__xludf.DUMMYFUNCTION("""COMPUTED_VALUE"""),0.8181818181818182)</f>
        <v>0.8181818182</v>
      </c>
      <c r="P300" s="57">
        <f>IFERROR(__xludf.DUMMYFUNCTION("""COMPUTED_VALUE"""),0.45454545454545453)</f>
        <v>0.4545454545</v>
      </c>
      <c r="Q300" s="57">
        <f>IFERROR(__xludf.DUMMYFUNCTION("""COMPUTED_VALUE"""),1.393939393939394)</f>
        <v>1.393939394</v>
      </c>
      <c r="R300" s="57">
        <f>IFERROR(__xludf.DUMMYFUNCTION("""COMPUTED_VALUE"""),2.272727272727273)</f>
        <v>2.272727273</v>
      </c>
      <c r="S300" s="31">
        <f>IFERROR(__xludf.DUMMYFUNCTION("""COMPUTED_VALUE"""),407.1414141414142)</f>
        <v>407.1414141</v>
      </c>
      <c r="T300" s="57">
        <f>IFERROR(__xludf.DUMMYFUNCTION("""COMPUTED_VALUE"""),1.111111111111111)</f>
        <v>1.111111111</v>
      </c>
      <c r="U300" s="57">
        <f>IFERROR(__xludf.DUMMYFUNCTION("""COMPUTED_VALUE"""),0.8080808080808082)</f>
        <v>0.8080808081</v>
      </c>
      <c r="V300" s="57">
        <f>IFERROR(__xludf.DUMMYFUNCTION("""COMPUTED_VALUE"""),1.3030303030303028)</f>
        <v>1.303030303</v>
      </c>
      <c r="W300" s="57">
        <f>IFERROR(__xludf.DUMMYFUNCTION("""COMPUTED_VALUE"""),3.1616161616161613)</f>
        <v>3.161616162</v>
      </c>
      <c r="X300" s="31">
        <f>IFERROR(__xludf.DUMMYFUNCTION("""COMPUTED_VALUE"""),370.5941280961969)</f>
        <v>370.5941281</v>
      </c>
      <c r="Y300" s="57">
        <f>IFERROR(__xludf.DUMMYFUNCTION("""COMPUTED_VALUE"""),0.8165013692363401)</f>
        <v>0.8165013692</v>
      </c>
      <c r="Z300" s="57">
        <f>IFERROR(__xludf.DUMMYFUNCTION("""COMPUTED_VALUE"""),0.6199532920682657)</f>
        <v>0.6199532921</v>
      </c>
      <c r="AA300" s="57">
        <f>IFERROR(__xludf.DUMMYFUNCTION("""COMPUTED_VALUE"""),1.3841043357208775)</f>
        <v>1.384104336</v>
      </c>
      <c r="AB300" s="57">
        <f>IFERROR(__xludf.DUMMYFUNCTION("""COMPUTED_VALUE"""),2.840384536071967)</f>
        <v>2.840384536</v>
      </c>
      <c r="AC300" s="31">
        <f>IFERROR(__xludf.DUMMYFUNCTION("""COMPUTED_VALUE"""),357.6627216449328)</f>
        <v>357.6627216</v>
      </c>
      <c r="AD300" s="57">
        <f>IFERROR(__xludf.DUMMYFUNCTION("""COMPUTED_VALUE"""),0.7222546318054845)</f>
        <v>0.7222546318</v>
      </c>
      <c r="AE300" s="57">
        <f>IFERROR(__xludf.DUMMYFUNCTION("""COMPUTED_VALUE"""),0.5349189817624409)</f>
        <v>0.5349189818</v>
      </c>
      <c r="AF300" s="57">
        <f>IFERROR(__xludf.DUMMYFUNCTION("""COMPUTED_VALUE"""),1.499961808741352)</f>
        <v>1.499961809</v>
      </c>
      <c r="AG300" s="57">
        <f>IFERROR(__xludf.DUMMYFUNCTION("""COMPUTED_VALUE"""),2.5304702820338014)</f>
        <v>2.530470282</v>
      </c>
      <c r="AH300" s="57">
        <f>IFERROR(__xludf.DUMMYFUNCTION("""COMPUTED_VALUE"""),0.9406186948334674)</f>
        <v>0.9406186948</v>
      </c>
      <c r="AI300" s="57">
        <f>IFERROR(__xludf.DUMMYFUNCTION("""COMPUTED_VALUE"""),1.1328162979537229)</f>
        <v>1.132816298</v>
      </c>
      <c r="AJ300" s="57">
        <f>IFERROR(__xludf.DUMMYFUNCTION("""COMPUTED_VALUE"""),0.8497463542008302)</f>
        <v>0.8497463542</v>
      </c>
      <c r="AK300" s="57">
        <f>IFERROR(__xludf.DUMMYFUNCTION("""COMPUTED_VALUE"""),0.9293165904731111)</f>
        <v>0.9293165905</v>
      </c>
      <c r="AL300" s="57">
        <f>IFERROR(__xludf.DUMMYFUNCTION("""COMPUTED_VALUE"""),0.8981442259423121)</f>
        <v>0.8981442259</v>
      </c>
      <c r="AM300" s="57">
        <f>IFERROR(__xludf.DUMMYFUNCTION("""COMPUTED_VALUE"""),1.0986180926097417)</f>
        <v>1.098618093</v>
      </c>
      <c r="AN300" s="57">
        <f>IFERROR(__xludf.DUMMYFUNCTION("""COMPUTED_VALUE"""),1.3608196544119875)</f>
        <v>1.360819654</v>
      </c>
      <c r="AO300" s="57">
        <f>IFERROR(__xludf.DUMMYFUNCTION("""COMPUTED_VALUE"""),1.30345433828558)</f>
        <v>1.303454338</v>
      </c>
      <c r="AP300" s="35">
        <f>IFERROR(__xludf.DUMMYFUNCTION("""COMPUTED_VALUE"""),0.9414249124157614)</f>
        <v>0.9414249124</v>
      </c>
      <c r="AQ300" s="57">
        <f>IFERROR(__xludf.DUMMYFUNCTION("""COMPUTED_VALUE"""),1.1130944143177293)</f>
        <v>1.113094414</v>
      </c>
      <c r="AR300" s="36" t="b">
        <f>IFERROR(__xludf.DUMMYFUNCTION("""COMPUTED_VALUE"""),TRUE)</f>
        <v>1</v>
      </c>
      <c r="AS300" s="57"/>
      <c r="AT300" s="37"/>
      <c r="AU300" s="30"/>
      <c r="AV300" s="30"/>
      <c r="AW300" s="30"/>
      <c r="AX300" s="30"/>
      <c r="AY300" s="30"/>
      <c r="AZ300" s="30"/>
    </row>
    <row r="301">
      <c r="A301" s="30" t="str">
        <f>IFERROR(__xludf.DUMMYFUNCTION("""COMPUTED_VALUE"""),"Elite")</f>
        <v>Elite</v>
      </c>
      <c r="B301" s="30" t="str">
        <f>IFERROR(__xludf.DUMMYFUNCTION("""COMPUTED_VALUE"""),"RSC007269")</f>
        <v>RSC007269</v>
      </c>
      <c r="C301" s="30" t="str">
        <f>IFERROR(__xludf.DUMMYFUNCTION("""COMPUTED_VALUE"""),"Navik")</f>
        <v>Navik</v>
      </c>
      <c r="D301" s="31" t="str">
        <f>IFERROR(__xludf.DUMMYFUNCTION("""COMPUTED_VALUE"""),"Stoked Blokes")</f>
        <v>Stoked Blokes</v>
      </c>
      <c r="E301" s="31">
        <f>IFERROR(__xludf.DUMMYFUNCTION("""COMPUTED_VALUE"""),41.80304601269674)</f>
        <v>41.80304601</v>
      </c>
      <c r="F301" s="31">
        <f>IFERROR(__xludf.DUMMYFUNCTION("""COMPUTED_VALUE"""),-2.6917763173390363)</f>
        <v>-2.691776317</v>
      </c>
      <c r="G301" s="31">
        <f>IFERROR(__xludf.DUMMYFUNCTION("""COMPUTED_VALUE"""),42.56641809722177)</f>
        <v>42.5664181</v>
      </c>
      <c r="H301" s="31">
        <f>IFERROR(__xludf.DUMMYFUNCTION("""COMPUTED_VALUE"""),-2.6102693770104866)</f>
        <v>-2.610269377</v>
      </c>
      <c r="I301" s="54">
        <f>IFERROR(__xludf.DUMMYFUNCTION("""COMPUTED_VALUE"""),34.0)</f>
        <v>34</v>
      </c>
      <c r="J301" s="55">
        <f>IFERROR(__xludf.DUMMYFUNCTION("""COMPUTED_VALUE"""),16.0)</f>
        <v>16</v>
      </c>
      <c r="K301" s="54">
        <f>IFERROR(__xludf.DUMMYFUNCTION("""COMPUTED_VALUE"""),18.0)</f>
        <v>18</v>
      </c>
      <c r="L301" s="56">
        <f>IFERROR(__xludf.DUMMYFUNCTION("""COMPUTED_VALUE"""),0.47058823529411764)</f>
        <v>0.4705882353</v>
      </c>
      <c r="M301" s="56">
        <f>IFERROR(__xludf.DUMMYFUNCTION("""COMPUTED_VALUE"""),0.3243243243243244)</f>
        <v>0.3243243243</v>
      </c>
      <c r="N301" s="31">
        <f>IFERROR(__xludf.DUMMYFUNCTION("""COMPUTED_VALUE"""),340.47058823529414)</f>
        <v>340.4705882</v>
      </c>
      <c r="O301" s="57">
        <f>IFERROR(__xludf.DUMMYFUNCTION("""COMPUTED_VALUE"""),0.7058823529411765)</f>
        <v>0.7058823529</v>
      </c>
      <c r="P301" s="57">
        <f>IFERROR(__xludf.DUMMYFUNCTION("""COMPUTED_VALUE"""),0.35294117647058826)</f>
        <v>0.3529411765</v>
      </c>
      <c r="Q301" s="57">
        <f>IFERROR(__xludf.DUMMYFUNCTION("""COMPUTED_VALUE"""),1.5)</f>
        <v>1.5</v>
      </c>
      <c r="R301" s="57">
        <f>IFERROR(__xludf.DUMMYFUNCTION("""COMPUTED_VALUE"""),2.176470588235294)</f>
        <v>2.176470588</v>
      </c>
      <c r="S301" s="31">
        <f>IFERROR(__xludf.DUMMYFUNCTION("""COMPUTED_VALUE"""),335.8333333333334)</f>
        <v>335.8333333</v>
      </c>
      <c r="T301" s="57">
        <f>IFERROR(__xludf.DUMMYFUNCTION("""COMPUTED_VALUE"""),0.6568627450980394)</f>
        <v>0.6568627451</v>
      </c>
      <c r="U301" s="57">
        <f>IFERROR(__xludf.DUMMYFUNCTION("""COMPUTED_VALUE"""),0.4901960784313726)</f>
        <v>0.4901960784</v>
      </c>
      <c r="V301" s="57">
        <f>IFERROR(__xludf.DUMMYFUNCTION("""COMPUTED_VALUE"""),1.3235294117647058)</f>
        <v>1.323529412</v>
      </c>
      <c r="W301" s="57">
        <f>IFERROR(__xludf.DUMMYFUNCTION("""COMPUTED_VALUE"""),2.5784313725490198)</f>
        <v>2.578431373</v>
      </c>
      <c r="X301" s="31">
        <f>IFERROR(__xludf.DUMMYFUNCTION("""COMPUTED_VALUE"""),361.7499282927862)</f>
        <v>361.7499283</v>
      </c>
      <c r="Y301" s="57">
        <f>IFERROR(__xludf.DUMMYFUNCTION("""COMPUTED_VALUE"""),0.7503099479412629)</f>
        <v>0.7503099479</v>
      </c>
      <c r="Z301" s="57">
        <f>IFERROR(__xludf.DUMMYFUNCTION("""COMPUTED_VALUE"""),0.5818671062926898)</f>
        <v>0.5818671063</v>
      </c>
      <c r="AA301" s="57">
        <f>IFERROR(__xludf.DUMMYFUNCTION("""COMPUTED_VALUE"""),1.5326762297479097)</f>
        <v>1.53267623</v>
      </c>
      <c r="AB301" s="57">
        <f>IFERROR(__xludf.DUMMYFUNCTION("""COMPUTED_VALUE"""),2.526954875749805)</f>
        <v>2.526954876</v>
      </c>
      <c r="AC301" s="31">
        <f>IFERROR(__xludf.DUMMYFUNCTION("""COMPUTED_VALUE"""),360.74471454399185)</f>
        <v>360.7447145</v>
      </c>
      <c r="AD301" s="57">
        <f>IFERROR(__xludf.DUMMYFUNCTION("""COMPUTED_VALUE"""),0.7845039730243782)</f>
        <v>0.784503973</v>
      </c>
      <c r="AE301" s="57">
        <f>IFERROR(__xludf.DUMMYFUNCTION("""COMPUTED_VALUE"""),0.5797166162892312)</f>
        <v>0.5797166163</v>
      </c>
      <c r="AF301" s="57">
        <f>IFERROR(__xludf.DUMMYFUNCTION("""COMPUTED_VALUE"""),1.3612578354128146)</f>
        <v>1.361257835</v>
      </c>
      <c r="AG301" s="57">
        <f>IFERROR(__xludf.DUMMYFUNCTION("""COMPUTED_VALUE"""),2.7662525306146573)</f>
        <v>2.766252531</v>
      </c>
      <c r="AH301" s="57">
        <f>IFERROR(__xludf.DUMMYFUNCTION("""COMPUTED_VALUE"""),0.9437992422582665)</f>
        <v>0.9437992423</v>
      </c>
      <c r="AI301" s="57">
        <f>IFERROR(__xludf.DUMMYFUNCTION("""COMPUTED_VALUE"""),0.8997817438959502)</f>
        <v>0.8997817439</v>
      </c>
      <c r="AJ301" s="57">
        <f>IFERROR(__xludf.DUMMYFUNCTION("""COMPUTED_VALUE"""),0.6088167331303463)</f>
        <v>0.6088167331</v>
      </c>
      <c r="AK301" s="57">
        <f>IFERROR(__xludf.DUMMYFUNCTION("""COMPUTED_VALUE"""),1.1019220319456309)</f>
        <v>1.101922032</v>
      </c>
      <c r="AL301" s="57">
        <f>IFERROR(__xludf.DUMMYFUNCTION("""COMPUTED_VALUE"""),0.7867938896206578)</f>
        <v>0.7867938896</v>
      </c>
      <c r="AM301" s="57">
        <f>IFERROR(__xludf.DUMMYFUNCTION("""COMPUTED_VALUE"""),0.9283577053304157)</f>
        <v>0.9283577053</v>
      </c>
      <c r="AN301" s="57">
        <f>IFERROR(__xludf.DUMMYFUNCTION("""COMPUTED_VALUE"""),0.8754551994150838)</f>
        <v>0.8754551994</v>
      </c>
      <c r="AO301" s="57">
        <f>IFERROR(__xludf.DUMMYFUNCTION("""COMPUTED_VALUE"""),0.8424536687674437)</f>
        <v>0.8424536688</v>
      </c>
      <c r="AP301" s="35">
        <f>IFERROR(__xludf.DUMMYFUNCTION("""COMPUTED_VALUE"""),0.8635414225628045)</f>
        <v>0.8635414226</v>
      </c>
      <c r="AQ301" s="57">
        <f>IFERROR(__xludf.DUMMYFUNCTION("""COMPUTED_VALUE"""),1.0203709600409625)</f>
        <v>1.02037096</v>
      </c>
      <c r="AR301" s="36" t="b">
        <f>IFERROR(__xludf.DUMMYFUNCTION("""COMPUTED_VALUE"""),TRUE)</f>
        <v>1</v>
      </c>
      <c r="AS301" s="57"/>
      <c r="AT301" s="37"/>
      <c r="AU301" s="30"/>
      <c r="AV301" s="30"/>
      <c r="AW301" s="30"/>
      <c r="AX301" s="30"/>
      <c r="AY301" s="30"/>
      <c r="AZ301" s="30"/>
    </row>
    <row r="302">
      <c r="A302" s="30" t="str">
        <f>IFERROR(__xludf.DUMMYFUNCTION("""COMPUTED_VALUE"""),"Elite")</f>
        <v>Elite</v>
      </c>
      <c r="B302" s="30" t="str">
        <f>IFERROR(__xludf.DUMMYFUNCTION("""COMPUTED_VALUE"""),"RSC003399")</f>
        <v>RSC003399</v>
      </c>
      <c r="C302" s="30" t="str">
        <f>IFERROR(__xludf.DUMMYFUNCTION("""COMPUTED_VALUE"""),"josan")</f>
        <v>josan</v>
      </c>
      <c r="D302" s="31"/>
      <c r="E302" s="31">
        <f>IFERROR(__xludf.DUMMYFUNCTION("""COMPUTED_VALUE"""),41.179267060382514)</f>
        <v>41.17926706</v>
      </c>
      <c r="F302" s="31">
        <f>IFERROR(__xludf.DUMMYFUNCTION("""COMPUTED_VALUE"""),-2.7616054967044708)</f>
        <v>-2.761605497</v>
      </c>
      <c r="G302" s="31">
        <f>IFERROR(__xludf.DUMMYFUNCTION("""COMPUTED_VALUE"""),43.83837594001865)</f>
        <v>43.83837594</v>
      </c>
      <c r="H302" s="31">
        <f>IFERROR(__xludf.DUMMYFUNCTION("""COMPUTED_VALUE"""),-2.4834776592033125)</f>
        <v>-2.483477659</v>
      </c>
      <c r="I302" s="54">
        <f>IFERROR(__xludf.DUMMYFUNCTION("""COMPUTED_VALUE"""),3.0)</f>
        <v>3</v>
      </c>
      <c r="J302" s="55">
        <f>IFERROR(__xludf.DUMMYFUNCTION("""COMPUTED_VALUE"""),2.0)</f>
        <v>2</v>
      </c>
      <c r="K302" s="54">
        <f>IFERROR(__xludf.DUMMYFUNCTION("""COMPUTED_VALUE"""),1.0)</f>
        <v>1</v>
      </c>
      <c r="L302" s="56">
        <f>IFERROR(__xludf.DUMMYFUNCTION("""COMPUTED_VALUE"""),0.6666666666666666)</f>
        <v>0.6666666667</v>
      </c>
      <c r="M302" s="56">
        <f>IFERROR(__xludf.DUMMYFUNCTION("""COMPUTED_VALUE"""),0.125)</f>
        <v>0.125</v>
      </c>
      <c r="N302" s="31">
        <f>IFERROR(__xludf.DUMMYFUNCTION("""COMPUTED_VALUE"""),273.6666666666667)</f>
        <v>273.6666667</v>
      </c>
      <c r="O302" s="57">
        <f>IFERROR(__xludf.DUMMYFUNCTION("""COMPUTED_VALUE"""),0.3333333333333333)</f>
        <v>0.3333333333</v>
      </c>
      <c r="P302" s="57">
        <f>IFERROR(__xludf.DUMMYFUNCTION("""COMPUTED_VALUE"""),1.3333333333333333)</f>
        <v>1.333333333</v>
      </c>
      <c r="Q302" s="57">
        <f>IFERROR(__xludf.DUMMYFUNCTION("""COMPUTED_VALUE"""),0.0)</f>
        <v>0</v>
      </c>
      <c r="R302" s="57">
        <f>IFERROR(__xludf.DUMMYFUNCTION("""COMPUTED_VALUE"""),2.6666666666666665)</f>
        <v>2.666666667</v>
      </c>
      <c r="S302" s="31">
        <f>IFERROR(__xludf.DUMMYFUNCTION("""COMPUTED_VALUE"""),422.3333333333333)</f>
        <v>422.3333333</v>
      </c>
      <c r="T302" s="57">
        <f>IFERROR(__xludf.DUMMYFUNCTION("""COMPUTED_VALUE"""),1.111111111111111)</f>
        <v>1.111111111</v>
      </c>
      <c r="U302" s="57">
        <f>IFERROR(__xludf.DUMMYFUNCTION("""COMPUTED_VALUE"""),1.0)</f>
        <v>1</v>
      </c>
      <c r="V302" s="57">
        <f>IFERROR(__xludf.DUMMYFUNCTION("""COMPUTED_VALUE"""),1.6666666666666667)</f>
        <v>1.666666667</v>
      </c>
      <c r="W302" s="57">
        <f>IFERROR(__xludf.DUMMYFUNCTION("""COMPUTED_VALUE"""),2.111111111111111)</f>
        <v>2.111111111</v>
      </c>
      <c r="X302" s="31">
        <f>IFERROR(__xludf.DUMMYFUNCTION("""COMPUTED_VALUE"""),365.3055555555556)</f>
        <v>365.3055556</v>
      </c>
      <c r="Y302" s="57">
        <f>IFERROR(__xludf.DUMMYFUNCTION("""COMPUTED_VALUE"""),0.8333333333333334)</f>
        <v>0.8333333333</v>
      </c>
      <c r="Z302" s="57">
        <f>IFERROR(__xludf.DUMMYFUNCTION("""COMPUTED_VALUE"""),0.6053240740740741)</f>
        <v>0.6053240741</v>
      </c>
      <c r="AA302" s="57">
        <f>IFERROR(__xludf.DUMMYFUNCTION("""COMPUTED_VALUE"""),1.4409722222222223)</f>
        <v>1.440972222</v>
      </c>
      <c r="AB302" s="57">
        <f>IFERROR(__xludf.DUMMYFUNCTION("""COMPUTED_VALUE"""),2.7094907407407405)</f>
        <v>2.709490741</v>
      </c>
      <c r="AC302" s="31">
        <f>IFERROR(__xludf.DUMMYFUNCTION("""COMPUTED_VALUE"""),377.914737654321)</f>
        <v>377.9147377</v>
      </c>
      <c r="AD302" s="57">
        <f>IFERROR(__xludf.DUMMYFUNCTION("""COMPUTED_VALUE"""),0.8591820987654321)</f>
        <v>0.8591820988</v>
      </c>
      <c r="AE302" s="57">
        <f>IFERROR(__xludf.DUMMYFUNCTION("""COMPUTED_VALUE"""),0.6361882716049384)</f>
        <v>0.6361882716</v>
      </c>
      <c r="AF302" s="57">
        <f>IFERROR(__xludf.DUMMYFUNCTION("""COMPUTED_VALUE"""),1.4857253086419753)</f>
        <v>1.485725309</v>
      </c>
      <c r="AG302" s="57">
        <f>IFERROR(__xludf.DUMMYFUNCTION("""COMPUTED_VALUE"""),2.782407407407407)</f>
        <v>2.782407407</v>
      </c>
      <c r="AH302" s="57">
        <f>IFERROR(__xludf.DUMMYFUNCTION("""COMPUTED_VALUE"""),0.7241492310283751)</f>
        <v>0.724149231</v>
      </c>
      <c r="AI302" s="57">
        <f>IFERROR(__xludf.DUMMYFUNCTION("""COMPUTED_VALUE"""),0.38796587337224964)</f>
        <v>0.3879658734</v>
      </c>
      <c r="AJ302" s="57">
        <f>IFERROR(__xludf.DUMMYFUNCTION("""COMPUTED_VALUE"""),2.095815645845967)</f>
        <v>2.095815646</v>
      </c>
      <c r="AK302" s="57">
        <f>IFERROR(__xludf.DUMMYFUNCTION("""COMPUTED_VALUE"""),0.0)</f>
        <v>0</v>
      </c>
      <c r="AL302" s="57">
        <f>IFERROR(__xludf.DUMMYFUNCTION("""COMPUTED_VALUE"""),0.9584026622296173)</f>
        <v>0.9584026622</v>
      </c>
      <c r="AM302" s="57">
        <f>IFERROR(__xludf.DUMMYFUNCTION("""COMPUTED_VALUE"""),1.1561098015360047)</f>
        <v>1.156109802</v>
      </c>
      <c r="AN302" s="57">
        <f>IFERROR(__xludf.DUMMYFUNCTION("""COMPUTED_VALUE"""),1.333333333333333)</f>
        <v>1.333333333</v>
      </c>
      <c r="AO302" s="57">
        <f>IFERROR(__xludf.DUMMYFUNCTION("""COMPUTED_VALUE"""),1.6520076481835564)</f>
        <v>1.652007648</v>
      </c>
      <c r="AP302" s="35">
        <f>IFERROR(__xludf.DUMMYFUNCTION("""COMPUTED_VALUE"""),1.1566265060240963)</f>
        <v>1.156626506</v>
      </c>
      <c r="AQ302" s="57">
        <f>IFERROR(__xludf.DUMMYFUNCTION("""COMPUTED_VALUE"""),0.7791542076035883)</f>
        <v>0.7791542076</v>
      </c>
      <c r="AR302" s="36" t="b">
        <f>IFERROR(__xludf.DUMMYFUNCTION("""COMPUTED_VALUE"""),TRUE)</f>
        <v>1</v>
      </c>
      <c r="AS302" s="57"/>
      <c r="AT302" s="37"/>
      <c r="AU302" s="30"/>
      <c r="AV302" s="30"/>
      <c r="AW302" s="30"/>
      <c r="AX302" s="30"/>
      <c r="AY302" s="30"/>
      <c r="AZ302" s="30"/>
    </row>
    <row r="303">
      <c r="A303" s="30" t="str">
        <f>IFERROR(__xludf.DUMMYFUNCTION("""COMPUTED_VALUE"""),"Elite")</f>
        <v>Elite</v>
      </c>
      <c r="B303" s="30" t="str">
        <f>IFERROR(__xludf.DUMMYFUNCTION("""COMPUTED_VALUE"""),"RSC006056")</f>
        <v>RSC006056</v>
      </c>
      <c r="C303" s="30" t="str">
        <f>IFERROR(__xludf.DUMMYFUNCTION("""COMPUTED_VALUE"""),"redsteel43br")</f>
        <v>redsteel43br</v>
      </c>
      <c r="D303" s="31" t="str">
        <f>IFERROR(__xludf.DUMMYFUNCTION("""COMPUTED_VALUE"""),"Great Whites")</f>
        <v>Great Whites</v>
      </c>
      <c r="E303" s="31">
        <f>IFERROR(__xludf.DUMMYFUNCTION("""COMPUTED_VALUE"""),41.172195359602895)</f>
        <v>41.17219536</v>
      </c>
      <c r="F303" s="31">
        <f>IFERROR(__xludf.DUMMYFUNCTION("""COMPUTED_VALUE"""),-2.762414388408551)</f>
        <v>-2.762414388</v>
      </c>
      <c r="G303" s="31">
        <f>IFERROR(__xludf.DUMMYFUNCTION("""COMPUTED_VALUE"""),25.53222979959317)</f>
        <v>25.5322298</v>
      </c>
      <c r="H303" s="31">
        <f>IFERROR(__xludf.DUMMYFUNCTION("""COMPUTED_VALUE"""),-6.102716835851466)</f>
        <v>-6.102716836</v>
      </c>
      <c r="I303" s="54">
        <f>IFERROR(__xludf.DUMMYFUNCTION("""COMPUTED_VALUE"""),8.0)</f>
        <v>8</v>
      </c>
      <c r="J303" s="55">
        <f>IFERROR(__xludf.DUMMYFUNCTION("""COMPUTED_VALUE"""),4.0)</f>
        <v>4</v>
      </c>
      <c r="K303" s="54">
        <f>IFERROR(__xludf.DUMMYFUNCTION("""COMPUTED_VALUE"""),4.0)</f>
        <v>4</v>
      </c>
      <c r="L303" s="56">
        <f>IFERROR(__xludf.DUMMYFUNCTION("""COMPUTED_VALUE"""),0.5)</f>
        <v>0.5</v>
      </c>
      <c r="M303" s="56">
        <f>IFERROR(__xludf.DUMMYFUNCTION("""COMPUTED_VALUE"""),0.16666666666666666)</f>
        <v>0.1666666667</v>
      </c>
      <c r="N303" s="31">
        <f>IFERROR(__xludf.DUMMYFUNCTION("""COMPUTED_VALUE"""),300.375)</f>
        <v>300.375</v>
      </c>
      <c r="O303" s="57">
        <f>IFERROR(__xludf.DUMMYFUNCTION("""COMPUTED_VALUE"""),0.5)</f>
        <v>0.5</v>
      </c>
      <c r="P303" s="57">
        <f>IFERROR(__xludf.DUMMYFUNCTION("""COMPUTED_VALUE"""),0.75)</f>
        <v>0.75</v>
      </c>
      <c r="Q303" s="57">
        <f>IFERROR(__xludf.DUMMYFUNCTION("""COMPUTED_VALUE"""),0.75)</f>
        <v>0.75</v>
      </c>
      <c r="R303" s="57">
        <f>IFERROR(__xludf.DUMMYFUNCTION("""COMPUTED_VALUE"""),3.0)</f>
        <v>3</v>
      </c>
      <c r="S303" s="31">
        <f>IFERROR(__xludf.DUMMYFUNCTION("""COMPUTED_VALUE"""),384.75)</f>
        <v>384.75</v>
      </c>
      <c r="T303" s="57">
        <f>IFERROR(__xludf.DUMMYFUNCTION("""COMPUTED_VALUE"""),0.6666666666666666)</f>
        <v>0.6666666667</v>
      </c>
      <c r="U303" s="57">
        <f>IFERROR(__xludf.DUMMYFUNCTION("""COMPUTED_VALUE"""),0.5416666666666666)</f>
        <v>0.5416666667</v>
      </c>
      <c r="V303" s="57">
        <f>IFERROR(__xludf.DUMMYFUNCTION("""COMPUTED_VALUE"""),2.0)</f>
        <v>2</v>
      </c>
      <c r="W303" s="57">
        <f>IFERROR(__xludf.DUMMYFUNCTION("""COMPUTED_VALUE"""),2.4166666666666665)</f>
        <v>2.416666667</v>
      </c>
      <c r="X303" s="31">
        <f>IFERROR(__xludf.DUMMYFUNCTION("""COMPUTED_VALUE"""),382.62902086339585)</f>
        <v>382.6290209</v>
      </c>
      <c r="Y303" s="57">
        <f>IFERROR(__xludf.DUMMYFUNCTION("""COMPUTED_VALUE"""),0.7660007816257817)</f>
        <v>0.7660007816</v>
      </c>
      <c r="Z303" s="57">
        <f>IFERROR(__xludf.DUMMYFUNCTION("""COMPUTED_VALUE"""),0.40157527657527664)</f>
        <v>0.4015752766</v>
      </c>
      <c r="AA303" s="57">
        <f>IFERROR(__xludf.DUMMYFUNCTION("""COMPUTED_VALUE"""),1.8995310245310248)</f>
        <v>1.899531025</v>
      </c>
      <c r="AB303" s="57">
        <f>IFERROR(__xludf.DUMMYFUNCTION("""COMPUTED_VALUE"""),2.5002780784030785)</f>
        <v>2.500278078</v>
      </c>
      <c r="AC303" s="31">
        <f>IFERROR(__xludf.DUMMYFUNCTION("""COMPUTED_VALUE"""),386.71045274170274)</f>
        <v>386.7104527</v>
      </c>
      <c r="AD303" s="57">
        <f>IFERROR(__xludf.DUMMYFUNCTION("""COMPUTED_VALUE"""),0.8889014149430816)</f>
        <v>0.8889014149</v>
      </c>
      <c r="AE303" s="57">
        <f>IFERROR(__xludf.DUMMYFUNCTION("""COMPUTED_VALUE"""),0.6727167508417508)</f>
        <v>0.6727167508</v>
      </c>
      <c r="AF303" s="57">
        <f>IFERROR(__xludf.DUMMYFUNCTION("""COMPUTED_VALUE"""),1.3751853856020526)</f>
        <v>1.375185386</v>
      </c>
      <c r="AG303" s="57">
        <f>IFERROR(__xludf.DUMMYFUNCTION("""COMPUTED_VALUE"""),3.2264059243225915)</f>
        <v>3.226405924</v>
      </c>
      <c r="AH303" s="57">
        <f>IFERROR(__xludf.DUMMYFUNCTION("""COMPUTED_VALUE"""),0.7767439381852728)</f>
        <v>0.7767439382</v>
      </c>
      <c r="AI303" s="57">
        <f>IFERROR(__xludf.DUMMYFUNCTION("""COMPUTED_VALUE"""),0.5624920734680303)</f>
        <v>0.5624920735</v>
      </c>
      <c r="AJ303" s="57">
        <f>IFERROR(__xludf.DUMMYFUNCTION("""COMPUTED_VALUE"""),1.1148823023383125)</f>
        <v>1.114882302</v>
      </c>
      <c r="AK303" s="57">
        <f>IFERROR(__xludf.DUMMYFUNCTION("""COMPUTED_VALUE"""),0.5453810139726375)</f>
        <v>0.545381014</v>
      </c>
      <c r="AL303" s="57">
        <f>IFERROR(__xludf.DUMMYFUNCTION("""COMPUTED_VALUE"""),0.9298272041295835)</f>
        <v>0.9298272041</v>
      </c>
      <c r="AM303" s="57">
        <f>IFERROR(__xludf.DUMMYFUNCTION("""COMPUTED_VALUE"""),1.0055431737295257)</f>
        <v>1.005543174</v>
      </c>
      <c r="AN303" s="57">
        <f>IFERROR(__xludf.DUMMYFUNCTION("""COMPUTED_VALUE"""),0.8703211310721047)</f>
        <v>0.8703211311</v>
      </c>
      <c r="AO303" s="57">
        <f>IFERROR(__xludf.DUMMYFUNCTION("""COMPUTED_VALUE"""),1.348854618954933)</f>
        <v>1.348854619</v>
      </c>
      <c r="AP303" s="35">
        <f>IFERROR(__xludf.DUMMYFUNCTION("""COMPUTED_VALUE"""),1.0528914632988318)</f>
        <v>1.052891463</v>
      </c>
      <c r="AQ303" s="57">
        <f>IFERROR(__xludf.DUMMYFUNCTION("""COMPUTED_VALUE"""),0.966559154976148)</f>
        <v>0.966559155</v>
      </c>
      <c r="AR303" s="36" t="b">
        <f>IFERROR(__xludf.DUMMYFUNCTION("""COMPUTED_VALUE"""),TRUE)</f>
        <v>1</v>
      </c>
      <c r="AS303" s="57"/>
      <c r="AT303" s="37"/>
      <c r="AU303" s="30"/>
      <c r="AV303" s="30"/>
      <c r="AW303" s="30"/>
      <c r="AX303" s="30"/>
      <c r="AY303" s="30"/>
      <c r="AZ303" s="30"/>
    </row>
    <row r="304">
      <c r="A304" s="30" t="str">
        <f>IFERROR(__xludf.DUMMYFUNCTION("""COMPUTED_VALUE"""),"Elite")</f>
        <v>Elite</v>
      </c>
      <c r="B304" s="30" t="str">
        <f>IFERROR(__xludf.DUMMYFUNCTION("""COMPUTED_VALUE"""),"RSC006468")</f>
        <v>RSC006468</v>
      </c>
      <c r="C304" s="30" t="str">
        <f>IFERROR(__xludf.DUMMYFUNCTION("""COMPUTED_VALUE"""),"AlphaChuck")</f>
        <v>AlphaChuck</v>
      </c>
      <c r="D304" s="31" t="str">
        <f>IFERROR(__xludf.DUMMYFUNCTION("""COMPUTED_VALUE"""),"Teddy Bears")</f>
        <v>Teddy Bears</v>
      </c>
      <c r="E304" s="31">
        <f>IFERROR(__xludf.DUMMYFUNCTION("""COMPUTED_VALUE"""),40.77889438871079)</f>
        <v>40.77889439</v>
      </c>
      <c r="F304" s="31">
        <f>IFERROR(__xludf.DUMMYFUNCTION("""COMPUTED_VALUE"""),-2.808027098206115)</f>
        <v>-2.808027098</v>
      </c>
      <c r="G304" s="31">
        <f>IFERROR(__xludf.DUMMYFUNCTION("""COMPUTED_VALUE"""),46.443127786407416)</f>
        <v>46.44312779</v>
      </c>
      <c r="H304" s="31">
        <f>IFERROR(__xludf.DUMMYFUNCTION("""COMPUTED_VALUE"""),-2.255140048552433)</f>
        <v>-2.255140049</v>
      </c>
      <c r="I304" s="54">
        <f>IFERROR(__xludf.DUMMYFUNCTION("""COMPUTED_VALUE"""),29.0)</f>
        <v>29</v>
      </c>
      <c r="J304" s="55">
        <f>IFERROR(__xludf.DUMMYFUNCTION("""COMPUTED_VALUE"""),15.0)</f>
        <v>15</v>
      </c>
      <c r="K304" s="54">
        <f>IFERROR(__xludf.DUMMYFUNCTION("""COMPUTED_VALUE"""),14.0)</f>
        <v>14</v>
      </c>
      <c r="L304" s="56">
        <f>IFERROR(__xludf.DUMMYFUNCTION("""COMPUTED_VALUE"""),0.5172413793103449)</f>
        <v>0.5172413793</v>
      </c>
      <c r="M304" s="56">
        <f>IFERROR(__xludf.DUMMYFUNCTION("""COMPUTED_VALUE"""),0.28787878787878785)</f>
        <v>0.2878787879</v>
      </c>
      <c r="N304" s="31">
        <f>IFERROR(__xludf.DUMMYFUNCTION("""COMPUTED_VALUE"""),332.2068965517241)</f>
        <v>332.2068966</v>
      </c>
      <c r="O304" s="57">
        <f>IFERROR(__xludf.DUMMYFUNCTION("""COMPUTED_VALUE"""),0.6551724137931034)</f>
        <v>0.6551724138</v>
      </c>
      <c r="P304" s="57">
        <f>IFERROR(__xludf.DUMMYFUNCTION("""COMPUTED_VALUE"""),0.5517241379310345)</f>
        <v>0.5517241379</v>
      </c>
      <c r="Q304" s="57">
        <f>IFERROR(__xludf.DUMMYFUNCTION("""COMPUTED_VALUE"""),1.4137931034482758)</f>
        <v>1.413793103</v>
      </c>
      <c r="R304" s="57">
        <f>IFERROR(__xludf.DUMMYFUNCTION("""COMPUTED_VALUE"""),2.2758620689655173)</f>
        <v>2.275862069</v>
      </c>
      <c r="S304" s="31">
        <f>IFERROR(__xludf.DUMMYFUNCTION("""COMPUTED_VALUE"""),352.4137931034483)</f>
        <v>352.4137931</v>
      </c>
      <c r="T304" s="57">
        <f>IFERROR(__xludf.DUMMYFUNCTION("""COMPUTED_VALUE"""),0.7586206896551727)</f>
        <v>0.7586206897</v>
      </c>
      <c r="U304" s="57">
        <f>IFERROR(__xludf.DUMMYFUNCTION("""COMPUTED_VALUE"""),0.574712643678161)</f>
        <v>0.5747126437</v>
      </c>
      <c r="V304" s="57">
        <f>IFERROR(__xludf.DUMMYFUNCTION("""COMPUTED_VALUE"""),1.4022988505747125)</f>
        <v>1.402298851</v>
      </c>
      <c r="W304" s="57">
        <f>IFERROR(__xludf.DUMMYFUNCTION("""COMPUTED_VALUE"""),2.4597701149425286)</f>
        <v>2.459770115</v>
      </c>
      <c r="X304" s="31">
        <f>IFERROR(__xludf.DUMMYFUNCTION("""COMPUTED_VALUE"""),359.23448633086605)</f>
        <v>359.2344863</v>
      </c>
      <c r="Y304" s="57">
        <f>IFERROR(__xludf.DUMMYFUNCTION("""COMPUTED_VALUE"""),0.7698938120582336)</f>
        <v>0.7698938121</v>
      </c>
      <c r="Z304" s="57">
        <f>IFERROR(__xludf.DUMMYFUNCTION("""COMPUTED_VALUE"""),0.561208752445353)</f>
        <v>0.5612087524</v>
      </c>
      <c r="AA304" s="57">
        <f>IFERROR(__xludf.DUMMYFUNCTION("""COMPUTED_VALUE"""),1.47230467094035)</f>
        <v>1.472304671</v>
      </c>
      <c r="AB304" s="57">
        <f>IFERROR(__xludf.DUMMYFUNCTION("""COMPUTED_VALUE"""),2.5753884297755074)</f>
        <v>2.57538843</v>
      </c>
      <c r="AC304" s="31">
        <f>IFERROR(__xludf.DUMMYFUNCTION("""COMPUTED_VALUE"""),373.6671107609873)</f>
        <v>373.6671108</v>
      </c>
      <c r="AD304" s="57">
        <f>IFERROR(__xludf.DUMMYFUNCTION("""COMPUTED_VALUE"""),0.8804665700255045)</f>
        <v>0.88046657</v>
      </c>
      <c r="AE304" s="57">
        <f>IFERROR(__xludf.DUMMYFUNCTION("""COMPUTED_VALUE"""),0.6548497128179084)</f>
        <v>0.6548497128</v>
      </c>
      <c r="AF304" s="57">
        <f>IFERROR(__xludf.DUMMYFUNCTION("""COMPUTED_VALUE"""),1.364103804514083)</f>
        <v>1.364103805</v>
      </c>
      <c r="AG304" s="57">
        <f>IFERROR(__xludf.DUMMYFUNCTION("""COMPUTED_VALUE"""),2.8056116935809907)</f>
        <v>2.805611694</v>
      </c>
      <c r="AH304" s="57">
        <f>IFERROR(__xludf.DUMMYFUNCTION("""COMPUTED_VALUE"""),0.8890450536981221)</f>
        <v>0.8890450537</v>
      </c>
      <c r="AI304" s="57">
        <f>IFERROR(__xludf.DUMMYFUNCTION("""COMPUTED_VALUE"""),0.7441195794340323)</f>
        <v>0.7441195794</v>
      </c>
      <c r="AJ304" s="57">
        <f>IFERROR(__xludf.DUMMYFUNCTION("""COMPUTED_VALUE"""),0.8425202411052295)</f>
        <v>0.8425202411</v>
      </c>
      <c r="AK304" s="57">
        <f>IFERROR(__xludf.DUMMYFUNCTION("""COMPUTED_VALUE"""),1.0364263326366816)</f>
        <v>1.036426333</v>
      </c>
      <c r="AL304" s="57">
        <f>IFERROR(__xludf.DUMMYFUNCTION("""COMPUTED_VALUE"""),0.8111821297909839)</f>
        <v>0.8111821298</v>
      </c>
      <c r="AM304" s="57">
        <f>IFERROR(__xludf.DUMMYFUNCTION("""COMPUTED_VALUE"""),0.9810132560014417)</f>
        <v>0.981013256</v>
      </c>
      <c r="AN304" s="57">
        <f>IFERROR(__xludf.DUMMYFUNCTION("""COMPUTED_VALUE"""),0.9853575620085537)</f>
        <v>0.985357562</v>
      </c>
      <c r="AO304" s="57">
        <f>IFERROR(__xludf.DUMMYFUNCTION("""COMPUTED_VALUE"""),1.024062153653106)</f>
        <v>1.024062154</v>
      </c>
      <c r="AP304" s="35">
        <f>IFERROR(__xludf.DUMMYFUNCTION("""COMPUTED_VALUE"""),0.9524515395845852)</f>
        <v>0.9524515396</v>
      </c>
      <c r="AQ304" s="57">
        <f>IFERROR(__xludf.DUMMYFUNCTION("""COMPUTED_VALUE"""),0.955106455594717)</f>
        <v>0.9551064556</v>
      </c>
      <c r="AR304" s="36" t="b">
        <f>IFERROR(__xludf.DUMMYFUNCTION("""COMPUTED_VALUE"""),TRUE)</f>
        <v>1</v>
      </c>
      <c r="AS304" s="57"/>
      <c r="AT304" s="37"/>
      <c r="AU304" s="30"/>
      <c r="AV304" s="30"/>
      <c r="AW304" s="30"/>
      <c r="AX304" s="30"/>
      <c r="AY304" s="30"/>
      <c r="AZ304" s="30"/>
    </row>
    <row r="305">
      <c r="A305" s="30" t="str">
        <f>IFERROR(__xludf.DUMMYFUNCTION("""COMPUTED_VALUE"""),"Elite")</f>
        <v>Elite</v>
      </c>
      <c r="B305" s="30" t="str">
        <f>IFERROR(__xludf.DUMMYFUNCTION("""COMPUTED_VALUE"""),"RSC007077")</f>
        <v>RSC007077</v>
      </c>
      <c r="C305" s="30" t="str">
        <f>IFERROR(__xludf.DUMMYFUNCTION("""COMPUTED_VALUE"""),"higsn")</f>
        <v>higsn</v>
      </c>
      <c r="D305" s="31" t="str">
        <f>IFERROR(__xludf.DUMMYFUNCTION("""COMPUTED_VALUE"""),"Stoked Blokes")</f>
        <v>Stoked Blokes</v>
      </c>
      <c r="E305" s="31">
        <f>IFERROR(__xludf.DUMMYFUNCTION("""COMPUTED_VALUE"""),40.65423355488955)</f>
        <v>40.65423355</v>
      </c>
      <c r="F305" s="31">
        <f>IFERROR(__xludf.DUMMYFUNCTION("""COMPUTED_VALUE"""),-2.822744454244086)</f>
        <v>-2.822744454</v>
      </c>
      <c r="G305" s="31">
        <f>IFERROR(__xludf.DUMMYFUNCTION("""COMPUTED_VALUE"""),52.39678789040629)</f>
        <v>52.39678789</v>
      </c>
      <c r="H305" s="31">
        <f>IFERROR(__xludf.DUMMYFUNCTION("""COMPUTED_VALUE"""),2.1653865571327007)</f>
        <v>2.165386557</v>
      </c>
      <c r="I305" s="54">
        <f>IFERROR(__xludf.DUMMYFUNCTION("""COMPUTED_VALUE"""),32.0)</f>
        <v>32</v>
      </c>
      <c r="J305" s="55">
        <f>IFERROR(__xludf.DUMMYFUNCTION("""COMPUTED_VALUE"""),15.0)</f>
        <v>15</v>
      </c>
      <c r="K305" s="54">
        <f>IFERROR(__xludf.DUMMYFUNCTION("""COMPUTED_VALUE"""),17.0)</f>
        <v>17</v>
      </c>
      <c r="L305" s="56">
        <f>IFERROR(__xludf.DUMMYFUNCTION("""COMPUTED_VALUE"""),0.46875)</f>
        <v>0.46875</v>
      </c>
      <c r="M305" s="56">
        <f>IFERROR(__xludf.DUMMYFUNCTION("""COMPUTED_VALUE"""),0.2537313432835821)</f>
        <v>0.2537313433</v>
      </c>
      <c r="N305" s="31">
        <f>IFERROR(__xludf.DUMMYFUNCTION("""COMPUTED_VALUE"""),347.9375)</f>
        <v>347.9375</v>
      </c>
      <c r="O305" s="57">
        <f>IFERROR(__xludf.DUMMYFUNCTION("""COMPUTED_VALUE"""),0.53125)</f>
        <v>0.53125</v>
      </c>
      <c r="P305" s="57">
        <f>IFERROR(__xludf.DUMMYFUNCTION("""COMPUTED_VALUE"""),0.625)</f>
        <v>0.625</v>
      </c>
      <c r="Q305" s="57">
        <f>IFERROR(__xludf.DUMMYFUNCTION("""COMPUTED_VALUE"""),1.5)</f>
        <v>1.5</v>
      </c>
      <c r="R305" s="57">
        <f>IFERROR(__xludf.DUMMYFUNCTION("""COMPUTED_VALUE"""),2.09375)</f>
        <v>2.09375</v>
      </c>
      <c r="S305" s="31">
        <f>IFERROR(__xludf.DUMMYFUNCTION("""COMPUTED_VALUE"""),333.7083333333335)</f>
        <v>333.7083333</v>
      </c>
      <c r="T305" s="57">
        <f>IFERROR(__xludf.DUMMYFUNCTION("""COMPUTED_VALUE"""),0.6979166666666667)</f>
        <v>0.6979166667</v>
      </c>
      <c r="U305" s="57">
        <f>IFERROR(__xludf.DUMMYFUNCTION("""COMPUTED_VALUE"""),0.5208333333333333)</f>
        <v>0.5208333333</v>
      </c>
      <c r="V305" s="57">
        <f>IFERROR(__xludf.DUMMYFUNCTION("""COMPUTED_VALUE"""),1.1979166666666667)</f>
        <v>1.197916667</v>
      </c>
      <c r="W305" s="57">
        <f>IFERROR(__xludf.DUMMYFUNCTION("""COMPUTED_VALUE"""),2.6770833333333335)</f>
        <v>2.677083333</v>
      </c>
      <c r="X305" s="31">
        <f>IFERROR(__xludf.DUMMYFUNCTION("""COMPUTED_VALUE"""),361.94887769285174)</f>
        <v>361.9488777</v>
      </c>
      <c r="Y305" s="57">
        <f>IFERROR(__xludf.DUMMYFUNCTION("""COMPUTED_VALUE"""),0.7582664635622357)</f>
        <v>0.7582664636</v>
      </c>
      <c r="Z305" s="57">
        <f>IFERROR(__xludf.DUMMYFUNCTION("""COMPUTED_VALUE"""),0.5952459086980911)</f>
        <v>0.5952459087</v>
      </c>
      <c r="AA305" s="57">
        <f>IFERROR(__xludf.DUMMYFUNCTION("""COMPUTED_VALUE"""),1.5056920517994616)</f>
        <v>1.505692052</v>
      </c>
      <c r="AB305" s="57">
        <f>IFERROR(__xludf.DUMMYFUNCTION("""COMPUTED_VALUE"""),2.5865344094727716)</f>
        <v>2.586534409</v>
      </c>
      <c r="AC305" s="31">
        <f>IFERROR(__xludf.DUMMYFUNCTION("""COMPUTED_VALUE"""),363.5994567635327)</f>
        <v>363.5994568</v>
      </c>
      <c r="AD305" s="57">
        <f>IFERROR(__xludf.DUMMYFUNCTION("""COMPUTED_VALUE"""),0.7965117890022195)</f>
        <v>0.796511789</v>
      </c>
      <c r="AE305" s="57">
        <f>IFERROR(__xludf.DUMMYFUNCTION("""COMPUTED_VALUE"""),0.5874930049972417)</f>
        <v>0.587493005</v>
      </c>
      <c r="AF305" s="57">
        <f>IFERROR(__xludf.DUMMYFUNCTION("""COMPUTED_VALUE"""),1.3927403259570745)</f>
        <v>1.392740326</v>
      </c>
      <c r="AG305" s="57">
        <f>IFERROR(__xludf.DUMMYFUNCTION("""COMPUTED_VALUE"""),2.7481480917932677)</f>
        <v>2.748148092</v>
      </c>
      <c r="AH305" s="57">
        <f>IFERROR(__xludf.DUMMYFUNCTION("""COMPUTED_VALUE"""),0.9569252470756069)</f>
        <v>0.9569252471</v>
      </c>
      <c r="AI305" s="57">
        <f>IFERROR(__xludf.DUMMYFUNCTION("""COMPUTED_VALUE"""),0.666970668024249)</f>
        <v>0.666970668</v>
      </c>
      <c r="AJ305" s="57">
        <f>IFERROR(__xludf.DUMMYFUNCTION("""COMPUTED_VALUE"""),1.0638424537547209)</f>
        <v>1.063842454</v>
      </c>
      <c r="AK305" s="57">
        <f>IFERROR(__xludf.DUMMYFUNCTION("""COMPUTED_VALUE"""),1.0770134044687891)</f>
        <v>1.077013404</v>
      </c>
      <c r="AL305" s="57">
        <f>IFERROR(__xludf.DUMMYFUNCTION("""COMPUTED_VALUE"""),0.7618767002595377)</f>
        <v>0.7618767003</v>
      </c>
      <c r="AM305" s="57">
        <f>IFERROR(__xludf.DUMMYFUNCTION("""COMPUTED_VALUE"""),0.9219764278880206)</f>
        <v>0.9219764279</v>
      </c>
      <c r="AN305" s="57">
        <f>IFERROR(__xludf.DUMMYFUNCTION("""COMPUTED_VALUE"""),0.9204108320813061)</f>
        <v>0.9204108321</v>
      </c>
      <c r="AO305" s="57">
        <f>IFERROR(__xludf.DUMMYFUNCTION("""COMPUTED_VALUE"""),0.8749885143645734)</f>
        <v>0.8749885144</v>
      </c>
      <c r="AP305" s="35">
        <f>IFERROR(__xludf.DUMMYFUNCTION("""COMPUTED_VALUE"""),0.7955920769024645)</f>
        <v>0.7955920769</v>
      </c>
      <c r="AQ305" s="57">
        <f>IFERROR(__xludf.DUMMYFUNCTION("""COMPUTED_VALUE"""),1.0350078172279251)</f>
        <v>1.035007817</v>
      </c>
      <c r="AR305" s="36" t="b">
        <f>IFERROR(__xludf.DUMMYFUNCTION("""COMPUTED_VALUE"""),TRUE)</f>
        <v>1</v>
      </c>
      <c r="AS305" s="57"/>
      <c r="AT305" s="37"/>
      <c r="AU305" s="30"/>
      <c r="AV305" s="30"/>
      <c r="AW305" s="30"/>
      <c r="AX305" s="30"/>
      <c r="AY305" s="30"/>
      <c r="AZ305" s="30"/>
    </row>
    <row r="306">
      <c r="A306" s="30" t="str">
        <f>IFERROR(__xludf.DUMMYFUNCTION("""COMPUTED_VALUE"""),"Elite")</f>
        <v>Elite</v>
      </c>
      <c r="B306" s="30" t="str">
        <f>IFERROR(__xludf.DUMMYFUNCTION("""COMPUTED_VALUE"""),"RSC006188")</f>
        <v>RSC006188</v>
      </c>
      <c r="C306" s="30" t="str">
        <f>IFERROR(__xludf.DUMMYFUNCTION("""COMPUTED_VALUE"""),"Billy_Man_Fi3h")</f>
        <v>Billy_Man_Fi3h</v>
      </c>
      <c r="D306" s="31" t="str">
        <f>IFERROR(__xludf.DUMMYFUNCTION("""COMPUTED_VALUE"""),"Pixel Picassos")</f>
        <v>Pixel Picassos</v>
      </c>
      <c r="E306" s="31">
        <f>IFERROR(__xludf.DUMMYFUNCTION("""COMPUTED_VALUE"""),39.78201302124426)</f>
        <v>39.78201302</v>
      </c>
      <c r="F306" s="31">
        <f>IFERROR(__xludf.DUMMYFUNCTION("""COMPUTED_VALUE"""),-2.9293490641479774)</f>
        <v>-2.929349064</v>
      </c>
      <c r="G306" s="31">
        <f>IFERROR(__xludf.DUMMYFUNCTION("""COMPUTED_VALUE"""),24.389251825725506)</f>
        <v>24.38925183</v>
      </c>
      <c r="H306" s="31">
        <f>IFERROR(__xludf.DUMMYFUNCTION("""COMPUTED_VALUE"""),-6.543811992941905)</f>
        <v>-6.543811993</v>
      </c>
      <c r="I306" s="54">
        <f>IFERROR(__xludf.DUMMYFUNCTION("""COMPUTED_VALUE"""),24.0)</f>
        <v>24</v>
      </c>
      <c r="J306" s="55">
        <f>IFERROR(__xludf.DUMMYFUNCTION("""COMPUTED_VALUE"""),5.0)</f>
        <v>5</v>
      </c>
      <c r="K306" s="54">
        <f>IFERROR(__xludf.DUMMYFUNCTION("""COMPUTED_VALUE"""),19.0)</f>
        <v>19</v>
      </c>
      <c r="L306" s="56">
        <f>IFERROR(__xludf.DUMMYFUNCTION("""COMPUTED_VALUE"""),0.20833333333333334)</f>
        <v>0.2083333333</v>
      </c>
      <c r="M306" s="56">
        <f>IFERROR(__xludf.DUMMYFUNCTION("""COMPUTED_VALUE"""),0.23809523809523808)</f>
        <v>0.2380952381</v>
      </c>
      <c r="N306" s="31">
        <f>IFERROR(__xludf.DUMMYFUNCTION("""COMPUTED_VALUE"""),335.7916666666667)</f>
        <v>335.7916667</v>
      </c>
      <c r="O306" s="57">
        <f>IFERROR(__xludf.DUMMYFUNCTION("""COMPUTED_VALUE"""),0.625)</f>
        <v>0.625</v>
      </c>
      <c r="P306" s="57">
        <f>IFERROR(__xludf.DUMMYFUNCTION("""COMPUTED_VALUE"""),0.3333333333333333)</f>
        <v>0.3333333333</v>
      </c>
      <c r="Q306" s="57">
        <f>IFERROR(__xludf.DUMMYFUNCTION("""COMPUTED_VALUE"""),1.4166666666666667)</f>
        <v>1.416666667</v>
      </c>
      <c r="R306" s="57">
        <f>IFERROR(__xludf.DUMMYFUNCTION("""COMPUTED_VALUE"""),2.625)</f>
        <v>2.625</v>
      </c>
      <c r="S306" s="31">
        <f>IFERROR(__xludf.DUMMYFUNCTION("""COMPUTED_VALUE"""),409.9166666666666)</f>
        <v>409.9166667</v>
      </c>
      <c r="T306" s="57">
        <f>IFERROR(__xludf.DUMMYFUNCTION("""COMPUTED_VALUE"""),1.0138888888888888)</f>
        <v>1.013888889</v>
      </c>
      <c r="U306" s="57">
        <f>IFERROR(__xludf.DUMMYFUNCTION("""COMPUTED_VALUE"""),0.7083333333333331)</f>
        <v>0.7083333333</v>
      </c>
      <c r="V306" s="57">
        <f>IFERROR(__xludf.DUMMYFUNCTION("""COMPUTED_VALUE"""),1.4444444444444446)</f>
        <v>1.444444444</v>
      </c>
      <c r="W306" s="57">
        <f>IFERROR(__xludf.DUMMYFUNCTION("""COMPUTED_VALUE"""),3.3055555555555554)</f>
        <v>3.305555556</v>
      </c>
      <c r="X306" s="31">
        <f>IFERROR(__xludf.DUMMYFUNCTION("""COMPUTED_VALUE"""),375.1480814933919)</f>
        <v>375.1480815</v>
      </c>
      <c r="Y306" s="57">
        <f>IFERROR(__xludf.DUMMYFUNCTION("""COMPUTED_VALUE"""),0.8958408693347559)</f>
        <v>0.8958408693</v>
      </c>
      <c r="Z306" s="57">
        <f>IFERROR(__xludf.DUMMYFUNCTION("""COMPUTED_VALUE"""),0.6756422072246452)</f>
        <v>0.6756422072</v>
      </c>
      <c r="AA306" s="57">
        <f>IFERROR(__xludf.DUMMYFUNCTION("""COMPUTED_VALUE"""),1.298177965703564)</f>
        <v>1.298177966</v>
      </c>
      <c r="AB306" s="57">
        <f>IFERROR(__xludf.DUMMYFUNCTION("""COMPUTED_VALUE"""),2.976869264311064)</f>
        <v>2.976869264</v>
      </c>
      <c r="AC306" s="31">
        <f>IFERROR(__xludf.DUMMYFUNCTION("""COMPUTED_VALUE"""),356.3987422315568)</f>
        <v>356.3987422</v>
      </c>
      <c r="AD306" s="57">
        <f>IFERROR(__xludf.DUMMYFUNCTION("""COMPUTED_VALUE"""),0.6959301888053034)</f>
        <v>0.6959301888</v>
      </c>
      <c r="AE306" s="57">
        <f>IFERROR(__xludf.DUMMYFUNCTION("""COMPUTED_VALUE"""),0.5153108199074911)</f>
        <v>0.5153108199</v>
      </c>
      <c r="AF306" s="57">
        <f>IFERROR(__xludf.DUMMYFUNCTION("""COMPUTED_VALUE"""),1.5806361120359558)</f>
        <v>1.580636112</v>
      </c>
      <c r="AG306" s="57">
        <f>IFERROR(__xludf.DUMMYFUNCTION("""COMPUTED_VALUE"""),2.4664998438313237)</f>
        <v>2.466499844</v>
      </c>
      <c r="AH306" s="57">
        <f>IFERROR(__xludf.DUMMYFUNCTION("""COMPUTED_VALUE"""),0.9421797186043338)</f>
        <v>0.9421797186</v>
      </c>
      <c r="AI306" s="57">
        <f>IFERROR(__xludf.DUMMYFUNCTION("""COMPUTED_VALUE"""),0.8980785861192937)</f>
        <v>0.8980785861</v>
      </c>
      <c r="AJ306" s="57">
        <f>IFERROR(__xludf.DUMMYFUNCTION("""COMPUTED_VALUE"""),0.6468587897944265)</f>
        <v>0.6468587898</v>
      </c>
      <c r="AK306" s="57">
        <f>IFERROR(__xludf.DUMMYFUNCTION("""COMPUTED_VALUE"""),0.8962636345451539)</f>
        <v>0.8962636345</v>
      </c>
      <c r="AL306" s="57">
        <f>IFERROR(__xludf.DUMMYFUNCTION("""COMPUTED_VALUE"""),1.064261166107544)</f>
        <v>1.064261166</v>
      </c>
      <c r="AM306" s="57">
        <f>IFERROR(__xludf.DUMMYFUNCTION("""COMPUTED_VALUE"""),1.0926796294275787)</f>
        <v>1.092679629</v>
      </c>
      <c r="AN306" s="57">
        <f>IFERROR(__xludf.DUMMYFUNCTION("""COMPUTED_VALUE"""),1.1317734249407425)</f>
        <v>1.131773425</v>
      </c>
      <c r="AO306" s="57">
        <f>IFERROR(__xludf.DUMMYFUNCTION("""COMPUTED_VALUE"""),1.048385263322986)</f>
        <v>1.048385263</v>
      </c>
      <c r="AP306" s="35">
        <f>IFERROR(__xludf.DUMMYFUNCTION("""COMPUTED_VALUE"""),1.1126705910938872)</f>
        <v>1.112670591</v>
      </c>
      <c r="AQ306" s="57">
        <f>IFERROR(__xludf.DUMMYFUNCTION("""COMPUTED_VALUE"""),1.1104134115612763)</f>
        <v>1.110413412</v>
      </c>
      <c r="AR306" s="36" t="b">
        <f>IFERROR(__xludf.DUMMYFUNCTION("""COMPUTED_VALUE"""),TRUE)</f>
        <v>1</v>
      </c>
      <c r="AS306" s="57"/>
      <c r="AT306" s="37"/>
      <c r="AU306" s="30"/>
      <c r="AV306" s="30"/>
      <c r="AW306" s="30"/>
      <c r="AX306" s="30"/>
      <c r="AY306" s="30"/>
      <c r="AZ306" s="30"/>
    </row>
    <row r="307">
      <c r="A307" s="30" t="str">
        <f>IFERROR(__xludf.DUMMYFUNCTION("""COMPUTED_VALUE"""),"Elite")</f>
        <v>Elite</v>
      </c>
      <c r="B307" s="30" t="str">
        <f>IFERROR(__xludf.DUMMYFUNCTION("""COMPUTED_VALUE"""),"RSC002102")</f>
        <v>RSC002102</v>
      </c>
      <c r="C307" s="30" t="str">
        <f>IFERROR(__xludf.DUMMYFUNCTION("""COMPUTED_VALUE"""),"Cable")</f>
        <v>Cable</v>
      </c>
      <c r="D307" s="31" t="str">
        <f>IFERROR(__xludf.DUMMYFUNCTION("""COMPUTED_VALUE"""),"Teddy Bears")</f>
        <v>Teddy Bears</v>
      </c>
      <c r="E307" s="31">
        <f>IFERROR(__xludf.DUMMYFUNCTION("""COMPUTED_VALUE"""),38.78976015979017)</f>
        <v>38.78976016</v>
      </c>
      <c r="F307" s="31">
        <f>IFERROR(__xludf.DUMMYFUNCTION("""COMPUTED_VALUE"""),-3.0587698925537112)</f>
        <v>-3.058769893</v>
      </c>
      <c r="G307" s="31">
        <f>IFERROR(__xludf.DUMMYFUNCTION("""COMPUTED_VALUE"""),45.98888863280782)</f>
        <v>45.98888863</v>
      </c>
      <c r="H307" s="31">
        <f>IFERROR(__xludf.DUMMYFUNCTION("""COMPUTED_VALUE"""),-2.292182238770824)</f>
        <v>-2.292182239</v>
      </c>
      <c r="I307" s="54">
        <f>IFERROR(__xludf.DUMMYFUNCTION("""COMPUTED_VALUE"""),30.0)</f>
        <v>30</v>
      </c>
      <c r="J307" s="55">
        <f>IFERROR(__xludf.DUMMYFUNCTION("""COMPUTED_VALUE"""),14.0)</f>
        <v>14</v>
      </c>
      <c r="K307" s="54">
        <f>IFERROR(__xludf.DUMMYFUNCTION("""COMPUTED_VALUE"""),16.0)</f>
        <v>16</v>
      </c>
      <c r="L307" s="56">
        <f>IFERROR(__xludf.DUMMYFUNCTION("""COMPUTED_VALUE"""),0.4666666666666667)</f>
        <v>0.4666666667</v>
      </c>
      <c r="M307" s="56">
        <f>IFERROR(__xludf.DUMMYFUNCTION("""COMPUTED_VALUE"""),0.24050632911392406)</f>
        <v>0.2405063291</v>
      </c>
      <c r="N307" s="31">
        <f>IFERROR(__xludf.DUMMYFUNCTION("""COMPUTED_VALUE"""),324.6333333333333)</f>
        <v>324.6333333</v>
      </c>
      <c r="O307" s="57">
        <f>IFERROR(__xludf.DUMMYFUNCTION("""COMPUTED_VALUE"""),0.6333333333333333)</f>
        <v>0.6333333333</v>
      </c>
      <c r="P307" s="57">
        <f>IFERROR(__xludf.DUMMYFUNCTION("""COMPUTED_VALUE"""),0.5333333333333333)</f>
        <v>0.5333333333</v>
      </c>
      <c r="Q307" s="57">
        <f>IFERROR(__xludf.DUMMYFUNCTION("""COMPUTED_VALUE"""),1.2333333333333334)</f>
        <v>1.233333333</v>
      </c>
      <c r="R307" s="57">
        <f>IFERROR(__xludf.DUMMYFUNCTION("""COMPUTED_VALUE"""),2.6333333333333333)</f>
        <v>2.633333333</v>
      </c>
      <c r="S307" s="31">
        <f>IFERROR(__xludf.DUMMYFUNCTION("""COMPUTED_VALUE"""),364.3777777777778)</f>
        <v>364.3777778</v>
      </c>
      <c r="T307" s="57">
        <f>IFERROR(__xludf.DUMMYFUNCTION("""COMPUTED_VALUE"""),0.8333333333333335)</f>
        <v>0.8333333333</v>
      </c>
      <c r="U307" s="57">
        <f>IFERROR(__xludf.DUMMYFUNCTION("""COMPUTED_VALUE"""),0.6444444444444444)</f>
        <v>0.6444444444</v>
      </c>
      <c r="V307" s="57">
        <f>IFERROR(__xludf.DUMMYFUNCTION("""COMPUTED_VALUE"""),1.3333333333333333)</f>
        <v>1.333333333</v>
      </c>
      <c r="W307" s="57">
        <f>IFERROR(__xludf.DUMMYFUNCTION("""COMPUTED_VALUE"""),2.4888888888888885)</f>
        <v>2.488888889</v>
      </c>
      <c r="X307" s="31">
        <f>IFERROR(__xludf.DUMMYFUNCTION("""COMPUTED_VALUE"""),354.9135196718262)</f>
        <v>354.9135197</v>
      </c>
      <c r="Y307" s="57">
        <f>IFERROR(__xludf.DUMMYFUNCTION("""COMPUTED_VALUE"""),0.716710195819337)</f>
        <v>0.7167101958</v>
      </c>
      <c r="Z307" s="57">
        <f>IFERROR(__xludf.DUMMYFUNCTION("""COMPUTED_VALUE"""),0.5269207809692608)</f>
        <v>0.526920781</v>
      </c>
      <c r="AA307" s="57">
        <f>IFERROR(__xludf.DUMMYFUNCTION("""COMPUTED_VALUE"""),1.5294408143781901)</f>
        <v>1.529440814</v>
      </c>
      <c r="AB307" s="57">
        <f>IFERROR(__xludf.DUMMYFUNCTION("""COMPUTED_VALUE"""),2.518381942638334)</f>
        <v>2.518381943</v>
      </c>
      <c r="AC307" s="31">
        <f>IFERROR(__xludf.DUMMYFUNCTION("""COMPUTED_VALUE"""),372.12987134583904)</f>
        <v>372.1298713</v>
      </c>
      <c r="AD307" s="57">
        <f>IFERROR(__xludf.DUMMYFUNCTION("""COMPUTED_VALUE"""),0.8723449152018112)</f>
        <v>0.8723449152</v>
      </c>
      <c r="AE307" s="57">
        <f>IFERROR(__xludf.DUMMYFUNCTION("""COMPUTED_VALUE"""),0.6397534313510762)</f>
        <v>0.6397534314</v>
      </c>
      <c r="AF307" s="57">
        <f>IFERROR(__xludf.DUMMYFUNCTION("""COMPUTED_VALUE"""),1.3492217658665764)</f>
        <v>1.349221766</v>
      </c>
      <c r="AG307" s="57">
        <f>IFERROR(__xludf.DUMMYFUNCTION("""COMPUTED_VALUE"""),2.8479465576122083)</f>
        <v>2.847946558</v>
      </c>
      <c r="AH307" s="57">
        <f>IFERROR(__xludf.DUMMYFUNCTION("""COMPUTED_VALUE"""),0.8723656936199976)</f>
        <v>0.8723656936</v>
      </c>
      <c r="AI307" s="57">
        <f>IFERROR(__xludf.DUMMYFUNCTION("""COMPUTED_VALUE"""),0.7260125235977513)</f>
        <v>0.7260125236</v>
      </c>
      <c r="AJ307" s="57">
        <f>IFERROR(__xludf.DUMMYFUNCTION("""COMPUTED_VALUE"""),0.8336545099992704)</f>
        <v>0.83365451</v>
      </c>
      <c r="AK307" s="57">
        <f>IFERROR(__xludf.DUMMYFUNCTION("""COMPUTED_VALUE"""),0.9141072020441278)</f>
        <v>0.914107202</v>
      </c>
      <c r="AL307" s="57">
        <f>IFERROR(__xludf.DUMMYFUNCTION("""COMPUTED_VALUE"""),0.9246428189794361)</f>
        <v>0.924642819</v>
      </c>
      <c r="AM307" s="57">
        <f>IFERROR(__xludf.DUMMYFUNCTION("""COMPUTED_VALUE"""),1.026666378093184)</f>
        <v>1.026666378</v>
      </c>
      <c r="AN307" s="57">
        <f>IFERROR(__xludf.DUMMYFUNCTION("""COMPUTED_VALUE"""),1.162720075972512)</f>
        <v>1.162720076</v>
      </c>
      <c r="AO307" s="57">
        <f>IFERROR(__xludf.DUMMYFUNCTION("""COMPUTED_VALUE"""),1.223038581357526)</f>
        <v>1.223038581</v>
      </c>
      <c r="AP307" s="35">
        <f>IFERROR(__xludf.DUMMYFUNCTION("""COMPUTED_VALUE"""),0.8717783132231982)</f>
        <v>0.8717783132</v>
      </c>
      <c r="AQ307" s="57">
        <f>IFERROR(__xludf.DUMMYFUNCTION("""COMPUTED_VALUE"""),0.9882888876980481)</f>
        <v>0.9882888877</v>
      </c>
      <c r="AR307" s="36" t="b">
        <f>IFERROR(__xludf.DUMMYFUNCTION("""COMPUTED_VALUE"""),TRUE)</f>
        <v>1</v>
      </c>
      <c r="AS307" s="57"/>
      <c r="AT307" s="37"/>
      <c r="AU307" s="30"/>
      <c r="AV307" s="30"/>
      <c r="AW307" s="30"/>
      <c r="AX307" s="30"/>
      <c r="AY307" s="30"/>
      <c r="AZ307" s="30"/>
    </row>
    <row r="308">
      <c r="A308" s="30" t="str">
        <f>IFERROR(__xludf.DUMMYFUNCTION("""COMPUTED_VALUE"""),"Elite")</f>
        <v>Elite</v>
      </c>
      <c r="B308" s="30" t="str">
        <f>IFERROR(__xludf.DUMMYFUNCTION("""COMPUTED_VALUE"""),"RSC000016")</f>
        <v>RSC000016</v>
      </c>
      <c r="C308" s="30" t="str">
        <f>IFERROR(__xludf.DUMMYFUNCTION("""COMPUTED_VALUE"""),"Beans")</f>
        <v>Beans</v>
      </c>
      <c r="D308" s="31" t="str">
        <f>IFERROR(__xludf.DUMMYFUNCTION("""COMPUTED_VALUE"""),"Nightshade")</f>
        <v>Nightshade</v>
      </c>
      <c r="E308" s="31">
        <f>IFERROR(__xludf.DUMMYFUNCTION("""COMPUTED_VALUE"""),37.78665357352782)</f>
        <v>37.78665357</v>
      </c>
      <c r="F308" s="31">
        <f>IFERROR(__xludf.DUMMYFUNCTION("""COMPUTED_VALUE"""),-3.1991208803598097)</f>
        <v>-3.19912088</v>
      </c>
      <c r="G308" s="31">
        <f>IFERROR(__xludf.DUMMYFUNCTION("""COMPUTED_VALUE"""),44.01428955328286)</f>
        <v>44.01428955</v>
      </c>
      <c r="H308" s="31">
        <f>IFERROR(__xludf.DUMMYFUNCTION("""COMPUTED_VALUE"""),-2.466780494760173)</f>
        <v>-2.466780495</v>
      </c>
      <c r="I308" s="54">
        <f>IFERROR(__xludf.DUMMYFUNCTION("""COMPUTED_VALUE"""),26.0)</f>
        <v>26</v>
      </c>
      <c r="J308" s="55">
        <f>IFERROR(__xludf.DUMMYFUNCTION("""COMPUTED_VALUE"""),12.0)</f>
        <v>12</v>
      </c>
      <c r="K308" s="54">
        <f>IFERROR(__xludf.DUMMYFUNCTION("""COMPUTED_VALUE"""),14.0)</f>
        <v>14</v>
      </c>
      <c r="L308" s="56">
        <f>IFERROR(__xludf.DUMMYFUNCTION("""COMPUTED_VALUE"""),0.46153846153846156)</f>
        <v>0.4615384615</v>
      </c>
      <c r="M308" s="56">
        <f>IFERROR(__xludf.DUMMYFUNCTION("""COMPUTED_VALUE"""),0.30188679245283023)</f>
        <v>0.3018867925</v>
      </c>
      <c r="N308" s="31">
        <f>IFERROR(__xludf.DUMMYFUNCTION("""COMPUTED_VALUE"""),361.15384615384613)</f>
        <v>361.1538462</v>
      </c>
      <c r="O308" s="57">
        <f>IFERROR(__xludf.DUMMYFUNCTION("""COMPUTED_VALUE"""),0.6153846153846154)</f>
        <v>0.6153846154</v>
      </c>
      <c r="P308" s="57">
        <f>IFERROR(__xludf.DUMMYFUNCTION("""COMPUTED_VALUE"""),0.6153846153846154)</f>
        <v>0.6153846154</v>
      </c>
      <c r="Q308" s="57">
        <f>IFERROR(__xludf.DUMMYFUNCTION("""COMPUTED_VALUE"""),1.8076923076923077)</f>
        <v>1.807692308</v>
      </c>
      <c r="R308" s="57">
        <f>IFERROR(__xludf.DUMMYFUNCTION("""COMPUTED_VALUE"""),2.0384615384615383)</f>
        <v>2.038461538</v>
      </c>
      <c r="S308" s="31">
        <f>IFERROR(__xludf.DUMMYFUNCTION("""COMPUTED_VALUE"""),358.96153846153845)</f>
        <v>358.9615385</v>
      </c>
      <c r="T308" s="57">
        <f>IFERROR(__xludf.DUMMYFUNCTION("""COMPUTED_VALUE"""),0.8076923076923076)</f>
        <v>0.8076923077</v>
      </c>
      <c r="U308" s="57">
        <f>IFERROR(__xludf.DUMMYFUNCTION("""COMPUTED_VALUE"""),0.564102564102564)</f>
        <v>0.5641025641</v>
      </c>
      <c r="V308" s="57">
        <f>IFERROR(__xludf.DUMMYFUNCTION("""COMPUTED_VALUE"""),1.4102564102564101)</f>
        <v>1.41025641</v>
      </c>
      <c r="W308" s="57">
        <f>IFERROR(__xludf.DUMMYFUNCTION("""COMPUTED_VALUE"""),2.6410256410256414)</f>
        <v>2.641025641</v>
      </c>
      <c r="X308" s="31">
        <f>IFERROR(__xludf.DUMMYFUNCTION("""COMPUTED_VALUE"""),347.8283333638938)</f>
        <v>347.8283334</v>
      </c>
      <c r="Y308" s="57">
        <f>IFERROR(__xludf.DUMMYFUNCTION("""COMPUTED_VALUE"""),0.7034092778904554)</f>
        <v>0.7034092779</v>
      </c>
      <c r="Z308" s="57">
        <f>IFERROR(__xludf.DUMMYFUNCTION("""COMPUTED_VALUE"""),0.5096660526352703)</f>
        <v>0.5096660526</v>
      </c>
      <c r="AA308" s="57">
        <f>IFERROR(__xludf.DUMMYFUNCTION("""COMPUTED_VALUE"""),1.4406383001481016)</f>
        <v>1.4406383</v>
      </c>
      <c r="AB308" s="57">
        <f>IFERROR(__xludf.DUMMYFUNCTION("""COMPUTED_VALUE"""),2.516675711496366)</f>
        <v>2.516675711</v>
      </c>
      <c r="AC308" s="31">
        <f>IFERROR(__xludf.DUMMYFUNCTION("""COMPUTED_VALUE"""),370.0280893370994)</f>
        <v>370.0280893</v>
      </c>
      <c r="AD308" s="57">
        <f>IFERROR(__xludf.DUMMYFUNCTION("""COMPUTED_VALUE"""),0.8218084103341645)</f>
        <v>0.8218084103</v>
      </c>
      <c r="AE308" s="57">
        <f>IFERROR(__xludf.DUMMYFUNCTION("""COMPUTED_VALUE"""),0.6352392289291655)</f>
        <v>0.6352392289</v>
      </c>
      <c r="AF308" s="57">
        <f>IFERROR(__xludf.DUMMYFUNCTION("""COMPUTED_VALUE"""),1.4015779273877027)</f>
        <v>1.401577927</v>
      </c>
      <c r="AG308" s="57">
        <f>IFERROR(__xludf.DUMMYFUNCTION("""COMPUTED_VALUE"""),2.7739759682400305)</f>
        <v>2.773975968</v>
      </c>
      <c r="AH308" s="57">
        <f>IFERROR(__xludf.DUMMYFUNCTION("""COMPUTED_VALUE"""),0.9760173796558219)</f>
        <v>0.9760173797</v>
      </c>
      <c r="AI308" s="57">
        <f>IFERROR(__xludf.DUMMYFUNCTION("""COMPUTED_VALUE"""),0.7488176169119359)</f>
        <v>0.7488176169</v>
      </c>
      <c r="AJ308" s="57">
        <f>IFERROR(__xludf.DUMMYFUNCTION("""COMPUTED_VALUE"""),0.968744667142142)</f>
        <v>0.9687446671</v>
      </c>
      <c r="AK308" s="57">
        <f>IFERROR(__xludf.DUMMYFUNCTION("""COMPUTED_VALUE"""),1.2897551198323531)</f>
        <v>1.28975512</v>
      </c>
      <c r="AL308" s="57">
        <f>IFERROR(__xludf.DUMMYFUNCTION("""COMPUTED_VALUE"""),0.7348519099662046)</f>
        <v>0.73485191</v>
      </c>
      <c r="AM308" s="57">
        <f>IFERROR(__xludf.DUMMYFUNCTION("""COMPUTED_VALUE"""),1.032007757936146)</f>
        <v>1.032007758</v>
      </c>
      <c r="AN308" s="57">
        <f>IFERROR(__xludf.DUMMYFUNCTION("""COMPUTED_VALUE"""),1.1482537024740418)</f>
        <v>1.148253702</v>
      </c>
      <c r="AO308" s="57">
        <f>IFERROR(__xludf.DUMMYFUNCTION("""COMPUTED_VALUE"""),1.1068081956524771)</f>
        <v>1.106808196</v>
      </c>
      <c r="AP308" s="35">
        <f>IFERROR(__xludf.DUMMYFUNCTION("""COMPUTED_VALUE"""),0.9789108134300135)</f>
        <v>0.9789108134</v>
      </c>
      <c r="AQ308" s="57">
        <f>IFERROR(__xludf.DUMMYFUNCTION("""COMPUTED_VALUE"""),1.0494103904453147)</f>
        <v>1.04941039</v>
      </c>
      <c r="AR308" s="36" t="b">
        <f>IFERROR(__xludf.DUMMYFUNCTION("""COMPUTED_VALUE"""),TRUE)</f>
        <v>1</v>
      </c>
      <c r="AS308" s="57"/>
      <c r="AT308" s="37"/>
      <c r="AU308" s="30"/>
      <c r="AV308" s="30"/>
      <c r="AW308" s="30"/>
      <c r="AX308" s="30"/>
      <c r="AY308" s="30"/>
      <c r="AZ308" s="30"/>
    </row>
    <row r="309">
      <c r="A309" s="30" t="str">
        <f>IFERROR(__xludf.DUMMYFUNCTION("""COMPUTED_VALUE"""),"Elite")</f>
        <v>Elite</v>
      </c>
      <c r="B309" s="30" t="str">
        <f>IFERROR(__xludf.DUMMYFUNCTION("""COMPUTED_VALUE"""),"RSC006745")</f>
        <v>RSC006745</v>
      </c>
      <c r="C309" s="30" t="str">
        <f>IFERROR(__xludf.DUMMYFUNCTION("""COMPUTED_VALUE"""),"Angel &lt;3")</f>
        <v>Angel &lt;3</v>
      </c>
      <c r="D309" s="31" t="str">
        <f>IFERROR(__xludf.DUMMYFUNCTION("""COMPUTED_VALUE"""),"Majesties")</f>
        <v>Majesties</v>
      </c>
      <c r="E309" s="31">
        <f>IFERROR(__xludf.DUMMYFUNCTION("""COMPUTED_VALUE"""),37.56012096459261)</f>
        <v>37.56012096</v>
      </c>
      <c r="F309" s="31">
        <f>IFERROR(__xludf.DUMMYFUNCTION("""COMPUTED_VALUE"""),-3.2322218132696006)</f>
        <v>-3.232221813</v>
      </c>
      <c r="G309" s="31">
        <f>IFERROR(__xludf.DUMMYFUNCTION("""COMPUTED_VALUE"""),34.02666027943197)</f>
        <v>34.02666028</v>
      </c>
      <c r="H309" s="31">
        <f>IFERROR(__xludf.DUMMYFUNCTION("""COMPUTED_VALUE"""),-3.8250708210869715)</f>
        <v>-3.825070821</v>
      </c>
      <c r="I309" s="54">
        <f>IFERROR(__xludf.DUMMYFUNCTION("""COMPUTED_VALUE"""),31.0)</f>
        <v>31</v>
      </c>
      <c r="J309" s="55">
        <f>IFERROR(__xludf.DUMMYFUNCTION("""COMPUTED_VALUE"""),9.0)</f>
        <v>9</v>
      </c>
      <c r="K309" s="54">
        <f>IFERROR(__xludf.DUMMYFUNCTION("""COMPUTED_VALUE"""),22.0)</f>
        <v>22</v>
      </c>
      <c r="L309" s="56">
        <f>IFERROR(__xludf.DUMMYFUNCTION("""COMPUTED_VALUE"""),0.2903225806451613)</f>
        <v>0.2903225806</v>
      </c>
      <c r="M309" s="56">
        <f>IFERROR(__xludf.DUMMYFUNCTION("""COMPUTED_VALUE"""),0.23170731707317074)</f>
        <v>0.2317073171</v>
      </c>
      <c r="N309" s="31">
        <f>IFERROR(__xludf.DUMMYFUNCTION("""COMPUTED_VALUE"""),326.5483870967742)</f>
        <v>326.5483871</v>
      </c>
      <c r="O309" s="57">
        <f>IFERROR(__xludf.DUMMYFUNCTION("""COMPUTED_VALUE"""),0.6129032258064516)</f>
        <v>0.6129032258</v>
      </c>
      <c r="P309" s="57">
        <f>IFERROR(__xludf.DUMMYFUNCTION("""COMPUTED_VALUE"""),0.4838709677419355)</f>
        <v>0.4838709677</v>
      </c>
      <c r="Q309" s="57">
        <f>IFERROR(__xludf.DUMMYFUNCTION("""COMPUTED_VALUE"""),1.3870967741935485)</f>
        <v>1.387096774</v>
      </c>
      <c r="R309" s="57">
        <f>IFERROR(__xludf.DUMMYFUNCTION("""COMPUTED_VALUE"""),2.6451612903225805)</f>
        <v>2.64516129</v>
      </c>
      <c r="S309" s="31">
        <f>IFERROR(__xludf.DUMMYFUNCTION("""COMPUTED_VALUE"""),406.74193548387103)</f>
        <v>406.7419355</v>
      </c>
      <c r="T309" s="57">
        <f>IFERROR(__xludf.DUMMYFUNCTION("""COMPUTED_VALUE"""),1.1075268817204302)</f>
        <v>1.107526882</v>
      </c>
      <c r="U309" s="57">
        <f>IFERROR(__xludf.DUMMYFUNCTION("""COMPUTED_VALUE"""),0.817204301075269)</f>
        <v>0.8172043011</v>
      </c>
      <c r="V309" s="57">
        <f>IFERROR(__xludf.DUMMYFUNCTION("""COMPUTED_VALUE"""),1.32258064516129)</f>
        <v>1.322580645</v>
      </c>
      <c r="W309" s="57">
        <f>IFERROR(__xludf.DUMMYFUNCTION("""COMPUTED_VALUE"""),3.10752688172043)</f>
        <v>3.107526882</v>
      </c>
      <c r="X309" s="31">
        <f>IFERROR(__xludf.DUMMYFUNCTION("""COMPUTED_VALUE"""),370.48804815936336)</f>
        <v>370.4880482</v>
      </c>
      <c r="Y309" s="57">
        <f>IFERROR(__xludf.DUMMYFUNCTION("""COMPUTED_VALUE"""),0.8285623733286324)</f>
        <v>0.8285623733</v>
      </c>
      <c r="Z309" s="57">
        <f>IFERROR(__xludf.DUMMYFUNCTION("""COMPUTED_VALUE"""),0.6141577118930065)</f>
        <v>0.6141577119</v>
      </c>
      <c r="AA309" s="57">
        <f>IFERROR(__xludf.DUMMYFUNCTION("""COMPUTED_VALUE"""),1.3984777563276238)</f>
        <v>1.398477756</v>
      </c>
      <c r="AB309" s="57">
        <f>IFERROR(__xludf.DUMMYFUNCTION("""COMPUTED_VALUE"""),2.837186525257015)</f>
        <v>2.837186525</v>
      </c>
      <c r="AC309" s="31">
        <f>IFERROR(__xludf.DUMMYFUNCTION("""COMPUTED_VALUE"""),357.7207468856544)</f>
        <v>357.7207469</v>
      </c>
      <c r="AD309" s="57">
        <f>IFERROR(__xludf.DUMMYFUNCTION("""COMPUTED_VALUE"""),0.7231649966116033)</f>
        <v>0.7231649966</v>
      </c>
      <c r="AE309" s="57">
        <f>IFERROR(__xludf.DUMMYFUNCTION("""COMPUTED_VALUE"""),0.538809343916897)</f>
        <v>0.5388093439</v>
      </c>
      <c r="AF309" s="57">
        <f>IFERROR(__xludf.DUMMYFUNCTION("""COMPUTED_VALUE"""),1.4962964883843894)</f>
        <v>1.496296488</v>
      </c>
      <c r="AG309" s="57">
        <f>IFERROR(__xludf.DUMMYFUNCTION("""COMPUTED_VALUE"""),2.5602319132403912)</f>
        <v>2.560231913</v>
      </c>
      <c r="AH309" s="57">
        <f>IFERROR(__xludf.DUMMYFUNCTION("""COMPUTED_VALUE"""),0.9128583956612266)</f>
        <v>0.9128583957</v>
      </c>
      <c r="AI309" s="57">
        <f>IFERROR(__xludf.DUMMYFUNCTION("""COMPUTED_VALUE"""),0.8475288885361096)</f>
        <v>0.8475288885</v>
      </c>
      <c r="AJ309" s="57">
        <f>IFERROR(__xludf.DUMMYFUNCTION("""COMPUTED_VALUE"""),0.8980374472061217)</f>
        <v>0.8980374472</v>
      </c>
      <c r="AK309" s="57">
        <f>IFERROR(__xludf.DUMMYFUNCTION("""COMPUTED_VALUE"""),0.9270200023601284)</f>
        <v>0.9270200024</v>
      </c>
      <c r="AL309" s="57">
        <f>IFERROR(__xludf.DUMMYFUNCTION("""COMPUTED_VALUE"""),1.0331725327861792)</f>
        <v>1.033172533</v>
      </c>
      <c r="AM309" s="57">
        <f>IFERROR(__xludf.DUMMYFUNCTION("""COMPUTED_VALUE"""),1.0978544044932679)</f>
        <v>1.097854404</v>
      </c>
      <c r="AN309" s="57">
        <f>IFERROR(__xludf.DUMMYFUNCTION("""COMPUTED_VALUE"""),1.3366849827745584)</f>
        <v>1.336684983</v>
      </c>
      <c r="AO309" s="57">
        <f>IFERROR(__xludf.DUMMYFUNCTION("""COMPUTED_VALUE"""),1.3306098502881547)</f>
        <v>1.33060985</v>
      </c>
      <c r="AP309" s="35">
        <f>IFERROR(__xludf.DUMMYFUNCTION("""COMPUTED_VALUE"""),0.9457287677098003)</f>
        <v>0.9457287677</v>
      </c>
      <c r="AQ309" s="57">
        <f>IFERROR(__xludf.DUMMYFUNCTION("""COMPUTED_VALUE"""),1.0952846610742046)</f>
        <v>1.095284661</v>
      </c>
      <c r="AR309" s="36" t="b">
        <f>IFERROR(__xludf.DUMMYFUNCTION("""COMPUTED_VALUE"""),TRUE)</f>
        <v>1</v>
      </c>
      <c r="AS309" s="57"/>
      <c r="AT309" s="37"/>
      <c r="AU309" s="30"/>
      <c r="AV309" s="30"/>
      <c r="AW309" s="30"/>
      <c r="AX309" s="30"/>
      <c r="AY309" s="30"/>
      <c r="AZ309" s="30"/>
    </row>
    <row r="310">
      <c r="A310" s="30" t="str">
        <f>IFERROR(__xludf.DUMMYFUNCTION("""COMPUTED_VALUE"""),"Elite")</f>
        <v>Elite</v>
      </c>
      <c r="B310" s="30" t="str">
        <f>IFERROR(__xludf.DUMMYFUNCTION("""COMPUTED_VALUE"""),"RSC006877")</f>
        <v>RSC006877</v>
      </c>
      <c r="C310" s="30" t="str">
        <f>IFERROR(__xludf.DUMMYFUNCTION("""COMPUTED_VALUE"""),"Jolt")</f>
        <v>Jolt</v>
      </c>
      <c r="D310" s="31" t="str">
        <f>IFERROR(__xludf.DUMMYFUNCTION("""COMPUTED_VALUE"""),"Desolation")</f>
        <v>Desolation</v>
      </c>
      <c r="E310" s="31">
        <f>IFERROR(__xludf.DUMMYFUNCTION("""COMPUTED_VALUE"""),37.547565254223706)</f>
        <v>37.54756525</v>
      </c>
      <c r="F310" s="31">
        <f>IFERROR(__xludf.DUMMYFUNCTION("""COMPUTED_VALUE"""),-3.234072112877921)</f>
        <v>-3.234072113</v>
      </c>
      <c r="G310" s="31">
        <f>IFERROR(__xludf.DUMMYFUNCTION("""COMPUTED_VALUE"""),33.31295590921844)</f>
        <v>33.31295591</v>
      </c>
      <c r="H310" s="31">
        <f>IFERROR(__xludf.DUMMYFUNCTION("""COMPUTED_VALUE"""),-3.964600444070632)</f>
        <v>-3.964600444</v>
      </c>
      <c r="I310" s="54">
        <f>IFERROR(__xludf.DUMMYFUNCTION("""COMPUTED_VALUE"""),7.0)</f>
        <v>7</v>
      </c>
      <c r="J310" s="55">
        <f>IFERROR(__xludf.DUMMYFUNCTION("""COMPUTED_VALUE"""),4.0)</f>
        <v>4</v>
      </c>
      <c r="K310" s="54">
        <f>IFERROR(__xludf.DUMMYFUNCTION("""COMPUTED_VALUE"""),3.0)</f>
        <v>3</v>
      </c>
      <c r="L310" s="56">
        <f>IFERROR(__xludf.DUMMYFUNCTION("""COMPUTED_VALUE"""),0.5714285714285714)</f>
        <v>0.5714285714</v>
      </c>
      <c r="M310" s="56">
        <f>IFERROR(__xludf.DUMMYFUNCTION("""COMPUTED_VALUE"""),0.09090909090909091)</f>
        <v>0.09090909091</v>
      </c>
      <c r="N310" s="31">
        <f>IFERROR(__xludf.DUMMYFUNCTION("""COMPUTED_VALUE"""),331.14285714285717)</f>
        <v>331.1428571</v>
      </c>
      <c r="O310" s="57">
        <f>IFERROR(__xludf.DUMMYFUNCTION("""COMPUTED_VALUE"""),0.14285714285714285)</f>
        <v>0.1428571429</v>
      </c>
      <c r="P310" s="57">
        <f>IFERROR(__xludf.DUMMYFUNCTION("""COMPUTED_VALUE"""),1.2857142857142858)</f>
        <v>1.285714286</v>
      </c>
      <c r="Q310" s="57">
        <f>IFERROR(__xludf.DUMMYFUNCTION("""COMPUTED_VALUE"""),1.7142857142857142)</f>
        <v>1.714285714</v>
      </c>
      <c r="R310" s="57">
        <f>IFERROR(__xludf.DUMMYFUNCTION("""COMPUTED_VALUE"""),1.5714285714285714)</f>
        <v>1.571428571</v>
      </c>
      <c r="S310" s="31">
        <f>IFERROR(__xludf.DUMMYFUNCTION("""COMPUTED_VALUE"""),415.2857142857143)</f>
        <v>415.2857143</v>
      </c>
      <c r="T310" s="57">
        <f>IFERROR(__xludf.DUMMYFUNCTION("""COMPUTED_VALUE"""),0.8571428571428571)</f>
        <v>0.8571428571</v>
      </c>
      <c r="U310" s="57">
        <f>IFERROR(__xludf.DUMMYFUNCTION("""COMPUTED_VALUE"""),0.8571428571428571)</f>
        <v>0.8571428571</v>
      </c>
      <c r="V310" s="57">
        <f>IFERROR(__xludf.DUMMYFUNCTION("""COMPUTED_VALUE"""),1.7619047619047616)</f>
        <v>1.761904762</v>
      </c>
      <c r="W310" s="57">
        <f>IFERROR(__xludf.DUMMYFUNCTION("""COMPUTED_VALUE"""),3.095238095238095)</f>
        <v>3.095238095</v>
      </c>
      <c r="X310" s="31">
        <f>IFERROR(__xludf.DUMMYFUNCTION("""COMPUTED_VALUE"""),389.4906726579521)</f>
        <v>389.4906727</v>
      </c>
      <c r="Y310" s="57">
        <f>IFERROR(__xludf.DUMMYFUNCTION("""COMPUTED_VALUE"""),0.9299272486772487)</f>
        <v>0.9299272487</v>
      </c>
      <c r="Z310" s="57">
        <f>IFERROR(__xludf.DUMMYFUNCTION("""COMPUTED_VALUE"""),0.7091561624649861)</f>
        <v>0.7091561625</v>
      </c>
      <c r="AA310" s="57">
        <f>IFERROR(__xludf.DUMMYFUNCTION("""COMPUTED_VALUE"""),1.3385056800497976)</f>
        <v>1.33850568</v>
      </c>
      <c r="AB310" s="57">
        <f>IFERROR(__xludf.DUMMYFUNCTION("""COMPUTED_VALUE"""),3.049412542794896)</f>
        <v>3.049412543</v>
      </c>
      <c r="AC310" s="31">
        <f>IFERROR(__xludf.DUMMYFUNCTION("""COMPUTED_VALUE"""),350.1678415810769)</f>
        <v>350.1678416</v>
      </c>
      <c r="AD310" s="57">
        <f>IFERROR(__xludf.DUMMYFUNCTION("""COMPUTED_VALUE"""),0.6433291835252619)</f>
        <v>0.6433291835</v>
      </c>
      <c r="AE310" s="57">
        <f>IFERROR(__xludf.DUMMYFUNCTION("""COMPUTED_VALUE"""),0.4782485216308746)</f>
        <v>0.4782485216</v>
      </c>
      <c r="AF310" s="57">
        <f>IFERROR(__xludf.DUMMYFUNCTION("""COMPUTED_VALUE"""),1.6357389251997094)</f>
        <v>1.635738925</v>
      </c>
      <c r="AG310" s="57">
        <f>IFERROR(__xludf.DUMMYFUNCTION("""COMPUTED_VALUE"""),2.292606857557838)</f>
        <v>2.292606858</v>
      </c>
      <c r="AH310" s="57">
        <f>IFERROR(__xludf.DUMMYFUNCTION("""COMPUTED_VALUE"""),0.9456689559146317)</f>
        <v>0.9456689559</v>
      </c>
      <c r="AI310" s="57">
        <f>IFERROR(__xludf.DUMMYFUNCTION("""COMPUTED_VALUE"""),0.2220591673990695)</f>
        <v>0.2220591674</v>
      </c>
      <c r="AJ310" s="57">
        <f>IFERROR(__xludf.DUMMYFUNCTION("""COMPUTED_VALUE"""),2.6883810980321976)</f>
        <v>2.688381098</v>
      </c>
      <c r="AK310" s="57">
        <f>IFERROR(__xludf.DUMMYFUNCTION("""COMPUTED_VALUE"""),1.0480191477233538)</f>
        <v>1.048019148</v>
      </c>
      <c r="AL310" s="57">
        <f>IFERROR(__xludf.DUMMYFUNCTION("""COMPUTED_VALUE"""),0.6854330764335713)</f>
        <v>0.6854330764</v>
      </c>
      <c r="AM310" s="57">
        <f>IFERROR(__xludf.DUMMYFUNCTION("""COMPUTED_VALUE"""),1.0662276235056731)</f>
        <v>1.066227624</v>
      </c>
      <c r="AN310" s="57">
        <f>IFERROR(__xludf.DUMMYFUNCTION("""COMPUTED_VALUE"""),0.9217310906440026)</f>
        <v>0.9217310906</v>
      </c>
      <c r="AO310" s="57">
        <f>IFERROR(__xludf.DUMMYFUNCTION("""COMPUTED_VALUE"""),1.2086799812378104)</f>
        <v>1.208679981</v>
      </c>
      <c r="AP310" s="35">
        <f>IFERROR(__xludf.DUMMYFUNCTION("""COMPUTED_VALUE"""),1.3163222152626293)</f>
        <v>1.316322215</v>
      </c>
      <c r="AQ310" s="57">
        <f>IFERROR(__xludf.DUMMYFUNCTION("""COMPUTED_VALUE"""),1.015027665755319)</f>
        <v>1.015027666</v>
      </c>
      <c r="AR310" s="36" t="b">
        <f>IFERROR(__xludf.DUMMYFUNCTION("""COMPUTED_VALUE"""),TRUE)</f>
        <v>1</v>
      </c>
      <c r="AS310" s="57"/>
      <c r="AT310" s="37"/>
      <c r="AU310" s="30"/>
      <c r="AV310" s="30"/>
      <c r="AW310" s="30"/>
      <c r="AX310" s="30"/>
      <c r="AY310" s="30"/>
      <c r="AZ310" s="30"/>
    </row>
    <row r="311">
      <c r="A311" s="30" t="str">
        <f>IFERROR(__xludf.DUMMYFUNCTION("""COMPUTED_VALUE"""),"Elite")</f>
        <v>Elite</v>
      </c>
      <c r="B311" s="30" t="str">
        <f>IFERROR(__xludf.DUMMYFUNCTION("""COMPUTED_VALUE"""),"RSC005709")</f>
        <v>RSC005709</v>
      </c>
      <c r="C311" s="30" t="str">
        <f>IFERROR(__xludf.DUMMYFUNCTION("""COMPUTED_VALUE"""),"ZavaRL")</f>
        <v>ZavaRL</v>
      </c>
      <c r="D311" s="31" t="str">
        <f>IFERROR(__xludf.DUMMYFUNCTION("""COMPUTED_VALUE"""),"Orochi")</f>
        <v>Orochi</v>
      </c>
      <c r="E311" s="31">
        <f>IFERROR(__xludf.DUMMYFUNCTION("""COMPUTED_VALUE"""),37.41562161311431)</f>
        <v>37.41562161</v>
      </c>
      <c r="F311" s="31">
        <f>IFERROR(__xludf.DUMMYFUNCTION("""COMPUTED_VALUE"""),-3.253616741943908)</f>
        <v>-3.253616742</v>
      </c>
      <c r="G311" s="31">
        <f>IFERROR(__xludf.DUMMYFUNCTION("""COMPUTED_VALUE"""),51.408354549383475)</f>
        <v>51.40835455</v>
      </c>
      <c r="H311" s="31">
        <f>IFERROR(__xludf.DUMMYFUNCTION("""COMPUTED_VALUE"""),2.094075090486494)</f>
        <v>2.09407509</v>
      </c>
      <c r="I311" s="54">
        <f>IFERROR(__xludf.DUMMYFUNCTION("""COMPUTED_VALUE"""),13.0)</f>
        <v>13</v>
      </c>
      <c r="J311" s="55">
        <f>IFERROR(__xludf.DUMMYFUNCTION("""COMPUTED_VALUE"""),6.0)</f>
        <v>6</v>
      </c>
      <c r="K311" s="54">
        <f>IFERROR(__xludf.DUMMYFUNCTION("""COMPUTED_VALUE"""),7.0)</f>
        <v>7</v>
      </c>
      <c r="L311" s="56">
        <f>IFERROR(__xludf.DUMMYFUNCTION("""COMPUTED_VALUE"""),0.46153846153846156)</f>
        <v>0.4615384615</v>
      </c>
      <c r="M311" s="56">
        <f>IFERROR(__xludf.DUMMYFUNCTION("""COMPUTED_VALUE"""),0.15384615384615385)</f>
        <v>0.1538461538</v>
      </c>
      <c r="N311" s="31">
        <f>IFERROR(__xludf.DUMMYFUNCTION("""COMPUTED_VALUE"""),300.38461538461536)</f>
        <v>300.3846154</v>
      </c>
      <c r="O311" s="57">
        <f>IFERROR(__xludf.DUMMYFUNCTION("""COMPUTED_VALUE"""),0.3076923076923077)</f>
        <v>0.3076923077</v>
      </c>
      <c r="P311" s="57">
        <f>IFERROR(__xludf.DUMMYFUNCTION("""COMPUTED_VALUE"""),1.0)</f>
        <v>1</v>
      </c>
      <c r="Q311" s="57">
        <f>IFERROR(__xludf.DUMMYFUNCTION("""COMPUTED_VALUE"""),1.2307692307692308)</f>
        <v>1.230769231</v>
      </c>
      <c r="R311" s="57">
        <f>IFERROR(__xludf.DUMMYFUNCTION("""COMPUTED_VALUE"""),2.0)</f>
        <v>2</v>
      </c>
      <c r="S311" s="31">
        <f>IFERROR(__xludf.DUMMYFUNCTION("""COMPUTED_VALUE"""),345.1282051282051)</f>
        <v>345.1282051</v>
      </c>
      <c r="T311" s="57">
        <f>IFERROR(__xludf.DUMMYFUNCTION("""COMPUTED_VALUE"""),0.7435897435897435)</f>
        <v>0.7435897436</v>
      </c>
      <c r="U311" s="57">
        <f>IFERROR(__xludf.DUMMYFUNCTION("""COMPUTED_VALUE"""),0.46153846153846156)</f>
        <v>0.4615384615</v>
      </c>
      <c r="V311" s="57">
        <f>IFERROR(__xludf.DUMMYFUNCTION("""COMPUTED_VALUE"""),1.4102564102564101)</f>
        <v>1.41025641</v>
      </c>
      <c r="W311" s="57">
        <f>IFERROR(__xludf.DUMMYFUNCTION("""COMPUTED_VALUE"""),2.3076923076923075)</f>
        <v>2.307692308</v>
      </c>
      <c r="X311" s="31">
        <f>IFERROR(__xludf.DUMMYFUNCTION("""COMPUTED_VALUE"""),345.54753179185843)</f>
        <v>345.5475318</v>
      </c>
      <c r="Y311" s="57">
        <f>IFERROR(__xludf.DUMMYFUNCTION("""COMPUTED_VALUE"""),0.7118214836774673)</f>
        <v>0.7118214837</v>
      </c>
      <c r="Z311" s="57">
        <f>IFERROR(__xludf.DUMMYFUNCTION("""COMPUTED_VALUE"""),0.5374548461677701)</f>
        <v>0.5374548462</v>
      </c>
      <c r="AA311" s="57">
        <f>IFERROR(__xludf.DUMMYFUNCTION("""COMPUTED_VALUE"""),1.3584014807404043)</f>
        <v>1.358401481</v>
      </c>
      <c r="AB311" s="57">
        <f>IFERROR(__xludf.DUMMYFUNCTION("""COMPUTED_VALUE"""),2.454486409802271)</f>
        <v>2.45448641</v>
      </c>
      <c r="AC311" s="31">
        <f>IFERROR(__xludf.DUMMYFUNCTION("""COMPUTED_VALUE"""),356.1561362427274)</f>
        <v>356.1561362</v>
      </c>
      <c r="AD311" s="57">
        <f>IFERROR(__xludf.DUMMYFUNCTION("""COMPUTED_VALUE"""),0.7833115578586496)</f>
        <v>0.7833115579</v>
      </c>
      <c r="AE311" s="57">
        <f>IFERROR(__xludf.DUMMYFUNCTION("""COMPUTED_VALUE"""),0.5966363119238278)</f>
        <v>0.5966363119</v>
      </c>
      <c r="AF311" s="57">
        <f>IFERROR(__xludf.DUMMYFUNCTION("""COMPUTED_VALUE"""),1.3416229595337603)</f>
        <v>1.34162296</v>
      </c>
      <c r="AG311" s="57">
        <f>IFERROR(__xludf.DUMMYFUNCTION("""COMPUTED_VALUE"""),2.6099556502321772)</f>
        <v>2.60995565</v>
      </c>
      <c r="AH311" s="57">
        <f>IFERROR(__xludf.DUMMYFUNCTION("""COMPUTED_VALUE"""),0.843407103843628)</f>
        <v>0.8434071038</v>
      </c>
      <c r="AI311" s="57">
        <f>IFERROR(__xludf.DUMMYFUNCTION("""COMPUTED_VALUE"""),0.39280961018046345)</f>
        <v>0.3928096102</v>
      </c>
      <c r="AJ311" s="57">
        <f>IFERROR(__xludf.DUMMYFUNCTION("""COMPUTED_VALUE"""),1.6760629214396012)</f>
        <v>1.676062921</v>
      </c>
      <c r="AK311" s="57">
        <f>IFERROR(__xludf.DUMMYFUNCTION("""COMPUTED_VALUE"""),0.9173734110788822)</f>
        <v>0.9173734111</v>
      </c>
      <c r="AL311" s="57">
        <f>IFERROR(__xludf.DUMMYFUNCTION("""COMPUTED_VALUE"""),0.7662965460053252)</f>
        <v>0.766296546</v>
      </c>
      <c r="AM311" s="57">
        <f>IFERROR(__xludf.DUMMYFUNCTION("""COMPUTED_VALUE"""),0.9987864863005129)</f>
        <v>0.9987864863</v>
      </c>
      <c r="AN311" s="57">
        <f>IFERROR(__xludf.DUMMYFUNCTION("""COMPUTED_VALUE"""),1.0446295323205932)</f>
        <v>1.044629532</v>
      </c>
      <c r="AO311" s="57">
        <f>IFERROR(__xludf.DUMMYFUNCTION("""COMPUTED_VALUE"""),0.8587483484973346)</f>
        <v>0.8587483485</v>
      </c>
      <c r="AP311" s="35">
        <f>IFERROR(__xludf.DUMMYFUNCTION("""COMPUTED_VALUE"""),1.0381734930734483)</f>
        <v>1.038173493</v>
      </c>
      <c r="AQ311" s="57">
        <f>IFERROR(__xludf.DUMMYFUNCTION("""COMPUTED_VALUE"""),0.9401935567767967)</f>
        <v>0.9401935568</v>
      </c>
      <c r="AR311" s="36" t="b">
        <f>IFERROR(__xludf.DUMMYFUNCTION("""COMPUTED_VALUE"""),TRUE)</f>
        <v>1</v>
      </c>
      <c r="AS311" s="57"/>
      <c r="AT311" s="37"/>
      <c r="AU311" s="30"/>
      <c r="AV311" s="30"/>
      <c r="AW311" s="30"/>
      <c r="AX311" s="30"/>
      <c r="AY311" s="30"/>
      <c r="AZ311" s="30"/>
    </row>
    <row r="312">
      <c r="A312" s="30" t="str">
        <f>IFERROR(__xludf.DUMMYFUNCTION("""COMPUTED_VALUE"""),"Elite")</f>
        <v>Elite</v>
      </c>
      <c r="B312" s="30" t="str">
        <f>IFERROR(__xludf.DUMMYFUNCTION("""COMPUTED_VALUE"""),"RSC005754")</f>
        <v>RSC005754</v>
      </c>
      <c r="C312" s="30" t="str">
        <f>IFERROR(__xludf.DUMMYFUNCTION("""COMPUTED_VALUE"""),"Monty.")</f>
        <v>Monty.</v>
      </c>
      <c r="D312" s="31" t="str">
        <f>IFERROR(__xludf.DUMMYFUNCTION("""COMPUTED_VALUE"""),"Fire")</f>
        <v>Fire</v>
      </c>
      <c r="E312" s="31">
        <f>IFERROR(__xludf.DUMMYFUNCTION("""COMPUTED_VALUE"""),36.35926254155336)</f>
        <v>36.35926254</v>
      </c>
      <c r="F312" s="31">
        <f>IFERROR(__xludf.DUMMYFUNCTION("""COMPUTED_VALUE"""),-3.416930572001823)</f>
        <v>-3.416930572</v>
      </c>
      <c r="G312" s="31">
        <f>IFERROR(__xludf.DUMMYFUNCTION("""COMPUTED_VALUE"""),22.966724772368174)</f>
        <v>22.96672477</v>
      </c>
      <c r="H312" s="31">
        <f>IFERROR(__xludf.DUMMYFUNCTION("""COMPUTED_VALUE"""),-7.154357811734188)</f>
        <v>-7.154357812</v>
      </c>
      <c r="I312" s="54">
        <f>IFERROR(__xludf.DUMMYFUNCTION("""COMPUTED_VALUE"""),17.0)</f>
        <v>17</v>
      </c>
      <c r="J312" s="55">
        <f>IFERROR(__xludf.DUMMYFUNCTION("""COMPUTED_VALUE"""),7.0)</f>
        <v>7</v>
      </c>
      <c r="K312" s="54">
        <f>IFERROR(__xludf.DUMMYFUNCTION("""COMPUTED_VALUE"""),10.0)</f>
        <v>10</v>
      </c>
      <c r="L312" s="56">
        <f>IFERROR(__xludf.DUMMYFUNCTION("""COMPUTED_VALUE"""),0.4117647058823529)</f>
        <v>0.4117647059</v>
      </c>
      <c r="M312" s="56">
        <f>IFERROR(__xludf.DUMMYFUNCTION("""COMPUTED_VALUE"""),0.14285714285714285)</f>
        <v>0.1428571429</v>
      </c>
      <c r="N312" s="31">
        <f>IFERROR(__xludf.DUMMYFUNCTION("""COMPUTED_VALUE"""),294.2352941176471)</f>
        <v>294.2352941</v>
      </c>
      <c r="O312" s="57">
        <f>IFERROR(__xludf.DUMMYFUNCTION("""COMPUTED_VALUE"""),0.35294117647058826)</f>
        <v>0.3529411765</v>
      </c>
      <c r="P312" s="57">
        <f>IFERROR(__xludf.DUMMYFUNCTION("""COMPUTED_VALUE"""),0.7058823529411765)</f>
        <v>0.7058823529</v>
      </c>
      <c r="Q312" s="57">
        <f>IFERROR(__xludf.DUMMYFUNCTION("""COMPUTED_VALUE"""),1.2941176470588236)</f>
        <v>1.294117647</v>
      </c>
      <c r="R312" s="57">
        <f>IFERROR(__xludf.DUMMYFUNCTION("""COMPUTED_VALUE"""),2.4705882352941178)</f>
        <v>2.470588235</v>
      </c>
      <c r="S312" s="31">
        <f>IFERROR(__xludf.DUMMYFUNCTION("""COMPUTED_VALUE"""),394.1764705882353)</f>
        <v>394.1764706</v>
      </c>
      <c r="T312" s="57">
        <f>IFERROR(__xludf.DUMMYFUNCTION("""COMPUTED_VALUE"""),0.9215686274509803)</f>
        <v>0.9215686275</v>
      </c>
      <c r="U312" s="57">
        <f>IFERROR(__xludf.DUMMYFUNCTION("""COMPUTED_VALUE"""),0.6470588235294118)</f>
        <v>0.6470588235</v>
      </c>
      <c r="V312" s="57">
        <f>IFERROR(__xludf.DUMMYFUNCTION("""COMPUTED_VALUE"""),1.5882352941176472)</f>
        <v>1.588235294</v>
      </c>
      <c r="W312" s="57">
        <f>IFERROR(__xludf.DUMMYFUNCTION("""COMPUTED_VALUE"""),2.9019607843137254)</f>
        <v>2.901960784</v>
      </c>
      <c r="X312" s="31">
        <f>IFERROR(__xludf.DUMMYFUNCTION("""COMPUTED_VALUE"""),382.7118507556999)</f>
        <v>382.7118508</v>
      </c>
      <c r="Y312" s="57">
        <f>IFERROR(__xludf.DUMMYFUNCTION("""COMPUTED_VALUE"""),0.8655273590671341)</f>
        <v>0.8655273591</v>
      </c>
      <c r="Z312" s="57">
        <f>IFERROR(__xludf.DUMMYFUNCTION("""COMPUTED_VALUE"""),0.5855341898809072)</f>
        <v>0.5855341899</v>
      </c>
      <c r="AA312" s="57">
        <f>IFERROR(__xludf.DUMMYFUNCTION("""COMPUTED_VALUE"""),1.4843842427529463)</f>
        <v>1.484384243</v>
      </c>
      <c r="AB312" s="57">
        <f>IFERROR(__xludf.DUMMYFUNCTION("""COMPUTED_VALUE"""),2.7924727610762843)</f>
        <v>2.792472761</v>
      </c>
      <c r="AC312" s="31">
        <f>IFERROR(__xludf.DUMMYFUNCTION("""COMPUTED_VALUE"""),344.42076967181214)</f>
        <v>344.4207697</v>
      </c>
      <c r="AD312" s="57">
        <f>IFERROR(__xludf.DUMMYFUNCTION("""COMPUTED_VALUE"""),0.656161109644948)</f>
        <v>0.6561611096</v>
      </c>
      <c r="AE312" s="57">
        <f>IFERROR(__xludf.DUMMYFUNCTION("""COMPUTED_VALUE"""),0.4845843690661495)</f>
        <v>0.4845843691</v>
      </c>
      <c r="AF312" s="57">
        <f>IFERROR(__xludf.DUMMYFUNCTION("""COMPUTED_VALUE"""),1.4396635487136447)</f>
        <v>1.439663549</v>
      </c>
      <c r="AG312" s="57">
        <f>IFERROR(__xludf.DUMMYFUNCTION("""COMPUTED_VALUE"""),2.4881895327200683)</f>
        <v>2.488189533</v>
      </c>
      <c r="AH312" s="57">
        <f>IFERROR(__xludf.DUMMYFUNCTION("""COMPUTED_VALUE"""),0.8542902171608721)</f>
        <v>0.8542902172</v>
      </c>
      <c r="AI312" s="57">
        <f>IFERROR(__xludf.DUMMYFUNCTION("""COMPUTED_VALUE"""),0.5378879840372839)</f>
        <v>0.537887984</v>
      </c>
      <c r="AJ312" s="57">
        <f>IFERROR(__xludf.DUMMYFUNCTION("""COMPUTED_VALUE"""),1.4566758608031332)</f>
        <v>1.456675861</v>
      </c>
      <c r="AK312" s="57">
        <f>IFERROR(__xludf.DUMMYFUNCTION("""COMPUTED_VALUE"""),0.8989028361627494)</f>
        <v>0.8989028362</v>
      </c>
      <c r="AL312" s="57">
        <f>IFERROR(__xludf.DUMMYFUNCTION("""COMPUTED_VALUE"""),0.9929260624263181)</f>
        <v>0.9929260624</v>
      </c>
      <c r="AM312" s="57">
        <f>IFERROR(__xludf.DUMMYFUNCTION("""COMPUTED_VALUE"""),1.0299562707815226)</f>
        <v>1.029956271</v>
      </c>
      <c r="AN312" s="57">
        <f>IFERROR(__xludf.DUMMYFUNCTION("""COMPUTED_VALUE"""),1.0647481189320782)</f>
        <v>1.064748119</v>
      </c>
      <c r="AO312" s="57">
        <f>IFERROR(__xludf.DUMMYFUNCTION("""COMPUTED_VALUE"""),1.105074365787279)</f>
        <v>1.105074366</v>
      </c>
      <c r="AP312" s="35">
        <f>IFERROR(__xludf.DUMMYFUNCTION("""COMPUTED_VALUE"""),1.069962377916447)</f>
        <v>1.069962378</v>
      </c>
      <c r="AQ312" s="57">
        <f>IFERROR(__xludf.DUMMYFUNCTION("""COMPUTED_VALUE"""),1.039208269016469)</f>
        <v>1.039208269</v>
      </c>
      <c r="AR312" s="36" t="b">
        <f>IFERROR(__xludf.DUMMYFUNCTION("""COMPUTED_VALUE"""),TRUE)</f>
        <v>1</v>
      </c>
      <c r="AS312" s="57"/>
      <c r="AT312" s="37"/>
      <c r="AU312" s="30"/>
      <c r="AV312" s="30"/>
      <c r="AW312" s="30"/>
      <c r="AX312" s="30"/>
      <c r="AY312" s="30"/>
      <c r="AZ312" s="30"/>
    </row>
    <row r="313">
      <c r="A313" s="30" t="str">
        <f>IFERROR(__xludf.DUMMYFUNCTION("""COMPUTED_VALUE"""),"Elite")</f>
        <v>Elite</v>
      </c>
      <c r="B313" s="30" t="str">
        <f>IFERROR(__xludf.DUMMYFUNCTION("""COMPUTED_VALUE"""),"RSC005308")</f>
        <v>RSC005308</v>
      </c>
      <c r="C313" s="30" t="str">
        <f>IFERROR(__xludf.DUMMYFUNCTION("""COMPUTED_VALUE"""),"6 lbs of Yeet")</f>
        <v>6 lbs of Yeet</v>
      </c>
      <c r="D313" s="31" t="str">
        <f>IFERROR(__xludf.DUMMYFUNCTION("""COMPUTED_VALUE"""),"Pixel Picassos")</f>
        <v>Pixel Picassos</v>
      </c>
      <c r="E313" s="31">
        <f>IFERROR(__xludf.DUMMYFUNCTION("""COMPUTED_VALUE"""),34.91300250862539)</f>
        <v>34.91300251</v>
      </c>
      <c r="F313" s="31">
        <f>IFERROR(__xludf.DUMMYFUNCTION("""COMPUTED_VALUE"""),-3.661732898984667)</f>
        <v>-3.661732899</v>
      </c>
      <c r="G313" s="31">
        <f>IFERROR(__xludf.DUMMYFUNCTION("""COMPUTED_VALUE"""),26.82342029745093)</f>
        <v>26.8234203</v>
      </c>
      <c r="H313" s="31">
        <f>IFERROR(__xludf.DUMMYFUNCTION("""COMPUTED_VALUE"""),-5.651414093467502)</f>
        <v>-5.651414093</v>
      </c>
      <c r="I313" s="54">
        <f>IFERROR(__xludf.DUMMYFUNCTION("""COMPUTED_VALUE"""),24.0)</f>
        <v>24</v>
      </c>
      <c r="J313" s="55">
        <f>IFERROR(__xludf.DUMMYFUNCTION("""COMPUTED_VALUE"""),6.0)</f>
        <v>6</v>
      </c>
      <c r="K313" s="54">
        <f>IFERROR(__xludf.DUMMYFUNCTION("""COMPUTED_VALUE"""),18.0)</f>
        <v>18</v>
      </c>
      <c r="L313" s="56">
        <f>IFERROR(__xludf.DUMMYFUNCTION("""COMPUTED_VALUE"""),0.25)</f>
        <v>0.25</v>
      </c>
      <c r="M313" s="56">
        <f>IFERROR(__xludf.DUMMYFUNCTION("""COMPUTED_VALUE"""),0.25)</f>
        <v>0.25</v>
      </c>
      <c r="N313" s="31">
        <f>IFERROR(__xludf.DUMMYFUNCTION("""COMPUTED_VALUE"""),329.9166666666667)</f>
        <v>329.9166667</v>
      </c>
      <c r="O313" s="57">
        <f>IFERROR(__xludf.DUMMYFUNCTION("""COMPUTED_VALUE"""),0.5416666666666666)</f>
        <v>0.5416666667</v>
      </c>
      <c r="P313" s="57">
        <f>IFERROR(__xludf.DUMMYFUNCTION("""COMPUTED_VALUE"""),0.4583333333333333)</f>
        <v>0.4583333333</v>
      </c>
      <c r="Q313" s="57">
        <f>IFERROR(__xludf.DUMMYFUNCTION("""COMPUTED_VALUE"""),1.75)</f>
        <v>1.75</v>
      </c>
      <c r="R313" s="57">
        <f>IFERROR(__xludf.DUMMYFUNCTION("""COMPUTED_VALUE"""),2.1666666666666665)</f>
        <v>2.166666667</v>
      </c>
      <c r="S313" s="31">
        <f>IFERROR(__xludf.DUMMYFUNCTION("""COMPUTED_VALUE"""),382.5694444444445)</f>
        <v>382.5694444</v>
      </c>
      <c r="T313" s="57">
        <f>IFERROR(__xludf.DUMMYFUNCTION("""COMPUTED_VALUE"""),0.9722222222222223)</f>
        <v>0.9722222222</v>
      </c>
      <c r="U313" s="57">
        <f>IFERROR(__xludf.DUMMYFUNCTION("""COMPUTED_VALUE"""),0.7083333333333334)</f>
        <v>0.7083333333</v>
      </c>
      <c r="V313" s="57">
        <f>IFERROR(__xludf.DUMMYFUNCTION("""COMPUTED_VALUE"""),1.222222222222222)</f>
        <v>1.222222222</v>
      </c>
      <c r="W313" s="57">
        <f>IFERROR(__xludf.DUMMYFUNCTION("""COMPUTED_VALUE"""),3.1388888888888893)</f>
        <v>3.138888889</v>
      </c>
      <c r="X313" s="31">
        <f>IFERROR(__xludf.DUMMYFUNCTION("""COMPUTED_VALUE"""),374.6384063563835)</f>
        <v>374.6384064</v>
      </c>
      <c r="Y313" s="57">
        <f>IFERROR(__xludf.DUMMYFUNCTION("""COMPUTED_VALUE"""),0.8968103493666031)</f>
        <v>0.8968103494</v>
      </c>
      <c r="Z313" s="57">
        <f>IFERROR(__xludf.DUMMYFUNCTION("""COMPUTED_VALUE"""),0.6714162065062693)</f>
        <v>0.6714162065</v>
      </c>
      <c r="AA313" s="57">
        <f>IFERROR(__xludf.DUMMYFUNCTION("""COMPUTED_VALUE"""),1.2838095314898392)</f>
        <v>1.283809531</v>
      </c>
      <c r="AB313" s="57">
        <f>IFERROR(__xludf.DUMMYFUNCTION("""COMPUTED_VALUE"""),2.9889004812984274)</f>
        <v>2.988900481</v>
      </c>
      <c r="AC313" s="31">
        <f>IFERROR(__xludf.DUMMYFUNCTION("""COMPUTED_VALUE"""),360.1488056109406)</f>
        <v>360.1488056</v>
      </c>
      <c r="AD313" s="57">
        <f>IFERROR(__xludf.DUMMYFUNCTION("""COMPUTED_VALUE"""),0.7100380452630136)</f>
        <v>0.7100380453</v>
      </c>
      <c r="AE313" s="57">
        <f>IFERROR(__xludf.DUMMYFUNCTION("""COMPUTED_VALUE"""),0.5260090656037512)</f>
        <v>0.5260090656</v>
      </c>
      <c r="AF313" s="57">
        <f>IFERROR(__xludf.DUMMYFUNCTION("""COMPUTED_VALUE"""),1.6011415160353313)</f>
        <v>1.601141516</v>
      </c>
      <c r="AG313" s="57">
        <f>IFERROR(__xludf.DUMMYFUNCTION("""COMPUTED_VALUE"""),2.451817342983236)</f>
        <v>2.451817343</v>
      </c>
      <c r="AH313" s="57">
        <f>IFERROR(__xludf.DUMMYFUNCTION("""COMPUTED_VALUE"""),0.916056534206772)</f>
        <v>0.9160565342</v>
      </c>
      <c r="AI313" s="57">
        <f>IFERROR(__xludf.DUMMYFUNCTION("""COMPUTED_VALUE"""),0.7628699198308754)</f>
        <v>0.7628699198</v>
      </c>
      <c r="AJ313" s="57">
        <f>IFERROR(__xludf.DUMMYFUNCTION("""COMPUTED_VALUE"""),0.8713411294675313)</f>
        <v>0.8713411295</v>
      </c>
      <c r="AK313" s="57">
        <f>IFERROR(__xludf.DUMMYFUNCTION("""COMPUTED_VALUE"""),1.092970223102618)</f>
        <v>1.092970223</v>
      </c>
      <c r="AL313" s="57">
        <f>IFERROR(__xludf.DUMMYFUNCTION("""COMPUTED_VALUE"""),0.8836982383159041)</f>
        <v>0.8836982383</v>
      </c>
      <c r="AM313" s="57">
        <f>IFERROR(__xludf.DUMMYFUNCTION("""COMPUTED_VALUE"""),1.0211698479213487)</f>
        <v>1.021169848</v>
      </c>
      <c r="AN313" s="57">
        <f>IFERROR(__xludf.DUMMYFUNCTION("""COMPUTED_VALUE"""),1.084088985936526)</f>
        <v>1.084088986</v>
      </c>
      <c r="AO313" s="57">
        <f>IFERROR(__xludf.DUMMYFUNCTION("""COMPUTED_VALUE"""),1.0549839674248604)</f>
        <v>1.054983967</v>
      </c>
      <c r="AP313" s="35">
        <f>IFERROR(__xludf.DUMMYFUNCTION("""COMPUTED_VALUE"""),0.9520276896556874)</f>
        <v>0.9520276897</v>
      </c>
      <c r="AQ313" s="57">
        <f>IFERROR(__xludf.DUMMYFUNCTION("""COMPUTED_VALUE"""),1.0501818004744354)</f>
        <v>1.0501818</v>
      </c>
      <c r="AR313" s="36" t="b">
        <f>IFERROR(__xludf.DUMMYFUNCTION("""COMPUTED_VALUE"""),TRUE)</f>
        <v>1</v>
      </c>
      <c r="AS313" s="57"/>
      <c r="AT313" s="37"/>
      <c r="AU313" s="30"/>
      <c r="AV313" s="30"/>
      <c r="AW313" s="30"/>
      <c r="AX313" s="30"/>
      <c r="AY313" s="30"/>
      <c r="AZ313" s="30"/>
    </row>
    <row r="314">
      <c r="A314" s="30" t="str">
        <f>IFERROR(__xludf.DUMMYFUNCTION("""COMPUTED_VALUE"""),"Elite")</f>
        <v>Elite</v>
      </c>
      <c r="B314" s="30" t="str">
        <f>IFERROR(__xludf.DUMMYFUNCTION("""COMPUTED_VALUE"""),"RSC001019")</f>
        <v>RSC001019</v>
      </c>
      <c r="C314" s="30" t="str">
        <f>IFERROR(__xludf.DUMMYFUNCTION("""COMPUTED_VALUE"""),"Surge")</f>
        <v>Surge</v>
      </c>
      <c r="D314" s="31"/>
      <c r="E314" s="31">
        <f>IFERROR(__xludf.DUMMYFUNCTION("""COMPUTED_VALUE"""),34.388788332795585)</f>
        <v>34.38878833</v>
      </c>
      <c r="F314" s="31">
        <f>IFERROR(__xludf.DUMMYFUNCTION("""COMPUTED_VALUE"""),-3.757046077720493)</f>
        <v>-3.757046078</v>
      </c>
      <c r="G314" s="31">
        <f>IFERROR(__xludf.DUMMYFUNCTION("""COMPUTED_VALUE"""),32.170473158667264)</f>
        <v>32.17047316</v>
      </c>
      <c r="H314" s="31">
        <f>IFERROR(__xludf.DUMMYFUNCTION("""COMPUTED_VALUE"""),-4.204032490228949)</f>
        <v>-4.20403249</v>
      </c>
      <c r="I314" s="54">
        <f>IFERROR(__xludf.DUMMYFUNCTION("""COMPUTED_VALUE"""),8.0)</f>
        <v>8</v>
      </c>
      <c r="J314" s="55">
        <f>IFERROR(__xludf.DUMMYFUNCTION("""COMPUTED_VALUE"""),4.0)</f>
        <v>4</v>
      </c>
      <c r="K314" s="54">
        <f>IFERROR(__xludf.DUMMYFUNCTION("""COMPUTED_VALUE"""),4.0)</f>
        <v>4</v>
      </c>
      <c r="L314" s="56">
        <f>IFERROR(__xludf.DUMMYFUNCTION("""COMPUTED_VALUE"""),0.5)</f>
        <v>0.5</v>
      </c>
      <c r="M314" s="56">
        <f>IFERROR(__xludf.DUMMYFUNCTION("""COMPUTED_VALUE"""),0.5)</f>
        <v>0.5</v>
      </c>
      <c r="N314" s="31">
        <f>IFERROR(__xludf.DUMMYFUNCTION("""COMPUTED_VALUE"""),287.25)</f>
        <v>287.25</v>
      </c>
      <c r="O314" s="57">
        <f>IFERROR(__xludf.DUMMYFUNCTION("""COMPUTED_VALUE"""),0.625)</f>
        <v>0.625</v>
      </c>
      <c r="P314" s="57">
        <f>IFERROR(__xludf.DUMMYFUNCTION("""COMPUTED_VALUE"""),0.75)</f>
        <v>0.75</v>
      </c>
      <c r="Q314" s="57">
        <f>IFERROR(__xludf.DUMMYFUNCTION("""COMPUTED_VALUE"""),1.125)</f>
        <v>1.125</v>
      </c>
      <c r="R314" s="57">
        <f>IFERROR(__xludf.DUMMYFUNCTION("""COMPUTED_VALUE"""),1.25)</f>
        <v>1.25</v>
      </c>
      <c r="S314" s="31">
        <f>IFERROR(__xludf.DUMMYFUNCTION("""COMPUTED_VALUE"""),352.0)</f>
        <v>352</v>
      </c>
      <c r="T314" s="57">
        <f>IFERROR(__xludf.DUMMYFUNCTION("""COMPUTED_VALUE"""),0.875)</f>
        <v>0.875</v>
      </c>
      <c r="U314" s="57">
        <f>IFERROR(__xludf.DUMMYFUNCTION("""COMPUTED_VALUE"""),0.5833333333333333)</f>
        <v>0.5833333333</v>
      </c>
      <c r="V314" s="57">
        <f>IFERROR(__xludf.DUMMYFUNCTION("""COMPUTED_VALUE"""),1.25)</f>
        <v>1.25</v>
      </c>
      <c r="W314" s="57">
        <f>IFERROR(__xludf.DUMMYFUNCTION("""COMPUTED_VALUE"""),2.583333333333333)</f>
        <v>2.583333333</v>
      </c>
      <c r="X314" s="31">
        <f>IFERROR(__xludf.DUMMYFUNCTION("""COMPUTED_VALUE"""),381.6585725308642)</f>
        <v>381.6585725</v>
      </c>
      <c r="Y314" s="57">
        <f>IFERROR(__xludf.DUMMYFUNCTION("""COMPUTED_VALUE"""),0.8715663580246913)</f>
        <v>0.871566358</v>
      </c>
      <c r="Z314" s="57">
        <f>IFERROR(__xludf.DUMMYFUNCTION("""COMPUTED_VALUE"""),0.7199074074074074)</f>
        <v>0.7199074074</v>
      </c>
      <c r="AA314" s="57">
        <f>IFERROR(__xludf.DUMMYFUNCTION("""COMPUTED_VALUE"""),1.397253086419753)</f>
        <v>1.397253086</v>
      </c>
      <c r="AB314" s="57">
        <f>IFERROR(__xludf.DUMMYFUNCTION("""COMPUTED_VALUE"""),2.763618827160494)</f>
        <v>2.763618827</v>
      </c>
      <c r="AC314" s="31">
        <f>IFERROR(__xludf.DUMMYFUNCTION("""COMPUTED_VALUE"""),373.85319701646085)</f>
        <v>373.853197</v>
      </c>
      <c r="AD314" s="57">
        <f>IFERROR(__xludf.DUMMYFUNCTION("""COMPUTED_VALUE"""),0.8199691358024692)</f>
        <v>0.8199691358</v>
      </c>
      <c r="AE314" s="57">
        <f>IFERROR(__xludf.DUMMYFUNCTION("""COMPUTED_VALUE"""),0.6192978395061728)</f>
        <v>0.6192978395</v>
      </c>
      <c r="AF314" s="57">
        <f>IFERROR(__xludf.DUMMYFUNCTION("""COMPUTED_VALUE"""),1.4836882716049384)</f>
        <v>1.483688272</v>
      </c>
      <c r="AG314" s="57">
        <f>IFERROR(__xludf.DUMMYFUNCTION("""COMPUTED_VALUE"""),2.632716049382717)</f>
        <v>2.632716049</v>
      </c>
      <c r="AH314" s="57">
        <f>IFERROR(__xludf.DUMMYFUNCTION("""COMPUTED_VALUE"""),0.7683497220096056)</f>
        <v>0.768349722</v>
      </c>
      <c r="AI314" s="57">
        <f>IFERROR(__xludf.DUMMYFUNCTION("""COMPUTED_VALUE"""),0.7622238114954643)</f>
        <v>0.7622238115</v>
      </c>
      <c r="AJ314" s="57">
        <f>IFERROR(__xludf.DUMMYFUNCTION("""COMPUTED_VALUE"""),1.2110489527915178)</f>
        <v>1.211048953</v>
      </c>
      <c r="AK314" s="57">
        <f>IFERROR(__xludf.DUMMYFUNCTION("""COMPUTED_VALUE"""),0.7582455300957948)</f>
        <v>0.7582455301</v>
      </c>
      <c r="AL314" s="57">
        <f>IFERROR(__xludf.DUMMYFUNCTION("""COMPUTED_VALUE"""),0.4747948417350526)</f>
        <v>0.4747948417</v>
      </c>
      <c r="AM314" s="57">
        <f>IFERROR(__xludf.DUMMYFUNCTION("""COMPUTED_VALUE"""),0.9222903016845881)</f>
        <v>0.9222903017</v>
      </c>
      <c r="AN314" s="57">
        <f>IFERROR(__xludf.DUMMYFUNCTION("""COMPUTED_VALUE"""),1.0039396219733523)</f>
        <v>1.003939622</v>
      </c>
      <c r="AO314" s="57">
        <f>IFERROR(__xludf.DUMMYFUNCTION("""COMPUTED_VALUE"""),0.810289389067524)</f>
        <v>0.8102893891</v>
      </c>
      <c r="AP314" s="35">
        <f>IFERROR(__xludf.DUMMYFUNCTION("""COMPUTED_VALUE"""),0.8946124450531245)</f>
        <v>0.8946124451</v>
      </c>
      <c r="AQ314" s="57">
        <f>IFERROR(__xludf.DUMMYFUNCTION("""COMPUTED_VALUE"""),0.9347647034188152)</f>
        <v>0.9347647034</v>
      </c>
      <c r="AR314" s="36" t="b">
        <f>IFERROR(__xludf.DUMMYFUNCTION("""COMPUTED_VALUE"""),TRUE)</f>
        <v>1</v>
      </c>
      <c r="AS314" s="57"/>
      <c r="AT314" s="37"/>
      <c r="AU314" s="30"/>
      <c r="AV314" s="30"/>
      <c r="AW314" s="30"/>
      <c r="AX314" s="30"/>
      <c r="AY314" s="30"/>
      <c r="AZ314" s="30"/>
    </row>
    <row r="315">
      <c r="A315" s="30" t="str">
        <f>IFERROR(__xludf.DUMMYFUNCTION("""COMPUTED_VALUE"""),"Elite")</f>
        <v>Elite</v>
      </c>
      <c r="B315" s="30" t="str">
        <f>IFERROR(__xludf.DUMMYFUNCTION("""COMPUTED_VALUE"""),"RSC006446")</f>
        <v>RSC006446</v>
      </c>
      <c r="C315" s="30" t="str">
        <f>IFERROR(__xludf.DUMMYFUNCTION("""COMPUTED_VALUE"""),"ACE_Cosplays.TTV")</f>
        <v>ACE_Cosplays.TTV</v>
      </c>
      <c r="D315" s="31" t="str">
        <f>IFERROR(__xludf.DUMMYFUNCTION("""COMPUTED_VALUE"""),"Majesties")</f>
        <v>Majesties</v>
      </c>
      <c r="E315" s="31">
        <f>IFERROR(__xludf.DUMMYFUNCTION("""COMPUTED_VALUE"""),33.94857645551853)</f>
        <v>33.94857646</v>
      </c>
      <c r="F315" s="31">
        <f>IFERROR(__xludf.DUMMYFUNCTION("""COMPUTED_VALUE"""),-3.8399787773414693)</f>
        <v>-3.839978777</v>
      </c>
      <c r="G315" s="31">
        <f>IFERROR(__xludf.DUMMYFUNCTION("""COMPUTED_VALUE"""),43.04331999249343)</f>
        <v>43.04331999</v>
      </c>
      <c r="H315" s="31">
        <f>IFERROR(__xludf.DUMMYFUNCTION("""COMPUTED_VALUE"""),-2.561451617602592)</f>
        <v>-2.561451618</v>
      </c>
      <c r="I315" s="54">
        <f>IFERROR(__xludf.DUMMYFUNCTION("""COMPUTED_VALUE"""),7.0)</f>
        <v>7</v>
      </c>
      <c r="J315" s="55">
        <f>IFERROR(__xludf.DUMMYFUNCTION("""COMPUTED_VALUE"""),1.0)</f>
        <v>1</v>
      </c>
      <c r="K315" s="54">
        <f>IFERROR(__xludf.DUMMYFUNCTION("""COMPUTED_VALUE"""),6.0)</f>
        <v>6</v>
      </c>
      <c r="L315" s="56">
        <f>IFERROR(__xludf.DUMMYFUNCTION("""COMPUTED_VALUE"""),0.14285714285714285)</f>
        <v>0.1428571429</v>
      </c>
      <c r="M315" s="56">
        <f>IFERROR(__xludf.DUMMYFUNCTION("""COMPUTED_VALUE"""),0.4166666666666667)</f>
        <v>0.4166666667</v>
      </c>
      <c r="N315" s="31">
        <f>IFERROR(__xludf.DUMMYFUNCTION("""COMPUTED_VALUE"""),343.85714285714283)</f>
        <v>343.8571429</v>
      </c>
      <c r="O315" s="57">
        <f>IFERROR(__xludf.DUMMYFUNCTION("""COMPUTED_VALUE"""),0.7142857142857143)</f>
        <v>0.7142857143</v>
      </c>
      <c r="P315" s="57">
        <f>IFERROR(__xludf.DUMMYFUNCTION("""COMPUTED_VALUE"""),0.42857142857142855)</f>
        <v>0.4285714286</v>
      </c>
      <c r="Q315" s="57">
        <f>IFERROR(__xludf.DUMMYFUNCTION("""COMPUTED_VALUE"""),1.5714285714285714)</f>
        <v>1.571428571</v>
      </c>
      <c r="R315" s="57">
        <f>IFERROR(__xludf.DUMMYFUNCTION("""COMPUTED_VALUE"""),1.7142857142857142)</f>
        <v>1.714285714</v>
      </c>
      <c r="S315" s="31">
        <f>IFERROR(__xludf.DUMMYFUNCTION("""COMPUTED_VALUE"""),425.61904761904765)</f>
        <v>425.6190476</v>
      </c>
      <c r="T315" s="57">
        <f>IFERROR(__xludf.DUMMYFUNCTION("""COMPUTED_VALUE"""),1.3809523809523812)</f>
        <v>1.380952381</v>
      </c>
      <c r="U315" s="57">
        <f>IFERROR(__xludf.DUMMYFUNCTION("""COMPUTED_VALUE"""),1.0)</f>
        <v>1</v>
      </c>
      <c r="V315" s="57">
        <f>IFERROR(__xludf.DUMMYFUNCTION("""COMPUTED_VALUE"""),1.0)</f>
        <v>1</v>
      </c>
      <c r="W315" s="57">
        <f>IFERROR(__xludf.DUMMYFUNCTION("""COMPUTED_VALUE"""),3.142857142857143)</f>
        <v>3.142857143</v>
      </c>
      <c r="X315" s="31">
        <f>IFERROR(__xludf.DUMMYFUNCTION("""COMPUTED_VALUE"""),409.39434523809524)</f>
        <v>409.3943452</v>
      </c>
      <c r="Y315" s="57">
        <f>IFERROR(__xludf.DUMMYFUNCTION("""COMPUTED_VALUE"""),1.035019841269841)</f>
        <v>1.035019841</v>
      </c>
      <c r="Z315" s="57">
        <f>IFERROR(__xludf.DUMMYFUNCTION("""COMPUTED_VALUE"""),0.8246031746031747)</f>
        <v>0.8246031746</v>
      </c>
      <c r="AA315" s="57">
        <f>IFERROR(__xludf.DUMMYFUNCTION("""COMPUTED_VALUE"""),1.2704365079365079)</f>
        <v>1.270436508</v>
      </c>
      <c r="AB315" s="57">
        <f>IFERROR(__xludf.DUMMYFUNCTION("""COMPUTED_VALUE"""),3.1858134920634926)</f>
        <v>3.185813492</v>
      </c>
      <c r="AC315" s="31">
        <f>IFERROR(__xludf.DUMMYFUNCTION("""COMPUTED_VALUE"""),367.56855158730156)</f>
        <v>367.5685516</v>
      </c>
      <c r="AD315" s="57">
        <f>IFERROR(__xludf.DUMMYFUNCTION("""COMPUTED_VALUE"""),0.7355158730158731)</f>
        <v>0.735515873</v>
      </c>
      <c r="AE315" s="57">
        <f>IFERROR(__xludf.DUMMYFUNCTION("""COMPUTED_VALUE"""),0.5023478835978837)</f>
        <v>0.5023478836</v>
      </c>
      <c r="AF315" s="57">
        <f>IFERROR(__xludf.DUMMYFUNCTION("""COMPUTED_VALUE"""),1.7089285714285718)</f>
        <v>1.708928571</v>
      </c>
      <c r="AG315" s="57">
        <f>IFERROR(__xludf.DUMMYFUNCTION("""COMPUTED_VALUE"""),2.318452380952382)</f>
        <v>2.318452381</v>
      </c>
      <c r="AH315" s="57">
        <f>IFERROR(__xludf.DUMMYFUNCTION("""COMPUTED_VALUE"""),0.9354911930638141)</f>
        <v>0.9354911931</v>
      </c>
      <c r="AI315" s="57">
        <f>IFERROR(__xludf.DUMMYFUNCTION("""COMPUTED_VALUE"""),0.9711356892365794)</f>
        <v>0.9711356892</v>
      </c>
      <c r="AJ315" s="57">
        <f>IFERROR(__xludf.DUMMYFUNCTION("""COMPUTED_VALUE"""),0.8531367256928442)</f>
        <v>0.8531367257</v>
      </c>
      <c r="AK315" s="57">
        <f>IFERROR(__xludf.DUMMYFUNCTION("""COMPUTED_VALUE"""),0.9195402298850572)</f>
        <v>0.9195402299</v>
      </c>
      <c r="AL315" s="57">
        <f>IFERROR(__xludf.DUMMYFUNCTION("""COMPUTED_VALUE"""),0.7394094993581511)</f>
        <v>0.7394094994</v>
      </c>
      <c r="AM315" s="57">
        <f>IFERROR(__xludf.DUMMYFUNCTION("""COMPUTED_VALUE"""),1.0396309879940244)</f>
        <v>1.039630988</v>
      </c>
      <c r="AN315" s="57">
        <f>IFERROR(__xludf.DUMMYFUNCTION("""COMPUTED_VALUE"""),1.3342279306048122)</f>
        <v>1.334227931</v>
      </c>
      <c r="AO315" s="57">
        <f>IFERROR(__xludf.DUMMYFUNCTION("""COMPUTED_VALUE"""),1.2127045235803657)</f>
        <v>1.212704524</v>
      </c>
      <c r="AP315" s="35">
        <f>IFERROR(__xludf.DUMMYFUNCTION("""COMPUTED_VALUE"""),0.787131032328596)</f>
        <v>0.7871310323</v>
      </c>
      <c r="AQ315" s="57">
        <f>IFERROR(__xludf.DUMMYFUNCTION("""COMPUTED_VALUE"""),0.9865163640893094)</f>
        <v>0.9865163641</v>
      </c>
      <c r="AR315" s="36" t="b">
        <f>IFERROR(__xludf.DUMMYFUNCTION("""COMPUTED_VALUE"""),TRUE)</f>
        <v>1</v>
      </c>
      <c r="AS315" s="57"/>
      <c r="AT315" s="37"/>
      <c r="AU315" s="30"/>
      <c r="AV315" s="30"/>
      <c r="AW315" s="30"/>
      <c r="AX315" s="30"/>
      <c r="AY315" s="30"/>
      <c r="AZ315" s="30"/>
    </row>
    <row r="316">
      <c r="A316" s="30" t="str">
        <f>IFERROR(__xludf.DUMMYFUNCTION("""COMPUTED_VALUE"""),"Elite")</f>
        <v>Elite</v>
      </c>
      <c r="B316" s="30" t="str">
        <f>IFERROR(__xludf.DUMMYFUNCTION("""COMPUTED_VALUE"""),"RSC005515")</f>
        <v>RSC005515</v>
      </c>
      <c r="C316" s="30" t="str">
        <f>IFERROR(__xludf.DUMMYFUNCTION("""COMPUTED_VALUE"""),"BaronTac0")</f>
        <v>BaronTac0</v>
      </c>
      <c r="D316" s="31" t="str">
        <f>IFERROR(__xludf.DUMMYFUNCTION("""COMPUTED_VALUE"""),"Nightshade")</f>
        <v>Nightshade</v>
      </c>
      <c r="E316" s="31">
        <f>IFERROR(__xludf.DUMMYFUNCTION("""COMPUTED_VALUE"""),33.83069686568944)</f>
        <v>33.83069687</v>
      </c>
      <c r="F316" s="31">
        <f>IFERROR(__xludf.DUMMYFUNCTION("""COMPUTED_VALUE"""),-3.862648578224402)</f>
        <v>-3.862648578</v>
      </c>
      <c r="G316" s="31">
        <f>IFERROR(__xludf.DUMMYFUNCTION("""COMPUTED_VALUE"""),45.09657300845011)</f>
        <v>45.09657301</v>
      </c>
      <c r="H316" s="31">
        <f>IFERROR(__xludf.DUMMYFUNCTION("""COMPUTED_VALUE"""),-2.3682571846720823)</f>
        <v>-2.368257185</v>
      </c>
      <c r="I316" s="54">
        <f>IFERROR(__xludf.DUMMYFUNCTION("""COMPUTED_VALUE"""),8.0)</f>
        <v>8</v>
      </c>
      <c r="J316" s="55">
        <f>IFERROR(__xludf.DUMMYFUNCTION("""COMPUTED_VALUE"""),4.0)</f>
        <v>4</v>
      </c>
      <c r="K316" s="54">
        <f>IFERROR(__xludf.DUMMYFUNCTION("""COMPUTED_VALUE"""),4.0)</f>
        <v>4</v>
      </c>
      <c r="L316" s="56">
        <f>IFERROR(__xludf.DUMMYFUNCTION("""COMPUTED_VALUE"""),0.5)</f>
        <v>0.5</v>
      </c>
      <c r="M316" s="56">
        <f>IFERROR(__xludf.DUMMYFUNCTION("""COMPUTED_VALUE"""),0.23529411764705882)</f>
        <v>0.2352941176</v>
      </c>
      <c r="N316" s="31">
        <f>IFERROR(__xludf.DUMMYFUNCTION("""COMPUTED_VALUE"""),327.5)</f>
        <v>327.5</v>
      </c>
      <c r="O316" s="57">
        <f>IFERROR(__xludf.DUMMYFUNCTION("""COMPUTED_VALUE"""),0.5)</f>
        <v>0.5</v>
      </c>
      <c r="P316" s="57">
        <f>IFERROR(__xludf.DUMMYFUNCTION("""COMPUTED_VALUE"""),1.0)</f>
        <v>1</v>
      </c>
      <c r="Q316" s="57">
        <f>IFERROR(__xludf.DUMMYFUNCTION("""COMPUTED_VALUE"""),1.0)</f>
        <v>1</v>
      </c>
      <c r="R316" s="57">
        <f>IFERROR(__xludf.DUMMYFUNCTION("""COMPUTED_VALUE"""),2.125)</f>
        <v>2.125</v>
      </c>
      <c r="S316" s="31">
        <f>IFERROR(__xludf.DUMMYFUNCTION("""COMPUTED_VALUE"""),411.25000000000006)</f>
        <v>411.25</v>
      </c>
      <c r="T316" s="57">
        <f>IFERROR(__xludf.DUMMYFUNCTION("""COMPUTED_VALUE"""),1.0416666666666667)</f>
        <v>1.041666667</v>
      </c>
      <c r="U316" s="57">
        <f>IFERROR(__xludf.DUMMYFUNCTION("""COMPUTED_VALUE"""),0.9166666666666669)</f>
        <v>0.9166666667</v>
      </c>
      <c r="V316" s="57">
        <f>IFERROR(__xludf.DUMMYFUNCTION("""COMPUTED_VALUE"""),1.5833333333333333)</f>
        <v>1.583333333</v>
      </c>
      <c r="W316" s="57">
        <f>IFERROR(__xludf.DUMMYFUNCTION("""COMPUTED_VALUE"""),2.375)</f>
        <v>2.375</v>
      </c>
      <c r="X316" s="31">
        <f>IFERROR(__xludf.DUMMYFUNCTION("""COMPUTED_VALUE"""),337.54534866388127)</f>
        <v>337.5453487</v>
      </c>
      <c r="Y316" s="57">
        <f>IFERROR(__xludf.DUMMYFUNCTION("""COMPUTED_VALUE"""),0.6441056273664969)</f>
        <v>0.6441056274</v>
      </c>
      <c r="Z316" s="57">
        <f>IFERROR(__xludf.DUMMYFUNCTION("""COMPUTED_VALUE"""),0.628822300561431)</f>
        <v>0.6288223006</v>
      </c>
      <c r="AA316" s="57">
        <f>IFERROR(__xludf.DUMMYFUNCTION("""COMPUTED_VALUE"""),1.3255697545371459)</f>
        <v>1.325569755</v>
      </c>
      <c r="AB316" s="57">
        <f>IFERROR(__xludf.DUMMYFUNCTION("""COMPUTED_VALUE"""),2.5341203703703705)</f>
        <v>2.53412037</v>
      </c>
      <c r="AC316" s="31">
        <f>IFERROR(__xludf.DUMMYFUNCTION("""COMPUTED_VALUE"""),366.55856639247946)</f>
        <v>366.5585664</v>
      </c>
      <c r="AD316" s="57">
        <f>IFERROR(__xludf.DUMMYFUNCTION("""COMPUTED_VALUE"""),0.8630080624102362)</f>
        <v>0.8630080624</v>
      </c>
      <c r="AE316" s="57">
        <f>IFERROR(__xludf.DUMMYFUNCTION("""COMPUTED_VALUE"""),0.6440980835908372)</f>
        <v>0.6440980836</v>
      </c>
      <c r="AF316" s="57">
        <f>IFERROR(__xludf.DUMMYFUNCTION("""COMPUTED_VALUE"""),1.2918267724245984)</f>
        <v>1.291826772</v>
      </c>
      <c r="AG316" s="57">
        <f>IFERROR(__xludf.DUMMYFUNCTION("""COMPUTED_VALUE"""),2.744089832586209)</f>
        <v>2.744089833</v>
      </c>
      <c r="AH316" s="57">
        <f>IFERROR(__xludf.DUMMYFUNCTION("""COMPUTED_VALUE"""),0.8934452227460458)</f>
        <v>0.8934452227</v>
      </c>
      <c r="AI316" s="57">
        <f>IFERROR(__xludf.DUMMYFUNCTION("""COMPUTED_VALUE"""),0.5793688631408427)</f>
        <v>0.5793688631</v>
      </c>
      <c r="AJ316" s="57">
        <f>IFERROR(__xludf.DUMMYFUNCTION("""COMPUTED_VALUE"""),1.5525585706217522)</f>
        <v>1.552558571</v>
      </c>
      <c r="AK316" s="57">
        <f>IFERROR(__xludf.DUMMYFUNCTION("""COMPUTED_VALUE"""),0.7740975967877831)</f>
        <v>0.7740975968</v>
      </c>
      <c r="AL316" s="57">
        <f>IFERROR(__xludf.DUMMYFUNCTION("""COMPUTED_VALUE"""),0.7743915577272708)</f>
        <v>0.7743915577</v>
      </c>
      <c r="AM316" s="57">
        <f>IFERROR(__xludf.DUMMYFUNCTION("""COMPUTED_VALUE"""),1.218354812554422)</f>
        <v>1.218354813</v>
      </c>
      <c r="AN316" s="57">
        <f>IFERROR(__xludf.DUMMYFUNCTION("""COMPUTED_VALUE"""),1.6172295698232693)</f>
        <v>1.61722957</v>
      </c>
      <c r="AO316" s="57">
        <f>IFERROR(__xludf.DUMMYFUNCTION("""COMPUTED_VALUE"""),1.4577515235198244)</f>
        <v>1.457751524</v>
      </c>
      <c r="AP316" s="35">
        <f>IFERROR(__xludf.DUMMYFUNCTION("""COMPUTED_VALUE"""),1.1944549337474826)</f>
        <v>1.194454934</v>
      </c>
      <c r="AQ316" s="57">
        <f>IFERROR(__xludf.DUMMYFUNCTION("""COMPUTED_VALUE"""),0.9372088349745145)</f>
        <v>0.937208835</v>
      </c>
      <c r="AR316" s="36" t="b">
        <f>IFERROR(__xludf.DUMMYFUNCTION("""COMPUTED_VALUE"""),TRUE)</f>
        <v>1</v>
      </c>
      <c r="AS316" s="57"/>
      <c r="AT316" s="37"/>
      <c r="AU316" s="30"/>
      <c r="AV316" s="30"/>
      <c r="AW316" s="30"/>
      <c r="AX316" s="30"/>
      <c r="AY316" s="30"/>
      <c r="AZ316" s="30"/>
    </row>
    <row r="317">
      <c r="A317" s="30" t="str">
        <f>IFERROR(__xludf.DUMMYFUNCTION("""COMPUTED_VALUE"""),"Elite")</f>
        <v>Elite</v>
      </c>
      <c r="B317" s="30" t="str">
        <f>IFERROR(__xludf.DUMMYFUNCTION("""COMPUTED_VALUE"""),"RSC006668")</f>
        <v>RSC006668</v>
      </c>
      <c r="C317" s="30" t="str">
        <f>IFERROR(__xludf.DUMMYFUNCTION("""COMPUTED_VALUE"""),"anubis")</f>
        <v>anubis</v>
      </c>
      <c r="D317" s="31" t="str">
        <f>IFERROR(__xludf.DUMMYFUNCTION("""COMPUTED_VALUE"""),"Thrashers")</f>
        <v>Thrashers</v>
      </c>
      <c r="E317" s="31">
        <f>IFERROR(__xludf.DUMMYFUNCTION("""COMPUTED_VALUE"""),33.28104917924947)</f>
        <v>33.28104918</v>
      </c>
      <c r="F317" s="31">
        <f>IFERROR(__xludf.DUMMYFUNCTION("""COMPUTED_VALUE"""),-3.9710128640683626)</f>
        <v>-3.971012864</v>
      </c>
      <c r="G317" s="31">
        <f>IFERROR(__xludf.DUMMYFUNCTION("""COMPUTED_VALUE"""),57.66430919551539)</f>
        <v>57.6643092</v>
      </c>
      <c r="H317" s="31">
        <f>IFERROR(__xludf.DUMMYFUNCTION("""COMPUTED_VALUE"""),2.6344599069869035)</f>
        <v>2.634459907</v>
      </c>
      <c r="I317" s="54">
        <f>IFERROR(__xludf.DUMMYFUNCTION("""COMPUTED_VALUE"""),6.0)</f>
        <v>6</v>
      </c>
      <c r="J317" s="55">
        <f>IFERROR(__xludf.DUMMYFUNCTION("""COMPUTED_VALUE"""),1.0)</f>
        <v>1</v>
      </c>
      <c r="K317" s="54">
        <f>IFERROR(__xludf.DUMMYFUNCTION("""COMPUTED_VALUE"""),5.0)</f>
        <v>5</v>
      </c>
      <c r="L317" s="56">
        <f>IFERROR(__xludf.DUMMYFUNCTION("""COMPUTED_VALUE"""),0.16666666666666666)</f>
        <v>0.1666666667</v>
      </c>
      <c r="M317" s="56">
        <f>IFERROR(__xludf.DUMMYFUNCTION("""COMPUTED_VALUE"""),0.14285714285714285)</f>
        <v>0.1428571429</v>
      </c>
      <c r="N317" s="31">
        <f>IFERROR(__xludf.DUMMYFUNCTION("""COMPUTED_VALUE"""),273.5)</f>
        <v>273.5</v>
      </c>
      <c r="O317" s="57">
        <f>IFERROR(__xludf.DUMMYFUNCTION("""COMPUTED_VALUE"""),0.3333333333333333)</f>
        <v>0.3333333333</v>
      </c>
      <c r="P317" s="57">
        <f>IFERROR(__xludf.DUMMYFUNCTION("""COMPUTED_VALUE"""),0.6666666666666666)</f>
        <v>0.6666666667</v>
      </c>
      <c r="Q317" s="57">
        <f>IFERROR(__xludf.DUMMYFUNCTION("""COMPUTED_VALUE"""),0.6666666666666666)</f>
        <v>0.6666666667</v>
      </c>
      <c r="R317" s="57">
        <f>IFERROR(__xludf.DUMMYFUNCTION("""COMPUTED_VALUE"""),2.3333333333333335)</f>
        <v>2.333333333</v>
      </c>
      <c r="S317" s="31">
        <f>IFERROR(__xludf.DUMMYFUNCTION("""COMPUTED_VALUE"""),348.6111111111111)</f>
        <v>348.6111111</v>
      </c>
      <c r="T317" s="57">
        <f>IFERROR(__xludf.DUMMYFUNCTION("""COMPUTED_VALUE"""),0.8333333333333331)</f>
        <v>0.8333333333</v>
      </c>
      <c r="U317" s="57">
        <f>IFERROR(__xludf.DUMMYFUNCTION("""COMPUTED_VALUE"""),0.7222222222222222)</f>
        <v>0.7222222222</v>
      </c>
      <c r="V317" s="57">
        <f>IFERROR(__xludf.DUMMYFUNCTION("""COMPUTED_VALUE"""),1.1111111111111112)</f>
        <v>1.111111111</v>
      </c>
      <c r="W317" s="57">
        <f>IFERROR(__xludf.DUMMYFUNCTION("""COMPUTED_VALUE"""),2.111111111111111)</f>
        <v>2.111111111</v>
      </c>
      <c r="X317" s="31">
        <f>IFERROR(__xludf.DUMMYFUNCTION("""COMPUTED_VALUE"""),356.24376882961656)</f>
        <v>356.2437688</v>
      </c>
      <c r="Y317" s="57">
        <f>IFERROR(__xludf.DUMMYFUNCTION("""COMPUTED_VALUE"""),0.8334888823394571)</f>
        <v>0.8334888823</v>
      </c>
      <c r="Z317" s="57">
        <f>IFERROR(__xludf.DUMMYFUNCTION("""COMPUTED_VALUE"""),0.7163021498510004)</f>
        <v>0.7163021499</v>
      </c>
      <c r="AA317" s="57">
        <f>IFERROR(__xludf.DUMMYFUNCTION("""COMPUTED_VALUE"""),1.1551161296132562)</f>
        <v>1.15511613</v>
      </c>
      <c r="AB317" s="57">
        <f>IFERROR(__xludf.DUMMYFUNCTION("""COMPUTED_VALUE"""),2.8353953810131967)</f>
        <v>2.835395381</v>
      </c>
      <c r="AC317" s="31">
        <f>IFERROR(__xludf.DUMMYFUNCTION("""COMPUTED_VALUE"""),355.64975173559947)</f>
        <v>355.6497517</v>
      </c>
      <c r="AD317" s="57">
        <f>IFERROR(__xludf.DUMMYFUNCTION("""COMPUTED_VALUE"""),0.7729919169095414)</f>
        <v>0.7729919169</v>
      </c>
      <c r="AE317" s="57">
        <f>IFERROR(__xludf.DUMMYFUNCTION("""COMPUTED_VALUE"""),0.5424986491796837)</f>
        <v>0.5424986492</v>
      </c>
      <c r="AF317" s="57">
        <f>IFERROR(__xludf.DUMMYFUNCTION("""COMPUTED_VALUE"""),1.4668909164838284)</f>
        <v>1.466890916</v>
      </c>
      <c r="AG317" s="57">
        <f>IFERROR(__xludf.DUMMYFUNCTION("""COMPUTED_VALUE"""),2.478111594131709)</f>
        <v>2.478111594</v>
      </c>
      <c r="AH317" s="57">
        <f>IFERROR(__xludf.DUMMYFUNCTION("""COMPUTED_VALUE"""),0.7690150173458521)</f>
        <v>0.7690150173</v>
      </c>
      <c r="AI317" s="57">
        <f>IFERROR(__xludf.DUMMYFUNCTION("""COMPUTED_VALUE"""),0.43122486282394246)</f>
        <v>0.4312248628</v>
      </c>
      <c r="AJ317" s="57">
        <f>IFERROR(__xludf.DUMMYFUNCTION("""COMPUTED_VALUE"""),1.2288817081383305)</f>
        <v>1.228881708</v>
      </c>
      <c r="AK317" s="57">
        <f>IFERROR(__xludf.DUMMYFUNCTION("""COMPUTED_VALUE"""),0.45447596625976944)</f>
        <v>0.4544759663</v>
      </c>
      <c r="AL317" s="57">
        <f>IFERROR(__xludf.DUMMYFUNCTION("""COMPUTED_VALUE"""),0.9415771827462421)</f>
        <v>0.9415771827</v>
      </c>
      <c r="AM317" s="57">
        <f>IFERROR(__xludf.DUMMYFUNCTION("""COMPUTED_VALUE"""),0.9785746211264793)</f>
        <v>0.9785746211</v>
      </c>
      <c r="AN317" s="57">
        <f>IFERROR(__xludf.DUMMYFUNCTION("""COMPUTED_VALUE"""),0.9998133760276594)</f>
        <v>0.999813376</v>
      </c>
      <c r="AO317" s="57">
        <f>IFERROR(__xludf.DUMMYFUNCTION("""COMPUTED_VALUE"""),1.0082647697936593)</f>
        <v>1.00826477</v>
      </c>
      <c r="AP317" s="35">
        <f>IFERROR(__xludf.DUMMYFUNCTION("""COMPUTED_VALUE"""),0.9619042472232828)</f>
        <v>0.9619042472</v>
      </c>
      <c r="AQ317" s="57">
        <f>IFERROR(__xludf.DUMMYFUNCTION("""COMPUTED_VALUE"""),0.7445561649877307)</f>
        <v>0.744556165</v>
      </c>
      <c r="AR317" s="36" t="b">
        <f>IFERROR(__xludf.DUMMYFUNCTION("""COMPUTED_VALUE"""),TRUE)</f>
        <v>1</v>
      </c>
      <c r="AS317" s="57"/>
      <c r="AT317" s="37"/>
      <c r="AU317" s="30"/>
      <c r="AV317" s="30"/>
      <c r="AW317" s="30"/>
      <c r="AX317" s="30"/>
      <c r="AY317" s="30"/>
      <c r="AZ317" s="30"/>
    </row>
    <row r="318">
      <c r="A318" s="30" t="str">
        <f>IFERROR(__xludf.DUMMYFUNCTION("""COMPUTED_VALUE"""),"Elite")</f>
        <v>Elite</v>
      </c>
      <c r="B318" s="30" t="str">
        <f>IFERROR(__xludf.DUMMYFUNCTION("""COMPUTED_VALUE"""),"RSC003815")</f>
        <v>RSC003815</v>
      </c>
      <c r="C318" s="30" t="str">
        <f>IFERROR(__xludf.DUMMYFUNCTION("""COMPUTED_VALUE"""),"WashedDonk")</f>
        <v>WashedDonk</v>
      </c>
      <c r="D318" s="31" t="str">
        <f>IFERROR(__xludf.DUMMYFUNCTION("""COMPUTED_VALUE"""),"Geeky Ghouls")</f>
        <v>Geeky Ghouls</v>
      </c>
      <c r="E318" s="31">
        <f>IFERROR(__xludf.DUMMYFUNCTION("""COMPUTED_VALUE"""),32.34874735482737)</f>
        <v>32.34874735</v>
      </c>
      <c r="F318" s="31">
        <f>IFERROR(__xludf.DUMMYFUNCTION("""COMPUTED_VALUE"""),-4.165304453815011)</f>
        <v>-4.165304454</v>
      </c>
      <c r="G318" s="31">
        <f>IFERROR(__xludf.DUMMYFUNCTION("""COMPUTED_VALUE"""),33.720280321032504)</f>
        <v>33.72028032</v>
      </c>
      <c r="H318" s="31">
        <f>IFERROR(__xludf.DUMMYFUNCTION("""COMPUTED_VALUE"""),-3.8840635944958803)</f>
        <v>-3.884063594</v>
      </c>
      <c r="I318" s="54">
        <f>IFERROR(__xludf.DUMMYFUNCTION("""COMPUTED_VALUE"""),13.0)</f>
        <v>13</v>
      </c>
      <c r="J318" s="55">
        <f>IFERROR(__xludf.DUMMYFUNCTION("""COMPUTED_VALUE"""),3.0)</f>
        <v>3</v>
      </c>
      <c r="K318" s="54">
        <f>IFERROR(__xludf.DUMMYFUNCTION("""COMPUTED_VALUE"""),10.0)</f>
        <v>10</v>
      </c>
      <c r="L318" s="56">
        <f>IFERROR(__xludf.DUMMYFUNCTION("""COMPUTED_VALUE"""),0.23076923076923078)</f>
        <v>0.2307692308</v>
      </c>
      <c r="M318" s="56">
        <f>IFERROR(__xludf.DUMMYFUNCTION("""COMPUTED_VALUE"""),0.25)</f>
        <v>0.25</v>
      </c>
      <c r="N318" s="31">
        <f>IFERROR(__xludf.DUMMYFUNCTION("""COMPUTED_VALUE"""),343.15384615384613)</f>
        <v>343.1538462</v>
      </c>
      <c r="O318" s="57">
        <f>IFERROR(__xludf.DUMMYFUNCTION("""COMPUTED_VALUE"""),0.6153846153846154)</f>
        <v>0.6153846154</v>
      </c>
      <c r="P318" s="57">
        <f>IFERROR(__xludf.DUMMYFUNCTION("""COMPUTED_VALUE"""),0.3076923076923077)</f>
        <v>0.3076923077</v>
      </c>
      <c r="Q318" s="57">
        <f>IFERROR(__xludf.DUMMYFUNCTION("""COMPUTED_VALUE"""),1.6923076923076923)</f>
        <v>1.692307692</v>
      </c>
      <c r="R318" s="57">
        <f>IFERROR(__xludf.DUMMYFUNCTION("""COMPUTED_VALUE"""),2.4615384615384617)</f>
        <v>2.461538462</v>
      </c>
      <c r="S318" s="31">
        <f>IFERROR(__xludf.DUMMYFUNCTION("""COMPUTED_VALUE"""),395.7435897435897)</f>
        <v>395.7435897</v>
      </c>
      <c r="T318" s="57">
        <f>IFERROR(__xludf.DUMMYFUNCTION("""COMPUTED_VALUE"""),0.9487179487179488)</f>
        <v>0.9487179487</v>
      </c>
      <c r="U318" s="57">
        <f>IFERROR(__xludf.DUMMYFUNCTION("""COMPUTED_VALUE"""),0.641025641025641)</f>
        <v>0.641025641</v>
      </c>
      <c r="V318" s="57">
        <f>IFERROR(__xludf.DUMMYFUNCTION("""COMPUTED_VALUE"""),1.487179487179487)</f>
        <v>1.487179487</v>
      </c>
      <c r="W318" s="57">
        <f>IFERROR(__xludf.DUMMYFUNCTION("""COMPUTED_VALUE"""),2.871794871794872)</f>
        <v>2.871794872</v>
      </c>
      <c r="X318" s="31">
        <f>IFERROR(__xludf.DUMMYFUNCTION("""COMPUTED_VALUE"""),355.1369289106165)</f>
        <v>355.1369289</v>
      </c>
      <c r="Y318" s="57">
        <f>IFERROR(__xludf.DUMMYFUNCTION("""COMPUTED_VALUE"""),0.7468759813603936)</f>
        <v>0.7468759814</v>
      </c>
      <c r="Z318" s="57">
        <f>IFERROR(__xludf.DUMMYFUNCTION("""COMPUTED_VALUE"""),0.6159965712665465)</f>
        <v>0.6159965713</v>
      </c>
      <c r="AA318" s="57">
        <f>IFERROR(__xludf.DUMMYFUNCTION("""COMPUTED_VALUE"""),1.3623003195755423)</f>
        <v>1.36230032</v>
      </c>
      <c r="AB318" s="57">
        <f>IFERROR(__xludf.DUMMYFUNCTION("""COMPUTED_VALUE"""),2.640224911515369)</f>
        <v>2.640224912</v>
      </c>
      <c r="AC318" s="31">
        <f>IFERROR(__xludf.DUMMYFUNCTION("""COMPUTED_VALUE"""),364.64655747298735)</f>
        <v>364.6465575</v>
      </c>
      <c r="AD318" s="57">
        <f>IFERROR(__xludf.DUMMYFUNCTION("""COMPUTED_VALUE"""),0.80203449428653)</f>
        <v>0.8020344943</v>
      </c>
      <c r="AE318" s="57">
        <f>IFERROR(__xludf.DUMMYFUNCTION("""COMPUTED_VALUE"""),0.5839406099279838)</f>
        <v>0.5839406099</v>
      </c>
      <c r="AF318" s="57">
        <f>IFERROR(__xludf.DUMMYFUNCTION("""COMPUTED_VALUE"""),1.3969217993411784)</f>
        <v>1.396921799</v>
      </c>
      <c r="AG318" s="57">
        <f>IFERROR(__xludf.DUMMYFUNCTION("""COMPUTED_VALUE"""),2.688384762555398)</f>
        <v>2.688384763</v>
      </c>
      <c r="AH318" s="57">
        <f>IFERROR(__xludf.DUMMYFUNCTION("""COMPUTED_VALUE"""),0.9410587845170226)</f>
        <v>0.9410587845</v>
      </c>
      <c r="AI318" s="57">
        <f>IFERROR(__xludf.DUMMYFUNCTION("""COMPUTED_VALUE"""),0.7672794870650125)</f>
        <v>0.7672794871</v>
      </c>
      <c r="AJ318" s="57">
        <f>IFERROR(__xludf.DUMMYFUNCTION("""COMPUTED_VALUE"""),0.5269239755910362)</f>
        <v>0.5269239756</v>
      </c>
      <c r="AK318" s="57">
        <f>IFERROR(__xludf.DUMMYFUNCTION("""COMPUTED_VALUE"""),1.2114548524518873)</f>
        <v>1.211454852</v>
      </c>
      <c r="AL318" s="57">
        <f>IFERROR(__xludf.DUMMYFUNCTION("""COMPUTED_VALUE"""),0.915619853163685)</f>
        <v>0.9156198532</v>
      </c>
      <c r="AM318" s="57">
        <f>IFERROR(__xludf.DUMMYFUNCTION("""COMPUTED_VALUE"""),1.1143408570816171)</f>
        <v>1.114340857</v>
      </c>
      <c r="AN318" s="57">
        <f>IFERROR(__xludf.DUMMYFUNCTION("""COMPUTED_VALUE"""),1.270248304129303)</f>
        <v>1.270248304</v>
      </c>
      <c r="AO318" s="57">
        <f>IFERROR(__xludf.DUMMYFUNCTION("""COMPUTED_VALUE"""),1.0406318329136677)</f>
        <v>1.040631833</v>
      </c>
      <c r="AP318" s="35">
        <f>IFERROR(__xludf.DUMMYFUNCTION("""COMPUTED_VALUE"""),1.0916678692719193)</f>
        <v>1.091667869</v>
      </c>
      <c r="AQ318" s="57">
        <f>IFERROR(__xludf.DUMMYFUNCTION("""COMPUTED_VALUE"""),1.087708421835393)</f>
        <v>1.087708422</v>
      </c>
      <c r="AR318" s="36" t="b">
        <f>IFERROR(__xludf.DUMMYFUNCTION("""COMPUTED_VALUE"""),TRUE)</f>
        <v>1</v>
      </c>
      <c r="AS318" s="57"/>
      <c r="AT318" s="37"/>
      <c r="AU318" s="30"/>
      <c r="AV318" s="30"/>
      <c r="AW318" s="30"/>
      <c r="AX318" s="30"/>
      <c r="AY318" s="30"/>
      <c r="AZ318" s="30"/>
    </row>
    <row r="319">
      <c r="A319" s="30" t="str">
        <f>IFERROR(__xludf.DUMMYFUNCTION("""COMPUTED_VALUE"""),"Elite")</f>
        <v>Elite</v>
      </c>
      <c r="B319" s="30" t="str">
        <f>IFERROR(__xludf.DUMMYFUNCTION("""COMPUTED_VALUE"""),"RSC003082")</f>
        <v>RSC003082</v>
      </c>
      <c r="C319" s="30" t="str">
        <f>IFERROR(__xludf.DUMMYFUNCTION("""COMPUTED_VALUE"""),"Skulzy9")</f>
        <v>Skulzy9</v>
      </c>
      <c r="D319" s="31" t="str">
        <f>IFERROR(__xludf.DUMMYFUNCTION("""COMPUTED_VALUE"""),"Drive Bye")</f>
        <v>Drive Bye</v>
      </c>
      <c r="E319" s="31">
        <f>IFERROR(__xludf.DUMMYFUNCTION("""COMPUTED_VALUE"""),29.02481112299026)</f>
        <v>29.02481112</v>
      </c>
      <c r="F319" s="31">
        <f>IFERROR(__xludf.DUMMYFUNCTION("""COMPUTED_VALUE"""),-4.9817534559172865)</f>
        <v>-4.981753456</v>
      </c>
      <c r="G319" s="31">
        <f>IFERROR(__xludf.DUMMYFUNCTION("""COMPUTED_VALUE"""),43.897789325893754)</f>
        <v>43.89778933</v>
      </c>
      <c r="H319" s="31">
        <f>IFERROR(__xludf.DUMMYFUNCTION("""COMPUTED_VALUE"""),-2.4778163104648443)</f>
        <v>-2.47781631</v>
      </c>
      <c r="I319" s="54">
        <f>IFERROR(__xludf.DUMMYFUNCTION("""COMPUTED_VALUE"""),16.0)</f>
        <v>16</v>
      </c>
      <c r="J319" s="55">
        <f>IFERROR(__xludf.DUMMYFUNCTION("""COMPUTED_VALUE"""),4.0)</f>
        <v>4</v>
      </c>
      <c r="K319" s="54">
        <f>IFERROR(__xludf.DUMMYFUNCTION("""COMPUTED_VALUE"""),12.0)</f>
        <v>12</v>
      </c>
      <c r="L319" s="56">
        <f>IFERROR(__xludf.DUMMYFUNCTION("""COMPUTED_VALUE"""),0.25)</f>
        <v>0.25</v>
      </c>
      <c r="M319" s="56">
        <f>IFERROR(__xludf.DUMMYFUNCTION("""COMPUTED_VALUE"""),0.18421052631578946)</f>
        <v>0.1842105263</v>
      </c>
      <c r="N319" s="31">
        <f>IFERROR(__xludf.DUMMYFUNCTION("""COMPUTED_VALUE"""),352.25)</f>
        <v>352.25</v>
      </c>
      <c r="O319" s="57">
        <f>IFERROR(__xludf.DUMMYFUNCTION("""COMPUTED_VALUE"""),0.4375)</f>
        <v>0.4375</v>
      </c>
      <c r="P319" s="57">
        <f>IFERROR(__xludf.DUMMYFUNCTION("""COMPUTED_VALUE"""),0.5)</f>
        <v>0.5</v>
      </c>
      <c r="Q319" s="57">
        <f>IFERROR(__xludf.DUMMYFUNCTION("""COMPUTED_VALUE"""),1.625)</f>
        <v>1.625</v>
      </c>
      <c r="R319" s="57">
        <f>IFERROR(__xludf.DUMMYFUNCTION("""COMPUTED_VALUE"""),2.375)</f>
        <v>2.375</v>
      </c>
      <c r="S319" s="31">
        <f>IFERROR(__xludf.DUMMYFUNCTION("""COMPUTED_VALUE"""),389.72916666666663)</f>
        <v>389.7291667</v>
      </c>
      <c r="T319" s="57">
        <f>IFERROR(__xludf.DUMMYFUNCTION("""COMPUTED_VALUE"""),0.9375000000000001)</f>
        <v>0.9375</v>
      </c>
      <c r="U319" s="57">
        <f>IFERROR(__xludf.DUMMYFUNCTION("""COMPUTED_VALUE"""),0.8125000000000001)</f>
        <v>0.8125</v>
      </c>
      <c r="V319" s="57">
        <f>IFERROR(__xludf.DUMMYFUNCTION("""COMPUTED_VALUE"""),1.3125)</f>
        <v>1.3125</v>
      </c>
      <c r="W319" s="57">
        <f>IFERROR(__xludf.DUMMYFUNCTION("""COMPUTED_VALUE"""),3.1249999999999996)</f>
        <v>3.125</v>
      </c>
      <c r="X319" s="31">
        <f>IFERROR(__xludf.DUMMYFUNCTION("""COMPUTED_VALUE"""),361.9531856419384)</f>
        <v>361.9531856</v>
      </c>
      <c r="Y319" s="57">
        <f>IFERROR(__xludf.DUMMYFUNCTION("""COMPUTED_VALUE"""),0.7828308988550352)</f>
        <v>0.7828308989</v>
      </c>
      <c r="Z319" s="57">
        <f>IFERROR(__xludf.DUMMYFUNCTION("""COMPUTED_VALUE"""),0.611565203668971)</f>
        <v>0.6115652037</v>
      </c>
      <c r="AA319" s="57">
        <f>IFERROR(__xludf.DUMMYFUNCTION("""COMPUTED_VALUE"""),1.3905737171744539)</f>
        <v>1.390573717</v>
      </c>
      <c r="AB319" s="57">
        <f>IFERROR(__xludf.DUMMYFUNCTION("""COMPUTED_VALUE"""),2.608282630914394)</f>
        <v>2.608282631</v>
      </c>
      <c r="AC319" s="31">
        <f>IFERROR(__xludf.DUMMYFUNCTION("""COMPUTED_VALUE"""),349.1473137369076)</f>
        <v>349.1473137</v>
      </c>
      <c r="AD319" s="57">
        <f>IFERROR(__xludf.DUMMYFUNCTION("""COMPUTED_VALUE"""),0.7485734785783249)</f>
        <v>0.7485734786</v>
      </c>
      <c r="AE319" s="57">
        <f>IFERROR(__xludf.DUMMYFUNCTION("""COMPUTED_VALUE"""),0.5507258756463687)</f>
        <v>0.5507258756</v>
      </c>
      <c r="AF319" s="57">
        <f>IFERROR(__xludf.DUMMYFUNCTION("""COMPUTED_VALUE"""),1.3787450959000163)</f>
        <v>1.378745096</v>
      </c>
      <c r="AG319" s="57">
        <f>IFERROR(__xludf.DUMMYFUNCTION("""COMPUTED_VALUE"""),2.5848863978886243)</f>
        <v>2.584886398</v>
      </c>
      <c r="AH319" s="57">
        <f>IFERROR(__xludf.DUMMYFUNCTION("""COMPUTED_VALUE"""),1.0088864675196394)</f>
        <v>1.008886468</v>
      </c>
      <c r="AI319" s="57">
        <f>IFERROR(__xludf.DUMMYFUNCTION("""COMPUTED_VALUE"""),0.5844449643485778)</f>
        <v>0.5844449643</v>
      </c>
      <c r="AJ319" s="57">
        <f>IFERROR(__xludf.DUMMYFUNCTION("""COMPUTED_VALUE"""),0.9078926960044625)</f>
        <v>0.907892696</v>
      </c>
      <c r="AK319" s="57">
        <f>IFERROR(__xludf.DUMMYFUNCTION("""COMPUTED_VALUE"""),1.1786080000083219)</f>
        <v>1.178608</v>
      </c>
      <c r="AL319" s="57">
        <f>IFERROR(__xludf.DUMMYFUNCTION("""COMPUTED_VALUE"""),0.9188024672728121)</f>
        <v>0.9188024673</v>
      </c>
      <c r="AM319" s="57">
        <f>IFERROR(__xludf.DUMMYFUNCTION("""COMPUTED_VALUE"""),1.0767391533672137)</f>
        <v>1.076739153</v>
      </c>
      <c r="AN319" s="57">
        <f>IFERROR(__xludf.DUMMYFUNCTION("""COMPUTED_VALUE"""),1.1975766431437278)</f>
        <v>1.197576643</v>
      </c>
      <c r="AO319" s="57">
        <f>IFERROR(__xludf.DUMMYFUNCTION("""COMPUTED_VALUE"""),1.3285582553185797)</f>
        <v>1.328558255</v>
      </c>
      <c r="AP319" s="35">
        <f>IFERROR(__xludf.DUMMYFUNCTION("""COMPUTED_VALUE"""),0.9438550317684027)</f>
        <v>0.9438550318</v>
      </c>
      <c r="AQ319" s="57">
        <f>IFERROR(__xludf.DUMMYFUNCTION("""COMPUTED_VALUE"""),1.1981063566353076)</f>
        <v>1.198106357</v>
      </c>
      <c r="AR319" s="36" t="b">
        <f>IFERROR(__xludf.DUMMYFUNCTION("""COMPUTED_VALUE"""),TRUE)</f>
        <v>1</v>
      </c>
      <c r="AS319" s="57"/>
      <c r="AT319" s="37"/>
      <c r="AU319" s="30"/>
      <c r="AV319" s="30"/>
      <c r="AW319" s="30"/>
      <c r="AX319" s="30"/>
      <c r="AY319" s="30"/>
      <c r="AZ319" s="30"/>
    </row>
    <row r="320">
      <c r="A320" s="30" t="str">
        <f>IFERROR(__xludf.DUMMYFUNCTION("""COMPUTED_VALUE"""),"Elite")</f>
        <v>Elite</v>
      </c>
      <c r="B320" s="30" t="str">
        <f>IFERROR(__xludf.DUMMYFUNCTION("""COMPUTED_VALUE"""),"RSC003277")</f>
        <v>RSC003277</v>
      </c>
      <c r="C320" s="30" t="str">
        <f>IFERROR(__xludf.DUMMYFUNCTION("""COMPUTED_VALUE"""),"Miikey.RL")</f>
        <v>Miikey.RL</v>
      </c>
      <c r="D320" s="31" t="str">
        <f>IFERROR(__xludf.DUMMYFUNCTION("""COMPUTED_VALUE"""),"Orochi")</f>
        <v>Orochi</v>
      </c>
      <c r="E320" s="31">
        <f>IFERROR(__xludf.DUMMYFUNCTION("""COMPUTED_VALUE"""),28.97560968341558)</f>
        <v>28.97560968</v>
      </c>
      <c r="F320" s="31">
        <f>IFERROR(__xludf.DUMMYFUNCTION("""COMPUTED_VALUE"""),-4.995484122997773)</f>
        <v>-4.995484123</v>
      </c>
      <c r="G320" s="31">
        <f>IFERROR(__xludf.DUMMYFUNCTION("""COMPUTED_VALUE"""),21.31106208152662)</f>
        <v>21.31106208</v>
      </c>
      <c r="H320" s="31">
        <f>IFERROR(__xludf.DUMMYFUNCTION("""COMPUTED_VALUE"""),-7.963328039281297)</f>
        <v>-7.963328039</v>
      </c>
      <c r="I320" s="54">
        <f>IFERROR(__xludf.DUMMYFUNCTION("""COMPUTED_VALUE"""),23.0)</f>
        <v>23</v>
      </c>
      <c r="J320" s="55">
        <f>IFERROR(__xludf.DUMMYFUNCTION("""COMPUTED_VALUE"""),10.0)</f>
        <v>10</v>
      </c>
      <c r="K320" s="54">
        <f>IFERROR(__xludf.DUMMYFUNCTION("""COMPUTED_VALUE"""),13.0)</f>
        <v>13</v>
      </c>
      <c r="L320" s="56">
        <f>IFERROR(__xludf.DUMMYFUNCTION("""COMPUTED_VALUE"""),0.43478260869565216)</f>
        <v>0.4347826087</v>
      </c>
      <c r="M320" s="56">
        <f>IFERROR(__xludf.DUMMYFUNCTION("""COMPUTED_VALUE"""),0.2040816326530612)</f>
        <v>0.2040816327</v>
      </c>
      <c r="N320" s="31">
        <f>IFERROR(__xludf.DUMMYFUNCTION("""COMPUTED_VALUE"""),291.4782608695652)</f>
        <v>291.4782609</v>
      </c>
      <c r="O320" s="57">
        <f>IFERROR(__xludf.DUMMYFUNCTION("""COMPUTED_VALUE"""),0.43478260869565216)</f>
        <v>0.4347826087</v>
      </c>
      <c r="P320" s="57">
        <f>IFERROR(__xludf.DUMMYFUNCTION("""COMPUTED_VALUE"""),0.391304347826087)</f>
        <v>0.3913043478</v>
      </c>
      <c r="Q320" s="57">
        <f>IFERROR(__xludf.DUMMYFUNCTION("""COMPUTED_VALUE"""),1.3043478260869565)</f>
        <v>1.304347826</v>
      </c>
      <c r="R320" s="57">
        <f>IFERROR(__xludf.DUMMYFUNCTION("""COMPUTED_VALUE"""),2.130434782608696)</f>
        <v>2.130434783</v>
      </c>
      <c r="S320" s="31">
        <f>IFERROR(__xludf.DUMMYFUNCTION("""COMPUTED_VALUE"""),355.04347826086956)</f>
        <v>355.0434783</v>
      </c>
      <c r="T320" s="57">
        <f>IFERROR(__xludf.DUMMYFUNCTION("""COMPUTED_VALUE"""),0.710144927536232)</f>
        <v>0.7101449275</v>
      </c>
      <c r="U320" s="57">
        <f>IFERROR(__xludf.DUMMYFUNCTION("""COMPUTED_VALUE"""),0.5507246376811594)</f>
        <v>0.5507246377</v>
      </c>
      <c r="V320" s="57">
        <f>IFERROR(__xludf.DUMMYFUNCTION("""COMPUTED_VALUE"""),1.420289855072464)</f>
        <v>1.420289855</v>
      </c>
      <c r="W320" s="57">
        <f>IFERROR(__xludf.DUMMYFUNCTION("""COMPUTED_VALUE"""),2.7536231884057965)</f>
        <v>2.753623188</v>
      </c>
      <c r="X320" s="31">
        <f>IFERROR(__xludf.DUMMYFUNCTION("""COMPUTED_VALUE"""),371.23410262313433)</f>
        <v>371.2341026</v>
      </c>
      <c r="Y320" s="57">
        <f>IFERROR(__xludf.DUMMYFUNCTION("""COMPUTED_VALUE"""),0.8009518642974215)</f>
        <v>0.8009518643</v>
      </c>
      <c r="Z320" s="57">
        <f>IFERROR(__xludf.DUMMYFUNCTION("""COMPUTED_VALUE"""),0.6050096496021871)</f>
        <v>0.6050096496</v>
      </c>
      <c r="AA320" s="57">
        <f>IFERROR(__xludf.DUMMYFUNCTION("""COMPUTED_VALUE"""),1.421571091661574)</f>
        <v>1.421571092</v>
      </c>
      <c r="AB320" s="57">
        <f>IFERROR(__xludf.DUMMYFUNCTION("""COMPUTED_VALUE"""),2.79892286621172)</f>
        <v>2.798922866</v>
      </c>
      <c r="AC320" s="31">
        <f>IFERROR(__xludf.DUMMYFUNCTION("""COMPUTED_VALUE"""),354.2212645698068)</f>
        <v>354.2212646</v>
      </c>
      <c r="AD320" s="57">
        <f>IFERROR(__xludf.DUMMYFUNCTION("""COMPUTED_VALUE"""),0.7075251027749365)</f>
        <v>0.7075251028</v>
      </c>
      <c r="AE320" s="57">
        <f>IFERROR(__xludf.DUMMYFUNCTION("""COMPUTED_VALUE"""),0.5264679209350654)</f>
        <v>0.5264679209</v>
      </c>
      <c r="AF320" s="57">
        <f>IFERROR(__xludf.DUMMYFUNCTION("""COMPUTED_VALUE"""),1.508243382757261)</f>
        <v>1.508243383</v>
      </c>
      <c r="AG320" s="57">
        <f>IFERROR(__xludf.DUMMYFUNCTION("""COMPUTED_VALUE"""),2.549050723542139)</f>
        <v>2.549050724</v>
      </c>
      <c r="AH320" s="57">
        <f>IFERROR(__xludf.DUMMYFUNCTION("""COMPUTED_VALUE"""),0.8228705897246416)</f>
        <v>0.8228705897</v>
      </c>
      <c r="AI320" s="57">
        <f>IFERROR(__xludf.DUMMYFUNCTION("""COMPUTED_VALUE"""),0.6145119190689073)</f>
        <v>0.6145119191</v>
      </c>
      <c r="AJ320" s="57">
        <f>IFERROR(__xludf.DUMMYFUNCTION("""COMPUTED_VALUE"""),0.7432634207438262)</f>
        <v>0.7432634207</v>
      </c>
      <c r="AK320" s="57">
        <f>IFERROR(__xludf.DUMMYFUNCTION("""COMPUTED_VALUE"""),0.8648125634089922)</f>
        <v>0.8648125634</v>
      </c>
      <c r="AL320" s="57">
        <f>IFERROR(__xludf.DUMMYFUNCTION("""COMPUTED_VALUE"""),0.8357757509227836)</f>
        <v>0.8357757509</v>
      </c>
      <c r="AM320" s="57">
        <f>IFERROR(__xludf.DUMMYFUNCTION("""COMPUTED_VALUE"""),0.9563870230459377)</f>
        <v>0.956387023</v>
      </c>
      <c r="AN320" s="57">
        <f>IFERROR(__xludf.DUMMYFUNCTION("""COMPUTED_VALUE"""),0.8866262246098354)</f>
        <v>0.8866262246</v>
      </c>
      <c r="AO320" s="57">
        <f>IFERROR(__xludf.DUMMYFUNCTION("""COMPUTED_VALUE"""),0.9102741386741158)</f>
        <v>0.9102741387</v>
      </c>
      <c r="AP320" s="35">
        <f>IFERROR(__xludf.DUMMYFUNCTION("""COMPUTED_VALUE"""),0.9990987178927418)</f>
        <v>0.9990987179</v>
      </c>
      <c r="AQ320" s="57">
        <f>IFERROR(__xludf.DUMMYFUNCTION("""COMPUTED_VALUE"""),0.9838153175449114)</f>
        <v>0.9838153175</v>
      </c>
      <c r="AR320" s="36" t="b">
        <f>IFERROR(__xludf.DUMMYFUNCTION("""COMPUTED_VALUE"""),TRUE)</f>
        <v>1</v>
      </c>
      <c r="AS320" s="57"/>
      <c r="AT320" s="37"/>
      <c r="AU320" s="30"/>
      <c r="AV320" s="30"/>
      <c r="AW320" s="30"/>
      <c r="AX320" s="30"/>
      <c r="AY320" s="30"/>
      <c r="AZ320" s="30"/>
    </row>
    <row r="321">
      <c r="A321" s="30" t="str">
        <f>IFERROR(__xludf.DUMMYFUNCTION("""COMPUTED_VALUE"""),"Elite")</f>
        <v>Elite</v>
      </c>
      <c r="B321" s="30" t="str">
        <f>IFERROR(__xludf.DUMMYFUNCTION("""COMPUTED_VALUE"""),"RSC004820")</f>
        <v>RSC004820</v>
      </c>
      <c r="C321" s="30" t="str">
        <f>IFERROR(__xludf.DUMMYFUNCTION("""COMPUTED_VALUE"""),"AoS Arctic")</f>
        <v>AoS Arctic</v>
      </c>
      <c r="D321" s="31" t="str">
        <f>IFERROR(__xludf.DUMMYFUNCTION("""COMPUTED_VALUE"""),"Summoned")</f>
        <v>Summoned</v>
      </c>
      <c r="E321" s="31">
        <f>IFERROR(__xludf.DUMMYFUNCTION("""COMPUTED_VALUE"""),28.90034490881319)</f>
        <v>28.90034491</v>
      </c>
      <c r="F321" s="31">
        <f>IFERROR(__xludf.DUMMYFUNCTION("""COMPUTED_VALUE"""),-5.016590931181441)</f>
        <v>-5.016590931</v>
      </c>
      <c r="G321" s="31">
        <f>IFERROR(__xludf.DUMMYFUNCTION("""COMPUTED_VALUE"""),29.09981212404066)</f>
        <v>29.09981212</v>
      </c>
      <c r="H321" s="31">
        <f>IFERROR(__xludf.DUMMYFUNCTION("""COMPUTED_VALUE"""),-4.960924345094627)</f>
        <v>-4.960924345</v>
      </c>
      <c r="I321" s="54">
        <f>IFERROR(__xludf.DUMMYFUNCTION("""COMPUTED_VALUE"""),27.0)</f>
        <v>27</v>
      </c>
      <c r="J321" s="55">
        <f>IFERROR(__xludf.DUMMYFUNCTION("""COMPUTED_VALUE"""),11.0)</f>
        <v>11</v>
      </c>
      <c r="K321" s="54">
        <f>IFERROR(__xludf.DUMMYFUNCTION("""COMPUTED_VALUE"""),16.0)</f>
        <v>16</v>
      </c>
      <c r="L321" s="56">
        <f>IFERROR(__xludf.DUMMYFUNCTION("""COMPUTED_VALUE"""),0.4074074074074074)</f>
        <v>0.4074074074</v>
      </c>
      <c r="M321" s="56">
        <f>IFERROR(__xludf.DUMMYFUNCTION("""COMPUTED_VALUE"""),0.2826086956521739)</f>
        <v>0.2826086957</v>
      </c>
      <c r="N321" s="31">
        <f>IFERROR(__xludf.DUMMYFUNCTION("""COMPUTED_VALUE"""),310.69565217391306)</f>
        <v>310.6956522</v>
      </c>
      <c r="O321" s="57">
        <f>IFERROR(__xludf.DUMMYFUNCTION("""COMPUTED_VALUE"""),0.5652173913043478)</f>
        <v>0.5652173913</v>
      </c>
      <c r="P321" s="57">
        <f>IFERROR(__xludf.DUMMYFUNCTION("""COMPUTED_VALUE"""),0.43478260869565216)</f>
        <v>0.4347826087</v>
      </c>
      <c r="Q321" s="57">
        <f>IFERROR(__xludf.DUMMYFUNCTION("""COMPUTED_VALUE"""),1.3043478260869565)</f>
        <v>1.304347826</v>
      </c>
      <c r="R321" s="57">
        <f>IFERROR(__xludf.DUMMYFUNCTION("""COMPUTED_VALUE"""),2.0)</f>
        <v>2</v>
      </c>
      <c r="S321" s="31">
        <f>IFERROR(__xludf.DUMMYFUNCTION("""COMPUTED_VALUE"""),355.8115942028986)</f>
        <v>355.8115942</v>
      </c>
      <c r="T321" s="57">
        <f>IFERROR(__xludf.DUMMYFUNCTION("""COMPUTED_VALUE"""),0.9130434782608695)</f>
        <v>0.9130434783</v>
      </c>
      <c r="U321" s="57">
        <f>IFERROR(__xludf.DUMMYFUNCTION("""COMPUTED_VALUE"""),0.6231884057971014)</f>
        <v>0.6231884058</v>
      </c>
      <c r="V321" s="57">
        <f>IFERROR(__xludf.DUMMYFUNCTION("""COMPUTED_VALUE"""),1.0869565217391308)</f>
        <v>1.086956522</v>
      </c>
      <c r="W321" s="57">
        <f>IFERROR(__xludf.DUMMYFUNCTION("""COMPUTED_VALUE"""),2.8115942028985508)</f>
        <v>2.811594203</v>
      </c>
      <c r="X321" s="31">
        <f>IFERROR(__xludf.DUMMYFUNCTION("""COMPUTED_VALUE"""),366.69324854249913)</f>
        <v>366.6932485</v>
      </c>
      <c r="Y321" s="57">
        <f>IFERROR(__xludf.DUMMYFUNCTION("""COMPUTED_VALUE"""),0.7904072754403308)</f>
        <v>0.7904072754</v>
      </c>
      <c r="Z321" s="57">
        <f>IFERROR(__xludf.DUMMYFUNCTION("""COMPUTED_VALUE"""),0.5843248154945246)</f>
        <v>0.5843248155</v>
      </c>
      <c r="AA321" s="57">
        <f>IFERROR(__xludf.DUMMYFUNCTION("""COMPUTED_VALUE"""),1.4091254835977243)</f>
        <v>1.409125484</v>
      </c>
      <c r="AB321" s="57">
        <f>IFERROR(__xludf.DUMMYFUNCTION("""COMPUTED_VALUE"""),2.75895881553984)</f>
        <v>2.758958816</v>
      </c>
      <c r="AC321" s="31">
        <f>IFERROR(__xludf.DUMMYFUNCTION("""COMPUTED_VALUE"""),367.63085178586834)</f>
        <v>367.6308518</v>
      </c>
      <c r="AD321" s="57">
        <f>IFERROR(__xludf.DUMMYFUNCTION("""COMPUTED_VALUE"""),0.8019017303719179)</f>
        <v>0.8019017304</v>
      </c>
      <c r="AE321" s="57">
        <f>IFERROR(__xludf.DUMMYFUNCTION("""COMPUTED_VALUE"""),0.604072327100274)</f>
        <v>0.6040723271</v>
      </c>
      <c r="AF321" s="57">
        <f>IFERROR(__xludf.DUMMYFUNCTION("""COMPUTED_VALUE"""),1.49658210902733)</f>
        <v>1.496582109</v>
      </c>
      <c r="AG321" s="57">
        <f>IFERROR(__xludf.DUMMYFUNCTION("""COMPUTED_VALUE"""),2.606273129846991)</f>
        <v>2.60627313</v>
      </c>
      <c r="AH321" s="57">
        <f>IFERROR(__xludf.DUMMYFUNCTION("""COMPUTED_VALUE"""),0.8451294298740794)</f>
        <v>0.8451294299</v>
      </c>
      <c r="AI321" s="57">
        <f>IFERROR(__xludf.DUMMYFUNCTION("""COMPUTED_VALUE"""),0.7048462048363493)</f>
        <v>0.7048462048</v>
      </c>
      <c r="AJ321" s="57">
        <f>IFERROR(__xludf.DUMMYFUNCTION("""COMPUTED_VALUE"""),0.7197525680124057)</f>
        <v>0.719752568</v>
      </c>
      <c r="AK321" s="57">
        <f>IFERROR(__xludf.DUMMYFUNCTION("""COMPUTED_VALUE"""),0.8715511285476266)</f>
        <v>0.8715511285</v>
      </c>
      <c r="AL321" s="57">
        <f>IFERROR(__xludf.DUMMYFUNCTION("""COMPUTED_VALUE"""),0.7673792808190505)</f>
        <v>0.7673792808</v>
      </c>
      <c r="AM321" s="57">
        <f>IFERROR(__xludf.DUMMYFUNCTION("""COMPUTED_VALUE"""),0.9703249122179043)</f>
        <v>0.9703249122</v>
      </c>
      <c r="AN321" s="57">
        <f>IFERROR(__xludf.DUMMYFUNCTION("""COMPUTED_VALUE"""),1.1551557110253303)</f>
        <v>1.155155711</v>
      </c>
      <c r="AO321" s="57">
        <f>IFERROR(__xludf.DUMMYFUNCTION("""COMPUTED_VALUE"""),1.0665102512712656)</f>
        <v>1.066510251</v>
      </c>
      <c r="AP321" s="35">
        <f>IFERROR(__xludf.DUMMYFUNCTION("""COMPUTED_VALUE"""),0.7713695723988724)</f>
        <v>0.7713695724</v>
      </c>
      <c r="AQ321" s="57">
        <f>IFERROR(__xludf.DUMMYFUNCTION("""COMPUTED_VALUE"""),1.0190779895162776)</f>
        <v>1.01907799</v>
      </c>
      <c r="AR321" s="36" t="b">
        <f>IFERROR(__xludf.DUMMYFUNCTION("""COMPUTED_VALUE"""),TRUE)</f>
        <v>1</v>
      </c>
      <c r="AS321" s="57"/>
      <c r="AT321" s="37"/>
      <c r="AU321" s="30"/>
      <c r="AV321" s="30"/>
      <c r="AW321" s="30"/>
      <c r="AX321" s="30"/>
      <c r="AY321" s="30"/>
      <c r="AZ321" s="30"/>
    </row>
    <row r="322">
      <c r="A322" s="30" t="str">
        <f>IFERROR(__xludf.DUMMYFUNCTION("""COMPUTED_VALUE"""),"Elite")</f>
        <v>Elite</v>
      </c>
      <c r="B322" s="30" t="str">
        <f>IFERROR(__xludf.DUMMYFUNCTION("""COMPUTED_VALUE"""),"RSC000690")</f>
        <v>RSC000690</v>
      </c>
      <c r="C322" s="30" t="str">
        <f>IFERROR(__xludf.DUMMYFUNCTION("""COMPUTED_VALUE"""),"paco")</f>
        <v>paco</v>
      </c>
      <c r="D322" s="31" t="str">
        <f>IFERROR(__xludf.DUMMYFUNCTION("""COMPUTED_VALUE"""),"Drive Bye")</f>
        <v>Drive Bye</v>
      </c>
      <c r="E322" s="31">
        <f>IFERROR(__xludf.DUMMYFUNCTION("""COMPUTED_VALUE"""),28.176083736911245)</f>
        <v>28.17608374</v>
      </c>
      <c r="F322" s="31">
        <f>IFERROR(__xludf.DUMMYFUNCTION("""COMPUTED_VALUE"""),-5.226207148006753)</f>
        <v>-5.226207148</v>
      </c>
      <c r="G322" s="31">
        <f>IFERROR(__xludf.DUMMYFUNCTION("""COMPUTED_VALUE"""),22.50011430550114)</f>
        <v>22.50011431</v>
      </c>
      <c r="H322" s="31">
        <f>IFERROR(__xludf.DUMMYFUNCTION("""COMPUTED_VALUE"""),-7.370986162652972)</f>
        <v>-7.370986163</v>
      </c>
      <c r="I322" s="54">
        <f>IFERROR(__xludf.DUMMYFUNCTION("""COMPUTED_VALUE"""),17.0)</f>
        <v>17</v>
      </c>
      <c r="J322" s="55">
        <f>IFERROR(__xludf.DUMMYFUNCTION("""COMPUTED_VALUE"""),7.0)</f>
        <v>7</v>
      </c>
      <c r="K322" s="54">
        <f>IFERROR(__xludf.DUMMYFUNCTION("""COMPUTED_VALUE"""),10.0)</f>
        <v>10</v>
      </c>
      <c r="L322" s="56">
        <f>IFERROR(__xludf.DUMMYFUNCTION("""COMPUTED_VALUE"""),0.4117647058823529)</f>
        <v>0.4117647059</v>
      </c>
      <c r="M322" s="56">
        <f>IFERROR(__xludf.DUMMYFUNCTION("""COMPUTED_VALUE"""),0.3225806451612903)</f>
        <v>0.3225806452</v>
      </c>
      <c r="N322" s="31">
        <f>IFERROR(__xludf.DUMMYFUNCTION("""COMPUTED_VALUE"""),323.6470588235294)</f>
        <v>323.6470588</v>
      </c>
      <c r="O322" s="57">
        <f>IFERROR(__xludf.DUMMYFUNCTION("""COMPUTED_VALUE"""),0.5882352941176471)</f>
        <v>0.5882352941</v>
      </c>
      <c r="P322" s="57">
        <f>IFERROR(__xludf.DUMMYFUNCTION("""COMPUTED_VALUE"""),0.47058823529411764)</f>
        <v>0.4705882353</v>
      </c>
      <c r="Q322" s="57">
        <f>IFERROR(__xludf.DUMMYFUNCTION("""COMPUTED_VALUE"""),1.5294117647058822)</f>
        <v>1.529411765</v>
      </c>
      <c r="R322" s="57">
        <f>IFERROR(__xludf.DUMMYFUNCTION("""COMPUTED_VALUE"""),1.8235294117647058)</f>
        <v>1.823529412</v>
      </c>
      <c r="S322" s="31">
        <f>IFERROR(__xludf.DUMMYFUNCTION("""COMPUTED_VALUE"""),398.21568627450984)</f>
        <v>398.2156863</v>
      </c>
      <c r="T322" s="57">
        <f>IFERROR(__xludf.DUMMYFUNCTION("""COMPUTED_VALUE"""),0.9411764705882355)</f>
        <v>0.9411764706</v>
      </c>
      <c r="U322" s="57">
        <f>IFERROR(__xludf.DUMMYFUNCTION("""COMPUTED_VALUE"""),0.7254901960784315)</f>
        <v>0.7254901961</v>
      </c>
      <c r="V322" s="57">
        <f>IFERROR(__xludf.DUMMYFUNCTION("""COMPUTED_VALUE"""),1.3333333333333335)</f>
        <v>1.333333333</v>
      </c>
      <c r="W322" s="57">
        <f>IFERROR(__xludf.DUMMYFUNCTION("""COMPUTED_VALUE"""),3.372549019607843)</f>
        <v>3.37254902</v>
      </c>
      <c r="X322" s="31">
        <f>IFERROR(__xludf.DUMMYFUNCTION("""COMPUTED_VALUE"""),365.1073956148713)</f>
        <v>365.1073956</v>
      </c>
      <c r="Y322" s="57">
        <f>IFERROR(__xludf.DUMMYFUNCTION("""COMPUTED_VALUE"""),0.8077079767225682)</f>
        <v>0.8077079767</v>
      </c>
      <c r="Z322" s="57">
        <f>IFERROR(__xludf.DUMMYFUNCTION("""COMPUTED_VALUE"""),0.6131960150183011)</f>
        <v>0.613196015</v>
      </c>
      <c r="AA322" s="57">
        <f>IFERROR(__xludf.DUMMYFUNCTION("""COMPUTED_VALUE"""),1.3452928588275048)</f>
        <v>1.345292859</v>
      </c>
      <c r="AB322" s="57">
        <f>IFERROR(__xludf.DUMMYFUNCTION("""COMPUTED_VALUE"""),2.8323826615294263)</f>
        <v>2.832382662</v>
      </c>
      <c r="AC322" s="31">
        <f>IFERROR(__xludf.DUMMYFUNCTION("""COMPUTED_VALUE"""),358.0671952699641)</f>
        <v>358.0671953</v>
      </c>
      <c r="AD322" s="57">
        <f>IFERROR(__xludf.DUMMYFUNCTION("""COMPUTED_VALUE"""),0.7332584227641916)</f>
        <v>0.7332584228</v>
      </c>
      <c r="AE322" s="57">
        <f>IFERROR(__xludf.DUMMYFUNCTION("""COMPUTED_VALUE"""),0.5563061307090619)</f>
        <v>0.5563061307</v>
      </c>
      <c r="AF322" s="57">
        <f>IFERROR(__xludf.DUMMYFUNCTION("""COMPUTED_VALUE"""),1.4997399660173105)</f>
        <v>1.499739966</v>
      </c>
      <c r="AG322" s="57">
        <f>IFERROR(__xludf.DUMMYFUNCTION("""COMPUTED_VALUE"""),2.504872144600384)</f>
        <v>2.504872145</v>
      </c>
      <c r="AH322" s="57">
        <f>IFERROR(__xludf.DUMMYFUNCTION("""COMPUTED_VALUE"""),0.9038724102595221)</f>
        <v>0.9038724103</v>
      </c>
      <c r="AI322" s="57">
        <f>IFERROR(__xludf.DUMMYFUNCTION("""COMPUTED_VALUE"""),0.8022209849293712)</f>
        <v>0.8022209849</v>
      </c>
      <c r="AJ322" s="57">
        <f>IFERROR(__xludf.DUMMYFUNCTION("""COMPUTED_VALUE"""),0.8459159612250019)</f>
        <v>0.8459159612</v>
      </c>
      <c r="AK322" s="57">
        <f>IFERROR(__xludf.DUMMYFUNCTION("""COMPUTED_VALUE"""),1.0197846289096155)</f>
        <v>1.019784629</v>
      </c>
      <c r="AL322" s="57">
        <f>IFERROR(__xludf.DUMMYFUNCTION("""COMPUTED_VALUE"""),0.7279930098211155)</f>
        <v>0.7279930098</v>
      </c>
      <c r="AM322" s="57">
        <f>IFERROR(__xludf.DUMMYFUNCTION("""COMPUTED_VALUE"""),1.0906809641691355)</f>
        <v>1.090680964</v>
      </c>
      <c r="AN322" s="57">
        <f>IFERROR(__xludf.DUMMYFUNCTION("""COMPUTED_VALUE"""),1.165243501007928)</f>
        <v>1.165243501</v>
      </c>
      <c r="AO322" s="57">
        <f>IFERROR(__xludf.DUMMYFUNCTION("""COMPUTED_VALUE"""),1.1831293392485254)</f>
        <v>1.183129339</v>
      </c>
      <c r="AP322" s="35">
        <f>IFERROR(__xludf.DUMMYFUNCTION("""COMPUTED_VALUE"""),0.9911100951620343)</f>
        <v>0.9911100952</v>
      </c>
      <c r="AQ322" s="57">
        <f>IFERROR(__xludf.DUMMYFUNCTION("""COMPUTED_VALUE"""),1.1907109393851247)</f>
        <v>1.190710939</v>
      </c>
      <c r="AR322" s="36" t="b">
        <f>IFERROR(__xludf.DUMMYFUNCTION("""COMPUTED_VALUE"""),TRUE)</f>
        <v>1</v>
      </c>
      <c r="AS322" s="57"/>
      <c r="AT322" s="37"/>
      <c r="AU322" s="30"/>
      <c r="AV322" s="30"/>
      <c r="AW322" s="30"/>
      <c r="AX322" s="30"/>
      <c r="AY322" s="30"/>
      <c r="AZ322" s="30"/>
    </row>
    <row r="323">
      <c r="A323" s="30" t="str">
        <f>IFERROR(__xludf.DUMMYFUNCTION("""COMPUTED_VALUE"""),"Elite")</f>
        <v>Elite</v>
      </c>
      <c r="B323" s="30" t="str">
        <f>IFERROR(__xludf.DUMMYFUNCTION("""COMPUTED_VALUE"""),"RSC004239")</f>
        <v>RSC004239</v>
      </c>
      <c r="C323" s="30" t="str">
        <f>IFERROR(__xludf.DUMMYFUNCTION("""COMPUTED_VALUE"""),"Nitro")</f>
        <v>Nitro</v>
      </c>
      <c r="D323" s="31" t="str">
        <f>IFERROR(__xludf.DUMMYFUNCTION("""COMPUTED_VALUE"""),"Slots")</f>
        <v>Slots</v>
      </c>
      <c r="E323" s="31">
        <f>IFERROR(__xludf.DUMMYFUNCTION("""COMPUTED_VALUE"""),28.022611093477423)</f>
        <v>28.02261109</v>
      </c>
      <c r="F323" s="31">
        <f>IFERROR(__xludf.DUMMYFUNCTION("""COMPUTED_VALUE"""),-5.272183498723538)</f>
        <v>-5.272183499</v>
      </c>
      <c r="G323" s="31">
        <f>IFERROR(__xludf.DUMMYFUNCTION("""COMPUTED_VALUE"""),44.589912631013554)</f>
        <v>44.58991263</v>
      </c>
      <c r="H323" s="31">
        <f>IFERROR(__xludf.DUMMYFUNCTION("""COMPUTED_VALUE"""),-2.413496536030735)</f>
        <v>-2.413496536</v>
      </c>
      <c r="I323" s="54">
        <f>IFERROR(__xludf.DUMMYFUNCTION("""COMPUTED_VALUE"""),4.0)</f>
        <v>4</v>
      </c>
      <c r="J323" s="55">
        <f>IFERROR(__xludf.DUMMYFUNCTION("""COMPUTED_VALUE"""),0.0)</f>
        <v>0</v>
      </c>
      <c r="K323" s="54">
        <f>IFERROR(__xludf.DUMMYFUNCTION("""COMPUTED_VALUE"""),4.0)</f>
        <v>4</v>
      </c>
      <c r="L323" s="56">
        <f>IFERROR(__xludf.DUMMYFUNCTION("""COMPUTED_VALUE"""),0.0)</f>
        <v>0</v>
      </c>
      <c r="M323" s="56">
        <f>IFERROR(__xludf.DUMMYFUNCTION("""COMPUTED_VALUE"""),0.1)</f>
        <v>0.1</v>
      </c>
      <c r="N323" s="31">
        <f>IFERROR(__xludf.DUMMYFUNCTION("""COMPUTED_VALUE"""),390.25)</f>
        <v>390.25</v>
      </c>
      <c r="O323" s="57">
        <f>IFERROR(__xludf.DUMMYFUNCTION("""COMPUTED_VALUE"""),0.25)</f>
        <v>0.25</v>
      </c>
      <c r="P323" s="57">
        <f>IFERROR(__xludf.DUMMYFUNCTION("""COMPUTED_VALUE"""),0.75)</f>
        <v>0.75</v>
      </c>
      <c r="Q323" s="57">
        <f>IFERROR(__xludf.DUMMYFUNCTION("""COMPUTED_VALUE"""),2.5)</f>
        <v>2.5</v>
      </c>
      <c r="R323" s="57">
        <f>IFERROR(__xludf.DUMMYFUNCTION("""COMPUTED_VALUE"""),2.5)</f>
        <v>2.5</v>
      </c>
      <c r="S323" s="31">
        <f>IFERROR(__xludf.DUMMYFUNCTION("""COMPUTED_VALUE"""),443.5)</f>
        <v>443.5</v>
      </c>
      <c r="T323" s="57">
        <f>IFERROR(__xludf.DUMMYFUNCTION("""COMPUTED_VALUE"""),1.3333333333333333)</f>
        <v>1.333333333</v>
      </c>
      <c r="U323" s="57">
        <f>IFERROR(__xludf.DUMMYFUNCTION("""COMPUTED_VALUE"""),0.9166666666666666)</f>
        <v>0.9166666667</v>
      </c>
      <c r="V323" s="57">
        <f>IFERROR(__xludf.DUMMYFUNCTION("""COMPUTED_VALUE"""),1.0833333333333335)</f>
        <v>1.083333333</v>
      </c>
      <c r="W323" s="57">
        <f>IFERROR(__xludf.DUMMYFUNCTION("""COMPUTED_VALUE"""),4.166666666666667)</f>
        <v>4.166666667</v>
      </c>
      <c r="X323" s="31">
        <f>IFERROR(__xludf.DUMMYFUNCTION("""COMPUTED_VALUE"""),378.76712749615973)</f>
        <v>378.7671275</v>
      </c>
      <c r="Y323" s="57">
        <f>IFERROR(__xludf.DUMMYFUNCTION("""COMPUTED_VALUE"""),0.8688172043010752)</f>
        <v>0.8688172043</v>
      </c>
      <c r="Z323" s="57">
        <f>IFERROR(__xludf.DUMMYFUNCTION("""COMPUTED_VALUE"""),0.6018433179723502)</f>
        <v>0.601843318</v>
      </c>
      <c r="AA323" s="57">
        <f>IFERROR(__xludf.DUMMYFUNCTION("""COMPUTED_VALUE"""),1.4202764976958526)</f>
        <v>1.420276498</v>
      </c>
      <c r="AB323" s="57">
        <f>IFERROR(__xludf.DUMMYFUNCTION("""COMPUTED_VALUE"""),2.97357910906298)</f>
        <v>2.973579109</v>
      </c>
      <c r="AC323" s="31">
        <f>IFERROR(__xludf.DUMMYFUNCTION("""COMPUTED_VALUE"""),351.02478238607273)</f>
        <v>351.0247824</v>
      </c>
      <c r="AD323" s="57">
        <f>IFERROR(__xludf.DUMMYFUNCTION("""COMPUTED_VALUE"""),0.5983614951356886)</f>
        <v>0.5983614951</v>
      </c>
      <c r="AE323" s="57">
        <f>IFERROR(__xludf.DUMMYFUNCTION("""COMPUTED_VALUE"""),0.46646185355862774)</f>
        <v>0.4664618536</v>
      </c>
      <c r="AF323" s="57">
        <f>IFERROR(__xludf.DUMMYFUNCTION("""COMPUTED_VALUE"""),1.6535586277521765)</f>
        <v>1.653558628</v>
      </c>
      <c r="AG323" s="57">
        <f>IFERROR(__xludf.DUMMYFUNCTION("""COMPUTED_VALUE"""),2.49615975422427)</f>
        <v>2.496159754</v>
      </c>
      <c r="AH323" s="57">
        <f>IFERROR(__xludf.DUMMYFUNCTION("""COMPUTED_VALUE"""),1.11174486697861)</f>
        <v>1.111744867</v>
      </c>
      <c r="AI323" s="57">
        <f>IFERROR(__xludf.DUMMYFUNCTION("""COMPUTED_VALUE"""),0.4178076330652063)</f>
        <v>0.4178076331</v>
      </c>
      <c r="AJ323" s="57">
        <f>IFERROR(__xludf.DUMMYFUNCTION("""COMPUTED_VALUE"""),1.6078485181119648)</f>
        <v>1.607848518</v>
      </c>
      <c r="AK323" s="57">
        <f>IFERROR(__xludf.DUMMYFUNCTION("""COMPUTED_VALUE"""),1.5118907537003774)</f>
        <v>1.511890754</v>
      </c>
      <c r="AL323" s="57">
        <f>IFERROR(__xludf.DUMMYFUNCTION("""COMPUTED_VALUE"""),1.0015384615384617)</f>
        <v>1.001538462</v>
      </c>
      <c r="AM323" s="57">
        <f>IFERROR(__xludf.DUMMYFUNCTION("""COMPUTED_VALUE"""),1.1709041461220697)</f>
        <v>1.170904146</v>
      </c>
      <c r="AN323" s="57">
        <f>IFERROR(__xludf.DUMMYFUNCTION("""COMPUTED_VALUE"""),1.5346534653465347)</f>
        <v>1.534653465</v>
      </c>
      <c r="AO323" s="57">
        <f>IFERROR(__xludf.DUMMYFUNCTION("""COMPUTED_VALUE"""),1.5230985196528841)</f>
        <v>1.52309852</v>
      </c>
      <c r="AP323" s="35">
        <f>IFERROR(__xludf.DUMMYFUNCTION("""COMPUTED_VALUE"""),0.7627622755786286)</f>
        <v>0.7627622756</v>
      </c>
      <c r="AQ323" s="57">
        <f>IFERROR(__xludf.DUMMYFUNCTION("""COMPUTED_VALUE"""),1.4012294658539106)</f>
        <v>1.401229466</v>
      </c>
      <c r="AR323" s="36" t="b">
        <f>IFERROR(__xludf.DUMMYFUNCTION("""COMPUTED_VALUE"""),TRUE)</f>
        <v>1</v>
      </c>
      <c r="AS323" s="57"/>
      <c r="AT323" s="37"/>
      <c r="AU323" s="30"/>
      <c r="AV323" s="30"/>
      <c r="AW323" s="30"/>
      <c r="AX323" s="30"/>
      <c r="AY323" s="30"/>
      <c r="AZ323" s="30"/>
    </row>
    <row r="324">
      <c r="A324" s="30" t="str">
        <f>IFERROR(__xludf.DUMMYFUNCTION("""COMPUTED_VALUE"""),"Elite")</f>
        <v>Elite</v>
      </c>
      <c r="B324" s="30" t="str">
        <f>IFERROR(__xludf.DUMMYFUNCTION("""COMPUTED_VALUE"""),"RSC004214")</f>
        <v>RSC004214</v>
      </c>
      <c r="C324" s="30" t="str">
        <f>IFERROR(__xludf.DUMMYFUNCTION("""COMPUTED_VALUE"""),"Miserable")</f>
        <v>Miserable</v>
      </c>
      <c r="D324" s="31" t="str">
        <f>IFERROR(__xludf.DUMMYFUNCTION("""COMPUTED_VALUE"""),"Summoned")</f>
        <v>Summoned</v>
      </c>
      <c r="E324" s="31">
        <f>IFERROR(__xludf.DUMMYFUNCTION("""COMPUTED_VALUE"""),27.671106678980305)</f>
        <v>27.67110668</v>
      </c>
      <c r="F324" s="31">
        <f>IFERROR(__xludf.DUMMYFUNCTION("""COMPUTED_VALUE"""),-5.379615523997228)</f>
        <v>-5.379615524</v>
      </c>
      <c r="G324" s="31">
        <f>IFERROR(__xludf.DUMMYFUNCTION("""COMPUTED_VALUE"""),25.36638628818143)</f>
        <v>25.36638629</v>
      </c>
      <c r="H324" s="31">
        <f>IFERROR(__xludf.DUMMYFUNCTION("""COMPUTED_VALUE"""),-6.164185722567559)</f>
        <v>-6.164185723</v>
      </c>
      <c r="I324" s="54">
        <f>IFERROR(__xludf.DUMMYFUNCTION("""COMPUTED_VALUE"""),22.0)</f>
        <v>22</v>
      </c>
      <c r="J324" s="55">
        <f>IFERROR(__xludf.DUMMYFUNCTION("""COMPUTED_VALUE"""),5.0)</f>
        <v>5</v>
      </c>
      <c r="K324" s="54">
        <f>IFERROR(__xludf.DUMMYFUNCTION("""COMPUTED_VALUE"""),17.0)</f>
        <v>17</v>
      </c>
      <c r="L324" s="56">
        <f>IFERROR(__xludf.DUMMYFUNCTION("""COMPUTED_VALUE"""),0.22727272727272727)</f>
        <v>0.2272727273</v>
      </c>
      <c r="M324" s="56">
        <f>IFERROR(__xludf.DUMMYFUNCTION("""COMPUTED_VALUE"""),0.2631578947368421)</f>
        <v>0.2631578947</v>
      </c>
      <c r="N324" s="31">
        <f>IFERROR(__xludf.DUMMYFUNCTION("""COMPUTED_VALUE"""),357.0)</f>
        <v>357</v>
      </c>
      <c r="O324" s="57">
        <f>IFERROR(__xludf.DUMMYFUNCTION("""COMPUTED_VALUE"""),0.5555555555555556)</f>
        <v>0.5555555556</v>
      </c>
      <c r="P324" s="57">
        <f>IFERROR(__xludf.DUMMYFUNCTION("""COMPUTED_VALUE"""),0.4444444444444444)</f>
        <v>0.4444444444</v>
      </c>
      <c r="Q324" s="57">
        <f>IFERROR(__xludf.DUMMYFUNCTION("""COMPUTED_VALUE"""),2.1666666666666665)</f>
        <v>2.166666667</v>
      </c>
      <c r="R324" s="57">
        <f>IFERROR(__xludf.DUMMYFUNCTION("""COMPUTED_VALUE"""),2.111111111111111)</f>
        <v>2.111111111</v>
      </c>
      <c r="S324" s="31">
        <f>IFERROR(__xludf.DUMMYFUNCTION("""COMPUTED_VALUE"""),419.9259259259259)</f>
        <v>419.9259259</v>
      </c>
      <c r="T324" s="57">
        <f>IFERROR(__xludf.DUMMYFUNCTION("""COMPUTED_VALUE"""),1.1666666666666665)</f>
        <v>1.166666667</v>
      </c>
      <c r="U324" s="57">
        <f>IFERROR(__xludf.DUMMYFUNCTION("""COMPUTED_VALUE"""),0.8333333333333335)</f>
        <v>0.8333333333</v>
      </c>
      <c r="V324" s="57">
        <f>IFERROR(__xludf.DUMMYFUNCTION("""COMPUTED_VALUE"""),1.2037037037037035)</f>
        <v>1.203703704</v>
      </c>
      <c r="W324" s="57">
        <f>IFERROR(__xludf.DUMMYFUNCTION("""COMPUTED_VALUE"""),3.6296296296296293)</f>
        <v>3.62962963</v>
      </c>
      <c r="X324" s="31">
        <f>IFERROR(__xludf.DUMMYFUNCTION("""COMPUTED_VALUE"""),381.1223691932364)</f>
        <v>381.1223692</v>
      </c>
      <c r="Y324" s="57">
        <f>IFERROR(__xludf.DUMMYFUNCTION("""COMPUTED_VALUE"""),0.867678231167075)</f>
        <v>0.8676782312</v>
      </c>
      <c r="Z324" s="57">
        <f>IFERROR(__xludf.DUMMYFUNCTION("""COMPUTED_VALUE"""),0.6238688317542272)</f>
        <v>0.6238688318</v>
      </c>
      <c r="AA324" s="57">
        <f>IFERROR(__xludf.DUMMYFUNCTION("""COMPUTED_VALUE"""),1.4217555517504807)</f>
        <v>1.421755552</v>
      </c>
      <c r="AB324" s="57">
        <f>IFERROR(__xludf.DUMMYFUNCTION("""COMPUTED_VALUE"""),2.8662645605089825)</f>
        <v>2.866264561</v>
      </c>
      <c r="AC324" s="31">
        <f>IFERROR(__xludf.DUMMYFUNCTION("""COMPUTED_VALUE"""),360.0760767629935)</f>
        <v>360.0760768</v>
      </c>
      <c r="AD324" s="57">
        <f>IFERROR(__xludf.DUMMYFUNCTION("""COMPUTED_VALUE"""),0.74008100744071)</f>
        <v>0.7400810074</v>
      </c>
      <c r="AE324" s="57">
        <f>IFERROR(__xludf.DUMMYFUNCTION("""COMPUTED_VALUE"""),0.5361702117280212)</f>
        <v>0.5361702117</v>
      </c>
      <c r="AF324" s="57">
        <f>IFERROR(__xludf.DUMMYFUNCTION("""COMPUTED_VALUE"""),1.5146773280309453)</f>
        <v>1.514677328</v>
      </c>
      <c r="AG324" s="57">
        <f>IFERROR(__xludf.DUMMYFUNCTION("""COMPUTED_VALUE"""),2.5442824523284298)</f>
        <v>2.544282452</v>
      </c>
      <c r="AH324" s="57">
        <f>IFERROR(__xludf.DUMMYFUNCTION("""COMPUTED_VALUE"""),0.9914571476376692)</f>
        <v>0.9914571476</v>
      </c>
      <c r="AI324" s="57">
        <f>IFERROR(__xludf.DUMMYFUNCTION("""COMPUTED_VALUE"""),0.7506685754262687)</f>
        <v>0.7506685754</v>
      </c>
      <c r="AJ324" s="57">
        <f>IFERROR(__xludf.DUMMYFUNCTION("""COMPUTED_VALUE"""),0.8289241638621547)</f>
        <v>0.8289241639</v>
      </c>
      <c r="AK324" s="57">
        <f>IFERROR(__xludf.DUMMYFUNCTION("""COMPUTED_VALUE"""),1.4304476779112394)</f>
        <v>1.430447678</v>
      </c>
      <c r="AL324" s="57">
        <f>IFERROR(__xludf.DUMMYFUNCTION("""COMPUTED_VALUE"""),0.8297471490160627)</f>
        <v>0.829747149</v>
      </c>
      <c r="AM324" s="57">
        <f>IFERROR(__xludf.DUMMYFUNCTION("""COMPUTED_VALUE"""),1.1018139051109208)</f>
        <v>1.101813905</v>
      </c>
      <c r="AN324" s="57">
        <f>IFERROR(__xludf.DUMMYFUNCTION("""COMPUTED_VALUE"""),1.3445844608748978)</f>
        <v>1.344584461</v>
      </c>
      <c r="AO324" s="57">
        <f>IFERROR(__xludf.DUMMYFUNCTION("""COMPUTED_VALUE"""),1.3357508676785839)</f>
        <v>1.335750868</v>
      </c>
      <c r="AP324" s="35">
        <f>IFERROR(__xludf.DUMMYFUNCTION("""COMPUTED_VALUE"""),0.8466319700469539)</f>
        <v>0.84663197</v>
      </c>
      <c r="AQ324" s="57">
        <f>IFERROR(__xludf.DUMMYFUNCTION("""COMPUTED_VALUE"""),1.2663274980398498)</f>
        <v>1.266327498</v>
      </c>
      <c r="AR324" s="36" t="b">
        <f>IFERROR(__xludf.DUMMYFUNCTION("""COMPUTED_VALUE"""),TRUE)</f>
        <v>1</v>
      </c>
      <c r="AS324" s="57"/>
      <c r="AT324" s="37"/>
      <c r="AU324" s="30"/>
      <c r="AV324" s="30"/>
      <c r="AW324" s="30"/>
      <c r="AX324" s="30"/>
      <c r="AY324" s="30"/>
      <c r="AZ324" s="30"/>
    </row>
    <row r="325">
      <c r="A325" s="30" t="str">
        <f>IFERROR(__xludf.DUMMYFUNCTION("""COMPUTED_VALUE"""),"Elite")</f>
        <v>Elite</v>
      </c>
      <c r="B325" s="30" t="str">
        <f>IFERROR(__xludf.DUMMYFUNCTION("""COMPUTED_VALUE"""),"RSC007629")</f>
        <v>RSC007629</v>
      </c>
      <c r="C325" s="30" t="str">
        <f>IFERROR(__xludf.DUMMYFUNCTION("""COMPUTED_VALUE"""),"Mochi")</f>
        <v>Mochi</v>
      </c>
      <c r="D325" s="31" t="str">
        <f>IFERROR(__xludf.DUMMYFUNCTION("""COMPUTED_VALUE"""),"Desolation")</f>
        <v>Desolation</v>
      </c>
      <c r="E325" s="31">
        <f>IFERROR(__xludf.DUMMYFUNCTION("""COMPUTED_VALUE"""),27.241043659997434)</f>
        <v>27.24104366</v>
      </c>
      <c r="F325" s="31">
        <f>IFERROR(__xludf.DUMMYFUNCTION("""COMPUTED_VALUE"""),-5.515208645313453)</f>
        <v>-5.515208645</v>
      </c>
      <c r="G325" s="31">
        <f>IFERROR(__xludf.DUMMYFUNCTION("""COMPUTED_VALUE"""),28.619920189021254)</f>
        <v>28.61992019</v>
      </c>
      <c r="H325" s="31">
        <f>IFERROR(__xludf.DUMMYFUNCTION("""COMPUTED_VALUE"""),-5.0963377391501234)</f>
        <v>-5.096337739</v>
      </c>
      <c r="I325" s="54">
        <f>IFERROR(__xludf.DUMMYFUNCTION("""COMPUTED_VALUE"""),8.0)</f>
        <v>8</v>
      </c>
      <c r="J325" s="55">
        <f>IFERROR(__xludf.DUMMYFUNCTION("""COMPUTED_VALUE"""),5.0)</f>
        <v>5</v>
      </c>
      <c r="K325" s="54">
        <f>IFERROR(__xludf.DUMMYFUNCTION("""COMPUTED_VALUE"""),3.0)</f>
        <v>3</v>
      </c>
      <c r="L325" s="56">
        <f>IFERROR(__xludf.DUMMYFUNCTION("""COMPUTED_VALUE"""),0.625)</f>
        <v>0.625</v>
      </c>
      <c r="M325" s="56">
        <f>IFERROR(__xludf.DUMMYFUNCTION("""COMPUTED_VALUE"""),0.23076923076923078)</f>
        <v>0.2307692308</v>
      </c>
      <c r="N325" s="31">
        <f>IFERROR(__xludf.DUMMYFUNCTION("""COMPUTED_VALUE"""),268.75)</f>
        <v>268.75</v>
      </c>
      <c r="O325" s="57">
        <f>IFERROR(__xludf.DUMMYFUNCTION("""COMPUTED_VALUE"""),0.375)</f>
        <v>0.375</v>
      </c>
      <c r="P325" s="57">
        <f>IFERROR(__xludf.DUMMYFUNCTION("""COMPUTED_VALUE"""),0.875)</f>
        <v>0.875</v>
      </c>
      <c r="Q325" s="57">
        <f>IFERROR(__xludf.DUMMYFUNCTION("""COMPUTED_VALUE"""),1.0)</f>
        <v>1</v>
      </c>
      <c r="R325" s="57">
        <f>IFERROR(__xludf.DUMMYFUNCTION("""COMPUTED_VALUE"""),1.625)</f>
        <v>1.625</v>
      </c>
      <c r="S325" s="31">
        <f>IFERROR(__xludf.DUMMYFUNCTION("""COMPUTED_VALUE"""),368.20833333333337)</f>
        <v>368.2083333</v>
      </c>
      <c r="T325" s="57">
        <f>IFERROR(__xludf.DUMMYFUNCTION("""COMPUTED_VALUE"""),0.9583333333333333)</f>
        <v>0.9583333333</v>
      </c>
      <c r="U325" s="57">
        <f>IFERROR(__xludf.DUMMYFUNCTION("""COMPUTED_VALUE"""),0.7083333333333333)</f>
        <v>0.7083333333</v>
      </c>
      <c r="V325" s="57">
        <f>IFERROR(__xludf.DUMMYFUNCTION("""COMPUTED_VALUE"""),0.9166666666666666)</f>
        <v>0.9166666667</v>
      </c>
      <c r="W325" s="57">
        <f>IFERROR(__xludf.DUMMYFUNCTION("""COMPUTED_VALUE"""),2.625)</f>
        <v>2.625</v>
      </c>
      <c r="X325" s="31">
        <f>IFERROR(__xludf.DUMMYFUNCTION("""COMPUTED_VALUE"""),367.6379853743)</f>
        <v>367.6379854</v>
      </c>
      <c r="Y325" s="57">
        <f>IFERROR(__xludf.DUMMYFUNCTION("""COMPUTED_VALUE"""),0.7552820144414971)</f>
        <v>0.7552820144</v>
      </c>
      <c r="Z325" s="57">
        <f>IFERROR(__xludf.DUMMYFUNCTION("""COMPUTED_VALUE"""),0.6569693118184498)</f>
        <v>0.6569693118</v>
      </c>
      <c r="AA325" s="57">
        <f>IFERROR(__xludf.DUMMYFUNCTION("""COMPUTED_VALUE"""),1.3329253241968757)</f>
        <v>1.332925324</v>
      </c>
      <c r="AB325" s="57">
        <f>IFERROR(__xludf.DUMMYFUNCTION("""COMPUTED_VALUE"""),2.817727674624227)</f>
        <v>2.817727675</v>
      </c>
      <c r="AC325" s="31">
        <f>IFERROR(__xludf.DUMMYFUNCTION("""COMPUTED_VALUE"""),371.2612879457707)</f>
        <v>371.2612879</v>
      </c>
      <c r="AD325" s="57">
        <f>IFERROR(__xludf.DUMMYFUNCTION("""COMPUTED_VALUE"""),0.7663731702524808)</f>
        <v>0.7663731703</v>
      </c>
      <c r="AE325" s="57">
        <f>IFERROR(__xludf.DUMMYFUNCTION("""COMPUTED_VALUE"""),0.5455349248452697)</f>
        <v>0.5455349248</v>
      </c>
      <c r="AF325" s="57">
        <f>IFERROR(__xludf.DUMMYFUNCTION("""COMPUTED_VALUE"""),1.628841855781511)</f>
        <v>1.628841856</v>
      </c>
      <c r="AG325" s="57">
        <f>IFERROR(__xludf.DUMMYFUNCTION("""COMPUTED_VALUE"""),2.4390810737793505)</f>
        <v>2.439081074</v>
      </c>
      <c r="AH325" s="57">
        <f>IFERROR(__xludf.DUMMYFUNCTION("""COMPUTED_VALUE"""),0.7238837140468459)</f>
        <v>0.723883714</v>
      </c>
      <c r="AI325" s="57">
        <f>IFERROR(__xludf.DUMMYFUNCTION("""COMPUTED_VALUE"""),0.48931775609584127)</f>
        <v>0.4893177561</v>
      </c>
      <c r="AJ325" s="57">
        <f>IFERROR(__xludf.DUMMYFUNCTION("""COMPUTED_VALUE"""),1.6039303079416531)</f>
        <v>1.603930308</v>
      </c>
      <c r="AK325" s="57">
        <f>IFERROR(__xludf.DUMMYFUNCTION("""COMPUTED_VALUE"""),0.613933143018482)</f>
        <v>0.613933143</v>
      </c>
      <c r="AL325" s="57">
        <f>IFERROR(__xludf.DUMMYFUNCTION("""COMPUTED_VALUE"""),0.6662345165435876)</f>
        <v>0.6662345165</v>
      </c>
      <c r="AM325" s="57">
        <f>IFERROR(__xludf.DUMMYFUNCTION("""COMPUTED_VALUE"""),1.0015513847364077)</f>
        <v>1.001551385</v>
      </c>
      <c r="AN325" s="57">
        <f>IFERROR(__xludf.DUMMYFUNCTION("""COMPUTED_VALUE"""),1.2688417240307053)</f>
        <v>1.268841724</v>
      </c>
      <c r="AO325" s="57">
        <f>IFERROR(__xludf.DUMMYFUNCTION("""COMPUTED_VALUE"""),1.0781832889160547)</f>
        <v>1.078183289</v>
      </c>
      <c r="AP325" s="35">
        <f>IFERROR(__xludf.DUMMYFUNCTION("""COMPUTED_VALUE"""),0.6877104441083252)</f>
        <v>0.6877104441</v>
      </c>
      <c r="AQ325" s="57">
        <f>IFERROR(__xludf.DUMMYFUNCTION("""COMPUTED_VALUE"""),0.9316017383937115)</f>
        <v>0.9316017384</v>
      </c>
      <c r="AR325" s="36" t="b">
        <f>IFERROR(__xludf.DUMMYFUNCTION("""COMPUTED_VALUE"""),TRUE)</f>
        <v>1</v>
      </c>
      <c r="AS325" s="57"/>
      <c r="AT325" s="37"/>
      <c r="AU325" s="30"/>
      <c r="AV325" s="30"/>
      <c r="AW325" s="30"/>
      <c r="AX325" s="30"/>
      <c r="AY325" s="30"/>
      <c r="AZ325" s="30"/>
    </row>
    <row r="326">
      <c r="A326" s="30" t="str">
        <f>IFERROR(__xludf.DUMMYFUNCTION("""COMPUTED_VALUE"""),"Elite")</f>
        <v>Elite</v>
      </c>
      <c r="B326" s="30" t="str">
        <f>IFERROR(__xludf.DUMMYFUNCTION("""COMPUTED_VALUE"""),"RSC003709")</f>
        <v>RSC003709</v>
      </c>
      <c r="C326" s="30" t="str">
        <f>IFERROR(__xludf.DUMMYFUNCTION("""COMPUTED_VALUE"""),"donald.")</f>
        <v>donald.</v>
      </c>
      <c r="D326" s="31" t="str">
        <f>IFERROR(__xludf.DUMMYFUNCTION("""COMPUTED_VALUE"""),"Pixel Picassos")</f>
        <v>Pixel Picassos</v>
      </c>
      <c r="E326" s="31">
        <f>IFERROR(__xludf.DUMMYFUNCTION("""COMPUTED_VALUE"""),26.27405831251359)</f>
        <v>26.27405831</v>
      </c>
      <c r="F326" s="31">
        <f>IFERROR(__xludf.DUMMYFUNCTION("""COMPUTED_VALUE"""),-5.837686829884459)</f>
        <v>-5.83768683</v>
      </c>
      <c r="G326" s="31">
        <f>IFERROR(__xludf.DUMMYFUNCTION("""COMPUTED_VALUE"""),34.51153228020042)</f>
        <v>34.51153228</v>
      </c>
      <c r="H326" s="31">
        <f>IFERROR(__xludf.DUMMYFUNCTION("""COMPUTED_VALUE"""),-3.7343981766982424)</f>
        <v>-3.734398177</v>
      </c>
      <c r="I326" s="54">
        <f>IFERROR(__xludf.DUMMYFUNCTION("""COMPUTED_VALUE"""),26.0)</f>
        <v>26</v>
      </c>
      <c r="J326" s="55">
        <f>IFERROR(__xludf.DUMMYFUNCTION("""COMPUTED_VALUE"""),8.0)</f>
        <v>8</v>
      </c>
      <c r="K326" s="54">
        <f>IFERROR(__xludf.DUMMYFUNCTION("""COMPUTED_VALUE"""),18.0)</f>
        <v>18</v>
      </c>
      <c r="L326" s="56">
        <f>IFERROR(__xludf.DUMMYFUNCTION("""COMPUTED_VALUE"""),0.3076923076923077)</f>
        <v>0.3076923077</v>
      </c>
      <c r="M326" s="56">
        <f>IFERROR(__xludf.DUMMYFUNCTION("""COMPUTED_VALUE"""),0.28888888888888886)</f>
        <v>0.2888888889</v>
      </c>
      <c r="N326" s="31">
        <f>IFERROR(__xludf.DUMMYFUNCTION("""COMPUTED_VALUE"""),357.4230769230769)</f>
        <v>357.4230769</v>
      </c>
      <c r="O326" s="57">
        <f>IFERROR(__xludf.DUMMYFUNCTION("""COMPUTED_VALUE"""),0.5)</f>
        <v>0.5</v>
      </c>
      <c r="P326" s="57">
        <f>IFERROR(__xludf.DUMMYFUNCTION("""COMPUTED_VALUE"""),0.46153846153846156)</f>
        <v>0.4615384615</v>
      </c>
      <c r="Q326" s="57">
        <f>IFERROR(__xludf.DUMMYFUNCTION("""COMPUTED_VALUE"""),2.076923076923077)</f>
        <v>2.076923077</v>
      </c>
      <c r="R326" s="57">
        <f>IFERROR(__xludf.DUMMYFUNCTION("""COMPUTED_VALUE"""),1.7307692307692308)</f>
        <v>1.730769231</v>
      </c>
      <c r="S326" s="31">
        <f>IFERROR(__xludf.DUMMYFUNCTION("""COMPUTED_VALUE"""),382.53846153846155)</f>
        <v>382.5384615</v>
      </c>
      <c r="T326" s="57">
        <f>IFERROR(__xludf.DUMMYFUNCTION("""COMPUTED_VALUE"""),0.9871794871794871)</f>
        <v>0.9871794872</v>
      </c>
      <c r="U326" s="57">
        <f>IFERROR(__xludf.DUMMYFUNCTION("""COMPUTED_VALUE"""),0.7435897435897435)</f>
        <v>0.7435897436</v>
      </c>
      <c r="V326" s="57">
        <f>IFERROR(__xludf.DUMMYFUNCTION("""COMPUTED_VALUE"""),0.9102564102564101)</f>
        <v>0.9102564103</v>
      </c>
      <c r="W326" s="57">
        <f>IFERROR(__xludf.DUMMYFUNCTION("""COMPUTED_VALUE"""),3.448717948717949)</f>
        <v>3.448717949</v>
      </c>
      <c r="X326" s="31">
        <f>IFERROR(__xludf.DUMMYFUNCTION("""COMPUTED_VALUE"""),368.0058063141672)</f>
        <v>368.0058063</v>
      </c>
      <c r="Y326" s="57">
        <f>IFERROR(__xludf.DUMMYFUNCTION("""COMPUTED_VALUE"""),0.8330850124437111)</f>
        <v>0.8330850124</v>
      </c>
      <c r="Z326" s="57">
        <f>IFERROR(__xludf.DUMMYFUNCTION("""COMPUTED_VALUE"""),0.6573926624442155)</f>
        <v>0.6573926624</v>
      </c>
      <c r="AA326" s="57">
        <f>IFERROR(__xludf.DUMMYFUNCTION("""COMPUTED_VALUE"""),1.3455260195672936)</f>
        <v>1.34552602</v>
      </c>
      <c r="AB326" s="57">
        <f>IFERROR(__xludf.DUMMYFUNCTION("""COMPUTED_VALUE"""),2.8488035115366475)</f>
        <v>2.848803512</v>
      </c>
      <c r="AC326" s="31">
        <f>IFERROR(__xludf.DUMMYFUNCTION("""COMPUTED_VALUE"""),357.6897788002771)</f>
        <v>357.6897788</v>
      </c>
      <c r="AD326" s="57">
        <f>IFERROR(__xludf.DUMMYFUNCTION("""COMPUTED_VALUE"""),0.7362597305850892)</f>
        <v>0.7362597306</v>
      </c>
      <c r="AE326" s="57">
        <f>IFERROR(__xludf.DUMMYFUNCTION("""COMPUTED_VALUE"""),0.5200312165782064)</f>
        <v>0.5200312166</v>
      </c>
      <c r="AF326" s="57">
        <f>IFERROR(__xludf.DUMMYFUNCTION("""COMPUTED_VALUE"""),1.5347947768753256)</f>
        <v>1.534794777</v>
      </c>
      <c r="AG326" s="57">
        <f>IFERROR(__xludf.DUMMYFUNCTION("""COMPUTED_VALUE"""),2.455375917553968)</f>
        <v>2.455375918</v>
      </c>
      <c r="AH326" s="57">
        <f>IFERROR(__xludf.DUMMYFUNCTION("""COMPUTED_VALUE"""),0.9992543765771146)</f>
        <v>0.9992543766</v>
      </c>
      <c r="AI326" s="57">
        <f>IFERROR(__xludf.DUMMYFUNCTION("""COMPUTED_VALUE"""),0.6791081723329635)</f>
        <v>0.6791081723</v>
      </c>
      <c r="AJ326" s="57">
        <f>IFERROR(__xludf.DUMMYFUNCTION("""COMPUTED_VALUE"""),0.8875206849607494)</f>
        <v>0.887520685</v>
      </c>
      <c r="AK326" s="57">
        <f>IFERROR(__xludf.DUMMYFUNCTION("""COMPUTED_VALUE"""),1.353225270385312)</f>
        <v>1.35322527</v>
      </c>
      <c r="AL326" s="57">
        <f>IFERROR(__xludf.DUMMYFUNCTION("""COMPUTED_VALUE"""),0.7048897150108948)</f>
        <v>0.704889715</v>
      </c>
      <c r="AM326" s="57">
        <f>IFERROR(__xludf.DUMMYFUNCTION("""COMPUTED_VALUE"""),1.0394902878567296)</f>
        <v>1.039490288</v>
      </c>
      <c r="AN326" s="57">
        <f>IFERROR(__xludf.DUMMYFUNCTION("""COMPUTED_VALUE"""),1.1849684875301818)</f>
        <v>1.184968488</v>
      </c>
      <c r="AO326" s="57">
        <f>IFERROR(__xludf.DUMMYFUNCTION("""COMPUTED_VALUE"""),1.1311196276895508)</f>
        <v>1.131119628</v>
      </c>
      <c r="AP326" s="35">
        <f>IFERROR(__xludf.DUMMYFUNCTION("""COMPUTED_VALUE"""),0.6765059887501385)</f>
        <v>0.6765059888</v>
      </c>
      <c r="AQ326" s="57">
        <f>IFERROR(__xludf.DUMMYFUNCTION("""COMPUTED_VALUE"""),1.2105847015253457)</f>
        <v>1.210584702</v>
      </c>
      <c r="AR326" s="36" t="b">
        <f>IFERROR(__xludf.DUMMYFUNCTION("""COMPUTED_VALUE"""),TRUE)</f>
        <v>1</v>
      </c>
      <c r="AS326" s="57"/>
      <c r="AT326" s="37"/>
      <c r="AU326" s="30"/>
      <c r="AV326" s="30"/>
      <c r="AW326" s="30"/>
      <c r="AX326" s="30"/>
      <c r="AY326" s="30"/>
      <c r="AZ326" s="30"/>
    </row>
    <row r="327">
      <c r="A327" s="30" t="str">
        <f>IFERROR(__xludf.DUMMYFUNCTION("""COMPUTED_VALUE"""),"Elite")</f>
        <v>Elite</v>
      </c>
      <c r="B327" s="30" t="str">
        <f>IFERROR(__xludf.DUMMYFUNCTION("""COMPUTED_VALUE"""),"RSC004990")</f>
        <v>RSC004990</v>
      </c>
      <c r="C327" s="30" t="str">
        <f>IFERROR(__xludf.DUMMYFUNCTION("""COMPUTED_VALUE"""),"Legend")</f>
        <v>Legend</v>
      </c>
      <c r="D327" s="31" t="str">
        <f>IFERROR(__xludf.DUMMYFUNCTION("""COMPUTED_VALUE"""),"Majesties")</f>
        <v>Majesties</v>
      </c>
      <c r="E327" s="31">
        <f>IFERROR(__xludf.DUMMYFUNCTION("""COMPUTED_VALUE"""),25.329868178140515)</f>
        <v>25.32986818</v>
      </c>
      <c r="F327" s="31">
        <f>IFERROR(__xludf.DUMMYFUNCTION("""COMPUTED_VALUE"""),-6.177833077161512)</f>
        <v>-6.177833077</v>
      </c>
      <c r="G327" s="31">
        <f>IFERROR(__xludf.DUMMYFUNCTION("""COMPUTED_VALUE"""),37.152807848194826)</f>
        <v>37.15280785</v>
      </c>
      <c r="H327" s="31">
        <f>IFERROR(__xludf.DUMMYFUNCTION("""COMPUTED_VALUE"""),-3.2930997918718674)</f>
        <v>-3.293099792</v>
      </c>
      <c r="I327" s="54">
        <f>IFERROR(__xludf.DUMMYFUNCTION("""COMPUTED_VALUE"""),18.0)</f>
        <v>18</v>
      </c>
      <c r="J327" s="55">
        <f>IFERROR(__xludf.DUMMYFUNCTION("""COMPUTED_VALUE"""),5.0)</f>
        <v>5</v>
      </c>
      <c r="K327" s="54">
        <f>IFERROR(__xludf.DUMMYFUNCTION("""COMPUTED_VALUE"""),13.0)</f>
        <v>13</v>
      </c>
      <c r="L327" s="56">
        <f>IFERROR(__xludf.DUMMYFUNCTION("""COMPUTED_VALUE"""),0.2777777777777778)</f>
        <v>0.2777777778</v>
      </c>
      <c r="M327" s="56">
        <f>IFERROR(__xludf.DUMMYFUNCTION("""COMPUTED_VALUE"""),0.3)</f>
        <v>0.3</v>
      </c>
      <c r="N327" s="31">
        <f>IFERROR(__xludf.DUMMYFUNCTION("""COMPUTED_VALUE"""),346.22222222222223)</f>
        <v>346.2222222</v>
      </c>
      <c r="O327" s="57">
        <f>IFERROR(__xludf.DUMMYFUNCTION("""COMPUTED_VALUE"""),0.5)</f>
        <v>0.5</v>
      </c>
      <c r="P327" s="57">
        <f>IFERROR(__xludf.DUMMYFUNCTION("""COMPUTED_VALUE"""),0.5)</f>
        <v>0.5</v>
      </c>
      <c r="Q327" s="57">
        <f>IFERROR(__xludf.DUMMYFUNCTION("""COMPUTED_VALUE"""),1.5555555555555556)</f>
        <v>1.555555556</v>
      </c>
      <c r="R327" s="57">
        <f>IFERROR(__xludf.DUMMYFUNCTION("""COMPUTED_VALUE"""),1.6666666666666667)</f>
        <v>1.666666667</v>
      </c>
      <c r="S327" s="31">
        <f>IFERROR(__xludf.DUMMYFUNCTION("""COMPUTED_VALUE"""),387.9074074074074)</f>
        <v>387.9074074</v>
      </c>
      <c r="T327" s="57">
        <f>IFERROR(__xludf.DUMMYFUNCTION("""COMPUTED_VALUE"""),1.0925925925925926)</f>
        <v>1.092592593</v>
      </c>
      <c r="U327" s="57">
        <f>IFERROR(__xludf.DUMMYFUNCTION("""COMPUTED_VALUE"""),0.7407407407407407)</f>
        <v>0.7407407407</v>
      </c>
      <c r="V327" s="57">
        <f>IFERROR(__xludf.DUMMYFUNCTION("""COMPUTED_VALUE"""),1.1851851851851853)</f>
        <v>1.185185185</v>
      </c>
      <c r="W327" s="57">
        <f>IFERROR(__xludf.DUMMYFUNCTION("""COMPUTED_VALUE"""),3.0740740740740744)</f>
        <v>3.074074074</v>
      </c>
      <c r="X327" s="31">
        <f>IFERROR(__xludf.DUMMYFUNCTION("""COMPUTED_VALUE"""),370.45723377543084)</f>
        <v>370.4572338</v>
      </c>
      <c r="Y327" s="57">
        <f>IFERROR(__xludf.DUMMYFUNCTION("""COMPUTED_VALUE"""),0.8513608079990254)</f>
        <v>0.851360808</v>
      </c>
      <c r="Z327" s="57">
        <f>IFERROR(__xludf.DUMMYFUNCTION("""COMPUTED_VALUE"""),0.6432962342547793)</f>
        <v>0.6432962343</v>
      </c>
      <c r="AA327" s="57">
        <f>IFERROR(__xludf.DUMMYFUNCTION("""COMPUTED_VALUE"""),1.3563345465965935)</f>
        <v>1.356334547</v>
      </c>
      <c r="AB327" s="57">
        <f>IFERROR(__xludf.DUMMYFUNCTION("""COMPUTED_VALUE"""),2.8317106778701593)</f>
        <v>2.831710678</v>
      </c>
      <c r="AC327" s="31">
        <f>IFERROR(__xludf.DUMMYFUNCTION("""COMPUTED_VALUE"""),356.48422124855017)</f>
        <v>356.4842212</v>
      </c>
      <c r="AD327" s="57">
        <f>IFERROR(__xludf.DUMMYFUNCTION("""COMPUTED_VALUE"""),0.7331614777397736)</f>
        <v>0.7331614777</v>
      </c>
      <c r="AE327" s="57">
        <f>IFERROR(__xludf.DUMMYFUNCTION("""COMPUTED_VALUE"""),0.5466128926964209)</f>
        <v>0.5466128927</v>
      </c>
      <c r="AF327" s="57">
        <f>IFERROR(__xludf.DUMMYFUNCTION("""COMPUTED_VALUE"""),1.4747007837364288)</f>
        <v>1.474700784</v>
      </c>
      <c r="AG327" s="57">
        <f>IFERROR(__xludf.DUMMYFUNCTION("""COMPUTED_VALUE"""),2.5273660102541164)</f>
        <v>2.52736601</v>
      </c>
      <c r="AH327" s="57">
        <f>IFERROR(__xludf.DUMMYFUNCTION("""COMPUTED_VALUE"""),0.9712133148828122)</f>
        <v>0.9712133149</v>
      </c>
      <c r="AI327" s="57">
        <f>IFERROR(__xludf.DUMMYFUNCTION("""COMPUTED_VALUE"""),0.6819780023650789)</f>
        <v>0.6819780024</v>
      </c>
      <c r="AJ327" s="57">
        <f>IFERROR(__xludf.DUMMYFUNCTION("""COMPUTED_VALUE"""),0.9147241250266139)</f>
        <v>0.914724125</v>
      </c>
      <c r="AK327" s="57">
        <f>IFERROR(__xludf.DUMMYFUNCTION("""COMPUTED_VALUE"""),1.0548279167617083)</f>
        <v>1.054827917</v>
      </c>
      <c r="AL327" s="57">
        <f>IFERROR(__xludf.DUMMYFUNCTION("""COMPUTED_VALUE"""),0.6594480814827015)</f>
        <v>0.6594480815</v>
      </c>
      <c r="AM327" s="57">
        <f>IFERROR(__xludf.DUMMYFUNCTION("""COMPUTED_VALUE"""),1.0471044213501706)</f>
        <v>1.047104421</v>
      </c>
      <c r="AN327" s="57">
        <f>IFERROR(__xludf.DUMMYFUNCTION("""COMPUTED_VALUE"""),1.283348472618255)</f>
        <v>1.283348473</v>
      </c>
      <c r="AO327" s="57">
        <f>IFERROR(__xludf.DUMMYFUNCTION("""COMPUTED_VALUE"""),1.1514768800082362)</f>
        <v>1.15147688</v>
      </c>
      <c r="AP327" s="35">
        <f>IFERROR(__xludf.DUMMYFUNCTION("""COMPUTED_VALUE"""),0.8738147886589871)</f>
        <v>0.8738147887</v>
      </c>
      <c r="AQ327" s="57">
        <f>IFERROR(__xludf.DUMMYFUNCTION("""COMPUTED_VALUE"""),1.0855890391973964)</f>
        <v>1.085589039</v>
      </c>
      <c r="AR327" s="36" t="b">
        <f>IFERROR(__xludf.DUMMYFUNCTION("""COMPUTED_VALUE"""),TRUE)</f>
        <v>1</v>
      </c>
      <c r="AS327" s="57"/>
      <c r="AT327" s="37"/>
      <c r="AU327" s="30"/>
      <c r="AV327" s="30"/>
      <c r="AW327" s="30"/>
      <c r="AX327" s="30"/>
      <c r="AY327" s="30"/>
      <c r="AZ327" s="30"/>
    </row>
    <row r="328">
      <c r="A328" s="30" t="str">
        <f>IFERROR(__xludf.DUMMYFUNCTION("""COMPUTED_VALUE"""),"Elite")</f>
        <v>Elite</v>
      </c>
      <c r="B328" s="30" t="str">
        <f>IFERROR(__xludf.DUMMYFUNCTION("""COMPUTED_VALUE"""),"RSC000030")</f>
        <v>RSC000030</v>
      </c>
      <c r="C328" s="30" t="str">
        <f>IFERROR(__xludf.DUMMYFUNCTION("""COMPUTED_VALUE"""),"ADeadM0053")</f>
        <v>ADeadM0053</v>
      </c>
      <c r="D328" s="31" t="str">
        <f>IFERROR(__xludf.DUMMYFUNCTION("""COMPUTED_VALUE"""),"Drive Bye")</f>
        <v>Drive Bye</v>
      </c>
      <c r="E328" s="31">
        <f>IFERROR(__xludf.DUMMYFUNCTION("""COMPUTED_VALUE"""),24.52310391619718)</f>
        <v>24.52310392</v>
      </c>
      <c r="F328" s="31">
        <f>IFERROR(__xludf.DUMMYFUNCTION("""COMPUTED_VALUE"""),-6.489988383230821)</f>
        <v>-6.489988383</v>
      </c>
      <c r="G328" s="31">
        <f>IFERROR(__xludf.DUMMYFUNCTION("""COMPUTED_VALUE"""),28.057711614904335)</f>
        <v>28.05771161</v>
      </c>
      <c r="H328" s="31">
        <f>IFERROR(__xludf.DUMMYFUNCTION("""COMPUTED_VALUE"""),-5.261619019270941)</f>
        <v>-5.261619019</v>
      </c>
      <c r="I328" s="54">
        <f>IFERROR(__xludf.DUMMYFUNCTION("""COMPUTED_VALUE"""),36.0)</f>
        <v>36</v>
      </c>
      <c r="J328" s="55">
        <f>IFERROR(__xludf.DUMMYFUNCTION("""COMPUTED_VALUE"""),11.0)</f>
        <v>11</v>
      </c>
      <c r="K328" s="54">
        <f>IFERROR(__xludf.DUMMYFUNCTION("""COMPUTED_VALUE"""),25.0)</f>
        <v>25</v>
      </c>
      <c r="L328" s="56">
        <f>IFERROR(__xludf.DUMMYFUNCTION("""COMPUTED_VALUE"""),0.3055555555555556)</f>
        <v>0.3055555556</v>
      </c>
      <c r="M328" s="56">
        <f>IFERROR(__xludf.DUMMYFUNCTION("""COMPUTED_VALUE"""),0.21794871794871795)</f>
        <v>0.2179487179</v>
      </c>
      <c r="N328" s="31">
        <f>IFERROR(__xludf.DUMMYFUNCTION("""COMPUTED_VALUE"""),321.52777777777777)</f>
        <v>321.5277778</v>
      </c>
      <c r="O328" s="57">
        <f>IFERROR(__xludf.DUMMYFUNCTION("""COMPUTED_VALUE"""),0.4722222222222222)</f>
        <v>0.4722222222</v>
      </c>
      <c r="P328" s="57">
        <f>IFERROR(__xludf.DUMMYFUNCTION("""COMPUTED_VALUE"""),0.4166666666666667)</f>
        <v>0.4166666667</v>
      </c>
      <c r="Q328" s="57">
        <f>IFERROR(__xludf.DUMMYFUNCTION("""COMPUTED_VALUE"""),1.6111111111111112)</f>
        <v>1.611111111</v>
      </c>
      <c r="R328" s="57">
        <f>IFERROR(__xludf.DUMMYFUNCTION("""COMPUTED_VALUE"""),2.1666666666666665)</f>
        <v>2.166666667</v>
      </c>
      <c r="S328" s="31">
        <f>IFERROR(__xludf.DUMMYFUNCTION("""COMPUTED_VALUE"""),399.4444444444445)</f>
        <v>399.4444444</v>
      </c>
      <c r="T328" s="57">
        <f>IFERROR(__xludf.DUMMYFUNCTION("""COMPUTED_VALUE"""),0.9444444444444444)</f>
        <v>0.9444444444</v>
      </c>
      <c r="U328" s="57">
        <f>IFERROR(__xludf.DUMMYFUNCTION("""COMPUTED_VALUE"""),0.7777777777777777)</f>
        <v>0.7777777778</v>
      </c>
      <c r="V328" s="57">
        <f>IFERROR(__xludf.DUMMYFUNCTION("""COMPUTED_VALUE"""),1.3796296296296293)</f>
        <v>1.37962963</v>
      </c>
      <c r="W328" s="57">
        <f>IFERROR(__xludf.DUMMYFUNCTION("""COMPUTED_VALUE"""),3.2037037037037037)</f>
        <v>3.203703704</v>
      </c>
      <c r="X328" s="31">
        <f>IFERROR(__xludf.DUMMYFUNCTION("""COMPUTED_VALUE"""),366.0991124454237)</f>
        <v>366.0991124</v>
      </c>
      <c r="Y328" s="57">
        <f>IFERROR(__xludf.DUMMYFUNCTION("""COMPUTED_VALUE"""),0.7956247181834617)</f>
        <v>0.7956247182</v>
      </c>
      <c r="Z328" s="57">
        <f>IFERROR(__xludf.DUMMYFUNCTION("""COMPUTED_VALUE"""),0.6156931521223816)</f>
        <v>0.6156931521</v>
      </c>
      <c r="AA328" s="57">
        <f>IFERROR(__xludf.DUMMYFUNCTION("""COMPUTED_VALUE"""),1.3965338322123642)</f>
        <v>1.396533832</v>
      </c>
      <c r="AB328" s="57">
        <f>IFERROR(__xludf.DUMMYFUNCTION("""COMPUTED_VALUE"""),2.7438207088516178)</f>
        <v>2.743820709</v>
      </c>
      <c r="AC328" s="31">
        <f>IFERROR(__xludf.DUMMYFUNCTION("""COMPUTED_VALUE"""),354.44518731123725)</f>
        <v>354.4451873</v>
      </c>
      <c r="AD328" s="57">
        <f>IFERROR(__xludf.DUMMYFUNCTION("""COMPUTED_VALUE"""),0.7389445636952546)</f>
        <v>0.7389445637</v>
      </c>
      <c r="AE328" s="57">
        <f>IFERROR(__xludf.DUMMYFUNCTION("""COMPUTED_VALUE"""),0.5491114476344374)</f>
        <v>0.5491114476</v>
      </c>
      <c r="AF328" s="57">
        <f>IFERROR(__xludf.DUMMYFUNCTION("""COMPUTED_VALUE"""),1.458496393018744)</f>
        <v>1.458496393</v>
      </c>
      <c r="AG328" s="57">
        <f>IFERROR(__xludf.DUMMYFUNCTION("""COMPUTED_VALUE"""),2.538954286529494)</f>
        <v>2.538954287</v>
      </c>
      <c r="AH328" s="57">
        <f>IFERROR(__xludf.DUMMYFUNCTION("""COMPUTED_VALUE"""),0.9071297602228273)</f>
        <v>0.9071297602</v>
      </c>
      <c r="AI328" s="57">
        <f>IFERROR(__xludf.DUMMYFUNCTION("""COMPUTED_VALUE"""),0.6390495923818307)</f>
        <v>0.6390495924</v>
      </c>
      <c r="AJ328" s="57">
        <f>IFERROR(__xludf.DUMMYFUNCTION("""COMPUTED_VALUE"""),0.7588016393787809)</f>
        <v>0.7588016394</v>
      </c>
      <c r="AK328" s="57">
        <f>IFERROR(__xludf.DUMMYFUNCTION("""COMPUTED_VALUE"""),1.1046383925410268)</f>
        <v>1.104638393</v>
      </c>
      <c r="AL328" s="57">
        <f>IFERROR(__xludf.DUMMYFUNCTION("""COMPUTED_VALUE"""),0.8533697034885537)</f>
        <v>0.8533697035</v>
      </c>
      <c r="AM328" s="57">
        <f>IFERROR(__xludf.DUMMYFUNCTION("""COMPUTED_VALUE"""),1.0910827993443764)</f>
        <v>1.091082799</v>
      </c>
      <c r="AN328" s="57">
        <f>IFERROR(__xludf.DUMMYFUNCTION("""COMPUTED_VALUE"""),1.1870476405016197)</f>
        <v>1.187047641</v>
      </c>
      <c r="AO328" s="57">
        <f>IFERROR(__xludf.DUMMYFUNCTION("""COMPUTED_VALUE"""),1.2632555276872373)</f>
        <v>1.263255528</v>
      </c>
      <c r="AP328" s="35">
        <f>IFERROR(__xludf.DUMMYFUNCTION("""COMPUTED_VALUE"""),0.9878956010997918)</f>
        <v>0.9878956011</v>
      </c>
      <c r="AQ328" s="57">
        <f>IFERROR(__xludf.DUMMYFUNCTION("""COMPUTED_VALUE"""),1.1676067949223121)</f>
        <v>1.167606795</v>
      </c>
      <c r="AR328" s="36" t="b">
        <f>IFERROR(__xludf.DUMMYFUNCTION("""COMPUTED_VALUE"""),TRUE)</f>
        <v>1</v>
      </c>
      <c r="AS328" s="57"/>
      <c r="AT328" s="37"/>
      <c r="AU328" s="30"/>
      <c r="AV328" s="30"/>
      <c r="AW328" s="30"/>
      <c r="AX328" s="30"/>
      <c r="AY328" s="30"/>
      <c r="AZ328" s="30"/>
    </row>
    <row r="329">
      <c r="A329" s="30" t="str">
        <f>IFERROR(__xludf.DUMMYFUNCTION("""COMPUTED_VALUE"""),"Elite")</f>
        <v>Elite</v>
      </c>
      <c r="B329" s="30" t="str">
        <f>IFERROR(__xludf.DUMMYFUNCTION("""COMPUTED_VALUE"""),"RSC003305")</f>
        <v>RSC003305</v>
      </c>
      <c r="C329" s="30" t="str">
        <f>IFERROR(__xludf.DUMMYFUNCTION("""COMPUTED_VALUE"""),"Sobes")</f>
        <v>Sobes</v>
      </c>
      <c r="D329" s="31" t="str">
        <f>IFERROR(__xludf.DUMMYFUNCTION("""COMPUTED_VALUE"""),"Cyclones")</f>
        <v>Cyclones</v>
      </c>
      <c r="E329" s="31">
        <f>IFERROR(__xludf.DUMMYFUNCTION("""COMPUTED_VALUE"""),23.169808930185653)</f>
        <v>23.16980893</v>
      </c>
      <c r="F329" s="31">
        <f>IFERROR(__xludf.DUMMYFUNCTION("""COMPUTED_VALUE"""),-7.062696488142071)</f>
        <v>-7.062696488</v>
      </c>
      <c r="G329" s="31">
        <f>IFERROR(__xludf.DUMMYFUNCTION("""COMPUTED_VALUE"""),21.20810085884615)</f>
        <v>21.20810086</v>
      </c>
      <c r="H329" s="31">
        <f>IFERROR(__xludf.DUMMYFUNCTION("""COMPUTED_VALUE"""),-8.017502137903852)</f>
        <v>-8.017502138</v>
      </c>
      <c r="I329" s="54">
        <f>IFERROR(__xludf.DUMMYFUNCTION("""COMPUTED_VALUE"""),4.0)</f>
        <v>4</v>
      </c>
      <c r="J329" s="55">
        <f>IFERROR(__xludf.DUMMYFUNCTION("""COMPUTED_VALUE"""),1.0)</f>
        <v>1</v>
      </c>
      <c r="K329" s="54">
        <f>IFERROR(__xludf.DUMMYFUNCTION("""COMPUTED_VALUE"""),3.0)</f>
        <v>3</v>
      </c>
      <c r="L329" s="56">
        <f>IFERROR(__xludf.DUMMYFUNCTION("""COMPUTED_VALUE"""),0.25)</f>
        <v>0.25</v>
      </c>
      <c r="M329" s="56">
        <f>IFERROR(__xludf.DUMMYFUNCTION("""COMPUTED_VALUE"""),0.42857142857142855)</f>
        <v>0.4285714286</v>
      </c>
      <c r="N329" s="31">
        <f>IFERROR(__xludf.DUMMYFUNCTION("""COMPUTED_VALUE"""),357.25)</f>
        <v>357.25</v>
      </c>
      <c r="O329" s="57">
        <f>IFERROR(__xludf.DUMMYFUNCTION("""COMPUTED_VALUE"""),0.75)</f>
        <v>0.75</v>
      </c>
      <c r="P329" s="57">
        <f>IFERROR(__xludf.DUMMYFUNCTION("""COMPUTED_VALUE"""),0.0)</f>
        <v>0</v>
      </c>
      <c r="Q329" s="57">
        <f>IFERROR(__xludf.DUMMYFUNCTION("""COMPUTED_VALUE"""),1.75)</f>
        <v>1.75</v>
      </c>
      <c r="R329" s="57">
        <f>IFERROR(__xludf.DUMMYFUNCTION("""COMPUTED_VALUE"""),1.75)</f>
        <v>1.75</v>
      </c>
      <c r="S329" s="31">
        <f>IFERROR(__xludf.DUMMYFUNCTION("""COMPUTED_VALUE"""),365.3333333333333)</f>
        <v>365.3333333</v>
      </c>
      <c r="T329" s="57">
        <f>IFERROR(__xludf.DUMMYFUNCTION("""COMPUTED_VALUE"""),0.9166666666666666)</f>
        <v>0.9166666667</v>
      </c>
      <c r="U329" s="57">
        <f>IFERROR(__xludf.DUMMYFUNCTION("""COMPUTED_VALUE"""),0.6666666666666666)</f>
        <v>0.6666666667</v>
      </c>
      <c r="V329" s="57">
        <f>IFERROR(__xludf.DUMMYFUNCTION("""COMPUTED_VALUE"""),0.9999999999999999)</f>
        <v>1</v>
      </c>
      <c r="W329" s="57">
        <f>IFERROR(__xludf.DUMMYFUNCTION("""COMPUTED_VALUE"""),3.5)</f>
        <v>3.5</v>
      </c>
      <c r="X329" s="31">
        <f>IFERROR(__xludf.DUMMYFUNCTION("""COMPUTED_VALUE"""),365.1006944444445)</f>
        <v>365.1006944</v>
      </c>
      <c r="Y329" s="57">
        <f>IFERROR(__xludf.DUMMYFUNCTION("""COMPUTED_VALUE"""),0.8981481481481483)</f>
        <v>0.8981481481</v>
      </c>
      <c r="Z329" s="57">
        <f>IFERROR(__xludf.DUMMYFUNCTION("""COMPUTED_VALUE"""),0.6284722222222222)</f>
        <v>0.6284722222</v>
      </c>
      <c r="AA329" s="57">
        <f>IFERROR(__xludf.DUMMYFUNCTION("""COMPUTED_VALUE"""),1.2233796296296295)</f>
        <v>1.22337963</v>
      </c>
      <c r="AB329" s="57">
        <f>IFERROR(__xludf.DUMMYFUNCTION("""COMPUTED_VALUE"""),2.9895833333333335)</f>
        <v>2.989583333</v>
      </c>
      <c r="AC329" s="31">
        <f>IFERROR(__xludf.DUMMYFUNCTION("""COMPUTED_VALUE"""),376.3661265432099)</f>
        <v>376.3661265</v>
      </c>
      <c r="AD329" s="57">
        <f>IFERROR(__xludf.DUMMYFUNCTION("""COMPUTED_VALUE"""),0.8834876543209876)</f>
        <v>0.8834876543</v>
      </c>
      <c r="AE329" s="57">
        <f>IFERROR(__xludf.DUMMYFUNCTION("""COMPUTED_VALUE"""),0.6369598765432101)</f>
        <v>0.6369598765</v>
      </c>
      <c r="AF329" s="57">
        <f>IFERROR(__xludf.DUMMYFUNCTION("""COMPUTED_VALUE"""),1.5505401234567902)</f>
        <v>1.550540123</v>
      </c>
      <c r="AG329" s="57">
        <f>IFERROR(__xludf.DUMMYFUNCTION("""COMPUTED_VALUE"""),2.5065586419753085)</f>
        <v>2.506558642</v>
      </c>
      <c r="AH329" s="57">
        <f>IFERROR(__xludf.DUMMYFUNCTION("""COMPUTED_VALUE"""),0.9492086954828142)</f>
        <v>0.9492086955</v>
      </c>
      <c r="AI329" s="57">
        <f>IFERROR(__xludf.DUMMYFUNCTION("""COMPUTED_VALUE"""),0.8489082969432314)</f>
        <v>0.8489082969</v>
      </c>
      <c r="AJ329" s="57">
        <f>IFERROR(__xludf.DUMMYFUNCTION("""COMPUTED_VALUE"""),0.0)</f>
        <v>0</v>
      </c>
      <c r="AK329" s="57">
        <f>IFERROR(__xludf.DUMMYFUNCTION("""COMPUTED_VALUE"""),1.128638964916646)</f>
        <v>1.128638965</v>
      </c>
      <c r="AL329" s="57">
        <f>IFERROR(__xludf.DUMMYFUNCTION("""COMPUTED_VALUE"""),0.6981683854086502)</f>
        <v>0.6981683854</v>
      </c>
      <c r="AM329" s="57">
        <f>IFERROR(__xludf.DUMMYFUNCTION("""COMPUTED_VALUE"""),1.0006371910336758)</f>
        <v>1.000637191</v>
      </c>
      <c r="AN329" s="57">
        <f>IFERROR(__xludf.DUMMYFUNCTION("""COMPUTED_VALUE"""),1.0206185567010309)</f>
        <v>1.020618557</v>
      </c>
      <c r="AO329" s="57">
        <f>IFERROR(__xludf.DUMMYFUNCTION("""COMPUTED_VALUE"""),1.0607734806629834)</f>
        <v>1.060773481</v>
      </c>
      <c r="AP329" s="35">
        <f>IFERROR(__xludf.DUMMYFUNCTION("""COMPUTED_VALUE"""),0.8174077578051088)</f>
        <v>0.8174077578</v>
      </c>
      <c r="AQ329" s="57">
        <f>IFERROR(__xludf.DUMMYFUNCTION("""COMPUTED_VALUE"""),1.170731707317073)</f>
        <v>1.170731707</v>
      </c>
      <c r="AR329" s="36" t="b">
        <f>IFERROR(__xludf.DUMMYFUNCTION("""COMPUTED_VALUE"""),TRUE)</f>
        <v>1</v>
      </c>
      <c r="AS329" s="57"/>
      <c r="AT329" s="37"/>
      <c r="AU329" s="30"/>
      <c r="AV329" s="30"/>
      <c r="AW329" s="30"/>
      <c r="AX329" s="30"/>
      <c r="AY329" s="30"/>
      <c r="AZ329" s="30"/>
    </row>
    <row r="330">
      <c r="A330" s="30" t="str">
        <f>IFERROR(__xludf.DUMMYFUNCTION("""COMPUTED_VALUE"""),"Elite")</f>
        <v>Elite</v>
      </c>
      <c r="B330" s="30" t="str">
        <f>IFERROR(__xludf.DUMMYFUNCTION("""COMPUTED_VALUE"""),"RSC005469")</f>
        <v>RSC005469</v>
      </c>
      <c r="C330" s="30" t="str">
        <f>IFERROR(__xludf.DUMMYFUNCTION("""COMPUTED_VALUE"""),"Axlos (Goofy and Silly)")</f>
        <v>Axlos (Goofy and Silly)</v>
      </c>
      <c r="D330" s="31" t="str">
        <f>IFERROR(__xludf.DUMMYFUNCTION("""COMPUTED_VALUE"""),"Keno")</f>
        <v>Keno</v>
      </c>
      <c r="E330" s="31">
        <f>IFERROR(__xludf.DUMMYFUNCTION("""COMPUTED_VALUE"""),19.61802061903525)</f>
        <v>19.61802062</v>
      </c>
      <c r="F330" s="31">
        <f>IFERROR(__xludf.DUMMYFUNCTION("""COMPUTED_VALUE"""),-8.918234569127428)</f>
        <v>-8.918234569</v>
      </c>
      <c r="G330" s="31">
        <f>IFERROR(__xludf.DUMMYFUNCTION("""COMPUTED_VALUE"""),16.57197778092852)</f>
        <v>16.57197778</v>
      </c>
      <c r="H330" s="31">
        <f>IFERROR(__xludf.DUMMYFUNCTION("""COMPUTED_VALUE"""),-11.038552270513623)</f>
        <v>-11.03855227</v>
      </c>
      <c r="I330" s="54">
        <f>IFERROR(__xludf.DUMMYFUNCTION("""COMPUTED_VALUE"""),15.0)</f>
        <v>15</v>
      </c>
      <c r="J330" s="55">
        <f>IFERROR(__xludf.DUMMYFUNCTION("""COMPUTED_VALUE"""),5.0)</f>
        <v>5</v>
      </c>
      <c r="K330" s="54">
        <f>IFERROR(__xludf.DUMMYFUNCTION("""COMPUTED_VALUE"""),10.0)</f>
        <v>10</v>
      </c>
      <c r="L330" s="56">
        <f>IFERROR(__xludf.DUMMYFUNCTION("""COMPUTED_VALUE"""),0.3333333333333333)</f>
        <v>0.3333333333</v>
      </c>
      <c r="M330" s="56">
        <f>IFERROR(__xludf.DUMMYFUNCTION("""COMPUTED_VALUE"""),0.21875)</f>
        <v>0.21875</v>
      </c>
      <c r="N330" s="31">
        <f>IFERROR(__xludf.DUMMYFUNCTION("""COMPUTED_VALUE"""),275.8666666666667)</f>
        <v>275.8666667</v>
      </c>
      <c r="O330" s="57">
        <f>IFERROR(__xludf.DUMMYFUNCTION("""COMPUTED_VALUE"""),0.4666666666666667)</f>
        <v>0.4666666667</v>
      </c>
      <c r="P330" s="57">
        <f>IFERROR(__xludf.DUMMYFUNCTION("""COMPUTED_VALUE"""),0.2)</f>
        <v>0.2</v>
      </c>
      <c r="Q330" s="57">
        <f>IFERROR(__xludf.DUMMYFUNCTION("""COMPUTED_VALUE"""),1.0666666666666667)</f>
        <v>1.066666667</v>
      </c>
      <c r="R330" s="57">
        <f>IFERROR(__xludf.DUMMYFUNCTION("""COMPUTED_VALUE"""),2.1333333333333333)</f>
        <v>2.133333333</v>
      </c>
      <c r="S330" s="31">
        <f>IFERROR(__xludf.DUMMYFUNCTION("""COMPUTED_VALUE"""),344.44444444444446)</f>
        <v>344.4444444</v>
      </c>
      <c r="T330" s="57">
        <f>IFERROR(__xludf.DUMMYFUNCTION("""COMPUTED_VALUE"""),0.7777777777777778)</f>
        <v>0.7777777778</v>
      </c>
      <c r="U330" s="57">
        <f>IFERROR(__xludf.DUMMYFUNCTION("""COMPUTED_VALUE"""),0.4666666666666666)</f>
        <v>0.4666666667</v>
      </c>
      <c r="V330" s="57">
        <f>IFERROR(__xludf.DUMMYFUNCTION("""COMPUTED_VALUE"""),1.2666666666666664)</f>
        <v>1.266666667</v>
      </c>
      <c r="W330" s="57">
        <f>IFERROR(__xludf.DUMMYFUNCTION("""COMPUTED_VALUE"""),2.8444444444444446)</f>
        <v>2.844444444</v>
      </c>
      <c r="X330" s="31">
        <f>IFERROR(__xludf.DUMMYFUNCTION("""COMPUTED_VALUE"""),350.1547339340577)</f>
        <v>350.1547339</v>
      </c>
      <c r="Y330" s="57">
        <f>IFERROR(__xludf.DUMMYFUNCTION("""COMPUTED_VALUE"""),0.748526484761899)</f>
        <v>0.7485264848</v>
      </c>
      <c r="Z330" s="57">
        <f>IFERROR(__xludf.DUMMYFUNCTION("""COMPUTED_VALUE"""),0.5541279634519672)</f>
        <v>0.5541279635</v>
      </c>
      <c r="AA330" s="57">
        <f>IFERROR(__xludf.DUMMYFUNCTION("""COMPUTED_VALUE"""),1.347953492565671)</f>
        <v>1.347953493</v>
      </c>
      <c r="AB330" s="57">
        <f>IFERROR(__xludf.DUMMYFUNCTION("""COMPUTED_VALUE"""),2.555375310736578)</f>
        <v>2.555375311</v>
      </c>
      <c r="AC330" s="31">
        <f>IFERROR(__xludf.DUMMYFUNCTION("""COMPUTED_VALUE"""),358.89034913577393)</f>
        <v>358.8903491</v>
      </c>
      <c r="AD330" s="57">
        <f>IFERROR(__xludf.DUMMYFUNCTION("""COMPUTED_VALUE"""),0.7985003123171168)</f>
        <v>0.7985003123</v>
      </c>
      <c r="AE330" s="57">
        <f>IFERROR(__xludf.DUMMYFUNCTION("""COMPUTED_VALUE"""),0.6053616234801303)</f>
        <v>0.6053616235</v>
      </c>
      <c r="AF330" s="57">
        <f>IFERROR(__xludf.DUMMYFUNCTION("""COMPUTED_VALUE"""),1.3799854586356923)</f>
        <v>1.379985459</v>
      </c>
      <c r="AG330" s="57">
        <f>IFERROR(__xludf.DUMMYFUNCTION("""COMPUTED_VALUE"""),2.614273521173717)</f>
        <v>2.614273521</v>
      </c>
      <c r="AH330" s="57">
        <f>IFERROR(__xludf.DUMMYFUNCTION("""COMPUTED_VALUE"""),0.7686656031040331)</f>
        <v>0.7686656031</v>
      </c>
      <c r="AI330" s="57">
        <f>IFERROR(__xludf.DUMMYFUNCTION("""COMPUTED_VALUE"""),0.5844289093794799)</f>
        <v>0.5844289094</v>
      </c>
      <c r="AJ330" s="57">
        <f>IFERROR(__xludf.DUMMYFUNCTION("""COMPUTED_VALUE"""),0.33038103547137815)</f>
        <v>0.3303810355</v>
      </c>
      <c r="AK330" s="57">
        <f>IFERROR(__xludf.DUMMYFUNCTION("""COMPUTED_VALUE"""),0.7729550047007127)</f>
        <v>0.7729550047</v>
      </c>
      <c r="AL330" s="57">
        <f>IFERROR(__xludf.DUMMYFUNCTION("""COMPUTED_VALUE"""),0.8160329499017156)</f>
        <v>0.8160329499</v>
      </c>
      <c r="AM330" s="57">
        <f>IFERROR(__xludf.DUMMYFUNCTION("""COMPUTED_VALUE"""),0.9836920968468511)</f>
        <v>0.9836920968</v>
      </c>
      <c r="AN330" s="57">
        <f>IFERROR(__xludf.DUMMYFUNCTION("""COMPUTED_VALUE"""),1.0390785010435315)</f>
        <v>1.039078501</v>
      </c>
      <c r="AO330" s="57">
        <f>IFERROR(__xludf.DUMMYFUNCTION("""COMPUTED_VALUE"""),0.8421640802235351)</f>
        <v>0.8421640802</v>
      </c>
      <c r="AP330" s="35">
        <f>IFERROR(__xludf.DUMMYFUNCTION("""COMPUTED_VALUE"""),0.9396961198236262)</f>
        <v>0.9396961198</v>
      </c>
      <c r="AQ330" s="57">
        <f>IFERROR(__xludf.DUMMYFUNCTION("""COMPUTED_VALUE"""),1.1131219874017424)</f>
        <v>1.113121987</v>
      </c>
      <c r="AR330" s="36" t="b">
        <f>IFERROR(__xludf.DUMMYFUNCTION("""COMPUTED_VALUE"""),TRUE)</f>
        <v>1</v>
      </c>
      <c r="AS330" s="57"/>
      <c r="AT330" s="37"/>
      <c r="AU330" s="30"/>
      <c r="AV330" s="30"/>
      <c r="AW330" s="30"/>
      <c r="AX330" s="30"/>
      <c r="AY330" s="30"/>
      <c r="AZ330" s="30"/>
    </row>
    <row r="331">
      <c r="A331" s="30" t="str">
        <f>IFERROR(__xludf.DUMMYFUNCTION("""COMPUTED_VALUE"""),"Elite")</f>
        <v>Elite</v>
      </c>
      <c r="B331" s="30" t="str">
        <f>IFERROR(__xludf.DUMMYFUNCTION("""COMPUTED_VALUE"""),"RSC003445")</f>
        <v>RSC003445</v>
      </c>
      <c r="C331" s="30" t="str">
        <f>IFERROR(__xludf.DUMMYFUNCTION("""COMPUTED_VALUE"""),"bosco")</f>
        <v>bosco</v>
      </c>
      <c r="D331" s="31"/>
      <c r="E331" s="31">
        <f>IFERROR(__xludf.DUMMYFUNCTION("""COMPUTED_VALUE"""),17.330712840472216)</f>
        <v>17.33071284</v>
      </c>
      <c r="F331" s="31">
        <f>IFERROR(__xludf.DUMMYFUNCTION("""COMPUTED_VALUE"""),-10.455311468719279)</f>
        <v>-10.45531147</v>
      </c>
      <c r="G331" s="31">
        <f>IFERROR(__xludf.DUMMYFUNCTION("""COMPUTED_VALUE"""),12.217924731114906)</f>
        <v>12.21792473</v>
      </c>
      <c r="H331" s="31">
        <f>IFERROR(__xludf.DUMMYFUNCTION("""COMPUTED_VALUE"""),-15.300303580529546)</f>
        <v>-15.30030358</v>
      </c>
      <c r="I331" s="54">
        <f>IFERROR(__xludf.DUMMYFUNCTION("""COMPUTED_VALUE"""),4.0)</f>
        <v>4</v>
      </c>
      <c r="J331" s="55">
        <f>IFERROR(__xludf.DUMMYFUNCTION("""COMPUTED_VALUE"""),1.0)</f>
        <v>1</v>
      </c>
      <c r="K331" s="54">
        <f>IFERROR(__xludf.DUMMYFUNCTION("""COMPUTED_VALUE"""),3.0)</f>
        <v>3</v>
      </c>
      <c r="L331" s="56">
        <f>IFERROR(__xludf.DUMMYFUNCTION("""COMPUTED_VALUE"""),0.25)</f>
        <v>0.25</v>
      </c>
      <c r="M331" s="56">
        <f>IFERROR(__xludf.DUMMYFUNCTION("""COMPUTED_VALUE"""),0.18181818181818182)</f>
        <v>0.1818181818</v>
      </c>
      <c r="N331" s="31">
        <f>IFERROR(__xludf.DUMMYFUNCTION("""COMPUTED_VALUE"""),280.75)</f>
        <v>280.75</v>
      </c>
      <c r="O331" s="57">
        <f>IFERROR(__xludf.DUMMYFUNCTION("""COMPUTED_VALUE"""),0.5)</f>
        <v>0.5</v>
      </c>
      <c r="P331" s="57">
        <f>IFERROR(__xludf.DUMMYFUNCTION("""COMPUTED_VALUE"""),0.0)</f>
        <v>0</v>
      </c>
      <c r="Q331" s="57">
        <f>IFERROR(__xludf.DUMMYFUNCTION("""COMPUTED_VALUE"""),1.0)</f>
        <v>1</v>
      </c>
      <c r="R331" s="57">
        <f>IFERROR(__xludf.DUMMYFUNCTION("""COMPUTED_VALUE"""),2.75)</f>
        <v>2.75</v>
      </c>
      <c r="S331" s="31">
        <f>IFERROR(__xludf.DUMMYFUNCTION("""COMPUTED_VALUE"""),473.91666666666663)</f>
        <v>473.9166667</v>
      </c>
      <c r="T331" s="57">
        <f>IFERROR(__xludf.DUMMYFUNCTION("""COMPUTED_VALUE"""),1.0833333333333333)</f>
        <v>1.083333333</v>
      </c>
      <c r="U331" s="57">
        <f>IFERROR(__xludf.DUMMYFUNCTION("""COMPUTED_VALUE"""),0.9166666666666666)</f>
        <v>0.9166666667</v>
      </c>
      <c r="V331" s="57">
        <f>IFERROR(__xludf.DUMMYFUNCTION("""COMPUTED_VALUE"""),2.0833333333333335)</f>
        <v>2.083333333</v>
      </c>
      <c r="W331" s="57">
        <f>IFERROR(__xludf.DUMMYFUNCTION("""COMPUTED_VALUE"""),2.3333333333333335)</f>
        <v>2.333333333</v>
      </c>
      <c r="X331" s="31">
        <f>IFERROR(__xludf.DUMMYFUNCTION("""COMPUTED_VALUE"""),387.2916666666667)</f>
        <v>387.2916667</v>
      </c>
      <c r="Y331" s="57">
        <f>IFERROR(__xludf.DUMMYFUNCTION("""COMPUTED_VALUE"""),0.8472222222222223)</f>
        <v>0.8472222222</v>
      </c>
      <c r="Z331" s="57">
        <f>IFERROR(__xludf.DUMMYFUNCTION("""COMPUTED_VALUE"""),0.6064814814814815)</f>
        <v>0.6064814815</v>
      </c>
      <c r="AA331" s="57">
        <f>IFERROR(__xludf.DUMMYFUNCTION("""COMPUTED_VALUE"""),1.5509259259259263)</f>
        <v>1.550925926</v>
      </c>
      <c r="AB331" s="57">
        <f>IFERROR(__xludf.DUMMYFUNCTION("""COMPUTED_VALUE"""),2.7962962962962963)</f>
        <v>2.796296296</v>
      </c>
      <c r="AC331" s="31">
        <f>IFERROR(__xludf.DUMMYFUNCTION("""COMPUTED_VALUE"""),353.1111111111111)</f>
        <v>353.1111111</v>
      </c>
      <c r="AD331" s="57">
        <f>IFERROR(__xludf.DUMMYFUNCTION("""COMPUTED_VALUE"""),0.6882716049382717)</f>
        <v>0.6882716049</v>
      </c>
      <c r="AE331" s="57">
        <f>IFERROR(__xludf.DUMMYFUNCTION("""COMPUTED_VALUE"""),0.5524691358024691)</f>
        <v>0.5524691358</v>
      </c>
      <c r="AF331" s="57">
        <f>IFERROR(__xludf.DUMMYFUNCTION("""COMPUTED_VALUE"""),1.405864197530864)</f>
        <v>1.405864198</v>
      </c>
      <c r="AG331" s="57">
        <f>IFERROR(__xludf.DUMMYFUNCTION("""COMPUTED_VALUE"""),2.4645061728395063)</f>
        <v>2.464506173</v>
      </c>
      <c r="AH331" s="57">
        <f>IFERROR(__xludf.DUMMYFUNCTION("""COMPUTED_VALUE"""),0.795075519194462)</f>
        <v>0.7950755192</v>
      </c>
      <c r="AI331" s="57">
        <f>IFERROR(__xludf.DUMMYFUNCTION("""COMPUTED_VALUE"""),0.726457399103139)</f>
        <v>0.7264573991</v>
      </c>
      <c r="AJ331" s="57">
        <f>IFERROR(__xludf.DUMMYFUNCTION("""COMPUTED_VALUE"""),0.0)</f>
        <v>0</v>
      </c>
      <c r="AK331" s="57">
        <f>IFERROR(__xludf.DUMMYFUNCTION("""COMPUTED_VALUE"""),0.7113062568605929)</f>
        <v>0.7113062569</v>
      </c>
      <c r="AL331" s="57">
        <f>IFERROR(__xludf.DUMMYFUNCTION("""COMPUTED_VALUE"""),1.115842204132749)</f>
        <v>1.115842204</v>
      </c>
      <c r="AM331" s="57">
        <f>IFERROR(__xludf.DUMMYFUNCTION("""COMPUTED_VALUE"""),1.2236686390532543)</f>
        <v>1.223668639</v>
      </c>
      <c r="AN331" s="57">
        <f>IFERROR(__xludf.DUMMYFUNCTION("""COMPUTED_VALUE"""),1.2786885245901638)</f>
        <v>1.278688525</v>
      </c>
      <c r="AO331" s="57">
        <f>IFERROR(__xludf.DUMMYFUNCTION("""COMPUTED_VALUE"""),1.5114503816793892)</f>
        <v>1.511450382</v>
      </c>
      <c r="AP331" s="35">
        <f>IFERROR(__xludf.DUMMYFUNCTION("""COMPUTED_VALUE"""),1.3432835820895521)</f>
        <v>1.343283582</v>
      </c>
      <c r="AQ331" s="57">
        <f>IFERROR(__xludf.DUMMYFUNCTION("""COMPUTED_VALUE"""),0.8344370860927153)</f>
        <v>0.8344370861</v>
      </c>
      <c r="AR331" s="36" t="b">
        <f>IFERROR(__xludf.DUMMYFUNCTION("""COMPUTED_VALUE"""),TRUE)</f>
        <v>1</v>
      </c>
      <c r="AS331" s="57"/>
      <c r="AT331" s="37"/>
      <c r="AU331" s="30"/>
      <c r="AV331" s="30"/>
      <c r="AW331" s="30"/>
      <c r="AX331" s="30"/>
      <c r="AY331" s="30"/>
      <c r="AZ331" s="30"/>
    </row>
    <row r="332">
      <c r="A332" s="30" t="str">
        <f>IFERROR(__xludf.DUMMYFUNCTION("""COMPUTED_VALUE"""),"Elite")</f>
        <v>Elite</v>
      </c>
      <c r="B332" s="30" t="str">
        <f>IFERROR(__xludf.DUMMYFUNCTION("""COMPUTED_VALUE"""),"RSC004889")</f>
        <v>RSC004889</v>
      </c>
      <c r="C332" s="30" t="str">
        <f>IFERROR(__xludf.DUMMYFUNCTION("""COMPUTED_VALUE"""),"Steeltoehammer")</f>
        <v>Steeltoehammer</v>
      </c>
      <c r="D332" s="31" t="str">
        <f>IFERROR(__xludf.DUMMYFUNCTION("""COMPUTED_VALUE"""),"Despair")</f>
        <v>Despair</v>
      </c>
      <c r="E332" s="31">
        <f>IFERROR(__xludf.DUMMYFUNCTION("""COMPUTED_VALUE"""),16.6981998781338)</f>
        <v>16.69819988</v>
      </c>
      <c r="F332" s="31">
        <f>IFERROR(__xludf.DUMMYFUNCTION("""COMPUTED_VALUE"""),-10.938733169813338)</f>
        <v>-10.93873317</v>
      </c>
      <c r="G332" s="31">
        <f>IFERROR(__xludf.DUMMYFUNCTION("""COMPUTED_VALUE"""),12.628108808213526)</f>
        <v>12.62810881</v>
      </c>
      <c r="H332" s="31">
        <f>IFERROR(__xludf.DUMMYFUNCTION("""COMPUTED_VALUE"""),-14.820644391444594)</f>
        <v>-14.82064439</v>
      </c>
      <c r="I332" s="54">
        <f>IFERROR(__xludf.DUMMYFUNCTION("""COMPUTED_VALUE"""),7.0)</f>
        <v>7</v>
      </c>
      <c r="J332" s="55">
        <f>IFERROR(__xludf.DUMMYFUNCTION("""COMPUTED_VALUE"""),3.0)</f>
        <v>3</v>
      </c>
      <c r="K332" s="54">
        <f>IFERROR(__xludf.DUMMYFUNCTION("""COMPUTED_VALUE"""),4.0)</f>
        <v>4</v>
      </c>
      <c r="L332" s="56">
        <f>IFERROR(__xludf.DUMMYFUNCTION("""COMPUTED_VALUE"""),0.42857142857142855)</f>
        <v>0.4285714286</v>
      </c>
      <c r="M332" s="56">
        <f>IFERROR(__xludf.DUMMYFUNCTION("""COMPUTED_VALUE"""),0.375)</f>
        <v>0.375</v>
      </c>
      <c r="N332" s="31">
        <f>IFERROR(__xludf.DUMMYFUNCTION("""COMPUTED_VALUE"""),301.7142857142857)</f>
        <v>301.7142857</v>
      </c>
      <c r="O332" s="57">
        <f>IFERROR(__xludf.DUMMYFUNCTION("""COMPUTED_VALUE"""),0.42857142857142855)</f>
        <v>0.4285714286</v>
      </c>
      <c r="P332" s="57">
        <f>IFERROR(__xludf.DUMMYFUNCTION("""COMPUTED_VALUE"""),0.14285714285714285)</f>
        <v>0.1428571429</v>
      </c>
      <c r="Q332" s="57">
        <f>IFERROR(__xludf.DUMMYFUNCTION("""COMPUTED_VALUE"""),1.2857142857142858)</f>
        <v>1.285714286</v>
      </c>
      <c r="R332" s="57">
        <f>IFERROR(__xludf.DUMMYFUNCTION("""COMPUTED_VALUE"""),1.1428571428571428)</f>
        <v>1.142857143</v>
      </c>
      <c r="S332" s="31">
        <f>IFERROR(__xludf.DUMMYFUNCTION("""COMPUTED_VALUE"""),355.66666666666663)</f>
        <v>355.6666667</v>
      </c>
      <c r="T332" s="57">
        <f>IFERROR(__xludf.DUMMYFUNCTION("""COMPUTED_VALUE"""),0.5238095238095237)</f>
        <v>0.5238095238</v>
      </c>
      <c r="U332" s="57">
        <f>IFERROR(__xludf.DUMMYFUNCTION("""COMPUTED_VALUE"""),0.42857142857142855)</f>
        <v>0.4285714286</v>
      </c>
      <c r="V332" s="57">
        <f>IFERROR(__xludf.DUMMYFUNCTION("""COMPUTED_VALUE"""),1.2857142857142858)</f>
        <v>1.285714286</v>
      </c>
      <c r="W332" s="57">
        <f>IFERROR(__xludf.DUMMYFUNCTION("""COMPUTED_VALUE"""),2.9523809523809526)</f>
        <v>2.952380952</v>
      </c>
      <c r="X332" s="31">
        <f>IFERROR(__xludf.DUMMYFUNCTION("""COMPUTED_VALUE"""),379.43448590905894)</f>
        <v>379.4344859</v>
      </c>
      <c r="Y332" s="57">
        <f>IFERROR(__xludf.DUMMYFUNCTION("""COMPUTED_VALUE"""),0.8640558015320823)</f>
        <v>0.8640558015</v>
      </c>
      <c r="Z332" s="57">
        <f>IFERROR(__xludf.DUMMYFUNCTION("""COMPUTED_VALUE"""),0.6316965854442136)</f>
        <v>0.6316965854</v>
      </c>
      <c r="AA332" s="57">
        <f>IFERROR(__xludf.DUMMYFUNCTION("""COMPUTED_VALUE"""),1.417059727116653)</f>
        <v>1.417059727</v>
      </c>
      <c r="AB332" s="57">
        <f>IFERROR(__xludf.DUMMYFUNCTION("""COMPUTED_VALUE"""),2.987390440046986)</f>
        <v>2.98739044</v>
      </c>
      <c r="AC332" s="31">
        <f>IFERROR(__xludf.DUMMYFUNCTION("""COMPUTED_VALUE"""),345.3308221137918)</f>
        <v>345.3308221</v>
      </c>
      <c r="AD332" s="57">
        <f>IFERROR(__xludf.DUMMYFUNCTION("""COMPUTED_VALUE"""),0.637638591876416)</f>
        <v>0.6376385919</v>
      </c>
      <c r="AE332" s="57">
        <f>IFERROR(__xludf.DUMMYFUNCTION("""COMPUTED_VALUE"""),0.48560970385764823)</f>
        <v>0.4856097039</v>
      </c>
      <c r="AF332" s="57">
        <f>IFERROR(__xludf.DUMMYFUNCTION("""COMPUTED_VALUE"""),1.4968401219508114)</f>
        <v>1.496840122</v>
      </c>
      <c r="AG332" s="57">
        <f>IFERROR(__xludf.DUMMYFUNCTION("""COMPUTED_VALUE"""),2.4533415994832817)</f>
        <v>2.453341599</v>
      </c>
      <c r="AH332" s="57">
        <f>IFERROR(__xludf.DUMMYFUNCTION("""COMPUTED_VALUE"""),0.8736963699546815)</f>
        <v>0.87369637</v>
      </c>
      <c r="AI332" s="57">
        <f>IFERROR(__xludf.DUMMYFUNCTION("""COMPUTED_VALUE"""),0.6721227887262071)</f>
        <v>0.6721227887</v>
      </c>
      <c r="AJ332" s="57">
        <f>IFERROR(__xludf.DUMMYFUNCTION("""COMPUTED_VALUE"""),0.29418098881117094)</f>
        <v>0.2941809888</v>
      </c>
      <c r="AK332" s="57">
        <f>IFERROR(__xludf.DUMMYFUNCTION("""COMPUTED_VALUE"""),0.8589523135167113)</f>
        <v>0.8589523135</v>
      </c>
      <c r="AL332" s="57">
        <f>IFERROR(__xludf.DUMMYFUNCTION("""COMPUTED_VALUE"""),0.4658369397469351)</f>
        <v>0.4658369397</v>
      </c>
      <c r="AM332" s="57">
        <f>IFERROR(__xludf.DUMMYFUNCTION("""COMPUTED_VALUE"""),0.9373598865547269)</f>
        <v>0.9373598866</v>
      </c>
      <c r="AN332" s="57">
        <f>IFERROR(__xludf.DUMMYFUNCTION("""COMPUTED_VALUE"""),0.6062218700236048)</f>
        <v>0.60622187</v>
      </c>
      <c r="AO332" s="57">
        <f>IFERROR(__xludf.DUMMYFUNCTION("""COMPUTED_VALUE"""),0.6784450611998386)</f>
        <v>0.6784450612</v>
      </c>
      <c r="AP332" s="35">
        <f>IFERROR(__xludf.DUMMYFUNCTION("""COMPUTED_VALUE"""),0.9073112876691367)</f>
        <v>0.9073112877</v>
      </c>
      <c r="AQ332" s="57">
        <f>IFERROR(__xludf.DUMMYFUNCTION("""COMPUTED_VALUE"""),0.9882809132690795)</f>
        <v>0.9882809133</v>
      </c>
      <c r="AR332" s="36" t="b">
        <f>IFERROR(__xludf.DUMMYFUNCTION("""COMPUTED_VALUE"""),TRUE)</f>
        <v>1</v>
      </c>
      <c r="AS332" s="57"/>
      <c r="AT332" s="37"/>
      <c r="AU332" s="30"/>
      <c r="AV332" s="30"/>
      <c r="AW332" s="30"/>
      <c r="AX332" s="30"/>
      <c r="AY332" s="30"/>
      <c r="AZ332" s="30"/>
    </row>
    <row r="333">
      <c r="A333" s="30" t="str">
        <f>IFERROR(__xludf.DUMMYFUNCTION("""COMPUTED_VALUE"""),"Elite")</f>
        <v>Elite</v>
      </c>
      <c r="B333" s="30" t="str">
        <f>IFERROR(__xludf.DUMMYFUNCTION("""COMPUTED_VALUE"""),"RSC007877")</f>
        <v>RSC007877</v>
      </c>
      <c r="C333" s="30" t="str">
        <f>IFERROR(__xludf.DUMMYFUNCTION("""COMPUTED_VALUE"""),"Torro")</f>
        <v>Torro</v>
      </c>
      <c r="D333" s="31" t="str">
        <f>IFERROR(__xludf.DUMMYFUNCTION("""COMPUTED_VALUE"""),"Wyverns")</f>
        <v>Wyverns</v>
      </c>
      <c r="E333" s="31">
        <f>IFERROR(__xludf.DUMMYFUNCTION("""COMPUTED_VALUE"""),16.117821295724816)</f>
        <v>16.1178213</v>
      </c>
      <c r="F333" s="31">
        <f>IFERROR(__xludf.DUMMYFUNCTION("""COMPUTED_VALUE"""),-11.407315490323711)</f>
        <v>-11.40731549</v>
      </c>
      <c r="G333" s="31">
        <f>IFERROR(__xludf.DUMMYFUNCTION("""COMPUTED_VALUE"""),33.35838436625781)</f>
        <v>33.35838437</v>
      </c>
      <c r="H333" s="31">
        <f>IFERROR(__xludf.DUMMYFUNCTION("""COMPUTED_VALUE"""),-3.9554967920574766)</f>
        <v>-3.955496792</v>
      </c>
      <c r="I333" s="54">
        <f>IFERROR(__xludf.DUMMYFUNCTION("""COMPUTED_VALUE"""),14.0)</f>
        <v>14</v>
      </c>
      <c r="J333" s="55">
        <f>IFERROR(__xludf.DUMMYFUNCTION("""COMPUTED_VALUE"""),5.0)</f>
        <v>5</v>
      </c>
      <c r="K333" s="54">
        <f>IFERROR(__xludf.DUMMYFUNCTION("""COMPUTED_VALUE"""),9.0)</f>
        <v>9</v>
      </c>
      <c r="L333" s="56">
        <f>IFERROR(__xludf.DUMMYFUNCTION("""COMPUTED_VALUE"""),0.35714285714285715)</f>
        <v>0.3571428571</v>
      </c>
      <c r="M333" s="56">
        <f>IFERROR(__xludf.DUMMYFUNCTION("""COMPUTED_VALUE"""),0.15384615384615383)</f>
        <v>0.1538461538</v>
      </c>
      <c r="N333" s="31">
        <f>IFERROR(__xludf.DUMMYFUNCTION("""COMPUTED_VALUE"""),274.5)</f>
        <v>274.5</v>
      </c>
      <c r="O333" s="57">
        <f>IFERROR(__xludf.DUMMYFUNCTION("""COMPUTED_VALUE"""),0.2857142857142857)</f>
        <v>0.2857142857</v>
      </c>
      <c r="P333" s="57">
        <f>IFERROR(__xludf.DUMMYFUNCTION("""COMPUTED_VALUE"""),0.35714285714285715)</f>
        <v>0.3571428571</v>
      </c>
      <c r="Q333" s="57">
        <f>IFERROR(__xludf.DUMMYFUNCTION("""COMPUTED_VALUE"""),1.2142857142857142)</f>
        <v>1.214285714</v>
      </c>
      <c r="R333" s="57">
        <f>IFERROR(__xludf.DUMMYFUNCTION("""COMPUTED_VALUE"""),1.8571428571428572)</f>
        <v>1.857142857</v>
      </c>
      <c r="S333" s="31">
        <f>IFERROR(__xludf.DUMMYFUNCTION("""COMPUTED_VALUE"""),348.8333333333333)</f>
        <v>348.8333333</v>
      </c>
      <c r="T333" s="57">
        <f>IFERROR(__xludf.DUMMYFUNCTION("""COMPUTED_VALUE"""),0.880952380952381)</f>
        <v>0.880952381</v>
      </c>
      <c r="U333" s="57">
        <f>IFERROR(__xludf.DUMMYFUNCTION("""COMPUTED_VALUE"""),0.6904761904761905)</f>
        <v>0.6904761905</v>
      </c>
      <c r="V333" s="57">
        <f>IFERROR(__xludf.DUMMYFUNCTION("""COMPUTED_VALUE"""),1.1190476190476188)</f>
        <v>1.119047619</v>
      </c>
      <c r="W333" s="57">
        <f>IFERROR(__xludf.DUMMYFUNCTION("""COMPUTED_VALUE"""),2.5476190476190474)</f>
        <v>2.547619048</v>
      </c>
      <c r="X333" s="31">
        <f>IFERROR(__xludf.DUMMYFUNCTION("""COMPUTED_VALUE"""),385.31871334110053)</f>
        <v>385.3187133</v>
      </c>
      <c r="Y333" s="57">
        <f>IFERROR(__xludf.DUMMYFUNCTION("""COMPUTED_VALUE"""),0.9287012610644146)</f>
        <v>0.9287012611</v>
      </c>
      <c r="Z333" s="57">
        <f>IFERROR(__xludf.DUMMYFUNCTION("""COMPUTED_VALUE"""),0.641021784978083)</f>
        <v>0.641021785</v>
      </c>
      <c r="AA333" s="57">
        <f>IFERROR(__xludf.DUMMYFUNCTION("""COMPUTED_VALUE"""),1.3676762431598328)</f>
        <v>1.367676243</v>
      </c>
      <c r="AB333" s="57">
        <f>IFERROR(__xludf.DUMMYFUNCTION("""COMPUTED_VALUE"""),2.9266529107457626)</f>
        <v>2.926652911</v>
      </c>
      <c r="AC333" s="31">
        <f>IFERROR(__xludf.DUMMYFUNCTION("""COMPUTED_VALUE"""),355.3868639121534)</f>
        <v>355.3868639</v>
      </c>
      <c r="AD333" s="57">
        <f>IFERROR(__xludf.DUMMYFUNCTION("""COMPUTED_VALUE"""),0.714638622417959)</f>
        <v>0.7146386224</v>
      </c>
      <c r="AE333" s="57">
        <f>IFERROR(__xludf.DUMMYFUNCTION("""COMPUTED_VALUE"""),0.5209539285906116)</f>
        <v>0.5209539286</v>
      </c>
      <c r="AF333" s="57">
        <f>IFERROR(__xludf.DUMMYFUNCTION("""COMPUTED_VALUE"""),1.4809780619699793)</f>
        <v>1.480978062</v>
      </c>
      <c r="AG333" s="57">
        <f>IFERROR(__xludf.DUMMYFUNCTION("""COMPUTED_VALUE"""),2.490206563393852)</f>
        <v>2.490206563</v>
      </c>
      <c r="AH333" s="57">
        <f>IFERROR(__xludf.DUMMYFUNCTION("""COMPUTED_VALUE"""),0.7723977104225567)</f>
        <v>0.7723977104</v>
      </c>
      <c r="AI333" s="57">
        <f>IFERROR(__xludf.DUMMYFUNCTION("""COMPUTED_VALUE"""),0.39980246904033784)</f>
        <v>0.399802469</v>
      </c>
      <c r="AJ333" s="57">
        <f>IFERROR(__xludf.DUMMYFUNCTION("""COMPUTED_VALUE"""),0.6855555501982127)</f>
        <v>0.6855555502</v>
      </c>
      <c r="AK333" s="57">
        <f>IFERROR(__xludf.DUMMYFUNCTION("""COMPUTED_VALUE"""),0.8199214731584112)</f>
        <v>0.8199214732</v>
      </c>
      <c r="AL333" s="57">
        <f>IFERROR(__xludf.DUMMYFUNCTION("""COMPUTED_VALUE"""),0.7457786371793169)</f>
        <v>0.7457786372</v>
      </c>
      <c r="AM333" s="57">
        <f>IFERROR(__xludf.DUMMYFUNCTION("""COMPUTED_VALUE"""),0.9053111651614262)</f>
        <v>0.9053111652</v>
      </c>
      <c r="AN333" s="57">
        <f>IFERROR(__xludf.DUMMYFUNCTION("""COMPUTED_VALUE"""),0.9485853178908069)</f>
        <v>0.9485853179</v>
      </c>
      <c r="AO333" s="57">
        <f>IFERROR(__xludf.DUMMYFUNCTION("""COMPUTED_VALUE"""),1.0771493366638052)</f>
        <v>1.077149337</v>
      </c>
      <c r="AP333" s="35">
        <f>IFERROR(__xludf.DUMMYFUNCTION("""COMPUTED_VALUE"""),0.8182109067436962)</f>
        <v>0.8182109067</v>
      </c>
      <c r="AQ333" s="57">
        <f>IFERROR(__xludf.DUMMYFUNCTION("""COMPUTED_VALUE"""),0.8704889596798376)</f>
        <v>0.8704889597</v>
      </c>
      <c r="AR333" s="36" t="b">
        <f>IFERROR(__xludf.DUMMYFUNCTION("""COMPUTED_VALUE"""),TRUE)</f>
        <v>1</v>
      </c>
      <c r="AS333" s="57"/>
      <c r="AT333" s="37"/>
      <c r="AU333" s="30"/>
      <c r="AV333" s="30"/>
      <c r="AW333" s="30"/>
      <c r="AX333" s="30"/>
      <c r="AY333" s="30"/>
      <c r="AZ333" s="30"/>
    </row>
    <row r="334">
      <c r="A334" s="30" t="str">
        <f>IFERROR(__xludf.DUMMYFUNCTION("""COMPUTED_VALUE"""),"Elite")</f>
        <v>Elite</v>
      </c>
      <c r="B334" s="30" t="str">
        <f>IFERROR(__xludf.DUMMYFUNCTION("""COMPUTED_VALUE"""),"RSC006438")</f>
        <v>RSC006438</v>
      </c>
      <c r="C334" s="30" t="str">
        <f>IFERROR(__xludf.DUMMYFUNCTION("""COMPUTED_VALUE"""),"WestyzWorld")</f>
        <v>WestyzWorld</v>
      </c>
      <c r="D334" s="31"/>
      <c r="E334" s="31">
        <f>IFERROR(__xludf.DUMMYFUNCTION("""COMPUTED_VALUE"""),13.009809731375363)</f>
        <v>13.00980973</v>
      </c>
      <c r="F334" s="31">
        <f>IFERROR(__xludf.DUMMYFUNCTION("""COMPUTED_VALUE"""),-14.390767480874914)</f>
        <v>-14.39076748</v>
      </c>
      <c r="G334" s="31">
        <f>IFERROR(__xludf.DUMMYFUNCTION("""COMPUTED_VALUE"""),36.75508832012406)</f>
        <v>36.75508832</v>
      </c>
      <c r="H334" s="31">
        <f>IFERROR(__xludf.DUMMYFUNCTION("""COMPUTED_VALUE"""),-3.3542805081466254)</f>
        <v>-3.354280508</v>
      </c>
      <c r="I334" s="54">
        <f>IFERROR(__xludf.DUMMYFUNCTION("""COMPUTED_VALUE"""),3.0)</f>
        <v>3</v>
      </c>
      <c r="J334" s="55">
        <f>IFERROR(__xludf.DUMMYFUNCTION("""COMPUTED_VALUE"""),0.0)</f>
        <v>0</v>
      </c>
      <c r="K334" s="54">
        <f>IFERROR(__xludf.DUMMYFUNCTION("""COMPUTED_VALUE"""),3.0)</f>
        <v>3</v>
      </c>
      <c r="L334" s="56">
        <f>IFERROR(__xludf.DUMMYFUNCTION("""COMPUTED_VALUE"""),0.0)</f>
        <v>0</v>
      </c>
      <c r="M334" s="56">
        <f>IFERROR(__xludf.DUMMYFUNCTION("""COMPUTED_VALUE"""),0.0)</f>
        <v>0</v>
      </c>
      <c r="N334" s="31">
        <f>IFERROR(__xludf.DUMMYFUNCTION("""COMPUTED_VALUE"""),234.0)</f>
        <v>234</v>
      </c>
      <c r="O334" s="57">
        <f>IFERROR(__xludf.DUMMYFUNCTION("""COMPUTED_VALUE"""),0.0)</f>
        <v>0</v>
      </c>
      <c r="P334" s="57">
        <f>IFERROR(__xludf.DUMMYFUNCTION("""COMPUTED_VALUE"""),1.0)</f>
        <v>1</v>
      </c>
      <c r="Q334" s="57">
        <f>IFERROR(__xludf.DUMMYFUNCTION("""COMPUTED_VALUE"""),0.6666666666666666)</f>
        <v>0.6666666667</v>
      </c>
      <c r="R334" s="57">
        <f>IFERROR(__xludf.DUMMYFUNCTION("""COMPUTED_VALUE"""),2.0)</f>
        <v>2</v>
      </c>
      <c r="S334" s="31">
        <f>IFERROR(__xludf.DUMMYFUNCTION("""COMPUTED_VALUE"""),368.5555555555556)</f>
        <v>368.5555556</v>
      </c>
      <c r="T334" s="57">
        <f>IFERROR(__xludf.DUMMYFUNCTION("""COMPUTED_VALUE"""),1.111111111111111)</f>
        <v>1.111111111</v>
      </c>
      <c r="U334" s="57">
        <f>IFERROR(__xludf.DUMMYFUNCTION("""COMPUTED_VALUE"""),0.8888888888888888)</f>
        <v>0.8888888889</v>
      </c>
      <c r="V334" s="57">
        <f>IFERROR(__xludf.DUMMYFUNCTION("""COMPUTED_VALUE"""),0.6666666666666666)</f>
        <v>0.6666666667</v>
      </c>
      <c r="W334" s="57">
        <f>IFERROR(__xludf.DUMMYFUNCTION("""COMPUTED_VALUE"""),2.777777777777778)</f>
        <v>2.777777778</v>
      </c>
      <c r="X334" s="31">
        <f>IFERROR(__xludf.DUMMYFUNCTION("""COMPUTED_VALUE"""),360.85376756066415)</f>
        <v>360.8537676</v>
      </c>
      <c r="Y334" s="57">
        <f>IFERROR(__xludf.DUMMYFUNCTION("""COMPUTED_VALUE"""),0.8652618135376756)</f>
        <v>0.8652618135</v>
      </c>
      <c r="Z334" s="57">
        <f>IFERROR(__xludf.DUMMYFUNCTION("""COMPUTED_VALUE"""),0.7602171136653895)</f>
        <v>0.7602171137</v>
      </c>
      <c r="AA334" s="57">
        <f>IFERROR(__xludf.DUMMYFUNCTION("""COMPUTED_VALUE"""),1.0440613026819925)</f>
        <v>1.044061303</v>
      </c>
      <c r="AB334" s="57">
        <f>IFERROR(__xludf.DUMMYFUNCTION("""COMPUTED_VALUE"""),2.7999680715197957)</f>
        <v>2.799968072</v>
      </c>
      <c r="AC334" s="31">
        <f>IFERROR(__xludf.DUMMYFUNCTION("""COMPUTED_VALUE"""),367.33216262239256)</f>
        <v>367.3321626</v>
      </c>
      <c r="AD334" s="57">
        <f>IFERROR(__xludf.DUMMYFUNCTION("""COMPUTED_VALUE"""),0.8171030225627928)</f>
        <v>0.8171030226</v>
      </c>
      <c r="AE334" s="57">
        <f>IFERROR(__xludf.DUMMYFUNCTION("""COMPUTED_VALUE"""),0.6469774372073224)</f>
        <v>0.6469774372</v>
      </c>
      <c r="AF334" s="57">
        <f>IFERROR(__xludf.DUMMYFUNCTION("""COMPUTED_VALUE"""),1.482758620689655)</f>
        <v>1.482758621</v>
      </c>
      <c r="AG334" s="57">
        <f>IFERROR(__xludf.DUMMYFUNCTION("""COMPUTED_VALUE"""),2.4863239676458067)</f>
        <v>2.486323968</v>
      </c>
      <c r="AH334" s="57">
        <f>IFERROR(__xludf.DUMMYFUNCTION("""COMPUTED_VALUE"""),0.6370256237010904)</f>
        <v>0.6370256237</v>
      </c>
      <c r="AI334" s="57">
        <f>IFERROR(__xludf.DUMMYFUNCTION("""COMPUTED_VALUE"""),0.0)</f>
        <v>0</v>
      </c>
      <c r="AJ334" s="57">
        <f>IFERROR(__xludf.DUMMYFUNCTION("""COMPUTED_VALUE"""),1.5456489554202992)</f>
        <v>1.545648955</v>
      </c>
      <c r="AK334" s="57">
        <f>IFERROR(__xludf.DUMMYFUNCTION("""COMPUTED_VALUE"""),0.4496124031007752)</f>
        <v>0.4496124031</v>
      </c>
      <c r="AL334" s="57">
        <f>IFERROR(__xludf.DUMMYFUNCTION("""COMPUTED_VALUE"""),0.8044004023714231)</f>
        <v>0.8044004024</v>
      </c>
      <c r="AM334" s="57">
        <f>IFERROR(__xludf.DUMMYFUNCTION("""COMPUTED_VALUE"""),1.0213432384174752)</f>
        <v>1.021343238</v>
      </c>
      <c r="AN334" s="57">
        <f>IFERROR(__xludf.DUMMYFUNCTION("""COMPUTED_VALUE"""),1.284132841328413)</f>
        <v>1.284132841</v>
      </c>
      <c r="AO334" s="57">
        <f>IFERROR(__xludf.DUMMYFUNCTION("""COMPUTED_VALUE"""),1.1692566148677026)</f>
        <v>1.169256615</v>
      </c>
      <c r="AP334" s="35">
        <f>IFERROR(__xludf.DUMMYFUNCTION("""COMPUTED_VALUE"""),0.638532110091743)</f>
        <v>0.6385321101</v>
      </c>
      <c r="AQ334" s="57">
        <f>IFERROR(__xludf.DUMMYFUNCTION("""COMPUTED_VALUE"""),0.9920748047209078)</f>
        <v>0.9920748047</v>
      </c>
      <c r="AR334" s="36" t="b">
        <f>IFERROR(__xludf.DUMMYFUNCTION("""COMPUTED_VALUE"""),TRUE)</f>
        <v>1</v>
      </c>
      <c r="AS334" s="57"/>
      <c r="AT334" s="37"/>
      <c r="AU334" s="30"/>
      <c r="AV334" s="30"/>
      <c r="AW334" s="30"/>
      <c r="AX334" s="30"/>
      <c r="AY334" s="30"/>
      <c r="AZ334" s="30"/>
    </row>
    <row r="335">
      <c r="A335" s="30" t="str">
        <f>IFERROR(__xludf.DUMMYFUNCTION("""COMPUTED_VALUE"""),"Elite")</f>
        <v>Elite</v>
      </c>
      <c r="B335" s="30" t="str">
        <f>IFERROR(__xludf.DUMMYFUNCTION("""COMPUTED_VALUE"""),"RSC007494")</f>
        <v>RSC007494</v>
      </c>
      <c r="C335" s="30" t="str">
        <f>IFERROR(__xludf.DUMMYFUNCTION("""COMPUTED_VALUE"""),"CantaloupeLover-")</f>
        <v>CantaloupeLover-</v>
      </c>
      <c r="D335" s="31"/>
      <c r="E335" s="31">
        <f>IFERROR(__xludf.DUMMYFUNCTION("""COMPUTED_VALUE"""),9.482196002374508)</f>
        <v>9.482196002</v>
      </c>
      <c r="F335" s="31">
        <f>IFERROR(__xludf.DUMMYFUNCTION("""COMPUTED_VALUE"""),-19.033229104582688)</f>
        <v>-19.0332291</v>
      </c>
      <c r="G335" s="31">
        <f>IFERROR(__xludf.DUMMYFUNCTION("""COMPUTED_VALUE"""),13.405657185159761)</f>
        <v>13.40565719</v>
      </c>
      <c r="H335" s="31">
        <f>IFERROR(__xludf.DUMMYFUNCTION("""COMPUTED_VALUE"""),-13.961041566332561)</f>
        <v>-13.96104157</v>
      </c>
      <c r="I335" s="54">
        <f>IFERROR(__xludf.DUMMYFUNCTION("""COMPUTED_VALUE"""),4.0)</f>
        <v>4</v>
      </c>
      <c r="J335" s="55">
        <f>IFERROR(__xludf.DUMMYFUNCTION("""COMPUTED_VALUE"""),1.0)</f>
        <v>1</v>
      </c>
      <c r="K335" s="54">
        <f>IFERROR(__xludf.DUMMYFUNCTION("""COMPUTED_VALUE"""),3.0)</f>
        <v>3</v>
      </c>
      <c r="L335" s="56">
        <f>IFERROR(__xludf.DUMMYFUNCTION("""COMPUTED_VALUE"""),0.25)</f>
        <v>0.25</v>
      </c>
      <c r="M335" s="56">
        <f>IFERROR(__xludf.DUMMYFUNCTION("""COMPUTED_VALUE"""),0.25)</f>
        <v>0.25</v>
      </c>
      <c r="N335" s="31">
        <f>IFERROR(__xludf.DUMMYFUNCTION("""COMPUTED_VALUE"""),318.75)</f>
        <v>318.75</v>
      </c>
      <c r="O335" s="57">
        <f>IFERROR(__xludf.DUMMYFUNCTION("""COMPUTED_VALUE"""),0.25)</f>
        <v>0.25</v>
      </c>
      <c r="P335" s="57">
        <f>IFERROR(__xludf.DUMMYFUNCTION("""COMPUTED_VALUE"""),0.5)</f>
        <v>0.5</v>
      </c>
      <c r="Q335" s="57">
        <f>IFERROR(__xludf.DUMMYFUNCTION("""COMPUTED_VALUE"""),2.0)</f>
        <v>2</v>
      </c>
      <c r="R335" s="57">
        <f>IFERROR(__xludf.DUMMYFUNCTION("""COMPUTED_VALUE"""),1.0)</f>
        <v>1</v>
      </c>
      <c r="S335" s="31">
        <f>IFERROR(__xludf.DUMMYFUNCTION("""COMPUTED_VALUE"""),389.08333333333337)</f>
        <v>389.0833333</v>
      </c>
      <c r="T335" s="57">
        <f>IFERROR(__xludf.DUMMYFUNCTION("""COMPUTED_VALUE"""),1.0)</f>
        <v>1</v>
      </c>
      <c r="U335" s="57">
        <f>IFERROR(__xludf.DUMMYFUNCTION("""COMPUTED_VALUE"""),0.5833333333333333)</f>
        <v>0.5833333333</v>
      </c>
      <c r="V335" s="57">
        <f>IFERROR(__xludf.DUMMYFUNCTION("""COMPUTED_VALUE"""),1.3333333333333335)</f>
        <v>1.333333333</v>
      </c>
      <c r="W335" s="57">
        <f>IFERROR(__xludf.DUMMYFUNCTION("""COMPUTED_VALUE"""),3.333333333333333)</f>
        <v>3.333333333</v>
      </c>
      <c r="X335" s="31">
        <f>IFERROR(__xludf.DUMMYFUNCTION("""COMPUTED_VALUE"""),378.76712749615973)</f>
        <v>378.7671275</v>
      </c>
      <c r="Y335" s="57">
        <f>IFERROR(__xludf.DUMMYFUNCTION("""COMPUTED_VALUE"""),0.8688172043010752)</f>
        <v>0.8688172043</v>
      </c>
      <c r="Z335" s="57">
        <f>IFERROR(__xludf.DUMMYFUNCTION("""COMPUTED_VALUE"""),0.6018433179723502)</f>
        <v>0.601843318</v>
      </c>
      <c r="AA335" s="57">
        <f>IFERROR(__xludf.DUMMYFUNCTION("""COMPUTED_VALUE"""),1.4202764976958526)</f>
        <v>1.420276498</v>
      </c>
      <c r="AB335" s="57">
        <f>IFERROR(__xludf.DUMMYFUNCTION("""COMPUTED_VALUE"""),2.97357910906298)</f>
        <v>2.973579109</v>
      </c>
      <c r="AC335" s="31">
        <f>IFERROR(__xludf.DUMMYFUNCTION("""COMPUTED_VALUE"""),351.02478238607273)</f>
        <v>351.0247824</v>
      </c>
      <c r="AD335" s="57">
        <f>IFERROR(__xludf.DUMMYFUNCTION("""COMPUTED_VALUE"""),0.5983614951356886)</f>
        <v>0.5983614951</v>
      </c>
      <c r="AE335" s="57">
        <f>IFERROR(__xludf.DUMMYFUNCTION("""COMPUTED_VALUE"""),0.46646185355862774)</f>
        <v>0.4664618536</v>
      </c>
      <c r="AF335" s="57">
        <f>IFERROR(__xludf.DUMMYFUNCTION("""COMPUTED_VALUE"""),1.6535586277521765)</f>
        <v>1.653558628</v>
      </c>
      <c r="AG335" s="57">
        <f>IFERROR(__xludf.DUMMYFUNCTION("""COMPUTED_VALUE"""),2.4961597542242706)</f>
        <v>2.496159754</v>
      </c>
      <c r="AH335" s="57">
        <f>IFERROR(__xludf.DUMMYFUNCTION("""COMPUTED_VALUE"""),0.9080555447775324)</f>
        <v>0.9080555448</v>
      </c>
      <c r="AI335" s="57">
        <f>IFERROR(__xludf.DUMMYFUNCTION("""COMPUTED_VALUE"""),0.4178076330652063)</f>
        <v>0.4178076331</v>
      </c>
      <c r="AJ335" s="57">
        <f>IFERROR(__xludf.DUMMYFUNCTION("""COMPUTED_VALUE"""),1.0718990120746432)</f>
        <v>1.071899012</v>
      </c>
      <c r="AK335" s="57">
        <f>IFERROR(__xludf.DUMMYFUNCTION("""COMPUTED_VALUE"""),1.2095126029603018)</f>
        <v>1.209512603</v>
      </c>
      <c r="AL335" s="57">
        <f>IFERROR(__xludf.DUMMYFUNCTION("""COMPUTED_VALUE"""),0.4006153846153846)</f>
        <v>0.4006153846</v>
      </c>
      <c r="AM335" s="57">
        <f>IFERROR(__xludf.DUMMYFUNCTION("""COMPUTED_VALUE"""),1.0272362755061901)</f>
        <v>1.027236276</v>
      </c>
      <c r="AN335" s="57">
        <f>IFERROR(__xludf.DUMMYFUNCTION("""COMPUTED_VALUE"""),1.1509900990099011)</f>
        <v>1.150990099</v>
      </c>
      <c r="AO335" s="57">
        <f>IFERROR(__xludf.DUMMYFUNCTION("""COMPUTED_VALUE"""),0.9692445125063807)</f>
        <v>0.9692445125</v>
      </c>
      <c r="AP335" s="35">
        <f>IFERROR(__xludf.DUMMYFUNCTION("""COMPUTED_VALUE"""),0.9387843391736967)</f>
        <v>0.9387843392</v>
      </c>
      <c r="AQ335" s="57">
        <f>IFERROR(__xludf.DUMMYFUNCTION("""COMPUTED_VALUE"""),1.1209835726831283)</f>
        <v>1.120983573</v>
      </c>
      <c r="AR335" s="36" t="b">
        <f>IFERROR(__xludf.DUMMYFUNCTION("""COMPUTED_VALUE"""),TRUE)</f>
        <v>1</v>
      </c>
      <c r="AS335" s="57"/>
      <c r="AT335" s="37"/>
      <c r="AU335" s="30"/>
      <c r="AV335" s="30"/>
      <c r="AW335" s="30"/>
      <c r="AX335" s="30"/>
      <c r="AY335" s="30"/>
      <c r="AZ335" s="30"/>
    </row>
    <row r="336">
      <c r="A336" s="30" t="str">
        <f>IFERROR(__xludf.DUMMYFUNCTION("""COMPUTED_VALUE"""),"Elite")</f>
        <v>Elite</v>
      </c>
      <c r="B336" s="30" t="str">
        <f>IFERROR(__xludf.DUMMYFUNCTION("""COMPUTED_VALUE"""),"RSC007907")</f>
        <v>RSC007907</v>
      </c>
      <c r="C336" s="30" t="str">
        <f>IFERROR(__xludf.DUMMYFUNCTION("""COMPUTED_VALUE"""),"Chazie.")</f>
        <v>Chazie.</v>
      </c>
      <c r="D336" s="31"/>
      <c r="E336" s="31">
        <f>IFERROR(__xludf.DUMMYFUNCTION("""COMPUTED_VALUE"""),7.60497683440132)</f>
        <v>7.604976834</v>
      </c>
      <c r="F336" s="31">
        <f>IFERROR(__xludf.DUMMYFUNCTION("""COMPUTED_VALUE"""),-22.241105673033708)</f>
        <v>-22.24110567</v>
      </c>
      <c r="G336" s="31">
        <f>IFERROR(__xludf.DUMMYFUNCTION("""COMPUTED_VALUE"""),14.370666092974787)</f>
        <v>14.37066609</v>
      </c>
      <c r="H336" s="31">
        <f>IFERROR(__xludf.DUMMYFUNCTION("""COMPUTED_VALUE"""),-12.977987717858689)</f>
        <v>-12.97798772</v>
      </c>
      <c r="I336" s="54">
        <f>IFERROR(__xludf.DUMMYFUNCTION("""COMPUTED_VALUE"""),4.0)</f>
        <v>4</v>
      </c>
      <c r="J336" s="55">
        <f>IFERROR(__xludf.DUMMYFUNCTION("""COMPUTED_VALUE"""),0.0)</f>
        <v>0</v>
      </c>
      <c r="K336" s="54">
        <f>IFERROR(__xludf.DUMMYFUNCTION("""COMPUTED_VALUE"""),4.0)</f>
        <v>4</v>
      </c>
      <c r="L336" s="56">
        <f>IFERROR(__xludf.DUMMYFUNCTION("""COMPUTED_VALUE"""),0.0)</f>
        <v>0</v>
      </c>
      <c r="M336" s="56">
        <f>IFERROR(__xludf.DUMMYFUNCTION("""COMPUTED_VALUE"""),0.0)</f>
        <v>0</v>
      </c>
      <c r="N336" s="31">
        <f>IFERROR(__xludf.DUMMYFUNCTION("""COMPUTED_VALUE"""),318.75)</f>
        <v>318.75</v>
      </c>
      <c r="O336" s="57">
        <f>IFERROR(__xludf.DUMMYFUNCTION("""COMPUTED_VALUE"""),0.0)</f>
        <v>0</v>
      </c>
      <c r="P336" s="57">
        <f>IFERROR(__xludf.DUMMYFUNCTION("""COMPUTED_VALUE"""),1.0)</f>
        <v>1</v>
      </c>
      <c r="Q336" s="57">
        <f>IFERROR(__xludf.DUMMYFUNCTION("""COMPUTED_VALUE"""),1.75)</f>
        <v>1.75</v>
      </c>
      <c r="R336" s="57">
        <f>IFERROR(__xludf.DUMMYFUNCTION("""COMPUTED_VALUE"""),1.0)</f>
        <v>1</v>
      </c>
      <c r="S336" s="31">
        <f>IFERROR(__xludf.DUMMYFUNCTION("""COMPUTED_VALUE"""),460.75)</f>
        <v>460.75</v>
      </c>
      <c r="T336" s="57">
        <f>IFERROR(__xludf.DUMMYFUNCTION("""COMPUTED_VALUE"""),1.1666666666666665)</f>
        <v>1.166666667</v>
      </c>
      <c r="U336" s="57">
        <f>IFERROR(__xludf.DUMMYFUNCTION("""COMPUTED_VALUE"""),0.8333333333333333)</f>
        <v>0.8333333333</v>
      </c>
      <c r="V336" s="57">
        <f>IFERROR(__xludf.DUMMYFUNCTION("""COMPUTED_VALUE"""),1.9166666666666667)</f>
        <v>1.916666667</v>
      </c>
      <c r="W336" s="57">
        <f>IFERROR(__xludf.DUMMYFUNCTION("""COMPUTED_VALUE"""),3.583333333333333)</f>
        <v>3.583333333</v>
      </c>
      <c r="X336" s="31">
        <f>IFERROR(__xludf.DUMMYFUNCTION("""COMPUTED_VALUE"""),393.34284790305014)</f>
        <v>393.3428479</v>
      </c>
      <c r="Y336" s="57">
        <f>IFERROR(__xludf.DUMMYFUNCTION("""COMPUTED_VALUE"""),0.9615162037037037)</f>
        <v>0.9615162037</v>
      </c>
      <c r="Z336" s="57">
        <f>IFERROR(__xludf.DUMMYFUNCTION("""COMPUTED_VALUE"""),0.6964018246187363)</f>
        <v>0.6964018246</v>
      </c>
      <c r="AA336" s="57">
        <f>IFERROR(__xludf.DUMMYFUNCTION("""COMPUTED_VALUE"""),1.2858285675381262)</f>
        <v>1.285828568</v>
      </c>
      <c r="AB336" s="57">
        <f>IFERROR(__xludf.DUMMYFUNCTION("""COMPUTED_VALUE"""),3.1505991285403048)</f>
        <v>3.150599129</v>
      </c>
      <c r="AC336" s="31">
        <f>IFERROR(__xludf.DUMMYFUNCTION("""COMPUTED_VALUE"""),373.0205610021787)</f>
        <v>373.020561</v>
      </c>
      <c r="AD336" s="57">
        <f>IFERROR(__xludf.DUMMYFUNCTION("""COMPUTED_VALUE"""),0.7123502178649237)</f>
        <v>0.7123502179</v>
      </c>
      <c r="AE336" s="57">
        <f>IFERROR(__xludf.DUMMYFUNCTION("""COMPUTED_VALUE"""),0.5140250544662309)</f>
        <v>0.5140250545</v>
      </c>
      <c r="AF336" s="57">
        <f>IFERROR(__xludf.DUMMYFUNCTION("""COMPUTED_VALUE"""),1.7965345860566448)</f>
        <v>1.796534586</v>
      </c>
      <c r="AG336" s="57">
        <f>IFERROR(__xludf.DUMMYFUNCTION("""COMPUTED_VALUE"""),2.3117851307189543)</f>
        <v>2.311785131</v>
      </c>
      <c r="AH336" s="57">
        <f>IFERROR(__xludf.DUMMYFUNCTION("""COMPUTED_VALUE"""),0.8545105372841318)</f>
        <v>0.8545105373</v>
      </c>
      <c r="AI336" s="57">
        <f>IFERROR(__xludf.DUMMYFUNCTION("""COMPUTED_VALUE"""),0.0)</f>
        <v>0</v>
      </c>
      <c r="AJ336" s="57">
        <f>IFERROR(__xludf.DUMMYFUNCTION("""COMPUTED_VALUE"""),1.945430463576159)</f>
        <v>1.945430464</v>
      </c>
      <c r="AK336" s="57">
        <f>IFERROR(__xludf.DUMMYFUNCTION("""COMPUTED_VALUE"""),0.9740975840833729)</f>
        <v>0.9740975841</v>
      </c>
      <c r="AL336" s="57">
        <f>IFERROR(__xludf.DUMMYFUNCTION("""COMPUTED_VALUE"""),0.43256615275875776)</f>
        <v>0.4325661528</v>
      </c>
      <c r="AM336" s="57">
        <f>IFERROR(__xludf.DUMMYFUNCTION("""COMPUTED_VALUE"""),1.171369970132428)</f>
        <v>1.17136997</v>
      </c>
      <c r="AN336" s="57">
        <f>IFERROR(__xludf.DUMMYFUNCTION("""COMPUTED_VALUE"""),1.21336142040325)</f>
        <v>1.21336142</v>
      </c>
      <c r="AO336" s="57">
        <f>IFERROR(__xludf.DUMMYFUNCTION("""COMPUTED_VALUE"""),1.1966271538555542)</f>
        <v>1.196627154</v>
      </c>
      <c r="AP336" s="35">
        <f>IFERROR(__xludf.DUMMYFUNCTION("""COMPUTED_VALUE"""),1.4906082467403536)</f>
        <v>1.490608247</v>
      </c>
      <c r="AQ336" s="57">
        <f>IFERROR(__xludf.DUMMYFUNCTION("""COMPUTED_VALUE"""),1.137349814158527)</f>
        <v>1.137349814</v>
      </c>
      <c r="AR336" s="36" t="b">
        <f>IFERROR(__xludf.DUMMYFUNCTION("""COMPUTED_VALUE"""),TRUE)</f>
        <v>1</v>
      </c>
      <c r="AS336" s="57"/>
      <c r="AT336" s="37"/>
      <c r="AU336" s="30"/>
      <c r="AV336" s="30"/>
      <c r="AW336" s="30"/>
      <c r="AX336" s="30"/>
      <c r="AY336" s="30"/>
      <c r="AZ336" s="30"/>
    </row>
    <row r="337">
      <c r="A337" s="30" t="str">
        <f>IFERROR(__xludf.DUMMYFUNCTION("""COMPUTED_VALUE"""),"Elite")</f>
        <v>Elite</v>
      </c>
      <c r="B337" s="30" t="str">
        <f>IFERROR(__xludf.DUMMYFUNCTION("""COMPUTED_VALUE"""),"RSC006484")</f>
        <v>RSC006484</v>
      </c>
      <c r="C337" s="30" t="str">
        <f>IFERROR(__xludf.DUMMYFUNCTION("""COMPUTED_VALUE"""),"Sunny.-._")</f>
        <v>Sunny.-._</v>
      </c>
      <c r="D337" s="31" t="str">
        <f>IFERROR(__xludf.DUMMYFUNCTION("""COMPUTED_VALUE"""),"Ghastly Goombahs")</f>
        <v>Ghastly Goombahs</v>
      </c>
      <c r="E337" s="31">
        <f>IFERROR(__xludf.DUMMYFUNCTION("""COMPUTED_VALUE"""),6.552458745889446)</f>
        <v>6.552458746</v>
      </c>
      <c r="F337" s="31">
        <f>IFERROR(__xludf.DUMMYFUNCTION("""COMPUTED_VALUE"""),-24.322572312156538)</f>
        <v>-24.32257231</v>
      </c>
      <c r="G337" s="31">
        <f>IFERROR(__xludf.DUMMYFUNCTION("""COMPUTED_VALUE"""),18.827802352309387)</f>
        <v>18.82780235</v>
      </c>
      <c r="H337" s="31">
        <f>IFERROR(__xludf.DUMMYFUNCTION("""COMPUTED_VALUE"""),-9.414484855467027)</f>
        <v>-9.414484855</v>
      </c>
      <c r="I337" s="54">
        <f>IFERROR(__xludf.DUMMYFUNCTION("""COMPUTED_VALUE"""),13.0)</f>
        <v>13</v>
      </c>
      <c r="J337" s="55">
        <f>IFERROR(__xludf.DUMMYFUNCTION("""COMPUTED_VALUE"""),2.0)</f>
        <v>2</v>
      </c>
      <c r="K337" s="54">
        <f>IFERROR(__xludf.DUMMYFUNCTION("""COMPUTED_VALUE"""),11.0)</f>
        <v>11</v>
      </c>
      <c r="L337" s="56">
        <f>IFERROR(__xludf.DUMMYFUNCTION("""COMPUTED_VALUE"""),0.15384615384615385)</f>
        <v>0.1538461538</v>
      </c>
      <c r="M337" s="56">
        <f>IFERROR(__xludf.DUMMYFUNCTION("""COMPUTED_VALUE"""),0.2105263157894737)</f>
        <v>0.2105263158</v>
      </c>
      <c r="N337" s="31">
        <f>IFERROR(__xludf.DUMMYFUNCTION("""COMPUTED_VALUE"""),278.3076923076923)</f>
        <v>278.3076923</v>
      </c>
      <c r="O337" s="57">
        <f>IFERROR(__xludf.DUMMYFUNCTION("""COMPUTED_VALUE"""),0.3076923076923077)</f>
        <v>0.3076923077</v>
      </c>
      <c r="P337" s="57">
        <f>IFERROR(__xludf.DUMMYFUNCTION("""COMPUTED_VALUE"""),0.38461538461538464)</f>
        <v>0.3846153846</v>
      </c>
      <c r="Q337" s="57">
        <f>IFERROR(__xludf.DUMMYFUNCTION("""COMPUTED_VALUE"""),1.1538461538461537)</f>
        <v>1.153846154</v>
      </c>
      <c r="R337" s="57">
        <f>IFERROR(__xludf.DUMMYFUNCTION("""COMPUTED_VALUE"""),1.4615384615384615)</f>
        <v>1.461538462</v>
      </c>
      <c r="S337" s="31">
        <f>IFERROR(__xludf.DUMMYFUNCTION("""COMPUTED_VALUE"""),386.974358974359)</f>
        <v>386.974359</v>
      </c>
      <c r="T337" s="57">
        <f>IFERROR(__xludf.DUMMYFUNCTION("""COMPUTED_VALUE"""),1.0512820512820513)</f>
        <v>1.051282051</v>
      </c>
      <c r="U337" s="57">
        <f>IFERROR(__xludf.DUMMYFUNCTION("""COMPUTED_VALUE"""),0.7179487179487178)</f>
        <v>0.7179487179</v>
      </c>
      <c r="V337" s="57">
        <f>IFERROR(__xludf.DUMMYFUNCTION("""COMPUTED_VALUE"""),1.0512820512820513)</f>
        <v>1.051282051</v>
      </c>
      <c r="W337" s="57">
        <f>IFERROR(__xludf.DUMMYFUNCTION("""COMPUTED_VALUE"""),3.2564102564102573)</f>
        <v>3.256410256</v>
      </c>
      <c r="X337" s="31">
        <f>IFERROR(__xludf.DUMMYFUNCTION("""COMPUTED_VALUE"""),381.1599441427027)</f>
        <v>381.1599441</v>
      </c>
      <c r="Y337" s="57">
        <f>IFERROR(__xludf.DUMMYFUNCTION("""COMPUTED_VALUE"""),0.858309474688785)</f>
        <v>0.8583094747</v>
      </c>
      <c r="Z337" s="57">
        <f>IFERROR(__xludf.DUMMYFUNCTION("""COMPUTED_VALUE"""),0.5840283917870125)</f>
        <v>0.5840283918</v>
      </c>
      <c r="AA337" s="57">
        <f>IFERROR(__xludf.DUMMYFUNCTION("""COMPUTED_VALUE"""),1.4970587203345822)</f>
        <v>1.49705872</v>
      </c>
      <c r="AB337" s="57">
        <f>IFERROR(__xludf.DUMMYFUNCTION("""COMPUTED_VALUE"""),2.886859500652603)</f>
        <v>2.886859501</v>
      </c>
      <c r="AC337" s="31">
        <f>IFERROR(__xludf.DUMMYFUNCTION("""COMPUTED_VALUE"""),352.9239654236781)</f>
        <v>352.9239654</v>
      </c>
      <c r="AD337" s="57">
        <f>IFERROR(__xludf.DUMMYFUNCTION("""COMPUTED_VALUE"""),0.6768350104557)</f>
        <v>0.6768350105</v>
      </c>
      <c r="AE337" s="57">
        <f>IFERROR(__xludf.DUMMYFUNCTION("""COMPUTED_VALUE"""),0.5117715511393676)</f>
        <v>0.5117715511</v>
      </c>
      <c r="AF337" s="57">
        <f>IFERROR(__xludf.DUMMYFUNCTION("""COMPUTED_VALUE"""),1.4845586618575126)</f>
        <v>1.484558662</v>
      </c>
      <c r="AG337" s="57">
        <f>IFERROR(__xludf.DUMMYFUNCTION("""COMPUTED_VALUE"""),2.570372709453169)</f>
        <v>2.570372709</v>
      </c>
      <c r="AH337" s="57">
        <f>IFERROR(__xludf.DUMMYFUNCTION("""COMPUTED_VALUE"""),0.7885769162023031)</f>
        <v>0.7885769162</v>
      </c>
      <c r="AI337" s="57">
        <f>IFERROR(__xludf.DUMMYFUNCTION("""COMPUTED_VALUE"""),0.454604597780993)</f>
        <v>0.4546045978</v>
      </c>
      <c r="AJ337" s="57">
        <f>IFERROR(__xludf.DUMMYFUNCTION("""COMPUTED_VALUE"""),0.7515372508673205)</f>
        <v>0.7515372509</v>
      </c>
      <c r="AK337" s="57">
        <f>IFERROR(__xludf.DUMMYFUNCTION("""COMPUTED_VALUE"""),0.7772317682633274)</f>
        <v>0.7772317683</v>
      </c>
      <c r="AL337" s="57">
        <f>IFERROR(__xludf.DUMMYFUNCTION("""COMPUTED_VALUE"""),0.5686095468424868)</f>
        <v>0.5686095468</v>
      </c>
      <c r="AM337" s="57">
        <f>IFERROR(__xludf.DUMMYFUNCTION("""COMPUTED_VALUE"""),1.0152545274523375)</f>
        <v>1.015254527</v>
      </c>
      <c r="AN337" s="57">
        <f>IFERROR(__xludf.DUMMYFUNCTION("""COMPUTED_VALUE"""),1.2248286687773502)</f>
        <v>1.224828669</v>
      </c>
      <c r="AO337" s="57">
        <f>IFERROR(__xludf.DUMMYFUNCTION("""COMPUTED_VALUE"""),1.2293044791057766)</f>
        <v>1.229304479</v>
      </c>
      <c r="AP337" s="35">
        <f>IFERROR(__xludf.DUMMYFUNCTION("""COMPUTED_VALUE"""),0.7022316740168328)</f>
        <v>0.702231674</v>
      </c>
      <c r="AQ337" s="57">
        <f>IFERROR(__xludf.DUMMYFUNCTION("""COMPUTED_VALUE"""),1.128011340930902)</f>
        <v>1.128011341</v>
      </c>
      <c r="AR337" s="36" t="b">
        <f>IFERROR(__xludf.DUMMYFUNCTION("""COMPUTED_VALUE"""),TRUE)</f>
        <v>1</v>
      </c>
      <c r="AS337" s="57"/>
      <c r="AT337" s="37"/>
      <c r="AU337" s="30"/>
      <c r="AV337" s="30"/>
      <c r="AW337" s="30"/>
      <c r="AX337" s="30"/>
      <c r="AY337" s="30"/>
      <c r="AZ337" s="30"/>
    </row>
    <row r="338">
      <c r="A338" s="30" t="str">
        <f>IFERROR(__xludf.DUMMYFUNCTION("""COMPUTED_VALUE"""),"Elite")</f>
        <v>Elite</v>
      </c>
      <c r="B338" s="30" t="str">
        <f>IFERROR(__xludf.DUMMYFUNCTION("""COMPUTED_VALUE"""),"RSC007470")</f>
        <v>RSC007470</v>
      </c>
      <c r="C338" s="30" t="str">
        <f>IFERROR(__xludf.DUMMYFUNCTION("""COMPUTED_VALUE"""),"Fused Gavin")</f>
        <v>Fused Gavin</v>
      </c>
      <c r="D338" s="31" t="str">
        <f>IFERROR(__xludf.DUMMYFUNCTION("""COMPUTED_VALUE"""),"Loonie")</f>
        <v>Loonie</v>
      </c>
      <c r="E338" s="31">
        <f>IFERROR(__xludf.DUMMYFUNCTION("""COMPUTED_VALUE"""),4.046582423371383)</f>
        <v>4.046582423</v>
      </c>
      <c r="F338" s="31">
        <f>IFERROR(__xludf.DUMMYFUNCTION("""COMPUTED_VALUE"""),-30.283637755798537)</f>
        <v>-30.28363776</v>
      </c>
      <c r="G338" s="31">
        <f>IFERROR(__xludf.DUMMYFUNCTION("""COMPUTED_VALUE"""),10.685966918323402)</f>
        <v>10.68596692</v>
      </c>
      <c r="H338" s="31">
        <f>IFERROR(__xludf.DUMMYFUNCTION("""COMPUTED_VALUE"""),-17.268110758777688)</f>
        <v>-17.26811076</v>
      </c>
      <c r="I338" s="54">
        <f>IFERROR(__xludf.DUMMYFUNCTION("""COMPUTED_VALUE"""),28.0)</f>
        <v>28</v>
      </c>
      <c r="J338" s="55">
        <f>IFERROR(__xludf.DUMMYFUNCTION("""COMPUTED_VALUE"""),7.0)</f>
        <v>7</v>
      </c>
      <c r="K338" s="54">
        <f>IFERROR(__xludf.DUMMYFUNCTION("""COMPUTED_VALUE"""),21.0)</f>
        <v>21</v>
      </c>
      <c r="L338" s="56">
        <f>IFERROR(__xludf.DUMMYFUNCTION("""COMPUTED_VALUE"""),0.25)</f>
        <v>0.25</v>
      </c>
      <c r="M338" s="56">
        <f>IFERROR(__xludf.DUMMYFUNCTION("""COMPUTED_VALUE"""),0.21951219512195125)</f>
        <v>0.2195121951</v>
      </c>
      <c r="N338" s="31">
        <f>IFERROR(__xludf.DUMMYFUNCTION("""COMPUTED_VALUE"""),284.7857142857143)</f>
        <v>284.7857143</v>
      </c>
      <c r="O338" s="57">
        <f>IFERROR(__xludf.DUMMYFUNCTION("""COMPUTED_VALUE"""),0.32142857142857145)</f>
        <v>0.3214285714</v>
      </c>
      <c r="P338" s="57">
        <f>IFERROR(__xludf.DUMMYFUNCTION("""COMPUTED_VALUE"""),0.25)</f>
        <v>0.25</v>
      </c>
      <c r="Q338" s="57">
        <f>IFERROR(__xludf.DUMMYFUNCTION("""COMPUTED_VALUE"""),1.5714285714285714)</f>
        <v>1.571428571</v>
      </c>
      <c r="R338" s="57">
        <f>IFERROR(__xludf.DUMMYFUNCTION("""COMPUTED_VALUE"""),1.4642857142857142)</f>
        <v>1.464285714</v>
      </c>
      <c r="S338" s="31">
        <f>IFERROR(__xludf.DUMMYFUNCTION("""COMPUTED_VALUE"""),401.9523809523811)</f>
        <v>401.952381</v>
      </c>
      <c r="T338" s="57">
        <f>IFERROR(__xludf.DUMMYFUNCTION("""COMPUTED_VALUE"""),1.0476190476190474)</f>
        <v>1.047619048</v>
      </c>
      <c r="U338" s="57">
        <f>IFERROR(__xludf.DUMMYFUNCTION("""COMPUTED_VALUE"""),0.8928571428571426)</f>
        <v>0.8928571429</v>
      </c>
      <c r="V338" s="57">
        <f>IFERROR(__xludf.DUMMYFUNCTION("""COMPUTED_VALUE"""),1.2976190476190477)</f>
        <v>1.297619048</v>
      </c>
      <c r="W338" s="57">
        <f>IFERROR(__xludf.DUMMYFUNCTION("""COMPUTED_VALUE"""),3.130952380952381)</f>
        <v>3.130952381</v>
      </c>
      <c r="X338" s="31">
        <f>IFERROR(__xludf.DUMMYFUNCTION("""COMPUTED_VALUE"""),388.5284159967132)</f>
        <v>388.528416</v>
      </c>
      <c r="Y338" s="57">
        <f>IFERROR(__xludf.DUMMYFUNCTION("""COMPUTED_VALUE"""),0.931296367024575)</f>
        <v>0.931296367</v>
      </c>
      <c r="Z338" s="57">
        <f>IFERROR(__xludf.DUMMYFUNCTION("""COMPUTED_VALUE"""),0.6516922984644294)</f>
        <v>0.6516922985</v>
      </c>
      <c r="AA338" s="57">
        <f>IFERROR(__xludf.DUMMYFUNCTION("""COMPUTED_VALUE"""),1.3780386126641004)</f>
        <v>1.378038613</v>
      </c>
      <c r="AB338" s="57">
        <f>IFERROR(__xludf.DUMMYFUNCTION("""COMPUTED_VALUE"""),2.8832872909672176)</f>
        <v>2.883287291</v>
      </c>
      <c r="AC338" s="31">
        <f>IFERROR(__xludf.DUMMYFUNCTION("""COMPUTED_VALUE"""),346.9242685000603)</f>
        <v>346.9242685</v>
      </c>
      <c r="AD338" s="57">
        <f>IFERROR(__xludf.DUMMYFUNCTION("""COMPUTED_VALUE"""),0.6838164516471255)</f>
        <v>0.6838164516</v>
      </c>
      <c r="AE338" s="57">
        <f>IFERROR(__xludf.DUMMYFUNCTION("""COMPUTED_VALUE"""),0.4822816199406318)</f>
        <v>0.4822816199</v>
      </c>
      <c r="AF338" s="57">
        <f>IFERROR(__xludf.DUMMYFUNCTION("""COMPUTED_VALUE"""),1.4598144850329664)</f>
        <v>1.459814485</v>
      </c>
      <c r="AG338" s="57">
        <f>IFERROR(__xludf.DUMMYFUNCTION("""COMPUTED_VALUE"""),2.4375868218495986)</f>
        <v>2.437586822</v>
      </c>
      <c r="AH338" s="57">
        <f>IFERROR(__xludf.DUMMYFUNCTION("""COMPUTED_VALUE"""),0.8208872660220505)</f>
        <v>0.820887266</v>
      </c>
      <c r="AI338" s="57">
        <f>IFERROR(__xludf.DUMMYFUNCTION("""COMPUTED_VALUE"""),0.470050948107988)</f>
        <v>0.4700509481</v>
      </c>
      <c r="AJ338" s="57">
        <f>IFERROR(__xludf.DUMMYFUNCTION("""COMPUTED_VALUE"""),0.518369329585429)</f>
        <v>0.5183693296</v>
      </c>
      <c r="AK338" s="57">
        <f>IFERROR(__xludf.DUMMYFUNCTION("""COMPUTED_VALUE"""),1.076457719484188)</f>
        <v>1.076457719</v>
      </c>
      <c r="AL338" s="57">
        <f>IFERROR(__xludf.DUMMYFUNCTION("""COMPUTED_VALUE"""),0.6007112038678645)</f>
        <v>0.6007112039</v>
      </c>
      <c r="AM338" s="57">
        <f>IFERROR(__xludf.DUMMYFUNCTION("""COMPUTED_VALUE"""),1.0345507932057703)</f>
        <v>1.034550793</v>
      </c>
      <c r="AN338" s="57">
        <f>IFERROR(__xludf.DUMMYFUNCTION("""COMPUTED_VALUE"""),1.1249040420571113)</f>
        <v>1.124904042</v>
      </c>
      <c r="AO338" s="57">
        <f>IFERROR(__xludf.DUMMYFUNCTION("""COMPUTED_VALUE"""),1.370059374586696)</f>
        <v>1.370059375</v>
      </c>
      <c r="AP338" s="35">
        <f>IFERROR(__xludf.DUMMYFUNCTION("""COMPUTED_VALUE"""),0.9416420089350173)</f>
        <v>0.9416420089</v>
      </c>
      <c r="AQ338" s="57">
        <f>IFERROR(__xludf.DUMMYFUNCTION("""COMPUTED_VALUE"""),1.0858967785697424)</f>
        <v>1.085896779</v>
      </c>
      <c r="AR338" s="36" t="b">
        <f>IFERROR(__xludf.DUMMYFUNCTION("""COMPUTED_VALUE"""),TRUE)</f>
        <v>1</v>
      </c>
      <c r="AS338" s="57"/>
      <c r="AT338" s="37"/>
      <c r="AU338" s="30"/>
      <c r="AV338" s="30"/>
      <c r="AW338" s="30"/>
      <c r="AX338" s="30"/>
      <c r="AY338" s="30"/>
      <c r="AZ338" s="30"/>
    </row>
    <row r="339">
      <c r="A339" s="30" t="str">
        <f>IFERROR(__xludf.DUMMYFUNCTION("""COMPUTED_VALUE"""),"Elite")</f>
        <v>Elite</v>
      </c>
      <c r="B339" s="30" t="str">
        <f>IFERROR(__xludf.DUMMYFUNCTION("""COMPUTED_VALUE"""),"RSC007260")</f>
        <v>RSC007260</v>
      </c>
      <c r="C339" s="30" t="str">
        <f>IFERROR(__xludf.DUMMYFUNCTION("""COMPUTED_VALUE"""),"Veoloux")</f>
        <v>Veoloux</v>
      </c>
      <c r="D339" s="31" t="str">
        <f>IFERROR(__xludf.DUMMYFUNCTION("""COMPUTED_VALUE"""),"Ghastly Goombahs")</f>
        <v>Ghastly Goombahs</v>
      </c>
      <c r="E339" s="31">
        <f>IFERROR(__xludf.DUMMYFUNCTION("""COMPUTED_VALUE"""),2.431555722372657)</f>
        <v>2.431555722</v>
      </c>
      <c r="F339" s="31">
        <f>IFERROR(__xludf.DUMMYFUNCTION("""COMPUTED_VALUE"""),-35.041752665539306)</f>
        <v>-35.04175267</v>
      </c>
      <c r="G339" s="31">
        <f>IFERROR(__xludf.DUMMYFUNCTION("""COMPUTED_VALUE"""),8.646205847232288)</f>
        <v>8.646205847</v>
      </c>
      <c r="H339" s="31">
        <f>IFERROR(__xludf.DUMMYFUNCTION("""COMPUTED_VALUE"""),-20.38804976414448)</f>
        <v>-20.38804976</v>
      </c>
      <c r="I339" s="54">
        <f>IFERROR(__xludf.DUMMYFUNCTION("""COMPUTED_VALUE"""),6.0)</f>
        <v>6</v>
      </c>
      <c r="J339" s="55">
        <f>IFERROR(__xludf.DUMMYFUNCTION("""COMPUTED_VALUE"""),2.0)</f>
        <v>2</v>
      </c>
      <c r="K339" s="54">
        <f>IFERROR(__xludf.DUMMYFUNCTION("""COMPUTED_VALUE"""),4.0)</f>
        <v>4</v>
      </c>
      <c r="L339" s="56">
        <f>IFERROR(__xludf.DUMMYFUNCTION("""COMPUTED_VALUE"""),0.3333333333333333)</f>
        <v>0.3333333333</v>
      </c>
      <c r="M339" s="56">
        <f>IFERROR(__xludf.DUMMYFUNCTION("""COMPUTED_VALUE"""),0.1111111111111111)</f>
        <v>0.1111111111</v>
      </c>
      <c r="N339" s="31">
        <f>IFERROR(__xludf.DUMMYFUNCTION("""COMPUTED_VALUE"""),230.0)</f>
        <v>230</v>
      </c>
      <c r="O339" s="57">
        <f>IFERROR(__xludf.DUMMYFUNCTION("""COMPUTED_VALUE"""),0.16666666666666666)</f>
        <v>0.1666666667</v>
      </c>
      <c r="P339" s="57">
        <f>IFERROR(__xludf.DUMMYFUNCTION("""COMPUTED_VALUE"""),0.3333333333333333)</f>
        <v>0.3333333333</v>
      </c>
      <c r="Q339" s="57">
        <f>IFERROR(__xludf.DUMMYFUNCTION("""COMPUTED_VALUE"""),1.1666666666666667)</f>
        <v>1.166666667</v>
      </c>
      <c r="R339" s="57">
        <f>IFERROR(__xludf.DUMMYFUNCTION("""COMPUTED_VALUE"""),1.5)</f>
        <v>1.5</v>
      </c>
      <c r="S339" s="31">
        <f>IFERROR(__xludf.DUMMYFUNCTION("""COMPUTED_VALUE"""),362.8888888888889)</f>
        <v>362.8888889</v>
      </c>
      <c r="T339" s="57">
        <f>IFERROR(__xludf.DUMMYFUNCTION("""COMPUTED_VALUE"""),0.6666666666666666)</f>
        <v>0.6666666667</v>
      </c>
      <c r="U339" s="57">
        <f>IFERROR(__xludf.DUMMYFUNCTION("""COMPUTED_VALUE"""),0.6666666666666666)</f>
        <v>0.6666666667</v>
      </c>
      <c r="V339" s="57">
        <f>IFERROR(__xludf.DUMMYFUNCTION("""COMPUTED_VALUE"""),1.3333333333333333)</f>
        <v>1.333333333</v>
      </c>
      <c r="W339" s="57">
        <f>IFERROR(__xludf.DUMMYFUNCTION("""COMPUTED_VALUE"""),2.7222222222222228)</f>
        <v>2.722222222</v>
      </c>
      <c r="X339" s="31">
        <f>IFERROR(__xludf.DUMMYFUNCTION("""COMPUTED_VALUE"""),370.4244977639599)</f>
        <v>370.4244978</v>
      </c>
      <c r="Y339" s="57">
        <f>IFERROR(__xludf.DUMMYFUNCTION("""COMPUTED_VALUE"""),0.8078059708956783)</f>
        <v>0.8078059709</v>
      </c>
      <c r="Z339" s="57">
        <f>IFERROR(__xludf.DUMMYFUNCTION("""COMPUTED_VALUE"""),0.5706867250445081)</f>
        <v>0.570686725</v>
      </c>
      <c r="AA339" s="57">
        <f>IFERROR(__xludf.DUMMYFUNCTION("""COMPUTED_VALUE"""),1.430294489604398)</f>
        <v>1.43029449</v>
      </c>
      <c r="AB339" s="57">
        <f>IFERROR(__xludf.DUMMYFUNCTION("""COMPUTED_VALUE"""),2.8086431099070417)</f>
        <v>2.80864311</v>
      </c>
      <c r="AC339" s="31">
        <f>IFERROR(__xludf.DUMMYFUNCTION("""COMPUTED_VALUE"""),345.69870586874276)</f>
        <v>345.6987059</v>
      </c>
      <c r="AD339" s="57">
        <f>IFERROR(__xludf.DUMMYFUNCTION("""COMPUTED_VALUE"""),0.6401393974692555)</f>
        <v>0.6401393975</v>
      </c>
      <c r="AE339" s="57">
        <f>IFERROR(__xludf.DUMMYFUNCTION("""COMPUTED_VALUE"""),0.4880959135388531)</f>
        <v>0.4880959135</v>
      </c>
      <c r="AF339" s="57">
        <f>IFERROR(__xludf.DUMMYFUNCTION("""COMPUTED_VALUE"""),1.5009747069254)</f>
        <v>1.500974707</v>
      </c>
      <c r="AG339" s="57">
        <f>IFERROR(__xludf.DUMMYFUNCTION("""COMPUTED_VALUE"""),2.455379363562021)</f>
        <v>2.455379364</v>
      </c>
      <c r="AH339" s="57">
        <f>IFERROR(__xludf.DUMMYFUNCTION("""COMPUTED_VALUE"""),0.6653192392549134)</f>
        <v>0.6653192393</v>
      </c>
      <c r="AI339" s="57">
        <f>IFERROR(__xludf.DUMMYFUNCTION("""COMPUTED_VALUE"""),0.2603599580428438)</f>
        <v>0.260359958</v>
      </c>
      <c r="AJ339" s="57">
        <f>IFERROR(__xludf.DUMMYFUNCTION("""COMPUTED_VALUE"""),0.6829258842110743)</f>
        <v>0.6829258842</v>
      </c>
      <c r="AK339" s="57">
        <f>IFERROR(__xludf.DUMMYFUNCTION("""COMPUTED_VALUE"""),0.7772727023871504)</f>
        <v>0.7772727024</v>
      </c>
      <c r="AL339" s="57">
        <f>IFERROR(__xludf.DUMMYFUNCTION("""COMPUTED_VALUE"""),0.6109035623008368)</f>
        <v>0.6109035623</v>
      </c>
      <c r="AM339" s="57">
        <f>IFERROR(__xludf.DUMMYFUNCTION("""COMPUTED_VALUE"""),0.9796568290689219)</f>
        <v>0.9796568291</v>
      </c>
      <c r="AN339" s="57">
        <f>IFERROR(__xludf.DUMMYFUNCTION("""COMPUTED_VALUE"""),0.8252806870534525)</f>
        <v>0.8252806871</v>
      </c>
      <c r="AO339" s="57">
        <f>IFERROR(__xludf.DUMMYFUNCTION("""COMPUTED_VALUE"""),1.1681832385617048)</f>
        <v>1.168183239</v>
      </c>
      <c r="AP339" s="35">
        <f>IFERROR(__xludf.DUMMYFUNCTION("""COMPUTED_VALUE"""),0.9322089562843222)</f>
        <v>0.9322089563</v>
      </c>
      <c r="AQ339" s="57">
        <f>IFERROR(__xludf.DUMMYFUNCTION("""COMPUTED_VALUE"""),0.9692303776937757)</f>
        <v>0.9692303777</v>
      </c>
      <c r="AR339" s="36" t="b">
        <f>IFERROR(__xludf.DUMMYFUNCTION("""COMPUTED_VALUE"""),TRUE)</f>
        <v>1</v>
      </c>
      <c r="AS339" s="57"/>
      <c r="AT339" s="37"/>
      <c r="AU339" s="30"/>
      <c r="AV339" s="30"/>
      <c r="AW339" s="30"/>
      <c r="AX339" s="30"/>
      <c r="AY339" s="30"/>
      <c r="AZ339" s="30"/>
    </row>
    <row r="340">
      <c r="A340" s="30" t="str">
        <f>IFERROR(__xludf.DUMMYFUNCTION("""COMPUTED_VALUE"""),"Elite")</f>
        <v>Elite</v>
      </c>
      <c r="B340" s="30" t="str">
        <f>IFERROR(__xludf.DUMMYFUNCTION("""COMPUTED_VALUE"""),"RSC007386")</f>
        <v>RSC007386</v>
      </c>
      <c r="C340" s="30" t="str">
        <f>IFERROR(__xludf.DUMMYFUNCTION("""COMPUTED_VALUE"""),"oddtrip")</f>
        <v>oddtrip</v>
      </c>
      <c r="D340" s="31" t="str">
        <f>IFERROR(__xludf.DUMMYFUNCTION("""COMPUTED_VALUE"""),"Loonie")</f>
        <v>Loonie</v>
      </c>
      <c r="E340" s="31">
        <f>IFERROR(__xludf.DUMMYFUNCTION("""COMPUTED_VALUE"""),1.783222055472521)</f>
        <v>1.783222055</v>
      </c>
      <c r="F340" s="31">
        <f>IFERROR(__xludf.DUMMYFUNCTION("""COMPUTED_VALUE"""),-37.194283456614734)</f>
        <v>-37.19428346</v>
      </c>
      <c r="G340" s="31">
        <f>IFERROR(__xludf.DUMMYFUNCTION("""COMPUTED_VALUE"""),9.20918595142004)</f>
        <v>9.209185951</v>
      </c>
      <c r="H340" s="31">
        <f>IFERROR(__xludf.DUMMYFUNCTION("""COMPUTED_VALUE"""),-19.463410434512774)</f>
        <v>-19.46341043</v>
      </c>
      <c r="I340" s="54">
        <f>IFERROR(__xludf.DUMMYFUNCTION("""COMPUTED_VALUE"""),8.0)</f>
        <v>8</v>
      </c>
      <c r="J340" s="55">
        <f>IFERROR(__xludf.DUMMYFUNCTION("""COMPUTED_VALUE"""),1.0)</f>
        <v>1</v>
      </c>
      <c r="K340" s="54">
        <f>IFERROR(__xludf.DUMMYFUNCTION("""COMPUTED_VALUE"""),7.0)</f>
        <v>7</v>
      </c>
      <c r="L340" s="56">
        <f>IFERROR(__xludf.DUMMYFUNCTION("""COMPUTED_VALUE"""),0.125)</f>
        <v>0.125</v>
      </c>
      <c r="M340" s="56">
        <f>IFERROR(__xludf.DUMMYFUNCTION("""COMPUTED_VALUE"""),0.125)</f>
        <v>0.125</v>
      </c>
      <c r="N340" s="31">
        <f>IFERROR(__xludf.DUMMYFUNCTION("""COMPUTED_VALUE"""),210.5)</f>
        <v>210.5</v>
      </c>
      <c r="O340" s="57">
        <f>IFERROR(__xludf.DUMMYFUNCTION("""COMPUTED_VALUE"""),0.25)</f>
        <v>0.25</v>
      </c>
      <c r="P340" s="57">
        <f>IFERROR(__xludf.DUMMYFUNCTION("""COMPUTED_VALUE"""),0.5)</f>
        <v>0.5</v>
      </c>
      <c r="Q340" s="57">
        <f>IFERROR(__xludf.DUMMYFUNCTION("""COMPUTED_VALUE"""),0.625)</f>
        <v>0.625</v>
      </c>
      <c r="R340" s="57">
        <f>IFERROR(__xludf.DUMMYFUNCTION("""COMPUTED_VALUE"""),2.0)</f>
        <v>2</v>
      </c>
      <c r="S340" s="31">
        <f>IFERROR(__xludf.DUMMYFUNCTION("""COMPUTED_VALUE"""),416.08333333333337)</f>
        <v>416.0833333</v>
      </c>
      <c r="T340" s="57">
        <f>IFERROR(__xludf.DUMMYFUNCTION("""COMPUTED_VALUE"""),1.0833333333333335)</f>
        <v>1.083333333</v>
      </c>
      <c r="U340" s="57">
        <f>IFERROR(__xludf.DUMMYFUNCTION("""COMPUTED_VALUE"""),0.9166666666666666)</f>
        <v>0.9166666667</v>
      </c>
      <c r="V340" s="57">
        <f>IFERROR(__xludf.DUMMYFUNCTION("""COMPUTED_VALUE"""),1.75)</f>
        <v>1.75</v>
      </c>
      <c r="W340" s="57">
        <f>IFERROR(__xludf.DUMMYFUNCTION("""COMPUTED_VALUE"""),2.416666666666667)</f>
        <v>2.416666667</v>
      </c>
      <c r="X340" s="31">
        <f>IFERROR(__xludf.DUMMYFUNCTION("""COMPUTED_VALUE"""),351.31985047547545)</f>
        <v>351.3198505</v>
      </c>
      <c r="Y340" s="57">
        <f>IFERROR(__xludf.DUMMYFUNCTION("""COMPUTED_VALUE"""),0.6969488238238238)</f>
        <v>0.6969488238</v>
      </c>
      <c r="Z340" s="57">
        <f>IFERROR(__xludf.DUMMYFUNCTION("""COMPUTED_VALUE"""),0.5568818818818819)</f>
        <v>0.5568818819</v>
      </c>
      <c r="AA340" s="57">
        <f>IFERROR(__xludf.DUMMYFUNCTION("""COMPUTED_VALUE"""),1.4687762762762764)</f>
        <v>1.468776276</v>
      </c>
      <c r="AB340" s="57">
        <f>IFERROR(__xludf.DUMMYFUNCTION("""COMPUTED_VALUE"""),2.6356249999999997)</f>
        <v>2.635625</v>
      </c>
      <c r="AC340" s="31">
        <f>IFERROR(__xludf.DUMMYFUNCTION("""COMPUTED_VALUE"""),352.21734088254925)</f>
        <v>352.2173409</v>
      </c>
      <c r="AD340" s="57">
        <f>IFERROR(__xludf.DUMMYFUNCTION("""COMPUTED_VALUE"""),0.7251507757757757)</f>
        <v>0.7251507758</v>
      </c>
      <c r="AE340" s="57">
        <f>IFERROR(__xludf.DUMMYFUNCTION("""COMPUTED_VALUE"""),0.5045097180513848)</f>
        <v>0.5045097181</v>
      </c>
      <c r="AF340" s="57">
        <f>IFERROR(__xludf.DUMMYFUNCTION("""COMPUTED_VALUE"""),1.425903194861528)</f>
        <v>1.425903195</v>
      </c>
      <c r="AG340" s="57">
        <f>IFERROR(__xludf.DUMMYFUNCTION("""COMPUTED_VALUE"""),2.6875093843843847)</f>
        <v>2.687509384</v>
      </c>
      <c r="AH340" s="57">
        <f>IFERROR(__xludf.DUMMYFUNCTION("""COMPUTED_VALUE"""),0.5976423519425568)</f>
        <v>0.5976423519</v>
      </c>
      <c r="AI340" s="57">
        <f>IFERROR(__xludf.DUMMYFUNCTION("""COMPUTED_VALUE"""),0.34475588850132133)</f>
        <v>0.3447558885</v>
      </c>
      <c r="AJ340" s="57">
        <f>IFERROR(__xludf.DUMMYFUNCTION("""COMPUTED_VALUE"""),0.9910611869503662)</f>
        <v>0.991061187</v>
      </c>
      <c r="AK340" s="57">
        <f>IFERROR(__xludf.DUMMYFUNCTION("""COMPUTED_VALUE"""),0.4383186756662642)</f>
        <v>0.4383186757</v>
      </c>
      <c r="AL340" s="57">
        <f>IFERROR(__xludf.DUMMYFUNCTION("""COMPUTED_VALUE"""),0.7441834479242686)</f>
        <v>0.7441834479</v>
      </c>
      <c r="AM340" s="57">
        <f>IFERROR(__xludf.DUMMYFUNCTION("""COMPUTED_VALUE"""),1.1843433633772962)</f>
        <v>1.184343363</v>
      </c>
      <c r="AN340" s="57">
        <f>IFERROR(__xludf.DUMMYFUNCTION("""COMPUTED_VALUE"""),1.5543943777530225)</f>
        <v>1.554394378</v>
      </c>
      <c r="AO340" s="57">
        <f>IFERROR(__xludf.DUMMYFUNCTION("""COMPUTED_VALUE"""),1.6460701927829953)</f>
        <v>1.646070193</v>
      </c>
      <c r="AP340" s="35">
        <f>IFERROR(__xludf.DUMMYFUNCTION("""COMPUTED_VALUE"""),1.191468046063964)</f>
        <v>1.191468046</v>
      </c>
      <c r="AQ340" s="57">
        <f>IFERROR(__xludf.DUMMYFUNCTION("""COMPUTED_VALUE"""),0.9169235633546757)</f>
        <v>0.9169235634</v>
      </c>
      <c r="AR340" s="36" t="b">
        <f>IFERROR(__xludf.DUMMYFUNCTION("""COMPUTED_VALUE"""),TRUE)</f>
        <v>1</v>
      </c>
      <c r="AS340" s="57"/>
      <c r="AT340" s="37"/>
      <c r="AU340" s="30"/>
      <c r="AV340" s="30"/>
      <c r="AW340" s="30"/>
      <c r="AX340" s="30"/>
      <c r="AY340" s="30"/>
      <c r="AZ340" s="30"/>
    </row>
    <row r="341">
      <c r="A341" s="30" t="str">
        <f>IFERROR(__xludf.DUMMYFUNCTION("""COMPUTED_VALUE"""),"Elite")</f>
        <v>Elite</v>
      </c>
      <c r="B341" s="30" t="str">
        <f>IFERROR(__xludf.DUMMYFUNCTION("""COMPUTED_VALUE"""),"RSC003110")</f>
        <v>RSC003110</v>
      </c>
      <c r="C341" s="30" t="str">
        <f>IFERROR(__xludf.DUMMYFUNCTION("""COMPUTED_VALUE"""),"Rev")</f>
        <v>Rev</v>
      </c>
      <c r="D341" s="31"/>
      <c r="E341" s="31">
        <f>IFERROR(__xludf.DUMMYFUNCTION("""COMPUTED_VALUE"""),-1.2465102346847914)</f>
        <v>-1.246510235</v>
      </c>
      <c r="F341" s="31">
        <f>IFERROR(__xludf.DUMMYFUNCTION("""COMPUTED_VALUE"""),-49.53185637586845)</f>
        <v>-49.53185638</v>
      </c>
      <c r="G341" s="31">
        <f>IFERROR(__xludf.DUMMYFUNCTION("""COMPUTED_VALUE"""),8.633263161967626)</f>
        <v>8.633263162</v>
      </c>
      <c r="H341" s="31">
        <f>IFERROR(__xludf.DUMMYFUNCTION("""COMPUTED_VALUE"""),-20.40992049408964)</f>
        <v>-20.40992049</v>
      </c>
      <c r="I341" s="54">
        <f>IFERROR(__xludf.DUMMYFUNCTION("""COMPUTED_VALUE"""),8.0)</f>
        <v>8</v>
      </c>
      <c r="J341" s="55">
        <f>IFERROR(__xludf.DUMMYFUNCTION("""COMPUTED_VALUE"""),0.0)</f>
        <v>0</v>
      </c>
      <c r="K341" s="54">
        <f>IFERROR(__xludf.DUMMYFUNCTION("""COMPUTED_VALUE"""),8.0)</f>
        <v>8</v>
      </c>
      <c r="L341" s="56">
        <f>IFERROR(__xludf.DUMMYFUNCTION("""COMPUTED_VALUE"""),0.0)</f>
        <v>0</v>
      </c>
      <c r="M341" s="56">
        <f>IFERROR(__xludf.DUMMYFUNCTION("""COMPUTED_VALUE"""),0.058823529411764705)</f>
        <v>0.05882352941</v>
      </c>
      <c r="N341" s="31">
        <f>IFERROR(__xludf.DUMMYFUNCTION("""COMPUTED_VALUE"""),241.125)</f>
        <v>241.125</v>
      </c>
      <c r="O341" s="57">
        <f>IFERROR(__xludf.DUMMYFUNCTION("""COMPUTED_VALUE"""),0.125)</f>
        <v>0.125</v>
      </c>
      <c r="P341" s="57">
        <f>IFERROR(__xludf.DUMMYFUNCTION("""COMPUTED_VALUE"""),0.25)</f>
        <v>0.25</v>
      </c>
      <c r="Q341" s="57">
        <f>IFERROR(__xludf.DUMMYFUNCTION("""COMPUTED_VALUE"""),1.125)</f>
        <v>1.125</v>
      </c>
      <c r="R341" s="57">
        <f>IFERROR(__xludf.DUMMYFUNCTION("""COMPUTED_VALUE"""),2.125)</f>
        <v>2.125</v>
      </c>
      <c r="S341" s="31">
        <f>IFERROR(__xludf.DUMMYFUNCTION("""COMPUTED_VALUE"""),413.04166666666663)</f>
        <v>413.0416667</v>
      </c>
      <c r="T341" s="57">
        <f>IFERROR(__xludf.DUMMYFUNCTION("""COMPUTED_VALUE"""),1.0833333333333333)</f>
        <v>1.083333333</v>
      </c>
      <c r="U341" s="57">
        <f>IFERROR(__xludf.DUMMYFUNCTION("""COMPUTED_VALUE"""),0.9166666666666666)</f>
        <v>0.9166666667</v>
      </c>
      <c r="V341" s="57">
        <f>IFERROR(__xludf.DUMMYFUNCTION("""COMPUTED_VALUE"""),1.2916666666666667)</f>
        <v>1.291666667</v>
      </c>
      <c r="W341" s="57">
        <f>IFERROR(__xludf.DUMMYFUNCTION("""COMPUTED_VALUE"""),3.291666666666667)</f>
        <v>3.291666667</v>
      </c>
      <c r="X341" s="31">
        <f>IFERROR(__xludf.DUMMYFUNCTION("""COMPUTED_VALUE"""),395.1176170420275)</f>
        <v>395.117617</v>
      </c>
      <c r="Y341" s="57">
        <f>IFERROR(__xludf.DUMMYFUNCTION("""COMPUTED_VALUE"""),0.9965688622192171)</f>
        <v>0.9965688622</v>
      </c>
      <c r="Z341" s="57">
        <f>IFERROR(__xludf.DUMMYFUNCTION("""COMPUTED_VALUE"""),0.6591332893310581)</f>
        <v>0.6591332893</v>
      </c>
      <c r="AA341" s="57">
        <f>IFERROR(__xludf.DUMMYFUNCTION("""COMPUTED_VALUE"""),1.3864281823840647)</f>
        <v>1.386428182</v>
      </c>
      <c r="AB341" s="57">
        <f>IFERROR(__xludf.DUMMYFUNCTION("""COMPUTED_VALUE"""),3.0758863171705464)</f>
        <v>3.075886317</v>
      </c>
      <c r="AC341" s="31">
        <f>IFERROR(__xludf.DUMMYFUNCTION("""COMPUTED_VALUE"""),365.02819314986533)</f>
        <v>365.0281931</v>
      </c>
      <c r="AD341" s="57">
        <f>IFERROR(__xludf.DUMMYFUNCTION("""COMPUTED_VALUE"""),0.7517031876607603)</f>
        <v>0.7517031877</v>
      </c>
      <c r="AE341" s="57">
        <f>IFERROR(__xludf.DUMMYFUNCTION("""COMPUTED_VALUE"""),0.5402424619272996)</f>
        <v>0.5402424619</v>
      </c>
      <c r="AF341" s="57">
        <f>IFERROR(__xludf.DUMMYFUNCTION("""COMPUTED_VALUE"""),1.6227043020273244)</f>
        <v>1.622704302</v>
      </c>
      <c r="AG341" s="57">
        <f>IFERROR(__xludf.DUMMYFUNCTION("""COMPUTED_VALUE"""),2.517942665571976)</f>
        <v>2.517942666</v>
      </c>
      <c r="AH341" s="57">
        <f>IFERROR(__xludf.DUMMYFUNCTION("""COMPUTED_VALUE"""),0.6605654152883587)</f>
        <v>0.6605654153</v>
      </c>
      <c r="AI341" s="57">
        <f>IFERROR(__xludf.DUMMYFUNCTION("""COMPUTED_VALUE"""),0.16628903808295656)</f>
        <v>0.1662890381</v>
      </c>
      <c r="AJ341" s="57">
        <f>IFERROR(__xludf.DUMMYFUNCTION("""COMPUTED_VALUE"""),0.4627551842336348)</f>
        <v>0.4627551842</v>
      </c>
      <c r="AK341" s="57">
        <f>IFERROR(__xludf.DUMMYFUNCTION("""COMPUTED_VALUE"""),0.6932871248288934)</f>
        <v>0.6932871248</v>
      </c>
      <c r="AL341" s="57">
        <f>IFERROR(__xludf.DUMMYFUNCTION("""COMPUTED_VALUE"""),0.843942965443689)</f>
        <v>0.8439429654</v>
      </c>
      <c r="AM341" s="57">
        <f>IFERROR(__xludf.DUMMYFUNCTION("""COMPUTED_VALUE"""),1.0453638330753867)</f>
        <v>1.045363833</v>
      </c>
      <c r="AN341" s="57">
        <f>IFERROR(__xludf.DUMMYFUNCTION("""COMPUTED_VALUE"""),1.0870631969384474)</f>
        <v>1.087063197</v>
      </c>
      <c r="AO341" s="57">
        <f>IFERROR(__xludf.DUMMYFUNCTION("""COMPUTED_VALUE"""),1.390715173249669)</f>
        <v>1.390715173</v>
      </c>
      <c r="AP341" s="35">
        <f>IFERROR(__xludf.DUMMYFUNCTION("""COMPUTED_VALUE"""),0.9316506134818692)</f>
        <v>0.9316506135</v>
      </c>
      <c r="AQ341" s="57">
        <f>IFERROR(__xludf.DUMMYFUNCTION("""COMPUTED_VALUE"""),1.0701522511711723)</f>
        <v>1.070152251</v>
      </c>
      <c r="AR341" s="36" t="b">
        <f>IFERROR(__xludf.DUMMYFUNCTION("""COMPUTED_VALUE"""),TRUE)</f>
        <v>1</v>
      </c>
      <c r="AS341" s="57"/>
      <c r="AT341" s="37"/>
      <c r="AU341" s="30"/>
      <c r="AV341" s="30"/>
      <c r="AW341" s="30"/>
      <c r="AX341" s="30"/>
      <c r="AY341" s="30"/>
      <c r="AZ341" s="30"/>
    </row>
    <row r="342">
      <c r="A342" s="30" t="str">
        <f>IFERROR(__xludf.DUMMYFUNCTION("""COMPUTED_VALUE"""),"Elite")</f>
        <v>Elite</v>
      </c>
      <c r="B342" s="30" t="str">
        <f>IFERROR(__xludf.DUMMYFUNCTION("""COMPUTED_VALUE"""),"RSC005522")</f>
        <v>RSC005522</v>
      </c>
      <c r="C342" s="30" t="str">
        <f>IFERROR(__xludf.DUMMYFUNCTION("""COMPUTED_VALUE"""),"Diviniation")</f>
        <v>Diviniation</v>
      </c>
      <c r="D342" s="31"/>
      <c r="E342" s="31">
        <f>IFERROR(__xludf.DUMMYFUNCTION("""COMPUTED_VALUE"""),-3.894661913606136)</f>
        <v>-3.894661914</v>
      </c>
      <c r="F342" s="31">
        <f>IFERROR(__xludf.DUMMYFUNCTION("""COMPUTED_VALUE"""),-64.30797461749029)</f>
        <v>-64.30797462</v>
      </c>
      <c r="G342" s="31">
        <f>IFERROR(__xludf.DUMMYFUNCTION("""COMPUTED_VALUE"""),8.868735324744485)</f>
        <v>8.868735325</v>
      </c>
      <c r="H342" s="31">
        <f>IFERROR(__xludf.DUMMYFUNCTION("""COMPUTED_VALUE"""),-20.016384357672766)</f>
        <v>-20.01638436</v>
      </c>
      <c r="I342" s="54">
        <f>IFERROR(__xludf.DUMMYFUNCTION("""COMPUTED_VALUE"""),2.0)</f>
        <v>2</v>
      </c>
      <c r="J342" s="55">
        <f>IFERROR(__xludf.DUMMYFUNCTION("""COMPUTED_VALUE"""),1.0)</f>
        <v>1</v>
      </c>
      <c r="K342" s="54">
        <f>IFERROR(__xludf.DUMMYFUNCTION("""COMPUTED_VALUE"""),1.0)</f>
        <v>1</v>
      </c>
      <c r="L342" s="56">
        <f>IFERROR(__xludf.DUMMYFUNCTION("""COMPUTED_VALUE"""),0.5)</f>
        <v>0.5</v>
      </c>
      <c r="M342" s="56">
        <f>IFERROR(__xludf.DUMMYFUNCTION("""COMPUTED_VALUE"""),0.0)</f>
        <v>0</v>
      </c>
      <c r="N342" s="31">
        <f>IFERROR(__xludf.DUMMYFUNCTION("""COMPUTED_VALUE"""),280.0)</f>
        <v>280</v>
      </c>
      <c r="O342" s="57">
        <f>IFERROR(__xludf.DUMMYFUNCTION("""COMPUTED_VALUE"""),0.0)</f>
        <v>0</v>
      </c>
      <c r="P342" s="57">
        <f>IFERROR(__xludf.DUMMYFUNCTION("""COMPUTED_VALUE"""),0.5)</f>
        <v>0.5</v>
      </c>
      <c r="Q342" s="57">
        <f>IFERROR(__xludf.DUMMYFUNCTION("""COMPUTED_VALUE"""),2.0)</f>
        <v>2</v>
      </c>
      <c r="R342" s="57">
        <f>IFERROR(__xludf.DUMMYFUNCTION("""COMPUTED_VALUE"""),1.5)</f>
        <v>1.5</v>
      </c>
      <c r="S342" s="31">
        <f>IFERROR(__xludf.DUMMYFUNCTION("""COMPUTED_VALUE"""),323.5)</f>
        <v>323.5</v>
      </c>
      <c r="T342" s="57">
        <f>IFERROR(__xludf.DUMMYFUNCTION("""COMPUTED_VALUE"""),1.0)</f>
        <v>1</v>
      </c>
      <c r="U342" s="57">
        <f>IFERROR(__xludf.DUMMYFUNCTION("""COMPUTED_VALUE"""),0.6666666666666666)</f>
        <v>0.6666666667</v>
      </c>
      <c r="V342" s="57">
        <f>IFERROR(__xludf.DUMMYFUNCTION("""COMPUTED_VALUE"""),0.5)</f>
        <v>0.5</v>
      </c>
      <c r="W342" s="57">
        <f>IFERROR(__xludf.DUMMYFUNCTION("""COMPUTED_VALUE"""),3.5)</f>
        <v>3.5</v>
      </c>
      <c r="X342" s="31">
        <f>IFERROR(__xludf.DUMMYFUNCTION("""COMPUTED_VALUE"""),346.1909961685824)</f>
        <v>346.1909962</v>
      </c>
      <c r="Y342" s="57">
        <f>IFERROR(__xludf.DUMMYFUNCTION("""COMPUTED_VALUE"""),0.8016283524904214)</f>
        <v>0.8016283525</v>
      </c>
      <c r="Z342" s="57">
        <f>IFERROR(__xludf.DUMMYFUNCTION("""COMPUTED_VALUE"""),0.5908524904214559)</f>
        <v>0.5908524904</v>
      </c>
      <c r="AA342" s="57">
        <f>IFERROR(__xludf.DUMMYFUNCTION("""COMPUTED_VALUE"""),1.1266283524904215)</f>
        <v>1.126628352</v>
      </c>
      <c r="AB342" s="57">
        <f>IFERROR(__xludf.DUMMYFUNCTION("""COMPUTED_VALUE"""),2.859818007662835)</f>
        <v>2.859818008</v>
      </c>
      <c r="AC342" s="31">
        <f>IFERROR(__xludf.DUMMYFUNCTION("""COMPUTED_VALUE"""),364.2789431673052)</f>
        <v>364.2789432</v>
      </c>
      <c r="AD342" s="57">
        <f>IFERROR(__xludf.DUMMYFUNCTION("""COMPUTED_VALUE"""),0.7921455938697318)</f>
        <v>0.7921455939</v>
      </c>
      <c r="AE342" s="57">
        <f>IFERROR(__xludf.DUMMYFUNCTION("""COMPUTED_VALUE"""),0.5876596424010216)</f>
        <v>0.5876596424</v>
      </c>
      <c r="AF342" s="57">
        <f>IFERROR(__xludf.DUMMYFUNCTION("""COMPUTED_VALUE"""),1.4897030651340994)</f>
        <v>1.489703065</v>
      </c>
      <c r="AG342" s="57">
        <f>IFERROR(__xludf.DUMMYFUNCTION("""COMPUTED_VALUE"""),2.484323116219668)</f>
        <v>2.484323116</v>
      </c>
      <c r="AH342" s="57">
        <f>IFERROR(__xludf.DUMMYFUNCTION("""COMPUTED_VALUE"""),0.7686417380194337)</f>
        <v>0.768641738</v>
      </c>
      <c r="AI342" s="57">
        <f>IFERROR(__xludf.DUMMYFUNCTION("""COMPUTED_VALUE"""),0.0)</f>
        <v>0</v>
      </c>
      <c r="AJ342" s="57">
        <f>IFERROR(__xludf.DUMMYFUNCTION("""COMPUTED_VALUE"""),0.8508326315503519)</f>
        <v>0.8508326316</v>
      </c>
      <c r="AK342" s="57">
        <f>IFERROR(__xludf.DUMMYFUNCTION("""COMPUTED_VALUE"""),1.3425494293521942)</f>
        <v>1.342549429</v>
      </c>
      <c r="AL342" s="57">
        <f>IFERROR(__xludf.DUMMYFUNCTION("""COMPUTED_VALUE"""),0.6037861943991055)</f>
        <v>0.6037861944</v>
      </c>
      <c r="AM342" s="57">
        <f>IFERROR(__xludf.DUMMYFUNCTION("""COMPUTED_VALUE"""),0.9344552676998777)</f>
        <v>0.9344552677</v>
      </c>
      <c r="AN342" s="57">
        <f>IFERROR(__xludf.DUMMYFUNCTION("""COMPUTED_VALUE"""),1.247460867487155)</f>
        <v>1.247460867</v>
      </c>
      <c r="AO342" s="57">
        <f>IFERROR(__xludf.DUMMYFUNCTION("""COMPUTED_VALUE"""),1.1283132041825403)</f>
        <v>1.128313204</v>
      </c>
      <c r="AP342" s="35">
        <f>IFERROR(__xludf.DUMMYFUNCTION("""COMPUTED_VALUE"""),0.4438020744771297)</f>
        <v>0.4438020745</v>
      </c>
      <c r="AQ342" s="57">
        <f>IFERROR(__xludf.DUMMYFUNCTION("""COMPUTED_VALUE"""),1.2238541021218161)</f>
        <v>1.223854102</v>
      </c>
      <c r="AR342" s="36" t="b">
        <f>IFERROR(__xludf.DUMMYFUNCTION("""COMPUTED_VALUE"""),TRUE)</f>
        <v>1</v>
      </c>
      <c r="AS342" s="57"/>
      <c r="AT342" s="37"/>
      <c r="AU342" s="30"/>
      <c r="AV342" s="30"/>
      <c r="AW342" s="30"/>
      <c r="AX342" s="30"/>
      <c r="AY342" s="30"/>
      <c r="AZ342" s="30"/>
    </row>
    <row r="343">
      <c r="A343" s="30" t="str">
        <f>IFERROR(__xludf.DUMMYFUNCTION("""COMPUTED_VALUE"""),"Elite")</f>
        <v>Elite</v>
      </c>
      <c r="B343" s="30" t="str">
        <f>IFERROR(__xludf.DUMMYFUNCTION("""COMPUTED_VALUE"""),"RSC004650")</f>
        <v>RSC004650</v>
      </c>
      <c r="C343" s="30" t="str">
        <f>IFERROR(__xludf.DUMMYFUNCTION("""COMPUTED_VALUE"""),"xolzkii")</f>
        <v>xolzkii</v>
      </c>
      <c r="D343" s="31" t="str">
        <f>IFERROR(__xludf.DUMMYFUNCTION("""COMPUTED_VALUE"""),"Summoned")</f>
        <v>Summoned</v>
      </c>
      <c r="E343" s="31">
        <f>IFERROR(__xludf.DUMMYFUNCTION("""COMPUTED_VALUE"""),-5.171135613747204)</f>
        <v>-5.171135614</v>
      </c>
      <c r="F343" s="31">
        <f>IFERROR(__xludf.DUMMYFUNCTION("""COMPUTED_VALUE"""),-73.19342079966447)</f>
        <v>-73.1934208</v>
      </c>
      <c r="G343" s="31">
        <f>IFERROR(__xludf.DUMMYFUNCTION("""COMPUTED_VALUE"""),6.990553475322834)</f>
        <v>6.990553475</v>
      </c>
      <c r="H343" s="31">
        <f>IFERROR(__xludf.DUMMYFUNCTION("""COMPUTED_VALUE"""),-23.429140936750912)</f>
        <v>-23.42914094</v>
      </c>
      <c r="I343" s="54">
        <f>IFERROR(__xludf.DUMMYFUNCTION("""COMPUTED_VALUE"""),4.0)</f>
        <v>4</v>
      </c>
      <c r="J343" s="55">
        <f>IFERROR(__xludf.DUMMYFUNCTION("""COMPUTED_VALUE"""),0.0)</f>
        <v>0</v>
      </c>
      <c r="K343" s="54">
        <f>IFERROR(__xludf.DUMMYFUNCTION("""COMPUTED_VALUE"""),4.0)</f>
        <v>4</v>
      </c>
      <c r="L343" s="56">
        <f>IFERROR(__xludf.DUMMYFUNCTION("""COMPUTED_VALUE"""),0.0)</f>
        <v>0</v>
      </c>
      <c r="M343" s="56">
        <f>IFERROR(__xludf.DUMMYFUNCTION("""COMPUTED_VALUE"""),0.16666666666666666)</f>
        <v>0.1666666667</v>
      </c>
      <c r="N343" s="31">
        <f>IFERROR(__xludf.DUMMYFUNCTION("""COMPUTED_VALUE"""),345.5)</f>
        <v>345.5</v>
      </c>
      <c r="O343" s="57">
        <f>IFERROR(__xludf.DUMMYFUNCTION("""COMPUTED_VALUE"""),0.25)</f>
        <v>0.25</v>
      </c>
      <c r="P343" s="57">
        <f>IFERROR(__xludf.DUMMYFUNCTION("""COMPUTED_VALUE"""),0.25)</f>
        <v>0.25</v>
      </c>
      <c r="Q343" s="57">
        <f>IFERROR(__xludf.DUMMYFUNCTION("""COMPUTED_VALUE"""),1.75)</f>
        <v>1.75</v>
      </c>
      <c r="R343" s="57">
        <f>IFERROR(__xludf.DUMMYFUNCTION("""COMPUTED_VALUE"""),1.5)</f>
        <v>1.5</v>
      </c>
      <c r="S343" s="31">
        <f>IFERROR(__xludf.DUMMYFUNCTION("""COMPUTED_VALUE"""),492.0)</f>
        <v>492</v>
      </c>
      <c r="T343" s="57">
        <f>IFERROR(__xludf.DUMMYFUNCTION("""COMPUTED_VALUE"""),1.3333333333333333)</f>
        <v>1.333333333</v>
      </c>
      <c r="U343" s="57">
        <f>IFERROR(__xludf.DUMMYFUNCTION("""COMPUTED_VALUE"""),0.9166666666666666)</f>
        <v>0.9166666667</v>
      </c>
      <c r="V343" s="57">
        <f>IFERROR(__xludf.DUMMYFUNCTION("""COMPUTED_VALUE"""),1.4166666666666667)</f>
        <v>1.416666667</v>
      </c>
      <c r="W343" s="57">
        <f>IFERROR(__xludf.DUMMYFUNCTION("""COMPUTED_VALUE"""),4.666666666666666)</f>
        <v>4.666666667</v>
      </c>
      <c r="X343" s="31">
        <f>IFERROR(__xludf.DUMMYFUNCTION("""COMPUTED_VALUE"""),402.17195767195767)</f>
        <v>402.1719577</v>
      </c>
      <c r="Y343" s="57">
        <f>IFERROR(__xludf.DUMMYFUNCTION("""COMPUTED_VALUE"""),0.9928902116402116)</f>
        <v>0.9928902116</v>
      </c>
      <c r="Z343" s="57">
        <f>IFERROR(__xludf.DUMMYFUNCTION("""COMPUTED_VALUE"""),0.5891203703703703)</f>
        <v>0.5891203704</v>
      </c>
      <c r="AA343" s="57">
        <f>IFERROR(__xludf.DUMMYFUNCTION("""COMPUTED_VALUE"""),1.5454695767195767)</f>
        <v>1.545469577</v>
      </c>
      <c r="AB343" s="57">
        <f>IFERROR(__xludf.DUMMYFUNCTION("""COMPUTED_VALUE"""),2.8115079365079367)</f>
        <v>2.811507937</v>
      </c>
      <c r="AC343" s="31">
        <f>IFERROR(__xludf.DUMMYFUNCTION("""COMPUTED_VALUE"""),344.0385251322751)</f>
        <v>344.0385251</v>
      </c>
      <c r="AD343" s="57">
        <f>IFERROR(__xludf.DUMMYFUNCTION("""COMPUTED_VALUE"""),0.6957120811287477)</f>
        <v>0.6957120811</v>
      </c>
      <c r="AE343" s="57">
        <f>IFERROR(__xludf.DUMMYFUNCTION("""COMPUTED_VALUE"""),0.4738205467372134)</f>
        <v>0.4738205467</v>
      </c>
      <c r="AF343" s="57">
        <f>IFERROR(__xludf.DUMMYFUNCTION("""COMPUTED_VALUE"""),1.3117835097001762)</f>
        <v>1.31178351</v>
      </c>
      <c r="AG343" s="57">
        <f>IFERROR(__xludf.DUMMYFUNCTION("""COMPUTED_VALUE"""),2.551146384479717)</f>
        <v>2.551146384</v>
      </c>
      <c r="AH343" s="57">
        <f>IFERROR(__xludf.DUMMYFUNCTION("""COMPUTED_VALUE"""),1.004247997712358)</f>
        <v>1.004247998</v>
      </c>
      <c r="AI343" s="57">
        <f>IFERROR(__xludf.DUMMYFUNCTION("""COMPUTED_VALUE"""),0.3593440545036838)</f>
        <v>0.3593440545</v>
      </c>
      <c r="AJ343" s="57">
        <f>IFERROR(__xludf.DUMMYFUNCTION("""COMPUTED_VALUE"""),0.5276259160172153)</f>
        <v>0.527625916</v>
      </c>
      <c r="AK343" s="57">
        <f>IFERROR(__xludf.DUMMYFUNCTION("""COMPUTED_VALUE"""),1.3340615940506704)</f>
        <v>1.334061594</v>
      </c>
      <c r="AL343" s="57">
        <f>IFERROR(__xludf.DUMMYFUNCTION("""COMPUTED_VALUE"""),0.5879709643968201)</f>
        <v>0.5879709644</v>
      </c>
      <c r="AM343" s="57">
        <f>IFERROR(__xludf.DUMMYFUNCTION("""COMPUTED_VALUE"""),1.2233572993204886)</f>
        <v>1.223357299</v>
      </c>
      <c r="AN343" s="57">
        <f>IFERROR(__xludf.DUMMYFUNCTION("""COMPUTED_VALUE"""),1.342880932556203)</f>
        <v>1.342880933</v>
      </c>
      <c r="AO343" s="57">
        <f>IFERROR(__xludf.DUMMYFUNCTION("""COMPUTED_VALUE"""),1.5559921414538311)</f>
        <v>1.555992141</v>
      </c>
      <c r="AP343" s="35">
        <f>IFERROR(__xludf.DUMMYFUNCTION("""COMPUTED_VALUE"""),0.9166577511501016)</f>
        <v>0.9166577512</v>
      </c>
      <c r="AQ343" s="57">
        <f>IFERROR(__xludf.DUMMYFUNCTION("""COMPUTED_VALUE"""),1.6598447424135494)</f>
        <v>1.659844742</v>
      </c>
      <c r="AR343" s="36" t="b">
        <f>IFERROR(__xludf.DUMMYFUNCTION("""COMPUTED_VALUE"""),TRUE)</f>
        <v>1</v>
      </c>
      <c r="AS343" s="57"/>
      <c r="AT343" s="37"/>
      <c r="AU343" s="30"/>
      <c r="AV343" s="30"/>
      <c r="AW343" s="30"/>
      <c r="AX343" s="30"/>
      <c r="AY343" s="30"/>
      <c r="AZ343" s="30"/>
    </row>
    <row r="344">
      <c r="A344" s="30" t="str">
        <f>IFERROR(__xludf.DUMMYFUNCTION("""COMPUTED_VALUE"""),"Elite")</f>
        <v>Elite</v>
      </c>
      <c r="B344" s="30" t="str">
        <f>IFERROR(__xludf.DUMMYFUNCTION("""COMPUTED_VALUE"""),"RSC004794")</f>
        <v>RSC004794</v>
      </c>
      <c r="C344" s="30" t="str">
        <f>IFERROR(__xludf.DUMMYFUNCTION("""COMPUTED_VALUE"""),"Buddha")</f>
        <v>Buddha</v>
      </c>
      <c r="D344" s="31"/>
      <c r="E344" s="31">
        <f>IFERROR(__xludf.DUMMYFUNCTION("""COMPUTED_VALUE"""),-6.996677065433147)</f>
        <v>-6.996677065</v>
      </c>
      <c r="F344" s="31">
        <f>IFERROR(__xludf.DUMMYFUNCTION("""COMPUTED_VALUE"""),-88.43463792012633)</f>
        <v>-88.43463792</v>
      </c>
      <c r="G344" s="31">
        <f>IFERROR(__xludf.DUMMYFUNCTION("""COMPUTED_VALUE"""),-9.272049876886825)</f>
        <v>-9.272049877</v>
      </c>
      <c r="H344" s="31">
        <f>IFERROR(__xludf.DUMMYFUNCTION("""COMPUTED_VALUE"""),-112.70338586414496)</f>
        <v>-112.7033859</v>
      </c>
      <c r="I344" s="54">
        <f>IFERROR(__xludf.DUMMYFUNCTION("""COMPUTED_VALUE"""),4.0)</f>
        <v>4</v>
      </c>
      <c r="J344" s="55">
        <f>IFERROR(__xludf.DUMMYFUNCTION("""COMPUTED_VALUE"""),0.0)</f>
        <v>0</v>
      </c>
      <c r="K344" s="54">
        <f>IFERROR(__xludf.DUMMYFUNCTION("""COMPUTED_VALUE"""),4.0)</f>
        <v>4</v>
      </c>
      <c r="L344" s="56">
        <f>IFERROR(__xludf.DUMMYFUNCTION("""COMPUTED_VALUE"""),0.0)</f>
        <v>0</v>
      </c>
      <c r="M344" s="56">
        <f>IFERROR(__xludf.DUMMYFUNCTION("""COMPUTED_VALUE"""),0.6666666666666666)</f>
        <v>0.6666666667</v>
      </c>
      <c r="N344" s="31">
        <f>IFERROR(__xludf.DUMMYFUNCTION("""COMPUTED_VALUE"""),216.75)</f>
        <v>216.75</v>
      </c>
      <c r="O344" s="57">
        <f>IFERROR(__xludf.DUMMYFUNCTION("""COMPUTED_VALUE"""),0.5)</f>
        <v>0.5</v>
      </c>
      <c r="P344" s="57">
        <f>IFERROR(__xludf.DUMMYFUNCTION("""COMPUTED_VALUE"""),0.25)</f>
        <v>0.25</v>
      </c>
      <c r="Q344" s="57">
        <f>IFERROR(__xludf.DUMMYFUNCTION("""COMPUTED_VALUE"""),0.75)</f>
        <v>0.75</v>
      </c>
      <c r="R344" s="57">
        <f>IFERROR(__xludf.DUMMYFUNCTION("""COMPUTED_VALUE"""),0.75)</f>
        <v>0.75</v>
      </c>
      <c r="S344" s="31">
        <f>IFERROR(__xludf.DUMMYFUNCTION("""COMPUTED_VALUE"""),381.3333333333333)</f>
        <v>381.3333333</v>
      </c>
      <c r="T344" s="57">
        <f>IFERROR(__xludf.DUMMYFUNCTION("""COMPUTED_VALUE"""),1.25)</f>
        <v>1.25</v>
      </c>
      <c r="U344" s="57">
        <f>IFERROR(__xludf.DUMMYFUNCTION("""COMPUTED_VALUE"""),0.9166666666666666)</f>
        <v>0.9166666667</v>
      </c>
      <c r="V344" s="57">
        <f>IFERROR(__xludf.DUMMYFUNCTION("""COMPUTED_VALUE"""),0.7499999999999999)</f>
        <v>0.75</v>
      </c>
      <c r="W344" s="57">
        <f>IFERROR(__xludf.DUMMYFUNCTION("""COMPUTED_VALUE"""),3.5)</f>
        <v>3.5</v>
      </c>
      <c r="X344" s="31">
        <f>IFERROR(__xludf.DUMMYFUNCTION("""COMPUTED_VALUE"""),371.2361111111111)</f>
        <v>371.2361111</v>
      </c>
      <c r="Y344" s="57">
        <f>IFERROR(__xludf.DUMMYFUNCTION("""COMPUTED_VALUE"""),0.763888888888889)</f>
        <v>0.7638888889</v>
      </c>
      <c r="Z344" s="57">
        <f>IFERROR(__xludf.DUMMYFUNCTION("""COMPUTED_VALUE"""),0.6759259259259259)</f>
        <v>0.6759259259</v>
      </c>
      <c r="AA344" s="57">
        <f>IFERROR(__xludf.DUMMYFUNCTION("""COMPUTED_VALUE"""),1.3564814814814816)</f>
        <v>1.356481481</v>
      </c>
      <c r="AB344" s="57">
        <f>IFERROR(__xludf.DUMMYFUNCTION("""COMPUTED_VALUE"""),2.8796296296296298)</f>
        <v>2.87962963</v>
      </c>
      <c r="AC344" s="31">
        <f>IFERROR(__xludf.DUMMYFUNCTION("""COMPUTED_VALUE"""),350.39351851851853)</f>
        <v>350.3935185</v>
      </c>
      <c r="AD344" s="57">
        <f>IFERROR(__xludf.DUMMYFUNCTION("""COMPUTED_VALUE"""),0.669753086419753)</f>
        <v>0.6697530864</v>
      </c>
      <c r="AE344" s="57">
        <f>IFERROR(__xludf.DUMMYFUNCTION("""COMPUTED_VALUE"""),0.5524691358024691)</f>
        <v>0.5524691358</v>
      </c>
      <c r="AF344" s="57">
        <f>IFERROR(__xludf.DUMMYFUNCTION("""COMPUTED_VALUE"""),1.479938271604938)</f>
        <v>1.479938272</v>
      </c>
      <c r="AG344" s="57">
        <f>IFERROR(__xludf.DUMMYFUNCTION("""COMPUTED_VALUE"""),2.334876543209877)</f>
        <v>2.334876543</v>
      </c>
      <c r="AH344" s="57">
        <f>IFERROR(__xludf.DUMMYFUNCTION("""COMPUTED_VALUE"""),0.6185902094206249)</f>
        <v>0.6185902094</v>
      </c>
      <c r="AI344" s="57">
        <f>IFERROR(__xludf.DUMMYFUNCTION("""COMPUTED_VALUE"""),0.7465437788018434)</f>
        <v>0.7465437788</v>
      </c>
      <c r="AJ344" s="57">
        <f>IFERROR(__xludf.DUMMYFUNCTION("""COMPUTED_VALUE"""),0.4525139664804469)</f>
        <v>0.4525139665</v>
      </c>
      <c r="AK344" s="57">
        <f>IFERROR(__xludf.DUMMYFUNCTION("""COMPUTED_VALUE"""),0.5067778936392076)</f>
        <v>0.5067778936</v>
      </c>
      <c r="AL344" s="57">
        <f>IFERROR(__xludf.DUMMYFUNCTION("""COMPUTED_VALUE"""),0.32121612690019824)</f>
        <v>0.3212161269</v>
      </c>
      <c r="AM344" s="57">
        <f>IFERROR(__xludf.DUMMYFUNCTION("""COMPUTED_VALUE"""),1.0271989225186127)</f>
        <v>1.027198923</v>
      </c>
      <c r="AN344" s="57">
        <f>IFERROR(__xludf.DUMMYFUNCTION("""COMPUTED_VALUE"""),1.6363636363636362)</f>
        <v>1.636363636</v>
      </c>
      <c r="AO344" s="57">
        <f>IFERROR(__xludf.DUMMYFUNCTION("""COMPUTED_VALUE"""),1.3561643835616437)</f>
        <v>1.356164384</v>
      </c>
      <c r="AP344" s="35">
        <f>IFERROR(__xludf.DUMMYFUNCTION("""COMPUTED_VALUE"""),0.5529010238907849)</f>
        <v>0.5529010239</v>
      </c>
      <c r="AQ344" s="57">
        <f>IFERROR(__xludf.DUMMYFUNCTION("""COMPUTED_VALUE"""),1.215434083601286)</f>
        <v>1.215434084</v>
      </c>
      <c r="AR344" s="36" t="b">
        <f>IFERROR(__xludf.DUMMYFUNCTION("""COMPUTED_VALUE"""),TRUE)</f>
        <v>1</v>
      </c>
      <c r="AS344" s="57"/>
      <c r="AT344" s="37"/>
      <c r="AU344" s="30"/>
      <c r="AV344" s="30"/>
      <c r="AW344" s="30"/>
      <c r="AX344" s="30"/>
      <c r="AY344" s="30"/>
      <c r="AZ344" s="30"/>
    </row>
    <row r="345">
      <c r="A345" s="30" t="str">
        <f>IFERROR(__xludf.DUMMYFUNCTION("""COMPUTED_VALUE"""),"Elite")</f>
        <v>Elite</v>
      </c>
      <c r="B345" s="30" t="str">
        <f>IFERROR(__xludf.DUMMYFUNCTION("""COMPUTED_VALUE"""),"RSC005490")</f>
        <v>RSC005490</v>
      </c>
      <c r="C345" s="30" t="str">
        <f>IFERROR(__xludf.DUMMYFUNCTION("""COMPUTED_VALUE"""),"iProfessorEx")</f>
        <v>iProfessorEx</v>
      </c>
      <c r="D345" s="31" t="str">
        <f>IFERROR(__xludf.DUMMYFUNCTION("""COMPUTED_VALUE"""),"Repossessed")</f>
        <v>Repossessed</v>
      </c>
      <c r="E345" s="31">
        <f>IFERROR(__xludf.DUMMYFUNCTION("""COMPUTED_VALUE"""),-24.161337952339963)</f>
        <v>-24.16133795</v>
      </c>
      <c r="F345" s="31">
        <f>IFERROR(__xludf.DUMMYFUNCTION("""COMPUTED_VALUE"""),-663.8874244565467)</f>
        <v>-663.8874245</v>
      </c>
      <c r="G345" s="31">
        <f>IFERROR(__xludf.DUMMYFUNCTION("""COMPUTED_VALUE"""),-4.0023512452184065)</f>
        <v>-4.002351245</v>
      </c>
      <c r="H345" s="31">
        <f>IFERROR(__xludf.DUMMYFUNCTION("""COMPUTED_VALUE"""),-65.00811556233911)</f>
        <v>-65.00811556</v>
      </c>
      <c r="I345" s="54">
        <f>IFERROR(__xludf.DUMMYFUNCTION("""COMPUTED_VALUE"""),4.0)</f>
        <v>4</v>
      </c>
      <c r="J345" s="55">
        <f>IFERROR(__xludf.DUMMYFUNCTION("""COMPUTED_VALUE"""),0.0)</f>
        <v>0</v>
      </c>
      <c r="K345" s="54">
        <f>IFERROR(__xludf.DUMMYFUNCTION("""COMPUTED_VALUE"""),4.0)</f>
        <v>4</v>
      </c>
      <c r="L345" s="56">
        <f>IFERROR(__xludf.DUMMYFUNCTION("""COMPUTED_VALUE"""),0.0)</f>
        <v>0</v>
      </c>
      <c r="M345" s="56">
        <f>IFERROR(__xludf.DUMMYFUNCTION("""COMPUTED_VALUE"""),0.0)</f>
        <v>0</v>
      </c>
      <c r="N345" s="31">
        <f>IFERROR(__xludf.DUMMYFUNCTION("""COMPUTED_VALUE"""),233.0)</f>
        <v>233</v>
      </c>
      <c r="O345" s="57">
        <f>IFERROR(__xludf.DUMMYFUNCTION("""COMPUTED_VALUE"""),0.0)</f>
        <v>0</v>
      </c>
      <c r="P345" s="57">
        <f>IFERROR(__xludf.DUMMYFUNCTION("""COMPUTED_VALUE"""),0.25)</f>
        <v>0.25</v>
      </c>
      <c r="Q345" s="57">
        <f>IFERROR(__xludf.DUMMYFUNCTION("""COMPUTED_VALUE"""),1.5)</f>
        <v>1.5</v>
      </c>
      <c r="R345" s="57">
        <f>IFERROR(__xludf.DUMMYFUNCTION("""COMPUTED_VALUE"""),1.25)</f>
        <v>1.25</v>
      </c>
      <c r="S345" s="31">
        <f>IFERROR(__xludf.DUMMYFUNCTION("""COMPUTED_VALUE"""),443.0833333333333)</f>
        <v>443.0833333</v>
      </c>
      <c r="T345" s="57">
        <f>IFERROR(__xludf.DUMMYFUNCTION("""COMPUTED_VALUE"""),1.0833333333333335)</f>
        <v>1.083333333</v>
      </c>
      <c r="U345" s="57">
        <f>IFERROR(__xludf.DUMMYFUNCTION("""COMPUTED_VALUE"""),0.9999999999999999)</f>
        <v>1</v>
      </c>
      <c r="V345" s="57">
        <f>IFERROR(__xludf.DUMMYFUNCTION("""COMPUTED_VALUE"""),1.6666666666666667)</f>
        <v>1.666666667</v>
      </c>
      <c r="W345" s="57">
        <f>IFERROR(__xludf.DUMMYFUNCTION("""COMPUTED_VALUE"""),3.0833333333333335)</f>
        <v>3.083333333</v>
      </c>
      <c r="X345" s="31">
        <f>IFERROR(__xludf.DUMMYFUNCTION("""COMPUTED_VALUE"""),379.0912698412699)</f>
        <v>379.0912698</v>
      </c>
      <c r="Y345" s="57">
        <f>IFERROR(__xludf.DUMMYFUNCTION("""COMPUTED_VALUE"""),0.8035714285714285)</f>
        <v>0.8035714286</v>
      </c>
      <c r="Z345" s="57">
        <f>IFERROR(__xludf.DUMMYFUNCTION("""COMPUTED_VALUE"""),0.6231812169312169)</f>
        <v>0.6231812169</v>
      </c>
      <c r="AA345" s="57">
        <f>IFERROR(__xludf.DUMMYFUNCTION("""COMPUTED_VALUE"""),1.5540674603174605)</f>
        <v>1.55406746</v>
      </c>
      <c r="AB345" s="57">
        <f>IFERROR(__xludf.DUMMYFUNCTION("""COMPUTED_VALUE"""),2.7273478835978837)</f>
        <v>2.727347884</v>
      </c>
      <c r="AC345" s="31">
        <f>IFERROR(__xludf.DUMMYFUNCTION("""COMPUTED_VALUE"""),365.148864638448)</f>
        <v>365.1488646</v>
      </c>
      <c r="AD345" s="57">
        <f>IFERROR(__xludf.DUMMYFUNCTION("""COMPUTED_VALUE"""),0.771880511463845)</f>
        <v>0.7718805115</v>
      </c>
      <c r="AE345" s="57">
        <f>IFERROR(__xludf.DUMMYFUNCTION("""COMPUTED_VALUE"""),0.5389660493827162)</f>
        <v>0.5389660494</v>
      </c>
      <c r="AF345" s="57">
        <f>IFERROR(__xludf.DUMMYFUNCTION("""COMPUTED_VALUE"""),1.5432649911816576)</f>
        <v>1.543264991</v>
      </c>
      <c r="AG345" s="57">
        <f>IFERROR(__xludf.DUMMYFUNCTION("""COMPUTED_VALUE"""),2.6633597883597884)</f>
        <v>2.663359788</v>
      </c>
      <c r="AH345" s="57">
        <f>IFERROR(__xludf.DUMMYFUNCTION("""COMPUTED_VALUE"""),0.6380959180325122)</f>
        <v>0.638095918</v>
      </c>
      <c r="AI345" s="57">
        <f>IFERROR(__xludf.DUMMYFUNCTION("""COMPUTED_VALUE"""),0.0)</f>
        <v>0</v>
      </c>
      <c r="AJ345" s="57">
        <f>IFERROR(__xludf.DUMMYFUNCTION("""COMPUTED_VALUE"""),0.4638511095204007)</f>
        <v>0.4638511095</v>
      </c>
      <c r="AK345" s="57">
        <f>IFERROR(__xludf.DUMMYFUNCTION("""COMPUTED_VALUE"""),0.9719652869540375)</f>
        <v>0.971965287</v>
      </c>
      <c r="AL345" s="57">
        <f>IFERROR(__xludf.DUMMYFUNCTION("""COMPUTED_VALUE"""),0.4693320089396573)</f>
        <v>0.4693320089</v>
      </c>
      <c r="AM345" s="57">
        <f>IFERROR(__xludf.DUMMYFUNCTION("""COMPUTED_VALUE"""),1.1688038437784591)</f>
        <v>1.168803844</v>
      </c>
      <c r="AN345" s="57">
        <f>IFERROR(__xludf.DUMMYFUNCTION("""COMPUTED_VALUE"""),1.3481481481481485)</f>
        <v>1.348148148</v>
      </c>
      <c r="AO345" s="57">
        <f>IFERROR(__xludf.DUMMYFUNCTION("""COMPUTED_VALUE"""),1.604669673653489)</f>
        <v>1.604669674</v>
      </c>
      <c r="AP345" s="35">
        <f>IFERROR(__xludf.DUMMYFUNCTION("""COMPUTED_VALUE"""),1.072454516437919)</f>
        <v>1.072454516</v>
      </c>
      <c r="AQ345" s="57">
        <f>IFERROR(__xludf.DUMMYFUNCTION("""COMPUTED_VALUE"""),1.1305244013337374)</f>
        <v>1.130524401</v>
      </c>
      <c r="AR345" s="36" t="b">
        <f>IFERROR(__xludf.DUMMYFUNCTION("""COMPUTED_VALUE"""),TRUE)</f>
        <v>1</v>
      </c>
      <c r="AS345" s="57"/>
      <c r="AT345" s="37"/>
      <c r="AU345" s="30"/>
      <c r="AV345" s="30"/>
      <c r="AW345" s="30"/>
      <c r="AX345" s="30"/>
      <c r="AY345" s="30"/>
      <c r="AZ345" s="30"/>
    </row>
    <row r="346">
      <c r="A346" s="30" t="str">
        <f>IFERROR(__xludf.DUMMYFUNCTION("""COMPUTED_VALUE"""),"Master")</f>
        <v>Master</v>
      </c>
      <c r="B346" s="30" t="str">
        <f>IFERROR(__xludf.DUMMYFUNCTION("""COMPUTED_VALUE"""),"RSC006408")</f>
        <v>RSC006408</v>
      </c>
      <c r="C346" s="30" t="str">
        <f>IFERROR(__xludf.DUMMYFUNCTION("""COMPUTED_VALUE"""),"Met.")</f>
        <v>Met.</v>
      </c>
      <c r="D346" s="31" t="str">
        <f>IFERROR(__xludf.DUMMYFUNCTION("""COMPUTED_VALUE"""),"Battle Masters")</f>
        <v>Battle Masters</v>
      </c>
      <c r="E346" s="31">
        <f>IFERROR(__xludf.DUMMYFUNCTION("""COMPUTED_VALUE"""),100.25460501988178)</f>
        <v>100.254605</v>
      </c>
      <c r="F346" s="31">
        <f>IFERROR(__xludf.DUMMYFUNCTION("""COMPUTED_VALUE"""),45.033181296943226)</f>
        <v>45.0331813</v>
      </c>
      <c r="G346" s="31">
        <f>IFERROR(__xludf.DUMMYFUNCTION("""COMPUTED_VALUE"""),95.91171668831944)</f>
        <v>95.91171669</v>
      </c>
      <c r="H346" s="31">
        <f>IFERROR(__xludf.DUMMYFUNCTION("""COMPUTED_VALUE"""),30.171204103402687)</f>
        <v>30.1712041</v>
      </c>
      <c r="I346" s="54">
        <f>IFERROR(__xludf.DUMMYFUNCTION("""COMPUTED_VALUE"""),28.0)</f>
        <v>28</v>
      </c>
      <c r="J346" s="55">
        <f>IFERROR(__xludf.DUMMYFUNCTION("""COMPUTED_VALUE"""),21.0)</f>
        <v>21</v>
      </c>
      <c r="K346" s="54">
        <f>IFERROR(__xludf.DUMMYFUNCTION("""COMPUTED_VALUE"""),7.0)</f>
        <v>7</v>
      </c>
      <c r="L346" s="56">
        <f>IFERROR(__xludf.DUMMYFUNCTION("""COMPUTED_VALUE"""),0.75)</f>
        <v>0.75</v>
      </c>
      <c r="M346" s="56">
        <f>IFERROR(__xludf.DUMMYFUNCTION("""COMPUTED_VALUE"""),0.31481481481481477)</f>
        <v>0.3148148148</v>
      </c>
      <c r="N346" s="31">
        <f>IFERROR(__xludf.DUMMYFUNCTION("""COMPUTED_VALUE"""),461.39285714285717)</f>
        <v>461.3928571</v>
      </c>
      <c r="O346" s="57">
        <f>IFERROR(__xludf.DUMMYFUNCTION("""COMPUTED_VALUE"""),1.2142857142857142)</f>
        <v>1.214285714</v>
      </c>
      <c r="P346" s="57">
        <f>IFERROR(__xludf.DUMMYFUNCTION("""COMPUTED_VALUE"""),1.1071428571428572)</f>
        <v>1.107142857</v>
      </c>
      <c r="Q346" s="57">
        <f>IFERROR(__xludf.DUMMYFUNCTION("""COMPUTED_VALUE"""),1.2142857142857142)</f>
        <v>1.214285714</v>
      </c>
      <c r="R346" s="57">
        <f>IFERROR(__xludf.DUMMYFUNCTION("""COMPUTED_VALUE"""),3.857142857142857)</f>
        <v>3.857142857</v>
      </c>
      <c r="S346" s="31">
        <f>IFERROR(__xludf.DUMMYFUNCTION("""COMPUTED_VALUE"""),342.00000000000006)</f>
        <v>342</v>
      </c>
      <c r="T346" s="57">
        <f>IFERROR(__xludf.DUMMYFUNCTION("""COMPUTED_VALUE"""),0.5595238095238095)</f>
        <v>0.5595238095</v>
      </c>
      <c r="U346" s="57">
        <f>IFERROR(__xludf.DUMMYFUNCTION("""COMPUTED_VALUE"""),0.4404761904761905)</f>
        <v>0.4404761905</v>
      </c>
      <c r="V346" s="57">
        <f>IFERROR(__xludf.DUMMYFUNCTION("""COMPUTED_VALUE"""),1.6904761904761902)</f>
        <v>1.69047619</v>
      </c>
      <c r="W346" s="57">
        <f>IFERROR(__xludf.DUMMYFUNCTION("""COMPUTED_VALUE"""),2.226190476190476)</f>
        <v>2.226190476</v>
      </c>
      <c r="X346" s="31">
        <f>IFERROR(__xludf.DUMMYFUNCTION("""COMPUTED_VALUE"""),369.47254778197276)</f>
        <v>369.4725478</v>
      </c>
      <c r="Y346" s="57">
        <f>IFERROR(__xludf.DUMMYFUNCTION("""COMPUTED_VALUE"""),0.7709216645620682)</f>
        <v>0.7709216646</v>
      </c>
      <c r="Z346" s="57">
        <f>IFERROR(__xludf.DUMMYFUNCTION("""COMPUTED_VALUE"""),0.5924592769454741)</f>
        <v>0.5924592769</v>
      </c>
      <c r="AA346" s="57">
        <f>IFERROR(__xludf.DUMMYFUNCTION("""COMPUTED_VALUE"""),1.5422862238563233)</f>
        <v>1.542286224</v>
      </c>
      <c r="AB346" s="57">
        <f>IFERROR(__xludf.DUMMYFUNCTION("""COMPUTED_VALUE"""),2.689630955626083)</f>
        <v>2.689630956</v>
      </c>
      <c r="AC346" s="31">
        <f>IFERROR(__xludf.DUMMYFUNCTION("""COMPUTED_VALUE"""),400.4535570649922)</f>
        <v>400.4535571</v>
      </c>
      <c r="AD346" s="57">
        <f>IFERROR(__xludf.DUMMYFUNCTION("""COMPUTED_VALUE"""),0.9698710311829561)</f>
        <v>0.9698710312</v>
      </c>
      <c r="AE346" s="57">
        <f>IFERROR(__xludf.DUMMYFUNCTION("""COMPUTED_VALUE"""),0.7496014539626051)</f>
        <v>0.749601454</v>
      </c>
      <c r="AF346" s="57">
        <f>IFERROR(__xludf.DUMMYFUNCTION("""COMPUTED_VALUE"""),1.4894269550299555)</f>
        <v>1.489426955</v>
      </c>
      <c r="AG346" s="57">
        <f>IFERROR(__xludf.DUMMYFUNCTION("""COMPUTED_VALUE"""),2.945332286645874)</f>
        <v>2.945332287</v>
      </c>
      <c r="AH346" s="57">
        <f>IFERROR(__xludf.DUMMYFUNCTION("""COMPUTED_VALUE"""),1.1521756992858343)</f>
        <v>1.152175699</v>
      </c>
      <c r="AI346" s="57">
        <f>IFERROR(__xludf.DUMMYFUNCTION("""COMPUTED_VALUE"""),1.2520074063915945)</f>
        <v>1.252007406</v>
      </c>
      <c r="AJ346" s="57">
        <f>IFERROR(__xludf.DUMMYFUNCTION("""COMPUTED_VALUE"""),1.4769753330789144)</f>
        <v>1.476975333</v>
      </c>
      <c r="AK346" s="57">
        <f>IFERROR(__xludf.DUMMYFUNCTION("""COMPUTED_VALUE"""),0.8152704032815711)</f>
        <v>0.8152704033</v>
      </c>
      <c r="AL346" s="57">
        <f>IFERROR(__xludf.DUMMYFUNCTION("""COMPUTED_VALUE"""),1.309578166997024)</f>
        <v>1.309578167</v>
      </c>
      <c r="AM346" s="57">
        <f>IFERROR(__xludf.DUMMYFUNCTION("""COMPUTED_VALUE"""),0.9256438727399461)</f>
        <v>0.9256438727</v>
      </c>
      <c r="AN346" s="57">
        <f>IFERROR(__xludf.DUMMYFUNCTION("""COMPUTED_VALUE"""),0.7257855567486926)</f>
        <v>0.7257855567</v>
      </c>
      <c r="AO346" s="57">
        <f>IFERROR(__xludf.DUMMYFUNCTION("""COMPUTED_VALUE"""),0.7434708301761118)</f>
        <v>0.7434708302</v>
      </c>
      <c r="AP346" s="35">
        <f>IFERROR(__xludf.DUMMYFUNCTION("""COMPUTED_VALUE"""),1.0960846075959452)</f>
        <v>1.096084608</v>
      </c>
      <c r="AQ346" s="57">
        <f>IFERROR(__xludf.DUMMYFUNCTION("""COMPUTED_VALUE"""),0.8276936549729258)</f>
        <v>0.827693655</v>
      </c>
      <c r="AR346" s="36" t="b">
        <f>IFERROR(__xludf.DUMMYFUNCTION("""COMPUTED_VALUE"""),TRUE)</f>
        <v>1</v>
      </c>
      <c r="AS346" s="57"/>
      <c r="AT346" s="37"/>
      <c r="AU346" s="30"/>
      <c r="AV346" s="30"/>
      <c r="AW346" s="30"/>
      <c r="AX346" s="30"/>
      <c r="AY346" s="30"/>
      <c r="AZ346" s="30"/>
    </row>
    <row r="347">
      <c r="A347" s="30" t="str">
        <f>IFERROR(__xludf.DUMMYFUNCTION("""COMPUTED_VALUE"""),"Master")</f>
        <v>Master</v>
      </c>
      <c r="B347" s="30" t="str">
        <f>IFERROR(__xludf.DUMMYFUNCTION("""COMPUTED_VALUE"""),"RSC007099")</f>
        <v>RSC007099</v>
      </c>
      <c r="C347" s="30" t="str">
        <f>IFERROR(__xludf.DUMMYFUNCTION("""COMPUTED_VALUE"""),"gumwee wigglebean")</f>
        <v>gumwee wigglebean</v>
      </c>
      <c r="D347" s="31" t="str">
        <f>IFERROR(__xludf.DUMMYFUNCTION("""COMPUTED_VALUE"""),"Plinko")</f>
        <v>Plinko</v>
      </c>
      <c r="E347" s="31">
        <f>IFERROR(__xludf.DUMMYFUNCTION("""COMPUTED_VALUE"""),95.43025619251696)</f>
        <v>95.43025619</v>
      </c>
      <c r="F347" s="31">
        <f>IFERROR(__xludf.DUMMYFUNCTION("""COMPUTED_VALUE"""),28.908031022229075)</f>
        <v>28.90803102</v>
      </c>
      <c r="G347" s="31">
        <f>IFERROR(__xludf.DUMMYFUNCTION("""COMPUTED_VALUE"""),81.97433317095613)</f>
        <v>81.97433317</v>
      </c>
      <c r="H347" s="31">
        <f>IFERROR(__xludf.DUMMYFUNCTION("""COMPUTED_VALUE"""),9.954882041805387)</f>
        <v>9.954882042</v>
      </c>
      <c r="I347" s="54">
        <f>IFERROR(__xludf.DUMMYFUNCTION("""COMPUTED_VALUE"""),12.0)</f>
        <v>12</v>
      </c>
      <c r="J347" s="55">
        <f>IFERROR(__xludf.DUMMYFUNCTION("""COMPUTED_VALUE"""),6.0)</f>
        <v>6</v>
      </c>
      <c r="K347" s="54">
        <f>IFERROR(__xludf.DUMMYFUNCTION("""COMPUTED_VALUE"""),6.0)</f>
        <v>6</v>
      </c>
      <c r="L347" s="56">
        <f>IFERROR(__xludf.DUMMYFUNCTION("""COMPUTED_VALUE"""),0.5)</f>
        <v>0.5</v>
      </c>
      <c r="M347" s="56">
        <f>IFERROR(__xludf.DUMMYFUNCTION("""COMPUTED_VALUE"""),0.3720930232558139)</f>
        <v>0.3720930233</v>
      </c>
      <c r="N347" s="31">
        <f>IFERROR(__xludf.DUMMYFUNCTION("""COMPUTED_VALUE"""),489.1666666666667)</f>
        <v>489.1666667</v>
      </c>
      <c r="O347" s="57">
        <f>IFERROR(__xludf.DUMMYFUNCTION("""COMPUTED_VALUE"""),1.3333333333333333)</f>
        <v>1.333333333</v>
      </c>
      <c r="P347" s="57">
        <f>IFERROR(__xludf.DUMMYFUNCTION("""COMPUTED_VALUE"""),0.8333333333333334)</f>
        <v>0.8333333333</v>
      </c>
      <c r="Q347" s="57">
        <f>IFERROR(__xludf.DUMMYFUNCTION("""COMPUTED_VALUE"""),1.4166666666666667)</f>
        <v>1.416666667</v>
      </c>
      <c r="R347" s="57">
        <f>IFERROR(__xludf.DUMMYFUNCTION("""COMPUTED_VALUE"""),3.5833333333333335)</f>
        <v>3.583333333</v>
      </c>
      <c r="S347" s="31">
        <f>IFERROR(__xludf.DUMMYFUNCTION("""COMPUTED_VALUE"""),408.0)</f>
        <v>408</v>
      </c>
      <c r="T347" s="57">
        <f>IFERROR(__xludf.DUMMYFUNCTION("""COMPUTED_VALUE"""),0.8055555555555555)</f>
        <v>0.8055555556</v>
      </c>
      <c r="U347" s="57">
        <f>IFERROR(__xludf.DUMMYFUNCTION("""COMPUTED_VALUE"""),0.6666666666666666)</f>
        <v>0.6666666667</v>
      </c>
      <c r="V347" s="57">
        <f>IFERROR(__xludf.DUMMYFUNCTION("""COMPUTED_VALUE"""),1.6944444444444444)</f>
        <v>1.694444444</v>
      </c>
      <c r="W347" s="57">
        <f>IFERROR(__xludf.DUMMYFUNCTION("""COMPUTED_VALUE"""),2.638888888888889)</f>
        <v>2.638888889</v>
      </c>
      <c r="X347" s="31">
        <f>IFERROR(__xludf.DUMMYFUNCTION("""COMPUTED_VALUE"""),388.8691260174103)</f>
        <v>388.869126</v>
      </c>
      <c r="Y347" s="57">
        <f>IFERROR(__xludf.DUMMYFUNCTION("""COMPUTED_VALUE"""),0.8630345825198766)</f>
        <v>0.8630345825</v>
      </c>
      <c r="Z347" s="57">
        <f>IFERROR(__xludf.DUMMYFUNCTION("""COMPUTED_VALUE"""),0.6955282281262672)</f>
        <v>0.6955282281</v>
      </c>
      <c r="AA347" s="57">
        <f>IFERROR(__xludf.DUMMYFUNCTION("""COMPUTED_VALUE"""),1.4436549198804098)</f>
        <v>1.44365492</v>
      </c>
      <c r="AB347" s="57">
        <f>IFERROR(__xludf.DUMMYFUNCTION("""COMPUTED_VALUE"""),2.787256847183317)</f>
        <v>2.787256847</v>
      </c>
      <c r="AC347" s="31">
        <f>IFERROR(__xludf.DUMMYFUNCTION("""COMPUTED_VALUE"""),393.84239311886375)</f>
        <v>393.8423931</v>
      </c>
      <c r="AD347" s="57">
        <f>IFERROR(__xludf.DUMMYFUNCTION("""COMPUTED_VALUE"""),0.8437477207493544)</f>
        <v>0.8437477207</v>
      </c>
      <c r="AE347" s="57">
        <f>IFERROR(__xludf.DUMMYFUNCTION("""COMPUTED_VALUE"""),0.6508028856885067)</f>
        <v>0.6508028857</v>
      </c>
      <c r="AF347" s="57">
        <f>IFERROR(__xludf.DUMMYFUNCTION("""COMPUTED_VALUE"""),1.5434003315130769)</f>
        <v>1.543400332</v>
      </c>
      <c r="AG347" s="57">
        <f>IFERROR(__xludf.DUMMYFUNCTION("""COMPUTED_VALUE"""),2.7729129530600116)</f>
        <v>2.772912953</v>
      </c>
      <c r="AH347" s="57">
        <f>IFERROR(__xludf.DUMMYFUNCTION("""COMPUTED_VALUE"""),1.242036599445082)</f>
        <v>1.242036599</v>
      </c>
      <c r="AI347" s="57">
        <f>IFERROR(__xludf.DUMMYFUNCTION("""COMPUTED_VALUE"""),1.5802511823666499)</f>
        <v>1.580251182</v>
      </c>
      <c r="AJ347" s="57">
        <f>IFERROR(__xludf.DUMMYFUNCTION("""COMPUTED_VALUE"""),1.2804696347523434)</f>
        <v>1.280469635</v>
      </c>
      <c r="AK347" s="57">
        <f>IFERROR(__xludf.DUMMYFUNCTION("""COMPUTED_VALUE"""),0.9178867191753377)</f>
        <v>0.9178867192</v>
      </c>
      <c r="AL347" s="57">
        <f>IFERROR(__xludf.DUMMYFUNCTION("""COMPUTED_VALUE"""),1.2922631882039401)</f>
        <v>1.292263188</v>
      </c>
      <c r="AM347" s="57">
        <f>IFERROR(__xludf.DUMMYFUNCTION("""COMPUTED_VALUE"""),1.0491961760464708)</f>
        <v>1.049196176</v>
      </c>
      <c r="AN347" s="57">
        <f>IFERROR(__xludf.DUMMYFUNCTION("""COMPUTED_VALUE"""),0.9333989296274842)</f>
        <v>0.9333989296</v>
      </c>
      <c r="AO347" s="57">
        <f>IFERROR(__xludf.DUMMYFUNCTION("""COMPUTED_VALUE"""),0.9585041119936242)</f>
        <v>0.958504112</v>
      </c>
      <c r="AP347" s="35">
        <f>IFERROR(__xludf.DUMMYFUNCTION("""COMPUTED_VALUE"""),1.1737184704671735)</f>
        <v>1.17371847</v>
      </c>
      <c r="AQ347" s="57">
        <f>IFERROR(__xludf.DUMMYFUNCTION("""COMPUTED_VALUE"""),0.9467691833121291)</f>
        <v>0.9467691833</v>
      </c>
      <c r="AR347" s="36" t="b">
        <f>IFERROR(__xludf.DUMMYFUNCTION("""COMPUTED_VALUE"""),TRUE)</f>
        <v>1</v>
      </c>
      <c r="AS347" s="57"/>
      <c r="AT347" s="37"/>
      <c r="AU347" s="30"/>
      <c r="AV347" s="30"/>
      <c r="AW347" s="30"/>
      <c r="AX347" s="30"/>
      <c r="AY347" s="30"/>
      <c r="AZ347" s="30"/>
    </row>
    <row r="348">
      <c r="A348" s="30" t="str">
        <f>IFERROR(__xludf.DUMMYFUNCTION("""COMPUTED_VALUE"""),"Master")</f>
        <v>Master</v>
      </c>
      <c r="B348" s="30" t="str">
        <f>IFERROR(__xludf.DUMMYFUNCTION("""COMPUTED_VALUE"""),"RSC006889")</f>
        <v>RSC006889</v>
      </c>
      <c r="C348" s="30" t="str">
        <f>IFERROR(__xludf.DUMMYFUNCTION("""COMPUTED_VALUE"""),"Jay")</f>
        <v>Jay</v>
      </c>
      <c r="D348" s="31" t="str">
        <f>IFERROR(__xludf.DUMMYFUNCTION("""COMPUTED_VALUE"""),"Basilisks")</f>
        <v>Basilisks</v>
      </c>
      <c r="E348" s="31">
        <f>IFERROR(__xludf.DUMMYFUNCTION("""COMPUTED_VALUE"""),92.28561874555069)</f>
        <v>92.28561875</v>
      </c>
      <c r="F348" s="31">
        <f>IFERROR(__xludf.DUMMYFUNCTION("""COMPUTED_VALUE"""),22.0371812461421)</f>
        <v>22.03718125</v>
      </c>
      <c r="G348" s="31">
        <f>IFERROR(__xludf.DUMMYFUNCTION("""COMPUTED_VALUE"""),82.84975716552962)</f>
        <v>82.84975717</v>
      </c>
      <c r="H348" s="31">
        <f>IFERROR(__xludf.DUMMYFUNCTION("""COMPUTED_VALUE"""),10.59044522591464)</f>
        <v>10.59044523</v>
      </c>
      <c r="I348" s="54">
        <f>IFERROR(__xludf.DUMMYFUNCTION("""COMPUTED_VALUE"""),35.0)</f>
        <v>35</v>
      </c>
      <c r="J348" s="55">
        <f>IFERROR(__xludf.DUMMYFUNCTION("""COMPUTED_VALUE"""),22.0)</f>
        <v>22</v>
      </c>
      <c r="K348" s="54">
        <f>IFERROR(__xludf.DUMMYFUNCTION("""COMPUTED_VALUE"""),13.0)</f>
        <v>13</v>
      </c>
      <c r="L348" s="56">
        <f>IFERROR(__xludf.DUMMYFUNCTION("""COMPUTED_VALUE"""),0.6285714285714286)</f>
        <v>0.6285714286</v>
      </c>
      <c r="M348" s="56">
        <f>IFERROR(__xludf.DUMMYFUNCTION("""COMPUTED_VALUE"""),0.4)</f>
        <v>0.4</v>
      </c>
      <c r="N348" s="31">
        <f>IFERROR(__xludf.DUMMYFUNCTION("""COMPUTED_VALUE"""),500.9428571428571)</f>
        <v>500.9428571</v>
      </c>
      <c r="O348" s="57">
        <f>IFERROR(__xludf.DUMMYFUNCTION("""COMPUTED_VALUE"""),1.4857142857142858)</f>
        <v>1.485714286</v>
      </c>
      <c r="P348" s="57">
        <f>IFERROR(__xludf.DUMMYFUNCTION("""COMPUTED_VALUE"""),0.6)</f>
        <v>0.6</v>
      </c>
      <c r="Q348" s="57">
        <f>IFERROR(__xludf.DUMMYFUNCTION("""COMPUTED_VALUE"""),2.142857142857143)</f>
        <v>2.142857143</v>
      </c>
      <c r="R348" s="57">
        <f>IFERROR(__xludf.DUMMYFUNCTION("""COMPUTED_VALUE"""),3.7142857142857144)</f>
        <v>3.714285714</v>
      </c>
      <c r="S348" s="31">
        <f>IFERROR(__xludf.DUMMYFUNCTION("""COMPUTED_VALUE"""),363.49523809523805)</f>
        <v>363.4952381</v>
      </c>
      <c r="T348" s="57">
        <f>IFERROR(__xludf.DUMMYFUNCTION("""COMPUTED_VALUE"""),0.7523809523809524)</f>
        <v>0.7523809524</v>
      </c>
      <c r="U348" s="57">
        <f>IFERROR(__xludf.DUMMYFUNCTION("""COMPUTED_VALUE"""),0.6190476190476191)</f>
        <v>0.619047619</v>
      </c>
      <c r="V348" s="57">
        <f>IFERROR(__xludf.DUMMYFUNCTION("""COMPUTED_VALUE"""),1.4476190476190478)</f>
        <v>1.447619048</v>
      </c>
      <c r="W348" s="57">
        <f>IFERROR(__xludf.DUMMYFUNCTION("""COMPUTED_VALUE"""),2.9333333333333336)</f>
        <v>2.933333333</v>
      </c>
      <c r="X348" s="31">
        <f>IFERROR(__xludf.DUMMYFUNCTION("""COMPUTED_VALUE"""),381.2076119461561)</f>
        <v>381.2076119</v>
      </c>
      <c r="Y348" s="57">
        <f>IFERROR(__xludf.DUMMYFUNCTION("""COMPUTED_VALUE"""),0.8229907021642875)</f>
        <v>0.8229907022</v>
      </c>
      <c r="Z348" s="57">
        <f>IFERROR(__xludf.DUMMYFUNCTION("""COMPUTED_VALUE"""),0.6501245637301561)</f>
        <v>0.6501245637</v>
      </c>
      <c r="AA348" s="57">
        <f>IFERROR(__xludf.DUMMYFUNCTION("""COMPUTED_VALUE"""),1.5202797709879472)</f>
        <v>1.520279771</v>
      </c>
      <c r="AB348" s="57">
        <f>IFERROR(__xludf.DUMMYFUNCTION("""COMPUTED_VALUE"""),2.807537277193877)</f>
        <v>2.807537277</v>
      </c>
      <c r="AC348" s="31">
        <f>IFERROR(__xludf.DUMMYFUNCTION("""COMPUTED_VALUE"""),391.2642718967724)</f>
        <v>391.2642719</v>
      </c>
      <c r="AD348" s="57">
        <f>IFERROR(__xludf.DUMMYFUNCTION("""COMPUTED_VALUE"""),0.8710568490651838)</f>
        <v>0.8710568491</v>
      </c>
      <c r="AE348" s="57">
        <f>IFERROR(__xludf.DUMMYFUNCTION("""COMPUTED_VALUE"""),0.6716858643399646)</f>
        <v>0.6716858643</v>
      </c>
      <c r="AF348" s="57">
        <f>IFERROR(__xludf.DUMMYFUNCTION("""COMPUTED_VALUE"""),1.543613374381869)</f>
        <v>1.543613374</v>
      </c>
      <c r="AG348" s="57">
        <f>IFERROR(__xludf.DUMMYFUNCTION("""COMPUTED_VALUE"""),2.871614758702301)</f>
        <v>2.871614759</v>
      </c>
      <c r="AH348" s="57">
        <f>IFERROR(__xludf.DUMMYFUNCTION("""COMPUTED_VALUE"""),1.2803184270170758)</f>
        <v>1.280318427</v>
      </c>
      <c r="AI348" s="57">
        <f>IFERROR(__xludf.DUMMYFUNCTION("""COMPUTED_VALUE"""),1.7056456043124522)</f>
        <v>1.705645604</v>
      </c>
      <c r="AJ348" s="57">
        <f>IFERROR(__xludf.DUMMYFUNCTION("""COMPUTED_VALUE"""),0.8932747164324992)</f>
        <v>0.8932747164</v>
      </c>
      <c r="AK348" s="57">
        <f>IFERROR(__xludf.DUMMYFUNCTION("""COMPUTED_VALUE"""),1.3882084584264744)</f>
        <v>1.388208458</v>
      </c>
      <c r="AL348" s="57">
        <f>IFERROR(__xludf.DUMMYFUNCTION("""COMPUTED_VALUE"""),1.2934484693776338)</f>
        <v>1.293448469</v>
      </c>
      <c r="AM348" s="57">
        <f>IFERROR(__xludf.DUMMYFUNCTION("""COMPUTED_VALUE"""),0.9535361485556594)</f>
        <v>0.9535361486</v>
      </c>
      <c r="AN348" s="57">
        <f>IFERROR(__xludf.DUMMYFUNCTION("""COMPUTED_VALUE"""),0.9142034659715513)</f>
        <v>0.914203466</v>
      </c>
      <c r="AO348" s="57">
        <f>IFERROR(__xludf.DUMMYFUNCTION("""COMPUTED_VALUE"""),0.9521984763900784)</f>
        <v>0.9521984764</v>
      </c>
      <c r="AP348" s="35">
        <f>IFERROR(__xludf.DUMMYFUNCTION("""COMPUTED_VALUE"""),0.9522056895345775)</f>
        <v>0.9522056895</v>
      </c>
      <c r="AQ348" s="57">
        <f>IFERROR(__xludf.DUMMYFUNCTION("""COMPUTED_VALUE"""),1.044806548843116)</f>
        <v>1.044806549</v>
      </c>
      <c r="AR348" s="36" t="b">
        <f>IFERROR(__xludf.DUMMYFUNCTION("""COMPUTED_VALUE"""),TRUE)</f>
        <v>1</v>
      </c>
      <c r="AS348" s="57"/>
      <c r="AT348" s="37"/>
      <c r="AU348" s="30"/>
      <c r="AV348" s="30"/>
      <c r="AW348" s="30"/>
      <c r="AX348" s="30"/>
      <c r="AY348" s="30"/>
      <c r="AZ348" s="30"/>
    </row>
    <row r="349">
      <c r="A349" s="30" t="str">
        <f>IFERROR(__xludf.DUMMYFUNCTION("""COMPUTED_VALUE"""),"Master")</f>
        <v>Master</v>
      </c>
      <c r="B349" s="30" t="str">
        <f>IFERROR(__xludf.DUMMYFUNCTION("""COMPUTED_VALUE"""),"RSC007455")</f>
        <v>RSC007455</v>
      </c>
      <c r="C349" s="30" t="str">
        <f>IFERROR(__xludf.DUMMYFUNCTION("""COMPUTED_VALUE"""),"Shlumpy")</f>
        <v>Shlumpy</v>
      </c>
      <c r="D349" s="31" t="str">
        <f>IFERROR(__xludf.DUMMYFUNCTION("""COMPUTED_VALUE"""),"Phantom Phreaks")</f>
        <v>Phantom Phreaks</v>
      </c>
      <c r="E349" s="31">
        <f>IFERROR(__xludf.DUMMYFUNCTION("""COMPUTED_VALUE"""),91.30331056300548)</f>
        <v>91.30331056</v>
      </c>
      <c r="F349" s="31">
        <f>IFERROR(__xludf.DUMMYFUNCTION("""COMPUTED_VALUE"""),20.303010508421565)</f>
        <v>20.30301051</v>
      </c>
      <c r="G349" s="31">
        <f>IFERROR(__xludf.DUMMYFUNCTION("""COMPUTED_VALUE"""),73.38170113454305)</f>
        <v>73.38170113</v>
      </c>
      <c r="H349" s="31">
        <f>IFERROR(__xludf.DUMMYFUNCTION("""COMPUTED_VALUE"""),5.72000279434311)</f>
        <v>5.720002794</v>
      </c>
      <c r="I349" s="54">
        <f>IFERROR(__xludf.DUMMYFUNCTION("""COMPUTED_VALUE"""),20.0)</f>
        <v>20</v>
      </c>
      <c r="J349" s="55">
        <f>IFERROR(__xludf.DUMMYFUNCTION("""COMPUTED_VALUE"""),13.0)</f>
        <v>13</v>
      </c>
      <c r="K349" s="54">
        <f>IFERROR(__xludf.DUMMYFUNCTION("""COMPUTED_VALUE"""),7.0)</f>
        <v>7</v>
      </c>
      <c r="L349" s="56">
        <f>IFERROR(__xludf.DUMMYFUNCTION("""COMPUTED_VALUE"""),0.65)</f>
        <v>0.65</v>
      </c>
      <c r="M349" s="56">
        <f>IFERROR(__xludf.DUMMYFUNCTION("""COMPUTED_VALUE"""),0.5263157894736842)</f>
        <v>0.5263157895</v>
      </c>
      <c r="N349" s="31">
        <f>IFERROR(__xludf.DUMMYFUNCTION("""COMPUTED_VALUE"""),450.9)</f>
        <v>450.9</v>
      </c>
      <c r="O349" s="57">
        <f>IFERROR(__xludf.DUMMYFUNCTION("""COMPUTED_VALUE"""),1.5)</f>
        <v>1.5</v>
      </c>
      <c r="P349" s="57">
        <f>IFERROR(__xludf.DUMMYFUNCTION("""COMPUTED_VALUE"""),0.8)</f>
        <v>0.8</v>
      </c>
      <c r="Q349" s="57">
        <f>IFERROR(__xludf.DUMMYFUNCTION("""COMPUTED_VALUE"""),1.2)</f>
        <v>1.2</v>
      </c>
      <c r="R349" s="57">
        <f>IFERROR(__xludf.DUMMYFUNCTION("""COMPUTED_VALUE"""),2.85)</f>
        <v>2.85</v>
      </c>
      <c r="S349" s="31">
        <f>IFERROR(__xludf.DUMMYFUNCTION("""COMPUTED_VALUE"""),361.31666666666666)</f>
        <v>361.3166667</v>
      </c>
      <c r="T349" s="57">
        <f>IFERROR(__xludf.DUMMYFUNCTION("""COMPUTED_VALUE"""),0.7833333333333333)</f>
        <v>0.7833333333</v>
      </c>
      <c r="U349" s="57">
        <f>IFERROR(__xludf.DUMMYFUNCTION("""COMPUTED_VALUE"""),0.5833333333333333)</f>
        <v>0.5833333333</v>
      </c>
      <c r="V349" s="57">
        <f>IFERROR(__xludf.DUMMYFUNCTION("""COMPUTED_VALUE"""),1.4)</f>
        <v>1.4</v>
      </c>
      <c r="W349" s="57">
        <f>IFERROR(__xludf.DUMMYFUNCTION("""COMPUTED_VALUE"""),2.3833333333333333)</f>
        <v>2.383333333</v>
      </c>
      <c r="X349" s="31">
        <f>IFERROR(__xludf.DUMMYFUNCTION("""COMPUTED_VALUE"""),378.1473618946808)</f>
        <v>378.1473619</v>
      </c>
      <c r="Y349" s="57">
        <f>IFERROR(__xludf.DUMMYFUNCTION("""COMPUTED_VALUE"""),0.8266677301634822)</f>
        <v>0.8266677302</v>
      </c>
      <c r="Z349" s="57">
        <f>IFERROR(__xludf.DUMMYFUNCTION("""COMPUTED_VALUE"""),0.6218347103735657)</f>
        <v>0.6218347104</v>
      </c>
      <c r="AA349" s="57">
        <f>IFERROR(__xludf.DUMMYFUNCTION("""COMPUTED_VALUE"""),1.4948715255767984)</f>
        <v>1.494871526</v>
      </c>
      <c r="AB349" s="57">
        <f>IFERROR(__xludf.DUMMYFUNCTION("""COMPUTED_VALUE"""),2.7111681552386195)</f>
        <v>2.711168155</v>
      </c>
      <c r="AC349" s="31">
        <f>IFERROR(__xludf.DUMMYFUNCTION("""COMPUTED_VALUE"""),388.3877076104711)</f>
        <v>388.3877076</v>
      </c>
      <c r="AD349" s="57">
        <f>IFERROR(__xludf.DUMMYFUNCTION("""COMPUTED_VALUE"""),0.8906022173219824)</f>
        <v>0.8906022173</v>
      </c>
      <c r="AE349" s="57">
        <f>IFERROR(__xludf.DUMMYFUNCTION("""COMPUTED_VALUE"""),0.68460749026487)</f>
        <v>0.6846074903</v>
      </c>
      <c r="AF349" s="57">
        <f>IFERROR(__xludf.DUMMYFUNCTION("""COMPUTED_VALUE"""),1.463843065093482)</f>
        <v>1.463843065</v>
      </c>
      <c r="AG349" s="57">
        <f>IFERROR(__xludf.DUMMYFUNCTION("""COMPUTED_VALUE"""),2.8436369954198533)</f>
        <v>2.843636995</v>
      </c>
      <c r="AH349" s="57">
        <f>IFERROR(__xludf.DUMMYFUNCTION("""COMPUTED_VALUE"""),1.160953323610913)</f>
        <v>1.160953324</v>
      </c>
      <c r="AI349" s="57">
        <f>IFERROR(__xludf.DUMMYFUNCTION("""COMPUTED_VALUE"""),1.6842536104507586)</f>
        <v>1.68425361</v>
      </c>
      <c r="AJ349" s="57">
        <f>IFERROR(__xludf.DUMMYFUNCTION("""COMPUTED_VALUE"""),1.1685528005112615)</f>
        <v>1.168552801</v>
      </c>
      <c r="AK349" s="57">
        <f>IFERROR(__xludf.DUMMYFUNCTION("""COMPUTED_VALUE"""),0.8197600061201692)</f>
        <v>0.8197600061</v>
      </c>
      <c r="AL349" s="57">
        <f>IFERROR(__xludf.DUMMYFUNCTION("""COMPUTED_VALUE"""),1.0022376289907593)</f>
        <v>1.002237629</v>
      </c>
      <c r="AM349" s="57">
        <f>IFERROR(__xludf.DUMMYFUNCTION("""COMPUTED_VALUE"""),0.9554917026428927)</f>
        <v>0.9554917026</v>
      </c>
      <c r="AN349" s="57">
        <f>IFERROR(__xludf.DUMMYFUNCTION("""COMPUTED_VALUE"""),0.9475794261116507)</f>
        <v>0.9475794261</v>
      </c>
      <c r="AO349" s="57">
        <f>IFERROR(__xludf.DUMMYFUNCTION("""COMPUTED_VALUE"""),0.938084226567052)</f>
        <v>0.9380842266</v>
      </c>
      <c r="AP349" s="35">
        <f>IFERROR(__xludf.DUMMYFUNCTION("""COMPUTED_VALUE"""),0.9365353316632397)</f>
        <v>0.9365353317</v>
      </c>
      <c r="AQ349" s="57">
        <f>IFERROR(__xludf.DUMMYFUNCTION("""COMPUTED_VALUE"""),0.879079864053496)</f>
        <v>0.8790798641</v>
      </c>
      <c r="AR349" s="36" t="b">
        <f>IFERROR(__xludf.DUMMYFUNCTION("""COMPUTED_VALUE"""),TRUE)</f>
        <v>1</v>
      </c>
      <c r="AS349" s="57"/>
      <c r="AT349" s="37"/>
      <c r="AU349" s="30"/>
      <c r="AV349" s="30"/>
      <c r="AW349" s="30"/>
      <c r="AX349" s="30"/>
      <c r="AY349" s="30"/>
      <c r="AZ349" s="30"/>
    </row>
    <row r="350">
      <c r="A350" s="30" t="str">
        <f>IFERROR(__xludf.DUMMYFUNCTION("""COMPUTED_VALUE"""),"Master")</f>
        <v>Master</v>
      </c>
      <c r="B350" s="30" t="str">
        <f>IFERROR(__xludf.DUMMYFUNCTION("""COMPUTED_VALUE"""),"RSC007976")</f>
        <v>RSC007976</v>
      </c>
      <c r="C350" s="30" t="str">
        <f>IFERROR(__xludf.DUMMYFUNCTION("""COMPUTED_VALUE"""),"Just Kraze")</f>
        <v>Just Kraze</v>
      </c>
      <c r="D350" s="31" t="str">
        <f>IFERROR(__xludf.DUMMYFUNCTION("""COMPUTED_VALUE"""),"Battle Masters")</f>
        <v>Battle Masters</v>
      </c>
      <c r="E350" s="31">
        <f>IFERROR(__xludf.DUMMYFUNCTION("""COMPUTED_VALUE"""),87.84287243297777)</f>
        <v>87.84287243</v>
      </c>
      <c r="F350" s="31">
        <f>IFERROR(__xludf.DUMMYFUNCTION("""COMPUTED_VALUE"""),15.373006999376834)</f>
        <v>15.373007</v>
      </c>
      <c r="G350" s="31">
        <f>IFERROR(__xludf.DUMMYFUNCTION("""COMPUTED_VALUE"""),75.86434972549577)</f>
        <v>75.86434973</v>
      </c>
      <c r="H350" s="31">
        <f>IFERROR(__xludf.DUMMYFUNCTION("""COMPUTED_VALUE"""),6.647435489623336)</f>
        <v>6.64743549</v>
      </c>
      <c r="I350" s="54">
        <f>IFERROR(__xludf.DUMMYFUNCTION("""COMPUTED_VALUE"""),36.0)</f>
        <v>36</v>
      </c>
      <c r="J350" s="55">
        <f>IFERROR(__xludf.DUMMYFUNCTION("""COMPUTED_VALUE"""),25.0)</f>
        <v>25</v>
      </c>
      <c r="K350" s="54">
        <f>IFERROR(__xludf.DUMMYFUNCTION("""COMPUTED_VALUE"""),11.0)</f>
        <v>11</v>
      </c>
      <c r="L350" s="56">
        <f>IFERROR(__xludf.DUMMYFUNCTION("""COMPUTED_VALUE"""),0.6944444444444444)</f>
        <v>0.6944444444</v>
      </c>
      <c r="M350" s="56">
        <f>IFERROR(__xludf.DUMMYFUNCTION("""COMPUTED_VALUE"""),0.375)</f>
        <v>0.375</v>
      </c>
      <c r="N350" s="31">
        <f>IFERROR(__xludf.DUMMYFUNCTION("""COMPUTED_VALUE"""),439.97222222222223)</f>
        <v>439.9722222</v>
      </c>
      <c r="O350" s="57">
        <f>IFERROR(__xludf.DUMMYFUNCTION("""COMPUTED_VALUE"""),1.25)</f>
        <v>1.25</v>
      </c>
      <c r="P350" s="57">
        <f>IFERROR(__xludf.DUMMYFUNCTION("""COMPUTED_VALUE"""),0.9166666666666666)</f>
        <v>0.9166666667</v>
      </c>
      <c r="Q350" s="57">
        <f>IFERROR(__xludf.DUMMYFUNCTION("""COMPUTED_VALUE"""),1.1666666666666667)</f>
        <v>1.166666667</v>
      </c>
      <c r="R350" s="57">
        <f>IFERROR(__xludf.DUMMYFUNCTION("""COMPUTED_VALUE"""),3.3333333333333335)</f>
        <v>3.333333333</v>
      </c>
      <c r="S350" s="31">
        <f>IFERROR(__xludf.DUMMYFUNCTION("""COMPUTED_VALUE"""),359.6574074074075)</f>
        <v>359.6574074</v>
      </c>
      <c r="T350" s="57">
        <f>IFERROR(__xludf.DUMMYFUNCTION("""COMPUTED_VALUE"""),0.6388888888888888)</f>
        <v>0.6388888889</v>
      </c>
      <c r="U350" s="57">
        <f>IFERROR(__xludf.DUMMYFUNCTION("""COMPUTED_VALUE"""),0.5092592592592591)</f>
        <v>0.5092592593</v>
      </c>
      <c r="V350" s="57">
        <f>IFERROR(__xludf.DUMMYFUNCTION("""COMPUTED_VALUE"""),1.6203703703703702)</f>
        <v>1.62037037</v>
      </c>
      <c r="W350" s="57">
        <f>IFERROR(__xludf.DUMMYFUNCTION("""COMPUTED_VALUE"""),2.4537037037037037)</f>
        <v>2.453703704</v>
      </c>
      <c r="X350" s="31">
        <f>IFERROR(__xludf.DUMMYFUNCTION("""COMPUTED_VALUE"""),376.26679428523585)</f>
        <v>376.2667943</v>
      </c>
      <c r="Y350" s="57">
        <f>IFERROR(__xludf.DUMMYFUNCTION("""COMPUTED_VALUE"""),0.7977645761515567)</f>
        <v>0.7977645762</v>
      </c>
      <c r="Z350" s="57">
        <f>IFERROR(__xludf.DUMMYFUNCTION("""COMPUTED_VALUE"""),0.6056830130611666)</f>
        <v>0.6056830131</v>
      </c>
      <c r="AA350" s="57">
        <f>IFERROR(__xludf.DUMMYFUNCTION("""COMPUTED_VALUE"""),1.5441243207621758)</f>
        <v>1.544124321</v>
      </c>
      <c r="AB350" s="57">
        <f>IFERROR(__xludf.DUMMYFUNCTION("""COMPUTED_VALUE"""),2.727186510460498)</f>
        <v>2.72718651</v>
      </c>
      <c r="AC350" s="31">
        <f>IFERROR(__xludf.DUMMYFUNCTION("""COMPUTED_VALUE"""),400.227568416092)</f>
        <v>400.2275684</v>
      </c>
      <c r="AD350" s="57">
        <f>IFERROR(__xludf.DUMMYFUNCTION("""COMPUTED_VALUE"""),0.9544420056012807)</f>
        <v>0.9544420056</v>
      </c>
      <c r="AE350" s="57">
        <f>IFERROR(__xludf.DUMMYFUNCTION("""COMPUTED_VALUE"""),0.7384839333111252)</f>
        <v>0.7384839333</v>
      </c>
      <c r="AF350" s="57">
        <f>IFERROR(__xludf.DUMMYFUNCTION("""COMPUTED_VALUE"""),1.4908473657145143)</f>
        <v>1.490847366</v>
      </c>
      <c r="AG350" s="57">
        <f>IFERROR(__xludf.DUMMYFUNCTION("""COMPUTED_VALUE"""),2.934814633151126)</f>
        <v>2.934814633</v>
      </c>
      <c r="AH350" s="57">
        <f>IFERROR(__xludf.DUMMYFUNCTION("""COMPUTED_VALUE"""),1.0993051377330663)</f>
        <v>1.099305138</v>
      </c>
      <c r="AI350" s="57">
        <f>IFERROR(__xludf.DUMMYFUNCTION("""COMPUTED_VALUE"""),1.309665744659387)</f>
        <v>1.309665745</v>
      </c>
      <c r="AJ350" s="57">
        <f>IFERROR(__xludf.DUMMYFUNCTION("""COMPUTED_VALUE"""),1.2412818008871598)</f>
        <v>1.241281801</v>
      </c>
      <c r="AK350" s="57">
        <f>IFERROR(__xludf.DUMMYFUNCTION("""COMPUTED_VALUE"""),0.7825527237038928)</f>
        <v>0.7825527237</v>
      </c>
      <c r="AL350" s="57">
        <f>IFERROR(__xludf.DUMMYFUNCTION("""COMPUTED_VALUE"""),1.1357900753528396)</f>
        <v>1.135790075</v>
      </c>
      <c r="AM350" s="57">
        <f>IFERROR(__xludf.DUMMYFUNCTION("""COMPUTED_VALUE"""),0.9558574205056285)</f>
        <v>0.9558574205</v>
      </c>
      <c r="AN350" s="57">
        <f>IFERROR(__xludf.DUMMYFUNCTION("""COMPUTED_VALUE"""),0.8008489070433666)</f>
        <v>0.800848907</v>
      </c>
      <c r="AO350" s="57">
        <f>IFERROR(__xludf.DUMMYFUNCTION("""COMPUTED_VALUE"""),0.8408016211077561)</f>
        <v>0.8408016211</v>
      </c>
      <c r="AP350" s="35">
        <f>IFERROR(__xludf.DUMMYFUNCTION("""COMPUTED_VALUE"""),1.0493781806186173)</f>
        <v>1.049378181</v>
      </c>
      <c r="AQ350" s="57">
        <f>IFERROR(__xludf.DUMMYFUNCTION("""COMPUTED_VALUE"""),0.8997198007148344)</f>
        <v>0.8997198007</v>
      </c>
      <c r="AR350" s="36" t="b">
        <f>IFERROR(__xludf.DUMMYFUNCTION("""COMPUTED_VALUE"""),TRUE)</f>
        <v>1</v>
      </c>
      <c r="AS350" s="57"/>
      <c r="AT350" s="37"/>
      <c r="AU350" s="30"/>
      <c r="AV350" s="30"/>
      <c r="AW350" s="30"/>
      <c r="AX350" s="30"/>
      <c r="AY350" s="30"/>
      <c r="AZ350" s="30"/>
    </row>
    <row r="351">
      <c r="A351" s="30" t="str">
        <f>IFERROR(__xludf.DUMMYFUNCTION("""COMPUTED_VALUE"""),"Master")</f>
        <v>Master</v>
      </c>
      <c r="B351" s="30" t="str">
        <f>IFERROR(__xludf.DUMMYFUNCTION("""COMPUTED_VALUE"""),"RSC007893")</f>
        <v>RSC007893</v>
      </c>
      <c r="C351" s="30" t="str">
        <f>IFERROR(__xludf.DUMMYFUNCTION("""COMPUTED_VALUE"""),"solar722")</f>
        <v>solar722</v>
      </c>
      <c r="D351" s="31" t="str">
        <f>IFERROR(__xludf.DUMMYFUNCTION("""COMPUTED_VALUE"""),"Fromunda Frauds")</f>
        <v>Fromunda Frauds</v>
      </c>
      <c r="E351" s="31">
        <f>IFERROR(__xludf.DUMMYFUNCTION("""COMPUTED_VALUE"""),86.58567394200085)</f>
        <v>86.58567394</v>
      </c>
      <c r="F351" s="31">
        <f>IFERROR(__xludf.DUMMYFUNCTION("""COMPUTED_VALUE"""),13.95180896048581)</f>
        <v>13.95180896</v>
      </c>
      <c r="G351" s="31">
        <f>IFERROR(__xludf.DUMMYFUNCTION("""COMPUTED_VALUE"""),78.81870735930397)</f>
        <v>78.81870736</v>
      </c>
      <c r="H351" s="31">
        <f>IFERROR(__xludf.DUMMYFUNCTION("""COMPUTED_VALUE"""),8.031686203059131)</f>
        <v>8.031686203</v>
      </c>
      <c r="I351" s="54">
        <f>IFERROR(__xludf.DUMMYFUNCTION("""COMPUTED_VALUE"""),20.0)</f>
        <v>20</v>
      </c>
      <c r="J351" s="55">
        <f>IFERROR(__xludf.DUMMYFUNCTION("""COMPUTED_VALUE"""),10.0)</f>
        <v>10</v>
      </c>
      <c r="K351" s="54">
        <f>IFERROR(__xludf.DUMMYFUNCTION("""COMPUTED_VALUE"""),10.0)</f>
        <v>10</v>
      </c>
      <c r="L351" s="56">
        <f>IFERROR(__xludf.DUMMYFUNCTION("""COMPUTED_VALUE"""),0.5)</f>
        <v>0.5</v>
      </c>
      <c r="M351" s="56">
        <f>IFERROR(__xludf.DUMMYFUNCTION("""COMPUTED_VALUE"""),0.3333333333333333)</f>
        <v>0.3333333333</v>
      </c>
      <c r="N351" s="31">
        <f>IFERROR(__xludf.DUMMYFUNCTION("""COMPUTED_VALUE"""),473.1)</f>
        <v>473.1</v>
      </c>
      <c r="O351" s="57">
        <f>IFERROR(__xludf.DUMMYFUNCTION("""COMPUTED_VALUE"""),1.2)</f>
        <v>1.2</v>
      </c>
      <c r="P351" s="57">
        <f>IFERROR(__xludf.DUMMYFUNCTION("""COMPUTED_VALUE"""),0.85)</f>
        <v>0.85</v>
      </c>
      <c r="Q351" s="57">
        <f>IFERROR(__xludf.DUMMYFUNCTION("""COMPUTED_VALUE"""),1.65)</f>
        <v>1.65</v>
      </c>
      <c r="R351" s="57">
        <f>IFERROR(__xludf.DUMMYFUNCTION("""COMPUTED_VALUE"""),3.6)</f>
        <v>3.6</v>
      </c>
      <c r="S351" s="31">
        <f>IFERROR(__xludf.DUMMYFUNCTION("""COMPUTED_VALUE"""),405.0333333333333)</f>
        <v>405.0333333</v>
      </c>
      <c r="T351" s="57">
        <f>IFERROR(__xludf.DUMMYFUNCTION("""COMPUTED_VALUE"""),0.9333333333333332)</f>
        <v>0.9333333333</v>
      </c>
      <c r="U351" s="57">
        <f>IFERROR(__xludf.DUMMYFUNCTION("""COMPUTED_VALUE"""),0.7000000000000001)</f>
        <v>0.7</v>
      </c>
      <c r="V351" s="57">
        <f>IFERROR(__xludf.DUMMYFUNCTION("""COMPUTED_VALUE"""),1.55)</f>
        <v>1.55</v>
      </c>
      <c r="W351" s="57">
        <f>IFERROR(__xludf.DUMMYFUNCTION("""COMPUTED_VALUE"""),2.8166666666666673)</f>
        <v>2.816666667</v>
      </c>
      <c r="X351" s="31">
        <f>IFERROR(__xludf.DUMMYFUNCTION("""COMPUTED_VALUE"""),392.1937994855386)</f>
        <v>392.1937995</v>
      </c>
      <c r="Y351" s="57">
        <f>IFERROR(__xludf.DUMMYFUNCTION("""COMPUTED_VALUE"""),0.895808847620442)</f>
        <v>0.8958088476</v>
      </c>
      <c r="Z351" s="57">
        <f>IFERROR(__xludf.DUMMYFUNCTION("""COMPUTED_VALUE"""),0.6928405866811665)</f>
        <v>0.6928405867</v>
      </c>
      <c r="AA351" s="57">
        <f>IFERROR(__xludf.DUMMYFUNCTION("""COMPUTED_VALUE"""),1.5136694411332092)</f>
        <v>1.513669441</v>
      </c>
      <c r="AB351" s="57">
        <f>IFERROR(__xludf.DUMMYFUNCTION("""COMPUTED_VALUE"""),2.9186744951237698)</f>
        <v>2.918674495</v>
      </c>
      <c r="AC351" s="31">
        <f>IFERROR(__xludf.DUMMYFUNCTION("""COMPUTED_VALUE"""),393.62477512646603)</f>
        <v>393.6247751</v>
      </c>
      <c r="AD351" s="57">
        <f>IFERROR(__xludf.DUMMYFUNCTION("""COMPUTED_VALUE"""),0.8823614335208537)</f>
        <v>0.8823614335</v>
      </c>
      <c r="AE351" s="57">
        <f>IFERROR(__xludf.DUMMYFUNCTION("""COMPUTED_VALUE"""),0.6993056978805773)</f>
        <v>0.6993056979</v>
      </c>
      <c r="AF351" s="57">
        <f>IFERROR(__xludf.DUMMYFUNCTION("""COMPUTED_VALUE"""),1.542896076012018)</f>
        <v>1.542896076</v>
      </c>
      <c r="AG351" s="57">
        <f>IFERROR(__xludf.DUMMYFUNCTION("""COMPUTED_VALUE"""),2.9050666894386694)</f>
        <v>2.905066689</v>
      </c>
      <c r="AH351" s="57">
        <f>IFERROR(__xludf.DUMMYFUNCTION("""COMPUTED_VALUE"""),1.201906053418512)</f>
        <v>1.201906053</v>
      </c>
      <c r="AI351" s="57">
        <f>IFERROR(__xludf.DUMMYFUNCTION("""COMPUTED_VALUE"""),1.359986910592505)</f>
        <v>1.359986911</v>
      </c>
      <c r="AJ351" s="57">
        <f>IFERROR(__xludf.DUMMYFUNCTION("""COMPUTED_VALUE"""),1.21549131170551)</f>
        <v>1.215491312</v>
      </c>
      <c r="AK351" s="57">
        <f>IFERROR(__xludf.DUMMYFUNCTION("""COMPUTED_VALUE"""),1.0694174582806752)</f>
        <v>1.069417458</v>
      </c>
      <c r="AL351" s="57">
        <f>IFERROR(__xludf.DUMMYFUNCTION("""COMPUTED_VALUE"""),1.239214236660298)</f>
        <v>1.239214237</v>
      </c>
      <c r="AM351" s="57">
        <f>IFERROR(__xludf.DUMMYFUNCTION("""COMPUTED_VALUE"""),1.032737727788244)</f>
        <v>1.032737728</v>
      </c>
      <c r="AN351" s="57">
        <f>IFERROR(__xludf.DUMMYFUNCTION("""COMPUTED_VALUE"""),1.041888942950908)</f>
        <v>1.041888943</v>
      </c>
      <c r="AO351" s="57">
        <f>IFERROR(__xludf.DUMMYFUNCTION("""COMPUTED_VALUE"""),1.0103334207846113)</f>
        <v>1.010333421</v>
      </c>
      <c r="AP351" s="35">
        <f>IFERROR(__xludf.DUMMYFUNCTION("""COMPUTED_VALUE"""),1.0240016465151016)</f>
        <v>1.024001647</v>
      </c>
      <c r="AQ351" s="57">
        <f>IFERROR(__xludf.DUMMYFUNCTION("""COMPUTED_VALUE"""),0.9650499469442286)</f>
        <v>0.9650499469</v>
      </c>
      <c r="AR351" s="36" t="b">
        <f>IFERROR(__xludf.DUMMYFUNCTION("""COMPUTED_VALUE"""),TRUE)</f>
        <v>1</v>
      </c>
      <c r="AS351" s="57"/>
      <c r="AT351" s="37"/>
      <c r="AU351" s="30"/>
      <c r="AV351" s="30"/>
      <c r="AW351" s="30"/>
      <c r="AX351" s="30"/>
      <c r="AY351" s="30"/>
      <c r="AZ351" s="30"/>
    </row>
    <row r="352">
      <c r="A352" s="30" t="str">
        <f>IFERROR(__xludf.DUMMYFUNCTION("""COMPUTED_VALUE"""),"Master")</f>
        <v>Master</v>
      </c>
      <c r="B352" s="30" t="str">
        <f>IFERROR(__xludf.DUMMYFUNCTION("""COMPUTED_VALUE"""),"RSC007605")</f>
        <v>RSC007605</v>
      </c>
      <c r="C352" s="30" t="str">
        <f>IFERROR(__xludf.DUMMYFUNCTION("""COMPUTED_VALUE"""),"Afterburner3375")</f>
        <v>Afterburner3375</v>
      </c>
      <c r="D352" s="31" t="str">
        <f>IFERROR(__xludf.DUMMYFUNCTION("""COMPUTED_VALUE"""),"Oblivion")</f>
        <v>Oblivion</v>
      </c>
      <c r="E352" s="31">
        <f>IFERROR(__xludf.DUMMYFUNCTION("""COMPUTED_VALUE"""),81.12792492357285)</f>
        <v>81.12792492</v>
      </c>
      <c r="F352" s="31">
        <f>IFERROR(__xludf.DUMMYFUNCTION("""COMPUTED_VALUE"""),9.385760752034354)</f>
        <v>9.385760752</v>
      </c>
      <c r="G352" s="31">
        <f>IFERROR(__xludf.DUMMYFUNCTION("""COMPUTED_VALUE"""),80.71110598509418)</f>
        <v>80.71110599</v>
      </c>
      <c r="H352" s="31">
        <f>IFERROR(__xludf.DUMMYFUNCTION("""COMPUTED_VALUE"""),9.12074847530549)</f>
        <v>9.120748475</v>
      </c>
      <c r="I352" s="54">
        <f>IFERROR(__xludf.DUMMYFUNCTION("""COMPUTED_VALUE"""),36.0)</f>
        <v>36</v>
      </c>
      <c r="J352" s="55">
        <f>IFERROR(__xludf.DUMMYFUNCTION("""COMPUTED_VALUE"""),25.0)</f>
        <v>25</v>
      </c>
      <c r="K352" s="54">
        <f>IFERROR(__xludf.DUMMYFUNCTION("""COMPUTED_VALUE"""),11.0)</f>
        <v>11</v>
      </c>
      <c r="L352" s="56">
        <f>IFERROR(__xludf.DUMMYFUNCTION("""COMPUTED_VALUE"""),0.6944444444444444)</f>
        <v>0.6944444444</v>
      </c>
      <c r="M352" s="56">
        <f>IFERROR(__xludf.DUMMYFUNCTION("""COMPUTED_VALUE"""),0.4036697247706422)</f>
        <v>0.4036697248</v>
      </c>
      <c r="N352" s="31">
        <f>IFERROR(__xludf.DUMMYFUNCTION("""COMPUTED_VALUE"""),415.8611111111111)</f>
        <v>415.8611111</v>
      </c>
      <c r="O352" s="57">
        <f>IFERROR(__xludf.DUMMYFUNCTION("""COMPUTED_VALUE"""),1.2222222222222223)</f>
        <v>1.222222222</v>
      </c>
      <c r="P352" s="57">
        <f>IFERROR(__xludf.DUMMYFUNCTION("""COMPUTED_VALUE"""),0.8611111111111112)</f>
        <v>0.8611111111</v>
      </c>
      <c r="Q352" s="57">
        <f>IFERROR(__xludf.DUMMYFUNCTION("""COMPUTED_VALUE"""),1.2777777777777777)</f>
        <v>1.277777778</v>
      </c>
      <c r="R352" s="57">
        <f>IFERROR(__xludf.DUMMYFUNCTION("""COMPUTED_VALUE"""),3.0277777777777777)</f>
        <v>3.027777778</v>
      </c>
      <c r="S352" s="31">
        <f>IFERROR(__xludf.DUMMYFUNCTION("""COMPUTED_VALUE"""),337.03703703703707)</f>
        <v>337.037037</v>
      </c>
      <c r="T352" s="57">
        <f>IFERROR(__xludf.DUMMYFUNCTION("""COMPUTED_VALUE"""),0.6944444444444444)</f>
        <v>0.6944444444</v>
      </c>
      <c r="U352" s="57">
        <f>IFERROR(__xludf.DUMMYFUNCTION("""COMPUTED_VALUE"""),0.4722222222222223)</f>
        <v>0.4722222222</v>
      </c>
      <c r="V352" s="57">
        <f>IFERROR(__xludf.DUMMYFUNCTION("""COMPUTED_VALUE"""),1.3240740740740742)</f>
        <v>1.324074074</v>
      </c>
      <c r="W352" s="57">
        <f>IFERROR(__xludf.DUMMYFUNCTION("""COMPUTED_VALUE"""),2.435185185185185)</f>
        <v>2.435185185</v>
      </c>
      <c r="X352" s="31">
        <f>IFERROR(__xludf.DUMMYFUNCTION("""COMPUTED_VALUE"""),371.16792026445887)</f>
        <v>371.1679203</v>
      </c>
      <c r="Y352" s="57">
        <f>IFERROR(__xludf.DUMMYFUNCTION("""COMPUTED_VALUE"""),0.7322734158358828)</f>
        <v>0.7322734158</v>
      </c>
      <c r="Z352" s="57">
        <f>IFERROR(__xludf.DUMMYFUNCTION("""COMPUTED_VALUE"""),0.5968819245902108)</f>
        <v>0.5968819246</v>
      </c>
      <c r="AA352" s="57">
        <f>IFERROR(__xludf.DUMMYFUNCTION("""COMPUTED_VALUE"""),1.5555377454657187)</f>
        <v>1.555537745</v>
      </c>
      <c r="AB352" s="57">
        <f>IFERROR(__xludf.DUMMYFUNCTION("""COMPUTED_VALUE"""),2.7786657039971967)</f>
        <v>2.778665704</v>
      </c>
      <c r="AC352" s="31">
        <f>IFERROR(__xludf.DUMMYFUNCTION("""COMPUTED_VALUE"""),399.97102755039174)</f>
        <v>399.9710276</v>
      </c>
      <c r="AD352" s="57">
        <f>IFERROR(__xludf.DUMMYFUNCTION("""COMPUTED_VALUE"""),0.9465707667516009)</f>
        <v>0.9465707668</v>
      </c>
      <c r="AE352" s="57">
        <f>IFERROR(__xludf.DUMMYFUNCTION("""COMPUTED_VALUE"""),0.7160144291622331)</f>
        <v>0.7160144292</v>
      </c>
      <c r="AF352" s="57">
        <f>IFERROR(__xludf.DUMMYFUNCTION("""COMPUTED_VALUE"""),1.5343530320242875)</f>
        <v>1.534353032</v>
      </c>
      <c r="AG352" s="57">
        <f>IFERROR(__xludf.DUMMYFUNCTION("""COMPUTED_VALUE"""),2.91541843786635)</f>
        <v>2.915418438</v>
      </c>
      <c r="AH352" s="57">
        <f>IFERROR(__xludf.DUMMYFUNCTION("""COMPUTED_VALUE"""),1.0397280864517553)</f>
        <v>1.039728086</v>
      </c>
      <c r="AI352" s="57">
        <f>IFERROR(__xludf.DUMMYFUNCTION("""COMPUTED_VALUE"""),1.2912106153632756)</f>
        <v>1.291210615</v>
      </c>
      <c r="AJ352" s="57">
        <f>IFERROR(__xludf.DUMMYFUNCTION("""COMPUTED_VALUE"""),1.202644913341547)</f>
        <v>1.202644913</v>
      </c>
      <c r="AK352" s="57">
        <f>IFERROR(__xludf.DUMMYFUNCTION("""COMPUTED_VALUE"""),0.8327795175612176)</f>
        <v>0.8327795176</v>
      </c>
      <c r="AL352" s="57">
        <f>IFERROR(__xludf.DUMMYFUNCTION("""COMPUTED_VALUE"""),1.038539695863918)</f>
        <v>1.038539696</v>
      </c>
      <c r="AM352" s="57">
        <f>IFERROR(__xludf.DUMMYFUNCTION("""COMPUTED_VALUE"""),0.9080446305728593)</f>
        <v>0.9080446306</v>
      </c>
      <c r="AN352" s="57">
        <f>IFERROR(__xludf.DUMMYFUNCTION("""COMPUTED_VALUE"""),0.9483403731811608)</f>
        <v>0.9483403732</v>
      </c>
      <c r="AO352" s="57">
        <f>IFERROR(__xludf.DUMMYFUNCTION("""COMPUTED_VALUE"""),0.7911484713604393)</f>
        <v>0.7911484714</v>
      </c>
      <c r="AP352" s="35">
        <f>IFERROR(__xludf.DUMMYFUNCTION("""COMPUTED_VALUE"""),0.8512002218741753)</f>
        <v>0.8512002219</v>
      </c>
      <c r="AQ352" s="57">
        <f>IFERROR(__xludf.DUMMYFUNCTION("""COMPUTED_VALUE"""),0.8763865266995219)</f>
        <v>0.8763865267</v>
      </c>
      <c r="AR352" s="36" t="b">
        <f>IFERROR(__xludf.DUMMYFUNCTION("""COMPUTED_VALUE"""),TRUE)</f>
        <v>1</v>
      </c>
      <c r="AS352" s="57"/>
      <c r="AT352" s="37"/>
      <c r="AU352" s="30"/>
      <c r="AV352" s="30"/>
      <c r="AW352" s="30"/>
      <c r="AX352" s="30"/>
      <c r="AY352" s="30"/>
      <c r="AZ352" s="30"/>
    </row>
    <row r="353">
      <c r="A353" s="30" t="str">
        <f>IFERROR(__xludf.DUMMYFUNCTION("""COMPUTED_VALUE"""),"Master")</f>
        <v>Master</v>
      </c>
      <c r="B353" s="30" t="str">
        <f>IFERROR(__xludf.DUMMYFUNCTION("""COMPUTED_VALUE"""),"RSC005625")</f>
        <v>RSC005625</v>
      </c>
      <c r="C353" s="30" t="str">
        <f>IFERROR(__xludf.DUMMYFUNCTION("""COMPUTED_VALUE"""),"aspect of hope")</f>
        <v>aspect of hope</v>
      </c>
      <c r="D353" s="31" t="str">
        <f>IFERROR(__xludf.DUMMYFUNCTION("""COMPUTED_VALUE"""),"Spectres")</f>
        <v>Spectres</v>
      </c>
      <c r="E353" s="31">
        <f>IFERROR(__xludf.DUMMYFUNCTION("""COMPUTED_VALUE"""),80.08259541416734)</f>
        <v>80.08259541</v>
      </c>
      <c r="F353" s="31">
        <f>IFERROR(__xludf.DUMMYFUNCTION("""COMPUTED_VALUE"""),8.739013918583263)</f>
        <v>8.739013919</v>
      </c>
      <c r="G353" s="31">
        <f>IFERROR(__xludf.DUMMYFUNCTION("""COMPUTED_VALUE"""),53.57945552757843)</f>
        <v>53.57945553</v>
      </c>
      <c r="H353" s="31">
        <f>IFERROR(__xludf.DUMMYFUNCTION("""COMPUTED_VALUE"""),2.256955692926544)</f>
        <v>2.256955693</v>
      </c>
      <c r="I353" s="54">
        <f>IFERROR(__xludf.DUMMYFUNCTION("""COMPUTED_VALUE"""),23.0)</f>
        <v>23</v>
      </c>
      <c r="J353" s="55">
        <f>IFERROR(__xludf.DUMMYFUNCTION("""COMPUTED_VALUE"""),9.0)</f>
        <v>9</v>
      </c>
      <c r="K353" s="54">
        <f>IFERROR(__xludf.DUMMYFUNCTION("""COMPUTED_VALUE"""),14.0)</f>
        <v>14</v>
      </c>
      <c r="L353" s="56">
        <f>IFERROR(__xludf.DUMMYFUNCTION("""COMPUTED_VALUE"""),0.391304347826087)</f>
        <v>0.3913043478</v>
      </c>
      <c r="M353" s="56">
        <f>IFERROR(__xludf.DUMMYFUNCTION("""COMPUTED_VALUE"""),0.3421052631578947)</f>
        <v>0.3421052632</v>
      </c>
      <c r="N353" s="31">
        <f>IFERROR(__xludf.DUMMYFUNCTION("""COMPUTED_VALUE"""),406.5652173913044)</f>
        <v>406.5652174</v>
      </c>
      <c r="O353" s="57">
        <f>IFERROR(__xludf.DUMMYFUNCTION("""COMPUTED_VALUE"""),1.1304347826086956)</f>
        <v>1.130434783</v>
      </c>
      <c r="P353" s="57">
        <f>IFERROR(__xludf.DUMMYFUNCTION("""COMPUTED_VALUE"""),0.9565217391304348)</f>
        <v>0.9565217391</v>
      </c>
      <c r="Q353" s="57">
        <f>IFERROR(__xludf.DUMMYFUNCTION("""COMPUTED_VALUE"""),1.2173913043478262)</f>
        <v>1.217391304</v>
      </c>
      <c r="R353" s="57">
        <f>IFERROR(__xludf.DUMMYFUNCTION("""COMPUTED_VALUE"""),3.3043478260869565)</f>
        <v>3.304347826</v>
      </c>
      <c r="S353" s="31">
        <f>IFERROR(__xludf.DUMMYFUNCTION("""COMPUTED_VALUE"""),421.8550724637682)</f>
        <v>421.8550725</v>
      </c>
      <c r="T353" s="57">
        <f>IFERROR(__xludf.DUMMYFUNCTION("""COMPUTED_VALUE"""),1.043478260869565)</f>
        <v>1.043478261</v>
      </c>
      <c r="U353" s="57">
        <f>IFERROR(__xludf.DUMMYFUNCTION("""COMPUTED_VALUE"""),0.8840579710144926)</f>
        <v>0.884057971</v>
      </c>
      <c r="V353" s="57">
        <f>IFERROR(__xludf.DUMMYFUNCTION("""COMPUTED_VALUE"""),1.63768115942029)</f>
        <v>1.637681159</v>
      </c>
      <c r="W353" s="57">
        <f>IFERROR(__xludf.DUMMYFUNCTION("""COMPUTED_VALUE"""),3.101449275362319)</f>
        <v>3.101449275</v>
      </c>
      <c r="X353" s="31">
        <f>IFERROR(__xludf.DUMMYFUNCTION("""COMPUTED_VALUE"""),389.55941928732886)</f>
        <v>389.5594193</v>
      </c>
      <c r="Y353" s="57">
        <f>IFERROR(__xludf.DUMMYFUNCTION("""COMPUTED_VALUE"""),0.8881539070885577)</f>
        <v>0.8881539071</v>
      </c>
      <c r="Z353" s="57">
        <f>IFERROR(__xludf.DUMMYFUNCTION("""COMPUTED_VALUE"""),0.6797660559132761)</f>
        <v>0.6797660559</v>
      </c>
      <c r="AA353" s="57">
        <f>IFERROR(__xludf.DUMMYFUNCTION("""COMPUTED_VALUE"""),1.494900101091123)</f>
        <v>1.494900101</v>
      </c>
      <c r="AB353" s="57">
        <f>IFERROR(__xludf.DUMMYFUNCTION("""COMPUTED_VALUE"""),2.814956651063598)</f>
        <v>2.814956651</v>
      </c>
      <c r="AC353" s="31">
        <f>IFERROR(__xludf.DUMMYFUNCTION("""COMPUTED_VALUE"""),380.2768176563757)</f>
        <v>380.2768177</v>
      </c>
      <c r="AD353" s="57">
        <f>IFERROR(__xludf.DUMMYFUNCTION("""COMPUTED_VALUE"""),0.8362242221795286)</f>
        <v>0.8362242222</v>
      </c>
      <c r="AE353" s="57">
        <f>IFERROR(__xludf.DUMMYFUNCTION("""COMPUTED_VALUE"""),0.6630160818872833)</f>
        <v>0.6630160819</v>
      </c>
      <c r="AF353" s="57">
        <f>IFERROR(__xludf.DUMMYFUNCTION("""COMPUTED_VALUE"""),1.469442748704588)</f>
        <v>1.469442749</v>
      </c>
      <c r="AG353" s="57">
        <f>IFERROR(__xludf.DUMMYFUNCTION("""COMPUTED_VALUE"""),2.817053450776051)</f>
        <v>2.817053451</v>
      </c>
      <c r="AH353" s="57">
        <f>IFERROR(__xludf.DUMMYFUNCTION("""COMPUTED_VALUE"""),1.0691296406048167)</f>
        <v>1.069129641</v>
      </c>
      <c r="AI353" s="57">
        <f>IFERROR(__xludf.DUMMYFUNCTION("""COMPUTED_VALUE"""),1.3518321433721912)</f>
        <v>1.351832143</v>
      </c>
      <c r="AJ353" s="57">
        <f>IFERROR(__xludf.DUMMYFUNCTION("""COMPUTED_VALUE"""),1.442682561194721)</f>
        <v>1.442682561</v>
      </c>
      <c r="AK353" s="57">
        <f>IFERROR(__xludf.DUMMYFUNCTION("""COMPUTED_VALUE"""),0.8284714089208566)</f>
        <v>0.8284714089</v>
      </c>
      <c r="AL353" s="57">
        <f>IFERROR(__xludf.DUMMYFUNCTION("""COMPUTED_VALUE"""),1.172980166626467)</f>
        <v>1.172980167</v>
      </c>
      <c r="AM353" s="57">
        <f>IFERROR(__xludf.DUMMYFUNCTION("""COMPUTED_VALUE"""),1.0829030221770068)</f>
        <v>1.082903022</v>
      </c>
      <c r="AN353" s="57">
        <f>IFERROR(__xludf.DUMMYFUNCTION("""COMPUTED_VALUE"""),1.1748845020455672)</f>
        <v>1.174884502</v>
      </c>
      <c r="AO353" s="57">
        <f>IFERROR(__xludf.DUMMYFUNCTION("""COMPUTED_VALUE"""),1.3005326808011135)</f>
        <v>1.300532681</v>
      </c>
      <c r="AP353" s="35">
        <f>IFERROR(__xludf.DUMMYFUNCTION("""COMPUTED_VALUE"""),1.0955121069461107)</f>
        <v>1.095512107</v>
      </c>
      <c r="AQ353" s="57">
        <f>IFERROR(__xludf.DUMMYFUNCTION("""COMPUTED_VALUE"""),1.101775146054371)</f>
        <v>1.101775146</v>
      </c>
      <c r="AR353" s="36" t="b">
        <f>IFERROR(__xludf.DUMMYFUNCTION("""COMPUTED_VALUE"""),TRUE)</f>
        <v>1</v>
      </c>
      <c r="AS353" s="57"/>
      <c r="AT353" s="37"/>
      <c r="AU353" s="30"/>
      <c r="AV353" s="30"/>
      <c r="AW353" s="30"/>
      <c r="AX353" s="30"/>
      <c r="AY353" s="30"/>
      <c r="AZ353" s="30"/>
    </row>
    <row r="354">
      <c r="A354" s="30" t="str">
        <f>IFERROR(__xludf.DUMMYFUNCTION("""COMPUTED_VALUE"""),"Master")</f>
        <v>Master</v>
      </c>
      <c r="B354" s="30" t="str">
        <f>IFERROR(__xludf.DUMMYFUNCTION("""COMPUTED_VALUE"""),"RSC004717")</f>
        <v>RSC004717</v>
      </c>
      <c r="C354" s="30" t="str">
        <f>IFERROR(__xludf.DUMMYFUNCTION("""COMPUTED_VALUE"""),"slain.")</f>
        <v>slain.</v>
      </c>
      <c r="D354" s="31" t="str">
        <f>IFERROR(__xludf.DUMMYFUNCTION("""COMPUTED_VALUE"""),"Battle Masters")</f>
        <v>Battle Masters</v>
      </c>
      <c r="E354" s="31">
        <f>IFERROR(__xludf.DUMMYFUNCTION("""COMPUTED_VALUE"""),79.62873286894954)</f>
        <v>79.62873287</v>
      </c>
      <c r="F354" s="31">
        <f>IFERROR(__xludf.DUMMYFUNCTION("""COMPUTED_VALUE"""),8.476069789904162)</f>
        <v>8.47606979</v>
      </c>
      <c r="G354" s="31">
        <f>IFERROR(__xludf.DUMMYFUNCTION("""COMPUTED_VALUE"""),68.62505360539612)</f>
        <v>68.62505361</v>
      </c>
      <c r="H354" s="31">
        <f>IFERROR(__xludf.DUMMYFUNCTION("""COMPUTED_VALUE"""),4.383365426221581)</f>
        <v>4.383365426</v>
      </c>
      <c r="I354" s="54">
        <f>IFERROR(__xludf.DUMMYFUNCTION("""COMPUTED_VALUE"""),36.0)</f>
        <v>36</v>
      </c>
      <c r="J354" s="55">
        <f>IFERROR(__xludf.DUMMYFUNCTION("""COMPUTED_VALUE"""),25.0)</f>
        <v>25</v>
      </c>
      <c r="K354" s="54">
        <f>IFERROR(__xludf.DUMMYFUNCTION("""COMPUTED_VALUE"""),11.0)</f>
        <v>11</v>
      </c>
      <c r="L354" s="56">
        <f>IFERROR(__xludf.DUMMYFUNCTION("""COMPUTED_VALUE"""),0.6944444444444444)</f>
        <v>0.6944444444</v>
      </c>
      <c r="M354" s="56">
        <f>IFERROR(__xludf.DUMMYFUNCTION("""COMPUTED_VALUE"""),0.39814814814814814)</f>
        <v>0.3981481481</v>
      </c>
      <c r="N354" s="31">
        <f>IFERROR(__xludf.DUMMYFUNCTION("""COMPUTED_VALUE"""),444.8888888888889)</f>
        <v>444.8888889</v>
      </c>
      <c r="O354" s="57">
        <f>IFERROR(__xludf.DUMMYFUNCTION("""COMPUTED_VALUE"""),1.1944444444444444)</f>
        <v>1.194444444</v>
      </c>
      <c r="P354" s="57">
        <f>IFERROR(__xludf.DUMMYFUNCTION("""COMPUTED_VALUE"""),0.8055555555555556)</f>
        <v>0.8055555556</v>
      </c>
      <c r="Q354" s="57">
        <f>IFERROR(__xludf.DUMMYFUNCTION("""COMPUTED_VALUE"""),1.9166666666666667)</f>
        <v>1.916666667</v>
      </c>
      <c r="R354" s="57">
        <f>IFERROR(__xludf.DUMMYFUNCTION("""COMPUTED_VALUE"""),3.0)</f>
        <v>3</v>
      </c>
      <c r="S354" s="31">
        <f>IFERROR(__xludf.DUMMYFUNCTION("""COMPUTED_VALUE"""),359.6574074074075)</f>
        <v>359.6574074</v>
      </c>
      <c r="T354" s="57">
        <f>IFERROR(__xludf.DUMMYFUNCTION("""COMPUTED_VALUE"""),0.6388888888888888)</f>
        <v>0.6388888889</v>
      </c>
      <c r="U354" s="57">
        <f>IFERROR(__xludf.DUMMYFUNCTION("""COMPUTED_VALUE"""),0.5092592592592591)</f>
        <v>0.5092592593</v>
      </c>
      <c r="V354" s="57">
        <f>IFERROR(__xludf.DUMMYFUNCTION("""COMPUTED_VALUE"""),1.6203703703703702)</f>
        <v>1.62037037</v>
      </c>
      <c r="W354" s="57">
        <f>IFERROR(__xludf.DUMMYFUNCTION("""COMPUTED_VALUE"""),2.4537037037037037)</f>
        <v>2.453703704</v>
      </c>
      <c r="X354" s="31">
        <f>IFERROR(__xludf.DUMMYFUNCTION("""COMPUTED_VALUE"""),376.26679428523585)</f>
        <v>376.2667943</v>
      </c>
      <c r="Y354" s="57">
        <f>IFERROR(__xludf.DUMMYFUNCTION("""COMPUTED_VALUE"""),0.7977645761515567)</f>
        <v>0.7977645762</v>
      </c>
      <c r="Z354" s="57">
        <f>IFERROR(__xludf.DUMMYFUNCTION("""COMPUTED_VALUE"""),0.6056830130611666)</f>
        <v>0.6056830131</v>
      </c>
      <c r="AA354" s="57">
        <f>IFERROR(__xludf.DUMMYFUNCTION("""COMPUTED_VALUE"""),1.5441243207621758)</f>
        <v>1.544124321</v>
      </c>
      <c r="AB354" s="57">
        <f>IFERROR(__xludf.DUMMYFUNCTION("""COMPUTED_VALUE"""),2.727186510460498)</f>
        <v>2.72718651</v>
      </c>
      <c r="AC354" s="31">
        <f>IFERROR(__xludf.DUMMYFUNCTION("""COMPUTED_VALUE"""),400.227568416092)</f>
        <v>400.2275684</v>
      </c>
      <c r="AD354" s="57">
        <f>IFERROR(__xludf.DUMMYFUNCTION("""COMPUTED_VALUE"""),0.9544420056012807)</f>
        <v>0.9544420056</v>
      </c>
      <c r="AE354" s="57">
        <f>IFERROR(__xludf.DUMMYFUNCTION("""COMPUTED_VALUE"""),0.7384839333111252)</f>
        <v>0.7384839333</v>
      </c>
      <c r="AF354" s="57">
        <f>IFERROR(__xludf.DUMMYFUNCTION("""COMPUTED_VALUE"""),1.4908473657145143)</f>
        <v>1.490847366</v>
      </c>
      <c r="AG354" s="57">
        <f>IFERROR(__xludf.DUMMYFUNCTION("""COMPUTED_VALUE"""),2.934814633151126)</f>
        <v>2.934814633</v>
      </c>
      <c r="AH354" s="57">
        <f>IFERROR(__xludf.DUMMYFUNCTION("""COMPUTED_VALUE"""),1.1115898153881425)</f>
        <v>1.111589815</v>
      </c>
      <c r="AI354" s="57">
        <f>IFERROR(__xludf.DUMMYFUNCTION("""COMPUTED_VALUE"""),1.2514583782300808)</f>
        <v>1.251458378</v>
      </c>
      <c r="AJ354" s="57">
        <f>IFERROR(__xludf.DUMMYFUNCTION("""COMPUTED_VALUE"""),1.0908234007796254)</f>
        <v>1.090823401</v>
      </c>
      <c r="AK354" s="57">
        <f>IFERROR(__xludf.DUMMYFUNCTION("""COMPUTED_VALUE"""),1.2856223317992526)</f>
        <v>1.285622332</v>
      </c>
      <c r="AL354" s="57">
        <f>IFERROR(__xludf.DUMMYFUNCTION("""COMPUTED_VALUE"""),1.0222110678175556)</f>
        <v>1.022211068</v>
      </c>
      <c r="AM354" s="57">
        <f>IFERROR(__xludf.DUMMYFUNCTION("""COMPUTED_VALUE"""),0.9558574205056285)</f>
        <v>0.9558574205</v>
      </c>
      <c r="AN354" s="57">
        <f>IFERROR(__xludf.DUMMYFUNCTION("""COMPUTED_VALUE"""),0.8008489070433666)</f>
        <v>0.800848907</v>
      </c>
      <c r="AO354" s="57">
        <f>IFERROR(__xludf.DUMMYFUNCTION("""COMPUTED_VALUE"""),0.8408016211077561)</f>
        <v>0.8408016211</v>
      </c>
      <c r="AP354" s="35">
        <f>IFERROR(__xludf.DUMMYFUNCTION("""COMPUTED_VALUE"""),1.0493781806186173)</f>
        <v>1.049378181</v>
      </c>
      <c r="AQ354" s="57">
        <f>IFERROR(__xludf.DUMMYFUNCTION("""COMPUTED_VALUE"""),0.8997198007148344)</f>
        <v>0.8997198007</v>
      </c>
      <c r="AR354" s="36" t="b">
        <f>IFERROR(__xludf.DUMMYFUNCTION("""COMPUTED_VALUE"""),TRUE)</f>
        <v>1</v>
      </c>
      <c r="AS354" s="57"/>
      <c r="AT354" s="37"/>
      <c r="AU354" s="30"/>
      <c r="AV354" s="30"/>
      <c r="AW354" s="30"/>
      <c r="AX354" s="30"/>
      <c r="AY354" s="30"/>
      <c r="AZ354" s="30"/>
    </row>
    <row r="355">
      <c r="A355" s="30" t="str">
        <f>IFERROR(__xludf.DUMMYFUNCTION("""COMPUTED_VALUE"""),"Master")</f>
        <v>Master</v>
      </c>
      <c r="B355" s="30" t="str">
        <f>IFERROR(__xludf.DUMMYFUNCTION("""COMPUTED_VALUE"""),"RSC007997")</f>
        <v>RSC007997</v>
      </c>
      <c r="C355" s="30" t="str">
        <f>IFERROR(__xludf.DUMMYFUNCTION("""COMPUTED_VALUE"""),"dreamyrll")</f>
        <v>dreamyrll</v>
      </c>
      <c r="D355" s="31" t="str">
        <f>IFERROR(__xludf.DUMMYFUNCTION("""COMPUTED_VALUE"""),"The OG")</f>
        <v>The OG</v>
      </c>
      <c r="E355" s="31">
        <f>IFERROR(__xludf.DUMMYFUNCTION("""COMPUTED_VALUE"""),73.98007314162872)</f>
        <v>73.98007314</v>
      </c>
      <c r="F355" s="31">
        <f>IFERROR(__xludf.DUMMYFUNCTION("""COMPUTED_VALUE"""),5.926689337890077)</f>
        <v>5.926689338</v>
      </c>
      <c r="G355" s="31">
        <f>IFERROR(__xludf.DUMMYFUNCTION("""COMPUTED_VALUE"""),61.30623389592079)</f>
        <v>61.3062339</v>
      </c>
      <c r="H355" s="31">
        <f>IFERROR(__xludf.DUMMYFUNCTION("""COMPUTED_VALUE"""),3.0717749915503116)</f>
        <v>3.071774992</v>
      </c>
      <c r="I355" s="54">
        <f>IFERROR(__xludf.DUMMYFUNCTION("""COMPUTED_VALUE"""),15.0)</f>
        <v>15</v>
      </c>
      <c r="J355" s="55">
        <f>IFERROR(__xludf.DUMMYFUNCTION("""COMPUTED_VALUE"""),5.0)</f>
        <v>5</v>
      </c>
      <c r="K355" s="54">
        <f>IFERROR(__xludf.DUMMYFUNCTION("""COMPUTED_VALUE"""),10.0)</f>
        <v>10</v>
      </c>
      <c r="L355" s="56">
        <f>IFERROR(__xludf.DUMMYFUNCTION("""COMPUTED_VALUE"""),0.3333333333333333)</f>
        <v>0.3333333333</v>
      </c>
      <c r="M355" s="56">
        <f>IFERROR(__xludf.DUMMYFUNCTION("""COMPUTED_VALUE"""),0.3269230769230769)</f>
        <v>0.3269230769</v>
      </c>
      <c r="N355" s="31">
        <f>IFERROR(__xludf.DUMMYFUNCTION("""COMPUTED_VALUE"""),481.73333333333335)</f>
        <v>481.7333333</v>
      </c>
      <c r="O355" s="57">
        <f>IFERROR(__xludf.DUMMYFUNCTION("""COMPUTED_VALUE"""),1.1333333333333333)</f>
        <v>1.133333333</v>
      </c>
      <c r="P355" s="57">
        <f>IFERROR(__xludf.DUMMYFUNCTION("""COMPUTED_VALUE"""),0.6)</f>
        <v>0.6</v>
      </c>
      <c r="Q355" s="57">
        <f>IFERROR(__xludf.DUMMYFUNCTION("""COMPUTED_VALUE"""),1.8666666666666667)</f>
        <v>1.866666667</v>
      </c>
      <c r="R355" s="57">
        <f>IFERROR(__xludf.DUMMYFUNCTION("""COMPUTED_VALUE"""),3.466666666666667)</f>
        <v>3.466666667</v>
      </c>
      <c r="S355" s="31">
        <f>IFERROR(__xludf.DUMMYFUNCTION("""COMPUTED_VALUE"""),423.9111111111112)</f>
        <v>423.9111111</v>
      </c>
      <c r="T355" s="57">
        <f>IFERROR(__xludf.DUMMYFUNCTION("""COMPUTED_VALUE"""),1.0)</f>
        <v>1</v>
      </c>
      <c r="U355" s="57">
        <f>IFERROR(__xludf.DUMMYFUNCTION("""COMPUTED_VALUE"""),0.7333333333333333)</f>
        <v>0.7333333333</v>
      </c>
      <c r="V355" s="57">
        <f>IFERROR(__xludf.DUMMYFUNCTION("""COMPUTED_VALUE"""),1.7555555555555555)</f>
        <v>1.755555556</v>
      </c>
      <c r="W355" s="57">
        <f>IFERROR(__xludf.DUMMYFUNCTION("""COMPUTED_VALUE"""),3.1111111111111103)</f>
        <v>3.111111111</v>
      </c>
      <c r="X355" s="31">
        <f>IFERROR(__xludf.DUMMYFUNCTION("""COMPUTED_VALUE"""),391.80088350367816)</f>
        <v>391.8008835</v>
      </c>
      <c r="Y355" s="57">
        <f>IFERROR(__xludf.DUMMYFUNCTION("""COMPUTED_VALUE"""),0.8828674696783779)</f>
        <v>0.8828674697</v>
      </c>
      <c r="Z355" s="57">
        <f>IFERROR(__xludf.DUMMYFUNCTION("""COMPUTED_VALUE"""),0.6414857088003357)</f>
        <v>0.6414857088</v>
      </c>
      <c r="AA355" s="57">
        <f>IFERROR(__xludf.DUMMYFUNCTION("""COMPUTED_VALUE"""),1.5176836021765026)</f>
        <v>1.517683602</v>
      </c>
      <c r="AB355" s="57">
        <f>IFERROR(__xludf.DUMMYFUNCTION("""COMPUTED_VALUE"""),2.9140473149668558)</f>
        <v>2.914047315</v>
      </c>
      <c r="AC355" s="31">
        <f>IFERROR(__xludf.DUMMYFUNCTION("""COMPUTED_VALUE"""),380.6482279902168)</f>
        <v>380.648228</v>
      </c>
      <c r="AD355" s="57">
        <f>IFERROR(__xludf.DUMMYFUNCTION("""COMPUTED_VALUE"""),0.8441827541290394)</f>
        <v>0.8441827541</v>
      </c>
      <c r="AE355" s="57">
        <f>IFERROR(__xludf.DUMMYFUNCTION("""COMPUTED_VALUE"""),0.6573725255676273)</f>
        <v>0.6573725256</v>
      </c>
      <c r="AF355" s="57">
        <f>IFERROR(__xludf.DUMMYFUNCTION("""COMPUTED_VALUE"""),1.4988121790507039)</f>
        <v>1.498812179</v>
      </c>
      <c r="AG355" s="57">
        <f>IFERROR(__xludf.DUMMYFUNCTION("""COMPUTED_VALUE"""),2.796810534629631)</f>
        <v>2.796810535</v>
      </c>
      <c r="AH355" s="57">
        <f>IFERROR(__xludf.DUMMYFUNCTION("""COMPUTED_VALUE"""),1.2655604253744603)</f>
        <v>1.265560425</v>
      </c>
      <c r="AI355" s="57">
        <f>IFERROR(__xludf.DUMMYFUNCTION("""COMPUTED_VALUE"""),1.3425213057125485)</f>
        <v>1.342521306</v>
      </c>
      <c r="AJ355" s="57">
        <f>IFERROR(__xludf.DUMMYFUNCTION("""COMPUTED_VALUE"""),0.9127244852253487)</f>
        <v>0.9127244852</v>
      </c>
      <c r="AK355" s="57">
        <f>IFERROR(__xludf.DUMMYFUNCTION("""COMPUTED_VALUE"""),1.2454306768770382)</f>
        <v>1.245430677</v>
      </c>
      <c r="AL355" s="57">
        <f>IFERROR(__xludf.DUMMYFUNCTION("""COMPUTED_VALUE"""),1.2395071542183467)</f>
        <v>1.239507154</v>
      </c>
      <c r="AM355" s="57">
        <f>IFERROR(__xludf.DUMMYFUNCTION("""COMPUTED_VALUE"""),1.081955475241116)</f>
        <v>1.081955475</v>
      </c>
      <c r="AN355" s="57">
        <f>IFERROR(__xludf.DUMMYFUNCTION("""COMPUTED_VALUE"""),1.1326728352153383)</f>
        <v>1.132672835</v>
      </c>
      <c r="AO355" s="57">
        <f>IFERROR(__xludf.DUMMYFUNCTION("""COMPUTED_VALUE"""),1.1431795335000758)</f>
        <v>1.143179534</v>
      </c>
      <c r="AP355" s="35">
        <f>IFERROR(__xludf.DUMMYFUNCTION("""COMPUTED_VALUE"""),1.1567335596417607)</f>
        <v>1.15673356</v>
      </c>
      <c r="AQ355" s="57">
        <f>IFERROR(__xludf.DUMMYFUNCTION("""COMPUTED_VALUE"""),1.0676254620616878)</f>
        <v>1.067625462</v>
      </c>
      <c r="AR355" s="36" t="b">
        <f>IFERROR(__xludf.DUMMYFUNCTION("""COMPUTED_VALUE"""),TRUE)</f>
        <v>1</v>
      </c>
      <c r="AS355" s="57"/>
      <c r="AT355" s="37"/>
      <c r="AU355" s="30"/>
      <c r="AV355" s="30"/>
      <c r="AW355" s="30"/>
      <c r="AX355" s="30"/>
      <c r="AY355" s="30"/>
      <c r="AZ355" s="30"/>
    </row>
    <row r="356">
      <c r="A356" s="30" t="str">
        <f>IFERROR(__xludf.DUMMYFUNCTION("""COMPUTED_VALUE"""),"Master")</f>
        <v>Master</v>
      </c>
      <c r="B356" s="30" t="str">
        <f>IFERROR(__xludf.DUMMYFUNCTION("""COMPUTED_VALUE"""),"RSC000618")</f>
        <v>RSC000618</v>
      </c>
      <c r="C356" s="30" t="str">
        <f>IFERROR(__xludf.DUMMYFUNCTION("""COMPUTED_VALUE"""),"Taelo")</f>
        <v>Taelo</v>
      </c>
      <c r="D356" s="31" t="str">
        <f>IFERROR(__xludf.DUMMYFUNCTION("""COMPUTED_VALUE"""),"Oblivion")</f>
        <v>Oblivion</v>
      </c>
      <c r="E356" s="31">
        <f>IFERROR(__xludf.DUMMYFUNCTION("""COMPUTED_VALUE"""),72.13944242227052)</f>
        <v>72.13944242</v>
      </c>
      <c r="F356" s="31">
        <f>IFERROR(__xludf.DUMMYFUNCTION("""COMPUTED_VALUE"""),5.321340672774111)</f>
        <v>5.321340673</v>
      </c>
      <c r="G356" s="31">
        <f>IFERROR(__xludf.DUMMYFUNCTION("""COMPUTED_VALUE"""),75.34533895833218)</f>
        <v>75.34533896</v>
      </c>
      <c r="H356" s="31">
        <f>IFERROR(__xludf.DUMMYFUNCTION("""COMPUTED_VALUE"""),6.437663432290457)</f>
        <v>6.437663432</v>
      </c>
      <c r="I356" s="54">
        <f>IFERROR(__xludf.DUMMYFUNCTION("""COMPUTED_VALUE"""),36.0)</f>
        <v>36</v>
      </c>
      <c r="J356" s="55">
        <f>IFERROR(__xludf.DUMMYFUNCTION("""COMPUTED_VALUE"""),25.0)</f>
        <v>25</v>
      </c>
      <c r="K356" s="54">
        <f>IFERROR(__xludf.DUMMYFUNCTION("""COMPUTED_VALUE"""),11.0)</f>
        <v>11</v>
      </c>
      <c r="L356" s="56">
        <f>IFERROR(__xludf.DUMMYFUNCTION("""COMPUTED_VALUE"""),0.6944444444444444)</f>
        <v>0.6944444444</v>
      </c>
      <c r="M356" s="56">
        <f>IFERROR(__xludf.DUMMYFUNCTION("""COMPUTED_VALUE"""),0.3214285714285714)</f>
        <v>0.3214285714</v>
      </c>
      <c r="N356" s="31">
        <f>IFERROR(__xludf.DUMMYFUNCTION("""COMPUTED_VALUE"""),392.3888888888889)</f>
        <v>392.3888889</v>
      </c>
      <c r="O356" s="57">
        <f>IFERROR(__xludf.DUMMYFUNCTION("""COMPUTED_VALUE"""),1.0)</f>
        <v>1</v>
      </c>
      <c r="P356" s="57">
        <f>IFERROR(__xludf.DUMMYFUNCTION("""COMPUTED_VALUE"""),0.8611111111111112)</f>
        <v>0.8611111111</v>
      </c>
      <c r="Q356" s="57">
        <f>IFERROR(__xludf.DUMMYFUNCTION("""COMPUTED_VALUE"""),1.1944444444444444)</f>
        <v>1.194444444</v>
      </c>
      <c r="R356" s="57">
        <f>IFERROR(__xludf.DUMMYFUNCTION("""COMPUTED_VALUE"""),3.111111111111111)</f>
        <v>3.111111111</v>
      </c>
      <c r="S356" s="31">
        <f>IFERROR(__xludf.DUMMYFUNCTION("""COMPUTED_VALUE"""),337.03703703703707)</f>
        <v>337.037037</v>
      </c>
      <c r="T356" s="57">
        <f>IFERROR(__xludf.DUMMYFUNCTION("""COMPUTED_VALUE"""),0.6944444444444444)</f>
        <v>0.6944444444</v>
      </c>
      <c r="U356" s="57">
        <f>IFERROR(__xludf.DUMMYFUNCTION("""COMPUTED_VALUE"""),0.4722222222222223)</f>
        <v>0.4722222222</v>
      </c>
      <c r="V356" s="57">
        <f>IFERROR(__xludf.DUMMYFUNCTION("""COMPUTED_VALUE"""),1.3240740740740742)</f>
        <v>1.324074074</v>
      </c>
      <c r="W356" s="57">
        <f>IFERROR(__xludf.DUMMYFUNCTION("""COMPUTED_VALUE"""),2.435185185185185)</f>
        <v>2.435185185</v>
      </c>
      <c r="X356" s="31">
        <f>IFERROR(__xludf.DUMMYFUNCTION("""COMPUTED_VALUE"""),371.16792026445887)</f>
        <v>371.1679203</v>
      </c>
      <c r="Y356" s="57">
        <f>IFERROR(__xludf.DUMMYFUNCTION("""COMPUTED_VALUE"""),0.7322734158358828)</f>
        <v>0.7322734158</v>
      </c>
      <c r="Z356" s="57">
        <f>IFERROR(__xludf.DUMMYFUNCTION("""COMPUTED_VALUE"""),0.5968819245902108)</f>
        <v>0.5968819246</v>
      </c>
      <c r="AA356" s="57">
        <f>IFERROR(__xludf.DUMMYFUNCTION("""COMPUTED_VALUE"""),1.5555377454657187)</f>
        <v>1.555537745</v>
      </c>
      <c r="AB356" s="57">
        <f>IFERROR(__xludf.DUMMYFUNCTION("""COMPUTED_VALUE"""),2.7786657039971967)</f>
        <v>2.778665704</v>
      </c>
      <c r="AC356" s="31">
        <f>IFERROR(__xludf.DUMMYFUNCTION("""COMPUTED_VALUE"""),399.97102755039174)</f>
        <v>399.9710276</v>
      </c>
      <c r="AD356" s="57">
        <f>IFERROR(__xludf.DUMMYFUNCTION("""COMPUTED_VALUE"""),0.9465707667516009)</f>
        <v>0.9465707668</v>
      </c>
      <c r="AE356" s="57">
        <f>IFERROR(__xludf.DUMMYFUNCTION("""COMPUTED_VALUE"""),0.7160144291622331)</f>
        <v>0.7160144292</v>
      </c>
      <c r="AF356" s="57">
        <f>IFERROR(__xludf.DUMMYFUNCTION("""COMPUTED_VALUE"""),1.5343530320242875)</f>
        <v>1.534353032</v>
      </c>
      <c r="AG356" s="57">
        <f>IFERROR(__xludf.DUMMYFUNCTION("""COMPUTED_VALUE"""),2.91541843786635)</f>
        <v>2.915418438</v>
      </c>
      <c r="AH356" s="57">
        <f>IFERROR(__xludf.DUMMYFUNCTION("""COMPUTED_VALUE"""),0.9810432802897265)</f>
        <v>0.9810432803</v>
      </c>
      <c r="AI356" s="57">
        <f>IFERROR(__xludf.DUMMYFUNCTION("""COMPUTED_VALUE"""),1.056445048933589)</f>
        <v>1.056445049</v>
      </c>
      <c r="AJ356" s="57">
        <f>IFERROR(__xludf.DUMMYFUNCTION("""COMPUTED_VALUE"""),1.202644913341547)</f>
        <v>1.202644913</v>
      </c>
      <c r="AK356" s="57">
        <f>IFERROR(__xludf.DUMMYFUNCTION("""COMPUTED_VALUE"""),0.7784678098941817)</f>
        <v>0.7784678099</v>
      </c>
      <c r="AL356" s="57">
        <f>IFERROR(__xludf.DUMMYFUNCTION("""COMPUTED_VALUE"""),1.0671233572179706)</f>
        <v>1.067123357</v>
      </c>
      <c r="AM356" s="57">
        <f>IFERROR(__xludf.DUMMYFUNCTION("""COMPUTED_VALUE"""),0.9080446305728593)</f>
        <v>0.9080446306</v>
      </c>
      <c r="AN356" s="57">
        <f>IFERROR(__xludf.DUMMYFUNCTION("""COMPUTED_VALUE"""),0.9483403731811608)</f>
        <v>0.9483403732</v>
      </c>
      <c r="AO356" s="57">
        <f>IFERROR(__xludf.DUMMYFUNCTION("""COMPUTED_VALUE"""),0.7911484713604393)</f>
        <v>0.7911484714</v>
      </c>
      <c r="AP356" s="35">
        <f>IFERROR(__xludf.DUMMYFUNCTION("""COMPUTED_VALUE"""),0.8512002218741753)</f>
        <v>0.8512002219</v>
      </c>
      <c r="AQ356" s="57">
        <f>IFERROR(__xludf.DUMMYFUNCTION("""COMPUTED_VALUE"""),0.8763865266995219)</f>
        <v>0.8763865267</v>
      </c>
      <c r="AR356" s="36" t="b">
        <f>IFERROR(__xludf.DUMMYFUNCTION("""COMPUTED_VALUE"""),TRUE)</f>
        <v>1</v>
      </c>
      <c r="AS356" s="57"/>
      <c r="AT356" s="37"/>
      <c r="AU356" s="30"/>
      <c r="AV356" s="30"/>
      <c r="AW356" s="30"/>
      <c r="AX356" s="30"/>
      <c r="AY356" s="30"/>
      <c r="AZ356" s="30"/>
    </row>
    <row r="357">
      <c r="A357" s="30" t="str">
        <f>IFERROR(__xludf.DUMMYFUNCTION("""COMPUTED_VALUE"""),"Master")</f>
        <v>Master</v>
      </c>
      <c r="B357" s="30" t="str">
        <f>IFERROR(__xludf.DUMMYFUNCTION("""COMPUTED_VALUE"""),"RSC004575")</f>
        <v>RSC004575</v>
      </c>
      <c r="C357" s="30" t="str">
        <f>IFERROR(__xludf.DUMMYFUNCTION("""COMPUTED_VALUE"""),"Diamond ^.^")</f>
        <v>Diamond ^.^</v>
      </c>
      <c r="D357" s="31" t="str">
        <f>IFERROR(__xludf.DUMMYFUNCTION("""COMPUTED_VALUE"""),"Lemurs")</f>
        <v>Lemurs</v>
      </c>
      <c r="E357" s="31">
        <f>IFERROR(__xludf.DUMMYFUNCTION("""COMPUTED_VALUE"""),70.89995815493225)</f>
        <v>70.89995815</v>
      </c>
      <c r="F357" s="31">
        <f>IFERROR(__xludf.DUMMYFUNCTION("""COMPUTED_VALUE"""),4.960860734999156)</f>
        <v>4.960860735</v>
      </c>
      <c r="G357" s="31">
        <f>IFERROR(__xludf.DUMMYFUNCTION("""COMPUTED_VALUE"""),65.03208534955803)</f>
        <v>65.03208535</v>
      </c>
      <c r="H357" s="31">
        <f>IFERROR(__xludf.DUMMYFUNCTION("""COMPUTED_VALUE"""),3.6519592637002996)</f>
        <v>3.651959264</v>
      </c>
      <c r="I357" s="54">
        <f>IFERROR(__xludf.DUMMYFUNCTION("""COMPUTED_VALUE"""),35.0)</f>
        <v>35</v>
      </c>
      <c r="J357" s="55">
        <f>IFERROR(__xludf.DUMMYFUNCTION("""COMPUTED_VALUE"""),19.0)</f>
        <v>19</v>
      </c>
      <c r="K357" s="54">
        <f>IFERROR(__xludf.DUMMYFUNCTION("""COMPUTED_VALUE"""),16.0)</f>
        <v>16</v>
      </c>
      <c r="L357" s="56">
        <f>IFERROR(__xludf.DUMMYFUNCTION("""COMPUTED_VALUE"""),0.5428571428571428)</f>
        <v>0.5428571429</v>
      </c>
      <c r="M357" s="56">
        <f>IFERROR(__xludf.DUMMYFUNCTION("""COMPUTED_VALUE"""),0.3135593220338983)</f>
        <v>0.313559322</v>
      </c>
      <c r="N357" s="31">
        <f>IFERROR(__xludf.DUMMYFUNCTION("""COMPUTED_VALUE"""),428.22857142857146)</f>
        <v>428.2285714</v>
      </c>
      <c r="O357" s="57">
        <f>IFERROR(__xludf.DUMMYFUNCTION("""COMPUTED_VALUE"""),1.0571428571428572)</f>
        <v>1.057142857</v>
      </c>
      <c r="P357" s="57">
        <f>IFERROR(__xludf.DUMMYFUNCTION("""COMPUTED_VALUE"""),0.6571428571428571)</f>
        <v>0.6571428571</v>
      </c>
      <c r="Q357" s="57">
        <f>IFERROR(__xludf.DUMMYFUNCTION("""COMPUTED_VALUE"""),1.457142857142857)</f>
        <v>1.457142857</v>
      </c>
      <c r="R357" s="57">
        <f>IFERROR(__xludf.DUMMYFUNCTION("""COMPUTED_VALUE"""),3.3714285714285714)</f>
        <v>3.371428571</v>
      </c>
      <c r="S357" s="31">
        <f>IFERROR(__xludf.DUMMYFUNCTION("""COMPUTED_VALUE"""),409.1904761904762)</f>
        <v>409.1904762</v>
      </c>
      <c r="T357" s="57">
        <f>IFERROR(__xludf.DUMMYFUNCTION("""COMPUTED_VALUE"""),0.9142857142857143)</f>
        <v>0.9142857143</v>
      </c>
      <c r="U357" s="57">
        <f>IFERROR(__xludf.DUMMYFUNCTION("""COMPUTED_VALUE"""),0.7142857142857144)</f>
        <v>0.7142857143</v>
      </c>
      <c r="V357" s="57">
        <f>IFERROR(__xludf.DUMMYFUNCTION("""COMPUTED_VALUE"""),1.5904761904761906)</f>
        <v>1.59047619</v>
      </c>
      <c r="W357" s="57">
        <f>IFERROR(__xludf.DUMMYFUNCTION("""COMPUTED_VALUE"""),2.7999999999999994)</f>
        <v>2.8</v>
      </c>
      <c r="X357" s="31">
        <f>IFERROR(__xludf.DUMMYFUNCTION("""COMPUTED_VALUE"""),390.28757564548215)</f>
        <v>390.2875756</v>
      </c>
      <c r="Y357" s="57">
        <f>IFERROR(__xludf.DUMMYFUNCTION("""COMPUTED_VALUE"""),0.8892192055800432)</f>
        <v>0.8892192056</v>
      </c>
      <c r="Z357" s="57">
        <f>IFERROR(__xludf.DUMMYFUNCTION("""COMPUTED_VALUE"""),0.6868296495513241)</f>
        <v>0.6868296496</v>
      </c>
      <c r="AA357" s="57">
        <f>IFERROR(__xludf.DUMMYFUNCTION("""COMPUTED_VALUE"""),1.5145259323933384)</f>
        <v>1.514525932</v>
      </c>
      <c r="AB357" s="57">
        <f>IFERROR(__xludf.DUMMYFUNCTION("""COMPUTED_VALUE"""),2.782494709495942)</f>
        <v>2.782494709</v>
      </c>
      <c r="AC357" s="31">
        <f>IFERROR(__xludf.DUMMYFUNCTION("""COMPUTED_VALUE"""),383.5754647759038)</f>
        <v>383.5754648</v>
      </c>
      <c r="AD357" s="57">
        <f>IFERROR(__xludf.DUMMYFUNCTION("""COMPUTED_VALUE"""),0.8461731070324393)</f>
        <v>0.846173107</v>
      </c>
      <c r="AE357" s="57">
        <f>IFERROR(__xludf.DUMMYFUNCTION("""COMPUTED_VALUE"""),0.6418538610581577)</f>
        <v>0.6418538611</v>
      </c>
      <c r="AF357" s="57">
        <f>IFERROR(__xludf.DUMMYFUNCTION("""COMPUTED_VALUE"""),1.5017002422763235)</f>
        <v>1.501700242</v>
      </c>
      <c r="AG357" s="57">
        <f>IFERROR(__xludf.DUMMYFUNCTION("""COMPUTED_VALUE"""),2.808557598162141)</f>
        <v>2.808557598</v>
      </c>
      <c r="AH357" s="57">
        <f>IFERROR(__xludf.DUMMYFUNCTION("""COMPUTED_VALUE"""),1.1164128333358216)</f>
        <v>1.116412833</v>
      </c>
      <c r="AI357" s="57">
        <f>IFERROR(__xludf.DUMMYFUNCTION("""COMPUTED_VALUE"""),1.2493222112084095)</f>
        <v>1.249322211</v>
      </c>
      <c r="AJ357" s="57">
        <f>IFERROR(__xludf.DUMMYFUNCTION("""COMPUTED_VALUE"""),1.0238200578235894)</f>
        <v>1.023820058</v>
      </c>
      <c r="AK357" s="57">
        <f>IFERROR(__xludf.DUMMYFUNCTION("""COMPUTED_VALUE"""),0.9703287088334454)</f>
        <v>0.9703287088</v>
      </c>
      <c r="AL357" s="57">
        <f>IFERROR(__xludf.DUMMYFUNCTION("""COMPUTED_VALUE"""),1.200412828860893)</f>
        <v>1.200412829</v>
      </c>
      <c r="AM357" s="57">
        <f>IFERROR(__xludf.DUMMYFUNCTION("""COMPUTED_VALUE"""),1.04843326235464)</f>
        <v>1.048433262</v>
      </c>
      <c r="AN357" s="57">
        <f>IFERROR(__xludf.DUMMYFUNCTION("""COMPUTED_VALUE"""),1.0281893469555912)</f>
        <v>1.028189347</v>
      </c>
      <c r="AO357" s="57">
        <f>IFERROR(__xludf.DUMMYFUNCTION("""COMPUTED_VALUE"""),1.0399750720609195)</f>
        <v>1.039975072</v>
      </c>
      <c r="AP357" s="35">
        <f>IFERROR(__xludf.DUMMYFUNCTION("""COMPUTED_VALUE"""),1.050147875621272)</f>
        <v>1.050147876</v>
      </c>
      <c r="AQ357" s="57">
        <f>IFERROR(__xludf.DUMMYFUNCTION("""COMPUTED_VALUE"""),1.0062912214870765)</f>
        <v>1.006291221</v>
      </c>
      <c r="AR357" s="36" t="b">
        <f>IFERROR(__xludf.DUMMYFUNCTION("""COMPUTED_VALUE"""),TRUE)</f>
        <v>1</v>
      </c>
      <c r="AS357" s="57"/>
      <c r="AT357" s="37"/>
      <c r="AU357" s="30"/>
      <c r="AV357" s="30"/>
      <c r="AW357" s="30"/>
      <c r="AX357" s="30"/>
      <c r="AY357" s="30"/>
      <c r="AZ357" s="30"/>
    </row>
    <row r="358">
      <c r="A358" s="30" t="str">
        <f>IFERROR(__xludf.DUMMYFUNCTION("""COMPUTED_VALUE"""),"Master")</f>
        <v>Master</v>
      </c>
      <c r="B358" s="30" t="str">
        <f>IFERROR(__xludf.DUMMYFUNCTION("""COMPUTED_VALUE"""),"RSC006952")</f>
        <v>RSC006952</v>
      </c>
      <c r="C358" s="30" t="str">
        <f>IFERROR(__xludf.DUMMYFUNCTION("""COMPUTED_VALUE"""),"nave")</f>
        <v>nave</v>
      </c>
      <c r="D358" s="31" t="str">
        <f>IFERROR(__xludf.DUMMYFUNCTION("""COMPUTED_VALUE"""),"Kawaii")</f>
        <v>Kawaii</v>
      </c>
      <c r="E358" s="31">
        <f>IFERROR(__xludf.DUMMYFUNCTION("""COMPUTED_VALUE"""),69.8270989085038)</f>
        <v>69.82709891</v>
      </c>
      <c r="F358" s="31">
        <f>IFERROR(__xludf.DUMMYFUNCTION("""COMPUTED_VALUE"""),4.675858833260258)</f>
        <v>4.675858833</v>
      </c>
      <c r="G358" s="31">
        <f>IFERROR(__xludf.DUMMYFUNCTION("""COMPUTED_VALUE"""),64.58549634776506)</f>
        <v>64.58549635</v>
      </c>
      <c r="H358" s="31">
        <f>IFERROR(__xludf.DUMMYFUNCTION("""COMPUTED_VALUE"""),3.5739131068129026)</f>
        <v>3.573913107</v>
      </c>
      <c r="I358" s="54">
        <f>IFERROR(__xludf.DUMMYFUNCTION("""COMPUTED_VALUE"""),36.0)</f>
        <v>36</v>
      </c>
      <c r="J358" s="55">
        <f>IFERROR(__xludf.DUMMYFUNCTION("""COMPUTED_VALUE"""),15.0)</f>
        <v>15</v>
      </c>
      <c r="K358" s="54">
        <f>IFERROR(__xludf.DUMMYFUNCTION("""COMPUTED_VALUE"""),21.0)</f>
        <v>21</v>
      </c>
      <c r="L358" s="56">
        <f>IFERROR(__xludf.DUMMYFUNCTION("""COMPUTED_VALUE"""),0.4166666666666667)</f>
        <v>0.4166666667</v>
      </c>
      <c r="M358" s="56">
        <f>IFERROR(__xludf.DUMMYFUNCTION("""COMPUTED_VALUE"""),0.3275862068965517)</f>
        <v>0.3275862069</v>
      </c>
      <c r="N358" s="31">
        <f>IFERROR(__xludf.DUMMYFUNCTION("""COMPUTED_VALUE"""),421.3888888888889)</f>
        <v>421.3888889</v>
      </c>
      <c r="O358" s="57">
        <f>IFERROR(__xludf.DUMMYFUNCTION("""COMPUTED_VALUE"""),1.0555555555555556)</f>
        <v>1.055555556</v>
      </c>
      <c r="P358" s="57">
        <f>IFERROR(__xludf.DUMMYFUNCTION("""COMPUTED_VALUE"""),0.6388888888888888)</f>
        <v>0.6388888889</v>
      </c>
      <c r="Q358" s="57">
        <f>IFERROR(__xludf.DUMMYFUNCTION("""COMPUTED_VALUE"""),1.5555555555555556)</f>
        <v>1.555555556</v>
      </c>
      <c r="R358" s="57">
        <f>IFERROR(__xludf.DUMMYFUNCTION("""COMPUTED_VALUE"""),3.2222222222222223)</f>
        <v>3.222222222</v>
      </c>
      <c r="S358" s="31">
        <f>IFERROR(__xludf.DUMMYFUNCTION("""COMPUTED_VALUE"""),402.0740740740741)</f>
        <v>402.0740741</v>
      </c>
      <c r="T358" s="57">
        <f>IFERROR(__xludf.DUMMYFUNCTION("""COMPUTED_VALUE"""),0.9166666666666669)</f>
        <v>0.9166666667</v>
      </c>
      <c r="U358" s="57">
        <f>IFERROR(__xludf.DUMMYFUNCTION("""COMPUTED_VALUE"""),0.685185185185185)</f>
        <v>0.6851851852</v>
      </c>
      <c r="V358" s="57">
        <f>IFERROR(__xludf.DUMMYFUNCTION("""COMPUTED_VALUE"""),1.4629629629629628)</f>
        <v>1.462962963</v>
      </c>
      <c r="W358" s="57">
        <f>IFERROR(__xludf.DUMMYFUNCTION("""COMPUTED_VALUE"""),2.8703703703703707)</f>
        <v>2.87037037</v>
      </c>
      <c r="X358" s="31">
        <f>IFERROR(__xludf.DUMMYFUNCTION("""COMPUTED_VALUE"""),398.02521515885127)</f>
        <v>398.0252152</v>
      </c>
      <c r="Y358" s="57">
        <f>IFERROR(__xludf.DUMMYFUNCTION("""COMPUTED_VALUE"""),0.9404784697857522)</f>
        <v>0.9404784698</v>
      </c>
      <c r="Z358" s="57">
        <f>IFERROR(__xludf.DUMMYFUNCTION("""COMPUTED_VALUE"""),0.7072184554314811)</f>
        <v>0.7072184554</v>
      </c>
      <c r="AA358" s="57">
        <f>IFERROR(__xludf.DUMMYFUNCTION("""COMPUTED_VALUE"""),1.4660727952714512)</f>
        <v>1.466072795</v>
      </c>
      <c r="AB358" s="57">
        <f>IFERROR(__xludf.DUMMYFUNCTION("""COMPUTED_VALUE"""),2.9097403770924655)</f>
        <v>2.909740377</v>
      </c>
      <c r="AC358" s="31">
        <f>IFERROR(__xludf.DUMMYFUNCTION("""COMPUTED_VALUE"""),383.0896988299807)</f>
        <v>383.0896988</v>
      </c>
      <c r="AD358" s="57">
        <f>IFERROR(__xludf.DUMMYFUNCTION("""COMPUTED_VALUE"""),0.842235955607803)</f>
        <v>0.8422359556</v>
      </c>
      <c r="AE358" s="57">
        <f>IFERROR(__xludf.DUMMYFUNCTION("""COMPUTED_VALUE"""),0.6493016000141046)</f>
        <v>0.6493016</v>
      </c>
      <c r="AF358" s="57">
        <f>IFERROR(__xludf.DUMMYFUNCTION("""COMPUTED_VALUE"""),1.4890987496217427)</f>
        <v>1.48909875</v>
      </c>
      <c r="AG358" s="57">
        <f>IFERROR(__xludf.DUMMYFUNCTION("""COMPUTED_VALUE"""),2.7698013449831795)</f>
        <v>2.769801345</v>
      </c>
      <c r="AH358" s="57">
        <f>IFERROR(__xludf.DUMMYFUNCTION("""COMPUTED_VALUE"""),1.0999744711901163)</f>
        <v>1.099974471</v>
      </c>
      <c r="AI358" s="57">
        <f>IFERROR(__xludf.DUMMYFUNCTION("""COMPUTED_VALUE"""),1.2532777169241245)</f>
        <v>1.253277717</v>
      </c>
      <c r="AJ358" s="57">
        <f>IFERROR(__xludf.DUMMYFUNCTION("""COMPUTED_VALUE"""),0.9839632135128119)</f>
        <v>0.9839632135</v>
      </c>
      <c r="AK358" s="57">
        <f>IFERROR(__xludf.DUMMYFUNCTION("""COMPUTED_VALUE"""),1.0446288776689217)</f>
        <v>1.044628878</v>
      </c>
      <c r="AL358" s="57">
        <f>IFERROR(__xludf.DUMMYFUNCTION("""COMPUTED_VALUE"""),1.1633405507793881)</f>
        <v>1.163340551</v>
      </c>
      <c r="AM358" s="57">
        <f>IFERROR(__xludf.DUMMYFUNCTION("""COMPUTED_VALUE"""),1.0101723678827907)</f>
        <v>1.010172368</v>
      </c>
      <c r="AN358" s="57">
        <f>IFERROR(__xludf.DUMMYFUNCTION("""COMPUTED_VALUE"""),0.974681182096056)</f>
        <v>0.9746811821</v>
      </c>
      <c r="AO358" s="57">
        <f>IFERROR(__xludf.DUMMYFUNCTION("""COMPUTED_VALUE"""),0.9688451707148206)</f>
        <v>0.9688451707</v>
      </c>
      <c r="AP358" s="35">
        <f>IFERROR(__xludf.DUMMYFUNCTION("""COMPUTED_VALUE"""),0.997878800890025)</f>
        <v>0.9978788009</v>
      </c>
      <c r="AQ358" s="57">
        <f>IFERROR(__xludf.DUMMYFUNCTION("""COMPUTED_VALUE"""),0.9864695809179255)</f>
        <v>0.9864695809</v>
      </c>
      <c r="AR358" s="36" t="b">
        <f>IFERROR(__xludf.DUMMYFUNCTION("""COMPUTED_VALUE"""),TRUE)</f>
        <v>1</v>
      </c>
      <c r="AS358" s="57"/>
      <c r="AT358" s="37"/>
      <c r="AU358" s="30"/>
      <c r="AV358" s="30"/>
      <c r="AW358" s="30"/>
      <c r="AX358" s="30"/>
      <c r="AY358" s="30"/>
      <c r="AZ358" s="30"/>
    </row>
    <row r="359">
      <c r="A359" s="30" t="str">
        <f>IFERROR(__xludf.DUMMYFUNCTION("""COMPUTED_VALUE"""),"Master")</f>
        <v>Master</v>
      </c>
      <c r="B359" s="30" t="str">
        <f>IFERROR(__xludf.DUMMYFUNCTION("""COMPUTED_VALUE"""),"RSC007858")</f>
        <v>RSC007858</v>
      </c>
      <c r="C359" s="30" t="str">
        <f>IFERROR(__xludf.DUMMYFUNCTION("""COMPUTED_VALUE"""),"Patty")</f>
        <v>Patty</v>
      </c>
      <c r="D359" s="31" t="str">
        <f>IFERROR(__xludf.DUMMYFUNCTION("""COMPUTED_VALUE"""),"Phantom Phreaks")</f>
        <v>Phantom Phreaks</v>
      </c>
      <c r="E359" s="31">
        <f>IFERROR(__xludf.DUMMYFUNCTION("""COMPUTED_VALUE"""),69.27195947633359)</f>
        <v>69.27195948</v>
      </c>
      <c r="F359" s="31">
        <f>IFERROR(__xludf.DUMMYFUNCTION("""COMPUTED_VALUE"""),4.537421003646366)</f>
        <v>4.537421004</v>
      </c>
      <c r="G359" s="31">
        <f>IFERROR(__xludf.DUMMYFUNCTION("""COMPUTED_VALUE"""),66.29233319537423)</f>
        <v>66.2923332</v>
      </c>
      <c r="H359" s="31">
        <f>IFERROR(__xludf.DUMMYFUNCTION("""COMPUTED_VALUE"""),3.8865211404015407)</f>
        <v>3.88652114</v>
      </c>
      <c r="I359" s="54">
        <f>IFERROR(__xludf.DUMMYFUNCTION("""COMPUTED_VALUE"""),36.0)</f>
        <v>36</v>
      </c>
      <c r="J359" s="55">
        <f>IFERROR(__xludf.DUMMYFUNCTION("""COMPUTED_VALUE"""),25.0)</f>
        <v>25</v>
      </c>
      <c r="K359" s="54">
        <f>IFERROR(__xludf.DUMMYFUNCTION("""COMPUTED_VALUE"""),11.0)</f>
        <v>11</v>
      </c>
      <c r="L359" s="56">
        <f>IFERROR(__xludf.DUMMYFUNCTION("""COMPUTED_VALUE"""),0.6944444444444444)</f>
        <v>0.6944444444</v>
      </c>
      <c r="M359" s="56">
        <f>IFERROR(__xludf.DUMMYFUNCTION("""COMPUTED_VALUE"""),0.24615384615384614)</f>
        <v>0.2461538462</v>
      </c>
      <c r="N359" s="31">
        <f>IFERROR(__xludf.DUMMYFUNCTION("""COMPUTED_VALUE"""),437.8611111111111)</f>
        <v>437.8611111</v>
      </c>
      <c r="O359" s="57">
        <f>IFERROR(__xludf.DUMMYFUNCTION("""COMPUTED_VALUE"""),0.8888888888888888)</f>
        <v>0.8888888889</v>
      </c>
      <c r="P359" s="57">
        <f>IFERROR(__xludf.DUMMYFUNCTION("""COMPUTED_VALUE"""),0.6944444444444444)</f>
        <v>0.6944444444</v>
      </c>
      <c r="Q359" s="57">
        <f>IFERROR(__xludf.DUMMYFUNCTION("""COMPUTED_VALUE"""),1.6388888888888888)</f>
        <v>1.638888889</v>
      </c>
      <c r="R359" s="57">
        <f>IFERROR(__xludf.DUMMYFUNCTION("""COMPUTED_VALUE"""),3.611111111111111)</f>
        <v>3.611111111</v>
      </c>
      <c r="S359" s="31">
        <f>IFERROR(__xludf.DUMMYFUNCTION("""COMPUTED_VALUE"""),384.4537037037037)</f>
        <v>384.4537037</v>
      </c>
      <c r="T359" s="57">
        <f>IFERROR(__xludf.DUMMYFUNCTION("""COMPUTED_VALUE"""),0.712962962962963)</f>
        <v>0.712962963</v>
      </c>
      <c r="U359" s="57">
        <f>IFERROR(__xludf.DUMMYFUNCTION("""COMPUTED_VALUE"""),0.5462962962962963)</f>
        <v>0.5462962963</v>
      </c>
      <c r="V359" s="57">
        <f>IFERROR(__xludf.DUMMYFUNCTION("""COMPUTED_VALUE"""),1.7129629629629628)</f>
        <v>1.712962963</v>
      </c>
      <c r="W359" s="57">
        <f>IFERROR(__xludf.DUMMYFUNCTION("""COMPUTED_VALUE"""),2.5277777777777772)</f>
        <v>2.527777778</v>
      </c>
      <c r="X359" s="31">
        <f>IFERROR(__xludf.DUMMYFUNCTION("""COMPUTED_VALUE"""),376.1445465356494)</f>
        <v>376.1445465</v>
      </c>
      <c r="Y359" s="57">
        <f>IFERROR(__xludf.DUMMYFUNCTION("""COMPUTED_VALUE"""),0.8056534599103592)</f>
        <v>0.8056534599</v>
      </c>
      <c r="Z359" s="57">
        <f>IFERROR(__xludf.DUMMYFUNCTION("""COMPUTED_VALUE"""),0.6259961242584515)</f>
        <v>0.6259961243</v>
      </c>
      <c r="AA359" s="57">
        <f>IFERROR(__xludf.DUMMYFUNCTION("""COMPUTED_VALUE"""),1.5000743729198946)</f>
        <v>1.500074373</v>
      </c>
      <c r="AB359" s="57">
        <f>IFERROR(__xludf.DUMMYFUNCTION("""COMPUTED_VALUE"""),2.703470733278399)</f>
        <v>2.703470733</v>
      </c>
      <c r="AC359" s="31">
        <f>IFERROR(__xludf.DUMMYFUNCTION("""COMPUTED_VALUE"""),389.7931461023975)</f>
        <v>389.7931461</v>
      </c>
      <c r="AD359" s="57">
        <f>IFERROR(__xludf.DUMMYFUNCTION("""COMPUTED_VALUE"""),0.8920677034397949)</f>
        <v>0.8920677034</v>
      </c>
      <c r="AE359" s="57">
        <f>IFERROR(__xludf.DUMMYFUNCTION("""COMPUTED_VALUE"""),0.6801301002483976)</f>
        <v>0.6801301002</v>
      </c>
      <c r="AF359" s="57">
        <f>IFERROR(__xludf.DUMMYFUNCTION("""COMPUTED_VALUE"""),1.4653220206463256)</f>
        <v>1.465322021</v>
      </c>
      <c r="AG359" s="57">
        <f>IFERROR(__xludf.DUMMYFUNCTION("""COMPUTED_VALUE"""),2.8779776177798246)</f>
        <v>2.877977618</v>
      </c>
      <c r="AH359" s="57">
        <f>IFERROR(__xludf.DUMMYFUNCTION("""COMPUTED_VALUE"""),1.1233165987892622)</f>
        <v>1.123316599</v>
      </c>
      <c r="AI359" s="57">
        <f>IFERROR(__xludf.DUMMYFUNCTION("""COMPUTED_VALUE"""),0.99643657702364)</f>
        <v>0.996436577</v>
      </c>
      <c r="AJ359" s="57">
        <f>IFERROR(__xludf.DUMMYFUNCTION("""COMPUTED_VALUE"""),1.021046479476234)</f>
        <v>1.021046479</v>
      </c>
      <c r="AK359" s="57">
        <f>IFERROR(__xludf.DUMMYFUNCTION("""COMPUTED_VALUE"""),1.1184496416466916)</f>
        <v>1.118449642</v>
      </c>
      <c r="AL359" s="57">
        <f>IFERROR(__xludf.DUMMYFUNCTION("""COMPUTED_VALUE"""),1.2547391226401725)</f>
        <v>1.254739123</v>
      </c>
      <c r="AM359" s="57">
        <f>IFERROR(__xludf.DUMMYFUNCTION("""COMPUTED_VALUE"""),1.022090330019624)</f>
        <v>1.02209033</v>
      </c>
      <c r="AN359" s="57">
        <f>IFERROR(__xludf.DUMMYFUNCTION("""COMPUTED_VALUE"""),0.8849499176014097)</f>
        <v>0.8849499176</v>
      </c>
      <c r="AO359" s="57">
        <f>IFERROR(__xludf.DUMMYFUNCTION("""COMPUTED_VALUE"""),0.8726831926370681)</f>
        <v>0.8726831926</v>
      </c>
      <c r="AP359" s="35">
        <f>IFERROR(__xludf.DUMMYFUNCTION("""COMPUTED_VALUE"""),1.1419186900904656)</f>
        <v>1.14191869</v>
      </c>
      <c r="AQ359" s="57">
        <f>IFERROR(__xludf.DUMMYFUNCTION("""COMPUTED_VALUE"""),0.9350120741689829)</f>
        <v>0.9350120742</v>
      </c>
      <c r="AR359" s="36" t="b">
        <f>IFERROR(__xludf.DUMMYFUNCTION("""COMPUTED_VALUE"""),TRUE)</f>
        <v>1</v>
      </c>
      <c r="AS359" s="57"/>
      <c r="AT359" s="37"/>
      <c r="AU359" s="30"/>
      <c r="AV359" s="30"/>
      <c r="AW359" s="30"/>
      <c r="AX359" s="30"/>
      <c r="AY359" s="30"/>
      <c r="AZ359" s="30"/>
    </row>
    <row r="360">
      <c r="A360" s="30" t="str">
        <f>IFERROR(__xludf.DUMMYFUNCTION("""COMPUTED_VALUE"""),"Master")</f>
        <v>Master</v>
      </c>
      <c r="B360" s="30" t="str">
        <f>IFERROR(__xludf.DUMMYFUNCTION("""COMPUTED_VALUE"""),"RSC007466")</f>
        <v>RSC007466</v>
      </c>
      <c r="C360" s="30" t="str">
        <f>IFERROR(__xludf.DUMMYFUNCTION("""COMPUTED_VALUE"""),"Viiper :)")</f>
        <v>Viiper :)</v>
      </c>
      <c r="D360" s="31" t="str">
        <f>IFERROR(__xludf.DUMMYFUNCTION("""COMPUTED_VALUE"""),"Phantom Phreaks")</f>
        <v>Phantom Phreaks</v>
      </c>
      <c r="E360" s="31">
        <f>IFERROR(__xludf.DUMMYFUNCTION("""COMPUTED_VALUE"""),68.57968917973328)</f>
        <v>68.57968918</v>
      </c>
      <c r="F360" s="31">
        <f>IFERROR(__xludf.DUMMYFUNCTION("""COMPUTED_VALUE"""),4.372845135151658)</f>
        <v>4.372845135</v>
      </c>
      <c r="G360" s="31">
        <f>IFERROR(__xludf.DUMMYFUNCTION("""COMPUTED_VALUE"""),66.0645244508267)</f>
        <v>66.06452445</v>
      </c>
      <c r="H360" s="31">
        <f>IFERROR(__xludf.DUMMYFUNCTION("""COMPUTED_VALUE"""),3.842488487487302)</f>
        <v>3.842488487</v>
      </c>
      <c r="I360" s="54">
        <f>IFERROR(__xludf.DUMMYFUNCTION("""COMPUTED_VALUE"""),24.0)</f>
        <v>24</v>
      </c>
      <c r="J360" s="55">
        <f>IFERROR(__xludf.DUMMYFUNCTION("""COMPUTED_VALUE"""),17.0)</f>
        <v>17</v>
      </c>
      <c r="K360" s="54">
        <f>IFERROR(__xludf.DUMMYFUNCTION("""COMPUTED_VALUE"""),7.0)</f>
        <v>7</v>
      </c>
      <c r="L360" s="56">
        <f>IFERROR(__xludf.DUMMYFUNCTION("""COMPUTED_VALUE"""),0.7083333333333334)</f>
        <v>0.7083333333</v>
      </c>
      <c r="M360" s="56">
        <f>IFERROR(__xludf.DUMMYFUNCTION("""COMPUTED_VALUE"""),0.22499999999999998)</f>
        <v>0.225</v>
      </c>
      <c r="N360" s="31">
        <f>IFERROR(__xludf.DUMMYFUNCTION("""COMPUTED_VALUE"""),417.5)</f>
        <v>417.5</v>
      </c>
      <c r="O360" s="57">
        <f>IFERROR(__xludf.DUMMYFUNCTION("""COMPUTED_VALUE"""),0.75)</f>
        <v>0.75</v>
      </c>
      <c r="P360" s="57">
        <f>IFERROR(__xludf.DUMMYFUNCTION("""COMPUTED_VALUE"""),0.875)</f>
        <v>0.875</v>
      </c>
      <c r="Q360" s="57">
        <f>IFERROR(__xludf.DUMMYFUNCTION("""COMPUTED_VALUE"""),1.6666666666666667)</f>
        <v>1.666666667</v>
      </c>
      <c r="R360" s="57">
        <f>IFERROR(__xludf.DUMMYFUNCTION("""COMPUTED_VALUE"""),3.3333333333333335)</f>
        <v>3.333333333</v>
      </c>
      <c r="S360" s="31">
        <f>IFERROR(__xludf.DUMMYFUNCTION("""COMPUTED_VALUE"""),385.59722222222223)</f>
        <v>385.5972222</v>
      </c>
      <c r="T360" s="57">
        <f>IFERROR(__xludf.DUMMYFUNCTION("""COMPUTED_VALUE"""),0.7083333333333331)</f>
        <v>0.7083333333</v>
      </c>
      <c r="U360" s="57">
        <f>IFERROR(__xludf.DUMMYFUNCTION("""COMPUTED_VALUE"""),0.5972222222222222)</f>
        <v>0.5972222222</v>
      </c>
      <c r="V360" s="57">
        <f>IFERROR(__xludf.DUMMYFUNCTION("""COMPUTED_VALUE"""),1.736111111111111)</f>
        <v>1.736111111</v>
      </c>
      <c r="W360" s="57">
        <f>IFERROR(__xludf.DUMMYFUNCTION("""COMPUTED_VALUE"""),2.5)</f>
        <v>2.5</v>
      </c>
      <c r="X360" s="31">
        <f>IFERROR(__xludf.DUMMYFUNCTION("""COMPUTED_VALUE"""),380.8661915736795)</f>
        <v>380.8661916</v>
      </c>
      <c r="Y360" s="57">
        <f>IFERROR(__xludf.DUMMYFUNCTION("""COMPUTED_VALUE"""),0.8402009767946588)</f>
        <v>0.8402009768</v>
      </c>
      <c r="Z360" s="57">
        <f>IFERROR(__xludf.DUMMYFUNCTION("""COMPUTED_VALUE"""),0.6320029908548148)</f>
        <v>0.6320029909</v>
      </c>
      <c r="AA360" s="57">
        <f>IFERROR(__xludf.DUMMYFUNCTION("""COMPUTED_VALUE"""),1.5048252099268264)</f>
        <v>1.50482521</v>
      </c>
      <c r="AB360" s="57">
        <f>IFERROR(__xludf.DUMMYFUNCTION("""COMPUTED_VALUE"""),2.7658093469791782)</f>
        <v>2.765809347</v>
      </c>
      <c r="AC360" s="31">
        <f>IFERROR(__xludf.DUMMYFUNCTION("""COMPUTED_VALUE"""),386.13095059448045)</f>
        <v>386.1309506</v>
      </c>
      <c r="AD360" s="57">
        <f>IFERROR(__xludf.DUMMYFUNCTION("""COMPUTED_VALUE"""),0.8852873169287879)</f>
        <v>0.8852873169</v>
      </c>
      <c r="AE360" s="57">
        <f>IFERROR(__xludf.DUMMYFUNCTION("""COMPUTED_VALUE"""),0.6736555659857899)</f>
        <v>0.673655566</v>
      </c>
      <c r="AF360" s="57">
        <f>IFERROR(__xludf.DUMMYFUNCTION("""COMPUTED_VALUE"""),1.4744563904289594)</f>
        <v>1.47445639</v>
      </c>
      <c r="AG360" s="57">
        <f>IFERROR(__xludf.DUMMYFUNCTION("""COMPUTED_VALUE"""),2.8298456898962208)</f>
        <v>2.82984569</v>
      </c>
      <c r="AH360" s="57">
        <f>IFERROR(__xludf.DUMMYFUNCTION("""COMPUTED_VALUE"""),1.0812394068831424)</f>
        <v>1.081239407</v>
      </c>
      <c r="AI360" s="57">
        <f>IFERROR(__xludf.DUMMYFUNCTION("""COMPUTED_VALUE"""),0.8471825876845016)</f>
        <v>0.8471825877</v>
      </c>
      <c r="AJ360" s="57">
        <f>IFERROR(__xludf.DUMMYFUNCTION("""COMPUTED_VALUE"""),1.2988833525327945)</f>
        <v>1.298883353</v>
      </c>
      <c r="AK360" s="57">
        <f>IFERROR(__xludf.DUMMYFUNCTION("""COMPUTED_VALUE"""),1.1303600957514846)</f>
        <v>1.130360096</v>
      </c>
      <c r="AL360" s="57">
        <f>IFERROR(__xludf.DUMMYFUNCTION("""COMPUTED_VALUE"""),1.1779205294602397)</f>
        <v>1.177920529</v>
      </c>
      <c r="AM360" s="57">
        <f>IFERROR(__xludf.DUMMYFUNCTION("""COMPUTED_VALUE"""),1.0124217658411603)</f>
        <v>1.012421766</v>
      </c>
      <c r="AN360" s="57">
        <f>IFERROR(__xludf.DUMMYFUNCTION("""COMPUTED_VALUE"""),0.8430522611811323)</f>
        <v>0.8430522612</v>
      </c>
      <c r="AO360" s="57">
        <f>IFERROR(__xludf.DUMMYFUNCTION("""COMPUTED_VALUE"""),0.9449673986739368)</f>
        <v>0.9449673987</v>
      </c>
      <c r="AP360" s="35">
        <f>IFERROR(__xludf.DUMMYFUNCTION("""COMPUTED_VALUE"""),1.1536961898688094)</f>
        <v>1.15369619</v>
      </c>
      <c r="AQ360" s="57">
        <f>IFERROR(__xludf.DUMMYFUNCTION("""COMPUTED_VALUE"""),0.9038945517812008)</f>
        <v>0.9038945518</v>
      </c>
      <c r="AR360" s="36" t="b">
        <f>IFERROR(__xludf.DUMMYFUNCTION("""COMPUTED_VALUE"""),TRUE)</f>
        <v>1</v>
      </c>
      <c r="AS360" s="57"/>
      <c r="AT360" s="37"/>
      <c r="AU360" s="30"/>
      <c r="AV360" s="30"/>
      <c r="AW360" s="30"/>
      <c r="AX360" s="30"/>
      <c r="AY360" s="30"/>
      <c r="AZ360" s="30"/>
    </row>
    <row r="361">
      <c r="A361" s="30" t="str">
        <f>IFERROR(__xludf.DUMMYFUNCTION("""COMPUTED_VALUE"""),"Master")</f>
        <v>Master</v>
      </c>
      <c r="B361" s="30" t="str">
        <f>IFERROR(__xludf.DUMMYFUNCTION("""COMPUTED_VALUE"""),"RSC006481")</f>
        <v>RSC006481</v>
      </c>
      <c r="C361" s="30" t="str">
        <f>IFERROR(__xludf.DUMMYFUNCTION("""COMPUTED_VALUE"""),"Mixsta.")</f>
        <v>Mixsta.</v>
      </c>
      <c r="D361" s="31" t="str">
        <f>IFERROR(__xludf.DUMMYFUNCTION("""COMPUTED_VALUE"""),"Phantom Phreaks")</f>
        <v>Phantom Phreaks</v>
      </c>
      <c r="E361" s="31">
        <f>IFERROR(__xludf.DUMMYFUNCTION("""COMPUTED_VALUE"""),67.68456999237377)</f>
        <v>67.68456999</v>
      </c>
      <c r="F361" s="31">
        <f>IFERROR(__xludf.DUMMYFUNCTION("""COMPUTED_VALUE"""),4.172502755628674)</f>
        <v>4.172502756</v>
      </c>
      <c r="G361" s="31">
        <f>IFERROR(__xludf.DUMMYFUNCTION("""COMPUTED_VALUE"""),50.432590304419826)</f>
        <v>50.4325903</v>
      </c>
      <c r="H361" s="31">
        <f>IFERROR(__xludf.DUMMYFUNCTION("""COMPUTED_VALUE"""),2.027997717305458)</f>
        <v>2.027997717</v>
      </c>
      <c r="I361" s="54">
        <f>IFERROR(__xludf.DUMMYFUNCTION("""COMPUTED_VALUE"""),24.0)</f>
        <v>24</v>
      </c>
      <c r="J361" s="55">
        <f>IFERROR(__xludf.DUMMYFUNCTION("""COMPUTED_VALUE"""),16.0)</f>
        <v>16</v>
      </c>
      <c r="K361" s="54">
        <f>IFERROR(__xludf.DUMMYFUNCTION("""COMPUTED_VALUE"""),8.0)</f>
        <v>8</v>
      </c>
      <c r="L361" s="56">
        <f>IFERROR(__xludf.DUMMYFUNCTION("""COMPUTED_VALUE"""),0.6666666666666666)</f>
        <v>0.6666666667</v>
      </c>
      <c r="M361" s="56">
        <f>IFERROR(__xludf.DUMMYFUNCTION("""COMPUTED_VALUE"""),0.23255813953488372)</f>
        <v>0.2325581395</v>
      </c>
      <c r="N361" s="31">
        <f>IFERROR(__xludf.DUMMYFUNCTION("""COMPUTED_VALUE"""),387.7083333333333)</f>
        <v>387.7083333</v>
      </c>
      <c r="O361" s="57">
        <f>IFERROR(__xludf.DUMMYFUNCTION("""COMPUTED_VALUE"""),0.8333333333333334)</f>
        <v>0.8333333333</v>
      </c>
      <c r="P361" s="57">
        <f>IFERROR(__xludf.DUMMYFUNCTION("""COMPUTED_VALUE"""),0.7916666666666666)</f>
        <v>0.7916666667</v>
      </c>
      <c r="Q361" s="57">
        <f>IFERROR(__xludf.DUMMYFUNCTION("""COMPUTED_VALUE"""),1.2083333333333333)</f>
        <v>1.208333333</v>
      </c>
      <c r="R361" s="57">
        <f>IFERROR(__xludf.DUMMYFUNCTION("""COMPUTED_VALUE"""),3.5833333333333335)</f>
        <v>3.583333333</v>
      </c>
      <c r="S361" s="31">
        <f>IFERROR(__xludf.DUMMYFUNCTION("""COMPUTED_VALUE"""),396.3333333333333)</f>
        <v>396.3333333</v>
      </c>
      <c r="T361" s="57">
        <f>IFERROR(__xludf.DUMMYFUNCTION("""COMPUTED_VALUE"""),0.6805555555555557)</f>
        <v>0.6805555556</v>
      </c>
      <c r="U361" s="57">
        <f>IFERROR(__xludf.DUMMYFUNCTION("""COMPUTED_VALUE"""),0.4861111111111111)</f>
        <v>0.4861111111</v>
      </c>
      <c r="V361" s="57">
        <f>IFERROR(__xludf.DUMMYFUNCTION("""COMPUTED_VALUE"""),1.9444444444444446)</f>
        <v>1.944444444</v>
      </c>
      <c r="W361" s="57">
        <f>IFERROR(__xludf.DUMMYFUNCTION("""COMPUTED_VALUE"""),2.597222222222222)</f>
        <v>2.597222222</v>
      </c>
      <c r="X361" s="31">
        <f>IFERROR(__xludf.DUMMYFUNCTION("""COMPUTED_VALUE"""),373.9945903376458)</f>
        <v>373.9945903</v>
      </c>
      <c r="Y361" s="57">
        <f>IFERROR(__xludf.DUMMYFUNCTION("""COMPUTED_VALUE"""),0.7841939824578712)</f>
        <v>0.7841939825</v>
      </c>
      <c r="Z361" s="57">
        <f>IFERROR(__xludf.DUMMYFUNCTION("""COMPUTED_VALUE"""),0.6327420907282019)</f>
        <v>0.6327420907</v>
      </c>
      <c r="AA361" s="57">
        <f>IFERROR(__xludf.DUMMYFUNCTION("""COMPUTED_VALUE"""),1.5275195612001164)</f>
        <v>1.527519561</v>
      </c>
      <c r="AB361" s="57">
        <f>IFERROR(__xludf.DUMMYFUNCTION("""COMPUTED_VALUE"""),2.645130512491623)</f>
        <v>2.645130512</v>
      </c>
      <c r="AC361" s="31">
        <f>IFERROR(__xludf.DUMMYFUNCTION("""COMPUTED_VALUE"""),388.4016419580078)</f>
        <v>388.401642</v>
      </c>
      <c r="AD361" s="57">
        <f>IFERROR(__xludf.DUMMYFUNCTION("""COMPUTED_VALUE"""),0.885798345173345)</f>
        <v>0.8857983452</v>
      </c>
      <c r="AE361" s="57">
        <f>IFERROR(__xludf.DUMMYFUNCTION("""COMPUTED_VALUE"""),0.6723040633920266)</f>
        <v>0.6723040634</v>
      </c>
      <c r="AF361" s="57">
        <f>IFERROR(__xludf.DUMMYFUNCTION("""COMPUTED_VALUE"""),1.4419135519829964)</f>
        <v>1.441913552</v>
      </c>
      <c r="AG361" s="57">
        <f>IFERROR(__xludf.DUMMYFUNCTION("""COMPUTED_VALUE"""),2.9147955782215047)</f>
        <v>2.914795578</v>
      </c>
      <c r="AH361" s="57">
        <f>IFERROR(__xludf.DUMMYFUNCTION("""COMPUTED_VALUE"""),0.9982149698925592)</f>
        <v>0.9982149699</v>
      </c>
      <c r="AI361" s="57">
        <f>IFERROR(__xludf.DUMMYFUNCTION("""COMPUTED_VALUE"""),0.9407709303975449)</f>
        <v>0.9407709304</v>
      </c>
      <c r="AJ361" s="57">
        <f>IFERROR(__xludf.DUMMYFUNCTION("""COMPUTED_VALUE"""),1.1775425879064463)</f>
        <v>1.177542588</v>
      </c>
      <c r="AK361" s="57">
        <f>IFERROR(__xludf.DUMMYFUNCTION("""COMPUTED_VALUE"""),0.8380067804145185)</f>
        <v>0.8380067804</v>
      </c>
      <c r="AL361" s="57">
        <f>IFERROR(__xludf.DUMMYFUNCTION("""COMPUTED_VALUE"""),1.2293600827814295)</f>
        <v>1.229360083</v>
      </c>
      <c r="AM361" s="57">
        <f>IFERROR(__xludf.DUMMYFUNCTION("""COMPUTED_VALUE"""),1.059730123303441)</f>
        <v>1.059730123</v>
      </c>
      <c r="AN361" s="57">
        <f>IFERROR(__xludf.DUMMYFUNCTION("""COMPUTED_VALUE"""),0.8678408286461402)</f>
        <v>0.8678408286</v>
      </c>
      <c r="AO361" s="57">
        <f>IFERROR(__xludf.DUMMYFUNCTION("""COMPUTED_VALUE"""),0.7682610628157548)</f>
        <v>0.7682610628</v>
      </c>
      <c r="AP361" s="35">
        <f>IFERROR(__xludf.DUMMYFUNCTION("""COMPUTED_VALUE"""),1.2729424184373557)</f>
        <v>1.272942418</v>
      </c>
      <c r="AQ361" s="57">
        <f>IFERROR(__xludf.DUMMYFUNCTION("""COMPUTED_VALUE"""),0.9818881185472118)</f>
        <v>0.9818881185</v>
      </c>
      <c r="AR361" s="36" t="b">
        <f>IFERROR(__xludf.DUMMYFUNCTION("""COMPUTED_VALUE"""),TRUE)</f>
        <v>1</v>
      </c>
      <c r="AS361" s="57"/>
      <c r="AT361" s="37"/>
      <c r="AU361" s="30"/>
      <c r="AV361" s="30"/>
      <c r="AW361" s="30"/>
      <c r="AX361" s="30"/>
      <c r="AY361" s="30"/>
      <c r="AZ361" s="30"/>
    </row>
    <row r="362">
      <c r="A362" s="30" t="str">
        <f>IFERROR(__xludf.DUMMYFUNCTION("""COMPUTED_VALUE"""),"Master")</f>
        <v>Master</v>
      </c>
      <c r="B362" s="30" t="str">
        <f>IFERROR(__xludf.DUMMYFUNCTION("""COMPUTED_VALUE"""),"RSC000381")</f>
        <v>RSC000381</v>
      </c>
      <c r="C362" s="30" t="str">
        <f>IFERROR(__xludf.DUMMYFUNCTION("""COMPUTED_VALUE"""),"Noriko")</f>
        <v>Noriko</v>
      </c>
      <c r="D362" s="31" t="str">
        <f>IFERROR(__xludf.DUMMYFUNCTION("""COMPUTED_VALUE"""),"Andromeda")</f>
        <v>Andromeda</v>
      </c>
      <c r="E362" s="31">
        <f>IFERROR(__xludf.DUMMYFUNCTION("""COMPUTED_VALUE"""),66.6829278018476)</f>
        <v>66.6829278</v>
      </c>
      <c r="F362" s="31">
        <f>IFERROR(__xludf.DUMMYFUNCTION("""COMPUTED_VALUE"""),3.9637742880171634)</f>
        <v>3.963774288</v>
      </c>
      <c r="G362" s="31">
        <f>IFERROR(__xludf.DUMMYFUNCTION("""COMPUTED_VALUE"""),67.49587909315025)</f>
        <v>67.49587909</v>
      </c>
      <c r="H362" s="31">
        <f>IFERROR(__xludf.DUMMYFUNCTION("""COMPUTED_VALUE"""),4.131973140120511)</f>
        <v>4.13197314</v>
      </c>
      <c r="I362" s="54">
        <f>IFERROR(__xludf.DUMMYFUNCTION("""COMPUTED_VALUE"""),24.0)</f>
        <v>24</v>
      </c>
      <c r="J362" s="55">
        <f>IFERROR(__xludf.DUMMYFUNCTION("""COMPUTED_VALUE"""),14.0)</f>
        <v>14</v>
      </c>
      <c r="K362" s="54">
        <f>IFERROR(__xludf.DUMMYFUNCTION("""COMPUTED_VALUE"""),10.0)</f>
        <v>10</v>
      </c>
      <c r="L362" s="56">
        <f>IFERROR(__xludf.DUMMYFUNCTION("""COMPUTED_VALUE"""),0.5833333333333334)</f>
        <v>0.5833333333</v>
      </c>
      <c r="M362" s="56">
        <f>IFERROR(__xludf.DUMMYFUNCTION("""COMPUTED_VALUE"""),0.4307692307692308)</f>
        <v>0.4307692308</v>
      </c>
      <c r="N362" s="31">
        <f>IFERROR(__xludf.DUMMYFUNCTION("""COMPUTED_VALUE"""),445.9166666666667)</f>
        <v>445.9166667</v>
      </c>
      <c r="O362" s="57">
        <f>IFERROR(__xludf.DUMMYFUNCTION("""COMPUTED_VALUE"""),1.1666666666666667)</f>
        <v>1.166666667</v>
      </c>
      <c r="P362" s="57">
        <f>IFERROR(__xludf.DUMMYFUNCTION("""COMPUTED_VALUE"""),0.6666666666666666)</f>
        <v>0.6666666667</v>
      </c>
      <c r="Q362" s="57">
        <f>IFERROR(__xludf.DUMMYFUNCTION("""COMPUTED_VALUE"""),1.5833333333333333)</f>
        <v>1.583333333</v>
      </c>
      <c r="R362" s="57">
        <f>IFERROR(__xludf.DUMMYFUNCTION("""COMPUTED_VALUE"""),2.7083333333333335)</f>
        <v>2.708333333</v>
      </c>
      <c r="S362" s="31">
        <f>IFERROR(__xludf.DUMMYFUNCTION("""COMPUTED_VALUE"""),353.50000000000006)</f>
        <v>353.5</v>
      </c>
      <c r="T362" s="57">
        <f>IFERROR(__xludf.DUMMYFUNCTION("""COMPUTED_VALUE"""),0.7499999999999999)</f>
        <v>0.75</v>
      </c>
      <c r="U362" s="57">
        <f>IFERROR(__xludf.DUMMYFUNCTION("""COMPUTED_VALUE"""),0.6249999999999999)</f>
        <v>0.625</v>
      </c>
      <c r="V362" s="57">
        <f>IFERROR(__xludf.DUMMYFUNCTION("""COMPUTED_VALUE"""),1.3194444444444444)</f>
        <v>1.319444444</v>
      </c>
      <c r="W362" s="57">
        <f>IFERROR(__xludf.DUMMYFUNCTION("""COMPUTED_VALUE"""),2.694444444444444)</f>
        <v>2.694444444</v>
      </c>
      <c r="X362" s="31">
        <f>IFERROR(__xludf.DUMMYFUNCTION("""COMPUTED_VALUE"""),371.55710883360035)</f>
        <v>371.5571088</v>
      </c>
      <c r="Y362" s="57">
        <f>IFERROR(__xludf.DUMMYFUNCTION("""COMPUTED_VALUE"""),0.8146351485051925)</f>
        <v>0.8146351485</v>
      </c>
      <c r="Z362" s="57">
        <f>IFERROR(__xludf.DUMMYFUNCTION("""COMPUTED_VALUE"""),0.5802489780943264)</f>
        <v>0.5802489781</v>
      </c>
      <c r="AA362" s="57">
        <f>IFERROR(__xludf.DUMMYFUNCTION("""COMPUTED_VALUE"""),1.496592158065588)</f>
        <v>1.496592158</v>
      </c>
      <c r="AB362" s="57">
        <f>IFERROR(__xludf.DUMMYFUNCTION("""COMPUTED_VALUE"""),2.6737553979844293)</f>
        <v>2.673755398</v>
      </c>
      <c r="AC362" s="31">
        <f>IFERROR(__xludf.DUMMYFUNCTION("""COMPUTED_VALUE"""),402.8537597777757)</f>
        <v>402.8537598</v>
      </c>
      <c r="AD362" s="57">
        <f>IFERROR(__xludf.DUMMYFUNCTION("""COMPUTED_VALUE"""),0.9922183919664347)</f>
        <v>0.992218392</v>
      </c>
      <c r="AE362" s="57">
        <f>IFERROR(__xludf.DUMMYFUNCTION("""COMPUTED_VALUE"""),0.7864134883482844)</f>
        <v>0.7864134883</v>
      </c>
      <c r="AF362" s="57">
        <f>IFERROR(__xludf.DUMMYFUNCTION("""COMPUTED_VALUE"""),1.4563017480657618)</f>
        <v>1.456301748</v>
      </c>
      <c r="AG362" s="57">
        <f>IFERROR(__xludf.DUMMYFUNCTION("""COMPUTED_VALUE"""),3.0833321669058313)</f>
        <v>3.083332167</v>
      </c>
      <c r="AH362" s="57">
        <f>IFERROR(__xludf.DUMMYFUNCTION("""COMPUTED_VALUE"""),1.1068946381750182)</f>
        <v>1.106894638</v>
      </c>
      <c r="AI362" s="57">
        <f>IFERROR(__xludf.DUMMYFUNCTION("""COMPUTED_VALUE"""),1.175816409081574)</f>
        <v>1.175816409</v>
      </c>
      <c r="AJ362" s="57">
        <f>IFERROR(__xludf.DUMMYFUNCTION("""COMPUTED_VALUE"""),0.8477304580150021)</f>
        <v>0.847730458</v>
      </c>
      <c r="AK362" s="57">
        <f>IFERROR(__xludf.DUMMYFUNCTION("""COMPUTED_VALUE"""),1.0872288901913993)</f>
        <v>1.08722889</v>
      </c>
      <c r="AL362" s="57">
        <f>IFERROR(__xludf.DUMMYFUNCTION("""COMPUTED_VALUE"""),0.8783787106697575)</f>
        <v>0.8783787107</v>
      </c>
      <c r="AM362" s="57">
        <f>IFERROR(__xludf.DUMMYFUNCTION("""COMPUTED_VALUE"""),0.9514015250837602)</f>
        <v>0.9514015251</v>
      </c>
      <c r="AN362" s="57">
        <f>IFERROR(__xludf.DUMMYFUNCTION("""COMPUTED_VALUE"""),0.9206575500409057)</f>
        <v>0.92065755</v>
      </c>
      <c r="AO362" s="57">
        <f>IFERROR(__xludf.DUMMYFUNCTION("""COMPUTED_VALUE"""),1.077123827176131)</f>
        <v>1.077123827</v>
      </c>
      <c r="AP362" s="35">
        <f>IFERROR(__xludf.DUMMYFUNCTION("""COMPUTED_VALUE"""),0.8816326060066257)</f>
        <v>0.881632606</v>
      </c>
      <c r="AQ362" s="57">
        <f>IFERROR(__xludf.DUMMYFUNCTION("""COMPUTED_VALUE"""),1.0077378231664762)</f>
        <v>1.007737823</v>
      </c>
      <c r="AR362" s="36" t="b">
        <f>IFERROR(__xludf.DUMMYFUNCTION("""COMPUTED_VALUE"""),TRUE)</f>
        <v>1</v>
      </c>
      <c r="AS362" s="57"/>
      <c r="AT362" s="37"/>
      <c r="AU362" s="30"/>
      <c r="AV362" s="30"/>
      <c r="AW362" s="30"/>
      <c r="AX362" s="30"/>
      <c r="AY362" s="30"/>
      <c r="AZ362" s="30"/>
    </row>
    <row r="363">
      <c r="A363" s="30" t="str">
        <f>IFERROR(__xludf.DUMMYFUNCTION("""COMPUTED_VALUE"""),"Master")</f>
        <v>Master</v>
      </c>
      <c r="B363" s="30" t="str">
        <f>IFERROR(__xludf.DUMMYFUNCTION("""COMPUTED_VALUE"""),"RSC005183")</f>
        <v>RSC005183</v>
      </c>
      <c r="C363" s="30" t="str">
        <f>IFERROR(__xludf.DUMMYFUNCTION("""COMPUTED_VALUE"""),"Kagura.")</f>
        <v>Kagura.</v>
      </c>
      <c r="D363" s="31" t="str">
        <f>IFERROR(__xludf.DUMMYFUNCTION("""COMPUTED_VALUE"""),"Hard Hats")</f>
        <v>Hard Hats</v>
      </c>
      <c r="E363" s="31">
        <f>IFERROR(__xludf.DUMMYFUNCTION("""COMPUTED_VALUE"""),65.95366500247918)</f>
        <v>65.953665</v>
      </c>
      <c r="F363" s="31">
        <f>IFERROR(__xludf.DUMMYFUNCTION("""COMPUTED_VALUE"""),3.8213280421530724)</f>
        <v>3.821328042</v>
      </c>
      <c r="G363" s="31">
        <f>IFERROR(__xludf.DUMMYFUNCTION("""COMPUTED_VALUE"""),63.375681655013764)</f>
        <v>63.37568166</v>
      </c>
      <c r="H363" s="31">
        <f>IFERROR(__xludf.DUMMYFUNCTION("""COMPUTED_VALUE"""),3.374781254531567)</f>
        <v>3.374781255</v>
      </c>
      <c r="I363" s="54">
        <f>IFERROR(__xludf.DUMMYFUNCTION("""COMPUTED_VALUE"""),36.0)</f>
        <v>36</v>
      </c>
      <c r="J363" s="55">
        <f>IFERROR(__xludf.DUMMYFUNCTION("""COMPUTED_VALUE"""),12.0)</f>
        <v>12</v>
      </c>
      <c r="K363" s="54">
        <f>IFERROR(__xludf.DUMMYFUNCTION("""COMPUTED_VALUE"""),24.0)</f>
        <v>24</v>
      </c>
      <c r="L363" s="56">
        <f>IFERROR(__xludf.DUMMYFUNCTION("""COMPUTED_VALUE"""),0.3333333333333333)</f>
        <v>0.3333333333</v>
      </c>
      <c r="M363" s="56">
        <f>IFERROR(__xludf.DUMMYFUNCTION("""COMPUTED_VALUE"""),0.2983870967741935)</f>
        <v>0.2983870968</v>
      </c>
      <c r="N363" s="31">
        <f>IFERROR(__xludf.DUMMYFUNCTION("""COMPUTED_VALUE"""),432.22222222222223)</f>
        <v>432.2222222</v>
      </c>
      <c r="O363" s="57">
        <f>IFERROR(__xludf.DUMMYFUNCTION("""COMPUTED_VALUE"""),1.0277777777777777)</f>
        <v>1.027777778</v>
      </c>
      <c r="P363" s="57">
        <f>IFERROR(__xludf.DUMMYFUNCTION("""COMPUTED_VALUE"""),0.5)</f>
        <v>0.5</v>
      </c>
      <c r="Q363" s="57">
        <f>IFERROR(__xludf.DUMMYFUNCTION("""COMPUTED_VALUE"""),1.8055555555555556)</f>
        <v>1.805555556</v>
      </c>
      <c r="R363" s="57">
        <f>IFERROR(__xludf.DUMMYFUNCTION("""COMPUTED_VALUE"""),3.4444444444444446)</f>
        <v>3.444444444</v>
      </c>
      <c r="S363" s="31">
        <f>IFERROR(__xludf.DUMMYFUNCTION("""COMPUTED_VALUE"""),406.19444444444446)</f>
        <v>406.1944444</v>
      </c>
      <c r="T363" s="57">
        <f>IFERROR(__xludf.DUMMYFUNCTION("""COMPUTED_VALUE"""),0.9907407407407407)</f>
        <v>0.9907407407</v>
      </c>
      <c r="U363" s="57">
        <f>IFERROR(__xludf.DUMMYFUNCTION("""COMPUTED_VALUE"""),0.7499999999999998)</f>
        <v>0.75</v>
      </c>
      <c r="V363" s="57">
        <f>IFERROR(__xludf.DUMMYFUNCTION("""COMPUTED_VALUE"""),1.5648148148148149)</f>
        <v>1.564814815</v>
      </c>
      <c r="W363" s="57">
        <f>IFERROR(__xludf.DUMMYFUNCTION("""COMPUTED_VALUE"""),2.981481481481482)</f>
        <v>2.981481481</v>
      </c>
      <c r="X363" s="31">
        <f>IFERROR(__xludf.DUMMYFUNCTION("""COMPUTED_VALUE"""),390.91142808986996)</f>
        <v>390.9114281</v>
      </c>
      <c r="Y363" s="57">
        <f>IFERROR(__xludf.DUMMYFUNCTION("""COMPUTED_VALUE"""),0.8982691956059435)</f>
        <v>0.8982691956</v>
      </c>
      <c r="Z363" s="57">
        <f>IFERROR(__xludf.DUMMYFUNCTION("""COMPUTED_VALUE"""),0.73047777437527)</f>
        <v>0.7304777744</v>
      </c>
      <c r="AA363" s="57">
        <f>IFERROR(__xludf.DUMMYFUNCTION("""COMPUTED_VALUE"""),1.4621067201703963)</f>
        <v>1.46210672</v>
      </c>
      <c r="AB363" s="57">
        <f>IFERROR(__xludf.DUMMYFUNCTION("""COMPUTED_VALUE"""),2.862415161957403)</f>
        <v>2.862415162</v>
      </c>
      <c r="AC363" s="31">
        <f>IFERROR(__xludf.DUMMYFUNCTION("""COMPUTED_VALUE"""),373.6586147951862)</f>
        <v>373.6586148</v>
      </c>
      <c r="AD363" s="57">
        <f>IFERROR(__xludf.DUMMYFUNCTION("""COMPUTED_VALUE"""),0.7949237828960006)</f>
        <v>0.7949237829</v>
      </c>
      <c r="AE363" s="57">
        <f>IFERROR(__xludf.DUMMYFUNCTION("""COMPUTED_VALUE"""),0.6080379188952221)</f>
        <v>0.6080379189</v>
      </c>
      <c r="AF363" s="57">
        <f>IFERROR(__xludf.DUMMYFUNCTION("""COMPUTED_VALUE"""),1.4974588865689609)</f>
        <v>1.497458887</v>
      </c>
      <c r="AG363" s="57">
        <f>IFERROR(__xludf.DUMMYFUNCTION("""COMPUTED_VALUE"""),2.707312167127861)</f>
        <v>2.707312167</v>
      </c>
      <c r="AH363" s="57">
        <f>IFERROR(__xludf.DUMMYFUNCTION("""COMPUTED_VALUE"""),1.1567302481682016)</f>
        <v>1.156730248</v>
      </c>
      <c r="AI363" s="57">
        <f>IFERROR(__xludf.DUMMYFUNCTION("""COMPUTED_VALUE"""),1.292926189770625)</f>
        <v>1.29292619</v>
      </c>
      <c r="AJ363" s="57">
        <f>IFERROR(__xludf.DUMMYFUNCTION("""COMPUTED_VALUE"""),0.8223171359254663)</f>
        <v>0.8223171359</v>
      </c>
      <c r="AK363" s="57">
        <f>IFERROR(__xludf.DUMMYFUNCTION("""COMPUTED_VALUE"""),1.2057463291646815)</f>
        <v>1.205746329</v>
      </c>
      <c r="AL363" s="57">
        <f>IFERROR(__xludf.DUMMYFUNCTION("""COMPUTED_VALUE"""),1.272274577814421)</f>
        <v>1.272274578</v>
      </c>
      <c r="AM363" s="57">
        <f>IFERROR(__xludf.DUMMYFUNCTION("""COMPUTED_VALUE"""),1.0390958546012652)</f>
        <v>1.039095855</v>
      </c>
      <c r="AN363" s="57">
        <f>IFERROR(__xludf.DUMMYFUNCTION("""COMPUTED_VALUE"""),1.1029441347728939)</f>
        <v>1.102944135</v>
      </c>
      <c r="AO363" s="57">
        <f>IFERROR(__xludf.DUMMYFUNCTION("""COMPUTED_VALUE"""),1.0267252835193048)</f>
        <v>1.026725284</v>
      </c>
      <c r="AP363" s="35">
        <f>IFERROR(__xludf.DUMMYFUNCTION("""COMPUTED_VALUE"""),1.0702466469974563)</f>
        <v>1.070246647</v>
      </c>
      <c r="AQ363" s="57">
        <f>IFERROR(__xludf.DUMMYFUNCTION("""COMPUTED_VALUE"""),1.0415964536194875)</f>
        <v>1.041596454</v>
      </c>
      <c r="AR363" s="36" t="b">
        <f>IFERROR(__xludf.DUMMYFUNCTION("""COMPUTED_VALUE"""),TRUE)</f>
        <v>1</v>
      </c>
      <c r="AS363" s="57"/>
      <c r="AT363" s="37"/>
      <c r="AU363" s="30"/>
      <c r="AV363" s="30"/>
      <c r="AW363" s="30"/>
      <c r="AX363" s="30"/>
      <c r="AY363" s="30"/>
      <c r="AZ363" s="30"/>
    </row>
    <row r="364">
      <c r="A364" s="30" t="str">
        <f>IFERROR(__xludf.DUMMYFUNCTION("""COMPUTED_VALUE"""),"Master")</f>
        <v>Master</v>
      </c>
      <c r="B364" s="30" t="str">
        <f>IFERROR(__xludf.DUMMYFUNCTION("""COMPUTED_VALUE"""),"RSC006985")</f>
        <v>RSC006985</v>
      </c>
      <c r="C364" s="30" t="str">
        <f>IFERROR(__xludf.DUMMYFUNCTION("""COMPUTED_VALUE"""),"not so jucy skep")</f>
        <v>not so jucy skep</v>
      </c>
      <c r="D364" s="31" t="str">
        <f>IFERROR(__xludf.DUMMYFUNCTION("""COMPUTED_VALUE"""),"Kawaii")</f>
        <v>Kawaii</v>
      </c>
      <c r="E364" s="31">
        <f>IFERROR(__xludf.DUMMYFUNCTION("""COMPUTED_VALUE"""),64.21094239018541)</f>
        <v>64.21094239</v>
      </c>
      <c r="F364" s="31">
        <f>IFERROR(__xludf.DUMMYFUNCTION("""COMPUTED_VALUE"""),3.5103867051379742)</f>
        <v>3.510386705</v>
      </c>
      <c r="G364" s="31">
        <f>IFERROR(__xludf.DUMMYFUNCTION("""COMPUTED_VALUE"""),58.305691369132234)</f>
        <v>58.30569137</v>
      </c>
      <c r="H364" s="31">
        <f>IFERROR(__xludf.DUMMYFUNCTION("""COMPUTED_VALUE"""),2.703735372167016)</f>
        <v>2.703735372</v>
      </c>
      <c r="I364" s="54">
        <f>IFERROR(__xludf.DUMMYFUNCTION("""COMPUTED_VALUE"""),7.0)</f>
        <v>7</v>
      </c>
      <c r="J364" s="55">
        <f>IFERROR(__xludf.DUMMYFUNCTION("""COMPUTED_VALUE"""),3.0)</f>
        <v>3</v>
      </c>
      <c r="K364" s="54">
        <f>IFERROR(__xludf.DUMMYFUNCTION("""COMPUTED_VALUE"""),4.0)</f>
        <v>4</v>
      </c>
      <c r="L364" s="56">
        <f>IFERROR(__xludf.DUMMYFUNCTION("""COMPUTED_VALUE"""),0.42857142857142855)</f>
        <v>0.4285714286</v>
      </c>
      <c r="M364" s="56">
        <f>IFERROR(__xludf.DUMMYFUNCTION("""COMPUTED_VALUE"""),0.5)</f>
        <v>0.5</v>
      </c>
      <c r="N364" s="31">
        <f>IFERROR(__xludf.DUMMYFUNCTION("""COMPUTED_VALUE"""),412.57142857142856)</f>
        <v>412.5714286</v>
      </c>
      <c r="O364" s="57">
        <f>IFERROR(__xludf.DUMMYFUNCTION("""COMPUTED_VALUE"""),1.2857142857142858)</f>
        <v>1.285714286</v>
      </c>
      <c r="P364" s="57">
        <f>IFERROR(__xludf.DUMMYFUNCTION("""COMPUTED_VALUE"""),0.5714285714285714)</f>
        <v>0.5714285714</v>
      </c>
      <c r="Q364" s="57">
        <f>IFERROR(__xludf.DUMMYFUNCTION("""COMPUTED_VALUE"""),1.5714285714285714)</f>
        <v>1.571428571</v>
      </c>
      <c r="R364" s="57">
        <f>IFERROR(__xludf.DUMMYFUNCTION("""COMPUTED_VALUE"""),2.5714285714285716)</f>
        <v>2.571428571</v>
      </c>
      <c r="S364" s="31">
        <f>IFERROR(__xludf.DUMMYFUNCTION("""COMPUTED_VALUE"""),356.42857142857144)</f>
        <v>356.4285714</v>
      </c>
      <c r="T364" s="57">
        <f>IFERROR(__xludf.DUMMYFUNCTION("""COMPUTED_VALUE"""),0.8095238095238094)</f>
        <v>0.8095238095</v>
      </c>
      <c r="U364" s="57">
        <f>IFERROR(__xludf.DUMMYFUNCTION("""COMPUTED_VALUE"""),0.6666666666666666)</f>
        <v>0.6666666667</v>
      </c>
      <c r="V364" s="57">
        <f>IFERROR(__xludf.DUMMYFUNCTION("""COMPUTED_VALUE"""),1.1904761904761905)</f>
        <v>1.19047619</v>
      </c>
      <c r="W364" s="57">
        <f>IFERROR(__xludf.DUMMYFUNCTION("""COMPUTED_VALUE"""),2.952380952380952)</f>
        <v>2.952380952</v>
      </c>
      <c r="X364" s="31">
        <f>IFERROR(__xludf.DUMMYFUNCTION("""COMPUTED_VALUE"""),376.39774611938174)</f>
        <v>376.3977461</v>
      </c>
      <c r="Y364" s="57">
        <f>IFERROR(__xludf.DUMMYFUNCTION("""COMPUTED_VALUE"""),0.8632438764555742)</f>
        <v>0.8632438765</v>
      </c>
      <c r="Z364" s="57">
        <f>IFERROR(__xludf.DUMMYFUNCTION("""COMPUTED_VALUE"""),0.6707984844501408)</f>
        <v>0.6707984845</v>
      </c>
      <c r="AA364" s="57">
        <f>IFERROR(__xludf.DUMMYFUNCTION("""COMPUTED_VALUE"""),1.4552337682254866)</f>
        <v>1.455233768</v>
      </c>
      <c r="AB364" s="57">
        <f>IFERROR(__xludf.DUMMYFUNCTION("""COMPUTED_VALUE"""),2.8861188477001103)</f>
        <v>2.886118848</v>
      </c>
      <c r="AC364" s="31">
        <f>IFERROR(__xludf.DUMMYFUNCTION("""COMPUTED_VALUE"""),411.28902310387394)</f>
        <v>411.2890231</v>
      </c>
      <c r="AD364" s="57">
        <f>IFERROR(__xludf.DUMMYFUNCTION("""COMPUTED_VALUE"""),0.9954351386287206)</f>
        <v>0.9954351386</v>
      </c>
      <c r="AE364" s="57">
        <f>IFERROR(__xludf.DUMMYFUNCTION("""COMPUTED_VALUE"""),0.7873215107298958)</f>
        <v>0.7873215107</v>
      </c>
      <c r="AF364" s="57">
        <f>IFERROR(__xludf.DUMMYFUNCTION("""COMPUTED_VALUE"""),1.556878694848847)</f>
        <v>1.556878695</v>
      </c>
      <c r="AG364" s="57">
        <f>IFERROR(__xludf.DUMMYFUNCTION("""COMPUTED_VALUE"""),2.970233325482635)</f>
        <v>2.970233325</v>
      </c>
      <c r="AH364" s="57">
        <f>IFERROR(__xludf.DUMMYFUNCTION("""COMPUTED_VALUE"""),1.0031180153019321)</f>
        <v>1.003118015</v>
      </c>
      <c r="AI364" s="57">
        <f>IFERROR(__xludf.DUMMYFUNCTION("""COMPUTED_VALUE"""),1.291610307714719)</f>
        <v>1.291610308</v>
      </c>
      <c r="AJ364" s="57">
        <f>IFERROR(__xludf.DUMMYFUNCTION("""COMPUTED_VALUE"""),0.725788084843283)</f>
        <v>0.7257880848</v>
      </c>
      <c r="AK364" s="57">
        <f>IFERROR(__xludf.DUMMYFUNCTION("""COMPUTED_VALUE"""),1.0093455428659053)</f>
        <v>1.009345543</v>
      </c>
      <c r="AL364" s="57">
        <f>IFERROR(__xludf.DUMMYFUNCTION("""COMPUTED_VALUE"""),0.8657328531625503)</f>
        <v>0.8657328532</v>
      </c>
      <c r="AM364" s="57">
        <f>IFERROR(__xludf.DUMMYFUNCTION("""COMPUTED_VALUE"""),0.9469466145940293)</f>
        <v>0.9469466146</v>
      </c>
      <c r="AN364" s="57">
        <f>IFERROR(__xludf.DUMMYFUNCTION("""COMPUTED_VALUE"""),0.9377695360523888)</f>
        <v>0.9377695361</v>
      </c>
      <c r="AO364" s="57">
        <f>IFERROR(__xludf.DUMMYFUNCTION("""COMPUTED_VALUE"""),0.9938404485411725)</f>
        <v>0.9938404485</v>
      </c>
      <c r="AP364" s="35">
        <f>IFERROR(__xludf.DUMMYFUNCTION("""COMPUTED_VALUE"""),0.818065259664678)</f>
        <v>0.8180652597</v>
      </c>
      <c r="AQ364" s="57">
        <f>IFERROR(__xludf.DUMMYFUNCTION("""COMPUTED_VALUE"""),1.0229588967667236)</f>
        <v>1.022958897</v>
      </c>
      <c r="AR364" s="36" t="b">
        <f>IFERROR(__xludf.DUMMYFUNCTION("""COMPUTED_VALUE"""),TRUE)</f>
        <v>1</v>
      </c>
      <c r="AS364" s="57"/>
      <c r="AT364" s="37"/>
      <c r="AU364" s="30"/>
      <c r="AV364" s="30"/>
      <c r="AW364" s="30"/>
      <c r="AX364" s="30"/>
      <c r="AY364" s="30"/>
      <c r="AZ364" s="30"/>
    </row>
    <row r="365">
      <c r="A365" s="30" t="str">
        <f>IFERROR(__xludf.DUMMYFUNCTION("""COMPUTED_VALUE"""),"Master")</f>
        <v>Master</v>
      </c>
      <c r="B365" s="30" t="str">
        <f>IFERROR(__xludf.DUMMYFUNCTION("""COMPUTED_VALUE"""),"RSC002620")</f>
        <v>RSC002620</v>
      </c>
      <c r="C365" s="30" t="str">
        <f>IFERROR(__xludf.DUMMYFUNCTION("""COMPUTED_VALUE"""),"Instnt")</f>
        <v>Instnt</v>
      </c>
      <c r="D365" s="31" t="str">
        <f>IFERROR(__xludf.DUMMYFUNCTION("""COMPUTED_VALUE"""),"Tempests")</f>
        <v>Tempests</v>
      </c>
      <c r="E365" s="31">
        <f>IFERROR(__xludf.DUMMYFUNCTION("""COMPUTED_VALUE"""),64.15874737678504)</f>
        <v>64.15874738</v>
      </c>
      <c r="F365" s="31">
        <f>IFERROR(__xludf.DUMMYFUNCTION("""COMPUTED_VALUE"""),3.5016706129204493)</f>
        <v>3.501670613</v>
      </c>
      <c r="G365" s="31">
        <f>IFERROR(__xludf.DUMMYFUNCTION("""COMPUTED_VALUE"""),73.36584884099975)</f>
        <v>73.36584884</v>
      </c>
      <c r="H365" s="31">
        <f>IFERROR(__xludf.DUMMYFUNCTION("""COMPUTED_VALUE"""),5.714661662774432)</f>
        <v>5.714661663</v>
      </c>
      <c r="I365" s="54">
        <f>IFERROR(__xludf.DUMMYFUNCTION("""COMPUTED_VALUE"""),4.0)</f>
        <v>4</v>
      </c>
      <c r="J365" s="55">
        <f>IFERROR(__xludf.DUMMYFUNCTION("""COMPUTED_VALUE"""),1.0)</f>
        <v>1</v>
      </c>
      <c r="K365" s="54">
        <f>IFERROR(__xludf.DUMMYFUNCTION("""COMPUTED_VALUE"""),3.0)</f>
        <v>3</v>
      </c>
      <c r="L365" s="56">
        <f>IFERROR(__xludf.DUMMYFUNCTION("""COMPUTED_VALUE"""),0.25)</f>
        <v>0.25</v>
      </c>
      <c r="M365" s="56">
        <f>IFERROR(__xludf.DUMMYFUNCTION("""COMPUTED_VALUE"""),0.125)</f>
        <v>0.125</v>
      </c>
      <c r="N365" s="31">
        <f>IFERROR(__xludf.DUMMYFUNCTION("""COMPUTED_VALUE"""),394.25)</f>
        <v>394.25</v>
      </c>
      <c r="O365" s="57">
        <f>IFERROR(__xludf.DUMMYFUNCTION("""COMPUTED_VALUE"""),0.5)</f>
        <v>0.5</v>
      </c>
      <c r="P365" s="57">
        <f>IFERROR(__xludf.DUMMYFUNCTION("""COMPUTED_VALUE"""),0.75)</f>
        <v>0.75</v>
      </c>
      <c r="Q365" s="57">
        <f>IFERROR(__xludf.DUMMYFUNCTION("""COMPUTED_VALUE"""),1.5)</f>
        <v>1.5</v>
      </c>
      <c r="R365" s="57">
        <f>IFERROR(__xludf.DUMMYFUNCTION("""COMPUTED_VALUE"""),4.0)</f>
        <v>4</v>
      </c>
      <c r="S365" s="31">
        <f>IFERROR(__xludf.DUMMYFUNCTION("""COMPUTED_VALUE"""),387.6666666666667)</f>
        <v>387.6666667</v>
      </c>
      <c r="T365" s="57">
        <f>IFERROR(__xludf.DUMMYFUNCTION("""COMPUTED_VALUE"""),1.0)</f>
        <v>1</v>
      </c>
      <c r="U365" s="57">
        <f>IFERROR(__xludf.DUMMYFUNCTION("""COMPUTED_VALUE"""),0.5833333333333333)</f>
        <v>0.5833333333</v>
      </c>
      <c r="V365" s="57">
        <f>IFERROR(__xludf.DUMMYFUNCTION("""COMPUTED_VALUE"""),1.6666666666666667)</f>
        <v>1.666666667</v>
      </c>
      <c r="W365" s="57">
        <f>IFERROR(__xludf.DUMMYFUNCTION("""COMPUTED_VALUE"""),2.4999999999999996)</f>
        <v>2.5</v>
      </c>
      <c r="X365" s="31">
        <f>IFERROR(__xludf.DUMMYFUNCTION("""COMPUTED_VALUE"""),386.3333333333333)</f>
        <v>386.3333333</v>
      </c>
      <c r="Y365" s="57">
        <f>IFERROR(__xludf.DUMMYFUNCTION("""COMPUTED_VALUE"""),0.9074074074074074)</f>
        <v>0.9074074074</v>
      </c>
      <c r="Z365" s="57">
        <f>IFERROR(__xludf.DUMMYFUNCTION("""COMPUTED_VALUE"""),0.8240740740740741)</f>
        <v>0.8240740741</v>
      </c>
      <c r="AA365" s="57">
        <f>IFERROR(__xludf.DUMMYFUNCTION("""COMPUTED_VALUE"""),1.4907407407407407)</f>
        <v>1.490740741</v>
      </c>
      <c r="AB365" s="57">
        <f>IFERROR(__xludf.DUMMYFUNCTION("""COMPUTED_VALUE"""),2.7129629629629632)</f>
        <v>2.712962963</v>
      </c>
      <c r="AC365" s="31">
        <f>IFERROR(__xludf.DUMMYFUNCTION("""COMPUTED_VALUE"""),344.1913580246914)</f>
        <v>344.191358</v>
      </c>
      <c r="AD365" s="57">
        <f>IFERROR(__xludf.DUMMYFUNCTION("""COMPUTED_VALUE"""),0.7407407407407408)</f>
        <v>0.7407407407</v>
      </c>
      <c r="AE365" s="57">
        <f>IFERROR(__xludf.DUMMYFUNCTION("""COMPUTED_VALUE"""),0.5370370370370371)</f>
        <v>0.537037037</v>
      </c>
      <c r="AF365" s="57">
        <f>IFERROR(__xludf.DUMMYFUNCTION("""COMPUTED_VALUE"""),1.2438271604938274)</f>
        <v>1.24382716</v>
      </c>
      <c r="AG365" s="57">
        <f>IFERROR(__xludf.DUMMYFUNCTION("""COMPUTED_VALUE"""),2.623456790123457)</f>
        <v>2.62345679</v>
      </c>
      <c r="AH365" s="57">
        <f>IFERROR(__xludf.DUMMYFUNCTION("""COMPUTED_VALUE"""),1.1454384045624921)</f>
        <v>1.145438405</v>
      </c>
      <c r="AI365" s="57">
        <f>IFERROR(__xludf.DUMMYFUNCTION("""COMPUTED_VALUE"""),0.6749999999999999)</f>
        <v>0.675</v>
      </c>
      <c r="AJ365" s="57">
        <f>IFERROR(__xludf.DUMMYFUNCTION("""COMPUTED_VALUE"""),1.3965517241379308)</f>
        <v>1.396551724</v>
      </c>
      <c r="AK365" s="57">
        <f>IFERROR(__xludf.DUMMYFUNCTION("""COMPUTED_VALUE"""),1.2059553349875929)</f>
        <v>1.205955335</v>
      </c>
      <c r="AL365" s="57">
        <f>IFERROR(__xludf.DUMMYFUNCTION("""COMPUTED_VALUE"""),1.5247058823529411)</f>
        <v>1.524705882</v>
      </c>
      <c r="AM365" s="57">
        <f>IFERROR(__xludf.DUMMYFUNCTION("""COMPUTED_VALUE"""),1.003451251078516)</f>
        <v>1.003451251</v>
      </c>
      <c r="AN365" s="57">
        <f>IFERROR(__xludf.DUMMYFUNCTION("""COMPUTED_VALUE"""),1.1020408163265305)</f>
        <v>1.102040816</v>
      </c>
      <c r="AO365" s="57">
        <f>IFERROR(__xludf.DUMMYFUNCTION("""COMPUTED_VALUE"""),0.7078651685393258)</f>
        <v>0.7078651685</v>
      </c>
      <c r="AP365" s="35">
        <f>IFERROR(__xludf.DUMMYFUNCTION("""COMPUTED_VALUE"""),1.1180124223602486)</f>
        <v>1.118012422</v>
      </c>
      <c r="AQ365" s="57">
        <f>IFERROR(__xludf.DUMMYFUNCTION("""COMPUTED_VALUE"""),0.9215017064846414)</f>
        <v>0.9215017065</v>
      </c>
      <c r="AR365" s="36" t="b">
        <f>IFERROR(__xludf.DUMMYFUNCTION("""COMPUTED_VALUE"""),TRUE)</f>
        <v>1</v>
      </c>
      <c r="AS365" s="57"/>
      <c r="AT365" s="37"/>
      <c r="AU365" s="30"/>
      <c r="AV365" s="30"/>
      <c r="AW365" s="30"/>
      <c r="AX365" s="30"/>
      <c r="AY365" s="30"/>
      <c r="AZ365" s="30"/>
    </row>
    <row r="366">
      <c r="A366" s="30" t="str">
        <f>IFERROR(__xludf.DUMMYFUNCTION("""COMPUTED_VALUE"""),"Master")</f>
        <v>Master</v>
      </c>
      <c r="B366" s="30" t="str">
        <f>IFERROR(__xludf.DUMMYFUNCTION("""COMPUTED_VALUE"""),"RSC005220")</f>
        <v>RSC005220</v>
      </c>
      <c r="C366" s="30" t="str">
        <f>IFERROR(__xludf.DUMMYFUNCTION("""COMPUTED_VALUE"""),"Swax")</f>
        <v>Swax</v>
      </c>
      <c r="D366" s="31" t="str">
        <f>IFERROR(__xludf.DUMMYFUNCTION("""COMPUTED_VALUE"""),"Andromeda")</f>
        <v>Andromeda</v>
      </c>
      <c r="E366" s="31">
        <f>IFERROR(__xludf.DUMMYFUNCTION("""COMPUTED_VALUE"""),64.07197473904762)</f>
        <v>64.07197474</v>
      </c>
      <c r="F366" s="31">
        <f>IFERROR(__xludf.DUMMYFUNCTION("""COMPUTED_VALUE"""),3.487253203620396)</f>
        <v>3.487253204</v>
      </c>
      <c r="G366" s="31">
        <f>IFERROR(__xludf.DUMMYFUNCTION("""COMPUTED_VALUE"""),54.60369603818687)</f>
        <v>54.60369604</v>
      </c>
      <c r="H366" s="31">
        <f>IFERROR(__xludf.DUMMYFUNCTION("""COMPUTED_VALUE"""),2.3422015594151406)</f>
        <v>2.342201559</v>
      </c>
      <c r="I366" s="54">
        <f>IFERROR(__xludf.DUMMYFUNCTION("""COMPUTED_VALUE"""),34.0)</f>
        <v>34</v>
      </c>
      <c r="J366" s="55">
        <f>IFERROR(__xludf.DUMMYFUNCTION("""COMPUTED_VALUE"""),18.0)</f>
        <v>18</v>
      </c>
      <c r="K366" s="54">
        <f>IFERROR(__xludf.DUMMYFUNCTION("""COMPUTED_VALUE"""),16.0)</f>
        <v>16</v>
      </c>
      <c r="L366" s="56">
        <f>IFERROR(__xludf.DUMMYFUNCTION("""COMPUTED_VALUE"""),0.5294117647058824)</f>
        <v>0.5294117647</v>
      </c>
      <c r="M366" s="56">
        <f>IFERROR(__xludf.DUMMYFUNCTION("""COMPUTED_VALUE"""),0.35294117647058826)</f>
        <v>0.3529411765</v>
      </c>
      <c r="N366" s="31">
        <f>IFERROR(__xludf.DUMMYFUNCTION("""COMPUTED_VALUE"""),399.2647058823529)</f>
        <v>399.2647059</v>
      </c>
      <c r="O366" s="57">
        <f>IFERROR(__xludf.DUMMYFUNCTION("""COMPUTED_VALUE"""),1.0588235294117647)</f>
        <v>1.058823529</v>
      </c>
      <c r="P366" s="57">
        <f>IFERROR(__xludf.DUMMYFUNCTION("""COMPUTED_VALUE"""),0.6470588235294118)</f>
        <v>0.6470588235</v>
      </c>
      <c r="Q366" s="57">
        <f>IFERROR(__xludf.DUMMYFUNCTION("""COMPUTED_VALUE"""),1.5588235294117647)</f>
        <v>1.558823529</v>
      </c>
      <c r="R366" s="57">
        <f>IFERROR(__xludf.DUMMYFUNCTION("""COMPUTED_VALUE"""),3.0)</f>
        <v>3</v>
      </c>
      <c r="S366" s="31">
        <f>IFERROR(__xludf.DUMMYFUNCTION("""COMPUTED_VALUE"""),350.64705882352945)</f>
        <v>350.6470588</v>
      </c>
      <c r="T366" s="57">
        <f>IFERROR(__xludf.DUMMYFUNCTION("""COMPUTED_VALUE"""),0.7254901960784315)</f>
        <v>0.7254901961</v>
      </c>
      <c r="U366" s="57">
        <f>IFERROR(__xludf.DUMMYFUNCTION("""COMPUTED_VALUE"""),0.5686274509803922)</f>
        <v>0.568627451</v>
      </c>
      <c r="V366" s="57">
        <f>IFERROR(__xludf.DUMMYFUNCTION("""COMPUTED_VALUE"""),1.4019607843137256)</f>
        <v>1.401960784</v>
      </c>
      <c r="W366" s="57">
        <f>IFERROR(__xludf.DUMMYFUNCTION("""COMPUTED_VALUE"""),2.813725490196078)</f>
        <v>2.81372549</v>
      </c>
      <c r="X366" s="31">
        <f>IFERROR(__xludf.DUMMYFUNCTION("""COMPUTED_VALUE"""),374.4761759478677)</f>
        <v>374.4761759</v>
      </c>
      <c r="Y366" s="57">
        <f>IFERROR(__xludf.DUMMYFUNCTION("""COMPUTED_VALUE"""),0.821575916799261)</f>
        <v>0.8215759168</v>
      </c>
      <c r="Z366" s="57">
        <f>IFERROR(__xludf.DUMMYFUNCTION("""COMPUTED_VALUE"""),0.6090658609593997)</f>
        <v>0.609065861</v>
      </c>
      <c r="AA366" s="57">
        <f>IFERROR(__xludf.DUMMYFUNCTION("""COMPUTED_VALUE"""),1.4875783978324615)</f>
        <v>1.487578398</v>
      </c>
      <c r="AB366" s="57">
        <f>IFERROR(__xludf.DUMMYFUNCTION("""COMPUTED_VALUE"""),2.737186263028122)</f>
        <v>2.737186263</v>
      </c>
      <c r="AC366" s="31">
        <f>IFERROR(__xludf.DUMMYFUNCTION("""COMPUTED_VALUE"""),395.4814226000933)</f>
        <v>395.4814226</v>
      </c>
      <c r="AD366" s="57">
        <f>IFERROR(__xludf.DUMMYFUNCTION("""COMPUTED_VALUE"""),0.9360928114727685)</f>
        <v>0.9360928115</v>
      </c>
      <c r="AE366" s="57">
        <f>IFERROR(__xludf.DUMMYFUNCTION("""COMPUTED_VALUE"""),0.7334538254833006)</f>
        <v>0.7334538255</v>
      </c>
      <c r="AF366" s="57">
        <f>IFERROR(__xludf.DUMMYFUNCTION("""COMPUTED_VALUE"""),1.4845780647741185)</f>
        <v>1.484578065</v>
      </c>
      <c r="AG366" s="57">
        <f>IFERROR(__xludf.DUMMYFUNCTION("""COMPUTED_VALUE"""),2.9789899168652187)</f>
        <v>2.978989917</v>
      </c>
      <c r="AH366" s="57">
        <f>IFERROR(__xludf.DUMMYFUNCTION("""COMPUTED_VALUE"""),1.009566273068875)</f>
        <v>1.009566273</v>
      </c>
      <c r="AI366" s="57">
        <f>IFERROR(__xludf.DUMMYFUNCTION("""COMPUTED_VALUE"""),1.1311095613969113)</f>
        <v>1.131109561</v>
      </c>
      <c r="AJ366" s="57">
        <f>IFERROR(__xludf.DUMMYFUNCTION("""COMPUTED_VALUE"""),0.8822079878076035)</f>
        <v>0.8822079878</v>
      </c>
      <c r="AK366" s="57">
        <f>IFERROR(__xludf.DUMMYFUNCTION("""COMPUTED_VALUE"""),1.0500111556268634)</f>
        <v>1.050011156</v>
      </c>
      <c r="AL366" s="57">
        <f>IFERROR(__xludf.DUMMYFUNCTION("""COMPUTED_VALUE"""),1.0070527540277445)</f>
        <v>1.007052754</v>
      </c>
      <c r="AM366" s="57">
        <f>IFERROR(__xludf.DUMMYFUNCTION("""COMPUTED_VALUE"""),0.936366800734326)</f>
        <v>0.9363668007</v>
      </c>
      <c r="AN366" s="57">
        <f>IFERROR(__xludf.DUMMYFUNCTION("""COMPUTED_VALUE"""),0.8830470577872275)</f>
        <v>0.8830470578</v>
      </c>
      <c r="AO366" s="57">
        <f>IFERROR(__xludf.DUMMYFUNCTION("""COMPUTED_VALUE"""),0.9336058502518776)</f>
        <v>0.9336058503</v>
      </c>
      <c r="AP366" s="35">
        <f>IFERROR(__xludf.DUMMYFUNCTION("""COMPUTED_VALUE"""),0.9424449738961734)</f>
        <v>0.9424449739</v>
      </c>
      <c r="AQ366" s="57">
        <f>IFERROR(__xludf.DUMMYFUNCTION("""COMPUTED_VALUE"""),1.0279627397673996)</f>
        <v>1.02796274</v>
      </c>
      <c r="AR366" s="36" t="b">
        <f>IFERROR(__xludf.DUMMYFUNCTION("""COMPUTED_VALUE"""),TRUE)</f>
        <v>1</v>
      </c>
      <c r="AS366" s="57"/>
      <c r="AT366" s="37"/>
      <c r="AU366" s="30"/>
      <c r="AV366" s="30"/>
      <c r="AW366" s="30"/>
      <c r="AX366" s="30"/>
      <c r="AY366" s="30"/>
      <c r="AZ366" s="30"/>
    </row>
    <row r="367">
      <c r="A367" s="30" t="str">
        <f>IFERROR(__xludf.DUMMYFUNCTION("""COMPUTED_VALUE"""),"Master")</f>
        <v>Master</v>
      </c>
      <c r="B367" s="30" t="str">
        <f>IFERROR(__xludf.DUMMYFUNCTION("""COMPUTED_VALUE"""),"RSC002888")</f>
        <v>RSC002888</v>
      </c>
      <c r="C367" s="30" t="str">
        <f>IFERROR(__xludf.DUMMYFUNCTION("""COMPUTED_VALUE"""),"kri0s")</f>
        <v>kri0s</v>
      </c>
      <c r="D367" s="31" t="str">
        <f>IFERROR(__xludf.DUMMYFUNCTION("""COMPUTED_VALUE"""),"Basilisks")</f>
        <v>Basilisks</v>
      </c>
      <c r="E367" s="31">
        <f>IFERROR(__xludf.DUMMYFUNCTION("""COMPUTED_VALUE"""),61.86558133988975)</f>
        <v>61.86558134</v>
      </c>
      <c r="F367" s="31">
        <f>IFERROR(__xludf.DUMMYFUNCTION("""COMPUTED_VALUE"""),3.1493308995843132)</f>
        <v>3.1493309</v>
      </c>
      <c r="G367" s="31">
        <f>IFERROR(__xludf.DUMMYFUNCTION("""COMPUTED_VALUE"""),54.008299796510244)</f>
        <v>54.0082998</v>
      </c>
      <c r="H367" s="31">
        <f>IFERROR(__xludf.DUMMYFUNCTION("""COMPUTED_VALUE"""),2.291949543648461)</f>
        <v>2.291949544</v>
      </c>
      <c r="I367" s="54">
        <f>IFERROR(__xludf.DUMMYFUNCTION("""COMPUTED_VALUE"""),33.0)</f>
        <v>33</v>
      </c>
      <c r="J367" s="55">
        <f>IFERROR(__xludf.DUMMYFUNCTION("""COMPUTED_VALUE"""),22.0)</f>
        <v>22</v>
      </c>
      <c r="K367" s="54">
        <f>IFERROR(__xludf.DUMMYFUNCTION("""COMPUTED_VALUE"""),11.0)</f>
        <v>11</v>
      </c>
      <c r="L367" s="56">
        <f>IFERROR(__xludf.DUMMYFUNCTION("""COMPUTED_VALUE"""),0.6666666666666666)</f>
        <v>0.6666666667</v>
      </c>
      <c r="M367" s="56">
        <f>IFERROR(__xludf.DUMMYFUNCTION("""COMPUTED_VALUE"""),0.2717391304347826)</f>
        <v>0.2717391304</v>
      </c>
      <c r="N367" s="31">
        <f>IFERROR(__xludf.DUMMYFUNCTION("""COMPUTED_VALUE"""),393.8484848484849)</f>
        <v>393.8484848</v>
      </c>
      <c r="O367" s="57">
        <f>IFERROR(__xludf.DUMMYFUNCTION("""COMPUTED_VALUE"""),0.7575757575757576)</f>
        <v>0.7575757576</v>
      </c>
      <c r="P367" s="57">
        <f>IFERROR(__xludf.DUMMYFUNCTION("""COMPUTED_VALUE"""),0.8787878787878788)</f>
        <v>0.8787878788</v>
      </c>
      <c r="Q367" s="57">
        <f>IFERROR(__xludf.DUMMYFUNCTION("""COMPUTED_VALUE"""),1.5757575757575757)</f>
        <v>1.575757576</v>
      </c>
      <c r="R367" s="57">
        <f>IFERROR(__xludf.DUMMYFUNCTION("""COMPUTED_VALUE"""),2.787878787878788)</f>
        <v>2.787878788</v>
      </c>
      <c r="S367" s="31">
        <f>IFERROR(__xludf.DUMMYFUNCTION("""COMPUTED_VALUE"""),360.67676767676767)</f>
        <v>360.6767677</v>
      </c>
      <c r="T367" s="57">
        <f>IFERROR(__xludf.DUMMYFUNCTION("""COMPUTED_VALUE"""),0.7474747474747475)</f>
        <v>0.7474747475</v>
      </c>
      <c r="U367" s="57">
        <f>IFERROR(__xludf.DUMMYFUNCTION("""COMPUTED_VALUE"""),0.6161616161616162)</f>
        <v>0.6161616162</v>
      </c>
      <c r="V367" s="57">
        <f>IFERROR(__xludf.DUMMYFUNCTION("""COMPUTED_VALUE"""),1.4242424242424245)</f>
        <v>1.424242424</v>
      </c>
      <c r="W367" s="57">
        <f>IFERROR(__xludf.DUMMYFUNCTION("""COMPUTED_VALUE"""),2.95959595959596)</f>
        <v>2.95959596</v>
      </c>
      <c r="X367" s="31">
        <f>IFERROR(__xludf.DUMMYFUNCTION("""COMPUTED_VALUE"""),381.5081320651738)</f>
        <v>381.5081321</v>
      </c>
      <c r="Y367" s="57">
        <f>IFERROR(__xludf.DUMMYFUNCTION("""COMPUTED_VALUE"""),0.8215134404601723)</f>
        <v>0.8215134405</v>
      </c>
      <c r="Z367" s="57">
        <f>IFERROR(__xludf.DUMMYFUNCTION("""COMPUTED_VALUE"""),0.6479114941598496)</f>
        <v>0.6479114942</v>
      </c>
      <c r="AA367" s="57">
        <f>IFERROR(__xludf.DUMMYFUNCTION("""COMPUTED_VALUE"""),1.5298054382585544)</f>
        <v>1.529805438</v>
      </c>
      <c r="AB367" s="57">
        <f>IFERROR(__xludf.DUMMYFUNCTION("""COMPUTED_VALUE"""),2.8089033063926294)</f>
        <v>2.808903306</v>
      </c>
      <c r="AC367" s="31">
        <f>IFERROR(__xludf.DUMMYFUNCTION("""COMPUTED_VALUE"""),392.89133201279725)</f>
        <v>392.891332</v>
      </c>
      <c r="AD367" s="57">
        <f>IFERROR(__xludf.DUMMYFUNCTION("""COMPUTED_VALUE"""),0.8822921812319975)</f>
        <v>0.8822921812</v>
      </c>
      <c r="AE367" s="57">
        <f>IFERROR(__xludf.DUMMYFUNCTION("""COMPUTED_VALUE"""),0.6806222352890418)</f>
        <v>0.6806222353</v>
      </c>
      <c r="AF367" s="57">
        <f>IFERROR(__xludf.DUMMYFUNCTION("""COMPUTED_VALUE"""),1.5399136380351057)</f>
        <v>1.539913638</v>
      </c>
      <c r="AG367" s="57">
        <f>IFERROR(__xludf.DUMMYFUNCTION("""COMPUTED_VALUE"""),2.8982104494564958)</f>
        <v>2.898210449</v>
      </c>
      <c r="AH367" s="57">
        <f>IFERROR(__xludf.DUMMYFUNCTION("""COMPUTED_VALUE"""),1.0024361770232602)</f>
        <v>1.002436177</v>
      </c>
      <c r="AI367" s="57">
        <f>IFERROR(__xludf.DUMMYFUNCTION("""COMPUTED_VALUE"""),0.8586449859704175)</f>
        <v>0.858644986</v>
      </c>
      <c r="AJ367" s="57">
        <f>IFERROR(__xludf.DUMMYFUNCTION("""COMPUTED_VALUE"""),1.2911536432756734)</f>
        <v>1.291153643</v>
      </c>
      <c r="AK367" s="57">
        <f>IFERROR(__xludf.DUMMYFUNCTION("""COMPUTED_VALUE"""),1.0232765895678448)</f>
        <v>1.02327659</v>
      </c>
      <c r="AL367" s="57">
        <f>IFERROR(__xludf.DUMMYFUNCTION("""COMPUTED_VALUE"""),0.9619311076604536)</f>
        <v>0.9619311077</v>
      </c>
      <c r="AM367" s="57">
        <f>IFERROR(__xludf.DUMMYFUNCTION("""COMPUTED_VALUE"""),0.9453973254104909)</f>
        <v>0.9453973254</v>
      </c>
      <c r="AN367" s="57">
        <f>IFERROR(__xludf.DUMMYFUNCTION("""COMPUTED_VALUE"""),0.909875250557128)</f>
        <v>0.9098752506</v>
      </c>
      <c r="AO367" s="57">
        <f>IFERROR(__xludf.DUMMYFUNCTION("""COMPUTED_VALUE"""),0.9509965816559504)</f>
        <v>0.9509965817</v>
      </c>
      <c r="AP367" s="35">
        <f>IFERROR(__xludf.DUMMYFUNCTION("""COMPUTED_VALUE"""),0.9309957911142629)</f>
        <v>0.9309957911</v>
      </c>
      <c r="AQ367" s="57">
        <f>IFERROR(__xludf.DUMMYFUNCTION("""COMPUTED_VALUE"""),1.0536482166760164)</f>
        <v>1.053648217</v>
      </c>
      <c r="AR367" s="36" t="b">
        <f>IFERROR(__xludf.DUMMYFUNCTION("""COMPUTED_VALUE"""),TRUE)</f>
        <v>1</v>
      </c>
      <c r="AS367" s="57"/>
      <c r="AT367" s="37"/>
      <c r="AU367" s="30"/>
      <c r="AV367" s="30"/>
      <c r="AW367" s="30"/>
      <c r="AX367" s="30"/>
      <c r="AY367" s="30"/>
      <c r="AZ367" s="30"/>
    </row>
    <row r="368">
      <c r="A368" s="30" t="str">
        <f>IFERROR(__xludf.DUMMYFUNCTION("""COMPUTED_VALUE"""),"Master")</f>
        <v>Master</v>
      </c>
      <c r="B368" s="30" t="str">
        <f>IFERROR(__xludf.DUMMYFUNCTION("""COMPUTED_VALUE"""),"RSC006405")</f>
        <v>RSC006405</v>
      </c>
      <c r="C368" s="30" t="str">
        <f>IFERROR(__xludf.DUMMYFUNCTION("""COMPUTED_VALUE"""),"Lil Panda")</f>
        <v>Lil Panda</v>
      </c>
      <c r="D368" s="31" t="str">
        <f>IFERROR(__xludf.DUMMYFUNCTION("""COMPUTED_VALUE"""),"Helicoprions")</f>
        <v>Helicoprions</v>
      </c>
      <c r="E368" s="31">
        <f>IFERROR(__xludf.DUMMYFUNCTION("""COMPUTED_VALUE"""),61.483741926399446)</f>
        <v>61.48374193</v>
      </c>
      <c r="F368" s="31">
        <f>IFERROR(__xludf.DUMMYFUNCTION("""COMPUTED_VALUE"""),3.096056326464897)</f>
        <v>3.096056326</v>
      </c>
      <c r="G368" s="31">
        <f>IFERROR(__xludf.DUMMYFUNCTION("""COMPUTED_VALUE"""),54.09269803530307)</f>
        <v>54.09269804</v>
      </c>
      <c r="H368" s="31">
        <f>IFERROR(__xludf.DUMMYFUNCTION("""COMPUTED_VALUE"""),2.2989534164111123)</f>
        <v>2.298953416</v>
      </c>
      <c r="I368" s="54">
        <f>IFERROR(__xludf.DUMMYFUNCTION("""COMPUTED_VALUE"""),35.0)</f>
        <v>35</v>
      </c>
      <c r="J368" s="55">
        <f>IFERROR(__xludf.DUMMYFUNCTION("""COMPUTED_VALUE"""),23.0)</f>
        <v>23</v>
      </c>
      <c r="K368" s="54">
        <f>IFERROR(__xludf.DUMMYFUNCTION("""COMPUTED_VALUE"""),12.0)</f>
        <v>12</v>
      </c>
      <c r="L368" s="56">
        <f>IFERROR(__xludf.DUMMYFUNCTION("""COMPUTED_VALUE"""),0.6571428571428571)</f>
        <v>0.6571428571</v>
      </c>
      <c r="M368" s="56">
        <f>IFERROR(__xludf.DUMMYFUNCTION("""COMPUTED_VALUE"""),0.4111111111111111)</f>
        <v>0.4111111111</v>
      </c>
      <c r="N368" s="31">
        <f>IFERROR(__xludf.DUMMYFUNCTION("""COMPUTED_VALUE"""),383.22857142857146)</f>
        <v>383.2285714</v>
      </c>
      <c r="O368" s="57">
        <f>IFERROR(__xludf.DUMMYFUNCTION("""COMPUTED_VALUE"""),1.0571428571428572)</f>
        <v>1.057142857</v>
      </c>
      <c r="P368" s="57">
        <f>IFERROR(__xludf.DUMMYFUNCTION("""COMPUTED_VALUE"""),0.6571428571428571)</f>
        <v>0.6571428571</v>
      </c>
      <c r="Q368" s="57">
        <f>IFERROR(__xludf.DUMMYFUNCTION("""COMPUTED_VALUE"""),1.2571428571428571)</f>
        <v>1.257142857</v>
      </c>
      <c r="R368" s="57">
        <f>IFERROR(__xludf.DUMMYFUNCTION("""COMPUTED_VALUE"""),2.5714285714285716)</f>
        <v>2.571428571</v>
      </c>
      <c r="S368" s="31">
        <f>IFERROR(__xludf.DUMMYFUNCTION("""COMPUTED_VALUE"""),372.4952380952381)</f>
        <v>372.4952381</v>
      </c>
      <c r="T368" s="57">
        <f>IFERROR(__xludf.DUMMYFUNCTION("""COMPUTED_VALUE"""),0.7333333333333331)</f>
        <v>0.7333333333</v>
      </c>
      <c r="U368" s="57">
        <f>IFERROR(__xludf.DUMMYFUNCTION("""COMPUTED_VALUE"""),0.561904761904762)</f>
        <v>0.5619047619</v>
      </c>
      <c r="V368" s="57">
        <f>IFERROR(__xludf.DUMMYFUNCTION("""COMPUTED_VALUE"""),1.5809523809523809)</f>
        <v>1.580952381</v>
      </c>
      <c r="W368" s="57">
        <f>IFERROR(__xludf.DUMMYFUNCTION("""COMPUTED_VALUE"""),2.504761904761905)</f>
        <v>2.504761905</v>
      </c>
      <c r="X368" s="31">
        <f>IFERROR(__xludf.DUMMYFUNCTION("""COMPUTED_VALUE"""),374.0767662865946)</f>
        <v>374.0767663</v>
      </c>
      <c r="Y368" s="57">
        <f>IFERROR(__xludf.DUMMYFUNCTION("""COMPUTED_VALUE"""),0.7973390590766668)</f>
        <v>0.7973390591</v>
      </c>
      <c r="Z368" s="57">
        <f>IFERROR(__xludf.DUMMYFUNCTION("""COMPUTED_VALUE"""),0.6143968989952298)</f>
        <v>0.614396899</v>
      </c>
      <c r="AA368" s="57">
        <f>IFERROR(__xludf.DUMMYFUNCTION("""COMPUTED_VALUE"""),1.5314778568257403)</f>
        <v>1.531477857</v>
      </c>
      <c r="AB368" s="57">
        <f>IFERROR(__xludf.DUMMYFUNCTION("""COMPUTED_VALUE"""),2.751728177795922)</f>
        <v>2.751728178</v>
      </c>
      <c r="AC368" s="31">
        <f>IFERROR(__xludf.DUMMYFUNCTION("""COMPUTED_VALUE"""),395.504728291902)</f>
        <v>395.5047283</v>
      </c>
      <c r="AD368" s="57">
        <f>IFERROR(__xludf.DUMMYFUNCTION("""COMPUTED_VALUE"""),0.9101118356915562)</f>
        <v>0.9101118357</v>
      </c>
      <c r="AE368" s="57">
        <f>IFERROR(__xludf.DUMMYFUNCTION("""COMPUTED_VALUE"""),0.7049911395382499)</f>
        <v>0.7049911395</v>
      </c>
      <c r="AF368" s="57">
        <f>IFERROR(__xludf.DUMMYFUNCTION("""COMPUTED_VALUE"""),1.5231041295751306)</f>
        <v>1.52310413</v>
      </c>
      <c r="AG368" s="57">
        <f>IFERROR(__xludf.DUMMYFUNCTION("""COMPUTED_VALUE"""),2.91057556584602)</f>
        <v>2.910575566</v>
      </c>
      <c r="AH368" s="57">
        <f>IFERROR(__xludf.DUMMYFUNCTION("""COMPUTED_VALUE"""),0.9689607835629461)</f>
        <v>0.9689607836</v>
      </c>
      <c r="AI368" s="57">
        <f>IFERROR(__xludf.DUMMYFUNCTION("""COMPUTED_VALUE"""),1.1615526968062977)</f>
        <v>1.161552697</v>
      </c>
      <c r="AJ368" s="57">
        <f>IFERROR(__xludf.DUMMYFUNCTION("""COMPUTED_VALUE"""),0.9321292428912907)</f>
        <v>0.9321292429</v>
      </c>
      <c r="AK368" s="57">
        <f>IFERROR(__xludf.DUMMYFUNCTION("""COMPUTED_VALUE"""),0.8253820817185603)</f>
        <v>0.8253820817</v>
      </c>
      <c r="AL368" s="57">
        <f>IFERROR(__xludf.DUMMYFUNCTION("""COMPUTED_VALUE"""),0.8834776879194792)</f>
        <v>0.8834776879</v>
      </c>
      <c r="AM368" s="57">
        <f>IFERROR(__xludf.DUMMYFUNCTION("""COMPUTED_VALUE"""),0.9957721827873565)</f>
        <v>0.9957721828</v>
      </c>
      <c r="AN368" s="57">
        <f>IFERROR(__xludf.DUMMYFUNCTION("""COMPUTED_VALUE"""),0.919725836813446)</f>
        <v>0.9197258368</v>
      </c>
      <c r="AO368" s="57">
        <f>IFERROR(__xludf.DUMMYFUNCTION("""COMPUTED_VALUE"""),0.9145631477367282)</f>
        <v>0.9145631477</v>
      </c>
      <c r="AP368" s="35">
        <f>IFERROR(__xludf.DUMMYFUNCTION("""COMPUTED_VALUE"""),1.0323050861663683)</f>
        <v>1.032305086</v>
      </c>
      <c r="AQ368" s="57">
        <f>IFERROR(__xludf.DUMMYFUNCTION("""COMPUTED_VALUE"""),0.9102504836681101)</f>
        <v>0.9102504837</v>
      </c>
      <c r="AR368" s="36" t="b">
        <f>IFERROR(__xludf.DUMMYFUNCTION("""COMPUTED_VALUE"""),TRUE)</f>
        <v>1</v>
      </c>
      <c r="AS368" s="57"/>
      <c r="AT368" s="37"/>
      <c r="AU368" s="30"/>
      <c r="AV368" s="30"/>
      <c r="AW368" s="30"/>
      <c r="AX368" s="30"/>
      <c r="AY368" s="30"/>
      <c r="AZ368" s="30"/>
    </row>
    <row r="369">
      <c r="A369" s="30" t="str">
        <f>IFERROR(__xludf.DUMMYFUNCTION("""COMPUTED_VALUE"""),"Master")</f>
        <v>Master</v>
      </c>
      <c r="B369" s="30" t="str">
        <f>IFERROR(__xludf.DUMMYFUNCTION("""COMPUTED_VALUE"""),"RSC002959")</f>
        <v>RSC002959</v>
      </c>
      <c r="C369" s="30" t="str">
        <f>IFERROR(__xludf.DUMMYFUNCTION("""COMPUTED_VALUE"""),"JACKS0NTHEBOSS")</f>
        <v>JACKS0NTHEBOSS</v>
      </c>
      <c r="D369" s="31" t="str">
        <f>IFERROR(__xludf.DUMMYFUNCTION("""COMPUTED_VALUE"""),"Andromeda")</f>
        <v>Andromeda</v>
      </c>
      <c r="E369" s="31">
        <f>IFERROR(__xludf.DUMMYFUNCTION("""COMPUTED_VALUE"""),61.32234464443228)</f>
        <v>61.32234464</v>
      </c>
      <c r="F369" s="31">
        <f>IFERROR(__xludf.DUMMYFUNCTION("""COMPUTED_VALUE"""),3.0739662719144105)</f>
        <v>3.073966272</v>
      </c>
      <c r="G369" s="31">
        <f>IFERROR(__xludf.DUMMYFUNCTION("""COMPUTED_VALUE"""),62.350983974117305)</f>
        <v>62.35098397</v>
      </c>
      <c r="H369" s="31">
        <f>IFERROR(__xludf.DUMMYFUNCTION("""COMPUTED_VALUE"""),3.2191688207545255)</f>
        <v>3.219168821</v>
      </c>
      <c r="I369" s="54">
        <f>IFERROR(__xludf.DUMMYFUNCTION("""COMPUTED_VALUE"""),35.0)</f>
        <v>35</v>
      </c>
      <c r="J369" s="55">
        <f>IFERROR(__xludf.DUMMYFUNCTION("""COMPUTED_VALUE"""),18.0)</f>
        <v>18</v>
      </c>
      <c r="K369" s="54">
        <f>IFERROR(__xludf.DUMMYFUNCTION("""COMPUTED_VALUE"""),17.0)</f>
        <v>17</v>
      </c>
      <c r="L369" s="56">
        <f>IFERROR(__xludf.DUMMYFUNCTION("""COMPUTED_VALUE"""),0.5142857142857142)</f>
        <v>0.5142857143</v>
      </c>
      <c r="M369" s="56">
        <f>IFERROR(__xludf.DUMMYFUNCTION("""COMPUTED_VALUE"""),0.27722772277227725)</f>
        <v>0.2772277228</v>
      </c>
      <c r="N369" s="31">
        <f>IFERROR(__xludf.DUMMYFUNCTION("""COMPUTED_VALUE"""),403.0571428571429)</f>
        <v>403.0571429</v>
      </c>
      <c r="O369" s="57">
        <f>IFERROR(__xludf.DUMMYFUNCTION("""COMPUTED_VALUE"""),0.8)</f>
        <v>0.8</v>
      </c>
      <c r="P369" s="57">
        <f>IFERROR(__xludf.DUMMYFUNCTION("""COMPUTED_VALUE"""),0.8285714285714286)</f>
        <v>0.8285714286</v>
      </c>
      <c r="Q369" s="57">
        <f>IFERROR(__xludf.DUMMYFUNCTION("""COMPUTED_VALUE"""),1.6571428571428573)</f>
        <v>1.657142857</v>
      </c>
      <c r="R369" s="57">
        <f>IFERROR(__xludf.DUMMYFUNCTION("""COMPUTED_VALUE"""),2.8857142857142857)</f>
        <v>2.885714286</v>
      </c>
      <c r="S369" s="31">
        <f>IFERROR(__xludf.DUMMYFUNCTION("""COMPUTED_VALUE"""),355.66666666666674)</f>
        <v>355.6666667</v>
      </c>
      <c r="T369" s="57">
        <f>IFERROR(__xludf.DUMMYFUNCTION("""COMPUTED_VALUE"""),0.761904761904762)</f>
        <v>0.7619047619</v>
      </c>
      <c r="U369" s="57">
        <f>IFERROR(__xludf.DUMMYFUNCTION("""COMPUTED_VALUE"""),0.5904761904761905)</f>
        <v>0.5904761905</v>
      </c>
      <c r="V369" s="57">
        <f>IFERROR(__xludf.DUMMYFUNCTION("""COMPUTED_VALUE"""),1.3714285714285717)</f>
        <v>1.371428571</v>
      </c>
      <c r="W369" s="57">
        <f>IFERROR(__xludf.DUMMYFUNCTION("""COMPUTED_VALUE"""),2.8380952380952373)</f>
        <v>2.838095238</v>
      </c>
      <c r="X369" s="31">
        <f>IFERROR(__xludf.DUMMYFUNCTION("""COMPUTED_VALUE"""),378.13491640727955)</f>
        <v>378.1349164</v>
      </c>
      <c r="Y369" s="57">
        <f>IFERROR(__xludf.DUMMYFUNCTION("""COMPUTED_VALUE"""),0.8376955420455099)</f>
        <v>0.837695542</v>
      </c>
      <c r="Z369" s="57">
        <f>IFERROR(__xludf.DUMMYFUNCTION("""COMPUTED_VALUE"""),0.6216022814281723)</f>
        <v>0.6216022814</v>
      </c>
      <c r="AA369" s="57">
        <f>IFERROR(__xludf.DUMMYFUNCTION("""COMPUTED_VALUE"""),1.495011446940928)</f>
        <v>1.495011447</v>
      </c>
      <c r="AB369" s="57">
        <f>IFERROR(__xludf.DUMMYFUNCTION("""COMPUTED_VALUE"""),2.7673442284904417)</f>
        <v>2.767344228</v>
      </c>
      <c r="AC369" s="31">
        <f>IFERROR(__xludf.DUMMYFUNCTION("""COMPUTED_VALUE"""),394.4721138780255)</f>
        <v>394.4721139</v>
      </c>
      <c r="AD369" s="57">
        <f>IFERROR(__xludf.DUMMYFUNCTION("""COMPUTED_VALUE"""),0.9235478031615677)</f>
        <v>0.9235478032</v>
      </c>
      <c r="AE369" s="57">
        <f>IFERROR(__xludf.DUMMYFUNCTION("""COMPUTED_VALUE"""),0.7263315128751158)</f>
        <v>0.7263315129</v>
      </c>
      <c r="AF369" s="57">
        <f>IFERROR(__xludf.DUMMYFUNCTION("""COMPUTED_VALUE"""),1.4943880276615396)</f>
        <v>1.494388028</v>
      </c>
      <c r="AG369" s="57">
        <f>IFERROR(__xludf.DUMMYFUNCTION("""COMPUTED_VALUE"""),2.9670865299873705)</f>
        <v>2.96708653</v>
      </c>
      <c r="AH369" s="57">
        <f>IFERROR(__xludf.DUMMYFUNCTION("""COMPUTED_VALUE"""),1.0217633355491689)</f>
        <v>1.021763336</v>
      </c>
      <c r="AI369" s="57">
        <f>IFERROR(__xludf.DUMMYFUNCTION("""COMPUTED_VALUE"""),0.8662247879983817)</f>
        <v>0.866224788</v>
      </c>
      <c r="AJ369" s="57">
        <f>IFERROR(__xludf.DUMMYFUNCTION("""COMPUTED_VALUE"""),1.140762054081346)</f>
        <v>1.140762054</v>
      </c>
      <c r="AK369" s="57">
        <f>IFERROR(__xludf.DUMMYFUNCTION("""COMPUTED_VALUE"""),1.1089106888362863)</f>
        <v>1.108910689</v>
      </c>
      <c r="AL369" s="57">
        <f>IFERROR(__xludf.DUMMYFUNCTION("""COMPUTED_VALUE"""),0.9725750349877962)</f>
        <v>0.972575035</v>
      </c>
      <c r="AM369" s="57">
        <f>IFERROR(__xludf.DUMMYFUNCTION("""COMPUTED_VALUE"""),0.940581393662116)</f>
        <v>0.9405813937</v>
      </c>
      <c r="AN369" s="57">
        <f>IFERROR(__xludf.DUMMYFUNCTION("""COMPUTED_VALUE"""),0.9095246705555102)</f>
        <v>0.9095246706</v>
      </c>
      <c r="AO369" s="57">
        <f>IFERROR(__xludf.DUMMYFUNCTION("""COMPUTED_VALUE"""),0.949926034890883)</f>
        <v>0.9499260349</v>
      </c>
      <c r="AP369" s="35">
        <f>IFERROR(__xludf.DUMMYFUNCTION("""COMPUTED_VALUE"""),0.9173365021617528)</f>
        <v>0.9173365022</v>
      </c>
      <c r="AQ369" s="57">
        <f>IFERROR(__xludf.DUMMYFUNCTION("""COMPUTED_VALUE"""),1.0255663928167655)</f>
        <v>1.025566393</v>
      </c>
      <c r="AR369" s="36" t="b">
        <f>IFERROR(__xludf.DUMMYFUNCTION("""COMPUTED_VALUE"""),TRUE)</f>
        <v>1</v>
      </c>
      <c r="AS369" s="57"/>
      <c r="AT369" s="37"/>
      <c r="AU369" s="30"/>
      <c r="AV369" s="30"/>
      <c r="AW369" s="30"/>
      <c r="AX369" s="30"/>
      <c r="AY369" s="30"/>
      <c r="AZ369" s="30"/>
    </row>
    <row r="370">
      <c r="A370" s="30" t="str">
        <f>IFERROR(__xludf.DUMMYFUNCTION("""COMPUTED_VALUE"""),"Master")</f>
        <v>Master</v>
      </c>
      <c r="B370" s="30" t="str">
        <f>IFERROR(__xludf.DUMMYFUNCTION("""COMPUTED_VALUE"""),"RSC007282")</f>
        <v>RSC007282</v>
      </c>
      <c r="C370" s="30" t="str">
        <f>IFERROR(__xludf.DUMMYFUNCTION("""COMPUTED_VALUE"""),"kRs^^")</f>
        <v>kRs^^</v>
      </c>
      <c r="D370" s="31" t="str">
        <f>IFERROR(__xludf.DUMMYFUNCTION("""COMPUTED_VALUE"""),"Helicoprions")</f>
        <v>Helicoprions</v>
      </c>
      <c r="E370" s="31">
        <f>IFERROR(__xludf.DUMMYFUNCTION("""COMPUTED_VALUE"""),60.03837294164275)</f>
        <v>60.03837294</v>
      </c>
      <c r="F370" s="31">
        <f>IFERROR(__xludf.DUMMYFUNCTION("""COMPUTED_VALUE"""),2.906865474118248)</f>
        <v>2.906865474</v>
      </c>
      <c r="G370" s="31">
        <f>IFERROR(__xludf.DUMMYFUNCTION("""COMPUTED_VALUE"""),54.486178876069424)</f>
        <v>54.48617888</v>
      </c>
      <c r="H370" s="31">
        <f>IFERROR(__xludf.DUMMYFUNCTION("""COMPUTED_VALUE"""),2.3321259702953197)</f>
        <v>2.33212597</v>
      </c>
      <c r="I370" s="54">
        <f>IFERROR(__xludf.DUMMYFUNCTION("""COMPUTED_VALUE"""),13.0)</f>
        <v>13</v>
      </c>
      <c r="J370" s="55">
        <f>IFERROR(__xludf.DUMMYFUNCTION("""COMPUTED_VALUE"""),7.0)</f>
        <v>7</v>
      </c>
      <c r="K370" s="54">
        <f>IFERROR(__xludf.DUMMYFUNCTION("""COMPUTED_VALUE"""),6.0)</f>
        <v>6</v>
      </c>
      <c r="L370" s="56">
        <f>IFERROR(__xludf.DUMMYFUNCTION("""COMPUTED_VALUE"""),0.5384615384615384)</f>
        <v>0.5384615385</v>
      </c>
      <c r="M370" s="56">
        <f>IFERROR(__xludf.DUMMYFUNCTION("""COMPUTED_VALUE"""),0.32558139534883723)</f>
        <v>0.3255813953</v>
      </c>
      <c r="N370" s="31">
        <f>IFERROR(__xludf.DUMMYFUNCTION("""COMPUTED_VALUE"""),386.46153846153845)</f>
        <v>386.4615385</v>
      </c>
      <c r="O370" s="57">
        <f>IFERROR(__xludf.DUMMYFUNCTION("""COMPUTED_VALUE"""),1.0769230769230769)</f>
        <v>1.076923077</v>
      </c>
      <c r="P370" s="57">
        <f>IFERROR(__xludf.DUMMYFUNCTION("""COMPUTED_VALUE"""),0.5384615384615384)</f>
        <v>0.5384615385</v>
      </c>
      <c r="Q370" s="57">
        <f>IFERROR(__xludf.DUMMYFUNCTION("""COMPUTED_VALUE"""),1.2307692307692308)</f>
        <v>1.230769231</v>
      </c>
      <c r="R370" s="57">
        <f>IFERROR(__xludf.DUMMYFUNCTION("""COMPUTED_VALUE"""),3.3076923076923075)</f>
        <v>3.307692308</v>
      </c>
      <c r="S370" s="31">
        <f>IFERROR(__xludf.DUMMYFUNCTION("""COMPUTED_VALUE"""),405.974358974359)</f>
        <v>405.974359</v>
      </c>
      <c r="T370" s="57">
        <f>IFERROR(__xludf.DUMMYFUNCTION("""COMPUTED_VALUE"""),0.9743589743589745)</f>
        <v>0.9743589744</v>
      </c>
      <c r="U370" s="57">
        <f>IFERROR(__xludf.DUMMYFUNCTION("""COMPUTED_VALUE"""),0.769230769230769)</f>
        <v>0.7692307692</v>
      </c>
      <c r="V370" s="57">
        <f>IFERROR(__xludf.DUMMYFUNCTION("""COMPUTED_VALUE"""),1.358974358974359)</f>
        <v>1.358974359</v>
      </c>
      <c r="W370" s="57">
        <f>IFERROR(__xludf.DUMMYFUNCTION("""COMPUTED_VALUE"""),2.9999999999999996)</f>
        <v>3</v>
      </c>
      <c r="X370" s="31">
        <f>IFERROR(__xludf.DUMMYFUNCTION("""COMPUTED_VALUE"""),389.60664999145905)</f>
        <v>389.60665</v>
      </c>
      <c r="Y370" s="57">
        <f>IFERROR(__xludf.DUMMYFUNCTION("""COMPUTED_VALUE"""),0.8654416471287446)</f>
        <v>0.8654416471</v>
      </c>
      <c r="Z370" s="57">
        <f>IFERROR(__xludf.DUMMYFUNCTION("""COMPUTED_VALUE"""),0.66295316035152)</f>
        <v>0.6629531604</v>
      </c>
      <c r="AA370" s="57">
        <f>IFERROR(__xludf.DUMMYFUNCTION("""COMPUTED_VALUE"""),1.5127754902624824)</f>
        <v>1.51277549</v>
      </c>
      <c r="AB370" s="57">
        <f>IFERROR(__xludf.DUMMYFUNCTION("""COMPUTED_VALUE"""),2.9136211952201014)</f>
        <v>2.913621195</v>
      </c>
      <c r="AC370" s="31">
        <f>IFERROR(__xludf.DUMMYFUNCTION("""COMPUTED_VALUE"""),395.2315311388334)</f>
        <v>395.2315311</v>
      </c>
      <c r="AD370" s="57">
        <f>IFERROR(__xludf.DUMMYFUNCTION("""COMPUTED_VALUE"""),0.8757300555592586)</f>
        <v>0.8757300556</v>
      </c>
      <c r="AE370" s="57">
        <f>IFERROR(__xludf.DUMMYFUNCTION("""COMPUTED_VALUE"""),0.6821364300492382)</f>
        <v>0.68213643</v>
      </c>
      <c r="AF370" s="57">
        <f>IFERROR(__xludf.DUMMYFUNCTION("""COMPUTED_VALUE"""),1.5752064772995487)</f>
        <v>1.575206477</v>
      </c>
      <c r="AG370" s="57">
        <f>IFERROR(__xludf.DUMMYFUNCTION("""COMPUTED_VALUE"""),2.8725609333761133)</f>
        <v>2.872560933</v>
      </c>
      <c r="AH370" s="57">
        <f>IFERROR(__xludf.DUMMYFUNCTION("""COMPUTED_VALUE"""),0.9778104933783375)</f>
        <v>0.9778104934</v>
      </c>
      <c r="AI370" s="57">
        <f>IFERROR(__xludf.DUMMYFUNCTION("""COMPUTED_VALUE"""),1.2297431955048435)</f>
        <v>1.229743196</v>
      </c>
      <c r="AJ370" s="57">
        <f>IFERROR(__xludf.DUMMYFUNCTION("""COMPUTED_VALUE"""),0.7893751377897689)</f>
        <v>0.7893751378</v>
      </c>
      <c r="AK370" s="57">
        <f>IFERROR(__xludf.DUMMYFUNCTION("""COMPUTED_VALUE"""),0.7813383505629033)</f>
        <v>0.7813383506</v>
      </c>
      <c r="AL370" s="57">
        <f>IFERROR(__xludf.DUMMYFUNCTION("""COMPUTED_VALUE"""),1.1514785532520577)</f>
        <v>1.151478553</v>
      </c>
      <c r="AM370" s="57">
        <f>IFERROR(__xludf.DUMMYFUNCTION("""COMPUTED_VALUE"""),1.0420108562912331)</f>
        <v>1.042010856</v>
      </c>
      <c r="AN370" s="57">
        <f>IFERROR(__xludf.DUMMYFUNCTION("""COMPUTED_VALUE"""),1.125851728526796)</f>
        <v>1.125851729</v>
      </c>
      <c r="AO370" s="57">
        <f>IFERROR(__xludf.DUMMYFUNCTION("""COMPUTED_VALUE"""),1.1603093781510856)</f>
        <v>1.160309378</v>
      </c>
      <c r="AP370" s="35">
        <f>IFERROR(__xludf.DUMMYFUNCTION("""COMPUTED_VALUE"""),0.8983318197061501)</f>
        <v>0.8983318197</v>
      </c>
      <c r="AQ370" s="57">
        <f>IFERROR(__xludf.DUMMYFUNCTION("""COMPUTED_VALUE"""),1.0296465459963038)</f>
        <v>1.029646546</v>
      </c>
      <c r="AR370" s="36" t="b">
        <f>IFERROR(__xludf.DUMMYFUNCTION("""COMPUTED_VALUE"""),TRUE)</f>
        <v>1</v>
      </c>
      <c r="AS370" s="57"/>
      <c r="AT370" s="37"/>
      <c r="AU370" s="30"/>
      <c r="AV370" s="30"/>
      <c r="AW370" s="30"/>
      <c r="AX370" s="30"/>
      <c r="AY370" s="30"/>
      <c r="AZ370" s="30"/>
    </row>
    <row r="371">
      <c r="A371" s="30" t="str">
        <f>IFERROR(__xludf.DUMMYFUNCTION("""COMPUTED_VALUE"""),"Master")</f>
        <v>Master</v>
      </c>
      <c r="B371" s="30" t="str">
        <f>IFERROR(__xludf.DUMMYFUNCTION("""COMPUTED_VALUE"""),"RSC004730")</f>
        <v>RSC004730</v>
      </c>
      <c r="C371" s="30" t="str">
        <f>IFERROR(__xludf.DUMMYFUNCTION("""COMPUTED_VALUE"""),"SgtPickle")</f>
        <v>SgtPickle</v>
      </c>
      <c r="D371" s="31" t="str">
        <f>IFERROR(__xludf.DUMMYFUNCTION("""COMPUTED_VALUE"""),"Lemurs")</f>
        <v>Lemurs</v>
      </c>
      <c r="E371" s="31">
        <f>IFERROR(__xludf.DUMMYFUNCTION("""COMPUTED_VALUE"""),59.18403464836581)</f>
        <v>59.18403465</v>
      </c>
      <c r="F371" s="31">
        <f>IFERROR(__xludf.DUMMYFUNCTION("""COMPUTED_VALUE"""),2.803674892078319)</f>
        <v>2.803674892</v>
      </c>
      <c r="G371" s="31">
        <f>IFERROR(__xludf.DUMMYFUNCTION("""COMPUTED_VALUE"""),47.91513710370814)</f>
        <v>47.9151371</v>
      </c>
      <c r="H371" s="31">
        <f>IFERROR(__xludf.DUMMYFUNCTION("""COMPUTED_VALUE"""),-2.14238769435692)</f>
        <v>-2.142387694</v>
      </c>
      <c r="I371" s="54">
        <f>IFERROR(__xludf.DUMMYFUNCTION("""COMPUTED_VALUE"""),20.0)</f>
        <v>20</v>
      </c>
      <c r="J371" s="55">
        <f>IFERROR(__xludf.DUMMYFUNCTION("""COMPUTED_VALUE"""),12.0)</f>
        <v>12</v>
      </c>
      <c r="K371" s="54">
        <f>IFERROR(__xludf.DUMMYFUNCTION("""COMPUTED_VALUE"""),8.0)</f>
        <v>8</v>
      </c>
      <c r="L371" s="56">
        <f>IFERROR(__xludf.DUMMYFUNCTION("""COMPUTED_VALUE"""),0.6)</f>
        <v>0.6</v>
      </c>
      <c r="M371" s="56">
        <f>IFERROR(__xludf.DUMMYFUNCTION("""COMPUTED_VALUE"""),0.30434782608695654)</f>
        <v>0.3043478261</v>
      </c>
      <c r="N371" s="31">
        <f>IFERROR(__xludf.DUMMYFUNCTION("""COMPUTED_VALUE"""),412.35)</f>
        <v>412.35</v>
      </c>
      <c r="O371" s="57">
        <f>IFERROR(__xludf.DUMMYFUNCTION("""COMPUTED_VALUE"""),1.05)</f>
        <v>1.05</v>
      </c>
      <c r="P371" s="57">
        <f>IFERROR(__xludf.DUMMYFUNCTION("""COMPUTED_VALUE"""),0.5)</f>
        <v>0.5</v>
      </c>
      <c r="Q371" s="57">
        <f>IFERROR(__xludf.DUMMYFUNCTION("""COMPUTED_VALUE"""),1.6)</f>
        <v>1.6</v>
      </c>
      <c r="R371" s="57">
        <f>IFERROR(__xludf.DUMMYFUNCTION("""COMPUTED_VALUE"""),3.45)</f>
        <v>3.45</v>
      </c>
      <c r="S371" s="31">
        <f>IFERROR(__xludf.DUMMYFUNCTION("""COMPUTED_VALUE"""),442.3166666666666)</f>
        <v>442.3166667</v>
      </c>
      <c r="T371" s="57">
        <f>IFERROR(__xludf.DUMMYFUNCTION("""COMPUTED_VALUE"""),1.0166666666666666)</f>
        <v>1.016666667</v>
      </c>
      <c r="U371" s="57">
        <f>IFERROR(__xludf.DUMMYFUNCTION("""COMPUTED_VALUE"""),0.8333333333333334)</f>
        <v>0.8333333333</v>
      </c>
      <c r="V371" s="57">
        <f>IFERROR(__xludf.DUMMYFUNCTION("""COMPUTED_VALUE"""),1.7)</f>
        <v>1.7</v>
      </c>
      <c r="W371" s="57">
        <f>IFERROR(__xludf.DUMMYFUNCTION("""COMPUTED_VALUE"""),2.85)</f>
        <v>2.85</v>
      </c>
      <c r="X371" s="31">
        <f>IFERROR(__xludf.DUMMYFUNCTION("""COMPUTED_VALUE"""),392.2879791690855)</f>
        <v>392.2879792</v>
      </c>
      <c r="Y371" s="57">
        <f>IFERROR(__xludf.DUMMYFUNCTION("""COMPUTED_VALUE"""),0.8800264429323338)</f>
        <v>0.8800264429</v>
      </c>
      <c r="Z371" s="57">
        <f>IFERROR(__xludf.DUMMYFUNCTION("""COMPUTED_VALUE"""),0.6890812648930467)</f>
        <v>0.6890812649</v>
      </c>
      <c r="AA371" s="57">
        <f>IFERROR(__xludf.DUMMYFUNCTION("""COMPUTED_VALUE"""),1.533083190622702)</f>
        <v>1.533083191</v>
      </c>
      <c r="AB371" s="57">
        <f>IFERROR(__xludf.DUMMYFUNCTION("""COMPUTED_VALUE"""),2.787244097032172)</f>
        <v>2.787244097</v>
      </c>
      <c r="AC371" s="31">
        <f>IFERROR(__xludf.DUMMYFUNCTION("""COMPUTED_VALUE"""),393.94731079380733)</f>
        <v>393.9473108</v>
      </c>
      <c r="AD371" s="57">
        <f>IFERROR(__xludf.DUMMYFUNCTION("""COMPUTED_VALUE"""),0.8894064619926688)</f>
        <v>0.889406462</v>
      </c>
      <c r="AE371" s="57">
        <f>IFERROR(__xludf.DUMMYFUNCTION("""COMPUTED_VALUE"""),0.6786888239031439)</f>
        <v>0.6786888239</v>
      </c>
      <c r="AF371" s="57">
        <f>IFERROR(__xludf.DUMMYFUNCTION("""COMPUTED_VALUE"""),1.5298149703106598)</f>
        <v>1.52981497</v>
      </c>
      <c r="AG371" s="57">
        <f>IFERROR(__xludf.DUMMYFUNCTION("""COMPUTED_VALUE"""),2.88150327048076)</f>
        <v>2.88150327</v>
      </c>
      <c r="AH371" s="57">
        <f>IFERROR(__xludf.DUMMYFUNCTION("""COMPUTED_VALUE"""),1.0467135799686285)</f>
        <v>1.04671358</v>
      </c>
      <c r="AI371" s="57">
        <f>IFERROR(__xludf.DUMMYFUNCTION("""COMPUTED_VALUE"""),1.1805625941231974)</f>
        <v>1.180562594</v>
      </c>
      <c r="AJ371" s="57">
        <f>IFERROR(__xludf.DUMMYFUNCTION("""COMPUTED_VALUE"""),0.7367146509419393)</f>
        <v>0.7367146509</v>
      </c>
      <c r="AK371" s="57">
        <f>IFERROR(__xludf.DUMMYFUNCTION("""COMPUTED_VALUE"""),1.0458781166686373)</f>
        <v>1.045878117</v>
      </c>
      <c r="AL371" s="57">
        <f>IFERROR(__xludf.DUMMYFUNCTION("""COMPUTED_VALUE"""),1.1972917176055782)</f>
        <v>1.197291718</v>
      </c>
      <c r="AM371" s="57">
        <f>IFERROR(__xludf.DUMMYFUNCTION("""COMPUTED_VALUE"""),1.127530513689326)</f>
        <v>1.127530514</v>
      </c>
      <c r="AN371" s="57">
        <f>IFERROR(__xludf.DUMMYFUNCTION("""COMPUTED_VALUE"""),1.1552683158917751)</f>
        <v>1.155268316</v>
      </c>
      <c r="AO371" s="57">
        <f>IFERROR(__xludf.DUMMYFUNCTION("""COMPUTED_VALUE"""),1.2093397046031664)</f>
        <v>1.209339705</v>
      </c>
      <c r="AP371" s="35">
        <f>IFERROR(__xludf.DUMMYFUNCTION("""COMPUTED_VALUE"""),1.108876550469189)</f>
        <v>1.10887655</v>
      </c>
      <c r="AQ371" s="57">
        <f>IFERROR(__xludf.DUMMYFUNCTION("""COMPUTED_VALUE"""),1.0225153954168025)</f>
        <v>1.022515395</v>
      </c>
      <c r="AR371" s="36" t="b">
        <f>IFERROR(__xludf.DUMMYFUNCTION("""COMPUTED_VALUE"""),TRUE)</f>
        <v>1</v>
      </c>
      <c r="AS371" s="57"/>
      <c r="AT371" s="37"/>
      <c r="AU371" s="30"/>
      <c r="AV371" s="30"/>
      <c r="AW371" s="30"/>
      <c r="AX371" s="30"/>
      <c r="AY371" s="30"/>
      <c r="AZ371" s="30"/>
    </row>
    <row r="372">
      <c r="A372" s="30" t="str">
        <f>IFERROR(__xludf.DUMMYFUNCTION("""COMPUTED_VALUE"""),"Master")</f>
        <v>Master</v>
      </c>
      <c r="B372" s="30" t="str">
        <f>IFERROR(__xludf.DUMMYFUNCTION("""COMPUTED_VALUE"""),"RSC005349")</f>
        <v>RSC005349</v>
      </c>
      <c r="C372" s="30" t="str">
        <f>IFERROR(__xludf.DUMMYFUNCTION("""COMPUTED_VALUE"""),"Rzemb1e")</f>
        <v>Rzemb1e</v>
      </c>
      <c r="D372" s="31" t="str">
        <f>IFERROR(__xludf.DUMMYFUNCTION("""COMPUTED_VALUE"""),"Heinous Henchmen")</f>
        <v>Heinous Henchmen</v>
      </c>
      <c r="E372" s="31">
        <f>IFERROR(__xludf.DUMMYFUNCTION("""COMPUTED_VALUE"""),58.46270569975303)</f>
        <v>58.4627057</v>
      </c>
      <c r="F372" s="31">
        <f>IFERROR(__xludf.DUMMYFUNCTION("""COMPUTED_VALUE"""),2.7211616377462455)</f>
        <v>2.721161638</v>
      </c>
      <c r="G372" s="31">
        <f>IFERROR(__xludf.DUMMYFUNCTION("""COMPUTED_VALUE"""),46.73407761298402)</f>
        <v>46.73407761</v>
      </c>
      <c r="H372" s="31">
        <f>IFERROR(__xludf.DUMMYFUNCTION("""COMPUTED_VALUE"""),-2.231987030442312)</f>
        <v>-2.23198703</v>
      </c>
      <c r="I372" s="54">
        <f>IFERROR(__xludf.DUMMYFUNCTION("""COMPUTED_VALUE"""),36.0)</f>
        <v>36</v>
      </c>
      <c r="J372" s="55">
        <f>IFERROR(__xludf.DUMMYFUNCTION("""COMPUTED_VALUE"""),13.0)</f>
        <v>13</v>
      </c>
      <c r="K372" s="54">
        <f>IFERROR(__xludf.DUMMYFUNCTION("""COMPUTED_VALUE"""),23.0)</f>
        <v>23</v>
      </c>
      <c r="L372" s="56">
        <f>IFERROR(__xludf.DUMMYFUNCTION("""COMPUTED_VALUE"""),0.3611111111111111)</f>
        <v>0.3611111111</v>
      </c>
      <c r="M372" s="56">
        <f>IFERROR(__xludf.DUMMYFUNCTION("""COMPUTED_VALUE"""),0.33962264150943394)</f>
        <v>0.3396226415</v>
      </c>
      <c r="N372" s="31">
        <f>IFERROR(__xludf.DUMMYFUNCTION("""COMPUTED_VALUE"""),388.8611111111111)</f>
        <v>388.8611111</v>
      </c>
      <c r="O372" s="57">
        <f>IFERROR(__xludf.DUMMYFUNCTION("""COMPUTED_VALUE"""),1.0)</f>
        <v>1</v>
      </c>
      <c r="P372" s="57">
        <f>IFERROR(__xludf.DUMMYFUNCTION("""COMPUTED_VALUE"""),0.5555555555555556)</f>
        <v>0.5555555556</v>
      </c>
      <c r="Q372" s="57">
        <f>IFERROR(__xludf.DUMMYFUNCTION("""COMPUTED_VALUE"""),1.5277777777777777)</f>
        <v>1.527777778</v>
      </c>
      <c r="R372" s="57">
        <f>IFERROR(__xludf.DUMMYFUNCTION("""COMPUTED_VALUE"""),2.9444444444444446)</f>
        <v>2.944444444</v>
      </c>
      <c r="S372" s="31">
        <f>IFERROR(__xludf.DUMMYFUNCTION("""COMPUTED_VALUE"""),384.28703703703707)</f>
        <v>384.287037</v>
      </c>
      <c r="T372" s="57">
        <f>IFERROR(__xludf.DUMMYFUNCTION("""COMPUTED_VALUE"""),0.8796296296296295)</f>
        <v>0.8796296296</v>
      </c>
      <c r="U372" s="57">
        <f>IFERROR(__xludf.DUMMYFUNCTION("""COMPUTED_VALUE"""),0.6574074074074074)</f>
        <v>0.6574074074</v>
      </c>
      <c r="V372" s="57">
        <f>IFERROR(__xludf.DUMMYFUNCTION("""COMPUTED_VALUE"""),1.4722222222222223)</f>
        <v>1.472222222</v>
      </c>
      <c r="W372" s="57">
        <f>IFERROR(__xludf.DUMMYFUNCTION("""COMPUTED_VALUE"""),3.0462962962962963)</f>
        <v>3.046296296</v>
      </c>
      <c r="X372" s="31">
        <f>IFERROR(__xludf.DUMMYFUNCTION("""COMPUTED_VALUE"""),375.0093247024902)</f>
        <v>375.0093247</v>
      </c>
      <c r="Y372" s="57">
        <f>IFERROR(__xludf.DUMMYFUNCTION("""COMPUTED_VALUE"""),0.8537389612738788)</f>
        <v>0.8537389613</v>
      </c>
      <c r="Z372" s="57">
        <f>IFERROR(__xludf.DUMMYFUNCTION("""COMPUTED_VALUE"""),0.6620947696766404)</f>
        <v>0.6620947697</v>
      </c>
      <c r="AA372" s="57">
        <f>IFERROR(__xludf.DUMMYFUNCTION("""COMPUTED_VALUE"""),1.410255151271183)</f>
        <v>1.410255151</v>
      </c>
      <c r="AB372" s="57">
        <f>IFERROR(__xludf.DUMMYFUNCTION("""COMPUTED_VALUE"""),2.7338918740760096)</f>
        <v>2.733891874</v>
      </c>
      <c r="AC372" s="31">
        <f>IFERROR(__xludf.DUMMYFUNCTION("""COMPUTED_VALUE"""),378.91005504133443)</f>
        <v>378.910055</v>
      </c>
      <c r="AD372" s="57">
        <f>IFERROR(__xludf.DUMMYFUNCTION("""COMPUTED_VALUE"""),0.8541010875891027)</f>
        <v>0.8541010876</v>
      </c>
      <c r="AE372" s="57">
        <f>IFERROR(__xludf.DUMMYFUNCTION("""COMPUTED_VALUE"""),0.6502591795965873)</f>
        <v>0.6502591796</v>
      </c>
      <c r="AF372" s="57">
        <f>IFERROR(__xludf.DUMMYFUNCTION("""COMPUTED_VALUE"""),1.4537307792387089)</f>
        <v>1.453730779</v>
      </c>
      <c r="AG372" s="57">
        <f>IFERROR(__xludf.DUMMYFUNCTION("""COMPUTED_VALUE"""),2.782479876888778)</f>
        <v>2.782479877</v>
      </c>
      <c r="AH372" s="57">
        <f>IFERROR(__xludf.DUMMYFUNCTION("""COMPUTED_VALUE"""),1.026262317236979)</f>
        <v>1.026262317</v>
      </c>
      <c r="AI372" s="57">
        <f>IFERROR(__xludf.DUMMYFUNCTION("""COMPUTED_VALUE"""),1.1708215977370202)</f>
        <v>1.170821598</v>
      </c>
      <c r="AJ372" s="57">
        <f>IFERROR(__xludf.DUMMYFUNCTION("""COMPUTED_VALUE"""),0.8543601889637534)</f>
        <v>0.854360189</v>
      </c>
      <c r="AK372" s="57">
        <f>IFERROR(__xludf.DUMMYFUNCTION("""COMPUTED_VALUE"""),1.0509358401132882)</f>
        <v>1.05093584</v>
      </c>
      <c r="AL372" s="57">
        <f>IFERROR(__xludf.DUMMYFUNCTION("""COMPUTED_VALUE"""),1.0582087111935439)</f>
        <v>1.058208711</v>
      </c>
      <c r="AM372" s="57">
        <f>IFERROR(__xludf.DUMMYFUNCTION("""COMPUTED_VALUE"""),1.0247399510449702)</f>
        <v>1.024739951</v>
      </c>
      <c r="AN372" s="57">
        <f>IFERROR(__xludf.DUMMYFUNCTION("""COMPUTED_VALUE"""),1.0303262115589977)</f>
        <v>1.030326212</v>
      </c>
      <c r="AO372" s="57">
        <f>IFERROR(__xludf.DUMMYFUNCTION("""COMPUTED_VALUE"""),0.9929204058332582)</f>
        <v>0.9929204058</v>
      </c>
      <c r="AP372" s="35">
        <f>IFERROR(__xludf.DUMMYFUNCTION("""COMPUTED_VALUE"""),1.0439403259014393)</f>
        <v>1.043940326</v>
      </c>
      <c r="AQ372" s="57">
        <f>IFERROR(__xludf.DUMMYFUNCTION("""COMPUTED_VALUE"""),1.1142709502093502)</f>
        <v>1.11427095</v>
      </c>
      <c r="AR372" s="36" t="b">
        <f>IFERROR(__xludf.DUMMYFUNCTION("""COMPUTED_VALUE"""),TRUE)</f>
        <v>1</v>
      </c>
      <c r="AS372" s="57"/>
      <c r="AT372" s="37"/>
      <c r="AU372" s="30"/>
      <c r="AV372" s="30"/>
      <c r="AW372" s="30"/>
      <c r="AX372" s="30"/>
      <c r="AY372" s="30"/>
      <c r="AZ372" s="30"/>
    </row>
    <row r="373">
      <c r="A373" s="30" t="str">
        <f>IFERROR(__xludf.DUMMYFUNCTION("""COMPUTED_VALUE"""),"Master")</f>
        <v>Master</v>
      </c>
      <c r="B373" s="30" t="str">
        <f>IFERROR(__xludf.DUMMYFUNCTION("""COMPUTED_VALUE"""),"RSC003728")</f>
        <v>RSC003728</v>
      </c>
      <c r="C373" s="30" t="str">
        <f>IFERROR(__xludf.DUMMYFUNCTION("""COMPUTED_VALUE"""),"yy")</f>
        <v>yy</v>
      </c>
      <c r="D373" s="31" t="str">
        <f>IFERROR(__xludf.DUMMYFUNCTION("""COMPUTED_VALUE"""),"Kawaii")</f>
        <v>Kawaii</v>
      </c>
      <c r="E373" s="31">
        <f>IFERROR(__xludf.DUMMYFUNCTION("""COMPUTED_VALUE"""),57.761338251103176)</f>
        <v>57.76133825</v>
      </c>
      <c r="F373" s="31">
        <f>IFERROR(__xludf.DUMMYFUNCTION("""COMPUTED_VALUE"""),2.644746680135896)</f>
        <v>2.64474668</v>
      </c>
      <c r="G373" s="31">
        <f>IFERROR(__xludf.DUMMYFUNCTION("""COMPUTED_VALUE"""),49.31052140555112)</f>
        <v>49.31052141</v>
      </c>
      <c r="H373" s="31">
        <f>IFERROR(__xludf.DUMMYFUNCTION("""COMPUTED_VALUE"""),-2.0449943413857112)</f>
        <v>-2.044994341</v>
      </c>
      <c r="I373" s="54">
        <f>IFERROR(__xludf.DUMMYFUNCTION("""COMPUTED_VALUE"""),33.0)</f>
        <v>33</v>
      </c>
      <c r="J373" s="55">
        <f>IFERROR(__xludf.DUMMYFUNCTION("""COMPUTED_VALUE"""),16.0)</f>
        <v>16</v>
      </c>
      <c r="K373" s="54">
        <f>IFERROR(__xludf.DUMMYFUNCTION("""COMPUTED_VALUE"""),17.0)</f>
        <v>17</v>
      </c>
      <c r="L373" s="56">
        <f>IFERROR(__xludf.DUMMYFUNCTION("""COMPUTED_VALUE"""),0.48484848484848486)</f>
        <v>0.4848484848</v>
      </c>
      <c r="M373" s="56">
        <f>IFERROR(__xludf.DUMMYFUNCTION("""COMPUTED_VALUE"""),0.24242424242424243)</f>
        <v>0.2424242424</v>
      </c>
      <c r="N373" s="31">
        <f>IFERROR(__xludf.DUMMYFUNCTION("""COMPUTED_VALUE"""),397.45454545454544)</f>
        <v>397.4545455</v>
      </c>
      <c r="O373" s="57">
        <f>IFERROR(__xludf.DUMMYFUNCTION("""COMPUTED_VALUE"""),0.7272727272727273)</f>
        <v>0.7272727273</v>
      </c>
      <c r="P373" s="57">
        <f>IFERROR(__xludf.DUMMYFUNCTION("""COMPUTED_VALUE"""),0.7272727272727273)</f>
        <v>0.7272727273</v>
      </c>
      <c r="Q373" s="57">
        <f>IFERROR(__xludf.DUMMYFUNCTION("""COMPUTED_VALUE"""),1.5151515151515151)</f>
        <v>1.515151515</v>
      </c>
      <c r="R373" s="57">
        <f>IFERROR(__xludf.DUMMYFUNCTION("""COMPUTED_VALUE"""),3.0)</f>
        <v>3</v>
      </c>
      <c r="S373" s="31">
        <f>IFERROR(__xludf.DUMMYFUNCTION("""COMPUTED_VALUE"""),411.51515151515144)</f>
        <v>411.5151515</v>
      </c>
      <c r="T373" s="57">
        <f>IFERROR(__xludf.DUMMYFUNCTION("""COMPUTED_VALUE"""),0.9090909090909091)</f>
        <v>0.9090909091</v>
      </c>
      <c r="U373" s="57">
        <f>IFERROR(__xludf.DUMMYFUNCTION("""COMPUTED_VALUE"""),0.6767676767676767)</f>
        <v>0.6767676768</v>
      </c>
      <c r="V373" s="57">
        <f>IFERROR(__xludf.DUMMYFUNCTION("""COMPUTED_VALUE"""),1.696969696969697)</f>
        <v>1.696969697</v>
      </c>
      <c r="W373" s="57">
        <f>IFERROR(__xludf.DUMMYFUNCTION("""COMPUTED_VALUE"""),2.858585858585859)</f>
        <v>2.858585859</v>
      </c>
      <c r="X373" s="31">
        <f>IFERROR(__xludf.DUMMYFUNCTION("""COMPUTED_VALUE"""),393.3573002602973)</f>
        <v>393.3573003</v>
      </c>
      <c r="Y373" s="57">
        <f>IFERROR(__xludf.DUMMYFUNCTION("""COMPUTED_VALUE"""),0.8993928475607142)</f>
        <v>0.8993928476</v>
      </c>
      <c r="Z373" s="57">
        <f>IFERROR(__xludf.DUMMYFUNCTION("""COMPUTED_VALUE"""),0.7146250777910326)</f>
        <v>0.7146250778</v>
      </c>
      <c r="AA373" s="57">
        <f>IFERROR(__xludf.DUMMYFUNCTION("""COMPUTED_VALUE"""),1.4765353867841446)</f>
        <v>1.476535387</v>
      </c>
      <c r="AB373" s="57">
        <f>IFERROR(__xludf.DUMMYFUNCTION("""COMPUTED_VALUE"""),2.8507221439727726)</f>
        <v>2.850722144</v>
      </c>
      <c r="AC373" s="31">
        <f>IFERROR(__xludf.DUMMYFUNCTION("""COMPUTED_VALUE"""),381.90739668462453)</f>
        <v>381.9073967</v>
      </c>
      <c r="AD373" s="57">
        <f>IFERROR(__xludf.DUMMYFUNCTION("""COMPUTED_VALUE"""),0.8241516179327577)</f>
        <v>0.8241516179</v>
      </c>
      <c r="AE373" s="57">
        <f>IFERROR(__xludf.DUMMYFUNCTION("""COMPUTED_VALUE"""),0.6399972609956319)</f>
        <v>0.639997261</v>
      </c>
      <c r="AF373" s="57">
        <f>IFERROR(__xludf.DUMMYFUNCTION("""COMPUTED_VALUE"""),1.4988443496327812)</f>
        <v>1.49884435</v>
      </c>
      <c r="AG373" s="57">
        <f>IFERROR(__xludf.DUMMYFUNCTION("""COMPUTED_VALUE"""),2.7860346029295022)</f>
        <v>2.786034603</v>
      </c>
      <c r="AH373" s="57">
        <f>IFERROR(__xludf.DUMMYFUNCTION("""COMPUTED_VALUE"""),1.0407092109367015)</f>
        <v>1.040709211</v>
      </c>
      <c r="AI373" s="57">
        <f>IFERROR(__xludf.DUMMYFUNCTION("""COMPUTED_VALUE"""),0.8824501601986362)</f>
        <v>0.8824501602</v>
      </c>
      <c r="AJ373" s="57">
        <f>IFERROR(__xludf.DUMMYFUNCTION("""COMPUTED_VALUE"""),1.1363684996734558)</f>
        <v>1.1363685</v>
      </c>
      <c r="AK373" s="57">
        <f>IFERROR(__xludf.DUMMYFUNCTION("""COMPUTED_VALUE"""),1.0108798258623246)</f>
        <v>1.010879826</v>
      </c>
      <c r="AL373" s="57">
        <f>IFERROR(__xludf.DUMMYFUNCTION("""COMPUTED_VALUE"""),1.076799260441889)</f>
        <v>1.07679926</v>
      </c>
      <c r="AM373" s="57">
        <f>IFERROR(__xludf.DUMMYFUNCTION("""COMPUTED_VALUE"""),1.046161215878893)</f>
        <v>1.046161216</v>
      </c>
      <c r="AN373" s="57">
        <f>IFERROR(__xludf.DUMMYFUNCTION("""COMPUTED_VALUE"""),1.0107828982146092)</f>
        <v>1.010782898</v>
      </c>
      <c r="AO373" s="57">
        <f>IFERROR(__xludf.DUMMYFUNCTION("""COMPUTED_VALUE"""),0.9470248075531069)</f>
        <v>0.9470248076</v>
      </c>
      <c r="AP373" s="35">
        <f>IFERROR(__xludf.DUMMYFUNCTION("""COMPUTED_VALUE"""),1.1492915863436586)</f>
        <v>1.149291586</v>
      </c>
      <c r="AQ373" s="57">
        <f>IFERROR(__xludf.DUMMYFUNCTION("""COMPUTED_VALUE"""),1.0027584991507197)</f>
        <v>1.002758499</v>
      </c>
      <c r="AR373" s="36" t="b">
        <f>IFERROR(__xludf.DUMMYFUNCTION("""COMPUTED_VALUE"""),TRUE)</f>
        <v>1</v>
      </c>
      <c r="AS373" s="57"/>
      <c r="AT373" s="37"/>
      <c r="AU373" s="30"/>
      <c r="AV373" s="30"/>
      <c r="AW373" s="30"/>
      <c r="AX373" s="30"/>
      <c r="AY373" s="30"/>
      <c r="AZ373" s="30"/>
    </row>
    <row r="374">
      <c r="A374" s="30" t="str">
        <f>IFERROR(__xludf.DUMMYFUNCTION("""COMPUTED_VALUE"""),"Master")</f>
        <v>Master</v>
      </c>
      <c r="B374" s="30" t="str">
        <f>IFERROR(__xludf.DUMMYFUNCTION("""COMPUTED_VALUE"""),"RSC005234")</f>
        <v>RSC005234</v>
      </c>
      <c r="C374" s="30" t="str">
        <f>IFERROR(__xludf.DUMMYFUNCTION("""COMPUTED_VALUE"""),"Hirsch")</f>
        <v>Hirsch</v>
      </c>
      <c r="D374" s="31" t="str">
        <f>IFERROR(__xludf.DUMMYFUNCTION("""COMPUTED_VALUE"""),"The OG")</f>
        <v>The OG</v>
      </c>
      <c r="E374" s="31">
        <f>IFERROR(__xludf.DUMMYFUNCTION("""COMPUTED_VALUE"""),57.27526905271139)</f>
        <v>57.27526905</v>
      </c>
      <c r="F374" s="31">
        <f>IFERROR(__xludf.DUMMYFUNCTION("""COMPUTED_VALUE"""),2.59388875876095)</f>
        <v>2.593888759</v>
      </c>
      <c r="G374" s="31">
        <f>IFERROR(__xludf.DUMMYFUNCTION("""COMPUTED_VALUE"""),56.67696623324323)</f>
        <v>56.67696623</v>
      </c>
      <c r="H374" s="31">
        <f>IFERROR(__xludf.DUMMYFUNCTION("""COMPUTED_VALUE"""),2.533542179143889)</f>
        <v>2.533542179</v>
      </c>
      <c r="I374" s="54">
        <f>IFERROR(__xludf.DUMMYFUNCTION("""COMPUTED_VALUE"""),10.0)</f>
        <v>10</v>
      </c>
      <c r="J374" s="55">
        <f>IFERROR(__xludf.DUMMYFUNCTION("""COMPUTED_VALUE"""),5.0)</f>
        <v>5</v>
      </c>
      <c r="K374" s="54">
        <f>IFERROR(__xludf.DUMMYFUNCTION("""COMPUTED_VALUE"""),5.0)</f>
        <v>5</v>
      </c>
      <c r="L374" s="56">
        <f>IFERROR(__xludf.DUMMYFUNCTION("""COMPUTED_VALUE"""),0.5)</f>
        <v>0.5</v>
      </c>
      <c r="M374" s="56">
        <f>IFERROR(__xludf.DUMMYFUNCTION("""COMPUTED_VALUE"""),0.24)</f>
        <v>0.24</v>
      </c>
      <c r="N374" s="31">
        <f>IFERROR(__xludf.DUMMYFUNCTION("""COMPUTED_VALUE"""),313.6)</f>
        <v>313.6</v>
      </c>
      <c r="O374" s="57">
        <f>IFERROR(__xludf.DUMMYFUNCTION("""COMPUTED_VALUE"""),0.6)</f>
        <v>0.6</v>
      </c>
      <c r="P374" s="57">
        <f>IFERROR(__xludf.DUMMYFUNCTION("""COMPUTED_VALUE"""),1.0)</f>
        <v>1</v>
      </c>
      <c r="Q374" s="57">
        <f>IFERROR(__xludf.DUMMYFUNCTION("""COMPUTED_VALUE"""),0.9)</f>
        <v>0.9</v>
      </c>
      <c r="R374" s="57">
        <f>IFERROR(__xludf.DUMMYFUNCTION("""COMPUTED_VALUE"""),2.5)</f>
        <v>2.5</v>
      </c>
      <c r="S374" s="31">
        <f>IFERROR(__xludf.DUMMYFUNCTION("""COMPUTED_VALUE"""),360.80000000000007)</f>
        <v>360.8</v>
      </c>
      <c r="T374" s="57">
        <f>IFERROR(__xludf.DUMMYFUNCTION("""COMPUTED_VALUE"""),0.8666666666666668)</f>
        <v>0.8666666667</v>
      </c>
      <c r="U374" s="57">
        <f>IFERROR(__xludf.DUMMYFUNCTION("""COMPUTED_VALUE"""),0.6666666666666666)</f>
        <v>0.6666666667</v>
      </c>
      <c r="V374" s="57">
        <f>IFERROR(__xludf.DUMMYFUNCTION("""COMPUTED_VALUE"""),1.3333333333333335)</f>
        <v>1.333333333</v>
      </c>
      <c r="W374" s="57">
        <f>IFERROR(__xludf.DUMMYFUNCTION("""COMPUTED_VALUE"""),2.4666666666666672)</f>
        <v>2.466666667</v>
      </c>
      <c r="X374" s="31">
        <f>IFERROR(__xludf.DUMMYFUNCTION("""COMPUTED_VALUE"""),392.253131713965)</f>
        <v>392.2531317</v>
      </c>
      <c r="Y374" s="57">
        <f>IFERROR(__xludf.DUMMYFUNCTION("""COMPUTED_VALUE"""),0.8953908128908129)</f>
        <v>0.8953908129</v>
      </c>
      <c r="Z374" s="57">
        <f>IFERROR(__xludf.DUMMYFUNCTION("""COMPUTED_VALUE"""),0.6555555555555554)</f>
        <v>0.6555555556</v>
      </c>
      <c r="AA374" s="57">
        <f>IFERROR(__xludf.DUMMYFUNCTION("""COMPUTED_VALUE"""),1.4465997274330606)</f>
        <v>1.446599727</v>
      </c>
      <c r="AB374" s="57">
        <f>IFERROR(__xludf.DUMMYFUNCTION("""COMPUTED_VALUE"""),2.8825104216770887)</f>
        <v>2.882510422</v>
      </c>
      <c r="AC374" s="31">
        <f>IFERROR(__xludf.DUMMYFUNCTION("""COMPUTED_VALUE"""),375.2991716102827)</f>
        <v>375.2991716</v>
      </c>
      <c r="AD374" s="57">
        <f>IFERROR(__xludf.DUMMYFUNCTION("""COMPUTED_VALUE"""),0.823008658008658)</f>
        <v>0.823008658</v>
      </c>
      <c r="AE374" s="57">
        <f>IFERROR(__xludf.DUMMYFUNCTION("""COMPUTED_VALUE"""),0.6120733792956015)</f>
        <v>0.6120733793</v>
      </c>
      <c r="AF374" s="57">
        <f>IFERROR(__xludf.DUMMYFUNCTION("""COMPUTED_VALUE"""),1.4817509753620866)</f>
        <v>1.481750975</v>
      </c>
      <c r="AG374" s="57">
        <f>IFERROR(__xludf.DUMMYFUNCTION("""COMPUTED_VALUE"""),2.657795548073326)</f>
        <v>2.657795548</v>
      </c>
      <c r="AH374" s="57">
        <f>IFERROR(__xludf.DUMMYFUNCTION("""COMPUTED_VALUE"""),0.8356000325139215)</f>
        <v>0.8356000325</v>
      </c>
      <c r="AI374" s="57">
        <f>IFERROR(__xludf.DUMMYFUNCTION("""COMPUTED_VALUE"""),0.7290324277411041)</f>
        <v>0.7290324277</v>
      </c>
      <c r="AJ374" s="57">
        <f>IFERROR(__xludf.DUMMYFUNCTION("""COMPUTED_VALUE"""),1.633791035236396)</f>
        <v>1.633791035</v>
      </c>
      <c r="AK374" s="57">
        <f>IFERROR(__xludf.DUMMYFUNCTION("""COMPUTED_VALUE"""),0.6073895107645011)</f>
        <v>0.6073895108</v>
      </c>
      <c r="AL374" s="57">
        <f>IFERROR(__xludf.DUMMYFUNCTION("""COMPUTED_VALUE"""),0.9406291623192332)</f>
        <v>0.9406291623</v>
      </c>
      <c r="AM374" s="57">
        <f>IFERROR(__xludf.DUMMYFUNCTION("""COMPUTED_VALUE"""),0.9198141986106542)</f>
        <v>0.9198141986</v>
      </c>
      <c r="AN374" s="57">
        <f>IFERROR(__xludf.DUMMYFUNCTION("""COMPUTED_VALUE"""),0.9679199900081521)</f>
        <v>0.96791999</v>
      </c>
      <c r="AO374" s="57">
        <f>IFERROR(__xludf.DUMMYFUNCTION("""COMPUTED_VALUE"""),1.016949152542373)</f>
        <v>1.016949153</v>
      </c>
      <c r="AP374" s="35">
        <f>IFERROR(__xludf.DUMMYFUNCTION("""COMPUTED_VALUE"""),0.9217016345629248)</f>
        <v>0.9217016346</v>
      </c>
      <c r="AQ374" s="57">
        <f>IFERROR(__xludf.DUMMYFUNCTION("""COMPUTED_VALUE"""),0.8557355588784039)</f>
        <v>0.8557355589</v>
      </c>
      <c r="AR374" s="36" t="b">
        <f>IFERROR(__xludf.DUMMYFUNCTION("""COMPUTED_VALUE"""),TRUE)</f>
        <v>1</v>
      </c>
      <c r="AS374" s="57"/>
      <c r="AT374" s="37"/>
      <c r="AU374" s="30"/>
      <c r="AV374" s="30"/>
      <c r="AW374" s="30"/>
      <c r="AX374" s="30"/>
      <c r="AY374" s="30"/>
      <c r="AZ374" s="30"/>
    </row>
    <row r="375">
      <c r="A375" s="30" t="str">
        <f>IFERROR(__xludf.DUMMYFUNCTION("""COMPUTED_VALUE"""),"Master")</f>
        <v>Master</v>
      </c>
      <c r="B375" s="30" t="str">
        <f>IFERROR(__xludf.DUMMYFUNCTION("""COMPUTED_VALUE"""),"RSC000330")</f>
        <v>RSC000330</v>
      </c>
      <c r="C375" s="30" t="str">
        <f>IFERROR(__xludf.DUMMYFUNCTION("""COMPUTED_VALUE"""),"Infinite")</f>
        <v>Infinite</v>
      </c>
      <c r="D375" s="31" t="str">
        <f>IFERROR(__xludf.DUMMYFUNCTION("""COMPUTED_VALUE"""),"Oblivion")</f>
        <v>Oblivion</v>
      </c>
      <c r="E375" s="31">
        <f>IFERROR(__xludf.DUMMYFUNCTION("""COMPUTED_VALUE"""),57.222434301823505)</f>
        <v>57.2224343</v>
      </c>
      <c r="F375" s="31">
        <f>IFERROR(__xludf.DUMMYFUNCTION("""COMPUTED_VALUE"""),2.588460927853456)</f>
        <v>2.588460928</v>
      </c>
      <c r="G375" s="31">
        <f>IFERROR(__xludf.DUMMYFUNCTION("""COMPUTED_VALUE"""),57.18745760076784)</f>
        <v>57.1874576</v>
      </c>
      <c r="H375" s="31">
        <f>IFERROR(__xludf.DUMMYFUNCTION("""COMPUTED_VALUE"""),2.58487835707132)</f>
        <v>2.584878357</v>
      </c>
      <c r="I375" s="54">
        <f>IFERROR(__xludf.DUMMYFUNCTION("""COMPUTED_VALUE"""),32.0)</f>
        <v>32</v>
      </c>
      <c r="J375" s="55">
        <f>IFERROR(__xludf.DUMMYFUNCTION("""COMPUTED_VALUE"""),22.0)</f>
        <v>22</v>
      </c>
      <c r="K375" s="54">
        <f>IFERROR(__xludf.DUMMYFUNCTION("""COMPUTED_VALUE"""),10.0)</f>
        <v>10</v>
      </c>
      <c r="L375" s="56">
        <f>IFERROR(__xludf.DUMMYFUNCTION("""COMPUTED_VALUE"""),0.6875)</f>
        <v>0.6875</v>
      </c>
      <c r="M375" s="56">
        <f>IFERROR(__xludf.DUMMYFUNCTION("""COMPUTED_VALUE"""),0.44285714285714284)</f>
        <v>0.4428571429</v>
      </c>
      <c r="N375" s="31">
        <f>IFERROR(__xludf.DUMMYFUNCTION("""COMPUTED_VALUE"""),385.625)</f>
        <v>385.625</v>
      </c>
      <c r="O375" s="57">
        <f>IFERROR(__xludf.DUMMYFUNCTION("""COMPUTED_VALUE"""),0.96875)</f>
        <v>0.96875</v>
      </c>
      <c r="P375" s="57">
        <f>IFERROR(__xludf.DUMMYFUNCTION("""COMPUTED_VALUE"""),0.6875)</f>
        <v>0.6875</v>
      </c>
      <c r="Q375" s="57">
        <f>IFERROR(__xludf.DUMMYFUNCTION("""COMPUTED_VALUE"""),1.5625)</f>
        <v>1.5625</v>
      </c>
      <c r="R375" s="57">
        <f>IFERROR(__xludf.DUMMYFUNCTION("""COMPUTED_VALUE"""),2.1875)</f>
        <v>2.1875</v>
      </c>
      <c r="S375" s="31">
        <f>IFERROR(__xludf.DUMMYFUNCTION("""COMPUTED_VALUE"""),334.3541666666667)</f>
        <v>334.3541667</v>
      </c>
      <c r="T375" s="57">
        <f>IFERROR(__xludf.DUMMYFUNCTION("""COMPUTED_VALUE"""),0.6770833333333334)</f>
        <v>0.6770833333</v>
      </c>
      <c r="U375" s="57">
        <f>IFERROR(__xludf.DUMMYFUNCTION("""COMPUTED_VALUE"""),0.44791666666666674)</f>
        <v>0.4479166667</v>
      </c>
      <c r="V375" s="57">
        <f>IFERROR(__xludf.DUMMYFUNCTION("""COMPUTED_VALUE"""),1.3541666666666665)</f>
        <v>1.354166667</v>
      </c>
      <c r="W375" s="57">
        <f>IFERROR(__xludf.DUMMYFUNCTION("""COMPUTED_VALUE"""),2.3645833333333344)</f>
        <v>2.364583333</v>
      </c>
      <c r="X375" s="31">
        <f>IFERROR(__xludf.DUMMYFUNCTION("""COMPUTED_VALUE"""),369.78010601909983)</f>
        <v>369.780106</v>
      </c>
      <c r="Y375" s="57">
        <f>IFERROR(__xludf.DUMMYFUNCTION("""COMPUTED_VALUE"""),0.7343280270426992)</f>
        <v>0.734328027</v>
      </c>
      <c r="Z375" s="57">
        <f>IFERROR(__xludf.DUMMYFUNCTION("""COMPUTED_VALUE"""),0.584048040004345)</f>
        <v>0.58404804</v>
      </c>
      <c r="AA375" s="57">
        <f>IFERROR(__xludf.DUMMYFUNCTION("""COMPUTED_VALUE"""),1.5582893506221132)</f>
        <v>1.558289351</v>
      </c>
      <c r="AB375" s="57">
        <f>IFERROR(__xludf.DUMMYFUNCTION("""COMPUTED_VALUE"""),2.743296171147549)</f>
        <v>2.743296171</v>
      </c>
      <c r="AC375" s="31">
        <f>IFERROR(__xludf.DUMMYFUNCTION("""COMPUTED_VALUE"""),404.5436219371452)</f>
        <v>404.5436219</v>
      </c>
      <c r="AD375" s="57">
        <f>IFERROR(__xludf.DUMMYFUNCTION("""COMPUTED_VALUE"""),0.9532488601477009)</f>
        <v>0.9532488601</v>
      </c>
      <c r="AE375" s="57">
        <f>IFERROR(__xludf.DUMMYFUNCTION("""COMPUTED_VALUE"""),0.7320940318709434)</f>
        <v>0.7320940319</v>
      </c>
      <c r="AF375" s="57">
        <f>IFERROR(__xludf.DUMMYFUNCTION("""COMPUTED_VALUE"""),1.5489573994266426)</f>
        <v>1.548957399</v>
      </c>
      <c r="AG375" s="57">
        <f>IFERROR(__xludf.DUMMYFUNCTION("""COMPUTED_VALUE"""),2.951740697899772)</f>
        <v>2.951740698</v>
      </c>
      <c r="AH375" s="57">
        <f>IFERROR(__xludf.DUMMYFUNCTION("""COMPUTED_VALUE"""),0.9532346552726405)</f>
        <v>0.9532346553</v>
      </c>
      <c r="AI375" s="57">
        <f>IFERROR(__xludf.DUMMYFUNCTION("""COMPUTED_VALUE"""),1.016261377800019)</f>
        <v>1.016261378</v>
      </c>
      <c r="AJ375" s="57">
        <f>IFERROR(__xludf.DUMMYFUNCTION("""COMPUTED_VALUE"""),0.939087016244377)</f>
        <v>0.9390870162</v>
      </c>
      <c r="AK375" s="57">
        <f>IFERROR(__xludf.DUMMYFUNCTION("""COMPUTED_VALUE"""),1.008743042628784)</f>
        <v>1.008743043</v>
      </c>
      <c r="AL375" s="57">
        <f>IFERROR(__xludf.DUMMYFUNCTION("""COMPUTED_VALUE"""),0.7410881320152729)</f>
        <v>0.741088132</v>
      </c>
      <c r="AM375" s="57">
        <f>IFERROR(__xludf.DUMMYFUNCTION("""COMPUTED_VALUE"""),0.9041972816390417)</f>
        <v>0.9041972816</v>
      </c>
      <c r="AN375" s="57">
        <f>IFERROR(__xludf.DUMMYFUNCTION("""COMPUTED_VALUE"""),0.9220447925160874)</f>
        <v>0.9220447925</v>
      </c>
      <c r="AO375" s="57">
        <f>IFERROR(__xludf.DUMMYFUNCTION("""COMPUTED_VALUE"""),0.7669175067573799)</f>
        <v>0.7669175068</v>
      </c>
      <c r="AP375" s="35">
        <f>IFERROR(__xludf.DUMMYFUNCTION("""COMPUTED_VALUE"""),0.8690084842882645)</f>
        <v>0.8690084843</v>
      </c>
      <c r="AQ375" s="57">
        <f>IFERROR(__xludf.DUMMYFUNCTION("""COMPUTED_VALUE"""),0.8619497078743069)</f>
        <v>0.8619497079</v>
      </c>
      <c r="AR375" s="36" t="b">
        <f>IFERROR(__xludf.DUMMYFUNCTION("""COMPUTED_VALUE"""),TRUE)</f>
        <v>1</v>
      </c>
      <c r="AS375" s="57"/>
      <c r="AT375" s="37"/>
      <c r="AU375" s="30"/>
      <c r="AV375" s="30"/>
      <c r="AW375" s="30"/>
      <c r="AX375" s="30"/>
      <c r="AY375" s="30"/>
      <c r="AZ375" s="30"/>
    </row>
    <row r="376">
      <c r="A376" s="30" t="str">
        <f>IFERROR(__xludf.DUMMYFUNCTION("""COMPUTED_VALUE"""),"Master")</f>
        <v>Master</v>
      </c>
      <c r="B376" s="30" t="str">
        <f>IFERROR(__xludf.DUMMYFUNCTION("""COMPUTED_VALUE"""),"RSC002944")</f>
        <v>RSC002944</v>
      </c>
      <c r="C376" s="30" t="str">
        <f>IFERROR(__xludf.DUMMYFUNCTION("""COMPUTED_VALUE"""),"PayloSoul")</f>
        <v>PayloSoul</v>
      </c>
      <c r="D376" s="31"/>
      <c r="E376" s="31">
        <f>IFERROR(__xludf.DUMMYFUNCTION("""COMPUTED_VALUE"""),57.05174191071372)</f>
        <v>57.05174191</v>
      </c>
      <c r="F376" s="31">
        <f>IFERROR(__xludf.DUMMYFUNCTION("""COMPUTED_VALUE"""),2.5710573261596754)</f>
        <v>2.571057326</v>
      </c>
      <c r="G376" s="31">
        <f>IFERROR(__xludf.DUMMYFUNCTION("""COMPUTED_VALUE"""),51.40628667492193)</f>
        <v>51.40628667</v>
      </c>
      <c r="H376" s="31">
        <f>IFERROR(__xludf.DUMMYFUNCTION("""COMPUTED_VALUE"""),2.093930626148263)</f>
        <v>2.093930626</v>
      </c>
      <c r="I376" s="54">
        <f>IFERROR(__xludf.DUMMYFUNCTION("""COMPUTED_VALUE"""),23.0)</f>
        <v>23</v>
      </c>
      <c r="J376" s="55">
        <f>IFERROR(__xludf.DUMMYFUNCTION("""COMPUTED_VALUE"""),7.0)</f>
        <v>7</v>
      </c>
      <c r="K376" s="54">
        <f>IFERROR(__xludf.DUMMYFUNCTION("""COMPUTED_VALUE"""),16.0)</f>
        <v>16</v>
      </c>
      <c r="L376" s="56">
        <f>IFERROR(__xludf.DUMMYFUNCTION("""COMPUTED_VALUE"""),0.30434782608695654)</f>
        <v>0.3043478261</v>
      </c>
      <c r="M376" s="56">
        <f>IFERROR(__xludf.DUMMYFUNCTION("""COMPUTED_VALUE"""),0.3181818181818182)</f>
        <v>0.3181818182</v>
      </c>
      <c r="N376" s="31">
        <f>IFERROR(__xludf.DUMMYFUNCTION("""COMPUTED_VALUE"""),401.4782608695652)</f>
        <v>401.4782609</v>
      </c>
      <c r="O376" s="57">
        <f>IFERROR(__xludf.DUMMYFUNCTION("""COMPUTED_VALUE"""),0.9130434782608695)</f>
        <v>0.9130434783</v>
      </c>
      <c r="P376" s="57">
        <f>IFERROR(__xludf.DUMMYFUNCTION("""COMPUTED_VALUE"""),0.6086956521739131)</f>
        <v>0.6086956522</v>
      </c>
      <c r="Q376" s="57">
        <f>IFERROR(__xludf.DUMMYFUNCTION("""COMPUTED_VALUE"""),1.6521739130434783)</f>
        <v>1.652173913</v>
      </c>
      <c r="R376" s="57">
        <f>IFERROR(__xludf.DUMMYFUNCTION("""COMPUTED_VALUE"""),2.869565217391304)</f>
        <v>2.869565217</v>
      </c>
      <c r="S376" s="31">
        <f>IFERROR(__xludf.DUMMYFUNCTION("""COMPUTED_VALUE"""),413.63768115942037)</f>
        <v>413.6376812</v>
      </c>
      <c r="T376" s="57">
        <f>IFERROR(__xludf.DUMMYFUNCTION("""COMPUTED_VALUE"""),1.0144927536231882)</f>
        <v>1.014492754</v>
      </c>
      <c r="U376" s="57">
        <f>IFERROR(__xludf.DUMMYFUNCTION("""COMPUTED_VALUE"""),0.7971014492753624)</f>
        <v>0.7971014493</v>
      </c>
      <c r="V376" s="57">
        <f>IFERROR(__xludf.DUMMYFUNCTION("""COMPUTED_VALUE"""),1.5072463768115938)</f>
        <v>1.507246377</v>
      </c>
      <c r="W376" s="57">
        <f>IFERROR(__xludf.DUMMYFUNCTION("""COMPUTED_VALUE"""),3.0579710144927534)</f>
        <v>3.057971014</v>
      </c>
      <c r="X376" s="31">
        <f>IFERROR(__xludf.DUMMYFUNCTION("""COMPUTED_VALUE"""),392.083273667769)</f>
        <v>392.0832737</v>
      </c>
      <c r="Y376" s="57">
        <f>IFERROR(__xludf.DUMMYFUNCTION("""COMPUTED_VALUE"""),0.9128582719037489)</f>
        <v>0.9128582719</v>
      </c>
      <c r="Z376" s="57">
        <f>IFERROR(__xludf.DUMMYFUNCTION("""COMPUTED_VALUE"""),0.6490934218945215)</f>
        <v>0.6490934219</v>
      </c>
      <c r="AA376" s="57">
        <f>IFERROR(__xludf.DUMMYFUNCTION("""COMPUTED_VALUE"""),1.4607717259141548)</f>
        <v>1.460771726</v>
      </c>
      <c r="AB376" s="57">
        <f>IFERROR(__xludf.DUMMYFUNCTION("""COMPUTED_VALUE"""),2.951074692978741)</f>
        <v>2.951074693</v>
      </c>
      <c r="AC376" s="31">
        <f>IFERROR(__xludf.DUMMYFUNCTION("""COMPUTED_VALUE"""),379.4458266075457)</f>
        <v>379.4458266</v>
      </c>
      <c r="AD376" s="57">
        <f>IFERROR(__xludf.DUMMYFUNCTION("""COMPUTED_VALUE"""),0.8282060447311157)</f>
        <v>0.8282060447</v>
      </c>
      <c r="AE376" s="57">
        <f>IFERROR(__xludf.DUMMYFUNCTION("""COMPUTED_VALUE"""),0.6323678735181317)</f>
        <v>0.6323678735</v>
      </c>
      <c r="AF376" s="57">
        <f>IFERROR(__xludf.DUMMYFUNCTION("""COMPUTED_VALUE"""),1.5221056200233274)</f>
        <v>1.52210562</v>
      </c>
      <c r="AG376" s="57">
        <f>IFERROR(__xludf.DUMMYFUNCTION("""COMPUTED_VALUE"""),2.6985644463322287)</f>
        <v>2.698564446</v>
      </c>
      <c r="AH376" s="57">
        <f>IFERROR(__xludf.DUMMYFUNCTION("""COMPUTED_VALUE"""),1.0580647689790175)</f>
        <v>1.058064769</v>
      </c>
      <c r="AI376" s="57">
        <f>IFERROR(__xludf.DUMMYFUNCTION("""COMPUTED_VALUE"""),1.102435177899839)</f>
        <v>1.102435178</v>
      </c>
      <c r="AJ376" s="57">
        <f>IFERROR(__xludf.DUMMYFUNCTION("""COMPUTED_VALUE"""),0.962565743239738)</f>
        <v>0.9625657432</v>
      </c>
      <c r="AK376" s="57">
        <f>IFERROR(__xludf.DUMMYFUNCTION("""COMPUTED_VALUE"""),1.0854528695703505)</f>
        <v>1.08545287</v>
      </c>
      <c r="AL376" s="57">
        <f>IFERROR(__xludf.DUMMYFUNCTION("""COMPUTED_VALUE"""),1.063367310457044)</f>
        <v>1.06336731</v>
      </c>
      <c r="AM376" s="57">
        <f>IFERROR(__xludf.DUMMYFUNCTION("""COMPUTED_VALUE"""),1.0549740551031908)</f>
        <v>1.054974055</v>
      </c>
      <c r="AN376" s="57">
        <f>IFERROR(__xludf.DUMMYFUNCTION("""COMPUTED_VALUE"""),1.111336540235849)</f>
        <v>1.11133654</v>
      </c>
      <c r="AO376" s="57">
        <f>IFERROR(__xludf.DUMMYFUNCTION("""COMPUTED_VALUE"""),1.2280226888586347)</f>
        <v>1.228022689</v>
      </c>
      <c r="AP376" s="35">
        <f>IFERROR(__xludf.DUMMYFUNCTION("""COMPUTED_VALUE"""),1.0318151358442778)</f>
        <v>1.031815136</v>
      </c>
      <c r="AQ376" s="57">
        <f>IFERROR(__xludf.DUMMYFUNCTION("""COMPUTED_VALUE"""),1.0362228451107465)</f>
        <v>1.036222845</v>
      </c>
      <c r="AR376" s="36" t="b">
        <f>IFERROR(__xludf.DUMMYFUNCTION("""COMPUTED_VALUE"""),TRUE)</f>
        <v>1</v>
      </c>
      <c r="AS376" s="57"/>
      <c r="AT376" s="37"/>
      <c r="AU376" s="30"/>
      <c r="AV376" s="30"/>
      <c r="AW376" s="30"/>
      <c r="AX376" s="30"/>
      <c r="AY376" s="30"/>
      <c r="AZ376" s="30"/>
    </row>
    <row r="377">
      <c r="A377" s="30" t="str">
        <f>IFERROR(__xludf.DUMMYFUNCTION("""COMPUTED_VALUE"""),"Master")</f>
        <v>Master</v>
      </c>
      <c r="B377" s="30" t="str">
        <f>IFERROR(__xludf.DUMMYFUNCTION("""COMPUTED_VALUE"""),"RSC005499")</f>
        <v>RSC005499</v>
      </c>
      <c r="C377" s="30" t="str">
        <f>IFERROR(__xludf.DUMMYFUNCTION("""COMPUTED_VALUE"""),"R0cket")</f>
        <v>R0cket</v>
      </c>
      <c r="D377" s="31" t="str">
        <f>IFERROR(__xludf.DUMMYFUNCTION("""COMPUTED_VALUE"""),"Tempests")</f>
        <v>Tempests</v>
      </c>
      <c r="E377" s="31">
        <f>IFERROR(__xludf.DUMMYFUNCTION("""COMPUTED_VALUE"""),56.93512237784636)</f>
        <v>56.93512238</v>
      </c>
      <c r="F377" s="31">
        <f>IFERROR(__xludf.DUMMYFUNCTION("""COMPUTED_VALUE"""),2.5592818505668076)</f>
        <v>2.559281851</v>
      </c>
      <c r="G377" s="31">
        <f>IFERROR(__xludf.DUMMYFUNCTION("""COMPUTED_VALUE"""),48.98903947314865)</f>
        <v>48.98903947</v>
      </c>
      <c r="H377" s="31">
        <f>IFERROR(__xludf.DUMMYFUNCTION("""COMPUTED_VALUE"""),-2.066663112647123)</f>
        <v>-2.066663113</v>
      </c>
      <c r="I377" s="54">
        <f>IFERROR(__xludf.DUMMYFUNCTION("""COMPUTED_VALUE"""),29.0)</f>
        <v>29</v>
      </c>
      <c r="J377" s="55">
        <f>IFERROR(__xludf.DUMMYFUNCTION("""COMPUTED_VALUE"""),17.0)</f>
        <v>17</v>
      </c>
      <c r="K377" s="54">
        <f>IFERROR(__xludf.DUMMYFUNCTION("""COMPUTED_VALUE"""),12.0)</f>
        <v>12</v>
      </c>
      <c r="L377" s="56">
        <f>IFERROR(__xludf.DUMMYFUNCTION("""COMPUTED_VALUE"""),0.5862068965517241)</f>
        <v>0.5862068966</v>
      </c>
      <c r="M377" s="56">
        <f>IFERROR(__xludf.DUMMYFUNCTION("""COMPUTED_VALUE"""),0.3188405797101449)</f>
        <v>0.3188405797</v>
      </c>
      <c r="N377" s="31">
        <f>IFERROR(__xludf.DUMMYFUNCTION("""COMPUTED_VALUE"""),359.17241379310343)</f>
        <v>359.1724138</v>
      </c>
      <c r="O377" s="57">
        <f>IFERROR(__xludf.DUMMYFUNCTION("""COMPUTED_VALUE"""),0.7586206896551724)</f>
        <v>0.7586206897</v>
      </c>
      <c r="P377" s="57">
        <f>IFERROR(__xludf.DUMMYFUNCTION("""COMPUTED_VALUE"""),0.7931034482758621)</f>
        <v>0.7931034483</v>
      </c>
      <c r="Q377" s="57">
        <f>IFERROR(__xludf.DUMMYFUNCTION("""COMPUTED_VALUE"""),1.5172413793103448)</f>
        <v>1.517241379</v>
      </c>
      <c r="R377" s="57">
        <f>IFERROR(__xludf.DUMMYFUNCTION("""COMPUTED_VALUE"""),2.3793103448275863)</f>
        <v>2.379310345</v>
      </c>
      <c r="S377" s="31">
        <f>IFERROR(__xludf.DUMMYFUNCTION("""COMPUTED_VALUE"""),348.06896551724134)</f>
        <v>348.0689655</v>
      </c>
      <c r="T377" s="57">
        <f>IFERROR(__xludf.DUMMYFUNCTION("""COMPUTED_VALUE"""),0.8275862068965517)</f>
        <v>0.8275862069</v>
      </c>
      <c r="U377" s="57">
        <f>IFERROR(__xludf.DUMMYFUNCTION("""COMPUTED_VALUE"""),0.5862068965517241)</f>
        <v>0.5862068966</v>
      </c>
      <c r="V377" s="57">
        <f>IFERROR(__xludf.DUMMYFUNCTION("""COMPUTED_VALUE"""),1.2988505747126435)</f>
        <v>1.298850575</v>
      </c>
      <c r="W377" s="57">
        <f>IFERROR(__xludf.DUMMYFUNCTION("""COMPUTED_VALUE"""),2.735632183908046)</f>
        <v>2.735632184</v>
      </c>
      <c r="X377" s="31">
        <f>IFERROR(__xludf.DUMMYFUNCTION("""COMPUTED_VALUE"""),383.15071500529183)</f>
        <v>383.150715</v>
      </c>
      <c r="Y377" s="57">
        <f>IFERROR(__xludf.DUMMYFUNCTION("""COMPUTED_VALUE"""),0.8491369430383442)</f>
        <v>0.849136943</v>
      </c>
      <c r="Z377" s="57">
        <f>IFERROR(__xludf.DUMMYFUNCTION("""COMPUTED_VALUE"""),0.666376025341776)</f>
        <v>0.6663760253</v>
      </c>
      <c r="AA377" s="57">
        <f>IFERROR(__xludf.DUMMYFUNCTION("""COMPUTED_VALUE"""),1.519184844814348)</f>
        <v>1.519184845</v>
      </c>
      <c r="AB377" s="57">
        <f>IFERROR(__xludf.DUMMYFUNCTION("""COMPUTED_VALUE"""),2.7910286404043827)</f>
        <v>2.79102864</v>
      </c>
      <c r="AC377" s="31">
        <f>IFERROR(__xludf.DUMMYFUNCTION("""COMPUTED_VALUE"""),373.2478849408182)</f>
        <v>373.2478849</v>
      </c>
      <c r="AD377" s="57">
        <f>IFERROR(__xludf.DUMMYFUNCTION("""COMPUTED_VALUE"""),0.8208610987630287)</f>
        <v>0.8208610988</v>
      </c>
      <c r="AE377" s="57">
        <f>IFERROR(__xludf.DUMMYFUNCTION("""COMPUTED_VALUE"""),0.6179844905315671)</f>
        <v>0.6179844905</v>
      </c>
      <c r="AF377" s="57">
        <f>IFERROR(__xludf.DUMMYFUNCTION("""COMPUTED_VALUE"""),1.4545208635159521)</f>
        <v>1.454520864</v>
      </c>
      <c r="AG377" s="57">
        <f>IFERROR(__xludf.DUMMYFUNCTION("""COMPUTED_VALUE"""),2.7574264836204003)</f>
        <v>2.757426484</v>
      </c>
      <c r="AH377" s="57">
        <f>IFERROR(__xludf.DUMMYFUNCTION("""COMPUTED_VALUE"""),0.9622892139095535)</f>
        <v>0.9622892139</v>
      </c>
      <c r="AI377" s="57">
        <f>IFERROR(__xludf.DUMMYFUNCTION("""COMPUTED_VALUE"""),0.9241766856759961)</f>
        <v>0.9241766857</v>
      </c>
      <c r="AJ377" s="57">
        <f>IFERROR(__xludf.DUMMYFUNCTION("""COMPUTED_VALUE"""),1.283371120841017)</f>
        <v>1.283371121</v>
      </c>
      <c r="AK377" s="57">
        <f>IFERROR(__xludf.DUMMYFUNCTION("""COMPUTED_VALUE"""),1.0431210836280347)</f>
        <v>1.043121084</v>
      </c>
      <c r="AL377" s="57">
        <f>IFERROR(__xludf.DUMMYFUNCTION("""COMPUTED_VALUE"""),0.8628735376849064)</f>
        <v>0.8628735377</v>
      </c>
      <c r="AM377" s="57">
        <f>IFERROR(__xludf.DUMMYFUNCTION("""COMPUTED_VALUE"""),0.9084387732708108)</f>
        <v>0.9084387733</v>
      </c>
      <c r="AN377" s="57">
        <f>IFERROR(__xludf.DUMMYFUNCTION("""COMPUTED_VALUE"""),0.9746204233386895)</f>
        <v>0.9746204233</v>
      </c>
      <c r="AO377" s="57">
        <f>IFERROR(__xludf.DUMMYFUNCTION("""COMPUTED_VALUE"""),0.8796938579101279)</f>
        <v>0.8796938579</v>
      </c>
      <c r="AP377" s="35">
        <f>IFERROR(__xludf.DUMMYFUNCTION("""COMPUTED_VALUE"""),0.8549654633181716)</f>
        <v>0.8549654633</v>
      </c>
      <c r="AQ377" s="57">
        <f>IFERROR(__xludf.DUMMYFUNCTION("""COMPUTED_VALUE"""),0.9801519569901975)</f>
        <v>0.980151957</v>
      </c>
      <c r="AR377" s="36" t="b">
        <f>IFERROR(__xludf.DUMMYFUNCTION("""COMPUTED_VALUE"""),TRUE)</f>
        <v>1</v>
      </c>
      <c r="AS377" s="57"/>
      <c r="AT377" s="37"/>
      <c r="AU377" s="30"/>
      <c r="AV377" s="30"/>
      <c r="AW377" s="30"/>
      <c r="AX377" s="30"/>
      <c r="AY377" s="30"/>
      <c r="AZ377" s="30"/>
    </row>
    <row r="378">
      <c r="A378" s="30" t="str">
        <f>IFERROR(__xludf.DUMMYFUNCTION("""COMPUTED_VALUE"""),"Master")</f>
        <v>Master</v>
      </c>
      <c r="B378" s="30" t="str">
        <f>IFERROR(__xludf.DUMMYFUNCTION("""COMPUTED_VALUE"""),"RSC006534")</f>
        <v>RSC006534</v>
      </c>
      <c r="C378" s="30" t="str">
        <f>IFERROR(__xludf.DUMMYFUNCTION("""COMPUTED_VALUE"""),"FIN0oo")</f>
        <v>FIN0oo</v>
      </c>
      <c r="D378" s="31" t="str">
        <f>IFERROR(__xludf.DUMMYFUNCTION("""COMPUTED_VALUE"""),"Helicoprions")</f>
        <v>Helicoprions</v>
      </c>
      <c r="E378" s="31">
        <f>IFERROR(__xludf.DUMMYFUNCTION("""COMPUTED_VALUE"""),56.485072020312174)</f>
        <v>56.48507202</v>
      </c>
      <c r="F378" s="31">
        <f>IFERROR(__xludf.DUMMYFUNCTION("""COMPUTED_VALUE"""),2.514697124696698)</f>
        <v>2.514697125</v>
      </c>
      <c r="G378" s="31">
        <f>IFERROR(__xludf.DUMMYFUNCTION("""COMPUTED_VALUE"""),73.87718463273588)</f>
        <v>73.87718463</v>
      </c>
      <c r="H378" s="31">
        <f>IFERROR(__xludf.DUMMYFUNCTION("""COMPUTED_VALUE"""),5.89043483071904)</f>
        <v>5.890434831</v>
      </c>
      <c r="I378" s="54">
        <f>IFERROR(__xludf.DUMMYFUNCTION("""COMPUTED_VALUE"""),32.0)</f>
        <v>32</v>
      </c>
      <c r="J378" s="55">
        <f>IFERROR(__xludf.DUMMYFUNCTION("""COMPUTED_VALUE"""),21.0)</f>
        <v>21</v>
      </c>
      <c r="K378" s="54">
        <f>IFERROR(__xludf.DUMMYFUNCTION("""COMPUTED_VALUE"""),11.0)</f>
        <v>11</v>
      </c>
      <c r="L378" s="56">
        <f>IFERROR(__xludf.DUMMYFUNCTION("""COMPUTED_VALUE"""),0.65625)</f>
        <v>0.65625</v>
      </c>
      <c r="M378" s="56">
        <f>IFERROR(__xludf.DUMMYFUNCTION("""COMPUTED_VALUE"""),0.2631578947368421)</f>
        <v>0.2631578947</v>
      </c>
      <c r="N378" s="31">
        <f>IFERROR(__xludf.DUMMYFUNCTION("""COMPUTED_VALUE"""),426.0)</f>
        <v>426</v>
      </c>
      <c r="O378" s="57">
        <f>IFERROR(__xludf.DUMMYFUNCTION("""COMPUTED_VALUE"""),0.78125)</f>
        <v>0.78125</v>
      </c>
      <c r="P378" s="57">
        <f>IFERROR(__xludf.DUMMYFUNCTION("""COMPUTED_VALUE"""),0.625)</f>
        <v>0.625</v>
      </c>
      <c r="Q378" s="57">
        <f>IFERROR(__xludf.DUMMYFUNCTION("""COMPUTED_VALUE"""),1.90625)</f>
        <v>1.90625</v>
      </c>
      <c r="R378" s="57">
        <f>IFERROR(__xludf.DUMMYFUNCTION("""COMPUTED_VALUE"""),2.96875)</f>
        <v>2.96875</v>
      </c>
      <c r="S378" s="31">
        <f>IFERROR(__xludf.DUMMYFUNCTION("""COMPUTED_VALUE"""),368.2395833333333)</f>
        <v>368.2395833</v>
      </c>
      <c r="T378" s="57">
        <f>IFERROR(__xludf.DUMMYFUNCTION("""COMPUTED_VALUE"""),0.7187499999999998)</f>
        <v>0.71875</v>
      </c>
      <c r="U378" s="57">
        <f>IFERROR(__xludf.DUMMYFUNCTION("""COMPUTED_VALUE"""),0.5416666666666667)</f>
        <v>0.5416666667</v>
      </c>
      <c r="V378" s="57">
        <f>IFERROR(__xludf.DUMMYFUNCTION("""COMPUTED_VALUE"""),1.5416666666666665)</f>
        <v>1.541666667</v>
      </c>
      <c r="W378" s="57">
        <f>IFERROR(__xludf.DUMMYFUNCTION("""COMPUTED_VALUE"""),2.447916666666667)</f>
        <v>2.447916667</v>
      </c>
      <c r="X378" s="31">
        <f>IFERROR(__xludf.DUMMYFUNCTION("""COMPUTED_VALUE"""),372.9120666588974)</f>
        <v>372.9120667</v>
      </c>
      <c r="Y378" s="57">
        <f>IFERROR(__xludf.DUMMYFUNCTION("""COMPUTED_VALUE"""),0.7940193217639396)</f>
        <v>0.7940193218</v>
      </c>
      <c r="Z378" s="57">
        <f>IFERROR(__xludf.DUMMYFUNCTION("""COMPUTED_VALUE"""),0.6087204680422776)</f>
        <v>0.608720468</v>
      </c>
      <c r="AA378" s="57">
        <f>IFERROR(__xludf.DUMMYFUNCTION("""COMPUTED_VALUE"""),1.5184351863803385)</f>
        <v>1.518435186</v>
      </c>
      <c r="AB378" s="57">
        <f>IFERROR(__xludf.DUMMYFUNCTION("""COMPUTED_VALUE"""),2.753524714956568)</f>
        <v>2.753524715</v>
      </c>
      <c r="AC378" s="31">
        <f>IFERROR(__xludf.DUMMYFUNCTION("""COMPUTED_VALUE"""),396.31744873508313)</f>
        <v>396.3174487</v>
      </c>
      <c r="AD378" s="57">
        <f>IFERROR(__xludf.DUMMYFUNCTION("""COMPUTED_VALUE"""),0.9137183701863715)</f>
        <v>0.9137183702</v>
      </c>
      <c r="AE378" s="57">
        <f>IFERROR(__xludf.DUMMYFUNCTION("""COMPUTED_VALUE"""),0.7083441921310519)</f>
        <v>0.7083441921</v>
      </c>
      <c r="AF378" s="57">
        <f>IFERROR(__xludf.DUMMYFUNCTION("""COMPUTED_VALUE"""),1.5269410453632908)</f>
        <v>1.526941045</v>
      </c>
      <c r="AG378" s="57">
        <f>IFERROR(__xludf.DUMMYFUNCTION("""COMPUTED_VALUE"""),2.888052888728846)</f>
        <v>2.888052889</v>
      </c>
      <c r="AH378" s="57">
        <f>IFERROR(__xludf.DUMMYFUNCTION("""COMPUTED_VALUE"""),1.074895898123219)</f>
        <v>1.074895898</v>
      </c>
      <c r="AI378" s="57">
        <f>IFERROR(__xludf.DUMMYFUNCTION("""COMPUTED_VALUE"""),0.8550227570018628)</f>
        <v>0.855022757</v>
      </c>
      <c r="AJ378" s="57">
        <f>IFERROR(__xludf.DUMMYFUNCTION("""COMPUTED_VALUE"""),0.8823394148538)</f>
        <v>0.8823394149</v>
      </c>
      <c r="AK378" s="57">
        <f>IFERROR(__xludf.DUMMYFUNCTION("""COMPUTED_VALUE"""),1.2484110017138637)</f>
        <v>1.248411002</v>
      </c>
      <c r="AL378" s="57">
        <f>IFERROR(__xludf.DUMMYFUNCTION("""COMPUTED_VALUE"""),1.0279417013400582)</f>
        <v>1.027941701</v>
      </c>
      <c r="AM378" s="57">
        <f>IFERROR(__xludf.DUMMYFUNCTION("""COMPUTED_VALUE"""),0.9874702812182315)</f>
        <v>0.9874702812</v>
      </c>
      <c r="AN378" s="57">
        <f>IFERROR(__xludf.DUMMYFUNCTION("""COMPUTED_VALUE"""),0.9052046723539087)</f>
        <v>0.9052046724</v>
      </c>
      <c r="AO378" s="57">
        <f>IFERROR(__xludf.DUMMYFUNCTION("""COMPUTED_VALUE"""),0.8898446743687387)</f>
        <v>0.8898446744</v>
      </c>
      <c r="AP378" s="35">
        <f>IFERROR(__xludf.DUMMYFUNCTION("""COMPUTED_VALUE"""),1.0152996193019654)</f>
        <v>1.015299619</v>
      </c>
      <c r="AQ378" s="57">
        <f>IFERROR(__xludf.DUMMYFUNCTION("""COMPUTED_VALUE"""),0.8890120554829589)</f>
        <v>0.8890120555</v>
      </c>
      <c r="AR378" s="36" t="b">
        <f>IFERROR(__xludf.DUMMYFUNCTION("""COMPUTED_VALUE"""),TRUE)</f>
        <v>1</v>
      </c>
      <c r="AS378" s="57"/>
      <c r="AT378" s="37"/>
      <c r="AU378" s="30"/>
      <c r="AV378" s="30"/>
      <c r="AW378" s="30"/>
      <c r="AX378" s="30"/>
      <c r="AY378" s="30"/>
      <c r="AZ378" s="30"/>
    </row>
    <row r="379">
      <c r="A379" s="30" t="str">
        <f>IFERROR(__xludf.DUMMYFUNCTION("""COMPUTED_VALUE"""),"Master")</f>
        <v>Master</v>
      </c>
      <c r="B379" s="30" t="str">
        <f>IFERROR(__xludf.DUMMYFUNCTION("""COMPUTED_VALUE"""),"RSC007106")</f>
        <v>RSC007106</v>
      </c>
      <c r="C379" s="30" t="str">
        <f>IFERROR(__xludf.DUMMYFUNCTION("""COMPUTED_VALUE"""),"Sim")</f>
        <v>Sim</v>
      </c>
      <c r="D379" s="31" t="str">
        <f>IFERROR(__xludf.DUMMYFUNCTION("""COMPUTED_VALUE"""),"Tempests")</f>
        <v>Tempests</v>
      </c>
      <c r="E379" s="31">
        <f>IFERROR(__xludf.DUMMYFUNCTION("""COMPUTED_VALUE"""),56.44466313714594)</f>
        <v>56.44466314</v>
      </c>
      <c r="F379" s="31">
        <f>IFERROR(__xludf.DUMMYFUNCTION("""COMPUTED_VALUE"""),2.510759658967879)</f>
        <v>2.510759659</v>
      </c>
      <c r="G379" s="31">
        <f>IFERROR(__xludf.DUMMYFUNCTION("""COMPUTED_VALUE"""),59.169592621368636)</f>
        <v>59.16959262</v>
      </c>
      <c r="H379" s="31">
        <f>IFERROR(__xludf.DUMMYFUNCTION("""COMPUTED_VALUE"""),2.8019823777740487)</f>
        <v>2.801982378</v>
      </c>
      <c r="I379" s="54">
        <f>IFERROR(__xludf.DUMMYFUNCTION("""COMPUTED_VALUE"""),36.0)</f>
        <v>36</v>
      </c>
      <c r="J379" s="55">
        <f>IFERROR(__xludf.DUMMYFUNCTION("""COMPUTED_VALUE"""),19.0)</f>
        <v>19</v>
      </c>
      <c r="K379" s="54">
        <f>IFERROR(__xludf.DUMMYFUNCTION("""COMPUTED_VALUE"""),17.0)</f>
        <v>17</v>
      </c>
      <c r="L379" s="56">
        <f>IFERROR(__xludf.DUMMYFUNCTION("""COMPUTED_VALUE"""),0.5277777777777778)</f>
        <v>0.5277777778</v>
      </c>
      <c r="M379" s="56">
        <f>IFERROR(__xludf.DUMMYFUNCTION("""COMPUTED_VALUE"""),0.31683168316831684)</f>
        <v>0.3168316832</v>
      </c>
      <c r="N379" s="31">
        <f>IFERROR(__xludf.DUMMYFUNCTION("""COMPUTED_VALUE"""),393.3888888888889)</f>
        <v>393.3888889</v>
      </c>
      <c r="O379" s="57">
        <f>IFERROR(__xludf.DUMMYFUNCTION("""COMPUTED_VALUE"""),0.8888888888888888)</f>
        <v>0.8888888889</v>
      </c>
      <c r="P379" s="57">
        <f>IFERROR(__xludf.DUMMYFUNCTION("""COMPUTED_VALUE"""),0.5555555555555556)</f>
        <v>0.5555555556</v>
      </c>
      <c r="Q379" s="57">
        <f>IFERROR(__xludf.DUMMYFUNCTION("""COMPUTED_VALUE"""),1.5833333333333333)</f>
        <v>1.583333333</v>
      </c>
      <c r="R379" s="57">
        <f>IFERROR(__xludf.DUMMYFUNCTION("""COMPUTED_VALUE"""),2.8055555555555554)</f>
        <v>2.805555556</v>
      </c>
      <c r="S379" s="31">
        <f>IFERROR(__xludf.DUMMYFUNCTION("""COMPUTED_VALUE"""),354.4351851851852)</f>
        <v>354.4351852</v>
      </c>
      <c r="T379" s="57">
        <f>IFERROR(__xludf.DUMMYFUNCTION("""COMPUTED_VALUE"""),0.8518518518518516)</f>
        <v>0.8518518519</v>
      </c>
      <c r="U379" s="57">
        <f>IFERROR(__xludf.DUMMYFUNCTION("""COMPUTED_VALUE"""),0.5925925925925924)</f>
        <v>0.5925925926</v>
      </c>
      <c r="V379" s="57">
        <f>IFERROR(__xludf.DUMMYFUNCTION("""COMPUTED_VALUE"""),1.287037037037037)</f>
        <v>1.287037037</v>
      </c>
      <c r="W379" s="57">
        <f>IFERROR(__xludf.DUMMYFUNCTION("""COMPUTED_VALUE"""),2.6388888888888884)</f>
        <v>2.638888889</v>
      </c>
      <c r="X379" s="31">
        <f>IFERROR(__xludf.DUMMYFUNCTION("""COMPUTED_VALUE"""),379.8152630550104)</f>
        <v>379.8152631</v>
      </c>
      <c r="Y379" s="57">
        <f>IFERROR(__xludf.DUMMYFUNCTION("""COMPUTED_VALUE"""),0.8424560918186246)</f>
        <v>0.8424560918</v>
      </c>
      <c r="Z379" s="57">
        <f>IFERROR(__xludf.DUMMYFUNCTION("""COMPUTED_VALUE"""),0.6719799938475118)</f>
        <v>0.6719799938</v>
      </c>
      <c r="AA379" s="57">
        <f>IFERROR(__xludf.DUMMYFUNCTION("""COMPUTED_VALUE"""),1.4805350012642815)</f>
        <v>1.480535001</v>
      </c>
      <c r="AB379" s="57">
        <f>IFERROR(__xludf.DUMMYFUNCTION("""COMPUTED_VALUE"""),2.76395318754764)</f>
        <v>2.763953188</v>
      </c>
      <c r="AC379" s="31">
        <f>IFERROR(__xludf.DUMMYFUNCTION("""COMPUTED_VALUE"""),377.95277758707437)</f>
        <v>377.9527776</v>
      </c>
      <c r="AD379" s="57">
        <f>IFERROR(__xludf.DUMMYFUNCTION("""COMPUTED_VALUE"""),0.8442513976578581)</f>
        <v>0.8442513977</v>
      </c>
      <c r="AE379" s="57">
        <f>IFERROR(__xludf.DUMMYFUNCTION("""COMPUTED_VALUE"""),0.6376029476434268)</f>
        <v>0.6376029476</v>
      </c>
      <c r="AF379" s="57">
        <f>IFERROR(__xludf.DUMMYFUNCTION("""COMPUTED_VALUE"""),1.4567490985293792)</f>
        <v>1.456749099</v>
      </c>
      <c r="AG379" s="57">
        <f>IFERROR(__xludf.DUMMYFUNCTION("""COMPUTED_VALUE"""),2.764659652873395)</f>
        <v>2.764659653</v>
      </c>
      <c r="AH379" s="57">
        <f>IFERROR(__xludf.DUMMYFUNCTION("""COMPUTED_VALUE"""),1.040841375476486)</f>
        <v>1.040841375</v>
      </c>
      <c r="AI379" s="57">
        <f>IFERROR(__xludf.DUMMYFUNCTION("""COMPUTED_VALUE"""),1.0528722740108754)</f>
        <v>1.052872274</v>
      </c>
      <c r="AJ379" s="57">
        <f>IFERROR(__xludf.DUMMYFUNCTION("""COMPUTED_VALUE"""),0.871318988735674)</f>
        <v>0.8713189887</v>
      </c>
      <c r="AK379" s="57">
        <f>IFERROR(__xludf.DUMMYFUNCTION("""COMPUTED_VALUE"""),1.0868950150247174)</f>
        <v>1.086895015</v>
      </c>
      <c r="AL379" s="57">
        <f>IFERROR(__xludf.DUMMYFUNCTION("""COMPUTED_VALUE"""),1.014792382360576)</f>
        <v>1.014792382</v>
      </c>
      <c r="AM379" s="57">
        <f>IFERROR(__xludf.DUMMYFUNCTION("""COMPUTED_VALUE"""),0.9331778358097492)</f>
        <v>0.9331778358</v>
      </c>
      <c r="AN379" s="57">
        <f>IFERROR(__xludf.DUMMYFUNCTION("""COMPUTED_VALUE"""),1.0111528186744358)</f>
        <v>1.011152819</v>
      </c>
      <c r="AO379" s="57">
        <f>IFERROR(__xludf.DUMMYFUNCTION("""COMPUTED_VALUE"""),0.8818604690887059)</f>
        <v>0.8818604691</v>
      </c>
      <c r="AP379" s="35">
        <f>IFERROR(__xludf.DUMMYFUNCTION("""COMPUTED_VALUE"""),0.8693053767307023)</f>
        <v>0.8693053767</v>
      </c>
      <c r="AQ379" s="57">
        <f>IFERROR(__xludf.DUMMYFUNCTION("""COMPUTED_VALUE"""),0.9547516581604203)</f>
        <v>0.9547516582</v>
      </c>
      <c r="AR379" s="36" t="b">
        <f>IFERROR(__xludf.DUMMYFUNCTION("""COMPUTED_VALUE"""),TRUE)</f>
        <v>1</v>
      </c>
      <c r="AS379" s="57"/>
      <c r="AT379" s="37"/>
      <c r="AU379" s="30"/>
      <c r="AV379" s="30"/>
      <c r="AW379" s="30"/>
      <c r="AX379" s="30"/>
      <c r="AY379" s="30"/>
      <c r="AZ379" s="30"/>
    </row>
    <row r="380">
      <c r="A380" s="30" t="str">
        <f>IFERROR(__xludf.DUMMYFUNCTION("""COMPUTED_VALUE"""),"Master")</f>
        <v>Master</v>
      </c>
      <c r="B380" s="30" t="str">
        <f>IFERROR(__xludf.DUMMYFUNCTION("""COMPUTED_VALUE"""),"RSC003031")</f>
        <v>RSC003031</v>
      </c>
      <c r="C380" s="30" t="str">
        <f>IFERROR(__xludf.DUMMYFUNCTION("""COMPUTED_VALUE"""),"Yesper")</f>
        <v>Yesper</v>
      </c>
      <c r="D380" s="31" t="str">
        <f>IFERROR(__xludf.DUMMYFUNCTION("""COMPUTED_VALUE"""),"Spectres")</f>
        <v>Spectres</v>
      </c>
      <c r="E380" s="31">
        <f>IFERROR(__xludf.DUMMYFUNCTION("""COMPUTED_VALUE"""),55.63814973665381)</f>
        <v>55.63814974</v>
      </c>
      <c r="F380" s="31">
        <f>IFERROR(__xludf.DUMMYFUNCTION("""COMPUTED_VALUE"""),2.434363150593817)</f>
        <v>2.434363151</v>
      </c>
      <c r="G380" s="31">
        <f>IFERROR(__xludf.DUMMYFUNCTION("""COMPUTED_VALUE"""),35.650173318459835)</f>
        <v>35.65017332</v>
      </c>
      <c r="H380" s="31">
        <f>IFERROR(__xludf.DUMMYFUNCTION("""COMPUTED_VALUE"""),-3.5337406427824587)</f>
        <v>-3.533740643</v>
      </c>
      <c r="I380" s="54">
        <f>IFERROR(__xludf.DUMMYFUNCTION("""COMPUTED_VALUE"""),27.0)</f>
        <v>27</v>
      </c>
      <c r="J380" s="55">
        <f>IFERROR(__xludf.DUMMYFUNCTION("""COMPUTED_VALUE"""),10.0)</f>
        <v>10</v>
      </c>
      <c r="K380" s="54">
        <f>IFERROR(__xludf.DUMMYFUNCTION("""COMPUTED_VALUE"""),17.0)</f>
        <v>17</v>
      </c>
      <c r="L380" s="56">
        <f>IFERROR(__xludf.DUMMYFUNCTION("""COMPUTED_VALUE"""),0.37037037037037035)</f>
        <v>0.3703703704</v>
      </c>
      <c r="M380" s="56">
        <f>IFERROR(__xludf.DUMMYFUNCTION("""COMPUTED_VALUE"""),0.26595744680851063)</f>
        <v>0.2659574468</v>
      </c>
      <c r="N380" s="31">
        <f>IFERROR(__xludf.DUMMYFUNCTION("""COMPUTED_VALUE"""),382.5925925925926)</f>
        <v>382.5925926</v>
      </c>
      <c r="O380" s="57">
        <f>IFERROR(__xludf.DUMMYFUNCTION("""COMPUTED_VALUE"""),0.9259259259259259)</f>
        <v>0.9259259259</v>
      </c>
      <c r="P380" s="57">
        <f>IFERROR(__xludf.DUMMYFUNCTION("""COMPUTED_VALUE"""),0.5185185185185185)</f>
        <v>0.5185185185</v>
      </c>
      <c r="Q380" s="57">
        <f>IFERROR(__xludf.DUMMYFUNCTION("""COMPUTED_VALUE"""),1.4074074074074074)</f>
        <v>1.407407407</v>
      </c>
      <c r="R380" s="57">
        <f>IFERROR(__xludf.DUMMYFUNCTION("""COMPUTED_VALUE"""),3.4814814814814814)</f>
        <v>3.481481481</v>
      </c>
      <c r="S380" s="31">
        <f>IFERROR(__xludf.DUMMYFUNCTION("""COMPUTED_VALUE"""),429.283950617284)</f>
        <v>429.2839506</v>
      </c>
      <c r="T380" s="57">
        <f>IFERROR(__xludf.DUMMYFUNCTION("""COMPUTED_VALUE"""),1.074074074074074)</f>
        <v>1.074074074</v>
      </c>
      <c r="U380" s="57">
        <f>IFERROR(__xludf.DUMMYFUNCTION("""COMPUTED_VALUE"""),0.8888888888888888)</f>
        <v>0.8888888889</v>
      </c>
      <c r="V380" s="57">
        <f>IFERROR(__xludf.DUMMYFUNCTION("""COMPUTED_VALUE"""),1.6790123456790127)</f>
        <v>1.679012346</v>
      </c>
      <c r="W380" s="57">
        <f>IFERROR(__xludf.DUMMYFUNCTION("""COMPUTED_VALUE"""),3.1358024691358026)</f>
        <v>3.135802469</v>
      </c>
      <c r="X380" s="31">
        <f>IFERROR(__xludf.DUMMYFUNCTION("""COMPUTED_VALUE"""),390.8037028496999)</f>
        <v>390.8037028</v>
      </c>
      <c r="Y380" s="57">
        <f>IFERROR(__xludf.DUMMYFUNCTION("""COMPUTED_VALUE"""),0.9141544256543134)</f>
        <v>0.9141544257</v>
      </c>
      <c r="Z380" s="57">
        <f>IFERROR(__xludf.DUMMYFUNCTION("""COMPUTED_VALUE"""),0.6980586018136414)</f>
        <v>0.6980586018</v>
      </c>
      <c r="AA380" s="57">
        <f>IFERROR(__xludf.DUMMYFUNCTION("""COMPUTED_VALUE"""),1.4726789612861284)</f>
        <v>1.472678961</v>
      </c>
      <c r="AB380" s="57">
        <f>IFERROR(__xludf.DUMMYFUNCTION("""COMPUTED_VALUE"""),2.8091057343079484)</f>
        <v>2.809105734</v>
      </c>
      <c r="AC380" s="31">
        <f>IFERROR(__xludf.DUMMYFUNCTION("""COMPUTED_VALUE"""),373.73843680559133)</f>
        <v>373.7384368</v>
      </c>
      <c r="AD380" s="57">
        <f>IFERROR(__xludf.DUMMYFUNCTION("""COMPUTED_VALUE"""),0.8143624718429181)</f>
        <v>0.8143624718</v>
      </c>
      <c r="AE380" s="57">
        <f>IFERROR(__xludf.DUMMYFUNCTION("""COMPUTED_VALUE"""),0.6335500505514444)</f>
        <v>0.6335500506</v>
      </c>
      <c r="AF380" s="57">
        <f>IFERROR(__xludf.DUMMYFUNCTION("""COMPUTED_VALUE"""),1.4493927027145166)</f>
        <v>1.449392703</v>
      </c>
      <c r="AG380" s="57">
        <f>IFERROR(__xludf.DUMMYFUNCTION("""COMPUTED_VALUE"""),2.756993863189658)</f>
        <v>2.756993863</v>
      </c>
      <c r="AH380" s="57">
        <f>IFERROR(__xludf.DUMMYFUNCTION("""COMPUTED_VALUE"""),1.0236907818812517)</f>
        <v>1.023690782</v>
      </c>
      <c r="AI380" s="57">
        <f>IFERROR(__xludf.DUMMYFUNCTION("""COMPUTED_VALUE"""),1.1369948369925957)</f>
        <v>1.136994837</v>
      </c>
      <c r="AJ380" s="57">
        <f>IFERROR(__xludf.DUMMYFUNCTION("""COMPUTED_VALUE"""),0.8184333945947885)</f>
        <v>0.8184333946</v>
      </c>
      <c r="AK380" s="57">
        <f>IFERROR(__xludf.DUMMYFUNCTION("""COMPUTED_VALUE"""),0.9710324915887348)</f>
        <v>0.9710324916</v>
      </c>
      <c r="AL380" s="57">
        <f>IFERROR(__xludf.DUMMYFUNCTION("""COMPUTED_VALUE"""),1.262781730480038)</f>
        <v>1.26278173</v>
      </c>
      <c r="AM380" s="57">
        <f>IFERROR(__xludf.DUMMYFUNCTION("""COMPUTED_VALUE"""),1.0984643888657915)</f>
        <v>1.098464389</v>
      </c>
      <c r="AN380" s="57">
        <f>IFERROR(__xludf.DUMMYFUNCTION("""COMPUTED_VALUE"""),1.174937235910986)</f>
        <v>1.174937236</v>
      </c>
      <c r="AO380" s="57">
        <f>IFERROR(__xludf.DUMMYFUNCTION("""COMPUTED_VALUE"""),1.2733728752563853)</f>
        <v>1.273372875</v>
      </c>
      <c r="AP380" s="35">
        <f>IFERROR(__xludf.DUMMYFUNCTION("""COMPUTED_VALUE"""),1.14010751142441)</f>
        <v>1.140107511</v>
      </c>
      <c r="AQ380" s="57">
        <f>IFERROR(__xludf.DUMMYFUNCTION("""COMPUTED_VALUE"""),1.1162991947358434)</f>
        <v>1.116299195</v>
      </c>
      <c r="AR380" s="36" t="b">
        <f>IFERROR(__xludf.DUMMYFUNCTION("""COMPUTED_VALUE"""),TRUE)</f>
        <v>1</v>
      </c>
      <c r="AS380" s="57"/>
      <c r="AT380" s="37"/>
      <c r="AU380" s="30"/>
      <c r="AV380" s="30"/>
      <c r="AW380" s="30"/>
      <c r="AX380" s="30"/>
      <c r="AY380" s="30"/>
      <c r="AZ380" s="30"/>
    </row>
    <row r="381">
      <c r="A381" s="30" t="str">
        <f>IFERROR(__xludf.DUMMYFUNCTION("""COMPUTED_VALUE"""),"Master")</f>
        <v>Master</v>
      </c>
      <c r="B381" s="30" t="str">
        <f>IFERROR(__xludf.DUMMYFUNCTION("""COMPUTED_VALUE"""),"RSC002862")</f>
        <v>RSC002862</v>
      </c>
      <c r="C381" s="30" t="str">
        <f>IFERROR(__xludf.DUMMYFUNCTION("""COMPUTED_VALUE"""),"Doodle!")</f>
        <v>Doodle!</v>
      </c>
      <c r="D381" s="31" t="str">
        <f>IFERROR(__xludf.DUMMYFUNCTION("""COMPUTED_VALUE"""),"The OG")</f>
        <v>The OG</v>
      </c>
      <c r="E381" s="31">
        <f>IFERROR(__xludf.DUMMYFUNCTION("""COMPUTED_VALUE"""),55.01782545044262)</f>
        <v>55.01782545</v>
      </c>
      <c r="F381" s="31">
        <f>IFERROR(__xludf.DUMMYFUNCTION("""COMPUTED_VALUE"""),2.3783390960574224)</f>
        <v>2.378339096</v>
      </c>
      <c r="G381" s="31">
        <f>IFERROR(__xludf.DUMMYFUNCTION("""COMPUTED_VALUE"""),37.41019966623908)</f>
        <v>37.41019967</v>
      </c>
      <c r="H381" s="31">
        <f>IFERROR(__xludf.DUMMYFUNCTION("""COMPUTED_VALUE"""),-3.2544238281516775)</f>
        <v>-3.254423828</v>
      </c>
      <c r="I381" s="54">
        <f>IFERROR(__xludf.DUMMYFUNCTION("""COMPUTED_VALUE"""),29.0)</f>
        <v>29</v>
      </c>
      <c r="J381" s="55">
        <f>IFERROR(__xludf.DUMMYFUNCTION("""COMPUTED_VALUE"""),10.0)</f>
        <v>10</v>
      </c>
      <c r="K381" s="54">
        <f>IFERROR(__xludf.DUMMYFUNCTION("""COMPUTED_VALUE"""),19.0)</f>
        <v>19</v>
      </c>
      <c r="L381" s="56">
        <f>IFERROR(__xludf.DUMMYFUNCTION("""COMPUTED_VALUE"""),0.3448275862068966)</f>
        <v>0.3448275862</v>
      </c>
      <c r="M381" s="56">
        <f>IFERROR(__xludf.DUMMYFUNCTION("""COMPUTED_VALUE"""),0.3068181818181818)</f>
        <v>0.3068181818</v>
      </c>
      <c r="N381" s="31">
        <f>IFERROR(__xludf.DUMMYFUNCTION("""COMPUTED_VALUE"""),386.0689655172414)</f>
        <v>386.0689655</v>
      </c>
      <c r="O381" s="57">
        <f>IFERROR(__xludf.DUMMYFUNCTION("""COMPUTED_VALUE"""),0.9310344827586207)</f>
        <v>0.9310344828</v>
      </c>
      <c r="P381" s="57">
        <f>IFERROR(__xludf.DUMMYFUNCTION("""COMPUTED_VALUE"""),0.5517241379310345)</f>
        <v>0.5517241379</v>
      </c>
      <c r="Q381" s="57">
        <f>IFERROR(__xludf.DUMMYFUNCTION("""COMPUTED_VALUE"""),1.4827586206896552)</f>
        <v>1.482758621</v>
      </c>
      <c r="R381" s="57">
        <f>IFERROR(__xludf.DUMMYFUNCTION("""COMPUTED_VALUE"""),3.0344827586206895)</f>
        <v>3.034482759</v>
      </c>
      <c r="S381" s="31">
        <f>IFERROR(__xludf.DUMMYFUNCTION("""COMPUTED_VALUE"""),419.7011494252874)</f>
        <v>419.7011494</v>
      </c>
      <c r="T381" s="57">
        <f>IFERROR(__xludf.DUMMYFUNCTION("""COMPUTED_VALUE"""),0.9770114942528736)</f>
        <v>0.9770114943</v>
      </c>
      <c r="U381" s="57">
        <f>IFERROR(__xludf.DUMMYFUNCTION("""COMPUTED_VALUE"""),0.7816091954022987)</f>
        <v>0.7816091954</v>
      </c>
      <c r="V381" s="57">
        <f>IFERROR(__xludf.DUMMYFUNCTION("""COMPUTED_VALUE"""),1.67816091954023)</f>
        <v>1.67816092</v>
      </c>
      <c r="W381" s="57">
        <f>IFERROR(__xludf.DUMMYFUNCTION("""COMPUTED_VALUE"""),3.080459770114943)</f>
        <v>3.08045977</v>
      </c>
      <c r="X381" s="31">
        <f>IFERROR(__xludf.DUMMYFUNCTION("""COMPUTED_VALUE"""),391.02919996369144)</f>
        <v>391.0292</v>
      </c>
      <c r="Y381" s="57">
        <f>IFERROR(__xludf.DUMMYFUNCTION("""COMPUTED_VALUE"""),0.8953857592534707)</f>
        <v>0.8953857593</v>
      </c>
      <c r="Z381" s="57">
        <f>IFERROR(__xludf.DUMMYFUNCTION("""COMPUTED_VALUE"""),0.6376701699018732)</f>
        <v>0.6376701699</v>
      </c>
      <c r="AA381" s="57">
        <f>IFERROR(__xludf.DUMMYFUNCTION("""COMPUTED_VALUE"""),1.5034306741453933)</f>
        <v>1.503430674</v>
      </c>
      <c r="AB381" s="57">
        <f>IFERROR(__xludf.DUMMYFUNCTION("""COMPUTED_VALUE"""),2.876243639362942)</f>
        <v>2.876243639</v>
      </c>
      <c r="AC381" s="31">
        <f>IFERROR(__xludf.DUMMYFUNCTION("""COMPUTED_VALUE"""),376.97346741740796)</f>
        <v>376.9734674</v>
      </c>
      <c r="AD381" s="57">
        <f>IFERROR(__xludf.DUMMYFUNCTION("""COMPUTED_VALUE"""),0.8306888634197007)</f>
        <v>0.8306888634</v>
      </c>
      <c r="AE381" s="57">
        <f>IFERROR(__xludf.DUMMYFUNCTION("""COMPUTED_VALUE"""),0.63853837429063)</f>
        <v>0.6385383743</v>
      </c>
      <c r="AF381" s="57">
        <f>IFERROR(__xludf.DUMMYFUNCTION("""COMPUTED_VALUE"""),1.476003812142513)</f>
        <v>1.476003812</v>
      </c>
      <c r="AG381" s="57">
        <f>IFERROR(__xludf.DUMMYFUNCTION("""COMPUTED_VALUE"""),2.76920210811237)</f>
        <v>2.769202108</v>
      </c>
      <c r="AH381" s="57">
        <f>IFERROR(__xludf.DUMMYFUNCTION("""COMPUTED_VALUE"""),1.0241276877180387)</f>
        <v>1.024127688</v>
      </c>
      <c r="AI381" s="57">
        <f>IFERROR(__xludf.DUMMYFUNCTION("""COMPUTED_VALUE"""),1.1207980794708463)</f>
        <v>1.120798079</v>
      </c>
      <c r="AJ381" s="57">
        <f>IFERROR(__xludf.DUMMYFUNCTION("""COMPUTED_VALUE"""),0.8640422567303965)</f>
        <v>0.8640422567</v>
      </c>
      <c r="AK381" s="57">
        <f>IFERROR(__xludf.DUMMYFUNCTION("""COMPUTED_VALUE"""),1.0045764167352231)</f>
        <v>1.004576417</v>
      </c>
      <c r="AL381" s="57">
        <f>IFERROR(__xludf.DUMMYFUNCTION("""COMPUTED_VALUE"""),1.0957967819434993)</f>
        <v>1.095796782</v>
      </c>
      <c r="AM381" s="57">
        <f>IFERROR(__xludf.DUMMYFUNCTION("""COMPUTED_VALUE"""),1.0733243181436534)</f>
        <v>1.073324318</v>
      </c>
      <c r="AN381" s="57">
        <f>IFERROR(__xludf.DUMMYFUNCTION("""COMPUTED_VALUE"""),1.0911626459945694)</f>
        <v>1.091162646</v>
      </c>
      <c r="AO381" s="57">
        <f>IFERROR(__xludf.DUMMYFUNCTION("""COMPUTED_VALUE"""),1.2257264527876148)</f>
        <v>1.225726453</v>
      </c>
      <c r="AP381" s="35">
        <f>IFERROR(__xludf.DUMMYFUNCTION("""COMPUTED_VALUE"""),1.116221019299184)</f>
        <v>1.116221019</v>
      </c>
      <c r="AQ381" s="57">
        <f>IFERROR(__xludf.DUMMYFUNCTION("""COMPUTED_VALUE"""),1.0710009847417632)</f>
        <v>1.071000985</v>
      </c>
      <c r="AR381" s="36" t="b">
        <f>IFERROR(__xludf.DUMMYFUNCTION("""COMPUTED_VALUE"""),TRUE)</f>
        <v>1</v>
      </c>
      <c r="AS381" s="57"/>
      <c r="AT381" s="37"/>
      <c r="AU381" s="30"/>
      <c r="AV381" s="30"/>
      <c r="AW381" s="30"/>
      <c r="AX381" s="30"/>
      <c r="AY381" s="30"/>
      <c r="AZ381" s="30"/>
    </row>
    <row r="382">
      <c r="A382" s="30" t="str">
        <f>IFERROR(__xludf.DUMMYFUNCTION("""COMPUTED_VALUE"""),"Master")</f>
        <v>Master</v>
      </c>
      <c r="B382" s="30" t="str">
        <f>IFERROR(__xludf.DUMMYFUNCTION("""COMPUTED_VALUE"""),"RSC000839")</f>
        <v>RSC000839</v>
      </c>
      <c r="C382" s="30" t="str">
        <f>IFERROR(__xludf.DUMMYFUNCTION("""COMPUTED_VALUE"""),"p0larbear")</f>
        <v>p0larbear</v>
      </c>
      <c r="D382" s="31" t="str">
        <f>IFERROR(__xludf.DUMMYFUNCTION("""COMPUTED_VALUE"""),"Heinous Henchmen")</f>
        <v>Heinous Henchmen</v>
      </c>
      <c r="E382" s="31">
        <f>IFERROR(__xludf.DUMMYFUNCTION("""COMPUTED_VALUE"""),54.39070769318967)</f>
        <v>54.39070769</v>
      </c>
      <c r="F382" s="31">
        <f>IFERROR(__xludf.DUMMYFUNCTION("""COMPUTED_VALUE"""),2.323997937553537)</f>
        <v>2.323997938</v>
      </c>
      <c r="G382" s="31">
        <f>IFERROR(__xludf.DUMMYFUNCTION("""COMPUTED_VALUE"""),48.17427140633802)</f>
        <v>48.17427141</v>
      </c>
      <c r="H382" s="31">
        <f>IFERROR(__xludf.DUMMYFUNCTION("""COMPUTED_VALUE"""),-2.1236316189666447)</f>
        <v>-2.123631619</v>
      </c>
      <c r="I382" s="54">
        <f>IFERROR(__xludf.DUMMYFUNCTION("""COMPUTED_VALUE"""),32.0)</f>
        <v>32</v>
      </c>
      <c r="J382" s="55">
        <f>IFERROR(__xludf.DUMMYFUNCTION("""COMPUTED_VALUE"""),12.0)</f>
        <v>12</v>
      </c>
      <c r="K382" s="54">
        <f>IFERROR(__xludf.DUMMYFUNCTION("""COMPUTED_VALUE"""),20.0)</f>
        <v>20</v>
      </c>
      <c r="L382" s="56">
        <f>IFERROR(__xludf.DUMMYFUNCTION("""COMPUTED_VALUE"""),0.375)</f>
        <v>0.375</v>
      </c>
      <c r="M382" s="56">
        <f>IFERROR(__xludf.DUMMYFUNCTION("""COMPUTED_VALUE"""),0.28888888888888886)</f>
        <v>0.2888888889</v>
      </c>
      <c r="N382" s="31">
        <f>IFERROR(__xludf.DUMMYFUNCTION("""COMPUTED_VALUE"""),387.5625)</f>
        <v>387.5625</v>
      </c>
      <c r="O382" s="57">
        <f>IFERROR(__xludf.DUMMYFUNCTION("""COMPUTED_VALUE"""),0.8125)</f>
        <v>0.8125</v>
      </c>
      <c r="P382" s="57">
        <f>IFERROR(__xludf.DUMMYFUNCTION("""COMPUTED_VALUE"""),0.6875)</f>
        <v>0.6875</v>
      </c>
      <c r="Q382" s="57">
        <f>IFERROR(__xludf.DUMMYFUNCTION("""COMPUTED_VALUE"""),1.59375)</f>
        <v>1.59375</v>
      </c>
      <c r="R382" s="57">
        <f>IFERROR(__xludf.DUMMYFUNCTION("""COMPUTED_VALUE"""),2.8125)</f>
        <v>2.8125</v>
      </c>
      <c r="S382" s="31">
        <f>IFERROR(__xludf.DUMMYFUNCTION("""COMPUTED_VALUE"""),383.4375)</f>
        <v>383.4375</v>
      </c>
      <c r="T382" s="57">
        <f>IFERROR(__xludf.DUMMYFUNCTION("""COMPUTED_VALUE"""),0.8541666666666666)</f>
        <v>0.8541666667</v>
      </c>
      <c r="U382" s="57">
        <f>IFERROR(__xludf.DUMMYFUNCTION("""COMPUTED_VALUE"""),0.6666666666666667)</f>
        <v>0.6666666667</v>
      </c>
      <c r="V382" s="57">
        <f>IFERROR(__xludf.DUMMYFUNCTION("""COMPUTED_VALUE"""),1.4791666666666667)</f>
        <v>1.479166667</v>
      </c>
      <c r="W382" s="57">
        <f>IFERROR(__xludf.DUMMYFUNCTION("""COMPUTED_VALUE"""),3.0625)</f>
        <v>3.0625</v>
      </c>
      <c r="X382" s="31">
        <f>IFERROR(__xludf.DUMMYFUNCTION("""COMPUTED_VALUE"""),372.1406986236347)</f>
        <v>372.1406986</v>
      </c>
      <c r="Y382" s="57">
        <f>IFERROR(__xludf.DUMMYFUNCTION("""COMPUTED_VALUE"""),0.8274991555071877)</f>
        <v>0.8274991555</v>
      </c>
      <c r="Z382" s="57">
        <f>IFERROR(__xludf.DUMMYFUNCTION("""COMPUTED_VALUE"""),0.6444515232936279)</f>
        <v>0.6444515233</v>
      </c>
      <c r="AA382" s="57">
        <f>IFERROR(__xludf.DUMMYFUNCTION("""COMPUTED_VALUE"""),1.4184236192541553)</f>
        <v>1.418423619</v>
      </c>
      <c r="AB382" s="57">
        <f>IFERROR(__xludf.DUMMYFUNCTION("""COMPUTED_VALUE"""),2.728695487965141)</f>
        <v>2.728695488</v>
      </c>
      <c r="AC382" s="31">
        <f>IFERROR(__xludf.DUMMYFUNCTION("""COMPUTED_VALUE"""),384.2559685573038)</f>
        <v>384.2559686</v>
      </c>
      <c r="AD382" s="57">
        <f>IFERROR(__xludf.DUMMYFUNCTION("""COMPUTED_VALUE"""),0.8747815476118146)</f>
        <v>0.8747815476</v>
      </c>
      <c r="AE382" s="57">
        <f>IFERROR(__xludf.DUMMYFUNCTION("""COMPUTED_VALUE"""),0.6735265307498645)</f>
        <v>0.6735265307</v>
      </c>
      <c r="AF382" s="57">
        <f>IFERROR(__xludf.DUMMYFUNCTION("""COMPUTED_VALUE"""),1.4686840093595965)</f>
        <v>1.468684009</v>
      </c>
      <c r="AG382" s="57">
        <f>IFERROR(__xludf.DUMMYFUNCTION("""COMPUTED_VALUE"""),2.828833457178888)</f>
        <v>2.828833457</v>
      </c>
      <c r="AH382" s="57">
        <f>IFERROR(__xludf.DUMMYFUNCTION("""COMPUTED_VALUE"""),1.0086050229879595)</f>
        <v>1.008605023</v>
      </c>
      <c r="AI382" s="57">
        <f>IFERROR(__xludf.DUMMYFUNCTION("""COMPUTED_VALUE"""),0.928803313487984)</f>
        <v>0.9288033135</v>
      </c>
      <c r="AJ382" s="57">
        <f>IFERROR(__xludf.DUMMYFUNCTION("""COMPUTED_VALUE"""),1.0207467243117778)</f>
        <v>1.020746724</v>
      </c>
      <c r="AK382" s="57">
        <f>IFERROR(__xludf.DUMMYFUNCTION("""COMPUTED_VALUE"""),1.0851551387796052)</f>
        <v>1.085155139</v>
      </c>
      <c r="AL382" s="57">
        <f>IFERROR(__xludf.DUMMYFUNCTION("""COMPUTED_VALUE"""),0.9942260803168042)</f>
        <v>0.9942260803</v>
      </c>
      <c r="AM382" s="57">
        <f>IFERROR(__xludf.DUMMYFUNCTION("""COMPUTED_VALUE"""),1.0303562642251884)</f>
        <v>1.030356264</v>
      </c>
      <c r="AN382" s="57">
        <f>IFERROR(__xludf.DUMMYFUNCTION("""COMPUTED_VALUE"""),1.0322266324769045)</f>
        <v>1.032226632</v>
      </c>
      <c r="AO382" s="57">
        <f>IFERROR(__xludf.DUMMYFUNCTION("""COMPUTED_VALUE"""),1.0344713955512168)</f>
        <v>1.034471396</v>
      </c>
      <c r="AP382" s="35">
        <f>IFERROR(__xludf.DUMMYFUNCTION("""COMPUTED_VALUE"""),1.042824334414603)</f>
        <v>1.042824334</v>
      </c>
      <c r="AQ382" s="57">
        <f>IFERROR(__xludf.DUMMYFUNCTION("""COMPUTED_VALUE"""),1.1223311701533196)</f>
        <v>1.12233117</v>
      </c>
      <c r="AR382" s="36" t="b">
        <f>IFERROR(__xludf.DUMMYFUNCTION("""COMPUTED_VALUE"""),TRUE)</f>
        <v>1</v>
      </c>
      <c r="AS382" s="57"/>
      <c r="AT382" s="37"/>
      <c r="AU382" s="30"/>
      <c r="AV382" s="30"/>
      <c r="AW382" s="30"/>
      <c r="AX382" s="30"/>
      <c r="AY382" s="30"/>
      <c r="AZ382" s="30"/>
    </row>
    <row r="383">
      <c r="A383" s="30" t="str">
        <f>IFERROR(__xludf.DUMMYFUNCTION("""COMPUTED_VALUE"""),"Master")</f>
        <v>Master</v>
      </c>
      <c r="B383" s="30" t="str">
        <f>IFERROR(__xludf.DUMMYFUNCTION("""COMPUTED_VALUE"""),"RSC007809")</f>
        <v>RSC007809</v>
      </c>
      <c r="C383" s="30" t="str">
        <f>IFERROR(__xludf.DUMMYFUNCTION("""COMPUTED_VALUE"""),"wndr")</f>
        <v>wndr</v>
      </c>
      <c r="D383" s="31" t="str">
        <f>IFERROR(__xludf.DUMMYFUNCTION("""COMPUTED_VALUE"""),"Basilisks")</f>
        <v>Basilisks</v>
      </c>
      <c r="E383" s="31">
        <f>IFERROR(__xludf.DUMMYFUNCTION("""COMPUTED_VALUE"""),53.82993976346171)</f>
        <v>53.82993976</v>
      </c>
      <c r="F383" s="31">
        <f>IFERROR(__xludf.DUMMYFUNCTION("""COMPUTED_VALUE"""),2.2772754635444836)</f>
        <v>2.277275464</v>
      </c>
      <c r="G383" s="31">
        <f>IFERROR(__xludf.DUMMYFUNCTION("""COMPUTED_VALUE"""),40.375585247366)</f>
        <v>40.37558525</v>
      </c>
      <c r="H383" s="31">
        <f>IFERROR(__xludf.DUMMYFUNCTION("""COMPUTED_VALUE"""),-2.8561033997202205)</f>
        <v>-2.8561034</v>
      </c>
      <c r="I383" s="54">
        <f>IFERROR(__xludf.DUMMYFUNCTION("""COMPUTED_VALUE"""),27.0)</f>
        <v>27</v>
      </c>
      <c r="J383" s="55">
        <f>IFERROR(__xludf.DUMMYFUNCTION("""COMPUTED_VALUE"""),20.0)</f>
        <v>20</v>
      </c>
      <c r="K383" s="54">
        <f>IFERROR(__xludf.DUMMYFUNCTION("""COMPUTED_VALUE"""),7.0)</f>
        <v>7</v>
      </c>
      <c r="L383" s="56">
        <f>IFERROR(__xludf.DUMMYFUNCTION("""COMPUTED_VALUE"""),0.7407407407407407)</f>
        <v>0.7407407407</v>
      </c>
      <c r="M383" s="56">
        <f>IFERROR(__xludf.DUMMYFUNCTION("""COMPUTED_VALUE"""),0.328125)</f>
        <v>0.328125</v>
      </c>
      <c r="N383" s="31">
        <f>IFERROR(__xludf.DUMMYFUNCTION("""COMPUTED_VALUE"""),357.51851851851853)</f>
        <v>357.5185185</v>
      </c>
      <c r="O383" s="57">
        <f>IFERROR(__xludf.DUMMYFUNCTION("""COMPUTED_VALUE"""),0.7777777777777778)</f>
        <v>0.7777777778</v>
      </c>
      <c r="P383" s="57">
        <f>IFERROR(__xludf.DUMMYFUNCTION("""COMPUTED_VALUE"""),0.7777777777777778)</f>
        <v>0.7777777778</v>
      </c>
      <c r="Q383" s="57">
        <f>IFERROR(__xludf.DUMMYFUNCTION("""COMPUTED_VALUE"""),1.2962962962962963)</f>
        <v>1.296296296</v>
      </c>
      <c r="R383" s="57">
        <f>IFERROR(__xludf.DUMMYFUNCTION("""COMPUTED_VALUE"""),2.3703703703703702)</f>
        <v>2.37037037</v>
      </c>
      <c r="S383" s="31">
        <f>IFERROR(__xludf.DUMMYFUNCTION("""COMPUTED_VALUE"""),347.7654320987655)</f>
        <v>347.7654321</v>
      </c>
      <c r="T383" s="57">
        <f>IFERROR(__xludf.DUMMYFUNCTION("""COMPUTED_VALUE"""),0.6666666666666669)</f>
        <v>0.6666666667</v>
      </c>
      <c r="U383" s="57">
        <f>IFERROR(__xludf.DUMMYFUNCTION("""COMPUTED_VALUE"""),0.5308641975308642)</f>
        <v>0.5308641975</v>
      </c>
      <c r="V383" s="57">
        <f>IFERROR(__xludf.DUMMYFUNCTION("""COMPUTED_VALUE"""),1.5061728395061726)</f>
        <v>1.50617284</v>
      </c>
      <c r="W383" s="57">
        <f>IFERROR(__xludf.DUMMYFUNCTION("""COMPUTED_VALUE"""),2.691358024691358)</f>
        <v>2.691358025</v>
      </c>
      <c r="X383" s="31">
        <f>IFERROR(__xludf.DUMMYFUNCTION("""COMPUTED_VALUE"""),375.68685962972535)</f>
        <v>375.6868596</v>
      </c>
      <c r="Y383" s="57">
        <f>IFERROR(__xludf.DUMMYFUNCTION("""COMPUTED_VALUE"""),0.7878511323045456)</f>
        <v>0.7878511323</v>
      </c>
      <c r="Z383" s="57">
        <f>IFERROR(__xludf.DUMMYFUNCTION("""COMPUTED_VALUE"""),0.6325296862776759)</f>
        <v>0.6325296863</v>
      </c>
      <c r="AA383" s="57">
        <f>IFERROR(__xludf.DUMMYFUNCTION("""COMPUTED_VALUE"""),1.5503006110951603)</f>
        <v>1.550300611</v>
      </c>
      <c r="AB383" s="57">
        <f>IFERROR(__xludf.DUMMYFUNCTION("""COMPUTED_VALUE"""),2.737322148142433)</f>
        <v>2.737322148</v>
      </c>
      <c r="AC383" s="31">
        <f>IFERROR(__xludf.DUMMYFUNCTION("""COMPUTED_VALUE"""),395.3556037815305)</f>
        <v>395.3556038</v>
      </c>
      <c r="AD383" s="57">
        <f>IFERROR(__xludf.DUMMYFUNCTION("""COMPUTED_VALUE"""),0.9063292183050433)</f>
        <v>0.9063292183</v>
      </c>
      <c r="AE383" s="57">
        <f>IFERROR(__xludf.DUMMYFUNCTION("""COMPUTED_VALUE"""),0.7031564860208545)</f>
        <v>0.703156486</v>
      </c>
      <c r="AF383" s="57">
        <f>IFERROR(__xludf.DUMMYFUNCTION("""COMPUTED_VALUE"""),1.5231431890570815)</f>
        <v>1.523143189</v>
      </c>
      <c r="AG383" s="57">
        <f>IFERROR(__xludf.DUMMYFUNCTION("""COMPUTED_VALUE"""),2.9454236540453653)</f>
        <v>2.945423654</v>
      </c>
      <c r="AH383" s="57">
        <f>IFERROR(__xludf.DUMMYFUNCTION("""COMPUTED_VALUE"""),0.9042960694091481)</f>
        <v>0.9042960694</v>
      </c>
      <c r="AI383" s="57">
        <f>IFERROR(__xludf.DUMMYFUNCTION("""COMPUTED_VALUE"""),0.8581625330719516)</f>
        <v>0.8581625331</v>
      </c>
      <c r="AJ383" s="57">
        <f>IFERROR(__xludf.DUMMYFUNCTION("""COMPUTED_VALUE"""),1.1061233071733483)</f>
        <v>1.106123307</v>
      </c>
      <c r="AK383" s="57">
        <f>IFERROR(__xludf.DUMMYFUNCTION("""COMPUTED_VALUE"""),0.8510666007040236)</f>
        <v>0.8510666007</v>
      </c>
      <c r="AL383" s="57">
        <f>IFERROR(__xludf.DUMMYFUNCTION("""COMPUTED_VALUE"""),0.8047638128779222)</f>
        <v>0.8047638129</v>
      </c>
      <c r="AM383" s="57">
        <f>IFERROR(__xludf.DUMMYFUNCTION("""COMPUTED_VALUE"""),0.9256789881911786)</f>
        <v>0.9256789882</v>
      </c>
      <c r="AN383" s="57">
        <f>IFERROR(__xludf.DUMMYFUNCTION("""COMPUTED_VALUE"""),0.846183548301312)</f>
        <v>0.8461835483</v>
      </c>
      <c r="AO383" s="57">
        <f>IFERROR(__xludf.DUMMYFUNCTION("""COMPUTED_VALUE"""),0.8392715931720218)</f>
        <v>0.8392715932</v>
      </c>
      <c r="AP383" s="35">
        <f>IFERROR(__xludf.DUMMYFUNCTION("""COMPUTED_VALUE"""),0.9715359903278274)</f>
        <v>0.9715359903</v>
      </c>
      <c r="AQ383" s="57">
        <f>IFERROR(__xludf.DUMMYFUNCTION("""COMPUTED_VALUE"""),0.9832083616894466)</f>
        <v>0.9832083617</v>
      </c>
      <c r="AR383" s="36" t="b">
        <f>IFERROR(__xludf.DUMMYFUNCTION("""COMPUTED_VALUE"""),TRUE)</f>
        <v>1</v>
      </c>
      <c r="AS383" s="57"/>
      <c r="AT383" s="37"/>
      <c r="AU383" s="30"/>
      <c r="AV383" s="30"/>
      <c r="AW383" s="30"/>
      <c r="AX383" s="30"/>
      <c r="AY383" s="30"/>
      <c r="AZ383" s="30"/>
    </row>
    <row r="384">
      <c r="A384" s="30" t="str">
        <f>IFERROR(__xludf.DUMMYFUNCTION("""COMPUTED_VALUE"""),"Master")</f>
        <v>Master</v>
      </c>
      <c r="B384" s="30" t="str">
        <f>IFERROR(__xludf.DUMMYFUNCTION("""COMPUTED_VALUE"""),"RSC007412")</f>
        <v>RSC007412</v>
      </c>
      <c r="C384" s="30" t="str">
        <f>IFERROR(__xludf.DUMMYFUNCTION("""COMPUTED_VALUE"""),"spuf.")</f>
        <v>spuf.</v>
      </c>
      <c r="D384" s="31" t="str">
        <f>IFERROR(__xludf.DUMMYFUNCTION("""COMPUTED_VALUE"""),"Care Bears")</f>
        <v>Care Bears</v>
      </c>
      <c r="E384" s="31">
        <f>IFERROR(__xludf.DUMMYFUNCTION("""COMPUTED_VALUE"""),53.62710126284975)</f>
        <v>53.62710126</v>
      </c>
      <c r="F384" s="31">
        <f>IFERROR(__xludf.DUMMYFUNCTION("""COMPUTED_VALUE"""),2.2607951277372997)</f>
        <v>2.260795128</v>
      </c>
      <c r="G384" s="31">
        <f>IFERROR(__xludf.DUMMYFUNCTION("""COMPUTED_VALUE"""),54.39447822856072)</f>
        <v>54.39447823</v>
      </c>
      <c r="H384" s="31">
        <f>IFERROR(__xludf.DUMMYFUNCTION("""COMPUTED_VALUE"""),2.3243179748769536)</f>
        <v>2.324317975</v>
      </c>
      <c r="I384" s="54">
        <f>IFERROR(__xludf.DUMMYFUNCTION("""COMPUTED_VALUE"""),27.0)</f>
        <v>27</v>
      </c>
      <c r="J384" s="55">
        <f>IFERROR(__xludf.DUMMYFUNCTION("""COMPUTED_VALUE"""),10.0)</f>
        <v>10</v>
      </c>
      <c r="K384" s="54">
        <f>IFERROR(__xludf.DUMMYFUNCTION("""COMPUTED_VALUE"""),17.0)</f>
        <v>17</v>
      </c>
      <c r="L384" s="56">
        <f>IFERROR(__xludf.DUMMYFUNCTION("""COMPUTED_VALUE"""),0.37037037037037035)</f>
        <v>0.3703703704</v>
      </c>
      <c r="M384" s="56">
        <f>IFERROR(__xludf.DUMMYFUNCTION("""COMPUTED_VALUE"""),0.34848484848484845)</f>
        <v>0.3484848485</v>
      </c>
      <c r="N384" s="31">
        <f>IFERROR(__xludf.DUMMYFUNCTION("""COMPUTED_VALUE"""),392.4074074074074)</f>
        <v>392.4074074</v>
      </c>
      <c r="O384" s="57">
        <f>IFERROR(__xludf.DUMMYFUNCTION("""COMPUTED_VALUE"""),0.8518518518518519)</f>
        <v>0.8518518519</v>
      </c>
      <c r="P384" s="57">
        <f>IFERROR(__xludf.DUMMYFUNCTION("""COMPUTED_VALUE"""),0.6296296296296297)</f>
        <v>0.6296296296</v>
      </c>
      <c r="Q384" s="57">
        <f>IFERROR(__xludf.DUMMYFUNCTION("""COMPUTED_VALUE"""),1.6296296296296295)</f>
        <v>1.62962963</v>
      </c>
      <c r="R384" s="57">
        <f>IFERROR(__xludf.DUMMYFUNCTION("""COMPUTED_VALUE"""),2.4444444444444446)</f>
        <v>2.444444444</v>
      </c>
      <c r="S384" s="31">
        <f>IFERROR(__xludf.DUMMYFUNCTION("""COMPUTED_VALUE"""),387.14814814814815)</f>
        <v>387.1481481</v>
      </c>
      <c r="T384" s="57">
        <f>IFERROR(__xludf.DUMMYFUNCTION("""COMPUTED_VALUE"""),0.9629629629629628)</f>
        <v>0.962962963</v>
      </c>
      <c r="U384" s="57">
        <f>IFERROR(__xludf.DUMMYFUNCTION("""COMPUTED_VALUE"""),0.7654320987654322)</f>
        <v>0.7654320988</v>
      </c>
      <c r="V384" s="57">
        <f>IFERROR(__xludf.DUMMYFUNCTION("""COMPUTED_VALUE"""),1.3456790123456785)</f>
        <v>1.345679012</v>
      </c>
      <c r="W384" s="57">
        <f>IFERROR(__xludf.DUMMYFUNCTION("""COMPUTED_VALUE"""),2.8148148148148144)</f>
        <v>2.814814815</v>
      </c>
      <c r="X384" s="31">
        <f>IFERROR(__xludf.DUMMYFUNCTION("""COMPUTED_VALUE"""),396.30315202247704)</f>
        <v>396.303152</v>
      </c>
      <c r="Y384" s="57">
        <f>IFERROR(__xludf.DUMMYFUNCTION("""COMPUTED_VALUE"""),0.9218025236947419)</f>
        <v>0.9218025237</v>
      </c>
      <c r="Z384" s="57">
        <f>IFERROR(__xludf.DUMMYFUNCTION("""COMPUTED_VALUE"""),0.7289602200277108)</f>
        <v>0.72896022</v>
      </c>
      <c r="AA384" s="57">
        <f>IFERROR(__xludf.DUMMYFUNCTION("""COMPUTED_VALUE"""),1.4918566648031513)</f>
        <v>1.491856665</v>
      </c>
      <c r="AB384" s="57">
        <f>IFERROR(__xludf.DUMMYFUNCTION("""COMPUTED_VALUE"""),2.958618277187369)</f>
        <v>2.958618277</v>
      </c>
      <c r="AC384" s="31">
        <f>IFERROR(__xludf.DUMMYFUNCTION("""COMPUTED_VALUE"""),381.381925777152)</f>
        <v>381.3819258</v>
      </c>
      <c r="AD384" s="57">
        <f>IFERROR(__xludf.DUMMYFUNCTION("""COMPUTED_VALUE"""),0.8357833432106754)</f>
        <v>0.8357833432</v>
      </c>
      <c r="AE384" s="57">
        <f>IFERROR(__xludf.DUMMYFUNCTION("""COMPUTED_VALUE"""),0.6526140798176959)</f>
        <v>0.6526140798</v>
      </c>
      <c r="AF384" s="57">
        <f>IFERROR(__xludf.DUMMYFUNCTION("""COMPUTED_VALUE"""),1.5128250387958517)</f>
        <v>1.512825039</v>
      </c>
      <c r="AG384" s="57">
        <f>IFERROR(__xludf.DUMMYFUNCTION("""COMPUTED_VALUE"""),2.784731843000596)</f>
        <v>2.784731843</v>
      </c>
      <c r="AH384" s="57">
        <f>IFERROR(__xludf.DUMMYFUNCTION("""COMPUTED_VALUE"""),1.0289092924573928)</f>
        <v>1.028909292</v>
      </c>
      <c r="AI384" s="57">
        <f>IFERROR(__xludf.DUMMYFUNCTION("""COMPUTED_VALUE"""),1.0192256866228622)</f>
        <v>1.019225687</v>
      </c>
      <c r="AJ384" s="57">
        <f>IFERROR(__xludf.DUMMYFUNCTION("""COMPUTED_VALUE"""),0.9647809465059551)</f>
        <v>0.9647809465</v>
      </c>
      <c r="AK384" s="57">
        <f>IFERROR(__xludf.DUMMYFUNCTION("""COMPUTED_VALUE"""),1.0772095832884612)</f>
        <v>1.077209583</v>
      </c>
      <c r="AL384" s="57">
        <f>IFERROR(__xludf.DUMMYFUNCTION("""COMPUTED_VALUE"""),0.8778024536145334)</f>
        <v>0.8778024536</v>
      </c>
      <c r="AM384" s="57">
        <f>IFERROR(__xludf.DUMMYFUNCTION("""COMPUTED_VALUE"""),0.9768989879903613)</f>
        <v>0.976898988</v>
      </c>
      <c r="AN384" s="57">
        <f>IFERROR(__xludf.DUMMYFUNCTION("""COMPUTED_VALUE"""),1.0446521225644325)</f>
        <v>1.044652123</v>
      </c>
      <c r="AO384" s="57">
        <f>IFERROR(__xludf.DUMMYFUNCTION("""COMPUTED_VALUE"""),1.0500327421657316)</f>
        <v>1.050032742</v>
      </c>
      <c r="AP384" s="35">
        <f>IFERROR(__xludf.DUMMYFUNCTION("""COMPUTED_VALUE"""),0.9020162888927666)</f>
        <v>0.9020162889</v>
      </c>
      <c r="AQ384" s="57">
        <f>IFERROR(__xludf.DUMMYFUNCTION("""COMPUTED_VALUE"""),0.9513950604978814)</f>
        <v>0.9513950605</v>
      </c>
      <c r="AR384" s="36" t="b">
        <f>IFERROR(__xludf.DUMMYFUNCTION("""COMPUTED_VALUE"""),TRUE)</f>
        <v>1</v>
      </c>
      <c r="AS384" s="57"/>
      <c r="AT384" s="37"/>
      <c r="AU384" s="30"/>
      <c r="AV384" s="30"/>
      <c r="AW384" s="30"/>
      <c r="AX384" s="30"/>
      <c r="AY384" s="30"/>
      <c r="AZ384" s="30"/>
    </row>
    <row r="385">
      <c r="A385" s="30" t="str">
        <f>IFERROR(__xludf.DUMMYFUNCTION("""COMPUTED_VALUE"""),"Master")</f>
        <v>Master</v>
      </c>
      <c r="B385" s="30" t="str">
        <f>IFERROR(__xludf.DUMMYFUNCTION("""COMPUTED_VALUE"""),"RSC000241")</f>
        <v>RSC000241</v>
      </c>
      <c r="C385" s="30" t="str">
        <f>IFERROR(__xludf.DUMMYFUNCTION("""COMPUTED_VALUE"""),"Geherpaderp")</f>
        <v>Geherpaderp</v>
      </c>
      <c r="D385" s="31" t="str">
        <f>IFERROR(__xludf.DUMMYFUNCTION("""COMPUTED_VALUE"""),"Fromunda Frauds")</f>
        <v>Fromunda Frauds</v>
      </c>
      <c r="E385" s="31">
        <f>IFERROR(__xludf.DUMMYFUNCTION("""COMPUTED_VALUE"""),52.91290230956706)</f>
        <v>52.91290231</v>
      </c>
      <c r="F385" s="31">
        <f>IFERROR(__xludf.DUMMYFUNCTION("""COMPUTED_VALUE"""),2.204479753302891)</f>
        <v>2.204479753</v>
      </c>
      <c r="G385" s="31">
        <f>IFERROR(__xludf.DUMMYFUNCTION("""COMPUTED_VALUE"""),50.74629072139062)</f>
        <v>50.74629072</v>
      </c>
      <c r="H385" s="31">
        <f>IFERROR(__xludf.DUMMYFUNCTION("""COMPUTED_VALUE"""),2.048791176736908)</f>
        <v>2.048791177</v>
      </c>
      <c r="I385" s="54">
        <f>IFERROR(__xludf.DUMMYFUNCTION("""COMPUTED_VALUE"""),32.0)</f>
        <v>32</v>
      </c>
      <c r="J385" s="55">
        <f>IFERROR(__xludf.DUMMYFUNCTION("""COMPUTED_VALUE"""),16.0)</f>
        <v>16</v>
      </c>
      <c r="K385" s="54">
        <f>IFERROR(__xludf.DUMMYFUNCTION("""COMPUTED_VALUE"""),16.0)</f>
        <v>16</v>
      </c>
      <c r="L385" s="56">
        <f>IFERROR(__xludf.DUMMYFUNCTION("""COMPUTED_VALUE"""),0.5)</f>
        <v>0.5</v>
      </c>
      <c r="M385" s="56">
        <f>IFERROR(__xludf.DUMMYFUNCTION("""COMPUTED_VALUE"""),0.29347826086956524)</f>
        <v>0.2934782609</v>
      </c>
      <c r="N385" s="31">
        <f>IFERROR(__xludf.DUMMYFUNCTION("""COMPUTED_VALUE"""),361.21875)</f>
        <v>361.21875</v>
      </c>
      <c r="O385" s="57">
        <f>IFERROR(__xludf.DUMMYFUNCTION("""COMPUTED_VALUE"""),0.84375)</f>
        <v>0.84375</v>
      </c>
      <c r="P385" s="57">
        <f>IFERROR(__xludf.DUMMYFUNCTION("""COMPUTED_VALUE"""),0.5625)</f>
        <v>0.5625</v>
      </c>
      <c r="Q385" s="57">
        <f>IFERROR(__xludf.DUMMYFUNCTION("""COMPUTED_VALUE"""),1.28125)</f>
        <v>1.28125</v>
      </c>
      <c r="R385" s="57">
        <f>IFERROR(__xludf.DUMMYFUNCTION("""COMPUTED_VALUE"""),2.875)</f>
        <v>2.875</v>
      </c>
      <c r="S385" s="31">
        <f>IFERROR(__xludf.DUMMYFUNCTION("""COMPUTED_VALUE"""),384.8125)</f>
        <v>384.8125</v>
      </c>
      <c r="T385" s="57">
        <f>IFERROR(__xludf.DUMMYFUNCTION("""COMPUTED_VALUE"""),0.8645833333333336)</f>
        <v>0.8645833333</v>
      </c>
      <c r="U385" s="57">
        <f>IFERROR(__xludf.DUMMYFUNCTION("""COMPUTED_VALUE"""),0.6458333333333333)</f>
        <v>0.6458333333</v>
      </c>
      <c r="V385" s="57">
        <f>IFERROR(__xludf.DUMMYFUNCTION("""COMPUTED_VALUE"""),1.4583333333333333)</f>
        <v>1.458333333</v>
      </c>
      <c r="W385" s="57">
        <f>IFERROR(__xludf.DUMMYFUNCTION("""COMPUTED_VALUE"""),2.624999999999999)</f>
        <v>2.625</v>
      </c>
      <c r="X385" s="31">
        <f>IFERROR(__xludf.DUMMYFUNCTION("""COMPUTED_VALUE"""),390.8254490590429)</f>
        <v>390.8254491</v>
      </c>
      <c r="Y385" s="57">
        <f>IFERROR(__xludf.DUMMYFUNCTION("""COMPUTED_VALUE"""),0.9166132430455345)</f>
        <v>0.916613243</v>
      </c>
      <c r="Z385" s="57">
        <f>IFERROR(__xludf.DUMMYFUNCTION("""COMPUTED_VALUE"""),0.6432971831409333)</f>
        <v>0.6432971831</v>
      </c>
      <c r="AA385" s="57">
        <f>IFERROR(__xludf.DUMMYFUNCTION("""COMPUTED_VALUE"""),1.4796413414903)</f>
        <v>1.479641341</v>
      </c>
      <c r="AB385" s="57">
        <f>IFERROR(__xludf.DUMMYFUNCTION("""COMPUTED_VALUE"""),2.8585255456349206)</f>
        <v>2.858525546</v>
      </c>
      <c r="AC385" s="31">
        <f>IFERROR(__xludf.DUMMYFUNCTION("""COMPUTED_VALUE"""),381.29068034428275)</f>
        <v>381.2906803</v>
      </c>
      <c r="AD385" s="57">
        <f>IFERROR(__xludf.DUMMYFUNCTION("""COMPUTED_VALUE"""),0.8362097955413931)</f>
        <v>0.8362097955</v>
      </c>
      <c r="AE385" s="57">
        <f>IFERROR(__xludf.DUMMYFUNCTION("""COMPUTED_VALUE"""),0.6384880969082358)</f>
        <v>0.6384880969</v>
      </c>
      <c r="AF385" s="57">
        <f>IFERROR(__xludf.DUMMYFUNCTION("""COMPUTED_VALUE"""),1.4921252455106622)</f>
        <v>1.492125246</v>
      </c>
      <c r="AG385" s="57">
        <f>IFERROR(__xludf.DUMMYFUNCTION("""COMPUTED_VALUE"""),2.7565011682633216)</f>
        <v>2.756501168</v>
      </c>
      <c r="AH385" s="57">
        <f>IFERROR(__xludf.DUMMYFUNCTION("""COMPUTED_VALUE"""),0.9473579308936715)</f>
        <v>0.9473579309</v>
      </c>
      <c r="AI385" s="57">
        <f>IFERROR(__xludf.DUMMYFUNCTION("""COMPUTED_VALUE"""),1.009017120462844)</f>
        <v>1.00901712</v>
      </c>
      <c r="AJ385" s="57">
        <f>IFERROR(__xludf.DUMMYFUNCTION("""COMPUTED_VALUE"""),0.880987449450985)</f>
        <v>0.8809874495</v>
      </c>
      <c r="AK385" s="57">
        <f>IFERROR(__xludf.DUMMYFUNCTION("""COMPUTED_VALUE"""),0.8586745676040803)</f>
        <v>0.8586745676</v>
      </c>
      <c r="AL385" s="57">
        <f>IFERROR(__xludf.DUMMYFUNCTION("""COMPUTED_VALUE"""),1.042988855981997)</f>
        <v>1.042988856</v>
      </c>
      <c r="AM385" s="57">
        <f>IFERROR(__xludf.DUMMYFUNCTION("""COMPUTED_VALUE"""),0.9846147453459856)</f>
        <v>0.9846147453</v>
      </c>
      <c r="AN385" s="57">
        <f>IFERROR(__xludf.DUMMYFUNCTION("""COMPUTED_VALUE"""),0.943236790318099)</f>
        <v>0.9432367903</v>
      </c>
      <c r="AO385" s="57">
        <f>IFERROR(__xludf.DUMMYFUNCTION("""COMPUTED_VALUE"""),1.0039424239043253)</f>
        <v>1.003942424</v>
      </c>
      <c r="AP385" s="35">
        <f>IFERROR(__xludf.DUMMYFUNCTION("""COMPUTED_VALUE"""),0.9855992073487855)</f>
        <v>0.9855992073</v>
      </c>
      <c r="AQ385" s="57">
        <f>IFERROR(__xludf.DUMMYFUNCTION("""COMPUTED_VALUE"""),0.918305594297898)</f>
        <v>0.9183055943</v>
      </c>
      <c r="AR385" s="36" t="b">
        <f>IFERROR(__xludf.DUMMYFUNCTION("""COMPUTED_VALUE"""),TRUE)</f>
        <v>1</v>
      </c>
      <c r="AS385" s="57"/>
      <c r="AT385" s="37"/>
      <c r="AU385" s="30"/>
      <c r="AV385" s="30"/>
      <c r="AW385" s="30"/>
      <c r="AX385" s="30"/>
      <c r="AY385" s="30"/>
      <c r="AZ385" s="30"/>
    </row>
    <row r="386">
      <c r="A386" s="30" t="str">
        <f>IFERROR(__xludf.DUMMYFUNCTION("""COMPUTED_VALUE"""),"Master")</f>
        <v>Master</v>
      </c>
      <c r="B386" s="30" t="str">
        <f>IFERROR(__xludf.DUMMYFUNCTION("""COMPUTED_VALUE"""),"RSC002476")</f>
        <v>RSC002476</v>
      </c>
      <c r="C386" s="30" t="str">
        <f>IFERROR(__xludf.DUMMYFUNCTION("""COMPUTED_VALUE"""),"Argnor")</f>
        <v>Argnor</v>
      </c>
      <c r="D386" s="31" t="str">
        <f>IFERROR(__xludf.DUMMYFUNCTION("""COMPUTED_VALUE"""),"Helicoprions")</f>
        <v>Helicoprions</v>
      </c>
      <c r="E386" s="31">
        <f>IFERROR(__xludf.DUMMYFUNCTION("""COMPUTED_VALUE"""),52.30413589073264)</f>
        <v>52.30413589</v>
      </c>
      <c r="F386" s="31">
        <f>IFERROR(__xludf.DUMMYFUNCTION("""COMPUTED_VALUE"""),2.158506470108284)</f>
        <v>2.15850647</v>
      </c>
      <c r="G386" s="31">
        <f>IFERROR(__xludf.DUMMYFUNCTION("""COMPUTED_VALUE"""),42.96471287372244)</f>
        <v>42.96471287</v>
      </c>
      <c r="H386" s="31">
        <f>IFERROR(__xludf.DUMMYFUNCTION("""COMPUTED_VALUE"""),-2.5693902040515337)</f>
        <v>-2.569390204</v>
      </c>
      <c r="I386" s="54">
        <f>IFERROR(__xludf.DUMMYFUNCTION("""COMPUTED_VALUE"""),27.0)</f>
        <v>27</v>
      </c>
      <c r="J386" s="55">
        <f>IFERROR(__xludf.DUMMYFUNCTION("""COMPUTED_VALUE"""),20.0)</f>
        <v>20</v>
      </c>
      <c r="K386" s="54">
        <f>IFERROR(__xludf.DUMMYFUNCTION("""COMPUTED_VALUE"""),7.0)</f>
        <v>7</v>
      </c>
      <c r="L386" s="56">
        <f>IFERROR(__xludf.DUMMYFUNCTION("""COMPUTED_VALUE"""),0.7407407407407407)</f>
        <v>0.7407407407</v>
      </c>
      <c r="M386" s="56">
        <f>IFERROR(__xludf.DUMMYFUNCTION("""COMPUTED_VALUE"""),0.25)</f>
        <v>0.25</v>
      </c>
      <c r="N386" s="31">
        <f>IFERROR(__xludf.DUMMYFUNCTION("""COMPUTED_VALUE"""),319.51851851851853)</f>
        <v>319.5185185</v>
      </c>
      <c r="O386" s="57">
        <f>IFERROR(__xludf.DUMMYFUNCTION("""COMPUTED_VALUE"""),0.7037037037037037)</f>
        <v>0.7037037037</v>
      </c>
      <c r="P386" s="57">
        <f>IFERROR(__xludf.DUMMYFUNCTION("""COMPUTED_VALUE"""),0.7777777777777778)</f>
        <v>0.7777777778</v>
      </c>
      <c r="Q386" s="57">
        <f>IFERROR(__xludf.DUMMYFUNCTION("""COMPUTED_VALUE"""),0.9259259259259259)</f>
        <v>0.9259259259</v>
      </c>
      <c r="R386" s="57">
        <f>IFERROR(__xludf.DUMMYFUNCTION("""COMPUTED_VALUE"""),2.814814814814815)</f>
        <v>2.814814815</v>
      </c>
      <c r="S386" s="31">
        <f>IFERROR(__xludf.DUMMYFUNCTION("""COMPUTED_VALUE"""),352.51851851851853)</f>
        <v>352.5185185</v>
      </c>
      <c r="T386" s="57">
        <f>IFERROR(__xludf.DUMMYFUNCTION("""COMPUTED_VALUE"""),0.6049382716049384)</f>
        <v>0.6049382716</v>
      </c>
      <c r="U386" s="57">
        <f>IFERROR(__xludf.DUMMYFUNCTION("""COMPUTED_VALUE"""),0.46913580246913583)</f>
        <v>0.4691358025</v>
      </c>
      <c r="V386" s="57">
        <f>IFERROR(__xludf.DUMMYFUNCTION("""COMPUTED_VALUE"""),1.6913580246913582)</f>
        <v>1.691358025</v>
      </c>
      <c r="W386" s="57">
        <f>IFERROR(__xludf.DUMMYFUNCTION("""COMPUTED_VALUE"""),2.3456790123456788)</f>
        <v>2.345679012</v>
      </c>
      <c r="X386" s="31">
        <f>IFERROR(__xludf.DUMMYFUNCTION("""COMPUTED_VALUE"""),364.6427866204188)</f>
        <v>364.6427866</v>
      </c>
      <c r="Y386" s="57">
        <f>IFERROR(__xludf.DUMMYFUNCTION("""COMPUTED_VALUE"""),0.7527608722384833)</f>
        <v>0.7527608722</v>
      </c>
      <c r="Z386" s="57">
        <f>IFERROR(__xludf.DUMMYFUNCTION("""COMPUTED_VALUE"""),0.5881178670852462)</f>
        <v>0.5881178671</v>
      </c>
      <c r="AA386" s="57">
        <f>IFERROR(__xludf.DUMMYFUNCTION("""COMPUTED_VALUE"""),1.5496485650898235)</f>
        <v>1.549648565</v>
      </c>
      <c r="AB386" s="57">
        <f>IFERROR(__xludf.DUMMYFUNCTION("""COMPUTED_VALUE"""),2.6596218301786276)</f>
        <v>2.65962183</v>
      </c>
      <c r="AC386" s="31">
        <f>IFERROR(__xludf.DUMMYFUNCTION("""COMPUTED_VALUE"""),393.1918266264946)</f>
        <v>393.1918266</v>
      </c>
      <c r="AD386" s="57">
        <f>IFERROR(__xludf.DUMMYFUNCTION("""COMPUTED_VALUE"""),0.9193938120800988)</f>
        <v>0.9193938121</v>
      </c>
      <c r="AE386" s="57">
        <f>IFERROR(__xludf.DUMMYFUNCTION("""COMPUTED_VALUE"""),0.7067848583273153)</f>
        <v>0.7067848583</v>
      </c>
      <c r="AF386" s="57">
        <f>IFERROR(__xludf.DUMMYFUNCTION("""COMPUTED_VALUE"""),1.488175020112129)</f>
        <v>1.48817502</v>
      </c>
      <c r="AG386" s="57">
        <f>IFERROR(__xludf.DUMMYFUNCTION("""COMPUTED_VALUE"""),2.943999279716562)</f>
        <v>2.94399928</v>
      </c>
      <c r="AH386" s="57">
        <f>IFERROR(__xludf.DUMMYFUNCTION("""COMPUTED_VALUE"""),0.8126275697537306)</f>
        <v>0.8126275698</v>
      </c>
      <c r="AI386" s="57">
        <f>IFERROR(__xludf.DUMMYFUNCTION("""COMPUTED_VALUE"""),0.7653996518767042)</f>
        <v>0.7653996519</v>
      </c>
      <c r="AJ386" s="57">
        <f>IFERROR(__xludf.DUMMYFUNCTION("""COMPUTED_VALUE"""),1.1004448788256092)</f>
        <v>1.100444879</v>
      </c>
      <c r="AK386" s="57">
        <f>IFERROR(__xludf.DUMMYFUNCTION("""COMPUTED_VALUE"""),0.6221888644899848)</f>
        <v>0.6221888645</v>
      </c>
      <c r="AL386" s="57">
        <f>IFERROR(__xludf.DUMMYFUNCTION("""COMPUTED_VALUE"""),0.9561193965665017)</f>
        <v>0.9561193966</v>
      </c>
      <c r="AM386" s="57">
        <f>IFERROR(__xludf.DUMMYFUNCTION("""COMPUTED_VALUE"""),0.9667502867278128)</f>
        <v>0.9667502867</v>
      </c>
      <c r="AN386" s="57">
        <f>IFERROR(__xludf.DUMMYFUNCTION("""COMPUTED_VALUE"""),0.8036260835476674)</f>
        <v>0.8036260835</v>
      </c>
      <c r="AO386" s="57">
        <f>IFERROR(__xludf.DUMMYFUNCTION("""COMPUTED_VALUE"""),0.7976901038463703)</f>
        <v>0.7976901038</v>
      </c>
      <c r="AP386" s="35">
        <f>IFERROR(__xludf.DUMMYFUNCTION("""COMPUTED_VALUE"""),1.091446191603656)</f>
        <v>1.091446192</v>
      </c>
      <c r="AQ386" s="57">
        <f>IFERROR(__xludf.DUMMYFUNCTION("""COMPUTED_VALUE"""),0.8819596025755798)</f>
        <v>0.8819596026</v>
      </c>
      <c r="AR386" s="36" t="b">
        <f>IFERROR(__xludf.DUMMYFUNCTION("""COMPUTED_VALUE"""),TRUE)</f>
        <v>1</v>
      </c>
      <c r="AS386" s="57"/>
      <c r="AT386" s="37"/>
      <c r="AU386" s="30"/>
      <c r="AV386" s="30"/>
      <c r="AW386" s="30"/>
      <c r="AX386" s="30"/>
      <c r="AY386" s="30"/>
      <c r="AZ386" s="30"/>
    </row>
    <row r="387">
      <c r="A387" s="30" t="str">
        <f>IFERROR(__xludf.DUMMYFUNCTION("""COMPUTED_VALUE"""),"Master")</f>
        <v>Master</v>
      </c>
      <c r="B387" s="30" t="str">
        <f>IFERROR(__xludf.DUMMYFUNCTION("""COMPUTED_VALUE"""),"RSC007244")</f>
        <v>RSC007244</v>
      </c>
      <c r="C387" s="30" t="str">
        <f>IFERROR(__xludf.DUMMYFUNCTION("""COMPUTED_VALUE"""),"Joxtrot")</f>
        <v>Joxtrot</v>
      </c>
      <c r="D387" s="31" t="str">
        <f>IFERROR(__xludf.DUMMYFUNCTION("""COMPUTED_VALUE"""),"Fromunda Frauds")</f>
        <v>Fromunda Frauds</v>
      </c>
      <c r="E387" s="31">
        <f>IFERROR(__xludf.DUMMYFUNCTION("""COMPUTED_VALUE"""),52.281849443212245)</f>
        <v>52.28184944</v>
      </c>
      <c r="F387" s="31">
        <f>IFERROR(__xludf.DUMMYFUNCTION("""COMPUTED_VALUE"""),2.1568577042465553)</f>
        <v>2.156857704</v>
      </c>
      <c r="G387" s="31">
        <f>IFERROR(__xludf.DUMMYFUNCTION("""COMPUTED_VALUE"""),50.921487822020225)</f>
        <v>50.92148782</v>
      </c>
      <c r="H387" s="31">
        <f>IFERROR(__xludf.DUMMYFUNCTION("""COMPUTED_VALUE"""),2.0605874065213454)</f>
        <v>2.060587407</v>
      </c>
      <c r="I387" s="54">
        <f>IFERROR(__xludf.DUMMYFUNCTION("""COMPUTED_VALUE"""),32.0)</f>
        <v>32</v>
      </c>
      <c r="J387" s="55">
        <f>IFERROR(__xludf.DUMMYFUNCTION("""COMPUTED_VALUE"""),15.0)</f>
        <v>15</v>
      </c>
      <c r="K387" s="54">
        <f>IFERROR(__xludf.DUMMYFUNCTION("""COMPUTED_VALUE"""),17.0)</f>
        <v>17</v>
      </c>
      <c r="L387" s="56">
        <f>IFERROR(__xludf.DUMMYFUNCTION("""COMPUTED_VALUE"""),0.46875)</f>
        <v>0.46875</v>
      </c>
      <c r="M387" s="56">
        <f>IFERROR(__xludf.DUMMYFUNCTION("""COMPUTED_VALUE"""),0.3116883116883117)</f>
        <v>0.3116883117</v>
      </c>
      <c r="N387" s="31">
        <f>IFERROR(__xludf.DUMMYFUNCTION("""COMPUTED_VALUE"""),358.03125)</f>
        <v>358.03125</v>
      </c>
      <c r="O387" s="57">
        <f>IFERROR(__xludf.DUMMYFUNCTION("""COMPUTED_VALUE"""),0.75)</f>
        <v>0.75</v>
      </c>
      <c r="P387" s="57">
        <f>IFERROR(__xludf.DUMMYFUNCTION("""COMPUTED_VALUE"""),0.71875)</f>
        <v>0.71875</v>
      </c>
      <c r="Q387" s="57">
        <f>IFERROR(__xludf.DUMMYFUNCTION("""COMPUTED_VALUE"""),1.34375)</f>
        <v>1.34375</v>
      </c>
      <c r="R387" s="57">
        <f>IFERROR(__xludf.DUMMYFUNCTION("""COMPUTED_VALUE"""),2.40625)</f>
        <v>2.40625</v>
      </c>
      <c r="S387" s="31">
        <f>IFERROR(__xludf.DUMMYFUNCTION("""COMPUTED_VALUE"""),389.3229166666667)</f>
        <v>389.3229167</v>
      </c>
      <c r="T387" s="57">
        <f>IFERROR(__xludf.DUMMYFUNCTION("""COMPUTED_VALUE"""),0.9062500000000001)</f>
        <v>0.90625</v>
      </c>
      <c r="U387" s="57">
        <f>IFERROR(__xludf.DUMMYFUNCTION("""COMPUTED_VALUE"""),0.6562499999999999)</f>
        <v>0.65625</v>
      </c>
      <c r="V387" s="57">
        <f>IFERROR(__xludf.DUMMYFUNCTION("""COMPUTED_VALUE"""),1.4270833333333333)</f>
        <v>1.427083333</v>
      </c>
      <c r="W387" s="57">
        <f>IFERROR(__xludf.DUMMYFUNCTION("""COMPUTED_VALUE"""),2.614583333333333)</f>
        <v>2.614583333</v>
      </c>
      <c r="X387" s="31">
        <f>IFERROR(__xludf.DUMMYFUNCTION("""COMPUTED_VALUE"""),390.2083935836541)</f>
        <v>390.2083936</v>
      </c>
      <c r="Y387" s="57">
        <f>IFERROR(__xludf.DUMMYFUNCTION("""COMPUTED_VALUE"""),0.9199193071588905)</f>
        <v>0.9199193072</v>
      </c>
      <c r="Z387" s="57">
        <f>IFERROR(__xludf.DUMMYFUNCTION("""COMPUTED_VALUE"""),0.6511337331649834)</f>
        <v>0.6511337332</v>
      </c>
      <c r="AA387" s="57">
        <f>IFERROR(__xludf.DUMMYFUNCTION("""COMPUTED_VALUE"""),1.4454145873416713)</f>
        <v>1.445414587</v>
      </c>
      <c r="AB387" s="57">
        <f>IFERROR(__xludf.DUMMYFUNCTION("""COMPUTED_VALUE"""),2.875200542127624)</f>
        <v>2.875200542</v>
      </c>
      <c r="AC387" s="31">
        <f>IFERROR(__xludf.DUMMYFUNCTION("""COMPUTED_VALUE"""),381.5134569905404)</f>
        <v>381.513457</v>
      </c>
      <c r="AD387" s="57">
        <f>IFERROR(__xludf.DUMMYFUNCTION("""COMPUTED_VALUE"""),0.8270697634412915)</f>
        <v>0.8270697634</v>
      </c>
      <c r="AE387" s="57">
        <f>IFERROR(__xludf.DUMMYFUNCTION("""COMPUTED_VALUE"""),0.6280621609614665)</f>
        <v>0.628062161</v>
      </c>
      <c r="AF387" s="57">
        <f>IFERROR(__xludf.DUMMYFUNCTION("""COMPUTED_VALUE"""),1.5127320242771636)</f>
        <v>1.512732024</v>
      </c>
      <c r="AG387" s="57">
        <f>IFERROR(__xludf.DUMMYFUNCTION("""COMPUTED_VALUE"""),2.699488268932713)</f>
        <v>2.699488269</v>
      </c>
      <c r="AH387" s="57">
        <f>IFERROR(__xludf.DUMMYFUNCTION("""COMPUTED_VALUE"""),0.9384498592113288)</f>
        <v>0.9384498592</v>
      </c>
      <c r="AI387" s="57">
        <f>IFERROR(__xludf.DUMMYFUNCTION("""COMPUTED_VALUE"""),0.9068158856145124)</f>
        <v>0.9068158856</v>
      </c>
      <c r="AJ387" s="57">
        <f>IFERROR(__xludf.DUMMYFUNCTION("""COMPUTED_VALUE"""),1.1443930946257046)</f>
        <v>1.144393095</v>
      </c>
      <c r="AK387" s="57">
        <f>IFERROR(__xludf.DUMMYFUNCTION("""COMPUTED_VALUE"""),0.8882934838654526)</f>
        <v>0.8882934839</v>
      </c>
      <c r="AL387" s="57">
        <f>IFERROR(__xludf.DUMMYFUNCTION("""COMPUTED_VALUE"""),0.8913726455834351)</f>
        <v>0.8913726456</v>
      </c>
      <c r="AM387" s="57">
        <f>IFERROR(__xludf.DUMMYFUNCTION("""COMPUTED_VALUE"""),0.9977307589187019)</f>
        <v>0.9977307589</v>
      </c>
      <c r="AN387" s="57">
        <f>IFERROR(__xludf.DUMMYFUNCTION("""COMPUTED_VALUE"""),0.9851407541373307)</f>
        <v>0.9851407541</v>
      </c>
      <c r="AO387" s="57">
        <f>IFERROR(__xludf.DUMMYFUNCTION("""COMPUTED_VALUE"""),1.0078574747005469)</f>
        <v>1.007857475</v>
      </c>
      <c r="AP387" s="35">
        <f>IFERROR(__xludf.DUMMYFUNCTION("""COMPUTED_VALUE"""),0.9873176497809865)</f>
        <v>0.9873176498</v>
      </c>
      <c r="AQ387" s="57">
        <f>IFERROR(__xludf.DUMMYFUNCTION("""COMPUTED_VALUE"""),0.9093568587736017)</f>
        <v>0.9093568588</v>
      </c>
      <c r="AR387" s="36" t="b">
        <f>IFERROR(__xludf.DUMMYFUNCTION("""COMPUTED_VALUE"""),TRUE)</f>
        <v>1</v>
      </c>
      <c r="AS387" s="57"/>
      <c r="AT387" s="37"/>
      <c r="AU387" s="30"/>
      <c r="AV387" s="30"/>
      <c r="AW387" s="30"/>
      <c r="AX387" s="30"/>
      <c r="AY387" s="30"/>
      <c r="AZ387" s="30"/>
    </row>
    <row r="388">
      <c r="A388" s="30" t="str">
        <f>IFERROR(__xludf.DUMMYFUNCTION("""COMPUTED_VALUE"""),"Master")</f>
        <v>Master</v>
      </c>
      <c r="B388" s="30" t="str">
        <f>IFERROR(__xludf.DUMMYFUNCTION("""COMPUTED_VALUE"""),"RSC002490")</f>
        <v>RSC002490</v>
      </c>
      <c r="C388" s="30" t="str">
        <f>IFERROR(__xludf.DUMMYFUNCTION("""COMPUTED_VALUE"""),"alexis bexas")</f>
        <v>alexis bexas</v>
      </c>
      <c r="D388" s="31" t="str">
        <f>IFERROR(__xludf.DUMMYFUNCTION("""COMPUTED_VALUE"""),"Tempests")</f>
        <v>Tempests</v>
      </c>
      <c r="E388" s="31">
        <f>IFERROR(__xludf.DUMMYFUNCTION("""COMPUTED_VALUE"""),50.63599154617596)</f>
        <v>50.63599155</v>
      </c>
      <c r="F388" s="31">
        <f>IFERROR(__xludf.DUMMYFUNCTION("""COMPUTED_VALUE"""),2.041432347997565)</f>
        <v>2.041432348</v>
      </c>
      <c r="G388" s="31">
        <f>IFERROR(__xludf.DUMMYFUNCTION("""COMPUTED_VALUE"""),42.39463498293255)</f>
        <v>42.39463498</v>
      </c>
      <c r="H388" s="31">
        <f>IFERROR(__xludf.DUMMYFUNCTION("""COMPUTED_VALUE"""),-2.6282438375560115)</f>
        <v>-2.628243838</v>
      </c>
      <c r="I388" s="54">
        <f>IFERROR(__xludf.DUMMYFUNCTION("""COMPUTED_VALUE"""),32.0)</f>
        <v>32</v>
      </c>
      <c r="J388" s="55">
        <f>IFERROR(__xludf.DUMMYFUNCTION("""COMPUTED_VALUE"""),18.0)</f>
        <v>18</v>
      </c>
      <c r="K388" s="54">
        <f>IFERROR(__xludf.DUMMYFUNCTION("""COMPUTED_VALUE"""),14.0)</f>
        <v>14</v>
      </c>
      <c r="L388" s="56">
        <f>IFERROR(__xludf.DUMMYFUNCTION("""COMPUTED_VALUE"""),0.5625)</f>
        <v>0.5625</v>
      </c>
      <c r="M388" s="56">
        <f>IFERROR(__xludf.DUMMYFUNCTION("""COMPUTED_VALUE"""),0.35)</f>
        <v>0.35</v>
      </c>
      <c r="N388" s="31">
        <f>IFERROR(__xludf.DUMMYFUNCTION("""COMPUTED_VALUE"""),338.40625)</f>
        <v>338.40625</v>
      </c>
      <c r="O388" s="57">
        <f>IFERROR(__xludf.DUMMYFUNCTION("""COMPUTED_VALUE"""),0.875)</f>
        <v>0.875</v>
      </c>
      <c r="P388" s="57">
        <f>IFERROR(__xludf.DUMMYFUNCTION("""COMPUTED_VALUE"""),0.59375)</f>
        <v>0.59375</v>
      </c>
      <c r="Q388" s="57">
        <f>IFERROR(__xludf.DUMMYFUNCTION("""COMPUTED_VALUE"""),0.96875)</f>
        <v>0.96875</v>
      </c>
      <c r="R388" s="57">
        <f>IFERROR(__xludf.DUMMYFUNCTION("""COMPUTED_VALUE"""),2.5)</f>
        <v>2.5</v>
      </c>
      <c r="S388" s="31">
        <f>IFERROR(__xludf.DUMMYFUNCTION("""COMPUTED_VALUE"""),350.28125)</f>
        <v>350.28125</v>
      </c>
      <c r="T388" s="57">
        <f>IFERROR(__xludf.DUMMYFUNCTION("""COMPUTED_VALUE"""),0.8333333333333333)</f>
        <v>0.8333333333</v>
      </c>
      <c r="U388" s="57">
        <f>IFERROR(__xludf.DUMMYFUNCTION("""COMPUTED_VALUE"""),0.59375)</f>
        <v>0.59375</v>
      </c>
      <c r="V388" s="57">
        <f>IFERROR(__xludf.DUMMYFUNCTION("""COMPUTED_VALUE"""),1.2395833333333335)</f>
        <v>1.239583333</v>
      </c>
      <c r="W388" s="57">
        <f>IFERROR(__xludf.DUMMYFUNCTION("""COMPUTED_VALUE"""),2.65625)</f>
        <v>2.65625</v>
      </c>
      <c r="X388" s="31">
        <f>IFERROR(__xludf.DUMMYFUNCTION("""COMPUTED_VALUE"""),379.00050427022)</f>
        <v>379.0005043</v>
      </c>
      <c r="Y388" s="57">
        <f>IFERROR(__xludf.DUMMYFUNCTION("""COMPUTED_VALUE"""),0.8343371773700267)</f>
        <v>0.8343371774</v>
      </c>
      <c r="Z388" s="57">
        <f>IFERROR(__xludf.DUMMYFUNCTION("""COMPUTED_VALUE"""),0.6529682338191917)</f>
        <v>0.6529682338</v>
      </c>
      <c r="AA388" s="57">
        <f>IFERROR(__xludf.DUMMYFUNCTION("""COMPUTED_VALUE"""),1.479259283829724)</f>
        <v>1.479259284</v>
      </c>
      <c r="AB388" s="57">
        <f>IFERROR(__xludf.DUMMYFUNCTION("""COMPUTED_VALUE"""),2.7703269656207246)</f>
        <v>2.770326966</v>
      </c>
      <c r="AC388" s="31">
        <f>IFERROR(__xludf.DUMMYFUNCTION("""COMPUTED_VALUE"""),382.1729550323722)</f>
        <v>382.172955</v>
      </c>
      <c r="AD388" s="57">
        <f>IFERROR(__xludf.DUMMYFUNCTION("""COMPUTED_VALUE"""),0.8571902297724976)</f>
        <v>0.8571902298</v>
      </c>
      <c r="AE388" s="57">
        <f>IFERROR(__xludf.DUMMYFUNCTION("""COMPUTED_VALUE"""),0.6501736864692258)</f>
        <v>0.6501736865</v>
      </c>
      <c r="AF388" s="57">
        <f>IFERROR(__xludf.DUMMYFUNCTION("""COMPUTED_VALUE"""),1.4833643407838235)</f>
        <v>1.483364341</v>
      </c>
      <c r="AG388" s="57">
        <f>IFERROR(__xludf.DUMMYFUNCTION("""COMPUTED_VALUE"""),2.782310010717137)</f>
        <v>2.782310011</v>
      </c>
      <c r="AH388" s="57">
        <f>IFERROR(__xludf.DUMMYFUNCTION("""COMPUTED_VALUE"""),0.8854793243319248)</f>
        <v>0.8854793243</v>
      </c>
      <c r="AI388" s="57">
        <f>IFERROR(__xludf.DUMMYFUNCTION("""COMPUTED_VALUE"""),1.0207769169653615)</f>
        <v>1.020776917</v>
      </c>
      <c r="AJ388" s="57">
        <f>IFERROR(__xludf.DUMMYFUNCTION("""COMPUTED_VALUE"""),0.913217517651883)</f>
        <v>0.9132175177</v>
      </c>
      <c r="AK388" s="57">
        <f>IFERROR(__xludf.DUMMYFUNCTION("""COMPUTED_VALUE"""),0.6530762358006419)</f>
        <v>0.6530762358</v>
      </c>
      <c r="AL388" s="57">
        <f>IFERROR(__xludf.DUMMYFUNCTION("""COMPUTED_VALUE"""),0.8985339485428614)</f>
        <v>0.8985339485</v>
      </c>
      <c r="AM388" s="57">
        <f>IFERROR(__xludf.DUMMYFUNCTION("""COMPUTED_VALUE"""),0.9242237043311591)</f>
        <v>0.9242237043</v>
      </c>
      <c r="AN388" s="57">
        <f>IFERROR(__xludf.DUMMYFUNCTION("""COMPUTED_VALUE"""),0.9987968365021709)</f>
        <v>0.9987968365</v>
      </c>
      <c r="AO388" s="57">
        <f>IFERROR(__xludf.DUMMYFUNCTION("""COMPUTED_VALUE"""),0.909309165818334)</f>
        <v>0.9093091658</v>
      </c>
      <c r="AP388" s="35">
        <f>IFERROR(__xludf.DUMMYFUNCTION("""COMPUTED_VALUE"""),0.8379756996515971)</f>
        <v>0.8379756997</v>
      </c>
      <c r="AQ388" s="57">
        <f>IFERROR(__xludf.DUMMYFUNCTION("""COMPUTED_VALUE"""),0.958821840513268)</f>
        <v>0.9588218405</v>
      </c>
      <c r="AR388" s="36" t="b">
        <f>IFERROR(__xludf.DUMMYFUNCTION("""COMPUTED_VALUE"""),TRUE)</f>
        <v>1</v>
      </c>
      <c r="AS388" s="57"/>
      <c r="AT388" s="37"/>
      <c r="AU388" s="30"/>
      <c r="AV388" s="30"/>
      <c r="AW388" s="30"/>
      <c r="AX388" s="30"/>
      <c r="AY388" s="30"/>
      <c r="AZ388" s="30"/>
    </row>
    <row r="389">
      <c r="A389" s="30" t="str">
        <f>IFERROR(__xludf.DUMMYFUNCTION("""COMPUTED_VALUE"""),"Master")</f>
        <v>Master</v>
      </c>
      <c r="B389" s="30" t="str">
        <f>IFERROR(__xludf.DUMMYFUNCTION("""COMPUTED_VALUE"""),"RSC003721")</f>
        <v>RSC003721</v>
      </c>
      <c r="C389" s="30" t="str">
        <f>IFERROR(__xludf.DUMMYFUNCTION("""COMPUTED_VALUE"""),"Kyurmex.")</f>
        <v>Kyurmex.</v>
      </c>
      <c r="D389" s="31" t="str">
        <f>IFERROR(__xludf.DUMMYFUNCTION("""COMPUTED_VALUE"""),"Spectres")</f>
        <v>Spectres</v>
      </c>
      <c r="E389" s="31">
        <f>IFERROR(__xludf.DUMMYFUNCTION("""COMPUTED_VALUE"""),50.56901570170832)</f>
        <v>50.5690157</v>
      </c>
      <c r="F389" s="31">
        <f>IFERROR(__xludf.DUMMYFUNCTION("""COMPUTED_VALUE"""),2.0369892516359935)</f>
        <v>2.036989252</v>
      </c>
      <c r="G389" s="31">
        <f>IFERROR(__xludf.DUMMYFUNCTION("""COMPUTED_VALUE"""),35.18710040697958)</f>
        <v>35.18710041</v>
      </c>
      <c r="H389" s="31">
        <f>IFERROR(__xludf.DUMMYFUNCTION("""COMPUTED_VALUE"""),-3.613336038188331)</f>
        <v>-3.613336038</v>
      </c>
      <c r="I389" s="54">
        <f>IFERROR(__xludf.DUMMYFUNCTION("""COMPUTED_VALUE"""),35.0)</f>
        <v>35</v>
      </c>
      <c r="J389" s="55">
        <f>IFERROR(__xludf.DUMMYFUNCTION("""COMPUTED_VALUE"""),13.0)</f>
        <v>13</v>
      </c>
      <c r="K389" s="54">
        <f>IFERROR(__xludf.DUMMYFUNCTION("""COMPUTED_VALUE"""),22.0)</f>
        <v>22</v>
      </c>
      <c r="L389" s="56">
        <f>IFERROR(__xludf.DUMMYFUNCTION("""COMPUTED_VALUE"""),0.37142857142857144)</f>
        <v>0.3714285714</v>
      </c>
      <c r="M389" s="56">
        <f>IFERROR(__xludf.DUMMYFUNCTION("""COMPUTED_VALUE"""),0.27835051546391754)</f>
        <v>0.2783505155</v>
      </c>
      <c r="N389" s="31">
        <f>IFERROR(__xludf.DUMMYFUNCTION("""COMPUTED_VALUE"""),386.6)</f>
        <v>386.6</v>
      </c>
      <c r="O389" s="57">
        <f>IFERROR(__xludf.DUMMYFUNCTION("""COMPUTED_VALUE"""),0.7714285714285715)</f>
        <v>0.7714285714</v>
      </c>
      <c r="P389" s="57">
        <f>IFERROR(__xludf.DUMMYFUNCTION("""COMPUTED_VALUE"""),0.6571428571428571)</f>
        <v>0.6571428571</v>
      </c>
      <c r="Q389" s="57">
        <f>IFERROR(__xludf.DUMMYFUNCTION("""COMPUTED_VALUE"""),2.0285714285714285)</f>
        <v>2.028571429</v>
      </c>
      <c r="R389" s="57">
        <f>IFERROR(__xludf.DUMMYFUNCTION("""COMPUTED_VALUE"""),2.7714285714285714)</f>
        <v>2.771428571</v>
      </c>
      <c r="S389" s="31">
        <f>IFERROR(__xludf.DUMMYFUNCTION("""COMPUTED_VALUE"""),427.57142857142867)</f>
        <v>427.5714286</v>
      </c>
      <c r="T389" s="57">
        <f>IFERROR(__xludf.DUMMYFUNCTION("""COMPUTED_VALUE"""),1.0571428571428574)</f>
        <v>1.057142857</v>
      </c>
      <c r="U389" s="57">
        <f>IFERROR(__xludf.DUMMYFUNCTION("""COMPUTED_VALUE"""),0.8571428571428571)</f>
        <v>0.8571428571</v>
      </c>
      <c r="V389" s="57">
        <f>IFERROR(__xludf.DUMMYFUNCTION("""COMPUTED_VALUE"""),1.6571428571428575)</f>
        <v>1.657142857</v>
      </c>
      <c r="W389" s="57">
        <f>IFERROR(__xludf.DUMMYFUNCTION("""COMPUTED_VALUE"""),3.2571428571428576)</f>
        <v>3.257142857</v>
      </c>
      <c r="X389" s="31">
        <f>IFERROR(__xludf.DUMMYFUNCTION("""COMPUTED_VALUE"""),394.87395018752886)</f>
        <v>394.8739502</v>
      </c>
      <c r="Y389" s="57">
        <f>IFERROR(__xludf.DUMMYFUNCTION("""COMPUTED_VALUE"""),0.9259620748334165)</f>
        <v>0.9259620748</v>
      </c>
      <c r="Z389" s="57">
        <f>IFERROR(__xludf.DUMMYFUNCTION("""COMPUTED_VALUE"""),0.6886542086938106)</f>
        <v>0.6886542087</v>
      </c>
      <c r="AA389" s="57">
        <f>IFERROR(__xludf.DUMMYFUNCTION("""COMPUTED_VALUE"""),1.5028327007106104)</f>
        <v>1.502832701</v>
      </c>
      <c r="AB389" s="57">
        <f>IFERROR(__xludf.DUMMYFUNCTION("""COMPUTED_VALUE"""),2.8643605971356396)</f>
        <v>2.864360597</v>
      </c>
      <c r="AC389" s="31">
        <f>IFERROR(__xludf.DUMMYFUNCTION("""COMPUTED_VALUE"""),377.27018554230796)</f>
        <v>377.2701855</v>
      </c>
      <c r="AD389" s="57">
        <f>IFERROR(__xludf.DUMMYFUNCTION("""COMPUTED_VALUE"""),0.8195901229798007)</f>
        <v>0.819590123</v>
      </c>
      <c r="AE389" s="57">
        <f>IFERROR(__xludf.DUMMYFUNCTION("""COMPUTED_VALUE"""),0.642840475638376)</f>
        <v>0.6428404756</v>
      </c>
      <c r="AF389" s="57">
        <f>IFERROR(__xludf.DUMMYFUNCTION("""COMPUTED_VALUE"""),1.4712596031872243)</f>
        <v>1.471259603</v>
      </c>
      <c r="AG389" s="57">
        <f>IFERROR(__xludf.DUMMYFUNCTION("""COMPUTED_VALUE"""),2.7770189097350317)</f>
        <v>2.77701891</v>
      </c>
      <c r="AH389" s="57">
        <f>IFERROR(__xludf.DUMMYFUNCTION("""COMPUTED_VALUE"""),1.0247297952905579)</f>
        <v>1.024729795</v>
      </c>
      <c r="AI389" s="57">
        <f>IFERROR(__xludf.DUMMYFUNCTION("""COMPUTED_VALUE"""),0.9412370278742168)</f>
        <v>0.9412370279</v>
      </c>
      <c r="AJ389" s="57">
        <f>IFERROR(__xludf.DUMMYFUNCTION("""COMPUTED_VALUE"""),1.0222487258448967)</f>
        <v>1.022248726</v>
      </c>
      <c r="AK389" s="57">
        <f>IFERROR(__xludf.DUMMYFUNCTION("""COMPUTED_VALUE"""),1.378799108041087)</f>
        <v>1.378799108</v>
      </c>
      <c r="AL389" s="57">
        <f>IFERROR(__xludf.DUMMYFUNCTION("""COMPUTED_VALUE"""),0.9979869282535805)</f>
        <v>0.9979869283</v>
      </c>
      <c r="AM389" s="57">
        <f>IFERROR(__xludf.DUMMYFUNCTION("""COMPUTED_VALUE"""),1.082804850429793)</f>
        <v>1.08280485</v>
      </c>
      <c r="AN389" s="57">
        <f>IFERROR(__xludf.DUMMYFUNCTION("""COMPUTED_VALUE"""),1.14166971399238)</f>
        <v>1.141669714</v>
      </c>
      <c r="AO389" s="57">
        <f>IFERROR(__xludf.DUMMYFUNCTION("""COMPUTED_VALUE"""),1.2446636444270391)</f>
        <v>1.244663644</v>
      </c>
      <c r="AP389" s="35">
        <f>IFERROR(__xludf.DUMMYFUNCTION("""COMPUTED_VALUE"""),1.1026795307017754)</f>
        <v>1.102679531</v>
      </c>
      <c r="AQ389" s="57">
        <f>IFERROR(__xludf.DUMMYFUNCTION("""COMPUTED_VALUE"""),1.137127378584945)</f>
        <v>1.137127379</v>
      </c>
      <c r="AR389" s="36" t="b">
        <f>IFERROR(__xludf.DUMMYFUNCTION("""COMPUTED_VALUE"""),TRUE)</f>
        <v>1</v>
      </c>
      <c r="AS389" s="57"/>
      <c r="AT389" s="37"/>
      <c r="AU389" s="30"/>
      <c r="AV389" s="30"/>
      <c r="AW389" s="30"/>
      <c r="AX389" s="30"/>
      <c r="AY389" s="30"/>
      <c r="AZ389" s="30"/>
    </row>
    <row r="390">
      <c r="A390" s="30" t="str">
        <f>IFERROR(__xludf.DUMMYFUNCTION("""COMPUTED_VALUE"""),"Master")</f>
        <v>Master</v>
      </c>
      <c r="B390" s="30" t="str">
        <f>IFERROR(__xludf.DUMMYFUNCTION("""COMPUTED_VALUE"""),"RSC007565")</f>
        <v>RSC007565</v>
      </c>
      <c r="C390" s="30" t="str">
        <f>IFERROR(__xludf.DUMMYFUNCTION("""COMPUTED_VALUE"""),"AcX")</f>
        <v>AcX</v>
      </c>
      <c r="D390" s="31" t="str">
        <f>IFERROR(__xludf.DUMMYFUNCTION("""COMPUTED_VALUE"""),"Care Bears")</f>
        <v>Care Bears</v>
      </c>
      <c r="E390" s="31">
        <f>IFERROR(__xludf.DUMMYFUNCTION("""COMPUTED_VALUE"""),49.176444959748)</f>
        <v>49.17644496</v>
      </c>
      <c r="F390" s="31">
        <f>IFERROR(__xludf.DUMMYFUNCTION("""COMPUTED_VALUE"""),-2.053977124118236)</f>
        <v>-2.053977124</v>
      </c>
      <c r="G390" s="31">
        <f>IFERROR(__xludf.DUMMYFUNCTION("""COMPUTED_VALUE"""),46.03692614749885)</f>
        <v>46.03692615</v>
      </c>
      <c r="H390" s="31">
        <f>IFERROR(__xludf.DUMMYFUNCTION("""COMPUTED_VALUE"""),-2.2882124001838178)</f>
        <v>-2.2882124</v>
      </c>
      <c r="I390" s="54">
        <f>IFERROR(__xludf.DUMMYFUNCTION("""COMPUTED_VALUE"""),27.0)</f>
        <v>27</v>
      </c>
      <c r="J390" s="55">
        <f>IFERROR(__xludf.DUMMYFUNCTION("""COMPUTED_VALUE"""),11.0)</f>
        <v>11</v>
      </c>
      <c r="K390" s="54">
        <f>IFERROR(__xludf.DUMMYFUNCTION("""COMPUTED_VALUE"""),16.0)</f>
        <v>16</v>
      </c>
      <c r="L390" s="56">
        <f>IFERROR(__xludf.DUMMYFUNCTION("""COMPUTED_VALUE"""),0.4074074074074074)</f>
        <v>0.4074074074</v>
      </c>
      <c r="M390" s="56">
        <f>IFERROR(__xludf.DUMMYFUNCTION("""COMPUTED_VALUE"""),0.2716049382716049)</f>
        <v>0.2716049383</v>
      </c>
      <c r="N390" s="31">
        <f>IFERROR(__xludf.DUMMYFUNCTION("""COMPUTED_VALUE"""),370.81481481481484)</f>
        <v>370.8148148</v>
      </c>
      <c r="O390" s="57">
        <f>IFERROR(__xludf.DUMMYFUNCTION("""COMPUTED_VALUE"""),0.8148148148148148)</f>
        <v>0.8148148148</v>
      </c>
      <c r="P390" s="57">
        <f>IFERROR(__xludf.DUMMYFUNCTION("""COMPUTED_VALUE"""),0.48148148148148145)</f>
        <v>0.4814814815</v>
      </c>
      <c r="Q390" s="57">
        <f>IFERROR(__xludf.DUMMYFUNCTION("""COMPUTED_VALUE"""),1.3333333333333333)</f>
        <v>1.333333333</v>
      </c>
      <c r="R390" s="57">
        <f>IFERROR(__xludf.DUMMYFUNCTION("""COMPUTED_VALUE"""),3.0)</f>
        <v>3</v>
      </c>
      <c r="S390" s="31">
        <f>IFERROR(__xludf.DUMMYFUNCTION("""COMPUTED_VALUE"""),393.11111111111103)</f>
        <v>393.1111111</v>
      </c>
      <c r="T390" s="57">
        <f>IFERROR(__xludf.DUMMYFUNCTION("""COMPUTED_VALUE"""),0.9506172839506172)</f>
        <v>0.950617284</v>
      </c>
      <c r="U390" s="57">
        <f>IFERROR(__xludf.DUMMYFUNCTION("""COMPUTED_VALUE"""),0.728395061728395)</f>
        <v>0.7283950617</v>
      </c>
      <c r="V390" s="57">
        <f>IFERROR(__xludf.DUMMYFUNCTION("""COMPUTED_VALUE"""),1.4938271604938274)</f>
        <v>1.49382716</v>
      </c>
      <c r="W390" s="57">
        <f>IFERROR(__xludf.DUMMYFUNCTION("""COMPUTED_VALUE"""),2.7530864197530867)</f>
        <v>2.75308642</v>
      </c>
      <c r="X390" s="31">
        <f>IFERROR(__xludf.DUMMYFUNCTION("""COMPUTED_VALUE"""),392.20459997044975)</f>
        <v>392.2046</v>
      </c>
      <c r="Y390" s="57">
        <f>IFERROR(__xludf.DUMMYFUNCTION("""COMPUTED_VALUE"""),0.9105815546192852)</f>
        <v>0.9105815546</v>
      </c>
      <c r="Z390" s="57">
        <f>IFERROR(__xludf.DUMMYFUNCTION("""COMPUTED_VALUE"""),0.6702453844489036)</f>
        <v>0.6702453844</v>
      </c>
      <c r="AA390" s="57">
        <f>IFERROR(__xludf.DUMMYFUNCTION("""COMPUTED_VALUE"""),1.483152588758473)</f>
        <v>1.483152589</v>
      </c>
      <c r="AB390" s="57">
        <f>IFERROR(__xludf.DUMMYFUNCTION("""COMPUTED_VALUE"""),2.874557527780126)</f>
        <v>2.874557528</v>
      </c>
      <c r="AC390" s="31">
        <f>IFERROR(__xludf.DUMMYFUNCTION("""COMPUTED_VALUE"""),377.9741198245904)</f>
        <v>377.9741198</v>
      </c>
      <c r="AD390" s="57">
        <f>IFERROR(__xludf.DUMMYFUNCTION("""COMPUTED_VALUE"""),0.8262334216095985)</f>
        <v>0.8262334216</v>
      </c>
      <c r="AE390" s="57">
        <f>IFERROR(__xludf.DUMMYFUNCTION("""COMPUTED_VALUE"""),0.6204883760488221)</f>
        <v>0.620488376</v>
      </c>
      <c r="AF390" s="57">
        <f>IFERROR(__xludf.DUMMYFUNCTION("""COMPUTED_VALUE"""),1.5020936257749407)</f>
        <v>1.502093626</v>
      </c>
      <c r="AG390" s="57">
        <f>IFERROR(__xludf.DUMMYFUNCTION("""COMPUTED_VALUE"""),2.719811818288079)</f>
        <v>2.719811818</v>
      </c>
      <c r="AH390" s="57">
        <f>IFERROR(__xludf.DUMMYFUNCTION("""COMPUTED_VALUE"""),0.981058742823191)</f>
        <v>0.9810587428</v>
      </c>
      <c r="AI390" s="57">
        <f>IFERROR(__xludf.DUMMYFUNCTION("""COMPUTED_VALUE"""),0.986179926282165)</f>
        <v>0.9861799263</v>
      </c>
      <c r="AJ390" s="57">
        <f>IFERROR(__xludf.DUMMYFUNCTION("""COMPUTED_VALUE"""),0.7759717990971629)</f>
        <v>0.7759717991</v>
      </c>
      <c r="AK390" s="57">
        <f>IFERROR(__xludf.DUMMYFUNCTION("""COMPUTED_VALUE"""),0.8876499510111809)</f>
        <v>0.887649951</v>
      </c>
      <c r="AL390" s="57">
        <f>IFERROR(__xludf.DUMMYFUNCTION("""COMPUTED_VALUE"""),1.1030174881320571)</f>
        <v>1.103017488</v>
      </c>
      <c r="AM390" s="57">
        <f>IFERROR(__xludf.DUMMYFUNCTION("""COMPUTED_VALUE"""),1.002311322051627)</f>
        <v>1.002311322</v>
      </c>
      <c r="AN390" s="57">
        <f>IFERROR(__xludf.DUMMYFUNCTION("""COMPUTED_VALUE"""),1.043967208788971)</f>
        <v>1.043967209</v>
      </c>
      <c r="AO390" s="57">
        <f>IFERROR(__xludf.DUMMYFUNCTION("""COMPUTED_VALUE"""),1.0867587880926683)</f>
        <v>1.086758788</v>
      </c>
      <c r="AP390" s="35">
        <f>IFERROR(__xludf.DUMMYFUNCTION("""COMPUTED_VALUE"""),1.007197217478675)</f>
        <v>1.007197217</v>
      </c>
      <c r="AQ390" s="57">
        <f>IFERROR(__xludf.DUMMYFUNCTION("""COMPUTED_VALUE"""),0.9577426762716955)</f>
        <v>0.9577426763</v>
      </c>
      <c r="AR390" s="36" t="b">
        <f>IFERROR(__xludf.DUMMYFUNCTION("""COMPUTED_VALUE"""),TRUE)</f>
        <v>1</v>
      </c>
      <c r="AS390" s="57"/>
      <c r="AT390" s="37"/>
      <c r="AU390" s="30"/>
      <c r="AV390" s="30"/>
      <c r="AW390" s="30"/>
      <c r="AX390" s="30"/>
      <c r="AY390" s="30"/>
      <c r="AZ390" s="30"/>
    </row>
    <row r="391">
      <c r="A391" s="30" t="str">
        <f>IFERROR(__xludf.DUMMYFUNCTION("""COMPUTED_VALUE"""),"Master")</f>
        <v>Master</v>
      </c>
      <c r="B391" s="30" t="str">
        <f>IFERROR(__xludf.DUMMYFUNCTION("""COMPUTED_VALUE"""),"RSC002050")</f>
        <v>RSC002050</v>
      </c>
      <c r="C391" s="30" t="str">
        <f>IFERROR(__xludf.DUMMYFUNCTION("""COMPUTED_VALUE"""),"Goobz")</f>
        <v>Goobz</v>
      </c>
      <c r="D391" s="31" t="str">
        <f>IFERROR(__xludf.DUMMYFUNCTION("""COMPUTED_VALUE"""),"Plinko")</f>
        <v>Plinko</v>
      </c>
      <c r="E391" s="31">
        <f>IFERROR(__xludf.DUMMYFUNCTION("""COMPUTED_VALUE"""),48.824462886237015)</f>
        <v>48.82446289</v>
      </c>
      <c r="F391" s="31">
        <f>IFERROR(__xludf.DUMMYFUNCTION("""COMPUTED_VALUE"""),-2.077930488368407)</f>
        <v>-2.077930488</v>
      </c>
      <c r="G391" s="31">
        <f>IFERROR(__xludf.DUMMYFUNCTION("""COMPUTED_VALUE"""),39.27384493283203)</f>
        <v>39.27384493</v>
      </c>
      <c r="H391" s="31">
        <f>IFERROR(__xludf.DUMMYFUNCTION("""COMPUTED_VALUE"""),-2.9945068698889092)</f>
        <v>-2.99450687</v>
      </c>
      <c r="I391" s="54">
        <f>IFERROR(__xludf.DUMMYFUNCTION("""COMPUTED_VALUE"""),27.0)</f>
        <v>27</v>
      </c>
      <c r="J391" s="55">
        <f>IFERROR(__xludf.DUMMYFUNCTION("""COMPUTED_VALUE"""),13.0)</f>
        <v>13</v>
      </c>
      <c r="K391" s="54">
        <f>IFERROR(__xludf.DUMMYFUNCTION("""COMPUTED_VALUE"""),14.0)</f>
        <v>14</v>
      </c>
      <c r="L391" s="56">
        <f>IFERROR(__xludf.DUMMYFUNCTION("""COMPUTED_VALUE"""),0.48148148148148145)</f>
        <v>0.4814814815</v>
      </c>
      <c r="M391" s="56">
        <f>IFERROR(__xludf.DUMMYFUNCTION("""COMPUTED_VALUE"""),0.29850746268656714)</f>
        <v>0.2985074627</v>
      </c>
      <c r="N391" s="31">
        <f>IFERROR(__xludf.DUMMYFUNCTION("""COMPUTED_VALUE"""),380.0740740740741)</f>
        <v>380.0740741</v>
      </c>
      <c r="O391" s="57">
        <f>IFERROR(__xludf.DUMMYFUNCTION("""COMPUTED_VALUE"""),0.7407407407407407)</f>
        <v>0.7407407407</v>
      </c>
      <c r="P391" s="57">
        <f>IFERROR(__xludf.DUMMYFUNCTION("""COMPUTED_VALUE"""),0.5925925925925926)</f>
        <v>0.5925925926</v>
      </c>
      <c r="Q391" s="57">
        <f>IFERROR(__xludf.DUMMYFUNCTION("""COMPUTED_VALUE"""),1.8518518518518519)</f>
        <v>1.851851852</v>
      </c>
      <c r="R391" s="57">
        <f>IFERROR(__xludf.DUMMYFUNCTION("""COMPUTED_VALUE"""),2.4814814814814814)</f>
        <v>2.481481481</v>
      </c>
      <c r="S391" s="31">
        <f>IFERROR(__xludf.DUMMYFUNCTION("""COMPUTED_VALUE"""),382.9876543209876)</f>
        <v>382.9876543</v>
      </c>
      <c r="T391" s="57">
        <f>IFERROR(__xludf.DUMMYFUNCTION("""COMPUTED_VALUE"""),0.8148148148148148)</f>
        <v>0.8148148148</v>
      </c>
      <c r="U391" s="57">
        <f>IFERROR(__xludf.DUMMYFUNCTION("""COMPUTED_VALUE"""),0.691358024691358)</f>
        <v>0.6913580247</v>
      </c>
      <c r="V391" s="57">
        <f>IFERROR(__xludf.DUMMYFUNCTION("""COMPUTED_VALUE"""),1.4444444444444442)</f>
        <v>1.444444444</v>
      </c>
      <c r="W391" s="57">
        <f>IFERROR(__xludf.DUMMYFUNCTION("""COMPUTED_VALUE"""),3.08641975308642)</f>
        <v>3.086419753</v>
      </c>
      <c r="X391" s="31">
        <f>IFERROR(__xludf.DUMMYFUNCTION("""COMPUTED_VALUE"""),391.8440915186377)</f>
        <v>391.8440915</v>
      </c>
      <c r="Y391" s="57">
        <f>IFERROR(__xludf.DUMMYFUNCTION("""COMPUTED_VALUE"""),0.8708876554737122)</f>
        <v>0.8708876555</v>
      </c>
      <c r="Z391" s="57">
        <f>IFERROR(__xludf.DUMMYFUNCTION("""COMPUTED_VALUE"""),0.7059094157678033)</f>
        <v>0.7059094158</v>
      </c>
      <c r="AA391" s="57">
        <f>IFERROR(__xludf.DUMMYFUNCTION("""COMPUTED_VALUE"""),1.4921362883599636)</f>
        <v>1.492136288</v>
      </c>
      <c r="AB391" s="57">
        <f>IFERROR(__xludf.DUMMYFUNCTION("""COMPUTED_VALUE"""),2.8806686884755153)</f>
        <v>2.880668688</v>
      </c>
      <c r="AC391" s="31">
        <f>IFERROR(__xludf.DUMMYFUNCTION("""COMPUTED_VALUE"""),381.6183966586592)</f>
        <v>381.6183967</v>
      </c>
      <c r="AD391" s="57">
        <f>IFERROR(__xludf.DUMMYFUNCTION("""COMPUTED_VALUE"""),0.8133185435291466)</f>
        <v>0.8133185435</v>
      </c>
      <c r="AE391" s="57">
        <f>IFERROR(__xludf.DUMMYFUNCTION("""COMPUTED_VALUE"""),0.6212684329665692)</f>
        <v>0.621268433</v>
      </c>
      <c r="AF391" s="57">
        <f>IFERROR(__xludf.DUMMYFUNCTION("""COMPUTED_VALUE"""),1.5265916825224504)</f>
        <v>1.526591683</v>
      </c>
      <c r="AG391" s="57">
        <f>IFERROR(__xludf.DUMMYFUNCTION("""COMPUTED_VALUE"""),2.7335533785364334)</f>
        <v>2.733553379</v>
      </c>
      <c r="AH391" s="57">
        <f>IFERROR(__xludf.DUMMYFUNCTION("""COMPUTED_VALUE"""),0.995953228151193)</f>
        <v>0.9959532282</v>
      </c>
      <c r="AI391" s="57">
        <f>IFERROR(__xludf.DUMMYFUNCTION("""COMPUTED_VALUE"""),0.9107633738762715)</f>
        <v>0.9107633739</v>
      </c>
      <c r="AJ391" s="57">
        <f>IFERROR(__xludf.DUMMYFUNCTION("""COMPUTED_VALUE"""),0.9538430751470038)</f>
        <v>0.9538430751</v>
      </c>
      <c r="AK391" s="57">
        <f>IFERROR(__xludf.DUMMYFUNCTION("""COMPUTED_VALUE"""),1.2130629775160053)</f>
        <v>1.213062978</v>
      </c>
      <c r="AL391" s="57">
        <f>IFERROR(__xludf.DUMMYFUNCTION("""COMPUTED_VALUE"""),0.9077859978758076)</f>
        <v>0.9077859979</v>
      </c>
      <c r="AM391" s="57">
        <f>IFERROR(__xludf.DUMMYFUNCTION("""COMPUTED_VALUE"""),0.977398058591809)</f>
        <v>0.9773980586</v>
      </c>
      <c r="AN391" s="57">
        <f>IFERROR(__xludf.DUMMYFUNCTION("""COMPUTED_VALUE"""),0.935614151485019)</f>
        <v>0.9356141515</v>
      </c>
      <c r="AO391" s="57">
        <f>IFERROR(__xludf.DUMMYFUNCTION("""COMPUTED_VALUE"""),0.9793863196163518)</f>
        <v>0.9793863196</v>
      </c>
      <c r="AP391" s="35">
        <f>IFERROR(__xludf.DUMMYFUNCTION("""COMPUTED_VALUE"""),0.9680378767760294)</f>
        <v>0.9680378768</v>
      </c>
      <c r="AQ391" s="57">
        <f>IFERROR(__xludf.DUMMYFUNCTION("""COMPUTED_VALUE"""),1.0714247582285454)</f>
        <v>1.071424758</v>
      </c>
      <c r="AR391" s="36" t="b">
        <f>IFERROR(__xludf.DUMMYFUNCTION("""COMPUTED_VALUE"""),TRUE)</f>
        <v>1</v>
      </c>
      <c r="AS391" s="57"/>
      <c r="AT391" s="37"/>
      <c r="AU391" s="30"/>
      <c r="AV391" s="30"/>
      <c r="AW391" s="30"/>
      <c r="AX391" s="30"/>
      <c r="AY391" s="30"/>
      <c r="AZ391" s="30"/>
    </row>
    <row r="392">
      <c r="A392" s="30" t="str">
        <f>IFERROR(__xludf.DUMMYFUNCTION("""COMPUTED_VALUE"""),"Master")</f>
        <v>Master</v>
      </c>
      <c r="B392" s="30" t="str">
        <f>IFERROR(__xludf.DUMMYFUNCTION("""COMPUTED_VALUE"""),"RSC004132")</f>
        <v>RSC004132</v>
      </c>
      <c r="C392" s="30" t="str">
        <f>IFERROR(__xludf.DUMMYFUNCTION("""COMPUTED_VALUE"""),"Rob Belichick")</f>
        <v>Rob Belichick</v>
      </c>
      <c r="D392" s="31" t="str">
        <f>IFERROR(__xludf.DUMMYFUNCTION("""COMPUTED_VALUE"""),"Battle Masters")</f>
        <v>Battle Masters</v>
      </c>
      <c r="E392" s="31">
        <f>IFERROR(__xludf.DUMMYFUNCTION("""COMPUTED_VALUE"""),46.72774399679383)</f>
        <v>46.727744</v>
      </c>
      <c r="F392" s="31">
        <f>IFERROR(__xludf.DUMMYFUNCTION("""COMPUTED_VALUE"""),-2.2324863622763713)</f>
        <v>-2.232486362</v>
      </c>
      <c r="G392" s="31">
        <f>IFERROR(__xludf.DUMMYFUNCTION("""COMPUTED_VALUE"""),38.08013816921977)</f>
        <v>38.08013817</v>
      </c>
      <c r="H392" s="31">
        <f>IFERROR(__xludf.DUMMYFUNCTION("""COMPUTED_VALUE"""),-3.1570216625656773)</f>
        <v>-3.157021663</v>
      </c>
      <c r="I392" s="54">
        <f>IFERROR(__xludf.DUMMYFUNCTION("""COMPUTED_VALUE"""),8.0)</f>
        <v>8</v>
      </c>
      <c r="J392" s="55">
        <f>IFERROR(__xludf.DUMMYFUNCTION("""COMPUTED_VALUE"""),4.0)</f>
        <v>4</v>
      </c>
      <c r="K392" s="54">
        <f>IFERROR(__xludf.DUMMYFUNCTION("""COMPUTED_VALUE"""),4.0)</f>
        <v>4</v>
      </c>
      <c r="L392" s="56">
        <f>IFERROR(__xludf.DUMMYFUNCTION("""COMPUTED_VALUE"""),0.5)</f>
        <v>0.5</v>
      </c>
      <c r="M392" s="56">
        <f>IFERROR(__xludf.DUMMYFUNCTION("""COMPUTED_VALUE"""),0.29411764705882354)</f>
        <v>0.2941176471</v>
      </c>
      <c r="N392" s="31">
        <f>IFERROR(__xludf.DUMMYFUNCTION("""COMPUTED_VALUE"""),373.75)</f>
        <v>373.75</v>
      </c>
      <c r="O392" s="57">
        <f>IFERROR(__xludf.DUMMYFUNCTION("""COMPUTED_VALUE"""),0.625)</f>
        <v>0.625</v>
      </c>
      <c r="P392" s="57">
        <f>IFERROR(__xludf.DUMMYFUNCTION("""COMPUTED_VALUE"""),0.875)</f>
        <v>0.875</v>
      </c>
      <c r="Q392" s="57">
        <f>IFERROR(__xludf.DUMMYFUNCTION("""COMPUTED_VALUE"""),1.25)</f>
        <v>1.25</v>
      </c>
      <c r="R392" s="57">
        <f>IFERROR(__xludf.DUMMYFUNCTION("""COMPUTED_VALUE"""),2.125)</f>
        <v>2.125</v>
      </c>
      <c r="S392" s="31">
        <f>IFERROR(__xludf.DUMMYFUNCTION("""COMPUTED_VALUE"""),421.45833333333337)</f>
        <v>421.4583333</v>
      </c>
      <c r="T392" s="57">
        <f>IFERROR(__xludf.DUMMYFUNCTION("""COMPUTED_VALUE"""),0.9166666666666666)</f>
        <v>0.9166666667</v>
      </c>
      <c r="U392" s="57">
        <f>IFERROR(__xludf.DUMMYFUNCTION("""COMPUTED_VALUE"""),0.75)</f>
        <v>0.75</v>
      </c>
      <c r="V392" s="57">
        <f>IFERROR(__xludf.DUMMYFUNCTION("""COMPUTED_VALUE"""),1.3749999999999998)</f>
        <v>1.375</v>
      </c>
      <c r="W392" s="57">
        <f>IFERROR(__xludf.DUMMYFUNCTION("""COMPUTED_VALUE"""),3.25)</f>
        <v>3.25</v>
      </c>
      <c r="X392" s="31">
        <f>IFERROR(__xludf.DUMMYFUNCTION("""COMPUTED_VALUE"""),400.04665704665706)</f>
        <v>400.046657</v>
      </c>
      <c r="Y392" s="57">
        <f>IFERROR(__xludf.DUMMYFUNCTION("""COMPUTED_VALUE"""),0.8917147667147667)</f>
        <v>0.8917147667</v>
      </c>
      <c r="Z392" s="57">
        <f>IFERROR(__xludf.DUMMYFUNCTION("""COMPUTED_VALUE"""),0.6519660894660895)</f>
        <v>0.6519660895</v>
      </c>
      <c r="AA392" s="57">
        <f>IFERROR(__xludf.DUMMYFUNCTION("""COMPUTED_VALUE"""),1.5505576599326598)</f>
        <v>1.55055766</v>
      </c>
      <c r="AB392" s="57">
        <f>IFERROR(__xludf.DUMMYFUNCTION("""COMPUTED_VALUE"""),2.8586309523809517)</f>
        <v>2.858630952</v>
      </c>
      <c r="AC392" s="31">
        <f>IFERROR(__xludf.DUMMYFUNCTION("""COMPUTED_VALUE"""),399.4366081449414)</f>
        <v>399.4366081</v>
      </c>
      <c r="AD392" s="57">
        <f>IFERROR(__xludf.DUMMYFUNCTION("""COMPUTED_VALUE"""),0.9004404160654161)</f>
        <v>0.9004404161</v>
      </c>
      <c r="AE392" s="57">
        <f>IFERROR(__xludf.DUMMYFUNCTION("""COMPUTED_VALUE"""),0.6995726110309444)</f>
        <v>0.699572611</v>
      </c>
      <c r="AF392" s="57">
        <f>IFERROR(__xludf.DUMMYFUNCTION("""COMPUTED_VALUE"""),1.4958188031104696)</f>
        <v>1.495818803</v>
      </c>
      <c r="AG392" s="57">
        <f>IFERROR(__xludf.DUMMYFUNCTION("""COMPUTED_VALUE"""),2.898002845919512)</f>
        <v>2.898002846</v>
      </c>
      <c r="AH392" s="57">
        <f>IFERROR(__xludf.DUMMYFUNCTION("""COMPUTED_VALUE"""),0.935692904402942)</f>
        <v>0.9356929044</v>
      </c>
      <c r="AI392" s="57">
        <f>IFERROR(__xludf.DUMMYFUNCTION("""COMPUTED_VALUE"""),0.6941047834469865)</f>
        <v>0.6941047834</v>
      </c>
      <c r="AJ392" s="57">
        <f>IFERROR(__xludf.DUMMYFUNCTION("""COMPUTED_VALUE"""),1.2507636608450583)</f>
        <v>1.250763661</v>
      </c>
      <c r="AK392" s="57">
        <f>IFERROR(__xludf.DUMMYFUNCTION("""COMPUTED_VALUE"""),0.8356627135590865)</f>
        <v>0.8356627136</v>
      </c>
      <c r="AL392" s="57">
        <f>IFERROR(__xludf.DUMMYFUNCTION("""COMPUTED_VALUE"""),0.733263600134856)</f>
        <v>0.7332636001</v>
      </c>
      <c r="AM392" s="57">
        <f>IFERROR(__xludf.DUMMYFUNCTION("""COMPUTED_VALUE"""),1.0535229476600252)</f>
        <v>1.053522948</v>
      </c>
      <c r="AN392" s="57">
        <f>IFERROR(__xludf.DUMMYFUNCTION("""COMPUTED_VALUE"""),1.0279819297417572)</f>
        <v>1.02798193</v>
      </c>
      <c r="AO392" s="57">
        <f>IFERROR(__xludf.DUMMYFUNCTION("""COMPUTED_VALUE"""),1.1503665790565776)</f>
        <v>1.150366579</v>
      </c>
      <c r="AP392" s="35">
        <f>IFERROR(__xludf.DUMMYFUNCTION("""COMPUTED_VALUE"""),0.8867777287687035)</f>
        <v>0.8867777288</v>
      </c>
      <c r="AQ392" s="57">
        <f>IFERROR(__xludf.DUMMYFUNCTION("""COMPUTED_VALUE"""),1.1369078604893288)</f>
        <v>1.13690786</v>
      </c>
      <c r="AR392" s="36" t="b">
        <f>IFERROR(__xludf.DUMMYFUNCTION("""COMPUTED_VALUE"""),TRUE)</f>
        <v>1</v>
      </c>
      <c r="AS392" s="57"/>
      <c r="AT392" s="37"/>
      <c r="AU392" s="30"/>
      <c r="AV392" s="30"/>
      <c r="AW392" s="30"/>
      <c r="AX392" s="30"/>
      <c r="AY392" s="30"/>
      <c r="AZ392" s="30"/>
    </row>
    <row r="393">
      <c r="A393" s="30" t="str">
        <f>IFERROR(__xludf.DUMMYFUNCTION("""COMPUTED_VALUE"""),"Master")</f>
        <v>Master</v>
      </c>
      <c r="B393" s="30" t="str">
        <f>IFERROR(__xludf.DUMMYFUNCTION("""COMPUTED_VALUE"""),"RSC005690")</f>
        <v>RSC005690</v>
      </c>
      <c r="C393" s="30" t="str">
        <f>IFERROR(__xludf.DUMMYFUNCTION("""COMPUTED_VALUE"""),"DQ.")</f>
        <v>DQ.</v>
      </c>
      <c r="D393" s="31" t="str">
        <f>IFERROR(__xludf.DUMMYFUNCTION("""COMPUTED_VALUE"""),"Kawaii")</f>
        <v>Kawaii</v>
      </c>
      <c r="E393" s="31">
        <f>IFERROR(__xludf.DUMMYFUNCTION("""COMPUTED_VALUE"""),45.62857893082975)</f>
        <v>45.62857893</v>
      </c>
      <c r="F393" s="31">
        <f>IFERROR(__xludf.DUMMYFUNCTION("""COMPUTED_VALUE"""),-2.322362163318495)</f>
        <v>-2.322362163</v>
      </c>
      <c r="G393" s="31">
        <f>IFERROR(__xludf.DUMMYFUNCTION("""COMPUTED_VALUE"""),43.436052179937)</f>
        <v>43.43605218</v>
      </c>
      <c r="H393" s="31">
        <f>IFERROR(__xludf.DUMMYFUNCTION("""COMPUTED_VALUE"""),-2.5224137178738446)</f>
        <v>-2.522413718</v>
      </c>
      <c r="I393" s="54">
        <f>IFERROR(__xludf.DUMMYFUNCTION("""COMPUTED_VALUE"""),32.0)</f>
        <v>32</v>
      </c>
      <c r="J393" s="55">
        <f>IFERROR(__xludf.DUMMYFUNCTION("""COMPUTED_VALUE"""),15.0)</f>
        <v>15</v>
      </c>
      <c r="K393" s="54">
        <f>IFERROR(__xludf.DUMMYFUNCTION("""COMPUTED_VALUE"""),17.0)</f>
        <v>17</v>
      </c>
      <c r="L393" s="56">
        <f>IFERROR(__xludf.DUMMYFUNCTION("""COMPUTED_VALUE"""),0.46875)</f>
        <v>0.46875</v>
      </c>
      <c r="M393" s="56">
        <f>IFERROR(__xludf.DUMMYFUNCTION("""COMPUTED_VALUE"""),0.3333333333333333)</f>
        <v>0.3333333333</v>
      </c>
      <c r="N393" s="31">
        <f>IFERROR(__xludf.DUMMYFUNCTION("""COMPUTED_VALUE"""),347.625)</f>
        <v>347.625</v>
      </c>
      <c r="O393" s="57">
        <f>IFERROR(__xludf.DUMMYFUNCTION("""COMPUTED_VALUE"""),0.78125)</f>
        <v>0.78125</v>
      </c>
      <c r="P393" s="57">
        <f>IFERROR(__xludf.DUMMYFUNCTION("""COMPUTED_VALUE"""),0.5625)</f>
        <v>0.5625</v>
      </c>
      <c r="Q393" s="57">
        <f>IFERROR(__xludf.DUMMYFUNCTION("""COMPUTED_VALUE"""),1.1875)</f>
        <v>1.1875</v>
      </c>
      <c r="R393" s="57">
        <f>IFERROR(__xludf.DUMMYFUNCTION("""COMPUTED_VALUE"""),2.34375)</f>
        <v>2.34375</v>
      </c>
      <c r="S393" s="31">
        <f>IFERROR(__xludf.DUMMYFUNCTION("""COMPUTED_VALUE"""),380.2291666666667)</f>
        <v>380.2291667</v>
      </c>
      <c r="T393" s="57">
        <f>IFERROR(__xludf.DUMMYFUNCTION("""COMPUTED_VALUE"""),0.8645833333333334)</f>
        <v>0.8645833333</v>
      </c>
      <c r="U393" s="57">
        <f>IFERROR(__xludf.DUMMYFUNCTION("""COMPUTED_VALUE"""),0.6041666666666667)</f>
        <v>0.6041666667</v>
      </c>
      <c r="V393" s="57">
        <f>IFERROR(__xludf.DUMMYFUNCTION("""COMPUTED_VALUE"""),1.3854166666666665)</f>
        <v>1.385416667</v>
      </c>
      <c r="W393" s="57">
        <f>IFERROR(__xludf.DUMMYFUNCTION("""COMPUTED_VALUE"""),2.541666666666667)</f>
        <v>2.541666667</v>
      </c>
      <c r="X393" s="31">
        <f>IFERROR(__xludf.DUMMYFUNCTION("""COMPUTED_VALUE"""),383.0112253624346)</f>
        <v>383.0112254</v>
      </c>
      <c r="Y393" s="57">
        <f>IFERROR(__xludf.DUMMYFUNCTION("""COMPUTED_VALUE"""),0.8889090156475995)</f>
        <v>0.8889090156</v>
      </c>
      <c r="Z393" s="57">
        <f>IFERROR(__xludf.DUMMYFUNCTION("""COMPUTED_VALUE"""),0.6873918963963787)</f>
        <v>0.6873918964</v>
      </c>
      <c r="AA393" s="57">
        <f>IFERROR(__xludf.DUMMYFUNCTION("""COMPUTED_VALUE"""),1.4021311991986807)</f>
        <v>1.402131199</v>
      </c>
      <c r="AB393" s="57">
        <f>IFERROR(__xludf.DUMMYFUNCTION("""COMPUTED_VALUE"""),2.7283795684829535)</f>
        <v>2.728379568</v>
      </c>
      <c r="AC393" s="31">
        <f>IFERROR(__xludf.DUMMYFUNCTION("""COMPUTED_VALUE"""),382.8038351807617)</f>
        <v>382.8038352</v>
      </c>
      <c r="AD393" s="57">
        <f>IFERROR(__xludf.DUMMYFUNCTION("""COMPUTED_VALUE"""),0.8581132817354551)</f>
        <v>0.8581132817</v>
      </c>
      <c r="AE393" s="57">
        <f>IFERROR(__xludf.DUMMYFUNCTION("""COMPUTED_VALUE"""),0.6514326679803839)</f>
        <v>0.651432668</v>
      </c>
      <c r="AF393" s="57">
        <f>IFERROR(__xludf.DUMMYFUNCTION("""COMPUTED_VALUE"""),1.4465290978022898)</f>
        <v>1.446529098</v>
      </c>
      <c r="AG393" s="57">
        <f>IFERROR(__xludf.DUMMYFUNCTION("""COMPUTED_VALUE"""),2.739160325040302)</f>
        <v>2.739160325</v>
      </c>
      <c r="AH393" s="57">
        <f>IFERROR(__xludf.DUMMYFUNCTION("""COMPUTED_VALUE"""),0.9081021872099319)</f>
        <v>0.9081021872</v>
      </c>
      <c r="AI393" s="57">
        <f>IFERROR(__xludf.DUMMYFUNCTION("""COMPUTED_VALUE"""),0.9104275817989832)</f>
        <v>0.9104275818</v>
      </c>
      <c r="AJ393" s="57">
        <f>IFERROR(__xludf.DUMMYFUNCTION("""COMPUTED_VALUE"""),0.8634814120450867)</f>
        <v>0.863481412</v>
      </c>
      <c r="AK393" s="57">
        <f>IFERROR(__xludf.DUMMYFUNCTION("""COMPUTED_VALUE"""),0.8209305998781273)</f>
        <v>0.8209305999</v>
      </c>
      <c r="AL393" s="57">
        <f>IFERROR(__xludf.DUMMYFUNCTION("""COMPUTED_VALUE"""),0.855645424831245)</f>
        <v>0.8556454248</v>
      </c>
      <c r="AM393" s="57">
        <f>IFERROR(__xludf.DUMMYFUNCTION("""COMPUTED_VALUE"""),0.9927363520660908)</f>
        <v>0.9927363521</v>
      </c>
      <c r="AN393" s="57">
        <f>IFERROR(__xludf.DUMMYFUNCTION("""COMPUTED_VALUE"""),0.9726342270287989)</f>
        <v>0.972634227</v>
      </c>
      <c r="AO393" s="57">
        <f>IFERROR(__xludf.DUMMYFUNCTION("""COMPUTED_VALUE"""),0.8789260825360082)</f>
        <v>0.8789260825</v>
      </c>
      <c r="AP393" s="35">
        <f>IFERROR(__xludf.DUMMYFUNCTION("""COMPUTED_VALUE"""),0.9880791950556649)</f>
        <v>0.9880791951</v>
      </c>
      <c r="AQ393" s="57">
        <f>IFERROR(__xludf.DUMMYFUNCTION("""COMPUTED_VALUE"""),0.9315663758909822)</f>
        <v>0.9315663759</v>
      </c>
      <c r="AR393" s="36" t="b">
        <f>IFERROR(__xludf.DUMMYFUNCTION("""COMPUTED_VALUE"""),TRUE)</f>
        <v>1</v>
      </c>
      <c r="AS393" s="57"/>
      <c r="AT393" s="37"/>
      <c r="AU393" s="30"/>
      <c r="AV393" s="30"/>
      <c r="AW393" s="30"/>
      <c r="AX393" s="30"/>
      <c r="AY393" s="30"/>
      <c r="AZ393" s="30"/>
    </row>
    <row r="394">
      <c r="A394" s="30" t="str">
        <f>IFERROR(__xludf.DUMMYFUNCTION("""COMPUTED_VALUE"""),"Master")</f>
        <v>Master</v>
      </c>
      <c r="B394" s="30" t="str">
        <f>IFERROR(__xludf.DUMMYFUNCTION("""COMPUTED_VALUE"""),"RSC003308")</f>
        <v>RSC003308</v>
      </c>
      <c r="C394" s="30" t="str">
        <f>IFERROR(__xludf.DUMMYFUNCTION("""COMPUTED_VALUE"""),"Tman")</f>
        <v>Tman</v>
      </c>
      <c r="D394" s="31" t="str">
        <f>IFERROR(__xludf.DUMMYFUNCTION("""COMPUTED_VALUE"""),"Care Bears")</f>
        <v>Care Bears</v>
      </c>
      <c r="E394" s="31">
        <f>IFERROR(__xludf.DUMMYFUNCTION("""COMPUTED_VALUE"""),45.515789746305565)</f>
        <v>45.51578975</v>
      </c>
      <c r="F394" s="31">
        <f>IFERROR(__xludf.DUMMYFUNCTION("""COMPUTED_VALUE"""),-2.3319578516722212)</f>
        <v>-2.331957852</v>
      </c>
      <c r="G394" s="31">
        <f>IFERROR(__xludf.DUMMYFUNCTION("""COMPUTED_VALUE"""),40.371636352791455)</f>
        <v>40.37163635</v>
      </c>
      <c r="H394" s="31">
        <f>IFERROR(__xludf.DUMMYFUNCTION("""COMPUTED_VALUE"""),-2.856580786174001)</f>
        <v>-2.856580786</v>
      </c>
      <c r="I394" s="54">
        <f>IFERROR(__xludf.DUMMYFUNCTION("""COMPUTED_VALUE"""),29.0)</f>
        <v>29</v>
      </c>
      <c r="J394" s="55">
        <f>IFERROR(__xludf.DUMMYFUNCTION("""COMPUTED_VALUE"""),11.0)</f>
        <v>11</v>
      </c>
      <c r="K394" s="54">
        <f>IFERROR(__xludf.DUMMYFUNCTION("""COMPUTED_VALUE"""),18.0)</f>
        <v>18</v>
      </c>
      <c r="L394" s="56">
        <f>IFERROR(__xludf.DUMMYFUNCTION("""COMPUTED_VALUE"""),0.3793103448275862)</f>
        <v>0.3793103448</v>
      </c>
      <c r="M394" s="56">
        <f>IFERROR(__xludf.DUMMYFUNCTION("""COMPUTED_VALUE"""),0.29333333333333333)</f>
        <v>0.2933333333</v>
      </c>
      <c r="N394" s="31">
        <f>IFERROR(__xludf.DUMMYFUNCTION("""COMPUTED_VALUE"""),371.44827586206895)</f>
        <v>371.4482759</v>
      </c>
      <c r="O394" s="57">
        <f>IFERROR(__xludf.DUMMYFUNCTION("""COMPUTED_VALUE"""),0.7586206896551724)</f>
        <v>0.7586206897</v>
      </c>
      <c r="P394" s="57">
        <f>IFERROR(__xludf.DUMMYFUNCTION("""COMPUTED_VALUE"""),0.5172413793103449)</f>
        <v>0.5172413793</v>
      </c>
      <c r="Q394" s="57">
        <f>IFERROR(__xludf.DUMMYFUNCTION("""COMPUTED_VALUE"""),1.5517241379310345)</f>
        <v>1.551724138</v>
      </c>
      <c r="R394" s="57">
        <f>IFERROR(__xludf.DUMMYFUNCTION("""COMPUTED_VALUE"""),2.586206896551724)</f>
        <v>2.586206897</v>
      </c>
      <c r="S394" s="31">
        <f>IFERROR(__xludf.DUMMYFUNCTION("""COMPUTED_VALUE"""),387.4137931034482)</f>
        <v>387.4137931</v>
      </c>
      <c r="T394" s="57">
        <f>IFERROR(__xludf.DUMMYFUNCTION("""COMPUTED_VALUE"""),0.9310344827586206)</f>
        <v>0.9310344828</v>
      </c>
      <c r="U394" s="57">
        <f>IFERROR(__xludf.DUMMYFUNCTION("""COMPUTED_VALUE"""),0.6896551724137933)</f>
        <v>0.6896551724</v>
      </c>
      <c r="V394" s="57">
        <f>IFERROR(__xludf.DUMMYFUNCTION("""COMPUTED_VALUE"""),1.4367816091954022)</f>
        <v>1.436781609</v>
      </c>
      <c r="W394" s="57">
        <f>IFERROR(__xludf.DUMMYFUNCTION("""COMPUTED_VALUE"""),2.873563218390805)</f>
        <v>2.873563218</v>
      </c>
      <c r="X394" s="31">
        <f>IFERROR(__xludf.DUMMYFUNCTION("""COMPUTED_VALUE"""),395.5353499211599)</f>
        <v>395.5353499</v>
      </c>
      <c r="Y394" s="57">
        <f>IFERROR(__xludf.DUMMYFUNCTION("""COMPUTED_VALUE"""),0.9227524456260242)</f>
        <v>0.9227524456</v>
      </c>
      <c r="Z394" s="57">
        <f>IFERROR(__xludf.DUMMYFUNCTION("""COMPUTED_VALUE"""),0.7054245160858376)</f>
        <v>0.7054245161</v>
      </c>
      <c r="AA394" s="57">
        <f>IFERROR(__xludf.DUMMYFUNCTION("""COMPUTED_VALUE"""),1.4815968227381884)</f>
        <v>1.481596823</v>
      </c>
      <c r="AB394" s="57">
        <f>IFERROR(__xludf.DUMMYFUNCTION("""COMPUTED_VALUE"""),2.933006922103879)</f>
        <v>2.933006922</v>
      </c>
      <c r="AC394" s="31">
        <f>IFERROR(__xludf.DUMMYFUNCTION("""COMPUTED_VALUE"""),383.26849940167244)</f>
        <v>383.2684994</v>
      </c>
      <c r="AD394" s="57">
        <f>IFERROR(__xludf.DUMMYFUNCTION("""COMPUTED_VALUE"""),0.8439338291574785)</f>
        <v>0.8439338292</v>
      </c>
      <c r="AE394" s="57">
        <f>IFERROR(__xludf.DUMMYFUNCTION("""COMPUTED_VALUE"""),0.6515803234521566)</f>
        <v>0.6515803235</v>
      </c>
      <c r="AF394" s="57">
        <f>IFERROR(__xludf.DUMMYFUNCTION("""COMPUTED_VALUE"""),1.5197182900330624)</f>
        <v>1.51971829</v>
      </c>
      <c r="AG394" s="57">
        <f>IFERROR(__xludf.DUMMYFUNCTION("""COMPUTED_VALUE"""),2.7552788303979967)</f>
        <v>2.75527883</v>
      </c>
      <c r="AH394" s="57">
        <f>IFERROR(__xludf.DUMMYFUNCTION("""COMPUTED_VALUE"""),0.9691594181153519)</f>
        <v>0.9691594181</v>
      </c>
      <c r="AI394" s="57">
        <f>IFERROR(__xludf.DUMMYFUNCTION("""COMPUTED_VALUE"""),0.8989101555657788)</f>
        <v>0.8989101556</v>
      </c>
      <c r="AJ394" s="57">
        <f>IFERROR(__xludf.DUMMYFUNCTION("""COMPUTED_VALUE"""),0.7938259654157961)</f>
        <v>0.7938259654</v>
      </c>
      <c r="AK394" s="57">
        <f>IFERROR(__xludf.DUMMYFUNCTION("""COMPUTED_VALUE"""),1.0210603821167907)</f>
        <v>1.021060382</v>
      </c>
      <c r="AL394" s="57">
        <f>IFERROR(__xludf.DUMMYFUNCTION("""COMPUTED_VALUE"""),0.9386370874769686)</f>
        <v>0.9386370875</v>
      </c>
      <c r="AM394" s="57">
        <f>IFERROR(__xludf.DUMMYFUNCTION("""COMPUTED_VALUE"""),0.9794669254737143)</f>
        <v>0.9794669255</v>
      </c>
      <c r="AN394" s="57">
        <f>IFERROR(__xludf.DUMMYFUNCTION("""COMPUTED_VALUE"""),1.0089753618880712)</f>
        <v>1.008975362</v>
      </c>
      <c r="AO394" s="57">
        <f>IFERROR(__xludf.DUMMYFUNCTION("""COMPUTED_VALUE"""),0.977645597349603)</f>
        <v>0.9776455973</v>
      </c>
      <c r="AP394" s="35">
        <f>IFERROR(__xludf.DUMMYFUNCTION("""COMPUTED_VALUE"""),0.9697520858205124)</f>
        <v>0.9697520858</v>
      </c>
      <c r="AQ394" s="57">
        <f>IFERROR(__xludf.DUMMYFUNCTION("""COMPUTED_VALUE"""),0.9797328457477917)</f>
        <v>0.9797328457</v>
      </c>
      <c r="AR394" s="36" t="b">
        <f>IFERROR(__xludf.DUMMYFUNCTION("""COMPUTED_VALUE"""),TRUE)</f>
        <v>1</v>
      </c>
      <c r="AS394" s="57"/>
      <c r="AT394" s="37"/>
      <c r="AU394" s="30"/>
      <c r="AV394" s="30"/>
      <c r="AW394" s="30"/>
      <c r="AX394" s="30"/>
      <c r="AY394" s="30"/>
      <c r="AZ394" s="30"/>
    </row>
    <row r="395">
      <c r="A395" s="30" t="str">
        <f>IFERROR(__xludf.DUMMYFUNCTION("""COMPUTED_VALUE"""),"Master")</f>
        <v>Master</v>
      </c>
      <c r="B395" s="30" t="str">
        <f>IFERROR(__xludf.DUMMYFUNCTION("""COMPUTED_VALUE"""),"RSC000203")</f>
        <v>RSC000203</v>
      </c>
      <c r="C395" s="30" t="str">
        <f>IFERROR(__xludf.DUMMYFUNCTION("""COMPUTED_VALUE"""),"FrostyBrew")</f>
        <v>FrostyBrew</v>
      </c>
      <c r="D395" s="31"/>
      <c r="E395" s="31">
        <f>IFERROR(__xludf.DUMMYFUNCTION("""COMPUTED_VALUE"""),45.008112501098374)</f>
        <v>45.0081125</v>
      </c>
      <c r="F395" s="31">
        <f>IFERROR(__xludf.DUMMYFUNCTION("""COMPUTED_VALUE"""),-2.376046478316494)</f>
        <v>-2.376046478</v>
      </c>
      <c r="G395" s="31">
        <f>IFERROR(__xludf.DUMMYFUNCTION("""COMPUTED_VALUE"""),24.42651376258877)</f>
        <v>24.42651376</v>
      </c>
      <c r="H395" s="31">
        <f>IFERROR(__xludf.DUMMYFUNCTION("""COMPUTED_VALUE"""),-6.52876871776794)</f>
        <v>-6.528768718</v>
      </c>
      <c r="I395" s="54">
        <f>IFERROR(__xludf.DUMMYFUNCTION("""COMPUTED_VALUE"""),4.0)</f>
        <v>4</v>
      </c>
      <c r="J395" s="55">
        <f>IFERROR(__xludf.DUMMYFUNCTION("""COMPUTED_VALUE"""),2.0)</f>
        <v>2</v>
      </c>
      <c r="K395" s="54">
        <f>IFERROR(__xludf.DUMMYFUNCTION("""COMPUTED_VALUE"""),2.0)</f>
        <v>2</v>
      </c>
      <c r="L395" s="56">
        <f>IFERROR(__xludf.DUMMYFUNCTION("""COMPUTED_VALUE"""),0.5)</f>
        <v>0.5</v>
      </c>
      <c r="M395" s="56">
        <f>IFERROR(__xludf.DUMMYFUNCTION("""COMPUTED_VALUE"""),0.3)</f>
        <v>0.3</v>
      </c>
      <c r="N395" s="31">
        <f>IFERROR(__xludf.DUMMYFUNCTION("""COMPUTED_VALUE"""),382.5)</f>
        <v>382.5</v>
      </c>
      <c r="O395" s="57">
        <f>IFERROR(__xludf.DUMMYFUNCTION("""COMPUTED_VALUE"""),0.75)</f>
        <v>0.75</v>
      </c>
      <c r="P395" s="57">
        <f>IFERROR(__xludf.DUMMYFUNCTION("""COMPUTED_VALUE"""),0.75)</f>
        <v>0.75</v>
      </c>
      <c r="Q395" s="57">
        <f>IFERROR(__xludf.DUMMYFUNCTION("""COMPUTED_VALUE"""),1.75)</f>
        <v>1.75</v>
      </c>
      <c r="R395" s="57">
        <f>IFERROR(__xludf.DUMMYFUNCTION("""COMPUTED_VALUE"""),2.5)</f>
        <v>2.5</v>
      </c>
      <c r="S395" s="31">
        <f>IFERROR(__xludf.DUMMYFUNCTION("""COMPUTED_VALUE"""),408.9166666666667)</f>
        <v>408.9166667</v>
      </c>
      <c r="T395" s="57">
        <f>IFERROR(__xludf.DUMMYFUNCTION("""COMPUTED_VALUE"""),1.0)</f>
        <v>1</v>
      </c>
      <c r="U395" s="57">
        <f>IFERROR(__xludf.DUMMYFUNCTION("""COMPUTED_VALUE"""),0.75)</f>
        <v>0.75</v>
      </c>
      <c r="V395" s="57">
        <f>IFERROR(__xludf.DUMMYFUNCTION("""COMPUTED_VALUE"""),1.4166666666666667)</f>
        <v>1.416666667</v>
      </c>
      <c r="W395" s="57">
        <f>IFERROR(__xludf.DUMMYFUNCTION("""COMPUTED_VALUE"""),4.25)</f>
        <v>4.25</v>
      </c>
      <c r="X395" s="31">
        <f>IFERROR(__xludf.DUMMYFUNCTION("""COMPUTED_VALUE"""),399.78544973544973)</f>
        <v>399.7854497</v>
      </c>
      <c r="Y395" s="57">
        <f>IFERROR(__xludf.DUMMYFUNCTION("""COMPUTED_VALUE"""),0.9246031746031745)</f>
        <v>0.9246031746</v>
      </c>
      <c r="Z395" s="57">
        <f>IFERROR(__xludf.DUMMYFUNCTION("""COMPUTED_VALUE"""),0.5616402116402116)</f>
        <v>0.5616402116</v>
      </c>
      <c r="AA395" s="57">
        <f>IFERROR(__xludf.DUMMYFUNCTION("""COMPUTED_VALUE"""),1.5375661375661374)</f>
        <v>1.537566138</v>
      </c>
      <c r="AB395" s="57">
        <f>IFERROR(__xludf.DUMMYFUNCTION("""COMPUTED_VALUE"""),3.144179894179894)</f>
        <v>3.144179894</v>
      </c>
      <c r="AC395" s="31">
        <f>IFERROR(__xludf.DUMMYFUNCTION("""COMPUTED_VALUE"""),421.06719576719576)</f>
        <v>421.0671958</v>
      </c>
      <c r="AD395" s="57">
        <f>IFERROR(__xludf.DUMMYFUNCTION("""COMPUTED_VALUE"""),0.9522927689594356)</f>
        <v>0.952292769</v>
      </c>
      <c r="AE395" s="57">
        <f>IFERROR(__xludf.DUMMYFUNCTION("""COMPUTED_VALUE"""),0.7597001763668431)</f>
        <v>0.7597001764</v>
      </c>
      <c r="AF395" s="57">
        <f>IFERROR(__xludf.DUMMYFUNCTION("""COMPUTED_VALUE"""),1.6307760141093475)</f>
        <v>1.630776014</v>
      </c>
      <c r="AG395" s="57">
        <f>IFERROR(__xludf.DUMMYFUNCTION("""COMPUTED_VALUE"""),2.8277777777777775)</f>
        <v>2.827777778</v>
      </c>
      <c r="AH395" s="57">
        <f>IFERROR(__xludf.DUMMYFUNCTION("""COMPUTED_VALUE"""),0.9084060782818161)</f>
        <v>0.9084060783</v>
      </c>
      <c r="AI395" s="57">
        <f>IFERROR(__xludf.DUMMYFUNCTION("""COMPUTED_VALUE"""),0.7875729234188351)</f>
        <v>0.7875729234</v>
      </c>
      <c r="AJ395" s="57">
        <f>IFERROR(__xludf.DUMMYFUNCTION("""COMPUTED_VALUE"""),0.9872315728380731)</f>
        <v>0.9872315728</v>
      </c>
      <c r="AK395" s="57">
        <f>IFERROR(__xludf.DUMMYFUNCTION("""COMPUTED_VALUE"""),1.0731087438490239)</f>
        <v>1.073108744</v>
      </c>
      <c r="AL395" s="57">
        <f>IFERROR(__xludf.DUMMYFUNCTION("""COMPUTED_VALUE"""),0.8840864440078586)</f>
        <v>0.884086444</v>
      </c>
      <c r="AM395" s="57">
        <f>IFERROR(__xludf.DUMMYFUNCTION("""COMPUTED_VALUE"""),1.02284029330547)</f>
        <v>1.022840293</v>
      </c>
      <c r="AN395" s="57">
        <f>IFERROR(__xludf.DUMMYFUNCTION("""COMPUTED_VALUE"""),1.0815450643776825)</f>
        <v>1.081545064</v>
      </c>
      <c r="AO395" s="57">
        <f>IFERROR(__xludf.DUMMYFUNCTION("""COMPUTED_VALUE"""),1.335374470089496)</f>
        <v>1.33537447</v>
      </c>
      <c r="AP395" s="35">
        <f>IFERROR(__xludf.DUMMYFUNCTION("""COMPUTED_VALUE"""),0.9213695801789403)</f>
        <v>0.9213695802</v>
      </c>
      <c r="AQ395" s="57">
        <f>IFERROR(__xludf.DUMMYFUNCTION("""COMPUTED_VALUE"""),1.3517038283550695)</f>
        <v>1.351703828</v>
      </c>
      <c r="AR395" s="36" t="b">
        <f>IFERROR(__xludf.DUMMYFUNCTION("""COMPUTED_VALUE"""),TRUE)</f>
        <v>1</v>
      </c>
      <c r="AS395" s="57"/>
      <c r="AT395" s="37"/>
      <c r="AU395" s="30"/>
      <c r="AV395" s="30"/>
      <c r="AW395" s="30"/>
      <c r="AX395" s="30"/>
      <c r="AY395" s="30"/>
      <c r="AZ395" s="30"/>
    </row>
    <row r="396">
      <c r="A396" s="30" t="str">
        <f>IFERROR(__xludf.DUMMYFUNCTION("""COMPUTED_VALUE"""),"Master")</f>
        <v>Master</v>
      </c>
      <c r="B396" s="30" t="str">
        <f>IFERROR(__xludf.DUMMYFUNCTION("""COMPUTED_VALUE"""),"RSC006259")</f>
        <v>RSC006259</v>
      </c>
      <c r="C396" s="30" t="str">
        <f>IFERROR(__xludf.DUMMYFUNCTION("""COMPUTED_VALUE"""),"mojomo")</f>
        <v>mojomo</v>
      </c>
      <c r="D396" s="31" t="str">
        <f>IFERROR(__xludf.DUMMYFUNCTION("""COMPUTED_VALUE"""),"Plinko")</f>
        <v>Plinko</v>
      </c>
      <c r="E396" s="31">
        <f>IFERROR(__xludf.DUMMYFUNCTION("""COMPUTED_VALUE"""),42.81851372344461)</f>
        <v>42.81851372</v>
      </c>
      <c r="F396" s="31">
        <f>IFERROR(__xludf.DUMMYFUNCTION("""COMPUTED_VALUE"""),-2.5842675770249985)</f>
        <v>-2.584267577</v>
      </c>
      <c r="G396" s="31">
        <f>IFERROR(__xludf.DUMMYFUNCTION("""COMPUTED_VALUE"""),36.580760850656915)</f>
        <v>36.58076085</v>
      </c>
      <c r="H396" s="31">
        <f>IFERROR(__xludf.DUMMYFUNCTION("""COMPUTED_VALUE"""),-3.3816526610689905)</f>
        <v>-3.381652661</v>
      </c>
      <c r="I396" s="54">
        <f>IFERROR(__xludf.DUMMYFUNCTION("""COMPUTED_VALUE"""),32.0)</f>
        <v>32</v>
      </c>
      <c r="J396" s="55">
        <f>IFERROR(__xludf.DUMMYFUNCTION("""COMPUTED_VALUE"""),13.0)</f>
        <v>13</v>
      </c>
      <c r="K396" s="54">
        <f>IFERROR(__xludf.DUMMYFUNCTION("""COMPUTED_VALUE"""),19.0)</f>
        <v>19</v>
      </c>
      <c r="L396" s="56">
        <f>IFERROR(__xludf.DUMMYFUNCTION("""COMPUTED_VALUE"""),0.40625)</f>
        <v>0.40625</v>
      </c>
      <c r="M396" s="56">
        <f>IFERROR(__xludf.DUMMYFUNCTION("""COMPUTED_VALUE"""),0.27710843373493976)</f>
        <v>0.2771084337</v>
      </c>
      <c r="N396" s="31">
        <f>IFERROR(__xludf.DUMMYFUNCTION("""COMPUTED_VALUE"""),373.375)</f>
        <v>373.375</v>
      </c>
      <c r="O396" s="57">
        <f>IFERROR(__xludf.DUMMYFUNCTION("""COMPUTED_VALUE"""),0.71875)</f>
        <v>0.71875</v>
      </c>
      <c r="P396" s="57">
        <f>IFERROR(__xludf.DUMMYFUNCTION("""COMPUTED_VALUE"""),0.5625)</f>
        <v>0.5625</v>
      </c>
      <c r="Q396" s="57">
        <f>IFERROR(__xludf.DUMMYFUNCTION("""COMPUTED_VALUE"""),1.90625)</f>
        <v>1.90625</v>
      </c>
      <c r="R396" s="57">
        <f>IFERROR(__xludf.DUMMYFUNCTION("""COMPUTED_VALUE"""),2.59375)</f>
        <v>2.59375</v>
      </c>
      <c r="S396" s="31">
        <f>IFERROR(__xludf.DUMMYFUNCTION("""COMPUTED_VALUE"""),410.35416666666674)</f>
        <v>410.3541667</v>
      </c>
      <c r="T396" s="57">
        <f>IFERROR(__xludf.DUMMYFUNCTION("""COMPUTED_VALUE"""),1.0416666666666667)</f>
        <v>1.041666667</v>
      </c>
      <c r="U396" s="57">
        <f>IFERROR(__xludf.DUMMYFUNCTION("""COMPUTED_VALUE"""),0.8437500000000001)</f>
        <v>0.84375</v>
      </c>
      <c r="V396" s="57">
        <f>IFERROR(__xludf.DUMMYFUNCTION("""COMPUTED_VALUE"""),1.3541666666666665)</f>
        <v>1.354166667</v>
      </c>
      <c r="W396" s="57">
        <f>IFERROR(__xludf.DUMMYFUNCTION("""COMPUTED_VALUE"""),3.3541666666666665)</f>
        <v>3.354166667</v>
      </c>
      <c r="X396" s="31">
        <f>IFERROR(__xludf.DUMMYFUNCTION("""COMPUTED_VALUE"""),396.1259800865339)</f>
        <v>396.1259801</v>
      </c>
      <c r="Y396" s="57">
        <f>IFERROR(__xludf.DUMMYFUNCTION("""COMPUTED_VALUE"""),0.9038348886527966)</f>
        <v>0.9038348887</v>
      </c>
      <c r="Z396" s="57">
        <f>IFERROR(__xludf.DUMMYFUNCTION("""COMPUTED_VALUE"""),0.7204079017604701)</f>
        <v>0.7204079018</v>
      </c>
      <c r="AA396" s="57">
        <f>IFERROR(__xludf.DUMMYFUNCTION("""COMPUTED_VALUE"""),1.5205648317554221)</f>
        <v>1.520564832</v>
      </c>
      <c r="AB396" s="57">
        <f>IFERROR(__xludf.DUMMYFUNCTION("""COMPUTED_VALUE"""),2.918060731282705)</f>
        <v>2.918060731</v>
      </c>
      <c r="AC396" s="31">
        <f>IFERROR(__xludf.DUMMYFUNCTION("""COMPUTED_VALUE"""),381.56965017756977)</f>
        <v>381.5696502</v>
      </c>
      <c r="AD396" s="57">
        <f>IFERROR(__xludf.DUMMYFUNCTION("""COMPUTED_VALUE"""),0.822502535773129)</f>
        <v>0.8225025358</v>
      </c>
      <c r="AE396" s="57">
        <f>IFERROR(__xludf.DUMMYFUNCTION("""COMPUTED_VALUE"""),0.6446203844619143)</f>
        <v>0.6446203845</v>
      </c>
      <c r="AF396" s="57">
        <f>IFERROR(__xludf.DUMMYFUNCTION("""COMPUTED_VALUE"""),1.524530733003933)</f>
        <v>1.524530733</v>
      </c>
      <c r="AG396" s="57">
        <f>IFERROR(__xludf.DUMMYFUNCTION("""COMPUTED_VALUE"""),2.79016019358202)</f>
        <v>2.790160194</v>
      </c>
      <c r="AH396" s="57">
        <f>IFERROR(__xludf.DUMMYFUNCTION("""COMPUTED_VALUE"""),0.9785238417841768)</f>
        <v>0.9785238418</v>
      </c>
      <c r="AI396" s="57">
        <f>IFERROR(__xludf.DUMMYFUNCTION("""COMPUTED_VALUE"""),0.8738574882622039)</f>
        <v>0.8738574883</v>
      </c>
      <c r="AJ396" s="57">
        <f>IFERROR(__xludf.DUMMYFUNCTION("""COMPUTED_VALUE"""),0.8726065969346241)</f>
        <v>0.8726065969</v>
      </c>
      <c r="AK396" s="57">
        <f>IFERROR(__xludf.DUMMYFUNCTION("""COMPUTED_VALUE"""),1.2503847634766456)</f>
        <v>1.250384763</v>
      </c>
      <c r="AL396" s="57">
        <f>IFERROR(__xludf.DUMMYFUNCTION("""COMPUTED_VALUE"""),0.9296061229624714)</f>
        <v>0.929606123</v>
      </c>
      <c r="AM396" s="57">
        <f>IFERROR(__xludf.DUMMYFUNCTION("""COMPUTED_VALUE"""),1.0359183373355736)</f>
        <v>1.035918337</v>
      </c>
      <c r="AN396" s="57">
        <f>IFERROR(__xludf.DUMMYFUNCTION("""COMPUTED_VALUE"""),1.1524966337815463)</f>
        <v>1.152496634</v>
      </c>
      <c r="AO396" s="57">
        <f>IFERROR(__xludf.DUMMYFUNCTION("""COMPUTED_VALUE"""),1.171211473302996)</f>
        <v>1.171211473</v>
      </c>
      <c r="AP396" s="35">
        <f>IFERROR(__xludf.DUMMYFUNCTION("""COMPUTED_VALUE"""),0.8905681878117249)</f>
        <v>0.8905681878</v>
      </c>
      <c r="AQ396" s="57">
        <f>IFERROR(__xludf.DUMMYFUNCTION("""COMPUTED_VALUE"""),1.1494506028297293)</f>
        <v>1.149450603</v>
      </c>
      <c r="AR396" s="36" t="b">
        <f>IFERROR(__xludf.DUMMYFUNCTION("""COMPUTED_VALUE"""),TRUE)</f>
        <v>1</v>
      </c>
      <c r="AS396" s="57"/>
      <c r="AT396" s="37"/>
      <c r="AU396" s="30"/>
      <c r="AV396" s="30"/>
      <c r="AW396" s="30"/>
      <c r="AX396" s="30"/>
      <c r="AY396" s="30"/>
      <c r="AZ396" s="30"/>
    </row>
    <row r="397">
      <c r="A397" s="30" t="str">
        <f>IFERROR(__xludf.DUMMYFUNCTION("""COMPUTED_VALUE"""),"Master")</f>
        <v>Master</v>
      </c>
      <c r="B397" s="30" t="str">
        <f>IFERROR(__xludf.DUMMYFUNCTION("""COMPUTED_VALUE"""),"RSC001903")</f>
        <v>RSC001903</v>
      </c>
      <c r="C397" s="30" t="str">
        <f>IFERROR(__xludf.DUMMYFUNCTION("""COMPUTED_VALUE"""),"Plasma")</f>
        <v>Plasma</v>
      </c>
      <c r="D397" s="31" t="str">
        <f>IFERROR(__xludf.DUMMYFUNCTION("""COMPUTED_VALUE"""),"Spectres")</f>
        <v>Spectres</v>
      </c>
      <c r="E397" s="31">
        <f>IFERROR(__xludf.DUMMYFUNCTION("""COMPUTED_VALUE"""),40.67740057941497)</f>
        <v>40.67740058</v>
      </c>
      <c r="F397" s="31">
        <f>IFERROR(__xludf.DUMMYFUNCTION("""COMPUTED_VALUE"""),-2.8199997855412255)</f>
        <v>-2.819999786</v>
      </c>
      <c r="G397" s="31">
        <f>IFERROR(__xludf.DUMMYFUNCTION("""COMPUTED_VALUE"""),21.61866935294937)</f>
        <v>21.61866935</v>
      </c>
      <c r="H397" s="31">
        <f>IFERROR(__xludf.DUMMYFUNCTION("""COMPUTED_VALUE"""),-7.804292260951733)</f>
        <v>-7.804292261</v>
      </c>
      <c r="I397" s="54">
        <f>IFERROR(__xludf.DUMMYFUNCTION("""COMPUTED_VALUE"""),15.0)</f>
        <v>15</v>
      </c>
      <c r="J397" s="55">
        <f>IFERROR(__xludf.DUMMYFUNCTION("""COMPUTED_VALUE"""),4.0)</f>
        <v>4</v>
      </c>
      <c r="K397" s="54">
        <f>IFERROR(__xludf.DUMMYFUNCTION("""COMPUTED_VALUE"""),11.0)</f>
        <v>11</v>
      </c>
      <c r="L397" s="56">
        <f>IFERROR(__xludf.DUMMYFUNCTION("""COMPUTED_VALUE"""),0.26666666666666666)</f>
        <v>0.2666666667</v>
      </c>
      <c r="M397" s="56">
        <f>IFERROR(__xludf.DUMMYFUNCTION("""COMPUTED_VALUE"""),0.3125)</f>
        <v>0.3125</v>
      </c>
      <c r="N397" s="31">
        <f>IFERROR(__xludf.DUMMYFUNCTION("""COMPUTED_VALUE"""),373.73333333333335)</f>
        <v>373.7333333</v>
      </c>
      <c r="O397" s="57">
        <f>IFERROR(__xludf.DUMMYFUNCTION("""COMPUTED_VALUE"""),0.6666666666666666)</f>
        <v>0.6666666667</v>
      </c>
      <c r="P397" s="57">
        <f>IFERROR(__xludf.DUMMYFUNCTION("""COMPUTED_VALUE"""),0.6)</f>
        <v>0.6</v>
      </c>
      <c r="Q397" s="57">
        <f>IFERROR(__xludf.DUMMYFUNCTION("""COMPUTED_VALUE"""),2.0)</f>
        <v>2</v>
      </c>
      <c r="R397" s="57">
        <f>IFERROR(__xludf.DUMMYFUNCTION("""COMPUTED_VALUE"""),2.1333333333333333)</f>
        <v>2.133333333</v>
      </c>
      <c r="S397" s="31">
        <f>IFERROR(__xludf.DUMMYFUNCTION("""COMPUTED_VALUE"""),467.4222222222222)</f>
        <v>467.4222222</v>
      </c>
      <c r="T397" s="57">
        <f>IFERROR(__xludf.DUMMYFUNCTION("""COMPUTED_VALUE"""),1.222222222222222)</f>
        <v>1.222222222</v>
      </c>
      <c r="U397" s="57">
        <f>IFERROR(__xludf.DUMMYFUNCTION("""COMPUTED_VALUE"""),0.9555555555555554)</f>
        <v>0.9555555556</v>
      </c>
      <c r="V397" s="57">
        <f>IFERROR(__xludf.DUMMYFUNCTION("""COMPUTED_VALUE"""),1.8000000000000003)</f>
        <v>1.8</v>
      </c>
      <c r="W397" s="57">
        <f>IFERROR(__xludf.DUMMYFUNCTION("""COMPUTED_VALUE"""),3.577777777777778)</f>
        <v>3.577777778</v>
      </c>
      <c r="X397" s="31">
        <f>IFERROR(__xludf.DUMMYFUNCTION("""COMPUTED_VALUE"""),413.7983720805944)</f>
        <v>413.7983721</v>
      </c>
      <c r="Y397" s="57">
        <f>IFERROR(__xludf.DUMMYFUNCTION("""COMPUTED_VALUE"""),1.0426575276575276)</f>
        <v>1.042657528</v>
      </c>
      <c r="Z397" s="57">
        <f>IFERROR(__xludf.DUMMYFUNCTION("""COMPUTED_VALUE"""),0.7531762065095399)</f>
        <v>0.7531762065</v>
      </c>
      <c r="AA397" s="57">
        <f>IFERROR(__xludf.DUMMYFUNCTION("""COMPUTED_VALUE"""),1.5009374164929719)</f>
        <v>1.500937416</v>
      </c>
      <c r="AB397" s="57">
        <f>IFERROR(__xludf.DUMMYFUNCTION("""COMPUTED_VALUE"""),3.046606274384052)</f>
        <v>3.046606274</v>
      </c>
      <c r="AC397" s="31">
        <f>IFERROR(__xludf.DUMMYFUNCTION("""COMPUTED_VALUE"""),367.96030017992985)</f>
        <v>367.9603002</v>
      </c>
      <c r="AD397" s="57">
        <f>IFERROR(__xludf.DUMMYFUNCTION("""COMPUTED_VALUE"""),0.7526532520976964)</f>
        <v>0.7526532521</v>
      </c>
      <c r="AE397" s="57">
        <f>IFERROR(__xludf.DUMMYFUNCTION("""COMPUTED_VALUE"""),0.5806027648620241)</f>
        <v>0.5806027649</v>
      </c>
      <c r="AF397" s="57">
        <f>IFERROR(__xludf.DUMMYFUNCTION("""COMPUTED_VALUE"""),1.5085413215042844)</f>
        <v>1.508541322</v>
      </c>
      <c r="AG397" s="57">
        <f>IFERROR(__xludf.DUMMYFUNCTION("""COMPUTED_VALUE"""),2.635802023764987)</f>
        <v>2.635802024</v>
      </c>
      <c r="AH397" s="57">
        <f>IFERROR(__xludf.DUMMYFUNCTION("""COMPUTED_VALUE"""),1.015689282649733)</f>
        <v>1.015689283</v>
      </c>
      <c r="AI397" s="57">
        <f>IFERROR(__xludf.DUMMYFUNCTION("""COMPUTED_VALUE"""),0.8857553791319187)</f>
        <v>0.8857553791</v>
      </c>
      <c r="AJ397" s="57">
        <f>IFERROR(__xludf.DUMMYFUNCTION("""COMPUTED_VALUE"""),1.033408788782784)</f>
        <v>1.033408789</v>
      </c>
      <c r="AK397" s="57">
        <f>IFERROR(__xludf.DUMMYFUNCTION("""COMPUTED_VALUE"""),1.3257840348752554)</f>
        <v>1.325784035</v>
      </c>
      <c r="AL397" s="57">
        <f>IFERROR(__xludf.DUMMYFUNCTION("""COMPUTED_VALUE"""),0.8093678182574858)</f>
        <v>0.8093678183</v>
      </c>
      <c r="AM397" s="57">
        <f>IFERROR(__xludf.DUMMYFUNCTION("""COMPUTED_VALUE"""),1.129589321175927)</f>
        <v>1.129589321</v>
      </c>
      <c r="AN397" s="57">
        <f>IFERROR(__xludf.DUMMYFUNCTION("""COMPUTED_VALUE"""),1.172218288173789)</f>
        <v>1.172218288</v>
      </c>
      <c r="AO397" s="57">
        <f>IFERROR(__xludf.DUMMYFUNCTION("""COMPUTED_VALUE"""),1.2687011980687843)</f>
        <v>1.268701198</v>
      </c>
      <c r="AP397" s="35">
        <f>IFERROR(__xludf.DUMMYFUNCTION("""COMPUTED_VALUE"""),1.1992505351794118)</f>
        <v>1.199250535</v>
      </c>
      <c r="AQ397" s="57">
        <f>IFERROR(__xludf.DUMMYFUNCTION("""COMPUTED_VALUE"""),1.1743485884145353)</f>
        <v>1.174348588</v>
      </c>
      <c r="AR397" s="36" t="b">
        <f>IFERROR(__xludf.DUMMYFUNCTION("""COMPUTED_VALUE"""),TRUE)</f>
        <v>1</v>
      </c>
      <c r="AS397" s="57"/>
      <c r="AT397" s="37"/>
      <c r="AU397" s="30"/>
      <c r="AV397" s="30"/>
      <c r="AW397" s="30"/>
      <c r="AX397" s="30"/>
      <c r="AY397" s="30"/>
      <c r="AZ397" s="30"/>
    </row>
    <row r="398">
      <c r="A398" s="30" t="str">
        <f>IFERROR(__xludf.DUMMYFUNCTION("""COMPUTED_VALUE"""),"Master")</f>
        <v>Master</v>
      </c>
      <c r="B398" s="30" t="str">
        <f>IFERROR(__xludf.DUMMYFUNCTION("""COMPUTED_VALUE"""),"RSC007354")</f>
        <v>RSC007354</v>
      </c>
      <c r="C398" s="30" t="str">
        <f>IFERROR(__xludf.DUMMYFUNCTION("""COMPUTED_VALUE"""),"Fanatic")</f>
        <v>Fanatic</v>
      </c>
      <c r="D398" s="31" t="str">
        <f>IFERROR(__xludf.DUMMYFUNCTION("""COMPUTED_VALUE"""),"Desolation")</f>
        <v>Desolation</v>
      </c>
      <c r="E398" s="31">
        <f>IFERROR(__xludf.DUMMYFUNCTION("""COMPUTED_VALUE"""),40.63084478547983)</f>
        <v>40.63084479</v>
      </c>
      <c r="F398" s="31">
        <f>IFERROR(__xludf.DUMMYFUNCTION("""COMPUTED_VALUE"""),-2.825519851543053)</f>
        <v>-2.825519852</v>
      </c>
      <c r="G398" s="31">
        <f>IFERROR(__xludf.DUMMYFUNCTION("""COMPUTED_VALUE"""),37.23304471060662)</f>
        <v>37.23304471</v>
      </c>
      <c r="H398" s="31">
        <f>IFERROR(__xludf.DUMMYFUNCTION("""COMPUTED_VALUE"""),-3.280966914173699)</f>
        <v>-3.280966914</v>
      </c>
      <c r="I398" s="54">
        <f>IFERROR(__xludf.DUMMYFUNCTION("""COMPUTED_VALUE"""),4.0)</f>
        <v>4</v>
      </c>
      <c r="J398" s="55">
        <f>IFERROR(__xludf.DUMMYFUNCTION("""COMPUTED_VALUE"""),3.0)</f>
        <v>3</v>
      </c>
      <c r="K398" s="54">
        <f>IFERROR(__xludf.DUMMYFUNCTION("""COMPUTED_VALUE"""),1.0)</f>
        <v>1</v>
      </c>
      <c r="L398" s="56">
        <f>IFERROR(__xludf.DUMMYFUNCTION("""COMPUTED_VALUE"""),0.75)</f>
        <v>0.75</v>
      </c>
      <c r="M398" s="56">
        <f>IFERROR(__xludf.DUMMYFUNCTION("""COMPUTED_VALUE"""),0.25)</f>
        <v>0.25</v>
      </c>
      <c r="N398" s="31">
        <f>IFERROR(__xludf.DUMMYFUNCTION("""COMPUTED_VALUE"""),350.75)</f>
        <v>350.75</v>
      </c>
      <c r="O398" s="57">
        <f>IFERROR(__xludf.DUMMYFUNCTION("""COMPUTED_VALUE"""),0.5)</f>
        <v>0.5</v>
      </c>
      <c r="P398" s="57">
        <f>IFERROR(__xludf.DUMMYFUNCTION("""COMPUTED_VALUE"""),0.75)</f>
        <v>0.75</v>
      </c>
      <c r="Q398" s="57">
        <f>IFERROR(__xludf.DUMMYFUNCTION("""COMPUTED_VALUE"""),2.0)</f>
        <v>2</v>
      </c>
      <c r="R398" s="57">
        <f>IFERROR(__xludf.DUMMYFUNCTION("""COMPUTED_VALUE"""),2.0)</f>
        <v>2</v>
      </c>
      <c r="S398" s="31">
        <f>IFERROR(__xludf.DUMMYFUNCTION("""COMPUTED_VALUE"""),358.5)</f>
        <v>358.5</v>
      </c>
      <c r="T398" s="57">
        <f>IFERROR(__xludf.DUMMYFUNCTION("""COMPUTED_VALUE"""),0.8333333333333333)</f>
        <v>0.8333333333</v>
      </c>
      <c r="U398" s="57">
        <f>IFERROR(__xludf.DUMMYFUNCTION("""COMPUTED_VALUE"""),0.6666666666666666)</f>
        <v>0.6666666667</v>
      </c>
      <c r="V398" s="57">
        <f>IFERROR(__xludf.DUMMYFUNCTION("""COMPUTED_VALUE"""),1.0833333333333333)</f>
        <v>1.083333333</v>
      </c>
      <c r="W398" s="57">
        <f>IFERROR(__xludf.DUMMYFUNCTION("""COMPUTED_VALUE"""),3.0)</f>
        <v>3</v>
      </c>
      <c r="X398" s="31">
        <f>IFERROR(__xludf.DUMMYFUNCTION("""COMPUTED_VALUE"""),382.2704342273308)</f>
        <v>382.2704342</v>
      </c>
      <c r="Y398" s="57">
        <f>IFERROR(__xludf.DUMMYFUNCTION("""COMPUTED_VALUE"""),0.7158365261813536)</f>
        <v>0.7158365262</v>
      </c>
      <c r="Z398" s="57">
        <f>IFERROR(__xludf.DUMMYFUNCTION("""COMPUTED_VALUE"""),0.6995530012771392)</f>
        <v>0.6995530013</v>
      </c>
      <c r="AA398" s="57">
        <f>IFERROR(__xludf.DUMMYFUNCTION("""COMPUTED_VALUE"""),1.5335249042145593)</f>
        <v>1.533524904</v>
      </c>
      <c r="AB398" s="57">
        <f>IFERROR(__xludf.DUMMYFUNCTION("""COMPUTED_VALUE"""),3.0616219667943803)</f>
        <v>3.061621967</v>
      </c>
      <c r="AC398" s="31">
        <f>IFERROR(__xludf.DUMMYFUNCTION("""COMPUTED_VALUE"""),363.39027245636447)</f>
        <v>363.3902725</v>
      </c>
      <c r="AD398" s="57">
        <f>IFERROR(__xludf.DUMMYFUNCTION("""COMPUTED_VALUE"""),0.893146019582801)</f>
        <v>0.8931460196</v>
      </c>
      <c r="AE398" s="57">
        <f>IFERROR(__xludf.DUMMYFUNCTION("""COMPUTED_VALUE"""),0.58737760749255)</f>
        <v>0.5873776075</v>
      </c>
      <c r="AF398" s="57">
        <f>IFERROR(__xludf.DUMMYFUNCTION("""COMPUTED_VALUE"""),1.4175180928054492)</f>
        <v>1.417518093</v>
      </c>
      <c r="AG398" s="57">
        <f>IFERROR(__xludf.DUMMYFUNCTION("""COMPUTED_VALUE"""),2.6248403575989783)</f>
        <v>2.624840358</v>
      </c>
      <c r="AH398" s="57">
        <f>IFERROR(__xludf.DUMMYFUNCTION("""COMPUTED_VALUE"""),0.9652157104511313)</f>
        <v>0.9652157105</v>
      </c>
      <c r="AI398" s="57">
        <f>IFERROR(__xludf.DUMMYFUNCTION("""COMPUTED_VALUE"""),0.5598188751191612)</f>
        <v>0.5598188751</v>
      </c>
      <c r="AJ398" s="57">
        <f>IFERROR(__xludf.DUMMYFUNCTION("""COMPUTED_VALUE"""),1.2768617503170865)</f>
        <v>1.27686175</v>
      </c>
      <c r="AK398" s="57">
        <f>IFERROR(__xludf.DUMMYFUNCTION("""COMPUTED_VALUE"""),1.4109167354906524)</f>
        <v>1.410916735</v>
      </c>
      <c r="AL398" s="57">
        <f>IFERROR(__xludf.DUMMYFUNCTION("""COMPUTED_VALUE"""),0.7619511008393139)</f>
        <v>0.7619511008</v>
      </c>
      <c r="AM398" s="57">
        <f>IFERROR(__xludf.DUMMYFUNCTION("""COMPUTED_VALUE"""),0.9378177538752713)</f>
        <v>0.9378177539</v>
      </c>
      <c r="AN398" s="57">
        <f>IFERROR(__xludf.DUMMYFUNCTION("""COMPUTED_VALUE"""),1.1641391614629797)</f>
        <v>1.164139161</v>
      </c>
      <c r="AO398" s="57">
        <f>IFERROR(__xludf.DUMMYFUNCTION("""COMPUTED_VALUE"""),0.9529895025102693)</f>
        <v>0.9529895025</v>
      </c>
      <c r="AP398" s="35">
        <f>IFERROR(__xludf.DUMMYFUNCTION("""COMPUTED_VALUE"""),0.7064334790755777)</f>
        <v>0.7064334791</v>
      </c>
      <c r="AQ398" s="57">
        <f>IFERROR(__xludf.DUMMYFUNCTION("""COMPUTED_VALUE"""),0.9798727708833039)</f>
        <v>0.9798727709</v>
      </c>
      <c r="AR398" s="36" t="b">
        <f>IFERROR(__xludf.DUMMYFUNCTION("""COMPUTED_VALUE"""),TRUE)</f>
        <v>1</v>
      </c>
      <c r="AS398" s="57"/>
      <c r="AT398" s="37"/>
      <c r="AU398" s="30"/>
      <c r="AV398" s="30"/>
      <c r="AW398" s="30"/>
      <c r="AX398" s="30"/>
      <c r="AY398" s="30"/>
      <c r="AZ398" s="30"/>
    </row>
    <row r="399">
      <c r="A399" s="30" t="str">
        <f>IFERROR(__xludf.DUMMYFUNCTION("""COMPUTED_VALUE"""),"Master")</f>
        <v>Master</v>
      </c>
      <c r="B399" s="30" t="str">
        <f>IFERROR(__xludf.DUMMYFUNCTION("""COMPUTED_VALUE"""),"RSC007558")</f>
        <v>RSC007558</v>
      </c>
      <c r="C399" s="30" t="str">
        <f>IFERROR(__xludf.DUMMYFUNCTION("""COMPUTED_VALUE"""),"Frijole")</f>
        <v>Frijole</v>
      </c>
      <c r="D399" s="31" t="str">
        <f>IFERROR(__xludf.DUMMYFUNCTION("""COMPUTED_VALUE"""),"Fromunda Frauds")</f>
        <v>Fromunda Frauds</v>
      </c>
      <c r="E399" s="31">
        <f>IFERROR(__xludf.DUMMYFUNCTION("""COMPUTED_VALUE"""),40.42512587101866)</f>
        <v>40.42512587</v>
      </c>
      <c r="F399" s="31">
        <f>IFERROR(__xludf.DUMMYFUNCTION("""COMPUTED_VALUE"""),-2.850125452489899)</f>
        <v>-2.850125452</v>
      </c>
      <c r="G399" s="31">
        <f>IFERROR(__xludf.DUMMYFUNCTION("""COMPUTED_VALUE"""),37.41192033150891)</f>
        <v>37.41192033</v>
      </c>
      <c r="H399" s="31">
        <f>IFERROR(__xludf.DUMMYFUNCTION("""COMPUTED_VALUE"""),-3.2541676639696506)</f>
        <v>-3.254167664</v>
      </c>
      <c r="I399" s="54">
        <f>IFERROR(__xludf.DUMMYFUNCTION("""COMPUTED_VALUE"""),28.0)</f>
        <v>28</v>
      </c>
      <c r="J399" s="55">
        <f>IFERROR(__xludf.DUMMYFUNCTION("""COMPUTED_VALUE"""),11.0)</f>
        <v>11</v>
      </c>
      <c r="K399" s="54">
        <f>IFERROR(__xludf.DUMMYFUNCTION("""COMPUTED_VALUE"""),17.0)</f>
        <v>17</v>
      </c>
      <c r="L399" s="56">
        <f>IFERROR(__xludf.DUMMYFUNCTION("""COMPUTED_VALUE"""),0.39285714285714285)</f>
        <v>0.3928571429</v>
      </c>
      <c r="M399" s="56">
        <f>IFERROR(__xludf.DUMMYFUNCTION("""COMPUTED_VALUE"""),0.31147540983606564)</f>
        <v>0.3114754098</v>
      </c>
      <c r="N399" s="31">
        <f>IFERROR(__xludf.DUMMYFUNCTION("""COMPUTED_VALUE"""),347.85714285714283)</f>
        <v>347.8571429</v>
      </c>
      <c r="O399" s="57">
        <f>IFERROR(__xludf.DUMMYFUNCTION("""COMPUTED_VALUE"""),0.6785714285714286)</f>
        <v>0.6785714286</v>
      </c>
      <c r="P399" s="57">
        <f>IFERROR(__xludf.DUMMYFUNCTION("""COMPUTED_VALUE"""),0.5714285714285714)</f>
        <v>0.5714285714</v>
      </c>
      <c r="Q399" s="57">
        <f>IFERROR(__xludf.DUMMYFUNCTION("""COMPUTED_VALUE"""),1.3571428571428572)</f>
        <v>1.357142857</v>
      </c>
      <c r="R399" s="57">
        <f>IFERROR(__xludf.DUMMYFUNCTION("""COMPUTED_VALUE"""),2.1785714285714284)</f>
        <v>2.178571429</v>
      </c>
      <c r="S399" s="31">
        <f>IFERROR(__xludf.DUMMYFUNCTION("""COMPUTED_VALUE"""),399.9404761904762)</f>
        <v>399.9404762</v>
      </c>
      <c r="T399" s="57">
        <f>IFERROR(__xludf.DUMMYFUNCTION("""COMPUTED_VALUE"""),0.9642857142857145)</f>
        <v>0.9642857143</v>
      </c>
      <c r="U399" s="57">
        <f>IFERROR(__xludf.DUMMYFUNCTION("""COMPUTED_VALUE"""),0.7023809523809523)</f>
        <v>0.7023809524</v>
      </c>
      <c r="V399" s="57">
        <f>IFERROR(__xludf.DUMMYFUNCTION("""COMPUTED_VALUE"""),1.380952380952381)</f>
        <v>1.380952381</v>
      </c>
      <c r="W399" s="57">
        <f>IFERROR(__xludf.DUMMYFUNCTION("""COMPUTED_VALUE"""),2.8928571428571423)</f>
        <v>2.892857143</v>
      </c>
      <c r="X399" s="31">
        <f>IFERROR(__xludf.DUMMYFUNCTION("""COMPUTED_VALUE"""),392.8316788920956)</f>
        <v>392.8316789</v>
      </c>
      <c r="Y399" s="57">
        <f>IFERROR(__xludf.DUMMYFUNCTION("""COMPUTED_VALUE"""),0.9331081506676744)</f>
        <v>0.9331081507</v>
      </c>
      <c r="Z399" s="57">
        <f>IFERROR(__xludf.DUMMYFUNCTION("""COMPUTED_VALUE"""),0.6601143235071808)</f>
        <v>0.6601143235</v>
      </c>
      <c r="AA399" s="57">
        <f>IFERROR(__xludf.DUMMYFUNCTION("""COMPUTED_VALUE"""),1.4662874493231635)</f>
        <v>1.466287449</v>
      </c>
      <c r="AB399" s="57">
        <f>IFERROR(__xludf.DUMMYFUNCTION("""COMPUTED_VALUE"""),2.882048518060423)</f>
        <v>2.882048518</v>
      </c>
      <c r="AC399" s="31">
        <f>IFERROR(__xludf.DUMMYFUNCTION("""COMPUTED_VALUE"""),376.9318968215793)</f>
        <v>376.9318968</v>
      </c>
      <c r="AD399" s="57">
        <f>IFERROR(__xludf.DUMMYFUNCTION("""COMPUTED_VALUE"""),0.804061829557862)</f>
        <v>0.8040618296</v>
      </c>
      <c r="AE399" s="57">
        <f>IFERROR(__xludf.DUMMYFUNCTION("""COMPUTED_VALUE"""),0.6142099853409378)</f>
        <v>0.6142099853</v>
      </c>
      <c r="AF399" s="57">
        <f>IFERROR(__xludf.DUMMYFUNCTION("""COMPUTED_VALUE"""),1.5001914935446679)</f>
        <v>1.500191494</v>
      </c>
      <c r="AG399" s="57">
        <f>IFERROR(__xludf.DUMMYFUNCTION("""COMPUTED_VALUE"""),2.7161911060720585)</f>
        <v>2.716191106</v>
      </c>
      <c r="AH399" s="57">
        <f>IFERROR(__xludf.DUMMYFUNCTION("""COMPUTED_VALUE"""),0.9228647025905611)</f>
        <v>0.9228647026</v>
      </c>
      <c r="AI399" s="57">
        <f>IFERROR(__xludf.DUMMYFUNCTION("""COMPUTED_VALUE"""),0.8439294139165415)</f>
        <v>0.8439294139</v>
      </c>
      <c r="AJ399" s="57">
        <f>IFERROR(__xludf.DUMMYFUNCTION("""COMPUTED_VALUE"""),0.9303472510486471)</f>
        <v>0.930347251</v>
      </c>
      <c r="AK399" s="57">
        <f>IFERROR(__xludf.DUMMYFUNCTION("""COMPUTED_VALUE"""),0.9046464154627262)</f>
        <v>0.9046464155</v>
      </c>
      <c r="AL399" s="57">
        <f>IFERROR(__xludf.DUMMYFUNCTION("""COMPUTED_VALUE"""),0.8020685377038534)</f>
        <v>0.8020685377</v>
      </c>
      <c r="AM399" s="57">
        <f>IFERROR(__xludf.DUMMYFUNCTION("""COMPUTED_VALUE"""),1.0180962933499393)</f>
        <v>1.018096293</v>
      </c>
      <c r="AN399" s="57">
        <f>IFERROR(__xludf.DUMMYFUNCTION("""COMPUTED_VALUE"""),1.0334125938089078)</f>
        <v>1.033412594</v>
      </c>
      <c r="AO399" s="57">
        <f>IFERROR(__xludf.DUMMYFUNCTION("""COMPUTED_VALUE"""),1.0640292557949802)</f>
        <v>1.064029256</v>
      </c>
      <c r="AP399" s="35">
        <f>IFERROR(__xludf.DUMMYFUNCTION("""COMPUTED_VALUE"""),0.9418019513089517)</f>
        <v>0.9418019513</v>
      </c>
      <c r="AQ399" s="57">
        <f>IFERROR(__xludf.DUMMYFUNCTION("""COMPUTED_VALUE"""),1.0037503271471617)</f>
        <v>1.003750327</v>
      </c>
      <c r="AR399" s="36" t="b">
        <f>IFERROR(__xludf.DUMMYFUNCTION("""COMPUTED_VALUE"""),TRUE)</f>
        <v>1</v>
      </c>
      <c r="AS399" s="57"/>
      <c r="AT399" s="37"/>
      <c r="AU399" s="30"/>
      <c r="AV399" s="30"/>
      <c r="AW399" s="30"/>
      <c r="AX399" s="30"/>
      <c r="AY399" s="30"/>
      <c r="AZ399" s="30"/>
    </row>
    <row r="400">
      <c r="A400" s="30" t="str">
        <f>IFERROR(__xludf.DUMMYFUNCTION("""COMPUTED_VALUE"""),"Master")</f>
        <v>Master</v>
      </c>
      <c r="B400" s="30" t="str">
        <f>IFERROR(__xludf.DUMMYFUNCTION("""COMPUTED_VALUE"""),"RSC000232")</f>
        <v>RSC000232</v>
      </c>
      <c r="C400" s="30" t="str">
        <f>IFERROR(__xludf.DUMMYFUNCTION("""COMPUTED_VALUE"""),"Unexpected")</f>
        <v>Unexpected</v>
      </c>
      <c r="D400" s="31" t="str">
        <f>IFERROR(__xludf.DUMMYFUNCTION("""COMPUTED_VALUE"""),"Lemurs")</f>
        <v>Lemurs</v>
      </c>
      <c r="E400" s="31">
        <f>IFERROR(__xludf.DUMMYFUNCTION("""COMPUTED_VALUE"""),40.188743843174336)</f>
        <v>40.18874384</v>
      </c>
      <c r="F400" s="31">
        <f>IFERROR(__xludf.DUMMYFUNCTION("""COMPUTED_VALUE"""),-2.878834602791784)</f>
        <v>-2.878834603</v>
      </c>
      <c r="G400" s="31">
        <f>IFERROR(__xludf.DUMMYFUNCTION("""COMPUTED_VALUE"""),33.52287511364125)</f>
        <v>33.52287511</v>
      </c>
      <c r="H400" s="31">
        <f>IFERROR(__xludf.DUMMYFUNCTION("""COMPUTED_VALUE"""),-3.9227901514191585)</f>
        <v>-3.922790151</v>
      </c>
      <c r="I400" s="54">
        <f>IFERROR(__xludf.DUMMYFUNCTION("""COMPUTED_VALUE"""),36.0)</f>
        <v>36</v>
      </c>
      <c r="J400" s="55">
        <f>IFERROR(__xludf.DUMMYFUNCTION("""COMPUTED_VALUE"""),19.0)</f>
        <v>19</v>
      </c>
      <c r="K400" s="54">
        <f>IFERROR(__xludf.DUMMYFUNCTION("""COMPUTED_VALUE"""),17.0)</f>
        <v>17</v>
      </c>
      <c r="L400" s="56">
        <f>IFERROR(__xludf.DUMMYFUNCTION("""COMPUTED_VALUE"""),0.5277777777777778)</f>
        <v>0.5277777778</v>
      </c>
      <c r="M400" s="56">
        <f>IFERROR(__xludf.DUMMYFUNCTION("""COMPUTED_VALUE"""),0.2553191489361702)</f>
        <v>0.2553191489</v>
      </c>
      <c r="N400" s="31">
        <f>IFERROR(__xludf.DUMMYFUNCTION("""COMPUTED_VALUE"""),358.77777777777777)</f>
        <v>358.7777778</v>
      </c>
      <c r="O400" s="57">
        <f>IFERROR(__xludf.DUMMYFUNCTION("""COMPUTED_VALUE"""),0.6666666666666666)</f>
        <v>0.6666666667</v>
      </c>
      <c r="P400" s="57">
        <f>IFERROR(__xludf.DUMMYFUNCTION("""COMPUTED_VALUE"""),0.5277777777777778)</f>
        <v>0.5277777778</v>
      </c>
      <c r="Q400" s="57">
        <f>IFERROR(__xludf.DUMMYFUNCTION("""COMPUTED_VALUE"""),1.5555555555555556)</f>
        <v>1.555555556</v>
      </c>
      <c r="R400" s="57">
        <f>IFERROR(__xludf.DUMMYFUNCTION("""COMPUTED_VALUE"""),2.611111111111111)</f>
        <v>2.611111111</v>
      </c>
      <c r="S400" s="31">
        <f>IFERROR(__xludf.DUMMYFUNCTION("""COMPUTED_VALUE"""),411.6944444444445)</f>
        <v>411.6944444</v>
      </c>
      <c r="T400" s="57">
        <f>IFERROR(__xludf.DUMMYFUNCTION("""COMPUTED_VALUE"""),0.9259259259259258)</f>
        <v>0.9259259259</v>
      </c>
      <c r="U400" s="57">
        <f>IFERROR(__xludf.DUMMYFUNCTION("""COMPUTED_VALUE"""),0.7314814814814815)</f>
        <v>0.7314814815</v>
      </c>
      <c r="V400" s="57">
        <f>IFERROR(__xludf.DUMMYFUNCTION("""COMPUTED_VALUE"""),1.601851851851852)</f>
        <v>1.601851852</v>
      </c>
      <c r="W400" s="57">
        <f>IFERROR(__xludf.DUMMYFUNCTION("""COMPUTED_VALUE"""),2.8333333333333335)</f>
        <v>2.833333333</v>
      </c>
      <c r="X400" s="31">
        <f>IFERROR(__xludf.DUMMYFUNCTION("""COMPUTED_VALUE"""),390.9519554029293)</f>
        <v>390.9519554</v>
      </c>
      <c r="Y400" s="57">
        <f>IFERROR(__xludf.DUMMYFUNCTION("""COMPUTED_VALUE"""),0.8903781542590612)</f>
        <v>0.8903781543</v>
      </c>
      <c r="Z400" s="57">
        <f>IFERROR(__xludf.DUMMYFUNCTION("""COMPUTED_VALUE"""),0.6861623993408792)</f>
        <v>0.6861623993</v>
      </c>
      <c r="AA400" s="57">
        <f>IFERROR(__xludf.DUMMYFUNCTION("""COMPUTED_VALUE"""),1.5203702909242505)</f>
        <v>1.520370291</v>
      </c>
      <c r="AB400" s="57">
        <f>IFERROR(__xludf.DUMMYFUNCTION("""COMPUTED_VALUE"""),2.7853750862211917)</f>
        <v>2.785375086</v>
      </c>
      <c r="AC400" s="31">
        <f>IFERROR(__xludf.DUMMYFUNCTION("""COMPUTED_VALUE"""),384.04412613386626)</f>
        <v>384.0441261</v>
      </c>
      <c r="AD400" s="57">
        <f>IFERROR(__xludf.DUMMYFUNCTION("""COMPUTED_VALUE"""),0.8473167895874367)</f>
        <v>0.8473167896</v>
      </c>
      <c r="AE400" s="57">
        <f>IFERROR(__xludf.DUMMYFUNCTION("""COMPUTED_VALUE"""),0.644411389837635)</f>
        <v>0.6444113898</v>
      </c>
      <c r="AF400" s="57">
        <f>IFERROR(__xludf.DUMMYFUNCTION("""COMPUTED_VALUE"""),1.5015887129126808)</f>
        <v>1.501588713</v>
      </c>
      <c r="AG400" s="57">
        <f>IFERROR(__xludf.DUMMYFUNCTION("""COMPUTED_VALUE"""),2.814611325145063)</f>
        <v>2.814611325</v>
      </c>
      <c r="AH400" s="57">
        <f>IFERROR(__xludf.DUMMYFUNCTION("""COMPUTED_VALUE"""),0.9342097778959874)</f>
        <v>0.9342097779</v>
      </c>
      <c r="AI400" s="57">
        <f>IFERROR(__xludf.DUMMYFUNCTION("""COMPUTED_VALUE"""),0.7867974231825033)</f>
        <v>0.7867974232</v>
      </c>
      <c r="AJ400" s="57">
        <f>IFERROR(__xludf.DUMMYFUNCTION("""COMPUTED_VALUE"""),0.8190075254733719)</f>
        <v>0.8190075255</v>
      </c>
      <c r="AK400" s="57">
        <f>IFERROR(__xludf.DUMMYFUNCTION("""COMPUTED_VALUE"""),1.0359398297142188)</f>
        <v>1.03593983</v>
      </c>
      <c r="AL400" s="57">
        <f>IFERROR(__xludf.DUMMYFUNCTION("""COMPUTED_VALUE"""),0.9276986444927832)</f>
        <v>0.9276986445</v>
      </c>
      <c r="AM400" s="57">
        <f>IFERROR(__xludf.DUMMYFUNCTION("""COMPUTED_VALUE"""),1.0530563634606642)</f>
        <v>1.053056363</v>
      </c>
      <c r="AN400" s="57">
        <f>IFERROR(__xludf.DUMMYFUNCTION("""COMPUTED_VALUE"""),1.0399243529244562)</f>
        <v>1.039924353</v>
      </c>
      <c r="AO400" s="57">
        <f>IFERROR(__xludf.DUMMYFUNCTION("""COMPUTED_VALUE"""),1.06604716636198)</f>
        <v>1.066047166</v>
      </c>
      <c r="AP400" s="35">
        <f>IFERROR(__xludf.DUMMYFUNCTION("""COMPUTED_VALUE"""),1.053593234104876)</f>
        <v>1.053593234</v>
      </c>
      <c r="AQ400" s="57">
        <f>IFERROR(__xludf.DUMMYFUNCTION("""COMPUTED_VALUE"""),1.0172178775308875)</f>
        <v>1.017217878</v>
      </c>
      <c r="AR400" s="36" t="b">
        <f>IFERROR(__xludf.DUMMYFUNCTION("""COMPUTED_VALUE"""),TRUE)</f>
        <v>1</v>
      </c>
      <c r="AS400" s="57"/>
      <c r="AT400" s="37"/>
      <c r="AU400" s="30"/>
      <c r="AV400" s="30"/>
      <c r="AW400" s="30"/>
      <c r="AX400" s="30"/>
      <c r="AY400" s="30"/>
      <c r="AZ400" s="30"/>
    </row>
    <row r="401">
      <c r="A401" s="30" t="str">
        <f>IFERROR(__xludf.DUMMYFUNCTION("""COMPUTED_VALUE"""),"Master")</f>
        <v>Master</v>
      </c>
      <c r="B401" s="30" t="str">
        <f>IFERROR(__xludf.DUMMYFUNCTION("""COMPUTED_VALUE"""),"RSC005385")</f>
        <v>RSC005385</v>
      </c>
      <c r="C401" s="30" t="str">
        <f>IFERROR(__xludf.DUMMYFUNCTION("""COMPUTED_VALUE"""),"Girth")</f>
        <v>Girth</v>
      </c>
      <c r="D401" s="31" t="str">
        <f>IFERROR(__xludf.DUMMYFUNCTION("""COMPUTED_VALUE"""),"Plinko")</f>
        <v>Plinko</v>
      </c>
      <c r="E401" s="31">
        <f>IFERROR(__xludf.DUMMYFUNCTION("""COMPUTED_VALUE"""),36.81083879066525)</f>
        <v>36.81083879</v>
      </c>
      <c r="F401" s="31">
        <f>IFERROR(__xludf.DUMMYFUNCTION("""COMPUTED_VALUE"""),-3.345598938670785)</f>
        <v>-3.345598939</v>
      </c>
      <c r="G401" s="31">
        <f>IFERROR(__xludf.DUMMYFUNCTION("""COMPUTED_VALUE"""),31.776276837068853)</f>
        <v>31.77627684</v>
      </c>
      <c r="H401" s="31">
        <f>IFERROR(__xludf.DUMMYFUNCTION("""COMPUTED_VALUE"""),-4.291542463154873)</f>
        <v>-4.291542463</v>
      </c>
      <c r="I401" s="54">
        <f>IFERROR(__xludf.DUMMYFUNCTION("""COMPUTED_VALUE"""),21.0)</f>
        <v>21</v>
      </c>
      <c r="J401" s="55">
        <f>IFERROR(__xludf.DUMMYFUNCTION("""COMPUTED_VALUE"""),8.0)</f>
        <v>8</v>
      </c>
      <c r="K401" s="54">
        <f>IFERROR(__xludf.DUMMYFUNCTION("""COMPUTED_VALUE"""),13.0)</f>
        <v>13</v>
      </c>
      <c r="L401" s="56">
        <f>IFERROR(__xludf.DUMMYFUNCTION("""COMPUTED_VALUE"""),0.38095238095238093)</f>
        <v>0.380952381</v>
      </c>
      <c r="M401" s="56">
        <f>IFERROR(__xludf.DUMMYFUNCTION("""COMPUTED_VALUE"""),0.3260869565217391)</f>
        <v>0.3260869565</v>
      </c>
      <c r="N401" s="31">
        <f>IFERROR(__xludf.DUMMYFUNCTION("""COMPUTED_VALUE"""),344.85714285714283)</f>
        <v>344.8571429</v>
      </c>
      <c r="O401" s="57">
        <f>IFERROR(__xludf.DUMMYFUNCTION("""COMPUTED_VALUE"""),0.7142857142857143)</f>
        <v>0.7142857143</v>
      </c>
      <c r="P401" s="57">
        <f>IFERROR(__xludf.DUMMYFUNCTION("""COMPUTED_VALUE"""),0.5714285714285714)</f>
        <v>0.5714285714</v>
      </c>
      <c r="Q401" s="57">
        <f>IFERROR(__xludf.DUMMYFUNCTION("""COMPUTED_VALUE"""),1.3333333333333333)</f>
        <v>1.333333333</v>
      </c>
      <c r="R401" s="57">
        <f>IFERROR(__xludf.DUMMYFUNCTION("""COMPUTED_VALUE"""),2.1904761904761907)</f>
        <v>2.19047619</v>
      </c>
      <c r="S401" s="31">
        <f>IFERROR(__xludf.DUMMYFUNCTION("""COMPUTED_VALUE"""),388.82539682539687)</f>
        <v>388.8253968</v>
      </c>
      <c r="T401" s="57">
        <f>IFERROR(__xludf.DUMMYFUNCTION("""COMPUTED_VALUE"""),1.0158730158730158)</f>
        <v>1.015873016</v>
      </c>
      <c r="U401" s="57">
        <f>IFERROR(__xludf.DUMMYFUNCTION("""COMPUTED_VALUE"""),0.8095238095238096)</f>
        <v>0.8095238095</v>
      </c>
      <c r="V401" s="57">
        <f>IFERROR(__xludf.DUMMYFUNCTION("""COMPUTED_VALUE"""),1.1904761904761905)</f>
        <v>1.19047619</v>
      </c>
      <c r="W401" s="57">
        <f>IFERROR(__xludf.DUMMYFUNCTION("""COMPUTED_VALUE"""),3.238095238095238)</f>
        <v>3.238095238</v>
      </c>
      <c r="X401" s="31">
        <f>IFERROR(__xludf.DUMMYFUNCTION("""COMPUTED_VALUE"""),394.4557154907052)</f>
        <v>394.4557155</v>
      </c>
      <c r="Y401" s="57">
        <f>IFERROR(__xludf.DUMMYFUNCTION("""COMPUTED_VALUE"""),0.8637321487908102)</f>
        <v>0.8637321488</v>
      </c>
      <c r="Z401" s="57">
        <f>IFERROR(__xludf.DUMMYFUNCTION("""COMPUTED_VALUE"""),0.6974377927621543)</f>
        <v>0.6974377928</v>
      </c>
      <c r="AA401" s="57">
        <f>IFERROR(__xludf.DUMMYFUNCTION("""COMPUTED_VALUE"""),1.5407229978313484)</f>
        <v>1.540722998</v>
      </c>
      <c r="AB401" s="57">
        <f>IFERROR(__xludf.DUMMYFUNCTION("""COMPUTED_VALUE"""),3.001538869585799)</f>
        <v>3.00153887</v>
      </c>
      <c r="AC401" s="31">
        <f>IFERROR(__xludf.DUMMYFUNCTION("""COMPUTED_VALUE"""),394.77321723871637)</f>
        <v>394.7732172</v>
      </c>
      <c r="AD401" s="57">
        <f>IFERROR(__xludf.DUMMYFUNCTION("""COMPUTED_VALUE"""),0.8744290235491066)</f>
        <v>0.8744290235</v>
      </c>
      <c r="AE401" s="57">
        <f>IFERROR(__xludf.DUMMYFUNCTION("""COMPUTED_VALUE"""),0.6864487104882782)</f>
        <v>0.6864487105</v>
      </c>
      <c r="AF401" s="57">
        <f>IFERROR(__xludf.DUMMYFUNCTION("""COMPUTED_VALUE"""),1.577626655991045)</f>
        <v>1.577626656</v>
      </c>
      <c r="AG401" s="57">
        <f>IFERROR(__xludf.DUMMYFUNCTION("""COMPUTED_VALUE"""),2.8575877355610495)</f>
        <v>2.857587736</v>
      </c>
      <c r="AH401" s="57">
        <f>IFERROR(__xludf.DUMMYFUNCTION("""COMPUTED_VALUE"""),0.8735575966102339)</f>
        <v>0.8735575966</v>
      </c>
      <c r="AI401" s="57">
        <f>IFERROR(__xludf.DUMMYFUNCTION("""COMPUTED_VALUE"""),0.8168595678430167)</f>
        <v>0.8168595678</v>
      </c>
      <c r="AJ401" s="57">
        <f>IFERROR(__xludf.DUMMYFUNCTION("""COMPUTED_VALUE"""),0.8324417581352994)</f>
        <v>0.8324417581</v>
      </c>
      <c r="AK401" s="57">
        <f>IFERROR(__xludf.DUMMYFUNCTION("""COMPUTED_VALUE"""),0.8451513723288038)</f>
        <v>0.8451513723</v>
      </c>
      <c r="AL401" s="57">
        <f>IFERROR(__xludf.DUMMYFUNCTION("""COMPUTED_VALUE"""),0.7665473095425781)</f>
        <v>0.7665473095</v>
      </c>
      <c r="AM401" s="57">
        <f>IFERROR(__xludf.DUMMYFUNCTION("""COMPUTED_VALUE"""),0.9857263605413749)</f>
        <v>0.9857263605</v>
      </c>
      <c r="AN401" s="57">
        <f>IFERROR(__xludf.DUMMYFUNCTION("""COMPUTED_VALUE"""),1.176143573323277)</f>
        <v>1.176143573</v>
      </c>
      <c r="AO401" s="57">
        <f>IFERROR(__xludf.DUMMYFUNCTION("""COMPUTED_VALUE"""),1.1607111314082168)</f>
        <v>1.160711131</v>
      </c>
      <c r="AP401" s="35">
        <f>IFERROR(__xludf.DUMMYFUNCTION("""COMPUTED_VALUE"""),0.7726737331446669)</f>
        <v>0.7726737331</v>
      </c>
      <c r="AQ401" s="57">
        <f>IFERROR(__xludf.DUMMYFUNCTION("""COMPUTED_VALUE"""),1.078811695862557)</f>
        <v>1.078811696</v>
      </c>
      <c r="AR401" s="36" t="b">
        <f>IFERROR(__xludf.DUMMYFUNCTION("""COMPUTED_VALUE"""),TRUE)</f>
        <v>1</v>
      </c>
      <c r="AS401" s="57"/>
      <c r="AT401" s="37"/>
      <c r="AU401" s="30"/>
      <c r="AV401" s="30"/>
      <c r="AW401" s="30"/>
      <c r="AX401" s="30"/>
      <c r="AY401" s="30"/>
      <c r="AZ401" s="30"/>
    </row>
    <row r="402">
      <c r="A402" s="30" t="str">
        <f>IFERROR(__xludf.DUMMYFUNCTION("""COMPUTED_VALUE"""),"Master")</f>
        <v>Master</v>
      </c>
      <c r="B402" s="30" t="str">
        <f>IFERROR(__xludf.DUMMYFUNCTION("""COMPUTED_VALUE"""),"RSC003178")</f>
        <v>RSC003178</v>
      </c>
      <c r="C402" s="30" t="str">
        <f>IFERROR(__xludf.DUMMYFUNCTION("""COMPUTED_VALUE"""),"Snack Time!")</f>
        <v>Snack Time!</v>
      </c>
      <c r="D402" s="31" t="str">
        <f>IFERROR(__xludf.DUMMYFUNCTION("""COMPUTED_VALUE"""),"The OG")</f>
        <v>The OG</v>
      </c>
      <c r="E402" s="31">
        <f>IFERROR(__xludf.DUMMYFUNCTION("""COMPUTED_VALUE"""),36.79022055424024)</f>
        <v>36.79022055</v>
      </c>
      <c r="F402" s="31">
        <f>IFERROR(__xludf.DUMMYFUNCTION("""COMPUTED_VALUE"""),-3.348805599747596)</f>
        <v>-3.3488056</v>
      </c>
      <c r="G402" s="31">
        <f>IFERROR(__xludf.DUMMYFUNCTION("""COMPUTED_VALUE"""),17.115639905686855)</f>
        <v>17.11563991</v>
      </c>
      <c r="H402" s="31">
        <f>IFERROR(__xludf.DUMMYFUNCTION("""COMPUTED_VALUE"""),-10.616607039973182)</f>
        <v>-10.61660704</v>
      </c>
      <c r="I402" s="54">
        <f>IFERROR(__xludf.DUMMYFUNCTION("""COMPUTED_VALUE"""),23.0)</f>
        <v>23</v>
      </c>
      <c r="J402" s="55">
        <f>IFERROR(__xludf.DUMMYFUNCTION("""COMPUTED_VALUE"""),6.0)</f>
        <v>6</v>
      </c>
      <c r="K402" s="54">
        <f>IFERROR(__xludf.DUMMYFUNCTION("""COMPUTED_VALUE"""),17.0)</f>
        <v>17</v>
      </c>
      <c r="L402" s="56">
        <f>IFERROR(__xludf.DUMMYFUNCTION("""COMPUTED_VALUE"""),0.2608695652173913)</f>
        <v>0.2608695652</v>
      </c>
      <c r="M402" s="56">
        <f>IFERROR(__xludf.DUMMYFUNCTION("""COMPUTED_VALUE"""),0.23333333333333334)</f>
        <v>0.2333333333</v>
      </c>
      <c r="N402" s="31">
        <f>IFERROR(__xludf.DUMMYFUNCTION("""COMPUTED_VALUE"""),318.7826086956522)</f>
        <v>318.7826087</v>
      </c>
      <c r="O402" s="57">
        <f>IFERROR(__xludf.DUMMYFUNCTION("""COMPUTED_VALUE"""),0.6086956521739131)</f>
        <v>0.6086956522</v>
      </c>
      <c r="P402" s="57">
        <f>IFERROR(__xludf.DUMMYFUNCTION("""COMPUTED_VALUE"""),0.6086956521739131)</f>
        <v>0.6086956522</v>
      </c>
      <c r="Q402" s="57">
        <f>IFERROR(__xludf.DUMMYFUNCTION("""COMPUTED_VALUE"""),1.173913043478261)</f>
        <v>1.173913043</v>
      </c>
      <c r="R402" s="57">
        <f>IFERROR(__xludf.DUMMYFUNCTION("""COMPUTED_VALUE"""),2.608695652173913)</f>
        <v>2.608695652</v>
      </c>
      <c r="S402" s="31">
        <f>IFERROR(__xludf.DUMMYFUNCTION("""COMPUTED_VALUE"""),436.3623188405795)</f>
        <v>436.3623188</v>
      </c>
      <c r="T402" s="57">
        <f>IFERROR(__xludf.DUMMYFUNCTION("""COMPUTED_VALUE"""),1.0579710144927537)</f>
        <v>1.057971014</v>
      </c>
      <c r="U402" s="57">
        <f>IFERROR(__xludf.DUMMYFUNCTION("""COMPUTED_VALUE"""),0.8405797101449275)</f>
        <v>0.8405797101</v>
      </c>
      <c r="V402" s="57">
        <f>IFERROR(__xludf.DUMMYFUNCTION("""COMPUTED_VALUE"""),1.7246376811594204)</f>
        <v>1.724637681</v>
      </c>
      <c r="W402" s="57">
        <f>IFERROR(__xludf.DUMMYFUNCTION("""COMPUTED_VALUE"""),3.1739130434782616)</f>
        <v>3.173913043</v>
      </c>
      <c r="X402" s="31">
        <f>IFERROR(__xludf.DUMMYFUNCTION("""COMPUTED_VALUE"""),401.84001469466097)</f>
        <v>401.8400147</v>
      </c>
      <c r="Y402" s="57">
        <f>IFERROR(__xludf.DUMMYFUNCTION("""COMPUTED_VALUE"""),0.9130584225852768)</f>
        <v>0.9130584226</v>
      </c>
      <c r="Z402" s="57">
        <f>IFERROR(__xludf.DUMMYFUNCTION("""COMPUTED_VALUE"""),0.6727981145500326)</f>
        <v>0.6727981146</v>
      </c>
      <c r="AA402" s="57">
        <f>IFERROR(__xludf.DUMMYFUNCTION("""COMPUTED_VALUE"""),1.5875553561401816)</f>
        <v>1.587555356</v>
      </c>
      <c r="AB402" s="57">
        <f>IFERROR(__xludf.DUMMYFUNCTION("""COMPUTED_VALUE"""),2.9311116285753966)</f>
        <v>2.931111629</v>
      </c>
      <c r="AC402" s="31">
        <f>IFERROR(__xludf.DUMMYFUNCTION("""COMPUTED_VALUE"""),377.1347173860104)</f>
        <v>377.1347174</v>
      </c>
      <c r="AD402" s="57">
        <f>IFERROR(__xludf.DUMMYFUNCTION("""COMPUTED_VALUE"""),0.8088489846801868)</f>
        <v>0.8088489847</v>
      </c>
      <c r="AE402" s="57">
        <f>IFERROR(__xludf.DUMMYFUNCTION("""COMPUTED_VALUE"""),0.6276154967615607)</f>
        <v>0.6276154968</v>
      </c>
      <c r="AF402" s="57">
        <f>IFERROR(__xludf.DUMMYFUNCTION("""COMPUTED_VALUE"""),1.5044893028624204)</f>
        <v>1.504489303</v>
      </c>
      <c r="AG402" s="57">
        <f>IFERROR(__xludf.DUMMYFUNCTION("""COMPUTED_VALUE"""),2.8047054360708814)</f>
        <v>2.804705436</v>
      </c>
      <c r="AH402" s="57">
        <f>IFERROR(__xludf.DUMMYFUNCTION("""COMPUTED_VALUE"""),0.8452751603066212)</f>
        <v>0.8452751603</v>
      </c>
      <c r="AI402" s="57">
        <f>IFERROR(__xludf.DUMMYFUNCTION("""COMPUTED_VALUE"""),0.7525454858728505)</f>
        <v>0.7525454859</v>
      </c>
      <c r="AJ402" s="57">
        <f>IFERROR(__xludf.DUMMYFUNCTION("""COMPUTED_VALUE"""),0.9698544018028995)</f>
        <v>0.9698544018</v>
      </c>
      <c r="AK402" s="57">
        <f>IFERROR(__xludf.DUMMYFUNCTION("""COMPUTED_VALUE"""),0.7802734397943477)</f>
        <v>0.7802734398</v>
      </c>
      <c r="AL402" s="57">
        <f>IFERROR(__xludf.DUMMYFUNCTION("""COMPUTED_VALUE"""),0.930113950158146)</f>
        <v>0.9301139502</v>
      </c>
      <c r="AM402" s="57">
        <f>IFERROR(__xludf.DUMMYFUNCTION("""COMPUTED_VALUE"""),1.085910568593201)</f>
        <v>1.085910569</v>
      </c>
      <c r="AN402" s="57">
        <f>IFERROR(__xludf.DUMMYFUNCTION("""COMPUTED_VALUE"""),1.1587111934164787)</f>
        <v>1.158711193</v>
      </c>
      <c r="AO402" s="57">
        <f>IFERROR(__xludf.DUMMYFUNCTION("""COMPUTED_VALUE"""),1.2493788135941897)</f>
        <v>1.249378814</v>
      </c>
      <c r="AP402" s="35">
        <f>IFERROR(__xludf.DUMMYFUNCTION("""COMPUTED_VALUE"""),1.0863480599205855)</f>
        <v>1.08634806</v>
      </c>
      <c r="AQ402" s="57">
        <f>IFERROR(__xludf.DUMMYFUNCTION("""COMPUTED_VALUE"""),1.0828359495202418)</f>
        <v>1.08283595</v>
      </c>
      <c r="AR402" s="36" t="b">
        <f>IFERROR(__xludf.DUMMYFUNCTION("""COMPUTED_VALUE"""),TRUE)</f>
        <v>1</v>
      </c>
      <c r="AS402" s="57"/>
      <c r="AT402" s="37"/>
      <c r="AU402" s="30"/>
      <c r="AV402" s="30"/>
      <c r="AW402" s="30"/>
      <c r="AX402" s="30"/>
      <c r="AY402" s="30"/>
      <c r="AZ402" s="30"/>
    </row>
    <row r="403">
      <c r="A403" s="30" t="str">
        <f>IFERROR(__xludf.DUMMYFUNCTION("""COMPUTED_VALUE"""),"Master")</f>
        <v>Master</v>
      </c>
      <c r="B403" s="30" t="str">
        <f>IFERROR(__xludf.DUMMYFUNCTION("""COMPUTED_VALUE"""),"RSC007853")</f>
        <v>RSC007853</v>
      </c>
      <c r="C403" s="30" t="str">
        <f>IFERROR(__xludf.DUMMYFUNCTION("""COMPUTED_VALUE"""),"jun1o4.")</f>
        <v>jun1o4.</v>
      </c>
      <c r="D403" s="31"/>
      <c r="E403" s="31">
        <f>IFERROR(__xludf.DUMMYFUNCTION("""COMPUTED_VALUE"""),35.71251815648411)</f>
        <v>35.71251816</v>
      </c>
      <c r="F403" s="31">
        <f>IFERROR(__xludf.DUMMYFUNCTION("""COMPUTED_VALUE"""),-3.5232279659583794)</f>
        <v>-3.523227966</v>
      </c>
      <c r="G403" s="31">
        <f>IFERROR(__xludf.DUMMYFUNCTION("""COMPUTED_VALUE"""),1.09628539841718)</f>
        <v>1.096285398</v>
      </c>
      <c r="H403" s="31">
        <f>IFERROR(__xludf.DUMMYFUNCTION("""COMPUTED_VALUE"""),-39.645055195867286)</f>
        <v>-39.6450552</v>
      </c>
      <c r="I403" s="54">
        <f>IFERROR(__xludf.DUMMYFUNCTION("""COMPUTED_VALUE"""),1.0)</f>
        <v>1</v>
      </c>
      <c r="J403" s="55">
        <f>IFERROR(__xludf.DUMMYFUNCTION("""COMPUTED_VALUE"""),0.0)</f>
        <v>0</v>
      </c>
      <c r="K403" s="54">
        <f>IFERROR(__xludf.DUMMYFUNCTION("""COMPUTED_VALUE"""),1.0)</f>
        <v>1</v>
      </c>
      <c r="L403" s="56">
        <f>IFERROR(__xludf.DUMMYFUNCTION("""COMPUTED_VALUE"""),0.0)</f>
        <v>0</v>
      </c>
      <c r="M403" s="56">
        <f>IFERROR(__xludf.DUMMYFUNCTION("""COMPUTED_VALUE"""),0.0)</f>
        <v>0</v>
      </c>
      <c r="N403" s="31">
        <f>IFERROR(__xludf.DUMMYFUNCTION("""COMPUTED_VALUE"""),314.0)</f>
        <v>314</v>
      </c>
      <c r="O403" s="57">
        <f>IFERROR(__xludf.DUMMYFUNCTION("""COMPUTED_VALUE"""),0.0)</f>
        <v>0</v>
      </c>
      <c r="P403" s="57">
        <f>IFERROR(__xludf.DUMMYFUNCTION("""COMPUTED_VALUE"""),1.0)</f>
        <v>1</v>
      </c>
      <c r="Q403" s="57">
        <f>IFERROR(__xludf.DUMMYFUNCTION("""COMPUTED_VALUE"""),1.0)</f>
        <v>1</v>
      </c>
      <c r="R403" s="57">
        <f>IFERROR(__xludf.DUMMYFUNCTION("""COMPUTED_VALUE"""),3.0)</f>
        <v>3</v>
      </c>
      <c r="S403" s="31">
        <f>IFERROR(__xludf.DUMMYFUNCTION("""COMPUTED_VALUE"""),589.0)</f>
        <v>589</v>
      </c>
      <c r="T403" s="57">
        <f>IFERROR(__xludf.DUMMYFUNCTION("""COMPUTED_VALUE"""),1.0)</f>
        <v>1</v>
      </c>
      <c r="U403" s="57">
        <f>IFERROR(__xludf.DUMMYFUNCTION("""COMPUTED_VALUE"""),0.6666666666666666)</f>
        <v>0.6666666667</v>
      </c>
      <c r="V403" s="57">
        <f>IFERROR(__xludf.DUMMYFUNCTION("""COMPUTED_VALUE"""),2.6666666666666665)</f>
        <v>2.666666667</v>
      </c>
      <c r="W403" s="57">
        <f>IFERROR(__xludf.DUMMYFUNCTION("""COMPUTED_VALUE"""),3.6666666666666665)</f>
        <v>3.666666667</v>
      </c>
      <c r="X403" s="31">
        <f>IFERROR(__xludf.DUMMYFUNCTION("""COMPUTED_VALUE"""),432.88981481481477)</f>
        <v>432.8898148</v>
      </c>
      <c r="Y403" s="57">
        <f>IFERROR(__xludf.DUMMYFUNCTION("""COMPUTED_VALUE"""),0.9740740740740742)</f>
        <v>0.9740740741</v>
      </c>
      <c r="Z403" s="57">
        <f>IFERROR(__xludf.DUMMYFUNCTION("""COMPUTED_VALUE"""),0.7787037037037038)</f>
        <v>0.7787037037</v>
      </c>
      <c r="AA403" s="57">
        <f>IFERROR(__xludf.DUMMYFUNCTION("""COMPUTED_VALUE"""),1.499074074074074)</f>
        <v>1.499074074</v>
      </c>
      <c r="AB403" s="57">
        <f>IFERROR(__xludf.DUMMYFUNCTION("""COMPUTED_VALUE"""),3.598148148148148)</f>
        <v>3.598148148</v>
      </c>
      <c r="AC403" s="31">
        <f>IFERROR(__xludf.DUMMYFUNCTION("""COMPUTED_VALUE"""),395.2734567901234)</f>
        <v>395.2734568</v>
      </c>
      <c r="AD403" s="57">
        <f>IFERROR(__xludf.DUMMYFUNCTION("""COMPUTED_VALUE"""),0.7756172839506172)</f>
        <v>0.775617284</v>
      </c>
      <c r="AE403" s="57">
        <f>IFERROR(__xludf.DUMMYFUNCTION("""COMPUTED_VALUE"""),0.5774691358024692)</f>
        <v>0.5774691358</v>
      </c>
      <c r="AF403" s="57">
        <f>IFERROR(__xludf.DUMMYFUNCTION("""COMPUTED_VALUE"""),1.7358024691358025)</f>
        <v>1.735802469</v>
      </c>
      <c r="AG403" s="57">
        <f>IFERROR(__xludf.DUMMYFUNCTION("""COMPUTED_VALUE"""),2.647222222222222)</f>
        <v>2.647222222</v>
      </c>
      <c r="AH403" s="57">
        <f>IFERROR(__xludf.DUMMYFUNCTION("""COMPUTED_VALUE"""),0.7943867583466987)</f>
        <v>0.7943867583</v>
      </c>
      <c r="AI403" s="57">
        <f>IFERROR(__xludf.DUMMYFUNCTION("""COMPUTED_VALUE"""),0.0)</f>
        <v>0</v>
      </c>
      <c r="AJ403" s="57">
        <f>IFERROR(__xludf.DUMMYFUNCTION("""COMPUTED_VALUE"""),1.7316942811330838)</f>
        <v>1.731694281</v>
      </c>
      <c r="AK403" s="57">
        <f>IFERROR(__xludf.DUMMYFUNCTION("""COMPUTED_VALUE"""),0.5761024182076814)</f>
        <v>0.5761024182</v>
      </c>
      <c r="AL403" s="57">
        <f>IFERROR(__xludf.DUMMYFUNCTION("""COMPUTED_VALUE"""),1.1332633788037776)</f>
        <v>1.133263379</v>
      </c>
      <c r="AM403" s="57">
        <f>IFERROR(__xludf.DUMMYFUNCTION("""COMPUTED_VALUE"""),1.360623373067734)</f>
        <v>1.360623373</v>
      </c>
      <c r="AN403" s="57">
        <f>IFERROR(__xludf.DUMMYFUNCTION("""COMPUTED_VALUE"""),1.026615969581749)</f>
        <v>1.02661597</v>
      </c>
      <c r="AO403" s="57">
        <f>IFERROR(__xludf.DUMMYFUNCTION("""COMPUTED_VALUE"""),0.8561236623067775)</f>
        <v>0.8561236623</v>
      </c>
      <c r="AP403" s="35">
        <f>IFERROR(__xludf.DUMMYFUNCTION("""COMPUTED_VALUE"""),1.778875849289685)</f>
        <v>1.778875849</v>
      </c>
      <c r="AQ403" s="57">
        <f>IFERROR(__xludf.DUMMYFUNCTION("""COMPUTED_VALUE"""),1.0190427174472465)</f>
        <v>1.019042717</v>
      </c>
      <c r="AR403" s="36" t="b">
        <f>IFERROR(__xludf.DUMMYFUNCTION("""COMPUTED_VALUE"""),TRUE)</f>
        <v>1</v>
      </c>
      <c r="AS403" s="57"/>
      <c r="AT403" s="37"/>
      <c r="AU403" s="30"/>
      <c r="AV403" s="30"/>
      <c r="AW403" s="30"/>
      <c r="AX403" s="30"/>
      <c r="AY403" s="30"/>
      <c r="AZ403" s="30"/>
    </row>
    <row r="404">
      <c r="A404" s="30" t="str">
        <f>IFERROR(__xludf.DUMMYFUNCTION("""COMPUTED_VALUE"""),"Master")</f>
        <v>Master</v>
      </c>
      <c r="B404" s="30" t="str">
        <f>IFERROR(__xludf.DUMMYFUNCTION("""COMPUTED_VALUE"""),"RSC002500")</f>
        <v>RSC002500</v>
      </c>
      <c r="C404" s="30" t="str">
        <f>IFERROR(__xludf.DUMMYFUNCTION("""COMPUTED_VALUE"""),"kalten")</f>
        <v>kalten</v>
      </c>
      <c r="D404" s="31" t="str">
        <f>IFERROR(__xludf.DUMMYFUNCTION("""COMPUTED_VALUE"""),"Heinous Henchmen")</f>
        <v>Heinous Henchmen</v>
      </c>
      <c r="E404" s="31">
        <f>IFERROR(__xludf.DUMMYFUNCTION("""COMPUTED_VALUE"""),35.29351930317025)</f>
        <v>35.2935193</v>
      </c>
      <c r="F404" s="31">
        <f>IFERROR(__xludf.DUMMYFUNCTION("""COMPUTED_VALUE"""),-3.594805669548082)</f>
        <v>-3.59480567</v>
      </c>
      <c r="G404" s="31">
        <f>IFERROR(__xludf.DUMMYFUNCTION("""COMPUTED_VALUE"""),29.95884208114517)</f>
        <v>29.95884208</v>
      </c>
      <c r="H404" s="31">
        <f>IFERROR(__xludf.DUMMYFUNCTION("""COMPUTED_VALUE"""),-4.730843649386782)</f>
        <v>-4.730843649</v>
      </c>
      <c r="I404" s="54">
        <f>IFERROR(__xludf.DUMMYFUNCTION("""COMPUTED_VALUE"""),36.0)</f>
        <v>36</v>
      </c>
      <c r="J404" s="55">
        <f>IFERROR(__xludf.DUMMYFUNCTION("""COMPUTED_VALUE"""),13.0)</f>
        <v>13</v>
      </c>
      <c r="K404" s="54">
        <f>IFERROR(__xludf.DUMMYFUNCTION("""COMPUTED_VALUE"""),23.0)</f>
        <v>23</v>
      </c>
      <c r="L404" s="56">
        <f>IFERROR(__xludf.DUMMYFUNCTION("""COMPUTED_VALUE"""),0.3611111111111111)</f>
        <v>0.3611111111</v>
      </c>
      <c r="M404" s="56">
        <f>IFERROR(__xludf.DUMMYFUNCTION("""COMPUTED_VALUE"""),0.21428571428571427)</f>
        <v>0.2142857143</v>
      </c>
      <c r="N404" s="31">
        <f>IFERROR(__xludf.DUMMYFUNCTION("""COMPUTED_VALUE"""),339.97222222222223)</f>
        <v>339.9722222</v>
      </c>
      <c r="O404" s="57">
        <f>IFERROR(__xludf.DUMMYFUNCTION("""COMPUTED_VALUE"""),0.5)</f>
        <v>0.5</v>
      </c>
      <c r="P404" s="57">
        <f>IFERROR(__xludf.DUMMYFUNCTION("""COMPUTED_VALUE"""),0.6388888888888888)</f>
        <v>0.6388888889</v>
      </c>
      <c r="Q404" s="57">
        <f>IFERROR(__xludf.DUMMYFUNCTION("""COMPUTED_VALUE"""),1.7222222222222223)</f>
        <v>1.722222222</v>
      </c>
      <c r="R404" s="57">
        <f>IFERROR(__xludf.DUMMYFUNCTION("""COMPUTED_VALUE"""),2.3333333333333335)</f>
        <v>2.333333333</v>
      </c>
      <c r="S404" s="31">
        <f>IFERROR(__xludf.DUMMYFUNCTION("""COMPUTED_VALUE"""),384.28703703703707)</f>
        <v>384.287037</v>
      </c>
      <c r="T404" s="57">
        <f>IFERROR(__xludf.DUMMYFUNCTION("""COMPUTED_VALUE"""),0.8796296296296295)</f>
        <v>0.8796296296</v>
      </c>
      <c r="U404" s="57">
        <f>IFERROR(__xludf.DUMMYFUNCTION("""COMPUTED_VALUE"""),0.6574074074074074)</f>
        <v>0.6574074074</v>
      </c>
      <c r="V404" s="57">
        <f>IFERROR(__xludf.DUMMYFUNCTION("""COMPUTED_VALUE"""),1.4722222222222223)</f>
        <v>1.472222222</v>
      </c>
      <c r="W404" s="57">
        <f>IFERROR(__xludf.DUMMYFUNCTION("""COMPUTED_VALUE"""),3.0462962962962963)</f>
        <v>3.046296296</v>
      </c>
      <c r="X404" s="31">
        <f>IFERROR(__xludf.DUMMYFUNCTION("""COMPUTED_VALUE"""),375.0093247024902)</f>
        <v>375.0093247</v>
      </c>
      <c r="Y404" s="57">
        <f>IFERROR(__xludf.DUMMYFUNCTION("""COMPUTED_VALUE"""),0.8537389612738788)</f>
        <v>0.8537389613</v>
      </c>
      <c r="Z404" s="57">
        <f>IFERROR(__xludf.DUMMYFUNCTION("""COMPUTED_VALUE"""),0.6620947696766404)</f>
        <v>0.6620947697</v>
      </c>
      <c r="AA404" s="57">
        <f>IFERROR(__xludf.DUMMYFUNCTION("""COMPUTED_VALUE"""),1.410255151271183)</f>
        <v>1.410255151</v>
      </c>
      <c r="AB404" s="57">
        <f>IFERROR(__xludf.DUMMYFUNCTION("""COMPUTED_VALUE"""),2.7338918740760096)</f>
        <v>2.733891874</v>
      </c>
      <c r="AC404" s="31">
        <f>IFERROR(__xludf.DUMMYFUNCTION("""COMPUTED_VALUE"""),378.91005504133443)</f>
        <v>378.910055</v>
      </c>
      <c r="AD404" s="57">
        <f>IFERROR(__xludf.DUMMYFUNCTION("""COMPUTED_VALUE"""),0.8541010875891027)</f>
        <v>0.8541010876</v>
      </c>
      <c r="AE404" s="57">
        <f>IFERROR(__xludf.DUMMYFUNCTION("""COMPUTED_VALUE"""),0.6502591795965873)</f>
        <v>0.6502591796</v>
      </c>
      <c r="AF404" s="57">
        <f>IFERROR(__xludf.DUMMYFUNCTION("""COMPUTED_VALUE"""),1.4537307792387089)</f>
        <v>1.453730779</v>
      </c>
      <c r="AG404" s="57">
        <f>IFERROR(__xludf.DUMMYFUNCTION("""COMPUTED_VALUE"""),2.782479876888778)</f>
        <v>2.782479877</v>
      </c>
      <c r="AH404" s="57">
        <f>IFERROR(__xludf.DUMMYFUNCTION("""COMPUTED_VALUE"""),0.8972372669950271)</f>
        <v>0.897237267</v>
      </c>
      <c r="AI404" s="57">
        <f>IFERROR(__xludf.DUMMYFUNCTION("""COMPUTED_VALUE"""),0.5854107988685101)</f>
        <v>0.5854107989</v>
      </c>
      <c r="AJ404" s="57">
        <f>IFERROR(__xludf.DUMMYFUNCTION("""COMPUTED_VALUE"""),0.9825142173083162)</f>
        <v>0.9825142173</v>
      </c>
      <c r="AK404" s="57">
        <f>IFERROR(__xludf.DUMMYFUNCTION("""COMPUTED_VALUE"""),1.1846913106731614)</f>
        <v>1.184691311</v>
      </c>
      <c r="AL404" s="57">
        <f>IFERROR(__xludf.DUMMYFUNCTION("""COMPUTED_VALUE"""),0.8385804881156386)</f>
        <v>0.8385804881</v>
      </c>
      <c r="AM404" s="57">
        <f>IFERROR(__xludf.DUMMYFUNCTION("""COMPUTED_VALUE"""),1.0247399510449702)</f>
        <v>1.024739951</v>
      </c>
      <c r="AN404" s="57">
        <f>IFERROR(__xludf.DUMMYFUNCTION("""COMPUTED_VALUE"""),1.0303262115589977)</f>
        <v>1.030326212</v>
      </c>
      <c r="AO404" s="57">
        <f>IFERROR(__xludf.DUMMYFUNCTION("""COMPUTED_VALUE"""),0.9929204058332582)</f>
        <v>0.9929204058</v>
      </c>
      <c r="AP404" s="35">
        <f>IFERROR(__xludf.DUMMYFUNCTION("""COMPUTED_VALUE"""),1.0439403259014393)</f>
        <v>1.043940326</v>
      </c>
      <c r="AQ404" s="57">
        <f>IFERROR(__xludf.DUMMYFUNCTION("""COMPUTED_VALUE"""),1.1142709502093502)</f>
        <v>1.11427095</v>
      </c>
      <c r="AR404" s="36" t="b">
        <f>IFERROR(__xludf.DUMMYFUNCTION("""COMPUTED_VALUE"""),TRUE)</f>
        <v>1</v>
      </c>
      <c r="AS404" s="57"/>
      <c r="AT404" s="37"/>
      <c r="AU404" s="30"/>
      <c r="AV404" s="30"/>
      <c r="AW404" s="30"/>
      <c r="AX404" s="30"/>
      <c r="AY404" s="30"/>
      <c r="AZ404" s="30"/>
    </row>
    <row r="405">
      <c r="A405" s="30" t="str">
        <f>IFERROR(__xludf.DUMMYFUNCTION("""COMPUTED_VALUE"""),"Master")</f>
        <v>Master</v>
      </c>
      <c r="B405" s="30" t="str">
        <f>IFERROR(__xludf.DUMMYFUNCTION("""COMPUTED_VALUE"""),"RSC007174")</f>
        <v>RSC007174</v>
      </c>
      <c r="C405" s="30" t="str">
        <f>IFERROR(__xludf.DUMMYFUNCTION("""COMPUTED_VALUE"""),"LMNS")</f>
        <v>LMNS</v>
      </c>
      <c r="D405" s="31" t="str">
        <f>IFERROR(__xludf.DUMMYFUNCTION("""COMPUTED_VALUE"""),"Spectres")</f>
        <v>Spectres</v>
      </c>
      <c r="E405" s="31">
        <f>IFERROR(__xludf.DUMMYFUNCTION("""COMPUTED_VALUE"""),34.451559288077206)</f>
        <v>34.45155929</v>
      </c>
      <c r="F405" s="31">
        <f>IFERROR(__xludf.DUMMYFUNCTION("""COMPUTED_VALUE"""),-3.745438421787196)</f>
        <v>-3.745438422</v>
      </c>
      <c r="G405" s="31">
        <f>IFERROR(__xludf.DUMMYFUNCTION("""COMPUTED_VALUE"""),29.08631993751419)</f>
        <v>29.08631994</v>
      </c>
      <c r="H405" s="31">
        <f>IFERROR(__xludf.DUMMYFUNCTION("""COMPUTED_VALUE"""),-4.964662356812188)</f>
        <v>-4.964662357</v>
      </c>
      <c r="I405" s="54">
        <f>IFERROR(__xludf.DUMMYFUNCTION("""COMPUTED_VALUE"""),8.0)</f>
        <v>8</v>
      </c>
      <c r="J405" s="55">
        <f>IFERROR(__xludf.DUMMYFUNCTION("""COMPUTED_VALUE"""),4.0)</f>
        <v>4</v>
      </c>
      <c r="K405" s="54">
        <f>IFERROR(__xludf.DUMMYFUNCTION("""COMPUTED_VALUE"""),4.0)</f>
        <v>4</v>
      </c>
      <c r="L405" s="56">
        <f>IFERROR(__xludf.DUMMYFUNCTION("""COMPUTED_VALUE"""),0.5)</f>
        <v>0.5</v>
      </c>
      <c r="M405" s="56">
        <f>IFERROR(__xludf.DUMMYFUNCTION("""COMPUTED_VALUE"""),0.12)</f>
        <v>0.12</v>
      </c>
      <c r="N405" s="31">
        <f>IFERROR(__xludf.DUMMYFUNCTION("""COMPUTED_VALUE"""),284.25)</f>
        <v>284.25</v>
      </c>
      <c r="O405" s="57">
        <f>IFERROR(__xludf.DUMMYFUNCTION("""COMPUTED_VALUE"""),0.375)</f>
        <v>0.375</v>
      </c>
      <c r="P405" s="57">
        <f>IFERROR(__xludf.DUMMYFUNCTION("""COMPUTED_VALUE"""),0.5)</f>
        <v>0.5</v>
      </c>
      <c r="Q405" s="57">
        <f>IFERROR(__xludf.DUMMYFUNCTION("""COMPUTED_VALUE"""),1.0)</f>
        <v>1</v>
      </c>
      <c r="R405" s="57">
        <f>IFERROR(__xludf.DUMMYFUNCTION("""COMPUTED_VALUE"""),3.125)</f>
        <v>3.125</v>
      </c>
      <c r="S405" s="31">
        <f>IFERROR(__xludf.DUMMYFUNCTION("""COMPUTED_VALUE"""),378.8333333333333)</f>
        <v>378.8333333</v>
      </c>
      <c r="T405" s="57">
        <f>IFERROR(__xludf.DUMMYFUNCTION("""COMPUTED_VALUE"""),0.6666666666666666)</f>
        <v>0.6666666667</v>
      </c>
      <c r="U405" s="57">
        <f>IFERROR(__xludf.DUMMYFUNCTION("""COMPUTED_VALUE"""),0.4583333333333333)</f>
        <v>0.4583333333</v>
      </c>
      <c r="V405" s="57">
        <f>IFERROR(__xludf.DUMMYFUNCTION("""COMPUTED_VALUE"""),1.8333333333333333)</f>
        <v>1.833333333</v>
      </c>
      <c r="W405" s="57">
        <f>IFERROR(__xludf.DUMMYFUNCTION("""COMPUTED_VALUE"""),2.4166666666666665)</f>
        <v>2.416666667</v>
      </c>
      <c r="X405" s="31">
        <f>IFERROR(__xludf.DUMMYFUNCTION("""COMPUTED_VALUE"""),390.8931636627715)</f>
        <v>390.8931637</v>
      </c>
      <c r="Y405" s="57">
        <f>IFERROR(__xludf.DUMMYFUNCTION("""COMPUTED_VALUE"""),0.8739212856859918)</f>
        <v>0.8739212857</v>
      </c>
      <c r="Z405" s="57">
        <f>IFERROR(__xludf.DUMMYFUNCTION("""COMPUTED_VALUE"""),0.7735478029595676)</f>
        <v>0.773547803</v>
      </c>
      <c r="AA405" s="57">
        <f>IFERROR(__xludf.DUMMYFUNCTION("""COMPUTED_VALUE"""),1.5536310820624544)</f>
        <v>1.553631082</v>
      </c>
      <c r="AB405" s="57">
        <f>IFERROR(__xludf.DUMMYFUNCTION("""COMPUTED_VALUE"""),2.717283950617284)</f>
        <v>2.717283951</v>
      </c>
      <c r="AC405" s="31">
        <f>IFERROR(__xludf.DUMMYFUNCTION("""COMPUTED_VALUE"""),355.68327470157544)</f>
        <v>355.6832747</v>
      </c>
      <c r="AD405" s="57">
        <f>IFERROR(__xludf.DUMMYFUNCTION("""COMPUTED_VALUE"""),0.7605013722660782)</f>
        <v>0.7605013723</v>
      </c>
      <c r="AE405" s="57">
        <f>IFERROR(__xludf.DUMMYFUNCTION("""COMPUTED_VALUE"""),0.6036911285277299)</f>
        <v>0.6036911285</v>
      </c>
      <c r="AF405" s="57">
        <f>IFERROR(__xludf.DUMMYFUNCTION("""COMPUTED_VALUE"""),1.3535201061344855)</f>
        <v>1.353520106</v>
      </c>
      <c r="AG405" s="57">
        <f>IFERROR(__xludf.DUMMYFUNCTION("""COMPUTED_VALUE"""),2.877735179369166)</f>
        <v>2.877735179</v>
      </c>
      <c r="AH405" s="57">
        <f>IFERROR(__xludf.DUMMYFUNCTION("""COMPUTED_VALUE"""),0.7991660564823881)</f>
        <v>0.7991660565</v>
      </c>
      <c r="AI405" s="57">
        <f>IFERROR(__xludf.DUMMYFUNCTION("""COMPUTED_VALUE"""),0.49309575718792786)</f>
        <v>0.4930957572</v>
      </c>
      <c r="AJ405" s="57">
        <f>IFERROR(__xludf.DUMMYFUNCTION("""COMPUTED_VALUE"""),0.8282381111337352)</f>
        <v>0.8282381111</v>
      </c>
      <c r="AK405" s="57">
        <f>IFERROR(__xludf.DUMMYFUNCTION("""COMPUTED_VALUE"""),0.7388142927968003)</f>
        <v>0.7388142928</v>
      </c>
      <c r="AL405" s="57">
        <f>IFERROR(__xludf.DUMMYFUNCTION("""COMPUTED_VALUE"""),1.0859234103275053)</f>
        <v>1.08592341</v>
      </c>
      <c r="AM405" s="57">
        <f>IFERROR(__xludf.DUMMYFUNCTION("""COMPUTED_VALUE"""),0.9691480142133099)</f>
        <v>0.9691480142</v>
      </c>
      <c r="AN405" s="57">
        <f>IFERROR(__xludf.DUMMYFUNCTION("""COMPUTED_VALUE"""),0.7628452099588822)</f>
        <v>0.76284521</v>
      </c>
      <c r="AO405" s="57">
        <f>IFERROR(__xludf.DUMMYFUNCTION("""COMPUTED_VALUE"""),0.5925080926864061)</f>
        <v>0.5925080927</v>
      </c>
      <c r="AP405" s="35">
        <f>IFERROR(__xludf.DUMMYFUNCTION("""COMPUTED_VALUE"""),1.1800313179236686)</f>
        <v>1.180031318</v>
      </c>
      <c r="AQ405" s="57">
        <f>IFERROR(__xludf.DUMMYFUNCTION("""COMPUTED_VALUE"""),0.8893684688777828)</f>
        <v>0.8893684689</v>
      </c>
      <c r="AR405" s="36" t="b">
        <f>IFERROR(__xludf.DUMMYFUNCTION("""COMPUTED_VALUE"""),TRUE)</f>
        <v>1</v>
      </c>
      <c r="AS405" s="57"/>
      <c r="AT405" s="37"/>
      <c r="AU405" s="30"/>
      <c r="AV405" s="30"/>
      <c r="AW405" s="30"/>
      <c r="AX405" s="30"/>
      <c r="AY405" s="30"/>
      <c r="AZ405" s="30"/>
    </row>
    <row r="406">
      <c r="A406" s="30" t="str">
        <f>IFERROR(__xludf.DUMMYFUNCTION("""COMPUTED_VALUE"""),"Master")</f>
        <v>Master</v>
      </c>
      <c r="B406" s="30" t="str">
        <f>IFERROR(__xludf.DUMMYFUNCTION("""COMPUTED_VALUE"""),"RSC002059")</f>
        <v>RSC002059</v>
      </c>
      <c r="C406" s="30" t="str">
        <f>IFERROR(__xludf.DUMMYFUNCTION("""COMPUTED_VALUE"""),"Thermal")</f>
        <v>Thermal</v>
      </c>
      <c r="D406" s="31"/>
      <c r="E406" s="31">
        <f>IFERROR(__xludf.DUMMYFUNCTION("""COMPUTED_VALUE"""),34.1285877312687)</f>
        <v>34.12858773</v>
      </c>
      <c r="F406" s="31">
        <f>IFERROR(__xludf.DUMMYFUNCTION("""COMPUTED_VALUE"""),-3.8057397008408858)</f>
        <v>-3.805739701</v>
      </c>
      <c r="G406" s="31">
        <f>IFERROR(__xludf.DUMMYFUNCTION("""COMPUTED_VALUE"""),30.356158443084457)</f>
        <v>30.35615844</v>
      </c>
      <c r="H406" s="31">
        <f>IFERROR(__xludf.DUMMYFUNCTION("""COMPUTED_VALUE"""),-4.629502978717196)</f>
        <v>-4.629502979</v>
      </c>
      <c r="I406" s="54">
        <f>IFERROR(__xludf.DUMMYFUNCTION("""COMPUTED_VALUE"""),12.0)</f>
        <v>12</v>
      </c>
      <c r="J406" s="55">
        <f>IFERROR(__xludf.DUMMYFUNCTION("""COMPUTED_VALUE"""),5.0)</f>
        <v>5</v>
      </c>
      <c r="K406" s="54">
        <f>IFERROR(__xludf.DUMMYFUNCTION("""COMPUTED_VALUE"""),7.0)</f>
        <v>7</v>
      </c>
      <c r="L406" s="56">
        <f>IFERROR(__xludf.DUMMYFUNCTION("""COMPUTED_VALUE"""),0.4166666666666667)</f>
        <v>0.4166666667</v>
      </c>
      <c r="M406" s="56">
        <f>IFERROR(__xludf.DUMMYFUNCTION("""COMPUTED_VALUE"""),0.21052631578947367)</f>
        <v>0.2105263158</v>
      </c>
      <c r="N406" s="31">
        <f>IFERROR(__xludf.DUMMYFUNCTION("""COMPUTED_VALUE"""),321.1666666666667)</f>
        <v>321.1666667</v>
      </c>
      <c r="O406" s="57">
        <f>IFERROR(__xludf.DUMMYFUNCTION("""COMPUTED_VALUE"""),0.6666666666666666)</f>
        <v>0.6666666667</v>
      </c>
      <c r="P406" s="57">
        <f>IFERROR(__xludf.DUMMYFUNCTION("""COMPUTED_VALUE"""),0.4166666666666667)</f>
        <v>0.4166666667</v>
      </c>
      <c r="Q406" s="57">
        <f>IFERROR(__xludf.DUMMYFUNCTION("""COMPUTED_VALUE"""),1.1666666666666667)</f>
        <v>1.166666667</v>
      </c>
      <c r="R406" s="57">
        <f>IFERROR(__xludf.DUMMYFUNCTION("""COMPUTED_VALUE"""),3.1666666666666665)</f>
        <v>3.166666667</v>
      </c>
      <c r="S406" s="31">
        <f>IFERROR(__xludf.DUMMYFUNCTION("""COMPUTED_VALUE"""),441.4166666666667)</f>
        <v>441.4166667</v>
      </c>
      <c r="T406" s="57">
        <f>IFERROR(__xludf.DUMMYFUNCTION("""COMPUTED_VALUE"""),1.1111111111111112)</f>
        <v>1.111111111</v>
      </c>
      <c r="U406" s="57">
        <f>IFERROR(__xludf.DUMMYFUNCTION("""COMPUTED_VALUE"""),0.9166666666666666)</f>
        <v>0.9166666667</v>
      </c>
      <c r="V406" s="57">
        <f>IFERROR(__xludf.DUMMYFUNCTION("""COMPUTED_VALUE"""),1.777777777777778)</f>
        <v>1.777777778</v>
      </c>
      <c r="W406" s="57">
        <f>IFERROR(__xludf.DUMMYFUNCTION("""COMPUTED_VALUE"""),2.777777777777778)</f>
        <v>2.777777778</v>
      </c>
      <c r="X406" s="31">
        <f>IFERROR(__xludf.DUMMYFUNCTION("""COMPUTED_VALUE"""),397.727932561497)</f>
        <v>397.7279326</v>
      </c>
      <c r="Y406" s="57">
        <f>IFERROR(__xludf.DUMMYFUNCTION("""COMPUTED_VALUE"""),0.942320390730561)</f>
        <v>0.9423203907</v>
      </c>
      <c r="Z406" s="57">
        <f>IFERROR(__xludf.DUMMYFUNCTION("""COMPUTED_VALUE"""),0.6724540507524016)</f>
        <v>0.6724540508</v>
      </c>
      <c r="AA406" s="57">
        <f>IFERROR(__xludf.DUMMYFUNCTION("""COMPUTED_VALUE"""),1.5422301580691136)</f>
        <v>1.542230158</v>
      </c>
      <c r="AB406" s="57">
        <f>IFERROR(__xludf.DUMMYFUNCTION("""COMPUTED_VALUE"""),2.865264589927259)</f>
        <v>2.86526459</v>
      </c>
      <c r="AC406" s="31">
        <f>IFERROR(__xludf.DUMMYFUNCTION("""COMPUTED_VALUE"""),379.7433062789593)</f>
        <v>379.7433063</v>
      </c>
      <c r="AD406" s="57">
        <f>IFERROR(__xludf.DUMMYFUNCTION("""COMPUTED_VALUE"""),0.8523224884471344)</f>
        <v>0.8523224884</v>
      </c>
      <c r="AE406" s="57">
        <f>IFERROR(__xludf.DUMMYFUNCTION("""COMPUTED_VALUE"""),0.6317651745115096)</f>
        <v>0.6317651745</v>
      </c>
      <c r="AF406" s="57">
        <f>IFERROR(__xludf.DUMMYFUNCTION("""COMPUTED_VALUE"""),1.4852098642037008)</f>
        <v>1.485209864</v>
      </c>
      <c r="AG406" s="57">
        <f>IFERROR(__xludf.DUMMYFUNCTION("""COMPUTED_VALUE"""),2.848843132446122)</f>
        <v>2.848843132</v>
      </c>
      <c r="AH406" s="57">
        <f>IFERROR(__xludf.DUMMYFUNCTION("""COMPUTED_VALUE"""),0.8457467488070421)</f>
        <v>0.8457467488</v>
      </c>
      <c r="AI406" s="57">
        <f>IFERROR(__xludf.DUMMYFUNCTION("""COMPUTED_VALUE"""),0.7821765537141718)</f>
        <v>0.7821765537</v>
      </c>
      <c r="AJ406" s="57">
        <f>IFERROR(__xludf.DUMMYFUNCTION("""COMPUTED_VALUE"""),0.6595277541039511)</f>
        <v>0.6595277541</v>
      </c>
      <c r="AK406" s="57">
        <f>IFERROR(__xludf.DUMMYFUNCTION("""COMPUTED_VALUE"""),0.7855231067241653)</f>
        <v>0.7855231067</v>
      </c>
      <c r="AL406" s="57">
        <f>IFERROR(__xludf.DUMMYFUNCTION("""COMPUTED_VALUE"""),1.1115623147518303)</f>
        <v>1.111562315</v>
      </c>
      <c r="AM406" s="57">
        <f>IFERROR(__xludf.DUMMYFUNCTION("""COMPUTED_VALUE"""),1.1098457778004176)</f>
        <v>1.109845778</v>
      </c>
      <c r="AN406" s="57">
        <f>IFERROR(__xludf.DUMMYFUNCTION("""COMPUTED_VALUE"""),1.1791224322862104)</f>
        <v>1.179122432</v>
      </c>
      <c r="AO406" s="57">
        <f>IFERROR(__xludf.DUMMYFUNCTION("""COMPUTED_VALUE"""),1.3631662500077413)</f>
        <v>1.36316625</v>
      </c>
      <c r="AP406" s="35">
        <f>IFERROR(__xludf.DUMMYFUNCTION("""COMPUTED_VALUE"""),1.1527318205238395)</f>
        <v>1.152731821</v>
      </c>
      <c r="AQ406" s="57">
        <f>IFERROR(__xludf.DUMMYFUNCTION("""COMPUTED_VALUE"""),0.9694664107262423)</f>
        <v>0.9694664107</v>
      </c>
      <c r="AR406" s="36" t="b">
        <f>IFERROR(__xludf.DUMMYFUNCTION("""COMPUTED_VALUE"""),TRUE)</f>
        <v>1</v>
      </c>
      <c r="AS406" s="57"/>
      <c r="AT406" s="37"/>
      <c r="AU406" s="30"/>
      <c r="AV406" s="30"/>
      <c r="AW406" s="30"/>
      <c r="AX406" s="30"/>
      <c r="AY406" s="30"/>
      <c r="AZ406" s="30"/>
    </row>
    <row r="407">
      <c r="A407" s="30" t="str">
        <f>IFERROR(__xludf.DUMMYFUNCTION("""COMPUTED_VALUE"""),"Master")</f>
        <v>Master</v>
      </c>
      <c r="B407" s="30" t="str">
        <f>IFERROR(__xludf.DUMMYFUNCTION("""COMPUTED_VALUE"""),"RSC003801")</f>
        <v>RSC003801</v>
      </c>
      <c r="C407" s="30" t="str">
        <f>IFERROR(__xludf.DUMMYFUNCTION("""COMPUTED_VALUE"""),"veil._")</f>
        <v>veil._</v>
      </c>
      <c r="D407" s="31" t="str">
        <f>IFERROR(__xludf.DUMMYFUNCTION("""COMPUTED_VALUE"""),"Basilisks")</f>
        <v>Basilisks</v>
      </c>
      <c r="E407" s="31">
        <f>IFERROR(__xludf.DUMMYFUNCTION("""COMPUTED_VALUE"""),33.99346043683826)</f>
        <v>33.99346044</v>
      </c>
      <c r="F407" s="31">
        <f>IFERROR(__xludf.DUMMYFUNCTION("""COMPUTED_VALUE"""),-3.8313988902614224)</f>
        <v>-3.83139889</v>
      </c>
      <c r="G407" s="31">
        <f>IFERROR(__xludf.DUMMYFUNCTION("""COMPUTED_VALUE"""),19.523199229431633)</f>
        <v>19.52319923</v>
      </c>
      <c r="H407" s="31">
        <f>IFERROR(__xludf.DUMMYFUNCTION("""COMPUTED_VALUE"""),-8.97598166345523)</f>
        <v>-8.975981663</v>
      </c>
      <c r="I407" s="54">
        <f>IFERROR(__xludf.DUMMYFUNCTION("""COMPUTED_VALUE"""),13.0)</f>
        <v>13</v>
      </c>
      <c r="J407" s="55">
        <f>IFERROR(__xludf.DUMMYFUNCTION("""COMPUTED_VALUE"""),5.0)</f>
        <v>5</v>
      </c>
      <c r="K407" s="54">
        <f>IFERROR(__xludf.DUMMYFUNCTION("""COMPUTED_VALUE"""),8.0)</f>
        <v>8</v>
      </c>
      <c r="L407" s="56">
        <f>IFERROR(__xludf.DUMMYFUNCTION("""COMPUTED_VALUE"""),0.38461538461538464)</f>
        <v>0.3846153846</v>
      </c>
      <c r="M407" s="56">
        <f>IFERROR(__xludf.DUMMYFUNCTION("""COMPUTED_VALUE"""),0.3)</f>
        <v>0.3</v>
      </c>
      <c r="N407" s="31">
        <f>IFERROR(__xludf.DUMMYFUNCTION("""COMPUTED_VALUE"""),335.61538461538464)</f>
        <v>335.6153846</v>
      </c>
      <c r="O407" s="57">
        <f>IFERROR(__xludf.DUMMYFUNCTION("""COMPUTED_VALUE"""),0.46153846153846156)</f>
        <v>0.4615384615</v>
      </c>
      <c r="P407" s="57">
        <f>IFERROR(__xludf.DUMMYFUNCTION("""COMPUTED_VALUE"""),0.7692307692307693)</f>
        <v>0.7692307692</v>
      </c>
      <c r="Q407" s="57">
        <f>IFERROR(__xludf.DUMMYFUNCTION("""COMPUTED_VALUE"""),1.7692307692307692)</f>
        <v>1.769230769</v>
      </c>
      <c r="R407" s="57">
        <f>IFERROR(__xludf.DUMMYFUNCTION("""COMPUTED_VALUE"""),1.5384615384615385)</f>
        <v>1.538461538</v>
      </c>
      <c r="S407" s="31">
        <f>IFERROR(__xludf.DUMMYFUNCTION("""COMPUTED_VALUE"""),401.43589743589746)</f>
        <v>401.4358974</v>
      </c>
      <c r="T407" s="57">
        <f>IFERROR(__xludf.DUMMYFUNCTION("""COMPUTED_VALUE"""),0.9230769230769232)</f>
        <v>0.9230769231</v>
      </c>
      <c r="U407" s="57">
        <f>IFERROR(__xludf.DUMMYFUNCTION("""COMPUTED_VALUE"""),0.7435897435897435)</f>
        <v>0.7435897436</v>
      </c>
      <c r="V407" s="57">
        <f>IFERROR(__xludf.DUMMYFUNCTION("""COMPUTED_VALUE"""),1.3589743589743588)</f>
        <v>1.358974359</v>
      </c>
      <c r="W407" s="57">
        <f>IFERROR(__xludf.DUMMYFUNCTION("""COMPUTED_VALUE"""),3.461538461538461)</f>
        <v>3.461538462</v>
      </c>
      <c r="X407" s="31">
        <f>IFERROR(__xludf.DUMMYFUNCTION("""COMPUTED_VALUE"""),391.58687454520793)</f>
        <v>391.5868745</v>
      </c>
      <c r="Y407" s="57">
        <f>IFERROR(__xludf.DUMMYFUNCTION("""COMPUTED_VALUE"""),0.8730109396776065)</f>
        <v>0.8730109397</v>
      </c>
      <c r="Z407" s="57">
        <f>IFERROR(__xludf.DUMMYFUNCTION("""COMPUTED_VALUE"""),0.6751239501239502)</f>
        <v>0.6751239501</v>
      </c>
      <c r="AA407" s="57">
        <f>IFERROR(__xludf.DUMMYFUNCTION("""COMPUTED_VALUE"""),1.46399449316116)</f>
        <v>1.463994493</v>
      </c>
      <c r="AB407" s="57">
        <f>IFERROR(__xludf.DUMMYFUNCTION("""COMPUTED_VALUE"""),2.979785646452313)</f>
        <v>2.979785646</v>
      </c>
      <c r="AC407" s="31">
        <f>IFERROR(__xludf.DUMMYFUNCTION("""COMPUTED_VALUE"""),382.69692591359257)</f>
        <v>382.6969259</v>
      </c>
      <c r="AD407" s="57">
        <f>IFERROR(__xludf.DUMMYFUNCTION("""COMPUTED_VALUE"""),0.787910443465999)</f>
        <v>0.7879104435</v>
      </c>
      <c r="AE407" s="57">
        <f>IFERROR(__xludf.DUMMYFUNCTION("""COMPUTED_VALUE"""),0.5922322533433644)</f>
        <v>0.5922322533</v>
      </c>
      <c r="AF407" s="57">
        <f>IFERROR(__xludf.DUMMYFUNCTION("""COMPUTED_VALUE"""),1.6192678720456497)</f>
        <v>1.619267872</v>
      </c>
      <c r="AG407" s="57">
        <f>IFERROR(__xludf.DUMMYFUNCTION("""COMPUTED_VALUE"""),2.6638585694141246)</f>
        <v>2.663858569</v>
      </c>
      <c r="AH407" s="57">
        <f>IFERROR(__xludf.DUMMYFUNCTION("""COMPUTED_VALUE"""),0.8769743415476552)</f>
        <v>0.8769743415</v>
      </c>
      <c r="AI407" s="57">
        <f>IFERROR(__xludf.DUMMYFUNCTION("""COMPUTED_VALUE"""),0.585775281145107)</f>
        <v>0.5857752811</v>
      </c>
      <c r="AJ407" s="57">
        <f>IFERROR(__xludf.DUMMYFUNCTION("""COMPUTED_VALUE"""),1.2988667281935162)</f>
        <v>1.298866728</v>
      </c>
      <c r="AK407" s="57">
        <f>IFERROR(__xludf.DUMMYFUNCTION("""COMPUTED_VALUE"""),1.092611543632783)</f>
        <v>1.092611544</v>
      </c>
      <c r="AL407" s="57">
        <f>IFERROR(__xludf.DUMMYFUNCTION("""COMPUTED_VALUE"""),0.5775312383794835)</f>
        <v>0.5775312384</v>
      </c>
      <c r="AM407" s="57">
        <f>IFERROR(__xludf.DUMMYFUNCTION("""COMPUTED_VALUE"""),1.025151565414771)</f>
        <v>1.025151565</v>
      </c>
      <c r="AN407" s="57">
        <f>IFERROR(__xludf.DUMMYFUNCTION("""COMPUTED_VALUE"""),1.057348632329631)</f>
        <v>1.057348632</v>
      </c>
      <c r="AO407" s="57">
        <f>IFERROR(__xludf.DUMMYFUNCTION("""COMPUTED_VALUE"""),1.1014121828343124)</f>
        <v>1.101412183</v>
      </c>
      <c r="AP407" s="35">
        <f>IFERROR(__xludf.DUMMYFUNCTION("""COMPUTED_VALUE"""),0.9282646658321547)</f>
        <v>0.9282646658</v>
      </c>
      <c r="AQ407" s="57">
        <f>IFERROR(__xludf.DUMMYFUNCTION("""COMPUTED_VALUE"""),1.161673647787288)</f>
        <v>1.161673648</v>
      </c>
      <c r="AR407" s="36" t="b">
        <f>IFERROR(__xludf.DUMMYFUNCTION("""COMPUTED_VALUE"""),TRUE)</f>
        <v>1</v>
      </c>
      <c r="AS407" s="57"/>
      <c r="AT407" s="37"/>
      <c r="AU407" s="30"/>
      <c r="AV407" s="30"/>
      <c r="AW407" s="30"/>
      <c r="AX407" s="30"/>
      <c r="AY407" s="30"/>
      <c r="AZ407" s="30"/>
    </row>
    <row r="408">
      <c r="A408" s="30" t="str">
        <f>IFERROR(__xludf.DUMMYFUNCTION("""COMPUTED_VALUE"""),"Master")</f>
        <v>Master</v>
      </c>
      <c r="B408" s="30" t="str">
        <f>IFERROR(__xludf.DUMMYFUNCTION("""COMPUTED_VALUE"""),"RSC000021")</f>
        <v>RSC000021</v>
      </c>
      <c r="C408" s="30" t="str">
        <f>IFERROR(__xludf.DUMMYFUNCTION("""COMPUTED_VALUE"""),"TyTy")</f>
        <v>TyTy</v>
      </c>
      <c r="D408" s="31" t="str">
        <f>IFERROR(__xludf.DUMMYFUNCTION("""COMPUTED_VALUE"""),"Andromeda")</f>
        <v>Andromeda</v>
      </c>
      <c r="E408" s="31">
        <f>IFERROR(__xludf.DUMMYFUNCTION("""COMPUTED_VALUE"""),32.03415976791533)</f>
        <v>32.03415977</v>
      </c>
      <c r="F408" s="31">
        <f>IFERROR(__xludf.DUMMYFUNCTION("""COMPUTED_VALUE"""),-4.233998718017929)</f>
        <v>-4.233998718</v>
      </c>
      <c r="G408" s="31">
        <f>IFERROR(__xludf.DUMMYFUNCTION("""COMPUTED_VALUE"""),32.61010049400984)</f>
        <v>32.61010049</v>
      </c>
      <c r="H408" s="31">
        <f>IFERROR(__xludf.DUMMYFUNCTION("""COMPUTED_VALUE"""),-4.109460542083381)</f>
        <v>-4.109460542</v>
      </c>
      <c r="I408" s="54">
        <f>IFERROR(__xludf.DUMMYFUNCTION("""COMPUTED_VALUE"""),11.0)</f>
        <v>11</v>
      </c>
      <c r="J408" s="55">
        <f>IFERROR(__xludf.DUMMYFUNCTION("""COMPUTED_VALUE"""),4.0)</f>
        <v>4</v>
      </c>
      <c r="K408" s="54">
        <f>IFERROR(__xludf.DUMMYFUNCTION("""COMPUTED_VALUE"""),7.0)</f>
        <v>7</v>
      </c>
      <c r="L408" s="56">
        <f>IFERROR(__xludf.DUMMYFUNCTION("""COMPUTED_VALUE"""),0.36363636363636365)</f>
        <v>0.3636363636</v>
      </c>
      <c r="M408" s="56">
        <f>IFERROR(__xludf.DUMMYFUNCTION("""COMPUTED_VALUE"""),0.23529411764705885)</f>
        <v>0.2352941176</v>
      </c>
      <c r="N408" s="31">
        <f>IFERROR(__xludf.DUMMYFUNCTION("""COMPUTED_VALUE"""),290.72727272727275)</f>
        <v>290.7272727</v>
      </c>
      <c r="O408" s="57">
        <f>IFERROR(__xludf.DUMMYFUNCTION("""COMPUTED_VALUE"""),0.36363636363636365)</f>
        <v>0.3636363636</v>
      </c>
      <c r="P408" s="57">
        <f>IFERROR(__xludf.DUMMYFUNCTION("""COMPUTED_VALUE"""),0.9090909090909091)</f>
        <v>0.9090909091</v>
      </c>
      <c r="Q408" s="57">
        <f>IFERROR(__xludf.DUMMYFUNCTION("""COMPUTED_VALUE"""),1.0909090909090908)</f>
        <v>1.090909091</v>
      </c>
      <c r="R408" s="57">
        <f>IFERROR(__xludf.DUMMYFUNCTION("""COMPUTED_VALUE"""),1.5454545454545454)</f>
        <v>1.545454545</v>
      </c>
      <c r="S408" s="31">
        <f>IFERROR(__xludf.DUMMYFUNCTION("""COMPUTED_VALUE"""),355.8484848484849)</f>
        <v>355.8484848</v>
      </c>
      <c r="T408" s="57">
        <f>IFERROR(__xludf.DUMMYFUNCTION("""COMPUTED_VALUE"""),0.9090909090909091)</f>
        <v>0.9090909091</v>
      </c>
      <c r="U408" s="57">
        <f>IFERROR(__xludf.DUMMYFUNCTION("""COMPUTED_VALUE"""),0.6969696969696969)</f>
        <v>0.696969697</v>
      </c>
      <c r="V408" s="57">
        <f>IFERROR(__xludf.DUMMYFUNCTION("""COMPUTED_VALUE"""),0.9696969696969696)</f>
        <v>0.9696969697</v>
      </c>
      <c r="W408" s="57">
        <f>IFERROR(__xludf.DUMMYFUNCTION("""COMPUTED_VALUE"""),3.03030303030303)</f>
        <v>3.03030303</v>
      </c>
      <c r="X408" s="31">
        <f>IFERROR(__xludf.DUMMYFUNCTION("""COMPUTED_VALUE"""),374.167801450214)</f>
        <v>374.1678015</v>
      </c>
      <c r="Y408" s="57">
        <f>IFERROR(__xludf.DUMMYFUNCTION("""COMPUTED_VALUE"""),0.7998241734657617)</f>
        <v>0.7998241735</v>
      </c>
      <c r="Z408" s="57">
        <f>IFERROR(__xludf.DUMMYFUNCTION("""COMPUTED_VALUE"""),0.6407151985848432)</f>
        <v>0.6407151986</v>
      </c>
      <c r="AA408" s="57">
        <f>IFERROR(__xludf.DUMMYFUNCTION("""COMPUTED_VALUE"""),1.4994627225883754)</f>
        <v>1.499462723</v>
      </c>
      <c r="AB408" s="57">
        <f>IFERROR(__xludf.DUMMYFUNCTION("""COMPUTED_VALUE"""),2.779745255711818)</f>
        <v>2.779745256</v>
      </c>
      <c r="AC408" s="31">
        <f>IFERROR(__xludf.DUMMYFUNCTION("""COMPUTED_VALUE"""),375.9898499401221)</f>
        <v>375.9898499</v>
      </c>
      <c r="AD408" s="57">
        <f>IFERROR(__xludf.DUMMYFUNCTION("""COMPUTED_VALUE"""),0.8246350151261331)</f>
        <v>0.8246350151</v>
      </c>
      <c r="AE408" s="57">
        <f>IFERROR(__xludf.DUMMYFUNCTION("""COMPUTED_VALUE"""),0.6235523022683419)</f>
        <v>0.6235523023</v>
      </c>
      <c r="AF408" s="57">
        <f>IFERROR(__xludf.DUMMYFUNCTION("""COMPUTED_VALUE"""),1.4937073470184752)</f>
        <v>1.493707347</v>
      </c>
      <c r="AG408" s="57">
        <f>IFERROR(__xludf.DUMMYFUNCTION("""COMPUTED_VALUE"""),2.8117941043598482)</f>
        <v>2.811794104</v>
      </c>
      <c r="AH408" s="57">
        <f>IFERROR(__xludf.DUMMYFUNCTION("""COMPUTED_VALUE"""),0.7732317049877071)</f>
        <v>0.773231705</v>
      </c>
      <c r="AI408" s="57">
        <f>IFERROR(__xludf.DUMMYFUNCTION("""COMPUTED_VALUE"""),0.4409664360186587)</f>
        <v>0.440966436</v>
      </c>
      <c r="AJ408" s="57">
        <f>IFERROR(__xludf.DUMMYFUNCTION("""COMPUTED_VALUE"""),1.4579224642164619)</f>
        <v>1.457922464</v>
      </c>
      <c r="AK408" s="57">
        <f>IFERROR(__xludf.DUMMYFUNCTION("""COMPUTED_VALUE"""),0.7303365636425417)</f>
        <v>0.7303365636</v>
      </c>
      <c r="AL408" s="57">
        <f>IFERROR(__xludf.DUMMYFUNCTION("""COMPUTED_VALUE"""),0.5496328991721796)</f>
        <v>0.5496328992</v>
      </c>
      <c r="AM408" s="57">
        <f>IFERROR(__xludf.DUMMYFUNCTION("""COMPUTED_VALUE"""),0.9510398368573502)</f>
        <v>0.9510398369</v>
      </c>
      <c r="AN408" s="57">
        <f>IFERROR(__xludf.DUMMYFUNCTION("""COMPUTED_VALUE"""),1.1366134448671108)</f>
        <v>1.136613445</v>
      </c>
      <c r="AO408" s="57">
        <f>IFERROR(__xludf.DUMMYFUNCTION("""COMPUTED_VALUE"""),1.0877995379368304)</f>
        <v>1.087799538</v>
      </c>
      <c r="AP408" s="35">
        <f>IFERROR(__xludf.DUMMYFUNCTION("""COMPUTED_VALUE"""),0.6466962833347913)</f>
        <v>0.6466962833</v>
      </c>
      <c r="AQ408" s="57">
        <f>IFERROR(__xludf.DUMMYFUNCTION("""COMPUTED_VALUE"""),1.0901369555632359)</f>
        <v>1.090136956</v>
      </c>
      <c r="AR408" s="36" t="b">
        <f>IFERROR(__xludf.DUMMYFUNCTION("""COMPUTED_VALUE"""),TRUE)</f>
        <v>1</v>
      </c>
      <c r="AS408" s="57"/>
      <c r="AT408" s="37"/>
      <c r="AU408" s="30"/>
      <c r="AV408" s="30"/>
      <c r="AW408" s="30"/>
      <c r="AX408" s="30"/>
      <c r="AY408" s="30"/>
      <c r="AZ408" s="30"/>
    </row>
    <row r="409">
      <c r="A409" s="30" t="str">
        <f>IFERROR(__xludf.DUMMYFUNCTION("""COMPUTED_VALUE"""),"Master")</f>
        <v>Master</v>
      </c>
      <c r="B409" s="30" t="str">
        <f>IFERROR(__xludf.DUMMYFUNCTION("""COMPUTED_VALUE"""),"RSC005524")</f>
        <v>RSC005524</v>
      </c>
      <c r="C409" s="30" t="str">
        <f>IFERROR(__xludf.DUMMYFUNCTION("""COMPUTED_VALUE"""),"RaunchyRomanian")</f>
        <v>RaunchyRomanian</v>
      </c>
      <c r="D409" s="31" t="str">
        <f>IFERROR(__xludf.DUMMYFUNCTION("""COMPUTED_VALUE"""),"Heinous Henchmen")</f>
        <v>Heinous Henchmen</v>
      </c>
      <c r="E409" s="31">
        <f>IFERROR(__xludf.DUMMYFUNCTION("""COMPUTED_VALUE"""),31.556194014244756)</f>
        <v>31.55619401</v>
      </c>
      <c r="F409" s="31">
        <f>IFERROR(__xludf.DUMMYFUNCTION("""COMPUTED_VALUE"""),-4.341549517707207)</f>
        <v>-4.341549518</v>
      </c>
      <c r="G409" s="31">
        <f>IFERROR(__xludf.DUMMYFUNCTION("""COMPUTED_VALUE"""),17.686086358528073)</f>
        <v>17.68608636</v>
      </c>
      <c r="H409" s="31">
        <f>IFERROR(__xludf.DUMMYFUNCTION("""COMPUTED_VALUE"""),-10.195525869094197)</f>
        <v>-10.19552587</v>
      </c>
      <c r="I409" s="54">
        <f>IFERROR(__xludf.DUMMYFUNCTION("""COMPUTED_VALUE"""),4.0)</f>
        <v>4</v>
      </c>
      <c r="J409" s="55">
        <f>IFERROR(__xludf.DUMMYFUNCTION("""COMPUTED_VALUE"""),1.0)</f>
        <v>1</v>
      </c>
      <c r="K409" s="54">
        <f>IFERROR(__xludf.DUMMYFUNCTION("""COMPUTED_VALUE"""),3.0)</f>
        <v>3</v>
      </c>
      <c r="L409" s="56">
        <f>IFERROR(__xludf.DUMMYFUNCTION("""COMPUTED_VALUE"""),0.25)</f>
        <v>0.25</v>
      </c>
      <c r="M409" s="56">
        <f>IFERROR(__xludf.DUMMYFUNCTION("""COMPUTED_VALUE"""),0.14285714285714285)</f>
        <v>0.1428571429</v>
      </c>
      <c r="N409" s="31">
        <f>IFERROR(__xludf.DUMMYFUNCTION("""COMPUTED_VALUE"""),269.5)</f>
        <v>269.5</v>
      </c>
      <c r="O409" s="57">
        <f>IFERROR(__xludf.DUMMYFUNCTION("""COMPUTED_VALUE"""),0.25)</f>
        <v>0.25</v>
      </c>
      <c r="P409" s="57">
        <f>IFERROR(__xludf.DUMMYFUNCTION("""COMPUTED_VALUE"""),0.75)</f>
        <v>0.75</v>
      </c>
      <c r="Q409" s="57">
        <f>IFERROR(__xludf.DUMMYFUNCTION("""COMPUTED_VALUE"""),1.0)</f>
        <v>1</v>
      </c>
      <c r="R409" s="57">
        <f>IFERROR(__xludf.DUMMYFUNCTION("""COMPUTED_VALUE"""),1.75)</f>
        <v>1.75</v>
      </c>
      <c r="S409" s="31">
        <f>IFERROR(__xludf.DUMMYFUNCTION("""COMPUTED_VALUE"""),391.0833333333333)</f>
        <v>391.0833333</v>
      </c>
      <c r="T409" s="57">
        <f>IFERROR(__xludf.DUMMYFUNCTION("""COMPUTED_VALUE"""),1.0833333333333333)</f>
        <v>1.083333333</v>
      </c>
      <c r="U409" s="57">
        <f>IFERROR(__xludf.DUMMYFUNCTION("""COMPUTED_VALUE"""),0.5833333333333334)</f>
        <v>0.5833333333</v>
      </c>
      <c r="V409" s="57">
        <f>IFERROR(__xludf.DUMMYFUNCTION("""COMPUTED_VALUE"""),1.4166666666666667)</f>
        <v>1.416666667</v>
      </c>
      <c r="W409" s="57">
        <f>IFERROR(__xludf.DUMMYFUNCTION("""COMPUTED_VALUE"""),2.9166666666666665)</f>
        <v>2.916666667</v>
      </c>
      <c r="X409" s="31">
        <f>IFERROR(__xludf.DUMMYFUNCTION("""COMPUTED_VALUE"""),397.9583333333333)</f>
        <v>397.9583333</v>
      </c>
      <c r="Y409" s="57">
        <f>IFERROR(__xludf.DUMMYFUNCTION("""COMPUTED_VALUE"""),1.0636574074074074)</f>
        <v>1.063657407</v>
      </c>
      <c r="Z409" s="57">
        <f>IFERROR(__xludf.DUMMYFUNCTION("""COMPUTED_VALUE"""),0.8032407407407408)</f>
        <v>0.8032407407</v>
      </c>
      <c r="AA409" s="57">
        <f>IFERROR(__xludf.DUMMYFUNCTION("""COMPUTED_VALUE"""),1.3449074074074074)</f>
        <v>1.344907407</v>
      </c>
      <c r="AB409" s="57">
        <f>IFERROR(__xludf.DUMMYFUNCTION("""COMPUTED_VALUE"""),2.7754629629629632)</f>
        <v>2.775462963</v>
      </c>
      <c r="AC409" s="31">
        <f>IFERROR(__xludf.DUMMYFUNCTION("""COMPUTED_VALUE"""),336.14274691358025)</f>
        <v>336.1427469</v>
      </c>
      <c r="AD409" s="57">
        <f>IFERROR(__xludf.DUMMYFUNCTION("""COMPUTED_VALUE"""),0.6886574074074074)</f>
        <v>0.6886574074</v>
      </c>
      <c r="AE409" s="57">
        <f>IFERROR(__xludf.DUMMYFUNCTION("""COMPUTED_VALUE"""),0.46412037037037046)</f>
        <v>0.4641203704</v>
      </c>
      <c r="AF409" s="57">
        <f>IFERROR(__xludf.DUMMYFUNCTION("""COMPUTED_VALUE"""),1.334104938271605)</f>
        <v>1.334104938</v>
      </c>
      <c r="AG409" s="57">
        <f>IFERROR(__xludf.DUMMYFUNCTION("""COMPUTED_VALUE"""),2.4116512345679015)</f>
        <v>2.411651235</v>
      </c>
      <c r="AH409" s="57">
        <f>IFERROR(__xludf.DUMMYFUNCTION("""COMPUTED_VALUE"""),0.8017427193491888)</f>
        <v>0.8017427193</v>
      </c>
      <c r="AI409" s="57">
        <f>IFERROR(__xludf.DUMMYFUNCTION("""COMPUTED_VALUE"""),0.3630252100840336)</f>
        <v>0.3630252101</v>
      </c>
      <c r="AJ409" s="57">
        <f>IFERROR(__xludf.DUMMYFUNCTION("""COMPUTED_VALUE"""),1.6159600997506232)</f>
        <v>1.6159601</v>
      </c>
      <c r="AK409" s="57">
        <f>IFERROR(__xludf.DUMMYFUNCTION("""COMPUTED_VALUE"""),0.7495662232504338)</f>
        <v>0.7495662233</v>
      </c>
      <c r="AL409" s="57">
        <f>IFERROR(__xludf.DUMMYFUNCTION("""COMPUTED_VALUE"""),0.7256438969764837)</f>
        <v>0.725643897</v>
      </c>
      <c r="AM409" s="57">
        <f>IFERROR(__xludf.DUMMYFUNCTION("""COMPUTED_VALUE"""),0.9827243220605172)</f>
        <v>0.9827243221</v>
      </c>
      <c r="AN409" s="57">
        <f>IFERROR(__xludf.DUMMYFUNCTION("""COMPUTED_VALUE"""),1.018498367791077)</f>
        <v>1.018498368</v>
      </c>
      <c r="AO409" s="57">
        <f>IFERROR(__xludf.DUMMYFUNCTION("""COMPUTED_VALUE"""),0.7262247838616714)</f>
        <v>0.7262247839</v>
      </c>
      <c r="AP409" s="35">
        <f>IFERROR(__xludf.DUMMYFUNCTION("""COMPUTED_VALUE"""),1.0533562822719449)</f>
        <v>1.053356282</v>
      </c>
      <c r="AQ409" s="57">
        <f>IFERROR(__xludf.DUMMYFUNCTION("""COMPUTED_VALUE"""),1.0508757297748121)</f>
        <v>1.05087573</v>
      </c>
      <c r="AR409" s="36" t="b">
        <f>IFERROR(__xludf.DUMMYFUNCTION("""COMPUTED_VALUE"""),TRUE)</f>
        <v>1</v>
      </c>
      <c r="AS409" s="57"/>
      <c r="AT409" s="37"/>
      <c r="AU409" s="30"/>
      <c r="AV409" s="30"/>
      <c r="AW409" s="30"/>
      <c r="AX409" s="30"/>
      <c r="AY409" s="30"/>
      <c r="AZ409" s="30"/>
    </row>
    <row r="410">
      <c r="A410" s="30" t="str">
        <f>IFERROR(__xludf.DUMMYFUNCTION("""COMPUTED_VALUE"""),"Master")</f>
        <v>Master</v>
      </c>
      <c r="B410" s="30" t="str">
        <f>IFERROR(__xludf.DUMMYFUNCTION("""COMPUTED_VALUE"""),"RSC007878")</f>
        <v>RSC007878</v>
      </c>
      <c r="C410" s="30" t="str">
        <f>IFERROR(__xludf.DUMMYFUNCTION("""COMPUTED_VALUE"""),"oneam")</f>
        <v>oneam</v>
      </c>
      <c r="D410" s="31" t="str">
        <f>IFERROR(__xludf.DUMMYFUNCTION("""COMPUTED_VALUE"""),"Hard Hats")</f>
        <v>Hard Hats</v>
      </c>
      <c r="E410" s="31">
        <f>IFERROR(__xludf.DUMMYFUNCTION("""COMPUTED_VALUE"""),27.785271769222312)</f>
        <v>27.78527177</v>
      </c>
      <c r="F410" s="31">
        <f>IFERROR(__xludf.DUMMYFUNCTION("""COMPUTED_VALUE"""),-5.344393584476933)</f>
        <v>-5.344393584</v>
      </c>
      <c r="G410" s="31">
        <f>IFERROR(__xludf.DUMMYFUNCTION("""COMPUTED_VALUE"""),26.539998660585574)</f>
        <v>26.53999866</v>
      </c>
      <c r="H410" s="31">
        <f>IFERROR(__xludf.DUMMYFUNCTION("""COMPUTED_VALUE"""),-5.746484771942646)</f>
        <v>-5.746484772</v>
      </c>
      <c r="I410" s="54">
        <f>IFERROR(__xludf.DUMMYFUNCTION("""COMPUTED_VALUE"""),22.0)</f>
        <v>22</v>
      </c>
      <c r="J410" s="55">
        <f>IFERROR(__xludf.DUMMYFUNCTION("""COMPUTED_VALUE"""),5.0)</f>
        <v>5</v>
      </c>
      <c r="K410" s="54">
        <f>IFERROR(__xludf.DUMMYFUNCTION("""COMPUTED_VALUE"""),17.0)</f>
        <v>17</v>
      </c>
      <c r="L410" s="56">
        <f>IFERROR(__xludf.DUMMYFUNCTION("""COMPUTED_VALUE"""),0.22727272727272727)</f>
        <v>0.2272727273</v>
      </c>
      <c r="M410" s="56">
        <f>IFERROR(__xludf.DUMMYFUNCTION("""COMPUTED_VALUE"""),0.3111111111111111)</f>
        <v>0.3111111111</v>
      </c>
      <c r="N410" s="31">
        <f>IFERROR(__xludf.DUMMYFUNCTION("""COMPUTED_VALUE"""),333.72727272727275)</f>
        <v>333.7272727</v>
      </c>
      <c r="O410" s="57">
        <f>IFERROR(__xludf.DUMMYFUNCTION("""COMPUTED_VALUE"""),0.6363636363636364)</f>
        <v>0.6363636364</v>
      </c>
      <c r="P410" s="57">
        <f>IFERROR(__xludf.DUMMYFUNCTION("""COMPUTED_VALUE"""),0.3181818181818182)</f>
        <v>0.3181818182</v>
      </c>
      <c r="Q410" s="57">
        <f>IFERROR(__xludf.DUMMYFUNCTION("""COMPUTED_VALUE"""),1.5909090909090908)</f>
        <v>1.590909091</v>
      </c>
      <c r="R410" s="57">
        <f>IFERROR(__xludf.DUMMYFUNCTION("""COMPUTED_VALUE"""),2.0454545454545454)</f>
        <v>2.045454545</v>
      </c>
      <c r="S410" s="31">
        <f>IFERROR(__xludf.DUMMYFUNCTION("""COMPUTED_VALUE"""),395.54545454545456)</f>
        <v>395.5454545</v>
      </c>
      <c r="T410" s="57">
        <f>IFERROR(__xludf.DUMMYFUNCTION("""COMPUTED_VALUE"""),0.9848484848484849)</f>
        <v>0.9848484848</v>
      </c>
      <c r="U410" s="57">
        <f>IFERROR(__xludf.DUMMYFUNCTION("""COMPUTED_VALUE"""),0.7272727272727274)</f>
        <v>0.7272727273</v>
      </c>
      <c r="V410" s="57">
        <f>IFERROR(__xludf.DUMMYFUNCTION("""COMPUTED_VALUE"""),1.3939393939393943)</f>
        <v>1.393939394</v>
      </c>
      <c r="W410" s="57">
        <f>IFERROR(__xludf.DUMMYFUNCTION("""COMPUTED_VALUE"""),2.939393939393939)</f>
        <v>2.939393939</v>
      </c>
      <c r="X410" s="31">
        <f>IFERROR(__xludf.DUMMYFUNCTION("""COMPUTED_VALUE"""),393.84247133835544)</f>
        <v>393.8424713</v>
      </c>
      <c r="Y410" s="57">
        <f>IFERROR(__xludf.DUMMYFUNCTION("""COMPUTED_VALUE"""),0.9295990924815297)</f>
        <v>0.9295990925</v>
      </c>
      <c r="Z410" s="57">
        <f>IFERROR(__xludf.DUMMYFUNCTION("""COMPUTED_VALUE"""),0.7130671939622245)</f>
        <v>0.713067194</v>
      </c>
      <c r="AA410" s="57">
        <f>IFERROR(__xludf.DUMMYFUNCTION("""COMPUTED_VALUE"""),1.4277992280739074)</f>
        <v>1.427799228</v>
      </c>
      <c r="AB410" s="57">
        <f>IFERROR(__xludf.DUMMYFUNCTION("""COMPUTED_VALUE"""),2.8788136219889098)</f>
        <v>2.878813622</v>
      </c>
      <c r="AC410" s="31">
        <f>IFERROR(__xludf.DUMMYFUNCTION("""COMPUTED_VALUE"""),365.4202703143836)</f>
        <v>365.4202703</v>
      </c>
      <c r="AD410" s="57">
        <f>IFERROR(__xludf.DUMMYFUNCTION("""COMPUTED_VALUE"""),0.7765885316644556)</f>
        <v>0.7765885317</v>
      </c>
      <c r="AE410" s="57">
        <f>IFERROR(__xludf.DUMMYFUNCTION("""COMPUTED_VALUE"""),0.574279716482359)</f>
        <v>0.5742797165</v>
      </c>
      <c r="AF410" s="57">
        <f>IFERROR(__xludf.DUMMYFUNCTION("""COMPUTED_VALUE"""),1.456528984615248)</f>
        <v>1.456528985</v>
      </c>
      <c r="AG410" s="57">
        <f>IFERROR(__xludf.DUMMYFUNCTION("""COMPUTED_VALUE"""),2.614130710674688)</f>
        <v>2.614130711</v>
      </c>
      <c r="AH410" s="57">
        <f>IFERROR(__xludf.DUMMYFUNCTION("""COMPUTED_VALUE"""),0.913269733066958)</f>
        <v>0.9132697331</v>
      </c>
      <c r="AI410" s="57">
        <f>IFERROR(__xludf.DUMMYFUNCTION("""COMPUTED_VALUE"""),0.8194347590991635)</f>
        <v>0.8194347591</v>
      </c>
      <c r="AJ410" s="57">
        <f>IFERROR(__xludf.DUMMYFUNCTION("""COMPUTED_VALUE"""),0.5540537286094315)</f>
        <v>0.5540537286</v>
      </c>
      <c r="AK410" s="57">
        <f>IFERROR(__xludf.DUMMYFUNCTION("""COMPUTED_VALUE"""),1.092260509549242)</f>
        <v>1.09226051</v>
      </c>
      <c r="AL410" s="57">
        <f>IFERROR(__xludf.DUMMYFUNCTION("""COMPUTED_VALUE"""),0.7824606998808521)</f>
        <v>0.7824606999</v>
      </c>
      <c r="AM410" s="57">
        <f>IFERROR(__xludf.DUMMYFUNCTION("""COMPUTED_VALUE"""),1.0043240212293816)</f>
        <v>1.004324021</v>
      </c>
      <c r="AN410" s="57">
        <f>IFERROR(__xludf.DUMMYFUNCTION("""COMPUTED_VALUE"""),1.0594335696041495)</f>
        <v>1.05943357</v>
      </c>
      <c r="AO410" s="57">
        <f>IFERROR(__xludf.DUMMYFUNCTION("""COMPUTED_VALUE"""),1.0199217316836138)</f>
        <v>1.019921732</v>
      </c>
      <c r="AP410" s="35">
        <f>IFERROR(__xludf.DUMMYFUNCTION("""COMPUTED_VALUE"""),0.9762852973522126)</f>
        <v>0.9762852974</v>
      </c>
      <c r="AQ410" s="57">
        <f>IFERROR(__xludf.DUMMYFUNCTION("""COMPUTED_VALUE"""),1.0210435010249728)</f>
        <v>1.021043501</v>
      </c>
      <c r="AR410" s="36" t="b">
        <f>IFERROR(__xludf.DUMMYFUNCTION("""COMPUTED_VALUE"""),TRUE)</f>
        <v>1</v>
      </c>
      <c r="AS410" s="57"/>
      <c r="AT410" s="37"/>
      <c r="AU410" s="30"/>
      <c r="AV410" s="30"/>
      <c r="AW410" s="30"/>
      <c r="AX410" s="30"/>
      <c r="AY410" s="30"/>
      <c r="AZ410" s="30"/>
    </row>
    <row r="411">
      <c r="A411" s="30" t="str">
        <f>IFERROR(__xludf.DUMMYFUNCTION("""COMPUTED_VALUE"""),"Master")</f>
        <v>Master</v>
      </c>
      <c r="B411" s="30" t="str">
        <f>IFERROR(__xludf.DUMMYFUNCTION("""COMPUTED_VALUE"""),"RSC006087")</f>
        <v>RSC006087</v>
      </c>
      <c r="C411" s="30" t="str">
        <f>IFERROR(__xludf.DUMMYFUNCTION("""COMPUTED_VALUE"""),"DoorTK")</f>
        <v>DoorTK</v>
      </c>
      <c r="D411" s="31" t="str">
        <f>IFERROR(__xludf.DUMMYFUNCTION("""COMPUTED_VALUE"""),"Lemurs")</f>
        <v>Lemurs</v>
      </c>
      <c r="E411" s="31">
        <f>IFERROR(__xludf.DUMMYFUNCTION("""COMPUTED_VALUE"""),27.62088967134612)</f>
        <v>27.62088967</v>
      </c>
      <c r="F411" s="31">
        <f>IFERROR(__xludf.DUMMYFUNCTION("""COMPUTED_VALUE"""),-5.395209842640112)</f>
        <v>-5.395209843</v>
      </c>
      <c r="G411" s="31">
        <f>IFERROR(__xludf.DUMMYFUNCTION("""COMPUTED_VALUE"""),17.10587418621114)</f>
        <v>17.10587419</v>
      </c>
      <c r="H411" s="31">
        <f>IFERROR(__xludf.DUMMYFUNCTION("""COMPUTED_VALUE"""),-10.624005246496468)</f>
        <v>-10.62400525</v>
      </c>
      <c r="I411" s="54">
        <f>IFERROR(__xludf.DUMMYFUNCTION("""COMPUTED_VALUE"""),17.0)</f>
        <v>17</v>
      </c>
      <c r="J411" s="55">
        <f>IFERROR(__xludf.DUMMYFUNCTION("""COMPUTED_VALUE"""),7.0)</f>
        <v>7</v>
      </c>
      <c r="K411" s="54">
        <f>IFERROR(__xludf.DUMMYFUNCTION("""COMPUTED_VALUE"""),10.0)</f>
        <v>10</v>
      </c>
      <c r="L411" s="56">
        <f>IFERROR(__xludf.DUMMYFUNCTION("""COMPUTED_VALUE"""),0.4117647058823529)</f>
        <v>0.4117647059</v>
      </c>
      <c r="M411" s="56">
        <f>IFERROR(__xludf.DUMMYFUNCTION("""COMPUTED_VALUE"""),0.2)</f>
        <v>0.2</v>
      </c>
      <c r="N411" s="31">
        <f>IFERROR(__xludf.DUMMYFUNCTION("""COMPUTED_VALUE"""),291.70588235294116)</f>
        <v>291.7058824</v>
      </c>
      <c r="O411" s="57">
        <f>IFERROR(__xludf.DUMMYFUNCTION("""COMPUTED_VALUE"""),0.4117647058823529)</f>
        <v>0.4117647059</v>
      </c>
      <c r="P411" s="57">
        <f>IFERROR(__xludf.DUMMYFUNCTION("""COMPUTED_VALUE"""),0.5882352941176471)</f>
        <v>0.5882352941</v>
      </c>
      <c r="Q411" s="57">
        <f>IFERROR(__xludf.DUMMYFUNCTION("""COMPUTED_VALUE"""),1.3529411764705883)</f>
        <v>1.352941176</v>
      </c>
      <c r="R411" s="57">
        <f>IFERROR(__xludf.DUMMYFUNCTION("""COMPUTED_VALUE"""),2.0588235294117645)</f>
        <v>2.058823529</v>
      </c>
      <c r="S411" s="31">
        <f>IFERROR(__xludf.DUMMYFUNCTION("""COMPUTED_VALUE"""),380.8235294117647)</f>
        <v>380.8235294</v>
      </c>
      <c r="T411" s="57">
        <f>IFERROR(__xludf.DUMMYFUNCTION("""COMPUTED_VALUE"""),0.8431372549019607)</f>
        <v>0.8431372549</v>
      </c>
      <c r="U411" s="57">
        <f>IFERROR(__xludf.DUMMYFUNCTION("""COMPUTED_VALUE"""),0.6470588235294118)</f>
        <v>0.6470588235</v>
      </c>
      <c r="V411" s="57">
        <f>IFERROR(__xludf.DUMMYFUNCTION("""COMPUTED_VALUE"""),1.5098039215686274)</f>
        <v>1.509803922</v>
      </c>
      <c r="W411" s="57">
        <f>IFERROR(__xludf.DUMMYFUNCTION("""COMPUTED_VALUE"""),2.88235294117647)</f>
        <v>2.882352941</v>
      </c>
      <c r="X411" s="31">
        <f>IFERROR(__xludf.DUMMYFUNCTION("""COMPUTED_VALUE"""),390.74800341396013)</f>
        <v>390.7480034</v>
      </c>
      <c r="Y411" s="57">
        <f>IFERROR(__xludf.DUMMYFUNCTION("""COMPUTED_VALUE"""),0.9049427089826011)</f>
        <v>0.904942709</v>
      </c>
      <c r="Z411" s="57">
        <f>IFERROR(__xludf.DUMMYFUNCTION("""COMPUTED_VALUE"""),0.681354689434473)</f>
        <v>0.6813546894</v>
      </c>
      <c r="AA411" s="57">
        <f>IFERROR(__xludf.DUMMYFUNCTION("""COMPUTED_VALUE"""),1.5174464411955964)</f>
        <v>1.517446441</v>
      </c>
      <c r="AB411" s="57">
        <f>IFERROR(__xludf.DUMMYFUNCTION("""COMPUTED_VALUE"""),2.789106437348492)</f>
        <v>2.789106437</v>
      </c>
      <c r="AC411" s="31">
        <f>IFERROR(__xludf.DUMMYFUNCTION("""COMPUTED_VALUE"""),373.3582116826821)</f>
        <v>373.3582117</v>
      </c>
      <c r="AD411" s="57">
        <f>IFERROR(__xludf.DUMMYFUNCTION("""COMPUTED_VALUE"""),0.8001541684886289)</f>
        <v>0.8001541685</v>
      </c>
      <c r="AE411" s="57">
        <f>IFERROR(__xludf.DUMMYFUNCTION("""COMPUTED_VALUE"""),0.609350497247725)</f>
        <v>0.6093504972</v>
      </c>
      <c r="AF411" s="57">
        <f>IFERROR(__xludf.DUMMYFUNCTION("""COMPUTED_VALUE"""),1.468151731989911)</f>
        <v>1.468151732</v>
      </c>
      <c r="AG411" s="57">
        <f>IFERROR(__xludf.DUMMYFUNCTION("""COMPUTED_VALUE"""),2.7483784744208446)</f>
        <v>2.748378474</v>
      </c>
      <c r="AH411" s="57">
        <f>IFERROR(__xludf.DUMMYFUNCTION("""COMPUTED_VALUE"""),0.7813029772085542)</f>
        <v>0.7813029772</v>
      </c>
      <c r="AI411" s="57">
        <f>IFERROR(__xludf.DUMMYFUNCTION("""COMPUTED_VALUE"""),0.5146067121791225)</f>
        <v>0.5146067122</v>
      </c>
      <c r="AJ411" s="57">
        <f>IFERROR(__xludf.DUMMYFUNCTION("""COMPUTED_VALUE"""),0.9653480169041467)</f>
        <v>0.9653480169</v>
      </c>
      <c r="AK411" s="57">
        <f>IFERROR(__xludf.DUMMYFUNCTION("""COMPUTED_VALUE"""),0.9215268061134472)</f>
        <v>0.9215268061</v>
      </c>
      <c r="AL411" s="57">
        <f>IFERROR(__xludf.DUMMYFUNCTION("""COMPUTED_VALUE"""),0.7491048080070605)</f>
        <v>0.749104808</v>
      </c>
      <c r="AM411" s="57">
        <f>IFERROR(__xludf.DUMMYFUNCTION("""COMPUTED_VALUE"""),0.9746013443050625)</f>
        <v>0.9746013443</v>
      </c>
      <c r="AN411" s="57">
        <f>IFERROR(__xludf.DUMMYFUNCTION("""COMPUTED_VALUE"""),0.931702356992161)</f>
        <v>0.931702357</v>
      </c>
      <c r="AO411" s="57">
        <f>IFERROR(__xludf.DUMMYFUNCTION("""COMPUTED_VALUE"""),0.9496651796239535)</f>
        <v>0.9496651796</v>
      </c>
      <c r="AP411" s="35">
        <f>IFERROR(__xludf.DUMMYFUNCTION("""COMPUTED_VALUE"""),0.9949635654877234)</f>
        <v>0.9949635655</v>
      </c>
      <c r="AQ411" s="57">
        <f>IFERROR(__xludf.DUMMYFUNCTION("""COMPUTED_VALUE"""),1.0334323934645622)</f>
        <v>1.033432393</v>
      </c>
      <c r="AR411" s="36" t="b">
        <f>IFERROR(__xludf.DUMMYFUNCTION("""COMPUTED_VALUE"""),TRUE)</f>
        <v>1</v>
      </c>
      <c r="AS411" s="57"/>
      <c r="AT411" s="37"/>
      <c r="AU411" s="30"/>
      <c r="AV411" s="30"/>
      <c r="AW411" s="30"/>
      <c r="AX411" s="30"/>
      <c r="AY411" s="30"/>
      <c r="AZ411" s="30"/>
    </row>
    <row r="412">
      <c r="A412" s="30" t="str">
        <f>IFERROR(__xludf.DUMMYFUNCTION("""COMPUTED_VALUE"""),"Master")</f>
        <v>Master</v>
      </c>
      <c r="B412" s="30" t="str">
        <f>IFERROR(__xludf.DUMMYFUNCTION("""COMPUTED_VALUE"""),"RSC003323")</f>
        <v>RSC003323</v>
      </c>
      <c r="C412" s="30" t="str">
        <f>IFERROR(__xludf.DUMMYFUNCTION("""COMPUTED_VALUE"""),"Boog McCroog")</f>
        <v>Boog McCroog</v>
      </c>
      <c r="D412" s="31" t="str">
        <f>IFERROR(__xludf.DUMMYFUNCTION("""COMPUTED_VALUE"""),"Hard Hats")</f>
        <v>Hard Hats</v>
      </c>
      <c r="E412" s="31">
        <f>IFERROR(__xludf.DUMMYFUNCTION("""COMPUTED_VALUE"""),24.71692693796235)</f>
        <v>24.71692694</v>
      </c>
      <c r="F412" s="31">
        <f>IFERROR(__xludf.DUMMYFUNCTION("""COMPUTED_VALUE"""),-6.413095059696097)</f>
        <v>-6.41309506</v>
      </c>
      <c r="G412" s="31">
        <f>IFERROR(__xludf.DUMMYFUNCTION("""COMPUTED_VALUE"""),16.78718592302664)</f>
        <v>16.78718592</v>
      </c>
      <c r="H412" s="31">
        <f>IFERROR(__xludf.DUMMYFUNCTION("""COMPUTED_VALUE"""),-10.869043262910939)</f>
        <v>-10.86904326</v>
      </c>
      <c r="I412" s="54">
        <f>IFERROR(__xludf.DUMMYFUNCTION("""COMPUTED_VALUE"""),30.0)</f>
        <v>30</v>
      </c>
      <c r="J412" s="55">
        <f>IFERROR(__xludf.DUMMYFUNCTION("""COMPUTED_VALUE"""),10.0)</f>
        <v>10</v>
      </c>
      <c r="K412" s="54">
        <f>IFERROR(__xludf.DUMMYFUNCTION("""COMPUTED_VALUE"""),20.0)</f>
        <v>20</v>
      </c>
      <c r="L412" s="56">
        <f>IFERROR(__xludf.DUMMYFUNCTION("""COMPUTED_VALUE"""),0.3333333333333333)</f>
        <v>0.3333333333</v>
      </c>
      <c r="M412" s="56">
        <f>IFERROR(__xludf.DUMMYFUNCTION("""COMPUTED_VALUE"""),0.15492957746478872)</f>
        <v>0.1549295775</v>
      </c>
      <c r="N412" s="31">
        <f>IFERROR(__xludf.DUMMYFUNCTION("""COMPUTED_VALUE"""),309.73333333333335)</f>
        <v>309.7333333</v>
      </c>
      <c r="O412" s="57">
        <f>IFERROR(__xludf.DUMMYFUNCTION("""COMPUTED_VALUE"""),0.36666666666666664)</f>
        <v>0.3666666667</v>
      </c>
      <c r="P412" s="57">
        <f>IFERROR(__xludf.DUMMYFUNCTION("""COMPUTED_VALUE"""),0.5)</f>
        <v>0.5</v>
      </c>
      <c r="Q412" s="57">
        <f>IFERROR(__xludf.DUMMYFUNCTION("""COMPUTED_VALUE"""),1.6333333333333333)</f>
        <v>1.633333333</v>
      </c>
      <c r="R412" s="57">
        <f>IFERROR(__xludf.DUMMYFUNCTION("""COMPUTED_VALUE"""),2.3666666666666667)</f>
        <v>2.366666667</v>
      </c>
      <c r="S412" s="31">
        <f>IFERROR(__xludf.DUMMYFUNCTION("""COMPUTED_VALUE"""),408.8666666666667)</f>
        <v>408.8666667</v>
      </c>
      <c r="T412" s="57">
        <f>IFERROR(__xludf.DUMMYFUNCTION("""COMPUTED_VALUE"""),0.9555555555555555)</f>
        <v>0.9555555556</v>
      </c>
      <c r="U412" s="57">
        <f>IFERROR(__xludf.DUMMYFUNCTION("""COMPUTED_VALUE"""),0.6999999999999998)</f>
        <v>0.7</v>
      </c>
      <c r="V412" s="57">
        <f>IFERROR(__xludf.DUMMYFUNCTION("""COMPUTED_VALUE"""),1.6777777777777776)</f>
        <v>1.677777778</v>
      </c>
      <c r="W412" s="57">
        <f>IFERROR(__xludf.DUMMYFUNCTION("""COMPUTED_VALUE"""),2.9444444444444446)</f>
        <v>2.944444444</v>
      </c>
      <c r="X412" s="31">
        <f>IFERROR(__xludf.DUMMYFUNCTION("""COMPUTED_VALUE"""),391.33839918697385)</f>
        <v>391.3383992</v>
      </c>
      <c r="Y412" s="57">
        <f>IFERROR(__xludf.DUMMYFUNCTION("""COMPUTED_VALUE"""),0.8969441987482963)</f>
        <v>0.8969441987</v>
      </c>
      <c r="Z412" s="57">
        <f>IFERROR(__xludf.DUMMYFUNCTION("""COMPUTED_VALUE"""),0.7366853956818349)</f>
        <v>0.7366853957</v>
      </c>
      <c r="AA412" s="57">
        <f>IFERROR(__xludf.DUMMYFUNCTION("""COMPUTED_VALUE"""),1.4651894398658516)</f>
        <v>1.46518944</v>
      </c>
      <c r="AB412" s="57">
        <f>IFERROR(__xludf.DUMMYFUNCTION("""COMPUTED_VALUE"""),2.8727777504923293)</f>
        <v>2.87277775</v>
      </c>
      <c r="AC412" s="31">
        <f>IFERROR(__xludf.DUMMYFUNCTION("""COMPUTED_VALUE"""),372.59750388199143)</f>
        <v>372.5975039</v>
      </c>
      <c r="AD412" s="57">
        <f>IFERROR(__xludf.DUMMYFUNCTION("""COMPUTED_VALUE"""),0.7860435580917008)</f>
        <v>0.7860435581</v>
      </c>
      <c r="AE412" s="57">
        <f>IFERROR(__xludf.DUMMYFUNCTION("""COMPUTED_VALUE"""),0.6039127229368569)</f>
        <v>0.6039127229</v>
      </c>
      <c r="AF412" s="57">
        <f>IFERROR(__xludf.DUMMYFUNCTION("""COMPUTED_VALUE"""),1.506821450674836)</f>
        <v>1.506821451</v>
      </c>
      <c r="AG412" s="57">
        <f>IFERROR(__xludf.DUMMYFUNCTION("""COMPUTED_VALUE"""),2.7112107900498073)</f>
        <v>2.71121079</v>
      </c>
      <c r="AH412" s="57">
        <f>IFERROR(__xludf.DUMMYFUNCTION("""COMPUTED_VALUE"""),0.8312812890754944)</f>
        <v>0.8312812891</v>
      </c>
      <c r="AI412" s="57">
        <f>IFERROR(__xludf.DUMMYFUNCTION("""COMPUTED_VALUE"""),0.46647118075343463)</f>
        <v>0.4664711808</v>
      </c>
      <c r="AJ412" s="57">
        <f>IFERROR(__xludf.DUMMYFUNCTION("""COMPUTED_VALUE"""),0.8279342047448109)</f>
        <v>0.8279342047</v>
      </c>
      <c r="AK412" s="57">
        <f>IFERROR(__xludf.DUMMYFUNCTION("""COMPUTED_VALUE"""),1.0839594383275062)</f>
        <v>1.083959438</v>
      </c>
      <c r="AL412" s="57">
        <f>IFERROR(__xludf.DUMMYFUNCTION("""COMPUTED_VALUE"""),0.8729187252250457)</f>
        <v>0.8729187252</v>
      </c>
      <c r="AM412" s="57">
        <f>IFERROR(__xludf.DUMMYFUNCTION("""COMPUTED_VALUE"""),1.0447905636556718)</f>
        <v>1.044790564</v>
      </c>
      <c r="AN412" s="57">
        <f>IFERROR(__xludf.DUMMYFUNCTION("""COMPUTED_VALUE"""),1.0653455999704915)</f>
        <v>1.0653456</v>
      </c>
      <c r="AO412" s="57">
        <f>IFERROR(__xludf.DUMMYFUNCTION("""COMPUTED_VALUE"""),0.9502020864036798)</f>
        <v>0.9502020864</v>
      </c>
      <c r="AP412" s="35">
        <f>IFERROR(__xludf.DUMMYFUNCTION("""COMPUTED_VALUE"""),1.145092731443239)</f>
        <v>1.145092731</v>
      </c>
      <c r="AQ412" s="57">
        <f>IFERROR(__xludf.DUMMYFUNCTION("""COMPUTED_VALUE"""),1.0249468285320134)</f>
        <v>1.024946829</v>
      </c>
      <c r="AR412" s="36" t="b">
        <f>IFERROR(__xludf.DUMMYFUNCTION("""COMPUTED_VALUE"""),TRUE)</f>
        <v>1</v>
      </c>
      <c r="AS412" s="57"/>
      <c r="AT412" s="37"/>
      <c r="AU412" s="30"/>
      <c r="AV412" s="30"/>
      <c r="AW412" s="30"/>
      <c r="AX412" s="30"/>
      <c r="AY412" s="30"/>
      <c r="AZ412" s="30"/>
    </row>
    <row r="413">
      <c r="A413" s="30" t="str">
        <f>IFERROR(__xludf.DUMMYFUNCTION("""COMPUTED_VALUE"""),"Master")</f>
        <v>Master</v>
      </c>
      <c r="B413" s="30" t="str">
        <f>IFERROR(__xludf.DUMMYFUNCTION("""COMPUTED_VALUE"""),"RSC000824")</f>
        <v>RSC000824</v>
      </c>
      <c r="C413" s="30" t="str">
        <f>IFERROR(__xludf.DUMMYFUNCTION("""COMPUTED_VALUE"""),"Cart")</f>
        <v>Cart</v>
      </c>
      <c r="D413" s="31" t="str">
        <f>IFERROR(__xludf.DUMMYFUNCTION("""COMPUTED_VALUE"""),"Hard Hats")</f>
        <v>Hard Hats</v>
      </c>
      <c r="E413" s="31">
        <f>IFERROR(__xludf.DUMMYFUNCTION("""COMPUTED_VALUE"""),23.62858000905957)</f>
        <v>23.62858001</v>
      </c>
      <c r="F413" s="31">
        <f>IFERROR(__xludf.DUMMYFUNCTION("""COMPUTED_VALUE"""),-6.861279482397093)</f>
        <v>-6.861279482</v>
      </c>
      <c r="G413" s="31">
        <f>IFERROR(__xludf.DUMMYFUNCTION("""COMPUTED_VALUE"""),20.632706207886347)</f>
        <v>20.63270621</v>
      </c>
      <c r="H413" s="31">
        <f>IFERROR(__xludf.DUMMYFUNCTION("""COMPUTED_VALUE"""),-8.329236025877139)</f>
        <v>-8.329236026</v>
      </c>
      <c r="I413" s="54">
        <f>IFERROR(__xludf.DUMMYFUNCTION("""COMPUTED_VALUE"""),15.0)</f>
        <v>15</v>
      </c>
      <c r="J413" s="55">
        <f>IFERROR(__xludf.DUMMYFUNCTION("""COMPUTED_VALUE"""),5.0)</f>
        <v>5</v>
      </c>
      <c r="K413" s="54">
        <f>IFERROR(__xludf.DUMMYFUNCTION("""COMPUTED_VALUE"""),10.0)</f>
        <v>10</v>
      </c>
      <c r="L413" s="56">
        <f>IFERROR(__xludf.DUMMYFUNCTION("""COMPUTED_VALUE"""),0.3333333333333333)</f>
        <v>0.3333333333</v>
      </c>
      <c r="M413" s="56">
        <f>IFERROR(__xludf.DUMMYFUNCTION("""COMPUTED_VALUE"""),0.27999999999999997)</f>
        <v>0.28</v>
      </c>
      <c r="N413" s="31">
        <f>IFERROR(__xludf.DUMMYFUNCTION("""COMPUTED_VALUE"""),296.53333333333336)</f>
        <v>296.5333333</v>
      </c>
      <c r="O413" s="57">
        <f>IFERROR(__xludf.DUMMYFUNCTION("""COMPUTED_VALUE"""),0.4666666666666667)</f>
        <v>0.4666666667</v>
      </c>
      <c r="P413" s="57">
        <f>IFERROR(__xludf.DUMMYFUNCTION("""COMPUTED_VALUE"""),0.6)</f>
        <v>0.6</v>
      </c>
      <c r="Q413" s="57">
        <f>IFERROR(__xludf.DUMMYFUNCTION("""COMPUTED_VALUE"""),1.3333333333333333)</f>
        <v>1.333333333</v>
      </c>
      <c r="R413" s="57">
        <f>IFERROR(__xludf.DUMMYFUNCTION("""COMPUTED_VALUE"""),1.6666666666666667)</f>
        <v>1.666666667</v>
      </c>
      <c r="S413" s="31">
        <f>IFERROR(__xludf.DUMMYFUNCTION("""COMPUTED_VALUE"""),405.91111111111115)</f>
        <v>405.9111111</v>
      </c>
      <c r="T413" s="57">
        <f>IFERROR(__xludf.DUMMYFUNCTION("""COMPUTED_VALUE"""),1.1555555555555557)</f>
        <v>1.155555556</v>
      </c>
      <c r="U413" s="57">
        <f>IFERROR(__xludf.DUMMYFUNCTION("""COMPUTED_VALUE"""),0.9333333333333333)</f>
        <v>0.9333333333</v>
      </c>
      <c r="V413" s="57">
        <f>IFERROR(__xludf.DUMMYFUNCTION("""COMPUTED_VALUE"""),1.1555555555555554)</f>
        <v>1.155555556</v>
      </c>
      <c r="W413" s="57">
        <f>IFERROR(__xludf.DUMMYFUNCTION("""COMPUTED_VALUE"""),3.0888888888888886)</f>
        <v>3.088888889</v>
      </c>
      <c r="X413" s="31">
        <f>IFERROR(__xludf.DUMMYFUNCTION("""COMPUTED_VALUE"""),401.4252851263962)</f>
        <v>401.4252851</v>
      </c>
      <c r="Y413" s="57">
        <f>IFERROR(__xludf.DUMMYFUNCTION("""COMPUTED_VALUE"""),0.9650903880070548)</f>
        <v>0.965090388</v>
      </c>
      <c r="Z413" s="57">
        <f>IFERROR(__xludf.DUMMYFUNCTION("""COMPUTED_VALUE"""),0.747286890064668)</f>
        <v>0.7472868901</v>
      </c>
      <c r="AA413" s="57">
        <f>IFERROR(__xludf.DUMMYFUNCTION("""COMPUTED_VALUE"""),1.4847773368606703)</f>
        <v>1.484777337</v>
      </c>
      <c r="AB413" s="57">
        <f>IFERROR(__xludf.DUMMYFUNCTION("""COMPUTED_VALUE"""),2.8968334803057028)</f>
        <v>2.89683348</v>
      </c>
      <c r="AC413" s="31">
        <f>IFERROR(__xludf.DUMMYFUNCTION("""COMPUTED_VALUE"""),373.3491767097785)</f>
        <v>373.3491767</v>
      </c>
      <c r="AD413" s="57">
        <f>IFERROR(__xludf.DUMMYFUNCTION("""COMPUTED_VALUE"""),0.796539045659416)</f>
        <v>0.7965390457</v>
      </c>
      <c r="AE413" s="57">
        <f>IFERROR(__xludf.DUMMYFUNCTION("""COMPUTED_VALUE"""),0.6128948657652361)</f>
        <v>0.6128948658</v>
      </c>
      <c r="AF413" s="57">
        <f>IFERROR(__xludf.DUMMYFUNCTION("""COMPUTED_VALUE"""),1.4720331177738586)</f>
        <v>1.472033118</v>
      </c>
      <c r="AG413" s="57">
        <f>IFERROR(__xludf.DUMMYFUNCTION("""COMPUTED_VALUE"""),2.6942751812659225)</f>
        <v>2.694275181</v>
      </c>
      <c r="AH413" s="57">
        <f>IFERROR(__xludf.DUMMYFUNCTION("""COMPUTED_VALUE"""),0.7942520081244009)</f>
        <v>0.7942520081</v>
      </c>
      <c r="AI413" s="57">
        <f>IFERROR(__xludf.DUMMYFUNCTION("""COMPUTED_VALUE"""),0.5858679109450762)</f>
        <v>0.5858679109</v>
      </c>
      <c r="AJ413" s="57">
        <f>IFERROR(__xludf.DUMMYFUNCTION("""COMPUTED_VALUE"""),0.9789607215111256)</f>
        <v>0.9789607215</v>
      </c>
      <c r="AK413" s="57">
        <f>IFERROR(__xludf.DUMMYFUNCTION("""COMPUTED_VALUE"""),0.9057767228428395)</f>
        <v>0.9057767228</v>
      </c>
      <c r="AL413" s="57">
        <f>IFERROR(__xludf.DUMMYFUNCTION("""COMPUTED_VALUE"""),0.6185955607858781)</f>
        <v>0.6185955608</v>
      </c>
      <c r="AM413" s="57">
        <f>IFERROR(__xludf.DUMMYFUNCTION("""COMPUTED_VALUE"""),1.0111747469602033)</f>
        <v>1.011174747</v>
      </c>
      <c r="AN413" s="57">
        <f>IFERROR(__xludf.DUMMYFUNCTION("""COMPUTED_VALUE"""),1.1973547451258095)</f>
        <v>1.197354745</v>
      </c>
      <c r="AO413" s="57">
        <f>IFERROR(__xludf.DUMMYFUNCTION("""COMPUTED_VALUE"""),1.2489625413508398)</f>
        <v>1.248962541</v>
      </c>
      <c r="AP413" s="35">
        <f>IFERROR(__xludf.DUMMYFUNCTION("""COMPUTED_VALUE"""),0.7782685840280922)</f>
        <v>0.778268584</v>
      </c>
      <c r="AQ413" s="57">
        <f>IFERROR(__xludf.DUMMYFUNCTION("""COMPUTED_VALUE"""),1.066298394398189)</f>
        <v>1.066298394</v>
      </c>
      <c r="AR413" s="36" t="b">
        <f>IFERROR(__xludf.DUMMYFUNCTION("""COMPUTED_VALUE"""),TRUE)</f>
        <v>1</v>
      </c>
      <c r="AS413" s="57"/>
      <c r="AT413" s="37"/>
      <c r="AU413" s="30"/>
      <c r="AV413" s="30"/>
      <c r="AW413" s="30"/>
      <c r="AX413" s="30"/>
      <c r="AY413" s="30"/>
      <c r="AZ413" s="30"/>
    </row>
    <row r="414">
      <c r="A414" s="30" t="str">
        <f>IFERROR(__xludf.DUMMYFUNCTION("""COMPUTED_VALUE"""),"Master")</f>
        <v>Master</v>
      </c>
      <c r="B414" s="30" t="str">
        <f>IFERROR(__xludf.DUMMYFUNCTION("""COMPUTED_VALUE"""),"RSC007252")</f>
        <v>RSC007252</v>
      </c>
      <c r="C414" s="30" t="str">
        <f>IFERROR(__xludf.DUMMYFUNCTION("""COMPUTED_VALUE"""),"mario.")</f>
        <v>mario.</v>
      </c>
      <c r="D414" s="31"/>
      <c r="E414" s="31">
        <f>IFERROR(__xludf.DUMMYFUNCTION("""COMPUTED_VALUE"""),22.849650506274756)</f>
        <v>22.84965051</v>
      </c>
      <c r="F414" s="31">
        <f>IFERROR(__xludf.DUMMYFUNCTION("""COMPUTED_VALUE"""),-7.207913522132467)</f>
        <v>-7.207913522</v>
      </c>
      <c r="G414" s="31">
        <f>IFERROR(__xludf.DUMMYFUNCTION("""COMPUTED_VALUE"""),12.384973307287453)</f>
        <v>12.38497331</v>
      </c>
      <c r="H414" s="31">
        <f>IFERROR(__xludf.DUMMYFUNCTION("""COMPUTED_VALUE"""),-15.10269778401277)</f>
        <v>-15.10269778</v>
      </c>
      <c r="I414" s="54">
        <f>IFERROR(__xludf.DUMMYFUNCTION("""COMPUTED_VALUE"""),12.0)</f>
        <v>12</v>
      </c>
      <c r="J414" s="55">
        <f>IFERROR(__xludf.DUMMYFUNCTION("""COMPUTED_VALUE"""),3.0)</f>
        <v>3</v>
      </c>
      <c r="K414" s="54">
        <f>IFERROR(__xludf.DUMMYFUNCTION("""COMPUTED_VALUE"""),9.0)</f>
        <v>9</v>
      </c>
      <c r="L414" s="56">
        <f>IFERROR(__xludf.DUMMYFUNCTION("""COMPUTED_VALUE"""),0.25)</f>
        <v>0.25</v>
      </c>
      <c r="M414" s="56">
        <f>IFERROR(__xludf.DUMMYFUNCTION("""COMPUTED_VALUE"""),0.13793103448275862)</f>
        <v>0.1379310345</v>
      </c>
      <c r="N414" s="31">
        <f>IFERROR(__xludf.DUMMYFUNCTION("""COMPUTED_VALUE"""),301.9166666666667)</f>
        <v>301.9166667</v>
      </c>
      <c r="O414" s="57">
        <f>IFERROR(__xludf.DUMMYFUNCTION("""COMPUTED_VALUE"""),0.3333333333333333)</f>
        <v>0.3333333333</v>
      </c>
      <c r="P414" s="57">
        <f>IFERROR(__xludf.DUMMYFUNCTION("""COMPUTED_VALUE"""),0.5833333333333334)</f>
        <v>0.5833333333</v>
      </c>
      <c r="Q414" s="57">
        <f>IFERROR(__xludf.DUMMYFUNCTION("""COMPUTED_VALUE"""),1.0)</f>
        <v>1</v>
      </c>
      <c r="R414" s="57">
        <f>IFERROR(__xludf.DUMMYFUNCTION("""COMPUTED_VALUE"""),2.4166666666666665)</f>
        <v>2.416666667</v>
      </c>
      <c r="S414" s="31">
        <f>IFERROR(__xludf.DUMMYFUNCTION("""COMPUTED_VALUE"""),435.4444444444445)</f>
        <v>435.4444444</v>
      </c>
      <c r="T414" s="57">
        <f>IFERROR(__xludf.DUMMYFUNCTION("""COMPUTED_VALUE"""),1.0277777777777777)</f>
        <v>1.027777778</v>
      </c>
      <c r="U414" s="57">
        <f>IFERROR(__xludf.DUMMYFUNCTION("""COMPUTED_VALUE"""),0.8333333333333331)</f>
        <v>0.8333333333</v>
      </c>
      <c r="V414" s="57">
        <f>IFERROR(__xludf.DUMMYFUNCTION("""COMPUTED_VALUE"""),1.5)</f>
        <v>1.5</v>
      </c>
      <c r="W414" s="57">
        <f>IFERROR(__xludf.DUMMYFUNCTION("""COMPUTED_VALUE"""),3.361111111111111)</f>
        <v>3.361111111</v>
      </c>
      <c r="X414" s="31">
        <f>IFERROR(__xludf.DUMMYFUNCTION("""COMPUTED_VALUE"""),413.62952998161154)</f>
        <v>413.62953</v>
      </c>
      <c r="Y414" s="57">
        <f>IFERROR(__xludf.DUMMYFUNCTION("""COMPUTED_VALUE"""),0.9750557442515384)</f>
        <v>0.9750557443</v>
      </c>
      <c r="Z414" s="57">
        <f>IFERROR(__xludf.DUMMYFUNCTION("""COMPUTED_VALUE"""),0.7345101271856032)</f>
        <v>0.7345101272</v>
      </c>
      <c r="AA414" s="57">
        <f>IFERROR(__xludf.DUMMYFUNCTION("""COMPUTED_VALUE"""),1.549988009159649)</f>
        <v>1.549988009</v>
      </c>
      <c r="AB414" s="57">
        <f>IFERROR(__xludf.DUMMYFUNCTION("""COMPUTED_VALUE"""),3.2161944380543424)</f>
        <v>3.216194438</v>
      </c>
      <c r="AC414" s="31">
        <f>IFERROR(__xludf.DUMMYFUNCTION("""COMPUTED_VALUE"""),391.59383861256083)</f>
        <v>391.5938386</v>
      </c>
      <c r="AD414" s="57">
        <f>IFERROR(__xludf.DUMMYFUNCTION("""COMPUTED_VALUE"""),0.8598824446579489)</f>
        <v>0.8598824447</v>
      </c>
      <c r="AE414" s="57">
        <f>IFERROR(__xludf.DUMMYFUNCTION("""COMPUTED_VALUE"""),0.682955640656692)</f>
        <v>0.6829556407</v>
      </c>
      <c r="AF414" s="57">
        <f>IFERROR(__xludf.DUMMYFUNCTION("""COMPUTED_VALUE"""),1.586008618870701)</f>
        <v>1.586008619</v>
      </c>
      <c r="AG414" s="57">
        <f>IFERROR(__xludf.DUMMYFUNCTION("""COMPUTED_VALUE"""),2.864702937893712)</f>
        <v>2.864702938</v>
      </c>
      <c r="AH414" s="57">
        <f>IFERROR(__xludf.DUMMYFUNCTION("""COMPUTED_VALUE"""),0.7709944255925337)</f>
        <v>0.7709944256</v>
      </c>
      <c r="AI414" s="57">
        <f>IFERROR(__xludf.DUMMYFUNCTION("""COMPUTED_VALUE"""),0.38764988796338246)</f>
        <v>0.387649888</v>
      </c>
      <c r="AJ414" s="57">
        <f>IFERROR(__xludf.DUMMYFUNCTION("""COMPUTED_VALUE"""),0.8541306325143352)</f>
        <v>0.8541306325</v>
      </c>
      <c r="AK414" s="57">
        <f>IFERROR(__xludf.DUMMYFUNCTION("""COMPUTED_VALUE"""),0.6305135975314172)</f>
        <v>0.6305135975</v>
      </c>
      <c r="AL414" s="57">
        <f>IFERROR(__xludf.DUMMYFUNCTION("""COMPUTED_VALUE"""),0.8436011408720562)</f>
        <v>0.8436011409</v>
      </c>
      <c r="AM414" s="57">
        <f>IFERROR(__xludf.DUMMYFUNCTION("""COMPUTED_VALUE"""),1.0527402249636355)</f>
        <v>1.052740225</v>
      </c>
      <c r="AN414" s="57">
        <f>IFERROR(__xludf.DUMMYFUNCTION("""COMPUTED_VALUE"""),1.054070789118533)</f>
        <v>1.054070789</v>
      </c>
      <c r="AO414" s="57">
        <f>IFERROR(__xludf.DUMMYFUNCTION("""COMPUTED_VALUE"""),1.1345430137585542)</f>
        <v>1.134543014</v>
      </c>
      <c r="AP414" s="35">
        <f>IFERROR(__xludf.DUMMYFUNCTION("""COMPUTED_VALUE"""),0.967749422018593)</f>
        <v>0.967749422</v>
      </c>
      <c r="AQ414" s="57">
        <f>IFERROR(__xludf.DUMMYFUNCTION("""COMPUTED_VALUE"""),1.0450584303430477)</f>
        <v>1.04505843</v>
      </c>
      <c r="AR414" s="36" t="b">
        <f>IFERROR(__xludf.DUMMYFUNCTION("""COMPUTED_VALUE"""),TRUE)</f>
        <v>1</v>
      </c>
      <c r="AS414" s="57"/>
      <c r="AT414" s="37"/>
      <c r="AU414" s="30"/>
      <c r="AV414" s="30"/>
      <c r="AW414" s="30"/>
      <c r="AX414" s="30"/>
      <c r="AY414" s="30"/>
      <c r="AZ414" s="30"/>
    </row>
    <row r="415">
      <c r="A415" s="30" t="str">
        <f>IFERROR(__xludf.DUMMYFUNCTION("""COMPUTED_VALUE"""),"Master")</f>
        <v>Master</v>
      </c>
      <c r="B415" s="30" t="str">
        <f>IFERROR(__xludf.DUMMYFUNCTION("""COMPUTED_VALUE"""),"RSC005109")</f>
        <v>RSC005109</v>
      </c>
      <c r="C415" s="30" t="str">
        <f>IFERROR(__xludf.DUMMYFUNCTION("""COMPUTED_VALUE"""),"delta ^_^")</f>
        <v>delta ^_^</v>
      </c>
      <c r="D415" s="31"/>
      <c r="E415" s="31">
        <f>IFERROR(__xludf.DUMMYFUNCTION("""COMPUTED_VALUE"""),21.11160692165107)</f>
        <v>21.11160692</v>
      </c>
      <c r="F415" s="31">
        <f>IFERROR(__xludf.DUMMYFUNCTION("""COMPUTED_VALUE"""),-8.068709498318384)</f>
        <v>-8.068709498</v>
      </c>
      <c r="G415" s="31">
        <f>IFERROR(__xludf.DUMMYFUNCTION("""COMPUTED_VALUE"""),24.80226008214733)</f>
        <v>24.80226008</v>
      </c>
      <c r="H415" s="31">
        <f>IFERROR(__xludf.DUMMYFUNCTION("""COMPUTED_VALUE"""),-6.379628791559124)</f>
        <v>-6.379628792</v>
      </c>
      <c r="I415" s="54">
        <f>IFERROR(__xludf.DUMMYFUNCTION("""COMPUTED_VALUE"""),8.0)</f>
        <v>8</v>
      </c>
      <c r="J415" s="55">
        <f>IFERROR(__xludf.DUMMYFUNCTION("""COMPUTED_VALUE"""),3.0)</f>
        <v>3</v>
      </c>
      <c r="K415" s="54">
        <f>IFERROR(__xludf.DUMMYFUNCTION("""COMPUTED_VALUE"""),5.0)</f>
        <v>5</v>
      </c>
      <c r="L415" s="56">
        <f>IFERROR(__xludf.DUMMYFUNCTION("""COMPUTED_VALUE"""),0.375)</f>
        <v>0.375</v>
      </c>
      <c r="M415" s="56">
        <f>IFERROR(__xludf.DUMMYFUNCTION("""COMPUTED_VALUE"""),0.3333333333333333)</f>
        <v>0.3333333333</v>
      </c>
      <c r="N415" s="31">
        <f>IFERROR(__xludf.DUMMYFUNCTION("""COMPUTED_VALUE"""),365.25)</f>
        <v>365.25</v>
      </c>
      <c r="O415" s="57">
        <f>IFERROR(__xludf.DUMMYFUNCTION("""COMPUTED_VALUE"""),0.625)</f>
        <v>0.625</v>
      </c>
      <c r="P415" s="57">
        <f>IFERROR(__xludf.DUMMYFUNCTION("""COMPUTED_VALUE"""),0.25)</f>
        <v>0.25</v>
      </c>
      <c r="Q415" s="57">
        <f>IFERROR(__xludf.DUMMYFUNCTION("""COMPUTED_VALUE"""),1.875)</f>
        <v>1.875</v>
      </c>
      <c r="R415" s="57">
        <f>IFERROR(__xludf.DUMMYFUNCTION("""COMPUTED_VALUE"""),1.875)</f>
        <v>1.875</v>
      </c>
      <c r="S415" s="31">
        <f>IFERROR(__xludf.DUMMYFUNCTION("""COMPUTED_VALUE"""),435.4583333333333)</f>
        <v>435.4583333</v>
      </c>
      <c r="T415" s="57">
        <f>IFERROR(__xludf.DUMMYFUNCTION("""COMPUTED_VALUE"""),1.3333333333333333)</f>
        <v>1.333333333</v>
      </c>
      <c r="U415" s="57">
        <f>IFERROR(__xludf.DUMMYFUNCTION("""COMPUTED_VALUE"""),1.125)</f>
        <v>1.125</v>
      </c>
      <c r="V415" s="57">
        <f>IFERROR(__xludf.DUMMYFUNCTION("""COMPUTED_VALUE"""),1.0833333333333335)</f>
        <v>1.083333333</v>
      </c>
      <c r="W415" s="57">
        <f>IFERROR(__xludf.DUMMYFUNCTION("""COMPUTED_VALUE"""),3.666666666666667)</f>
        <v>3.666666667</v>
      </c>
      <c r="X415" s="31">
        <f>IFERROR(__xludf.DUMMYFUNCTION("""COMPUTED_VALUE"""),407.0189192343605)</f>
        <v>407.0189192</v>
      </c>
      <c r="Y415" s="57">
        <f>IFERROR(__xludf.DUMMYFUNCTION("""COMPUTED_VALUE"""),1.0360770697167756)</f>
        <v>1.03607707</v>
      </c>
      <c r="Z415" s="57">
        <f>IFERROR(__xludf.DUMMYFUNCTION("""COMPUTED_VALUE"""),0.7586698568316215)</f>
        <v>0.7586698568</v>
      </c>
      <c r="AA415" s="57">
        <f>IFERROR(__xludf.DUMMYFUNCTION("""COMPUTED_VALUE"""),1.4723369903516965)</f>
        <v>1.47233699</v>
      </c>
      <c r="AB415" s="57">
        <f>IFERROR(__xludf.DUMMYFUNCTION("""COMPUTED_VALUE"""),2.8200727513227513)</f>
        <v>2.820072751</v>
      </c>
      <c r="AC415" s="31">
        <f>IFERROR(__xludf.DUMMYFUNCTION("""COMPUTED_VALUE"""),344.7069943718228)</f>
        <v>344.7069944</v>
      </c>
      <c r="AD415" s="57">
        <f>IFERROR(__xludf.DUMMYFUNCTION("""COMPUTED_VALUE"""),0.7172278633675693)</f>
        <v>0.7172278634</v>
      </c>
      <c r="AE415" s="57">
        <f>IFERROR(__xludf.DUMMYFUNCTION("""COMPUTED_VALUE"""),0.5294107920946156)</f>
        <v>0.5294107921</v>
      </c>
      <c r="AF415" s="57">
        <f>IFERROR(__xludf.DUMMYFUNCTION("""COMPUTED_VALUE"""),1.3491914358335926)</f>
        <v>1.349191436</v>
      </c>
      <c r="AG415" s="57">
        <f>IFERROR(__xludf.DUMMYFUNCTION("""COMPUTED_VALUE"""),2.596869812739911)</f>
        <v>2.596869813</v>
      </c>
      <c r="AH415" s="57">
        <f>IFERROR(__xludf.DUMMYFUNCTION("""COMPUTED_VALUE"""),1.0595955578609995)</f>
        <v>1.059595558</v>
      </c>
      <c r="AI415" s="57">
        <f>IFERROR(__xludf.DUMMYFUNCTION("""COMPUTED_VALUE"""),0.8714106519307048)</f>
        <v>0.8714106519</v>
      </c>
      <c r="AJ415" s="57">
        <f>IFERROR(__xludf.DUMMYFUNCTION("""COMPUTED_VALUE"""),0.47222308976905086)</f>
        <v>0.4722230898</v>
      </c>
      <c r="AK415" s="57">
        <f>IFERROR(__xludf.DUMMYFUNCTION("""COMPUTED_VALUE"""),1.3897212435546915)</f>
        <v>1.389721244</v>
      </c>
      <c r="AL415" s="57">
        <f>IFERROR(__xludf.DUMMYFUNCTION("""COMPUTED_VALUE"""),0.7220231028916005)</f>
        <v>0.7220231029</v>
      </c>
      <c r="AM415" s="57">
        <f>IFERROR(__xludf.DUMMYFUNCTION("""COMPUTED_VALUE"""),1.0698724623230536)</f>
        <v>1.069872462</v>
      </c>
      <c r="AN415" s="57">
        <f>IFERROR(__xludf.DUMMYFUNCTION("""COMPUTED_VALUE"""),1.286905552014404)</f>
        <v>1.286905552</v>
      </c>
      <c r="AO415" s="57">
        <f>IFERROR(__xludf.DUMMYFUNCTION("""COMPUTED_VALUE"""),1.4828584395039193)</f>
        <v>1.48285844</v>
      </c>
      <c r="AP415" s="35">
        <f>IFERROR(__xludf.DUMMYFUNCTION("""COMPUTED_VALUE"""),0.7357916974391563)</f>
        <v>0.7357916974</v>
      </c>
      <c r="AQ415" s="57">
        <f>IFERROR(__xludf.DUMMYFUNCTION("""COMPUTED_VALUE"""),1.300202863542021)</f>
        <v>1.300202864</v>
      </c>
      <c r="AR415" s="36" t="b">
        <f>IFERROR(__xludf.DUMMYFUNCTION("""COMPUTED_VALUE"""),TRUE)</f>
        <v>1</v>
      </c>
      <c r="AS415" s="57"/>
      <c r="AT415" s="37"/>
      <c r="AU415" s="30"/>
      <c r="AV415" s="30"/>
      <c r="AW415" s="30"/>
      <c r="AX415" s="30"/>
      <c r="AY415" s="30"/>
      <c r="AZ415" s="30"/>
    </row>
    <row r="416">
      <c r="A416" s="30" t="str">
        <f>IFERROR(__xludf.DUMMYFUNCTION("""COMPUTED_VALUE"""),"Master")</f>
        <v>Master</v>
      </c>
      <c r="B416" s="30" t="str">
        <f>IFERROR(__xludf.DUMMYFUNCTION("""COMPUTED_VALUE"""),"RSC000777")</f>
        <v>RSC000777</v>
      </c>
      <c r="C416" s="30" t="str">
        <f>IFERROR(__xludf.DUMMYFUNCTION("""COMPUTED_VALUE"""),"Marcus.")</f>
        <v>Marcus.</v>
      </c>
      <c r="D416" s="31" t="str">
        <f>IFERROR(__xludf.DUMMYFUNCTION("""COMPUTED_VALUE"""),"Care Bears")</f>
        <v>Care Bears</v>
      </c>
      <c r="E416" s="31">
        <f>IFERROR(__xludf.DUMMYFUNCTION("""COMPUTED_VALUE"""),13.960163051933002)</f>
        <v>13.96016305</v>
      </c>
      <c r="F416" s="31">
        <f>IFERROR(__xludf.DUMMYFUNCTION("""COMPUTED_VALUE"""),-13.385349745133345)</f>
        <v>-13.38534975</v>
      </c>
      <c r="G416" s="31">
        <f>IFERROR(__xludf.DUMMYFUNCTION("""COMPUTED_VALUE"""),6.187300135132759)</f>
        <v>6.187300135</v>
      </c>
      <c r="H416" s="31">
        <f>IFERROR(__xludf.DUMMYFUNCTION("""COMPUTED_VALUE"""),-25.0983553103736)</f>
        <v>-25.09835531</v>
      </c>
      <c r="I416" s="54">
        <f>IFERROR(__xludf.DUMMYFUNCTION("""COMPUTED_VALUE"""),11.0)</f>
        <v>11</v>
      </c>
      <c r="J416" s="55">
        <f>IFERROR(__xludf.DUMMYFUNCTION("""COMPUTED_VALUE"""),5.0)</f>
        <v>5</v>
      </c>
      <c r="K416" s="54">
        <f>IFERROR(__xludf.DUMMYFUNCTION("""COMPUTED_VALUE"""),6.0)</f>
        <v>6</v>
      </c>
      <c r="L416" s="56">
        <f>IFERROR(__xludf.DUMMYFUNCTION("""COMPUTED_VALUE"""),0.45454545454545453)</f>
        <v>0.4545454545</v>
      </c>
      <c r="M416" s="56">
        <f>IFERROR(__xludf.DUMMYFUNCTION("""COMPUTED_VALUE"""),0.08333333333333334)</f>
        <v>0.08333333333</v>
      </c>
      <c r="N416" s="31">
        <f>IFERROR(__xludf.DUMMYFUNCTION("""COMPUTED_VALUE"""),244.8181818181818)</f>
        <v>244.8181818</v>
      </c>
      <c r="O416" s="57">
        <f>IFERROR(__xludf.DUMMYFUNCTION("""COMPUTED_VALUE"""),0.18181818181818182)</f>
        <v>0.1818181818</v>
      </c>
      <c r="P416" s="57">
        <f>IFERROR(__xludf.DUMMYFUNCTION("""COMPUTED_VALUE"""),0.45454545454545453)</f>
        <v>0.4545454545</v>
      </c>
      <c r="Q416" s="57">
        <f>IFERROR(__xludf.DUMMYFUNCTION("""COMPUTED_VALUE"""),1.4545454545454546)</f>
        <v>1.454545455</v>
      </c>
      <c r="R416" s="57">
        <f>IFERROR(__xludf.DUMMYFUNCTION("""COMPUTED_VALUE"""),2.1818181818181817)</f>
        <v>2.181818182</v>
      </c>
      <c r="S416" s="31">
        <f>IFERROR(__xludf.DUMMYFUNCTION("""COMPUTED_VALUE"""),345.99999999999994)</f>
        <v>346</v>
      </c>
      <c r="T416" s="57">
        <f>IFERROR(__xludf.DUMMYFUNCTION("""COMPUTED_VALUE"""),0.7272727272727273)</f>
        <v>0.7272727273</v>
      </c>
      <c r="U416" s="57">
        <f>IFERROR(__xludf.DUMMYFUNCTION("""COMPUTED_VALUE"""),0.4848484848484848)</f>
        <v>0.4848484848</v>
      </c>
      <c r="V416" s="57">
        <f>IFERROR(__xludf.DUMMYFUNCTION("""COMPUTED_VALUE"""),1.424242424242424)</f>
        <v>1.424242424</v>
      </c>
      <c r="W416" s="57">
        <f>IFERROR(__xludf.DUMMYFUNCTION("""COMPUTED_VALUE"""),2.6363636363636362)</f>
        <v>2.636363636</v>
      </c>
      <c r="X416" s="31">
        <f>IFERROR(__xludf.DUMMYFUNCTION("""COMPUTED_VALUE"""),379.1690649684778)</f>
        <v>379.169065</v>
      </c>
      <c r="Y416" s="57">
        <f>IFERROR(__xludf.DUMMYFUNCTION("""COMPUTED_VALUE"""),0.8713445405724266)</f>
        <v>0.8713445406</v>
      </c>
      <c r="Z416" s="57">
        <f>IFERROR(__xludf.DUMMYFUNCTION("""COMPUTED_VALUE"""),0.6902754490960388)</f>
        <v>0.6902754491</v>
      </c>
      <c r="AA416" s="57">
        <f>IFERROR(__xludf.DUMMYFUNCTION("""COMPUTED_VALUE"""),1.415362677006855)</f>
        <v>1.415362677</v>
      </c>
      <c r="AB416" s="57">
        <f>IFERROR(__xludf.DUMMYFUNCTION("""COMPUTED_VALUE"""),2.814432700677078)</f>
        <v>2.814432701</v>
      </c>
      <c r="AC416" s="31">
        <f>IFERROR(__xludf.DUMMYFUNCTION("""COMPUTED_VALUE"""),371.16718745204923)</f>
        <v>371.1671875</v>
      </c>
      <c r="AD416" s="57">
        <f>IFERROR(__xludf.DUMMYFUNCTION("""COMPUTED_VALUE"""),0.8159831780438144)</f>
        <v>0.815983178</v>
      </c>
      <c r="AE416" s="57">
        <f>IFERROR(__xludf.DUMMYFUNCTION("""COMPUTED_VALUE"""),0.6179503121615398)</f>
        <v>0.6179503122</v>
      </c>
      <c r="AF416" s="57">
        <f>IFERROR(__xludf.DUMMYFUNCTION("""COMPUTED_VALUE"""),1.4870435473300703)</f>
        <v>1.487043547</v>
      </c>
      <c r="AG416" s="57">
        <f>IFERROR(__xludf.DUMMYFUNCTION("""COMPUTED_VALUE"""),2.6650692490855743)</f>
        <v>2.665069249</v>
      </c>
      <c r="AH416" s="57">
        <f>IFERROR(__xludf.DUMMYFUNCTION("""COMPUTED_VALUE"""),0.659590044849559)</f>
        <v>0.6595900448</v>
      </c>
      <c r="AI416" s="57">
        <f>IFERROR(__xludf.DUMMYFUNCTION("""COMPUTED_VALUE"""),0.22282099277347978)</f>
        <v>0.2228209928</v>
      </c>
      <c r="AJ416" s="57">
        <f>IFERROR(__xludf.DUMMYFUNCTION("""COMPUTED_VALUE"""),0.7355695848028486)</f>
        <v>0.7355695848</v>
      </c>
      <c r="AK416" s="57">
        <f>IFERROR(__xludf.DUMMYFUNCTION("""COMPUTED_VALUE"""),0.9781458365204134)</f>
        <v>0.9781458365</v>
      </c>
      <c r="AL416" s="57">
        <f>IFERROR(__xludf.DUMMYFUNCTION("""COMPUTED_VALUE"""),0.8186722287110538)</f>
        <v>0.8186722287</v>
      </c>
      <c r="AM416" s="57">
        <f>IFERROR(__xludf.DUMMYFUNCTION("""COMPUTED_VALUE"""),0.9125217006528858)</f>
        <v>0.9125217007</v>
      </c>
      <c r="AN416" s="57">
        <f>IFERROR(__xludf.DUMMYFUNCTION("""COMPUTED_VALUE"""),0.8346557456995692)</f>
        <v>0.8346557457</v>
      </c>
      <c r="AO416" s="57">
        <f>IFERROR(__xludf.DUMMYFUNCTION("""COMPUTED_VALUE"""),0.702398564925677)</f>
        <v>0.7023985649</v>
      </c>
      <c r="AP416" s="35">
        <f>IFERROR(__xludf.DUMMYFUNCTION("""COMPUTED_VALUE"""),1.006273831703933)</f>
        <v>1.006273832</v>
      </c>
      <c r="AQ416" s="57">
        <f>IFERROR(__xludf.DUMMYFUNCTION("""COMPUTED_VALUE"""),0.9367300329225839)</f>
        <v>0.9367300329</v>
      </c>
      <c r="AR416" s="36" t="b">
        <f>IFERROR(__xludf.DUMMYFUNCTION("""COMPUTED_VALUE"""),TRUE)</f>
        <v>1</v>
      </c>
      <c r="AS416" s="57"/>
      <c r="AT416" s="37"/>
      <c r="AU416" s="30"/>
      <c r="AV416" s="30"/>
      <c r="AW416" s="30"/>
      <c r="AX416" s="30"/>
      <c r="AY416" s="30"/>
      <c r="AZ416" s="30"/>
    </row>
    <row r="417">
      <c r="A417" s="30" t="str">
        <f>IFERROR(__xludf.DUMMYFUNCTION("""COMPUTED_VALUE"""),"Master")</f>
        <v>Master</v>
      </c>
      <c r="B417" s="30" t="str">
        <f>IFERROR(__xludf.DUMMYFUNCTION("""COMPUTED_VALUE"""),"RSC007067")</f>
        <v>RSC007067</v>
      </c>
      <c r="C417" s="30" t="str">
        <f>IFERROR(__xludf.DUMMYFUNCTION("""COMPUTED_VALUE"""),"ThyChad_")</f>
        <v>ThyChad_</v>
      </c>
      <c r="D417" s="31"/>
      <c r="E417" s="31">
        <f>IFERROR(__xludf.DUMMYFUNCTION("""COMPUTED_VALUE"""),-1.9490471373958513)</f>
        <v>-1.949047137</v>
      </c>
      <c r="F417" s="31">
        <f>IFERROR(__xludf.DUMMYFUNCTION("""COMPUTED_VALUE"""),-53.03229403715952)</f>
        <v>-53.03229404</v>
      </c>
      <c r="G417" s="31">
        <f>IFERROR(__xludf.DUMMYFUNCTION("""COMPUTED_VALUE"""),9.697594944247598)</f>
        <v>9.697594944</v>
      </c>
      <c r="H417" s="31">
        <f>IFERROR(__xludf.DUMMYFUNCTION("""COMPUTED_VALUE"""),-18.701899816331423)</f>
        <v>-18.70189982</v>
      </c>
      <c r="I417" s="54">
        <f>IFERROR(__xludf.DUMMYFUNCTION("""COMPUTED_VALUE"""),4.0)</f>
        <v>4</v>
      </c>
      <c r="J417" s="55">
        <f>IFERROR(__xludf.DUMMYFUNCTION("""COMPUTED_VALUE"""),0.0)</f>
        <v>0</v>
      </c>
      <c r="K417" s="54">
        <f>IFERROR(__xludf.DUMMYFUNCTION("""COMPUTED_VALUE"""),4.0)</f>
        <v>4</v>
      </c>
      <c r="L417" s="56">
        <f>IFERROR(__xludf.DUMMYFUNCTION("""COMPUTED_VALUE"""),0.0)</f>
        <v>0</v>
      </c>
      <c r="M417" s="56">
        <f>IFERROR(__xludf.DUMMYFUNCTION("""COMPUTED_VALUE"""),0.16666666666666666)</f>
        <v>0.1666666667</v>
      </c>
      <c r="N417" s="31">
        <f>IFERROR(__xludf.DUMMYFUNCTION("""COMPUTED_VALUE"""),338.0)</f>
        <v>338</v>
      </c>
      <c r="O417" s="57">
        <f>IFERROR(__xludf.DUMMYFUNCTION("""COMPUTED_VALUE"""),0.25)</f>
        <v>0.25</v>
      </c>
      <c r="P417" s="57">
        <f>IFERROR(__xludf.DUMMYFUNCTION("""COMPUTED_VALUE"""),0.0)</f>
        <v>0</v>
      </c>
      <c r="Q417" s="57">
        <f>IFERROR(__xludf.DUMMYFUNCTION("""COMPUTED_VALUE"""),2.5)</f>
        <v>2.5</v>
      </c>
      <c r="R417" s="57">
        <f>IFERROR(__xludf.DUMMYFUNCTION("""COMPUTED_VALUE"""),1.5)</f>
        <v>1.5</v>
      </c>
      <c r="S417" s="31">
        <f>IFERROR(__xludf.DUMMYFUNCTION("""COMPUTED_VALUE"""),420.0)</f>
        <v>420</v>
      </c>
      <c r="T417" s="57">
        <f>IFERROR(__xludf.DUMMYFUNCTION("""COMPUTED_VALUE"""),1.1666666666666667)</f>
        <v>1.166666667</v>
      </c>
      <c r="U417" s="57">
        <f>IFERROR(__xludf.DUMMYFUNCTION("""COMPUTED_VALUE"""),0.9999999999999999)</f>
        <v>1</v>
      </c>
      <c r="V417" s="57">
        <f>IFERROR(__xludf.DUMMYFUNCTION("""COMPUTED_VALUE"""),1.1666666666666665)</f>
        <v>1.166666667</v>
      </c>
      <c r="W417" s="57">
        <f>IFERROR(__xludf.DUMMYFUNCTION("""COMPUTED_VALUE"""),3.7499999999999996)</f>
        <v>3.75</v>
      </c>
      <c r="X417" s="31">
        <f>IFERROR(__xludf.DUMMYFUNCTION("""COMPUTED_VALUE"""),448.75132275132273)</f>
        <v>448.7513228</v>
      </c>
      <c r="Y417" s="57">
        <f>IFERROR(__xludf.DUMMYFUNCTION("""COMPUTED_VALUE"""),1.2195767195767198)</f>
        <v>1.21957672</v>
      </c>
      <c r="Z417" s="57">
        <f>IFERROR(__xludf.DUMMYFUNCTION("""COMPUTED_VALUE"""),0.9431216931216931)</f>
        <v>0.9431216931</v>
      </c>
      <c r="AA417" s="57">
        <f>IFERROR(__xludf.DUMMYFUNCTION("""COMPUTED_VALUE"""),1.4325396825396826)</f>
        <v>1.432539683</v>
      </c>
      <c r="AB417" s="57">
        <f>IFERROR(__xludf.DUMMYFUNCTION("""COMPUTED_VALUE"""),3.396825396825397)</f>
        <v>3.396825397</v>
      </c>
      <c r="AC417" s="31">
        <f>IFERROR(__xludf.DUMMYFUNCTION("""COMPUTED_VALUE"""),353.7716049382717)</f>
        <v>353.7716049</v>
      </c>
      <c r="AD417" s="57">
        <f>IFERROR(__xludf.DUMMYFUNCTION("""COMPUTED_VALUE"""),0.6124338624338624)</f>
        <v>0.6124338624</v>
      </c>
      <c r="AE417" s="57">
        <f>IFERROR(__xludf.DUMMYFUNCTION("""COMPUTED_VALUE"""),0.4863315696649029)</f>
        <v>0.4863315697</v>
      </c>
      <c r="AF417" s="57">
        <f>IFERROR(__xludf.DUMMYFUNCTION("""COMPUTED_VALUE"""),1.64373897707231)</f>
        <v>1.643738977</v>
      </c>
      <c r="AG417" s="57">
        <f>IFERROR(__xludf.DUMMYFUNCTION("""COMPUTED_VALUE"""),2.3778659611992943)</f>
        <v>2.377865961</v>
      </c>
      <c r="AH417" s="57">
        <f>IFERROR(__xludf.DUMMYFUNCTION("""COMPUTED_VALUE"""),0.9554186805325328)</f>
        <v>0.9554186805</v>
      </c>
      <c r="AI417" s="57">
        <f>IFERROR(__xludf.DUMMYFUNCTION("""COMPUTED_VALUE"""),0.408207343412527)</f>
        <v>0.4082073434</v>
      </c>
      <c r="AJ417" s="57">
        <f>IFERROR(__xludf.DUMMYFUNCTION("""COMPUTED_VALUE"""),0.0)</f>
        <v>0</v>
      </c>
      <c r="AK417" s="57">
        <f>IFERROR(__xludf.DUMMYFUNCTION("""COMPUTED_VALUE"""),1.5209227467811162)</f>
        <v>1.520922747</v>
      </c>
      <c r="AL417" s="57">
        <f>IFERROR(__xludf.DUMMYFUNCTION("""COMPUTED_VALUE"""),0.630817726682737)</f>
        <v>0.6308177267</v>
      </c>
      <c r="AM417" s="57">
        <f>IFERROR(__xludf.DUMMYFUNCTION("""COMPUTED_VALUE"""),0.9359303888508973)</f>
        <v>0.9359303889</v>
      </c>
      <c r="AN417" s="57">
        <f>IFERROR(__xludf.DUMMYFUNCTION("""COMPUTED_VALUE"""),0.9566160520607374)</f>
        <v>0.9566160521</v>
      </c>
      <c r="AO417" s="57">
        <f>IFERROR(__xludf.DUMMYFUNCTION("""COMPUTED_VALUE"""),1.0603085553997194)</f>
        <v>1.060308555</v>
      </c>
      <c r="AP417" s="35">
        <f>IFERROR(__xludf.DUMMYFUNCTION("""COMPUTED_VALUE"""),0.8144044321329639)</f>
        <v>0.8144044321</v>
      </c>
      <c r="AQ417" s="57">
        <f>IFERROR(__xludf.DUMMYFUNCTION("""COMPUTED_VALUE"""),1.1039719626168223)</f>
        <v>1.103971963</v>
      </c>
      <c r="AR417" s="36" t="b">
        <f>IFERROR(__xludf.DUMMYFUNCTION("""COMPUTED_VALUE"""),TRUE)</f>
        <v>1</v>
      </c>
      <c r="AS417" s="57"/>
      <c r="AT417" s="37"/>
      <c r="AU417" s="30"/>
      <c r="AV417" s="30"/>
      <c r="AW417" s="30"/>
      <c r="AX417" s="30"/>
      <c r="AY417" s="30"/>
      <c r="AZ417" s="30"/>
    </row>
    <row r="418">
      <c r="A418" s="30" t="str">
        <f>IFERROR(__xludf.DUMMYFUNCTION("""COMPUTED_VALUE"""),"Master")</f>
        <v>Master</v>
      </c>
      <c r="B418" s="30" t="str">
        <f>IFERROR(__xludf.DUMMYFUNCTION("""COMPUTED_VALUE"""),"RSC006704")</f>
        <v>RSC006704</v>
      </c>
      <c r="C418" s="30" t="str">
        <f>IFERROR(__xludf.DUMMYFUNCTION("""COMPUTED_VALUE"""),"noah")</f>
        <v>noah</v>
      </c>
      <c r="D418" s="31"/>
      <c r="E418" s="31">
        <f>IFERROR(__xludf.DUMMYFUNCTION("""COMPUTED_VALUE"""),-5.823514547389664)</f>
        <v>-5.823514547</v>
      </c>
      <c r="F418" s="31">
        <f>IFERROR(__xludf.DUMMYFUNCTION("""COMPUTED_VALUE"""),-78.26911622074859)</f>
        <v>-78.26911622</v>
      </c>
      <c r="G418" s="31">
        <f>IFERROR(__xludf.DUMMYFUNCTION("""COMPUTED_VALUE"""),-24.03480456940524)</f>
        <v>-24.03480457</v>
      </c>
      <c r="H418" s="31">
        <f>IFERROR(__xludf.DUMMYFUNCTION("""COMPUTED_VALUE"""),-653.0576044093478)</f>
        <v>-653.0576044</v>
      </c>
      <c r="I418" s="54">
        <f>IFERROR(__xludf.DUMMYFUNCTION("""COMPUTED_VALUE"""),4.0)</f>
        <v>4</v>
      </c>
      <c r="J418" s="55">
        <f>IFERROR(__xludf.DUMMYFUNCTION("""COMPUTED_VALUE"""),0.0)</f>
        <v>0</v>
      </c>
      <c r="K418" s="54">
        <f>IFERROR(__xludf.DUMMYFUNCTION("""COMPUTED_VALUE"""),4.0)</f>
        <v>4</v>
      </c>
      <c r="L418" s="56">
        <f>IFERROR(__xludf.DUMMYFUNCTION("""COMPUTED_VALUE"""),0.0)</f>
        <v>0</v>
      </c>
      <c r="M418" s="56">
        <f>IFERROR(__xludf.DUMMYFUNCTION("""COMPUTED_VALUE"""),0.0)</f>
        <v>0</v>
      </c>
      <c r="N418" s="31">
        <f>IFERROR(__xludf.DUMMYFUNCTION("""COMPUTED_VALUE"""),175.25)</f>
        <v>175.25</v>
      </c>
      <c r="O418" s="57">
        <f>IFERROR(__xludf.DUMMYFUNCTION("""COMPUTED_VALUE"""),0.0)</f>
        <v>0</v>
      </c>
      <c r="P418" s="57">
        <f>IFERROR(__xludf.DUMMYFUNCTION("""COMPUTED_VALUE"""),0.25)</f>
        <v>0.25</v>
      </c>
      <c r="Q418" s="57">
        <f>IFERROR(__xludf.DUMMYFUNCTION("""COMPUTED_VALUE"""),0.75)</f>
        <v>0.75</v>
      </c>
      <c r="R418" s="57">
        <f>IFERROR(__xludf.DUMMYFUNCTION("""COMPUTED_VALUE"""),2.25)</f>
        <v>2.25</v>
      </c>
      <c r="S418" s="31">
        <f>IFERROR(__xludf.DUMMYFUNCTION("""COMPUTED_VALUE"""),447.8333333333333)</f>
        <v>447.8333333</v>
      </c>
      <c r="T418" s="57">
        <f>IFERROR(__xludf.DUMMYFUNCTION("""COMPUTED_VALUE"""),1.1666666666666667)</f>
        <v>1.166666667</v>
      </c>
      <c r="U418" s="57">
        <f>IFERROR(__xludf.DUMMYFUNCTION("""COMPUTED_VALUE"""),0.8333333333333334)</f>
        <v>0.8333333333</v>
      </c>
      <c r="V418" s="57">
        <f>IFERROR(__xludf.DUMMYFUNCTION("""COMPUTED_VALUE"""),2.0)</f>
        <v>2</v>
      </c>
      <c r="W418" s="57">
        <f>IFERROR(__xludf.DUMMYFUNCTION("""COMPUTED_VALUE"""),3.0)</f>
        <v>3</v>
      </c>
      <c r="X418" s="31">
        <f>IFERROR(__xludf.DUMMYFUNCTION("""COMPUTED_VALUE"""),448.75132275132273)</f>
        <v>448.7513228</v>
      </c>
      <c r="Y418" s="57">
        <f>IFERROR(__xludf.DUMMYFUNCTION("""COMPUTED_VALUE"""),1.2195767195767195)</f>
        <v>1.21957672</v>
      </c>
      <c r="Z418" s="57">
        <f>IFERROR(__xludf.DUMMYFUNCTION("""COMPUTED_VALUE"""),0.943121693121693)</f>
        <v>0.9431216931</v>
      </c>
      <c r="AA418" s="57">
        <f>IFERROR(__xludf.DUMMYFUNCTION("""COMPUTED_VALUE"""),1.4325396825396826)</f>
        <v>1.432539683</v>
      </c>
      <c r="AB418" s="57">
        <f>IFERROR(__xludf.DUMMYFUNCTION("""COMPUTED_VALUE"""),3.396825396825397)</f>
        <v>3.396825397</v>
      </c>
      <c r="AC418" s="31">
        <f>IFERROR(__xludf.DUMMYFUNCTION("""COMPUTED_VALUE"""),353.7716049382717)</f>
        <v>353.7716049</v>
      </c>
      <c r="AD418" s="57">
        <f>IFERROR(__xludf.DUMMYFUNCTION("""COMPUTED_VALUE"""),0.6124338624338624)</f>
        <v>0.6124338624</v>
      </c>
      <c r="AE418" s="57">
        <f>IFERROR(__xludf.DUMMYFUNCTION("""COMPUTED_VALUE"""),0.4863315696649029)</f>
        <v>0.4863315697</v>
      </c>
      <c r="AF418" s="57">
        <f>IFERROR(__xludf.DUMMYFUNCTION("""COMPUTED_VALUE"""),1.64373897707231)</f>
        <v>1.643738977</v>
      </c>
      <c r="AG418" s="57">
        <f>IFERROR(__xludf.DUMMYFUNCTION("""COMPUTED_VALUE"""),2.3778659611992943)</f>
        <v>2.377865961</v>
      </c>
      <c r="AH418" s="57">
        <f>IFERROR(__xludf.DUMMYFUNCTION("""COMPUTED_VALUE"""),0.4953761058086579)</f>
        <v>0.4953761058</v>
      </c>
      <c r="AI418" s="57">
        <f>IFERROR(__xludf.DUMMYFUNCTION("""COMPUTED_VALUE"""),0.0)</f>
        <v>0</v>
      </c>
      <c r="AJ418" s="57">
        <f>IFERROR(__xludf.DUMMYFUNCTION("""COMPUTED_VALUE"""),0.5140525838621941)</f>
        <v>0.5140525839</v>
      </c>
      <c r="AK418" s="57">
        <f>IFERROR(__xludf.DUMMYFUNCTION("""COMPUTED_VALUE"""),0.45627682403433484)</f>
        <v>0.456276824</v>
      </c>
      <c r="AL418" s="57">
        <f>IFERROR(__xludf.DUMMYFUNCTION("""COMPUTED_VALUE"""),0.9462265900241055)</f>
        <v>0.94622659</v>
      </c>
      <c r="AM418" s="57">
        <f>IFERROR(__xludf.DUMMYFUNCTION("""COMPUTED_VALUE"""),0.997954347159667)</f>
        <v>0.9979543472</v>
      </c>
      <c r="AN418" s="57">
        <f>IFERROR(__xludf.DUMMYFUNCTION("""COMPUTED_VALUE"""),0.9566160520607376)</f>
        <v>0.9566160521</v>
      </c>
      <c r="AO418" s="57">
        <f>IFERROR(__xludf.DUMMYFUNCTION("""COMPUTED_VALUE"""),0.8835904628330997)</f>
        <v>0.8835904628</v>
      </c>
      <c r="AP418" s="35">
        <f>IFERROR(__xludf.DUMMYFUNCTION("""COMPUTED_VALUE"""),1.3961218836565097)</f>
        <v>1.396121884</v>
      </c>
      <c r="AQ418" s="57">
        <f>IFERROR(__xludf.DUMMYFUNCTION("""COMPUTED_VALUE"""),0.8831775700934579)</f>
        <v>0.8831775701</v>
      </c>
      <c r="AR418" s="36" t="b">
        <f>IFERROR(__xludf.DUMMYFUNCTION("""COMPUTED_VALUE"""),TRUE)</f>
        <v>1</v>
      </c>
      <c r="AS418" s="57"/>
      <c r="AT418" s="37"/>
      <c r="AU418" s="30"/>
      <c r="AV418" s="30"/>
      <c r="AW418" s="30"/>
      <c r="AX418" s="30"/>
      <c r="AY418" s="30"/>
      <c r="AZ418" s="30"/>
    </row>
    <row r="419">
      <c r="A419" s="30" t="str">
        <f>IFERROR(__xludf.DUMMYFUNCTION("""COMPUTED_VALUE"""),"Master")</f>
        <v>Master</v>
      </c>
      <c r="B419" s="30" t="str">
        <f>IFERROR(__xludf.DUMMYFUNCTION("""COMPUTED_VALUE"""),"RSC007924")</f>
        <v>RSC007924</v>
      </c>
      <c r="C419" s="30" t="str">
        <f>IFERROR(__xludf.DUMMYFUNCTION("""COMPUTED_VALUE"""),"Kaorix")</f>
        <v>Kaorix</v>
      </c>
      <c r="D419" s="31"/>
      <c r="E419" s="31">
        <f>IFERROR(__xludf.DUMMYFUNCTION("""COMPUTED_VALUE"""),-8.177661001407422)</f>
        <v>-8.177661001</v>
      </c>
      <c r="F419" s="31">
        <f>IFERROR(__xludf.DUMMYFUNCTION("""COMPUTED_VALUE"""),-100.20240464038203)</f>
        <v>-100.2024046</v>
      </c>
      <c r="G419" s="31">
        <f>IFERROR(__xludf.DUMMYFUNCTION("""COMPUTED_VALUE"""),-8.61848070359217)</f>
        <v>-8.618480704</v>
      </c>
      <c r="H419" s="31">
        <f>IFERROR(__xludf.DUMMYFUNCTION("""COMPUTED_VALUE"""),-105.03985775989443)</f>
        <v>-105.0398578</v>
      </c>
      <c r="I419" s="54">
        <f>IFERROR(__xludf.DUMMYFUNCTION("""COMPUTED_VALUE"""),4.0)</f>
        <v>4</v>
      </c>
      <c r="J419" s="55">
        <f>IFERROR(__xludf.DUMMYFUNCTION("""COMPUTED_VALUE"""),1.0)</f>
        <v>1</v>
      </c>
      <c r="K419" s="54">
        <f>IFERROR(__xludf.DUMMYFUNCTION("""COMPUTED_VALUE"""),3.0)</f>
        <v>3</v>
      </c>
      <c r="L419" s="56">
        <f>IFERROR(__xludf.DUMMYFUNCTION("""COMPUTED_VALUE"""),0.25)</f>
        <v>0.25</v>
      </c>
      <c r="M419" s="56">
        <f>IFERROR(__xludf.DUMMYFUNCTION("""COMPUTED_VALUE"""),0.14285714285714285)</f>
        <v>0.1428571429</v>
      </c>
      <c r="N419" s="31">
        <f>IFERROR(__xludf.DUMMYFUNCTION("""COMPUTED_VALUE"""),249.25)</f>
        <v>249.25</v>
      </c>
      <c r="O419" s="57">
        <f>IFERROR(__xludf.DUMMYFUNCTION("""COMPUTED_VALUE"""),0.25)</f>
        <v>0.25</v>
      </c>
      <c r="P419" s="57">
        <f>IFERROR(__xludf.DUMMYFUNCTION("""COMPUTED_VALUE"""),0.0)</f>
        <v>0</v>
      </c>
      <c r="Q419" s="57">
        <f>IFERROR(__xludf.DUMMYFUNCTION("""COMPUTED_VALUE"""),1.25)</f>
        <v>1.25</v>
      </c>
      <c r="R419" s="57">
        <f>IFERROR(__xludf.DUMMYFUNCTION("""COMPUTED_VALUE"""),1.75)</f>
        <v>1.75</v>
      </c>
      <c r="S419" s="31">
        <f>IFERROR(__xludf.DUMMYFUNCTION("""COMPUTED_VALUE"""),385.8333333333333)</f>
        <v>385.8333333</v>
      </c>
      <c r="T419" s="57">
        <f>IFERROR(__xludf.DUMMYFUNCTION("""COMPUTED_VALUE"""),1.0833333333333335)</f>
        <v>1.083333333</v>
      </c>
      <c r="U419" s="57">
        <f>IFERROR(__xludf.DUMMYFUNCTION("""COMPUTED_VALUE"""),0.7499999999999999)</f>
        <v>0.75</v>
      </c>
      <c r="V419" s="57">
        <f>IFERROR(__xludf.DUMMYFUNCTION("""COMPUTED_VALUE"""),1.0833333333333333)</f>
        <v>1.083333333</v>
      </c>
      <c r="W419" s="57">
        <f>IFERROR(__xludf.DUMMYFUNCTION("""COMPUTED_VALUE"""),2.75)</f>
        <v>2.75</v>
      </c>
      <c r="X419" s="31">
        <f>IFERROR(__xludf.DUMMYFUNCTION("""COMPUTED_VALUE"""),400.86942239858905)</f>
        <v>400.8694224</v>
      </c>
      <c r="Y419" s="57">
        <f>IFERROR(__xludf.DUMMYFUNCTION("""COMPUTED_VALUE"""),0.9607197971781306)</f>
        <v>0.9607197972</v>
      </c>
      <c r="Z419" s="57">
        <f>IFERROR(__xludf.DUMMYFUNCTION("""COMPUTED_VALUE"""),0.7243386243386244)</f>
        <v>0.7243386243</v>
      </c>
      <c r="AA419" s="57">
        <f>IFERROR(__xludf.DUMMYFUNCTION("""COMPUTED_VALUE"""),1.3560901675485009)</f>
        <v>1.356090168</v>
      </c>
      <c r="AB419" s="57">
        <f>IFERROR(__xludf.DUMMYFUNCTION("""COMPUTED_VALUE"""),3.066572971781305)</f>
        <v>3.066572972</v>
      </c>
      <c r="AC419" s="31">
        <f>IFERROR(__xludf.DUMMYFUNCTION("""COMPUTED_VALUE"""),372.5595072751322)</f>
        <v>372.5595073</v>
      </c>
      <c r="AD419" s="57">
        <f>IFERROR(__xludf.DUMMYFUNCTION("""COMPUTED_VALUE"""),0.7056455761316873)</f>
        <v>0.7056455761</v>
      </c>
      <c r="AE419" s="57">
        <f>IFERROR(__xludf.DUMMYFUNCTION("""COMPUTED_VALUE"""),0.5314079952968842)</f>
        <v>0.5314079953</v>
      </c>
      <c r="AF419" s="57">
        <f>IFERROR(__xludf.DUMMYFUNCTION("""COMPUTED_VALUE"""),1.6452307466196354)</f>
        <v>1.645230747</v>
      </c>
      <c r="AG419" s="57">
        <f>IFERROR(__xludf.DUMMYFUNCTION("""COMPUTED_VALUE"""),2.467781819517931)</f>
        <v>2.46778182</v>
      </c>
      <c r="AH419" s="57">
        <f>IFERROR(__xludf.DUMMYFUNCTION("""COMPUTED_VALUE"""),0.6690206400126326)</f>
        <v>0.66902064</v>
      </c>
      <c r="AI419" s="57">
        <f>IFERROR(__xludf.DUMMYFUNCTION("""COMPUTED_VALUE"""),0.3542855060049935)</f>
        <v>0.354285506</v>
      </c>
      <c r="AJ419" s="57">
        <f>IFERROR(__xludf.DUMMYFUNCTION("""COMPUTED_VALUE"""),0.0)</f>
        <v>0</v>
      </c>
      <c r="AK419" s="57">
        <f>IFERROR(__xludf.DUMMYFUNCTION("""COMPUTED_VALUE"""),0.7597718451155291)</f>
        <v>0.7597718451</v>
      </c>
      <c r="AL419" s="57">
        <f>IFERROR(__xludf.DUMMYFUNCTION("""COMPUTED_VALUE"""),0.7091388655832849)</f>
        <v>0.7091388656</v>
      </c>
      <c r="AM419" s="57">
        <f>IFERROR(__xludf.DUMMYFUNCTION("""COMPUTED_VALUE"""),0.9624913045866961)</f>
        <v>0.9624913046</v>
      </c>
      <c r="AN419" s="57">
        <f>IFERROR(__xludf.DUMMYFUNCTION("""COMPUTED_VALUE"""),1.1276267404037565)</f>
        <v>1.12762674</v>
      </c>
      <c r="AO419" s="57">
        <f>IFERROR(__xludf.DUMMYFUNCTION("""COMPUTED_VALUE"""),1.0354273192111028)</f>
        <v>1.035427319</v>
      </c>
      <c r="AP419" s="35">
        <f>IFERROR(__xludf.DUMMYFUNCTION("""COMPUTED_VALUE"""),0.7988652666745242)</f>
        <v>0.7988652667</v>
      </c>
      <c r="AQ419" s="57">
        <f>IFERROR(__xludf.DUMMYFUNCTION("""COMPUTED_VALUE"""),0.8967665290555878)</f>
        <v>0.8967665291</v>
      </c>
      <c r="AR419" s="36" t="b">
        <f>IFERROR(__xludf.DUMMYFUNCTION("""COMPUTED_VALUE"""),TRUE)</f>
        <v>1</v>
      </c>
      <c r="AS419" s="57"/>
      <c r="AT419" s="37"/>
      <c r="AU419" s="30"/>
      <c r="AV419" s="30"/>
      <c r="AW419" s="30"/>
      <c r="AX419" s="30"/>
      <c r="AY419" s="30"/>
      <c r="AZ419" s="30"/>
    </row>
    <row r="420">
      <c r="A420" s="30" t="str">
        <f>IFERROR(__xludf.DUMMYFUNCTION("""COMPUTED_VALUE"""),"Master")</f>
        <v>Master</v>
      </c>
      <c r="B420" s="30" t="str">
        <f>IFERROR(__xludf.DUMMYFUNCTION("""COMPUTED_VALUE"""),"RSC005301")</f>
        <v>RSC005301</v>
      </c>
      <c r="C420" s="30" t="str">
        <f>IFERROR(__xludf.DUMMYFUNCTION("""COMPUTED_VALUE"""),"Nehtaro")</f>
        <v>Nehtaro</v>
      </c>
      <c r="D420" s="31"/>
      <c r="E420" s="31">
        <f>IFERROR(__xludf.DUMMYFUNCTION("""COMPUTED_VALUE"""),-12.760859628974494)</f>
        <v>-12.76085963</v>
      </c>
      <c r="F420" s="31">
        <f>IFERROR(__xludf.DUMMYFUNCTION("""COMPUTED_VALUE"""),-165.8612319146008)</f>
        <v>-165.8612319</v>
      </c>
      <c r="G420" s="31">
        <f>IFERROR(__xludf.DUMMYFUNCTION("""COMPUTED_VALUE"""),-20.868938721090572)</f>
        <v>-20.86893872</v>
      </c>
      <c r="H420" s="31">
        <f>IFERROR(__xludf.DUMMYFUNCTION("""COMPUTED_VALUE"""),-436.1053778580845)</f>
        <v>-436.1053779</v>
      </c>
      <c r="I420" s="54">
        <f>IFERROR(__xludf.DUMMYFUNCTION("""COMPUTED_VALUE"""),2.0)</f>
        <v>2</v>
      </c>
      <c r="J420" s="55">
        <f>IFERROR(__xludf.DUMMYFUNCTION("""COMPUTED_VALUE"""),0.0)</f>
        <v>0</v>
      </c>
      <c r="K420" s="54">
        <f>IFERROR(__xludf.DUMMYFUNCTION("""COMPUTED_VALUE"""),2.0)</f>
        <v>2</v>
      </c>
      <c r="L420" s="56">
        <f>IFERROR(__xludf.DUMMYFUNCTION("""COMPUTED_VALUE"""),0.0)</f>
        <v>0</v>
      </c>
      <c r="M420" s="56">
        <f>IFERROR(__xludf.DUMMYFUNCTION("""COMPUTED_VALUE"""),0.0)</f>
        <v>0</v>
      </c>
      <c r="N420" s="31">
        <f>IFERROR(__xludf.DUMMYFUNCTION("""COMPUTED_VALUE"""),239.5)</f>
        <v>239.5</v>
      </c>
      <c r="O420" s="57">
        <f>IFERROR(__xludf.DUMMYFUNCTION("""COMPUTED_VALUE"""),0.0)</f>
        <v>0</v>
      </c>
      <c r="P420" s="57">
        <f>IFERROR(__xludf.DUMMYFUNCTION("""COMPUTED_VALUE"""),0.5)</f>
        <v>0.5</v>
      </c>
      <c r="Q420" s="57">
        <f>IFERROR(__xludf.DUMMYFUNCTION("""COMPUTED_VALUE"""),1.5)</f>
        <v>1.5</v>
      </c>
      <c r="R420" s="57">
        <f>IFERROR(__xludf.DUMMYFUNCTION("""COMPUTED_VALUE"""),2.5)</f>
        <v>2.5</v>
      </c>
      <c r="S420" s="31">
        <f>IFERROR(__xludf.DUMMYFUNCTION("""COMPUTED_VALUE"""),530.0)</f>
        <v>530</v>
      </c>
      <c r="T420" s="57">
        <f>IFERROR(__xludf.DUMMYFUNCTION("""COMPUTED_VALUE"""),1.5)</f>
        <v>1.5</v>
      </c>
      <c r="U420" s="57">
        <f>IFERROR(__xludf.DUMMYFUNCTION("""COMPUTED_VALUE"""),1.5)</f>
        <v>1.5</v>
      </c>
      <c r="V420" s="57">
        <f>IFERROR(__xludf.DUMMYFUNCTION("""COMPUTED_VALUE"""),2.0)</f>
        <v>2</v>
      </c>
      <c r="W420" s="57">
        <f>IFERROR(__xludf.DUMMYFUNCTION("""COMPUTED_VALUE"""),4.0)</f>
        <v>4</v>
      </c>
      <c r="X420" s="31">
        <f>IFERROR(__xludf.DUMMYFUNCTION("""COMPUTED_VALUE"""),391.9192699946323)</f>
        <v>391.91927</v>
      </c>
      <c r="Y420" s="57">
        <f>IFERROR(__xludf.DUMMYFUNCTION("""COMPUTED_VALUE"""),0.9425964266543977)</f>
        <v>0.9425964267</v>
      </c>
      <c r="Z420" s="57">
        <f>IFERROR(__xludf.DUMMYFUNCTION("""COMPUTED_VALUE"""),0.7107277049306036)</f>
        <v>0.7107277049</v>
      </c>
      <c r="AA420" s="57">
        <f>IFERROR(__xludf.DUMMYFUNCTION("""COMPUTED_VALUE"""),1.5511233801088873)</f>
        <v>1.55112338</v>
      </c>
      <c r="AB420" s="57">
        <f>IFERROR(__xludf.DUMMYFUNCTION("""COMPUTED_VALUE"""),3.185752626332336)</f>
        <v>3.185752626</v>
      </c>
      <c r="AC420" s="31">
        <f>IFERROR(__xludf.DUMMYFUNCTION("""COMPUTED_VALUE"""),426.23681721749364)</f>
        <v>426.2368172</v>
      </c>
      <c r="AD420" s="57">
        <f>IFERROR(__xludf.DUMMYFUNCTION("""COMPUTED_VALUE"""),1.0582317306954987)</f>
        <v>1.058231731</v>
      </c>
      <c r="AE420" s="57">
        <f>IFERROR(__xludf.DUMMYFUNCTION("""COMPUTED_VALUE"""),0.8766965723487461)</f>
        <v>0.8766965723</v>
      </c>
      <c r="AF420" s="57">
        <f>IFERROR(__xludf.DUMMYFUNCTION("""COMPUTED_VALUE"""),1.6579454540807201)</f>
        <v>1.657945454</v>
      </c>
      <c r="AG420" s="57">
        <f>IFERROR(__xludf.DUMMYFUNCTION("""COMPUTED_VALUE"""),3.164798200546993)</f>
        <v>3.164798201</v>
      </c>
      <c r="AH420" s="57">
        <f>IFERROR(__xludf.DUMMYFUNCTION("""COMPUTED_VALUE"""),0.5618942107429251)</f>
        <v>0.5618942107</v>
      </c>
      <c r="AI420" s="57">
        <f>IFERROR(__xludf.DUMMYFUNCTION("""COMPUTED_VALUE"""),0.0)</f>
        <v>0</v>
      </c>
      <c r="AJ420" s="57">
        <f>IFERROR(__xludf.DUMMYFUNCTION("""COMPUTED_VALUE"""),0.5703227499344006)</f>
        <v>0.5703227499</v>
      </c>
      <c r="AK420" s="57">
        <f>IFERROR(__xludf.DUMMYFUNCTION("""COMPUTED_VALUE"""),0.9047342277202383)</f>
        <v>0.9047342277</v>
      </c>
      <c r="AL420" s="57">
        <f>IFERROR(__xludf.DUMMYFUNCTION("""COMPUTED_VALUE"""),0.7899397818059642)</f>
        <v>0.7899397818</v>
      </c>
      <c r="AM420" s="57">
        <f>IFERROR(__xludf.DUMMYFUNCTION("""COMPUTED_VALUE"""),1.3523193182291313)</f>
        <v>1.352319318</v>
      </c>
      <c r="AN420" s="57">
        <f>IFERROR(__xludf.DUMMYFUNCTION("""COMPUTED_VALUE"""),1.5913491262894146)</f>
        <v>1.591349126</v>
      </c>
      <c r="AO420" s="57">
        <f>IFERROR(__xludf.DUMMYFUNCTION("""COMPUTED_VALUE"""),2.1105129145717796)</f>
        <v>2.110512915</v>
      </c>
      <c r="AP420" s="35">
        <f>IFERROR(__xludf.DUMMYFUNCTION("""COMPUTED_VALUE"""),1.2893880819845562)</f>
        <v>1.289388082</v>
      </c>
      <c r="AQ420" s="57">
        <f>IFERROR(__xludf.DUMMYFUNCTION("""COMPUTED_VALUE"""),1.25559026992158)</f>
        <v>1.25559027</v>
      </c>
      <c r="AR420" s="36" t="b">
        <f>IFERROR(__xludf.DUMMYFUNCTION("""COMPUTED_VALUE"""),TRUE)</f>
        <v>1</v>
      </c>
      <c r="AS420" s="57"/>
      <c r="AT420" s="37"/>
      <c r="AU420" s="30"/>
      <c r="AV420" s="30"/>
      <c r="AW420" s="30"/>
      <c r="AX420" s="30"/>
      <c r="AY420" s="30"/>
      <c r="AZ420" s="30"/>
    </row>
    <row r="421">
      <c r="A421" s="30" t="str">
        <f>IFERROR(__xludf.DUMMYFUNCTION("""COMPUTED_VALUE"""),"Master")</f>
        <v>Master</v>
      </c>
      <c r="B421" s="30" t="str">
        <f>IFERROR(__xludf.DUMMYFUNCTION("""COMPUTED_VALUE"""),"RSC003412")</f>
        <v>RSC003412</v>
      </c>
      <c r="C421" s="30" t="str">
        <f>IFERROR(__xludf.DUMMYFUNCTION("""COMPUTED_VALUE"""),"Python")</f>
        <v>Python</v>
      </c>
      <c r="D421" s="31"/>
      <c r="E421" s="31">
        <f>IFERROR(__xludf.DUMMYFUNCTION("""COMPUTED_VALUE"""),-34.09750615760821)</f>
        <v>-34.09750616</v>
      </c>
      <c r="F421" s="31">
        <f>IFERROR(__xludf.DUMMYFUNCTION("""COMPUTED_VALUE"""),-2602.4955623425626)</f>
        <v>-2602.495562</v>
      </c>
      <c r="G421" s="31">
        <f>IFERROR(__xludf.DUMMYFUNCTION("""COMPUTED_VALUE"""),-43.153371560752745)</f>
        <v>-43.15337156</v>
      </c>
      <c r="H421" s="31">
        <f>IFERROR(__xludf.DUMMYFUNCTION("""COMPUTED_VALUE"""),-10286.034080916119)</f>
        <v>-10286.03408</v>
      </c>
      <c r="I421" s="54">
        <f>IFERROR(__xludf.DUMMYFUNCTION("""COMPUTED_VALUE"""),4.0)</f>
        <v>4</v>
      </c>
      <c r="J421" s="55">
        <f>IFERROR(__xludf.DUMMYFUNCTION("""COMPUTED_VALUE"""),1.0)</f>
        <v>1</v>
      </c>
      <c r="K421" s="54">
        <f>IFERROR(__xludf.DUMMYFUNCTION("""COMPUTED_VALUE"""),3.0)</f>
        <v>3</v>
      </c>
      <c r="L421" s="56">
        <f>IFERROR(__xludf.DUMMYFUNCTION("""COMPUTED_VALUE"""),0.25)</f>
        <v>0.25</v>
      </c>
      <c r="M421" s="56">
        <f>IFERROR(__xludf.DUMMYFUNCTION("""COMPUTED_VALUE"""),0.3333333333333333)</f>
        <v>0.3333333333</v>
      </c>
      <c r="N421" s="31">
        <f>IFERROR(__xludf.DUMMYFUNCTION("""COMPUTED_VALUE"""),186.75)</f>
        <v>186.75</v>
      </c>
      <c r="O421" s="57">
        <f>IFERROR(__xludf.DUMMYFUNCTION("""COMPUTED_VALUE"""),0.25)</f>
        <v>0.25</v>
      </c>
      <c r="P421" s="57">
        <f>IFERROR(__xludf.DUMMYFUNCTION("""COMPUTED_VALUE"""),0.0)</f>
        <v>0</v>
      </c>
      <c r="Q421" s="57">
        <f>IFERROR(__xludf.DUMMYFUNCTION("""COMPUTED_VALUE"""),0.75)</f>
        <v>0.75</v>
      </c>
      <c r="R421" s="57">
        <f>IFERROR(__xludf.DUMMYFUNCTION("""COMPUTED_VALUE"""),0.75)</f>
        <v>0.75</v>
      </c>
      <c r="S421" s="31">
        <f>IFERROR(__xludf.DUMMYFUNCTION("""COMPUTED_VALUE"""),489.0833333333333)</f>
        <v>489.0833333</v>
      </c>
      <c r="T421" s="57">
        <f>IFERROR(__xludf.DUMMYFUNCTION("""COMPUTED_VALUE"""),1.6666666666666667)</f>
        <v>1.666666667</v>
      </c>
      <c r="U421" s="57">
        <f>IFERROR(__xludf.DUMMYFUNCTION("""COMPUTED_VALUE"""),1.4166666666666667)</f>
        <v>1.416666667</v>
      </c>
      <c r="V421" s="57">
        <f>IFERROR(__xludf.DUMMYFUNCTION("""COMPUTED_VALUE"""),1.0833333333333335)</f>
        <v>1.083333333</v>
      </c>
      <c r="W421" s="57">
        <f>IFERROR(__xludf.DUMMYFUNCTION("""COMPUTED_VALUE"""),3.8333333333333335)</f>
        <v>3.833333333</v>
      </c>
      <c r="X421" s="31">
        <f>IFERROR(__xludf.DUMMYFUNCTION("""COMPUTED_VALUE"""),416.07950513538754)</f>
        <v>416.0795051</v>
      </c>
      <c r="Y421" s="57">
        <f>IFERROR(__xludf.DUMMYFUNCTION("""COMPUTED_VALUE"""),1.0084967320261438)</f>
        <v>1.008496732</v>
      </c>
      <c r="Z421" s="57">
        <f>IFERROR(__xludf.DUMMYFUNCTION("""COMPUTED_VALUE"""),0.7140989729225024)</f>
        <v>0.7140989729</v>
      </c>
      <c r="AA421" s="57">
        <f>IFERROR(__xludf.DUMMYFUNCTION("""COMPUTED_VALUE"""),1.599766573295985)</f>
        <v>1.599766573</v>
      </c>
      <c r="AB421" s="57">
        <f>IFERROR(__xludf.DUMMYFUNCTION("""COMPUTED_VALUE"""),2.8646825396825397)</f>
        <v>2.86468254</v>
      </c>
      <c r="AC421" s="31">
        <f>IFERROR(__xludf.DUMMYFUNCTION("""COMPUTED_VALUE"""),353.27124183006543)</f>
        <v>353.2712418</v>
      </c>
      <c r="AD421" s="57">
        <f>IFERROR(__xludf.DUMMYFUNCTION("""COMPUTED_VALUE"""),0.7457983193277311)</f>
        <v>0.7457983193</v>
      </c>
      <c r="AE421" s="57">
        <f>IFERROR(__xludf.DUMMYFUNCTION("""COMPUTED_VALUE"""),0.5947012138188609)</f>
        <v>0.5947012138</v>
      </c>
      <c r="AF421" s="57">
        <f>IFERROR(__xludf.DUMMYFUNCTION("""COMPUTED_VALUE"""),1.3642779333955806)</f>
        <v>1.364277933</v>
      </c>
      <c r="AG421" s="57">
        <f>IFERROR(__xludf.DUMMYFUNCTION("""COMPUTED_VALUE"""),2.7820883909119196)</f>
        <v>2.782088391</v>
      </c>
      <c r="AH421" s="57">
        <f>IFERROR(__xludf.DUMMYFUNCTION("""COMPUTED_VALUE"""),0.5286306324640844)</f>
        <v>0.5286306325</v>
      </c>
      <c r="AI421" s="57">
        <f>IFERROR(__xludf.DUMMYFUNCTION("""COMPUTED_VALUE"""),0.3352112676056338)</f>
        <v>0.3352112676</v>
      </c>
      <c r="AJ421" s="57">
        <f>IFERROR(__xludf.DUMMYFUNCTION("""COMPUTED_VALUE"""),0.0)</f>
        <v>0</v>
      </c>
      <c r="AK421" s="57">
        <f>IFERROR(__xludf.DUMMYFUNCTION("""COMPUTED_VALUE"""),0.5497413552188072)</f>
        <v>0.5497413552</v>
      </c>
      <c r="AL421" s="57">
        <f>IFERROR(__xludf.DUMMYFUNCTION("""COMPUTED_VALUE"""),0.2695816575957758)</f>
        <v>0.2695816576</v>
      </c>
      <c r="AM421" s="57">
        <f>IFERROR(__xludf.DUMMYFUNCTION("""COMPUTED_VALUE"""),1.1754564387260342)</f>
        <v>1.175456439</v>
      </c>
      <c r="AN421" s="57">
        <f>IFERROR(__xludf.DUMMYFUNCTION("""COMPUTED_VALUE"""),1.6526247569669477)</f>
        <v>1.652624757</v>
      </c>
      <c r="AO421" s="57">
        <f>IFERROR(__xludf.DUMMYFUNCTION("""COMPUTED_VALUE"""),1.9838519874476988)</f>
        <v>1.983851987</v>
      </c>
      <c r="AP421" s="35">
        <f>IFERROR(__xludf.DUMMYFUNCTION("""COMPUTED_VALUE"""),0.6771821285785159)</f>
        <v>0.6771821286</v>
      </c>
      <c r="AQ421" s="57">
        <f>IFERROR(__xludf.DUMMYFUNCTION("""COMPUTED_VALUE"""),1.338135475827677)</f>
        <v>1.338135476</v>
      </c>
      <c r="AR421" s="36" t="b">
        <f>IFERROR(__xludf.DUMMYFUNCTION("""COMPUTED_VALUE"""),TRUE)</f>
        <v>1</v>
      </c>
      <c r="AS421" s="57"/>
      <c r="AT421" s="37"/>
      <c r="AU421" s="30"/>
      <c r="AV421" s="30"/>
      <c r="AW421" s="30"/>
      <c r="AX421" s="30"/>
      <c r="AY421" s="30"/>
      <c r="AZ421" s="30"/>
    </row>
    <row r="422">
      <c r="A422" s="30" t="str">
        <f>IFERROR(__xludf.DUMMYFUNCTION("""COMPUTED_VALUE"""),"Premier")</f>
        <v>Premier</v>
      </c>
      <c r="B422" s="30" t="str">
        <f>IFERROR(__xludf.DUMMYFUNCTION("""COMPUTED_VALUE"""),"RSC004216")</f>
        <v>RSC004216</v>
      </c>
      <c r="C422" s="30" t="str">
        <f>IFERROR(__xludf.DUMMYFUNCTION("""COMPUTED_VALUE"""),"GrEh")</f>
        <v>GrEh</v>
      </c>
      <c r="D422" s="31" t="str">
        <f>IFERROR(__xludf.DUMMYFUNCTION("""COMPUTED_VALUE"""),"Long Beards")</f>
        <v>Long Beards</v>
      </c>
      <c r="E422" s="31">
        <f>IFERROR(__xludf.DUMMYFUNCTION("""COMPUTED_VALUE"""),94.98862403153811)</f>
        <v>94.98862403</v>
      </c>
      <c r="F422" s="31">
        <f>IFERROR(__xludf.DUMMYFUNCTION("""COMPUTED_VALUE"""),27.803836762494523)</f>
        <v>27.80383676</v>
      </c>
      <c r="G422" s="31">
        <f>IFERROR(__xludf.DUMMYFUNCTION("""COMPUTED_VALUE"""),66.69891775953036)</f>
        <v>66.69891776</v>
      </c>
      <c r="H422" s="31">
        <f>IFERROR(__xludf.DUMMYFUNCTION("""COMPUTED_VALUE"""),3.9669849592261697)</f>
        <v>3.966984959</v>
      </c>
      <c r="I422" s="54">
        <f>IFERROR(__xludf.DUMMYFUNCTION("""COMPUTED_VALUE"""),36.0)</f>
        <v>36</v>
      </c>
      <c r="J422" s="55">
        <f>IFERROR(__xludf.DUMMYFUNCTION("""COMPUTED_VALUE"""),24.0)</f>
        <v>24</v>
      </c>
      <c r="K422" s="54">
        <f>IFERROR(__xludf.DUMMYFUNCTION("""COMPUTED_VALUE"""),12.0)</f>
        <v>12</v>
      </c>
      <c r="L422" s="56">
        <f>IFERROR(__xludf.DUMMYFUNCTION("""COMPUTED_VALUE"""),0.6666666666666666)</f>
        <v>0.6666666667</v>
      </c>
      <c r="M422" s="56">
        <f>IFERROR(__xludf.DUMMYFUNCTION("""COMPUTED_VALUE"""),0.33076923076923076)</f>
        <v>0.3307692308</v>
      </c>
      <c r="N422" s="31">
        <f>IFERROR(__xludf.DUMMYFUNCTION("""COMPUTED_VALUE"""),399.9166666666667)</f>
        <v>399.9166667</v>
      </c>
      <c r="O422" s="57">
        <f>IFERROR(__xludf.DUMMYFUNCTION("""COMPUTED_VALUE"""),1.1944444444444444)</f>
        <v>1.194444444</v>
      </c>
      <c r="P422" s="57">
        <f>IFERROR(__xludf.DUMMYFUNCTION("""COMPUTED_VALUE"""),0.9722222222222222)</f>
        <v>0.9722222222</v>
      </c>
      <c r="Q422" s="57">
        <f>IFERROR(__xludf.DUMMYFUNCTION("""COMPUTED_VALUE"""),0.9722222222222222)</f>
        <v>0.9722222222</v>
      </c>
      <c r="R422" s="57">
        <f>IFERROR(__xludf.DUMMYFUNCTION("""COMPUTED_VALUE"""),3.611111111111111)</f>
        <v>3.611111111</v>
      </c>
      <c r="S422" s="31">
        <f>IFERROR(__xludf.DUMMYFUNCTION("""COMPUTED_VALUE"""),382.2314814814814)</f>
        <v>382.2314815</v>
      </c>
      <c r="T422" s="57">
        <f>IFERROR(__xludf.DUMMYFUNCTION("""COMPUTED_VALUE"""),0.7129629629629629)</f>
        <v>0.712962963</v>
      </c>
      <c r="U422" s="57">
        <f>IFERROR(__xludf.DUMMYFUNCTION("""COMPUTED_VALUE"""),0.5277777777777776)</f>
        <v>0.5277777778</v>
      </c>
      <c r="V422" s="57">
        <f>IFERROR(__xludf.DUMMYFUNCTION("""COMPUTED_VALUE"""),1.8888888888888888)</f>
        <v>1.888888889</v>
      </c>
      <c r="W422" s="57">
        <f>IFERROR(__xludf.DUMMYFUNCTION("""COMPUTED_VALUE"""),2.407407407407407)</f>
        <v>2.407407407</v>
      </c>
      <c r="X422" s="31">
        <f>IFERROR(__xludf.DUMMYFUNCTION("""COMPUTED_VALUE"""),370.01895017664566)</f>
        <v>370.0189502</v>
      </c>
      <c r="Y422" s="57">
        <f>IFERROR(__xludf.DUMMYFUNCTION("""COMPUTED_VALUE"""),0.779393888180521)</f>
        <v>0.7793938882</v>
      </c>
      <c r="Z422" s="57">
        <f>IFERROR(__xludf.DUMMYFUNCTION("""COMPUTED_VALUE"""),0.5934895865288902)</f>
        <v>0.5934895865</v>
      </c>
      <c r="AA422" s="57">
        <f>IFERROR(__xludf.DUMMYFUNCTION("""COMPUTED_VALUE"""),1.5223464120149595)</f>
        <v>1.522346412</v>
      </c>
      <c r="AB422" s="57">
        <f>IFERROR(__xludf.DUMMYFUNCTION("""COMPUTED_VALUE"""),2.6667100263044285)</f>
        <v>2.666710026</v>
      </c>
      <c r="AC422" s="31">
        <f>IFERROR(__xludf.DUMMYFUNCTION("""COMPUTED_VALUE"""),382.53383702047114)</f>
        <v>382.533837</v>
      </c>
      <c r="AD422" s="57">
        <f>IFERROR(__xludf.DUMMYFUNCTION("""COMPUTED_VALUE"""),0.8780200513321835)</f>
        <v>0.8780200513</v>
      </c>
      <c r="AE422" s="57">
        <f>IFERROR(__xludf.DUMMYFUNCTION("""COMPUTED_VALUE"""),0.6960303120982895)</f>
        <v>0.6960303121</v>
      </c>
      <c r="AF422" s="57">
        <f>IFERROR(__xludf.DUMMYFUNCTION("""COMPUTED_VALUE"""),1.4268370701747664)</f>
        <v>1.42683707</v>
      </c>
      <c r="AG422" s="57">
        <f>IFERROR(__xludf.DUMMYFUNCTION("""COMPUTED_VALUE"""),2.8134877733118993)</f>
        <v>2.813487773</v>
      </c>
      <c r="AH422" s="57">
        <f>IFERROR(__xludf.DUMMYFUNCTION("""COMPUTED_VALUE"""),1.0454412864011957)</f>
        <v>1.045441286</v>
      </c>
      <c r="AI422" s="57">
        <f>IFERROR(__xludf.DUMMYFUNCTION("""COMPUTED_VALUE"""),1.3603840170075425)</f>
        <v>1.360384017</v>
      </c>
      <c r="AJ422" s="57">
        <f>IFERROR(__xludf.DUMMYFUNCTION("""COMPUTED_VALUE"""),1.3968101752512907)</f>
        <v>1.396810175</v>
      </c>
      <c r="AK422" s="57">
        <f>IFERROR(__xludf.DUMMYFUNCTION("""COMPUTED_VALUE"""),0.681382788928479)</f>
        <v>0.6813827889</v>
      </c>
      <c r="AL422" s="57">
        <f>IFERROR(__xludf.DUMMYFUNCTION("""COMPUTED_VALUE"""),1.283499841501102)</f>
        <v>1.283499842</v>
      </c>
      <c r="AM422" s="57">
        <f>IFERROR(__xludf.DUMMYFUNCTION("""COMPUTED_VALUE"""),1.0330051509497162)</f>
        <v>1.033005151</v>
      </c>
      <c r="AN422" s="57">
        <f>IFERROR(__xludf.DUMMYFUNCTION("""COMPUTED_VALUE"""),0.9147659146100828)</f>
        <v>0.9147659146</v>
      </c>
      <c r="AO422" s="57">
        <f>IFERROR(__xludf.DUMMYFUNCTION("""COMPUTED_VALUE"""),0.88927891871627)</f>
        <v>0.8892789187</v>
      </c>
      <c r="AP422" s="35">
        <f>IFERROR(__xludf.DUMMYFUNCTION("""COMPUTED_VALUE"""),1.2407746843826288)</f>
        <v>1.240774684</v>
      </c>
      <c r="AQ422" s="57">
        <f>IFERROR(__xludf.DUMMYFUNCTION("""COMPUTED_VALUE"""),0.902763098972419)</f>
        <v>0.902763099</v>
      </c>
      <c r="AR422" s="36" t="b">
        <f>IFERROR(__xludf.DUMMYFUNCTION("""COMPUTED_VALUE"""),TRUE)</f>
        <v>1</v>
      </c>
      <c r="AS422" s="57"/>
      <c r="AT422" s="37"/>
      <c r="AU422" s="30"/>
      <c r="AV422" s="30"/>
      <c r="AW422" s="30"/>
      <c r="AX422" s="30"/>
      <c r="AY422" s="30"/>
      <c r="AZ422" s="30"/>
    </row>
    <row r="423">
      <c r="A423" s="30" t="str">
        <f>IFERROR(__xludf.DUMMYFUNCTION("""COMPUTED_VALUE"""),"Premier")</f>
        <v>Premier</v>
      </c>
      <c r="B423" s="30" t="str">
        <f>IFERROR(__xludf.DUMMYFUNCTION("""COMPUTED_VALUE"""),"RSC007982")</f>
        <v>RSC007982</v>
      </c>
      <c r="C423" s="30" t="str">
        <f>IFERROR(__xludf.DUMMYFUNCTION("""COMPUTED_VALUE"""),"Cadomac")</f>
        <v>Cadomac</v>
      </c>
      <c r="D423" s="31" t="str">
        <f>IFERROR(__xludf.DUMMYFUNCTION("""COMPUTED_VALUE"""),"Hurricanes")</f>
        <v>Hurricanes</v>
      </c>
      <c r="E423" s="31">
        <f>IFERROR(__xludf.DUMMYFUNCTION("""COMPUTED_VALUE"""),94.91088548865778)</f>
        <v>94.91088549</v>
      </c>
      <c r="F423" s="31">
        <f>IFERROR(__xludf.DUMMYFUNCTION("""COMPUTED_VALUE"""),27.614661437933854)</f>
        <v>27.61466144</v>
      </c>
      <c r="G423" s="31">
        <f>IFERROR(__xludf.DUMMYFUNCTION("""COMPUTED_VALUE"""),72.94521285136305)</f>
        <v>72.94521285</v>
      </c>
      <c r="H423" s="31">
        <f>IFERROR(__xludf.DUMMYFUNCTION("""COMPUTED_VALUE"""),5.575392739911701)</f>
        <v>5.57539274</v>
      </c>
      <c r="I423" s="54">
        <f>IFERROR(__xludf.DUMMYFUNCTION("""COMPUTED_VALUE"""),31.0)</f>
        <v>31</v>
      </c>
      <c r="J423" s="55">
        <f>IFERROR(__xludf.DUMMYFUNCTION("""COMPUTED_VALUE"""),19.0)</f>
        <v>19</v>
      </c>
      <c r="K423" s="54">
        <f>IFERROR(__xludf.DUMMYFUNCTION("""COMPUTED_VALUE"""),12.0)</f>
        <v>12</v>
      </c>
      <c r="L423" s="56">
        <f>IFERROR(__xludf.DUMMYFUNCTION("""COMPUTED_VALUE"""),0.6129032258064516)</f>
        <v>0.6129032258</v>
      </c>
      <c r="M423" s="56">
        <f>IFERROR(__xludf.DUMMYFUNCTION("""COMPUTED_VALUE"""),0.26495726495726496)</f>
        <v>0.264957265</v>
      </c>
      <c r="N423" s="31">
        <f>IFERROR(__xludf.DUMMYFUNCTION("""COMPUTED_VALUE"""),462.2258064516129)</f>
        <v>462.2258065</v>
      </c>
      <c r="O423" s="57">
        <f>IFERROR(__xludf.DUMMYFUNCTION("""COMPUTED_VALUE"""),1.0)</f>
        <v>1</v>
      </c>
      <c r="P423" s="57">
        <f>IFERROR(__xludf.DUMMYFUNCTION("""COMPUTED_VALUE"""),0.9354838709677419)</f>
        <v>0.935483871</v>
      </c>
      <c r="Q423" s="57">
        <f>IFERROR(__xludf.DUMMYFUNCTION("""COMPUTED_VALUE"""),1.6451612903225807)</f>
        <v>1.64516129</v>
      </c>
      <c r="R423" s="57">
        <f>IFERROR(__xludf.DUMMYFUNCTION("""COMPUTED_VALUE"""),3.774193548387097)</f>
        <v>3.774193548</v>
      </c>
      <c r="S423" s="31">
        <f>IFERROR(__xludf.DUMMYFUNCTION("""COMPUTED_VALUE"""),386.9032258064516)</f>
        <v>386.9032258</v>
      </c>
      <c r="T423" s="57">
        <f>IFERROR(__xludf.DUMMYFUNCTION("""COMPUTED_VALUE"""),0.6881720430107525)</f>
        <v>0.688172043</v>
      </c>
      <c r="U423" s="57">
        <f>IFERROR(__xludf.DUMMYFUNCTION("""COMPUTED_VALUE"""),0.5376344086021505)</f>
        <v>0.5376344086</v>
      </c>
      <c r="V423" s="57">
        <f>IFERROR(__xludf.DUMMYFUNCTION("""COMPUTED_VALUE"""),1.8602150537634408)</f>
        <v>1.860215054</v>
      </c>
      <c r="W423" s="57">
        <f>IFERROR(__xludf.DUMMYFUNCTION("""COMPUTED_VALUE"""),2.6236559139784945)</f>
        <v>2.623655914</v>
      </c>
      <c r="X423" s="31">
        <f>IFERROR(__xludf.DUMMYFUNCTION("""COMPUTED_VALUE"""),374.96665069111987)</f>
        <v>374.9666507</v>
      </c>
      <c r="Y423" s="57">
        <f>IFERROR(__xludf.DUMMYFUNCTION("""COMPUTED_VALUE"""),0.8528681699732722)</f>
        <v>0.85286817</v>
      </c>
      <c r="Z423" s="57">
        <f>IFERROR(__xludf.DUMMYFUNCTION("""COMPUTED_VALUE"""),0.6298439461166467)</f>
        <v>0.6298439461</v>
      </c>
      <c r="AA423" s="57">
        <f>IFERROR(__xludf.DUMMYFUNCTION("""COMPUTED_VALUE"""),1.4626437645521873)</f>
        <v>1.462643765</v>
      </c>
      <c r="AB423" s="57">
        <f>IFERROR(__xludf.DUMMYFUNCTION("""COMPUTED_VALUE"""),2.6643529723249784)</f>
        <v>2.664352972</v>
      </c>
      <c r="AC423" s="31">
        <f>IFERROR(__xludf.DUMMYFUNCTION("""COMPUTED_VALUE"""),377.8469868118932)</f>
        <v>377.8469868</v>
      </c>
      <c r="AD423" s="57">
        <f>IFERROR(__xludf.DUMMYFUNCTION("""COMPUTED_VALUE"""),0.8632378814330715)</f>
        <v>0.8632378814</v>
      </c>
      <c r="AE423" s="57">
        <f>IFERROR(__xludf.DUMMYFUNCTION("""COMPUTED_VALUE"""),0.6699881294030299)</f>
        <v>0.6699881294</v>
      </c>
      <c r="AF423" s="57">
        <f>IFERROR(__xludf.DUMMYFUNCTION("""COMPUTED_VALUE"""),1.430109412295505)</f>
        <v>1.430109412</v>
      </c>
      <c r="AG423" s="57">
        <f>IFERROR(__xludf.DUMMYFUNCTION("""COMPUTED_VALUE"""),2.8016798122899926)</f>
        <v>2.801679812</v>
      </c>
      <c r="AH423" s="57">
        <f>IFERROR(__xludf.DUMMYFUNCTION("""COMPUTED_VALUE"""),1.2233147876913644)</f>
        <v>1.223314788</v>
      </c>
      <c r="AI423" s="57">
        <f>IFERROR(__xludf.DUMMYFUNCTION("""COMPUTED_VALUE"""),1.15842923660844)</f>
        <v>1.158429237</v>
      </c>
      <c r="AJ423" s="57">
        <f>IFERROR(__xludf.DUMMYFUNCTION("""COMPUTED_VALUE"""),1.3962693216688375)</f>
        <v>1.396269322</v>
      </c>
      <c r="AK423" s="57">
        <f>IFERROR(__xludf.DUMMYFUNCTION("""COMPUTED_VALUE"""),1.1503744232281434)</f>
        <v>1.150374423</v>
      </c>
      <c r="AL423" s="57">
        <f>IFERROR(__xludf.DUMMYFUNCTION("""COMPUTED_VALUE"""),1.3471180867389005)</f>
        <v>1.347118087</v>
      </c>
      <c r="AM423" s="57">
        <f>IFERROR(__xludf.DUMMYFUNCTION("""COMPUTED_VALUE"""),1.0318336979924236)</f>
        <v>1.031833698</v>
      </c>
      <c r="AN423" s="57">
        <f>IFERROR(__xludf.DUMMYFUNCTION("""COMPUTED_VALUE"""),0.80689146017997)</f>
        <v>0.8068914602</v>
      </c>
      <c r="AO423" s="57">
        <f>IFERROR(__xludf.DUMMYFUNCTION("""COMPUTED_VALUE"""),0.8535993906379167)</f>
        <v>0.8535993906</v>
      </c>
      <c r="AP423" s="35">
        <f>IFERROR(__xludf.DUMMYFUNCTION("""COMPUTED_VALUE"""),1.2718168968046546)</f>
        <v>1.271816897</v>
      </c>
      <c r="AQ423" s="57">
        <f>IFERROR(__xludf.DUMMYFUNCTION("""COMPUTED_VALUE"""),0.9847253502935946)</f>
        <v>0.9847253503</v>
      </c>
      <c r="AR423" s="36" t="b">
        <f>IFERROR(__xludf.DUMMYFUNCTION("""COMPUTED_VALUE"""),TRUE)</f>
        <v>1</v>
      </c>
      <c r="AS423" s="57"/>
      <c r="AT423" s="37"/>
      <c r="AU423" s="30"/>
      <c r="AV423" s="30"/>
      <c r="AW423" s="30"/>
      <c r="AX423" s="30"/>
      <c r="AY423" s="30"/>
      <c r="AZ423" s="30"/>
    </row>
    <row r="424">
      <c r="A424" s="30" t="str">
        <f>IFERROR(__xludf.DUMMYFUNCTION("""COMPUTED_VALUE"""),"Premier")</f>
        <v>Premier</v>
      </c>
      <c r="B424" s="30" t="str">
        <f>IFERROR(__xludf.DUMMYFUNCTION("""COMPUTED_VALUE"""),"RSC005157")</f>
        <v>RSC005157</v>
      </c>
      <c r="C424" s="30" t="str">
        <f>IFERROR(__xludf.DUMMYFUNCTION("""COMPUTED_VALUE"""),"ScuLa")</f>
        <v>ScuLa</v>
      </c>
      <c r="D424" s="31" t="str">
        <f>IFERROR(__xludf.DUMMYFUNCTION("""COMPUTED_VALUE"""),"Excavators")</f>
        <v>Excavators</v>
      </c>
      <c r="E424" s="31">
        <f>IFERROR(__xludf.DUMMYFUNCTION("""COMPUTED_VALUE"""),91.80046739191887)</f>
        <v>91.80046739</v>
      </c>
      <c r="F424" s="31">
        <f>IFERROR(__xludf.DUMMYFUNCTION("""COMPUTED_VALUE"""),21.159400686499957)</f>
        <v>21.15940069</v>
      </c>
      <c r="G424" s="31">
        <f>IFERROR(__xludf.DUMMYFUNCTION("""COMPUTED_VALUE"""),82.42728676511939)</f>
        <v>82.42728677</v>
      </c>
      <c r="H424" s="31">
        <f>IFERROR(__xludf.DUMMYFUNCTION("""COMPUTED_VALUE"""),10.277507294925224)</f>
        <v>10.27750729</v>
      </c>
      <c r="I424" s="54">
        <f>IFERROR(__xludf.DUMMYFUNCTION("""COMPUTED_VALUE"""),34.0)</f>
        <v>34</v>
      </c>
      <c r="J424" s="55">
        <f>IFERROR(__xludf.DUMMYFUNCTION("""COMPUTED_VALUE"""),25.0)</f>
        <v>25</v>
      </c>
      <c r="K424" s="54">
        <f>IFERROR(__xludf.DUMMYFUNCTION("""COMPUTED_VALUE"""),9.0)</f>
        <v>9</v>
      </c>
      <c r="L424" s="56">
        <f>IFERROR(__xludf.DUMMYFUNCTION("""COMPUTED_VALUE"""),0.7352941176470589)</f>
        <v>0.7352941176</v>
      </c>
      <c r="M424" s="56">
        <f>IFERROR(__xludf.DUMMYFUNCTION("""COMPUTED_VALUE"""),0.36792452830188677)</f>
        <v>0.3679245283</v>
      </c>
      <c r="N424" s="31">
        <f>IFERROR(__xludf.DUMMYFUNCTION("""COMPUTED_VALUE"""),456.52941176470586)</f>
        <v>456.5294118</v>
      </c>
      <c r="O424" s="57">
        <f>IFERROR(__xludf.DUMMYFUNCTION("""COMPUTED_VALUE"""),1.1470588235294117)</f>
        <v>1.147058824</v>
      </c>
      <c r="P424" s="57">
        <f>IFERROR(__xludf.DUMMYFUNCTION("""COMPUTED_VALUE"""),0.8823529411764706)</f>
        <v>0.8823529412</v>
      </c>
      <c r="Q424" s="57">
        <f>IFERROR(__xludf.DUMMYFUNCTION("""COMPUTED_VALUE"""),1.5588235294117647)</f>
        <v>1.558823529</v>
      </c>
      <c r="R424" s="57">
        <f>IFERROR(__xludf.DUMMYFUNCTION("""COMPUTED_VALUE"""),3.1176470588235294)</f>
        <v>3.117647059</v>
      </c>
      <c r="S424" s="31">
        <f>IFERROR(__xludf.DUMMYFUNCTION("""COMPUTED_VALUE"""),344.3529411764705)</f>
        <v>344.3529412</v>
      </c>
      <c r="T424" s="57">
        <f>IFERROR(__xludf.DUMMYFUNCTION("""COMPUTED_VALUE"""),0.6470588235294119)</f>
        <v>0.6470588235</v>
      </c>
      <c r="U424" s="57">
        <f>IFERROR(__xludf.DUMMYFUNCTION("""COMPUTED_VALUE"""),0.4411764705882353)</f>
        <v>0.4411764706</v>
      </c>
      <c r="V424" s="57">
        <f>IFERROR(__xludf.DUMMYFUNCTION("""COMPUTED_VALUE"""),1.588235294117647)</f>
        <v>1.588235294</v>
      </c>
      <c r="W424" s="57">
        <f>IFERROR(__xludf.DUMMYFUNCTION("""COMPUTED_VALUE"""),2.3235294117647065)</f>
        <v>2.323529412</v>
      </c>
      <c r="X424" s="31">
        <f>IFERROR(__xludf.DUMMYFUNCTION("""COMPUTED_VALUE"""),375.6762129019212)</f>
        <v>375.6762129</v>
      </c>
      <c r="Y424" s="57">
        <f>IFERROR(__xludf.DUMMYFUNCTION("""COMPUTED_VALUE"""),0.8074839606845319)</f>
        <v>0.8074839607</v>
      </c>
      <c r="Z424" s="57">
        <f>IFERROR(__xludf.DUMMYFUNCTION("""COMPUTED_VALUE"""),0.6175631220352301)</f>
        <v>0.617563122</v>
      </c>
      <c r="AA424" s="57">
        <f>IFERROR(__xludf.DUMMYFUNCTION("""COMPUTED_VALUE"""),1.5179917749381493)</f>
        <v>1.517991775</v>
      </c>
      <c r="AB424" s="57">
        <f>IFERROR(__xludf.DUMMYFUNCTION("""COMPUTED_VALUE"""),2.736094894621674)</f>
        <v>2.736094895</v>
      </c>
      <c r="AC424" s="31">
        <f>IFERROR(__xludf.DUMMYFUNCTION("""COMPUTED_VALUE"""),384.19002910675175)</f>
        <v>384.1900291</v>
      </c>
      <c r="AD424" s="57">
        <f>IFERROR(__xludf.DUMMYFUNCTION("""COMPUTED_VALUE"""),0.8846196911685399)</f>
        <v>0.8846196912</v>
      </c>
      <c r="AE424" s="57">
        <f>IFERROR(__xludf.DUMMYFUNCTION("""COMPUTED_VALUE"""),0.6920906060786814)</f>
        <v>0.6920906061</v>
      </c>
      <c r="AF424" s="57">
        <f>IFERROR(__xludf.DUMMYFUNCTION("""COMPUTED_VALUE"""),1.4308141689871674)</f>
        <v>1.430814169</v>
      </c>
      <c r="AG424" s="57">
        <f>IFERROR(__xludf.DUMMYFUNCTION("""COMPUTED_VALUE"""),2.8375003046407983)</f>
        <v>2.837500305</v>
      </c>
      <c r="AH424" s="57">
        <f>IFERROR(__xludf.DUMMYFUNCTION("""COMPUTED_VALUE"""),1.1882906300981948)</f>
        <v>1.18829063</v>
      </c>
      <c r="AI424" s="57">
        <f>IFERROR(__xludf.DUMMYFUNCTION("""COMPUTED_VALUE"""),1.296668879271953)</f>
        <v>1.296668879</v>
      </c>
      <c r="AJ424" s="57">
        <f>IFERROR(__xludf.DUMMYFUNCTION("""COMPUTED_VALUE"""),1.2749095760391795)</f>
        <v>1.274909576</v>
      </c>
      <c r="AK424" s="57">
        <f>IFERROR(__xludf.DUMMYFUNCTION("""COMPUTED_VALUE"""),1.0894660978338029)</f>
        <v>1.089466098</v>
      </c>
      <c r="AL424" s="57">
        <f>IFERROR(__xludf.DUMMYFUNCTION("""COMPUTED_VALUE"""),1.098730123032778)</f>
        <v>1.098730123</v>
      </c>
      <c r="AM424" s="57">
        <f>IFERROR(__xludf.DUMMYFUNCTION("""COMPUTED_VALUE"""),0.9166216261511656)</f>
        <v>0.9166216262</v>
      </c>
      <c r="AN424" s="57">
        <f>IFERROR(__xludf.DUMMYFUNCTION("""COMPUTED_VALUE"""),0.8013271532735807)</f>
        <v>0.8013271533</v>
      </c>
      <c r="AO424" s="57">
        <f>IFERROR(__xludf.DUMMYFUNCTION("""COMPUTED_VALUE"""),0.7143827972342356)</f>
        <v>0.7143827972</v>
      </c>
      <c r="AP424" s="35">
        <f>IFERROR(__xludf.DUMMYFUNCTION("""COMPUTED_VALUE"""),1.0462739787785476)</f>
        <v>1.046273979</v>
      </c>
      <c r="AQ424" s="57">
        <f>IFERROR(__xludf.DUMMYFUNCTION("""COMPUTED_VALUE"""),0.8492137521736014)</f>
        <v>0.8492137522</v>
      </c>
      <c r="AR424" s="36" t="b">
        <f>IFERROR(__xludf.DUMMYFUNCTION("""COMPUTED_VALUE"""),TRUE)</f>
        <v>1</v>
      </c>
      <c r="AS424" s="57"/>
      <c r="AT424" s="37"/>
      <c r="AU424" s="30"/>
      <c r="AV424" s="30"/>
      <c r="AW424" s="30"/>
      <c r="AX424" s="30"/>
      <c r="AY424" s="30"/>
      <c r="AZ424" s="30"/>
    </row>
    <row r="425">
      <c r="A425" s="30" t="str">
        <f>IFERROR(__xludf.DUMMYFUNCTION("""COMPUTED_VALUE"""),"Premier")</f>
        <v>Premier</v>
      </c>
      <c r="B425" s="30" t="str">
        <f>IFERROR(__xludf.DUMMYFUNCTION("""COMPUTED_VALUE"""),"RSC004459")</f>
        <v>RSC004459</v>
      </c>
      <c r="C425" s="30" t="str">
        <f>IFERROR(__xludf.DUMMYFUNCTION("""COMPUTED_VALUE"""),"phoenix")</f>
        <v>phoenix</v>
      </c>
      <c r="D425" s="31" t="str">
        <f>IFERROR(__xludf.DUMMYFUNCTION("""COMPUTED_VALUE"""),"Long Beards")</f>
        <v>Long Beards</v>
      </c>
      <c r="E425" s="31">
        <f>IFERROR(__xludf.DUMMYFUNCTION("""COMPUTED_VALUE"""),90.87485185806138)</f>
        <v>90.87485186</v>
      </c>
      <c r="F425" s="31">
        <f>IFERROR(__xludf.DUMMYFUNCTION("""COMPUTED_VALUE"""),19.598180496953063)</f>
        <v>19.5981805</v>
      </c>
      <c r="G425" s="31">
        <f>IFERROR(__xludf.DUMMYFUNCTION("""COMPUTED_VALUE"""),68.47694789629274)</f>
        <v>68.4769479</v>
      </c>
      <c r="H425" s="31">
        <f>IFERROR(__xludf.DUMMYFUNCTION("""COMPUTED_VALUE"""),4.349152710162478)</f>
        <v>4.34915271</v>
      </c>
      <c r="I425" s="54">
        <f>IFERROR(__xludf.DUMMYFUNCTION("""COMPUTED_VALUE"""),36.0)</f>
        <v>36</v>
      </c>
      <c r="J425" s="55">
        <f>IFERROR(__xludf.DUMMYFUNCTION("""COMPUTED_VALUE"""),24.0)</f>
        <v>24</v>
      </c>
      <c r="K425" s="54">
        <f>IFERROR(__xludf.DUMMYFUNCTION("""COMPUTED_VALUE"""),12.0)</f>
        <v>12</v>
      </c>
      <c r="L425" s="56">
        <f>IFERROR(__xludf.DUMMYFUNCTION("""COMPUTED_VALUE"""),0.6666666666666666)</f>
        <v>0.6666666667</v>
      </c>
      <c r="M425" s="56">
        <f>IFERROR(__xludf.DUMMYFUNCTION("""COMPUTED_VALUE"""),0.3053435114503817)</f>
        <v>0.3053435115</v>
      </c>
      <c r="N425" s="31">
        <f>IFERROR(__xludf.DUMMYFUNCTION("""COMPUTED_VALUE"""),434.19444444444446)</f>
        <v>434.1944444</v>
      </c>
      <c r="O425" s="57">
        <f>IFERROR(__xludf.DUMMYFUNCTION("""COMPUTED_VALUE"""),1.1111111111111112)</f>
        <v>1.111111111</v>
      </c>
      <c r="P425" s="57">
        <f>IFERROR(__xludf.DUMMYFUNCTION("""COMPUTED_VALUE"""),0.8888888888888888)</f>
        <v>0.8888888889</v>
      </c>
      <c r="Q425" s="57">
        <f>IFERROR(__xludf.DUMMYFUNCTION("""COMPUTED_VALUE"""),1.8055555555555556)</f>
        <v>1.805555556</v>
      </c>
      <c r="R425" s="57">
        <f>IFERROR(__xludf.DUMMYFUNCTION("""COMPUTED_VALUE"""),3.638888888888889)</f>
        <v>3.638888889</v>
      </c>
      <c r="S425" s="31">
        <f>IFERROR(__xludf.DUMMYFUNCTION("""COMPUTED_VALUE"""),382.2314814814814)</f>
        <v>382.2314815</v>
      </c>
      <c r="T425" s="57">
        <f>IFERROR(__xludf.DUMMYFUNCTION("""COMPUTED_VALUE"""),0.7129629629629629)</f>
        <v>0.712962963</v>
      </c>
      <c r="U425" s="57">
        <f>IFERROR(__xludf.DUMMYFUNCTION("""COMPUTED_VALUE"""),0.5277777777777776)</f>
        <v>0.5277777778</v>
      </c>
      <c r="V425" s="57">
        <f>IFERROR(__xludf.DUMMYFUNCTION("""COMPUTED_VALUE"""),1.8888888888888888)</f>
        <v>1.888888889</v>
      </c>
      <c r="W425" s="57">
        <f>IFERROR(__xludf.DUMMYFUNCTION("""COMPUTED_VALUE"""),2.407407407407407)</f>
        <v>2.407407407</v>
      </c>
      <c r="X425" s="31">
        <f>IFERROR(__xludf.DUMMYFUNCTION("""COMPUTED_VALUE"""),370.01895017664566)</f>
        <v>370.0189502</v>
      </c>
      <c r="Y425" s="57">
        <f>IFERROR(__xludf.DUMMYFUNCTION("""COMPUTED_VALUE"""),0.779393888180521)</f>
        <v>0.7793938882</v>
      </c>
      <c r="Z425" s="57">
        <f>IFERROR(__xludf.DUMMYFUNCTION("""COMPUTED_VALUE"""),0.5934895865288902)</f>
        <v>0.5934895865</v>
      </c>
      <c r="AA425" s="57">
        <f>IFERROR(__xludf.DUMMYFUNCTION("""COMPUTED_VALUE"""),1.5223464120149595)</f>
        <v>1.522346412</v>
      </c>
      <c r="AB425" s="57">
        <f>IFERROR(__xludf.DUMMYFUNCTION("""COMPUTED_VALUE"""),2.6667100263044285)</f>
        <v>2.666710026</v>
      </c>
      <c r="AC425" s="31">
        <f>IFERROR(__xludf.DUMMYFUNCTION("""COMPUTED_VALUE"""),382.53383702047114)</f>
        <v>382.533837</v>
      </c>
      <c r="AD425" s="57">
        <f>IFERROR(__xludf.DUMMYFUNCTION("""COMPUTED_VALUE"""),0.8780200513321835)</f>
        <v>0.8780200513</v>
      </c>
      <c r="AE425" s="57">
        <f>IFERROR(__xludf.DUMMYFUNCTION("""COMPUTED_VALUE"""),0.6960303120982895)</f>
        <v>0.6960303121</v>
      </c>
      <c r="AF425" s="57">
        <f>IFERROR(__xludf.DUMMYFUNCTION("""COMPUTED_VALUE"""),1.4268370701747664)</f>
        <v>1.42683707</v>
      </c>
      <c r="AG425" s="57">
        <f>IFERROR(__xludf.DUMMYFUNCTION("""COMPUTED_VALUE"""),2.8134877733118993)</f>
        <v>2.813487773</v>
      </c>
      <c r="AH425" s="57">
        <f>IFERROR(__xludf.DUMMYFUNCTION("""COMPUTED_VALUE"""),1.1350484648007981)</f>
        <v>1.135048465</v>
      </c>
      <c r="AI425" s="57">
        <f>IFERROR(__xludf.DUMMYFUNCTION("""COMPUTED_VALUE"""),1.2654735041930627)</f>
        <v>1.265473504</v>
      </c>
      <c r="AJ425" s="57">
        <f>IFERROR(__xludf.DUMMYFUNCTION("""COMPUTED_VALUE"""),1.27708358880118)</f>
        <v>1.277083589</v>
      </c>
      <c r="AK425" s="57">
        <f>IFERROR(__xludf.DUMMYFUNCTION("""COMPUTED_VALUE"""),1.265425179438604)</f>
        <v>1.265425179</v>
      </c>
      <c r="AL425" s="57">
        <f>IFERROR(__xludf.DUMMYFUNCTION("""COMPUTED_VALUE"""),1.2933729172049566)</f>
        <v>1.293372917</v>
      </c>
      <c r="AM425" s="57">
        <f>IFERROR(__xludf.DUMMYFUNCTION("""COMPUTED_VALUE"""),1.0330051509497162)</f>
        <v>1.033005151</v>
      </c>
      <c r="AN425" s="57">
        <f>IFERROR(__xludf.DUMMYFUNCTION("""COMPUTED_VALUE"""),0.9147659146100828)</f>
        <v>0.9147659146</v>
      </c>
      <c r="AO425" s="57">
        <f>IFERROR(__xludf.DUMMYFUNCTION("""COMPUTED_VALUE"""),0.88927891871627)</f>
        <v>0.8892789187</v>
      </c>
      <c r="AP425" s="35">
        <f>IFERROR(__xludf.DUMMYFUNCTION("""COMPUTED_VALUE"""),1.2407746843826288)</f>
        <v>1.240774684</v>
      </c>
      <c r="AQ425" s="57">
        <f>IFERROR(__xludf.DUMMYFUNCTION("""COMPUTED_VALUE"""),0.902763098972419)</f>
        <v>0.902763099</v>
      </c>
      <c r="AR425" s="36" t="b">
        <f>IFERROR(__xludf.DUMMYFUNCTION("""COMPUTED_VALUE"""),TRUE)</f>
        <v>1</v>
      </c>
      <c r="AS425" s="57"/>
      <c r="AT425" s="37"/>
      <c r="AU425" s="30"/>
      <c r="AV425" s="30"/>
      <c r="AW425" s="30"/>
      <c r="AX425" s="30"/>
      <c r="AY425" s="30"/>
      <c r="AZ425" s="30"/>
    </row>
    <row r="426">
      <c r="A426" s="30" t="str">
        <f>IFERROR(__xludf.DUMMYFUNCTION("""COMPUTED_VALUE"""),"Premier")</f>
        <v>Premier</v>
      </c>
      <c r="B426" s="30" t="str">
        <f>IFERROR(__xludf.DUMMYFUNCTION("""COMPUTED_VALUE"""),"RSC000672")</f>
        <v>RSC000672</v>
      </c>
      <c r="C426" s="30" t="str">
        <f>IFERROR(__xludf.DUMMYFUNCTION("""COMPUTED_VALUE"""),"Feathers McGraw")</f>
        <v>Feathers McGraw</v>
      </c>
      <c r="D426" s="31" t="str">
        <f>IFERROR(__xludf.DUMMYFUNCTION("""COMPUTED_VALUE"""),"Hurricanes")</f>
        <v>Hurricanes</v>
      </c>
      <c r="E426" s="31">
        <f>IFERROR(__xludf.DUMMYFUNCTION("""COMPUTED_VALUE"""),82.08056419609991)</f>
        <v>82.0805642</v>
      </c>
      <c r="F426" s="31">
        <f>IFERROR(__xludf.DUMMYFUNCTION("""COMPUTED_VALUE"""),10.029380488579093)</f>
        <v>10.02938049</v>
      </c>
      <c r="G426" s="31">
        <f>IFERROR(__xludf.DUMMYFUNCTION("""COMPUTED_VALUE"""),54.64413503313505)</f>
        <v>54.64413503</v>
      </c>
      <c r="H426" s="31">
        <f>IFERROR(__xludf.DUMMYFUNCTION("""COMPUTED_VALUE"""),2.3456868282283727)</f>
        <v>2.345686828</v>
      </c>
      <c r="I426" s="54">
        <f>IFERROR(__xludf.DUMMYFUNCTION("""COMPUTED_VALUE"""),12.0)</f>
        <v>12</v>
      </c>
      <c r="J426" s="55">
        <f>IFERROR(__xludf.DUMMYFUNCTION("""COMPUTED_VALUE"""),8.0)</f>
        <v>8</v>
      </c>
      <c r="K426" s="54">
        <f>IFERROR(__xludf.DUMMYFUNCTION("""COMPUTED_VALUE"""),4.0)</f>
        <v>4</v>
      </c>
      <c r="L426" s="56">
        <f>IFERROR(__xludf.DUMMYFUNCTION("""COMPUTED_VALUE"""),0.6666666666666666)</f>
        <v>0.6666666667</v>
      </c>
      <c r="M426" s="56">
        <f>IFERROR(__xludf.DUMMYFUNCTION("""COMPUTED_VALUE"""),0.19999999999999998)</f>
        <v>0.2</v>
      </c>
      <c r="N426" s="31">
        <f>IFERROR(__xludf.DUMMYFUNCTION("""COMPUTED_VALUE"""),384.8333333333333)</f>
        <v>384.8333333</v>
      </c>
      <c r="O426" s="57">
        <f>IFERROR(__xludf.DUMMYFUNCTION("""COMPUTED_VALUE"""),0.6666666666666666)</f>
        <v>0.6666666667</v>
      </c>
      <c r="P426" s="57">
        <f>IFERROR(__xludf.DUMMYFUNCTION("""COMPUTED_VALUE"""),1.0833333333333333)</f>
        <v>1.083333333</v>
      </c>
      <c r="Q426" s="57">
        <f>IFERROR(__xludf.DUMMYFUNCTION("""COMPUTED_VALUE"""),1.25)</f>
        <v>1.25</v>
      </c>
      <c r="R426" s="57">
        <f>IFERROR(__xludf.DUMMYFUNCTION("""COMPUTED_VALUE"""),3.3333333333333335)</f>
        <v>3.333333333</v>
      </c>
      <c r="S426" s="31">
        <f>IFERROR(__xludf.DUMMYFUNCTION("""COMPUTED_VALUE"""),399.8055555555555)</f>
        <v>399.8055556</v>
      </c>
      <c r="T426" s="57">
        <f>IFERROR(__xludf.DUMMYFUNCTION("""COMPUTED_VALUE"""),0.777777777777778)</f>
        <v>0.7777777778</v>
      </c>
      <c r="U426" s="57">
        <f>IFERROR(__xludf.DUMMYFUNCTION("""COMPUTED_VALUE"""),0.5833333333333333)</f>
        <v>0.5833333333</v>
      </c>
      <c r="V426" s="57">
        <f>IFERROR(__xludf.DUMMYFUNCTION("""COMPUTED_VALUE"""),1.861111111111111)</f>
        <v>1.861111111</v>
      </c>
      <c r="W426" s="57">
        <f>IFERROR(__xludf.DUMMYFUNCTION("""COMPUTED_VALUE"""),2.555555555555556)</f>
        <v>2.555555556</v>
      </c>
      <c r="X426" s="31">
        <f>IFERROR(__xludf.DUMMYFUNCTION("""COMPUTED_VALUE"""),370.8164239028945)</f>
        <v>370.8164239</v>
      </c>
      <c r="Y426" s="57">
        <f>IFERROR(__xludf.DUMMYFUNCTION("""COMPUTED_VALUE"""),0.8766865079365079)</f>
        <v>0.8766865079</v>
      </c>
      <c r="Z426" s="57">
        <f>IFERROR(__xludf.DUMMYFUNCTION("""COMPUTED_VALUE"""),0.6711356209150326)</f>
        <v>0.6711356209</v>
      </c>
      <c r="AA426" s="57">
        <f>IFERROR(__xludf.DUMMYFUNCTION("""COMPUTED_VALUE"""),1.300765639589169)</f>
        <v>1.30076564</v>
      </c>
      <c r="AB426" s="57">
        <f>IFERROR(__xludf.DUMMYFUNCTION("""COMPUTED_VALUE"""),2.7046650326797383)</f>
        <v>2.704665033</v>
      </c>
      <c r="AC426" s="31">
        <f>IFERROR(__xludf.DUMMYFUNCTION("""COMPUTED_VALUE"""),372.98463546529723)</f>
        <v>372.9846355</v>
      </c>
      <c r="AD426" s="57">
        <f>IFERROR(__xludf.DUMMYFUNCTION("""COMPUTED_VALUE"""),0.8651104886399003)</f>
        <v>0.8651104886</v>
      </c>
      <c r="AE426" s="57">
        <f>IFERROR(__xludf.DUMMYFUNCTION("""COMPUTED_VALUE"""),0.6582314036725803)</f>
        <v>0.6582314037</v>
      </c>
      <c r="AF426" s="57">
        <f>IFERROR(__xludf.DUMMYFUNCTION("""COMPUTED_VALUE"""),1.3800190631808278)</f>
        <v>1.380019063</v>
      </c>
      <c r="AG426" s="57">
        <f>IFERROR(__xludf.DUMMYFUNCTION("""COMPUTED_VALUE"""),2.643903283535636)</f>
        <v>2.643903284</v>
      </c>
      <c r="AH426" s="57">
        <f>IFERROR(__xludf.DUMMYFUNCTION("""COMPUTED_VALUE"""),1.0317672545767331)</f>
        <v>1.031767255</v>
      </c>
      <c r="AI426" s="57">
        <f>IFERROR(__xludf.DUMMYFUNCTION("""COMPUTED_VALUE"""),0.7706144769031517)</f>
        <v>0.7706144769</v>
      </c>
      <c r="AJ426" s="57">
        <f>IFERROR(__xludf.DUMMYFUNCTION("""COMPUTED_VALUE"""),1.6458244430285625)</f>
        <v>1.645824443</v>
      </c>
      <c r="AK426" s="57">
        <f>IFERROR(__xludf.DUMMYFUNCTION("""COMPUTED_VALUE"""),0.9057845890323103)</f>
        <v>0.905784589</v>
      </c>
      <c r="AL426" s="57">
        <f>IFERROR(__xludf.DUMMYFUNCTION("""COMPUTED_VALUE"""),1.2607622049153542)</f>
        <v>1.260762205</v>
      </c>
      <c r="AM426" s="57">
        <f>IFERROR(__xludf.DUMMYFUNCTION("""COMPUTED_VALUE"""),1.078176504016587)</f>
        <v>1.078176504</v>
      </c>
      <c r="AN426" s="57">
        <f>IFERROR(__xludf.DUMMYFUNCTION("""COMPUTED_VALUE"""),0.8871789068688472)</f>
        <v>0.8871789069</v>
      </c>
      <c r="AO426" s="57">
        <f>IFERROR(__xludf.DUMMYFUNCTION("""COMPUTED_VALUE"""),0.869173554725066)</f>
        <v>0.8691735547</v>
      </c>
      <c r="AP426" s="35">
        <f>IFERROR(__xludf.DUMMYFUNCTION("""COMPUTED_VALUE"""),1.4307812679453313)</f>
        <v>1.430781268</v>
      </c>
      <c r="AQ426" s="57">
        <f>IFERROR(__xludf.DUMMYFUNCTION("""COMPUTED_VALUE"""),0.9448695216144946)</f>
        <v>0.9448695216</v>
      </c>
      <c r="AR426" s="36" t="b">
        <f>IFERROR(__xludf.DUMMYFUNCTION("""COMPUTED_VALUE"""),TRUE)</f>
        <v>1</v>
      </c>
      <c r="AS426" s="57"/>
      <c r="AT426" s="37"/>
      <c r="AU426" s="30"/>
      <c r="AV426" s="30"/>
      <c r="AW426" s="30"/>
      <c r="AX426" s="30"/>
      <c r="AY426" s="30"/>
      <c r="AZ426" s="30"/>
    </row>
    <row r="427">
      <c r="A427" s="30" t="str">
        <f>IFERROR(__xludf.DUMMYFUNCTION("""COMPUTED_VALUE"""),"Premier")</f>
        <v>Premier</v>
      </c>
      <c r="B427" s="30" t="str">
        <f>IFERROR(__xludf.DUMMYFUNCTION("""COMPUTED_VALUE"""),"RSC002062")</f>
        <v>RSC002062</v>
      </c>
      <c r="C427" s="30" t="str">
        <f>IFERROR(__xludf.DUMMYFUNCTION("""COMPUTED_VALUE"""),"Gromit")</f>
        <v>Gromit</v>
      </c>
      <c r="D427" s="31" t="str">
        <f>IFERROR(__xludf.DUMMYFUNCTION("""COMPUTED_VALUE"""),"Excavators")</f>
        <v>Excavators</v>
      </c>
      <c r="E427" s="31">
        <f>IFERROR(__xludf.DUMMYFUNCTION("""COMPUTED_VALUE"""),80.11060124805805)</f>
        <v>80.11060125</v>
      </c>
      <c r="F427" s="31">
        <f>IFERROR(__xludf.DUMMYFUNCTION("""COMPUTED_VALUE"""),8.755581420409671)</f>
        <v>8.75558142</v>
      </c>
      <c r="G427" s="31">
        <f>IFERROR(__xludf.DUMMYFUNCTION("""COMPUTED_VALUE"""),65.50039516663448)</f>
        <v>65.50039517</v>
      </c>
      <c r="H427" s="31">
        <f>IFERROR(__xludf.DUMMYFUNCTION("""COMPUTED_VALUE"""),3.736589983031715)</f>
        <v>3.736589983</v>
      </c>
      <c r="I427" s="54">
        <f>IFERROR(__xludf.DUMMYFUNCTION("""COMPUTED_VALUE"""),34.0)</f>
        <v>34</v>
      </c>
      <c r="J427" s="55">
        <f>IFERROR(__xludf.DUMMYFUNCTION("""COMPUTED_VALUE"""),25.0)</f>
        <v>25</v>
      </c>
      <c r="K427" s="54">
        <f>IFERROR(__xludf.DUMMYFUNCTION("""COMPUTED_VALUE"""),9.0)</f>
        <v>9</v>
      </c>
      <c r="L427" s="56">
        <f>IFERROR(__xludf.DUMMYFUNCTION("""COMPUTED_VALUE"""),0.7352941176470589)</f>
        <v>0.7352941176</v>
      </c>
      <c r="M427" s="56">
        <f>IFERROR(__xludf.DUMMYFUNCTION("""COMPUTED_VALUE"""),0.2931034482758621)</f>
        <v>0.2931034483</v>
      </c>
      <c r="N427" s="31">
        <f>IFERROR(__xludf.DUMMYFUNCTION("""COMPUTED_VALUE"""),367.29411764705884)</f>
        <v>367.2941176</v>
      </c>
      <c r="O427" s="57">
        <f>IFERROR(__xludf.DUMMYFUNCTION("""COMPUTED_VALUE"""),1.0)</f>
        <v>1</v>
      </c>
      <c r="P427" s="57">
        <f>IFERROR(__xludf.DUMMYFUNCTION("""COMPUTED_VALUE"""),0.7941176470588235)</f>
        <v>0.7941176471</v>
      </c>
      <c r="Q427" s="57">
        <f>IFERROR(__xludf.DUMMYFUNCTION("""COMPUTED_VALUE"""),0.8529411764705882)</f>
        <v>0.8529411765</v>
      </c>
      <c r="R427" s="57">
        <f>IFERROR(__xludf.DUMMYFUNCTION("""COMPUTED_VALUE"""),3.411764705882353)</f>
        <v>3.411764706</v>
      </c>
      <c r="S427" s="31">
        <f>IFERROR(__xludf.DUMMYFUNCTION("""COMPUTED_VALUE"""),344.3529411764705)</f>
        <v>344.3529412</v>
      </c>
      <c r="T427" s="57">
        <f>IFERROR(__xludf.DUMMYFUNCTION("""COMPUTED_VALUE"""),0.6470588235294119)</f>
        <v>0.6470588235</v>
      </c>
      <c r="U427" s="57">
        <f>IFERROR(__xludf.DUMMYFUNCTION("""COMPUTED_VALUE"""),0.4411764705882353)</f>
        <v>0.4411764706</v>
      </c>
      <c r="V427" s="57">
        <f>IFERROR(__xludf.DUMMYFUNCTION("""COMPUTED_VALUE"""),1.588235294117647)</f>
        <v>1.588235294</v>
      </c>
      <c r="W427" s="57">
        <f>IFERROR(__xludf.DUMMYFUNCTION("""COMPUTED_VALUE"""),2.3235294117647065)</f>
        <v>2.323529412</v>
      </c>
      <c r="X427" s="31">
        <f>IFERROR(__xludf.DUMMYFUNCTION("""COMPUTED_VALUE"""),375.6762129019212)</f>
        <v>375.6762129</v>
      </c>
      <c r="Y427" s="57">
        <f>IFERROR(__xludf.DUMMYFUNCTION("""COMPUTED_VALUE"""),0.8074839606845319)</f>
        <v>0.8074839607</v>
      </c>
      <c r="Z427" s="57">
        <f>IFERROR(__xludf.DUMMYFUNCTION("""COMPUTED_VALUE"""),0.6175631220352301)</f>
        <v>0.617563122</v>
      </c>
      <c r="AA427" s="57">
        <f>IFERROR(__xludf.DUMMYFUNCTION("""COMPUTED_VALUE"""),1.5179917749381493)</f>
        <v>1.517991775</v>
      </c>
      <c r="AB427" s="57">
        <f>IFERROR(__xludf.DUMMYFUNCTION("""COMPUTED_VALUE"""),2.736094894621674)</f>
        <v>2.736094895</v>
      </c>
      <c r="AC427" s="31">
        <f>IFERROR(__xludf.DUMMYFUNCTION("""COMPUTED_VALUE"""),384.19002910675175)</f>
        <v>384.1900291</v>
      </c>
      <c r="AD427" s="57">
        <f>IFERROR(__xludf.DUMMYFUNCTION("""COMPUTED_VALUE"""),0.8846196911685399)</f>
        <v>0.8846196912</v>
      </c>
      <c r="AE427" s="57">
        <f>IFERROR(__xludf.DUMMYFUNCTION("""COMPUTED_VALUE"""),0.6920906060786814)</f>
        <v>0.6920906061</v>
      </c>
      <c r="AF427" s="57">
        <f>IFERROR(__xludf.DUMMYFUNCTION("""COMPUTED_VALUE"""),1.4308141689871674)</f>
        <v>1.430814169</v>
      </c>
      <c r="AG427" s="57">
        <f>IFERROR(__xludf.DUMMYFUNCTION("""COMPUTED_VALUE"""),2.8375003046407983)</f>
        <v>2.837500305</v>
      </c>
      <c r="AH427" s="57">
        <f>IFERROR(__xludf.DUMMYFUNCTION("""COMPUTED_VALUE"""),0.9560219938581536)</f>
        <v>0.9560219939</v>
      </c>
      <c r="AI427" s="57">
        <f>IFERROR(__xludf.DUMMYFUNCTION("""COMPUTED_VALUE"""),1.1304292793652924)</f>
        <v>1.130429279</v>
      </c>
      <c r="AJ427" s="57">
        <f>IFERROR(__xludf.DUMMYFUNCTION("""COMPUTED_VALUE"""),1.1474186184352615)</f>
        <v>1.147418618</v>
      </c>
      <c r="AK427" s="57">
        <f>IFERROR(__xludf.DUMMYFUNCTION("""COMPUTED_VALUE"""),0.5961229591920808)</f>
        <v>0.5961229592</v>
      </c>
      <c r="AL427" s="57">
        <f>IFERROR(__xludf.DUMMYFUNCTION("""COMPUTED_VALUE"""),1.2023839082245495)</f>
        <v>1.202383908</v>
      </c>
      <c r="AM427" s="57">
        <f>IFERROR(__xludf.DUMMYFUNCTION("""COMPUTED_VALUE"""),0.9166216261511656)</f>
        <v>0.9166216262</v>
      </c>
      <c r="AN427" s="57">
        <f>IFERROR(__xludf.DUMMYFUNCTION("""COMPUTED_VALUE"""),0.8013271532735807)</f>
        <v>0.8013271533</v>
      </c>
      <c r="AO427" s="57">
        <f>IFERROR(__xludf.DUMMYFUNCTION("""COMPUTED_VALUE"""),0.7143827972342356)</f>
        <v>0.7143827972</v>
      </c>
      <c r="AP427" s="35">
        <f>IFERROR(__xludf.DUMMYFUNCTION("""COMPUTED_VALUE"""),1.0462739787785476)</f>
        <v>1.046273979</v>
      </c>
      <c r="AQ427" s="57">
        <f>IFERROR(__xludf.DUMMYFUNCTION("""COMPUTED_VALUE"""),0.8492137521736014)</f>
        <v>0.8492137522</v>
      </c>
      <c r="AR427" s="36" t="b">
        <f>IFERROR(__xludf.DUMMYFUNCTION("""COMPUTED_VALUE"""),TRUE)</f>
        <v>1</v>
      </c>
      <c r="AS427" s="57"/>
      <c r="AT427" s="37"/>
      <c r="AU427" s="30"/>
      <c r="AV427" s="30"/>
      <c r="AW427" s="30"/>
      <c r="AX427" s="30"/>
      <c r="AY427" s="30"/>
      <c r="AZ427" s="30"/>
    </row>
    <row r="428">
      <c r="A428" s="30" t="str">
        <f>IFERROR(__xludf.DUMMYFUNCTION("""COMPUTED_VALUE"""),"Premier")</f>
        <v>Premier</v>
      </c>
      <c r="B428" s="30" t="str">
        <f>IFERROR(__xludf.DUMMYFUNCTION("""COMPUTED_VALUE"""),"RSC004923")</f>
        <v>RSC004923</v>
      </c>
      <c r="C428" s="30" t="str">
        <f>IFERROR(__xludf.DUMMYFUNCTION("""COMPUTED_VALUE"""),"Monster.")</f>
        <v>Monster.</v>
      </c>
      <c r="D428" s="31" t="str">
        <f>IFERROR(__xludf.DUMMYFUNCTION("""COMPUTED_VALUE"""),"Long Beards")</f>
        <v>Long Beards</v>
      </c>
      <c r="E428" s="31">
        <f>IFERROR(__xludf.DUMMYFUNCTION("""COMPUTED_VALUE"""),79.75657158143342)</f>
        <v>79.75657158</v>
      </c>
      <c r="F428" s="31">
        <f>IFERROR(__xludf.DUMMYFUNCTION("""COMPUTED_VALUE"""),8.54908764976691)</f>
        <v>8.54908765</v>
      </c>
      <c r="G428" s="31">
        <f>IFERROR(__xludf.DUMMYFUNCTION("""COMPUTED_VALUE"""),57.4435654048477)</f>
        <v>57.4435654</v>
      </c>
      <c r="H428" s="31">
        <f>IFERROR(__xludf.DUMMYFUNCTION("""COMPUTED_VALUE"""),2.6113082728395285)</f>
        <v>2.611308273</v>
      </c>
      <c r="I428" s="54">
        <f>IFERROR(__xludf.DUMMYFUNCTION("""COMPUTED_VALUE"""),36.0)</f>
        <v>36</v>
      </c>
      <c r="J428" s="55">
        <f>IFERROR(__xludf.DUMMYFUNCTION("""COMPUTED_VALUE"""),24.0)</f>
        <v>24</v>
      </c>
      <c r="K428" s="54">
        <f>IFERROR(__xludf.DUMMYFUNCTION("""COMPUTED_VALUE"""),12.0)</f>
        <v>12</v>
      </c>
      <c r="L428" s="56">
        <f>IFERROR(__xludf.DUMMYFUNCTION("""COMPUTED_VALUE"""),0.6666666666666666)</f>
        <v>0.6666666667</v>
      </c>
      <c r="M428" s="56">
        <f>IFERROR(__xludf.DUMMYFUNCTION("""COMPUTED_VALUE"""),0.2809917355371901)</f>
        <v>0.2809917355</v>
      </c>
      <c r="N428" s="31">
        <f>IFERROR(__xludf.DUMMYFUNCTION("""COMPUTED_VALUE"""),393.0833333333333)</f>
        <v>393.0833333</v>
      </c>
      <c r="O428" s="57">
        <f>IFERROR(__xludf.DUMMYFUNCTION("""COMPUTED_VALUE"""),0.9444444444444444)</f>
        <v>0.9444444444</v>
      </c>
      <c r="P428" s="57">
        <f>IFERROR(__xludf.DUMMYFUNCTION("""COMPUTED_VALUE"""),0.8888888888888888)</f>
        <v>0.8888888889</v>
      </c>
      <c r="Q428" s="57">
        <f>IFERROR(__xludf.DUMMYFUNCTION("""COMPUTED_VALUE"""),1.2777777777777777)</f>
        <v>1.277777778</v>
      </c>
      <c r="R428" s="57">
        <f>IFERROR(__xludf.DUMMYFUNCTION("""COMPUTED_VALUE"""),3.361111111111111)</f>
        <v>3.361111111</v>
      </c>
      <c r="S428" s="31">
        <f>IFERROR(__xludf.DUMMYFUNCTION("""COMPUTED_VALUE"""),382.2314814814814)</f>
        <v>382.2314815</v>
      </c>
      <c r="T428" s="57">
        <f>IFERROR(__xludf.DUMMYFUNCTION("""COMPUTED_VALUE"""),0.7129629629629629)</f>
        <v>0.712962963</v>
      </c>
      <c r="U428" s="57">
        <f>IFERROR(__xludf.DUMMYFUNCTION("""COMPUTED_VALUE"""),0.5277777777777776)</f>
        <v>0.5277777778</v>
      </c>
      <c r="V428" s="57">
        <f>IFERROR(__xludf.DUMMYFUNCTION("""COMPUTED_VALUE"""),1.8888888888888888)</f>
        <v>1.888888889</v>
      </c>
      <c r="W428" s="57">
        <f>IFERROR(__xludf.DUMMYFUNCTION("""COMPUTED_VALUE"""),2.407407407407407)</f>
        <v>2.407407407</v>
      </c>
      <c r="X428" s="31">
        <f>IFERROR(__xludf.DUMMYFUNCTION("""COMPUTED_VALUE"""),370.01895017664566)</f>
        <v>370.0189502</v>
      </c>
      <c r="Y428" s="57">
        <f>IFERROR(__xludf.DUMMYFUNCTION("""COMPUTED_VALUE"""),0.779393888180521)</f>
        <v>0.7793938882</v>
      </c>
      <c r="Z428" s="57">
        <f>IFERROR(__xludf.DUMMYFUNCTION("""COMPUTED_VALUE"""),0.5934895865288902)</f>
        <v>0.5934895865</v>
      </c>
      <c r="AA428" s="57">
        <f>IFERROR(__xludf.DUMMYFUNCTION("""COMPUTED_VALUE"""),1.5223464120149595)</f>
        <v>1.522346412</v>
      </c>
      <c r="AB428" s="57">
        <f>IFERROR(__xludf.DUMMYFUNCTION("""COMPUTED_VALUE"""),2.6667100263044285)</f>
        <v>2.666710026</v>
      </c>
      <c r="AC428" s="31">
        <f>IFERROR(__xludf.DUMMYFUNCTION("""COMPUTED_VALUE"""),382.53383702047114)</f>
        <v>382.533837</v>
      </c>
      <c r="AD428" s="57">
        <f>IFERROR(__xludf.DUMMYFUNCTION("""COMPUTED_VALUE"""),0.8780200513321835)</f>
        <v>0.8780200513</v>
      </c>
      <c r="AE428" s="57">
        <f>IFERROR(__xludf.DUMMYFUNCTION("""COMPUTED_VALUE"""),0.6960303120982895)</f>
        <v>0.6960303121</v>
      </c>
      <c r="AF428" s="57">
        <f>IFERROR(__xludf.DUMMYFUNCTION("""COMPUTED_VALUE"""),1.4268370701747664)</f>
        <v>1.42683707</v>
      </c>
      <c r="AG428" s="57">
        <f>IFERROR(__xludf.DUMMYFUNCTION("""COMPUTED_VALUE"""),2.8134877733118993)</f>
        <v>2.813487773</v>
      </c>
      <c r="AH428" s="57">
        <f>IFERROR(__xludf.DUMMYFUNCTION("""COMPUTED_VALUE"""),1.027577942895278)</f>
        <v>1.027577943</v>
      </c>
      <c r="AI428" s="57">
        <f>IFERROR(__xludf.DUMMYFUNCTION("""COMPUTED_VALUE"""),1.0756524785641033)</f>
        <v>1.075652479</v>
      </c>
      <c r="AJ428" s="57">
        <f>IFERROR(__xludf.DUMMYFUNCTION("""COMPUTED_VALUE"""),1.27708358880118)</f>
        <v>1.277083589</v>
      </c>
      <c r="AK428" s="57">
        <f>IFERROR(__xludf.DUMMYFUNCTION("""COMPUTED_VALUE"""),0.8955316654488581)</f>
        <v>0.8955316654</v>
      </c>
      <c r="AL428" s="57">
        <f>IFERROR(__xludf.DUMMYFUNCTION("""COMPUTED_VALUE"""),1.1946421601664103)</f>
        <v>1.19464216</v>
      </c>
      <c r="AM428" s="57">
        <f>IFERROR(__xludf.DUMMYFUNCTION("""COMPUTED_VALUE"""),1.0330051509497162)</f>
        <v>1.033005151</v>
      </c>
      <c r="AN428" s="57">
        <f>IFERROR(__xludf.DUMMYFUNCTION("""COMPUTED_VALUE"""),0.9147659146100828)</f>
        <v>0.9147659146</v>
      </c>
      <c r="AO428" s="57">
        <f>IFERROR(__xludf.DUMMYFUNCTION("""COMPUTED_VALUE"""),0.88927891871627)</f>
        <v>0.8892789187</v>
      </c>
      <c r="AP428" s="35">
        <f>IFERROR(__xludf.DUMMYFUNCTION("""COMPUTED_VALUE"""),1.2407746843826288)</f>
        <v>1.240774684</v>
      </c>
      <c r="AQ428" s="57">
        <f>IFERROR(__xludf.DUMMYFUNCTION("""COMPUTED_VALUE"""),0.902763098972419)</f>
        <v>0.902763099</v>
      </c>
      <c r="AR428" s="36" t="b">
        <f>IFERROR(__xludf.DUMMYFUNCTION("""COMPUTED_VALUE"""),TRUE)</f>
        <v>1</v>
      </c>
      <c r="AS428" s="57"/>
      <c r="AT428" s="37"/>
      <c r="AU428" s="30"/>
      <c r="AV428" s="30"/>
      <c r="AW428" s="30"/>
      <c r="AX428" s="30"/>
      <c r="AY428" s="30"/>
      <c r="AZ428" s="30"/>
    </row>
    <row r="429">
      <c r="A429" s="30" t="str">
        <f>IFERROR(__xludf.DUMMYFUNCTION("""COMPUTED_VALUE"""),"Premier")</f>
        <v>Premier</v>
      </c>
      <c r="B429" s="30" t="str">
        <f>IFERROR(__xludf.DUMMYFUNCTION("""COMPUTED_VALUE"""),"RSC007896")</f>
        <v>RSC007896</v>
      </c>
      <c r="C429" s="30" t="str">
        <f>IFERROR(__xludf.DUMMYFUNCTION("""COMPUTED_VALUE"""),"Notice")</f>
        <v>Notice</v>
      </c>
      <c r="D429" s="31" t="str">
        <f>IFERROR(__xludf.DUMMYFUNCTION("""COMPUTED_VALUE"""),"Hurricanes")</f>
        <v>Hurricanes</v>
      </c>
      <c r="E429" s="31">
        <f>IFERROR(__xludf.DUMMYFUNCTION("""COMPUTED_VALUE"""),79.14786604913877)</f>
        <v>79.14786605</v>
      </c>
      <c r="F429" s="31">
        <f>IFERROR(__xludf.DUMMYFUNCTION("""COMPUTED_VALUE"""),8.208530883152171)</f>
        <v>8.208530883</v>
      </c>
      <c r="G429" s="31">
        <f>IFERROR(__xludf.DUMMYFUNCTION("""COMPUTED_VALUE"""),58.99060978039206)</f>
        <v>58.99060978</v>
      </c>
      <c r="H429" s="31">
        <f>IFERROR(__xludf.DUMMYFUNCTION("""COMPUTED_VALUE"""),2.7811458970127467)</f>
        <v>2.781145897</v>
      </c>
      <c r="I429" s="54">
        <f>IFERROR(__xludf.DUMMYFUNCTION("""COMPUTED_VALUE"""),31.0)</f>
        <v>31</v>
      </c>
      <c r="J429" s="55">
        <f>IFERROR(__xludf.DUMMYFUNCTION("""COMPUTED_VALUE"""),20.0)</f>
        <v>20</v>
      </c>
      <c r="K429" s="54">
        <f>IFERROR(__xludf.DUMMYFUNCTION("""COMPUTED_VALUE"""),11.0)</f>
        <v>11</v>
      </c>
      <c r="L429" s="56">
        <f>IFERROR(__xludf.DUMMYFUNCTION("""COMPUTED_VALUE"""),0.6451612903225806)</f>
        <v>0.6451612903</v>
      </c>
      <c r="M429" s="56">
        <f>IFERROR(__xludf.DUMMYFUNCTION("""COMPUTED_VALUE"""),0.3018867924528302)</f>
        <v>0.3018867925</v>
      </c>
      <c r="N429" s="31">
        <f>IFERROR(__xludf.DUMMYFUNCTION("""COMPUTED_VALUE"""),418.9032258064516)</f>
        <v>418.9032258</v>
      </c>
      <c r="O429" s="57">
        <f>IFERROR(__xludf.DUMMYFUNCTION("""COMPUTED_VALUE"""),1.032258064516129)</f>
        <v>1.032258065</v>
      </c>
      <c r="P429" s="57">
        <f>IFERROR(__xludf.DUMMYFUNCTION("""COMPUTED_VALUE"""),0.7096774193548387)</f>
        <v>0.7096774194</v>
      </c>
      <c r="Q429" s="57">
        <f>IFERROR(__xludf.DUMMYFUNCTION("""COMPUTED_VALUE"""),1.5483870967741935)</f>
        <v>1.548387097</v>
      </c>
      <c r="R429" s="57">
        <f>IFERROR(__xludf.DUMMYFUNCTION("""COMPUTED_VALUE"""),3.4193548387096775)</f>
        <v>3.419354839</v>
      </c>
      <c r="S429" s="31">
        <f>IFERROR(__xludf.DUMMYFUNCTION("""COMPUTED_VALUE"""),376.2580645161291)</f>
        <v>376.2580645</v>
      </c>
      <c r="T429" s="57">
        <f>IFERROR(__xludf.DUMMYFUNCTION("""COMPUTED_VALUE"""),0.6666666666666664)</f>
        <v>0.6666666667</v>
      </c>
      <c r="U429" s="57">
        <f>IFERROR(__xludf.DUMMYFUNCTION("""COMPUTED_VALUE"""),0.5268817204301075)</f>
        <v>0.5268817204</v>
      </c>
      <c r="V429" s="57">
        <f>IFERROR(__xludf.DUMMYFUNCTION("""COMPUTED_VALUE"""),1.7096774193548387)</f>
        <v>1.709677419</v>
      </c>
      <c r="W429" s="57">
        <f>IFERROR(__xludf.DUMMYFUNCTION("""COMPUTED_VALUE"""),2.7419354838709684)</f>
        <v>2.741935484</v>
      </c>
      <c r="X429" s="31">
        <f>IFERROR(__xludf.DUMMYFUNCTION("""COMPUTED_VALUE"""),377.86159512050455)</f>
        <v>377.8615951</v>
      </c>
      <c r="Y429" s="57">
        <f>IFERROR(__xludf.DUMMYFUNCTION("""COMPUTED_VALUE"""),0.866193822815054)</f>
        <v>0.8661938228</v>
      </c>
      <c r="Z429" s="57">
        <f>IFERROR(__xludf.DUMMYFUNCTION("""COMPUTED_VALUE"""),0.6453833876997314)</f>
        <v>0.6453833877</v>
      </c>
      <c r="AA429" s="57">
        <f>IFERROR(__xludf.DUMMYFUNCTION("""COMPUTED_VALUE"""),1.4638003562211128)</f>
        <v>1.463800356</v>
      </c>
      <c r="AB429" s="57">
        <f>IFERROR(__xludf.DUMMYFUNCTION("""COMPUTED_VALUE"""),2.665344659322357)</f>
        <v>2.665344659</v>
      </c>
      <c r="AC429" s="31">
        <f>IFERROR(__xludf.DUMMYFUNCTION("""COMPUTED_VALUE"""),374.86885287014445)</f>
        <v>374.8688529</v>
      </c>
      <c r="AD429" s="57">
        <f>IFERROR(__xludf.DUMMYFUNCTION("""COMPUTED_VALUE"""),0.8544685672557877)</f>
        <v>0.8544685673</v>
      </c>
      <c r="AE429" s="57">
        <f>IFERROR(__xludf.DUMMYFUNCTION("""COMPUTED_VALUE"""),0.6625139569383452)</f>
        <v>0.6625139569</v>
      </c>
      <c r="AF429" s="57">
        <f>IFERROR(__xludf.DUMMYFUNCTION("""COMPUTED_VALUE"""),1.405815716322492)</f>
        <v>1.405815716</v>
      </c>
      <c r="AG429" s="57">
        <f>IFERROR(__xludf.DUMMYFUNCTION("""COMPUTED_VALUE"""),2.7687975195879657)</f>
        <v>2.76879752</v>
      </c>
      <c r="AH429" s="57">
        <f>IFERROR(__xludf.DUMMYFUNCTION("""COMPUTED_VALUE"""),1.11746607539987)</f>
        <v>1.117466075</v>
      </c>
      <c r="AI429" s="57">
        <f>IFERROR(__xludf.DUMMYFUNCTION("""COMPUTED_VALUE"""),1.208070260362333)</f>
        <v>1.20807026</v>
      </c>
      <c r="AJ429" s="57">
        <f>IFERROR(__xludf.DUMMYFUNCTION("""COMPUTED_VALUE"""),1.0711886322130457)</f>
        <v>1.071188632</v>
      </c>
      <c r="AK429" s="57">
        <f>IFERROR(__xludf.DUMMYFUNCTION("""COMPUTED_VALUE"""),1.1014154122737065)</f>
        <v>1.101415412</v>
      </c>
      <c r="AL429" s="57">
        <f>IFERROR(__xludf.DUMMYFUNCTION("""COMPUTED_VALUE"""),1.2349602361744831)</f>
        <v>1.234960236</v>
      </c>
      <c r="AM429" s="57">
        <f>IFERROR(__xludf.DUMMYFUNCTION("""COMPUTED_VALUE"""),0.9957563017118369)</f>
        <v>0.9957563017</v>
      </c>
      <c r="AN429" s="57">
        <f>IFERROR(__xludf.DUMMYFUNCTION("""COMPUTED_VALUE"""),0.7696506822226672)</f>
        <v>0.7696506822</v>
      </c>
      <c r="AO429" s="57">
        <f>IFERROR(__xludf.DUMMYFUNCTION("""COMPUTED_VALUE"""),0.8163856251522273)</f>
        <v>0.8163856252</v>
      </c>
      <c r="AP429" s="35">
        <f>IFERROR(__xludf.DUMMYFUNCTION("""COMPUTED_VALUE"""),1.167971719701225)</f>
        <v>1.16797172</v>
      </c>
      <c r="AQ429" s="57">
        <f>IFERROR(__xludf.DUMMYFUNCTION("""COMPUTED_VALUE"""),1.0287358050602298)</f>
        <v>1.028735805</v>
      </c>
      <c r="AR429" s="36" t="b">
        <f>IFERROR(__xludf.DUMMYFUNCTION("""COMPUTED_VALUE"""),TRUE)</f>
        <v>1</v>
      </c>
      <c r="AS429" s="57"/>
      <c r="AT429" s="37"/>
      <c r="AU429" s="30"/>
      <c r="AV429" s="30"/>
      <c r="AW429" s="30"/>
      <c r="AX429" s="30"/>
      <c r="AY429" s="30"/>
      <c r="AZ429" s="30"/>
    </row>
    <row r="430">
      <c r="A430" s="30" t="str">
        <f>IFERROR(__xludf.DUMMYFUNCTION("""COMPUTED_VALUE"""),"Premier")</f>
        <v>Premier</v>
      </c>
      <c r="B430" s="30" t="str">
        <f>IFERROR(__xludf.DUMMYFUNCTION("""COMPUTED_VALUE"""),"RSC007460")</f>
        <v>RSC007460</v>
      </c>
      <c r="C430" s="30" t="str">
        <f>IFERROR(__xludf.DUMMYFUNCTION("""COMPUTED_VALUE"""),"mogii")</f>
        <v>mogii</v>
      </c>
      <c r="D430" s="31" t="str">
        <f>IFERROR(__xludf.DUMMYFUNCTION("""COMPUTED_VALUE"""),"Gummy Bears")</f>
        <v>Gummy Bears</v>
      </c>
      <c r="E430" s="31">
        <f>IFERROR(__xludf.DUMMYFUNCTION("""COMPUTED_VALUE"""),77.75053102890267)</f>
        <v>77.75053103</v>
      </c>
      <c r="F430" s="31">
        <f>IFERROR(__xludf.DUMMYFUNCTION("""COMPUTED_VALUE"""),7.490920813914775)</f>
        <v>7.490920814</v>
      </c>
      <c r="G430" s="31">
        <f>IFERROR(__xludf.DUMMYFUNCTION("""COMPUTED_VALUE"""),75.61339930523934)</f>
        <v>75.61339931</v>
      </c>
      <c r="H430" s="31">
        <f>IFERROR(__xludf.DUMMYFUNCTION("""COMPUTED_VALUE"""),6.544884064559536)</f>
        <v>6.544884065</v>
      </c>
      <c r="I430" s="54">
        <f>IFERROR(__xludf.DUMMYFUNCTION("""COMPUTED_VALUE"""),28.0)</f>
        <v>28</v>
      </c>
      <c r="J430" s="55">
        <f>IFERROR(__xludf.DUMMYFUNCTION("""COMPUTED_VALUE"""),15.0)</f>
        <v>15</v>
      </c>
      <c r="K430" s="54">
        <f>IFERROR(__xludf.DUMMYFUNCTION("""COMPUTED_VALUE"""),13.0)</f>
        <v>13</v>
      </c>
      <c r="L430" s="56">
        <f>IFERROR(__xludf.DUMMYFUNCTION("""COMPUTED_VALUE"""),0.5357142857142857)</f>
        <v>0.5357142857</v>
      </c>
      <c r="M430" s="56">
        <f>IFERROR(__xludf.DUMMYFUNCTION("""COMPUTED_VALUE"""),0.3368421052631579)</f>
        <v>0.3368421053</v>
      </c>
      <c r="N430" s="31">
        <f>IFERROR(__xludf.DUMMYFUNCTION("""COMPUTED_VALUE"""),435.5)</f>
        <v>435.5</v>
      </c>
      <c r="O430" s="57">
        <f>IFERROR(__xludf.DUMMYFUNCTION("""COMPUTED_VALUE"""),1.1428571428571428)</f>
        <v>1.142857143</v>
      </c>
      <c r="P430" s="57">
        <f>IFERROR(__xludf.DUMMYFUNCTION("""COMPUTED_VALUE"""),0.6428571428571429)</f>
        <v>0.6428571429</v>
      </c>
      <c r="Q430" s="57">
        <f>IFERROR(__xludf.DUMMYFUNCTION("""COMPUTED_VALUE"""),1.7142857142857142)</f>
        <v>1.714285714</v>
      </c>
      <c r="R430" s="57">
        <f>IFERROR(__xludf.DUMMYFUNCTION("""COMPUTED_VALUE"""),3.392857142857143)</f>
        <v>3.392857143</v>
      </c>
      <c r="S430" s="31">
        <f>IFERROR(__xludf.DUMMYFUNCTION("""COMPUTED_VALUE"""),354.0952380952381)</f>
        <v>354.0952381</v>
      </c>
      <c r="T430" s="57">
        <f>IFERROR(__xludf.DUMMYFUNCTION("""COMPUTED_VALUE"""),0.8452380952380952)</f>
        <v>0.8452380952</v>
      </c>
      <c r="U430" s="57">
        <f>IFERROR(__xludf.DUMMYFUNCTION("""COMPUTED_VALUE"""),0.6190476190476192)</f>
        <v>0.619047619</v>
      </c>
      <c r="V430" s="57">
        <f>IFERROR(__xludf.DUMMYFUNCTION("""COMPUTED_VALUE"""),1.3095238095238095)</f>
        <v>1.30952381</v>
      </c>
      <c r="W430" s="57">
        <f>IFERROR(__xludf.DUMMYFUNCTION("""COMPUTED_VALUE"""),2.7142857142857144)</f>
        <v>2.714285714</v>
      </c>
      <c r="X430" s="31">
        <f>IFERROR(__xludf.DUMMYFUNCTION("""COMPUTED_VALUE"""),370.8313078624891)</f>
        <v>370.8313079</v>
      </c>
      <c r="Y430" s="57">
        <f>IFERROR(__xludf.DUMMYFUNCTION("""COMPUTED_VALUE"""),0.8080828649049784)</f>
        <v>0.8080828649</v>
      </c>
      <c r="Z430" s="57">
        <f>IFERROR(__xludf.DUMMYFUNCTION("""COMPUTED_VALUE"""),0.6958440483771843)</f>
        <v>0.6958440484</v>
      </c>
      <c r="AA430" s="57">
        <f>IFERROR(__xludf.DUMMYFUNCTION("""COMPUTED_VALUE"""),1.405633031667847)</f>
        <v>1.405633032</v>
      </c>
      <c r="AB430" s="57">
        <f>IFERROR(__xludf.DUMMYFUNCTION("""COMPUTED_VALUE"""),2.692327725194106)</f>
        <v>2.692327725</v>
      </c>
      <c r="AC430" s="31">
        <f>IFERROR(__xludf.DUMMYFUNCTION("""COMPUTED_VALUE"""),376.4962374793028)</f>
        <v>376.4962375</v>
      </c>
      <c r="AD430" s="57">
        <f>IFERROR(__xludf.DUMMYFUNCTION("""COMPUTED_VALUE"""),0.8342114328253183)</f>
        <v>0.8342114328</v>
      </c>
      <c r="AE430" s="57">
        <f>IFERROR(__xludf.DUMMYFUNCTION("""COMPUTED_VALUE"""),0.6480015332921141)</f>
        <v>0.6480015333</v>
      </c>
      <c r="AF430" s="57">
        <f>IFERROR(__xludf.DUMMYFUNCTION("""COMPUTED_VALUE"""),1.4791966255155775)</f>
        <v>1.479196626</v>
      </c>
      <c r="AG430" s="57">
        <f>IFERROR(__xludf.DUMMYFUNCTION("""COMPUTED_VALUE"""),2.7647110071784495)</f>
        <v>2.764711007</v>
      </c>
      <c r="AH430" s="57">
        <f>IFERROR(__xludf.DUMMYFUNCTION("""COMPUTED_VALUE"""),1.1567180668676424)</f>
        <v>1.156718067</v>
      </c>
      <c r="AI430" s="57">
        <f>IFERROR(__xludf.DUMMYFUNCTION("""COMPUTED_VALUE"""),1.3699849916783076)</f>
        <v>1.369984992</v>
      </c>
      <c r="AJ430" s="57">
        <f>IFERROR(__xludf.DUMMYFUNCTION("""COMPUTED_VALUE"""),0.9920611446568104)</f>
        <v>0.9920611447</v>
      </c>
      <c r="AK430" s="57">
        <f>IFERROR(__xludf.DUMMYFUNCTION("""COMPUTED_VALUE"""),1.158930249511755)</f>
        <v>1.15893025</v>
      </c>
      <c r="AL430" s="57">
        <f>IFERROR(__xludf.DUMMYFUNCTION("""COMPUTED_VALUE"""),1.2272013726019608)</f>
        <v>1.227201373</v>
      </c>
      <c r="AM430" s="57">
        <f>IFERROR(__xludf.DUMMYFUNCTION("""COMPUTED_VALUE"""),0.954868778842543)</f>
        <v>0.9548687788</v>
      </c>
      <c r="AN430" s="57">
        <f>IFERROR(__xludf.DUMMYFUNCTION("""COMPUTED_VALUE"""),1.0459794805047449)</f>
        <v>1.045979481</v>
      </c>
      <c r="AO430" s="57">
        <f>IFERROR(__xludf.DUMMYFUNCTION("""COMPUTED_VALUE"""),0.8896355735043416)</f>
        <v>0.8896355735</v>
      </c>
      <c r="AP430" s="35">
        <f>IFERROR(__xludf.DUMMYFUNCTION("""COMPUTED_VALUE"""),0.9316256661740515)</f>
        <v>0.9316256662</v>
      </c>
      <c r="AQ430" s="57">
        <f>IFERROR(__xludf.DUMMYFUNCTION("""COMPUTED_VALUE"""),1.0081557638344438)</f>
        <v>1.008155764</v>
      </c>
      <c r="AR430" s="36" t="b">
        <f>IFERROR(__xludf.DUMMYFUNCTION("""COMPUTED_VALUE"""),TRUE)</f>
        <v>1</v>
      </c>
      <c r="AS430" s="57"/>
      <c r="AT430" s="37"/>
      <c r="AU430" s="30"/>
      <c r="AV430" s="30"/>
      <c r="AW430" s="30"/>
      <c r="AX430" s="30"/>
      <c r="AY430" s="30"/>
      <c r="AZ430" s="30"/>
    </row>
    <row r="431">
      <c r="A431" s="30" t="str">
        <f>IFERROR(__xludf.DUMMYFUNCTION("""COMPUTED_VALUE"""),"Premier")</f>
        <v>Premier</v>
      </c>
      <c r="B431" s="30" t="str">
        <f>IFERROR(__xludf.DUMMYFUNCTION("""COMPUTED_VALUE"""),"RSC006677")</f>
        <v>RSC006677</v>
      </c>
      <c r="C431" s="30" t="str">
        <f>IFERROR(__xludf.DUMMYFUNCTION("""COMPUTED_VALUE"""),"luigi")</f>
        <v>luigi</v>
      </c>
      <c r="D431" s="31" t="str">
        <f>IFERROR(__xludf.DUMMYFUNCTION("""COMPUTED_VALUE"""),"Punks")</f>
        <v>Punks</v>
      </c>
      <c r="E431" s="31">
        <f>IFERROR(__xludf.DUMMYFUNCTION("""COMPUTED_VALUE"""),74.16186049587311)</f>
        <v>74.1618605</v>
      </c>
      <c r="F431" s="31">
        <f>IFERROR(__xludf.DUMMYFUNCTION("""COMPUTED_VALUE"""),5.991488953291458)</f>
        <v>5.991488953</v>
      </c>
      <c r="G431" s="31">
        <f>IFERROR(__xludf.DUMMYFUNCTION("""COMPUTED_VALUE"""),70.20757247365404)</f>
        <v>70.20757247</v>
      </c>
      <c r="H431" s="31">
        <f>IFERROR(__xludf.DUMMYFUNCTION("""COMPUTED_VALUE"""),4.774224145937896)</f>
        <v>4.774224146</v>
      </c>
      <c r="I431" s="54">
        <f>IFERROR(__xludf.DUMMYFUNCTION("""COMPUTED_VALUE"""),36.0)</f>
        <v>36</v>
      </c>
      <c r="J431" s="55">
        <f>IFERROR(__xludf.DUMMYFUNCTION("""COMPUTED_VALUE"""),17.0)</f>
        <v>17</v>
      </c>
      <c r="K431" s="54">
        <f>IFERROR(__xludf.DUMMYFUNCTION("""COMPUTED_VALUE"""),19.0)</f>
        <v>19</v>
      </c>
      <c r="L431" s="56">
        <f>IFERROR(__xludf.DUMMYFUNCTION("""COMPUTED_VALUE"""),0.4722222222222222)</f>
        <v>0.4722222222</v>
      </c>
      <c r="M431" s="56">
        <f>IFERROR(__xludf.DUMMYFUNCTION("""COMPUTED_VALUE"""),0.3225806451612903)</f>
        <v>0.3225806452</v>
      </c>
      <c r="N431" s="31">
        <f>IFERROR(__xludf.DUMMYFUNCTION("""COMPUTED_VALUE"""),388.9166666666667)</f>
        <v>388.9166667</v>
      </c>
      <c r="O431" s="57">
        <f>IFERROR(__xludf.DUMMYFUNCTION("""COMPUTED_VALUE"""),1.1111111111111112)</f>
        <v>1.111111111</v>
      </c>
      <c r="P431" s="57">
        <f>IFERROR(__xludf.DUMMYFUNCTION("""COMPUTED_VALUE"""),0.6666666666666666)</f>
        <v>0.6666666667</v>
      </c>
      <c r="Q431" s="57">
        <f>IFERROR(__xludf.DUMMYFUNCTION("""COMPUTED_VALUE"""),1.25)</f>
        <v>1.25</v>
      </c>
      <c r="R431" s="57">
        <f>IFERROR(__xludf.DUMMYFUNCTION("""COMPUTED_VALUE"""),3.4444444444444446)</f>
        <v>3.444444444</v>
      </c>
      <c r="S431" s="31">
        <f>IFERROR(__xludf.DUMMYFUNCTION("""COMPUTED_VALUE"""),368.5462962962963)</f>
        <v>368.5462963</v>
      </c>
      <c r="T431" s="57">
        <f>IFERROR(__xludf.DUMMYFUNCTION("""COMPUTED_VALUE"""),0.8148148148148147)</f>
        <v>0.8148148148</v>
      </c>
      <c r="U431" s="57">
        <f>IFERROR(__xludf.DUMMYFUNCTION("""COMPUTED_VALUE"""),0.6666666666666665)</f>
        <v>0.6666666667</v>
      </c>
      <c r="V431" s="57">
        <f>IFERROR(__xludf.DUMMYFUNCTION("""COMPUTED_VALUE"""),1.37037037037037)</f>
        <v>1.37037037</v>
      </c>
      <c r="W431" s="57">
        <f>IFERROR(__xludf.DUMMYFUNCTION("""COMPUTED_VALUE"""),2.583333333333334)</f>
        <v>2.583333333</v>
      </c>
      <c r="X431" s="31">
        <f>IFERROR(__xludf.DUMMYFUNCTION("""COMPUTED_VALUE"""),378.4003589201298)</f>
        <v>378.4003589</v>
      </c>
      <c r="Y431" s="57">
        <f>IFERROR(__xludf.DUMMYFUNCTION("""COMPUTED_VALUE"""),0.8235086535983653)</f>
        <v>0.8235086536</v>
      </c>
      <c r="Z431" s="57">
        <f>IFERROR(__xludf.DUMMYFUNCTION("""COMPUTED_VALUE"""),0.6715462862562256)</f>
        <v>0.6715462863</v>
      </c>
      <c r="AA431" s="57">
        <f>IFERROR(__xludf.DUMMYFUNCTION("""COMPUTED_VALUE"""),1.4814346936595006)</f>
        <v>1.481434694</v>
      </c>
      <c r="AB431" s="57">
        <f>IFERROR(__xludf.DUMMYFUNCTION("""COMPUTED_VALUE"""),2.684275822504537)</f>
        <v>2.684275823</v>
      </c>
      <c r="AC431" s="31">
        <f>IFERROR(__xludf.DUMMYFUNCTION("""COMPUTED_VALUE"""),374.9531450243783)</f>
        <v>374.953145</v>
      </c>
      <c r="AD431" s="57">
        <f>IFERROR(__xludf.DUMMYFUNCTION("""COMPUTED_VALUE"""),0.8585351157763442)</f>
        <v>0.8585351158</v>
      </c>
      <c r="AE431" s="57">
        <f>IFERROR(__xludf.DUMMYFUNCTION("""COMPUTED_VALUE"""),0.6609887361499618)</f>
        <v>0.6609887361</v>
      </c>
      <c r="AF431" s="57">
        <f>IFERROR(__xludf.DUMMYFUNCTION("""COMPUTED_VALUE"""),1.4095618808526647)</f>
        <v>1.409561881</v>
      </c>
      <c r="AG431" s="57">
        <f>IFERROR(__xludf.DUMMYFUNCTION("""COMPUTED_VALUE"""),2.798498352298782)</f>
        <v>2.798498352</v>
      </c>
      <c r="AH431" s="57">
        <f>IFERROR(__xludf.DUMMYFUNCTION("""COMPUTED_VALUE"""),1.0372407108130286)</f>
        <v>1.037240711</v>
      </c>
      <c r="AI431" s="57">
        <f>IFERROR(__xludf.DUMMYFUNCTION("""COMPUTED_VALUE"""),1.294194134512915)</f>
        <v>1.294194135</v>
      </c>
      <c r="AJ431" s="57">
        <f>IFERROR(__xludf.DUMMYFUNCTION("""COMPUTED_VALUE"""),1.008590056390033)</f>
        <v>1.008590056</v>
      </c>
      <c r="AK431" s="57">
        <f>IFERROR(__xludf.DUMMYFUNCTION("""COMPUTED_VALUE"""),0.8868003717891808)</f>
        <v>0.8868003718</v>
      </c>
      <c r="AL431" s="57">
        <f>IFERROR(__xludf.DUMMYFUNCTION("""COMPUTED_VALUE"""),1.2308188216780833)</f>
        <v>1.230818822</v>
      </c>
      <c r="AM431" s="57">
        <f>IFERROR(__xludf.DUMMYFUNCTION("""COMPUTED_VALUE"""),0.973958632988735)</f>
        <v>0.973958633</v>
      </c>
      <c r="AN431" s="57">
        <f>IFERROR(__xludf.DUMMYFUNCTION("""COMPUTED_VALUE"""),0.9894429296576758)</f>
        <v>0.9894429297</v>
      </c>
      <c r="AO431" s="57">
        <f>IFERROR(__xludf.DUMMYFUNCTION("""COMPUTED_VALUE"""),0.9927337553800465)</f>
        <v>0.9927337554</v>
      </c>
      <c r="AP431" s="35">
        <f>IFERROR(__xludf.DUMMYFUNCTION("""COMPUTED_VALUE"""),0.9250292140689813)</f>
        <v>0.9250292141</v>
      </c>
      <c r="AQ431" s="57">
        <f>IFERROR(__xludf.DUMMYFUNCTION("""COMPUTED_VALUE"""),0.9623948894055829)</f>
        <v>0.9623948894</v>
      </c>
      <c r="AR431" s="36" t="b">
        <f>IFERROR(__xludf.DUMMYFUNCTION("""COMPUTED_VALUE"""),TRUE)</f>
        <v>1</v>
      </c>
      <c r="AS431" s="57"/>
      <c r="AT431" s="37"/>
      <c r="AU431" s="30"/>
      <c r="AV431" s="30"/>
      <c r="AW431" s="30"/>
      <c r="AX431" s="30"/>
      <c r="AY431" s="30"/>
      <c r="AZ431" s="30"/>
    </row>
    <row r="432">
      <c r="A432" s="30" t="str">
        <f>IFERROR(__xludf.DUMMYFUNCTION("""COMPUTED_VALUE"""),"Premier")</f>
        <v>Premier</v>
      </c>
      <c r="B432" s="30" t="str">
        <f>IFERROR(__xludf.DUMMYFUNCTION("""COMPUTED_VALUE"""),"RSC001605")</f>
        <v>RSC001605</v>
      </c>
      <c r="C432" s="30" t="str">
        <f>IFERROR(__xludf.DUMMYFUNCTION("""COMPUTED_VALUE"""),"Reeves")</f>
        <v>Reeves</v>
      </c>
      <c r="D432" s="31" t="str">
        <f>IFERROR(__xludf.DUMMYFUNCTION("""COMPUTED_VALUE"""),"Crooked Capos")</f>
        <v>Crooked Capos</v>
      </c>
      <c r="E432" s="31">
        <f>IFERROR(__xludf.DUMMYFUNCTION("""COMPUTED_VALUE"""),73.24019701672407)</f>
        <v>73.24019702</v>
      </c>
      <c r="F432" s="31">
        <f>IFERROR(__xludf.DUMMYFUNCTION("""COMPUTED_VALUE"""),5.67256568503812)</f>
        <v>5.672565685</v>
      </c>
      <c r="G432" s="31">
        <f>IFERROR(__xludf.DUMMYFUNCTION("""COMPUTED_VALUE"""),61.971213924115375)</f>
        <v>61.97121392</v>
      </c>
      <c r="H432" s="31">
        <f>IFERROR(__xludf.DUMMYFUNCTION("""COMPUTED_VALUE"""),3.1643247944159)</f>
        <v>3.164324794</v>
      </c>
      <c r="I432" s="54">
        <f>IFERROR(__xludf.DUMMYFUNCTION("""COMPUTED_VALUE"""),20.0)</f>
        <v>20</v>
      </c>
      <c r="J432" s="55">
        <f>IFERROR(__xludf.DUMMYFUNCTION("""COMPUTED_VALUE"""),11.0)</f>
        <v>11</v>
      </c>
      <c r="K432" s="54">
        <f>IFERROR(__xludf.DUMMYFUNCTION("""COMPUTED_VALUE"""),9.0)</f>
        <v>9</v>
      </c>
      <c r="L432" s="56">
        <f>IFERROR(__xludf.DUMMYFUNCTION("""COMPUTED_VALUE"""),0.55)</f>
        <v>0.55</v>
      </c>
      <c r="M432" s="56">
        <f>IFERROR(__xludf.DUMMYFUNCTION("""COMPUTED_VALUE"""),0.2027027027027027)</f>
        <v>0.2027027027</v>
      </c>
      <c r="N432" s="31">
        <f>IFERROR(__xludf.DUMMYFUNCTION("""COMPUTED_VALUE"""),390.8)</f>
        <v>390.8</v>
      </c>
      <c r="O432" s="57">
        <f>IFERROR(__xludf.DUMMYFUNCTION("""COMPUTED_VALUE"""),0.75)</f>
        <v>0.75</v>
      </c>
      <c r="P432" s="57">
        <f>IFERROR(__xludf.DUMMYFUNCTION("""COMPUTED_VALUE"""),0.7)</f>
        <v>0.7</v>
      </c>
      <c r="Q432" s="57">
        <f>IFERROR(__xludf.DUMMYFUNCTION("""COMPUTED_VALUE"""),1.6)</f>
        <v>1.6</v>
      </c>
      <c r="R432" s="57">
        <f>IFERROR(__xludf.DUMMYFUNCTION("""COMPUTED_VALUE"""),3.7)</f>
        <v>3.7</v>
      </c>
      <c r="S432" s="31">
        <f>IFERROR(__xludf.DUMMYFUNCTION("""COMPUTED_VALUE"""),375.28333333333336)</f>
        <v>375.2833333</v>
      </c>
      <c r="T432" s="57">
        <f>IFERROR(__xludf.DUMMYFUNCTION("""COMPUTED_VALUE"""),0.75)</f>
        <v>0.75</v>
      </c>
      <c r="U432" s="57">
        <f>IFERROR(__xludf.DUMMYFUNCTION("""COMPUTED_VALUE"""),0.5833333333333334)</f>
        <v>0.5833333333</v>
      </c>
      <c r="V432" s="57">
        <f>IFERROR(__xludf.DUMMYFUNCTION("""COMPUTED_VALUE"""),1.5666666666666662)</f>
        <v>1.566666667</v>
      </c>
      <c r="W432" s="57">
        <f>IFERROR(__xludf.DUMMYFUNCTION("""COMPUTED_VALUE"""),2.6999999999999997)</f>
        <v>2.7</v>
      </c>
      <c r="X432" s="31">
        <f>IFERROR(__xludf.DUMMYFUNCTION("""COMPUTED_VALUE"""),384.0764112910865)</f>
        <v>384.0764113</v>
      </c>
      <c r="Y432" s="57">
        <f>IFERROR(__xludf.DUMMYFUNCTION("""COMPUTED_VALUE"""),0.895444999255741)</f>
        <v>0.8954449993</v>
      </c>
      <c r="Z432" s="57">
        <f>IFERROR(__xludf.DUMMYFUNCTION("""COMPUTED_VALUE"""),0.7022810322196512)</f>
        <v>0.7022810322</v>
      </c>
      <c r="AA432" s="57">
        <f>IFERROR(__xludf.DUMMYFUNCTION("""COMPUTED_VALUE"""),1.4239425296688724)</f>
        <v>1.42394253</v>
      </c>
      <c r="AB432" s="57">
        <f>IFERROR(__xludf.DUMMYFUNCTION("""COMPUTED_VALUE"""),2.862314280301492)</f>
        <v>2.86231428</v>
      </c>
      <c r="AC432" s="31">
        <f>IFERROR(__xludf.DUMMYFUNCTION("""COMPUTED_VALUE"""),370.7062353482455)</f>
        <v>370.7062353</v>
      </c>
      <c r="AD432" s="57">
        <f>IFERROR(__xludf.DUMMYFUNCTION("""COMPUTED_VALUE"""),0.8149283481508546)</f>
        <v>0.8149283482</v>
      </c>
      <c r="AE432" s="57">
        <f>IFERROR(__xludf.DUMMYFUNCTION("""COMPUTED_VALUE"""),0.6213439153439152)</f>
        <v>0.6213439153</v>
      </c>
      <c r="AF432" s="57">
        <f>IFERROR(__xludf.DUMMYFUNCTION("""COMPUTED_VALUE"""),1.4606073559858728)</f>
        <v>1.460607356</v>
      </c>
      <c r="AG432" s="57">
        <f>IFERROR(__xludf.DUMMYFUNCTION("""COMPUTED_VALUE"""),2.6796495487083734)</f>
        <v>2.679649549</v>
      </c>
      <c r="AH432" s="57">
        <f>IFERROR(__xludf.DUMMYFUNCTION("""COMPUTED_VALUE"""),1.0542040104420638)</f>
        <v>1.05420401</v>
      </c>
      <c r="AI432" s="57">
        <f>IFERROR(__xludf.DUMMYFUNCTION("""COMPUTED_VALUE"""),0.9203263105300205)</f>
        <v>0.9203263105</v>
      </c>
      <c r="AJ432" s="57">
        <f>IFERROR(__xludf.DUMMYFUNCTION("""COMPUTED_VALUE"""),1.1265902549517177)</f>
        <v>1.126590255</v>
      </c>
      <c r="AK432" s="57">
        <f>IFERROR(__xludf.DUMMYFUNCTION("""COMPUTED_VALUE"""),1.0954347131300326)</f>
        <v>1.095434713</v>
      </c>
      <c r="AL432" s="57">
        <f>IFERROR(__xludf.DUMMYFUNCTION("""COMPUTED_VALUE"""),1.3807775728671121)</f>
        <v>1.380777573</v>
      </c>
      <c r="AM432" s="57">
        <f>IFERROR(__xludf.DUMMYFUNCTION("""COMPUTED_VALUE"""),0.977105915127162)</f>
        <v>0.9771059151</v>
      </c>
      <c r="AN432" s="57">
        <f>IFERROR(__xludf.DUMMYFUNCTION("""COMPUTED_VALUE"""),0.8375723809093477)</f>
        <v>0.8375723809</v>
      </c>
      <c r="AO432" s="57">
        <f>IFERROR(__xludf.DUMMYFUNCTION("""COMPUTED_VALUE"""),0.8306266388679642)</f>
        <v>0.8306266389</v>
      </c>
      <c r="AP432" s="35">
        <f>IFERROR(__xludf.DUMMYFUNCTION("""COMPUTED_VALUE"""),1.1002316694838683)</f>
        <v>1.100231669</v>
      </c>
      <c r="AQ432" s="57">
        <f>IFERROR(__xludf.DUMMYFUNCTION("""COMPUTED_VALUE"""),0.9432926421048372)</f>
        <v>0.9432926421</v>
      </c>
      <c r="AR432" s="36" t="b">
        <f>IFERROR(__xludf.DUMMYFUNCTION("""COMPUTED_VALUE"""),TRUE)</f>
        <v>1</v>
      </c>
      <c r="AS432" s="57"/>
      <c r="AT432" s="37"/>
      <c r="AU432" s="30"/>
      <c r="AV432" s="30"/>
      <c r="AW432" s="30"/>
      <c r="AX432" s="30"/>
      <c r="AY432" s="30"/>
      <c r="AZ432" s="30"/>
    </row>
    <row r="433">
      <c r="A433" s="30" t="str">
        <f>IFERROR(__xludf.DUMMYFUNCTION("""COMPUTED_VALUE"""),"Premier")</f>
        <v>Premier</v>
      </c>
      <c r="B433" s="30" t="str">
        <f>IFERROR(__xludf.DUMMYFUNCTION("""COMPUTED_VALUE"""),"RSC004079")</f>
        <v>RSC004079</v>
      </c>
      <c r="C433" s="30" t="str">
        <f>IFERROR(__xludf.DUMMYFUNCTION("""COMPUTED_VALUE"""),"tox")</f>
        <v>tox</v>
      </c>
      <c r="D433" s="31" t="str">
        <f>IFERROR(__xludf.DUMMYFUNCTION("""COMPUTED_VALUE"""),"Super Clusters")</f>
        <v>Super Clusters</v>
      </c>
      <c r="E433" s="31">
        <f>IFERROR(__xludf.DUMMYFUNCTION("""COMPUTED_VALUE"""),69.02669835910937)</f>
        <v>69.02669836</v>
      </c>
      <c r="F433" s="31">
        <f>IFERROR(__xludf.DUMMYFUNCTION("""COMPUTED_VALUE"""),4.478114975435831)</f>
        <v>4.478114975</v>
      </c>
      <c r="G433" s="31">
        <f>IFERROR(__xludf.DUMMYFUNCTION("""COMPUTED_VALUE"""),66.895095837718)</f>
        <v>66.89509584</v>
      </c>
      <c r="H433" s="31">
        <f>IFERROR(__xludf.DUMMYFUNCTION("""COMPUTED_VALUE"""),4.006689565142393)</f>
        <v>4.006689565</v>
      </c>
      <c r="I433" s="54">
        <f>IFERROR(__xludf.DUMMYFUNCTION("""COMPUTED_VALUE"""),35.0)</f>
        <v>35</v>
      </c>
      <c r="J433" s="55">
        <f>IFERROR(__xludf.DUMMYFUNCTION("""COMPUTED_VALUE"""),18.0)</f>
        <v>18</v>
      </c>
      <c r="K433" s="54">
        <f>IFERROR(__xludf.DUMMYFUNCTION("""COMPUTED_VALUE"""),17.0)</f>
        <v>17</v>
      </c>
      <c r="L433" s="56">
        <f>IFERROR(__xludf.DUMMYFUNCTION("""COMPUTED_VALUE"""),0.5142857142857142)</f>
        <v>0.5142857143</v>
      </c>
      <c r="M433" s="56">
        <f>IFERROR(__xludf.DUMMYFUNCTION("""COMPUTED_VALUE"""),0.37499999999999994)</f>
        <v>0.375</v>
      </c>
      <c r="N433" s="31">
        <f>IFERROR(__xludf.DUMMYFUNCTION("""COMPUTED_VALUE"""),390.74285714285713)</f>
        <v>390.7428571</v>
      </c>
      <c r="O433" s="57">
        <f>IFERROR(__xludf.DUMMYFUNCTION("""COMPUTED_VALUE"""),1.0285714285714285)</f>
        <v>1.028571429</v>
      </c>
      <c r="P433" s="57">
        <f>IFERROR(__xludf.DUMMYFUNCTION("""COMPUTED_VALUE"""),0.7428571428571429)</f>
        <v>0.7428571429</v>
      </c>
      <c r="Q433" s="57">
        <f>IFERROR(__xludf.DUMMYFUNCTION("""COMPUTED_VALUE"""),1.2285714285714286)</f>
        <v>1.228571429</v>
      </c>
      <c r="R433" s="57">
        <f>IFERROR(__xludf.DUMMYFUNCTION("""COMPUTED_VALUE"""),2.742857142857143)</f>
        <v>2.742857143</v>
      </c>
      <c r="S433" s="31">
        <f>IFERROR(__xludf.DUMMYFUNCTION("""COMPUTED_VALUE"""),367.43809523809523)</f>
        <v>367.4380952</v>
      </c>
      <c r="T433" s="57">
        <f>IFERROR(__xludf.DUMMYFUNCTION("""COMPUTED_VALUE"""),0.8190476190476191)</f>
        <v>0.819047619</v>
      </c>
      <c r="U433" s="57">
        <f>IFERROR(__xludf.DUMMYFUNCTION("""COMPUTED_VALUE"""),0.6285714285714287)</f>
        <v>0.6285714286</v>
      </c>
      <c r="V433" s="57">
        <f>IFERROR(__xludf.DUMMYFUNCTION("""COMPUTED_VALUE"""),1.3619047619047622)</f>
        <v>1.361904762</v>
      </c>
      <c r="W433" s="57">
        <f>IFERROR(__xludf.DUMMYFUNCTION("""COMPUTED_VALUE"""),2.4190476190476184)</f>
        <v>2.419047619</v>
      </c>
      <c r="X433" s="31">
        <f>IFERROR(__xludf.DUMMYFUNCTION("""COMPUTED_VALUE"""),376.87690050100395)</f>
        <v>376.8769005</v>
      </c>
      <c r="Y433" s="57">
        <f>IFERROR(__xludf.DUMMYFUNCTION("""COMPUTED_VALUE"""),0.8746352881843171)</f>
        <v>0.8746352882</v>
      </c>
      <c r="Z433" s="57">
        <f>IFERROR(__xludf.DUMMYFUNCTION("""COMPUTED_VALUE"""),0.5932661513325697)</f>
        <v>0.5932661513</v>
      </c>
      <c r="AA433" s="57">
        <f>IFERROR(__xludf.DUMMYFUNCTION("""COMPUTED_VALUE"""),1.4598286046481725)</f>
        <v>1.459828605</v>
      </c>
      <c r="AB433" s="57">
        <f>IFERROR(__xludf.DUMMYFUNCTION("""COMPUTED_VALUE"""),2.7948488167196714)</f>
        <v>2.794848817</v>
      </c>
      <c r="AC433" s="31">
        <f>IFERROR(__xludf.DUMMYFUNCTION("""COMPUTED_VALUE"""),379.3990816705229)</f>
        <v>379.3990817</v>
      </c>
      <c r="AD433" s="57">
        <f>IFERROR(__xludf.DUMMYFUNCTION("""COMPUTED_VALUE"""),0.8384013469145024)</f>
        <v>0.8384013469</v>
      </c>
      <c r="AE433" s="57">
        <f>IFERROR(__xludf.DUMMYFUNCTION("""COMPUTED_VALUE"""),0.6476945497434339)</f>
        <v>0.6476945497</v>
      </c>
      <c r="AF433" s="57">
        <f>IFERROR(__xludf.DUMMYFUNCTION("""COMPUTED_VALUE"""),1.496912088443082)</f>
        <v>1.496912088</v>
      </c>
      <c r="AG433" s="57">
        <f>IFERROR(__xludf.DUMMYFUNCTION("""COMPUTED_VALUE"""),2.776740979105597)</f>
        <v>2.776740979</v>
      </c>
      <c r="AH433" s="57">
        <f>IFERROR(__xludf.DUMMYFUNCTION("""COMPUTED_VALUE"""),1.0298993224295292)</f>
        <v>1.029899322</v>
      </c>
      <c r="AI433" s="57">
        <f>IFERROR(__xludf.DUMMYFUNCTION("""COMPUTED_VALUE"""),1.2268246375757779)</f>
        <v>1.226824638</v>
      </c>
      <c r="AJ433" s="57">
        <f>IFERROR(__xludf.DUMMYFUNCTION("""COMPUTED_VALUE"""),1.1469251102258078)</f>
        <v>1.14692511</v>
      </c>
      <c r="AK433" s="57">
        <f>IFERROR(__xludf.DUMMYFUNCTION("""COMPUTED_VALUE"""),0.8207371949606267)</f>
        <v>0.820737195</v>
      </c>
      <c r="AL433" s="57">
        <f>IFERROR(__xludf.DUMMYFUNCTION("""COMPUTED_VALUE"""),0.9877972643096987)</f>
        <v>0.9877972643</v>
      </c>
      <c r="AM433" s="57">
        <f>IFERROR(__xludf.DUMMYFUNCTION("""COMPUTED_VALUE"""),0.9749552035416308)</f>
        <v>0.9749552035</v>
      </c>
      <c r="AN433" s="57">
        <f>IFERROR(__xludf.DUMMYFUNCTION("""COMPUTED_VALUE"""),0.9364447445836604)</f>
        <v>0.9364447446</v>
      </c>
      <c r="AO433" s="57">
        <f>IFERROR(__xludf.DUMMYFUNCTION("""COMPUTED_VALUE"""),1.05951001445061)</f>
        <v>1.059510014</v>
      </c>
      <c r="AP433" s="35">
        <f>IFERROR(__xludf.DUMMYFUNCTION("""COMPUTED_VALUE"""),0.9329210001560351)</f>
        <v>0.9329210002</v>
      </c>
      <c r="AQ433" s="57">
        <f>IFERROR(__xludf.DUMMYFUNCTION("""COMPUTED_VALUE"""),0.8655379155309256)</f>
        <v>0.8655379155</v>
      </c>
      <c r="AR433" s="36" t="b">
        <f>IFERROR(__xludf.DUMMYFUNCTION("""COMPUTED_VALUE"""),TRUE)</f>
        <v>1</v>
      </c>
      <c r="AS433" s="57"/>
      <c r="AT433" s="37"/>
      <c r="AU433" s="30"/>
      <c r="AV433" s="30"/>
      <c r="AW433" s="30"/>
      <c r="AX433" s="30"/>
      <c r="AY433" s="30"/>
      <c r="AZ433" s="30"/>
    </row>
    <row r="434">
      <c r="A434" s="30" t="str">
        <f>IFERROR(__xludf.DUMMYFUNCTION("""COMPUTED_VALUE"""),"Premier")</f>
        <v>Premier</v>
      </c>
      <c r="B434" s="30" t="str">
        <f>IFERROR(__xludf.DUMMYFUNCTION("""COMPUTED_VALUE"""),"RSC004924")</f>
        <v>RSC004924</v>
      </c>
      <c r="C434" s="30" t="str">
        <f>IFERROR(__xludf.DUMMYFUNCTION("""COMPUTED_VALUE"""),"comet")</f>
        <v>comet</v>
      </c>
      <c r="D434" s="31" t="str">
        <f>IFERROR(__xludf.DUMMYFUNCTION("""COMPUTED_VALUE"""),"Excavators")</f>
        <v>Excavators</v>
      </c>
      <c r="E434" s="31">
        <f>IFERROR(__xludf.DUMMYFUNCTION("""COMPUTED_VALUE"""),67.23142031430663)</f>
        <v>67.23142031</v>
      </c>
      <c r="F434" s="31">
        <f>IFERROR(__xludf.DUMMYFUNCTION("""COMPUTED_VALUE"""),4.076128461589346)</f>
        <v>4.076128462</v>
      </c>
      <c r="G434" s="31">
        <f>IFERROR(__xludf.DUMMYFUNCTION("""COMPUTED_VALUE"""),57.45508678172544)</f>
        <v>57.45508678</v>
      </c>
      <c r="H434" s="31">
        <f>IFERROR(__xludf.DUMMYFUNCTION("""COMPUTED_VALUE"""),2.612508076459881)</f>
        <v>2.612508076</v>
      </c>
      <c r="I434" s="54">
        <f>IFERROR(__xludf.DUMMYFUNCTION("""COMPUTED_VALUE"""),30.0)</f>
        <v>30</v>
      </c>
      <c r="J434" s="55">
        <f>IFERROR(__xludf.DUMMYFUNCTION("""COMPUTED_VALUE"""),24.0)</f>
        <v>24</v>
      </c>
      <c r="K434" s="54">
        <f>IFERROR(__xludf.DUMMYFUNCTION("""COMPUTED_VALUE"""),6.0)</f>
        <v>6</v>
      </c>
      <c r="L434" s="56">
        <f>IFERROR(__xludf.DUMMYFUNCTION("""COMPUTED_VALUE"""),0.8)</f>
        <v>0.8</v>
      </c>
      <c r="M434" s="56">
        <f>IFERROR(__xludf.DUMMYFUNCTION("""COMPUTED_VALUE"""),0.30120481927710846)</f>
        <v>0.3012048193</v>
      </c>
      <c r="N434" s="31">
        <f>IFERROR(__xludf.DUMMYFUNCTION("""COMPUTED_VALUE"""),387.53333333333336)</f>
        <v>387.5333333</v>
      </c>
      <c r="O434" s="57">
        <f>IFERROR(__xludf.DUMMYFUNCTION("""COMPUTED_VALUE"""),0.8333333333333334)</f>
        <v>0.8333333333</v>
      </c>
      <c r="P434" s="57">
        <f>IFERROR(__xludf.DUMMYFUNCTION("""COMPUTED_VALUE"""),0.7333333333333333)</f>
        <v>0.7333333333</v>
      </c>
      <c r="Q434" s="57">
        <f>IFERROR(__xludf.DUMMYFUNCTION("""COMPUTED_VALUE"""),1.4)</f>
        <v>1.4</v>
      </c>
      <c r="R434" s="57">
        <f>IFERROR(__xludf.DUMMYFUNCTION("""COMPUTED_VALUE"""),2.7666666666666666)</f>
        <v>2.766666667</v>
      </c>
      <c r="S434" s="31">
        <f>IFERROR(__xludf.DUMMYFUNCTION("""COMPUTED_VALUE"""),336.6777777777778)</f>
        <v>336.6777778</v>
      </c>
      <c r="T434" s="57">
        <f>IFERROR(__xludf.DUMMYFUNCTION("""COMPUTED_VALUE"""),0.5888888888888888)</f>
        <v>0.5888888889</v>
      </c>
      <c r="U434" s="57">
        <f>IFERROR(__xludf.DUMMYFUNCTION("""COMPUTED_VALUE"""),0.4)</f>
        <v>0.4</v>
      </c>
      <c r="V434" s="57">
        <f>IFERROR(__xludf.DUMMYFUNCTION("""COMPUTED_VALUE"""),1.6111111111111112)</f>
        <v>1.611111111</v>
      </c>
      <c r="W434" s="57">
        <f>IFERROR(__xludf.DUMMYFUNCTION("""COMPUTED_VALUE"""),2.233333333333334)</f>
        <v>2.233333333</v>
      </c>
      <c r="X434" s="31">
        <f>IFERROR(__xludf.DUMMYFUNCTION("""COMPUTED_VALUE"""),374.88425744197207)</f>
        <v>374.8842574</v>
      </c>
      <c r="Y434" s="57">
        <f>IFERROR(__xludf.DUMMYFUNCTION("""COMPUTED_VALUE"""),0.7916564252837391)</f>
        <v>0.7916564253</v>
      </c>
      <c r="Z434" s="57">
        <f>IFERROR(__xludf.DUMMYFUNCTION("""COMPUTED_VALUE"""),0.603490305813597)</f>
        <v>0.6034903058</v>
      </c>
      <c r="AA434" s="57">
        <f>IFERROR(__xludf.DUMMYFUNCTION("""COMPUTED_VALUE"""),1.5461796605228064)</f>
        <v>1.546179661</v>
      </c>
      <c r="AB434" s="57">
        <f>IFERROR(__xludf.DUMMYFUNCTION("""COMPUTED_VALUE"""),2.7306367722612395)</f>
        <v>2.730636772</v>
      </c>
      <c r="AC434" s="31">
        <f>IFERROR(__xludf.DUMMYFUNCTION("""COMPUTED_VALUE"""),385.90229520364943)</f>
        <v>385.9022952</v>
      </c>
      <c r="AD434" s="57">
        <f>IFERROR(__xludf.DUMMYFUNCTION("""COMPUTED_VALUE"""),0.8902681741117715)</f>
        <v>0.8902681741</v>
      </c>
      <c r="AE434" s="57">
        <f>IFERROR(__xludf.DUMMYFUNCTION("""COMPUTED_VALUE"""),0.6980450460550607)</f>
        <v>0.6980450461</v>
      </c>
      <c r="AF434" s="57">
        <f>IFERROR(__xludf.DUMMYFUNCTION("""COMPUTED_VALUE"""),1.4415341471988394)</f>
        <v>1.441534147</v>
      </c>
      <c r="AG434" s="57">
        <f>IFERROR(__xludf.DUMMYFUNCTION("""COMPUTED_VALUE"""),2.887841148247433)</f>
        <v>2.887841148</v>
      </c>
      <c r="AH434" s="57">
        <f>IFERROR(__xludf.DUMMYFUNCTION("""COMPUTED_VALUE"""),1.0042265572139788)</f>
        <v>1.004226557</v>
      </c>
      <c r="AI434" s="57">
        <f>IFERROR(__xludf.DUMMYFUNCTION("""COMPUTED_VALUE"""),0.9360475388943983)</f>
        <v>0.9360475389</v>
      </c>
      <c r="AJ434" s="57">
        <f>IFERROR(__xludf.DUMMYFUNCTION("""COMPUTED_VALUE"""),1.0505530230143474)</f>
        <v>1.050553023</v>
      </c>
      <c r="AK434" s="57">
        <f>IFERROR(__xludf.DUMMYFUNCTION("""COMPUTED_VALUE"""),0.9711875384432982)</f>
        <v>0.9711875384</v>
      </c>
      <c r="AL434" s="57">
        <f>IFERROR(__xludf.DUMMYFUNCTION("""COMPUTED_VALUE"""),0.9580397690315119)</f>
        <v>0.958039769</v>
      </c>
      <c r="AM434" s="57">
        <f>IFERROR(__xludf.DUMMYFUNCTION("""COMPUTED_VALUE"""),0.8980845983640479)</f>
        <v>0.8980845984</v>
      </c>
      <c r="AN434" s="57">
        <f>IFERROR(__xludf.DUMMYFUNCTION("""COMPUTED_VALUE"""),0.7438692721755198)</f>
        <v>0.7438692722</v>
      </c>
      <c r="AO434" s="57">
        <f>IFERROR(__xludf.DUMMYFUNCTION("""COMPUTED_VALUE"""),0.6628109783151181)</f>
        <v>0.6628109783</v>
      </c>
      <c r="AP434" s="35">
        <f>IFERROR(__xludf.DUMMYFUNCTION("""COMPUTED_VALUE"""),1.0419947644158956)</f>
        <v>1.041994764</v>
      </c>
      <c r="AQ434" s="57">
        <f>IFERROR(__xludf.DUMMYFUNCTION("""COMPUTED_VALUE"""),0.8178800476212408)</f>
        <v>0.8178800476</v>
      </c>
      <c r="AR434" s="36" t="b">
        <f>IFERROR(__xludf.DUMMYFUNCTION("""COMPUTED_VALUE"""),TRUE)</f>
        <v>1</v>
      </c>
      <c r="AS434" s="57"/>
      <c r="AT434" s="37"/>
      <c r="AU434" s="30"/>
      <c r="AV434" s="30"/>
      <c r="AW434" s="30"/>
      <c r="AX434" s="30"/>
      <c r="AY434" s="30"/>
      <c r="AZ434" s="30"/>
    </row>
    <row r="435">
      <c r="A435" s="30" t="str">
        <f>IFERROR(__xludf.DUMMYFUNCTION("""COMPUTED_VALUE"""),"Premier")</f>
        <v>Premier</v>
      </c>
      <c r="B435" s="30" t="str">
        <f>IFERROR(__xludf.DUMMYFUNCTION("""COMPUTED_VALUE"""),"RSC001177")</f>
        <v>RSC001177</v>
      </c>
      <c r="C435" s="30" t="str">
        <f>IFERROR(__xludf.DUMMYFUNCTION("""COMPUTED_VALUE"""),"Calster")</f>
        <v>Calster</v>
      </c>
      <c r="D435" s="31" t="str">
        <f>IFERROR(__xludf.DUMMYFUNCTION("""COMPUTED_VALUE"""),"Crooked Capos")</f>
        <v>Crooked Capos</v>
      </c>
      <c r="E435" s="31">
        <f>IFERROR(__xludf.DUMMYFUNCTION("""COMPUTED_VALUE"""),65.06817189497197)</f>
        <v>65.06817189</v>
      </c>
      <c r="F435" s="31">
        <f>IFERROR(__xludf.DUMMYFUNCTION("""COMPUTED_VALUE"""),3.658377762155826)</f>
        <v>3.658377762</v>
      </c>
      <c r="G435" s="31">
        <f>IFERROR(__xludf.DUMMYFUNCTION("""COMPUTED_VALUE"""),43.90185770297345)</f>
        <v>43.9018577</v>
      </c>
      <c r="H435" s="31">
        <f>IFERROR(__xludf.DUMMYFUNCTION("""COMPUTED_VALUE"""),-2.4774294691630887)</f>
        <v>-2.477429469</v>
      </c>
      <c r="I435" s="54">
        <f>IFERROR(__xludf.DUMMYFUNCTION("""COMPUTED_VALUE"""),16.0)</f>
        <v>16</v>
      </c>
      <c r="J435" s="55">
        <f>IFERROR(__xludf.DUMMYFUNCTION("""COMPUTED_VALUE"""),7.0)</f>
        <v>7</v>
      </c>
      <c r="K435" s="54">
        <f>IFERROR(__xludf.DUMMYFUNCTION("""COMPUTED_VALUE"""),9.0)</f>
        <v>9</v>
      </c>
      <c r="L435" s="56">
        <f>IFERROR(__xludf.DUMMYFUNCTION("""COMPUTED_VALUE"""),0.4375)</f>
        <v>0.4375</v>
      </c>
      <c r="M435" s="56">
        <f>IFERROR(__xludf.DUMMYFUNCTION("""COMPUTED_VALUE"""),0.3448275862068966)</f>
        <v>0.3448275862</v>
      </c>
      <c r="N435" s="31">
        <f>IFERROR(__xludf.DUMMYFUNCTION("""COMPUTED_VALUE"""),368.0625)</f>
        <v>368.0625</v>
      </c>
      <c r="O435" s="57">
        <f>IFERROR(__xludf.DUMMYFUNCTION("""COMPUTED_VALUE"""),0.625)</f>
        <v>0.625</v>
      </c>
      <c r="P435" s="57">
        <f>IFERROR(__xludf.DUMMYFUNCTION("""COMPUTED_VALUE"""),1.125)</f>
        <v>1.125</v>
      </c>
      <c r="Q435" s="57">
        <f>IFERROR(__xludf.DUMMYFUNCTION("""COMPUTED_VALUE"""),1.3125)</f>
        <v>1.3125</v>
      </c>
      <c r="R435" s="57">
        <f>IFERROR(__xludf.DUMMYFUNCTION("""COMPUTED_VALUE"""),1.8125)</f>
        <v>1.8125</v>
      </c>
      <c r="S435" s="31">
        <f>IFERROR(__xludf.DUMMYFUNCTION("""COMPUTED_VALUE"""),383.3333333333333)</f>
        <v>383.3333333</v>
      </c>
      <c r="T435" s="57">
        <f>IFERROR(__xludf.DUMMYFUNCTION("""COMPUTED_VALUE"""),0.8958333333333335)</f>
        <v>0.8958333333</v>
      </c>
      <c r="U435" s="57">
        <f>IFERROR(__xludf.DUMMYFUNCTION("""COMPUTED_VALUE"""),0.6875)</f>
        <v>0.6875</v>
      </c>
      <c r="V435" s="57">
        <f>IFERROR(__xludf.DUMMYFUNCTION("""COMPUTED_VALUE"""),1.3125)</f>
        <v>1.3125</v>
      </c>
      <c r="W435" s="57">
        <f>IFERROR(__xludf.DUMMYFUNCTION("""COMPUTED_VALUE"""),2.9166666666666665)</f>
        <v>2.916666667</v>
      </c>
      <c r="X435" s="31">
        <f>IFERROR(__xludf.DUMMYFUNCTION("""COMPUTED_VALUE"""),381.8760377536456)</f>
        <v>381.8760378</v>
      </c>
      <c r="Y435" s="57">
        <f>IFERROR(__xludf.DUMMYFUNCTION("""COMPUTED_VALUE"""),0.904599762756513)</f>
        <v>0.9045997628</v>
      </c>
      <c r="Z435" s="57">
        <f>IFERROR(__xludf.DUMMYFUNCTION("""COMPUTED_VALUE"""),0.683310329849175)</f>
        <v>0.6833103298</v>
      </c>
      <c r="AA435" s="57">
        <f>IFERROR(__xludf.DUMMYFUNCTION("""COMPUTED_VALUE"""),1.3596625199869572)</f>
        <v>1.35966252</v>
      </c>
      <c r="AB435" s="57">
        <f>IFERROR(__xludf.DUMMYFUNCTION("""COMPUTED_VALUE"""),2.832803713691726)</f>
        <v>2.832803714</v>
      </c>
      <c r="AC435" s="31">
        <f>IFERROR(__xludf.DUMMYFUNCTION("""COMPUTED_VALUE"""),361.2991407269104)</f>
        <v>361.2991407</v>
      </c>
      <c r="AD435" s="57">
        <f>IFERROR(__xludf.DUMMYFUNCTION("""COMPUTED_VALUE"""),0.7914813074891014)</f>
        <v>0.7914813075</v>
      </c>
      <c r="AE435" s="57">
        <f>IFERROR(__xludf.DUMMYFUNCTION("""COMPUTED_VALUE"""),0.6022827719797597)</f>
        <v>0.602282772</v>
      </c>
      <c r="AF435" s="57">
        <f>IFERROR(__xludf.DUMMYFUNCTION("""COMPUTED_VALUE"""),1.431526408528452)</f>
        <v>1.431526409</v>
      </c>
      <c r="AG435" s="57">
        <f>IFERROR(__xludf.DUMMYFUNCTION("""COMPUTED_VALUE"""),2.6027000060029994)</f>
        <v>2.602700006</v>
      </c>
      <c r="AH435" s="57">
        <f>IFERROR(__xludf.DUMMYFUNCTION("""COMPUTED_VALUE"""),1.0187195553786321)</f>
        <v>1.018719555</v>
      </c>
      <c r="AI435" s="57">
        <f>IFERROR(__xludf.DUMMYFUNCTION("""COMPUTED_VALUE"""),0.7896585732172913)</f>
        <v>0.7896585732</v>
      </c>
      <c r="AJ435" s="57">
        <f>IFERROR(__xludf.DUMMYFUNCTION("""COMPUTED_VALUE"""),1.8678933755684561)</f>
        <v>1.867893376</v>
      </c>
      <c r="AK435" s="57">
        <f>IFERROR(__xludf.DUMMYFUNCTION("""COMPUTED_VALUE"""),0.9168535013958938)</f>
        <v>0.9168535014</v>
      </c>
      <c r="AL435" s="57">
        <f>IFERROR(__xludf.DUMMYFUNCTION("""COMPUTED_VALUE"""),0.6963922064854028)</f>
        <v>0.6963922065</v>
      </c>
      <c r="AM435" s="57">
        <f>IFERROR(__xludf.DUMMYFUNCTION("""COMPUTED_VALUE"""),1.0038161482670138)</f>
        <v>1.003816148</v>
      </c>
      <c r="AN435" s="57">
        <f>IFERROR(__xludf.DUMMYFUNCTION("""COMPUTED_VALUE"""),0.9903090518214749)</f>
        <v>0.9903090518</v>
      </c>
      <c r="AO435" s="57">
        <f>IFERROR(__xludf.DUMMYFUNCTION("""COMPUTED_VALUE"""),1.0061314310172214)</f>
        <v>1.006131431</v>
      </c>
      <c r="AP435" s="35">
        <f>IFERROR(__xludf.DUMMYFUNCTION("""COMPUTED_VALUE"""),0.9653130690199435)</f>
        <v>0.965313069</v>
      </c>
      <c r="AQ435" s="57">
        <f>IFERROR(__xludf.DUMMYFUNCTION("""COMPUTED_VALUE"""),1.0296042230422136)</f>
        <v>1.029604223</v>
      </c>
      <c r="AR435" s="36" t="b">
        <f>IFERROR(__xludf.DUMMYFUNCTION("""COMPUTED_VALUE"""),TRUE)</f>
        <v>1</v>
      </c>
      <c r="AS435" s="57"/>
      <c r="AT435" s="37"/>
      <c r="AU435" s="30"/>
      <c r="AV435" s="30"/>
      <c r="AW435" s="30"/>
      <c r="AX435" s="30"/>
      <c r="AY435" s="30"/>
      <c r="AZ435" s="30"/>
    </row>
    <row r="436">
      <c r="A436" s="30" t="str">
        <f>IFERROR(__xludf.DUMMYFUNCTION("""COMPUTED_VALUE"""),"Premier")</f>
        <v>Premier</v>
      </c>
      <c r="B436" s="30" t="str">
        <f>IFERROR(__xludf.DUMMYFUNCTION("""COMPUTED_VALUE"""),"RSC004090")</f>
        <v>RSC004090</v>
      </c>
      <c r="C436" s="30" t="str">
        <f>IFERROR(__xludf.DUMMYFUNCTION("""COMPUTED_VALUE"""),"LikeWisse")</f>
        <v>LikeWisse</v>
      </c>
      <c r="D436" s="31" t="str">
        <f>IFERROR(__xludf.DUMMYFUNCTION("""COMPUTED_VALUE"""),"Super Clusters")</f>
        <v>Super Clusters</v>
      </c>
      <c r="E436" s="31">
        <f>IFERROR(__xludf.DUMMYFUNCTION("""COMPUTED_VALUE"""),63.211839844141025)</f>
        <v>63.21183984</v>
      </c>
      <c r="F436" s="31">
        <f>IFERROR(__xludf.DUMMYFUNCTION("""COMPUTED_VALUE"""),3.3491263052079367)</f>
        <v>3.349126305</v>
      </c>
      <c r="G436" s="31">
        <f>IFERROR(__xludf.DUMMYFUNCTION("""COMPUTED_VALUE"""),62.582923820491054)</f>
        <v>62.58292382</v>
      </c>
      <c r="H436" s="31">
        <f>IFERROR(__xludf.DUMMYFUNCTION("""COMPUTED_VALUE"""),3.2534002749558955)</f>
        <v>3.253400275</v>
      </c>
      <c r="I436" s="54">
        <f>IFERROR(__xludf.DUMMYFUNCTION("""COMPUTED_VALUE"""),34.0)</f>
        <v>34</v>
      </c>
      <c r="J436" s="55">
        <f>IFERROR(__xludf.DUMMYFUNCTION("""COMPUTED_VALUE"""),17.0)</f>
        <v>17</v>
      </c>
      <c r="K436" s="54">
        <f>IFERROR(__xludf.DUMMYFUNCTION("""COMPUTED_VALUE"""),17.0)</f>
        <v>17</v>
      </c>
      <c r="L436" s="56">
        <f>IFERROR(__xludf.DUMMYFUNCTION("""COMPUTED_VALUE"""),0.5)</f>
        <v>0.5</v>
      </c>
      <c r="M436" s="56">
        <f>IFERROR(__xludf.DUMMYFUNCTION("""COMPUTED_VALUE"""),0.38636363636363635)</f>
        <v>0.3863636364</v>
      </c>
      <c r="N436" s="31">
        <f>IFERROR(__xludf.DUMMYFUNCTION("""COMPUTED_VALUE"""),391.3235294117647)</f>
        <v>391.3235294</v>
      </c>
      <c r="O436" s="57">
        <f>IFERROR(__xludf.DUMMYFUNCTION("""COMPUTED_VALUE"""),1.0)</f>
        <v>1</v>
      </c>
      <c r="P436" s="57">
        <f>IFERROR(__xludf.DUMMYFUNCTION("""COMPUTED_VALUE"""),0.6764705882352942)</f>
        <v>0.6764705882</v>
      </c>
      <c r="Q436" s="57">
        <f>IFERROR(__xludf.DUMMYFUNCTION("""COMPUTED_VALUE"""),1.4411764705882353)</f>
        <v>1.441176471</v>
      </c>
      <c r="R436" s="57">
        <f>IFERROR(__xludf.DUMMYFUNCTION("""COMPUTED_VALUE"""),2.588235294117647)</f>
        <v>2.588235294</v>
      </c>
      <c r="S436" s="31">
        <f>IFERROR(__xludf.DUMMYFUNCTION("""COMPUTED_VALUE"""),368.8039215686274)</f>
        <v>368.8039216</v>
      </c>
      <c r="T436" s="57">
        <f>IFERROR(__xludf.DUMMYFUNCTION("""COMPUTED_VALUE"""),0.8431372549019608)</f>
        <v>0.8431372549</v>
      </c>
      <c r="U436" s="57">
        <f>IFERROR(__xludf.DUMMYFUNCTION("""COMPUTED_VALUE"""),0.6470588235294119)</f>
        <v>0.6470588235</v>
      </c>
      <c r="V436" s="57">
        <f>IFERROR(__xludf.DUMMYFUNCTION("""COMPUTED_VALUE"""),1.3039215686274512)</f>
        <v>1.303921569</v>
      </c>
      <c r="W436" s="57">
        <f>IFERROR(__xludf.DUMMYFUNCTION("""COMPUTED_VALUE"""),2.4607843137254894)</f>
        <v>2.460784314</v>
      </c>
      <c r="X436" s="31">
        <f>IFERROR(__xludf.DUMMYFUNCTION("""COMPUTED_VALUE"""),377.0175098888717)</f>
        <v>377.0175099</v>
      </c>
      <c r="Y436" s="57">
        <f>IFERROR(__xludf.DUMMYFUNCTION("""COMPUTED_VALUE"""),0.8885105770061943)</f>
        <v>0.888510577</v>
      </c>
      <c r="Z436" s="57">
        <f>IFERROR(__xludf.DUMMYFUNCTION("""COMPUTED_VALUE"""),0.6082253810268665)</f>
        <v>0.608225381</v>
      </c>
      <c r="AA436" s="57">
        <f>IFERROR(__xludf.DUMMYFUNCTION("""COMPUTED_VALUE"""),1.4292331265909977)</f>
        <v>1.429233127</v>
      </c>
      <c r="AB436" s="57">
        <f>IFERROR(__xludf.DUMMYFUNCTION("""COMPUTED_VALUE"""),2.8129780569417884)</f>
        <v>2.812978057</v>
      </c>
      <c r="AC436" s="31">
        <f>IFERROR(__xludf.DUMMYFUNCTION("""COMPUTED_VALUE"""),378.4495995521209)</f>
        <v>378.4495996</v>
      </c>
      <c r="AD436" s="57">
        <f>IFERROR(__xludf.DUMMYFUNCTION("""COMPUTED_VALUE"""),0.8321823031311159)</f>
        <v>0.8321823031</v>
      </c>
      <c r="AE436" s="57">
        <f>IFERROR(__xludf.DUMMYFUNCTION("""COMPUTED_VALUE"""),0.6404160061108234)</f>
        <v>0.6404160061</v>
      </c>
      <c r="AF436" s="57">
        <f>IFERROR(__xludf.DUMMYFUNCTION("""COMPUTED_VALUE"""),1.5064544527809112)</f>
        <v>1.506454453</v>
      </c>
      <c r="AG436" s="57">
        <f>IFERROR(__xludf.DUMMYFUNCTION("""COMPUTED_VALUE"""),2.7501609606080426)</f>
        <v>2.750160961</v>
      </c>
      <c r="AH436" s="57">
        <f>IFERROR(__xludf.DUMMYFUNCTION("""COMPUTED_VALUE"""),1.0340175544507897)</f>
        <v>1.034017554</v>
      </c>
      <c r="AI436" s="57">
        <f>IFERROR(__xludf.DUMMYFUNCTION("""COMPUTED_VALUE"""),1.201659776034006)</f>
        <v>1.201659776</v>
      </c>
      <c r="AJ436" s="57">
        <f>IFERROR(__xludf.DUMMYFUNCTION("""COMPUTED_VALUE"""),1.0562986898835123)</f>
        <v>1.05629869</v>
      </c>
      <c r="AK436" s="57">
        <f>IFERROR(__xludf.DUMMYFUNCTION("""COMPUTED_VALUE"""),0.9566678022875681)</f>
        <v>0.9566678023</v>
      </c>
      <c r="AL436" s="57">
        <f>IFERROR(__xludf.DUMMYFUNCTION("""COMPUTED_VALUE"""),0.941121385689878)</f>
        <v>0.9411213857</v>
      </c>
      <c r="AM436" s="57">
        <f>IFERROR(__xludf.DUMMYFUNCTION("""COMPUTED_VALUE"""),0.9782143054239966)</f>
        <v>0.9782143054</v>
      </c>
      <c r="AN436" s="57">
        <f>IFERROR(__xludf.DUMMYFUNCTION("""COMPUTED_VALUE"""),0.9489332785917785)</f>
        <v>0.9489332786</v>
      </c>
      <c r="AO436" s="57">
        <f>IFERROR(__xludf.DUMMYFUNCTION("""COMPUTED_VALUE"""),1.0638471259403592)</f>
        <v>1.063847126</v>
      </c>
      <c r="AP436" s="35">
        <f>IFERROR(__xludf.DUMMYFUNCTION("""COMPUTED_VALUE"""),0.9123225206356369)</f>
        <v>0.9123225206</v>
      </c>
      <c r="AQ436" s="57">
        <f>IFERROR(__xludf.DUMMYFUNCTION("""COMPUTED_VALUE"""),0.8747968394751018)</f>
        <v>0.8747968395</v>
      </c>
      <c r="AR436" s="36" t="b">
        <f>IFERROR(__xludf.DUMMYFUNCTION("""COMPUTED_VALUE"""),TRUE)</f>
        <v>1</v>
      </c>
      <c r="AS436" s="57"/>
      <c r="AT436" s="37"/>
      <c r="AU436" s="30"/>
      <c r="AV436" s="30"/>
      <c r="AW436" s="30"/>
      <c r="AX436" s="30"/>
      <c r="AY436" s="30"/>
      <c r="AZ436" s="30"/>
    </row>
    <row r="437">
      <c r="A437" s="30" t="str">
        <f>IFERROR(__xludf.DUMMYFUNCTION("""COMPUTED_VALUE"""),"Premier")</f>
        <v>Premier</v>
      </c>
      <c r="B437" s="30" t="str">
        <f>IFERROR(__xludf.DUMMYFUNCTION("""COMPUTED_VALUE"""),"RSC007188")</f>
        <v>RSC007188</v>
      </c>
      <c r="C437" s="30" t="str">
        <f>IFERROR(__xludf.DUMMYFUNCTION("""COMPUTED_VALUE"""),"spoody")</f>
        <v>spoody</v>
      </c>
      <c r="D437" s="31"/>
      <c r="E437" s="31">
        <f>IFERROR(__xludf.DUMMYFUNCTION("""COMPUTED_VALUE"""),62.561094637648125)</f>
        <v>62.56109464</v>
      </c>
      <c r="F437" s="31">
        <f>IFERROR(__xludf.DUMMYFUNCTION("""COMPUTED_VALUE"""),3.250154376434399)</f>
        <v>3.250154376</v>
      </c>
      <c r="G437" s="31">
        <f>IFERROR(__xludf.DUMMYFUNCTION("""COMPUTED_VALUE"""),57.13621878568335)</f>
        <v>57.13621879</v>
      </c>
      <c r="H437" s="31">
        <f>IFERROR(__xludf.DUMMYFUNCTION("""COMPUTED_VALUE"""),2.5796453834684883)</f>
        <v>2.579645383</v>
      </c>
      <c r="I437" s="54">
        <f>IFERROR(__xludf.DUMMYFUNCTION("""COMPUTED_VALUE"""),28.0)</f>
        <v>28</v>
      </c>
      <c r="J437" s="55">
        <f>IFERROR(__xludf.DUMMYFUNCTION("""COMPUTED_VALUE"""),12.0)</f>
        <v>12</v>
      </c>
      <c r="K437" s="54">
        <f>IFERROR(__xludf.DUMMYFUNCTION("""COMPUTED_VALUE"""),16.0)</f>
        <v>16</v>
      </c>
      <c r="L437" s="56">
        <f>IFERROR(__xludf.DUMMYFUNCTION("""COMPUTED_VALUE"""),0.42857142857142855)</f>
        <v>0.4285714286</v>
      </c>
      <c r="M437" s="56">
        <f>IFERROR(__xludf.DUMMYFUNCTION("""COMPUTED_VALUE"""),0.29069767441860467)</f>
        <v>0.2906976744</v>
      </c>
      <c r="N437" s="31">
        <f>IFERROR(__xludf.DUMMYFUNCTION("""COMPUTED_VALUE"""),389.64285714285717)</f>
        <v>389.6428571</v>
      </c>
      <c r="O437" s="57">
        <f>IFERROR(__xludf.DUMMYFUNCTION("""COMPUTED_VALUE"""),0.8928571428571429)</f>
        <v>0.8928571429</v>
      </c>
      <c r="P437" s="57">
        <f>IFERROR(__xludf.DUMMYFUNCTION("""COMPUTED_VALUE"""),0.6785714285714286)</f>
        <v>0.6785714286</v>
      </c>
      <c r="Q437" s="57">
        <f>IFERROR(__xludf.DUMMYFUNCTION("""COMPUTED_VALUE"""),1.5357142857142858)</f>
        <v>1.535714286</v>
      </c>
      <c r="R437" s="57">
        <f>IFERROR(__xludf.DUMMYFUNCTION("""COMPUTED_VALUE"""),3.0714285714285716)</f>
        <v>3.071428571</v>
      </c>
      <c r="S437" s="31">
        <f>IFERROR(__xludf.DUMMYFUNCTION("""COMPUTED_VALUE"""),394.38095238095235)</f>
        <v>394.3809524</v>
      </c>
      <c r="T437" s="57">
        <f>IFERROR(__xludf.DUMMYFUNCTION("""COMPUTED_VALUE"""),0.9047619047619049)</f>
        <v>0.9047619048</v>
      </c>
      <c r="U437" s="57">
        <f>IFERROR(__xludf.DUMMYFUNCTION("""COMPUTED_VALUE"""),0.7142857142857143)</f>
        <v>0.7142857143</v>
      </c>
      <c r="V437" s="57">
        <f>IFERROR(__xludf.DUMMYFUNCTION("""COMPUTED_VALUE"""),1.5357142857142854)</f>
        <v>1.535714286</v>
      </c>
      <c r="W437" s="57">
        <f>IFERROR(__xludf.DUMMYFUNCTION("""COMPUTED_VALUE"""),2.75)</f>
        <v>2.75</v>
      </c>
      <c r="X437" s="31">
        <f>IFERROR(__xludf.DUMMYFUNCTION("""COMPUTED_VALUE"""),384.46262091674674)</f>
        <v>384.4626209</v>
      </c>
      <c r="Y437" s="57">
        <f>IFERROR(__xludf.DUMMYFUNCTION("""COMPUTED_VALUE"""),0.8204017865071113)</f>
        <v>0.8204017865</v>
      </c>
      <c r="Z437" s="57">
        <f>IFERROR(__xludf.DUMMYFUNCTION("""COMPUTED_VALUE"""),0.6811146180597404)</f>
        <v>0.6811146181</v>
      </c>
      <c r="AA437" s="57">
        <f>IFERROR(__xludf.DUMMYFUNCTION("""COMPUTED_VALUE"""),1.520638335472199)</f>
        <v>1.520638335</v>
      </c>
      <c r="AB437" s="57">
        <f>IFERROR(__xludf.DUMMYFUNCTION("""COMPUTED_VALUE"""),2.838015038372656)</f>
        <v>2.838015038</v>
      </c>
      <c r="AC437" s="31">
        <f>IFERROR(__xludf.DUMMYFUNCTION("""COMPUTED_VALUE"""),379.05518349207387)</f>
        <v>379.0551835</v>
      </c>
      <c r="AD437" s="57">
        <f>IFERROR(__xludf.DUMMYFUNCTION("""COMPUTED_VALUE"""),0.8232554106120176)</f>
        <v>0.8232554106</v>
      </c>
      <c r="AE437" s="57">
        <f>IFERROR(__xludf.DUMMYFUNCTION("""COMPUTED_VALUE"""),0.6260481667986316)</f>
        <v>0.6260481668</v>
      </c>
      <c r="AF437" s="57">
        <f>IFERROR(__xludf.DUMMYFUNCTION("""COMPUTED_VALUE"""),1.5186368759419846)</f>
        <v>1.518636876</v>
      </c>
      <c r="AG437" s="57">
        <f>IFERROR(__xludf.DUMMYFUNCTION("""COMPUTED_VALUE"""),2.810087542814397)</f>
        <v>2.810087543</v>
      </c>
      <c r="AH437" s="57">
        <f>IFERROR(__xludf.DUMMYFUNCTION("""COMPUTED_VALUE"""),1.0279317474391025)</f>
        <v>1.027931747</v>
      </c>
      <c r="AI437" s="57">
        <f>IFERROR(__xludf.DUMMYFUNCTION("""COMPUTED_VALUE"""),1.084544518442196)</f>
        <v>1.084544518</v>
      </c>
      <c r="AJ437" s="57">
        <f>IFERROR(__xludf.DUMMYFUNCTION("""COMPUTED_VALUE"""),1.0838965187636929)</f>
        <v>1.083896519</v>
      </c>
      <c r="AK437" s="57">
        <f>IFERROR(__xludf.DUMMYFUNCTION("""COMPUTED_VALUE"""),1.0112452226354034)</f>
        <v>1.011245223</v>
      </c>
      <c r="AL437" s="57">
        <f>IFERROR(__xludf.DUMMYFUNCTION("""COMPUTED_VALUE"""),1.093001027417257)</f>
        <v>1.093001027</v>
      </c>
      <c r="AM437" s="57">
        <f>IFERROR(__xludf.DUMMYFUNCTION("""COMPUTED_VALUE"""),1.025797908365072)</f>
        <v>1.025797908</v>
      </c>
      <c r="AN437" s="57">
        <f>IFERROR(__xludf.DUMMYFUNCTION("""COMPUTED_VALUE"""),1.1028278090592167)</f>
        <v>1.102827809</v>
      </c>
      <c r="AO437" s="57">
        <f>IFERROR(__xludf.DUMMYFUNCTION("""COMPUTED_VALUE"""),1.0487011955791918)</f>
        <v>1.048701196</v>
      </c>
      <c r="AP437" s="35">
        <f>IFERROR(__xludf.DUMMYFUNCTION("""COMPUTED_VALUE"""),1.009914224763645)</f>
        <v>1.009914225</v>
      </c>
      <c r="AQ437" s="57">
        <f>IFERROR(__xludf.DUMMYFUNCTION("""COMPUTED_VALUE"""),0.9689871134639495)</f>
        <v>0.9689871135</v>
      </c>
      <c r="AR437" s="36" t="b">
        <f>IFERROR(__xludf.DUMMYFUNCTION("""COMPUTED_VALUE"""),TRUE)</f>
        <v>1</v>
      </c>
      <c r="AS437" s="57"/>
      <c r="AT437" s="37"/>
      <c r="AU437" s="30"/>
      <c r="AV437" s="30"/>
      <c r="AW437" s="30"/>
      <c r="AX437" s="30"/>
      <c r="AY437" s="30"/>
      <c r="AZ437" s="30"/>
    </row>
    <row r="438">
      <c r="A438" s="30" t="str">
        <f>IFERROR(__xludf.DUMMYFUNCTION("""COMPUTED_VALUE"""),"Premier")</f>
        <v>Premier</v>
      </c>
      <c r="B438" s="30" t="str">
        <f>IFERROR(__xludf.DUMMYFUNCTION("""COMPUTED_VALUE"""),"RSC004370")</f>
        <v>RSC004370</v>
      </c>
      <c r="C438" s="30" t="str">
        <f>IFERROR(__xludf.DUMMYFUNCTION("""COMPUTED_VALUE"""),"Nightfang")</f>
        <v>Nightfang</v>
      </c>
      <c r="D438" s="31" t="str">
        <f>IFERROR(__xludf.DUMMYFUNCTION("""COMPUTED_VALUE"""),"Old Heads")</f>
        <v>Old Heads</v>
      </c>
      <c r="E438" s="31">
        <f>IFERROR(__xludf.DUMMYFUNCTION("""COMPUTED_VALUE"""),61.60863131546421)</f>
        <v>61.60863132</v>
      </c>
      <c r="F438" s="31">
        <f>IFERROR(__xludf.DUMMYFUNCTION("""COMPUTED_VALUE"""),3.1133230568912516)</f>
        <v>3.113323057</v>
      </c>
      <c r="G438" s="31">
        <f>IFERROR(__xludf.DUMMYFUNCTION("""COMPUTED_VALUE"""),53.782199616461796)</f>
        <v>53.78219962</v>
      </c>
      <c r="H438" s="31">
        <f>IFERROR(__xludf.DUMMYFUNCTION("""COMPUTED_VALUE"""),2.273376871976131)</f>
        <v>2.273376872</v>
      </c>
      <c r="I438" s="54">
        <f>IFERROR(__xludf.DUMMYFUNCTION("""COMPUTED_VALUE"""),31.0)</f>
        <v>31</v>
      </c>
      <c r="J438" s="55">
        <f>IFERROR(__xludf.DUMMYFUNCTION("""COMPUTED_VALUE"""),18.0)</f>
        <v>18</v>
      </c>
      <c r="K438" s="54">
        <f>IFERROR(__xludf.DUMMYFUNCTION("""COMPUTED_VALUE"""),13.0)</f>
        <v>13</v>
      </c>
      <c r="L438" s="56">
        <f>IFERROR(__xludf.DUMMYFUNCTION("""COMPUTED_VALUE"""),0.5806451612903226)</f>
        <v>0.5806451613</v>
      </c>
      <c r="M438" s="56">
        <f>IFERROR(__xludf.DUMMYFUNCTION("""COMPUTED_VALUE"""),0.36708860759493667)</f>
        <v>0.3670886076</v>
      </c>
      <c r="N438" s="31">
        <f>IFERROR(__xludf.DUMMYFUNCTION("""COMPUTED_VALUE"""),362.03225806451616)</f>
        <v>362.0322581</v>
      </c>
      <c r="O438" s="57">
        <f>IFERROR(__xludf.DUMMYFUNCTION("""COMPUTED_VALUE"""),0.9354838709677419)</f>
        <v>0.935483871</v>
      </c>
      <c r="P438" s="57">
        <f>IFERROR(__xludf.DUMMYFUNCTION("""COMPUTED_VALUE"""),0.7419354838709677)</f>
        <v>0.7419354839</v>
      </c>
      <c r="Q438" s="57">
        <f>IFERROR(__xludf.DUMMYFUNCTION("""COMPUTED_VALUE"""),1.1612903225806452)</f>
        <v>1.161290323</v>
      </c>
      <c r="R438" s="57">
        <f>IFERROR(__xludf.DUMMYFUNCTION("""COMPUTED_VALUE"""),2.5483870967741935)</f>
        <v>2.548387097</v>
      </c>
      <c r="S438" s="31">
        <f>IFERROR(__xludf.DUMMYFUNCTION("""COMPUTED_VALUE"""),366.5698924731182)</f>
        <v>366.5698925</v>
      </c>
      <c r="T438" s="57">
        <f>IFERROR(__xludf.DUMMYFUNCTION("""COMPUTED_VALUE"""),0.8709677419354839)</f>
        <v>0.8709677419</v>
      </c>
      <c r="U438" s="57">
        <f>IFERROR(__xludf.DUMMYFUNCTION("""COMPUTED_VALUE"""),0.6559139784946236)</f>
        <v>0.6559139785</v>
      </c>
      <c r="V438" s="57">
        <f>IFERROR(__xludf.DUMMYFUNCTION("""COMPUTED_VALUE"""),1.4408602150537635)</f>
        <v>1.440860215</v>
      </c>
      <c r="W438" s="57">
        <f>IFERROR(__xludf.DUMMYFUNCTION("""COMPUTED_VALUE"""),2.6559139784946235)</f>
        <v>2.655913978</v>
      </c>
      <c r="X438" s="31">
        <f>IFERROR(__xludf.DUMMYFUNCTION("""COMPUTED_VALUE"""),379.0792591697208)</f>
        <v>379.0792592</v>
      </c>
      <c r="Y438" s="57">
        <f>IFERROR(__xludf.DUMMYFUNCTION("""COMPUTED_VALUE"""),0.8497533993263212)</f>
        <v>0.8497533993</v>
      </c>
      <c r="Z438" s="57">
        <f>IFERROR(__xludf.DUMMYFUNCTION("""COMPUTED_VALUE"""),0.6882951542025771)</f>
        <v>0.6882951542</v>
      </c>
      <c r="AA438" s="57">
        <f>IFERROR(__xludf.DUMMYFUNCTION("""COMPUTED_VALUE"""),1.4533217789068607)</f>
        <v>1.453321779</v>
      </c>
      <c r="AB438" s="57">
        <f>IFERROR(__xludf.DUMMYFUNCTION("""COMPUTED_VALUE"""),2.757562507939128)</f>
        <v>2.757562508</v>
      </c>
      <c r="AC438" s="31">
        <f>IFERROR(__xludf.DUMMYFUNCTION("""COMPUTED_VALUE"""),376.7940498957167)</f>
        <v>376.7940499</v>
      </c>
      <c r="AD438" s="57">
        <f>IFERROR(__xludf.DUMMYFUNCTION("""COMPUTED_VALUE"""),0.8360630034277218)</f>
        <v>0.8360630034</v>
      </c>
      <c r="AE438" s="57">
        <f>IFERROR(__xludf.DUMMYFUNCTION("""COMPUTED_VALUE"""),0.6421739002765713)</f>
        <v>0.6421739003</v>
      </c>
      <c r="AF438" s="57">
        <f>IFERROR(__xludf.DUMMYFUNCTION("""COMPUTED_VALUE"""),1.4553381221075057)</f>
        <v>1.455338122</v>
      </c>
      <c r="AG438" s="57">
        <f>IFERROR(__xludf.DUMMYFUNCTION("""COMPUTED_VALUE"""),2.7599339037268273)</f>
        <v>2.759933904</v>
      </c>
      <c r="AH438" s="57">
        <f>IFERROR(__xludf.DUMMYFUNCTION("""COMPUTED_VALUE"""),0.9608226514317674)</f>
        <v>0.9608226514</v>
      </c>
      <c r="AI438" s="57">
        <f>IFERROR(__xludf.DUMMYFUNCTION("""COMPUTED_VALUE"""),1.1189155208787027)</f>
        <v>1.118915521</v>
      </c>
      <c r="AJ438" s="57">
        <f>IFERROR(__xludf.DUMMYFUNCTION("""COMPUTED_VALUE"""),1.1553497947385143)</f>
        <v>1.155349795</v>
      </c>
      <c r="AK438" s="57">
        <f>IFERROR(__xludf.DUMMYFUNCTION("""COMPUTED_VALUE"""),0.7979522455571743)</f>
        <v>0.7979522456</v>
      </c>
      <c r="AL438" s="57">
        <f>IFERROR(__xludf.DUMMYFUNCTION("""COMPUTED_VALUE"""),0.9233507705865799)</f>
        <v>0.9233507706</v>
      </c>
      <c r="AM438" s="57">
        <f>IFERROR(__xludf.DUMMYFUNCTION("""COMPUTED_VALUE"""),0.9670006564748458)</f>
        <v>0.9670006565</v>
      </c>
      <c r="AN438" s="57">
        <f>IFERROR(__xludf.DUMMYFUNCTION("""COMPUTED_VALUE"""),1.0249652930202824)</f>
        <v>1.024965293</v>
      </c>
      <c r="AO438" s="57">
        <f>IFERROR(__xludf.DUMMYFUNCTION("""COMPUTED_VALUE"""),0.9529545202951942)</f>
        <v>0.9529545203</v>
      </c>
      <c r="AP438" s="35">
        <f>IFERROR(__xludf.DUMMYFUNCTION("""COMPUTED_VALUE"""),0.9914254612887792)</f>
        <v>0.9914254613</v>
      </c>
      <c r="AQ438" s="57">
        <f>IFERROR(__xludf.DUMMYFUNCTION("""COMPUTED_VALUE"""),0.9631382682525402)</f>
        <v>0.9631382683</v>
      </c>
      <c r="AR438" s="36" t="b">
        <f>IFERROR(__xludf.DUMMYFUNCTION("""COMPUTED_VALUE"""),TRUE)</f>
        <v>1</v>
      </c>
      <c r="AS438" s="57"/>
      <c r="AT438" s="37"/>
      <c r="AU438" s="30"/>
      <c r="AV438" s="30"/>
      <c r="AW438" s="30"/>
      <c r="AX438" s="30"/>
      <c r="AY438" s="30"/>
      <c r="AZ438" s="30"/>
    </row>
    <row r="439">
      <c r="A439" s="30" t="str">
        <f>IFERROR(__xludf.DUMMYFUNCTION("""COMPUTED_VALUE"""),"Premier")</f>
        <v>Premier</v>
      </c>
      <c r="B439" s="30" t="str">
        <f>IFERROR(__xludf.DUMMYFUNCTION("""COMPUTED_VALUE"""),"RSC006203")</f>
        <v>RSC006203</v>
      </c>
      <c r="C439" s="30" t="str">
        <f>IFERROR(__xludf.DUMMYFUNCTION("""COMPUTED_VALUE"""),"Lonzo Ball")</f>
        <v>Lonzo Ball</v>
      </c>
      <c r="D439" s="31" t="str">
        <f>IFERROR(__xludf.DUMMYFUNCTION("""COMPUTED_VALUE"""),"Capybaras")</f>
        <v>Capybaras</v>
      </c>
      <c r="E439" s="31">
        <f>IFERROR(__xludf.DUMMYFUNCTION("""COMPUTED_VALUE"""),61.241309196658044)</f>
        <v>61.2413092</v>
      </c>
      <c r="F439" s="31">
        <f>IFERROR(__xludf.DUMMYFUNCTION("""COMPUTED_VALUE"""),3.0629694993426195)</f>
        <v>3.062969499</v>
      </c>
      <c r="G439" s="31">
        <f>IFERROR(__xludf.DUMMYFUNCTION("""COMPUTED_VALUE"""),54.98975860304694)</f>
        <v>54.9897586</v>
      </c>
      <c r="H439" s="31">
        <f>IFERROR(__xludf.DUMMYFUNCTION("""COMPUTED_VALUE"""),2.375858483472317)</f>
        <v>2.375858483</v>
      </c>
      <c r="I439" s="54">
        <f>IFERROR(__xludf.DUMMYFUNCTION("""COMPUTED_VALUE"""),32.0)</f>
        <v>32</v>
      </c>
      <c r="J439" s="55">
        <f>IFERROR(__xludf.DUMMYFUNCTION("""COMPUTED_VALUE"""),14.0)</f>
        <v>14</v>
      </c>
      <c r="K439" s="54">
        <f>IFERROR(__xludf.DUMMYFUNCTION("""COMPUTED_VALUE"""),18.0)</f>
        <v>18</v>
      </c>
      <c r="L439" s="56">
        <f>IFERROR(__xludf.DUMMYFUNCTION("""COMPUTED_VALUE"""),0.4375)</f>
        <v>0.4375</v>
      </c>
      <c r="M439" s="56">
        <f>IFERROR(__xludf.DUMMYFUNCTION("""COMPUTED_VALUE"""),0.31313131313131315)</f>
        <v>0.3131313131</v>
      </c>
      <c r="N439" s="31">
        <f>IFERROR(__xludf.DUMMYFUNCTION("""COMPUTED_VALUE"""),384.21875)</f>
        <v>384.21875</v>
      </c>
      <c r="O439" s="57">
        <f>IFERROR(__xludf.DUMMYFUNCTION("""COMPUTED_VALUE"""),0.96875)</f>
        <v>0.96875</v>
      </c>
      <c r="P439" s="57">
        <f>IFERROR(__xludf.DUMMYFUNCTION("""COMPUTED_VALUE"""),0.59375)</f>
        <v>0.59375</v>
      </c>
      <c r="Q439" s="57">
        <f>IFERROR(__xludf.DUMMYFUNCTION("""COMPUTED_VALUE"""),1.25)</f>
        <v>1.25</v>
      </c>
      <c r="R439" s="57">
        <f>IFERROR(__xludf.DUMMYFUNCTION("""COMPUTED_VALUE"""),3.09375)</f>
        <v>3.09375</v>
      </c>
      <c r="S439" s="31">
        <f>IFERROR(__xludf.DUMMYFUNCTION("""COMPUTED_VALUE"""),394.8333333333333)</f>
        <v>394.8333333</v>
      </c>
      <c r="T439" s="57">
        <f>IFERROR(__xludf.DUMMYFUNCTION("""COMPUTED_VALUE"""),0.8854166666666667)</f>
        <v>0.8854166667</v>
      </c>
      <c r="U439" s="57">
        <f>IFERROR(__xludf.DUMMYFUNCTION("""COMPUTED_VALUE"""),0.6875)</f>
        <v>0.6875</v>
      </c>
      <c r="V439" s="57">
        <f>IFERROR(__xludf.DUMMYFUNCTION("""COMPUTED_VALUE"""),1.6041666666666663)</f>
        <v>1.604166667</v>
      </c>
      <c r="W439" s="57">
        <f>IFERROR(__xludf.DUMMYFUNCTION("""COMPUTED_VALUE"""),2.65625)</f>
        <v>2.65625</v>
      </c>
      <c r="X439" s="31">
        <f>IFERROR(__xludf.DUMMYFUNCTION("""COMPUTED_VALUE"""),385.04416081816566)</f>
        <v>385.0441608</v>
      </c>
      <c r="Y439" s="57">
        <f>IFERROR(__xludf.DUMMYFUNCTION("""COMPUTED_VALUE"""),0.8234628135418149)</f>
        <v>0.8234628135</v>
      </c>
      <c r="Z439" s="57">
        <f>IFERROR(__xludf.DUMMYFUNCTION("""COMPUTED_VALUE"""),0.6780903005488617)</f>
        <v>0.6780903005</v>
      </c>
      <c r="AA439" s="57">
        <f>IFERROR(__xludf.DUMMYFUNCTION("""COMPUTED_VALUE"""),1.5440436451811708)</f>
        <v>1.544043645</v>
      </c>
      <c r="AB439" s="57">
        <f>IFERROR(__xludf.DUMMYFUNCTION("""COMPUTED_VALUE"""),2.7711617244351654)</f>
        <v>2.771161724</v>
      </c>
      <c r="AC439" s="31">
        <f>IFERROR(__xludf.DUMMYFUNCTION("""COMPUTED_VALUE"""),375.4928460308269)</f>
        <v>375.492846</v>
      </c>
      <c r="AD439" s="57">
        <f>IFERROR(__xludf.DUMMYFUNCTION("""COMPUTED_VALUE"""),0.8247530141286418)</f>
        <v>0.8247530141</v>
      </c>
      <c r="AE439" s="57">
        <f>IFERROR(__xludf.DUMMYFUNCTION("""COMPUTED_VALUE"""),0.6300754003811799)</f>
        <v>0.6300754004</v>
      </c>
      <c r="AF439" s="57">
        <f>IFERROR(__xludf.DUMMYFUNCTION("""COMPUTED_VALUE"""),1.4704837957354153)</f>
        <v>1.470483796</v>
      </c>
      <c r="AG439" s="57">
        <f>IFERROR(__xludf.DUMMYFUNCTION("""COMPUTED_VALUE"""),2.8323820162811715)</f>
        <v>2.832382016</v>
      </c>
      <c r="AH439" s="57">
        <f>IFERROR(__xludf.DUMMYFUNCTION("""COMPUTED_VALUE"""),1.0232385358640275)</f>
        <v>1.023238536</v>
      </c>
      <c r="AI439" s="57">
        <f>IFERROR(__xludf.DUMMYFUNCTION("""COMPUTED_VALUE"""),1.1745940704727127)</f>
        <v>1.17459407</v>
      </c>
      <c r="AJ439" s="57">
        <f>IFERROR(__xludf.DUMMYFUNCTION("""COMPUTED_VALUE"""),0.9423475343439786)</f>
        <v>0.9423475343</v>
      </c>
      <c r="AK439" s="57">
        <f>IFERROR(__xludf.DUMMYFUNCTION("""COMPUTED_VALUE"""),0.8500603703523659)</f>
        <v>0.8500603704</v>
      </c>
      <c r="AL439" s="57">
        <f>IFERROR(__xludf.DUMMYFUNCTION("""COMPUTED_VALUE"""),1.0922785070009717)</f>
        <v>1.092278507</v>
      </c>
      <c r="AM439" s="57">
        <f>IFERROR(__xludf.DUMMYFUNCTION("""COMPUTED_VALUE"""),1.0254235059541406)</f>
        <v>1.025423506</v>
      </c>
      <c r="AN439" s="57">
        <f>IFERROR(__xludf.DUMMYFUNCTION("""COMPUTED_VALUE"""),1.0752357630557483)</f>
        <v>1.075235763</v>
      </c>
      <c r="AO439" s="57">
        <f>IFERROR(__xludf.DUMMYFUNCTION("""COMPUTED_VALUE"""),1.013876764560003)</f>
        <v>1.013876765</v>
      </c>
      <c r="AP439" s="35">
        <f>IFERROR(__xludf.DUMMYFUNCTION("""COMPUTED_VALUE"""),1.0389386800516516)</f>
        <v>1.03893868</v>
      </c>
      <c r="AQ439" s="57">
        <f>IFERROR(__xludf.DUMMYFUNCTION("""COMPUTED_VALUE"""),0.9585330139984568)</f>
        <v>0.958533014</v>
      </c>
      <c r="AR439" s="36" t="b">
        <f>IFERROR(__xludf.DUMMYFUNCTION("""COMPUTED_VALUE"""),TRUE)</f>
        <v>1</v>
      </c>
      <c r="AS439" s="57"/>
      <c r="AT439" s="37"/>
      <c r="AU439" s="30"/>
      <c r="AV439" s="30"/>
      <c r="AW439" s="30"/>
      <c r="AX439" s="30"/>
      <c r="AY439" s="30"/>
      <c r="AZ439" s="30"/>
    </row>
    <row r="440">
      <c r="A440" s="30" t="str">
        <f>IFERROR(__xludf.DUMMYFUNCTION("""COMPUTED_VALUE"""),"Premier")</f>
        <v>Premier</v>
      </c>
      <c r="B440" s="30" t="str">
        <f>IFERROR(__xludf.DUMMYFUNCTION("""COMPUTED_VALUE"""),"RSC000462")</f>
        <v>RSC000462</v>
      </c>
      <c r="C440" s="30" t="str">
        <f>IFERROR(__xludf.DUMMYFUNCTION("""COMPUTED_VALUE"""),"Kruncho")</f>
        <v>Kruncho</v>
      </c>
      <c r="D440" s="31" t="str">
        <f>IFERROR(__xludf.DUMMYFUNCTION("""COMPUTED_VALUE"""),"Super Clusters")</f>
        <v>Super Clusters</v>
      </c>
      <c r="E440" s="31">
        <f>IFERROR(__xludf.DUMMYFUNCTION("""COMPUTED_VALUE"""),60.88690158243642)</f>
        <v>60.88690158</v>
      </c>
      <c r="F440" s="31">
        <f>IFERROR(__xludf.DUMMYFUNCTION("""COMPUTED_VALUE"""),3.0156046538207844)</f>
        <v>3.015604654</v>
      </c>
      <c r="G440" s="31">
        <f>IFERROR(__xludf.DUMMYFUNCTION("""COMPUTED_VALUE"""),59.65875978128236)</f>
        <v>59.65875978</v>
      </c>
      <c r="H440" s="31">
        <f>IFERROR(__xludf.DUMMYFUNCTION("""COMPUTED_VALUE"""),2.860259783427357)</f>
        <v>2.860259783</v>
      </c>
      <c r="I440" s="54">
        <f>IFERROR(__xludf.DUMMYFUNCTION("""COMPUTED_VALUE"""),32.0)</f>
        <v>32</v>
      </c>
      <c r="J440" s="55">
        <f>IFERROR(__xludf.DUMMYFUNCTION("""COMPUTED_VALUE"""),15.0)</f>
        <v>15</v>
      </c>
      <c r="K440" s="54">
        <f>IFERROR(__xludf.DUMMYFUNCTION("""COMPUTED_VALUE"""),17.0)</f>
        <v>17</v>
      </c>
      <c r="L440" s="56">
        <f>IFERROR(__xludf.DUMMYFUNCTION("""COMPUTED_VALUE"""),0.46875)</f>
        <v>0.46875</v>
      </c>
      <c r="M440" s="56">
        <f>IFERROR(__xludf.DUMMYFUNCTION("""COMPUTED_VALUE"""),0.25)</f>
        <v>0.25</v>
      </c>
      <c r="N440" s="31">
        <f>IFERROR(__xludf.DUMMYFUNCTION("""COMPUTED_VALUE"""),362.78125)</f>
        <v>362.78125</v>
      </c>
      <c r="O440" s="57">
        <f>IFERROR(__xludf.DUMMYFUNCTION("""COMPUTED_VALUE"""),0.75)</f>
        <v>0.75</v>
      </c>
      <c r="P440" s="57">
        <f>IFERROR(__xludf.DUMMYFUNCTION("""COMPUTED_VALUE"""),0.75)</f>
        <v>0.75</v>
      </c>
      <c r="Q440" s="57">
        <f>IFERROR(__xludf.DUMMYFUNCTION("""COMPUTED_VALUE"""),1.25)</f>
        <v>1.25</v>
      </c>
      <c r="R440" s="57">
        <f>IFERROR(__xludf.DUMMYFUNCTION("""COMPUTED_VALUE"""),3.0)</f>
        <v>3</v>
      </c>
      <c r="S440" s="31">
        <f>IFERROR(__xludf.DUMMYFUNCTION("""COMPUTED_VALUE"""),377.8020833333333)</f>
        <v>377.8020833</v>
      </c>
      <c r="T440" s="57">
        <f>IFERROR(__xludf.DUMMYFUNCTION("""COMPUTED_VALUE"""),0.8645833333333334)</f>
        <v>0.8645833333</v>
      </c>
      <c r="U440" s="57">
        <f>IFERROR(__xludf.DUMMYFUNCTION("""COMPUTED_VALUE"""),0.6666666666666667)</f>
        <v>0.6666666667</v>
      </c>
      <c r="V440" s="57">
        <f>IFERROR(__xludf.DUMMYFUNCTION("""COMPUTED_VALUE"""),1.385416666666667)</f>
        <v>1.385416667</v>
      </c>
      <c r="W440" s="57">
        <f>IFERROR(__xludf.DUMMYFUNCTION("""COMPUTED_VALUE"""),2.499999999999999)</f>
        <v>2.5</v>
      </c>
      <c r="X440" s="31">
        <f>IFERROR(__xludf.DUMMYFUNCTION("""COMPUTED_VALUE"""),381.3408447540022)</f>
        <v>381.3408448</v>
      </c>
      <c r="Y440" s="57">
        <f>IFERROR(__xludf.DUMMYFUNCTION("""COMPUTED_VALUE"""),0.8941382134937542)</f>
        <v>0.8941382135</v>
      </c>
      <c r="Z440" s="57">
        <f>IFERROR(__xludf.DUMMYFUNCTION("""COMPUTED_VALUE"""),0.6050839164267229)</f>
        <v>0.6050839164</v>
      </c>
      <c r="AA440" s="57">
        <f>IFERROR(__xludf.DUMMYFUNCTION("""COMPUTED_VALUE"""),1.474905342273519)</f>
        <v>1.474905342</v>
      </c>
      <c r="AB440" s="57">
        <f>IFERROR(__xludf.DUMMYFUNCTION("""COMPUTED_VALUE"""),2.8487803091430886)</f>
        <v>2.848780309</v>
      </c>
      <c r="AC440" s="31">
        <f>IFERROR(__xludf.DUMMYFUNCTION("""COMPUTED_VALUE"""),377.9286312515953)</f>
        <v>377.9286313</v>
      </c>
      <c r="AD440" s="57">
        <f>IFERROR(__xludf.DUMMYFUNCTION("""COMPUTED_VALUE"""),0.8250654559493004)</f>
        <v>0.8250654559</v>
      </c>
      <c r="AE440" s="57">
        <f>IFERROR(__xludf.DUMMYFUNCTION("""COMPUTED_VALUE"""),0.6374705732800886)</f>
        <v>0.6374705733</v>
      </c>
      <c r="AF440" s="57">
        <f>IFERROR(__xludf.DUMMYFUNCTION("""COMPUTED_VALUE"""),1.5105127301476036)</f>
        <v>1.51051273</v>
      </c>
      <c r="AG440" s="57">
        <f>IFERROR(__xludf.DUMMYFUNCTION("""COMPUTED_VALUE"""),2.7604052288517447)</f>
        <v>2.760405229</v>
      </c>
      <c r="AH440" s="57">
        <f>IFERROR(__xludf.DUMMYFUNCTION("""COMPUTED_VALUE"""),0.9599199954726073)</f>
        <v>0.9599199955</v>
      </c>
      <c r="AI440" s="57">
        <f>IFERROR(__xludf.DUMMYFUNCTION("""COMPUTED_VALUE"""),0.9090187870452874)</f>
        <v>0.909018787</v>
      </c>
      <c r="AJ440" s="57">
        <f>IFERROR(__xludf.DUMMYFUNCTION("""COMPUTED_VALUE"""),1.1765248961075867)</f>
        <v>1.176524896</v>
      </c>
      <c r="AK440" s="57">
        <f>IFERROR(__xludf.DUMMYFUNCTION("""COMPUTED_VALUE"""),0.8275335752237276)</f>
        <v>0.8275335752</v>
      </c>
      <c r="AL440" s="57">
        <f>IFERROR(__xludf.DUMMYFUNCTION("""COMPUTED_VALUE"""),1.0867969559845823)</f>
        <v>1.086796956</v>
      </c>
      <c r="AM440" s="57">
        <f>IFERROR(__xludf.DUMMYFUNCTION("""COMPUTED_VALUE"""),0.9907202140307008)</f>
        <v>0.990720214</v>
      </c>
      <c r="AN440" s="57">
        <f>IFERROR(__xludf.DUMMYFUNCTION("""COMPUTED_VALUE"""),0.9669459601274191)</f>
        <v>0.9669459601</v>
      </c>
      <c r="AO440" s="57">
        <f>IFERROR(__xludf.DUMMYFUNCTION("""COMPUTED_VALUE"""),1.101775553056535)</f>
        <v>1.101775553</v>
      </c>
      <c r="AP440" s="35">
        <f>IFERROR(__xludf.DUMMYFUNCTION("""COMPUTED_VALUE"""),0.9393258177037259)</f>
        <v>0.9393258177</v>
      </c>
      <c r="AQ440" s="57">
        <f>IFERROR(__xludf.DUMMYFUNCTION("""COMPUTED_VALUE"""),0.8775685481875567)</f>
        <v>0.8775685482</v>
      </c>
      <c r="AR440" s="36" t="b">
        <f>IFERROR(__xludf.DUMMYFUNCTION("""COMPUTED_VALUE"""),TRUE)</f>
        <v>1</v>
      </c>
      <c r="AS440" s="57"/>
      <c r="AT440" s="37"/>
      <c r="AU440" s="30"/>
      <c r="AV440" s="30"/>
      <c r="AW440" s="30"/>
      <c r="AX440" s="30"/>
      <c r="AY440" s="30"/>
      <c r="AZ440" s="30"/>
    </row>
    <row r="441">
      <c r="A441" s="30" t="str">
        <f>IFERROR(__xludf.DUMMYFUNCTION("""COMPUTED_VALUE"""),"Premier")</f>
        <v>Premier</v>
      </c>
      <c r="B441" s="30" t="str">
        <f>IFERROR(__xludf.DUMMYFUNCTION("""COMPUTED_VALUE"""),"RSC006029")</f>
        <v>RSC006029</v>
      </c>
      <c r="C441" s="30" t="str">
        <f>IFERROR(__xludf.DUMMYFUNCTION("""COMPUTED_VALUE"""),"bman.")</f>
        <v>bman.</v>
      </c>
      <c r="D441" s="31"/>
      <c r="E441" s="31">
        <f>IFERROR(__xludf.DUMMYFUNCTION("""COMPUTED_VALUE"""),60.16145838117164)</f>
        <v>60.16145838</v>
      </c>
      <c r="F441" s="31">
        <f>IFERROR(__xludf.DUMMYFUNCTION("""COMPUTED_VALUE"""),2.922242638809092)</f>
        <v>2.922242639</v>
      </c>
      <c r="G441" s="31">
        <f>IFERROR(__xludf.DUMMYFUNCTION("""COMPUTED_VALUE"""),56.58139293574354)</f>
        <v>56.58139294</v>
      </c>
      <c r="H441" s="31">
        <f>IFERROR(__xludf.DUMMYFUNCTION("""COMPUTED_VALUE"""),2.52412594758052)</f>
        <v>2.524125948</v>
      </c>
      <c r="I441" s="54">
        <f>IFERROR(__xludf.DUMMYFUNCTION("""COMPUTED_VALUE"""),12.0)</f>
        <v>12</v>
      </c>
      <c r="J441" s="55">
        <f>IFERROR(__xludf.DUMMYFUNCTION("""COMPUTED_VALUE"""),6.0)</f>
        <v>6</v>
      </c>
      <c r="K441" s="54">
        <f>IFERROR(__xludf.DUMMYFUNCTION("""COMPUTED_VALUE"""),6.0)</f>
        <v>6</v>
      </c>
      <c r="L441" s="56">
        <f>IFERROR(__xludf.DUMMYFUNCTION("""COMPUTED_VALUE"""),0.5)</f>
        <v>0.5</v>
      </c>
      <c r="M441" s="56">
        <f>IFERROR(__xludf.DUMMYFUNCTION("""COMPUTED_VALUE"""),0.29268292682926833)</f>
        <v>0.2926829268</v>
      </c>
      <c r="N441" s="31">
        <f>IFERROR(__xludf.DUMMYFUNCTION("""COMPUTED_VALUE"""),434.1666666666667)</f>
        <v>434.1666667</v>
      </c>
      <c r="O441" s="57">
        <f>IFERROR(__xludf.DUMMYFUNCTION("""COMPUTED_VALUE"""),1.0)</f>
        <v>1</v>
      </c>
      <c r="P441" s="57">
        <f>IFERROR(__xludf.DUMMYFUNCTION("""COMPUTED_VALUE"""),0.5833333333333334)</f>
        <v>0.5833333333</v>
      </c>
      <c r="Q441" s="57">
        <f>IFERROR(__xludf.DUMMYFUNCTION("""COMPUTED_VALUE"""),1.5)</f>
        <v>1.5</v>
      </c>
      <c r="R441" s="57">
        <f>IFERROR(__xludf.DUMMYFUNCTION("""COMPUTED_VALUE"""),3.4166666666666665)</f>
        <v>3.416666667</v>
      </c>
      <c r="S441" s="31">
        <f>IFERROR(__xludf.DUMMYFUNCTION("""COMPUTED_VALUE"""),399.1111111111111)</f>
        <v>399.1111111</v>
      </c>
      <c r="T441" s="57">
        <f>IFERROR(__xludf.DUMMYFUNCTION("""COMPUTED_VALUE"""),0.861111111111111)</f>
        <v>0.8611111111</v>
      </c>
      <c r="U441" s="57">
        <f>IFERROR(__xludf.DUMMYFUNCTION("""COMPUTED_VALUE"""),0.5833333333333334)</f>
        <v>0.5833333333</v>
      </c>
      <c r="V441" s="57">
        <f>IFERROR(__xludf.DUMMYFUNCTION("""COMPUTED_VALUE"""),1.611111111111111)</f>
        <v>1.611111111</v>
      </c>
      <c r="W441" s="57">
        <f>IFERROR(__xludf.DUMMYFUNCTION("""COMPUTED_VALUE"""),3.0833333333333335)</f>
        <v>3.083333333</v>
      </c>
      <c r="X441" s="31">
        <f>IFERROR(__xludf.DUMMYFUNCTION("""COMPUTED_VALUE"""),357.3909502137961)</f>
        <v>357.3909502</v>
      </c>
      <c r="Y441" s="57">
        <f>IFERROR(__xludf.DUMMYFUNCTION("""COMPUTED_VALUE"""),0.7328151808733302)</f>
        <v>0.7328151809</v>
      </c>
      <c r="Z441" s="57">
        <f>IFERROR(__xludf.DUMMYFUNCTION("""COMPUTED_VALUE"""),0.5403770714620083)</f>
        <v>0.5403770715</v>
      </c>
      <c r="AA441" s="57">
        <f>IFERROR(__xludf.DUMMYFUNCTION("""COMPUTED_VALUE"""),1.4832434032113337)</f>
        <v>1.483243403</v>
      </c>
      <c r="AB441" s="57">
        <f>IFERROR(__xludf.DUMMYFUNCTION("""COMPUTED_VALUE"""),2.5766627777628055)</f>
        <v>2.576662778</v>
      </c>
      <c r="AC441" s="31">
        <f>IFERROR(__xludf.DUMMYFUNCTION("""COMPUTED_VALUE"""),385.1724058253958)</f>
        <v>385.1724058</v>
      </c>
      <c r="AD441" s="57">
        <f>IFERROR(__xludf.DUMMYFUNCTION("""COMPUTED_VALUE"""),0.9105792179406439)</f>
        <v>0.9105792179</v>
      </c>
      <c r="AE441" s="57">
        <f>IFERROR(__xludf.DUMMYFUNCTION("""COMPUTED_VALUE"""),0.7184999411112408)</f>
        <v>0.7184999411</v>
      </c>
      <c r="AF441" s="57">
        <f>IFERROR(__xludf.DUMMYFUNCTION("""COMPUTED_VALUE"""),1.436106465719589)</f>
        <v>1.436106466</v>
      </c>
      <c r="AG441" s="57">
        <f>IFERROR(__xludf.DUMMYFUNCTION("""COMPUTED_VALUE"""),2.8939704460773608)</f>
        <v>2.893970446</v>
      </c>
      <c r="AH441" s="57">
        <f>IFERROR(__xludf.DUMMYFUNCTION("""COMPUTED_VALUE"""),1.1272008588888391)</f>
        <v>1.127200859</v>
      </c>
      <c r="AI441" s="57">
        <f>IFERROR(__xludf.DUMMYFUNCTION("""COMPUTED_VALUE"""),1.0982020897221763)</f>
        <v>1.09820209</v>
      </c>
      <c r="AJ441" s="57">
        <f>IFERROR(__xludf.DUMMYFUNCTION("""COMPUTED_VALUE"""),0.8118766612995721)</f>
        <v>0.8118766613</v>
      </c>
      <c r="AK441" s="57">
        <f>IFERROR(__xludf.DUMMYFUNCTION("""COMPUTED_VALUE"""),1.0444908060826785)</f>
        <v>1.044490806</v>
      </c>
      <c r="AL441" s="57">
        <f>IFERROR(__xludf.DUMMYFUNCTION("""COMPUTED_VALUE"""),1.1806156041772284)</f>
        <v>1.180615604</v>
      </c>
      <c r="AM441" s="57">
        <f>IFERROR(__xludf.DUMMYFUNCTION("""COMPUTED_VALUE"""),1.1167353590580775)</f>
        <v>1.116735359</v>
      </c>
      <c r="AN441" s="57">
        <f>IFERROR(__xludf.DUMMYFUNCTION("""COMPUTED_VALUE"""),1.175072697163403)</f>
        <v>1.175072697</v>
      </c>
      <c r="AO441" s="57">
        <f>IFERROR(__xludf.DUMMYFUNCTION("""COMPUTED_VALUE"""),1.0794931245974324)</f>
        <v>1.079493125</v>
      </c>
      <c r="AP441" s="35">
        <f>IFERROR(__xludf.DUMMYFUNCTION("""COMPUTED_VALUE"""),1.0862081756931694)</f>
        <v>1.086208176</v>
      </c>
      <c r="AQ441" s="57">
        <f>IFERROR(__xludf.DUMMYFUNCTION("""COMPUTED_VALUE"""),1.196638287300617)</f>
        <v>1.196638287</v>
      </c>
      <c r="AR441" s="36" t="b">
        <f>IFERROR(__xludf.DUMMYFUNCTION("""COMPUTED_VALUE"""),TRUE)</f>
        <v>1</v>
      </c>
      <c r="AS441" s="57"/>
      <c r="AT441" s="37"/>
      <c r="AU441" s="30"/>
      <c r="AV441" s="30"/>
      <c r="AW441" s="30"/>
      <c r="AX441" s="30"/>
      <c r="AY441" s="30"/>
      <c r="AZ441" s="30"/>
    </row>
    <row r="442">
      <c r="A442" s="30" t="str">
        <f>IFERROR(__xludf.DUMMYFUNCTION("""COMPUTED_VALUE"""),"Premier")</f>
        <v>Premier</v>
      </c>
      <c r="B442" s="30" t="str">
        <f>IFERROR(__xludf.DUMMYFUNCTION("""COMPUTED_VALUE"""),"RSC007541")</f>
        <v>RSC007541</v>
      </c>
      <c r="C442" s="30" t="str">
        <f>IFERROR(__xludf.DUMMYFUNCTION("""COMPUTED_VALUE"""),"Water RL")</f>
        <v>Water RL</v>
      </c>
      <c r="D442" s="31" t="str">
        <f>IFERROR(__xludf.DUMMYFUNCTION("""COMPUTED_VALUE"""),"Interstellar")</f>
        <v>Interstellar</v>
      </c>
      <c r="E442" s="31">
        <f>IFERROR(__xludf.DUMMYFUNCTION("""COMPUTED_VALUE"""),59.713122192761396)</f>
        <v>59.71312219</v>
      </c>
      <c r="F442" s="31">
        <f>IFERROR(__xludf.DUMMYFUNCTION("""COMPUTED_VALUE"""),2.8668588874256717)</f>
        <v>2.866858887</v>
      </c>
      <c r="G442" s="31">
        <f>IFERROR(__xludf.DUMMYFUNCTION("""COMPUTED_VALUE"""),66.31781538285337)</f>
        <v>66.31781538</v>
      </c>
      <c r="H442" s="31">
        <f>IFERROR(__xludf.DUMMYFUNCTION("""COMPUTED_VALUE"""),3.8914929718222417)</f>
        <v>3.891492972</v>
      </c>
      <c r="I442" s="54">
        <f>IFERROR(__xludf.DUMMYFUNCTION("""COMPUTED_VALUE"""),28.0)</f>
        <v>28</v>
      </c>
      <c r="J442" s="55">
        <f>IFERROR(__xludf.DUMMYFUNCTION("""COMPUTED_VALUE"""),13.0)</f>
        <v>13</v>
      </c>
      <c r="K442" s="54">
        <f>IFERROR(__xludf.DUMMYFUNCTION("""COMPUTED_VALUE"""),15.0)</f>
        <v>15</v>
      </c>
      <c r="L442" s="56">
        <f>IFERROR(__xludf.DUMMYFUNCTION("""COMPUTED_VALUE"""),0.4642857142857143)</f>
        <v>0.4642857143</v>
      </c>
      <c r="M442" s="56">
        <f>IFERROR(__xludf.DUMMYFUNCTION("""COMPUTED_VALUE"""),0.33333333333333337)</f>
        <v>0.3333333333</v>
      </c>
      <c r="N442" s="31">
        <f>IFERROR(__xludf.DUMMYFUNCTION("""COMPUTED_VALUE"""),413.07142857142856)</f>
        <v>413.0714286</v>
      </c>
      <c r="O442" s="57">
        <f>IFERROR(__xludf.DUMMYFUNCTION("""COMPUTED_VALUE"""),0.8928571428571429)</f>
        <v>0.8928571429</v>
      </c>
      <c r="P442" s="57">
        <f>IFERROR(__xludf.DUMMYFUNCTION("""COMPUTED_VALUE"""),0.75)</f>
        <v>0.75</v>
      </c>
      <c r="Q442" s="57">
        <f>IFERROR(__xludf.DUMMYFUNCTION("""COMPUTED_VALUE"""),1.7142857142857142)</f>
        <v>1.714285714</v>
      </c>
      <c r="R442" s="57">
        <f>IFERROR(__xludf.DUMMYFUNCTION("""COMPUTED_VALUE"""),2.6785714285714284)</f>
        <v>2.678571429</v>
      </c>
      <c r="S442" s="31">
        <f>IFERROR(__xludf.DUMMYFUNCTION("""COMPUTED_VALUE"""),356.38095238095235)</f>
        <v>356.3809524</v>
      </c>
      <c r="T442" s="57">
        <f>IFERROR(__xludf.DUMMYFUNCTION("""COMPUTED_VALUE"""),0.880952380952381)</f>
        <v>0.880952381</v>
      </c>
      <c r="U442" s="57">
        <f>IFERROR(__xludf.DUMMYFUNCTION("""COMPUTED_VALUE"""),0.7023809523809524)</f>
        <v>0.7023809524</v>
      </c>
      <c r="V442" s="57">
        <f>IFERROR(__xludf.DUMMYFUNCTION("""COMPUTED_VALUE"""),1.1190476190476188)</f>
        <v>1.119047619</v>
      </c>
      <c r="W442" s="57">
        <f>IFERROR(__xludf.DUMMYFUNCTION("""COMPUTED_VALUE"""),3.023809523809524)</f>
        <v>3.023809524</v>
      </c>
      <c r="X442" s="31">
        <f>IFERROR(__xludf.DUMMYFUNCTION("""COMPUTED_VALUE"""),370.24950538514867)</f>
        <v>370.2495054</v>
      </c>
      <c r="Y442" s="57">
        <f>IFERROR(__xludf.DUMMYFUNCTION("""COMPUTED_VALUE"""),0.8124479228247007)</f>
        <v>0.8124479228</v>
      </c>
      <c r="Z442" s="57">
        <f>IFERROR(__xludf.DUMMYFUNCTION("""COMPUTED_VALUE"""),0.609762851265594)</f>
        <v>0.6097628513</v>
      </c>
      <c r="AA442" s="57">
        <f>IFERROR(__xludf.DUMMYFUNCTION("""COMPUTED_VALUE"""),1.4455870966314535)</f>
        <v>1.445587097</v>
      </c>
      <c r="AB442" s="57">
        <f>IFERROR(__xludf.DUMMYFUNCTION("""COMPUTED_VALUE"""),2.8112620978747684)</f>
        <v>2.811262098</v>
      </c>
      <c r="AC442" s="31">
        <f>IFERROR(__xludf.DUMMYFUNCTION("""COMPUTED_VALUE"""),385.5531497870794)</f>
        <v>385.5531498</v>
      </c>
      <c r="AD442" s="57">
        <f>IFERROR(__xludf.DUMMYFUNCTION("""COMPUTED_VALUE"""),0.8645673827487469)</f>
        <v>0.8645673827</v>
      </c>
      <c r="AE442" s="57">
        <f>IFERROR(__xludf.DUMMYFUNCTION("""COMPUTED_VALUE"""),0.695191198617637)</f>
        <v>0.6951911986</v>
      </c>
      <c r="AF442" s="57">
        <f>IFERROR(__xludf.DUMMYFUNCTION("""COMPUTED_VALUE"""),1.4802729576078686)</f>
        <v>1.480272958</v>
      </c>
      <c r="AG442" s="57">
        <f>IFERROR(__xludf.DUMMYFUNCTION("""COMPUTED_VALUE"""),2.7413951578556346)</f>
        <v>2.741395158</v>
      </c>
      <c r="AH442" s="57">
        <f>IFERROR(__xludf.DUMMYFUNCTION("""COMPUTED_VALUE"""),1.0713735027182272)</f>
        <v>1.071373503</v>
      </c>
      <c r="AI442" s="57">
        <f>IFERROR(__xludf.DUMMYFUNCTION("""COMPUTED_VALUE"""),1.032721290061225)</f>
        <v>1.03272129</v>
      </c>
      <c r="AJ442" s="57">
        <f>IFERROR(__xludf.DUMMYFUNCTION("""COMPUTED_VALUE"""),1.0788398954005003)</f>
        <v>1.078839895</v>
      </c>
      <c r="AK442" s="57">
        <f>IFERROR(__xludf.DUMMYFUNCTION("""COMPUTED_VALUE"""),1.1580875712652428)</f>
        <v>1.158087571</v>
      </c>
      <c r="AL442" s="57">
        <f>IFERROR(__xludf.DUMMYFUNCTION("""COMPUTED_VALUE"""),0.9770833004121346)</f>
        <v>0.9770833004</v>
      </c>
      <c r="AM442" s="57">
        <f>IFERROR(__xludf.DUMMYFUNCTION("""COMPUTED_VALUE"""),0.9625426832379703)</f>
        <v>0.9625426832</v>
      </c>
      <c r="AN442" s="57">
        <f>IFERROR(__xludf.DUMMYFUNCTION("""COMPUTED_VALUE"""),1.0843185836324198)</f>
        <v>1.084318584</v>
      </c>
      <c r="AO442" s="57">
        <f>IFERROR(__xludf.DUMMYFUNCTION("""COMPUTED_VALUE"""),1.1518920034618783)</f>
        <v>1.151892003</v>
      </c>
      <c r="AP442" s="35">
        <f>IFERROR(__xludf.DUMMYFUNCTION("""COMPUTED_VALUE"""),0.7741128996345181)</f>
        <v>0.7741128996</v>
      </c>
      <c r="AQ442" s="57">
        <f>IFERROR(__xludf.DUMMYFUNCTION("""COMPUTED_VALUE"""),1.0756056954260633)</f>
        <v>1.075605695</v>
      </c>
      <c r="AR442" s="36" t="b">
        <f>IFERROR(__xludf.DUMMYFUNCTION("""COMPUTED_VALUE"""),TRUE)</f>
        <v>1</v>
      </c>
      <c r="AS442" s="57"/>
      <c r="AT442" s="37"/>
      <c r="AU442" s="30"/>
      <c r="AV442" s="30"/>
      <c r="AW442" s="30"/>
      <c r="AX442" s="30"/>
      <c r="AY442" s="30"/>
      <c r="AZ442" s="30"/>
    </row>
    <row r="443">
      <c r="A443" s="30" t="str">
        <f>IFERROR(__xludf.DUMMYFUNCTION("""COMPUTED_VALUE"""),"Premier")</f>
        <v>Premier</v>
      </c>
      <c r="B443" s="30" t="str">
        <f>IFERROR(__xludf.DUMMYFUNCTION("""COMPUTED_VALUE"""),"RSC005170")</f>
        <v>RSC005170</v>
      </c>
      <c r="C443" s="30" t="str">
        <f>IFERROR(__xludf.DUMMYFUNCTION("""COMPUTED_VALUE"""),"FrenchyNF")</f>
        <v>FrenchyNF</v>
      </c>
      <c r="D443" s="31" t="str">
        <f>IFERROR(__xludf.DUMMYFUNCTION("""COMPUTED_VALUE"""),"Super Clusters")</f>
        <v>Super Clusters</v>
      </c>
      <c r="E443" s="31">
        <f>IFERROR(__xludf.DUMMYFUNCTION("""COMPUTED_VALUE"""),58.4443458594287)</f>
        <v>58.44434586</v>
      </c>
      <c r="F443" s="31">
        <f>IFERROR(__xludf.DUMMYFUNCTION("""COMPUTED_VALUE"""),2.7191142868923515)</f>
        <v>2.719114287</v>
      </c>
      <c r="G443" s="31">
        <f>IFERROR(__xludf.DUMMYFUNCTION("""COMPUTED_VALUE"""),49.98172768837443)</f>
        <v>49.98172769</v>
      </c>
      <c r="H443" s="31">
        <f>IFERROR(__xludf.DUMMYFUNCTION("""COMPUTED_VALUE"""),-2.001167016089215)</f>
        <v>-2.001167016</v>
      </c>
      <c r="I443" s="54">
        <f>IFERROR(__xludf.DUMMYFUNCTION("""COMPUTED_VALUE"""),7.0)</f>
        <v>7</v>
      </c>
      <c r="J443" s="55">
        <f>IFERROR(__xludf.DUMMYFUNCTION("""COMPUTED_VALUE"""),4.0)</f>
        <v>4</v>
      </c>
      <c r="K443" s="54">
        <f>IFERROR(__xludf.DUMMYFUNCTION("""COMPUTED_VALUE"""),3.0)</f>
        <v>3</v>
      </c>
      <c r="L443" s="56">
        <f>IFERROR(__xludf.DUMMYFUNCTION("""COMPUTED_VALUE"""),0.5714285714285714)</f>
        <v>0.5714285714</v>
      </c>
      <c r="M443" s="56">
        <f>IFERROR(__xludf.DUMMYFUNCTION("""COMPUTED_VALUE"""),0.3125)</f>
        <v>0.3125</v>
      </c>
      <c r="N443" s="31">
        <f>IFERROR(__xludf.DUMMYFUNCTION("""COMPUTED_VALUE"""),324.85714285714283)</f>
        <v>324.8571429</v>
      </c>
      <c r="O443" s="57">
        <f>IFERROR(__xludf.DUMMYFUNCTION("""COMPUTED_VALUE"""),0.7142857142857143)</f>
        <v>0.7142857143</v>
      </c>
      <c r="P443" s="57">
        <f>IFERROR(__xludf.DUMMYFUNCTION("""COMPUTED_VALUE"""),1.0)</f>
        <v>1</v>
      </c>
      <c r="Q443" s="57">
        <f>IFERROR(__xludf.DUMMYFUNCTION("""COMPUTED_VALUE"""),1.1428571428571428)</f>
        <v>1.142857143</v>
      </c>
      <c r="R443" s="57">
        <f>IFERROR(__xludf.DUMMYFUNCTION("""COMPUTED_VALUE"""),2.2857142857142856)</f>
        <v>2.285714286</v>
      </c>
      <c r="S443" s="31">
        <f>IFERROR(__xludf.DUMMYFUNCTION("""COMPUTED_VALUE"""),326.5238095238095)</f>
        <v>326.5238095</v>
      </c>
      <c r="T443" s="57">
        <f>IFERROR(__xludf.DUMMYFUNCTION("""COMPUTED_VALUE"""),0.5714285714285714)</f>
        <v>0.5714285714</v>
      </c>
      <c r="U443" s="57">
        <f>IFERROR(__xludf.DUMMYFUNCTION("""COMPUTED_VALUE"""),0.5238095238095238)</f>
        <v>0.5238095238</v>
      </c>
      <c r="V443" s="57">
        <f>IFERROR(__xludf.DUMMYFUNCTION("""COMPUTED_VALUE"""),1.3809523809523812)</f>
        <v>1.380952381</v>
      </c>
      <c r="W443" s="57">
        <f>IFERROR(__xludf.DUMMYFUNCTION("""COMPUTED_VALUE"""),2.238095238095238)</f>
        <v>2.238095238</v>
      </c>
      <c r="X443" s="31">
        <f>IFERROR(__xludf.DUMMYFUNCTION("""COMPUTED_VALUE"""),350.91613211215434)</f>
        <v>350.9161321</v>
      </c>
      <c r="Y443" s="57">
        <f>IFERROR(__xludf.DUMMYFUNCTION("""COMPUTED_VALUE"""),0.722913402297346)</f>
        <v>0.7229134023</v>
      </c>
      <c r="Z443" s="57">
        <f>IFERROR(__xludf.DUMMYFUNCTION("""COMPUTED_VALUE"""),0.48101524078159213)</f>
        <v>0.4810152408</v>
      </c>
      <c r="AA443" s="57">
        <f>IFERROR(__xludf.DUMMYFUNCTION("""COMPUTED_VALUE"""),1.4845326749199332)</f>
        <v>1.484532675</v>
      </c>
      <c r="AB443" s="57">
        <f>IFERROR(__xludf.DUMMYFUNCTION("""COMPUTED_VALUE"""),2.3923845070946697)</f>
        <v>2.392384507</v>
      </c>
      <c r="AC443" s="31">
        <f>IFERROR(__xludf.DUMMYFUNCTION("""COMPUTED_VALUE"""),386.7438183271799)</f>
        <v>386.7438183</v>
      </c>
      <c r="AD443" s="57">
        <f>IFERROR(__xludf.DUMMYFUNCTION("""COMPUTED_VALUE"""),0.9407130501910463)</f>
        <v>0.9407130502</v>
      </c>
      <c r="AE443" s="57">
        <f>IFERROR(__xludf.DUMMYFUNCTION("""COMPUTED_VALUE"""),0.7363804630196417)</f>
        <v>0.736380463</v>
      </c>
      <c r="AF443" s="57">
        <f>IFERROR(__xludf.DUMMYFUNCTION("""COMPUTED_VALUE"""),1.3706819389601612)</f>
        <v>1.370681939</v>
      </c>
      <c r="AG443" s="57">
        <f>IFERROR(__xludf.DUMMYFUNCTION("""COMPUTED_VALUE"""),2.9582658643536646)</f>
        <v>2.958265864</v>
      </c>
      <c r="AH443" s="57">
        <f>IFERROR(__xludf.DUMMYFUNCTION("""COMPUTED_VALUE"""),0.8399801818740854)</f>
        <v>0.8399801819</v>
      </c>
      <c r="AI443" s="57">
        <f>IFERROR(__xludf.DUMMYFUNCTION("""COMPUTED_VALUE"""),0.7593024399317649)</f>
        <v>0.7593024399</v>
      </c>
      <c r="AJ443" s="57">
        <f>IFERROR(__xludf.DUMMYFUNCTION("""COMPUTED_VALUE"""),1.3579936598254465)</f>
        <v>1.35799366</v>
      </c>
      <c r="AK443" s="57">
        <f>IFERROR(__xludf.DUMMYFUNCTION("""COMPUTED_VALUE"""),0.833787263385222)</f>
        <v>0.8337872634</v>
      </c>
      <c r="AL443" s="57">
        <f>IFERROR(__xludf.DUMMYFUNCTION("""COMPUTED_VALUE"""),0.7726534363447685)</f>
        <v>0.7726534363</v>
      </c>
      <c r="AM443" s="57">
        <f>IFERROR(__xludf.DUMMYFUNCTION("""COMPUTED_VALUE"""),0.9304895946460822)</f>
        <v>0.9304895946</v>
      </c>
      <c r="AN443" s="57">
        <f>IFERROR(__xludf.DUMMYFUNCTION("""COMPUTED_VALUE"""),0.7904523136694228)</f>
        <v>0.7904523137</v>
      </c>
      <c r="AO443" s="57">
        <f>IFERROR(__xludf.DUMMYFUNCTION("""COMPUTED_VALUE"""),1.0889665844233878)</f>
        <v>1.088966584</v>
      </c>
      <c r="AP443" s="35">
        <f>IFERROR(__xludf.DUMMYFUNCTION("""COMPUTED_VALUE"""),0.9302270029367062)</f>
        <v>0.9302270029</v>
      </c>
      <c r="AQ443" s="57">
        <f>IFERROR(__xludf.DUMMYFUNCTION("""COMPUTED_VALUE"""),0.9355081641174806)</f>
        <v>0.9355081641</v>
      </c>
      <c r="AR443" s="36" t="b">
        <f>IFERROR(__xludf.DUMMYFUNCTION("""COMPUTED_VALUE"""),TRUE)</f>
        <v>1</v>
      </c>
      <c r="AS443" s="57"/>
      <c r="AT443" s="37"/>
      <c r="AU443" s="30"/>
      <c r="AV443" s="30"/>
      <c r="AW443" s="30"/>
      <c r="AX443" s="30"/>
      <c r="AY443" s="30"/>
      <c r="AZ443" s="30"/>
    </row>
    <row r="444">
      <c r="A444" s="30" t="str">
        <f>IFERROR(__xludf.DUMMYFUNCTION("""COMPUTED_VALUE"""),"Premier")</f>
        <v>Premier</v>
      </c>
      <c r="B444" s="30" t="str">
        <f>IFERROR(__xludf.DUMMYFUNCTION("""COMPUTED_VALUE"""),"RSC005670")</f>
        <v>RSC005670</v>
      </c>
      <c r="C444" s="30" t="str">
        <f>IFERROR(__xludf.DUMMYFUNCTION("""COMPUTED_VALUE"""),"mesi")</f>
        <v>mesi</v>
      </c>
      <c r="D444" s="31" t="str">
        <f>IFERROR(__xludf.DUMMYFUNCTION("""COMPUTED_VALUE"""),"Old Heads")</f>
        <v>Old Heads</v>
      </c>
      <c r="E444" s="31">
        <f>IFERROR(__xludf.DUMMYFUNCTION("""COMPUTED_VALUE"""),57.40451421308602)</f>
        <v>57.40451421</v>
      </c>
      <c r="F444" s="31">
        <f>IFERROR(__xludf.DUMMYFUNCTION("""COMPUTED_VALUE"""),2.607248558250006)</f>
        <v>2.607248558</v>
      </c>
      <c r="G444" s="31">
        <f>IFERROR(__xludf.DUMMYFUNCTION("""COMPUTED_VALUE"""),50.596590754292556)</f>
        <v>50.59659075</v>
      </c>
      <c r="H444" s="31">
        <f>IFERROR(__xludf.DUMMYFUNCTION("""COMPUTED_VALUE"""),2.038816237536458)</f>
        <v>2.038816238</v>
      </c>
      <c r="I444" s="54">
        <f>IFERROR(__xludf.DUMMYFUNCTION("""COMPUTED_VALUE"""),36.0)</f>
        <v>36</v>
      </c>
      <c r="J444" s="55">
        <f>IFERROR(__xludf.DUMMYFUNCTION("""COMPUTED_VALUE"""),21.0)</f>
        <v>21</v>
      </c>
      <c r="K444" s="54">
        <f>IFERROR(__xludf.DUMMYFUNCTION("""COMPUTED_VALUE"""),15.0)</f>
        <v>15</v>
      </c>
      <c r="L444" s="56">
        <f>IFERROR(__xludf.DUMMYFUNCTION("""COMPUTED_VALUE"""),0.5833333333333334)</f>
        <v>0.5833333333</v>
      </c>
      <c r="M444" s="56">
        <f>IFERROR(__xludf.DUMMYFUNCTION("""COMPUTED_VALUE"""),0.32407407407407407)</f>
        <v>0.3240740741</v>
      </c>
      <c r="N444" s="31">
        <f>IFERROR(__xludf.DUMMYFUNCTION("""COMPUTED_VALUE"""),368.47222222222223)</f>
        <v>368.4722222</v>
      </c>
      <c r="O444" s="57">
        <f>IFERROR(__xludf.DUMMYFUNCTION("""COMPUTED_VALUE"""),0.9722222222222222)</f>
        <v>0.9722222222</v>
      </c>
      <c r="P444" s="57">
        <f>IFERROR(__xludf.DUMMYFUNCTION("""COMPUTED_VALUE"""),0.5)</f>
        <v>0.5</v>
      </c>
      <c r="Q444" s="57">
        <f>IFERROR(__xludf.DUMMYFUNCTION("""COMPUTED_VALUE"""),1.4444444444444444)</f>
        <v>1.444444444</v>
      </c>
      <c r="R444" s="57">
        <f>IFERROR(__xludf.DUMMYFUNCTION("""COMPUTED_VALUE"""),3.0)</f>
        <v>3</v>
      </c>
      <c r="S444" s="31">
        <f>IFERROR(__xludf.DUMMYFUNCTION("""COMPUTED_VALUE"""),371.8518518518518)</f>
        <v>371.8518519</v>
      </c>
      <c r="T444" s="57">
        <f>IFERROR(__xludf.DUMMYFUNCTION("""COMPUTED_VALUE"""),0.8611111111111112)</f>
        <v>0.8611111111</v>
      </c>
      <c r="U444" s="57">
        <f>IFERROR(__xludf.DUMMYFUNCTION("""COMPUTED_VALUE"""),0.6666666666666666)</f>
        <v>0.6666666667</v>
      </c>
      <c r="V444" s="57">
        <f>IFERROR(__xludf.DUMMYFUNCTION("""COMPUTED_VALUE"""),1.4629629629629632)</f>
        <v>1.462962963</v>
      </c>
      <c r="W444" s="57">
        <f>IFERROR(__xludf.DUMMYFUNCTION("""COMPUTED_VALUE"""),2.759259259259259)</f>
        <v>2.759259259</v>
      </c>
      <c r="X444" s="31">
        <f>IFERROR(__xludf.DUMMYFUNCTION("""COMPUTED_VALUE"""),381.89487213258366)</f>
        <v>381.8948721</v>
      </c>
      <c r="Y444" s="57">
        <f>IFERROR(__xludf.DUMMYFUNCTION("""COMPUTED_VALUE"""),0.8678445017904656)</f>
        <v>0.8678445018</v>
      </c>
      <c r="Z444" s="57">
        <f>IFERROR(__xludf.DUMMYFUNCTION("""COMPUTED_VALUE"""),0.7020369699833945)</f>
        <v>0.70203697</v>
      </c>
      <c r="AA444" s="57">
        <f>IFERROR(__xludf.DUMMYFUNCTION("""COMPUTED_VALUE"""),1.4289419644539552)</f>
        <v>1.428941964</v>
      </c>
      <c r="AB444" s="57">
        <f>IFERROR(__xludf.DUMMYFUNCTION("""COMPUTED_VALUE"""),2.7960066611185557)</f>
        <v>2.796006661</v>
      </c>
      <c r="AC444" s="31">
        <f>IFERROR(__xludf.DUMMYFUNCTION("""COMPUTED_VALUE"""),372.75393871263515)</f>
        <v>372.7539387</v>
      </c>
      <c r="AD444" s="57">
        <f>IFERROR(__xludf.DUMMYFUNCTION("""COMPUTED_VALUE"""),0.8130801265727025)</f>
        <v>0.8130801266</v>
      </c>
      <c r="AE444" s="57">
        <f>IFERROR(__xludf.DUMMYFUNCTION("""COMPUTED_VALUE"""),0.6184618648999491)</f>
        <v>0.6184618649</v>
      </c>
      <c r="AF444" s="57">
        <f>IFERROR(__xludf.DUMMYFUNCTION("""COMPUTED_VALUE"""),1.4680371773202083)</f>
        <v>1.468037177</v>
      </c>
      <c r="AG444" s="57">
        <f>IFERROR(__xludf.DUMMYFUNCTION("""COMPUTED_VALUE"""),2.699770866729807)</f>
        <v>2.699770867</v>
      </c>
      <c r="AH444" s="57">
        <f>IFERROR(__xludf.DUMMYFUNCTION("""COMPUTED_VALUE"""),0.9885132897449709)</f>
        <v>0.9885132897</v>
      </c>
      <c r="AI444" s="57">
        <f>IFERROR(__xludf.DUMMYFUNCTION("""COMPUTED_VALUE"""),1.1957274448710682)</f>
        <v>1.195727445</v>
      </c>
      <c r="AJ444" s="57">
        <f>IFERROR(__xludf.DUMMYFUNCTION("""COMPUTED_VALUE"""),0.8084572847201934)</f>
        <v>0.8084572847</v>
      </c>
      <c r="AK444" s="57">
        <f>IFERROR(__xludf.DUMMYFUNCTION("""COMPUTED_VALUE"""),0.9839290630780682)</f>
        <v>0.9839290631</v>
      </c>
      <c r="AL444" s="57">
        <f>IFERROR(__xludf.DUMMYFUNCTION("""COMPUTED_VALUE"""),1.111205412640761)</f>
        <v>1.111205413</v>
      </c>
      <c r="AM444" s="57">
        <f>IFERROR(__xludf.DUMMYFUNCTION("""COMPUTED_VALUE"""),0.9737021337190273)</f>
        <v>0.9737021337</v>
      </c>
      <c r="AN444" s="57">
        <f>IFERROR(__xludf.DUMMYFUNCTION("""COMPUTED_VALUE"""),0.9922412475213443)</f>
        <v>0.9922412475</v>
      </c>
      <c r="AO444" s="57">
        <f>IFERROR(__xludf.DUMMYFUNCTION("""COMPUTED_VALUE"""),0.9496176058682999)</f>
        <v>0.9496176059</v>
      </c>
      <c r="AP444" s="35">
        <f>IFERROR(__xludf.DUMMYFUNCTION("""COMPUTED_VALUE"""),1.0238085236176884)</f>
        <v>1.023808524</v>
      </c>
      <c r="AQ444" s="57">
        <f>IFERROR(__xludf.DUMMYFUNCTION("""COMPUTED_VALUE"""),0.986857183721946)</f>
        <v>0.9868571837</v>
      </c>
      <c r="AR444" s="36" t="b">
        <f>IFERROR(__xludf.DUMMYFUNCTION("""COMPUTED_VALUE"""),TRUE)</f>
        <v>1</v>
      </c>
      <c r="AS444" s="57"/>
      <c r="AT444" s="37"/>
      <c r="AU444" s="30"/>
      <c r="AV444" s="30"/>
      <c r="AW444" s="30"/>
      <c r="AX444" s="30"/>
      <c r="AY444" s="30"/>
      <c r="AZ444" s="30"/>
    </row>
    <row r="445">
      <c r="A445" s="30" t="str">
        <f>IFERROR(__xludf.DUMMYFUNCTION("""COMPUTED_VALUE"""),"Premier")</f>
        <v>Premier</v>
      </c>
      <c r="B445" s="30" t="str">
        <f>IFERROR(__xludf.DUMMYFUNCTION("""COMPUTED_VALUE"""),"RSC007450")</f>
        <v>RSC007450</v>
      </c>
      <c r="C445" s="30" t="str">
        <f>IFERROR(__xludf.DUMMYFUNCTION("""COMPUTED_VALUE"""),"kev")</f>
        <v>kev</v>
      </c>
      <c r="D445" s="31" t="str">
        <f>IFERROR(__xludf.DUMMYFUNCTION("""COMPUTED_VALUE"""),"Gummy Bears")</f>
        <v>Gummy Bears</v>
      </c>
      <c r="E445" s="31">
        <f>IFERROR(__xludf.DUMMYFUNCTION("""COMPUTED_VALUE"""),55.66754933790899)</f>
        <v>55.66754934</v>
      </c>
      <c r="F445" s="31">
        <f>IFERROR(__xludf.DUMMYFUNCTION("""COMPUTED_VALUE"""),2.437076237788072)</f>
        <v>2.437076238</v>
      </c>
      <c r="G445" s="31">
        <f>IFERROR(__xludf.DUMMYFUNCTION("""COMPUTED_VALUE"""),53.835902357169836)</f>
        <v>53.83590236</v>
      </c>
      <c r="H445" s="31">
        <f>IFERROR(__xludf.DUMMYFUNCTION("""COMPUTED_VALUE"""),2.277763244843971)</f>
        <v>2.277763245</v>
      </c>
      <c r="I445" s="54">
        <f>IFERROR(__xludf.DUMMYFUNCTION("""COMPUTED_VALUE"""),24.0)</f>
        <v>24</v>
      </c>
      <c r="J445" s="55">
        <f>IFERROR(__xludf.DUMMYFUNCTION("""COMPUTED_VALUE"""),13.0)</f>
        <v>13</v>
      </c>
      <c r="K445" s="54">
        <f>IFERROR(__xludf.DUMMYFUNCTION("""COMPUTED_VALUE"""),11.0)</f>
        <v>11</v>
      </c>
      <c r="L445" s="56">
        <f>IFERROR(__xludf.DUMMYFUNCTION("""COMPUTED_VALUE"""),0.5416666666666666)</f>
        <v>0.5416666667</v>
      </c>
      <c r="M445" s="56">
        <f>IFERROR(__xludf.DUMMYFUNCTION("""COMPUTED_VALUE"""),0.39062500000000006)</f>
        <v>0.390625</v>
      </c>
      <c r="N445" s="31">
        <f>IFERROR(__xludf.DUMMYFUNCTION("""COMPUTED_VALUE"""),405.0833333333333)</f>
        <v>405.0833333</v>
      </c>
      <c r="O445" s="57">
        <f>IFERROR(__xludf.DUMMYFUNCTION("""COMPUTED_VALUE"""),1.0416666666666667)</f>
        <v>1.041666667</v>
      </c>
      <c r="P445" s="57">
        <f>IFERROR(__xludf.DUMMYFUNCTION("""COMPUTED_VALUE"""),0.5416666666666666)</f>
        <v>0.5416666667</v>
      </c>
      <c r="Q445" s="57">
        <f>IFERROR(__xludf.DUMMYFUNCTION("""COMPUTED_VALUE"""),1.4583333333333333)</f>
        <v>1.458333333</v>
      </c>
      <c r="R445" s="57">
        <f>IFERROR(__xludf.DUMMYFUNCTION("""COMPUTED_VALUE"""),2.6666666666666665)</f>
        <v>2.666666667</v>
      </c>
      <c r="S445" s="31">
        <f>IFERROR(__xludf.DUMMYFUNCTION("""COMPUTED_VALUE"""),360.2916666666667)</f>
        <v>360.2916667</v>
      </c>
      <c r="T445" s="57">
        <f>IFERROR(__xludf.DUMMYFUNCTION("""COMPUTED_VALUE"""),0.8472222222222222)</f>
        <v>0.8472222222</v>
      </c>
      <c r="U445" s="57">
        <f>IFERROR(__xludf.DUMMYFUNCTION("""COMPUTED_VALUE"""),0.6666666666666666)</f>
        <v>0.6666666667</v>
      </c>
      <c r="V445" s="57">
        <f>IFERROR(__xludf.DUMMYFUNCTION("""COMPUTED_VALUE"""),1.2638888888888886)</f>
        <v>1.263888889</v>
      </c>
      <c r="W445" s="57">
        <f>IFERROR(__xludf.DUMMYFUNCTION("""COMPUTED_VALUE"""),2.8750000000000004)</f>
        <v>2.875</v>
      </c>
      <c r="X445" s="31">
        <f>IFERROR(__xludf.DUMMYFUNCTION("""COMPUTED_VALUE"""),358.05974088492945)</f>
        <v>358.0597409</v>
      </c>
      <c r="Y445" s="57">
        <f>IFERROR(__xludf.DUMMYFUNCTION("""COMPUTED_VALUE"""),0.7616591456599447)</f>
        <v>0.7616591457</v>
      </c>
      <c r="Z445" s="57">
        <f>IFERROR(__xludf.DUMMYFUNCTION("""COMPUTED_VALUE"""),0.6593993319447106)</f>
        <v>0.6593993319</v>
      </c>
      <c r="AA445" s="57">
        <f>IFERROR(__xludf.DUMMYFUNCTION("""COMPUTED_VALUE"""),1.3904851195149845)</f>
        <v>1.39048512</v>
      </c>
      <c r="AB445" s="57">
        <f>IFERROR(__xludf.DUMMYFUNCTION("""COMPUTED_VALUE"""),2.5713549361439387)</f>
        <v>2.571354936</v>
      </c>
      <c r="AC445" s="31">
        <f>IFERROR(__xludf.DUMMYFUNCTION("""COMPUTED_VALUE"""),371.104711300904)</f>
        <v>371.1047113</v>
      </c>
      <c r="AD445" s="57">
        <f>IFERROR(__xludf.DUMMYFUNCTION("""COMPUTED_VALUE"""),0.8340842298797307)</f>
        <v>0.8340842299</v>
      </c>
      <c r="AE445" s="57">
        <f>IFERROR(__xludf.DUMMYFUNCTION("""COMPUTED_VALUE"""),0.6560802423466724)</f>
        <v>0.6560802423</v>
      </c>
      <c r="AF445" s="57">
        <f>IFERROR(__xludf.DUMMYFUNCTION("""COMPUTED_VALUE"""),1.3920481889857117)</f>
        <v>1.392048189</v>
      </c>
      <c r="AG445" s="57">
        <f>IFERROR(__xludf.DUMMYFUNCTION("""COMPUTED_VALUE"""),2.7709144892210382)</f>
        <v>2.770914489</v>
      </c>
      <c r="AH445" s="57">
        <f>IFERROR(__xludf.DUMMYFUNCTION("""COMPUTED_VALUE"""),1.0915607401299692)</f>
        <v>1.09156074</v>
      </c>
      <c r="AI445" s="57">
        <f>IFERROR(__xludf.DUMMYFUNCTION("""COMPUTED_VALUE"""),1.2488746691888275)</f>
        <v>1.248874669</v>
      </c>
      <c r="AJ445" s="57">
        <f>IFERROR(__xludf.DUMMYFUNCTION("""COMPUTED_VALUE"""),0.8256103929135703)</f>
        <v>0.8256103929</v>
      </c>
      <c r="AK445" s="57">
        <f>IFERROR(__xludf.DUMMYFUNCTION("""COMPUTED_VALUE"""),1.0476169897508498)</f>
        <v>1.04761699</v>
      </c>
      <c r="AL445" s="57">
        <f>IFERROR(__xludf.DUMMYFUNCTION("""COMPUTED_VALUE"""),0.9623778276233714)</f>
        <v>0.9623778276</v>
      </c>
      <c r="AM445" s="57">
        <f>IFERROR(__xludf.DUMMYFUNCTION("""COMPUTED_VALUE"""),1.0062333893674311)</f>
        <v>1.006233389</v>
      </c>
      <c r="AN445" s="57">
        <f>IFERROR(__xludf.DUMMYFUNCTION("""COMPUTED_VALUE"""),1.1123377524576834)</f>
        <v>1.112337752</v>
      </c>
      <c r="AO445" s="57">
        <f>IFERROR(__xludf.DUMMYFUNCTION("""COMPUTED_VALUE"""),1.0110211435921888)</f>
        <v>1.011021144</v>
      </c>
      <c r="AP445" s="35">
        <f>IFERROR(__xludf.DUMMYFUNCTION("""COMPUTED_VALUE"""),0.9089553502951158)</f>
        <v>0.9089553503</v>
      </c>
      <c r="AQ445" s="57">
        <f>IFERROR(__xludf.DUMMYFUNCTION("""COMPUTED_VALUE"""),1.1180875730487112)</f>
        <v>1.118087573</v>
      </c>
      <c r="AR445" s="36" t="b">
        <f>IFERROR(__xludf.DUMMYFUNCTION("""COMPUTED_VALUE"""),TRUE)</f>
        <v>1</v>
      </c>
      <c r="AS445" s="57"/>
      <c r="AT445" s="37"/>
      <c r="AU445" s="30"/>
      <c r="AV445" s="30"/>
      <c r="AW445" s="30"/>
      <c r="AX445" s="30"/>
      <c r="AY445" s="30"/>
      <c r="AZ445" s="30"/>
    </row>
    <row r="446">
      <c r="A446" s="30" t="str">
        <f>IFERROR(__xludf.DUMMYFUNCTION("""COMPUTED_VALUE"""),"Premier")</f>
        <v>Premier</v>
      </c>
      <c r="B446" s="30" t="str">
        <f>IFERROR(__xludf.DUMMYFUNCTION("""COMPUTED_VALUE"""),"RSC007721")</f>
        <v>RSC007721</v>
      </c>
      <c r="C446" s="30" t="str">
        <f>IFERROR(__xludf.DUMMYFUNCTION("""COMPUTED_VALUE"""),"Ace!")</f>
        <v>Ace!</v>
      </c>
      <c r="D446" s="31" t="str">
        <f>IFERROR(__xludf.DUMMYFUNCTION("""COMPUTED_VALUE"""),"Gummy Bears")</f>
        <v>Gummy Bears</v>
      </c>
      <c r="E446" s="31">
        <f>IFERROR(__xludf.DUMMYFUNCTION("""COMPUTED_VALUE"""),53.46586260300315)</f>
        <v>53.4658626</v>
      </c>
      <c r="F446" s="31">
        <f>IFERROR(__xludf.DUMMYFUNCTION("""COMPUTED_VALUE"""),2.247850272298438)</f>
        <v>2.247850272</v>
      </c>
      <c r="G446" s="31">
        <f>IFERROR(__xludf.DUMMYFUNCTION("""COMPUTED_VALUE"""),50.540081771498684)</f>
        <v>50.54008177</v>
      </c>
      <c r="H446" s="31">
        <f>IFERROR(__xludf.DUMMYFUNCTION("""COMPUTED_VALUE"""),2.035075701154478)</f>
        <v>2.035075701</v>
      </c>
      <c r="I446" s="54">
        <f>IFERROR(__xludf.DUMMYFUNCTION("""COMPUTED_VALUE"""),23.0)</f>
        <v>23</v>
      </c>
      <c r="J446" s="55">
        <f>IFERROR(__xludf.DUMMYFUNCTION("""COMPUTED_VALUE"""),14.0)</f>
        <v>14</v>
      </c>
      <c r="K446" s="54">
        <f>IFERROR(__xludf.DUMMYFUNCTION("""COMPUTED_VALUE"""),9.0)</f>
        <v>9</v>
      </c>
      <c r="L446" s="56">
        <f>IFERROR(__xludf.DUMMYFUNCTION("""COMPUTED_VALUE"""),0.6086956521739131)</f>
        <v>0.6086956522</v>
      </c>
      <c r="M446" s="56">
        <f>IFERROR(__xludf.DUMMYFUNCTION("""COMPUTED_VALUE"""),0.22033898305084745)</f>
        <v>0.2203389831</v>
      </c>
      <c r="N446" s="31">
        <f>IFERROR(__xludf.DUMMYFUNCTION("""COMPUTED_VALUE"""),391.95652173913044)</f>
        <v>391.9565217</v>
      </c>
      <c r="O446" s="57">
        <f>IFERROR(__xludf.DUMMYFUNCTION("""COMPUTED_VALUE"""),0.5652173913043478)</f>
        <v>0.5652173913</v>
      </c>
      <c r="P446" s="57">
        <f>IFERROR(__xludf.DUMMYFUNCTION("""COMPUTED_VALUE"""),0.9130434782608695)</f>
        <v>0.9130434783</v>
      </c>
      <c r="Q446" s="57">
        <f>IFERROR(__xludf.DUMMYFUNCTION("""COMPUTED_VALUE"""),1.6956521739130435)</f>
        <v>1.695652174</v>
      </c>
      <c r="R446" s="57">
        <f>IFERROR(__xludf.DUMMYFUNCTION("""COMPUTED_VALUE"""),2.5652173913043477)</f>
        <v>2.565217391</v>
      </c>
      <c r="S446" s="31">
        <f>IFERROR(__xludf.DUMMYFUNCTION("""COMPUTED_VALUE"""),354.0144927536232)</f>
        <v>354.0144928</v>
      </c>
      <c r="T446" s="57">
        <f>IFERROR(__xludf.DUMMYFUNCTION("""COMPUTED_VALUE"""),0.898550724637681)</f>
        <v>0.8985507246</v>
      </c>
      <c r="U446" s="57">
        <f>IFERROR(__xludf.DUMMYFUNCTION("""COMPUTED_VALUE"""),0.6666666666666665)</f>
        <v>0.6666666667</v>
      </c>
      <c r="V446" s="57">
        <f>IFERROR(__xludf.DUMMYFUNCTION("""COMPUTED_VALUE"""),1.2028985507246375)</f>
        <v>1.202898551</v>
      </c>
      <c r="W446" s="57">
        <f>IFERROR(__xludf.DUMMYFUNCTION("""COMPUTED_VALUE"""),3.0000000000000004)</f>
        <v>3</v>
      </c>
      <c r="X446" s="31">
        <f>IFERROR(__xludf.DUMMYFUNCTION("""COMPUTED_VALUE"""),352.19663668320527)</f>
        <v>352.1966367</v>
      </c>
      <c r="Y446" s="57">
        <f>IFERROR(__xludf.DUMMYFUNCTION("""COMPUTED_VALUE"""),0.7514585250281565)</f>
        <v>0.751458525</v>
      </c>
      <c r="Z446" s="57">
        <f>IFERROR(__xludf.DUMMYFUNCTION("""COMPUTED_VALUE"""),0.6206766247377584)</f>
        <v>0.6206766247</v>
      </c>
      <c r="AA446" s="57">
        <f>IFERROR(__xludf.DUMMYFUNCTION("""COMPUTED_VALUE"""),1.3371701995856355)</f>
        <v>1.3371702</v>
      </c>
      <c r="AB446" s="57">
        <f>IFERROR(__xludf.DUMMYFUNCTION("""COMPUTED_VALUE"""),2.6571084368976456)</f>
        <v>2.657108437</v>
      </c>
      <c r="AC446" s="31">
        <f>IFERROR(__xludf.DUMMYFUNCTION("""COMPUTED_VALUE"""),380.0511277489022)</f>
        <v>380.0511277</v>
      </c>
      <c r="AD446" s="57">
        <f>IFERROR(__xludf.DUMMYFUNCTION("""COMPUTED_VALUE"""),0.8596589914529855)</f>
        <v>0.8596589915</v>
      </c>
      <c r="AE446" s="57">
        <f>IFERROR(__xludf.DUMMYFUNCTION("""COMPUTED_VALUE"""),0.6952089771690051)</f>
        <v>0.6952089772</v>
      </c>
      <c r="AF446" s="57">
        <f>IFERROR(__xludf.DUMMYFUNCTION("""COMPUTED_VALUE"""),1.4509030415968787)</f>
        <v>1.450903042</v>
      </c>
      <c r="AG446" s="57">
        <f>IFERROR(__xludf.DUMMYFUNCTION("""COMPUTED_VALUE"""),2.7761977714570327)</f>
        <v>2.776197771</v>
      </c>
      <c r="AH446" s="57">
        <f>IFERROR(__xludf.DUMMYFUNCTION("""COMPUTED_VALUE"""),1.0313257694056734)</f>
        <v>1.031325769</v>
      </c>
      <c r="AI446" s="57">
        <f>IFERROR(__xludf.DUMMYFUNCTION("""COMPUTED_VALUE"""),0.6574902338298398)</f>
        <v>0.6574902338</v>
      </c>
      <c r="AJ446" s="57">
        <f>IFERROR(__xludf.DUMMYFUNCTION("""COMPUTED_VALUE"""),1.3133367206777438)</f>
        <v>1.313336721</v>
      </c>
      <c r="AK446" s="57">
        <f>IFERROR(__xludf.DUMMYFUNCTION("""COMPUTED_VALUE"""),1.1686874486435643)</f>
        <v>1.168687449</v>
      </c>
      <c r="AL446" s="57">
        <f>IFERROR(__xludf.DUMMYFUNCTION("""COMPUTED_VALUE"""),0.9240038363542248)</f>
        <v>0.9240038364</v>
      </c>
      <c r="AM446" s="57">
        <f>IFERROR(__xludf.DUMMYFUNCTION("""COMPUTED_VALUE"""),1.0051614804943554)</f>
        <v>1.00516148</v>
      </c>
      <c r="AN446" s="57">
        <f>IFERROR(__xludf.DUMMYFUNCTION("""COMPUTED_VALUE"""),1.1957422728074223)</f>
        <v>1.195742273</v>
      </c>
      <c r="AO446" s="57">
        <f>IFERROR(__xludf.DUMMYFUNCTION("""COMPUTED_VALUE"""),1.0740966230979607)</f>
        <v>1.074096623</v>
      </c>
      <c r="AP446" s="35">
        <f>IFERROR(__xludf.DUMMYFUNCTION("""COMPUTED_VALUE"""),0.8995852219092182)</f>
        <v>0.8995852219</v>
      </c>
      <c r="AQ446" s="57">
        <f>IFERROR(__xludf.DUMMYFUNCTION("""COMPUTED_VALUE"""),1.1290468835749525)</f>
        <v>1.129046884</v>
      </c>
      <c r="AR446" s="36" t="b">
        <f>IFERROR(__xludf.DUMMYFUNCTION("""COMPUTED_VALUE"""),TRUE)</f>
        <v>1</v>
      </c>
      <c r="AS446" s="57"/>
      <c r="AT446" s="37"/>
      <c r="AU446" s="30"/>
      <c r="AV446" s="30"/>
      <c r="AW446" s="30"/>
      <c r="AX446" s="30"/>
      <c r="AY446" s="30"/>
      <c r="AZ446" s="30"/>
    </row>
    <row r="447">
      <c r="A447" s="30" t="str">
        <f>IFERROR(__xludf.DUMMYFUNCTION("""COMPUTED_VALUE"""),"Premier")</f>
        <v>Premier</v>
      </c>
      <c r="B447" s="30" t="str">
        <f>IFERROR(__xludf.DUMMYFUNCTION("""COMPUTED_VALUE"""),"RSC007845")</f>
        <v>RSC007845</v>
      </c>
      <c r="C447" s="30" t="str">
        <f>IFERROR(__xludf.DUMMYFUNCTION("""COMPUTED_VALUE"""),"Enchanted")</f>
        <v>Enchanted</v>
      </c>
      <c r="D447" s="31" t="str">
        <f>IFERROR(__xludf.DUMMYFUNCTION("""COMPUTED_VALUE"""),"Old Heads")</f>
        <v>Old Heads</v>
      </c>
      <c r="E447" s="31">
        <f>IFERROR(__xludf.DUMMYFUNCTION("""COMPUTED_VALUE"""),49.87389812608941)</f>
        <v>49.87389813</v>
      </c>
      <c r="F447" s="31">
        <f>IFERROR(__xludf.DUMMYFUNCTION("""COMPUTED_VALUE"""),-2.008081670197877)</f>
        <v>-2.00808167</v>
      </c>
      <c r="G447" s="31">
        <f>IFERROR(__xludf.DUMMYFUNCTION("""COMPUTED_VALUE"""),43.93685317867472)</f>
        <v>43.93685318</v>
      </c>
      <c r="H447" s="31">
        <f>IFERROR(__xludf.DUMMYFUNCTION("""COMPUTED_VALUE"""),-2.4741062773486653)</f>
        <v>-2.474106277</v>
      </c>
      <c r="I447" s="54">
        <f>IFERROR(__xludf.DUMMYFUNCTION("""COMPUTED_VALUE"""),36.0)</f>
        <v>36</v>
      </c>
      <c r="J447" s="55">
        <f>IFERROR(__xludf.DUMMYFUNCTION("""COMPUTED_VALUE"""),21.0)</f>
        <v>21</v>
      </c>
      <c r="K447" s="54">
        <f>IFERROR(__xludf.DUMMYFUNCTION("""COMPUTED_VALUE"""),15.0)</f>
        <v>15</v>
      </c>
      <c r="L447" s="56">
        <f>IFERROR(__xludf.DUMMYFUNCTION("""COMPUTED_VALUE"""),0.5833333333333334)</f>
        <v>0.5833333333</v>
      </c>
      <c r="M447" s="56">
        <f>IFERROR(__xludf.DUMMYFUNCTION("""COMPUTED_VALUE"""),0.3176470588235294)</f>
        <v>0.3176470588</v>
      </c>
      <c r="N447" s="31">
        <f>IFERROR(__xludf.DUMMYFUNCTION("""COMPUTED_VALUE"""),366.02777777777777)</f>
        <v>366.0277778</v>
      </c>
      <c r="O447" s="57">
        <f>IFERROR(__xludf.DUMMYFUNCTION("""COMPUTED_VALUE"""),0.75)</f>
        <v>0.75</v>
      </c>
      <c r="P447" s="57">
        <f>IFERROR(__xludf.DUMMYFUNCTION("""COMPUTED_VALUE"""),0.6388888888888888)</f>
        <v>0.6388888889</v>
      </c>
      <c r="Q447" s="57">
        <f>IFERROR(__xludf.DUMMYFUNCTION("""COMPUTED_VALUE"""),1.3888888888888888)</f>
        <v>1.388888889</v>
      </c>
      <c r="R447" s="57">
        <f>IFERROR(__xludf.DUMMYFUNCTION("""COMPUTED_VALUE"""),2.361111111111111)</f>
        <v>2.361111111</v>
      </c>
      <c r="S447" s="31">
        <f>IFERROR(__xludf.DUMMYFUNCTION("""COMPUTED_VALUE"""),371.8518518518518)</f>
        <v>371.8518519</v>
      </c>
      <c r="T447" s="57">
        <f>IFERROR(__xludf.DUMMYFUNCTION("""COMPUTED_VALUE"""),0.8611111111111112)</f>
        <v>0.8611111111</v>
      </c>
      <c r="U447" s="57">
        <f>IFERROR(__xludf.DUMMYFUNCTION("""COMPUTED_VALUE"""),0.6666666666666666)</f>
        <v>0.6666666667</v>
      </c>
      <c r="V447" s="57">
        <f>IFERROR(__xludf.DUMMYFUNCTION("""COMPUTED_VALUE"""),1.4629629629629632)</f>
        <v>1.462962963</v>
      </c>
      <c r="W447" s="57">
        <f>IFERROR(__xludf.DUMMYFUNCTION("""COMPUTED_VALUE"""),2.759259259259259)</f>
        <v>2.759259259</v>
      </c>
      <c r="X447" s="31">
        <f>IFERROR(__xludf.DUMMYFUNCTION("""COMPUTED_VALUE"""),381.89487213258366)</f>
        <v>381.8948721</v>
      </c>
      <c r="Y447" s="57">
        <f>IFERROR(__xludf.DUMMYFUNCTION("""COMPUTED_VALUE"""),0.8678445017904656)</f>
        <v>0.8678445018</v>
      </c>
      <c r="Z447" s="57">
        <f>IFERROR(__xludf.DUMMYFUNCTION("""COMPUTED_VALUE"""),0.7020369699833945)</f>
        <v>0.70203697</v>
      </c>
      <c r="AA447" s="57">
        <f>IFERROR(__xludf.DUMMYFUNCTION("""COMPUTED_VALUE"""),1.4289419644539552)</f>
        <v>1.428941964</v>
      </c>
      <c r="AB447" s="57">
        <f>IFERROR(__xludf.DUMMYFUNCTION("""COMPUTED_VALUE"""),2.7960066611185557)</f>
        <v>2.796006661</v>
      </c>
      <c r="AC447" s="31">
        <f>IFERROR(__xludf.DUMMYFUNCTION("""COMPUTED_VALUE"""),372.75393871263515)</f>
        <v>372.7539387</v>
      </c>
      <c r="AD447" s="57">
        <f>IFERROR(__xludf.DUMMYFUNCTION("""COMPUTED_VALUE"""),0.8130801265727025)</f>
        <v>0.8130801266</v>
      </c>
      <c r="AE447" s="57">
        <f>IFERROR(__xludf.DUMMYFUNCTION("""COMPUTED_VALUE"""),0.6184618648999491)</f>
        <v>0.6184618649</v>
      </c>
      <c r="AF447" s="57">
        <f>IFERROR(__xludf.DUMMYFUNCTION("""COMPUTED_VALUE"""),1.4680371773202083)</f>
        <v>1.468037177</v>
      </c>
      <c r="AG447" s="57">
        <f>IFERROR(__xludf.DUMMYFUNCTION("""COMPUTED_VALUE"""),2.699770866729807)</f>
        <v>2.699770867</v>
      </c>
      <c r="AH447" s="57">
        <f>IFERROR(__xludf.DUMMYFUNCTION("""COMPUTED_VALUE"""),0.9819554933260068)</f>
        <v>0.9819554933</v>
      </c>
      <c r="AI447" s="57">
        <f>IFERROR(__xludf.DUMMYFUNCTION("""COMPUTED_VALUE"""),0.922418314614824)</f>
        <v>0.9224183146</v>
      </c>
      <c r="AJ447" s="57">
        <f>IFERROR(__xludf.DUMMYFUNCTION("""COMPUTED_VALUE"""),1.0330287526980249)</f>
        <v>1.033028753</v>
      </c>
      <c r="AK447" s="57">
        <f>IFERROR(__xludf.DUMMYFUNCTION("""COMPUTED_VALUE"""),0.9460856375750656)</f>
        <v>0.9460856376</v>
      </c>
      <c r="AL447" s="57">
        <f>IFERROR(__xludf.DUMMYFUNCTION("""COMPUTED_VALUE"""),0.8745598155043026)</f>
        <v>0.8745598155</v>
      </c>
      <c r="AM447" s="57">
        <f>IFERROR(__xludf.DUMMYFUNCTION("""COMPUTED_VALUE"""),0.9737021337190273)</f>
        <v>0.9737021337</v>
      </c>
      <c r="AN447" s="57">
        <f>IFERROR(__xludf.DUMMYFUNCTION("""COMPUTED_VALUE"""),0.9922412475213443)</f>
        <v>0.9922412475</v>
      </c>
      <c r="AO447" s="57">
        <f>IFERROR(__xludf.DUMMYFUNCTION("""COMPUTED_VALUE"""),0.9496176058682999)</f>
        <v>0.9496176059</v>
      </c>
      <c r="AP447" s="35">
        <f>IFERROR(__xludf.DUMMYFUNCTION("""COMPUTED_VALUE"""),1.0238085236176884)</f>
        <v>1.023808524</v>
      </c>
      <c r="AQ447" s="57">
        <f>IFERROR(__xludf.DUMMYFUNCTION("""COMPUTED_VALUE"""),0.986857183721946)</f>
        <v>0.9868571837</v>
      </c>
      <c r="AR447" s="36" t="b">
        <f>IFERROR(__xludf.DUMMYFUNCTION("""COMPUTED_VALUE"""),TRUE)</f>
        <v>1</v>
      </c>
      <c r="AS447" s="57"/>
      <c r="AT447" s="37"/>
      <c r="AU447" s="30"/>
      <c r="AV447" s="30"/>
      <c r="AW447" s="30"/>
      <c r="AX447" s="30"/>
      <c r="AY447" s="30"/>
      <c r="AZ447" s="30"/>
    </row>
    <row r="448">
      <c r="A448" s="30" t="str">
        <f>IFERROR(__xludf.DUMMYFUNCTION("""COMPUTED_VALUE"""),"Premier")</f>
        <v>Premier</v>
      </c>
      <c r="B448" s="30" t="str">
        <f>IFERROR(__xludf.DUMMYFUNCTION("""COMPUTED_VALUE"""),"RSC007569")</f>
        <v>RSC007569</v>
      </c>
      <c r="C448" s="30" t="str">
        <f>IFERROR(__xludf.DUMMYFUNCTION("""COMPUTED_VALUE"""),"newo")</f>
        <v>newo</v>
      </c>
      <c r="D448" s="31" t="str">
        <f>IFERROR(__xludf.DUMMYFUNCTION("""COMPUTED_VALUE"""),"Gummy Bears")</f>
        <v>Gummy Bears</v>
      </c>
      <c r="E448" s="31">
        <f>IFERROR(__xludf.DUMMYFUNCTION("""COMPUTED_VALUE"""),49.59115616672777)</f>
        <v>49.59115617</v>
      </c>
      <c r="F448" s="31">
        <f>IFERROR(__xludf.DUMMYFUNCTION("""COMPUTED_VALUE"""),-2.026440644307799)</f>
        <v>-2.026440644</v>
      </c>
      <c r="G448" s="31">
        <f>IFERROR(__xludf.DUMMYFUNCTION("""COMPUTED_VALUE"""),39.77186799801907)</f>
        <v>39.771868</v>
      </c>
      <c r="H448" s="31">
        <f>IFERROR(__xludf.DUMMYFUNCTION("""COMPUTED_VALUE"""),-2.930627397175997)</f>
        <v>-2.930627397</v>
      </c>
      <c r="I448" s="54">
        <f>IFERROR(__xludf.DUMMYFUNCTION("""COMPUTED_VALUE"""),25.0)</f>
        <v>25</v>
      </c>
      <c r="J448" s="55">
        <f>IFERROR(__xludf.DUMMYFUNCTION("""COMPUTED_VALUE"""),16.0)</f>
        <v>16</v>
      </c>
      <c r="K448" s="54">
        <f>IFERROR(__xludf.DUMMYFUNCTION("""COMPUTED_VALUE"""),9.0)</f>
        <v>9</v>
      </c>
      <c r="L448" s="56">
        <f>IFERROR(__xludf.DUMMYFUNCTION("""COMPUTED_VALUE"""),0.64)</f>
        <v>0.64</v>
      </c>
      <c r="M448" s="56">
        <f>IFERROR(__xludf.DUMMYFUNCTION("""COMPUTED_VALUE"""),0.37037037037037035)</f>
        <v>0.3703703704</v>
      </c>
      <c r="N448" s="31">
        <f>IFERROR(__xludf.DUMMYFUNCTION("""COMPUTED_VALUE"""),335.56)</f>
        <v>335.56</v>
      </c>
      <c r="O448" s="57">
        <f>IFERROR(__xludf.DUMMYFUNCTION("""COMPUTED_VALUE"""),0.8)</f>
        <v>0.8</v>
      </c>
      <c r="P448" s="57">
        <f>IFERROR(__xludf.DUMMYFUNCTION("""COMPUTED_VALUE"""),0.72)</f>
        <v>0.72</v>
      </c>
      <c r="Q448" s="57">
        <f>IFERROR(__xludf.DUMMYFUNCTION("""COMPUTED_VALUE"""),1.08)</f>
        <v>1.08</v>
      </c>
      <c r="R448" s="57">
        <f>IFERROR(__xludf.DUMMYFUNCTION("""COMPUTED_VALUE"""),2.16)</f>
        <v>2.16</v>
      </c>
      <c r="S448" s="31">
        <f>IFERROR(__xludf.DUMMYFUNCTION("""COMPUTED_VALUE"""),332.78666666666663)</f>
        <v>332.7866667</v>
      </c>
      <c r="T448" s="57">
        <f>IFERROR(__xludf.DUMMYFUNCTION("""COMPUTED_VALUE"""),0.7333333333333333)</f>
        <v>0.7333333333</v>
      </c>
      <c r="U448" s="57">
        <f>IFERROR(__xludf.DUMMYFUNCTION("""COMPUTED_VALUE"""),0.5466666666666667)</f>
        <v>0.5466666667</v>
      </c>
      <c r="V448" s="57">
        <f>IFERROR(__xludf.DUMMYFUNCTION("""COMPUTED_VALUE"""),1.2266666666666663)</f>
        <v>1.226666667</v>
      </c>
      <c r="W448" s="57">
        <f>IFERROR(__xludf.DUMMYFUNCTION("""COMPUTED_VALUE"""),2.7066666666666674)</f>
        <v>2.706666667</v>
      </c>
      <c r="X448" s="31">
        <f>IFERROR(__xludf.DUMMYFUNCTION("""COMPUTED_VALUE"""),357.20444243973924)</f>
        <v>357.2044424</v>
      </c>
      <c r="Y448" s="57">
        <f>IFERROR(__xludf.DUMMYFUNCTION("""COMPUTED_VALUE"""),0.7443729026483946)</f>
        <v>0.7443729026</v>
      </c>
      <c r="Z448" s="57">
        <f>IFERROR(__xludf.DUMMYFUNCTION("""COMPUTED_VALUE"""),0.6544685926093099)</f>
        <v>0.6544685926</v>
      </c>
      <c r="AA448" s="57">
        <f>IFERROR(__xludf.DUMMYFUNCTION("""COMPUTED_VALUE"""),1.3873711307815473)</f>
        <v>1.387371131</v>
      </c>
      <c r="AB448" s="57">
        <f>IFERROR(__xludf.DUMMYFUNCTION("""COMPUTED_VALUE"""),2.639155886909307)</f>
        <v>2.639155887</v>
      </c>
      <c r="AC448" s="31">
        <f>IFERROR(__xludf.DUMMYFUNCTION("""COMPUTED_VALUE"""),381.2717757495503)</f>
        <v>381.2717757</v>
      </c>
      <c r="AD448" s="57">
        <f>IFERROR(__xludf.DUMMYFUNCTION("""COMPUTED_VALUE"""),0.8588001865171878)</f>
        <v>0.8588001865</v>
      </c>
      <c r="AE448" s="57">
        <f>IFERROR(__xludf.DUMMYFUNCTION("""COMPUTED_VALUE"""),0.6889868706916379)</f>
        <v>0.6889868707</v>
      </c>
      <c r="AF448" s="57">
        <f>IFERROR(__xludf.DUMMYFUNCTION("""COMPUTED_VALUE"""),1.4661477405651313)</f>
        <v>1.466147741</v>
      </c>
      <c r="AG448" s="57">
        <f>IFERROR(__xludf.DUMMYFUNCTION("""COMPUTED_VALUE"""),2.834672970376607)</f>
        <v>2.83467297</v>
      </c>
      <c r="AH448" s="57">
        <f>IFERROR(__xludf.DUMMYFUNCTION("""COMPUTED_VALUE"""),0.8801071082177941)</f>
        <v>0.8801071082</v>
      </c>
      <c r="AI448" s="57">
        <f>IFERROR(__xludf.DUMMYFUNCTION("""COMPUTED_VALUE"""),0.931532168436469)</f>
        <v>0.9315321684</v>
      </c>
      <c r="AJ448" s="57">
        <f>IFERROR(__xludf.DUMMYFUNCTION("""COMPUTED_VALUE"""),1.0450126564490694)</f>
        <v>1.045012656</v>
      </c>
      <c r="AK448" s="57">
        <f>IFERROR(__xludf.DUMMYFUNCTION("""COMPUTED_VALUE"""),0.7366242637892076)</f>
        <v>0.7366242638</v>
      </c>
      <c r="AL448" s="57">
        <f>IFERROR(__xludf.DUMMYFUNCTION("""COMPUTED_VALUE"""),0.7619926610839445)</f>
        <v>0.7619926611</v>
      </c>
      <c r="AM448" s="57">
        <f>IFERROR(__xludf.DUMMYFUNCTION("""COMPUTED_VALUE"""),0.931642015406368)</f>
        <v>0.9316420154</v>
      </c>
      <c r="AN448" s="57">
        <f>IFERROR(__xludf.DUMMYFUNCTION("""COMPUTED_VALUE"""),0.9851693025420676)</f>
        <v>0.9851693025</v>
      </c>
      <c r="AO448" s="57">
        <f>IFERROR(__xludf.DUMMYFUNCTION("""COMPUTED_VALUE"""),0.8352832707940252)</f>
        <v>0.8352832708</v>
      </c>
      <c r="AP448" s="35">
        <f>IFERROR(__xludf.DUMMYFUNCTION("""COMPUTED_VALUE"""),0.8841662043058721)</f>
        <v>0.8841662043</v>
      </c>
      <c r="AQ448" s="57">
        <f>IFERROR(__xludf.DUMMYFUNCTION("""COMPUTED_VALUE"""),1.0255804441458825)</f>
        <v>1.025580444</v>
      </c>
      <c r="AR448" s="36" t="b">
        <f>IFERROR(__xludf.DUMMYFUNCTION("""COMPUTED_VALUE"""),TRUE)</f>
        <v>1</v>
      </c>
      <c r="AS448" s="57"/>
      <c r="AT448" s="37"/>
      <c r="AU448" s="30"/>
      <c r="AV448" s="30"/>
      <c r="AW448" s="30"/>
      <c r="AX448" s="30"/>
      <c r="AY448" s="30"/>
      <c r="AZ448" s="30"/>
    </row>
    <row r="449">
      <c r="A449" s="30" t="str">
        <f>IFERROR(__xludf.DUMMYFUNCTION("""COMPUTED_VALUE"""),"Premier")</f>
        <v>Premier</v>
      </c>
      <c r="B449" s="30" t="str">
        <f>IFERROR(__xludf.DUMMYFUNCTION("""COMPUTED_VALUE"""),"RSC005917")</f>
        <v>RSC005917</v>
      </c>
      <c r="C449" s="30" t="str">
        <f>IFERROR(__xludf.DUMMYFUNCTION("""COMPUTED_VALUE"""),"GAVALANCHE")</f>
        <v>GAVALANCHE</v>
      </c>
      <c r="D449" s="31" t="str">
        <f>IFERROR(__xludf.DUMMYFUNCTION("""COMPUTED_VALUE"""),"Crooked Capos")</f>
        <v>Crooked Capos</v>
      </c>
      <c r="E449" s="31">
        <f>IFERROR(__xludf.DUMMYFUNCTION("""COMPUTED_VALUE"""),49.52050347389679)</f>
        <v>49.52050347</v>
      </c>
      <c r="F449" s="31">
        <f>IFERROR(__xludf.DUMMYFUNCTION("""COMPUTED_VALUE"""),-2.031080356918326)</f>
        <v>-2.031080357</v>
      </c>
      <c r="G449" s="31">
        <f>IFERROR(__xludf.DUMMYFUNCTION("""COMPUTED_VALUE"""),39.4034939616507)</f>
        <v>39.40349396</v>
      </c>
      <c r="H449" s="31">
        <f>IFERROR(__xludf.DUMMYFUNCTION("""COMPUTED_VALUE"""),-2.977662730056796)</f>
        <v>-2.97766273</v>
      </c>
      <c r="I449" s="54">
        <f>IFERROR(__xludf.DUMMYFUNCTION("""COMPUTED_VALUE"""),32.0)</f>
        <v>32</v>
      </c>
      <c r="J449" s="55">
        <f>IFERROR(__xludf.DUMMYFUNCTION("""COMPUTED_VALUE"""),14.0)</f>
        <v>14</v>
      </c>
      <c r="K449" s="54">
        <f>IFERROR(__xludf.DUMMYFUNCTION("""COMPUTED_VALUE"""),18.0)</f>
        <v>18</v>
      </c>
      <c r="L449" s="56">
        <f>IFERROR(__xludf.DUMMYFUNCTION("""COMPUTED_VALUE"""),0.4375)</f>
        <v>0.4375</v>
      </c>
      <c r="M449" s="56">
        <f>IFERROR(__xludf.DUMMYFUNCTION("""COMPUTED_VALUE"""),0.34523809523809523)</f>
        <v>0.3452380952</v>
      </c>
      <c r="N449" s="31">
        <f>IFERROR(__xludf.DUMMYFUNCTION("""COMPUTED_VALUE"""),369.375)</f>
        <v>369.375</v>
      </c>
      <c r="O449" s="57">
        <f>IFERROR(__xludf.DUMMYFUNCTION("""COMPUTED_VALUE"""),0.90625)</f>
        <v>0.90625</v>
      </c>
      <c r="P449" s="57">
        <f>IFERROR(__xludf.DUMMYFUNCTION("""COMPUTED_VALUE"""),0.5625)</f>
        <v>0.5625</v>
      </c>
      <c r="Q449" s="57">
        <f>IFERROR(__xludf.DUMMYFUNCTION("""COMPUTED_VALUE"""),1.59375)</f>
        <v>1.59375</v>
      </c>
      <c r="R449" s="57">
        <f>IFERROR(__xludf.DUMMYFUNCTION("""COMPUTED_VALUE"""),2.625)</f>
        <v>2.625</v>
      </c>
      <c r="S449" s="31">
        <f>IFERROR(__xludf.DUMMYFUNCTION("""COMPUTED_VALUE"""),399.75)</f>
        <v>399.75</v>
      </c>
      <c r="T449" s="57">
        <f>IFERROR(__xludf.DUMMYFUNCTION("""COMPUTED_VALUE"""),0.8749999999999999)</f>
        <v>0.875</v>
      </c>
      <c r="U449" s="57">
        <f>IFERROR(__xludf.DUMMYFUNCTION("""COMPUTED_VALUE"""),0.6770833333333331)</f>
        <v>0.6770833333</v>
      </c>
      <c r="V449" s="57">
        <f>IFERROR(__xludf.DUMMYFUNCTION("""COMPUTED_VALUE"""),1.5625000000000002)</f>
        <v>1.5625</v>
      </c>
      <c r="W449" s="57">
        <f>IFERROR(__xludf.DUMMYFUNCTION("""COMPUTED_VALUE"""),2.989583333333334)</f>
        <v>2.989583333</v>
      </c>
      <c r="X449" s="31">
        <f>IFERROR(__xludf.DUMMYFUNCTION("""COMPUTED_VALUE"""),376.7806075028043)</f>
        <v>376.7806075</v>
      </c>
      <c r="Y449" s="57">
        <f>IFERROR(__xludf.DUMMYFUNCTION("""COMPUTED_VALUE"""),0.8483807750342949)</f>
        <v>0.848380775</v>
      </c>
      <c r="Z449" s="57">
        <f>IFERROR(__xludf.DUMMYFUNCTION("""COMPUTED_VALUE"""),0.6509371838792013)</f>
        <v>0.6509371839</v>
      </c>
      <c r="AA449" s="57">
        <f>IFERROR(__xludf.DUMMYFUNCTION("""COMPUTED_VALUE"""),1.4428365197122817)</f>
        <v>1.44283652</v>
      </c>
      <c r="AB449" s="57">
        <f>IFERROR(__xludf.DUMMYFUNCTION("""COMPUTED_VALUE"""),2.762046040612324)</f>
        <v>2.762046041</v>
      </c>
      <c r="AC449" s="31">
        <f>IFERROR(__xludf.DUMMYFUNCTION("""COMPUTED_VALUE"""),376.48126641264236)</f>
        <v>376.4812664</v>
      </c>
      <c r="AD449" s="57">
        <f>IFERROR(__xludf.DUMMYFUNCTION("""COMPUTED_VALUE"""),0.8542275811069615)</f>
        <v>0.8542275811</v>
      </c>
      <c r="AE449" s="57">
        <f>IFERROR(__xludf.DUMMYFUNCTION("""COMPUTED_VALUE"""),0.6553731299553082)</f>
        <v>0.65537313</v>
      </c>
      <c r="AF449" s="57">
        <f>IFERROR(__xludf.DUMMYFUNCTION("""COMPUTED_VALUE"""),1.4489250173896728)</f>
        <v>1.448925017</v>
      </c>
      <c r="AG449" s="57">
        <f>IFERROR(__xludf.DUMMYFUNCTION("""COMPUTED_VALUE"""),2.7445962157539565)</f>
        <v>2.744596216</v>
      </c>
      <c r="AH449" s="57">
        <f>IFERROR(__xludf.DUMMYFUNCTION("""COMPUTED_VALUE"""),0.9811245152239434)</f>
        <v>0.9811245152</v>
      </c>
      <c r="AI449" s="57">
        <f>IFERROR(__xludf.DUMMYFUNCTION("""COMPUTED_VALUE"""),1.0608999522417955)</f>
        <v>1.060899952</v>
      </c>
      <c r="AJ449" s="57">
        <f>IFERROR(__xludf.DUMMYFUNCTION("""COMPUTED_VALUE"""),0.8582896891704402)</f>
        <v>0.8582896892</v>
      </c>
      <c r="AK449" s="57">
        <f>IFERROR(__xludf.DUMMYFUNCTION("""COMPUTED_VALUE"""),1.0999534005363771)</f>
        <v>1.099953401</v>
      </c>
      <c r="AL449" s="57">
        <f>IFERROR(__xludf.DUMMYFUNCTION("""COMPUTED_VALUE"""),0.9564248412690087)</f>
        <v>0.9564248413</v>
      </c>
      <c r="AM449" s="57">
        <f>IFERROR(__xludf.DUMMYFUNCTION("""COMPUTED_VALUE"""),1.0609622471003228)</f>
        <v>1.060962247</v>
      </c>
      <c r="AN449" s="57">
        <f>IFERROR(__xludf.DUMMYFUNCTION("""COMPUTED_VALUE"""),1.031376506574691)</f>
        <v>1.031376507</v>
      </c>
      <c r="AO449" s="57">
        <f>IFERROR(__xludf.DUMMYFUNCTION("""COMPUTED_VALUE"""),1.040166931774148)</f>
        <v>1.040166932</v>
      </c>
      <c r="AP449" s="35">
        <f>IFERROR(__xludf.DUMMYFUNCTION("""COMPUTED_VALUE"""),1.0829362707783283)</f>
        <v>1.082936271</v>
      </c>
      <c r="AQ449" s="57">
        <f>IFERROR(__xludf.DUMMYFUNCTION("""COMPUTED_VALUE"""),1.0823799782390908)</f>
        <v>1.082379978</v>
      </c>
      <c r="AR449" s="36" t="b">
        <f>IFERROR(__xludf.DUMMYFUNCTION("""COMPUTED_VALUE"""),TRUE)</f>
        <v>1</v>
      </c>
      <c r="AS449" s="57"/>
      <c r="AT449" s="37"/>
      <c r="AU449" s="30"/>
      <c r="AV449" s="30"/>
      <c r="AW449" s="30"/>
      <c r="AX449" s="30"/>
      <c r="AY449" s="30"/>
      <c r="AZ449" s="30"/>
    </row>
    <row r="450">
      <c r="A450" s="30" t="str">
        <f>IFERROR(__xludf.DUMMYFUNCTION("""COMPUTED_VALUE"""),"Premier")</f>
        <v>Premier</v>
      </c>
      <c r="B450" s="30" t="str">
        <f>IFERROR(__xludf.DUMMYFUNCTION("""COMPUTED_VALUE"""),"RSC003804")</f>
        <v>RSC003804</v>
      </c>
      <c r="C450" s="30" t="str">
        <f>IFERROR(__xludf.DUMMYFUNCTION("""COMPUTED_VALUE"""),"ayylo")</f>
        <v>ayylo</v>
      </c>
      <c r="D450" s="31" t="str">
        <f>IFERROR(__xludf.DUMMYFUNCTION("""COMPUTED_VALUE"""),"Hurricanes")</f>
        <v>Hurricanes</v>
      </c>
      <c r="E450" s="31">
        <f>IFERROR(__xludf.DUMMYFUNCTION("""COMPUTED_VALUE"""),48.864201433377374)</f>
        <v>48.86420143</v>
      </c>
      <c r="F450" s="31">
        <f>IFERROR(__xludf.DUMMYFUNCTION("""COMPUTED_VALUE"""),-2.0751989410692713)</f>
        <v>-2.075198941</v>
      </c>
      <c r="G450" s="31">
        <f>IFERROR(__xludf.DUMMYFUNCTION("""COMPUTED_VALUE"""),31.53628996256092)</f>
        <v>31.53628996</v>
      </c>
      <c r="H450" s="31">
        <f>IFERROR(__xludf.DUMMYFUNCTION("""COMPUTED_VALUE"""),-4.346113471475654)</f>
        <v>-4.346113471</v>
      </c>
      <c r="I450" s="54">
        <f>IFERROR(__xludf.DUMMYFUNCTION("""COMPUTED_VALUE"""),31.0)</f>
        <v>31</v>
      </c>
      <c r="J450" s="55">
        <f>IFERROR(__xludf.DUMMYFUNCTION("""COMPUTED_VALUE"""),22.0)</f>
        <v>22</v>
      </c>
      <c r="K450" s="54">
        <f>IFERROR(__xludf.DUMMYFUNCTION("""COMPUTED_VALUE"""),9.0)</f>
        <v>9</v>
      </c>
      <c r="L450" s="56">
        <f>IFERROR(__xludf.DUMMYFUNCTION("""COMPUTED_VALUE"""),0.7096774193548387)</f>
        <v>0.7096774194</v>
      </c>
      <c r="M450" s="56">
        <f>IFERROR(__xludf.DUMMYFUNCTION("""COMPUTED_VALUE"""),0.3103448275862069)</f>
        <v>0.3103448276</v>
      </c>
      <c r="N450" s="31">
        <f>IFERROR(__xludf.DUMMYFUNCTION("""COMPUTED_VALUE"""),368.19354838709677)</f>
        <v>368.1935484</v>
      </c>
      <c r="O450" s="57">
        <f>IFERROR(__xludf.DUMMYFUNCTION("""COMPUTED_VALUE"""),0.8709677419354839)</f>
        <v>0.8709677419</v>
      </c>
      <c r="P450" s="57">
        <f>IFERROR(__xludf.DUMMYFUNCTION("""COMPUTED_VALUE"""),0.3870967741935484)</f>
        <v>0.3870967742</v>
      </c>
      <c r="Q450" s="57">
        <f>IFERROR(__xludf.DUMMYFUNCTION("""COMPUTED_VALUE"""),1.6129032258064515)</f>
        <v>1.612903226</v>
      </c>
      <c r="R450" s="57">
        <f>IFERROR(__xludf.DUMMYFUNCTION("""COMPUTED_VALUE"""),2.806451612903226)</f>
        <v>2.806451613</v>
      </c>
      <c r="S450" s="31">
        <f>IFERROR(__xludf.DUMMYFUNCTION("""COMPUTED_VALUE"""),369.5913978494624)</f>
        <v>369.5913978</v>
      </c>
      <c r="T450" s="57">
        <f>IFERROR(__xludf.DUMMYFUNCTION("""COMPUTED_VALUE"""),0.6021505376344085)</f>
        <v>0.6021505376</v>
      </c>
      <c r="U450" s="57">
        <f>IFERROR(__xludf.DUMMYFUNCTION("""COMPUTED_VALUE"""),0.48387096774193566)</f>
        <v>0.4838709677</v>
      </c>
      <c r="V450" s="57">
        <f>IFERROR(__xludf.DUMMYFUNCTION("""COMPUTED_VALUE"""),1.7741935483870965)</f>
        <v>1.774193548</v>
      </c>
      <c r="W450" s="57">
        <f>IFERROR(__xludf.DUMMYFUNCTION("""COMPUTED_VALUE"""),2.709677419354839)</f>
        <v>2.709677419</v>
      </c>
      <c r="X450" s="31">
        <f>IFERROR(__xludf.DUMMYFUNCTION("""COMPUTED_VALUE"""),376.25214043540467)</f>
        <v>376.2521404</v>
      </c>
      <c r="Y450" s="57">
        <f>IFERROR(__xludf.DUMMYFUNCTION("""COMPUTED_VALUE"""),0.8587053435523812)</f>
        <v>0.8587053436</v>
      </c>
      <c r="Z450" s="57">
        <f>IFERROR(__xludf.DUMMYFUNCTION("""COMPUTED_VALUE"""),0.6344233262557991)</f>
        <v>0.6344233263</v>
      </c>
      <c r="AA450" s="57">
        <f>IFERROR(__xludf.DUMMYFUNCTION("""COMPUTED_VALUE"""),1.4637389122887012)</f>
        <v>1.463738912</v>
      </c>
      <c r="AB450" s="57">
        <f>IFERROR(__xludf.DUMMYFUNCTION("""COMPUTED_VALUE"""),2.6913738451902534)</f>
        <v>2.691373845</v>
      </c>
      <c r="AC450" s="31">
        <f>IFERROR(__xludf.DUMMYFUNCTION("""COMPUTED_VALUE"""),380.19159736579206)</f>
        <v>380.1915974</v>
      </c>
      <c r="AD450" s="57">
        <f>IFERROR(__xludf.DUMMYFUNCTION("""COMPUTED_VALUE"""),0.8631603235281892)</f>
        <v>0.8631603235</v>
      </c>
      <c r="AE450" s="57">
        <f>IFERROR(__xludf.DUMMYFUNCTION("""COMPUTED_VALUE"""),0.6732820060934911)</f>
        <v>0.6732820061</v>
      </c>
      <c r="AF450" s="57">
        <f>IFERROR(__xludf.DUMMYFUNCTION("""COMPUTED_VALUE"""),1.442943212482246)</f>
        <v>1.442943212</v>
      </c>
      <c r="AG450" s="57">
        <f>IFERROR(__xludf.DUMMYFUNCTION("""COMPUTED_VALUE"""),2.7633520510779808)</f>
        <v>2.763352051</v>
      </c>
      <c r="AH450" s="57">
        <f>IFERROR(__xludf.DUMMYFUNCTION("""COMPUTED_VALUE"""),0.9684420985055289)</f>
        <v>0.9684420985</v>
      </c>
      <c r="AI450" s="57">
        <f>IFERROR(__xludf.DUMMYFUNCTION("""COMPUTED_VALUE"""),1.0090451544104595)</f>
        <v>1.009045154</v>
      </c>
      <c r="AJ450" s="57">
        <f>IFERROR(__xludf.DUMMYFUNCTION("""COMPUTED_VALUE"""),0.5749400261556917)</f>
        <v>0.5749400262</v>
      </c>
      <c r="AK450" s="57">
        <f>IFERROR(__xludf.DUMMYFUNCTION("""COMPUTED_VALUE"""),1.1177870423825127)</f>
        <v>1.117787042</v>
      </c>
      <c r="AL450" s="57">
        <f>IFERROR(__xludf.DUMMYFUNCTION("""COMPUTED_VALUE"""),1.0155968407313256)</f>
        <v>1.015596841</v>
      </c>
      <c r="AM450" s="57">
        <f>IFERROR(__xludf.DUMMYFUNCTION("""COMPUTED_VALUE"""),0.9822971303811472)</f>
        <v>0.9822971304</v>
      </c>
      <c r="AN450" s="57">
        <f>IFERROR(__xludf.DUMMYFUNCTION("""COMPUTED_VALUE"""),0.7012306865861226)</f>
        <v>0.7012306866</v>
      </c>
      <c r="AO450" s="57">
        <f>IFERROR(__xludf.DUMMYFUNCTION("""COMPUTED_VALUE"""),0.7626941628984795)</f>
        <v>0.7626941629</v>
      </c>
      <c r="AP450" s="35">
        <f>IFERROR(__xludf.DUMMYFUNCTION("""COMPUTED_VALUE"""),1.2120970027455022)</f>
        <v>1.212097003</v>
      </c>
      <c r="AQ450" s="57">
        <f>IFERROR(__xludf.DUMMYFUNCTION("""COMPUTED_VALUE"""),1.006800829322651)</f>
        <v>1.006800829</v>
      </c>
      <c r="AR450" s="36" t="b">
        <f>IFERROR(__xludf.DUMMYFUNCTION("""COMPUTED_VALUE"""),TRUE)</f>
        <v>1</v>
      </c>
      <c r="AS450" s="57"/>
      <c r="AT450" s="37"/>
      <c r="AU450" s="30"/>
      <c r="AV450" s="30"/>
      <c r="AW450" s="30"/>
      <c r="AX450" s="30"/>
      <c r="AY450" s="30"/>
      <c r="AZ450" s="30"/>
    </row>
    <row r="451">
      <c r="A451" s="30" t="str">
        <f>IFERROR(__xludf.DUMMYFUNCTION("""COMPUTED_VALUE"""),"Premier")</f>
        <v>Premier</v>
      </c>
      <c r="B451" s="30" t="str">
        <f>IFERROR(__xludf.DUMMYFUNCTION("""COMPUTED_VALUE"""),"RSC007819")</f>
        <v>RSC007819</v>
      </c>
      <c r="C451" s="30" t="str">
        <f>IFERROR(__xludf.DUMMYFUNCTION("""COMPUTED_VALUE"""),"DivineRL_ TTV")</f>
        <v>DivineRL_ TTV</v>
      </c>
      <c r="D451" s="31" t="str">
        <f>IFERROR(__xludf.DUMMYFUNCTION("""COMPUTED_VALUE"""),"Interstellar")</f>
        <v>Interstellar</v>
      </c>
      <c r="E451" s="31">
        <f>IFERROR(__xludf.DUMMYFUNCTION("""COMPUTED_VALUE"""),47.579183810966235)</f>
        <v>47.57918381</v>
      </c>
      <c r="F451" s="31">
        <f>IFERROR(__xludf.DUMMYFUNCTION("""COMPUTED_VALUE"""),-2.167177604479944)</f>
        <v>-2.167177604</v>
      </c>
      <c r="G451" s="31">
        <f>IFERROR(__xludf.DUMMYFUNCTION("""COMPUTED_VALUE"""),55.72241036557527)</f>
        <v>55.72241037</v>
      </c>
      <c r="H451" s="31">
        <f>IFERROR(__xludf.DUMMYFUNCTION("""COMPUTED_VALUE"""),2.442153243279824)</f>
        <v>2.442153243</v>
      </c>
      <c r="I451" s="54">
        <f>IFERROR(__xludf.DUMMYFUNCTION("""COMPUTED_VALUE"""),36.0)</f>
        <v>36</v>
      </c>
      <c r="J451" s="55">
        <f>IFERROR(__xludf.DUMMYFUNCTION("""COMPUTED_VALUE"""),16.0)</f>
        <v>16</v>
      </c>
      <c r="K451" s="54">
        <f>IFERROR(__xludf.DUMMYFUNCTION("""COMPUTED_VALUE"""),20.0)</f>
        <v>20</v>
      </c>
      <c r="L451" s="56">
        <f>IFERROR(__xludf.DUMMYFUNCTION("""COMPUTED_VALUE"""),0.4444444444444444)</f>
        <v>0.4444444444</v>
      </c>
      <c r="M451" s="56">
        <f>IFERROR(__xludf.DUMMYFUNCTION("""COMPUTED_VALUE"""),0.29069767441860467)</f>
        <v>0.2906976744</v>
      </c>
      <c r="N451" s="31">
        <f>IFERROR(__xludf.DUMMYFUNCTION("""COMPUTED_VALUE"""),385.69444444444446)</f>
        <v>385.6944444</v>
      </c>
      <c r="O451" s="57">
        <f>IFERROR(__xludf.DUMMYFUNCTION("""COMPUTED_VALUE"""),0.6944444444444444)</f>
        <v>0.6944444444</v>
      </c>
      <c r="P451" s="57">
        <f>IFERROR(__xludf.DUMMYFUNCTION("""COMPUTED_VALUE"""),0.6944444444444444)</f>
        <v>0.6944444444</v>
      </c>
      <c r="Q451" s="57">
        <f>IFERROR(__xludf.DUMMYFUNCTION("""COMPUTED_VALUE"""),1.7777777777777777)</f>
        <v>1.777777778</v>
      </c>
      <c r="R451" s="57">
        <f>IFERROR(__xludf.DUMMYFUNCTION("""COMPUTED_VALUE"""),2.388888888888889)</f>
        <v>2.388888889</v>
      </c>
      <c r="S451" s="31">
        <f>IFERROR(__xludf.DUMMYFUNCTION("""COMPUTED_VALUE"""),357.14814814814827)</f>
        <v>357.1481481</v>
      </c>
      <c r="T451" s="57">
        <f>IFERROR(__xludf.DUMMYFUNCTION("""COMPUTED_VALUE"""),0.8703703703703705)</f>
        <v>0.8703703704</v>
      </c>
      <c r="U451" s="57">
        <f>IFERROR(__xludf.DUMMYFUNCTION("""COMPUTED_VALUE"""),0.675925925925926)</f>
        <v>0.6759259259</v>
      </c>
      <c r="V451" s="57">
        <f>IFERROR(__xludf.DUMMYFUNCTION("""COMPUTED_VALUE"""),1.1759259259259263)</f>
        <v>1.175925926</v>
      </c>
      <c r="W451" s="57">
        <f>IFERROR(__xludf.DUMMYFUNCTION("""COMPUTED_VALUE"""),2.888888888888889)</f>
        <v>2.888888889</v>
      </c>
      <c r="X451" s="31">
        <f>IFERROR(__xludf.DUMMYFUNCTION("""COMPUTED_VALUE"""),372.1450075735545)</f>
        <v>372.1450076</v>
      </c>
      <c r="Y451" s="57">
        <f>IFERROR(__xludf.DUMMYFUNCTION("""COMPUTED_VALUE"""),0.8408754178530552)</f>
        <v>0.8408754179</v>
      </c>
      <c r="Z451" s="57">
        <f>IFERROR(__xludf.DUMMYFUNCTION("""COMPUTED_VALUE"""),0.6144580762541165)</f>
        <v>0.6144580763</v>
      </c>
      <c r="AA451" s="57">
        <f>IFERROR(__xludf.DUMMYFUNCTION("""COMPUTED_VALUE"""),1.4297989530664281)</f>
        <v>1.429798953</v>
      </c>
      <c r="AB451" s="57">
        <f>IFERROR(__xludf.DUMMYFUNCTION("""COMPUTED_VALUE"""),2.7839083730658993)</f>
        <v>2.783908373</v>
      </c>
      <c r="AC451" s="31">
        <f>IFERROR(__xludf.DUMMYFUNCTION("""COMPUTED_VALUE"""),379.780122708669)</f>
        <v>379.7801227</v>
      </c>
      <c r="AD451" s="57">
        <f>IFERROR(__xludf.DUMMYFUNCTION("""COMPUTED_VALUE"""),0.8583295797287053)</f>
        <v>0.8583295797</v>
      </c>
      <c r="AE451" s="57">
        <f>IFERROR(__xludf.DUMMYFUNCTION("""COMPUTED_VALUE"""),0.6822460531547884)</f>
        <v>0.6822460532</v>
      </c>
      <c r="AF451" s="57">
        <f>IFERROR(__xludf.DUMMYFUNCTION("""COMPUTED_VALUE"""),1.4537999116971958)</f>
        <v>1.453799912</v>
      </c>
      <c r="AG451" s="57">
        <f>IFERROR(__xludf.DUMMYFUNCTION("""COMPUTED_VALUE"""),2.7422104886271796)</f>
        <v>2.742210489</v>
      </c>
      <c r="AH451" s="57">
        <f>IFERROR(__xludf.DUMMYFUNCTION("""COMPUTED_VALUE"""),1.0155730154953695)</f>
        <v>1.015573015</v>
      </c>
      <c r="AI451" s="57">
        <f>IFERROR(__xludf.DUMMYFUNCTION("""COMPUTED_VALUE"""),0.8090650268209788)</f>
        <v>0.8090650268</v>
      </c>
      <c r="AJ451" s="57">
        <f>IFERROR(__xludf.DUMMYFUNCTION("""COMPUTED_VALUE"""),1.0178797535482238)</f>
        <v>1.017879754</v>
      </c>
      <c r="AK451" s="57">
        <f>IFERROR(__xludf.DUMMYFUNCTION("""COMPUTED_VALUE"""),1.2228490065750268)</f>
        <v>1.222849007</v>
      </c>
      <c r="AL451" s="57">
        <f>IFERROR(__xludf.DUMMYFUNCTION("""COMPUTED_VALUE"""),0.8711544568866512)</f>
        <v>0.8711544569</v>
      </c>
      <c r="AM451" s="57">
        <f>IFERROR(__xludf.DUMMYFUNCTION("""COMPUTED_VALUE"""),0.9597015703013506)</f>
        <v>0.9597015703</v>
      </c>
      <c r="AN451" s="57">
        <f>IFERROR(__xludf.DUMMYFUNCTION("""COMPUTED_VALUE"""),1.0350764832591046)</f>
        <v>1.035076483</v>
      </c>
      <c r="AO451" s="57">
        <f>IFERROR(__xludf.DUMMYFUNCTION("""COMPUTED_VALUE"""),1.100035872335721)</f>
        <v>1.100035872</v>
      </c>
      <c r="AP451" s="35">
        <f>IFERROR(__xludf.DUMMYFUNCTION("""COMPUTED_VALUE"""),0.8224414512291877)</f>
        <v>0.8224414512</v>
      </c>
      <c r="AQ451" s="57">
        <f>IFERROR(__xludf.DUMMYFUNCTION("""COMPUTED_VALUE"""),1.0377097597171905)</f>
        <v>1.03770976</v>
      </c>
      <c r="AR451" s="36" t="b">
        <f>IFERROR(__xludf.DUMMYFUNCTION("""COMPUTED_VALUE"""),TRUE)</f>
        <v>1</v>
      </c>
      <c r="AS451" s="57"/>
      <c r="AT451" s="37"/>
      <c r="AU451" s="30"/>
      <c r="AV451" s="30"/>
      <c r="AW451" s="30"/>
      <c r="AX451" s="30"/>
      <c r="AY451" s="30"/>
      <c r="AZ451" s="30"/>
    </row>
    <row r="452">
      <c r="A452" s="30" t="str">
        <f>IFERROR(__xludf.DUMMYFUNCTION("""COMPUTED_VALUE"""),"Premier")</f>
        <v>Premier</v>
      </c>
      <c r="B452" s="30" t="str">
        <f>IFERROR(__xludf.DUMMYFUNCTION("""COMPUTED_VALUE"""),"RSC001114")</f>
        <v>RSC001114</v>
      </c>
      <c r="C452" s="30" t="str">
        <f>IFERROR(__xludf.DUMMYFUNCTION("""COMPUTED_VALUE"""),"ashes.")</f>
        <v>ashes.</v>
      </c>
      <c r="D452" s="31" t="str">
        <f>IFERROR(__xludf.DUMMYFUNCTION("""COMPUTED_VALUE"""),"Punks")</f>
        <v>Punks</v>
      </c>
      <c r="E452" s="31">
        <f>IFERROR(__xludf.DUMMYFUNCTION("""COMPUTED_VALUE"""),47.26150891994229)</f>
        <v>47.26150892</v>
      </c>
      <c r="F452" s="31">
        <f>IFERROR(__xludf.DUMMYFUNCTION("""COMPUTED_VALUE"""),-2.1911217320164473)</f>
        <v>-2.191121732</v>
      </c>
      <c r="G452" s="31">
        <f>IFERROR(__xludf.DUMMYFUNCTION("""COMPUTED_VALUE"""),46.07183688287794)</f>
        <v>46.07183688</v>
      </c>
      <c r="H452" s="31">
        <f>IFERROR(__xludf.DUMMYFUNCTION("""COMPUTED_VALUE"""),-2.2853352242173024)</f>
        <v>-2.285335224</v>
      </c>
      <c r="I452" s="54">
        <f>IFERROR(__xludf.DUMMYFUNCTION("""COMPUTED_VALUE"""),36.0)</f>
        <v>36</v>
      </c>
      <c r="J452" s="55">
        <f>IFERROR(__xludf.DUMMYFUNCTION("""COMPUTED_VALUE"""),17.0)</f>
        <v>17</v>
      </c>
      <c r="K452" s="54">
        <f>IFERROR(__xludf.DUMMYFUNCTION("""COMPUTED_VALUE"""),19.0)</f>
        <v>19</v>
      </c>
      <c r="L452" s="56">
        <f>IFERROR(__xludf.DUMMYFUNCTION("""COMPUTED_VALUE"""),0.4722222222222222)</f>
        <v>0.4722222222</v>
      </c>
      <c r="M452" s="56">
        <f>IFERROR(__xludf.DUMMYFUNCTION("""COMPUTED_VALUE"""),0.31578947368421056)</f>
        <v>0.3157894737</v>
      </c>
      <c r="N452" s="31">
        <f>IFERROR(__xludf.DUMMYFUNCTION("""COMPUTED_VALUE"""),357.5)</f>
        <v>357.5</v>
      </c>
      <c r="O452" s="57">
        <f>IFERROR(__xludf.DUMMYFUNCTION("""COMPUTED_VALUE"""),0.8333333333333334)</f>
        <v>0.8333333333</v>
      </c>
      <c r="P452" s="57">
        <f>IFERROR(__xludf.DUMMYFUNCTION("""COMPUTED_VALUE"""),0.5277777777777778)</f>
        <v>0.5277777778</v>
      </c>
      <c r="Q452" s="57">
        <f>IFERROR(__xludf.DUMMYFUNCTION("""COMPUTED_VALUE"""),1.4444444444444444)</f>
        <v>1.444444444</v>
      </c>
      <c r="R452" s="57">
        <f>IFERROR(__xludf.DUMMYFUNCTION("""COMPUTED_VALUE"""),2.638888888888889)</f>
        <v>2.638888889</v>
      </c>
      <c r="S452" s="31">
        <f>IFERROR(__xludf.DUMMYFUNCTION("""COMPUTED_VALUE"""),368.5462962962963)</f>
        <v>368.5462963</v>
      </c>
      <c r="T452" s="57">
        <f>IFERROR(__xludf.DUMMYFUNCTION("""COMPUTED_VALUE"""),0.8148148148148147)</f>
        <v>0.8148148148</v>
      </c>
      <c r="U452" s="57">
        <f>IFERROR(__xludf.DUMMYFUNCTION("""COMPUTED_VALUE"""),0.6666666666666665)</f>
        <v>0.6666666667</v>
      </c>
      <c r="V452" s="57">
        <f>IFERROR(__xludf.DUMMYFUNCTION("""COMPUTED_VALUE"""),1.37037037037037)</f>
        <v>1.37037037</v>
      </c>
      <c r="W452" s="57">
        <f>IFERROR(__xludf.DUMMYFUNCTION("""COMPUTED_VALUE"""),2.583333333333334)</f>
        <v>2.583333333</v>
      </c>
      <c r="X452" s="31">
        <f>IFERROR(__xludf.DUMMYFUNCTION("""COMPUTED_VALUE"""),378.4003589201298)</f>
        <v>378.4003589</v>
      </c>
      <c r="Y452" s="57">
        <f>IFERROR(__xludf.DUMMYFUNCTION("""COMPUTED_VALUE"""),0.8235086535983653)</f>
        <v>0.8235086536</v>
      </c>
      <c r="Z452" s="57">
        <f>IFERROR(__xludf.DUMMYFUNCTION("""COMPUTED_VALUE"""),0.6715462862562256)</f>
        <v>0.6715462863</v>
      </c>
      <c r="AA452" s="57">
        <f>IFERROR(__xludf.DUMMYFUNCTION("""COMPUTED_VALUE"""),1.4814346936595006)</f>
        <v>1.481434694</v>
      </c>
      <c r="AB452" s="57">
        <f>IFERROR(__xludf.DUMMYFUNCTION("""COMPUTED_VALUE"""),2.684275822504537)</f>
        <v>2.684275823</v>
      </c>
      <c r="AC452" s="31">
        <f>IFERROR(__xludf.DUMMYFUNCTION("""COMPUTED_VALUE"""),374.9531450243783)</f>
        <v>374.953145</v>
      </c>
      <c r="AD452" s="57">
        <f>IFERROR(__xludf.DUMMYFUNCTION("""COMPUTED_VALUE"""),0.8585351157763442)</f>
        <v>0.8585351158</v>
      </c>
      <c r="AE452" s="57">
        <f>IFERROR(__xludf.DUMMYFUNCTION("""COMPUTED_VALUE"""),0.6609887361499618)</f>
        <v>0.6609887361</v>
      </c>
      <c r="AF452" s="57">
        <f>IFERROR(__xludf.DUMMYFUNCTION("""COMPUTED_VALUE"""),1.4095618808526647)</f>
        <v>1.409561881</v>
      </c>
      <c r="AG452" s="57">
        <f>IFERROR(__xludf.DUMMYFUNCTION("""COMPUTED_VALUE"""),2.798498352298782)</f>
        <v>2.798498352</v>
      </c>
      <c r="AH452" s="57">
        <f>IFERROR(__xludf.DUMMYFUNCTION("""COMPUTED_VALUE"""),0.9534524639785499)</f>
        <v>0.953452464</v>
      </c>
      <c r="AI452" s="57">
        <f>IFERROR(__xludf.DUMMYFUNCTION("""COMPUTED_VALUE"""),0.9706456008846863)</f>
        <v>0.9706456009</v>
      </c>
      <c r="AJ452" s="57">
        <f>IFERROR(__xludf.DUMMYFUNCTION("""COMPUTED_VALUE"""),0.7984671279754428)</f>
        <v>0.798467128</v>
      </c>
      <c r="AK452" s="57">
        <f>IFERROR(__xludf.DUMMYFUNCTION("""COMPUTED_VALUE"""),1.02474709628972)</f>
        <v>1.024747096</v>
      </c>
      <c r="AL452" s="57">
        <f>IFERROR(__xludf.DUMMYFUNCTION("""COMPUTED_VALUE"""),0.9429660327372412)</f>
        <v>0.9429660327</v>
      </c>
      <c r="AM452" s="57">
        <f>IFERROR(__xludf.DUMMYFUNCTION("""COMPUTED_VALUE"""),0.973958632988735)</f>
        <v>0.973958633</v>
      </c>
      <c r="AN452" s="57">
        <f>IFERROR(__xludf.DUMMYFUNCTION("""COMPUTED_VALUE"""),0.9894429296576758)</f>
        <v>0.9894429297</v>
      </c>
      <c r="AO452" s="57">
        <f>IFERROR(__xludf.DUMMYFUNCTION("""COMPUTED_VALUE"""),0.9927337553800465)</f>
        <v>0.9927337554</v>
      </c>
      <c r="AP452" s="35">
        <f>IFERROR(__xludf.DUMMYFUNCTION("""COMPUTED_VALUE"""),0.9250292140689813)</f>
        <v>0.9250292141</v>
      </c>
      <c r="AQ452" s="57">
        <f>IFERROR(__xludf.DUMMYFUNCTION("""COMPUTED_VALUE"""),0.9623948894055829)</f>
        <v>0.9623948894</v>
      </c>
      <c r="AR452" s="36" t="b">
        <f>IFERROR(__xludf.DUMMYFUNCTION("""COMPUTED_VALUE"""),TRUE)</f>
        <v>1</v>
      </c>
      <c r="AS452" s="57"/>
      <c r="AT452" s="37"/>
      <c r="AU452" s="30"/>
      <c r="AV452" s="30"/>
      <c r="AW452" s="30"/>
      <c r="AX452" s="30"/>
      <c r="AY452" s="30"/>
      <c r="AZ452" s="30"/>
    </row>
    <row r="453">
      <c r="A453" s="30" t="str">
        <f>IFERROR(__xludf.DUMMYFUNCTION("""COMPUTED_VALUE"""),"Premier")</f>
        <v>Premier</v>
      </c>
      <c r="B453" s="30" t="str">
        <f>IFERROR(__xludf.DUMMYFUNCTION("""COMPUTED_VALUE"""),"RSC001977")</f>
        <v>RSC001977</v>
      </c>
      <c r="C453" s="30" t="str">
        <f>IFERROR(__xludf.DUMMYFUNCTION("""COMPUTED_VALUE"""),"LaMelo Ball")</f>
        <v>LaMelo Ball</v>
      </c>
      <c r="D453" s="31" t="str">
        <f>IFERROR(__xludf.DUMMYFUNCTION("""COMPUTED_VALUE"""),"Capybaras")</f>
        <v>Capybaras</v>
      </c>
      <c r="E453" s="31">
        <f>IFERROR(__xludf.DUMMYFUNCTION("""COMPUTED_VALUE"""),46.203304666140774)</f>
        <v>46.20330467</v>
      </c>
      <c r="F453" s="31">
        <f>IFERROR(__xludf.DUMMYFUNCTION("""COMPUTED_VALUE"""),-2.274559339792194)</f>
        <v>-2.27455934</v>
      </c>
      <c r="G453" s="31">
        <f>IFERROR(__xludf.DUMMYFUNCTION("""COMPUTED_VALUE"""),40.03020331026519)</f>
        <v>40.03020331</v>
      </c>
      <c r="H453" s="31">
        <f>IFERROR(__xludf.DUMMYFUNCTION("""COMPUTED_VALUE"""),-2.898355107549933)</f>
        <v>-2.898355108</v>
      </c>
      <c r="I453" s="54">
        <f>IFERROR(__xludf.DUMMYFUNCTION("""COMPUTED_VALUE"""),20.0)</f>
        <v>20</v>
      </c>
      <c r="J453" s="55">
        <f>IFERROR(__xludf.DUMMYFUNCTION("""COMPUTED_VALUE"""),9.0)</f>
        <v>9</v>
      </c>
      <c r="K453" s="54">
        <f>IFERROR(__xludf.DUMMYFUNCTION("""COMPUTED_VALUE"""),11.0)</f>
        <v>11</v>
      </c>
      <c r="L453" s="56">
        <f>IFERROR(__xludf.DUMMYFUNCTION("""COMPUTED_VALUE"""),0.45)</f>
        <v>0.45</v>
      </c>
      <c r="M453" s="56">
        <f>IFERROR(__xludf.DUMMYFUNCTION("""COMPUTED_VALUE"""),0.3255813953488372)</f>
        <v>0.3255813953</v>
      </c>
      <c r="N453" s="31">
        <f>IFERROR(__xludf.DUMMYFUNCTION("""COMPUTED_VALUE"""),343.9)</f>
        <v>343.9</v>
      </c>
      <c r="O453" s="57">
        <f>IFERROR(__xludf.DUMMYFUNCTION("""COMPUTED_VALUE"""),0.7)</f>
        <v>0.7</v>
      </c>
      <c r="P453" s="57">
        <f>IFERROR(__xludf.DUMMYFUNCTION("""COMPUTED_VALUE"""),0.7)</f>
        <v>0.7</v>
      </c>
      <c r="Q453" s="57">
        <f>IFERROR(__xludf.DUMMYFUNCTION("""COMPUTED_VALUE"""),1.1)</f>
        <v>1.1</v>
      </c>
      <c r="R453" s="57">
        <f>IFERROR(__xludf.DUMMYFUNCTION("""COMPUTED_VALUE"""),2.15)</f>
        <v>2.15</v>
      </c>
      <c r="S453" s="31">
        <f>IFERROR(__xludf.DUMMYFUNCTION("""COMPUTED_VALUE"""),372.65)</f>
        <v>372.65</v>
      </c>
      <c r="T453" s="57">
        <f>IFERROR(__xludf.DUMMYFUNCTION("""COMPUTED_VALUE"""),0.95)</f>
        <v>0.95</v>
      </c>
      <c r="U453" s="57">
        <f>IFERROR(__xludf.DUMMYFUNCTION("""COMPUTED_VALUE"""),0.7)</f>
        <v>0.7</v>
      </c>
      <c r="V453" s="57">
        <f>IFERROR(__xludf.DUMMYFUNCTION("""COMPUTED_VALUE"""),1.2166666666666666)</f>
        <v>1.216666667</v>
      </c>
      <c r="W453" s="57">
        <f>IFERROR(__xludf.DUMMYFUNCTION("""COMPUTED_VALUE"""),2.8499999999999996)</f>
        <v>2.85</v>
      </c>
      <c r="X453" s="31">
        <f>IFERROR(__xludf.DUMMYFUNCTION("""COMPUTED_VALUE"""),381.10271674865015)</f>
        <v>381.1027167</v>
      </c>
      <c r="Y453" s="57">
        <f>IFERROR(__xludf.DUMMYFUNCTION("""COMPUTED_VALUE"""),0.8719068280019044)</f>
        <v>0.871906828</v>
      </c>
      <c r="Z453" s="57">
        <f>IFERROR(__xludf.DUMMYFUNCTION("""COMPUTED_VALUE"""),0.729590093724719)</f>
        <v>0.7295900937</v>
      </c>
      <c r="AA453" s="57">
        <f>IFERROR(__xludf.DUMMYFUNCTION("""COMPUTED_VALUE"""),1.424961301630632)</f>
        <v>1.424961302</v>
      </c>
      <c r="AB453" s="57">
        <f>IFERROR(__xludf.DUMMYFUNCTION("""COMPUTED_VALUE"""),2.7419612598859575)</f>
        <v>2.74196126</v>
      </c>
      <c r="AC453" s="31">
        <f>IFERROR(__xludf.DUMMYFUNCTION("""COMPUTED_VALUE"""),366.220973912045)</f>
        <v>366.2209739</v>
      </c>
      <c r="AD453" s="57">
        <f>IFERROR(__xludf.DUMMYFUNCTION("""COMPUTED_VALUE"""),0.7939715371780357)</f>
        <v>0.7939715372</v>
      </c>
      <c r="AE453" s="57">
        <f>IFERROR(__xludf.DUMMYFUNCTION("""COMPUTED_VALUE"""),0.6274223104320643)</f>
        <v>0.6274223104</v>
      </c>
      <c r="AF453" s="57">
        <f>IFERROR(__xludf.DUMMYFUNCTION("""COMPUTED_VALUE"""),1.4237277500448713)</f>
        <v>1.42372775</v>
      </c>
      <c r="AG453" s="57">
        <f>IFERROR(__xludf.DUMMYFUNCTION("""COMPUTED_VALUE"""),2.6619224408621522)</f>
        <v>2.661922441</v>
      </c>
      <c r="AH453" s="57">
        <f>IFERROR(__xludf.DUMMYFUNCTION("""COMPUTED_VALUE"""),0.9390505309578314)</f>
        <v>0.939050531</v>
      </c>
      <c r="AI453" s="57">
        <f>IFERROR(__xludf.DUMMYFUNCTION("""COMPUTED_VALUE"""),0.8816436952991628)</f>
        <v>0.8816436953</v>
      </c>
      <c r="AJ453" s="57">
        <f>IFERROR(__xludf.DUMMYFUNCTION("""COMPUTED_VALUE"""),1.1156759783023276)</f>
        <v>1.115675978</v>
      </c>
      <c r="AK453" s="57">
        <f>IFERROR(__xludf.DUMMYFUNCTION("""COMPUTED_VALUE"""),0.7726196247599526)</f>
        <v>0.7726196248</v>
      </c>
      <c r="AL453" s="57">
        <f>IFERROR(__xludf.DUMMYFUNCTION("""COMPUTED_VALUE"""),0.807686943464683)</f>
        <v>0.8076869435</v>
      </c>
      <c r="AM453" s="57">
        <f>IFERROR(__xludf.DUMMYFUNCTION("""COMPUTED_VALUE"""),0.9778203713141593)</f>
        <v>0.9778203713</v>
      </c>
      <c r="AN453" s="57">
        <f>IFERROR(__xludf.DUMMYFUNCTION("""COMPUTED_VALUE"""),1.0895659599054373)</f>
        <v>1.08956596</v>
      </c>
      <c r="AO453" s="57">
        <f>IFERROR(__xludf.DUMMYFUNCTION("""COMPUTED_VALUE"""),0.9594428515693586)</f>
        <v>0.9594428516</v>
      </c>
      <c r="AP453" s="35">
        <f>IFERROR(__xludf.DUMMYFUNCTION("""COMPUTED_VALUE"""),0.853824356685612)</f>
        <v>0.8538243567</v>
      </c>
      <c r="AQ453" s="57">
        <f>IFERROR(__xludf.DUMMYFUNCTION("""COMPUTED_VALUE"""),1.0394019936366772)</f>
        <v>1.039401994</v>
      </c>
      <c r="AR453" s="36" t="b">
        <f>IFERROR(__xludf.DUMMYFUNCTION("""COMPUTED_VALUE"""),TRUE)</f>
        <v>1</v>
      </c>
      <c r="AS453" s="57"/>
      <c r="AT453" s="37"/>
      <c r="AU453" s="30"/>
      <c r="AV453" s="30"/>
      <c r="AW453" s="30"/>
      <c r="AX453" s="30"/>
      <c r="AY453" s="30"/>
      <c r="AZ453" s="30"/>
    </row>
    <row r="454">
      <c r="A454" s="30" t="str">
        <f>IFERROR(__xludf.DUMMYFUNCTION("""COMPUTED_VALUE"""),"Premier")</f>
        <v>Premier</v>
      </c>
      <c r="B454" s="30" t="str">
        <f>IFERROR(__xludf.DUMMYFUNCTION("""COMPUTED_VALUE"""),"RSC007409")</f>
        <v>RSC007409</v>
      </c>
      <c r="C454" s="30" t="str">
        <f>IFERROR(__xludf.DUMMYFUNCTION("""COMPUTED_VALUE"""),"Averded")</f>
        <v>Averded</v>
      </c>
      <c r="D454" s="31" t="str">
        <f>IFERROR(__xludf.DUMMYFUNCTION("""COMPUTED_VALUE"""),"Excavators")</f>
        <v>Excavators</v>
      </c>
      <c r="E454" s="31">
        <f>IFERROR(__xludf.DUMMYFUNCTION("""COMPUTED_VALUE"""),42.45340451134301)</f>
        <v>42.45340451</v>
      </c>
      <c r="F454" s="31">
        <f>IFERROR(__xludf.DUMMYFUNCTION("""COMPUTED_VALUE"""),-2.622070912155936)</f>
        <v>-2.622070912</v>
      </c>
      <c r="G454" s="31">
        <f>IFERROR(__xludf.DUMMYFUNCTION("""COMPUTED_VALUE"""),37.825265492824265)</f>
        <v>37.82526549</v>
      </c>
      <c r="H454" s="31">
        <f>IFERROR(__xludf.DUMMYFUNCTION("""COMPUTED_VALUE"""),-3.193531913665119)</f>
        <v>-3.193531914</v>
      </c>
      <c r="I454" s="54">
        <f>IFERROR(__xludf.DUMMYFUNCTION("""COMPUTED_VALUE"""),4.0)</f>
        <v>4</v>
      </c>
      <c r="J454" s="55">
        <f>IFERROR(__xludf.DUMMYFUNCTION("""COMPUTED_VALUE"""),1.0)</f>
        <v>1</v>
      </c>
      <c r="K454" s="54">
        <f>IFERROR(__xludf.DUMMYFUNCTION("""COMPUTED_VALUE"""),3.0)</f>
        <v>3</v>
      </c>
      <c r="L454" s="56">
        <f>IFERROR(__xludf.DUMMYFUNCTION("""COMPUTED_VALUE"""),0.25)</f>
        <v>0.25</v>
      </c>
      <c r="M454" s="56">
        <f>IFERROR(__xludf.DUMMYFUNCTION("""COMPUTED_VALUE"""),0.5454545454545454)</f>
        <v>0.5454545455</v>
      </c>
      <c r="N454" s="31">
        <f>IFERROR(__xludf.DUMMYFUNCTION("""COMPUTED_VALUE"""),367.0)</f>
        <v>367</v>
      </c>
      <c r="O454" s="57">
        <f>IFERROR(__xludf.DUMMYFUNCTION("""COMPUTED_VALUE"""),1.5)</f>
        <v>1.5</v>
      </c>
      <c r="P454" s="57">
        <f>IFERROR(__xludf.DUMMYFUNCTION("""COMPUTED_VALUE"""),0.0)</f>
        <v>0</v>
      </c>
      <c r="Q454" s="57">
        <f>IFERROR(__xludf.DUMMYFUNCTION("""COMPUTED_VALUE"""),0.75)</f>
        <v>0.75</v>
      </c>
      <c r="R454" s="57">
        <f>IFERROR(__xludf.DUMMYFUNCTION("""COMPUTED_VALUE"""),2.75)</f>
        <v>2.75</v>
      </c>
      <c r="S454" s="31">
        <f>IFERROR(__xludf.DUMMYFUNCTION("""COMPUTED_VALUE"""),401.91666666666663)</f>
        <v>401.9166667</v>
      </c>
      <c r="T454" s="57">
        <f>IFERROR(__xludf.DUMMYFUNCTION("""COMPUTED_VALUE"""),1.0833333333333333)</f>
        <v>1.083333333</v>
      </c>
      <c r="U454" s="57">
        <f>IFERROR(__xludf.DUMMYFUNCTION("""COMPUTED_VALUE"""),0.75)</f>
        <v>0.75</v>
      </c>
      <c r="V454" s="57">
        <f>IFERROR(__xludf.DUMMYFUNCTION("""COMPUTED_VALUE"""),1.4166666666666667)</f>
        <v>1.416666667</v>
      </c>
      <c r="W454" s="57">
        <f>IFERROR(__xludf.DUMMYFUNCTION("""COMPUTED_VALUE"""),3.0)</f>
        <v>3</v>
      </c>
      <c r="X454" s="31">
        <f>IFERROR(__xludf.DUMMYFUNCTION("""COMPUTED_VALUE"""),381.6158788515406)</f>
        <v>381.6158789</v>
      </c>
      <c r="Y454" s="57">
        <f>IFERROR(__xludf.DUMMYFUNCTION("""COMPUTED_VALUE"""),0.9261904761904761)</f>
        <v>0.9261904762</v>
      </c>
      <c r="Z454" s="57">
        <f>IFERROR(__xludf.DUMMYFUNCTION("""COMPUTED_VALUE"""),0.7231092436974791)</f>
        <v>0.7231092437</v>
      </c>
      <c r="AA454" s="57">
        <f>IFERROR(__xludf.DUMMYFUNCTION("""COMPUTED_VALUE"""),1.3065826330532213)</f>
        <v>1.306582633</v>
      </c>
      <c r="AB454" s="57">
        <f>IFERROR(__xludf.DUMMYFUNCTION("""COMPUTED_VALUE"""),2.7770308123249294)</f>
        <v>2.777030812</v>
      </c>
      <c r="AC454" s="31">
        <f>IFERROR(__xludf.DUMMYFUNCTION("""COMPUTED_VALUE"""),371.34803338001865)</f>
        <v>371.3480334</v>
      </c>
      <c r="AD454" s="57">
        <f>IFERROR(__xludf.DUMMYFUNCTION("""COMPUTED_VALUE"""),0.8422560690943044)</f>
        <v>0.8422560691</v>
      </c>
      <c r="AE454" s="57">
        <f>IFERROR(__xludf.DUMMYFUNCTION("""COMPUTED_VALUE"""),0.6474323062558357)</f>
        <v>0.6474323063</v>
      </c>
      <c r="AF454" s="57">
        <f>IFERROR(__xludf.DUMMYFUNCTION("""COMPUTED_VALUE"""),1.3504143323996267)</f>
        <v>1.350414332</v>
      </c>
      <c r="AG454" s="57">
        <f>IFERROR(__xludf.DUMMYFUNCTION("""COMPUTED_VALUE"""),2.4599439775910357)</f>
        <v>2.459943978</v>
      </c>
      <c r="AH454" s="57">
        <f>IFERROR(__xludf.DUMMYFUNCTION("""COMPUTED_VALUE"""),0.9882912174316834)</f>
        <v>0.9882912174</v>
      </c>
      <c r="AI454" s="57">
        <f>IFERROR(__xludf.DUMMYFUNCTION("""COMPUTED_VALUE"""),1.7809310672144891)</f>
        <v>1.780931067</v>
      </c>
      <c r="AJ454" s="57">
        <f>IFERROR(__xludf.DUMMYFUNCTION("""COMPUTED_VALUE"""),0.0)</f>
        <v>0</v>
      </c>
      <c r="AK454" s="57">
        <f>IFERROR(__xludf.DUMMYFUNCTION("""COMPUTED_VALUE"""),0.5553851007100044)</f>
        <v>0.5553851007</v>
      </c>
      <c r="AL454" s="57">
        <f>IFERROR(__xludf.DUMMYFUNCTION("""COMPUTED_VALUE"""),1.117911637440219)</f>
        <v>1.117911637</v>
      </c>
      <c r="AM454" s="57">
        <f>IFERROR(__xludf.DUMMYFUNCTION("""COMPUTED_VALUE"""),1.0531969159046017)</f>
        <v>1.053196916</v>
      </c>
      <c r="AN454" s="57">
        <f>IFERROR(__xludf.DUMMYFUNCTION("""COMPUTED_VALUE"""),1.1696658097686374)</f>
        <v>1.16966581</v>
      </c>
      <c r="AO454" s="57">
        <f>IFERROR(__xludf.DUMMYFUNCTION("""COMPUTED_VALUE"""),1.0371876815804764)</f>
        <v>1.037187682</v>
      </c>
      <c r="AP454" s="35">
        <f>IFERROR(__xludf.DUMMYFUNCTION("""COMPUTED_VALUE"""),1.0842534033658484)</f>
        <v>1.084253403</v>
      </c>
      <c r="AQ454" s="57">
        <f>IFERROR(__xludf.DUMMYFUNCTION("""COMPUTED_VALUE"""),1.0802904982852535)</f>
        <v>1.080290498</v>
      </c>
      <c r="AR454" s="36" t="b">
        <f>IFERROR(__xludf.DUMMYFUNCTION("""COMPUTED_VALUE"""),TRUE)</f>
        <v>1</v>
      </c>
      <c r="AS454" s="57"/>
      <c r="AT454" s="37"/>
      <c r="AU454" s="30"/>
      <c r="AV454" s="30"/>
      <c r="AW454" s="30"/>
      <c r="AX454" s="30"/>
      <c r="AY454" s="30"/>
      <c r="AZ454" s="30"/>
    </row>
    <row r="455">
      <c r="A455" s="30" t="str">
        <f>IFERROR(__xludf.DUMMYFUNCTION("""COMPUTED_VALUE"""),"Premier")</f>
        <v>Premier</v>
      </c>
      <c r="B455" s="30" t="str">
        <f>IFERROR(__xludf.DUMMYFUNCTION("""COMPUTED_VALUE"""),"RSC007691")</f>
        <v>RSC007691</v>
      </c>
      <c r="C455" s="30" t="str">
        <f>IFERROR(__xludf.DUMMYFUNCTION("""COMPUTED_VALUE"""),"exy")</f>
        <v>exy</v>
      </c>
      <c r="D455" s="31"/>
      <c r="E455" s="31">
        <f>IFERROR(__xludf.DUMMYFUNCTION("""COMPUTED_VALUE"""),41.80961630591515)</f>
        <v>41.80961631</v>
      </c>
      <c r="F455" s="31">
        <f>IFERROR(__xludf.DUMMYFUNCTION("""COMPUTED_VALUE"""),-2.691056551730117)</f>
        <v>-2.691056552</v>
      </c>
      <c r="G455" s="31">
        <f>IFERROR(__xludf.DUMMYFUNCTION("""COMPUTED_VALUE"""),25.630037858378344)</f>
        <v>25.63003786</v>
      </c>
      <c r="H455" s="31">
        <f>IFERROR(__xludf.DUMMYFUNCTION("""COMPUTED_VALUE"""),-6.066852557500477)</f>
        <v>-6.066852558</v>
      </c>
      <c r="I455" s="54">
        <f>IFERROR(__xludf.DUMMYFUNCTION("""COMPUTED_VALUE"""),4.0)</f>
        <v>4</v>
      </c>
      <c r="J455" s="55">
        <f>IFERROR(__xludf.DUMMYFUNCTION("""COMPUTED_VALUE"""),1.0)</f>
        <v>1</v>
      </c>
      <c r="K455" s="54">
        <f>IFERROR(__xludf.DUMMYFUNCTION("""COMPUTED_VALUE"""),3.0)</f>
        <v>3</v>
      </c>
      <c r="L455" s="56">
        <f>IFERROR(__xludf.DUMMYFUNCTION("""COMPUTED_VALUE"""),0.25)</f>
        <v>0.25</v>
      </c>
      <c r="M455" s="56">
        <f>IFERROR(__xludf.DUMMYFUNCTION("""COMPUTED_VALUE"""),0.07692307692307693)</f>
        <v>0.07692307692</v>
      </c>
      <c r="N455" s="31">
        <f>IFERROR(__xludf.DUMMYFUNCTION("""COMPUTED_VALUE"""),239.25)</f>
        <v>239.25</v>
      </c>
      <c r="O455" s="57">
        <f>IFERROR(__xludf.DUMMYFUNCTION("""COMPUTED_VALUE"""),0.25)</f>
        <v>0.25</v>
      </c>
      <c r="P455" s="57">
        <f>IFERROR(__xludf.DUMMYFUNCTION("""COMPUTED_VALUE"""),0.75)</f>
        <v>0.75</v>
      </c>
      <c r="Q455" s="57">
        <f>IFERROR(__xludf.DUMMYFUNCTION("""COMPUTED_VALUE"""),0.5)</f>
        <v>0.5</v>
      </c>
      <c r="R455" s="57">
        <f>IFERROR(__xludf.DUMMYFUNCTION("""COMPUTED_VALUE"""),3.25)</f>
        <v>3.25</v>
      </c>
      <c r="S455" s="31">
        <f>IFERROR(__xludf.DUMMYFUNCTION("""COMPUTED_VALUE"""),373.8333333333333)</f>
        <v>373.8333333</v>
      </c>
      <c r="T455" s="57">
        <f>IFERROR(__xludf.DUMMYFUNCTION("""COMPUTED_VALUE"""),0.6666666666666667)</f>
        <v>0.6666666667</v>
      </c>
      <c r="U455" s="57">
        <f>IFERROR(__xludf.DUMMYFUNCTION("""COMPUTED_VALUE"""),0.6666666666666667)</f>
        <v>0.6666666667</v>
      </c>
      <c r="V455" s="57">
        <f>IFERROR(__xludf.DUMMYFUNCTION("""COMPUTED_VALUE"""),1.6666666666666667)</f>
        <v>1.666666667</v>
      </c>
      <c r="W455" s="57">
        <f>IFERROR(__xludf.DUMMYFUNCTION("""COMPUTED_VALUE"""),2.583333333333333)</f>
        <v>2.583333333</v>
      </c>
      <c r="X455" s="31">
        <f>IFERROR(__xludf.DUMMYFUNCTION("""COMPUTED_VALUE"""),380.0680072463768)</f>
        <v>380.0680072</v>
      </c>
      <c r="Y455" s="57">
        <f>IFERROR(__xludf.DUMMYFUNCTION("""COMPUTED_VALUE"""),0.8107272256728778)</f>
        <v>0.8107272257</v>
      </c>
      <c r="Z455" s="57">
        <f>IFERROR(__xludf.DUMMYFUNCTION("""COMPUTED_VALUE"""),0.7333359213250518)</f>
        <v>0.7333359213</v>
      </c>
      <c r="AA455" s="57">
        <f>IFERROR(__xludf.DUMMYFUNCTION("""COMPUTED_VALUE"""),1.4326578674948238)</f>
        <v>1.432657867</v>
      </c>
      <c r="AB455" s="57">
        <f>IFERROR(__xludf.DUMMYFUNCTION("""COMPUTED_VALUE"""),2.524477225672878)</f>
        <v>2.524477226</v>
      </c>
      <c r="AC455" s="31">
        <f>IFERROR(__xludf.DUMMYFUNCTION("""COMPUTED_VALUE"""),348.5145729813664)</f>
        <v>348.514573</v>
      </c>
      <c r="AD455" s="57">
        <f>IFERROR(__xludf.DUMMYFUNCTION("""COMPUTED_VALUE"""),0.8262034161490683)</f>
        <v>0.8262034161</v>
      </c>
      <c r="AE455" s="57">
        <f>IFERROR(__xludf.DUMMYFUNCTION("""COMPUTED_VALUE"""),0.6226984126984126)</f>
        <v>0.6226984127</v>
      </c>
      <c r="AF455" s="57">
        <f>IFERROR(__xludf.DUMMYFUNCTION("""COMPUTED_VALUE"""),1.2349542788129741)</f>
        <v>1.234954279</v>
      </c>
      <c r="AG455" s="57">
        <f>IFERROR(__xludf.DUMMYFUNCTION("""COMPUTED_VALUE"""),2.847162698412699)</f>
        <v>2.847162698</v>
      </c>
      <c r="AH455" s="57">
        <f>IFERROR(__xludf.DUMMYFUNCTION("""COMPUTED_VALUE"""),0.6864849235810626)</f>
        <v>0.6864849236</v>
      </c>
      <c r="AI455" s="57">
        <f>IFERROR(__xludf.DUMMYFUNCTION("""COMPUTED_VALUE"""),0.3025889207348588)</f>
        <v>0.3025889207</v>
      </c>
      <c r="AJ455" s="57">
        <f>IFERROR(__xludf.DUMMYFUNCTION("""COMPUTED_VALUE"""),1.2044353810859039)</f>
        <v>1.204435381</v>
      </c>
      <c r="AK455" s="57">
        <f>IFERROR(__xludf.DUMMYFUNCTION("""COMPUTED_VALUE"""),0.40487328849177723)</f>
        <v>0.4048732885</v>
      </c>
      <c r="AL455" s="57">
        <f>IFERROR(__xludf.DUMMYFUNCTION("""COMPUTED_VALUE"""),1.1414872784796892)</f>
        <v>1.141487278</v>
      </c>
      <c r="AM455" s="57">
        <f>IFERROR(__xludf.DUMMYFUNCTION("""COMPUTED_VALUE"""),0.9835958991702191)</f>
        <v>0.9835958992</v>
      </c>
      <c r="AN455" s="57">
        <f>IFERROR(__xludf.DUMMYFUNCTION("""COMPUTED_VALUE"""),0.8223069924824032)</f>
        <v>0.8223069925</v>
      </c>
      <c r="AO455" s="57">
        <f>IFERROR(__xludf.DUMMYFUNCTION("""COMPUTED_VALUE"""),0.9090877008480349)</f>
        <v>0.9090877008</v>
      </c>
      <c r="AP455" s="35">
        <f>IFERROR(__xludf.DUMMYFUNCTION("""COMPUTED_VALUE"""),1.163338927235318)</f>
        <v>1.163338927</v>
      </c>
      <c r="AQ455" s="57">
        <f>IFERROR(__xludf.DUMMYFUNCTION("""COMPUTED_VALUE"""),1.0233141765201577)</f>
        <v>1.023314177</v>
      </c>
      <c r="AR455" s="36" t="b">
        <f>IFERROR(__xludf.DUMMYFUNCTION("""COMPUTED_VALUE"""),TRUE)</f>
        <v>1</v>
      </c>
      <c r="AS455" s="57"/>
      <c r="AT455" s="37"/>
      <c r="AU455" s="30"/>
      <c r="AV455" s="30"/>
      <c r="AW455" s="30"/>
      <c r="AX455" s="30"/>
      <c r="AY455" s="30"/>
      <c r="AZ455" s="30"/>
    </row>
    <row r="456">
      <c r="A456" s="30" t="str">
        <f>IFERROR(__xludf.DUMMYFUNCTION("""COMPUTED_VALUE"""),"Premier")</f>
        <v>Premier</v>
      </c>
      <c r="B456" s="30" t="str">
        <f>IFERROR(__xludf.DUMMYFUNCTION("""COMPUTED_VALUE"""),"RSC001214")</f>
        <v>RSC001214</v>
      </c>
      <c r="C456" s="30" t="str">
        <f>IFERROR(__xludf.DUMMYFUNCTION("""COMPUTED_VALUE"""),"Corrupt")</f>
        <v>Corrupt</v>
      </c>
      <c r="D456" s="31" t="str">
        <f>IFERROR(__xludf.DUMMYFUNCTION("""COMPUTED_VALUE"""),"Interstellar")</f>
        <v>Interstellar</v>
      </c>
      <c r="E456" s="31">
        <f>IFERROR(__xludf.DUMMYFUNCTION("""COMPUTED_VALUE"""),41.057095203244515)</f>
        <v>41.0570952</v>
      </c>
      <c r="F456" s="31">
        <f>IFERROR(__xludf.DUMMYFUNCTION("""COMPUTED_VALUE"""),-2.775635470939937)</f>
        <v>-2.775635471</v>
      </c>
      <c r="G456" s="31">
        <f>IFERROR(__xludf.DUMMYFUNCTION("""COMPUTED_VALUE"""),37.50867365275697)</f>
        <v>37.50867365</v>
      </c>
      <c r="H456" s="31">
        <f>IFERROR(__xludf.DUMMYFUNCTION("""COMPUTED_VALUE"""),-3.239813975301806)</f>
        <v>-3.239813975</v>
      </c>
      <c r="I456" s="54">
        <f>IFERROR(__xludf.DUMMYFUNCTION("""COMPUTED_VALUE"""),19.0)</f>
        <v>19</v>
      </c>
      <c r="J456" s="55">
        <f>IFERROR(__xludf.DUMMYFUNCTION("""COMPUTED_VALUE"""),11.0)</f>
        <v>11</v>
      </c>
      <c r="K456" s="54">
        <f>IFERROR(__xludf.DUMMYFUNCTION("""COMPUTED_VALUE"""),8.0)</f>
        <v>8</v>
      </c>
      <c r="L456" s="56">
        <f>IFERROR(__xludf.DUMMYFUNCTION("""COMPUTED_VALUE"""),0.5789473684210527)</f>
        <v>0.5789473684</v>
      </c>
      <c r="M456" s="56">
        <f>IFERROR(__xludf.DUMMYFUNCTION("""COMPUTED_VALUE"""),0.5142857142857142)</f>
        <v>0.5142857143</v>
      </c>
      <c r="N456" s="31">
        <f>IFERROR(__xludf.DUMMYFUNCTION("""COMPUTED_VALUE"""),368.57894736842104)</f>
        <v>368.5789474</v>
      </c>
      <c r="O456" s="57">
        <f>IFERROR(__xludf.DUMMYFUNCTION("""COMPUTED_VALUE"""),0.9473684210526315)</f>
        <v>0.9473684211</v>
      </c>
      <c r="P456" s="57">
        <f>IFERROR(__xludf.DUMMYFUNCTION("""COMPUTED_VALUE"""),0.5263157894736842)</f>
        <v>0.5263157895</v>
      </c>
      <c r="Q456" s="57">
        <f>IFERROR(__xludf.DUMMYFUNCTION("""COMPUTED_VALUE"""),1.631578947368421)</f>
        <v>1.631578947</v>
      </c>
      <c r="R456" s="57">
        <f>IFERROR(__xludf.DUMMYFUNCTION("""COMPUTED_VALUE"""),1.8421052631578947)</f>
        <v>1.842105263</v>
      </c>
      <c r="S456" s="31">
        <f>IFERROR(__xludf.DUMMYFUNCTION("""COMPUTED_VALUE"""),338.14035087719293)</f>
        <v>338.1403509</v>
      </c>
      <c r="T456" s="57">
        <f>IFERROR(__xludf.DUMMYFUNCTION("""COMPUTED_VALUE"""),0.7543859649122806)</f>
        <v>0.7543859649</v>
      </c>
      <c r="U456" s="57">
        <f>IFERROR(__xludf.DUMMYFUNCTION("""COMPUTED_VALUE"""),0.5964912280701754)</f>
        <v>0.5964912281</v>
      </c>
      <c r="V456" s="57">
        <f>IFERROR(__xludf.DUMMYFUNCTION("""COMPUTED_VALUE"""),1.1052631578947367)</f>
        <v>1.105263158</v>
      </c>
      <c r="W456" s="57">
        <f>IFERROR(__xludf.DUMMYFUNCTION("""COMPUTED_VALUE"""),3.0526315789473686)</f>
        <v>3.052631579</v>
      </c>
      <c r="X456" s="31">
        <f>IFERROR(__xludf.DUMMYFUNCTION("""COMPUTED_VALUE"""),362.78860725319254)</f>
        <v>362.7886073</v>
      </c>
      <c r="Y456" s="57">
        <f>IFERROR(__xludf.DUMMYFUNCTION("""COMPUTED_VALUE"""),0.8257464834334644)</f>
        <v>0.8257464834</v>
      </c>
      <c r="Z456" s="57">
        <f>IFERROR(__xludf.DUMMYFUNCTION("""COMPUTED_VALUE"""),0.5768832473810476)</f>
        <v>0.5768832474</v>
      </c>
      <c r="AA456" s="57">
        <f>IFERROR(__xludf.DUMMYFUNCTION("""COMPUTED_VALUE"""),1.3497007035837087)</f>
        <v>1.349700704</v>
      </c>
      <c r="AB456" s="57">
        <f>IFERROR(__xludf.DUMMYFUNCTION("""COMPUTED_VALUE"""),2.6986800886727558)</f>
        <v>2.698680089</v>
      </c>
      <c r="AC456" s="31">
        <f>IFERROR(__xludf.DUMMYFUNCTION("""COMPUTED_VALUE"""),375.6605792473961)</f>
        <v>375.6605792</v>
      </c>
      <c r="AD456" s="57">
        <f>IFERROR(__xludf.DUMMYFUNCTION("""COMPUTED_VALUE"""),0.8752813092555638)</f>
        <v>0.8752813093</v>
      </c>
      <c r="AE456" s="57">
        <f>IFERROR(__xludf.DUMMYFUNCTION("""COMPUTED_VALUE"""),0.6969844655733525)</f>
        <v>0.6969844656</v>
      </c>
      <c r="AF456" s="57">
        <f>IFERROR(__xludf.DUMMYFUNCTION("""COMPUTED_VALUE"""),1.3635518836651312)</f>
        <v>1.363551884</v>
      </c>
      <c r="AG456" s="57">
        <f>IFERROR(__xludf.DUMMYFUNCTION("""COMPUTED_VALUE"""),2.735491217724393)</f>
        <v>2.735491218</v>
      </c>
      <c r="AH456" s="57">
        <f>IFERROR(__xludf.DUMMYFUNCTION("""COMPUTED_VALUE"""),0.9811488554557348)</f>
        <v>0.9811488555</v>
      </c>
      <c r="AI456" s="57">
        <f>IFERROR(__xludf.DUMMYFUNCTION("""COMPUTED_VALUE"""),1.0823587925787865)</f>
        <v>1.082358793</v>
      </c>
      <c r="AJ456" s="57">
        <f>IFERROR(__xludf.DUMMYFUNCTION("""COMPUTED_VALUE"""),0.7551327403555931)</f>
        <v>0.7551327404</v>
      </c>
      <c r="AK456" s="57">
        <f>IFERROR(__xludf.DUMMYFUNCTION("""COMPUTED_VALUE"""),1.1965653576619701)</f>
        <v>1.196565358</v>
      </c>
      <c r="AL456" s="57">
        <f>IFERROR(__xludf.DUMMYFUNCTION("""COMPUTED_VALUE"""),0.6734093135529456)</f>
        <v>0.6734093136</v>
      </c>
      <c r="AM456" s="57">
        <f>IFERROR(__xludf.DUMMYFUNCTION("""COMPUTED_VALUE"""),0.9320589018419825)</f>
        <v>0.9320589018</v>
      </c>
      <c r="AN456" s="57">
        <f>IFERROR(__xludf.DUMMYFUNCTION("""COMPUTED_VALUE"""),0.9135805965234441)</f>
        <v>0.9135805965</v>
      </c>
      <c r="AO456" s="57">
        <f>IFERROR(__xludf.DUMMYFUNCTION("""COMPUTED_VALUE"""),1.0339895130915047)</f>
        <v>1.033989513</v>
      </c>
      <c r="AP456" s="35">
        <f>IFERROR(__xludf.DUMMYFUNCTION("""COMPUTED_VALUE"""),0.8188950001730425)</f>
        <v>0.8188950002</v>
      </c>
      <c r="AQ456" s="57">
        <f>IFERROR(__xludf.DUMMYFUNCTION("""COMPUTED_VALUE"""),1.1311572615665944)</f>
        <v>1.131157262</v>
      </c>
      <c r="AR456" s="36" t="b">
        <f>IFERROR(__xludf.DUMMYFUNCTION("""COMPUTED_VALUE"""),TRUE)</f>
        <v>1</v>
      </c>
      <c r="AS456" s="57"/>
      <c r="AT456" s="37"/>
      <c r="AU456" s="30"/>
      <c r="AV456" s="30"/>
      <c r="AW456" s="30"/>
      <c r="AX456" s="30"/>
      <c r="AY456" s="30"/>
      <c r="AZ456" s="30"/>
    </row>
    <row r="457">
      <c r="A457" s="30" t="str">
        <f>IFERROR(__xludf.DUMMYFUNCTION("""COMPUTED_VALUE"""),"Premier")</f>
        <v>Premier</v>
      </c>
      <c r="B457" s="30" t="str">
        <f>IFERROR(__xludf.DUMMYFUNCTION("""COMPUTED_VALUE"""),"RSC005920")</f>
        <v>RSC005920</v>
      </c>
      <c r="C457" s="30" t="str">
        <f>IFERROR(__xludf.DUMMYFUNCTION("""COMPUTED_VALUE"""),"Lavar Ball")</f>
        <v>Lavar Ball</v>
      </c>
      <c r="D457" s="31" t="str">
        <f>IFERROR(__xludf.DUMMYFUNCTION("""COMPUTED_VALUE"""),"Capybaras")</f>
        <v>Capybaras</v>
      </c>
      <c r="E457" s="31">
        <f>IFERROR(__xludf.DUMMYFUNCTION("""COMPUTED_VALUE"""),40.862938811744826)</f>
        <v>40.86293881</v>
      </c>
      <c r="F457" s="31">
        <f>IFERROR(__xludf.DUMMYFUNCTION("""COMPUTED_VALUE"""),-2.7981760662378803)</f>
        <v>-2.798176066</v>
      </c>
      <c r="G457" s="31">
        <f>IFERROR(__xludf.DUMMYFUNCTION("""COMPUTED_VALUE"""),49.22600648865721)</f>
        <v>49.22600649</v>
      </c>
      <c r="H457" s="31">
        <f>IFERROR(__xludf.DUMMYFUNCTION("""COMPUTED_VALUE"""),-2.050647619327822)</f>
        <v>-2.050647619</v>
      </c>
      <c r="I457" s="54">
        <f>IFERROR(__xludf.DUMMYFUNCTION("""COMPUTED_VALUE"""),8.0)</f>
        <v>8</v>
      </c>
      <c r="J457" s="55">
        <f>IFERROR(__xludf.DUMMYFUNCTION("""COMPUTED_VALUE"""),2.0)</f>
        <v>2</v>
      </c>
      <c r="K457" s="54">
        <f>IFERROR(__xludf.DUMMYFUNCTION("""COMPUTED_VALUE"""),6.0)</f>
        <v>6</v>
      </c>
      <c r="L457" s="56">
        <f>IFERROR(__xludf.DUMMYFUNCTION("""COMPUTED_VALUE"""),0.25)</f>
        <v>0.25</v>
      </c>
      <c r="M457" s="56">
        <f>IFERROR(__xludf.DUMMYFUNCTION("""COMPUTED_VALUE"""),0.20689655172413793)</f>
        <v>0.2068965517</v>
      </c>
      <c r="N457" s="31">
        <f>IFERROR(__xludf.DUMMYFUNCTION("""COMPUTED_VALUE"""),348.5)</f>
        <v>348.5</v>
      </c>
      <c r="O457" s="57">
        <f>IFERROR(__xludf.DUMMYFUNCTION("""COMPUTED_VALUE"""),0.75)</f>
        <v>0.75</v>
      </c>
      <c r="P457" s="57">
        <f>IFERROR(__xludf.DUMMYFUNCTION("""COMPUTED_VALUE"""),0.375)</f>
        <v>0.375</v>
      </c>
      <c r="Q457" s="57">
        <f>IFERROR(__xludf.DUMMYFUNCTION("""COMPUTED_VALUE"""),1.0)</f>
        <v>1</v>
      </c>
      <c r="R457" s="57">
        <f>IFERROR(__xludf.DUMMYFUNCTION("""COMPUTED_VALUE"""),3.625)</f>
        <v>3.625</v>
      </c>
      <c r="S457" s="31">
        <f>IFERROR(__xludf.DUMMYFUNCTION("""COMPUTED_VALUE"""),440.1666666666667)</f>
        <v>440.1666667</v>
      </c>
      <c r="T457" s="57">
        <f>IFERROR(__xludf.DUMMYFUNCTION("""COMPUTED_VALUE"""),1.0833333333333335)</f>
        <v>1.083333333</v>
      </c>
      <c r="U457" s="57">
        <f>IFERROR(__xludf.DUMMYFUNCTION("""COMPUTED_VALUE"""),0.875)</f>
        <v>0.875</v>
      </c>
      <c r="V457" s="57">
        <f>IFERROR(__xludf.DUMMYFUNCTION("""COMPUTED_VALUE"""),1.7083333333333333)</f>
        <v>1.708333333</v>
      </c>
      <c r="W457" s="57">
        <f>IFERROR(__xludf.DUMMYFUNCTION("""COMPUTED_VALUE"""),2.666666666666667)</f>
        <v>2.666666667</v>
      </c>
      <c r="X457" s="31">
        <f>IFERROR(__xludf.DUMMYFUNCTION("""COMPUTED_VALUE"""),385.36540948981934)</f>
        <v>385.3654095</v>
      </c>
      <c r="Y457" s="57">
        <f>IFERROR(__xludf.DUMMYFUNCTION("""COMPUTED_VALUE"""),0.885540239487608)</f>
        <v>0.8855402395</v>
      </c>
      <c r="Z457" s="57">
        <f>IFERROR(__xludf.DUMMYFUNCTION("""COMPUTED_VALUE"""),0.6900146608350943)</f>
        <v>0.6900146608</v>
      </c>
      <c r="AA457" s="57">
        <f>IFERROR(__xludf.DUMMYFUNCTION("""COMPUTED_VALUE"""),1.507231723098596)</f>
        <v>1.507231723</v>
      </c>
      <c r="AB457" s="57">
        <f>IFERROR(__xludf.DUMMYFUNCTION("""COMPUTED_VALUE"""),2.5401096695988334)</f>
        <v>2.54010967</v>
      </c>
      <c r="AC457" s="31">
        <f>IFERROR(__xludf.DUMMYFUNCTION("""COMPUTED_VALUE"""),360.95225859105824)</f>
        <v>360.9522586</v>
      </c>
      <c r="AD457" s="57">
        <f>IFERROR(__xludf.DUMMYFUNCTION("""COMPUTED_VALUE"""),0.8387461539196575)</f>
        <v>0.8387461539</v>
      </c>
      <c r="AE457" s="57">
        <f>IFERROR(__xludf.DUMMYFUNCTION("""COMPUTED_VALUE"""),0.6528491708574269)</f>
        <v>0.6528491709</v>
      </c>
      <c r="AF457" s="57">
        <f>IFERROR(__xludf.DUMMYFUNCTION("""COMPUTED_VALUE"""),1.2419132833445268)</f>
        <v>1.241913283</v>
      </c>
      <c r="AG457" s="57">
        <f>IFERROR(__xludf.DUMMYFUNCTION("""COMPUTED_VALUE"""),2.724193654069815)</f>
        <v>2.724193654</v>
      </c>
      <c r="AH457" s="57">
        <f>IFERROR(__xludf.DUMMYFUNCTION("""COMPUTED_VALUE"""),0.9655016465621675)</f>
        <v>0.9655016466</v>
      </c>
      <c r="AI457" s="57">
        <f>IFERROR(__xludf.DUMMYFUNCTION("""COMPUTED_VALUE"""),0.8941918797422488)</f>
        <v>0.8941918797</v>
      </c>
      <c r="AJ457" s="57">
        <f>IFERROR(__xludf.DUMMYFUNCTION("""COMPUTED_VALUE"""),0.57440526348144)</f>
        <v>0.5744052635</v>
      </c>
      <c r="AK457" s="57">
        <f>IFERROR(__xludf.DUMMYFUNCTION("""COMPUTED_VALUE"""),0.8052091989119854)</f>
        <v>0.8052091989</v>
      </c>
      <c r="AL457" s="57">
        <f>IFERROR(__xludf.DUMMYFUNCTION("""COMPUTED_VALUE"""),1.3306689833097671)</f>
        <v>1.330668983</v>
      </c>
      <c r="AM457" s="57">
        <f>IFERROR(__xludf.DUMMYFUNCTION("""COMPUTED_VALUE"""),1.1422059578450439)</f>
        <v>1.142205958</v>
      </c>
      <c r="AN457" s="57">
        <f>IFERROR(__xludf.DUMMYFUNCTION("""COMPUTED_VALUE"""),1.2233586742034137)</f>
        <v>1.223358674</v>
      </c>
      <c r="AO457" s="57">
        <f>IFERROR(__xludf.DUMMYFUNCTION("""COMPUTED_VALUE"""),1.2680889981975543)</f>
        <v>1.268088998</v>
      </c>
      <c r="AP457" s="35">
        <f>IFERROR(__xludf.DUMMYFUNCTION("""COMPUTED_VALUE"""),1.13342448088958)</f>
        <v>1.133424481</v>
      </c>
      <c r="AQ457" s="57">
        <f>IFERROR(__xludf.DUMMYFUNCTION("""COMPUTED_VALUE"""),1.0498234381698255)</f>
        <v>1.049823438</v>
      </c>
      <c r="AR457" s="36" t="b">
        <f>IFERROR(__xludf.DUMMYFUNCTION("""COMPUTED_VALUE"""),TRUE)</f>
        <v>1</v>
      </c>
      <c r="AS457" s="57"/>
      <c r="AT457" s="37"/>
      <c r="AU457" s="30"/>
      <c r="AV457" s="30"/>
      <c r="AW457" s="30"/>
      <c r="AX457" s="30"/>
      <c r="AY457" s="30"/>
      <c r="AZ457" s="30"/>
    </row>
    <row r="458">
      <c r="A458" s="30" t="str">
        <f>IFERROR(__xludf.DUMMYFUNCTION("""COMPUTED_VALUE"""),"Premier")</f>
        <v>Premier</v>
      </c>
      <c r="B458" s="30" t="str">
        <f>IFERROR(__xludf.DUMMYFUNCTION("""COMPUTED_VALUE"""),"RSC007962")</f>
        <v>RSC007962</v>
      </c>
      <c r="C458" s="30" t="str">
        <f>IFERROR(__xludf.DUMMYFUNCTION("""COMPUTED_VALUE"""),"Kamikazi")</f>
        <v>Kamikazi</v>
      </c>
      <c r="D458" s="31"/>
      <c r="E458" s="31">
        <f>IFERROR(__xludf.DUMMYFUNCTION("""COMPUTED_VALUE"""),40.344340597498636)</f>
        <v>40.3443406</v>
      </c>
      <c r="F458" s="31">
        <f>IFERROR(__xludf.DUMMYFUNCTION("""COMPUTED_VALUE"""),-2.8598841741550567)</f>
        <v>-2.859884174</v>
      </c>
      <c r="G458" s="31">
        <f>IFERROR(__xludf.DUMMYFUNCTION("""COMPUTED_VALUE"""),33.34584011054908)</f>
        <v>33.34584011</v>
      </c>
      <c r="H458" s="31">
        <f>IFERROR(__xludf.DUMMYFUNCTION("""COMPUTED_VALUE"""),-3.9580075224481432)</f>
        <v>-3.958007522</v>
      </c>
      <c r="I458" s="54">
        <f>IFERROR(__xludf.DUMMYFUNCTION("""COMPUTED_VALUE"""),28.0)</f>
        <v>28</v>
      </c>
      <c r="J458" s="55">
        <f>IFERROR(__xludf.DUMMYFUNCTION("""COMPUTED_VALUE"""),12.0)</f>
        <v>12</v>
      </c>
      <c r="K458" s="54">
        <f>IFERROR(__xludf.DUMMYFUNCTION("""COMPUTED_VALUE"""),16.0)</f>
        <v>16</v>
      </c>
      <c r="L458" s="56">
        <f>IFERROR(__xludf.DUMMYFUNCTION("""COMPUTED_VALUE"""),0.42857142857142855)</f>
        <v>0.4285714286</v>
      </c>
      <c r="M458" s="56">
        <f>IFERROR(__xludf.DUMMYFUNCTION("""COMPUTED_VALUE"""),0.32)</f>
        <v>0.32</v>
      </c>
      <c r="N458" s="31">
        <f>IFERROR(__xludf.DUMMYFUNCTION("""COMPUTED_VALUE"""),367.39285714285717)</f>
        <v>367.3928571</v>
      </c>
      <c r="O458" s="57">
        <f>IFERROR(__xludf.DUMMYFUNCTION("""COMPUTED_VALUE"""),0.8571428571428571)</f>
        <v>0.8571428571</v>
      </c>
      <c r="P458" s="57">
        <f>IFERROR(__xludf.DUMMYFUNCTION("""COMPUTED_VALUE"""),0.2857142857142857)</f>
        <v>0.2857142857</v>
      </c>
      <c r="Q458" s="57">
        <f>IFERROR(__xludf.DUMMYFUNCTION("""COMPUTED_VALUE"""),1.7142857142857142)</f>
        <v>1.714285714</v>
      </c>
      <c r="R458" s="57">
        <f>IFERROR(__xludf.DUMMYFUNCTION("""COMPUTED_VALUE"""),2.6785714285714284)</f>
        <v>2.678571429</v>
      </c>
      <c r="S458" s="31">
        <f>IFERROR(__xludf.DUMMYFUNCTION("""COMPUTED_VALUE"""),399.7857142857143)</f>
        <v>399.7857143</v>
      </c>
      <c r="T458" s="57">
        <f>IFERROR(__xludf.DUMMYFUNCTION("""COMPUTED_VALUE"""),0.9642857142857144)</f>
        <v>0.9642857143</v>
      </c>
      <c r="U458" s="57">
        <f>IFERROR(__xludf.DUMMYFUNCTION("""COMPUTED_VALUE"""),0.7857142857142858)</f>
        <v>0.7857142857</v>
      </c>
      <c r="V458" s="57">
        <f>IFERROR(__xludf.DUMMYFUNCTION("""COMPUTED_VALUE"""),1.4404761904761902)</f>
        <v>1.44047619</v>
      </c>
      <c r="W458" s="57">
        <f>IFERROR(__xludf.DUMMYFUNCTION("""COMPUTED_VALUE"""),3.0952380952380953)</f>
        <v>3.095238095</v>
      </c>
      <c r="X458" s="31">
        <f>IFERROR(__xludf.DUMMYFUNCTION("""COMPUTED_VALUE"""),382.28579515139376)</f>
        <v>382.2857952</v>
      </c>
      <c r="Y458" s="57">
        <f>IFERROR(__xludf.DUMMYFUNCTION("""COMPUTED_VALUE"""),0.9275354586278954)</f>
        <v>0.9275354586</v>
      </c>
      <c r="Z458" s="57">
        <f>IFERROR(__xludf.DUMMYFUNCTION("""COMPUTED_VALUE"""),0.7718531857187323)</f>
        <v>0.7718531857</v>
      </c>
      <c r="AA458" s="57">
        <f>IFERROR(__xludf.DUMMYFUNCTION("""COMPUTED_VALUE"""),1.2982037259348187)</f>
        <v>1.298203726</v>
      </c>
      <c r="AB458" s="57">
        <f>IFERROR(__xludf.DUMMYFUNCTION("""COMPUTED_VALUE"""),2.920630474411987)</f>
        <v>2.920630474</v>
      </c>
      <c r="AC458" s="31">
        <f>IFERROR(__xludf.DUMMYFUNCTION("""COMPUTED_VALUE"""),360.2099720443734)</f>
        <v>360.209972</v>
      </c>
      <c r="AD458" s="57">
        <f>IFERROR(__xludf.DUMMYFUNCTION("""COMPUTED_VALUE"""),0.7342056266951223)</f>
        <v>0.7342056267</v>
      </c>
      <c r="AE458" s="57">
        <f>IFERROR(__xludf.DUMMYFUNCTION("""COMPUTED_VALUE"""),0.5632452981192475)</f>
        <v>0.5632452981</v>
      </c>
      <c r="AF458" s="57">
        <f>IFERROR(__xludf.DUMMYFUNCTION("""COMPUTED_VALUE"""),1.504789971544173)</f>
        <v>1.504789972</v>
      </c>
      <c r="AG458" s="57">
        <f>IFERROR(__xludf.DUMMYFUNCTION("""COMPUTED_VALUE"""),2.4223533857987642)</f>
        <v>2.422353386</v>
      </c>
      <c r="AH458" s="57">
        <f>IFERROR(__xludf.DUMMYFUNCTION("""COMPUTED_VALUE"""),1.0199408280057247)</f>
        <v>1.019940828</v>
      </c>
      <c r="AI458" s="57">
        <f>IFERROR(__xludf.DUMMYFUNCTION("""COMPUTED_VALUE"""),1.1674425065374556)</f>
        <v>1.167442507</v>
      </c>
      <c r="AJ458" s="57">
        <f>IFERROR(__xludf.DUMMYFUNCTION("""COMPUTED_VALUE"""),0.5072643955809741)</f>
        <v>0.5072643956</v>
      </c>
      <c r="AK458" s="57">
        <f>IFERROR(__xludf.DUMMYFUNCTION("""COMPUTED_VALUE"""),1.1392192576393652)</f>
        <v>1.139219258</v>
      </c>
      <c r="AL458" s="57">
        <f>IFERROR(__xludf.DUMMYFUNCTION("""COMPUTED_VALUE"""),1.1057723634688326)</f>
        <v>1.105772363</v>
      </c>
      <c r="AM458" s="57">
        <f>IFERROR(__xludf.DUMMYFUNCTION("""COMPUTED_VALUE"""),1.0457770583063128)</f>
        <v>1.045777058</v>
      </c>
      <c r="AN458" s="57">
        <f>IFERROR(__xludf.DUMMYFUNCTION("""COMPUTED_VALUE"""),1.0396214024121337)</f>
        <v>1.039621402</v>
      </c>
      <c r="AO458" s="57">
        <f>IFERROR(__xludf.DUMMYFUNCTION("""COMPUTED_VALUE"""),1.0179582079235008)</f>
        <v>1.017958208</v>
      </c>
      <c r="AP458" s="35">
        <f>IFERROR(__xludf.DUMMYFUNCTION("""COMPUTED_VALUE"""),1.1095917857106157)</f>
        <v>1.109591786</v>
      </c>
      <c r="AQ458" s="57">
        <f>IFERROR(__xludf.DUMMYFUNCTION("""COMPUTED_VALUE"""),1.0597842220561169)</f>
        <v>1.059784222</v>
      </c>
      <c r="AR458" s="36" t="b">
        <f>IFERROR(__xludf.DUMMYFUNCTION("""COMPUTED_VALUE"""),TRUE)</f>
        <v>1</v>
      </c>
      <c r="AS458" s="57"/>
      <c r="AT458" s="37"/>
      <c r="AU458" s="30"/>
      <c r="AV458" s="30"/>
      <c r="AW458" s="30"/>
      <c r="AX458" s="30"/>
      <c r="AY458" s="30"/>
      <c r="AZ458" s="30"/>
    </row>
    <row r="459">
      <c r="A459" s="30" t="str">
        <f>IFERROR(__xludf.DUMMYFUNCTION("""COMPUTED_VALUE"""),"Premier")</f>
        <v>Premier</v>
      </c>
      <c r="B459" s="30" t="str">
        <f>IFERROR(__xludf.DUMMYFUNCTION("""COMPUTED_VALUE"""),"RSC007596")</f>
        <v>RSC007596</v>
      </c>
      <c r="C459" s="30" t="str">
        <f>IFERROR(__xludf.DUMMYFUNCTION("""COMPUTED_VALUE"""),"Sean")</f>
        <v>Sean</v>
      </c>
      <c r="D459" s="31" t="str">
        <f>IFERROR(__xludf.DUMMYFUNCTION("""COMPUTED_VALUE"""),"Punks")</f>
        <v>Punks</v>
      </c>
      <c r="E459" s="31">
        <f>IFERROR(__xludf.DUMMYFUNCTION("""COMPUTED_VALUE"""),39.875164941129455)</f>
        <v>39.87516494</v>
      </c>
      <c r="F459" s="31">
        <f>IFERROR(__xludf.DUMMYFUNCTION("""COMPUTED_VALUE"""),-2.917653487407116)</f>
        <v>-2.917653487</v>
      </c>
      <c r="G459" s="31">
        <f>IFERROR(__xludf.DUMMYFUNCTION("""COMPUTED_VALUE"""),37.00249361086473)</f>
        <v>37.00249361</v>
      </c>
      <c r="H459" s="31">
        <f>IFERROR(__xludf.DUMMYFUNCTION("""COMPUTED_VALUE"""),-3.3160176568643163)</f>
        <v>-3.316017657</v>
      </c>
      <c r="I459" s="54">
        <f>IFERROR(__xludf.DUMMYFUNCTION("""COMPUTED_VALUE"""),36.0)</f>
        <v>36</v>
      </c>
      <c r="J459" s="55">
        <f>IFERROR(__xludf.DUMMYFUNCTION("""COMPUTED_VALUE"""),17.0)</f>
        <v>17</v>
      </c>
      <c r="K459" s="54">
        <f>IFERROR(__xludf.DUMMYFUNCTION("""COMPUTED_VALUE"""),19.0)</f>
        <v>19</v>
      </c>
      <c r="L459" s="56">
        <f>IFERROR(__xludf.DUMMYFUNCTION("""COMPUTED_VALUE"""),0.4722222222222222)</f>
        <v>0.4722222222</v>
      </c>
      <c r="M459" s="56">
        <f>IFERROR(__xludf.DUMMYFUNCTION("""COMPUTED_VALUE"""),0.24)</f>
        <v>0.24</v>
      </c>
      <c r="N459" s="31">
        <f>IFERROR(__xludf.DUMMYFUNCTION("""COMPUTED_VALUE"""),333.3611111111111)</f>
        <v>333.3611111</v>
      </c>
      <c r="O459" s="57">
        <f>IFERROR(__xludf.DUMMYFUNCTION("""COMPUTED_VALUE"""),0.5)</f>
        <v>0.5</v>
      </c>
      <c r="P459" s="57">
        <f>IFERROR(__xludf.DUMMYFUNCTION("""COMPUTED_VALUE"""),0.75)</f>
        <v>0.75</v>
      </c>
      <c r="Q459" s="57">
        <f>IFERROR(__xludf.DUMMYFUNCTION("""COMPUTED_VALUE"""),1.3055555555555556)</f>
        <v>1.305555556</v>
      </c>
      <c r="R459" s="57">
        <f>IFERROR(__xludf.DUMMYFUNCTION("""COMPUTED_VALUE"""),2.0833333333333335)</f>
        <v>2.083333333</v>
      </c>
      <c r="S459" s="31">
        <f>IFERROR(__xludf.DUMMYFUNCTION("""COMPUTED_VALUE"""),368.5462962962963)</f>
        <v>368.5462963</v>
      </c>
      <c r="T459" s="57">
        <f>IFERROR(__xludf.DUMMYFUNCTION("""COMPUTED_VALUE"""),0.8148148148148147)</f>
        <v>0.8148148148</v>
      </c>
      <c r="U459" s="57">
        <f>IFERROR(__xludf.DUMMYFUNCTION("""COMPUTED_VALUE"""),0.6666666666666665)</f>
        <v>0.6666666667</v>
      </c>
      <c r="V459" s="57">
        <f>IFERROR(__xludf.DUMMYFUNCTION("""COMPUTED_VALUE"""),1.37037037037037)</f>
        <v>1.37037037</v>
      </c>
      <c r="W459" s="57">
        <f>IFERROR(__xludf.DUMMYFUNCTION("""COMPUTED_VALUE"""),2.583333333333334)</f>
        <v>2.583333333</v>
      </c>
      <c r="X459" s="31">
        <f>IFERROR(__xludf.DUMMYFUNCTION("""COMPUTED_VALUE"""),378.4003589201298)</f>
        <v>378.4003589</v>
      </c>
      <c r="Y459" s="57">
        <f>IFERROR(__xludf.DUMMYFUNCTION("""COMPUTED_VALUE"""),0.8235086535983653)</f>
        <v>0.8235086536</v>
      </c>
      <c r="Z459" s="57">
        <f>IFERROR(__xludf.DUMMYFUNCTION("""COMPUTED_VALUE"""),0.6715462862562256)</f>
        <v>0.6715462863</v>
      </c>
      <c r="AA459" s="57">
        <f>IFERROR(__xludf.DUMMYFUNCTION("""COMPUTED_VALUE"""),1.4814346936595006)</f>
        <v>1.481434694</v>
      </c>
      <c r="AB459" s="57">
        <f>IFERROR(__xludf.DUMMYFUNCTION("""COMPUTED_VALUE"""),2.684275822504537)</f>
        <v>2.684275823</v>
      </c>
      <c r="AC459" s="31">
        <f>IFERROR(__xludf.DUMMYFUNCTION("""COMPUTED_VALUE"""),374.9531450243783)</f>
        <v>374.953145</v>
      </c>
      <c r="AD459" s="57">
        <f>IFERROR(__xludf.DUMMYFUNCTION("""COMPUTED_VALUE"""),0.8585351157763442)</f>
        <v>0.8585351158</v>
      </c>
      <c r="AE459" s="57">
        <f>IFERROR(__xludf.DUMMYFUNCTION("""COMPUTED_VALUE"""),0.6609887361499618)</f>
        <v>0.6609887361</v>
      </c>
      <c r="AF459" s="57">
        <f>IFERROR(__xludf.DUMMYFUNCTION("""COMPUTED_VALUE"""),1.4095618808526647)</f>
        <v>1.409561881</v>
      </c>
      <c r="AG459" s="57">
        <f>IFERROR(__xludf.DUMMYFUNCTION("""COMPUTED_VALUE"""),2.798498352298782)</f>
        <v>2.798498352</v>
      </c>
      <c r="AH459" s="57">
        <f>IFERROR(__xludf.DUMMYFUNCTION("""COMPUTED_VALUE"""),0.8890740497441006)</f>
        <v>0.8890740497</v>
      </c>
      <c r="AI459" s="57">
        <f>IFERROR(__xludf.DUMMYFUNCTION("""COMPUTED_VALUE"""),0.5823873605308117)</f>
        <v>0.5823873605</v>
      </c>
      <c r="AJ459" s="57">
        <f>IFERROR(__xludf.DUMMYFUNCTION("""COMPUTED_VALUE"""),1.1346638134387872)</f>
        <v>1.134663813</v>
      </c>
      <c r="AK459" s="57">
        <f>IFERROR(__xludf.DUMMYFUNCTION("""COMPUTED_VALUE"""),0.9262137216464778)</f>
        <v>0.9262137216</v>
      </c>
      <c r="AL459" s="57">
        <f>IFERROR(__xludf.DUMMYFUNCTION("""COMPUTED_VALUE"""),0.7444468679504537)</f>
        <v>0.744446868</v>
      </c>
      <c r="AM459" s="57">
        <f>IFERROR(__xludf.DUMMYFUNCTION("""COMPUTED_VALUE"""),0.973958632988735)</f>
        <v>0.973958633</v>
      </c>
      <c r="AN459" s="57">
        <f>IFERROR(__xludf.DUMMYFUNCTION("""COMPUTED_VALUE"""),0.9894429296576758)</f>
        <v>0.9894429297</v>
      </c>
      <c r="AO459" s="57">
        <f>IFERROR(__xludf.DUMMYFUNCTION("""COMPUTED_VALUE"""),0.9927337553800465)</f>
        <v>0.9927337554</v>
      </c>
      <c r="AP459" s="35">
        <f>IFERROR(__xludf.DUMMYFUNCTION("""COMPUTED_VALUE"""),0.9250292140689813)</f>
        <v>0.9250292141</v>
      </c>
      <c r="AQ459" s="57">
        <f>IFERROR(__xludf.DUMMYFUNCTION("""COMPUTED_VALUE"""),0.9623948894055829)</f>
        <v>0.9623948894</v>
      </c>
      <c r="AR459" s="36" t="b">
        <f>IFERROR(__xludf.DUMMYFUNCTION("""COMPUTED_VALUE"""),TRUE)</f>
        <v>1</v>
      </c>
      <c r="AS459" s="57"/>
      <c r="AT459" s="37"/>
      <c r="AU459" s="30"/>
      <c r="AV459" s="30"/>
      <c r="AW459" s="30"/>
      <c r="AX459" s="30"/>
      <c r="AY459" s="30"/>
      <c r="AZ459" s="30"/>
    </row>
    <row r="460">
      <c r="A460" s="30" t="str">
        <f>IFERROR(__xludf.DUMMYFUNCTION("""COMPUTED_VALUE"""),"Premier")</f>
        <v>Premier</v>
      </c>
      <c r="B460" s="30" t="str">
        <f>IFERROR(__xludf.DUMMYFUNCTION("""COMPUTED_VALUE"""),"RSC003334")</f>
        <v>RSC003334</v>
      </c>
      <c r="C460" s="30" t="str">
        <f>IFERROR(__xludf.DUMMYFUNCTION("""COMPUTED_VALUE"""),"hawk rl")</f>
        <v>hawk rl</v>
      </c>
      <c r="D460" s="31" t="str">
        <f>IFERROR(__xludf.DUMMYFUNCTION("""COMPUTED_VALUE"""),"Interstellar")</f>
        <v>Interstellar</v>
      </c>
      <c r="E460" s="31">
        <f>IFERROR(__xludf.DUMMYFUNCTION("""COMPUTED_VALUE"""),35.196385629508576)</f>
        <v>35.19638563</v>
      </c>
      <c r="F460" s="31">
        <f>IFERROR(__xludf.DUMMYFUNCTION("""COMPUTED_VALUE"""),-3.6117134930542654)</f>
        <v>-3.611713493</v>
      </c>
      <c r="G460" s="31">
        <f>IFERROR(__xludf.DUMMYFUNCTION("""COMPUTED_VALUE"""),37.68091514082372)</f>
        <v>37.68091514</v>
      </c>
      <c r="H460" s="31">
        <f>IFERROR(__xludf.DUMMYFUNCTION("""COMPUTED_VALUE"""),-3.214504986236269)</f>
        <v>-3.214504986</v>
      </c>
      <c r="I460" s="54">
        <f>IFERROR(__xludf.DUMMYFUNCTION("""COMPUTED_VALUE"""),17.0)</f>
        <v>17</v>
      </c>
      <c r="J460" s="55">
        <f>IFERROR(__xludf.DUMMYFUNCTION("""COMPUTED_VALUE"""),7.0)</f>
        <v>7</v>
      </c>
      <c r="K460" s="54">
        <f>IFERROR(__xludf.DUMMYFUNCTION("""COMPUTED_VALUE"""),10.0)</f>
        <v>10</v>
      </c>
      <c r="L460" s="56">
        <f>IFERROR(__xludf.DUMMYFUNCTION("""COMPUTED_VALUE"""),0.4117647058823529)</f>
        <v>0.4117647059</v>
      </c>
      <c r="M460" s="56">
        <f>IFERROR(__xludf.DUMMYFUNCTION("""COMPUTED_VALUE"""),0.3448275862068966)</f>
        <v>0.3448275862</v>
      </c>
      <c r="N460" s="31">
        <f>IFERROR(__xludf.DUMMYFUNCTION("""COMPUTED_VALUE"""),287.4117647058824)</f>
        <v>287.4117647</v>
      </c>
      <c r="O460" s="57">
        <f>IFERROR(__xludf.DUMMYFUNCTION("""COMPUTED_VALUE"""),0.5882352941176471)</f>
        <v>0.5882352941</v>
      </c>
      <c r="P460" s="57">
        <f>IFERROR(__xludf.DUMMYFUNCTION("""COMPUTED_VALUE"""),0.7647058823529411)</f>
        <v>0.7647058824</v>
      </c>
      <c r="Q460" s="57">
        <f>IFERROR(__xludf.DUMMYFUNCTION("""COMPUTED_VALUE"""),1.0)</f>
        <v>1</v>
      </c>
      <c r="R460" s="57">
        <f>IFERROR(__xludf.DUMMYFUNCTION("""COMPUTED_VALUE"""),1.7058823529411764)</f>
        <v>1.705882353</v>
      </c>
      <c r="S460" s="31">
        <f>IFERROR(__xludf.DUMMYFUNCTION("""COMPUTED_VALUE"""),353.0392156862745)</f>
        <v>353.0392157</v>
      </c>
      <c r="T460" s="57">
        <f>IFERROR(__xludf.DUMMYFUNCTION("""COMPUTED_VALUE"""),0.9019607843137255)</f>
        <v>0.9019607843</v>
      </c>
      <c r="U460" s="57">
        <f>IFERROR(__xludf.DUMMYFUNCTION("""COMPUTED_VALUE"""),0.6470588235294118)</f>
        <v>0.6470588235</v>
      </c>
      <c r="V460" s="57">
        <f>IFERROR(__xludf.DUMMYFUNCTION("""COMPUTED_VALUE"""),1.2549019607843137)</f>
        <v>1.254901961</v>
      </c>
      <c r="W460" s="57">
        <f>IFERROR(__xludf.DUMMYFUNCTION("""COMPUTED_VALUE"""),2.588235294117647)</f>
        <v>2.588235294</v>
      </c>
      <c r="X460" s="31">
        <f>IFERROR(__xludf.DUMMYFUNCTION("""COMPUTED_VALUE"""),376.8626120640117)</f>
        <v>376.8626121</v>
      </c>
      <c r="Y460" s="57">
        <f>IFERROR(__xludf.DUMMYFUNCTION("""COMPUTED_VALUE"""),0.8641605408766921)</f>
        <v>0.8641605409</v>
      </c>
      <c r="Z460" s="57">
        <f>IFERROR(__xludf.DUMMYFUNCTION("""COMPUTED_VALUE"""),0.6464351002893249)</f>
        <v>0.6464351003</v>
      </c>
      <c r="AA460" s="57">
        <f>IFERROR(__xludf.DUMMYFUNCTION("""COMPUTED_VALUE"""),1.4758826777601195)</f>
        <v>1.475882678</v>
      </c>
      <c r="AB460" s="57">
        <f>IFERROR(__xludf.DUMMYFUNCTION("""COMPUTED_VALUE"""),2.7395183230365734)</f>
        <v>2.739518323</v>
      </c>
      <c r="AC460" s="31">
        <f>IFERROR(__xludf.DUMMYFUNCTION("""COMPUTED_VALUE"""),377.67223075413324)</f>
        <v>377.6722308</v>
      </c>
      <c r="AD460" s="57">
        <f>IFERROR(__xludf.DUMMYFUNCTION("""COMPUTED_VALUE"""),0.8761525019031439)</f>
        <v>0.8761525019</v>
      </c>
      <c r="AE460" s="57">
        <f>IFERROR(__xludf.DUMMYFUNCTION("""COMPUTED_VALUE"""),0.6880477377541778)</f>
        <v>0.6880477378</v>
      </c>
      <c r="AF460" s="57">
        <f>IFERROR(__xludf.DUMMYFUNCTION("""COMPUTED_VALUE"""),1.4335667935035428)</f>
        <v>1.433566794</v>
      </c>
      <c r="AG460" s="57">
        <f>IFERROR(__xludf.DUMMYFUNCTION("""COMPUTED_VALUE"""),2.767028776792887)</f>
        <v>2.767028777</v>
      </c>
      <c r="AH460" s="57">
        <f>IFERROR(__xludf.DUMMYFUNCTION("""COMPUTED_VALUE"""),0.7610084652821326)</f>
        <v>0.7610084653</v>
      </c>
      <c r="AI460" s="57">
        <f>IFERROR(__xludf.DUMMYFUNCTION("""COMPUTED_VALUE"""),0.6713845966768406)</f>
        <v>0.6713845967</v>
      </c>
      <c r="AJ460" s="57">
        <f>IFERROR(__xludf.DUMMYFUNCTION("""COMPUTED_VALUE"""),1.1114139911991852)</f>
        <v>1.111413991</v>
      </c>
      <c r="AK460" s="57">
        <f>IFERROR(__xludf.DUMMYFUNCTION("""COMPUTED_VALUE"""),0.6975608004675289)</f>
        <v>0.6975608005</v>
      </c>
      <c r="AL460" s="57">
        <f>IFERROR(__xludf.DUMMYFUNCTION("""COMPUTED_VALUE"""),0.6165032930804472)</f>
        <v>0.6165032931</v>
      </c>
      <c r="AM460" s="57">
        <f>IFERROR(__xludf.DUMMYFUNCTION("""COMPUTED_VALUE"""),0.9367849300644057)</f>
        <v>0.9367849301</v>
      </c>
      <c r="AN460" s="57">
        <f>IFERROR(__xludf.DUMMYFUNCTION("""COMPUTED_VALUE"""),1.0437421539737106)</f>
        <v>1.043742154</v>
      </c>
      <c r="AO460" s="57">
        <f>IFERROR(__xludf.DUMMYFUNCTION("""COMPUTED_VALUE"""),1.000964865985476)</f>
        <v>1.000964866</v>
      </c>
      <c r="AP460" s="35">
        <f>IFERROR(__xludf.DUMMYFUNCTION("""COMPUTED_VALUE"""),0.8502721657312367)</f>
        <v>0.8502721657</v>
      </c>
      <c r="AQ460" s="57">
        <f>IFERROR(__xludf.DUMMYFUNCTION("""COMPUTED_VALUE"""),0.9447775079119606)</f>
        <v>0.9447775079</v>
      </c>
      <c r="AR460" s="36" t="b">
        <f>IFERROR(__xludf.DUMMYFUNCTION("""COMPUTED_VALUE"""),TRUE)</f>
        <v>1</v>
      </c>
      <c r="AS460" s="57"/>
      <c r="AT460" s="37"/>
      <c r="AU460" s="30"/>
      <c r="AV460" s="30"/>
      <c r="AW460" s="30"/>
      <c r="AX460" s="30"/>
      <c r="AY460" s="30"/>
      <c r="AZ460" s="30"/>
    </row>
    <row r="461">
      <c r="A461" s="30" t="str">
        <f>IFERROR(__xludf.DUMMYFUNCTION("""COMPUTED_VALUE"""),"Premier")</f>
        <v>Premier</v>
      </c>
      <c r="B461" s="30" t="str">
        <f>IFERROR(__xludf.DUMMYFUNCTION("""COMPUTED_VALUE"""),"RSC001945")</f>
        <v>RSC001945</v>
      </c>
      <c r="C461" s="30" t="str">
        <f>IFERROR(__xludf.DUMMYFUNCTION("""COMPUTED_VALUE"""),"Brody")</f>
        <v>Brody</v>
      </c>
      <c r="D461" s="31"/>
      <c r="E461" s="31">
        <f>IFERROR(__xludf.DUMMYFUNCTION("""COMPUTED_VALUE"""),32.452333382671384)</f>
        <v>32.45233338</v>
      </c>
      <c r="F461" s="31">
        <f>IFERROR(__xludf.DUMMYFUNCTION("""COMPUTED_VALUE"""),-4.143039496547973)</f>
        <v>-4.143039497</v>
      </c>
      <c r="G461" s="31">
        <f>IFERROR(__xludf.DUMMYFUNCTION("""COMPUTED_VALUE"""),39.20973666988346)</f>
        <v>39.20973667</v>
      </c>
      <c r="H461" s="31">
        <f>IFERROR(__xludf.DUMMYFUNCTION("""COMPUTED_VALUE"""),-3.002892528987627)</f>
        <v>-3.002892529</v>
      </c>
      <c r="I461" s="54">
        <f>IFERROR(__xludf.DUMMYFUNCTION("""COMPUTED_VALUE"""),27.0)</f>
        <v>27</v>
      </c>
      <c r="J461" s="55">
        <f>IFERROR(__xludf.DUMMYFUNCTION("""COMPUTED_VALUE"""),7.0)</f>
        <v>7</v>
      </c>
      <c r="K461" s="54">
        <f>IFERROR(__xludf.DUMMYFUNCTION("""COMPUTED_VALUE"""),20.0)</f>
        <v>20</v>
      </c>
      <c r="L461" s="56">
        <f>IFERROR(__xludf.DUMMYFUNCTION("""COMPUTED_VALUE"""),0.25925925925925924)</f>
        <v>0.2592592593</v>
      </c>
      <c r="M461" s="56">
        <f>IFERROR(__xludf.DUMMYFUNCTION("""COMPUTED_VALUE"""),0.19047619047619047)</f>
        <v>0.1904761905</v>
      </c>
      <c r="N461" s="31">
        <f>IFERROR(__xludf.DUMMYFUNCTION("""COMPUTED_VALUE"""),413.3333333333333)</f>
        <v>413.3333333</v>
      </c>
      <c r="O461" s="57">
        <f>IFERROR(__xludf.DUMMYFUNCTION("""COMPUTED_VALUE"""),0.4444444444444444)</f>
        <v>0.4444444444</v>
      </c>
      <c r="P461" s="57">
        <f>IFERROR(__xludf.DUMMYFUNCTION("""COMPUTED_VALUE"""),0.5185185185185185)</f>
        <v>0.5185185185</v>
      </c>
      <c r="Q461" s="57">
        <f>IFERROR(__xludf.DUMMYFUNCTION("""COMPUTED_VALUE"""),2.2962962962962963)</f>
        <v>2.296296296</v>
      </c>
      <c r="R461" s="57">
        <f>IFERROR(__xludf.DUMMYFUNCTION("""COMPUTED_VALUE"""),2.3333333333333335)</f>
        <v>2.333333333</v>
      </c>
      <c r="S461" s="31">
        <f>IFERROR(__xludf.DUMMYFUNCTION("""COMPUTED_VALUE"""),401.59259259259267)</f>
        <v>401.5925926</v>
      </c>
      <c r="T461" s="57">
        <f>IFERROR(__xludf.DUMMYFUNCTION("""COMPUTED_VALUE"""),1.0123456790123455)</f>
        <v>1.012345679</v>
      </c>
      <c r="U461" s="57">
        <f>IFERROR(__xludf.DUMMYFUNCTION("""COMPUTED_VALUE"""),0.8148148148148148)</f>
        <v>0.8148148148</v>
      </c>
      <c r="V461" s="57">
        <f>IFERROR(__xludf.DUMMYFUNCTION("""COMPUTED_VALUE"""),1.308641975308642)</f>
        <v>1.308641975</v>
      </c>
      <c r="W461" s="57">
        <f>IFERROR(__xludf.DUMMYFUNCTION("""COMPUTED_VALUE"""),3.407407407407408)</f>
        <v>3.407407407</v>
      </c>
      <c r="X461" s="31">
        <f>IFERROR(__xludf.DUMMYFUNCTION("""COMPUTED_VALUE"""),386.41073130699226)</f>
        <v>386.4107313</v>
      </c>
      <c r="Y461" s="57">
        <f>IFERROR(__xludf.DUMMYFUNCTION("""COMPUTED_VALUE"""),0.9191590242893917)</f>
        <v>0.9191590243</v>
      </c>
      <c r="Z461" s="57">
        <f>IFERROR(__xludf.DUMMYFUNCTION("""COMPUTED_VALUE"""),0.7018964641478525)</f>
        <v>0.7018964641</v>
      </c>
      <c r="AA461" s="57">
        <f>IFERROR(__xludf.DUMMYFUNCTION("""COMPUTED_VALUE"""),1.3866347826798318)</f>
        <v>1.386634783</v>
      </c>
      <c r="AB461" s="57">
        <f>IFERROR(__xludf.DUMMYFUNCTION("""COMPUTED_VALUE"""),2.9976982974259667)</f>
        <v>2.997698297</v>
      </c>
      <c r="AC461" s="31">
        <f>IFERROR(__xludf.DUMMYFUNCTION("""COMPUTED_VALUE"""),375.6485125485214)</f>
        <v>375.6485125</v>
      </c>
      <c r="AD461" s="57">
        <f>IFERROR(__xludf.DUMMYFUNCTION("""COMPUTED_VALUE"""),0.771609623538782)</f>
        <v>0.7716096235</v>
      </c>
      <c r="AE461" s="57">
        <f>IFERROR(__xludf.DUMMYFUNCTION("""COMPUTED_VALUE"""),0.5885170515836758)</f>
        <v>0.5885170516</v>
      </c>
      <c r="AF461" s="57">
        <f>IFERROR(__xludf.DUMMYFUNCTION("""COMPUTED_VALUE"""),1.5902649351257825)</f>
        <v>1.590264935</v>
      </c>
      <c r="AG461" s="57">
        <f>IFERROR(__xludf.DUMMYFUNCTION("""COMPUTED_VALUE"""),2.581636969137848)</f>
        <v>2.581636969</v>
      </c>
      <c r="AH461" s="57">
        <f>IFERROR(__xludf.DUMMYFUNCTION("""COMPUTED_VALUE"""),1.1003193664448339)</f>
        <v>1.100319366</v>
      </c>
      <c r="AI461" s="57">
        <f>IFERROR(__xludf.DUMMYFUNCTION("""COMPUTED_VALUE"""),0.5759965024880306)</f>
        <v>0.5759965025</v>
      </c>
      <c r="AJ461" s="57">
        <f>IFERROR(__xludf.DUMMYFUNCTION("""COMPUTED_VALUE"""),0.8810594648416828)</f>
        <v>0.8810594648</v>
      </c>
      <c r="AK461" s="57">
        <f>IFERROR(__xludf.DUMMYFUNCTION("""COMPUTED_VALUE"""),1.4439709042032485)</f>
        <v>1.443970904</v>
      </c>
      <c r="AL461" s="57">
        <f>IFERROR(__xludf.DUMMYFUNCTION("""COMPUTED_VALUE"""),0.9038193058230659)</f>
        <v>0.9038193058</v>
      </c>
      <c r="AM461" s="57">
        <f>IFERROR(__xludf.DUMMYFUNCTION("""COMPUTED_VALUE"""),1.0392894401101371)</f>
        <v>1.03928944</v>
      </c>
      <c r="AN461" s="57">
        <f>IFERROR(__xludf.DUMMYFUNCTION("""COMPUTED_VALUE"""),1.1013825162571809)</f>
        <v>1.101382516</v>
      </c>
      <c r="AO461" s="57">
        <f>IFERROR(__xludf.DUMMYFUNCTION("""COMPUTED_VALUE"""),1.1608760785026215)</f>
        <v>1.160876079</v>
      </c>
      <c r="AP461" s="35">
        <f>IFERROR(__xludf.DUMMYFUNCTION("""COMPUTED_VALUE"""),0.9437538937105994)</f>
        <v>0.9437538937</v>
      </c>
      <c r="AQ461" s="57">
        <f>IFERROR(__xludf.DUMMYFUNCTION("""COMPUTED_VALUE"""),1.1366745647262921)</f>
        <v>1.136674565</v>
      </c>
      <c r="AR461" s="36" t="b">
        <f>IFERROR(__xludf.DUMMYFUNCTION("""COMPUTED_VALUE"""),TRUE)</f>
        <v>1</v>
      </c>
      <c r="AS461" s="57"/>
      <c r="AT461" s="37"/>
      <c r="AU461" s="30"/>
      <c r="AV461" s="30"/>
      <c r="AW461" s="30"/>
      <c r="AX461" s="30"/>
      <c r="AY461" s="30"/>
      <c r="AZ461" s="30"/>
    </row>
    <row r="462">
      <c r="A462" s="30" t="str">
        <f>IFERROR(__xludf.DUMMYFUNCTION("""COMPUTED_VALUE"""),"Premier")</f>
        <v>Premier</v>
      </c>
      <c r="B462" s="30" t="str">
        <f>IFERROR(__xludf.DUMMYFUNCTION("""COMPUTED_VALUE"""),"RSC004580")</f>
        <v>RSC004580</v>
      </c>
      <c r="C462" s="30" t="str">
        <f>IFERROR(__xludf.DUMMYFUNCTION("""COMPUTED_VALUE"""),"Stati_c")</f>
        <v>Stati_c</v>
      </c>
      <c r="D462" s="31"/>
      <c r="E462" s="31">
        <f>IFERROR(__xludf.DUMMYFUNCTION("""COMPUTED_VALUE"""),29.98542637104202)</f>
        <v>29.98542637</v>
      </c>
      <c r="F462" s="31">
        <f>IFERROR(__xludf.DUMMYFUNCTION("""COMPUTED_VALUE"""),-4.723965388412978)</f>
        <v>-4.723965388</v>
      </c>
      <c r="G462" s="31">
        <f>IFERROR(__xludf.DUMMYFUNCTION("""COMPUTED_VALUE"""),24.21410185316978)</f>
        <v>24.21410185</v>
      </c>
      <c r="H462" s="31">
        <f>IFERROR(__xludf.DUMMYFUNCTION("""COMPUTED_VALUE"""),-6.615146999953301)</f>
        <v>-6.615147</v>
      </c>
      <c r="I462" s="54">
        <f>IFERROR(__xludf.DUMMYFUNCTION("""COMPUTED_VALUE"""),28.0)</f>
        <v>28</v>
      </c>
      <c r="J462" s="55">
        <f>IFERROR(__xludf.DUMMYFUNCTION("""COMPUTED_VALUE"""),13.0)</f>
        <v>13</v>
      </c>
      <c r="K462" s="54">
        <f>IFERROR(__xludf.DUMMYFUNCTION("""COMPUTED_VALUE"""),15.0)</f>
        <v>15</v>
      </c>
      <c r="L462" s="56">
        <f>IFERROR(__xludf.DUMMYFUNCTION("""COMPUTED_VALUE"""),0.4642857142857143)</f>
        <v>0.4642857143</v>
      </c>
      <c r="M462" s="56">
        <f>IFERROR(__xludf.DUMMYFUNCTION("""COMPUTED_VALUE"""),0.2833333333333333)</f>
        <v>0.2833333333</v>
      </c>
      <c r="N462" s="31">
        <f>IFERROR(__xludf.DUMMYFUNCTION("""COMPUTED_VALUE"""),303.67857142857144)</f>
        <v>303.6785714</v>
      </c>
      <c r="O462" s="57">
        <f>IFERROR(__xludf.DUMMYFUNCTION("""COMPUTED_VALUE"""),0.6071428571428571)</f>
        <v>0.6071428571</v>
      </c>
      <c r="P462" s="57">
        <f>IFERROR(__xludf.DUMMYFUNCTION("""COMPUTED_VALUE"""),0.5357142857142857)</f>
        <v>0.5357142857</v>
      </c>
      <c r="Q462" s="57">
        <f>IFERROR(__xludf.DUMMYFUNCTION("""COMPUTED_VALUE"""),1.1071428571428572)</f>
        <v>1.107142857</v>
      </c>
      <c r="R462" s="57">
        <f>IFERROR(__xludf.DUMMYFUNCTION("""COMPUTED_VALUE"""),2.142857142857143)</f>
        <v>2.142857143</v>
      </c>
      <c r="S462" s="31">
        <f>IFERROR(__xludf.DUMMYFUNCTION("""COMPUTED_VALUE"""),394.07142857142856)</f>
        <v>394.0714286</v>
      </c>
      <c r="T462" s="57">
        <f>IFERROR(__xludf.DUMMYFUNCTION("""COMPUTED_VALUE"""),0.9404761904761906)</f>
        <v>0.9404761905</v>
      </c>
      <c r="U462" s="57">
        <f>IFERROR(__xludf.DUMMYFUNCTION("""COMPUTED_VALUE"""),0.7142857142857143)</f>
        <v>0.7142857143</v>
      </c>
      <c r="V462" s="57">
        <f>IFERROR(__xludf.DUMMYFUNCTION("""COMPUTED_VALUE"""),1.476190476190476)</f>
        <v>1.476190476</v>
      </c>
      <c r="W462" s="57">
        <f>IFERROR(__xludf.DUMMYFUNCTION("""COMPUTED_VALUE"""),2.7380952380952386)</f>
        <v>2.738095238</v>
      </c>
      <c r="X462" s="31">
        <f>IFERROR(__xludf.DUMMYFUNCTION("""COMPUTED_VALUE"""),381.79152604401503)</f>
        <v>381.791526</v>
      </c>
      <c r="Y462" s="57">
        <f>IFERROR(__xludf.DUMMYFUNCTION("""COMPUTED_VALUE"""),0.8315819107307137)</f>
        <v>0.8315819107</v>
      </c>
      <c r="Z462" s="57">
        <f>IFERROR(__xludf.DUMMYFUNCTION("""COMPUTED_VALUE"""),0.6879444804394748)</f>
        <v>0.6879444804</v>
      </c>
      <c r="AA462" s="57">
        <f>IFERROR(__xludf.DUMMYFUNCTION("""COMPUTED_VALUE"""),1.488384390415915)</f>
        <v>1.48838439</v>
      </c>
      <c r="AB462" s="57">
        <f>IFERROR(__xludf.DUMMYFUNCTION("""COMPUTED_VALUE"""),2.814145142588256)</f>
        <v>2.814145143</v>
      </c>
      <c r="AC462" s="31">
        <f>IFERROR(__xludf.DUMMYFUNCTION("""COMPUTED_VALUE"""),380.0965848642168)</f>
        <v>380.0965849</v>
      </c>
      <c r="AD462" s="57">
        <f>IFERROR(__xludf.DUMMYFUNCTION("""COMPUTED_VALUE"""),0.8116597578581625)</f>
        <v>0.8116597579</v>
      </c>
      <c r="AE462" s="57">
        <f>IFERROR(__xludf.DUMMYFUNCTION("""COMPUTED_VALUE"""),0.6244795393476512)</f>
        <v>0.6244795393</v>
      </c>
      <c r="AF462" s="57">
        <f>IFERROR(__xludf.DUMMYFUNCTION("""COMPUTED_VALUE"""),1.5332887656833878)</f>
        <v>1.533288766</v>
      </c>
      <c r="AG462" s="57">
        <f>IFERROR(__xludf.DUMMYFUNCTION("""COMPUTED_VALUE"""),2.748038723286585)</f>
        <v>2.748038723</v>
      </c>
      <c r="AH462" s="57">
        <f>IFERROR(__xludf.DUMMYFUNCTION("""COMPUTED_VALUE"""),0.798951065390539)</f>
        <v>0.7989510654</v>
      </c>
      <c r="AI462" s="57">
        <f>IFERROR(__xludf.DUMMYFUNCTION("""COMPUTED_VALUE"""),0.7480263143081135)</f>
        <v>0.7480263143</v>
      </c>
      <c r="AJ462" s="57">
        <f>IFERROR(__xludf.DUMMYFUNCTION("""COMPUTED_VALUE"""),0.8578572266337305)</f>
        <v>0.8578572266</v>
      </c>
      <c r="AK462" s="57">
        <f>IFERROR(__xludf.DUMMYFUNCTION("""COMPUTED_VALUE"""),0.7220706770452354)</f>
        <v>0.722070677</v>
      </c>
      <c r="AL462" s="57">
        <f>IFERROR(__xludf.DUMMYFUNCTION("""COMPUTED_VALUE"""),0.7797769095096082)</f>
        <v>0.7797769095</v>
      </c>
      <c r="AM462" s="57">
        <f>IFERROR(__xludf.DUMMYFUNCTION("""COMPUTED_VALUE"""),1.032163894926253)</f>
        <v>1.032163895</v>
      </c>
      <c r="AN462" s="57">
        <f>IFERROR(__xludf.DUMMYFUNCTION("""COMPUTED_VALUE"""),1.1309483507761624)</f>
        <v>1.130948351</v>
      </c>
      <c r="AO462" s="57">
        <f>IFERROR(__xludf.DUMMYFUNCTION("""COMPUTED_VALUE"""),1.0382897669727826)</f>
        <v>1.038289767</v>
      </c>
      <c r="AP462" s="35">
        <f>IFERROR(__xludf.DUMMYFUNCTION("""COMPUTED_VALUE"""),0.9918072815705682)</f>
        <v>0.9918072816</v>
      </c>
      <c r="AQ462" s="57">
        <f>IFERROR(__xludf.DUMMYFUNCTION("""COMPUTED_VALUE"""),0.972975841458173)</f>
        <v>0.9729758415</v>
      </c>
      <c r="AR462" s="36" t="b">
        <f>IFERROR(__xludf.DUMMYFUNCTION("""COMPUTED_VALUE"""),TRUE)</f>
        <v>1</v>
      </c>
      <c r="AS462" s="57"/>
      <c r="AT462" s="37"/>
      <c r="AU462" s="30"/>
      <c r="AV462" s="30"/>
      <c r="AW462" s="30"/>
      <c r="AX462" s="30"/>
      <c r="AY462" s="30"/>
      <c r="AZ462" s="30"/>
    </row>
    <row r="463">
      <c r="A463" s="30" t="str">
        <f>IFERROR(__xludf.DUMMYFUNCTION("""COMPUTED_VALUE"""),"Premier")</f>
        <v>Premier</v>
      </c>
      <c r="B463" s="30" t="str">
        <f>IFERROR(__xludf.DUMMYFUNCTION("""COMPUTED_VALUE"""),"RSC000750")</f>
        <v>RSC000750</v>
      </c>
      <c r="C463" s="30" t="str">
        <f>IFERROR(__xludf.DUMMYFUNCTION("""COMPUTED_VALUE"""),"Jatt")</f>
        <v>Jatt</v>
      </c>
      <c r="D463" s="31" t="str">
        <f>IFERROR(__xludf.DUMMYFUNCTION("""COMPUTED_VALUE"""),"Crooked Capos")</f>
        <v>Crooked Capos</v>
      </c>
      <c r="E463" s="31">
        <f>IFERROR(__xludf.DUMMYFUNCTION("""COMPUTED_VALUE"""),29.98069226577962)</f>
        <v>29.98069227</v>
      </c>
      <c r="F463" s="31">
        <f>IFERROR(__xludf.DUMMYFUNCTION("""COMPUTED_VALUE"""),-4.725189226919122)</f>
        <v>-4.725189227</v>
      </c>
      <c r="G463" s="31">
        <f>IFERROR(__xludf.DUMMYFUNCTION("""COMPUTED_VALUE"""),32.5238340279746)</f>
        <v>32.52383403</v>
      </c>
      <c r="H463" s="31">
        <f>IFERROR(__xludf.DUMMYFUNCTION("""COMPUTED_VALUE"""),-4.127772007547527)</f>
        <v>-4.127772008</v>
      </c>
      <c r="I463" s="54">
        <f>IFERROR(__xludf.DUMMYFUNCTION("""COMPUTED_VALUE"""),20.0)</f>
        <v>20</v>
      </c>
      <c r="J463" s="55">
        <f>IFERROR(__xludf.DUMMYFUNCTION("""COMPUTED_VALUE"""),10.0)</f>
        <v>10</v>
      </c>
      <c r="K463" s="54">
        <f>IFERROR(__xludf.DUMMYFUNCTION("""COMPUTED_VALUE"""),10.0)</f>
        <v>10</v>
      </c>
      <c r="L463" s="56">
        <f>IFERROR(__xludf.DUMMYFUNCTION("""COMPUTED_VALUE"""),0.5)</f>
        <v>0.5</v>
      </c>
      <c r="M463" s="56">
        <f>IFERROR(__xludf.DUMMYFUNCTION("""COMPUTED_VALUE"""),0.28846153846153844)</f>
        <v>0.2884615385</v>
      </c>
      <c r="N463" s="31">
        <f>IFERROR(__xludf.DUMMYFUNCTION("""COMPUTED_VALUE"""),376.8)</f>
        <v>376.8</v>
      </c>
      <c r="O463" s="57">
        <f>IFERROR(__xludf.DUMMYFUNCTION("""COMPUTED_VALUE"""),0.75)</f>
        <v>0.75</v>
      </c>
      <c r="P463" s="57">
        <f>IFERROR(__xludf.DUMMYFUNCTION("""COMPUTED_VALUE"""),0.3)</f>
        <v>0.3</v>
      </c>
      <c r="Q463" s="57">
        <f>IFERROR(__xludf.DUMMYFUNCTION("""COMPUTED_VALUE"""),1.85)</f>
        <v>1.85</v>
      </c>
      <c r="R463" s="57">
        <f>IFERROR(__xludf.DUMMYFUNCTION("""COMPUTED_VALUE"""),2.6)</f>
        <v>2.6</v>
      </c>
      <c r="S463" s="31">
        <f>IFERROR(__xludf.DUMMYFUNCTION("""COMPUTED_VALUE"""),404.55)</f>
        <v>404.55</v>
      </c>
      <c r="T463" s="57">
        <f>IFERROR(__xludf.DUMMYFUNCTION("""COMPUTED_VALUE"""),0.8333333333333333)</f>
        <v>0.8333333333</v>
      </c>
      <c r="U463" s="57">
        <f>IFERROR(__xludf.DUMMYFUNCTION("""COMPUTED_VALUE"""),0.6333333333333334)</f>
        <v>0.6333333333</v>
      </c>
      <c r="V463" s="57">
        <f>IFERROR(__xludf.DUMMYFUNCTION("""COMPUTED_VALUE"""),1.7499999999999996)</f>
        <v>1.75</v>
      </c>
      <c r="W463" s="57">
        <f>IFERROR(__xludf.DUMMYFUNCTION("""COMPUTED_VALUE"""),2.8833333333333337)</f>
        <v>2.883333333</v>
      </c>
      <c r="X463" s="31">
        <f>IFERROR(__xludf.DUMMYFUNCTION("""COMPUTED_VALUE"""),369.33332698675576)</f>
        <v>369.333327</v>
      </c>
      <c r="Y463" s="57">
        <f>IFERROR(__xludf.DUMMYFUNCTION("""COMPUTED_VALUE"""),0.7966923928126239)</f>
        <v>0.7966923928</v>
      </c>
      <c r="Z463" s="57">
        <f>IFERROR(__xludf.DUMMYFUNCTION("""COMPUTED_VALUE"""),0.6244808599570117)</f>
        <v>0.62448086</v>
      </c>
      <c r="AA463" s="57">
        <f>IFERROR(__xludf.DUMMYFUNCTION("""COMPUTED_VALUE"""),1.487475082216751)</f>
        <v>1.487475082</v>
      </c>
      <c r="AB463" s="57">
        <f>IFERROR(__xludf.DUMMYFUNCTION("""COMPUTED_VALUE"""),2.697475138470782)</f>
        <v>2.697475138</v>
      </c>
      <c r="AC463" s="31">
        <f>IFERROR(__xludf.DUMMYFUNCTION("""COMPUTED_VALUE"""),387.03997293795857)</f>
        <v>387.0399729</v>
      </c>
      <c r="AD463" s="57">
        <f>IFERROR(__xludf.DUMMYFUNCTION("""COMPUTED_VALUE"""),0.8965420467428207)</f>
        <v>0.8965420467</v>
      </c>
      <c r="AE463" s="57">
        <f>IFERROR(__xludf.DUMMYFUNCTION("""COMPUTED_VALUE"""),0.700104123678019)</f>
        <v>0.7001041237</v>
      </c>
      <c r="AF463" s="57">
        <f>IFERROR(__xludf.DUMMYFUNCTION("""COMPUTED_VALUE"""),1.4471329750747899)</f>
        <v>1.447132975</v>
      </c>
      <c r="AG463" s="57">
        <f>IFERROR(__xludf.DUMMYFUNCTION("""COMPUTED_VALUE"""),2.8258606070705965)</f>
        <v>2.825860607</v>
      </c>
      <c r="AH463" s="57">
        <f>IFERROR(__xludf.DUMMYFUNCTION("""COMPUTED_VALUE"""),0.9735428543459516)</f>
        <v>0.9735428543</v>
      </c>
      <c r="AI463" s="57">
        <f>IFERROR(__xludf.DUMMYFUNCTION("""COMPUTED_VALUE"""),0.8365474912468246)</f>
        <v>0.8365474912</v>
      </c>
      <c r="AJ463" s="57">
        <f>IFERROR(__xludf.DUMMYFUNCTION("""COMPUTED_VALUE"""),0.4285076888619661)</f>
        <v>0.4285076889</v>
      </c>
      <c r="AK463" s="57">
        <f>IFERROR(__xludf.DUMMYFUNCTION("""COMPUTED_VALUE"""),1.278389776104984)</f>
        <v>1.278389776</v>
      </c>
      <c r="AL463" s="57">
        <f>IFERROR(__xludf.DUMMYFUNCTION("""COMPUTED_VALUE"""),0.9200736913542481)</f>
        <v>0.9200736914</v>
      </c>
      <c r="AM463" s="57">
        <f>IFERROR(__xludf.DUMMYFUNCTION("""COMPUTED_VALUE"""),1.095352004381958)</f>
        <v>1.095352004</v>
      </c>
      <c r="AN463" s="57">
        <f>IFERROR(__xludf.DUMMYFUNCTION("""COMPUTED_VALUE"""),1.0459913272064179)</f>
        <v>1.045991327</v>
      </c>
      <c r="AO463" s="57">
        <f>IFERROR(__xludf.DUMMYFUNCTION("""COMPUTED_VALUE"""),1.014175732106395)</f>
        <v>1.014175732</v>
      </c>
      <c r="AP463" s="35">
        <f>IFERROR(__xludf.DUMMYFUNCTION("""COMPUTED_VALUE"""),1.176490296154752)</f>
        <v>1.176490296</v>
      </c>
      <c r="AQ463" s="57">
        <f>IFERROR(__xludf.DUMMYFUNCTION("""COMPUTED_VALUE"""),1.0689007999413542)</f>
        <v>1.0689008</v>
      </c>
      <c r="AR463" s="36" t="b">
        <f>IFERROR(__xludf.DUMMYFUNCTION("""COMPUTED_VALUE"""),TRUE)</f>
        <v>1</v>
      </c>
      <c r="AS463" s="57"/>
      <c r="AT463" s="37"/>
      <c r="AU463" s="30"/>
      <c r="AV463" s="30"/>
      <c r="AW463" s="30"/>
      <c r="AX463" s="30"/>
      <c r="AY463" s="30"/>
      <c r="AZ463" s="30"/>
    </row>
    <row r="464">
      <c r="A464" s="30" t="str">
        <f>IFERROR(__xludf.DUMMYFUNCTION("""COMPUTED_VALUE"""),"Premier")</f>
        <v>Premier</v>
      </c>
      <c r="B464" s="30" t="str">
        <f>IFERROR(__xludf.DUMMYFUNCTION("""COMPUTED_VALUE"""),"RSC005481")</f>
        <v>RSC005481</v>
      </c>
      <c r="C464" s="30" t="str">
        <f>IFERROR(__xludf.DUMMYFUNCTION("""COMPUTED_VALUE"""),"Leonis")</f>
        <v>Leonis</v>
      </c>
      <c r="D464" s="31" t="str">
        <f>IFERROR(__xludf.DUMMYFUNCTION("""COMPUTED_VALUE"""),"Feta Forgers")</f>
        <v>Feta Forgers</v>
      </c>
      <c r="E464" s="31">
        <f>IFERROR(__xludf.DUMMYFUNCTION("""COMPUTED_VALUE"""),29.41404337807154)</f>
        <v>29.41404338</v>
      </c>
      <c r="F464" s="31">
        <f>IFERROR(__xludf.DUMMYFUNCTION("""COMPUTED_VALUE"""),-4.87497147845241)</f>
        <v>-4.874971478</v>
      </c>
      <c r="G464" s="31">
        <f>IFERROR(__xludf.DUMMYFUNCTION("""COMPUTED_VALUE"""),34.60241334174896)</f>
        <v>34.60241334</v>
      </c>
      <c r="H464" s="31">
        <f>IFERROR(__xludf.DUMMYFUNCTION("""COMPUTED_VALUE"""),-3.7177607383864237)</f>
        <v>-3.717760738</v>
      </c>
      <c r="I464" s="54">
        <f>IFERROR(__xludf.DUMMYFUNCTION("""COMPUTED_VALUE"""),34.0)</f>
        <v>34</v>
      </c>
      <c r="J464" s="55">
        <f>IFERROR(__xludf.DUMMYFUNCTION("""COMPUTED_VALUE"""),7.0)</f>
        <v>7</v>
      </c>
      <c r="K464" s="54">
        <f>IFERROR(__xludf.DUMMYFUNCTION("""COMPUTED_VALUE"""),27.0)</f>
        <v>27</v>
      </c>
      <c r="L464" s="56">
        <f>IFERROR(__xludf.DUMMYFUNCTION("""COMPUTED_VALUE"""),0.20588235294117646)</f>
        <v>0.2058823529</v>
      </c>
      <c r="M464" s="56">
        <f>IFERROR(__xludf.DUMMYFUNCTION("""COMPUTED_VALUE"""),0.2121212121212121)</f>
        <v>0.2121212121</v>
      </c>
      <c r="N464" s="31">
        <f>IFERROR(__xludf.DUMMYFUNCTION("""COMPUTED_VALUE"""),356.3529411764706)</f>
        <v>356.3529412</v>
      </c>
      <c r="O464" s="57">
        <f>IFERROR(__xludf.DUMMYFUNCTION("""COMPUTED_VALUE"""),0.4117647058823529)</f>
        <v>0.4117647059</v>
      </c>
      <c r="P464" s="57">
        <f>IFERROR(__xludf.DUMMYFUNCTION("""COMPUTED_VALUE"""),0.7352941176470589)</f>
        <v>0.7352941176</v>
      </c>
      <c r="Q464" s="57">
        <f>IFERROR(__xludf.DUMMYFUNCTION("""COMPUTED_VALUE"""),1.911764705882353)</f>
        <v>1.911764706</v>
      </c>
      <c r="R464" s="57">
        <f>IFERROR(__xludf.DUMMYFUNCTION("""COMPUTED_VALUE"""),1.9411764705882353)</f>
        <v>1.941176471</v>
      </c>
      <c r="S464" s="31">
        <f>IFERROR(__xludf.DUMMYFUNCTION("""COMPUTED_VALUE"""),412.34313725490205)</f>
        <v>412.3431373</v>
      </c>
      <c r="T464" s="57">
        <f>IFERROR(__xludf.DUMMYFUNCTION("""COMPUTED_VALUE"""),1.1176470588235292)</f>
        <v>1.117647059</v>
      </c>
      <c r="U464" s="57">
        <f>IFERROR(__xludf.DUMMYFUNCTION("""COMPUTED_VALUE"""),0.8921568627450979)</f>
        <v>0.8921568627</v>
      </c>
      <c r="V464" s="57">
        <f>IFERROR(__xludf.DUMMYFUNCTION("""COMPUTED_VALUE"""),1.1666666666666665)</f>
        <v>1.166666667</v>
      </c>
      <c r="W464" s="57">
        <f>IFERROR(__xludf.DUMMYFUNCTION("""COMPUTED_VALUE"""),3.3039215686274503)</f>
        <v>3.303921569</v>
      </c>
      <c r="X464" s="31">
        <f>IFERROR(__xludf.DUMMYFUNCTION("""COMPUTED_VALUE"""),381.7754196039991)</f>
        <v>381.7754196</v>
      </c>
      <c r="Y464" s="57">
        <f>IFERROR(__xludf.DUMMYFUNCTION("""COMPUTED_VALUE"""),0.8807221648846179)</f>
        <v>0.8807221649</v>
      </c>
      <c r="Z464" s="57">
        <f>IFERROR(__xludf.DUMMYFUNCTION("""COMPUTED_VALUE"""),0.6864819744873081)</f>
        <v>0.6864819745</v>
      </c>
      <c r="AA464" s="57">
        <f>IFERROR(__xludf.DUMMYFUNCTION("""COMPUTED_VALUE"""),1.437348518760143)</f>
        <v>1.437348519</v>
      </c>
      <c r="AB464" s="57">
        <f>IFERROR(__xludf.DUMMYFUNCTION("""COMPUTED_VALUE"""),2.8796176269277534)</f>
        <v>2.879617627</v>
      </c>
      <c r="AC464" s="31">
        <f>IFERROR(__xludf.DUMMYFUNCTION("""COMPUTED_VALUE"""),372.09332783210294)</f>
        <v>372.0933278</v>
      </c>
      <c r="AD464" s="57">
        <f>IFERROR(__xludf.DUMMYFUNCTION("""COMPUTED_VALUE"""),0.8004135578519527)</f>
        <v>0.8004135579</v>
      </c>
      <c r="AE464" s="57">
        <f>IFERROR(__xludf.DUMMYFUNCTION("""COMPUTED_VALUE"""),0.6145732179300842)</f>
        <v>0.6145732179</v>
      </c>
      <c r="AF464" s="57">
        <f>IFERROR(__xludf.DUMMYFUNCTION("""COMPUTED_VALUE"""),1.5168544246190194)</f>
        <v>1.516854425</v>
      </c>
      <c r="AG464" s="57">
        <f>IFERROR(__xludf.DUMMYFUNCTION("""COMPUTED_VALUE"""),2.6804815494965992)</f>
        <v>2.680481549</v>
      </c>
      <c r="AH464" s="57">
        <f>IFERROR(__xludf.DUMMYFUNCTION("""COMPUTED_VALUE"""),0.9576977454894468)</f>
        <v>0.9576977455</v>
      </c>
      <c r="AI464" s="57">
        <f>IFERROR(__xludf.DUMMYFUNCTION("""COMPUTED_VALUE"""),0.5144399440051893)</f>
        <v>0.514439944</v>
      </c>
      <c r="AJ464" s="57">
        <f>IFERROR(__xludf.DUMMYFUNCTION("""COMPUTED_VALUE"""),1.1964304596994466)</f>
        <v>1.19643046</v>
      </c>
      <c r="AK464" s="57">
        <f>IFERROR(__xludf.DUMMYFUNCTION("""COMPUTED_VALUE"""),1.2603481750481897)</f>
        <v>1.260348175</v>
      </c>
      <c r="AL464" s="57">
        <f>IFERROR(__xludf.DUMMYFUNCTION("""COMPUTED_VALUE"""),0.7241894542989087)</f>
        <v>0.7241894543</v>
      </c>
      <c r="AM464" s="57">
        <f>IFERROR(__xludf.DUMMYFUNCTION("""COMPUTED_VALUE"""),1.0800672753699272)</f>
        <v>1.080067275</v>
      </c>
      <c r="AN464" s="57">
        <f>IFERROR(__xludf.DUMMYFUNCTION("""COMPUTED_VALUE"""),1.2690120714402033)</f>
        <v>1.269012071</v>
      </c>
      <c r="AO464" s="57">
        <f>IFERROR(__xludf.DUMMYFUNCTION("""COMPUTED_VALUE"""),1.29960712138348)</f>
        <v>1.299607121</v>
      </c>
      <c r="AP464" s="35">
        <f>IFERROR(__xludf.DUMMYFUNCTION("""COMPUTED_VALUE"""),0.811679736291817)</f>
        <v>0.8116797363</v>
      </c>
      <c r="AQ464" s="57">
        <f>IFERROR(__xludf.DUMMYFUNCTION("""COMPUTED_VALUE"""),1.147347320606724)</f>
        <v>1.147347321</v>
      </c>
      <c r="AR464" s="36" t="b">
        <f>IFERROR(__xludf.DUMMYFUNCTION("""COMPUTED_VALUE"""),TRUE)</f>
        <v>1</v>
      </c>
      <c r="AS464" s="57"/>
      <c r="AT464" s="37"/>
      <c r="AU464" s="30"/>
      <c r="AV464" s="30"/>
      <c r="AW464" s="30"/>
      <c r="AX464" s="30"/>
      <c r="AY464" s="30"/>
      <c r="AZ464" s="30"/>
    </row>
    <row r="465">
      <c r="A465" s="30" t="str">
        <f>IFERROR(__xludf.DUMMYFUNCTION("""COMPUTED_VALUE"""),"Premier")</f>
        <v>Premier</v>
      </c>
      <c r="B465" s="30" t="str">
        <f>IFERROR(__xludf.DUMMYFUNCTION("""COMPUTED_VALUE"""),"RSC002542")</f>
        <v>RSC002542</v>
      </c>
      <c r="C465" s="30" t="str">
        <f>IFERROR(__xludf.DUMMYFUNCTION("""COMPUTED_VALUE"""),"wicked.")</f>
        <v>wicked.</v>
      </c>
      <c r="D465" s="31" t="str">
        <f>IFERROR(__xludf.DUMMYFUNCTION("""COMPUTED_VALUE"""),"Fairies")</f>
        <v>Fairies</v>
      </c>
      <c r="E465" s="31">
        <f>IFERROR(__xludf.DUMMYFUNCTION("""COMPUTED_VALUE"""),26.969746958503475)</f>
        <v>26.96974696</v>
      </c>
      <c r="F465" s="31">
        <f>IFERROR(__xludf.DUMMYFUNCTION("""COMPUTED_VALUE"""),-5.603171072300945)</f>
        <v>-5.603171072</v>
      </c>
      <c r="G465" s="31">
        <f>IFERROR(__xludf.DUMMYFUNCTION("""COMPUTED_VALUE"""),29.10385017726203)</f>
        <v>29.10385018</v>
      </c>
      <c r="H465" s="31">
        <f>IFERROR(__xludf.DUMMYFUNCTION("""COMPUTED_VALUE"""),-4.959806368591997)</f>
        <v>-4.959806369</v>
      </c>
      <c r="I465" s="54">
        <f>IFERROR(__xludf.DUMMYFUNCTION("""COMPUTED_VALUE"""),11.0)</f>
        <v>11</v>
      </c>
      <c r="J465" s="55">
        <f>IFERROR(__xludf.DUMMYFUNCTION("""COMPUTED_VALUE"""),2.0)</f>
        <v>2</v>
      </c>
      <c r="K465" s="54">
        <f>IFERROR(__xludf.DUMMYFUNCTION("""COMPUTED_VALUE"""),9.0)</f>
        <v>9</v>
      </c>
      <c r="L465" s="56">
        <f>IFERROR(__xludf.DUMMYFUNCTION("""COMPUTED_VALUE"""),0.18181818181818182)</f>
        <v>0.1818181818</v>
      </c>
      <c r="M465" s="56">
        <f>IFERROR(__xludf.DUMMYFUNCTION("""COMPUTED_VALUE"""),0.32)</f>
        <v>0.32</v>
      </c>
      <c r="N465" s="31">
        <f>IFERROR(__xludf.DUMMYFUNCTION("""COMPUTED_VALUE"""),333.1818181818182)</f>
        <v>333.1818182</v>
      </c>
      <c r="O465" s="57">
        <f>IFERROR(__xludf.DUMMYFUNCTION("""COMPUTED_VALUE"""),0.7272727272727273)</f>
        <v>0.7272727273</v>
      </c>
      <c r="P465" s="57">
        <f>IFERROR(__xludf.DUMMYFUNCTION("""COMPUTED_VALUE"""),0.36363636363636365)</f>
        <v>0.3636363636</v>
      </c>
      <c r="Q465" s="57">
        <f>IFERROR(__xludf.DUMMYFUNCTION("""COMPUTED_VALUE"""),1.5454545454545454)</f>
        <v>1.545454545</v>
      </c>
      <c r="R465" s="57">
        <f>IFERROR(__xludf.DUMMYFUNCTION("""COMPUTED_VALUE"""),2.272727272727273)</f>
        <v>2.272727273</v>
      </c>
      <c r="S465" s="31">
        <f>IFERROR(__xludf.DUMMYFUNCTION("""COMPUTED_VALUE"""),383.66666666666663)</f>
        <v>383.6666667</v>
      </c>
      <c r="T465" s="57">
        <f>IFERROR(__xludf.DUMMYFUNCTION("""COMPUTED_VALUE"""),0.9090909090909091)</f>
        <v>0.9090909091</v>
      </c>
      <c r="U465" s="57">
        <f>IFERROR(__xludf.DUMMYFUNCTION("""COMPUTED_VALUE"""),0.8484848484848484)</f>
        <v>0.8484848485</v>
      </c>
      <c r="V465" s="57">
        <f>IFERROR(__xludf.DUMMYFUNCTION("""COMPUTED_VALUE"""),1.3333333333333335)</f>
        <v>1.333333333</v>
      </c>
      <c r="W465" s="57">
        <f>IFERROR(__xludf.DUMMYFUNCTION("""COMPUTED_VALUE"""),3.0)</f>
        <v>3</v>
      </c>
      <c r="X465" s="31">
        <f>IFERROR(__xludf.DUMMYFUNCTION("""COMPUTED_VALUE"""),393.2776700130055)</f>
        <v>393.27767</v>
      </c>
      <c r="Y465" s="57">
        <f>IFERROR(__xludf.DUMMYFUNCTION("""COMPUTED_VALUE"""),0.8659722472983712)</f>
        <v>0.8659722473</v>
      </c>
      <c r="Z465" s="57">
        <f>IFERROR(__xludf.DUMMYFUNCTION("""COMPUTED_VALUE"""),0.6902983692461068)</f>
        <v>0.6902983692</v>
      </c>
      <c r="AA465" s="57">
        <f>IFERROR(__xludf.DUMMYFUNCTION("""COMPUTED_VALUE"""),1.5789642123144005)</f>
        <v>1.578964212</v>
      </c>
      <c r="AB465" s="57">
        <f>IFERROR(__xludf.DUMMYFUNCTION("""COMPUTED_VALUE"""),2.6646057281984055)</f>
        <v>2.664605728</v>
      </c>
      <c r="AC465" s="31">
        <f>IFERROR(__xludf.DUMMYFUNCTION("""COMPUTED_VALUE"""),357.1851741187181)</f>
        <v>357.1851741</v>
      </c>
      <c r="AD465" s="57">
        <f>IFERROR(__xludf.DUMMYFUNCTION("""COMPUTED_VALUE"""),0.7820679878989221)</f>
        <v>0.7820679879</v>
      </c>
      <c r="AE465" s="57">
        <f>IFERROR(__xludf.DUMMYFUNCTION("""COMPUTED_VALUE"""),0.606567717218538)</f>
        <v>0.6065677172</v>
      </c>
      <c r="AF465" s="57">
        <f>IFERROR(__xludf.DUMMYFUNCTION("""COMPUTED_VALUE"""),1.3470501885377255)</f>
        <v>1.347050189</v>
      </c>
      <c r="AG465" s="57">
        <f>IFERROR(__xludf.DUMMYFUNCTION("""COMPUTED_VALUE"""),2.856153903004498)</f>
        <v>2.856153903</v>
      </c>
      <c r="AH465" s="57">
        <f>IFERROR(__xludf.DUMMYFUNCTION("""COMPUTED_VALUE"""),0.9327985659087801)</f>
        <v>0.9327985659</v>
      </c>
      <c r="AI465" s="57">
        <f>IFERROR(__xludf.DUMMYFUNCTION("""COMPUTED_VALUE"""),0.9299354257250627)</f>
        <v>0.9299354257</v>
      </c>
      <c r="AJ465" s="57">
        <f>IFERROR(__xludf.DUMMYFUNCTION("""COMPUTED_VALUE"""),0.5994983796761318)</f>
        <v>0.5994983797</v>
      </c>
      <c r="AK465" s="57">
        <f>IFERROR(__xludf.DUMMYFUNCTION("""COMPUTED_VALUE"""),1.1472880213410575)</f>
        <v>1.147288021</v>
      </c>
      <c r="AL465" s="57">
        <f>IFERROR(__xludf.DUMMYFUNCTION("""COMPUTED_VALUE"""),0.7957299746125389)</f>
        <v>0.7957299746</v>
      </c>
      <c r="AM465" s="57">
        <f>IFERROR(__xludf.DUMMYFUNCTION("""COMPUTED_VALUE"""),0.9755617873091522)</f>
        <v>0.9755617873</v>
      </c>
      <c r="AN465" s="57">
        <f>IFERROR(__xludf.DUMMYFUNCTION("""COMPUTED_VALUE"""),1.049792198222354)</f>
        <v>1.049792198</v>
      </c>
      <c r="AO465" s="57">
        <f>IFERROR(__xludf.DUMMYFUNCTION("""COMPUTED_VALUE"""),1.2291566752671041)</f>
        <v>1.229156675</v>
      </c>
      <c r="AP465" s="35">
        <f>IFERROR(__xludf.DUMMYFUNCTION("""COMPUTED_VALUE"""),0.8444354361768414)</f>
        <v>0.8444354362</v>
      </c>
      <c r="AQ465" s="57">
        <f>IFERROR(__xludf.DUMMYFUNCTION("""COMPUTED_VALUE"""),1.1258701308986383)</f>
        <v>1.125870131</v>
      </c>
      <c r="AR465" s="36" t="b">
        <f>IFERROR(__xludf.DUMMYFUNCTION("""COMPUTED_VALUE"""),TRUE)</f>
        <v>1</v>
      </c>
      <c r="AS465" s="57"/>
      <c r="AT465" s="37"/>
      <c r="AU465" s="30"/>
      <c r="AV465" s="30"/>
      <c r="AW465" s="30"/>
      <c r="AX465" s="30"/>
      <c r="AY465" s="30"/>
      <c r="AZ465" s="30"/>
    </row>
    <row r="466">
      <c r="A466" s="30" t="str">
        <f>IFERROR(__xludf.DUMMYFUNCTION("""COMPUTED_VALUE"""),"Premier")</f>
        <v>Premier</v>
      </c>
      <c r="B466" s="30" t="str">
        <f>IFERROR(__xludf.DUMMYFUNCTION("""COMPUTED_VALUE"""),"RSC007471")</f>
        <v>RSC007471</v>
      </c>
      <c r="C466" s="30" t="str">
        <f>IFERROR(__xludf.DUMMYFUNCTION("""COMPUTED_VALUE"""),"ha ha boo.")</f>
        <v>ha ha boo.</v>
      </c>
      <c r="D466" s="31" t="str">
        <f>IFERROR(__xludf.DUMMYFUNCTION("""COMPUTED_VALUE"""),"Feta Forgers")</f>
        <v>Feta Forgers</v>
      </c>
      <c r="E466" s="31">
        <f>IFERROR(__xludf.DUMMYFUNCTION("""COMPUTED_VALUE"""),26.033270443071483)</f>
        <v>26.03327044</v>
      </c>
      <c r="F466" s="31">
        <f>IFERROR(__xludf.DUMMYFUNCTION("""COMPUTED_VALUE"""),-5.921970430965502)</f>
        <v>-5.921970431</v>
      </c>
      <c r="G466" s="31">
        <f>IFERROR(__xludf.DUMMYFUNCTION("""COMPUTED_VALUE"""),28.52327178301902)</f>
        <v>28.52327178</v>
      </c>
      <c r="H466" s="31">
        <f>IFERROR(__xludf.DUMMYFUNCTION("""COMPUTED_VALUE"""),-5.124232164890462)</f>
        <v>-5.124232165</v>
      </c>
      <c r="I466" s="54">
        <f>IFERROR(__xludf.DUMMYFUNCTION("""COMPUTED_VALUE"""),24.0)</f>
        <v>24</v>
      </c>
      <c r="J466" s="55">
        <f>IFERROR(__xludf.DUMMYFUNCTION("""COMPUTED_VALUE"""),5.0)</f>
        <v>5</v>
      </c>
      <c r="K466" s="54">
        <f>IFERROR(__xludf.DUMMYFUNCTION("""COMPUTED_VALUE"""),19.0)</f>
        <v>19</v>
      </c>
      <c r="L466" s="56">
        <f>IFERROR(__xludf.DUMMYFUNCTION("""COMPUTED_VALUE"""),0.20833333333333334)</f>
        <v>0.2083333333</v>
      </c>
      <c r="M466" s="56">
        <f>IFERROR(__xludf.DUMMYFUNCTION("""COMPUTED_VALUE"""),0.27272727272727276)</f>
        <v>0.2727272727</v>
      </c>
      <c r="N466" s="31">
        <f>IFERROR(__xludf.DUMMYFUNCTION("""COMPUTED_VALUE"""),339.9166666666667)</f>
        <v>339.9166667</v>
      </c>
      <c r="O466" s="57">
        <f>IFERROR(__xludf.DUMMYFUNCTION("""COMPUTED_VALUE"""),0.625)</f>
        <v>0.625</v>
      </c>
      <c r="P466" s="57">
        <f>IFERROR(__xludf.DUMMYFUNCTION("""COMPUTED_VALUE"""),0.4583333333333333)</f>
        <v>0.4583333333</v>
      </c>
      <c r="Q466" s="57">
        <f>IFERROR(__xludf.DUMMYFUNCTION("""COMPUTED_VALUE"""),1.6666666666666667)</f>
        <v>1.666666667</v>
      </c>
      <c r="R466" s="57">
        <f>IFERROR(__xludf.DUMMYFUNCTION("""COMPUTED_VALUE"""),2.2916666666666665)</f>
        <v>2.291666667</v>
      </c>
      <c r="S466" s="31">
        <f>IFERROR(__xludf.DUMMYFUNCTION("""COMPUTED_VALUE"""),400.40277777777777)</f>
        <v>400.4027778</v>
      </c>
      <c r="T466" s="57">
        <f>IFERROR(__xludf.DUMMYFUNCTION("""COMPUTED_VALUE"""),1.0138888888888893)</f>
        <v>1.013888889</v>
      </c>
      <c r="U466" s="57">
        <f>IFERROR(__xludf.DUMMYFUNCTION("""COMPUTED_VALUE"""),0.7777777777777778)</f>
        <v>0.7777777778</v>
      </c>
      <c r="V466" s="57">
        <f>IFERROR(__xludf.DUMMYFUNCTION("""COMPUTED_VALUE"""),1.2222222222222223)</f>
        <v>1.222222222</v>
      </c>
      <c r="W466" s="57">
        <f>IFERROR(__xludf.DUMMYFUNCTION("""COMPUTED_VALUE"""),3.2916666666666674)</f>
        <v>3.291666667</v>
      </c>
      <c r="X466" s="31">
        <f>IFERROR(__xludf.DUMMYFUNCTION("""COMPUTED_VALUE"""),378.67903813129055)</f>
        <v>378.6790381</v>
      </c>
      <c r="Y466" s="57">
        <f>IFERROR(__xludf.DUMMYFUNCTION("""COMPUTED_VALUE"""),0.8634823469281745)</f>
        <v>0.8634823469</v>
      </c>
      <c r="Z466" s="57">
        <f>IFERROR(__xludf.DUMMYFUNCTION("""COMPUTED_VALUE"""),0.630068781213592)</f>
        <v>0.6300687812</v>
      </c>
      <c r="AA466" s="57">
        <f>IFERROR(__xludf.DUMMYFUNCTION("""COMPUTED_VALUE"""),1.4554936571013013)</f>
        <v>1.455493657</v>
      </c>
      <c r="AB466" s="57">
        <f>IFERROR(__xludf.DUMMYFUNCTION("""COMPUTED_VALUE"""),2.8554309160810454)</f>
        <v>2.855430916</v>
      </c>
      <c r="AC466" s="31">
        <f>IFERROR(__xludf.DUMMYFUNCTION("""COMPUTED_VALUE"""),375.6902927218582)</f>
        <v>375.6902927</v>
      </c>
      <c r="AD466" s="57">
        <f>IFERROR(__xludf.DUMMYFUNCTION("""COMPUTED_VALUE"""),0.8153816684847538)</f>
        <v>0.8153816685</v>
      </c>
      <c r="AE466" s="57">
        <f>IFERROR(__xludf.DUMMYFUNCTION("""COMPUTED_VALUE"""),0.6345411973032941)</f>
        <v>0.6345411973</v>
      </c>
      <c r="AF466" s="57">
        <f>IFERROR(__xludf.DUMMYFUNCTION("""COMPUTED_VALUE"""),1.503858600315959)</f>
        <v>1.5038586</v>
      </c>
      <c r="AG466" s="57">
        <f>IFERROR(__xludf.DUMMYFUNCTION("""COMPUTED_VALUE"""),2.7327181947052033)</f>
        <v>2.732718195</v>
      </c>
      <c r="AH466" s="57">
        <f>IFERROR(__xludf.DUMMYFUNCTION("""COMPUTED_VALUE"""),0.9047789449229222)</f>
        <v>0.9047789449</v>
      </c>
      <c r="AI466" s="57">
        <f>IFERROR(__xludf.DUMMYFUNCTION("""COMPUTED_VALUE"""),0.7665122042312463)</f>
        <v>0.7665122042</v>
      </c>
      <c r="AJ466" s="57">
        <f>IFERROR(__xludf.DUMMYFUNCTION("""COMPUTED_VALUE"""),0.7223066607513933)</f>
        <v>0.7223066608</v>
      </c>
      <c r="AK466" s="57">
        <f>IFERROR(__xludf.DUMMYFUNCTION("""COMPUTED_VALUE"""),1.10826022228187)</f>
        <v>1.108260222</v>
      </c>
      <c r="AL466" s="57">
        <f>IFERROR(__xludf.DUMMYFUNCTION("""COMPUTED_VALUE"""),0.8386033624348463)</f>
        <v>0.8386033624</v>
      </c>
      <c r="AM466" s="57">
        <f>IFERROR(__xludf.DUMMYFUNCTION("""COMPUTED_VALUE"""),1.0573671565072358)</f>
        <v>1.057367157</v>
      </c>
      <c r="AN466" s="57">
        <f>IFERROR(__xludf.DUMMYFUNCTION("""COMPUTED_VALUE"""),1.1741860068081111)</f>
        <v>1.174186007</v>
      </c>
      <c r="AO466" s="57">
        <f>IFERROR(__xludf.DUMMYFUNCTION("""COMPUTED_VALUE"""),1.234433130109509)</f>
        <v>1.23443313</v>
      </c>
      <c r="AP466" s="35">
        <f>IFERROR(__xludf.DUMMYFUNCTION("""COMPUTED_VALUE"""),0.8397303665729108)</f>
        <v>0.8397303666</v>
      </c>
      <c r="AQ466" s="57">
        <f>IFERROR(__xludf.DUMMYFUNCTION("""COMPUTED_VALUE"""),1.1527740517653065)</f>
        <v>1.152774052</v>
      </c>
      <c r="AR466" s="36" t="b">
        <f>IFERROR(__xludf.DUMMYFUNCTION("""COMPUTED_VALUE"""),TRUE)</f>
        <v>1</v>
      </c>
      <c r="AS466" s="57"/>
      <c r="AT466" s="37"/>
      <c r="AU466" s="30"/>
      <c r="AV466" s="30"/>
      <c r="AW466" s="30"/>
      <c r="AX466" s="30"/>
      <c r="AY466" s="30"/>
      <c r="AZ466" s="30"/>
    </row>
    <row r="467">
      <c r="A467" s="30" t="str">
        <f>IFERROR(__xludf.DUMMYFUNCTION("""COMPUTED_VALUE"""),"Premier")</f>
        <v>Premier</v>
      </c>
      <c r="B467" s="30" t="str">
        <f>IFERROR(__xludf.DUMMYFUNCTION("""COMPUTED_VALUE"""),"RSC005187")</f>
        <v>RSC005187</v>
      </c>
      <c r="C467" s="30" t="str">
        <f>IFERROR(__xludf.DUMMYFUNCTION("""COMPUTED_VALUE"""),"Wallace")</f>
        <v>Wallace</v>
      </c>
      <c r="D467" s="31" t="str">
        <f>IFERROR(__xludf.DUMMYFUNCTION("""COMPUTED_VALUE"""),"Old Heads")</f>
        <v>Old Heads</v>
      </c>
      <c r="E467" s="31">
        <f>IFERROR(__xludf.DUMMYFUNCTION("""COMPUTED_VALUE"""),21.007678685629777)</f>
        <v>21.00767869</v>
      </c>
      <c r="F467" s="31">
        <f>IFERROR(__xludf.DUMMYFUNCTION("""COMPUTED_VALUE"""),-8.124338739570575)</f>
        <v>-8.12433874</v>
      </c>
      <c r="G467" s="31">
        <f>IFERROR(__xludf.DUMMYFUNCTION("""COMPUTED_VALUE"""),35.88761955390778)</f>
        <v>35.88761955</v>
      </c>
      <c r="H467" s="31">
        <f>IFERROR(__xludf.DUMMYFUNCTION("""COMPUTED_VALUE"""),-3.4939553903687015)</f>
        <v>-3.49395539</v>
      </c>
      <c r="I467" s="54">
        <f>IFERROR(__xludf.DUMMYFUNCTION("""COMPUTED_VALUE"""),1.0)</f>
        <v>1</v>
      </c>
      <c r="J467" s="55">
        <f>IFERROR(__xludf.DUMMYFUNCTION("""COMPUTED_VALUE"""),0.0)</f>
        <v>0</v>
      </c>
      <c r="K467" s="54">
        <f>IFERROR(__xludf.DUMMYFUNCTION("""COMPUTED_VALUE"""),1.0)</f>
        <v>1</v>
      </c>
      <c r="L467" s="56">
        <f>IFERROR(__xludf.DUMMYFUNCTION("""COMPUTED_VALUE"""),0.0)</f>
        <v>0</v>
      </c>
      <c r="M467" s="56">
        <f>IFERROR(__xludf.DUMMYFUNCTION("""COMPUTED_VALUE"""),0.5)</f>
        <v>0.5</v>
      </c>
      <c r="N467" s="31">
        <f>IFERROR(__xludf.DUMMYFUNCTION("""COMPUTED_VALUE"""),432.0)</f>
        <v>432</v>
      </c>
      <c r="O467" s="57">
        <f>IFERROR(__xludf.DUMMYFUNCTION("""COMPUTED_VALUE"""),1.0)</f>
        <v>1</v>
      </c>
      <c r="P467" s="57">
        <f>IFERROR(__xludf.DUMMYFUNCTION("""COMPUTED_VALUE"""),0.0)</f>
        <v>0</v>
      </c>
      <c r="Q467" s="57">
        <f>IFERROR(__xludf.DUMMYFUNCTION("""COMPUTED_VALUE"""),3.0)</f>
        <v>3</v>
      </c>
      <c r="R467" s="57">
        <f>IFERROR(__xludf.DUMMYFUNCTION("""COMPUTED_VALUE"""),2.0)</f>
        <v>2</v>
      </c>
      <c r="S467" s="31">
        <f>IFERROR(__xludf.DUMMYFUNCTION("""COMPUTED_VALUE"""),377.0)</f>
        <v>377</v>
      </c>
      <c r="T467" s="57">
        <f>IFERROR(__xludf.DUMMYFUNCTION("""COMPUTED_VALUE"""),1.0)</f>
        <v>1</v>
      </c>
      <c r="U467" s="57">
        <f>IFERROR(__xludf.DUMMYFUNCTION("""COMPUTED_VALUE"""),0.6666666666666666)</f>
        <v>0.6666666667</v>
      </c>
      <c r="V467" s="57">
        <f>IFERROR(__xludf.DUMMYFUNCTION("""COMPUTED_VALUE"""),0.6666666666666666)</f>
        <v>0.6666666667</v>
      </c>
      <c r="W467" s="57">
        <f>IFERROR(__xludf.DUMMYFUNCTION("""COMPUTED_VALUE"""),4.0)</f>
        <v>4</v>
      </c>
      <c r="X467" s="31">
        <f>IFERROR(__xludf.DUMMYFUNCTION("""COMPUTED_VALUE"""),381.6158788515406)</f>
        <v>381.6158789</v>
      </c>
      <c r="Y467" s="57">
        <f>IFERROR(__xludf.DUMMYFUNCTION("""COMPUTED_VALUE"""),0.9261904761904761)</f>
        <v>0.9261904762</v>
      </c>
      <c r="Z467" s="57">
        <f>IFERROR(__xludf.DUMMYFUNCTION("""COMPUTED_VALUE"""),0.7231092436974791)</f>
        <v>0.7231092437</v>
      </c>
      <c r="AA467" s="57">
        <f>IFERROR(__xludf.DUMMYFUNCTION("""COMPUTED_VALUE"""),1.3065826330532213)</f>
        <v>1.306582633</v>
      </c>
      <c r="AB467" s="57">
        <f>IFERROR(__xludf.DUMMYFUNCTION("""COMPUTED_VALUE"""),2.7770308123249294)</f>
        <v>2.777030812</v>
      </c>
      <c r="AC467" s="31">
        <f>IFERROR(__xludf.DUMMYFUNCTION("""COMPUTED_VALUE"""),371.34803338001865)</f>
        <v>371.3480334</v>
      </c>
      <c r="AD467" s="57">
        <f>IFERROR(__xludf.DUMMYFUNCTION("""COMPUTED_VALUE"""),0.8422560690943044)</f>
        <v>0.8422560691</v>
      </c>
      <c r="AE467" s="57">
        <f>IFERROR(__xludf.DUMMYFUNCTION("""COMPUTED_VALUE"""),0.6474323062558357)</f>
        <v>0.6474323063</v>
      </c>
      <c r="AF467" s="57">
        <f>IFERROR(__xludf.DUMMYFUNCTION("""COMPUTED_VALUE"""),1.3504143323996267)</f>
        <v>1.350414332</v>
      </c>
      <c r="AG467" s="57">
        <f>IFERROR(__xludf.DUMMYFUNCTION("""COMPUTED_VALUE"""),2.4599439775910357)</f>
        <v>2.459943978</v>
      </c>
      <c r="AH467" s="57">
        <f>IFERROR(__xludf.DUMMYFUNCTION("""COMPUTED_VALUE"""),1.1633291714727172)</f>
        <v>1.163329171</v>
      </c>
      <c r="AI467" s="57">
        <f>IFERROR(__xludf.DUMMYFUNCTION("""COMPUTED_VALUE"""),1.1872873781429927)</f>
        <v>1.187287378</v>
      </c>
      <c r="AJ467" s="57">
        <f>IFERROR(__xludf.DUMMYFUNCTION("""COMPUTED_VALUE"""),0.0)</f>
        <v>0</v>
      </c>
      <c r="AK467" s="57">
        <f>IFERROR(__xludf.DUMMYFUNCTION("""COMPUTED_VALUE"""),2.2215404028400174)</f>
        <v>2.221540403</v>
      </c>
      <c r="AL467" s="57">
        <f>IFERROR(__xludf.DUMMYFUNCTION("""COMPUTED_VALUE"""),0.8130266454110684)</f>
        <v>0.8130266454</v>
      </c>
      <c r="AM467" s="57">
        <f>IFERROR(__xludf.DUMMYFUNCTION("""COMPUTED_VALUE"""),0.9879043847299229)</f>
        <v>0.9879043847</v>
      </c>
      <c r="AN467" s="57">
        <f>IFERROR(__xludf.DUMMYFUNCTION("""COMPUTED_VALUE"""),1.0796915167095116)</f>
        <v>1.079691517</v>
      </c>
      <c r="AO467" s="57">
        <f>IFERROR(__xludf.DUMMYFUNCTION("""COMPUTED_VALUE"""),0.9219446058493123)</f>
        <v>0.9219446058</v>
      </c>
      <c r="AP467" s="35">
        <f>IFERROR(__xludf.DUMMYFUNCTION("""COMPUTED_VALUE"""),0.5102368957015757)</f>
        <v>0.5102368957</v>
      </c>
      <c r="AQ467" s="57">
        <f>IFERROR(__xludf.DUMMYFUNCTION("""COMPUTED_VALUE"""),1.4403873310470046)</f>
        <v>1.440387331</v>
      </c>
      <c r="AR467" s="36" t="b">
        <f>IFERROR(__xludf.DUMMYFUNCTION("""COMPUTED_VALUE"""),TRUE)</f>
        <v>1</v>
      </c>
      <c r="AS467" s="57"/>
      <c r="AT467" s="37"/>
      <c r="AU467" s="30"/>
      <c r="AV467" s="30"/>
      <c r="AW467" s="30"/>
      <c r="AX467" s="30"/>
      <c r="AY467" s="30"/>
      <c r="AZ467" s="30"/>
    </row>
    <row r="468">
      <c r="A468" s="30" t="str">
        <f>IFERROR(__xludf.DUMMYFUNCTION("""COMPUTED_VALUE"""),"Premier")</f>
        <v>Premier</v>
      </c>
      <c r="B468" s="30" t="str">
        <f>IFERROR(__xludf.DUMMYFUNCTION("""COMPUTED_VALUE"""),"RSC002714")</f>
        <v>RSC002714</v>
      </c>
      <c r="C468" s="30" t="str">
        <f>IFERROR(__xludf.DUMMYFUNCTION("""COMPUTED_VALUE"""),"Yujin")</f>
        <v>Yujin</v>
      </c>
      <c r="D468" s="31" t="str">
        <f>IFERROR(__xludf.DUMMYFUNCTION("""COMPUTED_VALUE"""),"Feta Forgers")</f>
        <v>Feta Forgers</v>
      </c>
      <c r="E468" s="31">
        <f>IFERROR(__xludf.DUMMYFUNCTION("""COMPUTED_VALUE"""),20.261461574195355)</f>
        <v>20.26146157</v>
      </c>
      <c r="F468" s="31">
        <f>IFERROR(__xludf.DUMMYFUNCTION("""COMPUTED_VALUE"""),-8.538738525298118)</f>
        <v>-8.538738525</v>
      </c>
      <c r="G468" s="31">
        <f>IFERROR(__xludf.DUMMYFUNCTION("""COMPUTED_VALUE"""),27.657420432842763)</f>
        <v>27.65742043</v>
      </c>
      <c r="H468" s="31">
        <f>IFERROR(__xludf.DUMMYFUNCTION("""COMPUTED_VALUE"""),-5.383859460822405)</f>
        <v>-5.383859461</v>
      </c>
      <c r="I468" s="54">
        <f>IFERROR(__xludf.DUMMYFUNCTION("""COMPUTED_VALUE"""),34.0)</f>
        <v>34</v>
      </c>
      <c r="J468" s="55">
        <f>IFERROR(__xludf.DUMMYFUNCTION("""COMPUTED_VALUE"""),7.0)</f>
        <v>7</v>
      </c>
      <c r="K468" s="54">
        <f>IFERROR(__xludf.DUMMYFUNCTION("""COMPUTED_VALUE"""),27.0)</f>
        <v>27</v>
      </c>
      <c r="L468" s="56">
        <f>IFERROR(__xludf.DUMMYFUNCTION("""COMPUTED_VALUE"""),0.20588235294117646)</f>
        <v>0.2058823529</v>
      </c>
      <c r="M468" s="56">
        <f>IFERROR(__xludf.DUMMYFUNCTION("""COMPUTED_VALUE"""),0.3866666666666666)</f>
        <v>0.3866666667</v>
      </c>
      <c r="N468" s="31">
        <f>IFERROR(__xludf.DUMMYFUNCTION("""COMPUTED_VALUE"""),342.20588235294116)</f>
        <v>342.2058824</v>
      </c>
      <c r="O468" s="57">
        <f>IFERROR(__xludf.DUMMYFUNCTION("""COMPUTED_VALUE"""),0.8529411764705882)</f>
        <v>0.8529411765</v>
      </c>
      <c r="P468" s="57">
        <f>IFERROR(__xludf.DUMMYFUNCTION("""COMPUTED_VALUE"""),0.23529411764705882)</f>
        <v>0.2352941176</v>
      </c>
      <c r="Q468" s="57">
        <f>IFERROR(__xludf.DUMMYFUNCTION("""COMPUTED_VALUE"""),1.3529411764705883)</f>
        <v>1.352941176</v>
      </c>
      <c r="R468" s="57">
        <f>IFERROR(__xludf.DUMMYFUNCTION("""COMPUTED_VALUE"""),2.2058823529411766)</f>
        <v>2.205882353</v>
      </c>
      <c r="S468" s="31">
        <f>IFERROR(__xludf.DUMMYFUNCTION("""COMPUTED_VALUE"""),412.34313725490205)</f>
        <v>412.3431373</v>
      </c>
      <c r="T468" s="57">
        <f>IFERROR(__xludf.DUMMYFUNCTION("""COMPUTED_VALUE"""),1.1176470588235292)</f>
        <v>1.117647059</v>
      </c>
      <c r="U468" s="57">
        <f>IFERROR(__xludf.DUMMYFUNCTION("""COMPUTED_VALUE"""),0.8921568627450979)</f>
        <v>0.8921568627</v>
      </c>
      <c r="V468" s="57">
        <f>IFERROR(__xludf.DUMMYFUNCTION("""COMPUTED_VALUE"""),1.1666666666666665)</f>
        <v>1.166666667</v>
      </c>
      <c r="W468" s="57">
        <f>IFERROR(__xludf.DUMMYFUNCTION("""COMPUTED_VALUE"""),3.3039215686274503)</f>
        <v>3.303921569</v>
      </c>
      <c r="X468" s="31">
        <f>IFERROR(__xludf.DUMMYFUNCTION("""COMPUTED_VALUE"""),381.7754196039991)</f>
        <v>381.7754196</v>
      </c>
      <c r="Y468" s="57">
        <f>IFERROR(__xludf.DUMMYFUNCTION("""COMPUTED_VALUE"""),0.8807221648846179)</f>
        <v>0.8807221649</v>
      </c>
      <c r="Z468" s="57">
        <f>IFERROR(__xludf.DUMMYFUNCTION("""COMPUTED_VALUE"""),0.6864819744873081)</f>
        <v>0.6864819745</v>
      </c>
      <c r="AA468" s="57">
        <f>IFERROR(__xludf.DUMMYFUNCTION("""COMPUTED_VALUE"""),1.437348518760143)</f>
        <v>1.437348519</v>
      </c>
      <c r="AB468" s="57">
        <f>IFERROR(__xludf.DUMMYFUNCTION("""COMPUTED_VALUE"""),2.8796176269277534)</f>
        <v>2.879617627</v>
      </c>
      <c r="AC468" s="31">
        <f>IFERROR(__xludf.DUMMYFUNCTION("""COMPUTED_VALUE"""),372.09332783210294)</f>
        <v>372.0933278</v>
      </c>
      <c r="AD468" s="57">
        <f>IFERROR(__xludf.DUMMYFUNCTION("""COMPUTED_VALUE"""),0.8004135578519527)</f>
        <v>0.8004135579</v>
      </c>
      <c r="AE468" s="57">
        <f>IFERROR(__xludf.DUMMYFUNCTION("""COMPUTED_VALUE"""),0.6145732179300842)</f>
        <v>0.6145732179</v>
      </c>
      <c r="AF468" s="57">
        <f>IFERROR(__xludf.DUMMYFUNCTION("""COMPUTED_VALUE"""),1.5168544246190194)</f>
        <v>1.516854425</v>
      </c>
      <c r="AG468" s="57">
        <f>IFERROR(__xludf.DUMMYFUNCTION("""COMPUTED_VALUE"""),2.6804815494965992)</f>
        <v>2.680481549</v>
      </c>
      <c r="AH468" s="57">
        <f>IFERROR(__xludf.DUMMYFUNCTION("""COMPUTED_VALUE"""),0.9196775560225909)</f>
        <v>0.919677556</v>
      </c>
      <c r="AI468" s="57">
        <f>IFERROR(__xludf.DUMMYFUNCTION("""COMPUTED_VALUE"""),1.0656255982964637)</f>
        <v>1.065625598</v>
      </c>
      <c r="AJ468" s="57">
        <f>IFERROR(__xludf.DUMMYFUNCTION("""COMPUTED_VALUE"""),0.38285774710382287)</f>
        <v>0.3828577471</v>
      </c>
      <c r="AK468" s="57">
        <f>IFERROR(__xludf.DUMMYFUNCTION("""COMPUTED_VALUE"""),0.8919387084956419)</f>
        <v>0.8919387085</v>
      </c>
      <c r="AL468" s="57">
        <f>IFERROR(__xludf.DUMMYFUNCTION("""COMPUTED_VALUE"""),0.8229425617033054)</f>
        <v>0.8229425617</v>
      </c>
      <c r="AM468" s="57">
        <f>IFERROR(__xludf.DUMMYFUNCTION("""COMPUTED_VALUE"""),1.0800672753699272)</f>
        <v>1.080067275</v>
      </c>
      <c r="AN468" s="57">
        <f>IFERROR(__xludf.DUMMYFUNCTION("""COMPUTED_VALUE"""),1.2690120714402033)</f>
        <v>1.269012071</v>
      </c>
      <c r="AO468" s="57">
        <f>IFERROR(__xludf.DUMMYFUNCTION("""COMPUTED_VALUE"""),1.29960712138348)</f>
        <v>1.299607121</v>
      </c>
      <c r="AP468" s="35">
        <f>IFERROR(__xludf.DUMMYFUNCTION("""COMPUTED_VALUE"""),0.811679736291817)</f>
        <v>0.8116797363</v>
      </c>
      <c r="AQ468" s="57">
        <f>IFERROR(__xludf.DUMMYFUNCTION("""COMPUTED_VALUE"""),1.147347320606724)</f>
        <v>1.147347321</v>
      </c>
      <c r="AR468" s="36" t="b">
        <f>IFERROR(__xludf.DUMMYFUNCTION("""COMPUTED_VALUE"""),TRUE)</f>
        <v>1</v>
      </c>
      <c r="AS468" s="57"/>
      <c r="AT468" s="37"/>
      <c r="AU468" s="30"/>
      <c r="AV468" s="30"/>
      <c r="AW468" s="30"/>
      <c r="AX468" s="30"/>
      <c r="AY468" s="30"/>
      <c r="AZ468" s="30"/>
    </row>
    <row r="469">
      <c r="A469" s="30" t="str">
        <f>IFERROR(__xludf.DUMMYFUNCTION("""COMPUTED_VALUE"""),"Premier")</f>
        <v>Premier</v>
      </c>
      <c r="B469" s="30" t="str">
        <f>IFERROR(__xludf.DUMMYFUNCTION("""COMPUTED_VALUE"""),"RSC003749")</f>
        <v>RSC003749</v>
      </c>
      <c r="C469" s="30" t="str">
        <f>IFERROR(__xludf.DUMMYFUNCTION("""COMPUTED_VALUE"""),"Rule")</f>
        <v>Rule</v>
      </c>
      <c r="D469" s="31" t="str">
        <f>IFERROR(__xludf.DUMMYFUNCTION("""COMPUTED_VALUE"""),"Fairies")</f>
        <v>Fairies</v>
      </c>
      <c r="E469" s="31">
        <f>IFERROR(__xludf.DUMMYFUNCTION("""COMPUTED_VALUE"""),17.728094830728267)</f>
        <v>17.72809483</v>
      </c>
      <c r="F469" s="31">
        <f>IFERROR(__xludf.DUMMYFUNCTION("""COMPUTED_VALUE"""),-10.165359543965035)</f>
        <v>-10.16535954</v>
      </c>
      <c r="G469" s="31">
        <f>IFERROR(__xludf.DUMMYFUNCTION("""COMPUTED_VALUE"""),25.190626133755732)</f>
        <v>25.19062613</v>
      </c>
      <c r="H469" s="31">
        <f>IFERROR(__xludf.DUMMYFUNCTION("""COMPUTED_VALUE"""),-6.2302452218064435)</f>
        <v>-6.230245222</v>
      </c>
      <c r="I469" s="54">
        <f>IFERROR(__xludf.DUMMYFUNCTION("""COMPUTED_VALUE"""),19.0)</f>
        <v>19</v>
      </c>
      <c r="J469" s="55">
        <f>IFERROR(__xludf.DUMMYFUNCTION("""COMPUTED_VALUE"""),5.0)</f>
        <v>5</v>
      </c>
      <c r="K469" s="54">
        <f>IFERROR(__xludf.DUMMYFUNCTION("""COMPUTED_VALUE"""),14.0)</f>
        <v>14</v>
      </c>
      <c r="L469" s="56">
        <f>IFERROR(__xludf.DUMMYFUNCTION("""COMPUTED_VALUE"""),0.2631578947368421)</f>
        <v>0.2631578947</v>
      </c>
      <c r="M469" s="56">
        <f>IFERROR(__xludf.DUMMYFUNCTION("""COMPUTED_VALUE"""),0.2857142857142857)</f>
        <v>0.2857142857</v>
      </c>
      <c r="N469" s="31">
        <f>IFERROR(__xludf.DUMMYFUNCTION("""COMPUTED_VALUE"""),325.6842105263158)</f>
        <v>325.6842105</v>
      </c>
      <c r="O469" s="57">
        <f>IFERROR(__xludf.DUMMYFUNCTION("""COMPUTED_VALUE"""),0.631578947368421)</f>
        <v>0.6315789474</v>
      </c>
      <c r="P469" s="57">
        <f>IFERROR(__xludf.DUMMYFUNCTION("""COMPUTED_VALUE"""),0.2631578947368421)</f>
        <v>0.2631578947</v>
      </c>
      <c r="Q469" s="57">
        <f>IFERROR(__xludf.DUMMYFUNCTION("""COMPUTED_VALUE"""),1.736842105263158)</f>
        <v>1.736842105</v>
      </c>
      <c r="R469" s="57">
        <f>IFERROR(__xludf.DUMMYFUNCTION("""COMPUTED_VALUE"""),2.210526315789474)</f>
        <v>2.210526316</v>
      </c>
      <c r="S469" s="31">
        <f>IFERROR(__xludf.DUMMYFUNCTION("""COMPUTED_VALUE"""),371.280701754386)</f>
        <v>371.2807018</v>
      </c>
      <c r="T469" s="57">
        <f>IFERROR(__xludf.DUMMYFUNCTION("""COMPUTED_VALUE"""),0.8947368421052632)</f>
        <v>0.8947368421</v>
      </c>
      <c r="U469" s="57">
        <f>IFERROR(__xludf.DUMMYFUNCTION("""COMPUTED_VALUE"""),0.7368421052631579)</f>
        <v>0.7368421053</v>
      </c>
      <c r="V469" s="57">
        <f>IFERROR(__xludf.DUMMYFUNCTION("""COMPUTED_VALUE"""),1.192982456140351)</f>
        <v>1.192982456</v>
      </c>
      <c r="W469" s="57">
        <f>IFERROR(__xludf.DUMMYFUNCTION("""COMPUTED_VALUE"""),3.105263157894737)</f>
        <v>3.105263158</v>
      </c>
      <c r="X469" s="31">
        <f>IFERROR(__xludf.DUMMYFUNCTION("""COMPUTED_VALUE"""),384.128634693584)</f>
        <v>384.1286347</v>
      </c>
      <c r="Y469" s="57">
        <f>IFERROR(__xludf.DUMMYFUNCTION("""COMPUTED_VALUE"""),0.8752844665899798)</f>
        <v>0.8752844666</v>
      </c>
      <c r="Z469" s="57">
        <f>IFERROR(__xludf.DUMMYFUNCTION("""COMPUTED_VALUE"""),0.6371870362736186)</f>
        <v>0.6371870363</v>
      </c>
      <c r="AA469" s="57">
        <f>IFERROR(__xludf.DUMMYFUNCTION("""COMPUTED_VALUE"""),1.4972404580533751)</f>
        <v>1.497240458</v>
      </c>
      <c r="AB469" s="57">
        <f>IFERROR(__xludf.DUMMYFUNCTION("""COMPUTED_VALUE"""),2.77467367679605)</f>
        <v>2.774673677</v>
      </c>
      <c r="AC469" s="31">
        <f>IFERROR(__xludf.DUMMYFUNCTION("""COMPUTED_VALUE"""),377.60244470524907)</f>
        <v>377.6024447</v>
      </c>
      <c r="AD469" s="57">
        <f>IFERROR(__xludf.DUMMYFUNCTION("""COMPUTED_VALUE"""),0.8185588577974969)</f>
        <v>0.8185588578</v>
      </c>
      <c r="AE469" s="57">
        <f>IFERROR(__xludf.DUMMYFUNCTION("""COMPUTED_VALUE"""),0.6334443597499432)</f>
        <v>0.6334443597</v>
      </c>
      <c r="AF469" s="57">
        <f>IFERROR(__xludf.DUMMYFUNCTION("""COMPUTED_VALUE"""),1.4763327833011364)</f>
        <v>1.476332783</v>
      </c>
      <c r="AG469" s="57">
        <f>IFERROR(__xludf.DUMMYFUNCTION("""COMPUTED_VALUE"""),2.7642711745685773)</f>
        <v>2.764271175</v>
      </c>
      <c r="AH469" s="57">
        <f>IFERROR(__xludf.DUMMYFUNCTION("""COMPUTED_VALUE"""),0.8625055666166042)</f>
        <v>0.8625055666</v>
      </c>
      <c r="AI469" s="57">
        <f>IFERROR(__xludf.DUMMYFUNCTION("""COMPUTED_VALUE"""),0.771574262928161)</f>
        <v>0.7715742629</v>
      </c>
      <c r="AJ469" s="57">
        <f>IFERROR(__xludf.DUMMYFUNCTION("""COMPUTED_VALUE"""),0.41543963678313534)</f>
        <v>0.4154396368</v>
      </c>
      <c r="AK469" s="57">
        <f>IFERROR(__xludf.DUMMYFUNCTION("""COMPUTED_VALUE"""),1.1764570460729815)</f>
        <v>1.176457046</v>
      </c>
      <c r="AL469" s="57">
        <f>IFERROR(__xludf.DUMMYFUNCTION("""COMPUTED_VALUE"""),0.7996778087932972)</f>
        <v>0.7996778088</v>
      </c>
      <c r="AM469" s="57">
        <f>IFERROR(__xludf.DUMMYFUNCTION("""COMPUTED_VALUE"""),0.9665530455717088)</f>
        <v>0.9665530456</v>
      </c>
      <c r="AN469" s="57">
        <f>IFERROR(__xludf.DUMMYFUNCTION("""COMPUTED_VALUE"""),1.0222240611570177)</f>
        <v>1.022224061</v>
      </c>
      <c r="AO469" s="57">
        <f>IFERROR(__xludf.DUMMYFUNCTION("""COMPUTED_VALUE"""),1.1563984565228125)</f>
        <v>1.156398457</v>
      </c>
      <c r="AP469" s="35">
        <f>IFERROR(__xludf.DUMMYFUNCTION("""COMPUTED_VALUE"""),0.7967874830816403)</f>
        <v>0.7967874831</v>
      </c>
      <c r="AQ469" s="57">
        <f>IFERROR(__xludf.DUMMYFUNCTION("""COMPUTED_VALUE"""),1.1191453553127095)</f>
        <v>1.119145355</v>
      </c>
      <c r="AR469" s="36" t="b">
        <f>IFERROR(__xludf.DUMMYFUNCTION("""COMPUTED_VALUE"""),TRUE)</f>
        <v>1</v>
      </c>
      <c r="AS469" s="57"/>
      <c r="AT469" s="37"/>
      <c r="AU469" s="30"/>
      <c r="AV469" s="30"/>
      <c r="AW469" s="30"/>
      <c r="AX469" s="30"/>
      <c r="AY469" s="30"/>
      <c r="AZ469" s="30"/>
    </row>
    <row r="470">
      <c r="A470" s="30" t="str">
        <f>IFERROR(__xludf.DUMMYFUNCTION("""COMPUTED_VALUE"""),"Premier")</f>
        <v>Premier</v>
      </c>
      <c r="B470" s="30" t="str">
        <f>IFERROR(__xludf.DUMMYFUNCTION("""COMPUTED_VALUE"""),"RSC007150")</f>
        <v>RSC007150</v>
      </c>
      <c r="C470" s="30" t="str">
        <f>IFERROR(__xludf.DUMMYFUNCTION("""COMPUTED_VALUE"""),"peach")</f>
        <v>peach</v>
      </c>
      <c r="D470" s="31" t="str">
        <f>IFERROR(__xludf.DUMMYFUNCTION("""COMPUTED_VALUE"""),"Fairies")</f>
        <v>Fairies</v>
      </c>
      <c r="E470" s="31">
        <f>IFERROR(__xludf.DUMMYFUNCTION("""COMPUTED_VALUE"""),17.093614269730807)</f>
        <v>17.09361427</v>
      </c>
      <c r="F470" s="31">
        <f>IFERROR(__xludf.DUMMYFUNCTION("""COMPUTED_VALUE"""),-10.633302194575522)</f>
        <v>-10.63330219</v>
      </c>
      <c r="G470" s="31">
        <f>IFERROR(__xludf.DUMMYFUNCTION("""COMPUTED_VALUE"""),15.841014229657866)</f>
        <v>15.84101423</v>
      </c>
      <c r="H470" s="31">
        <f>IFERROR(__xludf.DUMMYFUNCTION("""COMPUTED_VALUE"""),-11.639670099112097)</f>
        <v>-11.6396701</v>
      </c>
      <c r="I470" s="54">
        <f>IFERROR(__xludf.DUMMYFUNCTION("""COMPUTED_VALUE"""),28.0)</f>
        <v>28</v>
      </c>
      <c r="J470" s="55">
        <f>IFERROR(__xludf.DUMMYFUNCTION("""COMPUTED_VALUE"""),7.0)</f>
        <v>7</v>
      </c>
      <c r="K470" s="54">
        <f>IFERROR(__xludf.DUMMYFUNCTION("""COMPUTED_VALUE"""),21.0)</f>
        <v>21</v>
      </c>
      <c r="L470" s="56">
        <f>IFERROR(__xludf.DUMMYFUNCTION("""COMPUTED_VALUE"""),0.25)</f>
        <v>0.25</v>
      </c>
      <c r="M470" s="56">
        <f>IFERROR(__xludf.DUMMYFUNCTION("""COMPUTED_VALUE"""),0.16176470588235295)</f>
        <v>0.1617647059</v>
      </c>
      <c r="N470" s="31">
        <f>IFERROR(__xludf.DUMMYFUNCTION("""COMPUTED_VALUE"""),303.42857142857144)</f>
        <v>303.4285714</v>
      </c>
      <c r="O470" s="57">
        <f>IFERROR(__xludf.DUMMYFUNCTION("""COMPUTED_VALUE"""),0.39285714285714285)</f>
        <v>0.3928571429</v>
      </c>
      <c r="P470" s="57">
        <f>IFERROR(__xludf.DUMMYFUNCTION("""COMPUTED_VALUE"""),0.39285714285714285)</f>
        <v>0.3928571429</v>
      </c>
      <c r="Q470" s="57">
        <f>IFERROR(__xludf.DUMMYFUNCTION("""COMPUTED_VALUE"""),1.4285714285714286)</f>
        <v>1.428571429</v>
      </c>
      <c r="R470" s="57">
        <f>IFERROR(__xludf.DUMMYFUNCTION("""COMPUTED_VALUE"""),2.4285714285714284)</f>
        <v>2.428571429</v>
      </c>
      <c r="S470" s="31">
        <f>IFERROR(__xludf.DUMMYFUNCTION("""COMPUTED_VALUE"""),400.11904761904765)</f>
        <v>400.1190476</v>
      </c>
      <c r="T470" s="57">
        <f>IFERROR(__xludf.DUMMYFUNCTION("""COMPUTED_VALUE"""),0.9642857142857142)</f>
        <v>0.9642857143</v>
      </c>
      <c r="U470" s="57">
        <f>IFERROR(__xludf.DUMMYFUNCTION("""COMPUTED_VALUE"""),0.8095238095238094)</f>
        <v>0.8095238095</v>
      </c>
      <c r="V470" s="57">
        <f>IFERROR(__xludf.DUMMYFUNCTION("""COMPUTED_VALUE"""),1.440476190476191)</f>
        <v>1.44047619</v>
      </c>
      <c r="W470" s="57">
        <f>IFERROR(__xludf.DUMMYFUNCTION("""COMPUTED_VALUE"""),3.2142857142857144)</f>
        <v>3.214285714</v>
      </c>
      <c r="X470" s="31">
        <f>IFERROR(__xludf.DUMMYFUNCTION("""COMPUTED_VALUE"""),384.94094153946844)</f>
        <v>384.9409415</v>
      </c>
      <c r="Y470" s="57">
        <f>IFERROR(__xludf.DUMMYFUNCTION("""COMPUTED_VALUE"""),0.8936518231752402)</f>
        <v>0.8936518232</v>
      </c>
      <c r="Z470" s="57">
        <f>IFERROR(__xludf.DUMMYFUNCTION("""COMPUTED_VALUE"""),0.6918516862631148)</f>
        <v>0.6918516863</v>
      </c>
      <c r="AA470" s="57">
        <f>IFERROR(__xludf.DUMMYFUNCTION("""COMPUTED_VALUE"""),1.4345496879148307)</f>
        <v>1.434549688</v>
      </c>
      <c r="AB470" s="57">
        <f>IFERROR(__xludf.DUMMYFUNCTION("""COMPUTED_VALUE"""),2.833645516559026)</f>
        <v>2.833645517</v>
      </c>
      <c r="AC470" s="31">
        <f>IFERROR(__xludf.DUMMYFUNCTION("""COMPUTED_VALUE"""),369.6012852005368)</f>
        <v>369.6012852</v>
      </c>
      <c r="AD470" s="57">
        <f>IFERROR(__xludf.DUMMYFUNCTION("""COMPUTED_VALUE"""),0.7976551447767851)</f>
        <v>0.7976551448</v>
      </c>
      <c r="AE470" s="57">
        <f>IFERROR(__xludf.DUMMYFUNCTION("""COMPUTED_VALUE"""),0.6056381451215964)</f>
        <v>0.6056381451</v>
      </c>
      <c r="AF470" s="57">
        <f>IFERROR(__xludf.DUMMYFUNCTION("""COMPUTED_VALUE"""),1.4861972169578057)</f>
        <v>1.486197217</v>
      </c>
      <c r="AG470" s="57">
        <f>IFERROR(__xludf.DUMMYFUNCTION("""COMPUTED_VALUE"""),2.688572747812575)</f>
        <v>2.688572748</v>
      </c>
      <c r="AH470" s="57">
        <f>IFERROR(__xludf.DUMMYFUNCTION("""COMPUTED_VALUE"""),0.8209618948265789)</f>
        <v>0.8209618948</v>
      </c>
      <c r="AI470" s="57">
        <f>IFERROR(__xludf.DUMMYFUNCTION("""COMPUTED_VALUE"""),0.4925150241049088)</f>
        <v>0.4925150241</v>
      </c>
      <c r="AJ470" s="57">
        <f>IFERROR(__xludf.DUMMYFUNCTION("""COMPUTED_VALUE"""),0.6486664455031433)</f>
        <v>0.6486664455</v>
      </c>
      <c r="AK470" s="57">
        <f>IFERROR(__xludf.DUMMYFUNCTION("""COMPUTED_VALUE"""),0.961226015141964)</f>
        <v>0.9612260151</v>
      </c>
      <c r="AL470" s="57">
        <f>IFERROR(__xludf.DUMMYFUNCTION("""COMPUTED_VALUE"""),0.9032939244613396)</f>
        <v>0.9032939245</v>
      </c>
      <c r="AM470" s="57">
        <f>IFERROR(__xludf.DUMMYFUNCTION("""COMPUTED_VALUE"""),1.0394297006155762)</f>
        <v>1.039429701</v>
      </c>
      <c r="AN470" s="57">
        <f>IFERROR(__xludf.DUMMYFUNCTION("""COMPUTED_VALUE"""),1.079039609475091)</f>
        <v>1.079039609</v>
      </c>
      <c r="AO470" s="57">
        <f>IFERROR(__xludf.DUMMYFUNCTION("""COMPUTED_VALUE"""),1.1700828741146456)</f>
        <v>1.170082874</v>
      </c>
      <c r="AP470" s="35">
        <f>IFERROR(__xludf.DUMMYFUNCTION("""COMPUTED_VALUE"""),1.0041312633583117)</f>
        <v>1.004131263</v>
      </c>
      <c r="AQ470" s="57">
        <f>IFERROR(__xludf.DUMMYFUNCTION("""COMPUTED_VALUE"""),1.134328798539667)</f>
        <v>1.134328799</v>
      </c>
      <c r="AR470" s="36" t="b">
        <f>IFERROR(__xludf.DUMMYFUNCTION("""COMPUTED_VALUE"""),TRUE)</f>
        <v>1</v>
      </c>
      <c r="AS470" s="57"/>
      <c r="AT470" s="37"/>
      <c r="AU470" s="30"/>
      <c r="AV470" s="30"/>
      <c r="AW470" s="30"/>
      <c r="AX470" s="30"/>
      <c r="AY470" s="30"/>
      <c r="AZ470" s="30"/>
    </row>
    <row r="471">
      <c r="A471" s="30" t="str">
        <f>IFERROR(__xludf.DUMMYFUNCTION("""COMPUTED_VALUE"""),"Premier")</f>
        <v>Premier</v>
      </c>
      <c r="B471" s="30" t="str">
        <f>IFERROR(__xludf.DUMMYFUNCTION("""COMPUTED_VALUE"""),"RSC005340")</f>
        <v>RSC005340</v>
      </c>
      <c r="C471" s="30" t="str">
        <f>IFERROR(__xludf.DUMMYFUNCTION("""COMPUTED_VALUE"""),"Mystikal")</f>
        <v>Mystikal</v>
      </c>
      <c r="D471" s="31"/>
      <c r="E471" s="31">
        <f>IFERROR(__xludf.DUMMYFUNCTION("""COMPUTED_VALUE"""),15.119167162770637)</f>
        <v>15.11916716</v>
      </c>
      <c r="F471" s="31">
        <f>IFERROR(__xludf.DUMMYFUNCTION("""COMPUTED_VALUE"""),-12.27404298240199)</f>
        <v>-12.27404298</v>
      </c>
      <c r="G471" s="31">
        <f>IFERROR(__xludf.DUMMYFUNCTION("""COMPUTED_VALUE"""),13.146822767188922)</f>
        <v>13.14682277</v>
      </c>
      <c r="H471" s="31">
        <f>IFERROR(__xludf.DUMMYFUNCTION("""COMPUTED_VALUE"""),-14.24020908056375)</f>
        <v>-14.24020908</v>
      </c>
      <c r="I471" s="54">
        <f>IFERROR(__xludf.DUMMYFUNCTION("""COMPUTED_VALUE"""),4.0)</f>
        <v>4</v>
      </c>
      <c r="J471" s="55">
        <f>IFERROR(__xludf.DUMMYFUNCTION("""COMPUTED_VALUE"""),0.0)</f>
        <v>0</v>
      </c>
      <c r="K471" s="54">
        <f>IFERROR(__xludf.DUMMYFUNCTION("""COMPUTED_VALUE"""),4.0)</f>
        <v>4</v>
      </c>
      <c r="L471" s="56">
        <f>IFERROR(__xludf.DUMMYFUNCTION("""COMPUTED_VALUE"""),0.0)</f>
        <v>0</v>
      </c>
      <c r="M471" s="56">
        <f>IFERROR(__xludf.DUMMYFUNCTION("""COMPUTED_VALUE"""),0.2857142857142857)</f>
        <v>0.2857142857</v>
      </c>
      <c r="N471" s="31">
        <f>IFERROR(__xludf.DUMMYFUNCTION("""COMPUTED_VALUE"""),272.0)</f>
        <v>272</v>
      </c>
      <c r="O471" s="57">
        <f>IFERROR(__xludf.DUMMYFUNCTION("""COMPUTED_VALUE"""),0.5)</f>
        <v>0.5</v>
      </c>
      <c r="P471" s="57">
        <f>IFERROR(__xludf.DUMMYFUNCTION("""COMPUTED_VALUE"""),0.5)</f>
        <v>0.5</v>
      </c>
      <c r="Q471" s="57">
        <f>IFERROR(__xludf.DUMMYFUNCTION("""COMPUTED_VALUE"""),1.0)</f>
        <v>1</v>
      </c>
      <c r="R471" s="57">
        <f>IFERROR(__xludf.DUMMYFUNCTION("""COMPUTED_VALUE"""),1.75)</f>
        <v>1.75</v>
      </c>
      <c r="S471" s="31">
        <f>IFERROR(__xludf.DUMMYFUNCTION("""COMPUTED_VALUE"""),403.66666666666663)</f>
        <v>403.6666667</v>
      </c>
      <c r="T471" s="57">
        <f>IFERROR(__xludf.DUMMYFUNCTION("""COMPUTED_VALUE"""),1.0)</f>
        <v>1</v>
      </c>
      <c r="U471" s="57">
        <f>IFERROR(__xludf.DUMMYFUNCTION("""COMPUTED_VALUE"""),0.9166666666666666)</f>
        <v>0.9166666667</v>
      </c>
      <c r="V471" s="57">
        <f>IFERROR(__xludf.DUMMYFUNCTION("""COMPUTED_VALUE"""),1.5833333333333333)</f>
        <v>1.583333333</v>
      </c>
      <c r="W471" s="57">
        <f>IFERROR(__xludf.DUMMYFUNCTION("""COMPUTED_VALUE"""),2.916666666666667)</f>
        <v>2.916666667</v>
      </c>
      <c r="X471" s="31">
        <f>IFERROR(__xludf.DUMMYFUNCTION("""COMPUTED_VALUE"""),387.6721739130435)</f>
        <v>387.6721739</v>
      </c>
      <c r="Y471" s="57">
        <f>IFERROR(__xludf.DUMMYFUNCTION("""COMPUTED_VALUE"""),0.8360248447204969)</f>
        <v>0.8360248447</v>
      </c>
      <c r="Z471" s="57">
        <f>IFERROR(__xludf.DUMMYFUNCTION("""COMPUTED_VALUE"""),0.7586335403726707)</f>
        <v>0.7586335404</v>
      </c>
      <c r="AA471" s="57">
        <f>IFERROR(__xludf.DUMMYFUNCTION("""COMPUTED_VALUE"""),1.4966459627329192)</f>
        <v>1.496645963</v>
      </c>
      <c r="AB471" s="57">
        <f>IFERROR(__xludf.DUMMYFUNCTION("""COMPUTED_VALUE"""),2.706024844720497)</f>
        <v>2.706024845</v>
      </c>
      <c r="AC471" s="31">
        <f>IFERROR(__xludf.DUMMYFUNCTION("""COMPUTED_VALUE"""),346.9654658385093)</f>
        <v>346.9654658</v>
      </c>
      <c r="AD471" s="57">
        <f>IFERROR(__xludf.DUMMYFUNCTION("""COMPUTED_VALUE"""),0.8257073844030365)</f>
        <v>0.8257073844</v>
      </c>
      <c r="AE471" s="57">
        <f>IFERROR(__xludf.DUMMYFUNCTION("""COMPUTED_VALUE"""),0.6107936507936508)</f>
        <v>0.6107936508</v>
      </c>
      <c r="AF471" s="57">
        <f>IFERROR(__xludf.DUMMYFUNCTION("""COMPUTED_VALUE"""),1.2463630089717046)</f>
        <v>1.246363009</v>
      </c>
      <c r="AG471" s="57">
        <f>IFERROR(__xludf.DUMMYFUNCTION("""COMPUTED_VALUE"""),2.8069841269841276)</f>
        <v>2.806984127</v>
      </c>
      <c r="AH471" s="57">
        <f>IFERROR(__xludf.DUMMYFUNCTION("""COMPUTED_VALUE"""),0.7839396907777529)</f>
        <v>0.7839396908</v>
      </c>
      <c r="AI471" s="57">
        <f>IFERROR(__xludf.DUMMYFUNCTION("""COMPUTED_VALUE"""),0.6055413932884784)</f>
        <v>0.6055413933</v>
      </c>
      <c r="AJ471" s="57">
        <f>IFERROR(__xludf.DUMMYFUNCTION("""COMPUTED_VALUE"""),0.8186070686070687)</f>
        <v>0.8186070686</v>
      </c>
      <c r="AK471" s="57">
        <f>IFERROR(__xludf.DUMMYFUNCTION("""COMPUTED_VALUE"""),0.8023344666053888)</f>
        <v>0.8023344666</v>
      </c>
      <c r="AL471" s="57">
        <f>IFERROR(__xludf.DUMMYFUNCTION("""COMPUTED_VALUE"""),0.6234449219633565)</f>
        <v>0.623444922</v>
      </c>
      <c r="AM471" s="57">
        <f>IFERROR(__xludf.DUMMYFUNCTION("""COMPUTED_VALUE"""),1.0412577786849637)</f>
        <v>1.041257779</v>
      </c>
      <c r="AN471" s="57">
        <f>IFERROR(__xludf.DUMMYFUNCTION("""COMPUTED_VALUE"""),1.1961367013372957)</f>
        <v>1.196136701</v>
      </c>
      <c r="AO471" s="57">
        <f>IFERROR(__xludf.DUMMYFUNCTION("""COMPUTED_VALUE"""),1.208312865018285)</f>
        <v>1.208312865</v>
      </c>
      <c r="AP471" s="35">
        <f>IFERROR(__xludf.DUMMYFUNCTION("""COMPUTED_VALUE"""),1.0579210934041612)</f>
        <v>1.057921093</v>
      </c>
      <c r="AQ471" s="57">
        <f>IFERROR(__xludf.DUMMYFUNCTION("""COMPUTED_VALUE"""),1.0778417915700722)</f>
        <v>1.077841792</v>
      </c>
      <c r="AR471" s="36" t="b">
        <f>IFERROR(__xludf.DUMMYFUNCTION("""COMPUTED_VALUE"""),TRUE)</f>
        <v>1</v>
      </c>
      <c r="AS471" s="57"/>
      <c r="AT471" s="37"/>
      <c r="AU471" s="30"/>
      <c r="AV471" s="30"/>
      <c r="AW471" s="30"/>
      <c r="AX471" s="30"/>
      <c r="AY471" s="30"/>
      <c r="AZ471" s="30"/>
    </row>
    <row r="472">
      <c r="A472" s="30" t="str">
        <f>IFERROR(__xludf.DUMMYFUNCTION("""COMPUTED_VALUE"""),"Premier")</f>
        <v>Premier</v>
      </c>
      <c r="B472" s="30" t="str">
        <f>IFERROR(__xludf.DUMMYFUNCTION("""COMPUTED_VALUE"""),"RSC000330")</f>
        <v>RSC000330</v>
      </c>
      <c r="C472" s="30" t="str">
        <f>IFERROR(__xludf.DUMMYFUNCTION("""COMPUTED_VALUE"""),"Infinite")</f>
        <v>Infinite</v>
      </c>
      <c r="D472" s="31" t="str">
        <f>IFERROR(__xludf.DUMMYFUNCTION("""COMPUTED_VALUE"""),"Oblivion")</f>
        <v>Oblivion</v>
      </c>
      <c r="E472" s="31">
        <f>IFERROR(__xludf.DUMMYFUNCTION("""COMPUTED_VALUE"""),9.026846466746534)</f>
        <v>9.026846467</v>
      </c>
      <c r="F472" s="31">
        <f>IFERROR(__xludf.DUMMYFUNCTION("""COMPUTED_VALUE"""),-19.757253945761338)</f>
        <v>-19.75725395</v>
      </c>
      <c r="G472" s="31">
        <f>IFERROR(__xludf.DUMMYFUNCTION("""COMPUTED_VALUE"""),5.997171123614713)</f>
        <v>5.997171124</v>
      </c>
      <c r="H472" s="31">
        <f>IFERROR(__xludf.DUMMYFUNCTION("""COMPUTED_VALUE"""),-25.513906612375592)</f>
        <v>-25.51390661</v>
      </c>
      <c r="I472" s="54">
        <f>IFERROR(__xludf.DUMMYFUNCTION("""COMPUTED_VALUE"""),4.0)</f>
        <v>4</v>
      </c>
      <c r="J472" s="55">
        <f>IFERROR(__xludf.DUMMYFUNCTION("""COMPUTED_VALUE"""),0.0)</f>
        <v>0</v>
      </c>
      <c r="K472" s="54">
        <f>IFERROR(__xludf.DUMMYFUNCTION("""COMPUTED_VALUE"""),4.0)</f>
        <v>4</v>
      </c>
      <c r="L472" s="56">
        <f>IFERROR(__xludf.DUMMYFUNCTION("""COMPUTED_VALUE"""),0.0)</f>
        <v>0</v>
      </c>
      <c r="M472" s="56">
        <f>IFERROR(__xludf.DUMMYFUNCTION("""COMPUTED_VALUE"""),0.6666666666666666)</f>
        <v>0.6666666667</v>
      </c>
      <c r="N472" s="31">
        <f>IFERROR(__xludf.DUMMYFUNCTION("""COMPUTED_VALUE"""),349.0)</f>
        <v>349</v>
      </c>
      <c r="O472" s="57">
        <f>IFERROR(__xludf.DUMMYFUNCTION("""COMPUTED_VALUE"""),1.0)</f>
        <v>1</v>
      </c>
      <c r="P472" s="57">
        <f>IFERROR(__xludf.DUMMYFUNCTION("""COMPUTED_VALUE"""),0.0)</f>
        <v>0</v>
      </c>
      <c r="Q472" s="57">
        <f>IFERROR(__xludf.DUMMYFUNCTION("""COMPUTED_VALUE"""),1.75)</f>
        <v>1.75</v>
      </c>
      <c r="R472" s="57">
        <f>IFERROR(__xludf.DUMMYFUNCTION("""COMPUTED_VALUE"""),1.5)</f>
        <v>1.5</v>
      </c>
      <c r="S472" s="31">
        <f>IFERROR(__xludf.DUMMYFUNCTION("""COMPUTED_VALUE"""),453.75000000000006)</f>
        <v>453.75</v>
      </c>
      <c r="T472" s="57">
        <f>IFERROR(__xludf.DUMMYFUNCTION("""COMPUTED_VALUE"""),1.0833333333333333)</f>
        <v>1.083333333</v>
      </c>
      <c r="U472" s="57">
        <f>IFERROR(__xludf.DUMMYFUNCTION("""COMPUTED_VALUE"""),1.0)</f>
        <v>1</v>
      </c>
      <c r="V472" s="57">
        <f>IFERROR(__xludf.DUMMYFUNCTION("""COMPUTED_VALUE"""),1.3333333333333333)</f>
        <v>1.333333333</v>
      </c>
      <c r="W472" s="57">
        <f>IFERROR(__xludf.DUMMYFUNCTION("""COMPUTED_VALUE"""),3.5000000000000004)</f>
        <v>3.5</v>
      </c>
      <c r="X472" s="31">
        <f>IFERROR(__xludf.DUMMYFUNCTION("""COMPUTED_VALUE"""),416.44086021505376)</f>
        <v>416.4408602</v>
      </c>
      <c r="Y472" s="57">
        <f>IFERROR(__xludf.DUMMYFUNCTION("""COMPUTED_VALUE"""),0.967741935483871)</f>
        <v>0.9677419355</v>
      </c>
      <c r="Z472" s="57">
        <f>IFERROR(__xludf.DUMMYFUNCTION("""COMPUTED_VALUE"""),0.6774193548387096)</f>
        <v>0.6774193548</v>
      </c>
      <c r="AA472" s="57">
        <f>IFERROR(__xludf.DUMMYFUNCTION("""COMPUTED_VALUE"""),1.6021505376344087)</f>
        <v>1.602150538</v>
      </c>
      <c r="AB472" s="57">
        <f>IFERROR(__xludf.DUMMYFUNCTION("""COMPUTED_VALUE"""),3.3333333333333335)</f>
        <v>3.333333333</v>
      </c>
      <c r="AC472" s="31">
        <f>IFERROR(__xludf.DUMMYFUNCTION("""COMPUTED_VALUE"""),377.58422939068106)</f>
        <v>377.5842294</v>
      </c>
      <c r="AD472" s="57">
        <f>IFERROR(__xludf.DUMMYFUNCTION("""COMPUTED_VALUE"""),0.6523297491039425)</f>
        <v>0.6523297491</v>
      </c>
      <c r="AE472" s="57">
        <f>IFERROR(__xludf.DUMMYFUNCTION("""COMPUTED_VALUE"""),0.5161290322580646)</f>
        <v>0.5161290323</v>
      </c>
      <c r="AF472" s="57">
        <f>IFERROR(__xludf.DUMMYFUNCTION("""COMPUTED_VALUE"""),1.7813620071684586)</f>
        <v>1.781362007</v>
      </c>
      <c r="AG472" s="57">
        <f>IFERROR(__xludf.DUMMYFUNCTION("""COMPUTED_VALUE"""),2.691756272401434)</f>
        <v>2.691756272</v>
      </c>
      <c r="AH472" s="57">
        <f>IFERROR(__xludf.DUMMYFUNCTION("""COMPUTED_VALUE"""),0.924297078199457)</f>
        <v>0.9242970782</v>
      </c>
      <c r="AI472" s="57">
        <f>IFERROR(__xludf.DUMMYFUNCTION("""COMPUTED_VALUE"""),1.5329670329670333)</f>
        <v>1.532967033</v>
      </c>
      <c r="AJ472" s="57">
        <f>IFERROR(__xludf.DUMMYFUNCTION("""COMPUTED_VALUE"""),0.0)</f>
        <v>0</v>
      </c>
      <c r="AK472" s="57">
        <f>IFERROR(__xludf.DUMMYFUNCTION("""COMPUTED_VALUE"""),0.9823943661971832)</f>
        <v>0.9823943662</v>
      </c>
      <c r="AL472" s="57">
        <f>IFERROR(__xludf.DUMMYFUNCTION("""COMPUTED_VALUE"""),0.5572569906790944)</f>
        <v>0.5572569907</v>
      </c>
      <c r="AM472" s="57">
        <f>IFERROR(__xludf.DUMMYFUNCTION("""COMPUTED_VALUE"""),1.0895904877481992)</f>
        <v>1.089590488</v>
      </c>
      <c r="AN472" s="57">
        <f>IFERROR(__xludf.DUMMYFUNCTION("""COMPUTED_VALUE"""),1.1194444444444442)</f>
        <v>1.119444444</v>
      </c>
      <c r="AO472" s="57">
        <f>IFERROR(__xludf.DUMMYFUNCTION("""COMPUTED_VALUE"""),1.4761904761904763)</f>
        <v>1.476190476</v>
      </c>
      <c r="AP472" s="35">
        <f>IFERROR(__xludf.DUMMYFUNCTION("""COMPUTED_VALUE"""),0.832214765100671)</f>
        <v>0.8322147651</v>
      </c>
      <c r="AQ472" s="57">
        <f>IFERROR(__xludf.DUMMYFUNCTION("""COMPUTED_VALUE"""),1.05)</f>
        <v>1.05</v>
      </c>
      <c r="AR472" s="36" t="b">
        <f>IFERROR(__xludf.DUMMYFUNCTION("""COMPUTED_VALUE"""),TRUE)</f>
        <v>1</v>
      </c>
      <c r="AS472" s="57"/>
      <c r="AT472" s="37"/>
      <c r="AU472" s="30"/>
      <c r="AV472" s="30"/>
      <c r="AW472" s="30"/>
      <c r="AX472" s="30"/>
      <c r="AY472" s="30"/>
      <c r="AZ472" s="30"/>
    </row>
    <row r="473">
      <c r="A473" s="30" t="str">
        <f>IFERROR(__xludf.DUMMYFUNCTION("""COMPUTED_VALUE"""),"Premier")</f>
        <v>Premier</v>
      </c>
      <c r="B473" s="30" t="str">
        <f>IFERROR(__xludf.DUMMYFUNCTION("""COMPUTED_VALUE"""),"RSC007830")</f>
        <v>RSC007830</v>
      </c>
      <c r="C473" s="30" t="str">
        <f>IFERROR(__xludf.DUMMYFUNCTION("""COMPUTED_VALUE"""),"ghosty rl")</f>
        <v>ghosty rl</v>
      </c>
      <c r="D473" s="31"/>
      <c r="E473" s="31">
        <f>IFERROR(__xludf.DUMMYFUNCTION("""COMPUTED_VALUE"""),-0.39297454784903607)</f>
        <v>-0.3929745478</v>
      </c>
      <c r="F473" s="31">
        <f>IFERROR(__xludf.DUMMYFUNCTION("""COMPUTED_VALUE"""),-45.63150279834894)</f>
        <v>-45.6315028</v>
      </c>
      <c r="G473" s="31">
        <f>IFERROR(__xludf.DUMMYFUNCTION("""COMPUTED_VALUE"""),21.928600927865062)</f>
        <v>21.92860093</v>
      </c>
      <c r="H473" s="31">
        <f>IFERROR(__xludf.DUMMYFUNCTION("""COMPUTED_VALUE"""),-7.64822236890018)</f>
        <v>-7.648222369</v>
      </c>
      <c r="I473" s="54">
        <f>IFERROR(__xludf.DUMMYFUNCTION("""COMPUTED_VALUE"""),8.0)</f>
        <v>8</v>
      </c>
      <c r="J473" s="55">
        <f>IFERROR(__xludf.DUMMYFUNCTION("""COMPUTED_VALUE"""),2.0)</f>
        <v>2</v>
      </c>
      <c r="K473" s="54">
        <f>IFERROR(__xludf.DUMMYFUNCTION("""COMPUTED_VALUE"""),6.0)</f>
        <v>6</v>
      </c>
      <c r="L473" s="56">
        <f>IFERROR(__xludf.DUMMYFUNCTION("""COMPUTED_VALUE"""),0.25)</f>
        <v>0.25</v>
      </c>
      <c r="M473" s="56">
        <f>IFERROR(__xludf.DUMMYFUNCTION("""COMPUTED_VALUE"""),0.125)</f>
        <v>0.125</v>
      </c>
      <c r="N473" s="31">
        <f>IFERROR(__xludf.DUMMYFUNCTION("""COMPUTED_VALUE"""),336.625)</f>
        <v>336.625</v>
      </c>
      <c r="O473" s="57">
        <f>IFERROR(__xludf.DUMMYFUNCTION("""COMPUTED_VALUE"""),0.25)</f>
        <v>0.25</v>
      </c>
      <c r="P473" s="57">
        <f>IFERROR(__xludf.DUMMYFUNCTION("""COMPUTED_VALUE"""),0.25)</f>
        <v>0.25</v>
      </c>
      <c r="Q473" s="57">
        <f>IFERROR(__xludf.DUMMYFUNCTION("""COMPUTED_VALUE"""),2.25)</f>
        <v>2.25</v>
      </c>
      <c r="R473" s="57">
        <f>IFERROR(__xludf.DUMMYFUNCTION("""COMPUTED_VALUE"""),2.0)</f>
        <v>2</v>
      </c>
      <c r="S473" s="31">
        <f>IFERROR(__xludf.DUMMYFUNCTION("""COMPUTED_VALUE"""),410.08333333333337)</f>
        <v>410.0833333</v>
      </c>
      <c r="T473" s="57">
        <f>IFERROR(__xludf.DUMMYFUNCTION("""COMPUTED_VALUE"""),1.1666666666666667)</f>
        <v>1.166666667</v>
      </c>
      <c r="U473" s="57">
        <f>IFERROR(__xludf.DUMMYFUNCTION("""COMPUTED_VALUE"""),1.0833333333333333)</f>
        <v>1.083333333</v>
      </c>
      <c r="V473" s="57">
        <f>IFERROR(__xludf.DUMMYFUNCTION("""COMPUTED_VALUE"""),1.0833333333333333)</f>
        <v>1.083333333</v>
      </c>
      <c r="W473" s="57">
        <f>IFERROR(__xludf.DUMMYFUNCTION("""COMPUTED_VALUE"""),3.041666666666667)</f>
        <v>3.041666667</v>
      </c>
      <c r="X473" s="31">
        <f>IFERROR(__xludf.DUMMYFUNCTION("""COMPUTED_VALUE"""),385.5620136943666)</f>
        <v>385.5620137</v>
      </c>
      <c r="Y473" s="57">
        <f>IFERROR(__xludf.DUMMYFUNCTION("""COMPUTED_VALUE"""),0.9042561469032058)</f>
        <v>0.9042561469</v>
      </c>
      <c r="Z473" s="57">
        <f>IFERROR(__xludf.DUMMYFUNCTION("""COMPUTED_VALUE"""),0.826525054466231)</f>
        <v>0.8265250545</v>
      </c>
      <c r="AA473" s="57">
        <f>IFERROR(__xludf.DUMMYFUNCTION("""COMPUTED_VALUE"""),1.4246031746031744)</f>
        <v>1.424603175</v>
      </c>
      <c r="AB473" s="57">
        <f>IFERROR(__xludf.DUMMYFUNCTION("""COMPUTED_VALUE"""),2.8974089635854336)</f>
        <v>2.897408964</v>
      </c>
      <c r="AC473" s="31">
        <f>IFERROR(__xludf.DUMMYFUNCTION("""COMPUTED_VALUE"""),368.8771267766366)</f>
        <v>368.8771268</v>
      </c>
      <c r="AD473" s="57">
        <f>IFERROR(__xludf.DUMMYFUNCTION("""COMPUTED_VALUE"""),0.7986954040875609)</f>
        <v>0.7986954041</v>
      </c>
      <c r="AE473" s="57">
        <f>IFERROR(__xludf.DUMMYFUNCTION("""COMPUTED_VALUE"""),0.6014498391949371)</f>
        <v>0.6014498392</v>
      </c>
      <c r="AF473" s="57">
        <f>IFERROR(__xludf.DUMMYFUNCTION("""COMPUTED_VALUE"""),1.5360903620707542)</f>
        <v>1.536090362</v>
      </c>
      <c r="AG473" s="57">
        <f>IFERROR(__xludf.DUMMYFUNCTION("""COMPUTED_VALUE"""),2.6205259881730467)</f>
        <v>2.620525988</v>
      </c>
      <c r="AH473" s="57">
        <f>IFERROR(__xludf.DUMMYFUNCTION("""COMPUTED_VALUE"""),0.9125667480158888)</f>
        <v>0.912566748</v>
      </c>
      <c r="AI473" s="57">
        <f>IFERROR(__xludf.DUMMYFUNCTION("""COMPUTED_VALUE"""),0.3130104401760055)</f>
        <v>0.3130104402</v>
      </c>
      <c r="AJ473" s="57">
        <f>IFERROR(__xludf.DUMMYFUNCTION("""COMPUTED_VALUE"""),0.4156622609370621)</f>
        <v>0.4156622609</v>
      </c>
      <c r="AK473" s="57">
        <f>IFERROR(__xludf.DUMMYFUNCTION("""COMPUTED_VALUE"""),1.464757579083334)</f>
        <v>1.464757579</v>
      </c>
      <c r="AL473" s="57">
        <f>IFERROR(__xludf.DUMMYFUNCTION("""COMPUTED_VALUE"""),0.7632055583598089)</f>
        <v>0.7632055584</v>
      </c>
      <c r="AM473" s="57">
        <f>IFERROR(__xludf.DUMMYFUNCTION("""COMPUTED_VALUE"""),1.0635988991861753)</f>
        <v>1.063598899</v>
      </c>
      <c r="AN473" s="57">
        <f>IFERROR(__xludf.DUMMYFUNCTION("""COMPUTED_VALUE"""),1.2901948973884612)</f>
        <v>1.290194897</v>
      </c>
      <c r="AO473" s="57">
        <f>IFERROR(__xludf.DUMMYFUNCTION("""COMPUTED_VALUE"""),1.3107084019769355)</f>
        <v>1.310708402</v>
      </c>
      <c r="AP473" s="35">
        <f>IFERROR(__xludf.DUMMYFUNCTION("""COMPUTED_VALUE"""),0.7604456824512535)</f>
        <v>0.7604456825</v>
      </c>
      <c r="AQ473" s="57">
        <f>IFERROR(__xludf.DUMMYFUNCTION("""COMPUTED_VALUE"""),1.0497885196374626)</f>
        <v>1.04978852</v>
      </c>
      <c r="AR473" s="36" t="b">
        <f>IFERROR(__xludf.DUMMYFUNCTION("""COMPUTED_VALUE"""),TRUE)</f>
        <v>1</v>
      </c>
      <c r="AS473" s="57"/>
      <c r="AT473" s="37"/>
      <c r="AU473" s="30"/>
      <c r="AV473" s="30"/>
      <c r="AW473" s="30"/>
      <c r="AX473" s="30"/>
      <c r="AY473" s="30"/>
      <c r="AZ473" s="30"/>
    </row>
    <row r="474">
      <c r="A474" s="30" t="str">
        <f>IFERROR(__xludf.DUMMYFUNCTION("""COMPUTED_VALUE"""),"Premier")</f>
        <v>Premier</v>
      </c>
      <c r="B474" s="30" t="str">
        <f>IFERROR(__xludf.DUMMYFUNCTION("""COMPUTED_VALUE"""),"RSC004810")</f>
        <v>RSC004810</v>
      </c>
      <c r="C474" s="30" t="str">
        <f>IFERROR(__xludf.DUMMYFUNCTION("""COMPUTED_VALUE"""),"feed.")</f>
        <v>feed.</v>
      </c>
      <c r="D474" s="31" t="str">
        <f>IFERROR(__xludf.DUMMYFUNCTION("""COMPUTED_VALUE"""),"Fairies")</f>
        <v>Fairies</v>
      </c>
      <c r="E474" s="31">
        <f>IFERROR(__xludf.DUMMYFUNCTION("""COMPUTED_VALUE"""),-19.688043957117657)</f>
        <v>-19.68804396</v>
      </c>
      <c r="F474" s="31">
        <f>IFERROR(__xludf.DUMMYFUNCTION("""COMPUTED_VALUE"""),-376.5564435299661)</f>
        <v>-376.5564435</v>
      </c>
      <c r="G474" s="31">
        <f>IFERROR(__xludf.DUMMYFUNCTION("""COMPUTED_VALUE"""),4.608608224444453)</f>
        <v>4.608608224</v>
      </c>
      <c r="H474" s="31">
        <f>IFERROR(__xludf.DUMMYFUNCTION("""COMPUTED_VALUE"""),-28.808809860904354)</f>
        <v>-28.80880986</v>
      </c>
      <c r="I474" s="54">
        <f>IFERROR(__xludf.DUMMYFUNCTION("""COMPUTED_VALUE"""),2.0)</f>
        <v>2</v>
      </c>
      <c r="J474" s="55">
        <f>IFERROR(__xludf.DUMMYFUNCTION("""COMPUTED_VALUE"""),0.0)</f>
        <v>0</v>
      </c>
      <c r="K474" s="54">
        <f>IFERROR(__xludf.DUMMYFUNCTION("""COMPUTED_VALUE"""),2.0)</f>
        <v>2</v>
      </c>
      <c r="L474" s="56">
        <f>IFERROR(__xludf.DUMMYFUNCTION("""COMPUTED_VALUE"""),0.0)</f>
        <v>0</v>
      </c>
      <c r="M474" s="56">
        <f>IFERROR(__xludf.DUMMYFUNCTION("""COMPUTED_VALUE"""),0.0)</f>
        <v>0</v>
      </c>
      <c r="N474" s="31">
        <f>IFERROR(__xludf.DUMMYFUNCTION("""COMPUTED_VALUE"""),292.5)</f>
        <v>292.5</v>
      </c>
      <c r="O474" s="57">
        <f>IFERROR(__xludf.DUMMYFUNCTION("""COMPUTED_VALUE"""),0.0)</f>
        <v>0</v>
      </c>
      <c r="P474" s="57">
        <f>IFERROR(__xludf.DUMMYFUNCTION("""COMPUTED_VALUE"""),0.5)</f>
        <v>0.5</v>
      </c>
      <c r="Q474" s="57">
        <f>IFERROR(__xludf.DUMMYFUNCTION("""COMPUTED_VALUE"""),2.5)</f>
        <v>2.5</v>
      </c>
      <c r="R474" s="57">
        <f>IFERROR(__xludf.DUMMYFUNCTION("""COMPUTED_VALUE"""),1.5)</f>
        <v>1.5</v>
      </c>
      <c r="S474" s="31">
        <f>IFERROR(__xludf.DUMMYFUNCTION("""COMPUTED_VALUE"""),564.6666666666666)</f>
        <v>564.6666667</v>
      </c>
      <c r="T474" s="57">
        <f>IFERROR(__xludf.DUMMYFUNCTION("""COMPUTED_VALUE"""),2.1666666666666665)</f>
        <v>2.166666667</v>
      </c>
      <c r="U474" s="57">
        <f>IFERROR(__xludf.DUMMYFUNCTION("""COMPUTED_VALUE"""),1.5)</f>
        <v>1.5</v>
      </c>
      <c r="V474" s="57">
        <f>IFERROR(__xludf.DUMMYFUNCTION("""COMPUTED_VALUE"""),0.8333333333333333)</f>
        <v>0.8333333333</v>
      </c>
      <c r="W474" s="57">
        <f>IFERROR(__xludf.DUMMYFUNCTION("""COMPUTED_VALUE"""),4.5)</f>
        <v>4.5</v>
      </c>
      <c r="X474" s="31">
        <f>IFERROR(__xludf.DUMMYFUNCTION("""COMPUTED_VALUE"""),403.7856209150327)</f>
        <v>403.7856209</v>
      </c>
      <c r="Y474" s="57">
        <f>IFERROR(__xludf.DUMMYFUNCTION("""COMPUTED_VALUE"""),0.9934640522875817)</f>
        <v>0.9934640523</v>
      </c>
      <c r="Z474" s="57">
        <f>IFERROR(__xludf.DUMMYFUNCTION("""COMPUTED_VALUE"""),0.8032679738562091)</f>
        <v>0.8032679739</v>
      </c>
      <c r="AA474" s="57">
        <f>IFERROR(__xludf.DUMMYFUNCTION("""COMPUTED_VALUE"""),1.2705882352941176)</f>
        <v>1.270588235</v>
      </c>
      <c r="AB474" s="57">
        <f>IFERROR(__xludf.DUMMYFUNCTION("""COMPUTED_VALUE"""),3.098692810457516)</f>
        <v>3.09869281</v>
      </c>
      <c r="AC474" s="31">
        <f>IFERROR(__xludf.DUMMYFUNCTION("""COMPUTED_VALUE"""),341.7945533769063)</f>
        <v>341.7945534</v>
      </c>
      <c r="AD474" s="57">
        <f>IFERROR(__xludf.DUMMYFUNCTION("""COMPUTED_VALUE"""),0.6276688453159042)</f>
        <v>0.6276688453</v>
      </c>
      <c r="AE474" s="57">
        <f>IFERROR(__xludf.DUMMYFUNCTION("""COMPUTED_VALUE"""),0.42745098039215684)</f>
        <v>0.4274509804</v>
      </c>
      <c r="AF474" s="57">
        <f>IFERROR(__xludf.DUMMYFUNCTION("""COMPUTED_VALUE"""),1.5958605664488017)</f>
        <v>1.595860566</v>
      </c>
      <c r="AG474" s="57">
        <f>IFERROR(__xludf.DUMMYFUNCTION("""COMPUTED_VALUE"""),2.2934640522875824)</f>
        <v>2.293464052</v>
      </c>
      <c r="AH474" s="57">
        <f>IFERROR(__xludf.DUMMYFUNCTION("""COMPUTED_VALUE"""),0.8557772413577701)</f>
        <v>0.8557772414</v>
      </c>
      <c r="AI474" s="57">
        <f>IFERROR(__xludf.DUMMYFUNCTION("""COMPUTED_VALUE"""),0.0)</f>
        <v>0</v>
      </c>
      <c r="AJ474" s="57">
        <f>IFERROR(__xludf.DUMMYFUNCTION("""COMPUTED_VALUE"""),1.1697247706422018)</f>
        <v>1.169724771</v>
      </c>
      <c r="AK474" s="57">
        <f>IFERROR(__xludf.DUMMYFUNCTION("""COMPUTED_VALUE"""),1.5665529010238908)</f>
        <v>1.566552901</v>
      </c>
      <c r="AL474" s="57">
        <f>IFERROR(__xludf.DUMMYFUNCTION("""COMPUTED_VALUE"""),0.654032487888287)</f>
        <v>0.6540324879</v>
      </c>
      <c r="AM474" s="57">
        <f>IFERROR(__xludf.DUMMYFUNCTION("""COMPUTED_VALUE"""),1.3984318346627989)</f>
        <v>1.398431835</v>
      </c>
      <c r="AN474" s="57">
        <f>IFERROR(__xludf.DUMMYFUNCTION("""COMPUTED_VALUE"""),2.1809210526315788)</f>
        <v>2.180921053</v>
      </c>
      <c r="AO474" s="57">
        <f>IFERROR(__xludf.DUMMYFUNCTION("""COMPUTED_VALUE"""),1.867371847030106)</f>
        <v>1.867371847</v>
      </c>
      <c r="AP474" s="35">
        <f>IFERROR(__xludf.DUMMYFUNCTION("""COMPUTED_VALUE"""),0.6558641975308642)</f>
        <v>0.6558641975</v>
      </c>
      <c r="AQ474" s="57">
        <f>IFERROR(__xludf.DUMMYFUNCTION("""COMPUTED_VALUE"""),1.4522252689306054)</f>
        <v>1.452225269</v>
      </c>
      <c r="AR474" s="36" t="b">
        <f>IFERROR(__xludf.DUMMYFUNCTION("""COMPUTED_VALUE"""),TRUE)</f>
        <v>1</v>
      </c>
      <c r="AS474" s="57"/>
      <c r="AT474" s="37"/>
      <c r="AU474" s="30"/>
      <c r="AV474" s="30"/>
      <c r="AW474" s="30"/>
      <c r="AX474" s="30"/>
      <c r="AY474" s="30"/>
      <c r="AZ474" s="30"/>
    </row>
    <row r="475">
      <c r="A475" s="30" t="str">
        <f>IFERROR(__xludf.DUMMYFUNCTION("""COMPUTED_VALUE"""),"Prospect")</f>
        <v>Prospect</v>
      </c>
      <c r="B475" s="30" t="str">
        <f>IFERROR(__xludf.DUMMYFUNCTION("""COMPUTED_VALUE"""),"RSC007904")</f>
        <v>RSC007904</v>
      </c>
      <c r="C475" s="30" t="str">
        <f>IFERROR(__xludf.DUMMYFUNCTION("""COMPUTED_VALUE"""),"Branthedan")</f>
        <v>Branthedan</v>
      </c>
      <c r="D475" s="31" t="str">
        <f>IFERROR(__xludf.DUMMYFUNCTION("""COMPUTED_VALUE"""),"Dime")</f>
        <v>Dime</v>
      </c>
      <c r="E475" s="31">
        <f>IFERROR(__xludf.DUMMYFUNCTION("""COMPUTED_VALUE"""),107.23707802533815)</f>
        <v>107.237078</v>
      </c>
      <c r="F475" s="31">
        <f>IFERROR(__xludf.DUMMYFUNCTION("""COMPUTED_VALUE"""),90.69761083040937)</f>
        <v>90.69761083</v>
      </c>
      <c r="G475" s="31">
        <f>IFERROR(__xludf.DUMMYFUNCTION("""COMPUTED_VALUE"""),85.71276284883353)</f>
        <v>85.71276285</v>
      </c>
      <c r="H475" s="31">
        <f>IFERROR(__xludf.DUMMYFUNCTION("""COMPUTED_VALUE"""),13.059521266758285)</f>
        <v>13.05952127</v>
      </c>
      <c r="I475" s="54">
        <f>IFERROR(__xludf.DUMMYFUNCTION("""COMPUTED_VALUE"""),36.0)</f>
        <v>36</v>
      </c>
      <c r="J475" s="55">
        <f>IFERROR(__xludf.DUMMYFUNCTION("""COMPUTED_VALUE"""),22.0)</f>
        <v>22</v>
      </c>
      <c r="K475" s="54">
        <f>IFERROR(__xludf.DUMMYFUNCTION("""COMPUTED_VALUE"""),14.0)</f>
        <v>14</v>
      </c>
      <c r="L475" s="56">
        <f>IFERROR(__xludf.DUMMYFUNCTION("""COMPUTED_VALUE"""),0.6111111111111112)</f>
        <v>0.6111111111</v>
      </c>
      <c r="M475" s="56">
        <f>IFERROR(__xludf.DUMMYFUNCTION("""COMPUTED_VALUE"""),0.3888888888888889)</f>
        <v>0.3888888889</v>
      </c>
      <c r="N475" s="31">
        <f>IFERROR(__xludf.DUMMYFUNCTION("""COMPUTED_VALUE"""),417.4166666666667)</f>
        <v>417.4166667</v>
      </c>
      <c r="O475" s="57">
        <f>IFERROR(__xludf.DUMMYFUNCTION("""COMPUTED_VALUE"""),1.3611111111111112)</f>
        <v>1.361111111</v>
      </c>
      <c r="P475" s="57">
        <f>IFERROR(__xludf.DUMMYFUNCTION("""COMPUTED_VALUE"""),0.6388888888888888)</f>
        <v>0.6388888889</v>
      </c>
      <c r="Q475" s="57">
        <f>IFERROR(__xludf.DUMMYFUNCTION("""COMPUTED_VALUE"""),1.1666666666666667)</f>
        <v>1.166666667</v>
      </c>
      <c r="R475" s="57">
        <f>IFERROR(__xludf.DUMMYFUNCTION("""COMPUTED_VALUE"""),3.5)</f>
        <v>3.5</v>
      </c>
      <c r="S475" s="31">
        <f>IFERROR(__xludf.DUMMYFUNCTION("""COMPUTED_VALUE"""),311.62962962962956)</f>
        <v>311.6296296</v>
      </c>
      <c r="T475" s="57">
        <f>IFERROR(__xludf.DUMMYFUNCTION("""COMPUTED_VALUE"""),0.648148148148148)</f>
        <v>0.6481481481</v>
      </c>
      <c r="U475" s="57">
        <f>IFERROR(__xludf.DUMMYFUNCTION("""COMPUTED_VALUE"""),0.42592592592592593)</f>
        <v>0.4259259259</v>
      </c>
      <c r="V475" s="57">
        <f>IFERROR(__xludf.DUMMYFUNCTION("""COMPUTED_VALUE"""),1.351851851851852)</f>
        <v>1.351851852</v>
      </c>
      <c r="W475" s="57">
        <f>IFERROR(__xludf.DUMMYFUNCTION("""COMPUTED_VALUE"""),2.0185185185185186)</f>
        <v>2.018518519</v>
      </c>
      <c r="X475" s="31">
        <f>IFERROR(__xludf.DUMMYFUNCTION("""COMPUTED_VALUE"""),332.54798279586123)</f>
        <v>332.5479828</v>
      </c>
      <c r="Y475" s="57">
        <f>IFERROR(__xludf.DUMMYFUNCTION("""COMPUTED_VALUE"""),0.7577368339013572)</f>
        <v>0.7577368339</v>
      </c>
      <c r="Z475" s="57">
        <f>IFERROR(__xludf.DUMMYFUNCTION("""COMPUTED_VALUE"""),0.5058325126656262)</f>
        <v>0.5058325127</v>
      </c>
      <c r="AA475" s="57">
        <f>IFERROR(__xludf.DUMMYFUNCTION("""COMPUTED_VALUE"""),1.2677489043393917)</f>
        <v>1.267748904</v>
      </c>
      <c r="AB475" s="57">
        <f>IFERROR(__xludf.DUMMYFUNCTION("""COMPUTED_VALUE"""),2.432422106092958)</f>
        <v>2.432422106</v>
      </c>
      <c r="AC475" s="31">
        <f>IFERROR(__xludf.DUMMYFUNCTION("""COMPUTED_VALUE"""),338.31115046277637)</f>
        <v>338.3111505</v>
      </c>
      <c r="AD475" s="57">
        <f>IFERROR(__xludf.DUMMYFUNCTION("""COMPUTED_VALUE"""),0.7969387058139247)</f>
        <v>0.7969387058</v>
      </c>
      <c r="AE475" s="57">
        <f>IFERROR(__xludf.DUMMYFUNCTION("""COMPUTED_VALUE"""),0.5328016686187208)</f>
        <v>0.5328016686</v>
      </c>
      <c r="AF475" s="57">
        <f>IFERROR(__xludf.DUMMYFUNCTION("""COMPUTED_VALUE"""),1.2157942872692038)</f>
        <v>1.215794287</v>
      </c>
      <c r="AG475" s="57">
        <f>IFERROR(__xludf.DUMMYFUNCTION("""COMPUTED_VALUE"""),2.5740850485827362)</f>
        <v>2.574085049</v>
      </c>
      <c r="AH475" s="57">
        <f>IFERROR(__xludf.DUMMYFUNCTION("""COMPUTED_VALUE"""),1.2338247382496312)</f>
        <v>1.233824738</v>
      </c>
      <c r="AI475" s="57">
        <f>IFERROR(__xludf.DUMMYFUNCTION("""COMPUTED_VALUE"""),1.7079244629246477)</f>
        <v>1.707924463</v>
      </c>
      <c r="AJ475" s="57">
        <f>IFERROR(__xludf.DUMMYFUNCTION("""COMPUTED_VALUE"""),1.19911202707979)</f>
        <v>1.199112027</v>
      </c>
      <c r="AK475" s="57">
        <f>IFERROR(__xludf.DUMMYFUNCTION("""COMPUTED_VALUE"""),0.9595921603539669)</f>
        <v>0.9595921604</v>
      </c>
      <c r="AL475" s="57">
        <f>IFERROR(__xludf.DUMMYFUNCTION("""COMPUTED_VALUE"""),1.3597064331371111)</f>
        <v>1.359706433</v>
      </c>
      <c r="AM475" s="57">
        <f>IFERROR(__xludf.DUMMYFUNCTION("""COMPUTED_VALUE"""),0.9370967371674822)</f>
        <v>0.9370967372</v>
      </c>
      <c r="AN475" s="57">
        <f>IFERROR(__xludf.DUMMYFUNCTION("""COMPUTED_VALUE"""),0.855373685361222)</f>
        <v>0.8553736854</v>
      </c>
      <c r="AO475" s="57">
        <f>IFERROR(__xludf.DUMMYFUNCTION("""COMPUTED_VALUE"""),0.8420295557543145)</f>
        <v>0.8420295558</v>
      </c>
      <c r="AP475" s="35">
        <f>IFERROR(__xludf.DUMMYFUNCTION("""COMPUTED_VALUE"""),1.0663403827245155)</f>
        <v>1.066340383</v>
      </c>
      <c r="AQ475" s="57">
        <f>IFERROR(__xludf.DUMMYFUNCTION("""COMPUTED_VALUE"""),0.8298389138391503)</f>
        <v>0.8298389138</v>
      </c>
      <c r="AR475" s="36" t="b">
        <f>IFERROR(__xludf.DUMMYFUNCTION("""COMPUTED_VALUE"""),TRUE)</f>
        <v>1</v>
      </c>
      <c r="AS475" s="57"/>
      <c r="AT475" s="37"/>
      <c r="AU475" s="30"/>
      <c r="AV475" s="30"/>
      <c r="AW475" s="30"/>
      <c r="AX475" s="30"/>
      <c r="AY475" s="30"/>
      <c r="AZ475" s="30"/>
    </row>
    <row r="476">
      <c r="A476" s="30" t="str">
        <f>IFERROR(__xludf.DUMMYFUNCTION("""COMPUTED_VALUE"""),"Prospect")</f>
        <v>Prospect</v>
      </c>
      <c r="B476" s="30" t="str">
        <f>IFERROR(__xludf.DUMMYFUNCTION("""COMPUTED_VALUE"""),"RSC007045")</f>
        <v>RSC007045</v>
      </c>
      <c r="C476" s="30" t="str">
        <f>IFERROR(__xludf.DUMMYFUNCTION("""COMPUTED_VALUE"""),"fetty_steve98")</f>
        <v>fetty_steve98</v>
      </c>
      <c r="D476" s="31" t="str">
        <f>IFERROR(__xludf.DUMMYFUNCTION("""COMPUTED_VALUE"""),"Blacktips")</f>
        <v>Blacktips</v>
      </c>
      <c r="E476" s="31">
        <f>IFERROR(__xludf.DUMMYFUNCTION("""COMPUTED_VALUE"""),96.6431461021013)</f>
        <v>96.6431461</v>
      </c>
      <c r="F476" s="31">
        <f>IFERROR(__xludf.DUMMYFUNCTION("""COMPUTED_VALUE"""),32.21663395232047)</f>
        <v>32.21663395</v>
      </c>
      <c r="G476" s="31">
        <f>IFERROR(__xludf.DUMMYFUNCTION("""COMPUTED_VALUE"""),90.11583628623421)</f>
        <v>90.11583629</v>
      </c>
      <c r="H476" s="31">
        <f>IFERROR(__xludf.DUMMYFUNCTION("""COMPUTED_VALUE"""),18.420532337692794)</f>
        <v>18.42053234</v>
      </c>
      <c r="I476" s="54">
        <f>IFERROR(__xludf.DUMMYFUNCTION("""COMPUTED_VALUE"""),32.0)</f>
        <v>32</v>
      </c>
      <c r="J476" s="55">
        <f>IFERROR(__xludf.DUMMYFUNCTION("""COMPUTED_VALUE"""),24.0)</f>
        <v>24</v>
      </c>
      <c r="K476" s="54">
        <f>IFERROR(__xludf.DUMMYFUNCTION("""COMPUTED_VALUE"""),8.0)</f>
        <v>8</v>
      </c>
      <c r="L476" s="56">
        <f>IFERROR(__xludf.DUMMYFUNCTION("""COMPUTED_VALUE"""),0.75)</f>
        <v>0.75</v>
      </c>
      <c r="M476" s="56">
        <f>IFERROR(__xludf.DUMMYFUNCTION("""COMPUTED_VALUE"""),0.3645833333333333)</f>
        <v>0.3645833333</v>
      </c>
      <c r="N476" s="31">
        <f>IFERROR(__xludf.DUMMYFUNCTION("""COMPUTED_VALUE"""),409.71875)</f>
        <v>409.71875</v>
      </c>
      <c r="O476" s="57">
        <f>IFERROR(__xludf.DUMMYFUNCTION("""COMPUTED_VALUE"""),1.09375)</f>
        <v>1.09375</v>
      </c>
      <c r="P476" s="57">
        <f>IFERROR(__xludf.DUMMYFUNCTION("""COMPUTED_VALUE"""),0.8125)</f>
        <v>0.8125</v>
      </c>
      <c r="Q476" s="57">
        <f>IFERROR(__xludf.DUMMYFUNCTION("""COMPUTED_VALUE"""),1.15625)</f>
        <v>1.15625</v>
      </c>
      <c r="R476" s="57">
        <f>IFERROR(__xludf.DUMMYFUNCTION("""COMPUTED_VALUE"""),3.0)</f>
        <v>3</v>
      </c>
      <c r="S476" s="31">
        <f>IFERROR(__xludf.DUMMYFUNCTION("""COMPUTED_VALUE"""),305.88541666666674)</f>
        <v>305.8854167</v>
      </c>
      <c r="T476" s="57">
        <f>IFERROR(__xludf.DUMMYFUNCTION("""COMPUTED_VALUE"""),0.5937500000000001)</f>
        <v>0.59375</v>
      </c>
      <c r="U476" s="57">
        <f>IFERROR(__xludf.DUMMYFUNCTION("""COMPUTED_VALUE"""),0.41666666666666663)</f>
        <v>0.4166666667</v>
      </c>
      <c r="V476" s="57">
        <f>IFERROR(__xludf.DUMMYFUNCTION("""COMPUTED_VALUE"""),1.208333333333333)</f>
        <v>1.208333333</v>
      </c>
      <c r="W476" s="57">
        <f>IFERROR(__xludf.DUMMYFUNCTION("""COMPUTED_VALUE"""),2.0625)</f>
        <v>2.0625</v>
      </c>
      <c r="X476" s="31">
        <f>IFERROR(__xludf.DUMMYFUNCTION("""COMPUTED_VALUE"""),330.63409325214246)</f>
        <v>330.6340933</v>
      </c>
      <c r="Y476" s="57">
        <f>IFERROR(__xludf.DUMMYFUNCTION("""COMPUTED_VALUE"""),0.7360952662017568)</f>
        <v>0.7360952662</v>
      </c>
      <c r="Z476" s="57">
        <f>IFERROR(__xludf.DUMMYFUNCTION("""COMPUTED_VALUE"""),0.512071154580727)</f>
        <v>0.5120711546</v>
      </c>
      <c r="AA476" s="57">
        <f>IFERROR(__xludf.DUMMYFUNCTION("""COMPUTED_VALUE"""),1.2303662382481795)</f>
        <v>1.230366238</v>
      </c>
      <c r="AB476" s="57">
        <f>IFERROR(__xludf.DUMMYFUNCTION("""COMPUTED_VALUE"""),2.4065788350463846)</f>
        <v>2.406578835</v>
      </c>
      <c r="AC476" s="31">
        <f>IFERROR(__xludf.DUMMYFUNCTION("""COMPUTED_VALUE"""),339.87187240973253)</f>
        <v>339.8718724</v>
      </c>
      <c r="AD476" s="57">
        <f>IFERROR(__xludf.DUMMYFUNCTION("""COMPUTED_VALUE"""),0.8024309722111372)</f>
        <v>0.8024309722</v>
      </c>
      <c r="AE476" s="57">
        <f>IFERROR(__xludf.DUMMYFUNCTION("""COMPUTED_VALUE"""),0.5379257529195)</f>
        <v>0.5379257529</v>
      </c>
      <c r="AF476" s="57">
        <f>IFERROR(__xludf.DUMMYFUNCTION("""COMPUTED_VALUE"""),1.2131317850994596)</f>
        <v>1.213131785</v>
      </c>
      <c r="AG476" s="57">
        <f>IFERROR(__xludf.DUMMYFUNCTION("""COMPUTED_VALUE"""),2.527170388818144)</f>
        <v>2.527170389</v>
      </c>
      <c r="AH476" s="57">
        <f>IFERROR(__xludf.DUMMYFUNCTION("""COMPUTED_VALUE"""),1.2055094382922737)</f>
        <v>1.205509438</v>
      </c>
      <c r="AI476" s="57">
        <f>IFERROR(__xludf.DUMMYFUNCTION("""COMPUTED_VALUE"""),1.3630455925524898)</f>
        <v>1.363045593</v>
      </c>
      <c r="AJ476" s="57">
        <f>IFERROR(__xludf.DUMMYFUNCTION("""COMPUTED_VALUE"""),1.5104314965221415)</f>
        <v>1.510431497</v>
      </c>
      <c r="AK476" s="57">
        <f>IFERROR(__xludf.DUMMYFUNCTION("""COMPUTED_VALUE"""),0.9531116192007152)</f>
        <v>0.9531116192</v>
      </c>
      <c r="AL476" s="57">
        <f>IFERROR(__xludf.DUMMYFUNCTION("""COMPUTED_VALUE"""),1.1870984296405038)</f>
        <v>1.18709843</v>
      </c>
      <c r="AM476" s="57">
        <f>IFERROR(__xludf.DUMMYFUNCTION("""COMPUTED_VALUE"""),0.9251478383791404)</f>
        <v>0.9251478384</v>
      </c>
      <c r="AN476" s="57">
        <f>IFERROR(__xludf.DUMMYFUNCTION("""COMPUTED_VALUE"""),0.8066211362338238)</f>
        <v>0.8066211362</v>
      </c>
      <c r="AO476" s="57">
        <f>IFERROR(__xludf.DUMMYFUNCTION("""COMPUTED_VALUE"""),0.8136890018884669)</f>
        <v>0.8136890019</v>
      </c>
      <c r="AP476" s="35">
        <f>IFERROR(__xludf.DUMMYFUNCTION("""COMPUTED_VALUE"""),0.9820924012461384)</f>
        <v>0.9820924012</v>
      </c>
      <c r="AQ476" s="57">
        <f>IFERROR(__xludf.DUMMYFUNCTION("""COMPUTED_VALUE"""),0.8570257371021246)</f>
        <v>0.8570257371</v>
      </c>
      <c r="AR476" s="36" t="b">
        <f>IFERROR(__xludf.DUMMYFUNCTION("""COMPUTED_VALUE"""),TRUE)</f>
        <v>1</v>
      </c>
      <c r="AS476" s="57"/>
      <c r="AT476" s="37"/>
      <c r="AU476" s="30"/>
      <c r="AV476" s="30"/>
      <c r="AW476" s="30"/>
      <c r="AX476" s="30"/>
      <c r="AY476" s="30"/>
      <c r="AZ476" s="30"/>
    </row>
    <row r="477">
      <c r="A477" s="30" t="str">
        <f>IFERROR(__xludf.DUMMYFUNCTION("""COMPUTED_VALUE"""),"Prospect")</f>
        <v>Prospect</v>
      </c>
      <c r="B477" s="30" t="str">
        <f>IFERROR(__xludf.DUMMYFUNCTION("""COMPUTED_VALUE"""),"RSC007297")</f>
        <v>RSC007297</v>
      </c>
      <c r="C477" s="30" t="str">
        <f>IFERROR(__xludf.DUMMYFUNCTION("""COMPUTED_VALUE"""),"Marc_Byy_8")</f>
        <v>Marc_Byy_8</v>
      </c>
      <c r="D477" s="31" t="str">
        <f>IFERROR(__xludf.DUMMYFUNCTION("""COMPUTED_VALUE"""),"Tic Tacs")</f>
        <v>Tic Tacs</v>
      </c>
      <c r="E477" s="31">
        <f>IFERROR(__xludf.DUMMYFUNCTION("""COMPUTED_VALUE"""),91.99302824710102)</f>
        <v>91.99302825</v>
      </c>
      <c r="F477" s="31">
        <f>IFERROR(__xludf.DUMMYFUNCTION("""COMPUTED_VALUE"""),21.502697368287414)</f>
        <v>21.50269737</v>
      </c>
      <c r="G477" s="31">
        <f>IFERROR(__xludf.DUMMYFUNCTION("""COMPUTED_VALUE"""),66.01716020923861)</f>
        <v>66.01716021</v>
      </c>
      <c r="H477" s="31">
        <f>IFERROR(__xludf.DUMMYFUNCTION("""COMPUTED_VALUE"""),3.833426527225195)</f>
        <v>3.833426527</v>
      </c>
      <c r="I477" s="54">
        <f>IFERROR(__xludf.DUMMYFUNCTION("""COMPUTED_VALUE"""),27.0)</f>
        <v>27</v>
      </c>
      <c r="J477" s="55">
        <f>IFERROR(__xludf.DUMMYFUNCTION("""COMPUTED_VALUE"""),14.0)</f>
        <v>14</v>
      </c>
      <c r="K477" s="54">
        <f>IFERROR(__xludf.DUMMYFUNCTION("""COMPUTED_VALUE"""),13.0)</f>
        <v>13</v>
      </c>
      <c r="L477" s="56">
        <f>IFERROR(__xludf.DUMMYFUNCTION("""COMPUTED_VALUE"""),0.5185185185185185)</f>
        <v>0.5185185185</v>
      </c>
      <c r="M477" s="56">
        <f>IFERROR(__xludf.DUMMYFUNCTION("""COMPUTED_VALUE"""),0.4574468085106383)</f>
        <v>0.4574468085</v>
      </c>
      <c r="N477" s="31">
        <f>IFERROR(__xludf.DUMMYFUNCTION("""COMPUTED_VALUE"""),421.3703703703704)</f>
        <v>421.3703704</v>
      </c>
      <c r="O477" s="57">
        <f>IFERROR(__xludf.DUMMYFUNCTION("""COMPUTED_VALUE"""),1.5925925925925926)</f>
        <v>1.592592593</v>
      </c>
      <c r="P477" s="57">
        <f>IFERROR(__xludf.DUMMYFUNCTION("""COMPUTED_VALUE"""),0.2222222222222222)</f>
        <v>0.2222222222</v>
      </c>
      <c r="Q477" s="57">
        <f>IFERROR(__xludf.DUMMYFUNCTION("""COMPUTED_VALUE"""),1.1481481481481481)</f>
        <v>1.148148148</v>
      </c>
      <c r="R477" s="57">
        <f>IFERROR(__xludf.DUMMYFUNCTION("""COMPUTED_VALUE"""),3.4814814814814814)</f>
        <v>3.481481481</v>
      </c>
      <c r="S477" s="31">
        <f>IFERROR(__xludf.DUMMYFUNCTION("""COMPUTED_VALUE"""),338.2592592592592)</f>
        <v>338.2592593</v>
      </c>
      <c r="T477" s="57">
        <f>IFERROR(__xludf.DUMMYFUNCTION("""COMPUTED_VALUE"""),0.8888888888888888)</f>
        <v>0.8888888889</v>
      </c>
      <c r="U477" s="57">
        <f>IFERROR(__xludf.DUMMYFUNCTION("""COMPUTED_VALUE"""),0.6049382716049384)</f>
        <v>0.6049382716</v>
      </c>
      <c r="V477" s="57">
        <f>IFERROR(__xludf.DUMMYFUNCTION("""COMPUTED_VALUE"""),0.91358024691358)</f>
        <v>0.9135802469</v>
      </c>
      <c r="W477" s="57">
        <f>IFERROR(__xludf.DUMMYFUNCTION("""COMPUTED_VALUE"""),2.7654320987654324)</f>
        <v>2.765432099</v>
      </c>
      <c r="X477" s="31">
        <f>IFERROR(__xludf.DUMMYFUNCTION("""COMPUTED_VALUE"""),333.401348320258)</f>
        <v>333.4013483</v>
      </c>
      <c r="Y477" s="57">
        <f>IFERROR(__xludf.DUMMYFUNCTION("""COMPUTED_VALUE"""),0.7682807520844382)</f>
        <v>0.7682807521</v>
      </c>
      <c r="Z477" s="57">
        <f>IFERROR(__xludf.DUMMYFUNCTION("""COMPUTED_VALUE"""),0.5049888402105268)</f>
        <v>0.5049888402</v>
      </c>
      <c r="AA477" s="57">
        <f>IFERROR(__xludf.DUMMYFUNCTION("""COMPUTED_VALUE"""),1.2634684905148532)</f>
        <v>1.263468491</v>
      </c>
      <c r="AB477" s="57">
        <f>IFERROR(__xludf.DUMMYFUNCTION("""COMPUTED_VALUE"""),2.454776186140732)</f>
        <v>2.454776186</v>
      </c>
      <c r="AC477" s="31">
        <f>IFERROR(__xludf.DUMMYFUNCTION("""COMPUTED_VALUE"""),338.3666952203038)</f>
        <v>338.3666952</v>
      </c>
      <c r="AD477" s="57">
        <f>IFERROR(__xludf.DUMMYFUNCTION("""COMPUTED_VALUE"""),0.7858204030899002)</f>
        <v>0.7858204031</v>
      </c>
      <c r="AE477" s="57">
        <f>IFERROR(__xludf.DUMMYFUNCTION("""COMPUTED_VALUE"""),0.5277942724155347)</f>
        <v>0.5277942724</v>
      </c>
      <c r="AF477" s="57">
        <f>IFERROR(__xludf.DUMMYFUNCTION("""COMPUTED_VALUE"""),1.242835318214758)</f>
        <v>1.242835318</v>
      </c>
      <c r="AG477" s="57">
        <f>IFERROR(__xludf.DUMMYFUNCTION("""COMPUTED_VALUE"""),2.5403754183923195)</f>
        <v>2.540375418</v>
      </c>
      <c r="AH477" s="57">
        <f>IFERROR(__xludf.DUMMYFUNCTION("""COMPUTED_VALUE"""),1.245306870689577)</f>
        <v>1.245306871</v>
      </c>
      <c r="AI477" s="57">
        <f>IFERROR(__xludf.DUMMYFUNCTION("""COMPUTED_VALUE"""),2.026662309009041)</f>
        <v>2.026662309</v>
      </c>
      <c r="AJ477" s="57">
        <f>IFERROR(__xludf.DUMMYFUNCTION("""COMPUTED_VALUE"""),0.421039472833206)</f>
        <v>0.4210394728</v>
      </c>
      <c r="AK477" s="57">
        <f>IFERROR(__xludf.DUMMYFUNCTION("""COMPUTED_VALUE"""),0.9238135827982253)</f>
        <v>0.9238135828</v>
      </c>
      <c r="AL477" s="57">
        <f>IFERROR(__xludf.DUMMYFUNCTION("""COMPUTED_VALUE"""),1.370459443228569)</f>
        <v>1.370459443</v>
      </c>
      <c r="AM477" s="57">
        <f>IFERROR(__xludf.DUMMYFUNCTION("""COMPUTED_VALUE"""),1.0145707597269065)</f>
        <v>1.01457076</v>
      </c>
      <c r="AN477" s="57">
        <f>IFERROR(__xludf.DUMMYFUNCTION("""COMPUTED_VALUE"""),1.1569844571495853)</f>
        <v>1.156984457</v>
      </c>
      <c r="AO477" s="57">
        <f>IFERROR(__xludf.DUMMYFUNCTION("""COMPUTED_VALUE"""),1.1979240399703552)</f>
        <v>1.19792404</v>
      </c>
      <c r="AP477" s="35">
        <f>IFERROR(__xludf.DUMMYFUNCTION("""COMPUTED_VALUE"""),0.7230732335408724)</f>
        <v>0.7230732335</v>
      </c>
      <c r="AQ477" s="57">
        <f>IFERROR(__xludf.DUMMYFUNCTION("""COMPUTED_VALUE"""),1.126551623882704)</f>
        <v>1.126551624</v>
      </c>
      <c r="AR477" s="36" t="b">
        <f>IFERROR(__xludf.DUMMYFUNCTION("""COMPUTED_VALUE"""),TRUE)</f>
        <v>1</v>
      </c>
      <c r="AS477" s="57"/>
      <c r="AT477" s="37"/>
      <c r="AU477" s="30"/>
      <c r="AV477" s="30"/>
      <c r="AW477" s="30"/>
      <c r="AX477" s="30"/>
      <c r="AY477" s="30"/>
      <c r="AZ477" s="30"/>
    </row>
    <row r="478">
      <c r="A478" s="30" t="str">
        <f>IFERROR(__xludf.DUMMYFUNCTION("""COMPUTED_VALUE"""),"Prospect")</f>
        <v>Prospect</v>
      </c>
      <c r="B478" s="30" t="str">
        <f>IFERROR(__xludf.DUMMYFUNCTION("""COMPUTED_VALUE"""),"RSC005915")</f>
        <v>RSC005915</v>
      </c>
      <c r="C478" s="30" t="str">
        <f>IFERROR(__xludf.DUMMYFUNCTION("""COMPUTED_VALUE"""),"BromzaTheOldMan")</f>
        <v>BromzaTheOldMan</v>
      </c>
      <c r="D478" s="31" t="str">
        <f>IFERROR(__xludf.DUMMYFUNCTION("""COMPUTED_VALUE"""),"Honey Badgers")</f>
        <v>Honey Badgers</v>
      </c>
      <c r="E478" s="31">
        <f>IFERROR(__xludf.DUMMYFUNCTION("""COMPUTED_VALUE"""),88.98530653297556)</f>
        <v>88.98530653</v>
      </c>
      <c r="F478" s="31">
        <f>IFERROR(__xludf.DUMMYFUNCTION("""COMPUTED_VALUE"""),16.821022523127407)</f>
        <v>16.82102252</v>
      </c>
      <c r="G478" s="31">
        <f>IFERROR(__xludf.DUMMYFUNCTION("""COMPUTED_VALUE"""),72.19986652866139)</f>
        <v>72.19986653</v>
      </c>
      <c r="H478" s="31">
        <f>IFERROR(__xludf.DUMMYFUNCTION("""COMPUTED_VALUE"""),5.339831935241833)</f>
        <v>5.339831935</v>
      </c>
      <c r="I478" s="54">
        <f>IFERROR(__xludf.DUMMYFUNCTION("""COMPUTED_VALUE"""),36.0)</f>
        <v>36</v>
      </c>
      <c r="J478" s="55">
        <f>IFERROR(__xludf.DUMMYFUNCTION("""COMPUTED_VALUE"""),21.0)</f>
        <v>21</v>
      </c>
      <c r="K478" s="54">
        <f>IFERROR(__xludf.DUMMYFUNCTION("""COMPUTED_VALUE"""),15.0)</f>
        <v>15</v>
      </c>
      <c r="L478" s="56">
        <f>IFERROR(__xludf.DUMMYFUNCTION("""COMPUTED_VALUE"""),0.5833333333333334)</f>
        <v>0.5833333333</v>
      </c>
      <c r="M478" s="56">
        <f>IFERROR(__xludf.DUMMYFUNCTION("""COMPUTED_VALUE"""),0.43636363636363634)</f>
        <v>0.4363636364</v>
      </c>
      <c r="N478" s="31">
        <f>IFERROR(__xludf.DUMMYFUNCTION("""COMPUTED_VALUE"""),408.1111111111111)</f>
        <v>408.1111111</v>
      </c>
      <c r="O478" s="57">
        <f>IFERROR(__xludf.DUMMYFUNCTION("""COMPUTED_VALUE"""),1.3333333333333333)</f>
        <v>1.333333333</v>
      </c>
      <c r="P478" s="57">
        <f>IFERROR(__xludf.DUMMYFUNCTION("""COMPUTED_VALUE"""),0.4444444444444444)</f>
        <v>0.4444444444</v>
      </c>
      <c r="Q478" s="57">
        <f>IFERROR(__xludf.DUMMYFUNCTION("""COMPUTED_VALUE"""),1.2777777777777777)</f>
        <v>1.277777778</v>
      </c>
      <c r="R478" s="57">
        <f>IFERROR(__xludf.DUMMYFUNCTION("""COMPUTED_VALUE"""),3.0555555555555554)</f>
        <v>3.055555556</v>
      </c>
      <c r="S478" s="31">
        <f>IFERROR(__xludf.DUMMYFUNCTION("""COMPUTED_VALUE"""),334.6666666666667)</f>
        <v>334.6666667</v>
      </c>
      <c r="T478" s="57">
        <f>IFERROR(__xludf.DUMMYFUNCTION("""COMPUTED_VALUE"""),0.712962962962963)</f>
        <v>0.712962963</v>
      </c>
      <c r="U478" s="57">
        <f>IFERROR(__xludf.DUMMYFUNCTION("""COMPUTED_VALUE"""),0.5370370370370371)</f>
        <v>0.537037037</v>
      </c>
      <c r="V478" s="57">
        <f>IFERROR(__xludf.DUMMYFUNCTION("""COMPUTED_VALUE"""),1.222222222222222)</f>
        <v>1.222222222</v>
      </c>
      <c r="W478" s="57">
        <f>IFERROR(__xludf.DUMMYFUNCTION("""COMPUTED_VALUE"""),2.4537037037037037)</f>
        <v>2.453703704</v>
      </c>
      <c r="X478" s="31">
        <f>IFERROR(__xludf.DUMMYFUNCTION("""COMPUTED_VALUE"""),337.4261043103597)</f>
        <v>337.4261043</v>
      </c>
      <c r="Y478" s="57">
        <f>IFERROR(__xludf.DUMMYFUNCTION("""COMPUTED_VALUE"""),0.7790603041244454)</f>
        <v>0.7790603041</v>
      </c>
      <c r="Z478" s="57">
        <f>IFERROR(__xludf.DUMMYFUNCTION("""COMPUTED_VALUE"""),0.5415746717608739)</f>
        <v>0.5415746718</v>
      </c>
      <c r="AA478" s="57">
        <f>IFERROR(__xludf.DUMMYFUNCTION("""COMPUTED_VALUE"""),1.228065232490681)</f>
        <v>1.228065232</v>
      </c>
      <c r="AB478" s="57">
        <f>IFERROR(__xludf.DUMMYFUNCTION("""COMPUTED_VALUE"""),2.395000271234211)</f>
        <v>2.395000271</v>
      </c>
      <c r="AC478" s="31">
        <f>IFERROR(__xludf.DUMMYFUNCTION("""COMPUTED_VALUE"""),334.439959497796)</f>
        <v>334.4399595</v>
      </c>
      <c r="AD478" s="57">
        <f>IFERROR(__xludf.DUMMYFUNCTION("""COMPUTED_VALUE"""),0.8105849774394914)</f>
        <v>0.8105849774</v>
      </c>
      <c r="AE478" s="57">
        <f>IFERROR(__xludf.DUMMYFUNCTION("""COMPUTED_VALUE"""),0.5229552365620439)</f>
        <v>0.5229552366</v>
      </c>
      <c r="AF478" s="57">
        <f>IFERROR(__xludf.DUMMYFUNCTION("""COMPUTED_VALUE"""),1.1730279987521535)</f>
        <v>1.173027999</v>
      </c>
      <c r="AG478" s="57">
        <f>IFERROR(__xludf.DUMMYFUNCTION("""COMPUTED_VALUE"""),2.4644456627528424)</f>
        <v>2.464445663</v>
      </c>
      <c r="AH478" s="57">
        <f>IFERROR(__xludf.DUMMYFUNCTION("""COMPUTED_VALUE"""),1.2202821448846652)</f>
        <v>1.220282145</v>
      </c>
      <c r="AI478" s="57">
        <f>IFERROR(__xludf.DUMMYFUNCTION("""COMPUTED_VALUE"""),1.6449025955861167)</f>
        <v>1.644902596</v>
      </c>
      <c r="AJ478" s="57">
        <f>IFERROR(__xludf.DUMMYFUNCTION("""COMPUTED_VALUE"""),0.8498709131708161)</f>
        <v>0.8498709132</v>
      </c>
      <c r="AK478" s="57">
        <f>IFERROR(__xludf.DUMMYFUNCTION("""COMPUTED_VALUE"""),1.0892986178821435)</f>
        <v>1.089298618</v>
      </c>
      <c r="AL478" s="57">
        <f>IFERROR(__xludf.DUMMYFUNCTION("""COMPUTED_VALUE"""),1.23985511295162)</f>
        <v>1.239855113</v>
      </c>
      <c r="AM478" s="57">
        <f>IFERROR(__xludf.DUMMYFUNCTION("""COMPUTED_VALUE"""),0.9918220979099029)</f>
        <v>0.9918220979</v>
      </c>
      <c r="AN478" s="57">
        <f>IFERROR(__xludf.DUMMYFUNCTION("""COMPUTED_VALUE"""),0.9151576061422273)</f>
        <v>0.9151576061</v>
      </c>
      <c r="AO478" s="57">
        <f>IFERROR(__xludf.DUMMYFUNCTION("""COMPUTED_VALUE"""),0.9916214052088456)</f>
        <v>0.9916214052</v>
      </c>
      <c r="AP478" s="35">
        <f>IFERROR(__xludf.DUMMYFUNCTION("""COMPUTED_VALUE"""),0.9952421010595599)</f>
        <v>0.9952421011</v>
      </c>
      <c r="AQ478" s="57">
        <f>IFERROR(__xludf.DUMMYFUNCTION("""COMPUTED_VALUE"""),1.024510824977586)</f>
        <v>1.024510825</v>
      </c>
      <c r="AR478" s="36" t="b">
        <f>IFERROR(__xludf.DUMMYFUNCTION("""COMPUTED_VALUE"""),TRUE)</f>
        <v>1</v>
      </c>
      <c r="AS478" s="57"/>
      <c r="AT478" s="37"/>
      <c r="AU478" s="30"/>
      <c r="AV478" s="30"/>
      <c r="AW478" s="30"/>
      <c r="AX478" s="30"/>
      <c r="AY478" s="30"/>
      <c r="AZ478" s="30"/>
    </row>
    <row r="479">
      <c r="A479" s="30" t="str">
        <f>IFERROR(__xludf.DUMMYFUNCTION("""COMPUTED_VALUE"""),"Prospect")</f>
        <v>Prospect</v>
      </c>
      <c r="B479" s="30" t="str">
        <f>IFERROR(__xludf.DUMMYFUNCTION("""COMPUTED_VALUE"""),"RSC002736")</f>
        <v>RSC002736</v>
      </c>
      <c r="C479" s="30" t="str">
        <f>IFERROR(__xludf.DUMMYFUNCTION("""COMPUTED_VALUE"""),"chulainn")</f>
        <v>chulainn</v>
      </c>
      <c r="D479" s="31" t="str">
        <f>IFERROR(__xludf.DUMMYFUNCTION("""COMPUTED_VALUE"""),"Earth")</f>
        <v>Earth</v>
      </c>
      <c r="E479" s="31">
        <f>IFERROR(__xludf.DUMMYFUNCTION("""COMPUTED_VALUE"""),87.21897210200049)</f>
        <v>87.2189721</v>
      </c>
      <c r="F479" s="31">
        <f>IFERROR(__xludf.DUMMYFUNCTION("""COMPUTED_VALUE"""),14.646555950581977)</f>
        <v>14.64655595</v>
      </c>
      <c r="G479" s="31">
        <f>IFERROR(__xludf.DUMMYFUNCTION("""COMPUTED_VALUE"""),81.02909404184985)</f>
        <v>81.02909404</v>
      </c>
      <c r="H479" s="31">
        <f>IFERROR(__xludf.DUMMYFUNCTION("""COMPUTED_VALUE"""),9.322042401829073)</f>
        <v>9.322042402</v>
      </c>
      <c r="I479" s="54">
        <f>IFERROR(__xludf.DUMMYFUNCTION("""COMPUTED_VALUE"""),35.0)</f>
        <v>35</v>
      </c>
      <c r="J479" s="55">
        <f>IFERROR(__xludf.DUMMYFUNCTION("""COMPUTED_VALUE"""),19.0)</f>
        <v>19</v>
      </c>
      <c r="K479" s="54">
        <f>IFERROR(__xludf.DUMMYFUNCTION("""COMPUTED_VALUE"""),16.0)</f>
        <v>16</v>
      </c>
      <c r="L479" s="56">
        <f>IFERROR(__xludf.DUMMYFUNCTION("""COMPUTED_VALUE"""),0.5428571428571428)</f>
        <v>0.5428571429</v>
      </c>
      <c r="M479" s="56">
        <f>IFERROR(__xludf.DUMMYFUNCTION("""COMPUTED_VALUE"""),0.33620689655172414)</f>
        <v>0.3362068966</v>
      </c>
      <c r="N479" s="31">
        <f>IFERROR(__xludf.DUMMYFUNCTION("""COMPUTED_VALUE"""),394.77142857142854)</f>
        <v>394.7714286</v>
      </c>
      <c r="O479" s="57">
        <f>IFERROR(__xludf.DUMMYFUNCTION("""COMPUTED_VALUE"""),1.1142857142857143)</f>
        <v>1.114285714</v>
      </c>
      <c r="P479" s="57">
        <f>IFERROR(__xludf.DUMMYFUNCTION("""COMPUTED_VALUE"""),0.6571428571428571)</f>
        <v>0.6571428571</v>
      </c>
      <c r="Q479" s="57">
        <f>IFERROR(__xludf.DUMMYFUNCTION("""COMPUTED_VALUE"""),0.8)</f>
        <v>0.8</v>
      </c>
      <c r="R479" s="57">
        <f>IFERROR(__xludf.DUMMYFUNCTION("""COMPUTED_VALUE"""),3.3142857142857145)</f>
        <v>3.314285714</v>
      </c>
      <c r="S479" s="31">
        <f>IFERROR(__xludf.DUMMYFUNCTION("""COMPUTED_VALUE"""),331.65714285714284)</f>
        <v>331.6571429</v>
      </c>
      <c r="T479" s="57">
        <f>IFERROR(__xludf.DUMMYFUNCTION("""COMPUTED_VALUE"""),0.7523809523809524)</f>
        <v>0.7523809524</v>
      </c>
      <c r="U479" s="57">
        <f>IFERROR(__xludf.DUMMYFUNCTION("""COMPUTED_VALUE"""),0.4571428571428571)</f>
        <v>0.4571428571</v>
      </c>
      <c r="V479" s="57">
        <f>IFERROR(__xludf.DUMMYFUNCTION("""COMPUTED_VALUE"""),1.3714285714285714)</f>
        <v>1.371428571</v>
      </c>
      <c r="W479" s="57">
        <f>IFERROR(__xludf.DUMMYFUNCTION("""COMPUTED_VALUE"""),2.0761904761904755)</f>
        <v>2.076190476</v>
      </c>
      <c r="X479" s="31">
        <f>IFERROR(__xludf.DUMMYFUNCTION("""COMPUTED_VALUE"""),326.28980341036737)</f>
        <v>326.2898034</v>
      </c>
      <c r="Y479" s="57">
        <f>IFERROR(__xludf.DUMMYFUNCTION("""COMPUTED_VALUE"""),0.7519280905267445)</f>
        <v>0.7519280905</v>
      </c>
      <c r="Z479" s="57">
        <f>IFERROR(__xludf.DUMMYFUNCTION("""COMPUTED_VALUE"""),0.46848171023972013)</f>
        <v>0.4684817102</v>
      </c>
      <c r="AA479" s="57">
        <f>IFERROR(__xludf.DUMMYFUNCTION("""COMPUTED_VALUE"""),1.2303486795674676)</f>
        <v>1.23034868</v>
      </c>
      <c r="AB479" s="57">
        <f>IFERROR(__xludf.DUMMYFUNCTION("""COMPUTED_VALUE"""),2.2377717961298944)</f>
        <v>2.237771796</v>
      </c>
      <c r="AC479" s="31">
        <f>IFERROR(__xludf.DUMMYFUNCTION("""COMPUTED_VALUE"""),338.71578932334387)</f>
        <v>338.7157893</v>
      </c>
      <c r="AD479" s="57">
        <f>IFERROR(__xludf.DUMMYFUNCTION("""COMPUTED_VALUE"""),0.8235408604376871)</f>
        <v>0.8235408604</v>
      </c>
      <c r="AE479" s="57">
        <f>IFERROR(__xludf.DUMMYFUNCTION("""COMPUTED_VALUE"""),0.5641204644315649)</f>
        <v>0.5641204644</v>
      </c>
      <c r="AF479" s="57">
        <f>IFERROR(__xludf.DUMMYFUNCTION("""COMPUTED_VALUE"""),1.1029113031134081)</f>
        <v>1.102911303</v>
      </c>
      <c r="AG479" s="57">
        <f>IFERROR(__xludf.DUMMYFUNCTION("""COMPUTED_VALUE"""),2.637427769456637)</f>
        <v>2.637427769</v>
      </c>
      <c r="AH479" s="57">
        <f>IFERROR(__xludf.DUMMYFUNCTION("""COMPUTED_VALUE"""),1.1654946152940422)</f>
        <v>1.165494615</v>
      </c>
      <c r="AI479" s="57">
        <f>IFERROR(__xludf.DUMMYFUNCTION("""COMPUTED_VALUE"""),1.3530424145482047)</f>
        <v>1.353042415</v>
      </c>
      <c r="AJ479" s="57">
        <f>IFERROR(__xludf.DUMMYFUNCTION("""COMPUTED_VALUE"""),1.1648980999209557)</f>
        <v>1.1648981</v>
      </c>
      <c r="AK479" s="57">
        <f>IFERROR(__xludf.DUMMYFUNCTION("""COMPUTED_VALUE"""),0.7253529796473027)</f>
        <v>0.7253529796</v>
      </c>
      <c r="AL479" s="57">
        <f>IFERROR(__xludf.DUMMYFUNCTION("""COMPUTED_VALUE"""),1.256635632894896)</f>
        <v>1.256635633</v>
      </c>
      <c r="AM479" s="57">
        <f>IFERROR(__xludf.DUMMYFUNCTION("""COMPUTED_VALUE"""),1.016449608264421)</f>
        <v>1.016449608</v>
      </c>
      <c r="AN479" s="57">
        <f>IFERROR(__xludf.DUMMYFUNCTION("""COMPUTED_VALUE"""),1.0006022675039188)</f>
        <v>1.000602268</v>
      </c>
      <c r="AO479" s="57">
        <f>IFERROR(__xludf.DUMMYFUNCTION("""COMPUTED_VALUE"""),0.9757965938711652)</f>
        <v>0.9757965939</v>
      </c>
      <c r="AP479" s="35">
        <f>IFERROR(__xludf.DUMMYFUNCTION("""COMPUTED_VALUE"""),1.1146665934657651)</f>
        <v>1.114666593</v>
      </c>
      <c r="AQ479" s="57">
        <f>IFERROR(__xludf.DUMMYFUNCTION("""COMPUTED_VALUE"""),0.927793656073928)</f>
        <v>0.9277936561</v>
      </c>
      <c r="AR479" s="36" t="b">
        <f>IFERROR(__xludf.DUMMYFUNCTION("""COMPUTED_VALUE"""),TRUE)</f>
        <v>1</v>
      </c>
      <c r="AS479" s="57"/>
      <c r="AT479" s="37"/>
      <c r="AU479" s="30"/>
      <c r="AV479" s="30"/>
      <c r="AW479" s="30"/>
      <c r="AX479" s="30"/>
      <c r="AY479" s="30"/>
      <c r="AZ479" s="30"/>
    </row>
    <row r="480">
      <c r="A480" s="30" t="str">
        <f>IFERROR(__xludf.DUMMYFUNCTION("""COMPUTED_VALUE"""),"Prospect")</f>
        <v>Prospect</v>
      </c>
      <c r="B480" s="30" t="str">
        <f>IFERROR(__xludf.DUMMYFUNCTION("""COMPUTED_VALUE"""),"RSC000962")</f>
        <v>RSC000962</v>
      </c>
      <c r="C480" s="30" t="str">
        <f>IFERROR(__xludf.DUMMYFUNCTION("""COMPUTED_VALUE"""),"pythagorjags")</f>
        <v>pythagorjags</v>
      </c>
      <c r="D480" s="31" t="str">
        <f>IFERROR(__xludf.DUMMYFUNCTION("""COMPUTED_VALUE"""),"Hawaiian Pizza")</f>
        <v>Hawaiian Pizza</v>
      </c>
      <c r="E480" s="31">
        <f>IFERROR(__xludf.DUMMYFUNCTION("""COMPUTED_VALUE"""),85.50033750212225)</f>
        <v>85.5003375</v>
      </c>
      <c r="F480" s="31">
        <f>IFERROR(__xludf.DUMMYFUNCTION("""COMPUTED_VALUE"""),12.853160603607138)</f>
        <v>12.8531606</v>
      </c>
      <c r="G480" s="31">
        <f>IFERROR(__xludf.DUMMYFUNCTION("""COMPUTED_VALUE"""),67.15807421364921)</f>
        <v>67.15807421</v>
      </c>
      <c r="H480" s="31">
        <f>IFERROR(__xludf.DUMMYFUNCTION("""COMPUTED_VALUE"""),4.060835637044682)</f>
        <v>4.060835637</v>
      </c>
      <c r="I480" s="54">
        <f>IFERROR(__xludf.DUMMYFUNCTION("""COMPUTED_VALUE"""),32.0)</f>
        <v>32</v>
      </c>
      <c r="J480" s="55">
        <f>IFERROR(__xludf.DUMMYFUNCTION("""COMPUTED_VALUE"""),21.0)</f>
        <v>21</v>
      </c>
      <c r="K480" s="54">
        <f>IFERROR(__xludf.DUMMYFUNCTION("""COMPUTED_VALUE"""),11.0)</f>
        <v>11</v>
      </c>
      <c r="L480" s="56">
        <f>IFERROR(__xludf.DUMMYFUNCTION("""COMPUTED_VALUE"""),0.65625)</f>
        <v>0.65625</v>
      </c>
      <c r="M480" s="56">
        <f>IFERROR(__xludf.DUMMYFUNCTION("""COMPUTED_VALUE"""),0.4367816091954023)</f>
        <v>0.4367816092</v>
      </c>
      <c r="N480" s="31">
        <f>IFERROR(__xludf.DUMMYFUNCTION("""COMPUTED_VALUE"""),389.84375)</f>
        <v>389.84375</v>
      </c>
      <c r="O480" s="57">
        <f>IFERROR(__xludf.DUMMYFUNCTION("""COMPUTED_VALUE"""),1.1875)</f>
        <v>1.1875</v>
      </c>
      <c r="P480" s="57">
        <f>IFERROR(__xludf.DUMMYFUNCTION("""COMPUTED_VALUE"""),0.5625)</f>
        <v>0.5625</v>
      </c>
      <c r="Q480" s="57">
        <f>IFERROR(__xludf.DUMMYFUNCTION("""COMPUTED_VALUE"""),1.1875)</f>
        <v>1.1875</v>
      </c>
      <c r="R480" s="57">
        <f>IFERROR(__xludf.DUMMYFUNCTION("""COMPUTED_VALUE"""),2.71875)</f>
        <v>2.71875</v>
      </c>
      <c r="S480" s="31">
        <f>IFERROR(__xludf.DUMMYFUNCTION("""COMPUTED_VALUE"""),313.09375000000006)</f>
        <v>313.09375</v>
      </c>
      <c r="T480" s="57">
        <f>IFERROR(__xludf.DUMMYFUNCTION("""COMPUTED_VALUE"""),0.6354166666666666)</f>
        <v>0.6354166667</v>
      </c>
      <c r="U480" s="57">
        <f>IFERROR(__xludf.DUMMYFUNCTION("""COMPUTED_VALUE"""),0.4583333333333333)</f>
        <v>0.4583333333</v>
      </c>
      <c r="V480" s="57">
        <f>IFERROR(__xludf.DUMMYFUNCTION("""COMPUTED_VALUE"""),1.135416666666667)</f>
        <v>1.135416667</v>
      </c>
      <c r="W480" s="57">
        <f>IFERROR(__xludf.DUMMYFUNCTION("""COMPUTED_VALUE"""),2.354166666666668)</f>
        <v>2.354166667</v>
      </c>
      <c r="X480" s="31">
        <f>IFERROR(__xludf.DUMMYFUNCTION("""COMPUTED_VALUE"""),328.3428623366451)</f>
        <v>328.3428623</v>
      </c>
      <c r="Y480" s="57">
        <f>IFERROR(__xludf.DUMMYFUNCTION("""COMPUTED_VALUE"""),0.7429877909937034)</f>
        <v>0.742987791</v>
      </c>
      <c r="Z480" s="57">
        <f>IFERROR(__xludf.DUMMYFUNCTION("""COMPUTED_VALUE"""),0.524175116235864)</f>
        <v>0.5241751162</v>
      </c>
      <c r="AA480" s="57">
        <f>IFERROR(__xludf.DUMMYFUNCTION("""COMPUTED_VALUE"""),1.154615000803836)</f>
        <v>1.154615001</v>
      </c>
      <c r="AB480" s="57">
        <f>IFERROR(__xludf.DUMMYFUNCTION("""COMPUTED_VALUE"""),2.469281010318253)</f>
        <v>2.46928101</v>
      </c>
      <c r="AC480" s="31">
        <f>IFERROR(__xludf.DUMMYFUNCTION("""COMPUTED_VALUE"""),336.40714188829475)</f>
        <v>336.4071419</v>
      </c>
      <c r="AD480" s="57">
        <f>IFERROR(__xludf.DUMMYFUNCTION("""COMPUTED_VALUE"""),0.808506389576078)</f>
        <v>0.8085063896</v>
      </c>
      <c r="AE480" s="57">
        <f>IFERROR(__xludf.DUMMYFUNCTION("""COMPUTED_VALUE"""),0.523757404059358)</f>
        <v>0.5237574041</v>
      </c>
      <c r="AF480" s="57">
        <f>IFERROR(__xludf.DUMMYFUNCTION("""COMPUTED_VALUE"""),1.2580148985271742)</f>
        <v>1.258014899</v>
      </c>
      <c r="AG480" s="57">
        <f>IFERROR(__xludf.DUMMYFUNCTION("""COMPUTED_VALUE"""),2.3645145497251416)</f>
        <v>2.36451455</v>
      </c>
      <c r="AH480" s="57">
        <f>IFERROR(__xludf.DUMMYFUNCTION("""COMPUTED_VALUE"""),1.1588450465461553)</f>
        <v>1.158845047</v>
      </c>
      <c r="AI480" s="57">
        <f>IFERROR(__xludf.DUMMYFUNCTION("""COMPUTED_VALUE"""),1.4687577183188851)</f>
        <v>1.468757718</v>
      </c>
      <c r="AJ480" s="57">
        <f>IFERROR(__xludf.DUMMYFUNCTION("""COMPUTED_VALUE"""),1.073970497868611)</f>
        <v>1.073970498</v>
      </c>
      <c r="AK480" s="57">
        <f>IFERROR(__xludf.DUMMYFUNCTION("""COMPUTED_VALUE"""),0.9439474853519384)</f>
        <v>0.9439474854</v>
      </c>
      <c r="AL480" s="57">
        <f>IFERROR(__xludf.DUMMYFUNCTION("""COMPUTED_VALUE"""),1.1498131827169495)</f>
        <v>1.149813183</v>
      </c>
      <c r="AM480" s="57">
        <f>IFERROR(__xludf.DUMMYFUNCTION("""COMPUTED_VALUE"""),0.9535573509101887)</f>
        <v>0.9535573509</v>
      </c>
      <c r="AN480" s="57">
        <f>IFERROR(__xludf.DUMMYFUNCTION("""COMPUTED_VALUE"""),0.8552181803914078)</f>
        <v>0.8552181804</v>
      </c>
      <c r="AO480" s="57">
        <f>IFERROR(__xludf.DUMMYFUNCTION("""COMPUTED_VALUE"""),0.8743897204137715)</f>
        <v>0.8743897204</v>
      </c>
      <c r="AP480" s="35">
        <f>IFERROR(__xludf.DUMMYFUNCTION("""COMPUTED_VALUE"""),0.9833725232014106)</f>
        <v>0.9833725232</v>
      </c>
      <c r="AQ480" s="57">
        <f>IFERROR(__xludf.DUMMYFUNCTION("""COMPUTED_VALUE"""),0.9533814324207885)</f>
        <v>0.9533814324</v>
      </c>
      <c r="AR480" s="36" t="b">
        <f>IFERROR(__xludf.DUMMYFUNCTION("""COMPUTED_VALUE"""),TRUE)</f>
        <v>1</v>
      </c>
      <c r="AS480" s="57"/>
      <c r="AT480" s="37"/>
      <c r="AU480" s="30"/>
      <c r="AV480" s="30"/>
      <c r="AW480" s="30"/>
      <c r="AX480" s="30"/>
      <c r="AY480" s="30"/>
      <c r="AZ480" s="30"/>
    </row>
    <row r="481">
      <c r="A481" s="30" t="str">
        <f>IFERROR(__xludf.DUMMYFUNCTION("""COMPUTED_VALUE"""),"Prospect")</f>
        <v>Prospect</v>
      </c>
      <c r="B481" s="30" t="str">
        <f>IFERROR(__xludf.DUMMYFUNCTION("""COMPUTED_VALUE"""),"RSC000221")</f>
        <v>RSC000221</v>
      </c>
      <c r="C481" s="30" t="str">
        <f>IFERROR(__xludf.DUMMYFUNCTION("""COMPUTED_VALUE"""),"Treefrog")</f>
        <v>Treefrog</v>
      </c>
      <c r="D481" s="31" t="str">
        <f>IFERROR(__xludf.DUMMYFUNCTION("""COMPUTED_VALUE"""),"Dime")</f>
        <v>Dime</v>
      </c>
      <c r="E481" s="31">
        <f>IFERROR(__xludf.DUMMYFUNCTION("""COMPUTED_VALUE"""),79.9669147967065)</f>
        <v>79.9669148</v>
      </c>
      <c r="F481" s="31">
        <f>IFERROR(__xludf.DUMMYFUNCTION("""COMPUTED_VALUE"""),8.671006781069302)</f>
        <v>8.671006781</v>
      </c>
      <c r="G481" s="31">
        <f>IFERROR(__xludf.DUMMYFUNCTION("""COMPUTED_VALUE"""),63.46337311155496)</f>
        <v>63.46337311</v>
      </c>
      <c r="H481" s="31">
        <f>IFERROR(__xludf.DUMMYFUNCTION("""COMPUTED_VALUE"""),3.3886370150969403)</f>
        <v>3.388637015</v>
      </c>
      <c r="I481" s="54">
        <f>IFERROR(__xludf.DUMMYFUNCTION("""COMPUTED_VALUE"""),31.0)</f>
        <v>31</v>
      </c>
      <c r="J481" s="55">
        <f>IFERROR(__xludf.DUMMYFUNCTION("""COMPUTED_VALUE"""),19.0)</f>
        <v>19</v>
      </c>
      <c r="K481" s="54">
        <f>IFERROR(__xludf.DUMMYFUNCTION("""COMPUTED_VALUE"""),12.0)</f>
        <v>12</v>
      </c>
      <c r="L481" s="56">
        <f>IFERROR(__xludf.DUMMYFUNCTION("""COMPUTED_VALUE"""),0.6129032258064516)</f>
        <v>0.6129032258</v>
      </c>
      <c r="M481" s="56">
        <f>IFERROR(__xludf.DUMMYFUNCTION("""COMPUTED_VALUE"""),0.3255813953488372)</f>
        <v>0.3255813953</v>
      </c>
      <c r="N481" s="31">
        <f>IFERROR(__xludf.DUMMYFUNCTION("""COMPUTED_VALUE"""),348.3225806451613)</f>
        <v>348.3225806</v>
      </c>
      <c r="O481" s="57">
        <f>IFERROR(__xludf.DUMMYFUNCTION("""COMPUTED_VALUE"""),0.9032258064516129)</f>
        <v>0.9032258065</v>
      </c>
      <c r="P481" s="57">
        <f>IFERROR(__xludf.DUMMYFUNCTION("""COMPUTED_VALUE"""),0.7741935483870968)</f>
        <v>0.7741935484</v>
      </c>
      <c r="Q481" s="57">
        <f>IFERROR(__xludf.DUMMYFUNCTION("""COMPUTED_VALUE"""),0.9354838709677419)</f>
        <v>0.935483871</v>
      </c>
      <c r="R481" s="57">
        <f>IFERROR(__xludf.DUMMYFUNCTION("""COMPUTED_VALUE"""),2.774193548387097)</f>
        <v>2.774193548</v>
      </c>
      <c r="S481" s="31">
        <f>IFERROR(__xludf.DUMMYFUNCTION("""COMPUTED_VALUE"""),315.4623655913979)</f>
        <v>315.4623656</v>
      </c>
      <c r="T481" s="57">
        <f>IFERROR(__xludf.DUMMYFUNCTION("""COMPUTED_VALUE"""),0.6774193548387095)</f>
        <v>0.6774193548</v>
      </c>
      <c r="U481" s="57">
        <f>IFERROR(__xludf.DUMMYFUNCTION("""COMPUTED_VALUE"""),0.4301075268817205)</f>
        <v>0.4301075269</v>
      </c>
      <c r="V481" s="57">
        <f>IFERROR(__xludf.DUMMYFUNCTION("""COMPUTED_VALUE"""),1.3440860215053763)</f>
        <v>1.344086022</v>
      </c>
      <c r="W481" s="57">
        <f>IFERROR(__xludf.DUMMYFUNCTION("""COMPUTED_VALUE"""),2.0537634408602155)</f>
        <v>2.053763441</v>
      </c>
      <c r="X481" s="31">
        <f>IFERROR(__xludf.DUMMYFUNCTION("""COMPUTED_VALUE"""),330.8602519962225)</f>
        <v>330.860252</v>
      </c>
      <c r="Y481" s="57">
        <f>IFERROR(__xludf.DUMMYFUNCTION("""COMPUTED_VALUE"""),0.7825729502556424)</f>
        <v>0.7825729503</v>
      </c>
      <c r="Z481" s="57">
        <f>IFERROR(__xludf.DUMMYFUNCTION("""COMPUTED_VALUE"""),0.5101826555009061)</f>
        <v>0.5101826555</v>
      </c>
      <c r="AA481" s="57">
        <f>IFERROR(__xludf.DUMMYFUNCTION("""COMPUTED_VALUE"""),1.2088172247566518)</f>
        <v>1.208817225</v>
      </c>
      <c r="AB481" s="57">
        <f>IFERROR(__xludf.DUMMYFUNCTION("""COMPUTED_VALUE"""),2.468810259339144)</f>
        <v>2.468810259</v>
      </c>
      <c r="AC481" s="31">
        <f>IFERROR(__xludf.DUMMYFUNCTION("""COMPUTED_VALUE"""),338.3628660185497)</f>
        <v>338.362866</v>
      </c>
      <c r="AD481" s="57">
        <f>IFERROR(__xludf.DUMMYFUNCTION("""COMPUTED_VALUE"""),0.7845273205371025)</f>
        <v>0.7845273205</v>
      </c>
      <c r="AE481" s="57">
        <f>IFERROR(__xludf.DUMMYFUNCTION("""COMPUTED_VALUE"""),0.5316076980112648)</f>
        <v>0.531607698</v>
      </c>
      <c r="AF481" s="57">
        <f>IFERROR(__xludf.DUMMYFUNCTION("""COMPUTED_VALUE"""),1.2474015127778704)</f>
        <v>1.247401513</v>
      </c>
      <c r="AG481" s="57">
        <f>IFERROR(__xludf.DUMMYFUNCTION("""COMPUTED_VALUE"""),2.5162267783362955)</f>
        <v>2.516226778</v>
      </c>
      <c r="AH481" s="57">
        <f>IFERROR(__xludf.DUMMYFUNCTION("""COMPUTED_VALUE"""),1.0294350108326176)</f>
        <v>1.029435011</v>
      </c>
      <c r="AI481" s="57">
        <f>IFERROR(__xludf.DUMMYFUNCTION("""COMPUTED_VALUE"""),1.1512993656272508)</f>
        <v>1.151299366</v>
      </c>
      <c r="AJ481" s="57">
        <f>IFERROR(__xludf.DUMMYFUNCTION("""COMPUTED_VALUE"""),1.4563249390167625)</f>
        <v>1.456324939</v>
      </c>
      <c r="AK481" s="57">
        <f>IFERROR(__xludf.DUMMYFUNCTION("""COMPUTED_VALUE"""),0.7499460770129169)</f>
        <v>0.749946077</v>
      </c>
      <c r="AL481" s="57">
        <f>IFERROR(__xludf.DUMMYFUNCTION("""COMPUTED_VALUE"""),1.1025212720378752)</f>
        <v>1.102521272</v>
      </c>
      <c r="AM481" s="57">
        <f>IFERROR(__xludf.DUMMYFUNCTION("""COMPUTED_VALUE"""),0.9534610570114648)</f>
        <v>0.953461057</v>
      </c>
      <c r="AN481" s="57">
        <f>IFERROR(__xludf.DUMMYFUNCTION("""COMPUTED_VALUE"""),0.8656309352596682)</f>
        <v>0.8656309353</v>
      </c>
      <c r="AO481" s="57">
        <f>IFERROR(__xludf.DUMMYFUNCTION("""COMPUTED_VALUE"""),0.8430461565954913)</f>
        <v>0.8430461566</v>
      </c>
      <c r="AP481" s="35">
        <f>IFERROR(__xludf.DUMMYFUNCTION("""COMPUTED_VALUE"""),1.1119017780177276)</f>
        <v>1.111901778</v>
      </c>
      <c r="AQ481" s="57">
        <f>IFERROR(__xludf.DUMMYFUNCTION("""COMPUTED_VALUE"""),0.8318838732507419)</f>
        <v>0.8318838733</v>
      </c>
      <c r="AR481" s="36" t="b">
        <f>IFERROR(__xludf.DUMMYFUNCTION("""COMPUTED_VALUE"""),TRUE)</f>
        <v>1</v>
      </c>
      <c r="AS481" s="57"/>
      <c r="AT481" s="37"/>
      <c r="AU481" s="30"/>
      <c r="AV481" s="30"/>
      <c r="AW481" s="30"/>
      <c r="AX481" s="30"/>
      <c r="AY481" s="30"/>
      <c r="AZ481" s="30"/>
    </row>
    <row r="482">
      <c r="A482" s="30" t="str">
        <f>IFERROR(__xludf.DUMMYFUNCTION("""COMPUTED_VALUE"""),"Prospect")</f>
        <v>Prospect</v>
      </c>
      <c r="B482" s="30" t="str">
        <f>IFERROR(__xludf.DUMMYFUNCTION("""COMPUTED_VALUE"""),"RSC006934")</f>
        <v>RSC006934</v>
      </c>
      <c r="C482" s="30" t="str">
        <f>IFERROR(__xludf.DUMMYFUNCTION("""COMPUTED_VALUE"""),"TPM_CheezeTV")</f>
        <v>TPM_CheezeTV</v>
      </c>
      <c r="D482" s="31" t="str">
        <f>IFERROR(__xludf.DUMMYFUNCTION("""COMPUTED_VALUE"""),"Gloom")</f>
        <v>Gloom</v>
      </c>
      <c r="E482" s="31">
        <f>IFERROR(__xludf.DUMMYFUNCTION("""COMPUTED_VALUE"""),79.50381759607595)</f>
        <v>79.5038176</v>
      </c>
      <c r="F482" s="31">
        <f>IFERROR(__xludf.DUMMYFUNCTION("""COMPUTED_VALUE"""),8.405498528817105)</f>
        <v>8.405498529</v>
      </c>
      <c r="G482" s="31">
        <f>IFERROR(__xludf.DUMMYFUNCTION("""COMPUTED_VALUE"""),43.85999376227423)</f>
        <v>43.85999376</v>
      </c>
      <c r="H482" s="31">
        <f>IFERROR(__xludf.DUMMYFUNCTION("""COMPUTED_VALUE"""),-2.481415143300746)</f>
        <v>-2.481415143</v>
      </c>
      <c r="I482" s="54">
        <f>IFERROR(__xludf.DUMMYFUNCTION("""COMPUTED_VALUE"""),6.0)</f>
        <v>6</v>
      </c>
      <c r="J482" s="55">
        <f>IFERROR(__xludf.DUMMYFUNCTION("""COMPUTED_VALUE"""),5.0)</f>
        <v>5</v>
      </c>
      <c r="K482" s="54">
        <f>IFERROR(__xludf.DUMMYFUNCTION("""COMPUTED_VALUE"""),1.0)</f>
        <v>1</v>
      </c>
      <c r="L482" s="56">
        <f>IFERROR(__xludf.DUMMYFUNCTION("""COMPUTED_VALUE"""),0.8333333333333334)</f>
        <v>0.8333333333</v>
      </c>
      <c r="M482" s="56">
        <f>IFERROR(__xludf.DUMMYFUNCTION("""COMPUTED_VALUE"""),0.5384615384615385)</f>
        <v>0.5384615385</v>
      </c>
      <c r="N482" s="31">
        <f>IFERROR(__xludf.DUMMYFUNCTION("""COMPUTED_VALUE"""),398.8333333333333)</f>
        <v>398.8333333</v>
      </c>
      <c r="O482" s="57">
        <f>IFERROR(__xludf.DUMMYFUNCTION("""COMPUTED_VALUE"""),1.1666666666666667)</f>
        <v>1.166666667</v>
      </c>
      <c r="P482" s="57">
        <f>IFERROR(__xludf.DUMMYFUNCTION("""COMPUTED_VALUE"""),0.5)</f>
        <v>0.5</v>
      </c>
      <c r="Q482" s="57">
        <f>IFERROR(__xludf.DUMMYFUNCTION("""COMPUTED_VALUE"""),1.8333333333333333)</f>
        <v>1.833333333</v>
      </c>
      <c r="R482" s="57">
        <f>IFERROR(__xludf.DUMMYFUNCTION("""COMPUTED_VALUE"""),2.1666666666666665)</f>
        <v>2.166666667</v>
      </c>
      <c r="S482" s="31">
        <f>IFERROR(__xludf.DUMMYFUNCTION("""COMPUTED_VALUE"""),275.05555555555554)</f>
        <v>275.0555556</v>
      </c>
      <c r="T482" s="57">
        <f>IFERROR(__xludf.DUMMYFUNCTION("""COMPUTED_VALUE"""),0.611111111111111)</f>
        <v>0.6111111111</v>
      </c>
      <c r="U482" s="57">
        <f>IFERROR(__xludf.DUMMYFUNCTION("""COMPUTED_VALUE"""),0.3333333333333333)</f>
        <v>0.3333333333</v>
      </c>
      <c r="V482" s="57">
        <f>IFERROR(__xludf.DUMMYFUNCTION("""COMPUTED_VALUE"""),1.0555555555555556)</f>
        <v>1.055555556</v>
      </c>
      <c r="W482" s="57">
        <f>IFERROR(__xludf.DUMMYFUNCTION("""COMPUTED_VALUE"""),3.0)</f>
        <v>3</v>
      </c>
      <c r="X482" s="31">
        <f>IFERROR(__xludf.DUMMYFUNCTION("""COMPUTED_VALUE"""),354.1812942203492)</f>
        <v>354.1812942</v>
      </c>
      <c r="Y482" s="57">
        <f>IFERROR(__xludf.DUMMYFUNCTION("""COMPUTED_VALUE"""),0.9066045198304661)</f>
        <v>0.9066045198</v>
      </c>
      <c r="Z482" s="57">
        <f>IFERROR(__xludf.DUMMYFUNCTION("""COMPUTED_VALUE"""),0.531081587648196)</f>
        <v>0.5310815876</v>
      </c>
      <c r="AA482" s="57">
        <f>IFERROR(__xludf.DUMMYFUNCTION("""COMPUTED_VALUE"""),1.2717750466624997)</f>
        <v>1.271775047</v>
      </c>
      <c r="AB482" s="57">
        <f>IFERROR(__xludf.DUMMYFUNCTION("""COMPUTED_VALUE"""),2.6581018585512983)</f>
        <v>2.658101859</v>
      </c>
      <c r="AC482" s="31">
        <f>IFERROR(__xludf.DUMMYFUNCTION("""COMPUTED_VALUE"""),343.103182194322)</f>
        <v>343.1031822</v>
      </c>
      <c r="AD482" s="57">
        <f>IFERROR(__xludf.DUMMYFUNCTION("""COMPUTED_VALUE"""),0.8138310461368747)</f>
        <v>0.8138310461</v>
      </c>
      <c r="AE482" s="57">
        <f>IFERROR(__xludf.DUMMYFUNCTION("""COMPUTED_VALUE"""),0.5220152250897628)</f>
        <v>0.5220152251</v>
      </c>
      <c r="AF482" s="57">
        <f>IFERROR(__xludf.DUMMYFUNCTION("""COMPUTED_VALUE"""),1.2357165934413257)</f>
        <v>1.235716593</v>
      </c>
      <c r="AG482" s="57">
        <f>IFERROR(__xludf.DUMMYFUNCTION("""COMPUTED_VALUE"""),2.564511501882066)</f>
        <v>2.564511502</v>
      </c>
      <c r="AH482" s="57">
        <f>IFERROR(__xludf.DUMMYFUNCTION("""COMPUTED_VALUE"""),1.162429712200826)</f>
        <v>1.162429712</v>
      </c>
      <c r="AI482" s="57">
        <f>IFERROR(__xludf.DUMMYFUNCTION("""COMPUTED_VALUE"""),1.4335489807185975)</f>
        <v>1.433548981</v>
      </c>
      <c r="AJ482" s="57">
        <f>IFERROR(__xludf.DUMMYFUNCTION("""COMPUTED_VALUE"""),0.9578264693602045)</f>
        <v>0.9578264694</v>
      </c>
      <c r="AK482" s="57">
        <f>IFERROR(__xludf.DUMMYFUNCTION("""COMPUTED_VALUE"""),1.4836195799780556)</f>
        <v>1.48361958</v>
      </c>
      <c r="AL482" s="57">
        <f>IFERROR(__xludf.DUMMYFUNCTION("""COMPUTED_VALUE"""),0.8448652560445037)</f>
        <v>0.844865256</v>
      </c>
      <c r="AM482" s="57">
        <f>IFERROR(__xludf.DUMMYFUNCTION("""COMPUTED_VALUE"""),0.7765953765599868)</f>
        <v>0.7765953766</v>
      </c>
      <c r="AN482" s="57">
        <f>IFERROR(__xludf.DUMMYFUNCTION("""COMPUTED_VALUE"""),0.6740658112154438)</f>
        <v>0.6740658112</v>
      </c>
      <c r="AO482" s="57">
        <f>IFERROR(__xludf.DUMMYFUNCTION("""COMPUTED_VALUE"""),0.6276499526361721)</f>
        <v>0.6276499526</v>
      </c>
      <c r="AP482" s="35">
        <f>IFERROR(__xludf.DUMMYFUNCTION("""COMPUTED_VALUE"""),0.8299860563592864)</f>
        <v>0.8299860564</v>
      </c>
      <c r="AQ482" s="57">
        <f>IFERROR(__xludf.DUMMYFUNCTION("""COMPUTED_VALUE"""),1.1286249209558286)</f>
        <v>1.128624921</v>
      </c>
      <c r="AR482" s="36" t="b">
        <f>IFERROR(__xludf.DUMMYFUNCTION("""COMPUTED_VALUE"""),TRUE)</f>
        <v>1</v>
      </c>
      <c r="AS482" s="57"/>
      <c r="AT482" s="37"/>
      <c r="AU482" s="30"/>
      <c r="AV482" s="30"/>
      <c r="AW482" s="30"/>
      <c r="AX482" s="30"/>
      <c r="AY482" s="30"/>
      <c r="AZ482" s="30"/>
    </row>
    <row r="483">
      <c r="A483" s="30" t="str">
        <f>IFERROR(__xludf.DUMMYFUNCTION("""COMPUTED_VALUE"""),"Prospect")</f>
        <v>Prospect</v>
      </c>
      <c r="B483" s="30" t="str">
        <f>IFERROR(__xludf.DUMMYFUNCTION("""COMPUTED_VALUE"""),"RSC005603")</f>
        <v>RSC005603</v>
      </c>
      <c r="C483" s="30" t="str">
        <f>IFERROR(__xludf.DUMMYFUNCTION("""COMPUTED_VALUE"""),"Aiden_23-")</f>
        <v>Aiden_23-</v>
      </c>
      <c r="D483" s="31" t="str">
        <f>IFERROR(__xludf.DUMMYFUNCTION("""COMPUTED_VALUE"""),"Emus")</f>
        <v>Emus</v>
      </c>
      <c r="E483" s="31">
        <f>IFERROR(__xludf.DUMMYFUNCTION("""COMPUTED_VALUE"""),79.1737083739856)</f>
        <v>79.17370837</v>
      </c>
      <c r="F483" s="31">
        <f>IFERROR(__xludf.DUMMYFUNCTION("""COMPUTED_VALUE"""),8.2226281642115)</f>
        <v>8.222628164</v>
      </c>
      <c r="G483" s="31">
        <f>IFERROR(__xludf.DUMMYFUNCTION("""COMPUTED_VALUE"""),61.03859205272665)</f>
        <v>61.03859205</v>
      </c>
      <c r="H483" s="31">
        <f>IFERROR(__xludf.DUMMYFUNCTION("""COMPUTED_VALUE"""),3.0357331054464702)</f>
        <v>3.035733105</v>
      </c>
      <c r="I483" s="54">
        <f>IFERROR(__xludf.DUMMYFUNCTION("""COMPUTED_VALUE"""),35.0)</f>
        <v>35</v>
      </c>
      <c r="J483" s="55">
        <f>IFERROR(__xludf.DUMMYFUNCTION("""COMPUTED_VALUE"""),19.0)</f>
        <v>19</v>
      </c>
      <c r="K483" s="54">
        <f>IFERROR(__xludf.DUMMYFUNCTION("""COMPUTED_VALUE"""),16.0)</f>
        <v>16</v>
      </c>
      <c r="L483" s="56">
        <f>IFERROR(__xludf.DUMMYFUNCTION("""COMPUTED_VALUE"""),0.5428571428571428)</f>
        <v>0.5428571429</v>
      </c>
      <c r="M483" s="56">
        <f>IFERROR(__xludf.DUMMYFUNCTION("""COMPUTED_VALUE"""),0.3090909090909091)</f>
        <v>0.3090909091</v>
      </c>
      <c r="N483" s="31">
        <f>IFERROR(__xludf.DUMMYFUNCTION("""COMPUTED_VALUE"""),362.42857142857144)</f>
        <v>362.4285714</v>
      </c>
      <c r="O483" s="57">
        <f>IFERROR(__xludf.DUMMYFUNCTION("""COMPUTED_VALUE"""),0.9714285714285714)</f>
        <v>0.9714285714</v>
      </c>
      <c r="P483" s="57">
        <f>IFERROR(__xludf.DUMMYFUNCTION("""COMPUTED_VALUE"""),0.6)</f>
        <v>0.6</v>
      </c>
      <c r="Q483" s="57">
        <f>IFERROR(__xludf.DUMMYFUNCTION("""COMPUTED_VALUE"""),1.0)</f>
        <v>1</v>
      </c>
      <c r="R483" s="57">
        <f>IFERROR(__xludf.DUMMYFUNCTION("""COMPUTED_VALUE"""),3.142857142857143)</f>
        <v>3.142857143</v>
      </c>
      <c r="S483" s="31">
        <f>IFERROR(__xludf.DUMMYFUNCTION("""COMPUTED_VALUE"""),340.9142857142857)</f>
        <v>340.9142857</v>
      </c>
      <c r="T483" s="57">
        <f>IFERROR(__xludf.DUMMYFUNCTION("""COMPUTED_VALUE"""),0.7714285714285715)</f>
        <v>0.7714285714</v>
      </c>
      <c r="U483" s="57">
        <f>IFERROR(__xludf.DUMMYFUNCTION("""COMPUTED_VALUE"""),0.4571428571428571)</f>
        <v>0.4571428571</v>
      </c>
      <c r="V483" s="57">
        <f>IFERROR(__xludf.DUMMYFUNCTION("""COMPUTED_VALUE"""),1.4285714285714286)</f>
        <v>1.428571429</v>
      </c>
      <c r="W483" s="57">
        <f>IFERROR(__xludf.DUMMYFUNCTION("""COMPUTED_VALUE"""),2.3904761904761913)</f>
        <v>2.39047619</v>
      </c>
      <c r="X483" s="31">
        <f>IFERROR(__xludf.DUMMYFUNCTION("""COMPUTED_VALUE"""),339.9396865250134)</f>
        <v>339.9396865</v>
      </c>
      <c r="Y483" s="57">
        <f>IFERROR(__xludf.DUMMYFUNCTION("""COMPUTED_VALUE"""),0.8055409881514983)</f>
        <v>0.8055409882</v>
      </c>
      <c r="Z483" s="57">
        <f>IFERROR(__xludf.DUMMYFUNCTION("""COMPUTED_VALUE"""),0.512414120719861)</f>
        <v>0.5124141207</v>
      </c>
      <c r="AA483" s="57">
        <f>IFERROR(__xludf.DUMMYFUNCTION("""COMPUTED_VALUE"""),1.242538661582509)</f>
        <v>1.242538662</v>
      </c>
      <c r="AB483" s="57">
        <f>IFERROR(__xludf.DUMMYFUNCTION("""COMPUTED_VALUE"""),2.491300572499391)</f>
        <v>2.491300572</v>
      </c>
      <c r="AC483" s="31">
        <f>IFERROR(__xludf.DUMMYFUNCTION("""COMPUTED_VALUE"""),333.2645004301388)</f>
        <v>333.2645004</v>
      </c>
      <c r="AD483" s="57">
        <f>IFERROR(__xludf.DUMMYFUNCTION("""COMPUTED_VALUE"""),0.7789050907342601)</f>
        <v>0.7789050907</v>
      </c>
      <c r="AE483" s="57">
        <f>IFERROR(__xludf.DUMMYFUNCTION("""COMPUTED_VALUE"""),0.5302786316607659)</f>
        <v>0.5302786317</v>
      </c>
      <c r="AF483" s="57">
        <f>IFERROR(__xludf.DUMMYFUNCTION("""COMPUTED_VALUE"""),1.206092507360063)</f>
        <v>1.206092507</v>
      </c>
      <c r="AG483" s="57">
        <f>IFERROR(__xludf.DUMMYFUNCTION("""COMPUTED_VALUE"""),2.429476249067396)</f>
        <v>2.429476249</v>
      </c>
      <c r="AH483" s="57">
        <f>IFERROR(__xludf.DUMMYFUNCTION("""COMPUTED_VALUE"""),1.0875102837559687)</f>
        <v>1.087510284</v>
      </c>
      <c r="AI483" s="57">
        <f>IFERROR(__xludf.DUMMYFUNCTION("""COMPUTED_VALUE"""),1.2471719378709194)</f>
        <v>1.247171938</v>
      </c>
      <c r="AJ483" s="57">
        <f>IFERROR(__xludf.DUMMYFUNCTION("""COMPUTED_VALUE"""),1.1314806295718074)</f>
        <v>1.13148063</v>
      </c>
      <c r="AK483" s="57">
        <f>IFERROR(__xludf.DUMMYFUNCTION("""COMPUTED_VALUE"""),0.8291237976337608)</f>
        <v>0.8291237976</v>
      </c>
      <c r="AL483" s="57">
        <f>IFERROR(__xludf.DUMMYFUNCTION("""COMPUTED_VALUE"""),1.2936356731470797)</f>
        <v>1.293635673</v>
      </c>
      <c r="AM483" s="57">
        <f>IFERROR(__xludf.DUMMYFUNCTION("""COMPUTED_VALUE"""),1.0028669767841318)</f>
        <v>1.002866977</v>
      </c>
      <c r="AN483" s="57">
        <f>IFERROR(__xludf.DUMMYFUNCTION("""COMPUTED_VALUE"""),0.9576527858610823)</f>
        <v>0.9576527859</v>
      </c>
      <c r="AO483" s="57">
        <f>IFERROR(__xludf.DUMMYFUNCTION("""COMPUTED_VALUE"""),0.8921355572727845)</f>
        <v>0.8921355573</v>
      </c>
      <c r="AP483" s="35">
        <f>IFERROR(__xludf.DUMMYFUNCTION("""COMPUTED_VALUE"""),1.1497199022781204)</f>
        <v>1.149719902</v>
      </c>
      <c r="AQ483" s="57">
        <f>IFERROR(__xludf.DUMMYFUNCTION("""COMPUTED_VALUE"""),0.9595294188360227)</f>
        <v>0.9595294188</v>
      </c>
      <c r="AR483" s="36" t="b">
        <f>IFERROR(__xludf.DUMMYFUNCTION("""COMPUTED_VALUE"""),TRUE)</f>
        <v>1</v>
      </c>
      <c r="AS483" s="57"/>
      <c r="AT483" s="37"/>
      <c r="AU483" s="30"/>
      <c r="AV483" s="30"/>
      <c r="AW483" s="30"/>
      <c r="AX483" s="30"/>
      <c r="AY483" s="30"/>
      <c r="AZ483" s="30"/>
    </row>
    <row r="484">
      <c r="A484" s="30" t="str">
        <f>IFERROR(__xludf.DUMMYFUNCTION("""COMPUTED_VALUE"""),"Prospect")</f>
        <v>Prospect</v>
      </c>
      <c r="B484" s="30" t="str">
        <f>IFERROR(__xludf.DUMMYFUNCTION("""COMPUTED_VALUE"""),"RSC007518")</f>
        <v>RSC007518</v>
      </c>
      <c r="C484" s="30" t="str">
        <f>IFERROR(__xludf.DUMMYFUNCTION("""COMPUTED_VALUE"""),"LoneDrifter.")</f>
        <v>LoneDrifter.</v>
      </c>
      <c r="D484" s="31" t="str">
        <f>IFERROR(__xludf.DUMMYFUNCTION("""COMPUTED_VALUE"""),"Blacktips")</f>
        <v>Blacktips</v>
      </c>
      <c r="E484" s="31">
        <f>IFERROR(__xludf.DUMMYFUNCTION("""COMPUTED_VALUE"""),76.26268664599957)</f>
        <v>76.26268665</v>
      </c>
      <c r="F484" s="31">
        <f>IFERROR(__xludf.DUMMYFUNCTION("""COMPUTED_VALUE"""),6.81466157519418)</f>
        <v>6.814661575</v>
      </c>
      <c r="G484" s="31">
        <f>IFERROR(__xludf.DUMMYFUNCTION("""COMPUTED_VALUE"""),68.8651564193395)</f>
        <v>68.86515642</v>
      </c>
      <c r="H484" s="31">
        <f>IFERROR(__xludf.DUMMYFUNCTION("""COMPUTED_VALUE"""),4.43965683283827)</f>
        <v>4.439656833</v>
      </c>
      <c r="I484" s="54">
        <f>IFERROR(__xludf.DUMMYFUNCTION("""COMPUTED_VALUE"""),36.0)</f>
        <v>36</v>
      </c>
      <c r="J484" s="55">
        <f>IFERROR(__xludf.DUMMYFUNCTION("""COMPUTED_VALUE"""),24.0)</f>
        <v>24</v>
      </c>
      <c r="K484" s="54">
        <f>IFERROR(__xludf.DUMMYFUNCTION("""COMPUTED_VALUE"""),12.0)</f>
        <v>12</v>
      </c>
      <c r="L484" s="56">
        <f>IFERROR(__xludf.DUMMYFUNCTION("""COMPUTED_VALUE"""),0.6666666666666666)</f>
        <v>0.6666666667</v>
      </c>
      <c r="M484" s="56">
        <f>IFERROR(__xludf.DUMMYFUNCTION("""COMPUTED_VALUE"""),0.3894736842105263)</f>
        <v>0.3894736842</v>
      </c>
      <c r="N484" s="31">
        <f>IFERROR(__xludf.DUMMYFUNCTION("""COMPUTED_VALUE"""),370.30555555555554)</f>
        <v>370.3055556</v>
      </c>
      <c r="O484" s="57">
        <f>IFERROR(__xludf.DUMMYFUNCTION("""COMPUTED_VALUE"""),1.0277777777777777)</f>
        <v>1.027777778</v>
      </c>
      <c r="P484" s="57">
        <f>IFERROR(__xludf.DUMMYFUNCTION("""COMPUTED_VALUE"""),0.5833333333333334)</f>
        <v>0.5833333333</v>
      </c>
      <c r="Q484" s="57">
        <f>IFERROR(__xludf.DUMMYFUNCTION("""COMPUTED_VALUE"""),1.2222222222222223)</f>
        <v>1.222222222</v>
      </c>
      <c r="R484" s="57">
        <f>IFERROR(__xludf.DUMMYFUNCTION("""COMPUTED_VALUE"""),2.638888888888889)</f>
        <v>2.638888889</v>
      </c>
      <c r="S484" s="31">
        <f>IFERROR(__xludf.DUMMYFUNCTION("""COMPUTED_VALUE"""),312.7777777777778)</f>
        <v>312.7777778</v>
      </c>
      <c r="T484" s="57">
        <f>IFERROR(__xludf.DUMMYFUNCTION("""COMPUTED_VALUE"""),0.6481481481481483)</f>
        <v>0.6481481481</v>
      </c>
      <c r="U484" s="57">
        <f>IFERROR(__xludf.DUMMYFUNCTION("""COMPUTED_VALUE"""),0.4722222222222222)</f>
        <v>0.4722222222</v>
      </c>
      <c r="V484" s="57">
        <f>IFERROR(__xludf.DUMMYFUNCTION("""COMPUTED_VALUE"""),1.1388888888888886)</f>
        <v>1.138888889</v>
      </c>
      <c r="W484" s="57">
        <f>IFERROR(__xludf.DUMMYFUNCTION("""COMPUTED_VALUE"""),2.1944444444444446)</f>
        <v>2.194444444</v>
      </c>
      <c r="X484" s="31">
        <f>IFERROR(__xludf.DUMMYFUNCTION("""COMPUTED_VALUE"""),332.6429784736055)</f>
        <v>332.6429785</v>
      </c>
      <c r="Y484" s="57">
        <f>IFERROR(__xludf.DUMMYFUNCTION("""COMPUTED_VALUE"""),0.7445445976948115)</f>
        <v>0.7445445977</v>
      </c>
      <c r="Z484" s="57">
        <f>IFERROR(__xludf.DUMMYFUNCTION("""COMPUTED_VALUE"""),0.5216776865473066)</f>
        <v>0.5216776865</v>
      </c>
      <c r="AA484" s="57">
        <f>IFERROR(__xludf.DUMMYFUNCTION("""COMPUTED_VALUE"""),1.2407899109905254)</f>
        <v>1.240789911</v>
      </c>
      <c r="AB484" s="57">
        <f>IFERROR(__xludf.DUMMYFUNCTION("""COMPUTED_VALUE"""),2.416513036956415)</f>
        <v>2.416513037</v>
      </c>
      <c r="AC484" s="31">
        <f>IFERROR(__xludf.DUMMYFUNCTION("""COMPUTED_VALUE"""),339.73029972575875)</f>
        <v>339.7302997</v>
      </c>
      <c r="AD484" s="57">
        <f>IFERROR(__xludf.DUMMYFUNCTION("""COMPUTED_VALUE"""),0.7933218122930701)</f>
        <v>0.7933218123</v>
      </c>
      <c r="AE484" s="57">
        <f>IFERROR(__xludf.DUMMYFUNCTION("""COMPUTED_VALUE"""),0.5348708579208551)</f>
        <v>0.5348708579</v>
      </c>
      <c r="AF484" s="57">
        <f>IFERROR(__xludf.DUMMYFUNCTION("""COMPUTED_VALUE"""),1.223843680176057)</f>
        <v>1.22384368</v>
      </c>
      <c r="AG484" s="57">
        <f>IFERROR(__xludf.DUMMYFUNCTION("""COMPUTED_VALUE"""),2.5145047248582855)</f>
        <v>2.514504725</v>
      </c>
      <c r="AH484" s="57">
        <f>IFERROR(__xludf.DUMMYFUNCTION("""COMPUTED_VALUE"""),1.0899986131778006)</f>
        <v>1.089998613</v>
      </c>
      <c r="AI484" s="57">
        <f>IFERROR(__xludf.DUMMYFUNCTION("""COMPUTED_VALUE"""),1.2955370214856698)</f>
        <v>1.295537021</v>
      </c>
      <c r="AJ484" s="57">
        <f>IFERROR(__xludf.DUMMYFUNCTION("""COMPUTED_VALUE"""),1.0906059372927162)</f>
        <v>1.090605937</v>
      </c>
      <c r="AK484" s="57">
        <f>IFERROR(__xludf.DUMMYFUNCTION("""COMPUTED_VALUE"""),0.9986751102447974)</f>
        <v>0.9986751102</v>
      </c>
      <c r="AL484" s="57">
        <f>IFERROR(__xludf.DUMMYFUNCTION("""COMPUTED_VALUE"""),1.0494666654633602)</f>
        <v>1.049466665</v>
      </c>
      <c r="AM484" s="57">
        <f>IFERROR(__xludf.DUMMYFUNCTION("""COMPUTED_VALUE"""),0.940280715417524)</f>
        <v>0.9402807154</v>
      </c>
      <c r="AN484" s="57">
        <f>IFERROR(__xludf.DUMMYFUNCTION("""COMPUTED_VALUE"""),0.8705296501443744)</f>
        <v>0.8705296501</v>
      </c>
      <c r="AO484" s="57">
        <f>IFERROR(__xludf.DUMMYFUNCTION("""COMPUTED_VALUE"""),0.905199195594501)</f>
        <v>0.9051991956</v>
      </c>
      <c r="AP484" s="35">
        <f>IFERROR(__xludf.DUMMYFUNCTION("""COMPUTED_VALUE"""),0.9178740726378981)</f>
        <v>0.9178740726</v>
      </c>
      <c r="AQ484" s="57">
        <f>IFERROR(__xludf.DUMMYFUNCTION("""COMPUTED_VALUE"""),0.9081037059946242)</f>
        <v>0.908103706</v>
      </c>
      <c r="AR484" s="36" t="b">
        <f>IFERROR(__xludf.DUMMYFUNCTION("""COMPUTED_VALUE"""),TRUE)</f>
        <v>1</v>
      </c>
      <c r="AS484" s="57"/>
      <c r="AT484" s="37"/>
      <c r="AU484" s="30"/>
      <c r="AV484" s="30"/>
      <c r="AW484" s="30"/>
      <c r="AX484" s="30"/>
      <c r="AY484" s="30"/>
      <c r="AZ484" s="30"/>
    </row>
    <row r="485">
      <c r="A485" s="30" t="str">
        <f>IFERROR(__xludf.DUMMYFUNCTION("""COMPUTED_VALUE"""),"Prospect")</f>
        <v>Prospect</v>
      </c>
      <c r="B485" s="30" t="str">
        <f>IFERROR(__xludf.DUMMYFUNCTION("""COMPUTED_VALUE"""),"RSC007572")</f>
        <v>RSC007572</v>
      </c>
      <c r="C485" s="30" t="str">
        <f>IFERROR(__xludf.DUMMYFUNCTION("""COMPUTED_VALUE"""),"Mexalato")</f>
        <v>Mexalato</v>
      </c>
      <c r="D485" s="31" t="str">
        <f>IFERROR(__xludf.DUMMYFUNCTION("""COMPUTED_VALUE"""),"Horizon Highball")</f>
        <v>Horizon Highball</v>
      </c>
      <c r="E485" s="31">
        <f>IFERROR(__xludf.DUMMYFUNCTION("""COMPUTED_VALUE"""),74.42874331764095)</f>
        <v>74.42874332</v>
      </c>
      <c r="F485" s="31">
        <f>IFERROR(__xludf.DUMMYFUNCTION("""COMPUTED_VALUE"""),6.088372181578206)</f>
        <v>6.088372182</v>
      </c>
      <c r="G485" s="31">
        <f>IFERROR(__xludf.DUMMYFUNCTION("""COMPUTED_VALUE"""),66.87923436069707)</f>
        <v>66.87923436</v>
      </c>
      <c r="H485" s="31">
        <f>IFERROR(__xludf.DUMMYFUNCTION("""COMPUTED_VALUE"""),4.003457692729366)</f>
        <v>4.003457693</v>
      </c>
      <c r="I485" s="54">
        <f>IFERROR(__xludf.DUMMYFUNCTION("""COMPUTED_VALUE"""),36.0)</f>
        <v>36</v>
      </c>
      <c r="J485" s="55">
        <f>IFERROR(__xludf.DUMMYFUNCTION("""COMPUTED_VALUE"""),24.0)</f>
        <v>24</v>
      </c>
      <c r="K485" s="54">
        <f>IFERROR(__xludf.DUMMYFUNCTION("""COMPUTED_VALUE"""),12.0)</f>
        <v>12</v>
      </c>
      <c r="L485" s="56">
        <f>IFERROR(__xludf.DUMMYFUNCTION("""COMPUTED_VALUE"""),0.6666666666666666)</f>
        <v>0.6666666667</v>
      </c>
      <c r="M485" s="56">
        <f>IFERROR(__xludf.DUMMYFUNCTION("""COMPUTED_VALUE"""),0.30769230769230765)</f>
        <v>0.3076923077</v>
      </c>
      <c r="N485" s="31">
        <f>IFERROR(__xludf.DUMMYFUNCTION("""COMPUTED_VALUE"""),352.75)</f>
        <v>352.75</v>
      </c>
      <c r="O485" s="57">
        <f>IFERROR(__xludf.DUMMYFUNCTION("""COMPUTED_VALUE"""),0.8888888888888888)</f>
        <v>0.8888888889</v>
      </c>
      <c r="P485" s="57">
        <f>IFERROR(__xludf.DUMMYFUNCTION("""COMPUTED_VALUE"""),0.6944444444444444)</f>
        <v>0.6944444444</v>
      </c>
      <c r="Q485" s="57">
        <f>IFERROR(__xludf.DUMMYFUNCTION("""COMPUTED_VALUE"""),0.9444444444444444)</f>
        <v>0.9444444444</v>
      </c>
      <c r="R485" s="57">
        <f>IFERROR(__xludf.DUMMYFUNCTION("""COMPUTED_VALUE"""),2.888888888888889)</f>
        <v>2.888888889</v>
      </c>
      <c r="S485" s="31">
        <f>IFERROR(__xludf.DUMMYFUNCTION("""COMPUTED_VALUE"""),334.9722222222222)</f>
        <v>334.9722222</v>
      </c>
      <c r="T485" s="57">
        <f>IFERROR(__xludf.DUMMYFUNCTION("""COMPUTED_VALUE"""),0.6574074074074073)</f>
        <v>0.6574074074</v>
      </c>
      <c r="U485" s="57">
        <f>IFERROR(__xludf.DUMMYFUNCTION("""COMPUTED_VALUE"""),0.48148148148148134)</f>
        <v>0.4814814815</v>
      </c>
      <c r="V485" s="57">
        <f>IFERROR(__xludf.DUMMYFUNCTION("""COMPUTED_VALUE"""),1.462962962962963)</f>
        <v>1.462962963</v>
      </c>
      <c r="W485" s="57">
        <f>IFERROR(__xludf.DUMMYFUNCTION("""COMPUTED_VALUE"""),1.9722222222222219)</f>
        <v>1.972222222</v>
      </c>
      <c r="X485" s="31">
        <f>IFERROR(__xludf.DUMMYFUNCTION("""COMPUTED_VALUE"""),331.32122950103997)</f>
        <v>331.3212295</v>
      </c>
      <c r="Y485" s="57">
        <f>IFERROR(__xludf.DUMMYFUNCTION("""COMPUTED_VALUE"""),0.7294358763854468)</f>
        <v>0.7294358764</v>
      </c>
      <c r="Z485" s="57">
        <f>IFERROR(__xludf.DUMMYFUNCTION("""COMPUTED_VALUE"""),0.4870230558923276)</f>
        <v>0.4870230559</v>
      </c>
      <c r="AA485" s="57">
        <f>IFERROR(__xludf.DUMMYFUNCTION("""COMPUTED_VALUE"""),1.28988231127963)</f>
        <v>1.289882311</v>
      </c>
      <c r="AB485" s="57">
        <f>IFERROR(__xludf.DUMMYFUNCTION("""COMPUTED_VALUE"""),2.2981014942274447)</f>
        <v>2.298101494</v>
      </c>
      <c r="AC485" s="31">
        <f>IFERROR(__xludf.DUMMYFUNCTION("""COMPUTED_VALUE"""),335.3255343637726)</f>
        <v>335.3255344</v>
      </c>
      <c r="AD485" s="57">
        <f>IFERROR(__xludf.DUMMYFUNCTION("""COMPUTED_VALUE"""),0.8063963287278403)</f>
        <v>0.8063963287</v>
      </c>
      <c r="AE485" s="57">
        <f>IFERROR(__xludf.DUMMYFUNCTION("""COMPUTED_VALUE"""),0.5344518512440377)</f>
        <v>0.5344518512</v>
      </c>
      <c r="AF485" s="57">
        <f>IFERROR(__xludf.DUMMYFUNCTION("""COMPUTED_VALUE"""),1.1501251780399355)</f>
        <v>1.150125178</v>
      </c>
      <c r="AG485" s="57">
        <f>IFERROR(__xludf.DUMMYFUNCTION("""COMPUTED_VALUE"""),2.556930271826415)</f>
        <v>2.556930272</v>
      </c>
      <c r="AH485" s="57">
        <f>IFERROR(__xludf.DUMMYFUNCTION("""COMPUTED_VALUE"""),1.0519628356644166)</f>
        <v>1.051962836</v>
      </c>
      <c r="AI485" s="57">
        <f>IFERROR(__xludf.DUMMYFUNCTION("""COMPUTED_VALUE"""),1.1022977873562343)</f>
        <v>1.102297787</v>
      </c>
      <c r="AJ485" s="57">
        <f>IFERROR(__xludf.DUMMYFUNCTION("""COMPUTED_VALUE"""),1.2993582917301039)</f>
        <v>1.299358292</v>
      </c>
      <c r="AK485" s="57">
        <f>IFERROR(__xludf.DUMMYFUNCTION("""COMPUTED_VALUE"""),0.8211666542714803)</f>
        <v>0.8211666543</v>
      </c>
      <c r="AL485" s="57">
        <f>IFERROR(__xludf.DUMMYFUNCTION("""COMPUTED_VALUE"""),1.1298270119917488)</f>
        <v>1.129827012</v>
      </c>
      <c r="AM485" s="57">
        <f>IFERROR(__xludf.DUMMYFUNCTION("""COMPUTED_VALUE"""),1.011019495269532)</f>
        <v>1.011019495</v>
      </c>
      <c r="AN485" s="57">
        <f>IFERROR(__xludf.DUMMYFUNCTION("""COMPUTED_VALUE"""),0.9012545566925496)</f>
        <v>0.9012545567</v>
      </c>
      <c r="AO485" s="57">
        <f>IFERROR(__xludf.DUMMYFUNCTION("""COMPUTED_VALUE"""),0.9886215357901426)</f>
        <v>0.9886215358</v>
      </c>
      <c r="AP485" s="35">
        <f>IFERROR(__xludf.DUMMYFUNCTION("""COMPUTED_VALUE"""),1.1341832895681994)</f>
        <v>1.13418329</v>
      </c>
      <c r="AQ485" s="57">
        <f>IFERROR(__xludf.DUMMYFUNCTION("""COMPUTED_VALUE"""),0.8581963099437547)</f>
        <v>0.8581963099</v>
      </c>
      <c r="AR485" s="36" t="b">
        <f>IFERROR(__xludf.DUMMYFUNCTION("""COMPUTED_VALUE"""),TRUE)</f>
        <v>1</v>
      </c>
      <c r="AS485" s="57"/>
      <c r="AT485" s="37"/>
      <c r="AU485" s="30"/>
      <c r="AV485" s="30"/>
      <c r="AW485" s="30"/>
      <c r="AX485" s="30"/>
      <c r="AY485" s="30"/>
      <c r="AZ485" s="30"/>
    </row>
    <row r="486">
      <c r="A486" s="30" t="str">
        <f>IFERROR(__xludf.DUMMYFUNCTION("""COMPUTED_VALUE"""),"Prospect")</f>
        <v>Prospect</v>
      </c>
      <c r="B486" s="30" t="str">
        <f>IFERROR(__xludf.DUMMYFUNCTION("""COMPUTED_VALUE"""),"RSC006832")</f>
        <v>RSC006832</v>
      </c>
      <c r="C486" s="30" t="str">
        <f>IFERROR(__xludf.DUMMYFUNCTION("""COMPUTED_VALUE"""),"Pandaliciously")</f>
        <v>Pandaliciously</v>
      </c>
      <c r="D486" s="31" t="str">
        <f>IFERROR(__xludf.DUMMYFUNCTION("""COMPUTED_VALUE"""),"Horizon Highball")</f>
        <v>Horizon Highball</v>
      </c>
      <c r="E486" s="31">
        <f>IFERROR(__xludf.DUMMYFUNCTION("""COMPUTED_VALUE"""),73.16118574668124)</f>
        <v>73.16118575</v>
      </c>
      <c r="F486" s="31">
        <f>IFERROR(__xludf.DUMMYFUNCTION("""COMPUTED_VALUE"""),5.646312100216595)</f>
        <v>5.6463121</v>
      </c>
      <c r="G486" s="31">
        <f>IFERROR(__xludf.DUMMYFUNCTION("""COMPUTED_VALUE"""),57.07582084864939)</f>
        <v>57.07582085</v>
      </c>
      <c r="H486" s="31">
        <f>IFERROR(__xludf.DUMMYFUNCTION("""COMPUTED_VALUE"""),2.573500235474401)</f>
        <v>2.573500235</v>
      </c>
      <c r="I486" s="54">
        <f>IFERROR(__xludf.DUMMYFUNCTION("""COMPUTED_VALUE"""),21.0)</f>
        <v>21</v>
      </c>
      <c r="J486" s="55">
        <f>IFERROR(__xludf.DUMMYFUNCTION("""COMPUTED_VALUE"""),13.0)</f>
        <v>13</v>
      </c>
      <c r="K486" s="54">
        <f>IFERROR(__xludf.DUMMYFUNCTION("""COMPUTED_VALUE"""),8.0)</f>
        <v>8</v>
      </c>
      <c r="L486" s="56">
        <f>IFERROR(__xludf.DUMMYFUNCTION("""COMPUTED_VALUE"""),0.6190476190476191)</f>
        <v>0.619047619</v>
      </c>
      <c r="M486" s="56">
        <f>IFERROR(__xludf.DUMMYFUNCTION("""COMPUTED_VALUE"""),0.3283582089552239)</f>
        <v>0.328358209</v>
      </c>
      <c r="N486" s="31">
        <f>IFERROR(__xludf.DUMMYFUNCTION("""COMPUTED_VALUE"""),384.3333333333333)</f>
        <v>384.3333333</v>
      </c>
      <c r="O486" s="57">
        <f>IFERROR(__xludf.DUMMYFUNCTION("""COMPUTED_VALUE"""),1.0476190476190477)</f>
        <v>1.047619048</v>
      </c>
      <c r="P486" s="57">
        <f>IFERROR(__xludf.DUMMYFUNCTION("""COMPUTED_VALUE"""),0.38095238095238093)</f>
        <v>0.380952381</v>
      </c>
      <c r="Q486" s="57">
        <f>IFERROR(__xludf.DUMMYFUNCTION("""COMPUTED_VALUE"""),1.3333333333333333)</f>
        <v>1.333333333</v>
      </c>
      <c r="R486" s="57">
        <f>IFERROR(__xludf.DUMMYFUNCTION("""COMPUTED_VALUE"""),3.1904761904761907)</f>
        <v>3.19047619</v>
      </c>
      <c r="S486" s="31">
        <f>IFERROR(__xludf.DUMMYFUNCTION("""COMPUTED_VALUE"""),343.06349206349205)</f>
        <v>343.0634921</v>
      </c>
      <c r="T486" s="57">
        <f>IFERROR(__xludf.DUMMYFUNCTION("""COMPUTED_VALUE"""),0.6666666666666666)</f>
        <v>0.6666666667</v>
      </c>
      <c r="U486" s="57">
        <f>IFERROR(__xludf.DUMMYFUNCTION("""COMPUTED_VALUE"""),0.492063492063492)</f>
        <v>0.4920634921</v>
      </c>
      <c r="V486" s="57">
        <f>IFERROR(__xludf.DUMMYFUNCTION("""COMPUTED_VALUE"""),1.492063492063492)</f>
        <v>1.492063492</v>
      </c>
      <c r="W486" s="57">
        <f>IFERROR(__xludf.DUMMYFUNCTION("""COMPUTED_VALUE"""),2.253968253968254)</f>
        <v>2.253968254</v>
      </c>
      <c r="X486" s="31">
        <f>IFERROR(__xludf.DUMMYFUNCTION("""COMPUTED_VALUE"""),335.965834298238)</f>
        <v>335.9658343</v>
      </c>
      <c r="Y486" s="57">
        <f>IFERROR(__xludf.DUMMYFUNCTION("""COMPUTED_VALUE"""),0.7422951025169805)</f>
        <v>0.7422951025</v>
      </c>
      <c r="Z486" s="57">
        <f>IFERROR(__xludf.DUMMYFUNCTION("""COMPUTED_VALUE"""),0.4887927809753781)</f>
        <v>0.488792781</v>
      </c>
      <c r="AA486" s="57">
        <f>IFERROR(__xludf.DUMMYFUNCTION("""COMPUTED_VALUE"""),1.3172213068458607)</f>
        <v>1.317221307</v>
      </c>
      <c r="AB486" s="57">
        <f>IFERROR(__xludf.DUMMYFUNCTION("""COMPUTED_VALUE"""),2.394957035103108)</f>
        <v>2.394957035</v>
      </c>
      <c r="AC486" s="31">
        <f>IFERROR(__xludf.DUMMYFUNCTION("""COMPUTED_VALUE"""),337.65648993189325)</f>
        <v>337.6564899</v>
      </c>
      <c r="AD486" s="57">
        <f>IFERROR(__xludf.DUMMYFUNCTION("""COMPUTED_VALUE"""),0.8093002342834038)</f>
        <v>0.8093002343</v>
      </c>
      <c r="AE486" s="57">
        <f>IFERROR(__xludf.DUMMYFUNCTION("""COMPUTED_VALUE"""),0.5286423016501806)</f>
        <v>0.5286423017</v>
      </c>
      <c r="AF486" s="57">
        <f>IFERROR(__xludf.DUMMYFUNCTION("""COMPUTED_VALUE"""),1.1728249072069858)</f>
        <v>1.172824907</v>
      </c>
      <c r="AG486" s="57">
        <f>IFERROR(__xludf.DUMMYFUNCTION("""COMPUTED_VALUE"""),2.594728624764542)</f>
        <v>2.594728625</v>
      </c>
      <c r="AH486" s="57">
        <f>IFERROR(__xludf.DUMMYFUNCTION("""COMPUTED_VALUE"""),1.1382376610349025)</f>
        <v>1.138237661</v>
      </c>
      <c r="AI486" s="57">
        <f>IFERROR(__xludf.DUMMYFUNCTION("""COMPUTED_VALUE"""),1.294475156734217)</f>
        <v>1.294475157</v>
      </c>
      <c r="AJ486" s="57">
        <f>IFERROR(__xludf.DUMMYFUNCTION("""COMPUTED_VALUE"""),0.7206240964130586)</f>
        <v>0.7206240964</v>
      </c>
      <c r="AK486" s="57">
        <f>IFERROR(__xludf.DUMMYFUNCTION("""COMPUTED_VALUE"""),1.1368562563260947)</f>
        <v>1.136856256</v>
      </c>
      <c r="AL486" s="57">
        <f>IFERROR(__xludf.DUMMYFUNCTION("""COMPUTED_VALUE"""),1.2295991804405788)</f>
        <v>1.22959918</v>
      </c>
      <c r="AM486" s="57">
        <f>IFERROR(__xludf.DUMMYFUNCTION("""COMPUTED_VALUE"""),1.0211261296258876)</f>
        <v>1.02112613</v>
      </c>
      <c r="AN486" s="57">
        <f>IFERROR(__xludf.DUMMYFUNCTION("""COMPUTED_VALUE"""),0.8981154050540381)</f>
        <v>0.8981154051</v>
      </c>
      <c r="AO486" s="57">
        <f>IFERROR(__xludf.DUMMYFUNCTION("""COMPUTED_VALUE"""),1.0066914062879309)</f>
        <v>1.006691406</v>
      </c>
      <c r="AP486" s="35">
        <f>IFERROR(__xludf.DUMMYFUNCTION("""COMPUTED_VALUE"""),1.1327356187672806)</f>
        <v>1.132735619</v>
      </c>
      <c r="AQ486" s="57">
        <f>IFERROR(__xludf.DUMMYFUNCTION("""COMPUTED_VALUE"""),0.9411309768532927)</f>
        <v>0.9411309769</v>
      </c>
      <c r="AR486" s="36" t="b">
        <f>IFERROR(__xludf.DUMMYFUNCTION("""COMPUTED_VALUE"""),TRUE)</f>
        <v>1</v>
      </c>
      <c r="AS486" s="57"/>
      <c r="AT486" s="37"/>
      <c r="AU486" s="30"/>
      <c r="AV486" s="30"/>
      <c r="AW486" s="30"/>
      <c r="AX486" s="30"/>
      <c r="AY486" s="30"/>
      <c r="AZ486" s="30"/>
    </row>
    <row r="487">
      <c r="A487" s="30" t="str">
        <f>IFERROR(__xludf.DUMMYFUNCTION("""COMPUTED_VALUE"""),"Prospect")</f>
        <v>Prospect</v>
      </c>
      <c r="B487" s="30" t="str">
        <f>IFERROR(__xludf.DUMMYFUNCTION("""COMPUTED_VALUE"""),"RSC007262")</f>
        <v>RSC007262</v>
      </c>
      <c r="C487" s="30" t="str">
        <f>IFERROR(__xludf.DUMMYFUNCTION("""COMPUTED_VALUE"""),"Vvreze")</f>
        <v>Vvreze</v>
      </c>
      <c r="D487" s="31" t="str">
        <f>IFERROR(__xludf.DUMMYFUNCTION("""COMPUTED_VALUE"""),"Poppy")</f>
        <v>Poppy</v>
      </c>
      <c r="E487" s="31">
        <f>IFERROR(__xludf.DUMMYFUNCTION("""COMPUTED_VALUE"""),72.52873056553898)</f>
        <v>72.52873057</v>
      </c>
      <c r="F487" s="31">
        <f>IFERROR(__xludf.DUMMYFUNCTION("""COMPUTED_VALUE"""),5.442043823926509)</f>
        <v>5.442043824</v>
      </c>
      <c r="G487" s="31">
        <f>IFERROR(__xludf.DUMMYFUNCTION("""COMPUTED_VALUE"""),55.8279997029726)</f>
        <v>55.8279997</v>
      </c>
      <c r="H487" s="31">
        <f>IFERROR(__xludf.DUMMYFUNCTION("""COMPUTED_VALUE"""),2.451977306712085)</f>
        <v>2.451977307</v>
      </c>
      <c r="I487" s="54">
        <f>IFERROR(__xludf.DUMMYFUNCTION("""COMPUTED_VALUE"""),34.0)</f>
        <v>34</v>
      </c>
      <c r="J487" s="55">
        <f>IFERROR(__xludf.DUMMYFUNCTION("""COMPUTED_VALUE"""),16.0)</f>
        <v>16</v>
      </c>
      <c r="K487" s="54">
        <f>IFERROR(__xludf.DUMMYFUNCTION("""COMPUTED_VALUE"""),18.0)</f>
        <v>18</v>
      </c>
      <c r="L487" s="56">
        <f>IFERROR(__xludf.DUMMYFUNCTION("""COMPUTED_VALUE"""),0.47058823529411764)</f>
        <v>0.4705882353</v>
      </c>
      <c r="M487" s="56">
        <f>IFERROR(__xludf.DUMMYFUNCTION("""COMPUTED_VALUE"""),0.3592233009708738)</f>
        <v>0.359223301</v>
      </c>
      <c r="N487" s="31">
        <f>IFERROR(__xludf.DUMMYFUNCTION("""COMPUTED_VALUE"""),387.11764705882354)</f>
        <v>387.1176471</v>
      </c>
      <c r="O487" s="57">
        <f>IFERROR(__xludf.DUMMYFUNCTION("""COMPUTED_VALUE"""),1.088235294117647)</f>
        <v>1.088235294</v>
      </c>
      <c r="P487" s="57">
        <f>IFERROR(__xludf.DUMMYFUNCTION("""COMPUTED_VALUE"""),0.4411764705882353)</f>
        <v>0.4411764706</v>
      </c>
      <c r="Q487" s="57">
        <f>IFERROR(__xludf.DUMMYFUNCTION("""COMPUTED_VALUE"""),1.3529411764705883)</f>
        <v>1.352941176</v>
      </c>
      <c r="R487" s="57">
        <f>IFERROR(__xludf.DUMMYFUNCTION("""COMPUTED_VALUE"""),3.0294117647058822)</f>
        <v>3.029411765</v>
      </c>
      <c r="S487" s="31">
        <f>IFERROR(__xludf.DUMMYFUNCTION("""COMPUTED_VALUE"""),349.6176470588236)</f>
        <v>349.6176471</v>
      </c>
      <c r="T487" s="57">
        <f>IFERROR(__xludf.DUMMYFUNCTION("""COMPUTED_VALUE"""),0.803921568627451)</f>
        <v>0.8039215686</v>
      </c>
      <c r="U487" s="57">
        <f>IFERROR(__xludf.DUMMYFUNCTION("""COMPUTED_VALUE"""),0.588235294117647)</f>
        <v>0.5882352941</v>
      </c>
      <c r="V487" s="57">
        <f>IFERROR(__xludf.DUMMYFUNCTION("""COMPUTED_VALUE"""),1.303921568627451)</f>
        <v>1.303921569</v>
      </c>
      <c r="W487" s="57">
        <f>IFERROR(__xludf.DUMMYFUNCTION("""COMPUTED_VALUE"""),2.598039215686274)</f>
        <v>2.598039216</v>
      </c>
      <c r="X487" s="31">
        <f>IFERROR(__xludf.DUMMYFUNCTION("""COMPUTED_VALUE"""),338.3679837058167)</f>
        <v>338.3679837</v>
      </c>
      <c r="Y487" s="57">
        <f>IFERROR(__xludf.DUMMYFUNCTION("""COMPUTED_VALUE"""),0.786352544325454)</f>
        <v>0.7863525443</v>
      </c>
      <c r="Z487" s="57">
        <f>IFERROR(__xludf.DUMMYFUNCTION("""COMPUTED_VALUE"""),0.5110608590174086)</f>
        <v>0.511060859</v>
      </c>
      <c r="AA487" s="57">
        <f>IFERROR(__xludf.DUMMYFUNCTION("""COMPUTED_VALUE"""),1.265193007899904)</f>
        <v>1.265193008</v>
      </c>
      <c r="AB487" s="57">
        <f>IFERROR(__xludf.DUMMYFUNCTION("""COMPUTED_VALUE"""),2.5119147267948003)</f>
        <v>2.511914727</v>
      </c>
      <c r="AC487" s="31">
        <f>IFERROR(__xludf.DUMMYFUNCTION("""COMPUTED_VALUE"""),337.7658570949881)</f>
        <v>337.7658571</v>
      </c>
      <c r="AD487" s="57">
        <f>IFERROR(__xludf.DUMMYFUNCTION("""COMPUTED_VALUE"""),0.8134021324060473)</f>
        <v>0.8134021324</v>
      </c>
      <c r="AE487" s="57">
        <f>IFERROR(__xludf.DUMMYFUNCTION("""COMPUTED_VALUE"""),0.5274092746594763)</f>
        <v>0.5274092747</v>
      </c>
      <c r="AF487" s="57">
        <f>IFERROR(__xludf.DUMMYFUNCTION("""COMPUTED_VALUE"""),1.2089098604638728)</f>
        <v>1.20890986</v>
      </c>
      <c r="AG487" s="57">
        <f>IFERROR(__xludf.DUMMYFUNCTION("""COMPUTED_VALUE"""),2.518514722723024)</f>
        <v>2.518514723</v>
      </c>
      <c r="AH487" s="57">
        <f>IFERROR(__xludf.DUMMYFUNCTION("""COMPUTED_VALUE"""),1.1461124294453375)</f>
        <v>1.146112429</v>
      </c>
      <c r="AI487" s="57">
        <f>IFERROR(__xludf.DUMMYFUNCTION("""COMPUTED_VALUE"""),1.337881044027561)</f>
        <v>1.337881044</v>
      </c>
      <c r="AJ487" s="57">
        <f>IFERROR(__xludf.DUMMYFUNCTION("""COMPUTED_VALUE"""),0.8364973689040309)</f>
        <v>0.8364973689</v>
      </c>
      <c r="AK487" s="57">
        <f>IFERROR(__xludf.DUMMYFUNCTION("""COMPUTED_VALUE"""),1.119141484999923)</f>
        <v>1.119141485</v>
      </c>
      <c r="AL487" s="57">
        <f>IFERROR(__xludf.DUMMYFUNCTION("""COMPUTED_VALUE"""),1.2028564841703508)</f>
        <v>1.202856484</v>
      </c>
      <c r="AM487" s="57">
        <f>IFERROR(__xludf.DUMMYFUNCTION("""COMPUTED_VALUE"""),1.0332468315406211)</f>
        <v>1.033246832</v>
      </c>
      <c r="AN487" s="57">
        <f>IFERROR(__xludf.DUMMYFUNCTION("""COMPUTED_VALUE"""),1.0223424269798327)</f>
        <v>1.022342427</v>
      </c>
      <c r="AO487" s="57">
        <f>IFERROR(__xludf.DUMMYFUNCTION("""COMPUTED_VALUE"""),1.1510083070118455)</f>
        <v>1.151008307</v>
      </c>
      <c r="AP487" s="35">
        <f>IFERROR(__xludf.DUMMYFUNCTION("""COMPUTED_VALUE"""),1.0306107925713506)</f>
        <v>1.030610793</v>
      </c>
      <c r="AQ487" s="57">
        <f>IFERROR(__xludf.DUMMYFUNCTION("""COMPUTED_VALUE"""),1.0342863903669886)</f>
        <v>1.03428639</v>
      </c>
      <c r="AR487" s="36" t="b">
        <f>IFERROR(__xludf.DUMMYFUNCTION("""COMPUTED_VALUE"""),TRUE)</f>
        <v>1</v>
      </c>
      <c r="AS487" s="57"/>
      <c r="AT487" s="37"/>
      <c r="AU487" s="30"/>
      <c r="AV487" s="30"/>
      <c r="AW487" s="30"/>
      <c r="AX487" s="30"/>
      <c r="AY487" s="30"/>
      <c r="AZ487" s="30"/>
    </row>
    <row r="488">
      <c r="A488" s="30" t="str">
        <f>IFERROR(__xludf.DUMMYFUNCTION("""COMPUTED_VALUE"""),"Prospect")</f>
        <v>Prospect</v>
      </c>
      <c r="B488" s="30" t="str">
        <f>IFERROR(__xludf.DUMMYFUNCTION("""COMPUTED_VALUE"""),"RSC007453")</f>
        <v>RSC007453</v>
      </c>
      <c r="C488" s="30" t="str">
        <f>IFERROR(__xludf.DUMMYFUNCTION("""COMPUTED_VALUE"""),"TheDoy420")</f>
        <v>TheDoy420</v>
      </c>
      <c r="D488" s="31" t="str">
        <f>IFERROR(__xludf.DUMMYFUNCTION("""COMPUTED_VALUE"""),"Emus")</f>
        <v>Emus</v>
      </c>
      <c r="E488" s="31">
        <f>IFERROR(__xludf.DUMMYFUNCTION("""COMPUTED_VALUE"""),71.3011941208222)</f>
        <v>71.30119412</v>
      </c>
      <c r="F488" s="31">
        <f>IFERROR(__xludf.DUMMYFUNCTION("""COMPUTED_VALUE"""),5.073726549439607)</f>
        <v>5.073726549</v>
      </c>
      <c r="G488" s="31">
        <f>IFERROR(__xludf.DUMMYFUNCTION("""COMPUTED_VALUE"""),63.47406769776014)</f>
        <v>63.4740677</v>
      </c>
      <c r="H488" s="31">
        <f>IFERROR(__xludf.DUMMYFUNCTION("""COMPUTED_VALUE"""),3.390332814097052)</f>
        <v>3.390332814</v>
      </c>
      <c r="I488" s="54">
        <f>IFERROR(__xludf.DUMMYFUNCTION("""COMPUTED_VALUE"""),33.0)</f>
        <v>33</v>
      </c>
      <c r="J488" s="55">
        <f>IFERROR(__xludf.DUMMYFUNCTION("""COMPUTED_VALUE"""),18.0)</f>
        <v>18</v>
      </c>
      <c r="K488" s="54">
        <f>IFERROR(__xludf.DUMMYFUNCTION("""COMPUTED_VALUE"""),15.0)</f>
        <v>15</v>
      </c>
      <c r="L488" s="56">
        <f>IFERROR(__xludf.DUMMYFUNCTION("""COMPUTED_VALUE"""),0.5454545454545454)</f>
        <v>0.5454545455</v>
      </c>
      <c r="M488" s="56">
        <f>IFERROR(__xludf.DUMMYFUNCTION("""COMPUTED_VALUE"""),0.25510204081632654)</f>
        <v>0.2551020408</v>
      </c>
      <c r="N488" s="31">
        <f>IFERROR(__xludf.DUMMYFUNCTION("""COMPUTED_VALUE"""),373.93939393939394)</f>
        <v>373.9393939</v>
      </c>
      <c r="O488" s="57">
        <f>IFERROR(__xludf.DUMMYFUNCTION("""COMPUTED_VALUE"""),0.7575757575757576)</f>
        <v>0.7575757576</v>
      </c>
      <c r="P488" s="57">
        <f>IFERROR(__xludf.DUMMYFUNCTION("""COMPUTED_VALUE"""),0.6666666666666666)</f>
        <v>0.6666666667</v>
      </c>
      <c r="Q488" s="57">
        <f>IFERROR(__xludf.DUMMYFUNCTION("""COMPUTED_VALUE"""),1.5454545454545454)</f>
        <v>1.545454545</v>
      </c>
      <c r="R488" s="57">
        <f>IFERROR(__xludf.DUMMYFUNCTION("""COMPUTED_VALUE"""),2.9696969696969697)</f>
        <v>2.96969697</v>
      </c>
      <c r="S488" s="31">
        <f>IFERROR(__xludf.DUMMYFUNCTION("""COMPUTED_VALUE"""),338.2020202020202)</f>
        <v>338.2020202</v>
      </c>
      <c r="T488" s="57">
        <f>IFERROR(__xludf.DUMMYFUNCTION("""COMPUTED_VALUE"""),0.7171717171717171)</f>
        <v>0.7171717172</v>
      </c>
      <c r="U488" s="57">
        <f>IFERROR(__xludf.DUMMYFUNCTION("""COMPUTED_VALUE"""),0.4444444444444444)</f>
        <v>0.4444444444</v>
      </c>
      <c r="V488" s="57">
        <f>IFERROR(__xludf.DUMMYFUNCTION("""COMPUTED_VALUE"""),1.4848484848484849)</f>
        <v>1.484848485</v>
      </c>
      <c r="W488" s="57">
        <f>IFERROR(__xludf.DUMMYFUNCTION("""COMPUTED_VALUE"""),2.333333333333334)</f>
        <v>2.333333333</v>
      </c>
      <c r="X488" s="31">
        <f>IFERROR(__xludf.DUMMYFUNCTION("""COMPUTED_VALUE"""),339.37653974063784)</f>
        <v>339.3765397</v>
      </c>
      <c r="Y488" s="57">
        <f>IFERROR(__xludf.DUMMYFUNCTION("""COMPUTED_VALUE"""),0.8001688712240703)</f>
        <v>0.8001688712</v>
      </c>
      <c r="Z488" s="57">
        <f>IFERROR(__xludf.DUMMYFUNCTION("""COMPUTED_VALUE"""),0.5051749325884861)</f>
        <v>0.5051749326</v>
      </c>
      <c r="AA488" s="57">
        <f>IFERROR(__xludf.DUMMYFUNCTION("""COMPUTED_VALUE"""),1.2532743015586725)</f>
        <v>1.253274302</v>
      </c>
      <c r="AB488" s="57">
        <f>IFERROR(__xludf.DUMMYFUNCTION("""COMPUTED_VALUE"""),2.4704221390958083)</f>
        <v>2.470422139</v>
      </c>
      <c r="AC488" s="31">
        <f>IFERROR(__xludf.DUMMYFUNCTION("""COMPUTED_VALUE"""),333.81024820740686)</f>
        <v>333.8102482</v>
      </c>
      <c r="AD488" s="57">
        <f>IFERROR(__xludf.DUMMYFUNCTION("""COMPUTED_VALUE"""),0.7871351702266498)</f>
        <v>0.7871351702</v>
      </c>
      <c r="AE488" s="57">
        <f>IFERROR(__xludf.DUMMYFUNCTION("""COMPUTED_VALUE"""),0.5349095846678401)</f>
        <v>0.5349095847</v>
      </c>
      <c r="AF488" s="57">
        <f>IFERROR(__xludf.DUMMYFUNCTION("""COMPUTED_VALUE"""),1.194363908246979)</f>
        <v>1.194363908</v>
      </c>
      <c r="AG488" s="57">
        <f>IFERROR(__xludf.DUMMYFUNCTION("""COMPUTED_VALUE"""),2.451891877302239)</f>
        <v>2.451891877</v>
      </c>
      <c r="AH488" s="57">
        <f>IFERROR(__xludf.DUMMYFUNCTION("""COMPUTED_VALUE"""),1.1202154396022423)</f>
        <v>1.12021544</v>
      </c>
      <c r="AI488" s="57">
        <f>IFERROR(__xludf.DUMMYFUNCTION("""COMPUTED_VALUE"""),0.9624468404297309)</f>
        <v>0.9624468404</v>
      </c>
      <c r="AJ488" s="57">
        <f>IFERROR(__xludf.DUMMYFUNCTION("""COMPUTED_VALUE"""),1.246316547273392)</f>
        <v>1.246316547</v>
      </c>
      <c r="AK488" s="57">
        <f>IFERROR(__xludf.DUMMYFUNCTION("""COMPUTED_VALUE"""),1.2939561676163487)</f>
        <v>1.293956168</v>
      </c>
      <c r="AL488" s="57">
        <f>IFERROR(__xludf.DUMMYFUNCTION("""COMPUTED_VALUE"""),1.2111859406151546)</f>
        <v>1.211185941</v>
      </c>
      <c r="AM488" s="57">
        <f>IFERROR(__xludf.DUMMYFUNCTION("""COMPUTED_VALUE"""),0.9965391846486642)</f>
        <v>0.9965391846</v>
      </c>
      <c r="AN488" s="57">
        <f>IFERROR(__xludf.DUMMYFUNCTION("""COMPUTED_VALUE"""),0.8962754525486764)</f>
        <v>0.8962754525</v>
      </c>
      <c r="AO488" s="57">
        <f>IFERROR(__xludf.DUMMYFUNCTION("""COMPUTED_VALUE"""),0.8797832508575548)</f>
        <v>0.8797832509</v>
      </c>
      <c r="AP488" s="35">
        <f>IFERROR(__xludf.DUMMYFUNCTION("""COMPUTED_VALUE"""),1.1847753384887953)</f>
        <v>1.184775338</v>
      </c>
      <c r="AQ488" s="57">
        <f>IFERROR(__xludf.DUMMYFUNCTION("""COMPUTED_VALUE"""),0.9445079431596052)</f>
        <v>0.9445079432</v>
      </c>
      <c r="AR488" s="36" t="b">
        <f>IFERROR(__xludf.DUMMYFUNCTION("""COMPUTED_VALUE"""),TRUE)</f>
        <v>1</v>
      </c>
      <c r="AS488" s="57"/>
      <c r="AT488" s="37"/>
      <c r="AU488" s="30"/>
      <c r="AV488" s="30"/>
      <c r="AW488" s="30"/>
      <c r="AX488" s="30"/>
      <c r="AY488" s="30"/>
      <c r="AZ488" s="30"/>
    </row>
    <row r="489">
      <c r="A489" s="30" t="str">
        <f>IFERROR(__xludf.DUMMYFUNCTION("""COMPUTED_VALUE"""),"Prospect")</f>
        <v>Prospect</v>
      </c>
      <c r="B489" s="30" t="str">
        <f>IFERROR(__xludf.DUMMYFUNCTION("""COMPUTED_VALUE"""),"RSC007442")</f>
        <v>RSC007442</v>
      </c>
      <c r="C489" s="30" t="str">
        <f>IFERROR(__xludf.DUMMYFUNCTION("""COMPUTED_VALUE"""),"willbong")</f>
        <v>willbong</v>
      </c>
      <c r="D489" s="31" t="str">
        <f>IFERROR(__xludf.DUMMYFUNCTION("""COMPUTED_VALUE"""),"Mop Tops")</f>
        <v>Mop Tops</v>
      </c>
      <c r="E489" s="31">
        <f>IFERROR(__xludf.DUMMYFUNCTION("""COMPUTED_VALUE"""),68.7950734863443)</f>
        <v>68.79507349</v>
      </c>
      <c r="F489" s="31">
        <f>IFERROR(__xludf.DUMMYFUNCTION("""COMPUTED_VALUE"""),4.423119366655075)</f>
        <v>4.423119367</v>
      </c>
      <c r="G489" s="31">
        <f>IFERROR(__xludf.DUMMYFUNCTION("""COMPUTED_VALUE"""),62.67537248297617)</f>
        <v>62.67537248</v>
      </c>
      <c r="H489" s="31">
        <f>IFERROR(__xludf.DUMMYFUNCTION("""COMPUTED_VALUE"""),3.2672031568668385)</f>
        <v>3.267203157</v>
      </c>
      <c r="I489" s="54">
        <f>IFERROR(__xludf.DUMMYFUNCTION("""COMPUTED_VALUE"""),32.0)</f>
        <v>32</v>
      </c>
      <c r="J489" s="55">
        <f>IFERROR(__xludf.DUMMYFUNCTION("""COMPUTED_VALUE"""),17.0)</f>
        <v>17</v>
      </c>
      <c r="K489" s="54">
        <f>IFERROR(__xludf.DUMMYFUNCTION("""COMPUTED_VALUE"""),15.0)</f>
        <v>15</v>
      </c>
      <c r="L489" s="56">
        <f>IFERROR(__xludf.DUMMYFUNCTION("""COMPUTED_VALUE"""),0.53125)</f>
        <v>0.53125</v>
      </c>
      <c r="M489" s="56">
        <f>IFERROR(__xludf.DUMMYFUNCTION("""COMPUTED_VALUE"""),0.32098765432098764)</f>
        <v>0.3209876543</v>
      </c>
      <c r="N489" s="31">
        <f>IFERROR(__xludf.DUMMYFUNCTION("""COMPUTED_VALUE"""),346.15625)</f>
        <v>346.15625</v>
      </c>
      <c r="O489" s="57">
        <f>IFERROR(__xludf.DUMMYFUNCTION("""COMPUTED_VALUE"""),0.8125)</f>
        <v>0.8125</v>
      </c>
      <c r="P489" s="57">
        <f>IFERROR(__xludf.DUMMYFUNCTION("""COMPUTED_VALUE"""),0.71875)</f>
        <v>0.71875</v>
      </c>
      <c r="Q489" s="57">
        <f>IFERROR(__xludf.DUMMYFUNCTION("""COMPUTED_VALUE"""),1.21875)</f>
        <v>1.21875</v>
      </c>
      <c r="R489" s="57">
        <f>IFERROR(__xludf.DUMMYFUNCTION("""COMPUTED_VALUE"""),2.53125)</f>
        <v>2.53125</v>
      </c>
      <c r="S489" s="31">
        <f>IFERROR(__xludf.DUMMYFUNCTION("""COMPUTED_VALUE"""),337.28125000000006)</f>
        <v>337.28125</v>
      </c>
      <c r="T489" s="57">
        <f>IFERROR(__xludf.DUMMYFUNCTION("""COMPUTED_VALUE"""),0.7291666666666667)</f>
        <v>0.7291666667</v>
      </c>
      <c r="U489" s="57">
        <f>IFERROR(__xludf.DUMMYFUNCTION("""COMPUTED_VALUE"""),0.5208333333333333)</f>
        <v>0.5208333333</v>
      </c>
      <c r="V489" s="57">
        <f>IFERROR(__xludf.DUMMYFUNCTION("""COMPUTED_VALUE"""),1.2812500000000002)</f>
        <v>1.28125</v>
      </c>
      <c r="W489" s="57">
        <f>IFERROR(__xludf.DUMMYFUNCTION("""COMPUTED_VALUE"""),2.333333333333334)</f>
        <v>2.333333333</v>
      </c>
      <c r="X489" s="31">
        <f>IFERROR(__xludf.DUMMYFUNCTION("""COMPUTED_VALUE"""),336.29431649205907)</f>
        <v>336.2943165</v>
      </c>
      <c r="Y489" s="57">
        <f>IFERROR(__xludf.DUMMYFUNCTION("""COMPUTED_VALUE"""),0.8094857816837971)</f>
        <v>0.8094857817</v>
      </c>
      <c r="Z489" s="57">
        <f>IFERROR(__xludf.DUMMYFUNCTION("""COMPUTED_VALUE"""),0.5305843186898594)</f>
        <v>0.5305843187</v>
      </c>
      <c r="AA489" s="57">
        <f>IFERROR(__xludf.DUMMYFUNCTION("""COMPUTED_VALUE"""),1.1869748649911531)</f>
        <v>1.186974865</v>
      </c>
      <c r="AB489" s="57">
        <f>IFERROR(__xludf.DUMMYFUNCTION("""COMPUTED_VALUE"""),2.5213005899320655)</f>
        <v>2.52130059</v>
      </c>
      <c r="AC489" s="31">
        <f>IFERROR(__xludf.DUMMYFUNCTION("""COMPUTED_VALUE"""),334.46189975409027)</f>
        <v>334.4618998</v>
      </c>
      <c r="AD489" s="57">
        <f>IFERROR(__xludf.DUMMYFUNCTION("""COMPUTED_VALUE"""),0.7766438234920606)</f>
        <v>0.7766438235</v>
      </c>
      <c r="AE489" s="57">
        <f>IFERROR(__xludf.DUMMYFUNCTION("""COMPUTED_VALUE"""),0.5221053246022742)</f>
        <v>0.5221053246</v>
      </c>
      <c r="AF489" s="57">
        <f>IFERROR(__xludf.DUMMYFUNCTION("""COMPUTED_VALUE"""),1.2394980403237217)</f>
        <v>1.23949804</v>
      </c>
      <c r="AG489" s="57">
        <f>IFERROR(__xludf.DUMMYFUNCTION("""COMPUTED_VALUE"""),2.424481436083534)</f>
        <v>2.424481436</v>
      </c>
      <c r="AH489" s="57">
        <f>IFERROR(__xludf.DUMMYFUNCTION("""COMPUTED_VALUE"""),1.0349646708773343)</f>
        <v>1.034964671</v>
      </c>
      <c r="AI489" s="57">
        <f>IFERROR(__xludf.DUMMYFUNCTION("""COMPUTED_VALUE"""),1.0461681087563635)</f>
        <v>1.046168109</v>
      </c>
      <c r="AJ489" s="57">
        <f>IFERROR(__xludf.DUMMYFUNCTION("""COMPUTED_VALUE"""),1.3766379428279618)</f>
        <v>1.376637943</v>
      </c>
      <c r="AK489" s="57">
        <f>IFERROR(__xludf.DUMMYFUNCTION("""COMPUTED_VALUE"""),0.9832609333385449)</f>
        <v>0.9832609333</v>
      </c>
      <c r="AL489" s="57">
        <f>IFERROR(__xludf.DUMMYFUNCTION("""COMPUTED_VALUE"""),1.044037690834597)</f>
        <v>1.044037691</v>
      </c>
      <c r="AM489" s="57">
        <f>IFERROR(__xludf.DUMMYFUNCTION("""COMPUTED_VALUE"""),1.0029347314526034)</f>
        <v>1.002934731</v>
      </c>
      <c r="AN489" s="57">
        <f>IFERROR(__xludf.DUMMYFUNCTION("""COMPUTED_VALUE"""),0.9007776086566215)</f>
        <v>0.9007776087</v>
      </c>
      <c r="AO489" s="57">
        <f>IFERROR(__xludf.DUMMYFUNCTION("""COMPUTED_VALUE"""),0.9816221757540748)</f>
        <v>0.9816221758</v>
      </c>
      <c r="AP489" s="35">
        <f>IFERROR(__xludf.DUMMYFUNCTION("""COMPUTED_VALUE"""),1.07942471048833)</f>
        <v>1.07942471</v>
      </c>
      <c r="AQ489" s="57">
        <f>IFERROR(__xludf.DUMMYFUNCTION("""COMPUTED_VALUE"""),0.9254482954752348)</f>
        <v>0.9254482955</v>
      </c>
      <c r="AR489" s="36" t="b">
        <f>IFERROR(__xludf.DUMMYFUNCTION("""COMPUTED_VALUE"""),TRUE)</f>
        <v>1</v>
      </c>
      <c r="AS489" s="57"/>
      <c r="AT489" s="37"/>
      <c r="AU489" s="30"/>
      <c r="AV489" s="30"/>
      <c r="AW489" s="30"/>
      <c r="AX489" s="30"/>
      <c r="AY489" s="30"/>
      <c r="AZ489" s="30"/>
    </row>
    <row r="490">
      <c r="A490" s="30" t="str">
        <f>IFERROR(__xludf.DUMMYFUNCTION("""COMPUTED_VALUE"""),"Prospect")</f>
        <v>Prospect</v>
      </c>
      <c r="B490" s="30" t="str">
        <f>IFERROR(__xludf.DUMMYFUNCTION("""COMPUTED_VALUE"""),"RSC007092")</f>
        <v>RSC007092</v>
      </c>
      <c r="C490" s="30" t="str">
        <f>IFERROR(__xludf.DUMMYFUNCTION("""COMPUTED_VALUE"""),"Minjaaa")</f>
        <v>Minjaaa</v>
      </c>
      <c r="D490" s="31" t="str">
        <f>IFERROR(__xludf.DUMMYFUNCTION("""COMPUTED_VALUE"""),"Horizon Highball")</f>
        <v>Horizon Highball</v>
      </c>
      <c r="E490" s="31">
        <f>IFERROR(__xludf.DUMMYFUNCTION("""COMPUTED_VALUE"""),68.35994008143939)</f>
        <v>68.35994008</v>
      </c>
      <c r="F490" s="31">
        <f>IFERROR(__xludf.DUMMYFUNCTION("""COMPUTED_VALUE"""),4.322394927691266)</f>
        <v>4.322394928</v>
      </c>
      <c r="G490" s="31">
        <f>IFERROR(__xludf.DUMMYFUNCTION("""COMPUTED_VALUE"""),61.67317514767557)</f>
        <v>61.67317515</v>
      </c>
      <c r="H490" s="31">
        <f>IFERROR(__xludf.DUMMYFUNCTION("""COMPUTED_VALUE"""),3.1223065081979913)</f>
        <v>3.122306508</v>
      </c>
      <c r="I490" s="54">
        <f>IFERROR(__xludf.DUMMYFUNCTION("""COMPUTED_VALUE"""),25.0)</f>
        <v>25</v>
      </c>
      <c r="J490" s="55">
        <f>IFERROR(__xludf.DUMMYFUNCTION("""COMPUTED_VALUE"""),17.0)</f>
        <v>17</v>
      </c>
      <c r="K490" s="54">
        <f>IFERROR(__xludf.DUMMYFUNCTION("""COMPUTED_VALUE"""),8.0)</f>
        <v>8</v>
      </c>
      <c r="L490" s="56">
        <f>IFERROR(__xludf.DUMMYFUNCTION("""COMPUTED_VALUE"""),0.68)</f>
        <v>0.68</v>
      </c>
      <c r="M490" s="56">
        <f>IFERROR(__xludf.DUMMYFUNCTION("""COMPUTED_VALUE"""),0.31884057971014496)</f>
        <v>0.3188405797</v>
      </c>
      <c r="N490" s="31">
        <f>IFERROR(__xludf.DUMMYFUNCTION("""COMPUTED_VALUE"""),325.44)</f>
        <v>325.44</v>
      </c>
      <c r="O490" s="57">
        <f>IFERROR(__xludf.DUMMYFUNCTION("""COMPUTED_VALUE"""),0.88)</f>
        <v>0.88</v>
      </c>
      <c r="P490" s="57">
        <f>IFERROR(__xludf.DUMMYFUNCTION("""COMPUTED_VALUE"""),0.68)</f>
        <v>0.68</v>
      </c>
      <c r="Q490" s="57">
        <f>IFERROR(__xludf.DUMMYFUNCTION("""COMPUTED_VALUE"""),0.88)</f>
        <v>0.88</v>
      </c>
      <c r="R490" s="57">
        <f>IFERROR(__xludf.DUMMYFUNCTION("""COMPUTED_VALUE"""),2.76)</f>
        <v>2.76</v>
      </c>
      <c r="S490" s="31">
        <f>IFERROR(__xludf.DUMMYFUNCTION("""COMPUTED_VALUE"""),339.44)</f>
        <v>339.44</v>
      </c>
      <c r="T490" s="57">
        <f>IFERROR(__xludf.DUMMYFUNCTION("""COMPUTED_VALUE"""),0.6933333333333332)</f>
        <v>0.6933333333</v>
      </c>
      <c r="U490" s="57">
        <f>IFERROR(__xludf.DUMMYFUNCTION("""COMPUTED_VALUE"""),0.5066666666666666)</f>
        <v>0.5066666667</v>
      </c>
      <c r="V490" s="57">
        <f>IFERROR(__xludf.DUMMYFUNCTION("""COMPUTED_VALUE"""),1.56)</f>
        <v>1.56</v>
      </c>
      <c r="W490" s="57">
        <f>IFERROR(__xludf.DUMMYFUNCTION("""COMPUTED_VALUE"""),1.853333333333333)</f>
        <v>1.853333333</v>
      </c>
      <c r="X490" s="31">
        <f>IFERROR(__xludf.DUMMYFUNCTION("""COMPUTED_VALUE"""),329.7768069120413)</f>
        <v>329.7768069</v>
      </c>
      <c r="Y490" s="57">
        <f>IFERROR(__xludf.DUMMYFUNCTION("""COMPUTED_VALUE"""),0.7102797495987514)</f>
        <v>0.7102797496</v>
      </c>
      <c r="Z490" s="57">
        <f>IFERROR(__xludf.DUMMYFUNCTION("""COMPUTED_VALUE"""),0.478311953334457)</f>
        <v>0.4783119533</v>
      </c>
      <c r="AA490" s="57">
        <f>IFERROR(__xludf.DUMMYFUNCTION("""COMPUTED_VALUE"""),1.3189938296801282)</f>
        <v>1.31899383</v>
      </c>
      <c r="AB490" s="57">
        <f>IFERROR(__xludf.DUMMYFUNCTION("""COMPUTED_VALUE"""),2.2056472854899214)</f>
        <v>2.205647285</v>
      </c>
      <c r="AC490" s="31">
        <f>IFERROR(__xludf.DUMMYFUNCTION("""COMPUTED_VALUE"""),333.0768851132735)</f>
        <v>333.0768851</v>
      </c>
      <c r="AD490" s="57">
        <f>IFERROR(__xludf.DUMMYFUNCTION("""COMPUTED_VALUE"""),0.8141166762549343)</f>
        <v>0.8141166763</v>
      </c>
      <c r="AE490" s="57">
        <f>IFERROR(__xludf.DUMMYFUNCTION("""COMPUTED_VALUE"""),0.5415129056915721)</f>
        <v>0.5415129057</v>
      </c>
      <c r="AF490" s="57">
        <f>IFERROR(__xludf.DUMMYFUNCTION("""COMPUTED_VALUE"""),1.095253165350686)</f>
        <v>1.095253165</v>
      </c>
      <c r="AG490" s="57">
        <f>IFERROR(__xludf.DUMMYFUNCTION("""COMPUTED_VALUE"""),2.587789777593025)</f>
        <v>2.587789778</v>
      </c>
      <c r="AH490" s="57">
        <f>IFERROR(__xludf.DUMMYFUNCTION("""COMPUTED_VALUE"""),0.9770717048987764)</f>
        <v>0.9770717049</v>
      </c>
      <c r="AI490" s="57">
        <f>IFERROR(__xludf.DUMMYFUNCTION("""COMPUTED_VALUE"""),1.0809261444540597)</f>
        <v>1.080926144</v>
      </c>
      <c r="AJ490" s="57">
        <f>IFERROR(__xludf.DUMMYFUNCTION("""COMPUTED_VALUE"""),1.2557410781033271)</f>
        <v>1.255741078</v>
      </c>
      <c r="AK490" s="57">
        <f>IFERROR(__xludf.DUMMYFUNCTION("""COMPUTED_VALUE"""),0.8034672054275555)</f>
        <v>0.8034672054</v>
      </c>
      <c r="AL490" s="57">
        <f>IFERROR(__xludf.DUMMYFUNCTION("""COMPUTED_VALUE"""),1.0665472226137134)</f>
        <v>1.066547223</v>
      </c>
      <c r="AM490" s="57">
        <f>IFERROR(__xludf.DUMMYFUNCTION("""COMPUTED_VALUE"""),1.0293022216402747)</f>
        <v>1.029302222</v>
      </c>
      <c r="AN490" s="57">
        <f>IFERROR(__xludf.DUMMYFUNCTION("""COMPUTED_VALUE"""),0.9761412087631789)</f>
        <v>0.9761412088</v>
      </c>
      <c r="AO490" s="57">
        <f>IFERROR(__xludf.DUMMYFUNCTION("""COMPUTED_VALUE"""),1.0592807960046584)</f>
        <v>1.059280796</v>
      </c>
      <c r="AP490" s="35">
        <f>IFERROR(__xludf.DUMMYFUNCTION("""COMPUTED_VALUE"""),1.1827197102038898)</f>
        <v>1.18271971</v>
      </c>
      <c r="AQ490" s="57">
        <f>IFERROR(__xludf.DUMMYFUNCTION("""COMPUTED_VALUE"""),0.840267319949875)</f>
        <v>0.8402673199</v>
      </c>
      <c r="AR490" s="36" t="b">
        <f>IFERROR(__xludf.DUMMYFUNCTION("""COMPUTED_VALUE"""),TRUE)</f>
        <v>1</v>
      </c>
      <c r="AS490" s="57"/>
      <c r="AT490" s="37"/>
      <c r="AU490" s="30"/>
      <c r="AV490" s="30"/>
      <c r="AW490" s="30"/>
      <c r="AX490" s="30"/>
      <c r="AY490" s="30"/>
      <c r="AZ490" s="30"/>
    </row>
    <row r="491">
      <c r="A491" s="30" t="str">
        <f>IFERROR(__xludf.DUMMYFUNCTION("""COMPUTED_VALUE"""),"Prospect")</f>
        <v>Prospect</v>
      </c>
      <c r="B491" s="30" t="str">
        <f>IFERROR(__xludf.DUMMYFUNCTION("""COMPUTED_VALUE"""),"RSC007431")</f>
        <v>RSC007431</v>
      </c>
      <c r="C491" s="30" t="str">
        <f>IFERROR(__xludf.DUMMYFUNCTION("""COMPUTED_VALUE"""),"xPotatodactylx")</f>
        <v>xPotatodactylx</v>
      </c>
      <c r="D491" s="31" t="str">
        <f>IFERROR(__xludf.DUMMYFUNCTION("""COMPUTED_VALUE"""),"Hawaiian Pizza")</f>
        <v>Hawaiian Pizza</v>
      </c>
      <c r="E491" s="31">
        <f>IFERROR(__xludf.DUMMYFUNCTION("""COMPUTED_VALUE"""),66.52734365257936)</f>
        <v>66.52734365</v>
      </c>
      <c r="F491" s="31">
        <f>IFERROR(__xludf.DUMMYFUNCTION("""COMPUTED_VALUE"""),3.932732995664811)</f>
        <v>3.932732996</v>
      </c>
      <c r="G491" s="31">
        <f>IFERROR(__xludf.DUMMYFUNCTION("""COMPUTED_VALUE"""),55.2681821986175)</f>
        <v>55.2681822</v>
      </c>
      <c r="H491" s="31">
        <f>IFERROR(__xludf.DUMMYFUNCTION("""COMPUTED_VALUE"""),2.4006719576707183)</f>
        <v>2.400671958</v>
      </c>
      <c r="I491" s="54">
        <f>IFERROR(__xludf.DUMMYFUNCTION("""COMPUTED_VALUE"""),31.0)</f>
        <v>31</v>
      </c>
      <c r="J491" s="55">
        <f>IFERROR(__xludf.DUMMYFUNCTION("""COMPUTED_VALUE"""),21.0)</f>
        <v>21</v>
      </c>
      <c r="K491" s="54">
        <f>IFERROR(__xludf.DUMMYFUNCTION("""COMPUTED_VALUE"""),10.0)</f>
        <v>10</v>
      </c>
      <c r="L491" s="56">
        <f>IFERROR(__xludf.DUMMYFUNCTION("""COMPUTED_VALUE"""),0.6774193548387096)</f>
        <v>0.6774193548</v>
      </c>
      <c r="M491" s="56">
        <f>IFERROR(__xludf.DUMMYFUNCTION("""COMPUTED_VALUE"""),0.3424657534246575)</f>
        <v>0.3424657534</v>
      </c>
      <c r="N491" s="31">
        <f>IFERROR(__xludf.DUMMYFUNCTION("""COMPUTED_VALUE"""),334.61290322580646)</f>
        <v>334.6129032</v>
      </c>
      <c r="O491" s="57">
        <f>IFERROR(__xludf.DUMMYFUNCTION("""COMPUTED_VALUE"""),0.8064516129032258)</f>
        <v>0.8064516129</v>
      </c>
      <c r="P491" s="57">
        <f>IFERROR(__xludf.DUMMYFUNCTION("""COMPUTED_VALUE"""),0.7419354838709677)</f>
        <v>0.7419354839</v>
      </c>
      <c r="Q491" s="57">
        <f>IFERROR(__xludf.DUMMYFUNCTION("""COMPUTED_VALUE"""),1.2258064516129032)</f>
        <v>1.225806452</v>
      </c>
      <c r="R491" s="57">
        <f>IFERROR(__xludf.DUMMYFUNCTION("""COMPUTED_VALUE"""),2.3548387096774195)</f>
        <v>2.35483871</v>
      </c>
      <c r="S491" s="31">
        <f>IFERROR(__xludf.DUMMYFUNCTION("""COMPUTED_VALUE"""),311.54838709677426)</f>
        <v>311.5483871</v>
      </c>
      <c r="T491" s="57">
        <f>IFERROR(__xludf.DUMMYFUNCTION("""COMPUTED_VALUE"""),0.6129032258064516)</f>
        <v>0.6129032258</v>
      </c>
      <c r="U491" s="57">
        <f>IFERROR(__xludf.DUMMYFUNCTION("""COMPUTED_VALUE"""),0.4408602150537635)</f>
        <v>0.4408602151</v>
      </c>
      <c r="V491" s="57">
        <f>IFERROR(__xludf.DUMMYFUNCTION("""COMPUTED_VALUE"""),1.1935483870967745)</f>
        <v>1.193548387</v>
      </c>
      <c r="W491" s="57">
        <f>IFERROR(__xludf.DUMMYFUNCTION("""COMPUTED_VALUE"""),2.279569892473119)</f>
        <v>2.279569892</v>
      </c>
      <c r="X491" s="31">
        <f>IFERROR(__xludf.DUMMYFUNCTION("""COMPUTED_VALUE"""),323.3456102903271)</f>
        <v>323.3456103</v>
      </c>
      <c r="Y491" s="57">
        <f>IFERROR(__xludf.DUMMYFUNCTION("""COMPUTED_VALUE"""),0.7172890724497918)</f>
        <v>0.7172890724</v>
      </c>
      <c r="Z491" s="57">
        <f>IFERROR(__xludf.DUMMYFUNCTION("""COMPUTED_VALUE"""),0.4923785792388391)</f>
        <v>0.4923785792</v>
      </c>
      <c r="AA491" s="57">
        <f>IFERROR(__xludf.DUMMYFUNCTION("""COMPUTED_VALUE"""),1.1804611807095002)</f>
        <v>1.180461181</v>
      </c>
      <c r="AB491" s="57">
        <f>IFERROR(__xludf.DUMMYFUNCTION("""COMPUTED_VALUE"""),2.369003828928814)</f>
        <v>2.369003829</v>
      </c>
      <c r="AC491" s="31">
        <f>IFERROR(__xludf.DUMMYFUNCTION("""COMPUTED_VALUE"""),336.61567575280014)</f>
        <v>336.6156758</v>
      </c>
      <c r="AD491" s="57">
        <f>IFERROR(__xludf.DUMMYFUNCTION("""COMPUTED_VALUE"""),0.8310202142842161)</f>
        <v>0.8310202143</v>
      </c>
      <c r="AE491" s="57">
        <f>IFERROR(__xludf.DUMMYFUNCTION("""COMPUTED_VALUE"""),0.5375392752907177)</f>
        <v>0.5375392753</v>
      </c>
      <c r="AF491" s="57">
        <f>IFERROR(__xludf.DUMMYFUNCTION("""COMPUTED_VALUE"""),1.2001925039267178)</f>
        <v>1.200192504</v>
      </c>
      <c r="AG491" s="57">
        <f>IFERROR(__xludf.DUMMYFUNCTION("""COMPUTED_VALUE"""),2.437859336291404)</f>
        <v>2.437859336</v>
      </c>
      <c r="AH491" s="57">
        <f>IFERROR(__xludf.DUMMYFUNCTION("""COMPUTED_VALUE"""),0.9940502695766775)</f>
        <v>0.9940502696</v>
      </c>
      <c r="AI491" s="57">
        <f>IFERROR(__xludf.DUMMYFUNCTION("""COMPUTED_VALUE"""),0.9704356152128597)</f>
        <v>0.9704356152</v>
      </c>
      <c r="AJ491" s="57">
        <f>IFERROR(__xludf.DUMMYFUNCTION("""COMPUTED_VALUE"""),1.3802442314000338)</f>
        <v>1.380244231</v>
      </c>
      <c r="AK491" s="57">
        <f>IFERROR(__xludf.DUMMYFUNCTION("""COMPUTED_VALUE"""),1.0213415327977664)</f>
        <v>1.021341533</v>
      </c>
      <c r="AL491" s="57">
        <f>IFERROR(__xludf.DUMMYFUNCTION("""COMPUTED_VALUE"""),0.9659452760960853)</f>
        <v>0.9659452761</v>
      </c>
      <c r="AM491" s="57">
        <f>IFERROR(__xludf.DUMMYFUNCTION("""COMPUTED_VALUE"""),0.9635151280298493)</f>
        <v>0.963515128</v>
      </c>
      <c r="AN491" s="57">
        <f>IFERROR(__xludf.DUMMYFUNCTION("""COMPUTED_VALUE"""),0.8544717176760742)</f>
        <v>0.8544717177</v>
      </c>
      <c r="AO491" s="57">
        <f>IFERROR(__xludf.DUMMYFUNCTION("""COMPUTED_VALUE"""),0.8953683885584196)</f>
        <v>0.8953683886</v>
      </c>
      <c r="AP491" s="35">
        <f>IFERROR(__xludf.DUMMYFUNCTION("""COMPUTED_VALUE"""),1.0110865199136903)</f>
        <v>1.01108652</v>
      </c>
      <c r="AQ491" s="57">
        <f>IFERROR(__xludf.DUMMYFUNCTION("""COMPUTED_VALUE"""),0.9622482938340653)</f>
        <v>0.9622482938</v>
      </c>
      <c r="AR491" s="36" t="b">
        <f>IFERROR(__xludf.DUMMYFUNCTION("""COMPUTED_VALUE"""),TRUE)</f>
        <v>1</v>
      </c>
      <c r="AS491" s="57"/>
      <c r="AT491" s="37"/>
      <c r="AU491" s="30"/>
      <c r="AV491" s="30"/>
      <c r="AW491" s="30"/>
      <c r="AX491" s="30"/>
      <c r="AY491" s="30"/>
      <c r="AZ491" s="30"/>
    </row>
    <row r="492">
      <c r="A492" s="30" t="str">
        <f>IFERROR(__xludf.DUMMYFUNCTION("""COMPUTED_VALUE"""),"Prospect")</f>
        <v>Prospect</v>
      </c>
      <c r="B492" s="30" t="str">
        <f>IFERROR(__xludf.DUMMYFUNCTION("""COMPUTED_VALUE"""),"RSC007202")</f>
        <v>RSC007202</v>
      </c>
      <c r="C492" s="30" t="str">
        <f>IFERROR(__xludf.DUMMYFUNCTION("""COMPUTED_VALUE"""),"GreatHonda")</f>
        <v>GreatHonda</v>
      </c>
      <c r="D492" s="31" t="str">
        <f>IFERROR(__xludf.DUMMYFUNCTION("""COMPUTED_VALUE"""),"Horizon Highball")</f>
        <v>Horizon Highball</v>
      </c>
      <c r="E492" s="31">
        <f>IFERROR(__xludf.DUMMYFUNCTION("""COMPUTED_VALUE"""),66.11490013443488)</f>
        <v>66.11490013</v>
      </c>
      <c r="F492" s="31">
        <f>IFERROR(__xludf.DUMMYFUNCTION("""COMPUTED_VALUE"""),3.852161557087978)</f>
        <v>3.852161557</v>
      </c>
      <c r="G492" s="31">
        <f>IFERROR(__xludf.DUMMYFUNCTION("""COMPUTED_VALUE"""),65.24401304840443)</f>
        <v>65.24401305</v>
      </c>
      <c r="H492" s="31">
        <f>IFERROR(__xludf.DUMMYFUNCTION("""COMPUTED_VALUE"""),3.6898976342870426)</f>
        <v>3.689897634</v>
      </c>
      <c r="I492" s="54">
        <f>IFERROR(__xludf.DUMMYFUNCTION("""COMPUTED_VALUE"""),26.0)</f>
        <v>26</v>
      </c>
      <c r="J492" s="55">
        <f>IFERROR(__xludf.DUMMYFUNCTION("""COMPUTED_VALUE"""),18.0)</f>
        <v>18</v>
      </c>
      <c r="K492" s="54">
        <f>IFERROR(__xludf.DUMMYFUNCTION("""COMPUTED_VALUE"""),8.0)</f>
        <v>8</v>
      </c>
      <c r="L492" s="56">
        <f>IFERROR(__xludf.DUMMYFUNCTION("""COMPUTED_VALUE"""),0.6923076923076923)</f>
        <v>0.6923076923</v>
      </c>
      <c r="M492" s="56">
        <f>IFERROR(__xludf.DUMMYFUNCTION("""COMPUTED_VALUE"""),0.29411764705882354)</f>
        <v>0.2941176471</v>
      </c>
      <c r="N492" s="31">
        <f>IFERROR(__xludf.DUMMYFUNCTION("""COMPUTED_VALUE"""),338.0)</f>
        <v>338</v>
      </c>
      <c r="O492" s="57">
        <f>IFERROR(__xludf.DUMMYFUNCTION("""COMPUTED_VALUE"""),0.7692307692307693)</f>
        <v>0.7692307692</v>
      </c>
      <c r="P492" s="57">
        <f>IFERROR(__xludf.DUMMYFUNCTION("""COMPUTED_VALUE"""),0.6538461538461539)</f>
        <v>0.6538461538</v>
      </c>
      <c r="Q492" s="57">
        <f>IFERROR(__xludf.DUMMYFUNCTION("""COMPUTED_VALUE"""),1.0)</f>
        <v>1</v>
      </c>
      <c r="R492" s="57">
        <f>IFERROR(__xludf.DUMMYFUNCTION("""COMPUTED_VALUE"""),2.6153846153846154)</f>
        <v>2.615384615</v>
      </c>
      <c r="S492" s="31">
        <f>IFERROR(__xludf.DUMMYFUNCTION("""COMPUTED_VALUE"""),324.14102564102564)</f>
        <v>324.1410256</v>
      </c>
      <c r="T492" s="57">
        <f>IFERROR(__xludf.DUMMYFUNCTION("""COMPUTED_VALUE"""),0.6153846153846154)</f>
        <v>0.6153846154</v>
      </c>
      <c r="U492" s="57">
        <f>IFERROR(__xludf.DUMMYFUNCTION("""COMPUTED_VALUE"""),0.4487179487179488)</f>
        <v>0.4487179487</v>
      </c>
      <c r="V492" s="57">
        <f>IFERROR(__xludf.DUMMYFUNCTION("""COMPUTED_VALUE"""),1.3461538461538463)</f>
        <v>1.346153846</v>
      </c>
      <c r="W492" s="57">
        <f>IFERROR(__xludf.DUMMYFUNCTION("""COMPUTED_VALUE"""),1.858974358974359)</f>
        <v>1.858974359</v>
      </c>
      <c r="X492" s="31">
        <f>IFERROR(__xludf.DUMMYFUNCTION("""COMPUTED_VALUE"""),329.0548396542637)</f>
        <v>329.0548397</v>
      </c>
      <c r="Y492" s="57">
        <f>IFERROR(__xludf.DUMMYFUNCTION("""COMPUTED_VALUE"""),0.7374689310356455)</f>
        <v>0.737468931</v>
      </c>
      <c r="Z492" s="57">
        <f>IFERROR(__xludf.DUMMYFUNCTION("""COMPUTED_VALUE"""),0.4939697227078158)</f>
        <v>0.4939697227</v>
      </c>
      <c r="AA492" s="57">
        <f>IFERROR(__xludf.DUMMYFUNCTION("""COMPUTED_VALUE"""),1.2398089702448882)</f>
        <v>1.23980897</v>
      </c>
      <c r="AB492" s="57">
        <f>IFERROR(__xludf.DUMMYFUNCTION("""COMPUTED_VALUE"""),2.30877029653703)</f>
        <v>2.308770297</v>
      </c>
      <c r="AC492" s="31">
        <f>IFERROR(__xludf.DUMMYFUNCTION("""COMPUTED_VALUE"""),335.60500222269417)</f>
        <v>335.6050022</v>
      </c>
      <c r="AD492" s="57">
        <f>IFERROR(__xludf.DUMMYFUNCTION("""COMPUTED_VALUE"""),0.7966274554646025)</f>
        <v>0.7966274555</v>
      </c>
      <c r="AE492" s="57">
        <f>IFERROR(__xludf.DUMMYFUNCTION("""COMPUTED_VALUE"""),0.5323547043318309)</f>
        <v>0.5323547043</v>
      </c>
      <c r="AF492" s="57">
        <f>IFERROR(__xludf.DUMMYFUNCTION("""COMPUTED_VALUE"""),1.1845523320677491)</f>
        <v>1.184552332</v>
      </c>
      <c r="AG492" s="57">
        <f>IFERROR(__xludf.DUMMYFUNCTION("""COMPUTED_VALUE"""),2.4967282312161916)</f>
        <v>2.496728231</v>
      </c>
      <c r="AH492" s="57">
        <f>IFERROR(__xludf.DUMMYFUNCTION("""COMPUTED_VALUE"""),1.007136358997762)</f>
        <v>1.007136359</v>
      </c>
      <c r="AI492" s="57">
        <f>IFERROR(__xludf.DUMMYFUNCTION("""COMPUTED_VALUE"""),0.9656091614142835)</f>
        <v>0.9656091614</v>
      </c>
      <c r="AJ492" s="57">
        <f>IFERROR(__xludf.DUMMYFUNCTION("""COMPUTED_VALUE"""),1.2282152266632251)</f>
        <v>1.228215227</v>
      </c>
      <c r="AK492" s="57">
        <f>IFERROR(__xludf.DUMMYFUNCTION("""COMPUTED_VALUE"""),0.8442007777355051)</f>
        <v>0.8442007777</v>
      </c>
      <c r="AL492" s="57">
        <f>IFERROR(__xludf.DUMMYFUNCTION("""COMPUTED_VALUE"""),1.0475247496643336)</f>
        <v>1.04752475</v>
      </c>
      <c r="AM492" s="57">
        <f>IFERROR(__xludf.DUMMYFUNCTION("""COMPUTED_VALUE"""),0.9850668842360716)</f>
        <v>0.9850668842</v>
      </c>
      <c r="AN492" s="57">
        <f>IFERROR(__xludf.DUMMYFUNCTION("""COMPUTED_VALUE"""),0.8344549708967616)</f>
        <v>0.8344549709</v>
      </c>
      <c r="AO492" s="57">
        <f>IFERROR(__xludf.DUMMYFUNCTION("""COMPUTED_VALUE"""),0.9083916039594323)</f>
        <v>0.908391604</v>
      </c>
      <c r="AP492" s="35">
        <f>IFERROR(__xludf.DUMMYFUNCTION("""COMPUTED_VALUE"""),1.0857752109084617)</f>
        <v>1.085775211</v>
      </c>
      <c r="AQ492" s="57">
        <f>IFERROR(__xludf.DUMMYFUNCTION("""COMPUTED_VALUE"""),0.8051794332951491)</f>
        <v>0.8051794333</v>
      </c>
      <c r="AR492" s="36" t="b">
        <f>IFERROR(__xludf.DUMMYFUNCTION("""COMPUTED_VALUE"""),TRUE)</f>
        <v>1</v>
      </c>
      <c r="AS492" s="57"/>
      <c r="AT492" s="37"/>
      <c r="AU492" s="30"/>
      <c r="AV492" s="30"/>
      <c r="AW492" s="30"/>
      <c r="AX492" s="30"/>
      <c r="AY492" s="30"/>
      <c r="AZ492" s="30"/>
    </row>
    <row r="493">
      <c r="A493" s="30" t="str">
        <f>IFERROR(__xludf.DUMMYFUNCTION("""COMPUTED_VALUE"""),"Prospect")</f>
        <v>Prospect</v>
      </c>
      <c r="B493" s="30" t="str">
        <f>IFERROR(__xludf.DUMMYFUNCTION("""COMPUTED_VALUE"""),"RSC006308")</f>
        <v>RSC006308</v>
      </c>
      <c r="C493" s="30" t="str">
        <f>IFERROR(__xludf.DUMMYFUNCTION("""COMPUTED_VALUE"""),"SqueezySponge")</f>
        <v>SqueezySponge</v>
      </c>
      <c r="D493" s="31" t="str">
        <f>IFERROR(__xludf.DUMMYFUNCTION("""COMPUTED_VALUE"""),"Hawaiian Pizza")</f>
        <v>Hawaiian Pizza</v>
      </c>
      <c r="E493" s="31">
        <f>IFERROR(__xludf.DUMMYFUNCTION("""COMPUTED_VALUE"""),66.05555528922628)</f>
        <v>66.05555529</v>
      </c>
      <c r="F493" s="31">
        <f>IFERROR(__xludf.DUMMYFUNCTION("""COMPUTED_VALUE"""),3.8407700232397834)</f>
        <v>3.840770023</v>
      </c>
      <c r="G493" s="31">
        <f>IFERROR(__xludf.DUMMYFUNCTION("""COMPUTED_VALUE"""),59.90725964718912)</f>
        <v>59.90725965</v>
      </c>
      <c r="H493" s="31">
        <f>IFERROR(__xludf.DUMMYFUNCTION("""COMPUTED_VALUE"""),2.8906294829417702)</f>
        <v>2.890629483</v>
      </c>
      <c r="I493" s="54">
        <f>IFERROR(__xludf.DUMMYFUNCTION("""COMPUTED_VALUE"""),31.0)</f>
        <v>31</v>
      </c>
      <c r="J493" s="55">
        <f>IFERROR(__xludf.DUMMYFUNCTION("""COMPUTED_VALUE"""),19.0)</f>
        <v>19</v>
      </c>
      <c r="K493" s="54">
        <f>IFERROR(__xludf.DUMMYFUNCTION("""COMPUTED_VALUE"""),12.0)</f>
        <v>12</v>
      </c>
      <c r="L493" s="56">
        <f>IFERROR(__xludf.DUMMYFUNCTION("""COMPUTED_VALUE"""),0.6129032258064516)</f>
        <v>0.6129032258</v>
      </c>
      <c r="M493" s="56">
        <f>IFERROR(__xludf.DUMMYFUNCTION("""COMPUTED_VALUE"""),0.3023255813953488)</f>
        <v>0.3023255814</v>
      </c>
      <c r="N493" s="31">
        <f>IFERROR(__xludf.DUMMYFUNCTION("""COMPUTED_VALUE"""),353.2258064516129)</f>
        <v>353.2258065</v>
      </c>
      <c r="O493" s="57">
        <f>IFERROR(__xludf.DUMMYFUNCTION("""COMPUTED_VALUE"""),0.8387096774193549)</f>
        <v>0.8387096774</v>
      </c>
      <c r="P493" s="57">
        <f>IFERROR(__xludf.DUMMYFUNCTION("""COMPUTED_VALUE"""),0.6129032258064516)</f>
        <v>0.6129032258</v>
      </c>
      <c r="Q493" s="57">
        <f>IFERROR(__xludf.DUMMYFUNCTION("""COMPUTED_VALUE"""),1.3548387096774193)</f>
        <v>1.35483871</v>
      </c>
      <c r="R493" s="57">
        <f>IFERROR(__xludf.DUMMYFUNCTION("""COMPUTED_VALUE"""),2.774193548387097)</f>
        <v>2.774193548</v>
      </c>
      <c r="S493" s="31">
        <f>IFERROR(__xludf.DUMMYFUNCTION("""COMPUTED_VALUE"""),316.3870967741936)</f>
        <v>316.3870968</v>
      </c>
      <c r="T493" s="57">
        <f>IFERROR(__xludf.DUMMYFUNCTION("""COMPUTED_VALUE"""),0.7096774193548386)</f>
        <v>0.7096774194</v>
      </c>
      <c r="U493" s="57">
        <f>IFERROR(__xludf.DUMMYFUNCTION("""COMPUTED_VALUE"""),0.5161290322580646)</f>
        <v>0.5161290323</v>
      </c>
      <c r="V493" s="57">
        <f>IFERROR(__xludf.DUMMYFUNCTION("""COMPUTED_VALUE"""),1.0645161290322582)</f>
        <v>1.064516129</v>
      </c>
      <c r="W493" s="57">
        <f>IFERROR(__xludf.DUMMYFUNCTION("""COMPUTED_VALUE"""),2.3978494623655924)</f>
        <v>2.397849462</v>
      </c>
      <c r="X493" s="31">
        <f>IFERROR(__xludf.DUMMYFUNCTION("""COMPUTED_VALUE"""),324.91431757448356)</f>
        <v>324.9143176</v>
      </c>
      <c r="Y493" s="57">
        <f>IFERROR(__xludf.DUMMYFUNCTION("""COMPUTED_VALUE"""),0.7266254944198708)</f>
        <v>0.7266254944</v>
      </c>
      <c r="Z493" s="57">
        <f>IFERROR(__xludf.DUMMYFUNCTION("""COMPUTED_VALUE"""),0.5048698401791483)</f>
        <v>0.5048698402</v>
      </c>
      <c r="AA493" s="57">
        <f>IFERROR(__xludf.DUMMYFUNCTION("""COMPUTED_VALUE"""),1.1513188714558313)</f>
        <v>1.151318871</v>
      </c>
      <c r="AB493" s="57">
        <f>IFERROR(__xludf.DUMMYFUNCTION("""COMPUTED_VALUE"""),2.379753262495434)</f>
        <v>2.379753262</v>
      </c>
      <c r="AC493" s="31">
        <f>IFERROR(__xludf.DUMMYFUNCTION("""COMPUTED_VALUE"""),337.998008584395)</f>
        <v>337.9980086</v>
      </c>
      <c r="AD493" s="57">
        <f>IFERROR(__xludf.DUMMYFUNCTION("""COMPUTED_VALUE"""),0.8244133412028593)</f>
        <v>0.8244133412</v>
      </c>
      <c r="AE493" s="57">
        <f>IFERROR(__xludf.DUMMYFUNCTION("""COMPUTED_VALUE"""),0.536543099420553)</f>
        <v>0.5365430994</v>
      </c>
      <c r="AF493" s="57">
        <f>IFERROR(__xludf.DUMMYFUNCTION("""COMPUTED_VALUE"""),1.2090449182944598)</f>
        <v>1.209044918</v>
      </c>
      <c r="AG493" s="57">
        <f>IFERROR(__xludf.DUMMYFUNCTION("""COMPUTED_VALUE"""),2.4130574805248117)</f>
        <v>2.413057481</v>
      </c>
      <c r="AH493" s="57">
        <f>IFERROR(__xludf.DUMMYFUNCTION("""COMPUTED_VALUE"""),1.045052921852987)</f>
        <v>1.045052922</v>
      </c>
      <c r="AI493" s="57">
        <f>IFERROR(__xludf.DUMMYFUNCTION("""COMPUTED_VALUE"""),1.0173412237551087)</f>
        <v>1.017341224</v>
      </c>
      <c r="AJ493" s="57">
        <f>IFERROR(__xludf.DUMMYFUNCTION("""COMPUTED_VALUE"""),1.1423187186050194)</f>
        <v>1.142318719</v>
      </c>
      <c r="AK493" s="57">
        <f>IFERROR(__xludf.DUMMYFUNCTION("""COMPUTED_VALUE"""),1.1205859180059443)</f>
        <v>1.120585918</v>
      </c>
      <c r="AL493" s="57">
        <f>IFERROR(__xludf.DUMMYFUNCTION("""COMPUTED_VALUE"""),1.149659123654088)</f>
        <v>1.149659124</v>
      </c>
      <c r="AM493" s="57">
        <f>IFERROR(__xludf.DUMMYFUNCTION("""COMPUTED_VALUE"""),0.9737554784783062)</f>
        <v>0.9737554785</v>
      </c>
      <c r="AN493" s="57">
        <f>IFERROR(__xludf.DUMMYFUNCTION("""COMPUTED_VALUE"""),0.9766756393834443)</f>
        <v>0.9766756394</v>
      </c>
      <c r="AO493" s="57">
        <f>IFERROR(__xludf.DUMMYFUNCTION("""COMPUTED_VALUE"""),1.0223011778143078)</f>
        <v>1.022301178</v>
      </c>
      <c r="AP493" s="35">
        <f>IFERROR(__xludf.DUMMYFUNCTION("""COMPUTED_VALUE"""),0.9246058198335515)</f>
        <v>0.9246058198</v>
      </c>
      <c r="AQ493" s="57">
        <f>IFERROR(__xludf.DUMMYFUNCTION("""COMPUTED_VALUE"""),1.0076042336637803)</f>
        <v>1.007604234</v>
      </c>
      <c r="AR493" s="36" t="b">
        <f>IFERROR(__xludf.DUMMYFUNCTION("""COMPUTED_VALUE"""),TRUE)</f>
        <v>1</v>
      </c>
      <c r="AS493" s="57"/>
      <c r="AT493" s="37"/>
      <c r="AU493" s="30"/>
      <c r="AV493" s="30"/>
      <c r="AW493" s="30"/>
      <c r="AX493" s="30"/>
      <c r="AY493" s="30"/>
      <c r="AZ493" s="30"/>
    </row>
    <row r="494">
      <c r="A494" s="30" t="str">
        <f>IFERROR(__xludf.DUMMYFUNCTION("""COMPUTED_VALUE"""),"Prospect")</f>
        <v>Prospect</v>
      </c>
      <c r="B494" s="30" t="str">
        <f>IFERROR(__xludf.DUMMYFUNCTION("""COMPUTED_VALUE"""),"RSC005884")</f>
        <v>RSC005884</v>
      </c>
      <c r="C494" s="30" t="str">
        <f>IFERROR(__xludf.DUMMYFUNCTION("""COMPUTED_VALUE"""),"Zachthebull36")</f>
        <v>Zachthebull36</v>
      </c>
      <c r="D494" s="31" t="str">
        <f>IFERROR(__xludf.DUMMYFUNCTION("""COMPUTED_VALUE"""),"Earth")</f>
        <v>Earth</v>
      </c>
      <c r="E494" s="31">
        <f>IFERROR(__xludf.DUMMYFUNCTION("""COMPUTED_VALUE"""),64.31091782451541)</f>
        <v>64.31091782</v>
      </c>
      <c r="F494" s="31">
        <f>IFERROR(__xludf.DUMMYFUNCTION("""COMPUTED_VALUE"""),3.527174189507851)</f>
        <v>3.52717419</v>
      </c>
      <c r="G494" s="31">
        <f>IFERROR(__xludf.DUMMYFUNCTION("""COMPUTED_VALUE"""),56.51609688948992)</f>
        <v>56.51609689</v>
      </c>
      <c r="H494" s="31">
        <f>IFERROR(__xludf.DUMMYFUNCTION("""COMPUTED_VALUE"""),2.5177274733652246)</f>
        <v>2.517727473</v>
      </c>
      <c r="I494" s="54">
        <f>IFERROR(__xludf.DUMMYFUNCTION("""COMPUTED_VALUE"""),24.0)</f>
        <v>24</v>
      </c>
      <c r="J494" s="55">
        <f>IFERROR(__xludf.DUMMYFUNCTION("""COMPUTED_VALUE"""),16.0)</f>
        <v>16</v>
      </c>
      <c r="K494" s="54">
        <f>IFERROR(__xludf.DUMMYFUNCTION("""COMPUTED_VALUE"""),8.0)</f>
        <v>8</v>
      </c>
      <c r="L494" s="56">
        <f>IFERROR(__xludf.DUMMYFUNCTION("""COMPUTED_VALUE"""),0.6666666666666666)</f>
        <v>0.6666666667</v>
      </c>
      <c r="M494" s="56">
        <f>IFERROR(__xludf.DUMMYFUNCTION("""COMPUTED_VALUE"""),0.27397260273972607)</f>
        <v>0.2739726027</v>
      </c>
      <c r="N494" s="31">
        <f>IFERROR(__xludf.DUMMYFUNCTION("""COMPUTED_VALUE"""),322.5)</f>
        <v>322.5</v>
      </c>
      <c r="O494" s="57">
        <f>IFERROR(__xludf.DUMMYFUNCTION("""COMPUTED_VALUE"""),0.8333333333333334)</f>
        <v>0.8333333333</v>
      </c>
      <c r="P494" s="57">
        <f>IFERROR(__xludf.DUMMYFUNCTION("""COMPUTED_VALUE"""),0.5)</f>
        <v>0.5</v>
      </c>
      <c r="Q494" s="57">
        <f>IFERROR(__xludf.DUMMYFUNCTION("""COMPUTED_VALUE"""),0.8333333333333334)</f>
        <v>0.8333333333</v>
      </c>
      <c r="R494" s="57">
        <f>IFERROR(__xludf.DUMMYFUNCTION("""COMPUTED_VALUE"""),3.0416666666666665)</f>
        <v>3.041666667</v>
      </c>
      <c r="S494" s="31">
        <f>IFERROR(__xludf.DUMMYFUNCTION("""COMPUTED_VALUE"""),309.1805555555555)</f>
        <v>309.1805556</v>
      </c>
      <c r="T494" s="57">
        <f>IFERROR(__xludf.DUMMYFUNCTION("""COMPUTED_VALUE"""),0.5972222222222223)</f>
        <v>0.5972222222</v>
      </c>
      <c r="U494" s="57">
        <f>IFERROR(__xludf.DUMMYFUNCTION("""COMPUTED_VALUE"""),0.3611111111111111)</f>
        <v>0.3611111111</v>
      </c>
      <c r="V494" s="57">
        <f>IFERROR(__xludf.DUMMYFUNCTION("""COMPUTED_VALUE"""),1.3888888888888886)</f>
        <v>1.388888889</v>
      </c>
      <c r="W494" s="57">
        <f>IFERROR(__xludf.DUMMYFUNCTION("""COMPUTED_VALUE"""),1.847222222222222)</f>
        <v>1.847222222</v>
      </c>
      <c r="X494" s="31">
        <f>IFERROR(__xludf.DUMMYFUNCTION("""COMPUTED_VALUE"""),320.76858115361074)</f>
        <v>320.7685812</v>
      </c>
      <c r="Y494" s="57">
        <f>IFERROR(__xludf.DUMMYFUNCTION("""COMPUTED_VALUE"""),0.701869431306061)</f>
        <v>0.7018694313</v>
      </c>
      <c r="Z494" s="57">
        <f>IFERROR(__xludf.DUMMYFUNCTION("""COMPUTED_VALUE"""),0.45710816985150254)</f>
        <v>0.4571081699</v>
      </c>
      <c r="AA494" s="57">
        <f>IFERROR(__xludf.DUMMYFUNCTION("""COMPUTED_VALUE"""),1.2442572306695066)</f>
        <v>1.244257231</v>
      </c>
      <c r="AB494" s="57">
        <f>IFERROR(__xludf.DUMMYFUNCTION("""COMPUTED_VALUE"""),2.152874055269612)</f>
        <v>2.152874055</v>
      </c>
      <c r="AC494" s="31">
        <f>IFERROR(__xludf.DUMMYFUNCTION("""COMPUTED_VALUE"""),342.3176731469794)</f>
        <v>342.3176731</v>
      </c>
      <c r="AD494" s="57">
        <f>IFERROR(__xludf.DUMMYFUNCTION("""COMPUTED_VALUE"""),0.8539067701582308)</f>
        <v>0.8539067702</v>
      </c>
      <c r="AE494" s="57">
        <f>IFERROR(__xludf.DUMMYFUNCTION("""COMPUTED_VALUE"""),0.5785842420352932)</f>
        <v>0.578584242</v>
      </c>
      <c r="AF494" s="57">
        <f>IFERROR(__xludf.DUMMYFUNCTION("""COMPUTED_VALUE"""),1.090235946983103)</f>
        <v>1.090235947</v>
      </c>
      <c r="AG494" s="57">
        <f>IFERROR(__xludf.DUMMYFUNCTION("""COMPUTED_VALUE"""),2.7185571112363824)</f>
        <v>2.718557111</v>
      </c>
      <c r="AH494" s="57">
        <f>IFERROR(__xludf.DUMMYFUNCTION("""COMPUTED_VALUE"""),0.942107361957703)</f>
        <v>0.942107362</v>
      </c>
      <c r="AI494" s="57">
        <f>IFERROR(__xludf.DUMMYFUNCTION("""COMPUTED_VALUE"""),0.9759066943325849)</f>
        <v>0.9759066943</v>
      </c>
      <c r="AJ494" s="57">
        <f>IFERROR(__xludf.DUMMYFUNCTION("""COMPUTED_VALUE"""),0.8641783921406908)</f>
        <v>0.8641783921</v>
      </c>
      <c r="AK494" s="57">
        <f>IFERROR(__xludf.DUMMYFUNCTION("""COMPUTED_VALUE"""),0.7643605364869231)</f>
        <v>0.7643605365</v>
      </c>
      <c r="AL494" s="57">
        <f>IFERROR(__xludf.DUMMYFUNCTION("""COMPUTED_VALUE"""),1.1188533263085785)</f>
        <v>1.118853326</v>
      </c>
      <c r="AM494" s="57">
        <f>IFERROR(__xludf.DUMMYFUNCTION("""COMPUTED_VALUE"""),0.9638741875641931)</f>
        <v>0.9638741876</v>
      </c>
      <c r="AN494" s="57">
        <f>IFERROR(__xludf.DUMMYFUNCTION("""COMPUTED_VALUE"""),0.8509021700957857)</f>
        <v>0.8509021701</v>
      </c>
      <c r="AO494" s="57">
        <f>IFERROR(__xludf.DUMMYFUNCTION("""COMPUTED_VALUE"""),0.7899904988099922)</f>
        <v>0.7899904988</v>
      </c>
      <c r="AP494" s="35">
        <f>IFERROR(__xludf.DUMMYFUNCTION("""COMPUTED_VALUE"""),1.1162393552188232)</f>
        <v>1.116239355</v>
      </c>
      <c r="AQ494" s="57">
        <f>IFERROR(__xludf.DUMMYFUNCTION("""COMPUTED_VALUE"""),0.8580261430996193)</f>
        <v>0.8580261431</v>
      </c>
      <c r="AR494" s="36" t="b">
        <f>IFERROR(__xludf.DUMMYFUNCTION("""COMPUTED_VALUE"""),TRUE)</f>
        <v>1</v>
      </c>
      <c r="AS494" s="57"/>
      <c r="AT494" s="37"/>
      <c r="AU494" s="30"/>
      <c r="AV494" s="30"/>
      <c r="AW494" s="30"/>
      <c r="AX494" s="30"/>
      <c r="AY494" s="30"/>
      <c r="AZ494" s="30"/>
    </row>
    <row r="495">
      <c r="A495" s="30" t="str">
        <f>IFERROR(__xludf.DUMMYFUNCTION("""COMPUTED_VALUE"""),"Prospect")</f>
        <v>Prospect</v>
      </c>
      <c r="B495" s="30" t="str">
        <f>IFERROR(__xludf.DUMMYFUNCTION("""COMPUTED_VALUE"""),"RSC003295")</f>
        <v>RSC003295</v>
      </c>
      <c r="C495" s="30" t="str">
        <f>IFERROR(__xludf.DUMMYFUNCTION("""COMPUTED_VALUE"""),"ConfuciusDragon")</f>
        <v>ConfuciusDragon</v>
      </c>
      <c r="D495" s="31" t="str">
        <f>IFERROR(__xludf.DUMMYFUNCTION("""COMPUTED_VALUE"""),"Mop Tops")</f>
        <v>Mop Tops</v>
      </c>
      <c r="E495" s="31">
        <f>IFERROR(__xludf.DUMMYFUNCTION("""COMPUTED_VALUE"""),63.014669191604554)</f>
        <v>63.01466919</v>
      </c>
      <c r="F495" s="31">
        <f>IFERROR(__xludf.DUMMYFUNCTION("""COMPUTED_VALUE"""),3.318650136010773)</f>
        <v>3.318650136</v>
      </c>
      <c r="G495" s="31">
        <f>IFERROR(__xludf.DUMMYFUNCTION("""COMPUTED_VALUE"""),61.921925586531174)</f>
        <v>61.92192559</v>
      </c>
      <c r="H495" s="31">
        <f>IFERROR(__xludf.DUMMYFUNCTION("""COMPUTED_VALUE"""),3.1573146510195844)</f>
        <v>3.157314651</v>
      </c>
      <c r="I495" s="54">
        <f>IFERROR(__xludf.DUMMYFUNCTION("""COMPUTED_VALUE"""),33.0)</f>
        <v>33</v>
      </c>
      <c r="J495" s="55">
        <f>IFERROR(__xludf.DUMMYFUNCTION("""COMPUTED_VALUE"""),18.0)</f>
        <v>18</v>
      </c>
      <c r="K495" s="54">
        <f>IFERROR(__xludf.DUMMYFUNCTION("""COMPUTED_VALUE"""),15.0)</f>
        <v>15</v>
      </c>
      <c r="L495" s="56">
        <f>IFERROR(__xludf.DUMMYFUNCTION("""COMPUTED_VALUE"""),0.5454545454545454)</f>
        <v>0.5454545455</v>
      </c>
      <c r="M495" s="56">
        <f>IFERROR(__xludf.DUMMYFUNCTION("""COMPUTED_VALUE"""),0.32499999999999996)</f>
        <v>0.325</v>
      </c>
      <c r="N495" s="31">
        <f>IFERROR(__xludf.DUMMYFUNCTION("""COMPUTED_VALUE"""),359.969696969697)</f>
        <v>359.969697</v>
      </c>
      <c r="O495" s="57">
        <f>IFERROR(__xludf.DUMMYFUNCTION("""COMPUTED_VALUE"""),0.7878787878787878)</f>
        <v>0.7878787879</v>
      </c>
      <c r="P495" s="57">
        <f>IFERROR(__xludf.DUMMYFUNCTION("""COMPUTED_VALUE"""),0.6060606060606061)</f>
        <v>0.6060606061</v>
      </c>
      <c r="Q495" s="57">
        <f>IFERROR(__xludf.DUMMYFUNCTION("""COMPUTED_VALUE"""),1.4242424242424243)</f>
        <v>1.424242424</v>
      </c>
      <c r="R495" s="57">
        <f>IFERROR(__xludf.DUMMYFUNCTION("""COMPUTED_VALUE"""),2.4242424242424243)</f>
        <v>2.424242424</v>
      </c>
      <c r="S495" s="31">
        <f>IFERROR(__xludf.DUMMYFUNCTION("""COMPUTED_VALUE"""),336.6363636363637)</f>
        <v>336.6363636</v>
      </c>
      <c r="T495" s="57">
        <f>IFERROR(__xludf.DUMMYFUNCTION("""COMPUTED_VALUE"""),0.7070707070707072)</f>
        <v>0.7070707071</v>
      </c>
      <c r="U495" s="57">
        <f>IFERROR(__xludf.DUMMYFUNCTION("""COMPUTED_VALUE"""),0.505050505050505)</f>
        <v>0.5050505051</v>
      </c>
      <c r="V495" s="57">
        <f>IFERROR(__xludf.DUMMYFUNCTION("""COMPUTED_VALUE"""),1.2626262626262625)</f>
        <v>1.262626263</v>
      </c>
      <c r="W495" s="57">
        <f>IFERROR(__xludf.DUMMYFUNCTION("""COMPUTED_VALUE"""),2.373737373737374)</f>
        <v>2.373737374</v>
      </c>
      <c r="X495" s="31">
        <f>IFERROR(__xludf.DUMMYFUNCTION("""COMPUTED_VALUE"""),336.0160291386173)</f>
        <v>336.0160291</v>
      </c>
      <c r="Y495" s="57">
        <f>IFERROR(__xludf.DUMMYFUNCTION("""COMPUTED_VALUE"""),0.8138200538837265)</f>
        <v>0.8138200539</v>
      </c>
      <c r="Z495" s="57">
        <f>IFERROR(__xludf.DUMMYFUNCTION("""COMPUTED_VALUE"""),0.5239562507466504)</f>
        <v>0.5239562507</v>
      </c>
      <c r="AA495" s="57">
        <f>IFERROR(__xludf.DUMMYFUNCTION("""COMPUTED_VALUE"""),1.1742497420587632)</f>
        <v>1.174249742</v>
      </c>
      <c r="AB495" s="57">
        <f>IFERROR(__xludf.DUMMYFUNCTION("""COMPUTED_VALUE"""),2.5372095936009)</f>
        <v>2.537209594</v>
      </c>
      <c r="AC495" s="31">
        <f>IFERROR(__xludf.DUMMYFUNCTION("""COMPUTED_VALUE"""),335.411256242602)</f>
        <v>335.4112562</v>
      </c>
      <c r="AD495" s="57">
        <f>IFERROR(__xludf.DUMMYFUNCTION("""COMPUTED_VALUE"""),0.778700516969277)</f>
        <v>0.778700517</v>
      </c>
      <c r="AE495" s="57">
        <f>IFERROR(__xludf.DUMMYFUNCTION("""COMPUTED_VALUE"""),0.5235040827286945)</f>
        <v>0.5235040827</v>
      </c>
      <c r="AF495" s="57">
        <f>IFERROR(__xludf.DUMMYFUNCTION("""COMPUTED_VALUE"""),1.243449664274092)</f>
        <v>1.243449664</v>
      </c>
      <c r="AG495" s="57">
        <f>IFERROR(__xludf.DUMMYFUNCTION("""COMPUTED_VALUE"""),2.4286927790104396)</f>
        <v>2.428692779</v>
      </c>
      <c r="AH495" s="57">
        <f>IFERROR(__xludf.DUMMYFUNCTION("""COMPUTED_VALUE"""),1.0732188925386927)</f>
        <v>1.073218893</v>
      </c>
      <c r="AI495" s="57">
        <f>IFERROR(__xludf.DUMMYFUNCTION("""COMPUTED_VALUE"""),1.0117866505922366)</f>
        <v>1.011786651</v>
      </c>
      <c r="AJ495" s="57">
        <f>IFERROR(__xludf.DUMMYFUNCTION("""COMPUTED_VALUE"""),1.1576998653030495)</f>
        <v>1.157699865</v>
      </c>
      <c r="AK495" s="57">
        <f>IFERROR(__xludf.DUMMYFUNCTION("""COMPUTED_VALUE"""),1.1453961227082534)</f>
        <v>1.145396123</v>
      </c>
      <c r="AL495" s="57">
        <f>IFERROR(__xludf.DUMMYFUNCTION("""COMPUTED_VALUE"""),0.9981675925392965)</f>
        <v>0.9981675925</v>
      </c>
      <c r="AM495" s="57">
        <f>IFERROR(__xludf.DUMMYFUNCTION("""COMPUTED_VALUE"""),1.0018461455524508)</f>
        <v>1.001846146</v>
      </c>
      <c r="AN495" s="57">
        <f>IFERROR(__xludf.DUMMYFUNCTION("""COMPUTED_VALUE"""),0.8688292991754281)</f>
        <v>0.8688292992</v>
      </c>
      <c r="AO495" s="57">
        <f>IFERROR(__xludf.DUMMYFUNCTION("""COMPUTED_VALUE"""),0.9639173200640239)</f>
        <v>0.9639173201</v>
      </c>
      <c r="AP495" s="35">
        <f>IFERROR(__xludf.DUMMYFUNCTION("""COMPUTED_VALUE"""),1.0752621162279776)</f>
        <v>1.075262116</v>
      </c>
      <c r="AQ495" s="57">
        <f>IFERROR(__xludf.DUMMYFUNCTION("""COMPUTED_VALUE"""),0.9355700765613455)</f>
        <v>0.9355700766</v>
      </c>
      <c r="AR495" s="36" t="b">
        <f>IFERROR(__xludf.DUMMYFUNCTION("""COMPUTED_VALUE"""),TRUE)</f>
        <v>1</v>
      </c>
      <c r="AS495" s="57"/>
      <c r="AT495" s="37"/>
      <c r="AU495" s="30"/>
      <c r="AV495" s="30"/>
      <c r="AW495" s="30"/>
      <c r="AX495" s="30"/>
      <c r="AY495" s="30"/>
      <c r="AZ495" s="30"/>
    </row>
    <row r="496">
      <c r="A496" s="30" t="str">
        <f>IFERROR(__xludf.DUMMYFUNCTION("""COMPUTED_VALUE"""),"Prospect")</f>
        <v>Prospect</v>
      </c>
      <c r="B496" s="30" t="str">
        <f>IFERROR(__xludf.DUMMYFUNCTION("""COMPUTED_VALUE"""),"RSC007897")</f>
        <v>RSC007897</v>
      </c>
      <c r="C496" s="30" t="str">
        <f>IFERROR(__xludf.DUMMYFUNCTION("""COMPUTED_VALUE"""),"Synnicall")</f>
        <v>Synnicall</v>
      </c>
      <c r="D496" s="31" t="str">
        <f>IFERROR(__xludf.DUMMYFUNCTION("""COMPUTED_VALUE"""),"Poppy")</f>
        <v>Poppy</v>
      </c>
      <c r="E496" s="31">
        <f>IFERROR(__xludf.DUMMYFUNCTION("""COMPUTED_VALUE"""),62.60489214863772)</f>
        <v>62.60489215</v>
      </c>
      <c r="F496" s="31">
        <f>IFERROR(__xludf.DUMMYFUNCTION("""COMPUTED_VALUE"""),3.2566719715413512)</f>
        <v>3.256671972</v>
      </c>
      <c r="G496" s="31">
        <f>IFERROR(__xludf.DUMMYFUNCTION("""COMPUTED_VALUE"""),52.41844962268383)</f>
        <v>52.41844962</v>
      </c>
      <c r="H496" s="31">
        <f>IFERROR(__xludf.DUMMYFUNCTION("""COMPUTED_VALUE"""),2.1670010786471416)</f>
        <v>2.167001079</v>
      </c>
      <c r="I496" s="54">
        <f>IFERROR(__xludf.DUMMYFUNCTION("""COMPUTED_VALUE"""),36.0)</f>
        <v>36</v>
      </c>
      <c r="J496" s="55">
        <f>IFERROR(__xludf.DUMMYFUNCTION("""COMPUTED_VALUE"""),17.0)</f>
        <v>17</v>
      </c>
      <c r="K496" s="54">
        <f>IFERROR(__xludf.DUMMYFUNCTION("""COMPUTED_VALUE"""),19.0)</f>
        <v>19</v>
      </c>
      <c r="L496" s="56">
        <f>IFERROR(__xludf.DUMMYFUNCTION("""COMPUTED_VALUE"""),0.4722222222222222)</f>
        <v>0.4722222222</v>
      </c>
      <c r="M496" s="56">
        <f>IFERROR(__xludf.DUMMYFUNCTION("""COMPUTED_VALUE"""),0.27722772277227725)</f>
        <v>0.2772277228</v>
      </c>
      <c r="N496" s="31">
        <f>IFERROR(__xludf.DUMMYFUNCTION("""COMPUTED_VALUE"""),364.19444444444446)</f>
        <v>364.1944444</v>
      </c>
      <c r="O496" s="57">
        <f>IFERROR(__xludf.DUMMYFUNCTION("""COMPUTED_VALUE"""),0.7777777777777778)</f>
        <v>0.7777777778</v>
      </c>
      <c r="P496" s="57">
        <f>IFERROR(__xludf.DUMMYFUNCTION("""COMPUTED_VALUE"""),0.6111111111111112)</f>
        <v>0.6111111111</v>
      </c>
      <c r="Q496" s="57">
        <f>IFERROR(__xludf.DUMMYFUNCTION("""COMPUTED_VALUE"""),1.4444444444444444)</f>
        <v>1.444444444</v>
      </c>
      <c r="R496" s="57">
        <f>IFERROR(__xludf.DUMMYFUNCTION("""COMPUTED_VALUE"""),2.8055555555555554)</f>
        <v>2.805555556</v>
      </c>
      <c r="S496" s="31">
        <f>IFERROR(__xludf.DUMMYFUNCTION("""COMPUTED_VALUE"""),349.75925925925935)</f>
        <v>349.7592593</v>
      </c>
      <c r="T496" s="57">
        <f>IFERROR(__xludf.DUMMYFUNCTION("""COMPUTED_VALUE"""),0.7962962962962964)</f>
        <v>0.7962962963</v>
      </c>
      <c r="U496" s="57">
        <f>IFERROR(__xludf.DUMMYFUNCTION("""COMPUTED_VALUE"""),0.574074074074074)</f>
        <v>0.5740740741</v>
      </c>
      <c r="V496" s="57">
        <f>IFERROR(__xludf.DUMMYFUNCTION("""COMPUTED_VALUE"""),1.2777777777777777)</f>
        <v>1.277777778</v>
      </c>
      <c r="W496" s="57">
        <f>IFERROR(__xludf.DUMMYFUNCTION("""COMPUTED_VALUE"""),2.6388888888888884)</f>
        <v>2.638888889</v>
      </c>
      <c r="X496" s="31">
        <f>IFERROR(__xludf.DUMMYFUNCTION("""COMPUTED_VALUE"""),339.9045746316253)</f>
        <v>339.9045746</v>
      </c>
      <c r="Y496" s="57">
        <f>IFERROR(__xludf.DUMMYFUNCTION("""COMPUTED_VALUE"""),0.7963571354843277)</f>
        <v>0.7963571355</v>
      </c>
      <c r="Z496" s="57">
        <f>IFERROR(__xludf.DUMMYFUNCTION("""COMPUTED_VALUE"""),0.5182910170555362)</f>
        <v>0.5182910171</v>
      </c>
      <c r="AA496" s="57">
        <f>IFERROR(__xludf.DUMMYFUNCTION("""COMPUTED_VALUE"""),1.257468807872543)</f>
        <v>1.257468808</v>
      </c>
      <c r="AB496" s="57">
        <f>IFERROR(__xludf.DUMMYFUNCTION("""COMPUTED_VALUE"""),2.514339217281509)</f>
        <v>2.514339217</v>
      </c>
      <c r="AC496" s="31">
        <f>IFERROR(__xludf.DUMMYFUNCTION("""COMPUTED_VALUE"""),336.2499941493818)</f>
        <v>336.2499941</v>
      </c>
      <c r="AD496" s="57">
        <f>IFERROR(__xludf.DUMMYFUNCTION("""COMPUTED_VALUE"""),0.8032139823889761)</f>
        <v>0.8032139824</v>
      </c>
      <c r="AE496" s="57">
        <f>IFERROR(__xludf.DUMMYFUNCTION("""COMPUTED_VALUE"""),0.5233145207174889)</f>
        <v>0.5233145207</v>
      </c>
      <c r="AF496" s="57">
        <f>IFERROR(__xludf.DUMMYFUNCTION("""COMPUTED_VALUE"""),1.2063058147179375)</f>
        <v>1.206305815</v>
      </c>
      <c r="AG496" s="57">
        <f>IFERROR(__xludf.DUMMYFUNCTION("""COMPUTED_VALUE"""),2.498067402736354)</f>
        <v>2.498067403</v>
      </c>
      <c r="AH496" s="57">
        <f>IFERROR(__xludf.DUMMYFUNCTION("""COMPUTED_VALUE"""),1.083106173327242)</f>
        <v>1.083106173</v>
      </c>
      <c r="AI496" s="57">
        <f>IFERROR(__xludf.DUMMYFUNCTION("""COMPUTED_VALUE"""),0.9683319698499967)</f>
        <v>0.9683319698</v>
      </c>
      <c r="AJ496" s="57">
        <f>IFERROR(__xludf.DUMMYFUNCTION("""COMPUTED_VALUE"""),1.1677702164144979)</f>
        <v>1.167770216</v>
      </c>
      <c r="AK496" s="57">
        <f>IFERROR(__xludf.DUMMYFUNCTION("""COMPUTED_VALUE"""),1.1974114911998408)</f>
        <v>1.197411491</v>
      </c>
      <c r="AL496" s="57">
        <f>IFERROR(__xludf.DUMMYFUNCTION("""COMPUTED_VALUE"""),1.1230904148072156)</f>
        <v>1.123090415</v>
      </c>
      <c r="AM496" s="57">
        <f>IFERROR(__xludf.DUMMYFUNCTION("""COMPUTED_VALUE"""),1.0289925036705203)</f>
        <v>1.028992504</v>
      </c>
      <c r="AN496" s="57">
        <f>IFERROR(__xludf.DUMMYFUNCTION("""COMPUTED_VALUE"""),0.9999236031356782)</f>
        <v>0.9999236031</v>
      </c>
      <c r="AO496" s="57">
        <f>IFERROR(__xludf.DUMMYFUNCTION("""COMPUTED_VALUE"""),1.1076288324182175)</f>
        <v>1.107628832</v>
      </c>
      <c r="AP496" s="35">
        <f>IFERROR(__xludf.DUMMYFUNCTION("""COMPUTED_VALUE"""),1.016150674893952)</f>
        <v>1.016150675</v>
      </c>
      <c r="AQ496" s="57">
        <f>IFERROR(__xludf.DUMMYFUNCTION("""COMPUTED_VALUE"""),1.0495357471065667)</f>
        <v>1.049535747</v>
      </c>
      <c r="AR496" s="36" t="b">
        <f>IFERROR(__xludf.DUMMYFUNCTION("""COMPUTED_VALUE"""),TRUE)</f>
        <v>1</v>
      </c>
      <c r="AS496" s="57"/>
      <c r="AT496" s="37"/>
      <c r="AU496" s="30"/>
      <c r="AV496" s="30"/>
      <c r="AW496" s="30"/>
      <c r="AX496" s="30"/>
      <c r="AY496" s="30"/>
      <c r="AZ496" s="30"/>
    </row>
    <row r="497">
      <c r="A497" s="30" t="str">
        <f>IFERROR(__xludf.DUMMYFUNCTION("""COMPUTED_VALUE"""),"Prospect")</f>
        <v>Prospect</v>
      </c>
      <c r="B497" s="30" t="str">
        <f>IFERROR(__xludf.DUMMYFUNCTION("""COMPUTED_VALUE"""),"RSC007138")</f>
        <v>RSC007138</v>
      </c>
      <c r="C497" s="30" t="str">
        <f>IFERROR(__xludf.DUMMYFUNCTION("""COMPUTED_VALUE"""),"GFC-RAIDER")</f>
        <v>GFC-RAIDER</v>
      </c>
      <c r="D497" s="31" t="str">
        <f>IFERROR(__xludf.DUMMYFUNCTION("""COMPUTED_VALUE"""),"Mop Tops")</f>
        <v>Mop Tops</v>
      </c>
      <c r="E497" s="31">
        <f>IFERROR(__xludf.DUMMYFUNCTION("""COMPUTED_VALUE"""),62.120746285879044)</f>
        <v>62.12074629</v>
      </c>
      <c r="F497" s="31">
        <f>IFERROR(__xludf.DUMMYFUNCTION("""COMPUTED_VALUE"""),3.185742930480877)</f>
        <v>3.18574293</v>
      </c>
      <c r="G497" s="31">
        <f>IFERROR(__xludf.DUMMYFUNCTION("""COMPUTED_VALUE"""),48.207368477857194)</f>
        <v>48.20736848</v>
      </c>
      <c r="H497" s="31">
        <f>IFERROR(__xludf.DUMMYFUNCTION("""COMPUTED_VALUE"""),-2.1212586328515766)</f>
        <v>-2.121258633</v>
      </c>
      <c r="I497" s="54">
        <f>IFERROR(__xludf.DUMMYFUNCTION("""COMPUTED_VALUE"""),21.0)</f>
        <v>21</v>
      </c>
      <c r="J497" s="55">
        <f>IFERROR(__xludf.DUMMYFUNCTION("""COMPUTED_VALUE"""),13.0)</f>
        <v>13</v>
      </c>
      <c r="K497" s="54">
        <f>IFERROR(__xludf.DUMMYFUNCTION("""COMPUTED_VALUE"""),8.0)</f>
        <v>8</v>
      </c>
      <c r="L497" s="56">
        <f>IFERROR(__xludf.DUMMYFUNCTION("""COMPUTED_VALUE"""),0.6190476190476191)</f>
        <v>0.619047619</v>
      </c>
      <c r="M497" s="56">
        <f>IFERROR(__xludf.DUMMYFUNCTION("""COMPUTED_VALUE"""),0.32727272727272727)</f>
        <v>0.3272727273</v>
      </c>
      <c r="N497" s="31">
        <f>IFERROR(__xludf.DUMMYFUNCTION("""COMPUTED_VALUE"""),347.14285714285717)</f>
        <v>347.1428571</v>
      </c>
      <c r="O497" s="57">
        <f>IFERROR(__xludf.DUMMYFUNCTION("""COMPUTED_VALUE"""),0.8571428571428571)</f>
        <v>0.8571428571</v>
      </c>
      <c r="P497" s="57">
        <f>IFERROR(__xludf.DUMMYFUNCTION("""COMPUTED_VALUE"""),0.47619047619047616)</f>
        <v>0.4761904762</v>
      </c>
      <c r="Q497" s="57">
        <f>IFERROR(__xludf.DUMMYFUNCTION("""COMPUTED_VALUE"""),1.3333333333333333)</f>
        <v>1.333333333</v>
      </c>
      <c r="R497" s="57">
        <f>IFERROR(__xludf.DUMMYFUNCTION("""COMPUTED_VALUE"""),2.619047619047619)</f>
        <v>2.619047619</v>
      </c>
      <c r="S497" s="31">
        <f>IFERROR(__xludf.DUMMYFUNCTION("""COMPUTED_VALUE"""),338.46031746031747)</f>
        <v>338.4603175</v>
      </c>
      <c r="T497" s="57">
        <f>IFERROR(__xludf.DUMMYFUNCTION("""COMPUTED_VALUE"""),0.7142857142857142)</f>
        <v>0.7142857143</v>
      </c>
      <c r="U497" s="57">
        <f>IFERROR(__xludf.DUMMYFUNCTION("""COMPUTED_VALUE"""),0.4920634920634921)</f>
        <v>0.4920634921</v>
      </c>
      <c r="V497" s="57">
        <f>IFERROR(__xludf.DUMMYFUNCTION("""COMPUTED_VALUE"""),1.3968253968253965)</f>
        <v>1.396825397</v>
      </c>
      <c r="W497" s="57">
        <f>IFERROR(__xludf.DUMMYFUNCTION("""COMPUTED_VALUE"""),2.5079365079365084)</f>
        <v>2.507936508</v>
      </c>
      <c r="X497" s="31">
        <f>IFERROR(__xludf.DUMMYFUNCTION("""COMPUTED_VALUE"""),335.2235500200198)</f>
        <v>335.22355</v>
      </c>
      <c r="Y497" s="57">
        <f>IFERROR(__xludf.DUMMYFUNCTION("""COMPUTED_VALUE"""),0.7995622081030478)</f>
        <v>0.7995622081</v>
      </c>
      <c r="Z497" s="57">
        <f>IFERROR(__xludf.DUMMYFUNCTION("""COMPUTED_VALUE"""),0.5279620989948819)</f>
        <v>0.527962099</v>
      </c>
      <c r="AA497" s="57">
        <f>IFERROR(__xludf.DUMMYFUNCTION("""COMPUTED_VALUE"""),1.1888542949385663)</f>
        <v>1.188854295</v>
      </c>
      <c r="AB497" s="57">
        <f>IFERROR(__xludf.DUMMYFUNCTION("""COMPUTED_VALUE"""),2.5140953136021595)</f>
        <v>2.514095314</v>
      </c>
      <c r="AC497" s="31">
        <f>IFERROR(__xludf.DUMMYFUNCTION("""COMPUTED_VALUE"""),334.6867228548412)</f>
        <v>334.6867229</v>
      </c>
      <c r="AD497" s="57">
        <f>IFERROR(__xludf.DUMMYFUNCTION("""COMPUTED_VALUE"""),0.772991252854545)</f>
        <v>0.7729912529</v>
      </c>
      <c r="AE497" s="57">
        <f>IFERROR(__xludf.DUMMYFUNCTION("""COMPUTED_VALUE"""),0.5199463009720472)</f>
        <v>0.519946301</v>
      </c>
      <c r="AF497" s="57">
        <f>IFERROR(__xludf.DUMMYFUNCTION("""COMPUTED_VALUE"""),1.2501411714802322)</f>
        <v>1.250141171</v>
      </c>
      <c r="AG497" s="57">
        <f>IFERROR(__xludf.DUMMYFUNCTION("""COMPUTED_VALUE"""),2.4353571613086356)</f>
        <v>2.435357161</v>
      </c>
      <c r="AH497" s="57">
        <f>IFERROR(__xludf.DUMMYFUNCTION("""COMPUTED_VALUE"""),1.0372172943753684)</f>
        <v>1.037217294</v>
      </c>
      <c r="AI497" s="57">
        <f>IFERROR(__xludf.DUMMYFUNCTION("""COMPUTED_VALUE"""),1.1088648855696004)</f>
        <v>1.108864886</v>
      </c>
      <c r="AJ497" s="57">
        <f>IFERROR(__xludf.DUMMYFUNCTION("""COMPUTED_VALUE"""),0.9158454926984404)</f>
        <v>0.9158454927</v>
      </c>
      <c r="AK497" s="57">
        <f>IFERROR(__xludf.DUMMYFUNCTION("""COMPUTED_VALUE"""),1.0665462139404602)</f>
        <v>1.066546214</v>
      </c>
      <c r="AL497" s="57">
        <f>IFERROR(__xludf.DUMMYFUNCTION("""COMPUTED_VALUE"""),1.0754264962270577)</f>
        <v>1.075426496</v>
      </c>
      <c r="AM497" s="57">
        <f>IFERROR(__xludf.DUMMYFUNCTION("""COMPUTED_VALUE"""),1.0096555490809174)</f>
        <v>1.009655549</v>
      </c>
      <c r="AN497" s="57">
        <f>IFERROR(__xludf.DUMMYFUNCTION("""COMPUTED_VALUE"""),0.8933460174166421)</f>
        <v>0.8933460174</v>
      </c>
      <c r="AO497" s="57">
        <f>IFERROR(__xludf.DUMMYFUNCTION("""COMPUTED_VALUE"""),0.9320053333378807)</f>
        <v>0.9320053333</v>
      </c>
      <c r="AP497" s="35">
        <f>IFERROR(__xludf.DUMMYFUNCTION("""COMPUTED_VALUE"""),1.1749340543851734)</f>
        <v>1.174934054</v>
      </c>
      <c r="AQ497" s="57">
        <f>IFERROR(__xludf.DUMMYFUNCTION("""COMPUTED_VALUE"""),0.9975502895087828)</f>
        <v>0.9975502895</v>
      </c>
      <c r="AR497" s="36" t="b">
        <f>IFERROR(__xludf.DUMMYFUNCTION("""COMPUTED_VALUE"""),TRUE)</f>
        <v>1</v>
      </c>
      <c r="AS497" s="57"/>
      <c r="AT497" s="37"/>
      <c r="AU497" s="30"/>
      <c r="AV497" s="30"/>
      <c r="AW497" s="30"/>
      <c r="AX497" s="30"/>
      <c r="AY497" s="30"/>
      <c r="AZ497" s="30"/>
    </row>
    <row r="498">
      <c r="A498" s="30" t="str">
        <f>IFERROR(__xludf.DUMMYFUNCTION("""COMPUTED_VALUE"""),"Prospect")</f>
        <v>Prospect</v>
      </c>
      <c r="B498" s="30" t="str">
        <f>IFERROR(__xludf.DUMMYFUNCTION("""COMPUTED_VALUE"""),"RSC008010")</f>
        <v>RSC008010</v>
      </c>
      <c r="C498" s="30" t="str">
        <f>IFERROR(__xludf.DUMMYFUNCTION("""COMPUTED_VALUE"""),"WamBamTYMan-")</f>
        <v>WamBamTYMan-</v>
      </c>
      <c r="D498" s="31" t="str">
        <f>IFERROR(__xludf.DUMMYFUNCTION("""COMPUTED_VALUE"""),"Khans")</f>
        <v>Khans</v>
      </c>
      <c r="E498" s="31">
        <f>IFERROR(__xludf.DUMMYFUNCTION("""COMPUTED_VALUE"""),58.94399549348821)</f>
        <v>58.94399549</v>
      </c>
      <c r="F498" s="31">
        <f>IFERROR(__xludf.DUMMYFUNCTION("""COMPUTED_VALUE"""),2.7757612559439755)</f>
        <v>2.775761256</v>
      </c>
      <c r="G498" s="31">
        <f>IFERROR(__xludf.DUMMYFUNCTION("""COMPUTED_VALUE"""),51.62276429165395)</f>
        <v>51.62276429</v>
      </c>
      <c r="H498" s="31">
        <f>IFERROR(__xludf.DUMMYFUNCTION("""COMPUTED_VALUE"""),2.1091591002853876)</f>
        <v>2.1091591</v>
      </c>
      <c r="I498" s="54">
        <f>IFERROR(__xludf.DUMMYFUNCTION("""COMPUTED_VALUE"""),36.0)</f>
        <v>36</v>
      </c>
      <c r="J498" s="55">
        <f>IFERROR(__xludf.DUMMYFUNCTION("""COMPUTED_VALUE"""),15.0)</f>
        <v>15</v>
      </c>
      <c r="K498" s="54">
        <f>IFERROR(__xludf.DUMMYFUNCTION("""COMPUTED_VALUE"""),21.0)</f>
        <v>21</v>
      </c>
      <c r="L498" s="56">
        <f>IFERROR(__xludf.DUMMYFUNCTION("""COMPUTED_VALUE"""),0.4166666666666667)</f>
        <v>0.4166666667</v>
      </c>
      <c r="M498" s="56">
        <f>IFERROR(__xludf.DUMMYFUNCTION("""COMPUTED_VALUE"""),0.3225806451612903)</f>
        <v>0.3225806452</v>
      </c>
      <c r="N498" s="31">
        <f>IFERROR(__xludf.DUMMYFUNCTION("""COMPUTED_VALUE"""),369.9166666666667)</f>
        <v>369.9166667</v>
      </c>
      <c r="O498" s="57">
        <f>IFERROR(__xludf.DUMMYFUNCTION("""COMPUTED_VALUE"""),0.8333333333333334)</f>
        <v>0.8333333333</v>
      </c>
      <c r="P498" s="57">
        <f>IFERROR(__xludf.DUMMYFUNCTION("""COMPUTED_VALUE"""),0.4444444444444444)</f>
        <v>0.4444444444</v>
      </c>
      <c r="Q498" s="57">
        <f>IFERROR(__xludf.DUMMYFUNCTION("""COMPUTED_VALUE"""),1.5833333333333333)</f>
        <v>1.583333333</v>
      </c>
      <c r="R498" s="57">
        <f>IFERROR(__xludf.DUMMYFUNCTION("""COMPUTED_VALUE"""),2.5833333333333335)</f>
        <v>2.583333333</v>
      </c>
      <c r="S498" s="31">
        <f>IFERROR(__xludf.DUMMYFUNCTION("""COMPUTED_VALUE"""),349.7685185185185)</f>
        <v>349.7685185</v>
      </c>
      <c r="T498" s="57">
        <f>IFERROR(__xludf.DUMMYFUNCTION("""COMPUTED_VALUE"""),0.8518518518518517)</f>
        <v>0.8518518519</v>
      </c>
      <c r="U498" s="57">
        <f>IFERROR(__xludf.DUMMYFUNCTION("""COMPUTED_VALUE"""),0.5648148148148147)</f>
        <v>0.5648148148</v>
      </c>
      <c r="V498" s="57">
        <f>IFERROR(__xludf.DUMMYFUNCTION("""COMPUTED_VALUE"""),1.2500000000000007)</f>
        <v>1.25</v>
      </c>
      <c r="W498" s="57">
        <f>IFERROR(__xludf.DUMMYFUNCTION("""COMPUTED_VALUE"""),2.851851851851852)</f>
        <v>2.851851852</v>
      </c>
      <c r="X498" s="31">
        <f>IFERROR(__xludf.DUMMYFUNCTION("""COMPUTED_VALUE"""),336.3486909207961)</f>
        <v>336.3486909</v>
      </c>
      <c r="Y498" s="57">
        <f>IFERROR(__xludf.DUMMYFUNCTION("""COMPUTED_VALUE"""),0.8171942005470112)</f>
        <v>0.8171942005</v>
      </c>
      <c r="Z498" s="57">
        <f>IFERROR(__xludf.DUMMYFUNCTION("""COMPUTED_VALUE"""),0.5536048075206998)</f>
        <v>0.5536048075</v>
      </c>
      <c r="AA498" s="57">
        <f>IFERROR(__xludf.DUMMYFUNCTION("""COMPUTED_VALUE"""),1.138370662467693)</f>
        <v>1.138370662</v>
      </c>
      <c r="AB498" s="57">
        <f>IFERROR(__xludf.DUMMYFUNCTION("""COMPUTED_VALUE"""),2.580153230987422)</f>
        <v>2.580153231</v>
      </c>
      <c r="AC498" s="31">
        <f>IFERROR(__xludf.DUMMYFUNCTION("""COMPUTED_VALUE"""),332.126417192251)</f>
        <v>332.1264172</v>
      </c>
      <c r="AD498" s="57">
        <f>IFERROR(__xludf.DUMMYFUNCTION("""COMPUTED_VALUE"""),0.74762375106311)</f>
        <v>0.7476237511</v>
      </c>
      <c r="AE498" s="57">
        <f>IFERROR(__xludf.DUMMYFUNCTION("""COMPUTED_VALUE"""),0.4983315913609817)</f>
        <v>0.4983315914</v>
      </c>
      <c r="AF498" s="57">
        <f>IFERROR(__xludf.DUMMYFUNCTION("""COMPUTED_VALUE"""),1.281182619510454)</f>
        <v>1.28118262</v>
      </c>
      <c r="AG498" s="57">
        <f>IFERROR(__xludf.DUMMYFUNCTION("""COMPUTED_VALUE"""),2.3033915188696352)</f>
        <v>2.303391519</v>
      </c>
      <c r="AH498" s="57">
        <f>IFERROR(__xludf.DUMMYFUNCTION("""COMPUTED_VALUE"""),1.1137827270528164)</f>
        <v>1.113782727</v>
      </c>
      <c r="AI498" s="57">
        <f>IFERROR(__xludf.DUMMYFUNCTION("""COMPUTED_VALUE"""),1.1146426690542477)</f>
        <v>1.114642669</v>
      </c>
      <c r="AJ498" s="57">
        <f>IFERROR(__xludf.DUMMYFUNCTION("""COMPUTED_VALUE"""),0.8918648790268998)</f>
        <v>0.891864879</v>
      </c>
      <c r="AK498" s="57">
        <f>IFERROR(__xludf.DUMMYFUNCTION("""COMPUTED_VALUE"""),1.2358373499777358)</f>
        <v>1.23583735</v>
      </c>
      <c r="AL498" s="57">
        <f>IFERROR(__xludf.DUMMYFUNCTION("""COMPUTED_VALUE"""),1.1215346206541026)</f>
        <v>1.121534621</v>
      </c>
      <c r="AM498" s="57">
        <f>IFERROR(__xludf.DUMMYFUNCTION("""COMPUTED_VALUE"""),1.0398985575385589)</f>
        <v>1.039898558</v>
      </c>
      <c r="AN498" s="57">
        <f>IFERROR(__xludf.DUMMYFUNCTION("""COMPUTED_VALUE"""),1.0424105448639278)</f>
        <v>1.042410545</v>
      </c>
      <c r="AO498" s="57">
        <f>IFERROR(__xludf.DUMMYFUNCTION("""COMPUTED_VALUE"""),1.0202491147869877)</f>
        <v>1.020249115</v>
      </c>
      <c r="AP498" s="35">
        <f>IFERROR(__xludf.DUMMYFUNCTION("""COMPUTED_VALUE"""),1.0980606240240978)</f>
        <v>1.098060624</v>
      </c>
      <c r="AQ498" s="57">
        <f>IFERROR(__xludf.DUMMYFUNCTION("""COMPUTED_VALUE"""),1.105303288812987)</f>
        <v>1.105303289</v>
      </c>
      <c r="AR498" s="36" t="b">
        <f>IFERROR(__xludf.DUMMYFUNCTION("""COMPUTED_VALUE"""),TRUE)</f>
        <v>1</v>
      </c>
      <c r="AS498" s="57"/>
      <c r="AT498" s="37"/>
      <c r="AU498" s="30"/>
      <c r="AV498" s="30"/>
      <c r="AW498" s="30"/>
      <c r="AX498" s="30"/>
      <c r="AY498" s="30"/>
      <c r="AZ498" s="30"/>
    </row>
    <row r="499">
      <c r="A499" s="30" t="str">
        <f>IFERROR(__xludf.DUMMYFUNCTION("""COMPUTED_VALUE"""),"Prospect")</f>
        <v>Prospect</v>
      </c>
      <c r="B499" s="30" t="str">
        <f>IFERROR(__xludf.DUMMYFUNCTION("""COMPUTED_VALUE"""),"RSC007189")</f>
        <v>RSC007189</v>
      </c>
      <c r="C499" s="30" t="str">
        <f>IFERROR(__xludf.DUMMYFUNCTION("""COMPUTED_VALUE"""),"RU_Fluffy")</f>
        <v>RU_Fluffy</v>
      </c>
      <c r="D499" s="31"/>
      <c r="E499" s="31">
        <f>IFERROR(__xludf.DUMMYFUNCTION("""COMPUTED_VALUE"""),58.359180454175586)</f>
        <v>58.35918045</v>
      </c>
      <c r="F499" s="31">
        <f>IFERROR(__xludf.DUMMYFUNCTION("""COMPUTED_VALUE"""),2.709650857686792)</f>
        <v>2.709650858</v>
      </c>
      <c r="G499" s="31">
        <f>IFERROR(__xludf.DUMMYFUNCTION("""COMPUTED_VALUE"""),28.28678176924194)</f>
        <v>28.28678177</v>
      </c>
      <c r="H499" s="31">
        <f>IFERROR(__xludf.DUMMYFUNCTION("""COMPUTED_VALUE"""),-5.193389465933067)</f>
        <v>-5.193389466</v>
      </c>
      <c r="I499" s="54">
        <f>IFERROR(__xludf.DUMMYFUNCTION("""COMPUTED_VALUE"""),1.0)</f>
        <v>1</v>
      </c>
      <c r="J499" s="55">
        <f>IFERROR(__xludf.DUMMYFUNCTION("""COMPUTED_VALUE"""),1.0)</f>
        <v>1</v>
      </c>
      <c r="K499" s="54">
        <f>IFERROR(__xludf.DUMMYFUNCTION("""COMPUTED_VALUE"""),0.0)</f>
        <v>0</v>
      </c>
      <c r="L499" s="56">
        <f>IFERROR(__xludf.DUMMYFUNCTION("""COMPUTED_VALUE"""),1.0)</f>
        <v>1</v>
      </c>
      <c r="M499" s="56">
        <f>IFERROR(__xludf.DUMMYFUNCTION("""COMPUTED_VALUE"""),0.3333333333333333)</f>
        <v>0.3333333333</v>
      </c>
      <c r="N499" s="31">
        <f>IFERROR(__xludf.DUMMYFUNCTION("""COMPUTED_VALUE"""),225.0)</f>
        <v>225</v>
      </c>
      <c r="O499" s="57">
        <f>IFERROR(__xludf.DUMMYFUNCTION("""COMPUTED_VALUE"""),1.0)</f>
        <v>1</v>
      </c>
      <c r="P499" s="57">
        <f>IFERROR(__xludf.DUMMYFUNCTION("""COMPUTED_VALUE"""),0.0)</f>
        <v>0</v>
      </c>
      <c r="Q499" s="57">
        <f>IFERROR(__xludf.DUMMYFUNCTION("""COMPUTED_VALUE"""),0.0)</f>
        <v>0</v>
      </c>
      <c r="R499" s="57">
        <f>IFERROR(__xludf.DUMMYFUNCTION("""COMPUTED_VALUE"""),3.0)</f>
        <v>3</v>
      </c>
      <c r="S499" s="31">
        <f>IFERROR(__xludf.DUMMYFUNCTION("""COMPUTED_VALUE"""),186.66666666666666)</f>
        <v>186.6666667</v>
      </c>
      <c r="T499" s="57">
        <f>IFERROR(__xludf.DUMMYFUNCTION("""COMPUTED_VALUE"""),0.3333333333333333)</f>
        <v>0.3333333333</v>
      </c>
      <c r="U499" s="57">
        <f>IFERROR(__xludf.DUMMYFUNCTION("""COMPUTED_VALUE"""),0.0)</f>
        <v>0</v>
      </c>
      <c r="V499" s="57">
        <f>IFERROR(__xludf.DUMMYFUNCTION("""COMPUTED_VALUE"""),0.3333333333333333)</f>
        <v>0.3333333333</v>
      </c>
      <c r="W499" s="57">
        <f>IFERROR(__xludf.DUMMYFUNCTION("""COMPUTED_VALUE"""),2.0)</f>
        <v>2</v>
      </c>
      <c r="X499" s="31">
        <f>IFERROR(__xludf.DUMMYFUNCTION("""COMPUTED_VALUE"""),285.8656818181818)</f>
        <v>285.8656818</v>
      </c>
      <c r="Y499" s="57">
        <f>IFERROR(__xludf.DUMMYFUNCTION("""COMPUTED_VALUE"""),0.6374242424242424)</f>
        <v>0.6374242424</v>
      </c>
      <c r="Z499" s="57">
        <f>IFERROR(__xludf.DUMMYFUNCTION("""COMPUTED_VALUE"""),0.384280303030303)</f>
        <v>0.384280303</v>
      </c>
      <c r="AA499" s="57">
        <f>IFERROR(__xludf.DUMMYFUNCTION("""COMPUTED_VALUE"""),1.0713636363636365)</f>
        <v>1.071363636</v>
      </c>
      <c r="AB499" s="57">
        <f>IFERROR(__xludf.DUMMYFUNCTION("""COMPUTED_VALUE"""),1.993712121212121)</f>
        <v>1.993712121</v>
      </c>
      <c r="AC499" s="31">
        <f>IFERROR(__xludf.DUMMYFUNCTION("""COMPUTED_VALUE"""),342.7316287878787)</f>
        <v>342.7316288</v>
      </c>
      <c r="AD499" s="57">
        <f>IFERROR(__xludf.DUMMYFUNCTION("""COMPUTED_VALUE"""),0.9156944444444443)</f>
        <v>0.9156944444</v>
      </c>
      <c r="AE499" s="57">
        <f>IFERROR(__xludf.DUMMYFUNCTION("""COMPUTED_VALUE"""),0.5994065656565657)</f>
        <v>0.5994065657</v>
      </c>
      <c r="AF499" s="57">
        <f>IFERROR(__xludf.DUMMYFUNCTION("""COMPUTED_VALUE"""),1.0065530303030303)</f>
        <v>1.00655303</v>
      </c>
      <c r="AG499" s="57">
        <f>IFERROR(__xludf.DUMMYFUNCTION("""COMPUTED_VALUE"""),2.6247853535353536)</f>
        <v>2.624785354</v>
      </c>
      <c r="AH499" s="57">
        <f>IFERROR(__xludf.DUMMYFUNCTION("""COMPUTED_VALUE"""),0.6564903297537665)</f>
        <v>0.6564903298</v>
      </c>
      <c r="AI499" s="57">
        <f>IFERROR(__xludf.DUMMYFUNCTION("""COMPUTED_VALUE"""),1.0920673441528896)</f>
        <v>1.092067344</v>
      </c>
      <c r="AJ499" s="57">
        <f>IFERROR(__xludf.DUMMYFUNCTION("""COMPUTED_VALUE"""),0.0)</f>
        <v>0</v>
      </c>
      <c r="AK499" s="57">
        <f>IFERROR(__xludf.DUMMYFUNCTION("""COMPUTED_VALUE"""),0.0)</f>
        <v>0</v>
      </c>
      <c r="AL499" s="57">
        <f>IFERROR(__xludf.DUMMYFUNCTION("""COMPUTED_VALUE"""),1.1429506020213294)</f>
        <v>1.142950602</v>
      </c>
      <c r="AM499" s="57">
        <f>IFERROR(__xludf.DUMMYFUNCTION("""COMPUTED_VALUE"""),0.6529873242545834)</f>
        <v>0.6529873243</v>
      </c>
      <c r="AN499" s="57">
        <f>IFERROR(__xludf.DUMMYFUNCTION("""COMPUTED_VALUE"""),0.5229379605419539)</f>
        <v>0.5229379605</v>
      </c>
      <c r="AO499" s="57">
        <f>IFERROR(__xludf.DUMMYFUNCTION("""COMPUTED_VALUE"""),0.0)</f>
        <v>0</v>
      </c>
      <c r="AP499" s="35">
        <f>IFERROR(__xludf.DUMMYFUNCTION("""COMPUTED_VALUE"""),0.31112996747277605)</f>
        <v>0.3111299675</v>
      </c>
      <c r="AQ499" s="57">
        <f>IFERROR(__xludf.DUMMYFUNCTION("""COMPUTED_VALUE"""),1.0031538549226737)</f>
        <v>1.003153855</v>
      </c>
      <c r="AR499" s="36" t="b">
        <f>IFERROR(__xludf.DUMMYFUNCTION("""COMPUTED_VALUE"""),TRUE)</f>
        <v>1</v>
      </c>
      <c r="AS499" s="57"/>
      <c r="AT499" s="37"/>
      <c r="AU499" s="30"/>
      <c r="AV499" s="30"/>
      <c r="AW499" s="30"/>
      <c r="AX499" s="30"/>
      <c r="AY499" s="30"/>
      <c r="AZ499" s="30"/>
    </row>
    <row r="500">
      <c r="A500" s="30" t="str">
        <f>IFERROR(__xludf.DUMMYFUNCTION("""COMPUTED_VALUE"""),"Prospect")</f>
        <v>Prospect</v>
      </c>
      <c r="B500" s="30" t="str">
        <f>IFERROR(__xludf.DUMMYFUNCTION("""COMPUTED_VALUE"""),"RSC007487")</f>
        <v>RSC007487</v>
      </c>
      <c r="C500" s="30" t="str">
        <f>IFERROR(__xludf.DUMMYFUNCTION("""COMPUTED_VALUE"""),"YoloOnTinder")</f>
        <v>YoloOnTinder</v>
      </c>
      <c r="D500" s="31" t="str">
        <f>IFERROR(__xludf.DUMMYFUNCTION("""COMPUTED_VALUE"""),"Dime")</f>
        <v>Dime</v>
      </c>
      <c r="E500" s="31">
        <f>IFERROR(__xludf.DUMMYFUNCTION("""COMPUTED_VALUE"""),58.17710876239813)</f>
        <v>58.17710876</v>
      </c>
      <c r="F500" s="31">
        <f>IFERROR(__xludf.DUMMYFUNCTION("""COMPUTED_VALUE"""),2.6896032882787693)</f>
        <v>2.689603288</v>
      </c>
      <c r="G500" s="31">
        <f>IFERROR(__xludf.DUMMYFUNCTION("""COMPUTED_VALUE"""),48.718841594077595)</f>
        <v>48.71884159</v>
      </c>
      <c r="H500" s="31">
        <f>IFERROR(__xludf.DUMMYFUNCTION("""COMPUTED_VALUE"""),-2.085224742194136)</f>
        <v>-2.085224742</v>
      </c>
      <c r="I500" s="54">
        <f>IFERROR(__xludf.DUMMYFUNCTION("""COMPUTED_VALUE"""),23.0)</f>
        <v>23</v>
      </c>
      <c r="J500" s="55">
        <f>IFERROR(__xludf.DUMMYFUNCTION("""COMPUTED_VALUE"""),16.0)</f>
        <v>16</v>
      </c>
      <c r="K500" s="54">
        <f>IFERROR(__xludf.DUMMYFUNCTION("""COMPUTED_VALUE"""),7.0)</f>
        <v>7</v>
      </c>
      <c r="L500" s="56">
        <f>IFERROR(__xludf.DUMMYFUNCTION("""COMPUTED_VALUE"""),0.6956521739130435)</f>
        <v>0.6956521739</v>
      </c>
      <c r="M500" s="56">
        <f>IFERROR(__xludf.DUMMYFUNCTION("""COMPUTED_VALUE"""),0.18867924528301885)</f>
        <v>0.1886792453</v>
      </c>
      <c r="N500" s="31">
        <f>IFERROR(__xludf.DUMMYFUNCTION("""COMPUTED_VALUE"""),282.0869565217391)</f>
        <v>282.0869565</v>
      </c>
      <c r="O500" s="57">
        <f>IFERROR(__xludf.DUMMYFUNCTION("""COMPUTED_VALUE"""),0.43478260869565216)</f>
        <v>0.4347826087</v>
      </c>
      <c r="P500" s="57">
        <f>IFERROR(__xludf.DUMMYFUNCTION("""COMPUTED_VALUE"""),0.9130434782608695)</f>
        <v>0.9130434783</v>
      </c>
      <c r="Q500" s="57">
        <f>IFERROR(__xludf.DUMMYFUNCTION("""COMPUTED_VALUE"""),0.9130434782608695)</f>
        <v>0.9130434783</v>
      </c>
      <c r="R500" s="57">
        <f>IFERROR(__xludf.DUMMYFUNCTION("""COMPUTED_VALUE"""),2.3043478260869565)</f>
        <v>2.304347826</v>
      </c>
      <c r="S500" s="31">
        <f>IFERROR(__xludf.DUMMYFUNCTION("""COMPUTED_VALUE"""),301.44927536231893)</f>
        <v>301.4492754</v>
      </c>
      <c r="T500" s="57">
        <f>IFERROR(__xludf.DUMMYFUNCTION("""COMPUTED_VALUE"""),0.5652173913043479)</f>
        <v>0.5652173913</v>
      </c>
      <c r="U500" s="57">
        <f>IFERROR(__xludf.DUMMYFUNCTION("""COMPUTED_VALUE"""),0.4202898550724637)</f>
        <v>0.4202898551</v>
      </c>
      <c r="V500" s="57">
        <f>IFERROR(__xludf.DUMMYFUNCTION("""COMPUTED_VALUE"""),1.3333333333333335)</f>
        <v>1.333333333</v>
      </c>
      <c r="W500" s="57">
        <f>IFERROR(__xludf.DUMMYFUNCTION("""COMPUTED_VALUE"""),1.9275362318840583)</f>
        <v>1.927536232</v>
      </c>
      <c r="X500" s="31">
        <f>IFERROR(__xludf.DUMMYFUNCTION("""COMPUTED_VALUE"""),339.15786915471256)</f>
        <v>339.1578692</v>
      </c>
      <c r="Y500" s="57">
        <f>IFERROR(__xludf.DUMMYFUNCTION("""COMPUTED_VALUE"""),0.7768578378063739)</f>
        <v>0.7768578378</v>
      </c>
      <c r="Z500" s="57">
        <f>IFERROR(__xludf.DUMMYFUNCTION("""COMPUTED_VALUE"""),0.5252794702376101)</f>
        <v>0.5252794702</v>
      </c>
      <c r="AA500" s="57">
        <f>IFERROR(__xludf.DUMMYFUNCTION("""COMPUTED_VALUE"""),1.3130442251272323)</f>
        <v>1.313044225</v>
      </c>
      <c r="AB500" s="57">
        <f>IFERROR(__xludf.DUMMYFUNCTION("""COMPUTED_VALUE"""),2.454678986039689)</f>
        <v>2.454678986</v>
      </c>
      <c r="AC500" s="31">
        <f>IFERROR(__xludf.DUMMYFUNCTION("""COMPUTED_VALUE"""),334.4511263224362)</f>
        <v>334.4511263</v>
      </c>
      <c r="AD500" s="57">
        <f>IFERROR(__xludf.DUMMYFUNCTION("""COMPUTED_VALUE"""),0.7727910707797137)</f>
        <v>0.7727910708</v>
      </c>
      <c r="AE500" s="57">
        <f>IFERROR(__xludf.DUMMYFUNCTION("""COMPUTED_VALUE"""),0.5187606061417863)</f>
        <v>0.5187606061</v>
      </c>
      <c r="AF500" s="57">
        <f>IFERROR(__xludf.DUMMYFUNCTION("""COMPUTED_VALUE"""),1.2094870673687652)</f>
        <v>1.209487067</v>
      </c>
      <c r="AG500" s="57">
        <f>IFERROR(__xludf.DUMMYFUNCTION("""COMPUTED_VALUE"""),2.560203966718942)</f>
        <v>2.560203967</v>
      </c>
      <c r="AH500" s="57">
        <f>IFERROR(__xludf.DUMMYFUNCTION("""COMPUTED_VALUE"""),0.8434325206899914)</f>
        <v>0.8434325207</v>
      </c>
      <c r="AI500" s="57">
        <f>IFERROR(__xludf.DUMMYFUNCTION("""COMPUTED_VALUE"""),0.5626133959557462)</f>
        <v>0.562613396</v>
      </c>
      <c r="AJ500" s="57">
        <f>IFERROR(__xludf.DUMMYFUNCTION("""COMPUTED_VALUE"""),1.7600478283258825)</f>
        <v>1.760047828</v>
      </c>
      <c r="AK500" s="57">
        <f>IFERROR(__xludf.DUMMYFUNCTION("""COMPUTED_VALUE"""),0.75490139819948)</f>
        <v>0.7549013982</v>
      </c>
      <c r="AL500" s="57">
        <f>IFERROR(__xludf.DUMMYFUNCTION("""COMPUTED_VALUE"""),0.9000641574038803)</f>
        <v>0.9000641574</v>
      </c>
      <c r="AM500" s="57">
        <f>IFERROR(__xludf.DUMMYFUNCTION("""COMPUTED_VALUE"""),0.8888169869495429)</f>
        <v>0.8888169869</v>
      </c>
      <c r="AN500" s="57">
        <f>IFERROR(__xludf.DUMMYFUNCTION("""COMPUTED_VALUE"""),0.7275686281293904)</f>
        <v>0.7275686281</v>
      </c>
      <c r="AO500" s="57">
        <f>IFERROR(__xludf.DUMMYFUNCTION("""COMPUTED_VALUE"""),0.8001261783224568)</f>
        <v>0.8001261783</v>
      </c>
      <c r="AP500" s="35">
        <f>IFERROR(__xludf.DUMMYFUNCTION("""COMPUTED_VALUE"""),1.0154519610366781)</f>
        <v>1.015451961</v>
      </c>
      <c r="AQ500" s="57">
        <f>IFERROR(__xludf.DUMMYFUNCTION("""COMPUTED_VALUE"""),0.7852498199749907)</f>
        <v>0.78524982</v>
      </c>
      <c r="AR500" s="36" t="b">
        <f>IFERROR(__xludf.DUMMYFUNCTION("""COMPUTED_VALUE"""),TRUE)</f>
        <v>1</v>
      </c>
      <c r="AS500" s="57"/>
      <c r="AT500" s="37"/>
      <c r="AU500" s="30"/>
      <c r="AV500" s="30"/>
      <c r="AW500" s="30"/>
      <c r="AX500" s="30"/>
      <c r="AY500" s="30"/>
      <c r="AZ500" s="30"/>
    </row>
    <row r="501">
      <c r="A501" s="30" t="str">
        <f>IFERROR(__xludf.DUMMYFUNCTION("""COMPUTED_VALUE"""),"Prospect")</f>
        <v>Prospect</v>
      </c>
      <c r="B501" s="30" t="str">
        <f>IFERROR(__xludf.DUMMYFUNCTION("""COMPUTED_VALUE"""),"RSC006667")</f>
        <v>RSC006667</v>
      </c>
      <c r="C501" s="30" t="str">
        <f>IFERROR(__xludf.DUMMYFUNCTION("""COMPUTED_VALUE"""),"GET2DACHOPPA5")</f>
        <v>GET2DACHOPPA5</v>
      </c>
      <c r="D501" s="31" t="str">
        <f>IFERROR(__xludf.DUMMYFUNCTION("""COMPUTED_VALUE"""),"Honey Badgers")</f>
        <v>Honey Badgers</v>
      </c>
      <c r="E501" s="31">
        <f>IFERROR(__xludf.DUMMYFUNCTION("""COMPUTED_VALUE"""),57.962713392659225)</f>
        <v>57.96271339</v>
      </c>
      <c r="F501" s="31">
        <f>IFERROR(__xludf.DUMMYFUNCTION("""COMPUTED_VALUE"""),2.6663139276474976)</f>
        <v>2.666313928</v>
      </c>
      <c r="G501" s="31">
        <f>IFERROR(__xludf.DUMMYFUNCTION("""COMPUTED_VALUE"""),57.32822809431036)</f>
        <v>57.32822809</v>
      </c>
      <c r="H501" s="31">
        <f>IFERROR(__xludf.DUMMYFUNCTION("""COMPUTED_VALUE"""),2.5993488802693916)</f>
        <v>2.59934888</v>
      </c>
      <c r="I501" s="54">
        <f>IFERROR(__xludf.DUMMYFUNCTION("""COMPUTED_VALUE"""),15.0)</f>
        <v>15</v>
      </c>
      <c r="J501" s="55">
        <f>IFERROR(__xludf.DUMMYFUNCTION("""COMPUTED_VALUE"""),7.0)</f>
        <v>7</v>
      </c>
      <c r="K501" s="54">
        <f>IFERROR(__xludf.DUMMYFUNCTION("""COMPUTED_VALUE"""),8.0)</f>
        <v>8</v>
      </c>
      <c r="L501" s="56">
        <f>IFERROR(__xludf.DUMMYFUNCTION("""COMPUTED_VALUE"""),0.4666666666666667)</f>
        <v>0.4666666667</v>
      </c>
      <c r="M501" s="56">
        <f>IFERROR(__xludf.DUMMYFUNCTION("""COMPUTED_VALUE"""),0.2857142857142857)</f>
        <v>0.2857142857</v>
      </c>
      <c r="N501" s="31">
        <f>IFERROR(__xludf.DUMMYFUNCTION("""COMPUTED_VALUE"""),309.46666666666664)</f>
        <v>309.4666667</v>
      </c>
      <c r="O501" s="57">
        <f>IFERROR(__xludf.DUMMYFUNCTION("""COMPUTED_VALUE"""),0.5333333333333333)</f>
        <v>0.5333333333</v>
      </c>
      <c r="P501" s="57">
        <f>IFERROR(__xludf.DUMMYFUNCTION("""COMPUTED_VALUE"""),1.0)</f>
        <v>1</v>
      </c>
      <c r="Q501" s="57">
        <f>IFERROR(__xludf.DUMMYFUNCTION("""COMPUTED_VALUE"""),1.1333333333333333)</f>
        <v>1.133333333</v>
      </c>
      <c r="R501" s="57">
        <f>IFERROR(__xludf.DUMMYFUNCTION("""COMPUTED_VALUE"""),1.8666666666666667)</f>
        <v>1.866666667</v>
      </c>
      <c r="S501" s="31">
        <f>IFERROR(__xludf.DUMMYFUNCTION("""COMPUTED_VALUE"""),322.17777777777775)</f>
        <v>322.1777778</v>
      </c>
      <c r="T501" s="57">
        <f>IFERROR(__xludf.DUMMYFUNCTION("""COMPUTED_VALUE"""),0.7333333333333333)</f>
        <v>0.7333333333</v>
      </c>
      <c r="U501" s="57">
        <f>IFERROR(__xludf.DUMMYFUNCTION("""COMPUTED_VALUE"""),0.5555555555555555)</f>
        <v>0.5555555556</v>
      </c>
      <c r="V501" s="57">
        <f>IFERROR(__xludf.DUMMYFUNCTION("""COMPUTED_VALUE"""),1.0666666666666667)</f>
        <v>1.066666667</v>
      </c>
      <c r="W501" s="57">
        <f>IFERROR(__xludf.DUMMYFUNCTION("""COMPUTED_VALUE"""),2.4222222222222225)</f>
        <v>2.422222222</v>
      </c>
      <c r="X501" s="31">
        <f>IFERROR(__xludf.DUMMYFUNCTION("""COMPUTED_VALUE"""),334.9813470003791)</f>
        <v>334.981347</v>
      </c>
      <c r="Y501" s="57">
        <f>IFERROR(__xludf.DUMMYFUNCTION("""COMPUTED_VALUE"""),0.8061526675200874)</f>
        <v>0.8061526675</v>
      </c>
      <c r="Z501" s="57">
        <f>IFERROR(__xludf.DUMMYFUNCTION("""COMPUTED_VALUE"""),0.5579274343380444)</f>
        <v>0.5579274343</v>
      </c>
      <c r="AA501" s="57">
        <f>IFERROR(__xludf.DUMMYFUNCTION("""COMPUTED_VALUE"""),1.137531519593991)</f>
        <v>1.13753152</v>
      </c>
      <c r="AB501" s="57">
        <f>IFERROR(__xludf.DUMMYFUNCTION("""COMPUTED_VALUE"""),2.4585734639323404)</f>
        <v>2.458573464</v>
      </c>
      <c r="AC501" s="31">
        <f>IFERROR(__xludf.DUMMYFUNCTION("""COMPUTED_VALUE"""),332.55612143174443)</f>
        <v>332.5561214</v>
      </c>
      <c r="AD501" s="57">
        <f>IFERROR(__xludf.DUMMYFUNCTION("""COMPUTED_VALUE"""),0.7789963749894145)</f>
        <v>0.778996375</v>
      </c>
      <c r="AE501" s="57">
        <f>IFERROR(__xludf.DUMMYFUNCTION("""COMPUTED_VALUE"""),0.5136934039719177)</f>
        <v>0.513693404</v>
      </c>
      <c r="AF501" s="57">
        <f>IFERROR(__xludf.DUMMYFUNCTION("""COMPUTED_VALUE"""),1.213570687117756)</f>
        <v>1.213570687</v>
      </c>
      <c r="AG501" s="57">
        <f>IFERROR(__xludf.DUMMYFUNCTION("""COMPUTED_VALUE"""),2.3116282904456766)</f>
        <v>2.31162829</v>
      </c>
      <c r="AH501" s="57">
        <f>IFERROR(__xludf.DUMMYFUNCTION("""COMPUTED_VALUE"""),0.9305697496540691)</f>
        <v>0.9305697497</v>
      </c>
      <c r="AI501" s="57">
        <f>IFERROR(__xludf.DUMMYFUNCTION("""COMPUTED_VALUE"""),0.6846416112534293)</f>
        <v>0.6846416113</v>
      </c>
      <c r="AJ501" s="57">
        <f>IFERROR(__xludf.DUMMYFUNCTION("""COMPUTED_VALUE"""),1.946686471478749)</f>
        <v>1.946686471</v>
      </c>
      <c r="AK501" s="57">
        <f>IFERROR(__xludf.DUMMYFUNCTION("""COMPUTED_VALUE"""),0.9338832466570305)</f>
        <v>0.9338832467</v>
      </c>
      <c r="AL501" s="57">
        <f>IFERROR(__xludf.DUMMYFUNCTION("""COMPUTED_VALUE"""),0.8075116031335546)</f>
        <v>0.8075116031</v>
      </c>
      <c r="AM501" s="57">
        <f>IFERROR(__xludf.DUMMYFUNCTION("""COMPUTED_VALUE"""),0.9617782621711565)</f>
        <v>0.9617782622</v>
      </c>
      <c r="AN501" s="57">
        <f>IFERROR(__xludf.DUMMYFUNCTION("""COMPUTED_VALUE"""),0.9096705411758256)</f>
        <v>0.9096705412</v>
      </c>
      <c r="AO501" s="57">
        <f>IFERROR(__xludf.DUMMYFUNCTION("""COMPUTED_VALUE"""),0.9957487683227066)</f>
        <v>0.9957487683</v>
      </c>
      <c r="AP501" s="35">
        <f>IFERROR(__xludf.DUMMYFUNCTION("""COMPUTED_VALUE"""),0.9377029544178103)</f>
        <v>0.9377029544</v>
      </c>
      <c r="AQ501" s="57">
        <f>IFERROR(__xludf.DUMMYFUNCTION("""COMPUTED_VALUE"""),0.9852144984710051)</f>
        <v>0.9852144985</v>
      </c>
      <c r="AR501" s="36" t="b">
        <f>IFERROR(__xludf.DUMMYFUNCTION("""COMPUTED_VALUE"""),TRUE)</f>
        <v>1</v>
      </c>
      <c r="AS501" s="57"/>
      <c r="AT501" s="37"/>
      <c r="AU501" s="30"/>
      <c r="AV501" s="30"/>
      <c r="AW501" s="30"/>
      <c r="AX501" s="30"/>
      <c r="AY501" s="30"/>
      <c r="AZ501" s="30"/>
    </row>
    <row r="502">
      <c r="A502" s="30" t="str">
        <f>IFERROR(__xludf.DUMMYFUNCTION("""COMPUTED_VALUE"""),"Prospect")</f>
        <v>Prospect</v>
      </c>
      <c r="B502" s="30" t="str">
        <f>IFERROR(__xludf.DUMMYFUNCTION("""COMPUTED_VALUE"""),"RSC006344")</f>
        <v>RSC006344</v>
      </c>
      <c r="C502" s="30" t="str">
        <f>IFERROR(__xludf.DUMMYFUNCTION("""COMPUTED_VALUE"""),"FerrisCrueller")</f>
        <v>FerrisCrueller</v>
      </c>
      <c r="D502" s="31" t="str">
        <f>IFERROR(__xludf.DUMMYFUNCTION("""COMPUTED_VALUE"""),"Poppy")</f>
        <v>Poppy</v>
      </c>
      <c r="E502" s="31">
        <f>IFERROR(__xludf.DUMMYFUNCTION("""COMPUTED_VALUE"""),57.26251484379402)</f>
        <v>57.26251484</v>
      </c>
      <c r="F502" s="31">
        <f>IFERROR(__xludf.DUMMYFUNCTION("""COMPUTED_VALUE"""),2.592576712460439)</f>
        <v>2.592576712</v>
      </c>
      <c r="G502" s="31">
        <f>IFERROR(__xludf.DUMMYFUNCTION("""COMPUTED_VALUE"""),39.16673035933756)</f>
        <v>39.16673036</v>
      </c>
      <c r="H502" s="31">
        <f>IFERROR(__xludf.DUMMYFUNCTION("""COMPUTED_VALUE"""),-3.0085390950216304)</f>
        <v>-3.008539095</v>
      </c>
      <c r="I502" s="54">
        <f>IFERROR(__xludf.DUMMYFUNCTION("""COMPUTED_VALUE"""),9.0)</f>
        <v>9</v>
      </c>
      <c r="J502" s="55">
        <f>IFERROR(__xludf.DUMMYFUNCTION("""COMPUTED_VALUE"""),4.0)</f>
        <v>4</v>
      </c>
      <c r="K502" s="54">
        <f>IFERROR(__xludf.DUMMYFUNCTION("""COMPUTED_VALUE"""),5.0)</f>
        <v>5</v>
      </c>
      <c r="L502" s="56">
        <f>IFERROR(__xludf.DUMMYFUNCTION("""COMPUTED_VALUE"""),0.4444444444444444)</f>
        <v>0.4444444444</v>
      </c>
      <c r="M502" s="56">
        <f>IFERROR(__xludf.DUMMYFUNCTION("""COMPUTED_VALUE"""),0.3636363636363636)</f>
        <v>0.3636363636</v>
      </c>
      <c r="N502" s="31">
        <f>IFERROR(__xludf.DUMMYFUNCTION("""COMPUTED_VALUE"""),296.6666666666667)</f>
        <v>296.6666667</v>
      </c>
      <c r="O502" s="57">
        <f>IFERROR(__xludf.DUMMYFUNCTION("""COMPUTED_VALUE"""),0.8888888888888888)</f>
        <v>0.8888888889</v>
      </c>
      <c r="P502" s="57">
        <f>IFERROR(__xludf.DUMMYFUNCTION("""COMPUTED_VALUE"""),0.4444444444444444)</f>
        <v>0.4444444444</v>
      </c>
      <c r="Q502" s="57">
        <f>IFERROR(__xludf.DUMMYFUNCTION("""COMPUTED_VALUE"""),0.5555555555555556)</f>
        <v>0.5555555556</v>
      </c>
      <c r="R502" s="57">
        <f>IFERROR(__xludf.DUMMYFUNCTION("""COMPUTED_VALUE"""),2.4444444444444446)</f>
        <v>2.444444444</v>
      </c>
      <c r="S502" s="31">
        <f>IFERROR(__xludf.DUMMYFUNCTION("""COMPUTED_VALUE"""),335.3703703703703)</f>
        <v>335.3703704</v>
      </c>
      <c r="T502" s="57">
        <f>IFERROR(__xludf.DUMMYFUNCTION("""COMPUTED_VALUE"""),0.7037037037037037)</f>
        <v>0.7037037037</v>
      </c>
      <c r="U502" s="57">
        <f>IFERROR(__xludf.DUMMYFUNCTION("""COMPUTED_VALUE"""),0.48148148148148145)</f>
        <v>0.4814814815</v>
      </c>
      <c r="V502" s="57">
        <f>IFERROR(__xludf.DUMMYFUNCTION("""COMPUTED_VALUE"""),1.1851851851851853)</f>
        <v>1.185185185</v>
      </c>
      <c r="W502" s="57">
        <f>IFERROR(__xludf.DUMMYFUNCTION("""COMPUTED_VALUE"""),2.3333333333333335)</f>
        <v>2.333333333</v>
      </c>
      <c r="X502" s="31">
        <f>IFERROR(__xludf.DUMMYFUNCTION("""COMPUTED_VALUE"""),331.35452063049775)</f>
        <v>331.3545206</v>
      </c>
      <c r="Y502" s="57">
        <f>IFERROR(__xludf.DUMMYFUNCTION("""COMPUTED_VALUE"""),0.7920033739142935)</f>
        <v>0.7920033739</v>
      </c>
      <c r="Z502" s="57">
        <f>IFERROR(__xludf.DUMMYFUNCTION("""COMPUTED_VALUE"""),0.5169575475609958)</f>
        <v>0.5169575476</v>
      </c>
      <c r="AA502" s="57">
        <f>IFERROR(__xludf.DUMMYFUNCTION("""COMPUTED_VALUE"""),1.175447675993653)</f>
        <v>1.175447676</v>
      </c>
      <c r="AB502" s="57">
        <f>IFERROR(__xludf.DUMMYFUNCTION("""COMPUTED_VALUE"""),2.3736060177583167)</f>
        <v>2.373606018</v>
      </c>
      <c r="AC502" s="31">
        <f>IFERROR(__xludf.DUMMYFUNCTION("""COMPUTED_VALUE"""),331.2476277669046)</f>
        <v>331.2476278</v>
      </c>
      <c r="AD502" s="57">
        <f>IFERROR(__xludf.DUMMYFUNCTION("""COMPUTED_VALUE"""),0.7789525339142197)</f>
        <v>0.7789525339</v>
      </c>
      <c r="AE502" s="57">
        <f>IFERROR(__xludf.DUMMYFUNCTION("""COMPUTED_VALUE"""),0.5258828040485128)</f>
        <v>0.525882804</v>
      </c>
      <c r="AF502" s="57">
        <f>IFERROR(__xludf.DUMMYFUNCTION("""COMPUTED_VALUE"""),1.1478325906391038)</f>
        <v>1.147832591</v>
      </c>
      <c r="AG502" s="57">
        <f>IFERROR(__xludf.DUMMYFUNCTION("""COMPUTED_VALUE"""),2.424594768612968)</f>
        <v>2.424594769</v>
      </c>
      <c r="AH502" s="57">
        <f>IFERROR(__xludf.DUMMYFUNCTION("""COMPUTED_VALUE"""),0.8956038981067899)</f>
        <v>0.8956038981</v>
      </c>
      <c r="AI502" s="57">
        <f>IFERROR(__xludf.DUMMYFUNCTION("""COMPUTED_VALUE"""),1.1411335738549322)</f>
        <v>1.141133574</v>
      </c>
      <c r="AJ502" s="57">
        <f>IFERROR(__xludf.DUMMYFUNCTION("""COMPUTED_VALUE"""),0.8451397174862639)</f>
        <v>0.8451397175</v>
      </c>
      <c r="AK502" s="57">
        <f>IFERROR(__xludf.DUMMYFUNCTION("""COMPUTED_VALUE"""),0.48400399159796187)</f>
        <v>0.4840039916</v>
      </c>
      <c r="AL502" s="57">
        <f>IFERROR(__xludf.DUMMYFUNCTION("""COMPUTED_VALUE"""),1.0081868013939632)</f>
        <v>1.008186801</v>
      </c>
      <c r="AM502" s="57">
        <f>IFERROR(__xludf.DUMMYFUNCTION("""COMPUTED_VALUE"""),1.0121194958566773)</f>
        <v>1.012119496</v>
      </c>
      <c r="AN502" s="57">
        <f>IFERROR(__xludf.DUMMYFUNCTION("""COMPUTED_VALUE"""),0.8885109923532407)</f>
        <v>0.8885109924</v>
      </c>
      <c r="AO502" s="57">
        <f>IFERROR(__xludf.DUMMYFUNCTION("""COMPUTED_VALUE"""),0.9313752816901691)</f>
        <v>0.9313752817</v>
      </c>
      <c r="AP502" s="35">
        <f>IFERROR(__xludf.DUMMYFUNCTION("""COMPUTED_VALUE"""),1.0082840856215065)</f>
        <v>1.008284086</v>
      </c>
      <c r="AQ502" s="57">
        <f>IFERROR(__xludf.DUMMYFUNCTION("""COMPUTED_VALUE"""),0.9830331217044109)</f>
        <v>0.9830331217</v>
      </c>
      <c r="AR502" s="36" t="b">
        <f>IFERROR(__xludf.DUMMYFUNCTION("""COMPUTED_VALUE"""),TRUE)</f>
        <v>1</v>
      </c>
      <c r="AS502" s="57"/>
      <c r="AT502" s="37"/>
      <c r="AU502" s="30"/>
      <c r="AV502" s="30"/>
      <c r="AW502" s="30"/>
      <c r="AX502" s="30"/>
      <c r="AY502" s="30"/>
      <c r="AZ502" s="30"/>
    </row>
    <row r="503">
      <c r="A503" s="30" t="str">
        <f>IFERROR(__xludf.DUMMYFUNCTION("""COMPUTED_VALUE"""),"Prospect")</f>
        <v>Prospect</v>
      </c>
      <c r="B503" s="30" t="str">
        <f>IFERROR(__xludf.DUMMYFUNCTION("""COMPUTED_VALUE"""),"RSC007423")</f>
        <v>RSC007423</v>
      </c>
      <c r="C503" s="30" t="str">
        <f>IFERROR(__xludf.DUMMYFUNCTION("""COMPUTED_VALUE"""),"Valuedsquash465")</f>
        <v>Valuedsquash465</v>
      </c>
      <c r="D503" s="31" t="str">
        <f>IFERROR(__xludf.DUMMYFUNCTION("""COMPUTED_VALUE"""),"Tic Tacs")</f>
        <v>Tic Tacs</v>
      </c>
      <c r="E503" s="31">
        <f>IFERROR(__xludf.DUMMYFUNCTION("""COMPUTED_VALUE"""),56.34712170752788)</f>
        <v>56.34712171</v>
      </c>
      <c r="F503" s="31">
        <f>IFERROR(__xludf.DUMMYFUNCTION("""COMPUTED_VALUE"""),2.5012990959230916)</f>
        <v>2.501299096</v>
      </c>
      <c r="G503" s="31">
        <f>IFERROR(__xludf.DUMMYFUNCTION("""COMPUTED_VALUE"""),49.57942589640783)</f>
        <v>49.5794259</v>
      </c>
      <c r="H503" s="31">
        <f>IFERROR(__xludf.DUMMYFUNCTION("""COMPUTED_VALUE"""),-2.027209510637978)</f>
        <v>-2.027209511</v>
      </c>
      <c r="I503" s="54">
        <f>IFERROR(__xludf.DUMMYFUNCTION("""COMPUTED_VALUE"""),18.0)</f>
        <v>18</v>
      </c>
      <c r="J503" s="55">
        <f>IFERROR(__xludf.DUMMYFUNCTION("""COMPUTED_VALUE"""),7.0)</f>
        <v>7</v>
      </c>
      <c r="K503" s="54">
        <f>IFERROR(__xludf.DUMMYFUNCTION("""COMPUTED_VALUE"""),11.0)</f>
        <v>11</v>
      </c>
      <c r="L503" s="56">
        <f>IFERROR(__xludf.DUMMYFUNCTION("""COMPUTED_VALUE"""),0.3888888888888889)</f>
        <v>0.3888888889</v>
      </c>
      <c r="M503" s="56">
        <f>IFERROR(__xludf.DUMMYFUNCTION("""COMPUTED_VALUE"""),0.3095238095238095)</f>
        <v>0.3095238095</v>
      </c>
      <c r="N503" s="31">
        <f>IFERROR(__xludf.DUMMYFUNCTION("""COMPUTED_VALUE"""),346.1666666666667)</f>
        <v>346.1666667</v>
      </c>
      <c r="O503" s="57">
        <f>IFERROR(__xludf.DUMMYFUNCTION("""COMPUTED_VALUE"""),0.7222222222222222)</f>
        <v>0.7222222222</v>
      </c>
      <c r="P503" s="57">
        <f>IFERROR(__xludf.DUMMYFUNCTION("""COMPUTED_VALUE"""),0.8333333333333334)</f>
        <v>0.8333333333</v>
      </c>
      <c r="Q503" s="57">
        <f>IFERROR(__xludf.DUMMYFUNCTION("""COMPUTED_VALUE"""),1.4444444444444444)</f>
        <v>1.444444444</v>
      </c>
      <c r="R503" s="57">
        <f>IFERROR(__xludf.DUMMYFUNCTION("""COMPUTED_VALUE"""),2.3333333333333335)</f>
        <v>2.333333333</v>
      </c>
      <c r="S503" s="31">
        <f>IFERROR(__xludf.DUMMYFUNCTION("""COMPUTED_VALUE"""),364.6111111111111)</f>
        <v>364.6111111</v>
      </c>
      <c r="T503" s="57">
        <f>IFERROR(__xludf.DUMMYFUNCTION("""COMPUTED_VALUE"""),1.074074074074074)</f>
        <v>1.074074074</v>
      </c>
      <c r="U503" s="57">
        <f>IFERROR(__xludf.DUMMYFUNCTION("""COMPUTED_VALUE"""),0.5370370370370371)</f>
        <v>0.537037037</v>
      </c>
      <c r="V503" s="57">
        <f>IFERROR(__xludf.DUMMYFUNCTION("""COMPUTED_VALUE"""),1.0740740740740737)</f>
        <v>1.074074074</v>
      </c>
      <c r="W503" s="57">
        <f>IFERROR(__xludf.DUMMYFUNCTION("""COMPUTED_VALUE"""),3.0)</f>
        <v>3</v>
      </c>
      <c r="X503" s="31">
        <f>IFERROR(__xludf.DUMMYFUNCTION("""COMPUTED_VALUE"""),335.07573883297835)</f>
        <v>335.0757388</v>
      </c>
      <c r="Y503" s="57">
        <f>IFERROR(__xludf.DUMMYFUNCTION("""COMPUTED_VALUE"""),0.7881498060948695)</f>
        <v>0.7881498061</v>
      </c>
      <c r="Z503" s="57">
        <f>IFERROR(__xludf.DUMMYFUNCTION("""COMPUTED_VALUE"""),0.49719317306210936)</f>
        <v>0.4971931731</v>
      </c>
      <c r="AA503" s="57">
        <f>IFERROR(__xludf.DUMMYFUNCTION("""COMPUTED_VALUE"""),1.2508303451486984)</f>
        <v>1.250830345</v>
      </c>
      <c r="AB503" s="57">
        <f>IFERROR(__xludf.DUMMYFUNCTION("""COMPUTED_VALUE"""),2.3233429300002237)</f>
        <v>2.32334293</v>
      </c>
      <c r="AC503" s="31">
        <f>IFERROR(__xludf.DUMMYFUNCTION("""COMPUTED_VALUE"""),333.1421789153192)</f>
        <v>333.1421789</v>
      </c>
      <c r="AD503" s="57">
        <f>IFERROR(__xludf.DUMMYFUNCTION("""COMPUTED_VALUE"""),0.7908012023254806)</f>
        <v>0.7908012023</v>
      </c>
      <c r="AE503" s="57">
        <f>IFERROR(__xludf.DUMMYFUNCTION("""COMPUTED_VALUE"""),0.5393619703045979)</f>
        <v>0.5393619703</v>
      </c>
      <c r="AF503" s="57">
        <f>IFERROR(__xludf.DUMMYFUNCTION("""COMPUTED_VALUE"""),1.141411820335139)</f>
        <v>1.14141182</v>
      </c>
      <c r="AG503" s="57">
        <f>IFERROR(__xludf.DUMMYFUNCTION("""COMPUTED_VALUE"""),2.5225749686971066)</f>
        <v>2.522574969</v>
      </c>
      <c r="AH503" s="57">
        <f>IFERROR(__xludf.DUMMYFUNCTION("""COMPUTED_VALUE"""),1.039095883306503)</f>
        <v>1.039095883</v>
      </c>
      <c r="AI503" s="57">
        <f>IFERROR(__xludf.DUMMYFUNCTION("""COMPUTED_VALUE"""),0.9132791150271514)</f>
        <v>0.913279115</v>
      </c>
      <c r="AJ503" s="57">
        <f>IFERROR(__xludf.DUMMYFUNCTION("""COMPUTED_VALUE"""),1.5450353922111322)</f>
        <v>1.545035392</v>
      </c>
      <c r="AK503" s="57">
        <f>IFERROR(__xludf.DUMMYFUNCTION("""COMPUTED_VALUE"""),1.265489299051003)</f>
        <v>1.265489299</v>
      </c>
      <c r="AL503" s="57">
        <f>IFERROR(__xludf.DUMMYFUNCTION("""COMPUTED_VALUE"""),0.9249807685749315)</f>
        <v>0.9249807686</v>
      </c>
      <c r="AM503" s="57">
        <f>IFERROR(__xludf.DUMMYFUNCTION("""COMPUTED_VALUE"""),1.0881453619441392)</f>
        <v>1.088145362</v>
      </c>
      <c r="AN503" s="57">
        <f>IFERROR(__xludf.DUMMYFUNCTION("""COMPUTED_VALUE"""),1.3627790881481074)</f>
        <v>1.362779088</v>
      </c>
      <c r="AO503" s="57">
        <f>IFERROR(__xludf.DUMMYFUNCTION("""COMPUTED_VALUE"""),1.0801375926574728)</f>
        <v>1.080137593</v>
      </c>
      <c r="AP503" s="35">
        <f>IFERROR(__xludf.DUMMYFUNCTION("""COMPUTED_VALUE"""),0.8586888527607539)</f>
        <v>0.8586888528</v>
      </c>
      <c r="AQ503" s="57">
        <f>IFERROR(__xludf.DUMMYFUNCTION("""COMPUTED_VALUE"""),1.2912428730440197)</f>
        <v>1.291242873</v>
      </c>
      <c r="AR503" s="36" t="b">
        <f>IFERROR(__xludf.DUMMYFUNCTION("""COMPUTED_VALUE"""),TRUE)</f>
        <v>1</v>
      </c>
      <c r="AS503" s="57"/>
      <c r="AT503" s="37"/>
      <c r="AU503" s="30"/>
      <c r="AV503" s="30"/>
      <c r="AW503" s="30"/>
      <c r="AX503" s="30"/>
      <c r="AY503" s="30"/>
      <c r="AZ503" s="30"/>
    </row>
    <row r="504">
      <c r="A504" s="30" t="str">
        <f>IFERROR(__xludf.DUMMYFUNCTION("""COMPUTED_VALUE"""),"Prospect")</f>
        <v>Prospect</v>
      </c>
      <c r="B504" s="30" t="str">
        <f>IFERROR(__xludf.DUMMYFUNCTION("""COMPUTED_VALUE"""),"RSC003335")</f>
        <v>RSC003335</v>
      </c>
      <c r="C504" s="30" t="str">
        <f>IFERROR(__xludf.DUMMYFUNCTION("""COMPUTED_VALUE"""),"xEaglex20x")</f>
        <v>xEaglex20x</v>
      </c>
      <c r="D504" s="31" t="str">
        <f>IFERROR(__xludf.DUMMYFUNCTION("""COMPUTED_VALUE"""),"Earth")</f>
        <v>Earth</v>
      </c>
      <c r="E504" s="31">
        <f>IFERROR(__xludf.DUMMYFUNCTION("""COMPUTED_VALUE"""),55.107055450714086)</f>
        <v>55.10705545</v>
      </c>
      <c r="F504" s="31">
        <f>IFERROR(__xludf.DUMMYFUNCTION("""COMPUTED_VALUE"""),2.386256219092894)</f>
        <v>2.386256219</v>
      </c>
      <c r="G504" s="31">
        <f>IFERROR(__xludf.DUMMYFUNCTION("""COMPUTED_VALUE"""),48.45906367259316)</f>
        <v>48.45906367</v>
      </c>
      <c r="H504" s="31">
        <f>IFERROR(__xludf.DUMMYFUNCTION("""COMPUTED_VALUE"""),-2.1033777556678683)</f>
        <v>-2.103377756</v>
      </c>
      <c r="I504" s="54">
        <f>IFERROR(__xludf.DUMMYFUNCTION("""COMPUTED_VALUE"""),33.0)</f>
        <v>33</v>
      </c>
      <c r="J504" s="55">
        <f>IFERROR(__xludf.DUMMYFUNCTION("""COMPUTED_VALUE"""),19.0)</f>
        <v>19</v>
      </c>
      <c r="K504" s="54">
        <f>IFERROR(__xludf.DUMMYFUNCTION("""COMPUTED_VALUE"""),14.0)</f>
        <v>14</v>
      </c>
      <c r="L504" s="56">
        <f>IFERROR(__xludf.DUMMYFUNCTION("""COMPUTED_VALUE"""),0.5757575757575758)</f>
        <v>0.5757575758</v>
      </c>
      <c r="M504" s="56">
        <f>IFERROR(__xludf.DUMMYFUNCTION("""COMPUTED_VALUE"""),0.3)</f>
        <v>0.3</v>
      </c>
      <c r="N504" s="31">
        <f>IFERROR(__xludf.DUMMYFUNCTION("""COMPUTED_VALUE"""),318.0)</f>
        <v>318</v>
      </c>
      <c r="O504" s="57">
        <f>IFERROR(__xludf.DUMMYFUNCTION("""COMPUTED_VALUE"""),0.7272727272727273)</f>
        <v>0.7272727273</v>
      </c>
      <c r="P504" s="57">
        <f>IFERROR(__xludf.DUMMYFUNCTION("""COMPUTED_VALUE"""),0.6363636363636364)</f>
        <v>0.6363636364</v>
      </c>
      <c r="Q504" s="57">
        <f>IFERROR(__xludf.DUMMYFUNCTION("""COMPUTED_VALUE"""),1.2424242424242424)</f>
        <v>1.242424242</v>
      </c>
      <c r="R504" s="57">
        <f>IFERROR(__xludf.DUMMYFUNCTION("""COMPUTED_VALUE"""),2.4242424242424243)</f>
        <v>2.424242424</v>
      </c>
      <c r="S504" s="31">
        <f>IFERROR(__xludf.DUMMYFUNCTION("""COMPUTED_VALUE"""),326.32323232323233)</f>
        <v>326.3232323</v>
      </c>
      <c r="T504" s="57">
        <f>IFERROR(__xludf.DUMMYFUNCTION("""COMPUTED_VALUE"""),0.7272727272727271)</f>
        <v>0.7272727273</v>
      </c>
      <c r="U504" s="57">
        <f>IFERROR(__xludf.DUMMYFUNCTION("""COMPUTED_VALUE"""),0.43434343434343425)</f>
        <v>0.4343434343</v>
      </c>
      <c r="V504" s="57">
        <f>IFERROR(__xludf.DUMMYFUNCTION("""COMPUTED_VALUE"""),1.3838383838383839)</f>
        <v>1.383838384</v>
      </c>
      <c r="W504" s="57">
        <f>IFERROR(__xludf.DUMMYFUNCTION("""COMPUTED_VALUE"""),2.07070707070707)</f>
        <v>2.070707071</v>
      </c>
      <c r="X504" s="31">
        <f>IFERROR(__xludf.DUMMYFUNCTION("""COMPUTED_VALUE"""),324.6303160514359)</f>
        <v>324.6303161</v>
      </c>
      <c r="Y504" s="57">
        <f>IFERROR(__xludf.DUMMYFUNCTION("""COMPUTED_VALUE"""),0.742988806656082)</f>
        <v>0.7429888067</v>
      </c>
      <c r="Z504" s="57">
        <f>IFERROR(__xludf.DUMMYFUNCTION("""COMPUTED_VALUE"""),0.46548462648489436)</f>
        <v>0.4654846265</v>
      </c>
      <c r="AA504" s="57">
        <f>IFERROR(__xludf.DUMMYFUNCTION("""COMPUTED_VALUE"""),1.2318243661680957)</f>
        <v>1.231824366</v>
      </c>
      <c r="AB504" s="57">
        <f>IFERROR(__xludf.DUMMYFUNCTION("""COMPUTED_VALUE"""),2.228587238005814)</f>
        <v>2.228587238</v>
      </c>
      <c r="AC504" s="31">
        <f>IFERROR(__xludf.DUMMYFUNCTION("""COMPUTED_VALUE"""),339.76775019327573)</f>
        <v>339.7677502</v>
      </c>
      <c r="AD504" s="57">
        <f>IFERROR(__xludf.DUMMYFUNCTION("""COMPUTED_VALUE"""),0.8280978213384278)</f>
        <v>0.8280978213</v>
      </c>
      <c r="AE504" s="57">
        <f>IFERROR(__xludf.DUMMYFUNCTION("""COMPUTED_VALUE"""),0.5676648244681153)</f>
        <v>0.5676648245</v>
      </c>
      <c r="AF504" s="57">
        <f>IFERROR(__xludf.DUMMYFUNCTION("""COMPUTED_VALUE"""),1.1060185873967296)</f>
        <v>1.106018587</v>
      </c>
      <c r="AG504" s="57">
        <f>IFERROR(__xludf.DUMMYFUNCTION("""COMPUTED_VALUE"""),2.6481925228231726)</f>
        <v>2.648192523</v>
      </c>
      <c r="AH504" s="57">
        <f>IFERROR(__xludf.DUMMYFUNCTION("""COMPUTED_VALUE"""),0.9359334422384313)</f>
        <v>0.9359334422</v>
      </c>
      <c r="AI504" s="57">
        <f>IFERROR(__xludf.DUMMYFUNCTION("""COMPUTED_VALUE"""),0.8782449470731125)</f>
        <v>0.8782449471</v>
      </c>
      <c r="AJ504" s="57">
        <f>IFERROR(__xludf.DUMMYFUNCTION("""COMPUTED_VALUE"""),1.1210200261393504)</f>
        <v>1.121020026</v>
      </c>
      <c r="AK504" s="57">
        <f>IFERROR(__xludf.DUMMYFUNCTION("""COMPUTED_VALUE"""),1.123330345965139)</f>
        <v>1.123330346</v>
      </c>
      <c r="AL504" s="57">
        <f>IFERROR(__xludf.DUMMYFUNCTION("""COMPUTED_VALUE"""),0.9154328483859623)</f>
        <v>0.9154328484</v>
      </c>
      <c r="AM504" s="57">
        <f>IFERROR(__xludf.DUMMYFUNCTION("""COMPUTED_VALUE"""),1.0052149050414878)</f>
        <v>1.005214905</v>
      </c>
      <c r="AN504" s="57">
        <f>IFERROR(__xludf.DUMMYFUNCTION("""COMPUTED_VALUE"""),0.978847488357076)</f>
        <v>0.9788474884</v>
      </c>
      <c r="AO504" s="57">
        <f>IFERROR(__xludf.DUMMYFUNCTION("""COMPUTED_VALUE"""),0.9330994186067482)</f>
        <v>0.9330994186</v>
      </c>
      <c r="AP504" s="35">
        <f>IFERROR(__xludf.DUMMYFUNCTION("""COMPUTED_VALUE"""),1.1234055940484167)</f>
        <v>1.123405594</v>
      </c>
      <c r="AQ504" s="57">
        <f>IFERROR(__xludf.DUMMYFUNCTION("""COMPUTED_VALUE"""),0.9291568377462225)</f>
        <v>0.9291568377</v>
      </c>
      <c r="AR504" s="36" t="b">
        <f>IFERROR(__xludf.DUMMYFUNCTION("""COMPUTED_VALUE"""),TRUE)</f>
        <v>1</v>
      </c>
      <c r="AS504" s="57"/>
      <c r="AT504" s="37"/>
      <c r="AU504" s="30"/>
      <c r="AV504" s="30"/>
      <c r="AW504" s="30"/>
      <c r="AX504" s="30"/>
      <c r="AY504" s="30"/>
      <c r="AZ504" s="30"/>
    </row>
    <row r="505">
      <c r="A505" s="30" t="str">
        <f>IFERROR(__xludf.DUMMYFUNCTION("""COMPUTED_VALUE"""),"Prospect")</f>
        <v>Prospect</v>
      </c>
      <c r="B505" s="30" t="str">
        <f>IFERROR(__xludf.DUMMYFUNCTION("""COMPUTED_VALUE"""),"RSC006569")</f>
        <v>RSC006569</v>
      </c>
      <c r="C505" s="30" t="str">
        <f>IFERROR(__xludf.DUMMYFUNCTION("""COMPUTED_VALUE"""),"mulliganisoup")</f>
        <v>mulliganisoup</v>
      </c>
      <c r="D505" s="31" t="str">
        <f>IFERROR(__xludf.DUMMYFUNCTION("""COMPUTED_VALUE"""),"Poppy")</f>
        <v>Poppy</v>
      </c>
      <c r="E505" s="31">
        <f>IFERROR(__xludf.DUMMYFUNCTION("""COMPUTED_VALUE"""),54.61075945567978)</f>
        <v>54.61075946</v>
      </c>
      <c r="F505" s="31">
        <f>IFERROR(__xludf.DUMMYFUNCTION("""COMPUTED_VALUE"""),2.3428096542928762)</f>
        <v>2.342809654</v>
      </c>
      <c r="G505" s="31">
        <f>IFERROR(__xludf.DUMMYFUNCTION("""COMPUTED_VALUE"""),51.63409244123165)</f>
        <v>51.63409244</v>
      </c>
      <c r="H505" s="31">
        <f>IFERROR(__xludf.DUMMYFUNCTION("""COMPUTED_VALUE"""),2.1099618712467354)</f>
        <v>2.109961871</v>
      </c>
      <c r="I505" s="54">
        <f>IFERROR(__xludf.DUMMYFUNCTION("""COMPUTED_VALUE"""),9.0)</f>
        <v>9</v>
      </c>
      <c r="J505" s="55">
        <f>IFERROR(__xludf.DUMMYFUNCTION("""COMPUTED_VALUE"""),4.0)</f>
        <v>4</v>
      </c>
      <c r="K505" s="54">
        <f>IFERROR(__xludf.DUMMYFUNCTION("""COMPUTED_VALUE"""),5.0)</f>
        <v>5</v>
      </c>
      <c r="L505" s="56">
        <f>IFERROR(__xludf.DUMMYFUNCTION("""COMPUTED_VALUE"""),0.4444444444444444)</f>
        <v>0.4444444444</v>
      </c>
      <c r="M505" s="56">
        <f>IFERROR(__xludf.DUMMYFUNCTION("""COMPUTED_VALUE"""),0.23809523809523808)</f>
        <v>0.2380952381</v>
      </c>
      <c r="N505" s="31">
        <f>IFERROR(__xludf.DUMMYFUNCTION("""COMPUTED_VALUE"""),354.1111111111111)</f>
        <v>354.1111111</v>
      </c>
      <c r="O505" s="57">
        <f>IFERROR(__xludf.DUMMYFUNCTION("""COMPUTED_VALUE"""),0.5555555555555556)</f>
        <v>0.5555555556</v>
      </c>
      <c r="P505" s="57">
        <f>IFERROR(__xludf.DUMMYFUNCTION("""COMPUTED_VALUE"""),0.6666666666666666)</f>
        <v>0.6666666667</v>
      </c>
      <c r="Q505" s="57">
        <f>IFERROR(__xludf.DUMMYFUNCTION("""COMPUTED_VALUE"""),1.8888888888888888)</f>
        <v>1.888888889</v>
      </c>
      <c r="R505" s="57">
        <f>IFERROR(__xludf.DUMMYFUNCTION("""COMPUTED_VALUE"""),2.3333333333333335)</f>
        <v>2.333333333</v>
      </c>
      <c r="S505" s="31">
        <f>IFERROR(__xludf.DUMMYFUNCTION("""COMPUTED_VALUE"""),340.2962962962963)</f>
        <v>340.2962963</v>
      </c>
      <c r="T505" s="57">
        <f>IFERROR(__xludf.DUMMYFUNCTION("""COMPUTED_VALUE"""),0.925925925925926)</f>
        <v>0.9259259259</v>
      </c>
      <c r="U505" s="57">
        <f>IFERROR(__xludf.DUMMYFUNCTION("""COMPUTED_VALUE"""),0.48148148148148157)</f>
        <v>0.4814814815</v>
      </c>
      <c r="V505" s="57">
        <f>IFERROR(__xludf.DUMMYFUNCTION("""COMPUTED_VALUE"""),0.9629629629629629)</f>
        <v>0.962962963</v>
      </c>
      <c r="W505" s="57">
        <f>IFERROR(__xludf.DUMMYFUNCTION("""COMPUTED_VALUE"""),3.0740740740740744)</f>
        <v>3.074074074</v>
      </c>
      <c r="X505" s="31">
        <f>IFERROR(__xludf.DUMMYFUNCTION("""COMPUTED_VALUE"""),342.90421095552443)</f>
        <v>342.904211</v>
      </c>
      <c r="Y505" s="57">
        <f>IFERROR(__xludf.DUMMYFUNCTION("""COMPUTED_VALUE"""),0.8737191332749435)</f>
        <v>0.8737191333</v>
      </c>
      <c r="Z505" s="57">
        <f>IFERROR(__xludf.DUMMYFUNCTION("""COMPUTED_VALUE"""),0.5874244265977812)</f>
        <v>0.5874244266</v>
      </c>
      <c r="AA505" s="57">
        <f>IFERROR(__xludf.DUMMYFUNCTION("""COMPUTED_VALUE"""),1.1103031055278458)</f>
        <v>1.110303106</v>
      </c>
      <c r="AB505" s="57">
        <f>IFERROR(__xludf.DUMMYFUNCTION("""COMPUTED_VALUE"""),2.79839741971529)</f>
        <v>2.79839742</v>
      </c>
      <c r="AC505" s="31">
        <f>IFERROR(__xludf.DUMMYFUNCTION("""COMPUTED_VALUE"""),333.5954852478315)</f>
        <v>333.5954852</v>
      </c>
      <c r="AD505" s="57">
        <f>IFERROR(__xludf.DUMMYFUNCTION("""COMPUTED_VALUE"""),0.7056429410567048)</f>
        <v>0.7056429411</v>
      </c>
      <c r="AE505" s="57">
        <f>IFERROR(__xludf.DUMMYFUNCTION("""COMPUTED_VALUE"""),0.5000966235421556)</f>
        <v>0.5000966235</v>
      </c>
      <c r="AF505" s="57">
        <f>IFERROR(__xludf.DUMMYFUNCTION("""COMPUTED_VALUE"""),1.382962438274586)</f>
        <v>1.382962438</v>
      </c>
      <c r="AG505" s="57">
        <f>IFERROR(__xludf.DUMMYFUNCTION("""COMPUTED_VALUE"""),2.2353544371086578)</f>
        <v>2.235354437</v>
      </c>
      <c r="AH505" s="57">
        <f>IFERROR(__xludf.DUMMYFUNCTION("""COMPUTED_VALUE"""),1.0614985117320708)</f>
        <v>1.061498512</v>
      </c>
      <c r="AI505" s="57">
        <f>IFERROR(__xludf.DUMMYFUNCTION("""COMPUTED_VALUE"""),0.7873040644658156)</f>
        <v>0.7873040645</v>
      </c>
      <c r="AJ505" s="57">
        <f>IFERROR(__xludf.DUMMYFUNCTION("""COMPUTED_VALUE"""),1.3330757203372121)</f>
        <v>1.33307572</v>
      </c>
      <c r="AK505" s="57">
        <f>IFERROR(__xludf.DUMMYFUNCTION("""COMPUTED_VALUE"""),1.3658280489855585)</f>
        <v>1.365828049</v>
      </c>
      <c r="AL505" s="57">
        <f>IFERROR(__xludf.DUMMYFUNCTION("""COMPUTED_VALUE"""),1.0438314813070126)</f>
        <v>1.043831481</v>
      </c>
      <c r="AM505" s="57">
        <f>IFERROR(__xludf.DUMMYFUNCTION("""COMPUTED_VALUE"""),0.9923946263244741)</f>
        <v>0.9923946263</v>
      </c>
      <c r="AN505" s="57">
        <f>IFERROR(__xludf.DUMMYFUNCTION("""COMPUTED_VALUE"""),1.0597523742616197)</f>
        <v>1.059752374</v>
      </c>
      <c r="AO505" s="57">
        <f>IFERROR(__xludf.DUMMYFUNCTION("""COMPUTED_VALUE"""),0.8196483831462453)</f>
        <v>0.8196483831</v>
      </c>
      <c r="AP505" s="35">
        <f>IFERROR(__xludf.DUMMYFUNCTION("""COMPUTED_VALUE"""),0.8672973696720082)</f>
        <v>0.8672973697</v>
      </c>
      <c r="AQ505" s="57">
        <f>IFERROR(__xludf.DUMMYFUNCTION("""COMPUTED_VALUE"""),1.0985123315282472)</f>
        <v>1.098512332</v>
      </c>
      <c r="AR505" s="36" t="b">
        <f>IFERROR(__xludf.DUMMYFUNCTION("""COMPUTED_VALUE"""),TRUE)</f>
        <v>1</v>
      </c>
      <c r="AS505" s="57"/>
      <c r="AT505" s="37"/>
      <c r="AU505" s="30"/>
      <c r="AV505" s="30"/>
      <c r="AW505" s="30"/>
      <c r="AX505" s="30"/>
      <c r="AY505" s="30"/>
      <c r="AZ505" s="30"/>
    </row>
    <row r="506">
      <c r="A506" s="30" t="str">
        <f>IFERROR(__xludf.DUMMYFUNCTION("""COMPUTED_VALUE"""),"Prospect")</f>
        <v>Prospect</v>
      </c>
      <c r="B506" s="30" t="str">
        <f>IFERROR(__xludf.DUMMYFUNCTION("""COMPUTED_VALUE"""),"RSC006586")</f>
        <v>RSC006586</v>
      </c>
      <c r="C506" s="30" t="str">
        <f>IFERROR(__xludf.DUMMYFUNCTION("""COMPUTED_VALUE"""),"dino_chick3n")</f>
        <v>dino_chick3n</v>
      </c>
      <c r="D506" s="31"/>
      <c r="E506" s="31">
        <f>IFERROR(__xludf.DUMMYFUNCTION("""COMPUTED_VALUE"""),53.62617648952041)</f>
        <v>53.62617649</v>
      </c>
      <c r="F506" s="31">
        <f>IFERROR(__xludf.DUMMYFUNCTION("""COMPUTED_VALUE"""),2.260720492523202)</f>
        <v>2.260720493</v>
      </c>
      <c r="G506" s="31">
        <f>IFERROR(__xludf.DUMMYFUNCTION("""COMPUTED_VALUE"""),55.250005026947875)</f>
        <v>55.25000503</v>
      </c>
      <c r="H506" s="31">
        <f>IFERROR(__xludf.DUMMYFUNCTION("""COMPUTED_VALUE"""),2.3990379394452974)</f>
        <v>2.399037939</v>
      </c>
      <c r="I506" s="54">
        <f>IFERROR(__xludf.DUMMYFUNCTION("""COMPUTED_VALUE"""),14.0)</f>
        <v>14</v>
      </c>
      <c r="J506" s="55">
        <f>IFERROR(__xludf.DUMMYFUNCTION("""COMPUTED_VALUE"""),4.0)</f>
        <v>4</v>
      </c>
      <c r="K506" s="54">
        <f>IFERROR(__xludf.DUMMYFUNCTION("""COMPUTED_VALUE"""),10.0)</f>
        <v>10</v>
      </c>
      <c r="L506" s="56">
        <f>IFERROR(__xludf.DUMMYFUNCTION("""COMPUTED_VALUE"""),0.2857142857142857)</f>
        <v>0.2857142857</v>
      </c>
      <c r="M506" s="56">
        <f>IFERROR(__xludf.DUMMYFUNCTION("""COMPUTED_VALUE"""),0.2857142857142857)</f>
        <v>0.2857142857</v>
      </c>
      <c r="N506" s="31">
        <f>IFERROR(__xludf.DUMMYFUNCTION("""COMPUTED_VALUE"""),342.0)</f>
        <v>342</v>
      </c>
      <c r="O506" s="57">
        <f>IFERROR(__xludf.DUMMYFUNCTION("""COMPUTED_VALUE"""),0.7142857142857143)</f>
        <v>0.7142857143</v>
      </c>
      <c r="P506" s="57">
        <f>IFERROR(__xludf.DUMMYFUNCTION("""COMPUTED_VALUE"""),0.5714285714285714)</f>
        <v>0.5714285714</v>
      </c>
      <c r="Q506" s="57">
        <f>IFERROR(__xludf.DUMMYFUNCTION("""COMPUTED_VALUE"""),1.1428571428571428)</f>
        <v>1.142857143</v>
      </c>
      <c r="R506" s="57">
        <f>IFERROR(__xludf.DUMMYFUNCTION("""COMPUTED_VALUE"""),2.5)</f>
        <v>2.5</v>
      </c>
      <c r="S506" s="31">
        <f>IFERROR(__xludf.DUMMYFUNCTION("""COMPUTED_VALUE"""),358.4047619047619)</f>
        <v>358.4047619</v>
      </c>
      <c r="T506" s="57">
        <f>IFERROR(__xludf.DUMMYFUNCTION("""COMPUTED_VALUE"""),0.9285714285714287)</f>
        <v>0.9285714286</v>
      </c>
      <c r="U506" s="57">
        <f>IFERROR(__xludf.DUMMYFUNCTION("""COMPUTED_VALUE"""),0.6904761904761905)</f>
        <v>0.6904761905</v>
      </c>
      <c r="V506" s="57">
        <f>IFERROR(__xludf.DUMMYFUNCTION("""COMPUTED_VALUE"""),1.4047619047619047)</f>
        <v>1.404761905</v>
      </c>
      <c r="W506" s="57">
        <f>IFERROR(__xludf.DUMMYFUNCTION("""COMPUTED_VALUE"""),2.3095238095238098)</f>
        <v>2.30952381</v>
      </c>
      <c r="X506" s="31">
        <f>IFERROR(__xludf.DUMMYFUNCTION("""COMPUTED_VALUE"""),328.95923237895715)</f>
        <v>328.9592324</v>
      </c>
      <c r="Y506" s="57">
        <f>IFERROR(__xludf.DUMMYFUNCTION("""COMPUTED_VALUE"""),0.7721348620027929)</f>
        <v>0.772134862</v>
      </c>
      <c r="Z506" s="57">
        <f>IFERROR(__xludf.DUMMYFUNCTION("""COMPUTED_VALUE"""),0.5822542145225995)</f>
        <v>0.5822542145</v>
      </c>
      <c r="AA506" s="57">
        <f>IFERROR(__xludf.DUMMYFUNCTION("""COMPUTED_VALUE"""),1.112333505761312)</f>
        <v>1.112333506</v>
      </c>
      <c r="AB506" s="57">
        <f>IFERROR(__xludf.DUMMYFUNCTION("""COMPUTED_VALUE"""),2.423601754503806)</f>
        <v>2.423601755</v>
      </c>
      <c r="AC506" s="31">
        <f>IFERROR(__xludf.DUMMYFUNCTION("""COMPUTED_VALUE"""),326.9035084169159)</f>
        <v>326.9035084</v>
      </c>
      <c r="AD506" s="57">
        <f>IFERROR(__xludf.DUMMYFUNCTION("""COMPUTED_VALUE"""),0.755016141010155)</f>
        <v>0.755016141</v>
      </c>
      <c r="AE506" s="57">
        <f>IFERROR(__xludf.DUMMYFUNCTION("""COMPUTED_VALUE"""),0.48605047231472115)</f>
        <v>0.4860504723</v>
      </c>
      <c r="AF506" s="57">
        <f>IFERROR(__xludf.DUMMYFUNCTION("""COMPUTED_VALUE"""),1.2332138511427164)</f>
        <v>1.233213851</v>
      </c>
      <c r="AG506" s="57">
        <f>IFERROR(__xludf.DUMMYFUNCTION("""COMPUTED_VALUE"""),2.2933058840004317)</f>
        <v>2.293305884</v>
      </c>
      <c r="AH506" s="57">
        <f>IFERROR(__xludf.DUMMYFUNCTION("""COMPUTED_VALUE"""),1.0461802678600525)</f>
        <v>1.046180268</v>
      </c>
      <c r="AI506" s="57">
        <f>IFERROR(__xludf.DUMMYFUNCTION("""COMPUTED_VALUE"""),0.9460535682456451)</f>
        <v>0.9460535682</v>
      </c>
      <c r="AJ506" s="57">
        <f>IFERROR(__xludf.DUMMYFUNCTION("""COMPUTED_VALUE"""),1.1756568586534926)</f>
        <v>1.175656859</v>
      </c>
      <c r="AK506" s="57">
        <f>IFERROR(__xludf.DUMMYFUNCTION("""COMPUTED_VALUE"""),0.9267307059502716)</f>
        <v>0.926730706</v>
      </c>
      <c r="AL506" s="57">
        <f>IFERROR(__xludf.DUMMYFUNCTION("""COMPUTED_VALUE"""),1.0901293270302923)</f>
        <v>1.090129327</v>
      </c>
      <c r="AM506" s="57">
        <f>IFERROR(__xludf.DUMMYFUNCTION("""COMPUTED_VALUE"""),1.0895111814095062)</f>
        <v>1.089511181</v>
      </c>
      <c r="AN506" s="57">
        <f>IFERROR(__xludf.DUMMYFUNCTION("""COMPUTED_VALUE"""),1.2026026465931932)</f>
        <v>1.202602647</v>
      </c>
      <c r="AO506" s="57">
        <f>IFERROR(__xludf.DUMMYFUNCTION("""COMPUTED_VALUE"""),1.1858672264696686)</f>
        <v>1.185867226</v>
      </c>
      <c r="AP506" s="35">
        <f>IFERROR(__xludf.DUMMYFUNCTION("""COMPUTED_VALUE"""),1.2628963323373474)</f>
        <v>1.262896332</v>
      </c>
      <c r="AQ506" s="57">
        <f>IFERROR(__xludf.DUMMYFUNCTION("""COMPUTED_VALUE"""),0.9529304083197645)</f>
        <v>0.9529304083</v>
      </c>
      <c r="AR506" s="36" t="b">
        <f>IFERROR(__xludf.DUMMYFUNCTION("""COMPUTED_VALUE"""),TRUE)</f>
        <v>1</v>
      </c>
      <c r="AS506" s="57"/>
      <c r="AT506" s="37"/>
      <c r="AU506" s="30"/>
      <c r="AV506" s="30"/>
      <c r="AW506" s="30"/>
      <c r="AX506" s="30"/>
      <c r="AY506" s="30"/>
      <c r="AZ506" s="30"/>
    </row>
    <row r="507">
      <c r="A507" s="30" t="str">
        <f>IFERROR(__xludf.DUMMYFUNCTION("""COMPUTED_VALUE"""),"Prospect")</f>
        <v>Prospect</v>
      </c>
      <c r="B507" s="30" t="str">
        <f>IFERROR(__xludf.DUMMYFUNCTION("""COMPUTED_VALUE"""),"RSC002596")</f>
        <v>RSC002596</v>
      </c>
      <c r="C507" s="30" t="str">
        <f>IFERROR(__xludf.DUMMYFUNCTION("""COMPUTED_VALUE"""),"Jeff Wadowski")</f>
        <v>Jeff Wadowski</v>
      </c>
      <c r="D507" s="31" t="str">
        <f>IFERROR(__xludf.DUMMYFUNCTION("""COMPUTED_VALUE"""),"Tic Tacs")</f>
        <v>Tic Tacs</v>
      </c>
      <c r="E507" s="31">
        <f>IFERROR(__xludf.DUMMYFUNCTION("""COMPUTED_VALUE"""),53.40002335845166)</f>
        <v>53.40002336</v>
      </c>
      <c r="F507" s="31">
        <f>IFERROR(__xludf.DUMMYFUNCTION("""COMPUTED_VALUE"""),2.2426036462080225)</f>
        <v>2.242603646</v>
      </c>
      <c r="G507" s="31">
        <f>IFERROR(__xludf.DUMMYFUNCTION("""COMPUTED_VALUE"""),55.598016164830504)</f>
        <v>55.59801616</v>
      </c>
      <c r="H507" s="31">
        <f>IFERROR(__xludf.DUMMYFUNCTION("""COMPUTED_VALUE"""),2.430668079577711)</f>
        <v>2.43066808</v>
      </c>
      <c r="I507" s="54">
        <f>IFERROR(__xludf.DUMMYFUNCTION("""COMPUTED_VALUE"""),36.0)</f>
        <v>36</v>
      </c>
      <c r="J507" s="55">
        <f>IFERROR(__xludf.DUMMYFUNCTION("""COMPUTED_VALUE"""),17.0)</f>
        <v>17</v>
      </c>
      <c r="K507" s="54">
        <f>IFERROR(__xludf.DUMMYFUNCTION("""COMPUTED_VALUE"""),19.0)</f>
        <v>19</v>
      </c>
      <c r="L507" s="56">
        <f>IFERROR(__xludf.DUMMYFUNCTION("""COMPUTED_VALUE"""),0.4722222222222222)</f>
        <v>0.4722222222</v>
      </c>
      <c r="M507" s="56">
        <f>IFERROR(__xludf.DUMMYFUNCTION("""COMPUTED_VALUE"""),0.2962962962962963)</f>
        <v>0.2962962963</v>
      </c>
      <c r="N507" s="31">
        <f>IFERROR(__xludf.DUMMYFUNCTION("""COMPUTED_VALUE"""),380.47222222222223)</f>
        <v>380.4722222</v>
      </c>
      <c r="O507" s="57">
        <f>IFERROR(__xludf.DUMMYFUNCTION("""COMPUTED_VALUE"""),0.6666666666666666)</f>
        <v>0.6666666667</v>
      </c>
      <c r="P507" s="57">
        <f>IFERROR(__xludf.DUMMYFUNCTION("""COMPUTED_VALUE"""),0.7222222222222222)</f>
        <v>0.7222222222</v>
      </c>
      <c r="Q507" s="57">
        <f>IFERROR(__xludf.DUMMYFUNCTION("""COMPUTED_VALUE"""),1.75)</f>
        <v>1.75</v>
      </c>
      <c r="R507" s="57">
        <f>IFERROR(__xludf.DUMMYFUNCTION("""COMPUTED_VALUE"""),2.25)</f>
        <v>2.25</v>
      </c>
      <c r="S507" s="31">
        <f>IFERROR(__xludf.DUMMYFUNCTION("""COMPUTED_VALUE"""),344.9814814814815)</f>
        <v>344.9814815</v>
      </c>
      <c r="T507" s="57">
        <f>IFERROR(__xludf.DUMMYFUNCTION("""COMPUTED_VALUE"""),0.9351851851851851)</f>
        <v>0.9351851852</v>
      </c>
      <c r="U507" s="57">
        <f>IFERROR(__xludf.DUMMYFUNCTION("""COMPUTED_VALUE"""),0.574074074074074)</f>
        <v>0.5740740741</v>
      </c>
      <c r="V507" s="57">
        <f>IFERROR(__xludf.DUMMYFUNCTION("""COMPUTED_VALUE"""),1.0)</f>
        <v>1</v>
      </c>
      <c r="W507" s="57">
        <f>IFERROR(__xludf.DUMMYFUNCTION("""COMPUTED_VALUE"""),2.805555555555554)</f>
        <v>2.805555556</v>
      </c>
      <c r="X507" s="31">
        <f>IFERROR(__xludf.DUMMYFUNCTION("""COMPUTED_VALUE"""),332.43339269826566)</f>
        <v>332.4333927</v>
      </c>
      <c r="Y507" s="57">
        <f>IFERROR(__xludf.DUMMYFUNCTION("""COMPUTED_VALUE"""),0.7723393090092662)</f>
        <v>0.772339309</v>
      </c>
      <c r="Z507" s="57">
        <f>IFERROR(__xludf.DUMMYFUNCTION("""COMPUTED_VALUE"""),0.5084713861539336)</f>
        <v>0.5084713862</v>
      </c>
      <c r="AA507" s="57">
        <f>IFERROR(__xludf.DUMMYFUNCTION("""COMPUTED_VALUE"""),1.2296064725356564)</f>
        <v>1.229606473</v>
      </c>
      <c r="AB507" s="57">
        <f>IFERROR(__xludf.DUMMYFUNCTION("""COMPUTED_VALUE"""),2.386805577111385)</f>
        <v>2.386805577</v>
      </c>
      <c r="AC507" s="31">
        <f>IFERROR(__xludf.DUMMYFUNCTION("""COMPUTED_VALUE"""),335.4986294389007)</f>
        <v>335.4986294</v>
      </c>
      <c r="AD507" s="57">
        <f>IFERROR(__xludf.DUMMYFUNCTION("""COMPUTED_VALUE"""),0.785008305866798)</f>
        <v>0.7850083059</v>
      </c>
      <c r="AE507" s="57">
        <f>IFERROR(__xludf.DUMMYFUNCTION("""COMPUTED_VALUE"""),0.5291303714126673)</f>
        <v>0.5291303714</v>
      </c>
      <c r="AF507" s="57">
        <f>IFERROR(__xludf.DUMMYFUNCTION("""COMPUTED_VALUE"""),1.201756077549244)</f>
        <v>1.201756078</v>
      </c>
      <c r="AG507" s="57">
        <f>IFERROR(__xludf.DUMMYFUNCTION("""COMPUTED_VALUE"""),2.4889321994910643)</f>
        <v>2.488932199</v>
      </c>
      <c r="AH507" s="57">
        <f>IFERROR(__xludf.DUMMYFUNCTION("""COMPUTED_VALUE"""),1.1340500044919315)</f>
        <v>1.134050004</v>
      </c>
      <c r="AI507" s="57">
        <f>IFERROR(__xludf.DUMMYFUNCTION("""COMPUTED_VALUE"""),0.8492479145561909)</f>
        <v>0.8492479146</v>
      </c>
      <c r="AJ507" s="57">
        <f>IFERROR(__xludf.DUMMYFUNCTION("""COMPUTED_VALUE"""),1.3649230156530991)</f>
        <v>1.364923016</v>
      </c>
      <c r="AK507" s="57">
        <f>IFERROR(__xludf.DUMMYFUNCTION("""COMPUTED_VALUE"""),1.456202329817875)</f>
        <v>1.45620233</v>
      </c>
      <c r="AL507" s="57">
        <f>IFERROR(__xludf.DUMMYFUNCTION("""COMPUTED_VALUE"""),0.904002126076427)</f>
        <v>0.9040021261</v>
      </c>
      <c r="AM507" s="57">
        <f>IFERROR(__xludf.DUMMYFUNCTION("""COMPUTED_VALUE"""),1.0377461742978544)</f>
        <v>1.037746174</v>
      </c>
      <c r="AN507" s="57">
        <f>IFERROR(__xludf.DUMMYFUNCTION("""COMPUTED_VALUE"""),1.2108475825020648)</f>
        <v>1.210847583</v>
      </c>
      <c r="AO507" s="57">
        <f>IFERROR(__xludf.DUMMYFUNCTION("""COMPUTED_VALUE"""),1.1290194290309188)</f>
        <v>1.129019429</v>
      </c>
      <c r="AP507" s="35">
        <f>IFERROR(__xludf.DUMMYFUNCTION("""COMPUTED_VALUE"""),0.8132683279861328)</f>
        <v>0.813268328</v>
      </c>
      <c r="AQ507" s="57">
        <f>IFERROR(__xludf.DUMMYFUNCTION("""COMPUTED_VALUE"""),1.1754436902862269)</f>
        <v>1.17544369</v>
      </c>
      <c r="AR507" s="36" t="b">
        <f>IFERROR(__xludf.DUMMYFUNCTION("""COMPUTED_VALUE"""),TRUE)</f>
        <v>1</v>
      </c>
      <c r="AS507" s="57"/>
      <c r="AT507" s="37"/>
      <c r="AU507" s="30"/>
      <c r="AV507" s="30"/>
      <c r="AW507" s="30"/>
      <c r="AX507" s="30"/>
      <c r="AY507" s="30"/>
      <c r="AZ507" s="30"/>
    </row>
    <row r="508">
      <c r="A508" s="30" t="str">
        <f>IFERROR(__xludf.DUMMYFUNCTION("""COMPUTED_VALUE"""),"Prospect")</f>
        <v>Prospect</v>
      </c>
      <c r="B508" s="30" t="str">
        <f>IFERROR(__xludf.DUMMYFUNCTION("""COMPUTED_VALUE"""),"RSC004106")</f>
        <v>RSC004106</v>
      </c>
      <c r="C508" s="30" t="str">
        <f>IFERROR(__xludf.DUMMYFUNCTION("""COMPUTED_VALUE"""),"K.Doughboy")</f>
        <v>K.Doughboy</v>
      </c>
      <c r="D508" s="31" t="str">
        <f>IFERROR(__xludf.DUMMYFUNCTION("""COMPUTED_VALUE"""),"Blacktips")</f>
        <v>Blacktips</v>
      </c>
      <c r="E508" s="31">
        <f>IFERROR(__xludf.DUMMYFUNCTION("""COMPUTED_VALUE"""),52.57863698931108)</f>
        <v>52.57863699</v>
      </c>
      <c r="F508" s="31">
        <f>IFERROR(__xludf.DUMMYFUNCTION("""COMPUTED_VALUE"""),2.1790111954208222)</f>
        <v>2.179011195</v>
      </c>
      <c r="G508" s="31">
        <f>IFERROR(__xludf.DUMMYFUNCTION("""COMPUTED_VALUE"""),47.24118634352699)</f>
        <v>47.24118634</v>
      </c>
      <c r="H508" s="31">
        <f>IFERROR(__xludf.DUMMYFUNCTION("""COMPUTED_VALUE"""),-2.192670419425528)</f>
        <v>-2.192670419</v>
      </c>
      <c r="I508" s="54">
        <f>IFERROR(__xludf.DUMMYFUNCTION("""COMPUTED_VALUE"""),36.0)</f>
        <v>36</v>
      </c>
      <c r="J508" s="55">
        <f>IFERROR(__xludf.DUMMYFUNCTION("""COMPUTED_VALUE"""),24.0)</f>
        <v>24</v>
      </c>
      <c r="K508" s="54">
        <f>IFERROR(__xludf.DUMMYFUNCTION("""COMPUTED_VALUE"""),12.0)</f>
        <v>12</v>
      </c>
      <c r="L508" s="56">
        <f>IFERROR(__xludf.DUMMYFUNCTION("""COMPUTED_VALUE"""),0.6666666666666666)</f>
        <v>0.6666666667</v>
      </c>
      <c r="M508" s="56">
        <f>IFERROR(__xludf.DUMMYFUNCTION("""COMPUTED_VALUE"""),0.3835616438356165)</f>
        <v>0.3835616438</v>
      </c>
      <c r="N508" s="31">
        <f>IFERROR(__xludf.DUMMYFUNCTION("""COMPUTED_VALUE"""),318.05555555555554)</f>
        <v>318.0555556</v>
      </c>
      <c r="O508" s="57">
        <f>IFERROR(__xludf.DUMMYFUNCTION("""COMPUTED_VALUE"""),0.7777777777777778)</f>
        <v>0.7777777778</v>
      </c>
      <c r="P508" s="57">
        <f>IFERROR(__xludf.DUMMYFUNCTION("""COMPUTED_VALUE"""),0.5277777777777778)</f>
        <v>0.5277777778</v>
      </c>
      <c r="Q508" s="57">
        <f>IFERROR(__xludf.DUMMYFUNCTION("""COMPUTED_VALUE"""),1.0)</f>
        <v>1</v>
      </c>
      <c r="R508" s="57">
        <f>IFERROR(__xludf.DUMMYFUNCTION("""COMPUTED_VALUE"""),2.0277777777777777)</f>
        <v>2.027777778</v>
      </c>
      <c r="S508" s="31">
        <f>IFERROR(__xludf.DUMMYFUNCTION("""COMPUTED_VALUE"""),312.7777777777778)</f>
        <v>312.7777778</v>
      </c>
      <c r="T508" s="57">
        <f>IFERROR(__xludf.DUMMYFUNCTION("""COMPUTED_VALUE"""),0.6481481481481483)</f>
        <v>0.6481481481</v>
      </c>
      <c r="U508" s="57">
        <f>IFERROR(__xludf.DUMMYFUNCTION("""COMPUTED_VALUE"""),0.4722222222222222)</f>
        <v>0.4722222222</v>
      </c>
      <c r="V508" s="57">
        <f>IFERROR(__xludf.DUMMYFUNCTION("""COMPUTED_VALUE"""),1.1388888888888886)</f>
        <v>1.138888889</v>
      </c>
      <c r="W508" s="57">
        <f>IFERROR(__xludf.DUMMYFUNCTION("""COMPUTED_VALUE"""),2.1944444444444446)</f>
        <v>2.194444444</v>
      </c>
      <c r="X508" s="31">
        <f>IFERROR(__xludf.DUMMYFUNCTION("""COMPUTED_VALUE"""),332.6429784736055)</f>
        <v>332.6429785</v>
      </c>
      <c r="Y508" s="57">
        <f>IFERROR(__xludf.DUMMYFUNCTION("""COMPUTED_VALUE"""),0.7445445976948115)</f>
        <v>0.7445445977</v>
      </c>
      <c r="Z508" s="57">
        <f>IFERROR(__xludf.DUMMYFUNCTION("""COMPUTED_VALUE"""),0.5216776865473066)</f>
        <v>0.5216776865</v>
      </c>
      <c r="AA508" s="57">
        <f>IFERROR(__xludf.DUMMYFUNCTION("""COMPUTED_VALUE"""),1.2407899109905254)</f>
        <v>1.240789911</v>
      </c>
      <c r="AB508" s="57">
        <f>IFERROR(__xludf.DUMMYFUNCTION("""COMPUTED_VALUE"""),2.416513036956415)</f>
        <v>2.416513037</v>
      </c>
      <c r="AC508" s="31">
        <f>IFERROR(__xludf.DUMMYFUNCTION("""COMPUTED_VALUE"""),339.73029972575875)</f>
        <v>339.7302997</v>
      </c>
      <c r="AD508" s="57">
        <f>IFERROR(__xludf.DUMMYFUNCTION("""COMPUTED_VALUE"""),0.7933218122930701)</f>
        <v>0.7933218123</v>
      </c>
      <c r="AE508" s="57">
        <f>IFERROR(__xludf.DUMMYFUNCTION("""COMPUTED_VALUE"""),0.5348708579208551)</f>
        <v>0.5348708579</v>
      </c>
      <c r="AF508" s="57">
        <f>IFERROR(__xludf.DUMMYFUNCTION("""COMPUTED_VALUE"""),1.223843680176057)</f>
        <v>1.22384368</v>
      </c>
      <c r="AG508" s="57">
        <f>IFERROR(__xludf.DUMMYFUNCTION("""COMPUTED_VALUE"""),2.5145047248582855)</f>
        <v>2.514504725</v>
      </c>
      <c r="AH508" s="57">
        <f>IFERROR(__xludf.DUMMYFUNCTION("""COMPUTED_VALUE"""),0.9362001440916522)</f>
        <v>0.9362001441</v>
      </c>
      <c r="AI508" s="57">
        <f>IFERROR(__xludf.DUMMYFUNCTION("""COMPUTED_VALUE"""),0.9804063946378043)</f>
        <v>0.9804063946</v>
      </c>
      <c r="AJ508" s="57">
        <f>IFERROR(__xludf.DUMMYFUNCTION("""COMPUTED_VALUE"""),0.9867387051696003)</f>
        <v>0.9867387052</v>
      </c>
      <c r="AK508" s="57">
        <f>IFERROR(__xludf.DUMMYFUNCTION("""COMPUTED_VALUE"""),0.817097817473016)</f>
        <v>0.8170978175</v>
      </c>
      <c r="AL508" s="57">
        <f>IFERROR(__xludf.DUMMYFUNCTION("""COMPUTED_VALUE"""),0.8064322797771083)</f>
        <v>0.8064322798</v>
      </c>
      <c r="AM508" s="57">
        <f>IFERROR(__xludf.DUMMYFUNCTION("""COMPUTED_VALUE"""),0.940280715417524)</f>
        <v>0.9402807154</v>
      </c>
      <c r="AN508" s="57">
        <f>IFERROR(__xludf.DUMMYFUNCTION("""COMPUTED_VALUE"""),0.8705296501443744)</f>
        <v>0.8705296501</v>
      </c>
      <c r="AO508" s="57">
        <f>IFERROR(__xludf.DUMMYFUNCTION("""COMPUTED_VALUE"""),0.905199195594501)</f>
        <v>0.9051991956</v>
      </c>
      <c r="AP508" s="35">
        <f>IFERROR(__xludf.DUMMYFUNCTION("""COMPUTED_VALUE"""),0.9178740726378981)</f>
        <v>0.9178740726</v>
      </c>
      <c r="AQ508" s="57">
        <f>IFERROR(__xludf.DUMMYFUNCTION("""COMPUTED_VALUE"""),0.9081037059946242)</f>
        <v>0.908103706</v>
      </c>
      <c r="AR508" s="36" t="b">
        <f>IFERROR(__xludf.DUMMYFUNCTION("""COMPUTED_VALUE"""),TRUE)</f>
        <v>1</v>
      </c>
      <c r="AS508" s="57"/>
      <c r="AT508" s="37"/>
      <c r="AU508" s="30"/>
      <c r="AV508" s="30"/>
      <c r="AW508" s="30"/>
      <c r="AX508" s="30"/>
      <c r="AY508" s="30"/>
      <c r="AZ508" s="30"/>
    </row>
    <row r="509">
      <c r="A509" s="30" t="str">
        <f>IFERROR(__xludf.DUMMYFUNCTION("""COMPUTED_VALUE"""),"Prospect")</f>
        <v>Prospect</v>
      </c>
      <c r="B509" s="30" t="str">
        <f>IFERROR(__xludf.DUMMYFUNCTION("""COMPUTED_VALUE"""),"RSC007864")</f>
        <v>RSC007864</v>
      </c>
      <c r="C509" s="30" t="str">
        <f>IFERROR(__xludf.DUMMYFUNCTION("""COMPUTED_VALUE"""),"z . a . c")</f>
        <v>z . a . c</v>
      </c>
      <c r="D509" s="31" t="str">
        <f>IFERROR(__xludf.DUMMYFUNCTION("""COMPUTED_VALUE"""),"Khans")</f>
        <v>Khans</v>
      </c>
      <c r="E509" s="31">
        <f>IFERROR(__xludf.DUMMYFUNCTION("""COMPUTED_VALUE"""),52.57778916039703)</f>
        <v>52.57778916</v>
      </c>
      <c r="F509" s="31">
        <f>IFERROR(__xludf.DUMMYFUNCTION("""COMPUTED_VALUE"""),2.178947299225236)</f>
        <v>2.178947299</v>
      </c>
      <c r="G509" s="31">
        <f>IFERROR(__xludf.DUMMYFUNCTION("""COMPUTED_VALUE"""),30.673948100506202)</f>
        <v>30.6739481</v>
      </c>
      <c r="H509" s="31">
        <f>IFERROR(__xludf.DUMMYFUNCTION("""COMPUTED_VALUE"""),-4.550651806450452)</f>
        <v>-4.550651806</v>
      </c>
      <c r="I509" s="54">
        <f>IFERROR(__xludf.DUMMYFUNCTION("""COMPUTED_VALUE"""),12.0)</f>
        <v>12</v>
      </c>
      <c r="J509" s="55">
        <f>IFERROR(__xludf.DUMMYFUNCTION("""COMPUTED_VALUE"""),7.0)</f>
        <v>7</v>
      </c>
      <c r="K509" s="54">
        <f>IFERROR(__xludf.DUMMYFUNCTION("""COMPUTED_VALUE"""),5.0)</f>
        <v>5</v>
      </c>
      <c r="L509" s="56">
        <f>IFERROR(__xludf.DUMMYFUNCTION("""COMPUTED_VALUE"""),0.5833333333333334)</f>
        <v>0.5833333333</v>
      </c>
      <c r="M509" s="56">
        <f>IFERROR(__xludf.DUMMYFUNCTION("""COMPUTED_VALUE"""),0.4230769230769231)</f>
        <v>0.4230769231</v>
      </c>
      <c r="N509" s="31">
        <f>IFERROR(__xludf.DUMMYFUNCTION("""COMPUTED_VALUE"""),317.4166666666667)</f>
        <v>317.4166667</v>
      </c>
      <c r="O509" s="57">
        <f>IFERROR(__xludf.DUMMYFUNCTION("""COMPUTED_VALUE"""),0.9166666666666666)</f>
        <v>0.9166666667</v>
      </c>
      <c r="P509" s="57">
        <f>IFERROR(__xludf.DUMMYFUNCTION("""COMPUTED_VALUE"""),0.3333333333333333)</f>
        <v>0.3333333333</v>
      </c>
      <c r="Q509" s="57">
        <f>IFERROR(__xludf.DUMMYFUNCTION("""COMPUTED_VALUE"""),1.3333333333333333)</f>
        <v>1.333333333</v>
      </c>
      <c r="R509" s="57">
        <f>IFERROR(__xludf.DUMMYFUNCTION("""COMPUTED_VALUE"""),2.1666666666666665)</f>
        <v>2.166666667</v>
      </c>
      <c r="S509" s="31">
        <f>IFERROR(__xludf.DUMMYFUNCTION("""COMPUTED_VALUE"""),320.02777777777777)</f>
        <v>320.0277778</v>
      </c>
      <c r="T509" s="57">
        <f>IFERROR(__xludf.DUMMYFUNCTION("""COMPUTED_VALUE"""),0.8055555555555557)</f>
        <v>0.8055555556</v>
      </c>
      <c r="U509" s="57">
        <f>IFERROR(__xludf.DUMMYFUNCTION("""COMPUTED_VALUE"""),0.4166666666666666)</f>
        <v>0.4166666667</v>
      </c>
      <c r="V509" s="57">
        <f>IFERROR(__xludf.DUMMYFUNCTION("""COMPUTED_VALUE"""),1.0833333333333333)</f>
        <v>1.083333333</v>
      </c>
      <c r="W509" s="57">
        <f>IFERROR(__xludf.DUMMYFUNCTION("""COMPUTED_VALUE"""),2.972222222222222)</f>
        <v>2.972222222</v>
      </c>
      <c r="X509" s="31">
        <f>IFERROR(__xludf.DUMMYFUNCTION("""COMPUTED_VALUE"""),328.4301349420475)</f>
        <v>328.4301349</v>
      </c>
      <c r="Y509" s="57">
        <f>IFERROR(__xludf.DUMMYFUNCTION("""COMPUTED_VALUE"""),0.797730514264183)</f>
        <v>0.7977305143</v>
      </c>
      <c r="Z509" s="57">
        <f>IFERROR(__xludf.DUMMYFUNCTION("""COMPUTED_VALUE"""),0.5317964099468507)</f>
        <v>0.5317964099</v>
      </c>
      <c r="AA509" s="57">
        <f>IFERROR(__xludf.DUMMYFUNCTION("""COMPUTED_VALUE"""),1.125916921605368)</f>
        <v>1.125916922</v>
      </c>
      <c r="AB509" s="57">
        <f>IFERROR(__xludf.DUMMYFUNCTION("""COMPUTED_VALUE"""),2.5922681785395594)</f>
        <v>2.592268179</v>
      </c>
      <c r="AC509" s="31">
        <f>IFERROR(__xludf.DUMMYFUNCTION("""COMPUTED_VALUE"""),329.09143142383016)</f>
        <v>329.0914314</v>
      </c>
      <c r="AD509" s="57">
        <f>IFERROR(__xludf.DUMMYFUNCTION("""COMPUTED_VALUE"""),0.7741435505742867)</f>
        <v>0.7741435506</v>
      </c>
      <c r="AE509" s="57">
        <f>IFERROR(__xludf.DUMMYFUNCTION("""COMPUTED_VALUE"""),0.48353501394037574)</f>
        <v>0.4835350139</v>
      </c>
      <c r="AF509" s="57">
        <f>IFERROR(__xludf.DUMMYFUNCTION("""COMPUTED_VALUE"""),1.2963013819150264)</f>
        <v>1.296301382</v>
      </c>
      <c r="AG509" s="57">
        <f>IFERROR(__xludf.DUMMYFUNCTION("""COMPUTED_VALUE"""),2.3177866210963907)</f>
        <v>2.317786621</v>
      </c>
      <c r="AH509" s="57">
        <f>IFERROR(__xludf.DUMMYFUNCTION("""COMPUTED_VALUE"""),0.9645242517963715)</f>
        <v>0.9645242518</v>
      </c>
      <c r="AI509" s="57">
        <f>IFERROR(__xludf.DUMMYFUNCTION("""COMPUTED_VALUE"""),1.1841042478318797)</f>
        <v>1.184104248</v>
      </c>
      <c r="AJ509" s="57">
        <f>IFERROR(__xludf.DUMMYFUNCTION("""COMPUTED_VALUE"""),0.6893675198761022)</f>
        <v>0.6893675199</v>
      </c>
      <c r="AK509" s="57">
        <f>IFERROR(__xludf.DUMMYFUNCTION("""COMPUTED_VALUE"""),1.0285673933044794)</f>
        <v>1.028567393</v>
      </c>
      <c r="AL509" s="57">
        <f>IFERROR(__xludf.DUMMYFUNCTION("""COMPUTED_VALUE"""),0.9347998849185525)</f>
        <v>0.9347998849</v>
      </c>
      <c r="AM509" s="57">
        <f>IFERROR(__xludf.DUMMYFUNCTION("""COMPUTED_VALUE"""),0.974416607155271)</f>
        <v>0.9744166072</v>
      </c>
      <c r="AN509" s="57">
        <f>IFERROR(__xludf.DUMMYFUNCTION("""COMPUTED_VALUE"""),1.0098091287113298)</f>
        <v>1.009809129</v>
      </c>
      <c r="AO509" s="57">
        <f>IFERROR(__xludf.DUMMYFUNCTION("""COMPUTED_VALUE"""),0.7835078591604434)</f>
        <v>0.7835078592</v>
      </c>
      <c r="AP509" s="35">
        <f>IFERROR(__xludf.DUMMYFUNCTION("""COMPUTED_VALUE"""),0.9621787474236397)</f>
        <v>0.9621787474</v>
      </c>
      <c r="AQ509" s="57">
        <f>IFERROR(__xludf.DUMMYFUNCTION("""COMPUTED_VALUE"""),1.1465720432894109)</f>
        <v>1.146572043</v>
      </c>
      <c r="AR509" s="36" t="b">
        <f>IFERROR(__xludf.DUMMYFUNCTION("""COMPUTED_VALUE"""),TRUE)</f>
        <v>1</v>
      </c>
      <c r="AS509" s="57"/>
      <c r="AT509" s="37"/>
      <c r="AU509" s="30"/>
      <c r="AV509" s="30"/>
      <c r="AW509" s="30"/>
      <c r="AX509" s="30"/>
      <c r="AY509" s="30"/>
      <c r="AZ509" s="30"/>
    </row>
    <row r="510">
      <c r="A510" s="30" t="str">
        <f>IFERROR(__xludf.DUMMYFUNCTION("""COMPUTED_VALUE"""),"Prospect")</f>
        <v>Prospect</v>
      </c>
      <c r="B510" s="30" t="str">
        <f>IFERROR(__xludf.DUMMYFUNCTION("""COMPUTED_VALUE"""),"RSC007886")</f>
        <v>RSC007886</v>
      </c>
      <c r="C510" s="30" t="str">
        <f>IFERROR(__xludf.DUMMYFUNCTION("""COMPUTED_VALUE"""),"BabyDino8453")</f>
        <v>BabyDino8453</v>
      </c>
      <c r="D510" s="31" t="str">
        <f>IFERROR(__xludf.DUMMYFUNCTION("""COMPUTED_VALUE"""),"Dime")</f>
        <v>Dime</v>
      </c>
      <c r="E510" s="31">
        <f>IFERROR(__xludf.DUMMYFUNCTION("""COMPUTED_VALUE"""),52.00171927004803)</f>
        <v>52.00171927</v>
      </c>
      <c r="F510" s="31">
        <f>IFERROR(__xludf.DUMMYFUNCTION("""COMPUTED_VALUE"""),2.1363354594283)</f>
        <v>2.136335459</v>
      </c>
      <c r="G510" s="31">
        <f>IFERROR(__xludf.DUMMYFUNCTION("""COMPUTED_VALUE"""),39.575670528528505)</f>
        <v>39.57567053</v>
      </c>
      <c r="H510" s="31">
        <f>IFERROR(__xludf.DUMMYFUNCTION("""COMPUTED_VALUE"""),-2.955528054266091)</f>
        <v>-2.955528054</v>
      </c>
      <c r="I510" s="54">
        <f>IFERROR(__xludf.DUMMYFUNCTION("""COMPUTED_VALUE"""),18.0)</f>
        <v>18</v>
      </c>
      <c r="J510" s="55">
        <f>IFERROR(__xludf.DUMMYFUNCTION("""COMPUTED_VALUE"""),9.0)</f>
        <v>9</v>
      </c>
      <c r="K510" s="54">
        <f>IFERROR(__xludf.DUMMYFUNCTION("""COMPUTED_VALUE"""),9.0)</f>
        <v>9</v>
      </c>
      <c r="L510" s="56">
        <f>IFERROR(__xludf.DUMMYFUNCTION("""COMPUTED_VALUE"""),0.5)</f>
        <v>0.5</v>
      </c>
      <c r="M510" s="56">
        <f>IFERROR(__xludf.DUMMYFUNCTION("""COMPUTED_VALUE"""),0.33333333333333337)</f>
        <v>0.3333333333</v>
      </c>
      <c r="N510" s="31">
        <f>IFERROR(__xludf.DUMMYFUNCTION("""COMPUTED_VALUE"""),297.8333333333333)</f>
        <v>297.8333333</v>
      </c>
      <c r="O510" s="57">
        <f>IFERROR(__xludf.DUMMYFUNCTION("""COMPUTED_VALUE"""),0.8333333333333334)</f>
        <v>0.8333333333</v>
      </c>
      <c r="P510" s="57">
        <f>IFERROR(__xludf.DUMMYFUNCTION("""COMPUTED_VALUE"""),0.4444444444444444)</f>
        <v>0.4444444444</v>
      </c>
      <c r="Q510" s="57">
        <f>IFERROR(__xludf.DUMMYFUNCTION("""COMPUTED_VALUE"""),0.8888888888888888)</f>
        <v>0.8888888889</v>
      </c>
      <c r="R510" s="57">
        <f>IFERROR(__xludf.DUMMYFUNCTION("""COMPUTED_VALUE"""),2.5)</f>
        <v>2.5</v>
      </c>
      <c r="S510" s="31">
        <f>IFERROR(__xludf.DUMMYFUNCTION("""COMPUTED_VALUE"""),318.03703703703707)</f>
        <v>318.037037</v>
      </c>
      <c r="T510" s="57">
        <f>IFERROR(__xludf.DUMMYFUNCTION("""COMPUTED_VALUE"""),0.7037037037037037)</f>
        <v>0.7037037037</v>
      </c>
      <c r="U510" s="57">
        <f>IFERROR(__xludf.DUMMYFUNCTION("""COMPUTED_VALUE"""),0.4259259259259259)</f>
        <v>0.4259259259</v>
      </c>
      <c r="V510" s="57">
        <f>IFERROR(__xludf.DUMMYFUNCTION("""COMPUTED_VALUE"""),1.3888888888888888)</f>
        <v>1.388888889</v>
      </c>
      <c r="W510" s="57">
        <f>IFERROR(__xludf.DUMMYFUNCTION("""COMPUTED_VALUE"""),2.074074074074074)</f>
        <v>2.074074074</v>
      </c>
      <c r="X510" s="31">
        <f>IFERROR(__xludf.DUMMYFUNCTION("""COMPUTED_VALUE"""),327.00866438115077)</f>
        <v>327.0086644</v>
      </c>
      <c r="Y510" s="57">
        <f>IFERROR(__xludf.DUMMYFUNCTION("""COMPUTED_VALUE"""),0.6905311285236764)</f>
        <v>0.6905311285</v>
      </c>
      <c r="Z510" s="57">
        <f>IFERROR(__xludf.DUMMYFUNCTION("""COMPUTED_VALUE"""),0.4734917097739976)</f>
        <v>0.4734917098</v>
      </c>
      <c r="AA510" s="57">
        <f>IFERROR(__xludf.DUMMYFUNCTION("""COMPUTED_VALUE"""),1.3113649981696471)</f>
        <v>1.311364998</v>
      </c>
      <c r="AB510" s="57">
        <f>IFERROR(__xludf.DUMMYFUNCTION("""COMPUTED_VALUE"""),2.3413142733481465)</f>
        <v>2.341314273</v>
      </c>
      <c r="AC510" s="31">
        <f>IFERROR(__xludf.DUMMYFUNCTION("""COMPUTED_VALUE"""),343.1543378516013)</f>
        <v>343.1543379</v>
      </c>
      <c r="AD510" s="57">
        <f>IFERROR(__xludf.DUMMYFUNCTION("""COMPUTED_VALUE"""),0.8491691807788336)</f>
        <v>0.8491691808</v>
      </c>
      <c r="AE510" s="57">
        <f>IFERROR(__xludf.DUMMYFUNCTION("""COMPUTED_VALUE"""),0.5527993089409767)</f>
        <v>0.5527993089</v>
      </c>
      <c r="AF510" s="57">
        <f>IFERROR(__xludf.DUMMYFUNCTION("""COMPUTED_VALUE"""),1.1694188465437274)</f>
        <v>1.169418847</v>
      </c>
      <c r="AG510" s="57">
        <f>IFERROR(__xludf.DUMMYFUNCTION("""COMPUTED_VALUE"""),2.6914667852775676)</f>
        <v>2.691466785</v>
      </c>
      <c r="AH510" s="57">
        <f>IFERROR(__xludf.DUMMYFUNCTION("""COMPUTED_VALUE"""),0.8679282191156001)</f>
        <v>0.8679282191</v>
      </c>
      <c r="AI510" s="57">
        <f>IFERROR(__xludf.DUMMYFUNCTION("""COMPUTED_VALUE"""),0.9813513634220968)</f>
        <v>0.9813513634</v>
      </c>
      <c r="AJ510" s="57">
        <f>IFERROR(__xludf.DUMMYFUNCTION("""COMPUTED_VALUE"""),0.8039887844575769)</f>
        <v>0.8039887845</v>
      </c>
      <c r="AK510" s="57">
        <f>IFERROR(__xludf.DUMMYFUNCTION("""COMPUTED_VALUE"""),0.7601116499157183)</f>
        <v>0.7601116499</v>
      </c>
      <c r="AL510" s="57">
        <f>IFERROR(__xludf.DUMMYFUNCTION("""COMPUTED_VALUE"""),0.9288615463044543)</f>
        <v>0.9288615463</v>
      </c>
      <c r="AM510" s="57">
        <f>IFERROR(__xludf.DUMMYFUNCTION("""COMPUTED_VALUE"""),0.972564557697295)</f>
        <v>0.9725645577</v>
      </c>
      <c r="AN510" s="57">
        <f>IFERROR(__xludf.DUMMYFUNCTION("""COMPUTED_VALUE"""),1.0190760048836462)</f>
        <v>1.019076005</v>
      </c>
      <c r="AO510" s="57">
        <f>IFERROR(__xludf.DUMMYFUNCTION("""COMPUTED_VALUE"""),0.8995425202464994)</f>
        <v>0.8995425202</v>
      </c>
      <c r="AP510" s="35">
        <f>IFERROR(__xludf.DUMMYFUNCTION("""COMPUTED_VALUE"""),1.0591169436636227)</f>
        <v>1.059116944</v>
      </c>
      <c r="AQ510" s="57">
        <f>IFERROR(__xludf.DUMMYFUNCTION("""COMPUTED_VALUE"""),0.8858588945891868)</f>
        <v>0.8858588946</v>
      </c>
      <c r="AR510" s="36" t="b">
        <f>IFERROR(__xludf.DUMMYFUNCTION("""COMPUTED_VALUE"""),TRUE)</f>
        <v>1</v>
      </c>
      <c r="AS510" s="57"/>
      <c r="AT510" s="37"/>
      <c r="AU510" s="30"/>
      <c r="AV510" s="30"/>
      <c r="AW510" s="30"/>
      <c r="AX510" s="30"/>
      <c r="AY510" s="30"/>
      <c r="AZ510" s="30"/>
    </row>
    <row r="511">
      <c r="A511" s="30" t="str">
        <f>IFERROR(__xludf.DUMMYFUNCTION("""COMPUTED_VALUE"""),"Prospect")</f>
        <v>Prospect</v>
      </c>
      <c r="B511" s="30" t="str">
        <f>IFERROR(__xludf.DUMMYFUNCTION("""COMPUTED_VALUE"""),"RSC007865")</f>
        <v>RSC007865</v>
      </c>
      <c r="C511" s="30" t="str">
        <f>IFERROR(__xludf.DUMMYFUNCTION("""COMPUTED_VALUE"""),"StoveMessiah")</f>
        <v>StoveMessiah</v>
      </c>
      <c r="D511" s="31" t="str">
        <f>IFERROR(__xludf.DUMMYFUNCTION("""COMPUTED_VALUE"""),"Emus")</f>
        <v>Emus</v>
      </c>
      <c r="E511" s="31">
        <f>IFERROR(__xludf.DUMMYFUNCTION("""COMPUTED_VALUE"""),51.60152665437876)</f>
        <v>51.60152665</v>
      </c>
      <c r="F511" s="31">
        <f>IFERROR(__xludf.DUMMYFUNCTION("""COMPUTED_VALUE"""),2.1076556735928675)</f>
        <v>2.107655674</v>
      </c>
      <c r="G511" s="31">
        <f>IFERROR(__xludf.DUMMYFUNCTION("""COMPUTED_VALUE"""),40.74061592148069)</f>
        <v>40.74061592</v>
      </c>
      <c r="H511" s="31">
        <f>IFERROR(__xludf.DUMMYFUNCTION("""COMPUTED_VALUE"""),-2.8125327606864543)</f>
        <v>-2.812532761</v>
      </c>
      <c r="I511" s="54">
        <f>IFERROR(__xludf.DUMMYFUNCTION("""COMPUTED_VALUE"""),21.0)</f>
        <v>21</v>
      </c>
      <c r="J511" s="55">
        <f>IFERROR(__xludf.DUMMYFUNCTION("""COMPUTED_VALUE"""),11.0)</f>
        <v>11</v>
      </c>
      <c r="K511" s="54">
        <f>IFERROR(__xludf.DUMMYFUNCTION("""COMPUTED_VALUE"""),10.0)</f>
        <v>10</v>
      </c>
      <c r="L511" s="56">
        <f>IFERROR(__xludf.DUMMYFUNCTION("""COMPUTED_VALUE"""),0.5238095238095238)</f>
        <v>0.5238095238</v>
      </c>
      <c r="M511" s="56">
        <f>IFERROR(__xludf.DUMMYFUNCTION("""COMPUTED_VALUE"""),0.23636363636363636)</f>
        <v>0.2363636364</v>
      </c>
      <c r="N511" s="31">
        <f>IFERROR(__xludf.DUMMYFUNCTION("""COMPUTED_VALUE"""),299.3333333333333)</f>
        <v>299.3333333</v>
      </c>
      <c r="O511" s="57">
        <f>IFERROR(__xludf.DUMMYFUNCTION("""COMPUTED_VALUE"""),0.6190476190476191)</f>
        <v>0.619047619</v>
      </c>
      <c r="P511" s="57">
        <f>IFERROR(__xludf.DUMMYFUNCTION("""COMPUTED_VALUE"""),0.5238095238095238)</f>
        <v>0.5238095238</v>
      </c>
      <c r="Q511" s="57">
        <f>IFERROR(__xludf.DUMMYFUNCTION("""COMPUTED_VALUE"""),0.9047619047619048)</f>
        <v>0.9047619048</v>
      </c>
      <c r="R511" s="57">
        <f>IFERROR(__xludf.DUMMYFUNCTION("""COMPUTED_VALUE"""),2.619047619047619)</f>
        <v>2.619047619</v>
      </c>
      <c r="S511" s="31">
        <f>IFERROR(__xludf.DUMMYFUNCTION("""COMPUTED_VALUE"""),348.031746031746)</f>
        <v>348.031746</v>
      </c>
      <c r="T511" s="57">
        <f>IFERROR(__xludf.DUMMYFUNCTION("""COMPUTED_VALUE"""),0.746031746031746)</f>
        <v>0.746031746</v>
      </c>
      <c r="U511" s="57">
        <f>IFERROR(__xludf.DUMMYFUNCTION("""COMPUTED_VALUE"""),0.44444444444444436)</f>
        <v>0.4444444444</v>
      </c>
      <c r="V511" s="57">
        <f>IFERROR(__xludf.DUMMYFUNCTION("""COMPUTED_VALUE"""),1.5555555555555558)</f>
        <v>1.555555556</v>
      </c>
      <c r="W511" s="57">
        <f>IFERROR(__xludf.DUMMYFUNCTION("""COMPUTED_VALUE"""),2.1904761904761902)</f>
        <v>2.19047619</v>
      </c>
      <c r="X511" s="31">
        <f>IFERROR(__xludf.DUMMYFUNCTION("""COMPUTED_VALUE"""),337.2903932046439)</f>
        <v>337.2903932</v>
      </c>
      <c r="Y511" s="57">
        <f>IFERROR(__xludf.DUMMYFUNCTION("""COMPUTED_VALUE"""),0.7980314344794819)</f>
        <v>0.7980314345</v>
      </c>
      <c r="Z511" s="57">
        <f>IFERROR(__xludf.DUMMYFUNCTION("""COMPUTED_VALUE"""),0.5209515453292943)</f>
        <v>0.5209515453</v>
      </c>
      <c r="AA511" s="57">
        <f>IFERROR(__xludf.DUMMYFUNCTION("""COMPUTED_VALUE"""),1.1962080655163583)</f>
        <v>1.196208066</v>
      </c>
      <c r="AB511" s="57">
        <f>IFERROR(__xludf.DUMMYFUNCTION("""COMPUTED_VALUE"""),2.489278789726641)</f>
        <v>2.48927879</v>
      </c>
      <c r="AC511" s="31">
        <f>IFERROR(__xludf.DUMMYFUNCTION("""COMPUTED_VALUE"""),331.30068469950527)</f>
        <v>331.3006847</v>
      </c>
      <c r="AD511" s="57">
        <f>IFERROR(__xludf.DUMMYFUNCTION("""COMPUTED_VALUE"""),0.7803683849193008)</f>
        <v>0.7803683849</v>
      </c>
      <c r="AE511" s="57">
        <f>IFERROR(__xludf.DUMMYFUNCTION("""COMPUTED_VALUE"""),0.5196039197715903)</f>
        <v>0.5196039198</v>
      </c>
      <c r="AF511" s="57">
        <f>IFERROR(__xludf.DUMMYFUNCTION("""COMPUTED_VALUE"""),1.2055757918677596)</f>
        <v>1.205575792</v>
      </c>
      <c r="AG511" s="57">
        <f>IFERROR(__xludf.DUMMYFUNCTION("""COMPUTED_VALUE"""),2.3779280175779824)</f>
        <v>2.377928018</v>
      </c>
      <c r="AH511" s="57">
        <f>IFERROR(__xludf.DUMMYFUNCTION("""COMPUTED_VALUE"""),0.9035095523718376)</f>
        <v>0.9035095524</v>
      </c>
      <c r="AI511" s="57">
        <f>IFERROR(__xludf.DUMMYFUNCTION("""COMPUTED_VALUE"""),0.793276138565808)</f>
        <v>0.7932761386</v>
      </c>
      <c r="AJ511" s="57">
        <f>IFERROR(__xludf.DUMMYFUNCTION("""COMPUTED_VALUE"""),1.0080938651112992)</f>
        <v>1.008093865</v>
      </c>
      <c r="AK511" s="57">
        <f>IFERROR(__xludf.DUMMYFUNCTION("""COMPUTED_VALUE"""),0.750481148398133)</f>
        <v>0.7504811484</v>
      </c>
      <c r="AL511" s="57">
        <f>IFERROR(__xludf.DUMMYFUNCTION("""COMPUTED_VALUE"""),1.1013990329762913)</f>
        <v>1.101399033</v>
      </c>
      <c r="AM511" s="57">
        <f>IFERROR(__xludf.DUMMYFUNCTION("""COMPUTED_VALUE"""),1.031846008790962)</f>
        <v>1.031846009</v>
      </c>
      <c r="AN511" s="57">
        <f>IFERROR(__xludf.DUMMYFUNCTION("""COMPUTED_VALUE"""),0.934840049901477)</f>
        <v>0.9348400499</v>
      </c>
      <c r="AO511" s="57">
        <f>IFERROR(__xludf.DUMMYFUNCTION("""COMPUTED_VALUE"""),0.8531396987478179)</f>
        <v>0.8531396987</v>
      </c>
      <c r="AP511" s="35">
        <f>IFERROR(__xludf.DUMMYFUNCTION("""COMPUTED_VALUE"""),1.300405506699272)</f>
        <v>1.300405507</v>
      </c>
      <c r="AQ511" s="57">
        <f>IFERROR(__xludf.DUMMYFUNCTION("""COMPUTED_VALUE"""),0.8799641886302082)</f>
        <v>0.8799641886</v>
      </c>
      <c r="AR511" s="36" t="b">
        <f>IFERROR(__xludf.DUMMYFUNCTION("""COMPUTED_VALUE"""),TRUE)</f>
        <v>1</v>
      </c>
      <c r="AS511" s="57"/>
      <c r="AT511" s="37"/>
      <c r="AU511" s="30"/>
      <c r="AV511" s="30"/>
      <c r="AW511" s="30"/>
      <c r="AX511" s="30"/>
      <c r="AY511" s="30"/>
      <c r="AZ511" s="30"/>
    </row>
    <row r="512">
      <c r="A512" s="30" t="str">
        <f>IFERROR(__xludf.DUMMYFUNCTION("""COMPUTED_VALUE"""),"Prospect")</f>
        <v>Prospect</v>
      </c>
      <c r="B512" s="30" t="str">
        <f>IFERROR(__xludf.DUMMYFUNCTION("""COMPUTED_VALUE"""),"RSC007600")</f>
        <v>RSC007600</v>
      </c>
      <c r="C512" s="30" t="str">
        <f>IFERROR(__xludf.DUMMYFUNCTION("""COMPUTED_VALUE"""),"CN Tyson")</f>
        <v>CN Tyson</v>
      </c>
      <c r="D512" s="31" t="str">
        <f>IFERROR(__xludf.DUMMYFUNCTION("""COMPUTED_VALUE"""),"Mop Tops")</f>
        <v>Mop Tops</v>
      </c>
      <c r="E512" s="31">
        <f>IFERROR(__xludf.DUMMYFUNCTION("""COMPUTED_VALUE"""),51.347498704385835)</f>
        <v>51.3474987</v>
      </c>
      <c r="F512" s="31">
        <f>IFERROR(__xludf.DUMMYFUNCTION("""COMPUTED_VALUE"""),2.089831669355575)</f>
        <v>2.089831669</v>
      </c>
      <c r="G512" s="31">
        <f>IFERROR(__xludf.DUMMYFUNCTION("""COMPUTED_VALUE"""),45.277398457627385)</f>
        <v>45.27739846</v>
      </c>
      <c r="H512" s="31">
        <f>IFERROR(__xludf.DUMMYFUNCTION("""COMPUTED_VALUE"""),-2.352476188460301)</f>
        <v>-2.352476188</v>
      </c>
      <c r="I512" s="54">
        <f>IFERROR(__xludf.DUMMYFUNCTION("""COMPUTED_VALUE"""),30.0)</f>
        <v>30</v>
      </c>
      <c r="J512" s="55">
        <f>IFERROR(__xludf.DUMMYFUNCTION("""COMPUTED_VALUE"""),11.0)</f>
        <v>11</v>
      </c>
      <c r="K512" s="54">
        <f>IFERROR(__xludf.DUMMYFUNCTION("""COMPUTED_VALUE"""),19.0)</f>
        <v>19</v>
      </c>
      <c r="L512" s="56">
        <f>IFERROR(__xludf.DUMMYFUNCTION("""COMPUTED_VALUE"""),0.36666666666666664)</f>
        <v>0.3666666667</v>
      </c>
      <c r="M512" s="56">
        <f>IFERROR(__xludf.DUMMYFUNCTION("""COMPUTED_VALUE"""),0.2588235294117647)</f>
        <v>0.2588235294</v>
      </c>
      <c r="N512" s="31">
        <f>IFERROR(__xludf.DUMMYFUNCTION("""COMPUTED_VALUE"""),320.1)</f>
        <v>320.1</v>
      </c>
      <c r="O512" s="57">
        <f>IFERROR(__xludf.DUMMYFUNCTION("""COMPUTED_VALUE"""),0.7333333333333333)</f>
        <v>0.7333333333</v>
      </c>
      <c r="P512" s="57">
        <f>IFERROR(__xludf.DUMMYFUNCTION("""COMPUTED_VALUE"""),0.4)</f>
        <v>0.4</v>
      </c>
      <c r="Q512" s="57">
        <f>IFERROR(__xludf.DUMMYFUNCTION("""COMPUTED_VALUE"""),1.3)</f>
        <v>1.3</v>
      </c>
      <c r="R512" s="57">
        <f>IFERROR(__xludf.DUMMYFUNCTION("""COMPUTED_VALUE"""),2.8333333333333335)</f>
        <v>2.833333333</v>
      </c>
      <c r="S512" s="31">
        <f>IFERROR(__xludf.DUMMYFUNCTION("""COMPUTED_VALUE"""),343.8666666666667)</f>
        <v>343.8666667</v>
      </c>
      <c r="T512" s="57">
        <f>IFERROR(__xludf.DUMMYFUNCTION("""COMPUTED_VALUE"""),0.9222222222222223)</f>
        <v>0.9222222222</v>
      </c>
      <c r="U512" s="57">
        <f>IFERROR(__xludf.DUMMYFUNCTION("""COMPUTED_VALUE"""),0.5444444444444445)</f>
        <v>0.5444444444</v>
      </c>
      <c r="V512" s="57">
        <f>IFERROR(__xludf.DUMMYFUNCTION("""COMPUTED_VALUE"""),1.211111111111111)</f>
        <v>1.211111111</v>
      </c>
      <c r="W512" s="57">
        <f>IFERROR(__xludf.DUMMYFUNCTION("""COMPUTED_VALUE"""),2.644444444444445)</f>
        <v>2.644444444</v>
      </c>
      <c r="X512" s="31">
        <f>IFERROR(__xludf.DUMMYFUNCTION("""COMPUTED_VALUE"""),339.75599893725126)</f>
        <v>339.7559989</v>
      </c>
      <c r="Y512" s="57">
        <f>IFERROR(__xludf.DUMMYFUNCTION("""COMPUTED_VALUE"""),0.8217563181960109)</f>
        <v>0.8217563182</v>
      </c>
      <c r="Z512" s="57">
        <f>IFERROR(__xludf.DUMMYFUNCTION("""COMPUTED_VALUE"""),0.5444483920155597)</f>
        <v>0.544448392</v>
      </c>
      <c r="AA512" s="57">
        <f>IFERROR(__xludf.DUMMYFUNCTION("""COMPUTED_VALUE"""),1.2224528220933548)</f>
        <v>1.222452822</v>
      </c>
      <c r="AB512" s="57">
        <f>IFERROR(__xludf.DUMMYFUNCTION("""COMPUTED_VALUE"""),2.5522432126619163)</f>
        <v>2.552243213</v>
      </c>
      <c r="AC512" s="31">
        <f>IFERROR(__xludf.DUMMYFUNCTION("""COMPUTED_VALUE"""),333.754882585181)</f>
        <v>333.7548826</v>
      </c>
      <c r="AD512" s="57">
        <f>IFERROR(__xludf.DUMMYFUNCTION("""COMPUTED_VALUE"""),0.7466868872164859)</f>
        <v>0.7466868872</v>
      </c>
      <c r="AE512" s="57">
        <f>IFERROR(__xludf.DUMMYFUNCTION("""COMPUTED_VALUE"""),0.504255662793318)</f>
        <v>0.5042556628</v>
      </c>
      <c r="AF512" s="57">
        <f>IFERROR(__xludf.DUMMYFUNCTION("""COMPUTED_VALUE"""),1.2652092081689283)</f>
        <v>1.265209208</v>
      </c>
      <c r="AG512" s="57">
        <f>IFERROR(__xludf.DUMMYFUNCTION("""COMPUTED_VALUE"""),2.4735433954848753)</f>
        <v>2.473543395</v>
      </c>
      <c r="AH512" s="57">
        <f>IFERROR(__xludf.DUMMYFUNCTION("""COMPUTED_VALUE"""),0.9590870926608962)</f>
        <v>0.9590870927</v>
      </c>
      <c r="AI512" s="57">
        <f>IFERROR(__xludf.DUMMYFUNCTION("""COMPUTED_VALUE"""),0.9821162603605746)</f>
        <v>0.9821162604</v>
      </c>
      <c r="AJ512" s="57">
        <f>IFERROR(__xludf.DUMMYFUNCTION("""COMPUTED_VALUE"""),0.7932484045577296)</f>
        <v>0.7932484046</v>
      </c>
      <c r="AK512" s="57">
        <f>IFERROR(__xludf.DUMMYFUNCTION("""COMPUTED_VALUE"""),1.0274980545560704)</f>
        <v>1.027498055</v>
      </c>
      <c r="AL512" s="57">
        <f>IFERROR(__xludf.DUMMYFUNCTION("""COMPUTED_VALUE"""),1.1454552762264882)</f>
        <v>1.145455276</v>
      </c>
      <c r="AM512" s="57">
        <f>IFERROR(__xludf.DUMMYFUNCTION("""COMPUTED_VALUE"""),1.012098881969041)</f>
        <v>1.012098882</v>
      </c>
      <c r="AN512" s="57">
        <f>IFERROR(__xludf.DUMMYFUNCTION("""COMPUTED_VALUE"""),1.1222575376685422)</f>
        <v>1.122257538</v>
      </c>
      <c r="AO512" s="57">
        <f>IFERROR(__xludf.DUMMYFUNCTION("""COMPUTED_VALUE"""),0.9999927494117475)</f>
        <v>0.9999927494</v>
      </c>
      <c r="AP512" s="35">
        <f>IFERROR(__xludf.DUMMYFUNCTION("""COMPUTED_VALUE"""),0.9907221687600001)</f>
        <v>0.9907221688</v>
      </c>
      <c r="AQ512" s="57">
        <f>IFERROR(__xludf.DUMMYFUNCTION("""COMPUTED_VALUE"""),1.0361255664527227)</f>
        <v>1.036125566</v>
      </c>
      <c r="AR512" s="36" t="b">
        <f>IFERROR(__xludf.DUMMYFUNCTION("""COMPUTED_VALUE"""),TRUE)</f>
        <v>1</v>
      </c>
      <c r="AS512" s="57"/>
      <c r="AT512" s="37"/>
      <c r="AU512" s="30"/>
      <c r="AV512" s="30"/>
      <c r="AW512" s="30"/>
      <c r="AX512" s="30"/>
      <c r="AY512" s="30"/>
      <c r="AZ512" s="30"/>
    </row>
    <row r="513">
      <c r="A513" s="30" t="str">
        <f>IFERROR(__xludf.DUMMYFUNCTION("""COMPUTED_VALUE"""),"Prospect")</f>
        <v>Prospect</v>
      </c>
      <c r="B513" s="30" t="str">
        <f>IFERROR(__xludf.DUMMYFUNCTION("""COMPUTED_VALUE"""),"RSC006115")</f>
        <v>RSC006115</v>
      </c>
      <c r="C513" s="30" t="str">
        <f>IFERROR(__xludf.DUMMYFUNCTION("""COMPUTED_VALUE"""),"Shame")</f>
        <v>Shame</v>
      </c>
      <c r="D513" s="31" t="str">
        <f>IFERROR(__xludf.DUMMYFUNCTION("""COMPUTED_VALUE"""),"Gloom")</f>
        <v>Gloom</v>
      </c>
      <c r="E513" s="31">
        <f>IFERROR(__xludf.DUMMYFUNCTION("""COMPUTED_VALUE"""),49.798864116502116)</f>
        <v>49.79886412</v>
      </c>
      <c r="F513" s="31">
        <f>IFERROR(__xludf.DUMMYFUNCTION("""COMPUTED_VALUE"""),-2.0129214650166665)</f>
        <v>-2.012921465</v>
      </c>
      <c r="G513" s="31">
        <f>IFERROR(__xludf.DUMMYFUNCTION("""COMPUTED_VALUE"""),50.686392793679914)</f>
        <v>50.68639279</v>
      </c>
      <c r="H513" s="31">
        <f>IFERROR(__xludf.DUMMYFUNCTION("""COMPUTED_VALUE"""),2.0447885088517954)</f>
        <v>2.044788509</v>
      </c>
      <c r="I513" s="54">
        <f>IFERROR(__xludf.DUMMYFUNCTION("""COMPUTED_VALUE"""),35.0)</f>
        <v>35</v>
      </c>
      <c r="J513" s="55">
        <f>IFERROR(__xludf.DUMMYFUNCTION("""COMPUTED_VALUE"""),14.0)</f>
        <v>14</v>
      </c>
      <c r="K513" s="54">
        <f>IFERROR(__xludf.DUMMYFUNCTION("""COMPUTED_VALUE"""),21.0)</f>
        <v>21</v>
      </c>
      <c r="L513" s="56">
        <f>IFERROR(__xludf.DUMMYFUNCTION("""COMPUTED_VALUE"""),0.4)</f>
        <v>0.4</v>
      </c>
      <c r="M513" s="56">
        <f>IFERROR(__xludf.DUMMYFUNCTION("""COMPUTED_VALUE"""),0.30120481927710846)</f>
        <v>0.3012048193</v>
      </c>
      <c r="N513" s="31">
        <f>IFERROR(__xludf.DUMMYFUNCTION("""COMPUTED_VALUE"""),381.57142857142856)</f>
        <v>381.5714286</v>
      </c>
      <c r="O513" s="57">
        <f>IFERROR(__xludf.DUMMYFUNCTION("""COMPUTED_VALUE"""),0.7142857142857143)</f>
        <v>0.7142857143</v>
      </c>
      <c r="P513" s="57">
        <f>IFERROR(__xludf.DUMMYFUNCTION("""COMPUTED_VALUE"""),0.34285714285714286)</f>
        <v>0.3428571429</v>
      </c>
      <c r="Q513" s="57">
        <f>IFERROR(__xludf.DUMMYFUNCTION("""COMPUTED_VALUE"""),1.9428571428571428)</f>
        <v>1.942857143</v>
      </c>
      <c r="R513" s="57">
        <f>IFERROR(__xludf.DUMMYFUNCTION("""COMPUTED_VALUE"""),2.3714285714285714)</f>
        <v>2.371428571</v>
      </c>
      <c r="S513" s="31">
        <f>IFERROR(__xludf.DUMMYFUNCTION("""COMPUTED_VALUE"""),333.3904761904762)</f>
        <v>333.3904762</v>
      </c>
      <c r="T513" s="57">
        <f>IFERROR(__xludf.DUMMYFUNCTION("""COMPUTED_VALUE"""),0.8857142857142856)</f>
        <v>0.8857142857</v>
      </c>
      <c r="U513" s="57">
        <f>IFERROR(__xludf.DUMMYFUNCTION("""COMPUTED_VALUE"""),0.5619047619047618)</f>
        <v>0.5619047619</v>
      </c>
      <c r="V513" s="57">
        <f>IFERROR(__xludf.DUMMYFUNCTION("""COMPUTED_VALUE"""),0.9238095238095239)</f>
        <v>0.9238095238</v>
      </c>
      <c r="W513" s="57">
        <f>IFERROR(__xludf.DUMMYFUNCTION("""COMPUTED_VALUE"""),3.0952380952380953)</f>
        <v>3.095238095</v>
      </c>
      <c r="X513" s="31">
        <f>IFERROR(__xludf.DUMMYFUNCTION("""COMPUTED_VALUE"""),350.28227884505105)</f>
        <v>350.2822788</v>
      </c>
      <c r="Y513" s="57">
        <f>IFERROR(__xludf.DUMMYFUNCTION("""COMPUTED_VALUE"""),0.902340887899927)</f>
        <v>0.9023408879</v>
      </c>
      <c r="Z513" s="57">
        <f>IFERROR(__xludf.DUMMYFUNCTION("""COMPUTED_VALUE"""),0.5768123034661197)</f>
        <v>0.5768123035</v>
      </c>
      <c r="AA513" s="57">
        <f>IFERROR(__xludf.DUMMYFUNCTION("""COMPUTED_VALUE"""),1.1567566062786476)</f>
        <v>1.156756606</v>
      </c>
      <c r="AB513" s="57">
        <f>IFERROR(__xludf.DUMMYFUNCTION("""COMPUTED_VALUE"""),2.7056114627031818)</f>
        <v>2.705611463</v>
      </c>
      <c r="AC513" s="31">
        <f>IFERROR(__xludf.DUMMYFUNCTION("""COMPUTED_VALUE"""),329.6563924761642)</f>
        <v>329.6563925</v>
      </c>
      <c r="AD513" s="57">
        <f>IFERROR(__xludf.DUMMYFUNCTION("""COMPUTED_VALUE"""),0.7201339179966894)</f>
        <v>0.720133918</v>
      </c>
      <c r="AE513" s="57">
        <f>IFERROR(__xludf.DUMMYFUNCTION("""COMPUTED_VALUE"""),0.4878606005569719)</f>
        <v>0.4878606006</v>
      </c>
      <c r="AF513" s="57">
        <f>IFERROR(__xludf.DUMMYFUNCTION("""COMPUTED_VALUE"""),1.280340973376939)</f>
        <v>1.280340973</v>
      </c>
      <c r="AG513" s="57">
        <f>IFERROR(__xludf.DUMMYFUNCTION("""COMPUTED_VALUE"""),2.305877276068351)</f>
        <v>2.305877276</v>
      </c>
      <c r="AH513" s="57">
        <f>IFERROR(__xludf.DUMMYFUNCTION("""COMPUTED_VALUE"""),1.1574822672338079)</f>
        <v>1.157482267</v>
      </c>
      <c r="AI513" s="57">
        <f>IFERROR(__xludf.DUMMYFUNCTION("""COMPUTED_VALUE"""),0.9918790053282812)</f>
        <v>0.9918790053</v>
      </c>
      <c r="AJ513" s="57">
        <f>IFERROR(__xludf.DUMMYFUNCTION("""COMPUTED_VALUE"""),0.7027768638535596)</f>
        <v>0.7027768639</v>
      </c>
      <c r="AK513" s="57">
        <f>IFERROR(__xludf.DUMMYFUNCTION("""COMPUTED_VALUE"""),1.517452915478286)</f>
        <v>1.517452915</v>
      </c>
      <c r="AL513" s="57">
        <f>IFERROR(__xludf.DUMMYFUNCTION("""COMPUTED_VALUE"""),1.028427920271624)</f>
        <v>1.02842792</v>
      </c>
      <c r="AM513" s="57">
        <f>IFERROR(__xludf.DUMMYFUNCTION("""COMPUTED_VALUE"""),0.9517765994035713)</f>
        <v>0.9517765994</v>
      </c>
      <c r="AN513" s="57">
        <f>IFERROR(__xludf.DUMMYFUNCTION("""COMPUTED_VALUE"""),0.9815739235486297)</f>
        <v>0.9815739235</v>
      </c>
      <c r="AO513" s="57">
        <f>IFERROR(__xludf.DUMMYFUNCTION("""COMPUTED_VALUE"""),0.9741552989217167)</f>
        <v>0.9741552989</v>
      </c>
      <c r="AP513" s="35">
        <f>IFERROR(__xludf.DUMMYFUNCTION("""COMPUTED_VALUE"""),0.7986204866220493)</f>
        <v>0.7986204866</v>
      </c>
      <c r="AQ513" s="57">
        <f>IFERROR(__xludf.DUMMYFUNCTION("""COMPUTED_VALUE"""),1.1440068679135609)</f>
        <v>1.144006868</v>
      </c>
      <c r="AR513" s="36" t="b">
        <f>IFERROR(__xludf.DUMMYFUNCTION("""COMPUTED_VALUE"""),TRUE)</f>
        <v>1</v>
      </c>
      <c r="AS513" s="57"/>
      <c r="AT513" s="37"/>
      <c r="AU513" s="30"/>
      <c r="AV513" s="30"/>
      <c r="AW513" s="30"/>
      <c r="AX513" s="30"/>
      <c r="AY513" s="30"/>
      <c r="AZ513" s="30"/>
    </row>
    <row r="514">
      <c r="A514" s="30" t="str">
        <f>IFERROR(__xludf.DUMMYFUNCTION("""COMPUTED_VALUE"""),"Prospect")</f>
        <v>Prospect</v>
      </c>
      <c r="B514" s="30" t="str">
        <f>IFERROR(__xludf.DUMMYFUNCTION("""COMPUTED_VALUE"""),"RSC006495")</f>
        <v>RSC006495</v>
      </c>
      <c r="C514" s="30" t="str">
        <f>IFERROR(__xludf.DUMMYFUNCTION("""COMPUTED_VALUE"""),"Hype.56")</f>
        <v>Hype.56</v>
      </c>
      <c r="D514" s="31" t="str">
        <f>IFERROR(__xludf.DUMMYFUNCTION("""COMPUTED_VALUE"""),"Prism Proteges")</f>
        <v>Prism Proteges</v>
      </c>
      <c r="E514" s="31">
        <f>IFERROR(__xludf.DUMMYFUNCTION("""COMPUTED_VALUE"""),49.08610339113761)</f>
        <v>49.08610339</v>
      </c>
      <c r="F514" s="31">
        <f>IFERROR(__xludf.DUMMYFUNCTION("""COMPUTED_VALUE"""),-2.0600735257017635)</f>
        <v>-2.060073526</v>
      </c>
      <c r="G514" s="31">
        <f>IFERROR(__xludf.DUMMYFUNCTION("""COMPUTED_VALUE"""),43.92030338208255)</f>
        <v>43.92030338</v>
      </c>
      <c r="H514" s="31">
        <f>IFERROR(__xludf.DUMMYFUNCTION("""COMPUTED_VALUE"""),-2.4756768853164415)</f>
        <v>-2.475676885</v>
      </c>
      <c r="I514" s="54">
        <f>IFERROR(__xludf.DUMMYFUNCTION("""COMPUTED_VALUE"""),29.0)</f>
        <v>29</v>
      </c>
      <c r="J514" s="55">
        <f>IFERROR(__xludf.DUMMYFUNCTION("""COMPUTED_VALUE"""),12.0)</f>
        <v>12</v>
      </c>
      <c r="K514" s="54">
        <f>IFERROR(__xludf.DUMMYFUNCTION("""COMPUTED_VALUE"""),17.0)</f>
        <v>17</v>
      </c>
      <c r="L514" s="56">
        <f>IFERROR(__xludf.DUMMYFUNCTION("""COMPUTED_VALUE"""),0.41379310344827586)</f>
        <v>0.4137931034</v>
      </c>
      <c r="M514" s="56">
        <f>IFERROR(__xludf.DUMMYFUNCTION("""COMPUTED_VALUE"""),0.2608695652173913)</f>
        <v>0.2608695652</v>
      </c>
      <c r="N514" s="31">
        <f>IFERROR(__xludf.DUMMYFUNCTION("""COMPUTED_VALUE"""),298.2413793103448)</f>
        <v>298.2413793</v>
      </c>
      <c r="O514" s="57">
        <f>IFERROR(__xludf.DUMMYFUNCTION("""COMPUTED_VALUE"""),0.6206896551724138)</f>
        <v>0.6206896552</v>
      </c>
      <c r="P514" s="57">
        <f>IFERROR(__xludf.DUMMYFUNCTION("""COMPUTED_VALUE"""),0.5517241379310345)</f>
        <v>0.5517241379</v>
      </c>
      <c r="Q514" s="57">
        <f>IFERROR(__xludf.DUMMYFUNCTION("""COMPUTED_VALUE"""),1.103448275862069)</f>
        <v>1.103448276</v>
      </c>
      <c r="R514" s="57">
        <f>IFERROR(__xludf.DUMMYFUNCTION("""COMPUTED_VALUE"""),2.3793103448275863)</f>
        <v>2.379310345</v>
      </c>
      <c r="S514" s="31">
        <f>IFERROR(__xludf.DUMMYFUNCTION("""COMPUTED_VALUE"""),326.36781609195407)</f>
        <v>326.3678161</v>
      </c>
      <c r="T514" s="57">
        <f>IFERROR(__xludf.DUMMYFUNCTION("""COMPUTED_VALUE"""),0.7471264367816093)</f>
        <v>0.7471264368</v>
      </c>
      <c r="U514" s="57">
        <f>IFERROR(__xludf.DUMMYFUNCTION("""COMPUTED_VALUE"""),0.4827586206896553)</f>
        <v>0.4827586207</v>
      </c>
      <c r="V514" s="57">
        <f>IFERROR(__xludf.DUMMYFUNCTION("""COMPUTED_VALUE"""),1.436781609195402)</f>
        <v>1.436781609</v>
      </c>
      <c r="W514" s="57">
        <f>IFERROR(__xludf.DUMMYFUNCTION("""COMPUTED_VALUE"""),2.1839080459770113)</f>
        <v>2.183908046</v>
      </c>
      <c r="X514" s="31">
        <f>IFERROR(__xludf.DUMMYFUNCTION("""COMPUTED_VALUE"""),336.3114441395093)</f>
        <v>336.3114441</v>
      </c>
      <c r="Y514" s="57">
        <f>IFERROR(__xludf.DUMMYFUNCTION("""COMPUTED_VALUE"""),0.8012927991331528)</f>
        <v>0.8012927991</v>
      </c>
      <c r="Z514" s="57">
        <f>IFERROR(__xludf.DUMMYFUNCTION("""COMPUTED_VALUE"""),0.5382177448909077)</f>
        <v>0.5382177449</v>
      </c>
      <c r="AA514" s="57">
        <f>IFERROR(__xludf.DUMMYFUNCTION("""COMPUTED_VALUE"""),1.2333118235678646)</f>
        <v>1.233311824</v>
      </c>
      <c r="AB514" s="57">
        <f>IFERROR(__xludf.DUMMYFUNCTION("""COMPUTED_VALUE"""),2.38083378369104)</f>
        <v>2.380833784</v>
      </c>
      <c r="AC514" s="31">
        <f>IFERROR(__xludf.DUMMYFUNCTION("""COMPUTED_VALUE"""),331.4921288937761)</f>
        <v>331.4921289</v>
      </c>
      <c r="AD514" s="57">
        <f>IFERROR(__xludf.DUMMYFUNCTION("""COMPUTED_VALUE"""),0.7814639524225458)</f>
        <v>0.7814639524</v>
      </c>
      <c r="AE514" s="57">
        <f>IFERROR(__xludf.DUMMYFUNCTION("""COMPUTED_VALUE"""),0.5252832183676119)</f>
        <v>0.5252832184</v>
      </c>
      <c r="AF514" s="57">
        <f>IFERROR(__xludf.DUMMYFUNCTION("""COMPUTED_VALUE"""),1.1558344004730103)</f>
        <v>1.1558344</v>
      </c>
      <c r="AG514" s="57">
        <f>IFERROR(__xludf.DUMMYFUNCTION("""COMPUTED_VALUE"""),2.4866931584614864)</f>
        <v>2.486693158</v>
      </c>
      <c r="AH514" s="57">
        <f>IFERROR(__xludf.DUMMYFUNCTION("""COMPUTED_VALUE"""),0.8996936980241658)</f>
        <v>0.899693698</v>
      </c>
      <c r="AI514" s="57">
        <f>IFERROR(__xludf.DUMMYFUNCTION("""COMPUTED_VALUE"""),0.7942652418557118)</f>
        <v>0.7942652419</v>
      </c>
      <c r="AJ514" s="57">
        <f>IFERROR(__xludf.DUMMYFUNCTION("""COMPUTED_VALUE"""),1.0503365016030615)</f>
        <v>1.050336502</v>
      </c>
      <c r="AK514" s="57">
        <f>IFERROR(__xludf.DUMMYFUNCTION("""COMPUTED_VALUE"""),0.9546767905597003)</f>
        <v>0.9546767906</v>
      </c>
      <c r="AL514" s="57">
        <f>IFERROR(__xludf.DUMMYFUNCTION("""COMPUTED_VALUE"""),0.9568170229332446)</f>
        <v>0.9568170229</v>
      </c>
      <c r="AM514" s="57">
        <f>IFERROR(__xludf.DUMMYFUNCTION("""COMPUTED_VALUE"""),0.9704332748087204)</f>
        <v>0.9704332748</v>
      </c>
      <c r="AN514" s="57">
        <f>IFERROR(__xludf.DUMMYFUNCTION("""COMPUTED_VALUE"""),0.932401286508326)</f>
        <v>0.9324012865</v>
      </c>
      <c r="AO514" s="57">
        <f>IFERROR(__xludf.DUMMYFUNCTION("""COMPUTED_VALUE"""),0.8969578303062202)</f>
        <v>0.8969578303</v>
      </c>
      <c r="AP514" s="35">
        <f>IFERROR(__xludf.DUMMYFUNCTION("""COMPUTED_VALUE"""),1.1649783791409027)</f>
        <v>1.164978379</v>
      </c>
      <c r="AQ514" s="57">
        <f>IFERROR(__xludf.DUMMYFUNCTION("""COMPUTED_VALUE"""),0.9172870701587861)</f>
        <v>0.9172870702</v>
      </c>
      <c r="AR514" s="36" t="b">
        <f>IFERROR(__xludf.DUMMYFUNCTION("""COMPUTED_VALUE"""),TRUE)</f>
        <v>1</v>
      </c>
      <c r="AS514" s="57"/>
      <c r="AT514" s="37"/>
      <c r="AU514" s="30"/>
      <c r="AV514" s="30"/>
      <c r="AW514" s="30"/>
      <c r="AX514" s="30"/>
      <c r="AY514" s="30"/>
      <c r="AZ514" s="30"/>
    </row>
    <row r="515">
      <c r="A515" s="30" t="str">
        <f>IFERROR(__xludf.DUMMYFUNCTION("""COMPUTED_VALUE"""),"Prospect")</f>
        <v>Prospect</v>
      </c>
      <c r="B515" s="30" t="str">
        <f>IFERROR(__xludf.DUMMYFUNCTION("""COMPUTED_VALUE"""),"RSC003374")</f>
        <v>RSC003374</v>
      </c>
      <c r="C515" s="30" t="str">
        <f>IFERROR(__xludf.DUMMYFUNCTION("""COMPUTED_VALUE"""),"Raisonbran")</f>
        <v>Raisonbran</v>
      </c>
      <c r="D515" s="31" t="str">
        <f>IFERROR(__xludf.DUMMYFUNCTION("""COMPUTED_VALUE"""),"Skeletons")</f>
        <v>Skeletons</v>
      </c>
      <c r="E515" s="31">
        <f>IFERROR(__xludf.DUMMYFUNCTION("""COMPUTED_VALUE"""),48.60502729871801)</f>
        <v>48.6050273</v>
      </c>
      <c r="F515" s="31">
        <f>IFERROR(__xludf.DUMMYFUNCTION("""COMPUTED_VALUE"""),-2.093140558440064)</f>
        <v>-2.093140558</v>
      </c>
      <c r="G515" s="31">
        <f>IFERROR(__xludf.DUMMYFUNCTION("""COMPUTED_VALUE"""),41.87540321236446)</f>
        <v>41.87540321</v>
      </c>
      <c r="H515" s="31">
        <f>IFERROR(__xludf.DUMMYFUNCTION("""COMPUTED_VALUE"""),-2.683867471628006)</f>
        <v>-2.683867472</v>
      </c>
      <c r="I515" s="54">
        <f>IFERROR(__xludf.DUMMYFUNCTION("""COMPUTED_VALUE"""),28.0)</f>
        <v>28</v>
      </c>
      <c r="J515" s="55">
        <f>IFERROR(__xludf.DUMMYFUNCTION("""COMPUTED_VALUE"""),12.0)</f>
        <v>12</v>
      </c>
      <c r="K515" s="54">
        <f>IFERROR(__xludf.DUMMYFUNCTION("""COMPUTED_VALUE"""),16.0)</f>
        <v>16</v>
      </c>
      <c r="L515" s="56">
        <f>IFERROR(__xludf.DUMMYFUNCTION("""COMPUTED_VALUE"""),0.42857142857142855)</f>
        <v>0.4285714286</v>
      </c>
      <c r="M515" s="56">
        <f>IFERROR(__xludf.DUMMYFUNCTION("""COMPUTED_VALUE"""),0.40625000000000006)</f>
        <v>0.40625</v>
      </c>
      <c r="N515" s="31">
        <f>IFERROR(__xludf.DUMMYFUNCTION("""COMPUTED_VALUE"""),325.67857142857144)</f>
        <v>325.6785714</v>
      </c>
      <c r="O515" s="57">
        <f>IFERROR(__xludf.DUMMYFUNCTION("""COMPUTED_VALUE"""),0.9285714285714286)</f>
        <v>0.9285714286</v>
      </c>
      <c r="P515" s="57">
        <f>IFERROR(__xludf.DUMMYFUNCTION("""COMPUTED_VALUE"""),0.25)</f>
        <v>0.25</v>
      </c>
      <c r="Q515" s="57">
        <f>IFERROR(__xludf.DUMMYFUNCTION("""COMPUTED_VALUE"""),1.25)</f>
        <v>1.25</v>
      </c>
      <c r="R515" s="57">
        <f>IFERROR(__xludf.DUMMYFUNCTION("""COMPUTED_VALUE"""),2.2857142857142856)</f>
        <v>2.285714286</v>
      </c>
      <c r="S515" s="31">
        <f>IFERROR(__xludf.DUMMYFUNCTION("""COMPUTED_VALUE"""),318.89285714285717)</f>
        <v>318.8928571</v>
      </c>
      <c r="T515" s="57">
        <f>IFERROR(__xludf.DUMMYFUNCTION("""COMPUTED_VALUE"""),0.7976190476190476)</f>
        <v>0.7976190476</v>
      </c>
      <c r="U515" s="57">
        <f>IFERROR(__xludf.DUMMYFUNCTION("""COMPUTED_VALUE"""),0.4880952380952381)</f>
        <v>0.4880952381</v>
      </c>
      <c r="V515" s="57">
        <f>IFERROR(__xludf.DUMMYFUNCTION("""COMPUTED_VALUE"""),1.0476190476190474)</f>
        <v>1.047619048</v>
      </c>
      <c r="W515" s="57">
        <f>IFERROR(__xludf.DUMMYFUNCTION("""COMPUTED_VALUE"""),2.5714285714285725)</f>
        <v>2.571428571</v>
      </c>
      <c r="X515" s="31">
        <f>IFERROR(__xludf.DUMMYFUNCTION("""COMPUTED_VALUE"""),330.9682127680341)</f>
        <v>330.9682128</v>
      </c>
      <c r="Y515" s="57">
        <f>IFERROR(__xludf.DUMMYFUNCTION("""COMPUTED_VALUE"""),0.7720177136516213)</f>
        <v>0.7720177137</v>
      </c>
      <c r="Z515" s="57">
        <f>IFERROR(__xludf.DUMMYFUNCTION("""COMPUTED_VALUE"""),0.529567225192898)</f>
        <v>0.5295672252</v>
      </c>
      <c r="AA515" s="57">
        <f>IFERROR(__xludf.DUMMYFUNCTION("""COMPUTED_VALUE"""),1.204134811598033)</f>
        <v>1.204134812</v>
      </c>
      <c r="AB515" s="57">
        <f>IFERROR(__xludf.DUMMYFUNCTION("""COMPUTED_VALUE"""),2.359570965966518)</f>
        <v>2.359570966</v>
      </c>
      <c r="AC515" s="31">
        <f>IFERROR(__xludf.DUMMYFUNCTION("""COMPUTED_VALUE"""),334.0445276396334)</f>
        <v>334.0445276</v>
      </c>
      <c r="AD515" s="57">
        <f>IFERROR(__xludf.DUMMYFUNCTION("""COMPUTED_VALUE"""),0.804277618260209)</f>
        <v>0.8042776183</v>
      </c>
      <c r="AE515" s="57">
        <f>IFERROR(__xludf.DUMMYFUNCTION("""COMPUTED_VALUE"""),0.5292107672271275)</f>
        <v>0.5292107672</v>
      </c>
      <c r="AF515" s="57">
        <f>IFERROR(__xludf.DUMMYFUNCTION("""COMPUTED_VALUE"""),1.1866112016977086)</f>
        <v>1.186611202</v>
      </c>
      <c r="AG515" s="57">
        <f>IFERROR(__xludf.DUMMYFUNCTION("""COMPUTED_VALUE"""),2.4205690707559535)</f>
        <v>2.420569071</v>
      </c>
      <c r="AH515" s="57">
        <f>IFERROR(__xludf.DUMMYFUNCTION("""COMPUTED_VALUE"""),0.9749555657439565)</f>
        <v>0.9749555657</v>
      </c>
      <c r="AI515" s="57">
        <f>IFERROR(__xludf.DUMMYFUNCTION("""COMPUTED_VALUE"""),1.1545409290141486)</f>
        <v>1.154540929</v>
      </c>
      <c r="AJ515" s="57">
        <f>IFERROR(__xludf.DUMMYFUNCTION("""COMPUTED_VALUE"""),0.47240157510382746)</f>
        <v>0.4724015751</v>
      </c>
      <c r="AK515" s="57">
        <f>IFERROR(__xludf.DUMMYFUNCTION("""COMPUTED_VALUE"""),1.0534200235187396)</f>
        <v>1.053420024</v>
      </c>
      <c r="AL515" s="57">
        <f>IFERROR(__xludf.DUMMYFUNCTION("""COMPUTED_VALUE"""),0.9442879830735207)</f>
        <v>0.9442879831</v>
      </c>
      <c r="AM515" s="57">
        <f>IFERROR(__xludf.DUMMYFUNCTION("""COMPUTED_VALUE"""),0.9635150592735617)</f>
        <v>0.9635150593</v>
      </c>
      <c r="AN515" s="57">
        <f>IFERROR(__xludf.DUMMYFUNCTION("""COMPUTED_VALUE"""),1.0331615888012888)</f>
        <v>1.033161589</v>
      </c>
      <c r="AO515" s="57">
        <f>IFERROR(__xludf.DUMMYFUNCTION("""COMPUTED_VALUE"""),0.9216870207884306)</f>
        <v>0.9216870208</v>
      </c>
      <c r="AP515" s="35">
        <f>IFERROR(__xludf.DUMMYFUNCTION("""COMPUTED_VALUE"""),0.8700180723358789)</f>
        <v>0.8700180723</v>
      </c>
      <c r="AQ515" s="57">
        <f>IFERROR(__xludf.DUMMYFUNCTION("""COMPUTED_VALUE"""),1.08978649445929)</f>
        <v>1.089786494</v>
      </c>
      <c r="AR515" s="36" t="b">
        <f>IFERROR(__xludf.DUMMYFUNCTION("""COMPUTED_VALUE"""),TRUE)</f>
        <v>1</v>
      </c>
      <c r="AS515" s="57"/>
      <c r="AT515" s="37"/>
      <c r="AU515" s="30"/>
      <c r="AV515" s="30"/>
      <c r="AW515" s="30"/>
      <c r="AX515" s="30"/>
      <c r="AY515" s="30"/>
      <c r="AZ515" s="30"/>
    </row>
    <row r="516">
      <c r="A516" s="30" t="str">
        <f>IFERROR(__xludf.DUMMYFUNCTION("""COMPUTED_VALUE"""),"Prospect")</f>
        <v>Prospect</v>
      </c>
      <c r="B516" s="30" t="str">
        <f>IFERROR(__xludf.DUMMYFUNCTION("""COMPUTED_VALUE"""),"RSC006966")</f>
        <v>RSC006966</v>
      </c>
      <c r="C516" s="30" t="str">
        <f>IFERROR(__xludf.DUMMYFUNCTION("""COMPUTED_VALUE"""),"Pivot97")</f>
        <v>Pivot97</v>
      </c>
      <c r="D516" s="31" t="str">
        <f>IFERROR(__xludf.DUMMYFUNCTION("""COMPUTED_VALUE"""),"Prism Proteges")</f>
        <v>Prism Proteges</v>
      </c>
      <c r="E516" s="31">
        <f>IFERROR(__xludf.DUMMYFUNCTION("""COMPUTED_VALUE"""),47.83911920833014)</f>
        <v>47.83911921</v>
      </c>
      <c r="F516" s="31">
        <f>IFERROR(__xludf.DUMMYFUNCTION("""COMPUTED_VALUE"""),-2.1479498377988255)</f>
        <v>-2.147949838</v>
      </c>
      <c r="G516" s="31">
        <f>IFERROR(__xludf.DUMMYFUNCTION("""COMPUTED_VALUE"""),35.918169135273885)</f>
        <v>35.91816914</v>
      </c>
      <c r="H516" s="31">
        <f>IFERROR(__xludf.DUMMYFUNCTION("""COMPUTED_VALUE"""),-3.4888862519025707)</f>
        <v>-3.488886252</v>
      </c>
      <c r="I516" s="54">
        <f>IFERROR(__xludf.DUMMYFUNCTION("""COMPUTED_VALUE"""),22.0)</f>
        <v>22</v>
      </c>
      <c r="J516" s="55">
        <f>IFERROR(__xludf.DUMMYFUNCTION("""COMPUTED_VALUE"""),11.0)</f>
        <v>11</v>
      </c>
      <c r="K516" s="54">
        <f>IFERROR(__xludf.DUMMYFUNCTION("""COMPUTED_VALUE"""),11.0)</f>
        <v>11</v>
      </c>
      <c r="L516" s="56">
        <f>IFERROR(__xludf.DUMMYFUNCTION("""COMPUTED_VALUE"""),0.5)</f>
        <v>0.5</v>
      </c>
      <c r="M516" s="56">
        <f>IFERROR(__xludf.DUMMYFUNCTION("""COMPUTED_VALUE"""),0.33999999999999997)</f>
        <v>0.34</v>
      </c>
      <c r="N516" s="31">
        <f>IFERROR(__xludf.DUMMYFUNCTION("""COMPUTED_VALUE"""),318.6363636363636)</f>
        <v>318.6363636</v>
      </c>
      <c r="O516" s="57">
        <f>IFERROR(__xludf.DUMMYFUNCTION("""COMPUTED_VALUE"""),0.7727272727272727)</f>
        <v>0.7727272727</v>
      </c>
      <c r="P516" s="57">
        <f>IFERROR(__xludf.DUMMYFUNCTION("""COMPUTED_VALUE"""),0.45454545454545453)</f>
        <v>0.4545454545</v>
      </c>
      <c r="Q516" s="57">
        <f>IFERROR(__xludf.DUMMYFUNCTION("""COMPUTED_VALUE"""),1.3181818181818181)</f>
        <v>1.318181818</v>
      </c>
      <c r="R516" s="57">
        <f>IFERROR(__xludf.DUMMYFUNCTION("""COMPUTED_VALUE"""),2.272727272727273)</f>
        <v>2.272727273</v>
      </c>
      <c r="S516" s="31">
        <f>IFERROR(__xludf.DUMMYFUNCTION("""COMPUTED_VALUE"""),352.1212121212121)</f>
        <v>352.1212121</v>
      </c>
      <c r="T516" s="57">
        <f>IFERROR(__xludf.DUMMYFUNCTION("""COMPUTED_VALUE"""),0.7575757575757577)</f>
        <v>0.7575757576</v>
      </c>
      <c r="U516" s="57">
        <f>IFERROR(__xludf.DUMMYFUNCTION("""COMPUTED_VALUE"""),0.5454545454545454)</f>
        <v>0.5454545455</v>
      </c>
      <c r="V516" s="57">
        <f>IFERROR(__xludf.DUMMYFUNCTION("""COMPUTED_VALUE"""),1.3484848484848482)</f>
        <v>1.348484848</v>
      </c>
      <c r="W516" s="57">
        <f>IFERROR(__xludf.DUMMYFUNCTION("""COMPUTED_VALUE"""),2.606060606060606)</f>
        <v>2.606060606</v>
      </c>
      <c r="X516" s="31">
        <f>IFERROR(__xludf.DUMMYFUNCTION("""COMPUTED_VALUE"""),340.43835114766995)</f>
        <v>340.4383511</v>
      </c>
      <c r="Y516" s="57">
        <f>IFERROR(__xludf.DUMMYFUNCTION("""COMPUTED_VALUE"""),0.8113750702031886)</f>
        <v>0.8113750702</v>
      </c>
      <c r="Z516" s="57">
        <f>IFERROR(__xludf.DUMMYFUNCTION("""COMPUTED_VALUE"""),0.5137690292346462)</f>
        <v>0.5137690292</v>
      </c>
      <c r="AA516" s="57">
        <f>IFERROR(__xludf.DUMMYFUNCTION("""COMPUTED_VALUE"""),1.2354643876961702)</f>
        <v>1.235464388</v>
      </c>
      <c r="AB516" s="57">
        <f>IFERROR(__xludf.DUMMYFUNCTION("""COMPUTED_VALUE"""),2.504928681888883)</f>
        <v>2.504928682</v>
      </c>
      <c r="AC516" s="31">
        <f>IFERROR(__xludf.DUMMYFUNCTION("""COMPUTED_VALUE"""),339.2257741438779)</f>
        <v>339.2257741</v>
      </c>
      <c r="AD516" s="57">
        <f>IFERROR(__xludf.DUMMYFUNCTION("""COMPUTED_VALUE"""),0.8106457964830492)</f>
        <v>0.8106457965</v>
      </c>
      <c r="AE516" s="57">
        <f>IFERROR(__xludf.DUMMYFUNCTION("""COMPUTED_VALUE"""),0.5334603159916061)</f>
        <v>0.533460316</v>
      </c>
      <c r="AF516" s="57">
        <f>IFERROR(__xludf.DUMMYFUNCTION("""COMPUTED_VALUE"""),1.2149716634009244)</f>
        <v>1.214971663</v>
      </c>
      <c r="AG516" s="57">
        <f>IFERROR(__xludf.DUMMYFUNCTION("""COMPUTED_VALUE"""),2.5257870966140015)</f>
        <v>2.525787097</v>
      </c>
      <c r="AH516" s="57">
        <f>IFERROR(__xludf.DUMMYFUNCTION("""COMPUTED_VALUE"""),0.939304698885346)</f>
        <v>0.9393046989</v>
      </c>
      <c r="AI516" s="57">
        <f>IFERROR(__xludf.DUMMYFUNCTION("""COMPUTED_VALUE"""),0.9532243010198975)</f>
        <v>0.953224301</v>
      </c>
      <c r="AJ516" s="57">
        <f>IFERROR(__xludf.DUMMYFUNCTION("""COMPUTED_VALUE"""),0.852069855843985)</f>
        <v>0.8520698558</v>
      </c>
      <c r="AK516" s="57">
        <f>IFERROR(__xludf.DUMMYFUNCTION("""COMPUTED_VALUE"""),1.0849486106465973)</f>
        <v>1.084948611</v>
      </c>
      <c r="AL516" s="57">
        <f>IFERROR(__xludf.DUMMYFUNCTION("""COMPUTED_VALUE"""),0.8998095190897232)</f>
        <v>0.8998095191</v>
      </c>
      <c r="AM516" s="57">
        <f>IFERROR(__xludf.DUMMYFUNCTION("""COMPUTED_VALUE"""),1.0343171118475856)</f>
        <v>1.034317112</v>
      </c>
      <c r="AN516" s="57">
        <f>IFERROR(__xludf.DUMMYFUNCTION("""COMPUTED_VALUE"""),0.9336936583299777)</f>
        <v>0.9336936583</v>
      </c>
      <c r="AO516" s="57">
        <f>IFERROR(__xludf.DUMMYFUNCTION("""COMPUTED_VALUE"""),1.0616726863958708)</f>
        <v>1.061672686</v>
      </c>
      <c r="AP516" s="35">
        <f>IFERROR(__xludf.DUMMYFUNCTION("""COMPUTED_VALUE"""),1.0914801445628333)</f>
        <v>1.091480145</v>
      </c>
      <c r="AQ516" s="57">
        <f>IFERROR(__xludf.DUMMYFUNCTION("""COMPUTED_VALUE"""),1.0403731750540148)</f>
        <v>1.040373175</v>
      </c>
      <c r="AR516" s="36" t="b">
        <f>IFERROR(__xludf.DUMMYFUNCTION("""COMPUTED_VALUE"""),TRUE)</f>
        <v>1</v>
      </c>
      <c r="AS516" s="57"/>
      <c r="AT516" s="37"/>
      <c r="AU516" s="30"/>
      <c r="AV516" s="30"/>
      <c r="AW516" s="30"/>
      <c r="AX516" s="30"/>
      <c r="AY516" s="30"/>
      <c r="AZ516" s="30"/>
    </row>
    <row r="517">
      <c r="A517" s="30" t="str">
        <f>IFERROR(__xludf.DUMMYFUNCTION("""COMPUTED_VALUE"""),"Prospect")</f>
        <v>Prospect</v>
      </c>
      <c r="B517" s="30" t="str">
        <f>IFERROR(__xludf.DUMMYFUNCTION("""COMPUTED_VALUE"""),"RSC007866")</f>
        <v>RSC007866</v>
      </c>
      <c r="C517" s="30" t="str">
        <f>IFERROR(__xludf.DUMMYFUNCTION("""COMPUTED_VALUE"""),"Swzyy GN")</f>
        <v>Swzyy GN</v>
      </c>
      <c r="D517" s="31" t="str">
        <f>IFERROR(__xludf.DUMMYFUNCTION("""COMPUTED_VALUE"""),"Prism Proteges")</f>
        <v>Prism Proteges</v>
      </c>
      <c r="E517" s="31">
        <f>IFERROR(__xludf.DUMMYFUNCTION("""COMPUTED_VALUE"""),47.67039959889461)</f>
        <v>47.6703996</v>
      </c>
      <c r="F517" s="31">
        <f>IFERROR(__xludf.DUMMYFUNCTION("""COMPUTED_VALUE"""),-2.1603932730638187)</f>
        <v>-2.160393273</v>
      </c>
      <c r="G517" s="31">
        <f>IFERROR(__xludf.DUMMYFUNCTION("""COMPUTED_VALUE"""),36.6227205372467)</f>
        <v>36.62272054</v>
      </c>
      <c r="H517" s="31">
        <f>IFERROR(__xludf.DUMMYFUNCTION("""COMPUTED_VALUE"""),-3.375032936145992)</f>
        <v>-3.375032936</v>
      </c>
      <c r="I517" s="54">
        <f>IFERROR(__xludf.DUMMYFUNCTION("""COMPUTED_VALUE"""),8.0)</f>
        <v>8</v>
      </c>
      <c r="J517" s="55">
        <f>IFERROR(__xludf.DUMMYFUNCTION("""COMPUTED_VALUE"""),3.0)</f>
        <v>3</v>
      </c>
      <c r="K517" s="54">
        <f>IFERROR(__xludf.DUMMYFUNCTION("""COMPUTED_VALUE"""),5.0)</f>
        <v>5</v>
      </c>
      <c r="L517" s="56">
        <f>IFERROR(__xludf.DUMMYFUNCTION("""COMPUTED_VALUE"""),0.375)</f>
        <v>0.375</v>
      </c>
      <c r="M517" s="56">
        <f>IFERROR(__xludf.DUMMYFUNCTION("""COMPUTED_VALUE"""),0.17391304347826086)</f>
        <v>0.1739130435</v>
      </c>
      <c r="N517" s="31">
        <f>IFERROR(__xludf.DUMMYFUNCTION("""COMPUTED_VALUE"""),309.375)</f>
        <v>309.375</v>
      </c>
      <c r="O517" s="57">
        <f>IFERROR(__xludf.DUMMYFUNCTION("""COMPUTED_VALUE"""),0.5)</f>
        <v>0.5</v>
      </c>
      <c r="P517" s="57">
        <f>IFERROR(__xludf.DUMMYFUNCTION("""COMPUTED_VALUE"""),0.75)</f>
        <v>0.75</v>
      </c>
      <c r="Q517" s="57">
        <f>IFERROR(__xludf.DUMMYFUNCTION("""COMPUTED_VALUE"""),1.125)</f>
        <v>1.125</v>
      </c>
      <c r="R517" s="57">
        <f>IFERROR(__xludf.DUMMYFUNCTION("""COMPUTED_VALUE"""),2.875)</f>
        <v>2.875</v>
      </c>
      <c r="S517" s="31">
        <f>IFERROR(__xludf.DUMMYFUNCTION("""COMPUTED_VALUE"""),363.20833333333337)</f>
        <v>363.2083333</v>
      </c>
      <c r="T517" s="57">
        <f>IFERROR(__xludf.DUMMYFUNCTION("""COMPUTED_VALUE"""),0.9166666666666666)</f>
        <v>0.9166666667</v>
      </c>
      <c r="U517" s="57">
        <f>IFERROR(__xludf.DUMMYFUNCTION("""COMPUTED_VALUE"""),0.5)</f>
        <v>0.5</v>
      </c>
      <c r="V517" s="57">
        <f>IFERROR(__xludf.DUMMYFUNCTION("""COMPUTED_VALUE"""),1.4583333333333335)</f>
        <v>1.458333333</v>
      </c>
      <c r="W517" s="57">
        <f>IFERROR(__xludf.DUMMYFUNCTION("""COMPUTED_VALUE"""),2.708333333333333)</f>
        <v>2.708333333</v>
      </c>
      <c r="X517" s="31">
        <f>IFERROR(__xludf.DUMMYFUNCTION("""COMPUTED_VALUE"""),343.2950457641549)</f>
        <v>343.2950458</v>
      </c>
      <c r="Y517" s="57">
        <f>IFERROR(__xludf.DUMMYFUNCTION("""COMPUTED_VALUE"""),0.8515591741166453)</f>
        <v>0.8515591741</v>
      </c>
      <c r="Z517" s="57">
        <f>IFERROR(__xludf.DUMMYFUNCTION("""COMPUTED_VALUE"""),0.4279214559386973)</f>
        <v>0.4279214559</v>
      </c>
      <c r="AA517" s="57">
        <f>IFERROR(__xludf.DUMMYFUNCTION("""COMPUTED_VALUE"""),1.3441358024691357)</f>
        <v>1.344135802</v>
      </c>
      <c r="AB517" s="57">
        <f>IFERROR(__xludf.DUMMYFUNCTION("""COMPUTED_VALUE"""),2.428267347807578)</f>
        <v>2.428267348</v>
      </c>
      <c r="AC517" s="31">
        <f>IFERROR(__xludf.DUMMYFUNCTION("""COMPUTED_VALUE"""),342.6269955300127)</f>
        <v>342.6269955</v>
      </c>
      <c r="AD517" s="57">
        <f>IFERROR(__xludf.DUMMYFUNCTION("""COMPUTED_VALUE"""),0.8759578544061304)</f>
        <v>0.8759578544</v>
      </c>
      <c r="AE517" s="57">
        <f>IFERROR(__xludf.DUMMYFUNCTION("""COMPUTED_VALUE"""),0.54923194267064)</f>
        <v>0.5492319427</v>
      </c>
      <c r="AF517" s="57">
        <f>IFERROR(__xludf.DUMMYFUNCTION("""COMPUTED_VALUE"""),1.1063395771250177)</f>
        <v>1.106339577</v>
      </c>
      <c r="AG517" s="57">
        <f>IFERROR(__xludf.DUMMYFUNCTION("""COMPUTED_VALUE"""),2.833031786575847)</f>
        <v>2.833031787</v>
      </c>
      <c r="AH517" s="57">
        <f>IFERROR(__xludf.DUMMYFUNCTION("""COMPUTED_VALUE"""),0.9029498668703121)</f>
        <v>0.9029498669</v>
      </c>
      <c r="AI517" s="57">
        <f>IFERROR(__xludf.DUMMYFUNCTION("""COMPUTED_VALUE"""),0.5708037178786222)</f>
        <v>0.5708037179</v>
      </c>
      <c r="AJ517" s="57">
        <f>IFERROR(__xludf.DUMMYFUNCTION("""COMPUTED_VALUE"""),1.365543300983416)</f>
        <v>1.365543301</v>
      </c>
      <c r="AK517" s="57">
        <f>IFERROR(__xludf.DUMMYFUNCTION("""COMPUTED_VALUE"""),1.0168668131022431)</f>
        <v>1.016866813</v>
      </c>
      <c r="AL517" s="57">
        <f>IFERROR(__xludf.DUMMYFUNCTION("""COMPUTED_VALUE"""),1.0148138872366406)</f>
        <v>1.014813887</v>
      </c>
      <c r="AM517" s="57">
        <f>IFERROR(__xludf.DUMMYFUNCTION("""COMPUTED_VALUE"""),1.0580063354099756)</f>
        <v>1.058006335</v>
      </c>
      <c r="AN517" s="57">
        <f>IFERROR(__xludf.DUMMYFUNCTION("""COMPUTED_VALUE"""),1.0764568036244337)</f>
        <v>1.076456804</v>
      </c>
      <c r="AO517" s="57">
        <f>IFERROR(__xludf.DUMMYFUNCTION("""COMPUTED_VALUE"""),1.1684387241186347)</f>
        <v>1.168438724</v>
      </c>
      <c r="AP517" s="35">
        <f>IFERROR(__xludf.DUMMYFUNCTION("""COMPUTED_VALUE"""),1.0849598163031)</f>
        <v>1.084959816</v>
      </c>
      <c r="AQ517" s="57">
        <f>IFERROR(__xludf.DUMMYFUNCTION("""COMPUTED_VALUE"""),1.1153357293127628)</f>
        <v>1.115335729</v>
      </c>
      <c r="AR517" s="36" t="b">
        <f>IFERROR(__xludf.DUMMYFUNCTION("""COMPUTED_VALUE"""),TRUE)</f>
        <v>1</v>
      </c>
      <c r="AS517" s="57"/>
      <c r="AT517" s="37"/>
      <c r="AU517" s="30"/>
      <c r="AV517" s="30"/>
      <c r="AW517" s="30"/>
      <c r="AX517" s="30"/>
      <c r="AY517" s="30"/>
      <c r="AZ517" s="30"/>
    </row>
    <row r="518">
      <c r="A518" s="30" t="str">
        <f>IFERROR(__xludf.DUMMYFUNCTION("""COMPUTED_VALUE"""),"Prospect")</f>
        <v>Prospect</v>
      </c>
      <c r="B518" s="30" t="str">
        <f>IFERROR(__xludf.DUMMYFUNCTION("""COMPUTED_VALUE"""),"RSC007141")</f>
        <v>RSC007141</v>
      </c>
      <c r="C518" s="30" t="str">
        <f>IFERROR(__xludf.DUMMYFUNCTION("""COMPUTED_VALUE"""),"Cuddlingus")</f>
        <v>Cuddlingus</v>
      </c>
      <c r="D518" s="31" t="str">
        <f>IFERROR(__xludf.DUMMYFUNCTION("""COMPUTED_VALUE"""),"Skeletons")</f>
        <v>Skeletons</v>
      </c>
      <c r="E518" s="31">
        <f>IFERROR(__xludf.DUMMYFUNCTION("""COMPUTED_VALUE"""),46.23365470874087)</f>
        <v>46.23365471</v>
      </c>
      <c r="F518" s="31">
        <f>IFERROR(__xludf.DUMMYFUNCTION("""COMPUTED_VALUE"""),-2.2720848659699535)</f>
        <v>-2.272084866</v>
      </c>
      <c r="G518" s="31">
        <f>IFERROR(__xludf.DUMMYFUNCTION("""COMPUTED_VALUE"""),45.138529560125235)</f>
        <v>45.13852956</v>
      </c>
      <c r="H518" s="31">
        <f>IFERROR(__xludf.DUMMYFUNCTION("""COMPUTED_VALUE"""),-2.364578689803801)</f>
        <v>-2.36457869</v>
      </c>
      <c r="I518" s="54">
        <f>IFERROR(__xludf.DUMMYFUNCTION("""COMPUTED_VALUE"""),18.0)</f>
        <v>18</v>
      </c>
      <c r="J518" s="55">
        <f>IFERROR(__xludf.DUMMYFUNCTION("""COMPUTED_VALUE"""),8.0)</f>
        <v>8</v>
      </c>
      <c r="K518" s="54">
        <f>IFERROR(__xludf.DUMMYFUNCTION("""COMPUTED_VALUE"""),10.0)</f>
        <v>10</v>
      </c>
      <c r="L518" s="56">
        <f>IFERROR(__xludf.DUMMYFUNCTION("""COMPUTED_VALUE"""),0.4444444444444444)</f>
        <v>0.4444444444</v>
      </c>
      <c r="M518" s="56">
        <f>IFERROR(__xludf.DUMMYFUNCTION("""COMPUTED_VALUE"""),0.3095238095238095)</f>
        <v>0.3095238095</v>
      </c>
      <c r="N518" s="31">
        <f>IFERROR(__xludf.DUMMYFUNCTION("""COMPUTED_VALUE"""),301.3888888888889)</f>
        <v>301.3888889</v>
      </c>
      <c r="O518" s="57">
        <f>IFERROR(__xludf.DUMMYFUNCTION("""COMPUTED_VALUE"""),0.7222222222222222)</f>
        <v>0.7222222222</v>
      </c>
      <c r="P518" s="57">
        <f>IFERROR(__xludf.DUMMYFUNCTION("""COMPUTED_VALUE"""),0.3333333333333333)</f>
        <v>0.3333333333</v>
      </c>
      <c r="Q518" s="57">
        <f>IFERROR(__xludf.DUMMYFUNCTION("""COMPUTED_VALUE"""),0.9444444444444444)</f>
        <v>0.9444444444</v>
      </c>
      <c r="R518" s="57">
        <f>IFERROR(__xludf.DUMMYFUNCTION("""COMPUTED_VALUE"""),2.3333333333333335)</f>
        <v>2.333333333</v>
      </c>
      <c r="S518" s="31">
        <f>IFERROR(__xludf.DUMMYFUNCTION("""COMPUTED_VALUE"""),332.87037037037027)</f>
        <v>332.8703704</v>
      </c>
      <c r="T518" s="57">
        <f>IFERROR(__xludf.DUMMYFUNCTION("""COMPUTED_VALUE"""),0.7407407407407407)</f>
        <v>0.7407407407</v>
      </c>
      <c r="U518" s="57">
        <f>IFERROR(__xludf.DUMMYFUNCTION("""COMPUTED_VALUE"""),0.5185185185185185)</f>
        <v>0.5185185185</v>
      </c>
      <c r="V518" s="57">
        <f>IFERROR(__xludf.DUMMYFUNCTION("""COMPUTED_VALUE"""),1.3148148148148147)</f>
        <v>1.314814815</v>
      </c>
      <c r="W518" s="57">
        <f>IFERROR(__xludf.DUMMYFUNCTION("""COMPUTED_VALUE"""),2.129629629629629)</f>
        <v>2.12962963</v>
      </c>
      <c r="X518" s="31">
        <f>IFERROR(__xludf.DUMMYFUNCTION("""COMPUTED_VALUE"""),345.25419219526134)</f>
        <v>345.2541922</v>
      </c>
      <c r="Y518" s="57">
        <f>IFERROR(__xludf.DUMMYFUNCTION("""COMPUTED_VALUE"""),0.8175656632988583)</f>
        <v>0.8175656633</v>
      </c>
      <c r="Z518" s="57">
        <f>IFERROR(__xludf.DUMMYFUNCTION("""COMPUTED_VALUE"""),0.5764801811173565)</f>
        <v>0.5764801811</v>
      </c>
      <c r="AA518" s="57">
        <f>IFERROR(__xludf.DUMMYFUNCTION("""COMPUTED_VALUE"""),1.2759769082566665)</f>
        <v>1.275976908</v>
      </c>
      <c r="AB518" s="57">
        <f>IFERROR(__xludf.DUMMYFUNCTION("""COMPUTED_VALUE"""),2.5029383648890984)</f>
        <v>2.502938365</v>
      </c>
      <c r="AC518" s="31">
        <f>IFERROR(__xludf.DUMMYFUNCTION("""COMPUTED_VALUE"""),333.28181697076275)</f>
        <v>333.281817</v>
      </c>
      <c r="AD518" s="57">
        <f>IFERROR(__xludf.DUMMYFUNCTION("""COMPUTED_VALUE"""),0.759979920965427)</f>
        <v>0.759979921</v>
      </c>
      <c r="AE518" s="57">
        <f>IFERROR(__xludf.DUMMYFUNCTION("""COMPUTED_VALUE"""),0.49938006200304713)</f>
        <v>0.499380062</v>
      </c>
      <c r="AF518" s="57">
        <f>IFERROR(__xludf.DUMMYFUNCTION("""COMPUTED_VALUE"""),1.2554516747836142)</f>
        <v>1.255451675</v>
      </c>
      <c r="AG518" s="57">
        <f>IFERROR(__xludf.DUMMYFUNCTION("""COMPUTED_VALUE"""),2.4475241209099603)</f>
        <v>2.447524121</v>
      </c>
      <c r="AH518" s="57">
        <f>IFERROR(__xludf.DUMMYFUNCTION("""COMPUTED_VALUE"""),0.9043064263998787)</f>
        <v>0.9043064264</v>
      </c>
      <c r="AI518" s="57">
        <f>IFERROR(__xludf.DUMMYFUNCTION("""COMPUTED_VALUE"""),0.9503175048424438)</f>
        <v>0.9503175048</v>
      </c>
      <c r="AJ518" s="57">
        <f>IFERROR(__xludf.DUMMYFUNCTION("""COMPUTED_VALUE"""),0.6674942767965362)</f>
        <v>0.6674942768</v>
      </c>
      <c r="AK518" s="57">
        <f>IFERROR(__xludf.DUMMYFUNCTION("""COMPUTED_VALUE"""),0.7522746302498867)</f>
        <v>0.7522746302</v>
      </c>
      <c r="AL518" s="57">
        <f>IFERROR(__xludf.DUMMYFUNCTION("""COMPUTED_VALUE"""),0.9533443668231666)</f>
        <v>0.9533443668</v>
      </c>
      <c r="AM518" s="57">
        <f>IFERROR(__xludf.DUMMYFUNCTION("""COMPUTED_VALUE"""),0.9641312919442053)</f>
        <v>0.9641312919</v>
      </c>
      <c r="AN518" s="57">
        <f>IFERROR(__xludf.DUMMYFUNCTION("""COMPUTED_VALUE"""),0.9060321072583567)</f>
        <v>0.9060321073</v>
      </c>
      <c r="AO518" s="57">
        <f>IFERROR(__xludf.DUMMYFUNCTION("""COMPUTED_VALUE"""),0.8994559318821777)</f>
        <v>0.8994559319</v>
      </c>
      <c r="AP518" s="35">
        <f>IFERROR(__xludf.DUMMYFUNCTION("""COMPUTED_VALUE"""),1.030437781676795)</f>
        <v>1.030437782</v>
      </c>
      <c r="AQ518" s="57">
        <f>IFERROR(__xludf.DUMMYFUNCTION("""COMPUTED_VALUE"""),0.8508518066220898)</f>
        <v>0.8508518066</v>
      </c>
      <c r="AR518" s="36" t="b">
        <f>IFERROR(__xludf.DUMMYFUNCTION("""COMPUTED_VALUE"""),TRUE)</f>
        <v>1</v>
      </c>
      <c r="AS518" s="57"/>
      <c r="AT518" s="37"/>
      <c r="AU518" s="30"/>
      <c r="AV518" s="30"/>
      <c r="AW518" s="30"/>
      <c r="AX518" s="30"/>
      <c r="AY518" s="30"/>
      <c r="AZ518" s="30"/>
    </row>
    <row r="519">
      <c r="A519" s="30" t="str">
        <f>IFERROR(__xludf.DUMMYFUNCTION("""COMPUTED_VALUE"""),"Prospect")</f>
        <v>Prospect</v>
      </c>
      <c r="B519" s="30" t="str">
        <f>IFERROR(__xludf.DUMMYFUNCTION("""COMPUTED_VALUE"""),"RSC006587")</f>
        <v>RSC006587</v>
      </c>
      <c r="C519" s="30" t="str">
        <f>IFERROR(__xludf.DUMMYFUNCTION("""COMPUTED_VALUE"""),"Enterprise15")</f>
        <v>Enterprise15</v>
      </c>
      <c r="D519" s="31" t="str">
        <f>IFERROR(__xludf.DUMMYFUNCTION("""COMPUTED_VALUE"""),"Skeletons")</f>
        <v>Skeletons</v>
      </c>
      <c r="E519" s="31">
        <f>IFERROR(__xludf.DUMMYFUNCTION("""COMPUTED_VALUE"""),45.933621022604235)</f>
        <v>45.93362102</v>
      </c>
      <c r="F519" s="31">
        <f>IFERROR(__xludf.DUMMYFUNCTION("""COMPUTED_VALUE"""),-2.2967651263373616)</f>
        <v>-2.296765126</v>
      </c>
      <c r="G519" s="31">
        <f>IFERROR(__xludf.DUMMYFUNCTION("""COMPUTED_VALUE"""),50.545816472413115)</f>
        <v>50.54581647</v>
      </c>
      <c r="H519" s="31">
        <f>IFERROR(__xludf.DUMMYFUNCTION("""COMPUTED_VALUE"""),2.0354546847520787)</f>
        <v>2.035454685</v>
      </c>
      <c r="I519" s="54">
        <f>IFERROR(__xludf.DUMMYFUNCTION("""COMPUTED_VALUE"""),36.0)</f>
        <v>36</v>
      </c>
      <c r="J519" s="55">
        <f>IFERROR(__xludf.DUMMYFUNCTION("""COMPUTED_VALUE"""),15.0)</f>
        <v>15</v>
      </c>
      <c r="K519" s="54">
        <f>IFERROR(__xludf.DUMMYFUNCTION("""COMPUTED_VALUE"""),21.0)</f>
        <v>21</v>
      </c>
      <c r="L519" s="56">
        <f>IFERROR(__xludf.DUMMYFUNCTION("""COMPUTED_VALUE"""),0.4166666666666667)</f>
        <v>0.4166666667</v>
      </c>
      <c r="M519" s="56">
        <f>IFERROR(__xludf.DUMMYFUNCTION("""COMPUTED_VALUE"""),0.3378378378378379)</f>
        <v>0.3378378378</v>
      </c>
      <c r="N519" s="31">
        <f>IFERROR(__xludf.DUMMYFUNCTION("""COMPUTED_VALUE"""),339.05555555555554)</f>
        <v>339.0555556</v>
      </c>
      <c r="O519" s="57">
        <f>IFERROR(__xludf.DUMMYFUNCTION("""COMPUTED_VALUE"""),0.6944444444444444)</f>
        <v>0.6944444444</v>
      </c>
      <c r="P519" s="57">
        <f>IFERROR(__xludf.DUMMYFUNCTION("""COMPUTED_VALUE"""),0.5)</f>
        <v>0.5</v>
      </c>
      <c r="Q519" s="57">
        <f>IFERROR(__xludf.DUMMYFUNCTION("""COMPUTED_VALUE"""),1.4444444444444444)</f>
        <v>1.444444444</v>
      </c>
      <c r="R519" s="57">
        <f>IFERROR(__xludf.DUMMYFUNCTION("""COMPUTED_VALUE"""),2.0555555555555554)</f>
        <v>2.055555556</v>
      </c>
      <c r="S519" s="31">
        <f>IFERROR(__xludf.DUMMYFUNCTION("""COMPUTED_VALUE"""),329.5370370370371)</f>
        <v>329.537037</v>
      </c>
      <c r="T519" s="57">
        <f>IFERROR(__xludf.DUMMYFUNCTION("""COMPUTED_VALUE"""),0.8148148148148148)</f>
        <v>0.8148148148</v>
      </c>
      <c r="U519" s="57">
        <f>IFERROR(__xludf.DUMMYFUNCTION("""COMPUTED_VALUE"""),0.537037037037037)</f>
        <v>0.537037037</v>
      </c>
      <c r="V519" s="57">
        <f>IFERROR(__xludf.DUMMYFUNCTION("""COMPUTED_VALUE"""),1.1111111111111112)</f>
        <v>1.111111111</v>
      </c>
      <c r="W519" s="57">
        <f>IFERROR(__xludf.DUMMYFUNCTION("""COMPUTED_VALUE"""),2.5277777777777772)</f>
        <v>2.527777778</v>
      </c>
      <c r="X519" s="31">
        <f>IFERROR(__xludf.DUMMYFUNCTION("""COMPUTED_VALUE"""),335.48029010837183)</f>
        <v>335.4802901</v>
      </c>
      <c r="Y519" s="57">
        <f>IFERROR(__xludf.DUMMYFUNCTION("""COMPUTED_VALUE"""),0.789205789127254)</f>
        <v>0.7892057891</v>
      </c>
      <c r="Z519" s="57">
        <f>IFERROR(__xludf.DUMMYFUNCTION("""COMPUTED_VALUE"""),0.5382089552301272)</f>
        <v>0.5382089552</v>
      </c>
      <c r="AA519" s="57">
        <f>IFERROR(__xludf.DUMMYFUNCTION("""COMPUTED_VALUE"""),1.2153951461703985)</f>
        <v>1.215395146</v>
      </c>
      <c r="AB519" s="57">
        <f>IFERROR(__xludf.DUMMYFUNCTION("""COMPUTED_VALUE"""),2.4222630235778513)</f>
        <v>2.422263024</v>
      </c>
      <c r="AC519" s="31">
        <f>IFERROR(__xludf.DUMMYFUNCTION("""COMPUTED_VALUE"""),334.0644058822623)</f>
        <v>334.0644059</v>
      </c>
      <c r="AD519" s="57">
        <f>IFERROR(__xludf.DUMMYFUNCTION("""COMPUTED_VALUE"""),0.7962669253418664)</f>
        <v>0.7962669253</v>
      </c>
      <c r="AE519" s="57">
        <f>IFERROR(__xludf.DUMMYFUNCTION("""COMPUTED_VALUE"""),0.5205628081958663)</f>
        <v>0.5205628082</v>
      </c>
      <c r="AF519" s="57">
        <f>IFERROR(__xludf.DUMMYFUNCTION("""COMPUTED_VALUE"""),1.2018055121070153)</f>
        <v>1.201805512</v>
      </c>
      <c r="AG519" s="57">
        <f>IFERROR(__xludf.DUMMYFUNCTION("""COMPUTED_VALUE"""),2.4299464906751473)</f>
        <v>2.429946491</v>
      </c>
      <c r="AH519" s="57">
        <f>IFERROR(__xludf.DUMMYFUNCTION("""COMPUTED_VALUE"""),1.0149406808549737)</f>
        <v>1.014940681</v>
      </c>
      <c r="AI519" s="57">
        <f>IFERROR(__xludf.DUMMYFUNCTION("""COMPUTED_VALUE"""),0.8721251911176571)</f>
        <v>0.8721251911</v>
      </c>
      <c r="AJ519" s="57">
        <f>IFERROR(__xludf.DUMMYFUNCTION("""COMPUTED_VALUE"""),0.9604988910615194)</f>
        <v>0.9604988911</v>
      </c>
      <c r="AK519" s="57">
        <f>IFERROR(__xludf.DUMMYFUNCTION("""COMPUTED_VALUE"""),1.2018953398807704)</f>
        <v>1.20189534</v>
      </c>
      <c r="AL519" s="57">
        <f>IFERROR(__xludf.DUMMYFUNCTION("""COMPUTED_VALUE"""),0.8459262635797509)</f>
        <v>0.8459262636</v>
      </c>
      <c r="AM519" s="57">
        <f>IFERROR(__xludf.DUMMYFUNCTION("""COMPUTED_VALUE"""),0.9822843450224309)</f>
        <v>0.982284345</v>
      </c>
      <c r="AN519" s="57">
        <f>IFERROR(__xludf.DUMMYFUNCTION("""COMPUTED_VALUE"""),1.0324491102832387)</f>
        <v>1.03244911</v>
      </c>
      <c r="AO519" s="57">
        <f>IFERROR(__xludf.DUMMYFUNCTION("""COMPUTED_VALUE"""),0.9978225590977222)</f>
        <v>0.9978225591</v>
      </c>
      <c r="AP519" s="35">
        <f>IFERROR(__xludf.DUMMYFUNCTION("""COMPUTED_VALUE"""),0.914197423456991)</f>
        <v>0.9141974235</v>
      </c>
      <c r="AQ519" s="57">
        <f>IFERROR(__xludf.DUMMYFUNCTION("""COMPUTED_VALUE"""),1.0435604032976045)</f>
        <v>1.043560403</v>
      </c>
      <c r="AR519" s="36" t="b">
        <f>IFERROR(__xludf.DUMMYFUNCTION("""COMPUTED_VALUE"""),TRUE)</f>
        <v>1</v>
      </c>
      <c r="AS519" s="57"/>
      <c r="AT519" s="37"/>
      <c r="AU519" s="30"/>
      <c r="AV519" s="30"/>
      <c r="AW519" s="30"/>
      <c r="AX519" s="30"/>
      <c r="AY519" s="30"/>
      <c r="AZ519" s="30"/>
    </row>
    <row r="520">
      <c r="A520" s="30" t="str">
        <f>IFERROR(__xludf.DUMMYFUNCTION("""COMPUTED_VALUE"""),"Prospect")</f>
        <v>Prospect</v>
      </c>
      <c r="B520" s="30" t="str">
        <f>IFERROR(__xludf.DUMMYFUNCTION("""COMPUTED_VALUE"""),"RSC003737")</f>
        <v>RSC003737</v>
      </c>
      <c r="C520" s="30" t="str">
        <f>IFERROR(__xludf.DUMMYFUNCTION("""COMPUTED_VALUE"""),"MeOnDisplay")</f>
        <v>MeOnDisplay</v>
      </c>
      <c r="D520" s="31" t="str">
        <f>IFERROR(__xludf.DUMMYFUNCTION("""COMPUTED_VALUE"""),"Honey Badgers")</f>
        <v>Honey Badgers</v>
      </c>
      <c r="E520" s="31">
        <f>IFERROR(__xludf.DUMMYFUNCTION("""COMPUTED_VALUE"""),45.686321661325294)</f>
        <v>45.68632166</v>
      </c>
      <c r="F520" s="31">
        <f>IFERROR(__xludf.DUMMYFUNCTION("""COMPUTED_VALUE"""),-2.3174772051480605)</f>
        <v>-2.317477205</v>
      </c>
      <c r="G520" s="31">
        <f>IFERROR(__xludf.DUMMYFUNCTION("""COMPUTED_VALUE"""),26.609278005673577)</f>
        <v>26.60927801</v>
      </c>
      <c r="H520" s="31">
        <f>IFERROR(__xludf.DUMMYFUNCTION("""COMPUTED_VALUE"""),-5.723045246195426)</f>
        <v>-5.723045246</v>
      </c>
      <c r="I520" s="54">
        <f>IFERROR(__xludf.DUMMYFUNCTION("""COMPUTED_VALUE"""),23.0)</f>
        <v>23</v>
      </c>
      <c r="J520" s="55">
        <f>IFERROR(__xludf.DUMMYFUNCTION("""COMPUTED_VALUE"""),14.0)</f>
        <v>14</v>
      </c>
      <c r="K520" s="54">
        <f>IFERROR(__xludf.DUMMYFUNCTION("""COMPUTED_VALUE"""),9.0)</f>
        <v>9</v>
      </c>
      <c r="L520" s="56">
        <f>IFERROR(__xludf.DUMMYFUNCTION("""COMPUTED_VALUE"""),0.6086956521739131)</f>
        <v>0.6086956522</v>
      </c>
      <c r="M520" s="56">
        <f>IFERROR(__xludf.DUMMYFUNCTION("""COMPUTED_VALUE"""),0.36363636363636365)</f>
        <v>0.3636363636</v>
      </c>
      <c r="N520" s="31">
        <f>IFERROR(__xludf.DUMMYFUNCTION("""COMPUTED_VALUE"""),280.95652173913044)</f>
        <v>280.9565217</v>
      </c>
      <c r="O520" s="57">
        <f>IFERROR(__xludf.DUMMYFUNCTION("""COMPUTED_VALUE"""),0.8695652173913043)</f>
        <v>0.8695652174</v>
      </c>
      <c r="P520" s="57">
        <f>IFERROR(__xludf.DUMMYFUNCTION("""COMPUTED_VALUE"""),0.34782608695652173)</f>
        <v>0.347826087</v>
      </c>
      <c r="Q520" s="57">
        <f>IFERROR(__xludf.DUMMYFUNCTION("""COMPUTED_VALUE"""),0.8695652173913043)</f>
        <v>0.8695652174</v>
      </c>
      <c r="R520" s="57">
        <f>IFERROR(__xludf.DUMMYFUNCTION("""COMPUTED_VALUE"""),2.391304347826087)</f>
        <v>2.391304348</v>
      </c>
      <c r="S520" s="31">
        <f>IFERROR(__xludf.DUMMYFUNCTION("""COMPUTED_VALUE"""),356.9420289855073)</f>
        <v>356.942029</v>
      </c>
      <c r="T520" s="57">
        <f>IFERROR(__xludf.DUMMYFUNCTION("""COMPUTED_VALUE"""),0.782608695652174)</f>
        <v>0.7826086957</v>
      </c>
      <c r="U520" s="57">
        <f>IFERROR(__xludf.DUMMYFUNCTION("""COMPUTED_VALUE"""),0.5942028985507245)</f>
        <v>0.5942028986</v>
      </c>
      <c r="V520" s="57">
        <f>IFERROR(__xludf.DUMMYFUNCTION("""COMPUTED_VALUE"""),1.3478260869565217)</f>
        <v>1.347826087</v>
      </c>
      <c r="W520" s="57">
        <f>IFERROR(__xludf.DUMMYFUNCTION("""COMPUTED_VALUE"""),2.5072463768115947)</f>
        <v>2.507246377</v>
      </c>
      <c r="X520" s="31">
        <f>IFERROR(__xludf.DUMMYFUNCTION("""COMPUTED_VALUE"""),341.5075126481742)</f>
        <v>341.5075126</v>
      </c>
      <c r="Y520" s="57">
        <f>IFERROR(__xludf.DUMMYFUNCTION("""COMPUTED_VALUE"""),0.7776848393934388)</f>
        <v>0.7776848394</v>
      </c>
      <c r="Z520" s="57">
        <f>IFERROR(__xludf.DUMMYFUNCTION("""COMPUTED_VALUE"""),0.5395732206838347)</f>
        <v>0.5395732207</v>
      </c>
      <c r="AA520" s="57">
        <f>IFERROR(__xludf.DUMMYFUNCTION("""COMPUTED_VALUE"""),1.2782474082856294)</f>
        <v>1.278247408</v>
      </c>
      <c r="AB520" s="57">
        <f>IFERROR(__xludf.DUMMYFUNCTION("""COMPUTED_VALUE"""),2.367500822459025)</f>
        <v>2.367500822</v>
      </c>
      <c r="AC520" s="31">
        <f>IFERROR(__xludf.DUMMYFUNCTION("""COMPUTED_VALUE"""),333.5851029822883)</f>
        <v>333.585103</v>
      </c>
      <c r="AD520" s="57">
        <f>IFERROR(__xludf.DUMMYFUNCTION("""COMPUTED_VALUE"""),0.8154845403120876)</f>
        <v>0.8154845403</v>
      </c>
      <c r="AE520" s="57">
        <f>IFERROR(__xludf.DUMMYFUNCTION("""COMPUTED_VALUE"""),0.5229736897418359)</f>
        <v>0.5229736897</v>
      </c>
      <c r="AF520" s="57">
        <f>IFERROR(__xludf.DUMMYFUNCTION("""COMPUTED_VALUE"""),1.1456313792341413)</f>
        <v>1.145631379</v>
      </c>
      <c r="AG520" s="57">
        <f>IFERROR(__xludf.DUMMYFUNCTION("""COMPUTED_VALUE"""),2.5368063229714397)</f>
        <v>2.536806323</v>
      </c>
      <c r="AH520" s="57">
        <f>IFERROR(__xludf.DUMMYFUNCTION("""COMPUTED_VALUE"""),0.8422334187808376)</f>
        <v>0.8422334188</v>
      </c>
      <c r="AI520" s="57">
        <f>IFERROR(__xludf.DUMMYFUNCTION("""COMPUTED_VALUE"""),1.0663172315425133)</f>
        <v>1.066317232</v>
      </c>
      <c r="AJ520" s="57">
        <f>IFERROR(__xludf.DUMMYFUNCTION("""COMPUTED_VALUE"""),0.6650928981307355)</f>
        <v>0.6650928981</v>
      </c>
      <c r="AK520" s="57">
        <f>IFERROR(__xludf.DUMMYFUNCTION("""COMPUTED_VALUE"""),0.7590270597970281)</f>
        <v>0.7590270598</v>
      </c>
      <c r="AL520" s="57">
        <f>IFERROR(__xludf.DUMMYFUNCTION("""COMPUTED_VALUE"""),0.9426436406170252)</f>
        <v>0.9426436406</v>
      </c>
      <c r="AM520" s="57">
        <f>IFERROR(__xludf.DUMMYFUNCTION("""COMPUTED_VALUE"""),1.0451952468560595)</f>
        <v>1.045195247</v>
      </c>
      <c r="AN520" s="57">
        <f>IFERROR(__xludf.DUMMYFUNCTION("""COMPUTED_VALUE"""),1.00633142888908)</f>
        <v>1.006331429</v>
      </c>
      <c r="AO520" s="57">
        <f>IFERROR(__xludf.DUMMYFUNCTION("""COMPUTED_VALUE"""),1.1012460881539936)</f>
        <v>1.101246088</v>
      </c>
      <c r="AP520" s="35">
        <f>IFERROR(__xludf.DUMMYFUNCTION("""COMPUTED_VALUE"""),1.0544328728694317)</f>
        <v>1.054432873</v>
      </c>
      <c r="AQ520" s="57">
        <f>IFERROR(__xludf.DUMMYFUNCTION("""COMPUTED_VALUE"""),1.0590266128006756)</f>
        <v>1.059026613</v>
      </c>
      <c r="AR520" s="36" t="b">
        <f>IFERROR(__xludf.DUMMYFUNCTION("""COMPUTED_VALUE"""),TRUE)</f>
        <v>1</v>
      </c>
      <c r="AS520" s="57"/>
      <c r="AT520" s="37"/>
      <c r="AU520" s="30"/>
      <c r="AV520" s="30"/>
      <c r="AW520" s="30"/>
      <c r="AX520" s="30"/>
      <c r="AY520" s="30"/>
      <c r="AZ520" s="30"/>
    </row>
    <row r="521">
      <c r="A521" s="30" t="str">
        <f>IFERROR(__xludf.DUMMYFUNCTION("""COMPUTED_VALUE"""),"Prospect")</f>
        <v>Prospect</v>
      </c>
      <c r="B521" s="30" t="str">
        <f>IFERROR(__xludf.DUMMYFUNCTION("""COMPUTED_VALUE"""),"RSC006402")</f>
        <v>RSC006402</v>
      </c>
      <c r="C521" s="30" t="str">
        <f>IFERROR(__xludf.DUMMYFUNCTION("""COMPUTED_VALUE"""),"DEADLYFEET1001")</f>
        <v>DEADLYFEET1001</v>
      </c>
      <c r="D521" s="31" t="str">
        <f>IFERROR(__xludf.DUMMYFUNCTION("""COMPUTED_VALUE"""),"Principales")</f>
        <v>Principales</v>
      </c>
      <c r="E521" s="31">
        <f>IFERROR(__xludf.DUMMYFUNCTION("""COMPUTED_VALUE"""),45.03400436128696)</f>
        <v>45.03400436</v>
      </c>
      <c r="F521" s="31">
        <f>IFERROR(__xludf.DUMMYFUNCTION("""COMPUTED_VALUE"""),-2.3737618661094797)</f>
        <v>-2.373761866</v>
      </c>
      <c r="G521" s="31">
        <f>IFERROR(__xludf.DUMMYFUNCTION("""COMPUTED_VALUE"""),49.67767142473395)</f>
        <v>49.67767142</v>
      </c>
      <c r="H521" s="31">
        <f>IFERROR(__xludf.DUMMYFUNCTION("""COMPUTED_VALUE"""),-2.0207877521498894)</f>
        <v>-2.020787752</v>
      </c>
      <c r="I521" s="54">
        <f>IFERROR(__xludf.DUMMYFUNCTION("""COMPUTED_VALUE"""),16.0)</f>
        <v>16</v>
      </c>
      <c r="J521" s="55">
        <f>IFERROR(__xludf.DUMMYFUNCTION("""COMPUTED_VALUE"""),3.0)</f>
        <v>3</v>
      </c>
      <c r="K521" s="54">
        <f>IFERROR(__xludf.DUMMYFUNCTION("""COMPUTED_VALUE"""),13.0)</f>
        <v>13</v>
      </c>
      <c r="L521" s="56">
        <f>IFERROR(__xludf.DUMMYFUNCTION("""COMPUTED_VALUE"""),0.1875)</f>
        <v>0.1875</v>
      </c>
      <c r="M521" s="56">
        <f>IFERROR(__xludf.DUMMYFUNCTION("""COMPUTED_VALUE"""),0.30952380952380953)</f>
        <v>0.3095238095</v>
      </c>
      <c r="N521" s="31">
        <f>IFERROR(__xludf.DUMMYFUNCTION("""COMPUTED_VALUE"""),333.0)</f>
        <v>333</v>
      </c>
      <c r="O521" s="57">
        <f>IFERROR(__xludf.DUMMYFUNCTION("""COMPUTED_VALUE"""),0.8125)</f>
        <v>0.8125</v>
      </c>
      <c r="P521" s="57">
        <f>IFERROR(__xludf.DUMMYFUNCTION("""COMPUTED_VALUE"""),0.1875)</f>
        <v>0.1875</v>
      </c>
      <c r="Q521" s="57">
        <f>IFERROR(__xludf.DUMMYFUNCTION("""COMPUTED_VALUE"""),1.125)</f>
        <v>1.125</v>
      </c>
      <c r="R521" s="57">
        <f>IFERROR(__xludf.DUMMYFUNCTION("""COMPUTED_VALUE"""),2.625)</f>
        <v>2.625</v>
      </c>
      <c r="S521" s="31">
        <f>IFERROR(__xludf.DUMMYFUNCTION("""COMPUTED_VALUE"""),354.2083333333333)</f>
        <v>354.2083333</v>
      </c>
      <c r="T521" s="57">
        <f>IFERROR(__xludf.DUMMYFUNCTION("""COMPUTED_VALUE"""),1.0833333333333333)</f>
        <v>1.083333333</v>
      </c>
      <c r="U521" s="57">
        <f>IFERROR(__xludf.DUMMYFUNCTION("""COMPUTED_VALUE"""),0.6458333333333335)</f>
        <v>0.6458333333</v>
      </c>
      <c r="V521" s="57">
        <f>IFERROR(__xludf.DUMMYFUNCTION("""COMPUTED_VALUE"""),0.8749999999999999)</f>
        <v>0.875</v>
      </c>
      <c r="W521" s="57">
        <f>IFERROR(__xludf.DUMMYFUNCTION("""COMPUTED_VALUE"""),2.5833333333333335)</f>
        <v>2.583333333</v>
      </c>
      <c r="X521" s="31">
        <f>IFERROR(__xludf.DUMMYFUNCTION("""COMPUTED_VALUE"""),345.31186025139124)</f>
        <v>345.3118603</v>
      </c>
      <c r="Y521" s="57">
        <f>IFERROR(__xludf.DUMMYFUNCTION("""COMPUTED_VALUE"""),0.8521159257935825)</f>
        <v>0.8521159258</v>
      </c>
      <c r="Z521" s="57">
        <f>IFERROR(__xludf.DUMMYFUNCTION("""COMPUTED_VALUE"""),0.6161355667226158)</f>
        <v>0.6161355667</v>
      </c>
      <c r="AA521" s="57">
        <f>IFERROR(__xludf.DUMMYFUNCTION("""COMPUTED_VALUE"""),1.1390647946210093)</f>
        <v>1.139064795</v>
      </c>
      <c r="AB521" s="57">
        <f>IFERROR(__xludf.DUMMYFUNCTION("""COMPUTED_VALUE"""),2.651426451364189)</f>
        <v>2.651426451</v>
      </c>
      <c r="AC521" s="31">
        <f>IFERROR(__xludf.DUMMYFUNCTION("""COMPUTED_VALUE"""),329.131584519805)</f>
        <v>329.1315845</v>
      </c>
      <c r="AD521" s="57">
        <f>IFERROR(__xludf.DUMMYFUNCTION("""COMPUTED_VALUE"""),0.7145044315515933)</f>
        <v>0.7145044316</v>
      </c>
      <c r="AE521" s="57">
        <f>IFERROR(__xludf.DUMMYFUNCTION("""COMPUTED_VALUE"""),0.4803891411022973)</f>
        <v>0.4803891411</v>
      </c>
      <c r="AF521" s="57">
        <f>IFERROR(__xludf.DUMMYFUNCTION("""COMPUTED_VALUE"""),1.288204537068982)</f>
        <v>1.288204537</v>
      </c>
      <c r="AG521" s="57">
        <f>IFERROR(__xludf.DUMMYFUNCTION("""COMPUTED_VALUE"""),2.2971752592641272)</f>
        <v>2.297175259</v>
      </c>
      <c r="AH521" s="57">
        <f>IFERROR(__xludf.DUMMYFUNCTION("""COMPUTED_VALUE"""),1.0117534009561522)</f>
        <v>1.011753401</v>
      </c>
      <c r="AI521" s="57">
        <f>IFERROR(__xludf.DUMMYFUNCTION("""COMPUTED_VALUE"""),1.137151799374572)</f>
        <v>1.137151799</v>
      </c>
      <c r="AJ521" s="57">
        <f>IFERROR(__xludf.DUMMYFUNCTION("""COMPUTED_VALUE"""),0.3903085726912226)</f>
        <v>0.3903085727</v>
      </c>
      <c r="AK521" s="57">
        <f>IFERROR(__xludf.DUMMYFUNCTION("""COMPUTED_VALUE"""),0.8733085217660256)</f>
        <v>0.8733085218</v>
      </c>
      <c r="AL521" s="57">
        <f>IFERROR(__xludf.DUMMYFUNCTION("""COMPUTED_VALUE"""),1.142707762245745)</f>
        <v>1.142707762</v>
      </c>
      <c r="AM521" s="57">
        <f>IFERROR(__xludf.DUMMYFUNCTION("""COMPUTED_VALUE"""),1.025763589688073)</f>
        <v>1.02576359</v>
      </c>
      <c r="AN521" s="57">
        <f>IFERROR(__xludf.DUMMYFUNCTION("""COMPUTED_VALUE"""),1.271345013678058)</f>
        <v>1.271345014</v>
      </c>
      <c r="AO521" s="57">
        <f>IFERROR(__xludf.DUMMYFUNCTION("""COMPUTED_VALUE"""),1.0482000524149055)</f>
        <v>1.048200052</v>
      </c>
      <c r="AP521" s="35">
        <f>IFERROR(__xludf.DUMMYFUNCTION("""COMPUTED_VALUE"""),0.7681740355175587)</f>
        <v>0.7681740355</v>
      </c>
      <c r="AQ521" s="57">
        <f>IFERROR(__xludf.DUMMYFUNCTION("""COMPUTED_VALUE"""),0.9743183077939722)</f>
        <v>0.9743183078</v>
      </c>
      <c r="AR521" s="36" t="b">
        <f>IFERROR(__xludf.DUMMYFUNCTION("""COMPUTED_VALUE"""),TRUE)</f>
        <v>1</v>
      </c>
      <c r="AS521" s="57"/>
      <c r="AT521" s="37"/>
      <c r="AU521" s="30"/>
      <c r="AV521" s="30"/>
      <c r="AW521" s="30"/>
      <c r="AX521" s="30"/>
      <c r="AY521" s="30"/>
      <c r="AZ521" s="30"/>
    </row>
    <row r="522">
      <c r="A522" s="30" t="str">
        <f>IFERROR(__xludf.DUMMYFUNCTION("""COMPUTED_VALUE"""),"Prospect")</f>
        <v>Prospect</v>
      </c>
      <c r="B522" s="30" t="str">
        <f>IFERROR(__xludf.DUMMYFUNCTION("""COMPUTED_VALUE"""),"RSC004303")</f>
        <v>RSC004303</v>
      </c>
      <c r="C522" s="30" t="str">
        <f>IFERROR(__xludf.DUMMYFUNCTION("""COMPUTED_VALUE"""),"Shogun")</f>
        <v>Shogun</v>
      </c>
      <c r="D522" s="31" t="str">
        <f>IFERROR(__xludf.DUMMYFUNCTION("""COMPUTED_VALUE"""),"Honey Badgers")</f>
        <v>Honey Badgers</v>
      </c>
      <c r="E522" s="31">
        <f>IFERROR(__xludf.DUMMYFUNCTION("""COMPUTED_VALUE"""),44.920450774253155)</f>
        <v>44.92045077</v>
      </c>
      <c r="F522" s="31">
        <f>IFERROR(__xludf.DUMMYFUNCTION("""COMPUTED_VALUE"""),-2.383810667781937)</f>
        <v>-2.383810668</v>
      </c>
      <c r="G522" s="31">
        <f>IFERROR(__xludf.DUMMYFUNCTION("""COMPUTED_VALUE"""),42.42835299004548)</f>
        <v>42.42835299</v>
      </c>
      <c r="H522" s="31">
        <f>IFERROR(__xludf.DUMMYFUNCTION("""COMPUTED_VALUE"""),-2.6246992158211064)</f>
        <v>-2.624699216</v>
      </c>
      <c r="I522" s="54">
        <f>IFERROR(__xludf.DUMMYFUNCTION("""COMPUTED_VALUE"""),34.0)</f>
        <v>34</v>
      </c>
      <c r="J522" s="55">
        <f>IFERROR(__xludf.DUMMYFUNCTION("""COMPUTED_VALUE"""),21.0)</f>
        <v>21</v>
      </c>
      <c r="K522" s="54">
        <f>IFERROR(__xludf.DUMMYFUNCTION("""COMPUTED_VALUE"""),13.0)</f>
        <v>13</v>
      </c>
      <c r="L522" s="56">
        <f>IFERROR(__xludf.DUMMYFUNCTION("""COMPUTED_VALUE"""),0.6176470588235294)</f>
        <v>0.6176470588</v>
      </c>
      <c r="M522" s="56">
        <f>IFERROR(__xludf.DUMMYFUNCTION("""COMPUTED_VALUE"""),0.30136986301369867)</f>
        <v>0.301369863</v>
      </c>
      <c r="N522" s="31">
        <f>IFERROR(__xludf.DUMMYFUNCTION("""COMPUTED_VALUE"""),322.44117647058823)</f>
        <v>322.4411765</v>
      </c>
      <c r="O522" s="57">
        <f>IFERROR(__xludf.DUMMYFUNCTION("""COMPUTED_VALUE"""),0.6470588235294118)</f>
        <v>0.6470588235</v>
      </c>
      <c r="P522" s="57">
        <f>IFERROR(__xludf.DUMMYFUNCTION("""COMPUTED_VALUE"""),0.47058823529411764)</f>
        <v>0.4705882353</v>
      </c>
      <c r="Q522" s="57">
        <f>IFERROR(__xludf.DUMMYFUNCTION("""COMPUTED_VALUE"""),1.3529411764705883)</f>
        <v>1.352941176</v>
      </c>
      <c r="R522" s="57">
        <f>IFERROR(__xludf.DUMMYFUNCTION("""COMPUTED_VALUE"""),2.1470588235294117)</f>
        <v>2.147058824</v>
      </c>
      <c r="S522" s="31">
        <f>IFERROR(__xludf.DUMMYFUNCTION("""COMPUTED_VALUE"""),325.1078431372549)</f>
        <v>325.1078431</v>
      </c>
      <c r="T522" s="57">
        <f>IFERROR(__xludf.DUMMYFUNCTION("""COMPUTED_VALUE"""),0.6568627450980392)</f>
        <v>0.6568627451</v>
      </c>
      <c r="U522" s="57">
        <f>IFERROR(__xludf.DUMMYFUNCTION("""COMPUTED_VALUE"""),0.4901960784313726)</f>
        <v>0.4901960784</v>
      </c>
      <c r="V522" s="57">
        <f>IFERROR(__xludf.DUMMYFUNCTION("""COMPUTED_VALUE"""),1.2058823529411764)</f>
        <v>1.205882353</v>
      </c>
      <c r="W522" s="57">
        <f>IFERROR(__xludf.DUMMYFUNCTION("""COMPUTED_VALUE"""),2.431372549019607)</f>
        <v>2.431372549</v>
      </c>
      <c r="X522" s="31">
        <f>IFERROR(__xludf.DUMMYFUNCTION("""COMPUTED_VALUE"""),335.743721012712)</f>
        <v>335.743721</v>
      </c>
      <c r="Y522" s="57">
        <f>IFERROR(__xludf.DUMMYFUNCTION("""COMPUTED_VALUE"""),0.7680382522973431)</f>
        <v>0.7680382523</v>
      </c>
      <c r="Z522" s="57">
        <f>IFERROR(__xludf.DUMMYFUNCTION("""COMPUTED_VALUE"""),0.5357141404701192)</f>
        <v>0.5357141405</v>
      </c>
      <c r="AA522" s="57">
        <f>IFERROR(__xludf.DUMMYFUNCTION("""COMPUTED_VALUE"""),1.2340598104367562)</f>
        <v>1.23405981</v>
      </c>
      <c r="AB522" s="57">
        <f>IFERROR(__xludf.DUMMYFUNCTION("""COMPUTED_VALUE"""),2.38555584274472)</f>
        <v>2.385555843</v>
      </c>
      <c r="AC522" s="31">
        <f>IFERROR(__xludf.DUMMYFUNCTION("""COMPUTED_VALUE"""),335.8493498168384)</f>
        <v>335.8493498</v>
      </c>
      <c r="AD522" s="57">
        <f>IFERROR(__xludf.DUMMYFUNCTION("""COMPUTED_VALUE"""),0.8212067154007106)</f>
        <v>0.8212067154</v>
      </c>
      <c r="AE522" s="57">
        <f>IFERROR(__xludf.DUMMYFUNCTION("""COMPUTED_VALUE"""),0.5270288561419462)</f>
        <v>0.5270288561</v>
      </c>
      <c r="AF522" s="57">
        <f>IFERROR(__xludf.DUMMYFUNCTION("""COMPUTED_VALUE"""),1.1736745259118662)</f>
        <v>1.173674526</v>
      </c>
      <c r="AG522" s="57">
        <f>IFERROR(__xludf.DUMMYFUNCTION("""COMPUTED_VALUE"""),2.482915233328718)</f>
        <v>2.482915233</v>
      </c>
      <c r="AH522" s="57">
        <f>IFERROR(__xludf.DUMMYFUNCTION("""COMPUTED_VALUE"""),0.9600768220823933)</f>
        <v>0.9600768221</v>
      </c>
      <c r="AI522" s="57">
        <f>IFERROR(__xludf.DUMMYFUNCTION("""COMPUTED_VALUE"""),0.7879365954937148)</f>
        <v>0.7879365955</v>
      </c>
      <c r="AJ522" s="57">
        <f>IFERROR(__xludf.DUMMYFUNCTION("""COMPUTED_VALUE"""),0.8929079116065948)</f>
        <v>0.8929079116</v>
      </c>
      <c r="AK522" s="57">
        <f>IFERROR(__xludf.DUMMYFUNCTION("""COMPUTED_VALUE"""),1.1527396621473436)</f>
        <v>1.152739662</v>
      </c>
      <c r="AL522" s="57">
        <f>IFERROR(__xludf.DUMMYFUNCTION("""COMPUTED_VALUE"""),0.8647330342610848)</f>
        <v>0.8647330343</v>
      </c>
      <c r="AM522" s="57">
        <f>IFERROR(__xludf.DUMMYFUNCTION("""COMPUTED_VALUE"""),0.9683214392115038)</f>
        <v>0.9683214392</v>
      </c>
      <c r="AN522" s="57">
        <f>IFERROR(__xludf.DUMMYFUNCTION("""COMPUTED_VALUE"""),0.8552474347901845)</f>
        <v>0.8552474348</v>
      </c>
      <c r="AO522" s="57">
        <f>IFERROR(__xludf.DUMMYFUNCTION("""COMPUTED_VALUE"""),0.9150329278245259)</f>
        <v>0.9150329278</v>
      </c>
      <c r="AP522" s="35">
        <f>IFERROR(__xludf.DUMMYFUNCTION("""COMPUTED_VALUE"""),0.9771668623698172)</f>
        <v>0.9771668624</v>
      </c>
      <c r="AQ522" s="57">
        <f>IFERROR(__xludf.DUMMYFUNCTION("""COMPUTED_VALUE"""),1.0192058829451558)</f>
        <v>1.019205883</v>
      </c>
      <c r="AR522" s="36" t="b">
        <f>IFERROR(__xludf.DUMMYFUNCTION("""COMPUTED_VALUE"""),TRUE)</f>
        <v>1</v>
      </c>
      <c r="AS522" s="57"/>
      <c r="AT522" s="37"/>
      <c r="AU522" s="30"/>
      <c r="AV522" s="30"/>
      <c r="AW522" s="30"/>
      <c r="AX522" s="30"/>
      <c r="AY522" s="30"/>
      <c r="AZ522" s="30"/>
    </row>
    <row r="523">
      <c r="A523" s="30" t="str">
        <f>IFERROR(__xludf.DUMMYFUNCTION("""COMPUTED_VALUE"""),"Prospect")</f>
        <v>Prospect</v>
      </c>
      <c r="B523" s="30" t="str">
        <f>IFERROR(__xludf.DUMMYFUNCTION("""COMPUTED_VALUE"""),"RSC005018")</f>
        <v>RSC005018</v>
      </c>
      <c r="C523" s="30" t="str">
        <f>IFERROR(__xludf.DUMMYFUNCTION("""COMPUTED_VALUE"""),"Smitty")</f>
        <v>Smitty</v>
      </c>
      <c r="D523" s="31" t="str">
        <f>IFERROR(__xludf.DUMMYFUNCTION("""COMPUTED_VALUE"""),"Hawaiian Pizza")</f>
        <v>Hawaiian Pizza</v>
      </c>
      <c r="E523" s="31">
        <f>IFERROR(__xludf.DUMMYFUNCTION("""COMPUTED_VALUE"""),44.84417256740812)</f>
        <v>44.84417257</v>
      </c>
      <c r="F523" s="31">
        <f>IFERROR(__xludf.DUMMYFUNCTION("""COMPUTED_VALUE"""),-2.390603487453174)</f>
        <v>-2.390603487</v>
      </c>
      <c r="G523" s="31">
        <f>IFERROR(__xludf.DUMMYFUNCTION("""COMPUTED_VALUE"""),36.19162901693645)</f>
        <v>36.19162902</v>
      </c>
      <c r="H523" s="31">
        <f>IFERROR(__xludf.DUMMYFUNCTION("""COMPUTED_VALUE"""),-3.4440066877294218)</f>
        <v>-3.444006688</v>
      </c>
      <c r="I523" s="54">
        <f>IFERROR(__xludf.DUMMYFUNCTION("""COMPUTED_VALUE"""),10.0)</f>
        <v>10</v>
      </c>
      <c r="J523" s="55">
        <f>IFERROR(__xludf.DUMMYFUNCTION("""COMPUTED_VALUE"""),6.0)</f>
        <v>6</v>
      </c>
      <c r="K523" s="54">
        <f>IFERROR(__xludf.DUMMYFUNCTION("""COMPUTED_VALUE"""),4.0)</f>
        <v>4</v>
      </c>
      <c r="L523" s="56">
        <f>IFERROR(__xludf.DUMMYFUNCTION("""COMPUTED_VALUE"""),0.6)</f>
        <v>0.6</v>
      </c>
      <c r="M523" s="56">
        <f>IFERROR(__xludf.DUMMYFUNCTION("""COMPUTED_VALUE"""),0.35294117647058826)</f>
        <v>0.3529411765</v>
      </c>
      <c r="N523" s="31">
        <f>IFERROR(__xludf.DUMMYFUNCTION("""COMPUTED_VALUE"""),277.2)</f>
        <v>277.2</v>
      </c>
      <c r="O523" s="57">
        <f>IFERROR(__xludf.DUMMYFUNCTION("""COMPUTED_VALUE"""),0.6)</f>
        <v>0.6</v>
      </c>
      <c r="P523" s="57">
        <f>IFERROR(__xludf.DUMMYFUNCTION("""COMPUTED_VALUE"""),0.5)</f>
        <v>0.5</v>
      </c>
      <c r="Q523" s="57">
        <f>IFERROR(__xludf.DUMMYFUNCTION("""COMPUTED_VALUE"""),1.0)</f>
        <v>1</v>
      </c>
      <c r="R523" s="57">
        <f>IFERROR(__xludf.DUMMYFUNCTION("""COMPUTED_VALUE"""),1.7)</f>
        <v>1.7</v>
      </c>
      <c r="S523" s="31">
        <f>IFERROR(__xludf.DUMMYFUNCTION("""COMPUTED_VALUE"""),286.4)</f>
        <v>286.4</v>
      </c>
      <c r="T523" s="57">
        <f>IFERROR(__xludf.DUMMYFUNCTION("""COMPUTED_VALUE"""),0.5)</f>
        <v>0.5</v>
      </c>
      <c r="U523" s="57">
        <f>IFERROR(__xludf.DUMMYFUNCTION("""COMPUTED_VALUE"""),0.3666666666666666)</f>
        <v>0.3666666667</v>
      </c>
      <c r="V523" s="57">
        <f>IFERROR(__xludf.DUMMYFUNCTION("""COMPUTED_VALUE"""),1.0666666666666667)</f>
        <v>1.066666667</v>
      </c>
      <c r="W523" s="57">
        <f>IFERROR(__xludf.DUMMYFUNCTION("""COMPUTED_VALUE"""),2.3000000000000003)</f>
        <v>2.3</v>
      </c>
      <c r="X523" s="31">
        <f>IFERROR(__xludf.DUMMYFUNCTION("""COMPUTED_VALUE"""),325.87679962690714)</f>
        <v>325.8767996</v>
      </c>
      <c r="Y523" s="57">
        <f>IFERROR(__xludf.DUMMYFUNCTION("""COMPUTED_VALUE"""),0.7624600592957221)</f>
        <v>0.7624600593</v>
      </c>
      <c r="Z523" s="57">
        <f>IFERROR(__xludf.DUMMYFUNCTION("""COMPUTED_VALUE"""),0.5817302675382184)</f>
        <v>0.5817302675</v>
      </c>
      <c r="AA523" s="57">
        <f>IFERROR(__xludf.DUMMYFUNCTION("""COMPUTED_VALUE"""),1.0403825247277392)</f>
        <v>1.040382525</v>
      </c>
      <c r="AB523" s="57">
        <f>IFERROR(__xludf.DUMMYFUNCTION("""COMPUTED_VALUE"""),2.61663183789856)</f>
        <v>2.616631838</v>
      </c>
      <c r="AC523" s="31">
        <f>IFERROR(__xludf.DUMMYFUNCTION("""COMPUTED_VALUE"""),337.9774715927592)</f>
        <v>337.9774716</v>
      </c>
      <c r="AD523" s="57">
        <f>IFERROR(__xludf.DUMMYFUNCTION("""COMPUTED_VALUE"""),0.7848535762578097)</f>
        <v>0.7848535763</v>
      </c>
      <c r="AE523" s="57">
        <f>IFERROR(__xludf.DUMMYFUNCTION("""COMPUTED_VALUE"""),0.5116880884641197)</f>
        <v>0.5116880885</v>
      </c>
      <c r="AF523" s="57">
        <f>IFERROR(__xludf.DUMMYFUNCTION("""COMPUTED_VALUE"""),1.3907774190132367)</f>
        <v>1.390777419</v>
      </c>
      <c r="AG523" s="57">
        <f>IFERROR(__xludf.DUMMYFUNCTION("""COMPUTED_VALUE"""),2.2064055663962487)</f>
        <v>2.206405566</v>
      </c>
      <c r="AH523" s="57">
        <f>IFERROR(__xludf.DUMMYFUNCTION("""COMPUTED_VALUE"""),0.8201730094424989)</f>
        <v>0.8201730094</v>
      </c>
      <c r="AI523" s="57">
        <f>IFERROR(__xludf.DUMMYFUNCTION("""COMPUTED_VALUE"""),0.7644738052425096)</f>
        <v>0.7644738052</v>
      </c>
      <c r="AJ523" s="57">
        <f>IFERROR(__xludf.DUMMYFUNCTION("""COMPUTED_VALUE"""),0.9771577866914928)</f>
        <v>0.9771577867</v>
      </c>
      <c r="AK523" s="57">
        <f>IFERROR(__xludf.DUMMYFUNCTION("""COMPUTED_VALUE"""),0.7190223153820723)</f>
        <v>0.7190223154</v>
      </c>
      <c r="AL523" s="57">
        <f>IFERROR(__xludf.DUMMYFUNCTION("""COMPUTED_VALUE"""),0.7704839155099814)</f>
        <v>0.7704839155</v>
      </c>
      <c r="AM523" s="57">
        <f>IFERROR(__xludf.DUMMYFUNCTION("""COMPUTED_VALUE"""),0.8788597418653192)</f>
        <v>0.8788597419</v>
      </c>
      <c r="AN523" s="57">
        <f>IFERROR(__xludf.DUMMYFUNCTION("""COMPUTED_VALUE"""),0.6557720550789844)</f>
        <v>0.6557720551</v>
      </c>
      <c r="AO523" s="57">
        <f>IFERROR(__xludf.DUMMYFUNCTION("""COMPUTED_VALUE"""),0.6303035738854302)</f>
        <v>0.6303035739</v>
      </c>
      <c r="AP523" s="35">
        <f>IFERROR(__xludf.DUMMYFUNCTION("""COMPUTED_VALUE"""),1.0252639210234773)</f>
        <v>1.025263921</v>
      </c>
      <c r="AQ523" s="57">
        <f>IFERROR(__xludf.DUMMYFUNCTION("""COMPUTED_VALUE"""),0.878992591425147)</f>
        <v>0.8789925914</v>
      </c>
      <c r="AR523" s="36" t="b">
        <f>IFERROR(__xludf.DUMMYFUNCTION("""COMPUTED_VALUE"""),TRUE)</f>
        <v>1</v>
      </c>
      <c r="AS523" s="57"/>
      <c r="AT523" s="37"/>
      <c r="AU523" s="30"/>
      <c r="AV523" s="30"/>
      <c r="AW523" s="30"/>
      <c r="AX523" s="30"/>
      <c r="AY523" s="30"/>
      <c r="AZ523" s="30"/>
    </row>
    <row r="524">
      <c r="A524" s="30" t="str">
        <f>IFERROR(__xludf.DUMMYFUNCTION("""COMPUTED_VALUE"""),"Prospect")</f>
        <v>Prospect</v>
      </c>
      <c r="B524" s="30" t="str">
        <f>IFERROR(__xludf.DUMMYFUNCTION("""COMPUTED_VALUE"""),"RSC006755")</f>
        <v>RSC006755</v>
      </c>
      <c r="C524" s="30" t="str">
        <f>IFERROR(__xludf.DUMMYFUNCTION("""COMPUTED_VALUE"""),"Fox_gt_400")</f>
        <v>Fox_gt_400</v>
      </c>
      <c r="D524" s="31" t="str">
        <f>IFERROR(__xludf.DUMMYFUNCTION("""COMPUTED_VALUE"""),"Undead")</f>
        <v>Undead</v>
      </c>
      <c r="E524" s="31">
        <f>IFERROR(__xludf.DUMMYFUNCTION("""COMPUTED_VALUE"""),44.612651070348576)</f>
        <v>44.61265107</v>
      </c>
      <c r="F524" s="31">
        <f>IFERROR(__xludf.DUMMYFUNCTION("""COMPUTED_VALUE"""),-2.411433407727645)</f>
        <v>-2.411433408</v>
      </c>
      <c r="G524" s="31">
        <f>IFERROR(__xludf.DUMMYFUNCTION("""COMPUTED_VALUE"""),46.609775710400136)</f>
        <v>46.60977571</v>
      </c>
      <c r="H524" s="31">
        <f>IFERROR(__xludf.DUMMYFUNCTION("""COMPUTED_VALUE"""),-2.241824705869198)</f>
        <v>-2.241824706</v>
      </c>
      <c r="I524" s="54">
        <f>IFERROR(__xludf.DUMMYFUNCTION("""COMPUTED_VALUE"""),22.0)</f>
        <v>22</v>
      </c>
      <c r="J524" s="55">
        <f>IFERROR(__xludf.DUMMYFUNCTION("""COMPUTED_VALUE"""),9.0)</f>
        <v>9</v>
      </c>
      <c r="K524" s="54">
        <f>IFERROR(__xludf.DUMMYFUNCTION("""COMPUTED_VALUE"""),13.0)</f>
        <v>13</v>
      </c>
      <c r="L524" s="56">
        <f>IFERROR(__xludf.DUMMYFUNCTION("""COMPUTED_VALUE"""),0.4090909090909091)</f>
        <v>0.4090909091</v>
      </c>
      <c r="M524" s="56">
        <f>IFERROR(__xludf.DUMMYFUNCTION("""COMPUTED_VALUE"""),0.3076923076923077)</f>
        <v>0.3076923077</v>
      </c>
      <c r="N524" s="31">
        <f>IFERROR(__xludf.DUMMYFUNCTION("""COMPUTED_VALUE"""),329.45454545454544)</f>
        <v>329.4545455</v>
      </c>
      <c r="O524" s="57">
        <f>IFERROR(__xludf.DUMMYFUNCTION("""COMPUTED_VALUE"""),0.7272727272727273)</f>
        <v>0.7272727273</v>
      </c>
      <c r="P524" s="57">
        <f>IFERROR(__xludf.DUMMYFUNCTION("""COMPUTED_VALUE"""),0.4090909090909091)</f>
        <v>0.4090909091</v>
      </c>
      <c r="Q524" s="57">
        <f>IFERROR(__xludf.DUMMYFUNCTION("""COMPUTED_VALUE"""),1.4090909090909092)</f>
        <v>1.409090909</v>
      </c>
      <c r="R524" s="57">
        <f>IFERROR(__xludf.DUMMYFUNCTION("""COMPUTED_VALUE"""),2.3636363636363638)</f>
        <v>2.363636364</v>
      </c>
      <c r="S524" s="31">
        <f>IFERROR(__xludf.DUMMYFUNCTION("""COMPUTED_VALUE"""),339.53030303030295)</f>
        <v>339.530303</v>
      </c>
      <c r="T524" s="57">
        <f>IFERROR(__xludf.DUMMYFUNCTION("""COMPUTED_VALUE"""),0.8333333333333333)</f>
        <v>0.8333333333</v>
      </c>
      <c r="U524" s="57">
        <f>IFERROR(__xludf.DUMMYFUNCTION("""COMPUTED_VALUE"""),0.5303030303030303)</f>
        <v>0.5303030303</v>
      </c>
      <c r="V524" s="57">
        <f>IFERROR(__xludf.DUMMYFUNCTION("""COMPUTED_VALUE"""),1.0909090909090908)</f>
        <v>1.090909091</v>
      </c>
      <c r="W524" s="57">
        <f>IFERROR(__xludf.DUMMYFUNCTION("""COMPUTED_VALUE"""),2.560606060606061)</f>
        <v>2.560606061</v>
      </c>
      <c r="X524" s="31">
        <f>IFERROR(__xludf.DUMMYFUNCTION("""COMPUTED_VALUE"""),330.50107116749035)</f>
        <v>330.5010712</v>
      </c>
      <c r="Y524" s="57">
        <f>IFERROR(__xludf.DUMMYFUNCTION("""COMPUTED_VALUE"""),0.7819207216754284)</f>
        <v>0.7819207217</v>
      </c>
      <c r="Z524" s="57">
        <f>IFERROR(__xludf.DUMMYFUNCTION("""COMPUTED_VALUE"""),0.467791523509762)</f>
        <v>0.4677915235</v>
      </c>
      <c r="AA524" s="57">
        <f>IFERROR(__xludf.DUMMYFUNCTION("""COMPUTED_VALUE"""),1.1916044935895156)</f>
        <v>1.191604494</v>
      </c>
      <c r="AB524" s="57">
        <f>IFERROR(__xludf.DUMMYFUNCTION("""COMPUTED_VALUE"""),2.4626204006481016)</f>
        <v>2.462620401</v>
      </c>
      <c r="AC524" s="31">
        <f>IFERROR(__xludf.DUMMYFUNCTION("""COMPUTED_VALUE"""),337.095712060029)</f>
        <v>337.0957121</v>
      </c>
      <c r="AD524" s="57">
        <f>IFERROR(__xludf.DUMMYFUNCTION("""COMPUTED_VALUE"""),0.7798411150760667)</f>
        <v>0.7798411151</v>
      </c>
      <c r="AE524" s="57">
        <f>IFERROR(__xludf.DUMMYFUNCTION("""COMPUTED_VALUE"""),0.5388813232194405)</f>
        <v>0.5388813232</v>
      </c>
      <c r="AF524" s="57">
        <f>IFERROR(__xludf.DUMMYFUNCTION("""COMPUTED_VALUE"""),1.2241071323483466)</f>
        <v>1.224107132</v>
      </c>
      <c r="AG524" s="57">
        <f>IFERROR(__xludf.DUMMYFUNCTION("""COMPUTED_VALUE"""),2.4332635337471626)</f>
        <v>2.433263534</v>
      </c>
      <c r="AH524" s="57">
        <f>IFERROR(__xludf.DUMMYFUNCTION("""COMPUTED_VALUE"""),0.9773323530020969)</f>
        <v>0.977332353</v>
      </c>
      <c r="AI524" s="57">
        <f>IFERROR(__xludf.DUMMYFUNCTION("""COMPUTED_VALUE"""),0.9325908998806612)</f>
        <v>0.9325908999</v>
      </c>
      <c r="AJ524" s="57">
        <f>IFERROR(__xludf.DUMMYFUNCTION("""COMPUTED_VALUE"""),0.7591484274253113)</f>
        <v>0.7591484274</v>
      </c>
      <c r="AK524" s="57">
        <f>IFERROR(__xludf.DUMMYFUNCTION("""COMPUTED_VALUE"""),1.1511173097959873)</f>
        <v>1.15111731</v>
      </c>
      <c r="AL524" s="57">
        <f>IFERROR(__xludf.DUMMYFUNCTION("""COMPUTED_VALUE"""),0.9713852736684156)</f>
        <v>0.9713852737</v>
      </c>
      <c r="AM524" s="57">
        <f>IFERROR(__xludf.DUMMYFUNCTION("""COMPUTED_VALUE"""),1.0273198263198269)</f>
        <v>1.027319826</v>
      </c>
      <c r="AN524" s="57">
        <f>IFERROR(__xludf.DUMMYFUNCTION("""COMPUTED_VALUE"""),1.0657516935319769)</f>
        <v>1.065751694</v>
      </c>
      <c r="AO524" s="57">
        <f>IFERROR(__xludf.DUMMYFUNCTION("""COMPUTED_VALUE"""),1.1336311233778988)</f>
        <v>1.133631123</v>
      </c>
      <c r="AP524" s="35">
        <f>IFERROR(__xludf.DUMMYFUNCTION("""COMPUTED_VALUE"""),0.9154959525395073)</f>
        <v>0.9154959525</v>
      </c>
      <c r="AQ524" s="57">
        <f>IFERROR(__xludf.DUMMYFUNCTION("""COMPUTED_VALUE"""),1.0397891855083194)</f>
        <v>1.039789186</v>
      </c>
      <c r="AR524" s="36" t="b">
        <f>IFERROR(__xludf.DUMMYFUNCTION("""COMPUTED_VALUE"""),TRUE)</f>
        <v>1</v>
      </c>
      <c r="AS524" s="57"/>
      <c r="AT524" s="37"/>
      <c r="AU524" s="30"/>
      <c r="AV524" s="30"/>
      <c r="AW524" s="30"/>
      <c r="AX524" s="30"/>
      <c r="AY524" s="30"/>
      <c r="AZ524" s="30"/>
    </row>
    <row r="525">
      <c r="A525" s="30" t="str">
        <f>IFERROR(__xludf.DUMMYFUNCTION("""COMPUTED_VALUE"""),"Prospect")</f>
        <v>Prospect</v>
      </c>
      <c r="B525" s="30" t="str">
        <f>IFERROR(__xludf.DUMMYFUNCTION("""COMPUTED_VALUE"""),"RSC005608")</f>
        <v>RSC005608</v>
      </c>
      <c r="C525" s="30" t="str">
        <f>IFERROR(__xludf.DUMMYFUNCTION("""COMPUTED_VALUE"""),"wolverine36535")</f>
        <v>wolverine36535</v>
      </c>
      <c r="D525" s="31" t="str">
        <f>IFERROR(__xludf.DUMMYFUNCTION("""COMPUTED_VALUE"""),"Prism Proteges")</f>
        <v>Prism Proteges</v>
      </c>
      <c r="E525" s="31">
        <f>IFERROR(__xludf.DUMMYFUNCTION("""COMPUTED_VALUE"""),44.47233764494631)</f>
        <v>44.47233764</v>
      </c>
      <c r="F525" s="31">
        <f>IFERROR(__xludf.DUMMYFUNCTION("""COMPUTED_VALUE"""),-2.4242144686276905)</f>
        <v>-2.424214469</v>
      </c>
      <c r="G525" s="31">
        <f>IFERROR(__xludf.DUMMYFUNCTION("""COMPUTED_VALUE"""),39.79417737224627)</f>
        <v>39.79417737</v>
      </c>
      <c r="H525" s="31">
        <f>IFERROR(__xludf.DUMMYFUNCTION("""COMPUTED_VALUE"""),-2.9278174742402907)</f>
        <v>-2.927817474</v>
      </c>
      <c r="I525" s="54">
        <f>IFERROR(__xludf.DUMMYFUNCTION("""COMPUTED_VALUE"""),26.0)</f>
        <v>26</v>
      </c>
      <c r="J525" s="55">
        <f>IFERROR(__xludf.DUMMYFUNCTION("""COMPUTED_VALUE"""),10.0)</f>
        <v>10</v>
      </c>
      <c r="K525" s="54">
        <f>IFERROR(__xludf.DUMMYFUNCTION("""COMPUTED_VALUE"""),16.0)</f>
        <v>16</v>
      </c>
      <c r="L525" s="56">
        <f>IFERROR(__xludf.DUMMYFUNCTION("""COMPUTED_VALUE"""),0.38461538461538464)</f>
        <v>0.3846153846</v>
      </c>
      <c r="M525" s="56">
        <f>IFERROR(__xludf.DUMMYFUNCTION("""COMPUTED_VALUE"""),0.3064516129032258)</f>
        <v>0.3064516129</v>
      </c>
      <c r="N525" s="31">
        <f>IFERROR(__xludf.DUMMYFUNCTION("""COMPUTED_VALUE"""),310.03846153846155)</f>
        <v>310.0384615</v>
      </c>
      <c r="O525" s="57">
        <f>IFERROR(__xludf.DUMMYFUNCTION("""COMPUTED_VALUE"""),0.7307692307692307)</f>
        <v>0.7307692308</v>
      </c>
      <c r="P525" s="57">
        <f>IFERROR(__xludf.DUMMYFUNCTION("""COMPUTED_VALUE"""),0.4230769230769231)</f>
        <v>0.4230769231</v>
      </c>
      <c r="Q525" s="57">
        <f>IFERROR(__xludf.DUMMYFUNCTION("""COMPUTED_VALUE"""),1.1153846153846154)</f>
        <v>1.115384615</v>
      </c>
      <c r="R525" s="57">
        <f>IFERROR(__xludf.DUMMYFUNCTION("""COMPUTED_VALUE"""),2.3846153846153846)</f>
        <v>2.384615385</v>
      </c>
      <c r="S525" s="31">
        <f>IFERROR(__xludf.DUMMYFUNCTION("""COMPUTED_VALUE"""),340.9871794871796)</f>
        <v>340.9871795</v>
      </c>
      <c r="T525" s="57">
        <f>IFERROR(__xludf.DUMMYFUNCTION("""COMPUTED_VALUE"""),0.858974358974359)</f>
        <v>0.858974359</v>
      </c>
      <c r="U525" s="57">
        <f>IFERROR(__xludf.DUMMYFUNCTION("""COMPUTED_VALUE"""),0.5)</f>
        <v>0.5</v>
      </c>
      <c r="V525" s="57">
        <f>IFERROR(__xludf.DUMMYFUNCTION("""COMPUTED_VALUE"""),1.4102564102564101)</f>
        <v>1.41025641</v>
      </c>
      <c r="W525" s="57">
        <f>IFERROR(__xludf.DUMMYFUNCTION("""COMPUTED_VALUE"""),2.3205128205128203)</f>
        <v>2.320512821</v>
      </c>
      <c r="X525" s="31">
        <f>IFERROR(__xludf.DUMMYFUNCTION("""COMPUTED_VALUE"""),328.65980819218964)</f>
        <v>328.6598082</v>
      </c>
      <c r="Y525" s="57">
        <f>IFERROR(__xludf.DUMMYFUNCTION("""COMPUTED_VALUE"""),0.7544048304179716)</f>
        <v>0.7544048304</v>
      </c>
      <c r="Z525" s="57">
        <f>IFERROR(__xludf.DUMMYFUNCTION("""COMPUTED_VALUE"""),0.4943415302202476)</f>
        <v>0.4943415302</v>
      </c>
      <c r="AA525" s="57">
        <f>IFERROR(__xludf.DUMMYFUNCTION("""COMPUTED_VALUE"""),1.2520772037649552)</f>
        <v>1.252077204</v>
      </c>
      <c r="AB525" s="57">
        <f>IFERROR(__xludf.DUMMYFUNCTION("""COMPUTED_VALUE"""),2.336578183941395)</f>
        <v>2.336578184</v>
      </c>
      <c r="AC525" s="31">
        <f>IFERROR(__xludf.DUMMYFUNCTION("""COMPUTED_VALUE"""),336.41896579470256)</f>
        <v>336.4189658</v>
      </c>
      <c r="AD525" s="57">
        <f>IFERROR(__xludf.DUMMYFUNCTION("""COMPUTED_VALUE"""),0.7919521846742672)</f>
        <v>0.7919521847</v>
      </c>
      <c r="AE525" s="57">
        <f>IFERROR(__xludf.DUMMYFUNCTION("""COMPUTED_VALUE"""),0.5269484325224849)</f>
        <v>0.5269484325</v>
      </c>
      <c r="AF525" s="57">
        <f>IFERROR(__xludf.DUMMYFUNCTION("""COMPUTED_VALUE"""),1.197038480883197)</f>
        <v>1.197038481</v>
      </c>
      <c r="AG525" s="57">
        <f>IFERROR(__xludf.DUMMYFUNCTION("""COMPUTED_VALUE"""),2.5500003733215206)</f>
        <v>2.550000373</v>
      </c>
      <c r="AH525" s="57">
        <f>IFERROR(__xludf.DUMMYFUNCTION("""COMPUTED_VALUE"""),0.9215843726469942)</f>
        <v>0.9215843726</v>
      </c>
      <c r="AI525" s="57">
        <f>IFERROR(__xludf.DUMMYFUNCTION("""COMPUTED_VALUE"""),0.9227441314146999)</f>
        <v>0.9227441314</v>
      </c>
      <c r="AJ525" s="57">
        <f>IFERROR(__xludf.DUMMYFUNCTION("""COMPUTED_VALUE"""),0.8028810732990849)</f>
        <v>0.8028810733</v>
      </c>
      <c r="AK525" s="57">
        <f>IFERROR(__xludf.DUMMYFUNCTION("""COMPUTED_VALUE"""),0.9317867664217979)</f>
        <v>0.9317867664</v>
      </c>
      <c r="AL525" s="57">
        <f>IFERROR(__xludf.DUMMYFUNCTION("""COMPUTED_VALUE"""),0.9351431511789495)</f>
        <v>0.9351431512</v>
      </c>
      <c r="AM525" s="57">
        <f>IFERROR(__xludf.DUMMYFUNCTION("""COMPUTED_VALUE"""),1.0375079975942216)</f>
        <v>1.037507998</v>
      </c>
      <c r="AN525" s="57">
        <f>IFERROR(__xludf.DUMMYFUNCTION("""COMPUTED_VALUE"""),1.138611955199772)</f>
        <v>1.138611955</v>
      </c>
      <c r="AO525" s="57">
        <f>IFERROR(__xludf.DUMMYFUNCTION("""COMPUTED_VALUE"""),1.0114464786667454)</f>
        <v>1.011446479</v>
      </c>
      <c r="AP525" s="35">
        <f>IFERROR(__xludf.DUMMYFUNCTION("""COMPUTED_VALUE"""),1.1263334289737208)</f>
        <v>1.126333429</v>
      </c>
      <c r="AQ525" s="57">
        <f>IFERROR(__xludf.DUMMYFUNCTION("""COMPUTED_VALUE"""),0.9931244057917741)</f>
        <v>0.9931244058</v>
      </c>
      <c r="AR525" s="36" t="b">
        <f>IFERROR(__xludf.DUMMYFUNCTION("""COMPUTED_VALUE"""),TRUE)</f>
        <v>1</v>
      </c>
      <c r="AS525" s="57"/>
      <c r="AT525" s="37"/>
      <c r="AU525" s="30"/>
      <c r="AV525" s="30"/>
      <c r="AW525" s="30"/>
      <c r="AX525" s="30"/>
      <c r="AY525" s="30"/>
      <c r="AZ525" s="30"/>
    </row>
    <row r="526">
      <c r="A526" s="30" t="str">
        <f>IFERROR(__xludf.DUMMYFUNCTION("""COMPUTED_VALUE"""),"Prospect")</f>
        <v>Prospect</v>
      </c>
      <c r="B526" s="30" t="str">
        <f>IFERROR(__xludf.DUMMYFUNCTION("""COMPUTED_VALUE"""),"RSC006758")</f>
        <v>RSC006758</v>
      </c>
      <c r="C526" s="30" t="str">
        <f>IFERROR(__xludf.DUMMYFUNCTION("""COMPUTED_VALUE"""),"El Booger Sugar")</f>
        <v>El Booger Sugar</v>
      </c>
      <c r="D526" s="31" t="str">
        <f>IFERROR(__xludf.DUMMYFUNCTION("""COMPUTED_VALUE"""),"Principales")</f>
        <v>Principales</v>
      </c>
      <c r="E526" s="31">
        <f>IFERROR(__xludf.DUMMYFUNCTION("""COMPUTED_VALUE"""),44.46651907301957)</f>
        <v>44.46651907</v>
      </c>
      <c r="F526" s="31">
        <f>IFERROR(__xludf.DUMMYFUNCTION("""COMPUTED_VALUE"""),-2.4247470633454364)</f>
        <v>-2.424747063</v>
      </c>
      <c r="G526" s="31">
        <f>IFERROR(__xludf.DUMMYFUNCTION("""COMPUTED_VALUE"""),49.53862613281692)</f>
        <v>49.53862613</v>
      </c>
      <c r="H526" s="31">
        <f>IFERROR(__xludf.DUMMYFUNCTION("""COMPUTED_VALUE"""),-2.029888252466115)</f>
        <v>-2.029888252</v>
      </c>
      <c r="I526" s="54">
        <f>IFERROR(__xludf.DUMMYFUNCTION("""COMPUTED_VALUE"""),12.0)</f>
        <v>12</v>
      </c>
      <c r="J526" s="55">
        <f>IFERROR(__xludf.DUMMYFUNCTION("""COMPUTED_VALUE"""),6.0)</f>
        <v>6</v>
      </c>
      <c r="K526" s="54">
        <f>IFERROR(__xludf.DUMMYFUNCTION("""COMPUTED_VALUE"""),6.0)</f>
        <v>6</v>
      </c>
      <c r="L526" s="56">
        <f>IFERROR(__xludf.DUMMYFUNCTION("""COMPUTED_VALUE"""),0.5)</f>
        <v>0.5</v>
      </c>
      <c r="M526" s="56">
        <f>IFERROR(__xludf.DUMMYFUNCTION("""COMPUTED_VALUE"""),0.2857142857142857)</f>
        <v>0.2857142857</v>
      </c>
      <c r="N526" s="31">
        <f>IFERROR(__xludf.DUMMYFUNCTION("""COMPUTED_VALUE"""),302.3333333333333)</f>
        <v>302.3333333</v>
      </c>
      <c r="O526" s="57">
        <f>IFERROR(__xludf.DUMMYFUNCTION("""COMPUTED_VALUE"""),0.6666666666666666)</f>
        <v>0.6666666667</v>
      </c>
      <c r="P526" s="57">
        <f>IFERROR(__xludf.DUMMYFUNCTION("""COMPUTED_VALUE"""),0.5833333333333334)</f>
        <v>0.5833333333</v>
      </c>
      <c r="Q526" s="57">
        <f>IFERROR(__xludf.DUMMYFUNCTION("""COMPUTED_VALUE"""),0.9166666666666666)</f>
        <v>0.9166666667</v>
      </c>
      <c r="R526" s="57">
        <f>IFERROR(__xludf.DUMMYFUNCTION("""COMPUTED_VALUE"""),2.3333333333333335)</f>
        <v>2.333333333</v>
      </c>
      <c r="S526" s="31">
        <f>IFERROR(__xludf.DUMMYFUNCTION("""COMPUTED_VALUE"""),350.4444444444444)</f>
        <v>350.4444444</v>
      </c>
      <c r="T526" s="57">
        <f>IFERROR(__xludf.DUMMYFUNCTION("""COMPUTED_VALUE"""),0.8611111111111112)</f>
        <v>0.8611111111</v>
      </c>
      <c r="U526" s="57">
        <f>IFERROR(__xludf.DUMMYFUNCTION("""COMPUTED_VALUE"""),0.5833333333333333)</f>
        <v>0.5833333333</v>
      </c>
      <c r="V526" s="57">
        <f>IFERROR(__xludf.DUMMYFUNCTION("""COMPUTED_VALUE"""),1.3888888888888886)</f>
        <v>1.388888889</v>
      </c>
      <c r="W526" s="57">
        <f>IFERROR(__xludf.DUMMYFUNCTION("""COMPUTED_VALUE"""),1.9999999999999993)</f>
        <v>2</v>
      </c>
      <c r="X526" s="31">
        <f>IFERROR(__xludf.DUMMYFUNCTION("""COMPUTED_VALUE"""),322.3619078948985)</f>
        <v>322.3619079</v>
      </c>
      <c r="Y526" s="57">
        <f>IFERROR(__xludf.DUMMYFUNCTION("""COMPUTED_VALUE"""),0.7351214352866381)</f>
        <v>0.7351214353</v>
      </c>
      <c r="Z526" s="57">
        <f>IFERROR(__xludf.DUMMYFUNCTION("""COMPUTED_VALUE"""),0.48781839071543454)</f>
        <v>0.4878183907</v>
      </c>
      <c r="AA526" s="57">
        <f>IFERROR(__xludf.DUMMYFUNCTION("""COMPUTED_VALUE"""),1.2251226101905368)</f>
        <v>1.22512261</v>
      </c>
      <c r="AB526" s="57">
        <f>IFERROR(__xludf.DUMMYFUNCTION("""COMPUTED_VALUE"""),2.2403047988210627)</f>
        <v>2.240304799</v>
      </c>
      <c r="AC526" s="31">
        <f>IFERROR(__xludf.DUMMYFUNCTION("""COMPUTED_VALUE"""),333.27083328912585)</f>
        <v>333.2708333</v>
      </c>
      <c r="AD526" s="57">
        <f>IFERROR(__xludf.DUMMYFUNCTION("""COMPUTED_VALUE"""),0.8154566776238096)</f>
        <v>0.8154566776</v>
      </c>
      <c r="AE526" s="57">
        <f>IFERROR(__xludf.DUMMYFUNCTION("""COMPUTED_VALUE"""),0.5448253828744747)</f>
        <v>0.5448253829</v>
      </c>
      <c r="AF526" s="57">
        <f>IFERROR(__xludf.DUMMYFUNCTION("""COMPUTED_VALUE"""),1.1061004945854396)</f>
        <v>1.106100495</v>
      </c>
      <c r="AG526" s="57">
        <f>IFERROR(__xludf.DUMMYFUNCTION("""COMPUTED_VALUE"""),2.542507986430344)</f>
        <v>2.542507986</v>
      </c>
      <c r="AH526" s="57">
        <f>IFERROR(__xludf.DUMMYFUNCTION("""COMPUTED_VALUE"""),0.9071700945130323)</f>
        <v>0.9071700945</v>
      </c>
      <c r="AI526" s="57">
        <f>IFERROR(__xludf.DUMMYFUNCTION("""COMPUTED_VALUE"""),0.817537810358353)</f>
        <v>0.8175378104</v>
      </c>
      <c r="AJ526" s="57">
        <f>IFERROR(__xludf.DUMMYFUNCTION("""COMPUTED_VALUE"""),1.0706794354104656)</f>
        <v>1.070679435</v>
      </c>
      <c r="AK526" s="57">
        <f>IFERROR(__xludf.DUMMYFUNCTION("""COMPUTED_VALUE"""),0.8287372360413131)</f>
        <v>0.828737236</v>
      </c>
      <c r="AL526" s="57">
        <f>IFERROR(__xludf.DUMMYFUNCTION("""COMPUTED_VALUE"""),0.917729008438361)</f>
        <v>0.9177290084</v>
      </c>
      <c r="AM526" s="57">
        <f>IFERROR(__xludf.DUMMYFUNCTION("""COMPUTED_VALUE"""),1.0871149346798812)</f>
        <v>1.087114935</v>
      </c>
      <c r="AN526" s="57">
        <f>IFERROR(__xludf.DUMMYFUNCTION("""COMPUTED_VALUE"""),1.1713862088313984)</f>
        <v>1.171386209</v>
      </c>
      <c r="AO526" s="57">
        <f>IFERROR(__xludf.DUMMYFUNCTION("""COMPUTED_VALUE"""),1.1958002085116481)</f>
        <v>1.195800209</v>
      </c>
      <c r="AP526" s="35">
        <f>IFERROR(__xludf.DUMMYFUNCTION("""COMPUTED_VALUE"""),1.1336733787591122)</f>
        <v>1.133673379</v>
      </c>
      <c r="AQ526" s="57">
        <f>IFERROR(__xludf.DUMMYFUNCTION("""COMPUTED_VALUE"""),0.8927356675093847)</f>
        <v>0.8927356675</v>
      </c>
      <c r="AR526" s="36" t="b">
        <f>IFERROR(__xludf.DUMMYFUNCTION("""COMPUTED_VALUE"""),TRUE)</f>
        <v>1</v>
      </c>
      <c r="AS526" s="57"/>
      <c r="AT526" s="37"/>
      <c r="AU526" s="30"/>
      <c r="AV526" s="30"/>
      <c r="AW526" s="30"/>
      <c r="AX526" s="30"/>
      <c r="AY526" s="30"/>
      <c r="AZ526" s="30"/>
    </row>
    <row r="527">
      <c r="A527" s="30" t="str">
        <f>IFERROR(__xludf.DUMMYFUNCTION("""COMPUTED_VALUE"""),"Prospect")</f>
        <v>Prospect</v>
      </c>
      <c r="B527" s="30" t="str">
        <f>IFERROR(__xludf.DUMMYFUNCTION("""COMPUTED_VALUE"""),"RSC005139")</f>
        <v>RSC005139</v>
      </c>
      <c r="C527" s="30" t="str">
        <f>IFERROR(__xludf.DUMMYFUNCTION("""COMPUTED_VALUE"""),"brillo_padd")</f>
        <v>brillo_padd</v>
      </c>
      <c r="D527" s="31" t="str">
        <f>IFERROR(__xludf.DUMMYFUNCTION("""COMPUTED_VALUE"""),"Principales")</f>
        <v>Principales</v>
      </c>
      <c r="E527" s="31">
        <f>IFERROR(__xludf.DUMMYFUNCTION("""COMPUTED_VALUE"""),41.60663757729736)</f>
        <v>41.60663758</v>
      </c>
      <c r="F527" s="31">
        <f>IFERROR(__xludf.DUMMYFUNCTION("""COMPUTED_VALUE"""),-2.7134424732911198)</f>
        <v>-2.713442473</v>
      </c>
      <c r="G527" s="31">
        <f>IFERROR(__xludf.DUMMYFUNCTION("""COMPUTED_VALUE"""),47.72453193617054)</f>
        <v>47.72453194</v>
      </c>
      <c r="H527" s="31">
        <f>IFERROR(__xludf.DUMMYFUNCTION("""COMPUTED_VALUE"""),-2.1563860446853234)</f>
        <v>-2.156386045</v>
      </c>
      <c r="I527" s="54">
        <f>IFERROR(__xludf.DUMMYFUNCTION("""COMPUTED_VALUE"""),34.0)</f>
        <v>34</v>
      </c>
      <c r="J527" s="55">
        <f>IFERROR(__xludf.DUMMYFUNCTION("""COMPUTED_VALUE"""),12.0)</f>
        <v>12</v>
      </c>
      <c r="K527" s="54">
        <f>IFERROR(__xludf.DUMMYFUNCTION("""COMPUTED_VALUE"""),22.0)</f>
        <v>22</v>
      </c>
      <c r="L527" s="56">
        <f>IFERROR(__xludf.DUMMYFUNCTION("""COMPUTED_VALUE"""),0.35294117647058826)</f>
        <v>0.3529411765</v>
      </c>
      <c r="M527" s="56">
        <f>IFERROR(__xludf.DUMMYFUNCTION("""COMPUTED_VALUE"""),0.32051282051282054)</f>
        <v>0.3205128205</v>
      </c>
      <c r="N527" s="31">
        <f>IFERROR(__xludf.DUMMYFUNCTION("""COMPUTED_VALUE"""),293.29411764705884)</f>
        <v>293.2941176</v>
      </c>
      <c r="O527" s="57">
        <f>IFERROR(__xludf.DUMMYFUNCTION("""COMPUTED_VALUE"""),0.7352941176470589)</f>
        <v>0.7352941176</v>
      </c>
      <c r="P527" s="57">
        <f>IFERROR(__xludf.DUMMYFUNCTION("""COMPUTED_VALUE"""),0.4117647058823529)</f>
        <v>0.4117647059</v>
      </c>
      <c r="Q527" s="57">
        <f>IFERROR(__xludf.DUMMYFUNCTION("""COMPUTED_VALUE"""),1.0294117647058822)</f>
        <v>1.029411765</v>
      </c>
      <c r="R527" s="57">
        <f>IFERROR(__xludf.DUMMYFUNCTION("""COMPUTED_VALUE"""),2.2941176470588234)</f>
        <v>2.294117647</v>
      </c>
      <c r="S527" s="31">
        <f>IFERROR(__xludf.DUMMYFUNCTION("""COMPUTED_VALUE"""),339.3137254901961)</f>
        <v>339.3137255</v>
      </c>
      <c r="T527" s="57">
        <f>IFERROR(__xludf.DUMMYFUNCTION("""COMPUTED_VALUE"""),0.9509803921568628)</f>
        <v>0.9509803922</v>
      </c>
      <c r="U527" s="57">
        <f>IFERROR(__xludf.DUMMYFUNCTION("""COMPUTED_VALUE"""),0.607843137254902)</f>
        <v>0.6078431373</v>
      </c>
      <c r="V527" s="57">
        <f>IFERROR(__xludf.DUMMYFUNCTION("""COMPUTED_VALUE"""),0.9509803921568628)</f>
        <v>0.9509803922</v>
      </c>
      <c r="W527" s="57">
        <f>IFERROR(__xludf.DUMMYFUNCTION("""COMPUTED_VALUE"""),2.4411764705882346)</f>
        <v>2.441176471</v>
      </c>
      <c r="X527" s="31">
        <f>IFERROR(__xludf.DUMMYFUNCTION("""COMPUTED_VALUE"""),331.3859318576751)</f>
        <v>331.3859319</v>
      </c>
      <c r="Y527" s="57">
        <f>IFERROR(__xludf.DUMMYFUNCTION("""COMPUTED_VALUE"""),0.7651449491972315)</f>
        <v>0.7651449492</v>
      </c>
      <c r="Z527" s="57">
        <f>IFERROR(__xludf.DUMMYFUNCTION("""COMPUTED_VALUE"""),0.5719491098985532)</f>
        <v>0.5719491099</v>
      </c>
      <c r="AA527" s="57">
        <f>IFERROR(__xludf.DUMMYFUNCTION("""COMPUTED_VALUE"""),1.1674690746755987)</f>
        <v>1.167469075</v>
      </c>
      <c r="AB527" s="57">
        <f>IFERROR(__xludf.DUMMYFUNCTION("""COMPUTED_VALUE"""),2.433501119638098)</f>
        <v>2.43350112</v>
      </c>
      <c r="AC527" s="31">
        <f>IFERROR(__xludf.DUMMYFUNCTION("""COMPUTED_VALUE"""),334.7546606118471)</f>
        <v>334.7546606</v>
      </c>
      <c r="AD527" s="57">
        <f>IFERROR(__xludf.DUMMYFUNCTION("""COMPUTED_VALUE"""),0.789330367824139)</f>
        <v>0.7893303678</v>
      </c>
      <c r="AE527" s="57">
        <f>IFERROR(__xludf.DUMMYFUNCTION("""COMPUTED_VALUE"""),0.519344053778967)</f>
        <v>0.5193440538</v>
      </c>
      <c r="AF527" s="57">
        <f>IFERROR(__xludf.DUMMYFUNCTION("""COMPUTED_VALUE"""),1.2329980501560456)</f>
        <v>1.23299805</v>
      </c>
      <c r="AG527" s="57">
        <f>IFERROR(__xludf.DUMMYFUNCTION("""COMPUTED_VALUE"""),2.3832643646717417)</f>
        <v>2.383264365</v>
      </c>
      <c r="AH527" s="57">
        <f>IFERROR(__xludf.DUMMYFUNCTION("""COMPUTED_VALUE"""),0.8761464802640572)</f>
        <v>0.8761464803</v>
      </c>
      <c r="AI527" s="57">
        <f>IFERROR(__xludf.DUMMYFUNCTION("""COMPUTED_VALUE"""),0.9315416555858151)</f>
        <v>0.9315416556</v>
      </c>
      <c r="AJ527" s="57">
        <f>IFERROR(__xludf.DUMMYFUNCTION("""COMPUTED_VALUE"""),0.7928553391266903)</f>
        <v>0.7928553391</v>
      </c>
      <c r="AK527" s="57">
        <f>IFERROR(__xludf.DUMMYFUNCTION("""COMPUTED_VALUE"""),0.8348851521505668)</f>
        <v>0.8348851522</v>
      </c>
      <c r="AL527" s="57">
        <f>IFERROR(__xludf.DUMMYFUNCTION("""COMPUTED_VALUE"""),0.9625947003889361)</f>
        <v>0.9625947004</v>
      </c>
      <c r="AM527" s="57">
        <f>IFERROR(__xludf.DUMMYFUNCTION("""COMPUTED_VALUE"""),1.0239231448000208)</f>
        <v>1.023923145</v>
      </c>
      <c r="AN527" s="57">
        <f>IFERROR(__xludf.DUMMYFUNCTION("""COMPUTED_VALUE"""),1.2428761284441654)</f>
        <v>1.242876128</v>
      </c>
      <c r="AO527" s="57">
        <f>IFERROR(__xludf.DUMMYFUNCTION("""COMPUTED_VALUE"""),1.062757379520558)</f>
        <v>1.06275738</v>
      </c>
      <c r="AP527" s="35">
        <f>IFERROR(__xludf.DUMMYFUNCTION("""COMPUTED_VALUE"""),0.8145658097377089)</f>
        <v>0.8145658097</v>
      </c>
      <c r="AQ527" s="57">
        <f>IFERROR(__xludf.DUMMYFUNCTION("""COMPUTED_VALUE"""),1.003154036333987)</f>
        <v>1.003154036</v>
      </c>
      <c r="AR527" s="36" t="b">
        <f>IFERROR(__xludf.DUMMYFUNCTION("""COMPUTED_VALUE"""),TRUE)</f>
        <v>1</v>
      </c>
      <c r="AS527" s="57"/>
      <c r="AT527" s="37"/>
      <c r="AU527" s="30"/>
      <c r="AV527" s="30"/>
      <c r="AW527" s="30"/>
      <c r="AX527" s="30"/>
      <c r="AY527" s="30"/>
      <c r="AZ527" s="30"/>
    </row>
    <row r="528">
      <c r="A528" s="30" t="str">
        <f>IFERROR(__xludf.DUMMYFUNCTION("""COMPUTED_VALUE"""),"Prospect")</f>
        <v>Prospect</v>
      </c>
      <c r="B528" s="30" t="str">
        <f>IFERROR(__xludf.DUMMYFUNCTION("""COMPUTED_VALUE"""),"RSC003127")</f>
        <v>RSC003127</v>
      </c>
      <c r="C528" s="30" t="str">
        <f>IFERROR(__xludf.DUMMYFUNCTION("""COMPUTED_VALUE"""),"Lim")</f>
        <v>Lim</v>
      </c>
      <c r="D528" s="31" t="str">
        <f>IFERROR(__xludf.DUMMYFUNCTION("""COMPUTED_VALUE"""),"Skeletons")</f>
        <v>Skeletons</v>
      </c>
      <c r="E528" s="31">
        <f>IFERROR(__xludf.DUMMYFUNCTION("""COMPUTED_VALUE"""),38.14107641812264)</f>
        <v>38.14107642</v>
      </c>
      <c r="F528" s="31">
        <f>IFERROR(__xludf.DUMMYFUNCTION("""COMPUTED_VALUE"""),-3.1483896254735075)</f>
        <v>-3.148389625</v>
      </c>
      <c r="G528" s="31">
        <f>IFERROR(__xludf.DUMMYFUNCTION("""COMPUTED_VALUE"""),46.46307863235107)</f>
        <v>46.46307863</v>
      </c>
      <c r="H528" s="31">
        <f>IFERROR(__xludf.DUMMYFUNCTION("""COMPUTED_VALUE"""),-2.253538283132857)</f>
        <v>-2.253538283</v>
      </c>
      <c r="I528" s="54">
        <f>IFERROR(__xludf.DUMMYFUNCTION("""COMPUTED_VALUE"""),26.0)</f>
        <v>26</v>
      </c>
      <c r="J528" s="55">
        <f>IFERROR(__xludf.DUMMYFUNCTION("""COMPUTED_VALUE"""),10.0)</f>
        <v>10</v>
      </c>
      <c r="K528" s="54">
        <f>IFERROR(__xludf.DUMMYFUNCTION("""COMPUTED_VALUE"""),16.0)</f>
        <v>16</v>
      </c>
      <c r="L528" s="56">
        <f>IFERROR(__xludf.DUMMYFUNCTION("""COMPUTED_VALUE"""),0.38461538461538464)</f>
        <v>0.3846153846</v>
      </c>
      <c r="M528" s="56">
        <f>IFERROR(__xludf.DUMMYFUNCTION("""COMPUTED_VALUE"""),0.25)</f>
        <v>0.25</v>
      </c>
      <c r="N528" s="31">
        <f>IFERROR(__xludf.DUMMYFUNCTION("""COMPUTED_VALUE"""),319.5)</f>
        <v>319.5</v>
      </c>
      <c r="O528" s="57">
        <f>IFERROR(__xludf.DUMMYFUNCTION("""COMPUTED_VALUE"""),0.5384615384615384)</f>
        <v>0.5384615385</v>
      </c>
      <c r="P528" s="57">
        <f>IFERROR(__xludf.DUMMYFUNCTION("""COMPUTED_VALUE"""),0.5769230769230769)</f>
        <v>0.5769230769</v>
      </c>
      <c r="Q528" s="57">
        <f>IFERROR(__xludf.DUMMYFUNCTION("""COMPUTED_VALUE"""),1.3846153846153846)</f>
        <v>1.384615385</v>
      </c>
      <c r="R528" s="57">
        <f>IFERROR(__xludf.DUMMYFUNCTION("""COMPUTED_VALUE"""),2.1538461538461537)</f>
        <v>2.153846154</v>
      </c>
      <c r="S528" s="31">
        <f>IFERROR(__xludf.DUMMYFUNCTION("""COMPUTED_VALUE"""),338.6923076923077)</f>
        <v>338.6923077</v>
      </c>
      <c r="T528" s="57">
        <f>IFERROR(__xludf.DUMMYFUNCTION("""COMPUTED_VALUE"""),0.8846153846153845)</f>
        <v>0.8846153846</v>
      </c>
      <c r="U528" s="57">
        <f>IFERROR(__xludf.DUMMYFUNCTION("""COMPUTED_VALUE"""),0.6025641025641025)</f>
        <v>0.6025641026</v>
      </c>
      <c r="V528" s="57">
        <f>IFERROR(__xludf.DUMMYFUNCTION("""COMPUTED_VALUE"""),1.0384615384615385)</f>
        <v>1.038461538</v>
      </c>
      <c r="W528" s="57">
        <f>IFERROR(__xludf.DUMMYFUNCTION("""COMPUTED_VALUE"""),2.7564102564102564)</f>
        <v>2.756410256</v>
      </c>
      <c r="X528" s="31">
        <f>IFERROR(__xludf.DUMMYFUNCTION("""COMPUTED_VALUE"""),333.572902722427)</f>
        <v>333.5729027</v>
      </c>
      <c r="Y528" s="57">
        <f>IFERROR(__xludf.DUMMYFUNCTION("""COMPUTED_VALUE"""),0.7880822652129785)</f>
        <v>0.7880822652</v>
      </c>
      <c r="Z528" s="57">
        <f>IFERROR(__xludf.DUMMYFUNCTION("""COMPUTED_VALUE"""),0.5210199696559845)</f>
        <v>0.5210199697</v>
      </c>
      <c r="AA528" s="57">
        <f>IFERROR(__xludf.DUMMYFUNCTION("""COMPUTED_VALUE"""),1.1855804404193753)</f>
        <v>1.18558044</v>
      </c>
      <c r="AB528" s="57">
        <f>IFERROR(__xludf.DUMMYFUNCTION("""COMPUTED_VALUE"""),2.433925387789964)</f>
        <v>2.433925388</v>
      </c>
      <c r="AC528" s="31">
        <f>IFERROR(__xludf.DUMMYFUNCTION("""COMPUTED_VALUE"""),334.62760554382385)</f>
        <v>334.6276055</v>
      </c>
      <c r="AD528" s="57">
        <f>IFERROR(__xludf.DUMMYFUNCTION("""COMPUTED_VALUE"""),0.8127617975365713)</f>
        <v>0.8127617975</v>
      </c>
      <c r="AE528" s="57">
        <f>IFERROR(__xludf.DUMMYFUNCTION("""COMPUTED_VALUE"""),0.5259145996803063)</f>
        <v>0.5259145997</v>
      </c>
      <c r="AF528" s="57">
        <f>IFERROR(__xludf.DUMMYFUNCTION("""COMPUTED_VALUE"""),1.1810289645409293)</f>
        <v>1.181028965</v>
      </c>
      <c r="AG528" s="57">
        <f>IFERROR(__xludf.DUMMYFUNCTION("""COMPUTED_VALUE"""),2.4278761219640206)</f>
        <v>2.427876122</v>
      </c>
      <c r="AH528" s="57">
        <f>IFERROR(__xludf.DUMMYFUNCTION("""COMPUTED_VALUE"""),0.9547927149667194)</f>
        <v>0.954792715</v>
      </c>
      <c r="AI528" s="57">
        <f>IFERROR(__xludf.DUMMYFUNCTION("""COMPUTED_VALUE"""),0.6625084250927894)</f>
        <v>0.6625084251</v>
      </c>
      <c r="AJ528" s="57">
        <f>IFERROR(__xludf.DUMMYFUNCTION("""COMPUTED_VALUE"""),1.096990038446884)</f>
        <v>1.096990038</v>
      </c>
      <c r="AK528" s="57">
        <f>IFERROR(__xludf.DUMMYFUNCTION("""COMPUTED_VALUE"""),1.172380547968686)</f>
        <v>1.172380548</v>
      </c>
      <c r="AL528" s="57">
        <f>IFERROR(__xludf.DUMMYFUNCTION("""COMPUTED_VALUE"""),0.8871318163069245)</f>
        <v>0.8871318163</v>
      </c>
      <c r="AM528" s="57">
        <f>IFERROR(__xludf.DUMMYFUNCTION("""COMPUTED_VALUE"""),1.0153471847626083)</f>
        <v>1.015347185</v>
      </c>
      <c r="AN528" s="57">
        <f>IFERROR(__xludf.DUMMYFUNCTION("""COMPUTED_VALUE"""),1.1224911708631307)</f>
        <v>1.122491171</v>
      </c>
      <c r="AO528" s="57">
        <f>IFERROR(__xludf.DUMMYFUNCTION("""COMPUTED_VALUE"""),1.1565086516011265)</f>
        <v>1.156508652</v>
      </c>
      <c r="AP528" s="35">
        <f>IFERROR(__xludf.DUMMYFUNCTION("""COMPUTED_VALUE"""),0.8759098101299677)</f>
        <v>0.8759098101</v>
      </c>
      <c r="AQ528" s="57">
        <f>IFERROR(__xludf.DUMMYFUNCTION("""COMPUTED_VALUE"""),1.1324957906425852)</f>
        <v>1.132495791</v>
      </c>
      <c r="AR528" s="36" t="b">
        <f>IFERROR(__xludf.DUMMYFUNCTION("""COMPUTED_VALUE"""),TRUE)</f>
        <v>1</v>
      </c>
      <c r="AS528" s="57"/>
      <c r="AT528" s="37"/>
      <c r="AU528" s="30"/>
      <c r="AV528" s="30"/>
      <c r="AW528" s="30"/>
      <c r="AX528" s="30"/>
      <c r="AY528" s="30"/>
      <c r="AZ528" s="30"/>
    </row>
    <row r="529">
      <c r="A529" s="30" t="str">
        <f>IFERROR(__xludf.DUMMYFUNCTION("""COMPUTED_VALUE"""),"Prospect")</f>
        <v>Prospect</v>
      </c>
      <c r="B529" s="30" t="str">
        <f>IFERROR(__xludf.DUMMYFUNCTION("""COMPUTED_VALUE"""),"RSC007851")</f>
        <v>RSC007851</v>
      </c>
      <c r="C529" s="30" t="str">
        <f>IFERROR(__xludf.DUMMYFUNCTION("""COMPUTED_VALUE"""),"Carridripdrip")</f>
        <v>Carridripdrip</v>
      </c>
      <c r="D529" s="31" t="str">
        <f>IFERROR(__xludf.DUMMYFUNCTION("""COMPUTED_VALUE"""),"Undead")</f>
        <v>Undead</v>
      </c>
      <c r="E529" s="31">
        <f>IFERROR(__xludf.DUMMYFUNCTION("""COMPUTED_VALUE"""),37.11487091118802)</f>
        <v>37.11487091</v>
      </c>
      <c r="F529" s="31">
        <f>IFERROR(__xludf.DUMMYFUNCTION("""COMPUTED_VALUE"""),-3.2988606519798203)</f>
        <v>-3.298860652</v>
      </c>
      <c r="G529" s="31">
        <f>IFERROR(__xludf.DUMMYFUNCTION("""COMPUTED_VALUE"""),46.95802931097698)</f>
        <v>46.95802931</v>
      </c>
      <c r="H529" s="31">
        <f>IFERROR(__xludf.DUMMYFUNCTION("""COMPUTED_VALUE"""),-2.214463279815631)</f>
        <v>-2.21446328</v>
      </c>
      <c r="I529" s="54">
        <f>IFERROR(__xludf.DUMMYFUNCTION("""COMPUTED_VALUE"""),29.0)</f>
        <v>29</v>
      </c>
      <c r="J529" s="55">
        <f>IFERROR(__xludf.DUMMYFUNCTION("""COMPUTED_VALUE"""),12.0)</f>
        <v>12</v>
      </c>
      <c r="K529" s="54">
        <f>IFERROR(__xludf.DUMMYFUNCTION("""COMPUTED_VALUE"""),17.0)</f>
        <v>17</v>
      </c>
      <c r="L529" s="56">
        <f>IFERROR(__xludf.DUMMYFUNCTION("""COMPUTED_VALUE"""),0.41379310344827586)</f>
        <v>0.4137931034</v>
      </c>
      <c r="M529" s="56">
        <f>IFERROR(__xludf.DUMMYFUNCTION("""COMPUTED_VALUE"""),0.2982456140350877)</f>
        <v>0.298245614</v>
      </c>
      <c r="N529" s="31">
        <f>IFERROR(__xludf.DUMMYFUNCTION("""COMPUTED_VALUE"""),328.3448275862069)</f>
        <v>328.3448276</v>
      </c>
      <c r="O529" s="57">
        <f>IFERROR(__xludf.DUMMYFUNCTION("""COMPUTED_VALUE"""),0.5862068965517241)</f>
        <v>0.5862068966</v>
      </c>
      <c r="P529" s="57">
        <f>IFERROR(__xludf.DUMMYFUNCTION("""COMPUTED_VALUE"""),0.4482758620689655)</f>
        <v>0.4482758621</v>
      </c>
      <c r="Q529" s="57">
        <f>IFERROR(__xludf.DUMMYFUNCTION("""COMPUTED_VALUE"""),1.3103448275862069)</f>
        <v>1.310344828</v>
      </c>
      <c r="R529" s="57">
        <f>IFERROR(__xludf.DUMMYFUNCTION("""COMPUTED_VALUE"""),1.9655172413793103)</f>
        <v>1.965517241</v>
      </c>
      <c r="S529" s="31">
        <f>IFERROR(__xludf.DUMMYFUNCTION("""COMPUTED_VALUE"""),348.5977011494253)</f>
        <v>348.5977011</v>
      </c>
      <c r="T529" s="57">
        <f>IFERROR(__xludf.DUMMYFUNCTION("""COMPUTED_VALUE"""),0.9080459770114939)</f>
        <v>0.908045977</v>
      </c>
      <c r="U529" s="57">
        <f>IFERROR(__xludf.DUMMYFUNCTION("""COMPUTED_VALUE"""),0.5977011494252874)</f>
        <v>0.5977011494</v>
      </c>
      <c r="V529" s="57">
        <f>IFERROR(__xludf.DUMMYFUNCTION("""COMPUTED_VALUE"""),1.0689655172413792)</f>
        <v>1.068965517</v>
      </c>
      <c r="W529" s="57">
        <f>IFERROR(__xludf.DUMMYFUNCTION("""COMPUTED_VALUE"""),2.6436781609195408)</f>
        <v>2.643678161</v>
      </c>
      <c r="X529" s="31">
        <f>IFERROR(__xludf.DUMMYFUNCTION("""COMPUTED_VALUE"""),339.73510787418627)</f>
        <v>339.7351079</v>
      </c>
      <c r="Y529" s="57">
        <f>IFERROR(__xludf.DUMMYFUNCTION("""COMPUTED_VALUE"""),0.8430447400617652)</f>
        <v>0.8430447401</v>
      </c>
      <c r="Z529" s="57">
        <f>IFERROR(__xludf.DUMMYFUNCTION("""COMPUTED_VALUE"""),0.5175634174860584)</f>
        <v>0.5175634175</v>
      </c>
      <c r="AA529" s="57">
        <f>IFERROR(__xludf.DUMMYFUNCTION("""COMPUTED_VALUE"""),1.18147326118686)</f>
        <v>1.181473261</v>
      </c>
      <c r="AB529" s="57">
        <f>IFERROR(__xludf.DUMMYFUNCTION("""COMPUTED_VALUE"""),2.6205652520237486)</f>
        <v>2.620565252</v>
      </c>
      <c r="AC529" s="31">
        <f>IFERROR(__xludf.DUMMYFUNCTION("""COMPUTED_VALUE"""),329.9198403203053)</f>
        <v>329.9198403</v>
      </c>
      <c r="AD529" s="57">
        <f>IFERROR(__xludf.DUMMYFUNCTION("""COMPUTED_VALUE"""),0.7293102920566038)</f>
        <v>0.7293102921</v>
      </c>
      <c r="AE529" s="57">
        <f>IFERROR(__xludf.DUMMYFUNCTION("""COMPUTED_VALUE"""),0.5012393021889722)</f>
        <v>0.5012393022</v>
      </c>
      <c r="AF529" s="57">
        <f>IFERROR(__xludf.DUMMYFUNCTION("""COMPUTED_VALUE"""),1.277039199301041)</f>
        <v>1.277039199</v>
      </c>
      <c r="AG529" s="57">
        <f>IFERROR(__xludf.DUMMYFUNCTION("""COMPUTED_VALUE"""),2.3138968741065056)</f>
        <v>2.313896874</v>
      </c>
      <c r="AH529" s="57">
        <f>IFERROR(__xludf.DUMMYFUNCTION("""COMPUTED_VALUE"""),0.9952260745138296)</f>
        <v>0.9952260745</v>
      </c>
      <c r="AI529" s="57">
        <f>IFERROR(__xludf.DUMMYFUNCTION("""COMPUTED_VALUE"""),0.8037825640697621)</f>
        <v>0.8037825641</v>
      </c>
      <c r="AJ529" s="57">
        <f>IFERROR(__xludf.DUMMYFUNCTION("""COMPUTED_VALUE"""),0.8943350214384448)</f>
        <v>0.8943350214</v>
      </c>
      <c r="AK529" s="57">
        <f>IFERROR(__xludf.DUMMYFUNCTION("""COMPUTED_VALUE"""),1.0260803492198163)</f>
        <v>1.026080349</v>
      </c>
      <c r="AL529" s="57">
        <f>IFERROR(__xludf.DUMMYFUNCTION("""COMPUTED_VALUE"""),0.8494402941523833)</f>
        <v>0.8494402942</v>
      </c>
      <c r="AM529" s="57">
        <f>IFERROR(__xludf.DUMMYFUNCTION("""COMPUTED_VALUE"""),1.0260867748720308)</f>
        <v>1.026086775</v>
      </c>
      <c r="AN529" s="57">
        <f>IFERROR(__xludf.DUMMYFUNCTION("""COMPUTED_VALUE"""),1.0771029506037442)</f>
        <v>1.077102951</v>
      </c>
      <c r="AO529" s="57">
        <f>IFERROR(__xludf.DUMMYFUNCTION("""COMPUTED_VALUE"""),1.154836546076767)</f>
        <v>1.154836546</v>
      </c>
      <c r="AP529" s="35">
        <f>IFERROR(__xludf.DUMMYFUNCTION("""COMPUTED_VALUE"""),0.9047733472762134)</f>
        <v>0.9047733473</v>
      </c>
      <c r="AQ529" s="57">
        <f>IFERROR(__xludf.DUMMYFUNCTION("""COMPUTED_VALUE"""),1.0088198181205155)</f>
        <v>1.008819818</v>
      </c>
      <c r="AR529" s="36" t="b">
        <f>IFERROR(__xludf.DUMMYFUNCTION("""COMPUTED_VALUE"""),TRUE)</f>
        <v>1</v>
      </c>
      <c r="AS529" s="57"/>
      <c r="AT529" s="37"/>
      <c r="AU529" s="30"/>
      <c r="AV529" s="30"/>
      <c r="AW529" s="30"/>
      <c r="AX529" s="30"/>
      <c r="AY529" s="30"/>
      <c r="AZ529" s="30"/>
    </row>
    <row r="530">
      <c r="A530" s="30" t="str">
        <f>IFERROR(__xludf.DUMMYFUNCTION("""COMPUTED_VALUE"""),"Prospect")</f>
        <v>Prospect</v>
      </c>
      <c r="B530" s="30" t="str">
        <f>IFERROR(__xludf.DUMMYFUNCTION("""COMPUTED_VALUE"""),"RSC000989")</f>
        <v>RSC000989</v>
      </c>
      <c r="C530" s="30" t="str">
        <f>IFERROR(__xludf.DUMMYFUNCTION("""COMPUTED_VALUE"""),"Piky Life88")</f>
        <v>Piky Life88</v>
      </c>
      <c r="D530" s="31" t="str">
        <f>IFERROR(__xludf.DUMMYFUNCTION("""COMPUTED_VALUE"""),"Devoured")</f>
        <v>Devoured</v>
      </c>
      <c r="E530" s="31">
        <f>IFERROR(__xludf.DUMMYFUNCTION("""COMPUTED_VALUE"""),35.23826157033036)</f>
        <v>35.23826157</v>
      </c>
      <c r="F530" s="31">
        <f>IFERROR(__xludf.DUMMYFUNCTION("""COMPUTED_VALUE"""),-3.6044095431361454)</f>
        <v>-3.604409543</v>
      </c>
      <c r="G530" s="31">
        <f>IFERROR(__xludf.DUMMYFUNCTION("""COMPUTED_VALUE"""),23.722909256540582)</f>
        <v>23.72290926</v>
      </c>
      <c r="H530" s="31">
        <f>IFERROR(__xludf.DUMMYFUNCTION("""COMPUTED_VALUE"""),-6.820812901864758)</f>
        <v>-6.820812902</v>
      </c>
      <c r="I530" s="54">
        <f>IFERROR(__xludf.DUMMYFUNCTION("""COMPUTED_VALUE"""),1.0)</f>
        <v>1</v>
      </c>
      <c r="J530" s="55">
        <f>IFERROR(__xludf.DUMMYFUNCTION("""COMPUTED_VALUE"""),0.0)</f>
        <v>0</v>
      </c>
      <c r="K530" s="54">
        <f>IFERROR(__xludf.DUMMYFUNCTION("""COMPUTED_VALUE"""),1.0)</f>
        <v>1</v>
      </c>
      <c r="L530" s="56">
        <f>IFERROR(__xludf.DUMMYFUNCTION("""COMPUTED_VALUE"""),0.0)</f>
        <v>0</v>
      </c>
      <c r="M530" s="56">
        <f>IFERROR(__xludf.DUMMYFUNCTION("""COMPUTED_VALUE"""),0.25)</f>
        <v>0.25</v>
      </c>
      <c r="N530" s="31">
        <f>IFERROR(__xludf.DUMMYFUNCTION("""COMPUTED_VALUE"""),454.0)</f>
        <v>454</v>
      </c>
      <c r="O530" s="57">
        <f>IFERROR(__xludf.DUMMYFUNCTION("""COMPUTED_VALUE"""),1.0)</f>
        <v>1</v>
      </c>
      <c r="P530" s="57">
        <f>IFERROR(__xludf.DUMMYFUNCTION("""COMPUTED_VALUE"""),0.0)</f>
        <v>0</v>
      </c>
      <c r="Q530" s="57">
        <f>IFERROR(__xludf.DUMMYFUNCTION("""COMPUTED_VALUE"""),3.0)</f>
        <v>3</v>
      </c>
      <c r="R530" s="57">
        <f>IFERROR(__xludf.DUMMYFUNCTION("""COMPUTED_VALUE"""),4.0)</f>
        <v>4</v>
      </c>
      <c r="S530" s="31">
        <f>IFERROR(__xludf.DUMMYFUNCTION("""COMPUTED_VALUE"""),507.0)</f>
        <v>507</v>
      </c>
      <c r="T530" s="57">
        <f>IFERROR(__xludf.DUMMYFUNCTION("""COMPUTED_VALUE"""),1.6666666666666667)</f>
        <v>1.666666667</v>
      </c>
      <c r="U530" s="57">
        <f>IFERROR(__xludf.DUMMYFUNCTION("""COMPUTED_VALUE"""),1.3333333333333333)</f>
        <v>1.333333333</v>
      </c>
      <c r="V530" s="57">
        <f>IFERROR(__xludf.DUMMYFUNCTION("""COMPUTED_VALUE"""),1.3333333333333333)</f>
        <v>1.333333333</v>
      </c>
      <c r="W530" s="57">
        <f>IFERROR(__xludf.DUMMYFUNCTION("""COMPUTED_VALUE"""),4.0)</f>
        <v>4</v>
      </c>
      <c r="X530" s="31">
        <f>IFERROR(__xludf.DUMMYFUNCTION("""COMPUTED_VALUE"""),340.1752867016025)</f>
        <v>340.1752867</v>
      </c>
      <c r="Y530" s="57">
        <f>IFERROR(__xludf.DUMMYFUNCTION("""COMPUTED_VALUE"""),0.7693172324751272)</f>
        <v>0.7693172325</v>
      </c>
      <c r="Z530" s="57">
        <f>IFERROR(__xludf.DUMMYFUNCTION("""COMPUTED_VALUE"""),0.5625730994152046)</f>
        <v>0.5625730994</v>
      </c>
      <c r="AA530" s="57">
        <f>IFERROR(__xludf.DUMMYFUNCTION("""COMPUTED_VALUE"""),1.2519936204146729)</f>
        <v>1.25199362</v>
      </c>
      <c r="AB530" s="57">
        <f>IFERROR(__xludf.DUMMYFUNCTION("""COMPUTED_VALUE"""),2.5989215462899673)</f>
        <v>2.598921546</v>
      </c>
      <c r="AC530" s="31">
        <f>IFERROR(__xludf.DUMMYFUNCTION("""COMPUTED_VALUE"""),339.8574820890611)</f>
        <v>339.8574821</v>
      </c>
      <c r="AD530" s="57">
        <f>IFERROR(__xludf.DUMMYFUNCTION("""COMPUTED_VALUE"""),0.7710538973696869)</f>
        <v>0.7710538974</v>
      </c>
      <c r="AE530" s="57">
        <f>IFERROR(__xludf.DUMMYFUNCTION("""COMPUTED_VALUE"""),0.45842383737120573)</f>
        <v>0.4584238374</v>
      </c>
      <c r="AF530" s="57">
        <f>IFERROR(__xludf.DUMMYFUNCTION("""COMPUTED_VALUE"""),1.4155844155844157)</f>
        <v>1.415584416</v>
      </c>
      <c r="AG530" s="57">
        <f>IFERROR(__xludf.DUMMYFUNCTION("""COMPUTED_VALUE"""),2.4401002506265668)</f>
        <v>2.440100251</v>
      </c>
      <c r="AH530" s="57">
        <f>IFERROR(__xludf.DUMMYFUNCTION("""COMPUTED_VALUE"""),1.3358540680326332)</f>
        <v>1.335854068</v>
      </c>
      <c r="AI530" s="57">
        <f>IFERROR(__xludf.DUMMYFUNCTION("""COMPUTED_VALUE"""),1.2969261985592992)</f>
        <v>1.296926199</v>
      </c>
      <c r="AJ530" s="57">
        <f>IFERROR(__xludf.DUMMYFUNCTION("""COMPUTED_VALUE"""),0.0)</f>
        <v>0</v>
      </c>
      <c r="AK530" s="57">
        <f>IFERROR(__xludf.DUMMYFUNCTION("""COMPUTED_VALUE"""),2.1192660550458715)</f>
        <v>2.119266055</v>
      </c>
      <c r="AL530" s="57">
        <f>IFERROR(__xludf.DUMMYFUNCTION("""COMPUTED_VALUE"""),1.639276910435497)</f>
        <v>1.63927691</v>
      </c>
      <c r="AM530" s="57">
        <f>IFERROR(__xludf.DUMMYFUNCTION("""COMPUTED_VALUE"""),1.4904080920044438)</f>
        <v>1.490408092</v>
      </c>
      <c r="AN530" s="57">
        <f>IFERROR(__xludf.DUMMYFUNCTION("""COMPUTED_VALUE"""),2.166423155899542)</f>
        <v>2.166423156</v>
      </c>
      <c r="AO530" s="57">
        <f>IFERROR(__xludf.DUMMYFUNCTION("""COMPUTED_VALUE"""),2.3700623700623704)</f>
        <v>2.37006237</v>
      </c>
      <c r="AP530" s="35">
        <f>IFERROR(__xludf.DUMMYFUNCTION("""COMPUTED_VALUE"""),1.064968152866242)</f>
        <v>1.064968153</v>
      </c>
      <c r="AQ530" s="57">
        <f>IFERROR(__xludf.DUMMYFUNCTION("""COMPUTED_VALUE"""),1.5390999415546465)</f>
        <v>1.539099942</v>
      </c>
      <c r="AR530" s="36" t="b">
        <f>IFERROR(__xludf.DUMMYFUNCTION("""COMPUTED_VALUE"""),TRUE)</f>
        <v>1</v>
      </c>
      <c r="AS530" s="57"/>
      <c r="AT530" s="37"/>
      <c r="AU530" s="30"/>
      <c r="AV530" s="30"/>
      <c r="AW530" s="30"/>
      <c r="AX530" s="30"/>
      <c r="AY530" s="30"/>
      <c r="AZ530" s="30"/>
    </row>
    <row r="531">
      <c r="A531" s="30" t="str">
        <f>IFERROR(__xludf.DUMMYFUNCTION("""COMPUTED_VALUE"""),"Prospect")</f>
        <v>Prospect</v>
      </c>
      <c r="B531" s="30" t="str">
        <f>IFERROR(__xludf.DUMMYFUNCTION("""COMPUTED_VALUE"""),"RSC007502")</f>
        <v>RSC007502</v>
      </c>
      <c r="C531" s="30" t="str">
        <f>IFERROR(__xludf.DUMMYFUNCTION("""COMPUTED_VALUE"""),"Cr1m5on_RL")</f>
        <v>Cr1m5on_RL</v>
      </c>
      <c r="D531" s="31"/>
      <c r="E531" s="31">
        <f>IFERROR(__xludf.DUMMYFUNCTION("""COMPUTED_VALUE"""),35.160294135301456)</f>
        <v>35.16029414</v>
      </c>
      <c r="F531" s="31">
        <f>IFERROR(__xludf.DUMMYFUNCTION("""COMPUTED_VALUE"""),-3.618026477499825)</f>
        <v>-3.618026477</v>
      </c>
      <c r="G531" s="31">
        <f>IFERROR(__xludf.DUMMYFUNCTION("""COMPUTED_VALUE"""),40.968545191858276)</f>
        <v>40.96854519</v>
      </c>
      <c r="H531" s="31">
        <f>IFERROR(__xludf.DUMMYFUNCTION("""COMPUTED_VALUE"""),-2.7858783227540007)</f>
        <v>-2.785878323</v>
      </c>
      <c r="I531" s="54">
        <f>IFERROR(__xludf.DUMMYFUNCTION("""COMPUTED_VALUE"""),22.0)</f>
        <v>22</v>
      </c>
      <c r="J531" s="55">
        <f>IFERROR(__xludf.DUMMYFUNCTION("""COMPUTED_VALUE"""),7.0)</f>
        <v>7</v>
      </c>
      <c r="K531" s="54">
        <f>IFERROR(__xludf.DUMMYFUNCTION("""COMPUTED_VALUE"""),15.0)</f>
        <v>15</v>
      </c>
      <c r="L531" s="56">
        <f>IFERROR(__xludf.DUMMYFUNCTION("""COMPUTED_VALUE"""),0.3181818181818182)</f>
        <v>0.3181818182</v>
      </c>
      <c r="M531" s="56">
        <f>IFERROR(__xludf.DUMMYFUNCTION("""COMPUTED_VALUE"""),0.196078431372549)</f>
        <v>0.1960784314</v>
      </c>
      <c r="N531" s="31">
        <f>IFERROR(__xludf.DUMMYFUNCTION("""COMPUTED_VALUE"""),334.8636363636364)</f>
        <v>334.8636364</v>
      </c>
      <c r="O531" s="57">
        <f>IFERROR(__xludf.DUMMYFUNCTION("""COMPUTED_VALUE"""),0.45454545454545453)</f>
        <v>0.4545454545</v>
      </c>
      <c r="P531" s="57">
        <f>IFERROR(__xludf.DUMMYFUNCTION("""COMPUTED_VALUE"""),0.45454545454545453)</f>
        <v>0.4545454545</v>
      </c>
      <c r="Q531" s="57">
        <f>IFERROR(__xludf.DUMMYFUNCTION("""COMPUTED_VALUE"""),1.6363636363636365)</f>
        <v>1.636363636</v>
      </c>
      <c r="R531" s="57">
        <f>IFERROR(__xludf.DUMMYFUNCTION("""COMPUTED_VALUE"""),2.3181818181818183)</f>
        <v>2.318181818</v>
      </c>
      <c r="S531" s="31">
        <f>IFERROR(__xludf.DUMMYFUNCTION("""COMPUTED_VALUE"""),362.98484848484844)</f>
        <v>362.9848485</v>
      </c>
      <c r="T531" s="57">
        <f>IFERROR(__xludf.DUMMYFUNCTION("""COMPUTED_VALUE"""),0.8484848484848484)</f>
        <v>0.8484848485</v>
      </c>
      <c r="U531" s="57">
        <f>IFERROR(__xludf.DUMMYFUNCTION("""COMPUTED_VALUE"""),0.6212121212121212)</f>
        <v>0.6212121212</v>
      </c>
      <c r="V531" s="57">
        <f>IFERROR(__xludf.DUMMYFUNCTION("""COMPUTED_VALUE"""),1.3484848484848486)</f>
        <v>1.348484848</v>
      </c>
      <c r="W531" s="57">
        <f>IFERROR(__xludf.DUMMYFUNCTION("""COMPUTED_VALUE"""),2.8030303030303028)</f>
        <v>2.803030303</v>
      </c>
      <c r="X531" s="31">
        <f>IFERROR(__xludf.DUMMYFUNCTION("""COMPUTED_VALUE"""),340.1623080751647)</f>
        <v>340.1623081</v>
      </c>
      <c r="Y531" s="57">
        <f>IFERROR(__xludf.DUMMYFUNCTION("""COMPUTED_VALUE"""),0.8231161168568968)</f>
        <v>0.8231161169</v>
      </c>
      <c r="Z531" s="57">
        <f>IFERROR(__xludf.DUMMYFUNCTION("""COMPUTED_VALUE"""),0.5579219903386647)</f>
        <v>0.5579219903</v>
      </c>
      <c r="AA531" s="57">
        <f>IFERROR(__xludf.DUMMYFUNCTION("""COMPUTED_VALUE"""),1.1622851567956907)</f>
        <v>1.162285157</v>
      </c>
      <c r="AB531" s="57">
        <f>IFERROR(__xludf.DUMMYFUNCTION("""COMPUTED_VALUE"""),2.549854942571958)</f>
        <v>2.549854943</v>
      </c>
      <c r="AC531" s="31">
        <f>IFERROR(__xludf.DUMMYFUNCTION("""COMPUTED_VALUE"""),334.19162646827357)</f>
        <v>334.1916265</v>
      </c>
      <c r="AD531" s="57">
        <f>IFERROR(__xludf.DUMMYFUNCTION("""COMPUTED_VALUE"""),0.7398666066081858)</f>
        <v>0.7398666066</v>
      </c>
      <c r="AE531" s="57">
        <f>IFERROR(__xludf.DUMMYFUNCTION("""COMPUTED_VALUE"""),0.5109558767525605)</f>
        <v>0.5109558768</v>
      </c>
      <c r="AF531" s="57">
        <f>IFERROR(__xludf.DUMMYFUNCTION("""COMPUTED_VALUE"""),1.2604181894684154)</f>
        <v>1.260418189</v>
      </c>
      <c r="AG531" s="57">
        <f>IFERROR(__xludf.DUMMYFUNCTION("""COMPUTED_VALUE"""),2.327989636284861)</f>
        <v>2.327989636</v>
      </c>
      <c r="AH531" s="57">
        <f>IFERROR(__xludf.DUMMYFUNCTION("""COMPUTED_VALUE"""),1.0020108519847268)</f>
        <v>1.002010852</v>
      </c>
      <c r="AI531" s="57">
        <f>IFERROR(__xludf.DUMMYFUNCTION("""COMPUTED_VALUE"""),0.6143613598527633)</f>
        <v>0.6143613599</v>
      </c>
      <c r="AJ531" s="57">
        <f>IFERROR(__xludf.DUMMYFUNCTION("""COMPUTED_VALUE"""),0.8895982514857663)</f>
        <v>0.8895982515</v>
      </c>
      <c r="AK531" s="57">
        <f>IFERROR(__xludf.DUMMYFUNCTION("""COMPUTED_VALUE"""),1.2982704074222993)</f>
        <v>1.298270407</v>
      </c>
      <c r="AL531" s="57">
        <f>IFERROR(__xludf.DUMMYFUNCTION("""COMPUTED_VALUE"""),0.995787000959895)</f>
        <v>0.995787001</v>
      </c>
      <c r="AM531" s="57">
        <f>IFERROR(__xludf.DUMMYFUNCTION("""COMPUTED_VALUE"""),1.0670930901745903)</f>
        <v>1.06709309</v>
      </c>
      <c r="AN531" s="57">
        <f>IFERROR(__xludf.DUMMYFUNCTION("""COMPUTED_VALUE"""),1.0308203558506706)</f>
        <v>1.030820356</v>
      </c>
      <c r="AO531" s="57">
        <f>IFERROR(__xludf.DUMMYFUNCTION("""COMPUTED_VALUE"""),1.1134390326415324)</f>
        <v>1.113439033</v>
      </c>
      <c r="AP531" s="35">
        <f>IFERROR(__xludf.DUMMYFUNCTION("""COMPUTED_VALUE"""),1.1602013848326969)</f>
        <v>1.160201385</v>
      </c>
      <c r="AQ531" s="57">
        <f>IFERROR(__xludf.DUMMYFUNCTION("""COMPUTED_VALUE"""),1.0992901032256268)</f>
        <v>1.099290103</v>
      </c>
      <c r="AR531" s="36" t="b">
        <f>IFERROR(__xludf.DUMMYFUNCTION("""COMPUTED_VALUE"""),TRUE)</f>
        <v>1</v>
      </c>
      <c r="AS531" s="57"/>
      <c r="AT531" s="37"/>
      <c r="AU531" s="30"/>
      <c r="AV531" s="30"/>
      <c r="AW531" s="30"/>
      <c r="AX531" s="30"/>
      <c r="AY531" s="30"/>
      <c r="AZ531" s="30"/>
    </row>
    <row r="532">
      <c r="A532" s="30" t="str">
        <f>IFERROR(__xludf.DUMMYFUNCTION("""COMPUTED_VALUE"""),"Prospect")</f>
        <v>Prospect</v>
      </c>
      <c r="B532" s="30" t="str">
        <f>IFERROR(__xludf.DUMMYFUNCTION("""COMPUTED_VALUE"""),"RSC007102")</f>
        <v>RSC007102</v>
      </c>
      <c r="C532" s="30" t="str">
        <f>IFERROR(__xludf.DUMMYFUNCTION("""COMPUTED_VALUE"""),"tepochtli_13")</f>
        <v>tepochtli_13</v>
      </c>
      <c r="D532" s="31"/>
      <c r="E532" s="31">
        <f>IFERROR(__xludf.DUMMYFUNCTION("""COMPUTED_VALUE"""),34.74320504900547)</f>
        <v>34.74320505</v>
      </c>
      <c r="F532" s="31">
        <f>IFERROR(__xludf.DUMMYFUNCTION("""COMPUTED_VALUE"""),-3.6922047048486624)</f>
        <v>-3.692204705</v>
      </c>
      <c r="G532" s="31">
        <f>IFERROR(__xludf.DUMMYFUNCTION("""COMPUTED_VALUE"""),20.998438061286823)</f>
        <v>20.99843806</v>
      </c>
      <c r="H532" s="31">
        <f>IFERROR(__xludf.DUMMYFUNCTION("""COMPUTED_VALUE"""),-8.129309024985798)</f>
        <v>-8.129309025</v>
      </c>
      <c r="I532" s="54">
        <f>IFERROR(__xludf.DUMMYFUNCTION("""COMPUTED_VALUE"""),29.0)</f>
        <v>29</v>
      </c>
      <c r="J532" s="55">
        <f>IFERROR(__xludf.DUMMYFUNCTION("""COMPUTED_VALUE"""),14.0)</f>
        <v>14</v>
      </c>
      <c r="K532" s="54">
        <f>IFERROR(__xludf.DUMMYFUNCTION("""COMPUTED_VALUE"""),15.0)</f>
        <v>15</v>
      </c>
      <c r="L532" s="56">
        <f>IFERROR(__xludf.DUMMYFUNCTION("""COMPUTED_VALUE"""),0.4827586206896552)</f>
        <v>0.4827586207</v>
      </c>
      <c r="M532" s="56">
        <f>IFERROR(__xludf.DUMMYFUNCTION("""COMPUTED_VALUE"""),0.25)</f>
        <v>0.25</v>
      </c>
      <c r="N532" s="31">
        <f>IFERROR(__xludf.DUMMYFUNCTION("""COMPUTED_VALUE"""),274.9655172413793)</f>
        <v>274.9655172</v>
      </c>
      <c r="O532" s="57">
        <f>IFERROR(__xludf.DUMMYFUNCTION("""COMPUTED_VALUE"""),0.5517241379310345)</f>
        <v>0.5517241379</v>
      </c>
      <c r="P532" s="57">
        <f>IFERROR(__xludf.DUMMYFUNCTION("""COMPUTED_VALUE"""),0.4827586206896552)</f>
        <v>0.4827586207</v>
      </c>
      <c r="Q532" s="57">
        <f>IFERROR(__xludf.DUMMYFUNCTION("""COMPUTED_VALUE"""),1.0689655172413792)</f>
        <v>1.068965517</v>
      </c>
      <c r="R532" s="57">
        <f>IFERROR(__xludf.DUMMYFUNCTION("""COMPUTED_VALUE"""),2.206896551724138)</f>
        <v>2.206896552</v>
      </c>
      <c r="S532" s="31">
        <f>IFERROR(__xludf.DUMMYFUNCTION("""COMPUTED_VALUE"""),354.39080459770116)</f>
        <v>354.3908046</v>
      </c>
      <c r="T532" s="57">
        <f>IFERROR(__xludf.DUMMYFUNCTION("""COMPUTED_VALUE"""),0.8160919540229886)</f>
        <v>0.816091954</v>
      </c>
      <c r="U532" s="57">
        <f>IFERROR(__xludf.DUMMYFUNCTION("""COMPUTED_VALUE"""),0.5862068965517241)</f>
        <v>0.5862068966</v>
      </c>
      <c r="V532" s="57">
        <f>IFERROR(__xludf.DUMMYFUNCTION("""COMPUTED_VALUE"""),1.2758620689655173)</f>
        <v>1.275862069</v>
      </c>
      <c r="W532" s="57">
        <f>IFERROR(__xludf.DUMMYFUNCTION("""COMPUTED_VALUE"""),2.781609195402298)</f>
        <v>2.781609195</v>
      </c>
      <c r="X532" s="31">
        <f>IFERROR(__xludf.DUMMYFUNCTION("""COMPUTED_VALUE"""),344.3595600622334)</f>
        <v>344.3595601</v>
      </c>
      <c r="Y532" s="57">
        <f>IFERROR(__xludf.DUMMYFUNCTION("""COMPUTED_VALUE"""),0.8094378235371564)</f>
        <v>0.8094378235</v>
      </c>
      <c r="Z532" s="57">
        <f>IFERROR(__xludf.DUMMYFUNCTION("""COMPUTED_VALUE"""),0.527181589426129)</f>
        <v>0.5271815894</v>
      </c>
      <c r="AA532" s="57">
        <f>IFERROR(__xludf.DUMMYFUNCTION("""COMPUTED_VALUE"""),1.2738676832511546)</f>
        <v>1.273867683</v>
      </c>
      <c r="AB532" s="57">
        <f>IFERROR(__xludf.DUMMYFUNCTION("""COMPUTED_VALUE"""),2.5608575439110544)</f>
        <v>2.560857544</v>
      </c>
      <c r="AC532" s="31">
        <f>IFERROR(__xludf.DUMMYFUNCTION("""COMPUTED_VALUE"""),336.0252340559915)</f>
        <v>336.0252341</v>
      </c>
      <c r="AD532" s="57">
        <f>IFERROR(__xludf.DUMMYFUNCTION("""COMPUTED_VALUE"""),0.7987986698266445)</f>
        <v>0.7987986698</v>
      </c>
      <c r="AE532" s="57">
        <f>IFERROR(__xludf.DUMMYFUNCTION("""COMPUTED_VALUE"""),0.517716721268979)</f>
        <v>0.5177167213</v>
      </c>
      <c r="AF532" s="57">
        <f>IFERROR(__xludf.DUMMYFUNCTION("""COMPUTED_VALUE"""),1.2213996582126854)</f>
        <v>1.221399658</v>
      </c>
      <c r="AG532" s="57">
        <f>IFERROR(__xludf.DUMMYFUNCTION("""COMPUTED_VALUE"""),2.496896534721308)</f>
        <v>2.496896535</v>
      </c>
      <c r="AH532" s="57">
        <f>IFERROR(__xludf.DUMMYFUNCTION("""COMPUTED_VALUE"""),0.8182882991328029)</f>
        <v>0.8182882991</v>
      </c>
      <c r="AI532" s="57">
        <f>IFERROR(__xludf.DUMMYFUNCTION("""COMPUTED_VALUE"""),0.6906923593785775)</f>
        <v>0.6906923594</v>
      </c>
      <c r="AJ532" s="57">
        <f>IFERROR(__xludf.DUMMYFUNCTION("""COMPUTED_VALUE"""),0.9324763927005529)</f>
        <v>0.9324763927</v>
      </c>
      <c r="AK532" s="57">
        <f>IFERROR(__xludf.DUMMYFUNCTION("""COMPUTED_VALUE"""),0.8751971642153822)</f>
        <v>0.8751971642</v>
      </c>
      <c r="AL532" s="57">
        <f>IFERROR(__xludf.DUMMYFUNCTION("""COMPUTED_VALUE"""),0.8838558270378878)</f>
        <v>0.883855827</v>
      </c>
      <c r="AM532" s="57">
        <f>IFERROR(__xludf.DUMMYFUNCTION("""COMPUTED_VALUE"""),1.0291301467967229)</f>
        <v>1.029130147</v>
      </c>
      <c r="AN532" s="57">
        <f>IFERROR(__xludf.DUMMYFUNCTION("""COMPUTED_VALUE"""),1.0082206814314092)</f>
        <v>1.008220681</v>
      </c>
      <c r="AO532" s="57">
        <f>IFERROR(__xludf.DUMMYFUNCTION("""COMPUTED_VALUE"""),1.1119639006928295)</f>
        <v>1.111963901</v>
      </c>
      <c r="AP532" s="35">
        <f>IFERROR(__xludf.DUMMYFUNCTION("""COMPUTED_VALUE"""),1.0015656144987308)</f>
        <v>1.001565614</v>
      </c>
      <c r="AQ532" s="57">
        <f>IFERROR(__xludf.DUMMYFUNCTION("""COMPUTED_VALUE"""),1.0862022380027052)</f>
        <v>1.086202238</v>
      </c>
      <c r="AR532" s="36" t="b">
        <f>IFERROR(__xludf.DUMMYFUNCTION("""COMPUTED_VALUE"""),TRUE)</f>
        <v>1</v>
      </c>
      <c r="AS532" s="57"/>
      <c r="AT532" s="37"/>
      <c r="AU532" s="30"/>
      <c r="AV532" s="30"/>
      <c r="AW532" s="30"/>
      <c r="AX532" s="30"/>
      <c r="AY532" s="30"/>
      <c r="AZ532" s="30"/>
    </row>
    <row r="533">
      <c r="A533" s="30" t="str">
        <f>IFERROR(__xludf.DUMMYFUNCTION("""COMPUTED_VALUE"""),"Prospect")</f>
        <v>Prospect</v>
      </c>
      <c r="B533" s="30" t="str">
        <f>IFERROR(__xludf.DUMMYFUNCTION("""COMPUTED_VALUE"""),"RSC000253")</f>
        <v>RSC000253</v>
      </c>
      <c r="C533" s="30" t="str">
        <f>IFERROR(__xludf.DUMMYFUNCTION("""COMPUTED_VALUE"""),"musah")</f>
        <v>musah</v>
      </c>
      <c r="D533" s="31" t="str">
        <f>IFERROR(__xludf.DUMMYFUNCTION("""COMPUTED_VALUE"""),"Khans")</f>
        <v>Khans</v>
      </c>
      <c r="E533" s="31">
        <f>IFERROR(__xludf.DUMMYFUNCTION("""COMPUTED_VALUE"""),32.27666047099443)</f>
        <v>32.27666047</v>
      </c>
      <c r="F533" s="31">
        <f>IFERROR(__xludf.DUMMYFUNCTION("""COMPUTED_VALUE"""),-4.180901812189211)</f>
        <v>-4.180901812</v>
      </c>
      <c r="G533" s="31">
        <f>IFERROR(__xludf.DUMMYFUNCTION("""COMPUTED_VALUE"""),21.017462248310544)</f>
        <v>21.01746225</v>
      </c>
      <c r="H533" s="31">
        <f>IFERROR(__xludf.DUMMYFUNCTION("""COMPUTED_VALUE"""),-8.11908072360484)</f>
        <v>-8.119080724</v>
      </c>
      <c r="I533" s="54">
        <f>IFERROR(__xludf.DUMMYFUNCTION("""COMPUTED_VALUE"""),29.0)</f>
        <v>29</v>
      </c>
      <c r="J533" s="55">
        <f>IFERROR(__xludf.DUMMYFUNCTION("""COMPUTED_VALUE"""),13.0)</f>
        <v>13</v>
      </c>
      <c r="K533" s="54">
        <f>IFERROR(__xludf.DUMMYFUNCTION("""COMPUTED_VALUE"""),16.0)</f>
        <v>16</v>
      </c>
      <c r="L533" s="56">
        <f>IFERROR(__xludf.DUMMYFUNCTION("""COMPUTED_VALUE"""),0.4482758620689655)</f>
        <v>0.4482758621</v>
      </c>
      <c r="M533" s="56">
        <f>IFERROR(__xludf.DUMMYFUNCTION("""COMPUTED_VALUE"""),0.2537313432835821)</f>
        <v>0.2537313433</v>
      </c>
      <c r="N533" s="31">
        <f>IFERROR(__xludf.DUMMYFUNCTION("""COMPUTED_VALUE"""),274.41379310344826)</f>
        <v>274.4137931</v>
      </c>
      <c r="O533" s="57">
        <f>IFERROR(__xludf.DUMMYFUNCTION("""COMPUTED_VALUE"""),0.5862068965517241)</f>
        <v>0.5862068966</v>
      </c>
      <c r="P533" s="57">
        <f>IFERROR(__xludf.DUMMYFUNCTION("""COMPUTED_VALUE"""),0.27586206896551724)</f>
        <v>0.275862069</v>
      </c>
      <c r="Q533" s="57">
        <f>IFERROR(__xludf.DUMMYFUNCTION("""COMPUTED_VALUE"""),1.0)</f>
        <v>1</v>
      </c>
      <c r="R533" s="57">
        <f>IFERROR(__xludf.DUMMYFUNCTION("""COMPUTED_VALUE"""),2.310344827586207)</f>
        <v>2.310344828</v>
      </c>
      <c r="S533" s="31">
        <f>IFERROR(__xludf.DUMMYFUNCTION("""COMPUTED_VALUE"""),357.60919540229884)</f>
        <v>357.6091954</v>
      </c>
      <c r="T533" s="57">
        <f>IFERROR(__xludf.DUMMYFUNCTION("""COMPUTED_VALUE"""),0.8390804597701148)</f>
        <v>0.8390804598</v>
      </c>
      <c r="U533" s="57">
        <f>IFERROR(__xludf.DUMMYFUNCTION("""COMPUTED_VALUE"""),0.574712643678161)</f>
        <v>0.5747126437</v>
      </c>
      <c r="V533" s="57">
        <f>IFERROR(__xludf.DUMMYFUNCTION("""COMPUTED_VALUE"""),1.344827586206897)</f>
        <v>1.344827586</v>
      </c>
      <c r="W533" s="57">
        <f>IFERROR(__xludf.DUMMYFUNCTION("""COMPUTED_VALUE"""),2.816091954022988)</f>
        <v>2.816091954</v>
      </c>
      <c r="X533" s="31">
        <f>IFERROR(__xludf.DUMMYFUNCTION("""COMPUTED_VALUE"""),339.6794032405513)</f>
        <v>339.6794032</v>
      </c>
      <c r="Y533" s="57">
        <f>IFERROR(__xludf.DUMMYFUNCTION("""COMPUTED_VALUE"""),0.8247211162970193)</f>
        <v>0.8247211163</v>
      </c>
      <c r="Z533" s="57">
        <f>IFERROR(__xludf.DUMMYFUNCTION("""COMPUTED_VALUE"""),0.5802453779082097)</f>
        <v>0.5802453779</v>
      </c>
      <c r="AA533" s="57">
        <f>IFERROR(__xludf.DUMMYFUNCTION("""COMPUTED_VALUE"""),1.1433814145018664)</f>
        <v>1.143381415</v>
      </c>
      <c r="AB533" s="57">
        <f>IFERROR(__xludf.DUMMYFUNCTION("""COMPUTED_VALUE"""),2.6314084089094743)</f>
        <v>2.631408409</v>
      </c>
      <c r="AC533" s="31">
        <f>IFERROR(__xludf.DUMMYFUNCTION("""COMPUTED_VALUE"""),332.7648613057385)</f>
        <v>332.7648613</v>
      </c>
      <c r="AD533" s="57">
        <f>IFERROR(__xludf.DUMMYFUNCTION("""COMPUTED_VALUE"""),0.7418457713883084)</f>
        <v>0.7418457714</v>
      </c>
      <c r="AE533" s="57">
        <f>IFERROR(__xludf.DUMMYFUNCTION("""COMPUTED_VALUE"""),0.49606351144769706)</f>
        <v>0.4960635114</v>
      </c>
      <c r="AF533" s="57">
        <f>IFERROR(__xludf.DUMMYFUNCTION("""COMPUTED_VALUE"""),1.2981679456180157)</f>
        <v>1.298167946</v>
      </c>
      <c r="AG533" s="57">
        <f>IFERROR(__xludf.DUMMYFUNCTION("""COMPUTED_VALUE"""),2.3022751077967922)</f>
        <v>2.302275108</v>
      </c>
      <c r="AH533" s="57">
        <f>IFERROR(__xludf.DUMMYFUNCTION("""COMPUTED_VALUE"""),0.8246477468404384)</f>
        <v>0.8246477468</v>
      </c>
      <c r="AI533" s="57">
        <f>IFERROR(__xludf.DUMMYFUNCTION("""COMPUTED_VALUE"""),0.7902004960609024)</f>
        <v>0.7902004961</v>
      </c>
      <c r="AJ533" s="57">
        <f>IFERROR(__xludf.DUMMYFUNCTION("""COMPUTED_VALUE"""),0.5561023187544062)</f>
        <v>0.5561023188</v>
      </c>
      <c r="AK533" s="57">
        <f>IFERROR(__xludf.DUMMYFUNCTION("""COMPUTED_VALUE"""),0.7703163549643282)</f>
        <v>0.770316355</v>
      </c>
      <c r="AL533" s="57">
        <f>IFERROR(__xludf.DUMMYFUNCTION("""COMPUTED_VALUE"""),1.0035051066495424)</f>
        <v>1.003505107</v>
      </c>
      <c r="AM533" s="57">
        <f>IFERROR(__xludf.DUMMYFUNCTION("""COMPUTED_VALUE"""),1.0527844549616396)</f>
        <v>1.052784455</v>
      </c>
      <c r="AN533" s="57">
        <f>IFERROR(__xludf.DUMMYFUNCTION("""COMPUTED_VALUE"""),1.017411150496023)</f>
        <v>1.01741115</v>
      </c>
      <c r="AO533" s="57">
        <f>IFERROR(__xludf.DUMMYFUNCTION("""COMPUTED_VALUE"""),0.990464837048777)</f>
        <v>0.990464837</v>
      </c>
      <c r="AP533" s="35">
        <f>IFERROR(__xludf.DUMMYFUNCTION("""COMPUTED_VALUE"""),1.1761845777358504)</f>
        <v>1.176184578</v>
      </c>
      <c r="AQ533" s="57">
        <f>IFERROR(__xludf.DUMMYFUNCTION("""COMPUTED_VALUE"""),1.0701842954093361)</f>
        <v>1.070184295</v>
      </c>
      <c r="AR533" s="36" t="b">
        <f>IFERROR(__xludf.DUMMYFUNCTION("""COMPUTED_VALUE"""),TRUE)</f>
        <v>1</v>
      </c>
      <c r="AS533" s="57"/>
      <c r="AT533" s="37"/>
      <c r="AU533" s="30"/>
      <c r="AV533" s="30"/>
      <c r="AW533" s="30"/>
      <c r="AX533" s="30"/>
      <c r="AY533" s="30"/>
      <c r="AZ533" s="30"/>
    </row>
    <row r="534">
      <c r="A534" s="30" t="str">
        <f>IFERROR(__xludf.DUMMYFUNCTION("""COMPUTED_VALUE"""),"Prospect")</f>
        <v>Prospect</v>
      </c>
      <c r="B534" s="30" t="str">
        <f>IFERROR(__xludf.DUMMYFUNCTION("""COMPUTED_VALUE"""),"RSC006369")</f>
        <v>RSC006369</v>
      </c>
      <c r="C534" s="30" t="str">
        <f>IFERROR(__xludf.DUMMYFUNCTION("""COMPUTED_VALUE"""),"nate")</f>
        <v>nate</v>
      </c>
      <c r="D534" s="31" t="str">
        <f>IFERROR(__xludf.DUMMYFUNCTION("""COMPUTED_VALUE"""),"Emus")</f>
        <v>Emus</v>
      </c>
      <c r="E534" s="31">
        <f>IFERROR(__xludf.DUMMYFUNCTION("""COMPUTED_VALUE"""),31.834970230887468)</f>
        <v>31.83497023</v>
      </c>
      <c r="F534" s="31">
        <f>IFERROR(__xludf.DUMMYFUNCTION("""COMPUTED_VALUE"""),-4.278346680177707)</f>
        <v>-4.27834668</v>
      </c>
      <c r="G534" s="31">
        <f>IFERROR(__xludf.DUMMYFUNCTION("""COMPUTED_VALUE"""),21.270492555361457)</f>
        <v>21.27049256</v>
      </c>
      <c r="H534" s="31">
        <f>IFERROR(__xludf.DUMMYFUNCTION("""COMPUTED_VALUE"""),-7.984617052558551)</f>
        <v>-7.984617053</v>
      </c>
      <c r="I534" s="54">
        <f>IFERROR(__xludf.DUMMYFUNCTION("""COMPUTED_VALUE"""),19.0)</f>
        <v>19</v>
      </c>
      <c r="J534" s="55">
        <f>IFERROR(__xludf.DUMMYFUNCTION("""COMPUTED_VALUE"""),9.0)</f>
        <v>9</v>
      </c>
      <c r="K534" s="54">
        <f>IFERROR(__xludf.DUMMYFUNCTION("""COMPUTED_VALUE"""),10.0)</f>
        <v>10</v>
      </c>
      <c r="L534" s="56">
        <f>IFERROR(__xludf.DUMMYFUNCTION("""COMPUTED_VALUE"""),0.47368421052631576)</f>
        <v>0.4736842105</v>
      </c>
      <c r="M534" s="56">
        <f>IFERROR(__xludf.DUMMYFUNCTION("""COMPUTED_VALUE"""),0.34375000000000006)</f>
        <v>0.34375</v>
      </c>
      <c r="N534" s="31">
        <f>IFERROR(__xludf.DUMMYFUNCTION("""COMPUTED_VALUE"""),284.1578947368421)</f>
        <v>284.1578947</v>
      </c>
      <c r="O534" s="57">
        <f>IFERROR(__xludf.DUMMYFUNCTION("""COMPUTED_VALUE"""),0.5789473684210527)</f>
        <v>0.5789473684</v>
      </c>
      <c r="P534" s="57">
        <f>IFERROR(__xludf.DUMMYFUNCTION("""COMPUTED_VALUE"""),0.42105263157894735)</f>
        <v>0.4210526316</v>
      </c>
      <c r="Q534" s="57">
        <f>IFERROR(__xludf.DUMMYFUNCTION("""COMPUTED_VALUE"""),1.2105263157894737)</f>
        <v>1.210526316</v>
      </c>
      <c r="R534" s="57">
        <f>IFERROR(__xludf.DUMMYFUNCTION("""COMPUTED_VALUE"""),1.6842105263157894)</f>
        <v>1.684210526</v>
      </c>
      <c r="S534" s="31">
        <f>IFERROR(__xludf.DUMMYFUNCTION("""COMPUTED_VALUE"""),340.45614035087726)</f>
        <v>340.4561404</v>
      </c>
      <c r="T534" s="57">
        <f>IFERROR(__xludf.DUMMYFUNCTION("""COMPUTED_VALUE"""),0.8245614035087719)</f>
        <v>0.8245614035</v>
      </c>
      <c r="U534" s="57">
        <f>IFERROR(__xludf.DUMMYFUNCTION("""COMPUTED_VALUE"""),0.47368421052631576)</f>
        <v>0.4736842105</v>
      </c>
      <c r="V534" s="57">
        <f>IFERROR(__xludf.DUMMYFUNCTION("""COMPUTED_VALUE"""),1.3333333333333335)</f>
        <v>1.333333333</v>
      </c>
      <c r="W534" s="57">
        <f>IFERROR(__xludf.DUMMYFUNCTION("""COMPUTED_VALUE"""),2.596491228070175)</f>
        <v>2.596491228</v>
      </c>
      <c r="X534" s="31">
        <f>IFERROR(__xludf.DUMMYFUNCTION("""COMPUTED_VALUE"""),345.6064627434172)</f>
        <v>345.6064627</v>
      </c>
      <c r="Y534" s="57">
        <f>IFERROR(__xludf.DUMMYFUNCTION("""COMPUTED_VALUE"""),0.8253241021664786)</f>
        <v>0.8253241022</v>
      </c>
      <c r="Z534" s="57">
        <f>IFERROR(__xludf.DUMMYFUNCTION("""COMPUTED_VALUE"""),0.5294333844897965)</f>
        <v>0.5294333845</v>
      </c>
      <c r="AA534" s="57">
        <f>IFERROR(__xludf.DUMMYFUNCTION("""COMPUTED_VALUE"""),1.288190039003773)</f>
        <v>1.288190039</v>
      </c>
      <c r="AB534" s="57">
        <f>IFERROR(__xludf.DUMMYFUNCTION("""COMPUTED_VALUE"""),2.5350944707276977)</f>
        <v>2.535094471</v>
      </c>
      <c r="AC534" s="31">
        <f>IFERROR(__xludf.DUMMYFUNCTION("""COMPUTED_VALUE"""),335.1494942985453)</f>
        <v>335.1494943</v>
      </c>
      <c r="AD534" s="57">
        <f>IFERROR(__xludf.DUMMYFUNCTION("""COMPUTED_VALUE"""),0.7531938283492914)</f>
        <v>0.7531938283</v>
      </c>
      <c r="AE534" s="57">
        <f>IFERROR(__xludf.DUMMYFUNCTION("""COMPUTED_VALUE"""),0.5301975230241485)</f>
        <v>0.530197523</v>
      </c>
      <c r="AF534" s="57">
        <f>IFERROR(__xludf.DUMMYFUNCTION("""COMPUTED_VALUE"""),1.2440040301727804)</f>
        <v>1.24400403</v>
      </c>
      <c r="AG534" s="57">
        <f>IFERROR(__xludf.DUMMYFUNCTION("""COMPUTED_VALUE"""),2.4436539120849154)</f>
        <v>2.443653912</v>
      </c>
      <c r="AH534" s="57">
        <f>IFERROR(__xludf.DUMMYFUNCTION("""COMPUTED_VALUE"""),0.8478541652929341)</f>
        <v>0.8478541653</v>
      </c>
      <c r="AI534" s="57">
        <f>IFERROR(__xludf.DUMMYFUNCTION("""COMPUTED_VALUE"""),0.7686565484609461)</f>
        <v>0.7686565485</v>
      </c>
      <c r="AJ534" s="57">
        <f>IFERROR(__xludf.DUMMYFUNCTION("""COMPUTED_VALUE"""),0.7941429623762501)</f>
        <v>0.7941429624</v>
      </c>
      <c r="AK534" s="57">
        <f>IFERROR(__xludf.DUMMYFUNCTION("""COMPUTED_VALUE"""),0.9730887412168134)</f>
        <v>0.9730887412</v>
      </c>
      <c r="AL534" s="57">
        <f>IFERROR(__xludf.DUMMYFUNCTION("""COMPUTED_VALUE"""),0.6892181081726209)</f>
        <v>0.6892181082</v>
      </c>
      <c r="AM534" s="57">
        <f>IFERROR(__xludf.DUMMYFUNCTION("""COMPUTED_VALUE"""),0.9850977254543889)</f>
        <v>0.9850977255</v>
      </c>
      <c r="AN534" s="57">
        <f>IFERROR(__xludf.DUMMYFUNCTION("""COMPUTED_VALUE"""),0.9990758798201766)</f>
        <v>0.9990758798</v>
      </c>
      <c r="AO534" s="57">
        <f>IFERROR(__xludf.DUMMYFUNCTION("""COMPUTED_VALUE"""),0.8947003048982168)</f>
        <v>0.8947003049</v>
      </c>
      <c r="AP534" s="35">
        <f>IFERROR(__xludf.DUMMYFUNCTION("""COMPUTED_VALUE"""),1.0350439709691222)</f>
        <v>1.035043971</v>
      </c>
      <c r="AQ534" s="57">
        <f>IFERROR(__xludf.DUMMYFUNCTION("""COMPUTED_VALUE"""),1.0242187255944168)</f>
        <v>1.024218726</v>
      </c>
      <c r="AR534" s="36" t="b">
        <f>IFERROR(__xludf.DUMMYFUNCTION("""COMPUTED_VALUE"""),TRUE)</f>
        <v>1</v>
      </c>
      <c r="AS534" s="57"/>
      <c r="AT534" s="37"/>
      <c r="AU534" s="30"/>
      <c r="AV534" s="30"/>
      <c r="AW534" s="30"/>
      <c r="AX534" s="30"/>
      <c r="AY534" s="30"/>
      <c r="AZ534" s="30"/>
    </row>
    <row r="535">
      <c r="A535" s="30" t="str">
        <f>IFERROR(__xludf.DUMMYFUNCTION("""COMPUTED_VALUE"""),"Prospect")</f>
        <v>Prospect</v>
      </c>
      <c r="B535" s="30" t="str">
        <f>IFERROR(__xludf.DUMMYFUNCTION("""COMPUTED_VALUE"""),"RSC001619")</f>
        <v>RSC001619</v>
      </c>
      <c r="C535" s="30" t="str">
        <f>IFERROR(__xludf.DUMMYFUNCTION("""COMPUTED_VALUE"""),"Rob")</f>
        <v>Rob</v>
      </c>
      <c r="D535" s="31" t="str">
        <f>IFERROR(__xludf.DUMMYFUNCTION("""COMPUTED_VALUE"""),"Gloom")</f>
        <v>Gloom</v>
      </c>
      <c r="E535" s="31">
        <f>IFERROR(__xludf.DUMMYFUNCTION("""COMPUTED_VALUE"""),31.40004378659737)</f>
        <v>31.40004379</v>
      </c>
      <c r="F535" s="31">
        <f>IFERROR(__xludf.DUMMYFUNCTION("""COMPUTED_VALUE"""),-4.377540693225972)</f>
        <v>-4.377540693</v>
      </c>
      <c r="G535" s="31">
        <f>IFERROR(__xludf.DUMMYFUNCTION("""COMPUTED_VALUE"""),22.884243517288716)</f>
        <v>22.88424352</v>
      </c>
      <c r="H535" s="31">
        <f>IFERROR(__xludf.DUMMYFUNCTION("""COMPUTED_VALUE"""),-7.192034024450851)</f>
        <v>-7.192034024</v>
      </c>
      <c r="I535" s="54">
        <f>IFERROR(__xludf.DUMMYFUNCTION("""COMPUTED_VALUE"""),23.0)</f>
        <v>23</v>
      </c>
      <c r="J535" s="55">
        <f>IFERROR(__xludf.DUMMYFUNCTION("""COMPUTED_VALUE"""),8.0)</f>
        <v>8</v>
      </c>
      <c r="K535" s="54">
        <f>IFERROR(__xludf.DUMMYFUNCTION("""COMPUTED_VALUE"""),15.0)</f>
        <v>15</v>
      </c>
      <c r="L535" s="56">
        <f>IFERROR(__xludf.DUMMYFUNCTION("""COMPUTED_VALUE"""),0.34782608695652173)</f>
        <v>0.347826087</v>
      </c>
      <c r="M535" s="56">
        <f>IFERROR(__xludf.DUMMYFUNCTION("""COMPUTED_VALUE"""),0.37209302325581395)</f>
        <v>0.3720930233</v>
      </c>
      <c r="N535" s="31">
        <f>IFERROR(__xludf.DUMMYFUNCTION("""COMPUTED_VALUE"""),310.7391304347826)</f>
        <v>310.7391304</v>
      </c>
      <c r="O535" s="57">
        <f>IFERROR(__xludf.DUMMYFUNCTION("""COMPUTED_VALUE"""),0.6956521739130435)</f>
        <v>0.6956521739</v>
      </c>
      <c r="P535" s="57">
        <f>IFERROR(__xludf.DUMMYFUNCTION("""COMPUTED_VALUE"""),0.21739130434782608)</f>
        <v>0.2173913043</v>
      </c>
      <c r="Q535" s="57">
        <f>IFERROR(__xludf.DUMMYFUNCTION("""COMPUTED_VALUE"""),1.565217391304348)</f>
        <v>1.565217391</v>
      </c>
      <c r="R535" s="57">
        <f>IFERROR(__xludf.DUMMYFUNCTION("""COMPUTED_VALUE"""),1.8695652173913044)</f>
        <v>1.869565217</v>
      </c>
      <c r="S535" s="31">
        <f>IFERROR(__xludf.DUMMYFUNCTION("""COMPUTED_VALUE"""),347.0289855072464)</f>
        <v>347.0289855</v>
      </c>
      <c r="T535" s="57">
        <f>IFERROR(__xludf.DUMMYFUNCTION("""COMPUTED_VALUE"""),0.9130434782608695)</f>
        <v>0.9130434783</v>
      </c>
      <c r="U535" s="57">
        <f>IFERROR(__xludf.DUMMYFUNCTION("""COMPUTED_VALUE"""),0.5942028985507247)</f>
        <v>0.5942028986</v>
      </c>
      <c r="V535" s="57">
        <f>IFERROR(__xludf.DUMMYFUNCTION("""COMPUTED_VALUE"""),0.9565217391304346)</f>
        <v>0.9565217391</v>
      </c>
      <c r="W535" s="57">
        <f>IFERROR(__xludf.DUMMYFUNCTION("""COMPUTED_VALUE"""),3.1739130434782608)</f>
        <v>3.173913043</v>
      </c>
      <c r="X535" s="31">
        <f>IFERROR(__xludf.DUMMYFUNCTION("""COMPUTED_VALUE"""),351.29228961694497)</f>
        <v>351.2922896</v>
      </c>
      <c r="Y535" s="57">
        <f>IFERROR(__xludf.DUMMYFUNCTION("""COMPUTED_VALUE"""),0.8998418146446113)</f>
        <v>0.8998418146</v>
      </c>
      <c r="Z535" s="57">
        <f>IFERROR(__xludf.DUMMYFUNCTION("""COMPUTED_VALUE"""),0.5715428225544107)</f>
        <v>0.5715428226</v>
      </c>
      <c r="AA535" s="57">
        <f>IFERROR(__xludf.DUMMYFUNCTION("""COMPUTED_VALUE"""),1.172924468267773)</f>
        <v>1.172924468</v>
      </c>
      <c r="AB535" s="57">
        <f>IFERROR(__xludf.DUMMYFUNCTION("""COMPUTED_VALUE"""),2.7012040286145105)</f>
        <v>2.701204029</v>
      </c>
      <c r="AC535" s="31">
        <f>IFERROR(__xludf.DUMMYFUNCTION("""COMPUTED_VALUE"""),330.3584722209922)</f>
        <v>330.3584722</v>
      </c>
      <c r="AD535" s="57">
        <f>IFERROR(__xludf.DUMMYFUNCTION("""COMPUTED_VALUE"""),0.7289439937747939)</f>
        <v>0.7289439938</v>
      </c>
      <c r="AE535" s="57">
        <f>IFERROR(__xludf.DUMMYFUNCTION("""COMPUTED_VALUE"""),0.49342127197339)</f>
        <v>0.493421272</v>
      </c>
      <c r="AF535" s="57">
        <f>IFERROR(__xludf.DUMMYFUNCTION("""COMPUTED_VALUE"""),1.2602327607119574)</f>
        <v>1.260232761</v>
      </c>
      <c r="AG535" s="57">
        <f>IFERROR(__xludf.DUMMYFUNCTION("""COMPUTED_VALUE"""),2.3391983005415256)</f>
        <v>2.339198301</v>
      </c>
      <c r="AH535" s="57">
        <f>IFERROR(__xludf.DUMMYFUNCTION("""COMPUTED_VALUE"""),0.9406119611393369)</f>
        <v>0.9406119611</v>
      </c>
      <c r="AI535" s="57">
        <f>IFERROR(__xludf.DUMMYFUNCTION("""COMPUTED_VALUE"""),0.9543286999466849)</f>
        <v>0.9543286999</v>
      </c>
      <c r="AJ535" s="57">
        <f>IFERROR(__xludf.DUMMYFUNCTION("""COMPUTED_VALUE"""),0.44057951429291015)</f>
        <v>0.4405795143</v>
      </c>
      <c r="AK535" s="57">
        <f>IFERROR(__xludf.DUMMYFUNCTION("""COMPUTED_VALUE"""),1.2420065880687723)</f>
        <v>1.242006588</v>
      </c>
      <c r="AL535" s="57">
        <f>IFERROR(__xludf.DUMMYFUNCTION("""COMPUTED_VALUE"""),0.7992333172260339)</f>
        <v>0.7992333172</v>
      </c>
      <c r="AM535" s="57">
        <f>IFERROR(__xludf.DUMMYFUNCTION("""COMPUTED_VALUE"""),0.9878639405540401)</f>
        <v>0.9878639406</v>
      </c>
      <c r="AN535" s="57">
        <f>IFERROR(__xludf.DUMMYFUNCTION("""COMPUTED_VALUE"""),1.0146710937427064)</f>
        <v>1.014671094</v>
      </c>
      <c r="AO535" s="57">
        <f>IFERROR(__xludf.DUMMYFUNCTION("""COMPUTED_VALUE"""),1.0396472059521957)</f>
        <v>1.039647206</v>
      </c>
      <c r="AP535" s="35">
        <f>IFERROR(__xludf.DUMMYFUNCTION("""COMPUTED_VALUE"""),0.8155015646856343)</f>
        <v>0.8155015647</v>
      </c>
      <c r="AQ535" s="57">
        <f>IFERROR(__xludf.DUMMYFUNCTION("""COMPUTED_VALUE"""),1.1749993742998415)</f>
        <v>1.174999374</v>
      </c>
      <c r="AR535" s="36" t="b">
        <f>IFERROR(__xludf.DUMMYFUNCTION("""COMPUTED_VALUE"""),TRUE)</f>
        <v>1</v>
      </c>
      <c r="AS535" s="57"/>
      <c r="AT535" s="37"/>
      <c r="AU535" s="30"/>
      <c r="AV535" s="30"/>
      <c r="AW535" s="30"/>
      <c r="AX535" s="30"/>
      <c r="AY535" s="30"/>
      <c r="AZ535" s="30"/>
    </row>
    <row r="536">
      <c r="A536" s="30" t="str">
        <f>IFERROR(__xludf.DUMMYFUNCTION("""COMPUTED_VALUE"""),"Prospect")</f>
        <v>Prospect</v>
      </c>
      <c r="B536" s="30" t="str">
        <f>IFERROR(__xludf.DUMMYFUNCTION("""COMPUTED_VALUE"""),"RSC006793")</f>
        <v>RSC006793</v>
      </c>
      <c r="C536" s="30" t="str">
        <f>IFERROR(__xludf.DUMMYFUNCTION("""COMPUTED_VALUE"""),"Yogibear8003")</f>
        <v>Yogibear8003</v>
      </c>
      <c r="D536" s="31"/>
      <c r="E536" s="31">
        <f>IFERROR(__xludf.DUMMYFUNCTION("""COMPUTED_VALUE"""),31.192968157030545)</f>
        <v>31.19296816</v>
      </c>
      <c r="F536" s="31">
        <f>IFERROR(__xludf.DUMMYFUNCTION("""COMPUTED_VALUE"""),-4.425934920612017)</f>
        <v>-4.425934921</v>
      </c>
      <c r="G536" s="31">
        <f>IFERROR(__xludf.DUMMYFUNCTION("""COMPUTED_VALUE"""),52.48754648876308)</f>
        <v>52.48754649</v>
      </c>
      <c r="H536" s="31">
        <f>IFERROR(__xludf.DUMMYFUNCTION("""COMPUTED_VALUE"""),2.1721663112369693)</f>
        <v>2.172166311</v>
      </c>
      <c r="I536" s="54">
        <f>IFERROR(__xludf.DUMMYFUNCTION("""COMPUTED_VALUE"""),5.0)</f>
        <v>5</v>
      </c>
      <c r="J536" s="55">
        <f>IFERROR(__xludf.DUMMYFUNCTION("""COMPUTED_VALUE"""),0.0)</f>
        <v>0</v>
      </c>
      <c r="K536" s="54">
        <f>IFERROR(__xludf.DUMMYFUNCTION("""COMPUTED_VALUE"""),5.0)</f>
        <v>5</v>
      </c>
      <c r="L536" s="56">
        <f>IFERROR(__xludf.DUMMYFUNCTION("""COMPUTED_VALUE"""),0.0)</f>
        <v>0</v>
      </c>
      <c r="M536" s="56">
        <f>IFERROR(__xludf.DUMMYFUNCTION("""COMPUTED_VALUE"""),0.22222222222222224)</f>
        <v>0.2222222222</v>
      </c>
      <c r="N536" s="31">
        <f>IFERROR(__xludf.DUMMYFUNCTION("""COMPUTED_VALUE"""),320.2)</f>
        <v>320.2</v>
      </c>
      <c r="O536" s="57">
        <f>IFERROR(__xludf.DUMMYFUNCTION("""COMPUTED_VALUE"""),0.4)</f>
        <v>0.4</v>
      </c>
      <c r="P536" s="57">
        <f>IFERROR(__xludf.DUMMYFUNCTION("""COMPUTED_VALUE"""),0.6)</f>
        <v>0.6</v>
      </c>
      <c r="Q536" s="57">
        <f>IFERROR(__xludf.DUMMYFUNCTION("""COMPUTED_VALUE"""),1.4)</f>
        <v>1.4</v>
      </c>
      <c r="R536" s="57">
        <f>IFERROR(__xludf.DUMMYFUNCTION("""COMPUTED_VALUE"""),1.8)</f>
        <v>1.8</v>
      </c>
      <c r="S536" s="31">
        <f>IFERROR(__xludf.DUMMYFUNCTION("""COMPUTED_VALUE"""),372.5333333333333)</f>
        <v>372.5333333</v>
      </c>
      <c r="T536" s="57">
        <f>IFERROR(__xludf.DUMMYFUNCTION("""COMPUTED_VALUE"""),1.0666666666666667)</f>
        <v>1.066666667</v>
      </c>
      <c r="U536" s="57">
        <f>IFERROR(__xludf.DUMMYFUNCTION("""COMPUTED_VALUE"""),0.6666666666666667)</f>
        <v>0.6666666667</v>
      </c>
      <c r="V536" s="57">
        <f>IFERROR(__xludf.DUMMYFUNCTION("""COMPUTED_VALUE"""),1.3333333333333335)</f>
        <v>1.333333333</v>
      </c>
      <c r="W536" s="57">
        <f>IFERROR(__xludf.DUMMYFUNCTION("""COMPUTED_VALUE"""),2.4666666666666663)</f>
        <v>2.466666667</v>
      </c>
      <c r="X536" s="31">
        <f>IFERROR(__xludf.DUMMYFUNCTION("""COMPUTED_VALUE"""),346.5768062965407)</f>
        <v>346.5768063</v>
      </c>
      <c r="Y536" s="57">
        <f>IFERROR(__xludf.DUMMYFUNCTION("""COMPUTED_VALUE"""),0.9327631337715075)</f>
        <v>0.9327631338</v>
      </c>
      <c r="Z536" s="57">
        <f>IFERROR(__xludf.DUMMYFUNCTION("""COMPUTED_VALUE"""),0.5357198785700973)</f>
        <v>0.5357198786</v>
      </c>
      <c r="AA536" s="57">
        <f>IFERROR(__xludf.DUMMYFUNCTION("""COMPUTED_VALUE"""),1.205279825035827)</f>
        <v>1.205279825</v>
      </c>
      <c r="AB536" s="57">
        <f>IFERROR(__xludf.DUMMYFUNCTION("""COMPUTED_VALUE"""),2.5384230345558825)</f>
        <v>2.538423035</v>
      </c>
      <c r="AC536" s="31">
        <f>IFERROR(__xludf.DUMMYFUNCTION("""COMPUTED_VALUE"""),322.0914928063325)</f>
        <v>322.0914928</v>
      </c>
      <c r="AD536" s="57">
        <f>IFERROR(__xludf.DUMMYFUNCTION("""COMPUTED_VALUE"""),0.6710638344735848)</f>
        <v>0.6710638345</v>
      </c>
      <c r="AE536" s="57">
        <f>IFERROR(__xludf.DUMMYFUNCTION("""COMPUTED_VALUE"""),0.4943097481057771)</f>
        <v>0.4943097481</v>
      </c>
      <c r="AF536" s="57">
        <f>IFERROR(__xludf.DUMMYFUNCTION("""COMPUTED_VALUE"""),1.1736948768131221)</f>
        <v>1.173694877</v>
      </c>
      <c r="AG536" s="57">
        <f>IFERROR(__xludf.DUMMYFUNCTION("""COMPUTED_VALUE"""),2.3933222287408555)</f>
        <v>2.393322229</v>
      </c>
      <c r="AH536" s="57">
        <f>IFERROR(__xludf.DUMMYFUNCTION("""COMPUTED_VALUE"""),0.9941274673545326)</f>
        <v>0.9941274674</v>
      </c>
      <c r="AI536" s="57">
        <f>IFERROR(__xludf.DUMMYFUNCTION("""COMPUTED_VALUE"""),0.5960684803015492)</f>
        <v>0.5960684803</v>
      </c>
      <c r="AJ536" s="57">
        <f>IFERROR(__xludf.DUMMYFUNCTION("""COMPUTED_VALUE"""),1.2138138126938298)</f>
        <v>1.213813813</v>
      </c>
      <c r="AK536" s="57">
        <f>IFERROR(__xludf.DUMMYFUNCTION("""COMPUTED_VALUE"""),1.1928142719693497)</f>
        <v>1.192814272</v>
      </c>
      <c r="AL536" s="57">
        <f>IFERROR(__xludf.DUMMYFUNCTION("""COMPUTED_VALUE"""),0.7520926260510242)</f>
        <v>0.7520926261</v>
      </c>
      <c r="AM536" s="57">
        <f>IFERROR(__xludf.DUMMYFUNCTION("""COMPUTED_VALUE"""),1.0748940106932126)</f>
        <v>1.074894011</v>
      </c>
      <c r="AN536" s="57">
        <f>IFERROR(__xludf.DUMMYFUNCTION("""COMPUTED_VALUE"""),1.1435557732151542)</f>
        <v>1.143555773</v>
      </c>
      <c r="AO536" s="57">
        <f>IFERROR(__xludf.DUMMYFUNCTION("""COMPUTED_VALUE"""),1.2444314525831721)</f>
        <v>1.244431453</v>
      </c>
      <c r="AP536" s="35">
        <f>IFERROR(__xludf.DUMMYFUNCTION("""COMPUTED_VALUE"""),1.1062437996866827)</f>
        <v>1.1062438</v>
      </c>
      <c r="AQ536" s="57">
        <f>IFERROR(__xludf.DUMMYFUNCTION("""COMPUTED_VALUE"""),0.971731911146256)</f>
        <v>0.9717319111</v>
      </c>
      <c r="AR536" s="36" t="b">
        <f>IFERROR(__xludf.DUMMYFUNCTION("""COMPUTED_VALUE"""),TRUE)</f>
        <v>1</v>
      </c>
      <c r="AS536" s="57"/>
      <c r="AT536" s="37"/>
      <c r="AU536" s="30"/>
      <c r="AV536" s="30"/>
      <c r="AW536" s="30"/>
      <c r="AX536" s="30"/>
      <c r="AY536" s="30"/>
      <c r="AZ536" s="30"/>
    </row>
    <row r="537">
      <c r="A537" s="30" t="str">
        <f>IFERROR(__xludf.DUMMYFUNCTION("""COMPUTED_VALUE"""),"Prospect")</f>
        <v>Prospect</v>
      </c>
      <c r="B537" s="30" t="str">
        <f>IFERROR(__xludf.DUMMYFUNCTION("""COMPUTED_VALUE"""),"RSC002796")</f>
        <v>RSC002796</v>
      </c>
      <c r="C537" s="30" t="str">
        <f>IFERROR(__xludf.DUMMYFUNCTION("""COMPUTED_VALUE"""),"Carno")</f>
        <v>Carno</v>
      </c>
      <c r="D537" s="31" t="str">
        <f>IFERROR(__xludf.DUMMYFUNCTION("""COMPUTED_VALUE"""),"Undead")</f>
        <v>Undead</v>
      </c>
      <c r="E537" s="31">
        <f>IFERROR(__xludf.DUMMYFUNCTION("""COMPUTED_VALUE"""),30.24262539765793)</f>
        <v>30.2426254</v>
      </c>
      <c r="F537" s="31">
        <f>IFERROR(__xludf.DUMMYFUNCTION("""COMPUTED_VALUE"""),-4.658144423401407)</f>
        <v>-4.658144423</v>
      </c>
      <c r="G537" s="31">
        <f>IFERROR(__xludf.DUMMYFUNCTION("""COMPUTED_VALUE"""),34.94050931346384)</f>
        <v>34.94050931</v>
      </c>
      <c r="H537" s="31">
        <f>IFERROR(__xludf.DUMMYFUNCTION("""COMPUTED_VALUE"""),-3.656832137372581)</f>
        <v>-3.656832137</v>
      </c>
      <c r="I537" s="54">
        <f>IFERROR(__xludf.DUMMYFUNCTION("""COMPUTED_VALUE"""),32.0)</f>
        <v>32</v>
      </c>
      <c r="J537" s="55">
        <f>IFERROR(__xludf.DUMMYFUNCTION("""COMPUTED_VALUE"""),11.0)</f>
        <v>11</v>
      </c>
      <c r="K537" s="54">
        <f>IFERROR(__xludf.DUMMYFUNCTION("""COMPUTED_VALUE"""),21.0)</f>
        <v>21</v>
      </c>
      <c r="L537" s="56">
        <f>IFERROR(__xludf.DUMMYFUNCTION("""COMPUTED_VALUE"""),0.34375)</f>
        <v>0.34375</v>
      </c>
      <c r="M537" s="56">
        <f>IFERROR(__xludf.DUMMYFUNCTION("""COMPUTED_VALUE"""),0.3225806451612903)</f>
        <v>0.3225806452</v>
      </c>
      <c r="N537" s="31">
        <f>IFERROR(__xludf.DUMMYFUNCTION("""COMPUTED_VALUE"""),284.0625)</f>
        <v>284.0625</v>
      </c>
      <c r="O537" s="57">
        <f>IFERROR(__xludf.DUMMYFUNCTION("""COMPUTED_VALUE"""),0.625)</f>
        <v>0.625</v>
      </c>
      <c r="P537" s="57">
        <f>IFERROR(__xludf.DUMMYFUNCTION("""COMPUTED_VALUE"""),0.34375)</f>
        <v>0.34375</v>
      </c>
      <c r="Q537" s="57">
        <f>IFERROR(__xludf.DUMMYFUNCTION("""COMPUTED_VALUE"""),1.125)</f>
        <v>1.125</v>
      </c>
      <c r="R537" s="57">
        <f>IFERROR(__xludf.DUMMYFUNCTION("""COMPUTED_VALUE"""),1.9375)</f>
        <v>1.9375</v>
      </c>
      <c r="S537" s="31">
        <f>IFERROR(__xludf.DUMMYFUNCTION("""COMPUTED_VALUE"""),344.1979166666667)</f>
        <v>344.1979167</v>
      </c>
      <c r="T537" s="57">
        <f>IFERROR(__xludf.DUMMYFUNCTION("""COMPUTED_VALUE"""),0.9270833333333333)</f>
        <v>0.9270833333</v>
      </c>
      <c r="U537" s="57">
        <f>IFERROR(__xludf.DUMMYFUNCTION("""COMPUTED_VALUE"""),0.6145833333333333)</f>
        <v>0.6145833333</v>
      </c>
      <c r="V537" s="57">
        <f>IFERROR(__xludf.DUMMYFUNCTION("""COMPUTED_VALUE"""),0.9687499999999999)</f>
        <v>0.96875</v>
      </c>
      <c r="W537" s="57">
        <f>IFERROR(__xludf.DUMMYFUNCTION("""COMPUTED_VALUE"""),2.59375)</f>
        <v>2.59375</v>
      </c>
      <c r="X537" s="31">
        <f>IFERROR(__xludf.DUMMYFUNCTION("""COMPUTED_VALUE"""),336.59924861413344)</f>
        <v>336.5992486</v>
      </c>
      <c r="Y537" s="57">
        <f>IFERROR(__xludf.DUMMYFUNCTION("""COMPUTED_VALUE"""),0.8268417244399462)</f>
        <v>0.8268417244</v>
      </c>
      <c r="Z537" s="57">
        <f>IFERROR(__xludf.DUMMYFUNCTION("""COMPUTED_VALUE"""),0.508287891305788)</f>
        <v>0.5082878913</v>
      </c>
      <c r="AA537" s="57">
        <f>IFERROR(__xludf.DUMMYFUNCTION("""COMPUTED_VALUE"""),1.1674675022634076)</f>
        <v>1.167467502</v>
      </c>
      <c r="AB537" s="57">
        <f>IFERROR(__xludf.DUMMYFUNCTION("""COMPUTED_VALUE"""),2.591197965929616)</f>
        <v>2.591197966</v>
      </c>
      <c r="AC537" s="31">
        <f>IFERROR(__xludf.DUMMYFUNCTION("""COMPUTED_VALUE"""),330.16371244386323)</f>
        <v>330.1637124</v>
      </c>
      <c r="AD537" s="57">
        <f>IFERROR(__xludf.DUMMYFUNCTION("""COMPUTED_VALUE"""),0.7432531394600838)</f>
        <v>0.7432531395</v>
      </c>
      <c r="AE537" s="57">
        <f>IFERROR(__xludf.DUMMYFUNCTION("""COMPUTED_VALUE"""),0.5059003571669629)</f>
        <v>0.5059003572</v>
      </c>
      <c r="AF537" s="57">
        <f>IFERROR(__xludf.DUMMYFUNCTION("""COMPUTED_VALUE"""),1.250221824564239)</f>
        <v>1.250221825</v>
      </c>
      <c r="AG537" s="57">
        <f>IFERROR(__xludf.DUMMYFUNCTION("""COMPUTED_VALUE"""),2.3379132371133187)</f>
        <v>2.337913237</v>
      </c>
      <c r="AH537" s="57">
        <f>IFERROR(__xludf.DUMMYFUNCTION("""COMPUTED_VALUE"""),0.8603686271194879)</f>
        <v>0.8603686271</v>
      </c>
      <c r="AI537" s="57">
        <f>IFERROR(__xludf.DUMMYFUNCTION("""COMPUTED_VALUE"""),0.8408978944293656)</f>
        <v>0.8408978944</v>
      </c>
      <c r="AJ537" s="57">
        <f>IFERROR(__xludf.DUMMYFUNCTION("""COMPUTED_VALUE"""),0.6794816313730171)</f>
        <v>0.6794816314</v>
      </c>
      <c r="AK537" s="57">
        <f>IFERROR(__xludf.DUMMYFUNCTION("""COMPUTED_VALUE"""),0.8998403146514543)</f>
        <v>0.8998403147</v>
      </c>
      <c r="AL537" s="57">
        <f>IFERROR(__xludf.DUMMYFUNCTION("""COMPUTED_VALUE"""),0.8287304974551924)</f>
        <v>0.8287304975</v>
      </c>
      <c r="AM537" s="57">
        <f>IFERROR(__xludf.DUMMYFUNCTION("""COMPUTED_VALUE"""),1.0225748217912516)</f>
        <v>1.022574822</v>
      </c>
      <c r="AN537" s="57">
        <f>IFERROR(__xludf.DUMMYFUNCTION("""COMPUTED_VALUE"""),1.1212343377582752)</f>
        <v>1.121234338</v>
      </c>
      <c r="AO537" s="57">
        <f>IFERROR(__xludf.DUMMYFUNCTION("""COMPUTED_VALUE"""),1.2091244821010254)</f>
        <v>1.209124482</v>
      </c>
      <c r="AP537" s="35">
        <f>IFERROR(__xludf.DUMMYFUNCTION("""COMPUTED_VALUE"""),0.8297875513638302)</f>
        <v>0.8297875514</v>
      </c>
      <c r="AQ537" s="57">
        <f>IFERROR(__xludf.DUMMYFUNCTION("""COMPUTED_VALUE"""),1.0009848857956587)</f>
        <v>1.000984886</v>
      </c>
      <c r="AR537" s="36" t="b">
        <f>IFERROR(__xludf.DUMMYFUNCTION("""COMPUTED_VALUE"""),TRUE)</f>
        <v>1</v>
      </c>
      <c r="AS537" s="57"/>
      <c r="AT537" s="37"/>
      <c r="AU537" s="30"/>
      <c r="AV537" s="30"/>
      <c r="AW537" s="30"/>
      <c r="AX537" s="30"/>
      <c r="AY537" s="30"/>
      <c r="AZ537" s="30"/>
    </row>
    <row r="538">
      <c r="A538" s="30" t="str">
        <f>IFERROR(__xludf.DUMMYFUNCTION("""COMPUTED_VALUE"""),"Prospect")</f>
        <v>Prospect</v>
      </c>
      <c r="B538" s="30" t="str">
        <f>IFERROR(__xludf.DUMMYFUNCTION("""COMPUTED_VALUE"""),"RSC005136")</f>
        <v>RSC005136</v>
      </c>
      <c r="C538" s="30" t="str">
        <f>IFERROR(__xludf.DUMMYFUNCTION("""COMPUTED_VALUE"""),"tdogplayz")</f>
        <v>tdogplayz</v>
      </c>
      <c r="D538" s="31" t="str">
        <f>IFERROR(__xludf.DUMMYFUNCTION("""COMPUTED_VALUE"""),"Principales")</f>
        <v>Principales</v>
      </c>
      <c r="E538" s="31">
        <f>IFERROR(__xludf.DUMMYFUNCTION("""COMPUTED_VALUE"""),29.257223160097908)</f>
        <v>29.25722316</v>
      </c>
      <c r="F538" s="31">
        <f>IFERROR(__xludf.DUMMYFUNCTION("""COMPUTED_VALUE"""),-4.9176035964683935)</f>
        <v>-4.917603596</v>
      </c>
      <c r="G538" s="31">
        <f>IFERROR(__xludf.DUMMYFUNCTION("""COMPUTED_VALUE"""),43.4679709388263)</f>
        <v>43.46797094</v>
      </c>
      <c r="H538" s="31">
        <f>IFERROR(__xludf.DUMMYFUNCTION("""COMPUTED_VALUE"""),-2.5192861039679344)</f>
        <v>-2.519286104</v>
      </c>
      <c r="I538" s="54">
        <f>IFERROR(__xludf.DUMMYFUNCTION("""COMPUTED_VALUE"""),31.0)</f>
        <v>31</v>
      </c>
      <c r="J538" s="55">
        <f>IFERROR(__xludf.DUMMYFUNCTION("""COMPUTED_VALUE"""),11.0)</f>
        <v>11</v>
      </c>
      <c r="K538" s="54">
        <f>IFERROR(__xludf.DUMMYFUNCTION("""COMPUTED_VALUE"""),20.0)</f>
        <v>20</v>
      </c>
      <c r="L538" s="56">
        <f>IFERROR(__xludf.DUMMYFUNCTION("""COMPUTED_VALUE"""),0.3548387096774194)</f>
        <v>0.3548387097</v>
      </c>
      <c r="M538" s="56">
        <f>IFERROR(__xludf.DUMMYFUNCTION("""COMPUTED_VALUE"""),0.31481481481481477)</f>
        <v>0.3148148148</v>
      </c>
      <c r="N538" s="31">
        <f>IFERROR(__xludf.DUMMYFUNCTION("""COMPUTED_VALUE"""),306.80645161290323)</f>
        <v>306.8064516</v>
      </c>
      <c r="O538" s="57">
        <f>IFERROR(__xludf.DUMMYFUNCTION("""COMPUTED_VALUE"""),0.5483870967741935)</f>
        <v>0.5483870968</v>
      </c>
      <c r="P538" s="57">
        <f>IFERROR(__xludf.DUMMYFUNCTION("""COMPUTED_VALUE"""),0.45161290322580644)</f>
        <v>0.4516129032</v>
      </c>
      <c r="Q538" s="57">
        <f>IFERROR(__xludf.DUMMYFUNCTION("""COMPUTED_VALUE"""),1.064516129032258)</f>
        <v>1.064516129</v>
      </c>
      <c r="R538" s="57">
        <f>IFERROR(__xludf.DUMMYFUNCTION("""COMPUTED_VALUE"""),1.7419354838709677)</f>
        <v>1.741935484</v>
      </c>
      <c r="S538" s="31">
        <f>IFERROR(__xludf.DUMMYFUNCTION("""COMPUTED_VALUE"""),339.2258064516129)</f>
        <v>339.2258065</v>
      </c>
      <c r="T538" s="57">
        <f>IFERROR(__xludf.DUMMYFUNCTION("""COMPUTED_VALUE"""),0.903225806451613)</f>
        <v>0.9032258065</v>
      </c>
      <c r="U538" s="57">
        <f>IFERROR(__xludf.DUMMYFUNCTION("""COMPUTED_VALUE"""),0.6021505376344084)</f>
        <v>0.6021505376</v>
      </c>
      <c r="V538" s="57">
        <f>IFERROR(__xludf.DUMMYFUNCTION("""COMPUTED_VALUE"""),1.032258064516129)</f>
        <v>1.032258065</v>
      </c>
      <c r="W538" s="57">
        <f>IFERROR(__xludf.DUMMYFUNCTION("""COMPUTED_VALUE"""),2.462365591397849)</f>
        <v>2.462365591</v>
      </c>
      <c r="X538" s="31">
        <f>IFERROR(__xludf.DUMMYFUNCTION("""COMPUTED_VALUE"""),329.4551293092649)</f>
        <v>329.4551293</v>
      </c>
      <c r="Y538" s="57">
        <f>IFERROR(__xludf.DUMMYFUNCTION("""COMPUTED_VALUE"""),0.752892462422137)</f>
        <v>0.7528924624</v>
      </c>
      <c r="Z538" s="57">
        <f>IFERROR(__xludf.DUMMYFUNCTION("""COMPUTED_VALUE"""),0.5641596629165105)</f>
        <v>0.5641596629</v>
      </c>
      <c r="AA538" s="57">
        <f>IFERROR(__xludf.DUMMYFUNCTION("""COMPUTED_VALUE"""),1.155610323044001)</f>
        <v>1.155610323</v>
      </c>
      <c r="AB538" s="57">
        <f>IFERROR(__xludf.DUMMYFUNCTION("""COMPUTED_VALUE"""),2.4504633391329924)</f>
        <v>2.450463339</v>
      </c>
      <c r="AC538" s="31">
        <f>IFERROR(__xludf.DUMMYFUNCTION("""COMPUTED_VALUE"""),336.4004014810794)</f>
        <v>336.4004015</v>
      </c>
      <c r="AD538" s="57">
        <f>IFERROR(__xludf.DUMMYFUNCTION("""COMPUTED_VALUE"""),0.8008479044804652)</f>
        <v>0.8008479045</v>
      </c>
      <c r="AE538" s="57">
        <f>IFERROR(__xludf.DUMMYFUNCTION("""COMPUTED_VALUE"""),0.5178003939545089)</f>
        <v>0.517800394</v>
      </c>
      <c r="AF538" s="57">
        <f>IFERROR(__xludf.DUMMYFUNCTION("""COMPUTED_VALUE"""),1.2511503406086688)</f>
        <v>1.251150341</v>
      </c>
      <c r="AG538" s="57">
        <f>IFERROR(__xludf.DUMMYFUNCTION("""COMPUTED_VALUE"""),2.376922252306036)</f>
        <v>2.376922252</v>
      </c>
      <c r="AH538" s="57">
        <f>IFERROR(__xludf.DUMMYFUNCTION("""COMPUTED_VALUE"""),0.9120276024110492)</f>
        <v>0.9120276024</v>
      </c>
      <c r="AI538" s="57">
        <f>IFERROR(__xludf.DUMMYFUNCTION("""COMPUTED_VALUE"""),0.6847581091317823)</f>
        <v>0.6847581091</v>
      </c>
      <c r="AJ538" s="57">
        <f>IFERROR(__xludf.DUMMYFUNCTION("""COMPUTED_VALUE"""),0.8721756655625152)</f>
        <v>0.8721756656</v>
      </c>
      <c r="AK538" s="57">
        <f>IFERROR(__xludf.DUMMYFUNCTION("""COMPUTED_VALUE"""),0.8508299078705317)</f>
        <v>0.8508299079</v>
      </c>
      <c r="AL538" s="57">
        <f>IFERROR(__xludf.DUMMYFUNCTION("""COMPUTED_VALUE"""),0.7328533704377506)</f>
        <v>0.7328533704</v>
      </c>
      <c r="AM538" s="57">
        <f>IFERROR(__xludf.DUMMYFUNCTION("""COMPUTED_VALUE"""),1.0296570800486038)</f>
        <v>1.02965708</v>
      </c>
      <c r="AN538" s="57">
        <f>IFERROR(__xludf.DUMMYFUNCTION("""COMPUTED_VALUE"""),1.1996743911419132)</f>
        <v>1.199674391</v>
      </c>
      <c r="AO538" s="57">
        <f>IFERROR(__xludf.DUMMYFUNCTION("""COMPUTED_VALUE"""),1.0673406434651818)</f>
        <v>1.067340643</v>
      </c>
      <c r="AP538" s="35">
        <f>IFERROR(__xludf.DUMMYFUNCTION("""COMPUTED_VALUE"""),0.8932579122320845)</f>
        <v>0.8932579122</v>
      </c>
      <c r="AQ538" s="57">
        <f>IFERROR(__xludf.DUMMYFUNCTION("""COMPUTED_VALUE"""),1.0048571435755769)</f>
        <v>1.004857144</v>
      </c>
      <c r="AR538" s="36" t="b">
        <f>IFERROR(__xludf.DUMMYFUNCTION("""COMPUTED_VALUE"""),TRUE)</f>
        <v>1</v>
      </c>
      <c r="AS538" s="57"/>
      <c r="AT538" s="37"/>
      <c r="AU538" s="30"/>
      <c r="AV538" s="30"/>
      <c r="AW538" s="30"/>
      <c r="AX538" s="30"/>
      <c r="AY538" s="30"/>
      <c r="AZ538" s="30"/>
    </row>
    <row r="539">
      <c r="A539" s="30" t="str">
        <f>IFERROR(__xludf.DUMMYFUNCTION("""COMPUTED_VALUE"""),"Prospect")</f>
        <v>Prospect</v>
      </c>
      <c r="B539" s="30" t="str">
        <f>IFERROR(__xludf.DUMMYFUNCTION("""COMPUTED_VALUE"""),"RSC007834")</f>
        <v>RSC007834</v>
      </c>
      <c r="C539" s="30" t="str">
        <f>IFERROR(__xludf.DUMMYFUNCTION("""COMPUTED_VALUE"""),"Kyyrbes")</f>
        <v>Kyyrbes</v>
      </c>
      <c r="D539" s="31" t="str">
        <f>IFERROR(__xludf.DUMMYFUNCTION("""COMPUTED_VALUE"""),"Gloom")</f>
        <v>Gloom</v>
      </c>
      <c r="E539" s="31">
        <f>IFERROR(__xludf.DUMMYFUNCTION("""COMPUTED_VALUE"""),23.653689127125933)</f>
        <v>23.65368913</v>
      </c>
      <c r="F539" s="31">
        <f>IFERROR(__xludf.DUMMYFUNCTION("""COMPUTED_VALUE"""),-6.850476772097469)</f>
        <v>-6.850476772</v>
      </c>
      <c r="G539" s="31">
        <f>IFERROR(__xludf.DUMMYFUNCTION("""COMPUTED_VALUE"""),31.463625053197486)</f>
        <v>31.46362505</v>
      </c>
      <c r="H539" s="31">
        <f>IFERROR(__xludf.DUMMYFUNCTION("""COMPUTED_VALUE"""),-4.362834158370947)</f>
        <v>-4.362834158</v>
      </c>
      <c r="I539" s="54">
        <f>IFERROR(__xludf.DUMMYFUNCTION("""COMPUTED_VALUE"""),29.0)</f>
        <v>29</v>
      </c>
      <c r="J539" s="55">
        <f>IFERROR(__xludf.DUMMYFUNCTION("""COMPUTED_VALUE"""),10.0)</f>
        <v>10</v>
      </c>
      <c r="K539" s="54">
        <f>IFERROR(__xludf.DUMMYFUNCTION("""COMPUTED_VALUE"""),19.0)</f>
        <v>19</v>
      </c>
      <c r="L539" s="56">
        <f>IFERROR(__xludf.DUMMYFUNCTION("""COMPUTED_VALUE"""),0.3448275862068966)</f>
        <v>0.3448275862</v>
      </c>
      <c r="M539" s="56">
        <f>IFERROR(__xludf.DUMMYFUNCTION("""COMPUTED_VALUE"""),0.19230769230769232)</f>
        <v>0.1923076923</v>
      </c>
      <c r="N539" s="31">
        <f>IFERROR(__xludf.DUMMYFUNCTION("""COMPUTED_VALUE"""),298.13793103448273)</f>
        <v>298.137931</v>
      </c>
      <c r="O539" s="57">
        <f>IFERROR(__xludf.DUMMYFUNCTION("""COMPUTED_VALUE"""),0.3448275862068966)</f>
        <v>0.3448275862</v>
      </c>
      <c r="P539" s="57">
        <f>IFERROR(__xludf.DUMMYFUNCTION("""COMPUTED_VALUE"""),0.4482758620689655)</f>
        <v>0.4482758621</v>
      </c>
      <c r="Q539" s="57">
        <f>IFERROR(__xludf.DUMMYFUNCTION("""COMPUTED_VALUE"""),1.3793103448275863)</f>
        <v>1.379310345</v>
      </c>
      <c r="R539" s="57">
        <f>IFERROR(__xludf.DUMMYFUNCTION("""COMPUTED_VALUE"""),1.793103448275862)</f>
        <v>1.793103448</v>
      </c>
      <c r="S539" s="31">
        <f>IFERROR(__xludf.DUMMYFUNCTION("""COMPUTED_VALUE"""),339.0)</f>
        <v>339</v>
      </c>
      <c r="T539" s="57">
        <f>IFERROR(__xludf.DUMMYFUNCTION("""COMPUTED_VALUE"""),0.9310344827586206)</f>
        <v>0.9310344828</v>
      </c>
      <c r="U539" s="57">
        <f>IFERROR(__xludf.DUMMYFUNCTION("""COMPUTED_VALUE"""),0.5747126436781611)</f>
        <v>0.5747126437</v>
      </c>
      <c r="V539" s="57">
        <f>IFERROR(__xludf.DUMMYFUNCTION("""COMPUTED_VALUE"""),0.9540229885057472)</f>
        <v>0.9540229885</v>
      </c>
      <c r="W539" s="57">
        <f>IFERROR(__xludf.DUMMYFUNCTION("""COMPUTED_VALUE"""),3.0)</f>
        <v>3</v>
      </c>
      <c r="X539" s="31">
        <f>IFERROR(__xludf.DUMMYFUNCTION("""COMPUTED_VALUE"""),349.7473674925522)</f>
        <v>349.7473675</v>
      </c>
      <c r="Y539" s="57">
        <f>IFERROR(__xludf.DUMMYFUNCTION("""COMPUTED_VALUE"""),0.8994050196774235)</f>
        <v>0.8994050197</v>
      </c>
      <c r="Z539" s="57">
        <f>IFERROR(__xludf.DUMMYFUNCTION("""COMPUTED_VALUE"""),0.5730815090430116)</f>
        <v>0.573081509</v>
      </c>
      <c r="AA539" s="57">
        <f>IFERROR(__xludf.DUMMYFUNCTION("""COMPUTED_VALUE"""),1.177655666504107)</f>
        <v>1.177655667</v>
      </c>
      <c r="AB539" s="57">
        <f>IFERROR(__xludf.DUMMYFUNCTION("""COMPUTED_VALUE"""),2.6674051088376434)</f>
        <v>2.667405109</v>
      </c>
      <c r="AC539" s="31">
        <f>IFERROR(__xludf.DUMMYFUNCTION("""COMPUTED_VALUE"""),329.65459679213745)</f>
        <v>329.6545968</v>
      </c>
      <c r="AD539" s="57">
        <f>IFERROR(__xludf.DUMMYFUNCTION("""COMPUTED_VALUE"""),0.7171379566275083)</f>
        <v>0.7171379566</v>
      </c>
      <c r="AE539" s="57">
        <f>IFERROR(__xludf.DUMMYFUNCTION("""COMPUTED_VALUE"""),0.49446795890993955)</f>
        <v>0.4944679589</v>
      </c>
      <c r="AF539" s="57">
        <f>IFERROR(__xludf.DUMMYFUNCTION("""COMPUTED_VALUE"""),1.268465494849898)</f>
        <v>1.268465495</v>
      </c>
      <c r="AG539" s="57">
        <f>IFERROR(__xludf.DUMMYFUNCTION("""COMPUTED_VALUE"""),2.338966936170724)</f>
        <v>2.338966936</v>
      </c>
      <c r="AH539" s="57">
        <f>IFERROR(__xludf.DUMMYFUNCTION("""COMPUTED_VALUE"""),0.9043948846327556)</f>
        <v>0.9043948846</v>
      </c>
      <c r="AI539" s="57">
        <f>IFERROR(__xludf.DUMMYFUNCTION("""COMPUTED_VALUE"""),0.4808385653278215)</f>
        <v>0.4808385653</v>
      </c>
      <c r="AJ539" s="57">
        <f>IFERROR(__xludf.DUMMYFUNCTION("""COMPUTED_VALUE"""),0.9065822243714131)</f>
        <v>0.9065822244</v>
      </c>
      <c r="AK539" s="57">
        <f>IFERROR(__xludf.DUMMYFUNCTION("""COMPUTED_VALUE"""),1.0873849942530798)</f>
        <v>1.087384994</v>
      </c>
      <c r="AL539" s="57">
        <f>IFERROR(__xludf.DUMMYFUNCTION("""COMPUTED_VALUE"""),0.766621973379183)</f>
        <v>0.7666219734</v>
      </c>
      <c r="AM539" s="57">
        <f>IFERROR(__xludf.DUMMYFUNCTION("""COMPUTED_VALUE"""),0.9692710553631799)</f>
        <v>0.9692710554</v>
      </c>
      <c r="AN539" s="57">
        <f>IFERROR(__xludf.DUMMYFUNCTION("""COMPUTED_VALUE"""),1.0351670964573236)</f>
        <v>1.035167096</v>
      </c>
      <c r="AO539" s="57">
        <f>IFERROR(__xludf.DUMMYFUNCTION("""COMPUTED_VALUE"""),1.0028462524255466)</f>
        <v>1.002846252</v>
      </c>
      <c r="AP539" s="35">
        <f>IFERROR(__xludf.DUMMYFUNCTION("""COMPUTED_VALUE"""),0.8101035095749018)</f>
        <v>0.8101035096</v>
      </c>
      <c r="AQ539" s="57">
        <f>IFERROR(__xludf.DUMMYFUNCTION("""COMPUTED_VALUE"""),1.124688555952901)</f>
        <v>1.124688556</v>
      </c>
      <c r="AR539" s="36" t="b">
        <f>IFERROR(__xludf.DUMMYFUNCTION("""COMPUTED_VALUE"""),TRUE)</f>
        <v>1</v>
      </c>
      <c r="AS539" s="57"/>
      <c r="AT539" s="37"/>
      <c r="AU539" s="30"/>
      <c r="AV539" s="30"/>
      <c r="AW539" s="30"/>
      <c r="AX539" s="30"/>
      <c r="AY539" s="30"/>
      <c r="AZ539" s="30"/>
    </row>
    <row r="540">
      <c r="A540" s="30" t="str">
        <f>IFERROR(__xludf.DUMMYFUNCTION("""COMPUTED_VALUE"""),"Prospect")</f>
        <v>Prospect</v>
      </c>
      <c r="B540" s="30" t="str">
        <f>IFERROR(__xludf.DUMMYFUNCTION("""COMPUTED_VALUE"""),"RSC004012")</f>
        <v>RSC004012</v>
      </c>
      <c r="C540" s="30" t="str">
        <f>IFERROR(__xludf.DUMMYFUNCTION("""COMPUTED_VALUE"""),"kgfan3")</f>
        <v>kgfan3</v>
      </c>
      <c r="D540" s="31" t="str">
        <f>IFERROR(__xludf.DUMMYFUNCTION("""COMPUTED_VALUE"""),"Undead")</f>
        <v>Undead</v>
      </c>
      <c r="E540" s="31">
        <f>IFERROR(__xludf.DUMMYFUNCTION("""COMPUTED_VALUE"""),22.94919449757395)</f>
        <v>22.9491945</v>
      </c>
      <c r="F540" s="31">
        <f>IFERROR(__xludf.DUMMYFUNCTION("""COMPUTED_VALUE"""),-7.1623435429830336)</f>
        <v>-7.162343543</v>
      </c>
      <c r="G540" s="31">
        <f>IFERROR(__xludf.DUMMYFUNCTION("""COMPUTED_VALUE"""),26.329540894106874)</f>
        <v>26.32954089</v>
      </c>
      <c r="H540" s="31">
        <f>IFERROR(__xludf.DUMMYFUNCTION("""COMPUTED_VALUE"""),-5.818497628318799)</f>
        <v>-5.818497628</v>
      </c>
      <c r="I540" s="54">
        <f>IFERROR(__xludf.DUMMYFUNCTION("""COMPUTED_VALUE"""),25.0)</f>
        <v>25</v>
      </c>
      <c r="J540" s="55">
        <f>IFERROR(__xludf.DUMMYFUNCTION("""COMPUTED_VALUE"""),7.0)</f>
        <v>7</v>
      </c>
      <c r="K540" s="54">
        <f>IFERROR(__xludf.DUMMYFUNCTION("""COMPUTED_VALUE"""),18.0)</f>
        <v>18</v>
      </c>
      <c r="L540" s="56">
        <f>IFERROR(__xludf.DUMMYFUNCTION("""COMPUTED_VALUE"""),0.28)</f>
        <v>0.28</v>
      </c>
      <c r="M540" s="56">
        <f>IFERROR(__xludf.DUMMYFUNCTION("""COMPUTED_VALUE"""),0.33333333333333337)</f>
        <v>0.3333333333</v>
      </c>
      <c r="N540" s="31">
        <f>IFERROR(__xludf.DUMMYFUNCTION("""COMPUTED_VALUE"""),244.08)</f>
        <v>244.08</v>
      </c>
      <c r="O540" s="57">
        <f>IFERROR(__xludf.DUMMYFUNCTION("""COMPUTED_VALUE"""),0.56)</f>
        <v>0.56</v>
      </c>
      <c r="P540" s="57">
        <f>IFERROR(__xludf.DUMMYFUNCTION("""COMPUTED_VALUE"""),0.4)</f>
        <v>0.4</v>
      </c>
      <c r="Q540" s="57">
        <f>IFERROR(__xludf.DUMMYFUNCTION("""COMPUTED_VALUE"""),0.68)</f>
        <v>0.68</v>
      </c>
      <c r="R540" s="57">
        <f>IFERROR(__xludf.DUMMYFUNCTION("""COMPUTED_VALUE"""),1.68)</f>
        <v>1.68</v>
      </c>
      <c r="S540" s="31">
        <f>IFERROR(__xludf.DUMMYFUNCTION("""COMPUTED_VALUE"""),344.4666666666667)</f>
        <v>344.4666667</v>
      </c>
      <c r="T540" s="57">
        <f>IFERROR(__xludf.DUMMYFUNCTION("""COMPUTED_VALUE"""),0.9866666666666665)</f>
        <v>0.9866666667</v>
      </c>
      <c r="U540" s="57">
        <f>IFERROR(__xludf.DUMMYFUNCTION("""COMPUTED_VALUE"""),0.6533333333333334)</f>
        <v>0.6533333333</v>
      </c>
      <c r="V540" s="57">
        <f>IFERROR(__xludf.DUMMYFUNCTION("""COMPUTED_VALUE"""),0.9599999999999999)</f>
        <v>0.96</v>
      </c>
      <c r="W540" s="57">
        <f>IFERROR(__xludf.DUMMYFUNCTION("""COMPUTED_VALUE"""),2.7200000000000006)</f>
        <v>2.72</v>
      </c>
      <c r="X540" s="31">
        <f>IFERROR(__xludf.DUMMYFUNCTION("""COMPUTED_VALUE"""),335.18841557999747)</f>
        <v>335.1884156</v>
      </c>
      <c r="Y540" s="57">
        <f>IFERROR(__xludf.DUMMYFUNCTION("""COMPUTED_VALUE"""),0.8418243051533304)</f>
        <v>0.8418243052</v>
      </c>
      <c r="Z540" s="57">
        <f>IFERROR(__xludf.DUMMYFUNCTION("""COMPUTED_VALUE"""),0.5208624812286581)</f>
        <v>0.5208624812</v>
      </c>
      <c r="AA540" s="57">
        <f>IFERROR(__xludf.DUMMYFUNCTION("""COMPUTED_VALUE"""),1.119504522014075)</f>
        <v>1.119504522</v>
      </c>
      <c r="AB540" s="57">
        <f>IFERROR(__xludf.DUMMYFUNCTION("""COMPUTED_VALUE"""),2.5984165984881495)</f>
        <v>2.598416598</v>
      </c>
      <c r="AC540" s="31">
        <f>IFERROR(__xludf.DUMMYFUNCTION("""COMPUTED_VALUE"""),327.8797997252539)</f>
        <v>327.8797997</v>
      </c>
      <c r="AD540" s="57">
        <f>IFERROR(__xludf.DUMMYFUNCTION("""COMPUTED_VALUE"""),0.7457562516807928)</f>
        <v>0.7457562517</v>
      </c>
      <c r="AE540" s="57">
        <f>IFERROR(__xludf.DUMMYFUNCTION("""COMPUTED_VALUE"""),0.5003586009811015)</f>
        <v>0.500358601</v>
      </c>
      <c r="AF540" s="57">
        <f>IFERROR(__xludf.DUMMYFUNCTION("""COMPUTED_VALUE"""),1.2363991696246976)</f>
        <v>1.23639917</v>
      </c>
      <c r="AG540" s="57">
        <f>IFERROR(__xludf.DUMMYFUNCTION("""COMPUTED_VALUE"""),2.288905807615503)</f>
        <v>2.288905808</v>
      </c>
      <c r="AH540" s="57">
        <f>IFERROR(__xludf.DUMMYFUNCTION("""COMPUTED_VALUE"""),0.7444191444685713)</f>
        <v>0.7444191445</v>
      </c>
      <c r="AI540" s="57">
        <f>IFERROR(__xludf.DUMMYFUNCTION("""COMPUTED_VALUE"""),0.7509155957296589)</f>
        <v>0.7509155957</v>
      </c>
      <c r="AJ540" s="57">
        <f>IFERROR(__xludf.DUMMYFUNCTION("""COMPUTED_VALUE"""),0.7994266496382421)</f>
        <v>0.7994266496</v>
      </c>
      <c r="AK540" s="57">
        <f>IFERROR(__xludf.DUMMYFUNCTION("""COMPUTED_VALUE"""),0.5499841933785918)</f>
        <v>0.5499841934</v>
      </c>
      <c r="AL540" s="57">
        <f>IFERROR(__xludf.DUMMYFUNCTION("""COMPUTED_VALUE"""),0.7339751572172214)</f>
        <v>0.7339751572</v>
      </c>
      <c r="AM540" s="57">
        <f>IFERROR(__xludf.DUMMYFUNCTION("""COMPUTED_VALUE"""),1.027680703316117)</f>
        <v>1.027680703</v>
      </c>
      <c r="AN540" s="57">
        <f>IFERROR(__xludf.DUMMYFUNCTION("""COMPUTED_VALUE"""),1.1720577092234874)</f>
        <v>1.172057709</v>
      </c>
      <c r="AO540" s="57">
        <f>IFERROR(__xludf.DUMMYFUNCTION("""COMPUTED_VALUE"""),1.2543298027383178)</f>
        <v>1.254329803</v>
      </c>
      <c r="AP540" s="35">
        <f>IFERROR(__xludf.DUMMYFUNCTION("""COMPUTED_VALUE"""),0.8575222173045678)</f>
        <v>0.8575222173</v>
      </c>
      <c r="AQ540" s="57">
        <f>IFERROR(__xludf.DUMMYFUNCTION("""COMPUTED_VALUE"""),1.046791342690234)</f>
        <v>1.046791343</v>
      </c>
      <c r="AR540" s="36" t="b">
        <f>IFERROR(__xludf.DUMMYFUNCTION("""COMPUTED_VALUE"""),TRUE)</f>
        <v>1</v>
      </c>
      <c r="AS540" s="57"/>
      <c r="AT540" s="37"/>
      <c r="AU540" s="30"/>
      <c r="AV540" s="30"/>
      <c r="AW540" s="30"/>
      <c r="AX540" s="30"/>
      <c r="AY540" s="30"/>
      <c r="AZ540" s="30"/>
    </row>
    <row r="541">
      <c r="A541" s="30" t="str">
        <f>IFERROR(__xludf.DUMMYFUNCTION("""COMPUTED_VALUE"""),"Prospect")</f>
        <v>Prospect</v>
      </c>
      <c r="B541" s="30" t="str">
        <f>IFERROR(__xludf.DUMMYFUNCTION("""COMPUTED_VALUE"""),"RSC005561")</f>
        <v>RSC005561</v>
      </c>
      <c r="C541" s="30" t="str">
        <f>IFERROR(__xludf.DUMMYFUNCTION("""COMPUTED_VALUE"""),"Angelofthebronx")</f>
        <v>Angelofthebronx</v>
      </c>
      <c r="D541" s="31" t="str">
        <f>IFERROR(__xludf.DUMMYFUNCTION("""COMPUTED_VALUE"""),"Earth")</f>
        <v>Earth</v>
      </c>
      <c r="E541" s="31">
        <f>IFERROR(__xludf.DUMMYFUNCTION("""COMPUTED_VALUE"""),22.7416311327291)</f>
        <v>22.74163113</v>
      </c>
      <c r="F541" s="31">
        <f>IFERROR(__xludf.DUMMYFUNCTION("""COMPUTED_VALUE"""),-7.257797033807684)</f>
        <v>-7.257797034</v>
      </c>
      <c r="G541" s="31">
        <f>IFERROR(__xludf.DUMMYFUNCTION("""COMPUTED_VALUE"""),16.63682569052326)</f>
        <v>16.63682569</v>
      </c>
      <c r="H541" s="31">
        <f>IFERROR(__xludf.DUMMYFUNCTION("""COMPUTED_VALUE"""),-10.987126679213388)</f>
        <v>-10.98712668</v>
      </c>
      <c r="I541" s="54">
        <f>IFERROR(__xludf.DUMMYFUNCTION("""COMPUTED_VALUE"""),11.0)</f>
        <v>11</v>
      </c>
      <c r="J541" s="55">
        <f>IFERROR(__xludf.DUMMYFUNCTION("""COMPUTED_VALUE"""),3.0)</f>
        <v>3</v>
      </c>
      <c r="K541" s="54">
        <f>IFERROR(__xludf.DUMMYFUNCTION("""COMPUTED_VALUE"""),8.0)</f>
        <v>8</v>
      </c>
      <c r="L541" s="56">
        <f>IFERROR(__xludf.DUMMYFUNCTION("""COMPUTED_VALUE"""),0.2727272727272727)</f>
        <v>0.2727272727</v>
      </c>
      <c r="M541" s="56">
        <f>IFERROR(__xludf.DUMMYFUNCTION("""COMPUTED_VALUE"""),0.3)</f>
        <v>0.3</v>
      </c>
      <c r="N541" s="31">
        <f>IFERROR(__xludf.DUMMYFUNCTION("""COMPUTED_VALUE"""),232.63636363636363)</f>
        <v>232.6363636</v>
      </c>
      <c r="O541" s="57">
        <f>IFERROR(__xludf.DUMMYFUNCTION("""COMPUTED_VALUE"""),0.5454545454545454)</f>
        <v>0.5454545455</v>
      </c>
      <c r="P541" s="57">
        <f>IFERROR(__xludf.DUMMYFUNCTION("""COMPUTED_VALUE"""),0.45454545454545453)</f>
        <v>0.4545454545</v>
      </c>
      <c r="Q541" s="57">
        <f>IFERROR(__xludf.DUMMYFUNCTION("""COMPUTED_VALUE"""),0.45454545454545453)</f>
        <v>0.4545454545</v>
      </c>
      <c r="R541" s="57">
        <f>IFERROR(__xludf.DUMMYFUNCTION("""COMPUTED_VALUE"""),1.8181818181818181)</f>
        <v>1.818181818</v>
      </c>
      <c r="S541" s="31">
        <f>IFERROR(__xludf.DUMMYFUNCTION("""COMPUTED_VALUE"""),373.7575757575758)</f>
        <v>373.7575758</v>
      </c>
      <c r="T541" s="57">
        <f>IFERROR(__xludf.DUMMYFUNCTION("""COMPUTED_VALUE"""),0.9999999999999999)</f>
        <v>1</v>
      </c>
      <c r="U541" s="57">
        <f>IFERROR(__xludf.DUMMYFUNCTION("""COMPUTED_VALUE"""),0.6969696969696971)</f>
        <v>0.696969697</v>
      </c>
      <c r="V541" s="57">
        <f>IFERROR(__xludf.DUMMYFUNCTION("""COMPUTED_VALUE"""),1.303030303030303)</f>
        <v>1.303030303</v>
      </c>
      <c r="W541" s="57">
        <f>IFERROR(__xludf.DUMMYFUNCTION("""COMPUTED_VALUE"""),2.484848484848485)</f>
        <v>2.484848485</v>
      </c>
      <c r="X541" s="31">
        <f>IFERROR(__xludf.DUMMYFUNCTION("""COMPUTED_VALUE"""),343.07620813967145)</f>
        <v>343.0762081</v>
      </c>
      <c r="Y541" s="57">
        <f>IFERROR(__xludf.DUMMYFUNCTION("""COMPUTED_VALUE"""),0.8582104533946346)</f>
        <v>0.8582104534</v>
      </c>
      <c r="Z541" s="57">
        <f>IFERROR(__xludf.DUMMYFUNCTION("""COMPUTED_VALUE"""),0.5182609348336155)</f>
        <v>0.5182609348</v>
      </c>
      <c r="AA541" s="57">
        <f>IFERROR(__xludf.DUMMYFUNCTION("""COMPUTED_VALUE"""),1.213979635110786)</f>
        <v>1.213979635</v>
      </c>
      <c r="AB541" s="57">
        <f>IFERROR(__xludf.DUMMYFUNCTION("""COMPUTED_VALUE"""),2.417030603065015)</f>
        <v>2.417030603</v>
      </c>
      <c r="AC541" s="31">
        <f>IFERROR(__xludf.DUMMYFUNCTION("""COMPUTED_VALUE"""),328.42882823343274)</f>
        <v>328.4288282</v>
      </c>
      <c r="AD541" s="57">
        <f>IFERROR(__xludf.DUMMYFUNCTION("""COMPUTED_VALUE"""),0.7663225256484076)</f>
        <v>0.7663225256</v>
      </c>
      <c r="AE541" s="57">
        <f>IFERROR(__xludf.DUMMYFUNCTION("""COMPUTED_VALUE"""),0.5284768485482728)</f>
        <v>0.5284768485</v>
      </c>
      <c r="AF541" s="57">
        <f>IFERROR(__xludf.DUMMYFUNCTION("""COMPUTED_VALUE"""),1.0967747186347365)</f>
        <v>1.096774719</v>
      </c>
      <c r="AG541" s="57">
        <f>IFERROR(__xludf.DUMMYFUNCTION("""COMPUTED_VALUE"""),2.459017710629801)</f>
        <v>2.459017711</v>
      </c>
      <c r="AH541" s="57">
        <f>IFERROR(__xludf.DUMMYFUNCTION("""COMPUTED_VALUE"""),0.7083311318548929)</f>
        <v>0.7083311319</v>
      </c>
      <c r="AI541" s="57">
        <f>IFERROR(__xludf.DUMMYFUNCTION("""COMPUTED_VALUE"""),0.7117819549843202)</f>
        <v>0.711781955</v>
      </c>
      <c r="AJ541" s="57">
        <f>IFERROR(__xludf.DUMMYFUNCTION("""COMPUTED_VALUE"""),0.8601047629505285)</f>
        <v>0.860104763</v>
      </c>
      <c r="AK541" s="57">
        <f>IFERROR(__xludf.DUMMYFUNCTION("""COMPUTED_VALUE"""),0.4144383042593031)</f>
        <v>0.4144383043</v>
      </c>
      <c r="AL541" s="57">
        <f>IFERROR(__xludf.DUMMYFUNCTION("""COMPUTED_VALUE"""),0.7393935433332635)</f>
        <v>0.7393935433</v>
      </c>
      <c r="AM541" s="57">
        <f>IFERROR(__xludf.DUMMYFUNCTION("""COMPUTED_VALUE"""),1.0894301816621847)</f>
        <v>1.089430182</v>
      </c>
      <c r="AN541" s="57">
        <f>IFERROR(__xludf.DUMMYFUNCTION("""COMPUTED_VALUE"""),1.1652153571941701)</f>
        <v>1.165215357</v>
      </c>
      <c r="AO541" s="57">
        <f>IFERROR(__xludf.DUMMYFUNCTION("""COMPUTED_VALUE"""),1.3448239103598558)</f>
        <v>1.34482391</v>
      </c>
      <c r="AP541" s="35">
        <f>IFERROR(__xludf.DUMMYFUNCTION("""COMPUTED_VALUE"""),1.0733543342441574)</f>
        <v>1.073354334</v>
      </c>
      <c r="AQ541" s="57">
        <f>IFERROR(__xludf.DUMMYFUNCTION("""COMPUTED_VALUE"""),1.028058346343431)</f>
        <v>1.028058346</v>
      </c>
      <c r="AR541" s="36" t="b">
        <f>IFERROR(__xludf.DUMMYFUNCTION("""COMPUTED_VALUE"""),TRUE)</f>
        <v>1</v>
      </c>
      <c r="AS541" s="57"/>
      <c r="AT541" s="37"/>
      <c r="AU541" s="30"/>
      <c r="AV541" s="30"/>
      <c r="AW541" s="30"/>
      <c r="AX541" s="30"/>
      <c r="AY541" s="30"/>
      <c r="AZ541" s="30"/>
    </row>
    <row r="542">
      <c r="A542" s="30" t="str">
        <f>IFERROR(__xludf.DUMMYFUNCTION("""COMPUTED_VALUE"""),"Prospect")</f>
        <v>Prospect</v>
      </c>
      <c r="B542" s="30" t="str">
        <f>IFERROR(__xludf.DUMMYFUNCTION("""COMPUTED_VALUE"""),"RSC001820")</f>
        <v>RSC001820</v>
      </c>
      <c r="C542" s="30" t="str">
        <f>IFERROR(__xludf.DUMMYFUNCTION("""COMPUTED_VALUE"""),"YourEvilTwin")</f>
        <v>YourEvilTwin</v>
      </c>
      <c r="D542" s="31" t="str">
        <f>IFERROR(__xludf.DUMMYFUNCTION("""COMPUTED_VALUE"""),"Tic Tacs")</f>
        <v>Tic Tacs</v>
      </c>
      <c r="E542" s="31">
        <f>IFERROR(__xludf.DUMMYFUNCTION("""COMPUTED_VALUE"""),21.554083665277236)</f>
        <v>21.55408367</v>
      </c>
      <c r="F542" s="31">
        <f>IFERROR(__xludf.DUMMYFUNCTION("""COMPUTED_VALUE"""),-7.837337728902368)</f>
        <v>-7.837337729</v>
      </c>
      <c r="G542" s="31">
        <f>IFERROR(__xludf.DUMMYFUNCTION("""COMPUTED_VALUE"""),20.92859249381651)</f>
        <v>20.92859249</v>
      </c>
      <c r="H542" s="31">
        <f>IFERROR(__xludf.DUMMYFUNCTION("""COMPUTED_VALUE"""),-8.16700512443656)</f>
        <v>-8.167005124</v>
      </c>
      <c r="I542" s="54">
        <f>IFERROR(__xludf.DUMMYFUNCTION("""COMPUTED_VALUE"""),27.0)</f>
        <v>27</v>
      </c>
      <c r="J542" s="55">
        <f>IFERROR(__xludf.DUMMYFUNCTION("""COMPUTED_VALUE"""),13.0)</f>
        <v>13</v>
      </c>
      <c r="K542" s="54">
        <f>IFERROR(__xludf.DUMMYFUNCTION("""COMPUTED_VALUE"""),14.0)</f>
        <v>14</v>
      </c>
      <c r="L542" s="56">
        <f>IFERROR(__xludf.DUMMYFUNCTION("""COMPUTED_VALUE"""),0.48148148148148145)</f>
        <v>0.4814814815</v>
      </c>
      <c r="M542" s="56">
        <f>IFERROR(__xludf.DUMMYFUNCTION("""COMPUTED_VALUE"""),0.27906976744186046)</f>
        <v>0.2790697674</v>
      </c>
      <c r="N542" s="31">
        <f>IFERROR(__xludf.DUMMYFUNCTION("""COMPUTED_VALUE"""),279.51851851851853)</f>
        <v>279.5185185</v>
      </c>
      <c r="O542" s="57">
        <f>IFERROR(__xludf.DUMMYFUNCTION("""COMPUTED_VALUE"""),0.4444444444444444)</f>
        <v>0.4444444444</v>
      </c>
      <c r="P542" s="57">
        <f>IFERROR(__xludf.DUMMYFUNCTION("""COMPUTED_VALUE"""),0.48148148148148145)</f>
        <v>0.4814814815</v>
      </c>
      <c r="Q542" s="57">
        <f>IFERROR(__xludf.DUMMYFUNCTION("""COMPUTED_VALUE"""),1.1851851851851851)</f>
        <v>1.185185185</v>
      </c>
      <c r="R542" s="57">
        <f>IFERROR(__xludf.DUMMYFUNCTION("""COMPUTED_VALUE"""),1.5925925925925926)</f>
        <v>1.592592593</v>
      </c>
      <c r="S542" s="31">
        <f>IFERROR(__xludf.DUMMYFUNCTION("""COMPUTED_VALUE"""),338.61728395061726)</f>
        <v>338.617284</v>
      </c>
      <c r="T542" s="57">
        <f>IFERROR(__xludf.DUMMYFUNCTION("""COMPUTED_VALUE"""),0.8888888888888891)</f>
        <v>0.8888888889</v>
      </c>
      <c r="U542" s="57">
        <f>IFERROR(__xludf.DUMMYFUNCTION("""COMPUTED_VALUE"""),0.5679012345679013)</f>
        <v>0.5679012346</v>
      </c>
      <c r="V542" s="57">
        <f>IFERROR(__xludf.DUMMYFUNCTION("""COMPUTED_VALUE"""),1.0370370370370368)</f>
        <v>1.037037037</v>
      </c>
      <c r="W542" s="57">
        <f>IFERROR(__xludf.DUMMYFUNCTION("""COMPUTED_VALUE"""),2.716049382716049)</f>
        <v>2.716049383</v>
      </c>
      <c r="X542" s="31">
        <f>IFERROR(__xludf.DUMMYFUNCTION("""COMPUTED_VALUE"""),329.70387298646483)</f>
        <v>329.703873</v>
      </c>
      <c r="Y542" s="57">
        <f>IFERROR(__xludf.DUMMYFUNCTION("""COMPUTED_VALUE"""),0.7658575345436923)</f>
        <v>0.7658575345</v>
      </c>
      <c r="Z542" s="57">
        <f>IFERROR(__xludf.DUMMYFUNCTION("""COMPUTED_VALUE"""),0.5194727408252235)</f>
        <v>0.5194727408</v>
      </c>
      <c r="AA542" s="57">
        <f>IFERROR(__xludf.DUMMYFUNCTION("""COMPUTED_VALUE"""),1.1815952061477653)</f>
        <v>1.181595206</v>
      </c>
      <c r="AB542" s="57">
        <f>IFERROR(__xludf.DUMMYFUNCTION("""COMPUTED_VALUE"""),2.3611433994894777)</f>
        <v>2.361143399</v>
      </c>
      <c r="AC542" s="31">
        <f>IFERROR(__xludf.DUMMYFUNCTION("""COMPUTED_VALUE"""),334.2015306732185)</f>
        <v>334.2015307</v>
      </c>
      <c r="AD542" s="57">
        <f>IFERROR(__xludf.DUMMYFUNCTION("""COMPUTED_VALUE"""),0.7803342776712406)</f>
        <v>0.7803342777</v>
      </c>
      <c r="AE542" s="57">
        <f>IFERROR(__xludf.DUMMYFUNCTION("""COMPUTED_VALUE"""),0.5236454044818452)</f>
        <v>0.5236454045</v>
      </c>
      <c r="AF542" s="57">
        <f>IFERROR(__xludf.DUMMYFUNCTION("""COMPUTED_VALUE"""),1.200906341693134)</f>
        <v>1.200906342</v>
      </c>
      <c r="AG542" s="57">
        <f>IFERROR(__xludf.DUMMYFUNCTION("""COMPUTED_VALUE"""),2.4150604677857803)</f>
        <v>2.415060468</v>
      </c>
      <c r="AH542" s="57">
        <f>IFERROR(__xludf.DUMMYFUNCTION("""COMPUTED_VALUE"""),0.8363771343460157)</f>
        <v>0.8363771343</v>
      </c>
      <c r="AI542" s="57">
        <f>IFERROR(__xludf.DUMMYFUNCTION("""COMPUTED_VALUE"""),0.5695564800393037)</f>
        <v>0.56955648</v>
      </c>
      <c r="AJ542" s="57">
        <f>IFERROR(__xludf.DUMMYFUNCTION("""COMPUTED_VALUE"""),0.9194800094883187)</f>
        <v>0.9194800095</v>
      </c>
      <c r="AK542" s="57">
        <f>IFERROR(__xludf.DUMMYFUNCTION("""COMPUTED_VALUE"""),0.9869089237335661)</f>
        <v>0.9869089237</v>
      </c>
      <c r="AL542" s="57">
        <f>IFERROR(__xludf.DUMMYFUNCTION("""COMPUTED_VALUE"""),0.6594421190839757)</f>
        <v>0.6594421191</v>
      </c>
      <c r="AM542" s="57">
        <f>IFERROR(__xludf.DUMMYFUNCTION("""COMPUTED_VALUE"""),1.027034595873608)</f>
        <v>1.027034596</v>
      </c>
      <c r="AN542" s="57">
        <f>IFERROR(__xludf.DUMMYFUNCTION("""COMPUTED_VALUE"""),1.160645222898408)</f>
        <v>1.160645223</v>
      </c>
      <c r="AO542" s="57">
        <f>IFERROR(__xludf.DUMMYFUNCTION("""COMPUTED_VALUE"""),1.0932262464162128)</f>
        <v>1.093226246</v>
      </c>
      <c r="AP542" s="35">
        <f>IFERROR(__xludf.DUMMYFUNCTION("""COMPUTED_VALUE"""),0.8776584668263704)</f>
        <v>0.8776584668</v>
      </c>
      <c r="AQ542" s="57">
        <f>IFERROR(__xludf.DUMMYFUNCTION("""COMPUTED_VALUE"""),1.1503110667921772)</f>
        <v>1.150311067</v>
      </c>
      <c r="AR542" s="36" t="b">
        <f>IFERROR(__xludf.DUMMYFUNCTION("""COMPUTED_VALUE"""),TRUE)</f>
        <v>1</v>
      </c>
      <c r="AS542" s="57"/>
      <c r="AT542" s="37"/>
      <c r="AU542" s="30"/>
      <c r="AV542" s="30"/>
      <c r="AW542" s="30"/>
      <c r="AX542" s="30"/>
      <c r="AY542" s="30"/>
      <c r="AZ542" s="30"/>
    </row>
    <row r="543">
      <c r="A543" s="30" t="str">
        <f>IFERROR(__xludf.DUMMYFUNCTION("""COMPUTED_VALUE"""),"Prospect")</f>
        <v>Prospect</v>
      </c>
      <c r="B543" s="30" t="str">
        <f>IFERROR(__xludf.DUMMYFUNCTION("""COMPUTED_VALUE"""),"RSC005909")</f>
        <v>RSC005909</v>
      </c>
      <c r="C543" s="30" t="str">
        <f>IFERROR(__xludf.DUMMYFUNCTION("""COMPUTED_VALUE"""),"YadiCraft")</f>
        <v>YadiCraft</v>
      </c>
      <c r="D543" s="31"/>
      <c r="E543" s="31">
        <f>IFERROR(__xludf.DUMMYFUNCTION("""COMPUTED_VALUE"""),17.154809945424034)</f>
        <v>17.15480995</v>
      </c>
      <c r="F543" s="31">
        <f>IFERROR(__xludf.DUMMYFUNCTION("""COMPUTED_VALUE"""),-10.586998309191781)</f>
        <v>-10.58699831</v>
      </c>
      <c r="G543" s="31">
        <f>IFERROR(__xludf.DUMMYFUNCTION("""COMPUTED_VALUE"""),47.140875968954546)</f>
        <v>47.14087597</v>
      </c>
      <c r="H543" s="31">
        <f>IFERROR(__xludf.DUMMYFUNCTION("""COMPUTED_VALUE"""),-2.200344711609522)</f>
        <v>-2.200344712</v>
      </c>
      <c r="I543" s="54">
        <f>IFERROR(__xludf.DUMMYFUNCTION("""COMPUTED_VALUE"""),4.0)</f>
        <v>4</v>
      </c>
      <c r="J543" s="55">
        <f>IFERROR(__xludf.DUMMYFUNCTION("""COMPUTED_VALUE"""),2.0)</f>
        <v>2</v>
      </c>
      <c r="K543" s="54">
        <f>IFERROR(__xludf.DUMMYFUNCTION("""COMPUTED_VALUE"""),2.0)</f>
        <v>2</v>
      </c>
      <c r="L543" s="56">
        <f>IFERROR(__xludf.DUMMYFUNCTION("""COMPUTED_VALUE"""),0.5)</f>
        <v>0.5</v>
      </c>
      <c r="M543" s="56">
        <f>IFERROR(__xludf.DUMMYFUNCTION("""COMPUTED_VALUE"""),0.25)</f>
        <v>0.25</v>
      </c>
      <c r="N543" s="31">
        <f>IFERROR(__xludf.DUMMYFUNCTION("""COMPUTED_VALUE"""),305.5)</f>
        <v>305.5</v>
      </c>
      <c r="O543" s="57">
        <f>IFERROR(__xludf.DUMMYFUNCTION("""COMPUTED_VALUE"""),0.5)</f>
        <v>0.5</v>
      </c>
      <c r="P543" s="57">
        <f>IFERROR(__xludf.DUMMYFUNCTION("""COMPUTED_VALUE"""),0.25)</f>
        <v>0.25</v>
      </c>
      <c r="Q543" s="57">
        <f>IFERROR(__xludf.DUMMYFUNCTION("""COMPUTED_VALUE"""),1.75)</f>
        <v>1.75</v>
      </c>
      <c r="R543" s="57">
        <f>IFERROR(__xludf.DUMMYFUNCTION("""COMPUTED_VALUE"""),2.0)</f>
        <v>2</v>
      </c>
      <c r="S543" s="31">
        <f>IFERROR(__xludf.DUMMYFUNCTION("""COMPUTED_VALUE"""),286.5)</f>
        <v>286.5</v>
      </c>
      <c r="T543" s="57">
        <f>IFERROR(__xludf.DUMMYFUNCTION("""COMPUTED_VALUE"""),0.6666666666666667)</f>
        <v>0.6666666667</v>
      </c>
      <c r="U543" s="57">
        <f>IFERROR(__xludf.DUMMYFUNCTION("""COMPUTED_VALUE"""),0.5)</f>
        <v>0.5</v>
      </c>
      <c r="V543" s="57">
        <f>IFERROR(__xludf.DUMMYFUNCTION("""COMPUTED_VALUE"""),1.0)</f>
        <v>1</v>
      </c>
      <c r="W543" s="57">
        <f>IFERROR(__xludf.DUMMYFUNCTION("""COMPUTED_VALUE"""),2.166666666666667)</f>
        <v>2.166666667</v>
      </c>
      <c r="X543" s="31">
        <f>IFERROR(__xludf.DUMMYFUNCTION("""COMPUTED_VALUE"""),292.6103213166145)</f>
        <v>292.6103213</v>
      </c>
      <c r="Y543" s="57">
        <f>IFERROR(__xludf.DUMMYFUNCTION("""COMPUTED_VALUE"""),0.6043416927899687)</f>
        <v>0.6043416928</v>
      </c>
      <c r="Z543" s="57">
        <f>IFERROR(__xludf.DUMMYFUNCTION("""COMPUTED_VALUE"""),0.3980995297805643)</f>
        <v>0.3980995298</v>
      </c>
      <c r="AA543" s="57">
        <f>IFERROR(__xludf.DUMMYFUNCTION("""COMPUTED_VALUE"""),1.0992058516196448)</f>
        <v>1.099205852</v>
      </c>
      <c r="AB543" s="57">
        <f>IFERROR(__xludf.DUMMYFUNCTION("""COMPUTED_VALUE"""),1.9179754440961339)</f>
        <v>1.917975444</v>
      </c>
      <c r="AC543" s="31">
        <f>IFERROR(__xludf.DUMMYFUNCTION("""COMPUTED_VALUE"""),345.3427311912226)</f>
        <v>345.3427312</v>
      </c>
      <c r="AD543" s="57">
        <f>IFERROR(__xludf.DUMMYFUNCTION("""COMPUTED_VALUE"""),0.9278208812260534)</f>
        <v>0.9278208812</v>
      </c>
      <c r="AE543" s="57">
        <f>IFERROR(__xludf.DUMMYFUNCTION("""COMPUTED_VALUE"""),0.6116200801114594)</f>
        <v>0.6116200801</v>
      </c>
      <c r="AF543" s="57">
        <f>IFERROR(__xludf.DUMMYFUNCTION("""COMPUTED_VALUE"""),1.0101475966562172)</f>
        <v>1.010147597</v>
      </c>
      <c r="AG543" s="57">
        <f>IFERROR(__xludf.DUMMYFUNCTION("""COMPUTED_VALUE"""),2.6391932253570185)</f>
        <v>2.639193225</v>
      </c>
      <c r="AH543" s="57">
        <f>IFERROR(__xludf.DUMMYFUNCTION("""COMPUTED_VALUE"""),0.8846284354855556)</f>
        <v>0.8846284355</v>
      </c>
      <c r="AI543" s="57">
        <f>IFERROR(__xludf.DUMMYFUNCTION("""COMPUTED_VALUE"""),0.5388971191716264)</f>
        <v>0.5388971192</v>
      </c>
      <c r="AJ543" s="57">
        <f>IFERROR(__xludf.DUMMYFUNCTION("""COMPUTED_VALUE"""),0.4087504778365696)</f>
        <v>0.4087504778</v>
      </c>
      <c r="AK543" s="57">
        <f>IFERROR(__xludf.DUMMYFUNCTION("""COMPUTED_VALUE"""),1.7324200995902346)</f>
        <v>1.7324201</v>
      </c>
      <c r="AL543" s="57">
        <f>IFERROR(__xludf.DUMMYFUNCTION("""COMPUTED_VALUE"""),0.7578073408131945)</f>
        <v>0.7578073408</v>
      </c>
      <c r="AM543" s="57">
        <f>IFERROR(__xludf.DUMMYFUNCTION("""COMPUTED_VALUE"""),0.9791178886338636)</f>
        <v>0.9791178886</v>
      </c>
      <c r="AN543" s="57">
        <f>IFERROR(__xludf.DUMMYFUNCTION("""COMPUTED_VALUE"""),1.1031287012302133)</f>
        <v>1.103128701</v>
      </c>
      <c r="AO543" s="57">
        <f>IFERROR(__xludf.DUMMYFUNCTION("""COMPUTED_VALUE"""),1.2559673212264382)</f>
        <v>1.255967321</v>
      </c>
      <c r="AP543" s="35">
        <f>IFERROR(__xludf.DUMMYFUNCTION("""COMPUTED_VALUE"""),0.9097477042416867)</f>
        <v>0.9097477042</v>
      </c>
      <c r="AQ543" s="57">
        <f>IFERROR(__xludf.DUMMYFUNCTION("""COMPUTED_VALUE"""),1.1296634028011403)</f>
        <v>1.129663403</v>
      </c>
      <c r="AR543" s="36" t="b">
        <f>IFERROR(__xludf.DUMMYFUNCTION("""COMPUTED_VALUE"""),TRUE)</f>
        <v>1</v>
      </c>
      <c r="AS543" s="57"/>
      <c r="AT543" s="37"/>
      <c r="AU543" s="30"/>
      <c r="AV543" s="30"/>
      <c r="AW543" s="30"/>
      <c r="AX543" s="30"/>
      <c r="AY543" s="30"/>
      <c r="AZ543" s="30"/>
    </row>
    <row r="544">
      <c r="A544" s="30" t="str">
        <f>IFERROR(__xludf.DUMMYFUNCTION("""COMPUTED_VALUE"""),"Prospect")</f>
        <v>Prospect</v>
      </c>
      <c r="B544" s="30" t="str">
        <f>IFERROR(__xludf.DUMMYFUNCTION("""COMPUTED_VALUE"""),"RSC006416")</f>
        <v>RSC006416</v>
      </c>
      <c r="C544" s="30" t="str">
        <f>IFERROR(__xludf.DUMMYFUNCTION("""COMPUTED_VALUE"""),"StaRazor")</f>
        <v>StaRazor</v>
      </c>
      <c r="D544" s="31"/>
      <c r="E544" s="31">
        <f>IFERROR(__xludf.DUMMYFUNCTION("""COMPUTED_VALUE"""),9.813568762324024)</f>
        <v>9.813568762</v>
      </c>
      <c r="F544" s="31">
        <f>IFERROR(__xludf.DUMMYFUNCTION("""COMPUTED_VALUE"""),-18.526392205420635)</f>
        <v>-18.52639221</v>
      </c>
      <c r="G544" s="31">
        <f>IFERROR(__xludf.DUMMYFUNCTION("""COMPUTED_VALUE"""),31.480871243542925)</f>
        <v>31.48087124</v>
      </c>
      <c r="H544" s="31">
        <f>IFERROR(__xludf.DUMMYFUNCTION("""COMPUTED_VALUE"""),-4.358857321867055)</f>
        <v>-4.358857322</v>
      </c>
      <c r="I544" s="54">
        <f>IFERROR(__xludf.DUMMYFUNCTION("""COMPUTED_VALUE"""),15.0)</f>
        <v>15</v>
      </c>
      <c r="J544" s="55">
        <f>IFERROR(__xludf.DUMMYFUNCTION("""COMPUTED_VALUE"""),4.0)</f>
        <v>4</v>
      </c>
      <c r="K544" s="54">
        <f>IFERROR(__xludf.DUMMYFUNCTION("""COMPUTED_VALUE"""),11.0)</f>
        <v>11</v>
      </c>
      <c r="L544" s="56">
        <f>IFERROR(__xludf.DUMMYFUNCTION("""COMPUTED_VALUE"""),0.26666666666666666)</f>
        <v>0.2666666667</v>
      </c>
      <c r="M544" s="56">
        <f>IFERROR(__xludf.DUMMYFUNCTION("""COMPUTED_VALUE"""),0.35294117647058826)</f>
        <v>0.3529411765</v>
      </c>
      <c r="N544" s="31">
        <f>IFERROR(__xludf.DUMMYFUNCTION("""COMPUTED_VALUE"""),273.26666666666665)</f>
        <v>273.2666667</v>
      </c>
      <c r="O544" s="57">
        <f>IFERROR(__xludf.DUMMYFUNCTION("""COMPUTED_VALUE"""),0.4)</f>
        <v>0.4</v>
      </c>
      <c r="P544" s="57">
        <f>IFERROR(__xludf.DUMMYFUNCTION("""COMPUTED_VALUE"""),0.4)</f>
        <v>0.4</v>
      </c>
      <c r="Q544" s="57">
        <f>IFERROR(__xludf.DUMMYFUNCTION("""COMPUTED_VALUE"""),1.2666666666666666)</f>
        <v>1.266666667</v>
      </c>
      <c r="R544" s="57">
        <f>IFERROR(__xludf.DUMMYFUNCTION("""COMPUTED_VALUE"""),1.1333333333333333)</f>
        <v>1.133333333</v>
      </c>
      <c r="S544" s="31">
        <f>IFERROR(__xludf.DUMMYFUNCTION("""COMPUTED_VALUE"""),342.3777777777778)</f>
        <v>342.3777778</v>
      </c>
      <c r="T544" s="57">
        <f>IFERROR(__xludf.DUMMYFUNCTION("""COMPUTED_VALUE"""),1.0000000000000002)</f>
        <v>1</v>
      </c>
      <c r="U544" s="57">
        <f>IFERROR(__xludf.DUMMYFUNCTION("""COMPUTED_VALUE"""),0.6222222222222222)</f>
        <v>0.6222222222</v>
      </c>
      <c r="V544" s="57">
        <f>IFERROR(__xludf.DUMMYFUNCTION("""COMPUTED_VALUE"""),0.8666666666666666)</f>
        <v>0.8666666667</v>
      </c>
      <c r="W544" s="57">
        <f>IFERROR(__xludf.DUMMYFUNCTION("""COMPUTED_VALUE"""),2.555555555555555)</f>
        <v>2.555555556</v>
      </c>
      <c r="X544" s="31">
        <f>IFERROR(__xludf.DUMMYFUNCTION("""COMPUTED_VALUE"""),333.5681301282212)</f>
        <v>333.5681301</v>
      </c>
      <c r="Y544" s="57">
        <f>IFERROR(__xludf.DUMMYFUNCTION("""COMPUTED_VALUE"""),0.739777040829103)</f>
        <v>0.7397770408</v>
      </c>
      <c r="Z544" s="57">
        <f>IFERROR(__xludf.DUMMYFUNCTION("""COMPUTED_VALUE"""),0.6264739357838299)</f>
        <v>0.6264739358</v>
      </c>
      <c r="AA544" s="57">
        <f>IFERROR(__xludf.DUMMYFUNCTION("""COMPUTED_VALUE"""),1.190115851010149)</f>
        <v>1.190115851</v>
      </c>
      <c r="AB544" s="57">
        <f>IFERROR(__xludf.DUMMYFUNCTION("""COMPUTED_VALUE"""),2.4005409727961)</f>
        <v>2.400540973</v>
      </c>
      <c r="AC544" s="31">
        <f>IFERROR(__xludf.DUMMYFUNCTION("""COMPUTED_VALUE"""),338.5766308957002)</f>
        <v>338.5766309</v>
      </c>
      <c r="AD544" s="57">
        <f>IFERROR(__xludf.DUMMYFUNCTION("""COMPUTED_VALUE"""),0.797894667524147)</f>
        <v>0.7978946675</v>
      </c>
      <c r="AE544" s="57">
        <f>IFERROR(__xludf.DUMMYFUNCTION("""COMPUTED_VALUE"""),0.5312182006203493)</f>
        <v>0.5312182006</v>
      </c>
      <c r="AF544" s="57">
        <f>IFERROR(__xludf.DUMMYFUNCTION("""COMPUTED_VALUE"""),1.275831668961261)</f>
        <v>1.275831669</v>
      </c>
      <c r="AG544" s="57">
        <f>IFERROR(__xludf.DUMMYFUNCTION("""COMPUTED_VALUE"""),2.3556047453354947)</f>
        <v>2.355604745</v>
      </c>
      <c r="AH544" s="57">
        <f>IFERROR(__xludf.DUMMYFUNCTION("""COMPUTED_VALUE"""),0.8071043354166032)</f>
        <v>0.8071043354</v>
      </c>
      <c r="AI544" s="57">
        <f>IFERROR(__xludf.DUMMYFUNCTION("""COMPUTED_VALUE"""),0.5013193047663709)</f>
        <v>0.5013193048</v>
      </c>
      <c r="AJ544" s="57">
        <f>IFERROR(__xludf.DUMMYFUNCTION("""COMPUTED_VALUE"""),0.7529862484622807)</f>
        <v>0.7529862485</v>
      </c>
      <c r="AK544" s="57">
        <f>IFERROR(__xludf.DUMMYFUNCTION("""COMPUTED_VALUE"""),0.9928164486604599)</f>
        <v>0.9928164487</v>
      </c>
      <c r="AL544" s="57">
        <f>IFERROR(__xludf.DUMMYFUNCTION("""COMPUTED_VALUE"""),0.4811220284631917)</f>
        <v>0.4811220285</v>
      </c>
      <c r="AM544" s="57">
        <f>IFERROR(__xludf.DUMMYFUNCTION("""COMPUTED_VALUE"""),1.0264103397592876)</f>
        <v>1.02641034</v>
      </c>
      <c r="AN544" s="57">
        <f>IFERROR(__xludf.DUMMYFUNCTION("""COMPUTED_VALUE"""),1.3517586310589649)</f>
        <v>1.351758631</v>
      </c>
      <c r="AO544" s="57">
        <f>IFERROR(__xludf.DUMMYFUNCTION("""COMPUTED_VALUE"""),0.9932132634436132)</f>
        <v>0.9932132634</v>
      </c>
      <c r="AP544" s="35">
        <f>IFERROR(__xludf.DUMMYFUNCTION("""COMPUTED_VALUE"""),0.7282204215085913)</f>
        <v>0.7282204215</v>
      </c>
      <c r="AQ544" s="57">
        <f>IFERROR(__xludf.DUMMYFUNCTION("""COMPUTED_VALUE"""),1.064574853966728)</f>
        <v>1.064574854</v>
      </c>
      <c r="AR544" s="36" t="b">
        <f>IFERROR(__xludf.DUMMYFUNCTION("""COMPUTED_VALUE"""),TRUE)</f>
        <v>1</v>
      </c>
      <c r="AS544" s="57"/>
      <c r="AT544" s="37"/>
      <c r="AU544" s="30"/>
      <c r="AV544" s="30"/>
      <c r="AW544" s="30"/>
      <c r="AX544" s="30"/>
      <c r="AY544" s="30"/>
      <c r="AZ544" s="30"/>
    </row>
    <row r="545">
      <c r="A545" s="30" t="str">
        <f>IFERROR(__xludf.DUMMYFUNCTION("""COMPUTED_VALUE"""),"Prospect")</f>
        <v>Prospect</v>
      </c>
      <c r="B545" s="30" t="str">
        <f>IFERROR(__xludf.DUMMYFUNCTION("""COMPUTED_VALUE"""),"RSC004879")</f>
        <v>RSC004879</v>
      </c>
      <c r="C545" s="30" t="str">
        <f>IFERROR(__xludf.DUMMYFUNCTION("""COMPUTED_VALUE"""),"DefNotMongo.")</f>
        <v>DefNotMongo.</v>
      </c>
      <c r="D545" s="31" t="str">
        <f>IFERROR(__xludf.DUMMYFUNCTION("""COMPUTED_VALUE"""),"Khans")</f>
        <v>Khans</v>
      </c>
      <c r="E545" s="31">
        <f>IFERROR(__xludf.DUMMYFUNCTION("""COMPUTED_VALUE"""),6.148420394321903)</f>
        <v>6.148420394</v>
      </c>
      <c r="F545" s="31">
        <f>IFERROR(__xludf.DUMMYFUNCTION("""COMPUTED_VALUE"""),-25.182674759542337)</f>
        <v>-25.18267476</v>
      </c>
      <c r="G545" s="31">
        <f>IFERROR(__xludf.DUMMYFUNCTION("""COMPUTED_VALUE"""),25.1497437244071)</f>
        <v>25.14974372</v>
      </c>
      <c r="H545" s="31">
        <f>IFERROR(__xludf.DUMMYFUNCTION("""COMPUTED_VALUE"""),-6.245747488822968)</f>
        <v>-6.245747489</v>
      </c>
      <c r="I545" s="54">
        <f>IFERROR(__xludf.DUMMYFUNCTION("""COMPUTED_VALUE"""),8.0)</f>
        <v>8</v>
      </c>
      <c r="J545" s="55">
        <f>IFERROR(__xludf.DUMMYFUNCTION("""COMPUTED_VALUE"""),2.0)</f>
        <v>2</v>
      </c>
      <c r="K545" s="54">
        <f>IFERROR(__xludf.DUMMYFUNCTION("""COMPUTED_VALUE"""),6.0)</f>
        <v>6</v>
      </c>
      <c r="L545" s="56">
        <f>IFERROR(__xludf.DUMMYFUNCTION("""COMPUTED_VALUE"""),0.25)</f>
        <v>0.25</v>
      </c>
      <c r="M545" s="56">
        <f>IFERROR(__xludf.DUMMYFUNCTION("""COMPUTED_VALUE"""),0.16666666666666666)</f>
        <v>0.1666666667</v>
      </c>
      <c r="N545" s="31">
        <f>IFERROR(__xludf.DUMMYFUNCTION("""COMPUTED_VALUE"""),284.625)</f>
        <v>284.625</v>
      </c>
      <c r="O545" s="57">
        <f>IFERROR(__xludf.DUMMYFUNCTION("""COMPUTED_VALUE"""),0.125)</f>
        <v>0.125</v>
      </c>
      <c r="P545" s="57">
        <f>IFERROR(__xludf.DUMMYFUNCTION("""COMPUTED_VALUE"""),0.75)</f>
        <v>0.75</v>
      </c>
      <c r="Q545" s="57">
        <f>IFERROR(__xludf.DUMMYFUNCTION("""COMPUTED_VALUE"""),1.875)</f>
        <v>1.875</v>
      </c>
      <c r="R545" s="57">
        <f>IFERROR(__xludf.DUMMYFUNCTION("""COMPUTED_VALUE"""),0.75)</f>
        <v>0.75</v>
      </c>
      <c r="S545" s="31">
        <f>IFERROR(__xludf.DUMMYFUNCTION("""COMPUTED_VALUE"""),350.0)</f>
        <v>350</v>
      </c>
      <c r="T545" s="57">
        <f>IFERROR(__xludf.DUMMYFUNCTION("""COMPUTED_VALUE"""),1.0416666666666667)</f>
        <v>1.041666667</v>
      </c>
      <c r="U545" s="57">
        <f>IFERROR(__xludf.DUMMYFUNCTION("""COMPUTED_VALUE"""),0.6666666666666665)</f>
        <v>0.6666666667</v>
      </c>
      <c r="V545" s="57">
        <f>IFERROR(__xludf.DUMMYFUNCTION("""COMPUTED_VALUE"""),1.0)</f>
        <v>1</v>
      </c>
      <c r="W545" s="57">
        <f>IFERROR(__xludf.DUMMYFUNCTION("""COMPUTED_VALUE"""),3.041666666666667)</f>
        <v>3.041666667</v>
      </c>
      <c r="X545" s="31">
        <f>IFERROR(__xludf.DUMMYFUNCTION("""COMPUTED_VALUE"""),331.9756216931217)</f>
        <v>331.9756217</v>
      </c>
      <c r="Y545" s="57">
        <f>IFERROR(__xludf.DUMMYFUNCTION("""COMPUTED_VALUE"""),0.8252906352906353)</f>
        <v>0.8252906353</v>
      </c>
      <c r="Z545" s="57">
        <f>IFERROR(__xludf.DUMMYFUNCTION("""COMPUTED_VALUE"""),0.49903864653864655)</f>
        <v>0.4990386465</v>
      </c>
      <c r="AA545" s="57">
        <f>IFERROR(__xludf.DUMMYFUNCTION("""COMPUTED_VALUE"""),1.0814983164983165)</f>
        <v>1.081498316</v>
      </c>
      <c r="AB545" s="57">
        <f>IFERROR(__xludf.DUMMYFUNCTION("""COMPUTED_VALUE"""),2.5328062215562217)</f>
        <v>2.532806222</v>
      </c>
      <c r="AC545" s="31">
        <f>IFERROR(__xludf.DUMMYFUNCTION("""COMPUTED_VALUE"""),327.35955897497564)</f>
        <v>327.359559</v>
      </c>
      <c r="AD545" s="57">
        <f>IFERROR(__xludf.DUMMYFUNCTION("""COMPUTED_VALUE"""),0.7291125386958719)</f>
        <v>0.7291125387</v>
      </c>
      <c r="AE545" s="57">
        <f>IFERROR(__xludf.DUMMYFUNCTION("""COMPUTED_VALUE"""),0.48139709056375724)</f>
        <v>0.4813970906</v>
      </c>
      <c r="AF545" s="57">
        <f>IFERROR(__xludf.DUMMYFUNCTION("""COMPUTED_VALUE"""),1.2883635500302166)</f>
        <v>1.28836355</v>
      </c>
      <c r="AG545" s="57">
        <f>IFERROR(__xludf.DUMMYFUNCTION("""COMPUTED_VALUE"""),2.17802680344347)</f>
        <v>2.178026803</v>
      </c>
      <c r="AH545" s="57">
        <f>IFERROR(__xludf.DUMMYFUNCTION("""COMPUTED_VALUE"""),0.8694568165084728)</f>
        <v>0.8694568165</v>
      </c>
      <c r="AI545" s="57">
        <f>IFERROR(__xludf.DUMMYFUNCTION("""COMPUTED_VALUE"""),0.17144129796969534)</f>
        <v>0.171441298</v>
      </c>
      <c r="AJ545" s="57">
        <f>IFERROR(__xludf.DUMMYFUNCTION("""COMPUTED_VALUE"""),1.5579653776504667)</f>
        <v>1.557965378</v>
      </c>
      <c r="AK545" s="57">
        <f>IFERROR(__xludf.DUMMYFUNCTION("""COMPUTED_VALUE"""),1.4553345598422314)</f>
        <v>1.45533456</v>
      </c>
      <c r="AL545" s="57">
        <f>IFERROR(__xludf.DUMMYFUNCTION("""COMPUTED_VALUE"""),0.34434837937450846)</f>
        <v>0.3443483794</v>
      </c>
      <c r="AM545" s="57">
        <f>IFERROR(__xludf.DUMMYFUNCTION("""COMPUTED_VALUE"""),1.0542942828601434)</f>
        <v>1.054294283</v>
      </c>
      <c r="AN545" s="57">
        <f>IFERROR(__xludf.DUMMYFUNCTION("""COMPUTED_VALUE"""),1.2621816147227118)</f>
        <v>1.262181615</v>
      </c>
      <c r="AO545" s="57">
        <f>IFERROR(__xludf.DUMMYFUNCTION("""COMPUTED_VALUE"""),1.3359018811282355)</f>
        <v>1.335901881</v>
      </c>
      <c r="AP545" s="35">
        <f>IFERROR(__xludf.DUMMYFUNCTION("""COMPUTED_VALUE"""),0.9246431406734017)</f>
        <v>0.9246431407</v>
      </c>
      <c r="AQ545" s="57">
        <f>IFERROR(__xludf.DUMMYFUNCTION("""COMPUTED_VALUE"""),1.2009077681425577)</f>
        <v>1.200907768</v>
      </c>
      <c r="AR545" s="36" t="b">
        <f>IFERROR(__xludf.DUMMYFUNCTION("""COMPUTED_VALUE"""),TRUE)</f>
        <v>1</v>
      </c>
      <c r="AS545" s="57"/>
      <c r="AT545" s="37"/>
      <c r="AU545" s="30"/>
      <c r="AV545" s="30"/>
      <c r="AW545" s="30"/>
      <c r="AX545" s="30"/>
      <c r="AY545" s="30"/>
      <c r="AZ545" s="30"/>
    </row>
    <row r="546">
      <c r="A546" s="30" t="str">
        <f>IFERROR(__xludf.DUMMYFUNCTION("""COMPUTED_VALUE"""),"Prospect")</f>
        <v>Prospect</v>
      </c>
      <c r="B546" s="30" t="str">
        <f>IFERROR(__xludf.DUMMYFUNCTION("""COMPUTED_VALUE"""),"RSC007929")</f>
        <v>RSC007929</v>
      </c>
      <c r="C546" s="30" t="str">
        <f>IFERROR(__xludf.DUMMYFUNCTION("""COMPUTED_VALUE"""),"Leaux Mane")</f>
        <v>Leaux Mane</v>
      </c>
      <c r="D546" s="31" t="str">
        <f>IFERROR(__xludf.DUMMYFUNCTION("""COMPUTED_VALUE"""),"Blacktips")</f>
        <v>Blacktips</v>
      </c>
      <c r="E546" s="31">
        <f>IFERROR(__xludf.DUMMYFUNCTION("""COMPUTED_VALUE"""),4.098077579878598)</f>
        <v>4.09807758</v>
      </c>
      <c r="F546" s="31">
        <f>IFERROR(__xludf.DUMMYFUNCTION("""COMPUTED_VALUE"""),-30.14486810435867)</f>
        <v>-30.1448681</v>
      </c>
      <c r="G546" s="31">
        <f>IFERROR(__xludf.DUMMYFUNCTION("""COMPUTED_VALUE"""),20.0916568429606)</f>
        <v>20.09165684</v>
      </c>
      <c r="H546" s="31">
        <f>IFERROR(__xludf.DUMMYFUNCTION("""COMPUTED_VALUE"""),-8.636833367301325)</f>
        <v>-8.636833367</v>
      </c>
      <c r="I546" s="54">
        <f>IFERROR(__xludf.DUMMYFUNCTION("""COMPUTED_VALUE"""),4.0)</f>
        <v>4</v>
      </c>
      <c r="J546" s="55">
        <f>IFERROR(__xludf.DUMMYFUNCTION("""COMPUTED_VALUE"""),0.0)</f>
        <v>0</v>
      </c>
      <c r="K546" s="54">
        <f>IFERROR(__xludf.DUMMYFUNCTION("""COMPUTED_VALUE"""),4.0)</f>
        <v>4</v>
      </c>
      <c r="L546" s="56">
        <f>IFERROR(__xludf.DUMMYFUNCTION("""COMPUTED_VALUE"""),0.0)</f>
        <v>0</v>
      </c>
      <c r="M546" s="56">
        <f>IFERROR(__xludf.DUMMYFUNCTION("""COMPUTED_VALUE"""),0.4)</f>
        <v>0.4</v>
      </c>
      <c r="N546" s="31">
        <f>IFERROR(__xludf.DUMMYFUNCTION("""COMPUTED_VALUE"""),281.75)</f>
        <v>281.75</v>
      </c>
      <c r="O546" s="57">
        <f>IFERROR(__xludf.DUMMYFUNCTION("""COMPUTED_VALUE"""),0.5)</f>
        <v>0.5</v>
      </c>
      <c r="P546" s="57">
        <f>IFERROR(__xludf.DUMMYFUNCTION("""COMPUTED_VALUE"""),0.25)</f>
        <v>0.25</v>
      </c>
      <c r="Q546" s="57">
        <f>IFERROR(__xludf.DUMMYFUNCTION("""COMPUTED_VALUE"""),1.5)</f>
        <v>1.5</v>
      </c>
      <c r="R546" s="57">
        <f>IFERROR(__xludf.DUMMYFUNCTION("""COMPUTED_VALUE"""),1.25)</f>
        <v>1.25</v>
      </c>
      <c r="S546" s="31">
        <f>IFERROR(__xludf.DUMMYFUNCTION("""COMPUTED_VALUE"""),367.9166666666667)</f>
        <v>367.9166667</v>
      </c>
      <c r="T546" s="57">
        <f>IFERROR(__xludf.DUMMYFUNCTION("""COMPUTED_VALUE"""),1.0833333333333333)</f>
        <v>1.083333333</v>
      </c>
      <c r="U546" s="57">
        <f>IFERROR(__xludf.DUMMYFUNCTION("""COMPUTED_VALUE"""),0.9166666666666666)</f>
        <v>0.9166666667</v>
      </c>
      <c r="V546" s="57">
        <f>IFERROR(__xludf.DUMMYFUNCTION("""COMPUTED_VALUE"""),0.5833333333333334)</f>
        <v>0.5833333333</v>
      </c>
      <c r="W546" s="57">
        <f>IFERROR(__xludf.DUMMYFUNCTION("""COMPUTED_VALUE"""),3.25)</f>
        <v>3.25</v>
      </c>
      <c r="X546" s="31">
        <f>IFERROR(__xludf.DUMMYFUNCTION("""COMPUTED_VALUE"""),348.71406024531024)</f>
        <v>348.7140602</v>
      </c>
      <c r="Y546" s="57">
        <f>IFERROR(__xludf.DUMMYFUNCTION("""COMPUTED_VALUE"""),0.8121392496392495)</f>
        <v>0.8121392496</v>
      </c>
      <c r="Z546" s="57">
        <f>IFERROR(__xludf.DUMMYFUNCTION("""COMPUTED_VALUE"""),0.5985299422799423)</f>
        <v>0.5985299423</v>
      </c>
      <c r="AA546" s="57">
        <f>IFERROR(__xludf.DUMMYFUNCTION("""COMPUTED_VALUE"""),1.324179292929293)</f>
        <v>1.324179293</v>
      </c>
      <c r="AB546" s="57">
        <f>IFERROR(__xludf.DUMMYFUNCTION("""COMPUTED_VALUE"""),2.495986652236652)</f>
        <v>2.495986652</v>
      </c>
      <c r="AC546" s="31">
        <f>IFERROR(__xludf.DUMMYFUNCTION("""COMPUTED_VALUE"""),338.59771825396825)</f>
        <v>338.5977183</v>
      </c>
      <c r="AD546" s="57">
        <f>IFERROR(__xludf.DUMMYFUNCTION("""COMPUTED_VALUE"""),0.720448532948533)</f>
        <v>0.7204485329</v>
      </c>
      <c r="AE546" s="57">
        <f>IFERROR(__xludf.DUMMYFUNCTION("""COMPUTED_VALUE"""),0.510431697931698)</f>
        <v>0.5104316979</v>
      </c>
      <c r="AF546" s="57">
        <f>IFERROR(__xludf.DUMMYFUNCTION("""COMPUTED_VALUE"""),1.3095388407888406)</f>
        <v>1.309538841</v>
      </c>
      <c r="AG546" s="57">
        <f>IFERROR(__xludf.DUMMYFUNCTION("""COMPUTED_VALUE"""),2.4131794131794138)</f>
        <v>2.413179413</v>
      </c>
      <c r="AH546" s="57">
        <f>IFERROR(__xludf.DUMMYFUNCTION("""COMPUTED_VALUE"""),0.8321083835203842)</f>
        <v>0.8321083835</v>
      </c>
      <c r="AI546" s="57">
        <f>IFERROR(__xludf.DUMMYFUNCTION("""COMPUTED_VALUE"""),0.6940121009805967)</f>
        <v>0.694012101</v>
      </c>
      <c r="AJ546" s="57">
        <f>IFERROR(__xludf.DUMMYFUNCTION("""COMPUTED_VALUE"""),0.48978149478767885)</f>
        <v>0.4897814948</v>
      </c>
      <c r="AK546" s="57">
        <f>IFERROR(__xludf.DUMMYFUNCTION("""COMPUTED_VALUE"""),1.1454413975964464)</f>
        <v>1.145441398</v>
      </c>
      <c r="AL546" s="57">
        <f>IFERROR(__xludf.DUMMYFUNCTION("""COMPUTED_VALUE"""),0.5179888379509666)</f>
        <v>0.517988838</v>
      </c>
      <c r="AM546" s="57">
        <f>IFERROR(__xludf.DUMMYFUNCTION("""COMPUTED_VALUE"""),1.055066911864259)</f>
        <v>1.055066912</v>
      </c>
      <c r="AN546" s="57">
        <f>IFERROR(__xludf.DUMMYFUNCTION("""COMPUTED_VALUE"""),1.3339255968906163)</f>
        <v>1.333925597</v>
      </c>
      <c r="AO546" s="57">
        <f>IFERROR(__xludf.DUMMYFUNCTION("""COMPUTED_VALUE"""),1.5315301740375198)</f>
        <v>1.531530174</v>
      </c>
      <c r="AP546" s="35">
        <f>IFERROR(__xludf.DUMMYFUNCTION("""COMPUTED_VALUE"""),0.4405244338498212)</f>
        <v>0.4405244338</v>
      </c>
      <c r="AQ546" s="57">
        <f>IFERROR(__xludf.DUMMYFUNCTION("""COMPUTED_VALUE"""),1.3020902964716086)</f>
        <v>1.302090296</v>
      </c>
      <c r="AR546" s="36" t="b">
        <f>IFERROR(__xludf.DUMMYFUNCTION("""COMPUTED_VALUE"""),TRUE)</f>
        <v>1</v>
      </c>
      <c r="AS546" s="57"/>
      <c r="AT546" s="37"/>
      <c r="AU546" s="30"/>
      <c r="AV546" s="30"/>
      <c r="AW546" s="30"/>
      <c r="AX546" s="30"/>
      <c r="AY546" s="30"/>
      <c r="AZ546" s="30"/>
    </row>
    <row r="547">
      <c r="A547" s="30" t="str">
        <f>IFERROR(__xludf.DUMMYFUNCTION("""COMPUTED_VALUE"""),"Prospect")</f>
        <v>Prospect</v>
      </c>
      <c r="B547" s="30" t="str">
        <f>IFERROR(__xludf.DUMMYFUNCTION("""COMPUTED_VALUE"""),"RSC005252")</f>
        <v>RSC005252</v>
      </c>
      <c r="C547" s="30" t="str">
        <f>IFERROR(__xludf.DUMMYFUNCTION("""COMPUTED_VALUE"""),"MysticMax07")</f>
        <v>MysticMax07</v>
      </c>
      <c r="D547" s="31"/>
      <c r="E547" s="31">
        <f>IFERROR(__xludf.DUMMYFUNCTION("""COMPUTED_VALUE"""),-24.6877984876444)</f>
        <v>-24.68779849</v>
      </c>
      <c r="F547" s="31">
        <f>IFERROR(__xludf.DUMMYFUNCTION("""COMPUTED_VALUE"""),-711.0901041821193)</f>
        <v>-711.0901042</v>
      </c>
      <c r="G547" s="31">
        <f>IFERROR(__xludf.DUMMYFUNCTION("""COMPUTED_VALUE"""),-7.801763444499954)</f>
        <v>-7.801763444</v>
      </c>
      <c r="H547" s="31">
        <f>IFERROR(__xludf.DUMMYFUNCTION("""COMPUTED_VALUE"""),-96.2751322433942)</f>
        <v>-96.27513224</v>
      </c>
      <c r="I547" s="54">
        <f>IFERROR(__xludf.DUMMYFUNCTION("""COMPUTED_VALUE"""),2.0)</f>
        <v>2</v>
      </c>
      <c r="J547" s="55">
        <f>IFERROR(__xludf.DUMMYFUNCTION("""COMPUTED_VALUE"""),0.0)</f>
        <v>0</v>
      </c>
      <c r="K547" s="54">
        <f>IFERROR(__xludf.DUMMYFUNCTION("""COMPUTED_VALUE"""),2.0)</f>
        <v>2</v>
      </c>
      <c r="L547" s="56">
        <f>IFERROR(__xludf.DUMMYFUNCTION("""COMPUTED_VALUE"""),0.0)</f>
        <v>0</v>
      </c>
      <c r="M547" s="56">
        <f>IFERROR(__xludf.DUMMYFUNCTION("""COMPUTED_VALUE"""),0.0)</f>
        <v>0</v>
      </c>
      <c r="N547" s="31">
        <f>IFERROR(__xludf.DUMMYFUNCTION("""COMPUTED_VALUE"""),151.0)</f>
        <v>151</v>
      </c>
      <c r="O547" s="57">
        <f>IFERROR(__xludf.DUMMYFUNCTION("""COMPUTED_VALUE"""),0.0)</f>
        <v>0</v>
      </c>
      <c r="P547" s="57">
        <f>IFERROR(__xludf.DUMMYFUNCTION("""COMPUTED_VALUE"""),0.0)</f>
        <v>0</v>
      </c>
      <c r="Q547" s="57">
        <f>IFERROR(__xludf.DUMMYFUNCTION("""COMPUTED_VALUE"""),0.5)</f>
        <v>0.5</v>
      </c>
      <c r="R547" s="57">
        <f>IFERROR(__xludf.DUMMYFUNCTION("""COMPUTED_VALUE"""),1.0)</f>
        <v>1</v>
      </c>
      <c r="S547" s="31">
        <f>IFERROR(__xludf.DUMMYFUNCTION("""COMPUTED_VALUE"""),347.33333333333337)</f>
        <v>347.3333333</v>
      </c>
      <c r="T547" s="57">
        <f>IFERROR(__xludf.DUMMYFUNCTION("""COMPUTED_VALUE"""),0.8333333333333333)</f>
        <v>0.8333333333</v>
      </c>
      <c r="U547" s="57">
        <f>IFERROR(__xludf.DUMMYFUNCTION("""COMPUTED_VALUE"""),0.6666666666666666)</f>
        <v>0.6666666667</v>
      </c>
      <c r="V547" s="57">
        <f>IFERROR(__xludf.DUMMYFUNCTION("""COMPUTED_VALUE"""),1.1666666666666665)</f>
        <v>1.166666667</v>
      </c>
      <c r="W547" s="57">
        <f>IFERROR(__xludf.DUMMYFUNCTION("""COMPUTED_VALUE"""),2.0)</f>
        <v>2</v>
      </c>
      <c r="X547" s="31">
        <f>IFERROR(__xludf.DUMMYFUNCTION("""COMPUTED_VALUE"""),366.0266203703704)</f>
        <v>366.0266204</v>
      </c>
      <c r="Y547" s="57">
        <f>IFERROR(__xludf.DUMMYFUNCTION("""COMPUTED_VALUE"""),0.9664351851851851)</f>
        <v>0.9664351852</v>
      </c>
      <c r="Z547" s="57">
        <f>IFERROR(__xludf.DUMMYFUNCTION("""COMPUTED_VALUE"""),0.6412037037037037)</f>
        <v>0.6412037037</v>
      </c>
      <c r="AA547" s="57">
        <f>IFERROR(__xludf.DUMMYFUNCTION("""COMPUTED_VALUE"""),1.1261574074074074)</f>
        <v>1.126157407</v>
      </c>
      <c r="AB547" s="57">
        <f>IFERROR(__xludf.DUMMYFUNCTION("""COMPUTED_VALUE"""),2.5555555555555554)</f>
        <v>2.555555556</v>
      </c>
      <c r="AC547" s="31">
        <f>IFERROR(__xludf.DUMMYFUNCTION("""COMPUTED_VALUE"""),310.48032407407413)</f>
        <v>310.4803241</v>
      </c>
      <c r="AD547" s="57">
        <f>IFERROR(__xludf.DUMMYFUNCTION("""COMPUTED_VALUE"""),0.6300154320987655)</f>
        <v>0.6300154321</v>
      </c>
      <c r="AE547" s="57">
        <f>IFERROR(__xludf.DUMMYFUNCTION("""COMPUTED_VALUE"""),0.4537037037037037)</f>
        <v>0.4537037037</v>
      </c>
      <c r="AF547" s="57">
        <f>IFERROR(__xludf.DUMMYFUNCTION("""COMPUTED_VALUE"""),1.1620370370370368)</f>
        <v>1.162037037</v>
      </c>
      <c r="AG547" s="57">
        <f>IFERROR(__xludf.DUMMYFUNCTION("""COMPUTED_VALUE"""),2.1504629629629632)</f>
        <v>2.150462963</v>
      </c>
      <c r="AH547" s="57">
        <f>IFERROR(__xludf.DUMMYFUNCTION("""COMPUTED_VALUE"""),0.4863432182065571)</f>
        <v>0.4863432182</v>
      </c>
      <c r="AI547" s="57">
        <f>IFERROR(__xludf.DUMMYFUNCTION("""COMPUTED_VALUE"""),0.0)</f>
        <v>0</v>
      </c>
      <c r="AJ547" s="57">
        <f>IFERROR(__xludf.DUMMYFUNCTION("""COMPUTED_VALUE"""),0.0)</f>
        <v>0</v>
      </c>
      <c r="AK547" s="57">
        <f>IFERROR(__xludf.DUMMYFUNCTION("""COMPUTED_VALUE"""),0.4302788844621515)</f>
        <v>0.4302788845</v>
      </c>
      <c r="AL547" s="57">
        <f>IFERROR(__xludf.DUMMYFUNCTION("""COMPUTED_VALUE"""),0.46501614639397193)</f>
        <v>0.4650161464</v>
      </c>
      <c r="AM547" s="57">
        <f>IFERROR(__xludf.DUMMYFUNCTION("""COMPUTED_VALUE"""),0.9489291598023065)</f>
        <v>0.9489291598</v>
      </c>
      <c r="AN547" s="57">
        <f>IFERROR(__xludf.DUMMYFUNCTION("""COMPUTED_VALUE"""),0.8622754491017964)</f>
        <v>0.8622754491</v>
      </c>
      <c r="AO547" s="57">
        <f>IFERROR(__xludf.DUMMYFUNCTION("""COMPUTED_VALUE"""),1.03971119133574)</f>
        <v>1.039711191</v>
      </c>
      <c r="AP547" s="35">
        <f>IFERROR(__xludf.DUMMYFUNCTION("""COMPUTED_VALUE"""),1.0359712230215825)</f>
        <v>1.035971223</v>
      </c>
      <c r="AQ547" s="57">
        <f>IFERROR(__xludf.DUMMYFUNCTION("""COMPUTED_VALUE"""),0.782608695652174)</f>
        <v>0.7826086957</v>
      </c>
      <c r="AR547" s="36" t="b">
        <f>IFERROR(__xludf.DUMMYFUNCTION("""COMPUTED_VALUE"""),TRUE)</f>
        <v>1</v>
      </c>
      <c r="AS547" s="57"/>
      <c r="AT547" s="37"/>
      <c r="AU547" s="30"/>
      <c r="AV547" s="30"/>
      <c r="AW547" s="30"/>
      <c r="AX547" s="30"/>
      <c r="AY547" s="30"/>
      <c r="AZ547" s="30"/>
    </row>
    <row r="548">
      <c r="A548" s="30" t="str">
        <f>IFERROR(__xludf.DUMMYFUNCTION("""COMPUTED_VALUE"""),"Prospect")</f>
        <v>Prospect</v>
      </c>
      <c r="B548" s="30" t="str">
        <f>IFERROR(__xludf.DUMMYFUNCTION("""COMPUTED_VALUE"""),"RSC008002")</f>
        <v>RSC008002</v>
      </c>
      <c r="C548" s="30" t="str">
        <f>IFERROR(__xludf.DUMMYFUNCTION("""COMPUTED_VALUE"""),"majorpilots")</f>
        <v>majorpilots</v>
      </c>
      <c r="D548" s="31"/>
      <c r="E548" s="31">
        <f>IFERROR(__xludf.DUMMYFUNCTION("""COMPUTED_VALUE"""),-36.550467935717506)</f>
        <v>-36.55046794</v>
      </c>
      <c r="F548" s="31">
        <f>IFERROR(__xludf.DUMMYFUNCTION("""COMPUTED_VALUE"""),-3730.369855451425)</f>
        <v>-3730.369855</v>
      </c>
      <c r="G548" s="31">
        <f>IFERROR(__xludf.DUMMYFUNCTION("""COMPUTED_VALUE"""),-43.494167655150804)</f>
        <v>-43.49416766</v>
      </c>
      <c r="H548" s="31">
        <f>IFERROR(__xludf.DUMMYFUNCTION("""COMPUTED_VALUE"""),-10858.286513225277)</f>
        <v>-10858.28651</v>
      </c>
      <c r="I548" s="54">
        <f>IFERROR(__xludf.DUMMYFUNCTION("""COMPUTED_VALUE"""),4.0)</f>
        <v>4</v>
      </c>
      <c r="J548" s="55">
        <f>IFERROR(__xludf.DUMMYFUNCTION("""COMPUTED_VALUE"""),1.0)</f>
        <v>1</v>
      </c>
      <c r="K548" s="54">
        <f>IFERROR(__xludf.DUMMYFUNCTION("""COMPUTED_VALUE"""),3.0)</f>
        <v>3</v>
      </c>
      <c r="L548" s="56">
        <f>IFERROR(__xludf.DUMMYFUNCTION("""COMPUTED_VALUE"""),0.25)</f>
        <v>0.25</v>
      </c>
      <c r="M548" s="56">
        <f>IFERROR(__xludf.DUMMYFUNCTION("""COMPUTED_VALUE"""),0.0)</f>
        <v>0</v>
      </c>
      <c r="N548" s="31">
        <f>IFERROR(__xludf.DUMMYFUNCTION("""COMPUTED_VALUE"""),104.5)</f>
        <v>104.5</v>
      </c>
      <c r="O548" s="57">
        <f>IFERROR(__xludf.DUMMYFUNCTION("""COMPUTED_VALUE"""),0.0)</f>
        <v>0</v>
      </c>
      <c r="P548" s="57">
        <f>IFERROR(__xludf.DUMMYFUNCTION("""COMPUTED_VALUE"""),0.25)</f>
        <v>0.25</v>
      </c>
      <c r="Q548" s="57">
        <f>IFERROR(__xludf.DUMMYFUNCTION("""COMPUTED_VALUE"""),0.25)</f>
        <v>0.25</v>
      </c>
      <c r="R548" s="57">
        <f>IFERROR(__xludf.DUMMYFUNCTION("""COMPUTED_VALUE"""),0.5)</f>
        <v>0.5</v>
      </c>
      <c r="S548" s="31">
        <f>IFERROR(__xludf.DUMMYFUNCTION("""COMPUTED_VALUE"""),398.50000000000006)</f>
        <v>398.5</v>
      </c>
      <c r="T548" s="57">
        <f>IFERROR(__xludf.DUMMYFUNCTION("""COMPUTED_VALUE"""),1.0833333333333333)</f>
        <v>1.083333333</v>
      </c>
      <c r="U548" s="57">
        <f>IFERROR(__xludf.DUMMYFUNCTION("""COMPUTED_VALUE"""),0.8333333333333333)</f>
        <v>0.8333333333</v>
      </c>
      <c r="V548" s="57">
        <f>IFERROR(__xludf.DUMMYFUNCTION("""COMPUTED_VALUE"""),0.9166666666666665)</f>
        <v>0.9166666667</v>
      </c>
      <c r="W548" s="57">
        <f>IFERROR(__xludf.DUMMYFUNCTION("""COMPUTED_VALUE"""),4.25)</f>
        <v>4.25</v>
      </c>
      <c r="X548" s="31">
        <f>IFERROR(__xludf.DUMMYFUNCTION("""COMPUTED_VALUE"""),345.0904761904762)</f>
        <v>345.0904762</v>
      </c>
      <c r="Y548" s="57">
        <f>IFERROR(__xludf.DUMMYFUNCTION("""COMPUTED_VALUE"""),0.8916305916305918)</f>
        <v>0.8916305916</v>
      </c>
      <c r="Z548" s="57">
        <f>IFERROR(__xludf.DUMMYFUNCTION("""COMPUTED_VALUE"""),0.5978354978354977)</f>
        <v>0.5978354978</v>
      </c>
      <c r="AA548" s="57">
        <f>IFERROR(__xludf.DUMMYFUNCTION("""COMPUTED_VALUE"""),0.9585858585858587)</f>
        <v>0.9585858586</v>
      </c>
      <c r="AB548" s="57">
        <f>IFERROR(__xludf.DUMMYFUNCTION("""COMPUTED_VALUE"""),2.9267316017316016)</f>
        <v>2.926731602</v>
      </c>
      <c r="AC548" s="31">
        <f>IFERROR(__xludf.DUMMYFUNCTION("""COMPUTED_VALUE"""),322.3869769119769)</f>
        <v>322.3869769</v>
      </c>
      <c r="AD548" s="57">
        <f>IFERROR(__xludf.DUMMYFUNCTION("""COMPUTED_VALUE"""),0.6922919672919673)</f>
        <v>0.6922919673</v>
      </c>
      <c r="AE548" s="57">
        <f>IFERROR(__xludf.DUMMYFUNCTION("""COMPUTED_VALUE"""),0.4175324675324675)</f>
        <v>0.4175324675</v>
      </c>
      <c r="AF548" s="57">
        <f>IFERROR(__xludf.DUMMYFUNCTION("""COMPUTED_VALUE"""),1.3813852813852812)</f>
        <v>1.381385281</v>
      </c>
      <c r="AG548" s="57">
        <f>IFERROR(__xludf.DUMMYFUNCTION("""COMPUTED_VALUE"""),1.9980399230399224)</f>
        <v>1.998039923</v>
      </c>
      <c r="AH548" s="57">
        <f>IFERROR(__xludf.DUMMYFUNCTION("""COMPUTED_VALUE"""),0.32414460720766713)</f>
        <v>0.3241446072</v>
      </c>
      <c r="AI548" s="57">
        <f>IFERROR(__xludf.DUMMYFUNCTION("""COMPUTED_VALUE"""),0.0)</f>
        <v>0</v>
      </c>
      <c r="AJ548" s="57">
        <f>IFERROR(__xludf.DUMMYFUNCTION("""COMPUTED_VALUE"""),0.5987558320373251)</f>
        <v>0.598755832</v>
      </c>
      <c r="AK548" s="57">
        <f>IFERROR(__xludf.DUMMYFUNCTION("""COMPUTED_VALUE"""),0.1809777499216547)</f>
        <v>0.1809777499</v>
      </c>
      <c r="AL548" s="57">
        <f>IFERROR(__xludf.DUMMYFUNCTION("""COMPUTED_VALUE"""),0.2502452499744219)</f>
        <v>0.25024525</v>
      </c>
      <c r="AM548" s="57">
        <f>IFERROR(__xludf.DUMMYFUNCTION("""COMPUTED_VALUE"""),1.1547696256330295)</f>
        <v>1.154769626</v>
      </c>
      <c r="AN548" s="57">
        <f>IFERROR(__xludf.DUMMYFUNCTION("""COMPUTED_VALUE"""),1.2150024275772775)</f>
        <v>1.215002428</v>
      </c>
      <c r="AO548" s="57">
        <f>IFERROR(__xludf.DUMMYFUNCTION("""COMPUTED_VALUE"""),1.3939174511223753)</f>
        <v>1.393917451</v>
      </c>
      <c r="AP548" s="35">
        <f>IFERROR(__xludf.DUMMYFUNCTION("""COMPUTED_VALUE"""),0.9562697576396204)</f>
        <v>0.9562697576</v>
      </c>
      <c r="AQ548" s="57">
        <f>IFERROR(__xludf.DUMMYFUNCTION("""COMPUTED_VALUE"""),1.4521317901120439)</f>
        <v>1.45213179</v>
      </c>
      <c r="AR548" s="36" t="b">
        <f>IFERROR(__xludf.DUMMYFUNCTION("""COMPUTED_VALUE"""),TRUE)</f>
        <v>1</v>
      </c>
      <c r="AS548" s="57"/>
      <c r="AT548" s="37"/>
      <c r="AU548" s="30"/>
      <c r="AV548" s="30"/>
      <c r="AW548" s="30"/>
      <c r="AX548" s="30"/>
      <c r="AY548" s="30"/>
      <c r="AZ548" s="30"/>
    </row>
    <row r="549">
      <c r="A549" s="30" t="str">
        <f>IFERROR(__xludf.DUMMYFUNCTION("""COMPUTED_VALUE"""),"Rival")</f>
        <v>Rival</v>
      </c>
      <c r="B549" s="30" t="str">
        <f>IFERROR(__xludf.DUMMYFUNCTION("""COMPUTED_VALUE"""),"RSC007482")</f>
        <v>RSC007482</v>
      </c>
      <c r="C549" s="30" t="str">
        <f>IFERROR(__xludf.DUMMYFUNCTION("""COMPUTED_VALUE"""),"MyTyranosaur")</f>
        <v>MyTyranosaur</v>
      </c>
      <c r="D549" s="31" t="str">
        <f>IFERROR(__xludf.DUMMYFUNCTION("""COMPUTED_VALUE"""),"50 Cent")</f>
        <v>50 Cent</v>
      </c>
      <c r="E549" s="31">
        <f>IFERROR(__xludf.DUMMYFUNCTION("""COMPUTED_VALUE"""),115.05333847972621)</f>
        <v>115.0533385</v>
      </c>
      <c r="F549" s="31">
        <f>IFERROR(__xludf.DUMMYFUNCTION("""COMPUTED_VALUE"""),215.87601995382698)</f>
        <v>215.87602</v>
      </c>
      <c r="G549" s="31">
        <f>IFERROR(__xludf.DUMMYFUNCTION("""COMPUTED_VALUE"""),96.12081801678106)</f>
        <v>96.12081802</v>
      </c>
      <c r="H549" s="31">
        <f>IFERROR(__xludf.DUMMYFUNCTION("""COMPUTED_VALUE"""),30.739968191233373)</f>
        <v>30.73996819</v>
      </c>
      <c r="I549" s="54">
        <f>IFERROR(__xludf.DUMMYFUNCTION("""COMPUTED_VALUE"""),32.0)</f>
        <v>32</v>
      </c>
      <c r="J549" s="55">
        <f>IFERROR(__xludf.DUMMYFUNCTION("""COMPUTED_VALUE"""),15.0)</f>
        <v>15</v>
      </c>
      <c r="K549" s="54">
        <f>IFERROR(__xludf.DUMMYFUNCTION("""COMPUTED_VALUE"""),17.0)</f>
        <v>17</v>
      </c>
      <c r="L549" s="56">
        <f>IFERROR(__xludf.DUMMYFUNCTION("""COMPUTED_VALUE"""),0.46875)</f>
        <v>0.46875</v>
      </c>
      <c r="M549" s="56">
        <f>IFERROR(__xludf.DUMMYFUNCTION("""COMPUTED_VALUE"""),0.3484848484848485)</f>
        <v>0.3484848485</v>
      </c>
      <c r="N549" s="31">
        <f>IFERROR(__xludf.DUMMYFUNCTION("""COMPUTED_VALUE"""),493.625)</f>
        <v>493.625</v>
      </c>
      <c r="O549" s="57">
        <f>IFERROR(__xludf.DUMMYFUNCTION("""COMPUTED_VALUE"""),1.4375)</f>
        <v>1.4375</v>
      </c>
      <c r="P549" s="57">
        <f>IFERROR(__xludf.DUMMYFUNCTION("""COMPUTED_VALUE"""),0.75)</f>
        <v>0.75</v>
      </c>
      <c r="Q549" s="57">
        <f>IFERROR(__xludf.DUMMYFUNCTION("""COMPUTED_VALUE"""),1.71875)</f>
        <v>1.71875</v>
      </c>
      <c r="R549" s="57">
        <f>IFERROR(__xludf.DUMMYFUNCTION("""COMPUTED_VALUE"""),4.125)</f>
        <v>4.125</v>
      </c>
      <c r="S549" s="31">
        <f>IFERROR(__xludf.DUMMYFUNCTION("""COMPUTED_VALUE"""),367.75000000000006)</f>
        <v>367.75</v>
      </c>
      <c r="T549" s="57">
        <f>IFERROR(__xludf.DUMMYFUNCTION("""COMPUTED_VALUE"""),0.8749999999999999)</f>
        <v>0.875</v>
      </c>
      <c r="U549" s="57">
        <f>IFERROR(__xludf.DUMMYFUNCTION("""COMPUTED_VALUE"""),0.6354166666666664)</f>
        <v>0.6354166667</v>
      </c>
      <c r="V549" s="57">
        <f>IFERROR(__xludf.DUMMYFUNCTION("""COMPUTED_VALUE"""),1.4375)</f>
        <v>1.4375</v>
      </c>
      <c r="W549" s="57">
        <f>IFERROR(__xludf.DUMMYFUNCTION("""COMPUTED_VALUE"""),2.6874999999999996)</f>
        <v>2.6875</v>
      </c>
      <c r="X549" s="31">
        <f>IFERROR(__xludf.DUMMYFUNCTION("""COMPUTED_VALUE"""),350.6547399894782)</f>
        <v>350.65474</v>
      </c>
      <c r="Y549" s="57">
        <f>IFERROR(__xludf.DUMMYFUNCTION("""COMPUTED_VALUE"""),0.7943934882595667)</f>
        <v>0.7943934883</v>
      </c>
      <c r="Z549" s="57">
        <f>IFERROR(__xludf.DUMMYFUNCTION("""COMPUTED_VALUE"""),0.5632529907409474)</f>
        <v>0.5632529907</v>
      </c>
      <c r="AA549" s="57">
        <f>IFERROR(__xludf.DUMMYFUNCTION("""COMPUTED_VALUE"""),1.3871929277636519)</f>
        <v>1.387192928</v>
      </c>
      <c r="AB549" s="57">
        <f>IFERROR(__xludf.DUMMYFUNCTION("""COMPUTED_VALUE"""),2.6727613829865673)</f>
        <v>2.672761383</v>
      </c>
      <c r="AC549" s="31">
        <f>IFERROR(__xludf.DUMMYFUNCTION("""COMPUTED_VALUE"""),352.6481079236636)</f>
        <v>352.6481079</v>
      </c>
      <c r="AD549" s="57">
        <f>IFERROR(__xludf.DUMMYFUNCTION("""COMPUTED_VALUE"""),0.8155164354433286)</f>
        <v>0.8155164354</v>
      </c>
      <c r="AE549" s="57">
        <f>IFERROR(__xludf.DUMMYFUNCTION("""COMPUTED_VALUE"""),0.599285212346455)</f>
        <v>0.5992852123</v>
      </c>
      <c r="AF549" s="57">
        <f>IFERROR(__xludf.DUMMYFUNCTION("""COMPUTED_VALUE"""),1.3169354090843481)</f>
        <v>1.316935409</v>
      </c>
      <c r="AG549" s="57">
        <f>IFERROR(__xludf.DUMMYFUNCTION("""COMPUTED_VALUE"""),2.6872520112449436)</f>
        <v>2.687252011</v>
      </c>
      <c r="AH549" s="57">
        <f>IFERROR(__xludf.DUMMYFUNCTION("""COMPUTED_VALUE"""),1.399766477995263)</f>
        <v>1.399766478</v>
      </c>
      <c r="AI549" s="57">
        <f>IFERROR(__xludf.DUMMYFUNCTION("""COMPUTED_VALUE"""),1.7626867314066461)</f>
        <v>1.762686731</v>
      </c>
      <c r="AJ549" s="57">
        <f>IFERROR(__xludf.DUMMYFUNCTION("""COMPUTED_VALUE"""),1.2514909170934367)</f>
        <v>1.251490917</v>
      </c>
      <c r="AK549" s="57">
        <f>IFERROR(__xludf.DUMMYFUNCTION("""COMPUTED_VALUE"""),1.30511336254147)</f>
        <v>1.305113363</v>
      </c>
      <c r="AL549" s="57">
        <f>IFERROR(__xludf.DUMMYFUNCTION("""COMPUTED_VALUE"""),1.535025365220205)</f>
        <v>1.535025365</v>
      </c>
      <c r="AM549" s="57">
        <f>IFERROR(__xludf.DUMMYFUNCTION("""COMPUTED_VALUE"""),1.048752399614033)</f>
        <v>1.0487524</v>
      </c>
      <c r="AN549" s="57">
        <f>IFERROR(__xludf.DUMMYFUNCTION("""COMPUTED_VALUE"""),1.1014692503548005)</f>
        <v>1.10146925</v>
      </c>
      <c r="AO549" s="57">
        <f>IFERROR(__xludf.DUMMYFUNCTION("""COMPUTED_VALUE"""),1.1281194722655432)</f>
        <v>1.128119472</v>
      </c>
      <c r="AP549" s="35">
        <f>IFERROR(__xludf.DUMMYFUNCTION("""COMPUTED_VALUE"""),1.036265375370281)</f>
        <v>1.036265375</v>
      </c>
      <c r="AQ549" s="57">
        <f>IFERROR(__xludf.DUMMYFUNCTION("""COMPUTED_VALUE"""),1.0055143781660612)</f>
        <v>1.005514378</v>
      </c>
      <c r="AR549" s="36" t="b">
        <f>IFERROR(__xludf.DUMMYFUNCTION("""COMPUTED_VALUE"""),TRUE)</f>
        <v>1</v>
      </c>
      <c r="AS549" s="57"/>
      <c r="AT549" s="37"/>
      <c r="AU549" s="30"/>
      <c r="AV549" s="30"/>
      <c r="AW549" s="30"/>
      <c r="AX549" s="30"/>
      <c r="AY549" s="30"/>
      <c r="AZ549" s="30"/>
    </row>
    <row r="550">
      <c r="A550" s="30" t="str">
        <f>IFERROR(__xludf.DUMMYFUNCTION("""COMPUTED_VALUE"""),"Rival")</f>
        <v>Rival</v>
      </c>
      <c r="B550" s="30" t="str">
        <f>IFERROR(__xludf.DUMMYFUNCTION("""COMPUTED_VALUE"""),"RSC005702")</f>
        <v>RSC005702</v>
      </c>
      <c r="C550" s="30" t="str">
        <f>IFERROR(__xludf.DUMMYFUNCTION("""COMPUTED_VALUE"""),"Jaegie")</f>
        <v>Jaegie</v>
      </c>
      <c r="D550" s="31" t="str">
        <f>IFERROR(__xludf.DUMMYFUNCTION("""COMPUTED_VALUE"""),"Iris")</f>
        <v>Iris</v>
      </c>
      <c r="E550" s="31">
        <f>IFERROR(__xludf.DUMMYFUNCTION("""COMPUTED_VALUE"""),109.68310010700405)</f>
        <v>109.6831001</v>
      </c>
      <c r="F550" s="31">
        <f>IFERROR(__xludf.DUMMYFUNCTION("""COMPUTED_VALUE"""),117.84443733422792)</f>
        <v>117.8444373</v>
      </c>
      <c r="G550" s="31">
        <f>IFERROR(__xludf.DUMMYFUNCTION("""COMPUTED_VALUE"""),84.2332053261054)</f>
        <v>84.23320533</v>
      </c>
      <c r="H550" s="31">
        <f>IFERROR(__xludf.DUMMYFUNCTION("""COMPUTED_VALUE"""),11.70297593596513)</f>
        <v>11.70297594</v>
      </c>
      <c r="I550" s="54">
        <f>IFERROR(__xludf.DUMMYFUNCTION("""COMPUTED_VALUE"""),30.0)</f>
        <v>30</v>
      </c>
      <c r="J550" s="55">
        <f>IFERROR(__xludf.DUMMYFUNCTION("""COMPUTED_VALUE"""),25.0)</f>
        <v>25</v>
      </c>
      <c r="K550" s="54">
        <f>IFERROR(__xludf.DUMMYFUNCTION("""COMPUTED_VALUE"""),5.0)</f>
        <v>5</v>
      </c>
      <c r="L550" s="56">
        <f>IFERROR(__xludf.DUMMYFUNCTION("""COMPUTED_VALUE"""),0.8333333333333334)</f>
        <v>0.8333333333</v>
      </c>
      <c r="M550" s="56">
        <f>IFERROR(__xludf.DUMMYFUNCTION("""COMPUTED_VALUE"""),0.3823529411764706)</f>
        <v>0.3823529412</v>
      </c>
      <c r="N550" s="31">
        <f>IFERROR(__xludf.DUMMYFUNCTION("""COMPUTED_VALUE"""),406.96666666666664)</f>
        <v>406.9666667</v>
      </c>
      <c r="O550" s="57">
        <f>IFERROR(__xludf.DUMMYFUNCTION("""COMPUTED_VALUE"""),1.3)</f>
        <v>1.3</v>
      </c>
      <c r="P550" s="57">
        <f>IFERROR(__xludf.DUMMYFUNCTION("""COMPUTED_VALUE"""),0.9333333333333333)</f>
        <v>0.9333333333</v>
      </c>
      <c r="Q550" s="57">
        <f>IFERROR(__xludf.DUMMYFUNCTION("""COMPUTED_VALUE"""),0.8666666666666667)</f>
        <v>0.8666666667</v>
      </c>
      <c r="R550" s="57">
        <f>IFERROR(__xludf.DUMMYFUNCTION("""COMPUTED_VALUE"""),3.4)</f>
        <v>3.4</v>
      </c>
      <c r="S550" s="31">
        <f>IFERROR(__xludf.DUMMYFUNCTION("""COMPUTED_VALUE"""),309.0222222222221)</f>
        <v>309.0222222</v>
      </c>
      <c r="T550" s="57">
        <f>IFERROR(__xludf.DUMMYFUNCTION("""COMPUTED_VALUE"""),0.5111111111111112)</f>
        <v>0.5111111111</v>
      </c>
      <c r="U550" s="57">
        <f>IFERROR(__xludf.DUMMYFUNCTION("""COMPUTED_VALUE"""),0.34444444444444433)</f>
        <v>0.3444444444</v>
      </c>
      <c r="V550" s="57">
        <f>IFERROR(__xludf.DUMMYFUNCTION("""COMPUTED_VALUE"""),1.5666666666666669)</f>
        <v>1.566666667</v>
      </c>
      <c r="W550" s="57">
        <f>IFERROR(__xludf.DUMMYFUNCTION("""COMPUTED_VALUE"""),1.8666666666666671)</f>
        <v>1.866666667</v>
      </c>
      <c r="X550" s="31">
        <f>IFERROR(__xludf.DUMMYFUNCTION("""COMPUTED_VALUE"""),336.2278650482952)</f>
        <v>336.227865</v>
      </c>
      <c r="Y550" s="57">
        <f>IFERROR(__xludf.DUMMYFUNCTION("""COMPUTED_VALUE"""),0.7279289324595658)</f>
        <v>0.7279289325</v>
      </c>
      <c r="Z550" s="57">
        <f>IFERROR(__xludf.DUMMYFUNCTION("""COMPUTED_VALUE"""),0.512222661247122)</f>
        <v>0.5122226612</v>
      </c>
      <c r="AA550" s="57">
        <f>IFERROR(__xludf.DUMMYFUNCTION("""COMPUTED_VALUE"""),1.333183854668729)</f>
        <v>1.333183855</v>
      </c>
      <c r="AB550" s="57">
        <f>IFERROR(__xludf.DUMMYFUNCTION("""COMPUTED_VALUE"""),2.3703436488611747)</f>
        <v>2.370343649</v>
      </c>
      <c r="AC550" s="31">
        <f>IFERROR(__xludf.DUMMYFUNCTION("""COMPUTED_VALUE"""),358.54686679165206)</f>
        <v>358.5468668</v>
      </c>
      <c r="AD550" s="57">
        <f>IFERROR(__xludf.DUMMYFUNCTION("""COMPUTED_VALUE"""),0.8706993523639653)</f>
        <v>0.8706993524</v>
      </c>
      <c r="AE550" s="57">
        <f>IFERROR(__xludf.DUMMYFUNCTION("""COMPUTED_VALUE"""),0.6626871520557678)</f>
        <v>0.6626871521</v>
      </c>
      <c r="AF550" s="57">
        <f>IFERROR(__xludf.DUMMYFUNCTION("""COMPUTED_VALUE"""),1.2197190290480395)</f>
        <v>1.219719029</v>
      </c>
      <c r="AG550" s="57">
        <f>IFERROR(__xludf.DUMMYFUNCTION("""COMPUTED_VALUE"""),2.7326806924333598)</f>
        <v>2.732680692</v>
      </c>
      <c r="AH550" s="57">
        <f>IFERROR(__xludf.DUMMYFUNCTION("""COMPUTED_VALUE"""),1.1350445488710708)</f>
        <v>1.135044549</v>
      </c>
      <c r="AI550" s="57">
        <f>IFERROR(__xludf.DUMMYFUNCTION("""COMPUTED_VALUE"""),1.4930526782528037)</f>
        <v>1.493052678</v>
      </c>
      <c r="AJ550" s="57">
        <f>IFERROR(__xludf.DUMMYFUNCTION("""COMPUTED_VALUE"""),1.408407165338841)</f>
        <v>1.408407165</v>
      </c>
      <c r="AK550" s="57">
        <f>IFERROR(__xludf.DUMMYFUNCTION("""COMPUTED_VALUE"""),0.710546155324869)</f>
        <v>0.7105461553</v>
      </c>
      <c r="AL550" s="57">
        <f>IFERROR(__xludf.DUMMYFUNCTION("""COMPUTED_VALUE"""),1.2441995178633238)</f>
        <v>1.244199518</v>
      </c>
      <c r="AM550" s="57">
        <f>IFERROR(__xludf.DUMMYFUNCTION("""COMPUTED_VALUE"""),0.9190856985569436)</f>
        <v>0.9190856986</v>
      </c>
      <c r="AN550" s="57">
        <f>IFERROR(__xludf.DUMMYFUNCTION("""COMPUTED_VALUE"""),0.7021442455709807)</f>
        <v>0.7021442456</v>
      </c>
      <c r="AO550" s="57">
        <f>IFERROR(__xludf.DUMMYFUNCTION("""COMPUTED_VALUE"""),0.6724506167021513)</f>
        <v>0.6724506167</v>
      </c>
      <c r="AP550" s="35">
        <f>IFERROR(__xludf.DUMMYFUNCTION("""COMPUTED_VALUE"""),1.175131742842741)</f>
        <v>1.175131743</v>
      </c>
      <c r="AQ550" s="57">
        <f>IFERROR(__xludf.DUMMYFUNCTION("""COMPUTED_VALUE"""),0.7875088776952246)</f>
        <v>0.7875088777</v>
      </c>
      <c r="AR550" s="36" t="b">
        <f>IFERROR(__xludf.DUMMYFUNCTION("""COMPUTED_VALUE"""),TRUE)</f>
        <v>1</v>
      </c>
      <c r="AS550" s="57"/>
      <c r="AT550" s="37"/>
      <c r="AU550" s="30"/>
      <c r="AV550" s="30"/>
      <c r="AW550" s="30"/>
      <c r="AX550" s="30"/>
      <c r="AY550" s="30"/>
      <c r="AZ550" s="30"/>
    </row>
    <row r="551">
      <c r="A551" s="30" t="str">
        <f>IFERROR(__xludf.DUMMYFUNCTION("""COMPUTED_VALUE"""),"Rival")</f>
        <v>Rival</v>
      </c>
      <c r="B551" s="30" t="str">
        <f>IFERROR(__xludf.DUMMYFUNCTION("""COMPUTED_VALUE"""),"RSC002480")</f>
        <v>RSC002480</v>
      </c>
      <c r="C551" s="30" t="str">
        <f>IFERROR(__xludf.DUMMYFUNCTION("""COMPUTED_VALUE"""),"blizzyy")</f>
        <v>blizzyy</v>
      </c>
      <c r="D551" s="31" t="str">
        <f>IFERROR(__xludf.DUMMYFUNCTION("""COMPUTED_VALUE"""),"Iris")</f>
        <v>Iris</v>
      </c>
      <c r="E551" s="31">
        <f>IFERROR(__xludf.DUMMYFUNCTION("""COMPUTED_VALUE"""),103.39228085036257)</f>
        <v>103.3922809</v>
      </c>
      <c r="F551" s="31">
        <f>IFERROR(__xludf.DUMMYFUNCTION("""COMPUTED_VALUE"""),61.1534967225051)</f>
        <v>61.15349672</v>
      </c>
      <c r="G551" s="31">
        <f>IFERROR(__xludf.DUMMYFUNCTION("""COMPUTED_VALUE"""),90.69127471223875)</f>
        <v>90.69127471</v>
      </c>
      <c r="H551" s="31">
        <f>IFERROR(__xludf.DUMMYFUNCTION("""COMPUTED_VALUE"""),19.30522223812994)</f>
        <v>19.30522224</v>
      </c>
      <c r="I551" s="54">
        <f>IFERROR(__xludf.DUMMYFUNCTION("""COMPUTED_VALUE"""),36.0)</f>
        <v>36</v>
      </c>
      <c r="J551" s="55">
        <f>IFERROR(__xludf.DUMMYFUNCTION("""COMPUTED_VALUE"""),30.0)</f>
        <v>30</v>
      </c>
      <c r="K551" s="54">
        <f>IFERROR(__xludf.DUMMYFUNCTION("""COMPUTED_VALUE"""),6.0)</f>
        <v>6</v>
      </c>
      <c r="L551" s="56">
        <f>IFERROR(__xludf.DUMMYFUNCTION("""COMPUTED_VALUE"""),0.8333333333333334)</f>
        <v>0.8333333333</v>
      </c>
      <c r="M551" s="56">
        <f>IFERROR(__xludf.DUMMYFUNCTION("""COMPUTED_VALUE"""),0.34579439252336447)</f>
        <v>0.3457943925</v>
      </c>
      <c r="N551" s="31">
        <f>IFERROR(__xludf.DUMMYFUNCTION("""COMPUTED_VALUE"""),406.55555555555554)</f>
        <v>406.5555556</v>
      </c>
      <c r="O551" s="57">
        <f>IFERROR(__xludf.DUMMYFUNCTION("""COMPUTED_VALUE"""),1.0277777777777777)</f>
        <v>1.027777778</v>
      </c>
      <c r="P551" s="57">
        <f>IFERROR(__xludf.DUMMYFUNCTION("""COMPUTED_VALUE"""),1.1666666666666667)</f>
        <v>1.166666667</v>
      </c>
      <c r="Q551" s="57">
        <f>IFERROR(__xludf.DUMMYFUNCTION("""COMPUTED_VALUE"""),1.1388888888888888)</f>
        <v>1.138888889</v>
      </c>
      <c r="R551" s="57">
        <f>IFERROR(__xludf.DUMMYFUNCTION("""COMPUTED_VALUE"""),2.9722222222222223)</f>
        <v>2.972222222</v>
      </c>
      <c r="S551" s="31">
        <f>IFERROR(__xludf.DUMMYFUNCTION("""COMPUTED_VALUE"""),301.80555555555543)</f>
        <v>301.8055556</v>
      </c>
      <c r="T551" s="57">
        <f>IFERROR(__xludf.DUMMYFUNCTION("""COMPUTED_VALUE"""),0.48148148148148157)</f>
        <v>0.4814814815</v>
      </c>
      <c r="U551" s="57">
        <f>IFERROR(__xludf.DUMMYFUNCTION("""COMPUTED_VALUE"""),0.3055555555555555)</f>
        <v>0.3055555556</v>
      </c>
      <c r="V551" s="57">
        <f>IFERROR(__xludf.DUMMYFUNCTION("""COMPUTED_VALUE"""),1.490740740740741)</f>
        <v>1.490740741</v>
      </c>
      <c r="W551" s="57">
        <f>IFERROR(__xludf.DUMMYFUNCTION("""COMPUTED_VALUE"""),1.8240740740740746)</f>
        <v>1.824074074</v>
      </c>
      <c r="X551" s="31">
        <f>IFERROR(__xludf.DUMMYFUNCTION("""COMPUTED_VALUE"""),331.73039764742276)</f>
        <v>331.7303976</v>
      </c>
      <c r="Y551" s="57">
        <f>IFERROR(__xludf.DUMMYFUNCTION("""COMPUTED_VALUE"""),0.706397160172688)</f>
        <v>0.7063971602</v>
      </c>
      <c r="Z551" s="57">
        <f>IFERROR(__xludf.DUMMYFUNCTION("""COMPUTED_VALUE"""),0.49813833899205634)</f>
        <v>0.498138339</v>
      </c>
      <c r="AA551" s="57">
        <f>IFERROR(__xludf.DUMMYFUNCTION("""COMPUTED_VALUE"""),1.3197726668433956)</f>
        <v>1.319772667</v>
      </c>
      <c r="AB551" s="57">
        <f>IFERROR(__xludf.DUMMYFUNCTION("""COMPUTED_VALUE"""),2.3319170890150276)</f>
        <v>2.331917089</v>
      </c>
      <c r="AC551" s="31">
        <f>IFERROR(__xludf.DUMMYFUNCTION("""COMPUTED_VALUE"""),357.8127826528814)</f>
        <v>357.8127827</v>
      </c>
      <c r="AD551" s="57">
        <f>IFERROR(__xludf.DUMMYFUNCTION("""COMPUTED_VALUE"""),0.8607905899555451)</f>
        <v>0.86079059</v>
      </c>
      <c r="AE551" s="57">
        <f>IFERROR(__xludf.DUMMYFUNCTION("""COMPUTED_VALUE"""),0.6505072805366827)</f>
        <v>0.6505072805</v>
      </c>
      <c r="AF551" s="57">
        <f>IFERROR(__xludf.DUMMYFUNCTION("""COMPUTED_VALUE"""),1.2208620453028873)</f>
        <v>1.220862045</v>
      </c>
      <c r="AG551" s="57">
        <f>IFERROR(__xludf.DUMMYFUNCTION("""COMPUTED_VALUE"""),2.704290958251514)</f>
        <v>2.704290958</v>
      </c>
      <c r="AH551" s="57">
        <f>IFERROR(__xludf.DUMMYFUNCTION("""COMPUTED_VALUE"""),1.1362242358735408)</f>
        <v>1.136224236</v>
      </c>
      <c r="AI551" s="57">
        <f>IFERROR(__xludf.DUMMYFUNCTION("""COMPUTED_VALUE"""),1.1939928128522599)</f>
        <v>1.193992813</v>
      </c>
      <c r="AJ551" s="57">
        <f>IFERROR(__xludf.DUMMYFUNCTION("""COMPUTED_VALUE"""),1.7934721125705793)</f>
        <v>1.793472113</v>
      </c>
      <c r="AK551" s="57">
        <f>IFERROR(__xludf.DUMMYFUNCTION("""COMPUTED_VALUE"""),0.9328563315328051)</f>
        <v>0.9328563315</v>
      </c>
      <c r="AL551" s="57">
        <f>IFERROR(__xludf.DUMMYFUNCTION("""COMPUTED_VALUE"""),1.09907634500392)</f>
        <v>1.099076345</v>
      </c>
      <c r="AM551" s="57">
        <f>IFERROR(__xludf.DUMMYFUNCTION("""COMPUTED_VALUE"""),0.9097916793152229)</f>
        <v>0.9097916793</v>
      </c>
      <c r="AN551" s="57">
        <f>IFERROR(__xludf.DUMMYFUNCTION("""COMPUTED_VALUE"""),0.6816016663540622)</f>
        <v>0.6816016664</v>
      </c>
      <c r="AO551" s="57">
        <f>IFERROR(__xludf.DUMMYFUNCTION("""COMPUTED_VALUE"""),0.6133949781376457)</f>
        <v>0.6133949781</v>
      </c>
      <c r="AP551" s="35">
        <f>IFERROR(__xludf.DUMMYFUNCTION("""COMPUTED_VALUE"""),1.129543578369647)</f>
        <v>1.129543578</v>
      </c>
      <c r="AQ551" s="57">
        <f>IFERROR(__xludf.DUMMYFUNCTION("""COMPUTED_VALUE"""),0.782220809936489)</f>
        <v>0.7822208099</v>
      </c>
      <c r="AR551" s="36" t="b">
        <f>IFERROR(__xludf.DUMMYFUNCTION("""COMPUTED_VALUE"""),TRUE)</f>
        <v>1</v>
      </c>
      <c r="AS551" s="57"/>
      <c r="AT551" s="37"/>
      <c r="AU551" s="30"/>
      <c r="AV551" s="30"/>
      <c r="AW551" s="30"/>
      <c r="AX551" s="30"/>
      <c r="AY551" s="30"/>
      <c r="AZ551" s="30"/>
    </row>
    <row r="552">
      <c r="A552" s="30" t="str">
        <f>IFERROR(__xludf.DUMMYFUNCTION("""COMPUTED_VALUE"""),"Rival")</f>
        <v>Rival</v>
      </c>
      <c r="B552" s="30" t="str">
        <f>IFERROR(__xludf.DUMMYFUNCTION("""COMPUTED_VALUE"""),"RSC006581")</f>
        <v>RSC006581</v>
      </c>
      <c r="C552" s="30" t="str">
        <f>IFERROR(__xludf.DUMMYFUNCTION("""COMPUTED_VALUE"""),"Light_Wigglebean")</f>
        <v>Light_Wigglebean</v>
      </c>
      <c r="D552" s="31" t="str">
        <f>IFERROR(__xludf.DUMMYFUNCTION("""COMPUTED_VALUE"""),"Mining Legion")</f>
        <v>Mining Legion</v>
      </c>
      <c r="E552" s="31">
        <f>IFERROR(__xludf.DUMMYFUNCTION("""COMPUTED_VALUE"""),103.18029421017448)</f>
        <v>103.1802942</v>
      </c>
      <c r="F552" s="31">
        <f>IFERROR(__xludf.DUMMYFUNCTION("""COMPUTED_VALUE"""),59.87577257797913)</f>
        <v>59.87577258</v>
      </c>
      <c r="G552" s="31">
        <f>IFERROR(__xludf.DUMMYFUNCTION("""COMPUTED_VALUE"""),85.66479716394007)</f>
        <v>85.66479716</v>
      </c>
      <c r="H552" s="31">
        <f>IFERROR(__xludf.DUMMYFUNCTION("""COMPUTED_VALUE"""),13.012567963167184)</f>
        <v>13.01256796</v>
      </c>
      <c r="I552" s="54">
        <f>IFERROR(__xludf.DUMMYFUNCTION("""COMPUTED_VALUE"""),34.0)</f>
        <v>34</v>
      </c>
      <c r="J552" s="55">
        <f>IFERROR(__xludf.DUMMYFUNCTION("""COMPUTED_VALUE"""),24.0)</f>
        <v>24</v>
      </c>
      <c r="K552" s="54">
        <f>IFERROR(__xludf.DUMMYFUNCTION("""COMPUTED_VALUE"""),10.0)</f>
        <v>10</v>
      </c>
      <c r="L552" s="56">
        <f>IFERROR(__xludf.DUMMYFUNCTION("""COMPUTED_VALUE"""),0.7058823529411765)</f>
        <v>0.7058823529</v>
      </c>
      <c r="M552" s="56">
        <f>IFERROR(__xludf.DUMMYFUNCTION("""COMPUTED_VALUE"""),0.3360655737704918)</f>
        <v>0.3360655738</v>
      </c>
      <c r="N552" s="31">
        <f>IFERROR(__xludf.DUMMYFUNCTION("""COMPUTED_VALUE"""),396.7647058823529)</f>
        <v>396.7647059</v>
      </c>
      <c r="O552" s="57">
        <f>IFERROR(__xludf.DUMMYFUNCTION("""COMPUTED_VALUE"""),1.2058823529411764)</f>
        <v>1.205882353</v>
      </c>
      <c r="P552" s="57">
        <f>IFERROR(__xludf.DUMMYFUNCTION("""COMPUTED_VALUE"""),0.8235294117647058)</f>
        <v>0.8235294118</v>
      </c>
      <c r="Q552" s="57">
        <f>IFERROR(__xludf.DUMMYFUNCTION("""COMPUTED_VALUE"""),0.7352941176470589)</f>
        <v>0.7352941176</v>
      </c>
      <c r="R552" s="57">
        <f>IFERROR(__xludf.DUMMYFUNCTION("""COMPUTED_VALUE"""),3.588235294117647)</f>
        <v>3.588235294</v>
      </c>
      <c r="S552" s="31">
        <f>IFERROR(__xludf.DUMMYFUNCTION("""COMPUTED_VALUE"""),319.0490196078431)</f>
        <v>319.0490196</v>
      </c>
      <c r="T552" s="57">
        <f>IFERROR(__xludf.DUMMYFUNCTION("""COMPUTED_VALUE"""),0.5980392156862745)</f>
        <v>0.5980392157</v>
      </c>
      <c r="U552" s="57">
        <f>IFERROR(__xludf.DUMMYFUNCTION("""COMPUTED_VALUE"""),0.4411764705882353)</f>
        <v>0.4411764706</v>
      </c>
      <c r="V552" s="57">
        <f>IFERROR(__xludf.DUMMYFUNCTION("""COMPUTED_VALUE"""),1.3921568627450982)</f>
        <v>1.392156863</v>
      </c>
      <c r="W552" s="57">
        <f>IFERROR(__xludf.DUMMYFUNCTION("""COMPUTED_VALUE"""),2.147058823529412)</f>
        <v>2.147058824</v>
      </c>
      <c r="X552" s="31">
        <f>IFERROR(__xludf.DUMMYFUNCTION("""COMPUTED_VALUE"""),338.731016907304)</f>
        <v>338.7310169</v>
      </c>
      <c r="Y552" s="57">
        <f>IFERROR(__xludf.DUMMYFUNCTION("""COMPUTED_VALUE"""),0.7427780898662137)</f>
        <v>0.7427780899</v>
      </c>
      <c r="Z552" s="57">
        <f>IFERROR(__xludf.DUMMYFUNCTION("""COMPUTED_VALUE"""),0.5123668522394663)</f>
        <v>0.5123668522</v>
      </c>
      <c r="AA552" s="57">
        <f>IFERROR(__xludf.DUMMYFUNCTION("""COMPUTED_VALUE"""),1.2748040992020513)</f>
        <v>1.274804099</v>
      </c>
      <c r="AB552" s="57">
        <f>IFERROR(__xludf.DUMMYFUNCTION("""COMPUTED_VALUE"""),2.458916190261765)</f>
        <v>2.45891619</v>
      </c>
      <c r="AC552" s="31">
        <f>IFERROR(__xludf.DUMMYFUNCTION("""COMPUTED_VALUE"""),348.9513558037411)</f>
        <v>348.9513558</v>
      </c>
      <c r="AD552" s="57">
        <f>IFERROR(__xludf.DUMMYFUNCTION("""COMPUTED_VALUE"""),0.8138815765478434)</f>
        <v>0.8138815765</v>
      </c>
      <c r="AE552" s="57">
        <f>IFERROR(__xludf.DUMMYFUNCTION("""COMPUTED_VALUE"""),0.5769919697887849)</f>
        <v>0.5769919698</v>
      </c>
      <c r="AF552" s="57">
        <f>IFERROR(__xludf.DUMMYFUNCTION("""COMPUTED_VALUE"""),1.2615792251112412)</f>
        <v>1.261579225</v>
      </c>
      <c r="AG552" s="57">
        <f>IFERROR(__xludf.DUMMYFUNCTION("""COMPUTED_VALUE"""),2.5881690856974098)</f>
        <v>2.588169086</v>
      </c>
      <c r="AH552" s="57">
        <f>IFERROR(__xludf.DUMMYFUNCTION("""COMPUTED_VALUE"""),1.1370201011785244)</f>
        <v>1.137020101</v>
      </c>
      <c r="AI552" s="57">
        <f>IFERROR(__xludf.DUMMYFUNCTION("""COMPUTED_VALUE"""),1.4816435064865847)</f>
        <v>1.481643506</v>
      </c>
      <c r="AJ552" s="57">
        <f>IFERROR(__xludf.DUMMYFUNCTION("""COMPUTED_VALUE"""),1.4272805426844486)</f>
        <v>1.427280543</v>
      </c>
      <c r="AK552" s="57">
        <f>IFERROR(__xludf.DUMMYFUNCTION("""COMPUTED_VALUE"""),0.5828362603087598)</f>
        <v>0.5828362603</v>
      </c>
      <c r="AL552" s="57">
        <f>IFERROR(__xludf.DUMMYFUNCTION("""COMPUTED_VALUE"""),1.3863991011818917)</f>
        <v>1.386399101</v>
      </c>
      <c r="AM552" s="57">
        <f>IFERROR(__xludf.DUMMYFUNCTION("""COMPUTED_VALUE"""),0.9418949068226397)</f>
        <v>0.9418949068</v>
      </c>
      <c r="AN552" s="57">
        <f>IFERROR(__xludf.DUMMYFUNCTION("""COMPUTED_VALUE"""),0.8051384711603313)</f>
        <v>0.8051384712</v>
      </c>
      <c r="AO552" s="57">
        <f>IFERROR(__xludf.DUMMYFUNCTION("""COMPUTED_VALUE"""),0.8610558404782233)</f>
        <v>0.8610558405</v>
      </c>
      <c r="AP552" s="35">
        <f>IFERROR(__xludf.DUMMYFUNCTION("""COMPUTED_VALUE"""),1.092055527289646)</f>
        <v>1.092055527</v>
      </c>
      <c r="AQ552" s="57">
        <f>IFERROR(__xludf.DUMMYFUNCTION("""COMPUTED_VALUE"""),0.8731728360781772)</f>
        <v>0.8731728361</v>
      </c>
      <c r="AR552" s="36" t="b">
        <f>IFERROR(__xludf.DUMMYFUNCTION("""COMPUTED_VALUE"""),TRUE)</f>
        <v>1</v>
      </c>
      <c r="AS552" s="57"/>
      <c r="AT552" s="37"/>
      <c r="AU552" s="30"/>
      <c r="AV552" s="30"/>
      <c r="AW552" s="30"/>
      <c r="AX552" s="30"/>
      <c r="AY552" s="30"/>
      <c r="AZ552" s="30"/>
    </row>
    <row r="553">
      <c r="A553" s="30" t="str">
        <f>IFERROR(__xludf.DUMMYFUNCTION("""COMPUTED_VALUE"""),"Rival")</f>
        <v>Rival</v>
      </c>
      <c r="B553" s="30" t="str">
        <f>IFERROR(__xludf.DUMMYFUNCTION("""COMPUTED_VALUE"""),"RSC007920")</f>
        <v>RSC007920</v>
      </c>
      <c r="C553" s="30" t="str">
        <f>IFERROR(__xludf.DUMMYFUNCTION("""COMPUTED_VALUE"""),"EKA Luminousity")</f>
        <v>EKA Luminousity</v>
      </c>
      <c r="D553" s="31" t="str">
        <f>IFERROR(__xludf.DUMMYFUNCTION("""COMPUTED_VALUE"""),"Bulldozers")</f>
        <v>Bulldozers</v>
      </c>
      <c r="E553" s="31">
        <f>IFERROR(__xludf.DUMMYFUNCTION("""COMPUTED_VALUE"""),98.53156601422377)</f>
        <v>98.53156601</v>
      </c>
      <c r="F553" s="31">
        <f>IFERROR(__xludf.DUMMYFUNCTION("""COMPUTED_VALUE"""),38.29478780556433)</f>
        <v>38.29478781</v>
      </c>
      <c r="G553" s="31">
        <f>IFERROR(__xludf.DUMMYFUNCTION("""COMPUTED_VALUE"""),77.10351993304921)</f>
        <v>77.10351993</v>
      </c>
      <c r="H553" s="31">
        <f>IFERROR(__xludf.DUMMYFUNCTION("""COMPUTED_VALUE"""),7.186428036608997)</f>
        <v>7.186428037</v>
      </c>
      <c r="I553" s="54">
        <f>IFERROR(__xludf.DUMMYFUNCTION("""COMPUTED_VALUE"""),36.0)</f>
        <v>36</v>
      </c>
      <c r="J553" s="55">
        <f>IFERROR(__xludf.DUMMYFUNCTION("""COMPUTED_VALUE"""),28.0)</f>
        <v>28</v>
      </c>
      <c r="K553" s="54">
        <f>IFERROR(__xludf.DUMMYFUNCTION("""COMPUTED_VALUE"""),8.0)</f>
        <v>8</v>
      </c>
      <c r="L553" s="56">
        <f>IFERROR(__xludf.DUMMYFUNCTION("""COMPUTED_VALUE"""),0.7777777777777778)</f>
        <v>0.7777777778</v>
      </c>
      <c r="M553" s="56">
        <f>IFERROR(__xludf.DUMMYFUNCTION("""COMPUTED_VALUE"""),0.366412213740458)</f>
        <v>0.3664122137</v>
      </c>
      <c r="N553" s="31">
        <f>IFERROR(__xludf.DUMMYFUNCTION("""COMPUTED_VALUE"""),468.47222222222223)</f>
        <v>468.4722222</v>
      </c>
      <c r="O553" s="57">
        <f>IFERROR(__xludf.DUMMYFUNCTION("""COMPUTED_VALUE"""),1.3333333333333333)</f>
        <v>1.333333333</v>
      </c>
      <c r="P553" s="57">
        <f>IFERROR(__xludf.DUMMYFUNCTION("""COMPUTED_VALUE"""),0.5277777777777778)</f>
        <v>0.5277777778</v>
      </c>
      <c r="Q553" s="57">
        <f>IFERROR(__xludf.DUMMYFUNCTION("""COMPUTED_VALUE"""),1.8611111111111112)</f>
        <v>1.861111111</v>
      </c>
      <c r="R553" s="57">
        <f>IFERROR(__xludf.DUMMYFUNCTION("""COMPUTED_VALUE"""),3.638888888888889)</f>
        <v>3.638888889</v>
      </c>
      <c r="S553" s="31">
        <f>IFERROR(__xludf.DUMMYFUNCTION("""COMPUTED_VALUE"""),325.9351851851853)</f>
        <v>325.9351852</v>
      </c>
      <c r="T553" s="57">
        <f>IFERROR(__xludf.DUMMYFUNCTION("""COMPUTED_VALUE"""),0.6388888888888887)</f>
        <v>0.6388888889</v>
      </c>
      <c r="U553" s="57">
        <f>IFERROR(__xludf.DUMMYFUNCTION("""COMPUTED_VALUE"""),0.4722222222222223)</f>
        <v>0.4722222222</v>
      </c>
      <c r="V553" s="57">
        <f>IFERROR(__xludf.DUMMYFUNCTION("""COMPUTED_VALUE"""),1.3518518518518516)</f>
        <v>1.351851852</v>
      </c>
      <c r="W553" s="57">
        <f>IFERROR(__xludf.DUMMYFUNCTION("""COMPUTED_VALUE"""),2.7129629629629624)</f>
        <v>2.712962963</v>
      </c>
      <c r="X553" s="31">
        <f>IFERROR(__xludf.DUMMYFUNCTION("""COMPUTED_VALUE"""),344.90656359466306)</f>
        <v>344.9065636</v>
      </c>
      <c r="Y553" s="57">
        <f>IFERROR(__xludf.DUMMYFUNCTION("""COMPUTED_VALUE"""),0.738875446722514)</f>
        <v>0.7388754467</v>
      </c>
      <c r="Z553" s="57">
        <f>IFERROR(__xludf.DUMMYFUNCTION("""COMPUTED_VALUE"""),0.5657110365613641)</f>
        <v>0.5657110366</v>
      </c>
      <c r="AA553" s="57">
        <f>IFERROR(__xludf.DUMMYFUNCTION("""COMPUTED_VALUE"""),1.3275065962177794)</f>
        <v>1.327506596</v>
      </c>
      <c r="AB553" s="57">
        <f>IFERROR(__xludf.DUMMYFUNCTION("""COMPUTED_VALUE"""),2.5216047939367066)</f>
        <v>2.521604794</v>
      </c>
      <c r="AC553" s="31">
        <f>IFERROR(__xludf.DUMMYFUNCTION("""COMPUTED_VALUE"""),361.5894706925966)</f>
        <v>361.5894707</v>
      </c>
      <c r="AD553" s="57">
        <f>IFERROR(__xludf.DUMMYFUNCTION("""COMPUTED_VALUE"""),0.8592074304929124)</f>
        <v>0.8592074305</v>
      </c>
      <c r="AE553" s="57">
        <f>IFERROR(__xludf.DUMMYFUNCTION("""COMPUTED_VALUE"""),0.6349624175612028)</f>
        <v>0.6349624176</v>
      </c>
      <c r="AF553" s="57">
        <f>IFERROR(__xludf.DUMMYFUNCTION("""COMPUTED_VALUE"""),1.3193085227123822)</f>
        <v>1.319308523</v>
      </c>
      <c r="AG553" s="57">
        <f>IFERROR(__xludf.DUMMYFUNCTION("""COMPUTED_VALUE"""),2.6661703734553464)</f>
        <v>2.666170373</v>
      </c>
      <c r="AH553" s="57">
        <f>IFERROR(__xludf.DUMMYFUNCTION("""COMPUTED_VALUE"""),1.2955914377841258)</f>
        <v>1.295591438</v>
      </c>
      <c r="AI553" s="57">
        <f>IFERROR(__xludf.DUMMYFUNCTION("""COMPUTED_VALUE"""),1.5518177404127234)</f>
        <v>1.55181774</v>
      </c>
      <c r="AJ553" s="57">
        <f>IFERROR(__xludf.DUMMYFUNCTION("""COMPUTED_VALUE"""),0.8311953009831583)</f>
        <v>0.831195301</v>
      </c>
      <c r="AK553" s="57">
        <f>IFERROR(__xludf.DUMMYFUNCTION("""COMPUTED_VALUE"""),1.410671635232698)</f>
        <v>1.410671635</v>
      </c>
      <c r="AL553" s="57">
        <f>IFERROR(__xludf.DUMMYFUNCTION("""COMPUTED_VALUE"""),1.3648373431488188)</f>
        <v>1.364837343</v>
      </c>
      <c r="AM553" s="57">
        <f>IFERROR(__xludf.DUMMYFUNCTION("""COMPUTED_VALUE"""),0.9449956005134971)</f>
        <v>0.9449956005</v>
      </c>
      <c r="AN553" s="57">
        <f>IFERROR(__xludf.DUMMYFUNCTION("""COMPUTED_VALUE"""),0.864677384697051)</f>
        <v>0.8646773847</v>
      </c>
      <c r="AO553" s="57">
        <f>IFERROR(__xludf.DUMMYFUNCTION("""COMPUTED_VALUE"""),0.8347410456981587)</f>
        <v>0.8347410457</v>
      </c>
      <c r="AP553" s="35">
        <f>IFERROR(__xludf.DUMMYFUNCTION("""COMPUTED_VALUE"""),1.018339084493768)</f>
        <v>1.018339084</v>
      </c>
      <c r="AQ553" s="57">
        <f>IFERROR(__xludf.DUMMYFUNCTION("""COMPUTED_VALUE"""),1.0758874544838999)</f>
        <v>1.075887454</v>
      </c>
      <c r="AR553" s="36" t="b">
        <f>IFERROR(__xludf.DUMMYFUNCTION("""COMPUTED_VALUE"""),TRUE)</f>
        <v>1</v>
      </c>
      <c r="AS553" s="57"/>
      <c r="AT553" s="37"/>
      <c r="AU553" s="30"/>
      <c r="AV553" s="30"/>
      <c r="AW553" s="30"/>
      <c r="AX553" s="30"/>
      <c r="AY553" s="30"/>
      <c r="AZ553" s="30"/>
    </row>
    <row r="554">
      <c r="A554" s="30" t="str">
        <f>IFERROR(__xludf.DUMMYFUNCTION("""COMPUTED_VALUE"""),"Rival")</f>
        <v>Rival</v>
      </c>
      <c r="B554" s="30" t="str">
        <f>IFERROR(__xludf.DUMMYFUNCTION("""COMPUTED_VALUE"""),"RSC006448")</f>
        <v>RSC006448</v>
      </c>
      <c r="C554" s="30" t="str">
        <f>IFERROR(__xludf.DUMMYFUNCTION("""COMPUTED_VALUE"""),"Burger.101")</f>
        <v>Burger.101</v>
      </c>
      <c r="D554" s="31" t="str">
        <f>IFERROR(__xludf.DUMMYFUNCTION("""COMPUTED_VALUE"""),"Iris")</f>
        <v>Iris</v>
      </c>
      <c r="E554" s="31">
        <f>IFERROR(__xludf.DUMMYFUNCTION("""COMPUTED_VALUE"""),95.68390343022111)</f>
        <v>95.68390343</v>
      </c>
      <c r="F554" s="31">
        <f>IFERROR(__xludf.DUMMYFUNCTION("""COMPUTED_VALUE"""),29.565575355660393)</f>
        <v>29.56557536</v>
      </c>
      <c r="G554" s="31">
        <f>IFERROR(__xludf.DUMMYFUNCTION("""COMPUTED_VALUE"""),82.52163391181415)</f>
        <v>82.52163391</v>
      </c>
      <c r="H554" s="31">
        <f>IFERROR(__xludf.DUMMYFUNCTION("""COMPUTED_VALUE"""),10.346368153394078)</f>
        <v>10.34636815</v>
      </c>
      <c r="I554" s="54">
        <f>IFERROR(__xludf.DUMMYFUNCTION("""COMPUTED_VALUE"""),32.0)</f>
        <v>32</v>
      </c>
      <c r="J554" s="55">
        <f>IFERROR(__xludf.DUMMYFUNCTION("""COMPUTED_VALUE"""),26.0)</f>
        <v>26</v>
      </c>
      <c r="K554" s="54">
        <f>IFERROR(__xludf.DUMMYFUNCTION("""COMPUTED_VALUE"""),6.0)</f>
        <v>6</v>
      </c>
      <c r="L554" s="56">
        <f>IFERROR(__xludf.DUMMYFUNCTION("""COMPUTED_VALUE"""),0.8125)</f>
        <v>0.8125</v>
      </c>
      <c r="M554" s="56">
        <f>IFERROR(__xludf.DUMMYFUNCTION("""COMPUTED_VALUE"""),0.3394495412844037)</f>
        <v>0.3394495413</v>
      </c>
      <c r="N554" s="31">
        <f>IFERROR(__xludf.DUMMYFUNCTION("""COMPUTED_VALUE"""),394.15625)</f>
        <v>394.15625</v>
      </c>
      <c r="O554" s="57">
        <f>IFERROR(__xludf.DUMMYFUNCTION("""COMPUTED_VALUE"""),1.15625)</f>
        <v>1.15625</v>
      </c>
      <c r="P554" s="57">
        <f>IFERROR(__xludf.DUMMYFUNCTION("""COMPUTED_VALUE"""),0.71875)</f>
        <v>0.71875</v>
      </c>
      <c r="Q554" s="57">
        <f>IFERROR(__xludf.DUMMYFUNCTION("""COMPUTED_VALUE"""),0.96875)</f>
        <v>0.96875</v>
      </c>
      <c r="R554" s="57">
        <f>IFERROR(__xludf.DUMMYFUNCTION("""COMPUTED_VALUE"""),3.40625)</f>
        <v>3.40625</v>
      </c>
      <c r="S554" s="31">
        <f>IFERROR(__xludf.DUMMYFUNCTION("""COMPUTED_VALUE"""),304.8229166666665)</f>
        <v>304.8229167</v>
      </c>
      <c r="T554" s="57">
        <f>IFERROR(__xludf.DUMMYFUNCTION("""COMPUTED_VALUE"""),0.5)</f>
        <v>0.5</v>
      </c>
      <c r="U554" s="57">
        <f>IFERROR(__xludf.DUMMYFUNCTION("""COMPUTED_VALUE"""),0.30208333333333326)</f>
        <v>0.3020833333</v>
      </c>
      <c r="V554" s="57">
        <f>IFERROR(__xludf.DUMMYFUNCTION("""COMPUTED_VALUE"""),1.5104166666666667)</f>
        <v>1.510416667</v>
      </c>
      <c r="W554" s="57">
        <f>IFERROR(__xludf.DUMMYFUNCTION("""COMPUTED_VALUE"""),1.7916666666666667)</f>
        <v>1.791666667</v>
      </c>
      <c r="X554" s="31">
        <f>IFERROR(__xludf.DUMMYFUNCTION("""COMPUTED_VALUE"""),329.68874017742473)</f>
        <v>329.6887402</v>
      </c>
      <c r="Y554" s="57">
        <f>IFERROR(__xludf.DUMMYFUNCTION("""COMPUTED_VALUE"""),0.7086146292683481)</f>
        <v>0.7086146293</v>
      </c>
      <c r="Z554" s="57">
        <f>IFERROR(__xludf.DUMMYFUNCTION("""COMPUTED_VALUE"""),0.4977609554401373)</f>
        <v>0.4977609554</v>
      </c>
      <c r="AA554" s="57">
        <f>IFERROR(__xludf.DUMMYFUNCTION("""COMPUTED_VALUE"""),1.2999930927914125)</f>
        <v>1.299993093</v>
      </c>
      <c r="AB554" s="57">
        <f>IFERROR(__xludf.DUMMYFUNCTION("""COMPUTED_VALUE"""),2.290796771438202)</f>
        <v>2.290796771</v>
      </c>
      <c r="AC554" s="31">
        <f>IFERROR(__xludf.DUMMYFUNCTION("""COMPUTED_VALUE"""),358.65309576226946)</f>
        <v>358.6530958</v>
      </c>
      <c r="AD554" s="57">
        <f>IFERROR(__xludf.DUMMYFUNCTION("""COMPUTED_VALUE"""),0.8713600927123341)</f>
        <v>0.8713600927</v>
      </c>
      <c r="AE554" s="57">
        <f>IFERROR(__xludf.DUMMYFUNCTION("""COMPUTED_VALUE"""),0.6568303356654963)</f>
        <v>0.6568303357</v>
      </c>
      <c r="AF554" s="57">
        <f>IFERROR(__xludf.DUMMYFUNCTION("""COMPUTED_VALUE"""),1.202318180595378)</f>
        <v>1.202318181</v>
      </c>
      <c r="AG554" s="57">
        <f>IFERROR(__xludf.DUMMYFUNCTION("""COMPUTED_VALUE"""),2.694429951489743)</f>
        <v>2.694429951</v>
      </c>
      <c r="AH554" s="57">
        <f>IFERROR(__xludf.DUMMYFUNCTION("""COMPUTED_VALUE"""),1.0989902350132328)</f>
        <v>1.098990235</v>
      </c>
      <c r="AI554" s="57">
        <f>IFERROR(__xludf.DUMMYFUNCTION("""COMPUTED_VALUE"""),1.3269485367419942)</f>
        <v>1.326948537</v>
      </c>
      <c r="AJ554" s="57">
        <f>IFERROR(__xludf.DUMMYFUNCTION("""COMPUTED_VALUE"""),1.0942704089203905)</f>
        <v>1.094270409</v>
      </c>
      <c r="AK554" s="57">
        <f>IFERROR(__xludf.DUMMYFUNCTION("""COMPUTED_VALUE"""),0.805735133706689)</f>
        <v>0.8057351337</v>
      </c>
      <c r="AL554" s="57">
        <f>IFERROR(__xludf.DUMMYFUNCTION("""COMPUTED_VALUE"""),1.264182057550501)</f>
        <v>1.264182058</v>
      </c>
      <c r="AM554" s="57">
        <f>IFERROR(__xludf.DUMMYFUNCTION("""COMPUTED_VALUE"""),0.9245778806477393)</f>
        <v>0.9245778806</v>
      </c>
      <c r="AN554" s="57">
        <f>IFERROR(__xludf.DUMMYFUNCTION("""COMPUTED_VALUE"""),0.7056021416270437)</f>
        <v>0.7056021416</v>
      </c>
      <c r="AO554" s="57">
        <f>IFERROR(__xludf.DUMMYFUNCTION("""COMPUTED_VALUE"""),0.6068843488662561)</f>
        <v>0.6068843489</v>
      </c>
      <c r="AP554" s="35">
        <f>IFERROR(__xludf.DUMMYFUNCTION("""COMPUTED_VALUE"""),1.1618651476243014)</f>
        <v>1.161865148</v>
      </c>
      <c r="AQ554" s="57">
        <f>IFERROR(__xludf.DUMMYFUNCTION("""COMPUTED_VALUE"""),0.7821150653804297)</f>
        <v>0.7821150654</v>
      </c>
      <c r="AR554" s="36" t="b">
        <f>IFERROR(__xludf.DUMMYFUNCTION("""COMPUTED_VALUE"""),TRUE)</f>
        <v>1</v>
      </c>
      <c r="AS554" s="57"/>
      <c r="AT554" s="37"/>
      <c r="AU554" s="30"/>
      <c r="AV554" s="30"/>
      <c r="AW554" s="30"/>
      <c r="AX554" s="30"/>
      <c r="AY554" s="30"/>
      <c r="AZ554" s="30"/>
    </row>
    <row r="555">
      <c r="A555" s="30" t="str">
        <f>IFERROR(__xludf.DUMMYFUNCTION("""COMPUTED_VALUE"""),"Rival")</f>
        <v>Rival</v>
      </c>
      <c r="B555" s="30" t="str">
        <f>IFERROR(__xludf.DUMMYFUNCTION("""COMPUTED_VALUE"""),"RSC005834")</f>
        <v>RSC005834</v>
      </c>
      <c r="C555" s="30" t="str">
        <f>IFERROR(__xludf.DUMMYFUNCTION("""COMPUTED_VALUE"""),"IIIYummyIII")</f>
        <v>IIIYummyIII</v>
      </c>
      <c r="D555" s="31" t="str">
        <f>IFERROR(__xludf.DUMMYFUNCTION("""COMPUTED_VALUE"""),"Hot Wings")</f>
        <v>Hot Wings</v>
      </c>
      <c r="E555" s="31">
        <f>IFERROR(__xludf.DUMMYFUNCTION("""COMPUTED_VALUE"""),91.75551862640461)</f>
        <v>91.75551863</v>
      </c>
      <c r="F555" s="31">
        <f>IFERROR(__xludf.DUMMYFUNCTION("""COMPUTED_VALUE"""),21.080214031980493)</f>
        <v>21.08021403</v>
      </c>
      <c r="G555" s="31">
        <f>IFERROR(__xludf.DUMMYFUNCTION("""COMPUTED_VALUE"""),60.80669846061544)</f>
        <v>60.80669846</v>
      </c>
      <c r="H555" s="31">
        <f>IFERROR(__xludf.DUMMYFUNCTION("""COMPUTED_VALUE"""),3.0050483910980836)</f>
        <v>3.005048391</v>
      </c>
      <c r="I555" s="54">
        <f>IFERROR(__xludf.DUMMYFUNCTION("""COMPUTED_VALUE"""),28.0)</f>
        <v>28</v>
      </c>
      <c r="J555" s="55">
        <f>IFERROR(__xludf.DUMMYFUNCTION("""COMPUTED_VALUE"""),20.0)</f>
        <v>20</v>
      </c>
      <c r="K555" s="54">
        <f>IFERROR(__xludf.DUMMYFUNCTION("""COMPUTED_VALUE"""),8.0)</f>
        <v>8</v>
      </c>
      <c r="L555" s="56">
        <f>IFERROR(__xludf.DUMMYFUNCTION("""COMPUTED_VALUE"""),0.7142857142857143)</f>
        <v>0.7142857143</v>
      </c>
      <c r="M555" s="56">
        <f>IFERROR(__xludf.DUMMYFUNCTION("""COMPUTED_VALUE"""),0.3764705882352941)</f>
        <v>0.3764705882</v>
      </c>
      <c r="N555" s="31">
        <f>IFERROR(__xludf.DUMMYFUNCTION("""COMPUTED_VALUE"""),372.10714285714283)</f>
        <v>372.1071429</v>
      </c>
      <c r="O555" s="57">
        <f>IFERROR(__xludf.DUMMYFUNCTION("""COMPUTED_VALUE"""),1.1428571428571428)</f>
        <v>1.142857143</v>
      </c>
      <c r="P555" s="57">
        <f>IFERROR(__xludf.DUMMYFUNCTION("""COMPUTED_VALUE"""),0.8571428571428571)</f>
        <v>0.8571428571</v>
      </c>
      <c r="Q555" s="57">
        <f>IFERROR(__xludf.DUMMYFUNCTION("""COMPUTED_VALUE"""),0.9285714285714286)</f>
        <v>0.9285714286</v>
      </c>
      <c r="R555" s="57">
        <f>IFERROR(__xludf.DUMMYFUNCTION("""COMPUTED_VALUE"""),3.0357142857142856)</f>
        <v>3.035714286</v>
      </c>
      <c r="S555" s="31">
        <f>IFERROR(__xludf.DUMMYFUNCTION("""COMPUTED_VALUE"""),327.1428571428572)</f>
        <v>327.1428571</v>
      </c>
      <c r="T555" s="57">
        <f>IFERROR(__xludf.DUMMYFUNCTION("""COMPUTED_VALUE"""),0.7023809523809523)</f>
        <v>0.7023809524</v>
      </c>
      <c r="U555" s="57">
        <f>IFERROR(__xludf.DUMMYFUNCTION("""COMPUTED_VALUE"""),0.4523809523809524)</f>
        <v>0.4523809524</v>
      </c>
      <c r="V555" s="57">
        <f>IFERROR(__xludf.DUMMYFUNCTION("""COMPUTED_VALUE"""),1.4404761904761905)</f>
        <v>1.44047619</v>
      </c>
      <c r="W555" s="57">
        <f>IFERROR(__xludf.DUMMYFUNCTION("""COMPUTED_VALUE"""),2.5)</f>
        <v>2.5</v>
      </c>
      <c r="X555" s="31">
        <f>IFERROR(__xludf.DUMMYFUNCTION("""COMPUTED_VALUE"""),343.7423314936233)</f>
        <v>343.7423315</v>
      </c>
      <c r="Y555" s="57">
        <f>IFERROR(__xludf.DUMMYFUNCTION("""COMPUTED_VALUE"""),0.7921006455568668)</f>
        <v>0.7921006456</v>
      </c>
      <c r="Z555" s="57">
        <f>IFERROR(__xludf.DUMMYFUNCTION("""COMPUTED_VALUE"""),0.5474487270438917)</f>
        <v>0.547448727</v>
      </c>
      <c r="AA555" s="57">
        <f>IFERROR(__xludf.DUMMYFUNCTION("""COMPUTED_VALUE"""),1.3176043958775001)</f>
        <v>1.317604396</v>
      </c>
      <c r="AB555" s="57">
        <f>IFERROR(__xludf.DUMMYFUNCTION("""COMPUTED_VALUE"""),2.5560656154322863)</f>
        <v>2.556065615</v>
      </c>
      <c r="AC555" s="31">
        <f>IFERROR(__xludf.DUMMYFUNCTION("""COMPUTED_VALUE"""),347.35755370840496)</f>
        <v>347.3575537</v>
      </c>
      <c r="AD555" s="57">
        <f>IFERROR(__xludf.DUMMYFUNCTION("""COMPUTED_VALUE"""),0.8032688431410892)</f>
        <v>0.8032688431</v>
      </c>
      <c r="AE555" s="57">
        <f>IFERROR(__xludf.DUMMYFUNCTION("""COMPUTED_VALUE"""),0.5837786455813776)</f>
        <v>0.5837786456</v>
      </c>
      <c r="AF555" s="57">
        <f>IFERROR(__xludf.DUMMYFUNCTION("""COMPUTED_VALUE"""),1.2893059579985895)</f>
        <v>1.289305958</v>
      </c>
      <c r="AG555" s="57">
        <f>IFERROR(__xludf.DUMMYFUNCTION("""COMPUTED_VALUE"""),2.6153240137561498)</f>
        <v>2.615324014</v>
      </c>
      <c r="AH555" s="57">
        <f>IFERROR(__xludf.DUMMYFUNCTION("""COMPUTED_VALUE"""),1.0712510463195923)</f>
        <v>1.071251046</v>
      </c>
      <c r="AI555" s="57">
        <f>IFERROR(__xludf.DUMMYFUNCTION("""COMPUTED_VALUE"""),1.4227579628112217)</f>
        <v>1.422757963</v>
      </c>
      <c r="AJ555" s="57">
        <f>IFERROR(__xludf.DUMMYFUNCTION("""COMPUTED_VALUE"""),1.4682668912790389)</f>
        <v>1.468266891</v>
      </c>
      <c r="AK555" s="57">
        <f>IFERROR(__xludf.DUMMYFUNCTION("""COMPUTED_VALUE"""),0.7202102982699817)</f>
        <v>0.7202102983</v>
      </c>
      <c r="AL555" s="57">
        <f>IFERROR(__xludf.DUMMYFUNCTION("""COMPUTED_VALUE"""),1.1607411814929838)</f>
        <v>1.160741181</v>
      </c>
      <c r="AM555" s="57">
        <f>IFERROR(__xludf.DUMMYFUNCTION("""COMPUTED_VALUE"""),0.9517095427885233)</f>
        <v>0.9517095428</v>
      </c>
      <c r="AN555" s="57">
        <f>IFERROR(__xludf.DUMMYFUNCTION("""COMPUTED_VALUE"""),0.8867319529668617)</f>
        <v>0.886731953</v>
      </c>
      <c r="AO555" s="57">
        <f>IFERROR(__xludf.DUMMYFUNCTION("""COMPUTED_VALUE"""),0.8263439661714342)</f>
        <v>0.8263439662</v>
      </c>
      <c r="AP555" s="35">
        <f>IFERROR(__xludf.DUMMYFUNCTION("""COMPUTED_VALUE"""),1.0932539349315544)</f>
        <v>1.093253935</v>
      </c>
      <c r="AQ555" s="57">
        <f>IFERROR(__xludf.DUMMYFUNCTION("""COMPUTED_VALUE"""),0.9780656587633004)</f>
        <v>0.9780656588</v>
      </c>
      <c r="AR555" s="36" t="b">
        <f>IFERROR(__xludf.DUMMYFUNCTION("""COMPUTED_VALUE"""),TRUE)</f>
        <v>1</v>
      </c>
      <c r="AS555" s="57"/>
      <c r="AT555" s="37"/>
      <c r="AU555" s="30"/>
      <c r="AV555" s="30"/>
      <c r="AW555" s="30"/>
      <c r="AX555" s="30"/>
      <c r="AY555" s="30"/>
      <c r="AZ555" s="30"/>
    </row>
    <row r="556">
      <c r="A556" s="30" t="str">
        <f>IFERROR(__xludf.DUMMYFUNCTION("""COMPUTED_VALUE"""),"Rival")</f>
        <v>Rival</v>
      </c>
      <c r="B556" s="30" t="str">
        <f>IFERROR(__xludf.DUMMYFUNCTION("""COMPUTED_VALUE"""),"RSC006338")</f>
        <v>RSC006338</v>
      </c>
      <c r="C556" s="30" t="str">
        <f>IFERROR(__xludf.DUMMYFUNCTION("""COMPUTED_VALUE"""),"mykul.457")</f>
        <v>mykul.457</v>
      </c>
      <c r="D556" s="31"/>
      <c r="E556" s="31">
        <f>IFERROR(__xludf.DUMMYFUNCTION("""COMPUTED_VALUE"""),90.48385066212562)</f>
        <v>90.48385066</v>
      </c>
      <c r="F556" s="31">
        <f>IFERROR(__xludf.DUMMYFUNCTION("""COMPUTED_VALUE"""),18.980534159102206)</f>
        <v>18.98053416</v>
      </c>
      <c r="G556" s="31">
        <f>IFERROR(__xludf.DUMMYFUNCTION("""COMPUTED_VALUE"""),65.60491407171332)</f>
        <v>65.60491407</v>
      </c>
      <c r="H556" s="31">
        <f>IFERROR(__xludf.DUMMYFUNCTION("""COMPUTED_VALUE"""),3.7558790972315763)</f>
        <v>3.755879097</v>
      </c>
      <c r="I556" s="54">
        <f>IFERROR(__xludf.DUMMYFUNCTION("""COMPUTED_VALUE"""),2.0)</f>
        <v>2</v>
      </c>
      <c r="J556" s="55">
        <f>IFERROR(__xludf.DUMMYFUNCTION("""COMPUTED_VALUE"""),1.0)</f>
        <v>1</v>
      </c>
      <c r="K556" s="54">
        <f>IFERROR(__xludf.DUMMYFUNCTION("""COMPUTED_VALUE"""),1.0)</f>
        <v>1</v>
      </c>
      <c r="L556" s="56">
        <f>IFERROR(__xludf.DUMMYFUNCTION("""COMPUTED_VALUE"""),0.5)</f>
        <v>0.5</v>
      </c>
      <c r="M556" s="56">
        <f>IFERROR(__xludf.DUMMYFUNCTION("""COMPUTED_VALUE"""),0.2)</f>
        <v>0.2</v>
      </c>
      <c r="N556" s="31">
        <f>IFERROR(__xludf.DUMMYFUNCTION("""COMPUTED_VALUE"""),376.0)</f>
        <v>376</v>
      </c>
      <c r="O556" s="57">
        <f>IFERROR(__xludf.DUMMYFUNCTION("""COMPUTED_VALUE"""),0.5)</f>
        <v>0.5</v>
      </c>
      <c r="P556" s="57">
        <f>IFERROR(__xludf.DUMMYFUNCTION("""COMPUTED_VALUE"""),1.5)</f>
        <v>1.5</v>
      </c>
      <c r="Q556" s="57">
        <f>IFERROR(__xludf.DUMMYFUNCTION("""COMPUTED_VALUE"""),1.0)</f>
        <v>1</v>
      </c>
      <c r="R556" s="57">
        <f>IFERROR(__xludf.DUMMYFUNCTION("""COMPUTED_VALUE"""),2.5)</f>
        <v>2.5</v>
      </c>
      <c r="S556" s="31">
        <f>IFERROR(__xludf.DUMMYFUNCTION("""COMPUTED_VALUE"""),253.66666666666666)</f>
        <v>253.6666667</v>
      </c>
      <c r="T556" s="57">
        <f>IFERROR(__xludf.DUMMYFUNCTION("""COMPUTED_VALUE"""),0.16666666666666666)</f>
        <v>0.1666666667</v>
      </c>
      <c r="U556" s="57">
        <f>IFERROR(__xludf.DUMMYFUNCTION("""COMPUTED_VALUE"""),0.16666666666666666)</f>
        <v>0.1666666667</v>
      </c>
      <c r="V556" s="57">
        <f>IFERROR(__xludf.DUMMYFUNCTION("""COMPUTED_VALUE"""),1.5)</f>
        <v>1.5</v>
      </c>
      <c r="W556" s="57">
        <f>IFERROR(__xludf.DUMMYFUNCTION("""COMPUTED_VALUE"""),2.666666666666667)</f>
        <v>2.666666667</v>
      </c>
      <c r="X556" s="31">
        <f>IFERROR(__xludf.DUMMYFUNCTION("""COMPUTED_VALUE"""),305.9560994560995)</f>
        <v>305.9560995</v>
      </c>
      <c r="Y556" s="57">
        <f>IFERROR(__xludf.DUMMYFUNCTION("""COMPUTED_VALUE"""),0.6386946386946387)</f>
        <v>0.6386946387</v>
      </c>
      <c r="Z556" s="57">
        <f>IFERROR(__xludf.DUMMYFUNCTION("""COMPUTED_VALUE"""),0.45143745143745145)</f>
        <v>0.4514374514</v>
      </c>
      <c r="AA556" s="57">
        <f>IFERROR(__xludf.DUMMYFUNCTION("""COMPUTED_VALUE"""),1.259129759129759)</f>
        <v>1.259129759</v>
      </c>
      <c r="AB556" s="57">
        <f>IFERROR(__xludf.DUMMYFUNCTION("""COMPUTED_VALUE"""),2.343822843822844)</f>
        <v>2.343822844</v>
      </c>
      <c r="AC556" s="31">
        <f>IFERROR(__xludf.DUMMYFUNCTION("""COMPUTED_VALUE"""),372.04649054649053)</f>
        <v>372.0464905</v>
      </c>
      <c r="AD556" s="57">
        <f>IFERROR(__xludf.DUMMYFUNCTION("""COMPUTED_VALUE"""),0.8646723646723646)</f>
        <v>0.8646723647</v>
      </c>
      <c r="AE556" s="57">
        <f>IFERROR(__xludf.DUMMYFUNCTION("""COMPUTED_VALUE"""),0.5964775964775965)</f>
        <v>0.5964775965</v>
      </c>
      <c r="AF556" s="57">
        <f>IFERROR(__xludf.DUMMYFUNCTION("""COMPUTED_VALUE"""),1.415954415954416)</f>
        <v>1.415954416</v>
      </c>
      <c r="AG556" s="57">
        <f>IFERROR(__xludf.DUMMYFUNCTION("""COMPUTED_VALUE"""),2.7733747733747727)</f>
        <v>2.773374773</v>
      </c>
      <c r="AH556" s="57">
        <f>IFERROR(__xludf.DUMMYFUNCTION("""COMPUTED_VALUE"""),1.010626385556553)</f>
        <v>1.010626386</v>
      </c>
      <c r="AI556" s="57">
        <f>IFERROR(__xludf.DUMMYFUNCTION("""COMPUTED_VALUE"""),0.5782537067545305)</f>
        <v>0.5782537068</v>
      </c>
      <c r="AJ556" s="57">
        <f>IFERROR(__xludf.DUMMYFUNCTION("""COMPUTED_VALUE"""),2.5147633521493704)</f>
        <v>2.514763352</v>
      </c>
      <c r="AK556" s="57">
        <f>IFERROR(__xludf.DUMMYFUNCTION("""COMPUTED_VALUE"""),0.7062374245472837)</f>
        <v>0.7062374245</v>
      </c>
      <c r="AL556" s="57">
        <f>IFERROR(__xludf.DUMMYFUNCTION("""COMPUTED_VALUE"""),0.9014288382517746)</f>
        <v>0.9014288383</v>
      </c>
      <c r="AM556" s="57">
        <f>IFERROR(__xludf.DUMMYFUNCTION("""COMPUTED_VALUE"""),0.8290949816578648)</f>
        <v>0.8290949817</v>
      </c>
      <c r="AN556" s="57">
        <f>IFERROR(__xludf.DUMMYFUNCTION("""COMPUTED_VALUE"""),0.26094890510948904)</f>
        <v>0.2609489051</v>
      </c>
      <c r="AO556" s="57">
        <f>IFERROR(__xludf.DUMMYFUNCTION("""COMPUTED_VALUE"""),0.36919104991394147)</f>
        <v>0.3691910499</v>
      </c>
      <c r="AP556" s="35">
        <f>IFERROR(__xludf.DUMMYFUNCTION("""COMPUTED_VALUE"""),1.1912989817957422)</f>
        <v>1.191298982</v>
      </c>
      <c r="AQ556" s="57">
        <f>IFERROR(__xludf.DUMMYFUNCTION("""COMPUTED_VALUE"""),1.1377424167081056)</f>
        <v>1.137742417</v>
      </c>
      <c r="AR556" s="36" t="b">
        <f>IFERROR(__xludf.DUMMYFUNCTION("""COMPUTED_VALUE"""),TRUE)</f>
        <v>1</v>
      </c>
      <c r="AS556" s="57"/>
      <c r="AT556" s="37"/>
      <c r="AU556" s="30"/>
      <c r="AV556" s="30"/>
      <c r="AW556" s="30"/>
      <c r="AX556" s="30"/>
      <c r="AY556" s="30"/>
      <c r="AZ556" s="30"/>
    </row>
    <row r="557">
      <c r="A557" s="30" t="str">
        <f>IFERROR(__xludf.DUMMYFUNCTION("""COMPUTED_VALUE"""),"Rival")</f>
        <v>Rival</v>
      </c>
      <c r="B557" s="30" t="str">
        <f>IFERROR(__xludf.DUMMYFUNCTION("""COMPUTED_VALUE"""),"RSC005691")</f>
        <v>RSC005691</v>
      </c>
      <c r="C557" s="30" t="str">
        <f>IFERROR(__xludf.DUMMYFUNCTION("""COMPUTED_VALUE"""),"Dr.Ukulele")</f>
        <v>Dr.Ukulele</v>
      </c>
      <c r="D557" s="31" t="str">
        <f>IFERROR(__xludf.DUMMYFUNCTION("""COMPUTED_VALUE"""),"Hot Wings")</f>
        <v>Hot Wings</v>
      </c>
      <c r="E557" s="31">
        <f>IFERROR(__xludf.DUMMYFUNCTION("""COMPUTED_VALUE"""),87.43756197936791)</f>
        <v>87.43756198</v>
      </c>
      <c r="F557" s="31">
        <f>IFERROR(__xludf.DUMMYFUNCTION("""COMPUTED_VALUE"""),14.8961853949002)</f>
        <v>14.89618539</v>
      </c>
      <c r="G557" s="31">
        <f>IFERROR(__xludf.DUMMYFUNCTION("""COMPUTED_VALUE"""),62.63780384035386)</f>
        <v>62.63780384</v>
      </c>
      <c r="H557" s="31">
        <f>IFERROR(__xludf.DUMMYFUNCTION("""COMPUTED_VALUE"""),3.261583048686114)</f>
        <v>3.261583049</v>
      </c>
      <c r="I557" s="54">
        <f>IFERROR(__xludf.DUMMYFUNCTION("""COMPUTED_VALUE"""),35.0)</f>
        <v>35</v>
      </c>
      <c r="J557" s="55">
        <f>IFERROR(__xludf.DUMMYFUNCTION("""COMPUTED_VALUE"""),26.0)</f>
        <v>26</v>
      </c>
      <c r="K557" s="54">
        <f>IFERROR(__xludf.DUMMYFUNCTION("""COMPUTED_VALUE"""),9.0)</f>
        <v>9</v>
      </c>
      <c r="L557" s="56">
        <f>IFERROR(__xludf.DUMMYFUNCTION("""COMPUTED_VALUE"""),0.7428571428571429)</f>
        <v>0.7428571429</v>
      </c>
      <c r="M557" s="56">
        <f>IFERROR(__xludf.DUMMYFUNCTION("""COMPUTED_VALUE"""),0.35454545454545455)</f>
        <v>0.3545454545</v>
      </c>
      <c r="N557" s="31">
        <f>IFERROR(__xludf.DUMMYFUNCTION("""COMPUTED_VALUE"""),401.14285714285717)</f>
        <v>401.1428571</v>
      </c>
      <c r="O557" s="57">
        <f>IFERROR(__xludf.DUMMYFUNCTION("""COMPUTED_VALUE"""),1.1142857142857143)</f>
        <v>1.114285714</v>
      </c>
      <c r="P557" s="57">
        <f>IFERROR(__xludf.DUMMYFUNCTION("""COMPUTED_VALUE"""),0.6857142857142857)</f>
        <v>0.6857142857</v>
      </c>
      <c r="Q557" s="57">
        <f>IFERROR(__xludf.DUMMYFUNCTION("""COMPUTED_VALUE"""),1.5142857142857142)</f>
        <v>1.514285714</v>
      </c>
      <c r="R557" s="57">
        <f>IFERROR(__xludf.DUMMYFUNCTION("""COMPUTED_VALUE"""),3.142857142857143)</f>
        <v>3.142857143</v>
      </c>
      <c r="S557" s="31">
        <f>IFERROR(__xludf.DUMMYFUNCTION("""COMPUTED_VALUE"""),326.0666666666666)</f>
        <v>326.0666667</v>
      </c>
      <c r="T557" s="57">
        <f>IFERROR(__xludf.DUMMYFUNCTION("""COMPUTED_VALUE"""),0.6761904761904762)</f>
        <v>0.6761904762</v>
      </c>
      <c r="U557" s="57">
        <f>IFERROR(__xludf.DUMMYFUNCTION("""COMPUTED_VALUE"""),0.40952380952380957)</f>
        <v>0.4095238095</v>
      </c>
      <c r="V557" s="57">
        <f>IFERROR(__xludf.DUMMYFUNCTION("""COMPUTED_VALUE"""),1.4761904761904763)</f>
        <v>1.476190476</v>
      </c>
      <c r="W557" s="57">
        <f>IFERROR(__xludf.DUMMYFUNCTION("""COMPUTED_VALUE"""),2.466666666666667)</f>
        <v>2.466666667</v>
      </c>
      <c r="X557" s="31">
        <f>IFERROR(__xludf.DUMMYFUNCTION("""COMPUTED_VALUE"""),341.01977404028787)</f>
        <v>341.019774</v>
      </c>
      <c r="Y557" s="57">
        <f>IFERROR(__xludf.DUMMYFUNCTION("""COMPUTED_VALUE"""),0.7844474429983286)</f>
        <v>0.784447443</v>
      </c>
      <c r="Z557" s="57">
        <f>IFERROR(__xludf.DUMMYFUNCTION("""COMPUTED_VALUE"""),0.5203796268441949)</f>
        <v>0.5203796268</v>
      </c>
      <c r="AA557" s="57">
        <f>IFERROR(__xludf.DUMMYFUNCTION("""COMPUTED_VALUE"""),1.3183226706212803)</f>
        <v>1.318322671</v>
      </c>
      <c r="AB557" s="57">
        <f>IFERROR(__xludf.DUMMYFUNCTION("""COMPUTED_VALUE"""),2.5568275346313465)</f>
        <v>2.556827535</v>
      </c>
      <c r="AC557" s="31">
        <f>IFERROR(__xludf.DUMMYFUNCTION("""COMPUTED_VALUE"""),350.25738088664707)</f>
        <v>350.2573809</v>
      </c>
      <c r="AD557" s="57">
        <f>IFERROR(__xludf.DUMMYFUNCTION("""COMPUTED_VALUE"""),0.8206575225870799)</f>
        <v>0.8206575226</v>
      </c>
      <c r="AE557" s="57">
        <f>IFERROR(__xludf.DUMMYFUNCTION("""COMPUTED_VALUE"""),0.6009694618104028)</f>
        <v>0.6009694618</v>
      </c>
      <c r="AF557" s="57">
        <f>IFERROR(__xludf.DUMMYFUNCTION("""COMPUTED_VALUE"""),1.2983939126635484)</f>
        <v>1.298393913</v>
      </c>
      <c r="AG557" s="57">
        <f>IFERROR(__xludf.DUMMYFUNCTION("""COMPUTED_VALUE"""),2.630751644881071)</f>
        <v>2.630751645</v>
      </c>
      <c r="AH557" s="57">
        <f>IFERROR(__xludf.DUMMYFUNCTION("""COMPUTED_VALUE"""),1.1452802397122877)</f>
        <v>1.14528024</v>
      </c>
      <c r="AI557" s="57">
        <f>IFERROR(__xludf.DUMMYFUNCTION("""COMPUTED_VALUE"""),1.35779625923977)</f>
        <v>1.357796259</v>
      </c>
      <c r="AJ557" s="57">
        <f>IFERROR(__xludf.DUMMYFUNCTION("""COMPUTED_VALUE"""),1.1410135277899007)</f>
        <v>1.141013528</v>
      </c>
      <c r="AK557" s="57">
        <f>IFERROR(__xludf.DUMMYFUNCTION("""COMPUTED_VALUE"""),1.1662760426681926)</f>
        <v>1.166276043</v>
      </c>
      <c r="AL557" s="57">
        <f>IFERROR(__xludf.DUMMYFUNCTION("""COMPUTED_VALUE"""),1.1946612858619814)</f>
        <v>1.194661286</v>
      </c>
      <c r="AM557" s="57">
        <f>IFERROR(__xludf.DUMMYFUNCTION("""COMPUTED_VALUE"""),0.9561517879257796)</f>
        <v>0.9561517879</v>
      </c>
      <c r="AN557" s="57">
        <f>IFERROR(__xludf.DUMMYFUNCTION("""COMPUTED_VALUE"""),0.8619958956153)</f>
        <v>0.8619958956</v>
      </c>
      <c r="AO557" s="57">
        <f>IFERROR(__xludf.DUMMYFUNCTION("""COMPUTED_VALUE"""),0.7869712579013469)</f>
        <v>0.7869712579</v>
      </c>
      <c r="AP557" s="35">
        <f>IFERROR(__xludf.DUMMYFUNCTION("""COMPUTED_VALUE"""),1.1197489879278177)</f>
        <v>1.119748988</v>
      </c>
      <c r="AQ557" s="57">
        <f>IFERROR(__xludf.DUMMYFUNCTION("""COMPUTED_VALUE"""),0.9647372117424887)</f>
        <v>0.9647372117</v>
      </c>
      <c r="AR557" s="36" t="b">
        <f>IFERROR(__xludf.DUMMYFUNCTION("""COMPUTED_VALUE"""),TRUE)</f>
        <v>1</v>
      </c>
      <c r="AS557" s="57"/>
      <c r="AT557" s="37"/>
      <c r="AU557" s="30"/>
      <c r="AV557" s="30"/>
      <c r="AW557" s="30"/>
      <c r="AX557" s="30"/>
      <c r="AY557" s="30"/>
      <c r="AZ557" s="30"/>
    </row>
    <row r="558">
      <c r="A558" s="30" t="str">
        <f>IFERROR(__xludf.DUMMYFUNCTION("""COMPUTED_VALUE"""),"Rival")</f>
        <v>Rival</v>
      </c>
      <c r="B558" s="30" t="str">
        <f>IFERROR(__xludf.DUMMYFUNCTION("""COMPUTED_VALUE"""),"RSC007937")</f>
        <v>RSC007937</v>
      </c>
      <c r="C558" s="30" t="str">
        <f>IFERROR(__xludf.DUMMYFUNCTION("""COMPUTED_VALUE"""),"Spidey")</f>
        <v>Spidey</v>
      </c>
      <c r="D558" s="31" t="str">
        <f>IFERROR(__xludf.DUMMYFUNCTION("""COMPUTED_VALUE"""),"Ocelots")</f>
        <v>Ocelots</v>
      </c>
      <c r="E558" s="31">
        <f>IFERROR(__xludf.DUMMYFUNCTION("""COMPUTED_VALUE"""),85.72261787898472)</f>
        <v>85.72261788</v>
      </c>
      <c r="F558" s="31">
        <f>IFERROR(__xludf.DUMMYFUNCTION("""COMPUTED_VALUE"""),13.069194283897346)</f>
        <v>13.06919428</v>
      </c>
      <c r="G558" s="31">
        <f>IFERROR(__xludf.DUMMYFUNCTION("""COMPUTED_VALUE"""),75.18202959739916)</f>
        <v>75.1820296</v>
      </c>
      <c r="H558" s="31">
        <f>IFERROR(__xludf.DUMMYFUNCTION("""COMPUTED_VALUE"""),6.37349301380972)</f>
        <v>6.373493014</v>
      </c>
      <c r="I558" s="54">
        <f>IFERROR(__xludf.DUMMYFUNCTION("""COMPUTED_VALUE"""),32.0)</f>
        <v>32</v>
      </c>
      <c r="J558" s="55">
        <f>IFERROR(__xludf.DUMMYFUNCTION("""COMPUTED_VALUE"""),19.0)</f>
        <v>19</v>
      </c>
      <c r="K558" s="54">
        <f>IFERROR(__xludf.DUMMYFUNCTION("""COMPUTED_VALUE"""),13.0)</f>
        <v>13</v>
      </c>
      <c r="L558" s="56">
        <f>IFERROR(__xludf.DUMMYFUNCTION("""COMPUTED_VALUE"""),0.59375)</f>
        <v>0.59375</v>
      </c>
      <c r="M558" s="56">
        <f>IFERROR(__xludf.DUMMYFUNCTION("""COMPUTED_VALUE"""),0.30357142857142855)</f>
        <v>0.3035714286</v>
      </c>
      <c r="N558" s="31">
        <f>IFERROR(__xludf.DUMMYFUNCTION("""COMPUTED_VALUE"""),381.59375)</f>
        <v>381.59375</v>
      </c>
      <c r="O558" s="57">
        <f>IFERROR(__xludf.DUMMYFUNCTION("""COMPUTED_VALUE"""),1.0625)</f>
        <v>1.0625</v>
      </c>
      <c r="P558" s="57">
        <f>IFERROR(__xludf.DUMMYFUNCTION("""COMPUTED_VALUE"""),0.53125)</f>
        <v>0.53125</v>
      </c>
      <c r="Q558" s="57">
        <f>IFERROR(__xludf.DUMMYFUNCTION("""COMPUTED_VALUE"""),1.21875)</f>
        <v>1.21875</v>
      </c>
      <c r="R558" s="57">
        <f>IFERROR(__xludf.DUMMYFUNCTION("""COMPUTED_VALUE"""),3.5)</f>
        <v>3.5</v>
      </c>
      <c r="S558" s="31">
        <f>IFERROR(__xludf.DUMMYFUNCTION("""COMPUTED_VALUE"""),329.13541666666663)</f>
        <v>329.1354167</v>
      </c>
      <c r="T558" s="57">
        <f>IFERROR(__xludf.DUMMYFUNCTION("""COMPUTED_VALUE"""),0.6562500000000002)</f>
        <v>0.65625</v>
      </c>
      <c r="U558" s="57">
        <f>IFERROR(__xludf.DUMMYFUNCTION("""COMPUTED_VALUE"""),0.45833333333333337)</f>
        <v>0.4583333333</v>
      </c>
      <c r="V558" s="57">
        <f>IFERROR(__xludf.DUMMYFUNCTION("""COMPUTED_VALUE"""),1.375)</f>
        <v>1.375</v>
      </c>
      <c r="W558" s="57">
        <f>IFERROR(__xludf.DUMMYFUNCTION("""COMPUTED_VALUE"""),2.1354166666666665)</f>
        <v>2.135416667</v>
      </c>
      <c r="X558" s="31">
        <f>IFERROR(__xludf.DUMMYFUNCTION("""COMPUTED_VALUE"""),346.78045361884114)</f>
        <v>346.7804536</v>
      </c>
      <c r="Y558" s="57">
        <f>IFERROR(__xludf.DUMMYFUNCTION("""COMPUTED_VALUE"""),0.7644958592980908)</f>
        <v>0.7644958593</v>
      </c>
      <c r="Z558" s="57">
        <f>IFERROR(__xludf.DUMMYFUNCTION("""COMPUTED_VALUE"""),0.5496923682278018)</f>
        <v>0.5496923682</v>
      </c>
      <c r="AA558" s="57">
        <f>IFERROR(__xludf.DUMMYFUNCTION("""COMPUTED_VALUE"""),1.3427749427871447)</f>
        <v>1.342774943</v>
      </c>
      <c r="AB558" s="57">
        <f>IFERROR(__xludf.DUMMYFUNCTION("""COMPUTED_VALUE"""),2.5367943678229876)</f>
        <v>2.536794368</v>
      </c>
      <c r="AC558" s="31">
        <f>IFERROR(__xludf.DUMMYFUNCTION("""COMPUTED_VALUE"""),345.1143750737687)</f>
        <v>345.1143751</v>
      </c>
      <c r="AD558" s="57">
        <f>IFERROR(__xludf.DUMMYFUNCTION("""COMPUTED_VALUE"""),0.762286867110333)</f>
        <v>0.7622868671</v>
      </c>
      <c r="AE558" s="57">
        <f>IFERROR(__xludf.DUMMYFUNCTION("""COMPUTED_VALUE"""),0.549616191270603)</f>
        <v>0.5496161913</v>
      </c>
      <c r="AF558" s="57">
        <f>IFERROR(__xludf.DUMMYFUNCTION("""COMPUTED_VALUE"""),1.3289584013422435)</f>
        <v>1.328958401</v>
      </c>
      <c r="AG558" s="57">
        <f>IFERROR(__xludf.DUMMYFUNCTION("""COMPUTED_VALUE"""),2.5180020683972897)</f>
        <v>2.518002068</v>
      </c>
      <c r="AH558" s="57">
        <f>IFERROR(__xludf.DUMMYFUNCTION("""COMPUTED_VALUE"""),1.1057022760017856)</f>
        <v>1.105702276</v>
      </c>
      <c r="AI558" s="57">
        <f>IFERROR(__xludf.DUMMYFUNCTION("""COMPUTED_VALUE"""),1.3938322249046622)</f>
        <v>1.393832225</v>
      </c>
      <c r="AJ558" s="57">
        <f>IFERROR(__xludf.DUMMYFUNCTION("""COMPUTED_VALUE"""),0.9665836058647689)</f>
        <v>0.9665836059</v>
      </c>
      <c r="AK558" s="57">
        <f>IFERROR(__xludf.DUMMYFUNCTION("""COMPUTED_VALUE"""),0.91707159439232)</f>
        <v>0.9170715944</v>
      </c>
      <c r="AL558" s="57">
        <f>IFERROR(__xludf.DUMMYFUNCTION("""COMPUTED_VALUE"""),1.3899909153878307)</f>
        <v>1.389990915</v>
      </c>
      <c r="AM558" s="57">
        <f>IFERROR(__xludf.DUMMYFUNCTION("""COMPUTED_VALUE"""),0.9491175561712345)</f>
        <v>0.9491175562</v>
      </c>
      <c r="AN558" s="57">
        <f>IFERROR(__xludf.DUMMYFUNCTION("""COMPUTED_VALUE"""),0.8584088350753466)</f>
        <v>0.8584088351</v>
      </c>
      <c r="AO558" s="57">
        <f>IFERROR(__xludf.DUMMYFUNCTION("""COMPUTED_VALUE"""),0.8337997029338278)</f>
        <v>0.8337997029</v>
      </c>
      <c r="AP558" s="35">
        <f>IFERROR(__xludf.DUMMYFUNCTION("""COMPUTED_VALUE"""),1.0239988520682155)</f>
        <v>1.023998852</v>
      </c>
      <c r="AQ558" s="57">
        <f>IFERROR(__xludf.DUMMYFUNCTION("""COMPUTED_VALUE"""),0.8417775968571023)</f>
        <v>0.8417775969</v>
      </c>
      <c r="AR558" s="36" t="b">
        <f>IFERROR(__xludf.DUMMYFUNCTION("""COMPUTED_VALUE"""),TRUE)</f>
        <v>1</v>
      </c>
      <c r="AS558" s="57"/>
      <c r="AT558" s="37"/>
      <c r="AU558" s="30"/>
      <c r="AV558" s="30"/>
      <c r="AW558" s="30"/>
      <c r="AX558" s="30"/>
      <c r="AY558" s="30"/>
      <c r="AZ558" s="30"/>
    </row>
    <row r="559">
      <c r="A559" s="30" t="str">
        <f>IFERROR(__xludf.DUMMYFUNCTION("""COMPUTED_VALUE"""),"Rival")</f>
        <v>Rival</v>
      </c>
      <c r="B559" s="30" t="str">
        <f>IFERROR(__xludf.DUMMYFUNCTION("""COMPUTED_VALUE"""),"RSC005077")</f>
        <v>RSC005077</v>
      </c>
      <c r="C559" s="30" t="str">
        <f>IFERROR(__xludf.DUMMYFUNCTION("""COMPUTED_VALUE"""),"kbm grifter")</f>
        <v>kbm grifter</v>
      </c>
      <c r="D559" s="31" t="str">
        <f>IFERROR(__xludf.DUMMYFUNCTION("""COMPUTED_VALUE"""),"Blizzards")</f>
        <v>Blizzards</v>
      </c>
      <c r="E559" s="31">
        <f>IFERROR(__xludf.DUMMYFUNCTION("""COMPUTED_VALUE"""),84.77425461195838)</f>
        <v>84.77425461</v>
      </c>
      <c r="F559" s="31">
        <f>IFERROR(__xludf.DUMMYFUNCTION("""COMPUTED_VALUE"""),12.1777116707947)</f>
        <v>12.17771167</v>
      </c>
      <c r="G559" s="31">
        <f>IFERROR(__xludf.DUMMYFUNCTION("""COMPUTED_VALUE"""),56.869469630892596)</f>
        <v>56.86946963</v>
      </c>
      <c r="H559" s="31">
        <f>IFERROR(__xludf.DUMMYFUNCTION("""COMPUTED_VALUE"""),2.5526933408978576)</f>
        <v>2.552693341</v>
      </c>
      <c r="I559" s="54">
        <f>IFERROR(__xludf.DUMMYFUNCTION("""COMPUTED_VALUE"""),4.0)</f>
        <v>4</v>
      </c>
      <c r="J559" s="55">
        <f>IFERROR(__xludf.DUMMYFUNCTION("""COMPUTED_VALUE"""),3.0)</f>
        <v>3</v>
      </c>
      <c r="K559" s="54">
        <f>IFERROR(__xludf.DUMMYFUNCTION("""COMPUTED_VALUE"""),1.0)</f>
        <v>1</v>
      </c>
      <c r="L559" s="56">
        <f>IFERROR(__xludf.DUMMYFUNCTION("""COMPUTED_VALUE"""),0.75)</f>
        <v>0.75</v>
      </c>
      <c r="M559" s="56">
        <f>IFERROR(__xludf.DUMMYFUNCTION("""COMPUTED_VALUE"""),0.2222222222222222)</f>
        <v>0.2222222222</v>
      </c>
      <c r="N559" s="31">
        <f>IFERROR(__xludf.DUMMYFUNCTION("""COMPUTED_VALUE"""),406.5)</f>
        <v>406.5</v>
      </c>
      <c r="O559" s="57">
        <f>IFERROR(__xludf.DUMMYFUNCTION("""COMPUTED_VALUE"""),1.0)</f>
        <v>1</v>
      </c>
      <c r="P559" s="57">
        <f>IFERROR(__xludf.DUMMYFUNCTION("""COMPUTED_VALUE"""),0.5)</f>
        <v>0.5</v>
      </c>
      <c r="Q559" s="57">
        <f>IFERROR(__xludf.DUMMYFUNCTION("""COMPUTED_VALUE"""),1.0)</f>
        <v>1</v>
      </c>
      <c r="R559" s="57">
        <f>IFERROR(__xludf.DUMMYFUNCTION("""COMPUTED_VALUE"""),4.5)</f>
        <v>4.5</v>
      </c>
      <c r="S559" s="31">
        <f>IFERROR(__xludf.DUMMYFUNCTION("""COMPUTED_VALUE"""),404.0833333333333)</f>
        <v>404.0833333</v>
      </c>
      <c r="T559" s="57">
        <f>IFERROR(__xludf.DUMMYFUNCTION("""COMPUTED_VALUE"""),0.9166666666666667)</f>
        <v>0.9166666667</v>
      </c>
      <c r="U559" s="57">
        <f>IFERROR(__xludf.DUMMYFUNCTION("""COMPUTED_VALUE"""),0.5833333333333333)</f>
        <v>0.5833333333</v>
      </c>
      <c r="V559" s="57">
        <f>IFERROR(__xludf.DUMMYFUNCTION("""COMPUTED_VALUE"""),1.75)</f>
        <v>1.75</v>
      </c>
      <c r="W559" s="57">
        <f>IFERROR(__xludf.DUMMYFUNCTION("""COMPUTED_VALUE"""),2.916666666666667)</f>
        <v>2.916666667</v>
      </c>
      <c r="X559" s="31">
        <f>IFERROR(__xludf.DUMMYFUNCTION("""COMPUTED_VALUE"""),368.61031746031745)</f>
        <v>368.6103175</v>
      </c>
      <c r="Y559" s="57">
        <f>IFERROR(__xludf.DUMMYFUNCTION("""COMPUTED_VALUE"""),0.9071428571428571)</f>
        <v>0.9071428571</v>
      </c>
      <c r="Z559" s="57">
        <f>IFERROR(__xludf.DUMMYFUNCTION("""COMPUTED_VALUE"""),0.615079365079365)</f>
        <v>0.6150793651</v>
      </c>
      <c r="AA559" s="57">
        <f>IFERROR(__xludf.DUMMYFUNCTION("""COMPUTED_VALUE"""),1.465873015873016)</f>
        <v>1.465873016</v>
      </c>
      <c r="AB559" s="57">
        <f>IFERROR(__xludf.DUMMYFUNCTION("""COMPUTED_VALUE"""),2.68968253968254)</f>
        <v>2.68968254</v>
      </c>
      <c r="AC559" s="31">
        <f>IFERROR(__xludf.DUMMYFUNCTION("""COMPUTED_VALUE"""),352.91984126984124)</f>
        <v>352.9198413</v>
      </c>
      <c r="AD559" s="57">
        <f>IFERROR(__xludf.DUMMYFUNCTION("""COMPUTED_VALUE"""),0.7883597883597884)</f>
        <v>0.7883597884</v>
      </c>
      <c r="AE559" s="57">
        <f>IFERROR(__xludf.DUMMYFUNCTION("""COMPUTED_VALUE"""),0.5891534391534391)</f>
        <v>0.5891534392</v>
      </c>
      <c r="AF559" s="57">
        <f>IFERROR(__xludf.DUMMYFUNCTION("""COMPUTED_VALUE"""),1.2457671957671959)</f>
        <v>1.245767196</v>
      </c>
      <c r="AG559" s="57">
        <f>IFERROR(__xludf.DUMMYFUNCTION("""COMPUTED_VALUE"""),2.7939153439153444)</f>
        <v>2.793915344</v>
      </c>
      <c r="AH559" s="57">
        <f>IFERROR(__xludf.DUMMYFUNCTION("""COMPUTED_VALUE"""),1.1518196271917496)</f>
        <v>1.151819627</v>
      </c>
      <c r="AI559" s="57">
        <f>IFERROR(__xludf.DUMMYFUNCTION("""COMPUTED_VALUE"""),1.2684563758389262)</f>
        <v>1.268456376</v>
      </c>
      <c r="AJ559" s="57">
        <f>IFERROR(__xludf.DUMMYFUNCTION("""COMPUTED_VALUE"""),0.8486753480017962)</f>
        <v>0.848675348</v>
      </c>
      <c r="AK559" s="57">
        <f>IFERROR(__xludf.DUMMYFUNCTION("""COMPUTED_VALUE"""),0.8027181991930346)</f>
        <v>0.8027181992</v>
      </c>
      <c r="AL559" s="57">
        <f>IFERROR(__xludf.DUMMYFUNCTION("""COMPUTED_VALUE"""),1.6106429315405735)</f>
        <v>1.610642932</v>
      </c>
      <c r="AM559" s="57">
        <f>IFERROR(__xludf.DUMMYFUNCTION("""COMPUTED_VALUE"""),1.096234462772016)</f>
        <v>1.096234463</v>
      </c>
      <c r="AN559" s="57">
        <f>IFERROR(__xludf.DUMMYFUNCTION("""COMPUTED_VALUE"""),1.010498687664042)</f>
        <v>1.010498688</v>
      </c>
      <c r="AO559" s="57">
        <f>IFERROR(__xludf.DUMMYFUNCTION("""COMPUTED_VALUE"""),0.9483870967741935)</f>
        <v>0.9483870968</v>
      </c>
      <c r="AP559" s="35">
        <f>IFERROR(__xludf.DUMMYFUNCTION("""COMPUTED_VALUE"""),1.1938278289117488)</f>
        <v>1.193827829</v>
      </c>
      <c r="AQ559" s="57">
        <f>IFERROR(__xludf.DUMMYFUNCTION("""COMPUTED_VALUE"""),1.0843906757155504)</f>
        <v>1.084390676</v>
      </c>
      <c r="AR559" s="36" t="b">
        <f>IFERROR(__xludf.DUMMYFUNCTION("""COMPUTED_VALUE"""),TRUE)</f>
        <v>1</v>
      </c>
      <c r="AS559" s="57"/>
      <c r="AT559" s="37"/>
      <c r="AU559" s="30"/>
      <c r="AV559" s="30"/>
      <c r="AW559" s="30"/>
      <c r="AX559" s="30"/>
      <c r="AY559" s="30"/>
      <c r="AZ559" s="30"/>
    </row>
    <row r="560">
      <c r="A560" s="30" t="str">
        <f>IFERROR(__xludf.DUMMYFUNCTION("""COMPUTED_VALUE"""),"Rival")</f>
        <v>Rival</v>
      </c>
      <c r="B560" s="30" t="str">
        <f>IFERROR(__xludf.DUMMYFUNCTION("""COMPUTED_VALUE"""),"RSC005518")</f>
        <v>RSC005518</v>
      </c>
      <c r="C560" s="30" t="str">
        <f>IFERROR(__xludf.DUMMYFUNCTION("""COMPUTED_VALUE"""),"BigDaddyDeVito")</f>
        <v>BigDaddyDeVito</v>
      </c>
      <c r="D560" s="31" t="str">
        <f>IFERROR(__xludf.DUMMYFUNCTION("""COMPUTED_VALUE"""),"Jetstream")</f>
        <v>Jetstream</v>
      </c>
      <c r="E560" s="31">
        <f>IFERROR(__xludf.DUMMYFUNCTION("""COMPUTED_VALUE"""),80.85158655817875)</f>
        <v>80.85158656</v>
      </c>
      <c r="F560" s="31">
        <f>IFERROR(__xludf.DUMMYFUNCTION("""COMPUTED_VALUE"""),9.208982596942297)</f>
        <v>9.208982597</v>
      </c>
      <c r="G560" s="31">
        <f>IFERROR(__xludf.DUMMYFUNCTION("""COMPUTED_VALUE"""),70.35387423763612)</f>
        <v>70.35387424</v>
      </c>
      <c r="H560" s="31">
        <f>IFERROR(__xludf.DUMMYFUNCTION("""COMPUTED_VALUE"""),4.812827009254743)</f>
        <v>4.812827009</v>
      </c>
      <c r="I560" s="54">
        <f>IFERROR(__xludf.DUMMYFUNCTION("""COMPUTED_VALUE"""),28.0)</f>
        <v>28</v>
      </c>
      <c r="J560" s="55">
        <f>IFERROR(__xludf.DUMMYFUNCTION("""COMPUTED_VALUE"""),13.0)</f>
        <v>13</v>
      </c>
      <c r="K560" s="54">
        <f>IFERROR(__xludf.DUMMYFUNCTION("""COMPUTED_VALUE"""),15.0)</f>
        <v>15</v>
      </c>
      <c r="L560" s="56">
        <f>IFERROR(__xludf.DUMMYFUNCTION("""COMPUTED_VALUE"""),0.4642857142857143)</f>
        <v>0.4642857143</v>
      </c>
      <c r="M560" s="56">
        <f>IFERROR(__xludf.DUMMYFUNCTION("""COMPUTED_VALUE"""),0.3186813186813187)</f>
        <v>0.3186813187</v>
      </c>
      <c r="N560" s="31">
        <f>IFERROR(__xludf.DUMMYFUNCTION("""COMPUTED_VALUE"""),422.10714285714283)</f>
        <v>422.1071429</v>
      </c>
      <c r="O560" s="57">
        <f>IFERROR(__xludf.DUMMYFUNCTION("""COMPUTED_VALUE"""),1.0357142857142858)</f>
        <v>1.035714286</v>
      </c>
      <c r="P560" s="57">
        <f>IFERROR(__xludf.DUMMYFUNCTION("""COMPUTED_VALUE"""),0.6071428571428571)</f>
        <v>0.6071428571</v>
      </c>
      <c r="Q560" s="57">
        <f>IFERROR(__xludf.DUMMYFUNCTION("""COMPUTED_VALUE"""),1.6071428571428572)</f>
        <v>1.607142857</v>
      </c>
      <c r="R560" s="57">
        <f>IFERROR(__xludf.DUMMYFUNCTION("""COMPUTED_VALUE"""),3.25)</f>
        <v>3.25</v>
      </c>
      <c r="S560" s="31">
        <f>IFERROR(__xludf.DUMMYFUNCTION("""COMPUTED_VALUE"""),345.65476190476187)</f>
        <v>345.6547619</v>
      </c>
      <c r="T560" s="57">
        <f>IFERROR(__xludf.DUMMYFUNCTION("""COMPUTED_VALUE"""),0.7142857142857143)</f>
        <v>0.7142857143</v>
      </c>
      <c r="U560" s="57">
        <f>IFERROR(__xludf.DUMMYFUNCTION("""COMPUTED_VALUE"""),0.5357142857142857)</f>
        <v>0.5357142857</v>
      </c>
      <c r="V560" s="57">
        <f>IFERROR(__xludf.DUMMYFUNCTION("""COMPUTED_VALUE"""),1.2738095238095237)</f>
        <v>1.273809524</v>
      </c>
      <c r="W560" s="57">
        <f>IFERROR(__xludf.DUMMYFUNCTION("""COMPUTED_VALUE"""),2.654761904761905)</f>
        <v>2.654761905</v>
      </c>
      <c r="X560" s="31">
        <f>IFERROR(__xludf.DUMMYFUNCTION("""COMPUTED_VALUE"""),352.3573788553327)</f>
        <v>352.3573789</v>
      </c>
      <c r="Y560" s="57">
        <f>IFERROR(__xludf.DUMMYFUNCTION("""COMPUTED_VALUE"""),0.8081644712719392)</f>
        <v>0.8081644713</v>
      </c>
      <c r="Z560" s="57">
        <f>IFERROR(__xludf.DUMMYFUNCTION("""COMPUTED_VALUE"""),0.5514919128436948)</f>
        <v>0.5514919128</v>
      </c>
      <c r="AA560" s="57">
        <f>IFERROR(__xludf.DUMMYFUNCTION("""COMPUTED_VALUE"""),1.2979569474302768)</f>
        <v>1.297956947</v>
      </c>
      <c r="AB560" s="57">
        <f>IFERROR(__xludf.DUMMYFUNCTION("""COMPUTED_VALUE"""),2.6401712576776957)</f>
        <v>2.640171258</v>
      </c>
      <c r="AC560" s="31">
        <f>IFERROR(__xludf.DUMMYFUNCTION("""COMPUTED_VALUE"""),352.4300813957952)</f>
        <v>352.4300814</v>
      </c>
      <c r="AD560" s="57">
        <f>IFERROR(__xludf.DUMMYFUNCTION("""COMPUTED_VALUE"""),0.8240374880643558)</f>
        <v>0.8240374881</v>
      </c>
      <c r="AE560" s="57">
        <f>IFERROR(__xludf.DUMMYFUNCTION("""COMPUTED_VALUE"""),0.5962878017219052)</f>
        <v>0.5962878017</v>
      </c>
      <c r="AF560" s="57">
        <f>IFERROR(__xludf.DUMMYFUNCTION("""COMPUTED_VALUE"""),1.3006755403413064)</f>
        <v>1.30067554</v>
      </c>
      <c r="AG560" s="57">
        <f>IFERROR(__xludf.DUMMYFUNCTION("""COMPUTED_VALUE"""),2.6745768046942238)</f>
        <v>2.674576805</v>
      </c>
      <c r="AH560" s="57">
        <f>IFERROR(__xludf.DUMMYFUNCTION("""COMPUTED_VALUE"""),1.19770463742877)</f>
        <v>1.197704637</v>
      </c>
      <c r="AI560" s="57">
        <f>IFERROR(__xludf.DUMMYFUNCTION("""COMPUTED_VALUE"""),1.256877630831036)</f>
        <v>1.256877631</v>
      </c>
      <c r="AJ560" s="57">
        <f>IFERROR(__xludf.DUMMYFUNCTION("""COMPUTED_VALUE"""),1.0182043895407649)</f>
        <v>1.01820439</v>
      </c>
      <c r="AK560" s="57">
        <f>IFERROR(__xludf.DUMMYFUNCTION("""COMPUTED_VALUE"""),1.2356216499013517)</f>
        <v>1.23562165</v>
      </c>
      <c r="AL560" s="57">
        <f>IFERROR(__xludf.DUMMYFUNCTION("""COMPUTED_VALUE"""),1.215145511729495)</f>
        <v>1.215145512</v>
      </c>
      <c r="AM560" s="57">
        <f>IFERROR(__xludf.DUMMYFUNCTION("""COMPUTED_VALUE"""),0.9809777874601494)</f>
        <v>0.9809777875</v>
      </c>
      <c r="AN560" s="57">
        <f>IFERROR(__xludf.DUMMYFUNCTION("""COMPUTED_VALUE"""),0.8838370649498205)</f>
        <v>0.8838370649</v>
      </c>
      <c r="AO560" s="57">
        <f>IFERROR(__xludf.DUMMYFUNCTION("""COMPUTED_VALUE"""),0.9713910090756293)</f>
        <v>0.9713910091</v>
      </c>
      <c r="AP560" s="35">
        <f>IFERROR(__xludf.DUMMYFUNCTION("""COMPUTED_VALUE"""),0.9813958208178163)</f>
        <v>0.9813958208</v>
      </c>
      <c r="AQ560" s="57">
        <f>IFERROR(__xludf.DUMMYFUNCTION("""COMPUTED_VALUE"""),1.0055264017596508)</f>
        <v>1.005526402</v>
      </c>
      <c r="AR560" s="36" t="b">
        <f>IFERROR(__xludf.DUMMYFUNCTION("""COMPUTED_VALUE"""),TRUE)</f>
        <v>1</v>
      </c>
      <c r="AS560" s="57"/>
      <c r="AT560" s="37"/>
      <c r="AU560" s="30"/>
      <c r="AV560" s="30"/>
      <c r="AW560" s="30"/>
      <c r="AX560" s="30"/>
      <c r="AY560" s="30"/>
      <c r="AZ560" s="30"/>
    </row>
    <row r="561">
      <c r="A561" s="30" t="str">
        <f>IFERROR(__xludf.DUMMYFUNCTION("""COMPUTED_VALUE"""),"Rival")</f>
        <v>Rival</v>
      </c>
      <c r="B561" s="30" t="str">
        <f>IFERROR(__xludf.DUMMYFUNCTION("""COMPUTED_VALUE"""),"RSC005493")</f>
        <v>RSC005493</v>
      </c>
      <c r="C561" s="30" t="str">
        <f>IFERROR(__xludf.DUMMYFUNCTION("""COMPUTED_VALUE"""),"NJ111_")</f>
        <v>NJ111_</v>
      </c>
      <c r="D561" s="31" t="str">
        <f>IFERROR(__xludf.DUMMYFUNCTION("""COMPUTED_VALUE"""),"Hammerheads")</f>
        <v>Hammerheads</v>
      </c>
      <c r="E561" s="31">
        <f>IFERROR(__xludf.DUMMYFUNCTION("""COMPUTED_VALUE"""),80.61332936499535)</f>
        <v>80.61332936</v>
      </c>
      <c r="F561" s="31">
        <f>IFERROR(__xludf.DUMMYFUNCTION("""COMPUTED_VALUE"""),9.059975061697692)</f>
        <v>9.059975062</v>
      </c>
      <c r="G561" s="31">
        <f>IFERROR(__xludf.DUMMYFUNCTION("""COMPUTED_VALUE"""),59.40890410581836)</f>
        <v>59.40890411</v>
      </c>
      <c r="H561" s="31">
        <f>IFERROR(__xludf.DUMMYFUNCTION("""COMPUTED_VALUE"""),2.8302468986394036)</f>
        <v>2.830246899</v>
      </c>
      <c r="I561" s="54">
        <f>IFERROR(__xludf.DUMMYFUNCTION("""COMPUTED_VALUE"""),12.0)</f>
        <v>12</v>
      </c>
      <c r="J561" s="55">
        <f>IFERROR(__xludf.DUMMYFUNCTION("""COMPUTED_VALUE"""),9.0)</f>
        <v>9</v>
      </c>
      <c r="K561" s="54">
        <f>IFERROR(__xludf.DUMMYFUNCTION("""COMPUTED_VALUE"""),3.0)</f>
        <v>3</v>
      </c>
      <c r="L561" s="56">
        <f>IFERROR(__xludf.DUMMYFUNCTION("""COMPUTED_VALUE"""),0.75)</f>
        <v>0.75</v>
      </c>
      <c r="M561" s="56">
        <f>IFERROR(__xludf.DUMMYFUNCTION("""COMPUTED_VALUE"""),0.4074074074074074)</f>
        <v>0.4074074074</v>
      </c>
      <c r="N561" s="31">
        <f>IFERROR(__xludf.DUMMYFUNCTION("""COMPUTED_VALUE"""),364.9166666666667)</f>
        <v>364.9166667</v>
      </c>
      <c r="O561" s="57">
        <f>IFERROR(__xludf.DUMMYFUNCTION("""COMPUTED_VALUE"""),0.9166666666666666)</f>
        <v>0.9166666667</v>
      </c>
      <c r="P561" s="57">
        <f>IFERROR(__xludf.DUMMYFUNCTION("""COMPUTED_VALUE"""),0.9166666666666666)</f>
        <v>0.9166666667</v>
      </c>
      <c r="Q561" s="57">
        <f>IFERROR(__xludf.DUMMYFUNCTION("""COMPUTED_VALUE"""),1.5)</f>
        <v>1.5</v>
      </c>
      <c r="R561" s="57">
        <f>IFERROR(__xludf.DUMMYFUNCTION("""COMPUTED_VALUE"""),2.25)</f>
        <v>2.25</v>
      </c>
      <c r="S561" s="31">
        <f>IFERROR(__xludf.DUMMYFUNCTION("""COMPUTED_VALUE"""),299.4166666666667)</f>
        <v>299.4166667</v>
      </c>
      <c r="T561" s="57">
        <f>IFERROR(__xludf.DUMMYFUNCTION("""COMPUTED_VALUE"""),0.5833333333333334)</f>
        <v>0.5833333333</v>
      </c>
      <c r="U561" s="57">
        <f>IFERROR(__xludf.DUMMYFUNCTION("""COMPUTED_VALUE"""),0.4444444444444444)</f>
        <v>0.4444444444</v>
      </c>
      <c r="V561" s="57">
        <f>IFERROR(__xludf.DUMMYFUNCTION("""COMPUTED_VALUE"""),1.138888888888889)</f>
        <v>1.138888889</v>
      </c>
      <c r="W561" s="57">
        <f>IFERROR(__xludf.DUMMYFUNCTION("""COMPUTED_VALUE"""),2.527777777777778)</f>
        <v>2.527777778</v>
      </c>
      <c r="X561" s="31">
        <f>IFERROR(__xludf.DUMMYFUNCTION("""COMPUTED_VALUE"""),350.9546277174191)</f>
        <v>350.9546277</v>
      </c>
      <c r="Y561" s="57">
        <f>IFERROR(__xludf.DUMMYFUNCTION("""COMPUTED_VALUE"""),0.8521843264837518)</f>
        <v>0.8521843265</v>
      </c>
      <c r="Z561" s="57">
        <f>IFERROR(__xludf.DUMMYFUNCTION("""COMPUTED_VALUE"""),0.6152860062426448)</f>
        <v>0.6152860062</v>
      </c>
      <c r="AA561" s="57">
        <f>IFERROR(__xludf.DUMMYFUNCTION("""COMPUTED_VALUE"""),1.2369280375461107)</f>
        <v>1.236928038</v>
      </c>
      <c r="AB561" s="57">
        <f>IFERROR(__xludf.DUMMYFUNCTION("""COMPUTED_VALUE"""),2.752638506256023)</f>
        <v>2.752638506</v>
      </c>
      <c r="AC561" s="31">
        <f>IFERROR(__xludf.DUMMYFUNCTION("""COMPUTED_VALUE"""),344.8694545146397)</f>
        <v>344.8694545</v>
      </c>
      <c r="AD561" s="57">
        <f>IFERROR(__xludf.DUMMYFUNCTION("""COMPUTED_VALUE"""),0.799825023013486)</f>
        <v>0.799825023</v>
      </c>
      <c r="AE561" s="57">
        <f>IFERROR(__xludf.DUMMYFUNCTION("""COMPUTED_VALUE"""),0.5533307199557921)</f>
        <v>0.55333072</v>
      </c>
      <c r="AF561" s="57">
        <f>IFERROR(__xludf.DUMMYFUNCTION("""COMPUTED_VALUE"""),1.3251714841114894)</f>
        <v>1.325171484</v>
      </c>
      <c r="AG561" s="57">
        <f>IFERROR(__xludf.DUMMYFUNCTION("""COMPUTED_VALUE"""),2.54621092203439)</f>
        <v>2.546210922</v>
      </c>
      <c r="AH561" s="57">
        <f>IFERROR(__xludf.DUMMYFUNCTION("""COMPUTED_VALUE"""),1.0581298572244995)</f>
        <v>1.058129857</v>
      </c>
      <c r="AI561" s="57">
        <f>IFERROR(__xludf.DUMMYFUNCTION("""COMPUTED_VALUE"""),1.1460840062404631)</f>
        <v>1.146084006</v>
      </c>
      <c r="AJ561" s="57">
        <f>IFERROR(__xludf.DUMMYFUNCTION("""COMPUTED_VALUE"""),1.656634330260758)</f>
        <v>1.65663433</v>
      </c>
      <c r="AK561" s="57">
        <f>IFERROR(__xludf.DUMMYFUNCTION("""COMPUTED_VALUE"""),1.1319289752191815)</f>
        <v>1.131928975</v>
      </c>
      <c r="AL561" s="57">
        <f>IFERROR(__xludf.DUMMYFUNCTION("""COMPUTED_VALUE"""),0.8836659918975914)</f>
        <v>0.8836659919</v>
      </c>
      <c r="AM561" s="57">
        <f>IFERROR(__xludf.DUMMYFUNCTION("""COMPUTED_VALUE"""),0.8531492193564986)</f>
        <v>0.8531492194</v>
      </c>
      <c r="AN561" s="57">
        <f>IFERROR(__xludf.DUMMYFUNCTION("""COMPUTED_VALUE"""),0.6845154448454357)</f>
        <v>0.6845154448</v>
      </c>
      <c r="AO561" s="57">
        <f>IFERROR(__xludf.DUMMYFUNCTION("""COMPUTED_VALUE"""),0.7223379695542317)</f>
        <v>0.7223379696</v>
      </c>
      <c r="AP561" s="35">
        <f>IFERROR(__xludf.DUMMYFUNCTION("""COMPUTED_VALUE"""),0.9207398121141167)</f>
        <v>0.9207398121</v>
      </c>
      <c r="AQ561" s="57">
        <f>IFERROR(__xludf.DUMMYFUNCTION("""COMPUTED_VALUE"""),0.9183108395936497)</f>
        <v>0.9183108396</v>
      </c>
      <c r="AR561" s="36" t="b">
        <f>IFERROR(__xludf.DUMMYFUNCTION("""COMPUTED_VALUE"""),TRUE)</f>
        <v>1</v>
      </c>
      <c r="AS561" s="57"/>
      <c r="AT561" s="37"/>
      <c r="AU561" s="30"/>
      <c r="AV561" s="30"/>
      <c r="AW561" s="30"/>
      <c r="AX561" s="30"/>
      <c r="AY561" s="30"/>
      <c r="AZ561" s="30"/>
    </row>
    <row r="562">
      <c r="A562" s="30" t="str">
        <f>IFERROR(__xludf.DUMMYFUNCTION("""COMPUTED_VALUE"""),"Rival")</f>
        <v>Rival</v>
      </c>
      <c r="B562" s="30" t="str">
        <f>IFERROR(__xludf.DUMMYFUNCTION("""COMPUTED_VALUE"""),"RSC004347")</f>
        <v>RSC004347</v>
      </c>
      <c r="C562" s="30" t="str">
        <f>IFERROR(__xludf.DUMMYFUNCTION("""COMPUTED_VALUE"""),"Good job you")</f>
        <v>Good job you</v>
      </c>
      <c r="D562" s="31" t="str">
        <f>IFERROR(__xludf.DUMMYFUNCTION("""COMPUTED_VALUE"""),"Bulldozers")</f>
        <v>Bulldozers</v>
      </c>
      <c r="E562" s="31">
        <f>IFERROR(__xludf.DUMMYFUNCTION("""COMPUTED_VALUE"""),79.38641058880418)</f>
        <v>79.38641059</v>
      </c>
      <c r="F562" s="31">
        <f>IFERROR(__xludf.DUMMYFUNCTION("""COMPUTED_VALUE"""),8.339860621920216)</f>
        <v>8.339860622</v>
      </c>
      <c r="G562" s="31">
        <f>IFERROR(__xludf.DUMMYFUNCTION("""COMPUTED_VALUE"""),56.04168046878956)</f>
        <v>56.04168047</v>
      </c>
      <c r="H562" s="31">
        <f>IFERROR(__xludf.DUMMYFUNCTION("""COMPUTED_VALUE"""),2.472071670271212)</f>
        <v>2.47207167</v>
      </c>
      <c r="I562" s="54">
        <f>IFERROR(__xludf.DUMMYFUNCTION("""COMPUTED_VALUE"""),36.0)</f>
        <v>36</v>
      </c>
      <c r="J562" s="55">
        <f>IFERROR(__xludf.DUMMYFUNCTION("""COMPUTED_VALUE"""),28.0)</f>
        <v>28</v>
      </c>
      <c r="K562" s="54">
        <f>IFERROR(__xludf.DUMMYFUNCTION("""COMPUTED_VALUE"""),8.0)</f>
        <v>8</v>
      </c>
      <c r="L562" s="56">
        <f>IFERROR(__xludf.DUMMYFUNCTION("""COMPUTED_VALUE"""),0.7777777777777778)</f>
        <v>0.7777777778</v>
      </c>
      <c r="M562" s="56">
        <f>IFERROR(__xludf.DUMMYFUNCTION("""COMPUTED_VALUE"""),0.34782608695652173)</f>
        <v>0.347826087</v>
      </c>
      <c r="N562" s="31">
        <f>IFERROR(__xludf.DUMMYFUNCTION("""COMPUTED_VALUE"""),379.3333333333333)</f>
        <v>379.3333333</v>
      </c>
      <c r="O562" s="57">
        <f>IFERROR(__xludf.DUMMYFUNCTION("""COMPUTED_VALUE"""),0.8888888888888888)</f>
        <v>0.8888888889</v>
      </c>
      <c r="P562" s="57">
        <f>IFERROR(__xludf.DUMMYFUNCTION("""COMPUTED_VALUE"""),1.0555555555555556)</f>
        <v>1.055555556</v>
      </c>
      <c r="Q562" s="57">
        <f>IFERROR(__xludf.DUMMYFUNCTION("""COMPUTED_VALUE"""),1.0277777777777777)</f>
        <v>1.027777778</v>
      </c>
      <c r="R562" s="57">
        <f>IFERROR(__xludf.DUMMYFUNCTION("""COMPUTED_VALUE"""),2.5555555555555554)</f>
        <v>2.555555556</v>
      </c>
      <c r="S562" s="31">
        <f>IFERROR(__xludf.DUMMYFUNCTION("""COMPUTED_VALUE"""),325.9351851851853)</f>
        <v>325.9351852</v>
      </c>
      <c r="T562" s="57">
        <f>IFERROR(__xludf.DUMMYFUNCTION("""COMPUTED_VALUE"""),0.6388888888888887)</f>
        <v>0.6388888889</v>
      </c>
      <c r="U562" s="57">
        <f>IFERROR(__xludf.DUMMYFUNCTION("""COMPUTED_VALUE"""),0.4722222222222223)</f>
        <v>0.4722222222</v>
      </c>
      <c r="V562" s="57">
        <f>IFERROR(__xludf.DUMMYFUNCTION("""COMPUTED_VALUE"""),1.3518518518518516)</f>
        <v>1.351851852</v>
      </c>
      <c r="W562" s="57">
        <f>IFERROR(__xludf.DUMMYFUNCTION("""COMPUTED_VALUE"""),2.7129629629629624)</f>
        <v>2.712962963</v>
      </c>
      <c r="X562" s="31">
        <f>IFERROR(__xludf.DUMMYFUNCTION("""COMPUTED_VALUE"""),344.90656359466306)</f>
        <v>344.9065636</v>
      </c>
      <c r="Y562" s="57">
        <f>IFERROR(__xludf.DUMMYFUNCTION("""COMPUTED_VALUE"""),0.738875446722514)</f>
        <v>0.7388754467</v>
      </c>
      <c r="Z562" s="57">
        <f>IFERROR(__xludf.DUMMYFUNCTION("""COMPUTED_VALUE"""),0.5657110365613641)</f>
        <v>0.5657110366</v>
      </c>
      <c r="AA562" s="57">
        <f>IFERROR(__xludf.DUMMYFUNCTION("""COMPUTED_VALUE"""),1.3275065962177794)</f>
        <v>1.327506596</v>
      </c>
      <c r="AB562" s="57">
        <f>IFERROR(__xludf.DUMMYFUNCTION("""COMPUTED_VALUE"""),2.5216047939367066)</f>
        <v>2.521604794</v>
      </c>
      <c r="AC562" s="31">
        <f>IFERROR(__xludf.DUMMYFUNCTION("""COMPUTED_VALUE"""),361.5894706925966)</f>
        <v>361.5894707</v>
      </c>
      <c r="AD562" s="57">
        <f>IFERROR(__xludf.DUMMYFUNCTION("""COMPUTED_VALUE"""),0.8592074304929124)</f>
        <v>0.8592074305</v>
      </c>
      <c r="AE562" s="57">
        <f>IFERROR(__xludf.DUMMYFUNCTION("""COMPUTED_VALUE"""),0.6349624175612028)</f>
        <v>0.6349624176</v>
      </c>
      <c r="AF562" s="57">
        <f>IFERROR(__xludf.DUMMYFUNCTION("""COMPUTED_VALUE"""),1.3193085227123822)</f>
        <v>1.319308523</v>
      </c>
      <c r="AG562" s="57">
        <f>IFERROR(__xludf.DUMMYFUNCTION("""COMPUTED_VALUE"""),2.6661703734553464)</f>
        <v>2.666170373</v>
      </c>
      <c r="AH562" s="57">
        <f>IFERROR(__xludf.DUMMYFUNCTION("""COMPUTED_VALUE"""),1.0490718455013353)</f>
        <v>1.049071846</v>
      </c>
      <c r="AI562" s="57">
        <f>IFERROR(__xludf.DUMMYFUNCTION("""COMPUTED_VALUE"""),1.0345451602751488)</f>
        <v>1.03454516</v>
      </c>
      <c r="AJ562" s="57">
        <f>IFERROR(__xludf.DUMMYFUNCTION("""COMPUTED_VALUE"""),1.6623906019663166)</f>
        <v>1.662390602</v>
      </c>
      <c r="AK562" s="57">
        <f>IFERROR(__xludf.DUMMYFUNCTION("""COMPUTED_VALUE"""),0.7790276194568629)</f>
        <v>0.7790276195</v>
      </c>
      <c r="AL562" s="57">
        <f>IFERROR(__xludf.DUMMYFUNCTION("""COMPUTED_VALUE"""),0.9585117219060406)</f>
        <v>0.9585117219</v>
      </c>
      <c r="AM562" s="57">
        <f>IFERROR(__xludf.DUMMYFUNCTION("""COMPUTED_VALUE"""),0.9449956005134971)</f>
        <v>0.9449956005</v>
      </c>
      <c r="AN562" s="57">
        <f>IFERROR(__xludf.DUMMYFUNCTION("""COMPUTED_VALUE"""),0.864677384697051)</f>
        <v>0.8646773847</v>
      </c>
      <c r="AO562" s="57">
        <f>IFERROR(__xludf.DUMMYFUNCTION("""COMPUTED_VALUE"""),0.8347410456981587)</f>
        <v>0.8347410457</v>
      </c>
      <c r="AP562" s="35">
        <f>IFERROR(__xludf.DUMMYFUNCTION("""COMPUTED_VALUE"""),1.018339084493768)</f>
        <v>1.018339084</v>
      </c>
      <c r="AQ562" s="57">
        <f>IFERROR(__xludf.DUMMYFUNCTION("""COMPUTED_VALUE"""),1.0758874544838999)</f>
        <v>1.075887454</v>
      </c>
      <c r="AR562" s="36" t="b">
        <f>IFERROR(__xludf.DUMMYFUNCTION("""COMPUTED_VALUE"""),TRUE)</f>
        <v>1</v>
      </c>
      <c r="AS562" s="57"/>
      <c r="AT562" s="37"/>
      <c r="AU562" s="30"/>
      <c r="AV562" s="30"/>
      <c r="AW562" s="30"/>
      <c r="AX562" s="30"/>
      <c r="AY562" s="30"/>
      <c r="AZ562" s="30"/>
    </row>
    <row r="563">
      <c r="A563" s="30" t="str">
        <f>IFERROR(__xludf.DUMMYFUNCTION("""COMPUTED_VALUE"""),"Rival")</f>
        <v>Rival</v>
      </c>
      <c r="B563" s="30" t="str">
        <f>IFERROR(__xludf.DUMMYFUNCTION("""COMPUTED_VALUE"""),"RSC007697")</f>
        <v>RSC007697</v>
      </c>
      <c r="C563" s="30" t="str">
        <f>IFERROR(__xludf.DUMMYFUNCTION("""COMPUTED_VALUE"""),"Commander Lucas")</f>
        <v>Commander Lucas</v>
      </c>
      <c r="D563" s="31" t="str">
        <f>IFERROR(__xludf.DUMMYFUNCTION("""COMPUTED_VALUE"""),"Blizzards")</f>
        <v>Blizzards</v>
      </c>
      <c r="E563" s="31">
        <f>IFERROR(__xludf.DUMMYFUNCTION("""COMPUTED_VALUE"""),78.93122505116288)</f>
        <v>78.93122505</v>
      </c>
      <c r="F563" s="31">
        <f>IFERROR(__xludf.DUMMYFUNCTION("""COMPUTED_VALUE"""),8.091575837937972)</f>
        <v>8.091575838</v>
      </c>
      <c r="G563" s="31">
        <f>IFERROR(__xludf.DUMMYFUNCTION("""COMPUTED_VALUE"""),70.29390965623726)</f>
        <v>70.29390966</v>
      </c>
      <c r="H563" s="31">
        <f>IFERROR(__xludf.DUMMYFUNCTION("""COMPUTED_VALUE"""),4.796951835329943)</f>
        <v>4.796951835</v>
      </c>
      <c r="I563" s="54">
        <f>IFERROR(__xludf.DUMMYFUNCTION("""COMPUTED_VALUE"""),11.0)</f>
        <v>11</v>
      </c>
      <c r="J563" s="55">
        <f>IFERROR(__xludf.DUMMYFUNCTION("""COMPUTED_VALUE"""),5.0)</f>
        <v>5</v>
      </c>
      <c r="K563" s="54">
        <f>IFERROR(__xludf.DUMMYFUNCTION("""COMPUTED_VALUE"""),6.0)</f>
        <v>6</v>
      </c>
      <c r="L563" s="56">
        <f>IFERROR(__xludf.DUMMYFUNCTION("""COMPUTED_VALUE"""),0.45454545454545453)</f>
        <v>0.4545454545</v>
      </c>
      <c r="M563" s="56">
        <f>IFERROR(__xludf.DUMMYFUNCTION("""COMPUTED_VALUE"""),0.325)</f>
        <v>0.325</v>
      </c>
      <c r="N563" s="31">
        <f>IFERROR(__xludf.DUMMYFUNCTION("""COMPUTED_VALUE"""),432.09090909090907)</f>
        <v>432.0909091</v>
      </c>
      <c r="O563" s="57">
        <f>IFERROR(__xludf.DUMMYFUNCTION("""COMPUTED_VALUE"""),1.1818181818181819)</f>
        <v>1.181818182</v>
      </c>
      <c r="P563" s="57">
        <f>IFERROR(__xludf.DUMMYFUNCTION("""COMPUTED_VALUE"""),0.45454545454545453)</f>
        <v>0.4545454545</v>
      </c>
      <c r="Q563" s="57">
        <f>IFERROR(__xludf.DUMMYFUNCTION("""COMPUTED_VALUE"""),1.4545454545454546)</f>
        <v>1.454545455</v>
      </c>
      <c r="R563" s="57">
        <f>IFERROR(__xludf.DUMMYFUNCTION("""COMPUTED_VALUE"""),3.6363636363636362)</f>
        <v>3.636363636</v>
      </c>
      <c r="S563" s="31">
        <f>IFERROR(__xludf.DUMMYFUNCTION("""COMPUTED_VALUE"""),395.66666666666674)</f>
        <v>395.6666667</v>
      </c>
      <c r="T563" s="57">
        <f>IFERROR(__xludf.DUMMYFUNCTION("""COMPUTED_VALUE"""),1.0303030303030303)</f>
        <v>1.03030303</v>
      </c>
      <c r="U563" s="57">
        <f>IFERROR(__xludf.DUMMYFUNCTION("""COMPUTED_VALUE"""),0.7272727272727273)</f>
        <v>0.7272727273</v>
      </c>
      <c r="V563" s="57">
        <f>IFERROR(__xludf.DUMMYFUNCTION("""COMPUTED_VALUE"""),1.5757575757575757)</f>
        <v>1.575757576</v>
      </c>
      <c r="W563" s="57">
        <f>IFERROR(__xludf.DUMMYFUNCTION("""COMPUTED_VALUE"""),2.6363636363636362)</f>
        <v>2.636363636</v>
      </c>
      <c r="X563" s="31">
        <f>IFERROR(__xludf.DUMMYFUNCTION("""COMPUTED_VALUE"""),348.80643268427866)</f>
        <v>348.8064327</v>
      </c>
      <c r="Y563" s="57">
        <f>IFERROR(__xludf.DUMMYFUNCTION("""COMPUTED_VALUE"""),0.787933724814511)</f>
        <v>0.7879337248</v>
      </c>
      <c r="Z563" s="57">
        <f>IFERROR(__xludf.DUMMYFUNCTION("""COMPUTED_VALUE"""),0.5182099975470109)</f>
        <v>0.5182099975</v>
      </c>
      <c r="AA563" s="57">
        <f>IFERROR(__xludf.DUMMYFUNCTION("""COMPUTED_VALUE"""),1.38981402708007)</f>
        <v>1.389814027</v>
      </c>
      <c r="AB563" s="57">
        <f>IFERROR(__xludf.DUMMYFUNCTION("""COMPUTED_VALUE"""),2.366310565790541)</f>
        <v>2.366310566</v>
      </c>
      <c r="AC563" s="31">
        <f>IFERROR(__xludf.DUMMYFUNCTION("""COMPUTED_VALUE"""),334.855904909663)</f>
        <v>334.8559049</v>
      </c>
      <c r="AD563" s="57">
        <f>IFERROR(__xludf.DUMMYFUNCTION("""COMPUTED_VALUE"""),0.7471780852790905)</f>
        <v>0.7471780853</v>
      </c>
      <c r="AE563" s="57">
        <f>IFERROR(__xludf.DUMMYFUNCTION("""COMPUTED_VALUE"""),0.5465546325546949)</f>
        <v>0.5465546326</v>
      </c>
      <c r="AF563" s="57">
        <f>IFERROR(__xludf.DUMMYFUNCTION("""COMPUTED_VALUE"""),1.18745560854554)</f>
        <v>1.187455609</v>
      </c>
      <c r="AG563" s="57">
        <f>IFERROR(__xludf.DUMMYFUNCTION("""COMPUTED_VALUE"""),2.6342027166030957)</f>
        <v>2.634202717</v>
      </c>
      <c r="AH563" s="57">
        <f>IFERROR(__xludf.DUMMYFUNCTION("""COMPUTED_VALUE"""),1.2903786457266686)</f>
        <v>1.290378646</v>
      </c>
      <c r="AI563" s="57">
        <f>IFERROR(__xludf.DUMMYFUNCTION("""COMPUTED_VALUE"""),1.5817088390336582)</f>
        <v>1.581708839</v>
      </c>
      <c r="AJ563" s="57">
        <f>IFERROR(__xludf.DUMMYFUNCTION("""COMPUTED_VALUE"""),0.8316560275426211)</f>
        <v>0.8316560275</v>
      </c>
      <c r="AK563" s="57">
        <f>IFERROR(__xludf.DUMMYFUNCTION("""COMPUTED_VALUE"""),1.2249261733051735)</f>
        <v>1.224926173</v>
      </c>
      <c r="AL563" s="57">
        <f>IFERROR(__xludf.DUMMYFUNCTION("""COMPUTED_VALUE"""),1.3804418367060471)</f>
        <v>1.380441837</v>
      </c>
      <c r="AM563" s="57">
        <f>IFERROR(__xludf.DUMMYFUNCTION("""COMPUTED_VALUE"""),1.1343445234704244)</f>
        <v>1.134344523</v>
      </c>
      <c r="AN563" s="57">
        <f>IFERROR(__xludf.DUMMYFUNCTION("""COMPUTED_VALUE"""),1.3076011317393172)</f>
        <v>1.307601132</v>
      </c>
      <c r="AO563" s="57">
        <f>IFERROR(__xludf.DUMMYFUNCTION("""COMPUTED_VALUE"""),1.4034324515453809)</f>
        <v>1.403432452</v>
      </c>
      <c r="AP563" s="35">
        <f>IFERROR(__xludf.DUMMYFUNCTION("""COMPUTED_VALUE"""),1.1337902374378561)</f>
        <v>1.133790237</v>
      </c>
      <c r="AQ563" s="57">
        <f>IFERROR(__xludf.DUMMYFUNCTION("""COMPUTED_VALUE"""),1.114124102929353)</f>
        <v>1.114124103</v>
      </c>
      <c r="AR563" s="36" t="b">
        <f>IFERROR(__xludf.DUMMYFUNCTION("""COMPUTED_VALUE"""),TRUE)</f>
        <v>1</v>
      </c>
      <c r="AS563" s="57"/>
      <c r="AT563" s="37"/>
      <c r="AU563" s="30"/>
      <c r="AV563" s="30"/>
      <c r="AW563" s="30"/>
      <c r="AX563" s="30"/>
      <c r="AY563" s="30"/>
      <c r="AZ563" s="30"/>
    </row>
    <row r="564">
      <c r="A564" s="30" t="str">
        <f>IFERROR(__xludf.DUMMYFUNCTION("""COMPUTED_VALUE"""),"Rival")</f>
        <v>Rival</v>
      </c>
      <c r="B564" s="30" t="str">
        <f>IFERROR(__xludf.DUMMYFUNCTION("""COMPUTED_VALUE"""),"RSC005677")</f>
        <v>RSC005677</v>
      </c>
      <c r="C564" s="30" t="str">
        <f>IFERROR(__xludf.DUMMYFUNCTION("""COMPUTED_VALUE"""),"z2kay")</f>
        <v>z2kay</v>
      </c>
      <c r="D564" s="31" t="str">
        <f>IFERROR(__xludf.DUMMYFUNCTION("""COMPUTED_VALUE"""),"Hammerheads")</f>
        <v>Hammerheads</v>
      </c>
      <c r="E564" s="31">
        <f>IFERROR(__xludf.DUMMYFUNCTION("""COMPUTED_VALUE"""),78.59847906209292)</f>
        <v>78.59847906</v>
      </c>
      <c r="F564" s="31">
        <f>IFERROR(__xludf.DUMMYFUNCTION("""COMPUTED_VALUE"""),7.916124913211293)</f>
        <v>7.916124913</v>
      </c>
      <c r="G564" s="31">
        <f>IFERROR(__xludf.DUMMYFUNCTION("""COMPUTED_VALUE"""),70.57216489795124)</f>
        <v>70.5721649</v>
      </c>
      <c r="H564" s="31">
        <f>IFERROR(__xludf.DUMMYFUNCTION("""COMPUTED_VALUE"""),4.871247024073991)</f>
        <v>4.871247024</v>
      </c>
      <c r="I564" s="54">
        <f>IFERROR(__xludf.DUMMYFUNCTION("""COMPUTED_VALUE"""),36.0)</f>
        <v>36</v>
      </c>
      <c r="J564" s="55">
        <f>IFERROR(__xludf.DUMMYFUNCTION("""COMPUTED_VALUE"""),20.0)</f>
        <v>20</v>
      </c>
      <c r="K564" s="54">
        <f>IFERROR(__xludf.DUMMYFUNCTION("""COMPUTED_VALUE"""),16.0)</f>
        <v>16</v>
      </c>
      <c r="L564" s="56">
        <f>IFERROR(__xludf.DUMMYFUNCTION("""COMPUTED_VALUE"""),0.5555555555555556)</f>
        <v>0.5555555556</v>
      </c>
      <c r="M564" s="56">
        <f>IFERROR(__xludf.DUMMYFUNCTION("""COMPUTED_VALUE"""),0.30275229357798167)</f>
        <v>0.3027522936</v>
      </c>
      <c r="N564" s="31">
        <f>IFERROR(__xludf.DUMMYFUNCTION("""COMPUTED_VALUE"""),411.75)</f>
        <v>411.75</v>
      </c>
      <c r="O564" s="57">
        <f>IFERROR(__xludf.DUMMYFUNCTION("""COMPUTED_VALUE"""),0.9166666666666666)</f>
        <v>0.9166666667</v>
      </c>
      <c r="P564" s="57">
        <f>IFERROR(__xludf.DUMMYFUNCTION("""COMPUTED_VALUE"""),0.75)</f>
        <v>0.75</v>
      </c>
      <c r="Q564" s="57">
        <f>IFERROR(__xludf.DUMMYFUNCTION("""COMPUTED_VALUE"""),1.6666666666666667)</f>
        <v>1.666666667</v>
      </c>
      <c r="R564" s="57">
        <f>IFERROR(__xludf.DUMMYFUNCTION("""COMPUTED_VALUE"""),3.0277777777777777)</f>
        <v>3.027777778</v>
      </c>
      <c r="S564" s="31">
        <f>IFERROR(__xludf.DUMMYFUNCTION("""COMPUTED_VALUE"""),338.9722222222222)</f>
        <v>338.9722222</v>
      </c>
      <c r="T564" s="57">
        <f>IFERROR(__xludf.DUMMYFUNCTION("""COMPUTED_VALUE"""),0.7222222222222222)</f>
        <v>0.7222222222</v>
      </c>
      <c r="U564" s="57">
        <f>IFERROR(__xludf.DUMMYFUNCTION("""COMPUTED_VALUE"""),0.5555555555555558)</f>
        <v>0.5555555556</v>
      </c>
      <c r="V564" s="57">
        <f>IFERROR(__xludf.DUMMYFUNCTION("""COMPUTED_VALUE"""),1.4259259259259263)</f>
        <v>1.425925926</v>
      </c>
      <c r="W564" s="57">
        <f>IFERROR(__xludf.DUMMYFUNCTION("""COMPUTED_VALUE"""),2.638888888888889)</f>
        <v>2.638888889</v>
      </c>
      <c r="X564" s="31">
        <f>IFERROR(__xludf.DUMMYFUNCTION("""COMPUTED_VALUE"""),342.6940455614113)</f>
        <v>342.6940456</v>
      </c>
      <c r="Y564" s="57">
        <f>IFERROR(__xludf.DUMMYFUNCTION("""COMPUTED_VALUE"""),0.7880716428983372)</f>
        <v>0.7880716429</v>
      </c>
      <c r="Z564" s="57">
        <f>IFERROR(__xludf.DUMMYFUNCTION("""COMPUTED_VALUE"""),0.5518048618584237)</f>
        <v>0.5518048619</v>
      </c>
      <c r="AA564" s="57">
        <f>IFERROR(__xludf.DUMMYFUNCTION("""COMPUTED_VALUE"""),1.2670238894927137)</f>
        <v>1.267023889</v>
      </c>
      <c r="AB564" s="57">
        <f>IFERROR(__xludf.DUMMYFUNCTION("""COMPUTED_VALUE"""),2.589831439030183)</f>
        <v>2.589831439</v>
      </c>
      <c r="AC564" s="31">
        <f>IFERROR(__xludf.DUMMYFUNCTION("""COMPUTED_VALUE"""),350.532178495655)</f>
        <v>350.5321785</v>
      </c>
      <c r="AD564" s="57">
        <f>IFERROR(__xludf.DUMMYFUNCTION("""COMPUTED_VALUE"""),0.8116719641319675)</f>
        <v>0.8116719641</v>
      </c>
      <c r="AE564" s="57">
        <f>IFERROR(__xludf.DUMMYFUNCTION("""COMPUTED_VALUE"""),0.5588594765773107)</f>
        <v>0.5588594766</v>
      </c>
      <c r="AF564" s="57">
        <f>IFERROR(__xludf.DUMMYFUNCTION("""COMPUTED_VALUE"""),1.3371298782559955)</f>
        <v>1.337129878</v>
      </c>
      <c r="AG564" s="57">
        <f>IFERROR(__xludf.DUMMYFUNCTION("""COMPUTED_VALUE"""),2.545405794042787)</f>
        <v>2.545405794</v>
      </c>
      <c r="AH564" s="57">
        <f>IFERROR(__xludf.DUMMYFUNCTION("""COMPUTED_VALUE"""),1.1746425157515286)</f>
        <v>1.174642516</v>
      </c>
      <c r="AI564" s="57">
        <f>IFERROR(__xludf.DUMMYFUNCTION("""COMPUTED_VALUE"""),1.129356078778678)</f>
        <v>1.129356079</v>
      </c>
      <c r="AJ564" s="57">
        <f>IFERROR(__xludf.DUMMYFUNCTION("""COMPUTED_VALUE"""),1.3420189357677423)</f>
        <v>1.342018936</v>
      </c>
      <c r="AK564" s="57">
        <f>IFERROR(__xludf.DUMMYFUNCTION("""COMPUTED_VALUE"""),1.2464508450297158)</f>
        <v>1.246450845</v>
      </c>
      <c r="AL564" s="57">
        <f>IFERROR(__xludf.DUMMYFUNCTION("""COMPUTED_VALUE"""),1.1895069088252739)</f>
        <v>1.189506909</v>
      </c>
      <c r="AM564" s="57">
        <f>IFERROR(__xludf.DUMMYFUNCTION("""COMPUTED_VALUE"""),0.9891395155900887)</f>
        <v>0.9891395156</v>
      </c>
      <c r="AN564" s="57">
        <f>IFERROR(__xludf.DUMMYFUNCTION("""COMPUTED_VALUE"""),0.9164423421785147)</f>
        <v>0.9164423422</v>
      </c>
      <c r="AO564" s="57">
        <f>IFERROR(__xludf.DUMMYFUNCTION("""COMPUTED_VALUE"""),1.006797137822418)</f>
        <v>1.006797138</v>
      </c>
      <c r="AP564" s="35">
        <f>IFERROR(__xludf.DUMMYFUNCTION("""COMPUTED_VALUE"""),1.1254136072342196)</f>
        <v>1.125413607</v>
      </c>
      <c r="AQ564" s="57">
        <f>IFERROR(__xludf.DUMMYFUNCTION("""COMPUTED_VALUE"""),1.0189423331261576)</f>
        <v>1.018942333</v>
      </c>
      <c r="AR564" s="36" t="b">
        <f>IFERROR(__xludf.DUMMYFUNCTION("""COMPUTED_VALUE"""),TRUE)</f>
        <v>1</v>
      </c>
      <c r="AS564" s="57"/>
      <c r="AT564" s="37"/>
      <c r="AU564" s="30"/>
      <c r="AV564" s="30"/>
      <c r="AW564" s="30"/>
      <c r="AX564" s="30"/>
      <c r="AY564" s="30"/>
      <c r="AZ564" s="30"/>
    </row>
    <row r="565">
      <c r="A565" s="30" t="str">
        <f>IFERROR(__xludf.DUMMYFUNCTION("""COMPUTED_VALUE"""),"Rival")</f>
        <v>Rival</v>
      </c>
      <c r="B565" s="30" t="str">
        <f>IFERROR(__xludf.DUMMYFUNCTION("""COMPUTED_VALUE"""),"RSC006678")</f>
        <v>RSC006678</v>
      </c>
      <c r="C565" s="30" t="str">
        <f>IFERROR(__xludf.DUMMYFUNCTION("""COMPUTED_VALUE"""),"EyeSucka")</f>
        <v>EyeSucka</v>
      </c>
      <c r="D565" s="31" t="str">
        <f>IFERROR(__xludf.DUMMYFUNCTION("""COMPUTED_VALUE"""),"Mining Legion")</f>
        <v>Mining Legion</v>
      </c>
      <c r="E565" s="31">
        <f>IFERROR(__xludf.DUMMYFUNCTION("""COMPUTED_VALUE"""),78.46438606888609)</f>
        <v>78.46438607</v>
      </c>
      <c r="F565" s="31">
        <f>IFERROR(__xludf.DUMMYFUNCTION("""COMPUTED_VALUE"""),7.846821388529238)</f>
        <v>7.846821389</v>
      </c>
      <c r="G565" s="31">
        <f>IFERROR(__xludf.DUMMYFUNCTION("""COMPUTED_VALUE"""),67.92962012312765)</f>
        <v>67.92962012</v>
      </c>
      <c r="H565" s="31">
        <f>IFERROR(__xludf.DUMMYFUNCTION("""COMPUTED_VALUE"""),4.226006186874726)</f>
        <v>4.226006187</v>
      </c>
      <c r="I565" s="54">
        <f>IFERROR(__xludf.DUMMYFUNCTION("""COMPUTED_VALUE"""),13.0)</f>
        <v>13</v>
      </c>
      <c r="J565" s="55">
        <f>IFERROR(__xludf.DUMMYFUNCTION("""COMPUTED_VALUE"""),7.0)</f>
        <v>7</v>
      </c>
      <c r="K565" s="54">
        <f>IFERROR(__xludf.DUMMYFUNCTION("""COMPUTED_VALUE"""),6.0)</f>
        <v>6</v>
      </c>
      <c r="L565" s="56">
        <f>IFERROR(__xludf.DUMMYFUNCTION("""COMPUTED_VALUE"""),0.5384615384615384)</f>
        <v>0.5384615385</v>
      </c>
      <c r="M565" s="56">
        <f>IFERROR(__xludf.DUMMYFUNCTION("""COMPUTED_VALUE"""),0.40625)</f>
        <v>0.40625</v>
      </c>
      <c r="N565" s="31">
        <f>IFERROR(__xludf.DUMMYFUNCTION("""COMPUTED_VALUE"""),401.2307692307692)</f>
        <v>401.2307692</v>
      </c>
      <c r="O565" s="57">
        <f>IFERROR(__xludf.DUMMYFUNCTION("""COMPUTED_VALUE"""),1.0)</f>
        <v>1</v>
      </c>
      <c r="P565" s="57">
        <f>IFERROR(__xludf.DUMMYFUNCTION("""COMPUTED_VALUE"""),0.8461538461538461)</f>
        <v>0.8461538462</v>
      </c>
      <c r="Q565" s="57">
        <f>IFERROR(__xludf.DUMMYFUNCTION("""COMPUTED_VALUE"""),1.7692307692307692)</f>
        <v>1.769230769</v>
      </c>
      <c r="R565" s="57">
        <f>IFERROR(__xludf.DUMMYFUNCTION("""COMPUTED_VALUE"""),2.4615384615384617)</f>
        <v>2.461538462</v>
      </c>
      <c r="S565" s="31">
        <f>IFERROR(__xludf.DUMMYFUNCTION("""COMPUTED_VALUE"""),362.2051282051283)</f>
        <v>362.2051282</v>
      </c>
      <c r="T565" s="57">
        <f>IFERROR(__xludf.DUMMYFUNCTION("""COMPUTED_VALUE"""),0.8717948717948717)</f>
        <v>0.8717948718</v>
      </c>
      <c r="U565" s="57">
        <f>IFERROR(__xludf.DUMMYFUNCTION("""COMPUTED_VALUE"""),0.7692307692307694)</f>
        <v>0.7692307692</v>
      </c>
      <c r="V565" s="57">
        <f>IFERROR(__xludf.DUMMYFUNCTION("""COMPUTED_VALUE"""),1.1025641025641024)</f>
        <v>1.102564103</v>
      </c>
      <c r="W565" s="57">
        <f>IFERROR(__xludf.DUMMYFUNCTION("""COMPUTED_VALUE"""),2.769230769230769)</f>
        <v>2.769230769</v>
      </c>
      <c r="X565" s="31">
        <f>IFERROR(__xludf.DUMMYFUNCTION("""COMPUTED_VALUE"""),348.60727977506826)</f>
        <v>348.6072798</v>
      </c>
      <c r="Y565" s="57">
        <f>IFERROR(__xludf.DUMMYFUNCTION("""COMPUTED_VALUE"""),0.79383325008325)</f>
        <v>0.7938332501</v>
      </c>
      <c r="Z565" s="57">
        <f>IFERROR(__xludf.DUMMYFUNCTION("""COMPUTED_VALUE"""),0.5873979119171427)</f>
        <v>0.5873979119</v>
      </c>
      <c r="AA565" s="57">
        <f>IFERROR(__xludf.DUMMYFUNCTION("""COMPUTED_VALUE"""),1.1774074038497118)</f>
        <v>1.177407404</v>
      </c>
      <c r="AB565" s="57">
        <f>IFERROR(__xludf.DUMMYFUNCTION("""COMPUTED_VALUE"""),2.6724053901938523)</f>
        <v>2.67240539</v>
      </c>
      <c r="AC565" s="31">
        <f>IFERROR(__xludf.DUMMYFUNCTION("""COMPUTED_VALUE"""),337.2694954380852)</f>
        <v>337.2694954</v>
      </c>
      <c r="AD565" s="57">
        <f>IFERROR(__xludf.DUMMYFUNCTION("""COMPUTED_VALUE"""),0.7204725473956243)</f>
        <v>0.7204725474</v>
      </c>
      <c r="AE565" s="57">
        <f>IFERROR(__xludf.DUMMYFUNCTION("""COMPUTED_VALUE"""),0.5026705073179433)</f>
        <v>0.5026705073</v>
      </c>
      <c r="AF565" s="57">
        <f>IFERROR(__xludf.DUMMYFUNCTION("""COMPUTED_VALUE"""),1.3369330752343573)</f>
        <v>1.336933075</v>
      </c>
      <c r="AG565" s="57">
        <f>IFERROR(__xludf.DUMMYFUNCTION("""COMPUTED_VALUE"""),2.3384921939409127)</f>
        <v>2.338492194</v>
      </c>
      <c r="AH565" s="57">
        <f>IFERROR(__xludf.DUMMYFUNCTION("""COMPUTED_VALUE"""),1.1896444079818236)</f>
        <v>1.189644408</v>
      </c>
      <c r="AI565" s="57">
        <f>IFERROR(__xludf.DUMMYFUNCTION("""COMPUTED_VALUE"""),1.387977937000953)</f>
        <v>1.387977937</v>
      </c>
      <c r="AJ565" s="57">
        <f>IFERROR(__xludf.DUMMYFUNCTION("""COMPUTED_VALUE"""),1.6833170711936096)</f>
        <v>1.683317071</v>
      </c>
      <c r="AK565" s="57">
        <f>IFERROR(__xludf.DUMMYFUNCTION("""COMPUTED_VALUE"""),1.323350287313845)</f>
        <v>1.323350287</v>
      </c>
      <c r="AL565" s="57">
        <f>IFERROR(__xludf.DUMMYFUNCTION("""COMPUTED_VALUE"""),1.0526177799166339)</f>
        <v>1.05261778</v>
      </c>
      <c r="AM565" s="57">
        <f>IFERROR(__xludf.DUMMYFUNCTION("""COMPUTED_VALUE"""),1.039006209046563)</f>
        <v>1.039006209</v>
      </c>
      <c r="AN565" s="57">
        <f>IFERROR(__xludf.DUMMYFUNCTION("""COMPUTED_VALUE"""),1.0982090655732117)</f>
        <v>1.098209066</v>
      </c>
      <c r="AO565" s="57">
        <f>IFERROR(__xludf.DUMMYFUNCTION("""COMPUTED_VALUE"""),1.309556526546311)</f>
        <v>1.309556527</v>
      </c>
      <c r="AP565" s="35">
        <f>IFERROR(__xludf.DUMMYFUNCTION("""COMPUTED_VALUE"""),0.9364338112356879)</f>
        <v>0.9364338112</v>
      </c>
      <c r="AQ565" s="57">
        <f>IFERROR(__xludf.DUMMYFUNCTION("""COMPUTED_VALUE"""),1.0362315460791274)</f>
        <v>1.036231546</v>
      </c>
      <c r="AR565" s="36" t="b">
        <f>IFERROR(__xludf.DUMMYFUNCTION("""COMPUTED_VALUE"""),TRUE)</f>
        <v>1</v>
      </c>
      <c r="AS565" s="57"/>
      <c r="AT565" s="37"/>
      <c r="AU565" s="30"/>
      <c r="AV565" s="30"/>
      <c r="AW565" s="30"/>
      <c r="AX565" s="30"/>
      <c r="AY565" s="30"/>
      <c r="AZ565" s="30"/>
    </row>
    <row r="566">
      <c r="A566" s="30" t="str">
        <f>IFERROR(__xludf.DUMMYFUNCTION("""COMPUTED_VALUE"""),"Rival")</f>
        <v>Rival</v>
      </c>
      <c r="B566" s="30" t="str">
        <f>IFERROR(__xludf.DUMMYFUNCTION("""COMPUTED_VALUE"""),"RSC002930")</f>
        <v>RSC002930</v>
      </c>
      <c r="C566" s="30" t="str">
        <f>IFERROR(__xludf.DUMMYFUNCTION("""COMPUTED_VALUE"""),"voakes")</f>
        <v>voakes</v>
      </c>
      <c r="D566" s="31" t="str">
        <f>IFERROR(__xludf.DUMMYFUNCTION("""COMPUTED_VALUE"""),"Hippos")</f>
        <v>Hippos</v>
      </c>
      <c r="E566" s="31">
        <f>IFERROR(__xludf.DUMMYFUNCTION("""COMPUTED_VALUE"""),78.23153191383186)</f>
        <v>78.23153191</v>
      </c>
      <c r="F566" s="31">
        <f>IFERROR(__xludf.DUMMYFUNCTION("""COMPUTED_VALUE"""),7.72834463273363)</f>
        <v>7.728344633</v>
      </c>
      <c r="G566" s="31">
        <f>IFERROR(__xludf.DUMMYFUNCTION("""COMPUTED_VALUE"""),64.88740166764083)</f>
        <v>64.88740167</v>
      </c>
      <c r="H566" s="31">
        <f>IFERROR(__xludf.DUMMYFUNCTION("""COMPUTED_VALUE"""),3.6263948252509337)</f>
        <v>3.626394825</v>
      </c>
      <c r="I566" s="54">
        <f>IFERROR(__xludf.DUMMYFUNCTION("""COMPUTED_VALUE"""),32.0)</f>
        <v>32</v>
      </c>
      <c r="J566" s="55">
        <f>IFERROR(__xludf.DUMMYFUNCTION("""COMPUTED_VALUE"""),15.0)</f>
        <v>15</v>
      </c>
      <c r="K566" s="54">
        <f>IFERROR(__xludf.DUMMYFUNCTION("""COMPUTED_VALUE"""),17.0)</f>
        <v>17</v>
      </c>
      <c r="L566" s="56">
        <f>IFERROR(__xludf.DUMMYFUNCTION("""COMPUTED_VALUE"""),0.46875)</f>
        <v>0.46875</v>
      </c>
      <c r="M566" s="56">
        <f>IFERROR(__xludf.DUMMYFUNCTION("""COMPUTED_VALUE"""),0.3229166666666667)</f>
        <v>0.3229166667</v>
      </c>
      <c r="N566" s="31">
        <f>IFERROR(__xludf.DUMMYFUNCTION("""COMPUTED_VALUE"""),402.6875)</f>
        <v>402.6875</v>
      </c>
      <c r="O566" s="57">
        <f>IFERROR(__xludf.DUMMYFUNCTION("""COMPUTED_VALUE"""),0.96875)</f>
        <v>0.96875</v>
      </c>
      <c r="P566" s="57">
        <f>IFERROR(__xludf.DUMMYFUNCTION("""COMPUTED_VALUE"""),0.75)</f>
        <v>0.75</v>
      </c>
      <c r="Q566" s="57">
        <f>IFERROR(__xludf.DUMMYFUNCTION("""COMPUTED_VALUE"""),1.625)</f>
        <v>1.625</v>
      </c>
      <c r="R566" s="57">
        <f>IFERROR(__xludf.DUMMYFUNCTION("""COMPUTED_VALUE"""),3.0)</f>
        <v>3</v>
      </c>
      <c r="S566" s="31">
        <f>IFERROR(__xludf.DUMMYFUNCTION("""COMPUTED_VALUE"""),371.02083333333326)</f>
        <v>371.0208333</v>
      </c>
      <c r="T566" s="57">
        <f>IFERROR(__xludf.DUMMYFUNCTION("""COMPUTED_VALUE"""),0.8854166666666665)</f>
        <v>0.8854166667</v>
      </c>
      <c r="U566" s="57">
        <f>IFERROR(__xludf.DUMMYFUNCTION("""COMPUTED_VALUE"""),0.6562499999999998)</f>
        <v>0.65625</v>
      </c>
      <c r="V566" s="57">
        <f>IFERROR(__xludf.DUMMYFUNCTION("""COMPUTED_VALUE"""),1.3229166666666665)</f>
        <v>1.322916667</v>
      </c>
      <c r="W566" s="57">
        <f>IFERROR(__xludf.DUMMYFUNCTION("""COMPUTED_VALUE"""),2.7708333333333335)</f>
        <v>2.770833333</v>
      </c>
      <c r="X566" s="31">
        <f>IFERROR(__xludf.DUMMYFUNCTION("""COMPUTED_VALUE"""),339.45650403654076)</f>
        <v>339.456504</v>
      </c>
      <c r="Y566" s="57">
        <f>IFERROR(__xludf.DUMMYFUNCTION("""COMPUTED_VALUE"""),0.7672295909428261)</f>
        <v>0.7672295909</v>
      </c>
      <c r="Z566" s="57">
        <f>IFERROR(__xludf.DUMMYFUNCTION("""COMPUTED_VALUE"""),0.5875247842435343)</f>
        <v>0.5875247842</v>
      </c>
      <c r="AA566" s="57">
        <f>IFERROR(__xludf.DUMMYFUNCTION("""COMPUTED_VALUE"""),1.2051509417869712)</f>
        <v>1.205150942</v>
      </c>
      <c r="AB566" s="57">
        <f>IFERROR(__xludf.DUMMYFUNCTION("""COMPUTED_VALUE"""),2.463632684717244)</f>
        <v>2.463632685</v>
      </c>
      <c r="AC566" s="31">
        <f>IFERROR(__xludf.DUMMYFUNCTION("""COMPUTED_VALUE"""),338.9574204393781)</f>
        <v>338.9574204</v>
      </c>
      <c r="AD566" s="57">
        <f>IFERROR(__xludf.DUMMYFUNCTION("""COMPUTED_VALUE"""),0.7406796302598998)</f>
        <v>0.7406796303</v>
      </c>
      <c r="AE566" s="57">
        <f>IFERROR(__xludf.DUMMYFUNCTION("""COMPUTED_VALUE"""),0.5226518894594875)</f>
        <v>0.5226518895</v>
      </c>
      <c r="AF566" s="57">
        <f>IFERROR(__xludf.DUMMYFUNCTION("""COMPUTED_VALUE"""),1.3174546782420553)</f>
        <v>1.317454678</v>
      </c>
      <c r="AG566" s="57">
        <f>IFERROR(__xludf.DUMMYFUNCTION("""COMPUTED_VALUE"""),2.3744772919527826)</f>
        <v>2.374477292</v>
      </c>
      <c r="AH566" s="57">
        <f>IFERROR(__xludf.DUMMYFUNCTION("""COMPUTED_VALUE"""),1.1880179506854016)</f>
        <v>1.188017951</v>
      </c>
      <c r="AI566" s="57">
        <f>IFERROR(__xludf.DUMMYFUNCTION("""COMPUTED_VALUE"""),1.3079204023203281)</f>
        <v>1.307920402</v>
      </c>
      <c r="AJ566" s="57">
        <f>IFERROR(__xludf.DUMMYFUNCTION("""COMPUTED_VALUE"""),1.434989550646473)</f>
        <v>1.434989551</v>
      </c>
      <c r="AK566" s="57">
        <f>IFERROR(__xludf.DUMMYFUNCTION("""COMPUTED_VALUE"""),1.2334390145157157)</f>
        <v>1.233439015</v>
      </c>
      <c r="AL566" s="57">
        <f>IFERROR(__xludf.DUMMYFUNCTION("""COMPUTED_VALUE"""),1.2634359613238433)</f>
        <v>1.263435961</v>
      </c>
      <c r="AM566" s="57">
        <f>IFERROR(__xludf.DUMMYFUNCTION("""COMPUTED_VALUE"""),1.0929849006322023)</f>
        <v>1.092984901</v>
      </c>
      <c r="AN566" s="57">
        <f>IFERROR(__xludf.DUMMYFUNCTION("""COMPUTED_VALUE"""),1.1540439486680953)</f>
        <v>1.154043949</v>
      </c>
      <c r="AO566" s="57">
        <f>IFERROR(__xludf.DUMMYFUNCTION("""COMPUTED_VALUE"""),1.1169741559838235)</f>
        <v>1.116974156</v>
      </c>
      <c r="AP566" s="35">
        <f>IFERROR(__xludf.DUMMYFUNCTION("""COMPUTED_VALUE"""),1.0977186514952848)</f>
        <v>1.097718651</v>
      </c>
      <c r="AQ566" s="57">
        <f>IFERROR(__xludf.DUMMYFUNCTION("""COMPUTED_VALUE"""),1.1246941764175156)</f>
        <v>1.124694176</v>
      </c>
      <c r="AR566" s="36" t="b">
        <f>IFERROR(__xludf.DUMMYFUNCTION("""COMPUTED_VALUE"""),TRUE)</f>
        <v>1</v>
      </c>
      <c r="AS566" s="57"/>
      <c r="AT566" s="37"/>
      <c r="AU566" s="30"/>
      <c r="AV566" s="30"/>
      <c r="AW566" s="30"/>
      <c r="AX566" s="30"/>
      <c r="AY566" s="30"/>
      <c r="AZ566" s="30"/>
    </row>
    <row r="567">
      <c r="A567" s="30" t="str">
        <f>IFERROR(__xludf.DUMMYFUNCTION("""COMPUTED_VALUE"""),"Rival")</f>
        <v>Rival</v>
      </c>
      <c r="B567" s="30" t="str">
        <f>IFERROR(__xludf.DUMMYFUNCTION("""COMPUTED_VALUE"""),"RSC006480")</f>
        <v>RSC006480</v>
      </c>
      <c r="C567" s="30" t="str">
        <f>IFERROR(__xludf.DUMMYFUNCTION("""COMPUTED_VALUE"""),"Lazyz.")</f>
        <v>Lazyz.</v>
      </c>
      <c r="D567" s="31" t="str">
        <f>IFERROR(__xludf.DUMMYFUNCTION("""COMPUTED_VALUE"""),"Dracos")</f>
        <v>Dracos</v>
      </c>
      <c r="E567" s="31">
        <f>IFERROR(__xludf.DUMMYFUNCTION("""COMPUTED_VALUE"""),76.85498470738655)</f>
        <v>76.85498471</v>
      </c>
      <c r="F567" s="31">
        <f>IFERROR(__xludf.DUMMYFUNCTION("""COMPUTED_VALUE"""),7.0738035191511965)</f>
        <v>7.073803519</v>
      </c>
      <c r="G567" s="31">
        <f>IFERROR(__xludf.DUMMYFUNCTION("""COMPUTED_VALUE"""),65.59346874357817)</f>
        <v>65.59346874</v>
      </c>
      <c r="H567" s="31">
        <f>IFERROR(__xludf.DUMMYFUNCTION("""COMPUTED_VALUE"""),3.753759598292972)</f>
        <v>3.753759598</v>
      </c>
      <c r="I567" s="54">
        <f>IFERROR(__xludf.DUMMYFUNCTION("""COMPUTED_VALUE"""),20.0)</f>
        <v>20</v>
      </c>
      <c r="J567" s="55">
        <f>IFERROR(__xludf.DUMMYFUNCTION("""COMPUTED_VALUE"""),13.0)</f>
        <v>13</v>
      </c>
      <c r="K567" s="54">
        <f>IFERROR(__xludf.DUMMYFUNCTION("""COMPUTED_VALUE"""),7.0)</f>
        <v>7</v>
      </c>
      <c r="L567" s="56">
        <f>IFERROR(__xludf.DUMMYFUNCTION("""COMPUTED_VALUE"""),0.65)</f>
        <v>0.65</v>
      </c>
      <c r="M567" s="56">
        <f>IFERROR(__xludf.DUMMYFUNCTION("""COMPUTED_VALUE"""),0.28571428571428575)</f>
        <v>0.2857142857</v>
      </c>
      <c r="N567" s="31">
        <f>IFERROR(__xludf.DUMMYFUNCTION("""COMPUTED_VALUE"""),354.85)</f>
        <v>354.85</v>
      </c>
      <c r="O567" s="57">
        <f>IFERROR(__xludf.DUMMYFUNCTION("""COMPUTED_VALUE"""),0.9)</f>
        <v>0.9</v>
      </c>
      <c r="P567" s="57">
        <f>IFERROR(__xludf.DUMMYFUNCTION("""COMPUTED_VALUE"""),0.7)</f>
        <v>0.7</v>
      </c>
      <c r="Q567" s="57">
        <f>IFERROR(__xludf.DUMMYFUNCTION("""COMPUTED_VALUE"""),1.05)</f>
        <v>1.05</v>
      </c>
      <c r="R567" s="57">
        <f>IFERROR(__xludf.DUMMYFUNCTION("""COMPUTED_VALUE"""),3.15)</f>
        <v>3.15</v>
      </c>
      <c r="S567" s="31">
        <f>IFERROR(__xludf.DUMMYFUNCTION("""COMPUTED_VALUE"""),330.6166666666667)</f>
        <v>330.6166667</v>
      </c>
      <c r="T567" s="57">
        <f>IFERROR(__xludf.DUMMYFUNCTION("""COMPUTED_VALUE"""),0.6333333333333334)</f>
        <v>0.6333333333</v>
      </c>
      <c r="U567" s="57">
        <f>IFERROR(__xludf.DUMMYFUNCTION("""COMPUTED_VALUE"""),0.3833333333333333)</f>
        <v>0.3833333333</v>
      </c>
      <c r="V567" s="57">
        <f>IFERROR(__xludf.DUMMYFUNCTION("""COMPUTED_VALUE"""),1.4)</f>
        <v>1.4</v>
      </c>
      <c r="W567" s="57">
        <f>IFERROR(__xludf.DUMMYFUNCTION("""COMPUTED_VALUE"""),2.3333333333333335)</f>
        <v>2.333333333</v>
      </c>
      <c r="X567" s="31">
        <f>IFERROR(__xludf.DUMMYFUNCTION("""COMPUTED_VALUE"""),338.18416960816955)</f>
        <v>338.1841696</v>
      </c>
      <c r="Y567" s="57">
        <f>IFERROR(__xludf.DUMMYFUNCTION("""COMPUTED_VALUE"""),0.7089094239094239)</f>
        <v>0.7089094239</v>
      </c>
      <c r="Z567" s="57">
        <f>IFERROR(__xludf.DUMMYFUNCTION("""COMPUTED_VALUE"""),0.5161659914159914)</f>
        <v>0.5161659914</v>
      </c>
      <c r="AA567" s="57">
        <f>IFERROR(__xludf.DUMMYFUNCTION("""COMPUTED_VALUE"""),1.2891242646242644)</f>
        <v>1.289124265</v>
      </c>
      <c r="AB567" s="57">
        <f>IFERROR(__xludf.DUMMYFUNCTION("""COMPUTED_VALUE"""),2.5076781459281463)</f>
        <v>2.507678146</v>
      </c>
      <c r="AC567" s="31">
        <f>IFERROR(__xludf.DUMMYFUNCTION("""COMPUTED_VALUE"""),348.2149635888802)</f>
        <v>348.2149636</v>
      </c>
      <c r="AD567" s="57">
        <f>IFERROR(__xludf.DUMMYFUNCTION("""COMPUTED_VALUE"""),0.7863057405557405)</f>
        <v>0.7863057406</v>
      </c>
      <c r="AE567" s="57">
        <f>IFERROR(__xludf.DUMMYFUNCTION("""COMPUTED_VALUE"""),0.5751444234777568)</f>
        <v>0.5751444235</v>
      </c>
      <c r="AF567" s="57">
        <f>IFERROR(__xludf.DUMMYFUNCTION("""COMPUTED_VALUE"""),1.30712304670638)</f>
        <v>1.307123047</v>
      </c>
      <c r="AG567" s="57">
        <f>IFERROR(__xludf.DUMMYFUNCTION("""COMPUTED_VALUE"""),2.5348240494073826)</f>
        <v>2.534824049</v>
      </c>
      <c r="AH567" s="57">
        <f>IFERROR(__xludf.DUMMYFUNCTION("""COMPUTED_VALUE"""),1.0190544264460544)</f>
        <v>1.019054426</v>
      </c>
      <c r="AI567" s="57">
        <f>IFERROR(__xludf.DUMMYFUNCTION("""COMPUTED_VALUE"""),1.144592940862804)</f>
        <v>1.144592941</v>
      </c>
      <c r="AJ567" s="57">
        <f>IFERROR(__xludf.DUMMYFUNCTION("""COMPUTED_VALUE"""),1.21708560741539)</f>
        <v>1.217085607</v>
      </c>
      <c r="AK567" s="57">
        <f>IFERROR(__xludf.DUMMYFUNCTION("""COMPUTED_VALUE"""),0.8032908628194836)</f>
        <v>0.8032908628</v>
      </c>
      <c r="AL567" s="57">
        <f>IFERROR(__xludf.DUMMYFUNCTION("""COMPUTED_VALUE"""),1.242689803553205)</f>
        <v>1.242689804</v>
      </c>
      <c r="AM567" s="57">
        <f>IFERROR(__xludf.DUMMYFUNCTION("""COMPUTED_VALUE"""),0.9776231307625345)</f>
        <v>0.9776231308</v>
      </c>
      <c r="AN567" s="57">
        <f>IFERROR(__xludf.DUMMYFUNCTION("""COMPUTED_VALUE"""),0.8933910482395467)</f>
        <v>0.8933910482</v>
      </c>
      <c r="AO567" s="57">
        <f>IFERROR(__xludf.DUMMYFUNCTION("""COMPUTED_VALUE"""),0.7426551530094805)</f>
        <v>0.742655153</v>
      </c>
      <c r="AP567" s="35">
        <f>IFERROR(__xludf.DUMMYFUNCTION("""COMPUTED_VALUE"""),1.086008570638496)</f>
        <v>1.086008571</v>
      </c>
      <c r="AQ567" s="57">
        <f>IFERROR(__xludf.DUMMYFUNCTION("""COMPUTED_VALUE"""),0.930475602350363)</f>
        <v>0.9304756024</v>
      </c>
      <c r="AR567" s="36" t="b">
        <f>IFERROR(__xludf.DUMMYFUNCTION("""COMPUTED_VALUE"""),TRUE)</f>
        <v>1</v>
      </c>
      <c r="AS567" s="57"/>
      <c r="AT567" s="37"/>
      <c r="AU567" s="30"/>
      <c r="AV567" s="30"/>
      <c r="AW567" s="30"/>
      <c r="AX567" s="30"/>
      <c r="AY567" s="30"/>
      <c r="AZ567" s="30"/>
    </row>
    <row r="568">
      <c r="A568" s="30" t="str">
        <f>IFERROR(__xludf.DUMMYFUNCTION("""COMPUTED_VALUE"""),"Rival")</f>
        <v>Rival</v>
      </c>
      <c r="B568" s="30" t="str">
        <f>IFERROR(__xludf.DUMMYFUNCTION("""COMPUTED_VALUE"""),"RSC007132")</f>
        <v>RSC007132</v>
      </c>
      <c r="C568" s="30" t="str">
        <f>IFERROR(__xludf.DUMMYFUNCTION("""COMPUTED_VALUE"""),"yoyo")</f>
        <v>yoyo</v>
      </c>
      <c r="D568" s="31"/>
      <c r="E568" s="31">
        <f>IFERROR(__xludf.DUMMYFUNCTION("""COMPUTED_VALUE"""),76.64443226091976)</f>
        <v>76.64443226</v>
      </c>
      <c r="F568" s="31">
        <f>IFERROR(__xludf.DUMMYFUNCTION("""COMPUTED_VALUE"""),6.980210046434551)</f>
        <v>6.980210046</v>
      </c>
      <c r="G568" s="31">
        <f>IFERROR(__xludf.DUMMYFUNCTION("""COMPUTED_VALUE"""),53.605087797869594)</f>
        <v>53.6050878</v>
      </c>
      <c r="H568" s="31">
        <f>IFERROR(__xludf.DUMMYFUNCTION("""COMPUTED_VALUE"""),2.2590197263041683)</f>
        <v>2.259019726</v>
      </c>
      <c r="I568" s="54">
        <f>IFERROR(__xludf.DUMMYFUNCTION("""COMPUTED_VALUE"""),15.0)</f>
        <v>15</v>
      </c>
      <c r="J568" s="55">
        <f>IFERROR(__xludf.DUMMYFUNCTION("""COMPUTED_VALUE"""),8.0)</f>
        <v>8</v>
      </c>
      <c r="K568" s="54">
        <f>IFERROR(__xludf.DUMMYFUNCTION("""COMPUTED_VALUE"""),7.0)</f>
        <v>7</v>
      </c>
      <c r="L568" s="56">
        <f>IFERROR(__xludf.DUMMYFUNCTION("""COMPUTED_VALUE"""),0.5333333333333333)</f>
        <v>0.5333333333</v>
      </c>
      <c r="M568" s="56">
        <f>IFERROR(__xludf.DUMMYFUNCTION("""COMPUTED_VALUE"""),0.25)</f>
        <v>0.25</v>
      </c>
      <c r="N568" s="31">
        <f>IFERROR(__xludf.DUMMYFUNCTION("""COMPUTED_VALUE"""),358.1333333333333)</f>
        <v>358.1333333</v>
      </c>
      <c r="O568" s="57">
        <f>IFERROR(__xludf.DUMMYFUNCTION("""COMPUTED_VALUE"""),1.0)</f>
        <v>1</v>
      </c>
      <c r="P568" s="57">
        <f>IFERROR(__xludf.DUMMYFUNCTION("""COMPUTED_VALUE"""),0.5333333333333333)</f>
        <v>0.5333333333</v>
      </c>
      <c r="Q568" s="57">
        <f>IFERROR(__xludf.DUMMYFUNCTION("""COMPUTED_VALUE"""),0.9333333333333333)</f>
        <v>0.9333333333</v>
      </c>
      <c r="R568" s="57">
        <f>IFERROR(__xludf.DUMMYFUNCTION("""COMPUTED_VALUE"""),4.0)</f>
        <v>4</v>
      </c>
      <c r="S568" s="31">
        <f>IFERROR(__xludf.DUMMYFUNCTION("""COMPUTED_VALUE"""),361.2)</f>
        <v>361.2</v>
      </c>
      <c r="T568" s="57">
        <f>IFERROR(__xludf.DUMMYFUNCTION("""COMPUTED_VALUE"""),0.8444444444444446)</f>
        <v>0.8444444444</v>
      </c>
      <c r="U568" s="57">
        <f>IFERROR(__xludf.DUMMYFUNCTION("""COMPUTED_VALUE"""),0.6222222222222221)</f>
        <v>0.6222222222</v>
      </c>
      <c r="V568" s="57">
        <f>IFERROR(__xludf.DUMMYFUNCTION("""COMPUTED_VALUE"""),1.3999999999999997)</f>
        <v>1.4</v>
      </c>
      <c r="W568" s="57">
        <f>IFERROR(__xludf.DUMMYFUNCTION("""COMPUTED_VALUE"""),2.7111111111111112)</f>
        <v>2.711111111</v>
      </c>
      <c r="X568" s="31">
        <f>IFERROR(__xludf.DUMMYFUNCTION("""COMPUTED_VALUE"""),351.3660636263856)</f>
        <v>351.3660636</v>
      </c>
      <c r="Y568" s="57">
        <f>IFERROR(__xludf.DUMMYFUNCTION("""COMPUTED_VALUE"""),0.7508577502619086)</f>
        <v>0.7508577503</v>
      </c>
      <c r="Z568" s="57">
        <f>IFERROR(__xludf.DUMMYFUNCTION("""COMPUTED_VALUE"""),0.5880932658544219)</f>
        <v>0.5880932659</v>
      </c>
      <c r="AA568" s="57">
        <f>IFERROR(__xludf.DUMMYFUNCTION("""COMPUTED_VALUE"""),1.4197425746817227)</f>
        <v>1.419742575</v>
      </c>
      <c r="AB568" s="57">
        <f>IFERROR(__xludf.DUMMYFUNCTION("""COMPUTED_VALUE"""),2.549418762347261)</f>
        <v>2.549418762</v>
      </c>
      <c r="AC568" s="31">
        <f>IFERROR(__xludf.DUMMYFUNCTION("""COMPUTED_VALUE"""),346.8183927320269)</f>
        <v>346.8183927</v>
      </c>
      <c r="AD568" s="57">
        <f>IFERROR(__xludf.DUMMYFUNCTION("""COMPUTED_VALUE"""),0.7749128081557088)</f>
        <v>0.7749128082</v>
      </c>
      <c r="AE568" s="57">
        <f>IFERROR(__xludf.DUMMYFUNCTION("""COMPUTED_VALUE"""),0.5541050175752679)</f>
        <v>0.5541050176</v>
      </c>
      <c r="AF568" s="57">
        <f>IFERROR(__xludf.DUMMYFUNCTION("""COMPUTED_VALUE"""),1.3084436946057976)</f>
        <v>1.308443695</v>
      </c>
      <c r="AG568" s="57">
        <f>IFERROR(__xludf.DUMMYFUNCTION("""COMPUTED_VALUE"""),2.7042118669713338)</f>
        <v>2.704211867</v>
      </c>
      <c r="AH568" s="57">
        <f>IFERROR(__xludf.DUMMYFUNCTION("""COMPUTED_VALUE"""),1.0326249727189325)</f>
        <v>1.032624973</v>
      </c>
      <c r="AI568" s="57">
        <f>IFERROR(__xludf.DUMMYFUNCTION("""COMPUTED_VALUE"""),1.2904677655025452)</f>
        <v>1.290467766</v>
      </c>
      <c r="AJ568" s="57">
        <f>IFERROR(__xludf.DUMMYFUNCTION("""COMPUTED_VALUE"""),0.9625130912316401)</f>
        <v>0.9625130912</v>
      </c>
      <c r="AK568" s="57">
        <f>IFERROR(__xludf.DUMMYFUNCTION("""COMPUTED_VALUE"""),0.7133156261756637)</f>
        <v>0.7133156262</v>
      </c>
      <c r="AL568" s="57">
        <f>IFERROR(__xludf.DUMMYFUNCTION("""COMPUTED_VALUE"""),1.4791740428533524)</f>
        <v>1.479174043</v>
      </c>
      <c r="AM568" s="57">
        <f>IFERROR(__xludf.DUMMYFUNCTION("""COMPUTED_VALUE"""),1.0279877238914883)</f>
        <v>1.027987724</v>
      </c>
      <c r="AN568" s="57">
        <f>IFERROR(__xludf.DUMMYFUNCTION("""COMPUTED_VALUE"""),1.1246397125818994)</f>
        <v>1.124639713</v>
      </c>
      <c r="AO568" s="57">
        <f>IFERROR(__xludf.DUMMYFUNCTION("""COMPUTED_VALUE"""),1.0580332378372252)</f>
        <v>1.058033238</v>
      </c>
      <c r="AP568" s="35">
        <f>IFERROR(__xludf.DUMMYFUNCTION("""COMPUTED_VALUE"""),0.9860942574845663)</f>
        <v>0.9860942575</v>
      </c>
      <c r="AQ568" s="57">
        <f>IFERROR(__xludf.DUMMYFUNCTION("""COMPUTED_VALUE"""),1.0634232206775553)</f>
        <v>1.063423221</v>
      </c>
      <c r="AR568" s="36" t="b">
        <f>IFERROR(__xludf.DUMMYFUNCTION("""COMPUTED_VALUE"""),TRUE)</f>
        <v>1</v>
      </c>
      <c r="AS568" s="57"/>
      <c r="AT568" s="37"/>
      <c r="AU568" s="30"/>
      <c r="AV568" s="30"/>
      <c r="AW568" s="30"/>
      <c r="AX568" s="30"/>
      <c r="AY568" s="30"/>
      <c r="AZ568" s="30"/>
    </row>
    <row r="569">
      <c r="A569" s="30" t="str">
        <f>IFERROR(__xludf.DUMMYFUNCTION("""COMPUTED_VALUE"""),"Rival")</f>
        <v>Rival</v>
      </c>
      <c r="B569" s="30" t="str">
        <f>IFERROR(__xludf.DUMMYFUNCTION("""COMPUTED_VALUE"""),"RSC007930")</f>
        <v>RSC007930</v>
      </c>
      <c r="C569" s="30" t="str">
        <f>IFERROR(__xludf.DUMMYFUNCTION("""COMPUTED_VALUE"""),"Ziffy")</f>
        <v>Ziffy</v>
      </c>
      <c r="D569" s="31" t="str">
        <f>IFERROR(__xludf.DUMMYFUNCTION("""COMPUTED_VALUE"""),"50 Cent")</f>
        <v>50 Cent</v>
      </c>
      <c r="E569" s="31">
        <f>IFERROR(__xludf.DUMMYFUNCTION("""COMPUTED_VALUE"""),76.24679104463605)</f>
        <v>76.24679104</v>
      </c>
      <c r="F569" s="31">
        <f>IFERROR(__xludf.DUMMYFUNCTION("""COMPUTED_VALUE"""),6.807881850720083)</f>
        <v>6.807881851</v>
      </c>
      <c r="G569" s="31">
        <f>IFERROR(__xludf.DUMMYFUNCTION("""COMPUTED_VALUE"""),56.12801723204621)</f>
        <v>56.12801723</v>
      </c>
      <c r="H569" s="31">
        <f>IFERROR(__xludf.DUMMYFUNCTION("""COMPUTED_VALUE"""),2.4802725822534106)</f>
        <v>2.480272582</v>
      </c>
      <c r="I569" s="54">
        <f>IFERROR(__xludf.DUMMYFUNCTION("""COMPUTED_VALUE"""),26.0)</f>
        <v>26</v>
      </c>
      <c r="J569" s="55">
        <f>IFERROR(__xludf.DUMMYFUNCTION("""COMPUTED_VALUE"""),16.0)</f>
        <v>16</v>
      </c>
      <c r="K569" s="54">
        <f>IFERROR(__xludf.DUMMYFUNCTION("""COMPUTED_VALUE"""),10.0)</f>
        <v>10</v>
      </c>
      <c r="L569" s="56">
        <f>IFERROR(__xludf.DUMMYFUNCTION("""COMPUTED_VALUE"""),0.6153846153846154)</f>
        <v>0.6153846154</v>
      </c>
      <c r="M569" s="56">
        <f>IFERROR(__xludf.DUMMYFUNCTION("""COMPUTED_VALUE"""),0.2875)</f>
        <v>0.2875</v>
      </c>
      <c r="N569" s="31">
        <f>IFERROR(__xludf.DUMMYFUNCTION("""COMPUTED_VALUE"""),355.65384615384613)</f>
        <v>355.6538462</v>
      </c>
      <c r="O569" s="57">
        <f>IFERROR(__xludf.DUMMYFUNCTION("""COMPUTED_VALUE"""),0.8846153846153846)</f>
        <v>0.8846153846</v>
      </c>
      <c r="P569" s="57">
        <f>IFERROR(__xludf.DUMMYFUNCTION("""COMPUTED_VALUE"""),0.8846153846153846)</f>
        <v>0.8846153846</v>
      </c>
      <c r="Q569" s="57">
        <f>IFERROR(__xludf.DUMMYFUNCTION("""COMPUTED_VALUE"""),1.1153846153846154)</f>
        <v>1.115384615</v>
      </c>
      <c r="R569" s="57">
        <f>IFERROR(__xludf.DUMMYFUNCTION("""COMPUTED_VALUE"""),3.076923076923077)</f>
        <v>3.076923077</v>
      </c>
      <c r="S569" s="31">
        <f>IFERROR(__xludf.DUMMYFUNCTION("""COMPUTED_VALUE"""),344.8076923076924)</f>
        <v>344.8076923</v>
      </c>
      <c r="T569" s="57">
        <f>IFERROR(__xludf.DUMMYFUNCTION("""COMPUTED_VALUE"""),0.8717948717948717)</f>
        <v>0.8717948718</v>
      </c>
      <c r="U569" s="57">
        <f>IFERROR(__xludf.DUMMYFUNCTION("""COMPUTED_VALUE"""),0.435897435897436)</f>
        <v>0.4358974359</v>
      </c>
      <c r="V569" s="57">
        <f>IFERROR(__xludf.DUMMYFUNCTION("""COMPUTED_VALUE"""),1.4230769230769231)</f>
        <v>1.423076923</v>
      </c>
      <c r="W569" s="57">
        <f>IFERROR(__xludf.DUMMYFUNCTION("""COMPUTED_VALUE"""),2.5)</f>
        <v>2.5</v>
      </c>
      <c r="X569" s="31">
        <f>IFERROR(__xludf.DUMMYFUNCTION("""COMPUTED_VALUE"""),345.9677016759161)</f>
        <v>345.9677017</v>
      </c>
      <c r="Y569" s="57">
        <f>IFERROR(__xludf.DUMMYFUNCTION("""COMPUTED_VALUE"""),0.8183489928405696)</f>
        <v>0.8183489928</v>
      </c>
      <c r="Z569" s="57">
        <f>IFERROR(__xludf.DUMMYFUNCTION("""COMPUTED_VALUE"""),0.5217800511837121)</f>
        <v>0.5217800512</v>
      </c>
      <c r="AA569" s="57">
        <f>IFERROR(__xludf.DUMMYFUNCTION("""COMPUTED_VALUE"""),1.3333114459127047)</f>
        <v>1.333311446</v>
      </c>
      <c r="AB569" s="57">
        <f>IFERROR(__xludf.DUMMYFUNCTION("""COMPUTED_VALUE"""),2.62594969718258)</f>
        <v>2.625949697</v>
      </c>
      <c r="AC569" s="31">
        <f>IFERROR(__xludf.DUMMYFUNCTION("""COMPUTED_VALUE"""),353.05287716519825)</f>
        <v>353.0528772</v>
      </c>
      <c r="AD569" s="57">
        <f>IFERROR(__xludf.DUMMYFUNCTION("""COMPUTED_VALUE"""),0.8353564727421641)</f>
        <v>0.8353564727</v>
      </c>
      <c r="AE569" s="57">
        <f>IFERROR(__xludf.DUMMYFUNCTION("""COMPUTED_VALUE"""),0.6219068670654242)</f>
        <v>0.6219068671</v>
      </c>
      <c r="AF569" s="57">
        <f>IFERROR(__xludf.DUMMYFUNCTION("""COMPUTED_VALUE"""),1.3069928011705032)</f>
        <v>1.306992801</v>
      </c>
      <c r="AG569" s="57">
        <f>IFERROR(__xludf.DUMMYFUNCTION("""COMPUTED_VALUE"""),2.6683457257805117)</f>
        <v>2.668345726</v>
      </c>
      <c r="AH569" s="57">
        <f>IFERROR(__xludf.DUMMYFUNCTION("""COMPUTED_VALUE"""),1.0073670805617903)</f>
        <v>1.007367081</v>
      </c>
      <c r="AI569" s="57">
        <f>IFERROR(__xludf.DUMMYFUNCTION("""COMPUTED_VALUE"""),1.0589675347956806)</f>
        <v>1.058967535</v>
      </c>
      <c r="AJ569" s="57">
        <f>IFERROR(__xludf.DUMMYFUNCTION("""COMPUTED_VALUE"""),1.4224242108623053)</f>
        <v>1.422424211</v>
      </c>
      <c r="AK569" s="57">
        <f>IFERROR(__xludf.DUMMYFUNCTION("""COMPUTED_VALUE"""),0.8533976731820639)</f>
        <v>0.8533976732</v>
      </c>
      <c r="AL569" s="57">
        <f>IFERROR(__xludf.DUMMYFUNCTION("""COMPUTED_VALUE"""),1.1531200950443006)</f>
        <v>1.153120095</v>
      </c>
      <c r="AM569" s="57">
        <f>IFERROR(__xludf.DUMMYFUNCTION("""COMPUTED_VALUE"""),0.9966470587785956)</f>
        <v>0.9966470588</v>
      </c>
      <c r="AN569" s="57">
        <f>IFERROR(__xludf.DUMMYFUNCTION("""COMPUTED_VALUE"""),1.0653093966289202)</f>
        <v>1.065309397</v>
      </c>
      <c r="AO569" s="57">
        <f>IFERROR(__xludf.DUMMYFUNCTION("""COMPUTED_VALUE"""),0.8354045634909911)</f>
        <v>0.8354045635</v>
      </c>
      <c r="AP569" s="35">
        <f>IFERROR(__xludf.DUMMYFUNCTION("""COMPUTED_VALUE"""),1.0673252130546067)</f>
        <v>1.067325213</v>
      </c>
      <c r="AQ569" s="57">
        <f>IFERROR(__xludf.DUMMYFUNCTION("""COMPUTED_VALUE"""),0.9520365156584251)</f>
        <v>0.9520365157</v>
      </c>
      <c r="AR569" s="36" t="b">
        <f>IFERROR(__xludf.DUMMYFUNCTION("""COMPUTED_VALUE"""),TRUE)</f>
        <v>1</v>
      </c>
      <c r="AS569" s="57"/>
      <c r="AT569" s="37"/>
      <c r="AU569" s="30"/>
      <c r="AV569" s="30"/>
      <c r="AW569" s="30"/>
      <c r="AX569" s="30"/>
      <c r="AY569" s="30"/>
      <c r="AZ569" s="30"/>
    </row>
    <row r="570">
      <c r="A570" s="30" t="str">
        <f>IFERROR(__xludf.DUMMYFUNCTION("""COMPUTED_VALUE"""),"Rival")</f>
        <v>Rival</v>
      </c>
      <c r="B570" s="30" t="str">
        <f>IFERROR(__xludf.DUMMYFUNCTION("""COMPUTED_VALUE"""),"RSC005482")</f>
        <v>RSC005482</v>
      </c>
      <c r="C570" s="30" t="str">
        <f>IFERROR(__xludf.DUMMYFUNCTION("""COMPUTED_VALUE"""),"Benny!")</f>
        <v>Benny!</v>
      </c>
      <c r="D570" s="31" t="str">
        <f>IFERROR(__xludf.DUMMYFUNCTION("""COMPUTED_VALUE"""),"Ocelots")</f>
        <v>Ocelots</v>
      </c>
      <c r="E570" s="31">
        <f>IFERROR(__xludf.DUMMYFUNCTION("""COMPUTED_VALUE"""),74.58980497617)</f>
        <v>74.58980498</v>
      </c>
      <c r="F570" s="31">
        <f>IFERROR(__xludf.DUMMYFUNCTION("""COMPUTED_VALUE"""),6.147867357126358)</f>
        <v>6.147867357</v>
      </c>
      <c r="G570" s="31">
        <f>IFERROR(__xludf.DUMMYFUNCTION("""COMPUTED_VALUE"""),74.88838642925847)</f>
        <v>74.88838643</v>
      </c>
      <c r="H570" s="31">
        <f>IFERROR(__xludf.DUMMYFUNCTION("""COMPUTED_VALUE"""),6.260252960756157)</f>
        <v>6.260252961</v>
      </c>
      <c r="I570" s="54">
        <f>IFERROR(__xludf.DUMMYFUNCTION("""COMPUTED_VALUE"""),26.0)</f>
        <v>26</v>
      </c>
      <c r="J570" s="55">
        <f>IFERROR(__xludf.DUMMYFUNCTION("""COMPUTED_VALUE"""),17.0)</f>
        <v>17</v>
      </c>
      <c r="K570" s="54">
        <f>IFERROR(__xludf.DUMMYFUNCTION("""COMPUTED_VALUE"""),9.0)</f>
        <v>9</v>
      </c>
      <c r="L570" s="56">
        <f>IFERROR(__xludf.DUMMYFUNCTION("""COMPUTED_VALUE"""),0.6538461538461539)</f>
        <v>0.6538461538</v>
      </c>
      <c r="M570" s="56">
        <f>IFERROR(__xludf.DUMMYFUNCTION("""COMPUTED_VALUE"""),0.36619718309859156)</f>
        <v>0.3661971831</v>
      </c>
      <c r="N570" s="31">
        <f>IFERROR(__xludf.DUMMYFUNCTION("""COMPUTED_VALUE"""),395.7307692307692)</f>
        <v>395.7307692</v>
      </c>
      <c r="O570" s="57">
        <f>IFERROR(__xludf.DUMMYFUNCTION("""COMPUTED_VALUE"""),1.0)</f>
        <v>1</v>
      </c>
      <c r="P570" s="57">
        <f>IFERROR(__xludf.DUMMYFUNCTION("""COMPUTED_VALUE"""),0.6153846153846154)</f>
        <v>0.6153846154</v>
      </c>
      <c r="Q570" s="57">
        <f>IFERROR(__xludf.DUMMYFUNCTION("""COMPUTED_VALUE"""),1.1538461538461537)</f>
        <v>1.153846154</v>
      </c>
      <c r="R570" s="57">
        <f>IFERROR(__xludf.DUMMYFUNCTION("""COMPUTED_VALUE"""),2.730769230769231)</f>
        <v>2.730769231</v>
      </c>
      <c r="S570" s="31">
        <f>IFERROR(__xludf.DUMMYFUNCTION("""COMPUTED_VALUE"""),331.7051282051282)</f>
        <v>331.7051282</v>
      </c>
      <c r="T570" s="57">
        <f>IFERROR(__xludf.DUMMYFUNCTION("""COMPUTED_VALUE"""),0.7051282051282051)</f>
        <v>0.7051282051</v>
      </c>
      <c r="U570" s="57">
        <f>IFERROR(__xludf.DUMMYFUNCTION("""COMPUTED_VALUE"""),0.5512820512820512)</f>
        <v>0.5512820513</v>
      </c>
      <c r="V570" s="57">
        <f>IFERROR(__xludf.DUMMYFUNCTION("""COMPUTED_VALUE"""),1.3076923076923075)</f>
        <v>1.307692308</v>
      </c>
      <c r="W570" s="57">
        <f>IFERROR(__xludf.DUMMYFUNCTION("""COMPUTED_VALUE"""),2.1923076923076925)</f>
        <v>2.192307692</v>
      </c>
      <c r="X570" s="31">
        <f>IFERROR(__xludf.DUMMYFUNCTION("""COMPUTED_VALUE"""),351.80396144592754)</f>
        <v>351.8039614</v>
      </c>
      <c r="Y570" s="57">
        <f>IFERROR(__xludf.DUMMYFUNCTION("""COMPUTED_VALUE"""),0.7993454119965671)</f>
        <v>0.799345412</v>
      </c>
      <c r="Z570" s="57">
        <f>IFERROR(__xludf.DUMMYFUNCTION("""COMPUTED_VALUE"""),0.5658405479869437)</f>
        <v>0.565840548</v>
      </c>
      <c r="AA570" s="57">
        <f>IFERROR(__xludf.DUMMYFUNCTION("""COMPUTED_VALUE"""),1.3695364184489829)</f>
        <v>1.369536418</v>
      </c>
      <c r="AB570" s="57">
        <f>IFERROR(__xludf.DUMMYFUNCTION("""COMPUTED_VALUE"""),2.5740365860734684)</f>
        <v>2.574036586</v>
      </c>
      <c r="AC570" s="31">
        <f>IFERROR(__xludf.DUMMYFUNCTION("""COMPUTED_VALUE"""),351.94713473730457)</f>
        <v>351.9471347</v>
      </c>
      <c r="AD570" s="57">
        <f>IFERROR(__xludf.DUMMYFUNCTION("""COMPUTED_VALUE"""),0.8041425298459026)</f>
        <v>0.8041425298</v>
      </c>
      <c r="AE570" s="57">
        <f>IFERROR(__xludf.DUMMYFUNCTION("""COMPUTED_VALUE"""),0.5806447519437715)</f>
        <v>0.5806447519</v>
      </c>
      <c r="AF570" s="57">
        <f>IFERROR(__xludf.DUMMYFUNCTION("""COMPUTED_VALUE"""),1.3145331418255237)</f>
        <v>1.314533142</v>
      </c>
      <c r="AG570" s="57">
        <f>IFERROR(__xludf.DUMMYFUNCTION("""COMPUTED_VALUE"""),2.595496240533948)</f>
        <v>2.595496241</v>
      </c>
      <c r="AH570" s="57">
        <f>IFERROR(__xludf.DUMMYFUNCTION("""COMPUTED_VALUE"""),1.1244040089320375)</f>
        <v>1.124404009</v>
      </c>
      <c r="AI570" s="57">
        <f>IFERROR(__xludf.DUMMYFUNCTION("""COMPUTED_VALUE"""),1.243560641161001)</f>
        <v>1.243560641</v>
      </c>
      <c r="AJ570" s="57">
        <f>IFERROR(__xludf.DUMMYFUNCTION("""COMPUTED_VALUE"""),1.0598298069939467)</f>
        <v>1.059829807</v>
      </c>
      <c r="AK570" s="57">
        <f>IFERROR(__xludf.DUMMYFUNCTION("""COMPUTED_VALUE"""),0.8777611740117711)</f>
        <v>0.877761174</v>
      </c>
      <c r="AL570" s="57">
        <f>IFERROR(__xludf.DUMMYFUNCTION("""COMPUTED_VALUE"""),1.0521183533702418)</f>
        <v>1.052118353</v>
      </c>
      <c r="AM570" s="57">
        <f>IFERROR(__xludf.DUMMYFUNCTION("""COMPUTED_VALUE"""),0.9428692242173954)</f>
        <v>0.9428692242</v>
      </c>
      <c r="AN570" s="57">
        <f>IFERROR(__xludf.DUMMYFUNCTION("""COMPUTED_VALUE"""),0.8821320477301162)</f>
        <v>0.8821320477</v>
      </c>
      <c r="AO570" s="57">
        <f>IFERROR(__xludf.DUMMYFUNCTION("""COMPUTED_VALUE"""),0.9742710260749492)</f>
        <v>0.9742710261</v>
      </c>
      <c r="AP570" s="35">
        <f>IFERROR(__xludf.DUMMYFUNCTION("""COMPUTED_VALUE"""),0.954843033070479)</f>
        <v>0.9548430331</v>
      </c>
      <c r="AQ570" s="57">
        <f>IFERROR(__xludf.DUMMYFUNCTION("""COMPUTED_VALUE"""),0.8517002843583978)</f>
        <v>0.8517002844</v>
      </c>
      <c r="AR570" s="36" t="b">
        <f>IFERROR(__xludf.DUMMYFUNCTION("""COMPUTED_VALUE"""),TRUE)</f>
        <v>1</v>
      </c>
      <c r="AS570" s="57"/>
      <c r="AT570" s="37"/>
      <c r="AU570" s="30"/>
      <c r="AV570" s="30"/>
      <c r="AW570" s="30"/>
      <c r="AX570" s="30"/>
      <c r="AY570" s="30"/>
      <c r="AZ570" s="30"/>
    </row>
    <row r="571">
      <c r="A571" s="30" t="str">
        <f>IFERROR(__xludf.DUMMYFUNCTION("""COMPUTED_VALUE"""),"Rival")</f>
        <v>Rival</v>
      </c>
      <c r="B571" s="30" t="str">
        <f>IFERROR(__xludf.DUMMYFUNCTION("""COMPUTED_VALUE"""),"RSC006774")</f>
        <v>RSC006774</v>
      </c>
      <c r="C571" s="30" t="str">
        <f>IFERROR(__xludf.DUMMYFUNCTION("""COMPUTED_VALUE"""),"JazzMagic.")</f>
        <v>JazzMagic.</v>
      </c>
      <c r="D571" s="31" t="str">
        <f>IFERROR(__xludf.DUMMYFUNCTION("""COMPUTED_VALUE"""),"Hippos")</f>
        <v>Hippos</v>
      </c>
      <c r="E571" s="31">
        <f>IFERROR(__xludf.DUMMYFUNCTION("""COMPUTED_VALUE"""),74.26751183201128)</f>
        <v>74.26751183</v>
      </c>
      <c r="F571" s="31">
        <f>IFERROR(__xludf.DUMMYFUNCTION("""COMPUTED_VALUE"""),6.0295910115476845)</f>
        <v>6.029591012</v>
      </c>
      <c r="G571" s="31">
        <f>IFERROR(__xludf.DUMMYFUNCTION("""COMPUTED_VALUE"""),63.138787739100636)</f>
        <v>63.13878774</v>
      </c>
      <c r="H571" s="31">
        <f>IFERROR(__xludf.DUMMYFUNCTION("""COMPUTED_VALUE"""),3.3377845167258853)</f>
        <v>3.337784517</v>
      </c>
      <c r="I571" s="54">
        <f>IFERROR(__xludf.DUMMYFUNCTION("""COMPUTED_VALUE"""),15.0)</f>
        <v>15</v>
      </c>
      <c r="J571" s="55">
        <f>IFERROR(__xludf.DUMMYFUNCTION("""COMPUTED_VALUE"""),8.0)</f>
        <v>8</v>
      </c>
      <c r="K571" s="54">
        <f>IFERROR(__xludf.DUMMYFUNCTION("""COMPUTED_VALUE"""),7.0)</f>
        <v>7</v>
      </c>
      <c r="L571" s="56">
        <f>IFERROR(__xludf.DUMMYFUNCTION("""COMPUTED_VALUE"""),0.5333333333333333)</f>
        <v>0.5333333333</v>
      </c>
      <c r="M571" s="56">
        <f>IFERROR(__xludf.DUMMYFUNCTION("""COMPUTED_VALUE"""),0.4210526315789474)</f>
        <v>0.4210526316</v>
      </c>
      <c r="N571" s="31">
        <f>IFERROR(__xludf.DUMMYFUNCTION("""COMPUTED_VALUE"""),394.2)</f>
        <v>394.2</v>
      </c>
      <c r="O571" s="57">
        <f>IFERROR(__xludf.DUMMYFUNCTION("""COMPUTED_VALUE"""),1.0666666666666667)</f>
        <v>1.066666667</v>
      </c>
      <c r="P571" s="57">
        <f>IFERROR(__xludf.DUMMYFUNCTION("""COMPUTED_VALUE"""),0.5333333333333333)</f>
        <v>0.5333333333</v>
      </c>
      <c r="Q571" s="57">
        <f>IFERROR(__xludf.DUMMYFUNCTION("""COMPUTED_VALUE"""),1.4666666666666666)</f>
        <v>1.466666667</v>
      </c>
      <c r="R571" s="57">
        <f>IFERROR(__xludf.DUMMYFUNCTION("""COMPUTED_VALUE"""),2.533333333333333)</f>
        <v>2.533333333</v>
      </c>
      <c r="S571" s="31">
        <f>IFERROR(__xludf.DUMMYFUNCTION("""COMPUTED_VALUE"""),300.2444444444444)</f>
        <v>300.2444444</v>
      </c>
      <c r="T571" s="57">
        <f>IFERROR(__xludf.DUMMYFUNCTION("""COMPUTED_VALUE"""),0.5555555555555556)</f>
        <v>0.5555555556</v>
      </c>
      <c r="U571" s="57">
        <f>IFERROR(__xludf.DUMMYFUNCTION("""COMPUTED_VALUE"""),0.3777777777777778)</f>
        <v>0.3777777778</v>
      </c>
      <c r="V571" s="57">
        <f>IFERROR(__xludf.DUMMYFUNCTION("""COMPUTED_VALUE"""),1.2444444444444445)</f>
        <v>1.244444444</v>
      </c>
      <c r="W571" s="57">
        <f>IFERROR(__xludf.DUMMYFUNCTION("""COMPUTED_VALUE"""),2.4222222222222225)</f>
        <v>2.422222222</v>
      </c>
      <c r="X571" s="31">
        <f>IFERROR(__xludf.DUMMYFUNCTION("""COMPUTED_VALUE"""),328.6444284480951)</f>
        <v>328.6444284</v>
      </c>
      <c r="Y571" s="57">
        <f>IFERROR(__xludf.DUMMYFUNCTION("""COMPUTED_VALUE"""),0.6863443470110139)</f>
        <v>0.686344347</v>
      </c>
      <c r="Z571" s="57">
        <f>IFERROR(__xludf.DUMMYFUNCTION("""COMPUTED_VALUE"""),0.506996817996818)</f>
        <v>0.506996818</v>
      </c>
      <c r="AA571" s="57">
        <f>IFERROR(__xludf.DUMMYFUNCTION("""COMPUTED_VALUE"""),1.2607873854540523)</f>
        <v>1.260787385</v>
      </c>
      <c r="AB571" s="57">
        <f>IFERROR(__xludf.DUMMYFUNCTION("""COMPUTED_VALUE"""),2.433421553754887)</f>
        <v>2.433421554</v>
      </c>
      <c r="AC571" s="31">
        <f>IFERROR(__xludf.DUMMYFUNCTION("""COMPUTED_VALUE"""),351.65392076647635)</f>
        <v>351.6539208</v>
      </c>
      <c r="AD571" s="57">
        <f>IFERROR(__xludf.DUMMYFUNCTION("""COMPUTED_VALUE"""),0.8119376549376549)</f>
        <v>0.8119376549</v>
      </c>
      <c r="AE571" s="57">
        <f>IFERROR(__xludf.DUMMYFUNCTION("""COMPUTED_VALUE"""),0.5668989816767595)</f>
        <v>0.5668989817</v>
      </c>
      <c r="AF571" s="57">
        <f>IFERROR(__xludf.DUMMYFUNCTION("""COMPUTED_VALUE"""),1.3123317382206274)</f>
        <v>1.312331738</v>
      </c>
      <c r="AG571" s="57">
        <f>IFERROR(__xludf.DUMMYFUNCTION("""COMPUTED_VALUE"""),2.563467873690096)</f>
        <v>2.563467874</v>
      </c>
      <c r="AH571" s="57">
        <f>IFERROR(__xludf.DUMMYFUNCTION("""COMPUTED_VALUE"""),1.1209884967037729)</f>
        <v>1.120988497</v>
      </c>
      <c r="AI571" s="57">
        <f>IFERROR(__xludf.DUMMYFUNCTION("""COMPUTED_VALUE"""),1.3137297675257729)</f>
        <v>1.313729768</v>
      </c>
      <c r="AJ571" s="57">
        <f>IFERROR(__xludf.DUMMYFUNCTION("""COMPUTED_VALUE"""),0.9407907767903436)</f>
        <v>0.9407907768</v>
      </c>
      <c r="AK571" s="57">
        <f>IFERROR(__xludf.DUMMYFUNCTION("""COMPUTED_VALUE"""),1.1176035936274007)</f>
        <v>1.117603594</v>
      </c>
      <c r="AL571" s="57">
        <f>IFERROR(__xludf.DUMMYFUNCTION("""COMPUTED_VALUE"""),0.9882446194602064)</f>
        <v>0.9882446195</v>
      </c>
      <c r="AM571" s="57">
        <f>IFERROR(__xludf.DUMMYFUNCTION("""COMPUTED_VALUE"""),0.913584465320896)</f>
        <v>0.9135844653</v>
      </c>
      <c r="AN571" s="57">
        <f>IFERROR(__xludf.DUMMYFUNCTION("""COMPUTED_VALUE"""),0.8094414385067275)</f>
        <v>0.8094414385</v>
      </c>
      <c r="AO571" s="57">
        <f>IFERROR(__xludf.DUMMYFUNCTION("""COMPUTED_VALUE"""),0.745128498577971)</f>
        <v>0.7451284986</v>
      </c>
      <c r="AP571" s="35">
        <f>IFERROR(__xludf.DUMMYFUNCTION("""COMPUTED_VALUE"""),0.9870375122735526)</f>
        <v>0.9870375123</v>
      </c>
      <c r="AQ571" s="57">
        <f>IFERROR(__xludf.DUMMYFUNCTION("""COMPUTED_VALUE"""),0.9953977018427476)</f>
        <v>0.9953977018</v>
      </c>
      <c r="AR571" s="36" t="b">
        <f>IFERROR(__xludf.DUMMYFUNCTION("""COMPUTED_VALUE"""),TRUE)</f>
        <v>1</v>
      </c>
      <c r="AS571" s="57"/>
      <c r="AT571" s="37"/>
      <c r="AU571" s="30"/>
      <c r="AV571" s="30"/>
      <c r="AW571" s="30"/>
      <c r="AX571" s="30"/>
      <c r="AY571" s="30"/>
      <c r="AZ571" s="30"/>
    </row>
    <row r="572">
      <c r="A572" s="30" t="str">
        <f>IFERROR(__xludf.DUMMYFUNCTION("""COMPUTED_VALUE"""),"Rival")</f>
        <v>Rival</v>
      </c>
      <c r="B572" s="30" t="str">
        <f>IFERROR(__xludf.DUMMYFUNCTION("""COMPUTED_VALUE"""),"RSC000731")</f>
        <v>RSC000731</v>
      </c>
      <c r="C572" s="30" t="str">
        <f>IFERROR(__xludf.DUMMYFUNCTION("""COMPUTED_VALUE"""),"mm2")</f>
        <v>mm2</v>
      </c>
      <c r="D572" s="31" t="str">
        <f>IFERROR(__xludf.DUMMYFUNCTION("""COMPUTED_VALUE"""),"Cursed")</f>
        <v>Cursed</v>
      </c>
      <c r="E572" s="31">
        <f>IFERROR(__xludf.DUMMYFUNCTION("""COMPUTED_VALUE"""),74.09377472230105)</f>
        <v>74.09377472</v>
      </c>
      <c r="F572" s="31">
        <f>IFERROR(__xludf.DUMMYFUNCTION("""COMPUTED_VALUE"""),5.967107204548365)</f>
        <v>5.967107205</v>
      </c>
      <c r="G572" s="31">
        <f>IFERROR(__xludf.DUMMYFUNCTION("""COMPUTED_VALUE"""),65.4270802208897)</f>
        <v>65.42708022</v>
      </c>
      <c r="H572" s="31">
        <f>IFERROR(__xludf.DUMMYFUNCTION("""COMPUTED_VALUE"""),3.723147889336524)</f>
        <v>3.723147889</v>
      </c>
      <c r="I572" s="54">
        <f>IFERROR(__xludf.DUMMYFUNCTION("""COMPUTED_VALUE"""),36.0)</f>
        <v>36</v>
      </c>
      <c r="J572" s="55">
        <f>IFERROR(__xludf.DUMMYFUNCTION("""COMPUTED_VALUE"""),23.0)</f>
        <v>23</v>
      </c>
      <c r="K572" s="54">
        <f>IFERROR(__xludf.DUMMYFUNCTION("""COMPUTED_VALUE"""),13.0)</f>
        <v>13</v>
      </c>
      <c r="L572" s="56">
        <f>IFERROR(__xludf.DUMMYFUNCTION("""COMPUTED_VALUE"""),0.6388888888888888)</f>
        <v>0.6388888889</v>
      </c>
      <c r="M572" s="56">
        <f>IFERROR(__xludf.DUMMYFUNCTION("""COMPUTED_VALUE"""),0.31000000000000005)</f>
        <v>0.31</v>
      </c>
      <c r="N572" s="31">
        <f>IFERROR(__xludf.DUMMYFUNCTION("""COMPUTED_VALUE"""),392.69444444444446)</f>
        <v>392.6944444</v>
      </c>
      <c r="O572" s="57">
        <f>IFERROR(__xludf.DUMMYFUNCTION("""COMPUTED_VALUE"""),0.8611111111111112)</f>
        <v>0.8611111111</v>
      </c>
      <c r="P572" s="57">
        <f>IFERROR(__xludf.DUMMYFUNCTION("""COMPUTED_VALUE"""),0.7222222222222222)</f>
        <v>0.7222222222</v>
      </c>
      <c r="Q572" s="57">
        <f>IFERROR(__xludf.DUMMYFUNCTION("""COMPUTED_VALUE"""),1.6388888888888888)</f>
        <v>1.638888889</v>
      </c>
      <c r="R572" s="57">
        <f>IFERROR(__xludf.DUMMYFUNCTION("""COMPUTED_VALUE"""),2.7777777777777777)</f>
        <v>2.777777778</v>
      </c>
      <c r="S572" s="31">
        <f>IFERROR(__xludf.DUMMYFUNCTION("""COMPUTED_VALUE"""),330.62037037037044)</f>
        <v>330.6203704</v>
      </c>
      <c r="T572" s="57">
        <f>IFERROR(__xludf.DUMMYFUNCTION("""COMPUTED_VALUE"""),0.6666666666666666)</f>
        <v>0.6666666667</v>
      </c>
      <c r="U572" s="57">
        <f>IFERROR(__xludf.DUMMYFUNCTION("""COMPUTED_VALUE"""),0.5092592592592592)</f>
        <v>0.5092592593</v>
      </c>
      <c r="V572" s="57">
        <f>IFERROR(__xludf.DUMMYFUNCTION("""COMPUTED_VALUE"""),1.324074074074074)</f>
        <v>1.324074074</v>
      </c>
      <c r="W572" s="57">
        <f>IFERROR(__xludf.DUMMYFUNCTION("""COMPUTED_VALUE"""),2.4722222222222223)</f>
        <v>2.472222222</v>
      </c>
      <c r="X572" s="31">
        <f>IFERROR(__xludf.DUMMYFUNCTION("""COMPUTED_VALUE"""),355.9288104343109)</f>
        <v>355.9288104</v>
      </c>
      <c r="Y572" s="57">
        <f>IFERROR(__xludf.DUMMYFUNCTION("""COMPUTED_VALUE"""),0.7996393494463698)</f>
        <v>0.7996393494</v>
      </c>
      <c r="Z572" s="57">
        <f>IFERROR(__xludf.DUMMYFUNCTION("""COMPUTED_VALUE"""),0.5996154860590291)</f>
        <v>0.5996154861</v>
      </c>
      <c r="AA572" s="57">
        <f>IFERROR(__xludf.DUMMYFUNCTION("""COMPUTED_VALUE"""),1.3390263252219528)</f>
        <v>1.339026325</v>
      </c>
      <c r="AB572" s="57">
        <f>IFERROR(__xludf.DUMMYFUNCTION("""COMPUTED_VALUE"""),2.605865817793921)</f>
        <v>2.605865818</v>
      </c>
      <c r="AC572" s="31">
        <f>IFERROR(__xludf.DUMMYFUNCTION("""COMPUTED_VALUE"""),349.02516492677546)</f>
        <v>349.0251649</v>
      </c>
      <c r="AD572" s="57">
        <f>IFERROR(__xludf.DUMMYFUNCTION("""COMPUTED_VALUE"""),0.8004031558610476)</f>
        <v>0.8004031559</v>
      </c>
      <c r="AE572" s="57">
        <f>IFERROR(__xludf.DUMMYFUNCTION("""COMPUTED_VALUE"""),0.5685840678915015)</f>
        <v>0.5685840679</v>
      </c>
      <c r="AF572" s="57">
        <f>IFERROR(__xludf.DUMMYFUNCTION("""COMPUTED_VALUE"""),1.3049753619808457)</f>
        <v>1.304975362</v>
      </c>
      <c r="AG572" s="57">
        <f>IFERROR(__xludf.DUMMYFUNCTION("""COMPUTED_VALUE"""),2.6182472153163685)</f>
        <v>2.618247215</v>
      </c>
      <c r="AH572" s="57">
        <f>IFERROR(__xludf.DUMMYFUNCTION("""COMPUTED_VALUE"""),1.1251178536849362)</f>
        <v>1.125117854</v>
      </c>
      <c r="AI572" s="57">
        <f>IFERROR(__xludf.DUMMYFUNCTION("""COMPUTED_VALUE"""),1.0758467214996872)</f>
        <v>1.075846721</v>
      </c>
      <c r="AJ572" s="57">
        <f>IFERROR(__xludf.DUMMYFUNCTION("""COMPUTED_VALUE"""),1.2702118525769848)</f>
        <v>1.270211853</v>
      </c>
      <c r="AK572" s="57">
        <f>IFERROR(__xludf.DUMMYFUNCTION("""COMPUTED_VALUE"""),1.2558772653003882)</f>
        <v>1.255877265</v>
      </c>
      <c r="AL572" s="57">
        <f>IFERROR(__xludf.DUMMYFUNCTION("""COMPUTED_VALUE"""),1.0609302901300453)</f>
        <v>1.06093029</v>
      </c>
      <c r="AM572" s="57">
        <f>IFERROR(__xludf.DUMMYFUNCTION("""COMPUTED_VALUE"""),0.9288946572404222)</f>
        <v>0.9288946572</v>
      </c>
      <c r="AN572" s="57">
        <f>IFERROR(__xludf.DUMMYFUNCTION("""COMPUTED_VALUE"""),0.8337091804301942)</f>
        <v>0.8337091804</v>
      </c>
      <c r="AO572" s="57">
        <f>IFERROR(__xludf.DUMMYFUNCTION("""COMPUTED_VALUE"""),0.8493097178099319)</f>
        <v>0.8493097178</v>
      </c>
      <c r="AP572" s="35">
        <f>IFERROR(__xludf.DUMMYFUNCTION("""COMPUTED_VALUE"""),0.9888334897781786)</f>
        <v>0.9888334898</v>
      </c>
      <c r="AQ572" s="57">
        <f>IFERROR(__xludf.DUMMYFUNCTION("""COMPUTED_VALUE"""),0.948714321873703)</f>
        <v>0.9487143219</v>
      </c>
      <c r="AR572" s="36" t="b">
        <f>IFERROR(__xludf.DUMMYFUNCTION("""COMPUTED_VALUE"""),TRUE)</f>
        <v>1</v>
      </c>
      <c r="AS572" s="57"/>
      <c r="AT572" s="37"/>
      <c r="AU572" s="30"/>
      <c r="AV572" s="30"/>
      <c r="AW572" s="30"/>
      <c r="AX572" s="30"/>
      <c r="AY572" s="30"/>
      <c r="AZ572" s="30"/>
    </row>
    <row r="573">
      <c r="A573" s="30" t="str">
        <f>IFERROR(__xludf.DUMMYFUNCTION("""COMPUTED_VALUE"""),"Rival")</f>
        <v>Rival</v>
      </c>
      <c r="B573" s="30" t="str">
        <f>IFERROR(__xludf.DUMMYFUNCTION("""COMPUTED_VALUE"""),"RSC007959")</f>
        <v>RSC007959</v>
      </c>
      <c r="C573" s="30" t="str">
        <f>IFERROR(__xludf.DUMMYFUNCTION("""COMPUTED_VALUE"""),"Cam")</f>
        <v>Cam</v>
      </c>
      <c r="D573" s="31" t="str">
        <f>IFERROR(__xludf.DUMMYFUNCTION("""COMPUTED_VALUE"""),"Mining Legion")</f>
        <v>Mining Legion</v>
      </c>
      <c r="E573" s="31">
        <f>IFERROR(__xludf.DUMMYFUNCTION("""COMPUTED_VALUE"""),72.18313963949151)</f>
        <v>72.18313964</v>
      </c>
      <c r="F573" s="31">
        <f>IFERROR(__xludf.DUMMYFUNCTION("""COMPUTED_VALUE"""),5.334704218060466)</f>
        <v>5.334704218</v>
      </c>
      <c r="G573" s="31">
        <f>IFERROR(__xludf.DUMMYFUNCTION("""COMPUTED_VALUE"""),60.12751743259737)</f>
        <v>60.12751743</v>
      </c>
      <c r="H573" s="31">
        <f>IFERROR(__xludf.DUMMYFUNCTION("""COMPUTED_VALUE"""),2.9179892102446114)</f>
        <v>2.91798921</v>
      </c>
      <c r="I573" s="54">
        <f>IFERROR(__xludf.DUMMYFUNCTION("""COMPUTED_VALUE"""),29.0)</f>
        <v>29</v>
      </c>
      <c r="J573" s="55">
        <f>IFERROR(__xludf.DUMMYFUNCTION("""COMPUTED_VALUE"""),22.0)</f>
        <v>22</v>
      </c>
      <c r="K573" s="54">
        <f>IFERROR(__xludf.DUMMYFUNCTION("""COMPUTED_VALUE"""),7.0)</f>
        <v>7</v>
      </c>
      <c r="L573" s="56">
        <f>IFERROR(__xludf.DUMMYFUNCTION("""COMPUTED_VALUE"""),0.7586206896551724)</f>
        <v>0.7586206897</v>
      </c>
      <c r="M573" s="56">
        <f>IFERROR(__xludf.DUMMYFUNCTION("""COMPUTED_VALUE"""),0.3506493506493506)</f>
        <v>0.3506493506</v>
      </c>
      <c r="N573" s="31">
        <f>IFERROR(__xludf.DUMMYFUNCTION("""COMPUTED_VALUE"""),350.2758620689655)</f>
        <v>350.2758621</v>
      </c>
      <c r="O573" s="57">
        <f>IFERROR(__xludf.DUMMYFUNCTION("""COMPUTED_VALUE"""),0.9310344827586207)</f>
        <v>0.9310344828</v>
      </c>
      <c r="P573" s="57">
        <f>IFERROR(__xludf.DUMMYFUNCTION("""COMPUTED_VALUE"""),0.6206896551724138)</f>
        <v>0.6206896552</v>
      </c>
      <c r="Q573" s="57">
        <f>IFERROR(__xludf.DUMMYFUNCTION("""COMPUTED_VALUE"""),1.3103448275862069)</f>
        <v>1.310344828</v>
      </c>
      <c r="R573" s="57">
        <f>IFERROR(__xludf.DUMMYFUNCTION("""COMPUTED_VALUE"""),2.6551724137931036)</f>
        <v>2.655172414</v>
      </c>
      <c r="S573" s="31">
        <f>IFERROR(__xludf.DUMMYFUNCTION("""COMPUTED_VALUE"""),305.7586206896552)</f>
        <v>305.7586207</v>
      </c>
      <c r="T573" s="57">
        <f>IFERROR(__xludf.DUMMYFUNCTION("""COMPUTED_VALUE"""),0.5057471264367815)</f>
        <v>0.5057471264</v>
      </c>
      <c r="U573" s="57">
        <f>IFERROR(__xludf.DUMMYFUNCTION("""COMPUTED_VALUE"""),0.3333333333333333)</f>
        <v>0.3333333333</v>
      </c>
      <c r="V573" s="57">
        <f>IFERROR(__xludf.DUMMYFUNCTION("""COMPUTED_VALUE"""),1.4482758620689657)</f>
        <v>1.448275862</v>
      </c>
      <c r="W573" s="57">
        <f>IFERROR(__xludf.DUMMYFUNCTION("""COMPUTED_VALUE"""),1.9999999999999998)</f>
        <v>2</v>
      </c>
      <c r="X573" s="31">
        <f>IFERROR(__xludf.DUMMYFUNCTION("""COMPUTED_VALUE"""),336.503394523007)</f>
        <v>336.5033945</v>
      </c>
      <c r="Y573" s="57">
        <f>IFERROR(__xludf.DUMMYFUNCTION("""COMPUTED_VALUE"""),0.7221554553794627)</f>
        <v>0.7221554554</v>
      </c>
      <c r="Z573" s="57">
        <f>IFERROR(__xludf.DUMMYFUNCTION("""COMPUTED_VALUE"""),0.48768223873978633)</f>
        <v>0.4876822387</v>
      </c>
      <c r="AA573" s="57">
        <f>IFERROR(__xludf.DUMMYFUNCTION("""COMPUTED_VALUE"""),1.310174287054645)</f>
        <v>1.310174287</v>
      </c>
      <c r="AB573" s="57">
        <f>IFERROR(__xludf.DUMMYFUNCTION("""COMPUTED_VALUE"""),2.4253124081830824)</f>
        <v>2.425312408</v>
      </c>
      <c r="AC573" s="31">
        <f>IFERROR(__xludf.DUMMYFUNCTION("""COMPUTED_VALUE"""),349.42730338728376)</f>
        <v>349.4273034</v>
      </c>
      <c r="AD573" s="57">
        <f>IFERROR(__xludf.DUMMYFUNCTION("""COMPUTED_VALUE"""),0.8194360042573746)</f>
        <v>0.8194360043</v>
      </c>
      <c r="AE573" s="57">
        <f>IFERROR(__xludf.DUMMYFUNCTION("""COMPUTED_VALUE"""),0.5877497803104141)</f>
        <v>0.5877497803</v>
      </c>
      <c r="AF573" s="57">
        <f>IFERROR(__xludf.DUMMYFUNCTION("""COMPUTED_VALUE"""),1.2428499396058665)</f>
        <v>1.24284994</v>
      </c>
      <c r="AG573" s="57">
        <f>IFERROR(__xludf.DUMMYFUNCTION("""COMPUTED_VALUE"""),2.6199907126388617)</f>
        <v>2.619990713</v>
      </c>
      <c r="AH573" s="57">
        <f>IFERROR(__xludf.DUMMYFUNCTION("""COMPUTED_VALUE"""),1.002428426953063)</f>
        <v>1.002428427</v>
      </c>
      <c r="AI573" s="57">
        <f>IFERROR(__xludf.DUMMYFUNCTION("""COMPUTED_VALUE"""),1.136189376499735)</f>
        <v>1.136189376</v>
      </c>
      <c r="AJ573" s="57">
        <f>IFERROR(__xludf.DUMMYFUNCTION("""COMPUTED_VALUE"""),1.0560440445330372)</f>
        <v>1.056044045</v>
      </c>
      <c r="AK573" s="57">
        <f>IFERROR(__xludf.DUMMYFUNCTION("""COMPUTED_VALUE"""),1.0543065464538255)</f>
        <v>1.054306546</v>
      </c>
      <c r="AL573" s="57">
        <f>IFERROR(__xludf.DUMMYFUNCTION("""COMPUTED_VALUE"""),1.0134281778116712)</f>
        <v>1.013428178</v>
      </c>
      <c r="AM573" s="57">
        <f>IFERROR(__xludf.DUMMYFUNCTION("""COMPUTED_VALUE"""),0.9086345804120862)</f>
        <v>0.9086345804</v>
      </c>
      <c r="AN573" s="57">
        <f>IFERROR(__xludf.DUMMYFUNCTION("""COMPUTED_VALUE"""),0.7003299949746035)</f>
        <v>0.700329995</v>
      </c>
      <c r="AO573" s="57">
        <f>IFERROR(__xludf.DUMMYFUNCTION("""COMPUTED_VALUE"""),0.6835051737678531)</f>
        <v>0.6835051738</v>
      </c>
      <c r="AP573" s="35">
        <f>IFERROR(__xludf.DUMMYFUNCTION("""COMPUTED_VALUE"""),1.1054070259039979)</f>
        <v>1.105407026</v>
      </c>
      <c r="AQ573" s="57">
        <f>IFERROR(__xludf.DUMMYFUNCTION("""COMPUTED_VALUE"""),0.8246360317342769)</f>
        <v>0.8246360317</v>
      </c>
      <c r="AR573" s="36" t="b">
        <f>IFERROR(__xludf.DUMMYFUNCTION("""COMPUTED_VALUE"""),TRUE)</f>
        <v>1</v>
      </c>
      <c r="AS573" s="57"/>
      <c r="AT573" s="37"/>
      <c r="AU573" s="30"/>
      <c r="AV573" s="30"/>
      <c r="AW573" s="30"/>
      <c r="AX573" s="30"/>
      <c r="AY573" s="30"/>
      <c r="AZ573" s="30"/>
    </row>
    <row r="574">
      <c r="A574" s="30" t="str">
        <f>IFERROR(__xludf.DUMMYFUNCTION("""COMPUTED_VALUE"""),"Rival")</f>
        <v>Rival</v>
      </c>
      <c r="B574" s="30" t="str">
        <f>IFERROR(__xludf.DUMMYFUNCTION("""COMPUTED_VALUE"""),"RSC006089")</f>
        <v>RSC006089</v>
      </c>
      <c r="C574" s="30" t="str">
        <f>IFERROR(__xludf.DUMMYFUNCTION("""COMPUTED_VALUE"""),"ZeroPop11")</f>
        <v>ZeroPop11</v>
      </c>
      <c r="D574" s="31" t="str">
        <f>IFERROR(__xludf.DUMMYFUNCTION("""COMPUTED_VALUE"""),"Wind")</f>
        <v>Wind</v>
      </c>
      <c r="E574" s="31">
        <f>IFERROR(__xludf.DUMMYFUNCTION("""COMPUTED_VALUE"""),69.92298328721637)</f>
        <v>69.92298329</v>
      </c>
      <c r="F574" s="31">
        <f>IFERROR(__xludf.DUMMYFUNCTION("""COMPUTED_VALUE"""),4.70037591350025)</f>
        <v>4.700375914</v>
      </c>
      <c r="G574" s="31">
        <f>IFERROR(__xludf.DUMMYFUNCTION("""COMPUTED_VALUE"""),60.83022767123396)</f>
        <v>60.83022767</v>
      </c>
      <c r="H574" s="31">
        <f>IFERROR(__xludf.DUMMYFUNCTION("""COMPUTED_VALUE"""),3.008139136473458)</f>
        <v>3.008139136</v>
      </c>
      <c r="I574" s="54">
        <f>IFERROR(__xludf.DUMMYFUNCTION("""COMPUTED_VALUE"""),33.0)</f>
        <v>33</v>
      </c>
      <c r="J574" s="55">
        <f>IFERROR(__xludf.DUMMYFUNCTION("""COMPUTED_VALUE"""),16.0)</f>
        <v>16</v>
      </c>
      <c r="K574" s="54">
        <f>IFERROR(__xludf.DUMMYFUNCTION("""COMPUTED_VALUE"""),17.0)</f>
        <v>17</v>
      </c>
      <c r="L574" s="56">
        <f>IFERROR(__xludf.DUMMYFUNCTION("""COMPUTED_VALUE"""),0.48484848484848486)</f>
        <v>0.4848484848</v>
      </c>
      <c r="M574" s="56">
        <f>IFERROR(__xludf.DUMMYFUNCTION("""COMPUTED_VALUE"""),0.3)</f>
        <v>0.3</v>
      </c>
      <c r="N574" s="31">
        <f>IFERROR(__xludf.DUMMYFUNCTION("""COMPUTED_VALUE"""),407.42424242424244)</f>
        <v>407.4242424</v>
      </c>
      <c r="O574" s="57">
        <f>IFERROR(__xludf.DUMMYFUNCTION("""COMPUTED_VALUE"""),1.0)</f>
        <v>1</v>
      </c>
      <c r="P574" s="57">
        <f>IFERROR(__xludf.DUMMYFUNCTION("""COMPUTED_VALUE"""),0.45454545454545453)</f>
        <v>0.4545454545</v>
      </c>
      <c r="Q574" s="57">
        <f>IFERROR(__xludf.DUMMYFUNCTION("""COMPUTED_VALUE"""),1.7575757575757576)</f>
        <v>1.757575758</v>
      </c>
      <c r="R574" s="57">
        <f>IFERROR(__xludf.DUMMYFUNCTION("""COMPUTED_VALUE"""),3.3333333333333335)</f>
        <v>3.333333333</v>
      </c>
      <c r="S574" s="31">
        <f>IFERROR(__xludf.DUMMYFUNCTION("""COMPUTED_VALUE"""),370.050505050505)</f>
        <v>370.0505051</v>
      </c>
      <c r="T574" s="57">
        <f>IFERROR(__xludf.DUMMYFUNCTION("""COMPUTED_VALUE"""),0.8585858585858585)</f>
        <v>0.8585858586</v>
      </c>
      <c r="U574" s="57">
        <f>IFERROR(__xludf.DUMMYFUNCTION("""COMPUTED_VALUE"""),0.6565656565656566)</f>
        <v>0.6565656566</v>
      </c>
      <c r="V574" s="57">
        <f>IFERROR(__xludf.DUMMYFUNCTION("""COMPUTED_VALUE"""),1.393939393939394)</f>
        <v>1.393939394</v>
      </c>
      <c r="W574" s="57">
        <f>IFERROR(__xludf.DUMMYFUNCTION("""COMPUTED_VALUE"""),2.8181818181818183)</f>
        <v>2.818181818</v>
      </c>
      <c r="X574" s="31">
        <f>IFERROR(__xludf.DUMMYFUNCTION("""COMPUTED_VALUE"""),354.558952750214)</f>
        <v>354.5589528</v>
      </c>
      <c r="Y574" s="57">
        <f>IFERROR(__xludf.DUMMYFUNCTION("""COMPUTED_VALUE"""),0.8310090055606948)</f>
        <v>0.8310090056</v>
      </c>
      <c r="Z574" s="57">
        <f>IFERROR(__xludf.DUMMYFUNCTION("""COMPUTED_VALUE"""),0.5821083794317407)</f>
        <v>0.5821083794</v>
      </c>
      <c r="AA574" s="57">
        <f>IFERROR(__xludf.DUMMYFUNCTION("""COMPUTED_VALUE"""),1.3355246757455816)</f>
        <v>1.335524676</v>
      </c>
      <c r="AB574" s="57">
        <f>IFERROR(__xludf.DUMMYFUNCTION("""COMPUTED_VALUE"""),2.684241771724297)</f>
        <v>2.684241772</v>
      </c>
      <c r="AC574" s="31">
        <f>IFERROR(__xludf.DUMMYFUNCTION("""COMPUTED_VALUE"""),352.29246219574674)</f>
        <v>352.2924622</v>
      </c>
      <c r="AD574" s="57">
        <f>IFERROR(__xludf.DUMMYFUNCTION("""COMPUTED_VALUE"""),0.8121514650045215)</f>
        <v>0.812151465</v>
      </c>
      <c r="AE574" s="57">
        <f>IFERROR(__xludf.DUMMYFUNCTION("""COMPUTED_VALUE"""),0.572186091688731)</f>
        <v>0.5721860917</v>
      </c>
      <c r="AF574" s="57">
        <f>IFERROR(__xludf.DUMMYFUNCTION("""COMPUTED_VALUE"""),1.3610472851222561)</f>
        <v>1.361047285</v>
      </c>
      <c r="AG574" s="57">
        <f>IFERROR(__xludf.DUMMYFUNCTION("""COMPUTED_VALUE"""),2.607899272407008)</f>
        <v>2.607899272</v>
      </c>
      <c r="AH574" s="57">
        <f>IFERROR(__xludf.DUMMYFUNCTION("""COMPUTED_VALUE"""),1.1564943509857513)</f>
        <v>1.156494351</v>
      </c>
      <c r="AI574" s="57">
        <f>IFERROR(__xludf.DUMMYFUNCTION("""COMPUTED_VALUE"""),1.2312974156790233)</f>
        <v>1.231297416</v>
      </c>
      <c r="AJ574" s="57">
        <f>IFERROR(__xludf.DUMMYFUNCTION("""COMPUTED_VALUE"""),0.7944014388814034)</f>
        <v>0.7944014389</v>
      </c>
      <c r="AK574" s="57">
        <f>IFERROR(__xludf.DUMMYFUNCTION("""COMPUTED_VALUE"""),1.2913407026985717)</f>
        <v>1.291340703</v>
      </c>
      <c r="AL574" s="57">
        <f>IFERROR(__xludf.DUMMYFUNCTION("""COMPUTED_VALUE"""),1.278167975504964)</f>
        <v>1.278167976</v>
      </c>
      <c r="AM574" s="57">
        <f>IFERROR(__xludf.DUMMYFUNCTION("""COMPUTED_VALUE"""),1.043692458419474)</f>
        <v>1.043692458</v>
      </c>
      <c r="AN574" s="57">
        <f>IFERROR(__xludf.DUMMYFUNCTION("""COMPUTED_VALUE"""),1.0331847824038407)</f>
        <v>1.033184782</v>
      </c>
      <c r="AO574" s="57">
        <f>IFERROR(__xludf.DUMMYFUNCTION("""COMPUTED_VALUE"""),1.1279096466651137)</f>
        <v>1.127909647</v>
      </c>
      <c r="AP574" s="35">
        <f>IFERROR(__xludf.DUMMYFUNCTION("""COMPUTED_VALUE"""),1.0437391530494944)</f>
        <v>1.043739153</v>
      </c>
      <c r="AQ574" s="57">
        <f>IFERROR(__xludf.DUMMYFUNCTION("""COMPUTED_VALUE"""),1.0498986521513973)</f>
        <v>1.049898652</v>
      </c>
      <c r="AR574" s="36" t="b">
        <f>IFERROR(__xludf.DUMMYFUNCTION("""COMPUTED_VALUE"""),TRUE)</f>
        <v>1</v>
      </c>
      <c r="AS574" s="57"/>
      <c r="AT574" s="37"/>
      <c r="AU574" s="30"/>
      <c r="AV574" s="30"/>
      <c r="AW574" s="30"/>
      <c r="AX574" s="30"/>
      <c r="AY574" s="30"/>
      <c r="AZ574" s="30"/>
    </row>
    <row r="575">
      <c r="A575" s="30" t="str">
        <f>IFERROR(__xludf.DUMMYFUNCTION("""COMPUTED_VALUE"""),"Rival")</f>
        <v>Rival</v>
      </c>
      <c r="B575" s="30" t="str">
        <f>IFERROR(__xludf.DUMMYFUNCTION("""COMPUTED_VALUE"""),"RSC006401")</f>
        <v>RSC006401</v>
      </c>
      <c r="C575" s="30" t="str">
        <f>IFERROR(__xludf.DUMMYFUNCTION("""COMPUTED_VALUE"""),"Shadohkamii")</f>
        <v>Shadohkamii</v>
      </c>
      <c r="D575" s="31" t="str">
        <f>IFERROR(__xludf.DUMMYFUNCTION("""COMPUTED_VALUE"""),"Hue Heroes")</f>
        <v>Hue Heroes</v>
      </c>
      <c r="E575" s="31">
        <f>IFERROR(__xludf.DUMMYFUNCTION("""COMPUTED_VALUE"""),69.71738823650956)</f>
        <v>69.71738824</v>
      </c>
      <c r="F575" s="31">
        <f>IFERROR(__xludf.DUMMYFUNCTION("""COMPUTED_VALUE"""),4.6480282745566885)</f>
        <v>4.648028275</v>
      </c>
      <c r="G575" s="31">
        <f>IFERROR(__xludf.DUMMYFUNCTION("""COMPUTED_VALUE"""),63.694501956339444)</f>
        <v>63.69450196</v>
      </c>
      <c r="H575" s="31">
        <f>IFERROR(__xludf.DUMMYFUNCTION("""COMPUTED_VALUE"""),3.4255789253995896)</f>
        <v>3.425578925</v>
      </c>
      <c r="I575" s="54">
        <f>IFERROR(__xludf.DUMMYFUNCTION("""COMPUTED_VALUE"""),30.0)</f>
        <v>30</v>
      </c>
      <c r="J575" s="55">
        <f>IFERROR(__xludf.DUMMYFUNCTION("""COMPUTED_VALUE"""),12.0)</f>
        <v>12</v>
      </c>
      <c r="K575" s="54">
        <f>IFERROR(__xludf.DUMMYFUNCTION("""COMPUTED_VALUE"""),18.0)</f>
        <v>18</v>
      </c>
      <c r="L575" s="56">
        <f>IFERROR(__xludf.DUMMYFUNCTION("""COMPUTED_VALUE"""),0.4)</f>
        <v>0.4</v>
      </c>
      <c r="M575" s="56">
        <f>IFERROR(__xludf.DUMMYFUNCTION("""COMPUTED_VALUE"""),0.2888888888888889)</f>
        <v>0.2888888889</v>
      </c>
      <c r="N575" s="31">
        <f>IFERROR(__xludf.DUMMYFUNCTION("""COMPUTED_VALUE"""),389.3666666666667)</f>
        <v>389.3666667</v>
      </c>
      <c r="O575" s="57">
        <f>IFERROR(__xludf.DUMMYFUNCTION("""COMPUTED_VALUE"""),0.8666666666666667)</f>
        <v>0.8666666667</v>
      </c>
      <c r="P575" s="57">
        <f>IFERROR(__xludf.DUMMYFUNCTION("""COMPUTED_VALUE"""),0.6666666666666666)</f>
        <v>0.6666666667</v>
      </c>
      <c r="Q575" s="57">
        <f>IFERROR(__xludf.DUMMYFUNCTION("""COMPUTED_VALUE"""),1.5333333333333334)</f>
        <v>1.533333333</v>
      </c>
      <c r="R575" s="57">
        <f>IFERROR(__xludf.DUMMYFUNCTION("""COMPUTED_VALUE"""),3.0)</f>
        <v>3</v>
      </c>
      <c r="S575" s="31">
        <f>IFERROR(__xludf.DUMMYFUNCTION("""COMPUTED_VALUE"""),352.62222222222215)</f>
        <v>352.6222222</v>
      </c>
      <c r="T575" s="57">
        <f>IFERROR(__xludf.DUMMYFUNCTION("""COMPUTED_VALUE"""),0.8888888888888891)</f>
        <v>0.8888888889</v>
      </c>
      <c r="U575" s="57">
        <f>IFERROR(__xludf.DUMMYFUNCTION("""COMPUTED_VALUE"""),0.622222222222222)</f>
        <v>0.6222222222</v>
      </c>
      <c r="V575" s="57">
        <f>IFERROR(__xludf.DUMMYFUNCTION("""COMPUTED_VALUE"""),1.1555555555555552)</f>
        <v>1.155555556</v>
      </c>
      <c r="W575" s="57">
        <f>IFERROR(__xludf.DUMMYFUNCTION("""COMPUTED_VALUE"""),2.844444444444443)</f>
        <v>2.844444444</v>
      </c>
      <c r="X575" s="31">
        <f>IFERROR(__xludf.DUMMYFUNCTION("""COMPUTED_VALUE"""),354.2992607613242)</f>
        <v>354.2992608</v>
      </c>
      <c r="Y575" s="57">
        <f>IFERROR(__xludf.DUMMYFUNCTION("""COMPUTED_VALUE"""),0.831013966748934)</f>
        <v>0.8310139667</v>
      </c>
      <c r="Z575" s="57">
        <f>IFERROR(__xludf.DUMMYFUNCTION("""COMPUTED_VALUE"""),0.5818603328689701)</f>
        <v>0.5818603329</v>
      </c>
      <c r="AA575" s="57">
        <f>IFERROR(__xludf.DUMMYFUNCTION("""COMPUTED_VALUE"""),1.2812014249157362)</f>
        <v>1.281201425</v>
      </c>
      <c r="AB575" s="57">
        <f>IFERROR(__xludf.DUMMYFUNCTION("""COMPUTED_VALUE"""),2.68697453140838)</f>
        <v>2.686974531</v>
      </c>
      <c r="AC575" s="31">
        <f>IFERROR(__xludf.DUMMYFUNCTION("""COMPUTED_VALUE"""),347.9474748338141)</f>
        <v>347.9474748</v>
      </c>
      <c r="AD575" s="57">
        <f>IFERROR(__xludf.DUMMYFUNCTION("""COMPUTED_VALUE"""),0.7591420678646864)</f>
        <v>0.7591420679</v>
      </c>
      <c r="AE575" s="57">
        <f>IFERROR(__xludf.DUMMYFUNCTION("""COMPUTED_VALUE"""),0.5561256773111086)</f>
        <v>0.5561256773</v>
      </c>
      <c r="AF575" s="57">
        <f>IFERROR(__xludf.DUMMYFUNCTION("""COMPUTED_VALUE"""),1.3604589871240906)</f>
        <v>1.360458987</v>
      </c>
      <c r="AG575" s="57">
        <f>IFERROR(__xludf.DUMMYFUNCTION("""COMPUTED_VALUE"""),2.5006004750280533)</f>
        <v>2.500600475</v>
      </c>
      <c r="AH575" s="57">
        <f>IFERROR(__xludf.DUMMYFUNCTION("""COMPUTED_VALUE"""),1.119038633209323)</f>
        <v>1.119038633</v>
      </c>
      <c r="AI575" s="57">
        <f>IFERROR(__xludf.DUMMYFUNCTION("""COMPUTED_VALUE"""),1.1416396263013395)</f>
        <v>1.141639626</v>
      </c>
      <c r="AJ575" s="57">
        <f>IFERROR(__xludf.DUMMYFUNCTION("""COMPUTED_VALUE"""),1.1987697994633666)</f>
        <v>1.198769799</v>
      </c>
      <c r="AK575" s="57">
        <f>IFERROR(__xludf.DUMMYFUNCTION("""COMPUTED_VALUE"""),1.127070604733691)</f>
        <v>1.127070605</v>
      </c>
      <c r="AL575" s="57">
        <f>IFERROR(__xludf.DUMMYFUNCTION("""COMPUTED_VALUE"""),1.1997118411993999)</f>
        <v>1.199711841</v>
      </c>
      <c r="AM575" s="57">
        <f>IFERROR(__xludf.DUMMYFUNCTION("""COMPUTED_VALUE"""),0.9952666044645467)</f>
        <v>0.9952666045</v>
      </c>
      <c r="AN575" s="57">
        <f>IFERROR(__xludf.DUMMYFUNCTION("""COMPUTED_VALUE"""),1.0696437418090232)</f>
        <v>1.069643742</v>
      </c>
      <c r="AO575" s="57">
        <f>IFERROR(__xludf.DUMMYFUNCTION("""COMPUTED_VALUE"""),1.0693669718886665)</f>
        <v>1.069366972</v>
      </c>
      <c r="AP575" s="35">
        <f>IFERROR(__xludf.DUMMYFUNCTION("""COMPUTED_VALUE"""),0.9019312132216489)</f>
        <v>0.9019312132</v>
      </c>
      <c r="AQ575" s="57">
        <f>IFERROR(__xludf.DUMMYFUNCTION("""COMPUTED_VALUE"""),1.058604914633681)</f>
        <v>1.058604915</v>
      </c>
      <c r="AR575" s="36" t="b">
        <f>IFERROR(__xludf.DUMMYFUNCTION("""COMPUTED_VALUE"""),TRUE)</f>
        <v>1</v>
      </c>
      <c r="AS575" s="57"/>
      <c r="AT575" s="37"/>
      <c r="AU575" s="30"/>
      <c r="AV575" s="30"/>
      <c r="AW575" s="30"/>
      <c r="AX575" s="30"/>
      <c r="AY575" s="30"/>
      <c r="AZ575" s="30"/>
    </row>
    <row r="576">
      <c r="A576" s="30" t="str">
        <f>IFERROR(__xludf.DUMMYFUNCTION("""COMPUTED_VALUE"""),"Rival")</f>
        <v>Rival</v>
      </c>
      <c r="B576" s="30" t="str">
        <f>IFERROR(__xludf.DUMMYFUNCTION("""COMPUTED_VALUE"""),"RSC007346")</f>
        <v>RSC007346</v>
      </c>
      <c r="C576" s="30" t="str">
        <f>IFERROR(__xludf.DUMMYFUNCTION("""COMPUTED_VALUE"""),"Mai")</f>
        <v>Mai</v>
      </c>
      <c r="D576" s="31" t="str">
        <f>IFERROR(__xludf.DUMMYFUNCTION("""COMPUTED_VALUE"""),"Funk Hunks")</f>
        <v>Funk Hunks</v>
      </c>
      <c r="E576" s="31">
        <f>IFERROR(__xludf.DUMMYFUNCTION("""COMPUTED_VALUE"""),69.4094271693953)</f>
        <v>69.40942717</v>
      </c>
      <c r="F576" s="31">
        <f>IFERROR(__xludf.DUMMYFUNCTION("""COMPUTED_VALUE"""),4.571153052956266)</f>
        <v>4.571153053</v>
      </c>
      <c r="G576" s="31">
        <f>IFERROR(__xludf.DUMMYFUNCTION("""COMPUTED_VALUE"""),68.91340644175747)</f>
        <v>68.91340644</v>
      </c>
      <c r="H576" s="31">
        <f>IFERROR(__xludf.DUMMYFUNCTION("""COMPUTED_VALUE"""),4.451093960646763)</f>
        <v>4.451093961</v>
      </c>
      <c r="I576" s="54">
        <f>IFERROR(__xludf.DUMMYFUNCTION("""COMPUTED_VALUE"""),26.0)</f>
        <v>26</v>
      </c>
      <c r="J576" s="55">
        <f>IFERROR(__xludf.DUMMYFUNCTION("""COMPUTED_VALUE"""),9.0)</f>
        <v>9</v>
      </c>
      <c r="K576" s="54">
        <f>IFERROR(__xludf.DUMMYFUNCTION("""COMPUTED_VALUE"""),17.0)</f>
        <v>17</v>
      </c>
      <c r="L576" s="56">
        <f>IFERROR(__xludf.DUMMYFUNCTION("""COMPUTED_VALUE"""),0.34615384615384615)</f>
        <v>0.3461538462</v>
      </c>
      <c r="M576" s="56">
        <f>IFERROR(__xludf.DUMMYFUNCTION("""COMPUTED_VALUE"""),0.30864197530864196)</f>
        <v>0.3086419753</v>
      </c>
      <c r="N576" s="31">
        <f>IFERROR(__xludf.DUMMYFUNCTION("""COMPUTED_VALUE"""),426.34615384615387)</f>
        <v>426.3461538</v>
      </c>
      <c r="O576" s="57">
        <f>IFERROR(__xludf.DUMMYFUNCTION("""COMPUTED_VALUE"""),0.9615384615384616)</f>
        <v>0.9615384615</v>
      </c>
      <c r="P576" s="57">
        <f>IFERROR(__xludf.DUMMYFUNCTION("""COMPUTED_VALUE"""),0.5)</f>
        <v>0.5</v>
      </c>
      <c r="Q576" s="57">
        <f>IFERROR(__xludf.DUMMYFUNCTION("""COMPUTED_VALUE"""),1.7307692307692308)</f>
        <v>1.730769231</v>
      </c>
      <c r="R576" s="57">
        <f>IFERROR(__xludf.DUMMYFUNCTION("""COMPUTED_VALUE"""),3.1153846153846154)</f>
        <v>3.115384615</v>
      </c>
      <c r="S576" s="31">
        <f>IFERROR(__xludf.DUMMYFUNCTION("""COMPUTED_VALUE"""),368.56410256410254)</f>
        <v>368.5641026</v>
      </c>
      <c r="T576" s="57">
        <f>IFERROR(__xludf.DUMMYFUNCTION("""COMPUTED_VALUE"""),0.9230769230769231)</f>
        <v>0.9230769231</v>
      </c>
      <c r="U576" s="57">
        <f>IFERROR(__xludf.DUMMYFUNCTION("""COMPUTED_VALUE"""),0.6282051282051282)</f>
        <v>0.6282051282</v>
      </c>
      <c r="V576" s="57">
        <f>IFERROR(__xludf.DUMMYFUNCTION("""COMPUTED_VALUE"""),1.333333333333333)</f>
        <v>1.333333333</v>
      </c>
      <c r="W576" s="57">
        <f>IFERROR(__xludf.DUMMYFUNCTION("""COMPUTED_VALUE"""),2.6410256410256405)</f>
        <v>2.641025641</v>
      </c>
      <c r="X576" s="31">
        <f>IFERROR(__xludf.DUMMYFUNCTION("""COMPUTED_VALUE"""),350.81255041847993)</f>
        <v>350.8125504</v>
      </c>
      <c r="Y576" s="57">
        <f>IFERROR(__xludf.DUMMYFUNCTION("""COMPUTED_VALUE"""),0.7941065048436845)</f>
        <v>0.7941065048</v>
      </c>
      <c r="Z576" s="57">
        <f>IFERROR(__xludf.DUMMYFUNCTION("""COMPUTED_VALUE"""),0.5843810095412659)</f>
        <v>0.5843810095</v>
      </c>
      <c r="AA576" s="57">
        <f>IFERROR(__xludf.DUMMYFUNCTION("""COMPUTED_VALUE"""),1.382285746067797)</f>
        <v>1.382285746</v>
      </c>
      <c r="AB576" s="57">
        <f>IFERROR(__xludf.DUMMYFUNCTION("""COMPUTED_VALUE"""),2.5896630731566623)</f>
        <v>2.589663073</v>
      </c>
      <c r="AC576" s="31">
        <f>IFERROR(__xludf.DUMMYFUNCTION("""COMPUTED_VALUE"""),349.63113944460105)</f>
        <v>349.6311394</v>
      </c>
      <c r="AD576" s="57">
        <f>IFERROR(__xludf.DUMMYFUNCTION("""COMPUTED_VALUE"""),0.778322680406014)</f>
        <v>0.7783226804</v>
      </c>
      <c r="AE576" s="57">
        <f>IFERROR(__xludf.DUMMYFUNCTION("""COMPUTED_VALUE"""),0.5667951825003109)</f>
        <v>0.5667951825</v>
      </c>
      <c r="AF576" s="57">
        <f>IFERROR(__xludf.DUMMYFUNCTION("""COMPUTED_VALUE"""),1.3460229684054474)</f>
        <v>1.346022968</v>
      </c>
      <c r="AG576" s="57">
        <f>IFERROR(__xludf.DUMMYFUNCTION("""COMPUTED_VALUE"""),2.6120159102530898)</f>
        <v>2.61201591</v>
      </c>
      <c r="AH576" s="57">
        <f>IFERROR(__xludf.DUMMYFUNCTION("""COMPUTED_VALUE"""),1.2194169962189776)</f>
        <v>1.219416996</v>
      </c>
      <c r="AI576" s="57">
        <f>IFERROR(__xludf.DUMMYFUNCTION("""COMPUTED_VALUE"""),1.2353982297379187)</f>
        <v>1.23539823</v>
      </c>
      <c r="AJ576" s="57">
        <f>IFERROR(__xludf.DUMMYFUNCTION("""COMPUTED_VALUE"""),0.8821528753902663)</f>
        <v>0.8821528754</v>
      </c>
      <c r="AK576" s="57">
        <f>IFERROR(__xludf.DUMMYFUNCTION("""COMPUTED_VALUE"""),1.2858392994731502)</f>
        <v>1.285839299</v>
      </c>
      <c r="AL576" s="57">
        <f>IFERROR(__xludf.DUMMYFUNCTION("""COMPUTED_VALUE"""),1.1927127255066192)</f>
        <v>1.192712726</v>
      </c>
      <c r="AM576" s="57">
        <f>IFERROR(__xludf.DUMMYFUNCTION("""COMPUTED_VALUE"""),1.0506012459487182)</f>
        <v>1.050601246</v>
      </c>
      <c r="AN576" s="57">
        <f>IFERROR(__xludf.DUMMYFUNCTION("""COMPUTED_VALUE"""),1.1624094720879106)</f>
        <v>1.162409472</v>
      </c>
      <c r="AO576" s="57">
        <f>IFERROR(__xludf.DUMMYFUNCTION("""COMPUTED_VALUE"""),1.0749923730380353)</f>
        <v>1.074992373</v>
      </c>
      <c r="AP576" s="35">
        <f>IFERROR(__xludf.DUMMYFUNCTION("""COMPUTED_VALUE"""),0.9645858948674545)</f>
        <v>0.9645858949</v>
      </c>
      <c r="AQ576" s="57">
        <f>IFERROR(__xludf.DUMMYFUNCTION("""COMPUTED_VALUE"""),1.0198336874018017)</f>
        <v>1.019833687</v>
      </c>
      <c r="AR576" s="36" t="b">
        <f>IFERROR(__xludf.DUMMYFUNCTION("""COMPUTED_VALUE"""),TRUE)</f>
        <v>1</v>
      </c>
      <c r="AS576" s="57"/>
      <c r="AT576" s="37"/>
      <c r="AU576" s="30"/>
      <c r="AV576" s="30"/>
      <c r="AW576" s="30"/>
      <c r="AX576" s="30"/>
      <c r="AY576" s="30"/>
      <c r="AZ576" s="30"/>
    </row>
    <row r="577">
      <c r="A577" s="30" t="str">
        <f>IFERROR(__xludf.DUMMYFUNCTION("""COMPUTED_VALUE"""),"Rival")</f>
        <v>Rival</v>
      </c>
      <c r="B577" s="30" t="str">
        <f>IFERROR(__xludf.DUMMYFUNCTION("""COMPUTED_VALUE"""),"RSC004586")</f>
        <v>RSC004586</v>
      </c>
      <c r="C577" s="30" t="str">
        <f>IFERROR(__xludf.DUMMYFUNCTION("""COMPUTED_VALUE"""),"Jaybeauh")</f>
        <v>Jaybeauh</v>
      </c>
      <c r="D577" s="31" t="str">
        <f>IFERROR(__xludf.DUMMYFUNCTION("""COMPUTED_VALUE"""),"Ion Imperial")</f>
        <v>Ion Imperial</v>
      </c>
      <c r="E577" s="31">
        <f>IFERROR(__xludf.DUMMYFUNCTION("""COMPUTED_VALUE"""),69.38570149435755)</f>
        <v>69.38570149</v>
      </c>
      <c r="F577" s="31">
        <f>IFERROR(__xludf.DUMMYFUNCTION("""COMPUTED_VALUE"""),4.565305741407773)</f>
        <v>4.565305741</v>
      </c>
      <c r="G577" s="31">
        <f>IFERROR(__xludf.DUMMYFUNCTION("""COMPUTED_VALUE"""),68.0529270475817)</f>
        <v>68.05292705</v>
      </c>
      <c r="H577" s="31">
        <f>IFERROR(__xludf.DUMMYFUNCTION("""COMPUTED_VALUE"""),4.253305644741386)</f>
        <v>4.253305645</v>
      </c>
      <c r="I577" s="54">
        <f>IFERROR(__xludf.DUMMYFUNCTION("""COMPUTED_VALUE"""),22.0)</f>
        <v>22</v>
      </c>
      <c r="J577" s="55">
        <f>IFERROR(__xludf.DUMMYFUNCTION("""COMPUTED_VALUE"""),13.0)</f>
        <v>13</v>
      </c>
      <c r="K577" s="54">
        <f>IFERROR(__xludf.DUMMYFUNCTION("""COMPUTED_VALUE"""),9.0)</f>
        <v>9</v>
      </c>
      <c r="L577" s="56">
        <f>IFERROR(__xludf.DUMMYFUNCTION("""COMPUTED_VALUE"""),0.5909090909090909)</f>
        <v>0.5909090909</v>
      </c>
      <c r="M577" s="56">
        <f>IFERROR(__xludf.DUMMYFUNCTION("""COMPUTED_VALUE"""),0.27692307692307694)</f>
        <v>0.2769230769</v>
      </c>
      <c r="N577" s="31">
        <f>IFERROR(__xludf.DUMMYFUNCTION("""COMPUTED_VALUE"""),386.3181818181818)</f>
        <v>386.3181818</v>
      </c>
      <c r="O577" s="57">
        <f>IFERROR(__xludf.DUMMYFUNCTION("""COMPUTED_VALUE"""),0.8181818181818182)</f>
        <v>0.8181818182</v>
      </c>
      <c r="P577" s="57">
        <f>IFERROR(__xludf.DUMMYFUNCTION("""COMPUTED_VALUE"""),0.5909090909090909)</f>
        <v>0.5909090909</v>
      </c>
      <c r="Q577" s="57">
        <f>IFERROR(__xludf.DUMMYFUNCTION("""COMPUTED_VALUE"""),1.3636363636363635)</f>
        <v>1.363636364</v>
      </c>
      <c r="R577" s="57">
        <f>IFERROR(__xludf.DUMMYFUNCTION("""COMPUTED_VALUE"""),2.9545454545454546)</f>
        <v>2.954545455</v>
      </c>
      <c r="S577" s="31">
        <f>IFERROR(__xludf.DUMMYFUNCTION("""COMPUTED_VALUE"""),342.7272727272727)</f>
        <v>342.7272727</v>
      </c>
      <c r="T577" s="57">
        <f>IFERROR(__xludf.DUMMYFUNCTION("""COMPUTED_VALUE"""),0.7121212121212122)</f>
        <v>0.7121212121</v>
      </c>
      <c r="U577" s="57">
        <f>IFERROR(__xludf.DUMMYFUNCTION("""COMPUTED_VALUE"""),0.4696969696969697)</f>
        <v>0.4696969697</v>
      </c>
      <c r="V577" s="57">
        <f>IFERROR(__xludf.DUMMYFUNCTION("""COMPUTED_VALUE"""),1.4545454545454546)</f>
        <v>1.454545455</v>
      </c>
      <c r="W577" s="57">
        <f>IFERROR(__xludf.DUMMYFUNCTION("""COMPUTED_VALUE"""),2.4242424242424243)</f>
        <v>2.424242424</v>
      </c>
      <c r="X577" s="31">
        <f>IFERROR(__xludf.DUMMYFUNCTION("""COMPUTED_VALUE"""),341.53259893655735)</f>
        <v>341.5325989</v>
      </c>
      <c r="Y577" s="57">
        <f>IFERROR(__xludf.DUMMYFUNCTION("""COMPUTED_VALUE"""),0.7751738069730496)</f>
        <v>0.775173807</v>
      </c>
      <c r="Z577" s="57">
        <f>IFERROR(__xludf.DUMMYFUNCTION("""COMPUTED_VALUE"""),0.4910143090635514)</f>
        <v>0.4910143091</v>
      </c>
      <c r="AA577" s="57">
        <f>IFERROR(__xludf.DUMMYFUNCTION("""COMPUTED_VALUE"""),1.2913127213695395)</f>
        <v>1.291312721</v>
      </c>
      <c r="AB577" s="57">
        <f>IFERROR(__xludf.DUMMYFUNCTION("""COMPUTED_VALUE"""),2.612873983480045)</f>
        <v>2.612873983</v>
      </c>
      <c r="AC577" s="31">
        <f>IFERROR(__xludf.DUMMYFUNCTION("""COMPUTED_VALUE"""),344.0921432792329)</f>
        <v>344.0921433</v>
      </c>
      <c r="AD577" s="57">
        <f>IFERROR(__xludf.DUMMYFUNCTION("""COMPUTED_VALUE"""),0.7439430542334584)</f>
        <v>0.7439430542</v>
      </c>
      <c r="AE577" s="57">
        <f>IFERROR(__xludf.DUMMYFUNCTION("""COMPUTED_VALUE"""),0.5185885441251604)</f>
        <v>0.5185885441</v>
      </c>
      <c r="AF577" s="57">
        <f>IFERROR(__xludf.DUMMYFUNCTION("""COMPUTED_VALUE"""),1.3317486771085258)</f>
        <v>1.331748677</v>
      </c>
      <c r="AG577" s="57">
        <f>IFERROR(__xludf.DUMMYFUNCTION("""COMPUTED_VALUE"""),2.4421622324084455)</f>
        <v>2.442162232</v>
      </c>
      <c r="AH577" s="57">
        <f>IFERROR(__xludf.DUMMYFUNCTION("""COMPUTED_VALUE"""),1.1227172411916484)</f>
        <v>1.122717241</v>
      </c>
      <c r="AI577" s="57">
        <f>IFERROR(__xludf.DUMMYFUNCTION("""COMPUTED_VALUE"""),1.099790922874942)</f>
        <v>1.099790923</v>
      </c>
      <c r="AJ577" s="57">
        <f>IFERROR(__xludf.DUMMYFUNCTION("""COMPUTED_VALUE"""),1.1394565067107925)</f>
        <v>1.139456507</v>
      </c>
      <c r="AK577" s="57">
        <f>IFERROR(__xludf.DUMMYFUNCTION("""COMPUTED_VALUE"""),1.023944222416704)</f>
        <v>1.023944222</v>
      </c>
      <c r="AL577" s="57">
        <f>IFERROR(__xludf.DUMMYFUNCTION("""COMPUTED_VALUE"""),1.20980720090479)</f>
        <v>1.209807201</v>
      </c>
      <c r="AM577" s="57">
        <f>IFERROR(__xludf.DUMMYFUNCTION("""COMPUTED_VALUE"""),1.00349797880037)</f>
        <v>1.003497979</v>
      </c>
      <c r="AN577" s="57">
        <f>IFERROR(__xludf.DUMMYFUNCTION("""COMPUTED_VALUE"""),0.9186600549648996)</f>
        <v>0.918660055</v>
      </c>
      <c r="AO577" s="57">
        <f>IFERROR(__xludf.DUMMYFUNCTION("""COMPUTED_VALUE"""),0.9565850954379771)</f>
        <v>0.9565850954</v>
      </c>
      <c r="AP577" s="35">
        <f>IFERROR(__xludf.DUMMYFUNCTION("""COMPUTED_VALUE"""),1.1264083676050165)</f>
        <v>1.126408368</v>
      </c>
      <c r="AQ577" s="57">
        <f>IFERROR(__xludf.DUMMYFUNCTION("""COMPUTED_VALUE"""),0.9278068669096757)</f>
        <v>0.9278068669</v>
      </c>
      <c r="AR577" s="36" t="b">
        <f>IFERROR(__xludf.DUMMYFUNCTION("""COMPUTED_VALUE"""),TRUE)</f>
        <v>1</v>
      </c>
      <c r="AS577" s="57"/>
      <c r="AT577" s="37"/>
      <c r="AU577" s="30"/>
      <c r="AV577" s="30"/>
      <c r="AW577" s="30"/>
      <c r="AX577" s="30"/>
      <c r="AY577" s="30"/>
      <c r="AZ577" s="30"/>
    </row>
    <row r="578">
      <c r="A578" s="30" t="str">
        <f>IFERROR(__xludf.DUMMYFUNCTION("""COMPUTED_VALUE"""),"Rival")</f>
        <v>Rival</v>
      </c>
      <c r="B578" s="30" t="str">
        <f>IFERROR(__xludf.DUMMYFUNCTION("""COMPUTED_VALUE"""),"RSC007555")</f>
        <v>RSC007555</v>
      </c>
      <c r="C578" s="30" t="str">
        <f>IFERROR(__xludf.DUMMYFUNCTION("""COMPUTED_VALUE"""),"cjAstr0-")</f>
        <v>cjAstr0-</v>
      </c>
      <c r="D578" s="31" t="str">
        <f>IFERROR(__xludf.DUMMYFUNCTION("""COMPUTED_VALUE"""),"Stolen")</f>
        <v>Stolen</v>
      </c>
      <c r="E578" s="31">
        <f>IFERROR(__xludf.DUMMYFUNCTION("""COMPUTED_VALUE"""),68.67326768968557)</f>
        <v>68.67326769</v>
      </c>
      <c r="F578" s="31">
        <f>IFERROR(__xludf.DUMMYFUNCTION("""COMPUTED_VALUE"""),4.3945865049362585)</f>
        <v>4.394586505</v>
      </c>
      <c r="G578" s="31">
        <f>IFERROR(__xludf.DUMMYFUNCTION("""COMPUTED_VALUE"""),55.46918147032261)</f>
        <v>55.46918147</v>
      </c>
      <c r="H578" s="31">
        <f>IFERROR(__xludf.DUMMYFUNCTION("""COMPUTED_VALUE"""),2.4188729579707173)</f>
        <v>2.418872958</v>
      </c>
      <c r="I578" s="54">
        <f>IFERROR(__xludf.DUMMYFUNCTION("""COMPUTED_VALUE"""),21.0)</f>
        <v>21</v>
      </c>
      <c r="J578" s="55">
        <f>IFERROR(__xludf.DUMMYFUNCTION("""COMPUTED_VALUE"""),14.0)</f>
        <v>14</v>
      </c>
      <c r="K578" s="54">
        <f>IFERROR(__xludf.DUMMYFUNCTION("""COMPUTED_VALUE"""),7.0)</f>
        <v>7</v>
      </c>
      <c r="L578" s="56">
        <f>IFERROR(__xludf.DUMMYFUNCTION("""COMPUTED_VALUE"""),0.6666666666666666)</f>
        <v>0.6666666667</v>
      </c>
      <c r="M578" s="56">
        <f>IFERROR(__xludf.DUMMYFUNCTION("""COMPUTED_VALUE"""),0.3114754098360656)</f>
        <v>0.3114754098</v>
      </c>
      <c r="N578" s="31">
        <f>IFERROR(__xludf.DUMMYFUNCTION("""COMPUTED_VALUE"""),335.76190476190476)</f>
        <v>335.7619048</v>
      </c>
      <c r="O578" s="57">
        <f>IFERROR(__xludf.DUMMYFUNCTION("""COMPUTED_VALUE"""),0.9047619047619048)</f>
        <v>0.9047619048</v>
      </c>
      <c r="P578" s="57">
        <f>IFERROR(__xludf.DUMMYFUNCTION("""COMPUTED_VALUE"""),0.6190476190476191)</f>
        <v>0.619047619</v>
      </c>
      <c r="Q578" s="57">
        <f>IFERROR(__xludf.DUMMYFUNCTION("""COMPUTED_VALUE"""),0.7619047619047619)</f>
        <v>0.7619047619</v>
      </c>
      <c r="R578" s="57">
        <f>IFERROR(__xludf.DUMMYFUNCTION("""COMPUTED_VALUE"""),2.9047619047619047)</f>
        <v>2.904761905</v>
      </c>
      <c r="S578" s="31">
        <f>IFERROR(__xludf.DUMMYFUNCTION("""COMPUTED_VALUE"""),344.2857142857142)</f>
        <v>344.2857143</v>
      </c>
      <c r="T578" s="57">
        <f>IFERROR(__xludf.DUMMYFUNCTION("""COMPUTED_VALUE"""),0.6825396825396824)</f>
        <v>0.6825396825</v>
      </c>
      <c r="U578" s="57">
        <f>IFERROR(__xludf.DUMMYFUNCTION("""COMPUTED_VALUE"""),0.5238095238095238)</f>
        <v>0.5238095238</v>
      </c>
      <c r="V578" s="57">
        <f>IFERROR(__xludf.DUMMYFUNCTION("""COMPUTED_VALUE"""),1.4603174603174602)</f>
        <v>1.46031746</v>
      </c>
      <c r="W578" s="57">
        <f>IFERROR(__xludf.DUMMYFUNCTION("""COMPUTED_VALUE"""),2.301587301587302)</f>
        <v>2.301587302</v>
      </c>
      <c r="X578" s="31">
        <f>IFERROR(__xludf.DUMMYFUNCTION("""COMPUTED_VALUE"""),351.6950404706176)</f>
        <v>351.6950405</v>
      </c>
      <c r="Y578" s="57">
        <f>IFERROR(__xludf.DUMMYFUNCTION("""COMPUTED_VALUE"""),0.8044042838373139)</f>
        <v>0.8044042838</v>
      </c>
      <c r="Z578" s="57">
        <f>IFERROR(__xludf.DUMMYFUNCTION("""COMPUTED_VALUE"""),0.5974897922404176)</f>
        <v>0.5974897922</v>
      </c>
      <c r="AA578" s="57">
        <f>IFERROR(__xludf.DUMMYFUNCTION("""COMPUTED_VALUE"""),1.3169166535065233)</f>
        <v>1.316916654</v>
      </c>
      <c r="AB578" s="57">
        <f>IFERROR(__xludf.DUMMYFUNCTION("""COMPUTED_VALUE"""),2.615324243005638)</f>
        <v>2.615324243</v>
      </c>
      <c r="AC578" s="31">
        <f>IFERROR(__xludf.DUMMYFUNCTION("""COMPUTED_VALUE"""),346.43352121950534)</f>
        <v>346.4335212</v>
      </c>
      <c r="AD578" s="57">
        <f>IFERROR(__xludf.DUMMYFUNCTION("""COMPUTED_VALUE"""),0.7942186660321967)</f>
        <v>0.794218666</v>
      </c>
      <c r="AE578" s="57">
        <f>IFERROR(__xludf.DUMMYFUNCTION("""COMPUTED_VALUE"""),0.5727491521230468)</f>
        <v>0.5727491521</v>
      </c>
      <c r="AF578" s="57">
        <f>IFERROR(__xludf.DUMMYFUNCTION("""COMPUTED_VALUE"""),1.3024550739820786)</f>
        <v>1.302455074</v>
      </c>
      <c r="AG578" s="57">
        <f>IFERROR(__xludf.DUMMYFUNCTION("""COMPUTED_VALUE"""),2.6068584826582613)</f>
        <v>2.606858483</v>
      </c>
      <c r="AH578" s="57">
        <f>IFERROR(__xludf.DUMMYFUNCTION("""COMPUTED_VALUE"""),0.9691957740693375)</f>
        <v>0.9691957741</v>
      </c>
      <c r="AI578" s="57">
        <f>IFERROR(__xludf.DUMMYFUNCTION("""COMPUTED_VALUE"""),1.1391848913372513)</f>
        <v>1.139184891</v>
      </c>
      <c r="AJ578" s="57">
        <f>IFERROR(__xludf.DUMMYFUNCTION("""COMPUTED_VALUE"""),1.0808355049552754)</f>
        <v>1.080835505</v>
      </c>
      <c r="AK578" s="57">
        <f>IFERROR(__xludf.DUMMYFUNCTION("""COMPUTED_VALUE"""),0.584975848399394)</f>
        <v>0.5849758484</v>
      </c>
      <c r="AL578" s="57">
        <f>IFERROR(__xludf.DUMMYFUNCTION("""COMPUTED_VALUE"""),1.1142767910438567)</f>
        <v>1.114276791</v>
      </c>
      <c r="AM578" s="57">
        <f>IFERROR(__xludf.DUMMYFUNCTION("""COMPUTED_VALUE"""),0.9789325258184232)</f>
        <v>0.9789325258</v>
      </c>
      <c r="AN578" s="57">
        <f>IFERROR(__xludf.DUMMYFUNCTION("""COMPUTED_VALUE"""),0.8485032915087286)</f>
        <v>0.8485032915</v>
      </c>
      <c r="AO578" s="57">
        <f>IFERROR(__xludf.DUMMYFUNCTION("""COMPUTED_VALUE"""),0.8766836364607776)</f>
        <v>0.8766836365</v>
      </c>
      <c r="AP578" s="35">
        <f>IFERROR(__xludf.DUMMYFUNCTION("""COMPUTED_VALUE"""),1.1088913306921186)</f>
        <v>1.108891331</v>
      </c>
      <c r="AQ578" s="57">
        <f>IFERROR(__xludf.DUMMYFUNCTION("""COMPUTED_VALUE"""),0.8800389885661838)</f>
        <v>0.8800389886</v>
      </c>
      <c r="AR578" s="36" t="b">
        <f>IFERROR(__xludf.DUMMYFUNCTION("""COMPUTED_VALUE"""),TRUE)</f>
        <v>1</v>
      </c>
      <c r="AS578" s="57"/>
      <c r="AT578" s="37"/>
      <c r="AU578" s="30"/>
      <c r="AV578" s="30"/>
      <c r="AW578" s="30"/>
      <c r="AX578" s="30"/>
      <c r="AY578" s="30"/>
      <c r="AZ578" s="30"/>
    </row>
    <row r="579">
      <c r="A579" s="30" t="str">
        <f>IFERROR(__xludf.DUMMYFUNCTION("""COMPUTED_VALUE"""),"Rival")</f>
        <v>Rival</v>
      </c>
      <c r="B579" s="30" t="str">
        <f>IFERROR(__xludf.DUMMYFUNCTION("""COMPUTED_VALUE"""),"RSC005287")</f>
        <v>RSC005287</v>
      </c>
      <c r="C579" s="30" t="str">
        <f>IFERROR(__xludf.DUMMYFUNCTION("""COMPUTED_VALUE"""),"the chosen one")</f>
        <v>the chosen one</v>
      </c>
      <c r="D579" s="31" t="str">
        <f>IFERROR(__xludf.DUMMYFUNCTION("""COMPUTED_VALUE"""),"Asiago Arsonists")</f>
        <v>Asiago Arsonists</v>
      </c>
      <c r="E579" s="31">
        <f>IFERROR(__xludf.DUMMYFUNCTION("""COMPUTED_VALUE"""),67.72538928403281)</f>
        <v>67.72538928</v>
      </c>
      <c r="F579" s="31">
        <f>IFERROR(__xludf.DUMMYFUNCTION("""COMPUTED_VALUE"""),4.181346556279216)</f>
        <v>4.181346556</v>
      </c>
      <c r="G579" s="31">
        <f>IFERROR(__xludf.DUMMYFUNCTION("""COMPUTED_VALUE"""),87.141733216794)</f>
        <v>87.14173322</v>
      </c>
      <c r="H579" s="31">
        <f>IFERROR(__xludf.DUMMYFUNCTION("""COMPUTED_VALUE"""),14.559579220618925)</f>
        <v>14.55957922</v>
      </c>
      <c r="I579" s="54">
        <f>IFERROR(__xludf.DUMMYFUNCTION("""COMPUTED_VALUE"""),36.0)</f>
        <v>36</v>
      </c>
      <c r="J579" s="55">
        <f>IFERROR(__xludf.DUMMYFUNCTION("""COMPUTED_VALUE"""),18.0)</f>
        <v>18</v>
      </c>
      <c r="K579" s="54">
        <f>IFERROR(__xludf.DUMMYFUNCTION("""COMPUTED_VALUE"""),18.0)</f>
        <v>18</v>
      </c>
      <c r="L579" s="56">
        <f>IFERROR(__xludf.DUMMYFUNCTION("""COMPUTED_VALUE"""),0.5)</f>
        <v>0.5</v>
      </c>
      <c r="M579" s="56">
        <f>IFERROR(__xludf.DUMMYFUNCTION("""COMPUTED_VALUE"""),0.2727272727272727)</f>
        <v>0.2727272727</v>
      </c>
      <c r="N579" s="31">
        <f>IFERROR(__xludf.DUMMYFUNCTION("""COMPUTED_VALUE"""),412.8333333333333)</f>
        <v>412.8333333</v>
      </c>
      <c r="O579" s="57">
        <f>IFERROR(__xludf.DUMMYFUNCTION("""COMPUTED_VALUE"""),0.75)</f>
        <v>0.75</v>
      </c>
      <c r="P579" s="57">
        <f>IFERROR(__xludf.DUMMYFUNCTION("""COMPUTED_VALUE"""),0.7222222222222222)</f>
        <v>0.7222222222</v>
      </c>
      <c r="Q579" s="57">
        <f>IFERROR(__xludf.DUMMYFUNCTION("""COMPUTED_VALUE"""),1.4722222222222223)</f>
        <v>1.472222222</v>
      </c>
      <c r="R579" s="57">
        <f>IFERROR(__xludf.DUMMYFUNCTION("""COMPUTED_VALUE"""),2.75)</f>
        <v>2.75</v>
      </c>
      <c r="S579" s="31">
        <f>IFERROR(__xludf.DUMMYFUNCTION("""COMPUTED_VALUE"""),324.6944444444444)</f>
        <v>324.6944444</v>
      </c>
      <c r="T579" s="57">
        <f>IFERROR(__xludf.DUMMYFUNCTION("""COMPUTED_VALUE"""),0.6666666666666666)</f>
        <v>0.6666666667</v>
      </c>
      <c r="U579" s="57">
        <f>IFERROR(__xludf.DUMMYFUNCTION("""COMPUTED_VALUE"""),0.5092592592592593)</f>
        <v>0.5092592593</v>
      </c>
      <c r="V579" s="57">
        <f>IFERROR(__xludf.DUMMYFUNCTION("""COMPUTED_VALUE"""),1.1851851851851853)</f>
        <v>1.185185185</v>
      </c>
      <c r="W579" s="57">
        <f>IFERROR(__xludf.DUMMYFUNCTION("""COMPUTED_VALUE"""),2.2314814814814814)</f>
        <v>2.231481481</v>
      </c>
      <c r="X579" s="31">
        <f>IFERROR(__xludf.DUMMYFUNCTION("""COMPUTED_VALUE"""),335.3573369127331)</f>
        <v>335.3573369</v>
      </c>
      <c r="Y579" s="57">
        <f>IFERROR(__xludf.DUMMYFUNCTION("""COMPUTED_VALUE"""),0.7014150702892157)</f>
        <v>0.7014150703</v>
      </c>
      <c r="Z579" s="57">
        <f>IFERROR(__xludf.DUMMYFUNCTION("""COMPUTED_VALUE"""),0.5374234365525402)</f>
        <v>0.5374234366</v>
      </c>
      <c r="AA579" s="57">
        <f>IFERROR(__xludf.DUMMYFUNCTION("""COMPUTED_VALUE"""),1.2902452125646295)</f>
        <v>1.290245213</v>
      </c>
      <c r="AB579" s="57">
        <f>IFERROR(__xludf.DUMMYFUNCTION("""COMPUTED_VALUE"""),2.4768222042032235)</f>
        <v>2.476822204</v>
      </c>
      <c r="AC579" s="31">
        <f>IFERROR(__xludf.DUMMYFUNCTION("""COMPUTED_VALUE"""),355.1299872698557)</f>
        <v>355.1299873</v>
      </c>
      <c r="AD579" s="57">
        <f>IFERROR(__xludf.DUMMYFUNCTION("""COMPUTED_VALUE"""),0.8180726961066841)</f>
        <v>0.8180726961</v>
      </c>
      <c r="AE579" s="57">
        <f>IFERROR(__xludf.DUMMYFUNCTION("""COMPUTED_VALUE"""),0.5832260087001782)</f>
        <v>0.5832260087</v>
      </c>
      <c r="AF579" s="57">
        <f>IFERROR(__xludf.DUMMYFUNCTION("""COMPUTED_VALUE"""),1.3273369638580743)</f>
        <v>1.327336964</v>
      </c>
      <c r="AG579" s="57">
        <f>IFERROR(__xludf.DUMMYFUNCTION("""COMPUTED_VALUE"""),2.580283085442258)</f>
        <v>2.580283085</v>
      </c>
      <c r="AH579" s="57">
        <f>IFERROR(__xludf.DUMMYFUNCTION("""COMPUTED_VALUE"""),1.162485141024236)</f>
        <v>1.162485141</v>
      </c>
      <c r="AI579" s="57">
        <f>IFERROR(__xludf.DUMMYFUNCTION("""COMPUTED_VALUE"""),0.9167889401141842)</f>
        <v>0.9167889401</v>
      </c>
      <c r="AJ579" s="57">
        <f>IFERROR(__xludf.DUMMYFUNCTION("""COMPUTED_VALUE"""),1.238323071071233)</f>
        <v>1.238323071</v>
      </c>
      <c r="AK579" s="57">
        <f>IFERROR(__xludf.DUMMYFUNCTION("""COMPUTED_VALUE"""),1.1091548433511718)</f>
        <v>1.109154843</v>
      </c>
      <c r="AL579" s="57">
        <f>IFERROR(__xludf.DUMMYFUNCTION("""COMPUTED_VALUE"""),1.0657745328469077)</f>
        <v>1.065774533</v>
      </c>
      <c r="AM579" s="57">
        <f>IFERROR(__xludf.DUMMYFUNCTION("""COMPUTED_VALUE"""),0.9682043859053443)</f>
        <v>0.9682043859</v>
      </c>
      <c r="AN579" s="57">
        <f>IFERROR(__xludf.DUMMYFUNCTION("""COMPUTED_VALUE"""),0.9504595708098755)</f>
        <v>0.9504595708</v>
      </c>
      <c r="AO579" s="57">
        <f>IFERROR(__xludf.DUMMYFUNCTION("""COMPUTED_VALUE"""),0.9475940657259976)</f>
        <v>0.9475940657</v>
      </c>
      <c r="AP579" s="35">
        <f>IFERROR(__xludf.DUMMYFUNCTION("""COMPUTED_VALUE"""),0.9185735964324055)</f>
        <v>0.9185735964</v>
      </c>
      <c r="AQ579" s="57">
        <f>IFERROR(__xludf.DUMMYFUNCTION("""COMPUTED_VALUE"""),0.9009453636577573)</f>
        <v>0.9009453637</v>
      </c>
      <c r="AR579" s="36" t="b">
        <f>IFERROR(__xludf.DUMMYFUNCTION("""COMPUTED_VALUE"""),TRUE)</f>
        <v>1</v>
      </c>
      <c r="AS579" s="57"/>
      <c r="AT579" s="37"/>
      <c r="AU579" s="30"/>
      <c r="AV579" s="30"/>
      <c r="AW579" s="30"/>
      <c r="AX579" s="30"/>
      <c r="AY579" s="30"/>
      <c r="AZ579" s="30"/>
    </row>
    <row r="580">
      <c r="A580" s="30" t="str">
        <f>IFERROR(__xludf.DUMMYFUNCTION("""COMPUTED_VALUE"""),"Rival")</f>
        <v>Rival</v>
      </c>
      <c r="B580" s="30" t="str">
        <f>IFERROR(__xludf.DUMMYFUNCTION("""COMPUTED_VALUE"""),"RSC000190")</f>
        <v>RSC000190</v>
      </c>
      <c r="C580" s="30" t="str">
        <f>IFERROR(__xludf.DUMMYFUNCTION("""COMPUTED_VALUE"""),"leaf.")</f>
        <v>leaf.</v>
      </c>
      <c r="D580" s="31" t="str">
        <f>IFERROR(__xludf.DUMMYFUNCTION("""COMPUTED_VALUE"""),"Hue Heroes")</f>
        <v>Hue Heroes</v>
      </c>
      <c r="E580" s="31">
        <f>IFERROR(__xludf.DUMMYFUNCTION("""COMPUTED_VALUE"""),67.63424161699712)</f>
        <v>67.63424162</v>
      </c>
      <c r="F580" s="31">
        <f>IFERROR(__xludf.DUMMYFUNCTION("""COMPUTED_VALUE"""),4.1616361406358315)</f>
        <v>4.161636141</v>
      </c>
      <c r="G580" s="31">
        <f>IFERROR(__xludf.DUMMYFUNCTION("""COMPUTED_VALUE"""),58.363182582497984)</f>
        <v>58.36318258</v>
      </c>
      <c r="H580" s="31">
        <f>IFERROR(__xludf.DUMMYFUNCTION("""COMPUTED_VALUE"""),2.710094333369803)</f>
        <v>2.710094333</v>
      </c>
      <c r="I580" s="54">
        <f>IFERROR(__xludf.DUMMYFUNCTION("""COMPUTED_VALUE"""),26.0)</f>
        <v>26</v>
      </c>
      <c r="J580" s="55">
        <f>IFERROR(__xludf.DUMMYFUNCTION("""COMPUTED_VALUE"""),14.0)</f>
        <v>14</v>
      </c>
      <c r="K580" s="54">
        <f>IFERROR(__xludf.DUMMYFUNCTION("""COMPUTED_VALUE"""),12.0)</f>
        <v>12</v>
      </c>
      <c r="L580" s="56">
        <f>IFERROR(__xludf.DUMMYFUNCTION("""COMPUTED_VALUE"""),0.5384615384615384)</f>
        <v>0.5384615385</v>
      </c>
      <c r="M580" s="56">
        <f>IFERROR(__xludf.DUMMYFUNCTION("""COMPUTED_VALUE"""),0.3733333333333333)</f>
        <v>0.3733333333</v>
      </c>
      <c r="N580" s="31">
        <f>IFERROR(__xludf.DUMMYFUNCTION("""COMPUTED_VALUE"""),376.96153846153845)</f>
        <v>376.9615385</v>
      </c>
      <c r="O580" s="57">
        <f>IFERROR(__xludf.DUMMYFUNCTION("""COMPUTED_VALUE"""),1.0769230769230769)</f>
        <v>1.076923077</v>
      </c>
      <c r="P580" s="57">
        <f>IFERROR(__xludf.DUMMYFUNCTION("""COMPUTED_VALUE"""),0.5)</f>
        <v>0.5</v>
      </c>
      <c r="Q580" s="57">
        <f>IFERROR(__xludf.DUMMYFUNCTION("""COMPUTED_VALUE"""),1.3846153846153846)</f>
        <v>1.384615385</v>
      </c>
      <c r="R580" s="57">
        <f>IFERROR(__xludf.DUMMYFUNCTION("""COMPUTED_VALUE"""),2.8846153846153846)</f>
        <v>2.884615385</v>
      </c>
      <c r="S580" s="31">
        <f>IFERROR(__xludf.DUMMYFUNCTION("""COMPUTED_VALUE"""),338.34615384615387)</f>
        <v>338.3461538</v>
      </c>
      <c r="T580" s="57">
        <f>IFERROR(__xludf.DUMMYFUNCTION("""COMPUTED_VALUE"""),0.7435897435897435)</f>
        <v>0.7435897436</v>
      </c>
      <c r="U580" s="57">
        <f>IFERROR(__xludf.DUMMYFUNCTION("""COMPUTED_VALUE"""),0.5128205128205127)</f>
        <v>0.5128205128</v>
      </c>
      <c r="V580" s="57">
        <f>IFERROR(__xludf.DUMMYFUNCTION("""COMPUTED_VALUE"""),1.2435897435897434)</f>
        <v>1.243589744</v>
      </c>
      <c r="W580" s="57">
        <f>IFERROR(__xludf.DUMMYFUNCTION("""COMPUTED_VALUE"""),2.525641025641025)</f>
        <v>2.525641026</v>
      </c>
      <c r="X580" s="31">
        <f>IFERROR(__xludf.DUMMYFUNCTION("""COMPUTED_VALUE"""),341.03988306735357)</f>
        <v>341.0398831</v>
      </c>
      <c r="Y580" s="57">
        <f>IFERROR(__xludf.DUMMYFUNCTION("""COMPUTED_VALUE"""),0.7144884307834973)</f>
        <v>0.7144884308</v>
      </c>
      <c r="Z580" s="57">
        <f>IFERROR(__xludf.DUMMYFUNCTION("""COMPUTED_VALUE"""),0.4789234600119873)</f>
        <v>0.47892346</v>
      </c>
      <c r="AA580" s="57">
        <f>IFERROR(__xludf.DUMMYFUNCTION("""COMPUTED_VALUE"""),1.3782328174752638)</f>
        <v>1.378232817</v>
      </c>
      <c r="AB580" s="57">
        <f>IFERROR(__xludf.DUMMYFUNCTION("""COMPUTED_VALUE"""),2.4446849513007747)</f>
        <v>2.444684951</v>
      </c>
      <c r="AC580" s="31">
        <f>IFERROR(__xludf.DUMMYFUNCTION("""COMPUTED_VALUE"""),355.4883154157013)</f>
        <v>355.4883154</v>
      </c>
      <c r="AD580" s="57">
        <f>IFERROR(__xludf.DUMMYFUNCTION("""COMPUTED_VALUE"""),0.815231589996831)</f>
        <v>0.81523159</v>
      </c>
      <c r="AE580" s="57">
        <f>IFERROR(__xludf.DUMMYFUNCTION("""COMPUTED_VALUE"""),0.6052312006035308)</f>
        <v>0.6052312006</v>
      </c>
      <c r="AF580" s="57">
        <f>IFERROR(__xludf.DUMMYFUNCTION("""COMPUTED_VALUE"""),1.277726240063855)</f>
        <v>1.27772624</v>
      </c>
      <c r="AG580" s="57">
        <f>IFERROR(__xludf.DUMMYFUNCTION("""COMPUTED_VALUE"""),2.6719432647971066)</f>
        <v>2.671943265</v>
      </c>
      <c r="AH580" s="57">
        <f>IFERROR(__xludf.DUMMYFUNCTION("""COMPUTED_VALUE"""),1.06040486315486)</f>
        <v>1.060404863</v>
      </c>
      <c r="AI580" s="57">
        <f>IFERROR(__xludf.DUMMYFUNCTION("""COMPUTED_VALUE"""),1.3210026330398497)</f>
        <v>1.321002633</v>
      </c>
      <c r="AJ580" s="57">
        <f>IFERROR(__xludf.DUMMYFUNCTION("""COMPUTED_VALUE"""),0.8261305753923539)</f>
        <v>0.8261305754</v>
      </c>
      <c r="AK580" s="57">
        <f>IFERROR(__xludf.DUMMYFUNCTION("""COMPUTED_VALUE"""),1.0836557481563405)</f>
        <v>1.083655748</v>
      </c>
      <c r="AL580" s="57">
        <f>IFERROR(__xludf.DUMMYFUNCTION("""COMPUTED_VALUE"""),1.079594549263166)</f>
        <v>1.079594549</v>
      </c>
      <c r="AM580" s="57">
        <f>IFERROR(__xludf.DUMMYFUNCTION("""COMPUTED_VALUE"""),0.9921014246281931)</f>
        <v>0.9921014246</v>
      </c>
      <c r="AN580" s="57">
        <f>IFERROR(__xludf.DUMMYFUNCTION("""COMPUTED_VALUE"""),1.040730278549555)</f>
        <v>1.040730279</v>
      </c>
      <c r="AO580" s="57">
        <f>IFERROR(__xludf.DUMMYFUNCTION("""COMPUTED_VALUE"""),1.0707775994261732)</f>
        <v>1.070777599</v>
      </c>
      <c r="AP580" s="35">
        <f>IFERROR(__xludf.DUMMYFUNCTION("""COMPUTED_VALUE"""),0.9023074532993864)</f>
        <v>0.9023074533</v>
      </c>
      <c r="AQ580" s="57">
        <f>IFERROR(__xludf.DUMMYFUNCTION("""COMPUTED_VALUE"""),1.0331151358776005)</f>
        <v>1.033115136</v>
      </c>
      <c r="AR580" s="36" t="b">
        <f>IFERROR(__xludf.DUMMYFUNCTION("""COMPUTED_VALUE"""),TRUE)</f>
        <v>1</v>
      </c>
      <c r="AS580" s="57"/>
      <c r="AT580" s="37"/>
      <c r="AU580" s="30"/>
      <c r="AV580" s="30"/>
      <c r="AW580" s="30"/>
      <c r="AX580" s="30"/>
      <c r="AY580" s="30"/>
      <c r="AZ580" s="30"/>
    </row>
    <row r="581">
      <c r="A581" s="30" t="str">
        <f>IFERROR(__xludf.DUMMYFUNCTION("""COMPUTED_VALUE"""),"Rival")</f>
        <v>Rival</v>
      </c>
      <c r="B581" s="30" t="str">
        <f>IFERROR(__xludf.DUMMYFUNCTION("""COMPUTED_VALUE"""),"RSC005455")</f>
        <v>RSC005455</v>
      </c>
      <c r="C581" s="30" t="str">
        <f>IFERROR(__xludf.DUMMYFUNCTION("""COMPUTED_VALUE"""),"Covi")</f>
        <v>Covi</v>
      </c>
      <c r="D581" s="31" t="str">
        <f>IFERROR(__xludf.DUMMYFUNCTION("""COMPUTED_VALUE"""),"Hammerheads")</f>
        <v>Hammerheads</v>
      </c>
      <c r="E581" s="31">
        <f>IFERROR(__xludf.DUMMYFUNCTION("""COMPUTED_VALUE"""),67.47728580421366)</f>
        <v>67.4772858</v>
      </c>
      <c r="F581" s="31">
        <f>IFERROR(__xludf.DUMMYFUNCTION("""COMPUTED_VALUE"""),4.128010492059906)</f>
        <v>4.128010492</v>
      </c>
      <c r="G581" s="31">
        <f>IFERROR(__xludf.DUMMYFUNCTION("""COMPUTED_VALUE"""),41.808441985875895)</f>
        <v>41.80844199</v>
      </c>
      <c r="H581" s="31">
        <f>IFERROR(__xludf.DUMMYFUNCTION("""COMPUTED_VALUE"""),-2.691185172997723)</f>
        <v>-2.691185173</v>
      </c>
      <c r="I581" s="54">
        <f>IFERROR(__xludf.DUMMYFUNCTION("""COMPUTED_VALUE"""),8.0)</f>
        <v>8</v>
      </c>
      <c r="J581" s="55">
        <f>IFERROR(__xludf.DUMMYFUNCTION("""COMPUTED_VALUE"""),4.0)</f>
        <v>4</v>
      </c>
      <c r="K581" s="54">
        <f>IFERROR(__xludf.DUMMYFUNCTION("""COMPUTED_VALUE"""),4.0)</f>
        <v>4</v>
      </c>
      <c r="L581" s="56">
        <f>IFERROR(__xludf.DUMMYFUNCTION("""COMPUTED_VALUE"""),0.5)</f>
        <v>0.5</v>
      </c>
      <c r="M581" s="56">
        <f>IFERROR(__xludf.DUMMYFUNCTION("""COMPUTED_VALUE"""),0.3448275862068966)</f>
        <v>0.3448275862</v>
      </c>
      <c r="N581" s="31">
        <f>IFERROR(__xludf.DUMMYFUNCTION("""COMPUTED_VALUE"""),355.125)</f>
        <v>355.125</v>
      </c>
      <c r="O581" s="57">
        <f>IFERROR(__xludf.DUMMYFUNCTION("""COMPUTED_VALUE"""),1.25)</f>
        <v>1.25</v>
      </c>
      <c r="P581" s="57">
        <f>IFERROR(__xludf.DUMMYFUNCTION("""COMPUTED_VALUE"""),0.25)</f>
        <v>0.25</v>
      </c>
      <c r="Q581" s="57">
        <f>IFERROR(__xludf.DUMMYFUNCTION("""COMPUTED_VALUE"""),1.125)</f>
        <v>1.125</v>
      </c>
      <c r="R581" s="57">
        <f>IFERROR(__xludf.DUMMYFUNCTION("""COMPUTED_VALUE"""),3.625)</f>
        <v>3.625</v>
      </c>
      <c r="S581" s="31">
        <f>IFERROR(__xludf.DUMMYFUNCTION("""COMPUTED_VALUE"""),349.0416666666667)</f>
        <v>349.0416667</v>
      </c>
      <c r="T581" s="57">
        <f>IFERROR(__xludf.DUMMYFUNCTION("""COMPUTED_VALUE"""),0.7083333333333334)</f>
        <v>0.7083333333</v>
      </c>
      <c r="U581" s="57">
        <f>IFERROR(__xludf.DUMMYFUNCTION("""COMPUTED_VALUE"""),0.5833333333333333)</f>
        <v>0.5833333333</v>
      </c>
      <c r="V581" s="57">
        <f>IFERROR(__xludf.DUMMYFUNCTION("""COMPUTED_VALUE"""),1.7916666666666667)</f>
        <v>1.791666667</v>
      </c>
      <c r="W581" s="57">
        <f>IFERROR(__xludf.DUMMYFUNCTION("""COMPUTED_VALUE"""),2.8333333333333335)</f>
        <v>2.833333333</v>
      </c>
      <c r="X581" s="31">
        <f>IFERROR(__xludf.DUMMYFUNCTION("""COMPUTED_VALUE"""),328.22832841185834)</f>
        <v>328.2283284</v>
      </c>
      <c r="Y581" s="57">
        <f>IFERROR(__xludf.DUMMYFUNCTION("""COMPUTED_VALUE"""),0.7151478663502258)</f>
        <v>0.7151478664</v>
      </c>
      <c r="Z581" s="57">
        <f>IFERROR(__xludf.DUMMYFUNCTION("""COMPUTED_VALUE"""),0.486064884147915)</f>
        <v>0.4860648841</v>
      </c>
      <c r="AA581" s="57">
        <f>IFERROR(__xludf.DUMMYFUNCTION("""COMPUTED_VALUE"""),1.3574615827054575)</f>
        <v>1.357461583</v>
      </c>
      <c r="AB581" s="57">
        <f>IFERROR(__xludf.DUMMYFUNCTION("""COMPUTED_VALUE"""),2.4657407084244656)</f>
        <v>2.465740708</v>
      </c>
      <c r="AC581" s="31">
        <f>IFERROR(__xludf.DUMMYFUNCTION("""COMPUTED_VALUE"""),364.72969229823246)</f>
        <v>364.7296923</v>
      </c>
      <c r="AD581" s="57">
        <f>IFERROR(__xludf.DUMMYFUNCTION("""COMPUTED_VALUE"""),0.8673826939763873)</f>
        <v>0.867382694</v>
      </c>
      <c r="AE581" s="57">
        <f>IFERROR(__xludf.DUMMYFUNCTION("""COMPUTED_VALUE"""),0.6140784870083873)</f>
        <v>0.614078487</v>
      </c>
      <c r="AF581" s="57">
        <f>IFERROR(__xludf.DUMMYFUNCTION("""COMPUTED_VALUE"""),1.404622141067241)</f>
        <v>1.404622141</v>
      </c>
      <c r="AG581" s="57">
        <f>IFERROR(__xludf.DUMMYFUNCTION("""COMPUTED_VALUE"""),2.74356455892867)</f>
        <v>2.743564559</v>
      </c>
      <c r="AH581" s="57">
        <f>IFERROR(__xludf.DUMMYFUNCTION("""COMPUTED_VALUE"""),0.9736662725820006)</f>
        <v>0.9736662726</v>
      </c>
      <c r="AI581" s="57">
        <f>IFERROR(__xludf.DUMMYFUNCTION("""COMPUTED_VALUE"""),1.441117062492405)</f>
        <v>1.441117062</v>
      </c>
      <c r="AJ581" s="57">
        <f>IFERROR(__xludf.DUMMYFUNCTION("""COMPUTED_VALUE"""),0.40711408279082967)</f>
        <v>0.4071140828</v>
      </c>
      <c r="AK581" s="57">
        <f>IFERROR(__xludf.DUMMYFUNCTION("""COMPUTED_VALUE"""),0.8009271441109548)</f>
        <v>0.8009271441</v>
      </c>
      <c r="AL581" s="57">
        <f>IFERROR(__xludf.DUMMYFUNCTION("""COMPUTED_VALUE"""),1.3212738108176758)</f>
        <v>1.321273811</v>
      </c>
      <c r="AM581" s="57">
        <f>IFERROR(__xludf.DUMMYFUNCTION("""COMPUTED_VALUE"""),1.0634111575789764)</f>
        <v>1.063411158</v>
      </c>
      <c r="AN581" s="57">
        <f>IFERROR(__xludf.DUMMYFUNCTION("""COMPUTED_VALUE"""),0.9904711552148362)</f>
        <v>0.9904711552</v>
      </c>
      <c r="AO581" s="57">
        <f>IFERROR(__xludf.DUMMYFUNCTION("""COMPUTED_VALUE"""),1.200114125413385)</f>
        <v>1.200114125</v>
      </c>
      <c r="AP581" s="35">
        <f>IFERROR(__xludf.DUMMYFUNCTION("""COMPUTED_VALUE"""),1.319865467644268)</f>
        <v>1.319865468</v>
      </c>
      <c r="AQ581" s="57">
        <f>IFERROR(__xludf.DUMMYFUNCTION("""COMPUTED_VALUE"""),1.1490800000393182)</f>
        <v>1.14908</v>
      </c>
      <c r="AR581" s="36" t="b">
        <f>IFERROR(__xludf.DUMMYFUNCTION("""COMPUTED_VALUE"""),TRUE)</f>
        <v>1</v>
      </c>
      <c r="AS581" s="57"/>
      <c r="AT581" s="37"/>
      <c r="AU581" s="30"/>
      <c r="AV581" s="30"/>
      <c r="AW581" s="30"/>
      <c r="AX581" s="30"/>
      <c r="AY581" s="30"/>
      <c r="AZ581" s="30"/>
    </row>
    <row r="582">
      <c r="A582" s="30" t="str">
        <f>IFERROR(__xludf.DUMMYFUNCTION("""COMPUTED_VALUE"""),"Rival")</f>
        <v>Rival</v>
      </c>
      <c r="B582" s="30" t="str">
        <f>IFERROR(__xludf.DUMMYFUNCTION("""COMPUTED_VALUE"""),"RSC005828")</f>
        <v>RSC005828</v>
      </c>
      <c r="C582" s="30" t="str">
        <f>IFERROR(__xludf.DUMMYFUNCTION("""COMPUTED_VALUE"""),"Creme")</f>
        <v>Creme</v>
      </c>
      <c r="D582" s="31" t="str">
        <f>IFERROR(__xludf.DUMMYFUNCTION("""COMPUTED_VALUE"""),"Bulldozers")</f>
        <v>Bulldozers</v>
      </c>
      <c r="E582" s="31">
        <f>IFERROR(__xludf.DUMMYFUNCTION("""COMPUTED_VALUE"""),67.08007035272527)</f>
        <v>67.08007035</v>
      </c>
      <c r="F582" s="31">
        <f>IFERROR(__xludf.DUMMYFUNCTION("""COMPUTED_VALUE"""),4.044663645795758)</f>
        <v>4.044663646</v>
      </c>
      <c r="G582" s="31">
        <f>IFERROR(__xludf.DUMMYFUNCTION("""COMPUTED_VALUE"""),47.233670194290305)</f>
        <v>47.23367019</v>
      </c>
      <c r="H582" s="31">
        <f>IFERROR(__xludf.DUMMYFUNCTION("""COMPUTED_VALUE"""),-2.193243709127304)</f>
        <v>-2.193243709</v>
      </c>
      <c r="I582" s="54">
        <f>IFERROR(__xludf.DUMMYFUNCTION("""COMPUTED_VALUE"""),34.0)</f>
        <v>34</v>
      </c>
      <c r="J582" s="55">
        <f>IFERROR(__xludf.DUMMYFUNCTION("""COMPUTED_VALUE"""),27.0)</f>
        <v>27</v>
      </c>
      <c r="K582" s="54">
        <f>IFERROR(__xludf.DUMMYFUNCTION("""COMPUTED_VALUE"""),7.0)</f>
        <v>7</v>
      </c>
      <c r="L582" s="56">
        <f>IFERROR(__xludf.DUMMYFUNCTION("""COMPUTED_VALUE"""),0.7941176470588235)</f>
        <v>0.7941176471</v>
      </c>
      <c r="M582" s="56">
        <f>IFERROR(__xludf.DUMMYFUNCTION("""COMPUTED_VALUE"""),0.35555555555555557)</f>
        <v>0.3555555556</v>
      </c>
      <c r="N582" s="31">
        <f>IFERROR(__xludf.DUMMYFUNCTION("""COMPUTED_VALUE"""),374.47058823529414)</f>
        <v>374.4705882</v>
      </c>
      <c r="O582" s="57">
        <f>IFERROR(__xludf.DUMMYFUNCTION("""COMPUTED_VALUE"""),0.9411764705882353)</f>
        <v>0.9411764706</v>
      </c>
      <c r="P582" s="57">
        <f>IFERROR(__xludf.DUMMYFUNCTION("""COMPUTED_VALUE"""),0.6470588235294118)</f>
        <v>0.6470588235</v>
      </c>
      <c r="Q582" s="57">
        <f>IFERROR(__xludf.DUMMYFUNCTION("""COMPUTED_VALUE"""),1.6176470588235294)</f>
        <v>1.617647059</v>
      </c>
      <c r="R582" s="57">
        <f>IFERROR(__xludf.DUMMYFUNCTION("""COMPUTED_VALUE"""),2.6470588235294117)</f>
        <v>2.647058824</v>
      </c>
      <c r="S582" s="31">
        <f>IFERROR(__xludf.DUMMYFUNCTION("""COMPUTED_VALUE"""),323.41176470588243)</f>
        <v>323.4117647</v>
      </c>
      <c r="T582" s="57">
        <f>IFERROR(__xludf.DUMMYFUNCTION("""COMPUTED_VALUE"""),0.6176470588235292)</f>
        <v>0.6176470588</v>
      </c>
      <c r="U582" s="57">
        <f>IFERROR(__xludf.DUMMYFUNCTION("""COMPUTED_VALUE"""),0.47058823529411775)</f>
        <v>0.4705882353</v>
      </c>
      <c r="V582" s="57">
        <f>IFERROR(__xludf.DUMMYFUNCTION("""COMPUTED_VALUE"""),1.3333333333333333)</f>
        <v>1.333333333</v>
      </c>
      <c r="W582" s="57">
        <f>IFERROR(__xludf.DUMMYFUNCTION("""COMPUTED_VALUE"""),2.715686274509803)</f>
        <v>2.715686275</v>
      </c>
      <c r="X582" s="31">
        <f>IFERROR(__xludf.DUMMYFUNCTION("""COMPUTED_VALUE"""),344.0609490659956)</f>
        <v>344.0609491</v>
      </c>
      <c r="Y582" s="57">
        <f>IFERROR(__xludf.DUMMYFUNCTION("""COMPUTED_VALUE"""),0.7355444350295652)</f>
        <v>0.735544435</v>
      </c>
      <c r="Z582" s="57">
        <f>IFERROR(__xludf.DUMMYFUNCTION("""COMPUTED_VALUE"""),0.5620289282233928)</f>
        <v>0.5620289282</v>
      </c>
      <c r="AA582" s="57">
        <f>IFERROR(__xludf.DUMMYFUNCTION("""COMPUTED_VALUE"""),1.3233045254693079)</f>
        <v>1.323304525</v>
      </c>
      <c r="AB582" s="57">
        <f>IFERROR(__xludf.DUMMYFUNCTION("""COMPUTED_VALUE"""),2.5153709956341967)</f>
        <v>2.515370996</v>
      </c>
      <c r="AC582" s="31">
        <f>IFERROR(__xludf.DUMMYFUNCTION("""COMPUTED_VALUE"""),363.150779426148)</f>
        <v>363.1507794</v>
      </c>
      <c r="AD582" s="57">
        <f>IFERROR(__xludf.DUMMYFUNCTION("""COMPUTED_VALUE"""),0.8690549886513811)</f>
        <v>0.8690549887</v>
      </c>
      <c r="AE582" s="57">
        <f>IFERROR(__xludf.DUMMYFUNCTION("""COMPUTED_VALUE"""),0.6412712868170595)</f>
        <v>0.6412712868</v>
      </c>
      <c r="AF582" s="57">
        <f>IFERROR(__xludf.DUMMYFUNCTION("""COMPUTED_VALUE"""),1.3219149064013456)</f>
        <v>1.321914906</v>
      </c>
      <c r="AG582" s="57">
        <f>IFERROR(__xludf.DUMMYFUNCTION("""COMPUTED_VALUE"""),2.6750814225008055)</f>
        <v>2.675081423</v>
      </c>
      <c r="AH582" s="57">
        <f>IFERROR(__xludf.DUMMYFUNCTION("""COMPUTED_VALUE"""),1.0311710987569234)</f>
        <v>1.031171099</v>
      </c>
      <c r="AI582" s="57">
        <f>IFERROR(__xludf.DUMMYFUNCTION("""COMPUTED_VALUE"""),1.0829883987534252)</f>
        <v>1.082988399</v>
      </c>
      <c r="AJ582" s="57">
        <f>IFERROR(__xludf.DUMMYFUNCTION("""COMPUTED_VALUE"""),1.0090250987863165)</f>
        <v>1.009025099</v>
      </c>
      <c r="AK582" s="57">
        <f>IFERROR(__xludf.DUMMYFUNCTION("""COMPUTED_VALUE"""),1.223714969087728)</f>
        <v>1.223714969</v>
      </c>
      <c r="AL582" s="57">
        <f>IFERROR(__xludf.DUMMYFUNCTION("""COMPUTED_VALUE"""),0.9895245809209063)</f>
        <v>0.9895245809</v>
      </c>
      <c r="AM582" s="57">
        <f>IFERROR(__xludf.DUMMYFUNCTION("""COMPUTED_VALUE"""),0.939983934776183)</f>
        <v>0.9399839348</v>
      </c>
      <c r="AN582" s="57">
        <f>IFERROR(__xludf.DUMMYFUNCTION("""COMPUTED_VALUE"""),0.8397141347398038)</f>
        <v>0.8397141347</v>
      </c>
      <c r="AO582" s="57">
        <f>IFERROR(__xludf.DUMMYFUNCTION("""COMPUTED_VALUE"""),0.8373025153379123)</f>
        <v>0.8373025153</v>
      </c>
      <c r="AP582" s="35">
        <f>IFERROR(__xludf.DUMMYFUNCTION("""COMPUTED_VALUE"""),1.0075786092097498)</f>
        <v>1.007578609</v>
      </c>
      <c r="AQ582" s="57">
        <f>IFERROR(__xludf.DUMMYFUNCTION("""COMPUTED_VALUE"""),1.0796364747877285)</f>
        <v>1.079636475</v>
      </c>
      <c r="AR582" s="36" t="b">
        <f>IFERROR(__xludf.DUMMYFUNCTION("""COMPUTED_VALUE"""),TRUE)</f>
        <v>1</v>
      </c>
      <c r="AS582" s="57"/>
      <c r="AT582" s="37"/>
      <c r="AU582" s="30"/>
      <c r="AV582" s="30"/>
      <c r="AW582" s="30"/>
      <c r="AX582" s="30"/>
      <c r="AY582" s="30"/>
      <c r="AZ582" s="30"/>
    </row>
    <row r="583">
      <c r="A583" s="30" t="str">
        <f>IFERROR(__xludf.DUMMYFUNCTION("""COMPUTED_VALUE"""),"Rival")</f>
        <v>Rival</v>
      </c>
      <c r="B583" s="30" t="str">
        <f>IFERROR(__xludf.DUMMYFUNCTION("""COMPUTED_VALUE"""),"RSC004665")</f>
        <v>RSC004665</v>
      </c>
      <c r="C583" s="30" t="str">
        <f>IFERROR(__xludf.DUMMYFUNCTION("""COMPUTED_VALUE"""),"xPrism")</f>
        <v>xPrism</v>
      </c>
      <c r="D583" s="31" t="str">
        <f>IFERROR(__xludf.DUMMYFUNCTION("""COMPUTED_VALUE"""),"Polar Ice")</f>
        <v>Polar Ice</v>
      </c>
      <c r="E583" s="31">
        <f>IFERROR(__xludf.DUMMYFUNCTION("""COMPUTED_VALUE"""),66.57624584628488)</f>
        <v>66.57624585</v>
      </c>
      <c r="F583" s="31">
        <f>IFERROR(__xludf.DUMMYFUNCTION("""COMPUTED_VALUE"""),3.942450953368343)</f>
        <v>3.942450953</v>
      </c>
      <c r="G583" s="31">
        <f>IFERROR(__xludf.DUMMYFUNCTION("""COMPUTED_VALUE"""),55.59967699240525)</f>
        <v>55.59967699</v>
      </c>
      <c r="H583" s="31">
        <f>IFERROR(__xludf.DUMMYFUNCTION("""COMPUTED_VALUE"""),2.4308207947239504)</f>
        <v>2.430820795</v>
      </c>
      <c r="I583" s="54">
        <f>IFERROR(__xludf.DUMMYFUNCTION("""COMPUTED_VALUE"""),32.0)</f>
        <v>32</v>
      </c>
      <c r="J583" s="55">
        <f>IFERROR(__xludf.DUMMYFUNCTION("""COMPUTED_VALUE"""),16.0)</f>
        <v>16</v>
      </c>
      <c r="K583" s="54">
        <f>IFERROR(__xludf.DUMMYFUNCTION("""COMPUTED_VALUE"""),16.0)</f>
        <v>16</v>
      </c>
      <c r="L583" s="56">
        <f>IFERROR(__xludf.DUMMYFUNCTION("""COMPUTED_VALUE"""),0.5)</f>
        <v>0.5</v>
      </c>
      <c r="M583" s="56">
        <f>IFERROR(__xludf.DUMMYFUNCTION("""COMPUTED_VALUE"""),0.3068181818181818)</f>
        <v>0.3068181818</v>
      </c>
      <c r="N583" s="31">
        <f>IFERROR(__xludf.DUMMYFUNCTION("""COMPUTED_VALUE"""),377.5625)</f>
        <v>377.5625</v>
      </c>
      <c r="O583" s="57">
        <f>IFERROR(__xludf.DUMMYFUNCTION("""COMPUTED_VALUE"""),0.84375)</f>
        <v>0.84375</v>
      </c>
      <c r="P583" s="57">
        <f>IFERROR(__xludf.DUMMYFUNCTION("""COMPUTED_VALUE"""),0.71875)</f>
        <v>0.71875</v>
      </c>
      <c r="Q583" s="57">
        <f>IFERROR(__xludf.DUMMYFUNCTION("""COMPUTED_VALUE"""),1.28125)</f>
        <v>1.28125</v>
      </c>
      <c r="R583" s="57">
        <f>IFERROR(__xludf.DUMMYFUNCTION("""COMPUTED_VALUE"""),2.75)</f>
        <v>2.75</v>
      </c>
      <c r="S583" s="31">
        <f>IFERROR(__xludf.DUMMYFUNCTION("""COMPUTED_VALUE"""),360.53125000000006)</f>
        <v>360.53125</v>
      </c>
      <c r="T583" s="57">
        <f>IFERROR(__xludf.DUMMYFUNCTION("""COMPUTED_VALUE"""),0.7916666666666665)</f>
        <v>0.7916666667</v>
      </c>
      <c r="U583" s="57">
        <f>IFERROR(__xludf.DUMMYFUNCTION("""COMPUTED_VALUE"""),0.5208333333333333)</f>
        <v>0.5208333333</v>
      </c>
      <c r="V583" s="57">
        <f>IFERROR(__xludf.DUMMYFUNCTION("""COMPUTED_VALUE"""),1.4270833333333337)</f>
        <v>1.427083333</v>
      </c>
      <c r="W583" s="57">
        <f>IFERROR(__xludf.DUMMYFUNCTION("""COMPUTED_VALUE"""),2.6249999999999996)</f>
        <v>2.625</v>
      </c>
      <c r="X583" s="31">
        <f>IFERROR(__xludf.DUMMYFUNCTION("""COMPUTED_VALUE"""),343.7687470042892)</f>
        <v>343.768747</v>
      </c>
      <c r="Y583" s="57">
        <f>IFERROR(__xludf.DUMMYFUNCTION("""COMPUTED_VALUE"""),0.7602020494483733)</f>
        <v>0.7602020494</v>
      </c>
      <c r="Z583" s="57">
        <f>IFERROR(__xludf.DUMMYFUNCTION("""COMPUTED_VALUE"""),0.5202914727225391)</f>
        <v>0.5202914727</v>
      </c>
      <c r="AA583" s="57">
        <f>IFERROR(__xludf.DUMMYFUNCTION("""COMPUTED_VALUE"""),1.3093717525496016)</f>
        <v>1.309371753</v>
      </c>
      <c r="AB583" s="57">
        <f>IFERROR(__xludf.DUMMYFUNCTION("""COMPUTED_VALUE"""),2.5279862449301778)</f>
        <v>2.527986245</v>
      </c>
      <c r="AC583" s="31">
        <f>IFERROR(__xludf.DUMMYFUNCTION("""COMPUTED_VALUE"""),347.87184162750253)</f>
        <v>347.8718416</v>
      </c>
      <c r="AD583" s="57">
        <f>IFERROR(__xludf.DUMMYFUNCTION("""COMPUTED_VALUE"""),0.781068023383434)</f>
        <v>0.7810680234</v>
      </c>
      <c r="AE583" s="57">
        <f>IFERROR(__xludf.DUMMYFUNCTION("""COMPUTED_VALUE"""),0.5668936800592747)</f>
        <v>0.5668936801</v>
      </c>
      <c r="AF583" s="57">
        <f>IFERROR(__xludf.DUMMYFUNCTION("""COMPUTED_VALUE"""),1.3076626147658623)</f>
        <v>1.307662615</v>
      </c>
      <c r="AG583" s="57">
        <f>IFERROR(__xludf.DUMMYFUNCTION("""COMPUTED_VALUE"""),2.558439481242025)</f>
        <v>2.558439481</v>
      </c>
      <c r="AH583" s="57">
        <f>IFERROR(__xludf.DUMMYFUNCTION("""COMPUTED_VALUE"""),1.0853494155594516)</f>
        <v>1.085349416</v>
      </c>
      <c r="AI583" s="57">
        <f>IFERROR(__xludf.DUMMYFUNCTION("""COMPUTED_VALUE"""),1.0802516230853236)</f>
        <v>1.080251623</v>
      </c>
      <c r="AJ583" s="57">
        <f>IFERROR(__xludf.DUMMYFUNCTION("""COMPUTED_VALUE"""),1.267874427396769)</f>
        <v>1.267874427</v>
      </c>
      <c r="AK583" s="57">
        <f>IFERROR(__xludf.DUMMYFUNCTION("""COMPUTED_VALUE"""),0.9798016594895225)</f>
        <v>0.9798016595</v>
      </c>
      <c r="AL583" s="57">
        <f>IFERROR(__xludf.DUMMYFUNCTION("""COMPUTED_VALUE"""),1.0748739691372258)</f>
        <v>1.074873969</v>
      </c>
      <c r="AM583" s="57">
        <f>IFERROR(__xludf.DUMMYFUNCTION("""COMPUTED_VALUE"""),1.0487609858132383)</f>
        <v>1.048760986</v>
      </c>
      <c r="AN583" s="57">
        <f>IFERROR(__xludf.DUMMYFUNCTION("""COMPUTED_VALUE"""),1.0413898084609545)</f>
        <v>1.041389808</v>
      </c>
      <c r="AO583" s="57">
        <f>IFERROR(__xludf.DUMMYFUNCTION("""COMPUTED_VALUE"""),1.0010414558746443)</f>
        <v>1.001041456</v>
      </c>
      <c r="AP583" s="35">
        <f>IFERROR(__xludf.DUMMYFUNCTION("""COMPUTED_VALUE"""),1.0898992822737505)</f>
        <v>1.089899282</v>
      </c>
      <c r="AQ583" s="57">
        <f>IFERROR(__xludf.DUMMYFUNCTION("""COMPUTED_VALUE"""),1.0383759030589588)</f>
        <v>1.038375903</v>
      </c>
      <c r="AR583" s="36" t="b">
        <f>IFERROR(__xludf.DUMMYFUNCTION("""COMPUTED_VALUE"""),TRUE)</f>
        <v>1</v>
      </c>
      <c r="AS583" s="57"/>
      <c r="AT583" s="37"/>
      <c r="AU583" s="30"/>
      <c r="AV583" s="30"/>
      <c r="AW583" s="30"/>
      <c r="AX583" s="30"/>
      <c r="AY583" s="30"/>
      <c r="AZ583" s="30"/>
    </row>
    <row r="584">
      <c r="A584" s="30" t="str">
        <f>IFERROR(__xludf.DUMMYFUNCTION("""COMPUTED_VALUE"""),"Rival")</f>
        <v>Rival</v>
      </c>
      <c r="B584" s="30" t="str">
        <f>IFERROR(__xludf.DUMMYFUNCTION("""COMPUTED_VALUE"""),"RSC003239")</f>
        <v>RSC003239</v>
      </c>
      <c r="C584" s="30" t="str">
        <f>IFERROR(__xludf.DUMMYFUNCTION("""COMPUTED_VALUE"""),"Wallaby Gangsta")</f>
        <v>Wallaby Gangsta</v>
      </c>
      <c r="D584" s="31" t="str">
        <f>IFERROR(__xludf.DUMMYFUNCTION("""COMPUTED_VALUE"""),"Polar Bears")</f>
        <v>Polar Bears</v>
      </c>
      <c r="E584" s="31">
        <f>IFERROR(__xludf.DUMMYFUNCTION("""COMPUTED_VALUE"""),65.23610673371144)</f>
        <v>65.23610673</v>
      </c>
      <c r="F584" s="31">
        <f>IFERROR(__xludf.DUMMYFUNCTION("""COMPUTED_VALUE"""),3.6884716664410733)</f>
        <v>3.688471666</v>
      </c>
      <c r="G584" s="31">
        <f>IFERROR(__xludf.DUMMYFUNCTION("""COMPUTED_VALUE"""),57.86303845172192)</f>
        <v>57.86303845</v>
      </c>
      <c r="H584" s="31">
        <f>IFERROR(__xludf.DUMMYFUNCTION("""COMPUTED_VALUE"""),2.655601797860338)</f>
        <v>2.655601798</v>
      </c>
      <c r="I584" s="54">
        <f>IFERROR(__xludf.DUMMYFUNCTION("""COMPUTED_VALUE"""),36.0)</f>
        <v>36</v>
      </c>
      <c r="J584" s="55">
        <f>IFERROR(__xludf.DUMMYFUNCTION("""COMPUTED_VALUE"""),14.0)</f>
        <v>14</v>
      </c>
      <c r="K584" s="54">
        <f>IFERROR(__xludf.DUMMYFUNCTION("""COMPUTED_VALUE"""),22.0)</f>
        <v>22</v>
      </c>
      <c r="L584" s="56">
        <f>IFERROR(__xludf.DUMMYFUNCTION("""COMPUTED_VALUE"""),0.3888888888888889)</f>
        <v>0.3888888889</v>
      </c>
      <c r="M584" s="56">
        <f>IFERROR(__xludf.DUMMYFUNCTION("""COMPUTED_VALUE"""),0.30208333333333337)</f>
        <v>0.3020833333</v>
      </c>
      <c r="N584" s="31">
        <f>IFERROR(__xludf.DUMMYFUNCTION("""COMPUTED_VALUE"""),344.6111111111111)</f>
        <v>344.6111111</v>
      </c>
      <c r="O584" s="57">
        <f>IFERROR(__xludf.DUMMYFUNCTION("""COMPUTED_VALUE"""),0.8055555555555556)</f>
        <v>0.8055555556</v>
      </c>
      <c r="P584" s="57">
        <f>IFERROR(__xludf.DUMMYFUNCTION("""COMPUTED_VALUE"""),0.75)</f>
        <v>0.75</v>
      </c>
      <c r="Q584" s="57">
        <f>IFERROR(__xludf.DUMMYFUNCTION("""COMPUTED_VALUE"""),1.0277777777777777)</f>
        <v>1.027777778</v>
      </c>
      <c r="R584" s="57">
        <f>IFERROR(__xludf.DUMMYFUNCTION("""COMPUTED_VALUE"""),2.6666666666666665)</f>
        <v>2.666666667</v>
      </c>
      <c r="S584" s="31">
        <f>IFERROR(__xludf.DUMMYFUNCTION("""COMPUTED_VALUE"""),370.3425925925925)</f>
        <v>370.3425926</v>
      </c>
      <c r="T584" s="57">
        <f>IFERROR(__xludf.DUMMYFUNCTION("""COMPUTED_VALUE"""),0.8981481481481483)</f>
        <v>0.8981481481</v>
      </c>
      <c r="U584" s="57">
        <f>IFERROR(__xludf.DUMMYFUNCTION("""COMPUTED_VALUE"""),0.6574074074074074)</f>
        <v>0.6574074074</v>
      </c>
      <c r="V584" s="57">
        <f>IFERROR(__xludf.DUMMYFUNCTION("""COMPUTED_VALUE"""),1.351851851851852)</f>
        <v>1.351851852</v>
      </c>
      <c r="W584" s="57">
        <f>IFERROR(__xludf.DUMMYFUNCTION("""COMPUTED_VALUE"""),2.546296296296296)</f>
        <v>2.546296296</v>
      </c>
      <c r="X584" s="31">
        <f>IFERROR(__xludf.DUMMYFUNCTION("""COMPUTED_VALUE"""),356.55846201719305)</f>
        <v>356.558462</v>
      </c>
      <c r="Y584" s="57">
        <f>IFERROR(__xludf.DUMMYFUNCTION("""COMPUTED_VALUE"""),0.8219120918556841)</f>
        <v>0.8219120919</v>
      </c>
      <c r="Z584" s="57">
        <f>IFERROR(__xludf.DUMMYFUNCTION("""COMPUTED_VALUE"""),0.6020148954286922)</f>
        <v>0.6020148954</v>
      </c>
      <c r="AA584" s="57">
        <f>IFERROR(__xludf.DUMMYFUNCTION("""COMPUTED_VALUE"""),1.3086039643254634)</f>
        <v>1.308603964</v>
      </c>
      <c r="AB584" s="57">
        <f>IFERROR(__xludf.DUMMYFUNCTION("""COMPUTED_VALUE"""),2.5880771196723216)</f>
        <v>2.58807712</v>
      </c>
      <c r="AC584" s="31">
        <f>IFERROR(__xludf.DUMMYFUNCTION("""COMPUTED_VALUE"""),334.5911337743442)</f>
        <v>334.5911338</v>
      </c>
      <c r="AD584" s="57">
        <f>IFERROR(__xludf.DUMMYFUNCTION("""COMPUTED_VALUE"""),0.7056675015037127)</f>
        <v>0.7056675015</v>
      </c>
      <c r="AE584" s="57">
        <f>IFERROR(__xludf.DUMMYFUNCTION("""COMPUTED_VALUE"""),0.5199638567606272)</f>
        <v>0.5199638568</v>
      </c>
      <c r="AF584" s="57">
        <f>IFERROR(__xludf.DUMMYFUNCTION("""COMPUTED_VALUE"""),1.276545286502958)</f>
        <v>1.276545287</v>
      </c>
      <c r="AG584" s="57">
        <f>IFERROR(__xludf.DUMMYFUNCTION("""COMPUTED_VALUE"""),2.455570668974632)</f>
        <v>2.455570669</v>
      </c>
      <c r="AH584" s="57">
        <f>IFERROR(__xludf.DUMMYFUNCTION("""COMPUTED_VALUE"""),1.029946930224172)</f>
        <v>1.02994693</v>
      </c>
      <c r="AI584" s="57">
        <f>IFERROR(__xludf.DUMMYFUNCTION("""COMPUTED_VALUE"""),1.1415511609065043)</f>
        <v>1.141551161</v>
      </c>
      <c r="AJ584" s="57">
        <f>IFERROR(__xludf.DUMMYFUNCTION("""COMPUTED_VALUE"""),1.4424079486456947)</f>
        <v>1.442407949</v>
      </c>
      <c r="AK584" s="57">
        <f>IFERROR(__xludf.DUMMYFUNCTION("""COMPUTED_VALUE"""),0.8051244155961998)</f>
        <v>0.8051244156</v>
      </c>
      <c r="AL584" s="57">
        <f>IFERROR(__xludf.DUMMYFUNCTION("""COMPUTED_VALUE"""),1.0859661667893197)</f>
        <v>1.085966167</v>
      </c>
      <c r="AM584" s="57">
        <f>IFERROR(__xludf.DUMMYFUNCTION("""COMPUTED_VALUE"""),1.038658823289222)</f>
        <v>1.038658823</v>
      </c>
      <c r="AN584" s="57">
        <f>IFERROR(__xludf.DUMMYFUNCTION("""COMPUTED_VALUE"""),1.0927545135883583)</f>
        <v>1.092754514</v>
      </c>
      <c r="AO584" s="57">
        <f>IFERROR(__xludf.DUMMYFUNCTION("""COMPUTED_VALUE"""),1.0920118628281954)</f>
        <v>1.092011863</v>
      </c>
      <c r="AP584" s="35">
        <f>IFERROR(__xludf.DUMMYFUNCTION("""COMPUTED_VALUE"""),1.0330488739950296)</f>
        <v>1.033048874</v>
      </c>
      <c r="AQ584" s="57">
        <f>IFERROR(__xludf.DUMMYFUNCTION("""COMPUTED_VALUE"""),0.9838564225700833)</f>
        <v>0.9838564226</v>
      </c>
      <c r="AR584" s="36" t="b">
        <f>IFERROR(__xludf.DUMMYFUNCTION("""COMPUTED_VALUE"""),TRUE)</f>
        <v>1</v>
      </c>
      <c r="AS584" s="57"/>
      <c r="AT584" s="37"/>
      <c r="AU584" s="30"/>
      <c r="AV584" s="30"/>
      <c r="AW584" s="30"/>
      <c r="AX584" s="30"/>
      <c r="AY584" s="30"/>
      <c r="AZ584" s="30"/>
    </row>
    <row r="585">
      <c r="A585" s="30" t="str">
        <f>IFERROR(__xludf.DUMMYFUNCTION("""COMPUTED_VALUE"""),"Rival")</f>
        <v>Rival</v>
      </c>
      <c r="B585" s="30" t="str">
        <f>IFERROR(__xludf.DUMMYFUNCTION("""COMPUTED_VALUE"""),"RSC003945")</f>
        <v>RSC003945</v>
      </c>
      <c r="C585" s="30" t="str">
        <f>IFERROR(__xludf.DUMMYFUNCTION("""COMPUTED_VALUE"""),"Gaw1f3d")</f>
        <v>Gaw1f3d</v>
      </c>
      <c r="D585" s="31" t="str">
        <f>IFERROR(__xludf.DUMMYFUNCTION("""COMPUTED_VALUE"""),"Cursed")</f>
        <v>Cursed</v>
      </c>
      <c r="E585" s="31">
        <f>IFERROR(__xludf.DUMMYFUNCTION("""COMPUTED_VALUE"""),64.92170737006462)</f>
        <v>64.92170737</v>
      </c>
      <c r="F585" s="31">
        <f>IFERROR(__xludf.DUMMYFUNCTION("""COMPUTED_VALUE"""),3.6324319143183454)</f>
        <v>3.632431914</v>
      </c>
      <c r="G585" s="31">
        <f>IFERROR(__xludf.DUMMYFUNCTION("""COMPUTED_VALUE"""),52.821439680683156)</f>
        <v>52.82143968</v>
      </c>
      <c r="H585" s="31">
        <f>IFERROR(__xludf.DUMMYFUNCTION("""COMPUTED_VALUE"""),2.197455767881287)</f>
        <v>2.197455768</v>
      </c>
      <c r="I585" s="54">
        <f>IFERROR(__xludf.DUMMYFUNCTION("""COMPUTED_VALUE"""),36.0)</f>
        <v>36</v>
      </c>
      <c r="J585" s="55">
        <f>IFERROR(__xludf.DUMMYFUNCTION("""COMPUTED_VALUE"""),23.0)</f>
        <v>23</v>
      </c>
      <c r="K585" s="54">
        <f>IFERROR(__xludf.DUMMYFUNCTION("""COMPUTED_VALUE"""),13.0)</f>
        <v>13</v>
      </c>
      <c r="L585" s="56">
        <f>IFERROR(__xludf.DUMMYFUNCTION("""COMPUTED_VALUE"""),0.6388888888888888)</f>
        <v>0.6388888889</v>
      </c>
      <c r="M585" s="56">
        <f>IFERROR(__xludf.DUMMYFUNCTION("""COMPUTED_VALUE"""),0.3163265306122449)</f>
        <v>0.3163265306</v>
      </c>
      <c r="N585" s="31">
        <f>IFERROR(__xludf.DUMMYFUNCTION("""COMPUTED_VALUE"""),354.72222222222223)</f>
        <v>354.7222222</v>
      </c>
      <c r="O585" s="57">
        <f>IFERROR(__xludf.DUMMYFUNCTION("""COMPUTED_VALUE"""),0.8611111111111112)</f>
        <v>0.8611111111</v>
      </c>
      <c r="P585" s="57">
        <f>IFERROR(__xludf.DUMMYFUNCTION("""COMPUTED_VALUE"""),0.5833333333333334)</f>
        <v>0.5833333333</v>
      </c>
      <c r="Q585" s="57">
        <f>IFERROR(__xludf.DUMMYFUNCTION("""COMPUTED_VALUE"""),1.3888888888888888)</f>
        <v>1.388888889</v>
      </c>
      <c r="R585" s="57">
        <f>IFERROR(__xludf.DUMMYFUNCTION("""COMPUTED_VALUE"""),2.7222222222222223)</f>
        <v>2.722222222</v>
      </c>
      <c r="S585" s="31">
        <f>IFERROR(__xludf.DUMMYFUNCTION("""COMPUTED_VALUE"""),330.62037037037044)</f>
        <v>330.6203704</v>
      </c>
      <c r="T585" s="57">
        <f>IFERROR(__xludf.DUMMYFUNCTION("""COMPUTED_VALUE"""),0.6666666666666666)</f>
        <v>0.6666666667</v>
      </c>
      <c r="U585" s="57">
        <f>IFERROR(__xludf.DUMMYFUNCTION("""COMPUTED_VALUE"""),0.5092592592592592)</f>
        <v>0.5092592593</v>
      </c>
      <c r="V585" s="57">
        <f>IFERROR(__xludf.DUMMYFUNCTION("""COMPUTED_VALUE"""),1.324074074074074)</f>
        <v>1.324074074</v>
      </c>
      <c r="W585" s="57">
        <f>IFERROR(__xludf.DUMMYFUNCTION("""COMPUTED_VALUE"""),2.4722222222222223)</f>
        <v>2.472222222</v>
      </c>
      <c r="X585" s="31">
        <f>IFERROR(__xludf.DUMMYFUNCTION("""COMPUTED_VALUE"""),355.9288104343109)</f>
        <v>355.9288104</v>
      </c>
      <c r="Y585" s="57">
        <f>IFERROR(__xludf.DUMMYFUNCTION("""COMPUTED_VALUE"""),0.7996393494463698)</f>
        <v>0.7996393494</v>
      </c>
      <c r="Z585" s="57">
        <f>IFERROR(__xludf.DUMMYFUNCTION("""COMPUTED_VALUE"""),0.5996154860590291)</f>
        <v>0.5996154861</v>
      </c>
      <c r="AA585" s="57">
        <f>IFERROR(__xludf.DUMMYFUNCTION("""COMPUTED_VALUE"""),1.3390263252219528)</f>
        <v>1.339026325</v>
      </c>
      <c r="AB585" s="57">
        <f>IFERROR(__xludf.DUMMYFUNCTION("""COMPUTED_VALUE"""),2.605865817793921)</f>
        <v>2.605865818</v>
      </c>
      <c r="AC585" s="31">
        <f>IFERROR(__xludf.DUMMYFUNCTION("""COMPUTED_VALUE"""),349.02516492677546)</f>
        <v>349.0251649</v>
      </c>
      <c r="AD585" s="57">
        <f>IFERROR(__xludf.DUMMYFUNCTION("""COMPUTED_VALUE"""),0.8004031558610476)</f>
        <v>0.8004031559</v>
      </c>
      <c r="AE585" s="57">
        <f>IFERROR(__xludf.DUMMYFUNCTION("""COMPUTED_VALUE"""),0.5685840678915015)</f>
        <v>0.5685840679</v>
      </c>
      <c r="AF585" s="57">
        <f>IFERROR(__xludf.DUMMYFUNCTION("""COMPUTED_VALUE"""),1.3049753619808457)</f>
        <v>1.304975362</v>
      </c>
      <c r="AG585" s="57">
        <f>IFERROR(__xludf.DUMMYFUNCTION("""COMPUTED_VALUE"""),2.6182472153163685)</f>
        <v>2.618247215</v>
      </c>
      <c r="AH585" s="57">
        <f>IFERROR(__xludf.DUMMYFUNCTION("""COMPUTED_VALUE"""),1.0163227694388226)</f>
        <v>1.016322769</v>
      </c>
      <c r="AI585" s="57">
        <f>IFERROR(__xludf.DUMMYFUNCTION("""COMPUTED_VALUE"""),1.0758467214996872)</f>
        <v>1.075846721</v>
      </c>
      <c r="AJ585" s="57">
        <f>IFERROR(__xludf.DUMMYFUNCTION("""COMPUTED_VALUE"""),1.0259403424660263)</f>
        <v>1.025940342</v>
      </c>
      <c r="AK585" s="57">
        <f>IFERROR(__xludf.DUMMYFUNCTION("""COMPUTED_VALUE"""),1.0643027672037189)</f>
        <v>1.064302767</v>
      </c>
      <c r="AL585" s="57">
        <f>IFERROR(__xludf.DUMMYFUNCTION("""COMPUTED_VALUE"""),1.0397116843274443)</f>
        <v>1.039711684</v>
      </c>
      <c r="AM585" s="57">
        <f>IFERROR(__xludf.DUMMYFUNCTION("""COMPUTED_VALUE"""),0.9288946572404222)</f>
        <v>0.9288946572</v>
      </c>
      <c r="AN585" s="57">
        <f>IFERROR(__xludf.DUMMYFUNCTION("""COMPUTED_VALUE"""),0.8337091804301942)</f>
        <v>0.8337091804</v>
      </c>
      <c r="AO585" s="57">
        <f>IFERROR(__xludf.DUMMYFUNCTION("""COMPUTED_VALUE"""),0.8493097178099319)</f>
        <v>0.8493097178</v>
      </c>
      <c r="AP585" s="35">
        <f>IFERROR(__xludf.DUMMYFUNCTION("""COMPUTED_VALUE"""),0.9888334897781786)</f>
        <v>0.9888334898</v>
      </c>
      <c r="AQ585" s="57">
        <f>IFERROR(__xludf.DUMMYFUNCTION("""COMPUTED_VALUE"""),0.948714321873703)</f>
        <v>0.9487143219</v>
      </c>
      <c r="AR585" s="36" t="b">
        <f>IFERROR(__xludf.DUMMYFUNCTION("""COMPUTED_VALUE"""),TRUE)</f>
        <v>1</v>
      </c>
      <c r="AS585" s="57"/>
      <c r="AT585" s="37"/>
      <c r="AU585" s="30"/>
      <c r="AV585" s="30"/>
      <c r="AW585" s="30"/>
      <c r="AX585" s="30"/>
      <c r="AY585" s="30"/>
      <c r="AZ585" s="30"/>
    </row>
    <row r="586">
      <c r="A586" s="30" t="str">
        <f>IFERROR(__xludf.DUMMYFUNCTION("""COMPUTED_VALUE"""),"Rival")</f>
        <v>Rival</v>
      </c>
      <c r="B586" s="30" t="str">
        <f>IFERROR(__xludf.DUMMYFUNCTION("""COMPUTED_VALUE"""),"RSC006211")</f>
        <v>RSC006211</v>
      </c>
      <c r="C586" s="30" t="str">
        <f>IFERROR(__xludf.DUMMYFUNCTION("""COMPUTED_VALUE"""),"Chase")</f>
        <v>Chase</v>
      </c>
      <c r="D586" s="31" t="str">
        <f>IFERROR(__xludf.DUMMYFUNCTION("""COMPUTED_VALUE"""),"Ion Imperial")</f>
        <v>Ion Imperial</v>
      </c>
      <c r="E586" s="31">
        <f>IFERROR(__xludf.DUMMYFUNCTION("""COMPUTED_VALUE"""),64.85053693739661)</f>
        <v>64.85053694</v>
      </c>
      <c r="F586" s="31">
        <f>IFERROR(__xludf.DUMMYFUNCTION("""COMPUTED_VALUE"""),3.6199242568612857)</f>
        <v>3.619924257</v>
      </c>
      <c r="G586" s="31">
        <f>IFERROR(__xludf.DUMMYFUNCTION("""COMPUTED_VALUE"""),58.69368849878335)</f>
        <v>58.6936885</v>
      </c>
      <c r="H586" s="31">
        <f>IFERROR(__xludf.DUMMYFUNCTION("""COMPUTED_VALUE"""),2.747140331449755)</f>
        <v>2.747140331</v>
      </c>
      <c r="I586" s="54">
        <f>IFERROR(__xludf.DUMMYFUNCTION("""COMPUTED_VALUE"""),15.0)</f>
        <v>15</v>
      </c>
      <c r="J586" s="55">
        <f>IFERROR(__xludf.DUMMYFUNCTION("""COMPUTED_VALUE"""),9.0)</f>
        <v>9</v>
      </c>
      <c r="K586" s="54">
        <f>IFERROR(__xludf.DUMMYFUNCTION("""COMPUTED_VALUE"""),6.0)</f>
        <v>6</v>
      </c>
      <c r="L586" s="56">
        <f>IFERROR(__xludf.DUMMYFUNCTION("""COMPUTED_VALUE"""),0.6)</f>
        <v>0.6</v>
      </c>
      <c r="M586" s="56">
        <f>IFERROR(__xludf.DUMMYFUNCTION("""COMPUTED_VALUE"""),0.380952380952381)</f>
        <v>0.380952381</v>
      </c>
      <c r="N586" s="31">
        <f>IFERROR(__xludf.DUMMYFUNCTION("""COMPUTED_VALUE"""),393.3333333333333)</f>
        <v>393.3333333</v>
      </c>
      <c r="O586" s="57">
        <f>IFERROR(__xludf.DUMMYFUNCTION("""COMPUTED_VALUE"""),1.0666666666666667)</f>
        <v>1.066666667</v>
      </c>
      <c r="P586" s="57">
        <f>IFERROR(__xludf.DUMMYFUNCTION("""COMPUTED_VALUE"""),0.5333333333333333)</f>
        <v>0.5333333333</v>
      </c>
      <c r="Q586" s="57">
        <f>IFERROR(__xludf.DUMMYFUNCTION("""COMPUTED_VALUE"""),1.5333333333333334)</f>
        <v>1.533333333</v>
      </c>
      <c r="R586" s="57">
        <f>IFERROR(__xludf.DUMMYFUNCTION("""COMPUTED_VALUE"""),2.8)</f>
        <v>2.8</v>
      </c>
      <c r="S586" s="31">
        <f>IFERROR(__xludf.DUMMYFUNCTION("""COMPUTED_VALUE"""),358.17777777777775)</f>
        <v>358.1777778</v>
      </c>
      <c r="T586" s="57">
        <f>IFERROR(__xludf.DUMMYFUNCTION("""COMPUTED_VALUE"""),0.8)</f>
        <v>0.8</v>
      </c>
      <c r="U586" s="57">
        <f>IFERROR(__xludf.DUMMYFUNCTION("""COMPUTED_VALUE"""),0.5777777777777778)</f>
        <v>0.5777777778</v>
      </c>
      <c r="V586" s="57">
        <f>IFERROR(__xludf.DUMMYFUNCTION("""COMPUTED_VALUE"""),1.5111111111111113)</f>
        <v>1.511111111</v>
      </c>
      <c r="W586" s="57">
        <f>IFERROR(__xludf.DUMMYFUNCTION("""COMPUTED_VALUE"""),2.422222222222222)</f>
        <v>2.422222222</v>
      </c>
      <c r="X586" s="31">
        <f>IFERROR(__xludf.DUMMYFUNCTION("""COMPUTED_VALUE"""),332.75030153385705)</f>
        <v>332.7503015</v>
      </c>
      <c r="Y586" s="57">
        <f>IFERROR(__xludf.DUMMYFUNCTION("""COMPUTED_VALUE"""),0.7087077480133036)</f>
        <v>0.708707748</v>
      </c>
      <c r="Z586" s="57">
        <f>IFERROR(__xludf.DUMMYFUNCTION("""COMPUTED_VALUE"""),0.49413328852217725)</f>
        <v>0.4941332885</v>
      </c>
      <c r="AA586" s="57">
        <f>IFERROR(__xludf.DUMMYFUNCTION("""COMPUTED_VALUE"""),1.303658191602636)</f>
        <v>1.303658192</v>
      </c>
      <c r="AB586" s="57">
        <f>IFERROR(__xludf.DUMMYFUNCTION("""COMPUTED_VALUE"""),2.4446311630756075)</f>
        <v>2.444631163</v>
      </c>
      <c r="AC586" s="31">
        <f>IFERROR(__xludf.DUMMYFUNCTION("""COMPUTED_VALUE"""),360.7947252089474)</f>
        <v>360.7947252</v>
      </c>
      <c r="AD586" s="57">
        <f>IFERROR(__xludf.DUMMYFUNCTION("""COMPUTED_VALUE"""),0.8709240687296241)</f>
        <v>0.8709240687</v>
      </c>
      <c r="AE586" s="57">
        <f>IFERROR(__xludf.DUMMYFUNCTION("""COMPUTED_VALUE"""),0.6273654791710349)</f>
        <v>0.6273654792</v>
      </c>
      <c r="AF586" s="57">
        <f>IFERROR(__xludf.DUMMYFUNCTION("""COMPUTED_VALUE"""),1.260586304984453)</f>
        <v>1.260586305</v>
      </c>
      <c r="AG586" s="57">
        <f>IFERROR(__xludf.DUMMYFUNCTION("""COMPUTED_VALUE"""),2.6627972027972024)</f>
        <v>2.662797203</v>
      </c>
      <c r="AH586" s="57">
        <f>IFERROR(__xludf.DUMMYFUNCTION("""COMPUTED_VALUE"""),1.0901859308102184)</f>
        <v>1.090185931</v>
      </c>
      <c r="AI586" s="57">
        <f>IFERROR(__xludf.DUMMYFUNCTION("""COMPUTED_VALUE"""),1.2247527711830988)</f>
        <v>1.224752771</v>
      </c>
      <c r="AJ586" s="57">
        <f>IFERROR(__xludf.DUMMYFUNCTION("""COMPUTED_VALUE"""),0.850115843221163)</f>
        <v>0.8501158432</v>
      </c>
      <c r="AK586" s="57">
        <f>IFERROR(__xludf.DUMMYFUNCTION("""COMPUTED_VALUE"""),1.2163652161461838)</f>
        <v>1.216365216</v>
      </c>
      <c r="AL586" s="57">
        <f>IFERROR(__xludf.DUMMYFUNCTION("""COMPUTED_VALUE"""),1.0515258154314828)</f>
        <v>1.051525815</v>
      </c>
      <c r="AM586" s="57">
        <f>IFERROR(__xludf.DUMMYFUNCTION("""COMPUTED_VALUE"""),1.0764160877592277)</f>
        <v>1.076416088</v>
      </c>
      <c r="AN586" s="57">
        <f>IFERROR(__xludf.DUMMYFUNCTION("""COMPUTED_VALUE"""),1.1288150894957942)</f>
        <v>1.128815089</v>
      </c>
      <c r="AO586" s="57">
        <f>IFERROR(__xludf.DUMMYFUNCTION("""COMPUTED_VALUE"""),1.1692751555066432)</f>
        <v>1.169275156</v>
      </c>
      <c r="AP586" s="35">
        <f>IFERROR(__xludf.DUMMYFUNCTION("""COMPUTED_VALUE"""),1.1591313741936033)</f>
        <v>1.159131374</v>
      </c>
      <c r="AQ586" s="57">
        <f>IFERROR(__xludf.DUMMYFUNCTION("""COMPUTED_VALUE"""),0.9908334062038248)</f>
        <v>0.9908334062</v>
      </c>
      <c r="AR586" s="36" t="b">
        <f>IFERROR(__xludf.DUMMYFUNCTION("""COMPUTED_VALUE"""),TRUE)</f>
        <v>1</v>
      </c>
      <c r="AS586" s="57"/>
      <c r="AT586" s="37"/>
      <c r="AU586" s="30"/>
      <c r="AV586" s="30"/>
      <c r="AW586" s="30"/>
      <c r="AX586" s="30"/>
      <c r="AY586" s="30"/>
      <c r="AZ586" s="30"/>
    </row>
    <row r="587">
      <c r="A587" s="30" t="str">
        <f>IFERROR(__xludf.DUMMYFUNCTION("""COMPUTED_VALUE"""),"Rival")</f>
        <v>Rival</v>
      </c>
      <c r="B587" s="30" t="str">
        <f>IFERROR(__xludf.DUMMYFUNCTION("""COMPUTED_VALUE"""),"RSC001082")</f>
        <v>RSC001082</v>
      </c>
      <c r="C587" s="30" t="str">
        <f>IFERROR(__xludf.DUMMYFUNCTION("""COMPUTED_VALUE"""),"Tuxedo Marx")</f>
        <v>Tuxedo Marx</v>
      </c>
      <c r="D587" s="31" t="str">
        <f>IFERROR(__xludf.DUMMYFUNCTION("""COMPUTED_VALUE"""),"Asiago Arsonists")</f>
        <v>Asiago Arsonists</v>
      </c>
      <c r="E587" s="31">
        <f>IFERROR(__xludf.DUMMYFUNCTION("""COMPUTED_VALUE"""),64.38940278416878)</f>
        <v>64.38940278</v>
      </c>
      <c r="F587" s="31">
        <f>IFERROR(__xludf.DUMMYFUNCTION("""COMPUTED_VALUE"""),3.540438783806724)</f>
        <v>3.540438784</v>
      </c>
      <c r="G587" s="31">
        <f>IFERROR(__xludf.DUMMYFUNCTION("""COMPUTED_VALUE"""),64.38262235374914)</f>
        <v>64.38262235</v>
      </c>
      <c r="H587" s="31">
        <f>IFERROR(__xludf.DUMMYFUNCTION("""COMPUTED_VALUE"""),3.5392898468769927)</f>
        <v>3.539289847</v>
      </c>
      <c r="I587" s="54">
        <f>IFERROR(__xludf.DUMMYFUNCTION("""COMPUTED_VALUE"""),36.0)</f>
        <v>36</v>
      </c>
      <c r="J587" s="55">
        <f>IFERROR(__xludf.DUMMYFUNCTION("""COMPUTED_VALUE"""),18.0)</f>
        <v>18</v>
      </c>
      <c r="K587" s="54">
        <f>IFERROR(__xludf.DUMMYFUNCTION("""COMPUTED_VALUE"""),18.0)</f>
        <v>18</v>
      </c>
      <c r="L587" s="56">
        <f>IFERROR(__xludf.DUMMYFUNCTION("""COMPUTED_VALUE"""),0.5)</f>
        <v>0.5</v>
      </c>
      <c r="M587" s="56">
        <f>IFERROR(__xludf.DUMMYFUNCTION("""COMPUTED_VALUE"""),0.39215686274509803)</f>
        <v>0.3921568627</v>
      </c>
      <c r="N587" s="31">
        <f>IFERROR(__xludf.DUMMYFUNCTION("""COMPUTED_VALUE"""),349.1111111111111)</f>
        <v>349.1111111</v>
      </c>
      <c r="O587" s="57">
        <f>IFERROR(__xludf.DUMMYFUNCTION("""COMPUTED_VALUE"""),1.1111111111111112)</f>
        <v>1.111111111</v>
      </c>
      <c r="P587" s="57">
        <f>IFERROR(__xludf.DUMMYFUNCTION("""COMPUTED_VALUE"""),0.3333333333333333)</f>
        <v>0.3333333333</v>
      </c>
      <c r="Q587" s="57">
        <f>IFERROR(__xludf.DUMMYFUNCTION("""COMPUTED_VALUE"""),0.8055555555555556)</f>
        <v>0.8055555556</v>
      </c>
      <c r="R587" s="57">
        <f>IFERROR(__xludf.DUMMYFUNCTION("""COMPUTED_VALUE"""),2.8333333333333335)</f>
        <v>2.833333333</v>
      </c>
      <c r="S587" s="31">
        <f>IFERROR(__xludf.DUMMYFUNCTION("""COMPUTED_VALUE"""),324.6944444444444)</f>
        <v>324.6944444</v>
      </c>
      <c r="T587" s="57">
        <f>IFERROR(__xludf.DUMMYFUNCTION("""COMPUTED_VALUE"""),0.6666666666666666)</f>
        <v>0.6666666667</v>
      </c>
      <c r="U587" s="57">
        <f>IFERROR(__xludf.DUMMYFUNCTION("""COMPUTED_VALUE"""),0.5092592592592593)</f>
        <v>0.5092592593</v>
      </c>
      <c r="V587" s="57">
        <f>IFERROR(__xludf.DUMMYFUNCTION("""COMPUTED_VALUE"""),1.1851851851851853)</f>
        <v>1.185185185</v>
      </c>
      <c r="W587" s="57">
        <f>IFERROR(__xludf.DUMMYFUNCTION("""COMPUTED_VALUE"""),2.2314814814814814)</f>
        <v>2.231481481</v>
      </c>
      <c r="X587" s="31">
        <f>IFERROR(__xludf.DUMMYFUNCTION("""COMPUTED_VALUE"""),335.3573369127331)</f>
        <v>335.3573369</v>
      </c>
      <c r="Y587" s="57">
        <f>IFERROR(__xludf.DUMMYFUNCTION("""COMPUTED_VALUE"""),0.7014150702892157)</f>
        <v>0.7014150703</v>
      </c>
      <c r="Z587" s="57">
        <f>IFERROR(__xludf.DUMMYFUNCTION("""COMPUTED_VALUE"""),0.5374234365525402)</f>
        <v>0.5374234366</v>
      </c>
      <c r="AA587" s="57">
        <f>IFERROR(__xludf.DUMMYFUNCTION("""COMPUTED_VALUE"""),1.2902452125646295)</f>
        <v>1.290245213</v>
      </c>
      <c r="AB587" s="57">
        <f>IFERROR(__xludf.DUMMYFUNCTION("""COMPUTED_VALUE"""),2.4768222042032235)</f>
        <v>2.476822204</v>
      </c>
      <c r="AC587" s="31">
        <f>IFERROR(__xludf.DUMMYFUNCTION("""COMPUTED_VALUE"""),355.1299872698557)</f>
        <v>355.1299873</v>
      </c>
      <c r="AD587" s="57">
        <f>IFERROR(__xludf.DUMMYFUNCTION("""COMPUTED_VALUE"""),0.8180726961066841)</f>
        <v>0.8180726961</v>
      </c>
      <c r="AE587" s="57">
        <f>IFERROR(__xludf.DUMMYFUNCTION("""COMPUTED_VALUE"""),0.5832260087001782)</f>
        <v>0.5832260087</v>
      </c>
      <c r="AF587" s="57">
        <f>IFERROR(__xludf.DUMMYFUNCTION("""COMPUTED_VALUE"""),1.3273369638580743)</f>
        <v>1.327336964</v>
      </c>
      <c r="AG587" s="57">
        <f>IFERROR(__xludf.DUMMYFUNCTION("""COMPUTED_VALUE"""),2.580283085442258)</f>
        <v>2.580283085</v>
      </c>
      <c r="AH587" s="57">
        <f>IFERROR(__xludf.DUMMYFUNCTION("""COMPUTED_VALUE"""),0.9830516251105232)</f>
        <v>0.9830516251</v>
      </c>
      <c r="AI587" s="57">
        <f>IFERROR(__xludf.DUMMYFUNCTION("""COMPUTED_VALUE"""),1.358205837206199)</f>
        <v>1.358205837</v>
      </c>
      <c r="AJ587" s="57">
        <f>IFERROR(__xludf.DUMMYFUNCTION("""COMPUTED_VALUE"""),0.5715337251097998)</f>
        <v>0.5715337251</v>
      </c>
      <c r="AK587" s="57">
        <f>IFERROR(__xludf.DUMMYFUNCTION("""COMPUTED_VALUE"""),0.6068960463619619)</f>
        <v>0.6068960464</v>
      </c>
      <c r="AL587" s="57">
        <f>IFERROR(__xludf.DUMMYFUNCTION("""COMPUTED_VALUE"""),1.0980707308119655)</f>
        <v>1.098070731</v>
      </c>
      <c r="AM587" s="57">
        <f>IFERROR(__xludf.DUMMYFUNCTION("""COMPUTED_VALUE"""),0.9682043859053443)</f>
        <v>0.9682043859</v>
      </c>
      <c r="AN587" s="57">
        <f>IFERROR(__xludf.DUMMYFUNCTION("""COMPUTED_VALUE"""),0.9504595708098755)</f>
        <v>0.9504595708</v>
      </c>
      <c r="AO587" s="57">
        <f>IFERROR(__xludf.DUMMYFUNCTION("""COMPUTED_VALUE"""),0.9475940657259976)</f>
        <v>0.9475940657</v>
      </c>
      <c r="AP587" s="35">
        <f>IFERROR(__xludf.DUMMYFUNCTION("""COMPUTED_VALUE"""),0.9185735964324055)</f>
        <v>0.9185735964</v>
      </c>
      <c r="AQ587" s="57">
        <f>IFERROR(__xludf.DUMMYFUNCTION("""COMPUTED_VALUE"""),0.9009453636577573)</f>
        <v>0.9009453637</v>
      </c>
      <c r="AR587" s="36" t="b">
        <f>IFERROR(__xludf.DUMMYFUNCTION("""COMPUTED_VALUE"""),TRUE)</f>
        <v>1</v>
      </c>
      <c r="AS587" s="57"/>
      <c r="AT587" s="37"/>
      <c r="AU587" s="30"/>
      <c r="AV587" s="30"/>
      <c r="AW587" s="30"/>
      <c r="AX587" s="30"/>
      <c r="AY587" s="30"/>
      <c r="AZ587" s="30"/>
    </row>
    <row r="588">
      <c r="A588" s="30" t="str">
        <f>IFERROR(__xludf.DUMMYFUNCTION("""COMPUTED_VALUE"""),"Rival")</f>
        <v>Rival</v>
      </c>
      <c r="B588" s="30" t="str">
        <f>IFERROR(__xludf.DUMMYFUNCTION("""COMPUTED_VALUE"""),"RSC006664")</f>
        <v>RSC006664</v>
      </c>
      <c r="C588" s="30" t="str">
        <f>IFERROR(__xludf.DUMMYFUNCTION("""COMPUTED_VALUE"""),"Godless")</f>
        <v>Godless</v>
      </c>
      <c r="D588" s="31" t="str">
        <f>IFERROR(__xludf.DUMMYFUNCTION("""COMPUTED_VALUE"""),"Iris")</f>
        <v>Iris</v>
      </c>
      <c r="E588" s="31">
        <f>IFERROR(__xludf.DUMMYFUNCTION("""COMPUTED_VALUE"""),64.1835748700925)</f>
        <v>64.18357487</v>
      </c>
      <c r="F588" s="31">
        <f>IFERROR(__xludf.DUMMYFUNCTION("""COMPUTED_VALUE"""),3.5058124617909154)</f>
        <v>3.505812462</v>
      </c>
      <c r="G588" s="31">
        <f>IFERROR(__xludf.DUMMYFUNCTION("""COMPUTED_VALUE"""),70.13091079319129)</f>
        <v>70.13091079</v>
      </c>
      <c r="H588" s="31">
        <f>IFERROR(__xludf.DUMMYFUNCTION("""COMPUTED_VALUE"""),4.754170668323299)</f>
        <v>4.754170668</v>
      </c>
      <c r="I588" s="54">
        <f>IFERROR(__xludf.DUMMYFUNCTION("""COMPUTED_VALUE"""),10.0)</f>
        <v>10</v>
      </c>
      <c r="J588" s="55">
        <f>IFERROR(__xludf.DUMMYFUNCTION("""COMPUTED_VALUE"""),9.0)</f>
        <v>9</v>
      </c>
      <c r="K588" s="54">
        <f>IFERROR(__xludf.DUMMYFUNCTION("""COMPUTED_VALUE"""),1.0)</f>
        <v>1</v>
      </c>
      <c r="L588" s="56">
        <f>IFERROR(__xludf.DUMMYFUNCTION("""COMPUTED_VALUE"""),0.9)</f>
        <v>0.9</v>
      </c>
      <c r="M588" s="56">
        <f>IFERROR(__xludf.DUMMYFUNCTION("""COMPUTED_VALUE"""),0.38888888888888884)</f>
        <v>0.3888888889</v>
      </c>
      <c r="N588" s="31">
        <f>IFERROR(__xludf.DUMMYFUNCTION("""COMPUTED_VALUE"""),340.5)</f>
        <v>340.5</v>
      </c>
      <c r="O588" s="57">
        <f>IFERROR(__xludf.DUMMYFUNCTION("""COMPUTED_VALUE"""),0.7)</f>
        <v>0.7</v>
      </c>
      <c r="P588" s="57">
        <f>IFERROR(__xludf.DUMMYFUNCTION("""COMPUTED_VALUE"""),0.8)</f>
        <v>0.8</v>
      </c>
      <c r="Q588" s="57">
        <f>IFERROR(__xludf.DUMMYFUNCTION("""COMPUTED_VALUE"""),1.3)</f>
        <v>1.3</v>
      </c>
      <c r="R588" s="57">
        <f>IFERROR(__xludf.DUMMYFUNCTION("""COMPUTED_VALUE"""),1.8)</f>
        <v>1.8</v>
      </c>
      <c r="S588" s="31">
        <f>IFERROR(__xludf.DUMMYFUNCTION("""COMPUTED_VALUE"""),270.49999999999994)</f>
        <v>270.5</v>
      </c>
      <c r="T588" s="57">
        <f>IFERROR(__xludf.DUMMYFUNCTION("""COMPUTED_VALUE"""),0.3333333333333333)</f>
        <v>0.3333333333</v>
      </c>
      <c r="U588" s="57">
        <f>IFERROR(__xludf.DUMMYFUNCTION("""COMPUTED_VALUE"""),0.2)</f>
        <v>0.2</v>
      </c>
      <c r="V588" s="57">
        <f>IFERROR(__xludf.DUMMYFUNCTION("""COMPUTED_VALUE"""),1.2000000000000002)</f>
        <v>1.2</v>
      </c>
      <c r="W588" s="57">
        <f>IFERROR(__xludf.DUMMYFUNCTION("""COMPUTED_VALUE"""),1.8)</f>
        <v>1.8</v>
      </c>
      <c r="X588" s="31">
        <f>IFERROR(__xludf.DUMMYFUNCTION("""COMPUTED_VALUE"""),324.77129934879935)</f>
        <v>324.7712993</v>
      </c>
      <c r="Y588" s="57">
        <f>IFERROR(__xludf.DUMMYFUNCTION("""COMPUTED_VALUE"""),0.6347059422059422)</f>
        <v>0.6347059422</v>
      </c>
      <c r="Z588" s="57">
        <f>IFERROR(__xludf.DUMMYFUNCTION("""COMPUTED_VALUE"""),0.4570929995929996)</f>
        <v>0.4570929996</v>
      </c>
      <c r="AA588" s="57">
        <f>IFERROR(__xludf.DUMMYFUNCTION("""COMPUTED_VALUE"""),1.3428337403337403)</f>
        <v>1.34283374</v>
      </c>
      <c r="AB588" s="57">
        <f>IFERROR(__xludf.DUMMYFUNCTION("""COMPUTED_VALUE"""),2.3482224257224256)</f>
        <v>2.348222426</v>
      </c>
      <c r="AC588" s="31">
        <f>IFERROR(__xludf.DUMMYFUNCTION("""COMPUTED_VALUE"""),352.9215282865283)</f>
        <v>352.9215283</v>
      </c>
      <c r="AD588" s="57">
        <f>IFERROR(__xludf.DUMMYFUNCTION("""COMPUTED_VALUE"""),0.7972418939085605)</f>
        <v>0.7972418939</v>
      </c>
      <c r="AE588" s="57">
        <f>IFERROR(__xludf.DUMMYFUNCTION("""COMPUTED_VALUE"""),0.5937338895672227)</f>
        <v>0.5937338896</v>
      </c>
      <c r="AF588" s="57">
        <f>IFERROR(__xludf.DUMMYFUNCTION("""COMPUTED_VALUE"""),1.2836314611314605)</f>
        <v>1.283631461</v>
      </c>
      <c r="AG588" s="57">
        <f>IFERROR(__xludf.DUMMYFUNCTION("""COMPUTED_VALUE"""),2.6506769773436445)</f>
        <v>2.650676977</v>
      </c>
      <c r="AH588" s="57">
        <f>IFERROR(__xludf.DUMMYFUNCTION("""COMPUTED_VALUE"""),0.9648037104825082)</f>
        <v>0.9648037105</v>
      </c>
      <c r="AI588" s="57">
        <f>IFERROR(__xludf.DUMMYFUNCTION("""COMPUTED_VALUE"""),0.8780271149176292)</f>
        <v>0.8780271149</v>
      </c>
      <c r="AJ588" s="57">
        <f>IFERROR(__xludf.DUMMYFUNCTION("""COMPUTED_VALUE"""),1.3474049806776673)</f>
        <v>1.347404981</v>
      </c>
      <c r="AK588" s="57">
        <f>IFERROR(__xludf.DUMMYFUNCTION("""COMPUTED_VALUE"""),1.012751743287837)</f>
        <v>1.012751743</v>
      </c>
      <c r="AL588" s="57">
        <f>IFERROR(__xludf.DUMMYFUNCTION("""COMPUTED_VALUE"""),0.679071805197424)</f>
        <v>0.6790718052</v>
      </c>
      <c r="AM588" s="57">
        <f>IFERROR(__xludf.DUMMYFUNCTION("""COMPUTED_VALUE"""),0.8328937949331758)</f>
        <v>0.8328937949</v>
      </c>
      <c r="AN588" s="57">
        <f>IFERROR(__xludf.DUMMYFUNCTION("""COMPUTED_VALUE"""),0.5251775840869268)</f>
        <v>0.5251775841</v>
      </c>
      <c r="AO588" s="57">
        <f>IFERROR(__xludf.DUMMYFUNCTION("""COMPUTED_VALUE"""),0.43754772043781487)</f>
        <v>0.4375477204</v>
      </c>
      <c r="AP588" s="35">
        <f>IFERROR(__xludf.DUMMYFUNCTION("""COMPUTED_VALUE"""),0.8936325949791514)</f>
        <v>0.893632595</v>
      </c>
      <c r="AQ588" s="57">
        <f>IFERROR(__xludf.DUMMYFUNCTION("""COMPUTED_VALUE"""),0.7665372667779689)</f>
        <v>0.7665372668</v>
      </c>
      <c r="AR588" s="36" t="b">
        <f>IFERROR(__xludf.DUMMYFUNCTION("""COMPUTED_VALUE"""),TRUE)</f>
        <v>1</v>
      </c>
      <c r="AS588" s="57"/>
      <c r="AT588" s="37"/>
      <c r="AU588" s="30"/>
      <c r="AV588" s="30"/>
      <c r="AW588" s="30"/>
      <c r="AX588" s="30"/>
      <c r="AY588" s="30"/>
      <c r="AZ588" s="30"/>
    </row>
    <row r="589">
      <c r="A589" s="30" t="str">
        <f>IFERROR(__xludf.DUMMYFUNCTION("""COMPUTED_VALUE"""),"Rival")</f>
        <v>Rival</v>
      </c>
      <c r="B589" s="30" t="str">
        <f>IFERROR(__xludf.DUMMYFUNCTION("""COMPUTED_VALUE"""),"RSC007660")</f>
        <v>RSC007660</v>
      </c>
      <c r="C589" s="30" t="str">
        <f>IFERROR(__xludf.DUMMYFUNCTION("""COMPUTED_VALUE"""),"Shraxl")</f>
        <v>Shraxl</v>
      </c>
      <c r="D589" s="31" t="str">
        <f>IFERROR(__xludf.DUMMYFUNCTION("""COMPUTED_VALUE"""),"Necrotic Nerds")</f>
        <v>Necrotic Nerds</v>
      </c>
      <c r="E589" s="31">
        <f>IFERROR(__xludf.DUMMYFUNCTION("""COMPUTED_VALUE"""),63.820604056977444)</f>
        <v>63.82060406</v>
      </c>
      <c r="F589" s="31">
        <f>IFERROR(__xludf.DUMMYFUNCTION("""COMPUTED_VALUE"""),3.4459954355102482)</f>
        <v>3.445995436</v>
      </c>
      <c r="G589" s="31">
        <f>IFERROR(__xludf.DUMMYFUNCTION("""COMPUTED_VALUE"""),60.27347040595086)</f>
        <v>60.27347041</v>
      </c>
      <c r="H589" s="31">
        <f>IFERROR(__xludf.DUMMYFUNCTION("""COMPUTED_VALUE"""),2.9363513586768932)</f>
        <v>2.936351359</v>
      </c>
      <c r="I589" s="54">
        <f>IFERROR(__xludf.DUMMYFUNCTION("""COMPUTED_VALUE"""),34.0)</f>
        <v>34</v>
      </c>
      <c r="J589" s="55">
        <f>IFERROR(__xludf.DUMMYFUNCTION("""COMPUTED_VALUE"""),13.0)</f>
        <v>13</v>
      </c>
      <c r="K589" s="54">
        <f>IFERROR(__xludf.DUMMYFUNCTION("""COMPUTED_VALUE"""),21.0)</f>
        <v>21</v>
      </c>
      <c r="L589" s="56">
        <f>IFERROR(__xludf.DUMMYFUNCTION("""COMPUTED_VALUE"""),0.38235294117647056)</f>
        <v>0.3823529412</v>
      </c>
      <c r="M589" s="56">
        <f>IFERROR(__xludf.DUMMYFUNCTION("""COMPUTED_VALUE"""),0.31683168316831684)</f>
        <v>0.3168316832</v>
      </c>
      <c r="N589" s="31">
        <f>IFERROR(__xludf.DUMMYFUNCTION("""COMPUTED_VALUE"""),396.38235294117646)</f>
        <v>396.3823529</v>
      </c>
      <c r="O589" s="57">
        <f>IFERROR(__xludf.DUMMYFUNCTION("""COMPUTED_VALUE"""),0.9411764705882353)</f>
        <v>0.9411764706</v>
      </c>
      <c r="P589" s="57">
        <f>IFERROR(__xludf.DUMMYFUNCTION("""COMPUTED_VALUE"""),0.5588235294117647)</f>
        <v>0.5588235294</v>
      </c>
      <c r="Q589" s="57">
        <f>IFERROR(__xludf.DUMMYFUNCTION("""COMPUTED_VALUE"""),1.588235294117647)</f>
        <v>1.588235294</v>
      </c>
      <c r="R589" s="57">
        <f>IFERROR(__xludf.DUMMYFUNCTION("""COMPUTED_VALUE"""),2.9705882352941178)</f>
        <v>2.970588235</v>
      </c>
      <c r="S589" s="31">
        <f>IFERROR(__xludf.DUMMYFUNCTION("""COMPUTED_VALUE"""),371.47058823529414)</f>
        <v>371.4705882</v>
      </c>
      <c r="T589" s="57">
        <f>IFERROR(__xludf.DUMMYFUNCTION("""COMPUTED_VALUE"""),0.9411764705882355)</f>
        <v>0.9411764706</v>
      </c>
      <c r="U589" s="57">
        <f>IFERROR(__xludf.DUMMYFUNCTION("""COMPUTED_VALUE"""),0.6176470588235295)</f>
        <v>0.6176470588</v>
      </c>
      <c r="V589" s="57">
        <f>IFERROR(__xludf.DUMMYFUNCTION("""COMPUTED_VALUE"""),1.2941176470588234)</f>
        <v>1.294117647</v>
      </c>
      <c r="W589" s="57">
        <f>IFERROR(__xludf.DUMMYFUNCTION("""COMPUTED_VALUE"""),2.735294117647059)</f>
        <v>2.735294118</v>
      </c>
      <c r="X589" s="31">
        <f>IFERROR(__xludf.DUMMYFUNCTION("""COMPUTED_VALUE"""),340.94514695843526)</f>
        <v>340.945147</v>
      </c>
      <c r="Y589" s="57">
        <f>IFERROR(__xludf.DUMMYFUNCTION("""COMPUTED_VALUE"""),0.7857790062004161)</f>
        <v>0.7857790062</v>
      </c>
      <c r="Z589" s="57">
        <f>IFERROR(__xludf.DUMMYFUNCTION("""COMPUTED_VALUE"""),0.5477857860760377)</f>
        <v>0.5477857861</v>
      </c>
      <c r="AA589" s="57">
        <f>IFERROR(__xludf.DUMMYFUNCTION("""COMPUTED_VALUE"""),1.3271538383415546)</f>
        <v>1.327153838</v>
      </c>
      <c r="AB589" s="57">
        <f>IFERROR(__xludf.DUMMYFUNCTION("""COMPUTED_VALUE"""),2.5731899320909277)</f>
        <v>2.573189932</v>
      </c>
      <c r="AC589" s="31">
        <f>IFERROR(__xludf.DUMMYFUNCTION("""COMPUTED_VALUE"""),351.217567005652)</f>
        <v>351.217567</v>
      </c>
      <c r="AD589" s="57">
        <f>IFERROR(__xludf.DUMMYFUNCTION("""COMPUTED_VALUE"""),0.8137019909205612)</f>
        <v>0.8137019909</v>
      </c>
      <c r="AE589" s="57">
        <f>IFERROR(__xludf.DUMMYFUNCTION("""COMPUTED_VALUE"""),0.5782339236187766)</f>
        <v>0.5782339236</v>
      </c>
      <c r="AF589" s="57">
        <f>IFERROR(__xludf.DUMMYFUNCTION("""COMPUTED_VALUE"""),1.3355489718781934)</f>
        <v>1.335548972</v>
      </c>
      <c r="AG589" s="57">
        <f>IFERROR(__xludf.DUMMYFUNCTION("""COMPUTED_VALUE"""),2.6226289294651712)</f>
        <v>2.622628929</v>
      </c>
      <c r="AH589" s="57">
        <f>IFERROR(__xludf.DUMMYFUNCTION("""COMPUTED_VALUE"""),1.128594894385786)</f>
        <v>1.128594894</v>
      </c>
      <c r="AI589" s="57">
        <f>IFERROR(__xludf.DUMMYFUNCTION("""COMPUTED_VALUE"""),1.1566599087750284)</f>
        <v>1.156659909</v>
      </c>
      <c r="AJ589" s="57">
        <f>IFERROR(__xludf.DUMMYFUNCTION("""COMPUTED_VALUE"""),0.9664315886457591)</f>
        <v>0.9664315886</v>
      </c>
      <c r="AK589" s="57">
        <f>IFERROR(__xludf.DUMMYFUNCTION("""COMPUTED_VALUE"""),1.1892003420017603)</f>
        <v>1.189200342</v>
      </c>
      <c r="AL589" s="57">
        <f>IFERROR(__xludf.DUMMYFUNCTION("""COMPUTED_VALUE"""),1.1326757674025603)</f>
        <v>1.132675767</v>
      </c>
      <c r="AM589" s="57">
        <f>IFERROR(__xludf.DUMMYFUNCTION("""COMPUTED_VALUE"""),1.089531825131332)</f>
        <v>1.089531825</v>
      </c>
      <c r="AN589" s="57">
        <f>IFERROR(__xludf.DUMMYFUNCTION("""COMPUTED_VALUE"""),1.1977623010561633)</f>
        <v>1.197762301</v>
      </c>
      <c r="AO589" s="57">
        <f>IFERROR(__xludf.DUMMYFUNCTION("""COMPUTED_VALUE"""),1.1275339275374963)</f>
        <v>1.127533928</v>
      </c>
      <c r="AP589" s="35">
        <f>IFERROR(__xludf.DUMMYFUNCTION("""COMPUTED_VALUE"""),0.9751074891784858)</f>
        <v>0.9751074892</v>
      </c>
      <c r="AQ589" s="57">
        <f>IFERROR(__xludf.DUMMYFUNCTION("""COMPUTED_VALUE"""),1.0629973650737892)</f>
        <v>1.062997365</v>
      </c>
      <c r="AR589" s="36" t="b">
        <f>IFERROR(__xludf.DUMMYFUNCTION("""COMPUTED_VALUE"""),TRUE)</f>
        <v>1</v>
      </c>
      <c r="AS589" s="57"/>
      <c r="AT589" s="37"/>
      <c r="AU589" s="30"/>
      <c r="AV589" s="30"/>
      <c r="AW589" s="30"/>
      <c r="AX589" s="30"/>
      <c r="AY589" s="30"/>
      <c r="AZ589" s="30"/>
    </row>
    <row r="590">
      <c r="A590" s="30" t="str">
        <f>IFERROR(__xludf.DUMMYFUNCTION("""COMPUTED_VALUE"""),"Rival")</f>
        <v>Rival</v>
      </c>
      <c r="B590" s="30" t="str">
        <f>IFERROR(__xludf.DUMMYFUNCTION("""COMPUTED_VALUE"""),"RSC000763")</f>
        <v>RSC000763</v>
      </c>
      <c r="C590" s="30" t="str">
        <f>IFERROR(__xludf.DUMMYFUNCTION("""COMPUTED_VALUE"""),"Tenched")</f>
        <v>Tenched</v>
      </c>
      <c r="D590" s="31"/>
      <c r="E590" s="31">
        <f>IFERROR(__xludf.DUMMYFUNCTION("""COMPUTED_VALUE"""),62.69129718158293)</f>
        <v>62.69129718</v>
      </c>
      <c r="F590" s="31">
        <f>IFERROR(__xludf.DUMMYFUNCTION("""COMPUTED_VALUE"""),3.2695899775493995)</f>
        <v>3.269589978</v>
      </c>
      <c r="G590" s="31">
        <f>IFERROR(__xludf.DUMMYFUNCTION("""COMPUTED_VALUE"""),47.40928106178758)</f>
        <v>47.40928106</v>
      </c>
      <c r="H590" s="31">
        <f>IFERROR(__xludf.DUMMYFUNCTION("""COMPUTED_VALUE"""),-2.1799221283985872)</f>
        <v>-2.179922128</v>
      </c>
      <c r="I590" s="54">
        <f>IFERROR(__xludf.DUMMYFUNCTION("""COMPUTED_VALUE"""),13.0)</f>
        <v>13</v>
      </c>
      <c r="J590" s="55">
        <f>IFERROR(__xludf.DUMMYFUNCTION("""COMPUTED_VALUE"""),5.0)</f>
        <v>5</v>
      </c>
      <c r="K590" s="54">
        <f>IFERROR(__xludf.DUMMYFUNCTION("""COMPUTED_VALUE"""),8.0)</f>
        <v>8</v>
      </c>
      <c r="L590" s="56">
        <f>IFERROR(__xludf.DUMMYFUNCTION("""COMPUTED_VALUE"""),0.38461538461538464)</f>
        <v>0.3846153846</v>
      </c>
      <c r="M590" s="56">
        <f>IFERROR(__xludf.DUMMYFUNCTION("""COMPUTED_VALUE"""),0.3488372093023256)</f>
        <v>0.3488372093</v>
      </c>
      <c r="N590" s="31">
        <f>IFERROR(__xludf.DUMMYFUNCTION("""COMPUTED_VALUE"""),394.15384615384613)</f>
        <v>394.1538462</v>
      </c>
      <c r="O590" s="57">
        <f>IFERROR(__xludf.DUMMYFUNCTION("""COMPUTED_VALUE"""),1.1538461538461537)</f>
        <v>1.153846154</v>
      </c>
      <c r="P590" s="57">
        <f>IFERROR(__xludf.DUMMYFUNCTION("""COMPUTED_VALUE"""),0.3076923076923077)</f>
        <v>0.3076923077</v>
      </c>
      <c r="Q590" s="57">
        <f>IFERROR(__xludf.DUMMYFUNCTION("""COMPUTED_VALUE"""),1.4615384615384615)</f>
        <v>1.461538462</v>
      </c>
      <c r="R590" s="57">
        <f>IFERROR(__xludf.DUMMYFUNCTION("""COMPUTED_VALUE"""),3.3076923076923075)</f>
        <v>3.307692308</v>
      </c>
      <c r="S590" s="31">
        <f>IFERROR(__xludf.DUMMYFUNCTION("""COMPUTED_VALUE"""),429.15384615384613)</f>
        <v>429.1538462</v>
      </c>
      <c r="T590" s="57">
        <f>IFERROR(__xludf.DUMMYFUNCTION("""COMPUTED_VALUE"""),1.1025641025641026)</f>
        <v>1.102564103</v>
      </c>
      <c r="U590" s="57">
        <f>IFERROR(__xludf.DUMMYFUNCTION("""COMPUTED_VALUE"""),0.8205128205128206)</f>
        <v>0.8205128205</v>
      </c>
      <c r="V590" s="57">
        <f>IFERROR(__xludf.DUMMYFUNCTION("""COMPUTED_VALUE"""),1.6153846153846154)</f>
        <v>1.615384615</v>
      </c>
      <c r="W590" s="57">
        <f>IFERROR(__xludf.DUMMYFUNCTION("""COMPUTED_VALUE"""),3.0512820512820515)</f>
        <v>3.051282051</v>
      </c>
      <c r="X590" s="31">
        <f>IFERROR(__xludf.DUMMYFUNCTION("""COMPUTED_VALUE"""),351.9745958101727)</f>
        <v>351.9745958</v>
      </c>
      <c r="Y590" s="57">
        <f>IFERROR(__xludf.DUMMYFUNCTION("""COMPUTED_VALUE"""),0.7788280451741992)</f>
        <v>0.7788280452</v>
      </c>
      <c r="Z590" s="57">
        <f>IFERROR(__xludf.DUMMYFUNCTION("""COMPUTED_VALUE"""),0.569495781995782)</f>
        <v>0.569495782</v>
      </c>
      <c r="AA590" s="57">
        <f>IFERROR(__xludf.DUMMYFUNCTION("""COMPUTED_VALUE"""),1.301111957842727)</f>
        <v>1.301111958</v>
      </c>
      <c r="AB590" s="57">
        <f>IFERROR(__xludf.DUMMYFUNCTION("""COMPUTED_VALUE"""),2.6349059416367107)</f>
        <v>2.634905942</v>
      </c>
      <c r="AC590" s="31">
        <f>IFERROR(__xludf.DUMMYFUNCTION("""COMPUTED_VALUE"""),340.96417917315364)</f>
        <v>340.9641792</v>
      </c>
      <c r="AD590" s="57">
        <f>IFERROR(__xludf.DUMMYFUNCTION("""COMPUTED_VALUE"""),0.743584122430276)</f>
        <v>0.7435841224</v>
      </c>
      <c r="AE590" s="57">
        <f>IFERROR(__xludf.DUMMYFUNCTION("""COMPUTED_VALUE"""),0.5390544521954778)</f>
        <v>0.5390544522</v>
      </c>
      <c r="AF590" s="57">
        <f>IFERROR(__xludf.DUMMYFUNCTION("""COMPUTED_VALUE"""),1.332638123984278)</f>
        <v>1.332638124</v>
      </c>
      <c r="AG590" s="57">
        <f>IFERROR(__xludf.DUMMYFUNCTION("""COMPUTED_VALUE"""),2.5469163315317163)</f>
        <v>2.546916332</v>
      </c>
      <c r="AH590" s="57">
        <f>IFERROR(__xludf.DUMMYFUNCTION("""COMPUTED_VALUE"""),1.1559978151067913)</f>
        <v>1.155997815</v>
      </c>
      <c r="AI590" s="57">
        <f>IFERROR(__xludf.DUMMYFUNCTION("""COMPUTED_VALUE"""),1.5517358682633071)</f>
        <v>1.551735868</v>
      </c>
      <c r="AJ590" s="57">
        <f>IFERROR(__xludf.DUMMYFUNCTION("""COMPUTED_VALUE"""),0.5708000489359264)</f>
        <v>0.5708000489</v>
      </c>
      <c r="AK590" s="57">
        <f>IFERROR(__xludf.DUMMYFUNCTION("""COMPUTED_VALUE"""),1.09672568661686)</f>
        <v>1.096725687</v>
      </c>
      <c r="AL590" s="57">
        <f>IFERROR(__xludf.DUMMYFUNCTION("""COMPUTED_VALUE"""),1.2987047382522614)</f>
        <v>1.298704738</v>
      </c>
      <c r="AM590" s="57">
        <f>IFERROR(__xludf.DUMMYFUNCTION("""COMPUTED_VALUE"""),1.2192750592298367)</f>
        <v>1.219275059</v>
      </c>
      <c r="AN590" s="57">
        <f>IFERROR(__xludf.DUMMYFUNCTION("""COMPUTED_VALUE"""),1.415670775334617)</f>
        <v>1.415670775</v>
      </c>
      <c r="AO590" s="57">
        <f>IFERROR(__xludf.DUMMYFUNCTION("""COMPUTED_VALUE"""),1.4407706719747009)</f>
        <v>1.440770672</v>
      </c>
      <c r="AP590" s="35">
        <f>IFERROR(__xludf.DUMMYFUNCTION("""COMPUTED_VALUE"""),1.2415415949776987)</f>
        <v>1.241541595</v>
      </c>
      <c r="AQ590" s="57">
        <f>IFERROR(__xludf.DUMMYFUNCTION("""COMPUTED_VALUE"""),1.1580231396748466)</f>
        <v>1.15802314</v>
      </c>
      <c r="AR590" s="36" t="b">
        <f>IFERROR(__xludf.DUMMYFUNCTION("""COMPUTED_VALUE"""),TRUE)</f>
        <v>1</v>
      </c>
      <c r="AS590" s="57"/>
      <c r="AT590" s="37"/>
      <c r="AU590" s="30"/>
      <c r="AV590" s="30"/>
      <c r="AW590" s="30"/>
      <c r="AX590" s="30"/>
      <c r="AY590" s="30"/>
      <c r="AZ590" s="30"/>
    </row>
    <row r="591">
      <c r="A591" s="30" t="str">
        <f>IFERROR(__xludf.DUMMYFUNCTION("""COMPUTED_VALUE"""),"Rival")</f>
        <v>Rival</v>
      </c>
      <c r="B591" s="30" t="str">
        <f>IFERROR(__xludf.DUMMYFUNCTION("""COMPUTED_VALUE"""),"RSC004365")</f>
        <v>RSC004365</v>
      </c>
      <c r="C591" s="30" t="str">
        <f>IFERROR(__xludf.DUMMYFUNCTION("""COMPUTED_VALUE"""),"Mattixbigs")</f>
        <v>Mattixbigs</v>
      </c>
      <c r="D591" s="31" t="str">
        <f>IFERROR(__xludf.DUMMYFUNCTION("""COMPUTED_VALUE"""),"Ostriches")</f>
        <v>Ostriches</v>
      </c>
      <c r="E591" s="31">
        <f>IFERROR(__xludf.DUMMYFUNCTION("""COMPUTED_VALUE"""),62.559243256444994)</f>
        <v>62.55924326</v>
      </c>
      <c r="F591" s="31">
        <f>IFERROR(__xludf.DUMMYFUNCTION("""COMPUTED_VALUE"""),3.2498793170657216)</f>
        <v>3.249879317</v>
      </c>
      <c r="G591" s="31">
        <f>IFERROR(__xludf.DUMMYFUNCTION("""COMPUTED_VALUE"""),63.20076004967311)</f>
        <v>63.20076005</v>
      </c>
      <c r="H591" s="31">
        <f>IFERROR(__xludf.DUMMYFUNCTION("""COMPUTED_VALUE"""),3.3474022696603885)</f>
        <v>3.34740227</v>
      </c>
      <c r="I591" s="54">
        <f>IFERROR(__xludf.DUMMYFUNCTION("""COMPUTED_VALUE"""),12.0)</f>
        <v>12</v>
      </c>
      <c r="J591" s="55">
        <f>IFERROR(__xludf.DUMMYFUNCTION("""COMPUTED_VALUE"""),5.0)</f>
        <v>5</v>
      </c>
      <c r="K591" s="54">
        <f>IFERROR(__xludf.DUMMYFUNCTION("""COMPUTED_VALUE"""),7.0)</f>
        <v>7</v>
      </c>
      <c r="L591" s="56">
        <f>IFERROR(__xludf.DUMMYFUNCTION("""COMPUTED_VALUE"""),0.4166666666666667)</f>
        <v>0.4166666667</v>
      </c>
      <c r="M591" s="56">
        <f>IFERROR(__xludf.DUMMYFUNCTION("""COMPUTED_VALUE"""),0.29411764705882354)</f>
        <v>0.2941176471</v>
      </c>
      <c r="N591" s="31">
        <f>IFERROR(__xludf.DUMMYFUNCTION("""COMPUTED_VALUE"""),372.4166666666667)</f>
        <v>372.4166667</v>
      </c>
      <c r="O591" s="57">
        <f>IFERROR(__xludf.DUMMYFUNCTION("""COMPUTED_VALUE"""),0.8333333333333334)</f>
        <v>0.8333333333</v>
      </c>
      <c r="P591" s="57">
        <f>IFERROR(__xludf.DUMMYFUNCTION("""COMPUTED_VALUE"""),0.75)</f>
        <v>0.75</v>
      </c>
      <c r="Q591" s="57">
        <f>IFERROR(__xludf.DUMMYFUNCTION("""COMPUTED_VALUE"""),1.3333333333333333)</f>
        <v>1.333333333</v>
      </c>
      <c r="R591" s="57">
        <f>IFERROR(__xludf.DUMMYFUNCTION("""COMPUTED_VALUE"""),2.8333333333333335)</f>
        <v>2.833333333</v>
      </c>
      <c r="S591" s="31">
        <f>IFERROR(__xludf.DUMMYFUNCTION("""COMPUTED_VALUE"""),379.49999999999994)</f>
        <v>379.5</v>
      </c>
      <c r="T591" s="57">
        <f>IFERROR(__xludf.DUMMYFUNCTION("""COMPUTED_VALUE"""),0.861111111111111)</f>
        <v>0.8611111111</v>
      </c>
      <c r="U591" s="57">
        <f>IFERROR(__xludf.DUMMYFUNCTION("""COMPUTED_VALUE"""),0.611111111111111)</f>
        <v>0.6111111111</v>
      </c>
      <c r="V591" s="57">
        <f>IFERROR(__xludf.DUMMYFUNCTION("""COMPUTED_VALUE"""),1.361111111111111)</f>
        <v>1.361111111</v>
      </c>
      <c r="W591" s="57">
        <f>IFERROR(__xludf.DUMMYFUNCTION("""COMPUTED_VALUE"""),2.5555555555555554)</f>
        <v>2.555555556</v>
      </c>
      <c r="X591" s="31">
        <f>IFERROR(__xludf.DUMMYFUNCTION("""COMPUTED_VALUE"""),340.7583752739854)</f>
        <v>340.7583753</v>
      </c>
      <c r="Y591" s="57">
        <f>IFERROR(__xludf.DUMMYFUNCTION("""COMPUTED_VALUE"""),0.6671214850798579)</f>
        <v>0.6671214851</v>
      </c>
      <c r="Z591" s="57">
        <f>IFERROR(__xludf.DUMMYFUNCTION("""COMPUTED_VALUE"""),0.5951825494371747)</f>
        <v>0.5951825494</v>
      </c>
      <c r="AA591" s="57">
        <f>IFERROR(__xludf.DUMMYFUNCTION("""COMPUTED_VALUE"""),1.3720744922683965)</f>
        <v>1.372074492</v>
      </c>
      <c r="AB591" s="57">
        <f>IFERROR(__xludf.DUMMYFUNCTION("""COMPUTED_VALUE"""),2.3225971362939655)</f>
        <v>2.322597136</v>
      </c>
      <c r="AC591" s="31">
        <f>IFERROR(__xludf.DUMMYFUNCTION("""COMPUTED_VALUE"""),348.8622387546805)</f>
        <v>348.8622388</v>
      </c>
      <c r="AD591" s="57">
        <f>IFERROR(__xludf.DUMMYFUNCTION("""COMPUTED_VALUE"""),0.78547487819573)</f>
        <v>0.7854748782</v>
      </c>
      <c r="AE591" s="57">
        <f>IFERROR(__xludf.DUMMYFUNCTION("""COMPUTED_VALUE"""),0.596385405584159)</f>
        <v>0.5963854056</v>
      </c>
      <c r="AF591" s="57">
        <f>IFERROR(__xludf.DUMMYFUNCTION("""COMPUTED_VALUE"""),1.2200832049131518)</f>
        <v>1.220083205</v>
      </c>
      <c r="AG591" s="57">
        <f>IFERROR(__xludf.DUMMYFUNCTION("""COMPUTED_VALUE"""),2.6205818355183212)</f>
        <v>2.620581836</v>
      </c>
      <c r="AH591" s="57">
        <f>IFERROR(__xludf.DUMMYFUNCTION("""COMPUTED_VALUE"""),1.0675178488679873)</f>
        <v>1.067517849</v>
      </c>
      <c r="AI591" s="57">
        <f>IFERROR(__xludf.DUMMYFUNCTION("""COMPUTED_VALUE"""),1.0609293262790738)</f>
        <v>1.060929326</v>
      </c>
      <c r="AJ591" s="57">
        <f>IFERROR(__xludf.DUMMYFUNCTION("""COMPUTED_VALUE"""),1.2575760455864538)</f>
        <v>1.257576046</v>
      </c>
      <c r="AK591" s="57">
        <f>IFERROR(__xludf.DUMMYFUNCTION("""COMPUTED_VALUE"""),1.092821643609333)</f>
        <v>1.092821644</v>
      </c>
      <c r="AL591" s="57">
        <f>IFERROR(__xludf.DUMMYFUNCTION("""COMPUTED_VALUE"""),1.0811848326701587)</f>
        <v>1.081184833</v>
      </c>
      <c r="AM591" s="57">
        <f>IFERROR(__xludf.DUMMYFUNCTION("""COMPUTED_VALUE"""),1.1136923624983963)</f>
        <v>1.113692362</v>
      </c>
      <c r="AN591" s="57">
        <f>IFERROR(__xludf.DUMMYFUNCTION("""COMPUTED_VALUE"""),1.290786056767504)</f>
        <v>1.290786057</v>
      </c>
      <c r="AO591" s="57">
        <f>IFERROR(__xludf.DUMMYFUNCTION("""COMPUTED_VALUE"""),1.0267624810051956)</f>
        <v>1.026762481</v>
      </c>
      <c r="AP591" s="35">
        <f>IFERROR(__xludf.DUMMYFUNCTION("""COMPUTED_VALUE"""),0.9920096312415514)</f>
        <v>0.9920096312</v>
      </c>
      <c r="AQ591" s="57">
        <f>IFERROR(__xludf.DUMMYFUNCTION("""COMPUTED_VALUE"""),1.1003008294556447)</f>
        <v>1.100300829</v>
      </c>
      <c r="AR591" s="36" t="b">
        <f>IFERROR(__xludf.DUMMYFUNCTION("""COMPUTED_VALUE"""),TRUE)</f>
        <v>1</v>
      </c>
      <c r="AS591" s="57"/>
      <c r="AT591" s="37"/>
      <c r="AU591" s="30"/>
      <c r="AV591" s="30"/>
      <c r="AW591" s="30"/>
      <c r="AX591" s="30"/>
      <c r="AY591" s="30"/>
      <c r="AZ591" s="30"/>
    </row>
    <row r="592">
      <c r="A592" s="30" t="str">
        <f>IFERROR(__xludf.DUMMYFUNCTION("""COMPUTED_VALUE"""),"Rival")</f>
        <v>Rival</v>
      </c>
      <c r="B592" s="30" t="str">
        <f>IFERROR(__xludf.DUMMYFUNCTION("""COMPUTED_VALUE"""),"RSC002036")</f>
        <v>RSC002036</v>
      </c>
      <c r="C592" s="30" t="str">
        <f>IFERROR(__xludf.DUMMYFUNCTION("""COMPUTED_VALUE"""),"Reno")</f>
        <v>Reno</v>
      </c>
      <c r="D592" s="31" t="str">
        <f>IFERROR(__xludf.DUMMYFUNCTION("""COMPUTED_VALUE"""),"Polar Ice")</f>
        <v>Polar Ice</v>
      </c>
      <c r="E592" s="31">
        <f>IFERROR(__xludf.DUMMYFUNCTION("""COMPUTED_VALUE"""),62.14289661213492)</f>
        <v>62.14289661</v>
      </c>
      <c r="F592" s="31">
        <f>IFERROR(__xludf.DUMMYFUNCTION("""COMPUTED_VALUE"""),3.1889349873374453)</f>
        <v>3.188934987</v>
      </c>
      <c r="G592" s="31">
        <f>IFERROR(__xludf.DUMMYFUNCTION("""COMPUTED_VALUE"""),55.667495444445095)</f>
        <v>55.66749544</v>
      </c>
      <c r="H592" s="31">
        <f>IFERROR(__xludf.DUMMYFUNCTION("""COMPUTED_VALUE"""),2.4370712594591675)</f>
        <v>2.437071259</v>
      </c>
      <c r="I592" s="54">
        <f>IFERROR(__xludf.DUMMYFUNCTION("""COMPUTED_VALUE"""),35.0)</f>
        <v>35</v>
      </c>
      <c r="J592" s="55">
        <f>IFERROR(__xludf.DUMMYFUNCTION("""COMPUTED_VALUE"""),16.0)</f>
        <v>16</v>
      </c>
      <c r="K592" s="54">
        <f>IFERROR(__xludf.DUMMYFUNCTION("""COMPUTED_VALUE"""),19.0)</f>
        <v>19</v>
      </c>
      <c r="L592" s="56">
        <f>IFERROR(__xludf.DUMMYFUNCTION("""COMPUTED_VALUE"""),0.45714285714285713)</f>
        <v>0.4571428571</v>
      </c>
      <c r="M592" s="56">
        <f>IFERROR(__xludf.DUMMYFUNCTION("""COMPUTED_VALUE"""),0.2727272727272727)</f>
        <v>0.2727272727</v>
      </c>
      <c r="N592" s="31">
        <f>IFERROR(__xludf.DUMMYFUNCTION("""COMPUTED_VALUE"""),376.1142857142857)</f>
        <v>376.1142857</v>
      </c>
      <c r="O592" s="57">
        <f>IFERROR(__xludf.DUMMYFUNCTION("""COMPUTED_VALUE"""),0.8571428571428571)</f>
        <v>0.8571428571</v>
      </c>
      <c r="P592" s="57">
        <f>IFERROR(__xludf.DUMMYFUNCTION("""COMPUTED_VALUE"""),0.5142857142857142)</f>
        <v>0.5142857143</v>
      </c>
      <c r="Q592" s="57">
        <f>IFERROR(__xludf.DUMMYFUNCTION("""COMPUTED_VALUE"""),1.542857142857143)</f>
        <v>1.542857143</v>
      </c>
      <c r="R592" s="57">
        <f>IFERROR(__xludf.DUMMYFUNCTION("""COMPUTED_VALUE"""),3.142857142857143)</f>
        <v>3.142857143</v>
      </c>
      <c r="S592" s="31">
        <f>IFERROR(__xludf.DUMMYFUNCTION("""COMPUTED_VALUE"""),365.2571428571429)</f>
        <v>365.2571429</v>
      </c>
      <c r="T592" s="57">
        <f>IFERROR(__xludf.DUMMYFUNCTION("""COMPUTED_VALUE"""),0.8285714285714285)</f>
        <v>0.8285714286</v>
      </c>
      <c r="U592" s="57">
        <f>IFERROR(__xludf.DUMMYFUNCTION("""COMPUTED_VALUE"""),0.5619047619047619)</f>
        <v>0.5619047619</v>
      </c>
      <c r="V592" s="57">
        <f>IFERROR(__xludf.DUMMYFUNCTION("""COMPUTED_VALUE"""),1.428571428571429)</f>
        <v>1.428571429</v>
      </c>
      <c r="W592" s="57">
        <f>IFERROR(__xludf.DUMMYFUNCTION("""COMPUTED_VALUE"""),2.638095238095238)</f>
        <v>2.638095238</v>
      </c>
      <c r="X592" s="31">
        <f>IFERROR(__xludf.DUMMYFUNCTION("""COMPUTED_VALUE"""),341.0528984956323)</f>
        <v>341.0528985</v>
      </c>
      <c r="Y592" s="57">
        <f>IFERROR(__xludf.DUMMYFUNCTION("""COMPUTED_VALUE"""),0.751964272370435)</f>
        <v>0.7519642724</v>
      </c>
      <c r="Z592" s="57">
        <f>IFERROR(__xludf.DUMMYFUNCTION("""COMPUTED_VALUE"""),0.5192576710041698)</f>
        <v>0.519257671</v>
      </c>
      <c r="AA592" s="57">
        <f>IFERROR(__xludf.DUMMYFUNCTION("""COMPUTED_VALUE"""),1.2943621102675726)</f>
        <v>1.29436211</v>
      </c>
      <c r="AB592" s="57">
        <f>IFERROR(__xludf.DUMMYFUNCTION("""COMPUTED_VALUE"""),2.5206050606204666)</f>
        <v>2.520605061</v>
      </c>
      <c r="AC592" s="31">
        <f>IFERROR(__xludf.DUMMYFUNCTION("""COMPUTED_VALUE"""),346.39176255090655)</f>
        <v>346.3917626</v>
      </c>
      <c r="AD592" s="57">
        <f>IFERROR(__xludf.DUMMYFUNCTION("""COMPUTED_VALUE"""),0.7757448500681461)</f>
        <v>0.7757448501</v>
      </c>
      <c r="AE592" s="57">
        <f>IFERROR(__xludf.DUMMYFUNCTION("""COMPUTED_VALUE"""),0.5621152564539589)</f>
        <v>0.5621152565</v>
      </c>
      <c r="AF592" s="57">
        <f>IFERROR(__xludf.DUMMYFUNCTION("""COMPUTED_VALUE"""),1.3180640202727039)</f>
        <v>1.31806402</v>
      </c>
      <c r="AG592" s="57">
        <f>IFERROR(__xludf.DUMMYFUNCTION("""COMPUTED_VALUE"""),2.5471693599221616)</f>
        <v>2.54716936</v>
      </c>
      <c r="AH592" s="57">
        <f>IFERROR(__xludf.DUMMYFUNCTION("""COMPUTED_VALUE"""),1.0858060911855867)</f>
        <v>1.085806091</v>
      </c>
      <c r="AI592" s="57">
        <f>IFERROR(__xludf.DUMMYFUNCTION("""COMPUTED_VALUE"""),1.1049288397693655)</f>
        <v>1.10492884</v>
      </c>
      <c r="AJ592" s="57">
        <f>IFERROR(__xludf.DUMMYFUNCTION("""COMPUTED_VALUE"""),0.9149115032565173)</f>
        <v>0.9149115033</v>
      </c>
      <c r="AK592" s="57">
        <f>IFERROR(__xludf.DUMMYFUNCTION("""COMPUTED_VALUE"""),1.1705479545203958)</f>
        <v>1.170547955</v>
      </c>
      <c r="AL592" s="57">
        <f>IFERROR(__xludf.DUMMYFUNCTION("""COMPUTED_VALUE"""),1.2338626525223217)</f>
        <v>1.233862653</v>
      </c>
      <c r="AM592" s="57">
        <f>IFERROR(__xludf.DUMMYFUNCTION("""COMPUTED_VALUE"""),1.0709691794682712)</f>
        <v>1.070969179</v>
      </c>
      <c r="AN592" s="57">
        <f>IFERROR(__xludf.DUMMYFUNCTION("""COMPUTED_VALUE"""),1.1018760584987675)</f>
        <v>1.101876058</v>
      </c>
      <c r="AO592" s="57">
        <f>IFERROR(__xludf.DUMMYFUNCTION("""COMPUTED_VALUE"""),1.0821308827621532)</f>
        <v>1.082130883</v>
      </c>
      <c r="AP592" s="35">
        <f>IFERROR(__xludf.DUMMYFUNCTION("""COMPUTED_VALUE"""),1.1036876135659692)</f>
        <v>1.103687614</v>
      </c>
      <c r="AQ592" s="57">
        <f>IFERROR(__xludf.DUMMYFUNCTION("""COMPUTED_VALUE"""),1.0466118946241623)</f>
        <v>1.046611895</v>
      </c>
      <c r="AR592" s="36" t="b">
        <f>IFERROR(__xludf.DUMMYFUNCTION("""COMPUTED_VALUE"""),TRUE)</f>
        <v>1</v>
      </c>
      <c r="AS592" s="57"/>
      <c r="AT592" s="37"/>
      <c r="AU592" s="30"/>
      <c r="AV592" s="30"/>
      <c r="AW592" s="30"/>
      <c r="AX592" s="30"/>
      <c r="AY592" s="30"/>
      <c r="AZ592" s="30"/>
    </row>
    <row r="593">
      <c r="A593" s="30" t="str">
        <f>IFERROR(__xludf.DUMMYFUNCTION("""COMPUTED_VALUE"""),"Rival")</f>
        <v>Rival</v>
      </c>
      <c r="B593" s="30" t="str">
        <f>IFERROR(__xludf.DUMMYFUNCTION("""COMPUTED_VALUE"""),"RSC004283")</f>
        <v>RSC004283</v>
      </c>
      <c r="C593" s="30" t="str">
        <f>IFERROR(__xludf.DUMMYFUNCTION("""COMPUTED_VALUE"""),"Tragic Event")</f>
        <v>Tragic Event</v>
      </c>
      <c r="D593" s="31" t="str">
        <f>IFERROR(__xludf.DUMMYFUNCTION("""COMPUTED_VALUE"""),"Quasars")</f>
        <v>Quasars</v>
      </c>
      <c r="E593" s="31">
        <f>IFERROR(__xludf.DUMMYFUNCTION("""COMPUTED_VALUE"""),61.50808759321541)</f>
        <v>61.50808759</v>
      </c>
      <c r="F593" s="31">
        <f>IFERROR(__xludf.DUMMYFUNCTION("""COMPUTED_VALUE"""),3.099410333203509)</f>
        <v>3.099410333</v>
      </c>
      <c r="G593" s="31">
        <f>IFERROR(__xludf.DUMMYFUNCTION("""COMPUTED_VALUE"""),46.34024530989702)</f>
        <v>46.34024531</v>
      </c>
      <c r="H593" s="31">
        <f>IFERROR(__xludf.DUMMYFUNCTION("""COMPUTED_VALUE"""),-2.263433376024503)</f>
        <v>-2.263433376</v>
      </c>
      <c r="I593" s="54">
        <f>IFERROR(__xludf.DUMMYFUNCTION("""COMPUTED_VALUE"""),4.0)</f>
        <v>4</v>
      </c>
      <c r="J593" s="55">
        <f>IFERROR(__xludf.DUMMYFUNCTION("""COMPUTED_VALUE"""),2.0)</f>
        <v>2</v>
      </c>
      <c r="K593" s="54">
        <f>IFERROR(__xludf.DUMMYFUNCTION("""COMPUTED_VALUE"""),2.0)</f>
        <v>2</v>
      </c>
      <c r="L593" s="56">
        <f>IFERROR(__xludf.DUMMYFUNCTION("""COMPUTED_VALUE"""),0.5)</f>
        <v>0.5</v>
      </c>
      <c r="M593" s="56">
        <f>IFERROR(__xludf.DUMMYFUNCTION("""COMPUTED_VALUE"""),0.4444444444444444)</f>
        <v>0.4444444444</v>
      </c>
      <c r="N593" s="31">
        <f>IFERROR(__xludf.DUMMYFUNCTION("""COMPUTED_VALUE"""),305.0)</f>
        <v>305</v>
      </c>
      <c r="O593" s="57">
        <f>IFERROR(__xludf.DUMMYFUNCTION("""COMPUTED_VALUE"""),1.0)</f>
        <v>1</v>
      </c>
      <c r="P593" s="57">
        <f>IFERROR(__xludf.DUMMYFUNCTION("""COMPUTED_VALUE"""),0.5)</f>
        <v>0.5</v>
      </c>
      <c r="Q593" s="57">
        <f>IFERROR(__xludf.DUMMYFUNCTION("""COMPUTED_VALUE"""),1.25)</f>
        <v>1.25</v>
      </c>
      <c r="R593" s="57">
        <f>IFERROR(__xludf.DUMMYFUNCTION("""COMPUTED_VALUE"""),2.25)</f>
        <v>2.25</v>
      </c>
      <c r="S593" s="31">
        <f>IFERROR(__xludf.DUMMYFUNCTION("""COMPUTED_VALUE"""),294.6666666666667)</f>
        <v>294.6666667</v>
      </c>
      <c r="T593" s="57">
        <f>IFERROR(__xludf.DUMMYFUNCTION("""COMPUTED_VALUE"""),0.5833333333333334)</f>
        <v>0.5833333333</v>
      </c>
      <c r="U593" s="57">
        <f>IFERROR(__xludf.DUMMYFUNCTION("""COMPUTED_VALUE"""),0.41666666666666663)</f>
        <v>0.4166666667</v>
      </c>
      <c r="V593" s="57">
        <f>IFERROR(__xludf.DUMMYFUNCTION("""COMPUTED_VALUE"""),1.1666666666666665)</f>
        <v>1.166666667</v>
      </c>
      <c r="W593" s="57">
        <f>IFERROR(__xludf.DUMMYFUNCTION("""COMPUTED_VALUE"""),2.416666666666667)</f>
        <v>2.416666667</v>
      </c>
      <c r="X593" s="31">
        <f>IFERROR(__xludf.DUMMYFUNCTION("""COMPUTED_VALUE"""),385.9626068376068)</f>
        <v>385.9626068</v>
      </c>
      <c r="Y593" s="57">
        <f>IFERROR(__xludf.DUMMYFUNCTION("""COMPUTED_VALUE"""),0.9193376068376068)</f>
        <v>0.9193376068</v>
      </c>
      <c r="Z593" s="57">
        <f>IFERROR(__xludf.DUMMYFUNCTION("""COMPUTED_VALUE"""),0.7115384615384615)</f>
        <v>0.7115384615</v>
      </c>
      <c r="AA593" s="57">
        <f>IFERROR(__xludf.DUMMYFUNCTION("""COMPUTED_VALUE"""),1.419070512820513)</f>
        <v>1.419070513</v>
      </c>
      <c r="AB593" s="57">
        <f>IFERROR(__xludf.DUMMYFUNCTION("""COMPUTED_VALUE"""),2.8440170940170937)</f>
        <v>2.844017094</v>
      </c>
      <c r="AC593" s="31">
        <f>IFERROR(__xludf.DUMMYFUNCTION("""COMPUTED_VALUE"""),368.7742165242165)</f>
        <v>368.7742165</v>
      </c>
      <c r="AD593" s="57">
        <f>IFERROR(__xludf.DUMMYFUNCTION("""COMPUTED_VALUE"""),0.9159544159544158)</f>
        <v>0.915954416</v>
      </c>
      <c r="AE593" s="57">
        <f>IFERROR(__xludf.DUMMYFUNCTION("""COMPUTED_VALUE"""),0.6398682336182335)</f>
        <v>0.6398682336</v>
      </c>
      <c r="AF593" s="57">
        <f>IFERROR(__xludf.DUMMYFUNCTION("""COMPUTED_VALUE"""),1.3755341880341883)</f>
        <v>1.375534188</v>
      </c>
      <c r="AG593" s="57">
        <f>IFERROR(__xludf.DUMMYFUNCTION("""COMPUTED_VALUE"""),2.7277421652421654)</f>
        <v>2.727742165</v>
      </c>
      <c r="AH593" s="57">
        <f>IFERROR(__xludf.DUMMYFUNCTION("""COMPUTED_VALUE"""),0.8270643291570017)</f>
        <v>0.8270643292</v>
      </c>
      <c r="AI593" s="57">
        <f>IFERROR(__xludf.DUMMYFUNCTION("""COMPUTED_VALUE"""),1.0917573872472786)</f>
        <v>1.091757387</v>
      </c>
      <c r="AJ593" s="57">
        <f>IFERROR(__xludf.DUMMYFUNCTION("""COMPUTED_VALUE"""),0.7814108807569223)</f>
        <v>0.7814108808</v>
      </c>
      <c r="AK593" s="57">
        <f>IFERROR(__xludf.DUMMYFUNCTION("""COMPUTED_VALUE"""),0.9087378640776698)</f>
        <v>0.9087378641</v>
      </c>
      <c r="AL593" s="57">
        <f>IFERROR(__xludf.DUMMYFUNCTION("""COMPUTED_VALUE"""),0.8248580194529669)</f>
        <v>0.8248580195</v>
      </c>
      <c r="AM593" s="57">
        <f>IFERROR(__xludf.DUMMYFUNCTION("""COMPUTED_VALUE"""),0.7634591057434931)</f>
        <v>0.7634591057</v>
      </c>
      <c r="AN593" s="57">
        <f>IFERROR(__xludf.DUMMYFUNCTION("""COMPUTED_VALUE"""),0.6345148169668798)</f>
        <v>0.634514817</v>
      </c>
      <c r="AO593" s="57">
        <f>IFERROR(__xludf.DUMMYFUNCTION("""COMPUTED_VALUE"""),0.5855855855855856)</f>
        <v>0.5855855856</v>
      </c>
      <c r="AP593" s="35">
        <f>IFERROR(__xludf.DUMMYFUNCTION("""COMPUTED_VALUE"""),0.8221343873517785)</f>
        <v>0.8221343874</v>
      </c>
      <c r="AQ593" s="57">
        <f>IFERROR(__xludf.DUMMYFUNCTION("""COMPUTED_VALUE"""),0.8497370398196846)</f>
        <v>0.8497370398</v>
      </c>
      <c r="AR593" s="36" t="b">
        <f>IFERROR(__xludf.DUMMYFUNCTION("""COMPUTED_VALUE"""),TRUE)</f>
        <v>1</v>
      </c>
      <c r="AS593" s="57"/>
      <c r="AT593" s="37"/>
      <c r="AU593" s="30"/>
      <c r="AV593" s="30"/>
      <c r="AW593" s="30"/>
      <c r="AX593" s="30"/>
      <c r="AY593" s="30"/>
      <c r="AZ593" s="30"/>
    </row>
    <row r="594">
      <c r="A594" s="30" t="str">
        <f>IFERROR(__xludf.DUMMYFUNCTION("""COMPUTED_VALUE"""),"Rival")</f>
        <v>Rival</v>
      </c>
      <c r="B594" s="30" t="str">
        <f>IFERROR(__xludf.DUMMYFUNCTION("""COMPUTED_VALUE"""),"RSC006938")</f>
        <v>RSC006938</v>
      </c>
      <c r="C594" s="30" t="str">
        <f>IFERROR(__xludf.DUMMYFUNCTION("""COMPUTED_VALUE"""),"Soda. .")</f>
        <v>Soda. .</v>
      </c>
      <c r="D594" s="31" t="str">
        <f>IFERROR(__xludf.DUMMYFUNCTION("""COMPUTED_VALUE"""),"Cursed")</f>
        <v>Cursed</v>
      </c>
      <c r="E594" s="31">
        <f>IFERROR(__xludf.DUMMYFUNCTION("""COMPUTED_VALUE"""),61.23955820639536)</f>
        <v>61.23955821</v>
      </c>
      <c r="F594" s="31">
        <f>IFERROR(__xludf.DUMMYFUNCTION("""COMPUTED_VALUE"""),3.062732575933799)</f>
        <v>3.062732576</v>
      </c>
      <c r="G594" s="31">
        <f>IFERROR(__xludf.DUMMYFUNCTION("""COMPUTED_VALUE"""),47.46357991904699)</f>
        <v>47.46357992</v>
      </c>
      <c r="H594" s="31">
        <f>IFERROR(__xludf.DUMMYFUNCTION("""COMPUTED_VALUE"""),-2.1758338161637165)</f>
        <v>-2.175833816</v>
      </c>
      <c r="I594" s="54">
        <f>IFERROR(__xludf.DUMMYFUNCTION("""COMPUTED_VALUE"""),36.0)</f>
        <v>36</v>
      </c>
      <c r="J594" s="55">
        <f>IFERROR(__xludf.DUMMYFUNCTION("""COMPUTED_VALUE"""),23.0)</f>
        <v>23</v>
      </c>
      <c r="K594" s="54">
        <f>IFERROR(__xludf.DUMMYFUNCTION("""COMPUTED_VALUE"""),13.0)</f>
        <v>13</v>
      </c>
      <c r="L594" s="56">
        <f>IFERROR(__xludf.DUMMYFUNCTION("""COMPUTED_VALUE"""),0.6388888888888888)</f>
        <v>0.6388888889</v>
      </c>
      <c r="M594" s="56">
        <f>IFERROR(__xludf.DUMMYFUNCTION("""COMPUTED_VALUE"""),0.3333333333333333)</f>
        <v>0.3333333333</v>
      </c>
      <c r="N594" s="31">
        <f>IFERROR(__xludf.DUMMYFUNCTION("""COMPUTED_VALUE"""),341.8611111111111)</f>
        <v>341.8611111</v>
      </c>
      <c r="O594" s="57">
        <f>IFERROR(__xludf.DUMMYFUNCTION("""COMPUTED_VALUE"""),0.8888888888888888)</f>
        <v>0.8888888889</v>
      </c>
      <c r="P594" s="57">
        <f>IFERROR(__xludf.DUMMYFUNCTION("""COMPUTED_VALUE"""),0.5)</f>
        <v>0.5</v>
      </c>
      <c r="Q594" s="57">
        <f>IFERROR(__xludf.DUMMYFUNCTION("""COMPUTED_VALUE"""),1.1944444444444444)</f>
        <v>1.194444444</v>
      </c>
      <c r="R594" s="57">
        <f>IFERROR(__xludf.DUMMYFUNCTION("""COMPUTED_VALUE"""),2.6666666666666665)</f>
        <v>2.666666667</v>
      </c>
      <c r="S594" s="31">
        <f>IFERROR(__xludf.DUMMYFUNCTION("""COMPUTED_VALUE"""),330.62037037037044)</f>
        <v>330.6203704</v>
      </c>
      <c r="T594" s="57">
        <f>IFERROR(__xludf.DUMMYFUNCTION("""COMPUTED_VALUE"""),0.6666666666666666)</f>
        <v>0.6666666667</v>
      </c>
      <c r="U594" s="57">
        <f>IFERROR(__xludf.DUMMYFUNCTION("""COMPUTED_VALUE"""),0.5092592592592592)</f>
        <v>0.5092592593</v>
      </c>
      <c r="V594" s="57">
        <f>IFERROR(__xludf.DUMMYFUNCTION("""COMPUTED_VALUE"""),1.324074074074074)</f>
        <v>1.324074074</v>
      </c>
      <c r="W594" s="57">
        <f>IFERROR(__xludf.DUMMYFUNCTION("""COMPUTED_VALUE"""),2.4722222222222223)</f>
        <v>2.472222222</v>
      </c>
      <c r="X594" s="31">
        <f>IFERROR(__xludf.DUMMYFUNCTION("""COMPUTED_VALUE"""),355.9288104343109)</f>
        <v>355.9288104</v>
      </c>
      <c r="Y594" s="57">
        <f>IFERROR(__xludf.DUMMYFUNCTION("""COMPUTED_VALUE"""),0.7996393494463698)</f>
        <v>0.7996393494</v>
      </c>
      <c r="Z594" s="57">
        <f>IFERROR(__xludf.DUMMYFUNCTION("""COMPUTED_VALUE"""),0.5996154860590291)</f>
        <v>0.5996154861</v>
      </c>
      <c r="AA594" s="57">
        <f>IFERROR(__xludf.DUMMYFUNCTION("""COMPUTED_VALUE"""),1.3390263252219528)</f>
        <v>1.339026325</v>
      </c>
      <c r="AB594" s="57">
        <f>IFERROR(__xludf.DUMMYFUNCTION("""COMPUTED_VALUE"""),2.605865817793921)</f>
        <v>2.605865818</v>
      </c>
      <c r="AC594" s="31">
        <f>IFERROR(__xludf.DUMMYFUNCTION("""COMPUTED_VALUE"""),349.02516492677546)</f>
        <v>349.0251649</v>
      </c>
      <c r="AD594" s="57">
        <f>IFERROR(__xludf.DUMMYFUNCTION("""COMPUTED_VALUE"""),0.8004031558610476)</f>
        <v>0.8004031559</v>
      </c>
      <c r="AE594" s="57">
        <f>IFERROR(__xludf.DUMMYFUNCTION("""COMPUTED_VALUE"""),0.5685840678915015)</f>
        <v>0.5685840679</v>
      </c>
      <c r="AF594" s="57">
        <f>IFERROR(__xludf.DUMMYFUNCTION("""COMPUTED_VALUE"""),1.3049753619808457)</f>
        <v>1.304975362</v>
      </c>
      <c r="AG594" s="57">
        <f>IFERROR(__xludf.DUMMYFUNCTION("""COMPUTED_VALUE"""),2.6182472153163685)</f>
        <v>2.618247215</v>
      </c>
      <c r="AH594" s="57">
        <f>IFERROR(__xludf.DUMMYFUNCTION("""COMPUTED_VALUE"""),0.9794741052062325)</f>
        <v>0.9794741052</v>
      </c>
      <c r="AI594" s="57">
        <f>IFERROR(__xludf.DUMMYFUNCTION("""COMPUTED_VALUE"""),1.1105514544512898)</f>
        <v>1.110551454</v>
      </c>
      <c r="AJ594" s="57">
        <f>IFERROR(__xludf.DUMMYFUNCTION("""COMPUTED_VALUE"""),0.879377436399451)</f>
        <v>0.8793774364</v>
      </c>
      <c r="AK594" s="57">
        <f>IFERROR(__xludf.DUMMYFUNCTION("""COMPUTED_VALUE"""),0.9153003797951983)</f>
        <v>0.9153003798</v>
      </c>
      <c r="AL594" s="57">
        <f>IFERROR(__xludf.DUMMYFUNCTION("""COMPUTED_VALUE"""),1.0184930785248434)</f>
        <v>1.018493079</v>
      </c>
      <c r="AM594" s="57">
        <f>IFERROR(__xludf.DUMMYFUNCTION("""COMPUTED_VALUE"""),0.9288946572404222)</f>
        <v>0.9288946572</v>
      </c>
      <c r="AN594" s="57">
        <f>IFERROR(__xludf.DUMMYFUNCTION("""COMPUTED_VALUE"""),0.8337091804301942)</f>
        <v>0.8337091804</v>
      </c>
      <c r="AO594" s="57">
        <f>IFERROR(__xludf.DUMMYFUNCTION("""COMPUTED_VALUE"""),0.8493097178099319)</f>
        <v>0.8493097178</v>
      </c>
      <c r="AP594" s="35">
        <f>IFERROR(__xludf.DUMMYFUNCTION("""COMPUTED_VALUE"""),0.9888334897781786)</f>
        <v>0.9888334898</v>
      </c>
      <c r="AQ594" s="57">
        <f>IFERROR(__xludf.DUMMYFUNCTION("""COMPUTED_VALUE"""),0.948714321873703)</f>
        <v>0.9487143219</v>
      </c>
      <c r="AR594" s="36" t="b">
        <f>IFERROR(__xludf.DUMMYFUNCTION("""COMPUTED_VALUE"""),TRUE)</f>
        <v>1</v>
      </c>
      <c r="AS594" s="57"/>
      <c r="AT594" s="37"/>
      <c r="AU594" s="30"/>
      <c r="AV594" s="30"/>
      <c r="AW594" s="30"/>
      <c r="AX594" s="30"/>
      <c r="AY594" s="30"/>
      <c r="AZ594" s="30"/>
    </row>
    <row r="595">
      <c r="A595" s="30" t="str">
        <f>IFERROR(__xludf.DUMMYFUNCTION("""COMPUTED_VALUE"""),"Rival")</f>
        <v>Rival</v>
      </c>
      <c r="B595" s="30" t="str">
        <f>IFERROR(__xludf.DUMMYFUNCTION("""COMPUTED_VALUE"""),"RSC006944")</f>
        <v>RSC006944</v>
      </c>
      <c r="C595" s="30" t="str">
        <f>IFERROR(__xludf.DUMMYFUNCTION("""COMPUTED_VALUE"""),"Pr9xk")</f>
        <v>Pr9xk</v>
      </c>
      <c r="D595" s="31" t="str">
        <f>IFERROR(__xludf.DUMMYFUNCTION("""COMPUTED_VALUE"""),"Kitsune")</f>
        <v>Kitsune</v>
      </c>
      <c r="E595" s="31">
        <f>IFERROR(__xludf.DUMMYFUNCTION("""COMPUTED_VALUE"""),61.140551380084446)</f>
        <v>61.14055138</v>
      </c>
      <c r="F595" s="31">
        <f>IFERROR(__xludf.DUMMYFUNCTION("""COMPUTED_VALUE"""),3.049383501994748)</f>
        <v>3.049383502</v>
      </c>
      <c r="G595" s="31">
        <f>IFERROR(__xludf.DUMMYFUNCTION("""COMPUTED_VALUE"""),59.25633208823662)</f>
        <v>59.25633209</v>
      </c>
      <c r="H595" s="31">
        <f>IFERROR(__xludf.DUMMYFUNCTION("""COMPUTED_VALUE"""),2.812173081876093)</f>
        <v>2.812173082</v>
      </c>
      <c r="I595" s="54">
        <f>IFERROR(__xludf.DUMMYFUNCTION("""COMPUTED_VALUE"""),24.0)</f>
        <v>24</v>
      </c>
      <c r="J595" s="55">
        <f>IFERROR(__xludf.DUMMYFUNCTION("""COMPUTED_VALUE"""),14.0)</f>
        <v>14</v>
      </c>
      <c r="K595" s="54">
        <f>IFERROR(__xludf.DUMMYFUNCTION("""COMPUTED_VALUE"""),10.0)</f>
        <v>10</v>
      </c>
      <c r="L595" s="56">
        <f>IFERROR(__xludf.DUMMYFUNCTION("""COMPUTED_VALUE"""),0.5833333333333334)</f>
        <v>0.5833333333</v>
      </c>
      <c r="M595" s="56">
        <f>IFERROR(__xludf.DUMMYFUNCTION("""COMPUTED_VALUE"""),0.3283582089552239)</f>
        <v>0.328358209</v>
      </c>
      <c r="N595" s="31">
        <f>IFERROR(__xludf.DUMMYFUNCTION("""COMPUTED_VALUE"""),366.375)</f>
        <v>366.375</v>
      </c>
      <c r="O595" s="57">
        <f>IFERROR(__xludf.DUMMYFUNCTION("""COMPUTED_VALUE"""),0.9166666666666666)</f>
        <v>0.9166666667</v>
      </c>
      <c r="P595" s="57">
        <f>IFERROR(__xludf.DUMMYFUNCTION("""COMPUTED_VALUE"""),0.5416666666666666)</f>
        <v>0.5416666667</v>
      </c>
      <c r="Q595" s="57">
        <f>IFERROR(__xludf.DUMMYFUNCTION("""COMPUTED_VALUE"""),1.3333333333333333)</f>
        <v>1.333333333</v>
      </c>
      <c r="R595" s="57">
        <f>IFERROR(__xludf.DUMMYFUNCTION("""COMPUTED_VALUE"""),2.7916666666666665)</f>
        <v>2.791666667</v>
      </c>
      <c r="S595" s="31">
        <f>IFERROR(__xludf.DUMMYFUNCTION("""COMPUTED_VALUE"""),344.2916666666667)</f>
        <v>344.2916667</v>
      </c>
      <c r="T595" s="57">
        <f>IFERROR(__xludf.DUMMYFUNCTION("""COMPUTED_VALUE"""),0.7222222222222223)</f>
        <v>0.7222222222</v>
      </c>
      <c r="U595" s="57">
        <f>IFERROR(__xludf.DUMMYFUNCTION("""COMPUTED_VALUE"""),0.5416666666666666)</f>
        <v>0.5416666667</v>
      </c>
      <c r="V595" s="57">
        <f>IFERROR(__xludf.DUMMYFUNCTION("""COMPUTED_VALUE"""),1.347222222222222)</f>
        <v>1.347222222</v>
      </c>
      <c r="W595" s="57">
        <f>IFERROR(__xludf.DUMMYFUNCTION("""COMPUTED_VALUE"""),2.5)</f>
        <v>2.5</v>
      </c>
      <c r="X595" s="31">
        <f>IFERROR(__xludf.DUMMYFUNCTION("""COMPUTED_VALUE"""),339.19581211231235)</f>
        <v>339.1958121</v>
      </c>
      <c r="Y595" s="57">
        <f>IFERROR(__xludf.DUMMYFUNCTION("""COMPUTED_VALUE"""),0.7711789757941361)</f>
        <v>0.7711789758</v>
      </c>
      <c r="Z595" s="57">
        <f>IFERROR(__xludf.DUMMYFUNCTION("""COMPUTED_VALUE"""),0.5238088652440286)</f>
        <v>0.5238088652</v>
      </c>
      <c r="AA595" s="57">
        <f>IFERROR(__xludf.DUMMYFUNCTION("""COMPUTED_VALUE"""),1.337848289107808)</f>
        <v>1.337848289</v>
      </c>
      <c r="AB595" s="57">
        <f>IFERROR(__xludf.DUMMYFUNCTION("""COMPUTED_VALUE"""),2.465812038979281)</f>
        <v>2.465812039</v>
      </c>
      <c r="AC595" s="31">
        <f>IFERROR(__xludf.DUMMYFUNCTION("""COMPUTED_VALUE"""),355.28630868933806)</f>
        <v>355.2863087</v>
      </c>
      <c r="AD595" s="57">
        <f>IFERROR(__xludf.DUMMYFUNCTION("""COMPUTED_VALUE"""),0.8478017180583648)</f>
        <v>0.8478017181</v>
      </c>
      <c r="AE595" s="57">
        <f>IFERROR(__xludf.DUMMYFUNCTION("""COMPUTED_VALUE"""),0.6164339371154558)</f>
        <v>0.6164339371</v>
      </c>
      <c r="AF595" s="57">
        <f>IFERROR(__xludf.DUMMYFUNCTION("""COMPUTED_VALUE"""),1.323834480884784)</f>
        <v>1.323834481</v>
      </c>
      <c r="AG595" s="57">
        <f>IFERROR(__xludf.DUMMYFUNCTION("""COMPUTED_VALUE"""),2.6361680552389686)</f>
        <v>2.636168055</v>
      </c>
      <c r="AH595" s="57">
        <f>IFERROR(__xludf.DUMMYFUNCTION("""COMPUTED_VALUE"""),1.031210578734566)</f>
        <v>1.031210579</v>
      </c>
      <c r="AI595" s="57">
        <f>IFERROR(__xludf.DUMMYFUNCTION("""COMPUTED_VALUE"""),1.0812276587101242)</f>
        <v>1.081227659</v>
      </c>
      <c r="AJ595" s="57">
        <f>IFERROR(__xludf.DUMMYFUNCTION("""COMPUTED_VALUE"""),0.878710002893975)</f>
        <v>0.8787100029</v>
      </c>
      <c r="AK595" s="57">
        <f>IFERROR(__xludf.DUMMYFUNCTION("""COMPUTED_VALUE"""),1.0071752568661005)</f>
        <v>1.007175257</v>
      </c>
      <c r="AL595" s="57">
        <f>IFERROR(__xludf.DUMMYFUNCTION("""COMPUTED_VALUE"""),1.0589866078980317)</f>
        <v>1.058986608</v>
      </c>
      <c r="AM595" s="57">
        <f>IFERROR(__xludf.DUMMYFUNCTION("""COMPUTED_VALUE"""),1.0150233415991203)</f>
        <v>1.015023342</v>
      </c>
      <c r="AN595" s="57">
        <f>IFERROR(__xludf.DUMMYFUNCTION("""COMPUTED_VALUE"""),0.9365170017485246)</f>
        <v>0.9365170017</v>
      </c>
      <c r="AO595" s="57">
        <f>IFERROR(__xludf.DUMMYFUNCTION("""COMPUTED_VALUE"""),1.0340922092151277)</f>
        <v>1.034092209</v>
      </c>
      <c r="AP595" s="35">
        <f>IFERROR(__xludf.DUMMYFUNCTION("""COMPUTED_VALUE"""),1.0070067235505944)</f>
        <v>1.007006724</v>
      </c>
      <c r="AQ595" s="57">
        <f>IFERROR(__xludf.DUMMYFUNCTION("""COMPUTED_VALUE"""),1.013864787940151)</f>
        <v>1.013864788</v>
      </c>
      <c r="AR595" s="36" t="b">
        <f>IFERROR(__xludf.DUMMYFUNCTION("""COMPUTED_VALUE"""),TRUE)</f>
        <v>1</v>
      </c>
      <c r="AS595" s="57"/>
      <c r="AT595" s="37"/>
      <c r="AU595" s="30"/>
      <c r="AV595" s="30"/>
      <c r="AW595" s="30"/>
      <c r="AX595" s="30"/>
      <c r="AY595" s="30"/>
      <c r="AZ595" s="30"/>
    </row>
    <row r="596">
      <c r="A596" s="30" t="str">
        <f>IFERROR(__xludf.DUMMYFUNCTION("""COMPUTED_VALUE"""),"Rival")</f>
        <v>Rival</v>
      </c>
      <c r="B596" s="30" t="str">
        <f>IFERROR(__xludf.DUMMYFUNCTION("""COMPUTED_VALUE"""),"RSC000724")</f>
        <v>RSC000724</v>
      </c>
      <c r="C596" s="30" t="str">
        <f>IFERROR(__xludf.DUMMYFUNCTION("""COMPUTED_VALUE"""),"dunnie14")</f>
        <v>dunnie14</v>
      </c>
      <c r="D596" s="31" t="str">
        <f>IFERROR(__xludf.DUMMYFUNCTION("""COMPUTED_VALUE"""),"Ion Imperial")</f>
        <v>Ion Imperial</v>
      </c>
      <c r="E596" s="31">
        <f>IFERROR(__xludf.DUMMYFUNCTION("""COMPUTED_VALUE"""),61.12626909947454)</f>
        <v>61.1262691</v>
      </c>
      <c r="F596" s="31">
        <f>IFERROR(__xludf.DUMMYFUNCTION("""COMPUTED_VALUE"""),3.0474654833090833)</f>
        <v>3.047465483</v>
      </c>
      <c r="G596" s="31">
        <f>IFERROR(__xludf.DUMMYFUNCTION("""COMPUTED_VALUE"""),57.7571041201816)</f>
        <v>57.75710412</v>
      </c>
      <c r="H596" s="31">
        <f>IFERROR(__xludf.DUMMYFUNCTION("""COMPUTED_VALUE"""),2.644296370737745)</f>
        <v>2.644296371</v>
      </c>
      <c r="I596" s="54">
        <f>IFERROR(__xludf.DUMMYFUNCTION("""COMPUTED_VALUE"""),36.0)</f>
        <v>36</v>
      </c>
      <c r="J596" s="55">
        <f>IFERROR(__xludf.DUMMYFUNCTION("""COMPUTED_VALUE"""),22.0)</f>
        <v>22</v>
      </c>
      <c r="K596" s="54">
        <f>IFERROR(__xludf.DUMMYFUNCTION("""COMPUTED_VALUE"""),14.0)</f>
        <v>14</v>
      </c>
      <c r="L596" s="56">
        <f>IFERROR(__xludf.DUMMYFUNCTION("""COMPUTED_VALUE"""),0.6111111111111112)</f>
        <v>0.6111111111</v>
      </c>
      <c r="M596" s="56">
        <f>IFERROR(__xludf.DUMMYFUNCTION("""COMPUTED_VALUE"""),0.35714285714285715)</f>
        <v>0.3571428571</v>
      </c>
      <c r="N596" s="31">
        <f>IFERROR(__xludf.DUMMYFUNCTION("""COMPUTED_VALUE"""),373.5)</f>
        <v>373.5</v>
      </c>
      <c r="O596" s="57">
        <f>IFERROR(__xludf.DUMMYFUNCTION("""COMPUTED_VALUE"""),0.8333333333333334)</f>
        <v>0.8333333333</v>
      </c>
      <c r="P596" s="57">
        <f>IFERROR(__xludf.DUMMYFUNCTION("""COMPUTED_VALUE"""),0.6944444444444444)</f>
        <v>0.6944444444</v>
      </c>
      <c r="Q596" s="57">
        <f>IFERROR(__xludf.DUMMYFUNCTION("""COMPUTED_VALUE"""),1.2777777777777777)</f>
        <v>1.277777778</v>
      </c>
      <c r="R596" s="57">
        <f>IFERROR(__xludf.DUMMYFUNCTION("""COMPUTED_VALUE"""),2.3333333333333335)</f>
        <v>2.333333333</v>
      </c>
      <c r="S596" s="31">
        <f>IFERROR(__xludf.DUMMYFUNCTION("""COMPUTED_VALUE"""),347.3148148148149)</f>
        <v>347.3148148</v>
      </c>
      <c r="T596" s="57">
        <f>IFERROR(__xludf.DUMMYFUNCTION("""COMPUTED_VALUE"""),0.7314814814814814)</f>
        <v>0.7314814815</v>
      </c>
      <c r="U596" s="57">
        <f>IFERROR(__xludf.DUMMYFUNCTION("""COMPUTED_VALUE"""),0.5092592592592592)</f>
        <v>0.5092592593</v>
      </c>
      <c r="V596" s="57">
        <f>IFERROR(__xludf.DUMMYFUNCTION("""COMPUTED_VALUE"""),1.462962962962963)</f>
        <v>1.462962963</v>
      </c>
      <c r="W596" s="57">
        <f>IFERROR(__xludf.DUMMYFUNCTION("""COMPUTED_VALUE"""),2.4074074074074074)</f>
        <v>2.407407407</v>
      </c>
      <c r="X596" s="31">
        <f>IFERROR(__xludf.DUMMYFUNCTION("""COMPUTED_VALUE"""),338.0993559235688)</f>
        <v>338.0993559</v>
      </c>
      <c r="Y596" s="57">
        <f>IFERROR(__xludf.DUMMYFUNCTION("""COMPUTED_VALUE"""),0.7492235610754131)</f>
        <v>0.7492235611</v>
      </c>
      <c r="Z596" s="57">
        <f>IFERROR(__xludf.DUMMYFUNCTION("""COMPUTED_VALUE"""),0.4912939289791142)</f>
        <v>0.491293929</v>
      </c>
      <c r="AA596" s="57">
        <f>IFERROR(__xludf.DUMMYFUNCTION("""COMPUTED_VALUE"""),1.2980138448656966)</f>
        <v>1.298013845</v>
      </c>
      <c r="AB596" s="57">
        <f>IFERROR(__xludf.DUMMYFUNCTION("""COMPUTED_VALUE"""),2.542000067833401)</f>
        <v>2.542000068</v>
      </c>
      <c r="AC596" s="31">
        <f>IFERROR(__xludf.DUMMYFUNCTION("""COMPUTED_VALUE"""),351.52118220828083)</f>
        <v>351.5211822</v>
      </c>
      <c r="AD596" s="57">
        <f>IFERROR(__xludf.DUMMYFUNCTION("""COMPUTED_VALUE"""),0.7997662237168407)</f>
        <v>0.7997662237</v>
      </c>
      <c r="AE596" s="57">
        <f>IFERROR(__xludf.DUMMYFUNCTION("""COMPUTED_VALUE"""),0.566437794601375)</f>
        <v>0.5664377946</v>
      </c>
      <c r="AF596" s="57">
        <f>IFERROR(__xludf.DUMMYFUNCTION("""COMPUTED_VALUE"""),1.3011367633281214)</f>
        <v>1.301136763</v>
      </c>
      <c r="AG596" s="57">
        <f>IFERROR(__xludf.DUMMYFUNCTION("""COMPUTED_VALUE"""),2.5425866229106973)</f>
        <v>2.542586623</v>
      </c>
      <c r="AH596" s="57">
        <f>IFERROR(__xludf.DUMMYFUNCTION("""COMPUTED_VALUE"""),1.062524874471708)</f>
        <v>1.062524874</v>
      </c>
      <c r="AI596" s="57">
        <f>IFERROR(__xludf.DUMMYFUNCTION("""COMPUTED_VALUE"""),1.0419711518454637)</f>
        <v>1.041971152</v>
      </c>
      <c r="AJ596" s="57">
        <f>IFERROR(__xludf.DUMMYFUNCTION("""COMPUTED_VALUE"""),1.2259853616108947)</f>
        <v>1.225985362</v>
      </c>
      <c r="AK596" s="57">
        <f>IFERROR(__xludf.DUMMYFUNCTION("""COMPUTED_VALUE"""),0.9820472480613069)</f>
        <v>0.9820472481</v>
      </c>
      <c r="AL596" s="57">
        <f>IFERROR(__xludf.DUMMYFUNCTION("""COMPUTED_VALUE"""),0.9177006251461296)</f>
        <v>0.9177006251</v>
      </c>
      <c r="AM596" s="57">
        <f>IFERROR(__xludf.DUMMYFUNCTION("""COMPUTED_VALUE"""),1.0272566591145158)</f>
        <v>1.027256659</v>
      </c>
      <c r="AN596" s="57">
        <f>IFERROR(__xludf.DUMMYFUNCTION("""COMPUTED_VALUE"""),0.9763193784663349)</f>
        <v>0.9763193785</v>
      </c>
      <c r="AO596" s="57">
        <f>IFERROR(__xludf.DUMMYFUNCTION("""COMPUTED_VALUE"""),1.0365673769213393)</f>
        <v>1.036567377</v>
      </c>
      <c r="AP596" s="35">
        <f>IFERROR(__xludf.DUMMYFUNCTION("""COMPUTED_VALUE"""),1.1270780883807394)</f>
        <v>1.127078088</v>
      </c>
      <c r="AQ596" s="57">
        <f>IFERROR(__xludf.DUMMYFUNCTION("""COMPUTED_VALUE"""),0.9470524560053574)</f>
        <v>0.947052456</v>
      </c>
      <c r="AR596" s="36" t="b">
        <f>IFERROR(__xludf.DUMMYFUNCTION("""COMPUTED_VALUE"""),TRUE)</f>
        <v>1</v>
      </c>
      <c r="AS596" s="57"/>
      <c r="AT596" s="37"/>
      <c r="AU596" s="30"/>
      <c r="AV596" s="30"/>
      <c r="AW596" s="30"/>
      <c r="AX596" s="30"/>
      <c r="AY596" s="30"/>
      <c r="AZ596" s="30"/>
    </row>
    <row r="597">
      <c r="A597" s="30" t="str">
        <f>IFERROR(__xludf.DUMMYFUNCTION("""COMPUTED_VALUE"""),"Rival")</f>
        <v>Rival</v>
      </c>
      <c r="B597" s="30" t="str">
        <f>IFERROR(__xludf.DUMMYFUNCTION("""COMPUTED_VALUE"""),"RSC006528")</f>
        <v>RSC006528</v>
      </c>
      <c r="C597" s="30" t="str">
        <f>IFERROR(__xludf.DUMMYFUNCTION("""COMPUTED_VALUE"""),"mxWEBBY")</f>
        <v>mxWEBBY</v>
      </c>
      <c r="D597" s="31" t="str">
        <f>IFERROR(__xludf.DUMMYFUNCTION("""COMPUTED_VALUE"""),"Lacuna")</f>
        <v>Lacuna</v>
      </c>
      <c r="E597" s="31">
        <f>IFERROR(__xludf.DUMMYFUNCTION("""COMPUTED_VALUE"""),60.707344688012554)</f>
        <v>60.70734469</v>
      </c>
      <c r="F597" s="31">
        <f>IFERROR(__xludf.DUMMYFUNCTION("""COMPUTED_VALUE"""),2.992053518620273)</f>
        <v>2.992053519</v>
      </c>
      <c r="G597" s="31">
        <f>IFERROR(__xludf.DUMMYFUNCTION("""COMPUTED_VALUE"""),64.93315261870481)</f>
        <v>64.93315262</v>
      </c>
      <c r="H597" s="31">
        <f>IFERROR(__xludf.DUMMYFUNCTION("""COMPUTED_VALUE"""),3.6344494116226236)</f>
        <v>3.634449412</v>
      </c>
      <c r="I597" s="54">
        <f>IFERROR(__xludf.DUMMYFUNCTION("""COMPUTED_VALUE"""),36.0)</f>
        <v>36</v>
      </c>
      <c r="J597" s="55">
        <f>IFERROR(__xludf.DUMMYFUNCTION("""COMPUTED_VALUE"""),15.0)</f>
        <v>15</v>
      </c>
      <c r="K597" s="54">
        <f>IFERROR(__xludf.DUMMYFUNCTION("""COMPUTED_VALUE"""),21.0)</f>
        <v>21</v>
      </c>
      <c r="L597" s="56">
        <f>IFERROR(__xludf.DUMMYFUNCTION("""COMPUTED_VALUE"""),0.4166666666666667)</f>
        <v>0.4166666667</v>
      </c>
      <c r="M597" s="56">
        <f>IFERROR(__xludf.DUMMYFUNCTION("""COMPUTED_VALUE"""),0.24489795918367344)</f>
        <v>0.2448979592</v>
      </c>
      <c r="N597" s="31">
        <f>IFERROR(__xludf.DUMMYFUNCTION("""COMPUTED_VALUE"""),384.69444444444446)</f>
        <v>384.6944444</v>
      </c>
      <c r="O597" s="57">
        <f>IFERROR(__xludf.DUMMYFUNCTION("""COMPUTED_VALUE"""),0.6666666666666666)</f>
        <v>0.6666666667</v>
      </c>
      <c r="P597" s="57">
        <f>IFERROR(__xludf.DUMMYFUNCTION("""COMPUTED_VALUE"""),0.6666666666666666)</f>
        <v>0.6666666667</v>
      </c>
      <c r="Q597" s="57">
        <f>IFERROR(__xludf.DUMMYFUNCTION("""COMPUTED_VALUE"""),1.6388888888888888)</f>
        <v>1.638888889</v>
      </c>
      <c r="R597" s="57">
        <f>IFERROR(__xludf.DUMMYFUNCTION("""COMPUTED_VALUE"""),2.7222222222222223)</f>
        <v>2.722222222</v>
      </c>
      <c r="S597" s="31">
        <f>IFERROR(__xludf.DUMMYFUNCTION("""COMPUTED_VALUE"""),326.08333333333326)</f>
        <v>326.0833333</v>
      </c>
      <c r="T597" s="57">
        <f>IFERROR(__xludf.DUMMYFUNCTION("""COMPUTED_VALUE"""),0.6944444444444444)</f>
        <v>0.6944444444</v>
      </c>
      <c r="U597" s="57">
        <f>IFERROR(__xludf.DUMMYFUNCTION("""COMPUTED_VALUE"""),0.5277777777777777)</f>
        <v>0.5277777778</v>
      </c>
      <c r="V597" s="57">
        <f>IFERROR(__xludf.DUMMYFUNCTION("""COMPUTED_VALUE"""),1.2685185185185186)</f>
        <v>1.268518519</v>
      </c>
      <c r="W597" s="57">
        <f>IFERROR(__xludf.DUMMYFUNCTION("""COMPUTED_VALUE"""),2.509259259259259)</f>
        <v>2.509259259</v>
      </c>
      <c r="X597" s="31">
        <f>IFERROR(__xludf.DUMMYFUNCTION("""COMPUTED_VALUE"""),352.5741960911846)</f>
        <v>352.5741961</v>
      </c>
      <c r="Y597" s="57">
        <f>IFERROR(__xludf.DUMMYFUNCTION("""COMPUTED_VALUE"""),0.8159581752976643)</f>
        <v>0.8159581753</v>
      </c>
      <c r="Z597" s="57">
        <f>IFERROR(__xludf.DUMMYFUNCTION("""COMPUTED_VALUE"""),0.583825214180838)</f>
        <v>0.5838252142</v>
      </c>
      <c r="AA597" s="57">
        <f>IFERROR(__xludf.DUMMYFUNCTION("""COMPUTED_VALUE"""),1.3353348452601796)</f>
        <v>1.335334845</v>
      </c>
      <c r="AB597" s="57">
        <f>IFERROR(__xludf.DUMMYFUNCTION("""COMPUTED_VALUE"""),2.607579918080919)</f>
        <v>2.607579918</v>
      </c>
      <c r="AC597" s="31">
        <f>IFERROR(__xludf.DUMMYFUNCTION("""COMPUTED_VALUE"""),351.5849885693782)</f>
        <v>351.5849886</v>
      </c>
      <c r="AD597" s="57">
        <f>IFERROR(__xludf.DUMMYFUNCTION("""COMPUTED_VALUE"""),0.8008898456113013)</f>
        <v>0.8008898456</v>
      </c>
      <c r="AE597" s="57">
        <f>IFERROR(__xludf.DUMMYFUNCTION("""COMPUTED_VALUE"""),0.5848800152955733)</f>
        <v>0.5848800153</v>
      </c>
      <c r="AF597" s="57">
        <f>IFERROR(__xludf.DUMMYFUNCTION("""COMPUTED_VALUE"""),1.3209319620952398)</f>
        <v>1.320931962</v>
      </c>
      <c r="AG597" s="57">
        <f>IFERROR(__xludf.DUMMYFUNCTION("""COMPUTED_VALUE"""),2.631319978990019)</f>
        <v>2.631319979</v>
      </c>
      <c r="AH597" s="57">
        <f>IFERROR(__xludf.DUMMYFUNCTION("""COMPUTED_VALUE"""),1.0941719838773287)</f>
        <v>1.094171984</v>
      </c>
      <c r="AI597" s="57">
        <f>IFERROR(__xludf.DUMMYFUNCTION("""COMPUTED_VALUE"""),0.8324074406984332)</f>
        <v>0.8324074407</v>
      </c>
      <c r="AJ597" s="57">
        <f>IFERROR(__xludf.DUMMYFUNCTION("""COMPUTED_VALUE"""),1.1398349220904083)</f>
        <v>1.139834922</v>
      </c>
      <c r="AK597" s="57">
        <f>IFERROR(__xludf.DUMMYFUNCTION("""COMPUTED_VALUE"""),1.2407065132176158)</f>
        <v>1.240706513</v>
      </c>
      <c r="AL597" s="57">
        <f>IFERROR(__xludf.DUMMYFUNCTION("""COMPUTED_VALUE"""),1.0345462520552497)</f>
        <v>1.034546252</v>
      </c>
      <c r="AM597" s="57">
        <f>IFERROR(__xludf.DUMMYFUNCTION("""COMPUTED_VALUE"""),0.9248644312274057)</f>
        <v>0.9248644312</v>
      </c>
      <c r="AN597" s="57">
        <f>IFERROR(__xludf.DUMMYFUNCTION("""COMPUTED_VALUE"""),0.8510784810644353)</f>
        <v>0.8510784811</v>
      </c>
      <c r="AO597" s="57">
        <f>IFERROR(__xludf.DUMMYFUNCTION("""COMPUTED_VALUE"""),0.9039996302973996)</f>
        <v>0.9039996303</v>
      </c>
      <c r="AP597" s="35">
        <f>IFERROR(__xludf.DUMMYFUNCTION("""COMPUTED_VALUE"""),0.9499628673820443)</f>
        <v>0.9499628674</v>
      </c>
      <c r="AQ597" s="57">
        <f>IFERROR(__xludf.DUMMYFUNCTION("""COMPUTED_VALUE"""),0.9622942874579198)</f>
        <v>0.9622942875</v>
      </c>
      <c r="AR597" s="36" t="b">
        <f>IFERROR(__xludf.DUMMYFUNCTION("""COMPUTED_VALUE"""),TRUE)</f>
        <v>1</v>
      </c>
      <c r="AS597" s="57"/>
      <c r="AT597" s="37"/>
      <c r="AU597" s="30"/>
      <c r="AV597" s="30"/>
      <c r="AW597" s="30"/>
      <c r="AX597" s="30"/>
      <c r="AY597" s="30"/>
      <c r="AZ597" s="30"/>
    </row>
    <row r="598">
      <c r="A598" s="30" t="str">
        <f>IFERROR(__xludf.DUMMYFUNCTION("""COMPUTED_VALUE"""),"Rival")</f>
        <v>Rival</v>
      </c>
      <c r="B598" s="30" t="str">
        <f>IFERROR(__xludf.DUMMYFUNCTION("""COMPUTED_VALUE"""),"RSC007527")</f>
        <v>RSC007527</v>
      </c>
      <c r="C598" s="30" t="str">
        <f>IFERROR(__xludf.DUMMYFUNCTION("""COMPUTED_VALUE"""),"Yort")</f>
        <v>Yort</v>
      </c>
      <c r="D598" s="31" t="str">
        <f>IFERROR(__xludf.DUMMYFUNCTION("""COMPUTED_VALUE"""),"Dracos")</f>
        <v>Dracos</v>
      </c>
      <c r="E598" s="31">
        <f>IFERROR(__xludf.DUMMYFUNCTION("""COMPUTED_VALUE"""),60.70081340172344)</f>
        <v>60.7008134</v>
      </c>
      <c r="F598" s="31">
        <f>IFERROR(__xludf.DUMMYFUNCTION("""COMPUTED_VALUE"""),2.9912024281946046)</f>
        <v>2.991202428</v>
      </c>
      <c r="G598" s="31">
        <f>IFERROR(__xludf.DUMMYFUNCTION("""COMPUTED_VALUE"""),52.118931100596605)</f>
        <v>52.1189311</v>
      </c>
      <c r="H598" s="31">
        <f>IFERROR(__xludf.DUMMYFUNCTION("""COMPUTED_VALUE"""),2.144877037531052)</f>
        <v>2.144877038</v>
      </c>
      <c r="I598" s="54">
        <f>IFERROR(__xludf.DUMMYFUNCTION("""COMPUTED_VALUE"""),26.0)</f>
        <v>26</v>
      </c>
      <c r="J598" s="55">
        <f>IFERROR(__xludf.DUMMYFUNCTION("""COMPUTED_VALUE"""),15.0)</f>
        <v>15</v>
      </c>
      <c r="K598" s="54">
        <f>IFERROR(__xludf.DUMMYFUNCTION("""COMPUTED_VALUE"""),11.0)</f>
        <v>11</v>
      </c>
      <c r="L598" s="56">
        <f>IFERROR(__xludf.DUMMYFUNCTION("""COMPUTED_VALUE"""),0.5769230769230769)</f>
        <v>0.5769230769</v>
      </c>
      <c r="M598" s="56">
        <f>IFERROR(__xludf.DUMMYFUNCTION("""COMPUTED_VALUE"""),0.3731343283582089)</f>
        <v>0.3731343284</v>
      </c>
      <c r="N598" s="31">
        <f>IFERROR(__xludf.DUMMYFUNCTION("""COMPUTED_VALUE"""),357.3076923076923)</f>
        <v>357.3076923</v>
      </c>
      <c r="O598" s="57">
        <f>IFERROR(__xludf.DUMMYFUNCTION("""COMPUTED_VALUE"""),0.9615384615384616)</f>
        <v>0.9615384615</v>
      </c>
      <c r="P598" s="57">
        <f>IFERROR(__xludf.DUMMYFUNCTION("""COMPUTED_VALUE"""),0.38461538461538464)</f>
        <v>0.3846153846</v>
      </c>
      <c r="Q598" s="57">
        <f>IFERROR(__xludf.DUMMYFUNCTION("""COMPUTED_VALUE"""),1.3076923076923077)</f>
        <v>1.307692308</v>
      </c>
      <c r="R598" s="57">
        <f>IFERROR(__xludf.DUMMYFUNCTION("""COMPUTED_VALUE"""),2.576923076923077)</f>
        <v>2.576923077</v>
      </c>
      <c r="S598" s="31">
        <f>IFERROR(__xludf.DUMMYFUNCTION("""COMPUTED_VALUE"""),336.0384615384615)</f>
        <v>336.0384615</v>
      </c>
      <c r="T598" s="57">
        <f>IFERROR(__xludf.DUMMYFUNCTION("""COMPUTED_VALUE"""),0.7051282051282052)</f>
        <v>0.7051282051</v>
      </c>
      <c r="U598" s="57">
        <f>IFERROR(__xludf.DUMMYFUNCTION("""COMPUTED_VALUE"""),0.435897435897436)</f>
        <v>0.4358974359</v>
      </c>
      <c r="V598" s="57">
        <f>IFERROR(__xludf.DUMMYFUNCTION("""COMPUTED_VALUE"""),1.358974358974359)</f>
        <v>1.358974359</v>
      </c>
      <c r="W598" s="57">
        <f>IFERROR(__xludf.DUMMYFUNCTION("""COMPUTED_VALUE"""),2.4615384615384612)</f>
        <v>2.461538462</v>
      </c>
      <c r="X598" s="31">
        <f>IFERROR(__xludf.DUMMYFUNCTION("""COMPUTED_VALUE"""),341.62279599318055)</f>
        <v>341.622796</v>
      </c>
      <c r="Y598" s="57">
        <f>IFERROR(__xludf.DUMMYFUNCTION("""COMPUTED_VALUE"""),0.7197491255183561)</f>
        <v>0.7197491255</v>
      </c>
      <c r="Z598" s="57">
        <f>IFERROR(__xludf.DUMMYFUNCTION("""COMPUTED_VALUE"""),0.5405577186346415)</f>
        <v>0.5405577186</v>
      </c>
      <c r="AA598" s="57">
        <f>IFERROR(__xludf.DUMMYFUNCTION("""COMPUTED_VALUE"""),1.26564803430188)</f>
        <v>1.265648034</v>
      </c>
      <c r="AB598" s="57">
        <f>IFERROR(__xludf.DUMMYFUNCTION("""COMPUTED_VALUE"""),2.553719136988368)</f>
        <v>2.553719137</v>
      </c>
      <c r="AC598" s="31">
        <f>IFERROR(__xludf.DUMMYFUNCTION("""COMPUTED_VALUE"""),342.4402566000002)</f>
        <v>342.4402566</v>
      </c>
      <c r="AD598" s="57">
        <f>IFERROR(__xludf.DUMMYFUNCTION("""COMPUTED_VALUE"""),0.7595854715085483)</f>
        <v>0.7595854715</v>
      </c>
      <c r="AE598" s="57">
        <f>IFERROR(__xludf.DUMMYFUNCTION("""COMPUTED_VALUE"""),0.5502309300386223)</f>
        <v>0.55023093</v>
      </c>
      <c r="AF598" s="57">
        <f>IFERROR(__xludf.DUMMYFUNCTION("""COMPUTED_VALUE"""),1.290147969314636)</f>
        <v>1.290147969</v>
      </c>
      <c r="AG598" s="57">
        <f>IFERROR(__xludf.DUMMYFUNCTION("""COMPUTED_VALUE"""),2.4709032776340476)</f>
        <v>2.470903278</v>
      </c>
      <c r="AH598" s="57">
        <f>IFERROR(__xludf.DUMMYFUNCTION("""COMPUTED_VALUE"""),1.0434161446300356)</f>
        <v>1.043416145</v>
      </c>
      <c r="AI598" s="57">
        <f>IFERROR(__xludf.DUMMYFUNCTION("""COMPUTED_VALUE"""),1.2658726339628792)</f>
        <v>1.265872634</v>
      </c>
      <c r="AJ598" s="57">
        <f>IFERROR(__xludf.DUMMYFUNCTION("""COMPUTED_VALUE"""),0.6990072051899869)</f>
        <v>0.6990072052</v>
      </c>
      <c r="AK598" s="57">
        <f>IFERROR(__xludf.DUMMYFUNCTION("""COMPUTED_VALUE"""),1.0135987024705326)</f>
        <v>1.013598702</v>
      </c>
      <c r="AL598" s="57">
        <f>IFERROR(__xludf.DUMMYFUNCTION("""COMPUTED_VALUE"""),1.0429073044860526)</f>
        <v>1.042907304</v>
      </c>
      <c r="AM598" s="57">
        <f>IFERROR(__xludf.DUMMYFUNCTION("""COMPUTED_VALUE"""),0.9836535075521409)</f>
        <v>0.9836535076</v>
      </c>
      <c r="AN598" s="57">
        <f>IFERROR(__xludf.DUMMYFUNCTION("""COMPUTED_VALUE"""),0.9796860880107063)</f>
        <v>0.979686088</v>
      </c>
      <c r="AO598" s="57">
        <f>IFERROR(__xludf.DUMMYFUNCTION("""COMPUTED_VALUE"""),0.8063846299308057)</f>
        <v>0.8063846299</v>
      </c>
      <c r="AP598" s="35">
        <f>IFERROR(__xludf.DUMMYFUNCTION("""COMPUTED_VALUE"""),1.0737379762328292)</f>
        <v>1.073737976</v>
      </c>
      <c r="AQ598" s="57">
        <f>IFERROR(__xludf.DUMMYFUNCTION("""COMPUTED_VALUE"""),0.9639033619184072)</f>
        <v>0.9639033619</v>
      </c>
      <c r="AR598" s="36" t="b">
        <f>IFERROR(__xludf.DUMMYFUNCTION("""COMPUTED_VALUE"""),TRUE)</f>
        <v>1</v>
      </c>
      <c r="AS598" s="57"/>
      <c r="AT598" s="37"/>
      <c r="AU598" s="30"/>
      <c r="AV598" s="30"/>
      <c r="AW598" s="30"/>
      <c r="AX598" s="30"/>
      <c r="AY598" s="30"/>
      <c r="AZ598" s="30"/>
    </row>
    <row r="599">
      <c r="A599" s="30" t="str">
        <f>IFERROR(__xludf.DUMMYFUNCTION("""COMPUTED_VALUE"""),"Rival")</f>
        <v>Rival</v>
      </c>
      <c r="B599" s="30" t="str">
        <f>IFERROR(__xludf.DUMMYFUNCTION("""COMPUTED_VALUE"""),"RSC005885")</f>
        <v>RSC005885</v>
      </c>
      <c r="C599" s="30" t="str">
        <f>IFERROR(__xludf.DUMMYFUNCTION("""COMPUTED_VALUE"""),"noot")</f>
        <v>noot</v>
      </c>
      <c r="D599" s="31" t="str">
        <f>IFERROR(__xludf.DUMMYFUNCTION("""COMPUTED_VALUE"""),"Quasars")</f>
        <v>Quasars</v>
      </c>
      <c r="E599" s="31">
        <f>IFERROR(__xludf.DUMMYFUNCTION("""COMPUTED_VALUE"""),60.679324444448376)</f>
        <v>60.67932444</v>
      </c>
      <c r="F599" s="31">
        <f>IFERROR(__xludf.DUMMYFUNCTION("""COMPUTED_VALUE"""),2.9884049510637487)</f>
        <v>2.988404951</v>
      </c>
      <c r="G599" s="31">
        <f>IFERROR(__xludf.DUMMYFUNCTION("""COMPUTED_VALUE"""),48.06904551387463)</f>
        <v>48.06904551</v>
      </c>
      <c r="H599" s="31">
        <f>IFERROR(__xludf.DUMMYFUNCTION("""COMPUTED_VALUE"""),-2.1312099218326535)</f>
        <v>-2.131209922</v>
      </c>
      <c r="I599" s="54">
        <f>IFERROR(__xludf.DUMMYFUNCTION("""COMPUTED_VALUE"""),36.0)</f>
        <v>36</v>
      </c>
      <c r="J599" s="55">
        <f>IFERROR(__xludf.DUMMYFUNCTION("""COMPUTED_VALUE"""),20.0)</f>
        <v>20</v>
      </c>
      <c r="K599" s="54">
        <f>IFERROR(__xludf.DUMMYFUNCTION("""COMPUTED_VALUE"""),16.0)</f>
        <v>16</v>
      </c>
      <c r="L599" s="56">
        <f>IFERROR(__xludf.DUMMYFUNCTION("""COMPUTED_VALUE"""),0.5555555555555556)</f>
        <v>0.5555555556</v>
      </c>
      <c r="M599" s="56">
        <f>IFERROR(__xludf.DUMMYFUNCTION("""COMPUTED_VALUE"""),0.27884615384615385)</f>
        <v>0.2788461538</v>
      </c>
      <c r="N599" s="31">
        <f>IFERROR(__xludf.DUMMYFUNCTION("""COMPUTED_VALUE"""),353.6388888888889)</f>
        <v>353.6388889</v>
      </c>
      <c r="O599" s="57">
        <f>IFERROR(__xludf.DUMMYFUNCTION("""COMPUTED_VALUE"""),0.8055555555555556)</f>
        <v>0.8055555556</v>
      </c>
      <c r="P599" s="57">
        <f>IFERROR(__xludf.DUMMYFUNCTION("""COMPUTED_VALUE"""),0.5555555555555556)</f>
        <v>0.5555555556</v>
      </c>
      <c r="Q599" s="57">
        <f>IFERROR(__xludf.DUMMYFUNCTION("""COMPUTED_VALUE"""),1.4166666666666667)</f>
        <v>1.416666667</v>
      </c>
      <c r="R599" s="57">
        <f>IFERROR(__xludf.DUMMYFUNCTION("""COMPUTED_VALUE"""),2.888888888888889)</f>
        <v>2.888888889</v>
      </c>
      <c r="S599" s="31">
        <f>IFERROR(__xludf.DUMMYFUNCTION("""COMPUTED_VALUE"""),348.8333333333334)</f>
        <v>348.8333333</v>
      </c>
      <c r="T599" s="57">
        <f>IFERROR(__xludf.DUMMYFUNCTION("""COMPUTED_VALUE"""),0.7685185185185183)</f>
        <v>0.7685185185</v>
      </c>
      <c r="U599" s="57">
        <f>IFERROR(__xludf.DUMMYFUNCTION("""COMPUTED_VALUE"""),0.5925925925925926)</f>
        <v>0.5925925926</v>
      </c>
      <c r="V599" s="57">
        <f>IFERROR(__xludf.DUMMYFUNCTION("""COMPUTED_VALUE"""),1.361111111111111)</f>
        <v>1.361111111</v>
      </c>
      <c r="W599" s="57">
        <f>IFERROR(__xludf.DUMMYFUNCTION("""COMPUTED_VALUE"""),2.768518518518519)</f>
        <v>2.768518519</v>
      </c>
      <c r="X599" s="31">
        <f>IFERROR(__xludf.DUMMYFUNCTION("""COMPUTED_VALUE"""),352.15716016023555)</f>
        <v>352.1571602</v>
      </c>
      <c r="Y599" s="57">
        <f>IFERROR(__xludf.DUMMYFUNCTION("""COMPUTED_VALUE"""),0.8290671114004095)</f>
        <v>0.8290671114</v>
      </c>
      <c r="Z599" s="57">
        <f>IFERROR(__xludf.DUMMYFUNCTION("""COMPUTED_VALUE"""),0.6153465306598375)</f>
        <v>0.6153465307</v>
      </c>
      <c r="AA599" s="57">
        <f>IFERROR(__xludf.DUMMYFUNCTION("""COMPUTED_VALUE"""),1.2678954625119778)</f>
        <v>1.267895463</v>
      </c>
      <c r="AB599" s="57">
        <f>IFERROR(__xludf.DUMMYFUNCTION("""COMPUTED_VALUE"""),2.547577625898723)</f>
        <v>2.547577626</v>
      </c>
      <c r="AC599" s="31">
        <f>IFERROR(__xludf.DUMMYFUNCTION("""COMPUTED_VALUE"""),345.5883034380237)</f>
        <v>345.5883034</v>
      </c>
      <c r="AD599" s="57">
        <f>IFERROR(__xludf.DUMMYFUNCTION("""COMPUTED_VALUE"""),0.7747925709896207)</f>
        <v>0.774792571</v>
      </c>
      <c r="AE599" s="57">
        <f>IFERROR(__xludf.DUMMYFUNCTION("""COMPUTED_VALUE"""),0.5412256763680356)</f>
        <v>0.5412256764</v>
      </c>
      <c r="AF599" s="57">
        <f>IFERROR(__xludf.DUMMYFUNCTION("""COMPUTED_VALUE"""),1.3015138590171453)</f>
        <v>1.301513859</v>
      </c>
      <c r="AG599" s="57">
        <f>IFERROR(__xludf.DUMMYFUNCTION("""COMPUTED_VALUE"""),2.5191854749505507)</f>
        <v>2.519185475</v>
      </c>
      <c r="AH599" s="57">
        <f>IFERROR(__xludf.DUMMYFUNCTION("""COMPUTED_VALUE"""),1.0232953064984418)</f>
        <v>1.023295306</v>
      </c>
      <c r="AI599" s="57">
        <f>IFERROR(__xludf.DUMMYFUNCTION("""COMPUTED_VALUE"""),1.0397048006366945)</f>
        <v>1.039704801</v>
      </c>
      <c r="AJ599" s="57">
        <f>IFERROR(__xludf.DUMMYFUNCTION("""COMPUTED_VALUE"""),1.0264767172239175)</f>
        <v>1.026476717</v>
      </c>
      <c r="AK599" s="57">
        <f>IFERROR(__xludf.DUMMYFUNCTION("""COMPUTED_VALUE"""),1.0884760518312733)</f>
        <v>1.088476052</v>
      </c>
      <c r="AL599" s="57">
        <f>IFERROR(__xludf.DUMMYFUNCTION("""COMPUTED_VALUE"""),1.146755138759918)</f>
        <v>1.146755139</v>
      </c>
      <c r="AM599" s="57">
        <f>IFERROR(__xludf.DUMMYFUNCTION("""COMPUTED_VALUE"""),0.9905615242200677)</f>
        <v>0.9905615242</v>
      </c>
      <c r="AN599" s="57">
        <f>IFERROR(__xludf.DUMMYFUNCTION("""COMPUTED_VALUE"""),0.9269678026672459)</f>
        <v>0.9269678027</v>
      </c>
      <c r="AO599" s="57">
        <f>IFERROR(__xludf.DUMMYFUNCTION("""COMPUTED_VALUE"""),0.9630225621929714)</f>
        <v>0.9630225622</v>
      </c>
      <c r="AP599" s="35">
        <f>IFERROR(__xludf.DUMMYFUNCTION("""COMPUTED_VALUE"""),1.073519979647575)</f>
        <v>1.07351998</v>
      </c>
      <c r="AQ599" s="57">
        <f>IFERROR(__xludf.DUMMYFUNCTION("""COMPUTED_VALUE"""),1.0867258725990159)</f>
        <v>1.086725873</v>
      </c>
      <c r="AR599" s="36" t="b">
        <f>IFERROR(__xludf.DUMMYFUNCTION("""COMPUTED_VALUE"""),TRUE)</f>
        <v>1</v>
      </c>
      <c r="AS599" s="57"/>
      <c r="AT599" s="37"/>
      <c r="AU599" s="30"/>
      <c r="AV599" s="30"/>
      <c r="AW599" s="30"/>
      <c r="AX599" s="30"/>
      <c r="AY599" s="30"/>
      <c r="AZ599" s="30"/>
    </row>
    <row r="600">
      <c r="A600" s="30" t="str">
        <f>IFERROR(__xludf.DUMMYFUNCTION("""COMPUTED_VALUE"""),"Rival")</f>
        <v>Rival</v>
      </c>
      <c r="B600" s="30" t="str">
        <f>IFERROR(__xludf.DUMMYFUNCTION("""COMPUTED_VALUE"""),"RSC006138")</f>
        <v>RSC006138</v>
      </c>
      <c r="C600" s="30" t="str">
        <f>IFERROR(__xludf.DUMMYFUNCTION("""COMPUTED_VALUE"""),"NekomancerKoral")</f>
        <v>NekomancerKoral</v>
      </c>
      <c r="D600" s="31" t="str">
        <f>IFERROR(__xludf.DUMMYFUNCTION("""COMPUTED_VALUE"""),"Jetstream")</f>
        <v>Jetstream</v>
      </c>
      <c r="E600" s="31">
        <f>IFERROR(__xludf.DUMMYFUNCTION("""COMPUTED_VALUE"""),60.22828689454869)</f>
        <v>60.22828689</v>
      </c>
      <c r="F600" s="31">
        <f>IFERROR(__xludf.DUMMYFUNCTION("""COMPUTED_VALUE"""),2.9306469215593403)</f>
        <v>2.930646922</v>
      </c>
      <c r="G600" s="31">
        <f>IFERROR(__xludf.DUMMYFUNCTION("""COMPUTED_VALUE"""),40.898182162510295)</f>
        <v>40.89818216</v>
      </c>
      <c r="H600" s="31">
        <f>IFERROR(__xludf.DUMMYFUNCTION("""COMPUTED_VALUE"""),-2.794062067911062)</f>
        <v>-2.794062068</v>
      </c>
      <c r="I600" s="54">
        <f>IFERROR(__xludf.DUMMYFUNCTION("""COMPUTED_VALUE"""),21.0)</f>
        <v>21</v>
      </c>
      <c r="J600" s="55">
        <f>IFERROR(__xludf.DUMMYFUNCTION("""COMPUTED_VALUE"""),7.0)</f>
        <v>7</v>
      </c>
      <c r="K600" s="54">
        <f>IFERROR(__xludf.DUMMYFUNCTION("""COMPUTED_VALUE"""),14.0)</f>
        <v>14</v>
      </c>
      <c r="L600" s="56">
        <f>IFERROR(__xludf.DUMMYFUNCTION("""COMPUTED_VALUE"""),0.3333333333333333)</f>
        <v>0.3333333333</v>
      </c>
      <c r="M600" s="56">
        <f>IFERROR(__xludf.DUMMYFUNCTION("""COMPUTED_VALUE"""),0.41379310344827586)</f>
        <v>0.4137931034</v>
      </c>
      <c r="N600" s="31">
        <f>IFERROR(__xludf.DUMMYFUNCTION("""COMPUTED_VALUE"""),358.6666666666667)</f>
        <v>358.6666667</v>
      </c>
      <c r="O600" s="57">
        <f>IFERROR(__xludf.DUMMYFUNCTION("""COMPUTED_VALUE"""),1.1428571428571428)</f>
        <v>1.142857143</v>
      </c>
      <c r="P600" s="57">
        <f>IFERROR(__xludf.DUMMYFUNCTION("""COMPUTED_VALUE"""),0.38095238095238093)</f>
        <v>0.380952381</v>
      </c>
      <c r="Q600" s="57">
        <f>IFERROR(__xludf.DUMMYFUNCTION("""COMPUTED_VALUE"""),1.4761904761904763)</f>
        <v>1.476190476</v>
      </c>
      <c r="R600" s="57">
        <f>IFERROR(__xludf.DUMMYFUNCTION("""COMPUTED_VALUE"""),2.761904761904762)</f>
        <v>2.761904762</v>
      </c>
      <c r="S600" s="31">
        <f>IFERROR(__xludf.DUMMYFUNCTION("""COMPUTED_VALUE"""),375.80952380952374)</f>
        <v>375.8095238</v>
      </c>
      <c r="T600" s="57">
        <f>IFERROR(__xludf.DUMMYFUNCTION("""COMPUTED_VALUE"""),0.9365079365079365)</f>
        <v>0.9365079365</v>
      </c>
      <c r="U600" s="57">
        <f>IFERROR(__xludf.DUMMYFUNCTION("""COMPUTED_VALUE"""),0.6984126984126985)</f>
        <v>0.6984126984</v>
      </c>
      <c r="V600" s="57">
        <f>IFERROR(__xludf.DUMMYFUNCTION("""COMPUTED_VALUE"""),1.2539682539682542)</f>
        <v>1.253968254</v>
      </c>
      <c r="W600" s="57">
        <f>IFERROR(__xludf.DUMMYFUNCTION("""COMPUTED_VALUE"""),3.1269841269841274)</f>
        <v>3.126984127</v>
      </c>
      <c r="X600" s="31">
        <f>IFERROR(__xludf.DUMMYFUNCTION("""COMPUTED_VALUE"""),355.85237919189535)</f>
        <v>355.8523792</v>
      </c>
      <c r="Y600" s="57">
        <f>IFERROR(__xludf.DUMMYFUNCTION("""COMPUTED_VALUE"""),0.8223184834167935)</f>
        <v>0.8223184834</v>
      </c>
      <c r="Z600" s="57">
        <f>IFERROR(__xludf.DUMMYFUNCTION("""COMPUTED_VALUE"""),0.5675395066332086)</f>
        <v>0.5675395066</v>
      </c>
      <c r="AA600" s="57">
        <f>IFERROR(__xludf.DUMMYFUNCTION("""COMPUTED_VALUE"""),1.2867040367040363)</f>
        <v>1.286704037</v>
      </c>
      <c r="AB600" s="57">
        <f>IFERROR(__xludf.DUMMYFUNCTION("""COMPUTED_VALUE"""),2.7841921945608576)</f>
        <v>2.784192195</v>
      </c>
      <c r="AC600" s="31">
        <f>IFERROR(__xludf.DUMMYFUNCTION("""COMPUTED_VALUE"""),351.57657501228925)</f>
        <v>351.576575</v>
      </c>
      <c r="AD600" s="57">
        <f>IFERROR(__xludf.DUMMYFUNCTION("""COMPUTED_VALUE"""),0.7947810386878489)</f>
        <v>0.7947810387</v>
      </c>
      <c r="AE600" s="57">
        <f>IFERROR(__xludf.DUMMYFUNCTION("""COMPUTED_VALUE"""),0.587299868495465)</f>
        <v>0.5872998685</v>
      </c>
      <c r="AF600" s="57">
        <f>IFERROR(__xludf.DUMMYFUNCTION("""COMPUTED_VALUE"""),1.3727760765907204)</f>
        <v>1.372776077</v>
      </c>
      <c r="AG600" s="57">
        <f>IFERROR(__xludf.DUMMYFUNCTION("""COMPUTED_VALUE"""),2.595821572370471)</f>
        <v>2.595821572</v>
      </c>
      <c r="AH600" s="57">
        <f>IFERROR(__xludf.DUMMYFUNCTION("""COMPUTED_VALUE"""),1.02016656443658)</f>
        <v>1.020166564</v>
      </c>
      <c r="AI600" s="57">
        <f>IFERROR(__xludf.DUMMYFUNCTION("""COMPUTED_VALUE"""),1.4379521996950926)</f>
        <v>1.4379522</v>
      </c>
      <c r="AJ600" s="57">
        <f>IFERROR(__xludf.DUMMYFUNCTION("""COMPUTED_VALUE"""),0.6486505469996076)</f>
        <v>0.648650547</v>
      </c>
      <c r="AK600" s="57">
        <f>IFERROR(__xludf.DUMMYFUNCTION("""COMPUTED_VALUE"""),1.0753323148350493)</f>
        <v>1.075332315</v>
      </c>
      <c r="AL600" s="57">
        <f>IFERROR(__xludf.DUMMYFUNCTION("""COMPUTED_VALUE"""),1.0639809728457668)</f>
        <v>1.063980973</v>
      </c>
      <c r="AM600" s="57">
        <f>IFERROR(__xludf.DUMMYFUNCTION("""COMPUTED_VALUE"""),1.0560826505163434)</f>
        <v>1.056082651</v>
      </c>
      <c r="AN600" s="57">
        <f>IFERROR(__xludf.DUMMYFUNCTION("""COMPUTED_VALUE"""),1.138862807286877)</f>
        <v>1.138862807</v>
      </c>
      <c r="AO600" s="57">
        <f>IFERROR(__xludf.DUMMYFUNCTION("""COMPUTED_VALUE"""),1.230597500702398)</f>
        <v>1.230597501</v>
      </c>
      <c r="AP600" s="35">
        <f>IFERROR(__xludf.DUMMYFUNCTION("""COMPUTED_VALUE"""),0.9745584207385899)</f>
        <v>0.9745584207</v>
      </c>
      <c r="AQ600" s="57">
        <f>IFERROR(__xludf.DUMMYFUNCTION("""COMPUTED_VALUE"""),1.12312078637852)</f>
        <v>1.123120786</v>
      </c>
      <c r="AR600" s="36" t="b">
        <f>IFERROR(__xludf.DUMMYFUNCTION("""COMPUTED_VALUE"""),TRUE)</f>
        <v>1</v>
      </c>
      <c r="AS600" s="57"/>
      <c r="AT600" s="37"/>
      <c r="AU600" s="30"/>
      <c r="AV600" s="30"/>
      <c r="AW600" s="30"/>
      <c r="AX600" s="30"/>
      <c r="AY600" s="30"/>
      <c r="AZ600" s="30"/>
    </row>
    <row r="601">
      <c r="A601" s="30" t="str">
        <f>IFERROR(__xludf.DUMMYFUNCTION("""COMPUTED_VALUE"""),"Rival")</f>
        <v>Rival</v>
      </c>
      <c r="B601" s="30" t="str">
        <f>IFERROR(__xludf.DUMMYFUNCTION("""COMPUTED_VALUE"""),"RSC005523")</f>
        <v>RSC005523</v>
      </c>
      <c r="C601" s="30" t="str">
        <f>IFERROR(__xludf.DUMMYFUNCTION("""COMPUTED_VALUE"""),"Laguna")</f>
        <v>Laguna</v>
      </c>
      <c r="D601" s="31" t="str">
        <f>IFERROR(__xludf.DUMMYFUNCTION("""COMPUTED_VALUE"""),"Polar Ice")</f>
        <v>Polar Ice</v>
      </c>
      <c r="E601" s="31">
        <f>IFERROR(__xludf.DUMMYFUNCTION("""COMPUTED_VALUE"""),59.568080435348215)</f>
        <v>59.56808044</v>
      </c>
      <c r="F601" s="31">
        <f>IFERROR(__xludf.DUMMYFUNCTION("""COMPUTED_VALUE"""),2.849307271095906)</f>
        <v>2.849307271</v>
      </c>
      <c r="G601" s="31">
        <f>IFERROR(__xludf.DUMMYFUNCTION("""COMPUTED_VALUE"""),41.29563939674502)</f>
        <v>41.2956394</v>
      </c>
      <c r="H601" s="31">
        <f>IFERROR(__xludf.DUMMYFUNCTION("""COMPUTED_VALUE"""),-2.7483505995821873)</f>
        <v>-2.7483506</v>
      </c>
      <c r="I601" s="54">
        <f>IFERROR(__xludf.DUMMYFUNCTION("""COMPUTED_VALUE"""),25.0)</f>
        <v>25</v>
      </c>
      <c r="J601" s="55">
        <f>IFERROR(__xludf.DUMMYFUNCTION("""COMPUTED_VALUE"""),13.0)</f>
        <v>13</v>
      </c>
      <c r="K601" s="54">
        <f>IFERROR(__xludf.DUMMYFUNCTION("""COMPUTED_VALUE"""),12.0)</f>
        <v>12</v>
      </c>
      <c r="L601" s="56">
        <f>IFERROR(__xludf.DUMMYFUNCTION("""COMPUTED_VALUE"""),0.52)</f>
        <v>0.52</v>
      </c>
      <c r="M601" s="56">
        <f>IFERROR(__xludf.DUMMYFUNCTION("""COMPUTED_VALUE"""),0.3728813559322034)</f>
        <v>0.3728813559</v>
      </c>
      <c r="N601" s="31">
        <f>IFERROR(__xludf.DUMMYFUNCTION("""COMPUTED_VALUE"""),340.28)</f>
        <v>340.28</v>
      </c>
      <c r="O601" s="57">
        <f>IFERROR(__xludf.DUMMYFUNCTION("""COMPUTED_VALUE"""),0.88)</f>
        <v>0.88</v>
      </c>
      <c r="P601" s="57">
        <f>IFERROR(__xludf.DUMMYFUNCTION("""COMPUTED_VALUE"""),0.76)</f>
        <v>0.76</v>
      </c>
      <c r="Q601" s="57">
        <f>IFERROR(__xludf.DUMMYFUNCTION("""COMPUTED_VALUE"""),1.04)</f>
        <v>1.04</v>
      </c>
      <c r="R601" s="57">
        <f>IFERROR(__xludf.DUMMYFUNCTION("""COMPUTED_VALUE"""),2.36)</f>
        <v>2.36</v>
      </c>
      <c r="S601" s="31">
        <f>IFERROR(__xludf.DUMMYFUNCTION("""COMPUTED_VALUE"""),365.79999999999995)</f>
        <v>365.8</v>
      </c>
      <c r="T601" s="57">
        <f>IFERROR(__xludf.DUMMYFUNCTION("""COMPUTED_VALUE"""),0.8)</f>
        <v>0.8</v>
      </c>
      <c r="U601" s="57">
        <f>IFERROR(__xludf.DUMMYFUNCTION("""COMPUTED_VALUE"""),0.5333333333333332)</f>
        <v>0.5333333333</v>
      </c>
      <c r="V601" s="57">
        <f>IFERROR(__xludf.DUMMYFUNCTION("""COMPUTED_VALUE"""),1.4666666666666668)</f>
        <v>1.466666667</v>
      </c>
      <c r="W601" s="57">
        <f>IFERROR(__xludf.DUMMYFUNCTION("""COMPUTED_VALUE"""),2.6000000000000005)</f>
        <v>2.6</v>
      </c>
      <c r="X601" s="31">
        <f>IFERROR(__xludf.DUMMYFUNCTION("""COMPUTED_VALUE"""),339.20535100817847)</f>
        <v>339.205351</v>
      </c>
      <c r="Y601" s="57">
        <f>IFERROR(__xludf.DUMMYFUNCTION("""COMPUTED_VALUE"""),0.7389292094978369)</f>
        <v>0.7389292095</v>
      </c>
      <c r="Z601" s="57">
        <f>IFERROR(__xludf.DUMMYFUNCTION("""COMPUTED_VALUE"""),0.509714467159565)</f>
        <v>0.5097144672</v>
      </c>
      <c r="AA601" s="57">
        <f>IFERROR(__xludf.DUMMYFUNCTION("""COMPUTED_VALUE"""),1.3049860382536855)</f>
        <v>1.304986038</v>
      </c>
      <c r="AB601" s="57">
        <f>IFERROR(__xludf.DUMMYFUNCTION("""COMPUTED_VALUE"""),2.5041309121524806)</f>
        <v>2.504130912</v>
      </c>
      <c r="AC601" s="31">
        <f>IFERROR(__xludf.DUMMYFUNCTION("""COMPUTED_VALUE"""),351.35308891289054)</f>
        <v>351.3530889</v>
      </c>
      <c r="AD601" s="57">
        <f>IFERROR(__xludf.DUMMYFUNCTION("""COMPUTED_VALUE"""),0.8052682683208825)</f>
        <v>0.8052682683</v>
      </c>
      <c r="AE601" s="57">
        <f>IFERROR(__xludf.DUMMYFUNCTION("""COMPUTED_VALUE"""),0.5920632694707857)</f>
        <v>0.5920632695</v>
      </c>
      <c r="AF601" s="57">
        <f>IFERROR(__xludf.DUMMYFUNCTION("""COMPUTED_VALUE"""),1.3215083232671472)</f>
        <v>1.321508323</v>
      </c>
      <c r="AG601" s="57">
        <f>IFERROR(__xludf.DUMMYFUNCTION("""COMPUTED_VALUE"""),2.6314992836865394)</f>
        <v>2.631499284</v>
      </c>
      <c r="AH601" s="57">
        <f>IFERROR(__xludf.DUMMYFUNCTION("""COMPUTED_VALUE"""),0.9684844412577917)</f>
        <v>0.9684844413</v>
      </c>
      <c r="AI601" s="57">
        <f>IFERROR(__xludf.DUMMYFUNCTION("""COMPUTED_VALUE"""),1.0928035222782906)</f>
        <v>1.092803522</v>
      </c>
      <c r="AJ601" s="57">
        <f>IFERROR(__xludf.DUMMYFUNCTION("""COMPUTED_VALUE"""),1.2836465952014287)</f>
        <v>1.283646595</v>
      </c>
      <c r="AK601" s="57">
        <f>IFERROR(__xludf.DUMMYFUNCTION("""COMPUTED_VALUE"""),0.7869795306538986)</f>
        <v>0.7869795307</v>
      </c>
      <c r="AL601" s="57">
        <f>IFERROR(__xludf.DUMMYFUNCTION("""COMPUTED_VALUE"""),0.8968271489300241)</f>
        <v>0.8968271489</v>
      </c>
      <c r="AM601" s="57">
        <f>IFERROR(__xludf.DUMMYFUNCTION("""COMPUTED_VALUE"""),1.0784027991090868)</f>
        <v>1.078402799</v>
      </c>
      <c r="AN601" s="57">
        <f>IFERROR(__xludf.DUMMYFUNCTION("""COMPUTED_VALUE"""),1.0826476876501685)</f>
        <v>1.082647688</v>
      </c>
      <c r="AO601" s="57">
        <f>IFERROR(__xludf.DUMMYFUNCTION("""COMPUTED_VALUE"""),1.0463374451688348)</f>
        <v>1.046337445</v>
      </c>
      <c r="AP601" s="35">
        <f>IFERROR(__xludf.DUMMYFUNCTION("""COMPUTED_VALUE"""),1.1238945273539784)</f>
        <v>1.123894527</v>
      </c>
      <c r="AQ601" s="57">
        <f>IFERROR(__xludf.DUMMYFUNCTION("""COMPUTED_VALUE"""),1.0382843753824011)</f>
        <v>1.038284375</v>
      </c>
      <c r="AR601" s="36" t="b">
        <f>IFERROR(__xludf.DUMMYFUNCTION("""COMPUTED_VALUE"""),TRUE)</f>
        <v>1</v>
      </c>
      <c r="AS601" s="57"/>
      <c r="AT601" s="37"/>
      <c r="AU601" s="30"/>
      <c r="AV601" s="30"/>
      <c r="AW601" s="30"/>
      <c r="AX601" s="30"/>
      <c r="AY601" s="30"/>
      <c r="AZ601" s="30"/>
    </row>
    <row r="602">
      <c r="A602" s="30" t="str">
        <f>IFERROR(__xludf.DUMMYFUNCTION("""COMPUTED_VALUE"""),"Rival")</f>
        <v>Rival</v>
      </c>
      <c r="B602" s="30" t="str">
        <f>IFERROR(__xludf.DUMMYFUNCTION("""COMPUTED_VALUE"""),"RSC007186")</f>
        <v>RSC007186</v>
      </c>
      <c r="C602" s="30" t="str">
        <f>IFERROR(__xludf.DUMMYFUNCTION("""COMPUTED_VALUE"""),"Bushier Brow")</f>
        <v>Bushier Brow</v>
      </c>
      <c r="D602" s="31" t="str">
        <f>IFERROR(__xludf.DUMMYFUNCTION("""COMPUTED_VALUE"""),"Hot Wings")</f>
        <v>Hot Wings</v>
      </c>
      <c r="E602" s="31">
        <f>IFERROR(__xludf.DUMMYFUNCTION("""COMPUTED_VALUE"""),59.388080636448684)</f>
        <v>59.38808064</v>
      </c>
      <c r="F602" s="31">
        <f>IFERROR(__xludf.DUMMYFUNCTION("""COMPUTED_VALUE"""),2.8277688957442053)</f>
        <v>2.827768896</v>
      </c>
      <c r="G602" s="31">
        <f>IFERROR(__xludf.DUMMYFUNCTION("""COMPUTED_VALUE"""),47.68946604795916)</f>
        <v>47.68946605</v>
      </c>
      <c r="H602" s="31">
        <f>IFERROR(__xludf.DUMMYFUNCTION("""COMPUTED_VALUE"""),-2.1589802436468735)</f>
        <v>-2.158980244</v>
      </c>
      <c r="I602" s="54">
        <f>IFERROR(__xludf.DUMMYFUNCTION("""COMPUTED_VALUE"""),23.0)</f>
        <v>23</v>
      </c>
      <c r="J602" s="55">
        <f>IFERROR(__xludf.DUMMYFUNCTION("""COMPUTED_VALUE"""),17.0)</f>
        <v>17</v>
      </c>
      <c r="K602" s="54">
        <f>IFERROR(__xludf.DUMMYFUNCTION("""COMPUTED_VALUE"""),6.0)</f>
        <v>6</v>
      </c>
      <c r="L602" s="56">
        <f>IFERROR(__xludf.DUMMYFUNCTION("""COMPUTED_VALUE"""),0.7391304347826086)</f>
        <v>0.7391304348</v>
      </c>
      <c r="M602" s="56">
        <f>IFERROR(__xludf.DUMMYFUNCTION("""COMPUTED_VALUE"""),0.3278688524590164)</f>
        <v>0.3278688525</v>
      </c>
      <c r="N602" s="31">
        <f>IFERROR(__xludf.DUMMYFUNCTION("""COMPUTED_VALUE"""),368.04347826086956)</f>
        <v>368.0434783</v>
      </c>
      <c r="O602" s="57">
        <f>IFERROR(__xludf.DUMMYFUNCTION("""COMPUTED_VALUE"""),0.8695652173913043)</f>
        <v>0.8695652174</v>
      </c>
      <c r="P602" s="57">
        <f>IFERROR(__xludf.DUMMYFUNCTION("""COMPUTED_VALUE"""),0.43478260869565216)</f>
        <v>0.4347826087</v>
      </c>
      <c r="Q602" s="57">
        <f>IFERROR(__xludf.DUMMYFUNCTION("""COMPUTED_VALUE"""),1.608695652173913)</f>
        <v>1.608695652</v>
      </c>
      <c r="R602" s="57">
        <f>IFERROR(__xludf.DUMMYFUNCTION("""COMPUTED_VALUE"""),2.652173913043478)</f>
        <v>2.652173913</v>
      </c>
      <c r="S602" s="31">
        <f>IFERROR(__xludf.DUMMYFUNCTION("""COMPUTED_VALUE"""),325.9420289855073)</f>
        <v>325.942029</v>
      </c>
      <c r="T602" s="57">
        <f>IFERROR(__xludf.DUMMYFUNCTION("""COMPUTED_VALUE"""),0.6521739130434782)</f>
        <v>0.652173913</v>
      </c>
      <c r="U602" s="57">
        <f>IFERROR(__xludf.DUMMYFUNCTION("""COMPUTED_VALUE"""),0.42028985507246375)</f>
        <v>0.4202898551</v>
      </c>
      <c r="V602" s="57">
        <f>IFERROR(__xludf.DUMMYFUNCTION("""COMPUTED_VALUE"""),1.4782608695652173)</f>
        <v>1.47826087</v>
      </c>
      <c r="W602" s="57">
        <f>IFERROR(__xludf.DUMMYFUNCTION("""COMPUTED_VALUE"""),2.449275362318841)</f>
        <v>2.449275362</v>
      </c>
      <c r="X602" s="31">
        <f>IFERROR(__xludf.DUMMYFUNCTION("""COMPUTED_VALUE"""),336.96932654780386)</f>
        <v>336.9693265</v>
      </c>
      <c r="Y602" s="57">
        <f>IFERROR(__xludf.DUMMYFUNCTION("""COMPUTED_VALUE"""),0.7599884641735426)</f>
        <v>0.7599884642</v>
      </c>
      <c r="Z602" s="57">
        <f>IFERROR(__xludf.DUMMYFUNCTION("""COMPUTED_VALUE"""),0.5099673057546965)</f>
        <v>0.5099673058</v>
      </c>
      <c r="AA602" s="57">
        <f>IFERROR(__xludf.DUMMYFUNCTION("""COMPUTED_VALUE"""),1.3155001205706893)</f>
        <v>1.315500121</v>
      </c>
      <c r="AB602" s="57">
        <f>IFERROR(__xludf.DUMMYFUNCTION("""COMPUTED_VALUE"""),2.511428797872061)</f>
        <v>2.511428798</v>
      </c>
      <c r="AC602" s="31">
        <f>IFERROR(__xludf.DUMMYFUNCTION("""COMPUTED_VALUE"""),347.0644407673512)</f>
        <v>347.0644408</v>
      </c>
      <c r="AD602" s="57">
        <f>IFERROR(__xludf.DUMMYFUNCTION("""COMPUTED_VALUE"""),0.7942925808303265)</f>
        <v>0.7942925808</v>
      </c>
      <c r="AE602" s="57">
        <f>IFERROR(__xludf.DUMMYFUNCTION("""COMPUTED_VALUE"""),0.5930858160974205)</f>
        <v>0.5930858161</v>
      </c>
      <c r="AF602" s="57">
        <f>IFERROR(__xludf.DUMMYFUNCTION("""COMPUTED_VALUE"""),1.3207126661739947)</f>
        <v>1.320712666</v>
      </c>
      <c r="AG602" s="57">
        <f>IFERROR(__xludf.DUMMYFUNCTION("""COMPUTED_VALUE"""),2.586434307451943)</f>
        <v>2.586434307</v>
      </c>
      <c r="AH602" s="57">
        <f>IFERROR(__xludf.DUMMYFUNCTION("""COMPUTED_VALUE"""),1.0604470957817926)</f>
        <v>1.060447096</v>
      </c>
      <c r="AI602" s="57">
        <f>IFERROR(__xludf.DUMMYFUNCTION("""COMPUTED_VALUE"""),1.0947668886473676)</f>
        <v>1.094766889</v>
      </c>
      <c r="AJ602" s="57">
        <f>IFERROR(__xludf.DUMMYFUNCTION("""COMPUTED_VALUE"""),0.7330854943666948)</f>
        <v>0.7330854944</v>
      </c>
      <c r="AK602" s="57">
        <f>IFERROR(__xludf.DUMMYFUNCTION("""COMPUTED_VALUE"""),1.2180512032448234)</f>
        <v>1.218051203</v>
      </c>
      <c r="AL602" s="57">
        <f>IFERROR(__xludf.DUMMYFUNCTION("""COMPUTED_VALUE"""),1.0254170791819952)</f>
        <v>1.025417079</v>
      </c>
      <c r="AM602" s="57">
        <f>IFERROR(__xludf.DUMMYFUNCTION("""COMPUTED_VALUE"""),0.9672750701814037)</f>
        <v>0.9672750702</v>
      </c>
      <c r="AN602" s="57">
        <f>IFERROR(__xludf.DUMMYFUNCTION("""COMPUTED_VALUE"""),0.8581365952083121)</f>
        <v>0.8581365952</v>
      </c>
      <c r="AO602" s="57">
        <f>IFERROR(__xludf.DUMMYFUNCTION("""COMPUTED_VALUE"""),0.8241505883411098)</f>
        <v>0.8241505883</v>
      </c>
      <c r="AP602" s="35">
        <f>IFERROR(__xludf.DUMMYFUNCTION("""COMPUTED_VALUE"""),1.1237253774814702)</f>
        <v>1.123725377</v>
      </c>
      <c r="AQ602" s="57">
        <f>IFERROR(__xludf.DUMMYFUNCTION("""COMPUTED_VALUE"""),0.975251762818885)</f>
        <v>0.9752517628</v>
      </c>
      <c r="AR602" s="36" t="b">
        <f>IFERROR(__xludf.DUMMYFUNCTION("""COMPUTED_VALUE"""),TRUE)</f>
        <v>1</v>
      </c>
      <c r="AS602" s="57"/>
      <c r="AT602" s="37"/>
      <c r="AU602" s="30"/>
      <c r="AV602" s="30"/>
      <c r="AW602" s="30"/>
      <c r="AX602" s="30"/>
      <c r="AY602" s="30"/>
      <c r="AZ602" s="30"/>
    </row>
    <row r="603">
      <c r="A603" s="30" t="str">
        <f>IFERROR(__xludf.DUMMYFUNCTION("""COMPUTED_VALUE"""),"Rival")</f>
        <v>Rival</v>
      </c>
      <c r="B603" s="30" t="str">
        <f>IFERROR(__xludf.DUMMYFUNCTION("""COMPUTED_VALUE"""),"RSC003320")</f>
        <v>RSC003320</v>
      </c>
      <c r="C603" s="30" t="str">
        <f>IFERROR(__xludf.DUMMYFUNCTION("""COMPUTED_VALUE"""),"jojomojo13")</f>
        <v>jojomojo13</v>
      </c>
      <c r="D603" s="31"/>
      <c r="E603" s="31">
        <f>IFERROR(__xludf.DUMMYFUNCTION("""COMPUTED_VALUE"""),59.28807204294381)</f>
        <v>59.28807204</v>
      </c>
      <c r="F603" s="31">
        <f>IFERROR(__xludf.DUMMYFUNCTION("""COMPUTED_VALUE"""),2.8159173587274857)</f>
        <v>2.815917359</v>
      </c>
      <c r="G603" s="31">
        <f>IFERROR(__xludf.DUMMYFUNCTION("""COMPUTED_VALUE"""),46.34580122995752)</f>
        <v>46.34580123</v>
      </c>
      <c r="H603" s="31">
        <f>IFERROR(__xludf.DUMMYFUNCTION("""COMPUTED_VALUE"""),-2.2629840838676665)</f>
        <v>-2.262984084</v>
      </c>
      <c r="I603" s="54">
        <f>IFERROR(__xludf.DUMMYFUNCTION("""COMPUTED_VALUE"""),4.0)</f>
        <v>4</v>
      </c>
      <c r="J603" s="55">
        <f>IFERROR(__xludf.DUMMYFUNCTION("""COMPUTED_VALUE"""),0.0)</f>
        <v>0</v>
      </c>
      <c r="K603" s="54">
        <f>IFERROR(__xludf.DUMMYFUNCTION("""COMPUTED_VALUE"""),4.0)</f>
        <v>4</v>
      </c>
      <c r="L603" s="56">
        <f>IFERROR(__xludf.DUMMYFUNCTION("""COMPUTED_VALUE"""),0.0)</f>
        <v>0</v>
      </c>
      <c r="M603" s="56">
        <f>IFERROR(__xludf.DUMMYFUNCTION("""COMPUTED_VALUE"""),0.2727272727272727)</f>
        <v>0.2727272727</v>
      </c>
      <c r="N603" s="31">
        <f>IFERROR(__xludf.DUMMYFUNCTION("""COMPUTED_VALUE"""),404.25)</f>
        <v>404.25</v>
      </c>
      <c r="O603" s="57">
        <f>IFERROR(__xludf.DUMMYFUNCTION("""COMPUTED_VALUE"""),0.75)</f>
        <v>0.75</v>
      </c>
      <c r="P603" s="57">
        <f>IFERROR(__xludf.DUMMYFUNCTION("""COMPUTED_VALUE"""),0.5)</f>
        <v>0.5</v>
      </c>
      <c r="Q603" s="57">
        <f>IFERROR(__xludf.DUMMYFUNCTION("""COMPUTED_VALUE"""),1.75)</f>
        <v>1.75</v>
      </c>
      <c r="R603" s="57">
        <f>IFERROR(__xludf.DUMMYFUNCTION("""COMPUTED_VALUE"""),2.75)</f>
        <v>2.75</v>
      </c>
      <c r="S603" s="31">
        <f>IFERROR(__xludf.DUMMYFUNCTION("""COMPUTED_VALUE"""),434.1666666666667)</f>
        <v>434.1666667</v>
      </c>
      <c r="T603" s="57">
        <f>IFERROR(__xludf.DUMMYFUNCTION("""COMPUTED_VALUE"""),1.0833333333333333)</f>
        <v>1.083333333</v>
      </c>
      <c r="U603" s="57">
        <f>IFERROR(__xludf.DUMMYFUNCTION("""COMPUTED_VALUE"""),0.75)</f>
        <v>0.75</v>
      </c>
      <c r="V603" s="57">
        <f>IFERROR(__xludf.DUMMYFUNCTION("""COMPUTED_VALUE"""),1.5833333333333333)</f>
        <v>1.583333333</v>
      </c>
      <c r="W603" s="57">
        <f>IFERROR(__xludf.DUMMYFUNCTION("""COMPUTED_VALUE"""),3.666666666666667)</f>
        <v>3.666666667</v>
      </c>
      <c r="X603" s="31">
        <f>IFERROR(__xludf.DUMMYFUNCTION("""COMPUTED_VALUE"""),407.4253812636166)</f>
        <v>407.4253813</v>
      </c>
      <c r="Y603" s="57">
        <f>IFERROR(__xludf.DUMMYFUNCTION("""COMPUTED_VALUE"""),1.0544662309368191)</f>
        <v>1.054466231</v>
      </c>
      <c r="Z603" s="57">
        <f>IFERROR(__xludf.DUMMYFUNCTION("""COMPUTED_VALUE"""),0.7434640522875817)</f>
        <v>0.7434640523</v>
      </c>
      <c r="AA603" s="57">
        <f>IFERROR(__xludf.DUMMYFUNCTION("""COMPUTED_VALUE"""),1.5021786492374727)</f>
        <v>1.502178649</v>
      </c>
      <c r="AB603" s="57">
        <f>IFERROR(__xludf.DUMMYFUNCTION("""COMPUTED_VALUE"""),2.9471677559912854)</f>
        <v>2.947167756</v>
      </c>
      <c r="AC603" s="31">
        <f>IFERROR(__xludf.DUMMYFUNCTION("""COMPUTED_VALUE"""),325.09404502541764)</f>
        <v>325.094045</v>
      </c>
      <c r="AD603" s="57">
        <f>IFERROR(__xludf.DUMMYFUNCTION("""COMPUTED_VALUE"""),0.6318082788671022)</f>
        <v>0.6318082789</v>
      </c>
      <c r="AE603" s="57">
        <f>IFERROR(__xludf.DUMMYFUNCTION("""COMPUTED_VALUE"""),0.47167755991285415)</f>
        <v>0.4716775599</v>
      </c>
      <c r="AF603" s="57">
        <f>IFERROR(__xludf.DUMMYFUNCTION("""COMPUTED_VALUE"""),1.3456790123456788)</f>
        <v>1.345679012</v>
      </c>
      <c r="AG603" s="57">
        <f>IFERROR(__xludf.DUMMYFUNCTION("""COMPUTED_VALUE"""),2.7138707334785757)</f>
        <v>2.713870733</v>
      </c>
      <c r="AH603" s="57">
        <f>IFERROR(__xludf.DUMMYFUNCTION("""COMPUTED_VALUE"""),1.2434863270669676)</f>
        <v>1.243486327</v>
      </c>
      <c r="AI603" s="57">
        <f>IFERROR(__xludf.DUMMYFUNCTION("""COMPUTED_VALUE"""),1.1870689655172417)</f>
        <v>1.187068966</v>
      </c>
      <c r="AJ603" s="57">
        <f>IFERROR(__xludf.DUMMYFUNCTION("""COMPUTED_VALUE"""),1.0600461893764432)</f>
        <v>1.060046189</v>
      </c>
      <c r="AK603" s="57">
        <f>IFERROR(__xludf.DUMMYFUNCTION("""COMPUTED_VALUE"""),1.3004587155963305)</f>
        <v>1.300458716</v>
      </c>
      <c r="AL603" s="57">
        <f>IFERROR(__xludf.DUMMYFUNCTION("""COMPUTED_VALUE"""),1.0133128177682638)</f>
        <v>1.013312818</v>
      </c>
      <c r="AM603" s="57">
        <f>IFERROR(__xludf.DUMMYFUNCTION("""COMPUTED_VALUE"""),1.0656348048816027)</f>
        <v>1.065634805</v>
      </c>
      <c r="AN603" s="57">
        <f>IFERROR(__xludf.DUMMYFUNCTION("""COMPUTED_VALUE"""),1.0273760330578512)</f>
        <v>1.027376033</v>
      </c>
      <c r="AO603" s="57">
        <f>IFERROR(__xludf.DUMMYFUNCTION("""COMPUTED_VALUE"""),1.0087912087912088)</f>
        <v>1.008791209</v>
      </c>
      <c r="AP603" s="35">
        <f>IFERROR(__xludf.DUMMYFUNCTION("""COMPUTED_VALUE"""),1.0540246555474981)</f>
        <v>1.054024656</v>
      </c>
      <c r="AQ603" s="57">
        <f>IFERROR(__xludf.DUMMYFUNCTION("""COMPUTED_VALUE"""),1.2441323230456478)</f>
        <v>1.244132323</v>
      </c>
      <c r="AR603" s="36" t="b">
        <f>IFERROR(__xludf.DUMMYFUNCTION("""COMPUTED_VALUE"""),TRUE)</f>
        <v>1</v>
      </c>
      <c r="AS603" s="57"/>
      <c r="AT603" s="37"/>
      <c r="AU603" s="30"/>
      <c r="AV603" s="30"/>
      <c r="AW603" s="30"/>
      <c r="AX603" s="30"/>
      <c r="AY603" s="30"/>
      <c r="AZ603" s="30"/>
    </row>
    <row r="604">
      <c r="A604" s="30" t="str">
        <f>IFERROR(__xludf.DUMMYFUNCTION("""COMPUTED_VALUE"""),"Rival")</f>
        <v>Rival</v>
      </c>
      <c r="B604" s="30" t="str">
        <f>IFERROR(__xludf.DUMMYFUNCTION("""COMPUTED_VALUE"""),"RSC002267")</f>
        <v>RSC002267</v>
      </c>
      <c r="C604" s="30" t="str">
        <f>IFERROR(__xludf.DUMMYFUNCTION("""COMPUTED_VALUE"""),"Dooqal")</f>
        <v>Dooqal</v>
      </c>
      <c r="D604" s="31" t="str">
        <f>IFERROR(__xludf.DUMMYFUNCTION("""COMPUTED_VALUE"""),"Dracos")</f>
        <v>Dracos</v>
      </c>
      <c r="E604" s="31">
        <f>IFERROR(__xludf.DUMMYFUNCTION("""COMPUTED_VALUE"""),59.25100902053338)</f>
        <v>59.25100902</v>
      </c>
      <c r="F604" s="31">
        <f>IFERROR(__xludf.DUMMYFUNCTION("""COMPUTED_VALUE"""),2.8115459365034643)</f>
        <v>2.811545937</v>
      </c>
      <c r="G604" s="31">
        <f>IFERROR(__xludf.DUMMYFUNCTION("""COMPUTED_VALUE"""),56.084587883827666)</f>
        <v>56.08458788</v>
      </c>
      <c r="H604" s="31">
        <f>IFERROR(__xludf.DUMMYFUNCTION("""COMPUTED_VALUE"""),2.4761414094050473)</f>
        <v>2.476141409</v>
      </c>
      <c r="I604" s="54">
        <f>IFERROR(__xludf.DUMMYFUNCTION("""COMPUTED_VALUE"""),28.0)</f>
        <v>28</v>
      </c>
      <c r="J604" s="55">
        <f>IFERROR(__xludf.DUMMYFUNCTION("""COMPUTED_VALUE"""),17.0)</f>
        <v>17</v>
      </c>
      <c r="K604" s="54">
        <f>IFERROR(__xludf.DUMMYFUNCTION("""COMPUTED_VALUE"""),11.0)</f>
        <v>11</v>
      </c>
      <c r="L604" s="56">
        <f>IFERROR(__xludf.DUMMYFUNCTION("""COMPUTED_VALUE"""),0.6071428571428571)</f>
        <v>0.6071428571</v>
      </c>
      <c r="M604" s="56">
        <f>IFERROR(__xludf.DUMMYFUNCTION("""COMPUTED_VALUE"""),0.3287671232876712)</f>
        <v>0.3287671233</v>
      </c>
      <c r="N604" s="31">
        <f>IFERROR(__xludf.DUMMYFUNCTION("""COMPUTED_VALUE"""),371.2857142857143)</f>
        <v>371.2857143</v>
      </c>
      <c r="O604" s="57">
        <f>IFERROR(__xludf.DUMMYFUNCTION("""COMPUTED_VALUE"""),0.8571428571428571)</f>
        <v>0.8571428571</v>
      </c>
      <c r="P604" s="57">
        <f>IFERROR(__xludf.DUMMYFUNCTION("""COMPUTED_VALUE"""),0.4642857142857143)</f>
        <v>0.4642857143</v>
      </c>
      <c r="Q604" s="57">
        <f>IFERROR(__xludf.DUMMYFUNCTION("""COMPUTED_VALUE"""),1.6428571428571428)</f>
        <v>1.642857143</v>
      </c>
      <c r="R604" s="57">
        <f>IFERROR(__xludf.DUMMYFUNCTION("""COMPUTED_VALUE"""),2.607142857142857)</f>
        <v>2.607142857</v>
      </c>
      <c r="S604" s="31">
        <f>IFERROR(__xludf.DUMMYFUNCTION("""COMPUTED_VALUE"""),332.7380952380953)</f>
        <v>332.7380952</v>
      </c>
      <c r="T604" s="57">
        <f>IFERROR(__xludf.DUMMYFUNCTION("""COMPUTED_VALUE"""),0.6904761904761906)</f>
        <v>0.6904761905</v>
      </c>
      <c r="U604" s="57">
        <f>IFERROR(__xludf.DUMMYFUNCTION("""COMPUTED_VALUE"""),0.380952380952381)</f>
        <v>0.380952381</v>
      </c>
      <c r="V604" s="57">
        <f>IFERROR(__xludf.DUMMYFUNCTION("""COMPUTED_VALUE"""),1.3571428571428574)</f>
        <v>1.357142857</v>
      </c>
      <c r="W604" s="57">
        <f>IFERROR(__xludf.DUMMYFUNCTION("""COMPUTED_VALUE"""),2.5000000000000004)</f>
        <v>2.5</v>
      </c>
      <c r="X604" s="31">
        <f>IFERROR(__xludf.DUMMYFUNCTION("""COMPUTED_VALUE"""),344.87113841593356)</f>
        <v>344.8711384</v>
      </c>
      <c r="Y604" s="57">
        <f>IFERROR(__xludf.DUMMYFUNCTION("""COMPUTED_VALUE"""),0.7399793794751774)</f>
        <v>0.7399793795</v>
      </c>
      <c r="Z604" s="57">
        <f>IFERROR(__xludf.DUMMYFUNCTION("""COMPUTED_VALUE"""),0.5273007312870759)</f>
        <v>0.5273007313</v>
      </c>
      <c r="AA604" s="57">
        <f>IFERROR(__xludf.DUMMYFUNCTION("""COMPUTED_VALUE"""),1.3170140898239635)</f>
        <v>1.31701409</v>
      </c>
      <c r="AB604" s="57">
        <f>IFERROR(__xludf.DUMMYFUNCTION("""COMPUTED_VALUE"""),2.5635561034825747)</f>
        <v>2.563556103</v>
      </c>
      <c r="AC604" s="31">
        <f>IFERROR(__xludf.DUMMYFUNCTION("""COMPUTED_VALUE"""),353.22824409736705)</f>
        <v>353.2282441</v>
      </c>
      <c r="AD604" s="57">
        <f>IFERROR(__xludf.DUMMYFUNCTION("""COMPUTED_VALUE"""),0.8259448150537085)</f>
        <v>0.8259448151</v>
      </c>
      <c r="AE604" s="57">
        <f>IFERROR(__xludf.DUMMYFUNCTION("""COMPUTED_VALUE"""),0.5934632114954244)</f>
        <v>0.5934632115</v>
      </c>
      <c r="AF604" s="57">
        <f>IFERROR(__xludf.DUMMYFUNCTION("""COMPUTED_VALUE"""),1.278009411482801)</f>
        <v>1.278009411</v>
      </c>
      <c r="AG604" s="57">
        <f>IFERROR(__xludf.DUMMYFUNCTION("""COMPUTED_VALUE"""),2.5594582397190946)</f>
        <v>2.55945824</v>
      </c>
      <c r="AH604" s="57">
        <f>IFERROR(__xludf.DUMMYFUNCTION("""COMPUTED_VALUE"""),1.0511212523066804)</f>
        <v>1.051121252</v>
      </c>
      <c r="AI604" s="57">
        <f>IFERROR(__xludf.DUMMYFUNCTION("""COMPUTED_VALUE"""),1.0377725503211976)</f>
        <v>1.03777255</v>
      </c>
      <c r="AJ604" s="57">
        <f>IFERROR(__xludf.DUMMYFUNCTION("""COMPUTED_VALUE"""),0.7823327635015401)</f>
        <v>0.7823327635</v>
      </c>
      <c r="AK604" s="57">
        <f>IFERROR(__xludf.DUMMYFUNCTION("""COMPUTED_VALUE"""),1.2854812555339714)</f>
        <v>1.285481256</v>
      </c>
      <c r="AL604" s="57">
        <f>IFERROR(__xludf.DUMMYFUNCTION("""COMPUTED_VALUE"""),1.0186307464149116)</f>
        <v>1.018630746</v>
      </c>
      <c r="AM604" s="57">
        <f>IFERROR(__xludf.DUMMYFUNCTION("""COMPUTED_VALUE"""),0.9648186182422573)</f>
        <v>0.9648186182</v>
      </c>
      <c r="AN604" s="57">
        <f>IFERROR(__xludf.DUMMYFUNCTION("""COMPUTED_VALUE"""),0.9331019344970174)</f>
        <v>0.9331019345</v>
      </c>
      <c r="AO604" s="57">
        <f>IFERROR(__xludf.DUMMYFUNCTION("""COMPUTED_VALUE"""),0.722457524423536)</f>
        <v>0.7224575244</v>
      </c>
      <c r="AP604" s="35">
        <f>IFERROR(__xludf.DUMMYFUNCTION("""COMPUTED_VALUE"""),1.0304695049422423)</f>
        <v>1.030469505</v>
      </c>
      <c r="AQ604" s="57">
        <f>IFERROR(__xludf.DUMMYFUNCTION("""COMPUTED_VALUE"""),0.9752078359446732)</f>
        <v>0.9752078359</v>
      </c>
      <c r="AR604" s="36" t="b">
        <f>IFERROR(__xludf.DUMMYFUNCTION("""COMPUTED_VALUE"""),TRUE)</f>
        <v>1</v>
      </c>
      <c r="AS604" s="57"/>
      <c r="AT604" s="37"/>
      <c r="AU604" s="30"/>
      <c r="AV604" s="30"/>
      <c r="AW604" s="30"/>
      <c r="AX604" s="30"/>
      <c r="AY604" s="30"/>
      <c r="AZ604" s="30"/>
    </row>
    <row r="605">
      <c r="A605" s="30" t="str">
        <f>IFERROR(__xludf.DUMMYFUNCTION("""COMPUTED_VALUE"""),"Rival")</f>
        <v>Rival</v>
      </c>
      <c r="B605" s="30" t="str">
        <f>IFERROR(__xludf.DUMMYFUNCTION("""COMPUTED_VALUE"""),"RSC006086")</f>
        <v>RSC006086</v>
      </c>
      <c r="C605" s="30" t="str">
        <f>IFERROR(__xludf.DUMMYFUNCTION("""COMPUTED_VALUE"""),"13o0k")</f>
        <v>13o0k</v>
      </c>
      <c r="D605" s="31" t="str">
        <f>IFERROR(__xludf.DUMMYFUNCTION("""COMPUTED_VALUE"""),"Kitsune")</f>
        <v>Kitsune</v>
      </c>
      <c r="E605" s="31">
        <f>IFERROR(__xludf.DUMMYFUNCTION("""COMPUTED_VALUE"""),58.446361320440836)</f>
        <v>58.44636132</v>
      </c>
      <c r="F605" s="31">
        <f>IFERROR(__xludf.DUMMYFUNCTION("""COMPUTED_VALUE"""),2.7193389101711976)</f>
        <v>2.71933891</v>
      </c>
      <c r="G605" s="31">
        <f>IFERROR(__xludf.DUMMYFUNCTION("""COMPUTED_VALUE"""),66.98692737618886)</f>
        <v>66.98692738</v>
      </c>
      <c r="H605" s="31">
        <f>IFERROR(__xludf.DUMMYFUNCTION("""COMPUTED_VALUE"""),4.02547630755194)</f>
        <v>4.025476308</v>
      </c>
      <c r="I605" s="54">
        <f>IFERROR(__xludf.DUMMYFUNCTION("""COMPUTED_VALUE"""),24.0)</f>
        <v>24</v>
      </c>
      <c r="J605" s="55">
        <f>IFERROR(__xludf.DUMMYFUNCTION("""COMPUTED_VALUE"""),12.0)</f>
        <v>12</v>
      </c>
      <c r="K605" s="54">
        <f>IFERROR(__xludf.DUMMYFUNCTION("""COMPUTED_VALUE"""),12.0)</f>
        <v>12</v>
      </c>
      <c r="L605" s="56">
        <f>IFERROR(__xludf.DUMMYFUNCTION("""COMPUTED_VALUE"""),0.5)</f>
        <v>0.5</v>
      </c>
      <c r="M605" s="56">
        <f>IFERROR(__xludf.DUMMYFUNCTION("""COMPUTED_VALUE"""),0.23880597014925373)</f>
        <v>0.2388059701</v>
      </c>
      <c r="N605" s="31">
        <f>IFERROR(__xludf.DUMMYFUNCTION("""COMPUTED_VALUE"""),351.2916666666667)</f>
        <v>351.2916667</v>
      </c>
      <c r="O605" s="57">
        <f>IFERROR(__xludf.DUMMYFUNCTION("""COMPUTED_VALUE"""),0.6666666666666666)</f>
        <v>0.6666666667</v>
      </c>
      <c r="P605" s="57">
        <f>IFERROR(__xludf.DUMMYFUNCTION("""COMPUTED_VALUE"""),0.6666666666666666)</f>
        <v>0.6666666667</v>
      </c>
      <c r="Q605" s="57">
        <f>IFERROR(__xludf.DUMMYFUNCTION("""COMPUTED_VALUE"""),1.25)</f>
        <v>1.25</v>
      </c>
      <c r="R605" s="57">
        <f>IFERROR(__xludf.DUMMYFUNCTION("""COMPUTED_VALUE"""),2.7916666666666665)</f>
        <v>2.791666667</v>
      </c>
      <c r="S605" s="31">
        <f>IFERROR(__xludf.DUMMYFUNCTION("""COMPUTED_VALUE"""),327.2083333333333)</f>
        <v>327.2083333</v>
      </c>
      <c r="T605" s="57">
        <f>IFERROR(__xludf.DUMMYFUNCTION("""COMPUTED_VALUE"""),0.7222222222222223)</f>
        <v>0.7222222222</v>
      </c>
      <c r="U605" s="57">
        <f>IFERROR(__xludf.DUMMYFUNCTION("""COMPUTED_VALUE"""),0.5277777777777778)</f>
        <v>0.5277777778</v>
      </c>
      <c r="V605" s="57">
        <f>IFERROR(__xludf.DUMMYFUNCTION("""COMPUTED_VALUE"""),1.1666666666666667)</f>
        <v>1.166666667</v>
      </c>
      <c r="W605" s="57">
        <f>IFERROR(__xludf.DUMMYFUNCTION("""COMPUTED_VALUE"""),2.3333333333333335)</f>
        <v>2.333333333</v>
      </c>
      <c r="X605" s="31">
        <f>IFERROR(__xludf.DUMMYFUNCTION("""COMPUTED_VALUE"""),348.74296210479025)</f>
        <v>348.7429621</v>
      </c>
      <c r="Y605" s="57">
        <f>IFERROR(__xludf.DUMMYFUNCTION("""COMPUTED_VALUE"""),0.8233015404174019)</f>
        <v>0.8233015404</v>
      </c>
      <c r="Z605" s="57">
        <f>IFERROR(__xludf.DUMMYFUNCTION("""COMPUTED_VALUE"""),0.5487510159992236)</f>
        <v>0.548751016</v>
      </c>
      <c r="AA605" s="57">
        <f>IFERROR(__xludf.DUMMYFUNCTION("""COMPUTED_VALUE"""),1.3174341000118341)</f>
        <v>1.3174341</v>
      </c>
      <c r="AB605" s="57">
        <f>IFERROR(__xludf.DUMMYFUNCTION("""COMPUTED_VALUE"""),2.536045384288132)</f>
        <v>2.536045384</v>
      </c>
      <c r="AC605" s="31">
        <f>IFERROR(__xludf.DUMMYFUNCTION("""COMPUTED_VALUE"""),349.15473797926626)</f>
        <v>349.154738</v>
      </c>
      <c r="AD605" s="57">
        <f>IFERROR(__xludf.DUMMYFUNCTION("""COMPUTED_VALUE"""),0.8150980973094427)</f>
        <v>0.8150980973</v>
      </c>
      <c r="AE605" s="57">
        <f>IFERROR(__xludf.DUMMYFUNCTION("""COMPUTED_VALUE"""),0.5712163028423791)</f>
        <v>0.5712163028</v>
      </c>
      <c r="AF605" s="57">
        <f>IFERROR(__xludf.DUMMYFUNCTION("""COMPUTED_VALUE"""),1.3300042770895264)</f>
        <v>1.330004277</v>
      </c>
      <c r="AG605" s="57">
        <f>IFERROR(__xludf.DUMMYFUNCTION("""COMPUTED_VALUE"""),2.584597989288835)</f>
        <v>2.584597989</v>
      </c>
      <c r="AH605" s="57">
        <f>IFERROR(__xludf.DUMMYFUNCTION("""COMPUTED_VALUE"""),1.0061202912489973)</f>
        <v>1.006120291</v>
      </c>
      <c r="AI605" s="57">
        <f>IFERROR(__xludf.DUMMYFUNCTION("""COMPUTED_VALUE"""),0.8178974639583464)</f>
        <v>0.817897464</v>
      </c>
      <c r="AJ605" s="57">
        <f>IFERROR(__xludf.DUMMYFUNCTION("""COMPUTED_VALUE"""),1.1671002094116105)</f>
        <v>1.167100209</v>
      </c>
      <c r="AK605" s="57">
        <f>IFERROR(__xludf.DUMMYFUNCTION("""COMPUTED_VALUE"""),0.939846601648078)</f>
        <v>0.9398466016</v>
      </c>
      <c r="AL605" s="57">
        <f>IFERROR(__xludf.DUMMYFUNCTION("""COMPUTED_VALUE"""),1.0801163965289657)</f>
        <v>1.080116397</v>
      </c>
      <c r="AM605" s="57">
        <f>IFERROR(__xludf.DUMMYFUNCTION("""COMPUTED_VALUE"""),0.9382507143900837)</f>
        <v>0.9382507144</v>
      </c>
      <c r="AN605" s="57">
        <f>IFERROR(__xludf.DUMMYFUNCTION("""COMPUTED_VALUE"""),0.8772268564638737)</f>
        <v>0.8772268565</v>
      </c>
      <c r="AO605" s="57">
        <f>IFERROR(__xludf.DUMMYFUNCTION("""COMPUTED_VALUE"""),0.9617800466696986)</f>
        <v>0.9617800467</v>
      </c>
      <c r="AP605" s="35">
        <f>IFERROR(__xludf.DUMMYFUNCTION("""COMPUTED_VALUE"""),0.8855597913065912)</f>
        <v>0.8855597913</v>
      </c>
      <c r="AQ605" s="57">
        <f>IFERROR(__xludf.DUMMYFUNCTION("""COMPUTED_VALUE"""),0.9200676564344293)</f>
        <v>0.9200676564</v>
      </c>
      <c r="AR605" s="36" t="b">
        <f>IFERROR(__xludf.DUMMYFUNCTION("""COMPUTED_VALUE"""),TRUE)</f>
        <v>1</v>
      </c>
      <c r="AS605" s="57"/>
      <c r="AT605" s="37"/>
      <c r="AU605" s="30"/>
      <c r="AV605" s="30"/>
      <c r="AW605" s="30"/>
      <c r="AX605" s="30"/>
      <c r="AY605" s="30"/>
      <c r="AZ605" s="30"/>
    </row>
    <row r="606">
      <c r="A606" s="30" t="str">
        <f>IFERROR(__xludf.DUMMYFUNCTION("""COMPUTED_VALUE"""),"Rival")</f>
        <v>Rival</v>
      </c>
      <c r="B606" s="30" t="str">
        <f>IFERROR(__xludf.DUMMYFUNCTION("""COMPUTED_VALUE"""),"RSC006490")</f>
        <v>RSC006490</v>
      </c>
      <c r="C606" s="30" t="str">
        <f>IFERROR(__xludf.DUMMYFUNCTION("""COMPUTED_VALUE"""),"Dayz")</f>
        <v>Dayz</v>
      </c>
      <c r="D606" s="31" t="str">
        <f>IFERROR(__xludf.DUMMYFUNCTION("""COMPUTED_VALUE"""),"Stolen")</f>
        <v>Stolen</v>
      </c>
      <c r="E606" s="31">
        <f>IFERROR(__xludf.DUMMYFUNCTION("""COMPUTED_VALUE"""),58.17498604987768)</f>
        <v>58.17498605</v>
      </c>
      <c r="F606" s="31">
        <f>IFERROR(__xludf.DUMMYFUNCTION("""COMPUTED_VALUE"""),2.689371028022949)</f>
        <v>2.689371028</v>
      </c>
      <c r="G606" s="31">
        <f>IFERROR(__xludf.DUMMYFUNCTION("""COMPUTED_VALUE"""),51.407738386203874)</f>
        <v>51.40773839</v>
      </c>
      <c r="H606" s="31">
        <f>IFERROR(__xludf.DUMMYFUNCTION("""COMPUTED_VALUE"""),2.0940320425291)</f>
        <v>2.094032043</v>
      </c>
      <c r="I606" s="54">
        <f>IFERROR(__xludf.DUMMYFUNCTION("""COMPUTED_VALUE"""),32.0)</f>
        <v>32</v>
      </c>
      <c r="J606" s="55">
        <f>IFERROR(__xludf.DUMMYFUNCTION("""COMPUTED_VALUE"""),21.0)</f>
        <v>21</v>
      </c>
      <c r="K606" s="54">
        <f>IFERROR(__xludf.DUMMYFUNCTION("""COMPUTED_VALUE"""),11.0)</f>
        <v>11</v>
      </c>
      <c r="L606" s="56">
        <f>IFERROR(__xludf.DUMMYFUNCTION("""COMPUTED_VALUE"""),0.65625)</f>
        <v>0.65625</v>
      </c>
      <c r="M606" s="56">
        <f>IFERROR(__xludf.DUMMYFUNCTION("""COMPUTED_VALUE"""),0.32051282051282054)</f>
        <v>0.3205128205</v>
      </c>
      <c r="N606" s="31">
        <f>IFERROR(__xludf.DUMMYFUNCTION("""COMPUTED_VALUE"""),359.03125)</f>
        <v>359.03125</v>
      </c>
      <c r="O606" s="57">
        <f>IFERROR(__xludf.DUMMYFUNCTION("""COMPUTED_VALUE"""),0.78125)</f>
        <v>0.78125</v>
      </c>
      <c r="P606" s="57">
        <f>IFERROR(__xludf.DUMMYFUNCTION("""COMPUTED_VALUE"""),0.625)</f>
        <v>0.625</v>
      </c>
      <c r="Q606" s="57">
        <f>IFERROR(__xludf.DUMMYFUNCTION("""COMPUTED_VALUE"""),1.53125)</f>
        <v>1.53125</v>
      </c>
      <c r="R606" s="57">
        <f>IFERROR(__xludf.DUMMYFUNCTION("""COMPUTED_VALUE"""),2.4375)</f>
        <v>2.4375</v>
      </c>
      <c r="S606" s="31">
        <f>IFERROR(__xludf.DUMMYFUNCTION("""COMPUTED_VALUE"""),346.64583333333337)</f>
        <v>346.6458333</v>
      </c>
      <c r="T606" s="57">
        <f>IFERROR(__xludf.DUMMYFUNCTION("""COMPUTED_VALUE"""),0.7291666666666666)</f>
        <v>0.7291666667</v>
      </c>
      <c r="U606" s="57">
        <f>IFERROR(__xludf.DUMMYFUNCTION("""COMPUTED_VALUE"""),0.625)</f>
        <v>0.625</v>
      </c>
      <c r="V606" s="57">
        <f>IFERROR(__xludf.DUMMYFUNCTION("""COMPUTED_VALUE"""),1.4166666666666667)</f>
        <v>1.416666667</v>
      </c>
      <c r="W606" s="57">
        <f>IFERROR(__xludf.DUMMYFUNCTION("""COMPUTED_VALUE"""),2.4583333333333335)</f>
        <v>2.458333333</v>
      </c>
      <c r="X606" s="31">
        <f>IFERROR(__xludf.DUMMYFUNCTION("""COMPUTED_VALUE"""),357.58742443320557)</f>
        <v>357.5874244</v>
      </c>
      <c r="Y606" s="57">
        <f>IFERROR(__xludf.DUMMYFUNCTION("""COMPUTED_VALUE"""),0.8322175280049169)</f>
        <v>0.832217528</v>
      </c>
      <c r="Z606" s="57">
        <f>IFERROR(__xludf.DUMMYFUNCTION("""COMPUTED_VALUE"""),0.6025731466328604)</f>
        <v>0.6025731466</v>
      </c>
      <c r="AA606" s="57">
        <f>IFERROR(__xludf.DUMMYFUNCTION("""COMPUTED_VALUE"""),1.3653666812867096)</f>
        <v>1.365366681</v>
      </c>
      <c r="AB606" s="57">
        <f>IFERROR(__xludf.DUMMYFUNCTION("""COMPUTED_VALUE"""),2.6435087781375355)</f>
        <v>2.643508778</v>
      </c>
      <c r="AC606" s="31">
        <f>IFERROR(__xludf.DUMMYFUNCTION("""COMPUTED_VALUE"""),344.8012196204382)</f>
        <v>344.8012196</v>
      </c>
      <c r="AD606" s="57">
        <f>IFERROR(__xludf.DUMMYFUNCTION("""COMPUTED_VALUE"""),0.7813712445019514)</f>
        <v>0.7813712445</v>
      </c>
      <c r="AE606" s="57">
        <f>IFERROR(__xludf.DUMMYFUNCTION("""COMPUTED_VALUE"""),0.5618061704240139)</f>
        <v>0.5618061704</v>
      </c>
      <c r="AF606" s="57">
        <f>IFERROR(__xludf.DUMMYFUNCTION("""COMPUTED_VALUE"""),1.29905954620473)</f>
        <v>1.299059546</v>
      </c>
      <c r="AG606" s="57">
        <f>IFERROR(__xludf.DUMMYFUNCTION("""COMPUTED_VALUE"""),2.622703305911168)</f>
        <v>2.622703306</v>
      </c>
      <c r="AH606" s="57">
        <f>IFERROR(__xludf.DUMMYFUNCTION("""COMPUTED_VALUE"""),1.0412702437515344)</f>
        <v>1.041270244</v>
      </c>
      <c r="AI606" s="57">
        <f>IFERROR(__xludf.DUMMYFUNCTION("""COMPUTED_VALUE"""),0.9998448311186207)</f>
        <v>0.9998448311</v>
      </c>
      <c r="AJ606" s="57">
        <f>IFERROR(__xludf.DUMMYFUNCTION("""COMPUTED_VALUE"""),1.1124833312676)</f>
        <v>1.112483331</v>
      </c>
      <c r="AK606" s="57">
        <f>IFERROR(__xludf.DUMMYFUNCTION("""COMPUTED_VALUE"""),1.1787373446225975)</f>
        <v>1.178737345</v>
      </c>
      <c r="AL606" s="57">
        <f>IFERROR(__xludf.DUMMYFUNCTION("""COMPUTED_VALUE"""),0.929384576023621)</f>
        <v>0.929384576</v>
      </c>
      <c r="AM606" s="57">
        <f>IFERROR(__xludf.DUMMYFUNCTION("""COMPUTED_VALUE"""),0.9694016334125419)</f>
        <v>0.9694016334</v>
      </c>
      <c r="AN606" s="57">
        <f>IFERROR(__xludf.DUMMYFUNCTION("""COMPUTED_VALUE"""),0.8761731664252553)</f>
        <v>0.8761731664</v>
      </c>
      <c r="AO606" s="57">
        <f>IFERROR(__xludf.DUMMYFUNCTION("""COMPUTED_VALUE"""),1.0372184746241337)</f>
        <v>1.037218475</v>
      </c>
      <c r="AP606" s="35">
        <f>IFERROR(__xludf.DUMMYFUNCTION("""COMPUTED_VALUE"""),1.037572313784318)</f>
        <v>1.037572314</v>
      </c>
      <c r="AQ606" s="57">
        <f>IFERROR(__xludf.DUMMYFUNCTION("""COMPUTED_VALUE"""),0.9299508871180424)</f>
        <v>0.9299508871</v>
      </c>
      <c r="AR606" s="36" t="b">
        <f>IFERROR(__xludf.DUMMYFUNCTION("""COMPUTED_VALUE"""),TRUE)</f>
        <v>1</v>
      </c>
      <c r="AS606" s="57"/>
      <c r="AT606" s="37"/>
      <c r="AU606" s="30"/>
      <c r="AV606" s="30"/>
      <c r="AW606" s="30"/>
      <c r="AX606" s="30"/>
      <c r="AY606" s="30"/>
      <c r="AZ606" s="30"/>
    </row>
    <row r="607">
      <c r="A607" s="30" t="str">
        <f>IFERROR(__xludf.DUMMYFUNCTION("""COMPUTED_VALUE"""),"Rival")</f>
        <v>Rival</v>
      </c>
      <c r="B607" s="30" t="str">
        <f>IFERROR(__xludf.DUMMYFUNCTION("""COMPUTED_VALUE"""),"RSC002762")</f>
        <v>RSC002762</v>
      </c>
      <c r="C607" s="30" t="str">
        <f>IFERROR(__xludf.DUMMYFUNCTION("""COMPUTED_VALUE"""),"OnwardFlame")</f>
        <v>OnwardFlame</v>
      </c>
      <c r="D607" s="31" t="str">
        <f>IFERROR(__xludf.DUMMYFUNCTION("""COMPUTED_VALUE"""),"Stolen")</f>
        <v>Stolen</v>
      </c>
      <c r="E607" s="31">
        <f>IFERROR(__xludf.DUMMYFUNCTION("""COMPUTED_VALUE"""),57.16564589323217)</f>
        <v>57.16564589</v>
      </c>
      <c r="F607" s="31">
        <f>IFERROR(__xludf.DUMMYFUNCTION("""COMPUTED_VALUE"""),2.582648529970029)</f>
        <v>2.58264853</v>
      </c>
      <c r="G607" s="31">
        <f>IFERROR(__xludf.DUMMYFUNCTION("""COMPUTED_VALUE"""),41.456581251097056)</f>
        <v>41.45658125</v>
      </c>
      <c r="H607" s="31">
        <f>IFERROR(__xludf.DUMMYFUNCTION("""COMPUTED_VALUE"""),-2.7301927446153575)</f>
        <v>-2.730192745</v>
      </c>
      <c r="I607" s="54">
        <f>IFERROR(__xludf.DUMMYFUNCTION("""COMPUTED_VALUE"""),20.0)</f>
        <v>20</v>
      </c>
      <c r="J607" s="55">
        <f>IFERROR(__xludf.DUMMYFUNCTION("""COMPUTED_VALUE"""),11.0)</f>
        <v>11</v>
      </c>
      <c r="K607" s="54">
        <f>IFERROR(__xludf.DUMMYFUNCTION("""COMPUTED_VALUE"""),9.0)</f>
        <v>9</v>
      </c>
      <c r="L607" s="56">
        <f>IFERROR(__xludf.DUMMYFUNCTION("""COMPUTED_VALUE"""),0.55)</f>
        <v>0.55</v>
      </c>
      <c r="M607" s="56">
        <f>IFERROR(__xludf.DUMMYFUNCTION("""COMPUTED_VALUE"""),0.3508771929824561)</f>
        <v>0.350877193</v>
      </c>
      <c r="N607" s="31">
        <f>IFERROR(__xludf.DUMMYFUNCTION("""COMPUTED_VALUE"""),344.4)</f>
        <v>344.4</v>
      </c>
      <c r="O607" s="57">
        <f>IFERROR(__xludf.DUMMYFUNCTION("""COMPUTED_VALUE"""),1.0)</f>
        <v>1</v>
      </c>
      <c r="P607" s="57">
        <f>IFERROR(__xludf.DUMMYFUNCTION("""COMPUTED_VALUE"""),0.4)</f>
        <v>0.4</v>
      </c>
      <c r="Q607" s="57">
        <f>IFERROR(__xludf.DUMMYFUNCTION("""COMPUTED_VALUE"""),1.15)</f>
        <v>1.15</v>
      </c>
      <c r="R607" s="57">
        <f>IFERROR(__xludf.DUMMYFUNCTION("""COMPUTED_VALUE"""),2.85)</f>
        <v>2.85</v>
      </c>
      <c r="S607" s="31">
        <f>IFERROR(__xludf.DUMMYFUNCTION("""COMPUTED_VALUE"""),356.3833333333333)</f>
        <v>356.3833333</v>
      </c>
      <c r="T607" s="57">
        <f>IFERROR(__xludf.DUMMYFUNCTION("""COMPUTED_VALUE"""),0.8333333333333333)</f>
        <v>0.8333333333</v>
      </c>
      <c r="U607" s="57">
        <f>IFERROR(__xludf.DUMMYFUNCTION("""COMPUTED_VALUE"""),0.7166666666666666)</f>
        <v>0.7166666667</v>
      </c>
      <c r="V607" s="57">
        <f>IFERROR(__xludf.DUMMYFUNCTION("""COMPUTED_VALUE"""),1.3833333333333335)</f>
        <v>1.383333333</v>
      </c>
      <c r="W607" s="57">
        <f>IFERROR(__xludf.DUMMYFUNCTION("""COMPUTED_VALUE"""),2.7666666666666666)</f>
        <v>2.766666667</v>
      </c>
      <c r="X607" s="31">
        <f>IFERROR(__xludf.DUMMYFUNCTION("""COMPUTED_VALUE"""),359.47527424133443)</f>
        <v>359.4752742</v>
      </c>
      <c r="Y607" s="57">
        <f>IFERROR(__xludf.DUMMYFUNCTION("""COMPUTED_VALUE"""),0.8562975969035715)</f>
        <v>0.8562975969</v>
      </c>
      <c r="Z607" s="57">
        <f>IFERROR(__xludf.DUMMYFUNCTION("""COMPUTED_VALUE"""),0.6008590144998814)</f>
        <v>0.6008590145</v>
      </c>
      <c r="AA607" s="57">
        <f>IFERROR(__xludf.DUMMYFUNCTION("""COMPUTED_VALUE"""),1.3873509847526668)</f>
        <v>1.387350985</v>
      </c>
      <c r="AB607" s="57">
        <f>IFERROR(__xludf.DUMMYFUNCTION("""COMPUTED_VALUE"""),2.6457707244499793)</f>
        <v>2.645770724</v>
      </c>
      <c r="AC607" s="31">
        <f>IFERROR(__xludf.DUMMYFUNCTION("""COMPUTED_VALUE"""),348.63397072517125)</f>
        <v>348.6339707</v>
      </c>
      <c r="AD607" s="57">
        <f>IFERROR(__xludf.DUMMYFUNCTION("""COMPUTED_VALUE"""),0.8203900076328626)</f>
        <v>0.8203900076</v>
      </c>
      <c r="AE607" s="57">
        <f>IFERROR(__xludf.DUMMYFUNCTION("""COMPUTED_VALUE"""),0.5733958756202009)</f>
        <v>0.5733958756</v>
      </c>
      <c r="AF607" s="57">
        <f>IFERROR(__xludf.DUMMYFUNCTION("""COMPUTED_VALUE"""),1.277068762795365)</f>
        <v>1.277068763</v>
      </c>
      <c r="AG607" s="57">
        <f>IFERROR(__xludf.DUMMYFUNCTION("""COMPUTED_VALUE"""),2.677728036515564)</f>
        <v>2.677728037</v>
      </c>
      <c r="AH607" s="57">
        <f>IFERROR(__xludf.DUMMYFUNCTION("""COMPUTED_VALUE"""),0.9878555416835472)</f>
        <v>0.9878555417</v>
      </c>
      <c r="AI607" s="57">
        <f>IFERROR(__xludf.DUMMYFUNCTION("""COMPUTED_VALUE"""),1.2189324476115702)</f>
        <v>1.218932448</v>
      </c>
      <c r="AJ607" s="57">
        <f>IFERROR(__xludf.DUMMYFUNCTION("""COMPUTED_VALUE"""),0.6975983208238966)</f>
        <v>0.6975983208</v>
      </c>
      <c r="AK607" s="57">
        <f>IFERROR(__xludf.DUMMYFUNCTION("""COMPUTED_VALUE"""),0.9004996704192926)</f>
        <v>0.9004996704</v>
      </c>
      <c r="AL607" s="57">
        <f>IFERROR(__xludf.DUMMYFUNCTION("""COMPUTED_VALUE"""),1.0643351233341112)</f>
        <v>1.064335123</v>
      </c>
      <c r="AM607" s="57">
        <f>IFERROR(__xludf.DUMMYFUNCTION("""COMPUTED_VALUE"""),0.9913987383011903)</f>
        <v>0.9913987383</v>
      </c>
      <c r="AN607" s="57">
        <f>IFERROR(__xludf.DUMMYFUNCTION("""COMPUTED_VALUE"""),0.9731819128615115)</f>
        <v>0.9731819129</v>
      </c>
      <c r="AO607" s="57">
        <f>IFERROR(__xludf.DUMMYFUNCTION("""COMPUTED_VALUE"""),1.1927368140813805)</f>
        <v>1.192736814</v>
      </c>
      <c r="AP607" s="35">
        <f>IFERROR(__xludf.DUMMYFUNCTION("""COMPUTED_VALUE"""),0.9971040843568151)</f>
        <v>0.9971040844</v>
      </c>
      <c r="AQ607" s="57">
        <f>IFERROR(__xludf.DUMMYFUNCTION("""COMPUTED_VALUE"""),1.045694035805699)</f>
        <v>1.045694036</v>
      </c>
      <c r="AR607" s="36" t="b">
        <f>IFERROR(__xludf.DUMMYFUNCTION("""COMPUTED_VALUE"""),TRUE)</f>
        <v>1</v>
      </c>
      <c r="AS607" s="57"/>
      <c r="AT607" s="37"/>
      <c r="AU607" s="30"/>
      <c r="AV607" s="30"/>
      <c r="AW607" s="30"/>
      <c r="AX607" s="30"/>
      <c r="AY607" s="30"/>
      <c r="AZ607" s="30"/>
    </row>
    <row r="608">
      <c r="A608" s="30" t="str">
        <f>IFERROR(__xludf.DUMMYFUNCTION("""COMPUTED_VALUE"""),"Rival")</f>
        <v>Rival</v>
      </c>
      <c r="B608" s="30" t="str">
        <f>IFERROR(__xludf.DUMMYFUNCTION("""COMPUTED_VALUE"""),"RSC005752")</f>
        <v>RSC005752</v>
      </c>
      <c r="C608" s="30" t="str">
        <f>IFERROR(__xludf.DUMMYFUNCTION("""COMPUTED_VALUE"""),"surge85")</f>
        <v>surge85</v>
      </c>
      <c r="D608" s="31" t="str">
        <f>IFERROR(__xludf.DUMMYFUNCTION("""COMPUTED_VALUE"""),"Polar Bears")</f>
        <v>Polar Bears</v>
      </c>
      <c r="E608" s="31">
        <f>IFERROR(__xludf.DUMMYFUNCTION("""COMPUTED_VALUE"""),55.93053613695245)</f>
        <v>55.93053614</v>
      </c>
      <c r="F608" s="31">
        <f>IFERROR(__xludf.DUMMYFUNCTION("""COMPUTED_VALUE"""),2.4615839061688667)</f>
        <v>2.461583906</v>
      </c>
      <c r="G608" s="31">
        <f>IFERROR(__xludf.DUMMYFUNCTION("""COMPUTED_VALUE"""),51.66590590025233)</f>
        <v>51.6659059</v>
      </c>
      <c r="H608" s="31">
        <f>IFERROR(__xludf.DUMMYFUNCTION("""COMPUTED_VALUE"""),2.1122194799891503)</f>
        <v>2.11221948</v>
      </c>
      <c r="I608" s="54">
        <f>IFERROR(__xludf.DUMMYFUNCTION("""COMPUTED_VALUE"""),33.0)</f>
        <v>33</v>
      </c>
      <c r="J608" s="55">
        <f>IFERROR(__xludf.DUMMYFUNCTION("""COMPUTED_VALUE"""),13.0)</f>
        <v>13</v>
      </c>
      <c r="K608" s="54">
        <f>IFERROR(__xludf.DUMMYFUNCTION("""COMPUTED_VALUE"""),20.0)</f>
        <v>20</v>
      </c>
      <c r="L608" s="56">
        <f>IFERROR(__xludf.DUMMYFUNCTION("""COMPUTED_VALUE"""),0.3939393939393939)</f>
        <v>0.3939393939</v>
      </c>
      <c r="M608" s="56">
        <f>IFERROR(__xludf.DUMMYFUNCTION("""COMPUTED_VALUE"""),0.37037037037037035)</f>
        <v>0.3703703704</v>
      </c>
      <c r="N608" s="31">
        <f>IFERROR(__xludf.DUMMYFUNCTION("""COMPUTED_VALUE"""),377.27272727272725)</f>
        <v>377.2727273</v>
      </c>
      <c r="O608" s="57">
        <f>IFERROR(__xludf.DUMMYFUNCTION("""COMPUTED_VALUE"""),0.9090909090909091)</f>
        <v>0.9090909091</v>
      </c>
      <c r="P608" s="57">
        <f>IFERROR(__xludf.DUMMYFUNCTION("""COMPUTED_VALUE"""),0.42424242424242425)</f>
        <v>0.4242424242</v>
      </c>
      <c r="Q608" s="57">
        <f>IFERROR(__xludf.DUMMYFUNCTION("""COMPUTED_VALUE"""),1.2424242424242424)</f>
        <v>1.242424242</v>
      </c>
      <c r="R608" s="57">
        <f>IFERROR(__xludf.DUMMYFUNCTION("""COMPUTED_VALUE"""),2.4545454545454546)</f>
        <v>2.454545455</v>
      </c>
      <c r="S608" s="31">
        <f>IFERROR(__xludf.DUMMYFUNCTION("""COMPUTED_VALUE"""),376.83838383838383)</f>
        <v>376.8383838</v>
      </c>
      <c r="T608" s="57">
        <f>IFERROR(__xludf.DUMMYFUNCTION("""COMPUTED_VALUE"""),0.9292929292929291)</f>
        <v>0.9292929293</v>
      </c>
      <c r="U608" s="57">
        <f>IFERROR(__xludf.DUMMYFUNCTION("""COMPUTED_VALUE"""),0.6767676767676767)</f>
        <v>0.6767676768</v>
      </c>
      <c r="V608" s="57">
        <f>IFERROR(__xludf.DUMMYFUNCTION("""COMPUTED_VALUE"""),1.3535353535353534)</f>
        <v>1.353535354</v>
      </c>
      <c r="W608" s="57">
        <f>IFERROR(__xludf.DUMMYFUNCTION("""COMPUTED_VALUE"""),2.6868686868686864)</f>
        <v>2.686868687</v>
      </c>
      <c r="X608" s="31">
        <f>IFERROR(__xludf.DUMMYFUNCTION("""COMPUTED_VALUE"""),357.57758145983354)</f>
        <v>357.5775815</v>
      </c>
      <c r="Y608" s="57">
        <f>IFERROR(__xludf.DUMMYFUNCTION("""COMPUTED_VALUE"""),0.8281128544149551)</f>
        <v>0.8281128544</v>
      </c>
      <c r="Z608" s="57">
        <f>IFERROR(__xludf.DUMMYFUNCTION("""COMPUTED_VALUE"""),0.6020297175720414)</f>
        <v>0.6020297176</v>
      </c>
      <c r="AA608" s="57">
        <f>IFERROR(__xludf.DUMMYFUNCTION("""COMPUTED_VALUE"""),1.3146049981193608)</f>
        <v>1.314604998</v>
      </c>
      <c r="AB608" s="57">
        <f>IFERROR(__xludf.DUMMYFUNCTION("""COMPUTED_VALUE"""),2.6193164537839455)</f>
        <v>2.619316454</v>
      </c>
      <c r="AC608" s="31">
        <f>IFERROR(__xludf.DUMMYFUNCTION("""COMPUTED_VALUE"""),335.81793718143945)</f>
        <v>335.8179372</v>
      </c>
      <c r="AD608" s="57">
        <f>IFERROR(__xludf.DUMMYFUNCTION("""COMPUTED_VALUE"""),0.7102231329535451)</f>
        <v>0.710223133</v>
      </c>
      <c r="AE608" s="57">
        <f>IFERROR(__xludf.DUMMYFUNCTION("""COMPUTED_VALUE"""),0.5217226361069918)</f>
        <v>0.5217226361</v>
      </c>
      <c r="AF608" s="57">
        <f>IFERROR(__xludf.DUMMYFUNCTION("""COMPUTED_VALUE"""),1.2859169679920037)</f>
        <v>1.285916968</v>
      </c>
      <c r="AG608" s="57">
        <f>IFERROR(__xludf.DUMMYFUNCTION("""COMPUTED_VALUE"""),2.4743711450542563)</f>
        <v>2.474371145</v>
      </c>
      <c r="AH608" s="57">
        <f>IFERROR(__xludf.DUMMYFUNCTION("""COMPUTED_VALUE"""),1.1234442401713942)</f>
        <v>1.12344424</v>
      </c>
      <c r="AI608" s="57">
        <f>IFERROR(__xludf.DUMMYFUNCTION("""COMPUTED_VALUE"""),1.280007460909291)</f>
        <v>1.280007461</v>
      </c>
      <c r="AJ608" s="57">
        <f>IFERROR(__xludf.DUMMYFUNCTION("""COMPUTED_VALUE"""),0.8131570203816557)</f>
        <v>0.8131570204</v>
      </c>
      <c r="AK608" s="57">
        <f>IFERROR(__xludf.DUMMYFUNCTION("""COMPUTED_VALUE"""),0.9661776563725756)</f>
        <v>0.9661776564</v>
      </c>
      <c r="AL608" s="57">
        <f>IFERROR(__xludf.DUMMYFUNCTION("""COMPUTED_VALUE"""),0.9919875841793463)</f>
        <v>0.9919875842</v>
      </c>
      <c r="AM608" s="57">
        <f>IFERROR(__xludf.DUMMYFUNCTION("""COMPUTED_VALUE"""),1.0538646810572319)</f>
        <v>1.053864681</v>
      </c>
      <c r="AN608" s="57">
        <f>IFERROR(__xludf.DUMMYFUNCTION("""COMPUTED_VALUE"""),1.1221815050189694)</f>
        <v>1.122181505</v>
      </c>
      <c r="AO608" s="57">
        <f>IFERROR(__xludf.DUMMYFUNCTION("""COMPUTED_VALUE"""),1.124143305578087)</f>
        <v>1.124143306</v>
      </c>
      <c r="AP608" s="35">
        <f>IFERROR(__xludf.DUMMYFUNCTION("""COMPUTED_VALUE"""),1.0296137284368196)</f>
        <v>1.029613728</v>
      </c>
      <c r="AQ608" s="57">
        <f>IFERROR(__xludf.DUMMYFUNCTION("""COMPUTED_VALUE"""),1.0257900235716662)</f>
        <v>1.025790024</v>
      </c>
      <c r="AR608" s="36" t="b">
        <f>IFERROR(__xludf.DUMMYFUNCTION("""COMPUTED_VALUE"""),TRUE)</f>
        <v>1</v>
      </c>
      <c r="AS608" s="57"/>
      <c r="AT608" s="37"/>
      <c r="AU608" s="30"/>
      <c r="AV608" s="30"/>
      <c r="AW608" s="30"/>
      <c r="AX608" s="30"/>
      <c r="AY608" s="30"/>
      <c r="AZ608" s="30"/>
    </row>
    <row r="609">
      <c r="A609" s="30" t="str">
        <f>IFERROR(__xludf.DUMMYFUNCTION("""COMPUTED_VALUE"""),"Rival")</f>
        <v>Rival</v>
      </c>
      <c r="B609" s="30" t="str">
        <f>IFERROR(__xludf.DUMMYFUNCTION("""COMPUTED_VALUE"""),"RSC005165")</f>
        <v>RSC005165</v>
      </c>
      <c r="C609" s="30" t="str">
        <f>IFERROR(__xludf.DUMMYFUNCTION("""COMPUTED_VALUE"""),"Lucas")</f>
        <v>Lucas</v>
      </c>
      <c r="D609" s="31" t="str">
        <f>IFERROR(__xludf.DUMMYFUNCTION("""COMPUTED_VALUE"""),"Stolen")</f>
        <v>Stolen</v>
      </c>
      <c r="E609" s="31">
        <f>IFERROR(__xludf.DUMMYFUNCTION("""COMPUTED_VALUE"""),55.92668636454056)</f>
        <v>55.92668636</v>
      </c>
      <c r="F609" s="31">
        <f>IFERROR(__xludf.DUMMYFUNCTION("""COMPUTED_VALUE"""),2.4612220310409256)</f>
        <v>2.461222031</v>
      </c>
      <c r="G609" s="31">
        <f>IFERROR(__xludf.DUMMYFUNCTION("""COMPUTED_VALUE"""),49.05704096027175)</f>
        <v>49.05704096</v>
      </c>
      <c r="H609" s="31">
        <f>IFERROR(__xludf.DUMMYFUNCTION("""COMPUTED_VALUE"""),-2.062042240321321)</f>
        <v>-2.06204224</v>
      </c>
      <c r="I609" s="54">
        <f>IFERROR(__xludf.DUMMYFUNCTION("""COMPUTED_VALUE"""),35.0)</f>
        <v>35</v>
      </c>
      <c r="J609" s="55">
        <f>IFERROR(__xludf.DUMMYFUNCTION("""COMPUTED_VALUE"""),23.0)</f>
        <v>23</v>
      </c>
      <c r="K609" s="54">
        <f>IFERROR(__xludf.DUMMYFUNCTION("""COMPUTED_VALUE"""),12.0)</f>
        <v>12</v>
      </c>
      <c r="L609" s="56">
        <f>IFERROR(__xludf.DUMMYFUNCTION("""COMPUTED_VALUE"""),0.6571428571428571)</f>
        <v>0.6571428571</v>
      </c>
      <c r="M609" s="56">
        <f>IFERROR(__xludf.DUMMYFUNCTION("""COMPUTED_VALUE"""),0.25252525252525254)</f>
        <v>0.2525252525</v>
      </c>
      <c r="N609" s="31">
        <f>IFERROR(__xludf.DUMMYFUNCTION("""COMPUTED_VALUE"""),344.4)</f>
        <v>344.4</v>
      </c>
      <c r="O609" s="57">
        <f>IFERROR(__xludf.DUMMYFUNCTION("""COMPUTED_VALUE"""),0.7142857142857143)</f>
        <v>0.7142857143</v>
      </c>
      <c r="P609" s="57">
        <f>IFERROR(__xludf.DUMMYFUNCTION("""COMPUTED_VALUE"""),0.5714285714285714)</f>
        <v>0.5714285714</v>
      </c>
      <c r="Q609" s="57">
        <f>IFERROR(__xludf.DUMMYFUNCTION("""COMPUTED_VALUE"""),1.4)</f>
        <v>1.4</v>
      </c>
      <c r="R609" s="57">
        <f>IFERROR(__xludf.DUMMYFUNCTION("""COMPUTED_VALUE"""),2.8285714285714287)</f>
        <v>2.828571429</v>
      </c>
      <c r="S609" s="31">
        <f>IFERROR(__xludf.DUMMYFUNCTION("""COMPUTED_VALUE"""),347.07619047619056)</f>
        <v>347.0761905</v>
      </c>
      <c r="T609" s="57">
        <f>IFERROR(__xludf.DUMMYFUNCTION("""COMPUTED_VALUE"""),0.7333333333333334)</f>
        <v>0.7333333333</v>
      </c>
      <c r="U609" s="57">
        <f>IFERROR(__xludf.DUMMYFUNCTION("""COMPUTED_VALUE"""),0.6190476190476191)</f>
        <v>0.619047619</v>
      </c>
      <c r="V609" s="57">
        <f>IFERROR(__xludf.DUMMYFUNCTION("""COMPUTED_VALUE"""),1.4095238095238096)</f>
        <v>1.40952381</v>
      </c>
      <c r="W609" s="57">
        <f>IFERROR(__xludf.DUMMYFUNCTION("""COMPUTED_VALUE"""),2.5047619047619043)</f>
        <v>2.504761905</v>
      </c>
      <c r="X609" s="31">
        <f>IFERROR(__xludf.DUMMYFUNCTION("""COMPUTED_VALUE"""),356.99885549020246)</f>
        <v>356.9988555</v>
      </c>
      <c r="Y609" s="57">
        <f>IFERROR(__xludf.DUMMYFUNCTION("""COMPUTED_VALUE"""),0.8367195790963978)</f>
        <v>0.8367195791</v>
      </c>
      <c r="Z609" s="57">
        <f>IFERROR(__xludf.DUMMYFUNCTION("""COMPUTED_VALUE"""),0.6080188964047171)</f>
        <v>0.6080188964</v>
      </c>
      <c r="AA609" s="57">
        <f>IFERROR(__xludf.DUMMYFUNCTION("""COMPUTED_VALUE"""),1.3500756220349377)</f>
        <v>1.350075622</v>
      </c>
      <c r="AB609" s="57">
        <f>IFERROR(__xludf.DUMMYFUNCTION("""COMPUTED_VALUE"""),2.6513201102617945)</f>
        <v>2.65132011</v>
      </c>
      <c r="AC609" s="31">
        <f>IFERROR(__xludf.DUMMYFUNCTION("""COMPUTED_VALUE"""),346.16641813839277)</f>
        <v>346.1664181</v>
      </c>
      <c r="AD609" s="57">
        <f>IFERROR(__xludf.DUMMYFUNCTION("""COMPUTED_VALUE"""),0.7940315349609542)</f>
        <v>0.794031535</v>
      </c>
      <c r="AE609" s="57">
        <f>IFERROR(__xludf.DUMMYFUNCTION("""COMPUTED_VALUE"""),0.563468599989516)</f>
        <v>0.5634686</v>
      </c>
      <c r="AF609" s="57">
        <f>IFERROR(__xludf.DUMMYFUNCTION("""COMPUTED_VALUE"""),1.3027563544994865)</f>
        <v>1.302756354</v>
      </c>
      <c r="AG609" s="57">
        <f>IFERROR(__xludf.DUMMYFUNCTION("""COMPUTED_VALUE"""),2.629859263124758)</f>
        <v>2.629859263</v>
      </c>
      <c r="AH609" s="57">
        <f>IFERROR(__xludf.DUMMYFUNCTION("""COMPUTED_VALUE"""),0.9948971995958124)</f>
        <v>0.9948971996</v>
      </c>
      <c r="AI609" s="57">
        <f>IFERROR(__xludf.DUMMYFUNCTION("""COMPUTED_VALUE"""),0.8995684463852417)</f>
        <v>0.8995684464</v>
      </c>
      <c r="AJ609" s="57">
        <f>IFERROR(__xludf.DUMMYFUNCTION("""COMPUTED_VALUE"""),1.0141267347270166)</f>
        <v>1.014126735</v>
      </c>
      <c r="AK609" s="57">
        <f>IFERROR(__xludf.DUMMYFUNCTION("""COMPUTED_VALUE"""),1.0746445374567941)</f>
        <v>1.074644537</v>
      </c>
      <c r="AL609" s="57">
        <f>IFERROR(__xludf.DUMMYFUNCTION("""COMPUTED_VALUE"""),1.0755599998193681)</f>
        <v>1.07556</v>
      </c>
      <c r="AM609" s="57">
        <f>IFERROR(__xludf.DUMMYFUNCTION("""COMPUTED_VALUE"""),0.9722053310216167)</f>
        <v>0.972205331</v>
      </c>
      <c r="AN609" s="57">
        <f>IFERROR(__xludf.DUMMYFUNCTION("""COMPUTED_VALUE"""),0.8764385962203552)</f>
        <v>0.8764385962</v>
      </c>
      <c r="AO609" s="57">
        <f>IFERROR(__xludf.DUMMYFUNCTION("""COMPUTED_VALUE"""),1.0181387827057942)</f>
        <v>1.018138783</v>
      </c>
      <c r="AP609" s="35">
        <f>IFERROR(__xludf.DUMMYFUNCTION("""COMPUTED_VALUE"""),1.0440332278567233)</f>
        <v>1.044033228</v>
      </c>
      <c r="AQ609" s="57">
        <f>IFERROR(__xludf.DUMMYFUNCTION("""COMPUTED_VALUE"""),0.9447225535186625)</f>
        <v>0.9447225535</v>
      </c>
      <c r="AR609" s="36" t="b">
        <f>IFERROR(__xludf.DUMMYFUNCTION("""COMPUTED_VALUE"""),TRUE)</f>
        <v>1</v>
      </c>
      <c r="AS609" s="57"/>
      <c r="AT609" s="37"/>
      <c r="AU609" s="30"/>
      <c r="AV609" s="30"/>
      <c r="AW609" s="30"/>
      <c r="AX609" s="30"/>
      <c r="AY609" s="30"/>
      <c r="AZ609" s="30"/>
    </row>
    <row r="610">
      <c r="A610" s="30" t="str">
        <f>IFERROR(__xludf.DUMMYFUNCTION("""COMPUTED_VALUE"""),"Rival")</f>
        <v>Rival</v>
      </c>
      <c r="B610" s="30" t="str">
        <f>IFERROR(__xludf.DUMMYFUNCTION("""COMPUTED_VALUE"""),"RSC005314")</f>
        <v>RSC005314</v>
      </c>
      <c r="C610" s="30" t="str">
        <f>IFERROR(__xludf.DUMMYFUNCTION("""COMPUTED_VALUE"""),"daggumbigfeet")</f>
        <v>daggumbigfeet</v>
      </c>
      <c r="D610" s="31" t="str">
        <f>IFERROR(__xludf.DUMMYFUNCTION("""COMPUTED_VALUE"""),"Dice")</f>
        <v>Dice</v>
      </c>
      <c r="E610" s="31">
        <f>IFERROR(__xludf.DUMMYFUNCTION("""COMPUTED_VALUE"""),54.57087440380544)</f>
        <v>54.5708744</v>
      </c>
      <c r="F610" s="31">
        <f>IFERROR(__xludf.DUMMYFUNCTION("""COMPUTED_VALUE"""),2.3393796436156764)</f>
        <v>2.339379644</v>
      </c>
      <c r="G610" s="31">
        <f>IFERROR(__xludf.DUMMYFUNCTION("""COMPUTED_VALUE"""),62.86221072325834)</f>
        <v>62.86221072</v>
      </c>
      <c r="H610" s="31">
        <f>IFERROR(__xludf.DUMMYFUNCTION("""COMPUTED_VALUE"""),3.295378545951479)</f>
        <v>3.295378546</v>
      </c>
      <c r="I610" s="54">
        <f>IFERROR(__xludf.DUMMYFUNCTION("""COMPUTED_VALUE"""),16.0)</f>
        <v>16</v>
      </c>
      <c r="J610" s="55">
        <f>IFERROR(__xludf.DUMMYFUNCTION("""COMPUTED_VALUE"""),5.0)</f>
        <v>5</v>
      </c>
      <c r="K610" s="54">
        <f>IFERROR(__xludf.DUMMYFUNCTION("""COMPUTED_VALUE"""),11.0)</f>
        <v>11</v>
      </c>
      <c r="L610" s="56">
        <f>IFERROR(__xludf.DUMMYFUNCTION("""COMPUTED_VALUE"""),0.3125)</f>
        <v>0.3125</v>
      </c>
      <c r="M610" s="56">
        <f>IFERROR(__xludf.DUMMYFUNCTION("""COMPUTED_VALUE"""),0.32653061224489793)</f>
        <v>0.3265306122</v>
      </c>
      <c r="N610" s="31">
        <f>IFERROR(__xludf.DUMMYFUNCTION("""COMPUTED_VALUE"""),366.25)</f>
        <v>366.25</v>
      </c>
      <c r="O610" s="57">
        <f>IFERROR(__xludf.DUMMYFUNCTION("""COMPUTED_VALUE"""),1.0)</f>
        <v>1</v>
      </c>
      <c r="P610" s="57">
        <f>IFERROR(__xludf.DUMMYFUNCTION("""COMPUTED_VALUE"""),0.3125)</f>
        <v>0.3125</v>
      </c>
      <c r="Q610" s="57">
        <f>IFERROR(__xludf.DUMMYFUNCTION("""COMPUTED_VALUE"""),1.4375)</f>
        <v>1.4375</v>
      </c>
      <c r="R610" s="57">
        <f>IFERROR(__xludf.DUMMYFUNCTION("""COMPUTED_VALUE"""),3.0625)</f>
        <v>3.0625</v>
      </c>
      <c r="S610" s="31">
        <f>IFERROR(__xludf.DUMMYFUNCTION("""COMPUTED_VALUE"""),368.74999999999994)</f>
        <v>368.75</v>
      </c>
      <c r="T610" s="57">
        <f>IFERROR(__xludf.DUMMYFUNCTION("""COMPUTED_VALUE"""),1.0416666666666667)</f>
        <v>1.041666667</v>
      </c>
      <c r="U610" s="57">
        <f>IFERROR(__xludf.DUMMYFUNCTION("""COMPUTED_VALUE"""),0.7291666666666667)</f>
        <v>0.7291666667</v>
      </c>
      <c r="V610" s="57">
        <f>IFERROR(__xludf.DUMMYFUNCTION("""COMPUTED_VALUE"""),1.2083333333333333)</f>
        <v>1.208333333</v>
      </c>
      <c r="W610" s="57">
        <f>IFERROR(__xludf.DUMMYFUNCTION("""COMPUTED_VALUE"""),2.604166666666666)</f>
        <v>2.604166667</v>
      </c>
      <c r="X610" s="31">
        <f>IFERROR(__xludf.DUMMYFUNCTION("""COMPUTED_VALUE"""),341.27913860209514)</f>
        <v>341.2791386</v>
      </c>
      <c r="Y610" s="57">
        <f>IFERROR(__xludf.DUMMYFUNCTION("""COMPUTED_VALUE"""),0.7791645609686957)</f>
        <v>0.779164561</v>
      </c>
      <c r="Z610" s="57">
        <f>IFERROR(__xludf.DUMMYFUNCTION("""COMPUTED_VALUE"""),0.600370276076265)</f>
        <v>0.6003702761</v>
      </c>
      <c r="AA610" s="57">
        <f>IFERROR(__xludf.DUMMYFUNCTION("""COMPUTED_VALUE"""),1.2919753384600463)</f>
        <v>1.291975338</v>
      </c>
      <c r="AB610" s="57">
        <f>IFERROR(__xludf.DUMMYFUNCTION("""COMPUTED_VALUE"""),2.525040418715823)</f>
        <v>2.525040419</v>
      </c>
      <c r="AC610" s="31">
        <f>IFERROR(__xludf.DUMMYFUNCTION("""COMPUTED_VALUE"""),348.0070742419169)</f>
        <v>348.0070742</v>
      </c>
      <c r="AD610" s="57">
        <f>IFERROR(__xludf.DUMMYFUNCTION("""COMPUTED_VALUE"""),0.7991122222300291)</f>
        <v>0.7991122222</v>
      </c>
      <c r="AE610" s="57">
        <f>IFERROR(__xludf.DUMMYFUNCTION("""COMPUTED_VALUE"""),0.5320718361652399)</f>
        <v>0.5320718362</v>
      </c>
      <c r="AF610" s="57">
        <f>IFERROR(__xludf.DUMMYFUNCTION("""COMPUTED_VALUE"""),1.3307013638206806)</f>
        <v>1.330701364</v>
      </c>
      <c r="AG610" s="57">
        <f>IFERROR(__xludf.DUMMYFUNCTION("""COMPUTED_VALUE"""),2.5801562435287395)</f>
        <v>2.580156244</v>
      </c>
      <c r="AH610" s="57">
        <f>IFERROR(__xludf.DUMMYFUNCTION("""COMPUTED_VALUE"""),1.0524211348226835)</f>
        <v>1.052421135</v>
      </c>
      <c r="AI610" s="57">
        <f>IFERROR(__xludf.DUMMYFUNCTION("""COMPUTED_VALUE"""),1.251388693829969)</f>
        <v>1.251388694</v>
      </c>
      <c r="AJ610" s="57">
        <f>IFERROR(__xludf.DUMMYFUNCTION("""COMPUTED_VALUE"""),0.5873267080856168)</f>
        <v>0.5873267081</v>
      </c>
      <c r="AK610" s="57">
        <f>IFERROR(__xludf.DUMMYFUNCTION("""COMPUTED_VALUE"""),1.0802574034137018)</f>
        <v>1.080257403</v>
      </c>
      <c r="AL610" s="57">
        <f>IFERROR(__xludf.DUMMYFUNCTION("""COMPUTED_VALUE"""),1.1869436231550012)</f>
        <v>1.186943623</v>
      </c>
      <c r="AM610" s="57">
        <f>IFERROR(__xludf.DUMMYFUNCTION("""COMPUTED_VALUE"""),1.0804938195473286)</f>
        <v>1.08049382</v>
      </c>
      <c r="AN610" s="57">
        <f>IFERROR(__xludf.DUMMYFUNCTION("""COMPUTED_VALUE"""),1.336902008699697)</f>
        <v>1.336902009</v>
      </c>
      <c r="AO610" s="57">
        <f>IFERROR(__xludf.DUMMYFUNCTION("""COMPUTED_VALUE"""),1.2145282598468294)</f>
        <v>1.21452826</v>
      </c>
      <c r="AP610" s="35">
        <f>IFERROR(__xludf.DUMMYFUNCTION("""COMPUTED_VALUE"""),0.935260370196842)</f>
        <v>0.9352603702</v>
      </c>
      <c r="AQ610" s="57">
        <f>IFERROR(__xludf.DUMMYFUNCTION("""COMPUTED_VALUE"""),1.03133662628303)</f>
        <v>1.031336626</v>
      </c>
      <c r="AR610" s="36" t="b">
        <f>IFERROR(__xludf.DUMMYFUNCTION("""COMPUTED_VALUE"""),TRUE)</f>
        <v>1</v>
      </c>
      <c r="AS610" s="57"/>
      <c r="AT610" s="37"/>
      <c r="AU610" s="30"/>
      <c r="AV610" s="30"/>
      <c r="AW610" s="30"/>
      <c r="AX610" s="30"/>
      <c r="AY610" s="30"/>
      <c r="AZ610" s="30"/>
    </row>
    <row r="611">
      <c r="A611" s="30" t="str">
        <f>IFERROR(__xludf.DUMMYFUNCTION("""COMPUTED_VALUE"""),"Rival")</f>
        <v>Rival</v>
      </c>
      <c r="B611" s="30" t="str">
        <f>IFERROR(__xludf.DUMMYFUNCTION("""COMPUTED_VALUE"""),"RSC006935")</f>
        <v>RSC006935</v>
      </c>
      <c r="C611" s="30" t="str">
        <f>IFERROR(__xludf.DUMMYFUNCTION("""COMPUTED_VALUE"""),"Bazzinga")</f>
        <v>Bazzinga</v>
      </c>
      <c r="D611" s="31" t="str">
        <f>IFERROR(__xludf.DUMMYFUNCTION("""COMPUTED_VALUE"""),"Lacuna")</f>
        <v>Lacuna</v>
      </c>
      <c r="E611" s="31">
        <f>IFERROR(__xludf.DUMMYFUNCTION("""COMPUTED_VALUE"""),53.960682389079025)</f>
        <v>53.96068239</v>
      </c>
      <c r="F611" s="31">
        <f>IFERROR(__xludf.DUMMYFUNCTION("""COMPUTED_VALUE"""),2.288015096358727)</f>
        <v>2.288015096</v>
      </c>
      <c r="G611" s="31">
        <f>IFERROR(__xludf.DUMMYFUNCTION("""COMPUTED_VALUE"""),53.36162785853495)</f>
        <v>53.36162786</v>
      </c>
      <c r="H611" s="31">
        <f>IFERROR(__xludf.DUMMYFUNCTION("""COMPUTED_VALUE"""),2.239554394341176)</f>
        <v>2.239554394</v>
      </c>
      <c r="I611" s="54">
        <f>IFERROR(__xludf.DUMMYFUNCTION("""COMPUTED_VALUE"""),36.0)</f>
        <v>36</v>
      </c>
      <c r="J611" s="55">
        <f>IFERROR(__xludf.DUMMYFUNCTION("""COMPUTED_VALUE"""),15.0)</f>
        <v>15</v>
      </c>
      <c r="K611" s="54">
        <f>IFERROR(__xludf.DUMMYFUNCTION("""COMPUTED_VALUE"""),21.0)</f>
        <v>21</v>
      </c>
      <c r="L611" s="56">
        <f>IFERROR(__xludf.DUMMYFUNCTION("""COMPUTED_VALUE"""),0.4166666666666667)</f>
        <v>0.4166666667</v>
      </c>
      <c r="M611" s="56">
        <f>IFERROR(__xludf.DUMMYFUNCTION("""COMPUTED_VALUE"""),0.27)</f>
        <v>0.27</v>
      </c>
      <c r="N611" s="31">
        <f>IFERROR(__xludf.DUMMYFUNCTION("""COMPUTED_VALUE"""),353.69444444444446)</f>
        <v>353.6944444</v>
      </c>
      <c r="O611" s="57">
        <f>IFERROR(__xludf.DUMMYFUNCTION("""COMPUTED_VALUE"""),0.75)</f>
        <v>0.75</v>
      </c>
      <c r="P611" s="57">
        <f>IFERROR(__xludf.DUMMYFUNCTION("""COMPUTED_VALUE"""),0.4444444444444444)</f>
        <v>0.4444444444</v>
      </c>
      <c r="Q611" s="57">
        <f>IFERROR(__xludf.DUMMYFUNCTION("""COMPUTED_VALUE"""),1.3888888888888888)</f>
        <v>1.388888889</v>
      </c>
      <c r="R611" s="57">
        <f>IFERROR(__xludf.DUMMYFUNCTION("""COMPUTED_VALUE"""),2.7777777777777777)</f>
        <v>2.777777778</v>
      </c>
      <c r="S611" s="31">
        <f>IFERROR(__xludf.DUMMYFUNCTION("""COMPUTED_VALUE"""),326.08333333333326)</f>
        <v>326.0833333</v>
      </c>
      <c r="T611" s="57">
        <f>IFERROR(__xludf.DUMMYFUNCTION("""COMPUTED_VALUE"""),0.6944444444444444)</f>
        <v>0.6944444444</v>
      </c>
      <c r="U611" s="57">
        <f>IFERROR(__xludf.DUMMYFUNCTION("""COMPUTED_VALUE"""),0.5277777777777777)</f>
        <v>0.5277777778</v>
      </c>
      <c r="V611" s="57">
        <f>IFERROR(__xludf.DUMMYFUNCTION("""COMPUTED_VALUE"""),1.2685185185185186)</f>
        <v>1.268518519</v>
      </c>
      <c r="W611" s="57">
        <f>IFERROR(__xludf.DUMMYFUNCTION("""COMPUTED_VALUE"""),2.509259259259259)</f>
        <v>2.509259259</v>
      </c>
      <c r="X611" s="31">
        <f>IFERROR(__xludf.DUMMYFUNCTION("""COMPUTED_VALUE"""),352.5741960911846)</f>
        <v>352.5741961</v>
      </c>
      <c r="Y611" s="57">
        <f>IFERROR(__xludf.DUMMYFUNCTION("""COMPUTED_VALUE"""),0.8159581752976643)</f>
        <v>0.8159581753</v>
      </c>
      <c r="Z611" s="57">
        <f>IFERROR(__xludf.DUMMYFUNCTION("""COMPUTED_VALUE"""),0.583825214180838)</f>
        <v>0.5838252142</v>
      </c>
      <c r="AA611" s="57">
        <f>IFERROR(__xludf.DUMMYFUNCTION("""COMPUTED_VALUE"""),1.3353348452601796)</f>
        <v>1.335334845</v>
      </c>
      <c r="AB611" s="57">
        <f>IFERROR(__xludf.DUMMYFUNCTION("""COMPUTED_VALUE"""),2.607579918080919)</f>
        <v>2.607579918</v>
      </c>
      <c r="AC611" s="31">
        <f>IFERROR(__xludf.DUMMYFUNCTION("""COMPUTED_VALUE"""),351.5849885693782)</f>
        <v>351.5849886</v>
      </c>
      <c r="AD611" s="57">
        <f>IFERROR(__xludf.DUMMYFUNCTION("""COMPUTED_VALUE"""),0.8008898456113013)</f>
        <v>0.8008898456</v>
      </c>
      <c r="AE611" s="57">
        <f>IFERROR(__xludf.DUMMYFUNCTION("""COMPUTED_VALUE"""),0.5848800152955733)</f>
        <v>0.5848800153</v>
      </c>
      <c r="AF611" s="57">
        <f>IFERROR(__xludf.DUMMYFUNCTION("""COMPUTED_VALUE"""),1.3209319620952398)</f>
        <v>1.320931962</v>
      </c>
      <c r="AG611" s="57">
        <f>IFERROR(__xludf.DUMMYFUNCTION("""COMPUTED_VALUE"""),2.631319978990019)</f>
        <v>2.631319979</v>
      </c>
      <c r="AH611" s="57">
        <f>IFERROR(__xludf.DUMMYFUNCTION("""COMPUTED_VALUE"""),1.0059998462495505)</f>
        <v>1.005999846</v>
      </c>
      <c r="AI611" s="57">
        <f>IFERROR(__xludf.DUMMYFUNCTION("""COMPUTED_VALUE"""),0.9364583707857375)</f>
        <v>0.9364583708</v>
      </c>
      <c r="AJ611" s="57">
        <f>IFERROR(__xludf.DUMMYFUNCTION("""COMPUTED_VALUE"""),0.7598899480602722)</f>
        <v>0.7598899481</v>
      </c>
      <c r="AK611" s="57">
        <f>IFERROR(__xludf.DUMMYFUNCTION("""COMPUTED_VALUE"""),1.0514461976420473)</f>
        <v>1.051446198</v>
      </c>
      <c r="AL611" s="57">
        <f>IFERROR(__xludf.DUMMYFUNCTION("""COMPUTED_VALUE"""),1.0556594408727038)</f>
        <v>1.055659441</v>
      </c>
      <c r="AM611" s="57">
        <f>IFERROR(__xludf.DUMMYFUNCTION("""COMPUTED_VALUE"""),0.9248644312274057)</f>
        <v>0.9248644312</v>
      </c>
      <c r="AN611" s="57">
        <f>IFERROR(__xludf.DUMMYFUNCTION("""COMPUTED_VALUE"""),0.8510784810644353)</f>
        <v>0.8510784811</v>
      </c>
      <c r="AO611" s="57">
        <f>IFERROR(__xludf.DUMMYFUNCTION("""COMPUTED_VALUE"""),0.9039996302973996)</f>
        <v>0.9039996303</v>
      </c>
      <c r="AP611" s="35">
        <f>IFERROR(__xludf.DUMMYFUNCTION("""COMPUTED_VALUE"""),0.9499628673820443)</f>
        <v>0.9499628674</v>
      </c>
      <c r="AQ611" s="57">
        <f>IFERROR(__xludf.DUMMYFUNCTION("""COMPUTED_VALUE"""),0.9622942874579198)</f>
        <v>0.9622942875</v>
      </c>
      <c r="AR611" s="36" t="b">
        <f>IFERROR(__xludf.DUMMYFUNCTION("""COMPUTED_VALUE"""),TRUE)</f>
        <v>1</v>
      </c>
      <c r="AS611" s="57"/>
      <c r="AT611" s="37"/>
      <c r="AU611" s="30"/>
      <c r="AV611" s="30"/>
      <c r="AW611" s="30"/>
      <c r="AX611" s="30"/>
      <c r="AY611" s="30"/>
      <c r="AZ611" s="30"/>
    </row>
    <row r="612">
      <c r="A612" s="30" t="str">
        <f>IFERROR(__xludf.DUMMYFUNCTION("""COMPUTED_VALUE"""),"Rival")</f>
        <v>Rival</v>
      </c>
      <c r="B612" s="30" t="str">
        <f>IFERROR(__xludf.DUMMYFUNCTION("""COMPUTED_VALUE"""),"RSC002960")</f>
        <v>RSC002960</v>
      </c>
      <c r="C612" s="30" t="str">
        <f>IFERROR(__xludf.DUMMYFUNCTION("""COMPUTED_VALUE"""),"Shrek is The Best Anime")</f>
        <v>Shrek is The Best Anime</v>
      </c>
      <c r="D612" s="31" t="str">
        <f>IFERROR(__xludf.DUMMYFUNCTION("""COMPUTED_VALUE"""),"Centuriones")</f>
        <v>Centuriones</v>
      </c>
      <c r="E612" s="31">
        <f>IFERROR(__xludf.DUMMYFUNCTION("""COMPUTED_VALUE"""),53.50987772666451)</f>
        <v>53.50987773</v>
      </c>
      <c r="F612" s="31">
        <f>IFERROR(__xludf.DUMMYFUNCTION("""COMPUTED_VALUE"""),2.2513704097791845)</f>
        <v>2.25137041</v>
      </c>
      <c r="G612" s="31">
        <f>IFERROR(__xludf.DUMMYFUNCTION("""COMPUTED_VALUE"""),47.168167539640876)</f>
        <v>47.16816754</v>
      </c>
      <c r="H612" s="31">
        <f>IFERROR(__xludf.DUMMYFUNCTION("""COMPUTED_VALUE"""),-2.1982517867928646)</f>
        <v>-2.198251787</v>
      </c>
      <c r="I612" s="54">
        <f>IFERROR(__xludf.DUMMYFUNCTION("""COMPUTED_VALUE"""),31.0)</f>
        <v>31</v>
      </c>
      <c r="J612" s="55">
        <f>IFERROR(__xludf.DUMMYFUNCTION("""COMPUTED_VALUE"""),14.0)</f>
        <v>14</v>
      </c>
      <c r="K612" s="54">
        <f>IFERROR(__xludf.DUMMYFUNCTION("""COMPUTED_VALUE"""),17.0)</f>
        <v>17</v>
      </c>
      <c r="L612" s="56">
        <f>IFERROR(__xludf.DUMMYFUNCTION("""COMPUTED_VALUE"""),0.45161290322580644)</f>
        <v>0.4516129032</v>
      </c>
      <c r="M612" s="56">
        <f>IFERROR(__xludf.DUMMYFUNCTION("""COMPUTED_VALUE"""),0.26666666666666666)</f>
        <v>0.2666666667</v>
      </c>
      <c r="N612" s="31">
        <f>IFERROR(__xludf.DUMMYFUNCTION("""COMPUTED_VALUE"""),337.06451612903226)</f>
        <v>337.0645161</v>
      </c>
      <c r="O612" s="57">
        <f>IFERROR(__xludf.DUMMYFUNCTION("""COMPUTED_VALUE"""),0.7741935483870968)</f>
        <v>0.7741935484</v>
      </c>
      <c r="P612" s="57">
        <f>IFERROR(__xludf.DUMMYFUNCTION("""COMPUTED_VALUE"""),0.6129032258064516)</f>
        <v>0.6129032258</v>
      </c>
      <c r="Q612" s="57">
        <f>IFERROR(__xludf.DUMMYFUNCTION("""COMPUTED_VALUE"""),1.0)</f>
        <v>1</v>
      </c>
      <c r="R612" s="57">
        <f>IFERROR(__xludf.DUMMYFUNCTION("""COMPUTED_VALUE"""),2.903225806451613)</f>
        <v>2.903225806</v>
      </c>
      <c r="S612" s="31">
        <f>IFERROR(__xludf.DUMMYFUNCTION("""COMPUTED_VALUE"""),356.33333333333337)</f>
        <v>356.3333333</v>
      </c>
      <c r="T612" s="57">
        <f>IFERROR(__xludf.DUMMYFUNCTION("""COMPUTED_VALUE"""),0.8494623655913978)</f>
        <v>0.8494623656</v>
      </c>
      <c r="U612" s="57">
        <f>IFERROR(__xludf.DUMMYFUNCTION("""COMPUTED_VALUE"""),0.6236559139784947)</f>
        <v>0.623655914</v>
      </c>
      <c r="V612" s="57">
        <f>IFERROR(__xludf.DUMMYFUNCTION("""COMPUTED_VALUE"""),1.2903225806451615)</f>
        <v>1.290322581</v>
      </c>
      <c r="W612" s="57">
        <f>IFERROR(__xludf.DUMMYFUNCTION("""COMPUTED_VALUE"""),2.655913978494624)</f>
        <v>2.655913978</v>
      </c>
      <c r="X612" s="31">
        <f>IFERROR(__xludf.DUMMYFUNCTION("""COMPUTED_VALUE"""),343.67540848072326)</f>
        <v>343.6754085</v>
      </c>
      <c r="Y612" s="57">
        <f>IFERROR(__xludf.DUMMYFUNCTION("""COMPUTED_VALUE"""),0.7400022071830616)</f>
        <v>0.7400022072</v>
      </c>
      <c r="Z612" s="57">
        <f>IFERROR(__xludf.DUMMYFUNCTION("""COMPUTED_VALUE"""),0.5582350893742636)</f>
        <v>0.5582350894</v>
      </c>
      <c r="AA612" s="57">
        <f>IFERROR(__xludf.DUMMYFUNCTION("""COMPUTED_VALUE"""),1.361204734847017)</f>
        <v>1.361204735</v>
      </c>
      <c r="AB612" s="57">
        <f>IFERROR(__xludf.DUMMYFUNCTION("""COMPUTED_VALUE"""),2.5017246454922306)</f>
        <v>2.501724645</v>
      </c>
      <c r="AC612" s="31">
        <f>IFERROR(__xludf.DUMMYFUNCTION("""COMPUTED_VALUE"""),352.06642163929024)</f>
        <v>352.0664216</v>
      </c>
      <c r="AD612" s="57">
        <f>IFERROR(__xludf.DUMMYFUNCTION("""COMPUTED_VALUE"""),0.8191130814451931)</f>
        <v>0.8191130814</v>
      </c>
      <c r="AE612" s="57">
        <f>IFERROR(__xludf.DUMMYFUNCTION("""COMPUTED_VALUE"""),0.5837999163124031)</f>
        <v>0.5837999163</v>
      </c>
      <c r="AF612" s="57">
        <f>IFERROR(__xludf.DUMMYFUNCTION("""COMPUTED_VALUE"""),1.289439172356793)</f>
        <v>1.289439172</v>
      </c>
      <c r="AG612" s="57">
        <f>IFERROR(__xludf.DUMMYFUNCTION("""COMPUTED_VALUE"""),2.6596145095716515)</f>
        <v>2.65961451</v>
      </c>
      <c r="AH612" s="57">
        <f>IFERROR(__xludf.DUMMYFUNCTION("""COMPUTED_VALUE"""),0.9573889908602866)</f>
        <v>0.9573889909</v>
      </c>
      <c r="AI612" s="57">
        <f>IFERROR(__xludf.DUMMYFUNCTION("""COMPUTED_VALUE"""),0.945160767083779)</f>
        <v>0.9451607671</v>
      </c>
      <c r="AJ612" s="57">
        <f>IFERROR(__xludf.DUMMYFUNCTION("""COMPUTED_VALUE"""),1.0498515136450872)</f>
        <v>1.049851514</v>
      </c>
      <c r="AK612" s="57">
        <f>IFERROR(__xludf.DUMMYFUNCTION("""COMPUTED_VALUE"""),0.7755309606208365)</f>
        <v>0.7755309606</v>
      </c>
      <c r="AL612" s="57">
        <f>IFERROR(__xludf.DUMMYFUNCTION("""COMPUTED_VALUE"""),1.0915964685871702)</f>
        <v>1.091596469</v>
      </c>
      <c r="AM612" s="57">
        <f>IFERROR(__xludf.DUMMYFUNCTION("""COMPUTED_VALUE"""),1.036831046214702)</f>
        <v>1.036831046</v>
      </c>
      <c r="AN612" s="57">
        <f>IFERROR(__xludf.DUMMYFUNCTION("""COMPUTED_VALUE"""),1.147918691790142)</f>
        <v>1.147918692</v>
      </c>
      <c r="AO612" s="57">
        <f>IFERROR(__xludf.DUMMYFUNCTION("""COMPUTED_VALUE"""),1.1171922472260971)</f>
        <v>1.117192247</v>
      </c>
      <c r="AP612" s="35">
        <f>IFERROR(__xludf.DUMMYFUNCTION("""COMPUTED_VALUE"""),0.9479268971174848)</f>
        <v>0.9479268971</v>
      </c>
      <c r="AQ612" s="57">
        <f>IFERROR(__xludf.DUMMYFUNCTION("""COMPUTED_VALUE"""),1.0616332150223733)</f>
        <v>1.061633215</v>
      </c>
      <c r="AR612" s="36" t="b">
        <f>IFERROR(__xludf.DUMMYFUNCTION("""COMPUTED_VALUE"""),TRUE)</f>
        <v>1</v>
      </c>
      <c r="AS612" s="57"/>
      <c r="AT612" s="37"/>
      <c r="AU612" s="30"/>
      <c r="AV612" s="30"/>
      <c r="AW612" s="30"/>
      <c r="AX612" s="30"/>
      <c r="AY612" s="30"/>
      <c r="AZ612" s="30"/>
    </row>
    <row r="613">
      <c r="A613" s="30" t="str">
        <f>IFERROR(__xludf.DUMMYFUNCTION("""COMPUTED_VALUE"""),"Rival")</f>
        <v>Rival</v>
      </c>
      <c r="B613" s="30" t="str">
        <f>IFERROR(__xludf.DUMMYFUNCTION("""COMPUTED_VALUE"""),"RSC002330")</f>
        <v>RSC002330</v>
      </c>
      <c r="C613" s="30" t="str">
        <f>IFERROR(__xludf.DUMMYFUNCTION("""COMPUTED_VALUE"""),"JesterGG")</f>
        <v>JesterGG</v>
      </c>
      <c r="D613" s="31"/>
      <c r="E613" s="31">
        <f>IFERROR(__xludf.DUMMYFUNCTION("""COMPUTED_VALUE"""),53.3631164692725)</f>
        <v>53.36311647</v>
      </c>
      <c r="F613" s="31">
        <f>IFERROR(__xludf.DUMMYFUNCTION("""COMPUTED_VALUE"""),2.2396724724482815)</f>
        <v>2.239672472</v>
      </c>
      <c r="G613" s="31">
        <f>IFERROR(__xludf.DUMMYFUNCTION("""COMPUTED_VALUE"""),48.19630489042363)</f>
        <v>48.19630489</v>
      </c>
      <c r="H613" s="31">
        <f>IFERROR(__xludf.DUMMYFUNCTION("""COMPUTED_VALUE"""),-2.1220513023237344)</f>
        <v>-2.122051302</v>
      </c>
      <c r="I613" s="54">
        <f>IFERROR(__xludf.DUMMYFUNCTION("""COMPUTED_VALUE"""),18.0)</f>
        <v>18</v>
      </c>
      <c r="J613" s="55">
        <f>IFERROR(__xludf.DUMMYFUNCTION("""COMPUTED_VALUE"""),5.0)</f>
        <v>5</v>
      </c>
      <c r="K613" s="54">
        <f>IFERROR(__xludf.DUMMYFUNCTION("""COMPUTED_VALUE"""),13.0)</f>
        <v>13</v>
      </c>
      <c r="L613" s="56">
        <f>IFERROR(__xludf.DUMMYFUNCTION("""COMPUTED_VALUE"""),0.2777777777777778)</f>
        <v>0.2777777778</v>
      </c>
      <c r="M613" s="56">
        <f>IFERROR(__xludf.DUMMYFUNCTION("""COMPUTED_VALUE"""),0.2068965517241379)</f>
        <v>0.2068965517</v>
      </c>
      <c r="N613" s="31">
        <f>IFERROR(__xludf.DUMMYFUNCTION("""COMPUTED_VALUE"""),345.8888888888889)</f>
        <v>345.8888889</v>
      </c>
      <c r="O613" s="57">
        <f>IFERROR(__xludf.DUMMYFUNCTION("""COMPUTED_VALUE"""),0.6666666666666666)</f>
        <v>0.6666666667</v>
      </c>
      <c r="P613" s="57">
        <f>IFERROR(__xludf.DUMMYFUNCTION("""COMPUTED_VALUE"""),0.5555555555555556)</f>
        <v>0.5555555556</v>
      </c>
      <c r="Q613" s="57">
        <f>IFERROR(__xludf.DUMMYFUNCTION("""COMPUTED_VALUE"""),1.3888888888888888)</f>
        <v>1.388888889</v>
      </c>
      <c r="R613" s="57">
        <f>IFERROR(__xludf.DUMMYFUNCTION("""COMPUTED_VALUE"""),3.2222222222222223)</f>
        <v>3.222222222</v>
      </c>
      <c r="S613" s="31">
        <f>IFERROR(__xludf.DUMMYFUNCTION("""COMPUTED_VALUE"""),395.7592592592593)</f>
        <v>395.7592593</v>
      </c>
      <c r="T613" s="57">
        <f>IFERROR(__xludf.DUMMYFUNCTION("""COMPUTED_VALUE"""),1.0185185185185184)</f>
        <v>1.018518519</v>
      </c>
      <c r="U613" s="57">
        <f>IFERROR(__xludf.DUMMYFUNCTION("""COMPUTED_VALUE"""),0.7037037037037037)</f>
        <v>0.7037037037</v>
      </c>
      <c r="V613" s="57">
        <f>IFERROR(__xludf.DUMMYFUNCTION("""COMPUTED_VALUE"""),1.4259259259259258)</f>
        <v>1.425925926</v>
      </c>
      <c r="W613" s="57">
        <f>IFERROR(__xludf.DUMMYFUNCTION("""COMPUTED_VALUE"""),2.8703703703703702)</f>
        <v>2.87037037</v>
      </c>
      <c r="X613" s="31">
        <f>IFERROR(__xludf.DUMMYFUNCTION("""COMPUTED_VALUE"""),353.445982349325)</f>
        <v>353.4459823</v>
      </c>
      <c r="Y613" s="57">
        <f>IFERROR(__xludf.DUMMYFUNCTION("""COMPUTED_VALUE"""),0.8208126700280746)</f>
        <v>0.82081267</v>
      </c>
      <c r="Z613" s="57">
        <f>IFERROR(__xludf.DUMMYFUNCTION("""COMPUTED_VALUE"""),0.5954421931898268)</f>
        <v>0.5954421932</v>
      </c>
      <c r="AA613" s="57">
        <f>IFERROR(__xludf.DUMMYFUNCTION("""COMPUTED_VALUE"""),1.2548247689150889)</f>
        <v>1.254824769</v>
      </c>
      <c r="AB613" s="57">
        <f>IFERROR(__xludf.DUMMYFUNCTION("""COMPUTED_VALUE"""),2.6897144062979645)</f>
        <v>2.689714406</v>
      </c>
      <c r="AC613" s="31">
        <f>IFERROR(__xludf.DUMMYFUNCTION("""COMPUTED_VALUE"""),335.77385252078653)</f>
        <v>335.7738525</v>
      </c>
      <c r="AD613" s="57">
        <f>IFERROR(__xludf.DUMMYFUNCTION("""COMPUTED_VALUE"""),0.7115260143657708)</f>
        <v>0.7115260144</v>
      </c>
      <c r="AE613" s="57">
        <f>IFERROR(__xludf.DUMMYFUNCTION("""COMPUTED_VALUE"""),0.513232202216407)</f>
        <v>0.5132322022</v>
      </c>
      <c r="AF613" s="57">
        <f>IFERROR(__xludf.DUMMYFUNCTION("""COMPUTED_VALUE"""),1.3425491096792088)</f>
        <v>1.34254911</v>
      </c>
      <c r="AG613" s="57">
        <f>IFERROR(__xludf.DUMMYFUNCTION("""COMPUTED_VALUE"""),2.4500360478301655)</f>
        <v>2.450036048</v>
      </c>
      <c r="AH613" s="57">
        <f>IFERROR(__xludf.DUMMYFUNCTION("""COMPUTED_VALUE"""),1.0301245504739718)</f>
        <v>1.03012455</v>
      </c>
      <c r="AI613" s="57">
        <f>IFERROR(__xludf.DUMMYFUNCTION("""COMPUTED_VALUE"""),0.9369533273648607)</f>
        <v>0.9369533274</v>
      </c>
      <c r="AJ613" s="57">
        <f>IFERROR(__xludf.DUMMYFUNCTION("""COMPUTED_VALUE"""),1.082464337109741)</f>
        <v>1.082464337</v>
      </c>
      <c r="AK613" s="57">
        <f>IFERROR(__xludf.DUMMYFUNCTION("""COMPUTED_VALUE"""),1.0345162637817789)</f>
        <v>1.034516264</v>
      </c>
      <c r="AL613" s="57">
        <f>IFERROR(__xludf.DUMMYFUNCTION("""COMPUTED_VALUE"""),1.3151733930918816)</f>
        <v>1.315173393</v>
      </c>
      <c r="AM613" s="57">
        <f>IFERROR(__xludf.DUMMYFUNCTION("""COMPUTED_VALUE"""),1.1197163895559983)</f>
        <v>1.11971639</v>
      </c>
      <c r="AN613" s="57">
        <f>IFERROR(__xludf.DUMMYFUNCTION("""COMPUTED_VALUE"""),1.2408659803992568)</f>
        <v>1.24086598</v>
      </c>
      <c r="AO613" s="57">
        <f>IFERROR(__xludf.DUMMYFUNCTION("""COMPUTED_VALUE"""),1.1818169954230353)</f>
        <v>1.181816995</v>
      </c>
      <c r="AP613" s="35">
        <f>IFERROR(__xludf.DUMMYFUNCTION("""COMPUTED_VALUE"""),1.136354621975441)</f>
        <v>1.136354622</v>
      </c>
      <c r="AQ613" s="57">
        <f>IFERROR(__xludf.DUMMYFUNCTION("""COMPUTED_VALUE"""),1.067165481825654)</f>
        <v>1.067165482</v>
      </c>
      <c r="AR613" s="36" t="b">
        <f>IFERROR(__xludf.DUMMYFUNCTION("""COMPUTED_VALUE"""),TRUE)</f>
        <v>1</v>
      </c>
      <c r="AS613" s="57"/>
      <c r="AT613" s="37"/>
      <c r="AU613" s="30"/>
      <c r="AV613" s="30"/>
      <c r="AW613" s="30"/>
      <c r="AX613" s="30"/>
      <c r="AY613" s="30"/>
      <c r="AZ613" s="30"/>
    </row>
    <row r="614">
      <c r="A614" s="30" t="str">
        <f>IFERROR(__xludf.DUMMYFUNCTION("""COMPUTED_VALUE"""),"Rival")</f>
        <v>Rival</v>
      </c>
      <c r="B614" s="30" t="str">
        <f>IFERROR(__xludf.DUMMYFUNCTION("""COMPUTED_VALUE"""),"RSC007293")</f>
        <v>RSC007293</v>
      </c>
      <c r="C614" s="30" t="str">
        <f>IFERROR(__xludf.DUMMYFUNCTION("""COMPUTED_VALUE"""),"YtExplixiit")</f>
        <v>YtExplixiit</v>
      </c>
      <c r="D614" s="31" t="str">
        <f>IFERROR(__xludf.DUMMYFUNCTION("""COMPUTED_VALUE"""),"Ion Imperial")</f>
        <v>Ion Imperial</v>
      </c>
      <c r="E614" s="31">
        <f>IFERROR(__xludf.DUMMYFUNCTION("""COMPUTED_VALUE"""),53.09960223306196)</f>
        <v>53.09960223</v>
      </c>
      <c r="F614" s="31">
        <f>IFERROR(__xludf.DUMMYFUNCTION("""COMPUTED_VALUE"""),2.2189483544200406)</f>
        <v>2.218948354</v>
      </c>
      <c r="G614" s="31">
        <f>IFERROR(__xludf.DUMMYFUNCTION("""COMPUTED_VALUE"""),45.34797758691402)</f>
        <v>45.34797759</v>
      </c>
      <c r="H614" s="31">
        <f>IFERROR(__xludf.DUMMYFUNCTION("""COMPUTED_VALUE"""),-2.346367695875445)</f>
        <v>-2.346367696</v>
      </c>
      <c r="I614" s="54">
        <f>IFERROR(__xludf.DUMMYFUNCTION("""COMPUTED_VALUE"""),35.0)</f>
        <v>35</v>
      </c>
      <c r="J614" s="55">
        <f>IFERROR(__xludf.DUMMYFUNCTION("""COMPUTED_VALUE"""),22.0)</f>
        <v>22</v>
      </c>
      <c r="K614" s="54">
        <f>IFERROR(__xludf.DUMMYFUNCTION("""COMPUTED_VALUE"""),13.0)</f>
        <v>13</v>
      </c>
      <c r="L614" s="56">
        <f>IFERROR(__xludf.DUMMYFUNCTION("""COMPUTED_VALUE"""),0.6285714285714286)</f>
        <v>0.6285714286</v>
      </c>
      <c r="M614" s="56">
        <f>IFERROR(__xludf.DUMMYFUNCTION("""COMPUTED_VALUE"""),0.26)</f>
        <v>0.26</v>
      </c>
      <c r="N614" s="31">
        <f>IFERROR(__xludf.DUMMYFUNCTION("""COMPUTED_VALUE"""),309.0)</f>
        <v>309</v>
      </c>
      <c r="O614" s="57">
        <f>IFERROR(__xludf.DUMMYFUNCTION("""COMPUTED_VALUE"""),0.7428571428571429)</f>
        <v>0.7428571429</v>
      </c>
      <c r="P614" s="57">
        <f>IFERROR(__xludf.DUMMYFUNCTION("""COMPUTED_VALUE"""),0.5714285714285714)</f>
        <v>0.5714285714</v>
      </c>
      <c r="Q614" s="57">
        <f>IFERROR(__xludf.DUMMYFUNCTION("""COMPUTED_VALUE"""),0.8)</f>
        <v>0.8</v>
      </c>
      <c r="R614" s="57">
        <f>IFERROR(__xludf.DUMMYFUNCTION("""COMPUTED_VALUE"""),2.857142857142857)</f>
        <v>2.857142857</v>
      </c>
      <c r="S614" s="31">
        <f>IFERROR(__xludf.DUMMYFUNCTION("""COMPUTED_VALUE"""),345.54285714285726)</f>
        <v>345.5428571</v>
      </c>
      <c r="T614" s="57">
        <f>IFERROR(__xludf.DUMMYFUNCTION("""COMPUTED_VALUE"""),0.7142857142857143)</f>
        <v>0.7142857143</v>
      </c>
      <c r="U614" s="57">
        <f>IFERROR(__xludf.DUMMYFUNCTION("""COMPUTED_VALUE"""),0.5047619047619047)</f>
        <v>0.5047619048</v>
      </c>
      <c r="V614" s="57">
        <f>IFERROR(__xludf.DUMMYFUNCTION("""COMPUTED_VALUE"""),1.4476190476190478)</f>
        <v>1.447619048</v>
      </c>
      <c r="W614" s="57">
        <f>IFERROR(__xludf.DUMMYFUNCTION("""COMPUTED_VALUE"""),2.3904761904761904)</f>
        <v>2.39047619</v>
      </c>
      <c r="X614" s="31">
        <f>IFERROR(__xludf.DUMMYFUNCTION("""COMPUTED_VALUE"""),338.23376933956683)</f>
        <v>338.2337693</v>
      </c>
      <c r="Y614" s="57">
        <f>IFERROR(__xludf.DUMMYFUNCTION("""COMPUTED_VALUE"""),0.7502758978235171)</f>
        <v>0.7502758978</v>
      </c>
      <c r="Z614" s="57">
        <f>IFERROR(__xludf.DUMMYFUNCTION("""COMPUTED_VALUE"""),0.4902528216932979)</f>
        <v>0.4902528217</v>
      </c>
      <c r="AA614" s="57">
        <f>IFERROR(__xludf.DUMMYFUNCTION("""COMPUTED_VALUE"""),1.299806973890307)</f>
        <v>1.299806974</v>
      </c>
      <c r="AB614" s="57">
        <f>IFERROR(__xludf.DUMMYFUNCTION("""COMPUTED_VALUE"""),2.5391802800374235)</f>
        <v>2.53918028</v>
      </c>
      <c r="AC614" s="31">
        <f>IFERROR(__xludf.DUMMYFUNCTION("""COMPUTED_VALUE"""),352.21648824911114)</f>
        <v>352.2164882</v>
      </c>
      <c r="AD614" s="57">
        <f>IFERROR(__xludf.DUMMYFUNCTION("""COMPUTED_VALUE"""),0.8043588538152028)</f>
        <v>0.8043588538</v>
      </c>
      <c r="AE614" s="57">
        <f>IFERROR(__xludf.DUMMYFUNCTION("""COMPUTED_VALUE"""),0.5704026015137127)</f>
        <v>0.5704026015</v>
      </c>
      <c r="AF614" s="57">
        <f>IFERROR(__xludf.DUMMYFUNCTION("""COMPUTED_VALUE"""),1.2992737568134396)</f>
        <v>1.299273757</v>
      </c>
      <c r="AG614" s="57">
        <f>IFERROR(__xludf.DUMMYFUNCTION("""COMPUTED_VALUE"""),2.5541917055607537)</f>
        <v>2.554191706</v>
      </c>
      <c r="AH614" s="57">
        <f>IFERROR(__xludf.DUMMYFUNCTION("""COMPUTED_VALUE"""),0.8773013482022297)</f>
        <v>0.8773013482</v>
      </c>
      <c r="AI614" s="57">
        <f>IFERROR(__xludf.DUMMYFUNCTION("""COMPUTED_VALUE"""),0.9235394616888377)</f>
        <v>0.9235394617</v>
      </c>
      <c r="AJ614" s="57">
        <f>IFERROR(__xludf.DUMMYFUNCTION("""COMPUTED_VALUE"""),1.0017986767804634)</f>
        <v>1.001798677</v>
      </c>
      <c r="AK614" s="57">
        <f>IFERROR(__xludf.DUMMYFUNCTION("""COMPUTED_VALUE"""),0.6157285913032342)</f>
        <v>0.6157285913</v>
      </c>
      <c r="AL614" s="57">
        <f>IFERROR(__xludf.DUMMYFUNCTION("""COMPUTED_VALUE"""),1.11860940231015)</f>
        <v>1.118609402</v>
      </c>
      <c r="AM614" s="57">
        <f>IFERROR(__xludf.DUMMYFUNCTION("""COMPUTED_VALUE"""),1.0216095744004572)</f>
        <v>1.021609574</v>
      </c>
      <c r="AN614" s="57">
        <f>IFERROR(__xludf.DUMMYFUNCTION("""COMPUTED_VALUE"""),0.9520307347707595)</f>
        <v>0.9520307348</v>
      </c>
      <c r="AO614" s="57">
        <f>IFERROR(__xludf.DUMMYFUNCTION("""COMPUTED_VALUE"""),1.029595103641614)</f>
        <v>1.029595104</v>
      </c>
      <c r="AP614" s="35">
        <f>IFERROR(__xludf.DUMMYFUNCTION("""COMPUTED_VALUE"""),1.1137184802804534)</f>
        <v>1.11371848</v>
      </c>
      <c r="AQ614" s="57">
        <f>IFERROR(__xludf.DUMMYFUNCTION("""COMPUTED_VALUE"""),0.9414361828774752)</f>
        <v>0.9414361829</v>
      </c>
      <c r="AR614" s="36" t="b">
        <f>IFERROR(__xludf.DUMMYFUNCTION("""COMPUTED_VALUE"""),TRUE)</f>
        <v>1</v>
      </c>
      <c r="AS614" s="57"/>
      <c r="AT614" s="37"/>
      <c r="AU614" s="30"/>
      <c r="AV614" s="30"/>
      <c r="AW614" s="30"/>
      <c r="AX614" s="30"/>
      <c r="AY614" s="30"/>
      <c r="AZ614" s="30"/>
    </row>
    <row r="615">
      <c r="A615" s="30" t="str">
        <f>IFERROR(__xludf.DUMMYFUNCTION("""COMPUTED_VALUE"""),"Rival")</f>
        <v>Rival</v>
      </c>
      <c r="B615" s="30" t="str">
        <f>IFERROR(__xludf.DUMMYFUNCTION("""COMPUTED_VALUE"""),"RSC000182")</f>
        <v>RSC000182</v>
      </c>
      <c r="C615" s="30" t="str">
        <f>IFERROR(__xludf.DUMMYFUNCTION("""COMPUTED_VALUE"""),"Goose")</f>
        <v>Goose</v>
      </c>
      <c r="D615" s="31"/>
      <c r="E615" s="31">
        <f>IFERROR(__xludf.DUMMYFUNCTION("""COMPUTED_VALUE"""),52.87427075285084)</f>
        <v>52.87427075</v>
      </c>
      <c r="F615" s="31">
        <f>IFERROR(__xludf.DUMMYFUNCTION("""COMPUTED_VALUE"""),2.201507885001612)</f>
        <v>2.201507885</v>
      </c>
      <c r="G615" s="31">
        <f>IFERROR(__xludf.DUMMYFUNCTION("""COMPUTED_VALUE"""),47.29300231007005)</f>
        <v>47.29300231</v>
      </c>
      <c r="H615" s="31">
        <f>IFERROR(__xludf.DUMMYFUNCTION("""COMPUTED_VALUE"""),-2.188725815665058)</f>
        <v>-2.188725816</v>
      </c>
      <c r="I615" s="54">
        <f>IFERROR(__xludf.DUMMYFUNCTION("""COMPUTED_VALUE"""),28.0)</f>
        <v>28</v>
      </c>
      <c r="J615" s="55">
        <f>IFERROR(__xludf.DUMMYFUNCTION("""COMPUTED_VALUE"""),12.0)</f>
        <v>12</v>
      </c>
      <c r="K615" s="54">
        <f>IFERROR(__xludf.DUMMYFUNCTION("""COMPUTED_VALUE"""),16.0)</f>
        <v>16</v>
      </c>
      <c r="L615" s="56">
        <f>IFERROR(__xludf.DUMMYFUNCTION("""COMPUTED_VALUE"""),0.42857142857142855)</f>
        <v>0.4285714286</v>
      </c>
      <c r="M615" s="56">
        <f>IFERROR(__xludf.DUMMYFUNCTION("""COMPUTED_VALUE"""),0.28205128205128205)</f>
        <v>0.2820512821</v>
      </c>
      <c r="N615" s="31">
        <f>IFERROR(__xludf.DUMMYFUNCTION("""COMPUTED_VALUE"""),326.57142857142856)</f>
        <v>326.5714286</v>
      </c>
      <c r="O615" s="57">
        <f>IFERROR(__xludf.DUMMYFUNCTION("""COMPUTED_VALUE"""),0.7857142857142857)</f>
        <v>0.7857142857</v>
      </c>
      <c r="P615" s="57">
        <f>IFERROR(__xludf.DUMMYFUNCTION("""COMPUTED_VALUE"""),0.5357142857142857)</f>
        <v>0.5357142857</v>
      </c>
      <c r="Q615" s="57">
        <f>IFERROR(__xludf.DUMMYFUNCTION("""COMPUTED_VALUE"""),1.0714285714285714)</f>
        <v>1.071428571</v>
      </c>
      <c r="R615" s="57">
        <f>IFERROR(__xludf.DUMMYFUNCTION("""COMPUTED_VALUE"""),2.7857142857142856)</f>
        <v>2.785714286</v>
      </c>
      <c r="S615" s="31">
        <f>IFERROR(__xludf.DUMMYFUNCTION("""COMPUTED_VALUE"""),360.38095238095235)</f>
        <v>360.3809524</v>
      </c>
      <c r="T615" s="57">
        <f>IFERROR(__xludf.DUMMYFUNCTION("""COMPUTED_VALUE"""),0.8928571428571427)</f>
        <v>0.8928571429</v>
      </c>
      <c r="U615" s="57">
        <f>IFERROR(__xludf.DUMMYFUNCTION("""COMPUTED_VALUE"""),0.5833333333333333)</f>
        <v>0.5833333333</v>
      </c>
      <c r="V615" s="57">
        <f>IFERROR(__xludf.DUMMYFUNCTION("""COMPUTED_VALUE"""),1.3214285714285714)</f>
        <v>1.321428571</v>
      </c>
      <c r="W615" s="57">
        <f>IFERROR(__xludf.DUMMYFUNCTION("""COMPUTED_VALUE"""),2.55952380952381)</f>
        <v>2.55952381</v>
      </c>
      <c r="X615" s="31">
        <f>IFERROR(__xludf.DUMMYFUNCTION("""COMPUTED_VALUE"""),348.269205963673)</f>
        <v>348.269206</v>
      </c>
      <c r="Y615" s="57">
        <f>IFERROR(__xludf.DUMMYFUNCTION("""COMPUTED_VALUE"""),0.7758653209428348)</f>
        <v>0.7758653209</v>
      </c>
      <c r="Z615" s="57">
        <f>IFERROR(__xludf.DUMMYFUNCTION("""COMPUTED_VALUE"""),0.5903652380090366)</f>
        <v>0.590365238</v>
      </c>
      <c r="AA615" s="57">
        <f>IFERROR(__xludf.DUMMYFUNCTION("""COMPUTED_VALUE"""),1.369793118798842)</f>
        <v>1.369793119</v>
      </c>
      <c r="AB615" s="57">
        <f>IFERROR(__xludf.DUMMYFUNCTION("""COMPUTED_VALUE"""),2.5792201806907693)</f>
        <v>2.579220181</v>
      </c>
      <c r="AC615" s="31">
        <f>IFERROR(__xludf.DUMMYFUNCTION("""COMPUTED_VALUE"""),343.2349592524361)</f>
        <v>343.2349593</v>
      </c>
      <c r="AD615" s="57">
        <f>IFERROR(__xludf.DUMMYFUNCTION("""COMPUTED_VALUE"""),0.7657948883408896)</f>
        <v>0.7657948883</v>
      </c>
      <c r="AE615" s="57">
        <f>IFERROR(__xludf.DUMMYFUNCTION("""COMPUTED_VALUE"""),0.5699594215549735)</f>
        <v>0.5699594216</v>
      </c>
      <c r="AF615" s="57">
        <f>IFERROR(__xludf.DUMMYFUNCTION("""COMPUTED_VALUE"""),1.3219098085429093)</f>
        <v>1.321909809</v>
      </c>
      <c r="AG615" s="57">
        <f>IFERROR(__xludf.DUMMYFUNCTION("""COMPUTED_VALUE"""),2.569311845007898)</f>
        <v>2.569311845</v>
      </c>
      <c r="AH615" s="57">
        <f>IFERROR(__xludf.DUMMYFUNCTION("""COMPUTED_VALUE"""),0.9514515341989037)</f>
        <v>0.9514515342</v>
      </c>
      <c r="AI615" s="57">
        <f>IFERROR(__xludf.DUMMYFUNCTION("""COMPUTED_VALUE"""),1.0260114002805005)</f>
        <v>1.0260114</v>
      </c>
      <c r="AJ615" s="57">
        <f>IFERROR(__xludf.DUMMYFUNCTION("""COMPUTED_VALUE"""),0.9399165369575617)</f>
        <v>0.939916537</v>
      </c>
      <c r="AK615" s="57">
        <f>IFERROR(__xludf.DUMMYFUNCTION("""COMPUTED_VALUE"""),0.8105156376814892)</f>
        <v>0.8105156377</v>
      </c>
      <c r="AL615" s="57">
        <f>IFERROR(__xludf.DUMMYFUNCTION("""COMPUTED_VALUE"""),1.0842258370181306)</f>
        <v>1.084225837</v>
      </c>
      <c r="AM615" s="57">
        <f>IFERROR(__xludf.DUMMYFUNCTION("""COMPUTED_VALUE"""),1.0347769662372697)</f>
        <v>1.034776966</v>
      </c>
      <c r="AN615" s="57">
        <f>IFERROR(__xludf.DUMMYFUNCTION("""COMPUTED_VALUE"""),1.150788827334284)</f>
        <v>1.150788827</v>
      </c>
      <c r="AO615" s="57">
        <f>IFERROR(__xludf.DUMMYFUNCTION("""COMPUTED_VALUE"""),0.9880888910407091)</f>
        <v>0.988088891</v>
      </c>
      <c r="AP615" s="35">
        <f>IFERROR(__xludf.DUMMYFUNCTION("""COMPUTED_VALUE"""),0.9646920788938691)</f>
        <v>0.9646920789</v>
      </c>
      <c r="AQ615" s="57">
        <f>IFERROR(__xludf.DUMMYFUNCTION("""COMPUTED_VALUE"""),0.9923634394169155)</f>
        <v>0.9923634394</v>
      </c>
      <c r="AR615" s="36" t="b">
        <f>IFERROR(__xludf.DUMMYFUNCTION("""COMPUTED_VALUE"""),TRUE)</f>
        <v>1</v>
      </c>
      <c r="AS615" s="57"/>
      <c r="AT615" s="37"/>
      <c r="AU615" s="30"/>
      <c r="AV615" s="30"/>
      <c r="AW615" s="30"/>
      <c r="AX615" s="30"/>
      <c r="AY615" s="30"/>
      <c r="AZ615" s="30"/>
    </row>
    <row r="616">
      <c r="A616" s="30" t="str">
        <f>IFERROR(__xludf.DUMMYFUNCTION("""COMPUTED_VALUE"""),"Rival")</f>
        <v>Rival</v>
      </c>
      <c r="B616" s="30" t="str">
        <f>IFERROR(__xludf.DUMMYFUNCTION("""COMPUTED_VALUE"""),"RSC001358")</f>
        <v>RSC001358</v>
      </c>
      <c r="C616" s="30" t="str">
        <f>IFERROR(__xludf.DUMMYFUNCTION("""COMPUTED_VALUE"""),"Cob")</f>
        <v>Cob</v>
      </c>
      <c r="D616" s="31" t="str">
        <f>IFERROR(__xludf.DUMMYFUNCTION("""COMPUTED_VALUE"""),"Heavy Metal")</f>
        <v>Heavy Metal</v>
      </c>
      <c r="E616" s="31">
        <f>IFERROR(__xludf.DUMMYFUNCTION("""COMPUTED_VALUE"""),52.49869633998)</f>
        <v>52.49869634</v>
      </c>
      <c r="F616" s="31">
        <f>IFERROR(__xludf.DUMMYFUNCTION("""COMPUTED_VALUE"""),2.173001977330926)</f>
        <v>2.173001977</v>
      </c>
      <c r="G616" s="31">
        <f>IFERROR(__xludf.DUMMYFUNCTION("""COMPUTED_VALUE"""),56.07864569621274)</f>
        <v>56.0786457</v>
      </c>
      <c r="H616" s="31">
        <f>IFERROR(__xludf.DUMMYFUNCTION("""COMPUTED_VALUE"""),2.4755770990219435)</f>
        <v>2.475577099</v>
      </c>
      <c r="I616" s="54">
        <f>IFERROR(__xludf.DUMMYFUNCTION("""COMPUTED_VALUE"""),34.0)</f>
        <v>34</v>
      </c>
      <c r="J616" s="55">
        <f>IFERROR(__xludf.DUMMYFUNCTION("""COMPUTED_VALUE"""),15.0)</f>
        <v>15</v>
      </c>
      <c r="K616" s="54">
        <f>IFERROR(__xludf.DUMMYFUNCTION("""COMPUTED_VALUE"""),19.0)</f>
        <v>19</v>
      </c>
      <c r="L616" s="56">
        <f>IFERROR(__xludf.DUMMYFUNCTION("""COMPUTED_VALUE"""),0.4411764705882353)</f>
        <v>0.4411764706</v>
      </c>
      <c r="M616" s="56">
        <f>IFERROR(__xludf.DUMMYFUNCTION("""COMPUTED_VALUE"""),0.38749999999999996)</f>
        <v>0.3875</v>
      </c>
      <c r="N616" s="31">
        <f>IFERROR(__xludf.DUMMYFUNCTION("""COMPUTED_VALUE"""),358.0882352941176)</f>
        <v>358.0882353</v>
      </c>
      <c r="O616" s="57">
        <f>IFERROR(__xludf.DUMMYFUNCTION("""COMPUTED_VALUE"""),0.9117647058823529)</f>
        <v>0.9117647059</v>
      </c>
      <c r="P616" s="57">
        <f>IFERROR(__xludf.DUMMYFUNCTION("""COMPUTED_VALUE"""),0.5)</f>
        <v>0.5</v>
      </c>
      <c r="Q616" s="57">
        <f>IFERROR(__xludf.DUMMYFUNCTION("""COMPUTED_VALUE"""),1.6764705882352942)</f>
        <v>1.676470588</v>
      </c>
      <c r="R616" s="57">
        <f>IFERROR(__xludf.DUMMYFUNCTION("""COMPUTED_VALUE"""),2.3529411764705883)</f>
        <v>2.352941176</v>
      </c>
      <c r="S616" s="31">
        <f>IFERROR(__xludf.DUMMYFUNCTION("""COMPUTED_VALUE"""),346.32352941176475)</f>
        <v>346.3235294</v>
      </c>
      <c r="T616" s="57">
        <f>IFERROR(__xludf.DUMMYFUNCTION("""COMPUTED_VALUE"""),0.7843137254901962)</f>
        <v>0.7843137255</v>
      </c>
      <c r="U616" s="57">
        <f>IFERROR(__xludf.DUMMYFUNCTION("""COMPUTED_VALUE"""),0.588235294117647)</f>
        <v>0.5882352941</v>
      </c>
      <c r="V616" s="57">
        <f>IFERROR(__xludf.DUMMYFUNCTION("""COMPUTED_VALUE"""),1.2647058823529411)</f>
        <v>1.264705882</v>
      </c>
      <c r="W616" s="57">
        <f>IFERROR(__xludf.DUMMYFUNCTION("""COMPUTED_VALUE"""),2.4411764705882355)</f>
        <v>2.441176471</v>
      </c>
      <c r="X616" s="31">
        <f>IFERROR(__xludf.DUMMYFUNCTION("""COMPUTED_VALUE"""),339.6073138047991)</f>
        <v>339.6073138</v>
      </c>
      <c r="Y616" s="57">
        <f>IFERROR(__xludf.DUMMYFUNCTION("""COMPUTED_VALUE"""),0.7559904025463733)</f>
        <v>0.7559904025</v>
      </c>
      <c r="Z616" s="57">
        <f>IFERROR(__xludf.DUMMYFUNCTION("""COMPUTED_VALUE"""),0.5724142570543456)</f>
        <v>0.5724142571</v>
      </c>
      <c r="AA616" s="57">
        <f>IFERROR(__xludf.DUMMYFUNCTION("""COMPUTED_VALUE"""),1.3185527018218561)</f>
        <v>1.318552702</v>
      </c>
      <c r="AB616" s="57">
        <f>IFERROR(__xludf.DUMMYFUNCTION("""COMPUTED_VALUE"""),2.4264500990512565)</f>
        <v>2.426450099</v>
      </c>
      <c r="AC616" s="31">
        <f>IFERROR(__xludf.DUMMYFUNCTION("""COMPUTED_VALUE"""),355.3944163313133)</f>
        <v>355.3944163</v>
      </c>
      <c r="AD616" s="57">
        <f>IFERROR(__xludf.DUMMYFUNCTION("""COMPUTED_VALUE"""),0.849335156757476)</f>
        <v>0.8493351568</v>
      </c>
      <c r="AE616" s="57">
        <f>IFERROR(__xludf.DUMMYFUNCTION("""COMPUTED_VALUE"""),0.6092452520235732)</f>
        <v>0.609245252</v>
      </c>
      <c r="AF616" s="57">
        <f>IFERROR(__xludf.DUMMYFUNCTION("""COMPUTED_VALUE"""),1.2840514623810824)</f>
        <v>1.284051462</v>
      </c>
      <c r="AG616" s="57">
        <f>IFERROR(__xludf.DUMMYFUNCTION("""COMPUTED_VALUE"""),2.7114449087536414)</f>
        <v>2.711444909</v>
      </c>
      <c r="AH616" s="57">
        <f>IFERROR(__xludf.DUMMYFUNCTION("""COMPUTED_VALUE"""),1.0075798010295496)</f>
        <v>1.007579801</v>
      </c>
      <c r="AI616" s="57">
        <f>IFERROR(__xludf.DUMMYFUNCTION("""COMPUTED_VALUE"""),1.0735040209135054)</f>
        <v>1.073504021</v>
      </c>
      <c r="AJ616" s="57">
        <f>IFERROR(__xludf.DUMMYFUNCTION("""COMPUTED_VALUE"""),0.8206875611082379)</f>
        <v>0.8206875611</v>
      </c>
      <c r="AK616" s="57">
        <f>IFERROR(__xludf.DUMMYFUNCTION("""COMPUTED_VALUE"""),1.3056101233875228)</f>
        <v>1.305610123</v>
      </c>
      <c r="AL616" s="57">
        <f>IFERROR(__xludf.DUMMYFUNCTION("""COMPUTED_VALUE"""),0.867781295822881)</f>
        <v>0.8677812958</v>
      </c>
      <c r="AM616" s="57">
        <f>IFERROR(__xludf.DUMMYFUNCTION("""COMPUTED_VALUE"""),1.0197764162724305)</f>
        <v>1.019776416</v>
      </c>
      <c r="AN616" s="57">
        <f>IFERROR(__xludf.DUMMYFUNCTION("""COMPUTED_VALUE"""),1.0374651885108892)</f>
        <v>1.037465189</v>
      </c>
      <c r="AO616" s="57">
        <f>IFERROR(__xludf.DUMMYFUNCTION("""COMPUTED_VALUE"""),1.0276391387327017)</f>
        <v>1.027639139</v>
      </c>
      <c r="AP616" s="35">
        <f>IFERROR(__xludf.DUMMYFUNCTION("""COMPUTED_VALUE"""),0.9591621788082385)</f>
        <v>0.9591621788</v>
      </c>
      <c r="AQ616" s="57">
        <f>IFERROR(__xludf.DUMMYFUNCTION("""COMPUTED_VALUE"""),1.0060691013356249)</f>
        <v>1.006069101</v>
      </c>
      <c r="AR616" s="36" t="b">
        <f>IFERROR(__xludf.DUMMYFUNCTION("""COMPUTED_VALUE"""),TRUE)</f>
        <v>1</v>
      </c>
      <c r="AS616" s="57"/>
      <c r="AT616" s="37"/>
      <c r="AU616" s="30"/>
      <c r="AV616" s="30"/>
      <c r="AW616" s="30"/>
      <c r="AX616" s="30"/>
      <c r="AY616" s="30"/>
      <c r="AZ616" s="30"/>
    </row>
    <row r="617">
      <c r="A617" s="30" t="str">
        <f>IFERROR(__xludf.DUMMYFUNCTION("""COMPUTED_VALUE"""),"Rival")</f>
        <v>Rival</v>
      </c>
      <c r="B617" s="30" t="str">
        <f>IFERROR(__xludf.DUMMYFUNCTION("""COMPUTED_VALUE"""),"RSC003718")</f>
        <v>RSC003718</v>
      </c>
      <c r="C617" s="30" t="str">
        <f>IFERROR(__xludf.DUMMYFUNCTION("""COMPUTED_VALUE"""),"Tbonelul")</f>
        <v>Tbonelul</v>
      </c>
      <c r="D617" s="31" t="str">
        <f>IFERROR(__xludf.DUMMYFUNCTION("""COMPUTED_VALUE"""),"Heavy Metal")</f>
        <v>Heavy Metal</v>
      </c>
      <c r="E617" s="31">
        <f>IFERROR(__xludf.DUMMYFUNCTION("""COMPUTED_VALUE"""),51.57794440643509)</f>
        <v>51.57794441</v>
      </c>
      <c r="F617" s="31">
        <f>IFERROR(__xludf.DUMMYFUNCTION("""COMPUTED_VALUE"""),2.1059886840410385)</f>
        <v>2.105988684</v>
      </c>
      <c r="G617" s="31">
        <f>IFERROR(__xludf.DUMMYFUNCTION("""COMPUTED_VALUE"""),53.31873664507626)</f>
        <v>53.31873665</v>
      </c>
      <c r="H617" s="31">
        <f>IFERROR(__xludf.DUMMYFUNCTION("""COMPUTED_VALUE"""),2.236157156131495)</f>
        <v>2.236157156</v>
      </c>
      <c r="I617" s="54">
        <f>IFERROR(__xludf.DUMMYFUNCTION("""COMPUTED_VALUE"""),32.0)</f>
        <v>32</v>
      </c>
      <c r="J617" s="55">
        <f>IFERROR(__xludf.DUMMYFUNCTION("""COMPUTED_VALUE"""),15.0)</f>
        <v>15</v>
      </c>
      <c r="K617" s="54">
        <f>IFERROR(__xludf.DUMMYFUNCTION("""COMPUTED_VALUE"""),17.0)</f>
        <v>17</v>
      </c>
      <c r="L617" s="56">
        <f>IFERROR(__xludf.DUMMYFUNCTION("""COMPUTED_VALUE"""),0.46875)</f>
        <v>0.46875</v>
      </c>
      <c r="M617" s="56">
        <f>IFERROR(__xludf.DUMMYFUNCTION("""COMPUTED_VALUE"""),0.25806451612903225)</f>
        <v>0.2580645161</v>
      </c>
      <c r="N617" s="31">
        <f>IFERROR(__xludf.DUMMYFUNCTION("""COMPUTED_VALUE"""),323.625)</f>
        <v>323.625</v>
      </c>
      <c r="O617" s="57">
        <f>IFERROR(__xludf.DUMMYFUNCTION("""COMPUTED_VALUE"""),0.75)</f>
        <v>0.75</v>
      </c>
      <c r="P617" s="57">
        <f>IFERROR(__xludf.DUMMYFUNCTION("""COMPUTED_VALUE"""),0.53125)</f>
        <v>0.53125</v>
      </c>
      <c r="Q617" s="57">
        <f>IFERROR(__xludf.DUMMYFUNCTION("""COMPUTED_VALUE"""),0.875)</f>
        <v>0.875</v>
      </c>
      <c r="R617" s="57">
        <f>IFERROR(__xludf.DUMMYFUNCTION("""COMPUTED_VALUE"""),2.90625)</f>
        <v>2.90625</v>
      </c>
      <c r="S617" s="31">
        <f>IFERROR(__xludf.DUMMYFUNCTION("""COMPUTED_VALUE"""),337.11458333333337)</f>
        <v>337.1145833</v>
      </c>
      <c r="T617" s="57">
        <f>IFERROR(__xludf.DUMMYFUNCTION("""COMPUTED_VALUE"""),0.7395833333333334)</f>
        <v>0.7395833333</v>
      </c>
      <c r="U617" s="57">
        <f>IFERROR(__xludf.DUMMYFUNCTION("""COMPUTED_VALUE"""),0.5625)</f>
        <v>0.5625</v>
      </c>
      <c r="V617" s="57">
        <f>IFERROR(__xludf.DUMMYFUNCTION("""COMPUTED_VALUE"""),1.2395833333333333)</f>
        <v>1.239583333</v>
      </c>
      <c r="W617" s="57">
        <f>IFERROR(__xludf.DUMMYFUNCTION("""COMPUTED_VALUE"""),2.4270833333333335)</f>
        <v>2.427083333</v>
      </c>
      <c r="X617" s="31">
        <f>IFERROR(__xludf.DUMMYFUNCTION("""COMPUTED_VALUE"""),338.43975794391304)</f>
        <v>338.4397579</v>
      </c>
      <c r="Y617" s="57">
        <f>IFERROR(__xludf.DUMMYFUNCTION("""COMPUTED_VALUE"""),0.7524818937715424)</f>
        <v>0.7524818938</v>
      </c>
      <c r="Z617" s="57">
        <f>IFERROR(__xludf.DUMMYFUNCTION("""COMPUTED_VALUE"""),0.5686361861853952)</f>
        <v>0.5686361862</v>
      </c>
      <c r="AA617" s="57">
        <f>IFERROR(__xludf.DUMMYFUNCTION("""COMPUTED_VALUE"""),1.3107048916749582)</f>
        <v>1.310704892</v>
      </c>
      <c r="AB617" s="57">
        <f>IFERROR(__xludf.DUMMYFUNCTION("""COMPUTED_VALUE"""),2.4086436834049385)</f>
        <v>2.408643683</v>
      </c>
      <c r="AC617" s="31">
        <f>IFERROR(__xludf.DUMMYFUNCTION("""COMPUTED_VALUE"""),352.2788167200085)</f>
        <v>352.2788167</v>
      </c>
      <c r="AD617" s="57">
        <f>IFERROR(__xludf.DUMMYFUNCTION("""COMPUTED_VALUE"""),0.8391453486841215)</f>
        <v>0.8391453487</v>
      </c>
      <c r="AE617" s="57">
        <f>IFERROR(__xludf.DUMMYFUNCTION("""COMPUTED_VALUE"""),0.596603549020055)</f>
        <v>0.596603549</v>
      </c>
      <c r="AF617" s="57">
        <f>IFERROR(__xludf.DUMMYFUNCTION("""COMPUTED_VALUE"""),1.2791847655677244)</f>
        <v>1.279184766</v>
      </c>
      <c r="AG617" s="57">
        <f>IFERROR(__xludf.DUMMYFUNCTION("""COMPUTED_VALUE"""),2.6966894762255667)</f>
        <v>2.696689476</v>
      </c>
      <c r="AH617" s="57">
        <f>IFERROR(__xludf.DUMMYFUNCTION("""COMPUTED_VALUE"""),0.9186615392126102)</f>
        <v>0.9186615392</v>
      </c>
      <c r="AI617" s="57">
        <f>IFERROR(__xludf.DUMMYFUNCTION("""COMPUTED_VALUE"""),0.8937664984690532)</f>
        <v>0.8937664985</v>
      </c>
      <c r="AJ617" s="57">
        <f>IFERROR(__xludf.DUMMYFUNCTION("""COMPUTED_VALUE"""),0.8904573244202104)</f>
        <v>0.8904573244</v>
      </c>
      <c r="AK617" s="57">
        <f>IFERROR(__xludf.DUMMYFUNCTION("""COMPUTED_VALUE"""),0.684029409630797)</f>
        <v>0.6840294096</v>
      </c>
      <c r="AL617" s="57">
        <f>IFERROR(__xludf.DUMMYFUNCTION("""COMPUTED_VALUE"""),1.0777102909407819)</f>
        <v>1.077710291</v>
      </c>
      <c r="AM617" s="57">
        <f>IFERROR(__xludf.DUMMYFUNCTION("""COMPUTED_VALUE"""),0.9960844594068075)</f>
        <v>0.9960844594</v>
      </c>
      <c r="AN617" s="57">
        <f>IFERROR(__xludf.DUMMYFUNCTION("""COMPUTED_VALUE"""),0.9828586434504627)</f>
        <v>0.9828586435</v>
      </c>
      <c r="AO617" s="57">
        <f>IFERROR(__xludf.DUMMYFUNCTION("""COMPUTED_VALUE"""),0.9892089417900769)</f>
        <v>0.9892089418</v>
      </c>
      <c r="AP617" s="35">
        <f>IFERROR(__xludf.DUMMYFUNCTION("""COMPUTED_VALUE"""),0.9457379317088394)</f>
        <v>0.9457379317</v>
      </c>
      <c r="AQ617" s="57">
        <f>IFERROR(__xludf.DUMMYFUNCTION("""COMPUTED_VALUE"""),1.0076556155048755)</f>
        <v>1.007655616</v>
      </c>
      <c r="AR617" s="36" t="b">
        <f>IFERROR(__xludf.DUMMYFUNCTION("""COMPUTED_VALUE"""),TRUE)</f>
        <v>1</v>
      </c>
      <c r="AS617" s="57"/>
      <c r="AT617" s="37"/>
      <c r="AU617" s="30"/>
      <c r="AV617" s="30"/>
      <c r="AW617" s="30"/>
      <c r="AX617" s="30"/>
      <c r="AY617" s="30"/>
      <c r="AZ617" s="30"/>
    </row>
    <row r="618">
      <c r="A618" s="30" t="str">
        <f>IFERROR(__xludf.DUMMYFUNCTION("""COMPUTED_VALUE"""),"Rival")</f>
        <v>Rival</v>
      </c>
      <c r="B618" s="30" t="str">
        <f>IFERROR(__xludf.DUMMYFUNCTION("""COMPUTED_VALUE"""),"RSC004545")</f>
        <v>RSC004545</v>
      </c>
      <c r="C618" s="30" t="str">
        <f>IFERROR(__xludf.DUMMYFUNCTION("""COMPUTED_VALUE"""),"Vires")</f>
        <v>Vires</v>
      </c>
      <c r="D618" s="31" t="str">
        <f>IFERROR(__xludf.DUMMYFUNCTION("""COMPUTED_VALUE"""),"Nightfall")</f>
        <v>Nightfall</v>
      </c>
      <c r="E618" s="31">
        <f>IFERROR(__xludf.DUMMYFUNCTION("""COMPUTED_VALUE"""),51.4861089514687)</f>
        <v>51.48610895</v>
      </c>
      <c r="F618" s="31">
        <f>IFERROR(__xludf.DUMMYFUNCTION("""COMPUTED_VALUE"""),2.099521115976288)</f>
        <v>2.099521116</v>
      </c>
      <c r="G618" s="31">
        <f>IFERROR(__xludf.DUMMYFUNCTION("""COMPUTED_VALUE"""),47.11333690152299)</f>
        <v>47.1133369</v>
      </c>
      <c r="H618" s="31">
        <f>IFERROR(__xludf.DUMMYFUNCTION("""COMPUTED_VALUE"""),-2.20246039428872)</f>
        <v>-2.202460394</v>
      </c>
      <c r="I618" s="54">
        <f>IFERROR(__xludf.DUMMYFUNCTION("""COMPUTED_VALUE"""),27.0)</f>
        <v>27</v>
      </c>
      <c r="J618" s="55">
        <f>IFERROR(__xludf.DUMMYFUNCTION("""COMPUTED_VALUE"""),12.0)</f>
        <v>12</v>
      </c>
      <c r="K618" s="54">
        <f>IFERROR(__xludf.DUMMYFUNCTION("""COMPUTED_VALUE"""),15.0)</f>
        <v>15</v>
      </c>
      <c r="L618" s="56">
        <f>IFERROR(__xludf.DUMMYFUNCTION("""COMPUTED_VALUE"""),0.4444444444444444)</f>
        <v>0.4444444444</v>
      </c>
      <c r="M618" s="56">
        <f>IFERROR(__xludf.DUMMYFUNCTION("""COMPUTED_VALUE"""),0.323943661971831)</f>
        <v>0.323943662</v>
      </c>
      <c r="N618" s="31">
        <f>IFERROR(__xludf.DUMMYFUNCTION("""COMPUTED_VALUE"""),314.6296296296296)</f>
        <v>314.6296296</v>
      </c>
      <c r="O618" s="57">
        <f>IFERROR(__xludf.DUMMYFUNCTION("""COMPUTED_VALUE"""),0.8518518518518519)</f>
        <v>0.8518518519</v>
      </c>
      <c r="P618" s="57">
        <f>IFERROR(__xludf.DUMMYFUNCTION("""COMPUTED_VALUE"""),0.4074074074074074)</f>
        <v>0.4074074074</v>
      </c>
      <c r="Q618" s="57">
        <f>IFERROR(__xludf.DUMMYFUNCTION("""COMPUTED_VALUE"""),1.0)</f>
        <v>1</v>
      </c>
      <c r="R618" s="57">
        <f>IFERROR(__xludf.DUMMYFUNCTION("""COMPUTED_VALUE"""),2.6296296296296298)</f>
        <v>2.62962963</v>
      </c>
      <c r="S618" s="31">
        <f>IFERROR(__xludf.DUMMYFUNCTION("""COMPUTED_VALUE"""),333.30864197530866)</f>
        <v>333.308642</v>
      </c>
      <c r="T618" s="57">
        <f>IFERROR(__xludf.DUMMYFUNCTION("""COMPUTED_VALUE"""),0.7530864197530863)</f>
        <v>0.7530864198</v>
      </c>
      <c r="U618" s="57">
        <f>IFERROR(__xludf.DUMMYFUNCTION("""COMPUTED_VALUE"""),0.5308641975308641)</f>
        <v>0.5308641975</v>
      </c>
      <c r="V618" s="57">
        <f>IFERROR(__xludf.DUMMYFUNCTION("""COMPUTED_VALUE"""),1.3703703703703707)</f>
        <v>1.37037037</v>
      </c>
      <c r="W618" s="57">
        <f>IFERROR(__xludf.DUMMYFUNCTION("""COMPUTED_VALUE"""),2.333333333333333)</f>
        <v>2.333333333</v>
      </c>
      <c r="X618" s="31">
        <f>IFERROR(__xludf.DUMMYFUNCTION("""COMPUTED_VALUE"""),347.22700072432417)</f>
        <v>347.2270007</v>
      </c>
      <c r="Y618" s="57">
        <f>IFERROR(__xludf.DUMMYFUNCTION("""COMPUTED_VALUE"""),0.7774170889131801)</f>
        <v>0.7774170889</v>
      </c>
      <c r="Z618" s="57">
        <f>IFERROR(__xludf.DUMMYFUNCTION("""COMPUTED_VALUE"""),0.5648176417014399)</f>
        <v>0.5648176417</v>
      </c>
      <c r="AA618" s="57">
        <f>IFERROR(__xludf.DUMMYFUNCTION("""COMPUTED_VALUE"""),1.3129190061752003)</f>
        <v>1.312919006</v>
      </c>
      <c r="AB618" s="57">
        <f>IFERROR(__xludf.DUMMYFUNCTION("""COMPUTED_VALUE"""),2.517488079116046)</f>
        <v>2.517488079</v>
      </c>
      <c r="AC618" s="31">
        <f>IFERROR(__xludf.DUMMYFUNCTION("""COMPUTED_VALUE"""),347.12317901030514)</f>
        <v>347.123179</v>
      </c>
      <c r="AD618" s="57">
        <f>IFERROR(__xludf.DUMMYFUNCTION("""COMPUTED_VALUE"""),0.785382612289851)</f>
        <v>0.7853826123</v>
      </c>
      <c r="AE618" s="57">
        <f>IFERROR(__xludf.DUMMYFUNCTION("""COMPUTED_VALUE"""),0.5659579738957652)</f>
        <v>0.5659579739</v>
      </c>
      <c r="AF618" s="57">
        <f>IFERROR(__xludf.DUMMYFUNCTION("""COMPUTED_VALUE"""),1.3062834366460367)</f>
        <v>1.306283437</v>
      </c>
      <c r="AG618" s="57">
        <f>IFERROR(__xludf.DUMMYFUNCTION("""COMPUTED_VALUE"""),2.5675631940585704)</f>
        <v>2.567563194</v>
      </c>
      <c r="AH618" s="57">
        <f>IFERROR(__xludf.DUMMYFUNCTION("""COMPUTED_VALUE"""),0.9063918765859457)</f>
        <v>0.9063918766</v>
      </c>
      <c r="AI618" s="57">
        <f>IFERROR(__xludf.DUMMYFUNCTION("""COMPUTED_VALUE"""),1.0846329400751618)</f>
        <v>1.08463294</v>
      </c>
      <c r="AJ618" s="57">
        <f>IFERROR(__xludf.DUMMYFUNCTION("""COMPUTED_VALUE"""),0.7198545231247883)</f>
        <v>0.7198545231</v>
      </c>
      <c r="AK618" s="57">
        <f>IFERROR(__xludf.DUMMYFUNCTION("""COMPUTED_VALUE"""),0.7655306436155707)</f>
        <v>0.7655306436</v>
      </c>
      <c r="AL618" s="57">
        <f>IFERROR(__xludf.DUMMYFUNCTION("""COMPUTED_VALUE"""),1.0241732845036426)</f>
        <v>1.024173285</v>
      </c>
      <c r="AM618" s="57">
        <f>IFERROR(__xludf.DUMMYFUNCTION("""COMPUTED_VALUE"""),0.959915678446718)</f>
        <v>0.9599156784</v>
      </c>
      <c r="AN618" s="57">
        <f>IFERROR(__xludf.DUMMYFUNCTION("""COMPUTED_VALUE"""),0.9687031974122055)</f>
        <v>0.9687031974</v>
      </c>
      <c r="AO618" s="57">
        <f>IFERROR(__xludf.DUMMYFUNCTION("""COMPUTED_VALUE"""),0.9398860062722272)</f>
        <v>0.9398860063</v>
      </c>
      <c r="AP618" s="35">
        <f>IFERROR(__xludf.DUMMYFUNCTION("""COMPUTED_VALUE"""),1.043758498372674)</f>
        <v>1.043758498</v>
      </c>
      <c r="AQ618" s="57">
        <f>IFERROR(__xludf.DUMMYFUNCTION("""COMPUTED_VALUE"""),0.9268498042511588)</f>
        <v>0.9268498043</v>
      </c>
      <c r="AR618" s="36" t="b">
        <f>IFERROR(__xludf.DUMMYFUNCTION("""COMPUTED_VALUE"""),TRUE)</f>
        <v>1</v>
      </c>
      <c r="AS618" s="57"/>
      <c r="AT618" s="37"/>
      <c r="AU618" s="30"/>
      <c r="AV618" s="30"/>
      <c r="AW618" s="30"/>
      <c r="AX618" s="30"/>
      <c r="AY618" s="30"/>
      <c r="AZ618" s="30"/>
    </row>
    <row r="619">
      <c r="A619" s="30" t="str">
        <f>IFERROR(__xludf.DUMMYFUNCTION("""COMPUTED_VALUE"""),"Rival")</f>
        <v>Rival</v>
      </c>
      <c r="B619" s="30" t="str">
        <f>IFERROR(__xludf.DUMMYFUNCTION("""COMPUTED_VALUE"""),"RSC006748")</f>
        <v>RSC006748</v>
      </c>
      <c r="C619" s="30" t="str">
        <f>IFERROR(__xludf.DUMMYFUNCTION("""COMPUTED_VALUE"""),"Llamaboy101")</f>
        <v>Llamaboy101</v>
      </c>
      <c r="D619" s="31" t="str">
        <f>IFERROR(__xludf.DUMMYFUNCTION("""COMPUTED_VALUE"""),"Wind")</f>
        <v>Wind</v>
      </c>
      <c r="E619" s="31">
        <f>IFERROR(__xludf.DUMMYFUNCTION("""COMPUTED_VALUE"""),51.1252537841632)</f>
        <v>51.12525378</v>
      </c>
      <c r="F619" s="31">
        <f>IFERROR(__xludf.DUMMYFUNCTION("""COMPUTED_VALUE"""),2.074475285969231)</f>
        <v>2.074475286</v>
      </c>
      <c r="G619" s="31">
        <f>IFERROR(__xludf.DUMMYFUNCTION("""COMPUTED_VALUE"""),41.34169195743818)</f>
        <v>41.34169196</v>
      </c>
      <c r="H619" s="31">
        <f>IFERROR(__xludf.DUMMYFUNCTION("""COMPUTED_VALUE"""),-2.7431343505208443)</f>
        <v>-2.743134351</v>
      </c>
      <c r="I619" s="54">
        <f>IFERROR(__xludf.DUMMYFUNCTION("""COMPUTED_VALUE"""),26.0)</f>
        <v>26</v>
      </c>
      <c r="J619" s="55">
        <f>IFERROR(__xludf.DUMMYFUNCTION("""COMPUTED_VALUE"""),12.0)</f>
        <v>12</v>
      </c>
      <c r="K619" s="54">
        <f>IFERROR(__xludf.DUMMYFUNCTION("""COMPUTED_VALUE"""),14.0)</f>
        <v>14</v>
      </c>
      <c r="L619" s="56">
        <f>IFERROR(__xludf.DUMMYFUNCTION("""COMPUTED_VALUE"""),0.46153846153846156)</f>
        <v>0.4615384615</v>
      </c>
      <c r="M619" s="56">
        <f>IFERROR(__xludf.DUMMYFUNCTION("""COMPUTED_VALUE"""),0.3518518518518518)</f>
        <v>0.3518518519</v>
      </c>
      <c r="N619" s="31">
        <f>IFERROR(__xludf.DUMMYFUNCTION("""COMPUTED_VALUE"""),316.7692307692308)</f>
        <v>316.7692308</v>
      </c>
      <c r="O619" s="57">
        <f>IFERROR(__xludf.DUMMYFUNCTION("""COMPUTED_VALUE"""),0.7307692307692307)</f>
        <v>0.7307692308</v>
      </c>
      <c r="P619" s="57">
        <f>IFERROR(__xludf.DUMMYFUNCTION("""COMPUTED_VALUE"""),0.8076923076923077)</f>
        <v>0.8076923077</v>
      </c>
      <c r="Q619" s="57">
        <f>IFERROR(__xludf.DUMMYFUNCTION("""COMPUTED_VALUE"""),1.0)</f>
        <v>1</v>
      </c>
      <c r="R619" s="57">
        <f>IFERROR(__xludf.DUMMYFUNCTION("""COMPUTED_VALUE"""),2.076923076923077)</f>
        <v>2.076923077</v>
      </c>
      <c r="S619" s="31">
        <f>IFERROR(__xludf.DUMMYFUNCTION("""COMPUTED_VALUE"""),354.6923076923077)</f>
        <v>354.6923077</v>
      </c>
      <c r="T619" s="57">
        <f>IFERROR(__xludf.DUMMYFUNCTION("""COMPUTED_VALUE"""),0.8076923076923077)</f>
        <v>0.8076923077</v>
      </c>
      <c r="U619" s="57">
        <f>IFERROR(__xludf.DUMMYFUNCTION("""COMPUTED_VALUE"""),0.5897435897435898)</f>
        <v>0.5897435897</v>
      </c>
      <c r="V619" s="57">
        <f>IFERROR(__xludf.DUMMYFUNCTION("""COMPUTED_VALUE"""),1.2948717948717952)</f>
        <v>1.294871795</v>
      </c>
      <c r="W619" s="57">
        <f>IFERROR(__xludf.DUMMYFUNCTION("""COMPUTED_VALUE"""),2.6666666666666665)</f>
        <v>2.666666667</v>
      </c>
      <c r="X619" s="31">
        <f>IFERROR(__xludf.DUMMYFUNCTION("""COMPUTED_VALUE"""),348.8116215364958)</f>
        <v>348.8116215</v>
      </c>
      <c r="Y619" s="57">
        <f>IFERROR(__xludf.DUMMYFUNCTION("""COMPUTED_VALUE"""),0.8129944162491126)</f>
        <v>0.8129944162</v>
      </c>
      <c r="Z619" s="57">
        <f>IFERROR(__xludf.DUMMYFUNCTION("""COMPUTED_VALUE"""),0.5414293076392808)</f>
        <v>0.5414293076</v>
      </c>
      <c r="AA619" s="57">
        <f>IFERROR(__xludf.DUMMYFUNCTION("""COMPUTED_VALUE"""),1.3337978107200714)</f>
        <v>1.333797811</v>
      </c>
      <c r="AB619" s="57">
        <f>IFERROR(__xludf.DUMMYFUNCTION("""COMPUTED_VALUE"""),2.6687532563897918)</f>
        <v>2.668753256</v>
      </c>
      <c r="AC619" s="31">
        <f>IFERROR(__xludf.DUMMYFUNCTION("""COMPUTED_VALUE"""),353.1147001710288)</f>
        <v>353.1147002</v>
      </c>
      <c r="AD619" s="57">
        <f>IFERROR(__xludf.DUMMYFUNCTION("""COMPUTED_VALUE"""),0.8229083406108598)</f>
        <v>0.8229083406</v>
      </c>
      <c r="AE619" s="57">
        <f>IFERROR(__xludf.DUMMYFUNCTION("""COMPUTED_VALUE"""),0.5784714938010125)</f>
        <v>0.5784714938</v>
      </c>
      <c r="AF619" s="57">
        <f>IFERROR(__xludf.DUMMYFUNCTION("""COMPUTED_VALUE"""),1.3643479791052018)</f>
        <v>1.364347979</v>
      </c>
      <c r="AG619" s="57">
        <f>IFERROR(__xludf.DUMMYFUNCTION("""COMPUTED_VALUE"""),2.6100674570415547)</f>
        <v>2.610067457</v>
      </c>
      <c r="AH619" s="57">
        <f>IFERROR(__xludf.DUMMYFUNCTION("""COMPUTED_VALUE"""),0.897071774740065)</f>
        <v>0.8970717747</v>
      </c>
      <c r="AI619" s="57">
        <f>IFERROR(__xludf.DUMMYFUNCTION("""COMPUTED_VALUE"""),0.8880323539153431)</f>
        <v>0.8880323539</v>
      </c>
      <c r="AJ619" s="57">
        <f>IFERROR(__xludf.DUMMYFUNCTION("""COMPUTED_VALUE"""),1.3962525661984384)</f>
        <v>1.396252566</v>
      </c>
      <c r="AK619" s="57">
        <f>IFERROR(__xludf.DUMMYFUNCTION("""COMPUTED_VALUE"""),0.7329508419515108)</f>
        <v>0.732950842</v>
      </c>
      <c r="AL619" s="57">
        <f>IFERROR(__xludf.DUMMYFUNCTION("""COMPUTED_VALUE"""),0.7957354019030668)</f>
        <v>0.7957354019</v>
      </c>
      <c r="AM619" s="57">
        <f>IFERROR(__xludf.DUMMYFUNCTION("""COMPUTED_VALUE"""),1.016859203629477)</f>
        <v>1.016859204</v>
      </c>
      <c r="AN619" s="57">
        <f>IFERROR(__xludf.DUMMYFUNCTION("""COMPUTED_VALUE"""),0.9934782964669461)</f>
        <v>0.9934782965</v>
      </c>
      <c r="AO619" s="57">
        <f>IFERROR(__xludf.DUMMYFUNCTION("""COMPUTED_VALUE"""),1.089234700491126)</f>
        <v>1.0892347</v>
      </c>
      <c r="AP619" s="35">
        <f>IFERROR(__xludf.DUMMYFUNCTION("""COMPUTED_VALUE"""),0.9708156547151164)</f>
        <v>0.9708156547</v>
      </c>
      <c r="AQ619" s="57">
        <f>IFERROR(__xludf.DUMMYFUNCTION("""COMPUTED_VALUE"""),0.9992181406362205)</f>
        <v>0.9992181406</v>
      </c>
      <c r="AR619" s="36" t="b">
        <f>IFERROR(__xludf.DUMMYFUNCTION("""COMPUTED_VALUE"""),TRUE)</f>
        <v>1</v>
      </c>
      <c r="AS619" s="57"/>
      <c r="AT619" s="37"/>
      <c r="AU619" s="30"/>
      <c r="AV619" s="30"/>
      <c r="AW619" s="30"/>
      <c r="AX619" s="30"/>
      <c r="AY619" s="30"/>
      <c r="AZ619" s="30"/>
    </row>
    <row r="620">
      <c r="A620" s="30" t="str">
        <f>IFERROR(__xludf.DUMMYFUNCTION("""COMPUTED_VALUE"""),"Rival")</f>
        <v>Rival</v>
      </c>
      <c r="B620" s="30" t="str">
        <f>IFERROR(__xludf.DUMMYFUNCTION("""COMPUTED_VALUE"""),"RSC001032")</f>
        <v>RSC001032</v>
      </c>
      <c r="C620" s="30" t="str">
        <f>IFERROR(__xludf.DUMMYFUNCTION("""COMPUTED_VALUE"""),"JmE")</f>
        <v>JmE</v>
      </c>
      <c r="D620" s="31" t="str">
        <f>IFERROR(__xludf.DUMMYFUNCTION("""COMPUTED_VALUE"""),"Blizzards")</f>
        <v>Blizzards</v>
      </c>
      <c r="E620" s="31">
        <f>IFERROR(__xludf.DUMMYFUNCTION("""COMPUTED_VALUE"""),50.44346411991437)</f>
        <v>50.44346412</v>
      </c>
      <c r="F620" s="31">
        <f>IFERROR(__xludf.DUMMYFUNCTION("""COMPUTED_VALUE"""),2.0287115116572183)</f>
        <v>2.028711512</v>
      </c>
      <c r="G620" s="31">
        <f>IFERROR(__xludf.DUMMYFUNCTION("""COMPUTED_VALUE"""),53.28476916901747)</f>
        <v>53.28476917</v>
      </c>
      <c r="H620" s="31">
        <f>IFERROR(__xludf.DUMMYFUNCTION("""COMPUTED_VALUE"""),2.2334734878572675)</f>
        <v>2.233473488</v>
      </c>
      <c r="I620" s="54">
        <f>IFERROR(__xludf.DUMMYFUNCTION("""COMPUTED_VALUE"""),3.0)</f>
        <v>3</v>
      </c>
      <c r="J620" s="55">
        <f>IFERROR(__xludf.DUMMYFUNCTION("""COMPUTED_VALUE"""),0.0)</f>
        <v>0</v>
      </c>
      <c r="K620" s="54">
        <f>IFERROR(__xludf.DUMMYFUNCTION("""COMPUTED_VALUE"""),3.0)</f>
        <v>3</v>
      </c>
      <c r="L620" s="56">
        <f>IFERROR(__xludf.DUMMYFUNCTION("""COMPUTED_VALUE"""),0.0)</f>
        <v>0</v>
      </c>
      <c r="M620" s="56">
        <f>IFERROR(__xludf.DUMMYFUNCTION("""COMPUTED_VALUE"""),0.1111111111111111)</f>
        <v>0.1111111111</v>
      </c>
      <c r="N620" s="31">
        <f>IFERROR(__xludf.DUMMYFUNCTION("""COMPUTED_VALUE"""),350.6666666666667)</f>
        <v>350.6666667</v>
      </c>
      <c r="O620" s="57">
        <f>IFERROR(__xludf.DUMMYFUNCTION("""COMPUTED_VALUE"""),0.3333333333333333)</f>
        <v>0.3333333333</v>
      </c>
      <c r="P620" s="57">
        <f>IFERROR(__xludf.DUMMYFUNCTION("""COMPUTED_VALUE"""),1.6666666666666667)</f>
        <v>1.666666667</v>
      </c>
      <c r="Q620" s="57">
        <f>IFERROR(__xludf.DUMMYFUNCTION("""COMPUTED_VALUE"""),1.3333333333333333)</f>
        <v>1.333333333</v>
      </c>
      <c r="R620" s="57">
        <f>IFERROR(__xludf.DUMMYFUNCTION("""COMPUTED_VALUE"""),3.0)</f>
        <v>3</v>
      </c>
      <c r="S620" s="31">
        <f>IFERROR(__xludf.DUMMYFUNCTION("""COMPUTED_VALUE"""),611.3333333333334)</f>
        <v>611.3333333</v>
      </c>
      <c r="T620" s="57">
        <f>IFERROR(__xludf.DUMMYFUNCTION("""COMPUTED_VALUE"""),2.2222222222222228)</f>
        <v>2.222222222</v>
      </c>
      <c r="U620" s="57">
        <f>IFERROR(__xludf.DUMMYFUNCTION("""COMPUTED_VALUE"""),1.777777777777778)</f>
        <v>1.777777778</v>
      </c>
      <c r="V620" s="57">
        <f>IFERROR(__xludf.DUMMYFUNCTION("""COMPUTED_VALUE"""),1.6666666666666667)</f>
        <v>1.666666667</v>
      </c>
      <c r="W620" s="57">
        <f>IFERROR(__xludf.DUMMYFUNCTION("""COMPUTED_VALUE"""),3.0)</f>
        <v>3</v>
      </c>
      <c r="X620" s="31">
        <f>IFERROR(__xludf.DUMMYFUNCTION("""COMPUTED_VALUE"""),387.0828269270671)</f>
        <v>387.0828269</v>
      </c>
      <c r="Y620" s="57">
        <f>IFERROR(__xludf.DUMMYFUNCTION("""COMPUTED_VALUE"""),0.9696772227409483)</f>
        <v>0.9696772227</v>
      </c>
      <c r="Z620" s="57">
        <f>IFERROR(__xludf.DUMMYFUNCTION("""COMPUTED_VALUE"""),0.6973622782446313)</f>
        <v>0.6973622782</v>
      </c>
      <c r="AA620" s="57">
        <f>IFERROR(__xludf.DUMMYFUNCTION("""COMPUTED_VALUE"""),1.4118029619255108)</f>
        <v>1.411802962</v>
      </c>
      <c r="AB620" s="57">
        <f>IFERROR(__xludf.DUMMYFUNCTION("""COMPUTED_VALUE"""),2.872648874364561)</f>
        <v>2.872648874</v>
      </c>
      <c r="AC620" s="31">
        <f>IFERROR(__xludf.DUMMYFUNCTION("""COMPUTED_VALUE"""),332.0635564719716)</f>
        <v>332.0635565</v>
      </c>
      <c r="AD620" s="57">
        <f>IFERROR(__xludf.DUMMYFUNCTION("""COMPUTED_VALUE"""),0.6595432617491439)</f>
        <v>0.6595432617</v>
      </c>
      <c r="AE620" s="57">
        <f>IFERROR(__xludf.DUMMYFUNCTION("""COMPUTED_VALUE"""),0.5108802780371409)</f>
        <v>0.510880278</v>
      </c>
      <c r="AF620" s="57">
        <f>IFERROR(__xludf.DUMMYFUNCTION("""COMPUTED_VALUE"""),1.3733980011757787)</f>
        <v>1.373398001</v>
      </c>
      <c r="AG620" s="57">
        <f>IFERROR(__xludf.DUMMYFUNCTION("""COMPUTED_VALUE"""),2.616434104505999)</f>
        <v>2.616434105</v>
      </c>
      <c r="AH620" s="57">
        <f>IFERROR(__xludf.DUMMYFUNCTION("""COMPUTED_VALUE"""),1.0560227397199045)</f>
        <v>1.05602274</v>
      </c>
      <c r="AI620" s="57">
        <f>IFERROR(__xludf.DUMMYFUNCTION("""COMPUTED_VALUE"""),0.5054002560033978)</f>
        <v>0.505400256</v>
      </c>
      <c r="AJ620" s="57">
        <f>IFERROR(__xludf.DUMMYFUNCTION("""COMPUTED_VALUE"""),3.2623429369209287)</f>
        <v>3.262342937</v>
      </c>
      <c r="AK620" s="57">
        <f>IFERROR(__xludf.DUMMYFUNCTION("""COMPUTED_VALUE"""),0.9708280718275797)</f>
        <v>0.9708280718</v>
      </c>
      <c r="AL620" s="57">
        <f>IFERROR(__xludf.DUMMYFUNCTION("""COMPUTED_VALUE"""),1.1465987218380267)</f>
        <v>1.146598722</v>
      </c>
      <c r="AM620" s="57">
        <f>IFERROR(__xludf.DUMMYFUNCTION("""COMPUTED_VALUE"""),1.5793346818987628)</f>
        <v>1.579334682</v>
      </c>
      <c r="AN620" s="57">
        <f>IFERROR(__xludf.DUMMYFUNCTION("""COMPUTED_VALUE"""),2.291713335227938)</f>
        <v>2.291713335</v>
      </c>
      <c r="AO620" s="57">
        <f>IFERROR(__xludf.DUMMYFUNCTION("""COMPUTED_VALUE"""),2.54928870292887)</f>
        <v>2.549288703</v>
      </c>
      <c r="AP620" s="35">
        <f>IFERROR(__xludf.DUMMYFUNCTION("""COMPUTED_VALUE"""),1.1805235656918838)</f>
        <v>1.180523566</v>
      </c>
      <c r="AQ620" s="57">
        <f>IFERROR(__xludf.DUMMYFUNCTION("""COMPUTED_VALUE"""),1.0443322978913006)</f>
        <v>1.044332298</v>
      </c>
      <c r="AR620" s="36" t="b">
        <f>IFERROR(__xludf.DUMMYFUNCTION("""COMPUTED_VALUE"""),TRUE)</f>
        <v>1</v>
      </c>
      <c r="AS620" s="57"/>
      <c r="AT620" s="37"/>
      <c r="AU620" s="30"/>
      <c r="AV620" s="30"/>
      <c r="AW620" s="30"/>
      <c r="AX620" s="30"/>
      <c r="AY620" s="30"/>
      <c r="AZ620" s="30"/>
    </row>
    <row r="621">
      <c r="A621" s="30" t="str">
        <f>IFERROR(__xludf.DUMMYFUNCTION("""COMPUTED_VALUE"""),"Rival")</f>
        <v>Rival</v>
      </c>
      <c r="B621" s="30" t="str">
        <f>IFERROR(__xludf.DUMMYFUNCTION("""COMPUTED_VALUE"""),"RSC000291")</f>
        <v>RSC000291</v>
      </c>
      <c r="C621" s="30" t="str">
        <f>IFERROR(__xludf.DUMMYFUNCTION("""COMPUTED_VALUE"""),"Suckiest Sucker")</f>
        <v>Suckiest Sucker</v>
      </c>
      <c r="D621" s="31" t="str">
        <f>IFERROR(__xludf.DUMMYFUNCTION("""COMPUTED_VALUE"""),"Hue Heroes")</f>
        <v>Hue Heroes</v>
      </c>
      <c r="E621" s="31">
        <f>IFERROR(__xludf.DUMMYFUNCTION("""COMPUTED_VALUE"""),50.39338985723827)</f>
        <v>50.39338986</v>
      </c>
      <c r="F621" s="31">
        <f>IFERROR(__xludf.DUMMYFUNCTION("""COMPUTED_VALUE"""),2.0254285867629056)</f>
        <v>2.025428587</v>
      </c>
      <c r="G621" s="31">
        <f>IFERROR(__xludf.DUMMYFUNCTION("""COMPUTED_VALUE"""),49.140683786908845)</f>
        <v>49.14068379</v>
      </c>
      <c r="H621" s="31">
        <f>IFERROR(__xludf.DUMMYFUNCTION("""COMPUTED_VALUE"""),-2.0563861199626974)</f>
        <v>-2.05638612</v>
      </c>
      <c r="I621" s="54">
        <f>IFERROR(__xludf.DUMMYFUNCTION("""COMPUTED_VALUE"""),24.0)</f>
        <v>24</v>
      </c>
      <c r="J621" s="55">
        <f>IFERROR(__xludf.DUMMYFUNCTION("""COMPUTED_VALUE"""),13.0)</f>
        <v>13</v>
      </c>
      <c r="K621" s="54">
        <f>IFERROR(__xludf.DUMMYFUNCTION("""COMPUTED_VALUE"""),11.0)</f>
        <v>11</v>
      </c>
      <c r="L621" s="56">
        <f>IFERROR(__xludf.DUMMYFUNCTION("""COMPUTED_VALUE"""),0.5416666666666666)</f>
        <v>0.5416666667</v>
      </c>
      <c r="M621" s="56">
        <f>IFERROR(__xludf.DUMMYFUNCTION("""COMPUTED_VALUE"""),0.3148148148148148)</f>
        <v>0.3148148148</v>
      </c>
      <c r="N621" s="31">
        <f>IFERROR(__xludf.DUMMYFUNCTION("""COMPUTED_VALUE"""),349.9583333333333)</f>
        <v>349.9583333</v>
      </c>
      <c r="O621" s="57">
        <f>IFERROR(__xludf.DUMMYFUNCTION("""COMPUTED_VALUE"""),0.7083333333333334)</f>
        <v>0.7083333333</v>
      </c>
      <c r="P621" s="57">
        <f>IFERROR(__xludf.DUMMYFUNCTION("""COMPUTED_VALUE"""),0.75)</f>
        <v>0.75</v>
      </c>
      <c r="Q621" s="57">
        <f>IFERROR(__xludf.DUMMYFUNCTION("""COMPUTED_VALUE"""),1.2916666666666667)</f>
        <v>1.291666667</v>
      </c>
      <c r="R621" s="57">
        <f>IFERROR(__xludf.DUMMYFUNCTION("""COMPUTED_VALUE"""),2.25)</f>
        <v>2.25</v>
      </c>
      <c r="S621" s="31">
        <f>IFERROR(__xludf.DUMMYFUNCTION("""COMPUTED_VALUE"""),345.4027777777778)</f>
        <v>345.4027778</v>
      </c>
      <c r="T621" s="57">
        <f>IFERROR(__xludf.DUMMYFUNCTION("""COMPUTED_VALUE"""),0.7916666666666666)</f>
        <v>0.7916666667</v>
      </c>
      <c r="U621" s="57">
        <f>IFERROR(__xludf.DUMMYFUNCTION("""COMPUTED_VALUE"""),0.5416666666666666)</f>
        <v>0.5416666667</v>
      </c>
      <c r="V621" s="57">
        <f>IFERROR(__xludf.DUMMYFUNCTION("""COMPUTED_VALUE"""),1.222222222222222)</f>
        <v>1.222222222</v>
      </c>
      <c r="W621" s="57">
        <f>IFERROR(__xludf.DUMMYFUNCTION("""COMPUTED_VALUE"""),2.513888888888889)</f>
        <v>2.513888889</v>
      </c>
      <c r="X621" s="31">
        <f>IFERROR(__xludf.DUMMYFUNCTION("""COMPUTED_VALUE"""),343.96353170162473)</f>
        <v>343.9635317</v>
      </c>
      <c r="Y621" s="57">
        <f>IFERROR(__xludf.DUMMYFUNCTION("""COMPUTED_VALUE"""),0.7208045801242354)</f>
        <v>0.7208045801</v>
      </c>
      <c r="Z621" s="57">
        <f>IFERROR(__xludf.DUMMYFUNCTION("""COMPUTED_VALUE"""),0.481213960726532)</f>
        <v>0.4812139607</v>
      </c>
      <c r="AA621" s="57">
        <f>IFERROR(__xludf.DUMMYFUNCTION("""COMPUTED_VALUE"""),1.3881580723373892)</f>
        <v>1.388158072</v>
      </c>
      <c r="AB621" s="57">
        <f>IFERROR(__xludf.DUMMYFUNCTION("""COMPUTED_VALUE"""),2.453090126923935)</f>
        <v>2.453090127</v>
      </c>
      <c r="AC621" s="31">
        <f>IFERROR(__xludf.DUMMYFUNCTION("""COMPUTED_VALUE"""),354.10846748813555)</f>
        <v>354.1084675</v>
      </c>
      <c r="AD621" s="57">
        <f>IFERROR(__xludf.DUMMYFUNCTION("""COMPUTED_VALUE"""),0.8111115254405367)</f>
        <v>0.8111115254</v>
      </c>
      <c r="AE621" s="57">
        <f>IFERROR(__xludf.DUMMYFUNCTION("""COMPUTED_VALUE"""),0.6059606676140253)</f>
        <v>0.6059606676</v>
      </c>
      <c r="AF621" s="57">
        <f>IFERROR(__xludf.DUMMYFUNCTION("""COMPUTED_VALUE"""),1.266207225406308)</f>
        <v>1.266207225</v>
      </c>
      <c r="AG621" s="57">
        <f>IFERROR(__xludf.DUMMYFUNCTION("""COMPUTED_VALUE"""),2.6634906390823008)</f>
        <v>2.663490639</v>
      </c>
      <c r="AH621" s="57">
        <f>IFERROR(__xludf.DUMMYFUNCTION("""COMPUTED_VALUE"""),0.9882800482455527)</f>
        <v>0.9882800482</v>
      </c>
      <c r="AI621" s="57">
        <f>IFERROR(__xludf.DUMMYFUNCTION("""COMPUTED_VALUE"""),0.873287225142829)</f>
        <v>0.8732872251</v>
      </c>
      <c r="AJ621" s="57">
        <f>IFERROR(__xludf.DUMMYFUNCTION("""COMPUTED_VALUE"""),1.237704095470636)</f>
        <v>1.237704095</v>
      </c>
      <c r="AK621" s="57">
        <f>IFERROR(__xludf.DUMMYFUNCTION("""COMPUTED_VALUE"""),1.0201068519824543)</f>
        <v>1.020106852</v>
      </c>
      <c r="AL621" s="57">
        <f>IFERROR(__xludf.DUMMYFUNCTION("""COMPUTED_VALUE"""),0.8447561132691768)</f>
        <v>0.8447561133</v>
      </c>
      <c r="AM621" s="57">
        <f>IFERROR(__xludf.DUMMYFUNCTION("""COMPUTED_VALUE"""),1.0041842984604588)</f>
        <v>1.004184298</v>
      </c>
      <c r="AN621" s="57">
        <f>IFERROR(__xludf.DUMMYFUNCTION("""COMPUTED_VALUE"""),1.0983097062593825)</f>
        <v>1.098309706</v>
      </c>
      <c r="AO621" s="57">
        <f>IFERROR(__xludf.DUMMYFUNCTION("""COMPUTED_VALUE"""),1.1256254200290943)</f>
        <v>1.12562542</v>
      </c>
      <c r="AP621" s="35">
        <f>IFERROR(__xludf.DUMMYFUNCTION("""COMPUTED_VALUE"""),0.8804632891441799)</f>
        <v>0.8804632891</v>
      </c>
      <c r="AQ621" s="57">
        <f>IFERROR(__xludf.DUMMYFUNCTION("""COMPUTED_VALUE"""),1.024784561030863)</f>
        <v>1.024784561</v>
      </c>
      <c r="AR621" s="36" t="b">
        <f>IFERROR(__xludf.DUMMYFUNCTION("""COMPUTED_VALUE"""),TRUE)</f>
        <v>1</v>
      </c>
      <c r="AS621" s="57"/>
      <c r="AT621" s="37"/>
      <c r="AU621" s="30"/>
      <c r="AV621" s="30"/>
      <c r="AW621" s="30"/>
      <c r="AX621" s="30"/>
      <c r="AY621" s="30"/>
      <c r="AZ621" s="30"/>
    </row>
    <row r="622">
      <c r="A622" s="30" t="str">
        <f>IFERROR(__xludf.DUMMYFUNCTION("""COMPUTED_VALUE"""),"Rival")</f>
        <v>Rival</v>
      </c>
      <c r="B622" s="30" t="str">
        <f>IFERROR(__xludf.DUMMYFUNCTION("""COMPUTED_VALUE"""),"RSC007057")</f>
        <v>RSC007057</v>
      </c>
      <c r="C622" s="30" t="str">
        <f>IFERROR(__xludf.DUMMYFUNCTION("""COMPUTED_VALUE"""),"sinoda_20")</f>
        <v>sinoda_20</v>
      </c>
      <c r="D622" s="31" t="str">
        <f>IFERROR(__xludf.DUMMYFUNCTION("""COMPUTED_VALUE"""),"Nightfall")</f>
        <v>Nightfall</v>
      </c>
      <c r="E622" s="31">
        <f>IFERROR(__xludf.DUMMYFUNCTION("""COMPUTED_VALUE"""),50.29825432162985)</f>
        <v>50.29825432</v>
      </c>
      <c r="F622" s="31">
        <f>IFERROR(__xludf.DUMMYFUNCTION("""COMPUTED_VALUE"""),2.0192203016819916)</f>
        <v>2.019220302</v>
      </c>
      <c r="G622" s="31">
        <f>IFERROR(__xludf.DUMMYFUNCTION("""COMPUTED_VALUE"""),48.531098819812584)</f>
        <v>48.53109882</v>
      </c>
      <c r="H622" s="31">
        <f>IFERROR(__xludf.DUMMYFUNCTION("""COMPUTED_VALUE"""),-2.098313505596792)</f>
        <v>-2.098313506</v>
      </c>
      <c r="I622" s="54">
        <f>IFERROR(__xludf.DUMMYFUNCTION("""COMPUTED_VALUE"""),32.0)</f>
        <v>32</v>
      </c>
      <c r="J622" s="55">
        <f>IFERROR(__xludf.DUMMYFUNCTION("""COMPUTED_VALUE"""),15.0)</f>
        <v>15</v>
      </c>
      <c r="K622" s="54">
        <f>IFERROR(__xludf.DUMMYFUNCTION("""COMPUTED_VALUE"""),17.0)</f>
        <v>17</v>
      </c>
      <c r="L622" s="56">
        <f>IFERROR(__xludf.DUMMYFUNCTION("""COMPUTED_VALUE"""),0.46875)</f>
        <v>0.46875</v>
      </c>
      <c r="M622" s="56">
        <f>IFERROR(__xludf.DUMMYFUNCTION("""COMPUTED_VALUE"""),0.2753623188405797)</f>
        <v>0.2753623188</v>
      </c>
      <c r="N622" s="31">
        <f>IFERROR(__xludf.DUMMYFUNCTION("""COMPUTED_VALUE"""),315.46875)</f>
        <v>315.46875</v>
      </c>
      <c r="O622" s="57">
        <f>IFERROR(__xludf.DUMMYFUNCTION("""COMPUTED_VALUE"""),0.59375)</f>
        <v>0.59375</v>
      </c>
      <c r="P622" s="57">
        <f>IFERROR(__xludf.DUMMYFUNCTION("""COMPUTED_VALUE"""),0.75)</f>
        <v>0.75</v>
      </c>
      <c r="Q622" s="57">
        <f>IFERROR(__xludf.DUMMYFUNCTION("""COMPUTED_VALUE"""),0.84375)</f>
        <v>0.84375</v>
      </c>
      <c r="R622" s="57">
        <f>IFERROR(__xludf.DUMMYFUNCTION("""COMPUTED_VALUE"""),2.15625)</f>
        <v>2.15625</v>
      </c>
      <c r="S622" s="31">
        <f>IFERROR(__xludf.DUMMYFUNCTION("""COMPUTED_VALUE"""),328.54166666666663)</f>
        <v>328.5416667</v>
      </c>
      <c r="T622" s="57">
        <f>IFERROR(__xludf.DUMMYFUNCTION("""COMPUTED_VALUE"""),0.6979166666666666)</f>
        <v>0.6979166667</v>
      </c>
      <c r="U622" s="57">
        <f>IFERROR(__xludf.DUMMYFUNCTION("""COMPUTED_VALUE"""),0.5104166666666666)</f>
        <v>0.5104166667</v>
      </c>
      <c r="V622" s="57">
        <f>IFERROR(__xludf.DUMMYFUNCTION("""COMPUTED_VALUE"""),1.3750000000000004)</f>
        <v>1.375</v>
      </c>
      <c r="W622" s="57">
        <f>IFERROR(__xludf.DUMMYFUNCTION("""COMPUTED_VALUE"""),2.375)</f>
        <v>2.375</v>
      </c>
      <c r="X622" s="31">
        <f>IFERROR(__xludf.DUMMYFUNCTION("""COMPUTED_VALUE"""),347.049862722995)</f>
        <v>347.0498627</v>
      </c>
      <c r="Y622" s="57">
        <f>IFERROR(__xludf.DUMMYFUNCTION("""COMPUTED_VALUE"""),0.7863385614680758)</f>
        <v>0.7863385615</v>
      </c>
      <c r="Z622" s="57">
        <f>IFERROR(__xludf.DUMMYFUNCTION("""COMPUTED_VALUE"""),0.5509625650520199)</f>
        <v>0.5509625651</v>
      </c>
      <c r="AA622" s="57">
        <f>IFERROR(__xludf.DUMMYFUNCTION("""COMPUTED_VALUE"""),1.3325202268301404)</f>
        <v>1.332520227</v>
      </c>
      <c r="AB622" s="57">
        <f>IFERROR(__xludf.DUMMYFUNCTION("""COMPUTED_VALUE"""),2.54530106292466)</f>
        <v>2.545301063</v>
      </c>
      <c r="AC622" s="31">
        <f>IFERROR(__xludf.DUMMYFUNCTION("""COMPUTED_VALUE"""),343.1066343284543)</f>
        <v>343.1066343</v>
      </c>
      <c r="AD622" s="57">
        <f>IFERROR(__xludf.DUMMYFUNCTION("""COMPUTED_VALUE"""),0.7614410420216285)</f>
        <v>0.761441042</v>
      </c>
      <c r="AE622" s="57">
        <f>IFERROR(__xludf.DUMMYFUNCTION("""COMPUTED_VALUE"""),0.5370977817510222)</f>
        <v>0.5370977818</v>
      </c>
      <c r="AF622" s="57">
        <f>IFERROR(__xludf.DUMMYFUNCTION("""COMPUTED_VALUE"""),1.30280532992117)</f>
        <v>1.30280533</v>
      </c>
      <c r="AG622" s="57">
        <f>IFERROR(__xludf.DUMMYFUNCTION("""COMPUTED_VALUE"""),2.5202296559965873)</f>
        <v>2.520229656</v>
      </c>
      <c r="AH622" s="57">
        <f>IFERROR(__xludf.DUMMYFUNCTION("""COMPUTED_VALUE"""),0.9194481203123672)</f>
        <v>0.9194481203</v>
      </c>
      <c r="AI622" s="57">
        <f>IFERROR(__xludf.DUMMYFUNCTION("""COMPUTED_VALUE"""),0.7797714691390836)</f>
        <v>0.7797714691</v>
      </c>
      <c r="AJ622" s="57">
        <f>IFERROR(__xludf.DUMMYFUNCTION("""COMPUTED_VALUE"""),1.396393776855461)</f>
        <v>1.396393777</v>
      </c>
      <c r="AK622" s="57">
        <f>IFERROR(__xludf.DUMMYFUNCTION("""COMPUTED_VALUE"""),0.6476408874156614)</f>
        <v>0.6476408874</v>
      </c>
      <c r="AL622" s="57">
        <f>IFERROR(__xludf.DUMMYFUNCTION("""COMPUTED_VALUE"""),0.8555767903410941)</f>
        <v>0.8555767903</v>
      </c>
      <c r="AM622" s="57">
        <f>IFERROR(__xludf.DUMMYFUNCTION("""COMPUTED_VALUE"""),0.9466699225549008)</f>
        <v>0.9466699226</v>
      </c>
      <c r="AN622" s="57">
        <f>IFERROR(__xludf.DUMMYFUNCTION("""COMPUTED_VALUE"""),0.8875523862948709)</f>
        <v>0.8875523863</v>
      </c>
      <c r="AO622" s="57">
        <f>IFERROR(__xludf.DUMMYFUNCTION("""COMPUTED_VALUE"""),0.9264089777469272)</f>
        <v>0.9264089777</v>
      </c>
      <c r="AP622" s="35">
        <f>IFERROR(__xludf.DUMMYFUNCTION("""COMPUTED_VALUE"""),1.0318792708092042)</f>
        <v>1.031879271</v>
      </c>
      <c r="AQ622" s="57">
        <f>IFERROR(__xludf.DUMMYFUNCTION("""COMPUTED_VALUE"""),0.9330919766603261)</f>
        <v>0.9330919767</v>
      </c>
      <c r="AR622" s="36" t="b">
        <f>IFERROR(__xludf.DUMMYFUNCTION("""COMPUTED_VALUE"""),TRUE)</f>
        <v>1</v>
      </c>
      <c r="AS622" s="57"/>
      <c r="AT622" s="37"/>
      <c r="AU622" s="30"/>
      <c r="AV622" s="30"/>
      <c r="AW622" s="30"/>
      <c r="AX622" s="30"/>
      <c r="AY622" s="30"/>
      <c r="AZ622" s="30"/>
    </row>
    <row r="623">
      <c r="A623" s="30" t="str">
        <f>IFERROR(__xludf.DUMMYFUNCTION("""COMPUTED_VALUE"""),"Rival")</f>
        <v>Rival</v>
      </c>
      <c r="B623" s="30" t="str">
        <f>IFERROR(__xludf.DUMMYFUNCTION("""COMPUTED_VALUE"""),"RSC006312")</f>
        <v>RSC006312</v>
      </c>
      <c r="C623" s="30" t="str">
        <f>IFERROR(__xludf.DUMMYFUNCTION("""COMPUTED_VALUE"""),"Cognitixn")</f>
        <v>Cognitixn</v>
      </c>
      <c r="D623" s="31" t="str">
        <f>IFERROR(__xludf.DUMMYFUNCTION("""COMPUTED_VALUE"""),"Hippos")</f>
        <v>Hippos</v>
      </c>
      <c r="E623" s="31">
        <f>IFERROR(__xludf.DUMMYFUNCTION("""COMPUTED_VALUE"""),50.26566005635983)</f>
        <v>50.26566006</v>
      </c>
      <c r="F623" s="31">
        <f>IFERROR(__xludf.DUMMYFUNCTION("""COMPUTED_VALUE"""),2.017101964167267)</f>
        <v>2.017101964</v>
      </c>
      <c r="G623" s="31">
        <f>IFERROR(__xludf.DUMMYFUNCTION("""COMPUTED_VALUE"""),40.90054096263382)</f>
        <v>40.90054096</v>
      </c>
      <c r="H623" s="31">
        <f>IFERROR(__xludf.DUMMYFUNCTION("""COMPUTED_VALUE"""),-2.7937870788775316)</f>
        <v>-2.793787079</v>
      </c>
      <c r="I623" s="54">
        <f>IFERROR(__xludf.DUMMYFUNCTION("""COMPUTED_VALUE"""),33.0)</f>
        <v>33</v>
      </c>
      <c r="J623" s="55">
        <f>IFERROR(__xludf.DUMMYFUNCTION("""COMPUTED_VALUE"""),17.0)</f>
        <v>17</v>
      </c>
      <c r="K623" s="54">
        <f>IFERROR(__xludf.DUMMYFUNCTION("""COMPUTED_VALUE"""),16.0)</f>
        <v>16</v>
      </c>
      <c r="L623" s="56">
        <f>IFERROR(__xludf.DUMMYFUNCTION("""COMPUTED_VALUE"""),0.5151515151515151)</f>
        <v>0.5151515152</v>
      </c>
      <c r="M623" s="56">
        <f>IFERROR(__xludf.DUMMYFUNCTION("""COMPUTED_VALUE"""),0.25925925925925924)</f>
        <v>0.2592592593</v>
      </c>
      <c r="N623" s="31">
        <f>IFERROR(__xludf.DUMMYFUNCTION("""COMPUTED_VALUE"""),335.27272727272725)</f>
        <v>335.2727273</v>
      </c>
      <c r="O623" s="57">
        <f>IFERROR(__xludf.DUMMYFUNCTION("""COMPUTED_VALUE"""),0.6363636363636364)</f>
        <v>0.6363636364</v>
      </c>
      <c r="P623" s="57">
        <f>IFERROR(__xludf.DUMMYFUNCTION("""COMPUTED_VALUE"""),0.7575757575757576)</f>
        <v>0.7575757576</v>
      </c>
      <c r="Q623" s="57">
        <f>IFERROR(__xludf.DUMMYFUNCTION("""COMPUTED_VALUE"""),1.4242424242424243)</f>
        <v>1.424242424</v>
      </c>
      <c r="R623" s="57">
        <f>IFERROR(__xludf.DUMMYFUNCTION("""COMPUTED_VALUE"""),2.4545454545454546)</f>
        <v>2.454545455</v>
      </c>
      <c r="S623" s="31">
        <f>IFERROR(__xludf.DUMMYFUNCTION("""COMPUTED_VALUE"""),368.53535353535347)</f>
        <v>368.5353535</v>
      </c>
      <c r="T623" s="57">
        <f>IFERROR(__xludf.DUMMYFUNCTION("""COMPUTED_VALUE"""),0.8888888888888888)</f>
        <v>0.8888888889</v>
      </c>
      <c r="U623" s="57">
        <f>IFERROR(__xludf.DUMMYFUNCTION("""COMPUTED_VALUE"""),0.6868686868686867)</f>
        <v>0.6868686869</v>
      </c>
      <c r="V623" s="57">
        <f>IFERROR(__xludf.DUMMYFUNCTION("""COMPUTED_VALUE"""),1.2929292929292928)</f>
        <v>1.292929293</v>
      </c>
      <c r="W623" s="57">
        <f>IFERROR(__xludf.DUMMYFUNCTION("""COMPUTED_VALUE"""),2.8484848484848486)</f>
        <v>2.848484848</v>
      </c>
      <c r="X623" s="31">
        <f>IFERROR(__xludf.DUMMYFUNCTION("""COMPUTED_VALUE"""),342.7741938051384)</f>
        <v>342.7741938</v>
      </c>
      <c r="Y623" s="57">
        <f>IFERROR(__xludf.DUMMYFUNCTION("""COMPUTED_VALUE"""),0.7840057898792298)</f>
        <v>0.7840057899</v>
      </c>
      <c r="Z623" s="57">
        <f>IFERROR(__xludf.DUMMYFUNCTION("""COMPUTED_VALUE"""),0.5983758329212874)</f>
        <v>0.5983758329</v>
      </c>
      <c r="AA623" s="57">
        <f>IFERROR(__xludf.DUMMYFUNCTION("""COMPUTED_VALUE"""),1.2125250497175628)</f>
        <v>1.21252505</v>
      </c>
      <c r="AB623" s="57">
        <f>IFERROR(__xludf.DUMMYFUNCTION("""COMPUTED_VALUE"""),2.5000281180495088)</f>
        <v>2.500028118</v>
      </c>
      <c r="AC623" s="31">
        <f>IFERROR(__xludf.DUMMYFUNCTION("""COMPUTED_VALUE"""),342.58027073474483)</f>
        <v>342.5802707</v>
      </c>
      <c r="AD623" s="57">
        <f>IFERROR(__xludf.DUMMYFUNCTION("""COMPUTED_VALUE"""),0.7545166928975602)</f>
        <v>0.7545166929</v>
      </c>
      <c r="AE623" s="57">
        <f>IFERROR(__xludf.DUMMYFUNCTION("""COMPUTED_VALUE"""),0.5307768591963482)</f>
        <v>0.5307768592</v>
      </c>
      <c r="AF623" s="57">
        <f>IFERROR(__xludf.DUMMYFUNCTION("""COMPUTED_VALUE"""),1.329404263349599)</f>
        <v>1.329404263</v>
      </c>
      <c r="AG623" s="57">
        <f>IFERROR(__xludf.DUMMYFUNCTION("""COMPUTED_VALUE"""),2.4141441371506733)</f>
        <v>2.414144137</v>
      </c>
      <c r="AH623" s="57">
        <f>IFERROR(__xludf.DUMMYFUNCTION("""COMPUTED_VALUE"""),0.9786691059402084)</f>
        <v>0.9786691059</v>
      </c>
      <c r="AI623" s="57">
        <f>IFERROR(__xludf.DUMMYFUNCTION("""COMPUTED_VALUE"""),0.8434056427828227)</f>
        <v>0.8434056428</v>
      </c>
      <c r="AJ623" s="57">
        <f>IFERROR(__xludf.DUMMYFUNCTION("""COMPUTED_VALUE"""),1.4272961310385812)</f>
        <v>1.427296131</v>
      </c>
      <c r="AK623" s="57">
        <f>IFERROR(__xludf.DUMMYFUNCTION("""COMPUTED_VALUE"""),1.071338842147135)</f>
        <v>1.071338842</v>
      </c>
      <c r="AL623" s="57">
        <f>IFERROR(__xludf.DUMMYFUNCTION("""COMPUTED_VALUE"""),1.016735254856185)</f>
        <v>1.016735255</v>
      </c>
      <c r="AM623" s="57">
        <f>IFERROR(__xludf.DUMMYFUNCTION("""COMPUTED_VALUE"""),1.075154898460238)</f>
        <v>1.075154898</v>
      </c>
      <c r="AN623" s="57">
        <f>IFERROR(__xludf.DUMMYFUNCTION("""COMPUTED_VALUE"""),1.133778475061792)</f>
        <v>1.133778475</v>
      </c>
      <c r="AO623" s="57">
        <f>IFERROR(__xludf.DUMMYFUNCTION("""COMPUTED_VALUE"""),1.1478884157392768)</f>
        <v>1.147888416</v>
      </c>
      <c r="AP623" s="35">
        <f>IFERROR(__xludf.DUMMYFUNCTION("""COMPUTED_VALUE"""),1.0663114079420122)</f>
        <v>1.066311408</v>
      </c>
      <c r="AQ623" s="57">
        <f>IFERROR(__xludf.DUMMYFUNCTION("""COMPUTED_VALUE"""),1.139381124523992)</f>
        <v>1.139381125</v>
      </c>
      <c r="AR623" s="36" t="b">
        <f>IFERROR(__xludf.DUMMYFUNCTION("""COMPUTED_VALUE"""),TRUE)</f>
        <v>1</v>
      </c>
      <c r="AS623" s="57"/>
      <c r="AT623" s="37"/>
      <c r="AU623" s="30"/>
      <c r="AV623" s="30"/>
      <c r="AW623" s="30"/>
      <c r="AX623" s="30"/>
      <c r="AY623" s="30"/>
      <c r="AZ623" s="30"/>
    </row>
    <row r="624">
      <c r="A624" s="30" t="str">
        <f>IFERROR(__xludf.DUMMYFUNCTION("""COMPUTED_VALUE"""),"Rival")</f>
        <v>Rival</v>
      </c>
      <c r="B624" s="30" t="str">
        <f>IFERROR(__xludf.DUMMYFUNCTION("""COMPUTED_VALUE"""),"RSC007799")</f>
        <v>RSC007799</v>
      </c>
      <c r="C624" s="30" t="str">
        <f>IFERROR(__xludf.DUMMYFUNCTION("""COMPUTED_VALUE"""),"DJstriker211")</f>
        <v>DJstriker211</v>
      </c>
      <c r="D624" s="31" t="str">
        <f>IFERROR(__xludf.DUMMYFUNCTION("""COMPUTED_VALUE"""),"Asiago Arsonists")</f>
        <v>Asiago Arsonists</v>
      </c>
      <c r="E624" s="31">
        <f>IFERROR(__xludf.DUMMYFUNCTION("""COMPUTED_VALUE"""),50.04014973702088)</f>
        <v>50.04014974</v>
      </c>
      <c r="F624" s="31">
        <f>IFERROR(__xludf.DUMMYFUNCTION("""COMPUTED_VALUE"""),2.002566075474329)</f>
        <v>2.002566075</v>
      </c>
      <c r="G624" s="31">
        <f>IFERROR(__xludf.DUMMYFUNCTION("""COMPUTED_VALUE"""),44.7319868877676)</f>
        <v>44.73198689</v>
      </c>
      <c r="H624" s="31">
        <f>IFERROR(__xludf.DUMMYFUNCTION("""COMPUTED_VALUE"""),-2.4006567487199004)</f>
        <v>-2.400656749</v>
      </c>
      <c r="I624" s="54">
        <f>IFERROR(__xludf.DUMMYFUNCTION("""COMPUTED_VALUE"""),26.0)</f>
        <v>26</v>
      </c>
      <c r="J624" s="55">
        <f>IFERROR(__xludf.DUMMYFUNCTION("""COMPUTED_VALUE"""),14.0)</f>
        <v>14</v>
      </c>
      <c r="K624" s="54">
        <f>IFERROR(__xludf.DUMMYFUNCTION("""COMPUTED_VALUE"""),12.0)</f>
        <v>12</v>
      </c>
      <c r="L624" s="56">
        <f>IFERROR(__xludf.DUMMYFUNCTION("""COMPUTED_VALUE"""),0.5384615384615384)</f>
        <v>0.5384615385</v>
      </c>
      <c r="M624" s="56">
        <f>IFERROR(__xludf.DUMMYFUNCTION("""COMPUTED_VALUE"""),0.31481481481481477)</f>
        <v>0.3148148148</v>
      </c>
      <c r="N624" s="31">
        <f>IFERROR(__xludf.DUMMYFUNCTION("""COMPUTED_VALUE"""),361.84615384615387)</f>
        <v>361.8461538</v>
      </c>
      <c r="O624" s="57">
        <f>IFERROR(__xludf.DUMMYFUNCTION("""COMPUTED_VALUE"""),0.6538461538461539)</f>
        <v>0.6538461538</v>
      </c>
      <c r="P624" s="57">
        <f>IFERROR(__xludf.DUMMYFUNCTION("""COMPUTED_VALUE"""),0.7307692307692307)</f>
        <v>0.7307692308</v>
      </c>
      <c r="Q624" s="57">
        <f>IFERROR(__xludf.DUMMYFUNCTION("""COMPUTED_VALUE"""),1.9230769230769231)</f>
        <v>1.923076923</v>
      </c>
      <c r="R624" s="57">
        <f>IFERROR(__xludf.DUMMYFUNCTION("""COMPUTED_VALUE"""),2.076923076923077)</f>
        <v>2.076923077</v>
      </c>
      <c r="S624" s="31">
        <f>IFERROR(__xludf.DUMMYFUNCTION("""COMPUTED_VALUE"""),352.2435897435898)</f>
        <v>352.2435897</v>
      </c>
      <c r="T624" s="57">
        <f>IFERROR(__xludf.DUMMYFUNCTION("""COMPUTED_VALUE"""),0.7564102564102563)</f>
        <v>0.7564102564</v>
      </c>
      <c r="U624" s="57">
        <f>IFERROR(__xludf.DUMMYFUNCTION("""COMPUTED_VALUE"""),0.5384615384615385)</f>
        <v>0.5384615385</v>
      </c>
      <c r="V624" s="57">
        <f>IFERROR(__xludf.DUMMYFUNCTION("""COMPUTED_VALUE"""),1.4102564102564108)</f>
        <v>1.41025641</v>
      </c>
      <c r="W624" s="57">
        <f>IFERROR(__xludf.DUMMYFUNCTION("""COMPUTED_VALUE"""),2.705128205128205)</f>
        <v>2.705128205</v>
      </c>
      <c r="X624" s="31">
        <f>IFERROR(__xludf.DUMMYFUNCTION("""COMPUTED_VALUE"""),348.8855931296444)</f>
        <v>348.8855931</v>
      </c>
      <c r="Y624" s="57">
        <f>IFERROR(__xludf.DUMMYFUNCTION("""COMPUTED_VALUE"""),0.7713436021771956)</f>
        <v>0.7713436022</v>
      </c>
      <c r="Z624" s="57">
        <f>IFERROR(__xludf.DUMMYFUNCTION("""COMPUTED_VALUE"""),0.5584806727096865)</f>
        <v>0.5584806727</v>
      </c>
      <c r="AA624" s="57">
        <f>IFERROR(__xludf.DUMMYFUNCTION("""COMPUTED_VALUE"""),1.3651037669580928)</f>
        <v>1.365103767</v>
      </c>
      <c r="AB624" s="57">
        <f>IFERROR(__xludf.DUMMYFUNCTION("""COMPUTED_VALUE"""),2.691599297509931)</f>
        <v>2.691599298</v>
      </c>
      <c r="AC624" s="31">
        <f>IFERROR(__xludf.DUMMYFUNCTION("""COMPUTED_VALUE"""),351.88384413842334)</f>
        <v>351.8838441</v>
      </c>
      <c r="AD624" s="57">
        <f>IFERROR(__xludf.DUMMYFUNCTION("""COMPUTED_VALUE"""),0.8101457856579235)</f>
        <v>0.8101457857</v>
      </c>
      <c r="AE624" s="57">
        <f>IFERROR(__xludf.DUMMYFUNCTION("""COMPUTED_VALUE"""),0.5867200009982618)</f>
        <v>0.586720001</v>
      </c>
      <c r="AF624" s="57">
        <f>IFERROR(__xludf.DUMMYFUNCTION("""COMPUTED_VALUE"""),1.329971671501486)</f>
        <v>1.329971672</v>
      </c>
      <c r="AG624" s="57">
        <f>IFERROR(__xludf.DUMMYFUNCTION("""COMPUTED_VALUE"""),2.629049958143647)</f>
        <v>2.629049958</v>
      </c>
      <c r="AH624" s="57">
        <f>IFERROR(__xludf.DUMMYFUNCTION("""COMPUTED_VALUE"""),1.0283113586306383)</f>
        <v>1.028311359</v>
      </c>
      <c r="AI624" s="57">
        <f>IFERROR(__xludf.DUMMYFUNCTION("""COMPUTED_VALUE"""),0.8070722151756453)</f>
        <v>0.8070722152</v>
      </c>
      <c r="AJ624" s="57">
        <f>IFERROR(__xludf.DUMMYFUNCTION("""COMPUTED_VALUE"""),1.2455161397700427)</f>
        <v>1.24551614</v>
      </c>
      <c r="AK624" s="57">
        <f>IFERROR(__xludf.DUMMYFUNCTION("""COMPUTED_VALUE"""),1.4459532968140927)</f>
        <v>1.445953297</v>
      </c>
      <c r="AL624" s="57">
        <f>IFERROR(__xludf.DUMMYFUNCTION("""COMPUTED_VALUE"""),0.7899899621495126)</f>
        <v>0.7899899621</v>
      </c>
      <c r="AM624" s="57">
        <f>IFERROR(__xludf.DUMMYFUNCTION("""COMPUTED_VALUE"""),1.0096249219803626)</f>
        <v>1.009624922</v>
      </c>
      <c r="AN624" s="57">
        <f>IFERROR(__xludf.DUMMYFUNCTION("""COMPUTED_VALUE"""),0.9806398267584143)</f>
        <v>0.9806398268</v>
      </c>
      <c r="AO624" s="57">
        <f>IFERROR(__xludf.DUMMYFUNCTION("""COMPUTED_VALUE"""),0.9641542935568078)</f>
        <v>0.9641542936</v>
      </c>
      <c r="AP624" s="35">
        <f>IFERROR(__xludf.DUMMYFUNCTION("""COMPUTED_VALUE"""),1.0330763451037375)</f>
        <v>1.033076345</v>
      </c>
      <c r="AQ624" s="57">
        <f>IFERROR(__xludf.DUMMYFUNCTION("""COMPUTED_VALUE"""),1.0050263453519213)</f>
        <v>1.005026345</v>
      </c>
      <c r="AR624" s="36" t="b">
        <f>IFERROR(__xludf.DUMMYFUNCTION("""COMPUTED_VALUE"""),TRUE)</f>
        <v>1</v>
      </c>
      <c r="AS624" s="57"/>
      <c r="AT624" s="37"/>
      <c r="AU624" s="30"/>
      <c r="AV624" s="30"/>
      <c r="AW624" s="30"/>
      <c r="AX624" s="30"/>
      <c r="AY624" s="30"/>
      <c r="AZ624" s="30"/>
    </row>
    <row r="625">
      <c r="A625" s="30" t="str">
        <f>IFERROR(__xludf.DUMMYFUNCTION("""COMPUTED_VALUE"""),"Rival")</f>
        <v>Rival</v>
      </c>
      <c r="B625" s="30" t="str">
        <f>IFERROR(__xludf.DUMMYFUNCTION("""COMPUTED_VALUE"""),"RSC000136")</f>
        <v>RSC000136</v>
      </c>
      <c r="C625" s="30" t="str">
        <f>IFERROR(__xludf.DUMMYFUNCTION("""COMPUTED_VALUE"""),"Blun")</f>
        <v>Blun</v>
      </c>
      <c r="D625" s="31" t="str">
        <f>IFERROR(__xludf.DUMMYFUNCTION("""COMPUTED_VALUE"""),"Tyrants")</f>
        <v>Tyrants</v>
      </c>
      <c r="E625" s="31">
        <f>IFERROR(__xludf.DUMMYFUNCTION("""COMPUTED_VALUE"""),50.02944931483915)</f>
        <v>50.02944931</v>
      </c>
      <c r="F625" s="31">
        <f>IFERROR(__xludf.DUMMYFUNCTION("""COMPUTED_VALUE"""),2.001881540289417)</f>
        <v>2.00188154</v>
      </c>
      <c r="G625" s="31">
        <f>IFERROR(__xludf.DUMMYFUNCTION("""COMPUTED_VALUE"""),54.16188464231385)</f>
        <v>54.16188464</v>
      </c>
      <c r="H625" s="31">
        <f>IFERROR(__xludf.DUMMYFUNCTION("""COMPUTED_VALUE"""),2.3047240387794243)</f>
        <v>2.304724039</v>
      </c>
      <c r="I625" s="54">
        <f>IFERROR(__xludf.DUMMYFUNCTION("""COMPUTED_VALUE"""),30.0)</f>
        <v>30</v>
      </c>
      <c r="J625" s="55">
        <f>IFERROR(__xludf.DUMMYFUNCTION("""COMPUTED_VALUE"""),15.0)</f>
        <v>15</v>
      </c>
      <c r="K625" s="54">
        <f>IFERROR(__xludf.DUMMYFUNCTION("""COMPUTED_VALUE"""),15.0)</f>
        <v>15</v>
      </c>
      <c r="L625" s="56">
        <f>IFERROR(__xludf.DUMMYFUNCTION("""COMPUTED_VALUE"""),0.5)</f>
        <v>0.5</v>
      </c>
      <c r="M625" s="56">
        <f>IFERROR(__xludf.DUMMYFUNCTION("""COMPUTED_VALUE"""),0.3037974683544304)</f>
        <v>0.3037974684</v>
      </c>
      <c r="N625" s="31">
        <f>IFERROR(__xludf.DUMMYFUNCTION("""COMPUTED_VALUE"""),315.93333333333334)</f>
        <v>315.9333333</v>
      </c>
      <c r="O625" s="57">
        <f>IFERROR(__xludf.DUMMYFUNCTION("""COMPUTED_VALUE"""),0.8)</f>
        <v>0.8</v>
      </c>
      <c r="P625" s="57">
        <f>IFERROR(__xludf.DUMMYFUNCTION("""COMPUTED_VALUE"""),0.4)</f>
        <v>0.4</v>
      </c>
      <c r="Q625" s="57">
        <f>IFERROR(__xludf.DUMMYFUNCTION("""COMPUTED_VALUE"""),0.9)</f>
        <v>0.9</v>
      </c>
      <c r="R625" s="57">
        <f>IFERROR(__xludf.DUMMYFUNCTION("""COMPUTED_VALUE"""),2.6333333333333333)</f>
        <v>2.633333333</v>
      </c>
      <c r="S625" s="31">
        <f>IFERROR(__xludf.DUMMYFUNCTION("""COMPUTED_VALUE"""),330.64444444444445)</f>
        <v>330.6444444</v>
      </c>
      <c r="T625" s="57">
        <f>IFERROR(__xludf.DUMMYFUNCTION("""COMPUTED_VALUE"""),0.7555555555555556)</f>
        <v>0.7555555556</v>
      </c>
      <c r="U625" s="57">
        <f>IFERROR(__xludf.DUMMYFUNCTION("""COMPUTED_VALUE"""),0.5666666666666667)</f>
        <v>0.5666666667</v>
      </c>
      <c r="V625" s="57">
        <f>IFERROR(__xludf.DUMMYFUNCTION("""COMPUTED_VALUE"""),1.0666666666666664)</f>
        <v>1.066666667</v>
      </c>
      <c r="W625" s="57">
        <f>IFERROR(__xludf.DUMMYFUNCTION("""COMPUTED_VALUE"""),2.4999999999999996)</f>
        <v>2.5</v>
      </c>
      <c r="X625" s="31">
        <f>IFERROR(__xludf.DUMMYFUNCTION("""COMPUTED_VALUE"""),350.0359874082904)</f>
        <v>350.0359874</v>
      </c>
      <c r="Y625" s="57">
        <f>IFERROR(__xludf.DUMMYFUNCTION("""COMPUTED_VALUE"""),0.7707279934728464)</f>
        <v>0.7707279935</v>
      </c>
      <c r="Z625" s="57">
        <f>IFERROR(__xludf.DUMMYFUNCTION("""COMPUTED_VALUE"""),0.6000199546957875)</f>
        <v>0.6000199547</v>
      </c>
      <c r="AA625" s="57">
        <f>IFERROR(__xludf.DUMMYFUNCTION("""COMPUTED_VALUE"""),1.3024838176196465)</f>
        <v>1.302483818</v>
      </c>
      <c r="AB625" s="57">
        <f>IFERROR(__xludf.DUMMYFUNCTION("""COMPUTED_VALUE"""),2.6035049795775196)</f>
        <v>2.60350498</v>
      </c>
      <c r="AC625" s="31">
        <f>IFERROR(__xludf.DUMMYFUNCTION("""COMPUTED_VALUE"""),344.4974429744618)</f>
        <v>344.497443</v>
      </c>
      <c r="AD625" s="57">
        <f>IFERROR(__xludf.DUMMYFUNCTION("""COMPUTED_VALUE"""),0.7508916443629251)</f>
        <v>0.7508916444</v>
      </c>
      <c r="AE625" s="57">
        <f>IFERROR(__xludf.DUMMYFUNCTION("""COMPUTED_VALUE"""),0.5574942035245113)</f>
        <v>0.5574942035</v>
      </c>
      <c r="AF625" s="57">
        <f>IFERROR(__xludf.DUMMYFUNCTION("""COMPUTED_VALUE"""),1.3125887275374548)</f>
        <v>1.312588728</v>
      </c>
      <c r="AG625" s="57">
        <f>IFERROR(__xludf.DUMMYFUNCTION("""COMPUTED_VALUE"""),2.4791456621715953)</f>
        <v>2.479145662</v>
      </c>
      <c r="AH625" s="57">
        <f>IFERROR(__xludf.DUMMYFUNCTION("""COMPUTED_VALUE"""),0.9170846976555179)</f>
        <v>0.9170846977</v>
      </c>
      <c r="AI625" s="57">
        <f>IFERROR(__xludf.DUMMYFUNCTION("""COMPUTED_VALUE"""),1.0654000560610042)</f>
        <v>1.065400056</v>
      </c>
      <c r="AJ625" s="57">
        <f>IFERROR(__xludf.DUMMYFUNCTION("""COMPUTED_VALUE"""),0.7174962492366314)</f>
        <v>0.7174962492</v>
      </c>
      <c r="AK625" s="57">
        <f>IFERROR(__xludf.DUMMYFUNCTION("""COMPUTED_VALUE"""),0.6856679332363979)</f>
        <v>0.6856679332</v>
      </c>
      <c r="AL625" s="57">
        <f>IFERROR(__xludf.DUMMYFUNCTION("""COMPUTED_VALUE"""),1.0621938732824106)</f>
        <v>1.062193873</v>
      </c>
      <c r="AM625" s="57">
        <f>IFERROR(__xludf.DUMMYFUNCTION("""COMPUTED_VALUE"""),0.9446012876920933)</f>
        <v>0.9446012877</v>
      </c>
      <c r="AN625" s="57">
        <f>IFERROR(__xludf.DUMMYFUNCTION("""COMPUTED_VALUE"""),0.9803141470845962)</f>
        <v>0.9803141471</v>
      </c>
      <c r="AO625" s="57">
        <f>IFERROR(__xludf.DUMMYFUNCTION("""COMPUTED_VALUE"""),0.9444130353197485)</f>
        <v>0.9444130353</v>
      </c>
      <c r="AP625" s="35">
        <f>IFERROR(__xludf.DUMMYFUNCTION("""COMPUTED_VALUE"""),0.8189481145462923)</f>
        <v>0.8189481145</v>
      </c>
      <c r="AQ625" s="57">
        <f>IFERROR(__xludf.DUMMYFUNCTION("""COMPUTED_VALUE"""),0.9602439863225012)</f>
        <v>0.9602439863</v>
      </c>
      <c r="AR625" s="36" t="b">
        <f>IFERROR(__xludf.DUMMYFUNCTION("""COMPUTED_VALUE"""),TRUE)</f>
        <v>1</v>
      </c>
      <c r="AS625" s="57"/>
      <c r="AT625" s="37"/>
      <c r="AU625" s="30"/>
      <c r="AV625" s="30"/>
      <c r="AW625" s="30"/>
      <c r="AX625" s="30"/>
      <c r="AY625" s="30"/>
      <c r="AZ625" s="30"/>
    </row>
    <row r="626">
      <c r="A626" s="30" t="str">
        <f>IFERROR(__xludf.DUMMYFUNCTION("""COMPUTED_VALUE"""),"Rival")</f>
        <v>Rival</v>
      </c>
      <c r="B626" s="30" t="str">
        <f>IFERROR(__xludf.DUMMYFUNCTION("""COMPUTED_VALUE"""),"RSC005832")</f>
        <v>RSC005832</v>
      </c>
      <c r="C626" s="30" t="str">
        <f>IFERROR(__xludf.DUMMYFUNCTION("""COMPUTED_VALUE"""),"TH4NA70S")</f>
        <v>TH4NA70S</v>
      </c>
      <c r="D626" s="31" t="str">
        <f>IFERROR(__xludf.DUMMYFUNCTION("""COMPUTED_VALUE"""),"Quasars")</f>
        <v>Quasars</v>
      </c>
      <c r="E626" s="31">
        <f>IFERROR(__xludf.DUMMYFUNCTION("""COMPUTED_VALUE"""),49.60959690733598)</f>
        <v>49.60959691</v>
      </c>
      <c r="F626" s="31">
        <f>IFERROR(__xludf.DUMMYFUNCTION("""COMPUTED_VALUE"""),-2.0252331034722304)</f>
        <v>-2.025233103</v>
      </c>
      <c r="G626" s="31">
        <f>IFERROR(__xludf.DUMMYFUNCTION("""COMPUTED_VALUE"""),45.76917224382818)</f>
        <v>45.76917224</v>
      </c>
      <c r="H626" s="31">
        <f>IFERROR(__xludf.DUMMYFUNCTION("""COMPUTED_VALUE"""),-2.3105005776103935)</f>
        <v>-2.310500578</v>
      </c>
      <c r="I626" s="54">
        <f>IFERROR(__xludf.DUMMYFUNCTION("""COMPUTED_VALUE"""),32.0)</f>
        <v>32</v>
      </c>
      <c r="J626" s="55">
        <f>IFERROR(__xludf.DUMMYFUNCTION("""COMPUTED_VALUE"""),18.0)</f>
        <v>18</v>
      </c>
      <c r="K626" s="54">
        <f>IFERROR(__xludf.DUMMYFUNCTION("""COMPUTED_VALUE"""),14.0)</f>
        <v>14</v>
      </c>
      <c r="L626" s="56">
        <f>IFERROR(__xludf.DUMMYFUNCTION("""COMPUTED_VALUE"""),0.5625)</f>
        <v>0.5625</v>
      </c>
      <c r="M626" s="56">
        <f>IFERROR(__xludf.DUMMYFUNCTION("""COMPUTED_VALUE"""),0.2087912087912088)</f>
        <v>0.2087912088</v>
      </c>
      <c r="N626" s="31">
        <f>IFERROR(__xludf.DUMMYFUNCTION("""COMPUTED_VALUE"""),363.46875)</f>
        <v>363.46875</v>
      </c>
      <c r="O626" s="57">
        <f>IFERROR(__xludf.DUMMYFUNCTION("""COMPUTED_VALUE"""),0.59375)</f>
        <v>0.59375</v>
      </c>
      <c r="P626" s="57">
        <f>IFERROR(__xludf.DUMMYFUNCTION("""COMPUTED_VALUE"""),0.53125)</f>
        <v>0.53125</v>
      </c>
      <c r="Q626" s="57">
        <f>IFERROR(__xludf.DUMMYFUNCTION("""COMPUTED_VALUE"""),1.65625)</f>
        <v>1.65625</v>
      </c>
      <c r="R626" s="57">
        <f>IFERROR(__xludf.DUMMYFUNCTION("""COMPUTED_VALUE"""),2.84375)</f>
        <v>2.84375</v>
      </c>
      <c r="S626" s="31">
        <f>IFERROR(__xludf.DUMMYFUNCTION("""COMPUTED_VALUE"""),355.60416666666674)</f>
        <v>355.6041667</v>
      </c>
      <c r="T626" s="57">
        <f>IFERROR(__xludf.DUMMYFUNCTION("""COMPUTED_VALUE"""),0.7916666666666665)</f>
        <v>0.7916666667</v>
      </c>
      <c r="U626" s="57">
        <f>IFERROR(__xludf.DUMMYFUNCTION("""COMPUTED_VALUE"""),0.6145833333333333)</f>
        <v>0.6145833333</v>
      </c>
      <c r="V626" s="57">
        <f>IFERROR(__xludf.DUMMYFUNCTION("""COMPUTED_VALUE"""),1.3854166666666665)</f>
        <v>1.385416667</v>
      </c>
      <c r="W626" s="57">
        <f>IFERROR(__xludf.DUMMYFUNCTION("""COMPUTED_VALUE"""),2.8124999999999996)</f>
        <v>2.8125</v>
      </c>
      <c r="X626" s="31">
        <f>IFERROR(__xludf.DUMMYFUNCTION("""COMPUTED_VALUE"""),347.93147932556417)</f>
        <v>347.9314793</v>
      </c>
      <c r="Y626" s="57">
        <f>IFERROR(__xludf.DUMMYFUNCTION("""COMPUTED_VALUE"""),0.8177832994707597)</f>
        <v>0.8177832995</v>
      </c>
      <c r="Z626" s="57">
        <f>IFERROR(__xludf.DUMMYFUNCTION("""COMPUTED_VALUE"""),0.6033225393000095)</f>
        <v>0.6033225393</v>
      </c>
      <c r="AA626" s="57">
        <f>IFERROR(__xludf.DUMMYFUNCTION("""COMPUTED_VALUE"""),1.2489985812234108)</f>
        <v>1.248998581</v>
      </c>
      <c r="AB626" s="57">
        <f>IFERROR(__xludf.DUMMYFUNCTION("""COMPUTED_VALUE"""),2.510522692383928)</f>
        <v>2.510522692</v>
      </c>
      <c r="AC626" s="31">
        <f>IFERROR(__xludf.DUMMYFUNCTION("""COMPUTED_VALUE"""),342.6900643022496)</f>
        <v>342.6900643</v>
      </c>
      <c r="AD626" s="57">
        <f>IFERROR(__xludf.DUMMYFUNCTION("""COMPUTED_VALUE"""),0.7571473403690212)</f>
        <v>0.7571473404</v>
      </c>
      <c r="AE626" s="57">
        <f>IFERROR(__xludf.DUMMYFUNCTION("""COMPUTED_VALUE"""),0.5288953567117605)</f>
        <v>0.5288953567</v>
      </c>
      <c r="AF626" s="57">
        <f>IFERROR(__xludf.DUMMYFUNCTION("""COMPUTED_VALUE"""),1.292261317890016)</f>
        <v>1.292261318</v>
      </c>
      <c r="AG626" s="57">
        <f>IFERROR(__xludf.DUMMYFUNCTION("""COMPUTED_VALUE"""),2.4931158886640983)</f>
        <v>2.493115889</v>
      </c>
      <c r="AH626" s="57">
        <f>IFERROR(__xludf.DUMMYFUNCTION("""COMPUTED_VALUE"""),1.060634047678207)</f>
        <v>1.060634048</v>
      </c>
      <c r="AI626" s="57">
        <f>IFERROR(__xludf.DUMMYFUNCTION("""COMPUTED_VALUE"""),0.7841934698081565)</f>
        <v>0.7841934698</v>
      </c>
      <c r="AJ626" s="57">
        <f>IFERROR(__xludf.DUMMYFUNCTION("""COMPUTED_VALUE"""),1.0044520021935508)</f>
        <v>1.004452002</v>
      </c>
      <c r="AK626" s="57">
        <f>IFERROR(__xludf.DUMMYFUNCTION("""COMPUTED_VALUE"""),1.281668016422792)</f>
        <v>1.281668016</v>
      </c>
      <c r="AL626" s="57">
        <f>IFERROR(__xludf.DUMMYFUNCTION("""COMPUTED_VALUE"""),1.1406409196340184)</f>
        <v>1.14064092</v>
      </c>
      <c r="AM626" s="57">
        <f>IFERROR(__xludf.DUMMYFUNCTION("""COMPUTED_VALUE"""),1.0220522941930275)</f>
        <v>1.022052294</v>
      </c>
      <c r="AN626" s="57">
        <f>IFERROR(__xludf.DUMMYFUNCTION("""COMPUTED_VALUE"""),0.9680641157370236)</f>
        <v>0.9680641157</v>
      </c>
      <c r="AO626" s="57">
        <f>IFERROR(__xludf.DUMMYFUNCTION("""COMPUTED_VALUE"""),1.0186646334254126)</f>
        <v>1.018664633</v>
      </c>
      <c r="AP626" s="35">
        <f>IFERROR(__xludf.DUMMYFUNCTION("""COMPUTED_VALUE"""),1.1092219698997836)</f>
        <v>1.10922197</v>
      </c>
      <c r="AQ626" s="57">
        <f>IFERROR(__xludf.DUMMYFUNCTION("""COMPUTED_VALUE"""),1.1202846357581902)</f>
        <v>1.120284636</v>
      </c>
      <c r="AR626" s="36" t="b">
        <f>IFERROR(__xludf.DUMMYFUNCTION("""COMPUTED_VALUE"""),TRUE)</f>
        <v>1</v>
      </c>
      <c r="AS626" s="57"/>
      <c r="AT626" s="37"/>
      <c r="AU626" s="30"/>
      <c r="AV626" s="30"/>
      <c r="AW626" s="30"/>
      <c r="AX626" s="30"/>
      <c r="AY626" s="30"/>
      <c r="AZ626" s="30"/>
    </row>
    <row r="627">
      <c r="A627" s="30" t="str">
        <f>IFERROR(__xludf.DUMMYFUNCTION("""COMPUTED_VALUE"""),"Rival")</f>
        <v>Rival</v>
      </c>
      <c r="B627" s="30" t="str">
        <f>IFERROR(__xludf.DUMMYFUNCTION("""COMPUTED_VALUE"""),"RSC007999")</f>
        <v>RSC007999</v>
      </c>
      <c r="C627" s="30" t="str">
        <f>IFERROR(__xludf.DUMMYFUNCTION("""COMPUTED_VALUE"""),"MerzR")</f>
        <v>MerzR</v>
      </c>
      <c r="D627" s="31" t="str">
        <f>IFERROR(__xludf.DUMMYFUNCTION("""COMPUTED_VALUE"""),"Ruthless Racket")</f>
        <v>Ruthless Racket</v>
      </c>
      <c r="E627" s="31">
        <f>IFERROR(__xludf.DUMMYFUNCTION("""COMPUTED_VALUE"""),49.05878321703551)</f>
        <v>49.05878322</v>
      </c>
      <c r="F627" s="31">
        <f>IFERROR(__xludf.DUMMYFUNCTION("""COMPUTED_VALUE"""),-2.0619241147037206)</f>
        <v>-2.061924115</v>
      </c>
      <c r="G627" s="31">
        <f>IFERROR(__xludf.DUMMYFUNCTION("""COMPUTED_VALUE"""),58.48949244216449)</f>
        <v>58.48949244</v>
      </c>
      <c r="H627" s="31">
        <f>IFERROR(__xludf.DUMMYFUNCTION("""COMPUTED_VALUE"""),2.724153313865581)</f>
        <v>2.724153314</v>
      </c>
      <c r="I627" s="54">
        <f>IFERROR(__xludf.DUMMYFUNCTION("""COMPUTED_VALUE"""),20.0)</f>
        <v>20</v>
      </c>
      <c r="J627" s="55">
        <f>IFERROR(__xludf.DUMMYFUNCTION("""COMPUTED_VALUE"""),5.0)</f>
        <v>5</v>
      </c>
      <c r="K627" s="54">
        <f>IFERROR(__xludf.DUMMYFUNCTION("""COMPUTED_VALUE"""),15.0)</f>
        <v>15</v>
      </c>
      <c r="L627" s="56">
        <f>IFERROR(__xludf.DUMMYFUNCTION("""COMPUTED_VALUE"""),0.25)</f>
        <v>0.25</v>
      </c>
      <c r="M627" s="56">
        <f>IFERROR(__xludf.DUMMYFUNCTION("""COMPUTED_VALUE"""),0.38775510204081626)</f>
        <v>0.387755102</v>
      </c>
      <c r="N627" s="31">
        <f>IFERROR(__xludf.DUMMYFUNCTION("""COMPUTED_VALUE"""),380.85)</f>
        <v>380.85</v>
      </c>
      <c r="O627" s="57">
        <f>IFERROR(__xludf.DUMMYFUNCTION("""COMPUTED_VALUE"""),0.95)</f>
        <v>0.95</v>
      </c>
      <c r="P627" s="57">
        <f>IFERROR(__xludf.DUMMYFUNCTION("""COMPUTED_VALUE"""),0.35)</f>
        <v>0.35</v>
      </c>
      <c r="Q627" s="57">
        <f>IFERROR(__xludf.DUMMYFUNCTION("""COMPUTED_VALUE"""),1.75)</f>
        <v>1.75</v>
      </c>
      <c r="R627" s="57">
        <f>IFERROR(__xludf.DUMMYFUNCTION("""COMPUTED_VALUE"""),2.45)</f>
        <v>2.45</v>
      </c>
      <c r="S627" s="31">
        <f>IFERROR(__xludf.DUMMYFUNCTION("""COMPUTED_VALUE"""),363.30000000000007)</f>
        <v>363.3</v>
      </c>
      <c r="T627" s="57">
        <f>IFERROR(__xludf.DUMMYFUNCTION("""COMPUTED_VALUE"""),0.9166666666666666)</f>
        <v>0.9166666667</v>
      </c>
      <c r="U627" s="57">
        <f>IFERROR(__xludf.DUMMYFUNCTION("""COMPUTED_VALUE"""),0.7833333333333333)</f>
        <v>0.7833333333</v>
      </c>
      <c r="V627" s="57">
        <f>IFERROR(__xludf.DUMMYFUNCTION("""COMPUTED_VALUE"""),1.0333333333333337)</f>
        <v>1.033333333</v>
      </c>
      <c r="W627" s="57">
        <f>IFERROR(__xludf.DUMMYFUNCTION("""COMPUTED_VALUE"""),2.683333333333333)</f>
        <v>2.683333333</v>
      </c>
      <c r="X627" s="31">
        <f>IFERROR(__xludf.DUMMYFUNCTION("""COMPUTED_VALUE"""),342.3189284304035)</f>
        <v>342.3189284</v>
      </c>
      <c r="Y627" s="57">
        <f>IFERROR(__xludf.DUMMYFUNCTION("""COMPUTED_VALUE"""),0.7960195615837098)</f>
        <v>0.7960195616</v>
      </c>
      <c r="Z627" s="57">
        <f>IFERROR(__xludf.DUMMYFUNCTION("""COMPUTED_VALUE"""),0.5758770788879815)</f>
        <v>0.5758770789</v>
      </c>
      <c r="AA627" s="57">
        <f>IFERROR(__xludf.DUMMYFUNCTION("""COMPUTED_VALUE"""),1.2211551458223622)</f>
        <v>1.221155146</v>
      </c>
      <c r="AB627" s="57">
        <f>IFERROR(__xludf.DUMMYFUNCTION("""COMPUTED_VALUE"""),2.598128420416072)</f>
        <v>2.59812842</v>
      </c>
      <c r="AC627" s="31">
        <f>IFERROR(__xludf.DUMMYFUNCTION("""COMPUTED_VALUE"""),350.5159903031914)</f>
        <v>350.5159903</v>
      </c>
      <c r="AD627" s="57">
        <f>IFERROR(__xludf.DUMMYFUNCTION("""COMPUTED_VALUE"""),0.7840561986813677)</f>
        <v>0.7840561987</v>
      </c>
      <c r="AE627" s="57">
        <f>IFERROR(__xludf.DUMMYFUNCTION("""COMPUTED_VALUE"""),0.5888525776148323)</f>
        <v>0.5888525776</v>
      </c>
      <c r="AF627" s="57">
        <f>IFERROR(__xludf.DUMMYFUNCTION("""COMPUTED_VALUE"""),1.3144000718483049)</f>
        <v>1.314400072</v>
      </c>
      <c r="AG627" s="57">
        <f>IFERROR(__xludf.DUMMYFUNCTION("""COMPUTED_VALUE"""),2.4761344528746485)</f>
        <v>2.476134453</v>
      </c>
      <c r="AH627" s="57">
        <f>IFERROR(__xludf.DUMMYFUNCTION("""COMPUTED_VALUE"""),1.0865410153487438)</f>
        <v>1.086541015</v>
      </c>
      <c r="AI627" s="57">
        <f>IFERROR(__xludf.DUMMYFUNCTION("""COMPUTED_VALUE"""),1.211647840547295)</f>
        <v>1.211647841</v>
      </c>
      <c r="AJ627" s="57">
        <f>IFERROR(__xludf.DUMMYFUNCTION("""COMPUTED_VALUE"""),0.5943762722712144)</f>
        <v>0.5943762723</v>
      </c>
      <c r="AK627" s="57">
        <f>IFERROR(__xludf.DUMMYFUNCTION("""COMPUTED_VALUE"""),1.3314058919208336)</f>
        <v>1.331405892</v>
      </c>
      <c r="AL627" s="57">
        <f>IFERROR(__xludf.DUMMYFUNCTION("""COMPUTED_VALUE"""),0.9894454629294028)</f>
        <v>0.9894454629</v>
      </c>
      <c r="AM627" s="57">
        <f>IFERROR(__xludf.DUMMYFUNCTION("""COMPUTED_VALUE"""),1.0612910062139966)</f>
        <v>1.061291006</v>
      </c>
      <c r="AN627" s="57">
        <f>IFERROR(__xludf.DUMMYFUNCTION("""COMPUTED_VALUE"""),1.1515629902899938)</f>
        <v>1.15156299</v>
      </c>
      <c r="AO627" s="57">
        <f>IFERROR(__xludf.DUMMYFUNCTION("""COMPUTED_VALUE"""),1.3602439861748794)</f>
        <v>1.360243986</v>
      </c>
      <c r="AP627" s="35">
        <f>IFERROR(__xludf.DUMMYFUNCTION("""COMPUTED_VALUE"""),0.8461933251220559)</f>
        <v>0.8461933251</v>
      </c>
      <c r="AQ627" s="57">
        <f>IFERROR(__xludf.DUMMYFUNCTION("""COMPUTED_VALUE"""),1.0327947272535574)</f>
        <v>1.032794727</v>
      </c>
      <c r="AR627" s="36" t="b">
        <f>IFERROR(__xludf.DUMMYFUNCTION("""COMPUTED_VALUE"""),TRUE)</f>
        <v>1</v>
      </c>
      <c r="AS627" s="57"/>
      <c r="AT627" s="37"/>
      <c r="AU627" s="30"/>
      <c r="AV627" s="30"/>
      <c r="AW627" s="30"/>
      <c r="AX627" s="30"/>
      <c r="AY627" s="30"/>
      <c r="AZ627" s="30"/>
    </row>
    <row r="628">
      <c r="A628" s="30" t="str">
        <f>IFERROR(__xludf.DUMMYFUNCTION("""COMPUTED_VALUE"""),"Rival")</f>
        <v>Rival</v>
      </c>
      <c r="B628" s="30" t="str">
        <f>IFERROR(__xludf.DUMMYFUNCTION("""COMPUTED_VALUE"""),"RSC006209")</f>
        <v>RSC006209</v>
      </c>
      <c r="C628" s="30" t="str">
        <f>IFERROR(__xludf.DUMMYFUNCTION("""COMPUTED_VALUE"""),"Celiscy")</f>
        <v>Celiscy</v>
      </c>
      <c r="D628" s="31" t="str">
        <f>IFERROR(__xludf.DUMMYFUNCTION("""COMPUTED_VALUE"""),"Jetstream")</f>
        <v>Jetstream</v>
      </c>
      <c r="E628" s="31">
        <f>IFERROR(__xludf.DUMMYFUNCTION("""COMPUTED_VALUE"""),48.82482720306888)</f>
        <v>48.8248272</v>
      </c>
      <c r="F628" s="31">
        <f>IFERROR(__xludf.DUMMYFUNCTION("""COMPUTED_VALUE"""),-2.077905414224409)</f>
        <v>-2.077905414</v>
      </c>
      <c r="G628" s="31">
        <f>IFERROR(__xludf.DUMMYFUNCTION("""COMPUTED_VALUE"""),44.27366090398345)</f>
        <v>44.2736609</v>
      </c>
      <c r="H628" s="31">
        <f>IFERROR(__xludf.DUMMYFUNCTION("""COMPUTED_VALUE"""),-2.4425175338752885)</f>
        <v>-2.442517534</v>
      </c>
      <c r="I628" s="54">
        <f>IFERROR(__xludf.DUMMYFUNCTION("""COMPUTED_VALUE"""),35.0)</f>
        <v>35</v>
      </c>
      <c r="J628" s="55">
        <f>IFERROR(__xludf.DUMMYFUNCTION("""COMPUTED_VALUE"""),14.0)</f>
        <v>14</v>
      </c>
      <c r="K628" s="54">
        <f>IFERROR(__xludf.DUMMYFUNCTION("""COMPUTED_VALUE"""),21.0)</f>
        <v>21</v>
      </c>
      <c r="L628" s="56">
        <f>IFERROR(__xludf.DUMMYFUNCTION("""COMPUTED_VALUE"""),0.4)</f>
        <v>0.4</v>
      </c>
      <c r="M628" s="56">
        <f>IFERROR(__xludf.DUMMYFUNCTION("""COMPUTED_VALUE"""),0.2638888888888889)</f>
        <v>0.2638888889</v>
      </c>
      <c r="N628" s="31">
        <f>IFERROR(__xludf.DUMMYFUNCTION("""COMPUTED_VALUE"""),325.0571428571429)</f>
        <v>325.0571429</v>
      </c>
      <c r="O628" s="57">
        <f>IFERROR(__xludf.DUMMYFUNCTION("""COMPUTED_VALUE"""),0.5428571428571428)</f>
        <v>0.5428571429</v>
      </c>
      <c r="P628" s="57">
        <f>IFERROR(__xludf.DUMMYFUNCTION("""COMPUTED_VALUE"""),0.8571428571428571)</f>
        <v>0.8571428571</v>
      </c>
      <c r="Q628" s="57">
        <f>IFERROR(__xludf.DUMMYFUNCTION("""COMPUTED_VALUE"""),1.3142857142857143)</f>
        <v>1.314285714</v>
      </c>
      <c r="R628" s="57">
        <f>IFERROR(__xludf.DUMMYFUNCTION("""COMPUTED_VALUE"""),2.057142857142857)</f>
        <v>2.057142857</v>
      </c>
      <c r="S628" s="31">
        <f>IFERROR(__xludf.DUMMYFUNCTION("""COMPUTED_VALUE"""),337.2952380952381)</f>
        <v>337.2952381</v>
      </c>
      <c r="T628" s="57">
        <f>IFERROR(__xludf.DUMMYFUNCTION("""COMPUTED_VALUE"""),0.7142857142857143)</f>
        <v>0.7142857143</v>
      </c>
      <c r="U628" s="57">
        <f>IFERROR(__xludf.DUMMYFUNCTION("""COMPUTED_VALUE"""),0.5333333333333333)</f>
        <v>0.5333333333</v>
      </c>
      <c r="V628" s="57">
        <f>IFERROR(__xludf.DUMMYFUNCTION("""COMPUTED_VALUE"""),1.2095238095238092)</f>
        <v>1.20952381</v>
      </c>
      <c r="W628" s="57">
        <f>IFERROR(__xludf.DUMMYFUNCTION("""COMPUTED_VALUE"""),2.6000000000000005)</f>
        <v>2.6</v>
      </c>
      <c r="X628" s="31">
        <f>IFERROR(__xludf.DUMMYFUNCTION("""COMPUTED_VALUE"""),351.15167152132483)</f>
        <v>351.1516715</v>
      </c>
      <c r="Y628" s="57">
        <f>IFERROR(__xludf.DUMMYFUNCTION("""COMPUTED_VALUE"""),0.7996441156139609)</f>
        <v>0.7996441156</v>
      </c>
      <c r="Z628" s="57">
        <f>IFERROR(__xludf.DUMMYFUNCTION("""COMPUTED_VALUE"""),0.552523263862754)</f>
        <v>0.5525232639</v>
      </c>
      <c r="AA628" s="57">
        <f>IFERROR(__xludf.DUMMYFUNCTION("""COMPUTED_VALUE"""),1.307278496857161)</f>
        <v>1.307278497</v>
      </c>
      <c r="AB628" s="57">
        <f>IFERROR(__xludf.DUMMYFUNCTION("""COMPUTED_VALUE"""),2.625853277922944)</f>
        <v>2.625853278</v>
      </c>
      <c r="AC628" s="31">
        <f>IFERROR(__xludf.DUMMYFUNCTION("""COMPUTED_VALUE"""),346.69792434382873)</f>
        <v>346.6979243</v>
      </c>
      <c r="AD628" s="57">
        <f>IFERROR(__xludf.DUMMYFUNCTION("""COMPUTED_VALUE"""),0.7893377242151323)</f>
        <v>0.7893377242</v>
      </c>
      <c r="AE628" s="57">
        <f>IFERROR(__xludf.DUMMYFUNCTION("""COMPUTED_VALUE"""),0.5764682466219812)</f>
        <v>0.5764682466</v>
      </c>
      <c r="AF628" s="57">
        <f>IFERROR(__xludf.DUMMYFUNCTION("""COMPUTED_VALUE"""),1.3006806982197627)</f>
        <v>1.300680698</v>
      </c>
      <c r="AG628" s="57">
        <f>IFERROR(__xludf.DUMMYFUNCTION("""COMPUTED_VALUE"""),2.631508278720495)</f>
        <v>2.631508279</v>
      </c>
      <c r="AH628" s="57">
        <f>IFERROR(__xludf.DUMMYFUNCTION("""COMPUTED_VALUE"""),0.9375802969468483)</f>
        <v>0.9375802969</v>
      </c>
      <c r="AI628" s="57">
        <f>IFERROR(__xludf.DUMMYFUNCTION("""COMPUTED_VALUE"""),0.6877374870140988)</f>
        <v>0.687737487</v>
      </c>
      <c r="AJ628" s="57">
        <f>IFERROR(__xludf.DUMMYFUNCTION("""COMPUTED_VALUE"""),1.48688650617894)</f>
        <v>1.486886506</v>
      </c>
      <c r="AK628" s="57">
        <f>IFERROR(__xludf.DUMMYFUNCTION("""COMPUTED_VALUE"""),1.0104599200130921)</f>
        <v>1.01045992</v>
      </c>
      <c r="AL628" s="57">
        <f>IFERROR(__xludf.DUMMYFUNCTION("""COMPUTED_VALUE"""),0.7817352785008495)</f>
        <v>0.7817352785</v>
      </c>
      <c r="AM628" s="57">
        <f>IFERROR(__xludf.DUMMYFUNCTION("""COMPUTED_VALUE"""),0.9605400328409224)</f>
        <v>0.9605400328</v>
      </c>
      <c r="AN628" s="57">
        <f>IFERROR(__xludf.DUMMYFUNCTION("""COMPUTED_VALUE"""),0.8932545120241283)</f>
        <v>0.893254512</v>
      </c>
      <c r="AO628" s="57">
        <f>IFERROR(__xludf.DUMMYFUNCTION("""COMPUTED_VALUE"""),0.9652685564852752)</f>
        <v>0.9652685565</v>
      </c>
      <c r="AP628" s="35">
        <f>IFERROR(__xludf.DUMMYFUNCTION("""COMPUTED_VALUE"""),0.9252227527888169)</f>
        <v>0.9252227528</v>
      </c>
      <c r="AQ628" s="57">
        <f>IFERROR(__xludf.DUMMYFUNCTION("""COMPUTED_VALUE"""),0.9901543326352973)</f>
        <v>0.9901543326</v>
      </c>
      <c r="AR628" s="36" t="b">
        <f>IFERROR(__xludf.DUMMYFUNCTION("""COMPUTED_VALUE"""),TRUE)</f>
        <v>1</v>
      </c>
      <c r="AS628" s="57"/>
      <c r="AT628" s="37"/>
      <c r="AU628" s="30"/>
      <c r="AV628" s="30"/>
      <c r="AW628" s="30"/>
      <c r="AX628" s="30"/>
      <c r="AY628" s="30"/>
      <c r="AZ628" s="30"/>
    </row>
    <row r="629">
      <c r="A629" s="30" t="str">
        <f>IFERROR(__xludf.DUMMYFUNCTION("""COMPUTED_VALUE"""),"Rival")</f>
        <v>Rival</v>
      </c>
      <c r="B629" s="30" t="str">
        <f>IFERROR(__xludf.DUMMYFUNCTION("""COMPUTED_VALUE"""),"RSC004639")</f>
        <v>RSC004639</v>
      </c>
      <c r="C629" s="30" t="str">
        <f>IFERROR(__xludf.DUMMYFUNCTION("""COMPUTED_VALUE"""),"Tydizzle")</f>
        <v>Tydizzle</v>
      </c>
      <c r="D629" s="31" t="str">
        <f>IFERROR(__xludf.DUMMYFUNCTION("""COMPUTED_VALUE"""),"Blizzards")</f>
        <v>Blizzards</v>
      </c>
      <c r="E629" s="31">
        <f>IFERROR(__xludf.DUMMYFUNCTION("""COMPUTED_VALUE"""),48.16930801778573)</f>
        <v>48.16930802</v>
      </c>
      <c r="F629" s="31">
        <f>IFERROR(__xludf.DUMMYFUNCTION("""COMPUTED_VALUE"""),-2.123987921002946)</f>
        <v>-2.123987921</v>
      </c>
      <c r="G629" s="31">
        <f>IFERROR(__xludf.DUMMYFUNCTION("""COMPUTED_VALUE"""),43.76372333606109)</f>
        <v>43.76372334</v>
      </c>
      <c r="H629" s="31">
        <f>IFERROR(__xludf.DUMMYFUNCTION("""COMPUTED_VALUE"""),-2.4906231529413234)</f>
        <v>-2.490623153</v>
      </c>
      <c r="I629" s="54">
        <f>IFERROR(__xludf.DUMMYFUNCTION("""COMPUTED_VALUE"""),36.0)</f>
        <v>36</v>
      </c>
      <c r="J629" s="55">
        <f>IFERROR(__xludf.DUMMYFUNCTION("""COMPUTED_VALUE"""),15.0)</f>
        <v>15</v>
      </c>
      <c r="K629" s="54">
        <f>IFERROR(__xludf.DUMMYFUNCTION("""COMPUTED_VALUE"""),21.0)</f>
        <v>21</v>
      </c>
      <c r="L629" s="56">
        <f>IFERROR(__xludf.DUMMYFUNCTION("""COMPUTED_VALUE"""),0.4166666666666667)</f>
        <v>0.4166666667</v>
      </c>
      <c r="M629" s="56">
        <f>IFERROR(__xludf.DUMMYFUNCTION("""COMPUTED_VALUE"""),0.3023255813953488)</f>
        <v>0.3023255814</v>
      </c>
      <c r="N629" s="31">
        <f>IFERROR(__xludf.DUMMYFUNCTION("""COMPUTED_VALUE"""),341.19444444444446)</f>
        <v>341.1944444</v>
      </c>
      <c r="O629" s="57">
        <f>IFERROR(__xludf.DUMMYFUNCTION("""COMPUTED_VALUE"""),0.7222222222222222)</f>
        <v>0.7222222222</v>
      </c>
      <c r="P629" s="57">
        <f>IFERROR(__xludf.DUMMYFUNCTION("""COMPUTED_VALUE"""),0.6111111111111112)</f>
        <v>0.6111111111</v>
      </c>
      <c r="Q629" s="57">
        <f>IFERROR(__xludf.DUMMYFUNCTION("""COMPUTED_VALUE"""),1.2222222222222223)</f>
        <v>1.222222222</v>
      </c>
      <c r="R629" s="57">
        <f>IFERROR(__xludf.DUMMYFUNCTION("""COMPUTED_VALUE"""),2.388888888888889)</f>
        <v>2.388888889</v>
      </c>
      <c r="S629" s="31">
        <f>IFERROR(__xludf.DUMMYFUNCTION("""COMPUTED_VALUE"""),382.7314814814815)</f>
        <v>382.7314815</v>
      </c>
      <c r="T629" s="57">
        <f>IFERROR(__xludf.DUMMYFUNCTION("""COMPUTED_VALUE"""),0.9722222222222222)</f>
        <v>0.9722222222</v>
      </c>
      <c r="U629" s="57">
        <f>IFERROR(__xludf.DUMMYFUNCTION("""COMPUTED_VALUE"""),0.6574074074074074)</f>
        <v>0.6574074074</v>
      </c>
      <c r="V629" s="57">
        <f>IFERROR(__xludf.DUMMYFUNCTION("""COMPUTED_VALUE"""),1.416666666666667)</f>
        <v>1.416666667</v>
      </c>
      <c r="W629" s="57">
        <f>IFERROR(__xludf.DUMMYFUNCTION("""COMPUTED_VALUE"""),2.6388888888888897)</f>
        <v>2.638888889</v>
      </c>
      <c r="X629" s="31">
        <f>IFERROR(__xludf.DUMMYFUNCTION("""COMPUTED_VALUE"""),357.1022378299606)</f>
        <v>357.1022378</v>
      </c>
      <c r="Y629" s="57">
        <f>IFERROR(__xludf.DUMMYFUNCTION("""COMPUTED_VALUE"""),0.8214073705199466)</f>
        <v>0.8214073705</v>
      </c>
      <c r="Z629" s="57">
        <f>IFERROR(__xludf.DUMMYFUNCTION("""COMPUTED_VALUE"""),0.6101222314922446)</f>
        <v>0.6101222315</v>
      </c>
      <c r="AA629" s="57">
        <f>IFERROR(__xludf.DUMMYFUNCTION("""COMPUTED_VALUE"""),1.3951781663002645)</f>
        <v>1.395178166</v>
      </c>
      <c r="AB629" s="57">
        <f>IFERROR(__xludf.DUMMYFUNCTION("""COMPUTED_VALUE"""),2.632376840056579)</f>
        <v>2.63237684</v>
      </c>
      <c r="AC629" s="31">
        <f>IFERROR(__xludf.DUMMYFUNCTION("""COMPUTED_VALUE"""),342.29540011803465)</f>
        <v>342.2954001</v>
      </c>
      <c r="AD629" s="57">
        <f>IFERROR(__xludf.DUMMYFUNCTION("""COMPUTED_VALUE"""),0.7534146984014574)</f>
        <v>0.7534146984</v>
      </c>
      <c r="AE629" s="57">
        <f>IFERROR(__xludf.DUMMYFUNCTION("""COMPUTED_VALUE"""),0.5611718833279009)</f>
        <v>0.5611718833</v>
      </c>
      <c r="AF629" s="57">
        <f>IFERROR(__xludf.DUMMYFUNCTION("""COMPUTED_VALUE"""),1.3160905408792485)</f>
        <v>1.316090541</v>
      </c>
      <c r="AG629" s="57">
        <f>IFERROR(__xludf.DUMMYFUNCTION("""COMPUTED_VALUE"""),2.6103298880499115)</f>
        <v>2.610329888</v>
      </c>
      <c r="AH629" s="57">
        <f>IFERROR(__xludf.DUMMYFUNCTION("""COMPUTED_VALUE"""),0.9967836094986653)</f>
        <v>0.9967836095</v>
      </c>
      <c r="AI629" s="57">
        <f>IFERROR(__xludf.DUMMYFUNCTION("""COMPUTED_VALUE"""),0.9585985298064702)</f>
        <v>0.9585985298</v>
      </c>
      <c r="AJ629" s="57">
        <f>IFERROR(__xludf.DUMMYFUNCTION("""COMPUTED_VALUE"""),1.0889909656325922)</f>
        <v>1.088990966</v>
      </c>
      <c r="AK629" s="57">
        <f>IFERROR(__xludf.DUMMYFUNCTION("""COMPUTED_VALUE"""),0.9286763974503495)</f>
        <v>0.9286763975</v>
      </c>
      <c r="AL629" s="57">
        <f>IFERROR(__xludf.DUMMYFUNCTION("""COMPUTED_VALUE"""),0.9151674276210148)</f>
        <v>0.9151674276</v>
      </c>
      <c r="AM629" s="57">
        <f>IFERROR(__xludf.DUMMYFUNCTION("""COMPUTED_VALUE"""),1.0717700449240104)</f>
        <v>1.071770045</v>
      </c>
      <c r="AN629" s="57">
        <f>IFERROR(__xludf.DUMMYFUNCTION("""COMPUTED_VALUE"""),1.1836054278485602)</f>
        <v>1.183605428</v>
      </c>
      <c r="AO629" s="57">
        <f>IFERROR(__xludf.DUMMYFUNCTION("""COMPUTED_VALUE"""),1.0775011521863613)</f>
        <v>1.077501152</v>
      </c>
      <c r="AP629" s="35">
        <f>IFERROR(__xludf.DUMMYFUNCTION("""COMPUTED_VALUE"""),1.0154019758088573)</f>
        <v>1.015401976</v>
      </c>
      <c r="AQ629" s="57">
        <f>IFERROR(__xludf.DUMMYFUNCTION("""COMPUTED_VALUE"""),1.002473828493405)</f>
        <v>1.002473828</v>
      </c>
      <c r="AR629" s="36" t="b">
        <f>IFERROR(__xludf.DUMMYFUNCTION("""COMPUTED_VALUE"""),TRUE)</f>
        <v>1</v>
      </c>
      <c r="AS629" s="57"/>
      <c r="AT629" s="37"/>
      <c r="AU629" s="30"/>
      <c r="AV629" s="30"/>
      <c r="AW629" s="30"/>
      <c r="AX629" s="30"/>
      <c r="AY629" s="30"/>
      <c r="AZ629" s="30"/>
    </row>
    <row r="630">
      <c r="A630" s="30" t="str">
        <f>IFERROR(__xludf.DUMMYFUNCTION("""COMPUTED_VALUE"""),"Rival")</f>
        <v>Rival</v>
      </c>
      <c r="B630" s="30" t="str">
        <f>IFERROR(__xludf.DUMMYFUNCTION("""COMPUTED_VALUE"""),"RSC007561")</f>
        <v>RSC007561</v>
      </c>
      <c r="C630" s="30" t="str">
        <f>IFERROR(__xludf.DUMMYFUNCTION("""COMPUTED_VALUE"""),"Grabbitzz")</f>
        <v>Grabbitzz</v>
      </c>
      <c r="D630" s="31" t="str">
        <f>IFERROR(__xludf.DUMMYFUNCTION("""COMPUTED_VALUE"""),"Polar Bears")</f>
        <v>Polar Bears</v>
      </c>
      <c r="E630" s="31">
        <f>IFERROR(__xludf.DUMMYFUNCTION("""COMPUTED_VALUE"""),48.031629090450494)</f>
        <v>48.03162909</v>
      </c>
      <c r="F630" s="31">
        <f>IFERROR(__xludf.DUMMYFUNCTION("""COMPUTED_VALUE"""),-2.133917090985846)</f>
        <v>-2.133917091</v>
      </c>
      <c r="G630" s="31">
        <f>IFERROR(__xludf.DUMMYFUNCTION("""COMPUTED_VALUE"""),41.99268769378738)</f>
        <v>41.99268769</v>
      </c>
      <c r="H630" s="31">
        <f>IFERROR(__xludf.DUMMYFUNCTION("""COMPUTED_VALUE"""),-2.671130610456083)</f>
        <v>-2.67113061</v>
      </c>
      <c r="I630" s="54">
        <f>IFERROR(__xludf.DUMMYFUNCTION("""COMPUTED_VALUE"""),17.0)</f>
        <v>17</v>
      </c>
      <c r="J630" s="55">
        <f>IFERROR(__xludf.DUMMYFUNCTION("""COMPUTED_VALUE"""),6.0)</f>
        <v>6</v>
      </c>
      <c r="K630" s="54">
        <f>IFERROR(__xludf.DUMMYFUNCTION("""COMPUTED_VALUE"""),11.0)</f>
        <v>11</v>
      </c>
      <c r="L630" s="56">
        <f>IFERROR(__xludf.DUMMYFUNCTION("""COMPUTED_VALUE"""),0.35294117647058826)</f>
        <v>0.3529411765</v>
      </c>
      <c r="M630" s="56">
        <f>IFERROR(__xludf.DUMMYFUNCTION("""COMPUTED_VALUE"""),0.2727272727272727)</f>
        <v>0.2727272727</v>
      </c>
      <c r="N630" s="31">
        <f>IFERROR(__xludf.DUMMYFUNCTION("""COMPUTED_VALUE"""),316.29411764705884)</f>
        <v>316.2941176</v>
      </c>
      <c r="O630" s="57">
        <f>IFERROR(__xludf.DUMMYFUNCTION("""COMPUTED_VALUE"""),0.7058823529411765)</f>
        <v>0.7058823529</v>
      </c>
      <c r="P630" s="57">
        <f>IFERROR(__xludf.DUMMYFUNCTION("""COMPUTED_VALUE"""),0.5882352941176471)</f>
        <v>0.5882352941</v>
      </c>
      <c r="Q630" s="57">
        <f>IFERROR(__xludf.DUMMYFUNCTION("""COMPUTED_VALUE"""),1.3529411764705883)</f>
        <v>1.352941176</v>
      </c>
      <c r="R630" s="57">
        <f>IFERROR(__xludf.DUMMYFUNCTION("""COMPUTED_VALUE"""),2.588235294117647)</f>
        <v>2.588235294</v>
      </c>
      <c r="S630" s="31">
        <f>IFERROR(__xludf.DUMMYFUNCTION("""COMPUTED_VALUE"""),376.5098039215687)</f>
        <v>376.5098039</v>
      </c>
      <c r="T630" s="57">
        <f>IFERROR(__xludf.DUMMYFUNCTION("""COMPUTED_VALUE"""),0.8627450980392158)</f>
        <v>0.862745098</v>
      </c>
      <c r="U630" s="57">
        <f>IFERROR(__xludf.DUMMYFUNCTION("""COMPUTED_VALUE"""),0.6078431372549019)</f>
        <v>0.6078431373</v>
      </c>
      <c r="V630" s="57">
        <f>IFERROR(__xludf.DUMMYFUNCTION("""COMPUTED_VALUE"""),1.5294117647058825)</f>
        <v>1.529411765</v>
      </c>
      <c r="W630" s="57">
        <f>IFERROR(__xludf.DUMMYFUNCTION("""COMPUTED_VALUE"""),2.5490196078431375)</f>
        <v>2.549019608</v>
      </c>
      <c r="X630" s="31">
        <f>IFERROR(__xludf.DUMMYFUNCTION("""COMPUTED_VALUE"""),347.1415795878345)</f>
        <v>347.1415796</v>
      </c>
      <c r="Y630" s="57">
        <f>IFERROR(__xludf.DUMMYFUNCTION("""COMPUTED_VALUE"""),0.7690319322194993)</f>
        <v>0.7690319322</v>
      </c>
      <c r="Z630" s="57">
        <f>IFERROR(__xludf.DUMMYFUNCTION("""COMPUTED_VALUE"""),0.5789252994240466)</f>
        <v>0.5789252994</v>
      </c>
      <c r="AA630" s="57">
        <f>IFERROR(__xludf.DUMMYFUNCTION("""COMPUTED_VALUE"""),1.3014147835067176)</f>
        <v>1.301414784</v>
      </c>
      <c r="AB630" s="57">
        <f>IFERROR(__xludf.DUMMYFUNCTION("""COMPUTED_VALUE"""),2.531794855647916)</f>
        <v>2.531794856</v>
      </c>
      <c r="AC630" s="31">
        <f>IFERROR(__xludf.DUMMYFUNCTION("""COMPUTED_VALUE"""),344.4910068425699)</f>
        <v>344.4910068</v>
      </c>
      <c r="AD630" s="57">
        <f>IFERROR(__xludf.DUMMYFUNCTION("""COMPUTED_VALUE"""),0.7543186420965524)</f>
        <v>0.7543186421</v>
      </c>
      <c r="AE630" s="57">
        <f>IFERROR(__xludf.DUMMYFUNCTION("""COMPUTED_VALUE"""),0.5562332206219173)</f>
        <v>0.5562332206</v>
      </c>
      <c r="AF630" s="57">
        <f>IFERROR(__xludf.DUMMYFUNCTION("""COMPUTED_VALUE"""),1.2919150479201984)</f>
        <v>1.291915048</v>
      </c>
      <c r="AG630" s="57">
        <f>IFERROR(__xludf.DUMMYFUNCTION("""COMPUTED_VALUE"""),2.5001318526405036)</f>
        <v>2.500131853</v>
      </c>
      <c r="AH630" s="57">
        <f>IFERROR(__xludf.DUMMYFUNCTION("""COMPUTED_VALUE"""),0.9181491283213763)</f>
        <v>0.9181491283</v>
      </c>
      <c r="AI630" s="57">
        <f>IFERROR(__xludf.DUMMYFUNCTION("""COMPUTED_VALUE"""),0.9357880258391174)</f>
        <v>0.9357880258</v>
      </c>
      <c r="AJ630" s="57">
        <f>IFERROR(__xludf.DUMMYFUNCTION("""COMPUTED_VALUE"""),1.0575335530300558)</f>
        <v>1.057533553</v>
      </c>
      <c r="AK630" s="57">
        <f>IFERROR(__xludf.DUMMYFUNCTION("""COMPUTED_VALUE"""),1.0472369515694033)</f>
        <v>1.047236952</v>
      </c>
      <c r="AL630" s="57">
        <f>IFERROR(__xludf.DUMMYFUNCTION("""COMPUTED_VALUE"""),1.0352395180214569)</f>
        <v>1.035239518</v>
      </c>
      <c r="AM630" s="57">
        <f>IFERROR(__xludf.DUMMYFUNCTION("""COMPUTED_VALUE"""),1.0846001345289822)</f>
        <v>1.084600135</v>
      </c>
      <c r="AN630" s="57">
        <f>IFERROR(__xludf.DUMMYFUNCTION("""COMPUTED_VALUE"""),1.1218586145691656)</f>
        <v>1.121858615</v>
      </c>
      <c r="AO630" s="57">
        <f>IFERROR(__xludf.DUMMYFUNCTION("""COMPUTED_VALUE"""),1.049950896703987)</f>
        <v>1.049950897</v>
      </c>
      <c r="AP630" s="35">
        <f>IFERROR(__xludf.DUMMYFUNCTION("""COMPUTED_VALUE"""),1.1751916330509304)</f>
        <v>1.175191633</v>
      </c>
      <c r="AQ630" s="57">
        <f>IFERROR(__xludf.DUMMYFUNCTION("""COMPUTED_VALUE"""),1.00680337593577)</f>
        <v>1.006803376</v>
      </c>
      <c r="AR630" s="36" t="b">
        <f>IFERROR(__xludf.DUMMYFUNCTION("""COMPUTED_VALUE"""),TRUE)</f>
        <v>1</v>
      </c>
      <c r="AS630" s="57"/>
      <c r="AT630" s="37"/>
      <c r="AU630" s="30"/>
      <c r="AV630" s="30"/>
      <c r="AW630" s="30"/>
      <c r="AX630" s="30"/>
      <c r="AY630" s="30"/>
      <c r="AZ630" s="30"/>
    </row>
    <row r="631">
      <c r="A631" s="30" t="str">
        <f>IFERROR(__xludf.DUMMYFUNCTION("""COMPUTED_VALUE"""),"Rival")</f>
        <v>Rival</v>
      </c>
      <c r="B631" s="30" t="str">
        <f>IFERROR(__xludf.DUMMYFUNCTION("""COMPUTED_VALUE"""),"RSC007618")</f>
        <v>RSC007618</v>
      </c>
      <c r="C631" s="30" t="str">
        <f>IFERROR(__xludf.DUMMYFUNCTION("""COMPUTED_VALUE"""),"Robbie")</f>
        <v>Robbie</v>
      </c>
      <c r="D631" s="31" t="str">
        <f>IFERROR(__xludf.DUMMYFUNCTION("""COMPUTED_VALUE"""),"Mining Legion")</f>
        <v>Mining Legion</v>
      </c>
      <c r="E631" s="31">
        <f>IFERROR(__xludf.DUMMYFUNCTION("""COMPUTED_VALUE"""),47.79496537912184)</f>
        <v>47.79496538</v>
      </c>
      <c r="F631" s="31">
        <f>IFERROR(__xludf.DUMMYFUNCTION("""COMPUTED_VALUE"""),-2.151193131477771)</f>
        <v>-2.151193131</v>
      </c>
      <c r="G631" s="31">
        <f>IFERROR(__xludf.DUMMYFUNCTION("""COMPUTED_VALUE"""),41.273924519900646)</f>
        <v>41.27392452</v>
      </c>
      <c r="H631" s="31">
        <f>IFERROR(__xludf.DUMMYFUNCTION("""COMPUTED_VALUE"""),-2.750815909927677)</f>
        <v>-2.75081591</v>
      </c>
      <c r="I631" s="54">
        <f>IFERROR(__xludf.DUMMYFUNCTION("""COMPUTED_VALUE"""),32.0)</f>
        <v>32</v>
      </c>
      <c r="J631" s="55">
        <f>IFERROR(__xludf.DUMMYFUNCTION("""COMPUTED_VALUE"""),22.0)</f>
        <v>22</v>
      </c>
      <c r="K631" s="54">
        <f>IFERROR(__xludf.DUMMYFUNCTION("""COMPUTED_VALUE"""),10.0)</f>
        <v>10</v>
      </c>
      <c r="L631" s="56">
        <f>IFERROR(__xludf.DUMMYFUNCTION("""COMPUTED_VALUE"""),0.6875)</f>
        <v>0.6875</v>
      </c>
      <c r="M631" s="56">
        <f>IFERROR(__xludf.DUMMYFUNCTION("""COMPUTED_VALUE"""),0.29333333333333333)</f>
        <v>0.2933333333</v>
      </c>
      <c r="N631" s="31">
        <f>IFERROR(__xludf.DUMMYFUNCTION("""COMPUTED_VALUE"""),313.65625)</f>
        <v>313.65625</v>
      </c>
      <c r="O631" s="57">
        <f>IFERROR(__xludf.DUMMYFUNCTION("""COMPUTED_VALUE"""),0.6875)</f>
        <v>0.6875</v>
      </c>
      <c r="P631" s="57">
        <f>IFERROR(__xludf.DUMMYFUNCTION("""COMPUTED_VALUE"""),0.5625)</f>
        <v>0.5625</v>
      </c>
      <c r="Q631" s="57">
        <f>IFERROR(__xludf.DUMMYFUNCTION("""COMPUTED_VALUE"""),1.15625)</f>
        <v>1.15625</v>
      </c>
      <c r="R631" s="57">
        <f>IFERROR(__xludf.DUMMYFUNCTION("""COMPUTED_VALUE"""),2.34375)</f>
        <v>2.34375</v>
      </c>
      <c r="S631" s="31">
        <f>IFERROR(__xludf.DUMMYFUNCTION("""COMPUTED_VALUE"""),324.6458333333333)</f>
        <v>324.6458333</v>
      </c>
      <c r="T631" s="57">
        <f>IFERROR(__xludf.DUMMYFUNCTION("""COMPUTED_VALUE"""),0.6458333333333334)</f>
        <v>0.6458333333</v>
      </c>
      <c r="U631" s="57">
        <f>IFERROR(__xludf.DUMMYFUNCTION("""COMPUTED_VALUE"""),0.47916666666666674)</f>
        <v>0.4791666667</v>
      </c>
      <c r="V631" s="57">
        <f>IFERROR(__xludf.DUMMYFUNCTION("""COMPUTED_VALUE"""),1.3854166666666667)</f>
        <v>1.385416667</v>
      </c>
      <c r="W631" s="57">
        <f>IFERROR(__xludf.DUMMYFUNCTION("""COMPUTED_VALUE"""),2.1250000000000004)</f>
        <v>2.125</v>
      </c>
      <c r="X631" s="31">
        <f>IFERROR(__xludf.DUMMYFUNCTION("""COMPUTED_VALUE"""),338.022664055477)</f>
        <v>338.0226641</v>
      </c>
      <c r="Y631" s="57">
        <f>IFERROR(__xludf.DUMMYFUNCTION("""COMPUTED_VALUE"""),0.7449719412921354)</f>
        <v>0.7449719413</v>
      </c>
      <c r="Z631" s="57">
        <f>IFERROR(__xludf.DUMMYFUNCTION("""COMPUTED_VALUE"""),0.513583687003027)</f>
        <v>0.513583687</v>
      </c>
      <c r="AA631" s="57">
        <f>IFERROR(__xludf.DUMMYFUNCTION("""COMPUTED_VALUE"""),1.271186657070419)</f>
        <v>1.271186657</v>
      </c>
      <c r="AB631" s="57">
        <f>IFERROR(__xludf.DUMMYFUNCTION("""COMPUTED_VALUE"""),2.4552978895791253)</f>
        <v>2.45529789</v>
      </c>
      <c r="AC631" s="31">
        <f>IFERROR(__xludf.DUMMYFUNCTION("""COMPUTED_VALUE"""),349.4543484697734)</f>
        <v>349.4543485</v>
      </c>
      <c r="AD631" s="57">
        <f>IFERROR(__xludf.DUMMYFUNCTION("""COMPUTED_VALUE"""),0.8171053933237186)</f>
        <v>0.8171053933</v>
      </c>
      <c r="AE631" s="57">
        <f>IFERROR(__xludf.DUMMYFUNCTION("""COMPUTED_VALUE"""),0.5757752575098943)</f>
        <v>0.5757752575</v>
      </c>
      <c r="AF631" s="57">
        <f>IFERROR(__xludf.DUMMYFUNCTION("""COMPUTED_VALUE"""),1.2653614205595)</f>
        <v>1.265361421</v>
      </c>
      <c r="AG631" s="57">
        <f>IFERROR(__xludf.DUMMYFUNCTION("""COMPUTED_VALUE"""),2.582066522278908)</f>
        <v>2.582066522</v>
      </c>
      <c r="AH631" s="57">
        <f>IFERROR(__xludf.DUMMYFUNCTION("""COMPUTED_VALUE"""),0.8975600142721653)</f>
        <v>0.8975600143</v>
      </c>
      <c r="AI631" s="57">
        <f>IFERROR(__xludf.DUMMYFUNCTION("""COMPUTED_VALUE"""),0.8413847290904224)</f>
        <v>0.8413847291</v>
      </c>
      <c r="AJ631" s="57">
        <f>IFERROR(__xludf.DUMMYFUNCTION("""COMPUTED_VALUE"""),0.9769436818676318)</f>
        <v>0.9769436819</v>
      </c>
      <c r="AK631" s="57">
        <f>IFERROR(__xludf.DUMMYFUNCTION("""COMPUTED_VALUE"""),0.9137705490410363)</f>
        <v>0.913770549</v>
      </c>
      <c r="AL631" s="57">
        <f>IFERROR(__xludf.DUMMYFUNCTION("""COMPUTED_VALUE"""),0.907703182616468)</f>
        <v>0.9077031826</v>
      </c>
      <c r="AM631" s="57">
        <f>IFERROR(__xludf.DUMMYFUNCTION("""COMPUTED_VALUE"""),0.9604262313016141)</f>
        <v>0.9604262313</v>
      </c>
      <c r="AN631" s="57">
        <f>IFERROR(__xludf.DUMMYFUNCTION("""COMPUTED_VALUE"""),0.8669230309710073)</f>
        <v>0.866923031</v>
      </c>
      <c r="AO631" s="57">
        <f>IFERROR(__xludf.DUMMYFUNCTION("""COMPUTED_VALUE"""),0.9329865390834396)</f>
        <v>0.9329865391</v>
      </c>
      <c r="AP631" s="35">
        <f>IFERROR(__xludf.DUMMYFUNCTION("""COMPUTED_VALUE"""),1.0898609255854705)</f>
        <v>1.089860926</v>
      </c>
      <c r="AQ631" s="57">
        <f>IFERROR(__xludf.DUMMYFUNCTION("""COMPUTED_VALUE"""),0.8654754313189497)</f>
        <v>0.8654754313</v>
      </c>
      <c r="AR631" s="36" t="b">
        <f>IFERROR(__xludf.DUMMYFUNCTION("""COMPUTED_VALUE"""),TRUE)</f>
        <v>1</v>
      </c>
      <c r="AS631" s="57"/>
      <c r="AT631" s="37"/>
      <c r="AU631" s="30"/>
      <c r="AV631" s="30"/>
      <c r="AW631" s="30"/>
      <c r="AX631" s="30"/>
      <c r="AY631" s="30"/>
      <c r="AZ631" s="30"/>
    </row>
    <row r="632">
      <c r="A632" s="30" t="str">
        <f>IFERROR(__xludf.DUMMYFUNCTION("""COMPUTED_VALUE"""),"Rival")</f>
        <v>Rival</v>
      </c>
      <c r="B632" s="30" t="str">
        <f>IFERROR(__xludf.DUMMYFUNCTION("""COMPUTED_VALUE"""),"RSC005276")</f>
        <v>RSC005276</v>
      </c>
      <c r="C632" s="30" t="str">
        <f>IFERROR(__xludf.DUMMYFUNCTION("""COMPUTED_VALUE"""),"Dc")</f>
        <v>Dc</v>
      </c>
      <c r="D632" s="31" t="str">
        <f>IFERROR(__xludf.DUMMYFUNCTION("""COMPUTED_VALUE"""),"Hippos")</f>
        <v>Hippos</v>
      </c>
      <c r="E632" s="31">
        <f>IFERROR(__xludf.DUMMYFUNCTION("""COMPUTED_VALUE"""),47.70283470539291)</f>
        <v>47.70283471</v>
      </c>
      <c r="F632" s="31">
        <f>IFERROR(__xludf.DUMMYFUNCTION("""COMPUTED_VALUE"""),-2.157990524535347)</f>
        <v>-2.157990525</v>
      </c>
      <c r="G632" s="31">
        <f>IFERROR(__xludf.DUMMYFUNCTION("""COMPUTED_VALUE"""),38.18365763992888)</f>
        <v>38.18365764</v>
      </c>
      <c r="H632" s="31">
        <f>IFERROR(__xludf.DUMMYFUNCTION("""COMPUTED_VALUE"""),-3.142379973635615)</f>
        <v>-3.142379974</v>
      </c>
      <c r="I632" s="54">
        <f>IFERROR(__xludf.DUMMYFUNCTION("""COMPUTED_VALUE"""),28.0)</f>
        <v>28</v>
      </c>
      <c r="J632" s="55">
        <f>IFERROR(__xludf.DUMMYFUNCTION("""COMPUTED_VALUE"""),11.0)</f>
        <v>11</v>
      </c>
      <c r="K632" s="54">
        <f>IFERROR(__xludf.DUMMYFUNCTION("""COMPUTED_VALUE"""),17.0)</f>
        <v>17</v>
      </c>
      <c r="L632" s="56">
        <f>IFERROR(__xludf.DUMMYFUNCTION("""COMPUTED_VALUE"""),0.39285714285714285)</f>
        <v>0.3928571429</v>
      </c>
      <c r="M632" s="56">
        <f>IFERROR(__xludf.DUMMYFUNCTION("""COMPUTED_VALUE"""),0.35294117647058826)</f>
        <v>0.3529411765</v>
      </c>
      <c r="N632" s="31">
        <f>IFERROR(__xludf.DUMMYFUNCTION("""COMPUTED_VALUE"""),336.85714285714283)</f>
        <v>336.8571429</v>
      </c>
      <c r="O632" s="57">
        <f>IFERROR(__xludf.DUMMYFUNCTION("""COMPUTED_VALUE"""),0.8571428571428571)</f>
        <v>0.8571428571</v>
      </c>
      <c r="P632" s="57">
        <f>IFERROR(__xludf.DUMMYFUNCTION("""COMPUTED_VALUE"""),0.39285714285714285)</f>
        <v>0.3928571429</v>
      </c>
      <c r="Q632" s="57">
        <f>IFERROR(__xludf.DUMMYFUNCTION("""COMPUTED_VALUE"""),1.1785714285714286)</f>
        <v>1.178571429</v>
      </c>
      <c r="R632" s="57">
        <f>IFERROR(__xludf.DUMMYFUNCTION("""COMPUTED_VALUE"""),2.4285714285714284)</f>
        <v>2.428571429</v>
      </c>
      <c r="S632" s="31">
        <f>IFERROR(__xludf.DUMMYFUNCTION("""COMPUTED_VALUE"""),387.6785714285713)</f>
        <v>387.6785714</v>
      </c>
      <c r="T632" s="57">
        <f>IFERROR(__xludf.DUMMYFUNCTION("""COMPUTED_VALUE"""),0.9642857142857141)</f>
        <v>0.9642857143</v>
      </c>
      <c r="U632" s="57">
        <f>IFERROR(__xludf.DUMMYFUNCTION("""COMPUTED_VALUE"""),0.7380952380952381)</f>
        <v>0.7380952381</v>
      </c>
      <c r="V632" s="57">
        <f>IFERROR(__xludf.DUMMYFUNCTION("""COMPUTED_VALUE"""),1.3333333333333337)</f>
        <v>1.333333333</v>
      </c>
      <c r="W632" s="57">
        <f>IFERROR(__xludf.DUMMYFUNCTION("""COMPUTED_VALUE"""),2.8214285714285716)</f>
        <v>2.821428571</v>
      </c>
      <c r="X632" s="31">
        <f>IFERROR(__xludf.DUMMYFUNCTION("""COMPUTED_VALUE"""),352.1367349608841)</f>
        <v>352.136735</v>
      </c>
      <c r="Y632" s="57">
        <f>IFERROR(__xludf.DUMMYFUNCTION("""COMPUTED_VALUE"""),0.8306753206333036)</f>
        <v>0.8306753206</v>
      </c>
      <c r="Z632" s="57">
        <f>IFERROR(__xludf.DUMMYFUNCTION("""COMPUTED_VALUE"""),0.6507990818705106)</f>
        <v>0.6507990819</v>
      </c>
      <c r="AA632" s="57">
        <f>IFERROR(__xludf.DUMMYFUNCTION("""COMPUTED_VALUE"""),1.2021768365465848)</f>
        <v>1.202176837</v>
      </c>
      <c r="AB632" s="57">
        <f>IFERROR(__xludf.DUMMYFUNCTION("""COMPUTED_VALUE"""),2.560059613977682)</f>
        <v>2.560059614</v>
      </c>
      <c r="AC632" s="31">
        <f>IFERROR(__xludf.DUMMYFUNCTION("""COMPUTED_VALUE"""),338.5596690644658)</f>
        <v>338.5596691</v>
      </c>
      <c r="AD632" s="57">
        <f>IFERROR(__xludf.DUMMYFUNCTION("""COMPUTED_VALUE"""),0.7145118938536303)</f>
        <v>0.7145118939</v>
      </c>
      <c r="AE632" s="57">
        <f>IFERROR(__xludf.DUMMYFUNCTION("""COMPUTED_VALUE"""),0.49624591289507264)</f>
        <v>0.4962459129</v>
      </c>
      <c r="AF632" s="57">
        <f>IFERROR(__xludf.DUMMYFUNCTION("""COMPUTED_VALUE"""),1.3589667270689674)</f>
        <v>1.358966727</v>
      </c>
      <c r="AG632" s="57">
        <f>IFERROR(__xludf.DUMMYFUNCTION("""COMPUTED_VALUE"""),2.33214832164412)</f>
        <v>2.332148322</v>
      </c>
      <c r="AH632" s="57">
        <f>IFERROR(__xludf.DUMMYFUNCTION("""COMPUTED_VALUE"""),0.9949712669201635)</f>
        <v>0.9949712669</v>
      </c>
      <c r="AI632" s="57">
        <f>IFERROR(__xludf.DUMMYFUNCTION("""COMPUTED_VALUE"""),1.1996201386095402)</f>
        <v>1.199620139</v>
      </c>
      <c r="AJ632" s="57">
        <f>IFERROR(__xludf.DUMMYFUNCTION("""COMPUTED_VALUE"""),0.7916581933445757)</f>
        <v>0.7916581933</v>
      </c>
      <c r="AK632" s="57">
        <f>IFERROR(__xludf.DUMMYFUNCTION("""COMPUTED_VALUE"""),0.8672555443012081)</f>
        <v>0.8672555443</v>
      </c>
      <c r="AL632" s="57">
        <f>IFERROR(__xludf.DUMMYFUNCTION("""COMPUTED_VALUE"""),1.0413451863384624)</f>
        <v>1.041345186</v>
      </c>
      <c r="AM632" s="57">
        <f>IFERROR(__xludf.DUMMYFUNCTION("""COMPUTED_VALUE"""),1.1009319191638305)</f>
        <v>1.100931919</v>
      </c>
      <c r="AN632" s="57">
        <f>IFERROR(__xludf.DUMMYFUNCTION("""COMPUTED_VALUE"""),1.1608455076654334)</f>
        <v>1.160845508</v>
      </c>
      <c r="AO632" s="57">
        <f>IFERROR(__xludf.DUMMYFUNCTION("""COMPUTED_VALUE"""),1.1341368767359399)</f>
        <v>1.134136877</v>
      </c>
      <c r="AP632" s="35">
        <f>IFERROR(__xludf.DUMMYFUNCTION("""COMPUTED_VALUE"""),1.1090991714359708)</f>
        <v>1.109099171</v>
      </c>
      <c r="AQ632" s="57">
        <f>IFERROR(__xludf.DUMMYFUNCTION("""COMPUTED_VALUE"""),1.1020948715505843)</f>
        <v>1.102094872</v>
      </c>
      <c r="AR632" s="36" t="b">
        <f>IFERROR(__xludf.DUMMYFUNCTION("""COMPUTED_VALUE"""),TRUE)</f>
        <v>1</v>
      </c>
      <c r="AS632" s="57"/>
      <c r="AT632" s="37"/>
      <c r="AU632" s="30"/>
      <c r="AV632" s="30"/>
      <c r="AW632" s="30"/>
      <c r="AX632" s="30"/>
      <c r="AY632" s="30"/>
      <c r="AZ632" s="30"/>
    </row>
    <row r="633">
      <c r="A633" s="30" t="str">
        <f>IFERROR(__xludf.DUMMYFUNCTION("""COMPUTED_VALUE"""),"Rival")</f>
        <v>Rival</v>
      </c>
      <c r="B633" s="30" t="str">
        <f>IFERROR(__xludf.DUMMYFUNCTION("""COMPUTED_VALUE"""),"RSC007823")</f>
        <v>RSC007823</v>
      </c>
      <c r="C633" s="30" t="str">
        <f>IFERROR(__xludf.DUMMYFUNCTION("""COMPUTED_VALUE"""),"watz")</f>
        <v>watz</v>
      </c>
      <c r="D633" s="31" t="str">
        <f>IFERROR(__xludf.DUMMYFUNCTION("""COMPUTED_VALUE"""),"Hue Heroes")</f>
        <v>Hue Heroes</v>
      </c>
      <c r="E633" s="31">
        <f>IFERROR(__xludf.DUMMYFUNCTION("""COMPUTED_VALUE"""),46.95019581757582)</f>
        <v>46.95019582</v>
      </c>
      <c r="F633" s="31">
        <f>IFERROR(__xludf.DUMMYFUNCTION("""COMPUTED_VALUE"""),-2.2150719170846265)</f>
        <v>-2.215071917</v>
      </c>
      <c r="G633" s="31">
        <f>IFERROR(__xludf.DUMMYFUNCTION("""COMPUTED_VALUE"""),23.64952381959073)</f>
        <v>23.64952382</v>
      </c>
      <c r="H633" s="31">
        <f>IFERROR(__xludf.DUMMYFUNCTION("""COMPUTED_VALUE"""),-6.852267251335048)</f>
        <v>-6.852267251</v>
      </c>
      <c r="I633" s="54">
        <f>IFERROR(__xludf.DUMMYFUNCTION("""COMPUTED_VALUE"""),4.0)</f>
        <v>4</v>
      </c>
      <c r="J633" s="55">
        <f>IFERROR(__xludf.DUMMYFUNCTION("""COMPUTED_VALUE"""),0.0)</f>
        <v>0</v>
      </c>
      <c r="K633" s="54">
        <f>IFERROR(__xludf.DUMMYFUNCTION("""COMPUTED_VALUE"""),4.0)</f>
        <v>4</v>
      </c>
      <c r="L633" s="56">
        <f>IFERROR(__xludf.DUMMYFUNCTION("""COMPUTED_VALUE"""),0.0)</f>
        <v>0</v>
      </c>
      <c r="M633" s="56">
        <f>IFERROR(__xludf.DUMMYFUNCTION("""COMPUTED_VALUE"""),0.375)</f>
        <v>0.375</v>
      </c>
      <c r="N633" s="31">
        <f>IFERROR(__xludf.DUMMYFUNCTION("""COMPUTED_VALUE"""),338.75)</f>
        <v>338.75</v>
      </c>
      <c r="O633" s="57">
        <f>IFERROR(__xludf.DUMMYFUNCTION("""COMPUTED_VALUE"""),0.75)</f>
        <v>0.75</v>
      </c>
      <c r="P633" s="57">
        <f>IFERROR(__xludf.DUMMYFUNCTION("""COMPUTED_VALUE"""),0.25)</f>
        <v>0.25</v>
      </c>
      <c r="Q633" s="57">
        <f>IFERROR(__xludf.DUMMYFUNCTION("""COMPUTED_VALUE"""),1.5)</f>
        <v>1.5</v>
      </c>
      <c r="R633" s="57">
        <f>IFERROR(__xludf.DUMMYFUNCTION("""COMPUTED_VALUE"""),2.0)</f>
        <v>2</v>
      </c>
      <c r="S633" s="31">
        <f>IFERROR(__xludf.DUMMYFUNCTION("""COMPUTED_VALUE"""),427.58333333333337)</f>
        <v>427.5833333</v>
      </c>
      <c r="T633" s="57">
        <f>IFERROR(__xludf.DUMMYFUNCTION("""COMPUTED_VALUE"""),1.25)</f>
        <v>1.25</v>
      </c>
      <c r="U633" s="57">
        <f>IFERROR(__xludf.DUMMYFUNCTION("""COMPUTED_VALUE"""),1.0833333333333333)</f>
        <v>1.083333333</v>
      </c>
      <c r="V633" s="57">
        <f>IFERROR(__xludf.DUMMYFUNCTION("""COMPUTED_VALUE"""),1.0833333333333335)</f>
        <v>1.083333333</v>
      </c>
      <c r="W633" s="57">
        <f>IFERROR(__xludf.DUMMYFUNCTION("""COMPUTED_VALUE"""),3.583333333333333)</f>
        <v>3.583333333</v>
      </c>
      <c r="X633" s="31">
        <f>IFERROR(__xludf.DUMMYFUNCTION("""COMPUTED_VALUE"""),402.5594907407408)</f>
        <v>402.5594907</v>
      </c>
      <c r="Y633" s="57">
        <f>IFERROR(__xludf.DUMMYFUNCTION("""COMPUTED_VALUE"""),1.1613425925925924)</f>
        <v>1.161342593</v>
      </c>
      <c r="Z633" s="57">
        <f>IFERROR(__xludf.DUMMYFUNCTION("""COMPUTED_VALUE"""),0.9395833333333333)</f>
        <v>0.9395833333</v>
      </c>
      <c r="AA633" s="57">
        <f>IFERROR(__xludf.DUMMYFUNCTION("""COMPUTED_VALUE"""),0.9914351851851851)</f>
        <v>0.9914351852</v>
      </c>
      <c r="AB633" s="57">
        <f>IFERROR(__xludf.DUMMYFUNCTION("""COMPUTED_VALUE"""),3.259490740740741)</f>
        <v>3.259490741</v>
      </c>
      <c r="AC633" s="31">
        <f>IFERROR(__xludf.DUMMYFUNCTION("""COMPUTED_VALUE"""),305.216898148148)</f>
        <v>305.2168981</v>
      </c>
      <c r="AD633" s="57">
        <f>IFERROR(__xludf.DUMMYFUNCTION("""COMPUTED_VALUE"""),0.49753086419753095)</f>
        <v>0.4975308642</v>
      </c>
      <c r="AE633" s="57">
        <f>IFERROR(__xludf.DUMMYFUNCTION("""COMPUTED_VALUE"""),0.31736111111111104)</f>
        <v>0.3173611111</v>
      </c>
      <c r="AF633" s="57">
        <f>IFERROR(__xludf.DUMMYFUNCTION("""COMPUTED_VALUE"""),1.5226080246913583)</f>
        <v>1.522608025</v>
      </c>
      <c r="AG633" s="57">
        <f>IFERROR(__xludf.DUMMYFUNCTION("""COMPUTED_VALUE"""),1.8274691358024695)</f>
        <v>1.827469136</v>
      </c>
      <c r="AH633" s="57">
        <f>IFERROR(__xludf.DUMMYFUNCTION("""COMPUTED_VALUE"""),1.109866465635777)</f>
        <v>1.109866466</v>
      </c>
      <c r="AI633" s="57">
        <f>IFERROR(__xludf.DUMMYFUNCTION("""COMPUTED_VALUE"""),1.507444168734491)</f>
        <v>1.507444169</v>
      </c>
      <c r="AJ633" s="57">
        <f>IFERROR(__xludf.DUMMYFUNCTION("""COMPUTED_VALUE"""),0.7877461706783372)</f>
        <v>0.7877461707</v>
      </c>
      <c r="AK633" s="57">
        <f>IFERROR(__xludf.DUMMYFUNCTION("""COMPUTED_VALUE"""),0.9851517762124359)</f>
        <v>0.9851517762</v>
      </c>
      <c r="AL633" s="57">
        <f>IFERROR(__xludf.DUMMYFUNCTION("""COMPUTED_VALUE"""),1.0944097280864717)</f>
        <v>1.094409728</v>
      </c>
      <c r="AM633" s="57">
        <f>IFERROR(__xludf.DUMMYFUNCTION("""COMPUTED_VALUE"""),1.0621618497841072)</f>
        <v>1.06216185</v>
      </c>
      <c r="AN633" s="57">
        <f>IFERROR(__xludf.DUMMYFUNCTION("""COMPUTED_VALUE"""),1.0763404424955154)</f>
        <v>1.076340442</v>
      </c>
      <c r="AO633" s="57">
        <f>IFERROR(__xludf.DUMMYFUNCTION("""COMPUTED_VALUE"""),1.1529933481152992)</f>
        <v>1.152993348</v>
      </c>
      <c r="AP633" s="35">
        <f>IFERROR(__xludf.DUMMYFUNCTION("""COMPUTED_VALUE"""),1.0926920382909178)</f>
        <v>1.092692038</v>
      </c>
      <c r="AQ633" s="57">
        <f>IFERROR(__xludf.DUMMYFUNCTION("""COMPUTED_VALUE"""),1.0993537390810308)</f>
        <v>1.099353739</v>
      </c>
      <c r="AR633" s="36" t="b">
        <f>IFERROR(__xludf.DUMMYFUNCTION("""COMPUTED_VALUE"""),TRUE)</f>
        <v>1</v>
      </c>
      <c r="AS633" s="57"/>
      <c r="AT633" s="37"/>
      <c r="AU633" s="30"/>
      <c r="AV633" s="30"/>
      <c r="AW633" s="30"/>
      <c r="AX633" s="30"/>
      <c r="AY633" s="30"/>
      <c r="AZ633" s="30"/>
    </row>
    <row r="634">
      <c r="A634" s="30" t="str">
        <f>IFERROR(__xludf.DUMMYFUNCTION("""COMPUTED_VALUE"""),"Rival")</f>
        <v>Rival</v>
      </c>
      <c r="B634" s="30" t="str">
        <f>IFERROR(__xludf.DUMMYFUNCTION("""COMPUTED_VALUE"""),"RSC003118")</f>
        <v>RSC003118</v>
      </c>
      <c r="C634" s="30" t="str">
        <f>IFERROR(__xludf.DUMMYFUNCTION("""COMPUTED_VALUE"""),"Mysty")</f>
        <v>Mysty</v>
      </c>
      <c r="D634" s="31" t="str">
        <f>IFERROR(__xludf.DUMMYFUNCTION("""COMPUTED_VALUE"""),"Necrotic Nerds")</f>
        <v>Necrotic Nerds</v>
      </c>
      <c r="E634" s="31">
        <f>IFERROR(__xludf.DUMMYFUNCTION("""COMPUTED_VALUE"""),46.83224767782563)</f>
        <v>46.83224768</v>
      </c>
      <c r="F634" s="31">
        <f>IFERROR(__xludf.DUMMYFUNCTION("""COMPUTED_VALUE"""),-2.224273849757484)</f>
        <v>-2.22427385</v>
      </c>
      <c r="G634" s="31">
        <f>IFERROR(__xludf.DUMMYFUNCTION("""COMPUTED_VALUE"""),38.59077971478378)</f>
        <v>38.59077971</v>
      </c>
      <c r="H634" s="31">
        <f>IFERROR(__xludf.DUMMYFUNCTION("""COMPUTED_VALUE"""),-3.0858254962792406)</f>
        <v>-3.085825496</v>
      </c>
      <c r="I634" s="54">
        <f>IFERROR(__xludf.DUMMYFUNCTION("""COMPUTED_VALUE"""),28.0)</f>
        <v>28</v>
      </c>
      <c r="J634" s="55">
        <f>IFERROR(__xludf.DUMMYFUNCTION("""COMPUTED_VALUE"""),13.0)</f>
        <v>13</v>
      </c>
      <c r="K634" s="54">
        <f>IFERROR(__xludf.DUMMYFUNCTION("""COMPUTED_VALUE"""),15.0)</f>
        <v>15</v>
      </c>
      <c r="L634" s="56">
        <f>IFERROR(__xludf.DUMMYFUNCTION("""COMPUTED_VALUE"""),0.4642857142857143)</f>
        <v>0.4642857143</v>
      </c>
      <c r="M634" s="56">
        <f>IFERROR(__xludf.DUMMYFUNCTION("""COMPUTED_VALUE"""),0.2638888888888889)</f>
        <v>0.2638888889</v>
      </c>
      <c r="N634" s="31">
        <f>IFERROR(__xludf.DUMMYFUNCTION("""COMPUTED_VALUE"""),310.60714285714283)</f>
        <v>310.6071429</v>
      </c>
      <c r="O634" s="57">
        <f>IFERROR(__xludf.DUMMYFUNCTION("""COMPUTED_VALUE"""),0.6785714285714286)</f>
        <v>0.6785714286</v>
      </c>
      <c r="P634" s="57">
        <f>IFERROR(__xludf.DUMMYFUNCTION("""COMPUTED_VALUE"""),0.7857142857142857)</f>
        <v>0.7857142857</v>
      </c>
      <c r="Q634" s="57">
        <f>IFERROR(__xludf.DUMMYFUNCTION("""COMPUTED_VALUE"""),0.8928571428571429)</f>
        <v>0.8928571429</v>
      </c>
      <c r="R634" s="57">
        <f>IFERROR(__xludf.DUMMYFUNCTION("""COMPUTED_VALUE"""),2.5714285714285716)</f>
        <v>2.571428571</v>
      </c>
      <c r="S634" s="31">
        <f>IFERROR(__xludf.DUMMYFUNCTION("""COMPUTED_VALUE"""),375.2142857142858)</f>
        <v>375.2142857</v>
      </c>
      <c r="T634" s="57">
        <f>IFERROR(__xludf.DUMMYFUNCTION("""COMPUTED_VALUE"""),1.0000000000000002)</f>
        <v>1</v>
      </c>
      <c r="U634" s="57">
        <f>IFERROR(__xludf.DUMMYFUNCTION("""COMPUTED_VALUE"""),0.6190476190476192)</f>
        <v>0.619047619</v>
      </c>
      <c r="V634" s="57">
        <f>IFERROR(__xludf.DUMMYFUNCTION("""COMPUTED_VALUE"""),1.261904761904762)</f>
        <v>1.261904762</v>
      </c>
      <c r="W634" s="57">
        <f>IFERROR(__xludf.DUMMYFUNCTION("""COMPUTED_VALUE"""),2.785714285714286)</f>
        <v>2.785714286</v>
      </c>
      <c r="X634" s="31">
        <f>IFERROR(__xludf.DUMMYFUNCTION("""COMPUTED_VALUE"""),337.22398796177566)</f>
        <v>337.223988</v>
      </c>
      <c r="Y634" s="57">
        <f>IFERROR(__xludf.DUMMYFUNCTION("""COMPUTED_VALUE"""),0.77561105107812)</f>
        <v>0.7756110511</v>
      </c>
      <c r="Z634" s="57">
        <f>IFERROR(__xludf.DUMMYFUNCTION("""COMPUTED_VALUE"""),0.5383445261344743)</f>
        <v>0.5383445261</v>
      </c>
      <c r="AA634" s="57">
        <f>IFERROR(__xludf.DUMMYFUNCTION("""COMPUTED_VALUE"""),1.3085850420361977)</f>
        <v>1.308585042</v>
      </c>
      <c r="AB634" s="57">
        <f>IFERROR(__xludf.DUMMYFUNCTION("""COMPUTED_VALUE"""),2.5494574073639744)</f>
        <v>2.549457407</v>
      </c>
      <c r="AC634" s="31">
        <f>IFERROR(__xludf.DUMMYFUNCTION("""COMPUTED_VALUE"""),353.9575528392899)</f>
        <v>353.9575528</v>
      </c>
      <c r="AD634" s="57">
        <f>IFERROR(__xludf.DUMMYFUNCTION("""COMPUTED_VALUE"""),0.8354258256198037)</f>
        <v>0.8354258256</v>
      </c>
      <c r="AE634" s="57">
        <f>IFERROR(__xludf.DUMMYFUNCTION("""COMPUTED_VALUE"""),0.5863038474408117)</f>
        <v>0.5863038474</v>
      </c>
      <c r="AF634" s="57">
        <f>IFERROR(__xludf.DUMMYFUNCTION("""COMPUTED_VALUE"""),1.3339385875020469)</f>
        <v>1.333938588</v>
      </c>
      <c r="AG634" s="57">
        <f>IFERROR(__xludf.DUMMYFUNCTION("""COMPUTED_VALUE"""),2.640687461488611)</f>
        <v>2.640687461</v>
      </c>
      <c r="AH634" s="57">
        <f>IFERROR(__xludf.DUMMYFUNCTION("""COMPUTED_VALUE"""),0.8775265292846292)</f>
        <v>0.8775265293</v>
      </c>
      <c r="AI634" s="57">
        <f>IFERROR(__xludf.DUMMYFUNCTION("""COMPUTED_VALUE"""),0.8122461716670004)</f>
        <v>0.8122461717</v>
      </c>
      <c r="AJ634" s="57">
        <f>IFERROR(__xludf.DUMMYFUNCTION("""COMPUTED_VALUE"""),1.340114497190989)</f>
        <v>1.340114497</v>
      </c>
      <c r="AK634" s="57">
        <f>IFERROR(__xludf.DUMMYFUNCTION("""COMPUTED_VALUE"""),0.6693390169701293)</f>
        <v>0.669339017</v>
      </c>
      <c r="AL634" s="57">
        <f>IFERROR(__xludf.DUMMYFUNCTION("""COMPUTED_VALUE"""),0.9737724016680881)</f>
        <v>0.9737724017</v>
      </c>
      <c r="AM634" s="57">
        <f>IFERROR(__xludf.DUMMYFUNCTION("""COMPUTED_VALUE"""),1.11265597676526)</f>
        <v>1.112655977</v>
      </c>
      <c r="AN634" s="57">
        <f>IFERROR(__xludf.DUMMYFUNCTION("""COMPUTED_VALUE"""),1.2893060234378735)</f>
        <v>1.289306023</v>
      </c>
      <c r="AO634" s="57">
        <f>IFERROR(__xludf.DUMMYFUNCTION("""COMPUTED_VALUE"""),1.1499097492318253)</f>
        <v>1.149909749</v>
      </c>
      <c r="AP634" s="35">
        <f>IFERROR(__xludf.DUMMYFUNCTION("""COMPUTED_VALUE"""),0.9643276679528602)</f>
        <v>0.964327668</v>
      </c>
      <c r="AQ634" s="57">
        <f>IFERROR(__xludf.DUMMYFUNCTION("""COMPUTED_VALUE"""),1.0926694745587417)</f>
        <v>1.092669475</v>
      </c>
      <c r="AR634" s="36" t="b">
        <f>IFERROR(__xludf.DUMMYFUNCTION("""COMPUTED_VALUE"""),TRUE)</f>
        <v>1</v>
      </c>
      <c r="AS634" s="57"/>
      <c r="AT634" s="37"/>
      <c r="AU634" s="30"/>
      <c r="AV634" s="30"/>
      <c r="AW634" s="30"/>
      <c r="AX634" s="30"/>
      <c r="AY634" s="30"/>
      <c r="AZ634" s="30"/>
    </row>
    <row r="635">
      <c r="A635" s="30" t="str">
        <f>IFERROR(__xludf.DUMMYFUNCTION("""COMPUTED_VALUE"""),"Rival")</f>
        <v>Rival</v>
      </c>
      <c r="B635" s="30" t="str">
        <f>IFERROR(__xludf.DUMMYFUNCTION("""COMPUTED_VALUE"""),"RSC007144")</f>
        <v>RSC007144</v>
      </c>
      <c r="C635" s="30" t="str">
        <f>IFERROR(__xludf.DUMMYFUNCTION("""COMPUTED_VALUE"""),"The_Killerwon")</f>
        <v>The_Killerwon</v>
      </c>
      <c r="D635" s="31" t="str">
        <f>IFERROR(__xludf.DUMMYFUNCTION("""COMPUTED_VALUE"""),"Wind")</f>
        <v>Wind</v>
      </c>
      <c r="E635" s="31">
        <f>IFERROR(__xludf.DUMMYFUNCTION("""COMPUTED_VALUE"""),46.415045599135844)</f>
        <v>46.4150456</v>
      </c>
      <c r="F635" s="31">
        <f>IFERROR(__xludf.DUMMYFUNCTION("""COMPUTED_VALUE"""),-2.2573981963297776)</f>
        <v>-2.257398196</v>
      </c>
      <c r="G635" s="31">
        <f>IFERROR(__xludf.DUMMYFUNCTION("""COMPUTED_VALUE"""),36.20776927892857)</f>
        <v>36.20776928</v>
      </c>
      <c r="H635" s="31">
        <f>IFERROR(__xludf.DUMMYFUNCTION("""COMPUTED_VALUE"""),-3.4413854318592456)</f>
        <v>-3.441385432</v>
      </c>
      <c r="I635" s="54">
        <f>IFERROR(__xludf.DUMMYFUNCTION("""COMPUTED_VALUE"""),32.0)</f>
        <v>32</v>
      </c>
      <c r="J635" s="55">
        <f>IFERROR(__xludf.DUMMYFUNCTION("""COMPUTED_VALUE"""),16.0)</f>
        <v>16</v>
      </c>
      <c r="K635" s="54">
        <f>IFERROR(__xludf.DUMMYFUNCTION("""COMPUTED_VALUE"""),16.0)</f>
        <v>16</v>
      </c>
      <c r="L635" s="56">
        <f>IFERROR(__xludf.DUMMYFUNCTION("""COMPUTED_VALUE"""),0.5)</f>
        <v>0.5</v>
      </c>
      <c r="M635" s="56">
        <f>IFERROR(__xludf.DUMMYFUNCTION("""COMPUTED_VALUE"""),0.358974358974359)</f>
        <v>0.358974359</v>
      </c>
      <c r="N635" s="31">
        <f>IFERROR(__xludf.DUMMYFUNCTION("""COMPUTED_VALUE"""),338.125)</f>
        <v>338.125</v>
      </c>
      <c r="O635" s="57">
        <f>IFERROR(__xludf.DUMMYFUNCTION("""COMPUTED_VALUE"""),0.875)</f>
        <v>0.875</v>
      </c>
      <c r="P635" s="57">
        <f>IFERROR(__xludf.DUMMYFUNCTION("""COMPUTED_VALUE"""),0.4375)</f>
        <v>0.4375</v>
      </c>
      <c r="Q635" s="57">
        <f>IFERROR(__xludf.DUMMYFUNCTION("""COMPUTED_VALUE"""),1.28125)</f>
        <v>1.28125</v>
      </c>
      <c r="R635" s="57">
        <f>IFERROR(__xludf.DUMMYFUNCTION("""COMPUTED_VALUE"""),2.4375)</f>
        <v>2.4375</v>
      </c>
      <c r="S635" s="31">
        <f>IFERROR(__xludf.DUMMYFUNCTION("""COMPUTED_VALUE"""),376.3854166666667)</f>
        <v>376.3854167</v>
      </c>
      <c r="T635" s="57">
        <f>IFERROR(__xludf.DUMMYFUNCTION("""COMPUTED_VALUE"""),0.8854166666666666)</f>
        <v>0.8854166667</v>
      </c>
      <c r="U635" s="57">
        <f>IFERROR(__xludf.DUMMYFUNCTION("""COMPUTED_VALUE"""),0.6562500000000001)</f>
        <v>0.65625</v>
      </c>
      <c r="V635" s="57">
        <f>IFERROR(__xludf.DUMMYFUNCTION("""COMPUTED_VALUE"""),1.4375)</f>
        <v>1.4375</v>
      </c>
      <c r="W635" s="57">
        <f>IFERROR(__xludf.DUMMYFUNCTION("""COMPUTED_VALUE"""),2.7604166666666665)</f>
        <v>2.760416667</v>
      </c>
      <c r="X635" s="31">
        <f>IFERROR(__xludf.DUMMYFUNCTION("""COMPUTED_VALUE"""),353.21568080043477)</f>
        <v>353.2156808</v>
      </c>
      <c r="Y635" s="57">
        <f>IFERROR(__xludf.DUMMYFUNCTION("""COMPUTED_VALUE"""),0.8314543429020648)</f>
        <v>0.8314543429</v>
      </c>
      <c r="Z635" s="57">
        <f>IFERROR(__xludf.DUMMYFUNCTION("""COMPUTED_VALUE"""),0.5531754307655752)</f>
        <v>0.5531754308</v>
      </c>
      <c r="AA635" s="57">
        <f>IFERROR(__xludf.DUMMYFUNCTION("""COMPUTED_VALUE"""),1.3428492124313498)</f>
        <v>1.342849212</v>
      </c>
      <c r="AB635" s="57">
        <f>IFERROR(__xludf.DUMMYFUNCTION("""COMPUTED_VALUE"""),2.6956774002593136)</f>
        <v>2.6956774</v>
      </c>
      <c r="AC635" s="31">
        <f>IFERROR(__xludf.DUMMYFUNCTION("""COMPUTED_VALUE"""),353.8091560960509)</f>
        <v>353.8091561</v>
      </c>
      <c r="AD635" s="57">
        <f>IFERROR(__xludf.DUMMYFUNCTION("""COMPUTED_VALUE"""),0.8279108663101292)</f>
        <v>0.8279108663</v>
      </c>
      <c r="AE635" s="57">
        <f>IFERROR(__xludf.DUMMYFUNCTION("""COMPUTED_VALUE"""),0.5806548361106761)</f>
        <v>0.5806548361</v>
      </c>
      <c r="AF635" s="57">
        <f>IFERROR(__xludf.DUMMYFUNCTION("""COMPUTED_VALUE"""),1.3588875940398224)</f>
        <v>1.358887594</v>
      </c>
      <c r="AG635" s="57">
        <f>IFERROR(__xludf.DUMMYFUNCTION("""COMPUTED_VALUE"""),2.6324007791041346)</f>
        <v>2.632400779</v>
      </c>
      <c r="AH635" s="57">
        <f>IFERROR(__xludf.DUMMYFUNCTION("""COMPUTED_VALUE"""),0.9556705759989065)</f>
        <v>0.955670576</v>
      </c>
      <c r="AI635" s="57">
        <f>IFERROR(__xludf.DUMMYFUNCTION("""COMPUTED_VALUE"""),1.056877057188221)</f>
        <v>1.056877057</v>
      </c>
      <c r="AJ635" s="57">
        <f>IFERROR(__xludf.DUMMYFUNCTION("""COMPUTED_VALUE"""),0.753459667933619)</f>
        <v>0.7534596679</v>
      </c>
      <c r="AK635" s="57">
        <f>IFERROR(__xludf.DUMMYFUNCTION("""COMPUTED_VALUE"""),0.9428668019486333)</f>
        <v>0.9428668019</v>
      </c>
      <c r="AL635" s="57">
        <f>IFERROR(__xludf.DUMMYFUNCTION("""COMPUTED_VALUE"""),0.9259608260826971)</f>
        <v>0.9259608261</v>
      </c>
      <c r="AM635" s="57">
        <f>IFERROR(__xludf.DUMMYFUNCTION("""COMPUTED_VALUE"""),1.0655965664200586)</f>
        <v>1.065596566</v>
      </c>
      <c r="AN635" s="57">
        <f>IFERROR(__xludf.DUMMYFUNCTION("""COMPUTED_VALUE"""),1.0649011268330797)</f>
        <v>1.064901127</v>
      </c>
      <c r="AO635" s="57">
        <f>IFERROR(__xludf.DUMMYFUNCTION("""COMPUTED_VALUE"""),1.186332514970474)</f>
        <v>1.186332515</v>
      </c>
      <c r="AP635" s="35">
        <f>IFERROR(__xludf.DUMMYFUNCTION("""COMPUTED_VALUE"""),1.0704850452995214)</f>
        <v>1.070485045</v>
      </c>
      <c r="AQ635" s="57">
        <f>IFERROR(__xludf.DUMMYFUNCTION("""COMPUTED_VALUE"""),1.0240159547285315)</f>
        <v>1.024015955</v>
      </c>
      <c r="AR635" s="36" t="b">
        <f>IFERROR(__xludf.DUMMYFUNCTION("""COMPUTED_VALUE"""),TRUE)</f>
        <v>1</v>
      </c>
      <c r="AS635" s="57"/>
      <c r="AT635" s="37"/>
      <c r="AU635" s="30"/>
      <c r="AV635" s="30"/>
      <c r="AW635" s="30"/>
      <c r="AX635" s="30"/>
      <c r="AY635" s="30"/>
      <c r="AZ635" s="30"/>
    </row>
    <row r="636">
      <c r="A636" s="30" t="str">
        <f>IFERROR(__xludf.DUMMYFUNCTION("""COMPUTED_VALUE"""),"Rival")</f>
        <v>Rival</v>
      </c>
      <c r="B636" s="30" t="str">
        <f>IFERROR(__xludf.DUMMYFUNCTION("""COMPUTED_VALUE"""),"RSC000828")</f>
        <v>RSC000828</v>
      </c>
      <c r="C636" s="30" t="str">
        <f>IFERROR(__xludf.DUMMYFUNCTION("""COMPUTED_VALUE"""),"MattViaAirwaves")</f>
        <v>MattViaAirwaves</v>
      </c>
      <c r="D636" s="31" t="str">
        <f>IFERROR(__xludf.DUMMYFUNCTION("""COMPUTED_VALUE"""),"Polar Ice")</f>
        <v>Polar Ice</v>
      </c>
      <c r="E636" s="31">
        <f>IFERROR(__xludf.DUMMYFUNCTION("""COMPUTED_VALUE"""),46.293835867727054)</f>
        <v>46.29383587</v>
      </c>
      <c r="F636" s="31">
        <f>IFERROR(__xludf.DUMMYFUNCTION("""COMPUTED_VALUE"""),-2.2671927872079816)</f>
        <v>-2.267192787</v>
      </c>
      <c r="G636" s="31">
        <f>IFERROR(__xludf.DUMMYFUNCTION("""COMPUTED_VALUE"""),49.27624778604311)</f>
        <v>49.27624779</v>
      </c>
      <c r="H636" s="31">
        <f>IFERROR(__xludf.DUMMYFUNCTION("""COMPUTED_VALUE"""),-2.047283240017409)</f>
        <v>-2.04728324</v>
      </c>
      <c r="I636" s="54">
        <f>IFERROR(__xludf.DUMMYFUNCTION("""COMPUTED_VALUE"""),16.0)</f>
        <v>16</v>
      </c>
      <c r="J636" s="55">
        <f>IFERROR(__xludf.DUMMYFUNCTION("""COMPUTED_VALUE"""),6.0)</f>
        <v>6</v>
      </c>
      <c r="K636" s="54">
        <f>IFERROR(__xludf.DUMMYFUNCTION("""COMPUTED_VALUE"""),10.0)</f>
        <v>10</v>
      </c>
      <c r="L636" s="56">
        <f>IFERROR(__xludf.DUMMYFUNCTION("""COMPUTED_VALUE"""),0.375)</f>
        <v>0.375</v>
      </c>
      <c r="M636" s="56">
        <f>IFERROR(__xludf.DUMMYFUNCTION("""COMPUTED_VALUE"""),0.275)</f>
        <v>0.275</v>
      </c>
      <c r="N636" s="31">
        <f>IFERROR(__xludf.DUMMYFUNCTION("""COMPUTED_VALUE"""),324.0625)</f>
        <v>324.0625</v>
      </c>
      <c r="O636" s="57">
        <f>IFERROR(__xludf.DUMMYFUNCTION("""COMPUTED_VALUE"""),0.6875)</f>
        <v>0.6875</v>
      </c>
      <c r="P636" s="57">
        <f>IFERROR(__xludf.DUMMYFUNCTION("""COMPUTED_VALUE"""),0.6875)</f>
        <v>0.6875</v>
      </c>
      <c r="Q636" s="57">
        <f>IFERROR(__xludf.DUMMYFUNCTION("""COMPUTED_VALUE"""),1.1875)</f>
        <v>1.1875</v>
      </c>
      <c r="R636" s="57">
        <f>IFERROR(__xludf.DUMMYFUNCTION("""COMPUTED_VALUE"""),2.5)</f>
        <v>2.5</v>
      </c>
      <c r="S636" s="31">
        <f>IFERROR(__xludf.DUMMYFUNCTION("""COMPUTED_VALUE"""),382.75)</f>
        <v>382.75</v>
      </c>
      <c r="T636" s="57">
        <f>IFERROR(__xludf.DUMMYFUNCTION("""COMPUTED_VALUE"""),1.0416666666666667)</f>
        <v>1.041666667</v>
      </c>
      <c r="U636" s="57">
        <f>IFERROR(__xludf.DUMMYFUNCTION("""COMPUTED_VALUE"""),0.7708333333333333)</f>
        <v>0.7708333333</v>
      </c>
      <c r="V636" s="57">
        <f>IFERROR(__xludf.DUMMYFUNCTION("""COMPUTED_VALUE"""),1.2291666666666665)</f>
        <v>1.229166667</v>
      </c>
      <c r="W636" s="57">
        <f>IFERROR(__xludf.DUMMYFUNCTION("""COMPUTED_VALUE"""),2.666666666666666)</f>
        <v>2.666666667</v>
      </c>
      <c r="X636" s="31">
        <f>IFERROR(__xludf.DUMMYFUNCTION("""COMPUTED_VALUE"""),338.9060620706456)</f>
        <v>338.9060621</v>
      </c>
      <c r="Y636" s="57">
        <f>IFERROR(__xludf.DUMMYFUNCTION("""COMPUTED_VALUE"""),0.7624321473279808)</f>
        <v>0.7624321473</v>
      </c>
      <c r="Z636" s="57">
        <f>IFERROR(__xludf.DUMMYFUNCTION("""COMPUTED_VALUE"""),0.5215460658168992)</f>
        <v>0.5215460658</v>
      </c>
      <c r="AA636" s="57">
        <f>IFERROR(__xludf.DUMMYFUNCTION("""COMPUTED_VALUE"""),1.230744486994487)</f>
        <v>1.230744487</v>
      </c>
      <c r="AB636" s="57">
        <f>IFERROR(__xludf.DUMMYFUNCTION("""COMPUTED_VALUE"""),2.527720100115933)</f>
        <v>2.5277201</v>
      </c>
      <c r="AC636" s="31">
        <f>IFERROR(__xludf.DUMMYFUNCTION("""COMPUTED_VALUE"""),332.21024314548623)</f>
        <v>332.2102431</v>
      </c>
      <c r="AD636" s="57">
        <f>IFERROR(__xludf.DUMMYFUNCTION("""COMPUTED_VALUE"""),0.7054604474743362)</f>
        <v>0.7054604475</v>
      </c>
      <c r="AE636" s="57">
        <f>IFERROR(__xludf.DUMMYFUNCTION("""COMPUTED_VALUE"""),0.500483769060158)</f>
        <v>0.5004837691</v>
      </c>
      <c r="AF636" s="57">
        <f>IFERROR(__xludf.DUMMYFUNCTION("""COMPUTED_VALUE"""),1.3022045855379192)</f>
        <v>1.302204586</v>
      </c>
      <c r="AG636" s="57">
        <f>IFERROR(__xludf.DUMMYFUNCTION("""COMPUTED_VALUE"""),2.324412874933708)</f>
        <v>2.324412875</v>
      </c>
      <c r="AH636" s="57">
        <f>IFERROR(__xludf.DUMMYFUNCTION("""COMPUTED_VALUE"""),0.9754741362929076)</f>
        <v>0.9754741363</v>
      </c>
      <c r="AI636" s="57">
        <f>IFERROR(__xludf.DUMMYFUNCTION("""COMPUTED_VALUE"""),0.9745408158052835)</f>
        <v>0.9745408158</v>
      </c>
      <c r="AJ636" s="57">
        <f>IFERROR(__xludf.DUMMYFUNCTION("""COMPUTED_VALUE"""),1.3736709210191445)</f>
        <v>1.373670921</v>
      </c>
      <c r="AK636" s="57">
        <f>IFERROR(__xludf.DUMMYFUNCTION("""COMPUTED_VALUE"""),0.911915080923681)</f>
        <v>0.9119150809</v>
      </c>
      <c r="AL636" s="57">
        <f>IFERROR(__xludf.DUMMYFUNCTION("""COMPUTED_VALUE"""),1.0755404201034207)</f>
        <v>1.07554042</v>
      </c>
      <c r="AM636" s="57">
        <f>IFERROR(__xludf.DUMMYFUNCTION("""COMPUTED_VALUE"""),1.1293689987764663)</f>
        <v>1.129368999</v>
      </c>
      <c r="AN636" s="57">
        <f>IFERROR(__xludf.DUMMYFUNCTION("""COMPUTED_VALUE"""),1.36624179648942)</f>
        <v>1.366241796</v>
      </c>
      <c r="AO636" s="57">
        <f>IFERROR(__xludf.DUMMYFUNCTION("""COMPUTED_VALUE"""),1.4779774671024977)</f>
        <v>1.477977467</v>
      </c>
      <c r="AP636" s="35">
        <f>IFERROR(__xludf.DUMMYFUNCTION("""COMPUTED_VALUE"""),0.9987179952098152)</f>
        <v>0.9987179952</v>
      </c>
      <c r="AQ636" s="57">
        <f>IFERROR(__xludf.DUMMYFUNCTION("""COMPUTED_VALUE"""),1.0549691267416674)</f>
        <v>1.054969127</v>
      </c>
      <c r="AR636" s="36" t="b">
        <f>IFERROR(__xludf.DUMMYFUNCTION("""COMPUTED_VALUE"""),TRUE)</f>
        <v>1</v>
      </c>
      <c r="AS636" s="57"/>
      <c r="AT636" s="37"/>
      <c r="AU636" s="30"/>
      <c r="AV636" s="30"/>
      <c r="AW636" s="30"/>
      <c r="AX636" s="30"/>
      <c r="AY636" s="30"/>
      <c r="AZ636" s="30"/>
    </row>
    <row r="637">
      <c r="A637" s="30" t="str">
        <f>IFERROR(__xludf.DUMMYFUNCTION("""COMPUTED_VALUE"""),"Rival")</f>
        <v>Rival</v>
      </c>
      <c r="B637" s="30" t="str">
        <f>IFERROR(__xludf.DUMMYFUNCTION("""COMPUTED_VALUE"""),"RSC002616")</f>
        <v>RSC002616</v>
      </c>
      <c r="C637" s="30" t="str">
        <f>IFERROR(__xludf.DUMMYFUNCTION("""COMPUTED_VALUE"""),"Ruthle")</f>
        <v>Ruthle</v>
      </c>
      <c r="D637" s="31" t="str">
        <f>IFERROR(__xludf.DUMMYFUNCTION("""COMPUTED_VALUE"""),"50 Cent")</f>
        <v>50 Cent</v>
      </c>
      <c r="E637" s="31">
        <f>IFERROR(__xludf.DUMMYFUNCTION("""COMPUTED_VALUE"""),46.276687920797)</f>
        <v>46.27668792</v>
      </c>
      <c r="F637" s="31">
        <f>IFERROR(__xludf.DUMMYFUNCTION("""COMPUTED_VALUE"""),-2.268584761712427)</f>
        <v>-2.268584762</v>
      </c>
      <c r="G637" s="31">
        <f>IFERROR(__xludf.DUMMYFUNCTION("""COMPUTED_VALUE"""),40.797257061003506)</f>
        <v>40.79725706</v>
      </c>
      <c r="H637" s="31">
        <f>IFERROR(__xludf.DUMMYFUNCTION("""COMPUTED_VALUE"""),-2.8058698926561014)</f>
        <v>-2.805869893</v>
      </c>
      <c r="I637" s="54">
        <f>IFERROR(__xludf.DUMMYFUNCTION("""COMPUTED_VALUE"""),24.0)</f>
        <v>24</v>
      </c>
      <c r="J637" s="55">
        <f>IFERROR(__xludf.DUMMYFUNCTION("""COMPUTED_VALUE"""),9.0)</f>
        <v>9</v>
      </c>
      <c r="K637" s="54">
        <f>IFERROR(__xludf.DUMMYFUNCTION("""COMPUTED_VALUE"""),15.0)</f>
        <v>15</v>
      </c>
      <c r="L637" s="56">
        <f>IFERROR(__xludf.DUMMYFUNCTION("""COMPUTED_VALUE"""),0.375)</f>
        <v>0.375</v>
      </c>
      <c r="M637" s="56">
        <f>IFERROR(__xludf.DUMMYFUNCTION("""COMPUTED_VALUE"""),0.2909090909090909)</f>
        <v>0.2909090909</v>
      </c>
      <c r="N637" s="31">
        <f>IFERROR(__xludf.DUMMYFUNCTION("""COMPUTED_VALUE"""),331.4166666666667)</f>
        <v>331.4166667</v>
      </c>
      <c r="O637" s="57">
        <f>IFERROR(__xludf.DUMMYFUNCTION("""COMPUTED_VALUE"""),0.6666666666666666)</f>
        <v>0.6666666667</v>
      </c>
      <c r="P637" s="57">
        <f>IFERROR(__xludf.DUMMYFUNCTION("""COMPUTED_VALUE"""),0.75)</f>
        <v>0.75</v>
      </c>
      <c r="Q637" s="57">
        <f>IFERROR(__xludf.DUMMYFUNCTION("""COMPUTED_VALUE"""),1.0)</f>
        <v>1</v>
      </c>
      <c r="R637" s="57">
        <f>IFERROR(__xludf.DUMMYFUNCTION("""COMPUTED_VALUE"""),2.2916666666666665)</f>
        <v>2.291666667</v>
      </c>
      <c r="S637" s="31">
        <f>IFERROR(__xludf.DUMMYFUNCTION("""COMPUTED_VALUE"""),374.8611111111111)</f>
        <v>374.8611111</v>
      </c>
      <c r="T637" s="57">
        <f>IFERROR(__xludf.DUMMYFUNCTION("""COMPUTED_VALUE"""),1.0138888888888888)</f>
        <v>1.013888889</v>
      </c>
      <c r="U637" s="57">
        <f>IFERROR(__xludf.DUMMYFUNCTION("""COMPUTED_VALUE"""),0.6944444444444445)</f>
        <v>0.6944444444</v>
      </c>
      <c r="V637" s="57">
        <f>IFERROR(__xludf.DUMMYFUNCTION("""COMPUTED_VALUE"""),1.2916666666666665)</f>
        <v>1.291666667</v>
      </c>
      <c r="W637" s="57">
        <f>IFERROR(__xludf.DUMMYFUNCTION("""COMPUTED_VALUE"""),2.777777777777778)</f>
        <v>2.777777778</v>
      </c>
      <c r="X637" s="31">
        <f>IFERROR(__xludf.DUMMYFUNCTION("""COMPUTED_VALUE"""),356.6944190334603)</f>
        <v>356.694419</v>
      </c>
      <c r="Y637" s="57">
        <f>IFERROR(__xludf.DUMMYFUNCTION("""COMPUTED_VALUE"""),0.82261781096192)</f>
        <v>0.822617811</v>
      </c>
      <c r="Z637" s="57">
        <f>IFERROR(__xludf.DUMMYFUNCTION("""COMPUTED_VALUE"""),0.5731965452331831)</f>
        <v>0.5731965452</v>
      </c>
      <c r="AA637" s="57">
        <f>IFERROR(__xludf.DUMMYFUNCTION("""COMPUTED_VALUE"""),1.4258426452555717)</f>
        <v>1.425842645</v>
      </c>
      <c r="AB637" s="57">
        <f>IFERROR(__xludf.DUMMYFUNCTION("""COMPUTED_VALUE"""),2.6532755518356)</f>
        <v>2.653275552</v>
      </c>
      <c r="AC637" s="31">
        <f>IFERROR(__xludf.DUMMYFUNCTION("""COMPUTED_VALUE"""),342.81079408993077)</f>
        <v>342.8107941</v>
      </c>
      <c r="AD637" s="57">
        <f>IFERROR(__xludf.DUMMYFUNCTION("""COMPUTED_VALUE"""),0.7627009295121545)</f>
        <v>0.7627009295</v>
      </c>
      <c r="AE637" s="57">
        <f>IFERROR(__xludf.DUMMYFUNCTION("""COMPUTED_VALUE"""),0.5720349142711872)</f>
        <v>0.5720349143</v>
      </c>
      <c r="AF637" s="57">
        <f>IFERROR(__xludf.DUMMYFUNCTION("""COMPUTED_VALUE"""),1.2949722721982273)</f>
        <v>1.294972272</v>
      </c>
      <c r="AG637" s="57">
        <f>IFERROR(__xludf.DUMMYFUNCTION("""COMPUTED_VALUE"""),2.6635405410938215)</f>
        <v>2.663540541</v>
      </c>
      <c r="AH637" s="57">
        <f>IFERROR(__xludf.DUMMYFUNCTION("""COMPUTED_VALUE"""),0.9667626351920674)</f>
        <v>0.9667626352</v>
      </c>
      <c r="AI637" s="57">
        <f>IFERROR(__xludf.DUMMYFUNCTION("""COMPUTED_VALUE"""),0.8740866057329783)</f>
        <v>0.8740866057</v>
      </c>
      <c r="AJ637" s="57">
        <f>IFERROR(__xludf.DUMMYFUNCTION("""COMPUTED_VALUE"""),1.3111087825042163)</f>
        <v>1.311108783</v>
      </c>
      <c r="AK637" s="57">
        <f>IFERROR(__xludf.DUMMYFUNCTION("""COMPUTED_VALUE"""),0.7722173064775285)</f>
        <v>0.7722173065</v>
      </c>
      <c r="AL637" s="57">
        <f>IFERROR(__xludf.DUMMYFUNCTION("""COMPUTED_VALUE"""),0.8603836252199715)</f>
        <v>0.8603836252</v>
      </c>
      <c r="AM637" s="57">
        <f>IFERROR(__xludf.DUMMYFUNCTION("""COMPUTED_VALUE"""),1.050930687749131)</f>
        <v>1.050930688</v>
      </c>
      <c r="AN637" s="57">
        <f>IFERROR(__xludf.DUMMYFUNCTION("""COMPUTED_VALUE"""),1.2325151186591838)</f>
        <v>1.232515119</v>
      </c>
      <c r="AO637" s="57">
        <f>IFERROR(__xludf.DUMMYFUNCTION("""COMPUTED_VALUE"""),1.2115293614722265)</f>
        <v>1.211529361</v>
      </c>
      <c r="AP637" s="35">
        <f>IFERROR(__xludf.DUMMYFUNCTION("""COMPUTED_VALUE"""),0.9058970644233642)</f>
        <v>0.9058970644</v>
      </c>
      <c r="AQ637" s="57">
        <f>IFERROR(__xludf.DUMMYFUNCTION("""COMPUTED_VALUE"""),1.046923971336503)</f>
        <v>1.046923971</v>
      </c>
      <c r="AR637" s="36" t="b">
        <f>IFERROR(__xludf.DUMMYFUNCTION("""COMPUTED_VALUE"""),TRUE)</f>
        <v>1</v>
      </c>
      <c r="AS637" s="57"/>
      <c r="AT637" s="37"/>
      <c r="AU637" s="30"/>
      <c r="AV637" s="30"/>
      <c r="AW637" s="30"/>
      <c r="AX637" s="30"/>
      <c r="AY637" s="30"/>
      <c r="AZ637" s="30"/>
    </row>
    <row r="638">
      <c r="A638" s="30" t="str">
        <f>IFERROR(__xludf.DUMMYFUNCTION("""COMPUTED_VALUE"""),"Rival")</f>
        <v>Rival</v>
      </c>
      <c r="B638" s="30" t="str">
        <f>IFERROR(__xludf.DUMMYFUNCTION("""COMPUTED_VALUE"""),"RSC000848")</f>
        <v>RSC000848</v>
      </c>
      <c r="C638" s="30" t="str">
        <f>IFERROR(__xludf.DUMMYFUNCTION("""COMPUTED_VALUE"""),"WittingHalo64")</f>
        <v>WittingHalo64</v>
      </c>
      <c r="D638" s="31" t="str">
        <f>IFERROR(__xludf.DUMMYFUNCTION("""COMPUTED_VALUE"""),"Ruthless Racket")</f>
        <v>Ruthless Racket</v>
      </c>
      <c r="E638" s="31">
        <f>IFERROR(__xludf.DUMMYFUNCTION("""COMPUTED_VALUE"""),46.22528923561373)</f>
        <v>46.22528924</v>
      </c>
      <c r="F638" s="31">
        <f>IFERROR(__xludf.DUMMYFUNCTION("""COMPUTED_VALUE"""),-2.2727664202761346)</f>
        <v>-2.27276642</v>
      </c>
      <c r="G638" s="31">
        <f>IFERROR(__xludf.DUMMYFUNCTION("""COMPUTED_VALUE"""),48.2767012599904)</f>
        <v>48.27670126</v>
      </c>
      <c r="H638" s="31">
        <f>IFERROR(__xludf.DUMMYFUNCTION("""COMPUTED_VALUE"""),-2.1163040567426963)</f>
        <v>-2.116304057</v>
      </c>
      <c r="I638" s="54">
        <f>IFERROR(__xludf.DUMMYFUNCTION("""COMPUTED_VALUE"""),31.0)</f>
        <v>31</v>
      </c>
      <c r="J638" s="55">
        <f>IFERROR(__xludf.DUMMYFUNCTION("""COMPUTED_VALUE"""),11.0)</f>
        <v>11</v>
      </c>
      <c r="K638" s="54">
        <f>IFERROR(__xludf.DUMMYFUNCTION("""COMPUTED_VALUE"""),20.0)</f>
        <v>20</v>
      </c>
      <c r="L638" s="56">
        <f>IFERROR(__xludf.DUMMYFUNCTION("""COMPUTED_VALUE"""),0.3548387096774194)</f>
        <v>0.3548387097</v>
      </c>
      <c r="M638" s="56">
        <f>IFERROR(__xludf.DUMMYFUNCTION("""COMPUTED_VALUE"""),0.23750000000000002)</f>
        <v>0.2375</v>
      </c>
      <c r="N638" s="31">
        <f>IFERROR(__xludf.DUMMYFUNCTION("""COMPUTED_VALUE"""),327.6774193548387)</f>
        <v>327.6774194</v>
      </c>
      <c r="O638" s="57">
        <f>IFERROR(__xludf.DUMMYFUNCTION("""COMPUTED_VALUE"""),0.6129032258064516)</f>
        <v>0.6129032258</v>
      </c>
      <c r="P638" s="57">
        <f>IFERROR(__xludf.DUMMYFUNCTION("""COMPUTED_VALUE"""),0.5483870967741935)</f>
        <v>0.5483870968</v>
      </c>
      <c r="Q638" s="57">
        <f>IFERROR(__xludf.DUMMYFUNCTION("""COMPUTED_VALUE"""),1.2258064516129032)</f>
        <v>1.225806452</v>
      </c>
      <c r="R638" s="57">
        <f>IFERROR(__xludf.DUMMYFUNCTION("""COMPUTED_VALUE"""),2.5806451612903225)</f>
        <v>2.580645161</v>
      </c>
      <c r="S638" s="31">
        <f>IFERROR(__xludf.DUMMYFUNCTION("""COMPUTED_VALUE"""),347.3763440860215)</f>
        <v>347.3763441</v>
      </c>
      <c r="T638" s="57">
        <f>IFERROR(__xludf.DUMMYFUNCTION("""COMPUTED_VALUE"""),0.8172043010752689)</f>
        <v>0.8172043011</v>
      </c>
      <c r="U638" s="57">
        <f>IFERROR(__xludf.DUMMYFUNCTION("""COMPUTED_VALUE"""),0.6559139784946236)</f>
        <v>0.6559139785</v>
      </c>
      <c r="V638" s="57">
        <f>IFERROR(__xludf.DUMMYFUNCTION("""COMPUTED_VALUE"""),1.1182795698924728)</f>
        <v>1.11827957</v>
      </c>
      <c r="W638" s="57">
        <f>IFERROR(__xludf.DUMMYFUNCTION("""COMPUTED_VALUE"""),2.698924731182796)</f>
        <v>2.698924731</v>
      </c>
      <c r="X638" s="31">
        <f>IFERROR(__xludf.DUMMYFUNCTION("""COMPUTED_VALUE"""),346.47251898642224)</f>
        <v>346.472519</v>
      </c>
      <c r="Y638" s="57">
        <f>IFERROR(__xludf.DUMMYFUNCTION("""COMPUTED_VALUE"""),0.8176416993097841)</f>
        <v>0.8176416993</v>
      </c>
      <c r="Z638" s="57">
        <f>IFERROR(__xludf.DUMMYFUNCTION("""COMPUTED_VALUE"""),0.5774629332787636)</f>
        <v>0.5774629333</v>
      </c>
      <c r="AA638" s="57">
        <f>IFERROR(__xludf.DUMMYFUNCTION("""COMPUTED_VALUE"""),1.2029449881425933)</f>
        <v>1.202944988</v>
      </c>
      <c r="AB638" s="57">
        <f>IFERROR(__xludf.DUMMYFUNCTION("""COMPUTED_VALUE"""),2.6428276603869314)</f>
        <v>2.64282766</v>
      </c>
      <c r="AC638" s="31">
        <f>IFERROR(__xludf.DUMMYFUNCTION("""COMPUTED_VALUE"""),335.6025713609165)</f>
        <v>335.6025714</v>
      </c>
      <c r="AD638" s="57">
        <f>IFERROR(__xludf.DUMMYFUNCTION("""COMPUTED_VALUE"""),0.7132201333278055)</f>
        <v>0.7132201333</v>
      </c>
      <c r="AE638" s="57">
        <f>IFERROR(__xludf.DUMMYFUNCTION("""COMPUTED_VALUE"""),0.5277973112307921)</f>
        <v>0.5277973112</v>
      </c>
      <c r="AF638" s="57">
        <f>IFERROR(__xludf.DUMMYFUNCTION("""COMPUTED_VALUE"""),1.3308866068277394)</f>
        <v>1.330886607</v>
      </c>
      <c r="AG638" s="57">
        <f>IFERROR(__xludf.DUMMYFUNCTION("""COMPUTED_VALUE"""),2.401943600125131)</f>
        <v>2.4019436</v>
      </c>
      <c r="AH638" s="57">
        <f>IFERROR(__xludf.DUMMYFUNCTION("""COMPUTED_VALUE"""),0.9763853060662194)</f>
        <v>0.9763853061</v>
      </c>
      <c r="AI638" s="57">
        <f>IFERROR(__xludf.DUMMYFUNCTION("""COMPUTED_VALUE"""),0.8593465007033854)</f>
        <v>0.8593465007</v>
      </c>
      <c r="AJ638" s="57">
        <f>IFERROR(__xludf.DUMMYFUNCTION("""COMPUTED_VALUE"""),1.0390107814217304)</f>
        <v>1.039010781</v>
      </c>
      <c r="AK638" s="57">
        <f>IFERROR(__xludf.DUMMYFUNCTION("""COMPUTED_VALUE"""),0.9210449976160614)</f>
        <v>0.9210449976</v>
      </c>
      <c r="AL638" s="57">
        <f>IFERROR(__xludf.DUMMYFUNCTION("""COMPUTED_VALUE"""),1.0743987332408145)</f>
        <v>1.074398733</v>
      </c>
      <c r="AM638" s="57">
        <f>IFERROR(__xludf.DUMMYFUNCTION("""COMPUTED_VALUE"""),1.0026086487385588)</f>
        <v>1.002608649</v>
      </c>
      <c r="AN638" s="57">
        <f>IFERROR(__xludf.DUMMYFUNCTION("""COMPUTED_VALUE"""),0.9994650490124409)</f>
        <v>0.999465049</v>
      </c>
      <c r="AO638" s="57">
        <f>IFERROR(__xludf.DUMMYFUNCTION("""COMPUTED_VALUE"""),1.13585468554739)</f>
        <v>1.135854686</v>
      </c>
      <c r="AP638" s="35">
        <f>IFERROR(__xludf.DUMMYFUNCTION("""COMPUTED_VALUE"""),0.9296182127323643)</f>
        <v>0.9296182127</v>
      </c>
      <c r="AQ638" s="57">
        <f>IFERROR(__xludf.DUMMYFUNCTION("""COMPUTED_VALUE"""),1.021226155468515)</f>
        <v>1.021226155</v>
      </c>
      <c r="AR638" s="36" t="b">
        <f>IFERROR(__xludf.DUMMYFUNCTION("""COMPUTED_VALUE"""),TRUE)</f>
        <v>1</v>
      </c>
      <c r="AS638" s="57"/>
      <c r="AT638" s="37"/>
      <c r="AU638" s="30"/>
      <c r="AV638" s="30"/>
      <c r="AW638" s="30"/>
      <c r="AX638" s="30"/>
      <c r="AY638" s="30"/>
      <c r="AZ638" s="30"/>
    </row>
    <row r="639">
      <c r="A639" s="30" t="str">
        <f>IFERROR(__xludf.DUMMYFUNCTION("""COMPUTED_VALUE"""),"Rival")</f>
        <v>Rival</v>
      </c>
      <c r="B639" s="30" t="str">
        <f>IFERROR(__xludf.DUMMYFUNCTION("""COMPUTED_VALUE"""),"RSC007549")</f>
        <v>RSC007549</v>
      </c>
      <c r="C639" s="30" t="str">
        <f>IFERROR(__xludf.DUMMYFUNCTION("""COMPUTED_VALUE"""),"Whiffy_RL")</f>
        <v>Whiffy_RL</v>
      </c>
      <c r="D639" s="31" t="str">
        <f>IFERROR(__xludf.DUMMYFUNCTION("""COMPUTED_VALUE"""),"Apple Associates")</f>
        <v>Apple Associates</v>
      </c>
      <c r="E639" s="31">
        <f>IFERROR(__xludf.DUMMYFUNCTION("""COMPUTED_VALUE"""),46.076940681660034)</f>
        <v>46.07694068</v>
      </c>
      <c r="F639" s="31">
        <f>IFERROR(__xludf.DUMMYFUNCTION("""COMPUTED_VALUE"""),-2.284915146678298)</f>
        <v>-2.284915147</v>
      </c>
      <c r="G639" s="31">
        <f>IFERROR(__xludf.DUMMYFUNCTION("""COMPUTED_VALUE"""),34.18144686844833)</f>
        <v>34.18144687</v>
      </c>
      <c r="H639" s="31">
        <f>IFERROR(__xludf.DUMMYFUNCTION("""COMPUTED_VALUE"""),-3.7957718650302086)</f>
        <v>-3.795771865</v>
      </c>
      <c r="I639" s="54">
        <f>IFERROR(__xludf.DUMMYFUNCTION("""COMPUTED_VALUE"""),4.0)</f>
        <v>4</v>
      </c>
      <c r="J639" s="55">
        <f>IFERROR(__xludf.DUMMYFUNCTION("""COMPUTED_VALUE"""),2.0)</f>
        <v>2</v>
      </c>
      <c r="K639" s="54">
        <f>IFERROR(__xludf.DUMMYFUNCTION("""COMPUTED_VALUE"""),2.0)</f>
        <v>2</v>
      </c>
      <c r="L639" s="56">
        <f>IFERROR(__xludf.DUMMYFUNCTION("""COMPUTED_VALUE"""),0.5)</f>
        <v>0.5</v>
      </c>
      <c r="M639" s="56">
        <f>IFERROR(__xludf.DUMMYFUNCTION("""COMPUTED_VALUE"""),0.375)</f>
        <v>0.375</v>
      </c>
      <c r="N639" s="31">
        <f>IFERROR(__xludf.DUMMYFUNCTION("""COMPUTED_VALUE"""),275.0)</f>
        <v>275</v>
      </c>
      <c r="O639" s="57">
        <f>IFERROR(__xludf.DUMMYFUNCTION("""COMPUTED_VALUE"""),0.75)</f>
        <v>0.75</v>
      </c>
      <c r="P639" s="57">
        <f>IFERROR(__xludf.DUMMYFUNCTION("""COMPUTED_VALUE"""),0.75)</f>
        <v>0.75</v>
      </c>
      <c r="Q639" s="57">
        <f>IFERROR(__xludf.DUMMYFUNCTION("""COMPUTED_VALUE"""),0.75)</f>
        <v>0.75</v>
      </c>
      <c r="R639" s="57">
        <f>IFERROR(__xludf.DUMMYFUNCTION("""COMPUTED_VALUE"""),2.0)</f>
        <v>2</v>
      </c>
      <c r="S639" s="31">
        <f>IFERROR(__xludf.DUMMYFUNCTION("""COMPUTED_VALUE"""),306.9166666666667)</f>
        <v>306.9166667</v>
      </c>
      <c r="T639" s="57">
        <f>IFERROR(__xludf.DUMMYFUNCTION("""COMPUTED_VALUE"""),0.8333333333333333)</f>
        <v>0.8333333333</v>
      </c>
      <c r="U639" s="57">
        <f>IFERROR(__xludf.DUMMYFUNCTION("""COMPUTED_VALUE"""),0.41666666666666663)</f>
        <v>0.4166666667</v>
      </c>
      <c r="V639" s="57">
        <f>IFERROR(__xludf.DUMMYFUNCTION("""COMPUTED_VALUE"""),0.9166666666666665)</f>
        <v>0.9166666667</v>
      </c>
      <c r="W639" s="57">
        <f>IFERROR(__xludf.DUMMYFUNCTION("""COMPUTED_VALUE"""),2.8333333333333335)</f>
        <v>2.833333333</v>
      </c>
      <c r="X639" s="31">
        <f>IFERROR(__xludf.DUMMYFUNCTION("""COMPUTED_VALUE"""),348.0636574074074)</f>
        <v>348.0636574</v>
      </c>
      <c r="Y639" s="57">
        <f>IFERROR(__xludf.DUMMYFUNCTION("""COMPUTED_VALUE"""),0.6886574074074074)</f>
        <v>0.6886574074</v>
      </c>
      <c r="Z639" s="57">
        <f>IFERROR(__xludf.DUMMYFUNCTION("""COMPUTED_VALUE"""),0.5011574074074074)</f>
        <v>0.5011574074</v>
      </c>
      <c r="AA639" s="57">
        <f>IFERROR(__xludf.DUMMYFUNCTION("""COMPUTED_VALUE"""),1.4780092592592595)</f>
        <v>1.478009259</v>
      </c>
      <c r="AB639" s="57">
        <f>IFERROR(__xludf.DUMMYFUNCTION("""COMPUTED_VALUE"""),2.6608796296296298)</f>
        <v>2.66087963</v>
      </c>
      <c r="AC639" s="31">
        <f>IFERROR(__xludf.DUMMYFUNCTION("""COMPUTED_VALUE"""),351.0902777777778)</f>
        <v>351.0902778</v>
      </c>
      <c r="AD639" s="57">
        <f>IFERROR(__xludf.DUMMYFUNCTION("""COMPUTED_VALUE"""),0.7762345679012344)</f>
        <v>0.7762345679</v>
      </c>
      <c r="AE639" s="57">
        <f>IFERROR(__xludf.DUMMYFUNCTION("""COMPUTED_VALUE"""),0.5999228395061728)</f>
        <v>0.5999228395</v>
      </c>
      <c r="AF639" s="57">
        <f>IFERROR(__xludf.DUMMYFUNCTION("""COMPUTED_VALUE"""),1.3692129629629628)</f>
        <v>1.369212963</v>
      </c>
      <c r="AG639" s="57">
        <f>IFERROR(__xludf.DUMMYFUNCTION("""COMPUTED_VALUE"""),2.783179012345679)</f>
        <v>2.783179012</v>
      </c>
      <c r="AH639" s="57">
        <f>IFERROR(__xludf.DUMMYFUNCTION("""COMPUTED_VALUE"""),0.7832743240303023)</f>
        <v>0.783274324</v>
      </c>
      <c r="AI639" s="57">
        <f>IFERROR(__xludf.DUMMYFUNCTION("""COMPUTED_VALUE"""),0.966202783300199)</f>
        <v>0.9662027833</v>
      </c>
      <c r="AJ639" s="57">
        <f>IFERROR(__xludf.DUMMYFUNCTION("""COMPUTED_VALUE"""),1.2501607717041803)</f>
        <v>1.250160772</v>
      </c>
      <c r="AK639" s="57">
        <f>IFERROR(__xludf.DUMMYFUNCTION("""COMPUTED_VALUE"""),0.5477599323753171)</f>
        <v>0.5477599324</v>
      </c>
      <c r="AL639" s="57">
        <f>IFERROR(__xludf.DUMMYFUNCTION("""COMPUTED_VALUE"""),0.7186027169392847)</f>
        <v>0.7186027169</v>
      </c>
      <c r="AM639" s="57">
        <f>IFERROR(__xludf.DUMMYFUNCTION("""COMPUTED_VALUE"""),0.8817831455107125)</f>
        <v>0.8817831455</v>
      </c>
      <c r="AN639" s="57">
        <f>IFERROR(__xludf.DUMMYFUNCTION("""COMPUTED_VALUE"""),1.2100840336134453)</f>
        <v>1.210084034</v>
      </c>
      <c r="AO639" s="57">
        <f>IFERROR(__xludf.DUMMYFUNCTION("""COMPUTED_VALUE"""),0.8314087759815241)</f>
        <v>0.831408776</v>
      </c>
      <c r="AP639" s="35">
        <f>IFERROR(__xludf.DUMMYFUNCTION("""COMPUTED_VALUE"""),0.6202036021926388)</f>
        <v>0.6202036022</v>
      </c>
      <c r="AQ639" s="57">
        <f>IFERROR(__xludf.DUMMYFUNCTION("""COMPUTED_VALUE"""),1.0648107872988255)</f>
        <v>1.064810787</v>
      </c>
      <c r="AR639" s="36" t="b">
        <f>IFERROR(__xludf.DUMMYFUNCTION("""COMPUTED_VALUE"""),TRUE)</f>
        <v>1</v>
      </c>
      <c r="AS639" s="57"/>
      <c r="AT639" s="37"/>
      <c r="AU639" s="30"/>
      <c r="AV639" s="30"/>
      <c r="AW639" s="30"/>
      <c r="AX639" s="30"/>
      <c r="AY639" s="30"/>
      <c r="AZ639" s="30"/>
    </row>
    <row r="640">
      <c r="A640" s="30" t="str">
        <f>IFERROR(__xludf.DUMMYFUNCTION("""COMPUTED_VALUE"""),"Rival")</f>
        <v>Rival</v>
      </c>
      <c r="B640" s="30" t="str">
        <f>IFERROR(__xludf.DUMMYFUNCTION("""COMPUTED_VALUE"""),"RSC007131")</f>
        <v>RSC007131</v>
      </c>
      <c r="C640" s="30" t="str">
        <f>IFERROR(__xludf.DUMMYFUNCTION("""COMPUTED_VALUE"""),"BankShark")</f>
        <v>BankShark</v>
      </c>
      <c r="D640" s="31" t="str">
        <f>IFERROR(__xludf.DUMMYFUNCTION("""COMPUTED_VALUE"""),"Hammerheads")</f>
        <v>Hammerheads</v>
      </c>
      <c r="E640" s="31">
        <f>IFERROR(__xludf.DUMMYFUNCTION("""COMPUTED_VALUE"""),45.31883263181706)</f>
        <v>45.31883263</v>
      </c>
      <c r="F640" s="31">
        <f>IFERROR(__xludf.DUMMYFUNCTION("""COMPUTED_VALUE"""),-2.348886679925585)</f>
        <v>-2.34888668</v>
      </c>
      <c r="G640" s="31">
        <f>IFERROR(__xludf.DUMMYFUNCTION("""COMPUTED_VALUE"""),40.132407913425276)</f>
        <v>40.13240791</v>
      </c>
      <c r="H640" s="31">
        <f>IFERROR(__xludf.DUMMYFUNCTION("""COMPUTED_VALUE"""),-2.8857464416907623)</f>
        <v>-2.885746442</v>
      </c>
      <c r="I640" s="54">
        <f>IFERROR(__xludf.DUMMYFUNCTION("""COMPUTED_VALUE"""),32.0)</f>
        <v>32</v>
      </c>
      <c r="J640" s="55">
        <f>IFERROR(__xludf.DUMMYFUNCTION("""COMPUTED_VALUE"""),18.0)</f>
        <v>18</v>
      </c>
      <c r="K640" s="54">
        <f>IFERROR(__xludf.DUMMYFUNCTION("""COMPUTED_VALUE"""),14.0)</f>
        <v>14</v>
      </c>
      <c r="L640" s="56">
        <f>IFERROR(__xludf.DUMMYFUNCTION("""COMPUTED_VALUE"""),0.5625)</f>
        <v>0.5625</v>
      </c>
      <c r="M640" s="56">
        <f>IFERROR(__xludf.DUMMYFUNCTION("""COMPUTED_VALUE"""),0.352112676056338)</f>
        <v>0.3521126761</v>
      </c>
      <c r="N640" s="31">
        <f>IFERROR(__xludf.DUMMYFUNCTION("""COMPUTED_VALUE"""),340.59375)</f>
        <v>340.59375</v>
      </c>
      <c r="O640" s="57">
        <f>IFERROR(__xludf.DUMMYFUNCTION("""COMPUTED_VALUE"""),0.78125)</f>
        <v>0.78125</v>
      </c>
      <c r="P640" s="57">
        <f>IFERROR(__xludf.DUMMYFUNCTION("""COMPUTED_VALUE"""),0.40625)</f>
        <v>0.40625</v>
      </c>
      <c r="Q640" s="57">
        <f>IFERROR(__xludf.DUMMYFUNCTION("""COMPUTED_VALUE"""),1.4375)</f>
        <v>1.4375</v>
      </c>
      <c r="R640" s="57">
        <f>IFERROR(__xludf.DUMMYFUNCTION("""COMPUTED_VALUE"""),2.21875)</f>
        <v>2.21875</v>
      </c>
      <c r="S640" s="31">
        <f>IFERROR(__xludf.DUMMYFUNCTION("""COMPUTED_VALUE"""),332.8958333333333)</f>
        <v>332.8958333</v>
      </c>
      <c r="T640" s="57">
        <f>IFERROR(__xludf.DUMMYFUNCTION("""COMPUTED_VALUE"""),0.6979166666666667)</f>
        <v>0.6979166667</v>
      </c>
      <c r="U640" s="57">
        <f>IFERROR(__xludf.DUMMYFUNCTION("""COMPUTED_VALUE"""),0.5416666666666667)</f>
        <v>0.5416666667</v>
      </c>
      <c r="V640" s="57">
        <f>IFERROR(__xludf.DUMMYFUNCTION("""COMPUTED_VALUE"""),1.364583333333334)</f>
        <v>1.364583333</v>
      </c>
      <c r="W640" s="57">
        <f>IFERROR(__xludf.DUMMYFUNCTION("""COMPUTED_VALUE"""),2.572916666666667)</f>
        <v>2.572916667</v>
      </c>
      <c r="X640" s="31">
        <f>IFERROR(__xludf.DUMMYFUNCTION("""COMPUTED_VALUE"""),341.26753154019315)</f>
        <v>341.2675315</v>
      </c>
      <c r="Y640" s="57">
        <f>IFERROR(__xludf.DUMMYFUNCTION("""COMPUTED_VALUE"""),0.7780068803119113)</f>
        <v>0.7780068803</v>
      </c>
      <c r="Z640" s="57">
        <f>IFERROR(__xludf.DUMMYFUNCTION("""COMPUTED_VALUE"""),0.5499580628308197)</f>
        <v>0.5499580628</v>
      </c>
      <c r="AA640" s="57">
        <f>IFERROR(__xludf.DUMMYFUNCTION("""COMPUTED_VALUE"""),1.2571174691136466)</f>
        <v>1.257117469</v>
      </c>
      <c r="AB640" s="57">
        <f>IFERROR(__xludf.DUMMYFUNCTION("""COMPUTED_VALUE"""),2.586570518481605)</f>
        <v>2.586570518</v>
      </c>
      <c r="AC640" s="31">
        <f>IFERROR(__xludf.DUMMYFUNCTION("""COMPUTED_VALUE"""),348.46835791555014)</f>
        <v>348.4683579</v>
      </c>
      <c r="AD640" s="57">
        <f>IFERROR(__xludf.DUMMYFUNCTION("""COMPUTED_VALUE"""),0.8068103416090955)</f>
        <v>0.8068103416</v>
      </c>
      <c r="AE640" s="57">
        <f>IFERROR(__xludf.DUMMYFUNCTION("""COMPUTED_VALUE"""),0.5494436092199225)</f>
        <v>0.5494436092</v>
      </c>
      <c r="AF640" s="57">
        <f>IFERROR(__xludf.DUMMYFUNCTION("""COMPUTED_VALUE"""),1.332341480170862)</f>
        <v>1.33234148</v>
      </c>
      <c r="AG640" s="57">
        <f>IFERROR(__xludf.DUMMYFUNCTION("""COMPUTED_VALUE"""),2.5200288036516705)</f>
        <v>2.520028804</v>
      </c>
      <c r="AH640" s="57">
        <f>IFERROR(__xludf.DUMMYFUNCTION("""COMPUTED_VALUE"""),0.9774022296811852)</f>
        <v>0.9774022297</v>
      </c>
      <c r="AI640" s="57">
        <f>IFERROR(__xludf.DUMMYFUNCTION("""COMPUTED_VALUE"""),0.9683192687415011)</f>
        <v>0.9683192687</v>
      </c>
      <c r="AJ640" s="57">
        <f>IFERROR(__xludf.DUMMYFUNCTION("""COMPUTED_VALUE"""),0.7393843393260631)</f>
        <v>0.7393843393</v>
      </c>
      <c r="AK640" s="57">
        <f>IFERROR(__xludf.DUMMYFUNCTION("""COMPUTED_VALUE"""),1.0789276033165704)</f>
        <v>1.078927603</v>
      </c>
      <c r="AL640" s="57">
        <f>IFERROR(__xludf.DUMMYFUNCTION("""COMPUTED_VALUE"""),0.880446285687251)</f>
        <v>0.8804462857</v>
      </c>
      <c r="AM640" s="57">
        <f>IFERROR(__xludf.DUMMYFUNCTION("""COMPUTED_VALUE"""),0.9754688113191516)</f>
        <v>0.9754688113</v>
      </c>
      <c r="AN640" s="57">
        <f>IFERROR(__xludf.DUMMYFUNCTION("""COMPUTED_VALUE"""),0.8970571910454884)</f>
        <v>0.897057191</v>
      </c>
      <c r="AO640" s="57">
        <f>IFERROR(__xludf.DUMMYFUNCTION("""COMPUTED_VALUE"""),0.9849235846793947)</f>
        <v>0.9849235847</v>
      </c>
      <c r="AP640" s="35">
        <f>IFERROR(__xludf.DUMMYFUNCTION("""COMPUTED_VALUE"""),1.0854859365652265)</f>
        <v>1.085485937</v>
      </c>
      <c r="AQ640" s="57">
        <f>IFERROR(__xludf.DUMMYFUNCTION("""COMPUTED_VALUE"""),0.9947212528259415)</f>
        <v>0.9947212528</v>
      </c>
      <c r="AR640" s="36" t="b">
        <f>IFERROR(__xludf.DUMMYFUNCTION("""COMPUTED_VALUE"""),TRUE)</f>
        <v>1</v>
      </c>
      <c r="AS640" s="57"/>
      <c r="AT640" s="37"/>
      <c r="AU640" s="30"/>
      <c r="AV640" s="30"/>
      <c r="AW640" s="30"/>
      <c r="AX640" s="30"/>
      <c r="AY640" s="30"/>
      <c r="AZ640" s="30"/>
    </row>
    <row r="641">
      <c r="A641" s="30" t="str">
        <f>IFERROR(__xludf.DUMMYFUNCTION("""COMPUTED_VALUE"""),"Rival")</f>
        <v>Rival</v>
      </c>
      <c r="B641" s="30" t="str">
        <f>IFERROR(__xludf.DUMMYFUNCTION("""COMPUTED_VALUE"""),"RSC002424")</f>
        <v>RSC002424</v>
      </c>
      <c r="C641" s="30" t="str">
        <f>IFERROR(__xludf.DUMMYFUNCTION("""COMPUTED_VALUE"""),"HufflePuffler")</f>
        <v>HufflePuffler</v>
      </c>
      <c r="D641" s="31" t="str">
        <f>IFERROR(__xludf.DUMMYFUNCTION("""COMPUTED_VALUE"""),"Centuriones")</f>
        <v>Centuriones</v>
      </c>
      <c r="E641" s="31">
        <f>IFERROR(__xludf.DUMMYFUNCTION("""COMPUTED_VALUE"""),44.32813716890229)</f>
        <v>44.32813717</v>
      </c>
      <c r="F641" s="31">
        <f>IFERROR(__xludf.DUMMYFUNCTION("""COMPUTED_VALUE"""),-2.43747474840829)</f>
        <v>-2.437474748</v>
      </c>
      <c r="G641" s="31">
        <f>IFERROR(__xludf.DUMMYFUNCTION("""COMPUTED_VALUE"""),48.53176462297437)</f>
        <v>48.53176462</v>
      </c>
      <c r="H641" s="31">
        <f>IFERROR(__xludf.DUMMYFUNCTION("""COMPUTED_VALUE"""),-2.0982668076608517)</f>
        <v>-2.098266808</v>
      </c>
      <c r="I641" s="54">
        <f>IFERROR(__xludf.DUMMYFUNCTION("""COMPUTED_VALUE"""),36.0)</f>
        <v>36</v>
      </c>
      <c r="J641" s="55">
        <f>IFERROR(__xludf.DUMMYFUNCTION("""COMPUTED_VALUE"""),14.0)</f>
        <v>14</v>
      </c>
      <c r="K641" s="54">
        <f>IFERROR(__xludf.DUMMYFUNCTION("""COMPUTED_VALUE"""),22.0)</f>
        <v>22</v>
      </c>
      <c r="L641" s="56">
        <f>IFERROR(__xludf.DUMMYFUNCTION("""COMPUTED_VALUE"""),0.3888888888888889)</f>
        <v>0.3888888889</v>
      </c>
      <c r="M641" s="56">
        <f>IFERROR(__xludf.DUMMYFUNCTION("""COMPUTED_VALUE"""),0.4142857142857143)</f>
        <v>0.4142857143</v>
      </c>
      <c r="N641" s="31">
        <f>IFERROR(__xludf.DUMMYFUNCTION("""COMPUTED_VALUE"""),389.47222222222223)</f>
        <v>389.4722222</v>
      </c>
      <c r="O641" s="57">
        <f>IFERROR(__xludf.DUMMYFUNCTION("""COMPUTED_VALUE"""),0.8055555555555556)</f>
        <v>0.8055555556</v>
      </c>
      <c r="P641" s="57">
        <f>IFERROR(__xludf.DUMMYFUNCTION("""COMPUTED_VALUE"""),0.5277777777777778)</f>
        <v>0.5277777778</v>
      </c>
      <c r="Q641" s="57">
        <f>IFERROR(__xludf.DUMMYFUNCTION("""COMPUTED_VALUE"""),1.8611111111111112)</f>
        <v>1.861111111</v>
      </c>
      <c r="R641" s="57">
        <f>IFERROR(__xludf.DUMMYFUNCTION("""COMPUTED_VALUE"""),1.9444444444444444)</f>
        <v>1.944444444</v>
      </c>
      <c r="S641" s="31">
        <f>IFERROR(__xludf.DUMMYFUNCTION("""COMPUTED_VALUE"""),359.46296296296293)</f>
        <v>359.462963</v>
      </c>
      <c r="T641" s="57">
        <f>IFERROR(__xludf.DUMMYFUNCTION("""COMPUTED_VALUE"""),0.9074074074074071)</f>
        <v>0.9074074074</v>
      </c>
      <c r="U641" s="57">
        <f>IFERROR(__xludf.DUMMYFUNCTION("""COMPUTED_VALUE"""),0.6666666666666665)</f>
        <v>0.6666666667</v>
      </c>
      <c r="V641" s="57">
        <f>IFERROR(__xludf.DUMMYFUNCTION("""COMPUTED_VALUE"""),1.2037037037037037)</f>
        <v>1.203703704</v>
      </c>
      <c r="W641" s="57">
        <f>IFERROR(__xludf.DUMMYFUNCTION("""COMPUTED_VALUE"""),2.75)</f>
        <v>2.75</v>
      </c>
      <c r="X641" s="31">
        <f>IFERROR(__xludf.DUMMYFUNCTION("""COMPUTED_VALUE"""),344.7355935887812)</f>
        <v>344.7355936</v>
      </c>
      <c r="Y641" s="57">
        <f>IFERROR(__xludf.DUMMYFUNCTION("""COMPUTED_VALUE"""),0.7496478102757683)</f>
        <v>0.7496478103</v>
      </c>
      <c r="Z641" s="57">
        <f>IFERROR(__xludf.DUMMYFUNCTION("""COMPUTED_VALUE"""),0.5658894732593175)</f>
        <v>0.5658894733</v>
      </c>
      <c r="AA641" s="57">
        <f>IFERROR(__xludf.DUMMYFUNCTION("""COMPUTED_VALUE"""),1.3423005918258906)</f>
        <v>1.342300592</v>
      </c>
      <c r="AB641" s="57">
        <f>IFERROR(__xludf.DUMMYFUNCTION("""COMPUTED_VALUE"""),2.5275601166377593)</f>
        <v>2.527560117</v>
      </c>
      <c r="AC641" s="31">
        <f>IFERROR(__xludf.DUMMYFUNCTION("""COMPUTED_VALUE"""),349.54557130831915)</f>
        <v>349.5455713</v>
      </c>
      <c r="AD641" s="57">
        <f>IFERROR(__xludf.DUMMYFUNCTION("""COMPUTED_VALUE"""),0.8069921815003887)</f>
        <v>0.8069921815</v>
      </c>
      <c r="AE641" s="57">
        <f>IFERROR(__xludf.DUMMYFUNCTION("""COMPUTED_VALUE"""),0.5737961323485516)</f>
        <v>0.5737961323</v>
      </c>
      <c r="AF641" s="57">
        <f>IFERROR(__xludf.DUMMYFUNCTION("""COMPUTED_VALUE"""),1.2885335835459797)</f>
        <v>1.288533584</v>
      </c>
      <c r="AG641" s="57">
        <f>IFERROR(__xludf.DUMMYFUNCTION("""COMPUTED_VALUE"""),2.630403178977384)</f>
        <v>2.630403179</v>
      </c>
      <c r="AH641" s="57">
        <f>IFERROR(__xludf.DUMMYFUNCTION("""COMPUTED_VALUE"""),1.1142244508046864)</f>
        <v>1.114224451</v>
      </c>
      <c r="AI641" s="57">
        <f>IFERROR(__xludf.DUMMYFUNCTION("""COMPUTED_VALUE"""),0.9982197771208117)</f>
        <v>0.9982197771</v>
      </c>
      <c r="AJ641" s="57">
        <f>IFERROR(__xludf.DUMMYFUNCTION("""COMPUTED_VALUE"""),0.919800165988536)</f>
        <v>0.919800166</v>
      </c>
      <c r="AK641" s="57">
        <f>IFERROR(__xludf.DUMMYFUNCTION("""COMPUTED_VALUE"""),1.4443636819999885)</f>
        <v>1.444363682</v>
      </c>
      <c r="AL641" s="57">
        <f>IFERROR(__xludf.DUMMYFUNCTION("""COMPUTED_VALUE"""),0.7392191660901132)</f>
        <v>0.7392191661</v>
      </c>
      <c r="AM641" s="57">
        <f>IFERROR(__xludf.DUMMYFUNCTION("""COMPUTED_VALUE"""),1.0427207681715318)</f>
        <v>1.042720768</v>
      </c>
      <c r="AN641" s="57">
        <f>IFERROR(__xludf.DUMMYFUNCTION("""COMPUTED_VALUE"""),1.2104449515748)</f>
        <v>1.210444952</v>
      </c>
      <c r="AO641" s="57">
        <f>IFERROR(__xludf.DUMMYFUNCTION("""COMPUTED_VALUE"""),1.1780863546142837)</f>
        <v>1.178086355</v>
      </c>
      <c r="AP641" s="35">
        <f>IFERROR(__xludf.DUMMYFUNCTION("""COMPUTED_VALUE"""),0.8967467577931574)</f>
        <v>0.8967467578</v>
      </c>
      <c r="AQ641" s="57">
        <f>IFERROR(__xludf.DUMMYFUNCTION("""COMPUTED_VALUE"""),1.0880057735909117)</f>
        <v>1.088005774</v>
      </c>
      <c r="AR641" s="36" t="b">
        <f>IFERROR(__xludf.DUMMYFUNCTION("""COMPUTED_VALUE"""),TRUE)</f>
        <v>1</v>
      </c>
      <c r="AS641" s="57"/>
      <c r="AT641" s="37"/>
      <c r="AU641" s="30"/>
      <c r="AV641" s="30"/>
      <c r="AW641" s="30"/>
      <c r="AX641" s="30"/>
      <c r="AY641" s="30"/>
      <c r="AZ641" s="30"/>
    </row>
    <row r="642">
      <c r="A642" s="30" t="str">
        <f>IFERROR(__xludf.DUMMYFUNCTION("""COMPUTED_VALUE"""),"Rival")</f>
        <v>Rival</v>
      </c>
      <c r="B642" s="30" t="str">
        <f>IFERROR(__xludf.DUMMYFUNCTION("""COMPUTED_VALUE"""),"RSC005978")</f>
        <v>RSC005978</v>
      </c>
      <c r="C642" s="30" t="str">
        <f>IFERROR(__xludf.DUMMYFUNCTION("""COMPUTED_VALUE"""),"xDraco0")</f>
        <v>xDraco0</v>
      </c>
      <c r="D642" s="31" t="str">
        <f>IFERROR(__xludf.DUMMYFUNCTION("""COMPUTED_VALUE"""),"Funk Hunks")</f>
        <v>Funk Hunks</v>
      </c>
      <c r="E642" s="31">
        <f>IFERROR(__xludf.DUMMYFUNCTION("""COMPUTED_VALUE"""),44.18719389556722)</f>
        <v>44.1871939</v>
      </c>
      <c r="F642" s="31">
        <f>IFERROR(__xludf.DUMMYFUNCTION("""COMPUTED_VALUE"""),-2.450559417576977)</f>
        <v>-2.450559418</v>
      </c>
      <c r="G642" s="31">
        <f>IFERROR(__xludf.DUMMYFUNCTION("""COMPUTED_VALUE"""),46.860879455622715)</f>
        <v>46.86087946</v>
      </c>
      <c r="H642" s="31">
        <f>IFERROR(__xludf.DUMMYFUNCTION("""COMPUTED_VALUE"""),-2.222033569946598)</f>
        <v>-2.22203357</v>
      </c>
      <c r="I642" s="54">
        <f>IFERROR(__xludf.DUMMYFUNCTION("""COMPUTED_VALUE"""),8.0)</f>
        <v>8</v>
      </c>
      <c r="J642" s="55">
        <f>IFERROR(__xludf.DUMMYFUNCTION("""COMPUTED_VALUE"""),3.0)</f>
        <v>3</v>
      </c>
      <c r="K642" s="54">
        <f>IFERROR(__xludf.DUMMYFUNCTION("""COMPUTED_VALUE"""),5.0)</f>
        <v>5</v>
      </c>
      <c r="L642" s="56">
        <f>IFERROR(__xludf.DUMMYFUNCTION("""COMPUTED_VALUE"""),0.375)</f>
        <v>0.375</v>
      </c>
      <c r="M642" s="56">
        <f>IFERROR(__xludf.DUMMYFUNCTION("""COMPUTED_VALUE"""),0.22727272727272727)</f>
        <v>0.2272727273</v>
      </c>
      <c r="N642" s="31">
        <f>IFERROR(__xludf.DUMMYFUNCTION("""COMPUTED_VALUE"""),337.125)</f>
        <v>337.125</v>
      </c>
      <c r="O642" s="57">
        <f>IFERROR(__xludf.DUMMYFUNCTION("""COMPUTED_VALUE"""),0.625)</f>
        <v>0.625</v>
      </c>
      <c r="P642" s="57">
        <f>IFERROR(__xludf.DUMMYFUNCTION("""COMPUTED_VALUE"""),0.625)</f>
        <v>0.625</v>
      </c>
      <c r="Q642" s="57">
        <f>IFERROR(__xludf.DUMMYFUNCTION("""COMPUTED_VALUE"""),1.375)</f>
        <v>1.375</v>
      </c>
      <c r="R642" s="57">
        <f>IFERROR(__xludf.DUMMYFUNCTION("""COMPUTED_VALUE"""),2.75)</f>
        <v>2.75</v>
      </c>
      <c r="S642" s="31">
        <f>IFERROR(__xludf.DUMMYFUNCTION("""COMPUTED_VALUE"""),368.4583333333333)</f>
        <v>368.4583333</v>
      </c>
      <c r="T642" s="57">
        <f>IFERROR(__xludf.DUMMYFUNCTION("""COMPUTED_VALUE"""),0.9999999999999999)</f>
        <v>1</v>
      </c>
      <c r="U642" s="57">
        <f>IFERROR(__xludf.DUMMYFUNCTION("""COMPUTED_VALUE"""),0.6666666666666666)</f>
        <v>0.6666666667</v>
      </c>
      <c r="V642" s="57">
        <f>IFERROR(__xludf.DUMMYFUNCTION("""COMPUTED_VALUE"""),1.25)</f>
        <v>1.25</v>
      </c>
      <c r="W642" s="57">
        <f>IFERROR(__xludf.DUMMYFUNCTION("""COMPUTED_VALUE"""),2.708333333333333)</f>
        <v>2.708333333</v>
      </c>
      <c r="X642" s="31">
        <f>IFERROR(__xludf.DUMMYFUNCTION("""COMPUTED_VALUE"""),357.558948921449)</f>
        <v>357.5589489</v>
      </c>
      <c r="Y642" s="57">
        <f>IFERROR(__xludf.DUMMYFUNCTION("""COMPUTED_VALUE"""),0.8221026658526657)</f>
        <v>0.8221026659</v>
      </c>
      <c r="Z642" s="57">
        <f>IFERROR(__xludf.DUMMYFUNCTION("""COMPUTED_VALUE"""),0.6191290191290192)</f>
        <v>0.6191290191</v>
      </c>
      <c r="AA642" s="57">
        <f>IFERROR(__xludf.DUMMYFUNCTION("""COMPUTED_VALUE"""),1.2806992775742776)</f>
        <v>1.280699278</v>
      </c>
      <c r="AB642" s="57">
        <f>IFERROR(__xludf.DUMMYFUNCTION("""COMPUTED_VALUE"""),2.678886853886854)</f>
        <v>2.678886854</v>
      </c>
      <c r="AC642" s="31">
        <f>IFERROR(__xludf.DUMMYFUNCTION("""COMPUTED_VALUE"""),365.62806946140273)</f>
        <v>365.6280695</v>
      </c>
      <c r="AD642" s="57">
        <f>IFERROR(__xludf.DUMMYFUNCTION("""COMPUTED_VALUE"""),0.8966015466015466)</f>
        <v>0.8966015466</v>
      </c>
      <c r="AE642" s="57">
        <f>IFERROR(__xludf.DUMMYFUNCTION("""COMPUTED_VALUE"""),0.6119094254510922)</f>
        <v>0.6119094255</v>
      </c>
      <c r="AF642" s="57">
        <f>IFERROR(__xludf.DUMMYFUNCTION("""COMPUTED_VALUE"""),1.3700422262922263)</f>
        <v>1.370042226</v>
      </c>
      <c r="AG642" s="57">
        <f>IFERROR(__xludf.DUMMYFUNCTION("""COMPUTED_VALUE"""),2.6358287545787547)</f>
        <v>2.635828755</v>
      </c>
      <c r="AH642" s="57">
        <f>IFERROR(__xludf.DUMMYFUNCTION("""COMPUTED_VALUE"""),0.9220435413960699)</f>
        <v>0.9220435414</v>
      </c>
      <c r="AI642" s="57">
        <f>IFERROR(__xludf.DUMMYFUNCTION("""COMPUTED_VALUE"""),0.6970766472230419)</f>
        <v>0.6970766472</v>
      </c>
      <c r="AJ642" s="57">
        <f>IFERROR(__xludf.DUMMYFUNCTION("""COMPUTED_VALUE"""),1.021392993806653)</f>
        <v>1.021392994</v>
      </c>
      <c r="AK642" s="57">
        <f>IFERROR(__xludf.DUMMYFUNCTION("""COMPUTED_VALUE"""),1.003618701389366)</f>
        <v>1.003618701</v>
      </c>
      <c r="AL642" s="57">
        <f>IFERROR(__xludf.DUMMYFUNCTION("""COMPUTED_VALUE"""),1.0433151225104877)</f>
        <v>1.043315123</v>
      </c>
      <c r="AM642" s="57">
        <f>IFERROR(__xludf.DUMMYFUNCTION("""COMPUTED_VALUE"""),1.0304827621984054)</f>
        <v>1.030482762</v>
      </c>
      <c r="AN642" s="57">
        <f>IFERROR(__xludf.DUMMYFUNCTION("""COMPUTED_VALUE"""),1.2163930875504743)</f>
        <v>1.216393088</v>
      </c>
      <c r="AO642" s="57">
        <f>IFERROR(__xludf.DUMMYFUNCTION("""COMPUTED_VALUE"""),1.0767814882987115)</f>
        <v>1.076781488</v>
      </c>
      <c r="AP642" s="35">
        <f>IFERROR(__xludf.DUMMYFUNCTION("""COMPUTED_VALUE"""),0.9760292848509887)</f>
        <v>0.9760292849</v>
      </c>
      <c r="AQ642" s="57">
        <f>IFERROR(__xludf.DUMMYFUNCTION("""COMPUTED_VALUE"""),1.010992057915307)</f>
        <v>1.010992058</v>
      </c>
      <c r="AR642" s="36" t="b">
        <f>IFERROR(__xludf.DUMMYFUNCTION("""COMPUTED_VALUE"""),TRUE)</f>
        <v>1</v>
      </c>
      <c r="AS642" s="57"/>
      <c r="AT642" s="37"/>
      <c r="AU642" s="30"/>
      <c r="AV642" s="30"/>
      <c r="AW642" s="30"/>
      <c r="AX642" s="30"/>
      <c r="AY642" s="30"/>
      <c r="AZ642" s="30"/>
    </row>
    <row r="643">
      <c r="A643" s="30" t="str">
        <f>IFERROR(__xludf.DUMMYFUNCTION("""COMPUTED_VALUE"""),"Rival")</f>
        <v>Rival</v>
      </c>
      <c r="B643" s="30" t="str">
        <f>IFERROR(__xludf.DUMMYFUNCTION("""COMPUTED_VALUE"""),"RSC006654")</f>
        <v>RSC006654</v>
      </c>
      <c r="C643" s="30" t="str">
        <f>IFERROR(__xludf.DUMMYFUNCTION("""COMPUTED_VALUE"""),"Chicken")</f>
        <v>Chicken</v>
      </c>
      <c r="D643" s="31" t="str">
        <f>IFERROR(__xludf.DUMMYFUNCTION("""COMPUTED_VALUE"""),"Ocelots")</f>
        <v>Ocelots</v>
      </c>
      <c r="E643" s="31">
        <f>IFERROR(__xludf.DUMMYFUNCTION("""COMPUTED_VALUE"""),43.9689171399706)</f>
        <v>43.96891714</v>
      </c>
      <c r="F643" s="31">
        <f>IFERROR(__xludf.DUMMYFUNCTION("""COMPUTED_VALUE"""),-2.4710682937879436)</f>
        <v>-2.471068294</v>
      </c>
      <c r="G643" s="31">
        <f>IFERROR(__xludf.DUMMYFUNCTION("""COMPUTED_VALUE"""),43.17852364642538)</f>
        <v>43.17852365</v>
      </c>
      <c r="H643" s="31">
        <f>IFERROR(__xludf.DUMMYFUNCTION("""COMPUTED_VALUE"""),-2.54789545795805)</f>
        <v>-2.547895458</v>
      </c>
      <c r="I643" s="54">
        <f>IFERROR(__xludf.DUMMYFUNCTION("""COMPUTED_VALUE"""),22.0)</f>
        <v>22</v>
      </c>
      <c r="J643" s="55">
        <f>IFERROR(__xludf.DUMMYFUNCTION("""COMPUTED_VALUE"""),13.0)</f>
        <v>13</v>
      </c>
      <c r="K643" s="54">
        <f>IFERROR(__xludf.DUMMYFUNCTION("""COMPUTED_VALUE"""),9.0)</f>
        <v>9</v>
      </c>
      <c r="L643" s="56">
        <f>IFERROR(__xludf.DUMMYFUNCTION("""COMPUTED_VALUE"""),0.5909090909090909)</f>
        <v>0.5909090909</v>
      </c>
      <c r="M643" s="56">
        <f>IFERROR(__xludf.DUMMYFUNCTION("""COMPUTED_VALUE"""),0.3191489361702128)</f>
        <v>0.3191489362</v>
      </c>
      <c r="N643" s="31">
        <f>IFERROR(__xludf.DUMMYFUNCTION("""COMPUTED_VALUE"""),322.59090909090907)</f>
        <v>322.5909091</v>
      </c>
      <c r="O643" s="57">
        <f>IFERROR(__xludf.DUMMYFUNCTION("""COMPUTED_VALUE"""),0.6818181818181818)</f>
        <v>0.6818181818</v>
      </c>
      <c r="P643" s="57">
        <f>IFERROR(__xludf.DUMMYFUNCTION("""COMPUTED_VALUE"""),0.4090909090909091)</f>
        <v>0.4090909091</v>
      </c>
      <c r="Q643" s="57">
        <f>IFERROR(__xludf.DUMMYFUNCTION("""COMPUTED_VALUE"""),1.2727272727272727)</f>
        <v>1.272727273</v>
      </c>
      <c r="R643" s="57">
        <f>IFERROR(__xludf.DUMMYFUNCTION("""COMPUTED_VALUE"""),2.1363636363636362)</f>
        <v>2.136363636</v>
      </c>
      <c r="S643" s="31">
        <f>IFERROR(__xludf.DUMMYFUNCTION("""COMPUTED_VALUE"""),323.07575757575756)</f>
        <v>323.0757576</v>
      </c>
      <c r="T643" s="57">
        <f>IFERROR(__xludf.DUMMYFUNCTION("""COMPUTED_VALUE"""),0.606060606060606)</f>
        <v>0.6060606061</v>
      </c>
      <c r="U643" s="57">
        <f>IFERROR(__xludf.DUMMYFUNCTION("""COMPUTED_VALUE"""),0.3484848484848485)</f>
        <v>0.3484848485</v>
      </c>
      <c r="V643" s="57">
        <f>IFERROR(__xludf.DUMMYFUNCTION("""COMPUTED_VALUE"""),1.3787878787878787)</f>
        <v>1.378787879</v>
      </c>
      <c r="W643" s="57">
        <f>IFERROR(__xludf.DUMMYFUNCTION("""COMPUTED_VALUE"""),2.0000000000000004)</f>
        <v>2</v>
      </c>
      <c r="X643" s="31">
        <f>IFERROR(__xludf.DUMMYFUNCTION("""COMPUTED_VALUE"""),341.27812631413923)</f>
        <v>341.2781263</v>
      </c>
      <c r="Y643" s="57">
        <f>IFERROR(__xludf.DUMMYFUNCTION("""COMPUTED_VALUE"""),0.7278923133351033)</f>
        <v>0.7278923133</v>
      </c>
      <c r="Z643" s="57">
        <f>IFERROR(__xludf.DUMMYFUNCTION("""COMPUTED_VALUE"""),0.5111022321171222)</f>
        <v>0.5111022321</v>
      </c>
      <c r="AA643" s="57">
        <f>IFERROR(__xludf.DUMMYFUNCTION("""COMPUTED_VALUE"""),1.3696777259806256)</f>
        <v>1.369677726</v>
      </c>
      <c r="AB643" s="57">
        <f>IFERROR(__xludf.DUMMYFUNCTION("""COMPUTED_VALUE"""),2.45104064626596)</f>
        <v>2.451040646</v>
      </c>
      <c r="AC643" s="31">
        <f>IFERROR(__xludf.DUMMYFUNCTION("""COMPUTED_VALUE"""),349.19894166376787)</f>
        <v>349.1989417</v>
      </c>
      <c r="AD643" s="57">
        <f>IFERROR(__xludf.DUMMYFUNCTION("""COMPUTED_VALUE"""),0.7905209829935533)</f>
        <v>0.790520983</v>
      </c>
      <c r="AE643" s="57">
        <f>IFERROR(__xludf.DUMMYFUNCTION("""COMPUTED_VALUE"""),0.5837128401901129)</f>
        <v>0.5837128402</v>
      </c>
      <c r="AF643" s="57">
        <f>IFERROR(__xludf.DUMMYFUNCTION("""COMPUTED_VALUE"""),1.3236286037050147)</f>
        <v>1.323628604</v>
      </c>
      <c r="AG643" s="57">
        <f>IFERROR(__xludf.DUMMYFUNCTION("""COMPUTED_VALUE"""),2.594489618125982)</f>
        <v>2.594489618</v>
      </c>
      <c r="AH643" s="57">
        <f>IFERROR(__xludf.DUMMYFUNCTION("""COMPUTED_VALUE"""),0.9238026540227067)</f>
        <v>0.923802654</v>
      </c>
      <c r="AI643" s="57">
        <f>IFERROR(__xludf.DUMMYFUNCTION("""COMPUTED_VALUE"""),0.8624922000631348)</f>
        <v>0.8624922001</v>
      </c>
      <c r="AJ643" s="57">
        <f>IFERROR(__xludf.DUMMYFUNCTION("""COMPUTED_VALUE"""),0.7008427447949747)</f>
        <v>0.7008427448</v>
      </c>
      <c r="AK643" s="57">
        <f>IFERROR(__xludf.DUMMYFUNCTION("""COMPUTED_VALUE"""),0.9615440986729493)</f>
        <v>0.9615440987</v>
      </c>
      <c r="AL643" s="57">
        <f>IFERROR(__xludf.DUMMYFUNCTION("""COMPUTED_VALUE"""),0.8234234669656326)</f>
        <v>0.823423467</v>
      </c>
      <c r="AM643" s="57">
        <f>IFERROR(__xludf.DUMMYFUNCTION("""COMPUTED_VALUE"""),0.9466641213283421)</f>
        <v>0.9466641213</v>
      </c>
      <c r="AN643" s="57">
        <f>IFERROR(__xludf.DUMMYFUNCTION("""COMPUTED_VALUE"""),0.832623995277157)</f>
        <v>0.8326239953</v>
      </c>
      <c r="AO643" s="57">
        <f>IFERROR(__xludf.DUMMYFUNCTION("""COMPUTED_VALUE"""),0.6818300265317391)</f>
        <v>0.6818300265</v>
      </c>
      <c r="AP643" s="35">
        <f>IFERROR(__xludf.DUMMYFUNCTION("""COMPUTED_VALUE"""),1.0066513112058755)</f>
        <v>1.006651311</v>
      </c>
      <c r="AQ643" s="57">
        <f>IFERROR(__xludf.DUMMYFUNCTION("""COMPUTED_VALUE"""),0.8159799402131099)</f>
        <v>0.8159799402</v>
      </c>
      <c r="AR643" s="36" t="b">
        <f>IFERROR(__xludf.DUMMYFUNCTION("""COMPUTED_VALUE"""),TRUE)</f>
        <v>1</v>
      </c>
      <c r="AS643" s="57"/>
      <c r="AT643" s="37"/>
      <c r="AU643" s="30"/>
      <c r="AV643" s="30"/>
      <c r="AW643" s="30"/>
      <c r="AX643" s="30"/>
      <c r="AY643" s="30"/>
      <c r="AZ643" s="30"/>
    </row>
    <row r="644">
      <c r="A644" s="30" t="str">
        <f>IFERROR(__xludf.DUMMYFUNCTION("""COMPUTED_VALUE"""),"Rival")</f>
        <v>Rival</v>
      </c>
      <c r="B644" s="30" t="str">
        <f>IFERROR(__xludf.DUMMYFUNCTION("""COMPUTED_VALUE"""),"RSC005328")</f>
        <v>RSC005328</v>
      </c>
      <c r="C644" s="30" t="str">
        <f>IFERROR(__xludf.DUMMYFUNCTION("""COMPUTED_VALUE"""),"Razor")</f>
        <v>Razor</v>
      </c>
      <c r="D644" s="31" t="str">
        <f>IFERROR(__xludf.DUMMYFUNCTION("""COMPUTED_VALUE"""),"Dice")</f>
        <v>Dice</v>
      </c>
      <c r="E644" s="31">
        <f>IFERROR(__xludf.DUMMYFUNCTION("""COMPUTED_VALUE"""),43.80835584360161)</f>
        <v>43.80835584</v>
      </c>
      <c r="F644" s="31">
        <f>IFERROR(__xludf.DUMMYFUNCTION("""COMPUTED_VALUE"""),-2.4863467819316685)</f>
        <v>-2.486346782</v>
      </c>
      <c r="G644" s="31">
        <f>IFERROR(__xludf.DUMMYFUNCTION("""COMPUTED_VALUE"""),43.67921195726604)</f>
        <v>43.67921196</v>
      </c>
      <c r="H644" s="31">
        <f>IFERROR(__xludf.DUMMYFUNCTION("""COMPUTED_VALUE"""),-2.4987555945044413)</f>
        <v>-2.498755595</v>
      </c>
      <c r="I644" s="54">
        <f>IFERROR(__xludf.DUMMYFUNCTION("""COMPUTED_VALUE"""),8.0)</f>
        <v>8</v>
      </c>
      <c r="J644" s="55">
        <f>IFERROR(__xludf.DUMMYFUNCTION("""COMPUTED_VALUE"""),4.0)</f>
        <v>4</v>
      </c>
      <c r="K644" s="54">
        <f>IFERROR(__xludf.DUMMYFUNCTION("""COMPUTED_VALUE"""),4.0)</f>
        <v>4</v>
      </c>
      <c r="L644" s="56">
        <f>IFERROR(__xludf.DUMMYFUNCTION("""COMPUTED_VALUE"""),0.5)</f>
        <v>0.5</v>
      </c>
      <c r="M644" s="56">
        <f>IFERROR(__xludf.DUMMYFUNCTION("""COMPUTED_VALUE"""),0.21052631578947367)</f>
        <v>0.2105263158</v>
      </c>
      <c r="N644" s="31">
        <f>IFERROR(__xludf.DUMMYFUNCTION("""COMPUTED_VALUE"""),322.625)</f>
        <v>322.625</v>
      </c>
      <c r="O644" s="57">
        <f>IFERROR(__xludf.DUMMYFUNCTION("""COMPUTED_VALUE"""),0.5)</f>
        <v>0.5</v>
      </c>
      <c r="P644" s="57">
        <f>IFERROR(__xludf.DUMMYFUNCTION("""COMPUTED_VALUE"""),0.625)</f>
        <v>0.625</v>
      </c>
      <c r="Q644" s="57">
        <f>IFERROR(__xludf.DUMMYFUNCTION("""COMPUTED_VALUE"""),1.625)</f>
        <v>1.625</v>
      </c>
      <c r="R644" s="57">
        <f>IFERROR(__xludf.DUMMYFUNCTION("""COMPUTED_VALUE"""),2.375)</f>
        <v>2.375</v>
      </c>
      <c r="S644" s="31">
        <f>IFERROR(__xludf.DUMMYFUNCTION("""COMPUTED_VALUE"""),344.625)</f>
        <v>344.625</v>
      </c>
      <c r="T644" s="57">
        <f>IFERROR(__xludf.DUMMYFUNCTION("""COMPUTED_VALUE"""),0.75)</f>
        <v>0.75</v>
      </c>
      <c r="U644" s="57">
        <f>IFERROR(__xludf.DUMMYFUNCTION("""COMPUTED_VALUE"""),0.5)</f>
        <v>0.5</v>
      </c>
      <c r="V644" s="57">
        <f>IFERROR(__xludf.DUMMYFUNCTION("""COMPUTED_VALUE"""),1.5833333333333335)</f>
        <v>1.583333333</v>
      </c>
      <c r="W644" s="57">
        <f>IFERROR(__xludf.DUMMYFUNCTION("""COMPUTED_VALUE"""),2.583333333333333)</f>
        <v>2.583333333</v>
      </c>
      <c r="X644" s="31">
        <f>IFERROR(__xludf.DUMMYFUNCTION("""COMPUTED_VALUE"""),353.8806993546577)</f>
        <v>353.8806994</v>
      </c>
      <c r="Y644" s="57">
        <f>IFERROR(__xludf.DUMMYFUNCTION("""COMPUTED_VALUE"""),0.8539737654320987)</f>
        <v>0.8539737654</v>
      </c>
      <c r="Z644" s="57">
        <f>IFERROR(__xludf.DUMMYFUNCTION("""COMPUTED_VALUE"""),0.5193778058361391)</f>
        <v>0.5193778058</v>
      </c>
      <c r="AA644" s="57">
        <f>IFERROR(__xludf.DUMMYFUNCTION("""COMPUTED_VALUE"""),1.359252244668911)</f>
        <v>1.359252245</v>
      </c>
      <c r="AB644" s="57">
        <f>IFERROR(__xludf.DUMMYFUNCTION("""COMPUTED_VALUE"""),2.666964786756454)</f>
        <v>2.666964787</v>
      </c>
      <c r="AC644" s="31">
        <f>IFERROR(__xludf.DUMMYFUNCTION("""COMPUTED_VALUE"""),337.5660774410774)</f>
        <v>337.5660774</v>
      </c>
      <c r="AD644" s="57">
        <f>IFERROR(__xludf.DUMMYFUNCTION("""COMPUTED_VALUE"""),0.7140326879910214)</f>
        <v>0.714032688</v>
      </c>
      <c r="AE644" s="57">
        <f>IFERROR(__xludf.DUMMYFUNCTION("""COMPUTED_VALUE"""),0.5445426487093153)</f>
        <v>0.5445426487</v>
      </c>
      <c r="AF644" s="57">
        <f>IFERROR(__xludf.DUMMYFUNCTION("""COMPUTED_VALUE"""),1.388111438458661)</f>
        <v>1.388111438</v>
      </c>
      <c r="AG644" s="57">
        <f>IFERROR(__xludf.DUMMYFUNCTION("""COMPUTED_VALUE"""),2.57261854657688)</f>
        <v>2.572618547</v>
      </c>
      <c r="AH644" s="57">
        <f>IFERROR(__xludf.DUMMYFUNCTION("""COMPUTED_VALUE"""),0.9557388065935464)</f>
        <v>0.9557388066</v>
      </c>
      <c r="AI644" s="57">
        <f>IFERROR(__xludf.DUMMYFUNCTION("""COMPUTED_VALUE"""),0.7002480536385293)</f>
        <v>0.7002480536</v>
      </c>
      <c r="AJ644" s="57">
        <f>IFERROR(__xludf.DUMMYFUNCTION("""COMPUTED_VALUE"""),1.1477521576710035)</f>
        <v>1.147752158</v>
      </c>
      <c r="AK644" s="57">
        <f>IFERROR(__xludf.DUMMYFUNCTION("""COMPUTED_VALUE"""),1.1706552910509669)</f>
        <v>1.170655291</v>
      </c>
      <c r="AL644" s="57">
        <f>IFERROR(__xludf.DUMMYFUNCTION("""COMPUTED_VALUE"""),0.9231838910436875)</f>
        <v>0.923183891</v>
      </c>
      <c r="AM644" s="57">
        <f>IFERROR(__xludf.DUMMYFUNCTION("""COMPUTED_VALUE"""),0.9738451422427488)</f>
        <v>0.9738451422</v>
      </c>
      <c r="AN644" s="57">
        <f>IFERROR(__xludf.DUMMYFUNCTION("""COMPUTED_VALUE"""),0.8782471199457873)</f>
        <v>0.8782471199</v>
      </c>
      <c r="AO644" s="57">
        <f>IFERROR(__xludf.DUMMYFUNCTION("""COMPUTED_VALUE"""),0.9626903467603066)</f>
        <v>0.9626903468</v>
      </c>
      <c r="AP644" s="35">
        <f>IFERROR(__xludf.DUMMYFUNCTION("""COMPUTED_VALUE"""),1.1648561475938592)</f>
        <v>1.164856148</v>
      </c>
      <c r="AQ644" s="57">
        <f>IFERROR(__xludf.DUMMYFUNCTION("""COMPUTED_VALUE"""),0.9686417106673415)</f>
        <v>0.9686417107</v>
      </c>
      <c r="AR644" s="36" t="b">
        <f>IFERROR(__xludf.DUMMYFUNCTION("""COMPUTED_VALUE"""),TRUE)</f>
        <v>1</v>
      </c>
      <c r="AS644" s="57"/>
      <c r="AT644" s="37"/>
      <c r="AU644" s="30"/>
      <c r="AV644" s="30"/>
      <c r="AW644" s="30"/>
      <c r="AX644" s="30"/>
      <c r="AY644" s="30"/>
      <c r="AZ644" s="30"/>
    </row>
    <row r="645">
      <c r="A645" s="30" t="str">
        <f>IFERROR(__xludf.DUMMYFUNCTION("""COMPUTED_VALUE"""),"Rival")</f>
        <v>Rival</v>
      </c>
      <c r="B645" s="30" t="str">
        <f>IFERROR(__xludf.DUMMYFUNCTION("""COMPUTED_VALUE"""),"RSC006069")</f>
        <v>RSC006069</v>
      </c>
      <c r="C645" s="30" t="str">
        <f>IFERROR(__xludf.DUMMYFUNCTION("""COMPUTED_VALUE"""),"PoupSoup")</f>
        <v>PoupSoup</v>
      </c>
      <c r="D645" s="31" t="str">
        <f>IFERROR(__xludf.DUMMYFUNCTION("""COMPUTED_VALUE"""),"Blizzards")</f>
        <v>Blizzards</v>
      </c>
      <c r="E645" s="31">
        <f>IFERROR(__xludf.DUMMYFUNCTION("""COMPUTED_VALUE"""),43.3251975656035)</f>
        <v>43.32519757</v>
      </c>
      <c r="F645" s="31">
        <f>IFERROR(__xludf.DUMMYFUNCTION("""COMPUTED_VALUE"""),-2.5333283227458194)</f>
        <v>-2.533328323</v>
      </c>
      <c r="G645" s="31">
        <f>IFERROR(__xludf.DUMMYFUNCTION("""COMPUTED_VALUE"""),40.53800834278174)</f>
        <v>40.53800834</v>
      </c>
      <c r="H645" s="31">
        <f>IFERROR(__xludf.DUMMYFUNCTION("""COMPUTED_VALUE"""),-2.83658050014086)</f>
        <v>-2.8365805</v>
      </c>
      <c r="I645" s="54">
        <f>IFERROR(__xludf.DUMMYFUNCTION("""COMPUTED_VALUE"""),30.0)</f>
        <v>30</v>
      </c>
      <c r="J645" s="55">
        <f>IFERROR(__xludf.DUMMYFUNCTION("""COMPUTED_VALUE"""),15.0)</f>
        <v>15</v>
      </c>
      <c r="K645" s="54">
        <f>IFERROR(__xludf.DUMMYFUNCTION("""COMPUTED_VALUE"""),15.0)</f>
        <v>15</v>
      </c>
      <c r="L645" s="56">
        <f>IFERROR(__xludf.DUMMYFUNCTION("""COMPUTED_VALUE"""),0.5)</f>
        <v>0.5</v>
      </c>
      <c r="M645" s="56">
        <f>IFERROR(__xludf.DUMMYFUNCTION("""COMPUTED_VALUE"""),0.2816901408450704)</f>
        <v>0.2816901408</v>
      </c>
      <c r="N645" s="31">
        <f>IFERROR(__xludf.DUMMYFUNCTION("""COMPUTED_VALUE"""),319.7)</f>
        <v>319.7</v>
      </c>
      <c r="O645" s="57">
        <f>IFERROR(__xludf.DUMMYFUNCTION("""COMPUTED_VALUE"""),0.6666666666666666)</f>
        <v>0.6666666667</v>
      </c>
      <c r="P645" s="57">
        <f>IFERROR(__xludf.DUMMYFUNCTION("""COMPUTED_VALUE"""),0.43333333333333335)</f>
        <v>0.4333333333</v>
      </c>
      <c r="Q645" s="57">
        <f>IFERROR(__xludf.DUMMYFUNCTION("""COMPUTED_VALUE"""),1.1333333333333333)</f>
        <v>1.133333333</v>
      </c>
      <c r="R645" s="57">
        <f>IFERROR(__xludf.DUMMYFUNCTION("""COMPUTED_VALUE"""),2.3666666666666667)</f>
        <v>2.366666667</v>
      </c>
      <c r="S645" s="31">
        <f>IFERROR(__xludf.DUMMYFUNCTION("""COMPUTED_VALUE"""),344.3333333333333)</f>
        <v>344.3333333</v>
      </c>
      <c r="T645" s="57">
        <f>IFERROR(__xludf.DUMMYFUNCTION("""COMPUTED_VALUE"""),0.7666666666666667)</f>
        <v>0.7666666667</v>
      </c>
      <c r="U645" s="57">
        <f>IFERROR(__xludf.DUMMYFUNCTION("""COMPUTED_VALUE"""),0.5111111111111112)</f>
        <v>0.5111111111</v>
      </c>
      <c r="V645" s="57">
        <f>IFERROR(__xludf.DUMMYFUNCTION("""COMPUTED_VALUE"""),1.3555555555555556)</f>
        <v>1.355555556</v>
      </c>
      <c r="W645" s="57">
        <f>IFERROR(__xludf.DUMMYFUNCTION("""COMPUTED_VALUE"""),2.433333333333333)</f>
        <v>2.433333333</v>
      </c>
      <c r="X645" s="31">
        <f>IFERROR(__xludf.DUMMYFUNCTION("""COMPUTED_VALUE"""),351.87003507015305)</f>
        <v>351.8700351</v>
      </c>
      <c r="Y645" s="57">
        <f>IFERROR(__xludf.DUMMYFUNCTION("""COMPUTED_VALUE"""),0.8018614497058548)</f>
        <v>0.8018614497</v>
      </c>
      <c r="Z645" s="57">
        <f>IFERROR(__xludf.DUMMYFUNCTION("""COMPUTED_VALUE"""),0.5974489952988938)</f>
        <v>0.5974489953</v>
      </c>
      <c r="AA645" s="57">
        <f>IFERROR(__xludf.DUMMYFUNCTION("""COMPUTED_VALUE"""),1.3699650993679897)</f>
        <v>1.369965099</v>
      </c>
      <c r="AB645" s="57">
        <f>IFERROR(__xludf.DUMMYFUNCTION("""COMPUTED_VALUE"""),2.598458724463626)</f>
        <v>2.598458724</v>
      </c>
      <c r="AC645" s="31">
        <f>IFERROR(__xludf.DUMMYFUNCTION("""COMPUTED_VALUE"""),339.7102336875993)</f>
        <v>339.7102337</v>
      </c>
      <c r="AD645" s="57">
        <f>IFERROR(__xludf.DUMMYFUNCTION("""COMPUTED_VALUE"""),0.7439614226269058)</f>
        <v>0.7439614226</v>
      </c>
      <c r="AE645" s="57">
        <f>IFERROR(__xludf.DUMMYFUNCTION("""COMPUTED_VALUE"""),0.557378424357802)</f>
        <v>0.5573784244</v>
      </c>
      <c r="AF645" s="57">
        <f>IFERROR(__xludf.DUMMYFUNCTION("""COMPUTED_VALUE"""),1.2987194029102969)</f>
        <v>1.298719403</v>
      </c>
      <c r="AG645" s="57">
        <f>IFERROR(__xludf.DUMMYFUNCTION("""COMPUTED_VALUE"""),2.6001749269520285)</f>
        <v>2.600174927</v>
      </c>
      <c r="AH645" s="57">
        <f>IFERROR(__xludf.DUMMYFUNCTION("""COMPUTED_VALUE"""),0.9410961704909928)</f>
        <v>0.9410961705</v>
      </c>
      <c r="AI645" s="57">
        <f>IFERROR(__xludf.DUMMYFUNCTION("""COMPUTED_VALUE"""),0.8961038118249282)</f>
        <v>0.8961038118</v>
      </c>
      <c r="AJ645" s="57">
        <f>IFERROR(__xludf.DUMMYFUNCTION("""COMPUTED_VALUE"""),0.7774490622463716)</f>
        <v>0.7774490622</v>
      </c>
      <c r="AK645" s="57">
        <f>IFERROR(__xludf.DUMMYFUNCTION("""COMPUTED_VALUE"""),0.8726545016526662)</f>
        <v>0.8726545017</v>
      </c>
      <c r="AL645" s="57">
        <f>IFERROR(__xludf.DUMMYFUNCTION("""COMPUTED_VALUE"""),0.9101951726920603)</f>
        <v>0.9101951727</v>
      </c>
      <c r="AM645" s="57">
        <f>IFERROR(__xludf.DUMMYFUNCTION("""COMPUTED_VALUE"""),0.9785810072309308)</f>
        <v>0.9785810072</v>
      </c>
      <c r="AN645" s="57">
        <f>IFERROR(__xludf.DUMMYFUNCTION("""COMPUTED_VALUE"""),0.9561086481310475)</f>
        <v>0.9561086481</v>
      </c>
      <c r="AO645" s="57">
        <f>IFERROR(__xludf.DUMMYFUNCTION("""COMPUTED_VALUE"""),0.8554891131006267)</f>
        <v>0.8554891131</v>
      </c>
      <c r="AP645" s="35">
        <f>IFERROR(__xludf.DUMMYFUNCTION("""COMPUTED_VALUE"""),0.9894818168586326)</f>
        <v>0.9894818169</v>
      </c>
      <c r="AQ645" s="57">
        <f>IFERROR(__xludf.DUMMYFUNCTION("""COMPUTED_VALUE"""),0.9364525633693189)</f>
        <v>0.9364525634</v>
      </c>
      <c r="AR645" s="36" t="b">
        <f>IFERROR(__xludf.DUMMYFUNCTION("""COMPUTED_VALUE"""),TRUE)</f>
        <v>1</v>
      </c>
      <c r="AS645" s="57"/>
      <c r="AT645" s="37"/>
      <c r="AU645" s="30"/>
      <c r="AV645" s="30"/>
      <c r="AW645" s="30"/>
      <c r="AX645" s="30"/>
      <c r="AY645" s="30"/>
      <c r="AZ645" s="30"/>
    </row>
    <row r="646">
      <c r="A646" s="30" t="str">
        <f>IFERROR(__xludf.DUMMYFUNCTION("""COMPUTED_VALUE"""),"Rival")</f>
        <v>Rival</v>
      </c>
      <c r="B646" s="30" t="str">
        <f>IFERROR(__xludf.DUMMYFUNCTION("""COMPUTED_VALUE"""),"RSC003255")</f>
        <v>RSC003255</v>
      </c>
      <c r="C646" s="30" t="str">
        <f>IFERROR(__xludf.DUMMYFUNCTION("""COMPUTED_VALUE"""),"cozyboy")</f>
        <v>cozyboy</v>
      </c>
      <c r="D646" s="31" t="str">
        <f>IFERROR(__xludf.DUMMYFUNCTION("""COMPUTED_VALUE"""),"Funk Hunks")</f>
        <v>Funk Hunks</v>
      </c>
      <c r="E646" s="31">
        <f>IFERROR(__xludf.DUMMYFUNCTION("""COMPUTED_VALUE"""),43.08615651554085)</f>
        <v>43.08615652</v>
      </c>
      <c r="F646" s="31">
        <f>IFERROR(__xludf.DUMMYFUNCTION("""COMPUTED_VALUE"""),-2.557143232395435)</f>
        <v>-2.557143232</v>
      </c>
      <c r="G646" s="31">
        <f>IFERROR(__xludf.DUMMYFUNCTION("""COMPUTED_VALUE"""),43.254968171633124)</f>
        <v>43.25496817</v>
      </c>
      <c r="H646" s="31">
        <f>IFERROR(__xludf.DUMMYFUNCTION("""COMPUTED_VALUE"""),-2.5402852943372505)</f>
        <v>-2.540285294</v>
      </c>
      <c r="I646" s="54">
        <f>IFERROR(__xludf.DUMMYFUNCTION("""COMPUTED_VALUE"""),29.0)</f>
        <v>29</v>
      </c>
      <c r="J646" s="55">
        <f>IFERROR(__xludf.DUMMYFUNCTION("""COMPUTED_VALUE"""),13.0)</f>
        <v>13</v>
      </c>
      <c r="K646" s="54">
        <f>IFERROR(__xludf.DUMMYFUNCTION("""COMPUTED_VALUE"""),16.0)</f>
        <v>16</v>
      </c>
      <c r="L646" s="56">
        <f>IFERROR(__xludf.DUMMYFUNCTION("""COMPUTED_VALUE"""),0.4482758620689655)</f>
        <v>0.4482758621</v>
      </c>
      <c r="M646" s="56">
        <f>IFERROR(__xludf.DUMMYFUNCTION("""COMPUTED_VALUE"""),0.25862068965517243)</f>
        <v>0.2586206897</v>
      </c>
      <c r="N646" s="31">
        <f>IFERROR(__xludf.DUMMYFUNCTION("""COMPUTED_VALUE"""),322.1034482758621)</f>
        <v>322.1034483</v>
      </c>
      <c r="O646" s="57">
        <f>IFERROR(__xludf.DUMMYFUNCTION("""COMPUTED_VALUE"""),0.5172413793103449)</f>
        <v>0.5172413793</v>
      </c>
      <c r="P646" s="57">
        <f>IFERROR(__xludf.DUMMYFUNCTION("""COMPUTED_VALUE"""),0.7586206896551724)</f>
        <v>0.7586206897</v>
      </c>
      <c r="Q646" s="57">
        <f>IFERROR(__xludf.DUMMYFUNCTION("""COMPUTED_VALUE"""),1.3793103448275863)</f>
        <v>1.379310345</v>
      </c>
      <c r="R646" s="57">
        <f>IFERROR(__xludf.DUMMYFUNCTION("""COMPUTED_VALUE"""),2.0)</f>
        <v>2</v>
      </c>
      <c r="S646" s="31">
        <f>IFERROR(__xludf.DUMMYFUNCTION("""COMPUTED_VALUE"""),348.50574712643675)</f>
        <v>348.5057471</v>
      </c>
      <c r="T646" s="57">
        <f>IFERROR(__xludf.DUMMYFUNCTION("""COMPUTED_VALUE"""),0.8505747126436782)</f>
        <v>0.8505747126</v>
      </c>
      <c r="U646" s="57">
        <f>IFERROR(__xludf.DUMMYFUNCTION("""COMPUTED_VALUE"""),0.586206896551724)</f>
        <v>0.5862068966</v>
      </c>
      <c r="V646" s="57">
        <f>IFERROR(__xludf.DUMMYFUNCTION("""COMPUTED_VALUE"""),1.218390804597701)</f>
        <v>1.218390805</v>
      </c>
      <c r="W646" s="57">
        <f>IFERROR(__xludf.DUMMYFUNCTION("""COMPUTED_VALUE"""),2.724137931034482)</f>
        <v>2.724137931</v>
      </c>
      <c r="X646" s="31">
        <f>IFERROR(__xludf.DUMMYFUNCTION("""COMPUTED_VALUE"""),355.46303470213206)</f>
        <v>355.4630347</v>
      </c>
      <c r="Y646" s="57">
        <f>IFERROR(__xludf.DUMMYFUNCTION("""COMPUTED_VALUE"""),0.8224383028135566)</f>
        <v>0.8224383028</v>
      </c>
      <c r="Z646" s="57">
        <f>IFERROR(__xludf.DUMMYFUNCTION("""COMPUTED_VALUE"""),0.6194119455782743)</f>
        <v>0.6194119456</v>
      </c>
      <c r="AA646" s="57">
        <f>IFERROR(__xludf.DUMMYFUNCTION("""COMPUTED_VALUE"""),1.2797433784756298)</f>
        <v>1.279743378</v>
      </c>
      <c r="AB646" s="57">
        <f>IFERROR(__xludf.DUMMYFUNCTION("""COMPUTED_VALUE"""),2.6878942858658887)</f>
        <v>2.687894286</v>
      </c>
      <c r="AC646" s="31">
        <f>IFERROR(__xludf.DUMMYFUNCTION("""COMPUTED_VALUE"""),342.16339640501235)</f>
        <v>342.1633964</v>
      </c>
      <c r="AD646" s="57">
        <f>IFERROR(__xludf.DUMMYFUNCTION("""COMPUTED_VALUE"""),0.7450960506825958)</f>
        <v>0.7450960507</v>
      </c>
      <c r="AE646" s="57">
        <f>IFERROR(__xludf.DUMMYFUNCTION("""COMPUTED_VALUE"""),0.5502977530445413)</f>
        <v>0.550297753</v>
      </c>
      <c r="AF646" s="57">
        <f>IFERROR(__xludf.DUMMYFUNCTION("""COMPUTED_VALUE"""),1.3389025668944534)</f>
        <v>1.338902567</v>
      </c>
      <c r="AG646" s="57">
        <f>IFERROR(__xludf.DUMMYFUNCTION("""COMPUTED_VALUE"""),2.4972574545005246)</f>
        <v>2.497257455</v>
      </c>
      <c r="AH646" s="57">
        <f>IFERROR(__xludf.DUMMYFUNCTION("""COMPUTED_VALUE"""),0.9413731908792322)</f>
        <v>0.9413731909</v>
      </c>
      <c r="AI646" s="57">
        <f>IFERROR(__xludf.DUMMYFUNCTION("""COMPUTED_VALUE"""),0.6941942301754127)</f>
        <v>0.6941942302</v>
      </c>
      <c r="AJ646" s="57">
        <f>IFERROR(__xludf.DUMMYFUNCTION("""COMPUTED_VALUE"""),1.3785640327587696)</f>
        <v>1.378564033</v>
      </c>
      <c r="AK646" s="57">
        <f>IFERROR(__xludf.DUMMYFUNCTION("""COMPUTED_VALUE"""),1.0301797747888837)</f>
        <v>1.030179775</v>
      </c>
      <c r="AL646" s="57">
        <f>IFERROR(__xludf.DUMMYFUNCTION("""COMPUTED_VALUE"""),0.8008785783763008)</f>
        <v>0.8008785784</v>
      </c>
      <c r="AM646" s="57">
        <f>IFERROR(__xludf.DUMMYFUNCTION("""COMPUTED_VALUE"""),0.9804275356464974)</f>
        <v>0.9804275356</v>
      </c>
      <c r="AN646" s="57">
        <f>IFERROR(__xludf.DUMMYFUNCTION("""COMPUTED_VALUE"""),1.0342109672347057)</f>
        <v>1.034210967</v>
      </c>
      <c r="AO646" s="57">
        <f>IFERROR(__xludf.DUMMYFUNCTION("""COMPUTED_VALUE"""),0.9463926240628916)</f>
        <v>0.9463926241</v>
      </c>
      <c r="AP646" s="35">
        <f>IFERROR(__xludf.DUMMYFUNCTION("""COMPUTED_VALUE"""),0.9520586901172255)</f>
        <v>0.9520586901</v>
      </c>
      <c r="AQ646" s="57">
        <f>IFERROR(__xludf.DUMMYFUNCTION("""COMPUTED_VALUE"""),1.01348402924891)</f>
        <v>1.013484029</v>
      </c>
      <c r="AR646" s="36" t="b">
        <f>IFERROR(__xludf.DUMMYFUNCTION("""COMPUTED_VALUE"""),TRUE)</f>
        <v>1</v>
      </c>
      <c r="AS646" s="57"/>
      <c r="AT646" s="37"/>
      <c r="AU646" s="30"/>
      <c r="AV646" s="30"/>
      <c r="AW646" s="30"/>
      <c r="AX646" s="30"/>
      <c r="AY646" s="30"/>
      <c r="AZ646" s="30"/>
    </row>
    <row r="647">
      <c r="A647" s="30" t="str">
        <f>IFERROR(__xludf.DUMMYFUNCTION("""COMPUTED_VALUE"""),"Rival")</f>
        <v>Rival</v>
      </c>
      <c r="B647" s="30" t="str">
        <f>IFERROR(__xludf.DUMMYFUNCTION("""COMPUTED_VALUE"""),"RSC006372")</f>
        <v>RSC006372</v>
      </c>
      <c r="C647" s="30" t="str">
        <f>IFERROR(__xludf.DUMMYFUNCTION("""COMPUTED_VALUE"""),"x ARC Fives x")</f>
        <v>x ARC Fives x</v>
      </c>
      <c r="D647" s="31" t="str">
        <f>IFERROR(__xludf.DUMMYFUNCTION("""COMPUTED_VALUE"""),"Heavy Metal")</f>
        <v>Heavy Metal</v>
      </c>
      <c r="E647" s="31">
        <f>IFERROR(__xludf.DUMMYFUNCTION("""COMPUTED_VALUE"""),42.868884175718115)</f>
        <v>42.86888418</v>
      </c>
      <c r="F647" s="31">
        <f>IFERROR(__xludf.DUMMYFUNCTION("""COMPUTED_VALUE"""),-2.57912521496264)</f>
        <v>-2.579125215</v>
      </c>
      <c r="G647" s="31">
        <f>IFERROR(__xludf.DUMMYFUNCTION("""COMPUTED_VALUE"""),35.73392541793009)</f>
        <v>35.73392542</v>
      </c>
      <c r="H647" s="31">
        <f>IFERROR(__xludf.DUMMYFUNCTION("""COMPUTED_VALUE"""),-3.5196292110017677)</f>
        <v>-3.519629211</v>
      </c>
      <c r="I647" s="54">
        <f>IFERROR(__xludf.DUMMYFUNCTION("""COMPUTED_VALUE"""),10.0)</f>
        <v>10</v>
      </c>
      <c r="J647" s="55">
        <f>IFERROR(__xludf.DUMMYFUNCTION("""COMPUTED_VALUE"""),3.0)</f>
        <v>3</v>
      </c>
      <c r="K647" s="54">
        <f>IFERROR(__xludf.DUMMYFUNCTION("""COMPUTED_VALUE"""),7.0)</f>
        <v>7</v>
      </c>
      <c r="L647" s="56">
        <f>IFERROR(__xludf.DUMMYFUNCTION("""COMPUTED_VALUE"""),0.3)</f>
        <v>0.3</v>
      </c>
      <c r="M647" s="56">
        <f>IFERROR(__xludf.DUMMYFUNCTION("""COMPUTED_VALUE"""),0.34615384615384615)</f>
        <v>0.3461538462</v>
      </c>
      <c r="N647" s="31">
        <f>IFERROR(__xludf.DUMMYFUNCTION("""COMPUTED_VALUE"""),341.7)</f>
        <v>341.7</v>
      </c>
      <c r="O647" s="57">
        <f>IFERROR(__xludf.DUMMYFUNCTION("""COMPUTED_VALUE"""),0.9)</f>
        <v>0.9</v>
      </c>
      <c r="P647" s="57">
        <f>IFERROR(__xludf.DUMMYFUNCTION("""COMPUTED_VALUE"""),0.3)</f>
        <v>0.3</v>
      </c>
      <c r="Q647" s="57">
        <f>IFERROR(__xludf.DUMMYFUNCTION("""COMPUTED_VALUE"""),1.8)</f>
        <v>1.8</v>
      </c>
      <c r="R647" s="57">
        <f>IFERROR(__xludf.DUMMYFUNCTION("""COMPUTED_VALUE"""),2.6)</f>
        <v>2.6</v>
      </c>
      <c r="S647" s="31">
        <f>IFERROR(__xludf.DUMMYFUNCTION("""COMPUTED_VALUE"""),357.0333333333334)</f>
        <v>357.0333333</v>
      </c>
      <c r="T647" s="57">
        <f>IFERROR(__xludf.DUMMYFUNCTION("""COMPUTED_VALUE"""),0.8666666666666666)</f>
        <v>0.8666666667</v>
      </c>
      <c r="U647" s="57">
        <f>IFERROR(__xludf.DUMMYFUNCTION("""COMPUTED_VALUE"""),0.5666666666666667)</f>
        <v>0.5666666667</v>
      </c>
      <c r="V647" s="57">
        <f>IFERROR(__xludf.DUMMYFUNCTION("""COMPUTED_VALUE"""),1.3333333333333333)</f>
        <v>1.333333333</v>
      </c>
      <c r="W647" s="57">
        <f>IFERROR(__xludf.DUMMYFUNCTION("""COMPUTED_VALUE"""),3.1000000000000005)</f>
        <v>3.1</v>
      </c>
      <c r="X647" s="31">
        <f>IFERROR(__xludf.DUMMYFUNCTION("""COMPUTED_VALUE"""),335.30346241525643)</f>
        <v>335.3034624</v>
      </c>
      <c r="Y647" s="57">
        <f>IFERROR(__xludf.DUMMYFUNCTION("""COMPUTED_VALUE"""),0.705949860719719)</f>
        <v>0.7059498607</v>
      </c>
      <c r="Z647" s="57">
        <f>IFERROR(__xludf.DUMMYFUNCTION("""COMPUTED_VALUE"""),0.5922685621939571)</f>
        <v>0.5922685622</v>
      </c>
      <c r="AA647" s="57">
        <f>IFERROR(__xludf.DUMMYFUNCTION("""COMPUTED_VALUE"""),1.3058265979776063)</f>
        <v>1.305826598</v>
      </c>
      <c r="AB647" s="57">
        <f>IFERROR(__xludf.DUMMYFUNCTION("""COMPUTED_VALUE"""),2.4543679340763536)</f>
        <v>2.454367934</v>
      </c>
      <c r="AC647" s="31">
        <f>IFERROR(__xludf.DUMMYFUNCTION("""COMPUTED_VALUE"""),352.33381542203085)</f>
        <v>352.3338154</v>
      </c>
      <c r="AD647" s="57">
        <f>IFERROR(__xludf.DUMMYFUNCTION("""COMPUTED_VALUE"""),0.8140418103532365)</f>
        <v>0.8140418104</v>
      </c>
      <c r="AE647" s="57">
        <f>IFERROR(__xludf.DUMMYFUNCTION("""COMPUTED_VALUE"""),0.5531205026296689)</f>
        <v>0.5531205026</v>
      </c>
      <c r="AF647" s="57">
        <f>IFERROR(__xludf.DUMMYFUNCTION("""COMPUTED_VALUE"""),1.389872608624295)</f>
        <v>1.389872609</v>
      </c>
      <c r="AG647" s="57">
        <f>IFERROR(__xludf.DUMMYFUNCTION("""COMPUTED_VALUE"""),2.695516501513633)</f>
        <v>2.695516502</v>
      </c>
      <c r="AH647" s="57">
        <f>IFERROR(__xludf.DUMMYFUNCTION("""COMPUTED_VALUE"""),0.9698189190007394)</f>
        <v>0.969818919</v>
      </c>
      <c r="AI647" s="57">
        <f>IFERROR(__xludf.DUMMYFUNCTION("""COMPUTED_VALUE"""),1.1055943178268248)</f>
        <v>1.105594318</v>
      </c>
      <c r="AJ647" s="57">
        <f>IFERROR(__xludf.DUMMYFUNCTION("""COMPUTED_VALUE"""),0.5423772913383743)</f>
        <v>0.5423772913</v>
      </c>
      <c r="AK647" s="57">
        <f>IFERROR(__xludf.DUMMYFUNCTION("""COMPUTED_VALUE"""),1.2950827211291343)</f>
        <v>1.295082721</v>
      </c>
      <c r="AL647" s="57">
        <f>IFERROR(__xludf.DUMMYFUNCTION("""COMPUTED_VALUE"""),0.9645646756530718)</f>
        <v>0.9645646757</v>
      </c>
      <c r="AM647" s="57">
        <f>IFERROR(__xludf.DUMMYFUNCTION("""COMPUTED_VALUE"""),1.0648065807658307)</f>
        <v>1.064806581</v>
      </c>
      <c r="AN647" s="57">
        <f>IFERROR(__xludf.DUMMYFUNCTION("""COMPUTED_VALUE"""),1.227660369226642)</f>
        <v>1.227660369</v>
      </c>
      <c r="AO647" s="57">
        <f>IFERROR(__xludf.DUMMYFUNCTION("""COMPUTED_VALUE"""),0.9567731648081191)</f>
        <v>0.9567731648</v>
      </c>
      <c r="AP647" s="35">
        <f>IFERROR(__xludf.DUMMYFUNCTION("""COMPUTED_VALUE"""),1.021064615622264)</f>
        <v>1.021064616</v>
      </c>
      <c r="AQ647" s="57">
        <f>IFERROR(__xludf.DUMMYFUNCTION("""COMPUTED_VALUE"""),1.2630543110345092)</f>
        <v>1.263054311</v>
      </c>
      <c r="AR647" s="36" t="b">
        <f>IFERROR(__xludf.DUMMYFUNCTION("""COMPUTED_VALUE"""),TRUE)</f>
        <v>1</v>
      </c>
      <c r="AS647" s="57"/>
      <c r="AT647" s="37"/>
      <c r="AU647" s="30"/>
      <c r="AV647" s="30"/>
      <c r="AW647" s="30"/>
      <c r="AX647" s="30"/>
      <c r="AY647" s="30"/>
      <c r="AZ647" s="30"/>
    </row>
    <row r="648">
      <c r="A648" s="30" t="str">
        <f>IFERROR(__xludf.DUMMYFUNCTION("""COMPUTED_VALUE"""),"Rival")</f>
        <v>Rival</v>
      </c>
      <c r="B648" s="30" t="str">
        <f>IFERROR(__xludf.DUMMYFUNCTION("""COMPUTED_VALUE"""),"RSC005959")</f>
        <v>RSC005959</v>
      </c>
      <c r="C648" s="30" t="str">
        <f>IFERROR(__xludf.DUMMYFUNCTION("""COMPUTED_VALUE"""),"Yurrbo?")</f>
        <v>Yurrbo?</v>
      </c>
      <c r="D648" s="31" t="str">
        <f>IFERROR(__xludf.DUMMYFUNCTION("""COMPUTED_VALUE"""),"Nightfall")</f>
        <v>Nightfall</v>
      </c>
      <c r="E648" s="31">
        <f>IFERROR(__xludf.DUMMYFUNCTION("""COMPUTED_VALUE"""),42.43669421466942)</f>
        <v>42.43669421</v>
      </c>
      <c r="F648" s="31">
        <f>IFERROR(__xludf.DUMMYFUNCTION("""COMPUTED_VALUE"""),-2.6238235920219584)</f>
        <v>-2.623823592</v>
      </c>
      <c r="G648" s="31">
        <f>IFERROR(__xludf.DUMMYFUNCTION("""COMPUTED_VALUE"""),47.82094051024725)</f>
        <v>47.82094051</v>
      </c>
      <c r="H648" s="31">
        <f>IFERROR(__xludf.DUMMYFUNCTION("""COMPUTED_VALUE"""),-2.149284018868816)</f>
        <v>-2.149284019</v>
      </c>
      <c r="I648" s="54">
        <f>IFERROR(__xludf.DUMMYFUNCTION("""COMPUTED_VALUE"""),36.0)</f>
        <v>36</v>
      </c>
      <c r="J648" s="55">
        <f>IFERROR(__xludf.DUMMYFUNCTION("""COMPUTED_VALUE"""),17.0)</f>
        <v>17</v>
      </c>
      <c r="K648" s="54">
        <f>IFERROR(__xludf.DUMMYFUNCTION("""COMPUTED_VALUE"""),19.0)</f>
        <v>19</v>
      </c>
      <c r="L648" s="56">
        <f>IFERROR(__xludf.DUMMYFUNCTION("""COMPUTED_VALUE"""),0.4722222222222222)</f>
        <v>0.4722222222</v>
      </c>
      <c r="M648" s="56">
        <f>IFERROR(__xludf.DUMMYFUNCTION("""COMPUTED_VALUE"""),0.24731182795698922)</f>
        <v>0.247311828</v>
      </c>
      <c r="N648" s="31">
        <f>IFERROR(__xludf.DUMMYFUNCTION("""COMPUTED_VALUE"""),329.47222222222223)</f>
        <v>329.4722222</v>
      </c>
      <c r="O648" s="57">
        <f>IFERROR(__xludf.DUMMYFUNCTION("""COMPUTED_VALUE"""),0.6388888888888888)</f>
        <v>0.6388888889</v>
      </c>
      <c r="P648" s="57">
        <f>IFERROR(__xludf.DUMMYFUNCTION("""COMPUTED_VALUE"""),0.3333333333333333)</f>
        <v>0.3333333333</v>
      </c>
      <c r="Q648" s="57">
        <f>IFERROR(__xludf.DUMMYFUNCTION("""COMPUTED_VALUE"""),1.6111111111111112)</f>
        <v>1.611111111</v>
      </c>
      <c r="R648" s="57">
        <f>IFERROR(__xludf.DUMMYFUNCTION("""COMPUTED_VALUE"""),2.5833333333333335)</f>
        <v>2.583333333</v>
      </c>
      <c r="S648" s="31">
        <f>IFERROR(__xludf.DUMMYFUNCTION("""COMPUTED_VALUE"""),327.92592592592587)</f>
        <v>327.9259259</v>
      </c>
      <c r="T648" s="57">
        <f>IFERROR(__xludf.DUMMYFUNCTION("""COMPUTED_VALUE"""),0.6944444444444444)</f>
        <v>0.6944444444</v>
      </c>
      <c r="U648" s="57">
        <f>IFERROR(__xludf.DUMMYFUNCTION("""COMPUTED_VALUE"""),0.5092592592592592)</f>
        <v>0.5092592593</v>
      </c>
      <c r="V648" s="57">
        <f>IFERROR(__xludf.DUMMYFUNCTION("""COMPUTED_VALUE"""),1.3333333333333337)</f>
        <v>1.333333333</v>
      </c>
      <c r="W648" s="57">
        <f>IFERROR(__xludf.DUMMYFUNCTION("""COMPUTED_VALUE"""),2.388888888888889)</f>
        <v>2.388888889</v>
      </c>
      <c r="X648" s="31">
        <f>IFERROR(__xludf.DUMMYFUNCTION("""COMPUTED_VALUE"""),348.0746254507431)</f>
        <v>348.0746255</v>
      </c>
      <c r="Y648" s="57">
        <f>IFERROR(__xludf.DUMMYFUNCTION("""COMPUTED_VALUE"""),0.7876480655409672)</f>
        <v>0.7876480655</v>
      </c>
      <c r="Z648" s="57">
        <f>IFERROR(__xludf.DUMMYFUNCTION("""COMPUTED_VALUE"""),0.5585142099270589)</f>
        <v>0.5585142099</v>
      </c>
      <c r="AA648" s="57">
        <f>IFERROR(__xludf.DUMMYFUNCTION("""COMPUTED_VALUE"""),1.3119222068643526)</f>
        <v>1.311922207</v>
      </c>
      <c r="AB648" s="57">
        <f>IFERROR(__xludf.DUMMYFUNCTION("""COMPUTED_VALUE"""),2.5641573020449444)</f>
        <v>2.564157302</v>
      </c>
      <c r="AC648" s="31">
        <f>IFERROR(__xludf.DUMMYFUNCTION("""COMPUTED_VALUE"""),343.33867290992026)</f>
        <v>343.3386729</v>
      </c>
      <c r="AD648" s="57">
        <f>IFERROR(__xludf.DUMMYFUNCTION("""COMPUTED_VALUE"""),0.7567582746817592)</f>
        <v>0.7567582747</v>
      </c>
      <c r="AE648" s="57">
        <f>IFERROR(__xludf.DUMMYFUNCTION("""COMPUTED_VALUE"""),0.5323727739163951)</f>
        <v>0.5323727739</v>
      </c>
      <c r="AF648" s="57">
        <f>IFERROR(__xludf.DUMMYFUNCTION("""COMPUTED_VALUE"""),1.3197205697494647)</f>
        <v>1.31972057</v>
      </c>
      <c r="AG648" s="57">
        <f>IFERROR(__xludf.DUMMYFUNCTION("""COMPUTED_VALUE"""),2.5076902876312634)</f>
        <v>2.507690288</v>
      </c>
      <c r="AH648" s="57">
        <f>IFERROR(__xludf.DUMMYFUNCTION("""COMPUTED_VALUE"""),0.9596129076571106)</f>
        <v>0.9596129077</v>
      </c>
      <c r="AI648" s="57">
        <f>IFERROR(__xludf.DUMMYFUNCTION("""COMPUTED_VALUE"""),0.8442443383358601)</f>
        <v>0.8442443383</v>
      </c>
      <c r="AJ648" s="57">
        <f>IFERROR(__xludf.DUMMYFUNCTION("""COMPUTED_VALUE"""),0.6261276865854163)</f>
        <v>0.6261276866</v>
      </c>
      <c r="AK648" s="57">
        <f>IFERROR(__xludf.DUMMYFUNCTION("""COMPUTED_VALUE"""),1.2207971505793562)</f>
        <v>1.220797151</v>
      </c>
      <c r="AL648" s="57">
        <f>IFERROR(__xludf.DUMMYFUNCTION("""COMPUTED_VALUE"""),1.030164429026649)</f>
        <v>1.030164429</v>
      </c>
      <c r="AM648" s="57">
        <f>IFERROR(__xludf.DUMMYFUNCTION("""COMPUTED_VALUE"""),0.9421138513078181)</f>
        <v>0.9421138513</v>
      </c>
      <c r="AN648" s="57">
        <f>IFERROR(__xludf.DUMMYFUNCTION("""COMPUTED_VALUE"""),0.8816684441007173)</f>
        <v>0.8816684441</v>
      </c>
      <c r="AO648" s="57">
        <f>IFERROR(__xludf.DUMMYFUNCTION("""COMPUTED_VALUE"""),0.9118107475291768)</f>
        <v>0.9118107475</v>
      </c>
      <c r="AP648" s="35">
        <f>IFERROR(__xludf.DUMMYFUNCTION("""COMPUTED_VALUE"""),1.016320423845981)</f>
        <v>1.016320424</v>
      </c>
      <c r="AQ648" s="57">
        <f>IFERROR(__xludf.DUMMYFUNCTION("""COMPUTED_VALUE"""),0.9316467780598807)</f>
        <v>0.9316467781</v>
      </c>
      <c r="AR648" s="36" t="b">
        <f>IFERROR(__xludf.DUMMYFUNCTION("""COMPUTED_VALUE"""),TRUE)</f>
        <v>1</v>
      </c>
      <c r="AS648" s="57"/>
      <c r="AT648" s="37"/>
      <c r="AU648" s="30"/>
      <c r="AV648" s="30"/>
      <c r="AW648" s="30"/>
      <c r="AX648" s="30"/>
      <c r="AY648" s="30"/>
      <c r="AZ648" s="30"/>
    </row>
    <row r="649">
      <c r="A649" s="30" t="str">
        <f>IFERROR(__xludf.DUMMYFUNCTION("""COMPUTED_VALUE"""),"Rival")</f>
        <v>Rival</v>
      </c>
      <c r="B649" s="30" t="str">
        <f>IFERROR(__xludf.DUMMYFUNCTION("""COMPUTED_VALUE"""),"RSC002453")</f>
        <v>RSC002453</v>
      </c>
      <c r="C649" s="30" t="str">
        <f>IFERROR(__xludf.DUMMYFUNCTION("""COMPUTED_VALUE"""),"Ghostie")</f>
        <v>Ghostie</v>
      </c>
      <c r="D649" s="31" t="str">
        <f>IFERROR(__xludf.DUMMYFUNCTION("""COMPUTED_VALUE"""),"Necrotic Nerds")</f>
        <v>Necrotic Nerds</v>
      </c>
      <c r="E649" s="31">
        <f>IFERROR(__xludf.DUMMYFUNCTION("""COMPUTED_VALUE"""),41.59315950212647)</f>
        <v>41.5931595</v>
      </c>
      <c r="F649" s="31">
        <f>IFERROR(__xludf.DUMMYFUNCTION("""COMPUTED_VALUE"""),-2.714939960522915)</f>
        <v>-2.714939961</v>
      </c>
      <c r="G649" s="31">
        <f>IFERROR(__xludf.DUMMYFUNCTION("""COMPUTED_VALUE"""),40.325096472306356)</f>
        <v>40.32509647</v>
      </c>
      <c r="H649" s="31">
        <f>IFERROR(__xludf.DUMMYFUNCTION("""COMPUTED_VALUE"""),-2.8622168940074717)</f>
        <v>-2.862216894</v>
      </c>
      <c r="I649" s="54">
        <f>IFERROR(__xludf.DUMMYFUNCTION("""COMPUTED_VALUE"""),31.0)</f>
        <v>31</v>
      </c>
      <c r="J649" s="55">
        <f>IFERROR(__xludf.DUMMYFUNCTION("""COMPUTED_VALUE"""),12.0)</f>
        <v>12</v>
      </c>
      <c r="K649" s="54">
        <f>IFERROR(__xludf.DUMMYFUNCTION("""COMPUTED_VALUE"""),19.0)</f>
        <v>19</v>
      </c>
      <c r="L649" s="56">
        <f>IFERROR(__xludf.DUMMYFUNCTION("""COMPUTED_VALUE"""),0.3870967741935484)</f>
        <v>0.3870967742</v>
      </c>
      <c r="M649" s="56">
        <f>IFERROR(__xludf.DUMMYFUNCTION("""COMPUTED_VALUE"""),0.33333333333333337)</f>
        <v>0.3333333333</v>
      </c>
      <c r="N649" s="31">
        <f>IFERROR(__xludf.DUMMYFUNCTION("""COMPUTED_VALUE"""),325.2903225806452)</f>
        <v>325.2903226</v>
      </c>
      <c r="O649" s="57">
        <f>IFERROR(__xludf.DUMMYFUNCTION("""COMPUTED_VALUE"""),0.7419354838709677)</f>
        <v>0.7419354839</v>
      </c>
      <c r="P649" s="57">
        <f>IFERROR(__xludf.DUMMYFUNCTION("""COMPUTED_VALUE"""),0.3870967741935484)</f>
        <v>0.3870967742</v>
      </c>
      <c r="Q649" s="57">
        <f>IFERROR(__xludf.DUMMYFUNCTION("""COMPUTED_VALUE"""),1.1612903225806452)</f>
        <v>1.161290323</v>
      </c>
      <c r="R649" s="57">
        <f>IFERROR(__xludf.DUMMYFUNCTION("""COMPUTED_VALUE"""),2.225806451612903)</f>
        <v>2.225806452</v>
      </c>
      <c r="S649" s="31">
        <f>IFERROR(__xludf.DUMMYFUNCTION("""COMPUTED_VALUE"""),359.5053763440861)</f>
        <v>359.5053763</v>
      </c>
      <c r="T649" s="57">
        <f>IFERROR(__xludf.DUMMYFUNCTION("""COMPUTED_VALUE"""),0.9354838709677419)</f>
        <v>0.935483871</v>
      </c>
      <c r="U649" s="57">
        <f>IFERROR(__xludf.DUMMYFUNCTION("""COMPUTED_VALUE"""),0.6774193548387097)</f>
        <v>0.6774193548</v>
      </c>
      <c r="V649" s="57">
        <f>IFERROR(__xludf.DUMMYFUNCTION("""COMPUTED_VALUE"""),1.139784946236559)</f>
        <v>1.139784946</v>
      </c>
      <c r="W649" s="57">
        <f>IFERROR(__xludf.DUMMYFUNCTION("""COMPUTED_VALUE"""),2.817204301075269)</f>
        <v>2.817204301</v>
      </c>
      <c r="X649" s="31">
        <f>IFERROR(__xludf.DUMMYFUNCTION("""COMPUTED_VALUE"""),357.00061626694674)</f>
        <v>357.0006163</v>
      </c>
      <c r="Y649" s="57">
        <f>IFERROR(__xludf.DUMMYFUNCTION("""COMPUTED_VALUE"""),0.8565915974004212)</f>
        <v>0.8565915974</v>
      </c>
      <c r="Z649" s="57">
        <f>IFERROR(__xludf.DUMMYFUNCTION("""COMPUTED_VALUE"""),0.6545374195872299)</f>
        <v>0.6545374196</v>
      </c>
      <c r="AA649" s="57">
        <f>IFERROR(__xludf.DUMMYFUNCTION("""COMPUTED_VALUE"""),1.243623118658697)</f>
        <v>1.243623119</v>
      </c>
      <c r="AB649" s="57">
        <f>IFERROR(__xludf.DUMMYFUNCTION("""COMPUTED_VALUE"""),2.7313335230199556)</f>
        <v>2.731333523</v>
      </c>
      <c r="AC649" s="31">
        <f>IFERROR(__xludf.DUMMYFUNCTION("""COMPUTED_VALUE"""),333.6485602792094)</f>
        <v>333.6485603</v>
      </c>
      <c r="AD649" s="57">
        <f>IFERROR(__xludf.DUMMYFUNCTION("""COMPUTED_VALUE"""),0.7034975548732664)</f>
        <v>0.7034975549</v>
      </c>
      <c r="AE649" s="57">
        <f>IFERROR(__xludf.DUMMYFUNCTION("""COMPUTED_VALUE"""),0.51605438319148)</f>
        <v>0.5160543832</v>
      </c>
      <c r="AF649" s="57">
        <f>IFERROR(__xludf.DUMMYFUNCTION("""COMPUTED_VALUE"""),1.337063368700782)</f>
        <v>1.337063369</v>
      </c>
      <c r="AG649" s="57">
        <f>IFERROR(__xludf.DUMMYFUNCTION("""COMPUTED_VALUE"""),2.4482948441677093)</f>
        <v>2.448294844</v>
      </c>
      <c r="AH649" s="57">
        <f>IFERROR(__xludf.DUMMYFUNCTION("""COMPUTED_VALUE"""),0.9749489771765545)</f>
        <v>0.9749489772</v>
      </c>
      <c r="AI649" s="57">
        <f>IFERROR(__xludf.DUMMYFUNCTION("""COMPUTED_VALUE"""),1.0546383263615264)</f>
        <v>1.054638326</v>
      </c>
      <c r="AJ649" s="57">
        <f>IFERROR(__xludf.DUMMYFUNCTION("""COMPUTED_VALUE"""),0.7501084901160845)</f>
        <v>0.7501084901</v>
      </c>
      <c r="AK649" s="57">
        <f>IFERROR(__xludf.DUMMYFUNCTION("""COMPUTED_VALUE"""),0.8685379838870804)</f>
        <v>0.8685379839</v>
      </c>
      <c r="AL649" s="57">
        <f>IFERROR(__xludf.DUMMYFUNCTION("""COMPUTED_VALUE"""),0.9091251639544907)</f>
        <v>0.909125164</v>
      </c>
      <c r="AM649" s="57">
        <f>IFERROR(__xludf.DUMMYFUNCTION("""COMPUTED_VALUE"""),1.0070161225583611)</f>
        <v>1.007016123</v>
      </c>
      <c r="AN649" s="57">
        <f>IFERROR(__xludf.DUMMYFUNCTION("""COMPUTED_VALUE"""),1.0921002188286022)</f>
        <v>1.092100219</v>
      </c>
      <c r="AO649" s="57">
        <f>IFERROR(__xludf.DUMMYFUNCTION("""COMPUTED_VALUE"""),1.0349589413328115)</f>
        <v>1.034958941</v>
      </c>
      <c r="AP649" s="35">
        <f>IFERROR(__xludf.DUMMYFUNCTION("""COMPUTED_VALUE"""),0.9165035042657199)</f>
        <v>0.9165035043</v>
      </c>
      <c r="AQ649" s="57">
        <f>IFERROR(__xludf.DUMMYFUNCTION("""COMPUTED_VALUE"""),1.031439140380179)</f>
        <v>1.03143914</v>
      </c>
      <c r="AR649" s="36" t="b">
        <f>IFERROR(__xludf.DUMMYFUNCTION("""COMPUTED_VALUE"""),TRUE)</f>
        <v>1</v>
      </c>
      <c r="AS649" s="57"/>
      <c r="AT649" s="37"/>
      <c r="AU649" s="30"/>
      <c r="AV649" s="30"/>
      <c r="AW649" s="30"/>
      <c r="AX649" s="30"/>
      <c r="AY649" s="30"/>
      <c r="AZ649" s="30"/>
    </row>
    <row r="650">
      <c r="A650" s="30" t="str">
        <f>IFERROR(__xludf.DUMMYFUNCTION("""COMPUTED_VALUE"""),"Rival")</f>
        <v>Rival</v>
      </c>
      <c r="B650" s="30" t="str">
        <f>IFERROR(__xludf.DUMMYFUNCTION("""COMPUTED_VALUE"""),"RSC007601")</f>
        <v>RSC007601</v>
      </c>
      <c r="C650" s="30" t="str">
        <f>IFERROR(__xludf.DUMMYFUNCTION("""COMPUTED_VALUE"""),"Bricked Up Barry")</f>
        <v>Bricked Up Barry</v>
      </c>
      <c r="D650" s="31" t="str">
        <f>IFERROR(__xludf.DUMMYFUNCTION("""COMPUTED_VALUE"""),"Kitsune")</f>
        <v>Kitsune</v>
      </c>
      <c r="E650" s="31">
        <f>IFERROR(__xludf.DUMMYFUNCTION("""COMPUTED_VALUE"""),40.54863755453448)</f>
        <v>40.54863755</v>
      </c>
      <c r="F650" s="31">
        <f>IFERROR(__xludf.DUMMYFUNCTION("""COMPUTED_VALUE"""),-2.835310522341293)</f>
        <v>-2.835310522</v>
      </c>
      <c r="G650" s="31">
        <f>IFERROR(__xludf.DUMMYFUNCTION("""COMPUTED_VALUE"""),43.170830222293475)</f>
        <v>43.17083022</v>
      </c>
      <c r="H650" s="31">
        <f>IFERROR(__xludf.DUMMYFUNCTION("""COMPUTED_VALUE"""),-2.5486635239571442)</f>
        <v>-2.548663524</v>
      </c>
      <c r="I650" s="54">
        <f>IFERROR(__xludf.DUMMYFUNCTION("""COMPUTED_VALUE"""),33.0)</f>
        <v>33</v>
      </c>
      <c r="J650" s="55">
        <f>IFERROR(__xludf.DUMMYFUNCTION("""COMPUTED_VALUE"""),18.0)</f>
        <v>18</v>
      </c>
      <c r="K650" s="54">
        <f>IFERROR(__xludf.DUMMYFUNCTION("""COMPUTED_VALUE"""),15.0)</f>
        <v>15</v>
      </c>
      <c r="L650" s="56">
        <f>IFERROR(__xludf.DUMMYFUNCTION("""COMPUTED_VALUE"""),0.5454545454545454)</f>
        <v>0.5454545455</v>
      </c>
      <c r="M650" s="56">
        <f>IFERROR(__xludf.DUMMYFUNCTION("""COMPUTED_VALUE"""),0.3055555555555556)</f>
        <v>0.3055555556</v>
      </c>
      <c r="N650" s="31">
        <f>IFERROR(__xludf.DUMMYFUNCTION("""COMPUTED_VALUE"""),317.5151515151515)</f>
        <v>317.5151515</v>
      </c>
      <c r="O650" s="57">
        <f>IFERROR(__xludf.DUMMYFUNCTION("""COMPUTED_VALUE"""),0.6666666666666666)</f>
        <v>0.6666666667</v>
      </c>
      <c r="P650" s="57">
        <f>IFERROR(__xludf.DUMMYFUNCTION("""COMPUTED_VALUE"""),0.48484848484848486)</f>
        <v>0.4848484848</v>
      </c>
      <c r="Q650" s="57">
        <f>IFERROR(__xludf.DUMMYFUNCTION("""COMPUTED_VALUE"""),1.121212121212121)</f>
        <v>1.121212121</v>
      </c>
      <c r="R650" s="57">
        <f>IFERROR(__xludf.DUMMYFUNCTION("""COMPUTED_VALUE"""),2.1818181818181817)</f>
        <v>2.181818182</v>
      </c>
      <c r="S650" s="31">
        <f>IFERROR(__xludf.DUMMYFUNCTION("""COMPUTED_VALUE"""),331.1818181818182)</f>
        <v>331.1818182</v>
      </c>
      <c r="T650" s="57">
        <f>IFERROR(__xludf.DUMMYFUNCTION("""COMPUTED_VALUE"""),0.7373737373737375)</f>
        <v>0.7373737374</v>
      </c>
      <c r="U650" s="57">
        <f>IFERROR(__xludf.DUMMYFUNCTION("""COMPUTED_VALUE"""),0.5252525252525253)</f>
        <v>0.5252525253</v>
      </c>
      <c r="V650" s="57">
        <f>IFERROR(__xludf.DUMMYFUNCTION("""COMPUTED_VALUE"""),1.212121212121212)</f>
        <v>1.212121212</v>
      </c>
      <c r="W650" s="57">
        <f>IFERROR(__xludf.DUMMYFUNCTION("""COMPUTED_VALUE"""),2.484848484848485)</f>
        <v>2.484848485</v>
      </c>
      <c r="X650" s="31">
        <f>IFERROR(__xludf.DUMMYFUNCTION("""COMPUTED_VALUE"""),346.6318169773215)</f>
        <v>346.631817</v>
      </c>
      <c r="Y650" s="57">
        <f>IFERROR(__xludf.DUMMYFUNCTION("""COMPUTED_VALUE"""),0.8073091112921709)</f>
        <v>0.8073091113</v>
      </c>
      <c r="Z650" s="57">
        <f>IFERROR(__xludf.DUMMYFUNCTION("""COMPUTED_VALUE"""),0.550869163120802)</f>
        <v>0.5508691631</v>
      </c>
      <c r="AA650" s="57">
        <f>IFERROR(__xludf.DUMMYFUNCTION("""COMPUTED_VALUE"""),1.3253566842497606)</f>
        <v>1.325356684</v>
      </c>
      <c r="AB650" s="57">
        <f>IFERROR(__xludf.DUMMYFUNCTION("""COMPUTED_VALUE"""),2.5324306310630385)</f>
        <v>2.532430631</v>
      </c>
      <c r="AC650" s="31">
        <f>IFERROR(__xludf.DUMMYFUNCTION("""COMPUTED_VALUE"""),350.3653007726083)</f>
        <v>350.3653008</v>
      </c>
      <c r="AD650" s="57">
        <f>IFERROR(__xludf.DUMMYFUNCTION("""COMPUTED_VALUE"""),0.8140004576105049)</f>
        <v>0.8140004576</v>
      </c>
      <c r="AE650" s="57">
        <f>IFERROR(__xludf.DUMMYFUNCTION("""COMPUTED_VALUE"""),0.5792540351641934)</f>
        <v>0.5792540352</v>
      </c>
      <c r="AF650" s="57">
        <f>IFERROR(__xludf.DUMMYFUNCTION("""COMPUTED_VALUE"""),1.3387759557855319)</f>
        <v>1.338775956</v>
      </c>
      <c r="AG650" s="57">
        <f>IFERROR(__xludf.DUMMYFUNCTION("""COMPUTED_VALUE"""),2.5845285306367387)</f>
        <v>2.584528531</v>
      </c>
      <c r="AH650" s="57">
        <f>IFERROR(__xludf.DUMMYFUNCTION("""COMPUTED_VALUE"""),0.9062402892494854)</f>
        <v>0.9062402892</v>
      </c>
      <c r="AI650" s="57">
        <f>IFERROR(__xludf.DUMMYFUNCTION("""COMPUTED_VALUE"""),0.8190003585792371)</f>
        <v>0.8190003586</v>
      </c>
      <c r="AJ650" s="57">
        <f>IFERROR(__xludf.DUMMYFUNCTION("""COMPUTED_VALUE"""),0.8370221965066698)</f>
        <v>0.8370221965</v>
      </c>
      <c r="AK650" s="57">
        <f>IFERROR(__xludf.DUMMYFUNCTION("""COMPUTED_VALUE"""),0.8374904825312952)</f>
        <v>0.8374904825</v>
      </c>
      <c r="AL650" s="57">
        <f>IFERROR(__xludf.DUMMYFUNCTION("""COMPUTED_VALUE"""),0.8441842123060862)</f>
        <v>0.8441842123</v>
      </c>
      <c r="AM650" s="57">
        <f>IFERROR(__xludf.DUMMYFUNCTION("""COMPUTED_VALUE"""),0.9554282150720339)</f>
        <v>0.9554282151</v>
      </c>
      <c r="AN650" s="57">
        <f>IFERROR(__xludf.DUMMYFUNCTION("""COMPUTED_VALUE"""),0.9133722474573642)</f>
        <v>0.9133722475</v>
      </c>
      <c r="AO650" s="57">
        <f>IFERROR(__xludf.DUMMYFUNCTION("""COMPUTED_VALUE"""),0.9534977820810435)</f>
        <v>0.9534977821</v>
      </c>
      <c r="AP650" s="35">
        <f>IFERROR(__xludf.DUMMYFUNCTION("""COMPUTED_VALUE"""),0.914562265785344)</f>
        <v>0.9145622658</v>
      </c>
      <c r="AQ650" s="57">
        <f>IFERROR(__xludf.DUMMYFUNCTION("""COMPUTED_VALUE"""),0.9812108787380367)</f>
        <v>0.9812108787</v>
      </c>
      <c r="AR650" s="36" t="b">
        <f>IFERROR(__xludf.DUMMYFUNCTION("""COMPUTED_VALUE"""),TRUE)</f>
        <v>1</v>
      </c>
      <c r="AS650" s="57"/>
      <c r="AT650" s="37"/>
      <c r="AU650" s="30"/>
      <c r="AV650" s="30"/>
      <c r="AW650" s="30"/>
      <c r="AX650" s="30"/>
      <c r="AY650" s="30"/>
      <c r="AZ650" s="30"/>
    </row>
    <row r="651">
      <c r="A651" s="30" t="str">
        <f>IFERROR(__xludf.DUMMYFUNCTION("""COMPUTED_VALUE"""),"Rival")</f>
        <v>Rival</v>
      </c>
      <c r="B651" s="30" t="str">
        <f>IFERROR(__xludf.DUMMYFUNCTION("""COMPUTED_VALUE"""),"RSC007582")</f>
        <v>RSC007582</v>
      </c>
      <c r="C651" s="30" t="str">
        <f>IFERROR(__xludf.DUMMYFUNCTION("""COMPUTED_VALUE"""),"Wavy")</f>
        <v>Wavy</v>
      </c>
      <c r="D651" s="31" t="str">
        <f>IFERROR(__xludf.DUMMYFUNCTION("""COMPUTED_VALUE"""),"Ocelots")</f>
        <v>Ocelots</v>
      </c>
      <c r="E651" s="31">
        <f>IFERROR(__xludf.DUMMYFUNCTION("""COMPUTED_VALUE"""),40.12560497310372)</f>
        <v>40.12560497</v>
      </c>
      <c r="F651" s="31">
        <f>IFERROR(__xludf.DUMMYFUNCTION("""COMPUTED_VALUE"""),-2.8865829225577735)</f>
        <v>-2.886582923</v>
      </c>
      <c r="G651" s="31">
        <f>IFERROR(__xludf.DUMMYFUNCTION("""COMPUTED_VALUE"""),37.86068289568419)</f>
        <v>37.8606829</v>
      </c>
      <c r="H651" s="31">
        <f>IFERROR(__xludf.DUMMYFUNCTION("""COMPUTED_VALUE"""),-3.188418808559777)</f>
        <v>-3.188418809</v>
      </c>
      <c r="I651" s="54">
        <f>IFERROR(__xludf.DUMMYFUNCTION("""COMPUTED_VALUE"""),28.0)</f>
        <v>28</v>
      </c>
      <c r="J651" s="55">
        <f>IFERROR(__xludf.DUMMYFUNCTION("""COMPUTED_VALUE"""),17.0)</f>
        <v>17</v>
      </c>
      <c r="K651" s="54">
        <f>IFERROR(__xludf.DUMMYFUNCTION("""COMPUTED_VALUE"""),11.0)</f>
        <v>11</v>
      </c>
      <c r="L651" s="56">
        <f>IFERROR(__xludf.DUMMYFUNCTION("""COMPUTED_VALUE"""),0.6071428571428571)</f>
        <v>0.6071428571</v>
      </c>
      <c r="M651" s="56">
        <f>IFERROR(__xludf.DUMMYFUNCTION("""COMPUTED_VALUE"""),0.171875)</f>
        <v>0.171875</v>
      </c>
      <c r="N651" s="31">
        <f>IFERROR(__xludf.DUMMYFUNCTION("""COMPUTED_VALUE"""),296.0)</f>
        <v>296</v>
      </c>
      <c r="O651" s="57">
        <f>IFERROR(__xludf.DUMMYFUNCTION("""COMPUTED_VALUE"""),0.39285714285714285)</f>
        <v>0.3928571429</v>
      </c>
      <c r="P651" s="57">
        <f>IFERROR(__xludf.DUMMYFUNCTION("""COMPUTED_VALUE"""),0.6428571428571429)</f>
        <v>0.6428571429</v>
      </c>
      <c r="Q651" s="57">
        <f>IFERROR(__xludf.DUMMYFUNCTION("""COMPUTED_VALUE"""),1.2142857142857142)</f>
        <v>1.214285714</v>
      </c>
      <c r="R651" s="57">
        <f>IFERROR(__xludf.DUMMYFUNCTION("""COMPUTED_VALUE"""),2.2857142857142856)</f>
        <v>2.285714286</v>
      </c>
      <c r="S651" s="31">
        <f>IFERROR(__xludf.DUMMYFUNCTION("""COMPUTED_VALUE"""),329.345238095238)</f>
        <v>329.3452381</v>
      </c>
      <c r="T651" s="57">
        <f>IFERROR(__xludf.DUMMYFUNCTION("""COMPUTED_VALUE"""),0.6547619047619048)</f>
        <v>0.6547619048</v>
      </c>
      <c r="U651" s="57">
        <f>IFERROR(__xludf.DUMMYFUNCTION("""COMPUTED_VALUE"""),0.47619047619047616)</f>
        <v>0.4761904762</v>
      </c>
      <c r="V651" s="57">
        <f>IFERROR(__xludf.DUMMYFUNCTION("""COMPUTED_VALUE"""),1.3452380952380951)</f>
        <v>1.345238095</v>
      </c>
      <c r="W651" s="57">
        <f>IFERROR(__xludf.DUMMYFUNCTION("""COMPUTED_VALUE"""),2.2738095238095233)</f>
        <v>2.273809524</v>
      </c>
      <c r="X651" s="31">
        <f>IFERROR(__xludf.DUMMYFUNCTION("""COMPUTED_VALUE"""),355.5732600383816)</f>
        <v>355.57326</v>
      </c>
      <c r="Y651" s="57">
        <f>IFERROR(__xludf.DUMMYFUNCTION("""COMPUTED_VALUE"""),0.815741265158101)</f>
        <v>0.8157412652</v>
      </c>
      <c r="Z651" s="57">
        <f>IFERROR(__xludf.DUMMYFUNCTION("""COMPUTED_VALUE"""),0.5849091059138871)</f>
        <v>0.5849091059</v>
      </c>
      <c r="AA651" s="57">
        <f>IFERROR(__xludf.DUMMYFUNCTION("""COMPUTED_VALUE"""),1.3283158351154947)</f>
        <v>1.328315835</v>
      </c>
      <c r="AB651" s="57">
        <f>IFERROR(__xludf.DUMMYFUNCTION("""COMPUTED_VALUE"""),2.614179906248329)</f>
        <v>2.614179906</v>
      </c>
      <c r="AC651" s="31">
        <f>IFERROR(__xludf.DUMMYFUNCTION("""COMPUTED_VALUE"""),343.8098214269855)</f>
        <v>343.8098214</v>
      </c>
      <c r="AD651" s="57">
        <f>IFERROR(__xludf.DUMMYFUNCTION("""COMPUTED_VALUE"""),0.7419603752110027)</f>
        <v>0.7419603752</v>
      </c>
      <c r="AE651" s="57">
        <f>IFERROR(__xludf.DUMMYFUNCTION("""COMPUTED_VALUE"""),0.5337022888668547)</f>
        <v>0.5337022889</v>
      </c>
      <c r="AF651" s="57">
        <f>IFERROR(__xludf.DUMMYFUNCTION("""COMPUTED_VALUE"""),1.337692649702755)</f>
        <v>1.33769265</v>
      </c>
      <c r="AG651" s="57">
        <f>IFERROR(__xludf.DUMMYFUNCTION("""COMPUTED_VALUE"""),2.4821757244726435)</f>
        <v>2.482175724</v>
      </c>
      <c r="AH651" s="57">
        <f>IFERROR(__xludf.DUMMYFUNCTION("""COMPUTED_VALUE"""),0.8609410829843359)</f>
        <v>0.860941083</v>
      </c>
      <c r="AI651" s="57">
        <f>IFERROR(__xludf.DUMMYFUNCTION("""COMPUTED_VALUE"""),0.52948534178179)</f>
        <v>0.5294853418</v>
      </c>
      <c r="AJ651" s="57">
        <f>IFERROR(__xludf.DUMMYFUNCTION("""COMPUTED_VALUE"""),1.2045238633359499)</f>
        <v>1.204523863</v>
      </c>
      <c r="AK651" s="57">
        <f>IFERROR(__xludf.DUMMYFUNCTION("""COMPUTED_VALUE"""),0.9077464203421745)</f>
        <v>0.9077464203</v>
      </c>
      <c r="AL651" s="57">
        <f>IFERROR(__xludf.DUMMYFUNCTION("""COMPUTED_VALUE"""),0.920851115889429)</f>
        <v>0.9208511159</v>
      </c>
      <c r="AM651" s="57">
        <f>IFERROR(__xludf.DUMMYFUNCTION("""COMPUTED_VALUE"""),0.9262373612112664)</f>
        <v>0.9262373612</v>
      </c>
      <c r="AN651" s="57">
        <f>IFERROR(__xludf.DUMMYFUNCTION("""COMPUTED_VALUE"""),0.8026587997053253)</f>
        <v>0.8026587997</v>
      </c>
      <c r="AO651" s="57">
        <f>IFERROR(__xludf.DUMMYFUNCTION("""COMPUTED_VALUE"""),0.8141273086293566)</f>
        <v>0.8141273086</v>
      </c>
      <c r="AP651" s="35">
        <f>IFERROR(__xludf.DUMMYFUNCTION("""COMPUTED_VALUE"""),1.0127396359173337)</f>
        <v>1.012739636</v>
      </c>
      <c r="AQ651" s="57">
        <f>IFERROR(__xludf.DUMMYFUNCTION("""COMPUTED_VALUE"""),0.8697984091969864)</f>
        <v>0.8697984092</v>
      </c>
      <c r="AR651" s="36" t="b">
        <f>IFERROR(__xludf.DUMMYFUNCTION("""COMPUTED_VALUE"""),TRUE)</f>
        <v>1</v>
      </c>
      <c r="AS651" s="57"/>
      <c r="AT651" s="37"/>
      <c r="AU651" s="30"/>
      <c r="AV651" s="30"/>
      <c r="AW651" s="30"/>
      <c r="AX651" s="30"/>
      <c r="AY651" s="30"/>
      <c r="AZ651" s="30"/>
    </row>
    <row r="652">
      <c r="A652" s="30" t="str">
        <f>IFERROR(__xludf.DUMMYFUNCTION("""COMPUTED_VALUE"""),"Rival")</f>
        <v>Rival</v>
      </c>
      <c r="B652" s="30" t="str">
        <f>IFERROR(__xludf.DUMMYFUNCTION("""COMPUTED_VALUE"""),"RSC005507")</f>
        <v>RSC005507</v>
      </c>
      <c r="C652" s="30" t="str">
        <f>IFERROR(__xludf.DUMMYFUNCTION("""COMPUTED_VALUE"""),"T Sant")</f>
        <v>T Sant</v>
      </c>
      <c r="D652" s="31" t="str">
        <f>IFERROR(__xludf.DUMMYFUNCTION("""COMPUTED_VALUE"""),"Quasars")</f>
        <v>Quasars</v>
      </c>
      <c r="E652" s="31">
        <f>IFERROR(__xludf.DUMMYFUNCTION("""COMPUTED_VALUE"""),39.44545511613232)</f>
        <v>39.44545512</v>
      </c>
      <c r="F652" s="31">
        <f>IFERROR(__xludf.DUMMYFUNCTION("""COMPUTED_VALUE"""),-2.9722437248574223)</f>
        <v>-2.972243725</v>
      </c>
      <c r="G652" s="31">
        <f>IFERROR(__xludf.DUMMYFUNCTION("""COMPUTED_VALUE"""),31.577282777856713)</f>
        <v>31.57728278</v>
      </c>
      <c r="H652" s="31">
        <f>IFERROR(__xludf.DUMMYFUNCTION("""COMPUTED_VALUE"""),-4.336721442690728)</f>
        <v>-4.336721443</v>
      </c>
      <c r="I652" s="54">
        <f>IFERROR(__xludf.DUMMYFUNCTION("""COMPUTED_VALUE"""),36.0)</f>
        <v>36</v>
      </c>
      <c r="J652" s="55">
        <f>IFERROR(__xludf.DUMMYFUNCTION("""COMPUTED_VALUE"""),20.0)</f>
        <v>20</v>
      </c>
      <c r="K652" s="54">
        <f>IFERROR(__xludf.DUMMYFUNCTION("""COMPUTED_VALUE"""),16.0)</f>
        <v>16</v>
      </c>
      <c r="L652" s="56">
        <f>IFERROR(__xludf.DUMMYFUNCTION("""COMPUTED_VALUE"""),0.5555555555555556)</f>
        <v>0.5555555556</v>
      </c>
      <c r="M652" s="56">
        <f>IFERROR(__xludf.DUMMYFUNCTION("""COMPUTED_VALUE"""),0.2962962962962963)</f>
        <v>0.2962962963</v>
      </c>
      <c r="N652" s="31">
        <f>IFERROR(__xludf.DUMMYFUNCTION("""COMPUTED_VALUE"""),327.0833333333333)</f>
        <v>327.0833333</v>
      </c>
      <c r="O652" s="57">
        <f>IFERROR(__xludf.DUMMYFUNCTION("""COMPUTED_VALUE"""),0.6666666666666666)</f>
        <v>0.6666666667</v>
      </c>
      <c r="P652" s="57">
        <f>IFERROR(__xludf.DUMMYFUNCTION("""COMPUTED_VALUE"""),0.4166666666666667)</f>
        <v>0.4166666667</v>
      </c>
      <c r="Q652" s="57">
        <f>IFERROR(__xludf.DUMMYFUNCTION("""COMPUTED_VALUE"""),1.3611111111111112)</f>
        <v>1.361111111</v>
      </c>
      <c r="R652" s="57">
        <f>IFERROR(__xludf.DUMMYFUNCTION("""COMPUTED_VALUE"""),2.25)</f>
        <v>2.25</v>
      </c>
      <c r="S652" s="31">
        <f>IFERROR(__xludf.DUMMYFUNCTION("""COMPUTED_VALUE"""),348.8333333333334)</f>
        <v>348.8333333</v>
      </c>
      <c r="T652" s="57">
        <f>IFERROR(__xludf.DUMMYFUNCTION("""COMPUTED_VALUE"""),0.7685185185185183)</f>
        <v>0.7685185185</v>
      </c>
      <c r="U652" s="57">
        <f>IFERROR(__xludf.DUMMYFUNCTION("""COMPUTED_VALUE"""),0.5925925925925926)</f>
        <v>0.5925925926</v>
      </c>
      <c r="V652" s="57">
        <f>IFERROR(__xludf.DUMMYFUNCTION("""COMPUTED_VALUE"""),1.361111111111111)</f>
        <v>1.361111111</v>
      </c>
      <c r="W652" s="57">
        <f>IFERROR(__xludf.DUMMYFUNCTION("""COMPUTED_VALUE"""),2.768518518518519)</f>
        <v>2.768518519</v>
      </c>
      <c r="X652" s="31">
        <f>IFERROR(__xludf.DUMMYFUNCTION("""COMPUTED_VALUE"""),352.15716016023555)</f>
        <v>352.1571602</v>
      </c>
      <c r="Y652" s="57">
        <f>IFERROR(__xludf.DUMMYFUNCTION("""COMPUTED_VALUE"""),0.8290671114004095)</f>
        <v>0.8290671114</v>
      </c>
      <c r="Z652" s="57">
        <f>IFERROR(__xludf.DUMMYFUNCTION("""COMPUTED_VALUE"""),0.6153465306598375)</f>
        <v>0.6153465307</v>
      </c>
      <c r="AA652" s="57">
        <f>IFERROR(__xludf.DUMMYFUNCTION("""COMPUTED_VALUE"""),1.2678954625119778)</f>
        <v>1.267895463</v>
      </c>
      <c r="AB652" s="57">
        <f>IFERROR(__xludf.DUMMYFUNCTION("""COMPUTED_VALUE"""),2.547577625898723)</f>
        <v>2.547577626</v>
      </c>
      <c r="AC652" s="31">
        <f>IFERROR(__xludf.DUMMYFUNCTION("""COMPUTED_VALUE"""),345.5883034380237)</f>
        <v>345.5883034</v>
      </c>
      <c r="AD652" s="57">
        <f>IFERROR(__xludf.DUMMYFUNCTION("""COMPUTED_VALUE"""),0.7747925709896207)</f>
        <v>0.774792571</v>
      </c>
      <c r="AE652" s="57">
        <f>IFERROR(__xludf.DUMMYFUNCTION("""COMPUTED_VALUE"""),0.5412256763680356)</f>
        <v>0.5412256764</v>
      </c>
      <c r="AF652" s="57">
        <f>IFERROR(__xludf.DUMMYFUNCTION("""COMPUTED_VALUE"""),1.3015138590171453)</f>
        <v>1.301513859</v>
      </c>
      <c r="AG652" s="57">
        <f>IFERROR(__xludf.DUMMYFUNCTION("""COMPUTED_VALUE"""),2.5191854749505507)</f>
        <v>2.519185475</v>
      </c>
      <c r="AH652" s="57">
        <f>IFERROR(__xludf.DUMMYFUNCTION("""COMPUTED_VALUE"""),0.9464537140852368)</f>
        <v>0.9464537141</v>
      </c>
      <c r="AI652" s="57">
        <f>IFERROR(__xludf.DUMMYFUNCTION("""COMPUTED_VALUE"""),0.8604453522510574)</f>
        <v>0.8604453523</v>
      </c>
      <c r="AJ652" s="57">
        <f>IFERROR(__xludf.DUMMYFUNCTION("""COMPUTED_VALUE"""),0.7698575379179381)</f>
        <v>0.7698575379</v>
      </c>
      <c r="AK652" s="57">
        <f>IFERROR(__xludf.DUMMYFUNCTION("""COMPUTED_VALUE"""),1.0457907164653408)</f>
        <v>1.045790716</v>
      </c>
      <c r="AL652" s="57">
        <f>IFERROR(__xludf.DUMMYFUNCTION("""COMPUTED_VALUE"""),0.8931458292264747)</f>
        <v>0.8931458292</v>
      </c>
      <c r="AM652" s="57">
        <f>IFERROR(__xludf.DUMMYFUNCTION("""COMPUTED_VALUE"""),0.9905615242200677)</f>
        <v>0.9905615242</v>
      </c>
      <c r="AN652" s="57">
        <f>IFERROR(__xludf.DUMMYFUNCTION("""COMPUTED_VALUE"""),0.9269678026672459)</f>
        <v>0.9269678027</v>
      </c>
      <c r="AO652" s="57">
        <f>IFERROR(__xludf.DUMMYFUNCTION("""COMPUTED_VALUE"""),0.9630225621929714)</f>
        <v>0.9630225622</v>
      </c>
      <c r="AP652" s="35">
        <f>IFERROR(__xludf.DUMMYFUNCTION("""COMPUTED_VALUE"""),1.073519979647575)</f>
        <v>1.07351998</v>
      </c>
      <c r="AQ652" s="57">
        <f>IFERROR(__xludf.DUMMYFUNCTION("""COMPUTED_VALUE"""),1.0867258725990159)</f>
        <v>1.086725873</v>
      </c>
      <c r="AR652" s="36" t="b">
        <f>IFERROR(__xludf.DUMMYFUNCTION("""COMPUTED_VALUE"""),TRUE)</f>
        <v>1</v>
      </c>
      <c r="AS652" s="57"/>
      <c r="AT652" s="37"/>
      <c r="AU652" s="30"/>
      <c r="AV652" s="30"/>
      <c r="AW652" s="30"/>
      <c r="AX652" s="30"/>
      <c r="AY652" s="30"/>
      <c r="AZ652" s="30"/>
    </row>
    <row r="653">
      <c r="A653" s="30" t="str">
        <f>IFERROR(__xludf.DUMMYFUNCTION("""COMPUTED_VALUE"""),"Rival")</f>
        <v>Rival</v>
      </c>
      <c r="B653" s="30" t="str">
        <f>IFERROR(__xludf.DUMMYFUNCTION("""COMPUTED_VALUE"""),"RSC005703")</f>
        <v>RSC005703</v>
      </c>
      <c r="C653" s="30" t="str">
        <f>IFERROR(__xludf.DUMMYFUNCTION("""COMPUTED_VALUE"""),"Shoddy-")</f>
        <v>Shoddy-</v>
      </c>
      <c r="D653" s="31" t="str">
        <f>IFERROR(__xludf.DUMMYFUNCTION("""COMPUTED_VALUE"""),"Jetstream")</f>
        <v>Jetstream</v>
      </c>
      <c r="E653" s="31">
        <f>IFERROR(__xludf.DUMMYFUNCTION("""COMPUTED_VALUE"""),39.24682129373015)</f>
        <v>39.24682129</v>
      </c>
      <c r="F653" s="31">
        <f>IFERROR(__xludf.DUMMYFUNCTION("""COMPUTED_VALUE"""),-2.9980370983632847)</f>
        <v>-2.998037098</v>
      </c>
      <c r="G653" s="31">
        <f>IFERROR(__xludf.DUMMYFUNCTION("""COMPUTED_VALUE"""),45.13711020548098)</f>
        <v>45.13711021</v>
      </c>
      <c r="H653" s="31">
        <f>IFERROR(__xludf.DUMMYFUNCTION("""COMPUTED_VALUE"""),-2.364702963064474)</f>
        <v>-2.364702963</v>
      </c>
      <c r="I653" s="54">
        <f>IFERROR(__xludf.DUMMYFUNCTION("""COMPUTED_VALUE"""),24.0)</f>
        <v>24</v>
      </c>
      <c r="J653" s="55">
        <f>IFERROR(__xludf.DUMMYFUNCTION("""COMPUTED_VALUE"""),8.0)</f>
        <v>8</v>
      </c>
      <c r="K653" s="54">
        <f>IFERROR(__xludf.DUMMYFUNCTION("""COMPUTED_VALUE"""),16.0)</f>
        <v>16</v>
      </c>
      <c r="L653" s="56">
        <f>IFERROR(__xludf.DUMMYFUNCTION("""COMPUTED_VALUE"""),0.3333333333333333)</f>
        <v>0.3333333333</v>
      </c>
      <c r="M653" s="56">
        <f>IFERROR(__xludf.DUMMYFUNCTION("""COMPUTED_VALUE"""),0.2545454545454546)</f>
        <v>0.2545454545</v>
      </c>
      <c r="N653" s="31">
        <f>IFERROR(__xludf.DUMMYFUNCTION("""COMPUTED_VALUE"""),319.25)</f>
        <v>319.25</v>
      </c>
      <c r="O653" s="57">
        <f>IFERROR(__xludf.DUMMYFUNCTION("""COMPUTED_VALUE"""),0.5833333333333334)</f>
        <v>0.5833333333</v>
      </c>
      <c r="P653" s="57">
        <f>IFERROR(__xludf.DUMMYFUNCTION("""COMPUTED_VALUE"""),0.5)</f>
        <v>0.5</v>
      </c>
      <c r="Q653" s="57">
        <f>IFERROR(__xludf.DUMMYFUNCTION("""COMPUTED_VALUE"""),1.25)</f>
        <v>1.25</v>
      </c>
      <c r="R653" s="57">
        <f>IFERROR(__xludf.DUMMYFUNCTION("""COMPUTED_VALUE"""),2.2916666666666665)</f>
        <v>2.291666667</v>
      </c>
      <c r="S653" s="31">
        <f>IFERROR(__xludf.DUMMYFUNCTION("""COMPUTED_VALUE"""),335.47222222222223)</f>
        <v>335.4722222</v>
      </c>
      <c r="T653" s="57">
        <f>IFERROR(__xludf.DUMMYFUNCTION("""COMPUTED_VALUE"""),0.7222222222222222)</f>
        <v>0.7222222222</v>
      </c>
      <c r="U653" s="57">
        <f>IFERROR(__xludf.DUMMYFUNCTION("""COMPUTED_VALUE"""),0.5694444444444445)</f>
        <v>0.5694444444</v>
      </c>
      <c r="V653" s="57">
        <f>IFERROR(__xludf.DUMMYFUNCTION("""COMPUTED_VALUE"""),1.1944444444444444)</f>
        <v>1.194444444</v>
      </c>
      <c r="W653" s="57">
        <f>IFERROR(__xludf.DUMMYFUNCTION("""COMPUTED_VALUE"""),2.416666666666666)</f>
        <v>2.416666667</v>
      </c>
      <c r="X653" s="31">
        <f>IFERROR(__xludf.DUMMYFUNCTION("""COMPUTED_VALUE"""),346.93252113325906)</f>
        <v>346.9325211</v>
      </c>
      <c r="Y653" s="57">
        <f>IFERROR(__xludf.DUMMYFUNCTION("""COMPUTED_VALUE"""),0.777397660398039)</f>
        <v>0.7773976604</v>
      </c>
      <c r="Z653" s="57">
        <f>IFERROR(__xludf.DUMMYFUNCTION("""COMPUTED_VALUE"""),0.541272483682896)</f>
        <v>0.5412724837</v>
      </c>
      <c r="AA653" s="57">
        <f>IFERROR(__xludf.DUMMYFUNCTION("""COMPUTED_VALUE"""),1.3308483302338816)</f>
        <v>1.33084833</v>
      </c>
      <c r="AB653" s="57">
        <f>IFERROR(__xludf.DUMMYFUNCTION("""COMPUTED_VALUE"""),2.511023683531194)</f>
        <v>2.511023684</v>
      </c>
      <c r="AC653" s="31">
        <f>IFERROR(__xludf.DUMMYFUNCTION("""COMPUTED_VALUE"""),337.2791935843317)</f>
        <v>337.2791936</v>
      </c>
      <c r="AD653" s="57">
        <f>IFERROR(__xludf.DUMMYFUNCTION("""COMPUTED_VALUE"""),0.7538126430939883)</f>
        <v>0.7538126431</v>
      </c>
      <c r="AE653" s="57">
        <f>IFERROR(__xludf.DUMMYFUNCTION("""COMPUTED_VALUE"""),0.5514985991578313)</f>
        <v>0.5514985992</v>
      </c>
      <c r="AF653" s="57">
        <f>IFERROR(__xludf.DUMMYFUNCTION("""COMPUTED_VALUE"""),1.2372692675737722)</f>
        <v>1.237269268</v>
      </c>
      <c r="AG653" s="57">
        <f>IFERROR(__xludf.DUMMYFUNCTION("""COMPUTED_VALUE"""),2.6217583770342547)</f>
        <v>2.621758377</v>
      </c>
      <c r="AH653" s="57">
        <f>IFERROR(__xludf.DUMMYFUNCTION("""COMPUTED_VALUE"""),0.9465451948199592)</f>
        <v>0.9465451948</v>
      </c>
      <c r="AI653" s="57">
        <f>IFERROR(__xludf.DUMMYFUNCTION("""COMPUTED_VALUE"""),0.7738439235233165)</f>
        <v>0.7738439235</v>
      </c>
      <c r="AJ653" s="57">
        <f>IFERROR(__xludf.DUMMYFUNCTION("""COMPUTED_VALUE"""),0.9066206165591854)</f>
        <v>0.9066206166</v>
      </c>
      <c r="AK653" s="57">
        <f>IFERROR(__xludf.DUMMYFUNCTION("""COMPUTED_VALUE"""),1.0102893790057457)</f>
        <v>1.010289379</v>
      </c>
      <c r="AL653" s="57">
        <f>IFERROR(__xludf.DUMMYFUNCTION("""COMPUTED_VALUE"""),0.8740952967828448)</f>
        <v>0.8740952968</v>
      </c>
      <c r="AM653" s="57">
        <f>IFERROR(__xludf.DUMMYFUNCTION("""COMPUTED_VALUE"""),0.966966778226493)</f>
        <v>0.9669667782</v>
      </c>
      <c r="AN653" s="57">
        <f>IFERROR(__xludf.DUMMYFUNCTION("""COMPUTED_VALUE"""),0.9290254640751476)</f>
        <v>0.9290254641</v>
      </c>
      <c r="AO653" s="57">
        <f>IFERROR(__xludf.DUMMYFUNCTION("""COMPUTED_VALUE"""),1.0520476499560119)</f>
        <v>1.05204765</v>
      </c>
      <c r="AP653" s="35">
        <f>IFERROR(__xludf.DUMMYFUNCTION("""COMPUTED_VALUE"""),0.8975060623433583)</f>
        <v>0.8975060623</v>
      </c>
      <c r="AQ653" s="57">
        <f>IFERROR(__xludf.DUMMYFUNCTION("""COMPUTED_VALUE"""),0.9624228885281416)</f>
        <v>0.9624228885</v>
      </c>
      <c r="AR653" s="36" t="b">
        <f>IFERROR(__xludf.DUMMYFUNCTION("""COMPUTED_VALUE"""),TRUE)</f>
        <v>1</v>
      </c>
      <c r="AS653" s="57"/>
      <c r="AT653" s="37"/>
      <c r="AU653" s="30"/>
      <c r="AV653" s="30"/>
      <c r="AW653" s="30"/>
      <c r="AX653" s="30"/>
      <c r="AY653" s="30"/>
      <c r="AZ653" s="30"/>
    </row>
    <row r="654">
      <c r="A654" s="30" t="str">
        <f>IFERROR(__xludf.DUMMYFUNCTION("""COMPUTED_VALUE"""),"Rival")</f>
        <v>Rival</v>
      </c>
      <c r="B654" s="30" t="str">
        <f>IFERROR(__xludf.DUMMYFUNCTION("""COMPUTED_VALUE"""),"RSC005475")</f>
        <v>RSC005475</v>
      </c>
      <c r="C654" s="30" t="str">
        <f>IFERROR(__xludf.DUMMYFUNCTION("""COMPUTED_VALUE"""),"Envy")</f>
        <v>Envy</v>
      </c>
      <c r="D654" s="31" t="str">
        <f>IFERROR(__xludf.DUMMYFUNCTION("""COMPUTED_VALUE"""),"Funk Hunks")</f>
        <v>Funk Hunks</v>
      </c>
      <c r="E654" s="31">
        <f>IFERROR(__xludf.DUMMYFUNCTION("""COMPUTED_VALUE"""),38.94287494427115)</f>
        <v>38.94287494</v>
      </c>
      <c r="F654" s="31">
        <f>IFERROR(__xludf.DUMMYFUNCTION("""COMPUTED_VALUE"""),-3.038207052991777)</f>
        <v>-3.038207053</v>
      </c>
      <c r="G654" s="31">
        <f>IFERROR(__xludf.DUMMYFUNCTION("""COMPUTED_VALUE"""),34.30450548343508)</f>
        <v>34.30450548</v>
      </c>
      <c r="H654" s="31">
        <f>IFERROR(__xludf.DUMMYFUNCTION("""COMPUTED_VALUE"""),-3.772716422988861)</f>
        <v>-3.772716423</v>
      </c>
      <c r="I654" s="54">
        <f>IFERROR(__xludf.DUMMYFUNCTION("""COMPUTED_VALUE"""),28.0)</f>
        <v>28</v>
      </c>
      <c r="J654" s="55">
        <f>IFERROR(__xludf.DUMMYFUNCTION("""COMPUTED_VALUE"""),10.0)</f>
        <v>10</v>
      </c>
      <c r="K654" s="54">
        <f>IFERROR(__xludf.DUMMYFUNCTION("""COMPUTED_VALUE"""),18.0)</f>
        <v>18</v>
      </c>
      <c r="L654" s="56">
        <f>IFERROR(__xludf.DUMMYFUNCTION("""COMPUTED_VALUE"""),0.35714285714285715)</f>
        <v>0.3571428571</v>
      </c>
      <c r="M654" s="56">
        <f>IFERROR(__xludf.DUMMYFUNCTION("""COMPUTED_VALUE"""),0.3666666666666667)</f>
        <v>0.3666666667</v>
      </c>
      <c r="N654" s="31">
        <f>IFERROR(__xludf.DUMMYFUNCTION("""COMPUTED_VALUE"""),291.7142857142857)</f>
        <v>291.7142857</v>
      </c>
      <c r="O654" s="57">
        <f>IFERROR(__xludf.DUMMYFUNCTION("""COMPUTED_VALUE"""),0.7857142857142857)</f>
        <v>0.7857142857</v>
      </c>
      <c r="P654" s="57">
        <f>IFERROR(__xludf.DUMMYFUNCTION("""COMPUTED_VALUE"""),0.32142857142857145)</f>
        <v>0.3214285714</v>
      </c>
      <c r="Q654" s="57">
        <f>IFERROR(__xludf.DUMMYFUNCTION("""COMPUTED_VALUE"""),1.1071428571428572)</f>
        <v>1.107142857</v>
      </c>
      <c r="R654" s="57">
        <f>IFERROR(__xludf.DUMMYFUNCTION("""COMPUTED_VALUE"""),2.142857142857143)</f>
        <v>2.142857143</v>
      </c>
      <c r="S654" s="31">
        <f>IFERROR(__xludf.DUMMYFUNCTION("""COMPUTED_VALUE"""),352.41666666666663)</f>
        <v>352.4166667</v>
      </c>
      <c r="T654" s="57">
        <f>IFERROR(__xludf.DUMMYFUNCTION("""COMPUTED_VALUE"""),0.9404761904761906)</f>
        <v>0.9404761905</v>
      </c>
      <c r="U654" s="57">
        <f>IFERROR(__xludf.DUMMYFUNCTION("""COMPUTED_VALUE"""),0.6547619047619049)</f>
        <v>0.6547619048</v>
      </c>
      <c r="V654" s="57">
        <f>IFERROR(__xludf.DUMMYFUNCTION("""COMPUTED_VALUE"""),1.0714285714285714)</f>
        <v>1.071428571</v>
      </c>
      <c r="W654" s="57">
        <f>IFERROR(__xludf.DUMMYFUNCTION("""COMPUTED_VALUE"""),2.7857142857142856)</f>
        <v>2.785714286</v>
      </c>
      <c r="X654" s="31">
        <f>IFERROR(__xludf.DUMMYFUNCTION("""COMPUTED_VALUE"""),361.58225789053)</f>
        <v>361.5822579</v>
      </c>
      <c r="Y654" s="57">
        <f>IFERROR(__xludf.DUMMYFUNCTION("""COMPUTED_VALUE"""),0.8634764385552199)</f>
        <v>0.8634764386</v>
      </c>
      <c r="Z654" s="57">
        <f>IFERROR(__xludf.DUMMYFUNCTION("""COMPUTED_VALUE"""),0.6512694471728084)</f>
        <v>0.6512694472</v>
      </c>
      <c r="AA654" s="57">
        <f>IFERROR(__xludf.DUMMYFUNCTION("""COMPUTED_VALUE"""),1.275007414581994)</f>
        <v>1.275007415</v>
      </c>
      <c r="AB654" s="57">
        <f>IFERROR(__xludf.DUMMYFUNCTION("""COMPUTED_VALUE"""),2.7399208925994647)</f>
        <v>2.739920893</v>
      </c>
      <c r="AC654" s="31">
        <f>IFERROR(__xludf.DUMMYFUNCTION("""COMPUTED_VALUE"""),330.9929039881946)</f>
        <v>330.992904</v>
      </c>
      <c r="AD654" s="57">
        <f>IFERROR(__xludf.DUMMYFUNCTION("""COMPUTED_VALUE"""),0.6737571627977792)</f>
        <v>0.6737571628</v>
      </c>
      <c r="AE654" s="57">
        <f>IFERROR(__xludf.DUMMYFUNCTION("""COMPUTED_VALUE"""),0.5101797537196698)</f>
        <v>0.5101797537</v>
      </c>
      <c r="AF654" s="57">
        <f>IFERROR(__xludf.DUMMYFUNCTION("""COMPUTED_VALUE"""),1.337605328326617)</f>
        <v>1.337605328</v>
      </c>
      <c r="AG654" s="57">
        <f>IFERROR(__xludf.DUMMYFUNCTION("""COMPUTED_VALUE"""),2.4249893812743957)</f>
        <v>2.424989381</v>
      </c>
      <c r="AH654" s="57">
        <f>IFERROR(__xludf.DUMMYFUNCTION("""COMPUTED_VALUE"""),0.8813309354954938)</f>
        <v>0.8813309355</v>
      </c>
      <c r="AI654" s="57">
        <f>IFERROR(__xludf.DUMMYFUNCTION("""COMPUTED_VALUE"""),1.1661683602020707)</f>
        <v>1.16616836</v>
      </c>
      <c r="AJ654" s="57">
        <f>IFERROR(__xludf.DUMMYFUNCTION("""COMPUTED_VALUE"""),0.6300300415394138)</f>
        <v>0.6300300415</v>
      </c>
      <c r="AK654" s="57">
        <f>IFERROR(__xludf.DUMMYFUNCTION("""COMPUTED_VALUE"""),0.8277051785730586)</f>
        <v>0.8277051786</v>
      </c>
      <c r="AL654" s="57">
        <f>IFERROR(__xludf.DUMMYFUNCTION("""COMPUTED_VALUE"""),0.8836562994478001)</f>
        <v>0.8836562994</v>
      </c>
      <c r="AM654" s="57">
        <f>IFERROR(__xludf.DUMMYFUNCTION("""COMPUTED_VALUE"""),0.97465143539582)</f>
        <v>0.9746514354</v>
      </c>
      <c r="AN654" s="57">
        <f>IFERROR(__xludf.DUMMYFUNCTION("""COMPUTED_VALUE"""),1.0891741204309033)</f>
        <v>1.08917412</v>
      </c>
      <c r="AO654" s="57">
        <f>IFERROR(__xludf.DUMMYFUNCTION("""COMPUTED_VALUE"""),1.005362538660853)</f>
        <v>1.005362539</v>
      </c>
      <c r="AP654" s="35">
        <f>IFERROR(__xludf.DUMMYFUNCTION("""COMPUTED_VALUE"""),0.8403312476263793)</f>
        <v>0.8403312476</v>
      </c>
      <c r="AQ654" s="57">
        <f>IFERROR(__xludf.DUMMYFUNCTION("""COMPUTED_VALUE"""),1.016713399733003)</f>
        <v>1.0167134</v>
      </c>
      <c r="AR654" s="36" t="b">
        <f>IFERROR(__xludf.DUMMYFUNCTION("""COMPUTED_VALUE"""),TRUE)</f>
        <v>1</v>
      </c>
      <c r="AS654" s="57"/>
      <c r="AT654" s="37"/>
      <c r="AU654" s="30"/>
      <c r="AV654" s="30"/>
      <c r="AW654" s="30"/>
      <c r="AX654" s="30"/>
      <c r="AY654" s="30"/>
      <c r="AZ654" s="30"/>
    </row>
    <row r="655">
      <c r="A655" s="30" t="str">
        <f>IFERROR(__xludf.DUMMYFUNCTION("""COMPUTED_VALUE"""),"Rival")</f>
        <v>Rival</v>
      </c>
      <c r="B655" s="30" t="str">
        <f>IFERROR(__xludf.DUMMYFUNCTION("""COMPUTED_VALUE"""),"RSC003720")</f>
        <v>RSC003720</v>
      </c>
      <c r="C655" s="30" t="str">
        <f>IFERROR(__xludf.DUMMYFUNCTION("""COMPUTED_VALUE"""),"AriseDaft")</f>
        <v>AriseDaft</v>
      </c>
      <c r="D655" s="31" t="str">
        <f>IFERROR(__xludf.DUMMYFUNCTION("""COMPUTED_VALUE"""),"Tyrants")</f>
        <v>Tyrants</v>
      </c>
      <c r="E655" s="31">
        <f>IFERROR(__xludf.DUMMYFUNCTION("""COMPUTED_VALUE"""),38.84357181609932)</f>
        <v>38.84357182</v>
      </c>
      <c r="F655" s="31">
        <f>IFERROR(__xludf.DUMMYFUNCTION("""COMPUTED_VALUE"""),-3.0515179163822514)</f>
        <v>-3.051517916</v>
      </c>
      <c r="G655" s="31">
        <f>IFERROR(__xludf.DUMMYFUNCTION("""COMPUTED_VALUE"""),54.5539219512495)</f>
        <v>54.55392195</v>
      </c>
      <c r="H655" s="31">
        <f>IFERROR(__xludf.DUMMYFUNCTION("""COMPUTED_VALUE"""),2.337924513796922)</f>
        <v>2.337924514</v>
      </c>
      <c r="I655" s="54">
        <f>IFERROR(__xludf.DUMMYFUNCTION("""COMPUTED_VALUE"""),30.0)</f>
        <v>30</v>
      </c>
      <c r="J655" s="55">
        <f>IFERROR(__xludf.DUMMYFUNCTION("""COMPUTED_VALUE"""),14.0)</f>
        <v>14</v>
      </c>
      <c r="K655" s="54">
        <f>IFERROR(__xludf.DUMMYFUNCTION("""COMPUTED_VALUE"""),16.0)</f>
        <v>16</v>
      </c>
      <c r="L655" s="56">
        <f>IFERROR(__xludf.DUMMYFUNCTION("""COMPUTED_VALUE"""),0.4666666666666667)</f>
        <v>0.4666666667</v>
      </c>
      <c r="M655" s="56">
        <f>IFERROR(__xludf.DUMMYFUNCTION("""COMPUTED_VALUE"""),0.37254901960784315)</f>
        <v>0.3725490196</v>
      </c>
      <c r="N655" s="31">
        <f>IFERROR(__xludf.DUMMYFUNCTION("""COMPUTED_VALUE"""),368.93333333333334)</f>
        <v>368.9333333</v>
      </c>
      <c r="O655" s="57">
        <f>IFERROR(__xludf.DUMMYFUNCTION("""COMPUTED_VALUE"""),0.6333333333333333)</f>
        <v>0.6333333333</v>
      </c>
      <c r="P655" s="57">
        <f>IFERROR(__xludf.DUMMYFUNCTION("""COMPUTED_VALUE"""),0.4666666666666667)</f>
        <v>0.4666666667</v>
      </c>
      <c r="Q655" s="57">
        <f>IFERROR(__xludf.DUMMYFUNCTION("""COMPUTED_VALUE"""),1.7333333333333334)</f>
        <v>1.733333333</v>
      </c>
      <c r="R655" s="57">
        <f>IFERROR(__xludf.DUMMYFUNCTION("""COMPUTED_VALUE"""),1.7)</f>
        <v>1.7</v>
      </c>
      <c r="S655" s="31">
        <f>IFERROR(__xludf.DUMMYFUNCTION("""COMPUTED_VALUE"""),335.1777777777778)</f>
        <v>335.1777778</v>
      </c>
      <c r="T655" s="57">
        <f>IFERROR(__xludf.DUMMYFUNCTION("""COMPUTED_VALUE"""),0.7555555555555554)</f>
        <v>0.7555555556</v>
      </c>
      <c r="U655" s="57">
        <f>IFERROR(__xludf.DUMMYFUNCTION("""COMPUTED_VALUE"""),0.5333333333333333)</f>
        <v>0.5333333333</v>
      </c>
      <c r="V655" s="57">
        <f>IFERROR(__xludf.DUMMYFUNCTION("""COMPUTED_VALUE"""),1.0555555555555556)</f>
        <v>1.055555556</v>
      </c>
      <c r="W655" s="57">
        <f>IFERROR(__xludf.DUMMYFUNCTION("""COMPUTED_VALUE"""),2.6444444444444444)</f>
        <v>2.644444444</v>
      </c>
      <c r="X655" s="31">
        <f>IFERROR(__xludf.DUMMYFUNCTION("""COMPUTED_VALUE"""),350.1982501010437)</f>
        <v>350.1982501</v>
      </c>
      <c r="Y655" s="57">
        <f>IFERROR(__xludf.DUMMYFUNCTION("""COMPUTED_VALUE"""),0.771759078327856)</f>
        <v>0.7717590783</v>
      </c>
      <c r="Z655" s="57">
        <f>IFERROR(__xludf.DUMMYFUNCTION("""COMPUTED_VALUE"""),0.6125153095500132)</f>
        <v>0.6125153096</v>
      </c>
      <c r="AA655" s="57">
        <f>IFERROR(__xludf.DUMMYFUNCTION("""COMPUTED_VALUE"""),1.2902755318293717)</f>
        <v>1.290275532</v>
      </c>
      <c r="AB655" s="57">
        <f>IFERROR(__xludf.DUMMYFUNCTION("""COMPUTED_VALUE"""),2.6011770966380774)</f>
        <v>2.601177097</v>
      </c>
      <c r="AC655" s="31">
        <f>IFERROR(__xludf.DUMMYFUNCTION("""COMPUTED_VALUE"""),345.97557992106425)</f>
        <v>345.9755799</v>
      </c>
      <c r="AD655" s="57">
        <f>IFERROR(__xludf.DUMMYFUNCTION("""COMPUTED_VALUE"""),0.756808462510926)</f>
        <v>0.7568084625</v>
      </c>
      <c r="AE655" s="57">
        <f>IFERROR(__xludf.DUMMYFUNCTION("""COMPUTED_VALUE"""),0.5557530962480096)</f>
        <v>0.5557530962</v>
      </c>
      <c r="AF655" s="57">
        <f>IFERROR(__xludf.DUMMYFUNCTION("""COMPUTED_VALUE"""),1.3137984096812767)</f>
        <v>1.31379841</v>
      </c>
      <c r="AG655" s="57">
        <f>IFERROR(__xludf.DUMMYFUNCTION("""COMPUTED_VALUE"""),2.4616084562472924)</f>
        <v>2.461608456</v>
      </c>
      <c r="AH655" s="57">
        <f>IFERROR(__xludf.DUMMYFUNCTION("""COMPUTED_VALUE"""),1.066356571806331)</f>
        <v>1.066356572</v>
      </c>
      <c r="AI655" s="57">
        <f>IFERROR(__xludf.DUMMYFUNCTION("""COMPUTED_VALUE"""),0.8368475839079162)</f>
        <v>0.8368475839</v>
      </c>
      <c r="AJ655" s="57">
        <f>IFERROR(__xludf.DUMMYFUNCTION("""COMPUTED_VALUE"""),0.8397014246384201)</f>
        <v>0.8397014246</v>
      </c>
      <c r="AK655" s="57">
        <f>IFERROR(__xludf.DUMMYFUNCTION("""COMPUTED_VALUE"""),1.3193297545198235)</f>
        <v>1.319329755</v>
      </c>
      <c r="AL655" s="57">
        <f>IFERROR(__xludf.DUMMYFUNCTION("""COMPUTED_VALUE"""),0.690605362394489)</f>
        <v>0.6906053624</v>
      </c>
      <c r="AM655" s="57">
        <f>IFERROR(__xludf.DUMMYFUNCTION("""COMPUTED_VALUE"""),0.9571086596836735)</f>
        <v>0.9571086597</v>
      </c>
      <c r="AN655" s="57">
        <f>IFERROR(__xludf.DUMMYFUNCTION("""COMPUTED_VALUE"""),0.9790044286781723)</f>
        <v>0.9790044287</v>
      </c>
      <c r="AO655" s="57">
        <f>IFERROR(__xludf.DUMMYFUNCTION("""COMPUTED_VALUE"""),0.8707265353500286)</f>
        <v>0.8707265354</v>
      </c>
      <c r="AP655" s="35">
        <f>IFERROR(__xludf.DUMMYFUNCTION("""COMPUTED_VALUE"""),0.818085385265714)</f>
        <v>0.8180853853</v>
      </c>
      <c r="AQ655" s="57">
        <f>IFERROR(__xludf.DUMMYFUNCTION("""COMPUTED_VALUE"""),1.0166337570257282)</f>
        <v>1.016633757</v>
      </c>
      <c r="AR655" s="36" t="b">
        <f>IFERROR(__xludf.DUMMYFUNCTION("""COMPUTED_VALUE"""),TRUE)</f>
        <v>1</v>
      </c>
      <c r="AS655" s="57"/>
      <c r="AT655" s="37"/>
      <c r="AU655" s="30"/>
      <c r="AV655" s="30"/>
      <c r="AW655" s="30"/>
      <c r="AX655" s="30"/>
      <c r="AY655" s="30"/>
      <c r="AZ655" s="30"/>
    </row>
    <row r="656">
      <c r="A656" s="30" t="str">
        <f>IFERROR(__xludf.DUMMYFUNCTION("""COMPUTED_VALUE"""),"Rival")</f>
        <v>Rival</v>
      </c>
      <c r="B656" s="30" t="str">
        <f>IFERROR(__xludf.DUMMYFUNCTION("""COMPUTED_VALUE"""),"RSC004399")</f>
        <v>RSC004399</v>
      </c>
      <c r="C656" s="30" t="str">
        <f>IFERROR(__xludf.DUMMYFUNCTION("""COMPUTED_VALUE"""),"zippythegnome")</f>
        <v>zippythegnome</v>
      </c>
      <c r="D656" s="31" t="str">
        <f>IFERROR(__xludf.DUMMYFUNCTION("""COMPUTED_VALUE"""),"Kitsune")</f>
        <v>Kitsune</v>
      </c>
      <c r="E656" s="31">
        <f>IFERROR(__xludf.DUMMYFUNCTION("""COMPUTED_VALUE"""),38.801054027058036)</f>
        <v>38.80105403</v>
      </c>
      <c r="F656" s="31">
        <f>IFERROR(__xludf.DUMMYFUNCTION("""COMPUTED_VALUE"""),-3.0572455878299483)</f>
        <v>-3.057245588</v>
      </c>
      <c r="G656" s="31">
        <f>IFERROR(__xludf.DUMMYFUNCTION("""COMPUTED_VALUE"""),43.65922078922022)</f>
        <v>43.65922079</v>
      </c>
      <c r="H656" s="31">
        <f>IFERROR(__xludf.DUMMYFUNCTION("""COMPUTED_VALUE"""),-2.5006860792017678)</f>
        <v>-2.500686079</v>
      </c>
      <c r="I656" s="54">
        <f>IFERROR(__xludf.DUMMYFUNCTION("""COMPUTED_VALUE"""),27.0)</f>
        <v>27</v>
      </c>
      <c r="J656" s="55">
        <f>IFERROR(__xludf.DUMMYFUNCTION("""COMPUTED_VALUE"""),13.0)</f>
        <v>13</v>
      </c>
      <c r="K656" s="54">
        <f>IFERROR(__xludf.DUMMYFUNCTION("""COMPUTED_VALUE"""),14.0)</f>
        <v>14</v>
      </c>
      <c r="L656" s="56">
        <f>IFERROR(__xludf.DUMMYFUNCTION("""COMPUTED_VALUE"""),0.48148148148148145)</f>
        <v>0.4814814815</v>
      </c>
      <c r="M656" s="56">
        <f>IFERROR(__xludf.DUMMYFUNCTION("""COMPUTED_VALUE"""),0.32)</f>
        <v>0.32</v>
      </c>
      <c r="N656" s="31">
        <f>IFERROR(__xludf.DUMMYFUNCTION("""COMPUTED_VALUE"""),315.037037037037)</f>
        <v>315.037037</v>
      </c>
      <c r="O656" s="57">
        <f>IFERROR(__xludf.DUMMYFUNCTION("""COMPUTED_VALUE"""),0.5925925925925926)</f>
        <v>0.5925925926</v>
      </c>
      <c r="P656" s="57">
        <f>IFERROR(__xludf.DUMMYFUNCTION("""COMPUTED_VALUE"""),0.5925925925925926)</f>
        <v>0.5925925926</v>
      </c>
      <c r="Q656" s="57">
        <f>IFERROR(__xludf.DUMMYFUNCTION("""COMPUTED_VALUE"""),1.4074074074074074)</f>
        <v>1.407407407</v>
      </c>
      <c r="R656" s="57">
        <f>IFERROR(__xludf.DUMMYFUNCTION("""COMPUTED_VALUE"""),1.8518518518518519)</f>
        <v>1.851851852</v>
      </c>
      <c r="S656" s="31">
        <f>IFERROR(__xludf.DUMMYFUNCTION("""COMPUTED_VALUE"""),330.99999999999994)</f>
        <v>331</v>
      </c>
      <c r="T656" s="57">
        <f>IFERROR(__xludf.DUMMYFUNCTION("""COMPUTED_VALUE"""),0.7037037037037037)</f>
        <v>0.7037037037</v>
      </c>
      <c r="U656" s="57">
        <f>IFERROR(__xludf.DUMMYFUNCTION("""COMPUTED_VALUE"""),0.5185185185185185)</f>
        <v>0.5185185185</v>
      </c>
      <c r="V656" s="57">
        <f>IFERROR(__xludf.DUMMYFUNCTION("""COMPUTED_VALUE"""),1.2098765432098768)</f>
        <v>1.209876543</v>
      </c>
      <c r="W656" s="57">
        <f>IFERROR(__xludf.DUMMYFUNCTION("""COMPUTED_VALUE"""),2.4814814814814814)</f>
        <v>2.481481481</v>
      </c>
      <c r="X656" s="31">
        <f>IFERROR(__xludf.DUMMYFUNCTION("""COMPUTED_VALUE"""),345.5356295624663)</f>
        <v>345.5356296</v>
      </c>
      <c r="Y656" s="57">
        <f>IFERROR(__xludf.DUMMYFUNCTION("""COMPUTED_VALUE"""),0.7871487861692147)</f>
        <v>0.7871487862</v>
      </c>
      <c r="Z656" s="57">
        <f>IFERROR(__xludf.DUMMYFUNCTION("""COMPUTED_VALUE"""),0.5414049145977083)</f>
        <v>0.5414049146</v>
      </c>
      <c r="AA656" s="57">
        <f>IFERROR(__xludf.DUMMYFUNCTION("""COMPUTED_VALUE"""),1.3384467072453075)</f>
        <v>1.338446707</v>
      </c>
      <c r="AB656" s="57">
        <f>IFERROR(__xludf.DUMMYFUNCTION("""COMPUTED_VALUE"""),2.595290161568001)</f>
        <v>2.595290162</v>
      </c>
      <c r="AC656" s="31">
        <f>IFERROR(__xludf.DUMMYFUNCTION("""COMPUTED_VALUE"""),346.81764529638235)</f>
        <v>346.8176453</v>
      </c>
      <c r="AD656" s="57">
        <f>IFERROR(__xludf.DUMMYFUNCTION("""COMPUTED_VALUE"""),0.7913342912359008)</f>
        <v>0.7913342912</v>
      </c>
      <c r="AE656" s="57">
        <f>IFERROR(__xludf.DUMMYFUNCTION("""COMPUTED_VALUE"""),0.5565930233899705)</f>
        <v>0.5565930234</v>
      </c>
      <c r="AF656" s="57">
        <f>IFERROR(__xludf.DUMMYFUNCTION("""COMPUTED_VALUE"""),1.3629063288155638)</f>
        <v>1.362906329</v>
      </c>
      <c r="AG656" s="57">
        <f>IFERROR(__xludf.DUMMYFUNCTION("""COMPUTED_VALUE"""),2.548587253542593)</f>
        <v>2.548587254</v>
      </c>
      <c r="AH656" s="57">
        <f>IFERROR(__xludf.DUMMYFUNCTION("""COMPUTED_VALUE"""),0.9083650768916721)</f>
        <v>0.9083650769</v>
      </c>
      <c r="AI656" s="57">
        <f>IFERROR(__xludf.DUMMYFUNCTION("""COMPUTED_VALUE"""),0.7488524118765095)</f>
        <v>0.7488524119</v>
      </c>
      <c r="AJ656" s="57">
        <f>IFERROR(__xludf.DUMMYFUNCTION("""COMPUTED_VALUE"""),1.0646784413203099)</f>
        <v>1.064678441</v>
      </c>
      <c r="AK656" s="57">
        <f>IFERROR(__xludf.DUMMYFUNCTION("""COMPUTED_VALUE"""),1.032651604626796)</f>
        <v>1.032651605</v>
      </c>
      <c r="AL656" s="57">
        <f>IFERROR(__xludf.DUMMYFUNCTION("""COMPUTED_VALUE"""),0.7266189726397385)</f>
        <v>0.7266189726</v>
      </c>
      <c r="AM656" s="57">
        <f>IFERROR(__xludf.DUMMYFUNCTION("""COMPUTED_VALUE"""),0.9579330514168045)</f>
        <v>0.9579330514</v>
      </c>
      <c r="AN656" s="57">
        <f>IFERROR(__xludf.DUMMYFUNCTION("""COMPUTED_VALUE"""),0.8939907118810285)</f>
        <v>0.8939907119</v>
      </c>
      <c r="AO656" s="57">
        <f>IFERROR(__xludf.DUMMYFUNCTION("""COMPUTED_VALUE"""),0.9577277644474365)</f>
        <v>0.9577277644</v>
      </c>
      <c r="AP656" s="35">
        <f>IFERROR(__xludf.DUMMYFUNCTION("""COMPUTED_VALUE"""),0.9039407670552351)</f>
        <v>0.9039407671</v>
      </c>
      <c r="AQ656" s="57">
        <f>IFERROR(__xludf.DUMMYFUNCTION("""COMPUTED_VALUE"""),0.9561479938652564)</f>
        <v>0.9561479939</v>
      </c>
      <c r="AR656" s="36" t="b">
        <f>IFERROR(__xludf.DUMMYFUNCTION("""COMPUTED_VALUE"""),TRUE)</f>
        <v>1</v>
      </c>
      <c r="AS656" s="57"/>
      <c r="AT656" s="37"/>
      <c r="AU656" s="30"/>
      <c r="AV656" s="30"/>
      <c r="AW656" s="30"/>
      <c r="AX656" s="30"/>
      <c r="AY656" s="30"/>
      <c r="AZ656" s="30"/>
    </row>
    <row r="657">
      <c r="A657" s="30" t="str">
        <f>IFERROR(__xludf.DUMMYFUNCTION("""COMPUTED_VALUE"""),"Rival")</f>
        <v>Rival</v>
      </c>
      <c r="B657" s="30" t="str">
        <f>IFERROR(__xludf.DUMMYFUNCTION("""COMPUTED_VALUE"""),"RSC007222")</f>
        <v>RSC007222</v>
      </c>
      <c r="C657" s="30" t="str">
        <f>IFERROR(__xludf.DUMMYFUNCTION("""COMPUTED_VALUE"""),"S3EZ")</f>
        <v>S3EZ</v>
      </c>
      <c r="D657" s="31" t="str">
        <f>IFERROR(__xludf.DUMMYFUNCTION("""COMPUTED_VALUE"""),"Ostriches")</f>
        <v>Ostriches</v>
      </c>
      <c r="E657" s="31">
        <f>IFERROR(__xludf.DUMMYFUNCTION("""COMPUTED_VALUE"""),36.83357793589794)</f>
        <v>36.83357794</v>
      </c>
      <c r="F657" s="31">
        <f>IFERROR(__xludf.DUMMYFUNCTION("""COMPUTED_VALUE"""),-3.3420679226702306)</f>
        <v>-3.342067923</v>
      </c>
      <c r="G657" s="31">
        <f>IFERROR(__xludf.DUMMYFUNCTION("""COMPUTED_VALUE"""),46.16537084772127)</f>
        <v>46.16537085</v>
      </c>
      <c r="H657" s="31">
        <f>IFERROR(__xludf.DUMMYFUNCTION("""COMPUTED_VALUE"""),-2.27765907185329)</f>
        <v>-2.277659072</v>
      </c>
      <c r="I657" s="54">
        <f>IFERROR(__xludf.DUMMYFUNCTION("""COMPUTED_VALUE"""),12.0)</f>
        <v>12</v>
      </c>
      <c r="J657" s="55">
        <f>IFERROR(__xludf.DUMMYFUNCTION("""COMPUTED_VALUE"""),6.0)</f>
        <v>6</v>
      </c>
      <c r="K657" s="54">
        <f>IFERROR(__xludf.DUMMYFUNCTION("""COMPUTED_VALUE"""),6.0)</f>
        <v>6</v>
      </c>
      <c r="L657" s="56">
        <f>IFERROR(__xludf.DUMMYFUNCTION("""COMPUTED_VALUE"""),0.5)</f>
        <v>0.5</v>
      </c>
      <c r="M657" s="56">
        <f>IFERROR(__xludf.DUMMYFUNCTION("""COMPUTED_VALUE"""),0.0967741935483871)</f>
        <v>0.09677419355</v>
      </c>
      <c r="N657" s="31">
        <f>IFERROR(__xludf.DUMMYFUNCTION("""COMPUTED_VALUE"""),292.4166666666667)</f>
        <v>292.4166667</v>
      </c>
      <c r="O657" s="57">
        <f>IFERROR(__xludf.DUMMYFUNCTION("""COMPUTED_VALUE"""),0.25)</f>
        <v>0.25</v>
      </c>
      <c r="P657" s="57">
        <f>IFERROR(__xludf.DUMMYFUNCTION("""COMPUTED_VALUE"""),0.75)</f>
        <v>0.75</v>
      </c>
      <c r="Q657" s="57">
        <f>IFERROR(__xludf.DUMMYFUNCTION("""COMPUTED_VALUE"""),1.3333333333333333)</f>
        <v>1.333333333</v>
      </c>
      <c r="R657" s="57">
        <f>IFERROR(__xludf.DUMMYFUNCTION("""COMPUTED_VALUE"""),2.5833333333333335)</f>
        <v>2.583333333</v>
      </c>
      <c r="S657" s="31">
        <f>IFERROR(__xludf.DUMMYFUNCTION("""COMPUTED_VALUE"""),352.4444444444444)</f>
        <v>352.4444444</v>
      </c>
      <c r="T657" s="57">
        <f>IFERROR(__xludf.DUMMYFUNCTION("""COMPUTED_VALUE"""),0.6944444444444443)</f>
        <v>0.6944444444</v>
      </c>
      <c r="U657" s="57">
        <f>IFERROR(__xludf.DUMMYFUNCTION("""COMPUTED_VALUE"""),0.5833333333333334)</f>
        <v>0.5833333333</v>
      </c>
      <c r="V657" s="57">
        <f>IFERROR(__xludf.DUMMYFUNCTION("""COMPUTED_VALUE"""),1.3055555555555556)</f>
        <v>1.305555556</v>
      </c>
      <c r="W657" s="57">
        <f>IFERROR(__xludf.DUMMYFUNCTION("""COMPUTED_VALUE"""),2.194444444444444)</f>
        <v>2.194444444</v>
      </c>
      <c r="X657" s="31">
        <f>IFERROR(__xludf.DUMMYFUNCTION("""COMPUTED_VALUE"""),346.4824780253554)</f>
        <v>346.482478</v>
      </c>
      <c r="Y657" s="57">
        <f>IFERROR(__xludf.DUMMYFUNCTION("""COMPUTED_VALUE"""),0.6928714273126433)</f>
        <v>0.6928714273</v>
      </c>
      <c r="Z657" s="57">
        <f>IFERROR(__xludf.DUMMYFUNCTION("""COMPUTED_VALUE"""),0.6464569354542078)</f>
        <v>0.6464569355</v>
      </c>
      <c r="AA657" s="57">
        <f>IFERROR(__xludf.DUMMYFUNCTION("""COMPUTED_VALUE"""),1.3601020307248566)</f>
        <v>1.360102031</v>
      </c>
      <c r="AB657" s="57">
        <f>IFERROR(__xludf.DUMMYFUNCTION("""COMPUTED_VALUE"""),2.348654070010213)</f>
        <v>2.34865407</v>
      </c>
      <c r="AC657" s="31">
        <f>IFERROR(__xludf.DUMMYFUNCTION("""COMPUTED_VALUE"""),335.16433274744037)</f>
        <v>335.1643327</v>
      </c>
      <c r="AD657" s="57">
        <f>IFERROR(__xludf.DUMMYFUNCTION("""COMPUTED_VALUE"""),0.7090653581587589)</f>
        <v>0.7090653582</v>
      </c>
      <c r="AE657" s="57">
        <f>IFERROR(__xludf.DUMMYFUNCTION("""COMPUTED_VALUE"""),0.533364331554098)</f>
        <v>0.5333643316</v>
      </c>
      <c r="AF657" s="57">
        <f>IFERROR(__xludf.DUMMYFUNCTION("""COMPUTED_VALUE"""),1.2182142292083917)</f>
        <v>1.218214229</v>
      </c>
      <c r="AG657" s="57">
        <f>IFERROR(__xludf.DUMMYFUNCTION("""COMPUTED_VALUE"""),2.489112732725689)</f>
        <v>2.489112733</v>
      </c>
      <c r="AH657" s="57">
        <f>IFERROR(__xludf.DUMMYFUNCTION("""COMPUTED_VALUE"""),0.8724575919807501)</f>
        <v>0.872457592</v>
      </c>
      <c r="AI657" s="57">
        <f>IFERROR(__xludf.DUMMYFUNCTION("""COMPUTED_VALUE"""),0.3525768070931838)</f>
        <v>0.3525768071</v>
      </c>
      <c r="AJ657" s="57">
        <f>IFERROR(__xludf.DUMMYFUNCTION("""COMPUTED_VALUE"""),1.4061682711603092)</f>
        <v>1.406168271</v>
      </c>
      <c r="AK657" s="57">
        <f>IFERROR(__xludf.DUMMYFUNCTION("""COMPUTED_VALUE"""),1.0944982428909462)</f>
        <v>1.094498243</v>
      </c>
      <c r="AL657" s="57">
        <f>IFERROR(__xludf.DUMMYFUNCTION("""COMPUTED_VALUE"""),1.0378530869128089)</f>
        <v>1.037853087</v>
      </c>
      <c r="AM657" s="57">
        <f>IFERROR(__xludf.DUMMYFUNCTION("""COMPUTED_VALUE"""),1.017207122429587)</f>
        <v>1.017207122</v>
      </c>
      <c r="AN657" s="57">
        <f>IFERROR(__xludf.DUMMYFUNCTION("""COMPUTED_VALUE"""),1.0022702871987406)</f>
        <v>1.002270287</v>
      </c>
      <c r="AO657" s="57">
        <f>IFERROR(__xludf.DUMMYFUNCTION("""COMPUTED_VALUE"""),0.902354513256907)</f>
        <v>0.9023545133</v>
      </c>
      <c r="AP657" s="35">
        <f>IFERROR(__xludf.DUMMYFUNCTION("""COMPUTED_VALUE"""),0.9598953064276871)</f>
        <v>0.9598953064</v>
      </c>
      <c r="AQ657" s="57">
        <f>IFERROR(__xludf.DUMMYFUNCTION("""COMPUTED_VALUE"""),0.9343412776130551)</f>
        <v>0.9343412776</v>
      </c>
      <c r="AR657" s="36" t="b">
        <f>IFERROR(__xludf.DUMMYFUNCTION("""COMPUTED_VALUE"""),TRUE)</f>
        <v>1</v>
      </c>
      <c r="AS657" s="57"/>
      <c r="AT657" s="37"/>
      <c r="AU657" s="30"/>
      <c r="AV657" s="30"/>
      <c r="AW657" s="30"/>
      <c r="AX657" s="30"/>
      <c r="AY657" s="30"/>
      <c r="AZ657" s="30"/>
    </row>
    <row r="658">
      <c r="A658" s="30" t="str">
        <f>IFERROR(__xludf.DUMMYFUNCTION("""COMPUTED_VALUE"""),"Rival")</f>
        <v>Rival</v>
      </c>
      <c r="B658" s="30" t="str">
        <f>IFERROR(__xludf.DUMMYFUNCTION("""COMPUTED_VALUE"""),"RSC007318")</f>
        <v>RSC007318</v>
      </c>
      <c r="C658" s="30" t="str">
        <f>IFERROR(__xludf.DUMMYFUNCTION("""COMPUTED_VALUE"""),"xd Dylan591")</f>
        <v>xd Dylan591</v>
      </c>
      <c r="D658" s="31" t="str">
        <f>IFERROR(__xludf.DUMMYFUNCTION("""COMPUTED_VALUE"""),"Wind")</f>
        <v>Wind</v>
      </c>
      <c r="E658" s="31">
        <f>IFERROR(__xludf.DUMMYFUNCTION("""COMPUTED_VALUE"""),36.154105512956484)</f>
        <v>36.15410551</v>
      </c>
      <c r="F658" s="31">
        <f>IFERROR(__xludf.DUMMYFUNCTION("""COMPUTED_VALUE"""),-3.450112516058185)</f>
        <v>-3.450112516</v>
      </c>
      <c r="G658" s="31">
        <f>IFERROR(__xludf.DUMMYFUNCTION("""COMPUTED_VALUE"""),33.54086492595681)</f>
        <v>33.54086493</v>
      </c>
      <c r="H658" s="31">
        <f>IFERROR(__xludf.DUMMYFUNCTION("""COMPUTED_VALUE"""),-3.9192373655057233)</f>
        <v>-3.919237366</v>
      </c>
      <c r="I658" s="54">
        <f>IFERROR(__xludf.DUMMYFUNCTION("""COMPUTED_VALUE"""),17.0)</f>
        <v>17</v>
      </c>
      <c r="J658" s="55">
        <f>IFERROR(__xludf.DUMMYFUNCTION("""COMPUTED_VALUE"""),10.0)</f>
        <v>10</v>
      </c>
      <c r="K658" s="54">
        <f>IFERROR(__xludf.DUMMYFUNCTION("""COMPUTED_VALUE"""),7.0)</f>
        <v>7</v>
      </c>
      <c r="L658" s="56">
        <f>IFERROR(__xludf.DUMMYFUNCTION("""COMPUTED_VALUE"""),0.5882352941176471)</f>
        <v>0.5882352941</v>
      </c>
      <c r="M658" s="56">
        <f>IFERROR(__xludf.DUMMYFUNCTION("""COMPUTED_VALUE"""),0.23809523809523808)</f>
        <v>0.2380952381</v>
      </c>
      <c r="N658" s="31">
        <f>IFERROR(__xludf.DUMMYFUNCTION("""COMPUTED_VALUE"""),306.2352941176471)</f>
        <v>306.2352941</v>
      </c>
      <c r="O658" s="57">
        <f>IFERROR(__xludf.DUMMYFUNCTION("""COMPUTED_VALUE"""),0.5882352941176471)</f>
        <v>0.5882352941</v>
      </c>
      <c r="P658" s="57">
        <f>IFERROR(__xludf.DUMMYFUNCTION("""COMPUTED_VALUE"""),0.5294117647058824)</f>
        <v>0.5294117647</v>
      </c>
      <c r="Q658" s="57">
        <f>IFERROR(__xludf.DUMMYFUNCTION("""COMPUTED_VALUE"""),1.2941176470588236)</f>
        <v>1.294117647</v>
      </c>
      <c r="R658" s="57">
        <f>IFERROR(__xludf.DUMMYFUNCTION("""COMPUTED_VALUE"""),2.4705882352941178)</f>
        <v>2.470588235</v>
      </c>
      <c r="S658" s="31">
        <f>IFERROR(__xludf.DUMMYFUNCTION("""COMPUTED_VALUE"""),348.8235294117647)</f>
        <v>348.8235294</v>
      </c>
      <c r="T658" s="57">
        <f>IFERROR(__xludf.DUMMYFUNCTION("""COMPUTED_VALUE"""),0.784313725490196)</f>
        <v>0.7843137255</v>
      </c>
      <c r="U658" s="57">
        <f>IFERROR(__xludf.DUMMYFUNCTION("""COMPUTED_VALUE"""),0.5882352941176471)</f>
        <v>0.5882352941</v>
      </c>
      <c r="V658" s="57">
        <f>IFERROR(__xludf.DUMMYFUNCTION("""COMPUTED_VALUE"""),1.3137254901960784)</f>
        <v>1.31372549</v>
      </c>
      <c r="W658" s="57">
        <f>IFERROR(__xludf.DUMMYFUNCTION("""COMPUTED_VALUE"""),2.843137254901961)</f>
        <v>2.843137255</v>
      </c>
      <c r="X658" s="31">
        <f>IFERROR(__xludf.DUMMYFUNCTION("""COMPUTED_VALUE"""),345.53981015364354)</f>
        <v>345.5398102</v>
      </c>
      <c r="Y658" s="57">
        <f>IFERROR(__xludf.DUMMYFUNCTION("""COMPUTED_VALUE"""),0.791722271270015)</f>
        <v>0.7917222713</v>
      </c>
      <c r="Z658" s="57">
        <f>IFERROR(__xludf.DUMMYFUNCTION("""COMPUTED_VALUE"""),0.5574688128446373)</f>
        <v>0.5574688128</v>
      </c>
      <c r="AA658" s="57">
        <f>IFERROR(__xludf.DUMMYFUNCTION("""COMPUTED_VALUE"""),1.3037550024766218)</f>
        <v>1.303755002</v>
      </c>
      <c r="AB658" s="57">
        <f>IFERROR(__xludf.DUMMYFUNCTION("""COMPUTED_VALUE"""),2.579380345693759)</f>
        <v>2.579380346</v>
      </c>
      <c r="AC658" s="31">
        <f>IFERROR(__xludf.DUMMYFUNCTION("""COMPUTED_VALUE"""),357.8905549917933)</f>
        <v>357.890555</v>
      </c>
      <c r="AD658" s="57">
        <f>IFERROR(__xludf.DUMMYFUNCTION("""COMPUTED_VALUE"""),0.8565281549392966)</f>
        <v>0.8565281549</v>
      </c>
      <c r="AE658" s="57">
        <f>IFERROR(__xludf.DUMMYFUNCTION("""COMPUTED_VALUE"""),0.6026628824442883)</f>
        <v>0.6026628824</v>
      </c>
      <c r="AF658" s="57">
        <f>IFERROR(__xludf.DUMMYFUNCTION("""COMPUTED_VALUE"""),1.3234492043683166)</f>
        <v>1.323449204</v>
      </c>
      <c r="AG658" s="57">
        <f>IFERROR(__xludf.DUMMYFUNCTION("""COMPUTED_VALUE"""),2.643290507129123)</f>
        <v>2.643290507</v>
      </c>
      <c r="AH658" s="57">
        <f>IFERROR(__xludf.DUMMYFUNCTION("""COMPUTED_VALUE"""),0.8556674375624953)</f>
        <v>0.8556674376</v>
      </c>
      <c r="AI658" s="57">
        <f>IFERROR(__xludf.DUMMYFUNCTION("""COMPUTED_VALUE"""),0.6867670265425615)</f>
        <v>0.6867670265</v>
      </c>
      <c r="AJ658" s="57">
        <f>IFERROR(__xludf.DUMMYFUNCTION("""COMPUTED_VALUE"""),0.8784542405510141)</f>
        <v>0.8784542406</v>
      </c>
      <c r="AK658" s="57">
        <f>IFERROR(__xludf.DUMMYFUNCTION("""COMPUTED_VALUE"""),0.9778370358207341)</f>
        <v>0.9778370358</v>
      </c>
      <c r="AL658" s="57">
        <f>IFERROR(__xludf.DUMMYFUNCTION("""COMPUTED_VALUE"""),0.9346639079703059)</f>
        <v>0.934663908</v>
      </c>
      <c r="AM658" s="57">
        <f>IFERROR(__xludf.DUMMYFUNCTION("""COMPUTED_VALUE"""),1.0095031575570441)</f>
        <v>1.009503158</v>
      </c>
      <c r="AN658" s="57">
        <f>IFERROR(__xludf.DUMMYFUNCTION("""COMPUTED_VALUE"""),0.9906424941565242)</f>
        <v>0.9906424942</v>
      </c>
      <c r="AO658" s="57">
        <f>IFERROR(__xludf.DUMMYFUNCTION("""COMPUTED_VALUE"""),1.0551896008603878)</f>
        <v>1.055189601</v>
      </c>
      <c r="AP658" s="35">
        <f>IFERROR(__xludf.DUMMYFUNCTION("""COMPUTED_VALUE"""),1.0076475163665848)</f>
        <v>1.007647516</v>
      </c>
      <c r="AQ658" s="57">
        <f>IFERROR(__xludf.DUMMYFUNCTION("""COMPUTED_VALUE"""),1.1022559195849269)</f>
        <v>1.10225592</v>
      </c>
      <c r="AR658" s="36" t="b">
        <f>IFERROR(__xludf.DUMMYFUNCTION("""COMPUTED_VALUE"""),TRUE)</f>
        <v>1</v>
      </c>
      <c r="AS658" s="57"/>
      <c r="AT658" s="37"/>
      <c r="AU658" s="30"/>
      <c r="AV658" s="30"/>
      <c r="AW658" s="30"/>
      <c r="AX658" s="30"/>
      <c r="AY658" s="30"/>
      <c r="AZ658" s="30"/>
    </row>
    <row r="659">
      <c r="A659" s="30" t="str">
        <f>IFERROR(__xludf.DUMMYFUNCTION("""COMPUTED_VALUE"""),"Rival")</f>
        <v>Rival</v>
      </c>
      <c r="B659" s="30" t="str">
        <f>IFERROR(__xludf.DUMMYFUNCTION("""COMPUTED_VALUE"""),"RSC004456")</f>
        <v>RSC004456</v>
      </c>
      <c r="C659" s="30" t="str">
        <f>IFERROR(__xludf.DUMMYFUNCTION("""COMPUTED_VALUE"""),"ShazamPoof")</f>
        <v>ShazamPoof</v>
      </c>
      <c r="D659" s="31" t="str">
        <f>IFERROR(__xludf.DUMMYFUNCTION("""COMPUTED_VALUE"""),"Centuriones")</f>
        <v>Centuriones</v>
      </c>
      <c r="E659" s="31">
        <f>IFERROR(__xludf.DUMMYFUNCTION("""COMPUTED_VALUE"""),35.58947263443245)</f>
        <v>35.58947263</v>
      </c>
      <c r="F659" s="31">
        <f>IFERROR(__xludf.DUMMYFUNCTION("""COMPUTED_VALUE"""),-3.544021956668669)</f>
        <v>-3.544021957</v>
      </c>
      <c r="G659" s="31">
        <f>IFERROR(__xludf.DUMMYFUNCTION("""COMPUTED_VALUE"""),34.627751661896454)</f>
        <v>34.62775166</v>
      </c>
      <c r="H659" s="31">
        <f>IFERROR(__xludf.DUMMYFUNCTION("""COMPUTED_VALUE"""),-3.7131418832501235)</f>
        <v>-3.713141883</v>
      </c>
      <c r="I659" s="54">
        <f>IFERROR(__xludf.DUMMYFUNCTION("""COMPUTED_VALUE"""),22.0)</f>
        <v>22</v>
      </c>
      <c r="J659" s="55">
        <f>IFERROR(__xludf.DUMMYFUNCTION("""COMPUTED_VALUE"""),6.0)</f>
        <v>6</v>
      </c>
      <c r="K659" s="54">
        <f>IFERROR(__xludf.DUMMYFUNCTION("""COMPUTED_VALUE"""),16.0)</f>
        <v>16</v>
      </c>
      <c r="L659" s="56">
        <f>IFERROR(__xludf.DUMMYFUNCTION("""COMPUTED_VALUE"""),0.2727272727272727)</f>
        <v>0.2727272727</v>
      </c>
      <c r="M659" s="56">
        <f>IFERROR(__xludf.DUMMYFUNCTION("""COMPUTED_VALUE"""),0.36)</f>
        <v>0.36</v>
      </c>
      <c r="N659" s="31">
        <f>IFERROR(__xludf.DUMMYFUNCTION("""COMPUTED_VALUE"""),298.04545454545456)</f>
        <v>298.0454545</v>
      </c>
      <c r="O659" s="57">
        <f>IFERROR(__xludf.DUMMYFUNCTION("""COMPUTED_VALUE"""),0.8181818181818182)</f>
        <v>0.8181818182</v>
      </c>
      <c r="P659" s="57">
        <f>IFERROR(__xludf.DUMMYFUNCTION("""COMPUTED_VALUE"""),0.45454545454545453)</f>
        <v>0.4545454545</v>
      </c>
      <c r="Q659" s="57">
        <f>IFERROR(__xludf.DUMMYFUNCTION("""COMPUTED_VALUE"""),1.0909090909090908)</f>
        <v>1.090909091</v>
      </c>
      <c r="R659" s="57">
        <f>IFERROR(__xludf.DUMMYFUNCTION("""COMPUTED_VALUE"""),2.272727272727273)</f>
        <v>2.272727273</v>
      </c>
      <c r="S659" s="31">
        <f>IFERROR(__xludf.DUMMYFUNCTION("""COMPUTED_VALUE"""),360.8333333333333)</f>
        <v>360.8333333</v>
      </c>
      <c r="T659" s="57">
        <f>IFERROR(__xludf.DUMMYFUNCTION("""COMPUTED_VALUE"""),0.9848484848484848)</f>
        <v>0.9848484848</v>
      </c>
      <c r="U659" s="57">
        <f>IFERROR(__xludf.DUMMYFUNCTION("""COMPUTED_VALUE"""),0.7121212121212123)</f>
        <v>0.7121212121</v>
      </c>
      <c r="V659" s="57">
        <f>IFERROR(__xludf.DUMMYFUNCTION("""COMPUTED_VALUE"""),1.0454545454545456)</f>
        <v>1.045454545</v>
      </c>
      <c r="W659" s="57">
        <f>IFERROR(__xludf.DUMMYFUNCTION("""COMPUTED_VALUE"""),2.833333333333333)</f>
        <v>2.833333333</v>
      </c>
      <c r="X659" s="31">
        <f>IFERROR(__xludf.DUMMYFUNCTION("""COMPUTED_VALUE"""),341.64962258416466)</f>
        <v>341.6496226</v>
      </c>
      <c r="Y659" s="57">
        <f>IFERROR(__xludf.DUMMYFUNCTION("""COMPUTED_VALUE"""),0.7623503483296264)</f>
        <v>0.7623503483</v>
      </c>
      <c r="Z659" s="57">
        <f>IFERROR(__xludf.DUMMYFUNCTION("""COMPUTED_VALUE"""),0.5618081617580282)</f>
        <v>0.5618081618</v>
      </c>
      <c r="AA659" s="57">
        <f>IFERROR(__xludf.DUMMYFUNCTION("""COMPUTED_VALUE"""),1.2823983305266728)</f>
        <v>1.282398331</v>
      </c>
      <c r="AB659" s="57">
        <f>IFERROR(__xludf.DUMMYFUNCTION("""COMPUTED_VALUE"""),2.5380021635870573)</f>
        <v>2.538002164</v>
      </c>
      <c r="AC659" s="31">
        <f>IFERROR(__xludf.DUMMYFUNCTION("""COMPUTED_VALUE"""),350.6380491587043)</f>
        <v>350.6380492</v>
      </c>
      <c r="AD659" s="57">
        <f>IFERROR(__xludf.DUMMYFUNCTION("""COMPUTED_VALUE"""),0.8262794778091124)</f>
        <v>0.8262794778</v>
      </c>
      <c r="AE659" s="57">
        <f>IFERROR(__xludf.DUMMYFUNCTION("""COMPUTED_VALUE"""),0.580803919705435)</f>
        <v>0.5808039197</v>
      </c>
      <c r="AF659" s="57">
        <f>IFERROR(__xludf.DUMMYFUNCTION("""COMPUTED_VALUE"""),1.2821424902340677)</f>
        <v>1.28214249</v>
      </c>
      <c r="AG659" s="57">
        <f>IFERROR(__xludf.DUMMYFUNCTION("""COMPUTED_VALUE"""),2.57364660579567)</f>
        <v>2.573646606</v>
      </c>
      <c r="AH659" s="57">
        <f>IFERROR(__xludf.DUMMYFUNCTION("""COMPUTED_VALUE"""),0.8500088774180765)</f>
        <v>0.8500088774</v>
      </c>
      <c r="AI659" s="57">
        <f>IFERROR(__xludf.DUMMYFUNCTION("""COMPUTED_VALUE"""),0.9901998538693407)</f>
        <v>0.9901998539</v>
      </c>
      <c r="AJ659" s="57">
        <f>IFERROR(__xludf.DUMMYFUNCTION("""COMPUTED_VALUE"""),0.7826143025618445)</f>
        <v>0.7826143026</v>
      </c>
      <c r="AK659" s="57">
        <f>IFERROR(__xludf.DUMMYFUNCTION("""COMPUTED_VALUE"""),0.8508485595153583)</f>
        <v>0.8508485595</v>
      </c>
      <c r="AL659" s="57">
        <f>IFERROR(__xludf.DUMMYFUNCTION("""COMPUTED_VALUE"""),0.8830766693489509)</f>
        <v>0.8830766693</v>
      </c>
      <c r="AM659" s="57">
        <f>IFERROR(__xludf.DUMMYFUNCTION("""COMPUTED_VALUE"""),1.0561502471569182)</f>
        <v>1.056150247</v>
      </c>
      <c r="AN659" s="57">
        <f>IFERROR(__xludf.DUMMYFUNCTION("""COMPUTED_VALUE"""),1.291858116161907)</f>
        <v>1.291858116</v>
      </c>
      <c r="AO659" s="57">
        <f>IFERROR(__xludf.DUMMYFUNCTION("""COMPUTED_VALUE"""),1.2675522724568822)</f>
        <v>1.267552272</v>
      </c>
      <c r="AP659" s="35">
        <f>IFERROR(__xludf.DUMMYFUNCTION("""COMPUTED_VALUE"""),0.8152338634324204)</f>
        <v>0.8152338634</v>
      </c>
      <c r="AQ659" s="57">
        <f>IFERROR(__xludf.DUMMYFUNCTION("""COMPUTED_VALUE"""),1.11636363986738)</f>
        <v>1.11636364</v>
      </c>
      <c r="AR659" s="36" t="b">
        <f>IFERROR(__xludf.DUMMYFUNCTION("""COMPUTED_VALUE"""),TRUE)</f>
        <v>1</v>
      </c>
      <c r="AS659" s="57"/>
      <c r="AT659" s="37"/>
      <c r="AU659" s="30"/>
      <c r="AV659" s="30"/>
      <c r="AW659" s="30"/>
      <c r="AX659" s="30"/>
      <c r="AY659" s="30"/>
      <c r="AZ659" s="30"/>
    </row>
    <row r="660">
      <c r="A660" s="30" t="str">
        <f>IFERROR(__xludf.DUMMYFUNCTION("""COMPUTED_VALUE"""),"Rival")</f>
        <v>Rival</v>
      </c>
      <c r="B660" s="30" t="str">
        <f>IFERROR(__xludf.DUMMYFUNCTION("""COMPUTED_VALUE"""),"RSC007767")</f>
        <v>RSC007767</v>
      </c>
      <c r="C660" s="30" t="str">
        <f>IFERROR(__xludf.DUMMYFUNCTION("""COMPUTED_VALUE"""),"SNOWIS")</f>
        <v>SNOWIS</v>
      </c>
      <c r="D660" s="31" t="str">
        <f>IFERROR(__xludf.DUMMYFUNCTION("""COMPUTED_VALUE"""),"Centuriones")</f>
        <v>Centuriones</v>
      </c>
      <c r="E660" s="31">
        <f>IFERROR(__xludf.DUMMYFUNCTION("""COMPUTED_VALUE"""),34.03853425867862)</f>
        <v>34.03853426</v>
      </c>
      <c r="F660" s="31">
        <f>IFERROR(__xludf.DUMMYFUNCTION("""COMPUTED_VALUE"""),-3.8228113477402608)</f>
        <v>-3.822811348</v>
      </c>
      <c r="G660" s="31">
        <f>IFERROR(__xludf.DUMMYFUNCTION("""COMPUTED_VALUE"""),39.78918207041504)</f>
        <v>39.78918207</v>
      </c>
      <c r="H660" s="31">
        <f>IFERROR(__xludf.DUMMYFUNCTION("""COMPUTED_VALUE"""),-2.9284462660199746)</f>
        <v>-2.928446266</v>
      </c>
      <c r="I660" s="54">
        <f>IFERROR(__xludf.DUMMYFUNCTION("""COMPUTED_VALUE"""),8.0)</f>
        <v>8</v>
      </c>
      <c r="J660" s="55">
        <f>IFERROR(__xludf.DUMMYFUNCTION("""COMPUTED_VALUE"""),1.0)</f>
        <v>1</v>
      </c>
      <c r="K660" s="54">
        <f>IFERROR(__xludf.DUMMYFUNCTION("""COMPUTED_VALUE"""),7.0)</f>
        <v>7</v>
      </c>
      <c r="L660" s="56">
        <f>IFERROR(__xludf.DUMMYFUNCTION("""COMPUTED_VALUE"""),0.125)</f>
        <v>0.125</v>
      </c>
      <c r="M660" s="56">
        <f>IFERROR(__xludf.DUMMYFUNCTION("""COMPUTED_VALUE"""),0.5)</f>
        <v>0.5</v>
      </c>
      <c r="N660" s="31">
        <f>IFERROR(__xludf.DUMMYFUNCTION("""COMPUTED_VALUE"""),318.625)</f>
        <v>318.625</v>
      </c>
      <c r="O660" s="57">
        <f>IFERROR(__xludf.DUMMYFUNCTION("""COMPUTED_VALUE"""),0.875)</f>
        <v>0.875</v>
      </c>
      <c r="P660" s="57">
        <f>IFERROR(__xludf.DUMMYFUNCTION("""COMPUTED_VALUE"""),0.625)</f>
        <v>0.625</v>
      </c>
      <c r="Q660" s="57">
        <f>IFERROR(__xludf.DUMMYFUNCTION("""COMPUTED_VALUE"""),1.0)</f>
        <v>1</v>
      </c>
      <c r="R660" s="57">
        <f>IFERROR(__xludf.DUMMYFUNCTION("""COMPUTED_VALUE"""),1.75)</f>
        <v>1.75</v>
      </c>
      <c r="S660" s="31">
        <f>IFERROR(__xludf.DUMMYFUNCTION("""COMPUTED_VALUE"""),395.9166666666667)</f>
        <v>395.9166667</v>
      </c>
      <c r="T660" s="57">
        <f>IFERROR(__xludf.DUMMYFUNCTION("""COMPUTED_VALUE"""),1.2083333333333333)</f>
        <v>1.208333333</v>
      </c>
      <c r="U660" s="57">
        <f>IFERROR(__xludf.DUMMYFUNCTION("""COMPUTED_VALUE"""),0.875)</f>
        <v>0.875</v>
      </c>
      <c r="V660" s="57">
        <f>IFERROR(__xludf.DUMMYFUNCTION("""COMPUTED_VALUE"""),1.0833333333333333)</f>
        <v>1.083333333</v>
      </c>
      <c r="W660" s="57">
        <f>IFERROR(__xludf.DUMMYFUNCTION("""COMPUTED_VALUE"""),3.0000000000000004)</f>
        <v>3</v>
      </c>
      <c r="X660" s="31">
        <f>IFERROR(__xludf.DUMMYFUNCTION("""COMPUTED_VALUE"""),351.66653138528136)</f>
        <v>351.6665314</v>
      </c>
      <c r="Y660" s="57">
        <f>IFERROR(__xludf.DUMMYFUNCTION("""COMPUTED_VALUE"""),0.7853760822510822)</f>
        <v>0.7853760823</v>
      </c>
      <c r="Z660" s="57">
        <f>IFERROR(__xludf.DUMMYFUNCTION("""COMPUTED_VALUE"""),0.5989357864357864)</f>
        <v>0.5989357864</v>
      </c>
      <c r="AA660" s="57">
        <f>IFERROR(__xludf.DUMMYFUNCTION("""COMPUTED_VALUE"""),1.3220598845598843)</f>
        <v>1.322059885</v>
      </c>
      <c r="AB660" s="57">
        <f>IFERROR(__xludf.DUMMYFUNCTION("""COMPUTED_VALUE"""),2.6080447330447325)</f>
        <v>2.608044733</v>
      </c>
      <c r="AC660" s="31">
        <f>IFERROR(__xludf.DUMMYFUNCTION("""COMPUTED_VALUE"""),354.9860960798461)</f>
        <v>354.9860961</v>
      </c>
      <c r="AD660" s="57">
        <f>IFERROR(__xludf.DUMMYFUNCTION("""COMPUTED_VALUE"""),0.8200682419432419)</f>
        <v>0.8200682419</v>
      </c>
      <c r="AE660" s="57">
        <f>IFERROR(__xludf.DUMMYFUNCTION("""COMPUTED_VALUE"""),0.6126518157768158)</f>
        <v>0.6126518158</v>
      </c>
      <c r="AF660" s="57">
        <f>IFERROR(__xludf.DUMMYFUNCTION("""COMPUTED_VALUE"""),1.2791982323232323)</f>
        <v>1.279198232</v>
      </c>
      <c r="AG660" s="57">
        <f>IFERROR(__xludf.DUMMYFUNCTION("""COMPUTED_VALUE"""),2.626488095238095)</f>
        <v>2.626488095</v>
      </c>
      <c r="AH660" s="57">
        <f>IFERROR(__xludf.DUMMYFUNCTION("""COMPUTED_VALUE"""),0.8975703654836455)</f>
        <v>0.8975703655</v>
      </c>
      <c r="AI660" s="57">
        <f>IFERROR(__xludf.DUMMYFUNCTION("""COMPUTED_VALUE"""),1.0669843742840124)</f>
        <v>1.066984374</v>
      </c>
      <c r="AJ660" s="57">
        <f>IFERROR(__xludf.DUMMYFUNCTION("""COMPUTED_VALUE"""),1.020155305028399)</f>
        <v>1.020155305</v>
      </c>
      <c r="AK660" s="57">
        <f>IFERROR(__xludf.DUMMYFUNCTION("""COMPUTED_VALUE"""),0.7817396668723011)</f>
        <v>0.7817396669</v>
      </c>
      <c r="AL660" s="57">
        <f>IFERROR(__xludf.DUMMYFUNCTION("""COMPUTED_VALUE"""),0.6662889518413598)</f>
        <v>0.6662889518</v>
      </c>
      <c r="AM660" s="57">
        <f>IFERROR(__xludf.DUMMYFUNCTION("""COMPUTED_VALUE"""),1.1258298169776795)</f>
        <v>1.125829817</v>
      </c>
      <c r="AN660" s="57">
        <f>IFERROR(__xludf.DUMMYFUNCTION("""COMPUTED_VALUE"""),1.5385410386702265)</f>
        <v>1.538541039</v>
      </c>
      <c r="AO660" s="57">
        <f>IFERROR(__xludf.DUMMYFUNCTION("""COMPUTED_VALUE"""),1.4609245595542841)</f>
        <v>1.46092456</v>
      </c>
      <c r="AP660" s="35">
        <f>IFERROR(__xludf.DUMMYFUNCTION("""COMPUTED_VALUE"""),0.8194283375400778)</f>
        <v>0.8194283375</v>
      </c>
      <c r="AQ660" s="57">
        <f>IFERROR(__xludf.DUMMYFUNCTION("""COMPUTED_VALUE"""),1.1502870184660077)</f>
        <v>1.150287018</v>
      </c>
      <c r="AR660" s="36" t="b">
        <f>IFERROR(__xludf.DUMMYFUNCTION("""COMPUTED_VALUE"""),TRUE)</f>
        <v>1</v>
      </c>
      <c r="AS660" s="57"/>
      <c r="AT660" s="37"/>
      <c r="AU660" s="30"/>
      <c r="AV660" s="30"/>
      <c r="AW660" s="30"/>
      <c r="AX660" s="30"/>
      <c r="AY660" s="30"/>
      <c r="AZ660" s="30"/>
    </row>
    <row r="661">
      <c r="A661" s="30" t="str">
        <f>IFERROR(__xludf.DUMMYFUNCTION("""COMPUTED_VALUE"""),"Rival")</f>
        <v>Rival</v>
      </c>
      <c r="B661" s="30" t="str">
        <f>IFERROR(__xludf.DUMMYFUNCTION("""COMPUTED_VALUE"""),"RSC006199")</f>
        <v>RSC006199</v>
      </c>
      <c r="C661" s="30" t="str">
        <f>IFERROR(__xludf.DUMMYFUNCTION("""COMPUTED_VALUE"""),"Irozuh-")</f>
        <v>Irozuh-</v>
      </c>
      <c r="D661" s="31" t="str">
        <f>IFERROR(__xludf.DUMMYFUNCTION("""COMPUTED_VALUE"""),"Ostriches")</f>
        <v>Ostriches</v>
      </c>
      <c r="E661" s="31">
        <f>IFERROR(__xludf.DUMMYFUNCTION("""COMPUTED_VALUE"""),33.87915849476251)</f>
        <v>33.87915849</v>
      </c>
      <c r="F661" s="31">
        <f>IFERROR(__xludf.DUMMYFUNCTION("""COMPUTED_VALUE"""),-3.853304792720558)</f>
        <v>-3.853304793</v>
      </c>
      <c r="G661" s="31">
        <f>IFERROR(__xludf.DUMMYFUNCTION("""COMPUTED_VALUE"""),27.014620158879183)</f>
        <v>27.01462016</v>
      </c>
      <c r="H661" s="31">
        <f>IFERROR(__xludf.DUMMYFUNCTION("""COMPUTED_VALUE"""),-5.588489686195071)</f>
        <v>-5.588489686</v>
      </c>
      <c r="I661" s="54">
        <f>IFERROR(__xludf.DUMMYFUNCTION("""COMPUTED_VALUE"""),24.0)</f>
        <v>24</v>
      </c>
      <c r="J661" s="55">
        <f>IFERROR(__xludf.DUMMYFUNCTION("""COMPUTED_VALUE"""),7.0)</f>
        <v>7</v>
      </c>
      <c r="K661" s="54">
        <f>IFERROR(__xludf.DUMMYFUNCTION("""COMPUTED_VALUE"""),17.0)</f>
        <v>17</v>
      </c>
      <c r="L661" s="56">
        <f>IFERROR(__xludf.DUMMYFUNCTION("""COMPUTED_VALUE"""),0.2916666666666667)</f>
        <v>0.2916666667</v>
      </c>
      <c r="M661" s="56">
        <f>IFERROR(__xludf.DUMMYFUNCTION("""COMPUTED_VALUE"""),0.37999999999999995)</f>
        <v>0.38</v>
      </c>
      <c r="N661" s="31">
        <f>IFERROR(__xludf.DUMMYFUNCTION("""COMPUTED_VALUE"""),298.7083333333333)</f>
        <v>298.7083333</v>
      </c>
      <c r="O661" s="57">
        <f>IFERROR(__xludf.DUMMYFUNCTION("""COMPUTED_VALUE"""),0.7916666666666666)</f>
        <v>0.7916666667</v>
      </c>
      <c r="P661" s="57">
        <f>IFERROR(__xludf.DUMMYFUNCTION("""COMPUTED_VALUE"""),0.3333333333333333)</f>
        <v>0.3333333333</v>
      </c>
      <c r="Q661" s="57">
        <f>IFERROR(__xludf.DUMMYFUNCTION("""COMPUTED_VALUE"""),1.0)</f>
        <v>1</v>
      </c>
      <c r="R661" s="57">
        <f>IFERROR(__xludf.DUMMYFUNCTION("""COMPUTED_VALUE"""),2.0833333333333335)</f>
        <v>2.083333333</v>
      </c>
      <c r="S661" s="31">
        <f>IFERROR(__xludf.DUMMYFUNCTION("""COMPUTED_VALUE"""),385.23611111111126)</f>
        <v>385.2361111</v>
      </c>
      <c r="T661" s="57">
        <f>IFERROR(__xludf.DUMMYFUNCTION("""COMPUTED_VALUE"""),0.9722222222222223)</f>
        <v>0.9722222222</v>
      </c>
      <c r="U661" s="57">
        <f>IFERROR(__xludf.DUMMYFUNCTION("""COMPUTED_VALUE"""),0.7083333333333334)</f>
        <v>0.7083333333</v>
      </c>
      <c r="V661" s="57">
        <f>IFERROR(__xludf.DUMMYFUNCTION("""COMPUTED_VALUE"""),1.3472222222222223)</f>
        <v>1.347222222</v>
      </c>
      <c r="W661" s="57">
        <f>IFERROR(__xludf.DUMMYFUNCTION("""COMPUTED_VALUE"""),2.6944444444444446)</f>
        <v>2.694444444</v>
      </c>
      <c r="X661" s="31">
        <f>IFERROR(__xludf.DUMMYFUNCTION("""COMPUTED_VALUE"""),350.84573143338713)</f>
        <v>350.8457314</v>
      </c>
      <c r="Y661" s="57">
        <f>IFERROR(__xludf.DUMMYFUNCTION("""COMPUTED_VALUE"""),0.7675581553759785)</f>
        <v>0.7675581554</v>
      </c>
      <c r="Z661" s="57">
        <f>IFERROR(__xludf.DUMMYFUNCTION("""COMPUTED_VALUE"""),0.6391072580348791)</f>
        <v>0.639107258</v>
      </c>
      <c r="AA661" s="57">
        <f>IFERROR(__xludf.DUMMYFUNCTION("""COMPUTED_VALUE"""),1.3136067079693166)</f>
        <v>1.313606708</v>
      </c>
      <c r="AB661" s="57">
        <f>IFERROR(__xludf.DUMMYFUNCTION("""COMPUTED_VALUE"""),2.5635514216395894)</f>
        <v>2.563551422</v>
      </c>
      <c r="AC661" s="31">
        <f>IFERROR(__xludf.DUMMYFUNCTION("""COMPUTED_VALUE"""),336.45842582014217)</f>
        <v>336.4584258</v>
      </c>
      <c r="AD661" s="57">
        <f>IFERROR(__xludf.DUMMYFUNCTION("""COMPUTED_VALUE"""),0.7055309515906395)</f>
        <v>0.7055309516</v>
      </c>
      <c r="AE661" s="57">
        <f>IFERROR(__xludf.DUMMYFUNCTION("""COMPUTED_VALUE"""),0.5243348860369997)</f>
        <v>0.524334886</v>
      </c>
      <c r="AF661" s="57">
        <f>IFERROR(__xludf.DUMMYFUNCTION("""COMPUTED_VALUE"""),1.3166949772526635)</f>
        <v>1.316694977</v>
      </c>
      <c r="AG661" s="57">
        <f>IFERROR(__xludf.DUMMYFUNCTION("""COMPUTED_VALUE"""),2.4563837833781705)</f>
        <v>2.456383783</v>
      </c>
      <c r="AH661" s="57">
        <f>IFERROR(__xludf.DUMMYFUNCTION("""COMPUTED_VALUE"""),0.887801613543218)</f>
        <v>0.8878016135</v>
      </c>
      <c r="AI661" s="57">
        <f>IFERROR(__xludf.DUMMYFUNCTION("""COMPUTED_VALUE"""),1.1220863732226514)</f>
        <v>1.122086373</v>
      </c>
      <c r="AJ661" s="57">
        <f>IFERROR(__xludf.DUMMYFUNCTION("""COMPUTED_VALUE"""),0.6357260258853187)</f>
        <v>0.6357260259</v>
      </c>
      <c r="AK661" s="57">
        <f>IFERROR(__xludf.DUMMYFUNCTION("""COMPUTED_VALUE"""),0.7594773408238709)</f>
        <v>0.7594773408</v>
      </c>
      <c r="AL661" s="57">
        <f>IFERROR(__xludf.DUMMYFUNCTION("""COMPUTED_VALUE"""),0.8481302259975861)</f>
        <v>0.848130226</v>
      </c>
      <c r="AM661" s="57">
        <f>IFERROR(__xludf.DUMMYFUNCTION("""COMPUTED_VALUE"""),1.098021371208427)</f>
        <v>1.098021371</v>
      </c>
      <c r="AN661" s="57">
        <f>IFERROR(__xludf.DUMMYFUNCTION("""COMPUTED_VALUE"""),1.2666430750722617)</f>
        <v>1.266643075</v>
      </c>
      <c r="AO661" s="57">
        <f>IFERROR(__xludf.DUMMYFUNCTION("""COMPUTED_VALUE"""),1.1083168348162873)</f>
        <v>1.108316835</v>
      </c>
      <c r="AP661" s="35">
        <f>IFERROR(__xludf.DUMMYFUNCTION("""COMPUTED_VALUE"""),1.02559024253528)</f>
        <v>1.025590243</v>
      </c>
      <c r="AQ661" s="57">
        <f>IFERROR(__xludf.DUMMYFUNCTION("""COMPUTED_VALUE"""),1.051059253853835)</f>
        <v>1.051059254</v>
      </c>
      <c r="AR661" s="36" t="b">
        <f>IFERROR(__xludf.DUMMYFUNCTION("""COMPUTED_VALUE"""),TRUE)</f>
        <v>1</v>
      </c>
      <c r="AS661" s="57"/>
      <c r="AT661" s="37"/>
      <c r="AU661" s="30"/>
      <c r="AV661" s="30"/>
      <c r="AW661" s="30"/>
      <c r="AX661" s="30"/>
      <c r="AY661" s="30"/>
      <c r="AZ661" s="30"/>
    </row>
    <row r="662">
      <c r="A662" s="30" t="str">
        <f>IFERROR(__xludf.DUMMYFUNCTION("""COMPUTED_VALUE"""),"Rival")</f>
        <v>Rival</v>
      </c>
      <c r="B662" s="30" t="str">
        <f>IFERROR(__xludf.DUMMYFUNCTION("""COMPUTED_VALUE"""),"RSC007227")</f>
        <v>RSC007227</v>
      </c>
      <c r="C662" s="30" t="str">
        <f>IFERROR(__xludf.DUMMYFUNCTION("""COMPUTED_VALUE"""),"Trickyzekie")</f>
        <v>Trickyzekie</v>
      </c>
      <c r="D662" s="31" t="str">
        <f>IFERROR(__xludf.DUMMYFUNCTION("""COMPUTED_VALUE"""),"Ostriches")</f>
        <v>Ostriches</v>
      </c>
      <c r="E662" s="31">
        <f>IFERROR(__xludf.DUMMYFUNCTION("""COMPUTED_VALUE"""),33.58562743099104)</f>
        <v>33.58562743</v>
      </c>
      <c r="F662" s="31">
        <f>IFERROR(__xludf.DUMMYFUNCTION("""COMPUTED_VALUE"""),-3.910417873791661)</f>
        <v>-3.910417874</v>
      </c>
      <c r="G662" s="31">
        <f>IFERROR(__xludf.DUMMYFUNCTION("""COMPUTED_VALUE"""),30.757472700264437)</f>
        <v>30.7574727</v>
      </c>
      <c r="H662" s="31">
        <f>IFERROR(__xludf.DUMMYFUNCTION("""COMPUTED_VALUE"""),-4.530245048884919)</f>
        <v>-4.530245049</v>
      </c>
      <c r="I662" s="54">
        <f>IFERROR(__xludf.DUMMYFUNCTION("""COMPUTED_VALUE"""),26.0)</f>
        <v>26</v>
      </c>
      <c r="J662" s="55">
        <f>IFERROR(__xludf.DUMMYFUNCTION("""COMPUTED_VALUE"""),8.0)</f>
        <v>8</v>
      </c>
      <c r="K662" s="54">
        <f>IFERROR(__xludf.DUMMYFUNCTION("""COMPUTED_VALUE"""),18.0)</f>
        <v>18</v>
      </c>
      <c r="L662" s="56">
        <f>IFERROR(__xludf.DUMMYFUNCTION("""COMPUTED_VALUE"""),0.3076923076923077)</f>
        <v>0.3076923077</v>
      </c>
      <c r="M662" s="56">
        <f>IFERROR(__xludf.DUMMYFUNCTION("""COMPUTED_VALUE"""),0.33999999999999997)</f>
        <v>0.34</v>
      </c>
      <c r="N662" s="31">
        <f>IFERROR(__xludf.DUMMYFUNCTION("""COMPUTED_VALUE"""),321.84615384615387)</f>
        <v>321.8461538</v>
      </c>
      <c r="O662" s="57">
        <f>IFERROR(__xludf.DUMMYFUNCTION("""COMPUTED_VALUE"""),0.6538461538461539)</f>
        <v>0.6538461538</v>
      </c>
      <c r="P662" s="57">
        <f>IFERROR(__xludf.DUMMYFUNCTION("""COMPUTED_VALUE"""),0.34615384615384615)</f>
        <v>0.3461538462</v>
      </c>
      <c r="Q662" s="57">
        <f>IFERROR(__xludf.DUMMYFUNCTION("""COMPUTED_VALUE"""),1.3461538461538463)</f>
        <v>1.346153846</v>
      </c>
      <c r="R662" s="57">
        <f>IFERROR(__xludf.DUMMYFUNCTION("""COMPUTED_VALUE"""),1.9230769230769231)</f>
        <v>1.923076923</v>
      </c>
      <c r="S662" s="31">
        <f>IFERROR(__xludf.DUMMYFUNCTION("""COMPUTED_VALUE"""),365.474358974359)</f>
        <v>365.474359</v>
      </c>
      <c r="T662" s="57">
        <f>IFERROR(__xludf.DUMMYFUNCTION("""COMPUTED_VALUE"""),0.8974358974358976)</f>
        <v>0.8974358974</v>
      </c>
      <c r="U662" s="57">
        <f>IFERROR(__xludf.DUMMYFUNCTION("""COMPUTED_VALUE"""),0.5897435897435898)</f>
        <v>0.5897435897</v>
      </c>
      <c r="V662" s="57">
        <f>IFERROR(__xludf.DUMMYFUNCTION("""COMPUTED_VALUE"""),1.3076923076923077)</f>
        <v>1.307692308</v>
      </c>
      <c r="W662" s="57">
        <f>IFERROR(__xludf.DUMMYFUNCTION("""COMPUTED_VALUE"""),2.7692307692307687)</f>
        <v>2.769230769</v>
      </c>
      <c r="X662" s="31">
        <f>IFERROR(__xludf.DUMMYFUNCTION("""COMPUTED_VALUE"""),356.1737190778714)</f>
        <v>356.1737191</v>
      </c>
      <c r="Y662" s="57">
        <f>IFERROR(__xludf.DUMMYFUNCTION("""COMPUTED_VALUE"""),0.8262916191025101)</f>
        <v>0.8262916191</v>
      </c>
      <c r="Z662" s="57">
        <f>IFERROR(__xludf.DUMMYFUNCTION("""COMPUTED_VALUE"""),0.6263073846745247)</f>
        <v>0.6263073847</v>
      </c>
      <c r="AA662" s="57">
        <f>IFERROR(__xludf.DUMMYFUNCTION("""COMPUTED_VALUE"""),1.247392727141908)</f>
        <v>1.247392727</v>
      </c>
      <c r="AB662" s="57">
        <f>IFERROR(__xludf.DUMMYFUNCTION("""COMPUTED_VALUE"""),2.658072466979863)</f>
        <v>2.658072467</v>
      </c>
      <c r="AC662" s="31">
        <f>IFERROR(__xludf.DUMMYFUNCTION("""COMPUTED_VALUE"""),333.4219600880878)</f>
        <v>333.4219601</v>
      </c>
      <c r="AD662" s="57">
        <f>IFERROR(__xludf.DUMMYFUNCTION("""COMPUTED_VALUE"""),0.690771719924734)</f>
        <v>0.6907717199</v>
      </c>
      <c r="AE662" s="57">
        <f>IFERROR(__xludf.DUMMYFUNCTION("""COMPUTED_VALUE"""),0.4930748305936842)</f>
        <v>0.4930748306</v>
      </c>
      <c r="AF662" s="57">
        <f>IFERROR(__xludf.DUMMYFUNCTION("""COMPUTED_VALUE"""),1.3418834250002656)</f>
        <v>1.341883425</v>
      </c>
      <c r="AG662" s="57">
        <f>IFERROR(__xludf.DUMMYFUNCTION("""COMPUTED_VALUE"""),2.3888108525740503)</f>
        <v>2.388810853</v>
      </c>
      <c r="AH662" s="57">
        <f>IFERROR(__xludf.DUMMYFUNCTION("""COMPUTED_VALUE"""),0.9652818121551571)</f>
        <v>0.9652818122</v>
      </c>
      <c r="AI662" s="57">
        <f>IFERROR(__xludf.DUMMYFUNCTION("""COMPUTED_VALUE"""),0.9465444733571265)</f>
        <v>0.9465444734</v>
      </c>
      <c r="AJ662" s="57">
        <f>IFERROR(__xludf.DUMMYFUNCTION("""COMPUTED_VALUE"""),0.7020310603505383)</f>
        <v>0.7020310604</v>
      </c>
      <c r="AK662" s="57">
        <f>IFERROR(__xludf.DUMMYFUNCTION("""COMPUTED_VALUE"""),1.0031824084521945)</f>
        <v>1.003182408</v>
      </c>
      <c r="AL662" s="57">
        <f>IFERROR(__xludf.DUMMYFUNCTION("""COMPUTED_VALUE"""),0.8050352421183627)</f>
        <v>0.8050352421</v>
      </c>
      <c r="AM662" s="57">
        <f>IFERROR(__xludf.DUMMYFUNCTION("""COMPUTED_VALUE"""),1.0261126506485847)</f>
        <v>1.026112651</v>
      </c>
      <c r="AN662" s="57">
        <f>IFERROR(__xludf.DUMMYFUNCTION("""COMPUTED_VALUE"""),1.0861006897427592)</f>
        <v>1.08610069</v>
      </c>
      <c r="AO662" s="57">
        <f>IFERROR(__xludf.DUMMYFUNCTION("""COMPUTED_VALUE"""),0.941620048197362)</f>
        <v>0.9416200482</v>
      </c>
      <c r="AP662" s="35">
        <f>IFERROR(__xludf.DUMMYFUNCTION("""COMPUTED_VALUE"""),1.0483404939265288)</f>
        <v>1.048340494</v>
      </c>
      <c r="AQ662" s="57">
        <f>IFERROR(__xludf.DUMMYFUNCTION("""COMPUTED_VALUE"""),1.041819139106168)</f>
        <v>1.041819139</v>
      </c>
      <c r="AR662" s="36" t="b">
        <f>IFERROR(__xludf.DUMMYFUNCTION("""COMPUTED_VALUE"""),TRUE)</f>
        <v>1</v>
      </c>
      <c r="AS662" s="57"/>
      <c r="AT662" s="37"/>
      <c r="AU662" s="30"/>
      <c r="AV662" s="30"/>
      <c r="AW662" s="30"/>
      <c r="AX662" s="30"/>
      <c r="AY662" s="30"/>
      <c r="AZ662" s="30"/>
    </row>
    <row r="663">
      <c r="A663" s="30" t="str">
        <f>IFERROR(__xludf.DUMMYFUNCTION("""COMPUTED_VALUE"""),"Rival")</f>
        <v>Rival</v>
      </c>
      <c r="B663" s="30" t="str">
        <f>IFERROR(__xludf.DUMMYFUNCTION("""COMPUTED_VALUE"""),"RSC004670")</f>
        <v>RSC004670</v>
      </c>
      <c r="C663" s="30" t="str">
        <f>IFERROR(__xludf.DUMMYFUNCTION("""COMPUTED_VALUE"""),"CarnageWolfBite")</f>
        <v>CarnageWolfBite</v>
      </c>
      <c r="D663" s="31" t="str">
        <f>IFERROR(__xludf.DUMMYFUNCTION("""COMPUTED_VALUE"""),"50 Cent")</f>
        <v>50 Cent</v>
      </c>
      <c r="E663" s="31">
        <f>IFERROR(__xludf.DUMMYFUNCTION("""COMPUTED_VALUE"""),33.363014611561)</f>
        <v>33.36301461</v>
      </c>
      <c r="F663" s="31">
        <f>IFERROR(__xludf.DUMMYFUNCTION("""COMPUTED_VALUE"""),-3.954570642297021)</f>
        <v>-3.954570642</v>
      </c>
      <c r="G663" s="31">
        <f>IFERROR(__xludf.DUMMYFUNCTION("""COMPUTED_VALUE"""),25.189605479431858)</f>
        <v>25.18960548</v>
      </c>
      <c r="H663" s="31">
        <f>IFERROR(__xludf.DUMMYFUNCTION("""COMPUTED_VALUE"""),-6.230631614408931)</f>
        <v>-6.230631614</v>
      </c>
      <c r="I663" s="54">
        <f>IFERROR(__xludf.DUMMYFUNCTION("""COMPUTED_VALUE"""),26.0)</f>
        <v>26</v>
      </c>
      <c r="J663" s="55">
        <f>IFERROR(__xludf.DUMMYFUNCTION("""COMPUTED_VALUE"""),11.0)</f>
        <v>11</v>
      </c>
      <c r="K663" s="54">
        <f>IFERROR(__xludf.DUMMYFUNCTION("""COMPUTED_VALUE"""),15.0)</f>
        <v>15</v>
      </c>
      <c r="L663" s="56">
        <f>IFERROR(__xludf.DUMMYFUNCTION("""COMPUTED_VALUE"""),0.4230769230769231)</f>
        <v>0.4230769231</v>
      </c>
      <c r="M663" s="56">
        <f>IFERROR(__xludf.DUMMYFUNCTION("""COMPUTED_VALUE"""),0.3035714285714286)</f>
        <v>0.3035714286</v>
      </c>
      <c r="N663" s="31">
        <f>IFERROR(__xludf.DUMMYFUNCTION("""COMPUTED_VALUE"""),303.84615384615387)</f>
        <v>303.8461538</v>
      </c>
      <c r="O663" s="57">
        <f>IFERROR(__xludf.DUMMYFUNCTION("""COMPUTED_VALUE"""),0.6538461538461539)</f>
        <v>0.6538461538</v>
      </c>
      <c r="P663" s="57">
        <f>IFERROR(__xludf.DUMMYFUNCTION("""COMPUTED_VALUE"""),0.5384615384615384)</f>
        <v>0.5384615385</v>
      </c>
      <c r="Q663" s="57">
        <f>IFERROR(__xludf.DUMMYFUNCTION("""COMPUTED_VALUE"""),1.1538461538461537)</f>
        <v>1.153846154</v>
      </c>
      <c r="R663" s="57">
        <f>IFERROR(__xludf.DUMMYFUNCTION("""COMPUTED_VALUE"""),2.1538461538461537)</f>
        <v>2.153846154</v>
      </c>
      <c r="S663" s="31">
        <f>IFERROR(__xludf.DUMMYFUNCTION("""COMPUTED_VALUE"""),375.17948717948724)</f>
        <v>375.1794872</v>
      </c>
      <c r="T663" s="57">
        <f>IFERROR(__xludf.DUMMYFUNCTION("""COMPUTED_VALUE"""),0.9615384615384616)</f>
        <v>0.9615384615</v>
      </c>
      <c r="U663" s="57">
        <f>IFERROR(__xludf.DUMMYFUNCTION("""COMPUTED_VALUE"""),0.641025641025641)</f>
        <v>0.641025641</v>
      </c>
      <c r="V663" s="57">
        <f>IFERROR(__xludf.DUMMYFUNCTION("""COMPUTED_VALUE"""),1.3846153846153848)</f>
        <v>1.384615385</v>
      </c>
      <c r="W663" s="57">
        <f>IFERROR(__xludf.DUMMYFUNCTION("""COMPUTED_VALUE"""),2.730769230769231)</f>
        <v>2.730769231</v>
      </c>
      <c r="X663" s="31">
        <f>IFERROR(__xludf.DUMMYFUNCTION("""COMPUTED_VALUE"""),353.37140568781274)</f>
        <v>353.3714057</v>
      </c>
      <c r="Y663" s="57">
        <f>IFERROR(__xludf.DUMMYFUNCTION("""COMPUTED_VALUE"""),0.8170239634825569)</f>
        <v>0.8170239635</v>
      </c>
      <c r="Z663" s="57">
        <f>IFERROR(__xludf.DUMMYFUNCTION("""COMPUTED_VALUE"""),0.5770586759030745)</f>
        <v>0.5770586759</v>
      </c>
      <c r="AA663" s="57">
        <f>IFERROR(__xludf.DUMMYFUNCTION("""COMPUTED_VALUE"""),1.382046733179905)</f>
        <v>1.382046733</v>
      </c>
      <c r="AB663" s="57">
        <f>IFERROR(__xludf.DUMMYFUNCTION("""COMPUTED_VALUE"""),2.711562080453483)</f>
        <v>2.71156208</v>
      </c>
      <c r="AC663" s="31">
        <f>IFERROR(__xludf.DUMMYFUNCTION("""COMPUTED_VALUE"""),357.92528373515154)</f>
        <v>357.9252837</v>
      </c>
      <c r="AD663" s="57">
        <f>IFERROR(__xludf.DUMMYFUNCTION("""COMPUTED_VALUE"""),0.8315285873291867)</f>
        <v>0.8315285873</v>
      </c>
      <c r="AE663" s="57">
        <f>IFERROR(__xludf.DUMMYFUNCTION("""COMPUTED_VALUE"""),0.6095649267278029)</f>
        <v>0.6095649267</v>
      </c>
      <c r="AF663" s="57">
        <f>IFERROR(__xludf.DUMMYFUNCTION("""COMPUTED_VALUE"""),1.3373847712222782)</f>
        <v>1.337384771</v>
      </c>
      <c r="AG663" s="57">
        <f>IFERROR(__xludf.DUMMYFUNCTION("""COMPUTED_VALUE"""),2.725424737210734)</f>
        <v>2.725424737</v>
      </c>
      <c r="AH663" s="57">
        <f>IFERROR(__xludf.DUMMYFUNCTION("""COMPUTED_VALUE"""),0.8489094446621609)</f>
        <v>0.8489094447</v>
      </c>
      <c r="AI663" s="57">
        <f>IFERROR(__xludf.DUMMYFUNCTION("""COMPUTED_VALUE"""),0.786318310409824)</f>
        <v>0.7863183104</v>
      </c>
      <c r="AJ663" s="57">
        <f>IFERROR(__xludf.DUMMYFUNCTION("""COMPUTED_VALUE"""),0.8833538723299689)</f>
        <v>0.8833538723</v>
      </c>
      <c r="AK663" s="57">
        <f>IFERROR(__xludf.DUMMYFUNCTION("""COMPUTED_VALUE"""),0.8627630422257742)</f>
        <v>0.8627630422</v>
      </c>
      <c r="AL663" s="57">
        <f>IFERROR(__xludf.DUMMYFUNCTION("""COMPUTED_VALUE"""),0.79027907996845)</f>
        <v>0.79027908</v>
      </c>
      <c r="AM663" s="57">
        <f>IFERROR(__xludf.DUMMYFUNCTION("""COMPUTED_VALUE"""),1.0617143355140086)</f>
        <v>1.061714336</v>
      </c>
      <c r="AN663" s="57">
        <f>IFERROR(__xludf.DUMMYFUNCTION("""COMPUTED_VALUE"""),1.1768791424916265)</f>
        <v>1.176879142</v>
      </c>
      <c r="AO663" s="57">
        <f>IFERROR(__xludf.DUMMYFUNCTION("""COMPUTED_VALUE"""),1.1108500188866595)</f>
        <v>1.110850019</v>
      </c>
      <c r="AP663" s="35">
        <f>IFERROR(__xludf.DUMMYFUNCTION("""COMPUTED_VALUE"""),1.0018585850780675)</f>
        <v>1.001858585</v>
      </c>
      <c r="AQ663" s="57">
        <f>IFERROR(__xludf.DUMMYFUNCTION("""COMPUTED_VALUE"""),1.0070834263593684)</f>
        <v>1.007083426</v>
      </c>
      <c r="AR663" s="36" t="b">
        <f>IFERROR(__xludf.DUMMYFUNCTION("""COMPUTED_VALUE"""),TRUE)</f>
        <v>1</v>
      </c>
      <c r="AS663" s="57"/>
      <c r="AT663" s="37"/>
      <c r="AU663" s="30"/>
      <c r="AV663" s="30"/>
      <c r="AW663" s="30"/>
      <c r="AX663" s="30"/>
      <c r="AY663" s="30"/>
      <c r="AZ663" s="30"/>
    </row>
    <row r="664">
      <c r="A664" s="30" t="str">
        <f>IFERROR(__xludf.DUMMYFUNCTION("""COMPUTED_VALUE"""),"Rival")</f>
        <v>Rival</v>
      </c>
      <c r="B664" s="30" t="str">
        <f>IFERROR(__xludf.DUMMYFUNCTION("""COMPUTED_VALUE"""),"RSC003094")</f>
        <v>RSC003094</v>
      </c>
      <c r="C664" s="30" t="str">
        <f>IFERROR(__xludf.DUMMYFUNCTION("""COMPUTED_VALUE"""),"Galvarino")</f>
        <v>Galvarino</v>
      </c>
      <c r="D664" s="31" t="str">
        <f>IFERROR(__xludf.DUMMYFUNCTION("""COMPUTED_VALUE"""),"Polar Bears")</f>
        <v>Polar Bears</v>
      </c>
      <c r="E664" s="31">
        <f>IFERROR(__xludf.DUMMYFUNCTION("""COMPUTED_VALUE"""),32.99496116056736)</f>
        <v>32.99496116</v>
      </c>
      <c r="F664" s="31">
        <f>IFERROR(__xludf.DUMMYFUNCTION("""COMPUTED_VALUE"""),-4.029196778389768)</f>
        <v>-4.029196778</v>
      </c>
      <c r="G664" s="31">
        <f>IFERROR(__xludf.DUMMYFUNCTION("""COMPUTED_VALUE"""),31.822177789522318)</f>
        <v>31.82217779</v>
      </c>
      <c r="H664" s="31">
        <f>IFERROR(__xludf.DUMMYFUNCTION("""COMPUTED_VALUE"""),-4.281217746988176)</f>
        <v>-4.281217747</v>
      </c>
      <c r="I664" s="54">
        <f>IFERROR(__xludf.DUMMYFUNCTION("""COMPUTED_VALUE"""),22.0)</f>
        <v>22</v>
      </c>
      <c r="J664" s="55">
        <f>IFERROR(__xludf.DUMMYFUNCTION("""COMPUTED_VALUE"""),9.0)</f>
        <v>9</v>
      </c>
      <c r="K664" s="54">
        <f>IFERROR(__xludf.DUMMYFUNCTION("""COMPUTED_VALUE"""),13.0)</f>
        <v>13</v>
      </c>
      <c r="L664" s="56">
        <f>IFERROR(__xludf.DUMMYFUNCTION("""COMPUTED_VALUE"""),0.4090909090909091)</f>
        <v>0.4090909091</v>
      </c>
      <c r="M664" s="56">
        <f>IFERROR(__xludf.DUMMYFUNCTION("""COMPUTED_VALUE"""),0.30434782608695654)</f>
        <v>0.3043478261</v>
      </c>
      <c r="N664" s="31">
        <f>IFERROR(__xludf.DUMMYFUNCTION("""COMPUTED_VALUE"""),271.40909090909093)</f>
        <v>271.4090909</v>
      </c>
      <c r="O664" s="57">
        <f>IFERROR(__xludf.DUMMYFUNCTION("""COMPUTED_VALUE"""),0.6363636363636364)</f>
        <v>0.6363636364</v>
      </c>
      <c r="P664" s="57">
        <f>IFERROR(__xludf.DUMMYFUNCTION("""COMPUTED_VALUE"""),0.36363636363636365)</f>
        <v>0.3636363636</v>
      </c>
      <c r="Q664" s="57">
        <f>IFERROR(__xludf.DUMMYFUNCTION("""COMPUTED_VALUE"""),0.9545454545454546)</f>
        <v>0.9545454545</v>
      </c>
      <c r="R664" s="57">
        <f>IFERROR(__xludf.DUMMYFUNCTION("""COMPUTED_VALUE"""),2.090909090909091)</f>
        <v>2.090909091</v>
      </c>
      <c r="S664" s="31">
        <f>IFERROR(__xludf.DUMMYFUNCTION("""COMPUTED_VALUE"""),355.8333333333333)</f>
        <v>355.8333333</v>
      </c>
      <c r="T664" s="57">
        <f>IFERROR(__xludf.DUMMYFUNCTION("""COMPUTED_VALUE"""),0.8787878787878789)</f>
        <v>0.8787878788</v>
      </c>
      <c r="U664" s="57">
        <f>IFERROR(__xludf.DUMMYFUNCTION("""COMPUTED_VALUE"""),0.6666666666666666)</f>
        <v>0.6666666667</v>
      </c>
      <c r="V664" s="57">
        <f>IFERROR(__xludf.DUMMYFUNCTION("""COMPUTED_VALUE"""),1.212121212121212)</f>
        <v>1.212121212</v>
      </c>
      <c r="W664" s="57">
        <f>IFERROR(__xludf.DUMMYFUNCTION("""COMPUTED_VALUE"""),2.333333333333333)</f>
        <v>2.333333333</v>
      </c>
      <c r="X664" s="31">
        <f>IFERROR(__xludf.DUMMYFUNCTION("""COMPUTED_VALUE"""),362.30646473046403)</f>
        <v>362.3064647</v>
      </c>
      <c r="Y664" s="57">
        <f>IFERROR(__xludf.DUMMYFUNCTION("""COMPUTED_VALUE"""),0.8534728895538294)</f>
        <v>0.8534728896</v>
      </c>
      <c r="Z664" s="57">
        <f>IFERROR(__xludf.DUMMYFUNCTION("""COMPUTED_VALUE"""),0.6198346227627127)</f>
        <v>0.6198346228</v>
      </c>
      <c r="AA664" s="57">
        <f>IFERROR(__xludf.DUMMYFUNCTION("""COMPUTED_VALUE"""),1.3051576897218302)</f>
        <v>1.30515769</v>
      </c>
      <c r="AB664" s="57">
        <f>IFERROR(__xludf.DUMMYFUNCTION("""COMPUTED_VALUE"""),2.5847089588873766)</f>
        <v>2.584708959</v>
      </c>
      <c r="AC664" s="31">
        <f>IFERROR(__xludf.DUMMYFUNCTION("""COMPUTED_VALUE"""),325.1010267473448)</f>
        <v>325.1010267</v>
      </c>
      <c r="AD664" s="57">
        <f>IFERROR(__xludf.DUMMYFUNCTION("""COMPUTED_VALUE"""),0.6612399911435877)</f>
        <v>0.6612399911</v>
      </c>
      <c r="AE664" s="57">
        <f>IFERROR(__xludf.DUMMYFUNCTION("""COMPUTED_VALUE"""),0.4892993611209928)</f>
        <v>0.4892993611</v>
      </c>
      <c r="AF664" s="57">
        <f>IFERROR(__xludf.DUMMYFUNCTION("""COMPUTED_VALUE"""),1.2506111304469771)</f>
        <v>1.25061113</v>
      </c>
      <c r="AG664" s="57">
        <f>IFERROR(__xludf.DUMMYFUNCTION("""COMPUTED_VALUE"""),2.392936312931569)</f>
        <v>2.392936313</v>
      </c>
      <c r="AH664" s="57">
        <f>IFERROR(__xludf.DUMMYFUNCTION("""COMPUTED_VALUE"""),0.8348453821402999)</f>
        <v>0.8348453821</v>
      </c>
      <c r="AI664" s="57">
        <f>IFERROR(__xludf.DUMMYFUNCTION("""COMPUTED_VALUE"""),0.962379234297477)</f>
        <v>0.9623792343</v>
      </c>
      <c r="AJ664" s="57">
        <f>IFERROR(__xludf.DUMMYFUNCTION("""COMPUTED_VALUE"""),0.7431776792090364)</f>
        <v>0.7431776792</v>
      </c>
      <c r="AK664" s="57">
        <f>IFERROR(__xludf.DUMMYFUNCTION("""COMPUTED_VALUE"""),0.7632632009314465)</f>
        <v>0.7632632009</v>
      </c>
      <c r="AL664" s="57">
        <f>IFERROR(__xludf.DUMMYFUNCTION("""COMPUTED_VALUE"""),0.8737838443963991)</f>
        <v>0.8737838444</v>
      </c>
      <c r="AM664" s="57">
        <f>IFERROR(__xludf.DUMMYFUNCTION("""COMPUTED_VALUE"""),0.982133547073342)</f>
        <v>0.9821335471</v>
      </c>
      <c r="AN664" s="57">
        <f>IFERROR(__xludf.DUMMYFUNCTION("""COMPUTED_VALUE"""),1.0296611521512808)</f>
        <v>1.029661152</v>
      </c>
      <c r="AO664" s="57">
        <f>IFERROR(__xludf.DUMMYFUNCTION("""COMPUTED_VALUE"""),1.0755557082229694)</f>
        <v>1.075555708</v>
      </c>
      <c r="AP664" s="35">
        <f>IFERROR(__xludf.DUMMYFUNCTION("""COMPUTED_VALUE"""),0.9287162935687509)</f>
        <v>0.9287162936</v>
      </c>
      <c r="AQ664" s="57">
        <f>IFERROR(__xludf.DUMMYFUNCTION("""COMPUTED_VALUE"""),0.9027450944951838)</f>
        <v>0.9027450945</v>
      </c>
      <c r="AR664" s="36" t="b">
        <f>IFERROR(__xludf.DUMMYFUNCTION("""COMPUTED_VALUE"""),TRUE)</f>
        <v>1</v>
      </c>
      <c r="AS664" s="57"/>
      <c r="AT664" s="37"/>
      <c r="AU664" s="30"/>
      <c r="AV664" s="30"/>
      <c r="AW664" s="30"/>
      <c r="AX664" s="30"/>
      <c r="AY664" s="30"/>
      <c r="AZ664" s="30"/>
    </row>
    <row r="665">
      <c r="A665" s="30" t="str">
        <f>IFERROR(__xludf.DUMMYFUNCTION("""COMPUTED_VALUE"""),"Rival")</f>
        <v>Rival</v>
      </c>
      <c r="B665" s="30" t="str">
        <f>IFERROR(__xludf.DUMMYFUNCTION("""COMPUTED_VALUE"""),"RSC004845")</f>
        <v>RSC004845</v>
      </c>
      <c r="C665" s="30" t="str">
        <f>IFERROR(__xludf.DUMMYFUNCTION("""COMPUTED_VALUE"""),"BinBoiz_")</f>
        <v>BinBoiz_</v>
      </c>
      <c r="D665" s="31" t="str">
        <f>IFERROR(__xludf.DUMMYFUNCTION("""COMPUTED_VALUE"""),"Lacuna")</f>
        <v>Lacuna</v>
      </c>
      <c r="E665" s="31">
        <f>IFERROR(__xludf.DUMMYFUNCTION("""COMPUTED_VALUE"""),32.49255841353815)</f>
        <v>32.49255841</v>
      </c>
      <c r="F665" s="31">
        <f>IFERROR(__xludf.DUMMYFUNCTION("""COMPUTED_VALUE"""),-4.134440164329466)</f>
        <v>-4.134440164</v>
      </c>
      <c r="G665" s="31">
        <f>IFERROR(__xludf.DUMMYFUNCTION("""COMPUTED_VALUE"""),20.9461800537063)</f>
        <v>20.94618005</v>
      </c>
      <c r="H665" s="31">
        <f>IFERROR(__xludf.DUMMYFUNCTION("""COMPUTED_VALUE"""),-8.157491660396849)</f>
        <v>-8.15749166</v>
      </c>
      <c r="I665" s="54">
        <f>IFERROR(__xludf.DUMMYFUNCTION("""COMPUTED_VALUE"""),33.0)</f>
        <v>33</v>
      </c>
      <c r="J665" s="55">
        <f>IFERROR(__xludf.DUMMYFUNCTION("""COMPUTED_VALUE"""),14.0)</f>
        <v>14</v>
      </c>
      <c r="K665" s="54">
        <f>IFERROR(__xludf.DUMMYFUNCTION("""COMPUTED_VALUE"""),19.0)</f>
        <v>19</v>
      </c>
      <c r="L665" s="56">
        <f>IFERROR(__xludf.DUMMYFUNCTION("""COMPUTED_VALUE"""),0.42424242424242425)</f>
        <v>0.4242424242</v>
      </c>
      <c r="M665" s="56">
        <f>IFERROR(__xludf.DUMMYFUNCTION("""COMPUTED_VALUE"""),0.31343283582089554)</f>
        <v>0.3134328358</v>
      </c>
      <c r="N665" s="31">
        <f>IFERROR(__xludf.DUMMYFUNCTION("""COMPUTED_VALUE"""),261.72727272727275)</f>
        <v>261.7272727</v>
      </c>
      <c r="O665" s="57">
        <f>IFERROR(__xludf.DUMMYFUNCTION("""COMPUTED_VALUE"""),0.6363636363636364)</f>
        <v>0.6363636364</v>
      </c>
      <c r="P665" s="57">
        <f>IFERROR(__xludf.DUMMYFUNCTION("""COMPUTED_VALUE"""),0.42424242424242425)</f>
        <v>0.4242424242</v>
      </c>
      <c r="Q665" s="57">
        <f>IFERROR(__xludf.DUMMYFUNCTION("""COMPUTED_VALUE"""),0.7575757575757576)</f>
        <v>0.7575757576</v>
      </c>
      <c r="R665" s="57">
        <f>IFERROR(__xludf.DUMMYFUNCTION("""COMPUTED_VALUE"""),2.0303030303030303)</f>
        <v>2.03030303</v>
      </c>
      <c r="S665" s="31">
        <f>IFERROR(__xludf.DUMMYFUNCTION("""COMPUTED_VALUE"""),325.01010101010104)</f>
        <v>325.010101</v>
      </c>
      <c r="T665" s="57">
        <f>IFERROR(__xludf.DUMMYFUNCTION("""COMPUTED_VALUE"""),0.6767676767676768)</f>
        <v>0.6767676768</v>
      </c>
      <c r="U665" s="57">
        <f>IFERROR(__xludf.DUMMYFUNCTION("""COMPUTED_VALUE"""),0.505050505050505)</f>
        <v>0.5050505051</v>
      </c>
      <c r="V665" s="57">
        <f>IFERROR(__xludf.DUMMYFUNCTION("""COMPUTED_VALUE"""),1.2929292929292928)</f>
        <v>1.292929293</v>
      </c>
      <c r="W665" s="57">
        <f>IFERROR(__xludf.DUMMYFUNCTION("""COMPUTED_VALUE"""),2.505050505050505)</f>
        <v>2.505050505</v>
      </c>
      <c r="X665" s="31">
        <f>IFERROR(__xludf.DUMMYFUNCTION("""COMPUTED_VALUE"""),348.93858817303027)</f>
        <v>348.9385882</v>
      </c>
      <c r="Y665" s="57">
        <f>IFERROR(__xludf.DUMMYFUNCTION("""COMPUTED_VALUE"""),0.8066895452871697)</f>
        <v>0.8066895453</v>
      </c>
      <c r="Z665" s="57">
        <f>IFERROR(__xludf.DUMMYFUNCTION("""COMPUTED_VALUE"""),0.5714379181895078)</f>
        <v>0.5714379182</v>
      </c>
      <c r="AA665" s="57">
        <f>IFERROR(__xludf.DUMMYFUNCTION("""COMPUTED_VALUE"""),1.3145134986365905)</f>
        <v>1.314513499</v>
      </c>
      <c r="AB665" s="57">
        <f>IFERROR(__xludf.DUMMYFUNCTION("""COMPUTED_VALUE"""),2.5886432569170763)</f>
        <v>2.588643257</v>
      </c>
      <c r="AC665" s="31">
        <f>IFERROR(__xludf.DUMMYFUNCTION("""COMPUTED_VALUE"""),350.36662916020566)</f>
        <v>350.3666292</v>
      </c>
      <c r="AD665" s="57">
        <f>IFERROR(__xludf.DUMMYFUNCTION("""COMPUTED_VALUE"""),0.7940662254290256)</f>
        <v>0.7940662254</v>
      </c>
      <c r="AE665" s="57">
        <f>IFERROR(__xludf.DUMMYFUNCTION("""COMPUTED_VALUE"""),0.5819746717840683)</f>
        <v>0.5819746718</v>
      </c>
      <c r="AF665" s="57">
        <f>IFERROR(__xludf.DUMMYFUNCTION("""COMPUTED_VALUE"""),1.3146407470461405)</f>
        <v>1.314640747</v>
      </c>
      <c r="AG665" s="57">
        <f>IFERROR(__xludf.DUMMYFUNCTION("""COMPUTED_VALUE"""),2.6234176598910355)</f>
        <v>2.62341766</v>
      </c>
      <c r="AH665" s="57">
        <f>IFERROR(__xludf.DUMMYFUNCTION("""COMPUTED_VALUE"""),0.7470097062457326)</f>
        <v>0.7470097062</v>
      </c>
      <c r="AI665" s="57">
        <f>IFERROR(__xludf.DUMMYFUNCTION("""COMPUTED_VALUE"""),0.8013986944474509)</f>
        <v>0.8013986944</v>
      </c>
      <c r="AJ665" s="57">
        <f>IFERROR(__xludf.DUMMYFUNCTION("""COMPUTED_VALUE"""),0.7289705975380182)</f>
        <v>0.7289705975</v>
      </c>
      <c r="AK665" s="57">
        <f>IFERROR(__xludf.DUMMYFUNCTION("""COMPUTED_VALUE"""),0.5762606699038887)</f>
        <v>0.5762606699</v>
      </c>
      <c r="AL665" s="57">
        <f>IFERROR(__xludf.DUMMYFUNCTION("""COMPUTED_VALUE"""),0.7739152866674534)</f>
        <v>0.7739152867</v>
      </c>
      <c r="AM665" s="57">
        <f>IFERROR(__xludf.DUMMYFUNCTION("""COMPUTED_VALUE"""),0.9314249327131923)</f>
        <v>0.9314249327</v>
      </c>
      <c r="AN665" s="57">
        <f>IFERROR(__xludf.DUMMYFUNCTION("""COMPUTED_VALUE"""),0.8389444002608927)</f>
        <v>0.8389444003</v>
      </c>
      <c r="AO665" s="57">
        <f>IFERROR(__xludf.DUMMYFUNCTION("""COMPUTED_VALUE"""),0.8838239272792069)</f>
        <v>0.8838239273</v>
      </c>
      <c r="AP665" s="35">
        <f>IFERROR(__xludf.DUMMYFUNCTION("""COMPUTED_VALUE"""),0.9835800805927937)</f>
        <v>0.9835800806</v>
      </c>
      <c r="AQ665" s="57">
        <f>IFERROR(__xludf.DUMMYFUNCTION("""COMPUTED_VALUE"""),0.9677078903617932)</f>
        <v>0.9677078904</v>
      </c>
      <c r="AR665" s="36" t="b">
        <f>IFERROR(__xludf.DUMMYFUNCTION("""COMPUTED_VALUE"""),TRUE)</f>
        <v>1</v>
      </c>
      <c r="AS665" s="57"/>
      <c r="AT665" s="37"/>
      <c r="AU665" s="30"/>
      <c r="AV665" s="30"/>
      <c r="AW665" s="30"/>
      <c r="AX665" s="30"/>
      <c r="AY665" s="30"/>
      <c r="AZ665" s="30"/>
    </row>
    <row r="666">
      <c r="A666" s="30" t="str">
        <f>IFERROR(__xludf.DUMMYFUNCTION("""COMPUTED_VALUE"""),"Rival")</f>
        <v>Rival</v>
      </c>
      <c r="B666" s="30" t="str">
        <f>IFERROR(__xludf.DUMMYFUNCTION("""COMPUTED_VALUE"""),"RSC007847")</f>
        <v>RSC007847</v>
      </c>
      <c r="C666" s="30" t="str">
        <f>IFERROR(__xludf.DUMMYFUNCTION("""COMPUTED_VALUE"""),"GoodGuyGlaz")</f>
        <v>GoodGuyGlaz</v>
      </c>
      <c r="D666" s="31"/>
      <c r="E666" s="31">
        <f>IFERROR(__xludf.DUMMYFUNCTION("""COMPUTED_VALUE"""),31.826607650834)</f>
        <v>31.82660765</v>
      </c>
      <c r="F666" s="31">
        <f>IFERROR(__xludf.DUMMYFUNCTION("""COMPUTED_VALUE"""),-4.280223217560215)</f>
        <v>-4.280223218</v>
      </c>
      <c r="G666" s="31">
        <f>IFERROR(__xludf.DUMMYFUNCTION("""COMPUTED_VALUE"""),20.286785738556247)</f>
        <v>20.28678574</v>
      </c>
      <c r="H666" s="31">
        <f>IFERROR(__xludf.DUMMYFUNCTION("""COMPUTED_VALUE"""),-8.524232431862275)</f>
        <v>-8.524232432</v>
      </c>
      <c r="I666" s="54">
        <f>IFERROR(__xludf.DUMMYFUNCTION("""COMPUTED_VALUE"""),14.0)</f>
        <v>14</v>
      </c>
      <c r="J666" s="55">
        <f>IFERROR(__xludf.DUMMYFUNCTION("""COMPUTED_VALUE"""),5.0)</f>
        <v>5</v>
      </c>
      <c r="K666" s="54">
        <f>IFERROR(__xludf.DUMMYFUNCTION("""COMPUTED_VALUE"""),9.0)</f>
        <v>9</v>
      </c>
      <c r="L666" s="56">
        <f>IFERROR(__xludf.DUMMYFUNCTION("""COMPUTED_VALUE"""),0.35714285714285715)</f>
        <v>0.3571428571</v>
      </c>
      <c r="M666" s="56">
        <f>IFERROR(__xludf.DUMMYFUNCTION("""COMPUTED_VALUE"""),0.26666666666666666)</f>
        <v>0.2666666667</v>
      </c>
      <c r="N666" s="31">
        <f>IFERROR(__xludf.DUMMYFUNCTION("""COMPUTED_VALUE"""),287.5)</f>
        <v>287.5</v>
      </c>
      <c r="O666" s="57">
        <f>IFERROR(__xludf.DUMMYFUNCTION("""COMPUTED_VALUE"""),0.5714285714285714)</f>
        <v>0.5714285714</v>
      </c>
      <c r="P666" s="57">
        <f>IFERROR(__xludf.DUMMYFUNCTION("""COMPUTED_VALUE"""),0.2857142857142857)</f>
        <v>0.2857142857</v>
      </c>
      <c r="Q666" s="57">
        <f>IFERROR(__xludf.DUMMYFUNCTION("""COMPUTED_VALUE"""),1.2142857142857142)</f>
        <v>1.214285714</v>
      </c>
      <c r="R666" s="57">
        <f>IFERROR(__xludf.DUMMYFUNCTION("""COMPUTED_VALUE"""),2.142857142857143)</f>
        <v>2.142857143</v>
      </c>
      <c r="S666" s="31">
        <f>IFERROR(__xludf.DUMMYFUNCTION("""COMPUTED_VALUE"""),358.6904761904762)</f>
        <v>358.6904762</v>
      </c>
      <c r="T666" s="57">
        <f>IFERROR(__xludf.DUMMYFUNCTION("""COMPUTED_VALUE"""),0.7619047619047619)</f>
        <v>0.7619047619</v>
      </c>
      <c r="U666" s="57">
        <f>IFERROR(__xludf.DUMMYFUNCTION("""COMPUTED_VALUE"""),0.6190476190476192)</f>
        <v>0.619047619</v>
      </c>
      <c r="V666" s="57">
        <f>IFERROR(__xludf.DUMMYFUNCTION("""COMPUTED_VALUE"""),1.380952380952381)</f>
        <v>1.380952381</v>
      </c>
      <c r="W666" s="57">
        <f>IFERROR(__xludf.DUMMYFUNCTION("""COMPUTED_VALUE"""),2.9047619047619047)</f>
        <v>2.904761905</v>
      </c>
      <c r="X666" s="31">
        <f>IFERROR(__xludf.DUMMYFUNCTION("""COMPUTED_VALUE"""),347.56884552511934)</f>
        <v>347.5688455</v>
      </c>
      <c r="Y666" s="57">
        <f>IFERROR(__xludf.DUMMYFUNCTION("""COMPUTED_VALUE"""),0.8527707666719303)</f>
        <v>0.8527707667</v>
      </c>
      <c r="Z666" s="57">
        <f>IFERROR(__xludf.DUMMYFUNCTION("""COMPUTED_VALUE"""),0.6285946977769397)</f>
        <v>0.6285946978</v>
      </c>
      <c r="AA666" s="57">
        <f>IFERROR(__xludf.DUMMYFUNCTION("""COMPUTED_VALUE"""),1.098774380441832)</f>
        <v>1.09877438</v>
      </c>
      <c r="AB666" s="57">
        <f>IFERROR(__xludf.DUMMYFUNCTION("""COMPUTED_VALUE"""),2.696991486569085)</f>
        <v>2.696991487</v>
      </c>
      <c r="AC666" s="31">
        <f>IFERROR(__xludf.DUMMYFUNCTION("""COMPUTED_VALUE"""),318.35706448501065)</f>
        <v>318.3570645</v>
      </c>
      <c r="AD666" s="57">
        <f>IFERROR(__xludf.DUMMYFUNCTION("""COMPUTED_VALUE"""),0.6191852720228149)</f>
        <v>0.619185272</v>
      </c>
      <c r="AE666" s="57">
        <f>IFERROR(__xludf.DUMMYFUNCTION("""COMPUTED_VALUE"""),0.4369070158927769)</f>
        <v>0.4369070159</v>
      </c>
      <c r="AF666" s="57">
        <f>IFERROR(__xludf.DUMMYFUNCTION("""COMPUTED_VALUE"""),1.347774200676439)</f>
        <v>1.347774201</v>
      </c>
      <c r="AG666" s="57">
        <f>IFERROR(__xludf.DUMMYFUNCTION("""COMPUTED_VALUE"""),2.1814383160671675)</f>
        <v>2.181438316</v>
      </c>
      <c r="AH666" s="57">
        <f>IFERROR(__xludf.DUMMYFUNCTION("""COMPUTED_VALUE"""),0.9030740387843238)</f>
        <v>0.9030740388</v>
      </c>
      <c r="AI666" s="57">
        <f>IFERROR(__xludf.DUMMYFUNCTION("""COMPUTED_VALUE"""),0.9228717110175646)</f>
        <v>0.922871711</v>
      </c>
      <c r="AJ666" s="57">
        <f>IFERROR(__xludf.DUMMYFUNCTION("""COMPUTED_VALUE"""),0.6539475799683747)</f>
        <v>0.65394758</v>
      </c>
      <c r="AK666" s="57">
        <f>IFERROR(__xludf.DUMMYFUNCTION("""COMPUTED_VALUE"""),0.9009563424468818)</f>
        <v>0.9009563424</v>
      </c>
      <c r="AL666" s="57">
        <f>IFERROR(__xludf.DUMMYFUNCTION("""COMPUTED_VALUE"""),0.9823138830349413)</f>
        <v>0.982313883</v>
      </c>
      <c r="AM666" s="57">
        <f>IFERROR(__xludf.DUMMYFUNCTION("""COMPUTED_VALUE"""),1.0319983531566355)</f>
        <v>1.031998353</v>
      </c>
      <c r="AN666" s="57">
        <f>IFERROR(__xludf.DUMMYFUNCTION("""COMPUTED_VALUE"""),0.893446154208842)</f>
        <v>0.8934461542</v>
      </c>
      <c r="AO666" s="57">
        <f>IFERROR(__xludf.DUMMYFUNCTION("""COMPUTED_VALUE"""),0.9848120279043329)</f>
        <v>0.9848120279</v>
      </c>
      <c r="AP666" s="35">
        <f>IFERROR(__xludf.DUMMYFUNCTION("""COMPUTED_VALUE"""),1.2568115943849012)</f>
        <v>1.256811594</v>
      </c>
      <c r="AQ666" s="57">
        <f>IFERROR(__xludf.DUMMYFUNCTION("""COMPUTED_VALUE"""),1.0770378472559177)</f>
        <v>1.077037847</v>
      </c>
      <c r="AR666" s="36" t="b">
        <f>IFERROR(__xludf.DUMMYFUNCTION("""COMPUTED_VALUE"""),TRUE)</f>
        <v>1</v>
      </c>
      <c r="AS666" s="57"/>
      <c r="AT666" s="37"/>
      <c r="AU666" s="30"/>
      <c r="AV666" s="30"/>
      <c r="AW666" s="30"/>
      <c r="AX666" s="30"/>
      <c r="AY666" s="30"/>
      <c r="AZ666" s="30"/>
    </row>
    <row r="667">
      <c r="A667" s="30" t="str">
        <f>IFERROR(__xludf.DUMMYFUNCTION("""COMPUTED_VALUE"""),"Rival")</f>
        <v>Rival</v>
      </c>
      <c r="B667" s="30" t="str">
        <f>IFERROR(__xludf.DUMMYFUNCTION("""COMPUTED_VALUE"""),"RSC006910")</f>
        <v>RSC006910</v>
      </c>
      <c r="C667" s="30" t="str">
        <f>IFERROR(__xludf.DUMMYFUNCTION("""COMPUTED_VALUE"""),"Swanny2.0")</f>
        <v>Swanny2.0</v>
      </c>
      <c r="D667" s="31" t="str">
        <f>IFERROR(__xludf.DUMMYFUNCTION("""COMPUTED_VALUE"""),"Hue Heroes")</f>
        <v>Hue Heroes</v>
      </c>
      <c r="E667" s="31">
        <f>IFERROR(__xludf.DUMMYFUNCTION("""COMPUTED_VALUE"""),31.451482556640347)</f>
        <v>31.45148256</v>
      </c>
      <c r="F667" s="31">
        <f>IFERROR(__xludf.DUMMYFUNCTION("""COMPUTED_VALUE"""),-4.365637256426507)</f>
        <v>-4.365637256</v>
      </c>
      <c r="G667" s="31">
        <f>IFERROR(__xludf.DUMMYFUNCTION("""COMPUTED_VALUE"""),34.74944269786425)</f>
        <v>34.7494427</v>
      </c>
      <c r="H667" s="31">
        <f>IFERROR(__xludf.DUMMYFUNCTION("""COMPUTED_VALUE"""),-3.6910785694959705)</f>
        <v>-3.691078569</v>
      </c>
      <c r="I667" s="54">
        <f>IFERROR(__xludf.DUMMYFUNCTION("""COMPUTED_VALUE"""),11.0)</f>
        <v>11</v>
      </c>
      <c r="J667" s="55">
        <f>IFERROR(__xludf.DUMMYFUNCTION("""COMPUTED_VALUE"""),0.0)</f>
        <v>0</v>
      </c>
      <c r="K667" s="54">
        <f>IFERROR(__xludf.DUMMYFUNCTION("""COMPUTED_VALUE"""),11.0)</f>
        <v>11</v>
      </c>
      <c r="L667" s="56">
        <f>IFERROR(__xludf.DUMMYFUNCTION("""COMPUTED_VALUE"""),0.0)</f>
        <v>0</v>
      </c>
      <c r="M667" s="56">
        <f>IFERROR(__xludf.DUMMYFUNCTION("""COMPUTED_VALUE"""),0.3529411764705882)</f>
        <v>0.3529411765</v>
      </c>
      <c r="N667" s="31">
        <f>IFERROR(__xludf.DUMMYFUNCTION("""COMPUTED_VALUE"""),302.90909090909093)</f>
        <v>302.9090909</v>
      </c>
      <c r="O667" s="57">
        <f>IFERROR(__xludf.DUMMYFUNCTION("""COMPUTED_VALUE"""),0.5454545454545454)</f>
        <v>0.5454545455</v>
      </c>
      <c r="P667" s="57">
        <f>IFERROR(__xludf.DUMMYFUNCTION("""COMPUTED_VALUE"""),0.5454545454545454)</f>
        <v>0.5454545455</v>
      </c>
      <c r="Q667" s="57">
        <f>IFERROR(__xludf.DUMMYFUNCTION("""COMPUTED_VALUE"""),1.3636363636363635)</f>
        <v>1.363636364</v>
      </c>
      <c r="R667" s="57">
        <f>IFERROR(__xludf.DUMMYFUNCTION("""COMPUTED_VALUE"""),1.5454545454545454)</f>
        <v>1.545454545</v>
      </c>
      <c r="S667" s="31">
        <f>IFERROR(__xludf.DUMMYFUNCTION("""COMPUTED_VALUE"""),403.45454545454544)</f>
        <v>403.4545455</v>
      </c>
      <c r="T667" s="57">
        <f>IFERROR(__xludf.DUMMYFUNCTION("""COMPUTED_VALUE"""),1.3333333333333335)</f>
        <v>1.333333333</v>
      </c>
      <c r="U667" s="57">
        <f>IFERROR(__xludf.DUMMYFUNCTION("""COMPUTED_VALUE"""),1.0000000000000002)</f>
        <v>1</v>
      </c>
      <c r="V667" s="57">
        <f>IFERROR(__xludf.DUMMYFUNCTION("""COMPUTED_VALUE"""),0.8181818181818182)</f>
        <v>0.8181818182</v>
      </c>
      <c r="W667" s="57">
        <f>IFERROR(__xludf.DUMMYFUNCTION("""COMPUTED_VALUE"""),3.0606060606060606)</f>
        <v>3.060606061</v>
      </c>
      <c r="X667" s="31">
        <f>IFERROR(__xludf.DUMMYFUNCTION("""COMPUTED_VALUE"""),389.6895244461421)</f>
        <v>389.6895244</v>
      </c>
      <c r="Y667" s="57">
        <f>IFERROR(__xludf.DUMMYFUNCTION("""COMPUTED_VALUE"""),1.049892835922248)</f>
        <v>1.049892836</v>
      </c>
      <c r="Z667" s="57">
        <f>IFERROR(__xludf.DUMMYFUNCTION("""COMPUTED_VALUE"""),0.8167239623121976)</f>
        <v>0.8167239623</v>
      </c>
      <c r="AA667" s="57">
        <f>IFERROR(__xludf.DUMMYFUNCTION("""COMPUTED_VALUE"""),1.1635440539852306)</f>
        <v>1.163544054</v>
      </c>
      <c r="AB667" s="57">
        <f>IFERROR(__xludf.DUMMYFUNCTION("""COMPUTED_VALUE"""),3.0216280451574566)</f>
        <v>3.021628045</v>
      </c>
      <c r="AC667" s="31">
        <f>IFERROR(__xludf.DUMMYFUNCTION("""COMPUTED_VALUE"""),317.3595422007187)</f>
        <v>317.3595422</v>
      </c>
      <c r="AD667" s="57">
        <f>IFERROR(__xludf.DUMMYFUNCTION("""COMPUTED_VALUE"""),0.5836682652859122)</f>
        <v>0.5836682653</v>
      </c>
      <c r="AE667" s="57">
        <f>IFERROR(__xludf.DUMMYFUNCTION("""COMPUTED_VALUE"""),0.408283464901112)</f>
        <v>0.4082834649</v>
      </c>
      <c r="AF667" s="57">
        <f>IFERROR(__xludf.DUMMYFUNCTION("""COMPUTED_VALUE"""),1.4250495147553972)</f>
        <v>1.425049515</v>
      </c>
      <c r="AG667" s="57">
        <f>IFERROR(__xludf.DUMMYFUNCTION("""COMPUTED_VALUE"""),2.1705220977279804)</f>
        <v>2.170522098</v>
      </c>
      <c r="AH667" s="57">
        <f>IFERROR(__xludf.DUMMYFUNCTION("""COMPUTED_VALUE"""),0.9544666242224147)</f>
        <v>0.9544666242</v>
      </c>
      <c r="AI667" s="57">
        <f>IFERROR(__xludf.DUMMYFUNCTION("""COMPUTED_VALUE"""),0.9345283577947353)</f>
        <v>0.9345283578</v>
      </c>
      <c r="AJ667" s="57">
        <f>IFERROR(__xludf.DUMMYFUNCTION("""COMPUTED_VALUE"""),1.335970207822785)</f>
        <v>1.335970208</v>
      </c>
      <c r="AK667" s="57">
        <f>IFERROR(__xludf.DUMMYFUNCTION("""COMPUTED_VALUE"""),0.9569045492923978)</f>
        <v>0.9569045493</v>
      </c>
      <c r="AL667" s="57">
        <f>IFERROR(__xludf.DUMMYFUNCTION("""COMPUTED_VALUE"""),0.7120197242277645)</f>
        <v>0.7120197242</v>
      </c>
      <c r="AM667" s="57">
        <f>IFERROR(__xludf.DUMMYFUNCTION("""COMPUTED_VALUE"""),1.0353230460273914)</f>
        <v>1.035323046</v>
      </c>
      <c r="AN667" s="57">
        <f>IFERROR(__xludf.DUMMYFUNCTION("""COMPUTED_VALUE"""),1.269970884373266)</f>
        <v>1.269970884</v>
      </c>
      <c r="AO667" s="57">
        <f>IFERROR(__xludf.DUMMYFUNCTION("""COMPUTED_VALUE"""),1.224403894271617)</f>
        <v>1.224403894</v>
      </c>
      <c r="AP667" s="35">
        <f>IFERROR(__xludf.DUMMYFUNCTION("""COMPUTED_VALUE"""),0.7031807823515411)</f>
        <v>0.7031807824</v>
      </c>
      <c r="AQ667" s="57">
        <f>IFERROR(__xludf.DUMMYFUNCTION("""COMPUTED_VALUE"""),1.0128996735753333)</f>
        <v>1.012899674</v>
      </c>
      <c r="AR667" s="36" t="b">
        <f>IFERROR(__xludf.DUMMYFUNCTION("""COMPUTED_VALUE"""),TRUE)</f>
        <v>1</v>
      </c>
      <c r="AS667" s="57"/>
      <c r="AT667" s="37"/>
      <c r="AU667" s="30"/>
      <c r="AV667" s="30"/>
      <c r="AW667" s="30"/>
      <c r="AX667" s="30"/>
      <c r="AY667" s="30"/>
      <c r="AZ667" s="30"/>
    </row>
    <row r="668">
      <c r="A668" s="30" t="str">
        <f>IFERROR(__xludf.DUMMYFUNCTION("""COMPUTED_VALUE"""),"Rival")</f>
        <v>Rival</v>
      </c>
      <c r="B668" s="30" t="str">
        <f>IFERROR(__xludf.DUMMYFUNCTION("""COMPUTED_VALUE"""),"RSC003186")</f>
        <v>RSC003186</v>
      </c>
      <c r="C668" s="30" t="str">
        <f>IFERROR(__xludf.DUMMYFUNCTION("""COMPUTED_VALUE"""),"xBlaniac")</f>
        <v>xBlaniac</v>
      </c>
      <c r="D668" s="31" t="str">
        <f>IFERROR(__xludf.DUMMYFUNCTION("""COMPUTED_VALUE"""),"Dracos")</f>
        <v>Dracos</v>
      </c>
      <c r="E668" s="31">
        <f>IFERROR(__xludf.DUMMYFUNCTION("""COMPUTED_VALUE"""),29.993205352089543)</f>
        <v>29.99320535</v>
      </c>
      <c r="F668" s="31">
        <f>IFERROR(__xludf.DUMMYFUNCTION("""COMPUTED_VALUE"""),-4.721955376647227)</f>
        <v>-4.721955377</v>
      </c>
      <c r="G668" s="31">
        <f>IFERROR(__xludf.DUMMYFUNCTION("""COMPUTED_VALUE"""),26.80729460127111)</f>
        <v>26.8072946</v>
      </c>
      <c r="H668" s="31">
        <f>IFERROR(__xludf.DUMMYFUNCTION("""COMPUTED_VALUE"""),-5.656765372430205)</f>
        <v>-5.656765372</v>
      </c>
      <c r="I668" s="54">
        <f>IFERROR(__xludf.DUMMYFUNCTION("""COMPUTED_VALUE"""),22.0)</f>
        <v>22</v>
      </c>
      <c r="J668" s="55">
        <f>IFERROR(__xludf.DUMMYFUNCTION("""COMPUTED_VALUE"""),10.0)</f>
        <v>10</v>
      </c>
      <c r="K668" s="54">
        <f>IFERROR(__xludf.DUMMYFUNCTION("""COMPUTED_VALUE"""),12.0)</f>
        <v>12</v>
      </c>
      <c r="L668" s="56">
        <f>IFERROR(__xludf.DUMMYFUNCTION("""COMPUTED_VALUE"""),0.45454545454545453)</f>
        <v>0.4545454545</v>
      </c>
      <c r="M668" s="56">
        <f>IFERROR(__xludf.DUMMYFUNCTION("""COMPUTED_VALUE"""),0.23255813953488372)</f>
        <v>0.2325581395</v>
      </c>
      <c r="N668" s="31">
        <f>IFERROR(__xludf.DUMMYFUNCTION("""COMPUTED_VALUE"""),274.22727272727275)</f>
        <v>274.2272727</v>
      </c>
      <c r="O668" s="57">
        <f>IFERROR(__xludf.DUMMYFUNCTION("""COMPUTED_VALUE"""),0.45454545454545453)</f>
        <v>0.4545454545</v>
      </c>
      <c r="P668" s="57">
        <f>IFERROR(__xludf.DUMMYFUNCTION("""COMPUTED_VALUE"""),0.6363636363636364)</f>
        <v>0.6363636364</v>
      </c>
      <c r="Q668" s="57">
        <f>IFERROR(__xludf.DUMMYFUNCTION("""COMPUTED_VALUE"""),1.1363636363636365)</f>
        <v>1.136363636</v>
      </c>
      <c r="R668" s="57">
        <f>IFERROR(__xludf.DUMMYFUNCTION("""COMPUTED_VALUE"""),1.9545454545454546)</f>
        <v>1.954545455</v>
      </c>
      <c r="S668" s="31">
        <f>IFERROR(__xludf.DUMMYFUNCTION("""COMPUTED_VALUE"""),359.21212121212125)</f>
        <v>359.2121212</v>
      </c>
      <c r="T668" s="57">
        <f>IFERROR(__xludf.DUMMYFUNCTION("""COMPUTED_VALUE"""),0.8333333333333331)</f>
        <v>0.8333333333</v>
      </c>
      <c r="U668" s="57">
        <f>IFERROR(__xludf.DUMMYFUNCTION("""COMPUTED_VALUE"""),0.5757575757575758)</f>
        <v>0.5757575758</v>
      </c>
      <c r="V668" s="57">
        <f>IFERROR(__xludf.DUMMYFUNCTION("""COMPUTED_VALUE"""),1.3333333333333333)</f>
        <v>1.333333333</v>
      </c>
      <c r="W668" s="57">
        <f>IFERROR(__xludf.DUMMYFUNCTION("""COMPUTED_VALUE"""),2.636363636363636)</f>
        <v>2.636363636</v>
      </c>
      <c r="X668" s="31">
        <f>IFERROR(__xludf.DUMMYFUNCTION("""COMPUTED_VALUE"""),361.9628699719275)</f>
        <v>361.96287</v>
      </c>
      <c r="Y668" s="57">
        <f>IFERROR(__xludf.DUMMYFUNCTION("""COMPUTED_VALUE"""),0.8210474042693292)</f>
        <v>0.8210474043</v>
      </c>
      <c r="Z668" s="57">
        <f>IFERROR(__xludf.DUMMYFUNCTION("""COMPUTED_VALUE"""),0.6154427259708011)</f>
        <v>0.615442726</v>
      </c>
      <c r="AA668" s="57">
        <f>IFERROR(__xludf.DUMMYFUNCTION("""COMPUTED_VALUE"""),1.3058255878108815)</f>
        <v>1.305825588</v>
      </c>
      <c r="AB668" s="57">
        <f>IFERROR(__xludf.DUMMYFUNCTION("""COMPUTED_VALUE"""),2.7258262236871866)</f>
        <v>2.725826224</v>
      </c>
      <c r="AC668" s="31">
        <f>IFERROR(__xludf.DUMMYFUNCTION("""COMPUTED_VALUE"""),351.68599710639586)</f>
        <v>351.6859971</v>
      </c>
      <c r="AD668" s="57">
        <f>IFERROR(__xludf.DUMMYFUNCTION("""COMPUTED_VALUE"""),0.8047947946455078)</f>
        <v>0.8047947946</v>
      </c>
      <c r="AE668" s="57">
        <f>IFERROR(__xludf.DUMMYFUNCTION("""COMPUTED_VALUE"""),0.5733261201398457)</f>
        <v>0.5733261201</v>
      </c>
      <c r="AF668" s="57">
        <f>IFERROR(__xludf.DUMMYFUNCTION("""COMPUTED_VALUE"""),1.303699426604952)</f>
        <v>1.303699427</v>
      </c>
      <c r="AG668" s="57">
        <f>IFERROR(__xludf.DUMMYFUNCTION("""COMPUTED_VALUE"""),2.5395442038155953)</f>
        <v>2.539544204</v>
      </c>
      <c r="AH668" s="57">
        <f>IFERROR(__xludf.DUMMYFUNCTION("""COMPUTED_VALUE"""),0.7797503312146674)</f>
        <v>0.7797503312</v>
      </c>
      <c r="AI668" s="57">
        <f>IFERROR(__xludf.DUMMYFUNCTION("""COMPUTED_VALUE"""),0.5647967128635201)</f>
        <v>0.5647967129</v>
      </c>
      <c r="AJ668" s="57">
        <f>IFERROR(__xludf.DUMMYFUNCTION("""COMPUTED_VALUE"""),1.1099505395086735)</f>
        <v>1.10995054</v>
      </c>
      <c r="AK668" s="57">
        <f>IFERROR(__xludf.DUMMYFUNCTION("""COMPUTED_VALUE"""),0.8716454216160197)</f>
        <v>0.8716454216</v>
      </c>
      <c r="AL668" s="57">
        <f>IFERROR(__xludf.DUMMYFUNCTION("""COMPUTED_VALUE"""),0.7696441950523263)</f>
        <v>0.7696441951</v>
      </c>
      <c r="AM668" s="57">
        <f>IFERROR(__xludf.DUMMYFUNCTION("""COMPUTED_VALUE"""),0.9924004670423251)</f>
        <v>0.992400467</v>
      </c>
      <c r="AN668" s="57">
        <f>IFERROR(__xludf.DUMMYFUNCTION("""COMPUTED_VALUE"""),1.0149637268203016)</f>
        <v>1.014963727</v>
      </c>
      <c r="AO668" s="57">
        <f>IFERROR(__xludf.DUMMYFUNCTION("""COMPUTED_VALUE"""),0.9355177199460343)</f>
        <v>0.9355177199</v>
      </c>
      <c r="AP668" s="35">
        <f>IFERROR(__xludf.DUMMYFUNCTION("""COMPUTED_VALUE"""),1.0210654055022512)</f>
        <v>1.021065406</v>
      </c>
      <c r="AQ668" s="57">
        <f>IFERROR(__xludf.DUMMYFUNCTION("""COMPUTED_VALUE"""),0.9671796439016805)</f>
        <v>0.9671796439</v>
      </c>
      <c r="AR668" s="36" t="b">
        <f>IFERROR(__xludf.DUMMYFUNCTION("""COMPUTED_VALUE"""),TRUE)</f>
        <v>1</v>
      </c>
      <c r="AS668" s="57"/>
      <c r="AT668" s="37"/>
      <c r="AU668" s="30"/>
      <c r="AV668" s="30"/>
      <c r="AW668" s="30"/>
      <c r="AX668" s="30"/>
      <c r="AY668" s="30"/>
      <c r="AZ668" s="30"/>
    </row>
    <row r="669">
      <c r="A669" s="30" t="str">
        <f>IFERROR(__xludf.DUMMYFUNCTION("""COMPUTED_VALUE"""),"Rival")</f>
        <v>Rival</v>
      </c>
      <c r="B669" s="30" t="str">
        <f>IFERROR(__xludf.DUMMYFUNCTION("""COMPUTED_VALUE"""),"RSC001015")</f>
        <v>RSC001015</v>
      </c>
      <c r="C669" s="30" t="str">
        <f>IFERROR(__xludf.DUMMYFUNCTION("""COMPUTED_VALUE"""),"LatFips")</f>
        <v>LatFips</v>
      </c>
      <c r="D669" s="31" t="str">
        <f>IFERROR(__xludf.DUMMYFUNCTION("""COMPUTED_VALUE"""),"Heavy Metal")</f>
        <v>Heavy Metal</v>
      </c>
      <c r="E669" s="31">
        <f>IFERROR(__xludf.DUMMYFUNCTION("""COMPUTED_VALUE"""),29.66099329215572)</f>
        <v>29.66099329</v>
      </c>
      <c r="F669" s="31">
        <f>IFERROR(__xludf.DUMMYFUNCTION("""COMPUTED_VALUE"""),-4.8088840447664145)</f>
        <v>-4.808884045</v>
      </c>
      <c r="G669" s="31">
        <f>IFERROR(__xludf.DUMMYFUNCTION("""COMPUTED_VALUE"""),39.224208531844106)</f>
        <v>39.22420853</v>
      </c>
      <c r="H669" s="31">
        <f>IFERROR(__xludf.DUMMYFUNCTION("""COMPUTED_VALUE"""),-3.0009962506153443)</f>
        <v>-3.000996251</v>
      </c>
      <c r="I669" s="54">
        <f>IFERROR(__xludf.DUMMYFUNCTION("""COMPUTED_VALUE"""),28.0)</f>
        <v>28</v>
      </c>
      <c r="J669" s="55">
        <f>IFERROR(__xludf.DUMMYFUNCTION("""COMPUTED_VALUE"""),14.0)</f>
        <v>14</v>
      </c>
      <c r="K669" s="54">
        <f>IFERROR(__xludf.DUMMYFUNCTION("""COMPUTED_VALUE"""),14.0)</f>
        <v>14</v>
      </c>
      <c r="L669" s="56">
        <f>IFERROR(__xludf.DUMMYFUNCTION("""COMPUTED_VALUE"""),0.5)</f>
        <v>0.5</v>
      </c>
      <c r="M669" s="56">
        <f>IFERROR(__xludf.DUMMYFUNCTION("""COMPUTED_VALUE"""),0.23214285714285715)</f>
        <v>0.2321428571</v>
      </c>
      <c r="N669" s="31">
        <f>IFERROR(__xludf.DUMMYFUNCTION("""COMPUTED_VALUE"""),291.7142857142857)</f>
        <v>291.7142857</v>
      </c>
      <c r="O669" s="57">
        <f>IFERROR(__xludf.DUMMYFUNCTION("""COMPUTED_VALUE"""),0.4642857142857143)</f>
        <v>0.4642857143</v>
      </c>
      <c r="P669" s="57">
        <f>IFERROR(__xludf.DUMMYFUNCTION("""COMPUTED_VALUE"""),0.6428571428571429)</f>
        <v>0.6428571429</v>
      </c>
      <c r="Q669" s="57">
        <f>IFERROR(__xludf.DUMMYFUNCTION("""COMPUTED_VALUE"""),0.9642857142857143)</f>
        <v>0.9642857143</v>
      </c>
      <c r="R669" s="57">
        <f>IFERROR(__xludf.DUMMYFUNCTION("""COMPUTED_VALUE"""),2.0)</f>
        <v>2</v>
      </c>
      <c r="S669" s="31">
        <f>IFERROR(__xludf.DUMMYFUNCTION("""COMPUTED_VALUE"""),343.11904761904765)</f>
        <v>343.1190476</v>
      </c>
      <c r="T669" s="57">
        <f>IFERROR(__xludf.DUMMYFUNCTION("""COMPUTED_VALUE"""),0.7857142857142857)</f>
        <v>0.7857142857</v>
      </c>
      <c r="U669" s="57">
        <f>IFERROR(__xludf.DUMMYFUNCTION("""COMPUTED_VALUE"""),0.6071428571428571)</f>
        <v>0.6071428571</v>
      </c>
      <c r="V669" s="57">
        <f>IFERROR(__xludf.DUMMYFUNCTION("""COMPUTED_VALUE"""),1.25)</f>
        <v>1.25</v>
      </c>
      <c r="W669" s="57">
        <f>IFERROR(__xludf.DUMMYFUNCTION("""COMPUTED_VALUE"""),2.2857142857142856)</f>
        <v>2.285714286</v>
      </c>
      <c r="X669" s="31">
        <f>IFERROR(__xludf.DUMMYFUNCTION("""COMPUTED_VALUE"""),343.8086024490843)</f>
        <v>343.8086024</v>
      </c>
      <c r="Y669" s="57">
        <f>IFERROR(__xludf.DUMMYFUNCTION("""COMPUTED_VALUE"""),0.7843459365579336)</f>
        <v>0.7843459366</v>
      </c>
      <c r="Z669" s="57">
        <f>IFERROR(__xludf.DUMMYFUNCTION("""COMPUTED_VALUE"""),0.5741345222106798)</f>
        <v>0.5741345222</v>
      </c>
      <c r="AA669" s="57">
        <f>IFERROR(__xludf.DUMMYFUNCTION("""COMPUTED_VALUE"""),1.3310794821303016)</f>
        <v>1.331079482</v>
      </c>
      <c r="AB669" s="57">
        <f>IFERROR(__xludf.DUMMYFUNCTION("""COMPUTED_VALUE"""),2.433280644680528)</f>
        <v>2.433280645</v>
      </c>
      <c r="AC669" s="31">
        <f>IFERROR(__xludf.DUMMYFUNCTION("""COMPUTED_VALUE"""),355.1805470019619)</f>
        <v>355.180547</v>
      </c>
      <c r="AD669" s="57">
        <f>IFERROR(__xludf.DUMMYFUNCTION("""COMPUTED_VALUE"""),0.8567999619788315)</f>
        <v>0.856799962</v>
      </c>
      <c r="AE669" s="57">
        <f>IFERROR(__xludf.DUMMYFUNCTION("""COMPUTED_VALUE"""),0.6245352622174696)</f>
        <v>0.6245352622</v>
      </c>
      <c r="AF669" s="57">
        <f>IFERROR(__xludf.DUMMYFUNCTION("""COMPUTED_VALUE"""),1.244374784652835)</f>
        <v>1.244374785</v>
      </c>
      <c r="AG669" s="57">
        <f>IFERROR(__xludf.DUMMYFUNCTION("""COMPUTED_VALUE"""),2.712589020511934)</f>
        <v>2.712589021</v>
      </c>
      <c r="AH669" s="57">
        <f>IFERROR(__xludf.DUMMYFUNCTION("""COMPUTED_VALUE"""),0.8213126765432748)</f>
        <v>0.8213126765</v>
      </c>
      <c r="AI669" s="57">
        <f>IFERROR(__xludf.DUMMYFUNCTION("""COMPUTED_VALUE"""),0.5418834440811812)</f>
        <v>0.5418834441</v>
      </c>
      <c r="AJ669" s="57">
        <f>IFERROR(__xludf.DUMMYFUNCTION("""COMPUTED_VALUE"""),1.0293368233118172)</f>
        <v>1.029336823</v>
      </c>
      <c r="AK669" s="57">
        <f>IFERROR(__xludf.DUMMYFUNCTION("""COMPUTED_VALUE"""),0.7749158261469739)</f>
        <v>0.7749158261</v>
      </c>
      <c r="AL669" s="57">
        <f>IFERROR(__xludf.DUMMYFUNCTION("""COMPUTED_VALUE"""),0.7373029916719746)</f>
        <v>0.7373029917</v>
      </c>
      <c r="AM669" s="57">
        <f>IFERROR(__xludf.DUMMYFUNCTION("""COMPUTED_VALUE"""),0.9979943642331092)</f>
        <v>0.9979943642</v>
      </c>
      <c r="AN669" s="57">
        <f>IFERROR(__xludf.DUMMYFUNCTION("""COMPUTED_VALUE"""),1.0017445735262644)</f>
        <v>1.001744574</v>
      </c>
      <c r="AO669" s="57">
        <f>IFERROR(__xludf.DUMMYFUNCTION("""COMPUTED_VALUE"""),1.0574923361254782)</f>
        <v>1.057492336</v>
      </c>
      <c r="AP669" s="35">
        <f>IFERROR(__xludf.DUMMYFUNCTION("""COMPUTED_VALUE"""),0.9390874224876944)</f>
        <v>0.9390874225</v>
      </c>
      <c r="AQ669" s="57">
        <f>IFERROR(__xludf.DUMMYFUNCTION("""COMPUTED_VALUE"""),0.9393549776969451)</f>
        <v>0.9393549777</v>
      </c>
      <c r="AR669" s="36" t="b">
        <f>IFERROR(__xludf.DUMMYFUNCTION("""COMPUTED_VALUE"""),TRUE)</f>
        <v>1</v>
      </c>
      <c r="AS669" s="57"/>
      <c r="AT669" s="37"/>
      <c r="AU669" s="30"/>
      <c r="AV669" s="30"/>
      <c r="AW669" s="30"/>
      <c r="AX669" s="30"/>
      <c r="AY669" s="30"/>
      <c r="AZ669" s="30"/>
    </row>
    <row r="670">
      <c r="A670" s="30" t="str">
        <f>IFERROR(__xludf.DUMMYFUNCTION("""COMPUTED_VALUE"""),"Rival")</f>
        <v>Rival</v>
      </c>
      <c r="B670" s="30" t="str">
        <f>IFERROR(__xludf.DUMMYFUNCTION("""COMPUTED_VALUE"""),"RSC006881")</f>
        <v>RSC006881</v>
      </c>
      <c r="C670" s="30" t="str">
        <f>IFERROR(__xludf.DUMMYFUNCTION("""COMPUTED_VALUE"""),"Cyroic")</f>
        <v>Cyroic</v>
      </c>
      <c r="D670" s="31"/>
      <c r="E670" s="31">
        <f>IFERROR(__xludf.DUMMYFUNCTION("""COMPUTED_VALUE"""),28.91253172795406)</f>
        <v>28.91253173</v>
      </c>
      <c r="F670" s="31">
        <f>IFERROR(__xludf.DUMMYFUNCTION("""COMPUTED_VALUE"""),-5.013164881273996)</f>
        <v>-5.013164881</v>
      </c>
      <c r="G670" s="31">
        <f>IFERROR(__xludf.DUMMYFUNCTION("""COMPUTED_VALUE"""),27.83781473783537)</f>
        <v>27.83781474</v>
      </c>
      <c r="H670" s="31">
        <f>IFERROR(__xludf.DUMMYFUNCTION("""COMPUTED_VALUE"""),-5.328290138775861)</f>
        <v>-5.328290139</v>
      </c>
      <c r="I670" s="54">
        <f>IFERROR(__xludf.DUMMYFUNCTION("""COMPUTED_VALUE"""),20.0)</f>
        <v>20</v>
      </c>
      <c r="J670" s="55">
        <f>IFERROR(__xludf.DUMMYFUNCTION("""COMPUTED_VALUE"""),9.0)</f>
        <v>9</v>
      </c>
      <c r="K670" s="54">
        <f>IFERROR(__xludf.DUMMYFUNCTION("""COMPUTED_VALUE"""),11.0)</f>
        <v>11</v>
      </c>
      <c r="L670" s="56">
        <f>IFERROR(__xludf.DUMMYFUNCTION("""COMPUTED_VALUE"""),0.45)</f>
        <v>0.45</v>
      </c>
      <c r="M670" s="56">
        <f>IFERROR(__xludf.DUMMYFUNCTION("""COMPUTED_VALUE"""),0.19607843137254904)</f>
        <v>0.1960784314</v>
      </c>
      <c r="N670" s="31">
        <f>IFERROR(__xludf.DUMMYFUNCTION("""COMPUTED_VALUE"""),292.9)</f>
        <v>292.9</v>
      </c>
      <c r="O670" s="57">
        <f>IFERROR(__xludf.DUMMYFUNCTION("""COMPUTED_VALUE"""),0.5)</f>
        <v>0.5</v>
      </c>
      <c r="P670" s="57">
        <f>IFERROR(__xludf.DUMMYFUNCTION("""COMPUTED_VALUE"""),0.45)</f>
        <v>0.45</v>
      </c>
      <c r="Q670" s="57">
        <f>IFERROR(__xludf.DUMMYFUNCTION("""COMPUTED_VALUE"""),1.5)</f>
        <v>1.5</v>
      </c>
      <c r="R670" s="57">
        <f>IFERROR(__xludf.DUMMYFUNCTION("""COMPUTED_VALUE"""),2.55)</f>
        <v>2.55</v>
      </c>
      <c r="S670" s="31">
        <f>IFERROR(__xludf.DUMMYFUNCTION("""COMPUTED_VALUE"""),368.4)</f>
        <v>368.4</v>
      </c>
      <c r="T670" s="57">
        <f>IFERROR(__xludf.DUMMYFUNCTION("""COMPUTED_VALUE"""),0.8499999999999999)</f>
        <v>0.85</v>
      </c>
      <c r="U670" s="57">
        <f>IFERROR(__xludf.DUMMYFUNCTION("""COMPUTED_VALUE"""),0.6333333333333333)</f>
        <v>0.6333333333</v>
      </c>
      <c r="V670" s="57">
        <f>IFERROR(__xludf.DUMMYFUNCTION("""COMPUTED_VALUE"""),1.5500000000000003)</f>
        <v>1.55</v>
      </c>
      <c r="W670" s="57">
        <f>IFERROR(__xludf.DUMMYFUNCTION("""COMPUTED_VALUE"""),2.7333333333333334)</f>
        <v>2.733333333</v>
      </c>
      <c r="X670" s="31">
        <f>IFERROR(__xludf.DUMMYFUNCTION("""COMPUTED_VALUE"""),345.80640556157704)</f>
        <v>345.8064056</v>
      </c>
      <c r="Y670" s="57">
        <f>IFERROR(__xludf.DUMMYFUNCTION("""COMPUTED_VALUE"""),0.7948771635046145)</f>
        <v>0.7948771635</v>
      </c>
      <c r="Z670" s="57">
        <f>IFERROR(__xludf.DUMMYFUNCTION("""COMPUTED_VALUE"""),0.5429670447562607)</f>
        <v>0.5429670448</v>
      </c>
      <c r="AA670" s="57">
        <f>IFERROR(__xludf.DUMMYFUNCTION("""COMPUTED_VALUE"""),1.2647565959820863)</f>
        <v>1.264756596</v>
      </c>
      <c r="AB670" s="57">
        <f>IFERROR(__xludf.DUMMYFUNCTION("""COMPUTED_VALUE"""),2.5470009638146895)</f>
        <v>2.547000964</v>
      </c>
      <c r="AC670" s="31">
        <f>IFERROR(__xludf.DUMMYFUNCTION("""COMPUTED_VALUE"""),351.5529202914007)</f>
        <v>351.5529203</v>
      </c>
      <c r="AD670" s="57">
        <f>IFERROR(__xludf.DUMMYFUNCTION("""COMPUTED_VALUE"""),0.8042744329018839)</f>
        <v>0.8042744329</v>
      </c>
      <c r="AE670" s="57">
        <f>IFERROR(__xludf.DUMMYFUNCTION("""COMPUTED_VALUE"""),0.5551545141496123)</f>
        <v>0.5551545141</v>
      </c>
      <c r="AF670" s="57">
        <f>IFERROR(__xludf.DUMMYFUNCTION("""COMPUTED_VALUE"""),1.3249694465544137)</f>
        <v>1.324969447</v>
      </c>
      <c r="AG670" s="57">
        <f>IFERROR(__xludf.DUMMYFUNCTION("""COMPUTED_VALUE"""),2.5062623959192587)</f>
        <v>2.506262396</v>
      </c>
      <c r="AH670" s="57">
        <f>IFERROR(__xludf.DUMMYFUNCTION("""COMPUTED_VALUE"""),0.8331604805251409)</f>
        <v>0.8331604805</v>
      </c>
      <c r="AI670" s="57">
        <f>IFERROR(__xludf.DUMMYFUNCTION("""COMPUTED_VALUE"""),0.6216783470238655)</f>
        <v>0.621678347</v>
      </c>
      <c r="AJ670" s="57">
        <f>IFERROR(__xludf.DUMMYFUNCTION("""COMPUTED_VALUE"""),0.8105851407680827)</f>
        <v>0.8105851408</v>
      </c>
      <c r="AK670" s="57">
        <f>IFERROR(__xludf.DUMMYFUNCTION("""COMPUTED_VALUE"""),1.132101577059572)</f>
        <v>1.132101577</v>
      </c>
      <c r="AL670" s="57">
        <f>IFERROR(__xludf.DUMMYFUNCTION("""COMPUTED_VALUE"""),1.0174513267852383)</f>
        <v>1.017451327</v>
      </c>
      <c r="AM670" s="57">
        <f>IFERROR(__xludf.DUMMYFUNCTION("""COMPUTED_VALUE"""),1.0653359627671783)</f>
        <v>1.065335963</v>
      </c>
      <c r="AN670" s="57">
        <f>IFERROR(__xludf.DUMMYFUNCTION("""COMPUTED_VALUE"""),1.0693476162434317)</f>
        <v>1.069347616</v>
      </c>
      <c r="AO670" s="57">
        <f>IFERROR(__xludf.DUMMYFUNCTION("""COMPUTED_VALUE"""),1.1664305217964717)</f>
        <v>1.166430522</v>
      </c>
      <c r="AP670" s="35">
        <f>IFERROR(__xludf.DUMMYFUNCTION("""COMPUTED_VALUE"""),1.225532252548896)</f>
        <v>1.225532253</v>
      </c>
      <c r="AQ670" s="57">
        <f>IFERROR(__xludf.DUMMYFUNCTION("""COMPUTED_VALUE"""),1.073157557521914)</f>
        <v>1.073157558</v>
      </c>
      <c r="AR670" s="36" t="b">
        <f>IFERROR(__xludf.DUMMYFUNCTION("""COMPUTED_VALUE"""),TRUE)</f>
        <v>1</v>
      </c>
      <c r="AS670" s="57"/>
      <c r="AT670" s="37"/>
      <c r="AU670" s="30"/>
      <c r="AV670" s="30"/>
      <c r="AW670" s="30"/>
      <c r="AX670" s="30"/>
      <c r="AY670" s="30"/>
      <c r="AZ670" s="30"/>
    </row>
    <row r="671">
      <c r="A671" s="30" t="str">
        <f>IFERROR(__xludf.DUMMYFUNCTION("""COMPUTED_VALUE"""),"Rival")</f>
        <v>Rival</v>
      </c>
      <c r="B671" s="30" t="str">
        <f>IFERROR(__xludf.DUMMYFUNCTION("""COMPUTED_VALUE"""),"RSC005628")</f>
        <v>RSC005628</v>
      </c>
      <c r="C671" s="30" t="str">
        <f>IFERROR(__xludf.DUMMYFUNCTION("""COMPUTED_VALUE"""),"I love sand")</f>
        <v>I love sand</v>
      </c>
      <c r="D671" s="31" t="str">
        <f>IFERROR(__xludf.DUMMYFUNCTION("""COMPUTED_VALUE"""),"Tyrants")</f>
        <v>Tyrants</v>
      </c>
      <c r="E671" s="31">
        <f>IFERROR(__xludf.DUMMYFUNCTION("""COMPUTED_VALUE"""),28.680276738022886)</f>
        <v>28.68027674</v>
      </c>
      <c r="F671" s="31">
        <f>IFERROR(__xludf.DUMMYFUNCTION("""COMPUTED_VALUE"""),-5.079025011970154)</f>
        <v>-5.079025012</v>
      </c>
      <c r="G671" s="31">
        <f>IFERROR(__xludf.DUMMYFUNCTION("""COMPUTED_VALUE"""),44.224005516896995)</f>
        <v>44.22400552</v>
      </c>
      <c r="H671" s="31">
        <f>IFERROR(__xludf.DUMMYFUNCTION("""COMPUTED_VALUE"""),-2.4471300654563324)</f>
        <v>-2.447130065</v>
      </c>
      <c r="I671" s="54">
        <f>IFERROR(__xludf.DUMMYFUNCTION("""COMPUTED_VALUE"""),21.0)</f>
        <v>21</v>
      </c>
      <c r="J671" s="55">
        <f>IFERROR(__xludf.DUMMYFUNCTION("""COMPUTED_VALUE"""),11.0)</f>
        <v>11</v>
      </c>
      <c r="K671" s="54">
        <f>IFERROR(__xludf.DUMMYFUNCTION("""COMPUTED_VALUE"""),10.0)</f>
        <v>10</v>
      </c>
      <c r="L671" s="56">
        <f>IFERROR(__xludf.DUMMYFUNCTION("""COMPUTED_VALUE"""),0.5238095238095238)</f>
        <v>0.5238095238</v>
      </c>
      <c r="M671" s="56">
        <f>IFERROR(__xludf.DUMMYFUNCTION("""COMPUTED_VALUE"""),0.19565217391304346)</f>
        <v>0.1956521739</v>
      </c>
      <c r="N671" s="31">
        <f>IFERROR(__xludf.DUMMYFUNCTION("""COMPUTED_VALUE"""),298.1904761904762)</f>
        <v>298.1904762</v>
      </c>
      <c r="O671" s="57">
        <f>IFERROR(__xludf.DUMMYFUNCTION("""COMPUTED_VALUE"""),0.42857142857142855)</f>
        <v>0.4285714286</v>
      </c>
      <c r="P671" s="57">
        <f>IFERROR(__xludf.DUMMYFUNCTION("""COMPUTED_VALUE"""),0.38095238095238093)</f>
        <v>0.380952381</v>
      </c>
      <c r="Q671" s="57">
        <f>IFERROR(__xludf.DUMMYFUNCTION("""COMPUTED_VALUE"""),1.0476190476190477)</f>
        <v>1.047619048</v>
      </c>
      <c r="R671" s="57">
        <f>IFERROR(__xludf.DUMMYFUNCTION("""COMPUTED_VALUE"""),2.1904761904761907)</f>
        <v>2.19047619</v>
      </c>
      <c r="S671" s="31">
        <f>IFERROR(__xludf.DUMMYFUNCTION("""COMPUTED_VALUE"""),317.6984126984127)</f>
        <v>317.6984127</v>
      </c>
      <c r="T671" s="57">
        <f>IFERROR(__xludf.DUMMYFUNCTION("""COMPUTED_VALUE"""),0.634920634920635)</f>
        <v>0.6349206349</v>
      </c>
      <c r="U671" s="57">
        <f>IFERROR(__xludf.DUMMYFUNCTION("""COMPUTED_VALUE"""),0.4761904761904761)</f>
        <v>0.4761904762</v>
      </c>
      <c r="V671" s="57">
        <f>IFERROR(__xludf.DUMMYFUNCTION("""COMPUTED_VALUE"""),1.0476190476190474)</f>
        <v>1.047619048</v>
      </c>
      <c r="W671" s="57">
        <f>IFERROR(__xludf.DUMMYFUNCTION("""COMPUTED_VALUE"""),2.4285714285714284)</f>
        <v>2.428571429</v>
      </c>
      <c r="X671" s="31">
        <f>IFERROR(__xludf.DUMMYFUNCTION("""COMPUTED_VALUE"""),339.8501708551871)</f>
        <v>339.8501709</v>
      </c>
      <c r="Y671" s="57">
        <f>IFERROR(__xludf.DUMMYFUNCTION("""COMPUTED_VALUE"""),0.7428556375506653)</f>
        <v>0.7428556376</v>
      </c>
      <c r="Z671" s="57">
        <f>IFERROR(__xludf.DUMMYFUNCTION("""COMPUTED_VALUE"""),0.6001893841905737)</f>
        <v>0.6001893842</v>
      </c>
      <c r="AA671" s="57">
        <f>IFERROR(__xludf.DUMMYFUNCTION("""COMPUTED_VALUE"""),1.2460732000172416)</f>
        <v>1.2460732</v>
      </c>
      <c r="AB671" s="57">
        <f>IFERROR(__xludf.DUMMYFUNCTION("""COMPUTED_VALUE"""),2.4610072885513934)</f>
        <v>2.461007289</v>
      </c>
      <c r="AC671" s="31">
        <f>IFERROR(__xludf.DUMMYFUNCTION("""COMPUTED_VALUE"""),345.3921495395376)</f>
        <v>345.3921495</v>
      </c>
      <c r="AD671" s="57">
        <f>IFERROR(__xludf.DUMMYFUNCTION("""COMPUTED_VALUE"""),0.7517000680082466)</f>
        <v>0.751700068</v>
      </c>
      <c r="AE671" s="57">
        <f>IFERROR(__xludf.DUMMYFUNCTION("""COMPUTED_VALUE"""),0.5583437795180287)</f>
        <v>0.5583437795</v>
      </c>
      <c r="AF671" s="57">
        <f>IFERROR(__xludf.DUMMYFUNCTION("""COMPUTED_VALUE"""),1.2768055634981896)</f>
        <v>1.276805563</v>
      </c>
      <c r="AG671" s="57">
        <f>IFERROR(__xludf.DUMMYFUNCTION("""COMPUTED_VALUE"""),2.4396818367030106)</f>
        <v>2.439681837</v>
      </c>
      <c r="AH671" s="57">
        <f>IFERROR(__xludf.DUMMYFUNCTION("""COMPUTED_VALUE"""),0.8633388934520118)</f>
        <v>0.8633388935</v>
      </c>
      <c r="AI671" s="57">
        <f>IFERROR(__xludf.DUMMYFUNCTION("""COMPUTED_VALUE"""),0.5701362109850532)</f>
        <v>0.570136211</v>
      </c>
      <c r="AJ671" s="57">
        <f>IFERROR(__xludf.DUMMYFUNCTION("""COMPUTED_VALUE"""),0.6822900064924609)</f>
        <v>0.6822900065</v>
      </c>
      <c r="AK671" s="57">
        <f>IFERROR(__xludf.DUMMYFUNCTION("""COMPUTED_VALUE"""),0.8205000648248922)</f>
        <v>0.8205000648</v>
      </c>
      <c r="AL671" s="57">
        <f>IFERROR(__xludf.DUMMYFUNCTION("""COMPUTED_VALUE"""),0.8978532190231835)</f>
        <v>0.897853219</v>
      </c>
      <c r="AM671" s="57">
        <f>IFERROR(__xludf.DUMMYFUNCTION("""COMPUTED_VALUE"""),0.9348190465785776)</f>
        <v>0.9348190466</v>
      </c>
      <c r="AN671" s="57">
        <f>IFERROR(__xludf.DUMMYFUNCTION("""COMPUTED_VALUE"""),0.8547025866480433)</f>
        <v>0.8547025866</v>
      </c>
      <c r="AO671" s="57">
        <f>IFERROR(__xludf.DUMMYFUNCTION("""COMPUTED_VALUE"""),0.7934003645077383)</f>
        <v>0.7934003645</v>
      </c>
      <c r="AP671" s="35">
        <f>IFERROR(__xludf.DUMMYFUNCTION("""COMPUTED_VALUE"""),0.8407363609172814)</f>
        <v>0.8407363609</v>
      </c>
      <c r="AQ671" s="57">
        <f>IFERROR(__xludf.DUMMYFUNCTION("""COMPUTED_VALUE"""),0.9868200878027235)</f>
        <v>0.9868200878</v>
      </c>
      <c r="AR671" s="36" t="b">
        <f>IFERROR(__xludf.DUMMYFUNCTION("""COMPUTED_VALUE"""),TRUE)</f>
        <v>1</v>
      </c>
      <c r="AS671" s="57"/>
      <c r="AT671" s="37"/>
      <c r="AU671" s="30"/>
      <c r="AV671" s="30"/>
      <c r="AW671" s="30"/>
      <c r="AX671" s="30"/>
      <c r="AY671" s="30"/>
      <c r="AZ671" s="30"/>
    </row>
    <row r="672">
      <c r="A672" s="30" t="str">
        <f>IFERROR(__xludf.DUMMYFUNCTION("""COMPUTED_VALUE"""),"Rival")</f>
        <v>Rival</v>
      </c>
      <c r="B672" s="30" t="str">
        <f>IFERROR(__xludf.DUMMYFUNCTION("""COMPUTED_VALUE"""),"RSC004888")</f>
        <v>RSC004888</v>
      </c>
      <c r="C672" s="30" t="str">
        <f>IFERROR(__xludf.DUMMYFUNCTION("""COMPUTED_VALUE"""),"AgentAnime07")</f>
        <v>AgentAnime07</v>
      </c>
      <c r="D672" s="31" t="str">
        <f>IFERROR(__xludf.DUMMYFUNCTION("""COMPUTED_VALUE"""),"Phantoms")</f>
        <v>Phantoms</v>
      </c>
      <c r="E672" s="31">
        <f>IFERROR(__xludf.DUMMYFUNCTION("""COMPUTED_VALUE"""),28.02749729620409)</f>
        <v>28.0274973</v>
      </c>
      <c r="F672" s="31">
        <f>IFERROR(__xludf.DUMMYFUNCTION("""COMPUTED_VALUE"""),-5.270711100670222)</f>
        <v>-5.270711101</v>
      </c>
      <c r="G672" s="31">
        <f>IFERROR(__xludf.DUMMYFUNCTION("""COMPUTED_VALUE"""),34.44090279021582)</f>
        <v>34.44090279</v>
      </c>
      <c r="H672" s="31">
        <f>IFERROR(__xludf.DUMMYFUNCTION("""COMPUTED_VALUE"""),-3.7474052496713144)</f>
        <v>-3.74740525</v>
      </c>
      <c r="I672" s="54">
        <f>IFERROR(__xludf.DUMMYFUNCTION("""COMPUTED_VALUE"""),36.0)</f>
        <v>36</v>
      </c>
      <c r="J672" s="55">
        <f>IFERROR(__xludf.DUMMYFUNCTION("""COMPUTED_VALUE"""),12.0)</f>
        <v>12</v>
      </c>
      <c r="K672" s="54">
        <f>IFERROR(__xludf.DUMMYFUNCTION("""COMPUTED_VALUE"""),24.0)</f>
        <v>24</v>
      </c>
      <c r="L672" s="56">
        <f>IFERROR(__xludf.DUMMYFUNCTION("""COMPUTED_VALUE"""),0.3333333333333333)</f>
        <v>0.3333333333</v>
      </c>
      <c r="M672" s="56">
        <f>IFERROR(__xludf.DUMMYFUNCTION("""COMPUTED_VALUE"""),0.29729729729729737)</f>
        <v>0.2972972973</v>
      </c>
      <c r="N672" s="31">
        <f>IFERROR(__xludf.DUMMYFUNCTION("""COMPUTED_VALUE"""),310.3611111111111)</f>
        <v>310.3611111</v>
      </c>
      <c r="O672" s="57">
        <f>IFERROR(__xludf.DUMMYFUNCTION("""COMPUTED_VALUE"""),0.6111111111111112)</f>
        <v>0.6111111111</v>
      </c>
      <c r="P672" s="57">
        <f>IFERROR(__xludf.DUMMYFUNCTION("""COMPUTED_VALUE"""),0.4444444444444444)</f>
        <v>0.4444444444</v>
      </c>
      <c r="Q672" s="57">
        <f>IFERROR(__xludf.DUMMYFUNCTION("""COMPUTED_VALUE"""),1.3611111111111112)</f>
        <v>1.361111111</v>
      </c>
      <c r="R672" s="57">
        <f>IFERROR(__xludf.DUMMYFUNCTION("""COMPUTED_VALUE"""),2.0555555555555554)</f>
        <v>2.055555556</v>
      </c>
      <c r="S672" s="31">
        <f>IFERROR(__xludf.DUMMYFUNCTION("""COMPUTED_VALUE"""),369.75)</f>
        <v>369.75</v>
      </c>
      <c r="T672" s="57">
        <f>IFERROR(__xludf.DUMMYFUNCTION("""COMPUTED_VALUE"""),0.9907407407407407)</f>
        <v>0.9907407407</v>
      </c>
      <c r="U672" s="57">
        <f>IFERROR(__xludf.DUMMYFUNCTION("""COMPUTED_VALUE"""),0.712962962962963)</f>
        <v>0.712962963</v>
      </c>
      <c r="V672" s="57">
        <f>IFERROR(__xludf.DUMMYFUNCTION("""COMPUTED_VALUE"""),1.1574074074074074)</f>
        <v>1.157407407</v>
      </c>
      <c r="W672" s="57">
        <f>IFERROR(__xludf.DUMMYFUNCTION("""COMPUTED_VALUE"""),2.824074074074074)</f>
        <v>2.824074074</v>
      </c>
      <c r="X672" s="31">
        <f>IFERROR(__xludf.DUMMYFUNCTION("""COMPUTED_VALUE"""),350.3008550775964)</f>
        <v>350.3008551</v>
      </c>
      <c r="Y672" s="57">
        <f>IFERROR(__xludf.DUMMYFUNCTION("""COMPUTED_VALUE"""),0.8114961448459055)</f>
        <v>0.8114961448</v>
      </c>
      <c r="Z672" s="57">
        <f>IFERROR(__xludf.DUMMYFUNCTION("""COMPUTED_VALUE"""),0.5504679209458184)</f>
        <v>0.5504679209</v>
      </c>
      <c r="AA672" s="57">
        <f>IFERROR(__xludf.DUMMYFUNCTION("""COMPUTED_VALUE"""),1.2974071350460235)</f>
        <v>1.297407135</v>
      </c>
      <c r="AB672" s="57">
        <f>IFERROR(__xludf.DUMMYFUNCTION("""COMPUTED_VALUE"""),2.513469928728291)</f>
        <v>2.513469929</v>
      </c>
      <c r="AC672" s="31">
        <f>IFERROR(__xludf.DUMMYFUNCTION("""COMPUTED_VALUE"""),339.68933652652777)</f>
        <v>339.6893365</v>
      </c>
      <c r="AD672" s="57">
        <f>IFERROR(__xludf.DUMMYFUNCTION("""COMPUTED_VALUE"""),0.7405953850970772)</f>
        <v>0.7405953851</v>
      </c>
      <c r="AE672" s="57">
        <f>IFERROR(__xludf.DUMMYFUNCTION("""COMPUTED_VALUE"""),0.5222303451743914)</f>
        <v>0.5222303452</v>
      </c>
      <c r="AF672" s="57">
        <f>IFERROR(__xludf.DUMMYFUNCTION("""COMPUTED_VALUE"""),1.2968482113046038)</f>
        <v>1.296848211</v>
      </c>
      <c r="AG672" s="57">
        <f>IFERROR(__xludf.DUMMYFUNCTION("""COMPUTED_VALUE"""),2.463049098839123)</f>
        <v>2.463049099</v>
      </c>
      <c r="AH672" s="57">
        <f>IFERROR(__xludf.DUMMYFUNCTION("""COMPUTED_VALUE"""),0.913661624720662)</f>
        <v>0.9136616247</v>
      </c>
      <c r="AI672" s="57">
        <f>IFERROR(__xludf.DUMMYFUNCTION("""COMPUTED_VALUE"""),0.8251619216220295)</f>
        <v>0.8251619216</v>
      </c>
      <c r="AJ672" s="57">
        <f>IFERROR(__xludf.DUMMYFUNCTION("""COMPUTED_VALUE"""),0.8510505920448352)</f>
        <v>0.851050592</v>
      </c>
      <c r="AK672" s="57">
        <f>IFERROR(__xludf.DUMMYFUNCTION("""COMPUTED_VALUE"""),1.0495531391001112)</f>
        <v>1.049553139</v>
      </c>
      <c r="AL672" s="57">
        <f>IFERROR(__xludf.DUMMYFUNCTION("""COMPUTED_VALUE"""),0.8345572796435011)</f>
        <v>0.8345572796</v>
      </c>
      <c r="AM672" s="57">
        <f>IFERROR(__xludf.DUMMYFUNCTION("""COMPUTED_VALUE"""),1.055521260198167)</f>
        <v>1.05552126</v>
      </c>
      <c r="AN672" s="57">
        <f>IFERROR(__xludf.DUMMYFUNCTION("""COMPUTED_VALUE"""),1.2208816357702745)</f>
        <v>1.220881636</v>
      </c>
      <c r="AO672" s="57">
        <f>IFERROR(__xludf.DUMMYFUNCTION("""COMPUTED_VALUE"""),1.2951943897801426)</f>
        <v>1.29519439</v>
      </c>
      <c r="AP672" s="35">
        <f>IFERROR(__xludf.DUMMYFUNCTION("""COMPUTED_VALUE"""),0.8920926794242967)</f>
        <v>0.8920926794</v>
      </c>
      <c r="AQ672" s="57">
        <f>IFERROR(__xludf.DUMMYFUNCTION("""COMPUTED_VALUE"""),1.1235758350619836)</f>
        <v>1.123575835</v>
      </c>
      <c r="AR672" s="36" t="b">
        <f>IFERROR(__xludf.DUMMYFUNCTION("""COMPUTED_VALUE"""),TRUE)</f>
        <v>1</v>
      </c>
      <c r="AS672" s="57"/>
      <c r="AT672" s="37"/>
      <c r="AU672" s="30"/>
      <c r="AV672" s="30"/>
      <c r="AW672" s="30"/>
      <c r="AX672" s="30"/>
      <c r="AY672" s="30"/>
      <c r="AZ672" s="30"/>
    </row>
    <row r="673">
      <c r="A673" s="30" t="str">
        <f>IFERROR(__xludf.DUMMYFUNCTION("""COMPUTED_VALUE"""),"Rival")</f>
        <v>Rival</v>
      </c>
      <c r="B673" s="30" t="str">
        <f>IFERROR(__xludf.DUMMYFUNCTION("""COMPUTED_VALUE"""),"RSC000813")</f>
        <v>RSC000813</v>
      </c>
      <c r="C673" s="30" t="str">
        <f>IFERROR(__xludf.DUMMYFUNCTION("""COMPUTED_VALUE"""),"Ziggy.")</f>
        <v>Ziggy.</v>
      </c>
      <c r="D673" s="31" t="str">
        <f>IFERROR(__xludf.DUMMYFUNCTION("""COMPUTED_VALUE"""),"Dice")</f>
        <v>Dice</v>
      </c>
      <c r="E673" s="31">
        <f>IFERROR(__xludf.DUMMYFUNCTION("""COMPUTED_VALUE"""),27.45206751841522)</f>
        <v>27.45206752</v>
      </c>
      <c r="F673" s="31">
        <f>IFERROR(__xludf.DUMMYFUNCTION("""COMPUTED_VALUE"""),-5.448094894891417)</f>
        <v>-5.448094895</v>
      </c>
      <c r="G673" s="31">
        <f>IFERROR(__xludf.DUMMYFUNCTION("""COMPUTED_VALUE"""),26.75778856951606)</f>
        <v>26.75778857</v>
      </c>
      <c r="H673" s="31">
        <f>IFERROR(__xludf.DUMMYFUNCTION("""COMPUTED_VALUE"""),-5.673237207647242)</f>
        <v>-5.673237208</v>
      </c>
      <c r="I673" s="54">
        <f>IFERROR(__xludf.DUMMYFUNCTION("""COMPUTED_VALUE"""),19.0)</f>
        <v>19</v>
      </c>
      <c r="J673" s="55">
        <f>IFERROR(__xludf.DUMMYFUNCTION("""COMPUTED_VALUE"""),6.0)</f>
        <v>6</v>
      </c>
      <c r="K673" s="54">
        <f>IFERROR(__xludf.DUMMYFUNCTION("""COMPUTED_VALUE"""),13.0)</f>
        <v>13</v>
      </c>
      <c r="L673" s="56">
        <f>IFERROR(__xludf.DUMMYFUNCTION("""COMPUTED_VALUE"""),0.3157894736842105)</f>
        <v>0.3157894737</v>
      </c>
      <c r="M673" s="56">
        <f>IFERROR(__xludf.DUMMYFUNCTION("""COMPUTED_VALUE"""),0.3414634146341463)</f>
        <v>0.3414634146</v>
      </c>
      <c r="N673" s="31">
        <f>IFERROR(__xludf.DUMMYFUNCTION("""COMPUTED_VALUE"""),283.7368421052632)</f>
        <v>283.7368421</v>
      </c>
      <c r="O673" s="57">
        <f>IFERROR(__xludf.DUMMYFUNCTION("""COMPUTED_VALUE"""),0.7368421052631579)</f>
        <v>0.7368421053</v>
      </c>
      <c r="P673" s="57">
        <f>IFERROR(__xludf.DUMMYFUNCTION("""COMPUTED_VALUE"""),0.3157894736842105)</f>
        <v>0.3157894737</v>
      </c>
      <c r="Q673" s="57">
        <f>IFERROR(__xludf.DUMMYFUNCTION("""COMPUTED_VALUE"""),0.8947368421052632)</f>
        <v>0.8947368421</v>
      </c>
      <c r="R673" s="57">
        <f>IFERROR(__xludf.DUMMYFUNCTION("""COMPUTED_VALUE"""),2.1578947368421053)</f>
        <v>2.157894737</v>
      </c>
      <c r="S673" s="31">
        <f>IFERROR(__xludf.DUMMYFUNCTION("""COMPUTED_VALUE"""),368.578947368421)</f>
        <v>368.5789474</v>
      </c>
      <c r="T673" s="57">
        <f>IFERROR(__xludf.DUMMYFUNCTION("""COMPUTED_VALUE"""),1.0175438596491226)</f>
        <v>1.01754386</v>
      </c>
      <c r="U673" s="57">
        <f>IFERROR(__xludf.DUMMYFUNCTION("""COMPUTED_VALUE"""),0.6842105263157896)</f>
        <v>0.6842105263</v>
      </c>
      <c r="V673" s="57">
        <f>IFERROR(__xludf.DUMMYFUNCTION("""COMPUTED_VALUE"""),1.3157894736842106)</f>
        <v>1.315789474</v>
      </c>
      <c r="W673" s="57">
        <f>IFERROR(__xludf.DUMMYFUNCTION("""COMPUTED_VALUE"""),2.701754385964912)</f>
        <v>2.701754386</v>
      </c>
      <c r="X673" s="31">
        <f>IFERROR(__xludf.DUMMYFUNCTION("""COMPUTED_VALUE"""),346.9924552490678)</f>
        <v>346.9924552</v>
      </c>
      <c r="Y673" s="57">
        <f>IFERROR(__xludf.DUMMYFUNCTION("""COMPUTED_VALUE"""),0.8248357836357568)</f>
        <v>0.8248357836</v>
      </c>
      <c r="Z673" s="57">
        <f>IFERROR(__xludf.DUMMYFUNCTION("""COMPUTED_VALUE"""),0.5726639881707859)</f>
        <v>0.5726639882</v>
      </c>
      <c r="AA673" s="57">
        <f>IFERROR(__xludf.DUMMYFUNCTION("""COMPUTED_VALUE"""),1.3147498626668095)</f>
        <v>1.314749863</v>
      </c>
      <c r="AB673" s="57">
        <f>IFERROR(__xludf.DUMMYFUNCTION("""COMPUTED_VALUE"""),2.6184713337593934)</f>
        <v>2.618471334</v>
      </c>
      <c r="AC673" s="31">
        <f>IFERROR(__xludf.DUMMYFUNCTION("""COMPUTED_VALUE"""),347.1136570614193)</f>
        <v>347.1136571</v>
      </c>
      <c r="AD673" s="57">
        <f>IFERROR(__xludf.DUMMYFUNCTION("""COMPUTED_VALUE"""),0.7846162703119672)</f>
        <v>0.7846162703</v>
      </c>
      <c r="AE673" s="57">
        <f>IFERROR(__xludf.DUMMYFUNCTION("""COMPUTED_VALUE"""),0.5381352174594873)</f>
        <v>0.5381352175</v>
      </c>
      <c r="AF673" s="57">
        <f>IFERROR(__xludf.DUMMYFUNCTION("""COMPUTED_VALUE"""),1.3768176093859232)</f>
        <v>1.376817609</v>
      </c>
      <c r="AG673" s="57">
        <f>IFERROR(__xludf.DUMMYFUNCTION("""COMPUTED_VALUE"""),2.6090042180722848)</f>
        <v>2.609004218</v>
      </c>
      <c r="AH673" s="57">
        <f>IFERROR(__xludf.DUMMYFUNCTION("""COMPUTED_VALUE"""),0.8174176853406202)</f>
        <v>0.8174176853</v>
      </c>
      <c r="AI673" s="57">
        <f>IFERROR(__xludf.DUMMYFUNCTION("""COMPUTED_VALUE"""),0.9391114270039109)</f>
        <v>0.939111427</v>
      </c>
      <c r="AJ673" s="57">
        <f>IFERROR(__xludf.DUMMYFUNCTION("""COMPUTED_VALUE"""),0.5868217939257696)</f>
        <v>0.5868217939</v>
      </c>
      <c r="AK673" s="57">
        <f>IFERROR(__xludf.DUMMYFUNCTION("""COMPUTED_VALUE"""),0.6498586566628286)</f>
        <v>0.6498586567</v>
      </c>
      <c r="AL673" s="57">
        <f>IFERROR(__xludf.DUMMYFUNCTION("""COMPUTED_VALUE"""),0.8270951506688284)</f>
        <v>0.8270951507</v>
      </c>
      <c r="AM673" s="57">
        <f>IFERROR(__xludf.DUMMYFUNCTION("""COMPUTED_VALUE"""),1.062210263631982)</f>
        <v>1.062210264</v>
      </c>
      <c r="AN673" s="57">
        <f>IFERROR(__xludf.DUMMYFUNCTION("""COMPUTED_VALUE"""),1.2336320511750065)</f>
        <v>1.233632051</v>
      </c>
      <c r="AO673" s="57">
        <f>IFERROR(__xludf.DUMMYFUNCTION("""COMPUTED_VALUE"""),1.1947853199243552)</f>
        <v>1.19478532</v>
      </c>
      <c r="AP673" s="35">
        <f>IFERROR(__xludf.DUMMYFUNCTION("""COMPUTED_VALUE"""),1.00079072913177)</f>
        <v>1.000790729</v>
      </c>
      <c r="AQ673" s="57">
        <f>IFERROR(__xludf.DUMMYFUNCTION("""COMPUTED_VALUE"""),1.0318059820368348)</f>
        <v>1.031805982</v>
      </c>
      <c r="AR673" s="36" t="b">
        <f>IFERROR(__xludf.DUMMYFUNCTION("""COMPUTED_VALUE"""),TRUE)</f>
        <v>1</v>
      </c>
      <c r="AS673" s="57"/>
      <c r="AT673" s="37"/>
      <c r="AU673" s="30"/>
      <c r="AV673" s="30"/>
      <c r="AW673" s="30"/>
      <c r="AX673" s="30"/>
      <c r="AY673" s="30"/>
      <c r="AZ673" s="30"/>
    </row>
    <row r="674">
      <c r="A674" s="30" t="str">
        <f>IFERROR(__xludf.DUMMYFUNCTION("""COMPUTED_VALUE"""),"Rival")</f>
        <v>Rival</v>
      </c>
      <c r="B674" s="30" t="str">
        <f>IFERROR(__xludf.DUMMYFUNCTION("""COMPUTED_VALUE"""),"RSC005934")</f>
        <v>RSC005934</v>
      </c>
      <c r="C674" s="30" t="str">
        <f>IFERROR(__xludf.DUMMYFUNCTION("""COMPUTED_VALUE"""),"TheodoreThe2")</f>
        <v>TheodoreThe2</v>
      </c>
      <c r="D674" s="31" t="str">
        <f>IFERROR(__xludf.DUMMYFUNCTION("""COMPUTED_VALUE"""),"Ruthless Racket")</f>
        <v>Ruthless Racket</v>
      </c>
      <c r="E674" s="31">
        <f>IFERROR(__xludf.DUMMYFUNCTION("""COMPUTED_VALUE"""),26.581819058645326)</f>
        <v>26.58181906</v>
      </c>
      <c r="F674" s="31">
        <f>IFERROR(__xludf.DUMMYFUNCTION("""COMPUTED_VALUE"""),-5.73231989160243)</f>
        <v>-5.732319892</v>
      </c>
      <c r="G674" s="31">
        <f>IFERROR(__xludf.DUMMYFUNCTION("""COMPUTED_VALUE"""),40.29082389512096)</f>
        <v>40.2908239</v>
      </c>
      <c r="H674" s="31">
        <f>IFERROR(__xludf.DUMMYFUNCTION("""COMPUTED_VALUE"""),-2.866379030973107)</f>
        <v>-2.866379031</v>
      </c>
      <c r="I674" s="54">
        <f>IFERROR(__xludf.DUMMYFUNCTION("""COMPUTED_VALUE"""),14.0)</f>
        <v>14</v>
      </c>
      <c r="J674" s="55">
        <f>IFERROR(__xludf.DUMMYFUNCTION("""COMPUTED_VALUE"""),5.0)</f>
        <v>5</v>
      </c>
      <c r="K674" s="54">
        <f>IFERROR(__xludf.DUMMYFUNCTION("""COMPUTED_VALUE"""),9.0)</f>
        <v>9</v>
      </c>
      <c r="L674" s="56">
        <f>IFERROR(__xludf.DUMMYFUNCTION("""COMPUTED_VALUE"""),0.35714285714285715)</f>
        <v>0.3571428571</v>
      </c>
      <c r="M674" s="56">
        <f>IFERROR(__xludf.DUMMYFUNCTION("""COMPUTED_VALUE"""),0.23076923076923075)</f>
        <v>0.2307692308</v>
      </c>
      <c r="N674" s="31">
        <f>IFERROR(__xludf.DUMMYFUNCTION("""COMPUTED_VALUE"""),339.5)</f>
        <v>339.5</v>
      </c>
      <c r="O674" s="57">
        <f>IFERROR(__xludf.DUMMYFUNCTION("""COMPUTED_VALUE"""),0.42857142857142855)</f>
        <v>0.4285714286</v>
      </c>
      <c r="P674" s="57">
        <f>IFERROR(__xludf.DUMMYFUNCTION("""COMPUTED_VALUE"""),0.5)</f>
        <v>0.5</v>
      </c>
      <c r="Q674" s="57">
        <f>IFERROR(__xludf.DUMMYFUNCTION("""COMPUTED_VALUE"""),1.4285714285714286)</f>
        <v>1.428571429</v>
      </c>
      <c r="R674" s="57">
        <f>IFERROR(__xludf.DUMMYFUNCTION("""COMPUTED_VALUE"""),1.8571428571428572)</f>
        <v>1.857142857</v>
      </c>
      <c r="S674" s="31">
        <f>IFERROR(__xludf.DUMMYFUNCTION("""COMPUTED_VALUE"""),353.9761904761905)</f>
        <v>353.9761905</v>
      </c>
      <c r="T674" s="57">
        <f>IFERROR(__xludf.DUMMYFUNCTION("""COMPUTED_VALUE"""),0.8095238095238095)</f>
        <v>0.8095238095</v>
      </c>
      <c r="U674" s="57">
        <f>IFERROR(__xludf.DUMMYFUNCTION("""COMPUTED_VALUE"""),0.6190476190476192)</f>
        <v>0.619047619</v>
      </c>
      <c r="V674" s="57">
        <f>IFERROR(__xludf.DUMMYFUNCTION("""COMPUTED_VALUE"""),1.0238095238095237)</f>
        <v>1.023809524</v>
      </c>
      <c r="W674" s="57">
        <f>IFERROR(__xludf.DUMMYFUNCTION("""COMPUTED_VALUE"""),2.857142857142857)</f>
        <v>2.857142857</v>
      </c>
      <c r="X674" s="31">
        <f>IFERROR(__xludf.DUMMYFUNCTION("""COMPUTED_VALUE"""),357.01977830834574)</f>
        <v>357.0197783</v>
      </c>
      <c r="Y674" s="57">
        <f>IFERROR(__xludf.DUMMYFUNCTION("""COMPUTED_VALUE"""),0.8355872042779067)</f>
        <v>0.8355872043</v>
      </c>
      <c r="Z674" s="57">
        <f>IFERROR(__xludf.DUMMYFUNCTION("""COMPUTED_VALUE"""),0.5773201484895034)</f>
        <v>0.5773201485</v>
      </c>
      <c r="AA674" s="57">
        <f>IFERROR(__xludf.DUMMYFUNCTION("""COMPUTED_VALUE"""),1.324530752471929)</f>
        <v>1.324530752</v>
      </c>
      <c r="AB674" s="57">
        <f>IFERROR(__xludf.DUMMYFUNCTION("""COMPUTED_VALUE"""),2.632877576864768)</f>
        <v>2.632877577</v>
      </c>
      <c r="AC674" s="31">
        <f>IFERROR(__xludf.DUMMYFUNCTION("""COMPUTED_VALUE"""),342.56114876862426)</f>
        <v>342.5611488</v>
      </c>
      <c r="AD674" s="57">
        <f>IFERROR(__xludf.DUMMYFUNCTION("""COMPUTED_VALUE"""),0.7797531472381252)</f>
        <v>0.7797531472</v>
      </c>
      <c r="AE674" s="57">
        <f>IFERROR(__xludf.DUMMYFUNCTION("""COMPUTED_VALUE"""),0.566648289221028)</f>
        <v>0.5666482892</v>
      </c>
      <c r="AF674" s="57">
        <f>IFERROR(__xludf.DUMMYFUNCTION("""COMPUTED_VALUE"""),1.2337690905330057)</f>
        <v>1.233769091</v>
      </c>
      <c r="AG674" s="57">
        <f>IFERROR(__xludf.DUMMYFUNCTION("""COMPUTED_VALUE"""),2.545850061603541)</f>
        <v>2.545850062</v>
      </c>
      <c r="AH674" s="57">
        <f>IFERROR(__xludf.DUMMYFUNCTION("""COMPUTED_VALUE"""),0.9910639347759431)</f>
        <v>0.9910639348</v>
      </c>
      <c r="AI674" s="57">
        <f>IFERROR(__xludf.DUMMYFUNCTION("""COMPUTED_VALUE"""),0.5496244934559387)</f>
        <v>0.5496244935</v>
      </c>
      <c r="AJ674" s="57">
        <f>IFERROR(__xludf.DUMMYFUNCTION("""COMPUTED_VALUE"""),0.882381557504304)</f>
        <v>0.8823815575</v>
      </c>
      <c r="AK674" s="57">
        <f>IFERROR(__xludf.DUMMYFUNCTION("""COMPUTED_VALUE"""),1.1578920557608277)</f>
        <v>1.157892056</v>
      </c>
      <c r="AL674" s="57">
        <f>IFERROR(__xludf.DUMMYFUNCTION("""COMPUTED_VALUE"""),0.7294784893864128)</f>
        <v>0.7294784894</v>
      </c>
      <c r="AM674" s="57">
        <f>IFERROR(__xludf.DUMMYFUNCTION("""COMPUTED_VALUE"""),0.9914750161837628)</f>
        <v>0.9914750162</v>
      </c>
      <c r="AN674" s="57">
        <f>IFERROR(__xludf.DUMMYFUNCTION("""COMPUTED_VALUE"""),0.9688082888049723)</f>
        <v>0.9688082888</v>
      </c>
      <c r="AO674" s="57">
        <f>IFERROR(__xludf.DUMMYFUNCTION("""COMPUTED_VALUE"""),1.0722778698565973)</f>
        <v>1.07227787</v>
      </c>
      <c r="AP674" s="35">
        <f>IFERROR(__xludf.DUMMYFUNCTION("""COMPUTED_VALUE"""),0.7729601761973598)</f>
        <v>0.7729601762</v>
      </c>
      <c r="AQ674" s="57">
        <f>IFERROR(__xludf.DUMMYFUNCTION("""COMPUTED_VALUE"""),1.0851787725524042)</f>
        <v>1.085178773</v>
      </c>
      <c r="AR674" s="36" t="b">
        <f>IFERROR(__xludf.DUMMYFUNCTION("""COMPUTED_VALUE"""),TRUE)</f>
        <v>1</v>
      </c>
      <c r="AS674" s="57"/>
      <c r="AT674" s="37"/>
      <c r="AU674" s="30"/>
      <c r="AV674" s="30"/>
      <c r="AW674" s="30"/>
      <c r="AX674" s="30"/>
      <c r="AY674" s="30"/>
      <c r="AZ674" s="30"/>
    </row>
    <row r="675">
      <c r="A675" s="30" t="str">
        <f>IFERROR(__xludf.DUMMYFUNCTION("""COMPUTED_VALUE"""),"Rival")</f>
        <v>Rival</v>
      </c>
      <c r="B675" s="30" t="str">
        <f>IFERROR(__xludf.DUMMYFUNCTION("""COMPUTED_VALUE"""),"RSC007774")</f>
        <v>RSC007774</v>
      </c>
      <c r="C675" s="30" t="str">
        <f>IFERROR(__xludf.DUMMYFUNCTION("""COMPUTED_VALUE"""),"Il Rogue lI")</f>
        <v>Il Rogue lI</v>
      </c>
      <c r="D675" s="31"/>
      <c r="E675" s="31">
        <f>IFERROR(__xludf.DUMMYFUNCTION("""COMPUTED_VALUE"""),26.035955296259)</f>
        <v>26.0359553</v>
      </c>
      <c r="F675" s="31">
        <f>IFERROR(__xludf.DUMMYFUNCTION("""COMPUTED_VALUE"""),-5.9210215594732)</f>
        <v>-5.921021559</v>
      </c>
      <c r="G675" s="31">
        <f>IFERROR(__xludf.DUMMYFUNCTION("""COMPUTED_VALUE"""),34.88943639471101)</f>
        <v>34.88943639</v>
      </c>
      <c r="H675" s="31">
        <f>IFERROR(__xludf.DUMMYFUNCTION("""COMPUTED_VALUE"""),-3.665939428818025)</f>
        <v>-3.665939429</v>
      </c>
      <c r="I675" s="54">
        <f>IFERROR(__xludf.DUMMYFUNCTION("""COMPUTED_VALUE"""),4.0)</f>
        <v>4</v>
      </c>
      <c r="J675" s="55">
        <f>IFERROR(__xludf.DUMMYFUNCTION("""COMPUTED_VALUE"""),1.0)</f>
        <v>1</v>
      </c>
      <c r="K675" s="54">
        <f>IFERROR(__xludf.DUMMYFUNCTION("""COMPUTED_VALUE"""),3.0)</f>
        <v>3</v>
      </c>
      <c r="L675" s="56">
        <f>IFERROR(__xludf.DUMMYFUNCTION("""COMPUTED_VALUE"""),0.25)</f>
        <v>0.25</v>
      </c>
      <c r="M675" s="56">
        <f>IFERROR(__xludf.DUMMYFUNCTION("""COMPUTED_VALUE"""),0.0)</f>
        <v>0</v>
      </c>
      <c r="N675" s="31">
        <f>IFERROR(__xludf.DUMMYFUNCTION("""COMPUTED_VALUE"""),305.75)</f>
        <v>305.75</v>
      </c>
      <c r="O675" s="57">
        <f>IFERROR(__xludf.DUMMYFUNCTION("""COMPUTED_VALUE"""),0.0)</f>
        <v>0</v>
      </c>
      <c r="P675" s="57">
        <f>IFERROR(__xludf.DUMMYFUNCTION("""COMPUTED_VALUE"""),1.25)</f>
        <v>1.25</v>
      </c>
      <c r="Q675" s="57">
        <f>IFERROR(__xludf.DUMMYFUNCTION("""COMPUTED_VALUE"""),1.75)</f>
        <v>1.75</v>
      </c>
      <c r="R675" s="57">
        <f>IFERROR(__xludf.DUMMYFUNCTION("""COMPUTED_VALUE"""),2.0)</f>
        <v>2</v>
      </c>
      <c r="S675" s="31">
        <f>IFERROR(__xludf.DUMMYFUNCTION("""COMPUTED_VALUE"""),356.75000000000006)</f>
        <v>356.75</v>
      </c>
      <c r="T675" s="57">
        <f>IFERROR(__xludf.DUMMYFUNCTION("""COMPUTED_VALUE"""),0.75)</f>
        <v>0.75</v>
      </c>
      <c r="U675" s="57">
        <f>IFERROR(__xludf.DUMMYFUNCTION("""COMPUTED_VALUE"""),0.6666666666666666)</f>
        <v>0.6666666667</v>
      </c>
      <c r="V675" s="57">
        <f>IFERROR(__xludf.DUMMYFUNCTION("""COMPUTED_VALUE"""),1.1666666666666665)</f>
        <v>1.166666667</v>
      </c>
      <c r="W675" s="57">
        <f>IFERROR(__xludf.DUMMYFUNCTION("""COMPUTED_VALUE"""),3.333333333333333)</f>
        <v>3.333333333</v>
      </c>
      <c r="X675" s="31">
        <f>IFERROR(__xludf.DUMMYFUNCTION("""COMPUTED_VALUE"""),321.1805555555556)</f>
        <v>321.1805556</v>
      </c>
      <c r="Y675" s="57">
        <f>IFERROR(__xludf.DUMMYFUNCTION("""COMPUTED_VALUE"""),0.625)</f>
        <v>0.625</v>
      </c>
      <c r="Z675" s="57">
        <f>IFERROR(__xludf.DUMMYFUNCTION("""COMPUTED_VALUE"""),0.611111111111111)</f>
        <v>0.6111111111</v>
      </c>
      <c r="AA675" s="57">
        <f>IFERROR(__xludf.DUMMYFUNCTION("""COMPUTED_VALUE"""),1.222222222222222)</f>
        <v>1.222222222</v>
      </c>
      <c r="AB675" s="57">
        <f>IFERROR(__xludf.DUMMYFUNCTION("""COMPUTED_VALUE"""),2.5)</f>
        <v>2.5</v>
      </c>
      <c r="AC675" s="31">
        <f>IFERROR(__xludf.DUMMYFUNCTION("""COMPUTED_VALUE"""),372.39351851851853)</f>
        <v>372.3935185</v>
      </c>
      <c r="AD675" s="57">
        <f>IFERROR(__xludf.DUMMYFUNCTION("""COMPUTED_VALUE"""),0.8425925925925926)</f>
        <v>0.8425925926</v>
      </c>
      <c r="AE675" s="57">
        <f>IFERROR(__xludf.DUMMYFUNCTION("""COMPUTED_VALUE"""),0.6342592592592592)</f>
        <v>0.6342592593</v>
      </c>
      <c r="AF675" s="57">
        <f>IFERROR(__xludf.DUMMYFUNCTION("""COMPUTED_VALUE"""),1.3379629629629628)</f>
        <v>1.337962963</v>
      </c>
      <c r="AG675" s="57">
        <f>IFERROR(__xludf.DUMMYFUNCTION("""COMPUTED_VALUE"""),2.4814814814814814)</f>
        <v>2.481481481</v>
      </c>
      <c r="AH675" s="57">
        <f>IFERROR(__xludf.DUMMYFUNCTION("""COMPUTED_VALUE"""),0.8210400686251351)</f>
        <v>0.8210400686</v>
      </c>
      <c r="AI675" s="57">
        <f>IFERROR(__xludf.DUMMYFUNCTION("""COMPUTED_VALUE"""),0.0)</f>
        <v>0</v>
      </c>
      <c r="AJ675" s="57">
        <f>IFERROR(__xludf.DUMMYFUNCTION("""COMPUTED_VALUE"""),1.9708029197080295)</f>
        <v>1.97080292</v>
      </c>
      <c r="AK675" s="57">
        <f>IFERROR(__xludf.DUMMYFUNCTION("""COMPUTED_VALUE"""),1.3079584775086506)</f>
        <v>1.307958478</v>
      </c>
      <c r="AL675" s="57">
        <f>IFERROR(__xludf.DUMMYFUNCTION("""COMPUTED_VALUE"""),0.8059701492537313)</f>
        <v>0.8059701493</v>
      </c>
      <c r="AM675" s="57">
        <f>IFERROR(__xludf.DUMMYFUNCTION("""COMPUTED_VALUE"""),1.110745945945946)</f>
        <v>1.110745946</v>
      </c>
      <c r="AN675" s="57">
        <f>IFERROR(__xludf.DUMMYFUNCTION("""COMPUTED_VALUE"""),1.2)</f>
        <v>1.2</v>
      </c>
      <c r="AO675" s="57">
        <f>IFERROR(__xludf.DUMMYFUNCTION("""COMPUTED_VALUE"""),1.090909090909091)</f>
        <v>1.090909091</v>
      </c>
      <c r="AP675" s="35">
        <f>IFERROR(__xludf.DUMMYFUNCTION("""COMPUTED_VALUE"""),0.9545454545454545)</f>
        <v>0.9545454545</v>
      </c>
      <c r="AQ675" s="57">
        <f>IFERROR(__xludf.DUMMYFUNCTION("""COMPUTED_VALUE"""),1.3333333333333333)</f>
        <v>1.333333333</v>
      </c>
      <c r="AR675" s="36" t="b">
        <f>IFERROR(__xludf.DUMMYFUNCTION("""COMPUTED_VALUE"""),TRUE)</f>
        <v>1</v>
      </c>
      <c r="AS675" s="57"/>
      <c r="AT675" s="37"/>
      <c r="AU675" s="30"/>
      <c r="AV675" s="30"/>
      <c r="AW675" s="30"/>
      <c r="AX675" s="30"/>
      <c r="AY675" s="30"/>
      <c r="AZ675" s="30"/>
    </row>
    <row r="676">
      <c r="A676" s="30" t="str">
        <f>IFERROR(__xludf.DUMMYFUNCTION("""COMPUTED_VALUE"""),"Rival")</f>
        <v>Rival</v>
      </c>
      <c r="B676" s="30" t="str">
        <f>IFERROR(__xludf.DUMMYFUNCTION("""COMPUTED_VALUE"""),"RSC002177")</f>
        <v>RSC002177</v>
      </c>
      <c r="C676" s="30" t="str">
        <f>IFERROR(__xludf.DUMMYFUNCTION("""COMPUTED_VALUE"""),"Slygo21")</f>
        <v>Slygo21</v>
      </c>
      <c r="D676" s="31" t="str">
        <f>IFERROR(__xludf.DUMMYFUNCTION("""COMPUTED_VALUE"""),"Ruthless Racket")</f>
        <v>Ruthless Racket</v>
      </c>
      <c r="E676" s="31">
        <f>IFERROR(__xludf.DUMMYFUNCTION("""COMPUTED_VALUE"""),25.695682170500394)</f>
        <v>25.69568217</v>
      </c>
      <c r="F676" s="31">
        <f>IFERROR(__xludf.DUMMYFUNCTION("""COMPUTED_VALUE"""),-6.042941754541797)</f>
        <v>-6.042941755</v>
      </c>
      <c r="G676" s="31">
        <f>IFERROR(__xludf.DUMMYFUNCTION("""COMPUTED_VALUE"""),32.69293038950164)</f>
        <v>32.69293039</v>
      </c>
      <c r="H676" s="31">
        <f>IFERROR(__xludf.DUMMYFUNCTION("""COMPUTED_VALUE"""),-4.091989903612559)</f>
        <v>-4.091989904</v>
      </c>
      <c r="I676" s="54">
        <f>IFERROR(__xludf.DUMMYFUNCTION("""COMPUTED_VALUE"""),31.0)</f>
        <v>31</v>
      </c>
      <c r="J676" s="55">
        <f>IFERROR(__xludf.DUMMYFUNCTION("""COMPUTED_VALUE"""),11.0)</f>
        <v>11</v>
      </c>
      <c r="K676" s="54">
        <f>IFERROR(__xludf.DUMMYFUNCTION("""COMPUTED_VALUE"""),20.0)</f>
        <v>20</v>
      </c>
      <c r="L676" s="56">
        <f>IFERROR(__xludf.DUMMYFUNCTION("""COMPUTED_VALUE"""),0.3548387096774194)</f>
        <v>0.3548387097</v>
      </c>
      <c r="M676" s="56">
        <f>IFERROR(__xludf.DUMMYFUNCTION("""COMPUTED_VALUE"""),0.2857142857142857)</f>
        <v>0.2857142857</v>
      </c>
      <c r="N676" s="31">
        <f>IFERROR(__xludf.DUMMYFUNCTION("""COMPUTED_VALUE"""),319.4516129032258)</f>
        <v>319.4516129</v>
      </c>
      <c r="O676" s="57">
        <f>IFERROR(__xludf.DUMMYFUNCTION("""COMPUTED_VALUE"""),0.5161290322580645)</f>
        <v>0.5161290323</v>
      </c>
      <c r="P676" s="57">
        <f>IFERROR(__xludf.DUMMYFUNCTION("""COMPUTED_VALUE"""),0.3870967741935484)</f>
        <v>0.3870967742</v>
      </c>
      <c r="Q676" s="57">
        <f>IFERROR(__xludf.DUMMYFUNCTION("""COMPUTED_VALUE"""),1.6129032258064515)</f>
        <v>1.612903226</v>
      </c>
      <c r="R676" s="57">
        <f>IFERROR(__xludf.DUMMYFUNCTION("""COMPUTED_VALUE"""),1.8064516129032258)</f>
        <v>1.806451613</v>
      </c>
      <c r="S676" s="31">
        <f>IFERROR(__xludf.DUMMYFUNCTION("""COMPUTED_VALUE"""),339.09677419354836)</f>
        <v>339.0967742</v>
      </c>
      <c r="T676" s="57">
        <f>IFERROR(__xludf.DUMMYFUNCTION("""COMPUTED_VALUE"""),0.7741935483870968)</f>
        <v>0.7741935484</v>
      </c>
      <c r="U676" s="57">
        <f>IFERROR(__xludf.DUMMYFUNCTION("""COMPUTED_VALUE"""),0.5913978494623655)</f>
        <v>0.5913978495</v>
      </c>
      <c r="V676" s="57">
        <f>IFERROR(__xludf.DUMMYFUNCTION("""COMPUTED_VALUE"""),1.1182795698924728)</f>
        <v>1.11827957</v>
      </c>
      <c r="W676" s="57">
        <f>IFERROR(__xludf.DUMMYFUNCTION("""COMPUTED_VALUE"""),2.752688172043011)</f>
        <v>2.752688172</v>
      </c>
      <c r="X676" s="31">
        <f>IFERROR(__xludf.DUMMYFUNCTION("""COMPUTED_VALUE"""),341.0983249417012)</f>
        <v>341.0983249</v>
      </c>
      <c r="Y676" s="57">
        <f>IFERROR(__xludf.DUMMYFUNCTION("""COMPUTED_VALUE"""),0.7805161097910125)</f>
        <v>0.7805161098</v>
      </c>
      <c r="Z676" s="57">
        <f>IFERROR(__xludf.DUMMYFUNCTION("""COMPUTED_VALUE"""),0.5719420931295782)</f>
        <v>0.5719420931</v>
      </c>
      <c r="AA676" s="57">
        <f>IFERROR(__xludf.DUMMYFUNCTION("""COMPUTED_VALUE"""),1.2012638914433391)</f>
        <v>1.201263891</v>
      </c>
      <c r="AB676" s="57">
        <f>IFERROR(__xludf.DUMMYFUNCTION("""COMPUTED_VALUE"""),2.605800282053036)</f>
        <v>2.605800282</v>
      </c>
      <c r="AC676" s="31">
        <f>IFERROR(__xludf.DUMMYFUNCTION("""COMPUTED_VALUE"""),340.9474419767041)</f>
        <v>340.947442</v>
      </c>
      <c r="AD676" s="57">
        <f>IFERROR(__xludf.DUMMYFUNCTION("""COMPUTED_VALUE"""),0.7321833716278886)</f>
        <v>0.7321833716</v>
      </c>
      <c r="AE676" s="57">
        <f>IFERROR(__xludf.DUMMYFUNCTION("""COMPUTED_VALUE"""),0.5466181646341884)</f>
        <v>0.5466181646</v>
      </c>
      <c r="AF676" s="57">
        <f>IFERROR(__xludf.DUMMYFUNCTION("""COMPUTED_VALUE"""),1.3347696361810626)</f>
        <v>1.334769636</v>
      </c>
      <c r="AG676" s="57">
        <f>IFERROR(__xludf.DUMMYFUNCTION("""COMPUTED_VALUE"""),2.417703937896854)</f>
        <v>2.417703938</v>
      </c>
      <c r="AH676" s="57">
        <f>IFERROR(__xludf.DUMMYFUNCTION("""COMPUTED_VALUE"""),0.9369526606539342)</f>
        <v>0.9369526607</v>
      </c>
      <c r="AI676" s="57">
        <f>IFERROR(__xludf.DUMMYFUNCTION("""COMPUTED_VALUE"""),0.7049177190551829)</f>
        <v>0.7049177191</v>
      </c>
      <c r="AJ676" s="57">
        <f>IFERROR(__xludf.DUMMYFUNCTION("""COMPUTED_VALUE"""),0.7081666860679684)</f>
        <v>0.7081666861</v>
      </c>
      <c r="AK676" s="57">
        <f>IFERROR(__xludf.DUMMYFUNCTION("""COMPUTED_VALUE"""),1.208375724234455)</f>
        <v>1.208375724</v>
      </c>
      <c r="AL676" s="57">
        <f>IFERROR(__xludf.DUMMYFUNCTION("""COMPUTED_VALUE"""),0.7471765192534894)</f>
        <v>0.7471765193</v>
      </c>
      <c r="AM676" s="57">
        <f>IFERROR(__xludf.DUMMYFUNCTION("""COMPUTED_VALUE"""),0.9941320416964963)</f>
        <v>0.9941320417</v>
      </c>
      <c r="AN676" s="57">
        <f>IFERROR(__xludf.DUMMYFUNCTION("""COMPUTED_VALUE"""),0.9918995119708565)</f>
        <v>0.991899512</v>
      </c>
      <c r="AO676" s="57">
        <f>IFERROR(__xludf.DUMMYFUNCTION("""COMPUTED_VALUE"""),1.0340170037605179)</f>
        <v>1.034017004</v>
      </c>
      <c r="AP676" s="35">
        <f>IFERROR(__xludf.DUMMYFUNCTION("""COMPUTED_VALUE"""),0.9309191576122718)</f>
        <v>0.9309191576</v>
      </c>
      <c r="AQ676" s="57">
        <f>IFERROR(__xludf.DUMMYFUNCTION("""COMPUTED_VALUE"""),1.0563695886448543)</f>
        <v>1.056369589</v>
      </c>
      <c r="AR676" s="36" t="b">
        <f>IFERROR(__xludf.DUMMYFUNCTION("""COMPUTED_VALUE"""),TRUE)</f>
        <v>1</v>
      </c>
      <c r="AS676" s="57"/>
      <c r="AT676" s="37"/>
      <c r="AU676" s="30"/>
      <c r="AV676" s="30"/>
      <c r="AW676" s="30"/>
      <c r="AX676" s="30"/>
      <c r="AY676" s="30"/>
      <c r="AZ676" s="30"/>
    </row>
    <row r="677">
      <c r="A677" s="30" t="str">
        <f>IFERROR(__xludf.DUMMYFUNCTION("""COMPUTED_VALUE"""),"Rival")</f>
        <v>Rival</v>
      </c>
      <c r="B677" s="30" t="str">
        <f>IFERROR(__xludf.DUMMYFUNCTION("""COMPUTED_VALUE"""),"RSC005386")</f>
        <v>RSC005386</v>
      </c>
      <c r="C677" s="30" t="str">
        <f>IFERROR(__xludf.DUMMYFUNCTION("""COMPUTED_VALUE"""),"danub")</f>
        <v>danub</v>
      </c>
      <c r="D677" s="31" t="str">
        <f>IFERROR(__xludf.DUMMYFUNCTION("""COMPUTED_VALUE"""),"Phantoms")</f>
        <v>Phantoms</v>
      </c>
      <c r="E677" s="31">
        <f>IFERROR(__xludf.DUMMYFUNCTION("""COMPUTED_VALUE"""),23.318552356472956)</f>
        <v>23.31855236</v>
      </c>
      <c r="F677" s="31">
        <f>IFERROR(__xludf.DUMMYFUNCTION("""COMPUTED_VALUE"""),-6.9965446331738645)</f>
        <v>-6.996544633</v>
      </c>
      <c r="G677" s="31">
        <f>IFERROR(__xludf.DUMMYFUNCTION("""COMPUTED_VALUE"""),34.26480806160758)</f>
        <v>34.26480806</v>
      </c>
      <c r="H677" s="31">
        <f>IFERROR(__xludf.DUMMYFUNCTION("""COMPUTED_VALUE"""),-3.7801310016876495)</f>
        <v>-3.780131002</v>
      </c>
      <c r="I677" s="54">
        <f>IFERROR(__xludf.DUMMYFUNCTION("""COMPUTED_VALUE"""),25.0)</f>
        <v>25</v>
      </c>
      <c r="J677" s="55">
        <f>IFERROR(__xludf.DUMMYFUNCTION("""COMPUTED_VALUE"""),8.0)</f>
        <v>8</v>
      </c>
      <c r="K677" s="54">
        <f>IFERROR(__xludf.DUMMYFUNCTION("""COMPUTED_VALUE"""),17.0)</f>
        <v>17</v>
      </c>
      <c r="L677" s="56">
        <f>IFERROR(__xludf.DUMMYFUNCTION("""COMPUTED_VALUE"""),0.32)</f>
        <v>0.32</v>
      </c>
      <c r="M677" s="56">
        <f>IFERROR(__xludf.DUMMYFUNCTION("""COMPUTED_VALUE"""),0.3191489361702128)</f>
        <v>0.3191489362</v>
      </c>
      <c r="N677" s="31">
        <f>IFERROR(__xludf.DUMMYFUNCTION("""COMPUTED_VALUE"""),312.36)</f>
        <v>312.36</v>
      </c>
      <c r="O677" s="57">
        <f>IFERROR(__xludf.DUMMYFUNCTION("""COMPUTED_VALUE"""),0.6)</f>
        <v>0.6</v>
      </c>
      <c r="P677" s="57">
        <f>IFERROR(__xludf.DUMMYFUNCTION("""COMPUTED_VALUE"""),0.36)</f>
        <v>0.36</v>
      </c>
      <c r="Q677" s="57">
        <f>IFERROR(__xludf.DUMMYFUNCTION("""COMPUTED_VALUE"""),1.32)</f>
        <v>1.32</v>
      </c>
      <c r="R677" s="57">
        <f>IFERROR(__xludf.DUMMYFUNCTION("""COMPUTED_VALUE"""),1.88)</f>
        <v>1.88</v>
      </c>
      <c r="S677" s="31">
        <f>IFERROR(__xludf.DUMMYFUNCTION("""COMPUTED_VALUE"""),364.90666666666664)</f>
        <v>364.9066667</v>
      </c>
      <c r="T677" s="57">
        <f>IFERROR(__xludf.DUMMYFUNCTION("""COMPUTED_VALUE"""),0.9733333333333334)</f>
        <v>0.9733333333</v>
      </c>
      <c r="U677" s="57">
        <f>IFERROR(__xludf.DUMMYFUNCTION("""COMPUTED_VALUE"""),0.7200000000000002)</f>
        <v>0.72</v>
      </c>
      <c r="V677" s="57">
        <f>IFERROR(__xludf.DUMMYFUNCTION("""COMPUTED_VALUE"""),1.1199999999999999)</f>
        <v>1.12</v>
      </c>
      <c r="W677" s="57">
        <f>IFERROR(__xludf.DUMMYFUNCTION("""COMPUTED_VALUE"""),2.813333333333333)</f>
        <v>2.813333333</v>
      </c>
      <c r="X677" s="31">
        <f>IFERROR(__xludf.DUMMYFUNCTION("""COMPUTED_VALUE"""),350.0088616813692)</f>
        <v>350.0088617</v>
      </c>
      <c r="Y677" s="57">
        <f>IFERROR(__xludf.DUMMYFUNCTION("""COMPUTED_VALUE"""),0.8218787909024466)</f>
        <v>0.8218787909</v>
      </c>
      <c r="Z677" s="57">
        <f>IFERROR(__xludf.DUMMYFUNCTION("""COMPUTED_VALUE"""),0.5634207629089351)</f>
        <v>0.5634207629</v>
      </c>
      <c r="AA677" s="57">
        <f>IFERROR(__xludf.DUMMYFUNCTION("""COMPUTED_VALUE"""),1.2454772116772117)</f>
        <v>1.245477212</v>
      </c>
      <c r="AB677" s="57">
        <f>IFERROR(__xludf.DUMMYFUNCTION("""COMPUTED_VALUE"""),2.560150610122654)</f>
        <v>2.56015061</v>
      </c>
      <c r="AC677" s="31">
        <f>IFERROR(__xludf.DUMMYFUNCTION("""COMPUTED_VALUE"""),340.9692078620966)</f>
        <v>340.9692079</v>
      </c>
      <c r="AD677" s="57">
        <f>IFERROR(__xludf.DUMMYFUNCTION("""COMPUTED_VALUE"""),0.7434828598986303)</f>
        <v>0.7434828599</v>
      </c>
      <c r="AE677" s="57">
        <f>IFERROR(__xludf.DUMMYFUNCTION("""COMPUTED_VALUE"""),0.5238905712633312)</f>
        <v>0.5238905713</v>
      </c>
      <c r="AF677" s="57">
        <f>IFERROR(__xludf.DUMMYFUNCTION("""COMPUTED_VALUE"""),1.3278231983070692)</f>
        <v>1.327823198</v>
      </c>
      <c r="AG677" s="57">
        <f>IFERROR(__xludf.DUMMYFUNCTION("""COMPUTED_VALUE"""),2.4179253701296717)</f>
        <v>2.41792537</v>
      </c>
      <c r="AH677" s="57">
        <f>IFERROR(__xludf.DUMMYFUNCTION("""COMPUTED_VALUE"""),0.9160944530989219)</f>
        <v>0.9160944531</v>
      </c>
      <c r="AI677" s="57">
        <f>IFERROR(__xludf.DUMMYFUNCTION("""COMPUTED_VALUE"""),0.8070125518183521)</f>
        <v>0.8070125518</v>
      </c>
      <c r="AJ677" s="57">
        <f>IFERROR(__xludf.DUMMYFUNCTION("""COMPUTED_VALUE"""),0.6871664041058827)</f>
        <v>0.6871664041</v>
      </c>
      <c r="AK677" s="57">
        <f>IFERROR(__xludf.DUMMYFUNCTION("""COMPUTED_VALUE"""),0.9941082530286838)</f>
        <v>0.994108253</v>
      </c>
      <c r="AL677" s="57">
        <f>IFERROR(__xludf.DUMMYFUNCTION("""COMPUTED_VALUE"""),0.7775260656201216)</f>
        <v>0.7775260656</v>
      </c>
      <c r="AM677" s="57">
        <f>IFERROR(__xludf.DUMMYFUNCTION("""COMPUTED_VALUE"""),1.0425640794171083)</f>
        <v>1.042564079</v>
      </c>
      <c r="AN677" s="57">
        <f>IFERROR(__xludf.DUMMYFUNCTION("""COMPUTED_VALUE"""),1.184278441185452)</f>
        <v>1.184278441</v>
      </c>
      <c r="AO677" s="57">
        <f>IFERROR(__xludf.DUMMYFUNCTION("""COMPUTED_VALUE"""),1.277908176977093)</f>
        <v>1.277908177</v>
      </c>
      <c r="AP677" s="35">
        <f>IFERROR(__xludf.DUMMYFUNCTION("""COMPUTED_VALUE"""),0.8992537073334012)</f>
        <v>0.8992537073</v>
      </c>
      <c r="AQ677" s="57">
        <f>IFERROR(__xludf.DUMMYFUNCTION("""COMPUTED_VALUE"""),1.0988936831331768)</f>
        <v>1.098893683</v>
      </c>
      <c r="AR677" s="36" t="b">
        <f>IFERROR(__xludf.DUMMYFUNCTION("""COMPUTED_VALUE"""),TRUE)</f>
        <v>1</v>
      </c>
      <c r="AS677" s="57"/>
      <c r="AT677" s="37"/>
      <c r="AU677" s="30"/>
      <c r="AV677" s="30"/>
      <c r="AW677" s="30"/>
      <c r="AX677" s="30"/>
      <c r="AY677" s="30"/>
      <c r="AZ677" s="30"/>
    </row>
    <row r="678">
      <c r="A678" s="30" t="str">
        <f>IFERROR(__xludf.DUMMYFUNCTION("""COMPUTED_VALUE"""),"Rival")</f>
        <v>Rival</v>
      </c>
      <c r="B678" s="30" t="str">
        <f>IFERROR(__xludf.DUMMYFUNCTION("""COMPUTED_VALUE"""),"RSC006177")</f>
        <v>RSC006177</v>
      </c>
      <c r="C678" s="30" t="str">
        <f>IFERROR(__xludf.DUMMYFUNCTION("""COMPUTED_VALUE"""),"Flyerrr85")</f>
        <v>Flyerrr85</v>
      </c>
      <c r="D678" s="31" t="str">
        <f>IFERROR(__xludf.DUMMYFUNCTION("""COMPUTED_VALUE"""),"Asiago Arsonists")</f>
        <v>Asiago Arsonists</v>
      </c>
      <c r="E678" s="31">
        <f>IFERROR(__xludf.DUMMYFUNCTION("""COMPUTED_VALUE"""),22.78531556217272)</f>
        <v>22.78531556</v>
      </c>
      <c r="F678" s="31">
        <f>IFERROR(__xludf.DUMMYFUNCTION("""COMPUTED_VALUE"""),-7.237568859659068)</f>
        <v>-7.23756886</v>
      </c>
      <c r="G678" s="31">
        <f>IFERROR(__xludf.DUMMYFUNCTION("""COMPUTED_VALUE"""),39.495121719638476)</f>
        <v>39.49512172</v>
      </c>
      <c r="H678" s="31">
        <f>IFERROR(__xludf.DUMMYFUNCTION("""COMPUTED_VALUE"""),-2.965850113735506)</f>
        <v>-2.965850114</v>
      </c>
      <c r="I678" s="54">
        <f>IFERROR(__xludf.DUMMYFUNCTION("""COMPUTED_VALUE"""),4.0)</f>
        <v>4</v>
      </c>
      <c r="J678" s="55">
        <f>IFERROR(__xludf.DUMMYFUNCTION("""COMPUTED_VALUE"""),2.0)</f>
        <v>2</v>
      </c>
      <c r="K678" s="54">
        <f>IFERROR(__xludf.DUMMYFUNCTION("""COMPUTED_VALUE"""),2.0)</f>
        <v>2</v>
      </c>
      <c r="L678" s="56">
        <f>IFERROR(__xludf.DUMMYFUNCTION("""COMPUTED_VALUE"""),0.5)</f>
        <v>0.5</v>
      </c>
      <c r="M678" s="56">
        <f>IFERROR(__xludf.DUMMYFUNCTION("""COMPUTED_VALUE"""),0.14285714285714285)</f>
        <v>0.1428571429</v>
      </c>
      <c r="N678" s="31">
        <f>IFERROR(__xludf.DUMMYFUNCTION("""COMPUTED_VALUE"""),293.0)</f>
        <v>293</v>
      </c>
      <c r="O678" s="57">
        <f>IFERROR(__xludf.DUMMYFUNCTION("""COMPUTED_VALUE"""),0.25)</f>
        <v>0.25</v>
      </c>
      <c r="P678" s="57">
        <f>IFERROR(__xludf.DUMMYFUNCTION("""COMPUTED_VALUE"""),0.75)</f>
        <v>0.75</v>
      </c>
      <c r="Q678" s="57">
        <f>IFERROR(__xludf.DUMMYFUNCTION("""COMPUTED_VALUE"""),1.25)</f>
        <v>1.25</v>
      </c>
      <c r="R678" s="57">
        <f>IFERROR(__xludf.DUMMYFUNCTION("""COMPUTED_VALUE"""),1.75)</f>
        <v>1.75</v>
      </c>
      <c r="S678" s="31">
        <f>IFERROR(__xludf.DUMMYFUNCTION("""COMPUTED_VALUE"""),332.00000000000006)</f>
        <v>332</v>
      </c>
      <c r="T678" s="57">
        <f>IFERROR(__xludf.DUMMYFUNCTION("""COMPUTED_VALUE"""),0.5833333333333333)</f>
        <v>0.5833333333</v>
      </c>
      <c r="U678" s="57">
        <f>IFERROR(__xludf.DUMMYFUNCTION("""COMPUTED_VALUE"""),0.41666666666666663)</f>
        <v>0.4166666667</v>
      </c>
      <c r="V678" s="57">
        <f>IFERROR(__xludf.DUMMYFUNCTION("""COMPUTED_VALUE"""),1.1666666666666667)</f>
        <v>1.166666667</v>
      </c>
      <c r="W678" s="57">
        <f>IFERROR(__xludf.DUMMYFUNCTION("""COMPUTED_VALUE"""),1.9999999999999998)</f>
        <v>2</v>
      </c>
      <c r="X678" s="31">
        <f>IFERROR(__xludf.DUMMYFUNCTION("""COMPUTED_VALUE"""),315.63988095238096)</f>
        <v>315.639881</v>
      </c>
      <c r="Y678" s="57">
        <f>IFERROR(__xludf.DUMMYFUNCTION("""COMPUTED_VALUE"""),0.5143849206349207)</f>
        <v>0.5143849206</v>
      </c>
      <c r="Z678" s="57">
        <f>IFERROR(__xludf.DUMMYFUNCTION("""COMPUTED_VALUE"""),0.3575396825396825)</f>
        <v>0.3575396825</v>
      </c>
      <c r="AA678" s="57">
        <f>IFERROR(__xludf.DUMMYFUNCTION("""COMPUTED_VALUE"""),1.4082341269841268)</f>
        <v>1.408234127</v>
      </c>
      <c r="AB678" s="57">
        <f>IFERROR(__xludf.DUMMYFUNCTION("""COMPUTED_VALUE"""),1.8600198412698414)</f>
        <v>1.860019841</v>
      </c>
      <c r="AC678" s="31">
        <f>IFERROR(__xludf.DUMMYFUNCTION("""COMPUTED_VALUE"""),322.7693783068783)</f>
        <v>322.7693783</v>
      </c>
      <c r="AD678" s="57">
        <f>IFERROR(__xludf.DUMMYFUNCTION("""COMPUTED_VALUE"""),0.6861772486772486)</f>
        <v>0.6861772487</v>
      </c>
      <c r="AE678" s="57">
        <f>IFERROR(__xludf.DUMMYFUNCTION("""COMPUTED_VALUE"""),0.49831349206349207)</f>
        <v>0.4983134921</v>
      </c>
      <c r="AF678" s="57">
        <f>IFERROR(__xludf.DUMMYFUNCTION("""COMPUTED_VALUE"""),1.0330026455026455)</f>
        <v>1.033002646</v>
      </c>
      <c r="AG678" s="57">
        <f>IFERROR(__xludf.DUMMYFUNCTION("""COMPUTED_VALUE"""),2.5312830687830683)</f>
        <v>2.531283069</v>
      </c>
      <c r="AH678" s="57">
        <f>IFERROR(__xludf.DUMMYFUNCTION("""COMPUTED_VALUE"""),0.9077688891584549)</f>
        <v>0.9077688892</v>
      </c>
      <c r="AI678" s="57">
        <f>IFERROR(__xludf.DUMMYFUNCTION("""COMPUTED_VALUE"""),0.3643373493975904)</f>
        <v>0.3643373494</v>
      </c>
      <c r="AJ678" s="57">
        <f>IFERROR(__xludf.DUMMYFUNCTION("""COMPUTED_VALUE"""),1.5050766474218595)</f>
        <v>1.505076647</v>
      </c>
      <c r="AK678" s="57">
        <f>IFERROR(__xludf.DUMMYFUNCTION("""COMPUTED_VALUE"""),1.2100646648312952)</f>
        <v>1.210064665</v>
      </c>
      <c r="AL678" s="57">
        <f>IFERROR(__xludf.DUMMYFUNCTION("""COMPUTED_VALUE"""),0.691348992762522)</f>
        <v>0.6913489928</v>
      </c>
      <c r="AM678" s="57">
        <f>IFERROR(__xludf.DUMMYFUNCTION("""COMPUTED_VALUE"""),1.0518315968129746)</f>
        <v>1.051831597</v>
      </c>
      <c r="AN678" s="57">
        <f>IFERROR(__xludf.DUMMYFUNCTION("""COMPUTED_VALUE"""),1.13404050144648)</f>
        <v>1.134040501</v>
      </c>
      <c r="AO678" s="57">
        <f>IFERROR(__xludf.DUMMYFUNCTION("""COMPUTED_VALUE"""),1.165371809100999)</f>
        <v>1.165371809</v>
      </c>
      <c r="AP678" s="35">
        <f>IFERROR(__xludf.DUMMYFUNCTION("""COMPUTED_VALUE"""),0.8284607256076085)</f>
        <v>0.8284607256</v>
      </c>
      <c r="AQ678" s="57">
        <f>IFERROR(__xludf.DUMMYFUNCTION("""COMPUTED_VALUE"""),1.0752573470585096)</f>
        <v>1.075257347</v>
      </c>
      <c r="AR678" s="36" t="b">
        <f>IFERROR(__xludf.DUMMYFUNCTION("""COMPUTED_VALUE"""),TRUE)</f>
        <v>1</v>
      </c>
      <c r="AS678" s="57"/>
      <c r="AT678" s="37"/>
      <c r="AU678" s="30"/>
      <c r="AV678" s="30"/>
      <c r="AW678" s="30"/>
      <c r="AX678" s="30"/>
      <c r="AY678" s="30"/>
      <c r="AZ678" s="30"/>
    </row>
    <row r="679">
      <c r="A679" s="30" t="str">
        <f>IFERROR(__xludf.DUMMYFUNCTION("""COMPUTED_VALUE"""),"Rival")</f>
        <v>Rival</v>
      </c>
      <c r="B679" s="30" t="str">
        <f>IFERROR(__xludf.DUMMYFUNCTION("""COMPUTED_VALUE"""),"RSC005513")</f>
        <v>RSC005513</v>
      </c>
      <c r="C679" s="30" t="str">
        <f>IFERROR(__xludf.DUMMYFUNCTION("""COMPUTED_VALUE"""),"TV_ImpactReapz")</f>
        <v>TV_ImpactReapz</v>
      </c>
      <c r="D679" s="31"/>
      <c r="E679" s="31">
        <f>IFERROR(__xludf.DUMMYFUNCTION("""COMPUTED_VALUE"""),21.826231811205854)</f>
        <v>21.82623181</v>
      </c>
      <c r="F679" s="31">
        <f>IFERROR(__xludf.DUMMYFUNCTION("""COMPUTED_VALUE"""),-7.699316618373896)</f>
        <v>-7.699316618</v>
      </c>
      <c r="G679" s="31">
        <f>IFERROR(__xludf.DUMMYFUNCTION("""COMPUTED_VALUE"""),34.294626720217224)</f>
        <v>34.29462672</v>
      </c>
      <c r="H679" s="31">
        <f>IFERROR(__xludf.DUMMYFUNCTION("""COMPUTED_VALUE"""),-3.7745595231679583)</f>
        <v>-3.774559523</v>
      </c>
      <c r="I679" s="54">
        <f>IFERROR(__xludf.DUMMYFUNCTION("""COMPUTED_VALUE"""),12.0)</f>
        <v>12</v>
      </c>
      <c r="J679" s="55">
        <f>IFERROR(__xludf.DUMMYFUNCTION("""COMPUTED_VALUE"""),4.0)</f>
        <v>4</v>
      </c>
      <c r="K679" s="54">
        <f>IFERROR(__xludf.DUMMYFUNCTION("""COMPUTED_VALUE"""),8.0)</f>
        <v>8</v>
      </c>
      <c r="L679" s="56">
        <f>IFERROR(__xludf.DUMMYFUNCTION("""COMPUTED_VALUE"""),0.3333333333333333)</f>
        <v>0.3333333333</v>
      </c>
      <c r="M679" s="56">
        <f>IFERROR(__xludf.DUMMYFUNCTION("""COMPUTED_VALUE"""),0.2608695652173913)</f>
        <v>0.2608695652</v>
      </c>
      <c r="N679" s="31">
        <f>IFERROR(__xludf.DUMMYFUNCTION("""COMPUTED_VALUE"""),267.5833333333333)</f>
        <v>267.5833333</v>
      </c>
      <c r="O679" s="57">
        <f>IFERROR(__xludf.DUMMYFUNCTION("""COMPUTED_VALUE"""),0.5)</f>
        <v>0.5</v>
      </c>
      <c r="P679" s="57">
        <f>IFERROR(__xludf.DUMMYFUNCTION("""COMPUTED_VALUE"""),0.3333333333333333)</f>
        <v>0.3333333333</v>
      </c>
      <c r="Q679" s="57">
        <f>IFERROR(__xludf.DUMMYFUNCTION("""COMPUTED_VALUE"""),1.3333333333333333)</f>
        <v>1.333333333</v>
      </c>
      <c r="R679" s="57">
        <f>IFERROR(__xludf.DUMMYFUNCTION("""COMPUTED_VALUE"""),1.9166666666666667)</f>
        <v>1.916666667</v>
      </c>
      <c r="S679" s="31">
        <f>IFERROR(__xludf.DUMMYFUNCTION("""COMPUTED_VALUE"""),334.27777777777777)</f>
        <v>334.2777778</v>
      </c>
      <c r="T679" s="57">
        <f>IFERROR(__xludf.DUMMYFUNCTION("""COMPUTED_VALUE"""),0.7777777777777777)</f>
        <v>0.7777777778</v>
      </c>
      <c r="U679" s="57">
        <f>IFERROR(__xludf.DUMMYFUNCTION("""COMPUTED_VALUE"""),0.5833333333333334)</f>
        <v>0.5833333333</v>
      </c>
      <c r="V679" s="57">
        <f>IFERROR(__xludf.DUMMYFUNCTION("""COMPUTED_VALUE"""),1.0833333333333333)</f>
        <v>1.083333333</v>
      </c>
      <c r="W679" s="57">
        <f>IFERROR(__xludf.DUMMYFUNCTION("""COMPUTED_VALUE"""),2.0833333333333335)</f>
        <v>2.083333333</v>
      </c>
      <c r="X679" s="31">
        <f>IFERROR(__xludf.DUMMYFUNCTION("""COMPUTED_VALUE"""),345.65304493988515)</f>
        <v>345.6530449</v>
      </c>
      <c r="Y679" s="57">
        <f>IFERROR(__xludf.DUMMYFUNCTION("""COMPUTED_VALUE"""),0.7761922979284092)</f>
        <v>0.7761922979</v>
      </c>
      <c r="Z679" s="57">
        <f>IFERROR(__xludf.DUMMYFUNCTION("""COMPUTED_VALUE"""),0.5796180427083205)</f>
        <v>0.5796180427</v>
      </c>
      <c r="AA679" s="57">
        <f>IFERROR(__xludf.DUMMYFUNCTION("""COMPUTED_VALUE"""),1.2527815086148417)</f>
        <v>1.252781509</v>
      </c>
      <c r="AB679" s="57">
        <f>IFERROR(__xludf.DUMMYFUNCTION("""COMPUTED_VALUE"""),2.580540538422483)</f>
        <v>2.580540538</v>
      </c>
      <c r="AC679" s="31">
        <f>IFERROR(__xludf.DUMMYFUNCTION("""COMPUTED_VALUE"""),349.17302113824104)</f>
        <v>349.1730211</v>
      </c>
      <c r="AD679" s="57">
        <f>IFERROR(__xludf.DUMMYFUNCTION("""COMPUTED_VALUE"""),0.7680526370919889)</f>
        <v>0.7680526371</v>
      </c>
      <c r="AE679" s="57">
        <f>IFERROR(__xludf.DUMMYFUNCTION("""COMPUTED_VALUE"""),0.5163329190528265)</f>
        <v>0.5163329191</v>
      </c>
      <c r="AF679" s="57">
        <f>IFERROR(__xludf.DUMMYFUNCTION("""COMPUTED_VALUE"""),1.3897104246062584)</f>
        <v>1.389710425</v>
      </c>
      <c r="AG679" s="57">
        <f>IFERROR(__xludf.DUMMYFUNCTION("""COMPUTED_VALUE"""),2.503570143847922)</f>
        <v>2.503570144</v>
      </c>
      <c r="AH679" s="57">
        <f>IFERROR(__xludf.DUMMYFUNCTION("""COMPUTED_VALUE"""),0.7663345021933823)</f>
        <v>0.7663345022</v>
      </c>
      <c r="AI679" s="57">
        <f>IFERROR(__xludf.DUMMYFUNCTION("""COMPUTED_VALUE"""),0.6509970487089357)</f>
        <v>0.6509970487</v>
      </c>
      <c r="AJ679" s="57">
        <f>IFERROR(__xludf.DUMMYFUNCTION("""COMPUTED_VALUE"""),0.6455783101042791)</f>
        <v>0.6455783101</v>
      </c>
      <c r="AK679" s="57">
        <f>IFERROR(__xludf.DUMMYFUNCTION("""COMPUTED_VALUE"""),0.9594324901974466)</f>
        <v>0.9594324902</v>
      </c>
      <c r="AL679" s="57">
        <f>IFERROR(__xludf.DUMMYFUNCTION("""COMPUTED_VALUE"""),0.7655733838241098)</f>
        <v>0.7655733838</v>
      </c>
      <c r="AM679" s="57">
        <f>IFERROR(__xludf.DUMMYFUNCTION("""COMPUTED_VALUE"""),0.9670905049770768)</f>
        <v>0.967090505</v>
      </c>
      <c r="AN679" s="57">
        <f>IFERROR(__xludf.DUMMYFUNCTION("""COMPUTED_VALUE"""),1.0020426379565992)</f>
        <v>1.002042638</v>
      </c>
      <c r="AO679" s="57">
        <f>IFERROR(__xludf.DUMMYFUNCTION("""COMPUTED_VALUE"""),1.0064098947086824)</f>
        <v>1.006409895</v>
      </c>
      <c r="AP679" s="35">
        <f>IFERROR(__xludf.DUMMYFUNCTION("""COMPUTED_VALUE"""),0.8647424358387429)</f>
        <v>0.8647424358</v>
      </c>
      <c r="AQ679" s="57">
        <f>IFERROR(__xludf.DUMMYFUNCTION("""COMPUTED_VALUE"""),0.8073243966967096)</f>
        <v>0.8073243967</v>
      </c>
      <c r="AR679" s="36" t="b">
        <f>IFERROR(__xludf.DUMMYFUNCTION("""COMPUTED_VALUE"""),TRUE)</f>
        <v>1</v>
      </c>
      <c r="AS679" s="57"/>
      <c r="AT679" s="37"/>
      <c r="AU679" s="30"/>
      <c r="AV679" s="30"/>
      <c r="AW679" s="30"/>
      <c r="AX679" s="30"/>
      <c r="AY679" s="30"/>
      <c r="AZ679" s="30"/>
    </row>
    <row r="680">
      <c r="A680" s="30" t="str">
        <f>IFERROR(__xludf.DUMMYFUNCTION("""COMPUTED_VALUE"""),"Rival")</f>
        <v>Rival</v>
      </c>
      <c r="B680" s="30" t="str">
        <f>IFERROR(__xludf.DUMMYFUNCTION("""COMPUTED_VALUE"""),"RSC000737")</f>
        <v>RSC000737</v>
      </c>
      <c r="C680" s="30" t="str">
        <f>IFERROR(__xludf.DUMMYFUNCTION("""COMPUTED_VALUE"""),"AlienHealer")</f>
        <v>AlienHealer</v>
      </c>
      <c r="D680" s="31"/>
      <c r="E680" s="31">
        <f>IFERROR(__xludf.DUMMYFUNCTION("""COMPUTED_VALUE"""),21.48823600109514)</f>
        <v>21.488236</v>
      </c>
      <c r="F680" s="31">
        <f>IFERROR(__xludf.DUMMYFUNCTION("""COMPUTED_VALUE"""),-7.871217093511652)</f>
        <v>-7.871217094</v>
      </c>
      <c r="G680" s="31">
        <f>IFERROR(__xludf.DUMMYFUNCTION("""COMPUTED_VALUE"""),27.52526730961387)</f>
        <v>27.52526731</v>
      </c>
      <c r="H680" s="31">
        <f>IFERROR(__xludf.DUMMYFUNCTION("""COMPUTED_VALUE"""),-5.425077087219915)</f>
        <v>-5.425077087</v>
      </c>
      <c r="I680" s="54">
        <f>IFERROR(__xludf.DUMMYFUNCTION("""COMPUTED_VALUE"""),2.0)</f>
        <v>2</v>
      </c>
      <c r="J680" s="55">
        <f>IFERROR(__xludf.DUMMYFUNCTION("""COMPUTED_VALUE"""),0.0)</f>
        <v>0</v>
      </c>
      <c r="K680" s="54">
        <f>IFERROR(__xludf.DUMMYFUNCTION("""COMPUTED_VALUE"""),2.0)</f>
        <v>2</v>
      </c>
      <c r="L680" s="56">
        <f>IFERROR(__xludf.DUMMYFUNCTION("""COMPUTED_VALUE"""),0.0)</f>
        <v>0</v>
      </c>
      <c r="M680" s="56">
        <f>IFERROR(__xludf.DUMMYFUNCTION("""COMPUTED_VALUE"""),0.0)</f>
        <v>0</v>
      </c>
      <c r="N680" s="31">
        <f>IFERROR(__xludf.DUMMYFUNCTION("""COMPUTED_VALUE"""),251.0)</f>
        <v>251</v>
      </c>
      <c r="O680" s="57">
        <f>IFERROR(__xludf.DUMMYFUNCTION("""COMPUTED_VALUE"""),0.0)</f>
        <v>0</v>
      </c>
      <c r="P680" s="57">
        <f>IFERROR(__xludf.DUMMYFUNCTION("""COMPUTED_VALUE"""),1.0)</f>
        <v>1</v>
      </c>
      <c r="Q680" s="57">
        <f>IFERROR(__xludf.DUMMYFUNCTION("""COMPUTED_VALUE"""),0.0)</f>
        <v>0</v>
      </c>
      <c r="R680" s="57">
        <f>IFERROR(__xludf.DUMMYFUNCTION("""COMPUTED_VALUE"""),1.0)</f>
        <v>1</v>
      </c>
      <c r="S680" s="31">
        <f>IFERROR(__xludf.DUMMYFUNCTION("""COMPUTED_VALUE"""),335.5)</f>
        <v>335.5</v>
      </c>
      <c r="T680" s="57">
        <f>IFERROR(__xludf.DUMMYFUNCTION("""COMPUTED_VALUE"""),0.6666666666666666)</f>
        <v>0.6666666667</v>
      </c>
      <c r="U680" s="57">
        <f>IFERROR(__xludf.DUMMYFUNCTION("""COMPUTED_VALUE"""),0.3333333333333333)</f>
        <v>0.3333333333</v>
      </c>
      <c r="V680" s="57">
        <f>IFERROR(__xludf.DUMMYFUNCTION("""COMPUTED_VALUE"""),1.1666666666666665)</f>
        <v>1.166666667</v>
      </c>
      <c r="W680" s="57">
        <f>IFERROR(__xludf.DUMMYFUNCTION("""COMPUTED_VALUE"""),2.5)</f>
        <v>2.5</v>
      </c>
      <c r="X680" s="31">
        <f>IFERROR(__xludf.DUMMYFUNCTION("""COMPUTED_VALUE"""),363.0925925925926)</f>
        <v>363.0925926</v>
      </c>
      <c r="Y680" s="57">
        <f>IFERROR(__xludf.DUMMYFUNCTION("""COMPUTED_VALUE"""),0.8703703703703703)</f>
        <v>0.8703703704</v>
      </c>
      <c r="Z680" s="57">
        <f>IFERROR(__xludf.DUMMYFUNCTION("""COMPUTED_VALUE"""),0.6018518518518519)</f>
        <v>0.6018518519</v>
      </c>
      <c r="AA680" s="57">
        <f>IFERROR(__xludf.DUMMYFUNCTION("""COMPUTED_VALUE"""),1.4074074074074074)</f>
        <v>1.407407407</v>
      </c>
      <c r="AB680" s="57">
        <f>IFERROR(__xludf.DUMMYFUNCTION("""COMPUTED_VALUE"""),2.722222222222222)</f>
        <v>2.722222222</v>
      </c>
      <c r="AC680" s="31">
        <f>IFERROR(__xludf.DUMMYFUNCTION("""COMPUTED_VALUE"""),330.62037037037044)</f>
        <v>330.6203704</v>
      </c>
      <c r="AD680" s="57">
        <f>IFERROR(__xludf.DUMMYFUNCTION("""COMPUTED_VALUE"""),0.6666666666666666)</f>
        <v>0.6666666667</v>
      </c>
      <c r="AE680" s="57">
        <f>IFERROR(__xludf.DUMMYFUNCTION("""COMPUTED_VALUE"""),0.5092592592592592)</f>
        <v>0.5092592593</v>
      </c>
      <c r="AF680" s="57">
        <f>IFERROR(__xludf.DUMMYFUNCTION("""COMPUTED_VALUE"""),1.324074074074074)</f>
        <v>1.324074074</v>
      </c>
      <c r="AG680" s="57">
        <f>IFERROR(__xludf.DUMMYFUNCTION("""COMPUTED_VALUE"""),2.4722222222222223)</f>
        <v>2.472222222</v>
      </c>
      <c r="AH680" s="57">
        <f>IFERROR(__xludf.DUMMYFUNCTION("""COMPUTED_VALUE"""),0.7591788724899878)</f>
        <v>0.7591788725</v>
      </c>
      <c r="AI680" s="57">
        <f>IFERROR(__xludf.DUMMYFUNCTION("""COMPUTED_VALUE"""),0.0)</f>
        <v>0</v>
      </c>
      <c r="AJ680" s="57">
        <f>IFERROR(__xludf.DUMMYFUNCTION("""COMPUTED_VALUE"""),1.9636363636363638)</f>
        <v>1.963636364</v>
      </c>
      <c r="AK680" s="57">
        <f>IFERROR(__xludf.DUMMYFUNCTION("""COMPUTED_VALUE"""),0.0)</f>
        <v>0</v>
      </c>
      <c r="AL680" s="57">
        <f>IFERROR(__xludf.DUMMYFUNCTION("""COMPUTED_VALUE"""),0.4044943820224719)</f>
        <v>0.404494382</v>
      </c>
      <c r="AM680" s="57">
        <f>IFERROR(__xludf.DUMMYFUNCTION("""COMPUTED_VALUE"""),0.9240067322894884)</f>
        <v>0.9240067323</v>
      </c>
      <c r="AN680" s="57">
        <f>IFERROR(__xludf.DUMMYFUNCTION("""COMPUTED_VALUE"""),0.7659574468085106)</f>
        <v>0.7659574468</v>
      </c>
      <c r="AO680" s="57">
        <f>IFERROR(__xludf.DUMMYFUNCTION("""COMPUTED_VALUE"""),0.5538461538461538)</f>
        <v>0.5538461538</v>
      </c>
      <c r="AP680" s="35">
        <f>IFERROR(__xludf.DUMMYFUNCTION("""COMPUTED_VALUE"""),0.8289473684210525)</f>
        <v>0.8289473684</v>
      </c>
      <c r="AQ680" s="57">
        <f>IFERROR(__xludf.DUMMYFUNCTION("""COMPUTED_VALUE"""),0.9183673469387756)</f>
        <v>0.9183673469</v>
      </c>
      <c r="AR680" s="36" t="b">
        <f>IFERROR(__xludf.DUMMYFUNCTION("""COMPUTED_VALUE"""),TRUE)</f>
        <v>1</v>
      </c>
      <c r="AS680" s="57"/>
      <c r="AT680" s="37"/>
      <c r="AU680" s="30"/>
      <c r="AV680" s="30"/>
      <c r="AW680" s="30"/>
      <c r="AX680" s="30"/>
      <c r="AY680" s="30"/>
      <c r="AZ680" s="30"/>
    </row>
    <row r="681">
      <c r="A681" s="30" t="str">
        <f>IFERROR(__xludf.DUMMYFUNCTION("""COMPUTED_VALUE"""),"Rival")</f>
        <v>Rival</v>
      </c>
      <c r="B681" s="30" t="str">
        <f>IFERROR(__xludf.DUMMYFUNCTION("""COMPUTED_VALUE"""),"RSC006212")</f>
        <v>RSC006212</v>
      </c>
      <c r="C681" s="30" t="str">
        <f>IFERROR(__xludf.DUMMYFUNCTION("""COMPUTED_VALUE"""),"Kingtutt97")</f>
        <v>Kingtutt97</v>
      </c>
      <c r="D681" s="31" t="str">
        <f>IFERROR(__xludf.DUMMYFUNCTION("""COMPUTED_VALUE"""),"Dice")</f>
        <v>Dice</v>
      </c>
      <c r="E681" s="31">
        <f>IFERROR(__xludf.DUMMYFUNCTION("""COMPUTED_VALUE"""),20.88654420304342)</f>
        <v>20.8865442</v>
      </c>
      <c r="F681" s="31">
        <f>IFERROR(__xludf.DUMMYFUNCTION("""COMPUTED_VALUE"""),-8.189808339233334)</f>
        <v>-8.189808339</v>
      </c>
      <c r="G681" s="31">
        <f>IFERROR(__xludf.DUMMYFUNCTION("""COMPUTED_VALUE"""),25.844130249724113)</f>
        <v>25.84413025</v>
      </c>
      <c r="H681" s="31">
        <f>IFERROR(__xludf.DUMMYFUNCTION("""COMPUTED_VALUE"""),-5.9893382351820525)</f>
        <v>-5.989338235</v>
      </c>
      <c r="I681" s="54">
        <f>IFERROR(__xludf.DUMMYFUNCTION("""COMPUTED_VALUE"""),29.0)</f>
        <v>29</v>
      </c>
      <c r="J681" s="55">
        <f>IFERROR(__xludf.DUMMYFUNCTION("""COMPUTED_VALUE"""),9.0)</f>
        <v>9</v>
      </c>
      <c r="K681" s="54">
        <f>IFERROR(__xludf.DUMMYFUNCTION("""COMPUTED_VALUE"""),20.0)</f>
        <v>20</v>
      </c>
      <c r="L681" s="56">
        <f>IFERROR(__xludf.DUMMYFUNCTION("""COMPUTED_VALUE"""),0.3103448275862069)</f>
        <v>0.3103448276</v>
      </c>
      <c r="M681" s="56">
        <f>IFERROR(__xludf.DUMMYFUNCTION("""COMPUTED_VALUE"""),0.18571428571428572)</f>
        <v>0.1857142857</v>
      </c>
      <c r="N681" s="31">
        <f>IFERROR(__xludf.DUMMYFUNCTION("""COMPUTED_VALUE"""),300.6896551724138)</f>
        <v>300.6896552</v>
      </c>
      <c r="O681" s="57">
        <f>IFERROR(__xludf.DUMMYFUNCTION("""COMPUTED_VALUE"""),0.4482758620689655)</f>
        <v>0.4482758621</v>
      </c>
      <c r="P681" s="57">
        <f>IFERROR(__xludf.DUMMYFUNCTION("""COMPUTED_VALUE"""),0.27586206896551724)</f>
        <v>0.275862069</v>
      </c>
      <c r="Q681" s="57">
        <f>IFERROR(__xludf.DUMMYFUNCTION("""COMPUTED_VALUE"""),1.5862068965517242)</f>
        <v>1.586206897</v>
      </c>
      <c r="R681" s="57">
        <f>IFERROR(__xludf.DUMMYFUNCTION("""COMPUTED_VALUE"""),2.413793103448276)</f>
        <v>2.413793103</v>
      </c>
      <c r="S681" s="31">
        <f>IFERROR(__xludf.DUMMYFUNCTION("""COMPUTED_VALUE"""),374.04597701149436)</f>
        <v>374.045977</v>
      </c>
      <c r="T681" s="57">
        <f>IFERROR(__xludf.DUMMYFUNCTION("""COMPUTED_VALUE"""),0.8850574712643676)</f>
        <v>0.8850574713</v>
      </c>
      <c r="U681" s="57">
        <f>IFERROR(__xludf.DUMMYFUNCTION("""COMPUTED_VALUE"""),0.5977011494252873)</f>
        <v>0.5977011494</v>
      </c>
      <c r="V681" s="57">
        <f>IFERROR(__xludf.DUMMYFUNCTION("""COMPUTED_VALUE"""),1.4022988505747127)</f>
        <v>1.402298851</v>
      </c>
      <c r="W681" s="57">
        <f>IFERROR(__xludf.DUMMYFUNCTION("""COMPUTED_VALUE"""),2.931034482758622)</f>
        <v>2.931034483</v>
      </c>
      <c r="X681" s="31">
        <f>IFERROR(__xludf.DUMMYFUNCTION("""COMPUTED_VALUE"""),356.01382519256316)</f>
        <v>356.0138252</v>
      </c>
      <c r="Y681" s="57">
        <f>IFERROR(__xludf.DUMMYFUNCTION("""COMPUTED_VALUE"""),0.8550709871509388)</f>
        <v>0.8550709872</v>
      </c>
      <c r="Z681" s="57">
        <f>IFERROR(__xludf.DUMMYFUNCTION("""COMPUTED_VALUE"""),0.5756771683008755)</f>
        <v>0.5756771683</v>
      </c>
      <c r="AA681" s="57">
        <f>IFERROR(__xludf.DUMMYFUNCTION("""COMPUTED_VALUE"""),1.3407681162351626)</f>
        <v>1.340768116</v>
      </c>
      <c r="AB681" s="57">
        <f>IFERROR(__xludf.DUMMYFUNCTION("""COMPUTED_VALUE"""),2.6684173419561654)</f>
        <v>2.668417342</v>
      </c>
      <c r="AC681" s="31">
        <f>IFERROR(__xludf.DUMMYFUNCTION("""COMPUTED_VALUE"""),342.7818883800397)</f>
        <v>342.7818884</v>
      </c>
      <c r="AD681" s="57">
        <f>IFERROR(__xludf.DUMMYFUNCTION("""COMPUTED_VALUE"""),0.7630226415073199)</f>
        <v>0.7630226415</v>
      </c>
      <c r="AE681" s="57">
        <f>IFERROR(__xludf.DUMMYFUNCTION("""COMPUTED_VALUE"""),0.5450798485531714)</f>
        <v>0.5450798486</v>
      </c>
      <c r="AF681" s="57">
        <f>IFERROR(__xludf.DUMMYFUNCTION("""COMPUTED_VALUE"""),1.3237807325454047)</f>
        <v>1.323780733</v>
      </c>
      <c r="AG681" s="57">
        <f>IFERROR(__xludf.DUMMYFUNCTION("""COMPUTED_VALUE"""),2.60144809495145)</f>
        <v>2.601448095</v>
      </c>
      <c r="AH681" s="57">
        <f>IFERROR(__xludf.DUMMYFUNCTION("""COMPUTED_VALUE"""),0.8772040337179118)</f>
        <v>0.8772040337</v>
      </c>
      <c r="AI681" s="57">
        <f>IFERROR(__xludf.DUMMYFUNCTION("""COMPUTED_VALUE"""),0.5875000788750055)</f>
        <v>0.5875000789</v>
      </c>
      <c r="AJ681" s="57">
        <f>IFERROR(__xludf.DUMMYFUNCTION("""COMPUTED_VALUE"""),0.5060947853745642)</f>
        <v>0.5060947854</v>
      </c>
      <c r="AK681" s="57">
        <f>IFERROR(__xludf.DUMMYFUNCTION("""COMPUTED_VALUE"""),1.1982399029949007)</f>
        <v>1.198239903</v>
      </c>
      <c r="AL681" s="57">
        <f>IFERROR(__xludf.DUMMYFUNCTION("""COMPUTED_VALUE"""),0.9278651794485732)</f>
        <v>0.9278651794</v>
      </c>
      <c r="AM681" s="57">
        <f>IFERROR(__xludf.DUMMYFUNCTION("""COMPUTED_VALUE"""),1.0506501448621492)</f>
        <v>1.050650145</v>
      </c>
      <c r="AN681" s="57">
        <f>IFERROR(__xludf.DUMMYFUNCTION("""COMPUTED_VALUE"""),1.0350689996082578)</f>
        <v>1.035069</v>
      </c>
      <c r="AO681" s="57">
        <f>IFERROR(__xludf.DUMMYFUNCTION("""COMPUTED_VALUE"""),1.0382575205985956)</f>
        <v>1.038257521</v>
      </c>
      <c r="AP681" s="35">
        <f>IFERROR(__xludf.DUMMYFUNCTION("""COMPUTED_VALUE"""),1.045892152113765)</f>
        <v>1.045892152</v>
      </c>
      <c r="AQ681" s="57">
        <f>IFERROR(__xludf.DUMMYFUNCTION("""COMPUTED_VALUE"""),1.0984168168424273)</f>
        <v>1.098416817</v>
      </c>
      <c r="AR681" s="36" t="b">
        <f>IFERROR(__xludf.DUMMYFUNCTION("""COMPUTED_VALUE"""),TRUE)</f>
        <v>1</v>
      </c>
      <c r="AS681" s="57"/>
      <c r="AT681" s="37"/>
      <c r="AU681" s="30"/>
      <c r="AV681" s="30"/>
      <c r="AW681" s="30"/>
      <c r="AX681" s="30"/>
      <c r="AY681" s="30"/>
      <c r="AZ681" s="30"/>
    </row>
    <row r="682">
      <c r="A682" s="30" t="str">
        <f>IFERROR(__xludf.DUMMYFUNCTION("""COMPUTED_VALUE"""),"Rival")</f>
        <v>Rival</v>
      </c>
      <c r="B682" s="30" t="str">
        <f>IFERROR(__xludf.DUMMYFUNCTION("""COMPUTED_VALUE"""),"RSC007129")</f>
        <v>RSC007129</v>
      </c>
      <c r="C682" s="30" t="str">
        <f>IFERROR(__xludf.DUMMYFUNCTION("""COMPUTED_VALUE"""),"EKA Luminous")</f>
        <v>EKA Luminous</v>
      </c>
      <c r="D682" s="31"/>
      <c r="E682" s="31">
        <f>IFERROR(__xludf.DUMMYFUNCTION("""COMPUTED_VALUE"""),20.42272781726614)</f>
        <v>20.42272782</v>
      </c>
      <c r="F682" s="31">
        <f>IFERROR(__xludf.DUMMYFUNCTION("""COMPUTED_VALUE"""),-8.446904463245025)</f>
        <v>-8.446904463</v>
      </c>
      <c r="G682" s="31">
        <f>IFERROR(__xludf.DUMMYFUNCTION("""COMPUTED_VALUE"""),30.043586887755943)</f>
        <v>30.04358689</v>
      </c>
      <c r="H682" s="31">
        <f>IFERROR(__xludf.DUMMYFUNCTION("""COMPUTED_VALUE"""),-4.708966540995452)</f>
        <v>-4.708966541</v>
      </c>
      <c r="I682" s="54">
        <f>IFERROR(__xludf.DUMMYFUNCTION("""COMPUTED_VALUE"""),20.0)</f>
        <v>20</v>
      </c>
      <c r="J682" s="55">
        <f>IFERROR(__xludf.DUMMYFUNCTION("""COMPUTED_VALUE"""),12.0)</f>
        <v>12</v>
      </c>
      <c r="K682" s="54">
        <f>IFERROR(__xludf.DUMMYFUNCTION("""COMPUTED_VALUE"""),8.0)</f>
        <v>8</v>
      </c>
      <c r="L682" s="56">
        <f>IFERROR(__xludf.DUMMYFUNCTION("""COMPUTED_VALUE"""),0.6)</f>
        <v>0.6</v>
      </c>
      <c r="M682" s="56">
        <f>IFERROR(__xludf.DUMMYFUNCTION("""COMPUTED_VALUE"""),0.3478260869565218)</f>
        <v>0.347826087</v>
      </c>
      <c r="N682" s="31">
        <f>IFERROR(__xludf.DUMMYFUNCTION("""COMPUTED_VALUE"""),274.1)</f>
        <v>274.1</v>
      </c>
      <c r="O682" s="57">
        <f>IFERROR(__xludf.DUMMYFUNCTION("""COMPUTED_VALUE"""),0.4)</f>
        <v>0.4</v>
      </c>
      <c r="P682" s="57">
        <f>IFERROR(__xludf.DUMMYFUNCTION("""COMPUTED_VALUE"""),0.75)</f>
        <v>0.75</v>
      </c>
      <c r="Q682" s="57">
        <f>IFERROR(__xludf.DUMMYFUNCTION("""COMPUTED_VALUE"""),1.45)</f>
        <v>1.45</v>
      </c>
      <c r="R682" s="57">
        <f>IFERROR(__xludf.DUMMYFUNCTION("""COMPUTED_VALUE"""),1.15)</f>
        <v>1.15</v>
      </c>
      <c r="S682" s="31">
        <f>IFERROR(__xludf.DUMMYFUNCTION("""COMPUTED_VALUE"""),313.9)</f>
        <v>313.9</v>
      </c>
      <c r="T682" s="57">
        <f>IFERROR(__xludf.DUMMYFUNCTION("""COMPUTED_VALUE"""),0.6333333333333333)</f>
        <v>0.6333333333</v>
      </c>
      <c r="U682" s="57">
        <f>IFERROR(__xludf.DUMMYFUNCTION("""COMPUTED_VALUE"""),0.4833333333333333)</f>
        <v>0.4833333333</v>
      </c>
      <c r="V682" s="57">
        <f>IFERROR(__xludf.DUMMYFUNCTION("""COMPUTED_VALUE"""),1.15)</f>
        <v>1.15</v>
      </c>
      <c r="W682" s="57">
        <f>IFERROR(__xludf.DUMMYFUNCTION("""COMPUTED_VALUE"""),2.2833333333333337)</f>
        <v>2.283333333</v>
      </c>
      <c r="X682" s="31">
        <f>IFERROR(__xludf.DUMMYFUNCTION("""COMPUTED_VALUE"""),325.9154091992682)</f>
        <v>325.9154092</v>
      </c>
      <c r="Y682" s="57">
        <f>IFERROR(__xludf.DUMMYFUNCTION("""COMPUTED_VALUE"""),0.638444301876097)</f>
        <v>0.6384443019</v>
      </c>
      <c r="Z682" s="57">
        <f>IFERROR(__xludf.DUMMYFUNCTION("""COMPUTED_VALUE"""),0.503730138058358)</f>
        <v>0.5037301381</v>
      </c>
      <c r="AA682" s="57">
        <f>IFERROR(__xludf.DUMMYFUNCTION("""COMPUTED_VALUE"""),1.329665667590617)</f>
        <v>1.329665668</v>
      </c>
      <c r="AB682" s="57">
        <f>IFERROR(__xludf.DUMMYFUNCTION("""COMPUTED_VALUE"""),2.352096836653504)</f>
        <v>2.352096837</v>
      </c>
      <c r="AC682" s="31">
        <f>IFERROR(__xludf.DUMMYFUNCTION("""COMPUTED_VALUE"""),363.861601715483)</f>
        <v>363.8616017</v>
      </c>
      <c r="AD682" s="57">
        <f>IFERROR(__xludf.DUMMYFUNCTION("""COMPUTED_VALUE"""),0.8789410567286241)</f>
        <v>0.8789410567</v>
      </c>
      <c r="AE682" s="57">
        <f>IFERROR(__xludf.DUMMYFUNCTION("""COMPUTED_VALUE"""),0.6443332935548538)</f>
        <v>0.6443332936</v>
      </c>
      <c r="AF682" s="57">
        <f>IFERROR(__xludf.DUMMYFUNCTION("""COMPUTED_VALUE"""),1.2856666604671592)</f>
        <v>1.28566666</v>
      </c>
      <c r="AG682" s="57">
        <f>IFERROR(__xludf.DUMMYFUNCTION("""COMPUTED_VALUE"""),2.7054703368401816)</f>
        <v>2.705470337</v>
      </c>
      <c r="AH682" s="57">
        <f>IFERROR(__xludf.DUMMYFUNCTION("""COMPUTED_VALUE"""),0.7533083972249676)</f>
        <v>0.7533083972</v>
      </c>
      <c r="AI682" s="57">
        <f>IFERROR(__xludf.DUMMYFUNCTION("""COMPUTED_VALUE"""),0.45509308836792833)</f>
        <v>0.4550930884</v>
      </c>
      <c r="AJ682" s="57">
        <f>IFERROR(__xludf.DUMMYFUNCTION("""COMPUTED_VALUE"""),1.163993863893284)</f>
        <v>1.163993864</v>
      </c>
      <c r="AK682" s="57">
        <f>IFERROR(__xludf.DUMMYFUNCTION("""COMPUTED_VALUE"""),1.1278195543105463)</f>
        <v>1.127819554</v>
      </c>
      <c r="AL682" s="57">
        <f>IFERROR(__xludf.DUMMYFUNCTION("""COMPUTED_VALUE"""),0.42506472325367545)</f>
        <v>0.4250647233</v>
      </c>
      <c r="AM682" s="57">
        <f>IFERROR(__xludf.DUMMYFUNCTION("""COMPUTED_VALUE"""),0.9631333503721455)</f>
        <v>0.9631333504</v>
      </c>
      <c r="AN682" s="57">
        <f>IFERROR(__xludf.DUMMYFUNCTION("""COMPUTED_VALUE"""),0.9919946524266174)</f>
        <v>0.9919946524</v>
      </c>
      <c r="AO682" s="57">
        <f>IFERROR(__xludf.DUMMYFUNCTION("""COMPUTED_VALUE"""),0.9595084685549196)</f>
        <v>0.9595084686</v>
      </c>
      <c r="AP682" s="35">
        <f>IFERROR(__xludf.DUMMYFUNCTION("""COMPUTED_VALUE"""),0.8648790654900677)</f>
        <v>0.8648790655</v>
      </c>
      <c r="AQ682" s="57">
        <f>IFERROR(__xludf.DUMMYFUNCTION("""COMPUTED_VALUE"""),0.9707650202795199)</f>
        <v>0.9707650203</v>
      </c>
      <c r="AR682" s="36" t="b">
        <f>IFERROR(__xludf.DUMMYFUNCTION("""COMPUTED_VALUE"""),TRUE)</f>
        <v>1</v>
      </c>
      <c r="AS682" s="57"/>
      <c r="AT682" s="37"/>
      <c r="AU682" s="30"/>
      <c r="AV682" s="30"/>
      <c r="AW682" s="30"/>
      <c r="AX682" s="30"/>
      <c r="AY682" s="30"/>
      <c r="AZ682" s="30"/>
    </row>
    <row r="683">
      <c r="A683" s="30" t="str">
        <f>IFERROR(__xludf.DUMMYFUNCTION("""COMPUTED_VALUE"""),"Rival")</f>
        <v>Rival</v>
      </c>
      <c r="B683" s="30" t="str">
        <f>IFERROR(__xludf.DUMMYFUNCTION("""COMPUTED_VALUE"""),"RSC002204")</f>
        <v>RSC002204</v>
      </c>
      <c r="C683" s="30" t="str">
        <f>IFERROR(__xludf.DUMMYFUNCTION("""COMPUTED_VALUE"""),"Mr.Numb3rz")</f>
        <v>Mr.Numb3rz</v>
      </c>
      <c r="D683" s="31"/>
      <c r="E683" s="31">
        <f>IFERROR(__xludf.DUMMYFUNCTION("""COMPUTED_VALUE"""),19.592983045469246)</f>
        <v>19.59298305</v>
      </c>
      <c r="F683" s="31">
        <f>IFERROR(__xludf.DUMMYFUNCTION("""COMPUTED_VALUE"""),-8.933436189221055)</f>
        <v>-8.933436189</v>
      </c>
      <c r="G683" s="31">
        <f>IFERROR(__xludf.DUMMYFUNCTION("""COMPUTED_VALUE"""),14.758273250837924)</f>
        <v>14.75827325</v>
      </c>
      <c r="H683" s="31">
        <f>IFERROR(__xludf.DUMMYFUNCTION("""COMPUTED_VALUE"""),-12.607365765958491)</f>
        <v>-12.60736577</v>
      </c>
      <c r="I683" s="54">
        <f>IFERROR(__xludf.DUMMYFUNCTION("""COMPUTED_VALUE"""),6.0)</f>
        <v>6</v>
      </c>
      <c r="J683" s="55">
        <f>IFERROR(__xludf.DUMMYFUNCTION("""COMPUTED_VALUE"""),2.0)</f>
        <v>2</v>
      </c>
      <c r="K683" s="54">
        <f>IFERROR(__xludf.DUMMYFUNCTION("""COMPUTED_VALUE"""),4.0)</f>
        <v>4</v>
      </c>
      <c r="L683" s="56">
        <f>IFERROR(__xludf.DUMMYFUNCTION("""COMPUTED_VALUE"""),0.3333333333333333)</f>
        <v>0.3333333333</v>
      </c>
      <c r="M683" s="56">
        <f>IFERROR(__xludf.DUMMYFUNCTION("""COMPUTED_VALUE"""),0.2)</f>
        <v>0.2</v>
      </c>
      <c r="N683" s="31">
        <f>IFERROR(__xludf.DUMMYFUNCTION("""COMPUTED_VALUE"""),286.3333333333333)</f>
        <v>286.3333333</v>
      </c>
      <c r="O683" s="57">
        <f>IFERROR(__xludf.DUMMYFUNCTION("""COMPUTED_VALUE"""),0.5)</f>
        <v>0.5</v>
      </c>
      <c r="P683" s="57">
        <f>IFERROR(__xludf.DUMMYFUNCTION("""COMPUTED_VALUE"""),0.3333333333333333)</f>
        <v>0.3333333333</v>
      </c>
      <c r="Q683" s="57">
        <f>IFERROR(__xludf.DUMMYFUNCTION("""COMPUTED_VALUE"""),1.3333333333333333)</f>
        <v>1.333333333</v>
      </c>
      <c r="R683" s="57">
        <f>IFERROR(__xludf.DUMMYFUNCTION("""COMPUTED_VALUE"""),2.5)</f>
        <v>2.5</v>
      </c>
      <c r="S683" s="31">
        <f>IFERROR(__xludf.DUMMYFUNCTION("""COMPUTED_VALUE"""),420.8888888888889)</f>
        <v>420.8888889</v>
      </c>
      <c r="T683" s="57">
        <f>IFERROR(__xludf.DUMMYFUNCTION("""COMPUTED_VALUE"""),1.0555555555555556)</f>
        <v>1.055555556</v>
      </c>
      <c r="U683" s="57">
        <f>IFERROR(__xludf.DUMMYFUNCTION("""COMPUTED_VALUE"""),0.7777777777777778)</f>
        <v>0.7777777778</v>
      </c>
      <c r="V683" s="57">
        <f>IFERROR(__xludf.DUMMYFUNCTION("""COMPUTED_VALUE"""),1.5555555555555556)</f>
        <v>1.555555556</v>
      </c>
      <c r="W683" s="57">
        <f>IFERROR(__xludf.DUMMYFUNCTION("""COMPUTED_VALUE"""),3.222222222222222)</f>
        <v>3.222222222</v>
      </c>
      <c r="X683" s="31">
        <f>IFERROR(__xludf.DUMMYFUNCTION("""COMPUTED_VALUE"""),378.77772271301683)</f>
        <v>378.7777227</v>
      </c>
      <c r="Y683" s="57">
        <f>IFERROR(__xludf.DUMMYFUNCTION("""COMPUTED_VALUE"""),0.8451291627762215)</f>
        <v>0.8451291628</v>
      </c>
      <c r="Z683" s="57">
        <f>IFERROR(__xludf.DUMMYFUNCTION("""COMPUTED_VALUE"""),0.7061935885465296)</f>
        <v>0.7061935885</v>
      </c>
      <c r="AA683" s="57">
        <f>IFERROR(__xludf.DUMMYFUNCTION("""COMPUTED_VALUE"""),1.3712968948263067)</f>
        <v>1.371296895</v>
      </c>
      <c r="AB683" s="57">
        <f>IFERROR(__xludf.DUMMYFUNCTION("""COMPUTED_VALUE"""),2.8554909143144442)</f>
        <v>2.855490914</v>
      </c>
      <c r="AC683" s="31">
        <f>IFERROR(__xludf.DUMMYFUNCTION("""COMPUTED_VALUE"""),352.792555084712)</f>
        <v>352.7925551</v>
      </c>
      <c r="AD683" s="57">
        <f>IFERROR(__xludf.DUMMYFUNCTION("""COMPUTED_VALUE"""),0.8364057873861798)</f>
        <v>0.8364057874</v>
      </c>
      <c r="AE683" s="57">
        <f>IFERROR(__xludf.DUMMYFUNCTION("""COMPUTED_VALUE"""),0.5590565570957727)</f>
        <v>0.5590565571</v>
      </c>
      <c r="AF683" s="57">
        <f>IFERROR(__xludf.DUMMYFUNCTION("""COMPUTED_VALUE"""),1.2975396426376815)</f>
        <v>1.297539643</v>
      </c>
      <c r="AG683" s="57">
        <f>IFERROR(__xludf.DUMMYFUNCTION("""COMPUTED_VALUE"""),2.706757802836234)</f>
        <v>2.706757803</v>
      </c>
      <c r="AH683" s="57">
        <f>IFERROR(__xludf.DUMMYFUNCTION("""COMPUTED_VALUE"""),0.8116195458392805)</f>
        <v>0.8116195458</v>
      </c>
      <c r="AI683" s="57">
        <f>IFERROR(__xludf.DUMMYFUNCTION("""COMPUTED_VALUE"""),0.5977959592586407)</f>
        <v>0.5977959593</v>
      </c>
      <c r="AJ683" s="57">
        <f>IFERROR(__xludf.DUMMYFUNCTION("""COMPUTED_VALUE"""),0.5962425967507784)</f>
        <v>0.5962425968</v>
      </c>
      <c r="AK683" s="57">
        <f>IFERROR(__xludf.DUMMYFUNCTION("""COMPUTED_VALUE"""),1.0275858166636738)</f>
        <v>1.027585817</v>
      </c>
      <c r="AL683" s="57">
        <f>IFERROR(__xludf.DUMMYFUNCTION("""COMPUTED_VALUE"""),0.9236142211838879)</f>
        <v>0.9236142212</v>
      </c>
      <c r="AM683" s="57">
        <f>IFERROR(__xludf.DUMMYFUNCTION("""COMPUTED_VALUE"""),1.1111764595717206)</f>
        <v>1.11117646</v>
      </c>
      <c r="AN683" s="57">
        <f>IFERROR(__xludf.DUMMYFUNCTION("""COMPUTED_VALUE"""),1.2489872578625618)</f>
        <v>1.248987258</v>
      </c>
      <c r="AO683" s="57">
        <f>IFERROR(__xludf.DUMMYFUNCTION("""COMPUTED_VALUE"""),1.101366240634641)</f>
        <v>1.101366241</v>
      </c>
      <c r="AP683" s="35">
        <f>IFERROR(__xludf.DUMMYFUNCTION("""COMPUTED_VALUE"""),1.1343681746997523)</f>
        <v>1.134368175</v>
      </c>
      <c r="AQ683" s="57">
        <f>IFERROR(__xludf.DUMMYFUNCTION("""COMPUTED_VALUE"""),1.1284302135472994)</f>
        <v>1.128430214</v>
      </c>
      <c r="AR683" s="36" t="b">
        <f>IFERROR(__xludf.DUMMYFUNCTION("""COMPUTED_VALUE"""),TRUE)</f>
        <v>1</v>
      </c>
      <c r="AS683" s="57"/>
      <c r="AT683" s="37"/>
      <c r="AU683" s="30"/>
      <c r="AV683" s="30"/>
      <c r="AW683" s="30"/>
      <c r="AX683" s="30"/>
      <c r="AY683" s="30"/>
      <c r="AZ683" s="30"/>
    </row>
    <row r="684">
      <c r="A684" s="30" t="str">
        <f>IFERROR(__xludf.DUMMYFUNCTION("""COMPUTED_VALUE"""),"Rival")</f>
        <v>Rival</v>
      </c>
      <c r="B684" s="30" t="str">
        <f>IFERROR(__xludf.DUMMYFUNCTION("""COMPUTED_VALUE"""),"RSC007861")</f>
        <v>RSC007861</v>
      </c>
      <c r="C684" s="30" t="str">
        <f>IFERROR(__xludf.DUMMYFUNCTION("""COMPUTED_VALUE"""),"xmanyaknow")</f>
        <v>xmanyaknow</v>
      </c>
      <c r="D684" s="31" t="str">
        <f>IFERROR(__xludf.DUMMYFUNCTION("""COMPUTED_VALUE"""),"Phantoms")</f>
        <v>Phantoms</v>
      </c>
      <c r="E684" s="31">
        <f>IFERROR(__xludf.DUMMYFUNCTION("""COMPUTED_VALUE"""),18.28886711940151)</f>
        <v>18.28886712</v>
      </c>
      <c r="F684" s="31">
        <f>IFERROR(__xludf.DUMMYFUNCTION("""COMPUTED_VALUE"""),-9.773309662887867)</f>
        <v>-9.773309663</v>
      </c>
      <c r="G684" s="31">
        <f>IFERROR(__xludf.DUMMYFUNCTION("""COMPUTED_VALUE"""),33.291445567218176)</f>
        <v>33.29144557</v>
      </c>
      <c r="H684" s="31">
        <f>IFERROR(__xludf.DUMMYFUNCTION("""COMPUTED_VALUE"""),-3.968921785257165)</f>
        <v>-3.968921785</v>
      </c>
      <c r="I684" s="54">
        <f>IFERROR(__xludf.DUMMYFUNCTION("""COMPUTED_VALUE"""),25.0)</f>
        <v>25</v>
      </c>
      <c r="J684" s="55">
        <f>IFERROR(__xludf.DUMMYFUNCTION("""COMPUTED_VALUE"""),9.0)</f>
        <v>9</v>
      </c>
      <c r="K684" s="54">
        <f>IFERROR(__xludf.DUMMYFUNCTION("""COMPUTED_VALUE"""),16.0)</f>
        <v>16</v>
      </c>
      <c r="L684" s="56">
        <f>IFERROR(__xludf.DUMMYFUNCTION("""COMPUTED_VALUE"""),0.36)</f>
        <v>0.36</v>
      </c>
      <c r="M684" s="56">
        <f>IFERROR(__xludf.DUMMYFUNCTION("""COMPUTED_VALUE"""),0.1754385964912281)</f>
        <v>0.1754385965</v>
      </c>
      <c r="N684" s="31">
        <f>IFERROR(__xludf.DUMMYFUNCTION("""COMPUTED_VALUE"""),309.16)</f>
        <v>309.16</v>
      </c>
      <c r="O684" s="57">
        <f>IFERROR(__xludf.DUMMYFUNCTION("""COMPUTED_VALUE"""),0.4)</f>
        <v>0.4</v>
      </c>
      <c r="P684" s="57">
        <f>IFERROR(__xludf.DUMMYFUNCTION("""COMPUTED_VALUE"""),0.36)</f>
        <v>0.36</v>
      </c>
      <c r="Q684" s="57">
        <f>IFERROR(__xludf.DUMMYFUNCTION("""COMPUTED_VALUE"""),1.52)</f>
        <v>1.52</v>
      </c>
      <c r="R684" s="57">
        <f>IFERROR(__xludf.DUMMYFUNCTION("""COMPUTED_VALUE"""),2.28)</f>
        <v>2.28</v>
      </c>
      <c r="S684" s="31">
        <f>IFERROR(__xludf.DUMMYFUNCTION("""COMPUTED_VALUE"""),364.97333333333336)</f>
        <v>364.9733333</v>
      </c>
      <c r="T684" s="57">
        <f>IFERROR(__xludf.DUMMYFUNCTION("""COMPUTED_VALUE"""),0.9600000000000002)</f>
        <v>0.96</v>
      </c>
      <c r="U684" s="57">
        <f>IFERROR(__xludf.DUMMYFUNCTION("""COMPUTED_VALUE"""),0.7066666666666666)</f>
        <v>0.7066666667</v>
      </c>
      <c r="V684" s="57">
        <f>IFERROR(__xludf.DUMMYFUNCTION("""COMPUTED_VALUE"""),1.1733333333333331)</f>
        <v>1.173333333</v>
      </c>
      <c r="W684" s="57">
        <f>IFERROR(__xludf.DUMMYFUNCTION("""COMPUTED_VALUE"""),2.7599999999999993)</f>
        <v>2.76</v>
      </c>
      <c r="X684" s="31">
        <f>IFERROR(__xludf.DUMMYFUNCTION("""COMPUTED_VALUE"""),349.11907653022007)</f>
        <v>349.1190765</v>
      </c>
      <c r="Y684" s="57">
        <f>IFERROR(__xludf.DUMMYFUNCTION("""COMPUTED_VALUE"""),0.797124088396669)</f>
        <v>0.7971240884</v>
      </c>
      <c r="Z684" s="57">
        <f>IFERROR(__xludf.DUMMYFUNCTION("""COMPUTED_VALUE"""),0.5423863176250275)</f>
        <v>0.5423863176</v>
      </c>
      <c r="AA684" s="57">
        <f>IFERROR(__xludf.DUMMYFUNCTION("""COMPUTED_VALUE"""),1.319424725274725)</f>
        <v>1.319424725</v>
      </c>
      <c r="AB684" s="57">
        <f>IFERROR(__xludf.DUMMYFUNCTION("""COMPUTED_VALUE"""),2.4735058423655194)</f>
        <v>2.473505842</v>
      </c>
      <c r="AC684" s="31">
        <f>IFERROR(__xludf.DUMMYFUNCTION("""COMPUTED_VALUE"""),335.50223308789964)</f>
        <v>335.5022331</v>
      </c>
      <c r="AD684" s="57">
        <f>IFERROR(__xludf.DUMMYFUNCTION("""COMPUTED_VALUE"""),0.7213472518123054)</f>
        <v>0.7213472518</v>
      </c>
      <c r="AE684" s="57">
        <f>IFERROR(__xludf.DUMMYFUNCTION("""COMPUTED_VALUE"""),0.5082568750445094)</f>
        <v>0.508256875</v>
      </c>
      <c r="AF684" s="57">
        <f>IFERROR(__xludf.DUMMYFUNCTION("""COMPUTED_VALUE"""),1.2710637071013418)</f>
        <v>1.271063707</v>
      </c>
      <c r="AG684" s="57">
        <f>IFERROR(__xludf.DUMMYFUNCTION("""COMPUTED_VALUE"""),2.4553650914995)</f>
        <v>2.455365091</v>
      </c>
      <c r="AH684" s="57">
        <f>IFERROR(__xludf.DUMMYFUNCTION("""COMPUTED_VALUE"""),0.9214841795672993)</f>
        <v>0.9214841796</v>
      </c>
      <c r="AI684" s="57">
        <f>IFERROR(__xludf.DUMMYFUNCTION("""COMPUTED_VALUE"""),0.5545179509522552)</f>
        <v>0.554517951</v>
      </c>
      <c r="AJ684" s="57">
        <f>IFERROR(__xludf.DUMMYFUNCTION("""COMPUTED_VALUE"""),0.7083032570262306)</f>
        <v>0.708303257</v>
      </c>
      <c r="AK684" s="57">
        <f>IFERROR(__xludf.DUMMYFUNCTION("""COMPUTED_VALUE"""),1.1958487930289168)</f>
        <v>1.195848793</v>
      </c>
      <c r="AL684" s="57">
        <f>IFERROR(__xludf.DUMMYFUNCTION("""COMPUTED_VALUE"""),0.9285788121258969)</f>
        <v>0.9285788121</v>
      </c>
      <c r="AM684" s="57">
        <f>IFERROR(__xludf.DUMMYFUNCTION("""COMPUTED_VALUE"""),1.0454121755839971)</f>
        <v>1.045412176</v>
      </c>
      <c r="AN684" s="57">
        <f>IFERROR(__xludf.DUMMYFUNCTION("""COMPUTED_VALUE"""),1.2043294312318913)</f>
        <v>1.204329431</v>
      </c>
      <c r="AO684" s="57">
        <f>IFERROR(__xludf.DUMMYFUNCTION("""COMPUTED_VALUE"""),1.3028843901538318)</f>
        <v>1.30288439</v>
      </c>
      <c r="AP684" s="35">
        <f>IFERROR(__xludf.DUMMYFUNCTION("""COMPUTED_VALUE"""),0.8892764481801162)</f>
        <v>0.8892764482</v>
      </c>
      <c r="AQ684" s="57">
        <f>IFERROR(__xludf.DUMMYFUNCTION("""COMPUTED_VALUE"""),1.1158251388484668)</f>
        <v>1.115825139</v>
      </c>
      <c r="AR684" s="36" t="b">
        <f>IFERROR(__xludf.DUMMYFUNCTION("""COMPUTED_VALUE"""),TRUE)</f>
        <v>1</v>
      </c>
      <c r="AS684" s="57"/>
      <c r="AT684" s="37"/>
      <c r="AU684" s="30"/>
      <c r="AV684" s="30"/>
      <c r="AW684" s="30"/>
      <c r="AX684" s="30"/>
      <c r="AY684" s="30"/>
      <c r="AZ684" s="30"/>
    </row>
    <row r="685">
      <c r="A685" s="30" t="str">
        <f>IFERROR(__xludf.DUMMYFUNCTION("""COMPUTED_VALUE"""),"Rival")</f>
        <v>Rival</v>
      </c>
      <c r="B685" s="30" t="str">
        <f>IFERROR(__xludf.DUMMYFUNCTION("""COMPUTED_VALUE"""),"RSC004790")</f>
        <v>RSC004790</v>
      </c>
      <c r="C685" s="30" t="str">
        <f>IFERROR(__xludf.DUMMYFUNCTION("""COMPUTED_VALUE"""),"TheFrostNL")</f>
        <v>TheFrostNL</v>
      </c>
      <c r="D685" s="31" t="str">
        <f>IFERROR(__xludf.DUMMYFUNCTION("""COMPUTED_VALUE"""),"Nightfall")</f>
        <v>Nightfall</v>
      </c>
      <c r="E685" s="31">
        <f>IFERROR(__xludf.DUMMYFUNCTION("""COMPUTED_VALUE"""),15.460849444332467)</f>
        <v>15.46084944</v>
      </c>
      <c r="F685" s="31">
        <f>IFERROR(__xludf.DUMMYFUNCTION("""COMPUTED_VALUE"""),-11.968523301584217)</f>
        <v>-11.9685233</v>
      </c>
      <c r="G685" s="31">
        <f>IFERROR(__xludf.DUMMYFUNCTION("""COMPUTED_VALUE"""),24.515526181916385)</f>
        <v>24.51552618</v>
      </c>
      <c r="H685" s="31">
        <f>IFERROR(__xludf.DUMMYFUNCTION("""COMPUTED_VALUE"""),-6.493019636285881)</f>
        <v>-6.493019636</v>
      </c>
      <c r="I685" s="54">
        <f>IFERROR(__xludf.DUMMYFUNCTION("""COMPUTED_VALUE"""),13.0)</f>
        <v>13</v>
      </c>
      <c r="J685" s="55">
        <f>IFERROR(__xludf.DUMMYFUNCTION("""COMPUTED_VALUE"""),7.0)</f>
        <v>7</v>
      </c>
      <c r="K685" s="54">
        <f>IFERROR(__xludf.DUMMYFUNCTION("""COMPUTED_VALUE"""),6.0)</f>
        <v>6</v>
      </c>
      <c r="L685" s="56">
        <f>IFERROR(__xludf.DUMMYFUNCTION("""COMPUTED_VALUE"""),0.5384615384615384)</f>
        <v>0.5384615385</v>
      </c>
      <c r="M685" s="56">
        <f>IFERROR(__xludf.DUMMYFUNCTION("""COMPUTED_VALUE"""),0.19230769230769232)</f>
        <v>0.1923076923</v>
      </c>
      <c r="N685" s="31">
        <f>IFERROR(__xludf.DUMMYFUNCTION("""COMPUTED_VALUE"""),283.0)</f>
        <v>283</v>
      </c>
      <c r="O685" s="57">
        <f>IFERROR(__xludf.DUMMYFUNCTION("""COMPUTED_VALUE"""),0.38461538461538464)</f>
        <v>0.3846153846</v>
      </c>
      <c r="P685" s="57">
        <f>IFERROR(__xludf.DUMMYFUNCTION("""COMPUTED_VALUE"""),0.07692307692307693)</f>
        <v>0.07692307692</v>
      </c>
      <c r="Q685" s="57">
        <f>IFERROR(__xludf.DUMMYFUNCTION("""COMPUTED_VALUE"""),1.5384615384615385)</f>
        <v>1.538461538</v>
      </c>
      <c r="R685" s="57">
        <f>IFERROR(__xludf.DUMMYFUNCTION("""COMPUTED_VALUE"""),2.0)</f>
        <v>2</v>
      </c>
      <c r="S685" s="31">
        <f>IFERROR(__xludf.DUMMYFUNCTION("""COMPUTED_VALUE"""),315.2307692307692)</f>
        <v>315.2307692</v>
      </c>
      <c r="T685" s="57">
        <f>IFERROR(__xludf.DUMMYFUNCTION("""COMPUTED_VALUE"""),0.5641025641025641)</f>
        <v>0.5641025641</v>
      </c>
      <c r="U685" s="57">
        <f>IFERROR(__xludf.DUMMYFUNCTION("""COMPUTED_VALUE"""),0.46153846153846156)</f>
        <v>0.4615384615</v>
      </c>
      <c r="V685" s="57">
        <f>IFERROR(__xludf.DUMMYFUNCTION("""COMPUTED_VALUE"""),1.1538461538461537)</f>
        <v>1.153846154</v>
      </c>
      <c r="W685" s="57">
        <f>IFERROR(__xludf.DUMMYFUNCTION("""COMPUTED_VALUE"""),2.5384615384615383)</f>
        <v>2.538461538</v>
      </c>
      <c r="X685" s="31">
        <f>IFERROR(__xludf.DUMMYFUNCTION("""COMPUTED_VALUE"""),352.3575696739157)</f>
        <v>352.3575697</v>
      </c>
      <c r="Y685" s="57">
        <f>IFERROR(__xludf.DUMMYFUNCTION("""COMPUTED_VALUE"""),0.8121204116396424)</f>
        <v>0.8121204116</v>
      </c>
      <c r="Z685" s="57">
        <f>IFERROR(__xludf.DUMMYFUNCTION("""COMPUTED_VALUE"""),0.5640111313188236)</f>
        <v>0.5640111313</v>
      </c>
      <c r="AA685" s="57">
        <f>IFERROR(__xludf.DUMMYFUNCTION("""COMPUTED_VALUE"""),1.2591491129952668)</f>
        <v>1.259149113</v>
      </c>
      <c r="AB685" s="57">
        <f>IFERROR(__xludf.DUMMYFUNCTION("""COMPUTED_VALUE"""),2.707501045962584)</f>
        <v>2.707501046</v>
      </c>
      <c r="AC685" s="31">
        <f>IFERROR(__xludf.DUMMYFUNCTION("""COMPUTED_VALUE"""),336.0497167481141)</f>
        <v>336.0497167</v>
      </c>
      <c r="AD685" s="57">
        <f>IFERROR(__xludf.DUMMYFUNCTION("""COMPUTED_VALUE"""),0.6857809154283513)</f>
        <v>0.6857809154</v>
      </c>
      <c r="AE685" s="57">
        <f>IFERROR(__xludf.DUMMYFUNCTION("""COMPUTED_VALUE"""),0.4509881085201599)</f>
        <v>0.4509881085</v>
      </c>
      <c r="AF685" s="57">
        <f>IFERROR(__xludf.DUMMYFUNCTION("""COMPUTED_VALUE"""),1.3892659750031546)</f>
        <v>1.389265975</v>
      </c>
      <c r="AG685" s="57">
        <f>IFERROR(__xludf.DUMMYFUNCTION("""COMPUTED_VALUE"""),2.352472729075293)</f>
        <v>2.352472729</v>
      </c>
      <c r="AH685" s="57">
        <f>IFERROR(__xludf.DUMMYFUNCTION("""COMPUTED_VALUE"""),0.8421372966432895)</f>
        <v>0.8421372966</v>
      </c>
      <c r="AI685" s="57">
        <f>IFERROR(__xludf.DUMMYFUNCTION("""COMPUTED_VALUE"""),0.5608429397239012)</f>
        <v>0.5608429397</v>
      </c>
      <c r="AJ685" s="57">
        <f>IFERROR(__xludf.DUMMYFUNCTION("""COMPUTED_VALUE"""),0.17056564346116976)</f>
        <v>0.1705656435</v>
      </c>
      <c r="AK685" s="57">
        <f>IFERROR(__xludf.DUMMYFUNCTION("""COMPUTED_VALUE"""),1.1073916486424027)</f>
        <v>1.107391649</v>
      </c>
      <c r="AL685" s="57">
        <f>IFERROR(__xludf.DUMMYFUNCTION("""COMPUTED_VALUE"""),0.8501692603196116)</f>
        <v>0.8501692603</v>
      </c>
      <c r="AM685" s="57">
        <f>IFERROR(__xludf.DUMMYFUNCTION("""COMPUTED_VALUE"""),0.8946331691483032)</f>
        <v>0.8946331691</v>
      </c>
      <c r="AN685" s="57">
        <f>IFERROR(__xludf.DUMMYFUNCTION("""COMPUTED_VALUE"""),0.6946045882083679)</f>
        <v>0.6946045882</v>
      </c>
      <c r="AO685" s="57">
        <f>IFERROR(__xludf.DUMMYFUNCTION("""COMPUTED_VALUE"""),0.8183144549988741)</f>
        <v>0.818314455</v>
      </c>
      <c r="AP685" s="35">
        <f>IFERROR(__xludf.DUMMYFUNCTION("""COMPUTED_VALUE"""),0.9163697467898634)</f>
        <v>0.9163697468</v>
      </c>
      <c r="AQ685" s="57">
        <f>IFERROR(__xludf.DUMMYFUNCTION("""COMPUTED_VALUE"""),0.937566226335123)</f>
        <v>0.9375662263</v>
      </c>
      <c r="AR685" s="36" t="b">
        <f>IFERROR(__xludf.DUMMYFUNCTION("""COMPUTED_VALUE"""),TRUE)</f>
        <v>1</v>
      </c>
      <c r="AS685" s="57"/>
      <c r="AT685" s="37"/>
      <c r="AU685" s="30"/>
      <c r="AV685" s="30"/>
      <c r="AW685" s="30"/>
      <c r="AX685" s="30"/>
      <c r="AY685" s="30"/>
      <c r="AZ685" s="30"/>
    </row>
    <row r="686">
      <c r="A686" s="30" t="str">
        <f>IFERROR(__xludf.DUMMYFUNCTION("""COMPUTED_VALUE"""),"Rival")</f>
        <v>Rival</v>
      </c>
      <c r="B686" s="30" t="str">
        <f>IFERROR(__xludf.DUMMYFUNCTION("""COMPUTED_VALUE"""),"RSC003900")</f>
        <v>RSC003900</v>
      </c>
      <c r="C686" s="30" t="str">
        <f>IFERROR(__xludf.DUMMYFUNCTION("""COMPUTED_VALUE"""),"Tryhard goblin")</f>
        <v>Tryhard goblin</v>
      </c>
      <c r="D686" s="31" t="str">
        <f>IFERROR(__xludf.DUMMYFUNCTION("""COMPUTED_VALUE"""),"Phantoms")</f>
        <v>Phantoms</v>
      </c>
      <c r="E686" s="31">
        <f>IFERROR(__xludf.DUMMYFUNCTION("""COMPUTED_VALUE"""),12.719629014192407)</f>
        <v>12.71962901</v>
      </c>
      <c r="F686" s="31">
        <f>IFERROR(__xludf.DUMMYFUNCTION("""COMPUTED_VALUE"""),-14.716151318995031)</f>
        <v>-14.71615132</v>
      </c>
      <c r="G686" s="31">
        <f>IFERROR(__xludf.DUMMYFUNCTION("""COMPUTED_VALUE"""),18.00070859326365)</f>
        <v>18.00070859</v>
      </c>
      <c r="H686" s="31">
        <f>IFERROR(__xludf.DUMMYFUNCTION("""COMPUTED_VALUE"""),-9.972321600308302)</f>
        <v>-9.9723216</v>
      </c>
      <c r="I686" s="54">
        <f>IFERROR(__xludf.DUMMYFUNCTION("""COMPUTED_VALUE"""),14.0)</f>
        <v>14</v>
      </c>
      <c r="J686" s="55">
        <f>IFERROR(__xludf.DUMMYFUNCTION("""COMPUTED_VALUE"""),2.0)</f>
        <v>2</v>
      </c>
      <c r="K686" s="54">
        <f>IFERROR(__xludf.DUMMYFUNCTION("""COMPUTED_VALUE"""),12.0)</f>
        <v>12</v>
      </c>
      <c r="L686" s="56">
        <f>IFERROR(__xludf.DUMMYFUNCTION("""COMPUTED_VALUE"""),0.14285714285714285)</f>
        <v>0.1428571429</v>
      </c>
      <c r="M686" s="56">
        <f>IFERROR(__xludf.DUMMYFUNCTION("""COMPUTED_VALUE"""),0.2758620689655172)</f>
        <v>0.275862069</v>
      </c>
      <c r="N686" s="31">
        <f>IFERROR(__xludf.DUMMYFUNCTION("""COMPUTED_VALUE"""),274.85714285714283)</f>
        <v>274.8571429</v>
      </c>
      <c r="O686" s="57">
        <f>IFERROR(__xludf.DUMMYFUNCTION("""COMPUTED_VALUE"""),0.5714285714285714)</f>
        <v>0.5714285714</v>
      </c>
      <c r="P686" s="57">
        <f>IFERROR(__xludf.DUMMYFUNCTION("""COMPUTED_VALUE"""),0.21428571428571427)</f>
        <v>0.2142857143</v>
      </c>
      <c r="Q686" s="57">
        <f>IFERROR(__xludf.DUMMYFUNCTION("""COMPUTED_VALUE"""),1.0714285714285714)</f>
        <v>1.071428571</v>
      </c>
      <c r="R686" s="57">
        <f>IFERROR(__xludf.DUMMYFUNCTION("""COMPUTED_VALUE"""),2.0714285714285716)</f>
        <v>2.071428571</v>
      </c>
      <c r="S686" s="31">
        <f>IFERROR(__xludf.DUMMYFUNCTION("""COMPUTED_VALUE"""),396.83333333333337)</f>
        <v>396.8333333</v>
      </c>
      <c r="T686" s="57">
        <f>IFERROR(__xludf.DUMMYFUNCTION("""COMPUTED_VALUE"""),1.1428571428571428)</f>
        <v>1.142857143</v>
      </c>
      <c r="U686" s="57">
        <f>IFERROR(__xludf.DUMMYFUNCTION("""COMPUTED_VALUE"""),0.7857142857142856)</f>
        <v>0.7857142857</v>
      </c>
      <c r="V686" s="57">
        <f>IFERROR(__xludf.DUMMYFUNCTION("""COMPUTED_VALUE"""),1.0476190476190477)</f>
        <v>1.047619048</v>
      </c>
      <c r="W686" s="57">
        <f>IFERROR(__xludf.DUMMYFUNCTION("""COMPUTED_VALUE"""),3.142857142857143)</f>
        <v>3.142857143</v>
      </c>
      <c r="X686" s="31">
        <f>IFERROR(__xludf.DUMMYFUNCTION("""COMPUTED_VALUE"""),366.34774961149964)</f>
        <v>366.3477496</v>
      </c>
      <c r="Y686" s="57">
        <f>IFERROR(__xludf.DUMMYFUNCTION("""COMPUTED_VALUE"""),0.8891984404484405)</f>
        <v>0.8891984404</v>
      </c>
      <c r="Z686" s="57">
        <f>IFERROR(__xludf.DUMMYFUNCTION("""COMPUTED_VALUE"""),0.6084711056139628)</f>
        <v>0.6084711056</v>
      </c>
      <c r="AA686" s="57">
        <f>IFERROR(__xludf.DUMMYFUNCTION("""COMPUTED_VALUE"""),1.3220962106676388)</f>
        <v>1.322096211</v>
      </c>
      <c r="AB686" s="57">
        <f>IFERROR(__xludf.DUMMYFUNCTION("""COMPUTED_VALUE"""),2.7100364714650427)</f>
        <v>2.710036471</v>
      </c>
      <c r="AC686" s="31">
        <f>IFERROR(__xludf.DUMMYFUNCTION("""COMPUTED_VALUE"""),345.5509562307181)</f>
        <v>345.5509562</v>
      </c>
      <c r="AD686" s="57">
        <f>IFERROR(__xludf.DUMMYFUNCTION("""COMPUTED_VALUE"""),0.7413272023391072)</f>
        <v>0.7413272023</v>
      </c>
      <c r="AE686" s="57">
        <f>IFERROR(__xludf.DUMMYFUNCTION("""COMPUTED_VALUE"""),0.5142736011783631)</f>
        <v>0.5142736012</v>
      </c>
      <c r="AF686" s="57">
        <f>IFERROR(__xludf.DUMMYFUNCTION("""COMPUTED_VALUE"""),1.383994565839804)</f>
        <v>1.383994566</v>
      </c>
      <c r="AG686" s="57">
        <f>IFERROR(__xludf.DUMMYFUNCTION("""COMPUTED_VALUE"""),2.476618278106374)</f>
        <v>2.476618278</v>
      </c>
      <c r="AH686" s="57">
        <f>IFERROR(__xludf.DUMMYFUNCTION("""COMPUTED_VALUE"""),0.79541710969431)</f>
        <v>0.7954171097</v>
      </c>
      <c r="AI686" s="57">
        <f>IFERROR(__xludf.DUMMYFUNCTION("""COMPUTED_VALUE"""),0.7708182967325963)</f>
        <v>0.7708182967</v>
      </c>
      <c r="AJ686" s="57">
        <f>IFERROR(__xludf.DUMMYFUNCTION("""COMPUTED_VALUE"""),0.41667648075794306)</f>
        <v>0.4166764808</v>
      </c>
      <c r="AK686" s="57">
        <f>IFERROR(__xludf.DUMMYFUNCTION("""COMPUTED_VALUE"""),0.7741566317339054)</f>
        <v>0.7741566317</v>
      </c>
      <c r="AL686" s="57">
        <f>IFERROR(__xludf.DUMMYFUNCTION("""COMPUTED_VALUE"""),0.8363939609669637)</f>
        <v>0.836393961</v>
      </c>
      <c r="AM686" s="57">
        <f>IFERROR(__xludf.DUMMYFUNCTION("""COMPUTED_VALUE"""),1.0832148791801308)</f>
        <v>1.083214879</v>
      </c>
      <c r="AN686" s="57">
        <f>IFERROR(__xludf.DUMMYFUNCTION("""COMPUTED_VALUE"""),1.2852666973648503)</f>
        <v>1.285266697</v>
      </c>
      <c r="AO686" s="57">
        <f>IFERROR(__xludf.DUMMYFUNCTION("""COMPUTED_VALUE"""),1.2912926817149024)</f>
        <v>1.291292682</v>
      </c>
      <c r="AP686" s="35">
        <f>IFERROR(__xludf.DUMMYFUNCTION("""COMPUTED_VALUE"""),0.7923924440340205)</f>
        <v>0.792392444</v>
      </c>
      <c r="AQ686" s="57">
        <f>IFERROR(__xludf.DUMMYFUNCTION("""COMPUTED_VALUE"""),1.1597102754702477)</f>
        <v>1.159710275</v>
      </c>
      <c r="AR686" s="36" t="b">
        <f>IFERROR(__xludf.DUMMYFUNCTION("""COMPUTED_VALUE"""),TRUE)</f>
        <v>1</v>
      </c>
      <c r="AS686" s="57"/>
      <c r="AT686" s="37"/>
      <c r="AU686" s="30"/>
      <c r="AV686" s="30"/>
      <c r="AW686" s="30"/>
      <c r="AX686" s="30"/>
      <c r="AY686" s="30"/>
      <c r="AZ686" s="30"/>
    </row>
    <row r="687">
      <c r="A687" s="30" t="str">
        <f>IFERROR(__xludf.DUMMYFUNCTION("""COMPUTED_VALUE"""),"Rival")</f>
        <v>Rival</v>
      </c>
      <c r="B687" s="30" t="str">
        <f>IFERROR(__xludf.DUMMYFUNCTION("""COMPUTED_VALUE"""),"RSC007213")</f>
        <v>RSC007213</v>
      </c>
      <c r="C687" s="30" t="str">
        <f>IFERROR(__xludf.DUMMYFUNCTION("""COMPUTED_VALUE"""),"Pythronex")</f>
        <v>Pythronex</v>
      </c>
      <c r="D687" s="31"/>
      <c r="E687" s="31">
        <f>IFERROR(__xludf.DUMMYFUNCTION("""COMPUTED_VALUE"""),11.540773389977176)</f>
        <v>11.54077339</v>
      </c>
      <c r="F687" s="31">
        <f>IFERROR(__xludf.DUMMYFUNCTION("""COMPUTED_VALUE"""),-16.13444487729842)</f>
        <v>-16.13444488</v>
      </c>
      <c r="G687" s="31">
        <f>IFERROR(__xludf.DUMMYFUNCTION("""COMPUTED_VALUE"""),27.9402704872351)</f>
        <v>27.94027049</v>
      </c>
      <c r="H687" s="31">
        <f>IFERROR(__xludf.DUMMYFUNCTION("""COMPUTED_VALUE"""),-5.2970817361722276)</f>
        <v>-5.297081736</v>
      </c>
      <c r="I687" s="54">
        <f>IFERROR(__xludf.DUMMYFUNCTION("""COMPUTED_VALUE"""),4.0)</f>
        <v>4</v>
      </c>
      <c r="J687" s="55">
        <f>IFERROR(__xludf.DUMMYFUNCTION("""COMPUTED_VALUE"""),0.0)</f>
        <v>0</v>
      </c>
      <c r="K687" s="54">
        <f>IFERROR(__xludf.DUMMYFUNCTION("""COMPUTED_VALUE"""),4.0)</f>
        <v>4</v>
      </c>
      <c r="L687" s="56">
        <f>IFERROR(__xludf.DUMMYFUNCTION("""COMPUTED_VALUE"""),0.0)</f>
        <v>0</v>
      </c>
      <c r="M687" s="56">
        <f>IFERROR(__xludf.DUMMYFUNCTION("""COMPUTED_VALUE"""),0.5)</f>
        <v>0.5</v>
      </c>
      <c r="N687" s="31">
        <f>IFERROR(__xludf.DUMMYFUNCTION("""COMPUTED_VALUE"""),308.75)</f>
        <v>308.75</v>
      </c>
      <c r="O687" s="57">
        <f>IFERROR(__xludf.DUMMYFUNCTION("""COMPUTED_VALUE"""),0.5)</f>
        <v>0.5</v>
      </c>
      <c r="P687" s="57">
        <f>IFERROR(__xludf.DUMMYFUNCTION("""COMPUTED_VALUE"""),0.25)</f>
        <v>0.25</v>
      </c>
      <c r="Q687" s="57">
        <f>IFERROR(__xludf.DUMMYFUNCTION("""COMPUTED_VALUE"""),2.0)</f>
        <v>2</v>
      </c>
      <c r="R687" s="57">
        <f>IFERROR(__xludf.DUMMYFUNCTION("""COMPUTED_VALUE"""),1.0)</f>
        <v>1</v>
      </c>
      <c r="S687" s="31">
        <f>IFERROR(__xludf.DUMMYFUNCTION("""COMPUTED_VALUE"""),349.83333333333337)</f>
        <v>349.8333333</v>
      </c>
      <c r="T687" s="57">
        <f>IFERROR(__xludf.DUMMYFUNCTION("""COMPUTED_VALUE"""),1.1666666666666665)</f>
        <v>1.166666667</v>
      </c>
      <c r="U687" s="57">
        <f>IFERROR(__xludf.DUMMYFUNCTION("""COMPUTED_VALUE"""),0.6666666666666666)</f>
        <v>0.6666666667</v>
      </c>
      <c r="V687" s="57">
        <f>IFERROR(__xludf.DUMMYFUNCTION("""COMPUTED_VALUE"""),0.6666666666666666)</f>
        <v>0.6666666667</v>
      </c>
      <c r="W687" s="57">
        <f>IFERROR(__xludf.DUMMYFUNCTION("""COMPUTED_VALUE"""),3.3333333333333335)</f>
        <v>3.333333333</v>
      </c>
      <c r="X687" s="31">
        <f>IFERROR(__xludf.DUMMYFUNCTION("""COMPUTED_VALUE"""),353.56560598377285)</f>
        <v>353.565606</v>
      </c>
      <c r="Y687" s="57">
        <f>IFERROR(__xludf.DUMMYFUNCTION("""COMPUTED_VALUE"""),0.9414722785665991)</f>
        <v>0.9414722786</v>
      </c>
      <c r="Z687" s="57">
        <f>IFERROR(__xludf.DUMMYFUNCTION("""COMPUTED_VALUE"""),0.6689063556457066)</f>
        <v>0.6689063556</v>
      </c>
      <c r="AA687" s="57">
        <f>IFERROR(__xludf.DUMMYFUNCTION("""COMPUTED_VALUE"""),1.0672963150777552)</f>
        <v>1.067296315</v>
      </c>
      <c r="AB687" s="57">
        <f>IFERROR(__xludf.DUMMYFUNCTION("""COMPUTED_VALUE"""),2.8623859026369174)</f>
        <v>2.862385903</v>
      </c>
      <c r="AC687" s="31">
        <f>IFERROR(__xludf.DUMMYFUNCTION("""COMPUTED_VALUE"""),316.48449121027716)</f>
        <v>316.4844912</v>
      </c>
      <c r="AD687" s="57">
        <f>IFERROR(__xludf.DUMMYFUNCTION("""COMPUTED_VALUE"""),0.5832065584854632)</f>
        <v>0.5832065585</v>
      </c>
      <c r="AE687" s="57">
        <f>IFERROR(__xludf.DUMMYFUNCTION("""COMPUTED_VALUE"""),0.4178921568627451)</f>
        <v>0.4178921569</v>
      </c>
      <c r="AF687" s="57">
        <f>IFERROR(__xludf.DUMMYFUNCTION("""COMPUTED_VALUE"""),1.4086164638269103)</f>
        <v>1.408616464</v>
      </c>
      <c r="AG687" s="57">
        <f>IFERROR(__xludf.DUMMYFUNCTION("""COMPUTED_VALUE"""),2.0906862745098045)</f>
        <v>2.090686275</v>
      </c>
      <c r="AH687" s="57">
        <f>IFERROR(__xludf.DUMMYFUNCTION("""COMPUTED_VALUE"""),0.9755612315134322)</f>
        <v>0.9755612315</v>
      </c>
      <c r="AI687" s="57">
        <f>IFERROR(__xludf.DUMMYFUNCTION("""COMPUTED_VALUE"""),0.8573291790449966)</f>
        <v>0.857329179</v>
      </c>
      <c r="AJ687" s="57">
        <f>IFERROR(__xludf.DUMMYFUNCTION("""COMPUTED_VALUE"""),0.5982404692082112)</f>
        <v>0.5982404692</v>
      </c>
      <c r="AK687" s="57">
        <f>IFERROR(__xludf.DUMMYFUNCTION("""COMPUTED_VALUE"""),1.4198329008354955)</f>
        <v>1.419832901</v>
      </c>
      <c r="AL687" s="57">
        <f>IFERROR(__xludf.DUMMYFUNCTION("""COMPUTED_VALUE"""),0.4783118405627197)</f>
        <v>0.4783118406</v>
      </c>
      <c r="AM687" s="57">
        <f>IFERROR(__xludf.DUMMYFUNCTION("""COMPUTED_VALUE"""),0.9894439035152905)</f>
        <v>0.9894439035</v>
      </c>
      <c r="AN687" s="57">
        <f>IFERROR(__xludf.DUMMYFUNCTION("""COMPUTED_VALUE"""),1.2391938596884957)</f>
        <v>1.23919386</v>
      </c>
      <c r="AO687" s="57">
        <f>IFERROR(__xludf.DUMMYFUNCTION("""COMPUTED_VALUE"""),0.9966517152062669)</f>
        <v>0.9966517152</v>
      </c>
      <c r="AP687" s="35">
        <f>IFERROR(__xludf.DUMMYFUNCTION("""COMPUTED_VALUE"""),0.6246312830360501)</f>
        <v>0.624631283</v>
      </c>
      <c r="AQ687" s="57">
        <f>IFERROR(__xludf.DUMMYFUNCTION("""COMPUTED_VALUE"""),1.1645296779384515)</f>
        <v>1.164529678</v>
      </c>
      <c r="AR687" s="36" t="b">
        <f>IFERROR(__xludf.DUMMYFUNCTION("""COMPUTED_VALUE"""),TRUE)</f>
        <v>1</v>
      </c>
      <c r="AS687" s="57"/>
      <c r="AT687" s="37"/>
      <c r="AU687" s="30"/>
      <c r="AV687" s="30"/>
      <c r="AW687" s="30"/>
      <c r="AX687" s="30"/>
      <c r="AY687" s="30"/>
      <c r="AZ687" s="30"/>
    </row>
    <row r="688">
      <c r="A688" s="30" t="str">
        <f>IFERROR(__xludf.DUMMYFUNCTION("""COMPUTED_VALUE"""),"Rival")</f>
        <v>Rival</v>
      </c>
      <c r="B688" s="30" t="str">
        <f>IFERROR(__xludf.DUMMYFUNCTION("""COMPUTED_VALUE"""),"RSC006044")</f>
        <v>RSC006044</v>
      </c>
      <c r="C688" s="30" t="str">
        <f>IFERROR(__xludf.DUMMYFUNCTION("""COMPUTED_VALUE"""),"HybridParagon")</f>
        <v>HybridParagon</v>
      </c>
      <c r="D688" s="31"/>
      <c r="E688" s="31">
        <f>IFERROR(__xludf.DUMMYFUNCTION("""COMPUTED_VALUE"""),11.14182575994522)</f>
        <v>11.14182576</v>
      </c>
      <c r="F688" s="31">
        <f>IFERROR(__xludf.DUMMYFUNCTION("""COMPUTED_VALUE"""),-16.6518959441763)</f>
        <v>-16.65189594</v>
      </c>
      <c r="G688" s="31">
        <f>IFERROR(__xludf.DUMMYFUNCTION("""COMPUTED_VALUE"""),15.70319960580747)</f>
        <v>15.70319961</v>
      </c>
      <c r="H688" s="31">
        <f>IFERROR(__xludf.DUMMYFUNCTION("""COMPUTED_VALUE"""),-11.75756258251175)</f>
        <v>-11.75756258</v>
      </c>
      <c r="I688" s="54">
        <f>IFERROR(__xludf.DUMMYFUNCTION("""COMPUTED_VALUE"""),18.0)</f>
        <v>18</v>
      </c>
      <c r="J688" s="55">
        <f>IFERROR(__xludf.DUMMYFUNCTION("""COMPUTED_VALUE"""),7.0)</f>
        <v>7</v>
      </c>
      <c r="K688" s="54">
        <f>IFERROR(__xludf.DUMMYFUNCTION("""COMPUTED_VALUE"""),11.0)</f>
        <v>11</v>
      </c>
      <c r="L688" s="56">
        <f>IFERROR(__xludf.DUMMYFUNCTION("""COMPUTED_VALUE"""),0.3888888888888889)</f>
        <v>0.3888888889</v>
      </c>
      <c r="M688" s="56">
        <f>IFERROR(__xludf.DUMMYFUNCTION("""COMPUTED_VALUE"""),0.25)</f>
        <v>0.25</v>
      </c>
      <c r="N688" s="31">
        <f>IFERROR(__xludf.DUMMYFUNCTION("""COMPUTED_VALUE"""),261.27777777777777)</f>
        <v>261.2777778</v>
      </c>
      <c r="O688" s="57">
        <f>IFERROR(__xludf.DUMMYFUNCTION("""COMPUTED_VALUE"""),0.3888888888888889)</f>
        <v>0.3888888889</v>
      </c>
      <c r="P688" s="57">
        <f>IFERROR(__xludf.DUMMYFUNCTION("""COMPUTED_VALUE"""),0.3888888888888889)</f>
        <v>0.3888888889</v>
      </c>
      <c r="Q688" s="57">
        <f>IFERROR(__xludf.DUMMYFUNCTION("""COMPUTED_VALUE"""),1.1666666666666667)</f>
        <v>1.166666667</v>
      </c>
      <c r="R688" s="57">
        <f>IFERROR(__xludf.DUMMYFUNCTION("""COMPUTED_VALUE"""),1.5555555555555556)</f>
        <v>1.555555556</v>
      </c>
      <c r="S688" s="31">
        <f>IFERROR(__xludf.DUMMYFUNCTION("""COMPUTED_VALUE"""),342.8888888888889)</f>
        <v>342.8888889</v>
      </c>
      <c r="T688" s="57">
        <f>IFERROR(__xludf.DUMMYFUNCTION("""COMPUTED_VALUE"""),0.7962962962962963)</f>
        <v>0.7962962963</v>
      </c>
      <c r="U688" s="57">
        <f>IFERROR(__xludf.DUMMYFUNCTION("""COMPUTED_VALUE"""),0.44444444444444436)</f>
        <v>0.4444444444</v>
      </c>
      <c r="V688" s="57">
        <f>IFERROR(__xludf.DUMMYFUNCTION("""COMPUTED_VALUE"""),1.2222222222222223)</f>
        <v>1.222222222</v>
      </c>
      <c r="W688" s="57">
        <f>IFERROR(__xludf.DUMMYFUNCTION("""COMPUTED_VALUE"""),2.3703703703703707)</f>
        <v>2.37037037</v>
      </c>
      <c r="X688" s="31">
        <f>IFERROR(__xludf.DUMMYFUNCTION("""COMPUTED_VALUE"""),337.55738506769114)</f>
        <v>337.5573851</v>
      </c>
      <c r="Y688" s="57">
        <f>IFERROR(__xludf.DUMMYFUNCTION("""COMPUTED_VALUE"""),0.7538451984170655)</f>
        <v>0.7538451984</v>
      </c>
      <c r="Z688" s="57">
        <f>IFERROR(__xludf.DUMMYFUNCTION("""COMPUTED_VALUE"""),0.49960262690550916)</f>
        <v>0.4996026269</v>
      </c>
      <c r="AA688" s="57">
        <f>IFERROR(__xludf.DUMMYFUNCTION("""COMPUTED_VALUE"""),1.3513969891211184)</f>
        <v>1.351396989</v>
      </c>
      <c r="AB688" s="57">
        <f>IFERROR(__xludf.DUMMYFUNCTION("""COMPUTED_VALUE"""),2.479451135813421)</f>
        <v>2.479451136</v>
      </c>
      <c r="AC688" s="31">
        <f>IFERROR(__xludf.DUMMYFUNCTION("""COMPUTED_VALUE"""),350.5984587727867)</f>
        <v>350.5984588</v>
      </c>
      <c r="AD688" s="57">
        <f>IFERROR(__xludf.DUMMYFUNCTION("""COMPUTED_VALUE"""),0.8288750958244431)</f>
        <v>0.8288750958</v>
      </c>
      <c r="AE688" s="57">
        <f>IFERROR(__xludf.DUMMYFUNCTION("""COMPUTED_VALUE"""),0.6019250774872614)</f>
        <v>0.6019250775</v>
      </c>
      <c r="AF688" s="57">
        <f>IFERROR(__xludf.DUMMYFUNCTION("""COMPUTED_VALUE"""),1.2868723445215307)</f>
        <v>1.286872345</v>
      </c>
      <c r="AG688" s="57">
        <f>IFERROR(__xludf.DUMMYFUNCTION("""COMPUTED_VALUE"""),2.6330397482538457)</f>
        <v>2.633039748</v>
      </c>
      <c r="AH688" s="57">
        <f>IFERROR(__xludf.DUMMYFUNCTION("""COMPUTED_VALUE"""),0.7452336747067811)</f>
        <v>0.7452336747</v>
      </c>
      <c r="AI688" s="57">
        <f>IFERROR(__xludf.DUMMYFUNCTION("""COMPUTED_VALUE"""),0.4691767081047108)</f>
        <v>0.4691767081</v>
      </c>
      <c r="AJ688" s="57">
        <f>IFERROR(__xludf.DUMMYFUNCTION("""COMPUTED_VALUE"""),0.6460752399822035)</f>
        <v>0.64607524</v>
      </c>
      <c r="AK688" s="57">
        <f>IFERROR(__xludf.DUMMYFUNCTION("""COMPUTED_VALUE"""),0.9065908298001716)</f>
        <v>0.9065908298</v>
      </c>
      <c r="AL688" s="57">
        <f>IFERROR(__xludf.DUMMYFUNCTION("""COMPUTED_VALUE"""),0.5907831648144143)</f>
        <v>0.5907831648</v>
      </c>
      <c r="AM688" s="57">
        <f>IFERROR(__xludf.DUMMYFUNCTION("""COMPUTED_VALUE"""),1.0157943628462718)</f>
        <v>1.015794363</v>
      </c>
      <c r="AN688" s="57">
        <f>IFERROR(__xludf.DUMMYFUNCTION("""COMPUTED_VALUE"""),1.0563127522313203)</f>
        <v>1.056312752</v>
      </c>
      <c r="AO688" s="57">
        <f>IFERROR(__xludf.DUMMYFUNCTION("""COMPUTED_VALUE"""),0.8895958918336573)</f>
        <v>0.8895958918</v>
      </c>
      <c r="AP688" s="35">
        <f>IFERROR(__xludf.DUMMYFUNCTION("""COMPUTED_VALUE"""),0.9044139006237502)</f>
        <v>0.9044139006</v>
      </c>
      <c r="AQ688" s="57">
        <f>IFERROR(__xludf.DUMMYFUNCTION("""COMPUTED_VALUE"""),0.956006083819327)</f>
        <v>0.9560060838</v>
      </c>
      <c r="AR688" s="36" t="b">
        <f>IFERROR(__xludf.DUMMYFUNCTION("""COMPUTED_VALUE"""),TRUE)</f>
        <v>1</v>
      </c>
      <c r="AS688" s="57"/>
      <c r="AT688" s="37"/>
      <c r="AU688" s="30"/>
      <c r="AV688" s="30"/>
      <c r="AW688" s="30"/>
      <c r="AX688" s="30"/>
      <c r="AY688" s="30"/>
      <c r="AZ688" s="30"/>
    </row>
    <row r="689">
      <c r="A689" s="30" t="str">
        <f>IFERROR(__xludf.DUMMYFUNCTION("""COMPUTED_VALUE"""),"Rival")</f>
        <v>Rival</v>
      </c>
      <c r="B689" s="30" t="str">
        <f>IFERROR(__xludf.DUMMYFUNCTION("""COMPUTED_VALUE"""),"RSC000331")</f>
        <v>RSC000331</v>
      </c>
      <c r="C689" s="30" t="str">
        <f>IFERROR(__xludf.DUMMYFUNCTION("""COMPUTED_VALUE"""),"Turtle_Supreme")</f>
        <v>Turtle_Supreme</v>
      </c>
      <c r="D689" s="31"/>
      <c r="E689" s="31">
        <f>IFERROR(__xludf.DUMMYFUNCTION("""COMPUTED_VALUE"""),8.917590903757151)</f>
        <v>8.917590904</v>
      </c>
      <c r="F689" s="31">
        <f>IFERROR(__xludf.DUMMYFUNCTION("""COMPUTED_VALUE"""),-19.935880174404897)</f>
        <v>-19.93588017</v>
      </c>
      <c r="G689" s="31">
        <f>IFERROR(__xludf.DUMMYFUNCTION("""COMPUTED_VALUE"""),21.172946128703746)</f>
        <v>21.17294613</v>
      </c>
      <c r="H689" s="31">
        <f>IFERROR(__xludf.DUMMYFUNCTION("""COMPUTED_VALUE"""),-8.03610895498965)</f>
        <v>-8.036108955</v>
      </c>
      <c r="I689" s="54">
        <f>IFERROR(__xludf.DUMMYFUNCTION("""COMPUTED_VALUE"""),20.0)</f>
        <v>20</v>
      </c>
      <c r="J689" s="55">
        <f>IFERROR(__xludf.DUMMYFUNCTION("""COMPUTED_VALUE"""),5.0)</f>
        <v>5</v>
      </c>
      <c r="K689" s="54">
        <f>IFERROR(__xludf.DUMMYFUNCTION("""COMPUTED_VALUE"""),15.0)</f>
        <v>15</v>
      </c>
      <c r="L689" s="56">
        <f>IFERROR(__xludf.DUMMYFUNCTION("""COMPUTED_VALUE"""),0.25)</f>
        <v>0.25</v>
      </c>
      <c r="M689" s="56">
        <f>IFERROR(__xludf.DUMMYFUNCTION("""COMPUTED_VALUE"""),0.13513513513513511)</f>
        <v>0.1351351351</v>
      </c>
      <c r="N689" s="31">
        <f>IFERROR(__xludf.DUMMYFUNCTION("""COMPUTED_VALUE"""),293.95)</f>
        <v>293.95</v>
      </c>
      <c r="O689" s="57">
        <f>IFERROR(__xludf.DUMMYFUNCTION("""COMPUTED_VALUE"""),0.25)</f>
        <v>0.25</v>
      </c>
      <c r="P689" s="57">
        <f>IFERROR(__xludf.DUMMYFUNCTION("""COMPUTED_VALUE"""),0.4)</f>
        <v>0.4</v>
      </c>
      <c r="Q689" s="57">
        <f>IFERROR(__xludf.DUMMYFUNCTION("""COMPUTED_VALUE"""),1.5)</f>
        <v>1.5</v>
      </c>
      <c r="R689" s="57">
        <f>IFERROR(__xludf.DUMMYFUNCTION("""COMPUTED_VALUE"""),1.85)</f>
        <v>1.85</v>
      </c>
      <c r="S689" s="31">
        <f>IFERROR(__xludf.DUMMYFUNCTION("""COMPUTED_VALUE"""),375.6333333333333)</f>
        <v>375.6333333</v>
      </c>
      <c r="T689" s="57">
        <f>IFERROR(__xludf.DUMMYFUNCTION("""COMPUTED_VALUE"""),0.9)</f>
        <v>0.9</v>
      </c>
      <c r="U689" s="57">
        <f>IFERROR(__xludf.DUMMYFUNCTION("""COMPUTED_VALUE"""),0.6666666666666666)</f>
        <v>0.6666666667</v>
      </c>
      <c r="V689" s="57">
        <f>IFERROR(__xludf.DUMMYFUNCTION("""COMPUTED_VALUE"""),1.2500000000000002)</f>
        <v>1.25</v>
      </c>
      <c r="W689" s="57">
        <f>IFERROR(__xludf.DUMMYFUNCTION("""COMPUTED_VALUE"""),3.1333333333333337)</f>
        <v>3.133333333</v>
      </c>
      <c r="X689" s="31">
        <f>IFERROR(__xludf.DUMMYFUNCTION("""COMPUTED_VALUE"""),362.31239903419157)</f>
        <v>362.312399</v>
      </c>
      <c r="Y689" s="57">
        <f>IFERROR(__xludf.DUMMYFUNCTION("""COMPUTED_VALUE"""),0.8800133473871202)</f>
        <v>0.8800133474</v>
      </c>
      <c r="Z689" s="57">
        <f>IFERROR(__xludf.DUMMYFUNCTION("""COMPUTED_VALUE"""),0.5941569098338342)</f>
        <v>0.5941569098</v>
      </c>
      <c r="AA689" s="57">
        <f>IFERROR(__xludf.DUMMYFUNCTION("""COMPUTED_VALUE"""),1.3601973400167138)</f>
        <v>1.36019734</v>
      </c>
      <c r="AB689" s="57">
        <f>IFERROR(__xludf.DUMMYFUNCTION("""COMPUTED_VALUE"""),2.6950578017136055)</f>
        <v>2.695057802</v>
      </c>
      <c r="AC689" s="31">
        <f>IFERROR(__xludf.DUMMYFUNCTION("""COMPUTED_VALUE"""),339.98028874099043)</f>
        <v>339.9802887</v>
      </c>
      <c r="AD689" s="57">
        <f>IFERROR(__xludf.DUMMYFUNCTION("""COMPUTED_VALUE"""),0.7474218973276223)</f>
        <v>0.7474218973</v>
      </c>
      <c r="AE689" s="57">
        <f>IFERROR(__xludf.DUMMYFUNCTION("""COMPUTED_VALUE"""),0.5409255918687725)</f>
        <v>0.5409255919</v>
      </c>
      <c r="AF689" s="57">
        <f>IFERROR(__xludf.DUMMYFUNCTION("""COMPUTED_VALUE"""),1.301394832910797)</f>
        <v>1.301394833</v>
      </c>
      <c r="AG689" s="57">
        <f>IFERROR(__xludf.DUMMYFUNCTION("""COMPUTED_VALUE"""),2.5873357226459794)</f>
        <v>2.587335723</v>
      </c>
      <c r="AH689" s="57">
        <f>IFERROR(__xludf.DUMMYFUNCTION("""COMPUTED_VALUE"""),0.8646089486203772)</f>
        <v>0.8646089486</v>
      </c>
      <c r="AI689" s="57">
        <f>IFERROR(__xludf.DUMMYFUNCTION("""COMPUTED_VALUE"""),0.3344831090631211)</f>
        <v>0.3344831091</v>
      </c>
      <c r="AJ689" s="57">
        <f>IFERROR(__xludf.DUMMYFUNCTION("""COMPUTED_VALUE"""),0.7394732399665039)</f>
        <v>0.73947324</v>
      </c>
      <c r="AK689" s="57">
        <f>IFERROR(__xludf.DUMMYFUNCTION("""COMPUTED_VALUE"""),1.1526094633747608)</f>
        <v>1.152609463</v>
      </c>
      <c r="AL689" s="57">
        <f>IFERROR(__xludf.DUMMYFUNCTION("""COMPUTED_VALUE"""),0.715021241274429)</f>
        <v>0.7150212413</v>
      </c>
      <c r="AM689" s="57">
        <f>IFERROR(__xludf.DUMMYFUNCTION("""COMPUTED_VALUE"""),1.036766432323738)</f>
        <v>1.036766432</v>
      </c>
      <c r="AN689" s="57">
        <f>IFERROR(__xludf.DUMMYFUNCTION("""COMPUTED_VALUE"""),1.0227117607616099)</f>
        <v>1.022711761</v>
      </c>
      <c r="AO689" s="57">
        <f>IFERROR(__xludf.DUMMYFUNCTION("""COMPUTED_VALUE"""),1.1220380603721516)</f>
        <v>1.12203806</v>
      </c>
      <c r="AP689" s="35">
        <f>IFERROR(__xludf.DUMMYFUNCTION("""COMPUTED_VALUE"""),0.918984299722745)</f>
        <v>0.9189842997</v>
      </c>
      <c r="AQ689" s="57">
        <f>IFERROR(__xludf.DUMMYFUNCTION("""COMPUTED_VALUE"""),1.1626219412960488)</f>
        <v>1.162621941</v>
      </c>
      <c r="AR689" s="36" t="b">
        <f>IFERROR(__xludf.DUMMYFUNCTION("""COMPUTED_VALUE"""),TRUE)</f>
        <v>1</v>
      </c>
      <c r="AS689" s="57"/>
      <c r="AT689" s="37"/>
      <c r="AU689" s="30"/>
      <c r="AV689" s="30"/>
      <c r="AW689" s="30"/>
      <c r="AX689" s="30"/>
      <c r="AY689" s="30"/>
      <c r="AZ689" s="30"/>
    </row>
    <row r="690">
      <c r="A690" s="30" t="str">
        <f>IFERROR(__xludf.DUMMYFUNCTION("""COMPUTED_VALUE"""),"Rival")</f>
        <v>Rival</v>
      </c>
      <c r="B690" s="30" t="str">
        <f>IFERROR(__xludf.DUMMYFUNCTION("""COMPUTED_VALUE"""),"RSC005699")</f>
        <v>RSC005699</v>
      </c>
      <c r="C690" s="30" t="str">
        <f>IFERROR(__xludf.DUMMYFUNCTION("""COMPUTED_VALUE"""),"masdhapotatoes")</f>
        <v>masdhapotatoes</v>
      </c>
      <c r="D690" s="31" t="str">
        <f>IFERROR(__xludf.DUMMYFUNCTION("""COMPUTED_VALUE"""),"Bulldozers")</f>
        <v>Bulldozers</v>
      </c>
      <c r="E690" s="31">
        <f>IFERROR(__xludf.DUMMYFUNCTION("""COMPUTED_VALUE"""),6.405274427172813)</f>
        <v>6.405274427</v>
      </c>
      <c r="F690" s="31">
        <f>IFERROR(__xludf.DUMMYFUNCTION("""COMPUTED_VALUE"""),-24.6317900587133)</f>
        <v>-24.63179006</v>
      </c>
      <c r="G690" s="31">
        <f>IFERROR(__xludf.DUMMYFUNCTION("""COMPUTED_VALUE"""),10.94069026879749)</f>
        <v>10.94069027</v>
      </c>
      <c r="H690" s="31">
        <f>IFERROR(__xludf.DUMMYFUNCTION("""COMPUTED_VALUE"""),-16.920432593285117)</f>
        <v>-16.92043259</v>
      </c>
      <c r="I690" s="54">
        <f>IFERROR(__xludf.DUMMYFUNCTION("""COMPUTED_VALUE"""),2.0)</f>
        <v>2</v>
      </c>
      <c r="J690" s="55">
        <f>IFERROR(__xludf.DUMMYFUNCTION("""COMPUTED_VALUE"""),1.0)</f>
        <v>1</v>
      </c>
      <c r="K690" s="54">
        <f>IFERROR(__xludf.DUMMYFUNCTION("""COMPUTED_VALUE"""),1.0)</f>
        <v>1</v>
      </c>
      <c r="L690" s="56">
        <f>IFERROR(__xludf.DUMMYFUNCTION("""COMPUTED_VALUE"""),0.5)</f>
        <v>0.5</v>
      </c>
      <c r="M690" s="56">
        <f>IFERROR(__xludf.DUMMYFUNCTION("""COMPUTED_VALUE"""),0.0)</f>
        <v>0</v>
      </c>
      <c r="N690" s="31">
        <f>IFERROR(__xludf.DUMMYFUNCTION("""COMPUTED_VALUE"""),231.0)</f>
        <v>231</v>
      </c>
      <c r="O690" s="57">
        <f>IFERROR(__xludf.DUMMYFUNCTION("""COMPUTED_VALUE"""),0.0)</f>
        <v>0</v>
      </c>
      <c r="P690" s="57">
        <f>IFERROR(__xludf.DUMMYFUNCTION("""COMPUTED_VALUE"""),0.5)</f>
        <v>0.5</v>
      </c>
      <c r="Q690" s="57">
        <f>IFERROR(__xludf.DUMMYFUNCTION("""COMPUTED_VALUE"""),1.0)</f>
        <v>1</v>
      </c>
      <c r="R690" s="57">
        <f>IFERROR(__xludf.DUMMYFUNCTION("""COMPUTED_VALUE"""),2.5)</f>
        <v>2.5</v>
      </c>
      <c r="S690" s="31">
        <f>IFERROR(__xludf.DUMMYFUNCTION("""COMPUTED_VALUE"""),368.8333333333333)</f>
        <v>368.8333333</v>
      </c>
      <c r="T690" s="57">
        <f>IFERROR(__xludf.DUMMYFUNCTION("""COMPUTED_VALUE"""),1.0)</f>
        <v>1</v>
      </c>
      <c r="U690" s="57">
        <f>IFERROR(__xludf.DUMMYFUNCTION("""COMPUTED_VALUE"""),0.5)</f>
        <v>0.5</v>
      </c>
      <c r="V690" s="57">
        <f>IFERROR(__xludf.DUMMYFUNCTION("""COMPUTED_VALUE"""),1.6666666666666665)</f>
        <v>1.666666667</v>
      </c>
      <c r="W690" s="57">
        <f>IFERROR(__xludf.DUMMYFUNCTION("""COMPUTED_VALUE"""),2.666666666666667)</f>
        <v>2.666666667</v>
      </c>
      <c r="X690" s="31">
        <f>IFERROR(__xludf.DUMMYFUNCTION("""COMPUTED_VALUE"""),359.28201058201057)</f>
        <v>359.2820106</v>
      </c>
      <c r="Y690" s="57">
        <f>IFERROR(__xludf.DUMMYFUNCTION("""COMPUTED_VALUE"""),0.7955026455026455)</f>
        <v>0.7955026455</v>
      </c>
      <c r="Z690" s="57">
        <f>IFERROR(__xludf.DUMMYFUNCTION("""COMPUTED_VALUE"""),0.6283068783068784)</f>
        <v>0.6283068783</v>
      </c>
      <c r="AA690" s="57">
        <f>IFERROR(__xludf.DUMMYFUNCTION("""COMPUTED_VALUE"""),1.398941798941799)</f>
        <v>1.398941799</v>
      </c>
      <c r="AB690" s="57">
        <f>IFERROR(__xludf.DUMMYFUNCTION("""COMPUTED_VALUE"""),2.6275793650793653)</f>
        <v>2.627579365</v>
      </c>
      <c r="AC690" s="31">
        <f>IFERROR(__xludf.DUMMYFUNCTION("""COMPUTED_VALUE"""),335.0472222222222)</f>
        <v>335.0472222</v>
      </c>
      <c r="AD690" s="57">
        <f>IFERROR(__xludf.DUMMYFUNCTION("""COMPUTED_VALUE"""),0.6917989417989417)</f>
        <v>0.6917989418</v>
      </c>
      <c r="AE690" s="57">
        <f>IFERROR(__xludf.DUMMYFUNCTION("""COMPUTED_VALUE"""),0.5277116402116402)</f>
        <v>0.5277116402</v>
      </c>
      <c r="AF690" s="57">
        <f>IFERROR(__xludf.DUMMYFUNCTION("""COMPUTED_VALUE"""),1.275)</f>
        <v>1.275</v>
      </c>
      <c r="AG690" s="57">
        <f>IFERROR(__xludf.DUMMYFUNCTION("""COMPUTED_VALUE"""),2.51468253968254)</f>
        <v>2.51468254</v>
      </c>
      <c r="AH690" s="57">
        <f>IFERROR(__xludf.DUMMYFUNCTION("""COMPUTED_VALUE"""),0.6894550519412687)</f>
        <v>0.6894550519</v>
      </c>
      <c r="AI690" s="57">
        <f>IFERROR(__xludf.DUMMYFUNCTION("""COMPUTED_VALUE"""),0.0)</f>
        <v>0</v>
      </c>
      <c r="AJ690" s="57">
        <f>IFERROR(__xludf.DUMMYFUNCTION("""COMPUTED_VALUE"""),0.9474871537786691)</f>
        <v>0.9474871538</v>
      </c>
      <c r="AK690" s="57">
        <f>IFERROR(__xludf.DUMMYFUNCTION("""COMPUTED_VALUE"""),0.7843137254901962)</f>
        <v>0.7843137255</v>
      </c>
      <c r="AL690" s="57">
        <f>IFERROR(__xludf.DUMMYFUNCTION("""COMPUTED_VALUE"""),0.9941612750512859)</f>
        <v>0.9941612751</v>
      </c>
      <c r="AM690" s="57">
        <f>IFERROR(__xludf.DUMMYFUNCTION("""COMPUTED_VALUE"""),1.026584472559175)</f>
        <v>1.026584473</v>
      </c>
      <c r="AN690" s="57">
        <f>IFERROR(__xludf.DUMMYFUNCTION("""COMPUTED_VALUE"""),1.2570668440305952)</f>
        <v>1.257066844</v>
      </c>
      <c r="AO690" s="57">
        <f>IFERROR(__xludf.DUMMYFUNCTION("""COMPUTED_VALUE"""),0.7957894736842105)</f>
        <v>0.7957894737</v>
      </c>
      <c r="AP690" s="35">
        <f>IFERROR(__xludf.DUMMYFUNCTION("""COMPUTED_VALUE"""),1.191376701966717)</f>
        <v>1.191376702</v>
      </c>
      <c r="AQ690" s="57">
        <f>IFERROR(__xludf.DUMMYFUNCTION("""COMPUTED_VALUE"""),1.0148757834327569)</f>
        <v>1.014875783</v>
      </c>
      <c r="AR690" s="36" t="b">
        <f>IFERROR(__xludf.DUMMYFUNCTION("""COMPUTED_VALUE"""),TRUE)</f>
        <v>1</v>
      </c>
      <c r="AS690" s="57"/>
      <c r="AT690" s="37"/>
      <c r="AU690" s="30"/>
      <c r="AV690" s="30"/>
      <c r="AW690" s="30"/>
      <c r="AX690" s="30"/>
      <c r="AY690" s="30"/>
      <c r="AZ690" s="30"/>
    </row>
    <row r="691">
      <c r="A691" s="30" t="str">
        <f>IFERROR(__xludf.DUMMYFUNCTION("""COMPUTED_VALUE"""),"Rival")</f>
        <v>Rival</v>
      </c>
      <c r="B691" s="30" t="str">
        <f>IFERROR(__xludf.DUMMYFUNCTION("""COMPUTED_VALUE"""),"RSC005253")</f>
        <v>RSC005253</v>
      </c>
      <c r="C691" s="30" t="str">
        <f>IFERROR(__xludf.DUMMYFUNCTION("""COMPUTED_VALUE"""),"dinnindu")</f>
        <v>dinnindu</v>
      </c>
      <c r="D691" s="31" t="str">
        <f>IFERROR(__xludf.DUMMYFUNCTION("""COMPUTED_VALUE"""),"Tyrants")</f>
        <v>Tyrants</v>
      </c>
      <c r="E691" s="31">
        <f>IFERROR(__xludf.DUMMYFUNCTION("""COMPUTED_VALUE"""),6.38851875870084)</f>
        <v>6.388518759</v>
      </c>
      <c r="F691" s="31">
        <f>IFERROR(__xludf.DUMMYFUNCTION("""COMPUTED_VALUE"""),-24.667287252553574)</f>
        <v>-24.66728725</v>
      </c>
      <c r="G691" s="31">
        <f>IFERROR(__xludf.DUMMYFUNCTION("""COMPUTED_VALUE"""),19.86414675095291)</f>
        <v>19.86414675</v>
      </c>
      <c r="H691" s="31">
        <f>IFERROR(__xludf.DUMMYFUNCTION("""COMPUTED_VALUE"""),-8.770554522724662)</f>
        <v>-8.770554523</v>
      </c>
      <c r="I691" s="54">
        <f>IFERROR(__xludf.DUMMYFUNCTION("""COMPUTED_VALUE"""),24.0)</f>
        <v>24</v>
      </c>
      <c r="J691" s="55">
        <f>IFERROR(__xludf.DUMMYFUNCTION("""COMPUTED_VALUE"""),11.0)</f>
        <v>11</v>
      </c>
      <c r="K691" s="54">
        <f>IFERROR(__xludf.DUMMYFUNCTION("""COMPUTED_VALUE"""),13.0)</f>
        <v>13</v>
      </c>
      <c r="L691" s="56">
        <f>IFERROR(__xludf.DUMMYFUNCTION("""COMPUTED_VALUE"""),0.4583333333333333)</f>
        <v>0.4583333333</v>
      </c>
      <c r="M691" s="56">
        <f>IFERROR(__xludf.DUMMYFUNCTION("""COMPUTED_VALUE"""),0.2727272727272727)</f>
        <v>0.2727272727</v>
      </c>
      <c r="N691" s="31">
        <f>IFERROR(__xludf.DUMMYFUNCTION("""COMPUTED_VALUE"""),267.75)</f>
        <v>267.75</v>
      </c>
      <c r="O691" s="57">
        <f>IFERROR(__xludf.DUMMYFUNCTION("""COMPUTED_VALUE"""),0.375)</f>
        <v>0.375</v>
      </c>
      <c r="P691" s="57">
        <f>IFERROR(__xludf.DUMMYFUNCTION("""COMPUTED_VALUE"""),0.16666666666666666)</f>
        <v>0.1666666667</v>
      </c>
      <c r="Q691" s="57">
        <f>IFERROR(__xludf.DUMMYFUNCTION("""COMPUTED_VALUE"""),1.625)</f>
        <v>1.625</v>
      </c>
      <c r="R691" s="57">
        <f>IFERROR(__xludf.DUMMYFUNCTION("""COMPUTED_VALUE"""),1.375)</f>
        <v>1.375</v>
      </c>
      <c r="S691" s="31">
        <f>IFERROR(__xludf.DUMMYFUNCTION("""COMPUTED_VALUE"""),310.36111111111114)</f>
        <v>310.3611111</v>
      </c>
      <c r="T691" s="57">
        <f>IFERROR(__xludf.DUMMYFUNCTION("""COMPUTED_VALUE"""),0.638888888888889)</f>
        <v>0.6388888889</v>
      </c>
      <c r="U691" s="57">
        <f>IFERROR(__xludf.DUMMYFUNCTION("""COMPUTED_VALUE"""),0.45833333333333326)</f>
        <v>0.4583333333</v>
      </c>
      <c r="V691" s="57">
        <f>IFERROR(__xludf.DUMMYFUNCTION("""COMPUTED_VALUE"""),0.9722222222222223)</f>
        <v>0.9722222222</v>
      </c>
      <c r="W691" s="57">
        <f>IFERROR(__xludf.DUMMYFUNCTION("""COMPUTED_VALUE"""),2.5277777777777772)</f>
        <v>2.527777778</v>
      </c>
      <c r="X691" s="31">
        <f>IFERROR(__xludf.DUMMYFUNCTION("""COMPUTED_VALUE"""),350.23765114490243)</f>
        <v>350.2376511</v>
      </c>
      <c r="Y691" s="57">
        <f>IFERROR(__xludf.DUMMYFUNCTION("""COMPUTED_VALUE"""),0.7624470126150236)</f>
        <v>0.7624470126</v>
      </c>
      <c r="Z691" s="57">
        <f>IFERROR(__xludf.DUMMYFUNCTION("""COMPUTED_VALUE"""),0.5873966042917657)</f>
        <v>0.5873966043</v>
      </c>
      <c r="AA691" s="57">
        <f>IFERROR(__xludf.DUMMYFUNCTION("""COMPUTED_VALUE"""),1.3125652918865287)</f>
        <v>1.312565292</v>
      </c>
      <c r="AB691" s="57">
        <f>IFERROR(__xludf.DUMMYFUNCTION("""COMPUTED_VALUE"""),2.565496724750757)</f>
        <v>2.565496725</v>
      </c>
      <c r="AC691" s="31">
        <f>IFERROR(__xludf.DUMMYFUNCTION("""COMPUTED_VALUE"""),345.44247728774616)</f>
        <v>345.4424773</v>
      </c>
      <c r="AD691" s="57">
        <f>IFERROR(__xludf.DUMMYFUNCTION("""COMPUTED_VALUE"""),0.7638237708959035)</f>
        <v>0.7638237709</v>
      </c>
      <c r="AE691" s="57">
        <f>IFERROR(__xludf.DUMMYFUNCTION("""COMPUTED_VALUE"""),0.5611243747623674)</f>
        <v>0.5611243748</v>
      </c>
      <c r="AF691" s="57">
        <f>IFERROR(__xludf.DUMMYFUNCTION("""COMPUTED_VALUE"""),1.3025378025333223)</f>
        <v>1.302537803</v>
      </c>
      <c r="AG691" s="57">
        <f>IFERROR(__xludf.DUMMYFUNCTION("""COMPUTED_VALUE"""),2.4966147436958366)</f>
        <v>2.496614744</v>
      </c>
      <c r="AH691" s="57">
        <f>IFERROR(__xludf.DUMMYFUNCTION("""COMPUTED_VALUE"""),0.7750928666973691)</f>
        <v>0.7750928667</v>
      </c>
      <c r="AI691" s="57">
        <f>IFERROR(__xludf.DUMMYFUNCTION("""COMPUTED_VALUE"""),0.49095094220510493)</f>
        <v>0.4909509422</v>
      </c>
      <c r="AJ691" s="57">
        <f>IFERROR(__xludf.DUMMYFUNCTION("""COMPUTED_VALUE"""),0.29702268189160186)</f>
        <v>0.2970226819</v>
      </c>
      <c r="AK691" s="57">
        <f>IFERROR(__xludf.DUMMYFUNCTION("""COMPUTED_VALUE"""),1.2475645596154805)</f>
        <v>1.24756456</v>
      </c>
      <c r="AL691" s="57">
        <f>IFERROR(__xludf.DUMMYFUNCTION("""COMPUTED_VALUE"""),0.5507457662308497)</f>
        <v>0.5507457662</v>
      </c>
      <c r="AM691" s="57">
        <f>IFERROR(__xludf.DUMMYFUNCTION("""COMPUTED_VALUE"""),0.8861443368426049)</f>
        <v>0.8861443368</v>
      </c>
      <c r="AN691" s="57">
        <f>IFERROR(__xludf.DUMMYFUNCTION("""COMPUTED_VALUE"""),0.8379452975986387)</f>
        <v>0.8379452976</v>
      </c>
      <c r="AO691" s="57">
        <f>IFERROR(__xludf.DUMMYFUNCTION("""COMPUTED_VALUE"""),0.7802791674050512)</f>
        <v>0.7802791674</v>
      </c>
      <c r="AP691" s="35">
        <f>IFERROR(__xludf.DUMMYFUNCTION("""COMPUTED_VALUE"""),0.7407038935372603)</f>
        <v>0.7407038935</v>
      </c>
      <c r="AQ691" s="57">
        <f>IFERROR(__xludf.DUMMYFUNCTION("""COMPUTED_VALUE"""),0.9852976047059095)</f>
        <v>0.9852976047</v>
      </c>
      <c r="AR691" s="36" t="b">
        <f>IFERROR(__xludf.DUMMYFUNCTION("""COMPUTED_VALUE"""),TRUE)</f>
        <v>1</v>
      </c>
      <c r="AS691" s="57"/>
      <c r="AT691" s="37"/>
      <c r="AU691" s="30"/>
      <c r="AV691" s="30"/>
      <c r="AW691" s="30"/>
      <c r="AX691" s="30"/>
      <c r="AY691" s="30"/>
      <c r="AZ691" s="30"/>
    </row>
    <row r="692">
      <c r="A692" s="30" t="str">
        <f>IFERROR(__xludf.DUMMYFUNCTION("""COMPUTED_VALUE"""),"Rival")</f>
        <v>Rival</v>
      </c>
      <c r="B692" s="30" t="str">
        <f>IFERROR(__xludf.DUMMYFUNCTION("""COMPUTED_VALUE"""),"RSC000726")</f>
        <v>RSC000726</v>
      </c>
      <c r="C692" s="30" t="str">
        <f>IFERROR(__xludf.DUMMYFUNCTION("""COMPUTED_VALUE"""),"Way2Luckee")</f>
        <v>Way2Luckee</v>
      </c>
      <c r="D692" s="31"/>
      <c r="E692" s="31">
        <f>IFERROR(__xludf.DUMMYFUNCTION("""COMPUTED_VALUE"""),-1.0031894236423113)</f>
        <v>-1.003189424</v>
      </c>
      <c r="F692" s="31">
        <f>IFERROR(__xludf.DUMMYFUNCTION("""COMPUTED_VALUE"""),-48.38207826584379)</f>
        <v>-48.38207827</v>
      </c>
      <c r="G692" s="31">
        <f>IFERROR(__xludf.DUMMYFUNCTION("""COMPUTED_VALUE"""),7.907277900669442)</f>
        <v>7.907277901</v>
      </c>
      <c r="H692" s="31">
        <f>IFERROR(__xludf.DUMMYFUNCTION("""COMPUTED_VALUE"""),-21.683050621881208)</f>
        <v>-21.68305062</v>
      </c>
      <c r="I692" s="54">
        <f>IFERROR(__xludf.DUMMYFUNCTION("""COMPUTED_VALUE"""),4.0)</f>
        <v>4</v>
      </c>
      <c r="J692" s="55">
        <f>IFERROR(__xludf.DUMMYFUNCTION("""COMPUTED_VALUE"""),0.0)</f>
        <v>0</v>
      </c>
      <c r="K692" s="54">
        <f>IFERROR(__xludf.DUMMYFUNCTION("""COMPUTED_VALUE"""),4.0)</f>
        <v>4</v>
      </c>
      <c r="L692" s="56">
        <f>IFERROR(__xludf.DUMMYFUNCTION("""COMPUTED_VALUE"""),0.0)</f>
        <v>0</v>
      </c>
      <c r="M692" s="56">
        <f>IFERROR(__xludf.DUMMYFUNCTION("""COMPUTED_VALUE"""),0.08333333333333333)</f>
        <v>0.08333333333</v>
      </c>
      <c r="N692" s="31">
        <f>IFERROR(__xludf.DUMMYFUNCTION("""COMPUTED_VALUE"""),280.75)</f>
        <v>280.75</v>
      </c>
      <c r="O692" s="57">
        <f>IFERROR(__xludf.DUMMYFUNCTION("""COMPUTED_VALUE"""),0.25)</f>
        <v>0.25</v>
      </c>
      <c r="P692" s="57">
        <f>IFERROR(__xludf.DUMMYFUNCTION("""COMPUTED_VALUE"""),0.5)</f>
        <v>0.5</v>
      </c>
      <c r="Q692" s="57">
        <f>IFERROR(__xludf.DUMMYFUNCTION("""COMPUTED_VALUE"""),1.5)</f>
        <v>1.5</v>
      </c>
      <c r="R692" s="57">
        <f>IFERROR(__xludf.DUMMYFUNCTION("""COMPUTED_VALUE"""),3.0)</f>
        <v>3</v>
      </c>
      <c r="S692" s="31">
        <f>IFERROR(__xludf.DUMMYFUNCTION("""COMPUTED_VALUE"""),538.1666666666666)</f>
        <v>538.1666667</v>
      </c>
      <c r="T692" s="57">
        <f>IFERROR(__xludf.DUMMYFUNCTION("""COMPUTED_VALUE"""),1.8333333333333335)</f>
        <v>1.833333333</v>
      </c>
      <c r="U692" s="57">
        <f>IFERROR(__xludf.DUMMYFUNCTION("""COMPUTED_VALUE"""),1.1666666666666667)</f>
        <v>1.166666667</v>
      </c>
      <c r="V692" s="57">
        <f>IFERROR(__xludf.DUMMYFUNCTION("""COMPUTED_VALUE"""),1.5833333333333333)</f>
        <v>1.583333333</v>
      </c>
      <c r="W692" s="57">
        <f>IFERROR(__xludf.DUMMYFUNCTION("""COMPUTED_VALUE"""),3.9166666666666665)</f>
        <v>3.916666667</v>
      </c>
      <c r="X692" s="31">
        <f>IFERROR(__xludf.DUMMYFUNCTION("""COMPUTED_VALUE"""),386.43910256410254)</f>
        <v>386.4391026</v>
      </c>
      <c r="Y692" s="57">
        <f>IFERROR(__xludf.DUMMYFUNCTION("""COMPUTED_VALUE"""),0.9150641025641025)</f>
        <v>0.9150641026</v>
      </c>
      <c r="Z692" s="57">
        <f>IFERROR(__xludf.DUMMYFUNCTION("""COMPUTED_VALUE"""),0.673076923076923)</f>
        <v>0.6730769231</v>
      </c>
      <c r="AA692" s="57">
        <f>IFERROR(__xludf.DUMMYFUNCTION("""COMPUTED_VALUE"""),1.5985576923076923)</f>
        <v>1.598557692</v>
      </c>
      <c r="AB692" s="57">
        <f>IFERROR(__xludf.DUMMYFUNCTION("""COMPUTED_VALUE"""),2.78525641025641)</f>
        <v>2.78525641</v>
      </c>
      <c r="AC692" s="31">
        <f>IFERROR(__xludf.DUMMYFUNCTION("""COMPUTED_VALUE"""),365.0576923076924)</f>
        <v>365.0576923</v>
      </c>
      <c r="AD692" s="57">
        <f>IFERROR(__xludf.DUMMYFUNCTION("""COMPUTED_VALUE"""),0.8643162393162392)</f>
        <v>0.8643162393</v>
      </c>
      <c r="AE692" s="57">
        <f>IFERROR(__xludf.DUMMYFUNCTION("""COMPUTED_VALUE"""),0.6049679487179486)</f>
        <v>0.6049679487</v>
      </c>
      <c r="AF692" s="57">
        <f>IFERROR(__xludf.DUMMYFUNCTION("""COMPUTED_VALUE"""),1.4107905982905986)</f>
        <v>1.410790598</v>
      </c>
      <c r="AG692" s="57">
        <f>IFERROR(__xludf.DUMMYFUNCTION("""COMPUTED_VALUE"""),2.707799145299145)</f>
        <v>2.707799145</v>
      </c>
      <c r="AH692" s="57">
        <f>IFERROR(__xludf.DUMMYFUNCTION("""COMPUTED_VALUE"""),0.769056524258547)</f>
        <v>0.7690565243</v>
      </c>
      <c r="AI692" s="57">
        <f>IFERROR(__xludf.DUMMYFUNCTION("""COMPUTED_VALUE"""),0.2892459826946848)</f>
        <v>0.2892459827</v>
      </c>
      <c r="AJ692" s="57">
        <f>IFERROR(__xludf.DUMMYFUNCTION("""COMPUTED_VALUE"""),0.8264900662251657)</f>
        <v>0.8264900662</v>
      </c>
      <c r="AK692" s="57">
        <f>IFERROR(__xludf.DUMMYFUNCTION("""COMPUTED_VALUE"""),1.0632336236274136)</f>
        <v>1.063233624</v>
      </c>
      <c r="AL692" s="57">
        <f>IFERROR(__xludf.DUMMYFUNCTION("""COMPUTED_VALUE"""),1.1079108305385679)</f>
        <v>1.107910831</v>
      </c>
      <c r="AM692" s="57">
        <f>IFERROR(__xludf.DUMMYFUNCTION("""COMPUTED_VALUE"""),1.3926299463377816)</f>
        <v>1.392629946</v>
      </c>
      <c r="AN692" s="57">
        <f>IFERROR(__xludf.DUMMYFUNCTION("""COMPUTED_VALUE"""),2.003502626970228)</f>
        <v>2.003502627</v>
      </c>
      <c r="AO692" s="57">
        <f>IFERROR(__xludf.DUMMYFUNCTION("""COMPUTED_VALUE"""),1.7333333333333336)</f>
        <v>1.733333333</v>
      </c>
      <c r="AP692" s="35">
        <f>IFERROR(__xludf.DUMMYFUNCTION("""COMPUTED_VALUE"""),0.9904761904761904)</f>
        <v>0.9904761905</v>
      </c>
      <c r="AQ692" s="57">
        <f>IFERROR(__xludf.DUMMYFUNCTION("""COMPUTED_VALUE"""),1.4062140391254316)</f>
        <v>1.406214039</v>
      </c>
      <c r="AR692" s="36" t="b">
        <f>IFERROR(__xludf.DUMMYFUNCTION("""COMPUTED_VALUE"""),TRUE)</f>
        <v>1</v>
      </c>
      <c r="AS692" s="57"/>
      <c r="AT692" s="37"/>
      <c r="AU692" s="30"/>
      <c r="AV692" s="30"/>
      <c r="AW692" s="30"/>
      <c r="AX692" s="30"/>
      <c r="AY692" s="30"/>
      <c r="AZ692" s="30"/>
    </row>
    <row r="693">
      <c r="A693" s="30" t="str">
        <f>IFERROR(__xludf.DUMMYFUNCTION("""COMPUTED_VALUE"""),"Rival")</f>
        <v>Rival</v>
      </c>
      <c r="B693" s="30" t="str">
        <f>IFERROR(__xludf.DUMMYFUNCTION("""COMPUTED_VALUE"""),"RSC007173")</f>
        <v>RSC007173</v>
      </c>
      <c r="C693" s="30" t="str">
        <f>IFERROR(__xludf.DUMMYFUNCTION("""COMPUTED_VALUE"""),"mr_marino_")</f>
        <v>mr_marino_</v>
      </c>
      <c r="D693" s="31" t="str">
        <f>IFERROR(__xludf.DUMMYFUNCTION("""COMPUTED_VALUE"""),"Lacuna")</f>
        <v>Lacuna</v>
      </c>
      <c r="E693" s="31">
        <f>IFERROR(__xludf.DUMMYFUNCTION("""COMPUTED_VALUE"""),-3.138869237630992)</f>
        <v>-3.138869238</v>
      </c>
      <c r="F693" s="31">
        <f>IFERROR(__xludf.DUMMYFUNCTION("""COMPUTED_VALUE"""),-59.62967151044116)</f>
        <v>-59.62967151</v>
      </c>
      <c r="G693" s="31">
        <f>IFERROR(__xludf.DUMMYFUNCTION("""COMPUTED_VALUE"""),13.451915392810093)</f>
        <v>13.45191539</v>
      </c>
      <c r="H693" s="31">
        <f>IFERROR(__xludf.DUMMYFUNCTION("""COMPUTED_VALUE"""),-13.911862190062223)</f>
        <v>-13.91186219</v>
      </c>
      <c r="I693" s="54">
        <f>IFERROR(__xludf.DUMMYFUNCTION("""COMPUTED_VALUE"""),3.0)</f>
        <v>3</v>
      </c>
      <c r="J693" s="55">
        <f>IFERROR(__xludf.DUMMYFUNCTION("""COMPUTED_VALUE"""),1.0)</f>
        <v>1</v>
      </c>
      <c r="K693" s="54">
        <f>IFERROR(__xludf.DUMMYFUNCTION("""COMPUTED_VALUE"""),2.0)</f>
        <v>2</v>
      </c>
      <c r="L693" s="56">
        <f>IFERROR(__xludf.DUMMYFUNCTION("""COMPUTED_VALUE"""),0.3333333333333333)</f>
        <v>0.3333333333</v>
      </c>
      <c r="M693" s="56">
        <f>IFERROR(__xludf.DUMMYFUNCTION("""COMPUTED_VALUE"""),0.16666666666666666)</f>
        <v>0.1666666667</v>
      </c>
      <c r="N693" s="31">
        <f>IFERROR(__xludf.DUMMYFUNCTION("""COMPUTED_VALUE"""),236.66666666666666)</f>
        <v>236.6666667</v>
      </c>
      <c r="O693" s="57">
        <f>IFERROR(__xludf.DUMMYFUNCTION("""COMPUTED_VALUE"""),0.3333333333333333)</f>
        <v>0.3333333333</v>
      </c>
      <c r="P693" s="57">
        <f>IFERROR(__xludf.DUMMYFUNCTION("""COMPUTED_VALUE"""),0.0)</f>
        <v>0</v>
      </c>
      <c r="Q693" s="57">
        <f>IFERROR(__xludf.DUMMYFUNCTION("""COMPUTED_VALUE"""),1.3333333333333333)</f>
        <v>1.333333333</v>
      </c>
      <c r="R693" s="57">
        <f>IFERROR(__xludf.DUMMYFUNCTION("""COMPUTED_VALUE"""),2.0)</f>
        <v>2</v>
      </c>
      <c r="S693" s="31">
        <f>IFERROR(__xludf.DUMMYFUNCTION("""COMPUTED_VALUE"""),337.8888888888889)</f>
        <v>337.8888889</v>
      </c>
      <c r="T693" s="57">
        <f>IFERROR(__xludf.DUMMYFUNCTION("""COMPUTED_VALUE"""),0.888888888888889)</f>
        <v>0.8888888889</v>
      </c>
      <c r="U693" s="57">
        <f>IFERROR(__xludf.DUMMYFUNCTION("""COMPUTED_VALUE"""),0.7777777777777778)</f>
        <v>0.7777777778</v>
      </c>
      <c r="V693" s="57">
        <f>IFERROR(__xludf.DUMMYFUNCTION("""COMPUTED_VALUE"""),0.9999999999999999)</f>
        <v>1</v>
      </c>
      <c r="W693" s="57">
        <f>IFERROR(__xludf.DUMMYFUNCTION("""COMPUTED_VALUE"""),2.555555555555556)</f>
        <v>2.555555556</v>
      </c>
      <c r="X693" s="31">
        <f>IFERROR(__xludf.DUMMYFUNCTION("""COMPUTED_VALUE"""),392.56588319088314)</f>
        <v>392.5658832</v>
      </c>
      <c r="Y693" s="57">
        <f>IFERROR(__xludf.DUMMYFUNCTION("""COMPUTED_VALUE"""),0.9179131054131053)</f>
        <v>0.9179131054</v>
      </c>
      <c r="Z693" s="57">
        <f>IFERROR(__xludf.DUMMYFUNCTION("""COMPUTED_VALUE"""),0.7200854700854701)</f>
        <v>0.7200854701</v>
      </c>
      <c r="AA693" s="57">
        <f>IFERROR(__xludf.DUMMYFUNCTION("""COMPUTED_VALUE"""),1.5643696581196582)</f>
        <v>1.564369658</v>
      </c>
      <c r="AB693" s="57">
        <f>IFERROR(__xludf.DUMMYFUNCTION("""COMPUTED_VALUE"""),2.815883190883191)</f>
        <v>2.815883191</v>
      </c>
      <c r="AC693" s="31">
        <f>IFERROR(__xludf.DUMMYFUNCTION("""COMPUTED_VALUE"""),364.98694207027546)</f>
        <v>364.9869421</v>
      </c>
      <c r="AD693" s="57">
        <f>IFERROR(__xludf.DUMMYFUNCTION("""COMPUTED_VALUE"""),0.8759496676163342)</f>
        <v>0.8759496676</v>
      </c>
      <c r="AE693" s="57">
        <f>IFERROR(__xludf.DUMMYFUNCTION("""COMPUTED_VALUE"""),0.6168387939221271)</f>
        <v>0.6168387939</v>
      </c>
      <c r="AF693" s="57">
        <f>IFERROR(__xludf.DUMMYFUNCTION("""COMPUTED_VALUE"""),1.3901353276353279)</f>
        <v>1.390135328</v>
      </c>
      <c r="AG693" s="57">
        <f>IFERROR(__xludf.DUMMYFUNCTION("""COMPUTED_VALUE"""),2.718245489078823)</f>
        <v>2.718245489</v>
      </c>
      <c r="AH693" s="57">
        <f>IFERROR(__xludf.DUMMYFUNCTION("""COMPUTED_VALUE"""),0.6484250239864698)</f>
        <v>0.648425024</v>
      </c>
      <c r="AI693" s="57">
        <f>IFERROR(__xludf.DUMMYFUNCTION("""COMPUTED_VALUE"""),0.3805393684781136)</f>
        <v>0.3805393685</v>
      </c>
      <c r="AJ693" s="57">
        <f>IFERROR(__xludf.DUMMYFUNCTION("""COMPUTED_VALUE"""),0.0)</f>
        <v>0</v>
      </c>
      <c r="AK693" s="57">
        <f>IFERROR(__xludf.DUMMYFUNCTION("""COMPUTED_VALUE"""),0.9591392340207504)</f>
        <v>0.959139234</v>
      </c>
      <c r="AL693" s="57">
        <f>IFERROR(__xludf.DUMMYFUNCTION("""COMPUTED_VALUE"""),0.7357687184750091)</f>
        <v>0.7357687185</v>
      </c>
      <c r="AM693" s="57">
        <f>IFERROR(__xludf.DUMMYFUNCTION("""COMPUTED_VALUE"""),0.8607189349783414)</f>
        <v>0.860718935</v>
      </c>
      <c r="AN693" s="57">
        <f>IFERROR(__xludf.DUMMYFUNCTION("""COMPUTED_VALUE"""),0.9683802133850632)</f>
        <v>0.9683802134</v>
      </c>
      <c r="AO693" s="57">
        <f>IFERROR(__xludf.DUMMYFUNCTION("""COMPUTED_VALUE"""),1.0801186943620178)</f>
        <v>1.080118694</v>
      </c>
      <c r="AP693" s="35">
        <f>IFERROR(__xludf.DUMMYFUNCTION("""COMPUTED_VALUE"""),0.6392351032952022)</f>
        <v>0.6392351033</v>
      </c>
      <c r="AQ693" s="57">
        <f>IFERROR(__xludf.DUMMYFUNCTION("""COMPUTED_VALUE"""),0.907550271910965)</f>
        <v>0.9075502719</v>
      </c>
      <c r="AR693" s="36" t="b">
        <f>IFERROR(__xludf.DUMMYFUNCTION("""COMPUTED_VALUE"""),TRUE)</f>
        <v>1</v>
      </c>
      <c r="AS693" s="57"/>
      <c r="AT693" s="37"/>
      <c r="AU693" s="30"/>
      <c r="AV693" s="30"/>
      <c r="AW693" s="30"/>
      <c r="AX693" s="30"/>
      <c r="AY693" s="30"/>
      <c r="AZ693" s="30"/>
    </row>
    <row r="694">
      <c r="A694" s="30" t="str">
        <f>IFERROR(__xludf.DUMMYFUNCTION("""COMPUTED_VALUE"""),"Rival")</f>
        <v>Rival</v>
      </c>
      <c r="B694" s="30" t="str">
        <f>IFERROR(__xludf.DUMMYFUNCTION("""COMPUTED_VALUE"""),"RSC007035")</f>
        <v>RSC007035</v>
      </c>
      <c r="C694" s="30" t="str">
        <f>IFERROR(__xludf.DUMMYFUNCTION("""COMPUTED_VALUE"""),"itzsmurfyy")</f>
        <v>itzsmurfyy</v>
      </c>
      <c r="D694" s="31" t="str">
        <f>IFERROR(__xludf.DUMMYFUNCTION("""COMPUTED_VALUE"""),"Hue Heroes")</f>
        <v>Hue Heroes</v>
      </c>
      <c r="E694" s="31">
        <f>IFERROR(__xludf.DUMMYFUNCTION("""COMPUTED_VALUE"""),-20.451013553720173)</f>
        <v>-20.45101355</v>
      </c>
      <c r="F694" s="31">
        <f>IFERROR(__xludf.DUMMYFUNCTION("""COMPUTED_VALUE"""),-413.92691502395564)</f>
        <v>-413.926915</v>
      </c>
      <c r="G694" s="31">
        <f>IFERROR(__xludf.DUMMYFUNCTION("""COMPUTED_VALUE"""),6.8714594557627535)</f>
        <v>6.871459456</v>
      </c>
      <c r="H694" s="31">
        <f>IFERROR(__xludf.DUMMYFUNCTION("""COMPUTED_VALUE"""),-23.668091957734884)</f>
        <v>-23.66809196</v>
      </c>
      <c r="I694" s="54">
        <f>IFERROR(__xludf.DUMMYFUNCTION("""COMPUTED_VALUE"""),1.0)</f>
        <v>1</v>
      </c>
      <c r="J694" s="55">
        <f>IFERROR(__xludf.DUMMYFUNCTION("""COMPUTED_VALUE"""),0.0)</f>
        <v>0</v>
      </c>
      <c r="K694" s="54">
        <f>IFERROR(__xludf.DUMMYFUNCTION("""COMPUTED_VALUE"""),1.0)</f>
        <v>1</v>
      </c>
      <c r="L694" s="56">
        <f>IFERROR(__xludf.DUMMYFUNCTION("""COMPUTED_VALUE"""),0.0)</f>
        <v>0</v>
      </c>
      <c r="M694" s="56">
        <f>IFERROR(__xludf.DUMMYFUNCTION("""COMPUTED_VALUE"""),0.0)</f>
        <v>0</v>
      </c>
      <c r="N694" s="31">
        <f>IFERROR(__xludf.DUMMYFUNCTION("""COMPUTED_VALUE"""),306.0)</f>
        <v>306</v>
      </c>
      <c r="O694" s="57">
        <f>IFERROR(__xludf.DUMMYFUNCTION("""COMPUTED_VALUE"""),0.0)</f>
        <v>0</v>
      </c>
      <c r="P694" s="57">
        <f>IFERROR(__xludf.DUMMYFUNCTION("""COMPUTED_VALUE"""),0.0)</f>
        <v>0</v>
      </c>
      <c r="Q694" s="57">
        <f>IFERROR(__xludf.DUMMYFUNCTION("""COMPUTED_VALUE"""),3.0)</f>
        <v>3</v>
      </c>
      <c r="R694" s="57">
        <f>IFERROR(__xludf.DUMMYFUNCTION("""COMPUTED_VALUE"""),1.0)</f>
        <v>1</v>
      </c>
      <c r="S694" s="31">
        <f>IFERROR(__xludf.DUMMYFUNCTION("""COMPUTED_VALUE"""),364.6666666666667)</f>
        <v>364.6666667</v>
      </c>
      <c r="T694" s="57">
        <f>IFERROR(__xludf.DUMMYFUNCTION("""COMPUTED_VALUE"""),1.0)</f>
        <v>1</v>
      </c>
      <c r="U694" s="57">
        <f>IFERROR(__xludf.DUMMYFUNCTION("""COMPUTED_VALUE"""),1.0)</f>
        <v>1</v>
      </c>
      <c r="V694" s="57">
        <f>IFERROR(__xludf.DUMMYFUNCTION("""COMPUTED_VALUE"""),1.0)</f>
        <v>1</v>
      </c>
      <c r="W694" s="57">
        <f>IFERROR(__xludf.DUMMYFUNCTION("""COMPUTED_VALUE"""),4.0)</f>
        <v>4</v>
      </c>
      <c r="X694" s="31">
        <f>IFERROR(__xludf.DUMMYFUNCTION("""COMPUTED_VALUE"""),402.5594907407408)</f>
        <v>402.5594907</v>
      </c>
      <c r="Y694" s="57">
        <f>IFERROR(__xludf.DUMMYFUNCTION("""COMPUTED_VALUE"""),1.1613425925925924)</f>
        <v>1.161342593</v>
      </c>
      <c r="Z694" s="57">
        <f>IFERROR(__xludf.DUMMYFUNCTION("""COMPUTED_VALUE"""),0.9395833333333333)</f>
        <v>0.9395833333</v>
      </c>
      <c r="AA694" s="57">
        <f>IFERROR(__xludf.DUMMYFUNCTION("""COMPUTED_VALUE"""),0.9914351851851851)</f>
        <v>0.9914351852</v>
      </c>
      <c r="AB694" s="57">
        <f>IFERROR(__xludf.DUMMYFUNCTION("""COMPUTED_VALUE"""),3.259490740740741)</f>
        <v>3.259490741</v>
      </c>
      <c r="AC694" s="31">
        <f>IFERROR(__xludf.DUMMYFUNCTION("""COMPUTED_VALUE"""),305.216898148148)</f>
        <v>305.2168981</v>
      </c>
      <c r="AD694" s="57">
        <f>IFERROR(__xludf.DUMMYFUNCTION("""COMPUTED_VALUE"""),0.4975308641975309)</f>
        <v>0.4975308642</v>
      </c>
      <c r="AE694" s="57">
        <f>IFERROR(__xludf.DUMMYFUNCTION("""COMPUTED_VALUE"""),0.31736111111111104)</f>
        <v>0.3173611111</v>
      </c>
      <c r="AF694" s="57">
        <f>IFERROR(__xludf.DUMMYFUNCTION("""COMPUTED_VALUE"""),1.5226080246913583)</f>
        <v>1.522608025</v>
      </c>
      <c r="AG694" s="57">
        <f>IFERROR(__xludf.DUMMYFUNCTION("""COMPUTED_VALUE"""),1.8274691358024695)</f>
        <v>1.827469136</v>
      </c>
      <c r="AH694" s="57">
        <f>IFERROR(__xludf.DUMMYFUNCTION("""COMPUTED_VALUE"""),1.0025657224636098)</f>
        <v>1.002565722</v>
      </c>
      <c r="AI694" s="57">
        <f>IFERROR(__xludf.DUMMYFUNCTION("""COMPUTED_VALUE"""),0.0)</f>
        <v>0</v>
      </c>
      <c r="AJ694" s="57">
        <f>IFERROR(__xludf.DUMMYFUNCTION("""COMPUTED_VALUE"""),0.0)</f>
        <v>0</v>
      </c>
      <c r="AK694" s="57">
        <f>IFERROR(__xludf.DUMMYFUNCTION("""COMPUTED_VALUE"""),1.9703035524248718)</f>
        <v>1.970303552</v>
      </c>
      <c r="AL694" s="57">
        <f>IFERROR(__xludf.DUMMYFUNCTION("""COMPUTED_VALUE"""),0.5472048640432359)</f>
        <v>0.547204864</v>
      </c>
      <c r="AM694" s="57">
        <f>IFERROR(__xludf.DUMMYFUNCTION("""COMPUTED_VALUE"""),0.9058702503713219)</f>
        <v>0.9058702504</v>
      </c>
      <c r="AN694" s="57">
        <f>IFERROR(__xludf.DUMMYFUNCTION("""COMPUTED_VALUE"""),0.8610723539964124)</f>
        <v>0.861072354</v>
      </c>
      <c r="AO694" s="57">
        <f>IFERROR(__xludf.DUMMYFUNCTION("""COMPUTED_VALUE"""),1.06430155210643)</f>
        <v>1.064301552</v>
      </c>
      <c r="AP694" s="35">
        <f>IFERROR(__xludf.DUMMYFUNCTION("""COMPUTED_VALUE"""),1.0086388045762316)</f>
        <v>1.008638805</v>
      </c>
      <c r="AQ694" s="57">
        <f>IFERROR(__xludf.DUMMYFUNCTION("""COMPUTED_VALUE"""),1.2271855692067324)</f>
        <v>1.227185569</v>
      </c>
      <c r="AR694" s="36" t="b">
        <f>IFERROR(__xludf.DUMMYFUNCTION("""COMPUTED_VALUE"""),TRUE)</f>
        <v>1</v>
      </c>
      <c r="AS694" s="57"/>
      <c r="AT694" s="37"/>
      <c r="AU694" s="30"/>
      <c r="AV694" s="30"/>
      <c r="AW694" s="30"/>
      <c r="AX694" s="30"/>
      <c r="AY694" s="30"/>
      <c r="AZ694" s="30"/>
    </row>
    <row r="695">
      <c r="A695" s="30" t="str">
        <f>IFERROR(__xludf.DUMMYFUNCTION("""COMPUTED_VALUE"""),"Rival")</f>
        <v>Rival</v>
      </c>
      <c r="B695" s="30" t="str">
        <f>IFERROR(__xludf.DUMMYFUNCTION("""COMPUTED_VALUE"""),"RSC007906")</f>
        <v>RSC007906</v>
      </c>
      <c r="C695" s="30" t="str">
        <f>IFERROR(__xludf.DUMMYFUNCTION("""COMPUTED_VALUE"""),"Vaz1fy-")</f>
        <v>Vaz1fy-</v>
      </c>
      <c r="D695" s="31"/>
      <c r="E695" s="31">
        <f>IFERROR(__xludf.DUMMYFUNCTION("""COMPUTED_VALUE"""),-24.565104987472992)</f>
        <v>-24.56510499</v>
      </c>
      <c r="F695" s="31">
        <f>IFERROR(__xludf.DUMMYFUNCTION("""COMPUTED_VALUE"""),-699.7720893901641)</f>
        <v>-699.7720894</v>
      </c>
      <c r="G695" s="31">
        <f>IFERROR(__xludf.DUMMYFUNCTION("""COMPUTED_VALUE"""),-10.717919635437056)</f>
        <v>-10.71791964</v>
      </c>
      <c r="H695" s="31">
        <f>IFERROR(__xludf.DUMMYFUNCTION("""COMPUTED_VALUE"""),-131.99260961034668)</f>
        <v>-131.9926096</v>
      </c>
      <c r="I695" s="54">
        <f>IFERROR(__xludf.DUMMYFUNCTION("""COMPUTED_VALUE"""),8.0)</f>
        <v>8</v>
      </c>
      <c r="J695" s="55">
        <f>IFERROR(__xludf.DUMMYFUNCTION("""COMPUTED_VALUE"""),1.0)</f>
        <v>1</v>
      </c>
      <c r="K695" s="54">
        <f>IFERROR(__xludf.DUMMYFUNCTION("""COMPUTED_VALUE"""),7.0)</f>
        <v>7</v>
      </c>
      <c r="L695" s="56">
        <f>IFERROR(__xludf.DUMMYFUNCTION("""COMPUTED_VALUE"""),0.125)</f>
        <v>0.125</v>
      </c>
      <c r="M695" s="56">
        <f>IFERROR(__xludf.DUMMYFUNCTION("""COMPUTED_VALUE"""),0.25)</f>
        <v>0.25</v>
      </c>
      <c r="N695" s="31">
        <f>IFERROR(__xludf.DUMMYFUNCTION("""COMPUTED_VALUE"""),209.625)</f>
        <v>209.625</v>
      </c>
      <c r="O695" s="57">
        <f>IFERROR(__xludf.DUMMYFUNCTION("""COMPUTED_VALUE"""),0.25)</f>
        <v>0.25</v>
      </c>
      <c r="P695" s="57">
        <f>IFERROR(__xludf.DUMMYFUNCTION("""COMPUTED_VALUE"""),0.0)</f>
        <v>0</v>
      </c>
      <c r="Q695" s="57">
        <f>IFERROR(__xludf.DUMMYFUNCTION("""COMPUTED_VALUE"""),1.25)</f>
        <v>1.25</v>
      </c>
      <c r="R695" s="57">
        <f>IFERROR(__xludf.DUMMYFUNCTION("""COMPUTED_VALUE"""),1.0)</f>
        <v>1</v>
      </c>
      <c r="S695" s="31">
        <f>IFERROR(__xludf.DUMMYFUNCTION("""COMPUTED_VALUE"""),342.58333333333337)</f>
        <v>342.5833333</v>
      </c>
      <c r="T695" s="57">
        <f>IFERROR(__xludf.DUMMYFUNCTION("""COMPUTED_VALUE"""),1.0416666666666665)</f>
        <v>1.041666667</v>
      </c>
      <c r="U695" s="57">
        <f>IFERROR(__xludf.DUMMYFUNCTION("""COMPUTED_VALUE"""),0.625)</f>
        <v>0.625</v>
      </c>
      <c r="V695" s="57">
        <f>IFERROR(__xludf.DUMMYFUNCTION("""COMPUTED_VALUE"""),0.75)</f>
        <v>0.75</v>
      </c>
      <c r="W695" s="57">
        <f>IFERROR(__xludf.DUMMYFUNCTION("""COMPUTED_VALUE"""),3.208333333333334)</f>
        <v>3.208333333</v>
      </c>
      <c r="X695" s="31">
        <f>IFERROR(__xludf.DUMMYFUNCTION("""COMPUTED_VALUE"""),341.3604484945319)</f>
        <v>341.3604485</v>
      </c>
      <c r="Y695" s="57">
        <f>IFERROR(__xludf.DUMMYFUNCTION("""COMPUTED_VALUE"""),0.8331700017171619)</f>
        <v>0.8331700017</v>
      </c>
      <c r="Z695" s="57">
        <f>IFERROR(__xludf.DUMMYFUNCTION("""COMPUTED_VALUE"""),0.5978129661826417)</f>
        <v>0.5978129662</v>
      </c>
      <c r="AA695" s="57">
        <f>IFERROR(__xludf.DUMMYFUNCTION("""COMPUTED_VALUE"""),1.1048121787028988)</f>
        <v>1.104812179</v>
      </c>
      <c r="AB695" s="57">
        <f>IFERROR(__xludf.DUMMYFUNCTION("""COMPUTED_VALUE"""),2.688071258196765)</f>
        <v>2.688071258</v>
      </c>
      <c r="AC695" s="31">
        <f>IFERROR(__xludf.DUMMYFUNCTION("""COMPUTED_VALUE"""),339.4832068044331)</f>
        <v>339.4832068</v>
      </c>
      <c r="AD695" s="57">
        <f>IFERROR(__xludf.DUMMYFUNCTION("""COMPUTED_VALUE"""),0.7302276178670702)</f>
        <v>0.7302276179</v>
      </c>
      <c r="AE695" s="57">
        <f>IFERROR(__xludf.DUMMYFUNCTION("""COMPUTED_VALUE"""),0.5009213870733479)</f>
        <v>0.5009213871</v>
      </c>
      <c r="AF695" s="57">
        <f>IFERROR(__xludf.DUMMYFUNCTION("""COMPUTED_VALUE"""),1.3865833641885872)</f>
        <v>1.386583364</v>
      </c>
      <c r="AG695" s="57">
        <f>IFERROR(__xludf.DUMMYFUNCTION("""COMPUTED_VALUE"""),2.3173008092125746)</f>
        <v>2.317300809</v>
      </c>
      <c r="AH695" s="57">
        <f>IFERROR(__xludf.DUMMYFUNCTION("""COMPUTED_VALUE"""),0.6174826789613754)</f>
        <v>0.617482679</v>
      </c>
      <c r="AI695" s="57">
        <f>IFERROR(__xludf.DUMMYFUNCTION("""COMPUTED_VALUE"""),0.3423590040735897)</f>
        <v>0.3423590041</v>
      </c>
      <c r="AJ695" s="57">
        <f>IFERROR(__xludf.DUMMYFUNCTION("""COMPUTED_VALUE"""),0.0)</f>
        <v>0</v>
      </c>
      <c r="AK695" s="57">
        <f>IFERROR(__xludf.DUMMYFUNCTION("""COMPUTED_VALUE"""),0.9014964641029612)</f>
        <v>0.9014964641</v>
      </c>
      <c r="AL695" s="57">
        <f>IFERROR(__xludf.DUMMYFUNCTION("""COMPUTED_VALUE"""),0.43153655150183234)</f>
        <v>0.4315365515</v>
      </c>
      <c r="AM695" s="57">
        <f>IFERROR(__xludf.DUMMYFUNCTION("""COMPUTED_VALUE"""),1.0035823858452104)</f>
        <v>1.003582386</v>
      </c>
      <c r="AN695" s="57">
        <f>IFERROR(__xludf.DUMMYFUNCTION("""COMPUTED_VALUE"""),1.2502450454526608)</f>
        <v>1.250245045</v>
      </c>
      <c r="AO695" s="57">
        <f>IFERROR(__xludf.DUMMYFUNCTION("""COMPUTED_VALUE"""),1.0454774910470113)</f>
        <v>1.045477491</v>
      </c>
      <c r="AP695" s="35">
        <f>IFERROR(__xludf.DUMMYFUNCTION("""COMPUTED_VALUE"""),0.6788484182719049)</f>
        <v>0.6788484183</v>
      </c>
      <c r="AQ695" s="57">
        <f>IFERROR(__xludf.DUMMYFUNCTION("""COMPUTED_VALUE"""),1.1935447483209858)</f>
        <v>1.193544748</v>
      </c>
      <c r="AR695" s="36" t="b">
        <f>IFERROR(__xludf.DUMMYFUNCTION("""COMPUTED_VALUE"""),TRUE)</f>
        <v>1</v>
      </c>
      <c r="AS695" s="57"/>
      <c r="AT695" s="37"/>
      <c r="AU695" s="30"/>
      <c r="AV695" s="30"/>
      <c r="AW695" s="30"/>
      <c r="AX695" s="30"/>
      <c r="AY695" s="30"/>
      <c r="AZ695" s="30"/>
    </row>
    <row r="696">
      <c r="A696" s="30" t="str">
        <f>IFERROR(__xludf.DUMMYFUNCTION("""COMPUTED_VALUE"""),"Rival")</f>
        <v>Rival</v>
      </c>
      <c r="B696" s="30" t="str">
        <f>IFERROR(__xludf.DUMMYFUNCTION("""COMPUTED_VALUE"""),"RSC000111")</f>
        <v>RSC000111</v>
      </c>
      <c r="C696" s="30" t="str">
        <f>IFERROR(__xludf.DUMMYFUNCTION("""COMPUTED_VALUE"""),"Wheelchair {LFLegs}")</f>
        <v>Wheelchair {LFLegs}</v>
      </c>
      <c r="D696" s="31"/>
      <c r="E696" s="31">
        <f>IFERROR(__xludf.DUMMYFUNCTION("""COMPUTED_VALUE"""),-34.47214091923779)</f>
        <v>-34.47214092</v>
      </c>
      <c r="F696" s="31">
        <f>IFERROR(__xludf.DUMMYFUNCTION("""COMPUTED_VALUE"""),-2747.9972217780905)</f>
        <v>-2747.997222</v>
      </c>
      <c r="G696" s="31">
        <f>IFERROR(__xludf.DUMMYFUNCTION("""COMPUTED_VALUE"""),-24.86469518464088)</f>
        <v>-24.86469518</v>
      </c>
      <c r="H696" s="31">
        <f>IFERROR(__xludf.DUMMYFUNCTION("""COMPUTED_VALUE"""),-727.7598161551399)</f>
        <v>-727.7598162</v>
      </c>
      <c r="I696" s="54">
        <f>IFERROR(__xludf.DUMMYFUNCTION("""COMPUTED_VALUE"""),2.0)</f>
        <v>2</v>
      </c>
      <c r="J696" s="55">
        <f>IFERROR(__xludf.DUMMYFUNCTION("""COMPUTED_VALUE"""),0.0)</f>
        <v>0</v>
      </c>
      <c r="K696" s="54">
        <f>IFERROR(__xludf.DUMMYFUNCTION("""COMPUTED_VALUE"""),2.0)</f>
        <v>2</v>
      </c>
      <c r="L696" s="56">
        <f>IFERROR(__xludf.DUMMYFUNCTION("""COMPUTED_VALUE"""),0.0)</f>
        <v>0</v>
      </c>
      <c r="M696" s="56">
        <f>IFERROR(__xludf.DUMMYFUNCTION("""COMPUTED_VALUE"""),0.0)</f>
        <v>0</v>
      </c>
      <c r="N696" s="31">
        <f>IFERROR(__xludf.DUMMYFUNCTION("""COMPUTED_VALUE"""),162.0)</f>
        <v>162</v>
      </c>
      <c r="O696" s="57">
        <f>IFERROR(__xludf.DUMMYFUNCTION("""COMPUTED_VALUE"""),0.0)</f>
        <v>0</v>
      </c>
      <c r="P696" s="57">
        <f>IFERROR(__xludf.DUMMYFUNCTION("""COMPUTED_VALUE"""),0.5)</f>
        <v>0.5</v>
      </c>
      <c r="Q696" s="57">
        <f>IFERROR(__xludf.DUMMYFUNCTION("""COMPUTED_VALUE"""),0.5)</f>
        <v>0.5</v>
      </c>
      <c r="R696" s="57">
        <f>IFERROR(__xludf.DUMMYFUNCTION("""COMPUTED_VALUE"""),0.5)</f>
        <v>0.5</v>
      </c>
      <c r="S696" s="31">
        <f>IFERROR(__xludf.DUMMYFUNCTION("""COMPUTED_VALUE"""),406.3333333333333)</f>
        <v>406.3333333</v>
      </c>
      <c r="T696" s="57">
        <f>IFERROR(__xludf.DUMMYFUNCTION("""COMPUTED_VALUE"""),1.0)</f>
        <v>1</v>
      </c>
      <c r="U696" s="57">
        <f>IFERROR(__xludf.DUMMYFUNCTION("""COMPUTED_VALUE"""),0.8333333333333333)</f>
        <v>0.8333333333</v>
      </c>
      <c r="V696" s="57">
        <f>IFERROR(__xludf.DUMMYFUNCTION("""COMPUTED_VALUE"""),2.0)</f>
        <v>2</v>
      </c>
      <c r="W696" s="57">
        <f>IFERROR(__xludf.DUMMYFUNCTION("""COMPUTED_VALUE"""),2.5)</f>
        <v>2.5</v>
      </c>
      <c r="X696" s="31">
        <f>IFERROR(__xludf.DUMMYFUNCTION("""COMPUTED_VALUE"""),341.1377450980392)</f>
        <v>341.1377451</v>
      </c>
      <c r="Y696" s="57">
        <f>IFERROR(__xludf.DUMMYFUNCTION("""COMPUTED_VALUE"""),0.8539215686274509)</f>
        <v>0.8539215686</v>
      </c>
      <c r="Z696" s="57">
        <f>IFERROR(__xludf.DUMMYFUNCTION("""COMPUTED_VALUE"""),0.44375000000000003)</f>
        <v>0.44375</v>
      </c>
      <c r="AA696" s="57">
        <f>IFERROR(__xludf.DUMMYFUNCTION("""COMPUTED_VALUE"""),1.4504901960784313)</f>
        <v>1.450490196</v>
      </c>
      <c r="AB696" s="57">
        <f>IFERROR(__xludf.DUMMYFUNCTION("""COMPUTED_VALUE"""),2.6197303921568627)</f>
        <v>2.619730392</v>
      </c>
      <c r="AC696" s="31">
        <f>IFERROR(__xludf.DUMMYFUNCTION("""COMPUTED_VALUE"""),346.82381535947724)</f>
        <v>346.8238154</v>
      </c>
      <c r="AD696" s="57">
        <f>IFERROR(__xludf.DUMMYFUNCTION("""COMPUTED_VALUE"""),0.7968545751633987)</f>
        <v>0.7968545752</v>
      </c>
      <c r="AE696" s="57">
        <f>IFERROR(__xludf.DUMMYFUNCTION("""COMPUTED_VALUE"""),0.5724673202614379)</f>
        <v>0.5724673203</v>
      </c>
      <c r="AF696" s="57">
        <f>IFERROR(__xludf.DUMMYFUNCTION("""COMPUTED_VALUE"""),1.279207516339869)</f>
        <v>1.279207516</v>
      </c>
      <c r="AG696" s="57">
        <f>IFERROR(__xludf.DUMMYFUNCTION("""COMPUTED_VALUE"""),2.65608660130719)</f>
        <v>2.656086601</v>
      </c>
      <c r="AH696" s="57">
        <f>IFERROR(__xludf.DUMMYFUNCTION("""COMPUTED_VALUE"""),0.4670959513898711)</f>
        <v>0.4670959514</v>
      </c>
      <c r="AI696" s="57">
        <f>IFERROR(__xludf.DUMMYFUNCTION("""COMPUTED_VALUE"""),0.0)</f>
        <v>0</v>
      </c>
      <c r="AJ696" s="57">
        <f>IFERROR(__xludf.DUMMYFUNCTION("""COMPUTED_VALUE"""),0.8734123019837307)</f>
        <v>0.873412302</v>
      </c>
      <c r="AK696" s="57">
        <f>IFERROR(__xludf.DUMMYFUNCTION("""COMPUTED_VALUE"""),0.3908669966469744)</f>
        <v>0.3908669966</v>
      </c>
      <c r="AL696" s="57">
        <f>IFERROR(__xludf.DUMMYFUNCTION("""COMPUTED_VALUE"""),0.18824687408683347)</f>
        <v>0.1882468741</v>
      </c>
      <c r="AM696" s="57">
        <f>IFERROR(__xludf.DUMMYFUNCTION("""COMPUTED_VALUE"""),1.1911122095755122)</f>
        <v>1.19111221</v>
      </c>
      <c r="AN696" s="57">
        <f>IFERROR(__xludf.DUMMYFUNCTION("""COMPUTED_VALUE"""),1.1710677382319175)</f>
        <v>1.171067738</v>
      </c>
      <c r="AO696" s="57">
        <f>IFERROR(__xludf.DUMMYFUNCTION("""COMPUTED_VALUE"""),1.8779342723004693)</f>
        <v>1.877934272</v>
      </c>
      <c r="AP696" s="35">
        <f>IFERROR(__xludf.DUMMYFUNCTION("""COMPUTED_VALUE"""),1.3788442041230147)</f>
        <v>1.378844204</v>
      </c>
      <c r="AQ696" s="57">
        <f>IFERROR(__xludf.DUMMYFUNCTION("""COMPUTED_VALUE"""),0.9542966739954156)</f>
        <v>0.954296674</v>
      </c>
      <c r="AR696" s="36" t="b">
        <f>IFERROR(__xludf.DUMMYFUNCTION("""COMPUTED_VALUE"""),TRUE)</f>
        <v>1</v>
      </c>
      <c r="AS696" s="57"/>
      <c r="AT696" s="37"/>
      <c r="AU696" s="30"/>
      <c r="AV696" s="30"/>
      <c r="AW696" s="30"/>
      <c r="AX696" s="30"/>
      <c r="AY696" s="30"/>
      <c r="AZ696" s="30"/>
    </row>
    <row r="697">
      <c r="A697" s="30" t="str">
        <f>IFERROR(__xludf.DUMMYFUNCTION("""COMPUTED_VALUE"""),"Veteran")</f>
        <v>Veteran</v>
      </c>
      <c r="B697" s="30" t="str">
        <f>IFERROR(__xludf.DUMMYFUNCTION("""COMPUTED_VALUE"""),"RSC004313")</f>
        <v>RSC004313</v>
      </c>
      <c r="C697" s="30" t="str">
        <f>IFERROR(__xludf.DUMMYFUNCTION("""COMPUTED_VALUE"""),"Causing .")</f>
        <v>Causing .</v>
      </c>
      <c r="D697" s="31" t="str">
        <f>IFERROR(__xludf.DUMMYFUNCTION("""COMPUTED_VALUE"""),"Dog Fighters")</f>
        <v>Dog Fighters</v>
      </c>
      <c r="E697" s="31">
        <f>IFERROR(__xludf.DUMMYFUNCTION("""COMPUTED_VALUE"""),98.95273995662478)</f>
        <v>98.95273996</v>
      </c>
      <c r="F697" s="31">
        <f>IFERROR(__xludf.DUMMYFUNCTION("""COMPUTED_VALUE"""),39.82702824277121)</f>
        <v>39.82702824</v>
      </c>
      <c r="G697" s="31">
        <f>IFERROR(__xludf.DUMMYFUNCTION("""COMPUTED_VALUE"""),79.2399945432154)</f>
        <v>79.23999454</v>
      </c>
      <c r="H697" s="31">
        <f>IFERROR(__xludf.DUMMYFUNCTION("""COMPUTED_VALUE"""),8.258931877486752)</f>
        <v>8.258931877</v>
      </c>
      <c r="I697" s="54">
        <f>IFERROR(__xludf.DUMMYFUNCTION("""COMPUTED_VALUE"""),8.0)</f>
        <v>8</v>
      </c>
      <c r="J697" s="55">
        <f>IFERROR(__xludf.DUMMYFUNCTION("""COMPUTED_VALUE"""),4.0)</f>
        <v>4</v>
      </c>
      <c r="K697" s="54">
        <f>IFERROR(__xludf.DUMMYFUNCTION("""COMPUTED_VALUE"""),4.0)</f>
        <v>4</v>
      </c>
      <c r="L697" s="56">
        <f>IFERROR(__xludf.DUMMYFUNCTION("""COMPUTED_VALUE"""),0.5)</f>
        <v>0.5</v>
      </c>
      <c r="M697" s="56">
        <f>IFERROR(__xludf.DUMMYFUNCTION("""COMPUTED_VALUE"""),0.45161290322580644)</f>
        <v>0.4516129032</v>
      </c>
      <c r="N697" s="31">
        <f>IFERROR(__xludf.DUMMYFUNCTION("""COMPUTED_VALUE"""),491.375)</f>
        <v>491.375</v>
      </c>
      <c r="O697" s="57">
        <f>IFERROR(__xludf.DUMMYFUNCTION("""COMPUTED_VALUE"""),1.75)</f>
        <v>1.75</v>
      </c>
      <c r="P697" s="57">
        <f>IFERROR(__xludf.DUMMYFUNCTION("""COMPUTED_VALUE"""),0.25)</f>
        <v>0.25</v>
      </c>
      <c r="Q697" s="57">
        <f>IFERROR(__xludf.DUMMYFUNCTION("""COMPUTED_VALUE"""),1.75)</f>
        <v>1.75</v>
      </c>
      <c r="R697" s="57">
        <f>IFERROR(__xludf.DUMMYFUNCTION("""COMPUTED_VALUE"""),3.875)</f>
        <v>3.875</v>
      </c>
      <c r="S697" s="31">
        <f>IFERROR(__xludf.DUMMYFUNCTION("""COMPUTED_VALUE"""),346.99999999999994)</f>
        <v>347</v>
      </c>
      <c r="T697" s="57">
        <f>IFERROR(__xludf.DUMMYFUNCTION("""COMPUTED_VALUE"""),0.6666666666666667)</f>
        <v>0.6666666667</v>
      </c>
      <c r="U697" s="57">
        <f>IFERROR(__xludf.DUMMYFUNCTION("""COMPUTED_VALUE"""),0.5833333333333334)</f>
        <v>0.5833333333</v>
      </c>
      <c r="V697" s="57">
        <f>IFERROR(__xludf.DUMMYFUNCTION("""COMPUTED_VALUE"""),1.4583333333333335)</f>
        <v>1.458333333</v>
      </c>
      <c r="W697" s="57">
        <f>IFERROR(__xludf.DUMMYFUNCTION("""COMPUTED_VALUE"""),2.833333333333333)</f>
        <v>2.833333333</v>
      </c>
      <c r="X697" s="31">
        <f>IFERROR(__xludf.DUMMYFUNCTION("""COMPUTED_VALUE"""),350.3542008757526)</f>
        <v>350.3542009</v>
      </c>
      <c r="Y697" s="57">
        <f>IFERROR(__xludf.DUMMYFUNCTION("""COMPUTED_VALUE"""),0.6596538040503558)</f>
        <v>0.6596538041</v>
      </c>
      <c r="Z697" s="57">
        <f>IFERROR(__xludf.DUMMYFUNCTION("""COMPUTED_VALUE"""),0.6185772441160372)</f>
        <v>0.6185772441</v>
      </c>
      <c r="AA697" s="57">
        <f>IFERROR(__xludf.DUMMYFUNCTION("""COMPUTED_VALUE"""),1.4575037629994525)</f>
        <v>1.457503763</v>
      </c>
      <c r="AB697" s="57">
        <f>IFERROR(__xludf.DUMMYFUNCTION("""COMPUTED_VALUE"""),2.522492474001094)</f>
        <v>2.522492474</v>
      </c>
      <c r="AC697" s="31">
        <f>IFERROR(__xludf.DUMMYFUNCTION("""COMPUTED_VALUE"""),363.8947044334975)</f>
        <v>363.8947044</v>
      </c>
      <c r="AD697" s="57">
        <f>IFERROR(__xludf.DUMMYFUNCTION("""COMPUTED_VALUE"""),0.8325208675424193)</f>
        <v>0.8325208675</v>
      </c>
      <c r="AE697" s="57">
        <f>IFERROR(__xludf.DUMMYFUNCTION("""COMPUTED_VALUE"""),0.6376402572523262)</f>
        <v>0.6376402573</v>
      </c>
      <c r="AF697" s="57">
        <f>IFERROR(__xludf.DUMMYFUNCTION("""COMPUTED_VALUE"""),1.3639105546433135)</f>
        <v>1.363910555</v>
      </c>
      <c r="AG697" s="57">
        <f>IFERROR(__xludf.DUMMYFUNCTION("""COMPUTED_VALUE"""),2.83932562488597)</f>
        <v>2.839325625</v>
      </c>
      <c r="AH697" s="57">
        <f>IFERROR(__xludf.DUMMYFUNCTION("""COMPUTED_VALUE"""),1.3503219310788288)</f>
        <v>1.350321931</v>
      </c>
      <c r="AI697" s="57">
        <f>IFERROR(__xludf.DUMMYFUNCTION("""COMPUTED_VALUE"""),2.1020494118855617)</f>
        <v>2.102049412</v>
      </c>
      <c r="AJ697" s="57">
        <f>IFERROR(__xludf.DUMMYFUNCTION("""COMPUTED_VALUE"""),0.3920706027522198)</f>
        <v>0.3920706028</v>
      </c>
      <c r="AK697" s="57">
        <f>IFERROR(__xludf.DUMMYFUNCTION("""COMPUTED_VALUE"""),1.283075341005522)</f>
        <v>1.283075341</v>
      </c>
      <c r="AL697" s="57">
        <f>IFERROR(__xludf.DUMMYFUNCTION("""COMPUTED_VALUE"""),1.3647606903683769)</f>
        <v>1.36476069</v>
      </c>
      <c r="AM697" s="57">
        <f>IFERROR(__xludf.DUMMYFUNCTION("""COMPUTED_VALUE"""),0.9904262575777073)</f>
        <v>0.9904262576</v>
      </c>
      <c r="AN697" s="57">
        <f>IFERROR(__xludf.DUMMYFUNCTION("""COMPUTED_VALUE"""),1.0106311258621585)</f>
        <v>1.010631126</v>
      </c>
      <c r="AO697" s="57">
        <f>IFERROR(__xludf.DUMMYFUNCTION("""COMPUTED_VALUE"""),0.9430242364749962)</f>
        <v>0.9430242365</v>
      </c>
      <c r="AP697" s="35">
        <f>IFERROR(__xludf.DUMMYFUNCTION("""COMPUTED_VALUE"""),1.000569172001432)</f>
        <v>1.000569172</v>
      </c>
      <c r="AQ697" s="57">
        <f>IFERROR(__xludf.DUMMYFUNCTION("""COMPUTED_VALUE"""),1.123227665706052)</f>
        <v>1.123227666</v>
      </c>
      <c r="AR697" s="36" t="b">
        <f>IFERROR(__xludf.DUMMYFUNCTION("""COMPUTED_VALUE"""),TRUE)</f>
        <v>1</v>
      </c>
      <c r="AS697" s="57"/>
      <c r="AT697" s="37"/>
      <c r="AU697" s="30"/>
      <c r="AV697" s="30"/>
      <c r="AW697" s="30"/>
      <c r="AX697" s="30"/>
      <c r="AY697" s="30"/>
      <c r="AZ697" s="30"/>
    </row>
    <row r="698">
      <c r="A698" s="30" t="str">
        <f>IFERROR(__xludf.DUMMYFUNCTION("""COMPUTED_VALUE"""),"Veteran")</f>
        <v>Veteran</v>
      </c>
      <c r="B698" s="30" t="str">
        <f>IFERROR(__xludf.DUMMYFUNCTION("""COMPUTED_VALUE"""),"RSC006945")</f>
        <v>RSC006945</v>
      </c>
      <c r="C698" s="30" t="str">
        <f>IFERROR(__xludf.DUMMYFUNCTION("""COMPUTED_VALUE"""),"nuummite")</f>
        <v>nuummite</v>
      </c>
      <c r="D698" s="31" t="str">
        <f>IFERROR(__xludf.DUMMYFUNCTION("""COMPUTED_VALUE"""),"Paradox Paloma")</f>
        <v>Paradox Paloma</v>
      </c>
      <c r="E698" s="31">
        <f>IFERROR(__xludf.DUMMYFUNCTION("""COMPUTED_VALUE"""),97.32722547068127)</f>
        <v>97.32722547</v>
      </c>
      <c r="F698" s="31">
        <f>IFERROR(__xludf.DUMMYFUNCTION("""COMPUTED_VALUE"""),34.278252051945586)</f>
        <v>34.27825205</v>
      </c>
      <c r="G698" s="31">
        <f>IFERROR(__xludf.DUMMYFUNCTION("""COMPUTED_VALUE"""),79.9088831049529)</f>
        <v>79.9088831</v>
      </c>
      <c r="H698" s="31">
        <f>IFERROR(__xludf.DUMMYFUNCTION("""COMPUTED_VALUE"""),8.637147604027199)</f>
        <v>8.637147604</v>
      </c>
      <c r="I698" s="54">
        <f>IFERROR(__xludf.DUMMYFUNCTION("""COMPUTED_VALUE"""),36.0)</f>
        <v>36</v>
      </c>
      <c r="J698" s="55">
        <f>IFERROR(__xludf.DUMMYFUNCTION("""COMPUTED_VALUE"""),25.0)</f>
        <v>25</v>
      </c>
      <c r="K698" s="54">
        <f>IFERROR(__xludf.DUMMYFUNCTION("""COMPUTED_VALUE"""),11.0)</f>
        <v>11</v>
      </c>
      <c r="L698" s="56">
        <f>IFERROR(__xludf.DUMMYFUNCTION("""COMPUTED_VALUE"""),0.6944444444444444)</f>
        <v>0.6944444444</v>
      </c>
      <c r="M698" s="56">
        <f>IFERROR(__xludf.DUMMYFUNCTION("""COMPUTED_VALUE"""),0.33587786259541985)</f>
        <v>0.3358778626</v>
      </c>
      <c r="N698" s="31">
        <f>IFERROR(__xludf.DUMMYFUNCTION("""COMPUTED_VALUE"""),414.77777777777777)</f>
        <v>414.7777778</v>
      </c>
      <c r="O698" s="57">
        <f>IFERROR(__xludf.DUMMYFUNCTION("""COMPUTED_VALUE"""),1.2222222222222223)</f>
        <v>1.222222222</v>
      </c>
      <c r="P698" s="57">
        <f>IFERROR(__xludf.DUMMYFUNCTION("""COMPUTED_VALUE"""),0.7777777777777778)</f>
        <v>0.7777777778</v>
      </c>
      <c r="Q698" s="57">
        <f>IFERROR(__xludf.DUMMYFUNCTION("""COMPUTED_VALUE"""),1.0277777777777777)</f>
        <v>1.027777778</v>
      </c>
      <c r="R698" s="57">
        <f>IFERROR(__xludf.DUMMYFUNCTION("""COMPUTED_VALUE"""),3.638888888888889)</f>
        <v>3.638888889</v>
      </c>
      <c r="S698" s="31">
        <f>IFERROR(__xludf.DUMMYFUNCTION("""COMPUTED_VALUE"""),353.55555555555543)</f>
        <v>353.5555556</v>
      </c>
      <c r="T698" s="57">
        <f>IFERROR(__xludf.DUMMYFUNCTION("""COMPUTED_VALUE"""),0.6666666666666666)</f>
        <v>0.6666666667</v>
      </c>
      <c r="U698" s="57">
        <f>IFERROR(__xludf.DUMMYFUNCTION("""COMPUTED_VALUE"""),0.537037037037037)</f>
        <v>0.537037037</v>
      </c>
      <c r="V698" s="57">
        <f>IFERROR(__xludf.DUMMYFUNCTION("""COMPUTED_VALUE"""),1.6388888888888888)</f>
        <v>1.638888889</v>
      </c>
      <c r="W698" s="57">
        <f>IFERROR(__xludf.DUMMYFUNCTION("""COMPUTED_VALUE"""),2.314814814814815)</f>
        <v>2.314814815</v>
      </c>
      <c r="X698" s="31">
        <f>IFERROR(__xludf.DUMMYFUNCTION("""COMPUTED_VALUE"""),356.6773735992172)</f>
        <v>356.6773736</v>
      </c>
      <c r="Y698" s="57">
        <f>IFERROR(__xludf.DUMMYFUNCTION("""COMPUTED_VALUE"""),0.7834444227796006)</f>
        <v>0.7834444228</v>
      </c>
      <c r="Z698" s="57">
        <f>IFERROR(__xludf.DUMMYFUNCTION("""COMPUTED_VALUE"""),0.5909854956669809)</f>
        <v>0.5909854957</v>
      </c>
      <c r="AA698" s="57">
        <f>IFERROR(__xludf.DUMMYFUNCTION("""COMPUTED_VALUE"""),1.3816257503361167)</f>
        <v>1.38162575</v>
      </c>
      <c r="AB698" s="57">
        <f>IFERROR(__xludf.DUMMYFUNCTION("""COMPUTED_VALUE"""),2.5680574072793028)</f>
        <v>2.568057407</v>
      </c>
      <c r="AC698" s="31">
        <f>IFERROR(__xludf.DUMMYFUNCTION("""COMPUTED_VALUE"""),359.8913447731154)</f>
        <v>359.8913448</v>
      </c>
      <c r="AD698" s="57">
        <f>IFERROR(__xludf.DUMMYFUNCTION("""COMPUTED_VALUE"""),0.8442700498792658)</f>
        <v>0.8442700499</v>
      </c>
      <c r="AE698" s="57">
        <f>IFERROR(__xludf.DUMMYFUNCTION("""COMPUTED_VALUE"""),0.6191970952244515)</f>
        <v>0.6191970952</v>
      </c>
      <c r="AF698" s="57">
        <f>IFERROR(__xludf.DUMMYFUNCTION("""COMPUTED_VALUE"""),1.3137622281200854)</f>
        <v>1.313762228</v>
      </c>
      <c r="AG698" s="57">
        <f>IFERROR(__xludf.DUMMYFUNCTION("""COMPUTED_VALUE"""),2.6831236444351174)</f>
        <v>2.683123644</v>
      </c>
      <c r="AH698" s="57">
        <f>IFERROR(__xludf.DUMMYFUNCTION("""COMPUTED_VALUE"""),1.1525083439816097)</f>
        <v>1.152508344</v>
      </c>
      <c r="AI698" s="57">
        <f>IFERROR(__xludf.DUMMYFUNCTION("""COMPUTED_VALUE"""),1.4476673931486794)</f>
        <v>1.447667393</v>
      </c>
      <c r="AJ698" s="57">
        <f>IFERROR(__xludf.DUMMYFUNCTION("""COMPUTED_VALUE"""),1.2561069549201336)</f>
        <v>1.256106955</v>
      </c>
      <c r="AK698" s="57">
        <f>IFERROR(__xludf.DUMMYFUNCTION("""COMPUTED_VALUE"""),0.7823164312224639)</f>
        <v>0.7823164312</v>
      </c>
      <c r="AL698" s="57">
        <f>IFERROR(__xludf.DUMMYFUNCTION("""COMPUTED_VALUE"""),1.356213641676953)</f>
        <v>1.356213642</v>
      </c>
      <c r="AM698" s="57">
        <f>IFERROR(__xludf.DUMMYFUNCTION("""COMPUTED_VALUE"""),0.9912475018749868)</f>
        <v>0.9912475019</v>
      </c>
      <c r="AN698" s="57">
        <f>IFERROR(__xludf.DUMMYFUNCTION("""COMPUTED_VALUE"""),0.8509431521656438)</f>
        <v>0.8509431522</v>
      </c>
      <c r="AO698" s="57">
        <f>IFERROR(__xludf.DUMMYFUNCTION("""COMPUTED_VALUE"""),0.9087144117317835)</f>
        <v>0.9087144117</v>
      </c>
      <c r="AP698" s="35">
        <f>IFERROR(__xludf.DUMMYFUNCTION("""COMPUTED_VALUE"""),1.1862032019091902)</f>
        <v>1.186203202</v>
      </c>
      <c r="AQ698" s="57">
        <f>IFERROR(__xludf.DUMMYFUNCTION("""COMPUTED_VALUE"""),0.901387487777081)</f>
        <v>0.9013874878</v>
      </c>
      <c r="AR698" s="36" t="b">
        <f>IFERROR(__xludf.DUMMYFUNCTION("""COMPUTED_VALUE"""),TRUE)</f>
        <v>1</v>
      </c>
      <c r="AS698" s="57"/>
      <c r="AT698" s="37"/>
      <c r="AU698" s="30"/>
      <c r="AV698" s="30"/>
      <c r="AW698" s="30"/>
      <c r="AX698" s="30"/>
      <c r="AY698" s="30"/>
      <c r="AZ698" s="30"/>
    </row>
    <row r="699">
      <c r="A699" s="30" t="str">
        <f>IFERROR(__xludf.DUMMYFUNCTION("""COMPUTED_VALUE"""),"Veteran")</f>
        <v>Veteran</v>
      </c>
      <c r="B699" s="30" t="str">
        <f>IFERROR(__xludf.DUMMYFUNCTION("""COMPUTED_VALUE"""),"RSC004872")</f>
        <v>RSC004872</v>
      </c>
      <c r="C699" s="30" t="str">
        <f>IFERROR(__xludf.DUMMYFUNCTION("""COMPUTED_VALUE"""),"JustLaben")</f>
        <v>JustLaben</v>
      </c>
      <c r="D699" s="31" t="str">
        <f>IFERROR(__xludf.DUMMYFUNCTION("""COMPUTED_VALUE"""),"Cannoli")</f>
        <v>Cannoli</v>
      </c>
      <c r="E699" s="31">
        <f>IFERROR(__xludf.DUMMYFUNCTION("""COMPUTED_VALUE"""),96.34909908887775)</f>
        <v>96.34909909</v>
      </c>
      <c r="F699" s="31">
        <f>IFERROR(__xludf.DUMMYFUNCTION("""COMPUTED_VALUE"""),31.375346590566295)</f>
        <v>31.37534659</v>
      </c>
      <c r="G699" s="31">
        <f>IFERROR(__xludf.DUMMYFUNCTION("""COMPUTED_VALUE"""),76.74906518782862)</f>
        <v>76.74906519</v>
      </c>
      <c r="H699" s="31">
        <f>IFERROR(__xludf.DUMMYFUNCTION("""COMPUTED_VALUE"""),7.026514619494652)</f>
        <v>7.026514619</v>
      </c>
      <c r="I699" s="54">
        <f>IFERROR(__xludf.DUMMYFUNCTION("""COMPUTED_VALUE"""),35.0)</f>
        <v>35</v>
      </c>
      <c r="J699" s="55">
        <f>IFERROR(__xludf.DUMMYFUNCTION("""COMPUTED_VALUE"""),20.0)</f>
        <v>20</v>
      </c>
      <c r="K699" s="54">
        <f>IFERROR(__xludf.DUMMYFUNCTION("""COMPUTED_VALUE"""),15.0)</f>
        <v>15</v>
      </c>
      <c r="L699" s="56">
        <f>IFERROR(__xludf.DUMMYFUNCTION("""COMPUTED_VALUE"""),0.5714285714285714)</f>
        <v>0.5714285714</v>
      </c>
      <c r="M699" s="56">
        <f>IFERROR(__xludf.DUMMYFUNCTION("""COMPUTED_VALUE"""),0.3728813559322034)</f>
        <v>0.3728813559</v>
      </c>
      <c r="N699" s="31">
        <f>IFERROR(__xludf.DUMMYFUNCTION("""COMPUTED_VALUE"""),428.8857142857143)</f>
        <v>428.8857143</v>
      </c>
      <c r="O699" s="57">
        <f>IFERROR(__xludf.DUMMYFUNCTION("""COMPUTED_VALUE"""),1.2571428571428571)</f>
        <v>1.257142857</v>
      </c>
      <c r="P699" s="57">
        <f>IFERROR(__xludf.DUMMYFUNCTION("""COMPUTED_VALUE"""),0.7142857142857143)</f>
        <v>0.7142857143</v>
      </c>
      <c r="Q699" s="57">
        <f>IFERROR(__xludf.DUMMYFUNCTION("""COMPUTED_VALUE"""),1.5142857142857142)</f>
        <v>1.514285714</v>
      </c>
      <c r="R699" s="57">
        <f>IFERROR(__xludf.DUMMYFUNCTION("""COMPUTED_VALUE"""),3.3714285714285714)</f>
        <v>3.371428571</v>
      </c>
      <c r="S699" s="31">
        <f>IFERROR(__xludf.DUMMYFUNCTION("""COMPUTED_VALUE"""),351.5047619047619)</f>
        <v>351.5047619</v>
      </c>
      <c r="T699" s="57">
        <f>IFERROR(__xludf.DUMMYFUNCTION("""COMPUTED_VALUE"""),0.7142857142857143)</f>
        <v>0.7142857143</v>
      </c>
      <c r="U699" s="57">
        <f>IFERROR(__xludf.DUMMYFUNCTION("""COMPUTED_VALUE"""),0.4857142857142856)</f>
        <v>0.4857142857</v>
      </c>
      <c r="V699" s="57">
        <f>IFERROR(__xludf.DUMMYFUNCTION("""COMPUTED_VALUE"""),1.5809523809523813)</f>
        <v>1.580952381</v>
      </c>
      <c r="W699" s="57">
        <f>IFERROR(__xludf.DUMMYFUNCTION("""COMPUTED_VALUE"""),2.466666666666667)</f>
        <v>2.466666667</v>
      </c>
      <c r="X699" s="31">
        <f>IFERROR(__xludf.DUMMYFUNCTION("""COMPUTED_VALUE"""),355.31076566201585)</f>
        <v>355.3107657</v>
      </c>
      <c r="Y699" s="57">
        <f>IFERROR(__xludf.DUMMYFUNCTION("""COMPUTED_VALUE"""),0.7664847939827609)</f>
        <v>0.766484794</v>
      </c>
      <c r="Z699" s="57">
        <f>IFERROR(__xludf.DUMMYFUNCTION("""COMPUTED_VALUE"""),0.5587900780383838)</f>
        <v>0.558790078</v>
      </c>
      <c r="AA699" s="57">
        <f>IFERROR(__xludf.DUMMYFUNCTION("""COMPUTED_VALUE"""),1.391754753514308)</f>
        <v>1.391754754</v>
      </c>
      <c r="AB699" s="57">
        <f>IFERROR(__xludf.DUMMYFUNCTION("""COMPUTED_VALUE"""),2.578811598670098)</f>
        <v>2.578811599</v>
      </c>
      <c r="AC699" s="31">
        <f>IFERROR(__xludf.DUMMYFUNCTION("""COMPUTED_VALUE"""),356.8651503637406)</f>
        <v>356.8651504</v>
      </c>
      <c r="AD699" s="57">
        <f>IFERROR(__xludf.DUMMYFUNCTION("""COMPUTED_VALUE"""),0.7905413359435225)</f>
        <v>0.7905413359</v>
      </c>
      <c r="AE699" s="57">
        <f>IFERROR(__xludf.DUMMYFUNCTION("""COMPUTED_VALUE"""),0.5954123044677847)</f>
        <v>0.5954123045</v>
      </c>
      <c r="AF699" s="57">
        <f>IFERROR(__xludf.DUMMYFUNCTION("""COMPUTED_VALUE"""),1.3076322169141368)</f>
        <v>1.307632217</v>
      </c>
      <c r="AG699" s="57">
        <f>IFERROR(__xludf.DUMMYFUNCTION("""COMPUTED_VALUE"""),2.7209954222592683)</f>
        <v>2.720995422</v>
      </c>
      <c r="AH699" s="57">
        <f>IFERROR(__xludf.DUMMYFUNCTION("""COMPUTED_VALUE"""),1.2018145056993252)</f>
        <v>1.201814506</v>
      </c>
      <c r="AI699" s="57">
        <f>IFERROR(__xludf.DUMMYFUNCTION("""COMPUTED_VALUE"""),1.5902303902204418)</f>
        <v>1.59023039</v>
      </c>
      <c r="AJ699" s="57">
        <f>IFERROR(__xludf.DUMMYFUNCTION("""COMPUTED_VALUE"""),1.1996488969508041)</f>
        <v>1.199648897</v>
      </c>
      <c r="AK699" s="57">
        <f>IFERROR(__xludf.DUMMYFUNCTION("""COMPUTED_VALUE"""),1.158036407101728)</f>
        <v>1.158036407</v>
      </c>
      <c r="AL699" s="57">
        <f>IFERROR(__xludf.DUMMYFUNCTION("""COMPUTED_VALUE"""),1.2390423533418673)</f>
        <v>1.239042353</v>
      </c>
      <c r="AM699" s="57">
        <f>IFERROR(__xludf.DUMMYFUNCTION("""COMPUTED_VALUE"""),0.9892882396902255)</f>
        <v>0.9892882397</v>
      </c>
      <c r="AN699" s="57">
        <f>IFERROR(__xludf.DUMMYFUNCTION("""COMPUTED_VALUE"""),0.9318980883810976)</f>
        <v>0.9318980884</v>
      </c>
      <c r="AO699" s="57">
        <f>IFERROR(__xludf.DUMMYFUNCTION("""COMPUTED_VALUE"""),0.8692249644434836)</f>
        <v>0.8692249644</v>
      </c>
      <c r="AP699" s="35">
        <f>IFERROR(__xludf.DUMMYFUNCTION("""COMPUTED_VALUE"""),1.135941786410524)</f>
        <v>1.135941786</v>
      </c>
      <c r="AQ699" s="57">
        <f>IFERROR(__xludf.DUMMYFUNCTION("""COMPUTED_VALUE"""),0.9565129410534431)</f>
        <v>0.9565129411</v>
      </c>
      <c r="AR699" s="36" t="b">
        <f>IFERROR(__xludf.DUMMYFUNCTION("""COMPUTED_VALUE"""),TRUE)</f>
        <v>1</v>
      </c>
      <c r="AS699" s="57"/>
      <c r="AT699" s="37"/>
      <c r="AU699" s="30"/>
      <c r="AV699" s="30"/>
      <c r="AW699" s="30"/>
      <c r="AX699" s="30"/>
      <c r="AY699" s="30"/>
      <c r="AZ699" s="30"/>
    </row>
    <row r="700">
      <c r="A700" s="30" t="str">
        <f>IFERROR(__xludf.DUMMYFUNCTION("""COMPUTED_VALUE"""),"Veteran")</f>
        <v>Veteran</v>
      </c>
      <c r="B700" s="30" t="str">
        <f>IFERROR(__xludf.DUMMYFUNCTION("""COMPUTED_VALUE"""),"RSC006860")</f>
        <v>RSC006860</v>
      </c>
      <c r="C700" s="30" t="str">
        <f>IFERROR(__xludf.DUMMYFUNCTION("""COMPUTED_VALUE"""),"RyAndGav")</f>
        <v>RyAndGav</v>
      </c>
      <c r="D700" s="31" t="str">
        <f>IFERROR(__xludf.DUMMYFUNCTION("""COMPUTED_VALUE"""),"Water")</f>
        <v>Water</v>
      </c>
      <c r="E700" s="31">
        <f>IFERROR(__xludf.DUMMYFUNCTION("""COMPUTED_VALUE"""),94.00424633054321)</f>
        <v>94.00424633</v>
      </c>
      <c r="F700" s="31">
        <f>IFERROR(__xludf.DUMMYFUNCTION("""COMPUTED_VALUE"""),25.517035160179134)</f>
        <v>25.51703516</v>
      </c>
      <c r="G700" s="31">
        <f>IFERROR(__xludf.DUMMYFUNCTION("""COMPUTED_VALUE"""),86.98651889757949)</f>
        <v>86.9865189</v>
      </c>
      <c r="H700" s="31">
        <f>IFERROR(__xludf.DUMMYFUNCTION("""COMPUTED_VALUE"""),14.386707689145128)</f>
        <v>14.38670769</v>
      </c>
      <c r="I700" s="54">
        <f>IFERROR(__xludf.DUMMYFUNCTION("""COMPUTED_VALUE"""),11.0)</f>
        <v>11</v>
      </c>
      <c r="J700" s="55">
        <f>IFERROR(__xludf.DUMMYFUNCTION("""COMPUTED_VALUE"""),6.0)</f>
        <v>6</v>
      </c>
      <c r="K700" s="54">
        <f>IFERROR(__xludf.DUMMYFUNCTION("""COMPUTED_VALUE"""),5.0)</f>
        <v>5</v>
      </c>
      <c r="L700" s="56">
        <f>IFERROR(__xludf.DUMMYFUNCTION("""COMPUTED_VALUE"""),0.5454545454545454)</f>
        <v>0.5454545455</v>
      </c>
      <c r="M700" s="56">
        <f>IFERROR(__xludf.DUMMYFUNCTION("""COMPUTED_VALUE"""),0.4799999999999999)</f>
        <v>0.48</v>
      </c>
      <c r="N700" s="31">
        <f>IFERROR(__xludf.DUMMYFUNCTION("""COMPUTED_VALUE"""),391.27272727272725)</f>
        <v>391.2727273</v>
      </c>
      <c r="O700" s="57">
        <f>IFERROR(__xludf.DUMMYFUNCTION("""COMPUTED_VALUE"""),1.0909090909090908)</f>
        <v>1.090909091</v>
      </c>
      <c r="P700" s="57">
        <f>IFERROR(__xludf.DUMMYFUNCTION("""COMPUTED_VALUE"""),1.0)</f>
        <v>1</v>
      </c>
      <c r="Q700" s="57">
        <f>IFERROR(__xludf.DUMMYFUNCTION("""COMPUTED_VALUE"""),1.0)</f>
        <v>1</v>
      </c>
      <c r="R700" s="57">
        <f>IFERROR(__xludf.DUMMYFUNCTION("""COMPUTED_VALUE"""),2.272727272727273)</f>
        <v>2.272727273</v>
      </c>
      <c r="S700" s="31">
        <f>IFERROR(__xludf.DUMMYFUNCTION("""COMPUTED_VALUE"""),300.5151515151515)</f>
        <v>300.5151515</v>
      </c>
      <c r="T700" s="57">
        <f>IFERROR(__xludf.DUMMYFUNCTION("""COMPUTED_VALUE"""),0.5757575757575757)</f>
        <v>0.5757575758</v>
      </c>
      <c r="U700" s="57">
        <f>IFERROR(__xludf.DUMMYFUNCTION("""COMPUTED_VALUE"""),0.3333333333333334)</f>
        <v>0.3333333333</v>
      </c>
      <c r="V700" s="57">
        <f>IFERROR(__xludf.DUMMYFUNCTION("""COMPUTED_VALUE"""),1.1515151515151514)</f>
        <v>1.151515152</v>
      </c>
      <c r="W700" s="57">
        <f>IFERROR(__xludf.DUMMYFUNCTION("""COMPUTED_VALUE"""),1.9393939393939392)</f>
        <v>1.939393939</v>
      </c>
      <c r="X700" s="31">
        <f>IFERROR(__xludf.DUMMYFUNCTION("""COMPUTED_VALUE"""),350.9828939948414)</f>
        <v>350.982894</v>
      </c>
      <c r="Y700" s="57">
        <f>IFERROR(__xludf.DUMMYFUNCTION("""COMPUTED_VALUE"""),0.7481414043297346)</f>
        <v>0.7481414043</v>
      </c>
      <c r="Z700" s="57">
        <f>IFERROR(__xludf.DUMMYFUNCTION("""COMPUTED_VALUE"""),0.5187688840606298)</f>
        <v>0.5187688841</v>
      </c>
      <c r="AA700" s="57">
        <f>IFERROR(__xludf.DUMMYFUNCTION("""COMPUTED_VALUE"""),1.4231288191392557)</f>
        <v>1.423128819</v>
      </c>
      <c r="AB700" s="57">
        <f>IFERROR(__xludf.DUMMYFUNCTION("""COMPUTED_VALUE"""),2.5105666769803388)</f>
        <v>2.510566677</v>
      </c>
      <c r="AC700" s="31">
        <f>IFERROR(__xludf.DUMMYFUNCTION("""COMPUTED_VALUE"""),366.10106584504115)</f>
        <v>366.1010658</v>
      </c>
      <c r="AD700" s="57">
        <f>IFERROR(__xludf.DUMMYFUNCTION("""COMPUTED_VALUE"""),0.8391336594918187)</f>
        <v>0.8391336595</v>
      </c>
      <c r="AE700" s="57">
        <f>IFERROR(__xludf.DUMMYFUNCTION("""COMPUTED_VALUE"""),0.6430034384232677)</f>
        <v>0.6430034384</v>
      </c>
      <c r="AF700" s="57">
        <f>IFERROR(__xludf.DUMMYFUNCTION("""COMPUTED_VALUE"""),1.3200781485071493)</f>
        <v>1.320078149</v>
      </c>
      <c r="AG700" s="57">
        <f>IFERROR(__xludf.DUMMYFUNCTION("""COMPUTED_VALUE"""),2.807848616203297)</f>
        <v>2.807848616</v>
      </c>
      <c r="AH700" s="57">
        <f>IFERROR(__xludf.DUMMYFUNCTION("""COMPUTED_VALUE"""),1.0687560451909213)</f>
        <v>1.068756045</v>
      </c>
      <c r="AI700" s="57">
        <f>IFERROR(__xludf.DUMMYFUNCTION("""COMPUTED_VALUE"""),1.300042107201072)</f>
        <v>1.300042107</v>
      </c>
      <c r="AJ700" s="57">
        <f>IFERROR(__xludf.DUMMYFUNCTION("""COMPUTED_VALUE"""),1.5552016369494643)</f>
        <v>1.555201637</v>
      </c>
      <c r="AK700" s="57">
        <f>IFERROR(__xludf.DUMMYFUNCTION("""COMPUTED_VALUE"""),0.7575309091593407)</f>
        <v>0.7575309092</v>
      </c>
      <c r="AL700" s="57">
        <f>IFERROR(__xludf.DUMMYFUNCTION("""COMPUTED_VALUE"""),0.8094194464801304)</f>
        <v>0.8094194465</v>
      </c>
      <c r="AM700" s="57">
        <f>IFERROR(__xludf.DUMMYFUNCTION("""COMPUTED_VALUE"""),0.8562102502909112)</f>
        <v>0.8562102503</v>
      </c>
      <c r="AN700" s="57">
        <f>IFERROR(__xludf.DUMMYFUNCTION("""COMPUTED_VALUE"""),0.769583894736318)</f>
        <v>0.7695838947</v>
      </c>
      <c r="AO700" s="57">
        <f>IFERROR(__xludf.DUMMYFUNCTION("""COMPUTED_VALUE"""),0.6425468904846188)</f>
        <v>0.6425468905</v>
      </c>
      <c r="AP700" s="35">
        <f>IFERROR(__xludf.DUMMYFUNCTION("""COMPUTED_VALUE"""),0.8091433017368146)</f>
        <v>0.8091433017</v>
      </c>
      <c r="AQ700" s="57">
        <f>IFERROR(__xludf.DUMMYFUNCTION("""COMPUTED_VALUE"""),0.7724925042527072)</f>
        <v>0.7724925043</v>
      </c>
      <c r="AR700" s="36" t="b">
        <f>IFERROR(__xludf.DUMMYFUNCTION("""COMPUTED_VALUE"""),TRUE)</f>
        <v>1</v>
      </c>
      <c r="AS700" s="57"/>
      <c r="AT700" s="37"/>
      <c r="AU700" s="30"/>
      <c r="AV700" s="30"/>
      <c r="AW700" s="30"/>
      <c r="AX700" s="30"/>
      <c r="AY700" s="30"/>
      <c r="AZ700" s="30"/>
    </row>
    <row r="701">
      <c r="A701" s="30" t="str">
        <f>IFERROR(__xludf.DUMMYFUNCTION("""COMPUTED_VALUE"""),"Veteran")</f>
        <v>Veteran</v>
      </c>
      <c r="B701" s="30" t="str">
        <f>IFERROR(__xludf.DUMMYFUNCTION("""COMPUTED_VALUE"""),"RSC007143")</f>
        <v>RSC007143</v>
      </c>
      <c r="C701" s="30" t="str">
        <f>IFERROR(__xludf.DUMMYFUNCTION("""COMPUTED_VALUE"""),"OmniMurders")</f>
        <v>OmniMurders</v>
      </c>
      <c r="D701" s="31"/>
      <c r="E701" s="31">
        <f>IFERROR(__xludf.DUMMYFUNCTION("""COMPUTED_VALUE"""),92.79746435300612)</f>
        <v>92.79746435</v>
      </c>
      <c r="F701" s="31">
        <f>IFERROR(__xludf.DUMMYFUNCTION("""COMPUTED_VALUE"""),23.010892036359618)</f>
        <v>23.01089204</v>
      </c>
      <c r="G701" s="31">
        <f>IFERROR(__xludf.DUMMYFUNCTION("""COMPUTED_VALUE"""),58.78581874229281)</f>
        <v>58.78581874</v>
      </c>
      <c r="H701" s="31">
        <f>IFERROR(__xludf.DUMMYFUNCTION("""COMPUTED_VALUE"""),2.757617614472543)</f>
        <v>2.757617614</v>
      </c>
      <c r="I701" s="54">
        <f>IFERROR(__xludf.DUMMYFUNCTION("""COMPUTED_VALUE"""),1.0)</f>
        <v>1</v>
      </c>
      <c r="J701" s="55">
        <f>IFERROR(__xludf.DUMMYFUNCTION("""COMPUTED_VALUE"""),1.0)</f>
        <v>1</v>
      </c>
      <c r="K701" s="54">
        <f>IFERROR(__xludf.DUMMYFUNCTION("""COMPUTED_VALUE"""),0.0)</f>
        <v>0</v>
      </c>
      <c r="L701" s="56">
        <f>IFERROR(__xludf.DUMMYFUNCTION("""COMPUTED_VALUE"""),1.0)</f>
        <v>1</v>
      </c>
      <c r="M701" s="56">
        <f>IFERROR(__xludf.DUMMYFUNCTION("""COMPUTED_VALUE"""),0.3333333333333333)</f>
        <v>0.3333333333</v>
      </c>
      <c r="N701" s="31">
        <f>IFERROR(__xludf.DUMMYFUNCTION("""COMPUTED_VALUE"""),530.0)</f>
        <v>530</v>
      </c>
      <c r="O701" s="57">
        <f>IFERROR(__xludf.DUMMYFUNCTION("""COMPUTED_VALUE"""),1.0)</f>
        <v>1</v>
      </c>
      <c r="P701" s="57">
        <f>IFERROR(__xludf.DUMMYFUNCTION("""COMPUTED_VALUE"""),1.0)</f>
        <v>1</v>
      </c>
      <c r="Q701" s="57">
        <f>IFERROR(__xludf.DUMMYFUNCTION("""COMPUTED_VALUE"""),3.0)</f>
        <v>3</v>
      </c>
      <c r="R701" s="57">
        <f>IFERROR(__xludf.DUMMYFUNCTION("""COMPUTED_VALUE"""),3.0)</f>
        <v>3</v>
      </c>
      <c r="S701" s="31">
        <f>IFERROR(__xludf.DUMMYFUNCTION("""COMPUTED_VALUE"""),442.0)</f>
        <v>442</v>
      </c>
      <c r="T701" s="57">
        <f>IFERROR(__xludf.DUMMYFUNCTION("""COMPUTED_VALUE"""),1.0)</f>
        <v>1</v>
      </c>
      <c r="U701" s="57">
        <f>IFERROR(__xludf.DUMMYFUNCTION("""COMPUTED_VALUE"""),0.0)</f>
        <v>0</v>
      </c>
      <c r="V701" s="57">
        <f>IFERROR(__xludf.DUMMYFUNCTION("""COMPUTED_VALUE"""),2.0)</f>
        <v>2</v>
      </c>
      <c r="W701" s="57">
        <f>IFERROR(__xludf.DUMMYFUNCTION("""COMPUTED_VALUE"""),3.3333333333333335)</f>
        <v>3.333333333</v>
      </c>
      <c r="X701" s="31">
        <f>IFERROR(__xludf.DUMMYFUNCTION("""COMPUTED_VALUE"""),348.92104454685096)</f>
        <v>348.9210445</v>
      </c>
      <c r="Y701" s="57">
        <f>IFERROR(__xludf.DUMMYFUNCTION("""COMPUTED_VALUE"""),0.7631336405529954)</f>
        <v>0.7631336406</v>
      </c>
      <c r="Z701" s="57">
        <f>IFERROR(__xludf.DUMMYFUNCTION("""COMPUTED_VALUE"""),0.4792626728110599)</f>
        <v>0.4792626728</v>
      </c>
      <c r="AA701" s="57">
        <f>IFERROR(__xludf.DUMMYFUNCTION("""COMPUTED_VALUE"""),1.314900153609831)</f>
        <v>1.314900154</v>
      </c>
      <c r="AB701" s="57">
        <f>IFERROR(__xludf.DUMMYFUNCTION("""COMPUTED_VALUE"""),2.799231950844854)</f>
        <v>2.799231951</v>
      </c>
      <c r="AC701" s="31">
        <f>IFERROR(__xludf.DUMMYFUNCTION("""COMPUTED_VALUE"""),398.5095750128008)</f>
        <v>398.509575</v>
      </c>
      <c r="AD701" s="57">
        <f>IFERROR(__xludf.DUMMYFUNCTION("""COMPUTED_VALUE"""),1.024679979518689)</f>
        <v>1.02467998</v>
      </c>
      <c r="AE701" s="57">
        <f>IFERROR(__xludf.DUMMYFUNCTION("""COMPUTED_VALUE"""),0.6977470558115719)</f>
        <v>0.6977470558</v>
      </c>
      <c r="AF701" s="57">
        <f>IFERROR(__xludf.DUMMYFUNCTION("""COMPUTED_VALUE"""),1.5137224782386074)</f>
        <v>1.513722478</v>
      </c>
      <c r="AG701" s="57">
        <f>IFERROR(__xludf.DUMMYFUNCTION("""COMPUTED_VALUE"""),2.902355350742447)</f>
        <v>2.902355351</v>
      </c>
      <c r="AH701" s="57">
        <f>IFERROR(__xludf.DUMMYFUNCTION("""COMPUTED_VALUE"""),1.3299554972624574)</f>
        <v>1.329955497</v>
      </c>
      <c r="AI701" s="57">
        <f>IFERROR(__xludf.DUMMYFUNCTION("""COMPUTED_VALUE"""),0.9759144513292027)</f>
        <v>0.9759144513</v>
      </c>
      <c r="AJ701" s="57">
        <f>IFERROR(__xludf.DUMMYFUNCTION("""COMPUTED_VALUE"""),1.4331841197622368)</f>
        <v>1.43318412</v>
      </c>
      <c r="AK701" s="57">
        <f>IFERROR(__xludf.DUMMYFUNCTION("""COMPUTED_VALUE"""),1.981869228427426)</f>
        <v>1.981869228</v>
      </c>
      <c r="AL701" s="57">
        <f>IFERROR(__xludf.DUMMYFUNCTION("""COMPUTED_VALUE"""),1.0336432440061396)</f>
        <v>1.033643244</v>
      </c>
      <c r="AM701" s="57">
        <f>IFERROR(__xludf.DUMMYFUNCTION("""COMPUTED_VALUE"""),1.266762228612585)</f>
        <v>1.266762229</v>
      </c>
      <c r="AN701" s="57">
        <f>IFERROR(__xludf.DUMMYFUNCTION("""COMPUTED_VALUE"""),1.3103864734299517)</f>
        <v>1.310386473</v>
      </c>
      <c r="AO701" s="57">
        <f>IFERROR(__xludf.DUMMYFUNCTION("""COMPUTED_VALUE"""),0.0)</f>
        <v>0</v>
      </c>
      <c r="AP701" s="35">
        <f>IFERROR(__xludf.DUMMYFUNCTION("""COMPUTED_VALUE"""),1.5210280373831775)</f>
        <v>1.521028037</v>
      </c>
      <c r="AQ701" s="57">
        <f>IFERROR(__xludf.DUMMYFUNCTION("""COMPUTED_VALUE"""),1.1908028315864567)</f>
        <v>1.190802832</v>
      </c>
      <c r="AR701" s="36" t="b">
        <f>IFERROR(__xludf.DUMMYFUNCTION("""COMPUTED_VALUE"""),TRUE)</f>
        <v>1</v>
      </c>
      <c r="AS701" s="57"/>
      <c r="AT701" s="37"/>
      <c r="AU701" s="30"/>
      <c r="AV701" s="30"/>
      <c r="AW701" s="30"/>
      <c r="AX701" s="30"/>
      <c r="AY701" s="30"/>
      <c r="AZ701" s="30"/>
    </row>
    <row r="702">
      <c r="A702" s="30" t="str">
        <f>IFERROR(__xludf.DUMMYFUNCTION("""COMPUTED_VALUE"""),"Veteran")</f>
        <v>Veteran</v>
      </c>
      <c r="B702" s="30" t="str">
        <f>IFERROR(__xludf.DUMMYFUNCTION("""COMPUTED_VALUE"""),"RSC004662")</f>
        <v>RSC004662</v>
      </c>
      <c r="C702" s="30" t="str">
        <f>IFERROR(__xludf.DUMMYFUNCTION("""COMPUTED_VALUE"""),"D_MATT_")</f>
        <v>D_MATT_</v>
      </c>
      <c r="D702" s="31" t="str">
        <f>IFERROR(__xludf.DUMMYFUNCTION("""COMPUTED_VALUE"""),"Penguins")</f>
        <v>Penguins</v>
      </c>
      <c r="E702" s="31">
        <f>IFERROR(__xludf.DUMMYFUNCTION("""COMPUTED_VALUE"""),92.10408207170454)</f>
        <v>92.10408207</v>
      </c>
      <c r="F702" s="31">
        <f>IFERROR(__xludf.DUMMYFUNCTION("""COMPUTED_VALUE"""),21.70371632880047)</f>
        <v>21.70371633</v>
      </c>
      <c r="G702" s="31">
        <f>IFERROR(__xludf.DUMMYFUNCTION("""COMPUTED_VALUE"""),92.1255306820335)</f>
        <v>92.12553068</v>
      </c>
      <c r="H702" s="31">
        <f>IFERROR(__xludf.DUMMYFUNCTION("""COMPUTED_VALUE"""),21.742799273004085)</f>
        <v>21.74279927</v>
      </c>
      <c r="I702" s="54">
        <f>IFERROR(__xludf.DUMMYFUNCTION("""COMPUTED_VALUE"""),32.0)</f>
        <v>32</v>
      </c>
      <c r="J702" s="55">
        <f>IFERROR(__xludf.DUMMYFUNCTION("""COMPUTED_VALUE"""),19.0)</f>
        <v>19</v>
      </c>
      <c r="K702" s="54">
        <f>IFERROR(__xludf.DUMMYFUNCTION("""COMPUTED_VALUE"""),13.0)</f>
        <v>13</v>
      </c>
      <c r="L702" s="56">
        <f>IFERROR(__xludf.DUMMYFUNCTION("""COMPUTED_VALUE"""),0.59375)</f>
        <v>0.59375</v>
      </c>
      <c r="M702" s="56">
        <f>IFERROR(__xludf.DUMMYFUNCTION("""COMPUTED_VALUE"""),0.35454545454545455)</f>
        <v>0.3545454545</v>
      </c>
      <c r="N702" s="31">
        <f>IFERROR(__xludf.DUMMYFUNCTION("""COMPUTED_VALUE"""),420.3125)</f>
        <v>420.3125</v>
      </c>
      <c r="O702" s="57">
        <f>IFERROR(__xludf.DUMMYFUNCTION("""COMPUTED_VALUE"""),1.21875)</f>
        <v>1.21875</v>
      </c>
      <c r="P702" s="57">
        <f>IFERROR(__xludf.DUMMYFUNCTION("""COMPUTED_VALUE"""),0.53125)</f>
        <v>0.53125</v>
      </c>
      <c r="Q702" s="57">
        <f>IFERROR(__xludf.DUMMYFUNCTION("""COMPUTED_VALUE"""),1.25)</f>
        <v>1.25</v>
      </c>
      <c r="R702" s="57">
        <f>IFERROR(__xludf.DUMMYFUNCTION("""COMPUTED_VALUE"""),3.4375)</f>
        <v>3.4375</v>
      </c>
      <c r="S702" s="31">
        <f>IFERROR(__xludf.DUMMYFUNCTION("""COMPUTED_VALUE"""),321.9270833333333)</f>
        <v>321.9270833</v>
      </c>
      <c r="T702" s="57">
        <f>IFERROR(__xludf.DUMMYFUNCTION("""COMPUTED_VALUE"""),0.625)</f>
        <v>0.625</v>
      </c>
      <c r="U702" s="57">
        <f>IFERROR(__xludf.DUMMYFUNCTION("""COMPUTED_VALUE"""),0.39583333333333337)</f>
        <v>0.3958333333</v>
      </c>
      <c r="V702" s="57">
        <f>IFERROR(__xludf.DUMMYFUNCTION("""COMPUTED_VALUE"""),1.5104166666666663)</f>
        <v>1.510416667</v>
      </c>
      <c r="W702" s="57">
        <f>IFERROR(__xludf.DUMMYFUNCTION("""COMPUTED_VALUE"""),2.135416666666666)</f>
        <v>2.135416667</v>
      </c>
      <c r="X702" s="31">
        <f>IFERROR(__xludf.DUMMYFUNCTION("""COMPUTED_VALUE"""),352.80137328591496)</f>
        <v>352.8013733</v>
      </c>
      <c r="Y702" s="57">
        <f>IFERROR(__xludf.DUMMYFUNCTION("""COMPUTED_VALUE"""),0.7728318684187944)</f>
        <v>0.7728318684</v>
      </c>
      <c r="Z702" s="57">
        <f>IFERROR(__xludf.DUMMYFUNCTION("""COMPUTED_VALUE"""),0.5488451815770004)</f>
        <v>0.5488451816</v>
      </c>
      <c r="AA702" s="57">
        <f>IFERROR(__xludf.DUMMYFUNCTION("""COMPUTED_VALUE"""),1.3970801205586156)</f>
        <v>1.397080121</v>
      </c>
      <c r="AB702" s="57">
        <f>IFERROR(__xludf.DUMMYFUNCTION("""COMPUTED_VALUE"""),2.55220149800284)</f>
        <v>2.552201498</v>
      </c>
      <c r="AC702" s="31">
        <f>IFERROR(__xludf.DUMMYFUNCTION("""COMPUTED_VALUE"""),346.504378104179)</f>
        <v>346.5043781</v>
      </c>
      <c r="AD702" s="57">
        <f>IFERROR(__xludf.DUMMYFUNCTION("""COMPUTED_VALUE"""),0.7696019976081923)</f>
        <v>0.7696019976</v>
      </c>
      <c r="AE702" s="57">
        <f>IFERROR(__xludf.DUMMYFUNCTION("""COMPUTED_VALUE"""),0.5522165467533776)</f>
        <v>0.5522165468</v>
      </c>
      <c r="AF702" s="57">
        <f>IFERROR(__xludf.DUMMYFUNCTION("""COMPUTED_VALUE"""),1.3174752325155987)</f>
        <v>1.317475233</v>
      </c>
      <c r="AG702" s="57">
        <f>IFERROR(__xludf.DUMMYFUNCTION("""COMPUTED_VALUE"""),2.6389557415091995)</f>
        <v>2.638955742</v>
      </c>
      <c r="AH702" s="57">
        <f>IFERROR(__xludf.DUMMYFUNCTION("""COMPUTED_VALUE"""),1.213007761401589)</f>
        <v>1.213007761</v>
      </c>
      <c r="AI702" s="57">
        <f>IFERROR(__xludf.DUMMYFUNCTION("""COMPUTED_VALUE"""),1.5836107543739393)</f>
        <v>1.583610754</v>
      </c>
      <c r="AJ702" s="57">
        <f>IFERROR(__xludf.DUMMYFUNCTION("""COMPUTED_VALUE"""),0.9620320200895006)</f>
        <v>0.9620320201</v>
      </c>
      <c r="AK702" s="57">
        <f>IFERROR(__xludf.DUMMYFUNCTION("""COMPUTED_VALUE"""),0.9487844394715785)</f>
        <v>0.9487844395</v>
      </c>
      <c r="AL702" s="57">
        <f>IFERROR(__xludf.DUMMYFUNCTION("""COMPUTED_VALUE"""),1.3025985794040331)</f>
        <v>1.302598579</v>
      </c>
      <c r="AM702" s="57">
        <f>IFERROR(__xludf.DUMMYFUNCTION("""COMPUTED_VALUE"""),0.9124881809131715)</f>
        <v>0.9124881809</v>
      </c>
      <c r="AN702" s="57">
        <f>IFERROR(__xludf.DUMMYFUNCTION("""COMPUTED_VALUE"""),0.8087140625796698)</f>
        <v>0.8087140626</v>
      </c>
      <c r="AO702" s="57">
        <f>IFERROR(__xludf.DUMMYFUNCTION("""COMPUTED_VALUE"""),0.721211275274355)</f>
        <v>0.7212112753</v>
      </c>
      <c r="AP702" s="35">
        <f>IFERROR(__xludf.DUMMYFUNCTION("""COMPUTED_VALUE"""),1.0811238700202346)</f>
        <v>1.08112387</v>
      </c>
      <c r="AQ702" s="57">
        <f>IFERROR(__xludf.DUMMYFUNCTION("""COMPUTED_VALUE"""),0.8366959538021124)</f>
        <v>0.8366959538</v>
      </c>
      <c r="AR702" s="36" t="b">
        <f>IFERROR(__xludf.DUMMYFUNCTION("""COMPUTED_VALUE"""),TRUE)</f>
        <v>1</v>
      </c>
      <c r="AS702" s="57"/>
      <c r="AT702" s="37"/>
      <c r="AU702" s="30"/>
      <c r="AV702" s="30"/>
      <c r="AW702" s="30"/>
      <c r="AX702" s="30"/>
      <c r="AY702" s="30"/>
      <c r="AZ702" s="30"/>
    </row>
    <row r="703">
      <c r="A703" s="30" t="str">
        <f>IFERROR(__xludf.DUMMYFUNCTION("""COMPUTED_VALUE"""),"Veteran")</f>
        <v>Veteran</v>
      </c>
      <c r="B703" s="30" t="str">
        <f>IFERROR(__xludf.DUMMYFUNCTION("""COMPUTED_VALUE"""),"RSC002906")</f>
        <v>RSC002906</v>
      </c>
      <c r="C703" s="30" t="str">
        <f>IFERROR(__xludf.DUMMYFUNCTION("""COMPUTED_VALUE"""),"PackRL")</f>
        <v>PackRL</v>
      </c>
      <c r="D703" s="31" t="str">
        <f>IFERROR(__xludf.DUMMYFUNCTION("""COMPUTED_VALUE"""),"Legati")</f>
        <v>Legati</v>
      </c>
      <c r="E703" s="31">
        <f>IFERROR(__xludf.DUMMYFUNCTION("""COMPUTED_VALUE"""),87.2680959645229)</f>
        <v>87.26809596</v>
      </c>
      <c r="F703" s="31">
        <f>IFERROR(__xludf.DUMMYFUNCTION("""COMPUTED_VALUE"""),14.702205212099697)</f>
        <v>14.70220521</v>
      </c>
      <c r="G703" s="31">
        <f>IFERROR(__xludf.DUMMYFUNCTION("""COMPUTED_VALUE"""),73.17185462394431)</f>
        <v>73.17185462</v>
      </c>
      <c r="H703" s="31">
        <f>IFERROR(__xludf.DUMMYFUNCTION("""COMPUTED_VALUE"""),5.64984739785336)</f>
        <v>5.649847398</v>
      </c>
      <c r="I703" s="54">
        <f>IFERROR(__xludf.DUMMYFUNCTION("""COMPUTED_VALUE"""),18.0)</f>
        <v>18</v>
      </c>
      <c r="J703" s="55">
        <f>IFERROR(__xludf.DUMMYFUNCTION("""COMPUTED_VALUE"""),12.0)</f>
        <v>12</v>
      </c>
      <c r="K703" s="54">
        <f>IFERROR(__xludf.DUMMYFUNCTION("""COMPUTED_VALUE"""),6.0)</f>
        <v>6</v>
      </c>
      <c r="L703" s="56">
        <f>IFERROR(__xludf.DUMMYFUNCTION("""COMPUTED_VALUE"""),0.6666666666666666)</f>
        <v>0.6666666667</v>
      </c>
      <c r="M703" s="56">
        <f>IFERROR(__xludf.DUMMYFUNCTION("""COMPUTED_VALUE"""),0.33898305084745767)</f>
        <v>0.3389830508</v>
      </c>
      <c r="N703" s="31">
        <f>IFERROR(__xludf.DUMMYFUNCTION("""COMPUTED_VALUE"""),458.44444444444446)</f>
        <v>458.4444444</v>
      </c>
      <c r="O703" s="57">
        <f>IFERROR(__xludf.DUMMYFUNCTION("""COMPUTED_VALUE"""),1.1111111111111112)</f>
        <v>1.111111111</v>
      </c>
      <c r="P703" s="57">
        <f>IFERROR(__xludf.DUMMYFUNCTION("""COMPUTED_VALUE"""),0.6111111111111112)</f>
        <v>0.6111111111</v>
      </c>
      <c r="Q703" s="57">
        <f>IFERROR(__xludf.DUMMYFUNCTION("""COMPUTED_VALUE"""),2.1666666666666665)</f>
        <v>2.166666667</v>
      </c>
      <c r="R703" s="57">
        <f>IFERROR(__xludf.DUMMYFUNCTION("""COMPUTED_VALUE"""),3.2777777777777777)</f>
        <v>3.277777778</v>
      </c>
      <c r="S703" s="31">
        <f>IFERROR(__xludf.DUMMYFUNCTION("""COMPUTED_VALUE"""),359.1666666666667)</f>
        <v>359.1666667</v>
      </c>
      <c r="T703" s="57">
        <f>IFERROR(__xludf.DUMMYFUNCTION("""COMPUTED_VALUE"""),0.7407407407407407)</f>
        <v>0.7407407407</v>
      </c>
      <c r="U703" s="57">
        <f>IFERROR(__xludf.DUMMYFUNCTION("""COMPUTED_VALUE"""),0.5555555555555557)</f>
        <v>0.5555555556</v>
      </c>
      <c r="V703" s="57">
        <f>IFERROR(__xludf.DUMMYFUNCTION("""COMPUTED_VALUE"""),1.5)</f>
        <v>1.5</v>
      </c>
      <c r="W703" s="57">
        <f>IFERROR(__xludf.DUMMYFUNCTION("""COMPUTED_VALUE"""),2.8888888888888884)</f>
        <v>2.888888889</v>
      </c>
      <c r="X703" s="31">
        <f>IFERROR(__xludf.DUMMYFUNCTION("""COMPUTED_VALUE"""),368.12910394968515)</f>
        <v>368.1291039</v>
      </c>
      <c r="Y703" s="57">
        <f>IFERROR(__xludf.DUMMYFUNCTION("""COMPUTED_VALUE"""),0.8284684915297307)</f>
        <v>0.8284684915</v>
      </c>
      <c r="Z703" s="57">
        <f>IFERROR(__xludf.DUMMYFUNCTION("""COMPUTED_VALUE"""),0.6366850363333739)</f>
        <v>0.6366850363</v>
      </c>
      <c r="AA703" s="57">
        <f>IFERROR(__xludf.DUMMYFUNCTION("""COMPUTED_VALUE"""),1.3842471932412257)</f>
        <v>1.384247193</v>
      </c>
      <c r="AB703" s="57">
        <f>IFERROR(__xludf.DUMMYFUNCTION("""COMPUTED_VALUE"""),2.674923713446732)</f>
        <v>2.674923713</v>
      </c>
      <c r="AC703" s="31">
        <f>IFERROR(__xludf.DUMMYFUNCTION("""COMPUTED_VALUE"""),354.70091805106375)</f>
        <v>354.7009181</v>
      </c>
      <c r="AD703" s="57">
        <f>IFERROR(__xludf.DUMMYFUNCTION("""COMPUTED_VALUE"""),0.7663450502763283)</f>
        <v>0.7663450503</v>
      </c>
      <c r="AE703" s="57">
        <f>IFERROR(__xludf.DUMMYFUNCTION("""COMPUTED_VALUE"""),0.5986318914755024)</f>
        <v>0.5986318915</v>
      </c>
      <c r="AF703" s="57">
        <f>IFERROR(__xludf.DUMMYFUNCTION("""COMPUTED_VALUE"""),1.326860923292201)</f>
        <v>1.326860923</v>
      </c>
      <c r="AG703" s="57">
        <f>IFERROR(__xludf.DUMMYFUNCTION("""COMPUTED_VALUE"""),2.643316378260018)</f>
        <v>2.643316378</v>
      </c>
      <c r="AH703" s="57">
        <f>IFERROR(__xludf.DUMMYFUNCTION("""COMPUTED_VALUE"""),1.2924816968712933)</f>
        <v>1.292481697</v>
      </c>
      <c r="AI703" s="57">
        <f>IFERROR(__xludf.DUMMYFUNCTION("""COMPUTED_VALUE"""),1.4498835879614116)</f>
        <v>1.449883588</v>
      </c>
      <c r="AJ703" s="57">
        <f>IFERROR(__xludf.DUMMYFUNCTION("""COMPUTED_VALUE"""),1.0208462325734937)</f>
        <v>1.020846233</v>
      </c>
      <c r="AK703" s="57">
        <f>IFERROR(__xludf.DUMMYFUNCTION("""COMPUTED_VALUE"""),1.632926728515558)</f>
        <v>1.632926729</v>
      </c>
      <c r="AL703" s="57">
        <f>IFERROR(__xludf.DUMMYFUNCTION("""COMPUTED_VALUE"""),1.2400247676501739)</f>
        <v>1.240024768</v>
      </c>
      <c r="AM703" s="57">
        <f>IFERROR(__xludf.DUMMYFUNCTION("""COMPUTED_VALUE"""),0.975654092037658)</f>
        <v>0.975654092</v>
      </c>
      <c r="AN703" s="57">
        <f>IFERROR(__xludf.DUMMYFUNCTION("""COMPUTED_VALUE"""),0.894108524722522)</f>
        <v>0.8941085247</v>
      </c>
      <c r="AO703" s="57">
        <f>IFERROR(__xludf.DUMMYFUNCTION("""COMPUTED_VALUE"""),0.8725751727336998)</f>
        <v>0.8725751727</v>
      </c>
      <c r="AP703" s="35">
        <f>IFERROR(__xludf.DUMMYFUNCTION("""COMPUTED_VALUE"""),1.083621485616119)</f>
        <v>1.083621486</v>
      </c>
      <c r="AQ703" s="57">
        <f>IFERROR(__xludf.DUMMYFUNCTION("""COMPUTED_VALUE"""),1.0799892626345051)</f>
        <v>1.079989263</v>
      </c>
      <c r="AR703" s="36" t="b">
        <f>IFERROR(__xludf.DUMMYFUNCTION("""COMPUTED_VALUE"""),TRUE)</f>
        <v>1</v>
      </c>
      <c r="AS703" s="57"/>
      <c r="AT703" s="37"/>
      <c r="AU703" s="30"/>
      <c r="AV703" s="30"/>
      <c r="AW703" s="30"/>
      <c r="AX703" s="30"/>
      <c r="AY703" s="30"/>
      <c r="AZ703" s="30"/>
    </row>
    <row r="704">
      <c r="A704" s="30" t="str">
        <f>IFERROR(__xludf.DUMMYFUNCTION("""COMPUTED_VALUE"""),"Veteran")</f>
        <v>Veteran</v>
      </c>
      <c r="B704" s="30" t="str">
        <f>IFERROR(__xludf.DUMMYFUNCTION("""COMPUTED_VALUE"""),"RSC007811")</f>
        <v>RSC007811</v>
      </c>
      <c r="C704" s="30" t="str">
        <f>IFERROR(__xludf.DUMMYFUNCTION("""COMPUTED_VALUE"""),"Gray")</f>
        <v>Gray</v>
      </c>
      <c r="D704" s="31" t="str">
        <f>IFERROR(__xludf.DUMMYFUNCTION("""COMPUTED_VALUE"""),"Gorillas")</f>
        <v>Gorillas</v>
      </c>
      <c r="E704" s="31">
        <f>IFERROR(__xludf.DUMMYFUNCTION("""COMPUTED_VALUE"""),86.62744530947727)</f>
        <v>86.62744531</v>
      </c>
      <c r="F704" s="31">
        <f>IFERROR(__xludf.DUMMYFUNCTION("""COMPUTED_VALUE"""),13.996366065656048)</f>
        <v>13.99636607</v>
      </c>
      <c r="G704" s="31">
        <f>IFERROR(__xludf.DUMMYFUNCTION("""COMPUTED_VALUE"""),76.05242330998031)</f>
        <v>76.05242331</v>
      </c>
      <c r="H704" s="31">
        <f>IFERROR(__xludf.DUMMYFUNCTION("""COMPUTED_VALUE"""),6.725701722738085)</f>
        <v>6.725701723</v>
      </c>
      <c r="I704" s="54">
        <f>IFERROR(__xludf.DUMMYFUNCTION("""COMPUTED_VALUE"""),36.0)</f>
        <v>36</v>
      </c>
      <c r="J704" s="55">
        <f>IFERROR(__xludf.DUMMYFUNCTION("""COMPUTED_VALUE"""),22.0)</f>
        <v>22</v>
      </c>
      <c r="K704" s="54">
        <f>IFERROR(__xludf.DUMMYFUNCTION("""COMPUTED_VALUE"""),14.0)</f>
        <v>14</v>
      </c>
      <c r="L704" s="56">
        <f>IFERROR(__xludf.DUMMYFUNCTION("""COMPUTED_VALUE"""),0.6111111111111112)</f>
        <v>0.6111111111</v>
      </c>
      <c r="M704" s="56">
        <f>IFERROR(__xludf.DUMMYFUNCTION("""COMPUTED_VALUE"""),0.3515625)</f>
        <v>0.3515625</v>
      </c>
      <c r="N704" s="31">
        <f>IFERROR(__xludf.DUMMYFUNCTION("""COMPUTED_VALUE"""),423.4166666666667)</f>
        <v>423.4166667</v>
      </c>
      <c r="O704" s="57">
        <f>IFERROR(__xludf.DUMMYFUNCTION("""COMPUTED_VALUE"""),1.25)</f>
        <v>1.25</v>
      </c>
      <c r="P704" s="57">
        <f>IFERROR(__xludf.DUMMYFUNCTION("""COMPUTED_VALUE"""),0.5)</f>
        <v>0.5</v>
      </c>
      <c r="Q704" s="57">
        <f>IFERROR(__xludf.DUMMYFUNCTION("""COMPUTED_VALUE"""),1.4166666666666667)</f>
        <v>1.416666667</v>
      </c>
      <c r="R704" s="57">
        <f>IFERROR(__xludf.DUMMYFUNCTION("""COMPUTED_VALUE"""),3.5555555555555554)</f>
        <v>3.555555556</v>
      </c>
      <c r="S704" s="31">
        <f>IFERROR(__xludf.DUMMYFUNCTION("""COMPUTED_VALUE"""),334.34259259259255)</f>
        <v>334.3425926</v>
      </c>
      <c r="T704" s="57">
        <f>IFERROR(__xludf.DUMMYFUNCTION("""COMPUTED_VALUE"""),0.6574074074074074)</f>
        <v>0.6574074074</v>
      </c>
      <c r="U704" s="57">
        <f>IFERROR(__xludf.DUMMYFUNCTION("""COMPUTED_VALUE"""),0.4629629629629629)</f>
        <v>0.462962963</v>
      </c>
      <c r="V704" s="57">
        <f>IFERROR(__xludf.DUMMYFUNCTION("""COMPUTED_VALUE"""),1.509259259259259)</f>
        <v>1.509259259</v>
      </c>
      <c r="W704" s="57">
        <f>IFERROR(__xludf.DUMMYFUNCTION("""COMPUTED_VALUE"""),2.314814814814815)</f>
        <v>2.314814815</v>
      </c>
      <c r="X704" s="31">
        <f>IFERROR(__xludf.DUMMYFUNCTION("""COMPUTED_VALUE"""),352.50696946791675)</f>
        <v>352.5069695</v>
      </c>
      <c r="Y704" s="57">
        <f>IFERROR(__xludf.DUMMYFUNCTION("""COMPUTED_VALUE"""),0.7878414595827143)</f>
        <v>0.7878414596</v>
      </c>
      <c r="Z704" s="57">
        <f>IFERROR(__xludf.DUMMYFUNCTION("""COMPUTED_VALUE"""),0.5999832212739934)</f>
        <v>0.5999832213</v>
      </c>
      <c r="AA704" s="57">
        <f>IFERROR(__xludf.DUMMYFUNCTION("""COMPUTED_VALUE"""),1.3450636312154491)</f>
        <v>1.345063631</v>
      </c>
      <c r="AB704" s="57">
        <f>IFERROR(__xludf.DUMMYFUNCTION("""COMPUTED_VALUE"""),2.673310812442284)</f>
        <v>2.673310812</v>
      </c>
      <c r="AC704" s="31">
        <f>IFERROR(__xludf.DUMMYFUNCTION("""COMPUTED_VALUE"""),367.76490463308437)</f>
        <v>367.7649046</v>
      </c>
      <c r="AD704" s="57">
        <f>IFERROR(__xludf.DUMMYFUNCTION("""COMPUTED_VALUE"""),0.8493216584718114)</f>
        <v>0.8493216585</v>
      </c>
      <c r="AE704" s="57">
        <f>IFERROR(__xludf.DUMMYFUNCTION("""COMPUTED_VALUE"""),0.6383918041393667)</f>
        <v>0.6383918041</v>
      </c>
      <c r="AF704" s="57">
        <f>IFERROR(__xludf.DUMMYFUNCTION("""COMPUTED_VALUE"""),1.4020346380619444)</f>
        <v>1.402034638</v>
      </c>
      <c r="AG704" s="57">
        <f>IFERROR(__xludf.DUMMYFUNCTION("""COMPUTED_VALUE"""),2.658765096993985)</f>
        <v>2.658765097</v>
      </c>
      <c r="AH704" s="57">
        <f>IFERROR(__xludf.DUMMYFUNCTION("""COMPUTED_VALUE"""),1.151324287153244)</f>
        <v>1.151324287</v>
      </c>
      <c r="AI704" s="57">
        <f>IFERROR(__xludf.DUMMYFUNCTION("""COMPUTED_VALUE"""),1.4717627738931456)</f>
        <v>1.471762774</v>
      </c>
      <c r="AJ704" s="57">
        <f>IFERROR(__xludf.DUMMYFUNCTION("""COMPUTED_VALUE"""),0.7832180751036796)</f>
        <v>0.7832180751</v>
      </c>
      <c r="AK704" s="57">
        <f>IFERROR(__xludf.DUMMYFUNCTION("""COMPUTED_VALUE"""),1.010436281820361)</f>
        <v>1.010436282</v>
      </c>
      <c r="AL704" s="57">
        <f>IFERROR(__xludf.DUMMYFUNCTION("""COMPUTED_VALUE"""),1.3372958594858517)</f>
        <v>1.337295859</v>
      </c>
      <c r="AM704" s="57">
        <f>IFERROR(__xludf.DUMMYFUNCTION("""COMPUTED_VALUE"""),0.9484708716461919)</f>
        <v>0.9484708716</v>
      </c>
      <c r="AN704" s="57">
        <f>IFERROR(__xludf.DUMMYFUNCTION("""COMPUTED_VALUE"""),0.834441243744151)</f>
        <v>0.8344412437</v>
      </c>
      <c r="AO704" s="57">
        <f>IFERROR(__xludf.DUMMYFUNCTION("""COMPUTED_VALUE"""),0.7716265164547699)</f>
        <v>0.7716265165</v>
      </c>
      <c r="AP704" s="35">
        <f>IFERROR(__xludf.DUMMYFUNCTION("""COMPUTED_VALUE"""),1.1220727586660244)</f>
        <v>1.122072759</v>
      </c>
      <c r="AQ704" s="57">
        <f>IFERROR(__xludf.DUMMYFUNCTION("""COMPUTED_VALUE"""),0.8658981230469216)</f>
        <v>0.865898123</v>
      </c>
      <c r="AR704" s="36" t="b">
        <f>IFERROR(__xludf.DUMMYFUNCTION("""COMPUTED_VALUE"""),TRUE)</f>
        <v>1</v>
      </c>
      <c r="AS704" s="57"/>
      <c r="AT704" s="37"/>
      <c r="AU704" s="30"/>
      <c r="AV704" s="30"/>
      <c r="AW704" s="30"/>
      <c r="AX704" s="30"/>
      <c r="AY704" s="30"/>
      <c r="AZ704" s="30"/>
    </row>
    <row r="705">
      <c r="A705" s="30" t="str">
        <f>IFERROR(__xludf.DUMMYFUNCTION("""COMPUTED_VALUE"""),"Veteran")</f>
        <v>Veteran</v>
      </c>
      <c r="B705" s="30" t="str">
        <f>IFERROR(__xludf.DUMMYFUNCTION("""COMPUTED_VALUE"""),"RSC000923")</f>
        <v>RSC000923</v>
      </c>
      <c r="C705" s="30" t="str">
        <f>IFERROR(__xludf.DUMMYFUNCTION("""COMPUTED_VALUE"""),"Stemantics")</f>
        <v>Stemantics</v>
      </c>
      <c r="D705" s="31" t="str">
        <f>IFERROR(__xludf.DUMMYFUNCTION("""COMPUTED_VALUE"""),"Legati")</f>
        <v>Legati</v>
      </c>
      <c r="E705" s="31">
        <f>IFERROR(__xludf.DUMMYFUNCTION("""COMPUTED_VALUE"""),84.19267257045144)</f>
        <v>84.19267257</v>
      </c>
      <c r="F705" s="31">
        <f>IFERROR(__xludf.DUMMYFUNCTION("""COMPUTED_VALUE"""),11.668350130201222)</f>
        <v>11.66835013</v>
      </c>
      <c r="G705" s="31">
        <f>IFERROR(__xludf.DUMMYFUNCTION("""COMPUTED_VALUE"""),67.07236101047299)</f>
        <v>67.07236101</v>
      </c>
      <c r="H705" s="31">
        <f>IFERROR(__xludf.DUMMYFUNCTION("""COMPUTED_VALUE"""),4.043070447331869)</f>
        <v>4.043070447</v>
      </c>
      <c r="I705" s="54">
        <f>IFERROR(__xludf.DUMMYFUNCTION("""COMPUTED_VALUE"""),36.0)</f>
        <v>36</v>
      </c>
      <c r="J705" s="55">
        <f>IFERROR(__xludf.DUMMYFUNCTION("""COMPUTED_VALUE"""),22.0)</f>
        <v>22</v>
      </c>
      <c r="K705" s="54">
        <f>IFERROR(__xludf.DUMMYFUNCTION("""COMPUTED_VALUE"""),14.0)</f>
        <v>14</v>
      </c>
      <c r="L705" s="56">
        <f>IFERROR(__xludf.DUMMYFUNCTION("""COMPUTED_VALUE"""),0.6111111111111112)</f>
        <v>0.6111111111</v>
      </c>
      <c r="M705" s="56">
        <f>IFERROR(__xludf.DUMMYFUNCTION("""COMPUTED_VALUE"""),0.3416666666666666)</f>
        <v>0.3416666667</v>
      </c>
      <c r="N705" s="31">
        <f>IFERROR(__xludf.DUMMYFUNCTION("""COMPUTED_VALUE"""),415.44444444444446)</f>
        <v>415.4444444</v>
      </c>
      <c r="O705" s="57">
        <f>IFERROR(__xludf.DUMMYFUNCTION("""COMPUTED_VALUE"""),1.1388888888888888)</f>
        <v>1.138888889</v>
      </c>
      <c r="P705" s="57">
        <f>IFERROR(__xludf.DUMMYFUNCTION("""COMPUTED_VALUE"""),0.6944444444444444)</f>
        <v>0.6944444444</v>
      </c>
      <c r="Q705" s="57">
        <f>IFERROR(__xludf.DUMMYFUNCTION("""COMPUTED_VALUE"""),1.3888888888888888)</f>
        <v>1.388888889</v>
      </c>
      <c r="R705" s="57">
        <f>IFERROR(__xludf.DUMMYFUNCTION("""COMPUTED_VALUE"""),3.3333333333333335)</f>
        <v>3.333333333</v>
      </c>
      <c r="S705" s="31">
        <f>IFERROR(__xludf.DUMMYFUNCTION("""COMPUTED_VALUE"""),373.75)</f>
        <v>373.75</v>
      </c>
      <c r="T705" s="57">
        <f>IFERROR(__xludf.DUMMYFUNCTION("""COMPUTED_VALUE"""),0.8796296296296295)</f>
        <v>0.8796296296</v>
      </c>
      <c r="U705" s="57">
        <f>IFERROR(__xludf.DUMMYFUNCTION("""COMPUTED_VALUE"""),0.6203703703703705)</f>
        <v>0.6203703704</v>
      </c>
      <c r="V705" s="57">
        <f>IFERROR(__xludf.DUMMYFUNCTION("""COMPUTED_VALUE"""),1.3981481481481481)</f>
        <v>1.398148148</v>
      </c>
      <c r="W705" s="57">
        <f>IFERROR(__xludf.DUMMYFUNCTION("""COMPUTED_VALUE"""),2.8518518518518525)</f>
        <v>2.851851852</v>
      </c>
      <c r="X705" s="31">
        <f>IFERROR(__xludf.DUMMYFUNCTION("""COMPUTED_VALUE"""),359.1697005533851)</f>
        <v>359.1697006</v>
      </c>
      <c r="Y705" s="57">
        <f>IFERROR(__xludf.DUMMYFUNCTION("""COMPUTED_VALUE"""),0.8034175690501832)</f>
        <v>0.8034175691</v>
      </c>
      <c r="Z705" s="57">
        <f>IFERROR(__xludf.DUMMYFUNCTION("""COMPUTED_VALUE"""),0.5991556227619785)</f>
        <v>0.5991556228</v>
      </c>
      <c r="AA705" s="57">
        <f>IFERROR(__xludf.DUMMYFUNCTION("""COMPUTED_VALUE"""),1.358708544600809)</f>
        <v>1.358708545</v>
      </c>
      <c r="AB705" s="57">
        <f>IFERROR(__xludf.DUMMYFUNCTION("""COMPUTED_VALUE"""),2.6290904295631186)</f>
        <v>2.62909043</v>
      </c>
      <c r="AC705" s="31">
        <f>IFERROR(__xludf.DUMMYFUNCTION("""COMPUTED_VALUE"""),358.2298594386152)</f>
        <v>358.2298594</v>
      </c>
      <c r="AD705" s="57">
        <f>IFERROR(__xludf.DUMMYFUNCTION("""COMPUTED_VALUE"""),0.7934656215482154)</f>
        <v>0.7934656215</v>
      </c>
      <c r="AE705" s="57">
        <f>IFERROR(__xludf.DUMMYFUNCTION("""COMPUTED_VALUE"""),0.5939453671534929)</f>
        <v>0.5939453672</v>
      </c>
      <c r="AF705" s="57">
        <f>IFERROR(__xludf.DUMMYFUNCTION("""COMPUTED_VALUE"""),1.3536046985503318)</f>
        <v>1.353604699</v>
      </c>
      <c r="AG705" s="57">
        <f>IFERROR(__xludf.DUMMYFUNCTION("""COMPUTED_VALUE"""),2.674423822517202)</f>
        <v>2.674423823</v>
      </c>
      <c r="AH705" s="57">
        <f>IFERROR(__xludf.DUMMYFUNCTION("""COMPUTED_VALUE"""),1.1597147292397418)</f>
        <v>1.159714729</v>
      </c>
      <c r="AI705" s="57">
        <f>IFERROR(__xludf.DUMMYFUNCTION("""COMPUTED_VALUE"""),1.4353348878136412)</f>
        <v>1.435334888</v>
      </c>
      <c r="AJ705" s="57">
        <f>IFERROR(__xludf.DUMMYFUNCTION("""COMPUTED_VALUE"""),1.1692059284384984)</f>
        <v>1.169205928</v>
      </c>
      <c r="AK705" s="57">
        <f>IFERROR(__xludf.DUMMYFUNCTION("""COMPUTED_VALUE"""),1.0260668350045956)</f>
        <v>1.026066835</v>
      </c>
      <c r="AL705" s="57">
        <f>IFERROR(__xludf.DUMMYFUNCTION("""COMPUTED_VALUE"""),1.246374379882676)</f>
        <v>1.24637438</v>
      </c>
      <c r="AM705" s="57">
        <f>IFERROR(__xludf.DUMMYFUNCTION("""COMPUTED_VALUE"""),1.0405944583414206)</f>
        <v>1.040594458</v>
      </c>
      <c r="AN705" s="57">
        <f>IFERROR(__xludf.DUMMYFUNCTION("""COMPUTED_VALUE"""),1.094859838165533)</f>
        <v>1.094859838</v>
      </c>
      <c r="AO705" s="57">
        <f>IFERROR(__xludf.DUMMYFUNCTION("""COMPUTED_VALUE"""),1.035407741832742)</f>
        <v>1.035407742</v>
      </c>
      <c r="AP705" s="35">
        <f>IFERROR(__xludf.DUMMYFUNCTION("""COMPUTED_VALUE"""),1.0290272727760954)</f>
        <v>1.029027273</v>
      </c>
      <c r="AQ705" s="57">
        <f>IFERROR(__xludf.DUMMYFUNCTION("""COMPUTED_VALUE"""),1.0847294637658207)</f>
        <v>1.084729464</v>
      </c>
      <c r="AR705" s="36" t="b">
        <f>IFERROR(__xludf.DUMMYFUNCTION("""COMPUTED_VALUE"""),TRUE)</f>
        <v>1</v>
      </c>
      <c r="AS705" s="57"/>
      <c r="AT705" s="37"/>
      <c r="AU705" s="30"/>
      <c r="AV705" s="30"/>
      <c r="AW705" s="30"/>
      <c r="AX705" s="30"/>
      <c r="AY705" s="30"/>
      <c r="AZ705" s="30"/>
    </row>
    <row r="706">
      <c r="A706" s="30" t="str">
        <f>IFERROR(__xludf.DUMMYFUNCTION("""COMPUTED_VALUE"""),"Veteran")</f>
        <v>Veteran</v>
      </c>
      <c r="B706" s="30" t="str">
        <f>IFERROR(__xludf.DUMMYFUNCTION("""COMPUTED_VALUE"""),"RSC002544")</f>
        <v>RSC002544</v>
      </c>
      <c r="C706" s="30" t="str">
        <f>IFERROR(__xludf.DUMMYFUNCTION("""COMPUTED_VALUE"""),"J.")</f>
        <v>J.</v>
      </c>
      <c r="D706" s="31" t="str">
        <f>IFERROR(__xludf.DUMMYFUNCTION("""COMPUTED_VALUE"""),"Makos")</f>
        <v>Makos</v>
      </c>
      <c r="E706" s="31">
        <f>IFERROR(__xludf.DUMMYFUNCTION("""COMPUTED_VALUE"""),82.52275785125492)</f>
        <v>82.52275785</v>
      </c>
      <c r="F706" s="31">
        <f>IFERROR(__xludf.DUMMYFUNCTION("""COMPUTED_VALUE"""),10.347191993896171)</f>
        <v>10.34719199</v>
      </c>
      <c r="G706" s="31">
        <f>IFERROR(__xludf.DUMMYFUNCTION("""COMPUTED_VALUE"""),60.90816602770775)</f>
        <v>60.90816603</v>
      </c>
      <c r="H706" s="31">
        <f>IFERROR(__xludf.DUMMYFUNCTION("""COMPUTED_VALUE"""),3.018413429711988)</f>
        <v>3.01841343</v>
      </c>
      <c r="I706" s="54">
        <f>IFERROR(__xludf.DUMMYFUNCTION("""COMPUTED_VALUE"""),35.0)</f>
        <v>35</v>
      </c>
      <c r="J706" s="55">
        <f>IFERROR(__xludf.DUMMYFUNCTION("""COMPUTED_VALUE"""),21.0)</f>
        <v>21</v>
      </c>
      <c r="K706" s="54">
        <f>IFERROR(__xludf.DUMMYFUNCTION("""COMPUTED_VALUE"""),14.0)</f>
        <v>14</v>
      </c>
      <c r="L706" s="56">
        <f>IFERROR(__xludf.DUMMYFUNCTION("""COMPUTED_VALUE"""),0.6)</f>
        <v>0.6</v>
      </c>
      <c r="M706" s="56">
        <f>IFERROR(__xludf.DUMMYFUNCTION("""COMPUTED_VALUE"""),0.32173913043478264)</f>
        <v>0.3217391304</v>
      </c>
      <c r="N706" s="31">
        <f>IFERROR(__xludf.DUMMYFUNCTION("""COMPUTED_VALUE"""),393.74285714285713)</f>
        <v>393.7428571</v>
      </c>
      <c r="O706" s="57">
        <f>IFERROR(__xludf.DUMMYFUNCTION("""COMPUTED_VALUE"""),1.0571428571428572)</f>
        <v>1.057142857</v>
      </c>
      <c r="P706" s="57">
        <f>IFERROR(__xludf.DUMMYFUNCTION("""COMPUTED_VALUE"""),0.6857142857142857)</f>
        <v>0.6857142857</v>
      </c>
      <c r="Q706" s="57">
        <f>IFERROR(__xludf.DUMMYFUNCTION("""COMPUTED_VALUE"""),1.5714285714285714)</f>
        <v>1.571428571</v>
      </c>
      <c r="R706" s="57">
        <f>IFERROR(__xludf.DUMMYFUNCTION("""COMPUTED_VALUE"""),3.2857142857142856)</f>
        <v>3.285714286</v>
      </c>
      <c r="S706" s="31">
        <f>IFERROR(__xludf.DUMMYFUNCTION("""COMPUTED_VALUE"""),364.4095238095237)</f>
        <v>364.4095238</v>
      </c>
      <c r="T706" s="57">
        <f>IFERROR(__xludf.DUMMYFUNCTION("""COMPUTED_VALUE"""),0.780952380952381)</f>
        <v>0.780952381</v>
      </c>
      <c r="U706" s="57">
        <f>IFERROR(__xludf.DUMMYFUNCTION("""COMPUTED_VALUE"""),0.5523809523809523)</f>
        <v>0.5523809524</v>
      </c>
      <c r="V706" s="57">
        <f>IFERROR(__xludf.DUMMYFUNCTION("""COMPUTED_VALUE"""),1.590476190476191)</f>
        <v>1.59047619</v>
      </c>
      <c r="W706" s="57">
        <f>IFERROR(__xludf.DUMMYFUNCTION("""COMPUTED_VALUE"""),2.676190476190476)</f>
        <v>2.676190476</v>
      </c>
      <c r="X706" s="31">
        <f>IFERROR(__xludf.DUMMYFUNCTION("""COMPUTED_VALUE"""),365.50427792192147)</f>
        <v>365.5042779</v>
      </c>
      <c r="Y706" s="57">
        <f>IFERROR(__xludf.DUMMYFUNCTION("""COMPUTED_VALUE"""),0.8038583691541132)</f>
        <v>0.8038583692</v>
      </c>
      <c r="Z706" s="57">
        <f>IFERROR(__xludf.DUMMYFUNCTION("""COMPUTED_VALUE"""),0.6383422028309531)</f>
        <v>0.6383422028</v>
      </c>
      <c r="AA706" s="57">
        <f>IFERROR(__xludf.DUMMYFUNCTION("""COMPUTED_VALUE"""),1.4084863665896468)</f>
        <v>1.408486367</v>
      </c>
      <c r="AB706" s="57">
        <f>IFERROR(__xludf.DUMMYFUNCTION("""COMPUTED_VALUE"""),2.7837448585168847)</f>
        <v>2.783744859</v>
      </c>
      <c r="AC706" s="31">
        <f>IFERROR(__xludf.DUMMYFUNCTION("""COMPUTED_VALUE"""),355.78811145342246)</f>
        <v>355.7881115</v>
      </c>
      <c r="AD706" s="57">
        <f>IFERROR(__xludf.DUMMYFUNCTION("""COMPUTED_VALUE"""),0.7822471182021199)</f>
        <v>0.7822471182</v>
      </c>
      <c r="AE706" s="57">
        <f>IFERROR(__xludf.DUMMYFUNCTION("""COMPUTED_VALUE"""),0.5961049466381537)</f>
        <v>0.5961049466</v>
      </c>
      <c r="AF706" s="57">
        <f>IFERROR(__xludf.DUMMYFUNCTION("""COMPUTED_VALUE"""),1.3638846272081118)</f>
        <v>1.363884627</v>
      </c>
      <c r="AG706" s="57">
        <f>IFERROR(__xludf.DUMMYFUNCTION("""COMPUTED_VALUE"""),2.6323207940284834)</f>
        <v>2.632320794</v>
      </c>
      <c r="AH706" s="57">
        <f>IFERROR(__xludf.DUMMYFUNCTION("""COMPUTED_VALUE"""),1.1066779481033995)</f>
        <v>1.106677948</v>
      </c>
      <c r="AI706" s="57">
        <f>IFERROR(__xludf.DUMMYFUNCTION("""COMPUTED_VALUE"""),1.3514180270456537)</f>
        <v>1.351418027</v>
      </c>
      <c r="AJ706" s="57">
        <f>IFERROR(__xludf.DUMMYFUNCTION("""COMPUTED_VALUE"""),1.150324770128986)</f>
        <v>1.15032477</v>
      </c>
      <c r="AK706" s="57">
        <f>IFERROR(__xludf.DUMMYFUNCTION("""COMPUTED_VALUE"""),1.1521711881490333)</f>
        <v>1.152171188</v>
      </c>
      <c r="AL706" s="57">
        <f>IFERROR(__xludf.DUMMYFUNCTION("""COMPUTED_VALUE"""),1.2482195533189)</f>
        <v>1.248219553</v>
      </c>
      <c r="AM706" s="57">
        <f>IFERROR(__xludf.DUMMYFUNCTION("""COMPUTED_VALUE"""),0.9970048117668499)</f>
        <v>0.9970048118</v>
      </c>
      <c r="AN706" s="57">
        <f>IFERROR(__xludf.DUMMYFUNCTION("""COMPUTED_VALUE"""),0.9715049452979685)</f>
        <v>0.9715049453</v>
      </c>
      <c r="AO706" s="57">
        <f>IFERROR(__xludf.DUMMYFUNCTION("""COMPUTED_VALUE"""),0.8653367268076975)</f>
        <v>0.8653367268</v>
      </c>
      <c r="AP706" s="35">
        <f>IFERROR(__xludf.DUMMYFUNCTION("""COMPUTED_VALUE"""),1.1292095033388179)</f>
        <v>1.129209503</v>
      </c>
      <c r="AQ706" s="57">
        <f>IFERROR(__xludf.DUMMYFUNCTION("""COMPUTED_VALUE"""),0.9613634194968173)</f>
        <v>0.9613634195</v>
      </c>
      <c r="AR706" s="36" t="b">
        <f>IFERROR(__xludf.DUMMYFUNCTION("""COMPUTED_VALUE"""),TRUE)</f>
        <v>1</v>
      </c>
      <c r="AS706" s="57"/>
      <c r="AT706" s="37"/>
      <c r="AU706" s="30"/>
      <c r="AV706" s="30"/>
      <c r="AW706" s="30"/>
      <c r="AX706" s="30"/>
      <c r="AY706" s="30"/>
      <c r="AZ706" s="30"/>
    </row>
    <row r="707">
      <c r="A707" s="30" t="str">
        <f>IFERROR(__xludf.DUMMYFUNCTION("""COMPUTED_VALUE"""),"Veteran")</f>
        <v>Veteran</v>
      </c>
      <c r="B707" s="30" t="str">
        <f>IFERROR(__xludf.DUMMYFUNCTION("""COMPUTED_VALUE"""),"RSC004917")</f>
        <v>RSC004917</v>
      </c>
      <c r="C707" s="30" t="str">
        <f>IFERROR(__xludf.DUMMYFUNCTION("""COMPUTED_VALUE"""),"Nahzey")</f>
        <v>Nahzey</v>
      </c>
      <c r="D707" s="31" t="str">
        <f>IFERROR(__xludf.DUMMYFUNCTION("""COMPUTED_VALUE"""),"Dog Fighters")</f>
        <v>Dog Fighters</v>
      </c>
      <c r="E707" s="31">
        <f>IFERROR(__xludf.DUMMYFUNCTION("""COMPUTED_VALUE"""),81.81895945575079)</f>
        <v>81.81895946</v>
      </c>
      <c r="F707" s="31">
        <f>IFERROR(__xludf.DUMMYFUNCTION("""COMPUTED_VALUE"""),9.847181836448497)</f>
        <v>9.847181836</v>
      </c>
      <c r="G707" s="31">
        <f>IFERROR(__xludf.DUMMYFUNCTION("""COMPUTED_VALUE"""),67.9502272135094)</f>
        <v>67.95022721</v>
      </c>
      <c r="H707" s="31">
        <f>IFERROR(__xludf.DUMMYFUNCTION("""COMPUTED_VALUE"""),4.230550777828364)</f>
        <v>4.230550778</v>
      </c>
      <c r="I707" s="54">
        <f>IFERROR(__xludf.DUMMYFUNCTION("""COMPUTED_VALUE"""),25.0)</f>
        <v>25</v>
      </c>
      <c r="J707" s="55">
        <f>IFERROR(__xludf.DUMMYFUNCTION("""COMPUTED_VALUE"""),14.0)</f>
        <v>14</v>
      </c>
      <c r="K707" s="54">
        <f>IFERROR(__xludf.DUMMYFUNCTION("""COMPUTED_VALUE"""),11.0)</f>
        <v>11</v>
      </c>
      <c r="L707" s="56">
        <f>IFERROR(__xludf.DUMMYFUNCTION("""COMPUTED_VALUE"""),0.56)</f>
        <v>0.56</v>
      </c>
      <c r="M707" s="56">
        <f>IFERROR(__xludf.DUMMYFUNCTION("""COMPUTED_VALUE"""),0.38235294117647056)</f>
        <v>0.3823529412</v>
      </c>
      <c r="N707" s="31">
        <f>IFERROR(__xludf.DUMMYFUNCTION("""COMPUTED_VALUE"""),407.56)</f>
        <v>407.56</v>
      </c>
      <c r="O707" s="57">
        <f>IFERROR(__xludf.DUMMYFUNCTION("""COMPUTED_VALUE"""),1.04)</f>
        <v>1.04</v>
      </c>
      <c r="P707" s="57">
        <f>IFERROR(__xludf.DUMMYFUNCTION("""COMPUTED_VALUE"""),0.64)</f>
        <v>0.64</v>
      </c>
      <c r="Q707" s="57">
        <f>IFERROR(__xludf.DUMMYFUNCTION("""COMPUTED_VALUE"""),1.64)</f>
        <v>1.64</v>
      </c>
      <c r="R707" s="57">
        <f>IFERROR(__xludf.DUMMYFUNCTION("""COMPUTED_VALUE"""),2.72)</f>
        <v>2.72</v>
      </c>
      <c r="S707" s="31">
        <f>IFERROR(__xludf.DUMMYFUNCTION("""COMPUTED_VALUE"""),341.65333333333336)</f>
        <v>341.6533333</v>
      </c>
      <c r="T707" s="57">
        <f>IFERROR(__xludf.DUMMYFUNCTION("""COMPUTED_VALUE"""),0.6133333333333334)</f>
        <v>0.6133333333</v>
      </c>
      <c r="U707" s="57">
        <f>IFERROR(__xludf.DUMMYFUNCTION("""COMPUTED_VALUE"""),0.4533333333333333)</f>
        <v>0.4533333333</v>
      </c>
      <c r="V707" s="57">
        <f>IFERROR(__xludf.DUMMYFUNCTION("""COMPUTED_VALUE"""),1.48)</f>
        <v>1.48</v>
      </c>
      <c r="W707" s="57">
        <f>IFERROR(__xludf.DUMMYFUNCTION("""COMPUTED_VALUE"""),2.4933333333333336)</f>
        <v>2.493333333</v>
      </c>
      <c r="X707" s="31">
        <f>IFERROR(__xludf.DUMMYFUNCTION("""COMPUTED_VALUE"""),354.35158377897875)</f>
        <v>354.3515838</v>
      </c>
      <c r="Y707" s="57">
        <f>IFERROR(__xludf.DUMMYFUNCTION("""COMPUTED_VALUE"""),0.7289697402465901)</f>
        <v>0.7289697402</v>
      </c>
      <c r="Z707" s="57">
        <f>IFERROR(__xludf.DUMMYFUNCTION("""COMPUTED_VALUE"""),0.5748674171784323)</f>
        <v>0.5748674172</v>
      </c>
      <c r="AA707" s="57">
        <f>IFERROR(__xludf.DUMMYFUNCTION("""COMPUTED_VALUE"""),1.4249906114169806)</f>
        <v>1.424990611</v>
      </c>
      <c r="AB707" s="57">
        <f>IFERROR(__xludf.DUMMYFUNCTION("""COMPUTED_VALUE"""),2.549659933338653)</f>
        <v>2.549659933</v>
      </c>
      <c r="AC707" s="31">
        <f>IFERROR(__xludf.DUMMYFUNCTION("""COMPUTED_VALUE"""),349.73969425390004)</f>
        <v>349.7396943</v>
      </c>
      <c r="AD707" s="57">
        <f>IFERROR(__xludf.DUMMYFUNCTION("""COMPUTED_VALUE"""),0.7392722765912406)</f>
        <v>0.7392722766</v>
      </c>
      <c r="AE707" s="57">
        <f>IFERROR(__xludf.DUMMYFUNCTION("""COMPUTED_VALUE"""),0.5318326803607224)</f>
        <v>0.5318326804</v>
      </c>
      <c r="AF707" s="57">
        <f>IFERROR(__xludf.DUMMYFUNCTION("""COMPUTED_VALUE"""),1.3710614185904249)</f>
        <v>1.371061419</v>
      </c>
      <c r="AG707" s="57">
        <f>IFERROR(__xludf.DUMMYFUNCTION("""COMPUTED_VALUE"""),2.6470708448452402)</f>
        <v>2.647070845</v>
      </c>
      <c r="AH707" s="57">
        <f>IFERROR(__xludf.DUMMYFUNCTION("""COMPUTED_VALUE"""),1.1653238299685944)</f>
        <v>1.16532383</v>
      </c>
      <c r="AI707" s="57">
        <f>IFERROR(__xludf.DUMMYFUNCTION("""COMPUTED_VALUE"""),1.406788855650593)</f>
        <v>1.406788856</v>
      </c>
      <c r="AJ707" s="57">
        <f>IFERROR(__xludf.DUMMYFUNCTION("""COMPUTED_VALUE"""),1.2033859964489428)</f>
        <v>1.203385996</v>
      </c>
      <c r="AK707" s="57">
        <f>IFERROR(__xludf.DUMMYFUNCTION("""COMPUTED_VALUE"""),1.196153562315296)</f>
        <v>1.196153562</v>
      </c>
      <c r="AL707" s="57">
        <f>IFERROR(__xludf.DUMMYFUNCTION("""COMPUTED_VALUE"""),1.0275508890503546)</f>
        <v>1.027550889</v>
      </c>
      <c r="AM707" s="57">
        <f>IFERROR(__xludf.DUMMYFUNCTION("""COMPUTED_VALUE"""),0.9641648266102693)</f>
        <v>0.9641648266</v>
      </c>
      <c r="AN707" s="57">
        <f>IFERROR(__xludf.DUMMYFUNCTION("""COMPUTED_VALUE"""),0.8413700863987301)</f>
        <v>0.8413700864</v>
      </c>
      <c r="AO707" s="57">
        <f>IFERROR(__xludf.DUMMYFUNCTION("""COMPUTED_VALUE"""),0.7885876287064358)</f>
        <v>0.7885876287</v>
      </c>
      <c r="AP707" s="35">
        <f>IFERROR(__xludf.DUMMYFUNCTION("""COMPUTED_VALUE"""),1.0386033340446497)</f>
        <v>1.038603334</v>
      </c>
      <c r="AQ707" s="57">
        <f>IFERROR(__xludf.DUMMYFUNCTION("""COMPUTED_VALUE"""),0.9779081911007784)</f>
        <v>0.9779081911</v>
      </c>
      <c r="AR707" s="36" t="b">
        <f>IFERROR(__xludf.DUMMYFUNCTION("""COMPUTED_VALUE"""),TRUE)</f>
        <v>1</v>
      </c>
      <c r="AS707" s="57"/>
      <c r="AT707" s="37"/>
      <c r="AU707" s="30"/>
      <c r="AV707" s="30"/>
      <c r="AW707" s="30"/>
      <c r="AX707" s="30"/>
      <c r="AY707" s="30"/>
      <c r="AZ707" s="30"/>
    </row>
    <row r="708">
      <c r="A708" s="30" t="str">
        <f>IFERROR(__xludf.DUMMYFUNCTION("""COMPUTED_VALUE"""),"Veteran")</f>
        <v>Veteran</v>
      </c>
      <c r="B708" s="30" t="str">
        <f>IFERROR(__xludf.DUMMYFUNCTION("""COMPUTED_VALUE"""),"RSC001921")</f>
        <v>RSC001921</v>
      </c>
      <c r="C708" s="30" t="str">
        <f>IFERROR(__xludf.DUMMYFUNCTION("""COMPUTED_VALUE"""),"Dom")</f>
        <v>Dom</v>
      </c>
      <c r="D708" s="31" t="str">
        <f>IFERROR(__xludf.DUMMYFUNCTION("""COMPUTED_VALUE"""),"Kirin")</f>
        <v>Kirin</v>
      </c>
      <c r="E708" s="31">
        <f>IFERROR(__xludf.DUMMYFUNCTION("""COMPUTED_VALUE"""),81.71488479234003)</f>
        <v>81.71488479</v>
      </c>
      <c r="F708" s="31">
        <f>IFERROR(__xludf.DUMMYFUNCTION("""COMPUTED_VALUE"""),9.775868240023552)</f>
        <v>9.77586824</v>
      </c>
      <c r="G708" s="31">
        <f>IFERROR(__xludf.DUMMYFUNCTION("""COMPUTED_VALUE"""),63.18132921364263)</f>
        <v>63.18132921</v>
      </c>
      <c r="H708" s="31">
        <f>IFERROR(__xludf.DUMMYFUNCTION("""COMPUTED_VALUE"""),3.3443821074388893)</f>
        <v>3.344382107</v>
      </c>
      <c r="I708" s="54">
        <f>IFERROR(__xludf.DUMMYFUNCTION("""COMPUTED_VALUE"""),24.0)</f>
        <v>24</v>
      </c>
      <c r="J708" s="55">
        <f>IFERROR(__xludf.DUMMYFUNCTION("""COMPUTED_VALUE"""),11.0)</f>
        <v>11</v>
      </c>
      <c r="K708" s="54">
        <f>IFERROR(__xludf.DUMMYFUNCTION("""COMPUTED_VALUE"""),13.0)</f>
        <v>13</v>
      </c>
      <c r="L708" s="56">
        <f>IFERROR(__xludf.DUMMYFUNCTION("""COMPUTED_VALUE"""),0.4583333333333333)</f>
        <v>0.4583333333</v>
      </c>
      <c r="M708" s="56">
        <f>IFERROR(__xludf.DUMMYFUNCTION("""COMPUTED_VALUE"""),0.4035087719298246)</f>
        <v>0.4035087719</v>
      </c>
      <c r="N708" s="31">
        <f>IFERROR(__xludf.DUMMYFUNCTION("""COMPUTED_VALUE"""),432.0416666666667)</f>
        <v>432.0416667</v>
      </c>
      <c r="O708" s="57">
        <f>IFERROR(__xludf.DUMMYFUNCTION("""COMPUTED_VALUE"""),0.9583333333333334)</f>
        <v>0.9583333333</v>
      </c>
      <c r="P708" s="57">
        <f>IFERROR(__xludf.DUMMYFUNCTION("""COMPUTED_VALUE"""),0.7916666666666666)</f>
        <v>0.7916666667</v>
      </c>
      <c r="Q708" s="57">
        <f>IFERROR(__xludf.DUMMYFUNCTION("""COMPUTED_VALUE"""),1.7083333333333333)</f>
        <v>1.708333333</v>
      </c>
      <c r="R708" s="57">
        <f>IFERROR(__xludf.DUMMYFUNCTION("""COMPUTED_VALUE"""),2.375)</f>
        <v>2.375</v>
      </c>
      <c r="S708" s="31">
        <f>IFERROR(__xludf.DUMMYFUNCTION("""COMPUTED_VALUE"""),382.1944444444445)</f>
        <v>382.1944444</v>
      </c>
      <c r="T708" s="57">
        <f>IFERROR(__xludf.DUMMYFUNCTION("""COMPUTED_VALUE"""),0.8194444444444445)</f>
        <v>0.8194444444</v>
      </c>
      <c r="U708" s="57">
        <f>IFERROR(__xludf.DUMMYFUNCTION("""COMPUTED_VALUE"""),0.638888888888889)</f>
        <v>0.6388888889</v>
      </c>
      <c r="V708" s="57">
        <f>IFERROR(__xludf.DUMMYFUNCTION("""COMPUTED_VALUE"""),1.2638888888888888)</f>
        <v>1.263888889</v>
      </c>
      <c r="W708" s="57">
        <f>IFERROR(__xludf.DUMMYFUNCTION("""COMPUTED_VALUE"""),2.9305555555555554)</f>
        <v>2.930555556</v>
      </c>
      <c r="X708" s="31">
        <f>IFERROR(__xludf.DUMMYFUNCTION("""COMPUTED_VALUE"""),376.17802717888503)</f>
        <v>376.1780272</v>
      </c>
      <c r="Y708" s="57">
        <f>IFERROR(__xludf.DUMMYFUNCTION("""COMPUTED_VALUE"""),0.896656905186317)</f>
        <v>0.8966569052</v>
      </c>
      <c r="Z708" s="57">
        <f>IFERROR(__xludf.DUMMYFUNCTION("""COMPUTED_VALUE"""),0.6726884272227408)</f>
        <v>0.6726884272</v>
      </c>
      <c r="AA708" s="57">
        <f>IFERROR(__xludf.DUMMYFUNCTION("""COMPUTED_VALUE"""),1.3425568004979767)</f>
        <v>1.3425568</v>
      </c>
      <c r="AB708" s="57">
        <f>IFERROR(__xludf.DUMMYFUNCTION("""COMPUTED_VALUE"""),2.88990846843788)</f>
        <v>2.889908468</v>
      </c>
      <c r="AC708" s="31">
        <f>IFERROR(__xludf.DUMMYFUNCTION("""COMPUTED_VALUE"""),354.3630125818565)</f>
        <v>354.3630126</v>
      </c>
      <c r="AD708" s="57">
        <f>IFERROR(__xludf.DUMMYFUNCTION("""COMPUTED_VALUE"""),0.7473406784150248)</f>
        <v>0.7473406784</v>
      </c>
      <c r="AE708" s="57">
        <f>IFERROR(__xludf.DUMMYFUNCTION("""COMPUTED_VALUE"""),0.5507019011308226)</f>
        <v>0.5507019011</v>
      </c>
      <c r="AF708" s="57">
        <f>IFERROR(__xludf.DUMMYFUNCTION("""COMPUTED_VALUE"""),1.4471746350055177)</f>
        <v>1.447174635</v>
      </c>
      <c r="AG708" s="57">
        <f>IFERROR(__xludf.DUMMYFUNCTION("""COMPUTED_VALUE"""),2.5527929957055773)</f>
        <v>2.552792996</v>
      </c>
      <c r="AH708" s="57">
        <f>IFERROR(__xludf.DUMMYFUNCTION("""COMPUTED_VALUE"""),1.219206438953238)</f>
        <v>1.219206439</v>
      </c>
      <c r="AI708" s="57">
        <f>IFERROR(__xludf.DUMMYFUNCTION("""COMPUTED_VALUE"""),1.2823245957463283)</f>
        <v>1.282324596</v>
      </c>
      <c r="AJ708" s="57">
        <f>IFERROR(__xludf.DUMMYFUNCTION("""COMPUTED_VALUE"""),1.4375593493340808)</f>
        <v>1.437559349</v>
      </c>
      <c r="AK708" s="57">
        <f>IFERROR(__xludf.DUMMYFUNCTION("""COMPUTED_VALUE"""),1.180461080515566)</f>
        <v>1.180461081</v>
      </c>
      <c r="AL708" s="57">
        <f>IFERROR(__xludf.DUMMYFUNCTION("""COMPUTED_VALUE"""),0.9303535398269)</f>
        <v>0.9303535398</v>
      </c>
      <c r="AM708" s="57">
        <f>IFERROR(__xludf.DUMMYFUNCTION("""COMPUTED_VALUE"""),1.0159935371841866)</f>
        <v>1.015993537</v>
      </c>
      <c r="AN708" s="57">
        <f>IFERROR(__xludf.DUMMYFUNCTION("""COMPUTED_VALUE"""),0.9138885115418495)</f>
        <v>0.9138885115</v>
      </c>
      <c r="AO708" s="57">
        <f>IFERROR(__xludf.DUMMYFUNCTION("""COMPUTED_VALUE"""),0.949754541677792)</f>
        <v>0.9497545417</v>
      </c>
      <c r="AP708" s="35">
        <f>IFERROR(__xludf.DUMMYFUNCTION("""COMPUTED_VALUE"""),0.9414044071879055)</f>
        <v>0.9414044072</v>
      </c>
      <c r="AQ708" s="57">
        <f>IFERROR(__xludf.DUMMYFUNCTION("""COMPUTED_VALUE"""),1.0140651814967852)</f>
        <v>1.014065181</v>
      </c>
      <c r="AR708" s="36" t="b">
        <f>IFERROR(__xludf.DUMMYFUNCTION("""COMPUTED_VALUE"""),TRUE)</f>
        <v>1</v>
      </c>
      <c r="AS708" s="57"/>
      <c r="AT708" s="37"/>
      <c r="AU708" s="30"/>
      <c r="AV708" s="30"/>
      <c r="AW708" s="30"/>
      <c r="AX708" s="30"/>
      <c r="AY708" s="30"/>
      <c r="AZ708" s="30"/>
    </row>
    <row r="709">
      <c r="A709" s="30" t="str">
        <f>IFERROR(__xludf.DUMMYFUNCTION("""COMPUTED_VALUE"""),"Veteran")</f>
        <v>Veteran</v>
      </c>
      <c r="B709" s="30" t="str">
        <f>IFERROR(__xludf.DUMMYFUNCTION("""COMPUTED_VALUE"""),"RSC006378")</f>
        <v>RSC006378</v>
      </c>
      <c r="C709" s="30" t="str">
        <f>IFERROR(__xludf.DUMMYFUNCTION("""COMPUTED_VALUE"""),"depressed vibez")</f>
        <v>depressed vibez</v>
      </c>
      <c r="D709" s="31" t="str">
        <f>IFERROR(__xludf.DUMMYFUNCTION("""COMPUTED_VALUE"""),"Penguins")</f>
        <v>Penguins</v>
      </c>
      <c r="E709" s="31">
        <f>IFERROR(__xludf.DUMMYFUNCTION("""COMPUTED_VALUE"""),81.03647411475713)</f>
        <v>81.03647411</v>
      </c>
      <c r="F709" s="31">
        <f>IFERROR(__xludf.DUMMYFUNCTION("""COMPUTED_VALUE"""),9.326781343971122)</f>
        <v>9.326781344</v>
      </c>
      <c r="G709" s="31">
        <f>IFERROR(__xludf.DUMMYFUNCTION("""COMPUTED_VALUE"""),70.78259668523003)</f>
        <v>70.78259669</v>
      </c>
      <c r="H709" s="31">
        <f>IFERROR(__xludf.DUMMYFUNCTION("""COMPUTED_VALUE"""),4.928512051281639)</f>
        <v>4.928512051</v>
      </c>
      <c r="I709" s="54">
        <f>IFERROR(__xludf.DUMMYFUNCTION("""COMPUTED_VALUE"""),23.0)</f>
        <v>23</v>
      </c>
      <c r="J709" s="55">
        <f>IFERROR(__xludf.DUMMYFUNCTION("""COMPUTED_VALUE"""),15.0)</f>
        <v>15</v>
      </c>
      <c r="K709" s="54">
        <f>IFERROR(__xludf.DUMMYFUNCTION("""COMPUTED_VALUE"""),8.0)</f>
        <v>8</v>
      </c>
      <c r="L709" s="56">
        <f>IFERROR(__xludf.DUMMYFUNCTION("""COMPUTED_VALUE"""),0.6521739130434783)</f>
        <v>0.652173913</v>
      </c>
      <c r="M709" s="56">
        <f>IFERROR(__xludf.DUMMYFUNCTION("""COMPUTED_VALUE"""),0.323943661971831)</f>
        <v>0.323943662</v>
      </c>
      <c r="N709" s="31">
        <f>IFERROR(__xludf.DUMMYFUNCTION("""COMPUTED_VALUE"""),368.30434782608694)</f>
        <v>368.3043478</v>
      </c>
      <c r="O709" s="57">
        <f>IFERROR(__xludf.DUMMYFUNCTION("""COMPUTED_VALUE"""),1.0)</f>
        <v>1</v>
      </c>
      <c r="P709" s="57">
        <f>IFERROR(__xludf.DUMMYFUNCTION("""COMPUTED_VALUE"""),0.6521739130434783)</f>
        <v>0.652173913</v>
      </c>
      <c r="Q709" s="57">
        <f>IFERROR(__xludf.DUMMYFUNCTION("""COMPUTED_VALUE"""),1.173913043478261)</f>
        <v>1.173913043</v>
      </c>
      <c r="R709" s="57">
        <f>IFERROR(__xludf.DUMMYFUNCTION("""COMPUTED_VALUE"""),3.0869565217391304)</f>
        <v>3.086956522</v>
      </c>
      <c r="S709" s="31">
        <f>IFERROR(__xludf.DUMMYFUNCTION("""COMPUTED_VALUE"""),322.6811594202898)</f>
        <v>322.6811594</v>
      </c>
      <c r="T709" s="57">
        <f>IFERROR(__xludf.DUMMYFUNCTION("""COMPUTED_VALUE"""),0.5942028985507247)</f>
        <v>0.5942028986</v>
      </c>
      <c r="U709" s="57">
        <f>IFERROR(__xludf.DUMMYFUNCTION("""COMPUTED_VALUE"""),0.40579710144927544)</f>
        <v>0.4057971014</v>
      </c>
      <c r="V709" s="57">
        <f>IFERROR(__xludf.DUMMYFUNCTION("""COMPUTED_VALUE"""),1.5362318840579712)</f>
        <v>1.536231884</v>
      </c>
      <c r="W709" s="57">
        <f>IFERROR(__xludf.DUMMYFUNCTION("""COMPUTED_VALUE"""),2.1884057971014492)</f>
        <v>2.188405797</v>
      </c>
      <c r="X709" s="31">
        <f>IFERROR(__xludf.DUMMYFUNCTION("""COMPUTED_VALUE"""),361.36617703053236)</f>
        <v>361.366177</v>
      </c>
      <c r="Y709" s="57">
        <f>IFERROR(__xludf.DUMMYFUNCTION("""COMPUTED_VALUE"""),0.7983983486482235)</f>
        <v>0.7983983486</v>
      </c>
      <c r="Z709" s="57">
        <f>IFERROR(__xludf.DUMMYFUNCTION("""COMPUTED_VALUE"""),0.5546871748802031)</f>
        <v>0.5546871749</v>
      </c>
      <c r="AA709" s="57">
        <f>IFERROR(__xludf.DUMMYFUNCTION("""COMPUTED_VALUE"""),1.4465637462607726)</f>
        <v>1.446563746</v>
      </c>
      <c r="AB709" s="57">
        <f>IFERROR(__xludf.DUMMYFUNCTION("""COMPUTED_VALUE"""),2.6662055190353535)</f>
        <v>2.666205519</v>
      </c>
      <c r="AC709" s="31">
        <f>IFERROR(__xludf.DUMMYFUNCTION("""COMPUTED_VALUE"""),351.58415836004133)</f>
        <v>351.5841584</v>
      </c>
      <c r="AD709" s="57">
        <f>IFERROR(__xludf.DUMMYFUNCTION("""COMPUTED_VALUE"""),0.7785409276944761)</f>
        <v>0.7785409277</v>
      </c>
      <c r="AE709" s="57">
        <f>IFERROR(__xludf.DUMMYFUNCTION("""COMPUTED_VALUE"""),0.5622647475949991)</f>
        <v>0.5622647476</v>
      </c>
      <c r="AF709" s="57">
        <f>IFERROR(__xludf.DUMMYFUNCTION("""COMPUTED_VALUE"""),1.3468586923130486)</f>
        <v>1.346858692</v>
      </c>
      <c r="AG709" s="57">
        <f>IFERROR(__xludf.DUMMYFUNCTION("""COMPUTED_VALUE"""),2.6952574613181817)</f>
        <v>2.695257461</v>
      </c>
      <c r="AH709" s="57">
        <f>IFERROR(__xludf.DUMMYFUNCTION("""COMPUTED_VALUE"""),1.0475567202573537)</f>
        <v>1.04755672</v>
      </c>
      <c r="AI709" s="57">
        <f>IFERROR(__xludf.DUMMYFUNCTION("""COMPUTED_VALUE"""),1.284453988772741)</f>
        <v>1.284453989</v>
      </c>
      <c r="AJ709" s="57">
        <f>IFERROR(__xludf.DUMMYFUNCTION("""COMPUTED_VALUE"""),1.159905393025353)</f>
        <v>1.159905393</v>
      </c>
      <c r="AK709" s="57">
        <f>IFERROR(__xludf.DUMMYFUNCTION("""COMPUTED_VALUE"""),0.8715933231735122)</f>
        <v>0.8715933232</v>
      </c>
      <c r="AL709" s="57">
        <f>IFERROR(__xludf.DUMMYFUNCTION("""COMPUTED_VALUE"""),1.1453289958538426)</f>
        <v>1.145328996</v>
      </c>
      <c r="AM709" s="57">
        <f>IFERROR(__xludf.DUMMYFUNCTION("""COMPUTED_VALUE"""),0.892947873738128)</f>
        <v>0.8929478737</v>
      </c>
      <c r="AN709" s="57">
        <f>IFERROR(__xludf.DUMMYFUNCTION("""COMPUTED_VALUE"""),0.7442436467419752)</f>
        <v>0.7442436467</v>
      </c>
      <c r="AO709" s="57">
        <f>IFERROR(__xludf.DUMMYFUNCTION("""COMPUTED_VALUE"""),0.7315783018363751)</f>
        <v>0.7315783018</v>
      </c>
      <c r="AP709" s="35">
        <f>IFERROR(__xludf.DUMMYFUNCTION("""COMPUTED_VALUE"""),1.0619869936800104)</f>
        <v>1.061986994</v>
      </c>
      <c r="AQ709" s="57">
        <f>IFERROR(__xludf.DUMMYFUNCTION("""COMPUTED_VALUE"""),0.820794114136117)</f>
        <v>0.8207941141</v>
      </c>
      <c r="AR709" s="36" t="b">
        <f>IFERROR(__xludf.DUMMYFUNCTION("""COMPUTED_VALUE"""),TRUE)</f>
        <v>1</v>
      </c>
      <c r="AS709" s="57"/>
      <c r="AT709" s="37"/>
      <c r="AU709" s="30"/>
      <c r="AV709" s="30"/>
      <c r="AW709" s="30"/>
      <c r="AX709" s="30"/>
      <c r="AY709" s="30"/>
      <c r="AZ709" s="30"/>
    </row>
    <row r="710">
      <c r="A710" s="30" t="str">
        <f>IFERROR(__xludf.DUMMYFUNCTION("""COMPUTED_VALUE"""),"Veteran")</f>
        <v>Veteran</v>
      </c>
      <c r="B710" s="30" t="str">
        <f>IFERROR(__xludf.DUMMYFUNCTION("""COMPUTED_VALUE"""),"RSC000645")</f>
        <v>RSC000645</v>
      </c>
      <c r="C710" s="30" t="str">
        <f>IFERROR(__xludf.DUMMYFUNCTION("""COMPUTED_VALUE"""),"DenZ")</f>
        <v>DenZ</v>
      </c>
      <c r="D710" s="31" t="str">
        <f>IFERROR(__xludf.DUMMYFUNCTION("""COMPUTED_VALUE"""),"Grizzly Bears")</f>
        <v>Grizzly Bears</v>
      </c>
      <c r="E710" s="31">
        <f>IFERROR(__xludf.DUMMYFUNCTION("""COMPUTED_VALUE"""),80.59250223801001)</f>
        <v>80.59250224</v>
      </c>
      <c r="F710" s="31">
        <f>IFERROR(__xludf.DUMMYFUNCTION("""COMPUTED_VALUE"""),9.04709704769552)</f>
        <v>9.047097048</v>
      </c>
      <c r="G710" s="31">
        <f>IFERROR(__xludf.DUMMYFUNCTION("""COMPUTED_VALUE"""),67.55950535940332)</f>
        <v>67.55950536</v>
      </c>
      <c r="H710" s="31">
        <f>IFERROR(__xludf.DUMMYFUNCTION("""COMPUTED_VALUE"""),4.1455753534146815)</f>
        <v>4.145575353</v>
      </c>
      <c r="I710" s="54">
        <f>IFERROR(__xludf.DUMMYFUNCTION("""COMPUTED_VALUE"""),28.0)</f>
        <v>28</v>
      </c>
      <c r="J710" s="55">
        <f>IFERROR(__xludf.DUMMYFUNCTION("""COMPUTED_VALUE"""),17.0)</f>
        <v>17</v>
      </c>
      <c r="K710" s="54">
        <f>IFERROR(__xludf.DUMMYFUNCTION("""COMPUTED_VALUE"""),11.0)</f>
        <v>11</v>
      </c>
      <c r="L710" s="56">
        <f>IFERROR(__xludf.DUMMYFUNCTION("""COMPUTED_VALUE"""),0.6071428571428571)</f>
        <v>0.6071428571</v>
      </c>
      <c r="M710" s="56">
        <f>IFERROR(__xludf.DUMMYFUNCTION("""COMPUTED_VALUE"""),0.345679012345679)</f>
        <v>0.3456790123</v>
      </c>
      <c r="N710" s="31">
        <f>IFERROR(__xludf.DUMMYFUNCTION("""COMPUTED_VALUE"""),403.75)</f>
        <v>403.75</v>
      </c>
      <c r="O710" s="57">
        <f>IFERROR(__xludf.DUMMYFUNCTION("""COMPUTED_VALUE"""),1.0)</f>
        <v>1</v>
      </c>
      <c r="P710" s="57">
        <f>IFERROR(__xludf.DUMMYFUNCTION("""COMPUTED_VALUE"""),0.6785714285714286)</f>
        <v>0.6785714286</v>
      </c>
      <c r="Q710" s="57">
        <f>IFERROR(__xludf.DUMMYFUNCTION("""COMPUTED_VALUE"""),1.5714285714285714)</f>
        <v>1.571428571</v>
      </c>
      <c r="R710" s="57">
        <f>IFERROR(__xludf.DUMMYFUNCTION("""COMPUTED_VALUE"""),2.892857142857143)</f>
        <v>2.892857143</v>
      </c>
      <c r="S710" s="31">
        <f>IFERROR(__xludf.DUMMYFUNCTION("""COMPUTED_VALUE"""),345.36904761904765)</f>
        <v>345.3690476</v>
      </c>
      <c r="T710" s="57">
        <f>IFERROR(__xludf.DUMMYFUNCTION("""COMPUTED_VALUE"""),0.7738095238095236)</f>
        <v>0.7738095238</v>
      </c>
      <c r="U710" s="57">
        <f>IFERROR(__xludf.DUMMYFUNCTION("""COMPUTED_VALUE"""),0.5238095238095237)</f>
        <v>0.5238095238</v>
      </c>
      <c r="V710" s="57">
        <f>IFERROR(__xludf.DUMMYFUNCTION("""COMPUTED_VALUE"""),1.2857142857142854)</f>
        <v>1.285714286</v>
      </c>
      <c r="W710" s="57">
        <f>IFERROR(__xludf.DUMMYFUNCTION("""COMPUTED_VALUE"""),2.7023809523809526)</f>
        <v>2.702380952</v>
      </c>
      <c r="X710" s="31">
        <f>IFERROR(__xludf.DUMMYFUNCTION("""COMPUTED_VALUE"""),353.25083485015426)</f>
        <v>353.2508349</v>
      </c>
      <c r="Y710" s="57">
        <f>IFERROR(__xludf.DUMMYFUNCTION("""COMPUTED_VALUE"""),0.8161366347027454)</f>
        <v>0.8161366347</v>
      </c>
      <c r="Z710" s="57">
        <f>IFERROR(__xludf.DUMMYFUNCTION("""COMPUTED_VALUE"""),0.5676441460586676)</f>
        <v>0.5676441461</v>
      </c>
      <c r="AA710" s="57">
        <f>IFERROR(__xludf.DUMMYFUNCTION("""COMPUTED_VALUE"""),1.3272151174035047)</f>
        <v>1.327215117</v>
      </c>
      <c r="AB710" s="57">
        <f>IFERROR(__xludf.DUMMYFUNCTION("""COMPUTED_VALUE"""),2.699227927052881)</f>
        <v>2.699227927</v>
      </c>
      <c r="AC710" s="31">
        <f>IFERROR(__xludf.DUMMYFUNCTION("""COMPUTED_VALUE"""),346.33064774459586)</f>
        <v>346.3306477</v>
      </c>
      <c r="AD710" s="57">
        <f>IFERROR(__xludf.DUMMYFUNCTION("""COMPUTED_VALUE"""),0.7430812273453627)</f>
        <v>0.7430812273</v>
      </c>
      <c r="AE710" s="57">
        <f>IFERROR(__xludf.DUMMYFUNCTION("""COMPUTED_VALUE"""),0.54339440294229)</f>
        <v>0.5433944029</v>
      </c>
      <c r="AF710" s="57">
        <f>IFERROR(__xludf.DUMMYFUNCTION("""COMPUTED_VALUE"""),1.3876284669938088)</f>
        <v>1.387628467</v>
      </c>
      <c r="AG710" s="57">
        <f>IFERROR(__xludf.DUMMYFUNCTION("""COMPUTED_VALUE"""),2.5140751167848268)</f>
        <v>2.514075117</v>
      </c>
      <c r="AH710" s="57">
        <f>IFERROR(__xludf.DUMMYFUNCTION("""COMPUTED_VALUE"""),1.1657934480512637)</f>
        <v>1.165793448</v>
      </c>
      <c r="AI710" s="57">
        <f>IFERROR(__xludf.DUMMYFUNCTION("""COMPUTED_VALUE"""),1.3457478983454776)</f>
        <v>1.345747898</v>
      </c>
      <c r="AJ710" s="57">
        <f>IFERROR(__xludf.DUMMYFUNCTION("""COMPUTED_VALUE"""),1.2487641111082528)</f>
        <v>1.248764111</v>
      </c>
      <c r="AK710" s="57">
        <f>IFERROR(__xludf.DUMMYFUNCTION("""COMPUTED_VALUE"""),1.1324562797655424)</f>
        <v>1.13245628</v>
      </c>
      <c r="AL710" s="57">
        <f>IFERROR(__xludf.DUMMYFUNCTION("""COMPUTED_VALUE"""),1.1506645619072546)</f>
        <v>1.150664562</v>
      </c>
      <c r="AM710" s="57">
        <f>IFERROR(__xludf.DUMMYFUNCTION("""COMPUTED_VALUE"""),0.9776878454244843)</f>
        <v>0.9776878454</v>
      </c>
      <c r="AN710" s="57">
        <f>IFERROR(__xludf.DUMMYFUNCTION("""COMPUTED_VALUE"""),0.9481372247079213)</f>
        <v>0.9481372247</v>
      </c>
      <c r="AO710" s="57">
        <f>IFERROR(__xludf.DUMMYFUNCTION("""COMPUTED_VALUE"""),0.9227779894261193)</f>
        <v>0.9227779894</v>
      </c>
      <c r="AP710" s="35">
        <f>IFERROR(__xludf.DUMMYFUNCTION("""COMPUTED_VALUE"""),0.9687308928710747)</f>
        <v>0.9687308929</v>
      </c>
      <c r="AQ710" s="57">
        <f>IFERROR(__xludf.DUMMYFUNCTION("""COMPUTED_VALUE"""),1.0011681211862364)</f>
        <v>1.001168121</v>
      </c>
      <c r="AR710" s="36" t="b">
        <f>IFERROR(__xludf.DUMMYFUNCTION("""COMPUTED_VALUE"""),TRUE)</f>
        <v>1</v>
      </c>
      <c r="AS710" s="57"/>
      <c r="AT710" s="37"/>
      <c r="AU710" s="30"/>
      <c r="AV710" s="30"/>
      <c r="AW710" s="30"/>
      <c r="AX710" s="30"/>
      <c r="AY710" s="30"/>
      <c r="AZ710" s="30"/>
    </row>
    <row r="711">
      <c r="A711" s="30" t="str">
        <f>IFERROR(__xludf.DUMMYFUNCTION("""COMPUTED_VALUE"""),"Veteran")</f>
        <v>Veteran</v>
      </c>
      <c r="B711" s="30" t="str">
        <f>IFERROR(__xludf.DUMMYFUNCTION("""COMPUTED_VALUE"""),"RSC005491")</f>
        <v>RSC005491</v>
      </c>
      <c r="C711" s="30" t="str">
        <f>IFERROR(__xludf.DUMMYFUNCTION("""COMPUTED_VALUE"""),"Jackowanou")</f>
        <v>Jackowanou</v>
      </c>
      <c r="D711" s="31" t="str">
        <f>IFERROR(__xludf.DUMMYFUNCTION("""COMPUTED_VALUE"""),"Gorillas")</f>
        <v>Gorillas</v>
      </c>
      <c r="E711" s="31">
        <f>IFERROR(__xludf.DUMMYFUNCTION("""COMPUTED_VALUE"""),79.96489386925678)</f>
        <v>79.96489387</v>
      </c>
      <c r="F711" s="31">
        <f>IFERROR(__xludf.DUMMYFUNCTION("""COMPUTED_VALUE"""),8.669824777037025)</f>
        <v>8.669824777</v>
      </c>
      <c r="G711" s="31">
        <f>IFERROR(__xludf.DUMMYFUNCTION("""COMPUTED_VALUE"""),69.43809568334272)</f>
        <v>69.43809568</v>
      </c>
      <c r="H711" s="31">
        <f>IFERROR(__xludf.DUMMYFUNCTION("""COMPUTED_VALUE"""),4.578232795993792)</f>
        <v>4.578232796</v>
      </c>
      <c r="I711" s="54">
        <f>IFERROR(__xludf.DUMMYFUNCTION("""COMPUTED_VALUE"""),36.0)</f>
        <v>36</v>
      </c>
      <c r="J711" s="55">
        <f>IFERROR(__xludf.DUMMYFUNCTION("""COMPUTED_VALUE"""),22.0)</f>
        <v>22</v>
      </c>
      <c r="K711" s="54">
        <f>IFERROR(__xludf.DUMMYFUNCTION("""COMPUTED_VALUE"""),14.0)</f>
        <v>14</v>
      </c>
      <c r="L711" s="56">
        <f>IFERROR(__xludf.DUMMYFUNCTION("""COMPUTED_VALUE"""),0.6111111111111112)</f>
        <v>0.6111111111</v>
      </c>
      <c r="M711" s="56">
        <f>IFERROR(__xludf.DUMMYFUNCTION("""COMPUTED_VALUE"""),0.3)</f>
        <v>0.3</v>
      </c>
      <c r="N711" s="31">
        <f>IFERROR(__xludf.DUMMYFUNCTION("""COMPUTED_VALUE"""),404.19444444444446)</f>
        <v>404.1944444</v>
      </c>
      <c r="O711" s="57">
        <f>IFERROR(__xludf.DUMMYFUNCTION("""COMPUTED_VALUE"""),0.9166666666666666)</f>
        <v>0.9166666667</v>
      </c>
      <c r="P711" s="57">
        <f>IFERROR(__xludf.DUMMYFUNCTION("""COMPUTED_VALUE"""),0.7777777777777778)</f>
        <v>0.7777777778</v>
      </c>
      <c r="Q711" s="57">
        <f>IFERROR(__xludf.DUMMYFUNCTION("""COMPUTED_VALUE"""),1.5)</f>
        <v>1.5</v>
      </c>
      <c r="R711" s="57">
        <f>IFERROR(__xludf.DUMMYFUNCTION("""COMPUTED_VALUE"""),3.0555555555555554)</f>
        <v>3.055555556</v>
      </c>
      <c r="S711" s="31">
        <f>IFERROR(__xludf.DUMMYFUNCTION("""COMPUTED_VALUE"""),334.34259259259255)</f>
        <v>334.3425926</v>
      </c>
      <c r="T711" s="57">
        <f>IFERROR(__xludf.DUMMYFUNCTION("""COMPUTED_VALUE"""),0.6574074074074074)</f>
        <v>0.6574074074</v>
      </c>
      <c r="U711" s="57">
        <f>IFERROR(__xludf.DUMMYFUNCTION("""COMPUTED_VALUE"""),0.4629629629629629)</f>
        <v>0.462962963</v>
      </c>
      <c r="V711" s="57">
        <f>IFERROR(__xludf.DUMMYFUNCTION("""COMPUTED_VALUE"""),1.509259259259259)</f>
        <v>1.509259259</v>
      </c>
      <c r="W711" s="57">
        <f>IFERROR(__xludf.DUMMYFUNCTION("""COMPUTED_VALUE"""),2.314814814814815)</f>
        <v>2.314814815</v>
      </c>
      <c r="X711" s="31">
        <f>IFERROR(__xludf.DUMMYFUNCTION("""COMPUTED_VALUE"""),352.50696946791675)</f>
        <v>352.5069695</v>
      </c>
      <c r="Y711" s="57">
        <f>IFERROR(__xludf.DUMMYFUNCTION("""COMPUTED_VALUE"""),0.7878414595827143)</f>
        <v>0.7878414596</v>
      </c>
      <c r="Z711" s="57">
        <f>IFERROR(__xludf.DUMMYFUNCTION("""COMPUTED_VALUE"""),0.5999832212739934)</f>
        <v>0.5999832213</v>
      </c>
      <c r="AA711" s="57">
        <f>IFERROR(__xludf.DUMMYFUNCTION("""COMPUTED_VALUE"""),1.3450636312154491)</f>
        <v>1.345063631</v>
      </c>
      <c r="AB711" s="57">
        <f>IFERROR(__xludf.DUMMYFUNCTION("""COMPUTED_VALUE"""),2.673310812442284)</f>
        <v>2.673310812</v>
      </c>
      <c r="AC711" s="31">
        <f>IFERROR(__xludf.DUMMYFUNCTION("""COMPUTED_VALUE"""),367.76490463308437)</f>
        <v>367.7649046</v>
      </c>
      <c r="AD711" s="57">
        <f>IFERROR(__xludf.DUMMYFUNCTION("""COMPUTED_VALUE"""),0.8493216584718114)</f>
        <v>0.8493216585</v>
      </c>
      <c r="AE711" s="57">
        <f>IFERROR(__xludf.DUMMYFUNCTION("""COMPUTED_VALUE"""),0.6383918041393667)</f>
        <v>0.6383918041</v>
      </c>
      <c r="AF711" s="57">
        <f>IFERROR(__xludf.DUMMYFUNCTION("""COMPUTED_VALUE"""),1.4020346380619444)</f>
        <v>1.402034638</v>
      </c>
      <c r="AG711" s="57">
        <f>IFERROR(__xludf.DUMMYFUNCTION("""COMPUTED_VALUE"""),2.658765096993985)</f>
        <v>2.658765097</v>
      </c>
      <c r="AH711" s="57">
        <f>IFERROR(__xludf.DUMMYFUNCTION("""COMPUTED_VALUE"""),1.099056596625786)</f>
        <v>1.099056597</v>
      </c>
      <c r="AI711" s="57">
        <f>IFERROR(__xludf.DUMMYFUNCTION("""COMPUTED_VALUE"""),1.0792927008549733)</f>
        <v>1.079292701</v>
      </c>
      <c r="AJ711" s="57">
        <f>IFERROR(__xludf.DUMMYFUNCTION("""COMPUTED_VALUE"""),1.218339227939057)</f>
        <v>1.218339228</v>
      </c>
      <c r="AK711" s="57">
        <f>IFERROR(__xludf.DUMMYFUNCTION("""COMPUTED_VALUE"""),1.0698737101627351)</f>
        <v>1.06987371</v>
      </c>
      <c r="AL711" s="57">
        <f>IFERROR(__xludf.DUMMYFUNCTION("""COMPUTED_VALUE"""),1.1492386292456538)</f>
        <v>1.149238629</v>
      </c>
      <c r="AM711" s="57">
        <f>IFERROR(__xludf.DUMMYFUNCTION("""COMPUTED_VALUE"""),0.9484708716461919)</f>
        <v>0.9484708716</v>
      </c>
      <c r="AN711" s="57">
        <f>IFERROR(__xludf.DUMMYFUNCTION("""COMPUTED_VALUE"""),0.834441243744151)</f>
        <v>0.8344412437</v>
      </c>
      <c r="AO711" s="57">
        <f>IFERROR(__xludf.DUMMYFUNCTION("""COMPUTED_VALUE"""),0.7716265164547699)</f>
        <v>0.7716265165</v>
      </c>
      <c r="AP711" s="35">
        <f>IFERROR(__xludf.DUMMYFUNCTION("""COMPUTED_VALUE"""),1.1220727586660244)</f>
        <v>1.122072759</v>
      </c>
      <c r="AQ711" s="57">
        <f>IFERROR(__xludf.DUMMYFUNCTION("""COMPUTED_VALUE"""),0.8658981230469216)</f>
        <v>0.865898123</v>
      </c>
      <c r="AR711" s="36" t="b">
        <f>IFERROR(__xludf.DUMMYFUNCTION("""COMPUTED_VALUE"""),TRUE)</f>
        <v>1</v>
      </c>
      <c r="AS711" s="57"/>
      <c r="AT711" s="37"/>
      <c r="AU711" s="30"/>
      <c r="AV711" s="30"/>
      <c r="AW711" s="30"/>
      <c r="AX711" s="30"/>
      <c r="AY711" s="30"/>
      <c r="AZ711" s="30"/>
    </row>
    <row r="712">
      <c r="A712" s="30" t="str">
        <f>IFERROR(__xludf.DUMMYFUNCTION("""COMPUTED_VALUE"""),"Veteran")</f>
        <v>Veteran</v>
      </c>
      <c r="B712" s="30" t="str">
        <f>IFERROR(__xludf.DUMMYFUNCTION("""COMPUTED_VALUE"""),"RSC006417")</f>
        <v>RSC006417</v>
      </c>
      <c r="C712" s="30" t="str">
        <f>IFERROR(__xludf.DUMMYFUNCTION("""COMPUTED_VALUE"""),"TangentOgive")</f>
        <v>TangentOgive</v>
      </c>
      <c r="D712" s="31" t="str">
        <f>IFERROR(__xludf.DUMMYFUNCTION("""COMPUTED_VALUE"""),"Cannoli")</f>
        <v>Cannoli</v>
      </c>
      <c r="E712" s="31">
        <f>IFERROR(__xludf.DUMMYFUNCTION("""COMPUTED_VALUE"""),78.6285065971788)</f>
        <v>78.6285066</v>
      </c>
      <c r="F712" s="31">
        <f>IFERROR(__xludf.DUMMYFUNCTION("""COMPUTED_VALUE"""),7.931753329268498)</f>
        <v>7.931753329</v>
      </c>
      <c r="G712" s="31">
        <f>IFERROR(__xludf.DUMMYFUNCTION("""COMPUTED_VALUE"""),65.40639102287288)</f>
        <v>65.40639102</v>
      </c>
      <c r="H712" s="31">
        <f>IFERROR(__xludf.DUMMYFUNCTION("""COMPUTED_VALUE"""),3.71936767785478)</f>
        <v>3.719367678</v>
      </c>
      <c r="I712" s="54">
        <f>IFERROR(__xludf.DUMMYFUNCTION("""COMPUTED_VALUE"""),36.0)</f>
        <v>36</v>
      </c>
      <c r="J712" s="55">
        <f>IFERROR(__xludf.DUMMYFUNCTION("""COMPUTED_VALUE"""),20.0)</f>
        <v>20</v>
      </c>
      <c r="K712" s="54">
        <f>IFERROR(__xludf.DUMMYFUNCTION("""COMPUTED_VALUE"""),16.0)</f>
        <v>16</v>
      </c>
      <c r="L712" s="56">
        <f>IFERROR(__xludf.DUMMYFUNCTION("""COMPUTED_VALUE"""),0.5555555555555556)</f>
        <v>0.5555555556</v>
      </c>
      <c r="M712" s="56">
        <f>IFERROR(__xludf.DUMMYFUNCTION("""COMPUTED_VALUE"""),0.2377049180327869)</f>
        <v>0.237704918</v>
      </c>
      <c r="N712" s="31">
        <f>IFERROR(__xludf.DUMMYFUNCTION("""COMPUTED_VALUE"""),373.25)</f>
        <v>373.25</v>
      </c>
      <c r="O712" s="57">
        <f>IFERROR(__xludf.DUMMYFUNCTION("""COMPUTED_VALUE"""),0.8055555555555556)</f>
        <v>0.8055555556</v>
      </c>
      <c r="P712" s="57">
        <f>IFERROR(__xludf.DUMMYFUNCTION("""COMPUTED_VALUE"""),0.8611111111111112)</f>
        <v>0.8611111111</v>
      </c>
      <c r="Q712" s="57">
        <f>IFERROR(__xludf.DUMMYFUNCTION("""COMPUTED_VALUE"""),1.1111111111111112)</f>
        <v>1.111111111</v>
      </c>
      <c r="R712" s="57">
        <f>IFERROR(__xludf.DUMMYFUNCTION("""COMPUTED_VALUE"""),3.388888888888889)</f>
        <v>3.388888889</v>
      </c>
      <c r="S712" s="31">
        <f>IFERROR(__xludf.DUMMYFUNCTION("""COMPUTED_VALUE"""),352.60185185185185)</f>
        <v>352.6018519</v>
      </c>
      <c r="T712" s="57">
        <f>IFERROR(__xludf.DUMMYFUNCTION("""COMPUTED_VALUE"""),0.7222222222222222)</f>
        <v>0.7222222222</v>
      </c>
      <c r="U712" s="57">
        <f>IFERROR(__xludf.DUMMYFUNCTION("""COMPUTED_VALUE"""),0.48148148148148145)</f>
        <v>0.4814814815</v>
      </c>
      <c r="V712" s="57">
        <f>IFERROR(__xludf.DUMMYFUNCTION("""COMPUTED_VALUE"""),1.5740740740740742)</f>
        <v>1.574074074</v>
      </c>
      <c r="W712" s="57">
        <f>IFERROR(__xludf.DUMMYFUNCTION("""COMPUTED_VALUE"""),2.481481481481482)</f>
        <v>2.481481481</v>
      </c>
      <c r="X712" s="31">
        <f>IFERROR(__xludf.DUMMYFUNCTION("""COMPUTED_VALUE"""),355.96911887922323)</f>
        <v>355.9691189</v>
      </c>
      <c r="Y712" s="57">
        <f>IFERROR(__xludf.DUMMYFUNCTION("""COMPUTED_VALUE"""),0.771988817195174)</f>
        <v>0.7719888172</v>
      </c>
      <c r="Z712" s="57">
        <f>IFERROR(__xludf.DUMMYFUNCTION("""COMPUTED_VALUE"""),0.5644975552945192)</f>
        <v>0.5644975553</v>
      </c>
      <c r="AA712" s="57">
        <f>IFERROR(__xludf.DUMMYFUNCTION("""COMPUTED_VALUE"""),1.3870352284681287)</f>
        <v>1.387035228</v>
      </c>
      <c r="AB712" s="57">
        <f>IFERROR(__xludf.DUMMYFUNCTION("""COMPUTED_VALUE"""),2.5842612764848174)</f>
        <v>2.584261276</v>
      </c>
      <c r="AC712" s="31">
        <f>IFERROR(__xludf.DUMMYFUNCTION("""COMPUTED_VALUE"""),357.38509989067376)</f>
        <v>357.3850999</v>
      </c>
      <c r="AD712" s="57">
        <f>IFERROR(__xludf.DUMMYFUNCTION("""COMPUTED_VALUE"""),0.7933315114540075)</f>
        <v>0.7933315115</v>
      </c>
      <c r="AE712" s="57">
        <f>IFERROR(__xludf.DUMMYFUNCTION("""COMPUTED_VALUE"""),0.5963147747483434)</f>
        <v>0.5963147747</v>
      </c>
      <c r="AF712" s="57">
        <f>IFERROR(__xludf.DUMMYFUNCTION("""COMPUTED_VALUE"""),1.3104586196678936)</f>
        <v>1.31045862</v>
      </c>
      <c r="AG712" s="57">
        <f>IFERROR(__xludf.DUMMYFUNCTION("""COMPUTED_VALUE"""),2.722764753808308)</f>
        <v>2.722764754</v>
      </c>
      <c r="AH712" s="57">
        <f>IFERROR(__xludf.DUMMYFUNCTION("""COMPUTED_VALUE"""),1.044391610378215)</f>
        <v>1.04439161</v>
      </c>
      <c r="AI712" s="57">
        <f>IFERROR(__xludf.DUMMYFUNCTION("""COMPUTED_VALUE"""),1.015408494336931)</f>
        <v>1.015408494</v>
      </c>
      <c r="AJ712" s="57">
        <f>IFERROR(__xludf.DUMMYFUNCTION("""COMPUTED_VALUE"""),1.4440546294941579)</f>
        <v>1.444054629</v>
      </c>
      <c r="AK712" s="57">
        <f>IFERROR(__xludf.DUMMYFUNCTION("""COMPUTED_VALUE"""),0.8478795853872115)</f>
        <v>0.8478795854</v>
      </c>
      <c r="AL712" s="57">
        <f>IFERROR(__xludf.DUMMYFUNCTION("""COMPUTED_VALUE"""),1.2446499037968222)</f>
        <v>1.244649904</v>
      </c>
      <c r="AM712" s="57">
        <f>IFERROR(__xludf.DUMMYFUNCTION("""COMPUTED_VALUE"""),0.9905405641984527)</f>
        <v>0.9905405642</v>
      </c>
      <c r="AN712" s="57">
        <f>IFERROR(__xludf.DUMMYFUNCTION("""COMPUTED_VALUE"""),0.935534564925738)</f>
        <v>0.9355345649</v>
      </c>
      <c r="AO712" s="57">
        <f>IFERROR(__xludf.DUMMYFUNCTION("""COMPUTED_VALUE"""),0.8529381163223547)</f>
        <v>0.8529381163</v>
      </c>
      <c r="AP712" s="35">
        <f>IFERROR(__xludf.DUMMYFUNCTION("""COMPUTED_VALUE"""),1.1348479416867554)</f>
        <v>1.134847942</v>
      </c>
      <c r="AQ712" s="57">
        <f>IFERROR(__xludf.DUMMYFUNCTION("""COMPUTED_VALUE"""),0.9602285589547124)</f>
        <v>0.960228559</v>
      </c>
      <c r="AR712" s="36" t="b">
        <f>IFERROR(__xludf.DUMMYFUNCTION("""COMPUTED_VALUE"""),TRUE)</f>
        <v>1</v>
      </c>
      <c r="AS712" s="57"/>
      <c r="AT712" s="37"/>
      <c r="AU712" s="30"/>
      <c r="AV712" s="30"/>
      <c r="AW712" s="30"/>
      <c r="AX712" s="30"/>
      <c r="AY712" s="30"/>
      <c r="AZ712" s="30"/>
    </row>
    <row r="713">
      <c r="A713" s="30" t="str">
        <f>IFERROR(__xludf.DUMMYFUNCTION("""COMPUTED_VALUE"""),"Veteran")</f>
        <v>Veteran</v>
      </c>
      <c r="B713" s="30" t="str">
        <f>IFERROR(__xludf.DUMMYFUNCTION("""COMPUTED_VALUE"""),"RSC001074")</f>
        <v>RSC001074</v>
      </c>
      <c r="C713" s="30" t="str">
        <f>IFERROR(__xludf.DUMMYFUNCTION("""COMPUTED_VALUE"""),"Sabre")</f>
        <v>Sabre</v>
      </c>
      <c r="D713" s="31"/>
      <c r="E713" s="31">
        <f>IFERROR(__xludf.DUMMYFUNCTION("""COMPUTED_VALUE"""),76.18867594839811)</f>
        <v>76.18867595</v>
      </c>
      <c r="F713" s="31">
        <f>IFERROR(__xludf.DUMMYFUNCTION("""COMPUTED_VALUE"""),6.783171030345029)</f>
        <v>6.78317103</v>
      </c>
      <c r="G713" s="31">
        <f>IFERROR(__xludf.DUMMYFUNCTION("""COMPUTED_VALUE"""),43.05015386847421)</f>
        <v>43.05015387</v>
      </c>
      <c r="H713" s="31">
        <f>IFERROR(__xludf.DUMMYFUNCTION("""COMPUTED_VALUE"""),-2.5607634487710924)</f>
        <v>-2.560763449</v>
      </c>
      <c r="I713" s="54">
        <f>IFERROR(__xludf.DUMMYFUNCTION("""COMPUTED_VALUE"""),4.0)</f>
        <v>4</v>
      </c>
      <c r="J713" s="55">
        <f>IFERROR(__xludf.DUMMYFUNCTION("""COMPUTED_VALUE"""),2.0)</f>
        <v>2</v>
      </c>
      <c r="K713" s="54">
        <f>IFERROR(__xludf.DUMMYFUNCTION("""COMPUTED_VALUE"""),2.0)</f>
        <v>2</v>
      </c>
      <c r="L713" s="56">
        <f>IFERROR(__xludf.DUMMYFUNCTION("""COMPUTED_VALUE"""),0.5)</f>
        <v>0.5</v>
      </c>
      <c r="M713" s="56">
        <f>IFERROR(__xludf.DUMMYFUNCTION("""COMPUTED_VALUE"""),0.5555555555555556)</f>
        <v>0.5555555556</v>
      </c>
      <c r="N713" s="31">
        <f>IFERROR(__xludf.DUMMYFUNCTION("""COMPUTED_VALUE"""),397.75)</f>
        <v>397.75</v>
      </c>
      <c r="O713" s="57">
        <f>IFERROR(__xludf.DUMMYFUNCTION("""COMPUTED_VALUE"""),1.25)</f>
        <v>1.25</v>
      </c>
      <c r="P713" s="57">
        <f>IFERROR(__xludf.DUMMYFUNCTION("""COMPUTED_VALUE"""),1.0)</f>
        <v>1</v>
      </c>
      <c r="Q713" s="57">
        <f>IFERROR(__xludf.DUMMYFUNCTION("""COMPUTED_VALUE"""),1.75)</f>
        <v>1.75</v>
      </c>
      <c r="R713" s="57">
        <f>IFERROR(__xludf.DUMMYFUNCTION("""COMPUTED_VALUE"""),2.25)</f>
        <v>2.25</v>
      </c>
      <c r="S713" s="31">
        <f>IFERROR(__xludf.DUMMYFUNCTION("""COMPUTED_VALUE"""),381.41666666666663)</f>
        <v>381.4166667</v>
      </c>
      <c r="T713" s="57">
        <f>IFERROR(__xludf.DUMMYFUNCTION("""COMPUTED_VALUE"""),1.1666666666666665)</f>
        <v>1.166666667</v>
      </c>
      <c r="U713" s="57">
        <f>IFERROR(__xludf.DUMMYFUNCTION("""COMPUTED_VALUE"""),0.5833333333333333)</f>
        <v>0.5833333333</v>
      </c>
      <c r="V713" s="57">
        <f>IFERROR(__xludf.DUMMYFUNCTION("""COMPUTED_VALUE"""),1.3333333333333333)</f>
        <v>1.333333333</v>
      </c>
      <c r="W713" s="57">
        <f>IFERROR(__xludf.DUMMYFUNCTION("""COMPUTED_VALUE"""),3.083333333333333)</f>
        <v>3.083333333</v>
      </c>
      <c r="X713" s="31">
        <f>IFERROR(__xludf.DUMMYFUNCTION("""COMPUTED_VALUE"""),356.433544546851)</f>
        <v>356.4335445</v>
      </c>
      <c r="Y713" s="57">
        <f>IFERROR(__xludf.DUMMYFUNCTION("""COMPUTED_VALUE"""),0.8506336405529954)</f>
        <v>0.8506336406</v>
      </c>
      <c r="Z713" s="57">
        <f>IFERROR(__xludf.DUMMYFUNCTION("""COMPUTED_VALUE"""),0.4709293394777266)</f>
        <v>0.4709293395</v>
      </c>
      <c r="AA713" s="57">
        <f>IFERROR(__xludf.DUMMYFUNCTION("""COMPUTED_VALUE"""),1.4190668202764976)</f>
        <v>1.41906682</v>
      </c>
      <c r="AB713" s="57">
        <f>IFERROR(__xludf.DUMMYFUNCTION("""COMPUTED_VALUE"""),2.7075652841781874)</f>
        <v>2.707565284</v>
      </c>
      <c r="AC713" s="31">
        <f>IFERROR(__xludf.DUMMYFUNCTION("""COMPUTED_VALUE"""),403.26651945724524)</f>
        <v>403.2665195</v>
      </c>
      <c r="AD713" s="57">
        <f>IFERROR(__xludf.DUMMYFUNCTION("""COMPUTED_VALUE"""),1.0330133128520225)</f>
        <v>1.033013313</v>
      </c>
      <c r="AE713" s="57">
        <f>IFERROR(__xludf.DUMMYFUNCTION("""COMPUTED_VALUE"""),0.7519137224782387)</f>
        <v>0.7519137225</v>
      </c>
      <c r="AF713" s="57">
        <f>IFERROR(__xludf.DUMMYFUNCTION("""COMPUTED_VALUE"""),1.5206669226830514)</f>
        <v>1.520666923</v>
      </c>
      <c r="AG713" s="57">
        <f>IFERROR(__xludf.DUMMYFUNCTION("""COMPUTED_VALUE"""),2.820410906298003)</f>
        <v>2.820410906</v>
      </c>
      <c r="AH713" s="57">
        <f>IFERROR(__xludf.DUMMYFUNCTION("""COMPUTED_VALUE"""),0.9863204129500512)</f>
        <v>0.986320413</v>
      </c>
      <c r="AI713" s="57">
        <f>IFERROR(__xludf.DUMMYFUNCTION("""COMPUTED_VALUE"""),1.2100521691718609)</f>
        <v>1.210052169</v>
      </c>
      <c r="AJ713" s="57">
        <f>IFERROR(__xludf.DUMMYFUNCTION("""COMPUTED_VALUE"""),1.3299398190314862)</f>
        <v>1.329939819</v>
      </c>
      <c r="AK713" s="57">
        <f>IFERROR(__xludf.DUMMYFUNCTION("""COMPUTED_VALUE"""),1.1508108540378557)</f>
        <v>1.150810854</v>
      </c>
      <c r="AL713" s="57">
        <f>IFERROR(__xludf.DUMMYFUNCTION("""COMPUTED_VALUE"""),0.7977560982251662)</f>
        <v>0.7977560982</v>
      </c>
      <c r="AM713" s="57">
        <f>IFERROR(__xludf.DUMMYFUNCTION("""COMPUTED_VALUE"""),1.0700919498235715)</f>
        <v>1.07009195</v>
      </c>
      <c r="AN713" s="57">
        <f>IFERROR(__xludf.DUMMYFUNCTION("""COMPUTED_VALUE"""),1.3715266021083043)</f>
        <v>1.371526602</v>
      </c>
      <c r="AO713" s="57">
        <f>IFERROR(__xludf.DUMMYFUNCTION("""COMPUTED_VALUE"""),1.238685476637038)</f>
        <v>1.238685477</v>
      </c>
      <c r="AP713" s="35">
        <f>IFERROR(__xludf.DUMMYFUNCTION("""COMPUTED_VALUE"""),0.9395846018537312)</f>
        <v>0.9395846019</v>
      </c>
      <c r="AQ713" s="57">
        <f>IFERROR(__xludf.DUMMYFUNCTION("""COMPUTED_VALUE"""),1.1387844833699736)</f>
        <v>1.138784483</v>
      </c>
      <c r="AR713" s="36" t="b">
        <f>IFERROR(__xludf.DUMMYFUNCTION("""COMPUTED_VALUE"""),TRUE)</f>
        <v>1</v>
      </c>
      <c r="AS713" s="57"/>
      <c r="AT713" s="37"/>
      <c r="AU713" s="30"/>
      <c r="AV713" s="30"/>
      <c r="AW713" s="30"/>
      <c r="AX713" s="30"/>
      <c r="AY713" s="30"/>
      <c r="AZ713" s="30"/>
    </row>
    <row r="714">
      <c r="A714" s="30" t="str">
        <f>IFERROR(__xludf.DUMMYFUNCTION("""COMPUTED_VALUE"""),"Veteran")</f>
        <v>Veteran</v>
      </c>
      <c r="B714" s="30" t="str">
        <f>IFERROR(__xludf.DUMMYFUNCTION("""COMPUTED_VALUE"""),"RSC003358")</f>
        <v>RSC003358</v>
      </c>
      <c r="C714" s="30" t="str">
        <f>IFERROR(__xludf.DUMMYFUNCTION("""COMPUTED_VALUE"""),"galacticcccc")</f>
        <v>galacticcccc</v>
      </c>
      <c r="D714" s="31" t="str">
        <f>IFERROR(__xludf.DUMMYFUNCTION("""COMPUTED_VALUE"""),"Rockin Revenants")</f>
        <v>Rockin Revenants</v>
      </c>
      <c r="E714" s="31">
        <f>IFERROR(__xludf.DUMMYFUNCTION("""COMPUTED_VALUE"""),75.91495012972958)</f>
        <v>75.91495013</v>
      </c>
      <c r="F714" s="31">
        <f>IFERROR(__xludf.DUMMYFUNCTION("""COMPUTED_VALUE"""),6.668372806291152)</f>
        <v>6.668372806</v>
      </c>
      <c r="G714" s="31">
        <f>IFERROR(__xludf.DUMMYFUNCTION("""COMPUTED_VALUE"""),55.51083863860155)</f>
        <v>55.51083864</v>
      </c>
      <c r="H714" s="31">
        <f>IFERROR(__xludf.DUMMYFUNCTION("""COMPUTED_VALUE"""),2.422675695178343)</f>
        <v>2.422675695</v>
      </c>
      <c r="I714" s="54">
        <f>IFERROR(__xludf.DUMMYFUNCTION("""COMPUTED_VALUE"""),4.0)</f>
        <v>4</v>
      </c>
      <c r="J714" s="55">
        <f>IFERROR(__xludf.DUMMYFUNCTION("""COMPUTED_VALUE"""),2.0)</f>
        <v>2</v>
      </c>
      <c r="K714" s="54">
        <f>IFERROR(__xludf.DUMMYFUNCTION("""COMPUTED_VALUE"""),2.0)</f>
        <v>2</v>
      </c>
      <c r="L714" s="56">
        <f>IFERROR(__xludf.DUMMYFUNCTION("""COMPUTED_VALUE"""),0.5)</f>
        <v>0.5</v>
      </c>
      <c r="M714" s="56">
        <f>IFERROR(__xludf.DUMMYFUNCTION("""COMPUTED_VALUE"""),0.3333333333333333)</f>
        <v>0.3333333333</v>
      </c>
      <c r="N714" s="31">
        <f>IFERROR(__xludf.DUMMYFUNCTION("""COMPUTED_VALUE"""),400.25)</f>
        <v>400.25</v>
      </c>
      <c r="O714" s="57">
        <f>IFERROR(__xludf.DUMMYFUNCTION("""COMPUTED_VALUE"""),1.25)</f>
        <v>1.25</v>
      </c>
      <c r="P714" s="57">
        <f>IFERROR(__xludf.DUMMYFUNCTION("""COMPUTED_VALUE"""),0.75)</f>
        <v>0.75</v>
      </c>
      <c r="Q714" s="57">
        <f>IFERROR(__xludf.DUMMYFUNCTION("""COMPUTED_VALUE"""),0.75)</f>
        <v>0.75</v>
      </c>
      <c r="R714" s="57">
        <f>IFERROR(__xludf.DUMMYFUNCTION("""COMPUTED_VALUE"""),3.75)</f>
        <v>3.75</v>
      </c>
      <c r="S714" s="31">
        <f>IFERROR(__xludf.DUMMYFUNCTION("""COMPUTED_VALUE"""),375.5)</f>
        <v>375.5</v>
      </c>
      <c r="T714" s="57">
        <f>IFERROR(__xludf.DUMMYFUNCTION("""COMPUTED_VALUE"""),0.9166666666666666)</f>
        <v>0.9166666667</v>
      </c>
      <c r="U714" s="57">
        <f>IFERROR(__xludf.DUMMYFUNCTION("""COMPUTED_VALUE"""),0.5833333333333334)</f>
        <v>0.5833333333</v>
      </c>
      <c r="V714" s="57">
        <f>IFERROR(__xludf.DUMMYFUNCTION("""COMPUTED_VALUE"""),1.5833333333333333)</f>
        <v>1.583333333</v>
      </c>
      <c r="W714" s="57">
        <f>IFERROR(__xludf.DUMMYFUNCTION("""COMPUTED_VALUE"""),2.3333333333333335)</f>
        <v>2.333333333</v>
      </c>
      <c r="X714" s="31">
        <f>IFERROR(__xludf.DUMMYFUNCTION("""COMPUTED_VALUE"""),343.8136574074074)</f>
        <v>343.8136574</v>
      </c>
      <c r="Y714" s="57">
        <f>IFERROR(__xludf.DUMMYFUNCTION("""COMPUTED_VALUE"""),0.8738425925925926)</f>
        <v>0.8738425926</v>
      </c>
      <c r="Z714" s="57">
        <f>IFERROR(__xludf.DUMMYFUNCTION("""COMPUTED_VALUE"""),0.3113425925925926)</f>
        <v>0.3113425926</v>
      </c>
      <c r="AA714" s="57">
        <f>IFERROR(__xludf.DUMMYFUNCTION("""COMPUTED_VALUE"""),1.3171296296296295)</f>
        <v>1.31712963</v>
      </c>
      <c r="AB714" s="57">
        <f>IFERROR(__xludf.DUMMYFUNCTION("""COMPUTED_VALUE"""),2.564814814814815)</f>
        <v>2.564814815</v>
      </c>
      <c r="AC714" s="31">
        <f>IFERROR(__xludf.DUMMYFUNCTION("""COMPUTED_VALUE"""),394.24845679012344)</f>
        <v>394.2484568</v>
      </c>
      <c r="AD714" s="57">
        <f>IFERROR(__xludf.DUMMYFUNCTION("""COMPUTED_VALUE"""),0.9934413580246912)</f>
        <v>0.993441358</v>
      </c>
      <c r="AE714" s="57">
        <f>IFERROR(__xludf.DUMMYFUNCTION("""COMPUTED_VALUE"""),0.7611882716049383)</f>
        <v>0.7611882716</v>
      </c>
      <c r="AF714" s="57">
        <f>IFERROR(__xludf.DUMMYFUNCTION("""COMPUTED_VALUE"""),1.3915895061728396)</f>
        <v>1.391589506</v>
      </c>
      <c r="AG714" s="57">
        <f>IFERROR(__xludf.DUMMYFUNCTION("""COMPUTED_VALUE"""),3.1902006172839505)</f>
        <v>3.190200617</v>
      </c>
      <c r="AH714" s="57">
        <f>IFERROR(__xludf.DUMMYFUNCTION("""COMPUTED_VALUE"""),1.0152227436950285)</f>
        <v>1.015222744</v>
      </c>
      <c r="AI714" s="57">
        <f>IFERROR(__xludf.DUMMYFUNCTION("""COMPUTED_VALUE"""),1.2582524271844662)</f>
        <v>1.258252427</v>
      </c>
      <c r="AJ714" s="57">
        <f>IFERROR(__xludf.DUMMYFUNCTION("""COMPUTED_VALUE"""),0.9853015712113532)</f>
        <v>0.9853015712</v>
      </c>
      <c r="AK714" s="57">
        <f>IFERROR(__xludf.DUMMYFUNCTION("""COMPUTED_VALUE"""),0.5389520377044635)</f>
        <v>0.5389520377</v>
      </c>
      <c r="AL714" s="57">
        <f>IFERROR(__xludf.DUMMYFUNCTION("""COMPUTED_VALUE"""),1.1754746644092393)</f>
        <v>1.175474664</v>
      </c>
      <c r="AM714" s="57">
        <f>IFERROR(__xludf.DUMMYFUNCTION("""COMPUTED_VALUE"""),1.092161384255441)</f>
        <v>1.092161384</v>
      </c>
      <c r="AN714" s="57">
        <f>IFERROR(__xludf.DUMMYFUNCTION("""COMPUTED_VALUE"""),1.0490066225165562)</f>
        <v>1.049006623</v>
      </c>
      <c r="AO714" s="57">
        <f>IFERROR(__xludf.DUMMYFUNCTION("""COMPUTED_VALUE"""),1.8736059479553904)</f>
        <v>1.873605948</v>
      </c>
      <c r="AP714" s="35">
        <f>IFERROR(__xludf.DUMMYFUNCTION("""COMPUTED_VALUE"""),1.2021089630931459)</f>
        <v>1.202108963</v>
      </c>
      <c r="AQ714" s="57">
        <f>IFERROR(__xludf.DUMMYFUNCTION("""COMPUTED_VALUE"""),0.9097472924187726)</f>
        <v>0.9097472924</v>
      </c>
      <c r="AR714" s="36" t="b">
        <f>IFERROR(__xludf.DUMMYFUNCTION("""COMPUTED_VALUE"""),TRUE)</f>
        <v>1</v>
      </c>
      <c r="AS714" s="57"/>
      <c r="AT714" s="37"/>
      <c r="AU714" s="30"/>
      <c r="AV714" s="30"/>
      <c r="AW714" s="30"/>
      <c r="AX714" s="30"/>
      <c r="AY714" s="30"/>
      <c r="AZ714" s="30"/>
    </row>
    <row r="715">
      <c r="A715" s="30" t="str">
        <f>IFERROR(__xludf.DUMMYFUNCTION("""COMPUTED_VALUE"""),"Veteran")</f>
        <v>Veteran</v>
      </c>
      <c r="B715" s="30" t="str">
        <f>IFERROR(__xludf.DUMMYFUNCTION("""COMPUTED_VALUE"""),"RSC005257")</f>
        <v>RSC005257</v>
      </c>
      <c r="C715" s="30" t="str">
        <f>IFERROR(__xludf.DUMMYFUNCTION("""COMPUTED_VALUE"""),"P0pfgf")</f>
        <v>P0pfgf</v>
      </c>
      <c r="D715" s="31" t="str">
        <f>IFERROR(__xludf.DUMMYFUNCTION("""COMPUTED_VALUE"""),"Mosaic Maestros")</f>
        <v>Mosaic Maestros</v>
      </c>
      <c r="E715" s="31">
        <f>IFERROR(__xludf.DUMMYFUNCTION("""COMPUTED_VALUE"""),75.6831529332973)</f>
        <v>75.68315293</v>
      </c>
      <c r="F715" s="31">
        <f>IFERROR(__xludf.DUMMYFUNCTION("""COMPUTED_VALUE"""),6.573175768500138)</f>
        <v>6.573175769</v>
      </c>
      <c r="G715" s="31">
        <f>IFERROR(__xludf.DUMMYFUNCTION("""COMPUTED_VALUE"""),63.79837928629904)</f>
        <v>63.79837929</v>
      </c>
      <c r="H715" s="31">
        <f>IFERROR(__xludf.DUMMYFUNCTION("""COMPUTED_VALUE"""),3.4423836278134496)</f>
        <v>3.442383628</v>
      </c>
      <c r="I715" s="54">
        <f>IFERROR(__xludf.DUMMYFUNCTION("""COMPUTED_VALUE"""),29.0)</f>
        <v>29</v>
      </c>
      <c r="J715" s="55">
        <f>IFERROR(__xludf.DUMMYFUNCTION("""COMPUTED_VALUE"""),18.0)</f>
        <v>18</v>
      </c>
      <c r="K715" s="54">
        <f>IFERROR(__xludf.DUMMYFUNCTION("""COMPUTED_VALUE"""),11.0)</f>
        <v>11</v>
      </c>
      <c r="L715" s="56">
        <f>IFERROR(__xludf.DUMMYFUNCTION("""COMPUTED_VALUE"""),0.6206896551724138)</f>
        <v>0.6206896552</v>
      </c>
      <c r="M715" s="56">
        <f>IFERROR(__xludf.DUMMYFUNCTION("""COMPUTED_VALUE"""),0.22340425531914895)</f>
        <v>0.2234042553</v>
      </c>
      <c r="N715" s="31">
        <f>IFERROR(__xludf.DUMMYFUNCTION("""COMPUTED_VALUE"""),383.3103448275862)</f>
        <v>383.3103448</v>
      </c>
      <c r="O715" s="57">
        <f>IFERROR(__xludf.DUMMYFUNCTION("""COMPUTED_VALUE"""),0.7241379310344828)</f>
        <v>0.724137931</v>
      </c>
      <c r="P715" s="57">
        <f>IFERROR(__xludf.DUMMYFUNCTION("""COMPUTED_VALUE"""),0.9310344827586207)</f>
        <v>0.9310344828</v>
      </c>
      <c r="Q715" s="57">
        <f>IFERROR(__xludf.DUMMYFUNCTION("""COMPUTED_VALUE"""),1.6551724137931034)</f>
        <v>1.655172414</v>
      </c>
      <c r="R715" s="57">
        <f>IFERROR(__xludf.DUMMYFUNCTION("""COMPUTED_VALUE"""),3.2413793103448274)</f>
        <v>3.24137931</v>
      </c>
      <c r="S715" s="31">
        <f>IFERROR(__xludf.DUMMYFUNCTION("""COMPUTED_VALUE"""),364.52873563218395)</f>
        <v>364.5287356</v>
      </c>
      <c r="T715" s="57">
        <f>IFERROR(__xludf.DUMMYFUNCTION("""COMPUTED_VALUE"""),0.7816091954022988)</f>
        <v>0.7816091954</v>
      </c>
      <c r="U715" s="57">
        <f>IFERROR(__xludf.DUMMYFUNCTION("""COMPUTED_VALUE"""),0.5402298850574713)</f>
        <v>0.5402298851</v>
      </c>
      <c r="V715" s="57">
        <f>IFERROR(__xludf.DUMMYFUNCTION("""COMPUTED_VALUE"""),1.5057471264367812)</f>
        <v>1.505747126</v>
      </c>
      <c r="W715" s="57">
        <f>IFERROR(__xludf.DUMMYFUNCTION("""COMPUTED_VALUE"""),2.563218390804598)</f>
        <v>2.563218391</v>
      </c>
      <c r="X715" s="31">
        <f>IFERROR(__xludf.DUMMYFUNCTION("""COMPUTED_VALUE"""),352.4126477757561)</f>
        <v>352.4126478</v>
      </c>
      <c r="Y715" s="57">
        <f>IFERROR(__xludf.DUMMYFUNCTION("""COMPUTED_VALUE"""),0.7892412310506359)</f>
        <v>0.7892412311</v>
      </c>
      <c r="Z715" s="57">
        <f>IFERROR(__xludf.DUMMYFUNCTION("""COMPUTED_VALUE"""),0.5502527924186076)</f>
        <v>0.5502527924</v>
      </c>
      <c r="AA715" s="57">
        <f>IFERROR(__xludf.DUMMYFUNCTION("""COMPUTED_VALUE"""),1.4058075210339074)</f>
        <v>1.405807521</v>
      </c>
      <c r="AB715" s="57">
        <f>IFERROR(__xludf.DUMMYFUNCTION("""COMPUTED_VALUE"""),2.5770642029792614)</f>
        <v>2.577064203</v>
      </c>
      <c r="AC715" s="31">
        <f>IFERROR(__xludf.DUMMYFUNCTION("""COMPUTED_VALUE"""),360.47305216569845)</f>
        <v>360.4730522</v>
      </c>
      <c r="AD715" s="57">
        <f>IFERROR(__xludf.DUMMYFUNCTION("""COMPUTED_VALUE"""),0.8237584706692817)</f>
        <v>0.8237584707</v>
      </c>
      <c r="AE715" s="57">
        <f>IFERROR(__xludf.DUMMYFUNCTION("""COMPUTED_VALUE"""),0.5855972291831992)</f>
        <v>0.5855972292</v>
      </c>
      <c r="AF715" s="57">
        <f>IFERROR(__xludf.DUMMYFUNCTION("""COMPUTED_VALUE"""),1.392358858802097)</f>
        <v>1.392358859</v>
      </c>
      <c r="AG715" s="57">
        <f>IFERROR(__xludf.DUMMYFUNCTION("""COMPUTED_VALUE"""),2.693409530538234)</f>
        <v>2.693409531</v>
      </c>
      <c r="AH715" s="57">
        <f>IFERROR(__xludf.DUMMYFUNCTION("""COMPUTED_VALUE"""),1.0633536751906496)</f>
        <v>1.063353675</v>
      </c>
      <c r="AI715" s="57">
        <f>IFERROR(__xludf.DUMMYFUNCTION("""COMPUTED_VALUE"""),0.8790658388570379)</f>
        <v>0.8790658389</v>
      </c>
      <c r="AJ715" s="57">
        <f>IFERROR(__xludf.DUMMYFUNCTION("""COMPUTED_VALUE"""),1.5898888115595136)</f>
        <v>1.589888812</v>
      </c>
      <c r="AK715" s="57">
        <f>IFERROR(__xludf.DUMMYFUNCTION("""COMPUTED_VALUE"""),1.1887541802385024)</f>
        <v>1.18875418</v>
      </c>
      <c r="AL715" s="57">
        <f>IFERROR(__xludf.DUMMYFUNCTION("""COMPUTED_VALUE"""),1.2034483703995398)</f>
        <v>1.20344837</v>
      </c>
      <c r="AM715" s="57">
        <f>IFERROR(__xludf.DUMMYFUNCTION("""COMPUTED_VALUE"""),1.0343804001726336)</f>
        <v>1.0343804</v>
      </c>
      <c r="AN715" s="57">
        <f>IFERROR(__xludf.DUMMYFUNCTION("""COMPUTED_VALUE"""),0.9903299075769554)</f>
        <v>0.9903299076</v>
      </c>
      <c r="AO715" s="57">
        <f>IFERROR(__xludf.DUMMYFUNCTION("""COMPUTED_VALUE"""),0.9817849041400024)</f>
        <v>0.9817849041</v>
      </c>
      <c r="AP715" s="35">
        <f>IFERROR(__xludf.DUMMYFUNCTION("""COMPUTED_VALUE"""),1.0710905325996356)</f>
        <v>1.071090533</v>
      </c>
      <c r="AQ715" s="57">
        <f>IFERROR(__xludf.DUMMYFUNCTION("""COMPUTED_VALUE"""),0.9946272924987059)</f>
        <v>0.9946272925</v>
      </c>
      <c r="AR715" s="36" t="b">
        <f>IFERROR(__xludf.DUMMYFUNCTION("""COMPUTED_VALUE"""),TRUE)</f>
        <v>1</v>
      </c>
      <c r="AS715" s="57"/>
      <c r="AT715" s="37"/>
      <c r="AU715" s="30"/>
      <c r="AV715" s="30"/>
      <c r="AW715" s="30"/>
      <c r="AX715" s="30"/>
      <c r="AY715" s="30"/>
      <c r="AZ715" s="30"/>
    </row>
    <row r="716">
      <c r="A716" s="30" t="str">
        <f>IFERROR(__xludf.DUMMYFUNCTION("""COMPUTED_VALUE"""),"Veteran")</f>
        <v>Veteran</v>
      </c>
      <c r="B716" s="30" t="str">
        <f>IFERROR(__xludf.DUMMYFUNCTION("""COMPUTED_VALUE"""),"RSC007855")</f>
        <v>RSC007855</v>
      </c>
      <c r="C716" s="30" t="str">
        <f>IFERROR(__xludf.DUMMYFUNCTION("""COMPUTED_VALUE"""),"Dub_Dill")</f>
        <v>Dub_Dill</v>
      </c>
      <c r="D716" s="31" t="str">
        <f>IFERROR(__xludf.DUMMYFUNCTION("""COMPUTED_VALUE"""),"Legati")</f>
        <v>Legati</v>
      </c>
      <c r="E716" s="31">
        <f>IFERROR(__xludf.DUMMYFUNCTION("""COMPUTED_VALUE"""),75.31884283542865)</f>
        <v>75.31884284</v>
      </c>
      <c r="F716" s="31">
        <f>IFERROR(__xludf.DUMMYFUNCTION("""COMPUTED_VALUE"""),6.427193413604083)</f>
        <v>6.427193414</v>
      </c>
      <c r="G716" s="31">
        <f>IFERROR(__xludf.DUMMYFUNCTION("""COMPUTED_VALUE"""),51.033581568721864)</f>
        <v>51.03358157</v>
      </c>
      <c r="H716" s="31">
        <f>IFERROR(__xludf.DUMMYFUNCTION("""COMPUTED_VALUE"""),2.068204751979558)</f>
        <v>2.068204752</v>
      </c>
      <c r="I716" s="54">
        <f>IFERROR(__xludf.DUMMYFUNCTION("""COMPUTED_VALUE"""),24.0)</f>
        <v>24</v>
      </c>
      <c r="J716" s="55">
        <f>IFERROR(__xludf.DUMMYFUNCTION("""COMPUTED_VALUE"""),17.0)</f>
        <v>17</v>
      </c>
      <c r="K716" s="54">
        <f>IFERROR(__xludf.DUMMYFUNCTION("""COMPUTED_VALUE"""),7.0)</f>
        <v>7</v>
      </c>
      <c r="L716" s="56">
        <f>IFERROR(__xludf.DUMMYFUNCTION("""COMPUTED_VALUE"""),0.7083333333333334)</f>
        <v>0.7083333333</v>
      </c>
      <c r="M716" s="56">
        <f>IFERROR(__xludf.DUMMYFUNCTION("""COMPUTED_VALUE"""),0.31343283582089554)</f>
        <v>0.3134328358</v>
      </c>
      <c r="N716" s="31">
        <f>IFERROR(__xludf.DUMMYFUNCTION("""COMPUTED_VALUE"""),346.75)</f>
        <v>346.75</v>
      </c>
      <c r="O716" s="57">
        <f>IFERROR(__xludf.DUMMYFUNCTION("""COMPUTED_VALUE"""),0.875)</f>
        <v>0.875</v>
      </c>
      <c r="P716" s="57">
        <f>IFERROR(__xludf.DUMMYFUNCTION("""COMPUTED_VALUE"""),0.9583333333333334)</f>
        <v>0.9583333333</v>
      </c>
      <c r="Q716" s="57">
        <f>IFERROR(__xludf.DUMMYFUNCTION("""COMPUTED_VALUE"""),0.9166666666666666)</f>
        <v>0.9166666667</v>
      </c>
      <c r="R716" s="57">
        <f>IFERROR(__xludf.DUMMYFUNCTION("""COMPUTED_VALUE"""),2.7916666666666665)</f>
        <v>2.791666667</v>
      </c>
      <c r="S716" s="31">
        <f>IFERROR(__xludf.DUMMYFUNCTION("""COMPUTED_VALUE"""),357.66666666666674)</f>
        <v>357.6666667</v>
      </c>
      <c r="T716" s="57">
        <f>IFERROR(__xludf.DUMMYFUNCTION("""COMPUTED_VALUE"""),0.8333333333333335)</f>
        <v>0.8333333333</v>
      </c>
      <c r="U716" s="57">
        <f>IFERROR(__xludf.DUMMYFUNCTION("""COMPUTED_VALUE"""),0.5833333333333334)</f>
        <v>0.5833333333</v>
      </c>
      <c r="V716" s="57">
        <f>IFERROR(__xludf.DUMMYFUNCTION("""COMPUTED_VALUE"""),1.4166666666666667)</f>
        <v>1.416666667</v>
      </c>
      <c r="W716" s="57">
        <f>IFERROR(__xludf.DUMMYFUNCTION("""COMPUTED_VALUE"""),2.555555555555555)</f>
        <v>2.555555556</v>
      </c>
      <c r="X716" s="31">
        <f>IFERROR(__xludf.DUMMYFUNCTION("""COMPUTED_VALUE"""),352.65215099724884)</f>
        <v>352.652151</v>
      </c>
      <c r="Y716" s="57">
        <f>IFERROR(__xludf.DUMMYFUNCTION("""COMPUTED_VALUE"""),0.782569732863017)</f>
        <v>0.7825697329</v>
      </c>
      <c r="Z716" s="57">
        <f>IFERROR(__xludf.DUMMYFUNCTION("""COMPUTED_VALUE"""),0.580899601535851)</f>
        <v>0.5808996015</v>
      </c>
      <c r="AA716" s="57">
        <f>IFERROR(__xludf.DUMMYFUNCTION("""COMPUTED_VALUE"""),1.3451502352018674)</f>
        <v>1.345150235</v>
      </c>
      <c r="AB716" s="57">
        <f>IFERROR(__xludf.DUMMYFUNCTION("""COMPUTED_VALUE"""),2.6151096087199877)</f>
        <v>2.615109609</v>
      </c>
      <c r="AC716" s="31">
        <f>IFERROR(__xludf.DUMMYFUNCTION("""COMPUTED_VALUE"""),363.99101887111846)</f>
        <v>363.9910189</v>
      </c>
      <c r="AD716" s="57">
        <f>IFERROR(__xludf.DUMMYFUNCTION("""COMPUTED_VALUE"""),0.8201467851904063)</f>
        <v>0.8201467852</v>
      </c>
      <c r="AE716" s="57">
        <f>IFERROR(__xludf.DUMMYFUNCTION("""COMPUTED_VALUE"""),0.6154101477233577)</f>
        <v>0.6154101477</v>
      </c>
      <c r="AF716" s="57">
        <f>IFERROR(__xludf.DUMMYFUNCTION("""COMPUTED_VALUE"""),1.3981784628589635)</f>
        <v>1.398178463</v>
      </c>
      <c r="AG716" s="57">
        <f>IFERROR(__xludf.DUMMYFUNCTION("""COMPUTED_VALUE"""),2.7056301554080933)</f>
        <v>2.705630155</v>
      </c>
      <c r="AH716" s="57">
        <f>IFERROR(__xludf.DUMMYFUNCTION("""COMPUTED_VALUE"""),0.9526333948442197)</f>
        <v>0.9526333948</v>
      </c>
      <c r="AI716" s="57">
        <f>IFERROR(__xludf.DUMMYFUNCTION("""COMPUTED_VALUE"""),1.0668821920662153)</f>
        <v>1.066882192</v>
      </c>
      <c r="AJ716" s="57">
        <f>IFERROR(__xludf.DUMMYFUNCTION("""COMPUTED_VALUE"""),1.5572270572374902)</f>
        <v>1.557227057</v>
      </c>
      <c r="AK716" s="57">
        <f>IFERROR(__xludf.DUMMYFUNCTION("""COMPUTED_VALUE"""),0.6556149240006798)</f>
        <v>0.655614924</v>
      </c>
      <c r="AL716" s="57">
        <f>IFERROR(__xludf.DUMMYFUNCTION("""COMPUTED_VALUE"""),1.0317990657690597)</f>
        <v>1.031799066</v>
      </c>
      <c r="AM716" s="57">
        <f>IFERROR(__xludf.DUMMYFUNCTION("""COMPUTED_VALUE"""),1.0142194387734134)</f>
        <v>1.014219439</v>
      </c>
      <c r="AN716" s="57">
        <f>IFERROR(__xludf.DUMMYFUNCTION("""COMPUTED_VALUE"""),1.0648678300968768)</f>
        <v>1.06486783</v>
      </c>
      <c r="AO716" s="57">
        <f>IFERROR(__xludf.DUMMYFUNCTION("""COMPUTED_VALUE"""),1.0041895910946537)</f>
        <v>1.004189591</v>
      </c>
      <c r="AP716" s="35">
        <f>IFERROR(__xludf.DUMMYFUNCTION("""COMPUTED_VALUE"""),1.053166129398228)</f>
        <v>1.053166129</v>
      </c>
      <c r="AQ716" s="57">
        <f>IFERROR(__xludf.DUMMYFUNCTION("""COMPUTED_VALUE"""),0.977226938035082)</f>
        <v>0.977226938</v>
      </c>
      <c r="AR716" s="36" t="b">
        <f>IFERROR(__xludf.DUMMYFUNCTION("""COMPUTED_VALUE"""),TRUE)</f>
        <v>1</v>
      </c>
      <c r="AS716" s="57"/>
      <c r="AT716" s="37"/>
      <c r="AU716" s="30"/>
      <c r="AV716" s="30"/>
      <c r="AW716" s="30"/>
      <c r="AX716" s="30"/>
      <c r="AY716" s="30"/>
      <c r="AZ716" s="30"/>
    </row>
    <row r="717">
      <c r="A717" s="30" t="str">
        <f>IFERROR(__xludf.DUMMYFUNCTION("""COMPUTED_VALUE"""),"Veteran")</f>
        <v>Veteran</v>
      </c>
      <c r="B717" s="30" t="str">
        <f>IFERROR(__xludf.DUMMYFUNCTION("""COMPUTED_VALUE"""),"RSC005734")</f>
        <v>RSC005734</v>
      </c>
      <c r="C717" s="30" t="str">
        <f>IFERROR(__xludf.DUMMYFUNCTION("""COMPUTED_VALUE"""),"Bas Radala")</f>
        <v>Bas Radala</v>
      </c>
      <c r="D717" s="31" t="str">
        <f>IFERROR(__xludf.DUMMYFUNCTION("""COMPUTED_VALUE"""),"Possessed")</f>
        <v>Possessed</v>
      </c>
      <c r="E717" s="31">
        <f>IFERROR(__xludf.DUMMYFUNCTION("""COMPUTED_VALUE"""),74.60281372365496)</f>
        <v>74.60281372</v>
      </c>
      <c r="F717" s="31">
        <f>IFERROR(__xludf.DUMMYFUNCTION("""COMPUTED_VALUE"""),6.15270690979531)</f>
        <v>6.15270691</v>
      </c>
      <c r="G717" s="31">
        <f>IFERROR(__xludf.DUMMYFUNCTION("""COMPUTED_VALUE"""),67.3141121265131)</f>
        <v>67.31411213</v>
      </c>
      <c r="H717" s="31">
        <f>IFERROR(__xludf.DUMMYFUNCTION("""COMPUTED_VALUE"""),4.093471100636364)</f>
        <v>4.093471101</v>
      </c>
      <c r="I717" s="54">
        <f>IFERROR(__xludf.DUMMYFUNCTION("""COMPUTED_VALUE"""),24.0)</f>
        <v>24</v>
      </c>
      <c r="J717" s="55">
        <f>IFERROR(__xludf.DUMMYFUNCTION("""COMPUTED_VALUE"""),11.0)</f>
        <v>11</v>
      </c>
      <c r="K717" s="54">
        <f>IFERROR(__xludf.DUMMYFUNCTION("""COMPUTED_VALUE"""),13.0)</f>
        <v>13</v>
      </c>
      <c r="L717" s="56">
        <f>IFERROR(__xludf.DUMMYFUNCTION("""COMPUTED_VALUE"""),0.4583333333333333)</f>
        <v>0.4583333333</v>
      </c>
      <c r="M717" s="56">
        <f>IFERROR(__xludf.DUMMYFUNCTION("""COMPUTED_VALUE"""),0.34210526315789475)</f>
        <v>0.3421052632</v>
      </c>
      <c r="N717" s="31">
        <f>IFERROR(__xludf.DUMMYFUNCTION("""COMPUTED_VALUE"""),406.375)</f>
        <v>406.375</v>
      </c>
      <c r="O717" s="57">
        <f>IFERROR(__xludf.DUMMYFUNCTION("""COMPUTED_VALUE"""),1.0833333333333333)</f>
        <v>1.083333333</v>
      </c>
      <c r="P717" s="57">
        <f>IFERROR(__xludf.DUMMYFUNCTION("""COMPUTED_VALUE"""),0.625)</f>
        <v>0.625</v>
      </c>
      <c r="Q717" s="57">
        <f>IFERROR(__xludf.DUMMYFUNCTION("""COMPUTED_VALUE"""),1.3333333333333333)</f>
        <v>1.333333333</v>
      </c>
      <c r="R717" s="57">
        <f>IFERROR(__xludf.DUMMYFUNCTION("""COMPUTED_VALUE"""),3.1666666666666665)</f>
        <v>3.166666667</v>
      </c>
      <c r="S717" s="31">
        <f>IFERROR(__xludf.DUMMYFUNCTION("""COMPUTED_VALUE"""),372.1944444444444)</f>
        <v>372.1944444</v>
      </c>
      <c r="T717" s="57">
        <f>IFERROR(__xludf.DUMMYFUNCTION("""COMPUTED_VALUE"""),0.8333333333333335)</f>
        <v>0.8333333333</v>
      </c>
      <c r="U717" s="57">
        <f>IFERROR(__xludf.DUMMYFUNCTION("""COMPUTED_VALUE"""),0.638888888888889)</f>
        <v>0.6388888889</v>
      </c>
      <c r="V717" s="57">
        <f>IFERROR(__xludf.DUMMYFUNCTION("""COMPUTED_VALUE"""),1.5694444444444446)</f>
        <v>1.569444444</v>
      </c>
      <c r="W717" s="57">
        <f>IFERROR(__xludf.DUMMYFUNCTION("""COMPUTED_VALUE"""),2.7222222222222228)</f>
        <v>2.722222222</v>
      </c>
      <c r="X717" s="31">
        <f>IFERROR(__xludf.DUMMYFUNCTION("""COMPUTED_VALUE"""),345.5535798001027)</f>
        <v>345.5535798</v>
      </c>
      <c r="Y717" s="57">
        <f>IFERROR(__xludf.DUMMYFUNCTION("""COMPUTED_VALUE"""),0.7255519821510691)</f>
        <v>0.7255519822</v>
      </c>
      <c r="Z717" s="57">
        <f>IFERROR(__xludf.DUMMYFUNCTION("""COMPUTED_VALUE"""),0.5123780664128555)</f>
        <v>0.5123780664</v>
      </c>
      <c r="AA717" s="57">
        <f>IFERROR(__xludf.DUMMYFUNCTION("""COMPUTED_VALUE"""),1.4044580432374694)</f>
        <v>1.404458043</v>
      </c>
      <c r="AB717" s="57">
        <f>IFERROR(__xludf.DUMMYFUNCTION("""COMPUTED_VALUE"""),2.4733233567919)</f>
        <v>2.473323357</v>
      </c>
      <c r="AC717" s="31">
        <f>IFERROR(__xludf.DUMMYFUNCTION("""COMPUTED_VALUE"""),350.00520352500916)</f>
        <v>350.0052035</v>
      </c>
      <c r="AD717" s="57">
        <f>IFERROR(__xludf.DUMMYFUNCTION("""COMPUTED_VALUE"""),0.7730692992754865)</f>
        <v>0.7730692993</v>
      </c>
      <c r="AE717" s="57">
        <f>IFERROR(__xludf.DUMMYFUNCTION("""COMPUTED_VALUE"""),0.5905411815710299)</f>
        <v>0.5905411816</v>
      </c>
      <c r="AF717" s="57">
        <f>IFERROR(__xludf.DUMMYFUNCTION("""COMPUTED_VALUE"""),1.3026503500017297)</f>
        <v>1.30265035</v>
      </c>
      <c r="AG717" s="57">
        <f>IFERROR(__xludf.DUMMYFUNCTION("""COMPUTED_VALUE"""),2.693129726966392)</f>
        <v>2.693129727</v>
      </c>
      <c r="AH717" s="57">
        <f>IFERROR(__xludf.DUMMYFUNCTION("""COMPUTED_VALUE"""),1.1610541669303012)</f>
        <v>1.161054167</v>
      </c>
      <c r="AI717" s="57">
        <f>IFERROR(__xludf.DUMMYFUNCTION("""COMPUTED_VALUE"""),1.4013405193410517)</f>
        <v>1.401340519</v>
      </c>
      <c r="AJ717" s="57">
        <f>IFERROR(__xludf.DUMMYFUNCTION("""COMPUTED_VALUE"""),1.0583512539079807)</f>
        <v>1.058351254</v>
      </c>
      <c r="AK717" s="57">
        <f>IFERROR(__xludf.DUMMYFUNCTION("""COMPUTED_VALUE"""),1.0235542740471861)</f>
        <v>1.023554274</v>
      </c>
      <c r="AL717" s="57">
        <f>IFERROR(__xludf.DUMMYFUNCTION("""COMPUTED_VALUE"""),1.1758314629105069)</f>
        <v>1.175831463</v>
      </c>
      <c r="AM717" s="57">
        <f>IFERROR(__xludf.DUMMYFUNCTION("""COMPUTED_VALUE"""),1.0770961905813652)</f>
        <v>1.077096191</v>
      </c>
      <c r="AN717" s="57">
        <f>IFERROR(__xludf.DUMMYFUNCTION("""COMPUTED_VALUE"""),1.148550832791775)</f>
        <v>1.148550833</v>
      </c>
      <c r="AO717" s="57">
        <f>IFERROR(__xludf.DUMMYFUNCTION("""COMPUTED_VALUE"""),1.2469091297403343)</f>
        <v>1.24690913</v>
      </c>
      <c r="AP717" s="35">
        <f>IFERROR(__xludf.DUMMYFUNCTION("""COMPUTED_VALUE"""),1.1174733570727815)</f>
        <v>1.117473357</v>
      </c>
      <c r="AQ717" s="57">
        <f>IFERROR(__xludf.DUMMYFUNCTION("""COMPUTED_VALUE"""),1.1006333703786975)</f>
        <v>1.10063337</v>
      </c>
      <c r="AR717" s="36" t="b">
        <f>IFERROR(__xludf.DUMMYFUNCTION("""COMPUTED_VALUE"""),TRUE)</f>
        <v>1</v>
      </c>
      <c r="AS717" s="57"/>
      <c r="AT717" s="37"/>
      <c r="AU717" s="30"/>
      <c r="AV717" s="30"/>
      <c r="AW717" s="30"/>
      <c r="AX717" s="30"/>
      <c r="AY717" s="30"/>
      <c r="AZ717" s="30"/>
    </row>
    <row r="718">
      <c r="A718" s="30" t="str">
        <f>IFERROR(__xludf.DUMMYFUNCTION("""COMPUTED_VALUE"""),"Veteran")</f>
        <v>Veteran</v>
      </c>
      <c r="B718" s="30" t="str">
        <f>IFERROR(__xludf.DUMMYFUNCTION("""COMPUTED_VALUE"""),"RSC005212")</f>
        <v>RSC005212</v>
      </c>
      <c r="C718" s="30" t="str">
        <f>IFERROR(__xludf.DUMMYFUNCTION("""COMPUTED_VALUE"""),"crackdragon")</f>
        <v>crackdragon</v>
      </c>
      <c r="D718" s="31" t="str">
        <f>IFERROR(__xludf.DUMMYFUNCTION("""COMPUTED_VALUE"""),"Grizzly Bears")</f>
        <v>Grizzly Bears</v>
      </c>
      <c r="E718" s="31">
        <f>IFERROR(__xludf.DUMMYFUNCTION("""COMPUTED_VALUE"""),72.9328641470901)</f>
        <v>72.93286415</v>
      </c>
      <c r="F718" s="31">
        <f>IFERROR(__xludf.DUMMYFUNCTION("""COMPUTED_VALUE"""),5.571374749865294)</f>
        <v>5.57137475</v>
      </c>
      <c r="G718" s="31">
        <f>IFERROR(__xludf.DUMMYFUNCTION("""COMPUTED_VALUE"""),63.70417785817392)</f>
        <v>63.70417786</v>
      </c>
      <c r="H718" s="31">
        <f>IFERROR(__xludf.DUMMYFUNCTION("""COMPUTED_VALUE"""),3.4271389207173457)</f>
        <v>3.427138921</v>
      </c>
      <c r="I718" s="54">
        <f>IFERROR(__xludf.DUMMYFUNCTION("""COMPUTED_VALUE"""),24.0)</f>
        <v>24</v>
      </c>
      <c r="J718" s="55">
        <f>IFERROR(__xludf.DUMMYFUNCTION("""COMPUTED_VALUE"""),16.0)</f>
        <v>16</v>
      </c>
      <c r="K718" s="54">
        <f>IFERROR(__xludf.DUMMYFUNCTION("""COMPUTED_VALUE"""),8.0)</f>
        <v>8</v>
      </c>
      <c r="L718" s="56">
        <f>IFERROR(__xludf.DUMMYFUNCTION("""COMPUTED_VALUE"""),0.6666666666666666)</f>
        <v>0.6666666667</v>
      </c>
      <c r="M718" s="56">
        <f>IFERROR(__xludf.DUMMYFUNCTION("""COMPUTED_VALUE"""),0.3246753246753247)</f>
        <v>0.3246753247</v>
      </c>
      <c r="N718" s="31">
        <f>IFERROR(__xludf.DUMMYFUNCTION("""COMPUTED_VALUE"""),392.3333333333333)</f>
        <v>392.3333333</v>
      </c>
      <c r="O718" s="57">
        <f>IFERROR(__xludf.DUMMYFUNCTION("""COMPUTED_VALUE"""),1.0416666666666667)</f>
        <v>1.041666667</v>
      </c>
      <c r="P718" s="57">
        <f>IFERROR(__xludf.DUMMYFUNCTION("""COMPUTED_VALUE"""),0.5416666666666666)</f>
        <v>0.5416666667</v>
      </c>
      <c r="Q718" s="57">
        <f>IFERROR(__xludf.DUMMYFUNCTION("""COMPUTED_VALUE"""),1.25)</f>
        <v>1.25</v>
      </c>
      <c r="R718" s="57">
        <f>IFERROR(__xludf.DUMMYFUNCTION("""COMPUTED_VALUE"""),3.2083333333333335)</f>
        <v>3.208333333</v>
      </c>
      <c r="S718" s="31">
        <f>IFERROR(__xludf.DUMMYFUNCTION("""COMPUTED_VALUE"""),351.8888888888889)</f>
        <v>351.8888889</v>
      </c>
      <c r="T718" s="57">
        <f>IFERROR(__xludf.DUMMYFUNCTION("""COMPUTED_VALUE"""),0.6944444444444445)</f>
        <v>0.6944444444</v>
      </c>
      <c r="U718" s="57">
        <f>IFERROR(__xludf.DUMMYFUNCTION("""COMPUTED_VALUE"""),0.47222222222222227)</f>
        <v>0.4722222222</v>
      </c>
      <c r="V718" s="57">
        <f>IFERROR(__xludf.DUMMYFUNCTION("""COMPUTED_VALUE"""),1.513888888888889)</f>
        <v>1.513888889</v>
      </c>
      <c r="W718" s="57">
        <f>IFERROR(__xludf.DUMMYFUNCTION("""COMPUTED_VALUE"""),2.4166666666666665)</f>
        <v>2.416666667</v>
      </c>
      <c r="X718" s="31">
        <f>IFERROR(__xludf.DUMMYFUNCTION("""COMPUTED_VALUE"""),351.2782304984819)</f>
        <v>351.2782305</v>
      </c>
      <c r="Y718" s="57">
        <f>IFERROR(__xludf.DUMMYFUNCTION("""COMPUTED_VALUE"""),0.7195665651500294)</f>
        <v>0.7195665652</v>
      </c>
      <c r="Z718" s="57">
        <f>IFERROR(__xludf.DUMMYFUNCTION("""COMPUTED_VALUE"""),0.5222821675687133)</f>
        <v>0.5222821676</v>
      </c>
      <c r="AA718" s="57">
        <f>IFERROR(__xludf.DUMMYFUNCTION("""COMPUTED_VALUE"""),1.5296589983847664)</f>
        <v>1.529658998</v>
      </c>
      <c r="AB718" s="57">
        <f>IFERROR(__xludf.DUMMYFUNCTION("""COMPUTED_VALUE"""),2.4908303605013686)</f>
        <v>2.490830361</v>
      </c>
      <c r="AC718" s="31">
        <f>IFERROR(__xludf.DUMMYFUNCTION("""COMPUTED_VALUE"""),353.3712586900042)</f>
        <v>353.3712587</v>
      </c>
      <c r="AD718" s="57">
        <f>IFERROR(__xludf.DUMMYFUNCTION("""COMPUTED_VALUE"""),0.8170934068218495)</f>
        <v>0.8170934068</v>
      </c>
      <c r="AE718" s="57">
        <f>IFERROR(__xludf.DUMMYFUNCTION("""COMPUTED_VALUE"""),0.5745494507695414)</f>
        <v>0.5745494508</v>
      </c>
      <c r="AF718" s="57">
        <f>IFERROR(__xludf.DUMMYFUNCTION("""COMPUTED_VALUE"""),1.3080053517308945)</f>
        <v>1.308005352</v>
      </c>
      <c r="AG718" s="57">
        <f>IFERROR(__xludf.DUMMYFUNCTION("""COMPUTED_VALUE"""),2.7497027248823454)</f>
        <v>2.749702725</v>
      </c>
      <c r="AH718" s="57">
        <f>IFERROR(__xludf.DUMMYFUNCTION("""COMPUTED_VALUE"""),1.1102581879119622)</f>
        <v>1.110258188</v>
      </c>
      <c r="AI718" s="57">
        <f>IFERROR(__xludf.DUMMYFUNCTION("""COMPUTED_VALUE"""),1.2748440483913743)</f>
        <v>1.274844048</v>
      </c>
      <c r="AJ718" s="57">
        <f>IFERROR(__xludf.DUMMYFUNCTION("""COMPUTED_VALUE"""),0.942767704226621)</f>
        <v>0.9427677042</v>
      </c>
      <c r="AK718" s="57">
        <f>IFERROR(__xludf.DUMMYFUNCTION("""COMPUTED_VALUE"""),0.9556535822623848)</f>
        <v>0.9556535823</v>
      </c>
      <c r="AL718" s="57">
        <f>IFERROR(__xludf.DUMMYFUNCTION("""COMPUTED_VALUE"""),1.166792797017944)</f>
        <v>1.166792797</v>
      </c>
      <c r="AM718" s="57">
        <f>IFERROR(__xludf.DUMMYFUNCTION("""COMPUTED_VALUE"""),1.0017383895083407)</f>
        <v>1.00173839</v>
      </c>
      <c r="AN718" s="57">
        <f>IFERROR(__xludf.DUMMYFUNCTION("""COMPUTED_VALUE"""),0.9650871483997496)</f>
        <v>0.9650871484</v>
      </c>
      <c r="AO718" s="57">
        <f>IFERROR(__xludf.DUMMYFUNCTION("""COMPUTED_VALUE"""),0.9041515325335994)</f>
        <v>0.9041515325</v>
      </c>
      <c r="AP718" s="35">
        <f>IFERROR(__xludf.DUMMYFUNCTION("""COMPUTED_VALUE"""),0.9896904411293435)</f>
        <v>0.9896904411</v>
      </c>
      <c r="AQ718" s="57">
        <f>IFERROR(__xludf.DUMMYFUNCTION("""COMPUTED_VALUE"""),0.970225313208494)</f>
        <v>0.9702253132</v>
      </c>
      <c r="AR718" s="36" t="b">
        <f>IFERROR(__xludf.DUMMYFUNCTION("""COMPUTED_VALUE"""),TRUE)</f>
        <v>1</v>
      </c>
      <c r="AS718" s="57"/>
      <c r="AT718" s="37"/>
      <c r="AU718" s="30"/>
      <c r="AV718" s="30"/>
      <c r="AW718" s="30"/>
      <c r="AX718" s="30"/>
      <c r="AY718" s="30"/>
      <c r="AZ718" s="30"/>
    </row>
    <row r="719">
      <c r="A719" s="30" t="str">
        <f>IFERROR(__xludf.DUMMYFUNCTION("""COMPUTED_VALUE"""),"Veteran")</f>
        <v>Veteran</v>
      </c>
      <c r="B719" s="30" t="str">
        <f>IFERROR(__xludf.DUMMYFUNCTION("""COMPUTED_VALUE"""),"RSC007341")</f>
        <v>RSC007341</v>
      </c>
      <c r="C719" s="30" t="str">
        <f>IFERROR(__xludf.DUMMYFUNCTION("""COMPUTED_VALUE"""),"Squashy")</f>
        <v>Squashy</v>
      </c>
      <c r="D719" s="31" t="str">
        <f>IFERROR(__xludf.DUMMYFUNCTION("""COMPUTED_VALUE"""),"Rockin Revenants")</f>
        <v>Rockin Revenants</v>
      </c>
      <c r="E719" s="31">
        <f>IFERROR(__xludf.DUMMYFUNCTION("""COMPUTED_VALUE"""),72.24219543503371)</f>
        <v>72.24219544</v>
      </c>
      <c r="F719" s="31">
        <f>IFERROR(__xludf.DUMMYFUNCTION("""COMPUTED_VALUE"""),5.352838544463171)</f>
        <v>5.352838544</v>
      </c>
      <c r="G719" s="31">
        <f>IFERROR(__xludf.DUMMYFUNCTION("""COMPUTED_VALUE"""),65.75868466049995)</f>
        <v>65.75868466</v>
      </c>
      <c r="H719" s="31">
        <f>IFERROR(__xludf.DUMMYFUNCTION("""COMPUTED_VALUE"""),3.784529149886587)</f>
        <v>3.78452915</v>
      </c>
      <c r="I719" s="54">
        <f>IFERROR(__xludf.DUMMYFUNCTION("""COMPUTED_VALUE"""),32.0)</f>
        <v>32</v>
      </c>
      <c r="J719" s="55">
        <f>IFERROR(__xludf.DUMMYFUNCTION("""COMPUTED_VALUE"""),16.0)</f>
        <v>16</v>
      </c>
      <c r="K719" s="54">
        <f>IFERROR(__xludf.DUMMYFUNCTION("""COMPUTED_VALUE"""),16.0)</f>
        <v>16</v>
      </c>
      <c r="L719" s="56">
        <f>IFERROR(__xludf.DUMMYFUNCTION("""COMPUTED_VALUE"""),0.5)</f>
        <v>0.5</v>
      </c>
      <c r="M719" s="56">
        <f>IFERROR(__xludf.DUMMYFUNCTION("""COMPUTED_VALUE"""),0.2708333333333333)</f>
        <v>0.2708333333</v>
      </c>
      <c r="N719" s="31">
        <f>IFERROR(__xludf.DUMMYFUNCTION("""COMPUTED_VALUE"""),375.84375)</f>
        <v>375.84375</v>
      </c>
      <c r="O719" s="57">
        <f>IFERROR(__xludf.DUMMYFUNCTION("""COMPUTED_VALUE"""),0.8125)</f>
        <v>0.8125</v>
      </c>
      <c r="P719" s="57">
        <f>IFERROR(__xludf.DUMMYFUNCTION("""COMPUTED_VALUE"""),0.8125)</f>
        <v>0.8125</v>
      </c>
      <c r="Q719" s="57">
        <f>IFERROR(__xludf.DUMMYFUNCTION("""COMPUTED_VALUE"""),1.375)</f>
        <v>1.375</v>
      </c>
      <c r="R719" s="57">
        <f>IFERROR(__xludf.DUMMYFUNCTION("""COMPUTED_VALUE"""),3.0)</f>
        <v>3</v>
      </c>
      <c r="S719" s="31">
        <f>IFERROR(__xludf.DUMMYFUNCTION("""COMPUTED_VALUE"""),353.84374999999994)</f>
        <v>353.84375</v>
      </c>
      <c r="T719" s="57">
        <f>IFERROR(__xludf.DUMMYFUNCTION("""COMPUTED_VALUE"""),0.75)</f>
        <v>0.75</v>
      </c>
      <c r="U719" s="57">
        <f>IFERROR(__xludf.DUMMYFUNCTION("""COMPUTED_VALUE"""),0.6249999999999999)</f>
        <v>0.625</v>
      </c>
      <c r="V719" s="57">
        <f>IFERROR(__xludf.DUMMYFUNCTION("""COMPUTED_VALUE"""),1.3124999999999998)</f>
        <v>1.3125</v>
      </c>
      <c r="W719" s="57">
        <f>IFERROR(__xludf.DUMMYFUNCTION("""COMPUTED_VALUE"""),2.520833333333333)</f>
        <v>2.520833333</v>
      </c>
      <c r="X719" s="31">
        <f>IFERROR(__xludf.DUMMYFUNCTION("""COMPUTED_VALUE"""),366.63232969106093)</f>
        <v>366.6323297</v>
      </c>
      <c r="Y719" s="57">
        <f>IFERROR(__xludf.DUMMYFUNCTION("""COMPUTED_VALUE"""),0.8497723948450348)</f>
        <v>0.8497723948</v>
      </c>
      <c r="Z719" s="57">
        <f>IFERROR(__xludf.DUMMYFUNCTION("""COMPUTED_VALUE"""),0.5970357616612955)</f>
        <v>0.5970357617</v>
      </c>
      <c r="AA719" s="57">
        <f>IFERROR(__xludf.DUMMYFUNCTION("""COMPUTED_VALUE"""),1.3776843757216148)</f>
        <v>1.377684376</v>
      </c>
      <c r="AB719" s="57">
        <f>IFERROR(__xludf.DUMMYFUNCTION("""COMPUTED_VALUE"""),2.7591311083125007)</f>
        <v>2.759131108</v>
      </c>
      <c r="AC719" s="31">
        <f>IFERROR(__xludf.DUMMYFUNCTION("""COMPUTED_VALUE"""),364.017698345243)</f>
        <v>364.0176983</v>
      </c>
      <c r="AD719" s="57">
        <f>IFERROR(__xludf.DUMMYFUNCTION("""COMPUTED_VALUE"""),0.8250936342278847)</f>
        <v>0.8250936342</v>
      </c>
      <c r="AE719" s="57">
        <f>IFERROR(__xludf.DUMMYFUNCTION("""COMPUTED_VALUE"""),0.6049528785528545)</f>
        <v>0.6049528786</v>
      </c>
      <c r="AF719" s="57">
        <f>IFERROR(__xludf.DUMMYFUNCTION("""COMPUTED_VALUE"""),1.3888519097902006)</f>
        <v>1.38885191</v>
      </c>
      <c r="AG719" s="57">
        <f>IFERROR(__xludf.DUMMYFUNCTION("""COMPUTED_VALUE"""),2.736937126851936)</f>
        <v>2.736937127</v>
      </c>
      <c r="AH719" s="57">
        <f>IFERROR(__xludf.DUMMYFUNCTION("""COMPUTED_VALUE"""),1.0324875732924965)</f>
        <v>1.032487573</v>
      </c>
      <c r="AI719" s="57">
        <f>IFERROR(__xludf.DUMMYFUNCTION("""COMPUTED_VALUE"""),0.984736721136299)</f>
        <v>0.9847367211</v>
      </c>
      <c r="AJ719" s="57">
        <f>IFERROR(__xludf.DUMMYFUNCTION("""COMPUTED_VALUE"""),1.3430798146520633)</f>
        <v>1.343079815</v>
      </c>
      <c r="AK719" s="57">
        <f>IFERROR(__xludf.DUMMYFUNCTION("""COMPUTED_VALUE"""),0.9900263594033628)</f>
        <v>0.9900263594</v>
      </c>
      <c r="AL719" s="57">
        <f>IFERROR(__xludf.DUMMYFUNCTION("""COMPUTED_VALUE"""),1.096115789642067)</f>
        <v>1.09611579</v>
      </c>
      <c r="AM719" s="57">
        <f>IFERROR(__xludf.DUMMYFUNCTION("""COMPUTED_VALUE"""),0.9651187888917566)</f>
        <v>0.9651187889</v>
      </c>
      <c r="AN719" s="57">
        <f>IFERROR(__xludf.DUMMYFUNCTION("""COMPUTED_VALUE"""),0.8825892727861213)</f>
        <v>0.8825892728</v>
      </c>
      <c r="AO719" s="57">
        <f>IFERROR(__xludf.DUMMYFUNCTION("""COMPUTED_VALUE"""),1.0468384645182591)</f>
        <v>1.046838465</v>
      </c>
      <c r="AP719" s="35">
        <f>IFERROR(__xludf.DUMMYFUNCTION("""COMPUTED_VALUE"""),0.9526855520245904)</f>
        <v>0.952685552</v>
      </c>
      <c r="AQ719" s="57">
        <f>IFERROR(__xludf.DUMMYFUNCTION("""COMPUTED_VALUE"""),0.9136330367697126)</f>
        <v>0.9136330368</v>
      </c>
      <c r="AR719" s="36" t="b">
        <f>IFERROR(__xludf.DUMMYFUNCTION("""COMPUTED_VALUE"""),TRUE)</f>
        <v>1</v>
      </c>
      <c r="AS719" s="57"/>
      <c r="AT719" s="37"/>
      <c r="AU719" s="30"/>
      <c r="AV719" s="30"/>
      <c r="AW719" s="30"/>
      <c r="AX719" s="30"/>
      <c r="AY719" s="30"/>
      <c r="AZ719" s="30"/>
    </row>
    <row r="720">
      <c r="A720" s="30" t="str">
        <f>IFERROR(__xludf.DUMMYFUNCTION("""COMPUTED_VALUE"""),"Veteran")</f>
        <v>Veteran</v>
      </c>
      <c r="B720" s="30" t="str">
        <f>IFERROR(__xludf.DUMMYFUNCTION("""COMPUTED_VALUE"""),"RSC006424")</f>
        <v>RSC006424</v>
      </c>
      <c r="C720" s="30" t="str">
        <f>IFERROR(__xludf.DUMMYFUNCTION("""COMPUTED_VALUE"""),"TTV Ravenshunter")</f>
        <v>TTV Ravenshunter</v>
      </c>
      <c r="D720" s="31" t="str">
        <f>IFERROR(__xludf.DUMMYFUNCTION("""COMPUTED_VALUE"""),"Azalea")</f>
        <v>Azalea</v>
      </c>
      <c r="E720" s="31">
        <f>IFERROR(__xludf.DUMMYFUNCTION("""COMPUTED_VALUE"""),72.22800881023494)</f>
        <v>72.22800881</v>
      </c>
      <c r="F720" s="31">
        <f>IFERROR(__xludf.DUMMYFUNCTION("""COMPUTED_VALUE"""),5.3484744801862325)</f>
        <v>5.34847448</v>
      </c>
      <c r="G720" s="31">
        <f>IFERROR(__xludf.DUMMYFUNCTION("""COMPUTED_VALUE"""),55.179785363432565)</f>
        <v>55.17978536</v>
      </c>
      <c r="H720" s="31">
        <f>IFERROR(__xludf.DUMMYFUNCTION("""COMPUTED_VALUE"""),2.392744131534442)</f>
        <v>2.392744132</v>
      </c>
      <c r="I720" s="54">
        <f>IFERROR(__xludf.DUMMYFUNCTION("""COMPUTED_VALUE"""),7.0)</f>
        <v>7</v>
      </c>
      <c r="J720" s="55">
        <f>IFERROR(__xludf.DUMMYFUNCTION("""COMPUTED_VALUE"""),2.0)</f>
        <v>2</v>
      </c>
      <c r="K720" s="54">
        <f>IFERROR(__xludf.DUMMYFUNCTION("""COMPUTED_VALUE"""),5.0)</f>
        <v>5</v>
      </c>
      <c r="L720" s="56">
        <f>IFERROR(__xludf.DUMMYFUNCTION("""COMPUTED_VALUE"""),0.2857142857142857)</f>
        <v>0.2857142857</v>
      </c>
      <c r="M720" s="56">
        <f>IFERROR(__xludf.DUMMYFUNCTION("""COMPUTED_VALUE"""),0.30434782608695654)</f>
        <v>0.3043478261</v>
      </c>
      <c r="N720" s="31">
        <f>IFERROR(__xludf.DUMMYFUNCTION("""COMPUTED_VALUE"""),401.42857142857144)</f>
        <v>401.4285714</v>
      </c>
      <c r="O720" s="57">
        <f>IFERROR(__xludf.DUMMYFUNCTION("""COMPUTED_VALUE"""),1.0)</f>
        <v>1</v>
      </c>
      <c r="P720" s="57">
        <f>IFERROR(__xludf.DUMMYFUNCTION("""COMPUTED_VALUE"""),0.5714285714285714)</f>
        <v>0.5714285714</v>
      </c>
      <c r="Q720" s="57">
        <f>IFERROR(__xludf.DUMMYFUNCTION("""COMPUTED_VALUE"""),1.2857142857142858)</f>
        <v>1.285714286</v>
      </c>
      <c r="R720" s="57">
        <f>IFERROR(__xludf.DUMMYFUNCTION("""COMPUTED_VALUE"""),3.2857142857142856)</f>
        <v>3.285714286</v>
      </c>
      <c r="S720" s="31">
        <f>IFERROR(__xludf.DUMMYFUNCTION("""COMPUTED_VALUE"""),401.90476190476187)</f>
        <v>401.9047619</v>
      </c>
      <c r="T720" s="57">
        <f>IFERROR(__xludf.DUMMYFUNCTION("""COMPUTED_VALUE"""),1.0476190476190477)</f>
        <v>1.047619048</v>
      </c>
      <c r="U720" s="57">
        <f>IFERROR(__xludf.DUMMYFUNCTION("""COMPUTED_VALUE"""),0.7142857142857142)</f>
        <v>0.7142857143</v>
      </c>
      <c r="V720" s="57">
        <f>IFERROR(__xludf.DUMMYFUNCTION("""COMPUTED_VALUE"""),1.3333333333333335)</f>
        <v>1.333333333</v>
      </c>
      <c r="W720" s="57">
        <f>IFERROR(__xludf.DUMMYFUNCTION("""COMPUTED_VALUE"""),3.476190476190476)</f>
        <v>3.476190476</v>
      </c>
      <c r="X720" s="31">
        <f>IFERROR(__xludf.DUMMYFUNCTION("""COMPUTED_VALUE"""),371.9652434920328)</f>
        <v>371.9652435</v>
      </c>
      <c r="Y720" s="57">
        <f>IFERROR(__xludf.DUMMYFUNCTION("""COMPUTED_VALUE"""),0.9016790113235588)</f>
        <v>0.9016790113</v>
      </c>
      <c r="Z720" s="57">
        <f>IFERROR(__xludf.DUMMYFUNCTION("""COMPUTED_VALUE"""),0.6690772094278324)</f>
        <v>0.6690772094</v>
      </c>
      <c r="AA720" s="57">
        <f>IFERROR(__xludf.DUMMYFUNCTION("""COMPUTED_VALUE"""),1.3291565923943014)</f>
        <v>1.329156592</v>
      </c>
      <c r="AB720" s="57">
        <f>IFERROR(__xludf.DUMMYFUNCTION("""COMPUTED_VALUE"""),3.0110497838982337)</f>
        <v>3.011049784</v>
      </c>
      <c r="AC720" s="31">
        <f>IFERROR(__xludf.DUMMYFUNCTION("""COMPUTED_VALUE"""),358.6895069735004)</f>
        <v>358.689507</v>
      </c>
      <c r="AD720" s="57">
        <f>IFERROR(__xludf.DUMMYFUNCTION("""COMPUTED_VALUE"""),0.7533603479706058)</f>
        <v>0.753360348</v>
      </c>
      <c r="AE720" s="57">
        <f>IFERROR(__xludf.DUMMYFUNCTION("""COMPUTED_VALUE"""),0.5165182462938347)</f>
        <v>0.5165182463</v>
      </c>
      <c r="AF720" s="57">
        <f>IFERROR(__xludf.DUMMYFUNCTION("""COMPUTED_VALUE"""),1.5381168389024402)</f>
        <v>1.538116839</v>
      </c>
      <c r="AG720" s="57">
        <f>IFERROR(__xludf.DUMMYFUNCTION("""COMPUTED_VALUE"""),2.520254998551145)</f>
        <v>2.520254999</v>
      </c>
      <c r="AH720" s="57">
        <f>IFERROR(__xludf.DUMMYFUNCTION("""COMPUTED_VALUE"""),1.1191533725524583)</f>
        <v>1.119153373</v>
      </c>
      <c r="AI720" s="57">
        <f>IFERROR(__xludf.DUMMYFUNCTION("""COMPUTED_VALUE"""),1.327386028072475)</f>
        <v>1.327386028</v>
      </c>
      <c r="AJ720" s="57">
        <f>IFERROR(__xludf.DUMMYFUNCTION("""COMPUTED_VALUE"""),1.1063085874095133)</f>
        <v>1.106308587</v>
      </c>
      <c r="AK720" s="57">
        <f>IFERROR(__xludf.DUMMYFUNCTION("""COMPUTED_VALUE"""),0.8359015734017565)</f>
        <v>0.8359015734</v>
      </c>
      <c r="AL720" s="57">
        <f>IFERROR(__xludf.DUMMYFUNCTION("""COMPUTED_VALUE"""),1.3037229516867108)</f>
        <v>1.303722952</v>
      </c>
      <c r="AM720" s="57">
        <f>IFERROR(__xludf.DUMMYFUNCTION("""COMPUTED_VALUE"""),1.0804900966866018)</f>
        <v>1.080490097</v>
      </c>
      <c r="AN720" s="57">
        <f>IFERROR(__xludf.DUMMYFUNCTION("""COMPUTED_VALUE"""),1.1618536468773584)</f>
        <v>1.161853647</v>
      </c>
      <c r="AO720" s="57">
        <f>IFERROR(__xludf.DUMMYFUNCTION("""COMPUTED_VALUE"""),1.0675684423574108)</f>
        <v>1.067568442</v>
      </c>
      <c r="AP720" s="35">
        <f>IFERROR(__xludf.DUMMYFUNCTION("""COMPUTED_VALUE"""),1.0031423994455824)</f>
        <v>1.003142399</v>
      </c>
      <c r="AQ720" s="57">
        <f>IFERROR(__xludf.DUMMYFUNCTION("""COMPUTED_VALUE"""),1.1544779149051634)</f>
        <v>1.154477915</v>
      </c>
      <c r="AR720" s="36" t="b">
        <f>IFERROR(__xludf.DUMMYFUNCTION("""COMPUTED_VALUE"""),TRUE)</f>
        <v>1</v>
      </c>
      <c r="AS720" s="57"/>
      <c r="AT720" s="37"/>
      <c r="AU720" s="30"/>
      <c r="AV720" s="30"/>
      <c r="AW720" s="30"/>
      <c r="AX720" s="30"/>
      <c r="AY720" s="30"/>
      <c r="AZ720" s="30"/>
    </row>
    <row r="721">
      <c r="A721" s="30" t="str">
        <f>IFERROR(__xludf.DUMMYFUNCTION("""COMPUTED_VALUE"""),"Veteran")</f>
        <v>Veteran</v>
      </c>
      <c r="B721" s="30" t="str">
        <f>IFERROR(__xludf.DUMMYFUNCTION("""COMPUTED_VALUE"""),"RSC006140")</f>
        <v>RSC006140</v>
      </c>
      <c r="C721" s="30" t="str">
        <f>IFERROR(__xludf.DUMMYFUNCTION("""COMPUTED_VALUE"""),"Jay_Kay99")</f>
        <v>Jay_Kay99</v>
      </c>
      <c r="D721" s="31" t="str">
        <f>IFERROR(__xludf.DUMMYFUNCTION("""COMPUTED_VALUE"""),"Blacksmiths")</f>
        <v>Blacksmiths</v>
      </c>
      <c r="E721" s="31">
        <f>IFERROR(__xludf.DUMMYFUNCTION("""COMPUTED_VALUE"""),72.199993797805)</f>
        <v>72.1999938</v>
      </c>
      <c r="F721" s="31">
        <f>IFERROR(__xludf.DUMMYFUNCTION("""COMPUTED_VALUE"""),5.339870976378566)</f>
        <v>5.339870976</v>
      </c>
      <c r="G721" s="31">
        <f>IFERROR(__xludf.DUMMYFUNCTION("""COMPUTED_VALUE"""),60.76047383833814)</f>
        <v>60.76047384</v>
      </c>
      <c r="H721" s="31">
        <f>IFERROR(__xludf.DUMMYFUNCTION("""COMPUTED_VALUE"""),2.998991242272336)</f>
        <v>2.998991242</v>
      </c>
      <c r="I721" s="54">
        <f>IFERROR(__xludf.DUMMYFUNCTION("""COMPUTED_VALUE"""),36.0)</f>
        <v>36</v>
      </c>
      <c r="J721" s="55">
        <f>IFERROR(__xludf.DUMMYFUNCTION("""COMPUTED_VALUE"""),20.0)</f>
        <v>20</v>
      </c>
      <c r="K721" s="54">
        <f>IFERROR(__xludf.DUMMYFUNCTION("""COMPUTED_VALUE"""),16.0)</f>
        <v>16</v>
      </c>
      <c r="L721" s="56">
        <f>IFERROR(__xludf.DUMMYFUNCTION("""COMPUTED_VALUE"""),0.5555555555555556)</f>
        <v>0.5555555556</v>
      </c>
      <c r="M721" s="56">
        <f>IFERROR(__xludf.DUMMYFUNCTION("""COMPUTED_VALUE"""),0.36363636363636365)</f>
        <v>0.3636363636</v>
      </c>
      <c r="N721" s="31">
        <f>IFERROR(__xludf.DUMMYFUNCTION("""COMPUTED_VALUE"""),373.47222222222223)</f>
        <v>373.4722222</v>
      </c>
      <c r="O721" s="57">
        <f>IFERROR(__xludf.DUMMYFUNCTION("""COMPUTED_VALUE"""),1.0)</f>
        <v>1</v>
      </c>
      <c r="P721" s="57">
        <f>IFERROR(__xludf.DUMMYFUNCTION("""COMPUTED_VALUE"""),0.6111111111111112)</f>
        <v>0.6111111111</v>
      </c>
      <c r="Q721" s="57">
        <f>IFERROR(__xludf.DUMMYFUNCTION("""COMPUTED_VALUE"""),1.3333333333333333)</f>
        <v>1.333333333</v>
      </c>
      <c r="R721" s="57">
        <f>IFERROR(__xludf.DUMMYFUNCTION("""COMPUTED_VALUE"""),2.75)</f>
        <v>2.75</v>
      </c>
      <c r="S721" s="31">
        <f>IFERROR(__xludf.DUMMYFUNCTION("""COMPUTED_VALUE"""),364.2222222222222)</f>
        <v>364.2222222</v>
      </c>
      <c r="T721" s="57">
        <f>IFERROR(__xludf.DUMMYFUNCTION("""COMPUTED_VALUE"""),0.7685185185185186)</f>
        <v>0.7685185185</v>
      </c>
      <c r="U721" s="57">
        <f>IFERROR(__xludf.DUMMYFUNCTION("""COMPUTED_VALUE"""),0.6296296296296298)</f>
        <v>0.6296296296</v>
      </c>
      <c r="V721" s="57">
        <f>IFERROR(__xludf.DUMMYFUNCTION("""COMPUTED_VALUE"""),1.5185185185185184)</f>
        <v>1.518518519</v>
      </c>
      <c r="W721" s="57">
        <f>IFERROR(__xludf.DUMMYFUNCTION("""COMPUTED_VALUE"""),2.407407407407407)</f>
        <v>2.407407407</v>
      </c>
      <c r="X721" s="31">
        <f>IFERROR(__xludf.DUMMYFUNCTION("""COMPUTED_VALUE"""),352.51101807503505)</f>
        <v>352.5110181</v>
      </c>
      <c r="Y721" s="57">
        <f>IFERROR(__xludf.DUMMYFUNCTION("""COMPUTED_VALUE"""),0.7776810414092754)</f>
        <v>0.7776810414</v>
      </c>
      <c r="Z721" s="57">
        <f>IFERROR(__xludf.DUMMYFUNCTION("""COMPUTED_VALUE"""),0.574552214216324)</f>
        <v>0.5745522142</v>
      </c>
      <c r="AA721" s="57">
        <f>IFERROR(__xludf.DUMMYFUNCTION("""COMPUTED_VALUE"""),1.3898581116329183)</f>
        <v>1.389858112</v>
      </c>
      <c r="AB721" s="57">
        <f>IFERROR(__xludf.DUMMYFUNCTION("""COMPUTED_VALUE"""),2.6243962417591096)</f>
        <v>2.624396242</v>
      </c>
      <c r="AC721" s="31">
        <f>IFERROR(__xludf.DUMMYFUNCTION("""COMPUTED_VALUE"""),342.8828393728998)</f>
        <v>342.8828394</v>
      </c>
      <c r="AD721" s="57">
        <f>IFERROR(__xludf.DUMMYFUNCTION("""COMPUTED_VALUE"""),0.7486856502540923)</f>
        <v>0.7486856503</v>
      </c>
      <c r="AE721" s="57">
        <f>IFERROR(__xludf.DUMMYFUNCTION("""COMPUTED_VALUE"""),0.5262238232112881)</f>
        <v>0.5262238232</v>
      </c>
      <c r="AF721" s="57">
        <f>IFERROR(__xludf.DUMMYFUNCTION("""COMPUTED_VALUE"""),1.3526063554975445)</f>
        <v>1.352606355</v>
      </c>
      <c r="AG721" s="57">
        <f>IFERROR(__xludf.DUMMYFUNCTION("""COMPUTED_VALUE"""),2.5386195612759375)</f>
        <v>2.538619561</v>
      </c>
      <c r="AH721" s="57">
        <f>IFERROR(__xludf.DUMMYFUNCTION("""COMPUTED_VALUE"""),1.0892123470082886)</f>
        <v>1.089212347</v>
      </c>
      <c r="AI721" s="57">
        <f>IFERROR(__xludf.DUMMYFUNCTION("""COMPUTED_VALUE"""),1.3356740571434962)</f>
        <v>1.335674057</v>
      </c>
      <c r="AJ721" s="57">
        <f>IFERROR(__xludf.DUMMYFUNCTION("""COMPUTED_VALUE"""),1.161314034362407)</f>
        <v>1.161314034</v>
      </c>
      <c r="AK721" s="57">
        <f>IFERROR(__xludf.DUMMYFUNCTION("""COMPUTED_VALUE"""),0.9857511965060065)</f>
        <v>0.9857511965</v>
      </c>
      <c r="AL721" s="57">
        <f>IFERROR(__xludf.DUMMYFUNCTION("""COMPUTED_VALUE"""),1.0832658985018695)</f>
        <v>1.083265899</v>
      </c>
      <c r="AM721" s="57">
        <f>IFERROR(__xludf.DUMMYFUNCTION("""COMPUTED_VALUE"""),1.0332222357506404)</f>
        <v>1.033222236</v>
      </c>
      <c r="AN721" s="57">
        <f>IFERROR(__xludf.DUMMYFUNCTION("""COMPUTED_VALUE"""),0.9882181480544351)</f>
        <v>0.9882181481</v>
      </c>
      <c r="AO721" s="57">
        <f>IFERROR(__xludf.DUMMYFUNCTION("""COMPUTED_VALUE"""),1.095861462284033)</f>
        <v>1.095861462</v>
      </c>
      <c r="AP721" s="35">
        <f>IFERROR(__xludf.DUMMYFUNCTION("""COMPUTED_VALUE"""),1.092570893250707)</f>
        <v>1.092570893</v>
      </c>
      <c r="AQ721" s="57">
        <f>IFERROR(__xludf.DUMMYFUNCTION("""COMPUTED_VALUE"""),0.9173185699251509)</f>
        <v>0.9173185699</v>
      </c>
      <c r="AR721" s="36" t="b">
        <f>IFERROR(__xludf.DUMMYFUNCTION("""COMPUTED_VALUE"""),TRUE)</f>
        <v>1</v>
      </c>
      <c r="AS721" s="57"/>
      <c r="AT721" s="37"/>
      <c r="AU721" s="30"/>
      <c r="AV721" s="30"/>
      <c r="AW721" s="30"/>
      <c r="AX721" s="30"/>
      <c r="AY721" s="30"/>
      <c r="AZ721" s="30"/>
    </row>
    <row r="722">
      <c r="A722" s="30" t="str">
        <f>IFERROR(__xludf.DUMMYFUNCTION("""COMPUTED_VALUE"""),"Veteran")</f>
        <v>Veteran</v>
      </c>
      <c r="B722" s="30" t="str">
        <f>IFERROR(__xludf.DUMMYFUNCTION("""COMPUTED_VALUE"""),"RSC005048")</f>
        <v>RSC005048</v>
      </c>
      <c r="C722" s="30" t="str">
        <f>IFERROR(__xludf.DUMMYFUNCTION("""COMPUTED_VALUE"""),"heyzisthename11")</f>
        <v>heyzisthename11</v>
      </c>
      <c r="D722" s="31" t="str">
        <f>IFERROR(__xludf.DUMMYFUNCTION("""COMPUTED_VALUE"""),"Gorillas")</f>
        <v>Gorillas</v>
      </c>
      <c r="E722" s="31">
        <f>IFERROR(__xludf.DUMMYFUNCTION("""COMPUTED_VALUE"""),71.10429563648682)</f>
        <v>71.10429564</v>
      </c>
      <c r="F722" s="31">
        <f>IFERROR(__xludf.DUMMYFUNCTION("""COMPUTED_VALUE"""),5.0178963765145825)</f>
        <v>5.017896377</v>
      </c>
      <c r="G722" s="31">
        <f>IFERROR(__xludf.DUMMYFUNCTION("""COMPUTED_VALUE"""),52.427665767434725)</f>
        <v>52.42766577</v>
      </c>
      <c r="H722" s="31">
        <f>IFERROR(__xludf.DUMMYFUNCTION("""COMPUTED_VALUE"""),2.1676886780834024)</f>
        <v>2.167688678</v>
      </c>
      <c r="I722" s="54">
        <f>IFERROR(__xludf.DUMMYFUNCTION("""COMPUTED_VALUE"""),36.0)</f>
        <v>36</v>
      </c>
      <c r="J722" s="55">
        <f>IFERROR(__xludf.DUMMYFUNCTION("""COMPUTED_VALUE"""),22.0)</f>
        <v>22</v>
      </c>
      <c r="K722" s="54">
        <f>IFERROR(__xludf.DUMMYFUNCTION("""COMPUTED_VALUE"""),14.0)</f>
        <v>14</v>
      </c>
      <c r="L722" s="56">
        <f>IFERROR(__xludf.DUMMYFUNCTION("""COMPUTED_VALUE"""),0.6111111111111112)</f>
        <v>0.6111111111</v>
      </c>
      <c r="M722" s="56">
        <f>IFERROR(__xludf.DUMMYFUNCTION("""COMPUTED_VALUE"""),0.2553191489361702)</f>
        <v>0.2553191489</v>
      </c>
      <c r="N722" s="31">
        <f>IFERROR(__xludf.DUMMYFUNCTION("""COMPUTED_VALUE"""),342.97222222222223)</f>
        <v>342.9722222</v>
      </c>
      <c r="O722" s="57">
        <f>IFERROR(__xludf.DUMMYFUNCTION("""COMPUTED_VALUE"""),0.6666666666666666)</f>
        <v>0.6666666667</v>
      </c>
      <c r="P722" s="57">
        <f>IFERROR(__xludf.DUMMYFUNCTION("""COMPUTED_VALUE"""),1.0)</f>
        <v>1</v>
      </c>
      <c r="Q722" s="57">
        <f>IFERROR(__xludf.DUMMYFUNCTION("""COMPUTED_VALUE"""),1.1388888888888888)</f>
        <v>1.138888889</v>
      </c>
      <c r="R722" s="57">
        <f>IFERROR(__xludf.DUMMYFUNCTION("""COMPUTED_VALUE"""),2.611111111111111)</f>
        <v>2.611111111</v>
      </c>
      <c r="S722" s="31">
        <f>IFERROR(__xludf.DUMMYFUNCTION("""COMPUTED_VALUE"""),334.34259259259255)</f>
        <v>334.3425926</v>
      </c>
      <c r="T722" s="57">
        <f>IFERROR(__xludf.DUMMYFUNCTION("""COMPUTED_VALUE"""),0.6574074074074074)</f>
        <v>0.6574074074</v>
      </c>
      <c r="U722" s="57">
        <f>IFERROR(__xludf.DUMMYFUNCTION("""COMPUTED_VALUE"""),0.4629629629629629)</f>
        <v>0.462962963</v>
      </c>
      <c r="V722" s="57">
        <f>IFERROR(__xludf.DUMMYFUNCTION("""COMPUTED_VALUE"""),1.509259259259259)</f>
        <v>1.509259259</v>
      </c>
      <c r="W722" s="57">
        <f>IFERROR(__xludf.DUMMYFUNCTION("""COMPUTED_VALUE"""),2.314814814814815)</f>
        <v>2.314814815</v>
      </c>
      <c r="X722" s="31">
        <f>IFERROR(__xludf.DUMMYFUNCTION("""COMPUTED_VALUE"""),352.50696946791675)</f>
        <v>352.5069695</v>
      </c>
      <c r="Y722" s="57">
        <f>IFERROR(__xludf.DUMMYFUNCTION("""COMPUTED_VALUE"""),0.7878414595827143)</f>
        <v>0.7878414596</v>
      </c>
      <c r="Z722" s="57">
        <f>IFERROR(__xludf.DUMMYFUNCTION("""COMPUTED_VALUE"""),0.5999832212739934)</f>
        <v>0.5999832213</v>
      </c>
      <c r="AA722" s="57">
        <f>IFERROR(__xludf.DUMMYFUNCTION("""COMPUTED_VALUE"""),1.3450636312154491)</f>
        <v>1.345063631</v>
      </c>
      <c r="AB722" s="57">
        <f>IFERROR(__xludf.DUMMYFUNCTION("""COMPUTED_VALUE"""),2.673310812442284)</f>
        <v>2.673310812</v>
      </c>
      <c r="AC722" s="31">
        <f>IFERROR(__xludf.DUMMYFUNCTION("""COMPUTED_VALUE"""),367.76490463308437)</f>
        <v>367.7649046</v>
      </c>
      <c r="AD722" s="57">
        <f>IFERROR(__xludf.DUMMYFUNCTION("""COMPUTED_VALUE"""),0.8493216584718114)</f>
        <v>0.8493216585</v>
      </c>
      <c r="AE722" s="57">
        <f>IFERROR(__xludf.DUMMYFUNCTION("""COMPUTED_VALUE"""),0.6383918041393667)</f>
        <v>0.6383918041</v>
      </c>
      <c r="AF722" s="57">
        <f>IFERROR(__xludf.DUMMYFUNCTION("""COMPUTED_VALUE"""),1.4020346380619444)</f>
        <v>1.402034638</v>
      </c>
      <c r="AG722" s="57">
        <f>IFERROR(__xludf.DUMMYFUNCTION("""COMPUTED_VALUE"""),2.658765096993985)</f>
        <v>2.658765097</v>
      </c>
      <c r="AH722" s="57">
        <f>IFERROR(__xludf.DUMMYFUNCTION("""COMPUTED_VALUE"""),0.9325855129227255)</f>
        <v>0.9325855129</v>
      </c>
      <c r="AI722" s="57">
        <f>IFERROR(__xludf.DUMMYFUNCTION("""COMPUTED_VALUE"""),0.7849401460763443)</f>
        <v>0.7849401461</v>
      </c>
      <c r="AJ722" s="57">
        <f>IFERROR(__xludf.DUMMYFUNCTION("""COMPUTED_VALUE"""),1.5664361502073592)</f>
        <v>1.56643615</v>
      </c>
      <c r="AK722" s="57">
        <f>IFERROR(__xludf.DUMMYFUNCTION("""COMPUTED_VALUE"""),0.8123115206791137)</f>
        <v>0.8123115207</v>
      </c>
      <c r="AL722" s="57">
        <f>IFERROR(__xludf.DUMMYFUNCTION("""COMPUTED_VALUE"""),0.9820766468099225)</f>
        <v>0.9820766468</v>
      </c>
      <c r="AM722" s="57">
        <f>IFERROR(__xludf.DUMMYFUNCTION("""COMPUTED_VALUE"""),0.9484708716461919)</f>
        <v>0.9484708716</v>
      </c>
      <c r="AN722" s="57">
        <f>IFERROR(__xludf.DUMMYFUNCTION("""COMPUTED_VALUE"""),0.834441243744151)</f>
        <v>0.8344412437</v>
      </c>
      <c r="AO722" s="57">
        <f>IFERROR(__xludf.DUMMYFUNCTION("""COMPUTED_VALUE"""),0.7716265164547699)</f>
        <v>0.7716265165</v>
      </c>
      <c r="AP722" s="35">
        <f>IFERROR(__xludf.DUMMYFUNCTION("""COMPUTED_VALUE"""),1.1220727586660244)</f>
        <v>1.122072759</v>
      </c>
      <c r="AQ722" s="57">
        <f>IFERROR(__xludf.DUMMYFUNCTION("""COMPUTED_VALUE"""),0.8658981230469216)</f>
        <v>0.865898123</v>
      </c>
      <c r="AR722" s="36" t="b">
        <f>IFERROR(__xludf.DUMMYFUNCTION("""COMPUTED_VALUE"""),TRUE)</f>
        <v>1</v>
      </c>
      <c r="AS722" s="57"/>
      <c r="AT722" s="37"/>
      <c r="AU722" s="30"/>
      <c r="AV722" s="30"/>
      <c r="AW722" s="30"/>
      <c r="AX722" s="30"/>
      <c r="AY722" s="30"/>
      <c r="AZ722" s="30"/>
    </row>
    <row r="723">
      <c r="A723" s="30" t="str">
        <f>IFERROR(__xludf.DUMMYFUNCTION("""COMPUTED_VALUE"""),"Veteran")</f>
        <v>Veteran</v>
      </c>
      <c r="B723" s="30" t="str">
        <f>IFERROR(__xludf.DUMMYFUNCTION("""COMPUTED_VALUE"""),"RSC001203")</f>
        <v>RSC001203</v>
      </c>
      <c r="C723" s="30" t="str">
        <f>IFERROR(__xludf.DUMMYFUNCTION("""COMPUTED_VALUE"""),"Clyde")</f>
        <v>Clyde</v>
      </c>
      <c r="D723" s="31" t="str">
        <f>IFERROR(__xludf.DUMMYFUNCTION("""COMPUTED_VALUE"""),"Banshees")</f>
        <v>Banshees</v>
      </c>
      <c r="E723" s="31">
        <f>IFERROR(__xludf.DUMMYFUNCTION("""COMPUTED_VALUE"""),70.97865998236054)</f>
        <v>70.97865998</v>
      </c>
      <c r="F723" s="31">
        <f>IFERROR(__xludf.DUMMYFUNCTION("""COMPUTED_VALUE"""),4.9827204059859085)</f>
        <v>4.982720406</v>
      </c>
      <c r="G723" s="31">
        <f>IFERROR(__xludf.DUMMYFUNCTION("""COMPUTED_VALUE"""),64.3943201209445)</f>
        <v>64.39432012</v>
      </c>
      <c r="H723" s="31">
        <f>IFERROR(__xludf.DUMMYFUNCTION("""COMPUTED_VALUE"""),3.541272375926457)</f>
        <v>3.541272376</v>
      </c>
      <c r="I723" s="54">
        <f>IFERROR(__xludf.DUMMYFUNCTION("""COMPUTED_VALUE"""),23.0)</f>
        <v>23</v>
      </c>
      <c r="J723" s="55">
        <f>IFERROR(__xludf.DUMMYFUNCTION("""COMPUTED_VALUE"""),13.0)</f>
        <v>13</v>
      </c>
      <c r="K723" s="54">
        <f>IFERROR(__xludf.DUMMYFUNCTION("""COMPUTED_VALUE"""),10.0)</f>
        <v>10</v>
      </c>
      <c r="L723" s="56">
        <f>IFERROR(__xludf.DUMMYFUNCTION("""COMPUTED_VALUE"""),0.5652173913043478)</f>
        <v>0.5652173913</v>
      </c>
      <c r="M723" s="56">
        <f>IFERROR(__xludf.DUMMYFUNCTION("""COMPUTED_VALUE"""),0.27272727272727276)</f>
        <v>0.2727272727</v>
      </c>
      <c r="N723" s="31">
        <f>IFERROR(__xludf.DUMMYFUNCTION("""COMPUTED_VALUE"""),367.5217391304348)</f>
        <v>367.5217391</v>
      </c>
      <c r="O723" s="57">
        <f>IFERROR(__xludf.DUMMYFUNCTION("""COMPUTED_VALUE"""),0.782608695652174)</f>
        <v>0.7826086957</v>
      </c>
      <c r="P723" s="57">
        <f>IFERROR(__xludf.DUMMYFUNCTION("""COMPUTED_VALUE"""),0.8260869565217391)</f>
        <v>0.8260869565</v>
      </c>
      <c r="Q723" s="57">
        <f>IFERROR(__xludf.DUMMYFUNCTION("""COMPUTED_VALUE"""),1.4782608695652173)</f>
        <v>1.47826087</v>
      </c>
      <c r="R723" s="57">
        <f>IFERROR(__xludf.DUMMYFUNCTION("""COMPUTED_VALUE"""),2.869565217391304)</f>
        <v>2.869565217</v>
      </c>
      <c r="S723" s="31">
        <f>IFERROR(__xludf.DUMMYFUNCTION("""COMPUTED_VALUE"""),345.30434782608694)</f>
        <v>345.3043478</v>
      </c>
      <c r="T723" s="57">
        <f>IFERROR(__xludf.DUMMYFUNCTION("""COMPUTED_VALUE"""),0.7536231884057973)</f>
        <v>0.7536231884</v>
      </c>
      <c r="U723" s="57">
        <f>IFERROR(__xludf.DUMMYFUNCTION("""COMPUTED_VALUE"""),0.5652173913043478)</f>
        <v>0.5652173913</v>
      </c>
      <c r="V723" s="57">
        <f>IFERROR(__xludf.DUMMYFUNCTION("""COMPUTED_VALUE"""),1.420289855072464)</f>
        <v>1.420289855</v>
      </c>
      <c r="W723" s="57">
        <f>IFERROR(__xludf.DUMMYFUNCTION("""COMPUTED_VALUE"""),2.405797101449275)</f>
        <v>2.405797101</v>
      </c>
      <c r="X723" s="31">
        <f>IFERROR(__xludf.DUMMYFUNCTION("""COMPUTED_VALUE"""),357.7285175896434)</f>
        <v>357.7285176</v>
      </c>
      <c r="Y723" s="57">
        <f>IFERROR(__xludf.DUMMYFUNCTION("""COMPUTED_VALUE"""),0.8103304568913702)</f>
        <v>0.8103304569</v>
      </c>
      <c r="Z723" s="57">
        <f>IFERROR(__xludf.DUMMYFUNCTION("""COMPUTED_VALUE"""),0.5976222110398975)</f>
        <v>0.597622211</v>
      </c>
      <c r="AA723" s="57">
        <f>IFERROR(__xludf.DUMMYFUNCTION("""COMPUTED_VALUE"""),1.3772496771327596)</f>
        <v>1.377249677</v>
      </c>
      <c r="AB723" s="57">
        <f>IFERROR(__xludf.DUMMYFUNCTION("""COMPUTED_VALUE"""),2.6412678005595254)</f>
        <v>2.641267801</v>
      </c>
      <c r="AC723" s="31">
        <f>IFERROR(__xludf.DUMMYFUNCTION("""COMPUTED_VALUE"""),357.7073073091803)</f>
        <v>357.7073073</v>
      </c>
      <c r="AD723" s="57">
        <f>IFERROR(__xludf.DUMMYFUNCTION("""COMPUTED_VALUE"""),0.8217637016958327)</f>
        <v>0.8217637017</v>
      </c>
      <c r="AE723" s="57">
        <f>IFERROR(__xludf.DUMMYFUNCTION("""COMPUTED_VALUE"""),0.5963450040212869)</f>
        <v>0.596345004</v>
      </c>
      <c r="AF723" s="57">
        <f>IFERROR(__xludf.DUMMYFUNCTION("""COMPUTED_VALUE"""),1.351217854547722)</f>
        <v>1.351217855</v>
      </c>
      <c r="AG723" s="57">
        <f>IFERROR(__xludf.DUMMYFUNCTION("""COMPUTED_VALUE"""),2.6976282755959455)</f>
        <v>2.697628276</v>
      </c>
      <c r="AH723" s="57">
        <f>IFERROR(__xludf.DUMMYFUNCTION("""COMPUTED_VALUE"""),1.0274370459331197)</f>
        <v>1.027437046</v>
      </c>
      <c r="AI723" s="57">
        <f>IFERROR(__xludf.DUMMYFUNCTION("""COMPUTED_VALUE"""),0.9523524755804418)</f>
        <v>0.9523524756</v>
      </c>
      <c r="AJ723" s="57">
        <f>IFERROR(__xludf.DUMMYFUNCTION("""COMPUTED_VALUE"""),1.3852500665743004)</f>
        <v>1.385250067</v>
      </c>
      <c r="AK723" s="57">
        <f>IFERROR(__xludf.DUMMYFUNCTION("""COMPUTED_VALUE"""),1.0940211192369265)</f>
        <v>1.094021119</v>
      </c>
      <c r="AL723" s="57">
        <f>IFERROR(__xludf.DUMMYFUNCTION("""COMPUTED_VALUE"""),1.0637363358587184)</f>
        <v>1.063736336</v>
      </c>
      <c r="AM723" s="57">
        <f>IFERROR(__xludf.DUMMYFUNCTION("""COMPUTED_VALUE"""),0.9652692778108106)</f>
        <v>0.9652692778</v>
      </c>
      <c r="AN723" s="57">
        <f>IFERROR(__xludf.DUMMYFUNCTION("""COMPUTED_VALUE"""),0.9300195765772941)</f>
        <v>0.9300195766</v>
      </c>
      <c r="AO723" s="57">
        <f>IFERROR(__xludf.DUMMYFUNCTION("""COMPUTED_VALUE"""),0.9457770826837854)</f>
        <v>0.9457770827</v>
      </c>
      <c r="AP723" s="35">
        <f>IFERROR(__xludf.DUMMYFUNCTION("""COMPUTED_VALUE"""),1.0312508172296748)</f>
        <v>1.031250817</v>
      </c>
      <c r="AQ723" s="57">
        <f>IFERROR(__xludf.DUMMYFUNCTION("""COMPUTED_VALUE"""),0.9108493659520749)</f>
        <v>0.910849366</v>
      </c>
      <c r="AR723" s="36" t="b">
        <f>IFERROR(__xludf.DUMMYFUNCTION("""COMPUTED_VALUE"""),TRUE)</f>
        <v>1</v>
      </c>
      <c r="AS723" s="57"/>
      <c r="AT723" s="37"/>
      <c r="AU723" s="30"/>
      <c r="AV723" s="30"/>
      <c r="AW723" s="30"/>
      <c r="AX723" s="30"/>
      <c r="AY723" s="30"/>
      <c r="AZ723" s="30"/>
    </row>
    <row r="724">
      <c r="A724" s="30" t="str">
        <f>IFERROR(__xludf.DUMMYFUNCTION("""COMPUTED_VALUE"""),"Veteran")</f>
        <v>Veteran</v>
      </c>
      <c r="B724" s="30" t="str">
        <f>IFERROR(__xludf.DUMMYFUNCTION("""COMPUTED_VALUE"""),"RSC002760")</f>
        <v>RSC002760</v>
      </c>
      <c r="C724" s="30" t="str">
        <f>IFERROR(__xludf.DUMMYFUNCTION("""COMPUTED_VALUE"""),"gcol")</f>
        <v>gcol</v>
      </c>
      <c r="D724" s="31" t="str">
        <f>IFERROR(__xludf.DUMMYFUNCTION("""COMPUTED_VALUE"""),"Kirin")</f>
        <v>Kirin</v>
      </c>
      <c r="E724" s="31">
        <f>IFERROR(__xludf.DUMMYFUNCTION("""COMPUTED_VALUE"""),68.82742748018347)</f>
        <v>68.82742748</v>
      </c>
      <c r="F724" s="31">
        <f>IFERROR(__xludf.DUMMYFUNCTION("""COMPUTED_VALUE"""),4.430742938674577)</f>
        <v>4.430742939</v>
      </c>
      <c r="G724" s="31">
        <f>IFERROR(__xludf.DUMMYFUNCTION("""COMPUTED_VALUE"""),52.333111046620076)</f>
        <v>52.33311105</v>
      </c>
      <c r="H724" s="31">
        <f>IFERROR(__xludf.DUMMYFUNCTION("""COMPUTED_VALUE"""),2.1606536404703593)</f>
        <v>2.16065364</v>
      </c>
      <c r="I724" s="54">
        <f>IFERROR(__xludf.DUMMYFUNCTION("""COMPUTED_VALUE"""),36.0)</f>
        <v>36</v>
      </c>
      <c r="J724" s="55">
        <f>IFERROR(__xludf.DUMMYFUNCTION("""COMPUTED_VALUE"""),17.0)</f>
        <v>17</v>
      </c>
      <c r="K724" s="54">
        <f>IFERROR(__xludf.DUMMYFUNCTION("""COMPUTED_VALUE"""),19.0)</f>
        <v>19</v>
      </c>
      <c r="L724" s="56">
        <f>IFERROR(__xludf.DUMMYFUNCTION("""COMPUTED_VALUE"""),0.4722222222222222)</f>
        <v>0.4722222222</v>
      </c>
      <c r="M724" s="56">
        <f>IFERROR(__xludf.DUMMYFUNCTION("""COMPUTED_VALUE"""),0.37362637362637363)</f>
        <v>0.3736263736</v>
      </c>
      <c r="N724" s="31">
        <f>IFERROR(__xludf.DUMMYFUNCTION("""COMPUTED_VALUE"""),369.0833333333333)</f>
        <v>369.0833333</v>
      </c>
      <c r="O724" s="57">
        <f>IFERROR(__xludf.DUMMYFUNCTION("""COMPUTED_VALUE"""),0.9444444444444444)</f>
        <v>0.9444444444</v>
      </c>
      <c r="P724" s="57">
        <f>IFERROR(__xludf.DUMMYFUNCTION("""COMPUTED_VALUE"""),0.6944444444444444)</f>
        <v>0.6944444444</v>
      </c>
      <c r="Q724" s="57">
        <f>IFERROR(__xludf.DUMMYFUNCTION("""COMPUTED_VALUE"""),1.3333333333333333)</f>
        <v>1.333333333</v>
      </c>
      <c r="R724" s="57">
        <f>IFERROR(__xludf.DUMMYFUNCTION("""COMPUTED_VALUE"""),2.5277777777777777)</f>
        <v>2.527777778</v>
      </c>
      <c r="S724" s="31">
        <f>IFERROR(__xludf.DUMMYFUNCTION("""COMPUTED_VALUE"""),367.93518518518505)</f>
        <v>367.9351852</v>
      </c>
      <c r="T724" s="57">
        <f>IFERROR(__xludf.DUMMYFUNCTION("""COMPUTED_VALUE"""),0.8333333333333335)</f>
        <v>0.8333333333</v>
      </c>
      <c r="U724" s="57">
        <f>IFERROR(__xludf.DUMMYFUNCTION("""COMPUTED_VALUE"""),0.6296296296296299)</f>
        <v>0.6296296296</v>
      </c>
      <c r="V724" s="57">
        <f>IFERROR(__xludf.DUMMYFUNCTION("""COMPUTED_VALUE"""),1.1759259259259265)</f>
        <v>1.175925926</v>
      </c>
      <c r="W724" s="57">
        <f>IFERROR(__xludf.DUMMYFUNCTION("""COMPUTED_VALUE"""),2.8611111111111107)</f>
        <v>2.861111111</v>
      </c>
      <c r="X724" s="31">
        <f>IFERROR(__xludf.DUMMYFUNCTION("""COMPUTED_VALUE"""),370.0648071068151)</f>
        <v>370.0648071</v>
      </c>
      <c r="Y724" s="57">
        <f>IFERROR(__xludf.DUMMYFUNCTION("""COMPUTED_VALUE"""),0.850764395889053)</f>
        <v>0.8507643959</v>
      </c>
      <c r="Z724" s="57">
        <f>IFERROR(__xludf.DUMMYFUNCTION("""COMPUTED_VALUE"""),0.6098030849137746)</f>
        <v>0.6098030849</v>
      </c>
      <c r="AA724" s="57">
        <f>IFERROR(__xludf.DUMMYFUNCTION("""COMPUTED_VALUE"""),1.3985989280220255)</f>
        <v>1.398598928</v>
      </c>
      <c r="AB724" s="57">
        <f>IFERROR(__xludf.DUMMYFUNCTION("""COMPUTED_VALUE"""),2.7947725320532615)</f>
        <v>2.794772532</v>
      </c>
      <c r="AC724" s="31">
        <f>IFERROR(__xludf.DUMMYFUNCTION("""COMPUTED_VALUE"""),356.10133819576015)</f>
        <v>356.1013382</v>
      </c>
      <c r="AD724" s="57">
        <f>IFERROR(__xludf.DUMMYFUNCTION("""COMPUTED_VALUE"""),0.7705392211372077)</f>
        <v>0.7705392211</v>
      </c>
      <c r="AE724" s="57">
        <f>IFERROR(__xludf.DUMMYFUNCTION("""COMPUTED_VALUE"""),0.5778685176446791)</f>
        <v>0.5778685176</v>
      </c>
      <c r="AF724" s="57">
        <f>IFERROR(__xludf.DUMMYFUNCTION("""COMPUTED_VALUE"""),1.3992071447045442)</f>
        <v>1.399207145</v>
      </c>
      <c r="AG724" s="57">
        <f>IFERROR(__xludf.DUMMYFUNCTION("""COMPUTED_VALUE"""),2.651020617508074)</f>
        <v>2.651020618</v>
      </c>
      <c r="AH724" s="57">
        <f>IFERROR(__xludf.DUMMYFUNCTION("""COMPUTED_VALUE"""),1.0364559010178067)</f>
        <v>1.036455901</v>
      </c>
      <c r="AI724" s="57">
        <f>IFERROR(__xludf.DUMMYFUNCTION("""COMPUTED_VALUE"""),1.2256928895203765)</f>
        <v>1.22569289</v>
      </c>
      <c r="AJ724" s="57">
        <f>IFERROR(__xludf.DUMMYFUNCTION("""COMPUTED_VALUE"""),1.201734344821058)</f>
        <v>1.201734345</v>
      </c>
      <c r="AK724" s="57">
        <f>IFERROR(__xludf.DUMMYFUNCTION("""COMPUTED_VALUE"""),0.9529206153495444)</f>
        <v>0.9529206153</v>
      </c>
      <c r="AL724" s="57">
        <f>IFERROR(__xludf.DUMMYFUNCTION("""COMPUTED_VALUE"""),0.9535111726720017)</f>
        <v>0.9535111727</v>
      </c>
      <c r="AM724" s="57">
        <f>IFERROR(__xludf.DUMMYFUNCTION("""COMPUTED_VALUE"""),0.9942452730420934)</f>
        <v>0.994245273</v>
      </c>
      <c r="AN724" s="57">
        <f>IFERROR(__xludf.DUMMYFUNCTION("""COMPUTED_VALUE"""),0.9795112928562273)</f>
        <v>0.9795112929</v>
      </c>
      <c r="AO724" s="57">
        <f>IFERROR(__xludf.DUMMYFUNCTION("""COMPUTED_VALUE"""),1.0325130279041779)</f>
        <v>1.032513028</v>
      </c>
      <c r="AP724" s="35">
        <f>IFERROR(__xludf.DUMMYFUNCTION("""COMPUTED_VALUE"""),0.8407885222599053)</f>
        <v>0.8407885223</v>
      </c>
      <c r="AQ724" s="57">
        <f>IFERROR(__xludf.DUMMYFUNCTION("""COMPUTED_VALUE"""),1.0237366648974153)</f>
        <v>1.023736665</v>
      </c>
      <c r="AR724" s="36" t="b">
        <f>IFERROR(__xludf.DUMMYFUNCTION("""COMPUTED_VALUE"""),TRUE)</f>
        <v>1</v>
      </c>
      <c r="AS724" s="57"/>
      <c r="AT724" s="37"/>
      <c r="AU724" s="30"/>
      <c r="AV724" s="30"/>
      <c r="AW724" s="30"/>
      <c r="AX724" s="30"/>
      <c r="AY724" s="30"/>
      <c r="AZ724" s="30"/>
    </row>
    <row r="725">
      <c r="A725" s="30" t="str">
        <f>IFERROR(__xludf.DUMMYFUNCTION("""COMPUTED_VALUE"""),"Veteran")</f>
        <v>Veteran</v>
      </c>
      <c r="B725" s="30" t="str">
        <f>IFERROR(__xludf.DUMMYFUNCTION("""COMPUTED_VALUE"""),"RSC002917")</f>
        <v>RSC002917</v>
      </c>
      <c r="C725" s="30" t="str">
        <f>IFERROR(__xludf.DUMMYFUNCTION("""COMPUTED_VALUE"""),"Arbartenn")</f>
        <v>Arbartenn</v>
      </c>
      <c r="D725" s="31" t="str">
        <f>IFERROR(__xludf.DUMMYFUNCTION("""COMPUTED_VALUE"""),"Grizzly Bears")</f>
        <v>Grizzly Bears</v>
      </c>
      <c r="E725" s="31">
        <f>IFERROR(__xludf.DUMMYFUNCTION("""COMPUTED_VALUE"""),68.65460189506597)</f>
        <v>68.6546019</v>
      </c>
      <c r="F725" s="31">
        <f>IFERROR(__xludf.DUMMYFUNCTION("""COMPUTED_VALUE"""),4.390237438969042)</f>
        <v>4.390237439</v>
      </c>
      <c r="G725" s="31">
        <f>IFERROR(__xludf.DUMMYFUNCTION("""COMPUTED_VALUE"""),51.075577368392416)</f>
        <v>51.07557737</v>
      </c>
      <c r="H725" s="31">
        <f>IFERROR(__xludf.DUMMYFUNCTION("""COMPUTED_VALUE"""),2.071072746721238)</f>
        <v>2.071072747</v>
      </c>
      <c r="I725" s="54">
        <f>IFERROR(__xludf.DUMMYFUNCTION("""COMPUTED_VALUE"""),28.0)</f>
        <v>28</v>
      </c>
      <c r="J725" s="55">
        <f>IFERROR(__xludf.DUMMYFUNCTION("""COMPUTED_VALUE"""),19.0)</f>
        <v>19</v>
      </c>
      <c r="K725" s="54">
        <f>IFERROR(__xludf.DUMMYFUNCTION("""COMPUTED_VALUE"""),9.0)</f>
        <v>9</v>
      </c>
      <c r="L725" s="56">
        <f>IFERROR(__xludf.DUMMYFUNCTION("""COMPUTED_VALUE"""),0.6785714285714286)</f>
        <v>0.6785714286</v>
      </c>
      <c r="M725" s="56">
        <f>IFERROR(__xludf.DUMMYFUNCTION("""COMPUTED_VALUE"""),0.2857142857142857)</f>
        <v>0.2857142857</v>
      </c>
      <c r="N725" s="31">
        <f>IFERROR(__xludf.DUMMYFUNCTION("""COMPUTED_VALUE"""),357.67857142857144)</f>
        <v>357.6785714</v>
      </c>
      <c r="O725" s="57">
        <f>IFERROR(__xludf.DUMMYFUNCTION("""COMPUTED_VALUE"""),0.7857142857142857)</f>
        <v>0.7857142857</v>
      </c>
      <c r="P725" s="57">
        <f>IFERROR(__xludf.DUMMYFUNCTION("""COMPUTED_VALUE"""),0.8571428571428571)</f>
        <v>0.8571428571</v>
      </c>
      <c r="Q725" s="57">
        <f>IFERROR(__xludf.DUMMYFUNCTION("""COMPUTED_VALUE"""),1.1785714285714286)</f>
        <v>1.178571429</v>
      </c>
      <c r="R725" s="57">
        <f>IFERROR(__xludf.DUMMYFUNCTION("""COMPUTED_VALUE"""),2.75)</f>
        <v>2.75</v>
      </c>
      <c r="S725" s="31">
        <f>IFERROR(__xludf.DUMMYFUNCTION("""COMPUTED_VALUE"""),353.26190476190476)</f>
        <v>353.2619048</v>
      </c>
      <c r="T725" s="57">
        <f>IFERROR(__xludf.DUMMYFUNCTION("""COMPUTED_VALUE"""),0.6904761904761905)</f>
        <v>0.6904761905</v>
      </c>
      <c r="U725" s="57">
        <f>IFERROR(__xludf.DUMMYFUNCTION("""COMPUTED_VALUE"""),0.4523809523809523)</f>
        <v>0.4523809524</v>
      </c>
      <c r="V725" s="57">
        <f>IFERROR(__xludf.DUMMYFUNCTION("""COMPUTED_VALUE"""),1.5833333333333335)</f>
        <v>1.583333333</v>
      </c>
      <c r="W725" s="57">
        <f>IFERROR(__xludf.DUMMYFUNCTION("""COMPUTED_VALUE"""),2.4285714285714293)</f>
        <v>2.428571429</v>
      </c>
      <c r="X725" s="31">
        <f>IFERROR(__xludf.DUMMYFUNCTION("""COMPUTED_VALUE"""),351.9385350704948)</f>
        <v>351.9385351</v>
      </c>
      <c r="Y725" s="57">
        <f>IFERROR(__xludf.DUMMYFUNCTION("""COMPUTED_VALUE"""),0.7212076096509455)</f>
        <v>0.7212076097</v>
      </c>
      <c r="Z725" s="57">
        <f>IFERROR(__xludf.DUMMYFUNCTION("""COMPUTED_VALUE"""),0.5265147713737214)</f>
        <v>0.5265147714</v>
      </c>
      <c r="AA725" s="57">
        <f>IFERROR(__xludf.DUMMYFUNCTION("""COMPUTED_VALUE"""),1.5368249942076653)</f>
        <v>1.536824994</v>
      </c>
      <c r="AB725" s="57">
        <f>IFERROR(__xludf.DUMMYFUNCTION("""COMPUTED_VALUE"""),2.463247152677064)</f>
        <v>2.463247153</v>
      </c>
      <c r="AC725" s="31">
        <f>IFERROR(__xludf.DUMMYFUNCTION("""COMPUTED_VALUE"""),360.80261987362366)</f>
        <v>360.8026199</v>
      </c>
      <c r="AD725" s="57">
        <f>IFERROR(__xludf.DUMMYFUNCTION("""COMPUTED_VALUE"""),0.8450446192533677)</f>
        <v>0.8450446193</v>
      </c>
      <c r="AE725" s="57">
        <f>IFERROR(__xludf.DUMMYFUNCTION("""COMPUTED_VALUE"""),0.6236860251313374)</f>
        <v>0.6236860251</v>
      </c>
      <c r="AF725" s="57">
        <f>IFERROR(__xludf.DUMMYFUNCTION("""COMPUTED_VALUE"""),1.2870191838133895)</f>
        <v>1.287019184</v>
      </c>
      <c r="AG725" s="57">
        <f>IFERROR(__xludf.DUMMYFUNCTION("""COMPUTED_VALUE"""),2.8014789271833034)</f>
        <v>2.801478927</v>
      </c>
      <c r="AH725" s="57">
        <f>IFERROR(__xludf.DUMMYFUNCTION("""COMPUTED_VALUE"""),0.9913413920160933)</f>
        <v>0.991341392</v>
      </c>
      <c r="AI725" s="57">
        <f>IFERROR(__xludf.DUMMYFUNCTION("""COMPUTED_VALUE"""),0.9297902948704616)</f>
        <v>0.9297902949</v>
      </c>
      <c r="AJ725" s="57">
        <f>IFERROR(__xludf.DUMMYFUNCTION("""COMPUTED_VALUE"""),1.374317882082347)</f>
        <v>1.374317882</v>
      </c>
      <c r="AK725" s="57">
        <f>IFERROR(__xludf.DUMMYFUNCTION("""COMPUTED_VALUE"""),0.9157372659196623)</f>
        <v>0.9157372659</v>
      </c>
      <c r="AL725" s="57">
        <f>IFERROR(__xludf.DUMMYFUNCTION("""COMPUTED_VALUE"""),0.9816243746530473)</f>
        <v>0.9816243747</v>
      </c>
      <c r="AM725" s="57">
        <f>IFERROR(__xludf.DUMMYFUNCTION("""COMPUTED_VALUE"""),1.0037602295842507)</f>
        <v>1.00376023</v>
      </c>
      <c r="AN725" s="57">
        <f>IFERROR(__xludf.DUMMYFUNCTION("""COMPUTED_VALUE"""),0.9573889421526921)</f>
        <v>0.9573889422</v>
      </c>
      <c r="AO725" s="57">
        <f>IFERROR(__xludf.DUMMYFUNCTION("""COMPUTED_VALUE"""),0.859198975938799)</f>
        <v>0.8591989759</v>
      </c>
      <c r="AP725" s="35">
        <f>IFERROR(__xludf.DUMMYFUNCTION("""COMPUTED_VALUE"""),1.0302626123995637)</f>
        <v>1.030262612</v>
      </c>
      <c r="AQ725" s="57">
        <f>IFERROR(__xludf.DUMMYFUNCTION("""COMPUTED_VALUE"""),0.9859227588803061)</f>
        <v>0.9859227589</v>
      </c>
      <c r="AR725" s="36" t="b">
        <f>IFERROR(__xludf.DUMMYFUNCTION("""COMPUTED_VALUE"""),TRUE)</f>
        <v>1</v>
      </c>
      <c r="AS725" s="57"/>
      <c r="AT725" s="37"/>
      <c r="AU725" s="30"/>
      <c r="AV725" s="30"/>
      <c r="AW725" s="30"/>
      <c r="AX725" s="30"/>
      <c r="AY725" s="30"/>
      <c r="AZ725" s="30"/>
    </row>
    <row r="726">
      <c r="A726" s="30" t="str">
        <f>IFERROR(__xludf.DUMMYFUNCTION("""COMPUTED_VALUE"""),"Veteran")</f>
        <v>Veteran</v>
      </c>
      <c r="B726" s="30" t="str">
        <f>IFERROR(__xludf.DUMMYFUNCTION("""COMPUTED_VALUE"""),"RSC004109")</f>
        <v>RSC004109</v>
      </c>
      <c r="C726" s="30" t="str">
        <f>IFERROR(__xludf.DUMMYFUNCTION("""COMPUTED_VALUE"""),"Hawkish")</f>
        <v>Hawkish</v>
      </c>
      <c r="D726" s="31" t="str">
        <f>IFERROR(__xludf.DUMMYFUNCTION("""COMPUTED_VALUE"""),"Werewolves")</f>
        <v>Werewolves</v>
      </c>
      <c r="E726" s="31">
        <f>IFERROR(__xludf.DUMMYFUNCTION("""COMPUTED_VALUE"""),68.42297247610898)</f>
        <v>68.42297248</v>
      </c>
      <c r="F726" s="31">
        <f>IFERROR(__xludf.DUMMYFUNCTION("""COMPUTED_VALUE"""),4.336779834428263)</f>
        <v>4.336779834</v>
      </c>
      <c r="G726" s="31">
        <f>IFERROR(__xludf.DUMMYFUNCTION("""COMPUTED_VALUE"""),62.665624604563554)</f>
        <v>62.6656246</v>
      </c>
      <c r="H726" s="31">
        <f>IFERROR(__xludf.DUMMYFUNCTION("""COMPUTED_VALUE"""),3.265743467233262)</f>
        <v>3.265743467</v>
      </c>
      <c r="I726" s="54">
        <f>IFERROR(__xludf.DUMMYFUNCTION("""COMPUTED_VALUE"""),31.0)</f>
        <v>31</v>
      </c>
      <c r="J726" s="55">
        <f>IFERROR(__xludf.DUMMYFUNCTION("""COMPUTED_VALUE"""),12.0)</f>
        <v>12</v>
      </c>
      <c r="K726" s="54">
        <f>IFERROR(__xludf.DUMMYFUNCTION("""COMPUTED_VALUE"""),19.0)</f>
        <v>19</v>
      </c>
      <c r="L726" s="56">
        <f>IFERROR(__xludf.DUMMYFUNCTION("""COMPUTED_VALUE"""),0.3870967741935484)</f>
        <v>0.3870967742</v>
      </c>
      <c r="M726" s="56">
        <f>IFERROR(__xludf.DUMMYFUNCTION("""COMPUTED_VALUE"""),0.30769230769230765)</f>
        <v>0.3076923077</v>
      </c>
      <c r="N726" s="31">
        <f>IFERROR(__xludf.DUMMYFUNCTION("""COMPUTED_VALUE"""),407.6774193548387)</f>
        <v>407.6774194</v>
      </c>
      <c r="O726" s="57">
        <f>IFERROR(__xludf.DUMMYFUNCTION("""COMPUTED_VALUE"""),1.032258064516129)</f>
        <v>1.032258065</v>
      </c>
      <c r="P726" s="57">
        <f>IFERROR(__xludf.DUMMYFUNCTION("""COMPUTED_VALUE"""),0.5806451612903226)</f>
        <v>0.5806451613</v>
      </c>
      <c r="Q726" s="57">
        <f>IFERROR(__xludf.DUMMYFUNCTION("""COMPUTED_VALUE"""),1.5161290322580645)</f>
        <v>1.516129032</v>
      </c>
      <c r="R726" s="57">
        <f>IFERROR(__xludf.DUMMYFUNCTION("""COMPUTED_VALUE"""),3.3548387096774195)</f>
        <v>3.35483871</v>
      </c>
      <c r="S726" s="31">
        <f>IFERROR(__xludf.DUMMYFUNCTION("""COMPUTED_VALUE"""),410.70967741935476)</f>
        <v>410.7096774</v>
      </c>
      <c r="T726" s="57">
        <f>IFERROR(__xludf.DUMMYFUNCTION("""COMPUTED_VALUE"""),1.064516129032258)</f>
        <v>1.064516129</v>
      </c>
      <c r="U726" s="57">
        <f>IFERROR(__xludf.DUMMYFUNCTION("""COMPUTED_VALUE"""),0.7741935483870968)</f>
        <v>0.7741935484</v>
      </c>
      <c r="V726" s="57">
        <f>IFERROR(__xludf.DUMMYFUNCTION("""COMPUTED_VALUE"""),1.5268817204301075)</f>
        <v>1.52688172</v>
      </c>
      <c r="W726" s="57">
        <f>IFERROR(__xludf.DUMMYFUNCTION("""COMPUTED_VALUE"""),2.9784946236559144)</f>
        <v>2.978494624</v>
      </c>
      <c r="X726" s="31">
        <f>IFERROR(__xludf.DUMMYFUNCTION("""COMPUTED_VALUE"""),360.7320265116014)</f>
        <v>360.7320265</v>
      </c>
      <c r="Y726" s="57">
        <f>IFERROR(__xludf.DUMMYFUNCTION("""COMPUTED_VALUE"""),0.8432115788712792)</f>
        <v>0.8432115789</v>
      </c>
      <c r="Z726" s="57">
        <f>IFERROR(__xludf.DUMMYFUNCTION("""COMPUTED_VALUE"""),0.6286215514622319)</f>
        <v>0.6286215515</v>
      </c>
      <c r="AA726" s="57">
        <f>IFERROR(__xludf.DUMMYFUNCTION("""COMPUTED_VALUE"""),1.3539472031364583)</f>
        <v>1.353947203</v>
      </c>
      <c r="AB726" s="57">
        <f>IFERROR(__xludf.DUMMYFUNCTION("""COMPUTED_VALUE"""),2.6994608003121368)</f>
        <v>2.6994608</v>
      </c>
      <c r="AC726" s="31">
        <f>IFERROR(__xludf.DUMMYFUNCTION("""COMPUTED_VALUE"""),360.88336462839476)</f>
        <v>360.8833646</v>
      </c>
      <c r="AD726" s="57">
        <f>IFERROR(__xludf.DUMMYFUNCTION("""COMPUTED_VALUE"""),0.8206918574843951)</f>
        <v>0.8206918575</v>
      </c>
      <c r="AE726" s="57">
        <f>IFERROR(__xludf.DUMMYFUNCTION("""COMPUTED_VALUE"""),0.5924053805464923)</f>
        <v>0.5924053805</v>
      </c>
      <c r="AF726" s="57">
        <f>IFERROR(__xludf.DUMMYFUNCTION("""COMPUTED_VALUE"""),1.3734880553605069)</f>
        <v>1.373488055</v>
      </c>
      <c r="AG726" s="57">
        <f>IFERROR(__xludf.DUMMYFUNCTION("""COMPUTED_VALUE"""),2.6416354360062124)</f>
        <v>2.641635436</v>
      </c>
      <c r="AH726" s="57">
        <f>IFERROR(__xludf.DUMMYFUNCTION("""COMPUTED_VALUE"""),1.1296653138185748)</f>
        <v>1.129665314</v>
      </c>
      <c r="AI726" s="57">
        <f>IFERROR(__xludf.DUMMYFUNCTION("""COMPUTED_VALUE"""),1.2577900646903355)</f>
        <v>1.257790065</v>
      </c>
      <c r="AJ726" s="57">
        <f>IFERROR(__xludf.DUMMYFUNCTION("""COMPUTED_VALUE"""),0.9801483584681137)</f>
        <v>0.9801483585</v>
      </c>
      <c r="AK726" s="57">
        <f>IFERROR(__xludf.DUMMYFUNCTION("""COMPUTED_VALUE"""),1.1038530887406355)</f>
        <v>1.103853089</v>
      </c>
      <c r="AL726" s="57">
        <f>IFERROR(__xludf.DUMMYFUNCTION("""COMPUTED_VALUE"""),1.2699855036580945)</f>
        <v>1.269985504</v>
      </c>
      <c r="AM726" s="57">
        <f>IFERROR(__xludf.DUMMYFUNCTION("""COMPUTED_VALUE"""),1.138545089525468)</f>
        <v>1.13854509</v>
      </c>
      <c r="AN726" s="57">
        <f>IFERROR(__xludf.DUMMYFUNCTION("""COMPUTED_VALUE"""),1.262454353932398)</f>
        <v>1.262454354</v>
      </c>
      <c r="AO726" s="57">
        <f>IFERROR(__xludf.DUMMYFUNCTION("""COMPUTED_VALUE"""),1.2315733474079134)</f>
        <v>1.231573347</v>
      </c>
      <c r="AP726" s="35">
        <f>IFERROR(__xludf.DUMMYFUNCTION("""COMPUTED_VALUE"""),1.1277261896867479)</f>
        <v>1.12772619</v>
      </c>
      <c r="AQ726" s="57">
        <f>IFERROR(__xludf.DUMMYFUNCTION("""COMPUTED_VALUE"""),1.1033665031592654)</f>
        <v>1.103366503</v>
      </c>
      <c r="AR726" s="36" t="b">
        <f>IFERROR(__xludf.DUMMYFUNCTION("""COMPUTED_VALUE"""),TRUE)</f>
        <v>1</v>
      </c>
      <c r="AS726" s="57"/>
      <c r="AT726" s="37"/>
      <c r="AU726" s="30"/>
      <c r="AV726" s="30"/>
      <c r="AW726" s="30"/>
      <c r="AX726" s="30"/>
      <c r="AY726" s="30"/>
      <c r="AZ726" s="30"/>
    </row>
    <row r="727">
      <c r="A727" s="30" t="str">
        <f>IFERROR(__xludf.DUMMYFUNCTION("""COMPUTED_VALUE"""),"Veteran")</f>
        <v>Veteran</v>
      </c>
      <c r="B727" s="30" t="str">
        <f>IFERROR(__xludf.DUMMYFUNCTION("""COMPUTED_VALUE"""),"RSC006978")</f>
        <v>RSC006978</v>
      </c>
      <c r="C727" s="30" t="str">
        <f>IFERROR(__xludf.DUMMYFUNCTION("""COMPUTED_VALUE"""),"Tuhlur.")</f>
        <v>Tuhlur.</v>
      </c>
      <c r="D727" s="31" t="str">
        <f>IFERROR(__xludf.DUMMYFUNCTION("""COMPUTED_VALUE"""),"Dog Fighters")</f>
        <v>Dog Fighters</v>
      </c>
      <c r="E727" s="31">
        <f>IFERROR(__xludf.DUMMYFUNCTION("""COMPUTED_VALUE"""),68.0691001579583)</f>
        <v>68.06910016</v>
      </c>
      <c r="F727" s="31">
        <f>IFERROR(__xludf.DUMMYFUNCTION("""COMPUTED_VALUE"""),4.256905214668994)</f>
        <v>4.256905215</v>
      </c>
      <c r="G727" s="31">
        <f>IFERROR(__xludf.DUMMYFUNCTION("""COMPUTED_VALUE"""),76.21962161930644)</f>
        <v>76.21962162</v>
      </c>
      <c r="H727" s="31">
        <f>IFERROR(__xludf.DUMMYFUNCTION("""COMPUTED_VALUE"""),6.796314407529848)</f>
        <v>6.796314408</v>
      </c>
      <c r="I727" s="54">
        <f>IFERROR(__xludf.DUMMYFUNCTION("""COMPUTED_VALUE"""),16.0)</f>
        <v>16</v>
      </c>
      <c r="J727" s="55">
        <f>IFERROR(__xludf.DUMMYFUNCTION("""COMPUTED_VALUE"""),9.0)</f>
        <v>9</v>
      </c>
      <c r="K727" s="54">
        <f>IFERROR(__xludf.DUMMYFUNCTION("""COMPUTED_VALUE"""),7.0)</f>
        <v>7</v>
      </c>
      <c r="L727" s="56">
        <f>IFERROR(__xludf.DUMMYFUNCTION("""COMPUTED_VALUE"""),0.5625)</f>
        <v>0.5625</v>
      </c>
      <c r="M727" s="56">
        <f>IFERROR(__xludf.DUMMYFUNCTION("""COMPUTED_VALUE"""),0.22727272727272727)</f>
        <v>0.2272727273</v>
      </c>
      <c r="N727" s="31">
        <f>IFERROR(__xludf.DUMMYFUNCTION("""COMPUTED_VALUE"""),359.75)</f>
        <v>359.75</v>
      </c>
      <c r="O727" s="57">
        <f>IFERROR(__xludf.DUMMYFUNCTION("""COMPUTED_VALUE"""),0.9375)</f>
        <v>0.9375</v>
      </c>
      <c r="P727" s="57">
        <f>IFERROR(__xludf.DUMMYFUNCTION("""COMPUTED_VALUE"""),0.5)</f>
        <v>0.5</v>
      </c>
      <c r="Q727" s="57">
        <f>IFERROR(__xludf.DUMMYFUNCTION("""COMPUTED_VALUE"""),1.0)</f>
        <v>1</v>
      </c>
      <c r="R727" s="57">
        <f>IFERROR(__xludf.DUMMYFUNCTION("""COMPUTED_VALUE"""),4.125)</f>
        <v>4.125</v>
      </c>
      <c r="S727" s="31">
        <f>IFERROR(__xludf.DUMMYFUNCTION("""COMPUTED_VALUE"""),358.8541666666667)</f>
        <v>358.8541667</v>
      </c>
      <c r="T727" s="57">
        <f>IFERROR(__xludf.DUMMYFUNCTION("""COMPUTED_VALUE"""),0.6458333333333333)</f>
        <v>0.6458333333</v>
      </c>
      <c r="U727" s="57">
        <f>IFERROR(__xludf.DUMMYFUNCTION("""COMPUTED_VALUE"""),0.5)</f>
        <v>0.5</v>
      </c>
      <c r="V727" s="57">
        <f>IFERROR(__xludf.DUMMYFUNCTION("""COMPUTED_VALUE"""),1.625)</f>
        <v>1.625</v>
      </c>
      <c r="W727" s="57">
        <f>IFERROR(__xludf.DUMMYFUNCTION("""COMPUTED_VALUE"""),2.1458333333333335)</f>
        <v>2.145833333</v>
      </c>
      <c r="X727" s="31">
        <f>IFERROR(__xludf.DUMMYFUNCTION("""COMPUTED_VALUE"""),333.58143735471145)</f>
        <v>333.5814374</v>
      </c>
      <c r="Y727" s="57">
        <f>IFERROR(__xludf.DUMMYFUNCTION("""COMPUTED_VALUE"""),0.6198216431037816)</f>
        <v>0.6198216431</v>
      </c>
      <c r="Z727" s="57">
        <f>IFERROR(__xludf.DUMMYFUNCTION("""COMPUTED_VALUE"""),0.48681658901982816)</f>
        <v>0.486816589</v>
      </c>
      <c r="AA727" s="57">
        <f>IFERROR(__xludf.DUMMYFUNCTION("""COMPUTED_VALUE"""),1.4158074870454098)</f>
        <v>1.415807487</v>
      </c>
      <c r="AB727" s="57">
        <f>IFERROR(__xludf.DUMMYFUNCTION("""COMPUTED_VALUE"""),2.3681470076069564)</f>
        <v>2.368147008</v>
      </c>
      <c r="AC727" s="31">
        <f>IFERROR(__xludf.DUMMYFUNCTION("""COMPUTED_VALUE"""),356.3539490292829)</f>
        <v>356.353949</v>
      </c>
      <c r="AD727" s="57">
        <f>IFERROR(__xludf.DUMMYFUNCTION("""COMPUTED_VALUE"""),0.8112452366784859)</f>
        <v>0.8112452367</v>
      </c>
      <c r="AE727" s="57">
        <f>IFERROR(__xludf.DUMMYFUNCTION("""COMPUTED_VALUE"""),0.6059329373402849)</f>
        <v>0.6059329373</v>
      </c>
      <c r="AF727" s="57">
        <f>IFERROR(__xludf.DUMMYFUNCTION("""COMPUTED_VALUE"""),1.3345237329976951)</f>
        <v>1.334523733</v>
      </c>
      <c r="AG727" s="57">
        <f>IFERROR(__xludf.DUMMYFUNCTION("""COMPUTED_VALUE"""),2.6930084246260093)</f>
        <v>2.693008425</v>
      </c>
      <c r="AH727" s="57">
        <f>IFERROR(__xludf.DUMMYFUNCTION("""COMPUTED_VALUE"""),1.0095299939286995)</f>
        <v>1.009529994</v>
      </c>
      <c r="AI727" s="57">
        <f>IFERROR(__xludf.DUMMYFUNCTION("""COMPUTED_VALUE"""),1.1556308223619827)</f>
        <v>1.155630822</v>
      </c>
      <c r="AJ727" s="57">
        <f>IFERROR(__xludf.DUMMYFUNCTION("""COMPUTED_VALUE"""),0.8251738256625021)</f>
        <v>0.8251738257</v>
      </c>
      <c r="AK727" s="57">
        <f>IFERROR(__xludf.DUMMYFUNCTION("""COMPUTED_VALUE"""),0.7493309974740833)</f>
        <v>0.7493309975</v>
      </c>
      <c r="AL727" s="57">
        <f>IFERROR(__xludf.DUMMYFUNCTION("""COMPUTED_VALUE"""),1.53174418701377)</f>
        <v>1.531744187</v>
      </c>
      <c r="AM727" s="57">
        <f>IFERROR(__xludf.DUMMYFUNCTION("""COMPUTED_VALUE"""),1.0757617975159741)</f>
        <v>1.075761798</v>
      </c>
      <c r="AN727" s="57">
        <f>IFERROR(__xludf.DUMMYFUNCTION("""COMPUTED_VALUE"""),1.0419664116588396)</f>
        <v>1.041966412</v>
      </c>
      <c r="AO727" s="57">
        <f>IFERROR(__xludf.DUMMYFUNCTION("""COMPUTED_VALUE"""),1.0270808581250606)</f>
        <v>1.027080858</v>
      </c>
      <c r="AP727" s="35">
        <f>IFERROR(__xludf.DUMMYFUNCTION("""COMPUTED_VALUE"""),1.1477549136225755)</f>
        <v>1.147754914</v>
      </c>
      <c r="AQ727" s="57">
        <f>IFERROR(__xludf.DUMMYFUNCTION("""COMPUTED_VALUE"""),0.9061233641494775)</f>
        <v>0.9061233641</v>
      </c>
      <c r="AR727" s="36" t="b">
        <f>IFERROR(__xludf.DUMMYFUNCTION("""COMPUTED_VALUE"""),TRUE)</f>
        <v>1</v>
      </c>
      <c r="AS727" s="57"/>
      <c r="AT727" s="37"/>
      <c r="AU727" s="30"/>
      <c r="AV727" s="30"/>
      <c r="AW727" s="30"/>
      <c r="AX727" s="30"/>
      <c r="AY727" s="30"/>
      <c r="AZ727" s="30"/>
    </row>
    <row r="728">
      <c r="A728" s="30" t="str">
        <f>IFERROR(__xludf.DUMMYFUNCTION("""COMPUTED_VALUE"""),"Veteran")</f>
        <v>Veteran</v>
      </c>
      <c r="B728" s="30" t="str">
        <f>IFERROR(__xludf.DUMMYFUNCTION("""COMPUTED_VALUE"""),"RSC000960")</f>
        <v>RSC000960</v>
      </c>
      <c r="C728" s="30" t="str">
        <f>IFERROR(__xludf.DUMMYFUNCTION("""COMPUTED_VALUE"""),"Catlas")</f>
        <v>Catlas</v>
      </c>
      <c r="D728" s="31" t="str">
        <f>IFERROR(__xludf.DUMMYFUNCTION("""COMPUTED_VALUE"""),"Paradox Paloma")</f>
        <v>Paradox Paloma</v>
      </c>
      <c r="E728" s="31">
        <f>IFERROR(__xludf.DUMMYFUNCTION("""COMPUTED_VALUE"""),67.95861490082146)</f>
        <v>67.9586149</v>
      </c>
      <c r="F728" s="31">
        <f>IFERROR(__xludf.DUMMYFUNCTION("""COMPUTED_VALUE"""),4.232402587750579)</f>
        <v>4.232402588</v>
      </c>
      <c r="G728" s="31">
        <f>IFERROR(__xludf.DUMMYFUNCTION("""COMPUTED_VALUE"""),57.60081139247841)</f>
        <v>57.60081139</v>
      </c>
      <c r="H728" s="31">
        <f>IFERROR(__xludf.DUMMYFUNCTION("""COMPUTED_VALUE"""),2.6277646613868053)</f>
        <v>2.627764661</v>
      </c>
      <c r="I728" s="54">
        <f>IFERROR(__xludf.DUMMYFUNCTION("""COMPUTED_VALUE"""),36.0)</f>
        <v>36</v>
      </c>
      <c r="J728" s="55">
        <f>IFERROR(__xludf.DUMMYFUNCTION("""COMPUTED_VALUE"""),25.0)</f>
        <v>25</v>
      </c>
      <c r="K728" s="54">
        <f>IFERROR(__xludf.DUMMYFUNCTION("""COMPUTED_VALUE"""),11.0)</f>
        <v>11</v>
      </c>
      <c r="L728" s="56">
        <f>IFERROR(__xludf.DUMMYFUNCTION("""COMPUTED_VALUE"""),0.6944444444444444)</f>
        <v>0.6944444444</v>
      </c>
      <c r="M728" s="56">
        <f>IFERROR(__xludf.DUMMYFUNCTION("""COMPUTED_VALUE"""),0.23584905660377356)</f>
        <v>0.2358490566</v>
      </c>
      <c r="N728" s="31">
        <f>IFERROR(__xludf.DUMMYFUNCTION("""COMPUTED_VALUE"""),367.5833333333333)</f>
        <v>367.5833333</v>
      </c>
      <c r="O728" s="57">
        <f>IFERROR(__xludf.DUMMYFUNCTION("""COMPUTED_VALUE"""),0.6944444444444444)</f>
        <v>0.6944444444</v>
      </c>
      <c r="P728" s="57">
        <f>IFERROR(__xludf.DUMMYFUNCTION("""COMPUTED_VALUE"""),0.8333333333333334)</f>
        <v>0.8333333333</v>
      </c>
      <c r="Q728" s="57">
        <f>IFERROR(__xludf.DUMMYFUNCTION("""COMPUTED_VALUE"""),1.5833333333333333)</f>
        <v>1.583333333</v>
      </c>
      <c r="R728" s="57">
        <f>IFERROR(__xludf.DUMMYFUNCTION("""COMPUTED_VALUE"""),2.9444444444444446)</f>
        <v>2.944444444</v>
      </c>
      <c r="S728" s="31">
        <f>IFERROR(__xludf.DUMMYFUNCTION("""COMPUTED_VALUE"""),353.55555555555543)</f>
        <v>353.5555556</v>
      </c>
      <c r="T728" s="57">
        <f>IFERROR(__xludf.DUMMYFUNCTION("""COMPUTED_VALUE"""),0.6666666666666666)</f>
        <v>0.6666666667</v>
      </c>
      <c r="U728" s="57">
        <f>IFERROR(__xludf.DUMMYFUNCTION("""COMPUTED_VALUE"""),0.537037037037037)</f>
        <v>0.537037037</v>
      </c>
      <c r="V728" s="57">
        <f>IFERROR(__xludf.DUMMYFUNCTION("""COMPUTED_VALUE"""),1.6388888888888888)</f>
        <v>1.638888889</v>
      </c>
      <c r="W728" s="57">
        <f>IFERROR(__xludf.DUMMYFUNCTION("""COMPUTED_VALUE"""),2.314814814814815)</f>
        <v>2.314814815</v>
      </c>
      <c r="X728" s="31">
        <f>IFERROR(__xludf.DUMMYFUNCTION("""COMPUTED_VALUE"""),356.6773735992172)</f>
        <v>356.6773736</v>
      </c>
      <c r="Y728" s="57">
        <f>IFERROR(__xludf.DUMMYFUNCTION("""COMPUTED_VALUE"""),0.7834444227796006)</f>
        <v>0.7834444228</v>
      </c>
      <c r="Z728" s="57">
        <f>IFERROR(__xludf.DUMMYFUNCTION("""COMPUTED_VALUE"""),0.5909854956669809)</f>
        <v>0.5909854957</v>
      </c>
      <c r="AA728" s="57">
        <f>IFERROR(__xludf.DUMMYFUNCTION("""COMPUTED_VALUE"""),1.3816257503361167)</f>
        <v>1.38162575</v>
      </c>
      <c r="AB728" s="57">
        <f>IFERROR(__xludf.DUMMYFUNCTION("""COMPUTED_VALUE"""),2.5680574072793028)</f>
        <v>2.568057407</v>
      </c>
      <c r="AC728" s="31">
        <f>IFERROR(__xludf.DUMMYFUNCTION("""COMPUTED_VALUE"""),359.8913447731154)</f>
        <v>359.8913448</v>
      </c>
      <c r="AD728" s="57">
        <f>IFERROR(__xludf.DUMMYFUNCTION("""COMPUTED_VALUE"""),0.8442700498792658)</f>
        <v>0.8442700499</v>
      </c>
      <c r="AE728" s="57">
        <f>IFERROR(__xludf.DUMMYFUNCTION("""COMPUTED_VALUE"""),0.6191970952244515)</f>
        <v>0.6191970952</v>
      </c>
      <c r="AF728" s="57">
        <f>IFERROR(__xludf.DUMMYFUNCTION("""COMPUTED_VALUE"""),1.3137622281200854)</f>
        <v>1.313762228</v>
      </c>
      <c r="AG728" s="57">
        <f>IFERROR(__xludf.DUMMYFUNCTION("""COMPUTED_VALUE"""),2.6831236444351174)</f>
        <v>2.683123644</v>
      </c>
      <c r="AH728" s="57">
        <f>IFERROR(__xludf.DUMMYFUNCTION("""COMPUTED_VALUE"""),1.021373085715821)</f>
        <v>1.021373086</v>
      </c>
      <c r="AI728" s="57">
        <f>IFERROR(__xludf.DUMMYFUNCTION("""COMPUTED_VALUE"""),0.8225382915617496)</f>
        <v>0.8225382916</v>
      </c>
      <c r="AJ728" s="57">
        <f>IFERROR(__xludf.DUMMYFUNCTION("""COMPUTED_VALUE"""),1.3458288802715717)</f>
        <v>1.34582888</v>
      </c>
      <c r="AK728" s="57">
        <f>IFERROR(__xludf.DUMMYFUNCTION("""COMPUTED_VALUE"""),1.2051901778292011)</f>
        <v>1.205190178</v>
      </c>
      <c r="AL728" s="57">
        <f>IFERROR(__xludf.DUMMYFUNCTION("""COMPUTED_VALUE"""),1.097394244410359)</f>
        <v>1.097394244</v>
      </c>
      <c r="AM728" s="57">
        <f>IFERROR(__xludf.DUMMYFUNCTION("""COMPUTED_VALUE"""),0.9912475018749868)</f>
        <v>0.9912475019</v>
      </c>
      <c r="AN728" s="57">
        <f>IFERROR(__xludf.DUMMYFUNCTION("""COMPUTED_VALUE"""),0.8509431521656438)</f>
        <v>0.8509431522</v>
      </c>
      <c r="AO728" s="57">
        <f>IFERROR(__xludf.DUMMYFUNCTION("""COMPUTED_VALUE"""),0.9087144117317835)</f>
        <v>0.9087144117</v>
      </c>
      <c r="AP728" s="35">
        <f>IFERROR(__xludf.DUMMYFUNCTION("""COMPUTED_VALUE"""),1.1862032019091902)</f>
        <v>1.186203202</v>
      </c>
      <c r="AQ728" s="57">
        <f>IFERROR(__xludf.DUMMYFUNCTION("""COMPUTED_VALUE"""),0.901387487777081)</f>
        <v>0.9013874878</v>
      </c>
      <c r="AR728" s="36" t="b">
        <f>IFERROR(__xludf.DUMMYFUNCTION("""COMPUTED_VALUE"""),TRUE)</f>
        <v>1</v>
      </c>
      <c r="AS728" s="57"/>
      <c r="AT728" s="37"/>
      <c r="AU728" s="30"/>
      <c r="AV728" s="30"/>
      <c r="AW728" s="30"/>
      <c r="AX728" s="30"/>
      <c r="AY728" s="30"/>
      <c r="AZ728" s="30"/>
    </row>
    <row r="729">
      <c r="A729" s="30" t="str">
        <f>IFERROR(__xludf.DUMMYFUNCTION("""COMPUTED_VALUE"""),"Veteran")</f>
        <v>Veteran</v>
      </c>
      <c r="B729" s="30" t="str">
        <f>IFERROR(__xludf.DUMMYFUNCTION("""COMPUTED_VALUE"""),"RSC000767")</f>
        <v>RSC000767</v>
      </c>
      <c r="C729" s="30" t="str">
        <f>IFERROR(__xludf.DUMMYFUNCTION("""COMPUTED_VALUE"""),"Tragic")</f>
        <v>Tragic</v>
      </c>
      <c r="D729" s="31" t="str">
        <f>IFERROR(__xludf.DUMMYFUNCTION("""COMPUTED_VALUE"""),"Gouda Gangsters")</f>
        <v>Gouda Gangsters</v>
      </c>
      <c r="E729" s="31">
        <f>IFERROR(__xludf.DUMMYFUNCTION("""COMPUTED_VALUE"""),67.13466825119667)</f>
        <v>67.13466825</v>
      </c>
      <c r="F729" s="31">
        <f>IFERROR(__xludf.DUMMYFUNCTION("""COMPUTED_VALUE"""),4.055973114268383)</f>
        <v>4.055973114</v>
      </c>
      <c r="G729" s="31">
        <f>IFERROR(__xludf.DUMMYFUNCTION("""COMPUTED_VALUE"""),50.8142886976208)</f>
        <v>50.8142887</v>
      </c>
      <c r="H729" s="31">
        <f>IFERROR(__xludf.DUMMYFUNCTION("""COMPUTED_VALUE"""),2.0533538131072526)</f>
        <v>2.053353813</v>
      </c>
      <c r="I729" s="54">
        <f>IFERROR(__xludf.DUMMYFUNCTION("""COMPUTED_VALUE"""),27.0)</f>
        <v>27</v>
      </c>
      <c r="J729" s="55">
        <f>IFERROR(__xludf.DUMMYFUNCTION("""COMPUTED_VALUE"""),12.0)</f>
        <v>12</v>
      </c>
      <c r="K729" s="54">
        <f>IFERROR(__xludf.DUMMYFUNCTION("""COMPUTED_VALUE"""),15.0)</f>
        <v>15</v>
      </c>
      <c r="L729" s="56">
        <f>IFERROR(__xludf.DUMMYFUNCTION("""COMPUTED_VALUE"""),0.4444444444444444)</f>
        <v>0.4444444444</v>
      </c>
      <c r="M729" s="56">
        <f>IFERROR(__xludf.DUMMYFUNCTION("""COMPUTED_VALUE"""),0.33783783783783783)</f>
        <v>0.3378378378</v>
      </c>
      <c r="N729" s="31">
        <f>IFERROR(__xludf.DUMMYFUNCTION("""COMPUTED_VALUE"""),359.4074074074074)</f>
        <v>359.4074074</v>
      </c>
      <c r="O729" s="57">
        <f>IFERROR(__xludf.DUMMYFUNCTION("""COMPUTED_VALUE"""),0.9259259259259259)</f>
        <v>0.9259259259</v>
      </c>
      <c r="P729" s="57">
        <f>IFERROR(__xludf.DUMMYFUNCTION("""COMPUTED_VALUE"""),0.7407407407407407)</f>
        <v>0.7407407407</v>
      </c>
      <c r="Q729" s="57">
        <f>IFERROR(__xludf.DUMMYFUNCTION("""COMPUTED_VALUE"""),0.9629629629629629)</f>
        <v>0.962962963</v>
      </c>
      <c r="R729" s="57">
        <f>IFERROR(__xludf.DUMMYFUNCTION("""COMPUTED_VALUE"""),2.740740740740741)</f>
        <v>2.740740741</v>
      </c>
      <c r="S729" s="31">
        <f>IFERROR(__xludf.DUMMYFUNCTION("""COMPUTED_VALUE"""),366.1481481481481)</f>
        <v>366.1481481</v>
      </c>
      <c r="T729" s="57">
        <f>IFERROR(__xludf.DUMMYFUNCTION("""COMPUTED_VALUE"""),0.8518518518518517)</f>
        <v>0.8518518519</v>
      </c>
      <c r="U729" s="57">
        <f>IFERROR(__xludf.DUMMYFUNCTION("""COMPUTED_VALUE"""),0.7037037037037037)</f>
        <v>0.7037037037</v>
      </c>
      <c r="V729" s="57">
        <f>IFERROR(__xludf.DUMMYFUNCTION("""COMPUTED_VALUE"""),1.333333333333333)</f>
        <v>1.333333333</v>
      </c>
      <c r="W729" s="57">
        <f>IFERROR(__xludf.DUMMYFUNCTION("""COMPUTED_VALUE"""),2.54320987654321)</f>
        <v>2.543209877</v>
      </c>
      <c r="X729" s="31">
        <f>IFERROR(__xludf.DUMMYFUNCTION("""COMPUTED_VALUE"""),361.8517084477422)</f>
        <v>361.8517084</v>
      </c>
      <c r="Y729" s="57">
        <f>IFERROR(__xludf.DUMMYFUNCTION("""COMPUTED_VALUE"""),0.8204306614804632)</f>
        <v>0.8204306615</v>
      </c>
      <c r="Z729" s="57">
        <f>IFERROR(__xludf.DUMMYFUNCTION("""COMPUTED_VALUE"""),0.6092229362068388)</f>
        <v>0.6092229362</v>
      </c>
      <c r="AA729" s="57">
        <f>IFERROR(__xludf.DUMMYFUNCTION("""COMPUTED_VALUE"""),1.3641819502958912)</f>
        <v>1.36418195</v>
      </c>
      <c r="AB729" s="57">
        <f>IFERROR(__xludf.DUMMYFUNCTION("""COMPUTED_VALUE"""),2.7300952833430987)</f>
        <v>2.730095283</v>
      </c>
      <c r="AC729" s="31">
        <f>IFERROR(__xludf.DUMMYFUNCTION("""COMPUTED_VALUE"""),365.9568207600288)</f>
        <v>365.9568208</v>
      </c>
      <c r="AD729" s="57">
        <f>IFERROR(__xludf.DUMMYFUNCTION("""COMPUTED_VALUE"""),0.8318242279223439)</f>
        <v>0.8318242279</v>
      </c>
      <c r="AE729" s="57">
        <f>IFERROR(__xludf.DUMMYFUNCTION("""COMPUTED_VALUE"""),0.6078004488410284)</f>
        <v>0.6078004488</v>
      </c>
      <c r="AF729" s="57">
        <f>IFERROR(__xludf.DUMMYFUNCTION("""COMPUTED_VALUE"""),1.4218971867697476)</f>
        <v>1.421897187</v>
      </c>
      <c r="AG729" s="57">
        <f>IFERROR(__xludf.DUMMYFUNCTION("""COMPUTED_VALUE"""),2.709899641244356)</f>
        <v>2.709899641</v>
      </c>
      <c r="AH729" s="57">
        <f>IFERROR(__xludf.DUMMYFUNCTION("""COMPUTED_VALUE"""),0.9821033166180113)</f>
        <v>0.9821033166</v>
      </c>
      <c r="AI729" s="57">
        <f>IFERROR(__xludf.DUMMYFUNCTION("""COMPUTED_VALUE"""),1.1131269021084187)</f>
        <v>1.113126902</v>
      </c>
      <c r="AJ729" s="57">
        <f>IFERROR(__xludf.DUMMYFUNCTION("""COMPUTED_VALUE"""),1.2187235829674143)</f>
        <v>1.218723583</v>
      </c>
      <c r="AK729" s="57">
        <f>IFERROR(__xludf.DUMMYFUNCTION("""COMPUTED_VALUE"""),0.6772381097051137)</f>
        <v>0.6772381097</v>
      </c>
      <c r="AL729" s="57">
        <f>IFERROR(__xludf.DUMMYFUNCTION("""COMPUTED_VALUE"""),1.0113809009850354)</f>
        <v>1.011380901</v>
      </c>
      <c r="AM729" s="57">
        <f>IFERROR(__xludf.DUMMYFUNCTION("""COMPUTED_VALUE"""),1.0118734818714457)</f>
        <v>1.011873482</v>
      </c>
      <c r="AN729" s="57">
        <f>IFERROR(__xludf.DUMMYFUNCTION("""COMPUTED_VALUE"""),1.0382984106355668)</f>
        <v>1.038298411</v>
      </c>
      <c r="AO729" s="57">
        <f>IFERROR(__xludf.DUMMYFUNCTION("""COMPUTED_VALUE"""),1.155084061813437)</f>
        <v>1.155084062</v>
      </c>
      <c r="AP729" s="35">
        <f>IFERROR(__xludf.DUMMYFUNCTION("""COMPUTED_VALUE"""),0.977386728393623)</f>
        <v>0.9773867284</v>
      </c>
      <c r="AQ729" s="57">
        <f>IFERROR(__xludf.DUMMYFUNCTION("""COMPUTED_VALUE"""),0.9315461962298104)</f>
        <v>0.9315461962</v>
      </c>
      <c r="AR729" s="36" t="b">
        <f>IFERROR(__xludf.DUMMYFUNCTION("""COMPUTED_VALUE"""),TRUE)</f>
        <v>1</v>
      </c>
      <c r="AS729" s="57"/>
      <c r="AT729" s="37"/>
      <c r="AU729" s="30"/>
      <c r="AV729" s="30"/>
      <c r="AW729" s="30"/>
      <c r="AX729" s="30"/>
      <c r="AY729" s="30"/>
      <c r="AZ729" s="30"/>
    </row>
    <row r="730">
      <c r="A730" s="30" t="str">
        <f>IFERROR(__xludf.DUMMYFUNCTION("""COMPUTED_VALUE"""),"Veteran")</f>
        <v>Veteran</v>
      </c>
      <c r="B730" s="30" t="str">
        <f>IFERROR(__xludf.DUMMYFUNCTION("""COMPUTED_VALUE"""),"RSC006427")</f>
        <v>RSC006427</v>
      </c>
      <c r="C730" s="30" t="str">
        <f>IFERROR(__xludf.DUMMYFUNCTION("""COMPUTED_VALUE"""),"NukeTech96")</f>
        <v>NukeTech96</v>
      </c>
      <c r="D730" s="31" t="str">
        <f>IFERROR(__xludf.DUMMYFUNCTION("""COMPUTED_VALUE"""),"Mosaic Maestros")</f>
        <v>Mosaic Maestros</v>
      </c>
      <c r="E730" s="31">
        <f>IFERROR(__xludf.DUMMYFUNCTION("""COMPUTED_VALUE"""),65.79849075491609)</f>
        <v>65.79849075</v>
      </c>
      <c r="F730" s="31">
        <f>IFERROR(__xludf.DUMMYFUNCTION("""COMPUTED_VALUE"""),3.7919988084566225)</f>
        <v>3.791998808</v>
      </c>
      <c r="G730" s="31">
        <f>IFERROR(__xludf.DUMMYFUNCTION("""COMPUTED_VALUE"""),50.15420801438729)</f>
        <v>50.15420801</v>
      </c>
      <c r="H730" s="31">
        <f>IFERROR(__xludf.DUMMYFUNCTION("""COMPUTED_VALUE"""),2.0098918365180687)</f>
        <v>2.009891837</v>
      </c>
      <c r="I730" s="54">
        <f>IFERROR(__xludf.DUMMYFUNCTION("""COMPUTED_VALUE"""),29.0)</f>
        <v>29</v>
      </c>
      <c r="J730" s="55">
        <f>IFERROR(__xludf.DUMMYFUNCTION("""COMPUTED_VALUE"""),18.0)</f>
        <v>18</v>
      </c>
      <c r="K730" s="54">
        <f>IFERROR(__xludf.DUMMYFUNCTION("""COMPUTED_VALUE"""),11.0)</f>
        <v>11</v>
      </c>
      <c r="L730" s="56">
        <f>IFERROR(__xludf.DUMMYFUNCTION("""COMPUTED_VALUE"""),0.6206896551724138)</f>
        <v>0.6206896552</v>
      </c>
      <c r="M730" s="56">
        <f>IFERROR(__xludf.DUMMYFUNCTION("""COMPUTED_VALUE"""),0.3764705882352941)</f>
        <v>0.3764705882</v>
      </c>
      <c r="N730" s="31">
        <f>IFERROR(__xludf.DUMMYFUNCTION("""COMPUTED_VALUE"""),377.0344827586207)</f>
        <v>377.0344828</v>
      </c>
      <c r="O730" s="57">
        <f>IFERROR(__xludf.DUMMYFUNCTION("""COMPUTED_VALUE"""),1.103448275862069)</f>
        <v>1.103448276</v>
      </c>
      <c r="P730" s="57">
        <f>IFERROR(__xludf.DUMMYFUNCTION("""COMPUTED_VALUE"""),0.4482758620689655)</f>
        <v>0.4482758621</v>
      </c>
      <c r="Q730" s="57">
        <f>IFERROR(__xludf.DUMMYFUNCTION("""COMPUTED_VALUE"""),1.2413793103448276)</f>
        <v>1.24137931</v>
      </c>
      <c r="R730" s="57">
        <f>IFERROR(__xludf.DUMMYFUNCTION("""COMPUTED_VALUE"""),2.9310344827586206)</f>
        <v>2.931034483</v>
      </c>
      <c r="S730" s="31">
        <f>IFERROR(__xludf.DUMMYFUNCTION("""COMPUTED_VALUE"""),364.52873563218395)</f>
        <v>364.5287356</v>
      </c>
      <c r="T730" s="57">
        <f>IFERROR(__xludf.DUMMYFUNCTION("""COMPUTED_VALUE"""),0.7816091954022988)</f>
        <v>0.7816091954</v>
      </c>
      <c r="U730" s="57">
        <f>IFERROR(__xludf.DUMMYFUNCTION("""COMPUTED_VALUE"""),0.5402298850574713)</f>
        <v>0.5402298851</v>
      </c>
      <c r="V730" s="57">
        <f>IFERROR(__xludf.DUMMYFUNCTION("""COMPUTED_VALUE"""),1.5057471264367812)</f>
        <v>1.505747126</v>
      </c>
      <c r="W730" s="57">
        <f>IFERROR(__xludf.DUMMYFUNCTION("""COMPUTED_VALUE"""),2.563218390804598)</f>
        <v>2.563218391</v>
      </c>
      <c r="X730" s="31">
        <f>IFERROR(__xludf.DUMMYFUNCTION("""COMPUTED_VALUE"""),352.4126477757561)</f>
        <v>352.4126478</v>
      </c>
      <c r="Y730" s="57">
        <f>IFERROR(__xludf.DUMMYFUNCTION("""COMPUTED_VALUE"""),0.7892412310506359)</f>
        <v>0.7892412311</v>
      </c>
      <c r="Z730" s="57">
        <f>IFERROR(__xludf.DUMMYFUNCTION("""COMPUTED_VALUE"""),0.5502527924186076)</f>
        <v>0.5502527924</v>
      </c>
      <c r="AA730" s="57">
        <f>IFERROR(__xludf.DUMMYFUNCTION("""COMPUTED_VALUE"""),1.4058075210339074)</f>
        <v>1.405807521</v>
      </c>
      <c r="AB730" s="57">
        <f>IFERROR(__xludf.DUMMYFUNCTION("""COMPUTED_VALUE"""),2.5770642029792614)</f>
        <v>2.577064203</v>
      </c>
      <c r="AC730" s="31">
        <f>IFERROR(__xludf.DUMMYFUNCTION("""COMPUTED_VALUE"""),360.47305216569845)</f>
        <v>360.4730522</v>
      </c>
      <c r="AD730" s="57">
        <f>IFERROR(__xludf.DUMMYFUNCTION("""COMPUTED_VALUE"""),0.8237584706692817)</f>
        <v>0.8237584707</v>
      </c>
      <c r="AE730" s="57">
        <f>IFERROR(__xludf.DUMMYFUNCTION("""COMPUTED_VALUE"""),0.5855972291831992)</f>
        <v>0.5855972292</v>
      </c>
      <c r="AF730" s="57">
        <f>IFERROR(__xludf.DUMMYFUNCTION("""COMPUTED_VALUE"""),1.392358858802097)</f>
        <v>1.392358859</v>
      </c>
      <c r="AG730" s="57">
        <f>IFERROR(__xludf.DUMMYFUNCTION("""COMPUTED_VALUE"""),2.693409530538234)</f>
        <v>2.693409531</v>
      </c>
      <c r="AH730" s="57">
        <f>IFERROR(__xludf.DUMMYFUNCTION("""COMPUTED_VALUE"""),1.0459436024230446)</f>
        <v>1.045943602</v>
      </c>
      <c r="AI730" s="57">
        <f>IFERROR(__xludf.DUMMYFUNCTION("""COMPUTED_VALUE"""),1.3395288973059625)</f>
        <v>1.339528897</v>
      </c>
      <c r="AJ730" s="57">
        <f>IFERROR(__xludf.DUMMYFUNCTION("""COMPUTED_VALUE"""),0.7655020203805065)</f>
        <v>0.7655020204</v>
      </c>
      <c r="AK730" s="57">
        <f>IFERROR(__xludf.DUMMYFUNCTION("""COMPUTED_VALUE"""),0.8915656351788768)</f>
        <v>0.8915656352</v>
      </c>
      <c r="AL730" s="57">
        <f>IFERROR(__xludf.DUMMYFUNCTION("""COMPUTED_VALUE"""),1.088224590254903)</f>
        <v>1.08822459</v>
      </c>
      <c r="AM730" s="57">
        <f>IFERROR(__xludf.DUMMYFUNCTION("""COMPUTED_VALUE"""),1.0343804001726336)</f>
        <v>1.0343804</v>
      </c>
      <c r="AN730" s="57">
        <f>IFERROR(__xludf.DUMMYFUNCTION("""COMPUTED_VALUE"""),0.9903299075769554)</f>
        <v>0.9903299076</v>
      </c>
      <c r="AO730" s="57">
        <f>IFERROR(__xludf.DUMMYFUNCTION("""COMPUTED_VALUE"""),0.9817849041400024)</f>
        <v>0.9817849041</v>
      </c>
      <c r="AP730" s="35">
        <f>IFERROR(__xludf.DUMMYFUNCTION("""COMPUTED_VALUE"""),1.0710905325996356)</f>
        <v>1.071090533</v>
      </c>
      <c r="AQ730" s="57">
        <f>IFERROR(__xludf.DUMMYFUNCTION("""COMPUTED_VALUE"""),0.9946272924987059)</f>
        <v>0.9946272925</v>
      </c>
      <c r="AR730" s="36" t="b">
        <f>IFERROR(__xludf.DUMMYFUNCTION("""COMPUTED_VALUE"""),TRUE)</f>
        <v>1</v>
      </c>
      <c r="AS730" s="57"/>
      <c r="AT730" s="37"/>
      <c r="AU730" s="30"/>
      <c r="AV730" s="30"/>
      <c r="AW730" s="30"/>
      <c r="AX730" s="30"/>
      <c r="AY730" s="30"/>
      <c r="AZ730" s="30"/>
    </row>
    <row r="731">
      <c r="A731" s="30" t="str">
        <f>IFERROR(__xludf.DUMMYFUNCTION("""COMPUTED_VALUE"""),"Veteran")</f>
        <v>Veteran</v>
      </c>
      <c r="B731" s="30" t="str">
        <f>IFERROR(__xludf.DUMMYFUNCTION("""COMPUTED_VALUE"""),"RSC007954")</f>
        <v>RSC007954</v>
      </c>
      <c r="C731" s="30" t="str">
        <f>IFERROR(__xludf.DUMMYFUNCTION("""COMPUTED_VALUE"""),"Killer")</f>
        <v>Killer</v>
      </c>
      <c r="D731" s="31" t="str">
        <f>IFERROR(__xludf.DUMMYFUNCTION("""COMPUTED_VALUE"""),"Makos")</f>
        <v>Makos</v>
      </c>
      <c r="E731" s="31">
        <f>IFERROR(__xludf.DUMMYFUNCTION("""COMPUTED_VALUE"""),65.23582958674052)</f>
        <v>65.23582959</v>
      </c>
      <c r="F731" s="31">
        <f>IFERROR(__xludf.DUMMYFUNCTION("""COMPUTED_VALUE"""),3.6884216957507876)</f>
        <v>3.688421696</v>
      </c>
      <c r="G731" s="31">
        <f>IFERROR(__xludf.DUMMYFUNCTION("""COMPUTED_VALUE"""),59.725445882037384)</f>
        <v>59.72544588</v>
      </c>
      <c r="H731" s="31">
        <f>IFERROR(__xludf.DUMMYFUNCTION("""COMPUTED_VALUE"""),2.868358331222533)</f>
        <v>2.868358331</v>
      </c>
      <c r="I731" s="54">
        <f>IFERROR(__xludf.DUMMYFUNCTION("""COMPUTED_VALUE"""),32.0)</f>
        <v>32</v>
      </c>
      <c r="J731" s="55">
        <f>IFERROR(__xludf.DUMMYFUNCTION("""COMPUTED_VALUE"""),18.0)</f>
        <v>18</v>
      </c>
      <c r="K731" s="54">
        <f>IFERROR(__xludf.DUMMYFUNCTION("""COMPUTED_VALUE"""),14.0)</f>
        <v>14</v>
      </c>
      <c r="L731" s="56">
        <f>IFERROR(__xludf.DUMMYFUNCTION("""COMPUTED_VALUE"""),0.5625)</f>
        <v>0.5625</v>
      </c>
      <c r="M731" s="56">
        <f>IFERROR(__xludf.DUMMYFUNCTION("""COMPUTED_VALUE"""),0.2268041237113402)</f>
        <v>0.2268041237</v>
      </c>
      <c r="N731" s="31">
        <f>IFERROR(__xludf.DUMMYFUNCTION("""COMPUTED_VALUE"""),390.625)</f>
        <v>390.625</v>
      </c>
      <c r="O731" s="57">
        <f>IFERROR(__xludf.DUMMYFUNCTION("""COMPUTED_VALUE"""),0.6875)</f>
        <v>0.6875</v>
      </c>
      <c r="P731" s="57">
        <f>IFERROR(__xludf.DUMMYFUNCTION("""COMPUTED_VALUE"""),0.6875)</f>
        <v>0.6875</v>
      </c>
      <c r="Q731" s="57">
        <f>IFERROR(__xludf.DUMMYFUNCTION("""COMPUTED_VALUE"""),1.625)</f>
        <v>1.625</v>
      </c>
      <c r="R731" s="57">
        <f>IFERROR(__xludf.DUMMYFUNCTION("""COMPUTED_VALUE"""),3.03125)</f>
        <v>3.03125</v>
      </c>
      <c r="S731" s="31">
        <f>IFERROR(__xludf.DUMMYFUNCTION("""COMPUTED_VALUE"""),359.82291666666663)</f>
        <v>359.8229167</v>
      </c>
      <c r="T731" s="57">
        <f>IFERROR(__xludf.DUMMYFUNCTION("""COMPUTED_VALUE"""),0.7604166666666666)</f>
        <v>0.7604166667</v>
      </c>
      <c r="U731" s="57">
        <f>IFERROR(__xludf.DUMMYFUNCTION("""COMPUTED_VALUE"""),0.53125)</f>
        <v>0.53125</v>
      </c>
      <c r="V731" s="57">
        <f>IFERROR(__xludf.DUMMYFUNCTION("""COMPUTED_VALUE"""),1.5520833333333337)</f>
        <v>1.552083333</v>
      </c>
      <c r="W731" s="57">
        <f>IFERROR(__xludf.DUMMYFUNCTION("""COMPUTED_VALUE"""),2.635416666666666)</f>
        <v>2.635416667</v>
      </c>
      <c r="X731" s="31">
        <f>IFERROR(__xludf.DUMMYFUNCTION("""COMPUTED_VALUE"""),366.3871343342445)</f>
        <v>366.3871343</v>
      </c>
      <c r="Y731" s="57">
        <f>IFERROR(__xludf.DUMMYFUNCTION("""COMPUTED_VALUE"""),0.8308168271789002)</f>
        <v>0.8308168272</v>
      </c>
      <c r="Z731" s="57">
        <f>IFERROR(__xludf.DUMMYFUNCTION("""COMPUTED_VALUE"""),0.6189231483363953)</f>
        <v>0.6189231483</v>
      </c>
      <c r="AA731" s="57">
        <f>IFERROR(__xludf.DUMMYFUNCTION("""COMPUTED_VALUE"""),1.389387199996486)</f>
        <v>1.3893872</v>
      </c>
      <c r="AB731" s="57">
        <f>IFERROR(__xludf.DUMMYFUNCTION("""COMPUTED_VALUE"""),2.773939932155658)</f>
        <v>2.773939932</v>
      </c>
      <c r="AC731" s="31">
        <f>IFERROR(__xludf.DUMMYFUNCTION("""COMPUTED_VALUE"""),356.4031115471128)</f>
        <v>356.4031115</v>
      </c>
      <c r="AD731" s="57">
        <f>IFERROR(__xludf.DUMMYFUNCTION("""COMPUTED_VALUE"""),0.7695374229440882)</f>
        <v>0.7695374229</v>
      </c>
      <c r="AE731" s="57">
        <f>IFERROR(__xludf.DUMMYFUNCTION("""COMPUTED_VALUE"""),0.5892011792022662)</f>
        <v>0.5892011792</v>
      </c>
      <c r="AF731" s="57">
        <f>IFERROR(__xludf.DUMMYFUNCTION("""COMPUTED_VALUE"""),1.3871708594578813)</f>
        <v>1.387170859</v>
      </c>
      <c r="AG731" s="57">
        <f>IFERROR(__xludf.DUMMYFUNCTION("""COMPUTED_VALUE"""),2.610619568541276)</f>
        <v>2.610619569</v>
      </c>
      <c r="AH731" s="57">
        <f>IFERROR(__xludf.DUMMYFUNCTION("""COMPUTED_VALUE"""),1.096020173068448)</f>
        <v>1.096020173</v>
      </c>
      <c r="AI731" s="57">
        <f>IFERROR(__xludf.DUMMYFUNCTION("""COMPUTED_VALUE"""),0.8933938486964932)</f>
        <v>0.8933938487</v>
      </c>
      <c r="AJ731" s="57">
        <f>IFERROR(__xludf.DUMMYFUNCTION("""COMPUTED_VALUE"""),1.16683405306626)</f>
        <v>1.166834053</v>
      </c>
      <c r="AK731" s="57">
        <f>IFERROR(__xludf.DUMMYFUNCTION("""COMPUTED_VALUE"""),1.171449060453205)</f>
        <v>1.17144906</v>
      </c>
      <c r="AL731" s="57">
        <f>IFERROR(__xludf.DUMMYFUNCTION("""COMPUTED_VALUE"""),1.1611228370948579)</f>
        <v>1.161122837</v>
      </c>
      <c r="AM731" s="57">
        <f>IFERROR(__xludf.DUMMYFUNCTION("""COMPUTED_VALUE"""),0.9820839296677117)</f>
        <v>0.9820839297</v>
      </c>
      <c r="AN731" s="57">
        <f>IFERROR(__xludf.DUMMYFUNCTION("""COMPUTED_VALUE"""),0.9152639207473897)</f>
        <v>0.9152639207</v>
      </c>
      <c r="AO731" s="57">
        <f>IFERROR(__xludf.DUMMYFUNCTION("""COMPUTED_VALUE"""),0.858345662830592)</f>
        <v>0.8583456628</v>
      </c>
      <c r="AP731" s="35">
        <f>IFERROR(__xludf.DUMMYFUNCTION("""COMPUTED_VALUE"""),1.1170992026824913)</f>
        <v>1.117099203</v>
      </c>
      <c r="AQ731" s="57">
        <f>IFERROR(__xludf.DUMMYFUNCTION("""COMPUTED_VALUE"""),0.9500626297335343)</f>
        <v>0.9500626297</v>
      </c>
      <c r="AR731" s="36" t="b">
        <f>IFERROR(__xludf.DUMMYFUNCTION("""COMPUTED_VALUE"""),TRUE)</f>
        <v>1</v>
      </c>
      <c r="AS731" s="57"/>
      <c r="AT731" s="37"/>
      <c r="AU731" s="30"/>
      <c r="AV731" s="30"/>
      <c r="AW731" s="30"/>
      <c r="AX731" s="30"/>
      <c r="AY731" s="30"/>
      <c r="AZ731" s="30"/>
    </row>
    <row r="732">
      <c r="A732" s="30" t="str">
        <f>IFERROR(__xludf.DUMMYFUNCTION("""COMPUTED_VALUE"""),"Veteran")</f>
        <v>Veteran</v>
      </c>
      <c r="B732" s="30" t="str">
        <f>IFERROR(__xludf.DUMMYFUNCTION("""COMPUTED_VALUE"""),"RSC006909")</f>
        <v>RSC006909</v>
      </c>
      <c r="C732" s="30" t="str">
        <f>IFERROR(__xludf.DUMMYFUNCTION("""COMPUTED_VALUE"""),"Dewby")</f>
        <v>Dewby</v>
      </c>
      <c r="D732" s="31" t="str">
        <f>IFERROR(__xludf.DUMMYFUNCTION("""COMPUTED_VALUE"""),"Singularity")</f>
        <v>Singularity</v>
      </c>
      <c r="E732" s="31">
        <f>IFERROR(__xludf.DUMMYFUNCTION("""COMPUTED_VALUE"""),65.0125722153016)</f>
        <v>65.01257222</v>
      </c>
      <c r="F732" s="31">
        <f>IFERROR(__xludf.DUMMYFUNCTION("""COMPUTED_VALUE"""),3.6484956382330282)</f>
        <v>3.648495638</v>
      </c>
      <c r="G732" s="31">
        <f>IFERROR(__xludf.DUMMYFUNCTION("""COMPUTED_VALUE"""),48.848347528456905)</f>
        <v>48.84834753</v>
      </c>
      <c r="H732" s="31">
        <f>IFERROR(__xludf.DUMMYFUNCTION("""COMPUTED_VALUE"""),-2.0762878689550273)</f>
        <v>-2.076287869</v>
      </c>
      <c r="I732" s="54">
        <f>IFERROR(__xludf.DUMMYFUNCTION("""COMPUTED_VALUE"""),24.0)</f>
        <v>24</v>
      </c>
      <c r="J732" s="55">
        <f>IFERROR(__xludf.DUMMYFUNCTION("""COMPUTED_VALUE"""),12.0)</f>
        <v>12</v>
      </c>
      <c r="K732" s="54">
        <f>IFERROR(__xludf.DUMMYFUNCTION("""COMPUTED_VALUE"""),12.0)</f>
        <v>12</v>
      </c>
      <c r="L732" s="56">
        <f>IFERROR(__xludf.DUMMYFUNCTION("""COMPUTED_VALUE"""),0.5)</f>
        <v>0.5</v>
      </c>
      <c r="M732" s="56">
        <f>IFERROR(__xludf.DUMMYFUNCTION("""COMPUTED_VALUE"""),0.30303030303030304)</f>
        <v>0.303030303</v>
      </c>
      <c r="N732" s="31">
        <f>IFERROR(__xludf.DUMMYFUNCTION("""COMPUTED_VALUE"""),370.4583333333333)</f>
        <v>370.4583333</v>
      </c>
      <c r="O732" s="57">
        <f>IFERROR(__xludf.DUMMYFUNCTION("""COMPUTED_VALUE"""),0.8333333333333334)</f>
        <v>0.8333333333</v>
      </c>
      <c r="P732" s="57">
        <f>IFERROR(__xludf.DUMMYFUNCTION("""COMPUTED_VALUE"""),0.6666666666666666)</f>
        <v>0.6666666667</v>
      </c>
      <c r="Q732" s="57">
        <f>IFERROR(__xludf.DUMMYFUNCTION("""COMPUTED_VALUE"""),1.4166666666666667)</f>
        <v>1.416666667</v>
      </c>
      <c r="R732" s="57">
        <f>IFERROR(__xludf.DUMMYFUNCTION("""COMPUTED_VALUE"""),2.75)</f>
        <v>2.75</v>
      </c>
      <c r="S732" s="31">
        <f>IFERROR(__xludf.DUMMYFUNCTION("""COMPUTED_VALUE"""),349.23611111111114)</f>
        <v>349.2361111</v>
      </c>
      <c r="T732" s="57">
        <f>IFERROR(__xludf.DUMMYFUNCTION("""COMPUTED_VALUE"""),0.7222222222222222)</f>
        <v>0.7222222222</v>
      </c>
      <c r="U732" s="57">
        <f>IFERROR(__xludf.DUMMYFUNCTION("""COMPUTED_VALUE"""),0.5555555555555556)</f>
        <v>0.5555555556</v>
      </c>
      <c r="V732" s="57">
        <f>IFERROR(__xludf.DUMMYFUNCTION("""COMPUTED_VALUE"""),1.3333333333333333)</f>
        <v>1.333333333</v>
      </c>
      <c r="W732" s="57">
        <f>IFERROR(__xludf.DUMMYFUNCTION("""COMPUTED_VALUE"""),2.9166666666666665)</f>
        <v>2.916666667</v>
      </c>
      <c r="X732" s="31">
        <f>IFERROR(__xludf.DUMMYFUNCTION("""COMPUTED_VALUE"""),349.95145526440183)</f>
        <v>349.9514553</v>
      </c>
      <c r="Y732" s="57">
        <f>IFERROR(__xludf.DUMMYFUNCTION("""COMPUTED_VALUE"""),0.7782183332105981)</f>
        <v>0.7782183332</v>
      </c>
      <c r="Z732" s="57">
        <f>IFERROR(__xludf.DUMMYFUNCTION("""COMPUTED_VALUE"""),0.5248741595205803)</f>
        <v>0.5248741595</v>
      </c>
      <c r="AA732" s="57">
        <f>IFERROR(__xludf.DUMMYFUNCTION("""COMPUTED_VALUE"""),1.3541429748236207)</f>
        <v>1.354142975</v>
      </c>
      <c r="AB732" s="57">
        <f>IFERROR(__xludf.DUMMYFUNCTION("""COMPUTED_VALUE"""),2.6000086219875893)</f>
        <v>2.600008622</v>
      </c>
      <c r="AC732" s="31">
        <f>IFERROR(__xludf.DUMMYFUNCTION("""COMPUTED_VALUE"""),353.18567409502106)</f>
        <v>353.1856741</v>
      </c>
      <c r="AD732" s="57">
        <f>IFERROR(__xludf.DUMMYFUNCTION("""COMPUTED_VALUE"""),0.7464467361545926)</f>
        <v>0.7464467362</v>
      </c>
      <c r="AE732" s="57">
        <f>IFERROR(__xludf.DUMMYFUNCTION("""COMPUTED_VALUE"""),0.5698636188426014)</f>
        <v>0.5698636188</v>
      </c>
      <c r="AF732" s="57">
        <f>IFERROR(__xludf.DUMMYFUNCTION("""COMPUTED_VALUE"""),1.3987116179684336)</f>
        <v>1.398711618</v>
      </c>
      <c r="AG732" s="57">
        <f>IFERROR(__xludf.DUMMYFUNCTION("""COMPUTED_VALUE"""),2.5479390143600478)</f>
        <v>2.547939014</v>
      </c>
      <c r="AH732" s="57">
        <f>IFERROR(__xludf.DUMMYFUNCTION("""COMPUTED_VALUE"""),1.0489053223423361)</f>
        <v>1.048905322</v>
      </c>
      <c r="AI732" s="57">
        <f>IFERROR(__xludf.DUMMYFUNCTION("""COMPUTED_VALUE"""),1.1164002640380575)</f>
        <v>1.116400264</v>
      </c>
      <c r="AJ732" s="57">
        <f>IFERROR(__xludf.DUMMYFUNCTION("""COMPUTED_VALUE"""),1.1698705525730404)</f>
        <v>1.169870553</v>
      </c>
      <c r="AK732" s="57">
        <f>IFERROR(__xludf.DUMMYFUNCTION("""COMPUTED_VALUE"""),1.0128368481877001)</f>
        <v>1.012836848</v>
      </c>
      <c r="AL732" s="57">
        <f>IFERROR(__xludf.DUMMYFUNCTION("""COMPUTED_VALUE"""),1.079303697812682)</f>
        <v>1.079303698</v>
      </c>
      <c r="AM732" s="57">
        <f>IFERROR(__xludf.DUMMYFUNCTION("""COMPUTED_VALUE"""),0.997955876043578)</f>
        <v>0.997955876</v>
      </c>
      <c r="AN732" s="57">
        <f>IFERROR(__xludf.DUMMYFUNCTION("""COMPUTED_VALUE"""),0.9280457570854702)</f>
        <v>0.9280457571</v>
      </c>
      <c r="AO732" s="57">
        <f>IFERROR(__xludf.DUMMYFUNCTION("""COMPUTED_VALUE"""),1.0584547657347043)</f>
        <v>1.058454766</v>
      </c>
      <c r="AP732" s="35">
        <f>IFERROR(__xludf.DUMMYFUNCTION("""COMPUTED_VALUE"""),0.9846326112698713)</f>
        <v>0.9846326113</v>
      </c>
      <c r="AQ732" s="57">
        <f>IFERROR(__xludf.DUMMYFUNCTION("""COMPUTED_VALUE"""),1.121791151768184)</f>
        <v>1.121791152</v>
      </c>
      <c r="AR732" s="36" t="b">
        <f>IFERROR(__xludf.DUMMYFUNCTION("""COMPUTED_VALUE"""),TRUE)</f>
        <v>1</v>
      </c>
      <c r="AS732" s="57"/>
      <c r="AT732" s="37"/>
      <c r="AU732" s="30"/>
      <c r="AV732" s="30"/>
      <c r="AW732" s="30"/>
      <c r="AX732" s="30"/>
      <c r="AY732" s="30"/>
      <c r="AZ732" s="30"/>
    </row>
    <row r="733">
      <c r="A733" s="30" t="str">
        <f>IFERROR(__xludf.DUMMYFUNCTION("""COMPUTED_VALUE"""),"Veteran")</f>
        <v>Veteran</v>
      </c>
      <c r="B733" s="30" t="str">
        <f>IFERROR(__xludf.DUMMYFUNCTION("""COMPUTED_VALUE"""),"RSC003830")</f>
        <v>RSC003830</v>
      </c>
      <c r="C733" s="30" t="str">
        <f>IFERROR(__xludf.DUMMYFUNCTION("""COMPUTED_VALUE"""),"bradyK-")</f>
        <v>bradyK-</v>
      </c>
      <c r="D733" s="31" t="str">
        <f>IFERROR(__xludf.DUMMYFUNCTION("""COMPUTED_VALUE"""),"Makos")</f>
        <v>Makos</v>
      </c>
      <c r="E733" s="31">
        <f>IFERROR(__xludf.DUMMYFUNCTION("""COMPUTED_VALUE"""),64.75283691072717)</f>
        <v>64.75283691</v>
      </c>
      <c r="F733" s="31">
        <f>IFERROR(__xludf.DUMMYFUNCTION("""COMPUTED_VALUE"""),3.6028598275326305)</f>
        <v>3.602859828</v>
      </c>
      <c r="G733" s="31">
        <f>IFERROR(__xludf.DUMMYFUNCTION("""COMPUTED_VALUE"""),42.1773433373875)</f>
        <v>42.17734334</v>
      </c>
      <c r="H733" s="31">
        <f>IFERROR(__xludf.DUMMYFUNCTION("""COMPUTED_VALUE"""),-2.6512825940938995)</f>
        <v>-2.651282594</v>
      </c>
      <c r="I733" s="54">
        <f>IFERROR(__xludf.DUMMYFUNCTION("""COMPUTED_VALUE"""),36.0)</f>
        <v>36</v>
      </c>
      <c r="J733" s="55">
        <f>IFERROR(__xludf.DUMMYFUNCTION("""COMPUTED_VALUE"""),21.0)</f>
        <v>21</v>
      </c>
      <c r="K733" s="54">
        <f>IFERROR(__xludf.DUMMYFUNCTION("""COMPUTED_VALUE"""),15.0)</f>
        <v>15</v>
      </c>
      <c r="L733" s="56">
        <f>IFERROR(__xludf.DUMMYFUNCTION("""COMPUTED_VALUE"""),0.5833333333333334)</f>
        <v>0.5833333333</v>
      </c>
      <c r="M733" s="56">
        <f>IFERROR(__xludf.DUMMYFUNCTION("""COMPUTED_VALUE"""),0.3111111111111111)</f>
        <v>0.3111111111</v>
      </c>
      <c r="N733" s="31">
        <f>IFERROR(__xludf.DUMMYFUNCTION("""COMPUTED_VALUE"""),345.72222222222223)</f>
        <v>345.7222222</v>
      </c>
      <c r="O733" s="57">
        <f>IFERROR(__xludf.DUMMYFUNCTION("""COMPUTED_VALUE"""),0.7777777777777778)</f>
        <v>0.7777777778</v>
      </c>
      <c r="P733" s="57">
        <f>IFERROR(__xludf.DUMMYFUNCTION("""COMPUTED_VALUE"""),0.7777777777777778)</f>
        <v>0.7777777778</v>
      </c>
      <c r="Q733" s="57">
        <f>IFERROR(__xludf.DUMMYFUNCTION("""COMPUTED_VALUE"""),1.0555555555555556)</f>
        <v>1.055555556</v>
      </c>
      <c r="R733" s="57">
        <f>IFERROR(__xludf.DUMMYFUNCTION("""COMPUTED_VALUE"""),2.5)</f>
        <v>2.5</v>
      </c>
      <c r="S733" s="31">
        <f>IFERROR(__xludf.DUMMYFUNCTION("""COMPUTED_VALUE"""),364.12962962962956)</f>
        <v>364.1296296</v>
      </c>
      <c r="T733" s="57">
        <f>IFERROR(__xludf.DUMMYFUNCTION("""COMPUTED_VALUE"""),0.7777777777777778)</f>
        <v>0.7777777778</v>
      </c>
      <c r="U733" s="57">
        <f>IFERROR(__xludf.DUMMYFUNCTION("""COMPUTED_VALUE"""),0.5462962962962963)</f>
        <v>0.5462962963</v>
      </c>
      <c r="V733" s="57">
        <f>IFERROR(__xludf.DUMMYFUNCTION("""COMPUTED_VALUE"""),1.583333333333334)</f>
        <v>1.583333333</v>
      </c>
      <c r="W733" s="57">
        <f>IFERROR(__xludf.DUMMYFUNCTION("""COMPUTED_VALUE"""),2.685185185185185)</f>
        <v>2.685185185</v>
      </c>
      <c r="X733" s="31">
        <f>IFERROR(__xludf.DUMMYFUNCTION("""COMPUTED_VALUE"""),365.7344462056029)</f>
        <v>365.7344462</v>
      </c>
      <c r="Y733" s="57">
        <f>IFERROR(__xludf.DUMMYFUNCTION("""COMPUTED_VALUE"""),0.8068916459455148)</f>
        <v>0.8068916459</v>
      </c>
      <c r="Z733" s="57">
        <f>IFERROR(__xludf.DUMMYFUNCTION("""COMPUTED_VALUE"""),0.6414610991748352)</f>
        <v>0.6414610992</v>
      </c>
      <c r="AA733" s="57">
        <f>IFERROR(__xludf.DUMMYFUNCTION("""COMPUTED_VALUE"""),1.403747227883587)</f>
        <v>1.403747228</v>
      </c>
      <c r="AB733" s="57">
        <f>IFERROR(__xludf.DUMMYFUNCTION("""COMPUTED_VALUE"""),2.7897113122429382)</f>
        <v>2.789711312</v>
      </c>
      <c r="AC733" s="31">
        <f>IFERROR(__xludf.DUMMYFUNCTION("""COMPUTED_VALUE"""),355.69249711958327)</f>
        <v>355.6924971</v>
      </c>
      <c r="AD733" s="57">
        <f>IFERROR(__xludf.DUMMYFUNCTION("""COMPUTED_VALUE"""),0.7804457557614844)</f>
        <v>0.7804457558</v>
      </c>
      <c r="AE733" s="57">
        <f>IFERROR(__xludf.DUMMYFUNCTION("""COMPUTED_VALUE"""),0.5931316218907584)</f>
        <v>0.5931316219</v>
      </c>
      <c r="AF733" s="57">
        <f>IFERROR(__xludf.DUMMYFUNCTION("""COMPUTED_VALUE"""),1.36991803338885)</f>
        <v>1.369918033</v>
      </c>
      <c r="AG733" s="57">
        <f>IFERROR(__xludf.DUMMYFUNCTION("""COMPUTED_VALUE"""),2.627711221419405)</f>
        <v>2.627711221</v>
      </c>
      <c r="AH733" s="57">
        <f>IFERROR(__xludf.DUMMYFUNCTION("""COMPUTED_VALUE"""),0.9719693977857254)</f>
        <v>0.9719693978</v>
      </c>
      <c r="AI733" s="57">
        <f>IFERROR(__xludf.DUMMYFUNCTION("""COMPUTED_VALUE"""),0.996581469033548)</f>
        <v>0.996581469</v>
      </c>
      <c r="AJ733" s="57">
        <f>IFERROR(__xludf.DUMMYFUNCTION("""COMPUTED_VALUE"""),1.311307219295462)</f>
        <v>1.311307219</v>
      </c>
      <c r="AK733" s="57">
        <f>IFERROR(__xludf.DUMMYFUNCTION("""COMPUTED_VALUE"""),0.7705246079171344)</f>
        <v>0.7705246079</v>
      </c>
      <c r="AL733" s="57">
        <f>IFERROR(__xludf.DUMMYFUNCTION("""COMPUTED_VALUE"""),0.9513983042054295)</f>
        <v>0.9513983042</v>
      </c>
      <c r="AM733" s="57">
        <f>IFERROR(__xludf.DUMMYFUNCTION("""COMPUTED_VALUE"""),0.9956120715655228)</f>
        <v>0.9956120716</v>
      </c>
      <c r="AN733" s="57">
        <f>IFERROR(__xludf.DUMMYFUNCTION("""COMPUTED_VALUE"""),0.9639184910216522)</f>
        <v>0.963918491</v>
      </c>
      <c r="AO733" s="57">
        <f>IFERROR(__xludf.DUMMYFUNCTION("""COMPUTED_VALUE"""),0.8516436881348576)</f>
        <v>0.8516436881</v>
      </c>
      <c r="AP733" s="35">
        <f>IFERROR(__xludf.DUMMYFUNCTION("""COMPUTED_VALUE"""),1.127933364271363)</f>
        <v>1.127933364</v>
      </c>
      <c r="AQ733" s="57">
        <f>IFERROR(__xludf.DUMMYFUNCTION("""COMPUTED_VALUE"""),0.9625315613844955)</f>
        <v>0.9625315614</v>
      </c>
      <c r="AR733" s="36" t="b">
        <f>IFERROR(__xludf.DUMMYFUNCTION("""COMPUTED_VALUE"""),TRUE)</f>
        <v>1</v>
      </c>
      <c r="AS733" s="57"/>
      <c r="AT733" s="37"/>
      <c r="AU733" s="30"/>
      <c r="AV733" s="30"/>
      <c r="AW733" s="30"/>
      <c r="AX733" s="30"/>
      <c r="AY733" s="30"/>
      <c r="AZ733" s="30"/>
    </row>
    <row r="734">
      <c r="A734" s="30" t="str">
        <f>IFERROR(__xludf.DUMMYFUNCTION("""COMPUTED_VALUE"""),"Veteran")</f>
        <v>Veteran</v>
      </c>
      <c r="B734" s="30" t="str">
        <f>IFERROR(__xludf.DUMMYFUNCTION("""COMPUTED_VALUE"""),"RSC001118")</f>
        <v>RSC001118</v>
      </c>
      <c r="C734" s="30" t="str">
        <f>IFERROR(__xludf.DUMMYFUNCTION("""COMPUTED_VALUE"""),"azurified")</f>
        <v>azurified</v>
      </c>
      <c r="D734" s="31" t="str">
        <f>IFERROR(__xludf.DUMMYFUNCTION("""COMPUTED_VALUE"""),"Banshees")</f>
        <v>Banshees</v>
      </c>
      <c r="E734" s="31">
        <f>IFERROR(__xludf.DUMMYFUNCTION("""COMPUTED_VALUE"""),64.46981451162608)</f>
        <v>64.46981451</v>
      </c>
      <c r="F734" s="31">
        <f>IFERROR(__xludf.DUMMYFUNCTION("""COMPUTED_VALUE"""),3.5541077663880767)</f>
        <v>3.554107766</v>
      </c>
      <c r="G734" s="31">
        <f>IFERROR(__xludf.DUMMYFUNCTION("""COMPUTED_VALUE"""),63.11451760213447)</f>
        <v>63.1145176</v>
      </c>
      <c r="H734" s="31">
        <f>IFERROR(__xludf.DUMMYFUNCTION("""COMPUTED_VALUE"""),3.334029570401936)</f>
        <v>3.33402957</v>
      </c>
      <c r="I734" s="54">
        <f>IFERROR(__xludf.DUMMYFUNCTION("""COMPUTED_VALUE"""),36.0)</f>
        <v>36</v>
      </c>
      <c r="J734" s="55">
        <f>IFERROR(__xludf.DUMMYFUNCTION("""COMPUTED_VALUE"""),17.0)</f>
        <v>17</v>
      </c>
      <c r="K734" s="54">
        <f>IFERROR(__xludf.DUMMYFUNCTION("""COMPUTED_VALUE"""),19.0)</f>
        <v>19</v>
      </c>
      <c r="L734" s="56">
        <f>IFERROR(__xludf.DUMMYFUNCTION("""COMPUTED_VALUE"""),0.4722222222222222)</f>
        <v>0.4722222222</v>
      </c>
      <c r="M734" s="56">
        <f>IFERROR(__xludf.DUMMYFUNCTION("""COMPUTED_VALUE"""),0.34259259259259256)</f>
        <v>0.3425925926</v>
      </c>
      <c r="N734" s="31">
        <f>IFERROR(__xludf.DUMMYFUNCTION("""COMPUTED_VALUE"""),371.19444444444446)</f>
        <v>371.1944444</v>
      </c>
      <c r="O734" s="57">
        <f>IFERROR(__xludf.DUMMYFUNCTION("""COMPUTED_VALUE"""),1.0277777777777777)</f>
        <v>1.027777778</v>
      </c>
      <c r="P734" s="57">
        <f>IFERROR(__xludf.DUMMYFUNCTION("""COMPUTED_VALUE"""),0.4722222222222222)</f>
        <v>0.4722222222</v>
      </c>
      <c r="Q734" s="57">
        <f>IFERROR(__xludf.DUMMYFUNCTION("""COMPUTED_VALUE"""),1.2777777777777777)</f>
        <v>1.277777778</v>
      </c>
      <c r="R734" s="57">
        <f>IFERROR(__xludf.DUMMYFUNCTION("""COMPUTED_VALUE"""),3.0)</f>
        <v>3</v>
      </c>
      <c r="S734" s="31">
        <f>IFERROR(__xludf.DUMMYFUNCTION("""COMPUTED_VALUE"""),339.3888888888889)</f>
        <v>339.3888889</v>
      </c>
      <c r="T734" s="57">
        <f>IFERROR(__xludf.DUMMYFUNCTION("""COMPUTED_VALUE"""),0.7685185185185186)</f>
        <v>0.7685185185</v>
      </c>
      <c r="U734" s="57">
        <f>IFERROR(__xludf.DUMMYFUNCTION("""COMPUTED_VALUE"""),0.601851851851852)</f>
        <v>0.6018518519</v>
      </c>
      <c r="V734" s="57">
        <f>IFERROR(__xludf.DUMMYFUNCTION("""COMPUTED_VALUE"""),1.2499999999999998)</f>
        <v>1.25</v>
      </c>
      <c r="W734" s="57">
        <f>IFERROR(__xludf.DUMMYFUNCTION("""COMPUTED_VALUE"""),2.5)</f>
        <v>2.5</v>
      </c>
      <c r="X734" s="31">
        <f>IFERROR(__xludf.DUMMYFUNCTION("""COMPUTED_VALUE"""),353.60044560910666)</f>
        <v>353.6004456</v>
      </c>
      <c r="Y734" s="57">
        <f>IFERROR(__xludf.DUMMYFUNCTION("""COMPUTED_VALUE"""),0.7955765714599603)</f>
        <v>0.7955765715</v>
      </c>
      <c r="Z734" s="57">
        <f>IFERROR(__xludf.DUMMYFUNCTION("""COMPUTED_VALUE"""),0.5842559527896632)</f>
        <v>0.5842559528</v>
      </c>
      <c r="AA734" s="57">
        <f>IFERROR(__xludf.DUMMYFUNCTION("""COMPUTED_VALUE"""),1.3570588907983854)</f>
        <v>1.357058891</v>
      </c>
      <c r="AB734" s="57">
        <f>IFERROR(__xludf.DUMMYFUNCTION("""COMPUTED_VALUE"""),2.626988868028295)</f>
        <v>2.626988868</v>
      </c>
      <c r="AC734" s="31">
        <f>IFERROR(__xludf.DUMMYFUNCTION("""COMPUTED_VALUE"""),358.2818385870097)</f>
        <v>358.2818386</v>
      </c>
      <c r="AD734" s="57">
        <f>IFERROR(__xludf.DUMMYFUNCTION("""COMPUTED_VALUE"""),0.8217646907520434)</f>
        <v>0.8217646908</v>
      </c>
      <c r="AE734" s="57">
        <f>IFERROR(__xludf.DUMMYFUNCTION("""COMPUTED_VALUE"""),0.5989883595376838)</f>
        <v>0.5989883595</v>
      </c>
      <c r="AF734" s="57">
        <f>IFERROR(__xludf.DUMMYFUNCTION("""COMPUTED_VALUE"""),1.3533482305660236)</f>
        <v>1.353348231</v>
      </c>
      <c r="AG734" s="57">
        <f>IFERROR(__xludf.DUMMYFUNCTION("""COMPUTED_VALUE"""),2.6781667981625237)</f>
        <v>2.678166798</v>
      </c>
      <c r="AH734" s="57">
        <f>IFERROR(__xludf.DUMMYFUNCTION("""COMPUTED_VALUE"""),1.036040358362454)</f>
        <v>1.036040358</v>
      </c>
      <c r="AI734" s="57">
        <f>IFERROR(__xludf.DUMMYFUNCTION("""COMPUTED_VALUE"""),1.250695958763086)</f>
        <v>1.250695959</v>
      </c>
      <c r="AJ734" s="57">
        <f>IFERROR(__xludf.DUMMYFUNCTION("""COMPUTED_VALUE"""),0.7883662757431492)</f>
        <v>0.7883662757</v>
      </c>
      <c r="AK734" s="57">
        <f>IFERROR(__xludf.DUMMYFUNCTION("""COMPUTED_VALUE"""),0.9441603786213698)</f>
        <v>0.9441603786</v>
      </c>
      <c r="AL734" s="57">
        <f>IFERROR(__xludf.DUMMYFUNCTION("""COMPUTED_VALUE"""),1.1201692150236067)</f>
        <v>1.120169215</v>
      </c>
      <c r="AM734" s="57">
        <f>IFERROR(__xludf.DUMMYFUNCTION("""COMPUTED_VALUE"""),0.9598089965759599)</f>
        <v>0.9598089966</v>
      </c>
      <c r="AN734" s="57">
        <f>IFERROR(__xludf.DUMMYFUNCTION("""COMPUTED_VALUE"""),0.9659893793858364)</f>
        <v>0.9659893794</v>
      </c>
      <c r="AO734" s="57">
        <f>IFERROR(__xludf.DUMMYFUNCTION("""COMPUTED_VALUE"""),1.030116764712748)</f>
        <v>1.030116765</v>
      </c>
      <c r="AP734" s="35">
        <f>IFERROR(__xludf.DUMMYFUNCTION("""COMPUTED_VALUE"""),0.9211096205740926)</f>
        <v>0.9211096206</v>
      </c>
      <c r="AQ734" s="57">
        <f>IFERROR(__xludf.DUMMYFUNCTION("""COMPUTED_VALUE"""),0.951659913913679)</f>
        <v>0.9516599139</v>
      </c>
      <c r="AR734" s="36" t="b">
        <f>IFERROR(__xludf.DUMMYFUNCTION("""COMPUTED_VALUE"""),TRUE)</f>
        <v>1</v>
      </c>
      <c r="AS734" s="57"/>
      <c r="AT734" s="37"/>
      <c r="AU734" s="30"/>
      <c r="AV734" s="30"/>
      <c r="AW734" s="30"/>
      <c r="AX734" s="30"/>
      <c r="AY734" s="30"/>
      <c r="AZ734" s="30"/>
    </row>
    <row r="735">
      <c r="A735" s="30" t="str">
        <f>IFERROR(__xludf.DUMMYFUNCTION("""COMPUTED_VALUE"""),"Veteran")</f>
        <v>Veteran</v>
      </c>
      <c r="B735" s="30" t="str">
        <f>IFERROR(__xludf.DUMMYFUNCTION("""COMPUTED_VALUE"""),"RSC003238")</f>
        <v>RSC003238</v>
      </c>
      <c r="C735" s="30" t="str">
        <f>IFERROR(__xludf.DUMMYFUNCTION("""COMPUTED_VALUE"""),"BanThisOne2")</f>
        <v>BanThisOne2</v>
      </c>
      <c r="D735" s="31" t="str">
        <f>IFERROR(__xludf.DUMMYFUNCTION("""COMPUTED_VALUE"""),"Rulers")</f>
        <v>Rulers</v>
      </c>
      <c r="E735" s="31">
        <f>IFERROR(__xludf.DUMMYFUNCTION("""COMPUTED_VALUE"""),63.92600428331815)</f>
        <v>63.92600428</v>
      </c>
      <c r="F735" s="31">
        <f>IFERROR(__xludf.DUMMYFUNCTION("""COMPUTED_VALUE"""),3.463203565021005)</f>
        <v>3.463203565</v>
      </c>
      <c r="G735" s="31">
        <f>IFERROR(__xludf.DUMMYFUNCTION("""COMPUTED_VALUE"""),63.635858671215416)</f>
        <v>63.63585867</v>
      </c>
      <c r="H735" s="31">
        <f>IFERROR(__xludf.DUMMYFUNCTION("""COMPUTED_VALUE"""),3.416147447926637)</f>
        <v>3.416147448</v>
      </c>
      <c r="I735" s="54">
        <f>IFERROR(__xludf.DUMMYFUNCTION("""COMPUTED_VALUE"""),36.0)</f>
        <v>36</v>
      </c>
      <c r="J735" s="55">
        <f>IFERROR(__xludf.DUMMYFUNCTION("""COMPUTED_VALUE"""),20.0)</f>
        <v>20</v>
      </c>
      <c r="K735" s="54">
        <f>IFERROR(__xludf.DUMMYFUNCTION("""COMPUTED_VALUE"""),16.0)</f>
        <v>16</v>
      </c>
      <c r="L735" s="56">
        <f>IFERROR(__xludf.DUMMYFUNCTION("""COMPUTED_VALUE"""),0.5555555555555556)</f>
        <v>0.5555555556</v>
      </c>
      <c r="M735" s="56">
        <f>IFERROR(__xludf.DUMMYFUNCTION("""COMPUTED_VALUE"""),0.3214285714285714)</f>
        <v>0.3214285714</v>
      </c>
      <c r="N735" s="31">
        <f>IFERROR(__xludf.DUMMYFUNCTION("""COMPUTED_VALUE"""),408.8888888888889)</f>
        <v>408.8888889</v>
      </c>
      <c r="O735" s="57">
        <f>IFERROR(__xludf.DUMMYFUNCTION("""COMPUTED_VALUE"""),0.75)</f>
        <v>0.75</v>
      </c>
      <c r="P735" s="57">
        <f>IFERROR(__xludf.DUMMYFUNCTION("""COMPUTED_VALUE"""),0.6111111111111112)</f>
        <v>0.6111111111</v>
      </c>
      <c r="Q735" s="57">
        <f>IFERROR(__xludf.DUMMYFUNCTION("""COMPUTED_VALUE"""),2.0277777777777777)</f>
        <v>2.027777778</v>
      </c>
      <c r="R735" s="57">
        <f>IFERROR(__xludf.DUMMYFUNCTION("""COMPUTED_VALUE"""),2.3333333333333335)</f>
        <v>2.333333333</v>
      </c>
      <c r="S735" s="31">
        <f>IFERROR(__xludf.DUMMYFUNCTION("""COMPUTED_VALUE"""),325.4444444444445)</f>
        <v>325.4444444</v>
      </c>
      <c r="T735" s="57">
        <f>IFERROR(__xludf.DUMMYFUNCTION("""COMPUTED_VALUE"""),0.6296296296296297)</f>
        <v>0.6296296296</v>
      </c>
      <c r="U735" s="57">
        <f>IFERROR(__xludf.DUMMYFUNCTION("""COMPUTED_VALUE"""),0.4537037037037038)</f>
        <v>0.4537037037</v>
      </c>
      <c r="V735" s="57">
        <f>IFERROR(__xludf.DUMMYFUNCTION("""COMPUTED_VALUE"""),1.2685185185185182)</f>
        <v>1.268518519</v>
      </c>
      <c r="W735" s="57">
        <f>IFERROR(__xludf.DUMMYFUNCTION("""COMPUTED_VALUE"""),2.8611111111111116)</f>
        <v>2.861111111</v>
      </c>
      <c r="X735" s="31">
        <f>IFERROR(__xludf.DUMMYFUNCTION("""COMPUTED_VALUE"""),356.1970522734145)</f>
        <v>356.1970523</v>
      </c>
      <c r="Y735" s="57">
        <f>IFERROR(__xludf.DUMMYFUNCTION("""COMPUTED_VALUE"""),0.850243376540081)</f>
        <v>0.8502433765</v>
      </c>
      <c r="Z735" s="57">
        <f>IFERROR(__xludf.DUMMYFUNCTION("""COMPUTED_VALUE"""),0.5620597721225389)</f>
        <v>0.5620597721</v>
      </c>
      <c r="AA735" s="57">
        <f>IFERROR(__xludf.DUMMYFUNCTION("""COMPUTED_VALUE"""),1.3096916774683565)</f>
        <v>1.309691677</v>
      </c>
      <c r="AB735" s="57">
        <f>IFERROR(__xludf.DUMMYFUNCTION("""COMPUTED_VALUE"""),2.67882164464711)</f>
        <v>2.678821645</v>
      </c>
      <c r="AC735" s="31">
        <f>IFERROR(__xludf.DUMMYFUNCTION("""COMPUTED_VALUE"""),349.8107778672913)</f>
        <v>349.8107779</v>
      </c>
      <c r="AD735" s="57">
        <f>IFERROR(__xludf.DUMMYFUNCTION("""COMPUTED_VALUE"""),0.766306314416542)</f>
        <v>0.7663063144</v>
      </c>
      <c r="AE735" s="57">
        <f>IFERROR(__xludf.DUMMYFUNCTION("""COMPUTED_VALUE"""),0.5564774470117726)</f>
        <v>0.556477447</v>
      </c>
      <c r="AF735" s="57">
        <f>IFERROR(__xludf.DUMMYFUNCTION("""COMPUTED_VALUE"""),1.3801796467818401)</f>
        <v>1.380179647</v>
      </c>
      <c r="AG735" s="57">
        <f>IFERROR(__xludf.DUMMYFUNCTION("""COMPUTED_VALUE"""),2.5210898533961315)</f>
        <v>2.521089853</v>
      </c>
      <c r="AH735" s="57">
        <f>IFERROR(__xludf.DUMMYFUNCTION("""COMPUTED_VALUE"""),1.168885908495393)</f>
        <v>1.168885908</v>
      </c>
      <c r="AI735" s="57">
        <f>IFERROR(__xludf.DUMMYFUNCTION("""COMPUTED_VALUE"""),0.9787208925337416)</f>
        <v>0.9787208925</v>
      </c>
      <c r="AJ735" s="57">
        <f>IFERROR(__xludf.DUMMYFUNCTION("""COMPUTED_VALUE"""),1.0981776788847704)</f>
        <v>1.098177679</v>
      </c>
      <c r="AK735" s="57">
        <f>IFERROR(__xludf.DUMMYFUNCTION("""COMPUTED_VALUE"""),1.4692129263795042)</f>
        <v>1.469212926</v>
      </c>
      <c r="AL735" s="57">
        <f>IFERROR(__xludf.DUMMYFUNCTION("""COMPUTED_VALUE"""),0.9255256531972181)</f>
        <v>0.9255256532</v>
      </c>
      <c r="AM735" s="57">
        <f>IFERROR(__xludf.DUMMYFUNCTION("""COMPUTED_VALUE"""),0.9136640586083108)</f>
        <v>0.9136640586</v>
      </c>
      <c r="AN735" s="57">
        <f>IFERROR(__xludf.DUMMYFUNCTION("""COMPUTED_VALUE"""),0.7405287086055278)</f>
        <v>0.7405287086</v>
      </c>
      <c r="AO735" s="57">
        <f>IFERROR(__xludf.DUMMYFUNCTION("""COMPUTED_VALUE"""),0.807216111536245)</f>
        <v>0.8072161115</v>
      </c>
      <c r="AP735" s="35">
        <f>IFERROR(__xludf.DUMMYFUNCTION("""COMPUTED_VALUE"""),0.9685627085686104)</f>
        <v>0.9685627086</v>
      </c>
      <c r="AQ735" s="57">
        <f>IFERROR(__xludf.DUMMYFUNCTION("""COMPUTED_VALUE"""),1.068048377475319)</f>
        <v>1.068048377</v>
      </c>
      <c r="AR735" s="36" t="b">
        <f>IFERROR(__xludf.DUMMYFUNCTION("""COMPUTED_VALUE"""),TRUE)</f>
        <v>1</v>
      </c>
      <c r="AS735" s="57"/>
      <c r="AT735" s="37"/>
      <c r="AU735" s="30"/>
      <c r="AV735" s="30"/>
      <c r="AW735" s="30"/>
      <c r="AX735" s="30"/>
      <c r="AY735" s="30"/>
      <c r="AZ735" s="30"/>
    </row>
    <row r="736">
      <c r="A736" s="30" t="str">
        <f>IFERROR(__xludf.DUMMYFUNCTION("""COMPUTED_VALUE"""),"Veteran")</f>
        <v>Veteran</v>
      </c>
      <c r="B736" s="30" t="str">
        <f>IFERROR(__xludf.DUMMYFUNCTION("""COMPUTED_VALUE"""),"RSC000926")</f>
        <v>RSC000926</v>
      </c>
      <c r="C736" s="30" t="str">
        <f>IFERROR(__xludf.DUMMYFUNCTION("""COMPUTED_VALUE"""),"SlmRnchr")</f>
        <v>SlmRnchr</v>
      </c>
      <c r="D736" s="31" t="str">
        <f>IFERROR(__xludf.DUMMYFUNCTION("""COMPUTED_VALUE"""),"Silver Dollar")</f>
        <v>Silver Dollar</v>
      </c>
      <c r="E736" s="31">
        <f>IFERROR(__xludf.DUMMYFUNCTION("""COMPUTED_VALUE"""),63.89902257732774)</f>
        <v>63.89902258</v>
      </c>
      <c r="F736" s="31">
        <f>IFERROR(__xludf.DUMMYFUNCTION("""COMPUTED_VALUE"""),3.4587859059020354)</f>
        <v>3.458785906</v>
      </c>
      <c r="G736" s="31">
        <f>IFERROR(__xludf.DUMMYFUNCTION("""COMPUTED_VALUE"""),55.727316656168824)</f>
        <v>55.72731666</v>
      </c>
      <c r="H736" s="31">
        <f>IFERROR(__xludf.DUMMYFUNCTION("""COMPUTED_VALUE"""),2.442608192756604)</f>
        <v>2.442608193</v>
      </c>
      <c r="I736" s="54">
        <f>IFERROR(__xludf.DUMMYFUNCTION("""COMPUTED_VALUE"""),28.0)</f>
        <v>28</v>
      </c>
      <c r="J736" s="55">
        <f>IFERROR(__xludf.DUMMYFUNCTION("""COMPUTED_VALUE"""),20.0)</f>
        <v>20</v>
      </c>
      <c r="K736" s="54">
        <f>IFERROR(__xludf.DUMMYFUNCTION("""COMPUTED_VALUE"""),8.0)</f>
        <v>8</v>
      </c>
      <c r="L736" s="56">
        <f>IFERROR(__xludf.DUMMYFUNCTION("""COMPUTED_VALUE"""),0.7142857142857143)</f>
        <v>0.7142857143</v>
      </c>
      <c r="M736" s="56">
        <f>IFERROR(__xludf.DUMMYFUNCTION("""COMPUTED_VALUE"""),0.36619718309859156)</f>
        <v>0.3661971831</v>
      </c>
      <c r="N736" s="31">
        <f>IFERROR(__xludf.DUMMYFUNCTION("""COMPUTED_VALUE"""),336.35714285714283)</f>
        <v>336.3571429</v>
      </c>
      <c r="O736" s="57">
        <f>IFERROR(__xludf.DUMMYFUNCTION("""COMPUTED_VALUE"""),0.9285714285714286)</f>
        <v>0.9285714286</v>
      </c>
      <c r="P736" s="57">
        <f>IFERROR(__xludf.DUMMYFUNCTION("""COMPUTED_VALUE"""),0.6071428571428571)</f>
        <v>0.6071428571</v>
      </c>
      <c r="Q736" s="57">
        <f>IFERROR(__xludf.DUMMYFUNCTION("""COMPUTED_VALUE"""),1.1071428571428572)</f>
        <v>1.107142857</v>
      </c>
      <c r="R736" s="57">
        <f>IFERROR(__xludf.DUMMYFUNCTION("""COMPUTED_VALUE"""),2.5357142857142856)</f>
        <v>2.535714286</v>
      </c>
      <c r="S736" s="31">
        <f>IFERROR(__xludf.DUMMYFUNCTION("""COMPUTED_VALUE"""),325.03571428571433)</f>
        <v>325.0357143</v>
      </c>
      <c r="T736" s="57">
        <f>IFERROR(__xludf.DUMMYFUNCTION("""COMPUTED_VALUE"""),0.6666666666666666)</f>
        <v>0.6666666667</v>
      </c>
      <c r="U736" s="57">
        <f>IFERROR(__xludf.DUMMYFUNCTION("""COMPUTED_VALUE"""),0.4285714285714285)</f>
        <v>0.4285714286</v>
      </c>
      <c r="V736" s="57">
        <f>IFERROR(__xludf.DUMMYFUNCTION("""COMPUTED_VALUE"""),1.2857142857142858)</f>
        <v>1.285714286</v>
      </c>
      <c r="W736" s="57">
        <f>IFERROR(__xludf.DUMMYFUNCTION("""COMPUTED_VALUE"""),2.3690476190476195)</f>
        <v>2.369047619</v>
      </c>
      <c r="X736" s="31">
        <f>IFERROR(__xludf.DUMMYFUNCTION("""COMPUTED_VALUE"""),332.6112786686028)</f>
        <v>332.6112787</v>
      </c>
      <c r="Y736" s="57">
        <f>IFERROR(__xludf.DUMMYFUNCTION("""COMPUTED_VALUE"""),0.7015804221964388)</f>
        <v>0.7015804222</v>
      </c>
      <c r="Z736" s="57">
        <f>IFERROR(__xludf.DUMMYFUNCTION("""COMPUTED_VALUE"""),0.4871901946232896)</f>
        <v>0.4871901946</v>
      </c>
      <c r="AA736" s="57">
        <f>IFERROR(__xludf.DUMMYFUNCTION("""COMPUTED_VALUE"""),1.3244080387716537)</f>
        <v>1.324408039</v>
      </c>
      <c r="AB736" s="57">
        <f>IFERROR(__xludf.DUMMYFUNCTION("""COMPUTED_VALUE"""),2.4348768083582786)</f>
        <v>2.434876808</v>
      </c>
      <c r="AC736" s="31">
        <f>IFERROR(__xludf.DUMMYFUNCTION("""COMPUTED_VALUE"""),347.5301200863131)</f>
        <v>347.5301201</v>
      </c>
      <c r="AD736" s="57">
        <f>IFERROR(__xludf.DUMMYFUNCTION("""COMPUTED_VALUE"""),0.7712865812810977)</f>
        <v>0.7712865813</v>
      </c>
      <c r="AE736" s="57">
        <f>IFERROR(__xludf.DUMMYFUNCTION("""COMPUTED_VALUE"""),0.5666534678825516)</f>
        <v>0.5666534679</v>
      </c>
      <c r="AF736" s="57">
        <f>IFERROR(__xludf.DUMMYFUNCTION("""COMPUTED_VALUE"""),1.3087388948095)</f>
        <v>1.308738895</v>
      </c>
      <c r="AG736" s="57">
        <f>IFERROR(__xludf.DUMMYFUNCTION("""COMPUTED_VALUE"""),2.606040182580219)</f>
        <v>2.606040183</v>
      </c>
      <c r="AH736" s="57">
        <f>IFERROR(__xludf.DUMMYFUNCTION("""COMPUTED_VALUE"""),0.9678503341627042)</f>
        <v>0.9678503342</v>
      </c>
      <c r="AI736" s="57">
        <f>IFERROR(__xludf.DUMMYFUNCTION("""COMPUTED_VALUE"""),1.2039252997622267)</f>
        <v>1.2039253</v>
      </c>
      <c r="AJ736" s="57">
        <f>IFERROR(__xludf.DUMMYFUNCTION("""COMPUTED_VALUE"""),1.0714535276941033)</f>
        <v>1.071453528</v>
      </c>
      <c r="AK736" s="57">
        <f>IFERROR(__xludf.DUMMYFUNCTION("""COMPUTED_VALUE"""),0.845961605889319)</f>
        <v>0.8459616059</v>
      </c>
      <c r="AL736" s="57">
        <f>IFERROR(__xludf.DUMMYFUNCTION("""COMPUTED_VALUE"""),0.9730142699502413)</f>
        <v>0.97301427</v>
      </c>
      <c r="AM736" s="57">
        <f>IFERROR(__xludf.DUMMYFUNCTION("""COMPUTED_VALUE"""),0.9772239702357287)</f>
        <v>0.9772239702</v>
      </c>
      <c r="AN736" s="57">
        <f>IFERROR(__xludf.DUMMYFUNCTION("""COMPUTED_VALUE"""),0.9502355618469689)</f>
        <v>0.9502355618</v>
      </c>
      <c r="AO736" s="57">
        <f>IFERROR(__xludf.DUMMYFUNCTION("""COMPUTED_VALUE"""),0.8796799141304825)</f>
        <v>0.8796799141</v>
      </c>
      <c r="AP736" s="35">
        <f>IFERROR(__xludf.DUMMYFUNCTION("""COMPUTED_VALUE"""),0.9707841149218219)</f>
        <v>0.9707841149</v>
      </c>
      <c r="AQ736" s="57">
        <f>IFERROR(__xludf.DUMMYFUNCTION("""COMPUTED_VALUE"""),0.9729640575306787)</f>
        <v>0.9729640575</v>
      </c>
      <c r="AR736" s="36" t="b">
        <f>IFERROR(__xludf.DUMMYFUNCTION("""COMPUTED_VALUE"""),TRUE)</f>
        <v>1</v>
      </c>
      <c r="AS736" s="57"/>
      <c r="AT736" s="37"/>
      <c r="AU736" s="30"/>
      <c r="AV736" s="30"/>
      <c r="AW736" s="30"/>
      <c r="AX736" s="30"/>
      <c r="AY736" s="30"/>
      <c r="AZ736" s="30"/>
    </row>
    <row r="737">
      <c r="A737" s="30" t="str">
        <f>IFERROR(__xludf.DUMMYFUNCTION("""COMPUTED_VALUE"""),"Veteran")</f>
        <v>Veteran</v>
      </c>
      <c r="B737" s="30" t="str">
        <f>IFERROR(__xludf.DUMMYFUNCTION("""COMPUTED_VALUE"""),"RSC007908")</f>
        <v>RSC007908</v>
      </c>
      <c r="C737" s="30" t="str">
        <f>IFERROR(__xludf.DUMMYFUNCTION("""COMPUTED_VALUE"""),"C01E01")</f>
        <v>C01E01</v>
      </c>
      <c r="D737" s="31" t="str">
        <f>IFERROR(__xludf.DUMMYFUNCTION("""COMPUTED_VALUE"""),"Rockin Revenants")</f>
        <v>Rockin Revenants</v>
      </c>
      <c r="E737" s="31">
        <f>IFERROR(__xludf.DUMMYFUNCTION("""COMPUTED_VALUE"""),63.68473858215308)</f>
        <v>63.68473858</v>
      </c>
      <c r="F737" s="31">
        <f>IFERROR(__xludf.DUMMYFUNCTION("""COMPUTED_VALUE"""),3.4240059314010023)</f>
        <v>3.424005931</v>
      </c>
      <c r="G737" s="31">
        <f>IFERROR(__xludf.DUMMYFUNCTION("""COMPUTED_VALUE"""),66.45475256749734)</f>
        <v>66.45475257</v>
      </c>
      <c r="H737" s="31">
        <f>IFERROR(__xludf.DUMMYFUNCTION("""COMPUTED_VALUE"""),3.9183725895619568)</f>
        <v>3.91837259</v>
      </c>
      <c r="I737" s="54">
        <f>IFERROR(__xludf.DUMMYFUNCTION("""COMPUTED_VALUE"""),28.0)</f>
        <v>28</v>
      </c>
      <c r="J737" s="55">
        <f>IFERROR(__xludf.DUMMYFUNCTION("""COMPUTED_VALUE"""),14.0)</f>
        <v>14</v>
      </c>
      <c r="K737" s="54">
        <f>IFERROR(__xludf.DUMMYFUNCTION("""COMPUTED_VALUE"""),14.0)</f>
        <v>14</v>
      </c>
      <c r="L737" s="56">
        <f>IFERROR(__xludf.DUMMYFUNCTION("""COMPUTED_VALUE"""),0.5)</f>
        <v>0.5</v>
      </c>
      <c r="M737" s="56">
        <f>IFERROR(__xludf.DUMMYFUNCTION("""COMPUTED_VALUE"""),0.37974683544303794)</f>
        <v>0.3797468354</v>
      </c>
      <c r="N737" s="31">
        <f>IFERROR(__xludf.DUMMYFUNCTION("""COMPUTED_VALUE"""),409.89285714285717)</f>
        <v>409.8928571</v>
      </c>
      <c r="O737" s="57">
        <f>IFERROR(__xludf.DUMMYFUNCTION("""COMPUTED_VALUE"""),1.0714285714285714)</f>
        <v>1.071428571</v>
      </c>
      <c r="P737" s="57">
        <f>IFERROR(__xludf.DUMMYFUNCTION("""COMPUTED_VALUE"""),0.32142857142857145)</f>
        <v>0.3214285714</v>
      </c>
      <c r="Q737" s="57">
        <f>IFERROR(__xludf.DUMMYFUNCTION("""COMPUTED_VALUE"""),1.5714285714285714)</f>
        <v>1.571428571</v>
      </c>
      <c r="R737" s="57">
        <f>IFERROR(__xludf.DUMMYFUNCTION("""COMPUTED_VALUE"""),2.8214285714285716)</f>
        <v>2.821428571</v>
      </c>
      <c r="S737" s="31">
        <f>IFERROR(__xludf.DUMMYFUNCTION("""COMPUTED_VALUE"""),350.75)</f>
        <v>350.75</v>
      </c>
      <c r="T737" s="57">
        <f>IFERROR(__xludf.DUMMYFUNCTION("""COMPUTED_VALUE"""),0.726190476190476)</f>
        <v>0.7261904762</v>
      </c>
      <c r="U737" s="57">
        <f>IFERROR(__xludf.DUMMYFUNCTION("""COMPUTED_VALUE"""),0.6309523809523808)</f>
        <v>0.630952381</v>
      </c>
      <c r="V737" s="57">
        <f>IFERROR(__xludf.DUMMYFUNCTION("""COMPUTED_VALUE"""),1.2738095238095237)</f>
        <v>1.273809524</v>
      </c>
      <c r="W737" s="57">
        <f>IFERROR(__xludf.DUMMYFUNCTION("""COMPUTED_VALUE"""),2.547619047619047)</f>
        <v>2.547619048</v>
      </c>
      <c r="X737" s="31">
        <f>IFERROR(__xludf.DUMMYFUNCTION("""COMPUTED_VALUE"""),369.8921400172972)</f>
        <v>369.89214</v>
      </c>
      <c r="Y737" s="57">
        <f>IFERROR(__xludf.DUMMYFUNCTION("""COMPUTED_VALUE"""),0.8463337951668123)</f>
        <v>0.8463337952</v>
      </c>
      <c r="Z737" s="57">
        <f>IFERROR(__xludf.DUMMYFUNCTION("""COMPUTED_VALUE"""),0.6378490715282528)</f>
        <v>0.6378490715</v>
      </c>
      <c r="AA737" s="57">
        <f>IFERROR(__xludf.DUMMYFUNCTION("""COMPUTED_VALUE"""),1.3863350537347554)</f>
        <v>1.386335054</v>
      </c>
      <c r="AB737" s="57">
        <f>IFERROR(__xludf.DUMMYFUNCTION("""COMPUTED_VALUE"""),2.7868905788121703)</f>
        <v>2.786890579</v>
      </c>
      <c r="AC737" s="31">
        <f>IFERROR(__xludf.DUMMYFUNCTION("""COMPUTED_VALUE"""),359.69901856740296)</f>
        <v>359.6990186</v>
      </c>
      <c r="AD737" s="57">
        <f>IFERROR(__xludf.DUMMYFUNCTION("""COMPUTED_VALUE"""),0.8010439593997697)</f>
        <v>0.8010439594</v>
      </c>
      <c r="AE737" s="57">
        <f>IFERROR(__xludf.DUMMYFUNCTION("""COMPUTED_VALUE"""),0.5826335366882713)</f>
        <v>0.5826335367</v>
      </c>
      <c r="AF737" s="57">
        <f>IFERROR(__xludf.DUMMYFUNCTION("""COMPUTED_VALUE"""),1.388460824592681)</f>
        <v>1.388460825</v>
      </c>
      <c r="AG737" s="57">
        <f>IFERROR(__xludf.DUMMYFUNCTION("""COMPUTED_VALUE"""),2.6721851996473616)</f>
        <v>2.6721852</v>
      </c>
      <c r="AH737" s="57">
        <f>IFERROR(__xludf.DUMMYFUNCTION("""COMPUTED_VALUE"""),1.139543996465057)</f>
        <v>1.139543996</v>
      </c>
      <c r="AI737" s="57">
        <f>IFERROR(__xludf.DUMMYFUNCTION("""COMPUTED_VALUE"""),1.337540292085098)</f>
        <v>1.337540292</v>
      </c>
      <c r="AJ737" s="57">
        <f>IFERROR(__xludf.DUMMYFUNCTION("""COMPUTED_VALUE"""),0.5516822345235967)</f>
        <v>0.5516822345</v>
      </c>
      <c r="AK737" s="57">
        <f>IFERROR(__xludf.DUMMYFUNCTION("""COMPUTED_VALUE"""),1.131777392343472)</f>
        <v>1.131777392</v>
      </c>
      <c r="AL737" s="57">
        <f>IFERROR(__xludf.DUMMYFUNCTION("""COMPUTED_VALUE"""),1.0558506842268662)</f>
        <v>1.055850684</v>
      </c>
      <c r="AM737" s="57">
        <f>IFERROR(__xludf.DUMMYFUNCTION("""COMPUTED_VALUE"""),0.9482494004430533)</f>
        <v>0.9482494004</v>
      </c>
      <c r="AN737" s="57">
        <f>IFERROR(__xludf.DUMMYFUNCTION("""COMPUTED_VALUE"""),0.8580426308597827)</f>
        <v>0.8580426309</v>
      </c>
      <c r="AO737" s="57">
        <f>IFERROR(__xludf.DUMMYFUNCTION("""COMPUTED_VALUE"""),0.9891875823235929)</f>
        <v>0.9891875823</v>
      </c>
      <c r="AP737" s="35">
        <f>IFERROR(__xludf.DUMMYFUNCTION("""COMPUTED_VALUE"""),0.91883237055711)</f>
        <v>0.9188323706</v>
      </c>
      <c r="AQ737" s="57">
        <f>IFERROR(__xludf.DUMMYFUNCTION("""COMPUTED_VALUE"""),0.9141439089814909)</f>
        <v>0.914143909</v>
      </c>
      <c r="AR737" s="36" t="b">
        <f>IFERROR(__xludf.DUMMYFUNCTION("""COMPUTED_VALUE"""),TRUE)</f>
        <v>1</v>
      </c>
      <c r="AS737" s="57"/>
      <c r="AT737" s="37"/>
      <c r="AU737" s="30"/>
      <c r="AV737" s="30"/>
      <c r="AW737" s="30"/>
      <c r="AX737" s="30"/>
      <c r="AY737" s="30"/>
      <c r="AZ737" s="30"/>
    </row>
    <row r="738">
      <c r="A738" s="30" t="str">
        <f>IFERROR(__xludf.DUMMYFUNCTION("""COMPUTED_VALUE"""),"Veteran")</f>
        <v>Veteran</v>
      </c>
      <c r="B738" s="30" t="str">
        <f>IFERROR(__xludf.DUMMYFUNCTION("""COMPUTED_VALUE"""),"RSC007856")</f>
        <v>RSC007856</v>
      </c>
      <c r="C738" s="30" t="str">
        <f>IFERROR(__xludf.DUMMYFUNCTION("""COMPUTED_VALUE"""),"Captain Daddy")</f>
        <v>Captain Daddy</v>
      </c>
      <c r="D738" s="31" t="str">
        <f>IFERROR(__xludf.DUMMYFUNCTION("""COMPUTED_VALUE"""),"Repossessed")</f>
        <v>Repossessed</v>
      </c>
      <c r="E738" s="31">
        <f>IFERROR(__xludf.DUMMYFUNCTION("""COMPUTED_VALUE"""),63.223019615984)</f>
        <v>63.22301962</v>
      </c>
      <c r="F738" s="31">
        <f>IFERROR(__xludf.DUMMYFUNCTION("""COMPUTED_VALUE"""),3.350867288473409)</f>
        <v>3.350867288</v>
      </c>
      <c r="G738" s="31">
        <f>IFERROR(__xludf.DUMMYFUNCTION("""COMPUTED_VALUE"""),62.615289022813634)</f>
        <v>62.61528902</v>
      </c>
      <c r="H738" s="31">
        <f>IFERROR(__xludf.DUMMYFUNCTION("""COMPUTED_VALUE"""),3.2582221449922684)</f>
        <v>3.258222145</v>
      </c>
      <c r="I738" s="54">
        <f>IFERROR(__xludf.DUMMYFUNCTION("""COMPUTED_VALUE"""),28.0)</f>
        <v>28</v>
      </c>
      <c r="J738" s="55">
        <f>IFERROR(__xludf.DUMMYFUNCTION("""COMPUTED_VALUE"""),13.0)</f>
        <v>13</v>
      </c>
      <c r="K738" s="54">
        <f>IFERROR(__xludf.DUMMYFUNCTION("""COMPUTED_VALUE"""),15.0)</f>
        <v>15</v>
      </c>
      <c r="L738" s="56">
        <f>IFERROR(__xludf.DUMMYFUNCTION("""COMPUTED_VALUE"""),0.4642857142857143)</f>
        <v>0.4642857143</v>
      </c>
      <c r="M738" s="56">
        <f>IFERROR(__xludf.DUMMYFUNCTION("""COMPUTED_VALUE"""),0.34285714285714286)</f>
        <v>0.3428571429</v>
      </c>
      <c r="N738" s="31">
        <f>IFERROR(__xludf.DUMMYFUNCTION("""COMPUTED_VALUE"""),376.75)</f>
        <v>376.75</v>
      </c>
      <c r="O738" s="57">
        <f>IFERROR(__xludf.DUMMYFUNCTION("""COMPUTED_VALUE"""),0.8571428571428571)</f>
        <v>0.8571428571</v>
      </c>
      <c r="P738" s="57">
        <f>IFERROR(__xludf.DUMMYFUNCTION("""COMPUTED_VALUE"""),0.5714285714285714)</f>
        <v>0.5714285714</v>
      </c>
      <c r="Q738" s="57">
        <f>IFERROR(__xludf.DUMMYFUNCTION("""COMPUTED_VALUE"""),1.5714285714285714)</f>
        <v>1.571428571</v>
      </c>
      <c r="R738" s="57">
        <f>IFERROR(__xludf.DUMMYFUNCTION("""COMPUTED_VALUE"""),2.5)</f>
        <v>2.5</v>
      </c>
      <c r="S738" s="31">
        <f>IFERROR(__xludf.DUMMYFUNCTION("""COMPUTED_VALUE"""),336.23809523809524)</f>
        <v>336.2380952</v>
      </c>
      <c r="T738" s="57">
        <f>IFERROR(__xludf.DUMMYFUNCTION("""COMPUTED_VALUE"""),0.7023809523809524)</f>
        <v>0.7023809524</v>
      </c>
      <c r="U738" s="57">
        <f>IFERROR(__xludf.DUMMYFUNCTION("""COMPUTED_VALUE"""),0.511904761904762)</f>
        <v>0.5119047619</v>
      </c>
      <c r="V738" s="57">
        <f>IFERROR(__xludf.DUMMYFUNCTION("""COMPUTED_VALUE"""),1.3452380952380951)</f>
        <v>1.345238095</v>
      </c>
      <c r="W738" s="57">
        <f>IFERROR(__xludf.DUMMYFUNCTION("""COMPUTED_VALUE"""),2.464285714285714)</f>
        <v>2.464285714</v>
      </c>
      <c r="X738" s="31">
        <f>IFERROR(__xludf.DUMMYFUNCTION("""COMPUTED_VALUE"""),341.1937107238643)</f>
        <v>341.1937107</v>
      </c>
      <c r="Y738" s="57">
        <f>IFERROR(__xludf.DUMMYFUNCTION("""COMPUTED_VALUE"""),0.7213129817977497)</f>
        <v>0.7213129818</v>
      </c>
      <c r="Z738" s="57">
        <f>IFERROR(__xludf.DUMMYFUNCTION("""COMPUTED_VALUE"""),0.5611753337294717)</f>
        <v>0.5611753337</v>
      </c>
      <c r="AA738" s="57">
        <f>IFERROR(__xludf.DUMMYFUNCTION("""COMPUTED_VALUE"""),1.3133334025208725)</f>
        <v>1.313333403</v>
      </c>
      <c r="AB738" s="57">
        <f>IFERROR(__xludf.DUMMYFUNCTION("""COMPUTED_VALUE"""),2.5468861363747015)</f>
        <v>2.546886136</v>
      </c>
      <c r="AC738" s="31">
        <f>IFERROR(__xludf.DUMMYFUNCTION("""COMPUTED_VALUE"""),347.65071740381984)</f>
        <v>347.6507174</v>
      </c>
      <c r="AD738" s="57">
        <f>IFERROR(__xludf.DUMMYFUNCTION("""COMPUTED_VALUE"""),0.7437000586137801)</f>
        <v>0.7437000586</v>
      </c>
      <c r="AE738" s="57">
        <f>IFERROR(__xludf.DUMMYFUNCTION("""COMPUTED_VALUE"""),0.5438375469387413)</f>
        <v>0.5438375469</v>
      </c>
      <c r="AF738" s="57">
        <f>IFERROR(__xludf.DUMMYFUNCTION("""COMPUTED_VALUE"""),1.3790565189464463)</f>
        <v>1.379056519</v>
      </c>
      <c r="AG738" s="57">
        <f>IFERROR(__xludf.DUMMYFUNCTION("""COMPUTED_VALUE"""),2.5029196664876543)</f>
        <v>2.502919666</v>
      </c>
      <c r="AH738" s="57">
        <f>IFERROR(__xludf.DUMMYFUNCTION("""COMPUTED_VALUE"""),1.083702639285451)</f>
        <v>1.083702639</v>
      </c>
      <c r="AI738" s="57">
        <f>IFERROR(__xludf.DUMMYFUNCTION("""COMPUTED_VALUE"""),1.1525383751354394)</f>
        <v>1.152538375</v>
      </c>
      <c r="AJ738" s="57">
        <f>IFERROR(__xludf.DUMMYFUNCTION("""COMPUTED_VALUE"""),1.0507339455415312)</f>
        <v>1.050733946</v>
      </c>
      <c r="AK738" s="57">
        <f>IFERROR(__xludf.DUMMYFUNCTION("""COMPUTED_VALUE"""),1.139495408519653)</f>
        <v>1.139495409</v>
      </c>
      <c r="AL738" s="57">
        <f>IFERROR(__xludf.DUMMYFUNCTION("""COMPUTED_VALUE"""),0.9988334957263125)</f>
        <v>0.9988334957</v>
      </c>
      <c r="AM738" s="57">
        <f>IFERROR(__xludf.DUMMYFUNCTION("""COMPUTED_VALUE"""),0.9854756540639176)</f>
        <v>0.9854756541</v>
      </c>
      <c r="AN738" s="57">
        <f>IFERROR(__xludf.DUMMYFUNCTION("""COMPUTED_VALUE"""),0.9737533776674691)</f>
        <v>0.9737533777</v>
      </c>
      <c r="AO738" s="57">
        <f>IFERROR(__xludf.DUMMYFUNCTION("""COMPUTED_VALUE"""),0.9122011092375243)</f>
        <v>0.9122011092</v>
      </c>
      <c r="AP738" s="35">
        <f>IFERROR(__xludf.DUMMYFUNCTION("""COMPUTED_VALUE"""),1.0242929119566924)</f>
        <v>1.024292912</v>
      </c>
      <c r="AQ738" s="57">
        <f>IFERROR(__xludf.DUMMYFUNCTION("""COMPUTED_VALUE"""),0.9675680742419985)</f>
        <v>0.9675680742</v>
      </c>
      <c r="AR738" s="36" t="b">
        <f>IFERROR(__xludf.DUMMYFUNCTION("""COMPUTED_VALUE"""),TRUE)</f>
        <v>1</v>
      </c>
      <c r="AS738" s="57"/>
      <c r="AT738" s="37"/>
      <c r="AU738" s="30"/>
      <c r="AV738" s="30"/>
      <c r="AW738" s="30"/>
      <c r="AX738" s="30"/>
      <c r="AY738" s="30"/>
      <c r="AZ738" s="30"/>
    </row>
    <row r="739">
      <c r="A739" s="30" t="str">
        <f>IFERROR(__xludf.DUMMYFUNCTION("""COMPUTED_VALUE"""),"Veteran")</f>
        <v>Veteran</v>
      </c>
      <c r="B739" s="30" t="str">
        <f>IFERROR(__xludf.DUMMYFUNCTION("""COMPUTED_VALUE"""),"RSC005655")</f>
        <v>RSC005655</v>
      </c>
      <c r="C739" s="30" t="str">
        <f>IFERROR(__xludf.DUMMYFUNCTION("""COMPUTED_VALUE"""),"oneplayamaker")</f>
        <v>oneplayamaker</v>
      </c>
      <c r="D739" s="31" t="str">
        <f>IFERROR(__xludf.DUMMYFUNCTION("""COMPUTED_VALUE"""),"Paradox Paloma")</f>
        <v>Paradox Paloma</v>
      </c>
      <c r="E739" s="31">
        <f>IFERROR(__xludf.DUMMYFUNCTION("""COMPUTED_VALUE"""),63.2188460376921)</f>
        <v>63.21884604</v>
      </c>
      <c r="F739" s="31">
        <f>IFERROR(__xludf.DUMMYFUNCTION("""COMPUTED_VALUE"""),3.350217189498442)</f>
        <v>3.350217189</v>
      </c>
      <c r="G739" s="31">
        <f>IFERROR(__xludf.DUMMYFUNCTION("""COMPUTED_VALUE"""),48.923508412436206)</f>
        <v>48.92350841</v>
      </c>
      <c r="H739" s="31">
        <f>IFERROR(__xludf.DUMMYFUNCTION("""COMPUTED_VALUE"""),-2.071135267146116)</f>
        <v>-2.071135267</v>
      </c>
      <c r="I739" s="54">
        <f>IFERROR(__xludf.DUMMYFUNCTION("""COMPUTED_VALUE"""),20.0)</f>
        <v>20</v>
      </c>
      <c r="J739" s="55">
        <f>IFERROR(__xludf.DUMMYFUNCTION("""COMPUTED_VALUE"""),17.0)</f>
        <v>17</v>
      </c>
      <c r="K739" s="54">
        <f>IFERROR(__xludf.DUMMYFUNCTION("""COMPUTED_VALUE"""),3.0)</f>
        <v>3</v>
      </c>
      <c r="L739" s="56">
        <f>IFERROR(__xludf.DUMMYFUNCTION("""COMPUTED_VALUE"""),0.85)</f>
        <v>0.85</v>
      </c>
      <c r="M739" s="56">
        <f>IFERROR(__xludf.DUMMYFUNCTION("""COMPUTED_VALUE"""),0.3103448275862069)</f>
        <v>0.3103448276</v>
      </c>
      <c r="N739" s="31">
        <f>IFERROR(__xludf.DUMMYFUNCTION("""COMPUTED_VALUE"""),330.15)</f>
        <v>330.15</v>
      </c>
      <c r="O739" s="57">
        <f>IFERROR(__xludf.DUMMYFUNCTION("""COMPUTED_VALUE"""),0.9)</f>
        <v>0.9</v>
      </c>
      <c r="P739" s="57">
        <f>IFERROR(__xludf.DUMMYFUNCTION("""COMPUTED_VALUE"""),0.6)</f>
        <v>0.6</v>
      </c>
      <c r="Q739" s="57">
        <f>IFERROR(__xludf.DUMMYFUNCTION("""COMPUTED_VALUE"""),0.95)</f>
        <v>0.95</v>
      </c>
      <c r="R739" s="57">
        <f>IFERROR(__xludf.DUMMYFUNCTION("""COMPUTED_VALUE"""),2.9)</f>
        <v>2.9</v>
      </c>
      <c r="S739" s="31">
        <f>IFERROR(__xludf.DUMMYFUNCTION("""COMPUTED_VALUE"""),329.45)</f>
        <v>329.45</v>
      </c>
      <c r="T739" s="57">
        <f>IFERROR(__xludf.DUMMYFUNCTION("""COMPUTED_VALUE"""),0.5333333333333333)</f>
        <v>0.5333333333</v>
      </c>
      <c r="U739" s="57">
        <f>IFERROR(__xludf.DUMMYFUNCTION("""COMPUTED_VALUE"""),0.4666666666666667)</f>
        <v>0.4666666667</v>
      </c>
      <c r="V739" s="57">
        <f>IFERROR(__xludf.DUMMYFUNCTION("""COMPUTED_VALUE"""),1.6833333333333331)</f>
        <v>1.683333333</v>
      </c>
      <c r="W739" s="57">
        <f>IFERROR(__xludf.DUMMYFUNCTION("""COMPUTED_VALUE"""),2.0166666666666666)</f>
        <v>2.016666667</v>
      </c>
      <c r="X739" s="31">
        <f>IFERROR(__xludf.DUMMYFUNCTION("""COMPUTED_VALUE"""),347.6135003883931)</f>
        <v>347.6135004</v>
      </c>
      <c r="Y739" s="57">
        <f>IFERROR(__xludf.DUMMYFUNCTION("""COMPUTED_VALUE"""),0.7485563483610921)</f>
        <v>0.7485563484</v>
      </c>
      <c r="Z739" s="57">
        <f>IFERROR(__xludf.DUMMYFUNCTION("""COMPUTED_VALUE"""),0.5412052823193374)</f>
        <v>0.5412052823</v>
      </c>
      <c r="AA739" s="57">
        <f>IFERROR(__xludf.DUMMYFUNCTION("""COMPUTED_VALUE"""),1.382388585678251)</f>
        <v>1.382388586</v>
      </c>
      <c r="AB739" s="57">
        <f>IFERROR(__xludf.DUMMYFUNCTION("""COMPUTED_VALUE"""),2.453457596528546)</f>
        <v>2.453457597</v>
      </c>
      <c r="AC739" s="31">
        <f>IFERROR(__xludf.DUMMYFUNCTION("""COMPUTED_VALUE"""),358.8285410958432)</f>
        <v>358.8285411</v>
      </c>
      <c r="AD739" s="57">
        <f>IFERROR(__xludf.DUMMYFUNCTION("""COMPUTED_VALUE"""),0.8837468777776843)</f>
        <v>0.8837468778</v>
      </c>
      <c r="AE739" s="57">
        <f>IFERROR(__xludf.DUMMYFUNCTION("""COMPUTED_VALUE"""),0.6596954214513676)</f>
        <v>0.6596954215</v>
      </c>
      <c r="AF739" s="57">
        <f>IFERROR(__xludf.DUMMYFUNCTION("""COMPUTED_VALUE"""),1.2172802642162799)</f>
        <v>1.217280264</v>
      </c>
      <c r="AG739" s="57">
        <f>IFERROR(__xludf.DUMMYFUNCTION("""COMPUTED_VALUE"""),2.757167492532096)</f>
        <v>2.757167493</v>
      </c>
      <c r="AH739" s="57">
        <f>IFERROR(__xludf.DUMMYFUNCTION("""COMPUTED_VALUE"""),0.920077313225251)</f>
        <v>0.9200773132</v>
      </c>
      <c r="AI739" s="57">
        <f>IFERROR(__xludf.DUMMYFUNCTION("""COMPUTED_VALUE"""),1.018391150940399)</f>
        <v>1.018391151</v>
      </c>
      <c r="AJ739" s="57">
        <f>IFERROR(__xludf.DUMMYFUNCTION("""COMPUTED_VALUE"""),0.9095106324672766)</f>
        <v>0.9095106325</v>
      </c>
      <c r="AK739" s="57">
        <f>IFERROR(__xludf.DUMMYFUNCTION("""COMPUTED_VALUE"""),0.7804283269240689)</f>
        <v>0.7804283269</v>
      </c>
      <c r="AL739" s="57">
        <f>IFERROR(__xludf.DUMMYFUNCTION("""COMPUTED_VALUE"""),1.0518040735119545)</f>
        <v>1.051804074</v>
      </c>
      <c r="AM739" s="57">
        <f>IFERROR(__xludf.DUMMYFUNCTION("""COMPUTED_VALUE"""),0.9477480006728772)</f>
        <v>0.9477480007</v>
      </c>
      <c r="AN739" s="57">
        <f>IFERROR(__xludf.DUMMYFUNCTION("""COMPUTED_VALUE"""),0.7124825465725148)</f>
        <v>0.7124825466</v>
      </c>
      <c r="AO739" s="57">
        <f>IFERROR(__xludf.DUMMYFUNCTION("""COMPUTED_VALUE"""),0.86227293397205)</f>
        <v>0.862272934</v>
      </c>
      <c r="AP739" s="35">
        <f>IFERROR(__xludf.DUMMYFUNCTION("""COMPUTED_VALUE"""),1.2176990976147475)</f>
        <v>1.217699098</v>
      </c>
      <c r="AQ739" s="57">
        <f>IFERROR(__xludf.DUMMYFUNCTION("""COMPUTED_VALUE"""),0.8219692361995965)</f>
        <v>0.8219692362</v>
      </c>
      <c r="AR739" s="36" t="b">
        <f>IFERROR(__xludf.DUMMYFUNCTION("""COMPUTED_VALUE"""),TRUE)</f>
        <v>1</v>
      </c>
      <c r="AS739" s="57"/>
      <c r="AT739" s="37"/>
      <c r="AU739" s="30"/>
      <c r="AV739" s="30"/>
      <c r="AW739" s="30"/>
      <c r="AX739" s="30"/>
      <c r="AY739" s="30"/>
      <c r="AZ739" s="30"/>
    </row>
    <row r="740">
      <c r="A740" s="30" t="str">
        <f>IFERROR(__xludf.DUMMYFUNCTION("""COMPUTED_VALUE"""),"Veteran")</f>
        <v>Veteran</v>
      </c>
      <c r="B740" s="30" t="str">
        <f>IFERROR(__xludf.DUMMYFUNCTION("""COMPUTED_VALUE"""),"RSC006278")</f>
        <v>RSC006278</v>
      </c>
      <c r="C740" s="30" t="str">
        <f>IFERROR(__xludf.DUMMYFUNCTION("""COMPUTED_VALUE"""),"DribblingPenguin")</f>
        <v>DribblingPenguin</v>
      </c>
      <c r="D740" s="31" t="str">
        <f>IFERROR(__xludf.DUMMYFUNCTION("""COMPUTED_VALUE"""),"Azalea")</f>
        <v>Azalea</v>
      </c>
      <c r="E740" s="31">
        <f>IFERROR(__xludf.DUMMYFUNCTION("""COMPUTED_VALUE"""),63.169258794001244)</f>
        <v>63.16925879</v>
      </c>
      <c r="F740" s="31">
        <f>IFERROR(__xludf.DUMMYFUNCTION("""COMPUTED_VALUE"""),3.342508105629502)</f>
        <v>3.342508106</v>
      </c>
      <c r="G740" s="31">
        <f>IFERROR(__xludf.DUMMYFUNCTION("""COMPUTED_VALUE"""),67.95594787210493)</f>
        <v>67.95594787</v>
      </c>
      <c r="H740" s="31">
        <f>IFERROR(__xludf.DUMMYFUNCTION("""COMPUTED_VALUE"""),4.231813641309959)</f>
        <v>4.231813641</v>
      </c>
      <c r="I740" s="54">
        <f>IFERROR(__xludf.DUMMYFUNCTION("""COMPUTED_VALUE"""),34.0)</f>
        <v>34</v>
      </c>
      <c r="J740" s="55">
        <f>IFERROR(__xludf.DUMMYFUNCTION("""COMPUTED_VALUE"""),14.0)</f>
        <v>14</v>
      </c>
      <c r="K740" s="54">
        <f>IFERROR(__xludf.DUMMYFUNCTION("""COMPUTED_VALUE"""),20.0)</f>
        <v>20</v>
      </c>
      <c r="L740" s="56">
        <f>IFERROR(__xludf.DUMMYFUNCTION("""COMPUTED_VALUE"""),0.4117647058823529)</f>
        <v>0.4117647059</v>
      </c>
      <c r="M740" s="56">
        <f>IFERROR(__xludf.DUMMYFUNCTION("""COMPUTED_VALUE"""),0.2783505154639175)</f>
        <v>0.2783505155</v>
      </c>
      <c r="N740" s="31">
        <f>IFERROR(__xludf.DUMMYFUNCTION("""COMPUTED_VALUE"""),364.1764705882353)</f>
        <v>364.1764706</v>
      </c>
      <c r="O740" s="57">
        <f>IFERROR(__xludf.DUMMYFUNCTION("""COMPUTED_VALUE"""),0.7941176470588235)</f>
        <v>0.7941176471</v>
      </c>
      <c r="P740" s="57">
        <f>IFERROR(__xludf.DUMMYFUNCTION("""COMPUTED_VALUE"""),0.6176470588235294)</f>
        <v>0.6176470588</v>
      </c>
      <c r="Q740" s="57">
        <f>IFERROR(__xludf.DUMMYFUNCTION("""COMPUTED_VALUE"""),1.5)</f>
        <v>1.5</v>
      </c>
      <c r="R740" s="57">
        <f>IFERROR(__xludf.DUMMYFUNCTION("""COMPUTED_VALUE"""),2.8529411764705883)</f>
        <v>2.852941176</v>
      </c>
      <c r="S740" s="31">
        <f>IFERROR(__xludf.DUMMYFUNCTION("""COMPUTED_VALUE"""),331.1666666666666)</f>
        <v>331.1666667</v>
      </c>
      <c r="T740" s="57">
        <f>IFERROR(__xludf.DUMMYFUNCTION("""COMPUTED_VALUE"""),0.7352941176470589)</f>
        <v>0.7352941176</v>
      </c>
      <c r="U740" s="57">
        <f>IFERROR(__xludf.DUMMYFUNCTION("""COMPUTED_VALUE"""),0.43137254901960786)</f>
        <v>0.431372549</v>
      </c>
      <c r="V740" s="57">
        <f>IFERROR(__xludf.DUMMYFUNCTION("""COMPUTED_VALUE"""),1.3627450980392162)</f>
        <v>1.362745098</v>
      </c>
      <c r="W740" s="57">
        <f>IFERROR(__xludf.DUMMYFUNCTION("""COMPUTED_VALUE"""),2.3725490196078427)</f>
        <v>2.37254902</v>
      </c>
      <c r="X740" s="31">
        <f>IFERROR(__xludf.DUMMYFUNCTION("""COMPUTED_VALUE"""),345.23832317094514)</f>
        <v>345.2383232</v>
      </c>
      <c r="Y740" s="57">
        <f>IFERROR(__xludf.DUMMYFUNCTION("""COMPUTED_VALUE"""),0.7301582658293911)</f>
        <v>0.7301582658</v>
      </c>
      <c r="Z740" s="57">
        <f>IFERROR(__xludf.DUMMYFUNCTION("""COMPUTED_VALUE"""),0.5244892299542779)</f>
        <v>0.52448923</v>
      </c>
      <c r="AA740" s="57">
        <f>IFERROR(__xludf.DUMMYFUNCTION("""COMPUTED_VALUE"""),1.4181072457888242)</f>
        <v>1.418107246</v>
      </c>
      <c r="AB740" s="57">
        <f>IFERROR(__xludf.DUMMYFUNCTION("""COMPUTED_VALUE"""),2.5222353906279675)</f>
        <v>2.522235391</v>
      </c>
      <c r="AC740" s="31">
        <f>IFERROR(__xludf.DUMMYFUNCTION("""COMPUTED_VALUE"""),349.19516872078674)</f>
        <v>349.1951687</v>
      </c>
      <c r="AD740" s="57">
        <f>IFERROR(__xludf.DUMMYFUNCTION("""COMPUTED_VALUE"""),0.7867634244500191)</f>
        <v>0.7867634245</v>
      </c>
      <c r="AE740" s="57">
        <f>IFERROR(__xludf.DUMMYFUNCTION("""COMPUTED_VALUE"""),0.5621496835779611)</f>
        <v>0.5621496836</v>
      </c>
      <c r="AF740" s="57">
        <f>IFERROR(__xludf.DUMMYFUNCTION("""COMPUTED_VALUE"""),1.3449154093033695)</f>
        <v>1.344915409</v>
      </c>
      <c r="AG740" s="57">
        <f>IFERROR(__xludf.DUMMYFUNCTION("""COMPUTED_VALUE"""),2.6125962395196196)</f>
        <v>2.61259624</v>
      </c>
      <c r="AH740" s="57">
        <f>IFERROR(__xludf.DUMMYFUNCTION("""COMPUTED_VALUE"""),1.0429023744009112)</f>
        <v>1.042902374</v>
      </c>
      <c r="AI740" s="57">
        <f>IFERROR(__xludf.DUMMYFUNCTION("""COMPUTED_VALUE"""),1.0093474383534609)</f>
        <v>1.009347438</v>
      </c>
      <c r="AJ740" s="57">
        <f>IFERROR(__xludf.DUMMYFUNCTION("""COMPUTED_VALUE"""),1.098723483916845)</f>
        <v>1.098723484</v>
      </c>
      <c r="AK740" s="57">
        <f>IFERROR(__xludf.DUMMYFUNCTION("""COMPUTED_VALUE"""),1.115311780669507)</f>
        <v>1.115311781</v>
      </c>
      <c r="AL740" s="57">
        <f>IFERROR(__xludf.DUMMYFUNCTION("""COMPUTED_VALUE"""),1.0919946730824206)</f>
        <v>1.091994673</v>
      </c>
      <c r="AM740" s="57">
        <f>IFERROR(__xludf.DUMMYFUNCTION("""COMPUTED_VALUE"""),0.9592407460011009)</f>
        <v>0.959240746</v>
      </c>
      <c r="AN740" s="57">
        <f>IFERROR(__xludf.DUMMYFUNCTION("""COMPUTED_VALUE"""),1.0070338884842096)</f>
        <v>1.007033888</v>
      </c>
      <c r="AO740" s="57">
        <f>IFERROR(__xludf.DUMMYFUNCTION("""COMPUTED_VALUE"""),0.822462167730713)</f>
        <v>0.8224621677</v>
      </c>
      <c r="AP740" s="35">
        <f>IFERROR(__xludf.DUMMYFUNCTION("""COMPUTED_VALUE"""),0.9609605353092934)</f>
        <v>0.9609605353</v>
      </c>
      <c r="AQ740" s="57">
        <f>IFERROR(__xludf.DUMMYFUNCTION("""COMPUTED_VALUE"""),0.9406532904992436)</f>
        <v>0.9406532905</v>
      </c>
      <c r="AR740" s="36" t="b">
        <f>IFERROR(__xludf.DUMMYFUNCTION("""COMPUTED_VALUE"""),TRUE)</f>
        <v>1</v>
      </c>
      <c r="AS740" s="57"/>
      <c r="AT740" s="37"/>
      <c r="AU740" s="30"/>
      <c r="AV740" s="30"/>
      <c r="AW740" s="30"/>
      <c r="AX740" s="30"/>
      <c r="AY740" s="30"/>
      <c r="AZ740" s="30"/>
    </row>
    <row r="741">
      <c r="A741" s="30" t="str">
        <f>IFERROR(__xludf.DUMMYFUNCTION("""COMPUTED_VALUE"""),"Veteran")</f>
        <v>Veteran</v>
      </c>
      <c r="B741" s="30" t="str">
        <f>IFERROR(__xludf.DUMMYFUNCTION("""COMPUTED_VALUE"""),"RSC005758")</f>
        <v>RSC005758</v>
      </c>
      <c r="C741" s="30" t="str">
        <f>IFERROR(__xludf.DUMMYFUNCTION("""COMPUTED_VALUE"""),"ghostsynn.")</f>
        <v>ghostsynn.</v>
      </c>
      <c r="D741" s="31" t="str">
        <f>IFERROR(__xludf.DUMMYFUNCTION("""COMPUTED_VALUE"""),"Typhoons")</f>
        <v>Typhoons</v>
      </c>
      <c r="E741" s="31">
        <f>IFERROR(__xludf.DUMMYFUNCTION("""COMPUTED_VALUE"""),62.50466527755347)</f>
        <v>62.50466528</v>
      </c>
      <c r="F741" s="31">
        <f>IFERROR(__xludf.DUMMYFUNCTION("""COMPUTED_VALUE"""),3.2417869712816505)</f>
        <v>3.241786971</v>
      </c>
      <c r="G741" s="31">
        <f>IFERROR(__xludf.DUMMYFUNCTION("""COMPUTED_VALUE"""),76.79877654278762)</f>
        <v>76.79877654</v>
      </c>
      <c r="H741" s="31">
        <f>IFERROR(__xludf.DUMMYFUNCTION("""COMPUTED_VALUE"""),7.0486565386289515)</f>
        <v>7.048656539</v>
      </c>
      <c r="I741" s="54">
        <f>IFERROR(__xludf.DUMMYFUNCTION("""COMPUTED_VALUE"""),25.0)</f>
        <v>25</v>
      </c>
      <c r="J741" s="55">
        <f>IFERROR(__xludf.DUMMYFUNCTION("""COMPUTED_VALUE"""),15.0)</f>
        <v>15</v>
      </c>
      <c r="K741" s="54">
        <f>IFERROR(__xludf.DUMMYFUNCTION("""COMPUTED_VALUE"""),10.0)</f>
        <v>10</v>
      </c>
      <c r="L741" s="56">
        <f>IFERROR(__xludf.DUMMYFUNCTION("""COMPUTED_VALUE"""),0.6)</f>
        <v>0.6</v>
      </c>
      <c r="M741" s="56">
        <f>IFERROR(__xludf.DUMMYFUNCTION("""COMPUTED_VALUE"""),0.25)</f>
        <v>0.25</v>
      </c>
      <c r="N741" s="31">
        <f>IFERROR(__xludf.DUMMYFUNCTION("""COMPUTED_VALUE"""),366.56)</f>
        <v>366.56</v>
      </c>
      <c r="O741" s="57">
        <f>IFERROR(__xludf.DUMMYFUNCTION("""COMPUTED_VALUE"""),0.8)</f>
        <v>0.8</v>
      </c>
      <c r="P741" s="57">
        <f>IFERROR(__xludf.DUMMYFUNCTION("""COMPUTED_VALUE"""),0.52)</f>
        <v>0.52</v>
      </c>
      <c r="Q741" s="57">
        <f>IFERROR(__xludf.DUMMYFUNCTION("""COMPUTED_VALUE"""),1.4)</f>
        <v>1.4</v>
      </c>
      <c r="R741" s="57">
        <f>IFERROR(__xludf.DUMMYFUNCTION("""COMPUTED_VALUE"""),3.2)</f>
        <v>3.2</v>
      </c>
      <c r="S741" s="31">
        <f>IFERROR(__xludf.DUMMYFUNCTION("""COMPUTED_VALUE"""),332.2933333333333)</f>
        <v>332.2933333</v>
      </c>
      <c r="T741" s="57">
        <f>IFERROR(__xludf.DUMMYFUNCTION("""COMPUTED_VALUE"""),0.64)</f>
        <v>0.64</v>
      </c>
      <c r="U741" s="57">
        <f>IFERROR(__xludf.DUMMYFUNCTION("""COMPUTED_VALUE"""),0.5466666666666666)</f>
        <v>0.5466666667</v>
      </c>
      <c r="V741" s="57">
        <f>IFERROR(__xludf.DUMMYFUNCTION("""COMPUTED_VALUE"""),1.3733333333333337)</f>
        <v>1.373333333</v>
      </c>
      <c r="W741" s="57">
        <f>IFERROR(__xludf.DUMMYFUNCTION("""COMPUTED_VALUE"""),2.0666666666666664)</f>
        <v>2.066666667</v>
      </c>
      <c r="X741" s="31">
        <f>IFERROR(__xludf.DUMMYFUNCTION("""COMPUTED_VALUE"""),345.7466314457808)</f>
        <v>345.7466314</v>
      </c>
      <c r="Y741" s="57">
        <f>IFERROR(__xludf.DUMMYFUNCTION("""COMPUTED_VALUE"""),0.7309194532022261)</f>
        <v>0.7309194532</v>
      </c>
      <c r="Z741" s="57">
        <f>IFERROR(__xludf.DUMMYFUNCTION("""COMPUTED_VALUE"""),0.5524275503014837)</f>
        <v>0.5524275503</v>
      </c>
      <c r="AA741" s="57">
        <f>IFERROR(__xludf.DUMMYFUNCTION("""COMPUTED_VALUE"""),1.361217006060036)</f>
        <v>1.361217006</v>
      </c>
      <c r="AB741" s="57">
        <f>IFERROR(__xludf.DUMMYFUNCTION("""COMPUTED_VALUE"""),2.540292228446281)</f>
        <v>2.540292228</v>
      </c>
      <c r="AC741" s="31">
        <f>IFERROR(__xludf.DUMMYFUNCTION("""COMPUTED_VALUE"""),354.72748314084123)</f>
        <v>354.7274831</v>
      </c>
      <c r="AD741" s="57">
        <f>IFERROR(__xludf.DUMMYFUNCTION("""COMPUTED_VALUE"""),0.7601273753221246)</f>
        <v>0.7601273753</v>
      </c>
      <c r="AE741" s="57">
        <f>IFERROR(__xludf.DUMMYFUNCTION("""COMPUTED_VALUE"""),0.5755475576713548)</f>
        <v>0.5755475577</v>
      </c>
      <c r="AF741" s="57">
        <f>IFERROR(__xludf.DUMMYFUNCTION("""COMPUTED_VALUE"""),1.4000041434934802)</f>
        <v>1.400004143</v>
      </c>
      <c r="AG741" s="57">
        <f>IFERROR(__xludf.DUMMYFUNCTION("""COMPUTED_VALUE"""),2.6188093728467163)</f>
        <v>2.618809373</v>
      </c>
      <c r="AH741" s="57">
        <f>IFERROR(__xludf.DUMMYFUNCTION("""COMPUTED_VALUE"""),1.0333566397347926)</f>
        <v>1.03335664</v>
      </c>
      <c r="AI741" s="57">
        <f>IFERROR(__xludf.DUMMYFUNCTION("""COMPUTED_VALUE"""),1.0524551883965214)</f>
        <v>1.052455188</v>
      </c>
      <c r="AJ741" s="57">
        <f>IFERROR(__xludf.DUMMYFUNCTION("""COMPUTED_VALUE"""),0.9034874582804273)</f>
        <v>0.9034874583</v>
      </c>
      <c r="AK741" s="57">
        <f>IFERROR(__xludf.DUMMYFUNCTION("""COMPUTED_VALUE"""),0.9999970403705593)</f>
        <v>0.9999970404</v>
      </c>
      <c r="AL741" s="57">
        <f>IFERROR(__xludf.DUMMYFUNCTION("""COMPUTED_VALUE"""),1.2219293367357678)</f>
        <v>1.221929337</v>
      </c>
      <c r="AM741" s="57">
        <f>IFERROR(__xludf.DUMMYFUNCTION("""COMPUTED_VALUE"""),0.96108914190663)</f>
        <v>0.9610891419</v>
      </c>
      <c r="AN741" s="57">
        <f>IFERROR(__xludf.DUMMYFUNCTION("""COMPUTED_VALUE"""),0.8756094767981623)</f>
        <v>0.8756094768</v>
      </c>
      <c r="AO741" s="57">
        <f>IFERROR(__xludf.DUMMYFUNCTION("""COMPUTED_VALUE"""),0.9895716938236098)</f>
        <v>0.9895716938</v>
      </c>
      <c r="AP741" s="35">
        <f>IFERROR(__xludf.DUMMYFUNCTION("""COMPUTED_VALUE"""),1.0089010989572984)</f>
        <v>1.008901099</v>
      </c>
      <c r="AQ741" s="57">
        <f>IFERROR(__xludf.DUMMYFUNCTION("""COMPUTED_VALUE"""),0.8135546940324664)</f>
        <v>0.813554694</v>
      </c>
      <c r="AR741" s="36" t="b">
        <f>IFERROR(__xludf.DUMMYFUNCTION("""COMPUTED_VALUE"""),TRUE)</f>
        <v>1</v>
      </c>
      <c r="AS741" s="57"/>
      <c r="AT741" s="37"/>
      <c r="AU741" s="30"/>
      <c r="AV741" s="30"/>
      <c r="AW741" s="30"/>
      <c r="AX741" s="30"/>
      <c r="AY741" s="30"/>
      <c r="AZ741" s="30"/>
    </row>
    <row r="742">
      <c r="A742" s="30" t="str">
        <f>IFERROR(__xludf.DUMMYFUNCTION("""COMPUTED_VALUE"""),"Veteran")</f>
        <v>Veteran</v>
      </c>
      <c r="B742" s="30" t="str">
        <f>IFERROR(__xludf.DUMMYFUNCTION("""COMPUTED_VALUE"""),"RSC003272")</f>
        <v>RSC003272</v>
      </c>
      <c r="C742" s="30" t="str">
        <f>IFERROR(__xludf.DUMMYFUNCTION("""COMPUTED_VALUE"""),"jknop2")</f>
        <v>jknop2</v>
      </c>
      <c r="D742" s="31" t="str">
        <f>IFERROR(__xludf.DUMMYFUNCTION("""COMPUTED_VALUE"""),"Singularity")</f>
        <v>Singularity</v>
      </c>
      <c r="E742" s="31">
        <f>IFERROR(__xludf.DUMMYFUNCTION("""COMPUTED_VALUE"""),61.86354126577254)</f>
        <v>61.86354127</v>
      </c>
      <c r="F742" s="31">
        <f>IFERROR(__xludf.DUMMYFUNCTION("""COMPUTED_VALUE"""),3.1490424266574655)</f>
        <v>3.149042427</v>
      </c>
      <c r="G742" s="31">
        <f>IFERROR(__xludf.DUMMYFUNCTION("""COMPUTED_VALUE"""),53.52969455966069)</f>
        <v>53.52969456</v>
      </c>
      <c r="H742" s="31">
        <f>IFERROR(__xludf.DUMMYFUNCTION("""COMPUTED_VALUE"""),2.2529585912175945)</f>
        <v>2.252958591</v>
      </c>
      <c r="I742" s="54">
        <f>IFERROR(__xludf.DUMMYFUNCTION("""COMPUTED_VALUE"""),32.0)</f>
        <v>32</v>
      </c>
      <c r="J742" s="55">
        <f>IFERROR(__xludf.DUMMYFUNCTION("""COMPUTED_VALUE"""),18.0)</f>
        <v>18</v>
      </c>
      <c r="K742" s="54">
        <f>IFERROR(__xludf.DUMMYFUNCTION("""COMPUTED_VALUE"""),14.0)</f>
        <v>14</v>
      </c>
      <c r="L742" s="56">
        <f>IFERROR(__xludf.DUMMYFUNCTION("""COMPUTED_VALUE"""),0.5625)</f>
        <v>0.5625</v>
      </c>
      <c r="M742" s="56">
        <f>IFERROR(__xludf.DUMMYFUNCTION("""COMPUTED_VALUE"""),0.2564102564102564)</f>
        <v>0.2564102564</v>
      </c>
      <c r="N742" s="31">
        <f>IFERROR(__xludf.DUMMYFUNCTION("""COMPUTED_VALUE"""),393.75)</f>
        <v>393.75</v>
      </c>
      <c r="O742" s="57">
        <f>IFERROR(__xludf.DUMMYFUNCTION("""COMPUTED_VALUE"""),0.625)</f>
        <v>0.625</v>
      </c>
      <c r="P742" s="57">
        <f>IFERROR(__xludf.DUMMYFUNCTION("""COMPUTED_VALUE"""),0.65625)</f>
        <v>0.65625</v>
      </c>
      <c r="Q742" s="57">
        <f>IFERROR(__xludf.DUMMYFUNCTION("""COMPUTED_VALUE"""),1.96875)</f>
        <v>1.96875</v>
      </c>
      <c r="R742" s="57">
        <f>IFERROR(__xludf.DUMMYFUNCTION("""COMPUTED_VALUE"""),2.4375)</f>
        <v>2.4375</v>
      </c>
      <c r="S742" s="31">
        <f>IFERROR(__xludf.DUMMYFUNCTION("""COMPUTED_VALUE"""),328.62500000000006)</f>
        <v>328.625</v>
      </c>
      <c r="T742" s="57">
        <f>IFERROR(__xludf.DUMMYFUNCTION("""COMPUTED_VALUE"""),0.6145833333333333)</f>
        <v>0.6145833333</v>
      </c>
      <c r="U742" s="57">
        <f>IFERROR(__xludf.DUMMYFUNCTION("""COMPUTED_VALUE"""),0.4375)</f>
        <v>0.4375</v>
      </c>
      <c r="V742" s="57">
        <f>IFERROR(__xludf.DUMMYFUNCTION("""COMPUTED_VALUE"""),1.354166666666667)</f>
        <v>1.354166667</v>
      </c>
      <c r="W742" s="57">
        <f>IFERROR(__xludf.DUMMYFUNCTION("""COMPUTED_VALUE"""),2.8125000000000004)</f>
        <v>2.8125</v>
      </c>
      <c r="X742" s="31">
        <f>IFERROR(__xludf.DUMMYFUNCTION("""COMPUTED_VALUE"""),351.1566415344768)</f>
        <v>351.1566415</v>
      </c>
      <c r="Y742" s="57">
        <f>IFERROR(__xludf.DUMMYFUNCTION("""COMPUTED_VALUE"""),0.7625211244396177)</f>
        <v>0.7625211244</v>
      </c>
      <c r="Z742" s="57">
        <f>IFERROR(__xludf.DUMMYFUNCTION("""COMPUTED_VALUE"""),0.5419813994645037)</f>
        <v>0.5419813995</v>
      </c>
      <c r="AA742" s="57">
        <f>IFERROR(__xludf.DUMMYFUNCTION("""COMPUTED_VALUE"""),1.3579699446596305)</f>
        <v>1.357969945</v>
      </c>
      <c r="AB742" s="57">
        <f>IFERROR(__xludf.DUMMYFUNCTION("""COMPUTED_VALUE"""),2.5789685179630357)</f>
        <v>2.578968518</v>
      </c>
      <c r="AC742" s="31">
        <f>IFERROR(__xludf.DUMMYFUNCTION("""COMPUTED_VALUE"""),342.62396035607446)</f>
        <v>342.6239604</v>
      </c>
      <c r="AD742" s="57">
        <f>IFERROR(__xludf.DUMMYFUNCTION("""COMPUTED_VALUE"""),0.6959298497744929)</f>
        <v>0.6959298498</v>
      </c>
      <c r="AE742" s="57">
        <f>IFERROR(__xludf.DUMMYFUNCTION("""COMPUTED_VALUE"""),0.5161469952735855)</f>
        <v>0.5161469953</v>
      </c>
      <c r="AF742" s="57">
        <f>IFERROR(__xludf.DUMMYFUNCTION("""COMPUTED_VALUE"""),1.3729691728172813)</f>
        <v>1.372969173</v>
      </c>
      <c r="AG742" s="57">
        <f>IFERROR(__xludf.DUMMYFUNCTION("""COMPUTED_VALUE"""),2.524881049923858)</f>
        <v>2.52488105</v>
      </c>
      <c r="AH742" s="57">
        <f>IFERROR(__xludf.DUMMYFUNCTION("""COMPUTED_VALUE"""),1.1492191018713123)</f>
        <v>1.149219102</v>
      </c>
      <c r="AI742" s="57">
        <f>IFERROR(__xludf.DUMMYFUNCTION("""COMPUTED_VALUE"""),0.8980790236293545)</f>
        <v>0.8980790236</v>
      </c>
      <c r="AJ742" s="57">
        <f>IFERROR(__xludf.DUMMYFUNCTION("""COMPUTED_VALUE"""),1.2714401246337825)</f>
        <v>1.271440125</v>
      </c>
      <c r="AK742" s="57">
        <f>IFERROR(__xludf.DUMMYFUNCTION("""COMPUTED_VALUE"""),1.4339360555053096)</f>
        <v>1.433936056</v>
      </c>
      <c r="AL742" s="57">
        <f>IFERROR(__xludf.DUMMYFUNCTION("""COMPUTED_VALUE"""),0.9653920132489041)</f>
        <v>0.9653920132</v>
      </c>
      <c r="AM742" s="57">
        <f>IFERROR(__xludf.DUMMYFUNCTION("""COMPUTED_VALUE"""),0.9358359237176365)</f>
        <v>0.9358359237</v>
      </c>
      <c r="AN742" s="57">
        <f>IFERROR(__xludf.DUMMYFUNCTION("""COMPUTED_VALUE"""),0.8059885997060016)</f>
        <v>0.8059885997</v>
      </c>
      <c r="AO742" s="57">
        <f>IFERROR(__xludf.DUMMYFUNCTION("""COMPUTED_VALUE"""),0.8072232745113855)</f>
        <v>0.8072232745</v>
      </c>
      <c r="AP742" s="35">
        <f>IFERROR(__xludf.DUMMYFUNCTION("""COMPUTED_VALUE"""),0.9971992914806985)</f>
        <v>0.9971992915</v>
      </c>
      <c r="AQ742" s="57">
        <f>IFERROR(__xludf.DUMMYFUNCTION("""COMPUTED_VALUE"""),1.0905522810419634)</f>
        <v>1.090552281</v>
      </c>
      <c r="AR742" s="36" t="b">
        <f>IFERROR(__xludf.DUMMYFUNCTION("""COMPUTED_VALUE"""),TRUE)</f>
        <v>1</v>
      </c>
      <c r="AS742" s="57"/>
      <c r="AT742" s="37"/>
      <c r="AU742" s="30"/>
      <c r="AV742" s="30"/>
      <c r="AW742" s="30"/>
      <c r="AX742" s="30"/>
      <c r="AY742" s="30"/>
      <c r="AZ742" s="30"/>
    </row>
    <row r="743">
      <c r="A743" s="30" t="str">
        <f>IFERROR(__xludf.DUMMYFUNCTION("""COMPUTED_VALUE"""),"Veteran")</f>
        <v>Veteran</v>
      </c>
      <c r="B743" s="30" t="str">
        <f>IFERROR(__xludf.DUMMYFUNCTION("""COMPUTED_VALUE"""),"RSC006836")</f>
        <v>RSC006836</v>
      </c>
      <c r="C743" s="30" t="str">
        <f>IFERROR(__xludf.DUMMYFUNCTION("""COMPUTED_VALUE"""),"BawaRL")</f>
        <v>BawaRL</v>
      </c>
      <c r="D743" s="31"/>
      <c r="E743" s="31">
        <f>IFERROR(__xludf.DUMMYFUNCTION("""COMPUTED_VALUE"""),61.76572772658801)</f>
        <v>61.76572773</v>
      </c>
      <c r="F743" s="31">
        <f>IFERROR(__xludf.DUMMYFUNCTION("""COMPUTED_VALUE"""),3.135260056930837)</f>
        <v>3.135260057</v>
      </c>
      <c r="G743" s="31">
        <f>IFERROR(__xludf.DUMMYFUNCTION("""COMPUTED_VALUE"""),58.224542699923965)</f>
        <v>58.2245427</v>
      </c>
      <c r="H743" s="31">
        <f>IFERROR(__xludf.DUMMYFUNCTION("""COMPUTED_VALUE"""),2.6948021469805714)</f>
        <v>2.694802147</v>
      </c>
      <c r="I743" s="54">
        <f>IFERROR(__xludf.DUMMYFUNCTION("""COMPUTED_VALUE"""),20.0)</f>
        <v>20</v>
      </c>
      <c r="J743" s="55">
        <f>IFERROR(__xludf.DUMMYFUNCTION("""COMPUTED_VALUE"""),9.0)</f>
        <v>9</v>
      </c>
      <c r="K743" s="54">
        <f>IFERROR(__xludf.DUMMYFUNCTION("""COMPUTED_VALUE"""),11.0)</f>
        <v>11</v>
      </c>
      <c r="L743" s="56">
        <f>IFERROR(__xludf.DUMMYFUNCTION("""COMPUTED_VALUE"""),0.45)</f>
        <v>0.45</v>
      </c>
      <c r="M743" s="56">
        <f>IFERROR(__xludf.DUMMYFUNCTION("""COMPUTED_VALUE"""),0.26229508196721313)</f>
        <v>0.262295082</v>
      </c>
      <c r="N743" s="31">
        <f>IFERROR(__xludf.DUMMYFUNCTION("""COMPUTED_VALUE"""),371.75)</f>
        <v>371.75</v>
      </c>
      <c r="O743" s="57">
        <f>IFERROR(__xludf.DUMMYFUNCTION("""COMPUTED_VALUE"""),0.8)</f>
        <v>0.8</v>
      </c>
      <c r="P743" s="57">
        <f>IFERROR(__xludf.DUMMYFUNCTION("""COMPUTED_VALUE"""),0.65)</f>
        <v>0.65</v>
      </c>
      <c r="Q743" s="57">
        <f>IFERROR(__xludf.DUMMYFUNCTION("""COMPUTED_VALUE"""),1.4)</f>
        <v>1.4</v>
      </c>
      <c r="R743" s="57">
        <f>IFERROR(__xludf.DUMMYFUNCTION("""COMPUTED_VALUE"""),3.05)</f>
        <v>3.05</v>
      </c>
      <c r="S743" s="31">
        <f>IFERROR(__xludf.DUMMYFUNCTION("""COMPUTED_VALUE"""),354.45000000000005)</f>
        <v>354.45</v>
      </c>
      <c r="T743" s="57">
        <f>IFERROR(__xludf.DUMMYFUNCTION("""COMPUTED_VALUE"""),0.7333333333333332)</f>
        <v>0.7333333333</v>
      </c>
      <c r="U743" s="57">
        <f>IFERROR(__xludf.DUMMYFUNCTION("""COMPUTED_VALUE"""),0.5333333333333333)</f>
        <v>0.5333333333</v>
      </c>
      <c r="V743" s="57">
        <f>IFERROR(__xludf.DUMMYFUNCTION("""COMPUTED_VALUE"""),1.3666666666666667)</f>
        <v>1.366666667</v>
      </c>
      <c r="W743" s="57">
        <f>IFERROR(__xludf.DUMMYFUNCTION("""COMPUTED_VALUE"""),2.716666666666667)</f>
        <v>2.716666667</v>
      </c>
      <c r="X743" s="31">
        <f>IFERROR(__xludf.DUMMYFUNCTION("""COMPUTED_VALUE"""),344.7537148874133)</f>
        <v>344.7537149</v>
      </c>
      <c r="Y743" s="57">
        <f>IFERROR(__xludf.DUMMYFUNCTION("""COMPUTED_VALUE"""),0.7505926758891286)</f>
        <v>0.7505926759</v>
      </c>
      <c r="Z743" s="57">
        <f>IFERROR(__xludf.DUMMYFUNCTION("""COMPUTED_VALUE"""),0.4777915153081473)</f>
        <v>0.4777915153</v>
      </c>
      <c r="AA743" s="57">
        <f>IFERROR(__xludf.DUMMYFUNCTION("""COMPUTED_VALUE"""),1.4028814088499648)</f>
        <v>1.402881409</v>
      </c>
      <c r="AB743" s="57">
        <f>IFERROR(__xludf.DUMMYFUNCTION("""COMPUTED_VALUE"""),2.485775428609071)</f>
        <v>2.485775429</v>
      </c>
      <c r="AC743" s="31">
        <f>IFERROR(__xludf.DUMMYFUNCTION("""COMPUTED_VALUE"""),350.60723872728477)</f>
        <v>350.6072387</v>
      </c>
      <c r="AD743" s="57">
        <f>IFERROR(__xludf.DUMMYFUNCTION("""COMPUTED_VALUE"""),0.8046824101791318)</f>
        <v>0.8046824102</v>
      </c>
      <c r="AE743" s="57">
        <f>IFERROR(__xludf.DUMMYFUNCTION("""COMPUTED_VALUE"""),0.5926185327667283)</f>
        <v>0.5926185328</v>
      </c>
      <c r="AF743" s="57">
        <f>IFERROR(__xludf.DUMMYFUNCTION("""COMPUTED_VALUE"""),1.2547926788797814)</f>
        <v>1.254792679</v>
      </c>
      <c r="AG743" s="57">
        <f>IFERROR(__xludf.DUMMYFUNCTION("""COMPUTED_VALUE"""),2.692528320859986)</f>
        <v>2.692528321</v>
      </c>
      <c r="AH743" s="57">
        <f>IFERROR(__xludf.DUMMYFUNCTION("""COMPUTED_VALUE"""),1.060303265127851)</f>
        <v>1.060303265</v>
      </c>
      <c r="AI743" s="57">
        <f>IFERROR(__xludf.DUMMYFUNCTION("""COMPUTED_VALUE"""),0.9941810456897033)</f>
        <v>0.9941810457</v>
      </c>
      <c r="AJ743" s="57">
        <f>IFERROR(__xludf.DUMMYFUNCTION("""COMPUTED_VALUE"""),1.0968269874473513)</f>
        <v>1.096826987</v>
      </c>
      <c r="AK743" s="57">
        <f>IFERROR(__xludf.DUMMYFUNCTION("""COMPUTED_VALUE"""),1.1157221615684374)</f>
        <v>1.115722162</v>
      </c>
      <c r="AL743" s="57">
        <f>IFERROR(__xludf.DUMMYFUNCTION("""COMPUTED_VALUE"""),1.1327643153724891)</f>
        <v>1.132764315</v>
      </c>
      <c r="AM743" s="57">
        <f>IFERROR(__xludf.DUMMYFUNCTION("""COMPUTED_VALUE"""),1.0281252520099842)</f>
        <v>1.028125252</v>
      </c>
      <c r="AN743" s="57">
        <f>IFERROR(__xludf.DUMMYFUNCTION("""COMPUTED_VALUE"""),0.9770057141373641)</f>
        <v>0.9770057141</v>
      </c>
      <c r="AO743" s="57">
        <f>IFERROR(__xludf.DUMMYFUNCTION("""COMPUTED_VALUE"""),1.1162469743510721)</f>
        <v>1.116246974</v>
      </c>
      <c r="AP743" s="35">
        <f>IFERROR(__xludf.DUMMYFUNCTION("""COMPUTED_VALUE"""),0.9741854571920048)</f>
        <v>0.9741854572</v>
      </c>
      <c r="AQ743" s="57">
        <f>IFERROR(__xludf.DUMMYFUNCTION("""COMPUTED_VALUE"""),1.0928849949195902)</f>
        <v>1.092884995</v>
      </c>
      <c r="AR743" s="36" t="b">
        <f>IFERROR(__xludf.DUMMYFUNCTION("""COMPUTED_VALUE"""),TRUE)</f>
        <v>1</v>
      </c>
      <c r="AS743" s="57"/>
      <c r="AT743" s="37"/>
      <c r="AU743" s="30"/>
      <c r="AV743" s="30"/>
      <c r="AW743" s="30"/>
      <c r="AX743" s="30"/>
      <c r="AY743" s="30"/>
      <c r="AZ743" s="30"/>
    </row>
    <row r="744">
      <c r="A744" s="30" t="str">
        <f>IFERROR(__xludf.DUMMYFUNCTION("""COMPUTED_VALUE"""),"Veteran")</f>
        <v>Veteran</v>
      </c>
      <c r="B744" s="30" t="str">
        <f>IFERROR(__xludf.DUMMYFUNCTION("""COMPUTED_VALUE"""),"RSC007936")</f>
        <v>RSC007936</v>
      </c>
      <c r="C744" s="30" t="str">
        <f>IFERROR(__xludf.DUMMYFUNCTION("""COMPUTED_VALUE"""),"Crazics")</f>
        <v>Crazics</v>
      </c>
      <c r="D744" s="31" t="str">
        <f>IFERROR(__xludf.DUMMYFUNCTION("""COMPUTED_VALUE"""),"Gouda Gangsters")</f>
        <v>Gouda Gangsters</v>
      </c>
      <c r="E744" s="31">
        <f>IFERROR(__xludf.DUMMYFUNCTION("""COMPUTED_VALUE"""),61.22788158274105)</f>
        <v>61.22788158</v>
      </c>
      <c r="F744" s="31">
        <f>IFERROR(__xludf.DUMMYFUNCTION("""COMPUTED_VALUE"""),3.0611533787415937)</f>
        <v>3.061153379</v>
      </c>
      <c r="G744" s="31">
        <f>IFERROR(__xludf.DUMMYFUNCTION("""COMPUTED_VALUE"""),56.37460659035254)</f>
        <v>56.37460659</v>
      </c>
      <c r="H744" s="31">
        <f>IFERROR(__xludf.DUMMYFUNCTION("""COMPUTED_VALUE"""),2.5039585913351337)</f>
        <v>2.503958591</v>
      </c>
      <c r="I744" s="54">
        <f>IFERROR(__xludf.DUMMYFUNCTION("""COMPUTED_VALUE"""),29.0)</f>
        <v>29</v>
      </c>
      <c r="J744" s="55">
        <f>IFERROR(__xludf.DUMMYFUNCTION("""COMPUTED_VALUE"""),12.0)</f>
        <v>12</v>
      </c>
      <c r="K744" s="54">
        <f>IFERROR(__xludf.DUMMYFUNCTION("""COMPUTED_VALUE"""),17.0)</f>
        <v>17</v>
      </c>
      <c r="L744" s="56">
        <f>IFERROR(__xludf.DUMMYFUNCTION("""COMPUTED_VALUE"""),0.41379310344827586)</f>
        <v>0.4137931034</v>
      </c>
      <c r="M744" s="56">
        <f>IFERROR(__xludf.DUMMYFUNCTION("""COMPUTED_VALUE"""),0.28735632183908044)</f>
        <v>0.2873563218</v>
      </c>
      <c r="N744" s="31">
        <f>IFERROR(__xludf.DUMMYFUNCTION("""COMPUTED_VALUE"""),355.51724137931035)</f>
        <v>355.5172414</v>
      </c>
      <c r="O744" s="57">
        <f>IFERROR(__xludf.DUMMYFUNCTION("""COMPUTED_VALUE"""),0.8620689655172413)</f>
        <v>0.8620689655</v>
      </c>
      <c r="P744" s="57">
        <f>IFERROR(__xludf.DUMMYFUNCTION("""COMPUTED_VALUE"""),0.6206896551724138)</f>
        <v>0.6206896552</v>
      </c>
      <c r="Q744" s="57">
        <f>IFERROR(__xludf.DUMMYFUNCTION("""COMPUTED_VALUE"""),1.2758620689655173)</f>
        <v>1.275862069</v>
      </c>
      <c r="R744" s="57">
        <f>IFERROR(__xludf.DUMMYFUNCTION("""COMPUTED_VALUE"""),3.0)</f>
        <v>3</v>
      </c>
      <c r="S744" s="31">
        <f>IFERROR(__xludf.DUMMYFUNCTION("""COMPUTED_VALUE"""),375.64367816091954)</f>
        <v>375.6436782</v>
      </c>
      <c r="T744" s="57">
        <f>IFERROR(__xludf.DUMMYFUNCTION("""COMPUTED_VALUE"""),0.8850574712643681)</f>
        <v>0.8850574713</v>
      </c>
      <c r="U744" s="57">
        <f>IFERROR(__xludf.DUMMYFUNCTION("""COMPUTED_VALUE"""),0.7126436781609194)</f>
        <v>0.7126436782</v>
      </c>
      <c r="V744" s="57">
        <f>IFERROR(__xludf.DUMMYFUNCTION("""COMPUTED_VALUE"""),1.3908045977011496)</f>
        <v>1.390804598</v>
      </c>
      <c r="W744" s="57">
        <f>IFERROR(__xludf.DUMMYFUNCTION("""COMPUTED_VALUE"""),2.5632183908045976)</f>
        <v>2.563218391</v>
      </c>
      <c r="X744" s="31">
        <f>IFERROR(__xludf.DUMMYFUNCTION("""COMPUTED_VALUE"""),358.7005943053484)</f>
        <v>358.7005943</v>
      </c>
      <c r="Y744" s="57">
        <f>IFERROR(__xludf.DUMMYFUNCTION("""COMPUTED_VALUE"""),0.8228783781357878)</f>
        <v>0.8228783781</v>
      </c>
      <c r="Z744" s="57">
        <f>IFERROR(__xludf.DUMMYFUNCTION("""COMPUTED_VALUE"""),0.5960207981987923)</f>
        <v>0.5960207982</v>
      </c>
      <c r="AA744" s="57">
        <f>IFERROR(__xludf.DUMMYFUNCTION("""COMPUTED_VALUE"""),1.351676546421101)</f>
        <v>1.351676546</v>
      </c>
      <c r="AB744" s="57">
        <f>IFERROR(__xludf.DUMMYFUNCTION("""COMPUTED_VALUE"""),2.67006541732595)</f>
        <v>2.670065417</v>
      </c>
      <c r="AC744" s="31">
        <f>IFERROR(__xludf.DUMMYFUNCTION("""COMPUTED_VALUE"""),353.5447893996217)</f>
        <v>353.5447894</v>
      </c>
      <c r="AD744" s="57">
        <f>IFERROR(__xludf.DUMMYFUNCTION("""COMPUTED_VALUE"""),0.7898241615208158)</f>
        <v>0.7898241615</v>
      </c>
      <c r="AE744" s="57">
        <f>IFERROR(__xludf.DUMMYFUNCTION("""COMPUTED_VALUE"""),0.580892624867981)</f>
        <v>0.5808926249</v>
      </c>
      <c r="AF744" s="57">
        <f>IFERROR(__xludf.DUMMYFUNCTION("""COMPUTED_VALUE"""),1.3585127644418933)</f>
        <v>1.358512764</v>
      </c>
      <c r="AG744" s="57">
        <f>IFERROR(__xludf.DUMMYFUNCTION("""COMPUTED_VALUE"""),2.639969135797518)</f>
        <v>2.639969136</v>
      </c>
      <c r="AH744" s="57">
        <f>IFERROR(__xludf.DUMMYFUNCTION("""COMPUTED_VALUE"""),1.0055790724084441)</f>
        <v>1.005579072</v>
      </c>
      <c r="AI744" s="57">
        <f>IFERROR(__xludf.DUMMYFUNCTION("""COMPUTED_VALUE"""),1.0914694782916203)</f>
        <v>1.091469478</v>
      </c>
      <c r="AJ744" s="57">
        <f>IFERROR(__xludf.DUMMYFUNCTION("""COMPUTED_VALUE"""),1.068510131822516)</f>
        <v>1.068510132</v>
      </c>
      <c r="AK744" s="57">
        <f>IFERROR(__xludf.DUMMYFUNCTION("""COMPUTED_VALUE"""),0.9391608988596212)</f>
        <v>0.9391608989</v>
      </c>
      <c r="AL744" s="57">
        <f>IFERROR(__xludf.DUMMYFUNCTION("""COMPUTED_VALUE"""),1.136376921730079)</f>
        <v>1.136376922</v>
      </c>
      <c r="AM744" s="57">
        <f>IFERROR(__xludf.DUMMYFUNCTION("""COMPUTED_VALUE"""),1.0472346132807022)</f>
        <v>1.047234613</v>
      </c>
      <c r="AN744" s="57">
        <f>IFERROR(__xludf.DUMMYFUNCTION("""COMPUTED_VALUE"""),1.0755629200872254)</f>
        <v>1.07556292</v>
      </c>
      <c r="AO744" s="57">
        <f>IFERROR(__xludf.DUMMYFUNCTION("""COMPUTED_VALUE"""),1.1956691449603234)</f>
        <v>1.195669145</v>
      </c>
      <c r="AP744" s="35">
        <f>IFERROR(__xludf.DUMMYFUNCTION("""COMPUTED_VALUE"""),1.0289477918246417)</f>
        <v>1.028947792</v>
      </c>
      <c r="AQ744" s="57">
        <f>IFERROR(__xludf.DUMMYFUNCTION("""COMPUTED_VALUE"""),0.9599833675130106)</f>
        <v>0.9599833675</v>
      </c>
      <c r="AR744" s="36" t="b">
        <f>IFERROR(__xludf.DUMMYFUNCTION("""COMPUTED_VALUE"""),TRUE)</f>
        <v>1</v>
      </c>
      <c r="AS744" s="57"/>
      <c r="AT744" s="37"/>
      <c r="AU744" s="30"/>
      <c r="AV744" s="30"/>
      <c r="AW744" s="30"/>
      <c r="AX744" s="30"/>
      <c r="AY744" s="30"/>
      <c r="AZ744" s="30"/>
    </row>
    <row r="745">
      <c r="A745" s="30" t="str">
        <f>IFERROR(__xludf.DUMMYFUNCTION("""COMPUTED_VALUE"""),"Veteran")</f>
        <v>Veteran</v>
      </c>
      <c r="B745" s="30" t="str">
        <f>IFERROR(__xludf.DUMMYFUNCTION("""COMPUTED_VALUE"""),"RSC007655")</f>
        <v>RSC007655</v>
      </c>
      <c r="C745" s="30" t="str">
        <f>IFERROR(__xludf.DUMMYFUNCTION("""COMPUTED_VALUE"""),"Dx Geo xD")</f>
        <v>Dx Geo xD</v>
      </c>
      <c r="D745" s="31" t="str">
        <f>IFERROR(__xludf.DUMMYFUNCTION("""COMPUTED_VALUE"""),"Water")</f>
        <v>Water</v>
      </c>
      <c r="E745" s="31">
        <f>IFERROR(__xludf.DUMMYFUNCTION("""COMPUTED_VALUE"""),61.048735236153576)</f>
        <v>61.04873524</v>
      </c>
      <c r="F745" s="31">
        <f>IFERROR(__xludf.DUMMYFUNCTION("""COMPUTED_VALUE"""),3.03708670747588)</f>
        <v>3.037086707</v>
      </c>
      <c r="G745" s="31">
        <f>IFERROR(__xludf.DUMMYFUNCTION("""COMPUTED_VALUE"""),62.75176994165329)</f>
        <v>62.75176994</v>
      </c>
      <c r="H745" s="31">
        <f>IFERROR(__xludf.DUMMYFUNCTION("""COMPUTED_VALUE"""),3.2786785112072825)</f>
        <v>3.278678511</v>
      </c>
      <c r="I745" s="54">
        <f>IFERROR(__xludf.DUMMYFUNCTION("""COMPUTED_VALUE"""),28.0)</f>
        <v>28</v>
      </c>
      <c r="J745" s="55">
        <f>IFERROR(__xludf.DUMMYFUNCTION("""COMPUTED_VALUE"""),14.0)</f>
        <v>14</v>
      </c>
      <c r="K745" s="54">
        <f>IFERROR(__xludf.DUMMYFUNCTION("""COMPUTED_VALUE"""),14.0)</f>
        <v>14</v>
      </c>
      <c r="L745" s="56">
        <f>IFERROR(__xludf.DUMMYFUNCTION("""COMPUTED_VALUE"""),0.5)</f>
        <v>0.5</v>
      </c>
      <c r="M745" s="56">
        <f>IFERROR(__xludf.DUMMYFUNCTION("""COMPUTED_VALUE"""),0.33333333333333337)</f>
        <v>0.3333333333</v>
      </c>
      <c r="N745" s="31">
        <f>IFERROR(__xludf.DUMMYFUNCTION("""COMPUTED_VALUE"""),365.85714285714283)</f>
        <v>365.8571429</v>
      </c>
      <c r="O745" s="57">
        <f>IFERROR(__xludf.DUMMYFUNCTION("""COMPUTED_VALUE"""),0.9642857142857143)</f>
        <v>0.9642857143</v>
      </c>
      <c r="P745" s="57">
        <f>IFERROR(__xludf.DUMMYFUNCTION("""COMPUTED_VALUE"""),0.39285714285714285)</f>
        <v>0.3928571429</v>
      </c>
      <c r="Q745" s="57">
        <f>IFERROR(__xludf.DUMMYFUNCTION("""COMPUTED_VALUE"""),1.1785714285714286)</f>
        <v>1.178571429</v>
      </c>
      <c r="R745" s="57">
        <f>IFERROR(__xludf.DUMMYFUNCTION("""COMPUTED_VALUE"""),2.892857142857143)</f>
        <v>2.892857143</v>
      </c>
      <c r="S745" s="31">
        <f>IFERROR(__xludf.DUMMYFUNCTION("""COMPUTED_VALUE"""),308.9880952380951)</f>
        <v>308.9880952</v>
      </c>
      <c r="T745" s="57">
        <f>IFERROR(__xludf.DUMMYFUNCTION("""COMPUTED_VALUE"""),0.630952380952381)</f>
        <v>0.630952381</v>
      </c>
      <c r="U745" s="57">
        <f>IFERROR(__xludf.DUMMYFUNCTION("""COMPUTED_VALUE"""),0.4166666666666668)</f>
        <v>0.4166666667</v>
      </c>
      <c r="V745" s="57">
        <f>IFERROR(__xludf.DUMMYFUNCTION("""COMPUTED_VALUE"""),1.1428571428571428)</f>
        <v>1.142857143</v>
      </c>
      <c r="W745" s="57">
        <f>IFERROR(__xludf.DUMMYFUNCTION("""COMPUTED_VALUE"""),2.25)</f>
        <v>2.25</v>
      </c>
      <c r="X745" s="31">
        <f>IFERROR(__xludf.DUMMYFUNCTION("""COMPUTED_VALUE"""),356.4107656113521)</f>
        <v>356.4107656</v>
      </c>
      <c r="Y745" s="57">
        <f>IFERROR(__xludf.DUMMYFUNCTION("""COMPUTED_VALUE"""),0.7916081616338292)</f>
        <v>0.7916081616</v>
      </c>
      <c r="Z745" s="57">
        <f>IFERROR(__xludf.DUMMYFUNCTION("""COMPUTED_VALUE"""),0.5674816445395363)</f>
        <v>0.5674816445</v>
      </c>
      <c r="AA745" s="57">
        <f>IFERROR(__xludf.DUMMYFUNCTION("""COMPUTED_VALUE"""),1.3656184902276325)</f>
        <v>1.36561849</v>
      </c>
      <c r="AB745" s="57">
        <f>IFERROR(__xludf.DUMMYFUNCTION("""COMPUTED_VALUE"""),2.547189520969678)</f>
        <v>2.547189521</v>
      </c>
      <c r="AC745" s="31">
        <f>IFERROR(__xludf.DUMMYFUNCTION("""COMPUTED_VALUE"""),364.1734710013037)</f>
        <v>364.173471</v>
      </c>
      <c r="AD745" s="57">
        <f>IFERROR(__xludf.DUMMYFUNCTION("""COMPUTED_VALUE"""),0.8311408740616919)</f>
        <v>0.8311408741</v>
      </c>
      <c r="AE745" s="57">
        <f>IFERROR(__xludf.DUMMYFUNCTION("""COMPUTED_VALUE"""),0.6171952172446039)</f>
        <v>0.6171952172</v>
      </c>
      <c r="AF745" s="57">
        <f>IFERROR(__xludf.DUMMYFUNCTION("""COMPUTED_VALUE"""),1.3229728224921986)</f>
        <v>1.322972822</v>
      </c>
      <c r="AG745" s="57">
        <f>IFERROR(__xludf.DUMMYFUNCTION("""COMPUTED_VALUE"""),2.785169348952245)</f>
        <v>2.785169349</v>
      </c>
      <c r="AH745" s="57">
        <f>IFERROR(__xludf.DUMMYFUNCTION("""COMPUTED_VALUE"""),1.0046232688262817)</f>
        <v>1.004623269</v>
      </c>
      <c r="AI745" s="57">
        <f>IFERROR(__xludf.DUMMYFUNCTION("""COMPUTED_VALUE"""),1.1601952742058739)</f>
        <v>1.160195274</v>
      </c>
      <c r="AJ745" s="57">
        <f>IFERROR(__xludf.DUMMYFUNCTION("""COMPUTED_VALUE"""),0.6365200699561603)</f>
        <v>0.63652007</v>
      </c>
      <c r="AK745" s="57">
        <f>IFERROR(__xludf.DUMMYFUNCTION("""COMPUTED_VALUE"""),0.8908508236406939)</f>
        <v>0.8908508236</v>
      </c>
      <c r="AL745" s="57">
        <f>IFERROR(__xludf.DUMMYFUNCTION("""COMPUTED_VALUE"""),1.0386647203141917)</f>
        <v>1.03866472</v>
      </c>
      <c r="AM745" s="57">
        <f>IFERROR(__xludf.DUMMYFUNCTION("""COMPUTED_VALUE"""),0.8669437768191072)</f>
        <v>0.8669437768</v>
      </c>
      <c r="AN745" s="57">
        <f>IFERROR(__xludf.DUMMYFUNCTION("""COMPUTED_VALUE"""),0.7970513841723602)</f>
        <v>0.7970513842</v>
      </c>
      <c r="AO745" s="57">
        <f>IFERROR(__xludf.DUMMYFUNCTION("""COMPUTED_VALUE"""),0.7342381391115422)</f>
        <v>0.7342381391</v>
      </c>
      <c r="AP745" s="35">
        <f>IFERROR(__xludf.DUMMYFUNCTION("""COMPUTED_VALUE"""),0.8368787849867513)</f>
        <v>0.836878785</v>
      </c>
      <c r="AQ745" s="57">
        <f>IFERROR(__xludf.DUMMYFUNCTION("""COMPUTED_VALUE"""),0.8833264982746387)</f>
        <v>0.8833264983</v>
      </c>
      <c r="AR745" s="36" t="b">
        <f>IFERROR(__xludf.DUMMYFUNCTION("""COMPUTED_VALUE"""),TRUE)</f>
        <v>1</v>
      </c>
      <c r="AS745" s="57"/>
      <c r="AT745" s="37"/>
      <c r="AU745" s="30"/>
      <c r="AV745" s="30"/>
      <c r="AW745" s="30"/>
      <c r="AX745" s="30"/>
      <c r="AY745" s="30"/>
      <c r="AZ745" s="30"/>
    </row>
    <row r="746">
      <c r="A746" s="30" t="str">
        <f>IFERROR(__xludf.DUMMYFUNCTION("""COMPUTED_VALUE"""),"Veteran")</f>
        <v>Veteran</v>
      </c>
      <c r="B746" s="30" t="str">
        <f>IFERROR(__xludf.DUMMYFUNCTION("""COMPUTED_VALUE"""),"RSC007760")</f>
        <v>RSC007760</v>
      </c>
      <c r="C746" s="30" t="str">
        <f>IFERROR(__xludf.DUMMYFUNCTION("""COMPUTED_VALUE"""),"BossMan")</f>
        <v>BossMan</v>
      </c>
      <c r="D746" s="31" t="str">
        <f>IFERROR(__xludf.DUMMYFUNCTION("""COMPUTED_VALUE"""),"Blacksmiths")</f>
        <v>Blacksmiths</v>
      </c>
      <c r="E746" s="31">
        <f>IFERROR(__xludf.DUMMYFUNCTION("""COMPUTED_VALUE"""),60.92096788645413)</f>
        <v>60.92096789</v>
      </c>
      <c r="F746" s="31">
        <f>IFERROR(__xludf.DUMMYFUNCTION("""COMPUTED_VALUE"""),3.020106421409488)</f>
        <v>3.020106421</v>
      </c>
      <c r="G746" s="31">
        <f>IFERROR(__xludf.DUMMYFUNCTION("""COMPUTED_VALUE"""),50.27606702289749)</f>
        <v>50.27606702</v>
      </c>
      <c r="H746" s="31">
        <f>IFERROR(__xludf.DUMMYFUNCTION("""COMPUTED_VALUE"""),2.017777844677495)</f>
        <v>2.017777845</v>
      </c>
      <c r="I746" s="54">
        <f>IFERROR(__xludf.DUMMYFUNCTION("""COMPUTED_VALUE"""),36.0)</f>
        <v>36</v>
      </c>
      <c r="J746" s="55">
        <f>IFERROR(__xludf.DUMMYFUNCTION("""COMPUTED_VALUE"""),20.0)</f>
        <v>20</v>
      </c>
      <c r="K746" s="54">
        <f>IFERROR(__xludf.DUMMYFUNCTION("""COMPUTED_VALUE"""),16.0)</f>
        <v>16</v>
      </c>
      <c r="L746" s="56">
        <f>IFERROR(__xludf.DUMMYFUNCTION("""COMPUTED_VALUE"""),0.5555555555555556)</f>
        <v>0.5555555556</v>
      </c>
      <c r="M746" s="56">
        <f>IFERROR(__xludf.DUMMYFUNCTION("""COMPUTED_VALUE"""),0.30275229357798167)</f>
        <v>0.3027522936</v>
      </c>
      <c r="N746" s="31">
        <f>IFERROR(__xludf.DUMMYFUNCTION("""COMPUTED_VALUE"""),329.3611111111111)</f>
        <v>329.3611111</v>
      </c>
      <c r="O746" s="57">
        <f>IFERROR(__xludf.DUMMYFUNCTION("""COMPUTED_VALUE"""),0.9166666666666666)</f>
        <v>0.9166666667</v>
      </c>
      <c r="P746" s="57">
        <f>IFERROR(__xludf.DUMMYFUNCTION("""COMPUTED_VALUE"""),0.5)</f>
        <v>0.5</v>
      </c>
      <c r="Q746" s="57">
        <f>IFERROR(__xludf.DUMMYFUNCTION("""COMPUTED_VALUE"""),1.0833333333333333)</f>
        <v>1.083333333</v>
      </c>
      <c r="R746" s="57">
        <f>IFERROR(__xludf.DUMMYFUNCTION("""COMPUTED_VALUE"""),3.0277777777777777)</f>
        <v>3.027777778</v>
      </c>
      <c r="S746" s="31">
        <f>IFERROR(__xludf.DUMMYFUNCTION("""COMPUTED_VALUE"""),364.2222222222222)</f>
        <v>364.2222222</v>
      </c>
      <c r="T746" s="57">
        <f>IFERROR(__xludf.DUMMYFUNCTION("""COMPUTED_VALUE"""),0.7685185185185186)</f>
        <v>0.7685185185</v>
      </c>
      <c r="U746" s="57">
        <f>IFERROR(__xludf.DUMMYFUNCTION("""COMPUTED_VALUE"""),0.6296296296296298)</f>
        <v>0.6296296296</v>
      </c>
      <c r="V746" s="57">
        <f>IFERROR(__xludf.DUMMYFUNCTION("""COMPUTED_VALUE"""),1.5185185185185184)</f>
        <v>1.518518519</v>
      </c>
      <c r="W746" s="57">
        <f>IFERROR(__xludf.DUMMYFUNCTION("""COMPUTED_VALUE"""),2.407407407407407)</f>
        <v>2.407407407</v>
      </c>
      <c r="X746" s="31">
        <f>IFERROR(__xludf.DUMMYFUNCTION("""COMPUTED_VALUE"""),352.51101807503505)</f>
        <v>352.5110181</v>
      </c>
      <c r="Y746" s="57">
        <f>IFERROR(__xludf.DUMMYFUNCTION("""COMPUTED_VALUE"""),0.7776810414092754)</f>
        <v>0.7776810414</v>
      </c>
      <c r="Z746" s="57">
        <f>IFERROR(__xludf.DUMMYFUNCTION("""COMPUTED_VALUE"""),0.574552214216324)</f>
        <v>0.5745522142</v>
      </c>
      <c r="AA746" s="57">
        <f>IFERROR(__xludf.DUMMYFUNCTION("""COMPUTED_VALUE"""),1.3898581116329183)</f>
        <v>1.389858112</v>
      </c>
      <c r="AB746" s="57">
        <f>IFERROR(__xludf.DUMMYFUNCTION("""COMPUTED_VALUE"""),2.6243962417591096)</f>
        <v>2.624396242</v>
      </c>
      <c r="AC746" s="31">
        <f>IFERROR(__xludf.DUMMYFUNCTION("""COMPUTED_VALUE"""),342.8828393728998)</f>
        <v>342.8828394</v>
      </c>
      <c r="AD746" s="57">
        <f>IFERROR(__xludf.DUMMYFUNCTION("""COMPUTED_VALUE"""),0.7486856502540923)</f>
        <v>0.7486856503</v>
      </c>
      <c r="AE746" s="57">
        <f>IFERROR(__xludf.DUMMYFUNCTION("""COMPUTED_VALUE"""),0.5262238232112881)</f>
        <v>0.5262238232</v>
      </c>
      <c r="AF746" s="57">
        <f>IFERROR(__xludf.DUMMYFUNCTION("""COMPUTED_VALUE"""),1.3526063554975445)</f>
        <v>1.352606355</v>
      </c>
      <c r="AG746" s="57">
        <f>IFERROR(__xludf.DUMMYFUNCTION("""COMPUTED_VALUE"""),2.5386195612759375)</f>
        <v>2.538619561</v>
      </c>
      <c r="AH746" s="57">
        <f>IFERROR(__xludf.DUMMYFUNCTION("""COMPUTED_VALUE"""),0.9605645815156025)</f>
        <v>0.9605645815</v>
      </c>
      <c r="AI746" s="57">
        <f>IFERROR(__xludf.DUMMYFUNCTION("""COMPUTED_VALUE"""),1.2243678857148714)</f>
        <v>1.224367886</v>
      </c>
      <c r="AJ746" s="57">
        <f>IFERROR(__xludf.DUMMYFUNCTION("""COMPUTED_VALUE"""),0.9501660281146967)</f>
        <v>0.9501660281</v>
      </c>
      <c r="AK746" s="57">
        <f>IFERROR(__xludf.DUMMYFUNCTION("""COMPUTED_VALUE"""),0.8009228471611303)</f>
        <v>0.8009228472</v>
      </c>
      <c r="AL746" s="57">
        <f>IFERROR(__xludf.DUMMYFUNCTION("""COMPUTED_VALUE"""),1.192686696330341)</f>
        <v>1.192686696</v>
      </c>
      <c r="AM746" s="57">
        <f>IFERROR(__xludf.DUMMYFUNCTION("""COMPUTED_VALUE"""),1.0332222357506404)</f>
        <v>1.033222236</v>
      </c>
      <c r="AN746" s="57">
        <f>IFERROR(__xludf.DUMMYFUNCTION("""COMPUTED_VALUE"""),0.9882181480544351)</f>
        <v>0.9882181481</v>
      </c>
      <c r="AO746" s="57">
        <f>IFERROR(__xludf.DUMMYFUNCTION("""COMPUTED_VALUE"""),1.095861462284033)</f>
        <v>1.095861462</v>
      </c>
      <c r="AP746" s="35">
        <f>IFERROR(__xludf.DUMMYFUNCTION("""COMPUTED_VALUE"""),1.092570893250707)</f>
        <v>1.092570893</v>
      </c>
      <c r="AQ746" s="57">
        <f>IFERROR(__xludf.DUMMYFUNCTION("""COMPUTED_VALUE"""),0.9173185699251509)</f>
        <v>0.9173185699</v>
      </c>
      <c r="AR746" s="36" t="b">
        <f>IFERROR(__xludf.DUMMYFUNCTION("""COMPUTED_VALUE"""),TRUE)</f>
        <v>1</v>
      </c>
      <c r="AS746" s="57"/>
      <c r="AT746" s="37"/>
      <c r="AU746" s="30"/>
      <c r="AV746" s="30"/>
      <c r="AW746" s="30"/>
      <c r="AX746" s="30"/>
      <c r="AY746" s="30"/>
      <c r="AZ746" s="30"/>
    </row>
    <row r="747">
      <c r="A747" s="30" t="str">
        <f>IFERROR(__xludf.DUMMYFUNCTION("""COMPUTED_VALUE"""),"Veteran")</f>
        <v>Veteran</v>
      </c>
      <c r="B747" s="30" t="str">
        <f>IFERROR(__xludf.DUMMYFUNCTION("""COMPUTED_VALUE"""),"RSC000278")</f>
        <v>RSC000278</v>
      </c>
      <c r="C747" s="30" t="str">
        <f>IFERROR(__xludf.DUMMYFUNCTION("""COMPUTED_VALUE"""),"Tinsel")</f>
        <v>Tinsel</v>
      </c>
      <c r="D747" s="31" t="str">
        <f>IFERROR(__xludf.DUMMYFUNCTION("""COMPUTED_VALUE"""),"Peppermint")</f>
        <v>Peppermint</v>
      </c>
      <c r="E747" s="31">
        <f>IFERROR(__xludf.DUMMYFUNCTION("""COMPUTED_VALUE"""),60.88648899436507)</f>
        <v>60.88648899</v>
      </c>
      <c r="F747" s="31">
        <f>IFERROR(__xludf.DUMMYFUNCTION("""COMPUTED_VALUE"""),3.0155501973390404)</f>
        <v>3.015550197</v>
      </c>
      <c r="G747" s="31">
        <f>IFERROR(__xludf.DUMMYFUNCTION("""COMPUTED_VALUE"""),53.91698199339383)</f>
        <v>53.91698199</v>
      </c>
      <c r="H747" s="31">
        <f>IFERROR(__xludf.DUMMYFUNCTION("""COMPUTED_VALUE"""),2.2844151251221914)</f>
        <v>2.284415125</v>
      </c>
      <c r="I747" s="54">
        <f>IFERROR(__xludf.DUMMYFUNCTION("""COMPUTED_VALUE"""),17.0)</f>
        <v>17</v>
      </c>
      <c r="J747" s="55">
        <f>IFERROR(__xludf.DUMMYFUNCTION("""COMPUTED_VALUE"""),5.0)</f>
        <v>5</v>
      </c>
      <c r="K747" s="54">
        <f>IFERROR(__xludf.DUMMYFUNCTION("""COMPUTED_VALUE"""),12.0)</f>
        <v>12</v>
      </c>
      <c r="L747" s="56">
        <f>IFERROR(__xludf.DUMMYFUNCTION("""COMPUTED_VALUE"""),0.29411764705882354)</f>
        <v>0.2941176471</v>
      </c>
      <c r="M747" s="56">
        <f>IFERROR(__xludf.DUMMYFUNCTION("""COMPUTED_VALUE"""),0.2692307692307692)</f>
        <v>0.2692307692</v>
      </c>
      <c r="N747" s="31">
        <f>IFERROR(__xludf.DUMMYFUNCTION("""COMPUTED_VALUE"""),384.4117647058824)</f>
        <v>384.4117647</v>
      </c>
      <c r="O747" s="57">
        <f>IFERROR(__xludf.DUMMYFUNCTION("""COMPUTED_VALUE"""),0.8235294117647058)</f>
        <v>0.8235294118</v>
      </c>
      <c r="P747" s="57">
        <f>IFERROR(__xludf.DUMMYFUNCTION("""COMPUTED_VALUE"""),0.7647058823529411)</f>
        <v>0.7647058824</v>
      </c>
      <c r="Q747" s="57">
        <f>IFERROR(__xludf.DUMMYFUNCTION("""COMPUTED_VALUE"""),1.3529411764705883)</f>
        <v>1.352941176</v>
      </c>
      <c r="R747" s="57">
        <f>IFERROR(__xludf.DUMMYFUNCTION("""COMPUTED_VALUE"""),3.0588235294117645)</f>
        <v>3.058823529</v>
      </c>
      <c r="S747" s="31">
        <f>IFERROR(__xludf.DUMMYFUNCTION("""COMPUTED_VALUE"""),416.4705882352941)</f>
        <v>416.4705882</v>
      </c>
      <c r="T747" s="57">
        <f>IFERROR(__xludf.DUMMYFUNCTION("""COMPUTED_VALUE"""),1.215686274509804)</f>
        <v>1.215686275</v>
      </c>
      <c r="U747" s="57">
        <f>IFERROR(__xludf.DUMMYFUNCTION("""COMPUTED_VALUE"""),0.8823529411764705)</f>
        <v>0.8823529412</v>
      </c>
      <c r="V747" s="57">
        <f>IFERROR(__xludf.DUMMYFUNCTION("""COMPUTED_VALUE"""),1.3333333333333333)</f>
        <v>1.333333333</v>
      </c>
      <c r="W747" s="57">
        <f>IFERROR(__xludf.DUMMYFUNCTION("""COMPUTED_VALUE"""),3.2941176470588234)</f>
        <v>3.294117647</v>
      </c>
      <c r="X747" s="31">
        <f>IFERROR(__xludf.DUMMYFUNCTION("""COMPUTED_VALUE"""),355.69238767333565)</f>
        <v>355.6923877</v>
      </c>
      <c r="Y747" s="57">
        <f>IFERROR(__xludf.DUMMYFUNCTION("""COMPUTED_VALUE"""),0.8427340648889546)</f>
        <v>0.8427340649</v>
      </c>
      <c r="Z747" s="57">
        <f>IFERROR(__xludf.DUMMYFUNCTION("""COMPUTED_VALUE"""),0.5575700346821274)</f>
        <v>0.5575700347</v>
      </c>
      <c r="AA747" s="57">
        <f>IFERROR(__xludf.DUMMYFUNCTION("""COMPUTED_VALUE"""),1.2686753880457209)</f>
        <v>1.268675388</v>
      </c>
      <c r="AB747" s="57">
        <f>IFERROR(__xludf.DUMMYFUNCTION("""COMPUTED_VALUE"""),2.742334588541563)</f>
        <v>2.742334589</v>
      </c>
      <c r="AC747" s="31">
        <f>IFERROR(__xludf.DUMMYFUNCTION("""COMPUTED_VALUE"""),346.4000406436466)</f>
        <v>346.4000406</v>
      </c>
      <c r="AD747" s="57">
        <f>IFERROR(__xludf.DUMMYFUNCTION("""COMPUTED_VALUE"""),0.7750752076738537)</f>
        <v>0.7750752077</v>
      </c>
      <c r="AE747" s="57">
        <f>IFERROR(__xludf.DUMMYFUNCTION("""COMPUTED_VALUE"""),0.5747084764771282)</f>
        <v>0.5747084765</v>
      </c>
      <c r="AF747" s="57">
        <f>IFERROR(__xludf.DUMMYFUNCTION("""COMPUTED_VALUE"""),1.3115224291493035)</f>
        <v>1.311522429</v>
      </c>
      <c r="AG747" s="57">
        <f>IFERROR(__xludf.DUMMYFUNCTION("""COMPUTED_VALUE"""),2.5033418356096373)</f>
        <v>2.503341836</v>
      </c>
      <c r="AH747" s="57">
        <f>IFERROR(__xludf.DUMMYFUNCTION("""COMPUTED_VALUE"""),1.1097336016231583)</f>
        <v>1.109733602</v>
      </c>
      <c r="AI747" s="57">
        <f>IFERROR(__xludf.DUMMYFUNCTION("""COMPUTED_VALUE"""),1.0625154870277327)</f>
        <v>1.062515487</v>
      </c>
      <c r="AJ747" s="57">
        <f>IFERROR(__xludf.DUMMYFUNCTION("""COMPUTED_VALUE"""),1.3305978833659577)</f>
        <v>1.330597883</v>
      </c>
      <c r="AK747" s="57">
        <f>IFERROR(__xludf.DUMMYFUNCTION("""COMPUTED_VALUE"""),1.0315806625954163)</f>
        <v>1.031580663</v>
      </c>
      <c r="AL747" s="57">
        <f>IFERROR(__xludf.DUMMYFUNCTION("""COMPUTED_VALUE"""),1.221896061456925)</f>
        <v>1.221896061</v>
      </c>
      <c r="AM747" s="57">
        <f>IFERROR(__xludf.DUMMYFUNCTION("""COMPUTED_VALUE"""),1.1708729302854144)</f>
        <v>1.17087293</v>
      </c>
      <c r="AN747" s="57">
        <f>IFERROR(__xludf.DUMMYFUNCTION("""COMPUTED_VALUE"""),1.4425502957092313)</f>
        <v>1.442550296</v>
      </c>
      <c r="AO747" s="57">
        <f>IFERROR(__xludf.DUMMYFUNCTION("""COMPUTED_VALUE"""),1.5824970609826672)</f>
        <v>1.582497061</v>
      </c>
      <c r="AP747" s="35">
        <f>IFERROR(__xludf.DUMMYFUNCTION("""COMPUTED_VALUE"""),1.0509649244376154)</f>
        <v>1.050964924</v>
      </c>
      <c r="AQ747" s="57">
        <f>IFERROR(__xludf.DUMMYFUNCTION("""COMPUTED_VALUE"""),1.2012092400478058)</f>
        <v>1.20120924</v>
      </c>
      <c r="AR747" s="36" t="b">
        <f>IFERROR(__xludf.DUMMYFUNCTION("""COMPUTED_VALUE"""),TRUE)</f>
        <v>1</v>
      </c>
      <c r="AS747" s="57"/>
      <c r="AT747" s="37"/>
      <c r="AU747" s="30"/>
      <c r="AV747" s="30"/>
      <c r="AW747" s="30"/>
      <c r="AX747" s="30"/>
      <c r="AY747" s="30"/>
      <c r="AZ747" s="30"/>
    </row>
    <row r="748">
      <c r="A748" s="30" t="str">
        <f>IFERROR(__xludf.DUMMYFUNCTION("""COMPUTED_VALUE"""),"Veteran")</f>
        <v>Veteran</v>
      </c>
      <c r="B748" s="30" t="str">
        <f>IFERROR(__xludf.DUMMYFUNCTION("""COMPUTED_VALUE"""),"RSC007846")</f>
        <v>RSC007846</v>
      </c>
      <c r="C748" s="30" t="str">
        <f>IFERROR(__xludf.DUMMYFUNCTION("""COMPUTED_VALUE"""),"Lovegreyhounds")</f>
        <v>Lovegreyhounds</v>
      </c>
      <c r="D748" s="31" t="str">
        <f>IFERROR(__xludf.DUMMYFUNCTION("""COMPUTED_VALUE"""),"Water")</f>
        <v>Water</v>
      </c>
      <c r="E748" s="31">
        <f>IFERROR(__xludf.DUMMYFUNCTION("""COMPUTED_VALUE"""),60.78962468682812)</f>
        <v>60.78962469</v>
      </c>
      <c r="F748" s="31">
        <f>IFERROR(__xludf.DUMMYFUNCTION("""COMPUTED_VALUE"""),3.002808805670988)</f>
        <v>3.002808806</v>
      </c>
      <c r="G748" s="31">
        <f>IFERROR(__xludf.DUMMYFUNCTION("""COMPUTED_VALUE"""),57.92807260102541)</f>
        <v>57.9280726</v>
      </c>
      <c r="H748" s="31">
        <f>IFERROR(__xludf.DUMMYFUNCTION("""COMPUTED_VALUE"""),2.6625828105046)</f>
        <v>2.662582811</v>
      </c>
      <c r="I748" s="54">
        <f>IFERROR(__xludf.DUMMYFUNCTION("""COMPUTED_VALUE"""),25.0)</f>
        <v>25</v>
      </c>
      <c r="J748" s="55">
        <f>IFERROR(__xludf.DUMMYFUNCTION("""COMPUTED_VALUE"""),11.0)</f>
        <v>11</v>
      </c>
      <c r="K748" s="54">
        <f>IFERROR(__xludf.DUMMYFUNCTION("""COMPUTED_VALUE"""),14.0)</f>
        <v>14</v>
      </c>
      <c r="L748" s="56">
        <f>IFERROR(__xludf.DUMMYFUNCTION("""COMPUTED_VALUE"""),0.44)</f>
        <v>0.44</v>
      </c>
      <c r="M748" s="56">
        <f>IFERROR(__xludf.DUMMYFUNCTION("""COMPUTED_VALUE"""),0.3194444444444445)</f>
        <v>0.3194444444</v>
      </c>
      <c r="N748" s="31">
        <f>IFERROR(__xludf.DUMMYFUNCTION("""COMPUTED_VALUE"""),390.48)</f>
        <v>390.48</v>
      </c>
      <c r="O748" s="57">
        <f>IFERROR(__xludf.DUMMYFUNCTION("""COMPUTED_VALUE"""),0.92)</f>
        <v>0.92</v>
      </c>
      <c r="P748" s="57">
        <f>IFERROR(__xludf.DUMMYFUNCTION("""COMPUTED_VALUE"""),0.48)</f>
        <v>0.48</v>
      </c>
      <c r="Q748" s="57">
        <f>IFERROR(__xludf.DUMMYFUNCTION("""COMPUTED_VALUE"""),1.6)</f>
        <v>1.6</v>
      </c>
      <c r="R748" s="57">
        <f>IFERROR(__xludf.DUMMYFUNCTION("""COMPUTED_VALUE"""),2.88)</f>
        <v>2.88</v>
      </c>
      <c r="S748" s="31">
        <f>IFERROR(__xludf.DUMMYFUNCTION("""COMPUTED_VALUE"""),335.4933333333333)</f>
        <v>335.4933333</v>
      </c>
      <c r="T748" s="57">
        <f>IFERROR(__xludf.DUMMYFUNCTION("""COMPUTED_VALUE"""),0.76)</f>
        <v>0.76</v>
      </c>
      <c r="U748" s="57">
        <f>IFERROR(__xludf.DUMMYFUNCTION("""COMPUTED_VALUE"""),0.56)</f>
        <v>0.56</v>
      </c>
      <c r="V748" s="57">
        <f>IFERROR(__xludf.DUMMYFUNCTION("""COMPUTED_VALUE"""),1.1466666666666665)</f>
        <v>1.146666667</v>
      </c>
      <c r="W748" s="57">
        <f>IFERROR(__xludf.DUMMYFUNCTION("""COMPUTED_VALUE"""),2.6266666666666665)</f>
        <v>2.626666667</v>
      </c>
      <c r="X748" s="31">
        <f>IFERROR(__xludf.DUMMYFUNCTION("""COMPUTED_VALUE"""),357.97496960232127)</f>
        <v>357.9749696</v>
      </c>
      <c r="Y748" s="57">
        <f>IFERROR(__xludf.DUMMYFUNCTION("""COMPUTED_VALUE"""),0.814643005732759)</f>
        <v>0.8146430057</v>
      </c>
      <c r="Z748" s="57">
        <f>IFERROR(__xludf.DUMMYFUNCTION("""COMPUTED_VALUE"""),0.624518009497706)</f>
        <v>0.6245180095</v>
      </c>
      <c r="AA748" s="57">
        <f>IFERROR(__xludf.DUMMYFUNCTION("""COMPUTED_VALUE"""),1.3252624700059235)</f>
        <v>1.32526247</v>
      </c>
      <c r="AB748" s="57">
        <f>IFERROR(__xludf.DUMMYFUNCTION("""COMPUTED_VALUE"""),2.6211925142816983)</f>
        <v>2.621192514</v>
      </c>
      <c r="AC748" s="31">
        <f>IFERROR(__xludf.DUMMYFUNCTION("""COMPUTED_VALUE"""),367.7489644789815)</f>
        <v>367.7489645</v>
      </c>
      <c r="AD748" s="57">
        <f>IFERROR(__xludf.DUMMYFUNCTION("""COMPUTED_VALUE"""),0.8367387150320107)</f>
        <v>0.836738715</v>
      </c>
      <c r="AE748" s="57">
        <f>IFERROR(__xludf.DUMMYFUNCTION("""COMPUTED_VALUE"""),0.6083820356816562)</f>
        <v>0.6083820357</v>
      </c>
      <c r="AF748" s="57">
        <f>IFERROR(__xludf.DUMMYFUNCTION("""COMPUTED_VALUE"""),1.3736596009491011)</f>
        <v>1.373659601</v>
      </c>
      <c r="AG748" s="57">
        <f>IFERROR(__xludf.DUMMYFUNCTION("""COMPUTED_VALUE"""),2.804444813576566)</f>
        <v>2.804444814</v>
      </c>
      <c r="AH748" s="57">
        <f>IFERROR(__xludf.DUMMYFUNCTION("""COMPUTED_VALUE"""),1.061811283556497)</f>
        <v>1.061811284</v>
      </c>
      <c r="AI748" s="57">
        <f>IFERROR(__xludf.DUMMYFUNCTION("""COMPUTED_VALUE"""),1.0995069111446625)</f>
        <v>1.099506911</v>
      </c>
      <c r="AJ748" s="57">
        <f>IFERROR(__xludf.DUMMYFUNCTION("""COMPUTED_VALUE"""),0.7889779313785759)</f>
        <v>0.7889779314</v>
      </c>
      <c r="AK748" s="57">
        <f>IFERROR(__xludf.DUMMYFUNCTION("""COMPUTED_VALUE"""),1.1647718247624912)</f>
        <v>1.164771825</v>
      </c>
      <c r="AL748" s="57">
        <f>IFERROR(__xludf.DUMMYFUNCTION("""COMPUTED_VALUE"""),1.0269412277459213)</f>
        <v>1.026941228</v>
      </c>
      <c r="AM748" s="57">
        <f>IFERROR(__xludf.DUMMYFUNCTION("""COMPUTED_VALUE"""),0.9371977423618106)</f>
        <v>0.9371977424</v>
      </c>
      <c r="AN748" s="57">
        <f>IFERROR(__xludf.DUMMYFUNCTION("""COMPUTED_VALUE"""),0.9329239859076572)</f>
        <v>0.9329239859</v>
      </c>
      <c r="AO748" s="57">
        <f>IFERROR(__xludf.DUMMYFUNCTION("""COMPUTED_VALUE"""),0.896691514869848)</f>
        <v>0.8966915149</v>
      </c>
      <c r="AP748" s="35">
        <f>IFERROR(__xludf.DUMMYFUNCTION("""COMPUTED_VALUE"""),0.8652374096593419)</f>
        <v>0.8652374097</v>
      </c>
      <c r="AQ748" s="57">
        <f>IFERROR(__xludf.DUMMYFUNCTION("""COMPUTED_VALUE"""),1.0020884205777112)</f>
        <v>1.002088421</v>
      </c>
      <c r="AR748" s="36" t="b">
        <f>IFERROR(__xludf.DUMMYFUNCTION("""COMPUTED_VALUE"""),TRUE)</f>
        <v>1</v>
      </c>
      <c r="AS748" s="57"/>
      <c r="AT748" s="37"/>
      <c r="AU748" s="30"/>
      <c r="AV748" s="30"/>
      <c r="AW748" s="30"/>
      <c r="AX748" s="30"/>
      <c r="AY748" s="30"/>
      <c r="AZ748" s="30"/>
    </row>
    <row r="749">
      <c r="A749" s="30" t="str">
        <f>IFERROR(__xludf.DUMMYFUNCTION("""COMPUTED_VALUE"""),"Veteran")</f>
        <v>Veteran</v>
      </c>
      <c r="B749" s="30" t="str">
        <f>IFERROR(__xludf.DUMMYFUNCTION("""COMPUTED_VALUE"""),"RSC000550")</f>
        <v>RSC000550</v>
      </c>
      <c r="C749" s="30" t="str">
        <f>IFERROR(__xludf.DUMMYFUNCTION("""COMPUTED_VALUE"""),"ARJ")</f>
        <v>ARJ</v>
      </c>
      <c r="D749" s="31" t="str">
        <f>IFERROR(__xludf.DUMMYFUNCTION("""COMPUTED_VALUE"""),"Giraffes")</f>
        <v>Giraffes</v>
      </c>
      <c r="E749" s="31">
        <f>IFERROR(__xludf.DUMMYFUNCTION("""COMPUTED_VALUE"""),60.028644299603386)</f>
        <v>60.0286443</v>
      </c>
      <c r="F749" s="31">
        <f>IFERROR(__xludf.DUMMYFUNCTION("""COMPUTED_VALUE"""),2.9056556713609343)</f>
        <v>2.905655671</v>
      </c>
      <c r="G749" s="31">
        <f>IFERROR(__xludf.DUMMYFUNCTION("""COMPUTED_VALUE"""),51.314032996739144)</f>
        <v>51.314033</v>
      </c>
      <c r="H749" s="31">
        <f>IFERROR(__xludf.DUMMYFUNCTION("""COMPUTED_VALUE"""),2.087505219869837)</f>
        <v>2.08750522</v>
      </c>
      <c r="I749" s="54">
        <f>IFERROR(__xludf.DUMMYFUNCTION("""COMPUTED_VALUE"""),32.0)</f>
        <v>32</v>
      </c>
      <c r="J749" s="55">
        <f>IFERROR(__xludf.DUMMYFUNCTION("""COMPUTED_VALUE"""),16.0)</f>
        <v>16</v>
      </c>
      <c r="K749" s="54">
        <f>IFERROR(__xludf.DUMMYFUNCTION("""COMPUTED_VALUE"""),16.0)</f>
        <v>16</v>
      </c>
      <c r="L749" s="56">
        <f>IFERROR(__xludf.DUMMYFUNCTION("""COMPUTED_VALUE"""),0.5)</f>
        <v>0.5</v>
      </c>
      <c r="M749" s="56">
        <f>IFERROR(__xludf.DUMMYFUNCTION("""COMPUTED_VALUE"""),0.3670886075949367)</f>
        <v>0.3670886076</v>
      </c>
      <c r="N749" s="31">
        <f>IFERROR(__xludf.DUMMYFUNCTION("""COMPUTED_VALUE"""),354.625)</f>
        <v>354.625</v>
      </c>
      <c r="O749" s="57">
        <f>IFERROR(__xludf.DUMMYFUNCTION("""COMPUTED_VALUE"""),0.90625)</f>
        <v>0.90625</v>
      </c>
      <c r="P749" s="57">
        <f>IFERROR(__xludf.DUMMYFUNCTION("""COMPUTED_VALUE"""),0.625)</f>
        <v>0.625</v>
      </c>
      <c r="Q749" s="57">
        <f>IFERROR(__xludf.DUMMYFUNCTION("""COMPUTED_VALUE"""),1.1875)</f>
        <v>1.1875</v>
      </c>
      <c r="R749" s="57">
        <f>IFERROR(__xludf.DUMMYFUNCTION("""COMPUTED_VALUE"""),2.46875)</f>
        <v>2.46875</v>
      </c>
      <c r="S749" s="31">
        <f>IFERROR(__xludf.DUMMYFUNCTION("""COMPUTED_VALUE"""),344.25)</f>
        <v>344.25</v>
      </c>
      <c r="T749" s="57">
        <f>IFERROR(__xludf.DUMMYFUNCTION("""COMPUTED_VALUE"""),0.8125)</f>
        <v>0.8125</v>
      </c>
      <c r="U749" s="57">
        <f>IFERROR(__xludf.DUMMYFUNCTION("""COMPUTED_VALUE"""),0.5729166666666667)</f>
        <v>0.5729166667</v>
      </c>
      <c r="V749" s="57">
        <f>IFERROR(__xludf.DUMMYFUNCTION("""COMPUTED_VALUE"""),1.2604166666666665)</f>
        <v>1.260416667</v>
      </c>
      <c r="W749" s="57">
        <f>IFERROR(__xludf.DUMMYFUNCTION("""COMPUTED_VALUE"""),2.6458333333333335)</f>
        <v>2.645833333</v>
      </c>
      <c r="X749" s="31">
        <f>IFERROR(__xludf.DUMMYFUNCTION("""COMPUTED_VALUE"""),348.46817851115094)</f>
        <v>348.4681785</v>
      </c>
      <c r="Y749" s="57">
        <f>IFERROR(__xludf.DUMMYFUNCTION("""COMPUTED_VALUE"""),0.7804122395614488)</f>
        <v>0.7804122396</v>
      </c>
      <c r="Z749" s="57">
        <f>IFERROR(__xludf.DUMMYFUNCTION("""COMPUTED_VALUE"""),0.5547151864942805)</f>
        <v>0.5547151865</v>
      </c>
      <c r="AA749" s="57">
        <f>IFERROR(__xludf.DUMMYFUNCTION("""COMPUTED_VALUE"""),1.3359648270721534)</f>
        <v>1.335964827</v>
      </c>
      <c r="AB749" s="57">
        <f>IFERROR(__xludf.DUMMYFUNCTION("""COMPUTED_VALUE"""),2.611374569404668)</f>
        <v>2.611374569</v>
      </c>
      <c r="AC749" s="31">
        <f>IFERROR(__xludf.DUMMYFUNCTION("""COMPUTED_VALUE"""),357.0946139707442)</f>
        <v>357.094614</v>
      </c>
      <c r="AD749" s="57">
        <f>IFERROR(__xludf.DUMMYFUNCTION("""COMPUTED_VALUE"""),0.8028708648449917)</f>
        <v>0.8028708648</v>
      </c>
      <c r="AE749" s="57">
        <f>IFERROR(__xludf.DUMMYFUNCTION("""COMPUTED_VALUE"""),0.6095036569928056)</f>
        <v>0.609503657</v>
      </c>
      <c r="AF749" s="57">
        <f>IFERROR(__xludf.DUMMYFUNCTION("""COMPUTED_VALUE"""),1.3722231208155617)</f>
        <v>1.372223121</v>
      </c>
      <c r="AG749" s="57">
        <f>IFERROR(__xludf.DUMMYFUNCTION("""COMPUTED_VALUE"""),2.6193706810735033)</f>
        <v>2.619370681</v>
      </c>
      <c r="AH749" s="57">
        <f>IFERROR(__xludf.DUMMYFUNCTION("""COMPUTED_VALUE"""),0.9930841466823509)</f>
        <v>0.9930841467</v>
      </c>
      <c r="AI749" s="57">
        <f>IFERROR(__xludf.DUMMYFUNCTION("""COMPUTED_VALUE"""),1.1287618466202127)</f>
        <v>1.128761847</v>
      </c>
      <c r="AJ749" s="57">
        <f>IFERROR(__xludf.DUMMYFUNCTION("""COMPUTED_VALUE"""),1.0254245283509058)</f>
        <v>1.025424528</v>
      </c>
      <c r="AK749" s="57">
        <f>IFERROR(__xludf.DUMMYFUNCTION("""COMPUTED_VALUE"""),0.8653840486918963)</f>
        <v>0.8653840487</v>
      </c>
      <c r="AL749" s="57">
        <f>IFERROR(__xludf.DUMMYFUNCTION("""COMPUTED_VALUE"""),0.9424973784116061)</f>
        <v>0.9424973784</v>
      </c>
      <c r="AM749" s="57">
        <f>IFERROR(__xludf.DUMMYFUNCTION("""COMPUTED_VALUE"""),0.98789508261795)</f>
        <v>0.9878950826</v>
      </c>
      <c r="AN749" s="57">
        <f>IFERROR(__xludf.DUMMYFUNCTION("""COMPUTED_VALUE"""),1.0411164238743653)</f>
        <v>1.041116424</v>
      </c>
      <c r="AO749" s="57">
        <f>IFERROR(__xludf.DUMMYFUNCTION("""COMPUTED_VALUE"""),1.0328122983028767)</f>
        <v>1.032812298</v>
      </c>
      <c r="AP749" s="35">
        <f>IFERROR(__xludf.DUMMYFUNCTION("""COMPUTED_VALUE"""),0.9434504869630025)</f>
        <v>0.943450487</v>
      </c>
      <c r="AQ749" s="57">
        <f>IFERROR(__xludf.DUMMYFUNCTION("""COMPUTED_VALUE"""),1.0131956419934507)</f>
        <v>1.013195642</v>
      </c>
      <c r="AR749" s="36" t="b">
        <f>IFERROR(__xludf.DUMMYFUNCTION("""COMPUTED_VALUE"""),TRUE)</f>
        <v>1</v>
      </c>
      <c r="AS749" s="57"/>
      <c r="AT749" s="37"/>
      <c r="AU749" s="30"/>
      <c r="AV749" s="30"/>
      <c r="AW749" s="30"/>
      <c r="AX749" s="30"/>
      <c r="AY749" s="30"/>
      <c r="AZ749" s="30"/>
    </row>
    <row r="750">
      <c r="A750" s="30" t="str">
        <f>IFERROR(__xludf.DUMMYFUNCTION("""COMPUTED_VALUE"""),"Veteran")</f>
        <v>Veteran</v>
      </c>
      <c r="B750" s="30" t="str">
        <f>IFERROR(__xludf.DUMMYFUNCTION("""COMPUTED_VALUE"""),"RSC000023")</f>
        <v>RSC000023</v>
      </c>
      <c r="C750" s="30" t="str">
        <f>IFERROR(__xludf.DUMMYFUNCTION("""COMPUTED_VALUE"""),"n0maa")</f>
        <v>n0maa</v>
      </c>
      <c r="D750" s="31"/>
      <c r="E750" s="31">
        <f>IFERROR(__xludf.DUMMYFUNCTION("""COMPUTED_VALUE"""),59.51514700387209)</f>
        <v>59.515147</v>
      </c>
      <c r="F750" s="31">
        <f>IFERROR(__xludf.DUMMYFUNCTION("""COMPUTED_VALUE"""),2.8429455226325904)</f>
        <v>2.842945523</v>
      </c>
      <c r="G750" s="31">
        <f>IFERROR(__xludf.DUMMYFUNCTION("""COMPUTED_VALUE"""),40.501985441536505)</f>
        <v>40.50198544</v>
      </c>
      <c r="H750" s="31">
        <f>IFERROR(__xludf.DUMMYFUNCTION("""COMPUTED_VALUE"""),-2.8408914629053563)</f>
        <v>-2.840891463</v>
      </c>
      <c r="I750" s="54">
        <f>IFERROR(__xludf.DUMMYFUNCTION("""COMPUTED_VALUE"""),4.0)</f>
        <v>4</v>
      </c>
      <c r="J750" s="55">
        <f>IFERROR(__xludf.DUMMYFUNCTION("""COMPUTED_VALUE"""),1.0)</f>
        <v>1</v>
      </c>
      <c r="K750" s="54">
        <f>IFERROR(__xludf.DUMMYFUNCTION("""COMPUTED_VALUE"""),3.0)</f>
        <v>3</v>
      </c>
      <c r="L750" s="56">
        <f>IFERROR(__xludf.DUMMYFUNCTION("""COMPUTED_VALUE"""),0.25)</f>
        <v>0.25</v>
      </c>
      <c r="M750" s="56">
        <f>IFERROR(__xludf.DUMMYFUNCTION("""COMPUTED_VALUE"""),0.07692307692307693)</f>
        <v>0.07692307692</v>
      </c>
      <c r="N750" s="31">
        <f>IFERROR(__xludf.DUMMYFUNCTION("""COMPUTED_VALUE"""),350.5)</f>
        <v>350.5</v>
      </c>
      <c r="O750" s="57">
        <f>IFERROR(__xludf.DUMMYFUNCTION("""COMPUTED_VALUE"""),0.25)</f>
        <v>0.25</v>
      </c>
      <c r="P750" s="57">
        <f>IFERROR(__xludf.DUMMYFUNCTION("""COMPUTED_VALUE"""),1.25)</f>
        <v>1.25</v>
      </c>
      <c r="Q750" s="57">
        <f>IFERROR(__xludf.DUMMYFUNCTION("""COMPUTED_VALUE"""),1.75)</f>
        <v>1.75</v>
      </c>
      <c r="R750" s="57">
        <f>IFERROR(__xludf.DUMMYFUNCTION("""COMPUTED_VALUE"""),3.25)</f>
        <v>3.25</v>
      </c>
      <c r="S750" s="31">
        <f>IFERROR(__xludf.DUMMYFUNCTION("""COMPUTED_VALUE"""),392.50000000000006)</f>
        <v>392.5</v>
      </c>
      <c r="T750" s="57">
        <f>IFERROR(__xludf.DUMMYFUNCTION("""COMPUTED_VALUE"""),1.1666666666666667)</f>
        <v>1.166666667</v>
      </c>
      <c r="U750" s="57">
        <f>IFERROR(__xludf.DUMMYFUNCTION("""COMPUTED_VALUE"""),0.8333333333333334)</f>
        <v>0.8333333333</v>
      </c>
      <c r="V750" s="57">
        <f>IFERROR(__xludf.DUMMYFUNCTION("""COMPUTED_VALUE"""),1.3333333333333333)</f>
        <v>1.333333333</v>
      </c>
      <c r="W750" s="57">
        <f>IFERROR(__xludf.DUMMYFUNCTION("""COMPUTED_VALUE"""),3.3333333333333335)</f>
        <v>3.333333333</v>
      </c>
      <c r="X750" s="31">
        <f>IFERROR(__xludf.DUMMYFUNCTION("""COMPUTED_VALUE"""),336.0216931216931)</f>
        <v>336.0216931</v>
      </c>
      <c r="Y750" s="57">
        <f>IFERROR(__xludf.DUMMYFUNCTION("""COMPUTED_VALUE"""),0.8116402116402116)</f>
        <v>0.8116402116</v>
      </c>
      <c r="Z750" s="57">
        <f>IFERROR(__xludf.DUMMYFUNCTION("""COMPUTED_VALUE"""),0.7544973544973544)</f>
        <v>0.7544973545</v>
      </c>
      <c r="AA750" s="57">
        <f>IFERROR(__xludf.DUMMYFUNCTION("""COMPUTED_VALUE"""),1.1423280423280424)</f>
        <v>1.142328042</v>
      </c>
      <c r="AB750" s="57">
        <f>IFERROR(__xludf.DUMMYFUNCTION("""COMPUTED_VALUE"""),2.7952380952380955)</f>
        <v>2.795238095</v>
      </c>
      <c r="AC750" s="31">
        <f>IFERROR(__xludf.DUMMYFUNCTION("""COMPUTED_VALUE"""),372.7574955908288)</f>
        <v>372.7574956</v>
      </c>
      <c r="AD750" s="57">
        <f>IFERROR(__xludf.DUMMYFUNCTION("""COMPUTED_VALUE"""),0.8084656084656084)</f>
        <v>0.8084656085</v>
      </c>
      <c r="AE750" s="57">
        <f>IFERROR(__xludf.DUMMYFUNCTION("""COMPUTED_VALUE"""),0.5662257495590829)</f>
        <v>0.5662257496</v>
      </c>
      <c r="AF750" s="57">
        <f>IFERROR(__xludf.DUMMYFUNCTION("""COMPUTED_VALUE"""),1.6357142857142861)</f>
        <v>1.635714286</v>
      </c>
      <c r="AG750" s="57">
        <f>IFERROR(__xludf.DUMMYFUNCTION("""COMPUTED_VALUE"""),2.809347442680776)</f>
        <v>2.809347443</v>
      </c>
      <c r="AH750" s="57">
        <f>IFERROR(__xludf.DUMMYFUNCTION("""COMPUTED_VALUE"""),0.9402896095877289)</f>
        <v>0.9402896096</v>
      </c>
      <c r="AI750" s="57">
        <f>IFERROR(__xludf.DUMMYFUNCTION("""COMPUTED_VALUE"""),0.3092277486910995)</f>
        <v>0.3092277487</v>
      </c>
      <c r="AJ750" s="57">
        <f>IFERROR(__xludf.DUMMYFUNCTION("""COMPUTED_VALUE"""),2.2076000622955925)</f>
        <v>2.207600062</v>
      </c>
      <c r="AK750" s="57">
        <f>IFERROR(__xludf.DUMMYFUNCTION("""COMPUTED_VALUE"""),1.0698689956331875)</f>
        <v>1.069868996</v>
      </c>
      <c r="AL750" s="57">
        <f>IFERROR(__xludf.DUMMYFUNCTION("""COMPUTED_VALUE"""),1.1568522820013811)</f>
        <v>1.156852282</v>
      </c>
      <c r="AM750" s="57">
        <f>IFERROR(__xludf.DUMMYFUNCTION("""COMPUTED_VALUE"""),1.1680793473588411)</f>
        <v>1.168079347</v>
      </c>
      <c r="AN750" s="57">
        <f>IFERROR(__xludf.DUMMYFUNCTION("""COMPUTED_VALUE"""),1.4374185136897002)</f>
        <v>1.437418514</v>
      </c>
      <c r="AO750" s="57">
        <f>IFERROR(__xludf.DUMMYFUNCTION("""COMPUTED_VALUE"""),1.1044880785413747)</f>
        <v>1.104488079</v>
      </c>
      <c r="AP750" s="35">
        <f>IFERROR(__xludf.DUMMYFUNCTION("""COMPUTED_VALUE"""),1.1672070402964334)</f>
        <v>1.16720704</v>
      </c>
      <c r="AQ750" s="57">
        <f>IFERROR(__xludf.DUMMYFUNCTION("""COMPUTED_VALUE"""),1.192504258943782)</f>
        <v>1.192504259</v>
      </c>
      <c r="AR750" s="36" t="b">
        <f>IFERROR(__xludf.DUMMYFUNCTION("""COMPUTED_VALUE"""),TRUE)</f>
        <v>1</v>
      </c>
      <c r="AS750" s="57"/>
      <c r="AT750" s="37"/>
      <c r="AU750" s="30"/>
      <c r="AV750" s="30"/>
      <c r="AW750" s="30"/>
      <c r="AX750" s="30"/>
      <c r="AY750" s="30"/>
      <c r="AZ750" s="30"/>
    </row>
    <row r="751">
      <c r="A751" s="30" t="str">
        <f>IFERROR(__xludf.DUMMYFUNCTION("""COMPUTED_VALUE"""),"Veteran")</f>
        <v>Veteran</v>
      </c>
      <c r="B751" s="30" t="str">
        <f>IFERROR(__xludf.DUMMYFUNCTION("""COMPUTED_VALUE"""),"RSC005088")</f>
        <v>RSC005088</v>
      </c>
      <c r="C751" s="30" t="str">
        <f>IFERROR(__xludf.DUMMYFUNCTION("""COMPUTED_VALUE"""),"Thirteen")</f>
        <v>Thirteen</v>
      </c>
      <c r="D751" s="31" t="str">
        <f>IFERROR(__xludf.DUMMYFUNCTION("""COMPUTED_VALUE"""),"Repossessed")</f>
        <v>Repossessed</v>
      </c>
      <c r="E751" s="31">
        <f>IFERROR(__xludf.DUMMYFUNCTION("""COMPUTED_VALUE"""),59.463706545469776)</f>
        <v>59.46370655</v>
      </c>
      <c r="F751" s="31">
        <f>IFERROR(__xludf.DUMMYFUNCTION("""COMPUTED_VALUE"""),2.836785482361228)</f>
        <v>2.836785482</v>
      </c>
      <c r="G751" s="31">
        <f>IFERROR(__xludf.DUMMYFUNCTION("""COMPUTED_VALUE"""),44.82089119438677)</f>
        <v>44.82089119</v>
      </c>
      <c r="H751" s="31">
        <f>IFERROR(__xludf.DUMMYFUNCTION("""COMPUTED_VALUE"""),-2.392683634237129)</f>
        <v>-2.392683634</v>
      </c>
      <c r="I751" s="54">
        <f>IFERROR(__xludf.DUMMYFUNCTION("""COMPUTED_VALUE"""),22.0)</f>
        <v>22</v>
      </c>
      <c r="J751" s="55">
        <f>IFERROR(__xludf.DUMMYFUNCTION("""COMPUTED_VALUE"""),14.0)</f>
        <v>14</v>
      </c>
      <c r="K751" s="54">
        <f>IFERROR(__xludf.DUMMYFUNCTION("""COMPUTED_VALUE"""),8.0)</f>
        <v>8</v>
      </c>
      <c r="L751" s="56">
        <f>IFERROR(__xludf.DUMMYFUNCTION("""COMPUTED_VALUE"""),0.6363636363636364)</f>
        <v>0.6363636364</v>
      </c>
      <c r="M751" s="56">
        <f>IFERROR(__xludf.DUMMYFUNCTION("""COMPUTED_VALUE"""),0.25925925925925924)</f>
        <v>0.2592592593</v>
      </c>
      <c r="N751" s="31">
        <f>IFERROR(__xludf.DUMMYFUNCTION("""COMPUTED_VALUE"""),321.09090909090907)</f>
        <v>321.0909091</v>
      </c>
      <c r="O751" s="57">
        <f>IFERROR(__xludf.DUMMYFUNCTION("""COMPUTED_VALUE"""),0.6363636363636364)</f>
        <v>0.6363636364</v>
      </c>
      <c r="P751" s="57">
        <f>IFERROR(__xludf.DUMMYFUNCTION("""COMPUTED_VALUE"""),0.8181818181818182)</f>
        <v>0.8181818182</v>
      </c>
      <c r="Q751" s="57">
        <f>IFERROR(__xludf.DUMMYFUNCTION("""COMPUTED_VALUE"""),0.9545454545454546)</f>
        <v>0.9545454545</v>
      </c>
      <c r="R751" s="57">
        <f>IFERROR(__xludf.DUMMYFUNCTION("""COMPUTED_VALUE"""),2.4545454545454546)</f>
        <v>2.454545455</v>
      </c>
      <c r="S751" s="31">
        <f>IFERROR(__xludf.DUMMYFUNCTION("""COMPUTED_VALUE"""),340.60606060606057)</f>
        <v>340.6060606</v>
      </c>
      <c r="T751" s="57">
        <f>IFERROR(__xludf.DUMMYFUNCTION("""COMPUTED_VALUE"""),0.6515151515151515)</f>
        <v>0.6515151515</v>
      </c>
      <c r="U751" s="57">
        <f>IFERROR(__xludf.DUMMYFUNCTION("""COMPUTED_VALUE"""),0.48484848484848475)</f>
        <v>0.4848484848</v>
      </c>
      <c r="V751" s="57">
        <f>IFERROR(__xludf.DUMMYFUNCTION("""COMPUTED_VALUE"""),1.4696969696969695)</f>
        <v>1.46969697</v>
      </c>
      <c r="W751" s="57">
        <f>IFERROR(__xludf.DUMMYFUNCTION("""COMPUTED_VALUE"""),2.454545454545454)</f>
        <v>2.454545455</v>
      </c>
      <c r="X751" s="31">
        <f>IFERROR(__xludf.DUMMYFUNCTION("""COMPUTED_VALUE"""),337.2658711690472)</f>
        <v>337.2658712</v>
      </c>
      <c r="Y751" s="57">
        <f>IFERROR(__xludf.DUMMYFUNCTION("""COMPUTED_VALUE"""),0.6843883554360669)</f>
        <v>0.6843883554</v>
      </c>
      <c r="Z751" s="57">
        <f>IFERROR(__xludf.DUMMYFUNCTION("""COMPUTED_VALUE"""),0.5361646371379005)</f>
        <v>0.5361646371</v>
      </c>
      <c r="AA751" s="57">
        <f>IFERROR(__xludf.DUMMYFUNCTION("""COMPUTED_VALUE"""),1.3423377103076222)</f>
        <v>1.34233771</v>
      </c>
      <c r="AB751" s="57">
        <f>IFERROR(__xludf.DUMMYFUNCTION("""COMPUTED_VALUE"""),2.3279286618609607)</f>
        <v>2.327928662</v>
      </c>
      <c r="AC751" s="31">
        <f>IFERROR(__xludf.DUMMYFUNCTION("""COMPUTED_VALUE"""),343.78366338871706)</f>
        <v>343.7836634</v>
      </c>
      <c r="AD751" s="57">
        <f>IFERROR(__xludf.DUMMYFUNCTION("""COMPUTED_VALUE"""),0.7536911265127793)</f>
        <v>0.7536911265</v>
      </c>
      <c r="AE751" s="57">
        <f>IFERROR(__xludf.DUMMYFUNCTION("""COMPUTED_VALUE"""),0.5407028778898236)</f>
        <v>0.5407028779</v>
      </c>
      <c r="AF751" s="57">
        <f>IFERROR(__xludf.DUMMYFUNCTION("""COMPUTED_VALUE"""),1.29606117997976)</f>
        <v>1.29606118</v>
      </c>
      <c r="AG751" s="57">
        <f>IFERROR(__xludf.DUMMYFUNCTION("""COMPUTED_VALUE"""),2.6045753597797674)</f>
        <v>2.60457536</v>
      </c>
      <c r="AH751" s="57">
        <f>IFERROR(__xludf.DUMMYFUNCTION("""COMPUTED_VALUE"""),0.9339911790044856)</f>
        <v>0.933991179</v>
      </c>
      <c r="AI751" s="57">
        <f>IFERROR(__xludf.DUMMYFUNCTION("""COMPUTED_VALUE"""),0.8443294792496757)</f>
        <v>0.8443294792</v>
      </c>
      <c r="AJ751" s="57">
        <f>IFERROR(__xludf.DUMMYFUNCTION("""COMPUTED_VALUE"""),1.5131819186443005)</f>
        <v>1.513181919</v>
      </c>
      <c r="AK751" s="57">
        <f>IFERROR(__xludf.DUMMYFUNCTION("""COMPUTED_VALUE"""),0.7364972188738508)</f>
        <v>0.7364972189</v>
      </c>
      <c r="AL751" s="57">
        <f>IFERROR(__xludf.DUMMYFUNCTION("""COMPUTED_VALUE"""),0.942397556411269)</f>
        <v>0.9423975564</v>
      </c>
      <c r="AM751" s="57">
        <f>IFERROR(__xludf.DUMMYFUNCTION("""COMPUTED_VALUE"""),1.0099037279563314)</f>
        <v>1.009903728</v>
      </c>
      <c r="AN751" s="57">
        <f>IFERROR(__xludf.DUMMYFUNCTION("""COMPUTED_VALUE"""),0.9519670320808281)</f>
        <v>0.9519670321</v>
      </c>
      <c r="AO751" s="57">
        <f>IFERROR(__xludf.DUMMYFUNCTION("""COMPUTED_VALUE"""),0.9042903079857216)</f>
        <v>0.904290308</v>
      </c>
      <c r="AP751" s="35">
        <f>IFERROR(__xludf.DUMMYFUNCTION("""COMPUTED_VALUE"""),1.094878701843339)</f>
        <v>1.094878702</v>
      </c>
      <c r="AQ751" s="57">
        <f>IFERROR(__xludf.DUMMYFUNCTION("""COMPUTED_VALUE"""),1.0543903233629484)</f>
        <v>1.054390323</v>
      </c>
      <c r="AR751" s="36" t="b">
        <f>IFERROR(__xludf.DUMMYFUNCTION("""COMPUTED_VALUE"""),TRUE)</f>
        <v>1</v>
      </c>
      <c r="AS751" s="57"/>
      <c r="AT751" s="37"/>
      <c r="AU751" s="30"/>
      <c r="AV751" s="30"/>
      <c r="AW751" s="30"/>
      <c r="AX751" s="30"/>
      <c r="AY751" s="30"/>
      <c r="AZ751" s="30"/>
    </row>
    <row r="752">
      <c r="A752" s="30" t="str">
        <f>IFERROR(__xludf.DUMMYFUNCTION("""COMPUTED_VALUE"""),"Veteran")</f>
        <v>Veteran</v>
      </c>
      <c r="B752" s="30" t="str">
        <f>IFERROR(__xludf.DUMMYFUNCTION("""COMPUTED_VALUE"""),"RSC002780")</f>
        <v>RSC002780</v>
      </c>
      <c r="C752" s="30" t="str">
        <f>IFERROR(__xludf.DUMMYFUNCTION("""COMPUTED_VALUE"""),"Lickadoss77")</f>
        <v>Lickadoss77</v>
      </c>
      <c r="D752" s="31" t="str">
        <f>IFERROR(__xludf.DUMMYFUNCTION("""COMPUTED_VALUE"""),"Water")</f>
        <v>Water</v>
      </c>
      <c r="E752" s="31">
        <f>IFERROR(__xludf.DUMMYFUNCTION("""COMPUTED_VALUE"""),58.92513639757294)</f>
        <v>58.9251364</v>
      </c>
      <c r="F752" s="31">
        <f>IFERROR(__xludf.DUMMYFUNCTION("""COMPUTED_VALUE"""),2.77358765223544)</f>
        <v>2.773587652</v>
      </c>
      <c r="G752" s="31">
        <f>IFERROR(__xludf.DUMMYFUNCTION("""COMPUTED_VALUE"""),52.11616517678592)</f>
        <v>52.11616518</v>
      </c>
      <c r="H752" s="31">
        <f>IFERROR(__xludf.DUMMYFUNCTION("""COMPUTED_VALUE"""),2.1446747280671192)</f>
        <v>2.144674728</v>
      </c>
      <c r="I752" s="54">
        <f>IFERROR(__xludf.DUMMYFUNCTION("""COMPUTED_VALUE"""),34.0)</f>
        <v>34</v>
      </c>
      <c r="J752" s="55">
        <f>IFERROR(__xludf.DUMMYFUNCTION("""COMPUTED_VALUE"""),17.0)</f>
        <v>17</v>
      </c>
      <c r="K752" s="54">
        <f>IFERROR(__xludf.DUMMYFUNCTION("""COMPUTED_VALUE"""),17.0)</f>
        <v>17</v>
      </c>
      <c r="L752" s="56">
        <f>IFERROR(__xludf.DUMMYFUNCTION("""COMPUTED_VALUE"""),0.5)</f>
        <v>0.5</v>
      </c>
      <c r="M752" s="56">
        <f>IFERROR(__xludf.DUMMYFUNCTION("""COMPUTED_VALUE"""),0.25842696629213485)</f>
        <v>0.2584269663</v>
      </c>
      <c r="N752" s="31">
        <f>IFERROR(__xludf.DUMMYFUNCTION("""COMPUTED_VALUE"""),340.55882352941177)</f>
        <v>340.5588235</v>
      </c>
      <c r="O752" s="57">
        <f>IFERROR(__xludf.DUMMYFUNCTION("""COMPUTED_VALUE"""),0.6764705882352942)</f>
        <v>0.6764705882</v>
      </c>
      <c r="P752" s="57">
        <f>IFERROR(__xludf.DUMMYFUNCTION("""COMPUTED_VALUE"""),0.7352941176470589)</f>
        <v>0.7352941176</v>
      </c>
      <c r="Q752" s="57">
        <f>IFERROR(__xludf.DUMMYFUNCTION("""COMPUTED_VALUE"""),1.2058823529411764)</f>
        <v>1.205882353</v>
      </c>
      <c r="R752" s="57">
        <f>IFERROR(__xludf.DUMMYFUNCTION("""COMPUTED_VALUE"""),2.6176470588235294)</f>
        <v>2.617647059</v>
      </c>
      <c r="S752" s="31">
        <f>IFERROR(__xludf.DUMMYFUNCTION("""COMPUTED_VALUE"""),322.02941176470586)</f>
        <v>322.0294118</v>
      </c>
      <c r="T752" s="57">
        <f>IFERROR(__xludf.DUMMYFUNCTION("""COMPUTED_VALUE"""),0.676470588235294)</f>
        <v>0.6764705882</v>
      </c>
      <c r="U752" s="57">
        <f>IFERROR(__xludf.DUMMYFUNCTION("""COMPUTED_VALUE"""),0.48039215686274506)</f>
        <v>0.4803921569</v>
      </c>
      <c r="V752" s="57">
        <f>IFERROR(__xludf.DUMMYFUNCTION("""COMPUTED_VALUE"""),1.2156862745098038)</f>
        <v>1.215686275</v>
      </c>
      <c r="W752" s="57">
        <f>IFERROR(__xludf.DUMMYFUNCTION("""COMPUTED_VALUE"""),2.3333333333333335)</f>
        <v>2.333333333</v>
      </c>
      <c r="X752" s="31">
        <f>IFERROR(__xludf.DUMMYFUNCTION("""COMPUTED_VALUE"""),355.1595891379954)</f>
        <v>355.1595891</v>
      </c>
      <c r="Y752" s="57">
        <f>IFERROR(__xludf.DUMMYFUNCTION("""COMPUTED_VALUE"""),0.7948120582831486)</f>
        <v>0.7948120583</v>
      </c>
      <c r="Z752" s="57">
        <f>IFERROR(__xludf.DUMMYFUNCTION("""COMPUTED_VALUE"""),0.5927156059556441)</f>
        <v>0.592715606</v>
      </c>
      <c r="AA752" s="57">
        <f>IFERROR(__xludf.DUMMYFUNCTION("""COMPUTED_VALUE"""),1.3467540488681247)</f>
        <v>1.346754049</v>
      </c>
      <c r="AB752" s="57">
        <f>IFERROR(__xludf.DUMMYFUNCTION("""COMPUTED_VALUE"""),2.587475077528376)</f>
        <v>2.587475078</v>
      </c>
      <c r="AC752" s="31">
        <f>IFERROR(__xludf.DUMMYFUNCTION("""COMPUTED_VALUE"""),366.3606869172577)</f>
        <v>366.3606869</v>
      </c>
      <c r="AD752" s="57">
        <f>IFERROR(__xludf.DUMMYFUNCTION("""COMPUTED_VALUE"""),0.833364986939326)</f>
        <v>0.8333649869</v>
      </c>
      <c r="AE752" s="57">
        <f>IFERROR(__xludf.DUMMYFUNCTION("""COMPUTED_VALUE"""),0.6149792268442972)</f>
        <v>0.6149792268</v>
      </c>
      <c r="AF752" s="57">
        <f>IFERROR(__xludf.DUMMYFUNCTION("""COMPUTED_VALUE"""),1.3600915236429802)</f>
        <v>1.360091524</v>
      </c>
      <c r="AG752" s="57">
        <f>IFERROR(__xludf.DUMMYFUNCTION("""COMPUTED_VALUE"""),2.7969655990163296)</f>
        <v>2.796965599</v>
      </c>
      <c r="AH752" s="57">
        <f>IFERROR(__xludf.DUMMYFUNCTION("""COMPUTED_VALUE"""),0.929572510618004)</f>
        <v>0.9295725106</v>
      </c>
      <c r="AI752" s="57">
        <f>IFERROR(__xludf.DUMMYFUNCTION("""COMPUTED_VALUE"""),0.8117338727173394)</f>
        <v>0.8117338727</v>
      </c>
      <c r="AJ752" s="57">
        <f>IFERROR(__xludf.DUMMYFUNCTION("""COMPUTED_VALUE"""),1.1956405770324068)</f>
        <v>1.195640577</v>
      </c>
      <c r="AK752" s="57">
        <f>IFERROR(__xludf.DUMMYFUNCTION("""COMPUTED_VALUE"""),0.886618534105148)</f>
        <v>0.8866185341</v>
      </c>
      <c r="AL752" s="57">
        <f>IFERROR(__xludf.DUMMYFUNCTION("""COMPUTED_VALUE"""),0.9358881853048657)</f>
        <v>0.9358881853</v>
      </c>
      <c r="AM752" s="57">
        <f>IFERROR(__xludf.DUMMYFUNCTION("""COMPUTED_VALUE"""),0.9067174915544319)</f>
        <v>0.9067174916</v>
      </c>
      <c r="AN752" s="57">
        <f>IFERROR(__xludf.DUMMYFUNCTION("""COMPUTED_VALUE"""),0.851107606113223)</f>
        <v>0.8511076061</v>
      </c>
      <c r="AO752" s="57">
        <f>IFERROR(__xludf.DUMMYFUNCTION("""COMPUTED_VALUE"""),0.810493518368226)</f>
        <v>0.8104935184</v>
      </c>
      <c r="AP752" s="35">
        <f>IFERROR(__xludf.DUMMYFUNCTION("""COMPUTED_VALUE"""),0.9026787597420061)</f>
        <v>0.9026787597</v>
      </c>
      <c r="AQ752" s="57">
        <f>IFERROR(__xludf.DUMMYFUNCTION("""COMPUTED_VALUE"""),0.9017800223846772)</f>
        <v>0.9017800224</v>
      </c>
      <c r="AR752" s="36" t="b">
        <f>IFERROR(__xludf.DUMMYFUNCTION("""COMPUTED_VALUE"""),TRUE)</f>
        <v>1</v>
      </c>
      <c r="AS752" s="57"/>
      <c r="AT752" s="37"/>
      <c r="AU752" s="30"/>
      <c r="AV752" s="30"/>
      <c r="AW752" s="30"/>
      <c r="AX752" s="30"/>
      <c r="AY752" s="30"/>
      <c r="AZ752" s="30"/>
    </row>
    <row r="753">
      <c r="A753" s="30" t="str">
        <f>IFERROR(__xludf.DUMMYFUNCTION("""COMPUTED_VALUE"""),"Veteran")</f>
        <v>Veteran</v>
      </c>
      <c r="B753" s="30" t="str">
        <f>IFERROR(__xludf.DUMMYFUNCTION("""COMPUTED_VALUE"""),"RSC008007")</f>
        <v>RSC008007</v>
      </c>
      <c r="C753" s="30" t="str">
        <f>IFERROR(__xludf.DUMMYFUNCTION("""COMPUTED_VALUE"""),"Frog_Boot")</f>
        <v>Frog_Boot</v>
      </c>
      <c r="D753" s="31" t="str">
        <f>IFERROR(__xludf.DUMMYFUNCTION("""COMPUTED_VALUE"""),"Folks")</f>
        <v>Folks</v>
      </c>
      <c r="E753" s="31">
        <f>IFERROR(__xludf.DUMMYFUNCTION("""COMPUTED_VALUE"""),58.683238312541505)</f>
        <v>58.68323831</v>
      </c>
      <c r="F753" s="31">
        <f>IFERROR(__xludf.DUMMYFUNCTION("""COMPUTED_VALUE"""),2.7459560884802126)</f>
        <v>2.745956088</v>
      </c>
      <c r="G753" s="31">
        <f>IFERROR(__xludf.DUMMYFUNCTION("""COMPUTED_VALUE"""),66.58536303725563)</f>
        <v>66.58536304</v>
      </c>
      <c r="H753" s="31">
        <f>IFERROR(__xludf.DUMMYFUNCTION("""COMPUTED_VALUE"""),3.9442666597306846)</f>
        <v>3.94426666</v>
      </c>
      <c r="I753" s="54">
        <f>IFERROR(__xludf.DUMMYFUNCTION("""COMPUTED_VALUE"""),34.0)</f>
        <v>34</v>
      </c>
      <c r="J753" s="55">
        <f>IFERROR(__xludf.DUMMYFUNCTION("""COMPUTED_VALUE"""),18.0)</f>
        <v>18</v>
      </c>
      <c r="K753" s="54">
        <f>IFERROR(__xludf.DUMMYFUNCTION("""COMPUTED_VALUE"""),16.0)</f>
        <v>16</v>
      </c>
      <c r="L753" s="56">
        <f>IFERROR(__xludf.DUMMYFUNCTION("""COMPUTED_VALUE"""),0.5294117647058824)</f>
        <v>0.5294117647</v>
      </c>
      <c r="M753" s="56">
        <f>IFERROR(__xludf.DUMMYFUNCTION("""COMPUTED_VALUE"""),0.28723404255319146)</f>
        <v>0.2872340426</v>
      </c>
      <c r="N753" s="31">
        <f>IFERROR(__xludf.DUMMYFUNCTION("""COMPUTED_VALUE"""),391.05882352941177)</f>
        <v>391.0588235</v>
      </c>
      <c r="O753" s="57">
        <f>IFERROR(__xludf.DUMMYFUNCTION("""COMPUTED_VALUE"""),0.7941176470588235)</f>
        <v>0.7941176471</v>
      </c>
      <c r="P753" s="57">
        <f>IFERROR(__xludf.DUMMYFUNCTION("""COMPUTED_VALUE"""),0.5)</f>
        <v>0.5</v>
      </c>
      <c r="Q753" s="57">
        <f>IFERROR(__xludf.DUMMYFUNCTION("""COMPUTED_VALUE"""),1.6764705882352942)</f>
        <v>1.676470588</v>
      </c>
      <c r="R753" s="57">
        <f>IFERROR(__xludf.DUMMYFUNCTION("""COMPUTED_VALUE"""),2.764705882352941)</f>
        <v>2.764705882</v>
      </c>
      <c r="S753" s="31">
        <f>IFERROR(__xludf.DUMMYFUNCTION("""COMPUTED_VALUE"""),340.29411764705884)</f>
        <v>340.2941176</v>
      </c>
      <c r="T753" s="57">
        <f>IFERROR(__xludf.DUMMYFUNCTION("""COMPUTED_VALUE"""),0.715686274509804)</f>
        <v>0.7156862745</v>
      </c>
      <c r="U753" s="57">
        <f>IFERROR(__xludf.DUMMYFUNCTION("""COMPUTED_VALUE"""),0.5980392156862746)</f>
        <v>0.5980392157</v>
      </c>
      <c r="V753" s="57">
        <f>IFERROR(__xludf.DUMMYFUNCTION("""COMPUTED_VALUE"""),1.2352941176470587)</f>
        <v>1.235294118</v>
      </c>
      <c r="W753" s="57">
        <f>IFERROR(__xludf.DUMMYFUNCTION("""COMPUTED_VALUE"""),2.549019607843137)</f>
        <v>2.549019608</v>
      </c>
      <c r="X753" s="31">
        <f>IFERROR(__xludf.DUMMYFUNCTION("""COMPUTED_VALUE"""),363.1115303358698)</f>
        <v>363.1115303</v>
      </c>
      <c r="Y753" s="57">
        <f>IFERROR(__xludf.DUMMYFUNCTION("""COMPUTED_VALUE"""),0.8190100933299811)</f>
        <v>0.8190100933</v>
      </c>
      <c r="Z753" s="57">
        <f>IFERROR(__xludf.DUMMYFUNCTION("""COMPUTED_VALUE"""),0.6190361300161034)</f>
        <v>0.61903613</v>
      </c>
      <c r="AA753" s="57">
        <f>IFERROR(__xludf.DUMMYFUNCTION("""COMPUTED_VALUE"""),1.3703725237912463)</f>
        <v>1.370372524</v>
      </c>
      <c r="AB753" s="57">
        <f>IFERROR(__xludf.DUMMYFUNCTION("""COMPUTED_VALUE"""),2.7042125167636764)</f>
        <v>2.704212517</v>
      </c>
      <c r="AC753" s="31">
        <f>IFERROR(__xludf.DUMMYFUNCTION("""COMPUTED_VALUE"""),356.3438692151082)</f>
        <v>356.3438692</v>
      </c>
      <c r="AD753" s="57">
        <f>IFERROR(__xludf.DUMMYFUNCTION("""COMPUTED_VALUE"""),0.7954893657360607)</f>
        <v>0.7954893657</v>
      </c>
      <c r="AE753" s="57">
        <f>IFERROR(__xludf.DUMMYFUNCTION("""COMPUTED_VALUE"""),0.5660362865658364)</f>
        <v>0.5660362866</v>
      </c>
      <c r="AF753" s="57">
        <f>IFERROR(__xludf.DUMMYFUNCTION("""COMPUTED_VALUE"""),1.3818228121765146)</f>
        <v>1.381822812</v>
      </c>
      <c r="AG753" s="57">
        <f>IFERROR(__xludf.DUMMYFUNCTION("""COMPUTED_VALUE"""),2.6443534310639856)</f>
        <v>2.644353431</v>
      </c>
      <c r="AH753" s="57">
        <f>IFERROR(__xludf.DUMMYFUNCTION("""COMPUTED_VALUE"""),1.0974198164002866)</f>
        <v>1.097419816</v>
      </c>
      <c r="AI753" s="57">
        <f>IFERROR(__xludf.DUMMYFUNCTION("""COMPUTED_VALUE"""),0.9982756291456292)</f>
        <v>0.9982756291</v>
      </c>
      <c r="AJ753" s="57">
        <f>IFERROR(__xludf.DUMMYFUNCTION("""COMPUTED_VALUE"""),0.883335595026105)</f>
        <v>0.883335595</v>
      </c>
      <c r="AK753" s="57">
        <f>IFERROR(__xludf.DUMMYFUNCTION("""COMPUTED_VALUE"""),1.2132312286802378)</f>
        <v>1.213231229</v>
      </c>
      <c r="AL753" s="57">
        <f>IFERROR(__xludf.DUMMYFUNCTION("""COMPUTED_VALUE"""),1.045512997572541)</f>
        <v>1.045512998</v>
      </c>
      <c r="AM753" s="57">
        <f>IFERROR(__xludf.DUMMYFUNCTION("""COMPUTED_VALUE"""),0.9371614207136155)</f>
        <v>0.9371614207</v>
      </c>
      <c r="AN753" s="57">
        <f>IFERROR(__xludf.DUMMYFUNCTION("""COMPUTED_VALUE"""),0.8738430458163503)</f>
        <v>0.8738430458</v>
      </c>
      <c r="AO753" s="57">
        <f>IFERROR(__xludf.DUMMYFUNCTION("""COMPUTED_VALUE"""),0.9660812781165413)</f>
        <v>0.9660812781</v>
      </c>
      <c r="AP753" s="35">
        <f>IFERROR(__xludf.DUMMYFUNCTION("""COMPUTED_VALUE"""),0.9014294260873807)</f>
        <v>0.9014294261</v>
      </c>
      <c r="AQ753" s="57">
        <f>IFERROR(__xludf.DUMMYFUNCTION("""COMPUTED_VALUE"""),0.9426106831624795)</f>
        <v>0.9426106832</v>
      </c>
      <c r="AR753" s="36" t="b">
        <f>IFERROR(__xludf.DUMMYFUNCTION("""COMPUTED_VALUE"""),TRUE)</f>
        <v>1</v>
      </c>
      <c r="AS753" s="57"/>
      <c r="AT753" s="37"/>
      <c r="AU753" s="30"/>
      <c r="AV753" s="30"/>
      <c r="AW753" s="30"/>
      <c r="AX753" s="30"/>
      <c r="AY753" s="30"/>
      <c r="AZ753" s="30"/>
    </row>
    <row r="754">
      <c r="A754" s="30" t="str">
        <f>IFERROR(__xludf.DUMMYFUNCTION("""COMPUTED_VALUE"""),"Veteran")</f>
        <v>Veteran</v>
      </c>
      <c r="B754" s="30" t="str">
        <f>IFERROR(__xludf.DUMMYFUNCTION("""COMPUTED_VALUE"""),"RSC007301")</f>
        <v>RSC007301</v>
      </c>
      <c r="C754" s="30" t="str">
        <f>IFERROR(__xludf.DUMMYFUNCTION("""COMPUTED_VALUE"""),"DeathFletch")</f>
        <v>DeathFletch</v>
      </c>
      <c r="D754" s="31" t="str">
        <f>IFERROR(__xludf.DUMMYFUNCTION("""COMPUTED_VALUE"""),"Azalea")</f>
        <v>Azalea</v>
      </c>
      <c r="E754" s="31">
        <f>IFERROR(__xludf.DUMMYFUNCTION("""COMPUTED_VALUE"""),58.237148394519096)</f>
        <v>58.23714839</v>
      </c>
      <c r="F754" s="31">
        <f>IFERROR(__xludf.DUMMYFUNCTION("""COMPUTED_VALUE"""),2.696186592939705)</f>
        <v>2.696186593</v>
      </c>
      <c r="G754" s="31">
        <f>IFERROR(__xludf.DUMMYFUNCTION("""COMPUTED_VALUE"""),54.54984829944721)</f>
        <v>54.5498483</v>
      </c>
      <c r="H754" s="31">
        <f>IFERROR(__xludf.DUMMYFUNCTION("""COMPUTED_VALUE"""),2.33757509097215)</f>
        <v>2.337575091</v>
      </c>
      <c r="I754" s="54">
        <f>IFERROR(__xludf.DUMMYFUNCTION("""COMPUTED_VALUE"""),30.0)</f>
        <v>30</v>
      </c>
      <c r="J754" s="55">
        <f>IFERROR(__xludf.DUMMYFUNCTION("""COMPUTED_VALUE"""),14.0)</f>
        <v>14</v>
      </c>
      <c r="K754" s="54">
        <f>IFERROR(__xludf.DUMMYFUNCTION("""COMPUTED_VALUE"""),16.0)</f>
        <v>16</v>
      </c>
      <c r="L754" s="56">
        <f>IFERROR(__xludf.DUMMYFUNCTION("""COMPUTED_VALUE"""),0.4666666666666667)</f>
        <v>0.4666666667</v>
      </c>
      <c r="M754" s="56">
        <f>IFERROR(__xludf.DUMMYFUNCTION("""COMPUTED_VALUE"""),0.3026315789473685)</f>
        <v>0.3026315789</v>
      </c>
      <c r="N754" s="31">
        <f>IFERROR(__xludf.DUMMYFUNCTION("""COMPUTED_VALUE"""),333.93333333333334)</f>
        <v>333.9333333</v>
      </c>
      <c r="O754" s="57">
        <f>IFERROR(__xludf.DUMMYFUNCTION("""COMPUTED_VALUE"""),0.7666666666666667)</f>
        <v>0.7666666667</v>
      </c>
      <c r="P754" s="57">
        <f>IFERROR(__xludf.DUMMYFUNCTION("""COMPUTED_VALUE"""),0.6333333333333333)</f>
        <v>0.6333333333</v>
      </c>
      <c r="Q754" s="57">
        <f>IFERROR(__xludf.DUMMYFUNCTION("""COMPUTED_VALUE"""),0.9666666666666667)</f>
        <v>0.9666666667</v>
      </c>
      <c r="R754" s="57">
        <f>IFERROR(__xludf.DUMMYFUNCTION("""COMPUTED_VALUE"""),2.533333333333333)</f>
        <v>2.533333333</v>
      </c>
      <c r="S754" s="31">
        <f>IFERROR(__xludf.DUMMYFUNCTION("""COMPUTED_VALUE"""),333.2666666666666)</f>
        <v>333.2666667</v>
      </c>
      <c r="T754" s="57">
        <f>IFERROR(__xludf.DUMMYFUNCTION("""COMPUTED_VALUE"""),0.7333333333333333)</f>
        <v>0.7333333333</v>
      </c>
      <c r="U754" s="57">
        <f>IFERROR(__xludf.DUMMYFUNCTION("""COMPUTED_VALUE"""),0.43333333333333335)</f>
        <v>0.4333333333</v>
      </c>
      <c r="V754" s="57">
        <f>IFERROR(__xludf.DUMMYFUNCTION("""COMPUTED_VALUE"""),1.422222222222223)</f>
        <v>1.422222222</v>
      </c>
      <c r="W754" s="57">
        <f>IFERROR(__xludf.DUMMYFUNCTION("""COMPUTED_VALUE"""),2.2777777777777777)</f>
        <v>2.277777778</v>
      </c>
      <c r="X754" s="31">
        <f>IFERROR(__xludf.DUMMYFUNCTION("""COMPUTED_VALUE"""),344.6652586279773)</f>
        <v>344.6652586</v>
      </c>
      <c r="Y754" s="57">
        <f>IFERROR(__xludf.DUMMYFUNCTION("""COMPUTED_VALUE"""),0.7232606385921285)</f>
        <v>0.7232606386</v>
      </c>
      <c r="Z754" s="57">
        <f>IFERROR(__xludf.DUMMYFUNCTION("""COMPUTED_VALUE"""),0.5198191690013957)</f>
        <v>0.519819169</v>
      </c>
      <c r="AA754" s="57">
        <f>IFERROR(__xludf.DUMMYFUNCTION("""COMPUTED_VALUE"""),1.4239079913340866)</f>
        <v>1.423907991</v>
      </c>
      <c r="AB754" s="57">
        <f>IFERROR(__xludf.DUMMYFUNCTION("""COMPUTED_VALUE"""),2.518123541842025)</f>
        <v>2.518123542</v>
      </c>
      <c r="AC754" s="31">
        <f>IFERROR(__xludf.DUMMYFUNCTION("""COMPUTED_VALUE"""),347.553656974019)</f>
        <v>347.553657</v>
      </c>
      <c r="AD754" s="57">
        <f>IFERROR(__xludf.DUMMYFUNCTION("""COMPUTED_VALUE"""),0.7725884035757394)</f>
        <v>0.7725884036</v>
      </c>
      <c r="AE754" s="57">
        <f>IFERROR(__xludf.DUMMYFUNCTION("""COMPUTED_VALUE"""),0.5579271687387313)</f>
        <v>0.5579271687</v>
      </c>
      <c r="AF754" s="57">
        <f>IFERROR(__xludf.DUMMYFUNCTION("""COMPUTED_VALUE"""),1.3518166431293837)</f>
        <v>1.351816643</v>
      </c>
      <c r="AG754" s="57">
        <f>IFERROR(__xludf.DUMMYFUNCTION("""COMPUTED_VALUE"""),2.6058399295714847)</f>
        <v>2.60583993</v>
      </c>
      <c r="AH754" s="57">
        <f>IFERROR(__xludf.DUMMYFUNCTION("""COMPUTED_VALUE"""),0.9608108751918445)</f>
        <v>0.9608108752</v>
      </c>
      <c r="AI754" s="57">
        <f>IFERROR(__xludf.DUMMYFUNCTION("""COMPUTED_VALUE"""),0.9923351983000711)</f>
        <v>0.9923351983</v>
      </c>
      <c r="AJ754" s="57">
        <f>IFERROR(__xludf.DUMMYFUNCTION("""COMPUTED_VALUE"""),1.1351541362738575)</f>
        <v>1.135154136</v>
      </c>
      <c r="AK754" s="57">
        <f>IFERROR(__xludf.DUMMYFUNCTION("""COMPUTED_VALUE"""),0.7150871174576492)</f>
        <v>0.7150871175</v>
      </c>
      <c r="AL754" s="57">
        <f>IFERROR(__xludf.DUMMYFUNCTION("""COMPUTED_VALUE"""),0.9721753453021672)</f>
        <v>0.9721753453</v>
      </c>
      <c r="AM754" s="57">
        <f>IFERROR(__xludf.DUMMYFUNCTION("""COMPUTED_VALUE"""),0.9669285149112923)</f>
        <v>0.9669285149</v>
      </c>
      <c r="AN754" s="57">
        <f>IFERROR(__xludf.DUMMYFUNCTION("""COMPUTED_VALUE"""),1.0139267840716617)</f>
        <v>1.013926784</v>
      </c>
      <c r="AO754" s="57">
        <f>IFERROR(__xludf.DUMMYFUNCTION("""COMPUTED_VALUE"""),0.8336232274115498)</f>
        <v>0.8336232274</v>
      </c>
      <c r="AP754" s="35">
        <f>IFERROR(__xludf.DUMMYFUNCTION("""COMPUTED_VALUE"""),0.9988160968811726)</f>
        <v>0.9988160969</v>
      </c>
      <c r="AQ754" s="57">
        <f>IFERROR(__xludf.DUMMYFUNCTION("""COMPUTED_VALUE"""),0.9045536249232503)</f>
        <v>0.9045536249</v>
      </c>
      <c r="AR754" s="36" t="b">
        <f>IFERROR(__xludf.DUMMYFUNCTION("""COMPUTED_VALUE"""),TRUE)</f>
        <v>1</v>
      </c>
      <c r="AS754" s="57"/>
      <c r="AT754" s="37"/>
      <c r="AU754" s="30"/>
      <c r="AV754" s="30"/>
      <c r="AW754" s="30"/>
      <c r="AX754" s="30"/>
      <c r="AY754" s="30"/>
      <c r="AZ754" s="30"/>
    </row>
    <row r="755">
      <c r="A755" s="30" t="str">
        <f>IFERROR(__xludf.DUMMYFUNCTION("""COMPUTED_VALUE"""),"Veteran")</f>
        <v>Veteran</v>
      </c>
      <c r="B755" s="30" t="str">
        <f>IFERROR(__xludf.DUMMYFUNCTION("""COMPUTED_VALUE"""),"RSC007817")</f>
        <v>RSC007817</v>
      </c>
      <c r="C755" s="30" t="str">
        <f>IFERROR(__xludf.DUMMYFUNCTION("""COMPUTED_VALUE"""),"HiChew.RL")</f>
        <v>HiChew.RL</v>
      </c>
      <c r="D755" s="31" t="str">
        <f>IFERROR(__xludf.DUMMYFUNCTION("""COMPUTED_VALUE"""),"Dog Fighters")</f>
        <v>Dog Fighters</v>
      </c>
      <c r="E755" s="31">
        <f>IFERROR(__xludf.DUMMYFUNCTION("""COMPUTED_VALUE"""),58.22470049411543)</f>
        <v>58.22470049</v>
      </c>
      <c r="F755" s="31">
        <f>IFERROR(__xludf.DUMMYFUNCTION("""COMPUTED_VALUE"""),2.694819469679559)</f>
        <v>2.69481947</v>
      </c>
      <c r="G755" s="31">
        <f>IFERROR(__xludf.DUMMYFUNCTION("""COMPUTED_VALUE"""),57.62389008410341)</f>
        <v>57.62389008</v>
      </c>
      <c r="H755" s="31">
        <f>IFERROR(__xludf.DUMMYFUNCTION("""COMPUTED_VALUE"""),2.630194751873016)</f>
        <v>2.630194752</v>
      </c>
      <c r="I755" s="54">
        <f>IFERROR(__xludf.DUMMYFUNCTION("""COMPUTED_VALUE"""),32.0)</f>
        <v>32</v>
      </c>
      <c r="J755" s="55">
        <f>IFERROR(__xludf.DUMMYFUNCTION("""COMPUTED_VALUE"""),19.0)</f>
        <v>19</v>
      </c>
      <c r="K755" s="54">
        <f>IFERROR(__xludf.DUMMYFUNCTION("""COMPUTED_VALUE"""),13.0)</f>
        <v>13</v>
      </c>
      <c r="L755" s="56">
        <f>IFERROR(__xludf.DUMMYFUNCTION("""COMPUTED_VALUE"""),0.59375)</f>
        <v>0.59375</v>
      </c>
      <c r="M755" s="56">
        <f>IFERROR(__xludf.DUMMYFUNCTION("""COMPUTED_VALUE"""),0.18518518518518517)</f>
        <v>0.1851851852</v>
      </c>
      <c r="N755" s="31">
        <f>IFERROR(__xludf.DUMMYFUNCTION("""COMPUTED_VALUE"""),364.375)</f>
        <v>364.375</v>
      </c>
      <c r="O755" s="57">
        <f>IFERROR(__xludf.DUMMYFUNCTION("""COMPUTED_VALUE"""),0.46875)</f>
        <v>0.46875</v>
      </c>
      <c r="P755" s="57">
        <f>IFERROR(__xludf.DUMMYFUNCTION("""COMPUTED_VALUE"""),0.84375)</f>
        <v>0.84375</v>
      </c>
      <c r="Q755" s="57">
        <f>IFERROR(__xludf.DUMMYFUNCTION("""COMPUTED_VALUE"""),1.59375)</f>
        <v>1.59375</v>
      </c>
      <c r="R755" s="57">
        <f>IFERROR(__xludf.DUMMYFUNCTION("""COMPUTED_VALUE"""),2.53125)</f>
        <v>2.53125</v>
      </c>
      <c r="S755" s="31">
        <f>IFERROR(__xludf.DUMMYFUNCTION("""COMPUTED_VALUE"""),342.88541666666674)</f>
        <v>342.8854167</v>
      </c>
      <c r="T755" s="57">
        <f>IFERROR(__xludf.DUMMYFUNCTION("""COMPUTED_VALUE"""),0.6145833333333335)</f>
        <v>0.6145833333</v>
      </c>
      <c r="U755" s="57">
        <f>IFERROR(__xludf.DUMMYFUNCTION("""COMPUTED_VALUE"""),0.4791666666666666)</f>
        <v>0.4791666667</v>
      </c>
      <c r="V755" s="57">
        <f>IFERROR(__xludf.DUMMYFUNCTION("""COMPUTED_VALUE"""),1.46875)</f>
        <v>1.46875</v>
      </c>
      <c r="W755" s="57">
        <f>IFERROR(__xludf.DUMMYFUNCTION("""COMPUTED_VALUE"""),2.458333333333333)</f>
        <v>2.458333333</v>
      </c>
      <c r="X755" s="31">
        <f>IFERROR(__xludf.DUMMYFUNCTION("""COMPUTED_VALUE"""),349.13103497758743)</f>
        <v>349.131035</v>
      </c>
      <c r="Y755" s="57">
        <f>IFERROR(__xludf.DUMMYFUNCTION("""COMPUTED_VALUE"""),0.7012988224044061)</f>
        <v>0.7012988224</v>
      </c>
      <c r="Z755" s="57">
        <f>IFERROR(__xludf.DUMMYFUNCTION("""COMPUTED_VALUE"""),0.5571896259837276)</f>
        <v>0.557189626</v>
      </c>
      <c r="AA755" s="57">
        <f>IFERROR(__xludf.DUMMYFUNCTION("""COMPUTED_VALUE"""),1.4235299917071633)</f>
        <v>1.423529992</v>
      </c>
      <c r="AB755" s="57">
        <f>IFERROR(__xludf.DUMMYFUNCTION("""COMPUTED_VALUE"""),2.4853704245443997)</f>
        <v>2.485370425</v>
      </c>
      <c r="AC755" s="31">
        <f>IFERROR(__xludf.DUMMYFUNCTION("""COMPUTED_VALUE"""),351.7637429446382)</f>
        <v>351.7637429</v>
      </c>
      <c r="AD755" s="57">
        <f>IFERROR(__xludf.DUMMYFUNCTION("""COMPUTED_VALUE"""),0.7626694023977401)</f>
        <v>0.7626694024</v>
      </c>
      <c r="AE755" s="57">
        <f>IFERROR(__xludf.DUMMYFUNCTION("""COMPUTED_VALUE"""),0.5552180012611714)</f>
        <v>0.5552180013</v>
      </c>
      <c r="AF755" s="57">
        <f>IFERROR(__xludf.DUMMYFUNCTION("""COMPUTED_VALUE"""),1.346935663486779)</f>
        <v>1.346935663</v>
      </c>
      <c r="AG755" s="57">
        <f>IFERROR(__xludf.DUMMYFUNCTION("""COMPUTED_VALUE"""),2.676352408368132)</f>
        <v>2.676352408</v>
      </c>
      <c r="AH755" s="57">
        <f>IFERROR(__xludf.DUMMYFUNCTION("""COMPUTED_VALUE"""),1.0358514977973345)</f>
        <v>1.035851498</v>
      </c>
      <c r="AI755" s="57">
        <f>IFERROR(__xludf.DUMMYFUNCTION("""COMPUTED_VALUE"""),0.6146175505747403)</f>
        <v>0.6146175506</v>
      </c>
      <c r="AJ755" s="57">
        <f>IFERROR(__xludf.DUMMYFUNCTION("""COMPUTED_VALUE"""),1.5196733500776838)</f>
        <v>1.51967335</v>
      </c>
      <c r="AK755" s="57">
        <f>IFERROR(__xludf.DUMMYFUNCTION("""COMPUTED_VALUE"""),1.1832413701737607)</f>
        <v>1.18324137</v>
      </c>
      <c r="AL755" s="57">
        <f>IFERROR(__xludf.DUMMYFUNCTION("""COMPUTED_VALUE"""),0.9457835194220159)</f>
        <v>0.9457835194</v>
      </c>
      <c r="AM755" s="57">
        <f>IFERROR(__xludf.DUMMYFUNCTION("""COMPUTED_VALUE"""),0.9821109621167834)</f>
        <v>0.9821109621</v>
      </c>
      <c r="AN755" s="57">
        <f>IFERROR(__xludf.DUMMYFUNCTION("""COMPUTED_VALUE"""),0.8763501573070261)</f>
        <v>0.8763501573</v>
      </c>
      <c r="AO755" s="57">
        <f>IFERROR(__xludf.DUMMYFUNCTION("""COMPUTED_VALUE"""),0.859970545612169)</f>
        <v>0.8599705456</v>
      </c>
      <c r="AP755" s="35">
        <f>IFERROR(__xludf.DUMMYFUNCTION("""COMPUTED_VALUE"""),1.0317661085865895)</f>
        <v>1.031766109</v>
      </c>
      <c r="AQ755" s="57">
        <f>IFERROR(__xludf.DUMMYFUNCTION("""COMPUTED_VALUE"""),0.9891215044067232)</f>
        <v>0.9891215044</v>
      </c>
      <c r="AR755" s="36" t="b">
        <f>IFERROR(__xludf.DUMMYFUNCTION("""COMPUTED_VALUE"""),TRUE)</f>
        <v>1</v>
      </c>
      <c r="AS755" s="57"/>
      <c r="AT755" s="37"/>
      <c r="AU755" s="30"/>
      <c r="AV755" s="30"/>
      <c r="AW755" s="30"/>
      <c r="AX755" s="30"/>
      <c r="AY755" s="30"/>
      <c r="AZ755" s="30"/>
    </row>
    <row r="756">
      <c r="A756" s="30" t="str">
        <f>IFERROR(__xludf.DUMMYFUNCTION("""COMPUTED_VALUE"""),"Veteran")</f>
        <v>Veteran</v>
      </c>
      <c r="B756" s="30" t="str">
        <f>IFERROR(__xludf.DUMMYFUNCTION("""COMPUTED_VALUE"""),"RSC007383")</f>
        <v>RSC007383</v>
      </c>
      <c r="C756" s="30" t="str">
        <f>IFERROR(__xludf.DUMMYFUNCTION("""COMPUTED_VALUE"""),"ttv. blestbb")</f>
        <v>ttv. blestbb</v>
      </c>
      <c r="D756" s="31" t="str">
        <f>IFERROR(__xludf.DUMMYFUNCTION("""COMPUTED_VALUE"""),"Gouda Gangsters")</f>
        <v>Gouda Gangsters</v>
      </c>
      <c r="E756" s="31">
        <f>IFERROR(__xludf.DUMMYFUNCTION("""COMPUTED_VALUE"""),57.60780240727677)</f>
        <v>57.60780241</v>
      </c>
      <c r="F756" s="31">
        <f>IFERROR(__xludf.DUMMYFUNCTION("""COMPUTED_VALUE"""),2.6285003840924235)</f>
        <v>2.628500384</v>
      </c>
      <c r="G756" s="31">
        <f>IFERROR(__xludf.DUMMYFUNCTION("""COMPUTED_VALUE"""),56.1824173467233)</f>
        <v>56.18241735</v>
      </c>
      <c r="H756" s="31">
        <f>IFERROR(__xludf.DUMMYFUNCTION("""COMPUTED_VALUE"""),2.4854643296198464)</f>
        <v>2.48546433</v>
      </c>
      <c r="I756" s="54">
        <f>IFERROR(__xludf.DUMMYFUNCTION("""COMPUTED_VALUE"""),32.0)</f>
        <v>32</v>
      </c>
      <c r="J756" s="55">
        <f>IFERROR(__xludf.DUMMYFUNCTION("""COMPUTED_VALUE"""),13.0)</f>
        <v>13</v>
      </c>
      <c r="K756" s="54">
        <f>IFERROR(__xludf.DUMMYFUNCTION("""COMPUTED_VALUE"""),19.0)</f>
        <v>19</v>
      </c>
      <c r="L756" s="56">
        <f>IFERROR(__xludf.DUMMYFUNCTION("""COMPUTED_VALUE"""),0.40625)</f>
        <v>0.40625</v>
      </c>
      <c r="M756" s="56">
        <f>IFERROR(__xludf.DUMMYFUNCTION("""COMPUTED_VALUE"""),0.23711340206185566)</f>
        <v>0.2371134021</v>
      </c>
      <c r="N756" s="31">
        <f>IFERROR(__xludf.DUMMYFUNCTION("""COMPUTED_VALUE"""),358.875)</f>
        <v>358.875</v>
      </c>
      <c r="O756" s="57">
        <f>IFERROR(__xludf.DUMMYFUNCTION("""COMPUTED_VALUE"""),0.71875)</f>
        <v>0.71875</v>
      </c>
      <c r="P756" s="57">
        <f>IFERROR(__xludf.DUMMYFUNCTION("""COMPUTED_VALUE"""),0.65625)</f>
        <v>0.65625</v>
      </c>
      <c r="Q756" s="57">
        <f>IFERROR(__xludf.DUMMYFUNCTION("""COMPUTED_VALUE"""),1.40625)</f>
        <v>1.40625</v>
      </c>
      <c r="R756" s="57">
        <f>IFERROR(__xludf.DUMMYFUNCTION("""COMPUTED_VALUE"""),3.03125)</f>
        <v>3.03125</v>
      </c>
      <c r="S756" s="31">
        <f>IFERROR(__xludf.DUMMYFUNCTION("""COMPUTED_VALUE"""),377.30208333333337)</f>
        <v>377.3020833</v>
      </c>
      <c r="T756" s="57">
        <f>IFERROR(__xludf.DUMMYFUNCTION("""COMPUTED_VALUE"""),0.9166666666666667)</f>
        <v>0.9166666667</v>
      </c>
      <c r="U756" s="57">
        <f>IFERROR(__xludf.DUMMYFUNCTION("""COMPUTED_VALUE"""),0.7083333333333334)</f>
        <v>0.7083333333</v>
      </c>
      <c r="V756" s="57">
        <f>IFERROR(__xludf.DUMMYFUNCTION("""COMPUTED_VALUE"""),1.3645833333333333)</f>
        <v>1.364583333</v>
      </c>
      <c r="W756" s="57">
        <f>IFERROR(__xludf.DUMMYFUNCTION("""COMPUTED_VALUE"""),2.5312500000000004)</f>
        <v>2.53125</v>
      </c>
      <c r="X756" s="31">
        <f>IFERROR(__xludf.DUMMYFUNCTION("""COMPUTED_VALUE"""),362.11727269353804)</f>
        <v>362.1172727</v>
      </c>
      <c r="Y756" s="57">
        <f>IFERROR(__xludf.DUMMYFUNCTION("""COMPUTED_VALUE"""),0.837351573740345)</f>
        <v>0.8373515737</v>
      </c>
      <c r="Z756" s="57">
        <f>IFERROR(__xludf.DUMMYFUNCTION("""COMPUTED_VALUE"""),0.6142923605391012)</f>
        <v>0.6142923605</v>
      </c>
      <c r="AA756" s="57">
        <f>IFERROR(__xludf.DUMMYFUNCTION("""COMPUTED_VALUE"""),1.3338718807547985)</f>
        <v>1.333871881</v>
      </c>
      <c r="AB756" s="57">
        <f>IFERROR(__xludf.DUMMYFUNCTION("""COMPUTED_VALUE"""),2.777977977914691)</f>
        <v>2.777977978</v>
      </c>
      <c r="AC756" s="31">
        <f>IFERROR(__xludf.DUMMYFUNCTION("""COMPUTED_VALUE"""),357.7506881063274)</f>
        <v>357.7506881</v>
      </c>
      <c r="AD756" s="57">
        <f>IFERROR(__xludf.DUMMYFUNCTION("""COMPUTED_VALUE"""),0.7934074946565288)</f>
        <v>0.7934074947</v>
      </c>
      <c r="AE756" s="57">
        <f>IFERROR(__xludf.DUMMYFUNCTION("""COMPUTED_VALUE"""),0.583264220646709)</f>
        <v>0.5832642206</v>
      </c>
      <c r="AF756" s="57">
        <f>IFERROR(__xludf.DUMMYFUNCTION("""COMPUTED_VALUE"""),1.4218742189851434)</f>
        <v>1.421874219</v>
      </c>
      <c r="AG756" s="57">
        <f>IFERROR(__xludf.DUMMYFUNCTION("""COMPUTED_VALUE"""),2.5890698671336763)</f>
        <v>2.589069867</v>
      </c>
      <c r="AH756" s="57">
        <f>IFERROR(__xludf.DUMMYFUNCTION("""COMPUTED_VALUE"""),1.0031427246153568)</f>
        <v>1.003142725</v>
      </c>
      <c r="AI756" s="57">
        <f>IFERROR(__xludf.DUMMYFUNCTION("""COMPUTED_VALUE"""),0.9059027105751647)</f>
        <v>0.9059027106</v>
      </c>
      <c r="AJ756" s="57">
        <f>IFERROR(__xludf.DUMMYFUNCTION("""COMPUTED_VALUE"""),1.1251333045465504)</f>
        <v>1.125133305</v>
      </c>
      <c r="AK756" s="57">
        <f>IFERROR(__xludf.DUMMYFUNCTION("""COMPUTED_VALUE"""),0.9890115322603604)</f>
        <v>0.9890115323</v>
      </c>
      <c r="AL756" s="57">
        <f>IFERROR(__xludf.DUMMYFUNCTION("""COMPUTED_VALUE"""),1.1707872539399082)</f>
        <v>1.170787254</v>
      </c>
      <c r="AM756" s="57">
        <f>IFERROR(__xludf.DUMMYFUNCTION("""COMPUTED_VALUE"""),1.041933406067173)</f>
        <v>1.041933406</v>
      </c>
      <c r="AN756" s="57">
        <f>IFERROR(__xludf.DUMMYFUNCTION("""COMPUTED_VALUE"""),1.094721375600969)</f>
        <v>1.094721376</v>
      </c>
      <c r="AO756" s="57">
        <f>IFERROR(__xludf.DUMMYFUNCTION("""COMPUTED_VALUE"""),1.1530882993754017)</f>
        <v>1.153088299</v>
      </c>
      <c r="AP756" s="35">
        <f>IFERROR(__xludf.DUMMYFUNCTION("""COMPUTED_VALUE"""),1.0230242896800223)</f>
        <v>1.02302429</v>
      </c>
      <c r="AQ756" s="57">
        <f>IFERROR(__xludf.DUMMYFUNCTION("""COMPUTED_VALUE"""),0.9111843290781237)</f>
        <v>0.9111843291</v>
      </c>
      <c r="AR756" s="36" t="b">
        <f>IFERROR(__xludf.DUMMYFUNCTION("""COMPUTED_VALUE"""),TRUE)</f>
        <v>1</v>
      </c>
      <c r="AS756" s="57"/>
      <c r="AT756" s="37"/>
      <c r="AU756" s="30"/>
      <c r="AV756" s="30"/>
      <c r="AW756" s="30"/>
      <c r="AX756" s="30"/>
      <c r="AY756" s="30"/>
      <c r="AZ756" s="30"/>
    </row>
    <row r="757">
      <c r="A757" s="30" t="str">
        <f>IFERROR(__xludf.DUMMYFUNCTION("""COMPUTED_VALUE"""),"Veteran")</f>
        <v>Veteran</v>
      </c>
      <c r="B757" s="30" t="str">
        <f>IFERROR(__xludf.DUMMYFUNCTION("""COMPUTED_VALUE"""),"RSC006315")</f>
        <v>RSC006315</v>
      </c>
      <c r="C757" s="30" t="str">
        <f>IFERROR(__xludf.DUMMYFUNCTION("""COMPUTED_VALUE"""),"BIGbadBULLMAN13")</f>
        <v>BIGbadBULLMAN13</v>
      </c>
      <c r="D757" s="31" t="str">
        <f>IFERROR(__xludf.DUMMYFUNCTION("""COMPUTED_VALUE"""),"Singularity")</f>
        <v>Singularity</v>
      </c>
      <c r="E757" s="31">
        <f>IFERROR(__xludf.DUMMYFUNCTION("""COMPUTED_VALUE"""),57.22845879293488)</f>
        <v>57.22845879</v>
      </c>
      <c r="F757" s="31">
        <f>IFERROR(__xludf.DUMMYFUNCTION("""COMPUTED_VALUE"""),2.5890788570554095)</f>
        <v>2.589078857</v>
      </c>
      <c r="G757" s="31">
        <f>IFERROR(__xludf.DUMMYFUNCTION("""COMPUTED_VALUE"""),48.563155379657616)</f>
        <v>48.56315538</v>
      </c>
      <c r="H757" s="31">
        <f>IFERROR(__xludf.DUMMYFUNCTION("""COMPUTED_VALUE"""),-2.0960674051135517)</f>
        <v>-2.096067405</v>
      </c>
      <c r="I757" s="54">
        <f>IFERROR(__xludf.DUMMYFUNCTION("""COMPUTED_VALUE"""),24.0)</f>
        <v>24</v>
      </c>
      <c r="J757" s="55">
        <f>IFERROR(__xludf.DUMMYFUNCTION("""COMPUTED_VALUE"""),14.0)</f>
        <v>14</v>
      </c>
      <c r="K757" s="54">
        <f>IFERROR(__xludf.DUMMYFUNCTION("""COMPUTED_VALUE"""),10.0)</f>
        <v>10</v>
      </c>
      <c r="L757" s="56">
        <f>IFERROR(__xludf.DUMMYFUNCTION("""COMPUTED_VALUE"""),0.5833333333333334)</f>
        <v>0.5833333333</v>
      </c>
      <c r="M757" s="56">
        <f>IFERROR(__xludf.DUMMYFUNCTION("""COMPUTED_VALUE"""),0.29824561403508776)</f>
        <v>0.298245614</v>
      </c>
      <c r="N757" s="31">
        <f>IFERROR(__xludf.DUMMYFUNCTION("""COMPUTED_VALUE"""),363.2916666666667)</f>
        <v>363.2916667</v>
      </c>
      <c r="O757" s="57">
        <f>IFERROR(__xludf.DUMMYFUNCTION("""COMPUTED_VALUE"""),0.7083333333333334)</f>
        <v>0.7083333333</v>
      </c>
      <c r="P757" s="57">
        <f>IFERROR(__xludf.DUMMYFUNCTION("""COMPUTED_VALUE"""),0.5833333333333334)</f>
        <v>0.5833333333</v>
      </c>
      <c r="Q757" s="57">
        <f>IFERROR(__xludf.DUMMYFUNCTION("""COMPUTED_VALUE"""),1.7083333333333333)</f>
        <v>1.708333333</v>
      </c>
      <c r="R757" s="57">
        <f>IFERROR(__xludf.DUMMYFUNCTION("""COMPUTED_VALUE"""),2.375)</f>
        <v>2.375</v>
      </c>
      <c r="S757" s="31">
        <f>IFERROR(__xludf.DUMMYFUNCTION("""COMPUTED_VALUE"""),319.8055555555556)</f>
        <v>319.8055556</v>
      </c>
      <c r="T757" s="57">
        <f>IFERROR(__xludf.DUMMYFUNCTION("""COMPUTED_VALUE"""),0.5972222222222223)</f>
        <v>0.5972222222</v>
      </c>
      <c r="U757" s="57">
        <f>IFERROR(__xludf.DUMMYFUNCTION("""COMPUTED_VALUE"""),0.4305555555555554)</f>
        <v>0.4305555556</v>
      </c>
      <c r="V757" s="57">
        <f>IFERROR(__xludf.DUMMYFUNCTION("""COMPUTED_VALUE"""),1.222222222222222)</f>
        <v>1.222222222</v>
      </c>
      <c r="W757" s="57">
        <f>IFERROR(__xludf.DUMMYFUNCTION("""COMPUTED_VALUE"""),2.819444444444444)</f>
        <v>2.819444444</v>
      </c>
      <c r="X757" s="31">
        <f>IFERROR(__xludf.DUMMYFUNCTION("""COMPUTED_VALUE"""),338.1986396461195)</f>
        <v>338.1986396</v>
      </c>
      <c r="Y757" s="57">
        <f>IFERROR(__xludf.DUMMYFUNCTION("""COMPUTED_VALUE"""),0.723969540139788)</f>
        <v>0.7239695401</v>
      </c>
      <c r="Z757" s="57">
        <f>IFERROR(__xludf.DUMMYFUNCTION("""COMPUTED_VALUE"""),0.5343313028700155)</f>
        <v>0.5343313029</v>
      </c>
      <c r="AA757" s="57">
        <f>IFERROR(__xludf.DUMMYFUNCTION("""COMPUTED_VALUE"""),1.2570728412059609)</f>
        <v>1.257072841</v>
      </c>
      <c r="AB757" s="57">
        <f>IFERROR(__xludf.DUMMYFUNCTION("""COMPUTED_VALUE"""),2.5392490350809513)</f>
        <v>2.539249035</v>
      </c>
      <c r="AC757" s="31">
        <f>IFERROR(__xludf.DUMMYFUNCTION("""COMPUTED_VALUE"""),344.7211893683131)</f>
        <v>344.7211894</v>
      </c>
      <c r="AD757" s="57">
        <f>IFERROR(__xludf.DUMMYFUNCTION("""COMPUTED_VALUE"""),0.7231599417373583)</f>
        <v>0.7231599417</v>
      </c>
      <c r="AE757" s="57">
        <f>IFERROR(__xludf.DUMMYFUNCTION("""COMPUTED_VALUE"""),0.540144515322076)</f>
        <v>0.5401445153</v>
      </c>
      <c r="AF757" s="57">
        <f>IFERROR(__xludf.DUMMYFUNCTION("""COMPUTED_VALUE"""),1.3670866246354008)</f>
        <v>1.367086625</v>
      </c>
      <c r="AG757" s="57">
        <f>IFERROR(__xludf.DUMMYFUNCTION("""COMPUTED_VALUE"""),2.470119807505373)</f>
        <v>2.470119808</v>
      </c>
      <c r="AH757" s="57">
        <f>IFERROR(__xludf.DUMMYFUNCTION("""COMPUTED_VALUE"""),1.053871006108975)</f>
        <v>1.053871006</v>
      </c>
      <c r="AI757" s="57">
        <f>IFERROR(__xludf.DUMMYFUNCTION("""COMPUTED_VALUE"""),0.9794974699948055)</f>
        <v>0.97949747</v>
      </c>
      <c r="AJ757" s="57">
        <f>IFERROR(__xludf.DUMMYFUNCTION("""COMPUTED_VALUE"""),1.0799578942044887)</f>
        <v>1.079957894</v>
      </c>
      <c r="AK757" s="57">
        <f>IFERROR(__xludf.DUMMYFUNCTION("""COMPUTED_VALUE"""),1.2496160100966114)</f>
        <v>1.24961601</v>
      </c>
      <c r="AL757" s="57">
        <f>IFERROR(__xludf.DUMMYFUNCTION("""COMPUTED_VALUE"""),0.9614918243170413)</f>
        <v>0.9614918243</v>
      </c>
      <c r="AM757" s="57">
        <f>IFERROR(__xludf.DUMMYFUNCTION("""COMPUTED_VALUE"""),0.9456145532997713)</f>
        <v>0.9456145533</v>
      </c>
      <c r="AN757" s="57">
        <f>IFERROR(__xludf.DUMMYFUNCTION("""COMPUTED_VALUE"""),0.8249272781654701)</f>
        <v>0.8249272782</v>
      </c>
      <c r="AO757" s="57">
        <f>IFERROR(__xludf.DUMMYFUNCTION("""COMPUTED_VALUE"""),0.8057838895886188)</f>
        <v>0.8057838896</v>
      </c>
      <c r="AP757" s="35">
        <f>IFERROR(__xludf.DUMMYFUNCTION("""COMPUTED_VALUE"""),0.9722763726640493)</f>
        <v>0.9722763727</v>
      </c>
      <c r="AQ757" s="57">
        <f>IFERROR(__xludf.DUMMYFUNCTION("""COMPUTED_VALUE"""),1.1103457776265573)</f>
        <v>1.110345778</v>
      </c>
      <c r="AR757" s="36" t="b">
        <f>IFERROR(__xludf.DUMMYFUNCTION("""COMPUTED_VALUE"""),TRUE)</f>
        <v>1</v>
      </c>
      <c r="AS757" s="57"/>
      <c r="AT757" s="37"/>
      <c r="AU757" s="30"/>
      <c r="AV757" s="30"/>
      <c r="AW757" s="30"/>
      <c r="AX757" s="30"/>
      <c r="AY757" s="30"/>
      <c r="AZ757" s="30"/>
    </row>
    <row r="758">
      <c r="A758" s="30" t="str">
        <f>IFERROR(__xludf.DUMMYFUNCTION("""COMPUTED_VALUE"""),"Veteran")</f>
        <v>Veteran</v>
      </c>
      <c r="B758" s="30" t="str">
        <f>IFERROR(__xludf.DUMMYFUNCTION("""COMPUTED_VALUE"""),"RSC006869")</f>
        <v>RSC006869</v>
      </c>
      <c r="C758" s="30" t="str">
        <f>IFERROR(__xludf.DUMMYFUNCTION("""COMPUTED_VALUE"""),"Flurry ^-^")</f>
        <v>Flurry ^-^</v>
      </c>
      <c r="D758" s="31" t="str">
        <f>IFERROR(__xludf.DUMMYFUNCTION("""COMPUTED_VALUE"""),"Dump Trucks")</f>
        <v>Dump Trucks</v>
      </c>
      <c r="E758" s="31">
        <f>IFERROR(__xludf.DUMMYFUNCTION("""COMPUTED_VALUE"""),57.02302452014804)</f>
        <v>57.02302452</v>
      </c>
      <c r="F758" s="31">
        <f>IFERROR(__xludf.DUMMYFUNCTION("""COMPUTED_VALUE"""),2.5681490186445264)</f>
        <v>2.568149019</v>
      </c>
      <c r="G758" s="31">
        <f>IFERROR(__xludf.DUMMYFUNCTION("""COMPUTED_VALUE"""),62.4634569224323)</f>
        <v>62.46345692</v>
      </c>
      <c r="H758" s="31">
        <f>IFERROR(__xludf.DUMMYFUNCTION("""COMPUTED_VALUE"""),3.2356977848795396)</f>
        <v>3.235697785</v>
      </c>
      <c r="I758" s="54">
        <f>IFERROR(__xludf.DUMMYFUNCTION("""COMPUTED_VALUE"""),23.0)</f>
        <v>23</v>
      </c>
      <c r="J758" s="55">
        <f>IFERROR(__xludf.DUMMYFUNCTION("""COMPUTED_VALUE"""),9.0)</f>
        <v>9</v>
      </c>
      <c r="K758" s="54">
        <f>IFERROR(__xludf.DUMMYFUNCTION("""COMPUTED_VALUE"""),14.0)</f>
        <v>14</v>
      </c>
      <c r="L758" s="56">
        <f>IFERROR(__xludf.DUMMYFUNCTION("""COMPUTED_VALUE"""),0.391304347826087)</f>
        <v>0.3913043478</v>
      </c>
      <c r="M758" s="56">
        <f>IFERROR(__xludf.DUMMYFUNCTION("""COMPUTED_VALUE"""),0.3275862068965517)</f>
        <v>0.3275862069</v>
      </c>
      <c r="N758" s="31">
        <f>IFERROR(__xludf.DUMMYFUNCTION("""COMPUTED_VALUE"""),331.4347826086956)</f>
        <v>331.4347826</v>
      </c>
      <c r="O758" s="57">
        <f>IFERROR(__xludf.DUMMYFUNCTION("""COMPUTED_VALUE"""),0.8260869565217391)</f>
        <v>0.8260869565</v>
      </c>
      <c r="P758" s="57">
        <f>IFERROR(__xludf.DUMMYFUNCTION("""COMPUTED_VALUE"""),0.5652173913043478)</f>
        <v>0.5652173913</v>
      </c>
      <c r="Q758" s="57">
        <f>IFERROR(__xludf.DUMMYFUNCTION("""COMPUTED_VALUE"""),1.0)</f>
        <v>1</v>
      </c>
      <c r="R758" s="57">
        <f>IFERROR(__xludf.DUMMYFUNCTION("""COMPUTED_VALUE"""),2.5217391304347827)</f>
        <v>2.52173913</v>
      </c>
      <c r="S758" s="31">
        <f>IFERROR(__xludf.DUMMYFUNCTION("""COMPUTED_VALUE"""),324.42028985507244)</f>
        <v>324.4202899</v>
      </c>
      <c r="T758" s="57">
        <f>IFERROR(__xludf.DUMMYFUNCTION("""COMPUTED_VALUE"""),0.681159420289855)</f>
        <v>0.6811594203</v>
      </c>
      <c r="U758" s="57">
        <f>IFERROR(__xludf.DUMMYFUNCTION("""COMPUTED_VALUE"""),0.5652173913043478)</f>
        <v>0.5652173913</v>
      </c>
      <c r="V758" s="57">
        <f>IFERROR(__xludf.DUMMYFUNCTION("""COMPUTED_VALUE"""),1.0724637681159417)</f>
        <v>1.072463768</v>
      </c>
      <c r="W758" s="57">
        <f>IFERROR(__xludf.DUMMYFUNCTION("""COMPUTED_VALUE"""),2.5217391304347823)</f>
        <v>2.52173913</v>
      </c>
      <c r="X758" s="31">
        <f>IFERROR(__xludf.DUMMYFUNCTION("""COMPUTED_VALUE"""),339.66556575573884)</f>
        <v>339.6655658</v>
      </c>
      <c r="Y758" s="57">
        <f>IFERROR(__xludf.DUMMYFUNCTION("""COMPUTED_VALUE"""),0.6925336415638502)</f>
        <v>0.6925336416</v>
      </c>
      <c r="Z758" s="57">
        <f>IFERROR(__xludf.DUMMYFUNCTION("""COMPUTED_VALUE"""),0.5209466054996761)</f>
        <v>0.5209466055</v>
      </c>
      <c r="AA758" s="57">
        <f>IFERROR(__xludf.DUMMYFUNCTION("""COMPUTED_VALUE"""),1.3483754866164446)</f>
        <v>1.348375487</v>
      </c>
      <c r="AB758" s="57">
        <f>IFERROR(__xludf.DUMMYFUNCTION("""COMPUTED_VALUE"""),2.5544135712257465)</f>
        <v>2.554413571</v>
      </c>
      <c r="AC758" s="31">
        <f>IFERROR(__xludf.DUMMYFUNCTION("""COMPUTED_VALUE"""),345.71173186974227)</f>
        <v>345.7117319</v>
      </c>
      <c r="AD758" s="57">
        <f>IFERROR(__xludf.DUMMYFUNCTION("""COMPUTED_VALUE"""),0.720359731744395)</f>
        <v>0.7203597317</v>
      </c>
      <c r="AE758" s="57">
        <f>IFERROR(__xludf.DUMMYFUNCTION("""COMPUTED_VALUE"""),0.5390397421504513)</f>
        <v>0.5390397422</v>
      </c>
      <c r="AF758" s="57">
        <f>IFERROR(__xludf.DUMMYFUNCTION("""COMPUTED_VALUE"""),1.38886296992506)</f>
        <v>1.38886297</v>
      </c>
      <c r="AG758" s="57">
        <f>IFERROR(__xludf.DUMMYFUNCTION("""COMPUTED_VALUE"""),2.510057650855213)</f>
        <v>2.510057651</v>
      </c>
      <c r="AH758" s="57">
        <f>IFERROR(__xludf.DUMMYFUNCTION("""COMPUTED_VALUE"""),0.9587027342583042)</f>
        <v>0.9587027343</v>
      </c>
      <c r="AI758" s="57">
        <f>IFERROR(__xludf.DUMMYFUNCTION("""COMPUTED_VALUE"""),1.1467700374107797)</f>
        <v>1.146770037</v>
      </c>
      <c r="AJ758" s="57">
        <f>IFERROR(__xludf.DUMMYFUNCTION("""COMPUTED_VALUE"""),1.0485634863386197)</f>
        <v>1.048563486</v>
      </c>
      <c r="AK758" s="57">
        <f>IFERROR(__xludf.DUMMYFUNCTION("""COMPUTED_VALUE"""),0.7200134366415988)</f>
        <v>0.7200134366</v>
      </c>
      <c r="AL758" s="57">
        <f>IFERROR(__xludf.DUMMYFUNCTION("""COMPUTED_VALUE"""),1.0046538690358724)</f>
        <v>1.004653869</v>
      </c>
      <c r="AM758" s="57">
        <f>IFERROR(__xludf.DUMMYFUNCTION("""COMPUTED_VALUE"""),0.9551168047701674)</f>
        <v>0.9551168048</v>
      </c>
      <c r="AN758" s="57">
        <f>IFERROR(__xludf.DUMMYFUNCTION("""COMPUTED_VALUE"""),0.9835759296135991)</f>
        <v>0.9835759296</v>
      </c>
      <c r="AO758" s="57">
        <f>IFERROR(__xludf.DUMMYFUNCTION("""COMPUTED_VALUE"""),1.0849814267667768)</f>
        <v>1.084981427</v>
      </c>
      <c r="AP758" s="35">
        <f>IFERROR(__xludf.DUMMYFUNCTION("""COMPUTED_VALUE"""),0.7953747148037644)</f>
        <v>0.7953747148</v>
      </c>
      <c r="AQ758" s="57">
        <f>IFERROR(__xludf.DUMMYFUNCTION("""COMPUTED_VALUE"""),0.987208633261651)</f>
        <v>0.9872086333</v>
      </c>
      <c r="AR758" s="36" t="b">
        <f>IFERROR(__xludf.DUMMYFUNCTION("""COMPUTED_VALUE"""),TRUE)</f>
        <v>1</v>
      </c>
      <c r="AS758" s="57"/>
      <c r="AT758" s="37"/>
      <c r="AU758" s="30"/>
      <c r="AV758" s="30"/>
      <c r="AW758" s="30"/>
      <c r="AX758" s="30"/>
      <c r="AY758" s="30"/>
      <c r="AZ758" s="30"/>
    </row>
    <row r="759">
      <c r="A759" s="30" t="str">
        <f>IFERROR(__xludf.DUMMYFUNCTION("""COMPUTED_VALUE"""),"Veteran")</f>
        <v>Veteran</v>
      </c>
      <c r="B759" s="30" t="str">
        <f>IFERROR(__xludf.DUMMYFUNCTION("""COMPUTED_VALUE"""),"RSC006060")</f>
        <v>RSC006060</v>
      </c>
      <c r="C759" s="30" t="str">
        <f>IFERROR(__xludf.DUMMYFUNCTION("""COMPUTED_VALUE"""),"WP_Merciless")</f>
        <v>WP_Merciless</v>
      </c>
      <c r="D759" s="31" t="str">
        <f>IFERROR(__xludf.DUMMYFUNCTION("""COMPUTED_VALUE"""),"Rulers")</f>
        <v>Rulers</v>
      </c>
      <c r="E759" s="31">
        <f>IFERROR(__xludf.DUMMYFUNCTION("""COMPUTED_VALUE"""),56.693521227451484)</f>
        <v>56.69352123</v>
      </c>
      <c r="F759" s="31">
        <f>IFERROR(__xludf.DUMMYFUNCTION("""COMPUTED_VALUE"""),2.5351794033630823)</f>
        <v>2.535179403</v>
      </c>
      <c r="G759" s="31">
        <f>IFERROR(__xludf.DUMMYFUNCTION("""COMPUTED_VALUE"""),60.990671014266155)</f>
        <v>60.99067101</v>
      </c>
      <c r="H759" s="31">
        <f>IFERROR(__xludf.DUMMYFUNCTION("""COMPUTED_VALUE"""),3.029351090706824)</f>
        <v>3.029351091</v>
      </c>
      <c r="I759" s="54">
        <f>IFERROR(__xludf.DUMMYFUNCTION("""COMPUTED_VALUE"""),30.0)</f>
        <v>30</v>
      </c>
      <c r="J759" s="55">
        <f>IFERROR(__xludf.DUMMYFUNCTION("""COMPUTED_VALUE"""),16.0)</f>
        <v>16</v>
      </c>
      <c r="K759" s="54">
        <f>IFERROR(__xludf.DUMMYFUNCTION("""COMPUTED_VALUE"""),14.0)</f>
        <v>14</v>
      </c>
      <c r="L759" s="56">
        <f>IFERROR(__xludf.DUMMYFUNCTION("""COMPUTED_VALUE"""),0.5333333333333333)</f>
        <v>0.5333333333</v>
      </c>
      <c r="M759" s="56">
        <f>IFERROR(__xludf.DUMMYFUNCTION("""COMPUTED_VALUE"""),0.30588235294117644)</f>
        <v>0.3058823529</v>
      </c>
      <c r="N759" s="31">
        <f>IFERROR(__xludf.DUMMYFUNCTION("""COMPUTED_VALUE"""),389.8333333333333)</f>
        <v>389.8333333</v>
      </c>
      <c r="O759" s="57">
        <f>IFERROR(__xludf.DUMMYFUNCTION("""COMPUTED_VALUE"""),0.8666666666666667)</f>
        <v>0.8666666667</v>
      </c>
      <c r="P759" s="57">
        <f>IFERROR(__xludf.DUMMYFUNCTION("""COMPUTED_VALUE"""),0.3333333333333333)</f>
        <v>0.3333333333</v>
      </c>
      <c r="Q759" s="57">
        <f>IFERROR(__xludf.DUMMYFUNCTION("""COMPUTED_VALUE"""),1.7666666666666666)</f>
        <v>1.766666667</v>
      </c>
      <c r="R759" s="57">
        <f>IFERROR(__xludf.DUMMYFUNCTION("""COMPUTED_VALUE"""),2.8333333333333335)</f>
        <v>2.833333333</v>
      </c>
      <c r="S759" s="31">
        <f>IFERROR(__xludf.DUMMYFUNCTION("""COMPUTED_VALUE"""),326.31111111111113)</f>
        <v>326.3111111</v>
      </c>
      <c r="T759" s="57">
        <f>IFERROR(__xludf.DUMMYFUNCTION("""COMPUTED_VALUE"""),0.6888888888888888)</f>
        <v>0.6888888889</v>
      </c>
      <c r="U759" s="57">
        <f>IFERROR(__xludf.DUMMYFUNCTION("""COMPUTED_VALUE"""),0.5000000000000001)</f>
        <v>0.5</v>
      </c>
      <c r="V759" s="57">
        <f>IFERROR(__xludf.DUMMYFUNCTION("""COMPUTED_VALUE"""),1.188888888888889)</f>
        <v>1.188888889</v>
      </c>
      <c r="W759" s="57">
        <f>IFERROR(__xludf.DUMMYFUNCTION("""COMPUTED_VALUE"""),2.855555555555556)</f>
        <v>2.855555556</v>
      </c>
      <c r="X759" s="31">
        <f>IFERROR(__xludf.DUMMYFUNCTION("""COMPUTED_VALUE"""),357.85580030930697)</f>
        <v>357.8558003</v>
      </c>
      <c r="Y759" s="57">
        <f>IFERROR(__xludf.DUMMYFUNCTION("""COMPUTED_VALUE"""),0.8718071692893764)</f>
        <v>0.8718071693</v>
      </c>
      <c r="Z759" s="57">
        <f>IFERROR(__xludf.DUMMYFUNCTION("""COMPUTED_VALUE"""),0.5716177785210597)</f>
        <v>0.5716177785</v>
      </c>
      <c r="AA759" s="57">
        <f>IFERROR(__xludf.DUMMYFUNCTION("""COMPUTED_VALUE"""),1.2831605393654932)</f>
        <v>1.283160539</v>
      </c>
      <c r="AB759" s="57">
        <f>IFERROR(__xludf.DUMMYFUNCTION("""COMPUTED_VALUE"""),2.749201290917861)</f>
        <v>2.749201291</v>
      </c>
      <c r="AC759" s="31">
        <f>IFERROR(__xludf.DUMMYFUNCTION("""COMPUTED_VALUE"""),351.0832223102036)</f>
        <v>351.0832223</v>
      </c>
      <c r="AD759" s="57">
        <f>IFERROR(__xludf.DUMMYFUNCTION("""COMPUTED_VALUE"""),0.7677386445440059)</f>
        <v>0.7677386445</v>
      </c>
      <c r="AE759" s="57">
        <f>IFERROR(__xludf.DUMMYFUNCTION("""COMPUTED_VALUE"""),0.5526312572537073)</f>
        <v>0.5526312573</v>
      </c>
      <c r="AF759" s="57">
        <f>IFERROR(__xludf.DUMMYFUNCTION("""COMPUTED_VALUE"""),1.407466908805208)</f>
        <v>1.407466909</v>
      </c>
      <c r="AG759" s="57">
        <f>IFERROR(__xludf.DUMMYFUNCTION("""COMPUTED_VALUE"""),2.501588739173364)</f>
        <v>2.501588739</v>
      </c>
      <c r="AH759" s="57">
        <f>IFERROR(__xludf.DUMMYFUNCTION("""COMPUTED_VALUE"""),1.1103730071979674)</f>
        <v>1.110373007</v>
      </c>
      <c r="AI759" s="57">
        <f>IFERROR(__xludf.DUMMYFUNCTION("""COMPUTED_VALUE"""),1.1288563794797883)</f>
        <v>1.128856379</v>
      </c>
      <c r="AJ759" s="57">
        <f>IFERROR(__xludf.DUMMYFUNCTION("""COMPUTED_VALUE"""),0.6031749542901866)</f>
        <v>0.6031749543</v>
      </c>
      <c r="AK759" s="57">
        <f>IFERROR(__xludf.DUMMYFUNCTION("""COMPUTED_VALUE"""),1.2552100909899058)</f>
        <v>1.255210091</v>
      </c>
      <c r="AL759" s="57">
        <f>IFERROR(__xludf.DUMMYFUNCTION("""COMPUTED_VALUE"""),1.132613562319437)</f>
        <v>1.132613562</v>
      </c>
      <c r="AM759" s="57">
        <f>IFERROR(__xludf.DUMMYFUNCTION("""COMPUTED_VALUE"""),0.9118508372061297)</f>
        <v>0.9118508372</v>
      </c>
      <c r="AN759" s="57">
        <f>IFERROR(__xludf.DUMMYFUNCTION("""COMPUTED_VALUE"""),0.7901849321225619)</f>
        <v>0.7901849321</v>
      </c>
      <c r="AO759" s="57">
        <f>IFERROR(__xludf.DUMMYFUNCTION("""COMPUTED_VALUE"""),0.8747103725388747)</f>
        <v>0.8747103725</v>
      </c>
      <c r="AP759" s="35">
        <f>IFERROR(__xludf.DUMMYFUNCTION("""COMPUTED_VALUE"""),0.926531678940797)</f>
        <v>0.9265316789</v>
      </c>
      <c r="AQ759" s="57">
        <f>IFERROR(__xludf.DUMMYFUNCTION("""COMPUTED_VALUE"""),1.0386855138578037)</f>
        <v>1.038685514</v>
      </c>
      <c r="AR759" s="36" t="b">
        <f>IFERROR(__xludf.DUMMYFUNCTION("""COMPUTED_VALUE"""),TRUE)</f>
        <v>1</v>
      </c>
      <c r="AS759" s="57"/>
      <c r="AT759" s="37"/>
      <c r="AU759" s="30"/>
      <c r="AV759" s="30"/>
      <c r="AW759" s="30"/>
      <c r="AX759" s="30"/>
      <c r="AY759" s="30"/>
      <c r="AZ759" s="30"/>
    </row>
    <row r="760">
      <c r="A760" s="30" t="str">
        <f>IFERROR(__xludf.DUMMYFUNCTION("""COMPUTED_VALUE"""),"Veteran")</f>
        <v>Veteran</v>
      </c>
      <c r="B760" s="30" t="str">
        <f>IFERROR(__xludf.DUMMYFUNCTION("""COMPUTED_VALUE"""),"RSC003405")</f>
        <v>RSC003405</v>
      </c>
      <c r="C760" s="30" t="str">
        <f>IFERROR(__xludf.DUMMYFUNCTION("""COMPUTED_VALUE"""),"Shai")</f>
        <v>Shai</v>
      </c>
      <c r="D760" s="31" t="str">
        <f>IFERROR(__xludf.DUMMYFUNCTION("""COMPUTED_VALUE"""),"Werewolves")</f>
        <v>Werewolves</v>
      </c>
      <c r="E760" s="31">
        <f>IFERROR(__xludf.DUMMYFUNCTION("""COMPUTED_VALUE"""),56.386378437151095)</f>
        <v>56.38637844</v>
      </c>
      <c r="F760" s="31">
        <f>IFERROR(__xludf.DUMMYFUNCTION("""COMPUTED_VALUE"""),2.505099162475666)</f>
        <v>2.505099162</v>
      </c>
      <c r="G760" s="31">
        <f>IFERROR(__xludf.DUMMYFUNCTION("""COMPUTED_VALUE"""),44.92205607096124)</f>
        <v>44.92205607</v>
      </c>
      <c r="H760" s="31">
        <f>IFERROR(__xludf.DUMMYFUNCTION("""COMPUTED_VALUE"""),-2.383668080341119)</f>
        <v>-2.38366808</v>
      </c>
      <c r="I760" s="54">
        <f>IFERROR(__xludf.DUMMYFUNCTION("""COMPUTED_VALUE"""),16.0)</f>
        <v>16</v>
      </c>
      <c r="J760" s="55">
        <f>IFERROR(__xludf.DUMMYFUNCTION("""COMPUTED_VALUE"""),6.0)</f>
        <v>6</v>
      </c>
      <c r="K760" s="54">
        <f>IFERROR(__xludf.DUMMYFUNCTION("""COMPUTED_VALUE"""),10.0)</f>
        <v>10</v>
      </c>
      <c r="L760" s="56">
        <f>IFERROR(__xludf.DUMMYFUNCTION("""COMPUTED_VALUE"""),0.375)</f>
        <v>0.375</v>
      </c>
      <c r="M760" s="56">
        <f>IFERROR(__xludf.DUMMYFUNCTION("""COMPUTED_VALUE"""),0.40476190476190477)</f>
        <v>0.4047619048</v>
      </c>
      <c r="N760" s="31">
        <f>IFERROR(__xludf.DUMMYFUNCTION("""COMPUTED_VALUE"""),349.9375)</f>
        <v>349.9375</v>
      </c>
      <c r="O760" s="57">
        <f>IFERROR(__xludf.DUMMYFUNCTION("""COMPUTED_VALUE"""),1.0625)</f>
        <v>1.0625</v>
      </c>
      <c r="P760" s="57">
        <f>IFERROR(__xludf.DUMMYFUNCTION("""COMPUTED_VALUE"""),0.375)</f>
        <v>0.375</v>
      </c>
      <c r="Q760" s="57">
        <f>IFERROR(__xludf.DUMMYFUNCTION("""COMPUTED_VALUE"""),1.3125)</f>
        <v>1.3125</v>
      </c>
      <c r="R760" s="57">
        <f>IFERROR(__xludf.DUMMYFUNCTION("""COMPUTED_VALUE"""),2.625)</f>
        <v>2.625</v>
      </c>
      <c r="S760" s="31">
        <f>IFERROR(__xludf.DUMMYFUNCTION("""COMPUTED_VALUE"""),390.6041666666667)</f>
        <v>390.6041667</v>
      </c>
      <c r="T760" s="57">
        <f>IFERROR(__xludf.DUMMYFUNCTION("""COMPUTED_VALUE"""),0.9583333333333334)</f>
        <v>0.9583333333</v>
      </c>
      <c r="U760" s="57">
        <f>IFERROR(__xludf.DUMMYFUNCTION("""COMPUTED_VALUE"""),0.7291666666666666)</f>
        <v>0.7291666667</v>
      </c>
      <c r="V760" s="57">
        <f>IFERROR(__xludf.DUMMYFUNCTION("""COMPUTED_VALUE"""),1.520833333333333)</f>
        <v>1.520833333</v>
      </c>
      <c r="W760" s="57">
        <f>IFERROR(__xludf.DUMMYFUNCTION("""COMPUTED_VALUE"""),2.5208333333333335)</f>
        <v>2.520833333</v>
      </c>
      <c r="X760" s="31">
        <f>IFERROR(__xludf.DUMMYFUNCTION("""COMPUTED_VALUE"""),355.5039467858096)</f>
        <v>355.5039468</v>
      </c>
      <c r="Y760" s="57">
        <f>IFERROR(__xludf.DUMMYFUNCTION("""COMPUTED_VALUE"""),0.8263292307428789)</f>
        <v>0.8263292307</v>
      </c>
      <c r="Z760" s="57">
        <f>IFERROR(__xludf.DUMMYFUNCTION("""COMPUTED_VALUE"""),0.5832178568835241)</f>
        <v>0.5832178569</v>
      </c>
      <c r="AA760" s="57">
        <f>IFERROR(__xludf.DUMMYFUNCTION("""COMPUTED_VALUE"""),1.3838377040815346)</f>
        <v>1.383837704</v>
      </c>
      <c r="AB760" s="57">
        <f>IFERROR(__xludf.DUMMYFUNCTION("""COMPUTED_VALUE"""),2.6275325542783263)</f>
        <v>2.627532554</v>
      </c>
      <c r="AC760" s="31">
        <f>IFERROR(__xludf.DUMMYFUNCTION("""COMPUTED_VALUE"""),341.6049444113782)</f>
        <v>341.6049444</v>
      </c>
      <c r="AD760" s="57">
        <f>IFERROR(__xludf.DUMMYFUNCTION("""COMPUTED_VALUE"""),0.7372617129765578)</f>
        <v>0.737261713</v>
      </c>
      <c r="AE760" s="57">
        <f>IFERROR(__xludf.DUMMYFUNCTION("""COMPUTED_VALUE"""),0.5133454007285443)</f>
        <v>0.5133454007</v>
      </c>
      <c r="AF760" s="57">
        <f>IFERROR(__xludf.DUMMYFUNCTION("""COMPUTED_VALUE"""),1.3123500142557922)</f>
        <v>1.312350014</v>
      </c>
      <c r="AG760" s="57">
        <f>IFERROR(__xludf.DUMMYFUNCTION("""COMPUTED_VALUE"""),2.6027753819752126)</f>
        <v>2.602775382</v>
      </c>
      <c r="AH760" s="57">
        <f>IFERROR(__xludf.DUMMYFUNCTION("""COMPUTED_VALUE"""),1.0243923740711063)</f>
        <v>1.024392374</v>
      </c>
      <c r="AI760" s="57">
        <f>IFERROR(__xludf.DUMMYFUNCTION("""COMPUTED_VALUE"""),1.4411436011105916)</f>
        <v>1.441143601</v>
      </c>
      <c r="AJ760" s="57">
        <f>IFERROR(__xludf.DUMMYFUNCTION("""COMPUTED_VALUE"""),0.730502307934963)</f>
        <v>0.7305023079</v>
      </c>
      <c r="AK760" s="57">
        <f>IFERROR(__xludf.DUMMYFUNCTION("""COMPUTED_VALUE"""),1.000114287912964)</f>
        <v>1.000114288</v>
      </c>
      <c r="AL760" s="57">
        <f>IFERROR(__xludf.DUMMYFUNCTION("""COMPUTED_VALUE"""),1.0085388152119072)</f>
        <v>1.008538815</v>
      </c>
      <c r="AM760" s="57">
        <f>IFERROR(__xludf.DUMMYFUNCTION("""COMPUTED_VALUE"""),1.0987336995783197)</f>
        <v>1.0987337</v>
      </c>
      <c r="AN760" s="57">
        <f>IFERROR(__xludf.DUMMYFUNCTION("""COMPUTED_VALUE"""),1.1597475893135007)</f>
        <v>1.159747589</v>
      </c>
      <c r="AO760" s="57">
        <f>IFERROR(__xludf.DUMMYFUNCTION("""COMPUTED_VALUE"""),1.2502474985300225)</f>
        <v>1.250247499</v>
      </c>
      <c r="AP760" s="35">
        <f>IFERROR(__xludf.DUMMYFUNCTION("""COMPUTED_VALUE"""),1.0989968902044938)</f>
        <v>1.09899689</v>
      </c>
      <c r="AQ760" s="57">
        <f>IFERROR(__xludf.DUMMYFUNCTION("""COMPUTED_VALUE"""),0.9593918557654946)</f>
        <v>0.9593918558</v>
      </c>
      <c r="AR760" s="36" t="b">
        <f>IFERROR(__xludf.DUMMYFUNCTION("""COMPUTED_VALUE"""),TRUE)</f>
        <v>1</v>
      </c>
      <c r="AS760" s="57"/>
      <c r="AT760" s="37"/>
      <c r="AU760" s="30"/>
      <c r="AV760" s="30"/>
      <c r="AW760" s="30"/>
      <c r="AX760" s="30"/>
      <c r="AY760" s="30"/>
      <c r="AZ760" s="30"/>
    </row>
    <row r="761">
      <c r="A761" s="30" t="str">
        <f>IFERROR(__xludf.DUMMYFUNCTION("""COMPUTED_VALUE"""),"Veteran")</f>
        <v>Veteran</v>
      </c>
      <c r="B761" s="30" t="str">
        <f>IFERROR(__xludf.DUMMYFUNCTION("""COMPUTED_VALUE"""),"RSC005490")</f>
        <v>RSC005490</v>
      </c>
      <c r="C761" s="30" t="str">
        <f>IFERROR(__xludf.DUMMYFUNCTION("""COMPUTED_VALUE"""),"iProfessorEx")</f>
        <v>iProfessorEx</v>
      </c>
      <c r="D761" s="31" t="str">
        <f>IFERROR(__xludf.DUMMYFUNCTION("""COMPUTED_VALUE"""),"Repossessed")</f>
        <v>Repossessed</v>
      </c>
      <c r="E761" s="31">
        <f>IFERROR(__xludf.DUMMYFUNCTION("""COMPUTED_VALUE"""),55.65280256254196)</f>
        <v>55.65280256</v>
      </c>
      <c r="F761" s="31">
        <f>IFERROR(__xludf.DUMMYFUNCTION("""COMPUTED_VALUE"""),2.435714693891001)</f>
        <v>2.435714694</v>
      </c>
      <c r="G761" s="31">
        <f>IFERROR(__xludf.DUMMYFUNCTION("""COMPUTED_VALUE"""),63.24505820147135)</f>
        <v>63.2450582</v>
      </c>
      <c r="H761" s="31">
        <f>IFERROR(__xludf.DUMMYFUNCTION("""COMPUTED_VALUE"""),3.354303370604499)</f>
        <v>3.354303371</v>
      </c>
      <c r="I761" s="54">
        <f>IFERROR(__xludf.DUMMYFUNCTION("""COMPUTED_VALUE"""),24.0)</f>
        <v>24</v>
      </c>
      <c r="J761" s="55">
        <f>IFERROR(__xludf.DUMMYFUNCTION("""COMPUTED_VALUE"""),12.0)</f>
        <v>12</v>
      </c>
      <c r="K761" s="54">
        <f>IFERROR(__xludf.DUMMYFUNCTION("""COMPUTED_VALUE"""),12.0)</f>
        <v>12</v>
      </c>
      <c r="L761" s="56">
        <f>IFERROR(__xludf.DUMMYFUNCTION("""COMPUTED_VALUE"""),0.5)</f>
        <v>0.5</v>
      </c>
      <c r="M761" s="56">
        <f>IFERROR(__xludf.DUMMYFUNCTION("""COMPUTED_VALUE"""),0.29230769230769227)</f>
        <v>0.2923076923</v>
      </c>
      <c r="N761" s="31">
        <f>IFERROR(__xludf.DUMMYFUNCTION("""COMPUTED_VALUE"""),401.6666666666667)</f>
        <v>401.6666667</v>
      </c>
      <c r="O761" s="57">
        <f>IFERROR(__xludf.DUMMYFUNCTION("""COMPUTED_VALUE"""),0.7916666666666666)</f>
        <v>0.7916666667</v>
      </c>
      <c r="P761" s="57">
        <f>IFERROR(__xludf.DUMMYFUNCTION("""COMPUTED_VALUE"""),0.3333333333333333)</f>
        <v>0.3333333333</v>
      </c>
      <c r="Q761" s="57">
        <f>IFERROR(__xludf.DUMMYFUNCTION("""COMPUTED_VALUE"""),2.0)</f>
        <v>2</v>
      </c>
      <c r="R761" s="57">
        <f>IFERROR(__xludf.DUMMYFUNCTION("""COMPUTED_VALUE"""),2.7083333333333335)</f>
        <v>2.708333333</v>
      </c>
      <c r="S761" s="31">
        <f>IFERROR(__xludf.DUMMYFUNCTION("""COMPUTED_VALUE"""),344.6388888888889)</f>
        <v>344.6388889</v>
      </c>
      <c r="T761" s="57">
        <f>IFERROR(__xludf.DUMMYFUNCTION("""COMPUTED_VALUE"""),0.6527777777777778)</f>
        <v>0.6527777778</v>
      </c>
      <c r="U761" s="57">
        <f>IFERROR(__xludf.DUMMYFUNCTION("""COMPUTED_VALUE"""),0.49999999999999994)</f>
        <v>0.5</v>
      </c>
      <c r="V761" s="57">
        <f>IFERROR(__xludf.DUMMYFUNCTION("""COMPUTED_VALUE"""),1.513888888888889)</f>
        <v>1.513888889</v>
      </c>
      <c r="W761" s="57">
        <f>IFERROR(__xludf.DUMMYFUNCTION("""COMPUTED_VALUE"""),2.472222222222222)</f>
        <v>2.472222222</v>
      </c>
      <c r="X761" s="31">
        <f>IFERROR(__xludf.DUMMYFUNCTION("""COMPUTED_VALUE"""),351.8374903293955)</f>
        <v>351.8374903</v>
      </c>
      <c r="Y761" s="57">
        <f>IFERROR(__xludf.DUMMYFUNCTION("""COMPUTED_VALUE"""),0.7601983638977271)</f>
        <v>0.7601983639</v>
      </c>
      <c r="Z761" s="57">
        <f>IFERROR(__xludf.DUMMYFUNCTION("""COMPUTED_VALUE"""),0.5899035542919483)</f>
        <v>0.5899035543</v>
      </c>
      <c r="AA761" s="57">
        <f>IFERROR(__xludf.DUMMYFUNCTION("""COMPUTED_VALUE"""),1.3699052395682019)</f>
        <v>1.36990524</v>
      </c>
      <c r="AB761" s="57">
        <f>IFERROR(__xludf.DUMMYFUNCTION("""COMPUTED_VALUE"""),2.556208911572848)</f>
        <v>2.556208912</v>
      </c>
      <c r="AC761" s="31">
        <f>IFERROR(__xludf.DUMMYFUNCTION("""COMPUTED_VALUE"""),338.8644959647149)</f>
        <v>338.864496</v>
      </c>
      <c r="AD761" s="57">
        <f>IFERROR(__xludf.DUMMYFUNCTION("""COMPUTED_VALUE"""),0.6995799383480789)</f>
        <v>0.6995799383</v>
      </c>
      <c r="AE761" s="57">
        <f>IFERROR(__xludf.DUMMYFUNCTION("""COMPUTED_VALUE"""),0.5174343593194582)</f>
        <v>0.5174343593</v>
      </c>
      <c r="AF761" s="57">
        <f>IFERROR(__xludf.DUMMYFUNCTION("""COMPUTED_VALUE"""),1.328211298729979)</f>
        <v>1.328211299</v>
      </c>
      <c r="AG761" s="57">
        <f>IFERROR(__xludf.DUMMYFUNCTION("""COMPUTED_VALUE"""),2.526027689936545)</f>
        <v>2.52602769</v>
      </c>
      <c r="AH761" s="57">
        <f>IFERROR(__xludf.DUMMYFUNCTION("""COMPUTED_VALUE"""),1.1853312207381301)</f>
        <v>1.185331221</v>
      </c>
      <c r="AI761" s="57">
        <f>IFERROR(__xludf.DUMMYFUNCTION("""COMPUTED_VALUE"""),1.1316314594955832)</f>
        <v>1.131631459</v>
      </c>
      <c r="AJ761" s="57">
        <f>IFERROR(__xludf.DUMMYFUNCTION("""COMPUTED_VALUE"""),0.644204095320885)</f>
        <v>0.6442040953</v>
      </c>
      <c r="AK761" s="57">
        <f>IFERROR(__xludf.DUMMYFUNCTION("""COMPUTED_VALUE"""),1.5057845102751182)</f>
        <v>1.50578451</v>
      </c>
      <c r="AL761" s="57">
        <f>IFERROR(__xludf.DUMMYFUNCTION("""COMPUTED_VALUE"""),1.0721708808351853)</f>
        <v>1.072170881</v>
      </c>
      <c r="AM761" s="57">
        <f>IFERROR(__xludf.DUMMYFUNCTION("""COMPUTED_VALUE"""),0.979539981842847)</f>
        <v>0.9795399818</v>
      </c>
      <c r="AN761" s="57">
        <f>IFERROR(__xludf.DUMMYFUNCTION("""COMPUTED_VALUE"""),0.8586940051157476)</f>
        <v>0.8586940051</v>
      </c>
      <c r="AO761" s="57">
        <f>IFERROR(__xludf.DUMMYFUNCTION("""COMPUTED_VALUE"""),0.8475961813794153)</f>
        <v>0.8475961814</v>
      </c>
      <c r="AP761" s="35">
        <f>IFERROR(__xludf.DUMMYFUNCTION("""COMPUTED_VALUE"""),1.1051048241600063)</f>
        <v>1.105104824</v>
      </c>
      <c r="AQ761" s="57">
        <f>IFERROR(__xludf.DUMMYFUNCTION("""COMPUTED_VALUE"""),0.9671440432859814)</f>
        <v>0.9671440433</v>
      </c>
      <c r="AR761" s="36" t="b">
        <f>IFERROR(__xludf.DUMMYFUNCTION("""COMPUTED_VALUE"""),TRUE)</f>
        <v>1</v>
      </c>
      <c r="AS761" s="57"/>
      <c r="AT761" s="37"/>
      <c r="AU761" s="30"/>
      <c r="AV761" s="30"/>
      <c r="AW761" s="30"/>
      <c r="AX761" s="30"/>
      <c r="AY761" s="30"/>
      <c r="AZ761" s="30"/>
    </row>
    <row r="762">
      <c r="A762" s="30" t="str">
        <f>IFERROR(__xludf.DUMMYFUNCTION("""COMPUTED_VALUE"""),"Veteran")</f>
        <v>Veteran</v>
      </c>
      <c r="B762" s="30" t="str">
        <f>IFERROR(__xludf.DUMMYFUNCTION("""COMPUTED_VALUE"""),"RSC006000")</f>
        <v>RSC006000</v>
      </c>
      <c r="C762" s="30" t="str">
        <f>IFERROR(__xludf.DUMMYFUNCTION("""COMPUTED_VALUE"""),"janixity.")</f>
        <v>janixity.</v>
      </c>
      <c r="D762" s="31" t="str">
        <f>IFERROR(__xludf.DUMMYFUNCTION("""COMPUTED_VALUE"""),"Grizzly Bears")</f>
        <v>Grizzly Bears</v>
      </c>
      <c r="E762" s="31">
        <f>IFERROR(__xludf.DUMMYFUNCTION("""COMPUTED_VALUE"""),55.545560506296844)</f>
        <v>55.54556051</v>
      </c>
      <c r="F762" s="31">
        <f>IFERROR(__xludf.DUMMYFUNCTION("""COMPUTED_VALUE"""),2.4258534103125573)</f>
        <v>2.42585341</v>
      </c>
      <c r="G762" s="31">
        <f>IFERROR(__xludf.DUMMYFUNCTION("""COMPUTED_VALUE"""),51.02832396587029)</f>
        <v>51.02832397</v>
      </c>
      <c r="H762" s="31">
        <f>IFERROR(__xludf.DUMMYFUNCTION("""COMPUTED_VALUE"""),2.0678462427573976)</f>
        <v>2.067846243</v>
      </c>
      <c r="I762" s="54">
        <f>IFERROR(__xludf.DUMMYFUNCTION("""COMPUTED_VALUE"""),28.0)</f>
        <v>28</v>
      </c>
      <c r="J762" s="55">
        <f>IFERROR(__xludf.DUMMYFUNCTION("""COMPUTED_VALUE"""),17.0)</f>
        <v>17</v>
      </c>
      <c r="K762" s="54">
        <f>IFERROR(__xludf.DUMMYFUNCTION("""COMPUTED_VALUE"""),11.0)</f>
        <v>11</v>
      </c>
      <c r="L762" s="56">
        <f>IFERROR(__xludf.DUMMYFUNCTION("""COMPUTED_VALUE"""),0.6071428571428571)</f>
        <v>0.6071428571</v>
      </c>
      <c r="M762" s="56">
        <f>IFERROR(__xludf.DUMMYFUNCTION("""COMPUTED_VALUE"""),0.2987012987012987)</f>
        <v>0.2987012987</v>
      </c>
      <c r="N762" s="31">
        <f>IFERROR(__xludf.DUMMYFUNCTION("""COMPUTED_VALUE"""),374.57142857142856)</f>
        <v>374.5714286</v>
      </c>
      <c r="O762" s="57">
        <f>IFERROR(__xludf.DUMMYFUNCTION("""COMPUTED_VALUE"""),0.8214285714285714)</f>
        <v>0.8214285714</v>
      </c>
      <c r="P762" s="57">
        <f>IFERROR(__xludf.DUMMYFUNCTION("""COMPUTED_VALUE"""),0.5)</f>
        <v>0.5</v>
      </c>
      <c r="Q762" s="57">
        <f>IFERROR(__xludf.DUMMYFUNCTION("""COMPUTED_VALUE"""),1.6071428571428572)</f>
        <v>1.607142857</v>
      </c>
      <c r="R762" s="57">
        <f>IFERROR(__xludf.DUMMYFUNCTION("""COMPUTED_VALUE"""),2.75)</f>
        <v>2.75</v>
      </c>
      <c r="S762" s="31">
        <f>IFERROR(__xludf.DUMMYFUNCTION("""COMPUTED_VALUE"""),346.10714285714295)</f>
        <v>346.1071429</v>
      </c>
      <c r="T762" s="57">
        <f>IFERROR(__xludf.DUMMYFUNCTION("""COMPUTED_VALUE"""),0.7619047619047618)</f>
        <v>0.7619047619</v>
      </c>
      <c r="U762" s="57">
        <f>IFERROR(__xludf.DUMMYFUNCTION("""COMPUTED_VALUE"""),0.47619047619047616)</f>
        <v>0.4761904762</v>
      </c>
      <c r="V762" s="57">
        <f>IFERROR(__xludf.DUMMYFUNCTION("""COMPUTED_VALUE"""),1.4404761904761905)</f>
        <v>1.44047619</v>
      </c>
      <c r="W762" s="57">
        <f>IFERROR(__xludf.DUMMYFUNCTION("""COMPUTED_VALUE"""),2.5476190476190483)</f>
        <v>2.547619048</v>
      </c>
      <c r="X762" s="31">
        <f>IFERROR(__xludf.DUMMYFUNCTION("""COMPUTED_VALUE"""),349.85267051005576)</f>
        <v>349.8526705</v>
      </c>
      <c r="Y762" s="57">
        <f>IFERROR(__xludf.DUMMYFUNCTION("""COMPUTED_VALUE"""),0.7544671714577883)</f>
        <v>0.7544671715</v>
      </c>
      <c r="Z762" s="57">
        <f>IFERROR(__xludf.DUMMYFUNCTION("""COMPUTED_VALUE"""),0.515116640573842)</f>
        <v>0.5151166406</v>
      </c>
      <c r="AA762" s="57">
        <f>IFERROR(__xludf.DUMMYFUNCTION("""COMPUTED_VALUE"""),1.4805136775492895)</f>
        <v>1.480513678</v>
      </c>
      <c r="AB762" s="57">
        <f>IFERROR(__xludf.DUMMYFUNCTION("""COMPUTED_VALUE"""),2.533219920367071)</f>
        <v>2.53321992</v>
      </c>
      <c r="AC762" s="31">
        <f>IFERROR(__xludf.DUMMYFUNCTION("""COMPUTED_VALUE"""),355.3379710850171)</f>
        <v>355.3379711</v>
      </c>
      <c r="AD762" s="57">
        <f>IFERROR(__xludf.DUMMYFUNCTION("""COMPUTED_VALUE"""),0.8180077688273365)</f>
        <v>0.8180077688</v>
      </c>
      <c r="AE762" s="57">
        <f>IFERROR(__xludf.DUMMYFUNCTION("""COMPUTED_VALUE"""),0.5778616131298773)</f>
        <v>0.5778616131</v>
      </c>
      <c r="AF762" s="57">
        <f>IFERROR(__xludf.DUMMYFUNCTION("""COMPUTED_VALUE"""),1.3370629599074983)</f>
        <v>1.33706296</v>
      </c>
      <c r="AG762" s="57">
        <f>IFERROR(__xludf.DUMMYFUNCTION("""COMPUTED_VALUE"""),2.676273506295419)</f>
        <v>2.676273506</v>
      </c>
      <c r="AH762" s="57">
        <f>IFERROR(__xludf.DUMMYFUNCTION("""COMPUTED_VALUE"""),1.0541272226767167)</f>
        <v>1.054127223</v>
      </c>
      <c r="AI762" s="57">
        <f>IFERROR(__xludf.DUMMYFUNCTION("""COMPUTED_VALUE"""),1.0041818705537955)</f>
        <v>1.004181871</v>
      </c>
      <c r="AJ762" s="57">
        <f>IFERROR(__xludf.DUMMYFUNCTION("""COMPUTED_VALUE"""),0.8652590665987403)</f>
        <v>0.8652590666</v>
      </c>
      <c r="AK762" s="57">
        <f>IFERROR(__xludf.DUMMYFUNCTION("""COMPUTED_VALUE"""),1.201994898769796)</f>
        <v>1.201994899</v>
      </c>
      <c r="AL762" s="57">
        <f>IFERROR(__xludf.DUMMYFUNCTION("""COMPUTED_VALUE"""),1.0275481909943633)</f>
        <v>1.027548191</v>
      </c>
      <c r="AM762" s="57">
        <f>IFERROR(__xludf.DUMMYFUNCTION("""COMPUTED_VALUE"""),0.9892939858156516)</f>
        <v>0.9892939858</v>
      </c>
      <c r="AN762" s="57">
        <f>IFERROR(__xludf.DUMMYFUNCTION("""COMPUTED_VALUE"""),1.009858070342017)</f>
        <v>1.00985807</v>
      </c>
      <c r="AO762" s="57">
        <f>IFERROR(__xludf.DUMMYFUNCTION("""COMPUTED_VALUE"""),0.9244323298505714)</f>
        <v>0.9244323299</v>
      </c>
      <c r="AP762" s="35">
        <f>IFERROR(__xludf.DUMMYFUNCTION("""COMPUTED_VALUE"""),0.9729570299280358)</f>
        <v>0.9729570299</v>
      </c>
      <c r="AQ762" s="57">
        <f>IFERROR(__xludf.DUMMYFUNCTION("""COMPUTED_VALUE"""),1.0056841204887932)</f>
        <v>1.00568412</v>
      </c>
      <c r="AR762" s="36" t="b">
        <f>IFERROR(__xludf.DUMMYFUNCTION("""COMPUTED_VALUE"""),TRUE)</f>
        <v>1</v>
      </c>
      <c r="AS762" s="57"/>
      <c r="AT762" s="37"/>
      <c r="AU762" s="30"/>
      <c r="AV762" s="30"/>
      <c r="AW762" s="30"/>
      <c r="AX762" s="30"/>
      <c r="AY762" s="30"/>
      <c r="AZ762" s="30"/>
    </row>
    <row r="763">
      <c r="A763" s="30" t="str">
        <f>IFERROR(__xludf.DUMMYFUNCTION("""COMPUTED_VALUE"""),"Veteran")</f>
        <v>Veteran</v>
      </c>
      <c r="B763" s="30" t="str">
        <f>IFERROR(__xludf.DUMMYFUNCTION("""COMPUTED_VALUE"""),"RSC002937")</f>
        <v>RSC002937</v>
      </c>
      <c r="C763" s="30" t="str">
        <f>IFERROR(__xludf.DUMMYFUNCTION("""COMPUTED_VALUE"""),"SirTommyNoble")</f>
        <v>SirTommyNoble</v>
      </c>
      <c r="D763" s="31" t="str">
        <f>IFERROR(__xludf.DUMMYFUNCTION("""COMPUTED_VALUE"""),"Kirin")</f>
        <v>Kirin</v>
      </c>
      <c r="E763" s="31">
        <f>IFERROR(__xludf.DUMMYFUNCTION("""COMPUTED_VALUE"""),55.338060583891114)</f>
        <v>55.33806058</v>
      </c>
      <c r="F763" s="31">
        <f>IFERROR(__xludf.DUMMYFUNCTION("""COMPUTED_VALUE"""),2.406972032125761)</f>
        <v>2.406972032</v>
      </c>
      <c r="G763" s="31">
        <f>IFERROR(__xludf.DUMMYFUNCTION("""COMPUTED_VALUE"""),51.9424946384603)</f>
        <v>51.94249464</v>
      </c>
      <c r="H763" s="31">
        <f>IFERROR(__xludf.DUMMYFUNCTION("""COMPUTED_VALUE"""),2.13204418069246)</f>
        <v>2.132044181</v>
      </c>
      <c r="I763" s="54">
        <f>IFERROR(__xludf.DUMMYFUNCTION("""COMPUTED_VALUE"""),36.0)</f>
        <v>36</v>
      </c>
      <c r="J763" s="55">
        <f>IFERROR(__xludf.DUMMYFUNCTION("""COMPUTED_VALUE"""),17.0)</f>
        <v>17</v>
      </c>
      <c r="K763" s="54">
        <f>IFERROR(__xludf.DUMMYFUNCTION("""COMPUTED_VALUE"""),19.0)</f>
        <v>19</v>
      </c>
      <c r="L763" s="56">
        <f>IFERROR(__xludf.DUMMYFUNCTION("""COMPUTED_VALUE"""),0.4722222222222222)</f>
        <v>0.4722222222</v>
      </c>
      <c r="M763" s="56">
        <f>IFERROR(__xludf.DUMMYFUNCTION("""COMPUTED_VALUE"""),0.23913043478260873)</f>
        <v>0.2391304348</v>
      </c>
      <c r="N763" s="31">
        <f>IFERROR(__xludf.DUMMYFUNCTION("""COMPUTED_VALUE"""),368.47222222222223)</f>
        <v>368.4722222</v>
      </c>
      <c r="O763" s="57">
        <f>IFERROR(__xludf.DUMMYFUNCTION("""COMPUTED_VALUE"""),0.6111111111111112)</f>
        <v>0.6111111111</v>
      </c>
      <c r="P763" s="57">
        <f>IFERROR(__xludf.DUMMYFUNCTION("""COMPUTED_VALUE"""),0.7222222222222222)</f>
        <v>0.7222222222</v>
      </c>
      <c r="Q763" s="57">
        <f>IFERROR(__xludf.DUMMYFUNCTION("""COMPUTED_VALUE"""),1.5)</f>
        <v>1.5</v>
      </c>
      <c r="R763" s="57">
        <f>IFERROR(__xludf.DUMMYFUNCTION("""COMPUTED_VALUE"""),2.5555555555555554)</f>
        <v>2.555555556</v>
      </c>
      <c r="S763" s="31">
        <f>IFERROR(__xludf.DUMMYFUNCTION("""COMPUTED_VALUE"""),367.93518518518505)</f>
        <v>367.9351852</v>
      </c>
      <c r="T763" s="57">
        <f>IFERROR(__xludf.DUMMYFUNCTION("""COMPUTED_VALUE"""),0.8333333333333335)</f>
        <v>0.8333333333</v>
      </c>
      <c r="U763" s="57">
        <f>IFERROR(__xludf.DUMMYFUNCTION("""COMPUTED_VALUE"""),0.6296296296296299)</f>
        <v>0.6296296296</v>
      </c>
      <c r="V763" s="57">
        <f>IFERROR(__xludf.DUMMYFUNCTION("""COMPUTED_VALUE"""),1.1759259259259265)</f>
        <v>1.175925926</v>
      </c>
      <c r="W763" s="57">
        <f>IFERROR(__xludf.DUMMYFUNCTION("""COMPUTED_VALUE"""),2.8611111111111107)</f>
        <v>2.861111111</v>
      </c>
      <c r="X763" s="31">
        <f>IFERROR(__xludf.DUMMYFUNCTION("""COMPUTED_VALUE"""),370.0648071068151)</f>
        <v>370.0648071</v>
      </c>
      <c r="Y763" s="57">
        <f>IFERROR(__xludf.DUMMYFUNCTION("""COMPUTED_VALUE"""),0.850764395889053)</f>
        <v>0.8507643959</v>
      </c>
      <c r="Z763" s="57">
        <f>IFERROR(__xludf.DUMMYFUNCTION("""COMPUTED_VALUE"""),0.6098030849137746)</f>
        <v>0.6098030849</v>
      </c>
      <c r="AA763" s="57">
        <f>IFERROR(__xludf.DUMMYFUNCTION("""COMPUTED_VALUE"""),1.3985989280220255)</f>
        <v>1.398598928</v>
      </c>
      <c r="AB763" s="57">
        <f>IFERROR(__xludf.DUMMYFUNCTION("""COMPUTED_VALUE"""),2.7947725320532615)</f>
        <v>2.794772532</v>
      </c>
      <c r="AC763" s="31">
        <f>IFERROR(__xludf.DUMMYFUNCTION("""COMPUTED_VALUE"""),356.10133819576015)</f>
        <v>356.1013382</v>
      </c>
      <c r="AD763" s="57">
        <f>IFERROR(__xludf.DUMMYFUNCTION("""COMPUTED_VALUE"""),0.7705392211372077)</f>
        <v>0.7705392211</v>
      </c>
      <c r="AE763" s="57">
        <f>IFERROR(__xludf.DUMMYFUNCTION("""COMPUTED_VALUE"""),0.5778685176446791)</f>
        <v>0.5778685176</v>
      </c>
      <c r="AF763" s="57">
        <f>IFERROR(__xludf.DUMMYFUNCTION("""COMPUTED_VALUE"""),1.3992071447045442)</f>
        <v>1.399207145</v>
      </c>
      <c r="AG763" s="57">
        <f>IFERROR(__xludf.DUMMYFUNCTION("""COMPUTED_VALUE"""),2.651020617508074)</f>
        <v>2.651020618</v>
      </c>
      <c r="AH763" s="57">
        <f>IFERROR(__xludf.DUMMYFUNCTION("""COMPUTED_VALUE"""),1.0347397852789348)</f>
        <v>1.034739785</v>
      </c>
      <c r="AI763" s="57">
        <f>IFERROR(__xludf.DUMMYFUNCTION("""COMPUTED_VALUE"""),0.7930953991014201)</f>
        <v>0.7930953991</v>
      </c>
      <c r="AJ763" s="57">
        <f>IFERROR(__xludf.DUMMYFUNCTION("""COMPUTED_VALUE"""),1.2498037186139004)</f>
        <v>1.249803719</v>
      </c>
      <c r="AK763" s="57">
        <f>IFERROR(__xludf.DUMMYFUNCTION("""COMPUTED_VALUE"""),1.0720356922682375)</f>
        <v>1.072035692</v>
      </c>
      <c r="AL763" s="57">
        <f>IFERROR(__xludf.DUMMYFUNCTION("""COMPUTED_VALUE"""),0.9639893174266391)</f>
        <v>0.9639893174</v>
      </c>
      <c r="AM763" s="57">
        <f>IFERROR(__xludf.DUMMYFUNCTION("""COMPUTED_VALUE"""),0.9942452730420934)</f>
        <v>0.994245273</v>
      </c>
      <c r="AN763" s="57">
        <f>IFERROR(__xludf.DUMMYFUNCTION("""COMPUTED_VALUE"""),0.9795112928562273)</f>
        <v>0.9795112929</v>
      </c>
      <c r="AO763" s="57">
        <f>IFERROR(__xludf.DUMMYFUNCTION("""COMPUTED_VALUE"""),1.0325130279041779)</f>
        <v>1.032513028</v>
      </c>
      <c r="AP763" s="35">
        <f>IFERROR(__xludf.DUMMYFUNCTION("""COMPUTED_VALUE"""),0.8407885222599053)</f>
        <v>0.8407885223</v>
      </c>
      <c r="AQ763" s="57">
        <f>IFERROR(__xludf.DUMMYFUNCTION("""COMPUTED_VALUE"""),1.0237366648974153)</f>
        <v>1.023736665</v>
      </c>
      <c r="AR763" s="36" t="b">
        <f>IFERROR(__xludf.DUMMYFUNCTION("""COMPUTED_VALUE"""),TRUE)</f>
        <v>1</v>
      </c>
      <c r="AS763" s="57"/>
      <c r="AT763" s="37"/>
      <c r="AU763" s="30"/>
      <c r="AV763" s="30"/>
      <c r="AW763" s="30"/>
      <c r="AX763" s="30"/>
      <c r="AY763" s="30"/>
      <c r="AZ763" s="30"/>
    </row>
    <row r="764">
      <c r="A764" s="30" t="str">
        <f>IFERROR(__xludf.DUMMYFUNCTION("""COMPUTED_VALUE"""),"Veteran")</f>
        <v>Veteran</v>
      </c>
      <c r="B764" s="30" t="str">
        <f>IFERROR(__xludf.DUMMYFUNCTION("""COMPUTED_VALUE"""),"RSC001098")</f>
        <v>RSC001098</v>
      </c>
      <c r="C764" s="30" t="str">
        <f>IFERROR(__xludf.DUMMYFUNCTION("""COMPUTED_VALUE"""),"Wafe")</f>
        <v>Wafe</v>
      </c>
      <c r="D764" s="31" t="str">
        <f>IFERROR(__xludf.DUMMYFUNCTION("""COMPUTED_VALUE"""),"Silver Dollar")</f>
        <v>Silver Dollar</v>
      </c>
      <c r="E764" s="31">
        <f>IFERROR(__xludf.DUMMYFUNCTION("""COMPUTED_VALUE"""),55.23318091276393)</f>
        <v>55.23318091</v>
      </c>
      <c r="F764" s="31">
        <f>IFERROR(__xludf.DUMMYFUNCTION("""COMPUTED_VALUE"""),2.397527311941821)</f>
        <v>2.397527312</v>
      </c>
      <c r="G764" s="31">
        <f>IFERROR(__xludf.DUMMYFUNCTION("""COMPUTED_VALUE"""),63.31331177738188)</f>
        <v>63.31331178</v>
      </c>
      <c r="H764" s="31">
        <f>IFERROR(__xludf.DUMMYFUNCTION("""COMPUTED_VALUE"""),3.364979515762522)</f>
        <v>3.364979516</v>
      </c>
      <c r="I764" s="54">
        <f>IFERROR(__xludf.DUMMYFUNCTION("""COMPUTED_VALUE"""),34.0)</f>
        <v>34</v>
      </c>
      <c r="J764" s="55">
        <f>IFERROR(__xludf.DUMMYFUNCTION("""COMPUTED_VALUE"""),20.0)</f>
        <v>20</v>
      </c>
      <c r="K764" s="54">
        <f>IFERROR(__xludf.DUMMYFUNCTION("""COMPUTED_VALUE"""),14.0)</f>
        <v>14</v>
      </c>
      <c r="L764" s="56">
        <f>IFERROR(__xludf.DUMMYFUNCTION("""COMPUTED_VALUE"""),0.5882352941176471)</f>
        <v>0.5882352941</v>
      </c>
      <c r="M764" s="56">
        <f>IFERROR(__xludf.DUMMYFUNCTION("""COMPUTED_VALUE"""),0.27956989247311825)</f>
        <v>0.2795698925</v>
      </c>
      <c r="N764" s="31">
        <f>IFERROR(__xludf.DUMMYFUNCTION("""COMPUTED_VALUE"""),378.8529411764706)</f>
        <v>378.8529412</v>
      </c>
      <c r="O764" s="57">
        <f>IFERROR(__xludf.DUMMYFUNCTION("""COMPUTED_VALUE"""),0.7647058823529411)</f>
        <v>0.7647058824</v>
      </c>
      <c r="P764" s="57">
        <f>IFERROR(__xludf.DUMMYFUNCTION("""COMPUTED_VALUE"""),0.5)</f>
        <v>0.5</v>
      </c>
      <c r="Q764" s="57">
        <f>IFERROR(__xludf.DUMMYFUNCTION("""COMPUTED_VALUE"""),1.3529411764705883)</f>
        <v>1.352941176</v>
      </c>
      <c r="R764" s="57">
        <f>IFERROR(__xludf.DUMMYFUNCTION("""COMPUTED_VALUE"""),2.735294117647059)</f>
        <v>2.735294118</v>
      </c>
      <c r="S764" s="31">
        <f>IFERROR(__xludf.DUMMYFUNCTION("""COMPUTED_VALUE"""),337.99019607843144)</f>
        <v>337.9901961</v>
      </c>
      <c r="T764" s="57">
        <f>IFERROR(__xludf.DUMMYFUNCTION("""COMPUTED_VALUE"""),0.6862745098039217)</f>
        <v>0.6862745098</v>
      </c>
      <c r="U764" s="57">
        <f>IFERROR(__xludf.DUMMYFUNCTION("""COMPUTED_VALUE"""),0.4607843137254901)</f>
        <v>0.4607843137</v>
      </c>
      <c r="V764" s="57">
        <f>IFERROR(__xludf.DUMMYFUNCTION("""COMPUTED_VALUE"""),1.2941176470588236)</f>
        <v>1.294117647</v>
      </c>
      <c r="W764" s="57">
        <f>IFERROR(__xludf.DUMMYFUNCTION("""COMPUTED_VALUE"""),2.4901960784313726)</f>
        <v>2.490196078</v>
      </c>
      <c r="X764" s="31">
        <f>IFERROR(__xludf.DUMMYFUNCTION("""COMPUTED_VALUE"""),336.7333469617671)</f>
        <v>336.733347</v>
      </c>
      <c r="Y764" s="57">
        <f>IFERROR(__xludf.DUMMYFUNCTION("""COMPUTED_VALUE"""),0.7075142966270812)</f>
        <v>0.7075142966</v>
      </c>
      <c r="Z764" s="57">
        <f>IFERROR(__xludf.DUMMYFUNCTION("""COMPUTED_VALUE"""),0.4925991917986575)</f>
        <v>0.4925991918</v>
      </c>
      <c r="AA764" s="57">
        <f>IFERROR(__xludf.DUMMYFUNCTION("""COMPUTED_VALUE"""),1.3603917967642665)</f>
        <v>1.360391797</v>
      </c>
      <c r="AB764" s="57">
        <f>IFERROR(__xludf.DUMMYFUNCTION("""COMPUTED_VALUE"""),2.4478131621812693)</f>
        <v>2.447813162</v>
      </c>
      <c r="AC764" s="31">
        <f>IFERROR(__xludf.DUMMYFUNCTION("""COMPUTED_VALUE"""),347.1959565901795)</f>
        <v>347.1959566</v>
      </c>
      <c r="AD764" s="57">
        <f>IFERROR(__xludf.DUMMYFUNCTION("""COMPUTED_VALUE"""),0.7674948434487454)</f>
        <v>0.7674948434</v>
      </c>
      <c r="AE764" s="57">
        <f>IFERROR(__xludf.DUMMYFUNCTION("""COMPUTED_VALUE"""),0.5653262039398101)</f>
        <v>0.5653262039</v>
      </c>
      <c r="AF764" s="57">
        <f>IFERROR(__xludf.DUMMYFUNCTION("""COMPUTED_VALUE"""),1.303977997298821)</f>
        <v>1.303977997</v>
      </c>
      <c r="AG764" s="57">
        <f>IFERROR(__xludf.DUMMYFUNCTION("""COMPUTED_VALUE"""),2.6321965170601174)</f>
        <v>2.632196517</v>
      </c>
      <c r="AH764" s="57">
        <f>IFERROR(__xludf.DUMMYFUNCTION("""COMPUTED_VALUE"""),1.0911790128467946)</f>
        <v>1.091179013</v>
      </c>
      <c r="AI764" s="57">
        <f>IFERROR(__xludf.DUMMYFUNCTION("""COMPUTED_VALUE"""),0.9963661500535013)</f>
        <v>0.9963661501</v>
      </c>
      <c r="AJ764" s="57">
        <f>IFERROR(__xludf.DUMMYFUNCTION("""COMPUTED_VALUE"""),0.8844451159621722)</f>
        <v>0.884445116</v>
      </c>
      <c r="AK764" s="57">
        <f>IFERROR(__xludf.DUMMYFUNCTION("""COMPUTED_VALUE"""),1.0375490838596926)</f>
        <v>1.037549084</v>
      </c>
      <c r="AL764" s="57">
        <f>IFERROR(__xludf.DUMMYFUNCTION("""COMPUTED_VALUE"""),1.039167896438861)</f>
        <v>1.039167896</v>
      </c>
      <c r="AM764" s="57">
        <f>IFERROR(__xludf.DUMMYFUNCTION("""COMPUTED_VALUE"""),1.0037324759427733)</f>
        <v>1.003732476</v>
      </c>
      <c r="AN764" s="57">
        <f>IFERROR(__xludf.DUMMYFUNCTION("""COMPUTED_VALUE"""),0.9699797065240723)</f>
        <v>0.9699797065</v>
      </c>
      <c r="AO764" s="57">
        <f>IFERROR(__xludf.DUMMYFUNCTION("""COMPUTED_VALUE"""),0.9354142706629303)</f>
        <v>0.9354142707</v>
      </c>
      <c r="AP764" s="35">
        <f>IFERROR(__xludf.DUMMYFUNCTION("""COMPUTED_VALUE"""),0.9512830422360102)</f>
        <v>0.9512830422</v>
      </c>
      <c r="AQ764" s="57">
        <f>IFERROR(__xludf.DUMMYFUNCTION("""COMPUTED_VALUE"""),1.0173146042781858)</f>
        <v>1.017314604</v>
      </c>
      <c r="AR764" s="36" t="b">
        <f>IFERROR(__xludf.DUMMYFUNCTION("""COMPUTED_VALUE"""),TRUE)</f>
        <v>1</v>
      </c>
      <c r="AS764" s="57"/>
      <c r="AT764" s="37"/>
      <c r="AU764" s="30"/>
      <c r="AV764" s="30"/>
      <c r="AW764" s="30"/>
      <c r="AX764" s="30"/>
      <c r="AY764" s="30"/>
      <c r="AZ764" s="30"/>
    </row>
    <row r="765">
      <c r="A765" s="30" t="str">
        <f>IFERROR(__xludf.DUMMYFUNCTION("""COMPUTED_VALUE"""),"Veteran")</f>
        <v>Veteran</v>
      </c>
      <c r="B765" s="30" t="str">
        <f>IFERROR(__xludf.DUMMYFUNCTION("""COMPUTED_VALUE"""),"RSC007900")</f>
        <v>RSC007900</v>
      </c>
      <c r="C765" s="30" t="str">
        <f>IFERROR(__xludf.DUMMYFUNCTION("""COMPUTED_VALUE"""),"Car.")</f>
        <v>Car.</v>
      </c>
      <c r="D765" s="31" t="str">
        <f>IFERROR(__xludf.DUMMYFUNCTION("""COMPUTED_VALUE"""),"Supernova")</f>
        <v>Supernova</v>
      </c>
      <c r="E765" s="31">
        <f>IFERROR(__xludf.DUMMYFUNCTION("""COMPUTED_VALUE"""),55.149290355926134)</f>
        <v>55.14929036</v>
      </c>
      <c r="F765" s="31">
        <f>IFERROR(__xludf.DUMMYFUNCTION("""COMPUTED_VALUE"""),2.390019990360271)</f>
        <v>2.39001999</v>
      </c>
      <c r="G765" s="31">
        <f>IFERROR(__xludf.DUMMYFUNCTION("""COMPUTED_VALUE"""),60.2652131777223)</f>
        <v>60.26521318</v>
      </c>
      <c r="H765" s="31">
        <f>IFERROR(__xludf.DUMMYFUNCTION("""COMPUTED_VALUE"""),2.9353075386294205)</f>
        <v>2.935307539</v>
      </c>
      <c r="I765" s="54">
        <f>IFERROR(__xludf.DUMMYFUNCTION("""COMPUTED_VALUE"""),16.0)</f>
        <v>16</v>
      </c>
      <c r="J765" s="55">
        <f>IFERROR(__xludf.DUMMYFUNCTION("""COMPUTED_VALUE"""),6.0)</f>
        <v>6</v>
      </c>
      <c r="K765" s="54">
        <f>IFERROR(__xludf.DUMMYFUNCTION("""COMPUTED_VALUE"""),10.0)</f>
        <v>10</v>
      </c>
      <c r="L765" s="56">
        <f>IFERROR(__xludf.DUMMYFUNCTION("""COMPUTED_VALUE"""),0.375)</f>
        <v>0.375</v>
      </c>
      <c r="M765" s="56">
        <f>IFERROR(__xludf.DUMMYFUNCTION("""COMPUTED_VALUE"""),0.2653061224489796)</f>
        <v>0.2653061224</v>
      </c>
      <c r="N765" s="31">
        <f>IFERROR(__xludf.DUMMYFUNCTION("""COMPUTED_VALUE"""),369.125)</f>
        <v>369.125</v>
      </c>
      <c r="O765" s="57">
        <f>IFERROR(__xludf.DUMMYFUNCTION("""COMPUTED_VALUE"""),0.8125)</f>
        <v>0.8125</v>
      </c>
      <c r="P765" s="57">
        <f>IFERROR(__xludf.DUMMYFUNCTION("""COMPUTED_VALUE"""),0.5625)</f>
        <v>0.5625</v>
      </c>
      <c r="Q765" s="57">
        <f>IFERROR(__xludf.DUMMYFUNCTION("""COMPUTED_VALUE"""),1.0625)</f>
        <v>1.0625</v>
      </c>
      <c r="R765" s="57">
        <f>IFERROR(__xludf.DUMMYFUNCTION("""COMPUTED_VALUE"""),3.0625)</f>
        <v>3.0625</v>
      </c>
      <c r="S765" s="31">
        <f>IFERROR(__xludf.DUMMYFUNCTION("""COMPUTED_VALUE"""),361.35416666666674)</f>
        <v>361.3541667</v>
      </c>
      <c r="T765" s="57">
        <f>IFERROR(__xludf.DUMMYFUNCTION("""COMPUTED_VALUE"""),0.9791666666666667)</f>
        <v>0.9791666667</v>
      </c>
      <c r="U765" s="57">
        <f>IFERROR(__xludf.DUMMYFUNCTION("""COMPUTED_VALUE"""),0.7083333333333333)</f>
        <v>0.7083333333</v>
      </c>
      <c r="V765" s="57">
        <f>IFERROR(__xludf.DUMMYFUNCTION("""COMPUTED_VALUE"""),1.1458333333333333)</f>
        <v>1.145833333</v>
      </c>
      <c r="W765" s="57">
        <f>IFERROR(__xludf.DUMMYFUNCTION("""COMPUTED_VALUE"""),2.7291666666666665)</f>
        <v>2.729166667</v>
      </c>
      <c r="X765" s="31">
        <f>IFERROR(__xludf.DUMMYFUNCTION("""COMPUTED_VALUE"""),356.13916576886044)</f>
        <v>356.1391658</v>
      </c>
      <c r="Y765" s="57">
        <f>IFERROR(__xludf.DUMMYFUNCTION("""COMPUTED_VALUE"""),0.7844841806454382)</f>
        <v>0.7844841806</v>
      </c>
      <c r="Z765" s="57">
        <f>IFERROR(__xludf.DUMMYFUNCTION("""COMPUTED_VALUE"""),0.5324668730352379)</f>
        <v>0.532466873</v>
      </c>
      <c r="AA765" s="57">
        <f>IFERROR(__xludf.DUMMYFUNCTION("""COMPUTED_VALUE"""),1.431577918148769)</f>
        <v>1.431577918</v>
      </c>
      <c r="AB765" s="57">
        <f>IFERROR(__xludf.DUMMYFUNCTION("""COMPUTED_VALUE"""),2.505741596259527)</f>
        <v>2.505741596</v>
      </c>
      <c r="AC765" s="31">
        <f>IFERROR(__xludf.DUMMYFUNCTION("""COMPUTED_VALUE"""),344.2493534349091)</f>
        <v>344.2493534</v>
      </c>
      <c r="AD765" s="57">
        <f>IFERROR(__xludf.DUMMYFUNCTION("""COMPUTED_VALUE"""),0.7746096886197424)</f>
        <v>0.7746096886</v>
      </c>
      <c r="AE765" s="57">
        <f>IFERROR(__xludf.DUMMYFUNCTION("""COMPUTED_VALUE"""),0.5517338117433659)</f>
        <v>0.5517338117</v>
      </c>
      <c r="AF765" s="57">
        <f>IFERROR(__xludf.DUMMYFUNCTION("""COMPUTED_VALUE"""),1.2839255033528205)</f>
        <v>1.283925503</v>
      </c>
      <c r="AG765" s="57">
        <f>IFERROR(__xludf.DUMMYFUNCTION("""COMPUTED_VALUE"""),2.7404604549285434)</f>
        <v>2.740460455</v>
      </c>
      <c r="AH765" s="57">
        <f>IFERROR(__xludf.DUMMYFUNCTION("""COMPUTED_VALUE"""),1.0722605469462252)</f>
        <v>1.072260547</v>
      </c>
      <c r="AI765" s="57">
        <f>IFERROR(__xludf.DUMMYFUNCTION("""COMPUTED_VALUE"""),1.048915359486109)</f>
        <v>1.048915359</v>
      </c>
      <c r="AJ765" s="57">
        <f>IFERROR(__xludf.DUMMYFUNCTION("""COMPUTED_VALUE"""),1.0195133740718467)</f>
        <v>1.019513374</v>
      </c>
      <c r="AK765" s="57">
        <f>IFERROR(__xludf.DUMMYFUNCTION("""COMPUTED_VALUE"""),0.8275402250562094)</f>
        <v>0.8275402251</v>
      </c>
      <c r="AL765" s="57">
        <f>IFERROR(__xludf.DUMMYFUNCTION("""COMPUTED_VALUE"""),1.1175129327235096)</f>
        <v>1.117512933</v>
      </c>
      <c r="AM765" s="57">
        <f>IFERROR(__xludf.DUMMYFUNCTION("""COMPUTED_VALUE"""),1.014643154696417)</f>
        <v>1.014643155</v>
      </c>
      <c r="AN765" s="57">
        <f>IFERROR(__xludf.DUMMYFUNCTION("""COMPUTED_VALUE"""),1.2481662356289358)</f>
        <v>1.248166236</v>
      </c>
      <c r="AO765" s="57">
        <f>IFERROR(__xludf.DUMMYFUNCTION("""COMPUTED_VALUE"""),1.3302862003331741)</f>
        <v>1.3302862</v>
      </c>
      <c r="AP765" s="35">
        <f>IFERROR(__xludf.DUMMYFUNCTION("""COMPUTED_VALUE"""),0.8003988597526404)</f>
        <v>0.8003988598</v>
      </c>
      <c r="AQ765" s="57">
        <f>IFERROR(__xludf.DUMMYFUNCTION("""COMPUTED_VALUE"""),1.089165247821507)</f>
        <v>1.089165248</v>
      </c>
      <c r="AR765" s="36" t="b">
        <f>IFERROR(__xludf.DUMMYFUNCTION("""COMPUTED_VALUE"""),TRUE)</f>
        <v>1</v>
      </c>
      <c r="AS765" s="57"/>
      <c r="AT765" s="37"/>
      <c r="AU765" s="30"/>
      <c r="AV765" s="30"/>
      <c r="AW765" s="30"/>
      <c r="AX765" s="30"/>
      <c r="AY765" s="30"/>
      <c r="AZ765" s="30"/>
    </row>
    <row r="766">
      <c r="A766" s="30" t="str">
        <f>IFERROR(__xludf.DUMMYFUNCTION("""COMPUTED_VALUE"""),"Veteran")</f>
        <v>Veteran</v>
      </c>
      <c r="B766" s="30" t="str">
        <f>IFERROR(__xludf.DUMMYFUNCTION("""COMPUTED_VALUE"""),"RSC004165")</f>
        <v>RSC004165</v>
      </c>
      <c r="C766" s="30" t="str">
        <f>IFERROR(__xludf.DUMMYFUNCTION("""COMPUTED_VALUE"""),"Absolutely TOR")</f>
        <v>Absolutely TOR</v>
      </c>
      <c r="D766" s="31" t="str">
        <f>IFERROR(__xludf.DUMMYFUNCTION("""COMPUTED_VALUE"""),"Rulers")</f>
        <v>Rulers</v>
      </c>
      <c r="E766" s="31">
        <f>IFERROR(__xludf.DUMMYFUNCTION("""COMPUTED_VALUE"""),55.09826104861731)</f>
        <v>55.09826105</v>
      </c>
      <c r="F766" s="31">
        <f>IFERROR(__xludf.DUMMYFUNCTION("""COMPUTED_VALUE"""),2.3854738316327815)</f>
        <v>2.385473832</v>
      </c>
      <c r="G766" s="31">
        <f>IFERROR(__xludf.DUMMYFUNCTION("""COMPUTED_VALUE"""),44.70050453960963)</f>
        <v>44.70050454</v>
      </c>
      <c r="H766" s="31">
        <f>IFERROR(__xludf.DUMMYFUNCTION("""COMPUTED_VALUE"""),-2.4034914680992516)</f>
        <v>-2.403491468</v>
      </c>
      <c r="I766" s="54">
        <f>IFERROR(__xludf.DUMMYFUNCTION("""COMPUTED_VALUE"""),21.0)</f>
        <v>21</v>
      </c>
      <c r="J766" s="55">
        <f>IFERROR(__xludf.DUMMYFUNCTION("""COMPUTED_VALUE"""),14.0)</f>
        <v>14</v>
      </c>
      <c r="K766" s="54">
        <f>IFERROR(__xludf.DUMMYFUNCTION("""COMPUTED_VALUE"""),7.0)</f>
        <v>7</v>
      </c>
      <c r="L766" s="56">
        <f>IFERROR(__xludf.DUMMYFUNCTION("""COMPUTED_VALUE"""),0.6666666666666666)</f>
        <v>0.6666666667</v>
      </c>
      <c r="M766" s="56">
        <f>IFERROR(__xludf.DUMMYFUNCTION("""COMPUTED_VALUE"""),0.33333333333333337)</f>
        <v>0.3333333333</v>
      </c>
      <c r="N766" s="31">
        <f>IFERROR(__xludf.DUMMYFUNCTION("""COMPUTED_VALUE"""),351.85714285714283)</f>
        <v>351.8571429</v>
      </c>
      <c r="O766" s="57">
        <f>IFERROR(__xludf.DUMMYFUNCTION("""COMPUTED_VALUE"""),0.7142857142857143)</f>
        <v>0.7142857143</v>
      </c>
      <c r="P766" s="57">
        <f>IFERROR(__xludf.DUMMYFUNCTION("""COMPUTED_VALUE"""),0.6190476190476191)</f>
        <v>0.619047619</v>
      </c>
      <c r="Q766" s="57">
        <f>IFERROR(__xludf.DUMMYFUNCTION("""COMPUTED_VALUE"""),1.5238095238095237)</f>
        <v>1.523809524</v>
      </c>
      <c r="R766" s="57">
        <f>IFERROR(__xludf.DUMMYFUNCTION("""COMPUTED_VALUE"""),2.142857142857143)</f>
        <v>2.142857143</v>
      </c>
      <c r="S766" s="31">
        <f>IFERROR(__xludf.DUMMYFUNCTION("""COMPUTED_VALUE"""),325.31746031746025)</f>
        <v>325.3174603</v>
      </c>
      <c r="T766" s="57">
        <f>IFERROR(__xludf.DUMMYFUNCTION("""COMPUTED_VALUE"""),0.5714285714285714)</f>
        <v>0.5714285714</v>
      </c>
      <c r="U766" s="57">
        <f>IFERROR(__xludf.DUMMYFUNCTION("""COMPUTED_VALUE"""),0.36507936507936506)</f>
        <v>0.3650793651</v>
      </c>
      <c r="V766" s="57">
        <f>IFERROR(__xludf.DUMMYFUNCTION("""COMPUTED_VALUE"""),1.365079365079365)</f>
        <v>1.365079365</v>
      </c>
      <c r="W766" s="57">
        <f>IFERROR(__xludf.DUMMYFUNCTION("""COMPUTED_VALUE"""),2.825396825396826)</f>
        <v>2.825396825</v>
      </c>
      <c r="X766" s="31">
        <f>IFERROR(__xludf.DUMMYFUNCTION("""COMPUTED_VALUE"""),356.02610920330153)</f>
        <v>356.0261092</v>
      </c>
      <c r="Y766" s="57">
        <f>IFERROR(__xludf.DUMMYFUNCTION("""COMPUTED_VALUE"""),0.8260447518904565)</f>
        <v>0.8260447519</v>
      </c>
      <c r="Z766" s="57">
        <f>IFERROR(__xludf.DUMMYFUNCTION("""COMPUTED_VALUE"""),0.5413185028834977)</f>
        <v>0.5413185029</v>
      </c>
      <c r="AA766" s="57">
        <f>IFERROR(__xludf.DUMMYFUNCTION("""COMPUTED_VALUE"""),1.3644199428583637)</f>
        <v>1.364419943</v>
      </c>
      <c r="AB766" s="57">
        <f>IFERROR(__xludf.DUMMYFUNCTION("""COMPUTED_VALUE"""),2.560340115116341)</f>
        <v>2.560340115</v>
      </c>
      <c r="AC766" s="31">
        <f>IFERROR(__xludf.DUMMYFUNCTION("""COMPUTED_VALUE"""),354.518301528967)</f>
        <v>354.5183015</v>
      </c>
      <c r="AD766" s="57">
        <f>IFERROR(__xludf.DUMMYFUNCTION("""COMPUTED_VALUE"""),0.810546575876229)</f>
        <v>0.8105465759</v>
      </c>
      <c r="AE766" s="57">
        <f>IFERROR(__xludf.DUMMYFUNCTION("""COMPUTED_VALUE"""),0.6022354407197301)</f>
        <v>0.6022354407</v>
      </c>
      <c r="AF766" s="57">
        <f>IFERROR(__xludf.DUMMYFUNCTION("""COMPUTED_VALUE"""),1.3028246984949003)</f>
        <v>1.302824698</v>
      </c>
      <c r="AG766" s="57">
        <f>IFERROR(__xludf.DUMMYFUNCTION("""COMPUTED_VALUE"""),2.6397801779980647)</f>
        <v>2.639780178</v>
      </c>
      <c r="AH766" s="57">
        <f>IFERROR(__xludf.DUMMYFUNCTION("""COMPUTED_VALUE"""),0.9924935929672822)</f>
        <v>0.992493593</v>
      </c>
      <c r="AI766" s="57">
        <f>IFERROR(__xludf.DUMMYFUNCTION("""COMPUTED_VALUE"""),0.8812395678971892)</f>
        <v>0.8812395679</v>
      </c>
      <c r="AJ766" s="57">
        <f>IFERROR(__xludf.DUMMYFUNCTION("""COMPUTED_VALUE"""),1.0279162885329312)</f>
        <v>1.027916289</v>
      </c>
      <c r="AK766" s="57">
        <f>IFERROR(__xludf.DUMMYFUNCTION("""COMPUTED_VALUE"""),1.1696197696972723)</f>
        <v>1.16961977</v>
      </c>
      <c r="AL766" s="57">
        <f>IFERROR(__xludf.DUMMYFUNCTION("""COMPUTED_VALUE"""),0.8117559032821534)</f>
        <v>0.8117559033</v>
      </c>
      <c r="AM766" s="57">
        <f>IFERROR(__xludf.DUMMYFUNCTION("""COMPUTED_VALUE"""),0.9137460762230061)</f>
        <v>0.9137460762</v>
      </c>
      <c r="AN766" s="57">
        <f>IFERROR(__xludf.DUMMYFUNCTION("""COMPUTED_VALUE"""),0.6917646654383076)</f>
        <v>0.6917646654</v>
      </c>
      <c r="AO766" s="57">
        <f>IFERROR(__xludf.DUMMYFUNCTION("""COMPUTED_VALUE"""),0.6744261707934585)</f>
        <v>0.6744261708</v>
      </c>
      <c r="AP766" s="35">
        <f>IFERROR(__xludf.DUMMYFUNCTION("""COMPUTED_VALUE"""),1.000483298580069)</f>
        <v>1.000483299</v>
      </c>
      <c r="AQ766" s="57">
        <f>IFERROR(__xludf.DUMMYFUNCTION("""COMPUTED_VALUE"""),1.1035240235137436)</f>
        <v>1.103524024</v>
      </c>
      <c r="AR766" s="36" t="b">
        <f>IFERROR(__xludf.DUMMYFUNCTION("""COMPUTED_VALUE"""),TRUE)</f>
        <v>1</v>
      </c>
      <c r="AS766" s="57"/>
      <c r="AT766" s="37"/>
      <c r="AU766" s="30"/>
      <c r="AV766" s="30"/>
      <c r="AW766" s="30"/>
      <c r="AX766" s="30"/>
      <c r="AY766" s="30"/>
      <c r="AZ766" s="30"/>
    </row>
    <row r="767">
      <c r="A767" s="30" t="str">
        <f>IFERROR(__xludf.DUMMYFUNCTION("""COMPUTED_VALUE"""),"Veteran")</f>
        <v>Veteran</v>
      </c>
      <c r="B767" s="30" t="str">
        <f>IFERROR(__xludf.DUMMYFUNCTION("""COMPUTED_VALUE"""),"RSC007237")</f>
        <v>RSC007237</v>
      </c>
      <c r="C767" s="30" t="str">
        <f>IFERROR(__xludf.DUMMYFUNCTION("""COMPUTED_VALUE"""),"FuDaah")</f>
        <v>FuDaah</v>
      </c>
      <c r="D767" s="31" t="str">
        <f>IFERROR(__xludf.DUMMYFUNCTION("""COMPUTED_VALUE"""),"Typhoons")</f>
        <v>Typhoons</v>
      </c>
      <c r="E767" s="31">
        <f>IFERROR(__xludf.DUMMYFUNCTION("""COMPUTED_VALUE"""),55.0045753614459)</f>
        <v>55.00457536</v>
      </c>
      <c r="F767" s="31">
        <f>IFERROR(__xludf.DUMMYFUNCTION("""COMPUTED_VALUE"""),2.377167446994359)</f>
        <v>2.377167447</v>
      </c>
      <c r="G767" s="31">
        <f>IFERROR(__xludf.DUMMYFUNCTION("""COMPUTED_VALUE"""),52.76936354230581)</f>
        <v>52.76936354</v>
      </c>
      <c r="H767" s="31">
        <f>IFERROR(__xludf.DUMMYFUNCTION("""COMPUTED_VALUE"""),2.193475185063841)</f>
        <v>2.193475185</v>
      </c>
      <c r="I767" s="54">
        <f>IFERROR(__xludf.DUMMYFUNCTION("""COMPUTED_VALUE"""),25.0)</f>
        <v>25</v>
      </c>
      <c r="J767" s="55">
        <f>IFERROR(__xludf.DUMMYFUNCTION("""COMPUTED_VALUE"""),12.0)</f>
        <v>12</v>
      </c>
      <c r="K767" s="54">
        <f>IFERROR(__xludf.DUMMYFUNCTION("""COMPUTED_VALUE"""),13.0)</f>
        <v>13</v>
      </c>
      <c r="L767" s="56">
        <f>IFERROR(__xludf.DUMMYFUNCTION("""COMPUTED_VALUE"""),0.48)</f>
        <v>0.48</v>
      </c>
      <c r="M767" s="56">
        <f>IFERROR(__xludf.DUMMYFUNCTION("""COMPUTED_VALUE"""),0.24285714285714288)</f>
        <v>0.2428571429</v>
      </c>
      <c r="N767" s="31">
        <f>IFERROR(__xludf.DUMMYFUNCTION("""COMPUTED_VALUE"""),337.84)</f>
        <v>337.84</v>
      </c>
      <c r="O767" s="57">
        <f>IFERROR(__xludf.DUMMYFUNCTION("""COMPUTED_VALUE"""),0.68)</f>
        <v>0.68</v>
      </c>
      <c r="P767" s="57">
        <f>IFERROR(__xludf.DUMMYFUNCTION("""COMPUTED_VALUE"""),0.52)</f>
        <v>0.52</v>
      </c>
      <c r="Q767" s="57">
        <f>IFERROR(__xludf.DUMMYFUNCTION("""COMPUTED_VALUE"""),1.52)</f>
        <v>1.52</v>
      </c>
      <c r="R767" s="57">
        <f>IFERROR(__xludf.DUMMYFUNCTION("""COMPUTED_VALUE"""),2.8)</f>
        <v>2.8</v>
      </c>
      <c r="S767" s="31">
        <f>IFERROR(__xludf.DUMMYFUNCTION("""COMPUTED_VALUE"""),342.2933333333333)</f>
        <v>342.2933333</v>
      </c>
      <c r="T767" s="57">
        <f>IFERROR(__xludf.DUMMYFUNCTION("""COMPUTED_VALUE"""),0.6533333333333333)</f>
        <v>0.6533333333</v>
      </c>
      <c r="U767" s="57">
        <f>IFERROR(__xludf.DUMMYFUNCTION("""COMPUTED_VALUE"""),0.5466666666666665)</f>
        <v>0.5466666667</v>
      </c>
      <c r="V767" s="57">
        <f>IFERROR(__xludf.DUMMYFUNCTION("""COMPUTED_VALUE"""),1.4666666666666668)</f>
        <v>1.466666667</v>
      </c>
      <c r="W767" s="57">
        <f>IFERROR(__xludf.DUMMYFUNCTION("""COMPUTED_VALUE"""),2.4133333333333336)</f>
        <v>2.413333333</v>
      </c>
      <c r="X767" s="31">
        <f>IFERROR(__xludf.DUMMYFUNCTION("""COMPUTED_VALUE"""),354.69742712654084)</f>
        <v>354.6974271</v>
      </c>
      <c r="Y767" s="57">
        <f>IFERROR(__xludf.DUMMYFUNCTION("""COMPUTED_VALUE"""),0.7505337803808392)</f>
        <v>0.7505337804</v>
      </c>
      <c r="Z767" s="57">
        <f>IFERROR(__xludf.DUMMYFUNCTION("""COMPUTED_VALUE"""),0.5724584920163351)</f>
        <v>0.572458492</v>
      </c>
      <c r="AA767" s="57">
        <f>IFERROR(__xludf.DUMMYFUNCTION("""COMPUTED_VALUE"""),1.4020156461911364)</f>
        <v>1.402015646</v>
      </c>
      <c r="AB767" s="57">
        <f>IFERROR(__xludf.DUMMYFUNCTION("""COMPUTED_VALUE"""),2.5806018740155987)</f>
        <v>2.580601874</v>
      </c>
      <c r="AC767" s="31">
        <f>IFERROR(__xludf.DUMMYFUNCTION("""COMPUTED_VALUE"""),342.9624831847891)</f>
        <v>342.9624832</v>
      </c>
      <c r="AD767" s="57">
        <f>IFERROR(__xludf.DUMMYFUNCTION("""COMPUTED_VALUE"""),0.6824148706171583)</f>
        <v>0.6824148706</v>
      </c>
      <c r="AE767" s="57">
        <f>IFERROR(__xludf.DUMMYFUNCTION("""COMPUTED_VALUE"""),0.49896589077830894)</f>
        <v>0.4989658908</v>
      </c>
      <c r="AF767" s="57">
        <f>IFERROR(__xludf.DUMMYFUNCTION("""COMPUTED_VALUE"""),1.4155566423651391)</f>
        <v>1.415556642</v>
      </c>
      <c r="AG767" s="57">
        <f>IFERROR(__xludf.DUMMYFUNCTION("""COMPUTED_VALUE"""),2.56920731718052)</f>
        <v>2.569207317</v>
      </c>
      <c r="AH767" s="57">
        <f>IFERROR(__xludf.DUMMYFUNCTION("""COMPUTED_VALUE"""),0.9850640130161726)</f>
        <v>0.985064013</v>
      </c>
      <c r="AI767" s="57">
        <f>IFERROR(__xludf.DUMMYFUNCTION("""COMPUTED_VALUE"""),0.9964612866437474)</f>
        <v>0.9964612866</v>
      </c>
      <c r="AJ767" s="57">
        <f>IFERROR(__xludf.DUMMYFUNCTION("""COMPUTED_VALUE"""),1.0421554050295525)</f>
        <v>1.042155405</v>
      </c>
      <c r="AK767" s="57">
        <f>IFERROR(__xludf.DUMMYFUNCTION("""COMPUTED_VALUE"""),1.0737825350883556)</f>
        <v>1.073782535</v>
      </c>
      <c r="AL767" s="57">
        <f>IFERROR(__xludf.DUMMYFUNCTION("""COMPUTED_VALUE"""),1.0898303072999007)</f>
        <v>1.089830307</v>
      </c>
      <c r="AM767" s="57">
        <f>IFERROR(__xludf.DUMMYFUNCTION("""COMPUTED_VALUE"""),0.9650290843841326)</f>
        <v>0.9650290844</v>
      </c>
      <c r="AN767" s="57">
        <f>IFERROR(__xludf.DUMMYFUNCTION("""COMPUTED_VALUE"""),0.8704915760111637)</f>
        <v>0.870491576</v>
      </c>
      <c r="AO767" s="57">
        <f>IFERROR(__xludf.DUMMYFUNCTION("""COMPUTED_VALUE"""),0.9549455100948478)</f>
        <v>0.9549455101</v>
      </c>
      <c r="AP767" s="35">
        <f>IFERROR(__xludf.DUMMYFUNCTION("""COMPUTED_VALUE"""),1.046112909403806)</f>
        <v>1.046112909</v>
      </c>
      <c r="AQ767" s="57">
        <f>IFERROR(__xludf.DUMMYFUNCTION("""COMPUTED_VALUE"""),0.9351823532461505)</f>
        <v>0.9351823532</v>
      </c>
      <c r="AR767" s="36" t="b">
        <f>IFERROR(__xludf.DUMMYFUNCTION("""COMPUTED_VALUE"""),TRUE)</f>
        <v>1</v>
      </c>
      <c r="AS767" s="57"/>
      <c r="AT767" s="37"/>
      <c r="AU767" s="30"/>
      <c r="AV767" s="30"/>
      <c r="AW767" s="30"/>
      <c r="AX767" s="30"/>
      <c r="AY767" s="30"/>
      <c r="AZ767" s="30"/>
    </row>
    <row r="768">
      <c r="A768" s="30" t="str">
        <f>IFERROR(__xludf.DUMMYFUNCTION("""COMPUTED_VALUE"""),"Veteran")</f>
        <v>Veteran</v>
      </c>
      <c r="B768" s="30" t="str">
        <f>IFERROR(__xludf.DUMMYFUNCTION("""COMPUTED_VALUE"""),"RSC006290")</f>
        <v>RSC006290</v>
      </c>
      <c r="C768" s="30" t="str">
        <f>IFERROR(__xludf.DUMMYFUNCTION("""COMPUTED_VALUE"""),"Dirt D Dan")</f>
        <v>Dirt D Dan</v>
      </c>
      <c r="D768" s="31" t="str">
        <f>IFERROR(__xludf.DUMMYFUNCTION("""COMPUTED_VALUE"""),"Blacksmiths")</f>
        <v>Blacksmiths</v>
      </c>
      <c r="E768" s="31">
        <f>IFERROR(__xludf.DUMMYFUNCTION("""COMPUTED_VALUE"""),54.76213699021753)</f>
        <v>54.76213699</v>
      </c>
      <c r="F768" s="31">
        <f>IFERROR(__xludf.DUMMYFUNCTION("""COMPUTED_VALUE"""),2.3559103983310927)</f>
        <v>2.355910398</v>
      </c>
      <c r="G768" s="31">
        <f>IFERROR(__xludf.DUMMYFUNCTION("""COMPUTED_VALUE"""),48.30064672797672)</f>
        <v>48.30064673</v>
      </c>
      <c r="H768" s="31">
        <f>IFERROR(__xludf.DUMMYFUNCTION("""COMPUTED_VALUE"""),-2.114598046052272)</f>
        <v>-2.114598046</v>
      </c>
      <c r="I768" s="54">
        <f>IFERROR(__xludf.DUMMYFUNCTION("""COMPUTED_VALUE"""),36.0)</f>
        <v>36</v>
      </c>
      <c r="J768" s="55">
        <f>IFERROR(__xludf.DUMMYFUNCTION("""COMPUTED_VALUE"""),20.0)</f>
        <v>20</v>
      </c>
      <c r="K768" s="54">
        <f>IFERROR(__xludf.DUMMYFUNCTION("""COMPUTED_VALUE"""),16.0)</f>
        <v>16</v>
      </c>
      <c r="L768" s="56">
        <f>IFERROR(__xludf.DUMMYFUNCTION("""COMPUTED_VALUE"""),0.5555555555555556)</f>
        <v>0.5555555556</v>
      </c>
      <c r="M768" s="56">
        <f>IFERROR(__xludf.DUMMYFUNCTION("""COMPUTED_VALUE"""),0.2777777777777778)</f>
        <v>0.2777777778</v>
      </c>
      <c r="N768" s="31">
        <f>IFERROR(__xludf.DUMMYFUNCTION("""COMPUTED_VALUE"""),339.5)</f>
        <v>339.5</v>
      </c>
      <c r="O768" s="57">
        <f>IFERROR(__xludf.DUMMYFUNCTION("""COMPUTED_VALUE"""),0.6944444444444444)</f>
        <v>0.6944444444</v>
      </c>
      <c r="P768" s="57">
        <f>IFERROR(__xludf.DUMMYFUNCTION("""COMPUTED_VALUE"""),0.6388888888888888)</f>
        <v>0.6388888889</v>
      </c>
      <c r="Q768" s="57">
        <f>IFERROR(__xludf.DUMMYFUNCTION("""COMPUTED_VALUE"""),1.1388888888888888)</f>
        <v>1.138888889</v>
      </c>
      <c r="R768" s="57">
        <f>IFERROR(__xludf.DUMMYFUNCTION("""COMPUTED_VALUE"""),2.5)</f>
        <v>2.5</v>
      </c>
      <c r="S768" s="31">
        <f>IFERROR(__xludf.DUMMYFUNCTION("""COMPUTED_VALUE"""),364.2222222222222)</f>
        <v>364.2222222</v>
      </c>
      <c r="T768" s="57">
        <f>IFERROR(__xludf.DUMMYFUNCTION("""COMPUTED_VALUE"""),0.7685185185185186)</f>
        <v>0.7685185185</v>
      </c>
      <c r="U768" s="57">
        <f>IFERROR(__xludf.DUMMYFUNCTION("""COMPUTED_VALUE"""),0.6296296296296298)</f>
        <v>0.6296296296</v>
      </c>
      <c r="V768" s="57">
        <f>IFERROR(__xludf.DUMMYFUNCTION("""COMPUTED_VALUE"""),1.5185185185185184)</f>
        <v>1.518518519</v>
      </c>
      <c r="W768" s="57">
        <f>IFERROR(__xludf.DUMMYFUNCTION("""COMPUTED_VALUE"""),2.407407407407407)</f>
        <v>2.407407407</v>
      </c>
      <c r="X768" s="31">
        <f>IFERROR(__xludf.DUMMYFUNCTION("""COMPUTED_VALUE"""),352.51101807503505)</f>
        <v>352.5110181</v>
      </c>
      <c r="Y768" s="57">
        <f>IFERROR(__xludf.DUMMYFUNCTION("""COMPUTED_VALUE"""),0.7776810414092754)</f>
        <v>0.7776810414</v>
      </c>
      <c r="Z768" s="57">
        <f>IFERROR(__xludf.DUMMYFUNCTION("""COMPUTED_VALUE"""),0.574552214216324)</f>
        <v>0.5745522142</v>
      </c>
      <c r="AA768" s="57">
        <f>IFERROR(__xludf.DUMMYFUNCTION("""COMPUTED_VALUE"""),1.3898581116329183)</f>
        <v>1.389858112</v>
      </c>
      <c r="AB768" s="57">
        <f>IFERROR(__xludf.DUMMYFUNCTION("""COMPUTED_VALUE"""),2.6243962417591096)</f>
        <v>2.624396242</v>
      </c>
      <c r="AC768" s="31">
        <f>IFERROR(__xludf.DUMMYFUNCTION("""COMPUTED_VALUE"""),342.8828393728998)</f>
        <v>342.8828394</v>
      </c>
      <c r="AD768" s="57">
        <f>IFERROR(__xludf.DUMMYFUNCTION("""COMPUTED_VALUE"""),0.7486856502540923)</f>
        <v>0.7486856503</v>
      </c>
      <c r="AE768" s="57">
        <f>IFERROR(__xludf.DUMMYFUNCTION("""COMPUTED_VALUE"""),0.5262238232112881)</f>
        <v>0.5262238232</v>
      </c>
      <c r="AF768" s="57">
        <f>IFERROR(__xludf.DUMMYFUNCTION("""COMPUTED_VALUE"""),1.3526063554975445)</f>
        <v>1.352606355</v>
      </c>
      <c r="AG768" s="57">
        <f>IFERROR(__xludf.DUMMYFUNCTION("""COMPUTED_VALUE"""),2.5386195612759375)</f>
        <v>2.538619561</v>
      </c>
      <c r="AH768" s="57">
        <f>IFERROR(__xludf.DUMMYFUNCTION("""COMPUTED_VALUE"""),0.9901341245916923)</f>
        <v>0.9901341246</v>
      </c>
      <c r="AI768" s="57">
        <f>IFERROR(__xludf.DUMMYFUNCTION("""COMPUTED_VALUE"""),0.9275514285718722)</f>
        <v>0.9275514286</v>
      </c>
      <c r="AJ768" s="57">
        <f>IFERROR(__xludf.DUMMYFUNCTION("""COMPUTED_VALUE"""),1.2141010359243347)</f>
        <v>1.214101036</v>
      </c>
      <c r="AK768" s="57">
        <f>IFERROR(__xludf.DUMMYFUNCTION("""COMPUTED_VALUE"""),0.8419958136822139)</f>
        <v>0.8419958137</v>
      </c>
      <c r="AL768" s="57">
        <f>IFERROR(__xludf.DUMMYFUNCTION("""COMPUTED_VALUE"""),0.9847871804562449)</f>
        <v>0.9847871805</v>
      </c>
      <c r="AM768" s="57">
        <f>IFERROR(__xludf.DUMMYFUNCTION("""COMPUTED_VALUE"""),1.0332222357506404)</f>
        <v>1.033222236</v>
      </c>
      <c r="AN768" s="57">
        <f>IFERROR(__xludf.DUMMYFUNCTION("""COMPUTED_VALUE"""),0.9882181480544351)</f>
        <v>0.9882181481</v>
      </c>
      <c r="AO768" s="57">
        <f>IFERROR(__xludf.DUMMYFUNCTION("""COMPUTED_VALUE"""),1.095861462284033)</f>
        <v>1.095861462</v>
      </c>
      <c r="AP768" s="35">
        <f>IFERROR(__xludf.DUMMYFUNCTION("""COMPUTED_VALUE"""),1.092570893250707)</f>
        <v>1.092570893</v>
      </c>
      <c r="AQ768" s="57">
        <f>IFERROR(__xludf.DUMMYFUNCTION("""COMPUTED_VALUE"""),0.9173185699251509)</f>
        <v>0.9173185699</v>
      </c>
      <c r="AR768" s="36" t="b">
        <f>IFERROR(__xludf.DUMMYFUNCTION("""COMPUTED_VALUE"""),TRUE)</f>
        <v>1</v>
      </c>
      <c r="AS768" s="57"/>
      <c r="AT768" s="37"/>
      <c r="AU768" s="30"/>
      <c r="AV768" s="30"/>
      <c r="AW768" s="30"/>
      <c r="AX768" s="30"/>
      <c r="AY768" s="30"/>
      <c r="AZ768" s="30"/>
    </row>
    <row r="769">
      <c r="A769" s="30" t="str">
        <f>IFERROR(__xludf.DUMMYFUNCTION("""COMPUTED_VALUE"""),"Veteran")</f>
        <v>Veteran</v>
      </c>
      <c r="B769" s="30" t="str">
        <f>IFERROR(__xludf.DUMMYFUNCTION("""COMPUTED_VALUE"""),"RSC007207")</f>
        <v>RSC007207</v>
      </c>
      <c r="C769" s="30" t="str">
        <f>IFERROR(__xludf.DUMMYFUNCTION("""COMPUTED_VALUE"""),".S")</f>
        <v>.S</v>
      </c>
      <c r="D769" s="31" t="str">
        <f>IFERROR(__xludf.DUMMYFUNCTION("""COMPUTED_VALUE"""),"Slots")</f>
        <v>Slots</v>
      </c>
      <c r="E769" s="31">
        <f>IFERROR(__xludf.DUMMYFUNCTION("""COMPUTED_VALUE"""),54.41862945617813)</f>
        <v>54.41862946</v>
      </c>
      <c r="F769" s="31">
        <f>IFERROR(__xludf.DUMMYFUNCTION("""COMPUTED_VALUE"""),2.3263697848450033)</f>
        <v>2.326369785</v>
      </c>
      <c r="G769" s="31">
        <f>IFERROR(__xludf.DUMMYFUNCTION("""COMPUTED_VALUE"""),49.213755056431545)</f>
        <v>49.21375506</v>
      </c>
      <c r="H769" s="31">
        <f>IFERROR(__xludf.DUMMYFUNCTION("""COMPUTED_VALUE"""),-2.051469675718947)</f>
        <v>-2.051469676</v>
      </c>
      <c r="I769" s="54">
        <f>IFERROR(__xludf.DUMMYFUNCTION("""COMPUTED_VALUE"""),32.0)</f>
        <v>32</v>
      </c>
      <c r="J769" s="55">
        <f>IFERROR(__xludf.DUMMYFUNCTION("""COMPUTED_VALUE"""),14.0)</f>
        <v>14</v>
      </c>
      <c r="K769" s="54">
        <f>IFERROR(__xludf.DUMMYFUNCTION("""COMPUTED_VALUE"""),18.0)</f>
        <v>18</v>
      </c>
      <c r="L769" s="56">
        <f>IFERROR(__xludf.DUMMYFUNCTION("""COMPUTED_VALUE"""),0.4375)</f>
        <v>0.4375</v>
      </c>
      <c r="M769" s="56">
        <f>IFERROR(__xludf.DUMMYFUNCTION("""COMPUTED_VALUE"""),0.28125)</f>
        <v>0.28125</v>
      </c>
      <c r="N769" s="31">
        <f>IFERROR(__xludf.DUMMYFUNCTION("""COMPUTED_VALUE"""),374.71875)</f>
        <v>374.71875</v>
      </c>
      <c r="O769" s="57">
        <f>IFERROR(__xludf.DUMMYFUNCTION("""COMPUTED_VALUE"""),0.84375)</f>
        <v>0.84375</v>
      </c>
      <c r="P769" s="57">
        <f>IFERROR(__xludf.DUMMYFUNCTION("""COMPUTED_VALUE"""),0.53125)</f>
        <v>0.53125</v>
      </c>
      <c r="Q769" s="57">
        <f>IFERROR(__xludf.DUMMYFUNCTION("""COMPUTED_VALUE"""),1.1875)</f>
        <v>1.1875</v>
      </c>
      <c r="R769" s="57">
        <f>IFERROR(__xludf.DUMMYFUNCTION("""COMPUTED_VALUE"""),3.0)</f>
        <v>3</v>
      </c>
      <c r="S769" s="31">
        <f>IFERROR(__xludf.DUMMYFUNCTION("""COMPUTED_VALUE"""),385.5833333333332)</f>
        <v>385.5833333</v>
      </c>
      <c r="T769" s="57">
        <f>IFERROR(__xludf.DUMMYFUNCTION("""COMPUTED_VALUE"""),0.9479166666666666)</f>
        <v>0.9479166667</v>
      </c>
      <c r="U769" s="57">
        <f>IFERROR(__xludf.DUMMYFUNCTION("""COMPUTED_VALUE"""),0.71875)</f>
        <v>0.71875</v>
      </c>
      <c r="V769" s="57">
        <f>IFERROR(__xludf.DUMMYFUNCTION("""COMPUTED_VALUE"""),1.4062500000000004)</f>
        <v>1.40625</v>
      </c>
      <c r="W769" s="57">
        <f>IFERROR(__xludf.DUMMYFUNCTION("""COMPUTED_VALUE"""),3.0520833333333335)</f>
        <v>3.052083333</v>
      </c>
      <c r="X769" s="31">
        <f>IFERROR(__xludf.DUMMYFUNCTION("""COMPUTED_VALUE"""),358.2453916347847)</f>
        <v>358.2453916</v>
      </c>
      <c r="Y769" s="57">
        <f>IFERROR(__xludf.DUMMYFUNCTION("""COMPUTED_VALUE"""),0.8080329650967151)</f>
        <v>0.8080329651</v>
      </c>
      <c r="Z769" s="57">
        <f>IFERROR(__xludf.DUMMYFUNCTION("""COMPUTED_VALUE"""),0.6311934764005198)</f>
        <v>0.6311934764</v>
      </c>
      <c r="AA769" s="57">
        <f>IFERROR(__xludf.DUMMYFUNCTION("""COMPUTED_VALUE"""),1.305365429815275)</f>
        <v>1.30536543</v>
      </c>
      <c r="AB769" s="57">
        <f>IFERROR(__xludf.DUMMYFUNCTION("""COMPUTED_VALUE"""),2.673049458813611)</f>
        <v>2.673049459</v>
      </c>
      <c r="AC769" s="31">
        <f>IFERROR(__xludf.DUMMYFUNCTION("""COMPUTED_VALUE"""),357.16203137358184)</f>
        <v>357.1620314</v>
      </c>
      <c r="AD769" s="57">
        <f>IFERROR(__xludf.DUMMYFUNCTION("""COMPUTED_VALUE"""),0.8088162296907871)</f>
        <v>0.8088162297</v>
      </c>
      <c r="AE769" s="57">
        <f>IFERROR(__xludf.DUMMYFUNCTION("""COMPUTED_VALUE"""),0.601062517917757)</f>
        <v>0.6010625179</v>
      </c>
      <c r="AF769" s="57">
        <f>IFERROR(__xludf.DUMMYFUNCTION("""COMPUTED_VALUE"""),1.3243886954588437)</f>
        <v>1.324388695</v>
      </c>
      <c r="AG769" s="57">
        <f>IFERROR(__xludf.DUMMYFUNCTION("""COMPUTED_VALUE"""),2.6406342532570584)</f>
        <v>2.640634253</v>
      </c>
      <c r="AH769" s="57">
        <f>IFERROR(__xludf.DUMMYFUNCTION("""COMPUTED_VALUE"""),1.04915617306492)</f>
        <v>1.049156173</v>
      </c>
      <c r="AI769" s="57">
        <f>IFERROR(__xludf.DUMMYFUNCTION("""COMPUTED_VALUE"""),1.0431912330970017)</f>
        <v>1.043191233</v>
      </c>
      <c r="AJ769" s="57">
        <f>IFERROR(__xludf.DUMMYFUNCTION("""COMPUTED_VALUE"""),0.883851486598089)</f>
        <v>0.8838514866</v>
      </c>
      <c r="AK769" s="57">
        <f>IFERROR(__xludf.DUMMYFUNCTION("""COMPUTED_VALUE"""),0.8966400906862032)</f>
        <v>0.8966400907</v>
      </c>
      <c r="AL769" s="57">
        <f>IFERROR(__xludf.DUMMYFUNCTION("""COMPUTED_VALUE"""),1.1360906934762685)</f>
        <v>1.136090693</v>
      </c>
      <c r="AM769" s="57">
        <f>IFERROR(__xludf.DUMMYFUNCTION("""COMPUTED_VALUE"""),1.0763106583836208)</f>
        <v>1.076310658</v>
      </c>
      <c r="AN769" s="57">
        <f>IFERROR(__xludf.DUMMYFUNCTION("""COMPUTED_VALUE"""),1.17311633016508)</f>
        <v>1.17311633</v>
      </c>
      <c r="AO769" s="57">
        <f>IFERROR(__xludf.DUMMYFUNCTION("""COMPUTED_VALUE"""),1.1387158246609028)</f>
        <v>1.138715825</v>
      </c>
      <c r="AP769" s="35">
        <f>IFERROR(__xludf.DUMMYFUNCTION("""COMPUTED_VALUE"""),1.0772845426119502)</f>
        <v>1.077284543</v>
      </c>
      <c r="AQ769" s="57">
        <f>IFERROR(__xludf.DUMMYFUNCTION("""COMPUTED_VALUE"""),1.1417983020366373)</f>
        <v>1.141798302</v>
      </c>
      <c r="AR769" s="36" t="b">
        <f>IFERROR(__xludf.DUMMYFUNCTION("""COMPUTED_VALUE"""),TRUE)</f>
        <v>1</v>
      </c>
      <c r="AS769" s="57"/>
      <c r="AT769" s="37"/>
      <c r="AU769" s="30"/>
      <c r="AV769" s="30"/>
      <c r="AW769" s="30"/>
      <c r="AX769" s="30"/>
      <c r="AY769" s="30"/>
      <c r="AZ769" s="30"/>
    </row>
    <row r="770">
      <c r="A770" s="30" t="str">
        <f>IFERROR(__xludf.DUMMYFUNCTION("""COMPUTED_VALUE"""),"Veteran")</f>
        <v>Veteran</v>
      </c>
      <c r="B770" s="30" t="str">
        <f>IFERROR(__xludf.DUMMYFUNCTION("""COMPUTED_VALUE"""),"RSC007115")</f>
        <v>RSC007115</v>
      </c>
      <c r="C770" s="30" t="str">
        <f>IFERROR(__xludf.DUMMYFUNCTION("""COMPUTED_VALUE"""),"Zoomin")</f>
        <v>Zoomin</v>
      </c>
      <c r="D770" s="31" t="str">
        <f>IFERROR(__xludf.DUMMYFUNCTION("""COMPUTED_VALUE"""),"Legati")</f>
        <v>Legati</v>
      </c>
      <c r="E770" s="31">
        <f>IFERROR(__xludf.DUMMYFUNCTION("""COMPUTED_VALUE"""),54.1147537054065)</f>
        <v>54.11475371</v>
      </c>
      <c r="F770" s="31">
        <f>IFERROR(__xludf.DUMMYFUNCTION("""COMPUTED_VALUE"""),2.3007901512752946)</f>
        <v>2.300790151</v>
      </c>
      <c r="G770" s="31">
        <f>IFERROR(__xludf.DUMMYFUNCTION("""COMPUTED_VALUE"""),37.81062417264495)</f>
        <v>37.81062417</v>
      </c>
      <c r="H770" s="31">
        <f>IFERROR(__xludf.DUMMYFUNCTION("""COMPUTED_VALUE"""),-3.195649398840225)</f>
        <v>-3.195649399</v>
      </c>
      <c r="I770" s="54">
        <f>IFERROR(__xludf.DUMMYFUNCTION("""COMPUTED_VALUE"""),25.0)</f>
        <v>25</v>
      </c>
      <c r="J770" s="55">
        <f>IFERROR(__xludf.DUMMYFUNCTION("""COMPUTED_VALUE"""),14.0)</f>
        <v>14</v>
      </c>
      <c r="K770" s="54">
        <f>IFERROR(__xludf.DUMMYFUNCTION("""COMPUTED_VALUE"""),11.0)</f>
        <v>11</v>
      </c>
      <c r="L770" s="56">
        <f>IFERROR(__xludf.DUMMYFUNCTION("""COMPUTED_VALUE"""),0.56)</f>
        <v>0.56</v>
      </c>
      <c r="M770" s="56">
        <f>IFERROR(__xludf.DUMMYFUNCTION("""COMPUTED_VALUE"""),0.39999999999999997)</f>
        <v>0.4</v>
      </c>
      <c r="N770" s="31">
        <f>IFERROR(__xludf.DUMMYFUNCTION("""COMPUTED_VALUE"""),374.84)</f>
        <v>374.84</v>
      </c>
      <c r="O770" s="57">
        <f>IFERROR(__xludf.DUMMYFUNCTION("""COMPUTED_VALUE"""),0.88)</f>
        <v>0.88</v>
      </c>
      <c r="P770" s="57">
        <f>IFERROR(__xludf.DUMMYFUNCTION("""COMPUTED_VALUE"""),0.64)</f>
        <v>0.64</v>
      </c>
      <c r="Q770" s="57">
        <f>IFERROR(__xludf.DUMMYFUNCTION("""COMPUTED_VALUE"""),1.36)</f>
        <v>1.36</v>
      </c>
      <c r="R770" s="57">
        <f>IFERROR(__xludf.DUMMYFUNCTION("""COMPUTED_VALUE"""),2.2)</f>
        <v>2.2</v>
      </c>
      <c r="S770" s="31">
        <f>IFERROR(__xludf.DUMMYFUNCTION("""COMPUTED_VALUE"""),395.33333333333326)</f>
        <v>395.3333333</v>
      </c>
      <c r="T770" s="57">
        <f>IFERROR(__xludf.DUMMYFUNCTION("""COMPUTED_VALUE"""),0.9599999999999999)</f>
        <v>0.96</v>
      </c>
      <c r="U770" s="57">
        <f>IFERROR(__xludf.DUMMYFUNCTION("""COMPUTED_VALUE"""),0.68)</f>
        <v>0.68</v>
      </c>
      <c r="V770" s="57">
        <f>IFERROR(__xludf.DUMMYFUNCTION("""COMPUTED_VALUE"""),1.413333333333333)</f>
        <v>1.413333333</v>
      </c>
      <c r="W770" s="57">
        <f>IFERROR(__xludf.DUMMYFUNCTION("""COMPUTED_VALUE"""),2.9466666666666668)</f>
        <v>2.946666667</v>
      </c>
      <c r="X770" s="31">
        <f>IFERROR(__xludf.DUMMYFUNCTION("""COMPUTED_VALUE"""),357.346416442986)</f>
        <v>357.3464164</v>
      </c>
      <c r="Y770" s="57">
        <f>IFERROR(__xludf.DUMMYFUNCTION("""COMPUTED_VALUE"""),0.7907036307222677)</f>
        <v>0.7907036307</v>
      </c>
      <c r="Z770" s="57">
        <f>IFERROR(__xludf.DUMMYFUNCTION("""COMPUTED_VALUE"""),0.5867650505113998)</f>
        <v>0.5867650505</v>
      </c>
      <c r="AA770" s="57">
        <f>IFERROR(__xludf.DUMMYFUNCTION("""COMPUTED_VALUE"""),1.3710591069153233)</f>
        <v>1.371059107</v>
      </c>
      <c r="AB770" s="57">
        <f>IFERROR(__xludf.DUMMYFUNCTION("""COMPUTED_VALUE"""),2.5759920636567495)</f>
        <v>2.575992064</v>
      </c>
      <c r="AC770" s="31">
        <f>IFERROR(__xludf.DUMMYFUNCTION("""COMPUTED_VALUE"""),361.7112471924125)</f>
        <v>361.7112472</v>
      </c>
      <c r="AD770" s="57">
        <f>IFERROR(__xludf.DUMMYFUNCTION("""COMPUTED_VALUE"""),0.8095697245634335)</f>
        <v>0.8095697246</v>
      </c>
      <c r="AE770" s="57">
        <f>IFERROR(__xludf.DUMMYFUNCTION("""COMPUTED_VALUE"""),0.5945037617966518)</f>
        <v>0.5945037618</v>
      </c>
      <c r="AF770" s="57">
        <f>IFERROR(__xludf.DUMMYFUNCTION("""COMPUTED_VALUE"""),1.3505376684416057)</f>
        <v>1.350537668</v>
      </c>
      <c r="AG770" s="57">
        <f>IFERROR(__xludf.DUMMYFUNCTION("""COMPUTED_VALUE"""),2.7277231231367978)</f>
        <v>2.727723123</v>
      </c>
      <c r="AH770" s="57">
        <f>IFERROR(__xludf.DUMMYFUNCTION("""COMPUTED_VALUE"""),1.0362962249846868)</f>
        <v>1.036296225</v>
      </c>
      <c r="AI770" s="57">
        <f>IFERROR(__xludf.DUMMYFUNCTION("""COMPUTED_VALUE"""),1.0869971705952153)</f>
        <v>1.086997171</v>
      </c>
      <c r="AJ770" s="57">
        <f>IFERROR(__xludf.DUMMYFUNCTION("""COMPUTED_VALUE"""),1.0765280913712874)</f>
        <v>1.076528091</v>
      </c>
      <c r="AK770" s="57">
        <f>IFERROR(__xludf.DUMMYFUNCTION("""COMPUTED_VALUE"""),1.007006344050598)</f>
        <v>1.007006344</v>
      </c>
      <c r="AL770" s="57">
        <f>IFERROR(__xludf.DUMMYFUNCTION("""COMPUTED_VALUE"""),0.806533471575395)</f>
        <v>0.8065334716</v>
      </c>
      <c r="AM770" s="57">
        <f>IFERROR(__xludf.DUMMYFUNCTION("""COMPUTED_VALUE"""),1.1063027783193342)</f>
        <v>1.106302778</v>
      </c>
      <c r="AN770" s="57">
        <f>IFERROR(__xludf.DUMMYFUNCTION("""COMPUTED_VALUE"""),1.2141085012131392)</f>
        <v>1.214108501</v>
      </c>
      <c r="AO770" s="57">
        <f>IFERROR(__xludf.DUMMYFUNCTION("""COMPUTED_VALUE"""),1.1588965624441)</f>
        <v>1.158896562</v>
      </c>
      <c r="AP770" s="35">
        <f>IFERROR(__xludf.DUMMYFUNCTION("""COMPUTED_VALUE"""),1.0308332632814938)</f>
        <v>1.030833263</v>
      </c>
      <c r="AQ770" s="57">
        <f>IFERROR(__xludf.DUMMYFUNCTION("""COMPUTED_VALUE"""),1.1438958637487906)</f>
        <v>1.143895864</v>
      </c>
      <c r="AR770" s="36" t="b">
        <f>IFERROR(__xludf.DUMMYFUNCTION("""COMPUTED_VALUE"""),TRUE)</f>
        <v>1</v>
      </c>
      <c r="AS770" s="57"/>
      <c r="AT770" s="37"/>
      <c r="AU770" s="30"/>
      <c r="AV770" s="30"/>
      <c r="AW770" s="30"/>
      <c r="AX770" s="30"/>
      <c r="AY770" s="30"/>
      <c r="AZ770" s="30"/>
    </row>
    <row r="771">
      <c r="A771" s="30" t="str">
        <f>IFERROR(__xludf.DUMMYFUNCTION("""COMPUTED_VALUE"""),"Veteran")</f>
        <v>Veteran</v>
      </c>
      <c r="B771" s="30" t="str">
        <f>IFERROR(__xludf.DUMMYFUNCTION("""COMPUTED_VALUE"""),"RSC003789")</f>
        <v>RSC003789</v>
      </c>
      <c r="C771" s="30" t="str">
        <f>IFERROR(__xludf.DUMMYFUNCTION("""COMPUTED_VALUE"""),"monterszn")</f>
        <v>monterszn</v>
      </c>
      <c r="D771" s="31" t="str">
        <f>IFERROR(__xludf.DUMMYFUNCTION("""COMPUTED_VALUE"""),"Merciless Mob")</f>
        <v>Merciless Mob</v>
      </c>
      <c r="E771" s="31">
        <f>IFERROR(__xludf.DUMMYFUNCTION("""COMPUTED_VALUE"""),53.704532279213396)</f>
        <v>53.70453228</v>
      </c>
      <c r="F771" s="31">
        <f>IFERROR(__xludf.DUMMYFUNCTION("""COMPUTED_VALUE"""),2.267060404123234)</f>
        <v>2.267060404</v>
      </c>
      <c r="G771" s="31">
        <f>IFERROR(__xludf.DUMMYFUNCTION("""COMPUTED_VALUE"""),65.83364571719906)</f>
        <v>65.83364572</v>
      </c>
      <c r="H771" s="31">
        <f>IFERROR(__xludf.DUMMYFUNCTION("""COMPUTED_VALUE"""),3.7986139585445438)</f>
        <v>3.798613959</v>
      </c>
      <c r="I771" s="54">
        <f>IFERROR(__xludf.DUMMYFUNCTION("""COMPUTED_VALUE"""),32.0)</f>
        <v>32</v>
      </c>
      <c r="J771" s="55">
        <f>IFERROR(__xludf.DUMMYFUNCTION("""COMPUTED_VALUE"""),15.0)</f>
        <v>15</v>
      </c>
      <c r="K771" s="54">
        <f>IFERROR(__xludf.DUMMYFUNCTION("""COMPUTED_VALUE"""),17.0)</f>
        <v>17</v>
      </c>
      <c r="L771" s="56">
        <f>IFERROR(__xludf.DUMMYFUNCTION("""COMPUTED_VALUE"""),0.46875)</f>
        <v>0.46875</v>
      </c>
      <c r="M771" s="56">
        <f>IFERROR(__xludf.DUMMYFUNCTION("""COMPUTED_VALUE"""),0.26153846153846155)</f>
        <v>0.2615384615</v>
      </c>
      <c r="N771" s="31">
        <f>IFERROR(__xludf.DUMMYFUNCTION("""COMPUTED_VALUE"""),394.65625)</f>
        <v>394.65625</v>
      </c>
      <c r="O771" s="57">
        <f>IFERROR(__xludf.DUMMYFUNCTION("""COMPUTED_VALUE"""),0.53125)</f>
        <v>0.53125</v>
      </c>
      <c r="P771" s="57">
        <f>IFERROR(__xludf.DUMMYFUNCTION("""COMPUTED_VALUE"""),0.75)</f>
        <v>0.75</v>
      </c>
      <c r="Q771" s="57">
        <f>IFERROR(__xludf.DUMMYFUNCTION("""COMPUTED_VALUE"""),2.0625)</f>
        <v>2.0625</v>
      </c>
      <c r="R771" s="57">
        <f>IFERROR(__xludf.DUMMYFUNCTION("""COMPUTED_VALUE"""),2.03125)</f>
        <v>2.03125</v>
      </c>
      <c r="S771" s="31">
        <f>IFERROR(__xludf.DUMMYFUNCTION("""COMPUTED_VALUE"""),336.87499999999994)</f>
        <v>336.875</v>
      </c>
      <c r="T771" s="57">
        <f>IFERROR(__xludf.DUMMYFUNCTION("""COMPUTED_VALUE"""),0.7916666666666667)</f>
        <v>0.7916666667</v>
      </c>
      <c r="U771" s="57">
        <f>IFERROR(__xludf.DUMMYFUNCTION("""COMPUTED_VALUE"""),0.6041666666666666)</f>
        <v>0.6041666667</v>
      </c>
      <c r="V771" s="57">
        <f>IFERROR(__xludf.DUMMYFUNCTION("""COMPUTED_VALUE"""),1.1041666666666667)</f>
        <v>1.104166667</v>
      </c>
      <c r="W771" s="57">
        <f>IFERROR(__xludf.DUMMYFUNCTION("""COMPUTED_VALUE"""),2.666666666666666)</f>
        <v>2.666666667</v>
      </c>
      <c r="X771" s="31">
        <f>IFERROR(__xludf.DUMMYFUNCTION("""COMPUTED_VALUE"""),349.7503775523369)</f>
        <v>349.7503776</v>
      </c>
      <c r="Y771" s="57">
        <f>IFERROR(__xludf.DUMMYFUNCTION("""COMPUTED_VALUE"""),0.761661929025996)</f>
        <v>0.761661929</v>
      </c>
      <c r="Z771" s="57">
        <f>IFERROR(__xludf.DUMMYFUNCTION("""COMPUTED_VALUE"""),0.5625044919283506)</f>
        <v>0.5625044919</v>
      </c>
      <c r="AA771" s="57">
        <f>IFERROR(__xludf.DUMMYFUNCTION("""COMPUTED_VALUE"""),1.3353151823594938)</f>
        <v>1.335315182</v>
      </c>
      <c r="AB771" s="57">
        <f>IFERROR(__xludf.DUMMYFUNCTION("""COMPUTED_VALUE"""),2.51677452413714)</f>
        <v>2.516774524</v>
      </c>
      <c r="AC771" s="31">
        <f>IFERROR(__xludf.DUMMYFUNCTION("""COMPUTED_VALUE"""),343.69630308324594)</f>
        <v>343.6963031</v>
      </c>
      <c r="AD771" s="57">
        <f>IFERROR(__xludf.DUMMYFUNCTION("""COMPUTED_VALUE"""),0.7375297158337017)</f>
        <v>0.7375297158</v>
      </c>
      <c r="AE771" s="57">
        <f>IFERROR(__xludf.DUMMYFUNCTION("""COMPUTED_VALUE"""),0.5198085337936343)</f>
        <v>0.5198085338</v>
      </c>
      <c r="AF771" s="57">
        <f>IFERROR(__xludf.DUMMYFUNCTION("""COMPUTED_VALUE"""),1.3644346048604628)</f>
        <v>1.364434605</v>
      </c>
      <c r="AG771" s="57">
        <f>IFERROR(__xludf.DUMMYFUNCTION("""COMPUTED_VALUE"""),2.536984307002527)</f>
        <v>2.536984307</v>
      </c>
      <c r="AH771" s="57">
        <f>IFERROR(__xludf.DUMMYFUNCTION("""COMPUTED_VALUE"""),1.1482702794868618)</f>
        <v>1.148270279</v>
      </c>
      <c r="AI771" s="57">
        <f>IFERROR(__xludf.DUMMYFUNCTION("""COMPUTED_VALUE"""),0.7203099598495178)</f>
        <v>0.7203099598</v>
      </c>
      <c r="AJ771" s="57">
        <f>IFERROR(__xludf.DUMMYFUNCTION("""COMPUTED_VALUE"""),1.4428389517317013)</f>
        <v>1.442838952</v>
      </c>
      <c r="AK771" s="57">
        <f>IFERROR(__xludf.DUMMYFUNCTION("""COMPUTED_VALUE"""),1.511615135421552)</f>
        <v>1.511615135</v>
      </c>
      <c r="AL771" s="57">
        <f>IFERROR(__xludf.DUMMYFUNCTION("""COMPUTED_VALUE"""),0.8006553270327252)</f>
        <v>0.800655327</v>
      </c>
      <c r="AM771" s="57">
        <f>IFERROR(__xludf.DUMMYFUNCTION("""COMPUTED_VALUE"""),0.9631869516698084)</f>
        <v>0.9631869517</v>
      </c>
      <c r="AN771" s="57">
        <f>IFERROR(__xludf.DUMMYFUNCTION("""COMPUTED_VALUE"""),1.0393937736641772)</f>
        <v>1.039393774</v>
      </c>
      <c r="AO771" s="57">
        <f>IFERROR(__xludf.DUMMYFUNCTION("""COMPUTED_VALUE"""),1.0740654969625074)</f>
        <v>1.074065497</v>
      </c>
      <c r="AP771" s="35">
        <f>IFERROR(__xludf.DUMMYFUNCTION("""COMPUTED_VALUE"""),0.8268959128552789)</f>
        <v>0.8268959129</v>
      </c>
      <c r="AQ771" s="57">
        <f>IFERROR(__xludf.DUMMYFUNCTION("""COMPUTED_VALUE"""),1.0595572392727217)</f>
        <v>1.059557239</v>
      </c>
      <c r="AR771" s="36" t="b">
        <f>IFERROR(__xludf.DUMMYFUNCTION("""COMPUTED_VALUE"""),TRUE)</f>
        <v>1</v>
      </c>
      <c r="AS771" s="57"/>
      <c r="AT771" s="37"/>
      <c r="AU771" s="30"/>
      <c r="AV771" s="30"/>
      <c r="AW771" s="30"/>
      <c r="AX771" s="30"/>
      <c r="AY771" s="30"/>
      <c r="AZ771" s="30"/>
    </row>
    <row r="772">
      <c r="A772" s="30" t="str">
        <f>IFERROR(__xludf.DUMMYFUNCTION("""COMPUTED_VALUE"""),"Veteran")</f>
        <v>Veteran</v>
      </c>
      <c r="B772" s="30" t="str">
        <f>IFERROR(__xludf.DUMMYFUNCTION("""COMPUTED_VALUE"""),"RSC007512")</f>
        <v>RSC007512</v>
      </c>
      <c r="C772" s="30" t="str">
        <f>IFERROR(__xludf.DUMMYFUNCTION("""COMPUTED_VALUE"""),"BigGreenRL")</f>
        <v>BigGreenRL</v>
      </c>
      <c r="D772" s="31" t="str">
        <f>IFERROR(__xludf.DUMMYFUNCTION("""COMPUTED_VALUE"""),"Banshees")</f>
        <v>Banshees</v>
      </c>
      <c r="E772" s="31">
        <f>IFERROR(__xludf.DUMMYFUNCTION("""COMPUTED_VALUE"""),53.47255460357857)</f>
        <v>53.4725546</v>
      </c>
      <c r="F772" s="31">
        <f>IFERROR(__xludf.DUMMYFUNCTION("""COMPUTED_VALUE"""),2.2483848151421575)</f>
        <v>2.248384815</v>
      </c>
      <c r="G772" s="31">
        <f>IFERROR(__xludf.DUMMYFUNCTION("""COMPUTED_VALUE"""),53.11318333647796)</f>
        <v>53.11318334</v>
      </c>
      <c r="H772" s="31">
        <f>IFERROR(__xludf.DUMMYFUNCTION("""COMPUTED_VALUE"""),2.2200077402268477)</f>
        <v>2.22000774</v>
      </c>
      <c r="I772" s="54">
        <f>IFERROR(__xludf.DUMMYFUNCTION("""COMPUTED_VALUE"""),32.0)</f>
        <v>32</v>
      </c>
      <c r="J772" s="55">
        <f>IFERROR(__xludf.DUMMYFUNCTION("""COMPUTED_VALUE"""),16.0)</f>
        <v>16</v>
      </c>
      <c r="K772" s="54">
        <f>IFERROR(__xludf.DUMMYFUNCTION("""COMPUTED_VALUE"""),16.0)</f>
        <v>16</v>
      </c>
      <c r="L772" s="56">
        <f>IFERROR(__xludf.DUMMYFUNCTION("""COMPUTED_VALUE"""),0.5)</f>
        <v>0.5</v>
      </c>
      <c r="M772" s="56">
        <f>IFERROR(__xludf.DUMMYFUNCTION("""COMPUTED_VALUE"""),0.35064935064935066)</f>
        <v>0.3506493506</v>
      </c>
      <c r="N772" s="31">
        <f>IFERROR(__xludf.DUMMYFUNCTION("""COMPUTED_VALUE"""),363.5)</f>
        <v>363.5</v>
      </c>
      <c r="O772" s="57">
        <f>IFERROR(__xludf.DUMMYFUNCTION("""COMPUTED_VALUE"""),0.84375)</f>
        <v>0.84375</v>
      </c>
      <c r="P772" s="57">
        <f>IFERROR(__xludf.DUMMYFUNCTION("""COMPUTED_VALUE"""),0.46875)</f>
        <v>0.46875</v>
      </c>
      <c r="Q772" s="57">
        <f>IFERROR(__xludf.DUMMYFUNCTION("""COMPUTED_VALUE"""),1.3125)</f>
        <v>1.3125</v>
      </c>
      <c r="R772" s="57">
        <f>IFERROR(__xludf.DUMMYFUNCTION("""COMPUTED_VALUE"""),2.40625)</f>
        <v>2.40625</v>
      </c>
      <c r="S772" s="31">
        <f>IFERROR(__xludf.DUMMYFUNCTION("""COMPUTED_VALUE"""),329.5833333333333)</f>
        <v>329.5833333</v>
      </c>
      <c r="T772" s="57">
        <f>IFERROR(__xludf.DUMMYFUNCTION("""COMPUTED_VALUE"""),0.7291666666666669)</f>
        <v>0.7291666667</v>
      </c>
      <c r="U772" s="57">
        <f>IFERROR(__xludf.DUMMYFUNCTION("""COMPUTED_VALUE"""),0.5937500000000002)</f>
        <v>0.59375</v>
      </c>
      <c r="V772" s="57">
        <f>IFERROR(__xludf.DUMMYFUNCTION("""COMPUTED_VALUE"""),1.1770833333333333)</f>
        <v>1.177083333</v>
      </c>
      <c r="W772" s="57">
        <f>IFERROR(__xludf.DUMMYFUNCTION("""COMPUTED_VALUE"""),2.53125)</f>
        <v>2.53125</v>
      </c>
      <c r="X772" s="31">
        <f>IFERROR(__xludf.DUMMYFUNCTION("""COMPUTED_VALUE"""),355.57054099278463)</f>
        <v>355.570541</v>
      </c>
      <c r="Y772" s="57">
        <f>IFERROR(__xludf.DUMMYFUNCTION("""COMPUTED_VALUE"""),0.8083569762257886)</f>
        <v>0.8083569762</v>
      </c>
      <c r="Z772" s="57">
        <f>IFERROR(__xludf.DUMMYFUNCTION("""COMPUTED_VALUE"""),0.5975657246661489)</f>
        <v>0.5975657247</v>
      </c>
      <c r="AA772" s="57">
        <f>IFERROR(__xludf.DUMMYFUNCTION("""COMPUTED_VALUE"""),1.3357388711958025)</f>
        <v>1.335738871</v>
      </c>
      <c r="AB772" s="57">
        <f>IFERROR(__xludf.DUMMYFUNCTION("""COMPUTED_VALUE"""),2.694052952722308)</f>
        <v>2.694052953</v>
      </c>
      <c r="AC772" s="31">
        <f>IFERROR(__xludf.DUMMYFUNCTION("""COMPUTED_VALUE"""),356.4431927490102)</f>
        <v>356.4431927</v>
      </c>
      <c r="AD772" s="57">
        <f>IFERROR(__xludf.DUMMYFUNCTION("""COMPUTED_VALUE"""),0.8009799860907576)</f>
        <v>0.8009799861</v>
      </c>
      <c r="AE772" s="57">
        <f>IFERROR(__xludf.DUMMYFUNCTION("""COMPUTED_VALUE"""),0.5849994706174606)</f>
        <v>0.5849994706</v>
      </c>
      <c r="AF772" s="57">
        <f>IFERROR(__xludf.DUMMYFUNCTION("""COMPUTED_VALUE"""),1.3812072355772531)</f>
        <v>1.381207236</v>
      </c>
      <c r="AG772" s="57">
        <f>IFERROR(__xludf.DUMMYFUNCTION("""COMPUTED_VALUE"""),2.610226007721199)</f>
        <v>2.610226008</v>
      </c>
      <c r="AH772" s="57">
        <f>IFERROR(__xludf.DUMMYFUNCTION("""COMPUTED_VALUE"""),1.0197978454759236)</f>
        <v>1.019797845</v>
      </c>
      <c r="AI772" s="57">
        <f>IFERROR(__xludf.DUMMYFUNCTION("""COMPUTED_VALUE"""),1.0533971068590422)</f>
        <v>1.053397107</v>
      </c>
      <c r="AJ772" s="57">
        <f>IFERROR(__xludf.DUMMYFUNCTION("""COMPUTED_VALUE"""),0.801282776384805)</f>
        <v>0.8012827764</v>
      </c>
      <c r="AK772" s="57">
        <f>IFERROR(__xludf.DUMMYFUNCTION("""COMPUTED_VALUE"""),0.9502556648940967)</f>
        <v>0.9502556649</v>
      </c>
      <c r="AL772" s="57">
        <f>IFERROR(__xludf.DUMMYFUNCTION("""COMPUTED_VALUE"""),0.921855039710038)</f>
        <v>0.9218550397</v>
      </c>
      <c r="AM772" s="57">
        <f>IFERROR(__xludf.DUMMYFUNCTION("""COMPUTED_VALUE"""),0.9269140587774997)</f>
        <v>0.9269140588</v>
      </c>
      <c r="AN772" s="57">
        <f>IFERROR(__xludf.DUMMYFUNCTION("""COMPUTED_VALUE"""),0.9020354720894962)</f>
        <v>0.9020354721</v>
      </c>
      <c r="AO772" s="57">
        <f>IFERROR(__xludf.DUMMYFUNCTION("""COMPUTED_VALUE"""),0.9936145523268082)</f>
        <v>0.9936145523</v>
      </c>
      <c r="AP772" s="35">
        <f>IFERROR(__xludf.DUMMYFUNCTION("""COMPUTED_VALUE"""),0.8812226391821367)</f>
        <v>0.8812226392</v>
      </c>
      <c r="AQ772" s="57">
        <f>IFERROR(__xludf.DUMMYFUNCTION("""COMPUTED_VALUE"""),0.9395695052846688)</f>
        <v>0.9395695053</v>
      </c>
      <c r="AR772" s="36" t="b">
        <f>IFERROR(__xludf.DUMMYFUNCTION("""COMPUTED_VALUE"""),TRUE)</f>
        <v>1</v>
      </c>
      <c r="AS772" s="57"/>
      <c r="AT772" s="37"/>
      <c r="AU772" s="30"/>
      <c r="AV772" s="30"/>
      <c r="AW772" s="30"/>
      <c r="AX772" s="30"/>
      <c r="AY772" s="30"/>
      <c r="AZ772" s="30"/>
    </row>
    <row r="773">
      <c r="A773" s="30" t="str">
        <f>IFERROR(__xludf.DUMMYFUNCTION("""COMPUTED_VALUE"""),"Veteran")</f>
        <v>Veteran</v>
      </c>
      <c r="B773" s="30" t="str">
        <f>IFERROR(__xludf.DUMMYFUNCTION("""COMPUTED_VALUE"""),"RSC004220")</f>
        <v>RSC004220</v>
      </c>
      <c r="C773" s="30" t="str">
        <f>IFERROR(__xludf.DUMMYFUNCTION("""COMPUTED_VALUE"""),"Logixaal")</f>
        <v>Logixaal</v>
      </c>
      <c r="D773" s="31" t="str">
        <f>IFERROR(__xludf.DUMMYFUNCTION("""COMPUTED_VALUE"""),"Typhoons")</f>
        <v>Typhoons</v>
      </c>
      <c r="E773" s="31">
        <f>IFERROR(__xludf.DUMMYFUNCTION("""COMPUTED_VALUE"""),53.07843529760773)</f>
        <v>53.0784353</v>
      </c>
      <c r="F773" s="31">
        <f>IFERROR(__xludf.DUMMYFUNCTION("""COMPUTED_VALUE"""),2.2172991128832593)</f>
        <v>2.217299113</v>
      </c>
      <c r="G773" s="31">
        <f>IFERROR(__xludf.DUMMYFUNCTION("""COMPUTED_VALUE"""),46.84111404551002)</f>
        <v>46.84111405</v>
      </c>
      <c r="H773" s="31">
        <f>IFERROR(__xludf.DUMMYFUNCTION("""COMPUTED_VALUE"""),-2.2235796569724404)</f>
        <v>-2.223579657</v>
      </c>
      <c r="I773" s="54">
        <f>IFERROR(__xludf.DUMMYFUNCTION("""COMPUTED_VALUE"""),23.0)</f>
        <v>23</v>
      </c>
      <c r="J773" s="55">
        <f>IFERROR(__xludf.DUMMYFUNCTION("""COMPUTED_VALUE"""),14.0)</f>
        <v>14</v>
      </c>
      <c r="K773" s="54">
        <f>IFERROR(__xludf.DUMMYFUNCTION("""COMPUTED_VALUE"""),9.0)</f>
        <v>9</v>
      </c>
      <c r="L773" s="56">
        <f>IFERROR(__xludf.DUMMYFUNCTION("""COMPUTED_VALUE"""),0.6086956521739131)</f>
        <v>0.6086956522</v>
      </c>
      <c r="M773" s="56">
        <f>IFERROR(__xludf.DUMMYFUNCTION("""COMPUTED_VALUE"""),0.33999999999999997)</f>
        <v>0.34</v>
      </c>
      <c r="N773" s="31">
        <f>IFERROR(__xludf.DUMMYFUNCTION("""COMPUTED_VALUE"""),313.4782608695652)</f>
        <v>313.4782609</v>
      </c>
      <c r="O773" s="57">
        <f>IFERROR(__xludf.DUMMYFUNCTION("""COMPUTED_VALUE"""),0.7391304347826086)</f>
        <v>0.7391304348</v>
      </c>
      <c r="P773" s="57">
        <f>IFERROR(__xludf.DUMMYFUNCTION("""COMPUTED_VALUE"""),0.6086956521739131)</f>
        <v>0.6086956522</v>
      </c>
      <c r="Q773" s="57">
        <f>IFERROR(__xludf.DUMMYFUNCTION("""COMPUTED_VALUE"""),1.0)</f>
        <v>1</v>
      </c>
      <c r="R773" s="57">
        <f>IFERROR(__xludf.DUMMYFUNCTION("""COMPUTED_VALUE"""),2.1739130434782608)</f>
        <v>2.173913043</v>
      </c>
      <c r="S773" s="31">
        <f>IFERROR(__xludf.DUMMYFUNCTION("""COMPUTED_VALUE"""),327.9130434782609)</f>
        <v>327.9130435</v>
      </c>
      <c r="T773" s="57">
        <f>IFERROR(__xludf.DUMMYFUNCTION("""COMPUTED_VALUE"""),0.6521739130434783)</f>
        <v>0.652173913</v>
      </c>
      <c r="U773" s="57">
        <f>IFERROR(__xludf.DUMMYFUNCTION("""COMPUTED_VALUE"""),0.4927536231884058)</f>
        <v>0.4927536232</v>
      </c>
      <c r="V773" s="57">
        <f>IFERROR(__xludf.DUMMYFUNCTION("""COMPUTED_VALUE"""),1.333333333333333)</f>
        <v>1.333333333</v>
      </c>
      <c r="W773" s="57">
        <f>IFERROR(__xludf.DUMMYFUNCTION("""COMPUTED_VALUE"""),2.2028985507246377)</f>
        <v>2.202898551</v>
      </c>
      <c r="X773" s="31">
        <f>IFERROR(__xludf.DUMMYFUNCTION("""COMPUTED_VALUE"""),348.5343110392347)</f>
        <v>348.534311</v>
      </c>
      <c r="Y773" s="57">
        <f>IFERROR(__xludf.DUMMYFUNCTION("""COMPUTED_VALUE"""),0.7279636021808108)</f>
        <v>0.7279636022</v>
      </c>
      <c r="Z773" s="57">
        <f>IFERROR(__xludf.DUMMYFUNCTION("""COMPUTED_VALUE"""),0.546753193762371)</f>
        <v>0.5467531938</v>
      </c>
      <c r="AA773" s="57">
        <f>IFERROR(__xludf.DUMMYFUNCTION("""COMPUTED_VALUE"""),1.384092216521767)</f>
        <v>1.384092217</v>
      </c>
      <c r="AB773" s="57">
        <f>IFERROR(__xludf.DUMMYFUNCTION("""COMPUTED_VALUE"""),2.464833613403662)</f>
        <v>2.464833613</v>
      </c>
      <c r="AC773" s="31">
        <f>IFERROR(__xludf.DUMMYFUNCTION("""COMPUTED_VALUE"""),347.28611160308344)</f>
        <v>347.2861116</v>
      </c>
      <c r="AD773" s="57">
        <f>IFERROR(__xludf.DUMMYFUNCTION("""COMPUTED_VALUE"""),0.7380852122426191)</f>
        <v>0.7380852122</v>
      </c>
      <c r="AE773" s="57">
        <f>IFERROR(__xludf.DUMMYFUNCTION("""COMPUTED_VALUE"""),0.5550409451044644)</f>
        <v>0.5550409451</v>
      </c>
      <c r="AF773" s="57">
        <f>IFERROR(__xludf.DUMMYFUNCTION("""COMPUTED_VALUE"""),1.329434953061826)</f>
        <v>1.329434953</v>
      </c>
      <c r="AG773" s="57">
        <f>IFERROR(__xludf.DUMMYFUNCTION("""COMPUTED_VALUE"""),2.6062909220511785)</f>
        <v>2.606290922</v>
      </c>
      <c r="AH773" s="57">
        <f>IFERROR(__xludf.DUMMYFUNCTION("""COMPUTED_VALUE"""),0.9026513021857967)</f>
        <v>0.9026513022</v>
      </c>
      <c r="AI773" s="57">
        <f>IFERROR(__xludf.DUMMYFUNCTION("""COMPUTED_VALUE"""),1.001416127193246)</f>
        <v>1.001416127</v>
      </c>
      <c r="AJ773" s="57">
        <f>IFERROR(__xludf.DUMMYFUNCTION("""COMPUTED_VALUE"""),1.0966680161935625)</f>
        <v>1.096668016</v>
      </c>
      <c r="AK773" s="57">
        <f>IFERROR(__xludf.DUMMYFUNCTION("""COMPUTED_VALUE"""),0.7521992690931563)</f>
        <v>0.7521992691</v>
      </c>
      <c r="AL773" s="57">
        <f>IFERROR(__xludf.DUMMYFUNCTION("""COMPUTED_VALUE"""),0.8341022197811164)</f>
        <v>0.8341022198</v>
      </c>
      <c r="AM773" s="57">
        <f>IFERROR(__xludf.DUMMYFUNCTION("""COMPUTED_VALUE"""),0.9408343256091867)</f>
        <v>0.9408343256</v>
      </c>
      <c r="AN773" s="57">
        <f>IFERROR(__xludf.DUMMYFUNCTION("""COMPUTED_VALUE"""),0.8958880788678388)</f>
        <v>0.8958880789</v>
      </c>
      <c r="AO773" s="57">
        <f>IFERROR(__xludf.DUMMYFUNCTION("""COMPUTED_VALUE"""),0.9012359302332044)</f>
        <v>0.9012359302</v>
      </c>
      <c r="AP773" s="35">
        <f>IFERROR(__xludf.DUMMYFUNCTION("""COMPUTED_VALUE"""),0.9633269499080116)</f>
        <v>0.9633269499</v>
      </c>
      <c r="AQ773" s="57">
        <f>IFERROR(__xludf.DUMMYFUNCTION("""COMPUTED_VALUE"""),0.8937311381771846)</f>
        <v>0.8937311382</v>
      </c>
      <c r="AR773" s="36" t="b">
        <f>IFERROR(__xludf.DUMMYFUNCTION("""COMPUTED_VALUE"""),TRUE)</f>
        <v>1</v>
      </c>
      <c r="AS773" s="57"/>
      <c r="AT773" s="37"/>
      <c r="AU773" s="30"/>
      <c r="AV773" s="30"/>
      <c r="AW773" s="30"/>
      <c r="AX773" s="30"/>
      <c r="AY773" s="30"/>
      <c r="AZ773" s="30"/>
    </row>
    <row r="774">
      <c r="A774" s="30" t="str">
        <f>IFERROR(__xludf.DUMMYFUNCTION("""COMPUTED_VALUE"""),"Veteran")</f>
        <v>Veteran</v>
      </c>
      <c r="B774" s="30" t="str">
        <f>IFERROR(__xludf.DUMMYFUNCTION("""COMPUTED_VALUE"""),"RSC007888")</f>
        <v>RSC007888</v>
      </c>
      <c r="C774" s="30" t="str">
        <f>IFERROR(__xludf.DUMMYFUNCTION("""COMPUTED_VALUE"""),"SejRL")</f>
        <v>SejRL</v>
      </c>
      <c r="D774" s="31" t="str">
        <f>IFERROR(__xludf.DUMMYFUNCTION("""COMPUTED_VALUE"""),"Supernova")</f>
        <v>Supernova</v>
      </c>
      <c r="E774" s="31">
        <f>IFERROR(__xludf.DUMMYFUNCTION("""COMPUTED_VALUE"""),52.62359148318487)</f>
        <v>52.62359148</v>
      </c>
      <c r="F774" s="31">
        <f>IFERROR(__xludf.DUMMYFUNCTION("""COMPUTED_VALUE"""),2.182404220644267)</f>
        <v>2.182404221</v>
      </c>
      <c r="G774" s="31">
        <f>IFERROR(__xludf.DUMMYFUNCTION("""COMPUTED_VALUE"""),51.84942256300251)</f>
        <v>51.84942256</v>
      </c>
      <c r="H774" s="31">
        <f>IFERROR(__xludf.DUMMYFUNCTION("""COMPUTED_VALUE"""),2.125333546103496)</f>
        <v>2.125333546</v>
      </c>
      <c r="I774" s="54">
        <f>IFERROR(__xludf.DUMMYFUNCTION("""COMPUTED_VALUE"""),35.0)</f>
        <v>35</v>
      </c>
      <c r="J774" s="55">
        <f>IFERROR(__xludf.DUMMYFUNCTION("""COMPUTED_VALUE"""),12.0)</f>
        <v>12</v>
      </c>
      <c r="K774" s="54">
        <f>IFERROR(__xludf.DUMMYFUNCTION("""COMPUTED_VALUE"""),23.0)</f>
        <v>23</v>
      </c>
      <c r="L774" s="56">
        <f>IFERROR(__xludf.DUMMYFUNCTION("""COMPUTED_VALUE"""),0.34285714285714286)</f>
        <v>0.3428571429</v>
      </c>
      <c r="M774" s="56">
        <f>IFERROR(__xludf.DUMMYFUNCTION("""COMPUTED_VALUE"""),0.3670886075949367)</f>
        <v>0.3670886076</v>
      </c>
      <c r="N774" s="31">
        <f>IFERROR(__xludf.DUMMYFUNCTION("""COMPUTED_VALUE"""),376.62857142857143)</f>
        <v>376.6285714</v>
      </c>
      <c r="O774" s="57">
        <f>IFERROR(__xludf.DUMMYFUNCTION("""COMPUTED_VALUE"""),0.8285714285714286)</f>
        <v>0.8285714286</v>
      </c>
      <c r="P774" s="57">
        <f>IFERROR(__xludf.DUMMYFUNCTION("""COMPUTED_VALUE"""),0.6)</f>
        <v>0.6</v>
      </c>
      <c r="Q774" s="57">
        <f>IFERROR(__xludf.DUMMYFUNCTION("""COMPUTED_VALUE"""),1.5714285714285714)</f>
        <v>1.571428571</v>
      </c>
      <c r="R774" s="57">
        <f>IFERROR(__xludf.DUMMYFUNCTION("""COMPUTED_VALUE"""),2.257142857142857)</f>
        <v>2.257142857</v>
      </c>
      <c r="S774" s="31">
        <f>IFERROR(__xludf.DUMMYFUNCTION("""COMPUTED_VALUE"""),367.18095238095236)</f>
        <v>367.1809524</v>
      </c>
      <c r="T774" s="57">
        <f>IFERROR(__xludf.DUMMYFUNCTION("""COMPUTED_VALUE"""),1.0285714285714285)</f>
        <v>1.028571429</v>
      </c>
      <c r="U774" s="57">
        <f>IFERROR(__xludf.DUMMYFUNCTION("""COMPUTED_VALUE"""),0.7238095238095238)</f>
        <v>0.7238095238</v>
      </c>
      <c r="V774" s="57">
        <f>IFERROR(__xludf.DUMMYFUNCTION("""COMPUTED_VALUE"""),1.0857142857142856)</f>
        <v>1.085714286</v>
      </c>
      <c r="W774" s="57">
        <f>IFERROR(__xludf.DUMMYFUNCTION("""COMPUTED_VALUE"""),2.914285714285714)</f>
        <v>2.914285714</v>
      </c>
      <c r="X774" s="31">
        <f>IFERROR(__xludf.DUMMYFUNCTION("""COMPUTED_VALUE"""),353.29465591750613)</f>
        <v>353.2946559</v>
      </c>
      <c r="Y774" s="57">
        <f>IFERROR(__xludf.DUMMYFUNCTION("""COMPUTED_VALUE"""),0.7904380491660267)</f>
        <v>0.7904380492</v>
      </c>
      <c r="Z774" s="57">
        <f>IFERROR(__xludf.DUMMYFUNCTION("""COMPUTED_VALUE"""),0.5637325346319322)</f>
        <v>0.5637325346</v>
      </c>
      <c r="AA774" s="57">
        <f>IFERROR(__xludf.DUMMYFUNCTION("""COMPUTED_VALUE"""),1.3600159263661042)</f>
        <v>1.360015926</v>
      </c>
      <c r="AB774" s="57">
        <f>IFERROR(__xludf.DUMMYFUNCTION("""COMPUTED_VALUE"""),2.5868478508622625)</f>
        <v>2.586847851</v>
      </c>
      <c r="AC774" s="31">
        <f>IFERROR(__xludf.DUMMYFUNCTION("""COMPUTED_VALUE"""),348.6770437188241)</f>
        <v>348.6770437</v>
      </c>
      <c r="AD774" s="57">
        <f>IFERROR(__xludf.DUMMYFUNCTION("""COMPUTED_VALUE"""),0.764510263749752)</f>
        <v>0.7645102637</v>
      </c>
      <c r="AE774" s="57">
        <f>IFERROR(__xludf.DUMMYFUNCTION("""COMPUTED_VALUE"""),0.5342813938243034)</f>
        <v>0.5342813938</v>
      </c>
      <c r="AF774" s="57">
        <f>IFERROR(__xludf.DUMMYFUNCTION("""COMPUTED_VALUE"""),1.3560037916604808)</f>
        <v>1.356003792</v>
      </c>
      <c r="AG774" s="57">
        <f>IFERROR(__xludf.DUMMYFUNCTION("""COMPUTED_VALUE"""),2.6070981394297603)</f>
        <v>2.607098139</v>
      </c>
      <c r="AH774" s="57">
        <f>IFERROR(__xludf.DUMMYFUNCTION("""COMPUTED_VALUE"""),1.0801645196128473)</f>
        <v>1.08016452</v>
      </c>
      <c r="AI774" s="57">
        <f>IFERROR(__xludf.DUMMYFUNCTION("""COMPUTED_VALUE"""),1.0837937276439835)</f>
        <v>1.083793728</v>
      </c>
      <c r="AJ774" s="57">
        <f>IFERROR(__xludf.DUMMYFUNCTION("""COMPUTED_VALUE"""),1.1230037334919956)</f>
        <v>1.123003733</v>
      </c>
      <c r="AK774" s="57">
        <f>IFERROR(__xludf.DUMMYFUNCTION("""COMPUTED_VALUE"""),1.1588673874608377)</f>
        <v>1.158867387</v>
      </c>
      <c r="AL774" s="57">
        <f>IFERROR(__xludf.DUMMYFUNCTION("""COMPUTED_VALUE"""),0.8657682743145805)</f>
        <v>0.8657682743</v>
      </c>
      <c r="AM774" s="57">
        <f>IFERROR(__xludf.DUMMYFUNCTION("""COMPUTED_VALUE"""),1.0393051415606147)</f>
        <v>1.039305142</v>
      </c>
      <c r="AN774" s="57">
        <f>IFERROR(__xludf.DUMMYFUNCTION("""COMPUTED_VALUE"""),1.3012676068120088)</f>
        <v>1.301267607</v>
      </c>
      <c r="AO774" s="57">
        <f>IFERROR(__xludf.DUMMYFUNCTION("""COMPUTED_VALUE"""),1.2839591106482933)</f>
        <v>1.283959111</v>
      </c>
      <c r="AP774" s="35">
        <f>IFERROR(__xludf.DUMMYFUNCTION("""COMPUTED_VALUE"""),0.7983099790715399)</f>
        <v>0.7983099791</v>
      </c>
      <c r="AQ774" s="57">
        <f>IFERROR(__xludf.DUMMYFUNCTION("""COMPUTED_VALUE"""),1.1265779366630737)</f>
        <v>1.126577937</v>
      </c>
      <c r="AR774" s="36" t="b">
        <f>IFERROR(__xludf.DUMMYFUNCTION("""COMPUTED_VALUE"""),TRUE)</f>
        <v>1</v>
      </c>
      <c r="AS774" s="57"/>
      <c r="AT774" s="37"/>
      <c r="AU774" s="30"/>
      <c r="AV774" s="30"/>
      <c r="AW774" s="30"/>
      <c r="AX774" s="30"/>
      <c r="AY774" s="30"/>
      <c r="AZ774" s="30"/>
    </row>
    <row r="775">
      <c r="A775" s="30" t="str">
        <f>IFERROR(__xludf.DUMMYFUNCTION("""COMPUTED_VALUE"""),"Veteran")</f>
        <v>Veteran</v>
      </c>
      <c r="B775" s="30" t="str">
        <f>IFERROR(__xludf.DUMMYFUNCTION("""COMPUTED_VALUE"""),"RSC005210")</f>
        <v>RSC005210</v>
      </c>
      <c r="C775" s="30" t="str">
        <f>IFERROR(__xludf.DUMMYFUNCTION("""COMPUTED_VALUE"""),"baldmanstreamer")</f>
        <v>baldmanstreamer</v>
      </c>
      <c r="D775" s="31" t="str">
        <f>IFERROR(__xludf.DUMMYFUNCTION("""COMPUTED_VALUE"""),"Merciless Mob")</f>
        <v>Merciless Mob</v>
      </c>
      <c r="E775" s="31">
        <f>IFERROR(__xludf.DUMMYFUNCTION("""COMPUTED_VALUE"""),52.55981185572402)</f>
        <v>52.55981186</v>
      </c>
      <c r="F775" s="31">
        <f>IFERROR(__xludf.DUMMYFUNCTION("""COMPUTED_VALUE"""),2.177593277961786)</f>
        <v>2.177593278</v>
      </c>
      <c r="G775" s="31">
        <f>IFERROR(__xludf.DUMMYFUNCTION("""COMPUTED_VALUE"""),53.60050654833975)</f>
        <v>53.60050655</v>
      </c>
      <c r="H775" s="31">
        <f>IFERROR(__xludf.DUMMYFUNCTION("""COMPUTED_VALUE"""),2.258650567433112)</f>
        <v>2.258650567</v>
      </c>
      <c r="I775" s="54">
        <f>IFERROR(__xludf.DUMMYFUNCTION("""COMPUTED_VALUE"""),23.0)</f>
        <v>23</v>
      </c>
      <c r="J775" s="55">
        <f>IFERROR(__xludf.DUMMYFUNCTION("""COMPUTED_VALUE"""),10.0)</f>
        <v>10</v>
      </c>
      <c r="K775" s="54">
        <f>IFERROR(__xludf.DUMMYFUNCTION("""COMPUTED_VALUE"""),13.0)</f>
        <v>13</v>
      </c>
      <c r="L775" s="56">
        <f>IFERROR(__xludf.DUMMYFUNCTION("""COMPUTED_VALUE"""),0.43478260869565216)</f>
        <v>0.4347826087</v>
      </c>
      <c r="M775" s="56">
        <f>IFERROR(__xludf.DUMMYFUNCTION("""COMPUTED_VALUE"""),0.36363636363636365)</f>
        <v>0.3636363636</v>
      </c>
      <c r="N775" s="31">
        <f>IFERROR(__xludf.DUMMYFUNCTION("""COMPUTED_VALUE"""),342.4347826086956)</f>
        <v>342.4347826</v>
      </c>
      <c r="O775" s="57">
        <f>IFERROR(__xludf.DUMMYFUNCTION("""COMPUTED_VALUE"""),0.8695652173913043)</f>
        <v>0.8695652174</v>
      </c>
      <c r="P775" s="57">
        <f>IFERROR(__xludf.DUMMYFUNCTION("""COMPUTED_VALUE"""),0.43478260869565216)</f>
        <v>0.4347826087</v>
      </c>
      <c r="Q775" s="57">
        <f>IFERROR(__xludf.DUMMYFUNCTION("""COMPUTED_VALUE"""),1.3478260869565217)</f>
        <v>1.347826087</v>
      </c>
      <c r="R775" s="57">
        <f>IFERROR(__xludf.DUMMYFUNCTION("""COMPUTED_VALUE"""),2.391304347826087)</f>
        <v>2.391304348</v>
      </c>
      <c r="S775" s="31">
        <f>IFERROR(__xludf.DUMMYFUNCTION("""COMPUTED_VALUE"""),335.07246376811594)</f>
        <v>335.0724638</v>
      </c>
      <c r="T775" s="57">
        <f>IFERROR(__xludf.DUMMYFUNCTION("""COMPUTED_VALUE"""),0.8115942028985508)</f>
        <v>0.8115942029</v>
      </c>
      <c r="U775" s="57">
        <f>IFERROR(__xludf.DUMMYFUNCTION("""COMPUTED_VALUE"""),0.6086956521739131)</f>
        <v>0.6086956522</v>
      </c>
      <c r="V775" s="57">
        <f>IFERROR(__xludf.DUMMYFUNCTION("""COMPUTED_VALUE"""),1.028985507246377)</f>
        <v>1.028985507</v>
      </c>
      <c r="W775" s="57">
        <f>IFERROR(__xludf.DUMMYFUNCTION("""COMPUTED_VALUE"""),2.666666666666667)</f>
        <v>2.666666667</v>
      </c>
      <c r="X775" s="31">
        <f>IFERROR(__xludf.DUMMYFUNCTION("""COMPUTED_VALUE"""),349.3724926482162)</f>
        <v>349.3724926</v>
      </c>
      <c r="Y775" s="57">
        <f>IFERROR(__xludf.DUMMYFUNCTION("""COMPUTED_VALUE"""),0.7728941385860216)</f>
        <v>0.7728941386</v>
      </c>
      <c r="Z775" s="57">
        <f>IFERROR(__xludf.DUMMYFUNCTION("""COMPUTED_VALUE"""),0.5576860772277384)</f>
        <v>0.5576860772</v>
      </c>
      <c r="AA775" s="57">
        <f>IFERROR(__xludf.DUMMYFUNCTION("""COMPUTED_VALUE"""),1.3399045710325823)</f>
        <v>1.339904571</v>
      </c>
      <c r="AB775" s="57">
        <f>IFERROR(__xludf.DUMMYFUNCTION("""COMPUTED_VALUE"""),2.5875545641597597)</f>
        <v>2.587554564</v>
      </c>
      <c r="AC775" s="31">
        <f>IFERROR(__xludf.DUMMYFUNCTION("""COMPUTED_VALUE"""),343.2930576832819)</f>
        <v>343.2930577</v>
      </c>
      <c r="AD775" s="57">
        <f>IFERROR(__xludf.DUMMYFUNCTION("""COMPUTED_VALUE"""),0.7083596435438316)</f>
        <v>0.7083596435</v>
      </c>
      <c r="AE775" s="57">
        <f>IFERROR(__xludf.DUMMYFUNCTION("""COMPUTED_VALUE"""),0.503314101299474)</f>
        <v>0.5033141013</v>
      </c>
      <c r="AF775" s="57">
        <f>IFERROR(__xludf.DUMMYFUNCTION("""COMPUTED_VALUE"""),1.4285332007199016)</f>
        <v>1.428533201</v>
      </c>
      <c r="AG775" s="57">
        <f>IFERROR(__xludf.DUMMYFUNCTION("""COMPUTED_VALUE"""),2.472060877067159)</f>
        <v>2.472060877</v>
      </c>
      <c r="AH775" s="57">
        <f>IFERROR(__xludf.DUMMYFUNCTION("""COMPUTED_VALUE"""),0.9974998764018755)</f>
        <v>0.9974998764</v>
      </c>
      <c r="AI775" s="57">
        <f>IFERROR(__xludf.DUMMYFUNCTION("""COMPUTED_VALUE"""),1.2275758865101096)</f>
        <v>1.227575887</v>
      </c>
      <c r="AJ775" s="57">
        <f>IFERROR(__xludf.DUMMYFUNCTION("""COMPUTED_VALUE"""),0.8638395140790119)</f>
        <v>0.8638395141</v>
      </c>
      <c r="AK775" s="57">
        <f>IFERROR(__xludf.DUMMYFUNCTION("""COMPUTED_VALUE"""),0.9435035085479931)</f>
        <v>0.9435035085</v>
      </c>
      <c r="AL775" s="57">
        <f>IFERROR(__xludf.DUMMYFUNCTION("""COMPUTED_VALUE"""),0.9673323056117934)</f>
        <v>0.9673323056</v>
      </c>
      <c r="AM775" s="57">
        <f>IFERROR(__xludf.DUMMYFUNCTION("""COMPUTED_VALUE"""),0.9590693910338871)</f>
        <v>0.959069391</v>
      </c>
      <c r="AN775" s="57">
        <f>IFERROR(__xludf.DUMMYFUNCTION("""COMPUTED_VALUE"""),1.0500716234998617)</f>
        <v>1.050071623</v>
      </c>
      <c r="AO775" s="57">
        <f>IFERROR(__xludf.DUMMYFUNCTION("""COMPUTED_VALUE"""),1.0914664665823175)</f>
        <v>1.091466467</v>
      </c>
      <c r="AP775" s="35">
        <f>IFERROR(__xludf.DUMMYFUNCTION("""COMPUTED_VALUE"""),0.7679543226376195)</f>
        <v>0.7679543226</v>
      </c>
      <c r="AQ775" s="57">
        <f>IFERROR(__xludf.DUMMYFUNCTION("""COMPUTED_VALUE"""),1.0305740808726083)</f>
        <v>1.030574081</v>
      </c>
      <c r="AR775" s="36" t="b">
        <f>IFERROR(__xludf.DUMMYFUNCTION("""COMPUTED_VALUE"""),TRUE)</f>
        <v>1</v>
      </c>
      <c r="AS775" s="57"/>
      <c r="AT775" s="37"/>
      <c r="AU775" s="30"/>
      <c r="AV775" s="30"/>
      <c r="AW775" s="30"/>
      <c r="AX775" s="30"/>
      <c r="AY775" s="30"/>
      <c r="AZ775" s="30"/>
    </row>
    <row r="776">
      <c r="A776" s="30" t="str">
        <f>IFERROR(__xludf.DUMMYFUNCTION("""COMPUTED_VALUE"""),"Veteran")</f>
        <v>Veteran</v>
      </c>
      <c r="B776" s="30" t="str">
        <f>IFERROR(__xludf.DUMMYFUNCTION("""COMPUTED_VALUE"""),"RSC007437")</f>
        <v>RSC007437</v>
      </c>
      <c r="C776" s="30" t="str">
        <f>IFERROR(__xludf.DUMMYFUNCTION("""COMPUTED_VALUE"""),"luckyy.12")</f>
        <v>luckyy.12</v>
      </c>
      <c r="D776" s="31" t="str">
        <f>IFERROR(__xludf.DUMMYFUNCTION("""COMPUTED_VALUE"""),"Mellow Fellows")</f>
        <v>Mellow Fellows</v>
      </c>
      <c r="E776" s="31">
        <f>IFERROR(__xludf.DUMMYFUNCTION("""COMPUTED_VALUE"""),51.96640997566)</f>
        <v>51.96640998</v>
      </c>
      <c r="F776" s="31">
        <f>IFERROR(__xludf.DUMMYFUNCTION("""COMPUTED_VALUE"""),2.1337750497668577)</f>
        <v>2.13377505</v>
      </c>
      <c r="G776" s="31">
        <f>IFERROR(__xludf.DUMMYFUNCTION("""COMPUTED_VALUE"""),55.96164641306558)</f>
        <v>55.96164641</v>
      </c>
      <c r="H776" s="31">
        <f>IFERROR(__xludf.DUMMYFUNCTION("""COMPUTED_VALUE"""),2.4645116662524242)</f>
        <v>2.464511666</v>
      </c>
      <c r="I776" s="54">
        <f>IFERROR(__xludf.DUMMYFUNCTION("""COMPUTED_VALUE"""),36.0)</f>
        <v>36</v>
      </c>
      <c r="J776" s="55">
        <f>IFERROR(__xludf.DUMMYFUNCTION("""COMPUTED_VALUE"""),14.0)</f>
        <v>14</v>
      </c>
      <c r="K776" s="54">
        <f>IFERROR(__xludf.DUMMYFUNCTION("""COMPUTED_VALUE"""),22.0)</f>
        <v>22</v>
      </c>
      <c r="L776" s="56">
        <f>IFERROR(__xludf.DUMMYFUNCTION("""COMPUTED_VALUE"""),0.3888888888888889)</f>
        <v>0.3888888889</v>
      </c>
      <c r="M776" s="56">
        <f>IFERROR(__xludf.DUMMYFUNCTION("""COMPUTED_VALUE"""),0.1956521739130435)</f>
        <v>0.1956521739</v>
      </c>
      <c r="N776" s="31">
        <f>IFERROR(__xludf.DUMMYFUNCTION("""COMPUTED_VALUE"""),362.1388888888889)</f>
        <v>362.1388889</v>
      </c>
      <c r="O776" s="57">
        <f>IFERROR(__xludf.DUMMYFUNCTION("""COMPUTED_VALUE"""),0.5)</f>
        <v>0.5</v>
      </c>
      <c r="P776" s="57">
        <f>IFERROR(__xludf.DUMMYFUNCTION("""COMPUTED_VALUE"""),0.75)</f>
        <v>0.75</v>
      </c>
      <c r="Q776" s="57">
        <f>IFERROR(__xludf.DUMMYFUNCTION("""COMPUTED_VALUE"""),1.75)</f>
        <v>1.75</v>
      </c>
      <c r="R776" s="57">
        <f>IFERROR(__xludf.DUMMYFUNCTION("""COMPUTED_VALUE"""),2.5555555555555554)</f>
        <v>2.555555556</v>
      </c>
      <c r="S776" s="31">
        <f>IFERROR(__xludf.DUMMYFUNCTION("""COMPUTED_VALUE"""),349.324074074074)</f>
        <v>349.3240741</v>
      </c>
      <c r="T776" s="57">
        <f>IFERROR(__xludf.DUMMYFUNCTION("""COMPUTED_VALUE"""),0.7592592592592594)</f>
        <v>0.7592592593</v>
      </c>
      <c r="U776" s="57">
        <f>IFERROR(__xludf.DUMMYFUNCTION("""COMPUTED_VALUE"""),0.537037037037037)</f>
        <v>0.537037037</v>
      </c>
      <c r="V776" s="57">
        <f>IFERROR(__xludf.DUMMYFUNCTION("""COMPUTED_VALUE"""),1.4166666666666665)</f>
        <v>1.416666667</v>
      </c>
      <c r="W776" s="57">
        <f>IFERROR(__xludf.DUMMYFUNCTION("""COMPUTED_VALUE"""),2.7129629629629637)</f>
        <v>2.712962963</v>
      </c>
      <c r="X776" s="31">
        <f>IFERROR(__xludf.DUMMYFUNCTION("""COMPUTED_VALUE"""),338.0814465497977)</f>
        <v>338.0814465</v>
      </c>
      <c r="Y776" s="57">
        <f>IFERROR(__xludf.DUMMYFUNCTION("""COMPUTED_VALUE"""),0.7102969867242348)</f>
        <v>0.7102969867</v>
      </c>
      <c r="Z776" s="57">
        <f>IFERROR(__xludf.DUMMYFUNCTION("""COMPUTED_VALUE"""),0.547005816303956)</f>
        <v>0.5470058163</v>
      </c>
      <c r="AA776" s="57">
        <f>IFERROR(__xludf.DUMMYFUNCTION("""COMPUTED_VALUE"""),1.2917926042256005)</f>
        <v>1.291792604</v>
      </c>
      <c r="AB776" s="57">
        <f>IFERROR(__xludf.DUMMYFUNCTION("""COMPUTED_VALUE"""),2.58639410996994)</f>
        <v>2.58639411</v>
      </c>
      <c r="AC776" s="31">
        <f>IFERROR(__xludf.DUMMYFUNCTION("""COMPUTED_VALUE"""),348.2561267932117)</f>
        <v>348.2561268</v>
      </c>
      <c r="AD776" s="57">
        <f>IFERROR(__xludf.DUMMYFUNCTION("""COMPUTED_VALUE"""),0.7429287373390756)</f>
        <v>0.7429287373</v>
      </c>
      <c r="AE776" s="57">
        <f>IFERROR(__xludf.DUMMYFUNCTION("""COMPUTED_VALUE"""),0.5547285605429182)</f>
        <v>0.5547285605</v>
      </c>
      <c r="AF776" s="57">
        <f>IFERROR(__xludf.DUMMYFUNCTION("""COMPUTED_VALUE"""),1.3721900717081992)</f>
        <v>1.372190072</v>
      </c>
      <c r="AG776" s="57">
        <f>IFERROR(__xludf.DUMMYFUNCTION("""COMPUTED_VALUE"""),2.521510569583101)</f>
        <v>2.52151057</v>
      </c>
      <c r="AH776" s="57">
        <f>IFERROR(__xludf.DUMMYFUNCTION("""COMPUTED_VALUE"""),1.0398636550159548)</f>
        <v>1.039863655</v>
      </c>
      <c r="AI776" s="57">
        <f>IFERROR(__xludf.DUMMYFUNCTION("""COMPUTED_VALUE"""),0.6730120600676105)</f>
        <v>0.6730120601</v>
      </c>
      <c r="AJ776" s="57">
        <f>IFERROR(__xludf.DUMMYFUNCTION("""COMPUTED_VALUE"""),1.3520125938097864)</f>
        <v>1.352012594</v>
      </c>
      <c r="AK776" s="57">
        <f>IFERROR(__xludf.DUMMYFUNCTION("""COMPUTED_VALUE"""),1.2753335241826056)</f>
        <v>1.275333524</v>
      </c>
      <c r="AL776" s="57">
        <f>IFERROR(__xludf.DUMMYFUNCTION("""COMPUTED_VALUE"""),1.0135018216394323)</f>
        <v>1.013501822</v>
      </c>
      <c r="AM776" s="57">
        <f>IFERROR(__xludf.DUMMYFUNCTION("""COMPUTED_VALUE"""),1.033254198474983)</f>
        <v>1.033254198</v>
      </c>
      <c r="AN776" s="57">
        <f>IFERROR(__xludf.DUMMYFUNCTION("""COMPUTED_VALUE"""),1.068932113538634)</f>
        <v>1.068932114</v>
      </c>
      <c r="AO776" s="57">
        <f>IFERROR(__xludf.DUMMYFUNCTION("""COMPUTED_VALUE"""),0.9817757344258665)</f>
        <v>0.9817757344</v>
      </c>
      <c r="AP776" s="35">
        <f>IFERROR(__xludf.DUMMYFUNCTION("""COMPUTED_VALUE"""),1.0966672684396774)</f>
        <v>1.096667268</v>
      </c>
      <c r="AQ776" s="57">
        <f>IFERROR(__xludf.DUMMYFUNCTION("""COMPUTED_VALUE"""),1.0489364140233426)</f>
        <v>1.048936414</v>
      </c>
      <c r="AR776" s="36" t="b">
        <f>IFERROR(__xludf.DUMMYFUNCTION("""COMPUTED_VALUE"""),TRUE)</f>
        <v>1</v>
      </c>
      <c r="AS776" s="57"/>
      <c r="AT776" s="37"/>
      <c r="AU776" s="30"/>
      <c r="AV776" s="30"/>
      <c r="AW776" s="30"/>
      <c r="AX776" s="30"/>
      <c r="AY776" s="30"/>
      <c r="AZ776" s="30"/>
    </row>
    <row r="777">
      <c r="A777" s="30" t="str">
        <f>IFERROR(__xludf.DUMMYFUNCTION("""COMPUTED_VALUE"""),"Veteran")</f>
        <v>Veteran</v>
      </c>
      <c r="B777" s="30" t="str">
        <f>IFERROR(__xludf.DUMMYFUNCTION("""COMPUTED_VALUE"""),"RSC005246")</f>
        <v>RSC005246</v>
      </c>
      <c r="C777" s="30" t="str">
        <f>IFERROR(__xludf.DUMMYFUNCTION("""COMPUTED_VALUE"""),"Irishhhh")</f>
        <v>Irishhhh</v>
      </c>
      <c r="D777" s="31" t="str">
        <f>IFERROR(__xludf.DUMMYFUNCTION("""COMPUTED_VALUE"""),"Mosaic Maestros")</f>
        <v>Mosaic Maestros</v>
      </c>
      <c r="E777" s="31">
        <f>IFERROR(__xludf.DUMMYFUNCTION("""COMPUTED_VALUE"""),51.89041070944803)</f>
        <v>51.89041071</v>
      </c>
      <c r="F777" s="31">
        <f>IFERROR(__xludf.DUMMYFUNCTION("""COMPUTED_VALUE"""),2.128283872739073)</f>
        <v>2.128283873</v>
      </c>
      <c r="G777" s="31">
        <f>IFERROR(__xludf.DUMMYFUNCTION("""COMPUTED_VALUE"""),42.525290407976314)</f>
        <v>42.52529041</v>
      </c>
      <c r="H777" s="31">
        <f>IFERROR(__xludf.DUMMYFUNCTION("""COMPUTED_VALUE"""),-2.614553700009732)</f>
        <v>-2.6145537</v>
      </c>
      <c r="I777" s="54">
        <f>IFERROR(__xludf.DUMMYFUNCTION("""COMPUTED_VALUE"""),27.0)</f>
        <v>27</v>
      </c>
      <c r="J777" s="55">
        <f>IFERROR(__xludf.DUMMYFUNCTION("""COMPUTED_VALUE"""),17.0)</f>
        <v>17</v>
      </c>
      <c r="K777" s="54">
        <f>IFERROR(__xludf.DUMMYFUNCTION("""COMPUTED_VALUE"""),10.0)</f>
        <v>10</v>
      </c>
      <c r="L777" s="56">
        <f>IFERROR(__xludf.DUMMYFUNCTION("""COMPUTED_VALUE"""),0.6296296296296297)</f>
        <v>0.6296296296</v>
      </c>
      <c r="M777" s="56">
        <f>IFERROR(__xludf.DUMMYFUNCTION("""COMPUTED_VALUE"""),0.2948717948717949)</f>
        <v>0.2948717949</v>
      </c>
      <c r="N777" s="31">
        <f>IFERROR(__xludf.DUMMYFUNCTION("""COMPUTED_VALUE"""),351.44444444444446)</f>
        <v>351.4444444</v>
      </c>
      <c r="O777" s="57">
        <f>IFERROR(__xludf.DUMMYFUNCTION("""COMPUTED_VALUE"""),0.8518518518518519)</f>
        <v>0.8518518519</v>
      </c>
      <c r="P777" s="57">
        <f>IFERROR(__xludf.DUMMYFUNCTION("""COMPUTED_VALUE"""),0.4444444444444444)</f>
        <v>0.4444444444</v>
      </c>
      <c r="Q777" s="57">
        <f>IFERROR(__xludf.DUMMYFUNCTION("""COMPUTED_VALUE"""),1.2962962962962963)</f>
        <v>1.296296296</v>
      </c>
      <c r="R777" s="57">
        <f>IFERROR(__xludf.DUMMYFUNCTION("""COMPUTED_VALUE"""),2.888888888888889)</f>
        <v>2.888888889</v>
      </c>
      <c r="S777" s="31">
        <f>IFERROR(__xludf.DUMMYFUNCTION("""COMPUTED_VALUE"""),361.283950617284)</f>
        <v>361.2839506</v>
      </c>
      <c r="T777" s="57">
        <f>IFERROR(__xludf.DUMMYFUNCTION("""COMPUTED_VALUE"""),0.7777777777777777)</f>
        <v>0.7777777778</v>
      </c>
      <c r="U777" s="57">
        <f>IFERROR(__xludf.DUMMYFUNCTION("""COMPUTED_VALUE"""),0.5308641975308641)</f>
        <v>0.5308641975</v>
      </c>
      <c r="V777" s="57">
        <f>IFERROR(__xludf.DUMMYFUNCTION("""COMPUTED_VALUE"""),1.5061728395061722)</f>
        <v>1.50617284</v>
      </c>
      <c r="W777" s="57">
        <f>IFERROR(__xludf.DUMMYFUNCTION("""COMPUTED_VALUE"""),2.5555555555555554)</f>
        <v>2.555555556</v>
      </c>
      <c r="X777" s="31">
        <f>IFERROR(__xludf.DUMMYFUNCTION("""COMPUTED_VALUE"""),350.1079213127415)</f>
        <v>350.1079213</v>
      </c>
      <c r="Y777" s="57">
        <f>IFERROR(__xludf.DUMMYFUNCTION("""COMPUTED_VALUE"""),0.790149164685192)</f>
        <v>0.7901491647</v>
      </c>
      <c r="Z777" s="57">
        <f>IFERROR(__xludf.DUMMYFUNCTION("""COMPUTED_VALUE"""),0.5524075162152436)</f>
        <v>0.5524075162</v>
      </c>
      <c r="AA777" s="57">
        <f>IFERROR(__xludf.DUMMYFUNCTION("""COMPUTED_VALUE"""),1.3786264986844696)</f>
        <v>1.378626499</v>
      </c>
      <c r="AB777" s="57">
        <f>IFERROR(__xludf.DUMMYFUNCTION("""COMPUTED_VALUE"""),2.587475778273434)</f>
        <v>2.587475778</v>
      </c>
      <c r="AC777" s="31">
        <f>IFERROR(__xludf.DUMMYFUNCTION("""COMPUTED_VALUE"""),363.0495000823424)</f>
        <v>363.0495001</v>
      </c>
      <c r="AD777" s="57">
        <f>IFERROR(__xludf.DUMMYFUNCTION("""COMPUTED_VALUE"""),0.8381122563991767)</f>
        <v>0.8381122564</v>
      </c>
      <c r="AE777" s="57">
        <f>IFERROR(__xludf.DUMMYFUNCTION("""COMPUTED_VALUE"""),0.5964122568070643)</f>
        <v>0.5964122568</v>
      </c>
      <c r="AF777" s="57">
        <f>IFERROR(__xludf.DUMMYFUNCTION("""COMPUTED_VALUE"""),1.401114162602579)</f>
        <v>1.401114163</v>
      </c>
      <c r="AG777" s="57">
        <f>IFERROR(__xludf.DUMMYFUNCTION("""COMPUTED_VALUE"""),2.6820061996629554)</f>
        <v>2.6820062</v>
      </c>
      <c r="AH777" s="57">
        <f>IFERROR(__xludf.DUMMYFUNCTION("""COMPUTED_VALUE"""),0.9680345086957404)</f>
        <v>0.9680345087</v>
      </c>
      <c r="AI777" s="57">
        <f>IFERROR(__xludf.DUMMYFUNCTION("""COMPUTED_VALUE"""),1.0163935025979756)</f>
        <v>1.016393503</v>
      </c>
      <c r="AJ777" s="57">
        <f>IFERROR(__xludf.DUMMYFUNCTION("""COMPUTED_VALUE"""),0.7451966980420717)</f>
        <v>0.745196698</v>
      </c>
      <c r="AK777" s="57">
        <f>IFERROR(__xludf.DUMMYFUNCTION("""COMPUTED_VALUE"""),0.9251896318629863)</f>
        <v>0.9251896319</v>
      </c>
      <c r="AL777" s="57">
        <f>IFERROR(__xludf.DUMMYFUNCTION("""COMPUTED_VALUE"""),1.0771372897094467)</f>
        <v>1.07713729</v>
      </c>
      <c r="AM777" s="57">
        <f>IFERROR(__xludf.DUMMYFUNCTION("""COMPUTED_VALUE"""),1.0319216693602293)</f>
        <v>1.031921669</v>
      </c>
      <c r="AN777" s="57">
        <f>IFERROR(__xludf.DUMMYFUNCTION("""COMPUTED_VALUE"""),0.9843429728710232)</f>
        <v>0.9843429729</v>
      </c>
      <c r="AO777" s="57">
        <f>IFERROR(__xludf.DUMMYFUNCTION("""COMPUTED_VALUE"""),0.9610010398989842)</f>
        <v>0.9610010399</v>
      </c>
      <c r="AP777" s="35">
        <f>IFERROR(__xludf.DUMMYFUNCTION("""COMPUTED_VALUE"""),1.092516965939224)</f>
        <v>1.092516966</v>
      </c>
      <c r="AQ777" s="57">
        <f>IFERROR(__xludf.DUMMYFUNCTION("""COMPUTED_VALUE"""),0.987663566559383)</f>
        <v>0.9876635666</v>
      </c>
      <c r="AR777" s="36" t="b">
        <f>IFERROR(__xludf.DUMMYFUNCTION("""COMPUTED_VALUE"""),TRUE)</f>
        <v>1</v>
      </c>
      <c r="AS777" s="57"/>
      <c r="AT777" s="37"/>
      <c r="AU777" s="30"/>
      <c r="AV777" s="30"/>
      <c r="AW777" s="30"/>
      <c r="AX777" s="30"/>
      <c r="AY777" s="30"/>
      <c r="AZ777" s="30"/>
    </row>
    <row r="778">
      <c r="A778" s="30" t="str">
        <f>IFERROR(__xludf.DUMMYFUNCTION("""COMPUTED_VALUE"""),"Veteran")</f>
        <v>Veteran</v>
      </c>
      <c r="B778" s="30" t="str">
        <f>IFERROR(__xludf.DUMMYFUNCTION("""COMPUTED_VALUE"""),"RSC006128")</f>
        <v>RSC006128</v>
      </c>
      <c r="C778" s="30" t="str">
        <f>IFERROR(__xludf.DUMMYFUNCTION("""COMPUTED_VALUE"""),"anth0tex")</f>
        <v>anth0tex</v>
      </c>
      <c r="D778" s="31" t="str">
        <f>IFERROR(__xludf.DUMMYFUNCTION("""COMPUTED_VALUE"""),"Azalea")</f>
        <v>Azalea</v>
      </c>
      <c r="E778" s="31">
        <f>IFERROR(__xludf.DUMMYFUNCTION("""COMPUTED_VALUE"""),51.366514432123495)</f>
        <v>51.36651443</v>
      </c>
      <c r="F778" s="31">
        <f>IFERROR(__xludf.DUMMYFUNCTION("""COMPUTED_VALUE"""),2.0911558307123466)</f>
        <v>2.091155831</v>
      </c>
      <c r="G778" s="31">
        <f>IFERROR(__xludf.DUMMYFUNCTION("""COMPUTED_VALUE"""),44.383578537393646)</f>
        <v>44.38357854</v>
      </c>
      <c r="H778" s="31">
        <f>IFERROR(__xludf.DUMMYFUNCTION("""COMPUTED_VALUE"""),-2.4323614149120107)</f>
        <v>-2.432361415</v>
      </c>
      <c r="I778" s="54">
        <f>IFERROR(__xludf.DUMMYFUNCTION("""COMPUTED_VALUE"""),27.0)</f>
        <v>27</v>
      </c>
      <c r="J778" s="55">
        <f>IFERROR(__xludf.DUMMYFUNCTION("""COMPUTED_VALUE"""),12.0)</f>
        <v>12</v>
      </c>
      <c r="K778" s="54">
        <f>IFERROR(__xludf.DUMMYFUNCTION("""COMPUTED_VALUE"""),15.0)</f>
        <v>15</v>
      </c>
      <c r="L778" s="56">
        <f>IFERROR(__xludf.DUMMYFUNCTION("""COMPUTED_VALUE"""),0.4444444444444444)</f>
        <v>0.4444444444</v>
      </c>
      <c r="M778" s="56">
        <f>IFERROR(__xludf.DUMMYFUNCTION("""COMPUTED_VALUE"""),0.3421052631578947)</f>
        <v>0.3421052632</v>
      </c>
      <c r="N778" s="31">
        <f>IFERROR(__xludf.DUMMYFUNCTION("""COMPUTED_VALUE"""),340.44444444444446)</f>
        <v>340.4444444</v>
      </c>
      <c r="O778" s="57">
        <f>IFERROR(__xludf.DUMMYFUNCTION("""COMPUTED_VALUE"""),0.9629629629629629)</f>
        <v>0.962962963</v>
      </c>
      <c r="P778" s="57">
        <f>IFERROR(__xludf.DUMMYFUNCTION("""COMPUTED_VALUE"""),0.2962962962962963)</f>
        <v>0.2962962963</v>
      </c>
      <c r="Q778" s="57">
        <f>IFERROR(__xludf.DUMMYFUNCTION("""COMPUTED_VALUE"""),1.3703703703703705)</f>
        <v>1.37037037</v>
      </c>
      <c r="R778" s="57">
        <f>IFERROR(__xludf.DUMMYFUNCTION("""COMPUTED_VALUE"""),2.814814814814815)</f>
        <v>2.814814815</v>
      </c>
      <c r="S778" s="31">
        <f>IFERROR(__xludf.DUMMYFUNCTION("""COMPUTED_VALUE"""),344.03703703703695)</f>
        <v>344.037037</v>
      </c>
      <c r="T778" s="57">
        <f>IFERROR(__xludf.DUMMYFUNCTION("""COMPUTED_VALUE"""),0.6913580246913581)</f>
        <v>0.6913580247</v>
      </c>
      <c r="U778" s="57">
        <f>IFERROR(__xludf.DUMMYFUNCTION("""COMPUTED_VALUE"""),0.48148148148148157)</f>
        <v>0.4814814815</v>
      </c>
      <c r="V778" s="57">
        <f>IFERROR(__xludf.DUMMYFUNCTION("""COMPUTED_VALUE"""),1.54320987654321)</f>
        <v>1.543209877</v>
      </c>
      <c r="W778" s="57">
        <f>IFERROR(__xludf.DUMMYFUNCTION("""COMPUTED_VALUE"""),2.432098765432099)</f>
        <v>2.432098765</v>
      </c>
      <c r="X778" s="31">
        <f>IFERROR(__xludf.DUMMYFUNCTION("""COMPUTED_VALUE"""),348.94335113043604)</f>
        <v>348.9433511</v>
      </c>
      <c r="Y778" s="57">
        <f>IFERROR(__xludf.DUMMYFUNCTION("""COMPUTED_VALUE"""),0.730202381645078)</f>
        <v>0.7302023816</v>
      </c>
      <c r="Z778" s="57">
        <f>IFERROR(__xludf.DUMMYFUNCTION("""COMPUTED_VALUE"""),0.5242653203074723)</f>
        <v>0.5242653203</v>
      </c>
      <c r="AA778" s="57">
        <f>IFERROR(__xludf.DUMMYFUNCTION("""COMPUTED_VALUE"""),1.4600322985397252)</f>
        <v>1.460032299</v>
      </c>
      <c r="AB778" s="57">
        <f>IFERROR(__xludf.DUMMYFUNCTION("""COMPUTED_VALUE"""),2.5698535333418797)</f>
        <v>2.569853533</v>
      </c>
      <c r="AC778" s="31">
        <f>IFERROR(__xludf.DUMMYFUNCTION("""COMPUTED_VALUE"""),351.54984958115415)</f>
        <v>351.5498496</v>
      </c>
      <c r="AD778" s="57">
        <f>IFERROR(__xludf.DUMMYFUNCTION("""COMPUTED_VALUE"""),0.7946385901615926)</f>
        <v>0.7946385902</v>
      </c>
      <c r="AE778" s="57">
        <f>IFERROR(__xludf.DUMMYFUNCTION("""COMPUTED_VALUE"""),0.5672782854657096)</f>
        <v>0.5672782855</v>
      </c>
      <c r="AF778" s="57">
        <f>IFERROR(__xludf.DUMMYFUNCTION("""COMPUTED_VALUE"""),1.3457174780556318)</f>
        <v>1.345717478</v>
      </c>
      <c r="AG778" s="57">
        <f>IFERROR(__xludf.DUMMYFUNCTION("""COMPUTED_VALUE"""),2.6683064987811465)</f>
        <v>2.668306499</v>
      </c>
      <c r="AH778" s="57">
        <f>IFERROR(__xludf.DUMMYFUNCTION("""COMPUTED_VALUE"""),0.9684101553451353)</f>
        <v>0.9684101553</v>
      </c>
      <c r="AI778" s="57">
        <f>IFERROR(__xludf.DUMMYFUNCTION("""COMPUTED_VALUE"""),1.2118250672511903)</f>
        <v>1.211825067</v>
      </c>
      <c r="AJ778" s="57">
        <f>IFERROR(__xludf.DUMMYFUNCTION("""COMPUTED_VALUE"""),0.5223120713197237)</f>
        <v>0.5223120713</v>
      </c>
      <c r="AK778" s="57">
        <f>IFERROR(__xludf.DUMMYFUNCTION("""COMPUTED_VALUE"""),1.0183195155868514)</f>
        <v>1.018319516</v>
      </c>
      <c r="AL778" s="57">
        <f>IFERROR(__xludf.DUMMYFUNCTION("""COMPUTED_VALUE"""),1.054906854254034)</f>
        <v>1.054906854</v>
      </c>
      <c r="AM778" s="57">
        <f>IFERROR(__xludf.DUMMYFUNCTION("""COMPUTED_VALUE"""),0.9859395111627587)</f>
        <v>0.9859395112</v>
      </c>
      <c r="AN778" s="57">
        <f>IFERROR(__xludf.DUMMYFUNCTION("""COMPUTED_VALUE"""),0.9468033001122138)</f>
        <v>0.9468033001</v>
      </c>
      <c r="AO778" s="57">
        <f>IFERROR(__xludf.DUMMYFUNCTION("""COMPUTED_VALUE"""),0.9183927733367929)</f>
        <v>0.9183927733</v>
      </c>
      <c r="AP778" s="35">
        <f>IFERROR(__xludf.DUMMYFUNCTION("""COMPUTED_VALUE"""),1.0569696835382862)</f>
        <v>1.056969684</v>
      </c>
      <c r="AQ778" s="57">
        <f>IFERROR(__xludf.DUMMYFUNCTION("""COMPUTED_VALUE"""),0.9463958680436382)</f>
        <v>0.946395868</v>
      </c>
      <c r="AR778" s="36" t="b">
        <f>IFERROR(__xludf.DUMMYFUNCTION("""COMPUTED_VALUE"""),TRUE)</f>
        <v>1</v>
      </c>
      <c r="AS778" s="57"/>
      <c r="AT778" s="37"/>
      <c r="AU778" s="30"/>
      <c r="AV778" s="30"/>
      <c r="AW778" s="30"/>
      <c r="AX778" s="30"/>
      <c r="AY778" s="30"/>
      <c r="AZ778" s="30"/>
    </row>
    <row r="779">
      <c r="A779" s="30" t="str">
        <f>IFERROR(__xludf.DUMMYFUNCTION("""COMPUTED_VALUE"""),"Veteran")</f>
        <v>Veteran</v>
      </c>
      <c r="B779" s="30" t="str">
        <f>IFERROR(__xludf.DUMMYFUNCTION("""COMPUTED_VALUE"""),"RSC006992")</f>
        <v>RSC006992</v>
      </c>
      <c r="C779" s="30" t="str">
        <f>IFERROR(__xludf.DUMMYFUNCTION("""COMPUTED_VALUE"""),"Dxso.")</f>
        <v>Dxso.</v>
      </c>
      <c r="D779" s="31" t="str">
        <f>IFERROR(__xludf.DUMMYFUNCTION("""COMPUTED_VALUE"""),"Kirin")</f>
        <v>Kirin</v>
      </c>
      <c r="E779" s="31">
        <f>IFERROR(__xludf.DUMMYFUNCTION("""COMPUTED_VALUE"""),51.318739514326325)</f>
        <v>51.31873951</v>
      </c>
      <c r="F779" s="31">
        <f>IFERROR(__xludf.DUMMYFUNCTION("""COMPUTED_VALUE"""),2.087832101730753)</f>
        <v>2.087832102</v>
      </c>
      <c r="G779" s="31">
        <f>IFERROR(__xludf.DUMMYFUNCTION("""COMPUTED_VALUE"""),61.34395220403276)</f>
        <v>61.3439522</v>
      </c>
      <c r="H779" s="31">
        <f>IFERROR(__xludf.DUMMYFUNCTION("""COMPUTED_VALUE"""),3.0769090994812203)</f>
        <v>3.076909099</v>
      </c>
      <c r="I779" s="54">
        <f>IFERROR(__xludf.DUMMYFUNCTION("""COMPUTED_VALUE"""),20.0)</f>
        <v>20</v>
      </c>
      <c r="J779" s="55">
        <f>IFERROR(__xludf.DUMMYFUNCTION("""COMPUTED_VALUE"""),8.0)</f>
        <v>8</v>
      </c>
      <c r="K779" s="54">
        <f>IFERROR(__xludf.DUMMYFUNCTION("""COMPUTED_VALUE"""),12.0)</f>
        <v>12</v>
      </c>
      <c r="L779" s="56">
        <f>IFERROR(__xludf.DUMMYFUNCTION("""COMPUTED_VALUE"""),0.4)</f>
        <v>0.4</v>
      </c>
      <c r="M779" s="56">
        <f>IFERROR(__xludf.DUMMYFUNCTION("""COMPUTED_VALUE"""),0.3103448275862069)</f>
        <v>0.3103448276</v>
      </c>
      <c r="N779" s="31">
        <f>IFERROR(__xludf.DUMMYFUNCTION("""COMPUTED_VALUE"""),367.95)</f>
        <v>367.95</v>
      </c>
      <c r="O779" s="57">
        <f>IFERROR(__xludf.DUMMYFUNCTION("""COMPUTED_VALUE"""),0.9)</f>
        <v>0.9</v>
      </c>
      <c r="P779" s="57">
        <f>IFERROR(__xludf.DUMMYFUNCTION("""COMPUTED_VALUE"""),0.4)</f>
        <v>0.4</v>
      </c>
      <c r="Q779" s="57">
        <f>IFERROR(__xludf.DUMMYFUNCTION("""COMPUTED_VALUE"""),1.3)</f>
        <v>1.3</v>
      </c>
      <c r="R779" s="57">
        <f>IFERROR(__xludf.DUMMYFUNCTION("""COMPUTED_VALUE"""),2.9)</f>
        <v>2.9</v>
      </c>
      <c r="S779" s="31">
        <f>IFERROR(__xludf.DUMMYFUNCTION("""COMPUTED_VALUE"""),373.3833333333333)</f>
        <v>373.3833333</v>
      </c>
      <c r="T779" s="57">
        <f>IFERROR(__xludf.DUMMYFUNCTION("""COMPUTED_VALUE"""),0.9499999999999998)</f>
        <v>0.95</v>
      </c>
      <c r="U779" s="57">
        <f>IFERROR(__xludf.DUMMYFUNCTION("""COMPUTED_VALUE"""),0.75)</f>
        <v>0.75</v>
      </c>
      <c r="V779" s="57">
        <f>IFERROR(__xludf.DUMMYFUNCTION("""COMPUTED_VALUE"""),1.2333333333333332)</f>
        <v>1.233333333</v>
      </c>
      <c r="W779" s="57">
        <f>IFERROR(__xludf.DUMMYFUNCTION("""COMPUTED_VALUE"""),2.6333333333333337)</f>
        <v>2.633333333</v>
      </c>
      <c r="X779" s="31">
        <f>IFERROR(__xludf.DUMMYFUNCTION("""COMPUTED_VALUE"""),351.25285162322683)</f>
        <v>351.2528516</v>
      </c>
      <c r="Y779" s="57">
        <f>IFERROR(__xludf.DUMMYFUNCTION("""COMPUTED_VALUE"""),0.7615743575909404)</f>
        <v>0.7615743576</v>
      </c>
      <c r="Z779" s="57">
        <f>IFERROR(__xludf.DUMMYFUNCTION("""COMPUTED_VALUE"""),0.5399028770305069)</f>
        <v>0.539902877</v>
      </c>
      <c r="AA779" s="57">
        <f>IFERROR(__xludf.DUMMYFUNCTION("""COMPUTED_VALUE"""),1.3638005646547224)</f>
        <v>1.363800565</v>
      </c>
      <c r="AB779" s="57">
        <f>IFERROR(__xludf.DUMMYFUNCTION("""COMPUTED_VALUE"""),2.723229086757034)</f>
        <v>2.723229087</v>
      </c>
      <c r="AC779" s="31">
        <f>IFERROR(__xludf.DUMMYFUNCTION("""COMPUTED_VALUE"""),349.6765074290223)</f>
        <v>349.6765074</v>
      </c>
      <c r="AD779" s="57">
        <f>IFERROR(__xludf.DUMMYFUNCTION("""COMPUTED_VALUE"""),0.7298128008774547)</f>
        <v>0.7298128009</v>
      </c>
      <c r="AE779" s="57">
        <f>IFERROR(__xludf.DUMMYFUNCTION("""COMPUTED_VALUE"""),0.5477695273787663)</f>
        <v>0.5477695274</v>
      </c>
      <c r="AF779" s="57">
        <f>IFERROR(__xludf.DUMMYFUNCTION("""COMPUTED_VALUE"""),1.3701246301439909)</f>
        <v>1.37012463</v>
      </c>
      <c r="AG779" s="57">
        <f>IFERROR(__xludf.DUMMYFUNCTION("""COMPUTED_VALUE"""),2.588041978866243)</f>
        <v>2.588041979</v>
      </c>
      <c r="AH779" s="57">
        <f>IFERROR(__xludf.DUMMYFUNCTION("""COMPUTED_VALUE"""),1.0522582792459596)</f>
        <v>1.052258279</v>
      </c>
      <c r="AI779" s="57">
        <f>IFERROR(__xludf.DUMMYFUNCTION("""COMPUTED_VALUE"""),1.233192948819107)</f>
        <v>1.233192949</v>
      </c>
      <c r="AJ779" s="57">
        <f>IFERROR(__xludf.DUMMYFUNCTION("""COMPUTED_VALUE"""),0.7302341222121543)</f>
        <v>0.7302341222</v>
      </c>
      <c r="AK779" s="57">
        <f>IFERROR(__xludf.DUMMYFUNCTION("""COMPUTED_VALUE"""),0.9488187945817592)</f>
        <v>0.9488187946</v>
      </c>
      <c r="AL779" s="57">
        <f>IFERROR(__xludf.DUMMYFUNCTION("""COMPUTED_VALUE"""),1.120538238437082)</f>
        <v>1.120538238</v>
      </c>
      <c r="AM779" s="57">
        <f>IFERROR(__xludf.DUMMYFUNCTION("""COMPUTED_VALUE"""),1.0630044186341436)</f>
        <v>1.063004419</v>
      </c>
      <c r="AN779" s="57">
        <f>IFERROR(__xludf.DUMMYFUNCTION("""COMPUTED_VALUE"""),1.2474159489890118)</f>
        <v>1.247415949</v>
      </c>
      <c r="AO779" s="57">
        <f>IFERROR(__xludf.DUMMYFUNCTION("""COMPUTED_VALUE"""),1.3891387357019431)</f>
        <v>1.389138736</v>
      </c>
      <c r="AP779" s="35">
        <f>IFERROR(__xludf.DUMMYFUNCTION("""COMPUTED_VALUE"""),0.9043355497110972)</f>
        <v>0.9043355497</v>
      </c>
      <c r="AQ779" s="57">
        <f>IFERROR(__xludf.DUMMYFUNCTION("""COMPUTED_VALUE"""),0.9669892797999037)</f>
        <v>0.9669892798</v>
      </c>
      <c r="AR779" s="36" t="b">
        <f>IFERROR(__xludf.DUMMYFUNCTION("""COMPUTED_VALUE"""),TRUE)</f>
        <v>1</v>
      </c>
      <c r="AS779" s="57"/>
      <c r="AT779" s="37"/>
      <c r="AU779" s="30"/>
      <c r="AV779" s="30"/>
      <c r="AW779" s="30"/>
      <c r="AX779" s="30"/>
      <c r="AY779" s="30"/>
      <c r="AZ779" s="30"/>
    </row>
    <row r="780">
      <c r="A780" s="30" t="str">
        <f>IFERROR(__xludf.DUMMYFUNCTION("""COMPUTED_VALUE"""),"Veteran")</f>
        <v>Veteran</v>
      </c>
      <c r="B780" s="30" t="str">
        <f>IFERROR(__xludf.DUMMYFUNCTION("""COMPUTED_VALUE"""),"RSC007995")</f>
        <v>RSC007995</v>
      </c>
      <c r="C780" s="30" t="str">
        <f>IFERROR(__xludf.DUMMYFUNCTION("""COMPUTED_VALUE"""),"Tylanz")</f>
        <v>Tylanz</v>
      </c>
      <c r="D780" s="31" t="str">
        <f>IFERROR(__xludf.DUMMYFUNCTION("""COMPUTED_VALUE"""),"Cannoli")</f>
        <v>Cannoli</v>
      </c>
      <c r="E780" s="31">
        <f>IFERROR(__xludf.DUMMYFUNCTION("""COMPUTED_VALUE"""),50.569584359821924)</f>
        <v>50.56958436</v>
      </c>
      <c r="F780" s="31">
        <f>IFERROR(__xludf.DUMMYFUNCTION("""COMPUTED_VALUE"""),2.037026895499757)</f>
        <v>2.037026895</v>
      </c>
      <c r="G780" s="31">
        <f>IFERROR(__xludf.DUMMYFUNCTION("""COMPUTED_VALUE"""),32.7835609514691)</f>
        <v>32.78356095</v>
      </c>
      <c r="H780" s="31">
        <f>IFERROR(__xludf.DUMMYFUNCTION("""COMPUTED_VALUE"""),-4.072997994975954)</f>
        <v>-4.072997995</v>
      </c>
      <c r="I780" s="54">
        <f>IFERROR(__xludf.DUMMYFUNCTION("""COMPUTED_VALUE"""),34.0)</f>
        <v>34</v>
      </c>
      <c r="J780" s="55">
        <f>IFERROR(__xludf.DUMMYFUNCTION("""COMPUTED_VALUE"""),20.0)</f>
        <v>20</v>
      </c>
      <c r="K780" s="54">
        <f>IFERROR(__xludf.DUMMYFUNCTION("""COMPUTED_VALUE"""),14.0)</f>
        <v>14</v>
      </c>
      <c r="L780" s="56">
        <f>IFERROR(__xludf.DUMMYFUNCTION("""COMPUTED_VALUE"""),0.5882352941176471)</f>
        <v>0.5882352941</v>
      </c>
      <c r="M780" s="56">
        <f>IFERROR(__xludf.DUMMYFUNCTION("""COMPUTED_VALUE"""),0.3026315789473684)</f>
        <v>0.3026315789</v>
      </c>
      <c r="N780" s="31">
        <f>IFERROR(__xludf.DUMMYFUNCTION("""COMPUTED_VALUE"""),319.2352941176471)</f>
        <v>319.2352941</v>
      </c>
      <c r="O780" s="57">
        <f>IFERROR(__xludf.DUMMYFUNCTION("""COMPUTED_VALUE"""),0.6764705882352942)</f>
        <v>0.6764705882</v>
      </c>
      <c r="P780" s="57">
        <f>IFERROR(__xludf.DUMMYFUNCTION("""COMPUTED_VALUE"""),0.6764705882352942)</f>
        <v>0.6764705882</v>
      </c>
      <c r="Q780" s="57">
        <f>IFERROR(__xludf.DUMMYFUNCTION("""COMPUTED_VALUE"""),1.088235294117647)</f>
        <v>1.088235294</v>
      </c>
      <c r="R780" s="57">
        <f>IFERROR(__xludf.DUMMYFUNCTION("""COMPUTED_VALUE"""),2.235294117647059)</f>
        <v>2.235294118</v>
      </c>
      <c r="S780" s="31">
        <f>IFERROR(__xludf.DUMMYFUNCTION("""COMPUTED_VALUE"""),352.9313725490196)</f>
        <v>352.9313725</v>
      </c>
      <c r="T780" s="57">
        <f>IFERROR(__xludf.DUMMYFUNCTION("""COMPUTED_VALUE"""),0.7156862745098039)</f>
        <v>0.7156862745</v>
      </c>
      <c r="U780" s="57">
        <f>IFERROR(__xludf.DUMMYFUNCTION("""COMPUTED_VALUE"""),0.4999999999999999)</f>
        <v>0.5</v>
      </c>
      <c r="V780" s="57">
        <f>IFERROR(__xludf.DUMMYFUNCTION("""COMPUTED_VALUE"""),1.588235294117647)</f>
        <v>1.588235294</v>
      </c>
      <c r="W780" s="57">
        <f>IFERROR(__xludf.DUMMYFUNCTION("""COMPUTED_VALUE"""),2.450980392156863)</f>
        <v>2.450980392</v>
      </c>
      <c r="X780" s="31">
        <f>IFERROR(__xludf.DUMMYFUNCTION("""COMPUTED_VALUE"""),356.5050845143992)</f>
        <v>356.5050845</v>
      </c>
      <c r="Y780" s="57">
        <f>IFERROR(__xludf.DUMMYFUNCTION("""COMPUTED_VALUE"""),0.7713901476294043)</f>
        <v>0.7713901476</v>
      </c>
      <c r="Z780" s="57">
        <f>IFERROR(__xludf.DUMMYFUNCTION("""COMPUTED_VALUE"""),0.5712793909467644)</f>
        <v>0.5712793909</v>
      </c>
      <c r="AA780" s="57">
        <f>IFERROR(__xludf.DUMMYFUNCTION("""COMPUTED_VALUE"""),1.3860803610923593)</f>
        <v>1.386080361</v>
      </c>
      <c r="AB780" s="57">
        <f>IFERROR(__xludf.DUMMYFUNCTION("""COMPUTED_VALUE"""),2.5886960448220084)</f>
        <v>2.588696045</v>
      </c>
      <c r="AC780" s="31">
        <f>IFERROR(__xludf.DUMMYFUNCTION("""COMPUTED_VALUE"""),358.47886100725407)</f>
        <v>358.478861</v>
      </c>
      <c r="AD780" s="57">
        <f>IFERROR(__xludf.DUMMYFUNCTION("""COMPUTED_VALUE"""),0.7993854860480598)</f>
        <v>0.799385486</v>
      </c>
      <c r="AE780" s="57">
        <f>IFERROR(__xludf.DUMMYFUNCTION("""COMPUTED_VALUE"""),0.5966344205121784)</f>
        <v>0.5966344205</v>
      </c>
      <c r="AF780" s="57">
        <f>IFERROR(__xludf.DUMMYFUNCTION("""COMPUTED_VALUE"""),1.3134007764389697)</f>
        <v>1.313400776</v>
      </c>
      <c r="AG780" s="57">
        <f>IFERROR(__xludf.DUMMYFUNCTION("""COMPUTED_VALUE"""),2.727313245303998)</f>
        <v>2.727313245</v>
      </c>
      <c r="AH780" s="57">
        <f>IFERROR(__xludf.DUMMYFUNCTION("""COMPUTED_VALUE"""),0.8905275285149579)</f>
        <v>0.8905275285</v>
      </c>
      <c r="AI780" s="57">
        <f>IFERROR(__xludf.DUMMYFUNCTION("""COMPUTED_VALUE"""),0.8462382668211518)</f>
        <v>0.8462382668</v>
      </c>
      <c r="AJ780" s="57">
        <f>IFERROR(__xludf.DUMMYFUNCTION("""COMPUTED_VALUE"""),1.133810864707706)</f>
        <v>1.133810865</v>
      </c>
      <c r="AK780" s="57">
        <f>IFERROR(__xludf.DUMMYFUNCTION("""COMPUTED_VALUE"""),0.8285630050167817)</f>
        <v>0.828563005</v>
      </c>
      <c r="AL780" s="57">
        <f>IFERROR(__xludf.DUMMYFUNCTION("""COMPUTED_VALUE"""),0.8195956667228752)</f>
        <v>0.8195956667</v>
      </c>
      <c r="AM780" s="57">
        <f>IFERROR(__xludf.DUMMYFUNCTION("""COMPUTED_VALUE"""),0.9899757054790751)</f>
        <v>0.9899757055</v>
      </c>
      <c r="AN780" s="57">
        <f>IFERROR(__xludf.DUMMYFUNCTION("""COMPUTED_VALUE"""),0.9277876787890194)</f>
        <v>0.9277876788</v>
      </c>
      <c r="AO780" s="57">
        <f>IFERROR(__xludf.DUMMYFUNCTION("""COMPUTED_VALUE"""),0.8752284922642924)</f>
        <v>0.8752284923</v>
      </c>
      <c r="AP780" s="35">
        <f>IFERROR(__xludf.DUMMYFUNCTION("""COMPUTED_VALUE"""),1.1458464737686427)</f>
        <v>1.145846474</v>
      </c>
      <c r="AQ780" s="57">
        <f>IFERROR(__xludf.DUMMYFUNCTION("""COMPUTED_VALUE"""),0.9468011499686846)</f>
        <v>0.94680115</v>
      </c>
      <c r="AR780" s="36" t="b">
        <f>IFERROR(__xludf.DUMMYFUNCTION("""COMPUTED_VALUE"""),TRUE)</f>
        <v>1</v>
      </c>
      <c r="AS780" s="57"/>
      <c r="AT780" s="37"/>
      <c r="AU780" s="30"/>
      <c r="AV780" s="30"/>
      <c r="AW780" s="30"/>
      <c r="AX780" s="30"/>
      <c r="AY780" s="30"/>
      <c r="AZ780" s="30"/>
    </row>
    <row r="781">
      <c r="A781" s="30" t="str">
        <f>IFERROR(__xludf.DUMMYFUNCTION("""COMPUTED_VALUE"""),"Veteran")</f>
        <v>Veteran</v>
      </c>
      <c r="B781" s="30" t="str">
        <f>IFERROR(__xludf.DUMMYFUNCTION("""COMPUTED_VALUE"""),"RSC007024")</f>
        <v>RSC007024</v>
      </c>
      <c r="C781" s="30" t="str">
        <f>IFERROR(__xludf.DUMMYFUNCTION("""COMPUTED_VALUE"""),"zSmyte.")</f>
        <v>zSmyte.</v>
      </c>
      <c r="D781" s="31" t="str">
        <f>IFERROR(__xludf.DUMMYFUNCTION("""COMPUTED_VALUE"""),"Giraffes")</f>
        <v>Giraffes</v>
      </c>
      <c r="E781" s="31">
        <f>IFERROR(__xludf.DUMMYFUNCTION("""COMPUTED_VALUE"""),50.38579287585246)</f>
        <v>50.38579288</v>
      </c>
      <c r="F781" s="31">
        <f>IFERROR(__xludf.DUMMYFUNCTION("""COMPUTED_VALUE"""),2.0249314388253934)</f>
        <v>2.024931439</v>
      </c>
      <c r="G781" s="31">
        <f>IFERROR(__xludf.DUMMYFUNCTION("""COMPUTED_VALUE"""),49.451544629897434)</f>
        <v>49.45154463</v>
      </c>
      <c r="H781" s="31">
        <f>IFERROR(__xludf.DUMMYFUNCTION("""COMPUTED_VALUE"""),-2.0356291258038643)</f>
        <v>-2.035629126</v>
      </c>
      <c r="I781" s="54">
        <f>IFERROR(__xludf.DUMMYFUNCTION("""COMPUTED_VALUE"""),31.0)</f>
        <v>31</v>
      </c>
      <c r="J781" s="55">
        <f>IFERROR(__xludf.DUMMYFUNCTION("""COMPUTED_VALUE"""),15.0)</f>
        <v>15</v>
      </c>
      <c r="K781" s="54">
        <f>IFERROR(__xludf.DUMMYFUNCTION("""COMPUTED_VALUE"""),16.0)</f>
        <v>16</v>
      </c>
      <c r="L781" s="56">
        <f>IFERROR(__xludf.DUMMYFUNCTION("""COMPUTED_VALUE"""),0.4838709677419355)</f>
        <v>0.4838709677</v>
      </c>
      <c r="M781" s="56">
        <f>IFERROR(__xludf.DUMMYFUNCTION("""COMPUTED_VALUE"""),0.2714285714285714)</f>
        <v>0.2714285714</v>
      </c>
      <c r="N781" s="31">
        <f>IFERROR(__xludf.DUMMYFUNCTION("""COMPUTED_VALUE"""),334.0967741935484)</f>
        <v>334.0967742</v>
      </c>
      <c r="O781" s="57">
        <f>IFERROR(__xludf.DUMMYFUNCTION("""COMPUTED_VALUE"""),0.6129032258064516)</f>
        <v>0.6129032258</v>
      </c>
      <c r="P781" s="57">
        <f>IFERROR(__xludf.DUMMYFUNCTION("""COMPUTED_VALUE"""),0.7096774193548387)</f>
        <v>0.7096774194</v>
      </c>
      <c r="Q781" s="57">
        <f>IFERROR(__xludf.DUMMYFUNCTION("""COMPUTED_VALUE"""),1.4516129032258065)</f>
        <v>1.451612903</v>
      </c>
      <c r="R781" s="57">
        <f>IFERROR(__xludf.DUMMYFUNCTION("""COMPUTED_VALUE"""),2.2580645161290325)</f>
        <v>2.258064516</v>
      </c>
      <c r="S781" s="31">
        <f>IFERROR(__xludf.DUMMYFUNCTION("""COMPUTED_VALUE"""),345.5161290322581)</f>
        <v>345.516129</v>
      </c>
      <c r="T781" s="57">
        <f>IFERROR(__xludf.DUMMYFUNCTION("""COMPUTED_VALUE"""),0.8064516129032258)</f>
        <v>0.8064516129</v>
      </c>
      <c r="U781" s="57">
        <f>IFERROR(__xludf.DUMMYFUNCTION("""COMPUTED_VALUE"""),0.5913978494623656)</f>
        <v>0.5913978495</v>
      </c>
      <c r="V781" s="57">
        <f>IFERROR(__xludf.DUMMYFUNCTION("""COMPUTED_VALUE"""),1.268817204301075)</f>
        <v>1.268817204</v>
      </c>
      <c r="W781" s="57">
        <f>IFERROR(__xludf.DUMMYFUNCTION("""COMPUTED_VALUE"""),2.5268817204301075)</f>
        <v>2.52688172</v>
      </c>
      <c r="X781" s="31">
        <f>IFERROR(__xludf.DUMMYFUNCTION("""COMPUTED_VALUE"""),348.0043445206106)</f>
        <v>348.0043445</v>
      </c>
      <c r="Y781" s="57">
        <f>IFERROR(__xludf.DUMMYFUNCTION("""COMPUTED_VALUE"""),0.7842146281507199)</f>
        <v>0.7842146282</v>
      </c>
      <c r="Z781" s="57">
        <f>IFERROR(__xludf.DUMMYFUNCTION("""COMPUTED_VALUE"""),0.5638647538423694)</f>
        <v>0.5638647538</v>
      </c>
      <c r="AA781" s="57">
        <f>IFERROR(__xludf.DUMMYFUNCTION("""COMPUTED_VALUE"""),1.3177008177737983)</f>
        <v>1.317700818</v>
      </c>
      <c r="AB781" s="57">
        <f>IFERROR(__xludf.DUMMYFUNCTION("""COMPUTED_VALUE"""),2.6266169228067318)</f>
        <v>2.626616923</v>
      </c>
      <c r="AC781" s="31">
        <f>IFERROR(__xludf.DUMMYFUNCTION("""COMPUTED_VALUE"""),348.5421252065854)</f>
        <v>348.5421252</v>
      </c>
      <c r="AD781" s="57">
        <f>IFERROR(__xludf.DUMMYFUNCTION("""COMPUTED_VALUE"""),0.7616409966323596)</f>
        <v>0.7616409966</v>
      </c>
      <c r="AE781" s="57">
        <f>IFERROR(__xludf.DUMMYFUNCTION("""COMPUTED_VALUE"""),0.5708645773997634)</f>
        <v>0.5708645774</v>
      </c>
      <c r="AF781" s="57">
        <f>IFERROR(__xludf.DUMMYFUNCTION("""COMPUTED_VALUE"""),1.3680645550558521)</f>
        <v>1.368064555</v>
      </c>
      <c r="AG781" s="57">
        <f>IFERROR(__xludf.DUMMYFUNCTION("""COMPUTED_VALUE"""),2.5576951941402934)</f>
        <v>2.557695194</v>
      </c>
      <c r="AH781" s="57">
        <f>IFERROR(__xludf.DUMMYFUNCTION("""COMPUTED_VALUE"""),0.9585549350613644)</f>
        <v>0.9585549351</v>
      </c>
      <c r="AI781" s="57">
        <f>IFERROR(__xludf.DUMMYFUNCTION("""COMPUTED_VALUE"""),0.8047140693797199)</f>
        <v>0.8047140694</v>
      </c>
      <c r="AJ781" s="57">
        <f>IFERROR(__xludf.DUMMYFUNCTION("""COMPUTED_VALUE"""),1.243162472240536)</f>
        <v>1.243162472</v>
      </c>
      <c r="AK781" s="57">
        <f>IFERROR(__xludf.DUMMYFUNCTION("""COMPUTED_VALUE"""),1.0610704720484068)</f>
        <v>1.061070472</v>
      </c>
      <c r="AL781" s="57">
        <f>IFERROR(__xludf.DUMMYFUNCTION("""COMPUTED_VALUE"""),0.8828512956908556)</f>
        <v>0.8828512957</v>
      </c>
      <c r="AM781" s="57">
        <f>IFERROR(__xludf.DUMMYFUNCTION("""COMPUTED_VALUE"""),0.9928500447551019)</f>
        <v>0.9928500448</v>
      </c>
      <c r="AN781" s="57">
        <f>IFERROR(__xludf.DUMMYFUNCTION("""COMPUTED_VALUE"""),1.0283557382816788)</f>
        <v>1.028355738</v>
      </c>
      <c r="AO781" s="57">
        <f>IFERROR(__xludf.DUMMYFUNCTION("""COMPUTED_VALUE"""),1.0488292545905311)</f>
        <v>1.048829255</v>
      </c>
      <c r="AP781" s="35">
        <f>IFERROR(__xludf.DUMMYFUNCTION("""COMPUTED_VALUE"""),0.9629023426157463)</f>
        <v>0.9629023426</v>
      </c>
      <c r="AQ781" s="57">
        <f>IFERROR(__xludf.DUMMYFUNCTION("""COMPUTED_VALUE"""),0.9620290261931116)</f>
        <v>0.9620290262</v>
      </c>
      <c r="AR781" s="36" t="b">
        <f>IFERROR(__xludf.DUMMYFUNCTION("""COMPUTED_VALUE"""),TRUE)</f>
        <v>1</v>
      </c>
      <c r="AS781" s="57"/>
      <c r="AT781" s="37"/>
      <c r="AU781" s="30"/>
      <c r="AV781" s="30"/>
      <c r="AW781" s="30"/>
      <c r="AX781" s="30"/>
      <c r="AY781" s="30"/>
      <c r="AZ781" s="30"/>
    </row>
    <row r="782">
      <c r="A782" s="30" t="str">
        <f>IFERROR(__xludf.DUMMYFUNCTION("""COMPUTED_VALUE"""),"Veteran")</f>
        <v>Veteran</v>
      </c>
      <c r="B782" s="30" t="str">
        <f>IFERROR(__xludf.DUMMYFUNCTION("""COMPUTED_VALUE"""),"RSC006320")</f>
        <v>RSC006320</v>
      </c>
      <c r="C782" s="30" t="str">
        <f>IFERROR(__xludf.DUMMYFUNCTION("""COMPUTED_VALUE"""),"Escape_Plan")</f>
        <v>Escape_Plan</v>
      </c>
      <c r="D782" s="31" t="str">
        <f>IFERROR(__xludf.DUMMYFUNCTION("""COMPUTED_VALUE"""),"Singularity")</f>
        <v>Singularity</v>
      </c>
      <c r="E782" s="31">
        <f>IFERROR(__xludf.DUMMYFUNCTION("""COMPUTED_VALUE"""),50.26664711471301)</f>
        <v>50.26664711</v>
      </c>
      <c r="F782" s="31">
        <f>IFERROR(__xludf.DUMMYFUNCTION("""COMPUTED_VALUE"""),2.017166049371989)</f>
        <v>2.017166049</v>
      </c>
      <c r="G782" s="31">
        <f>IFERROR(__xludf.DUMMYFUNCTION("""COMPUTED_VALUE"""),43.129538766419586)</f>
        <v>43.12953877</v>
      </c>
      <c r="H782" s="31">
        <f>IFERROR(__xludf.DUMMYFUNCTION("""COMPUTED_VALUE"""),-2.552792635175006)</f>
        <v>-2.552792635</v>
      </c>
      <c r="I782" s="54">
        <f>IFERROR(__xludf.DUMMYFUNCTION("""COMPUTED_VALUE"""),28.0)</f>
        <v>28</v>
      </c>
      <c r="J782" s="55">
        <f>IFERROR(__xludf.DUMMYFUNCTION("""COMPUTED_VALUE"""),16.0)</f>
        <v>16</v>
      </c>
      <c r="K782" s="54">
        <f>IFERROR(__xludf.DUMMYFUNCTION("""COMPUTED_VALUE"""),12.0)</f>
        <v>12</v>
      </c>
      <c r="L782" s="56">
        <f>IFERROR(__xludf.DUMMYFUNCTION("""COMPUTED_VALUE"""),0.5714285714285714)</f>
        <v>0.5714285714</v>
      </c>
      <c r="M782" s="56">
        <f>IFERROR(__xludf.DUMMYFUNCTION("""COMPUTED_VALUE"""),0.3108108108108108)</f>
        <v>0.3108108108</v>
      </c>
      <c r="N782" s="31">
        <f>IFERROR(__xludf.DUMMYFUNCTION("""COMPUTED_VALUE"""),348.9642857142857)</f>
        <v>348.9642857</v>
      </c>
      <c r="O782" s="57">
        <f>IFERROR(__xludf.DUMMYFUNCTION("""COMPUTED_VALUE"""),0.8214285714285714)</f>
        <v>0.8214285714</v>
      </c>
      <c r="P782" s="57">
        <f>IFERROR(__xludf.DUMMYFUNCTION("""COMPUTED_VALUE"""),0.39285714285714285)</f>
        <v>0.3928571429</v>
      </c>
      <c r="Q782" s="57">
        <f>IFERROR(__xludf.DUMMYFUNCTION("""COMPUTED_VALUE"""),1.4285714285714286)</f>
        <v>1.428571429</v>
      </c>
      <c r="R782" s="57">
        <f>IFERROR(__xludf.DUMMYFUNCTION("""COMPUTED_VALUE"""),2.642857142857143)</f>
        <v>2.642857143</v>
      </c>
      <c r="S782" s="31">
        <f>IFERROR(__xludf.DUMMYFUNCTION("""COMPUTED_VALUE"""),328.42857142857144)</f>
        <v>328.4285714</v>
      </c>
      <c r="T782" s="57">
        <f>IFERROR(__xludf.DUMMYFUNCTION("""COMPUTED_VALUE"""),0.7023809523809523)</f>
        <v>0.7023809524</v>
      </c>
      <c r="U782" s="57">
        <f>IFERROR(__xludf.DUMMYFUNCTION("""COMPUTED_VALUE"""),0.5119047619047619)</f>
        <v>0.5119047619</v>
      </c>
      <c r="V782" s="57">
        <f>IFERROR(__xludf.DUMMYFUNCTION("""COMPUTED_VALUE"""),1.119047619047619)</f>
        <v>1.119047619</v>
      </c>
      <c r="W782" s="57">
        <f>IFERROR(__xludf.DUMMYFUNCTION("""COMPUTED_VALUE"""),2.8690476190476195)</f>
        <v>2.869047619</v>
      </c>
      <c r="X782" s="31">
        <f>IFERROR(__xludf.DUMMYFUNCTION("""COMPUTED_VALUE"""),354.4743973279137)</f>
        <v>354.4743973</v>
      </c>
      <c r="Y782" s="57">
        <f>IFERROR(__xludf.DUMMYFUNCTION("""COMPUTED_VALUE"""),0.7849340481626382)</f>
        <v>0.7849340482</v>
      </c>
      <c r="Z782" s="57">
        <f>IFERROR(__xludf.DUMMYFUNCTION("""COMPUTED_VALUE"""),0.530308467465843)</f>
        <v>0.5303084675</v>
      </c>
      <c r="AA782" s="57">
        <f>IFERROR(__xludf.DUMMYFUNCTION("""COMPUTED_VALUE"""),1.3719655287336021)</f>
        <v>1.371965529</v>
      </c>
      <c r="AB782" s="57">
        <f>IFERROR(__xludf.DUMMYFUNCTION("""COMPUTED_VALUE"""),2.584411625640011)</f>
        <v>2.584411626</v>
      </c>
      <c r="AC782" s="31">
        <f>IFERROR(__xludf.DUMMYFUNCTION("""COMPUTED_VALUE"""),350.2218104889906)</f>
        <v>350.2218105</v>
      </c>
      <c r="AD782" s="57">
        <f>IFERROR(__xludf.DUMMYFUNCTION("""COMPUTED_VALUE"""),0.748152159321011)</f>
        <v>0.7481521593</v>
      </c>
      <c r="AE782" s="57">
        <f>IFERROR(__xludf.DUMMYFUNCTION("""COMPUTED_VALUE"""),0.5529390334759762)</f>
        <v>0.5529390335</v>
      </c>
      <c r="AF782" s="57">
        <f>IFERROR(__xludf.DUMMYFUNCTION("""COMPUTED_VALUE"""),1.3596697962601876)</f>
        <v>1.359669796</v>
      </c>
      <c r="AG782" s="57">
        <f>IFERROR(__xludf.DUMMYFUNCTION("""COMPUTED_VALUE"""),2.5822992060431207)</f>
        <v>2.582299206</v>
      </c>
      <c r="AH782" s="57">
        <f>IFERROR(__xludf.DUMMYFUNCTION("""COMPUTED_VALUE"""),0.9964093476275817)</f>
        <v>0.9964093476</v>
      </c>
      <c r="AI782" s="57">
        <f>IFERROR(__xludf.DUMMYFUNCTION("""COMPUTED_VALUE"""),1.0979431940343027)</f>
        <v>1.097943194</v>
      </c>
      <c r="AJ782" s="57">
        <f>IFERROR(__xludf.DUMMYFUNCTION("""COMPUTED_VALUE"""),0.710489075780199)</f>
        <v>0.7104890758</v>
      </c>
      <c r="AK782" s="57">
        <f>IFERROR(__xludf.DUMMYFUNCTION("""COMPUTED_VALUE"""),1.0506752687312442)</f>
        <v>1.050675269</v>
      </c>
      <c r="AL782" s="57">
        <f>IFERROR(__xludf.DUMMYFUNCTION("""COMPUTED_VALUE"""),1.0234511696678308)</f>
        <v>1.02345117</v>
      </c>
      <c r="AM782" s="57">
        <f>IFERROR(__xludf.DUMMYFUNCTION("""COMPUTED_VALUE"""),0.9265226879693428)</f>
        <v>0.926522688</v>
      </c>
      <c r="AN782" s="57">
        <f>IFERROR(__xludf.DUMMYFUNCTION("""COMPUTED_VALUE"""),0.894827984625046)</f>
        <v>0.8948279846</v>
      </c>
      <c r="AO782" s="57">
        <f>IFERROR(__xludf.DUMMYFUNCTION("""COMPUTED_VALUE"""),0.9652962253289562)</f>
        <v>0.9652962253</v>
      </c>
      <c r="AP782" s="35">
        <f>IFERROR(__xludf.DUMMYFUNCTION("""COMPUTED_VALUE"""),0.815652868538585)</f>
        <v>0.8156528685</v>
      </c>
      <c r="AQ782" s="57">
        <f>IFERROR(__xludf.DUMMYFUNCTION("""COMPUTED_VALUE"""),1.1101357038421154)</f>
        <v>1.110135704</v>
      </c>
      <c r="AR782" s="36" t="b">
        <f>IFERROR(__xludf.DUMMYFUNCTION("""COMPUTED_VALUE"""),TRUE)</f>
        <v>1</v>
      </c>
      <c r="AS782" s="57"/>
      <c r="AT782" s="37"/>
      <c r="AU782" s="30"/>
      <c r="AV782" s="30"/>
      <c r="AW782" s="30"/>
      <c r="AX782" s="30"/>
      <c r="AY782" s="30"/>
      <c r="AZ782" s="30"/>
    </row>
    <row r="783">
      <c r="A783" s="30" t="str">
        <f>IFERROR(__xludf.DUMMYFUNCTION("""COMPUTED_VALUE"""),"Veteran")</f>
        <v>Veteran</v>
      </c>
      <c r="B783" s="30" t="str">
        <f>IFERROR(__xludf.DUMMYFUNCTION("""COMPUTED_VALUE"""),"RSC001954")</f>
        <v>RSC001954</v>
      </c>
      <c r="C783" s="30" t="str">
        <f>IFERROR(__xludf.DUMMYFUNCTION("""COMPUTED_VALUE"""),"Kiwi")</f>
        <v>Kiwi</v>
      </c>
      <c r="D783" s="31" t="str">
        <f>IFERROR(__xludf.DUMMYFUNCTION("""COMPUTED_VALUE"""),"Supernova")</f>
        <v>Supernova</v>
      </c>
      <c r="E783" s="31">
        <f>IFERROR(__xludf.DUMMYFUNCTION("""COMPUTED_VALUE"""),50.18577779207404)</f>
        <v>50.18577779</v>
      </c>
      <c r="F783" s="31">
        <f>IFERROR(__xludf.DUMMYFUNCTION("""COMPUTED_VALUE"""),2.0119289575826333)</f>
        <v>2.011928958</v>
      </c>
      <c r="G783" s="31">
        <f>IFERROR(__xludf.DUMMYFUNCTION("""COMPUTED_VALUE"""),52.44426441799745)</f>
        <v>52.44426442</v>
      </c>
      <c r="H783" s="31">
        <f>IFERROR(__xludf.DUMMYFUNCTION("""COMPUTED_VALUE"""),2.168928111615114)</f>
        <v>2.168928112</v>
      </c>
      <c r="I783" s="54">
        <f>IFERROR(__xludf.DUMMYFUNCTION("""COMPUTED_VALUE"""),12.0)</f>
        <v>12</v>
      </c>
      <c r="J783" s="55">
        <f>IFERROR(__xludf.DUMMYFUNCTION("""COMPUTED_VALUE"""),4.0)</f>
        <v>4</v>
      </c>
      <c r="K783" s="54">
        <f>IFERROR(__xludf.DUMMYFUNCTION("""COMPUTED_VALUE"""),8.0)</f>
        <v>8</v>
      </c>
      <c r="L783" s="56">
        <f>IFERROR(__xludf.DUMMYFUNCTION("""COMPUTED_VALUE"""),0.3333333333333333)</f>
        <v>0.3333333333</v>
      </c>
      <c r="M783" s="56">
        <f>IFERROR(__xludf.DUMMYFUNCTION("""COMPUTED_VALUE"""),0.4761904761904762)</f>
        <v>0.4761904762</v>
      </c>
      <c r="N783" s="31">
        <f>IFERROR(__xludf.DUMMYFUNCTION("""COMPUTED_VALUE"""),318.75)</f>
        <v>318.75</v>
      </c>
      <c r="O783" s="57">
        <f>IFERROR(__xludf.DUMMYFUNCTION("""COMPUTED_VALUE"""),0.8333333333333334)</f>
        <v>0.8333333333</v>
      </c>
      <c r="P783" s="57">
        <f>IFERROR(__xludf.DUMMYFUNCTION("""COMPUTED_VALUE"""),0.5833333333333334)</f>
        <v>0.5833333333</v>
      </c>
      <c r="Q783" s="57">
        <f>IFERROR(__xludf.DUMMYFUNCTION("""COMPUTED_VALUE"""),0.8333333333333334)</f>
        <v>0.8333333333</v>
      </c>
      <c r="R783" s="57">
        <f>IFERROR(__xludf.DUMMYFUNCTION("""COMPUTED_VALUE"""),1.75)</f>
        <v>1.75</v>
      </c>
      <c r="S783" s="31">
        <f>IFERROR(__xludf.DUMMYFUNCTION("""COMPUTED_VALUE"""),314.16666666666663)</f>
        <v>314.1666667</v>
      </c>
      <c r="T783" s="57">
        <f>IFERROR(__xludf.DUMMYFUNCTION("""COMPUTED_VALUE"""),0.8055555555555555)</f>
        <v>0.8055555556</v>
      </c>
      <c r="U783" s="57">
        <f>IFERROR(__xludf.DUMMYFUNCTION("""COMPUTED_VALUE"""),0.4444444444444444)</f>
        <v>0.4444444444</v>
      </c>
      <c r="V783" s="57">
        <f>IFERROR(__xludf.DUMMYFUNCTION("""COMPUTED_VALUE"""),0.9722222222222223)</f>
        <v>0.9722222222</v>
      </c>
      <c r="W783" s="57">
        <f>IFERROR(__xludf.DUMMYFUNCTION("""COMPUTED_VALUE"""),2.2499999999999996)</f>
        <v>2.25</v>
      </c>
      <c r="X783" s="31">
        <f>IFERROR(__xludf.DUMMYFUNCTION("""COMPUTED_VALUE"""),326.9624056516255)</f>
        <v>326.9624057</v>
      </c>
      <c r="Y783" s="57">
        <f>IFERROR(__xludf.DUMMYFUNCTION("""COMPUTED_VALUE"""),0.6554856894768433)</f>
        <v>0.6554856895</v>
      </c>
      <c r="Z783" s="57">
        <f>IFERROR(__xludf.DUMMYFUNCTION("""COMPUTED_VALUE"""),0.5159618876770105)</f>
        <v>0.5159618877</v>
      </c>
      <c r="AA783" s="57">
        <f>IFERROR(__xludf.DUMMYFUNCTION("""COMPUTED_VALUE"""),1.2915157225473881)</f>
        <v>1.291515723</v>
      </c>
      <c r="AB783" s="57">
        <f>IFERROR(__xludf.DUMMYFUNCTION("""COMPUTED_VALUE"""),2.297979518155031)</f>
        <v>2.297979518</v>
      </c>
      <c r="AC783" s="31">
        <f>IFERROR(__xludf.DUMMYFUNCTION("""COMPUTED_VALUE"""),340.6253470206535)</f>
        <v>340.625347</v>
      </c>
      <c r="AD783" s="57">
        <f>IFERROR(__xludf.DUMMYFUNCTION("""COMPUTED_VALUE"""),0.7524069609525249)</f>
        <v>0.752406961</v>
      </c>
      <c r="AE783" s="57">
        <f>IFERROR(__xludf.DUMMYFUNCTION("""COMPUTED_VALUE"""),0.5246010457668109)</f>
        <v>0.5246010458</v>
      </c>
      <c r="AF783" s="57">
        <f>IFERROR(__xludf.DUMMYFUNCTION("""COMPUTED_VALUE"""),1.2891927912333967)</f>
        <v>1.289192791</v>
      </c>
      <c r="AG783" s="57">
        <f>IFERROR(__xludf.DUMMYFUNCTION("""COMPUTED_VALUE"""),2.5457749052895924)</f>
        <v>2.545774905</v>
      </c>
      <c r="AH783" s="57">
        <f>IFERROR(__xludf.DUMMYFUNCTION("""COMPUTED_VALUE"""),0.9357788631644987)</f>
        <v>0.9357788632</v>
      </c>
      <c r="AI783" s="57">
        <f>IFERROR(__xludf.DUMMYFUNCTION("""COMPUTED_VALUE"""),1.1075566502978096)</f>
        <v>1.10755665</v>
      </c>
      <c r="AJ783" s="57">
        <f>IFERROR(__xludf.DUMMYFUNCTION("""COMPUTED_VALUE"""),1.1119561008130918)</f>
        <v>1.111956101</v>
      </c>
      <c r="AK783" s="57">
        <f>IFERROR(__xludf.DUMMYFUNCTION("""COMPUTED_VALUE"""),0.6463993120346776)</f>
        <v>0.646399312</v>
      </c>
      <c r="AL783" s="57">
        <f>IFERROR(__xludf.DUMMYFUNCTION("""COMPUTED_VALUE"""),0.6874134851293658)</f>
        <v>0.6874134851</v>
      </c>
      <c r="AM783" s="57">
        <f>IFERROR(__xludf.DUMMYFUNCTION("""COMPUTED_VALUE"""),0.9608648004670219)</f>
        <v>0.9608648005</v>
      </c>
      <c r="AN783" s="57">
        <f>IFERROR(__xludf.DUMMYFUNCTION("""COMPUTED_VALUE"""),1.2289445345458054)</f>
        <v>1.228944535</v>
      </c>
      <c r="AO783" s="57">
        <f>IFERROR(__xludf.DUMMYFUNCTION("""COMPUTED_VALUE"""),0.8613900659318938)</f>
        <v>0.8613900659</v>
      </c>
      <c r="AP783" s="35">
        <f>IFERROR(__xludf.DUMMYFUNCTION("""COMPUTED_VALUE"""),0.7527761414352814)</f>
        <v>0.7527761414</v>
      </c>
      <c r="AQ783" s="57">
        <f>IFERROR(__xludf.DUMMYFUNCTION("""COMPUTED_VALUE"""),0.9791209983483435)</f>
        <v>0.9791209983</v>
      </c>
      <c r="AR783" s="36" t="b">
        <f>IFERROR(__xludf.DUMMYFUNCTION("""COMPUTED_VALUE"""),TRUE)</f>
        <v>1</v>
      </c>
      <c r="AS783" s="57"/>
      <c r="AT783" s="37"/>
      <c r="AU783" s="30"/>
      <c r="AV783" s="30"/>
      <c r="AW783" s="30"/>
      <c r="AX783" s="30"/>
      <c r="AY783" s="30"/>
      <c r="AZ783" s="30"/>
    </row>
    <row r="784">
      <c r="A784" s="30" t="str">
        <f>IFERROR(__xludf.DUMMYFUNCTION("""COMPUTED_VALUE"""),"Veteran")</f>
        <v>Veteran</v>
      </c>
      <c r="B784" s="30" t="str">
        <f>IFERROR(__xludf.DUMMYFUNCTION("""COMPUTED_VALUE"""),"RSC007504")</f>
        <v>RSC007504</v>
      </c>
      <c r="C784" s="30" t="str">
        <f>IFERROR(__xludf.DUMMYFUNCTION("""COMPUTED_VALUE"""),"Percussive3260")</f>
        <v>Percussive3260</v>
      </c>
      <c r="D784" s="31" t="str">
        <f>IFERROR(__xludf.DUMMYFUNCTION("""COMPUTED_VALUE"""),"Dread")</f>
        <v>Dread</v>
      </c>
      <c r="E784" s="31">
        <f>IFERROR(__xludf.DUMMYFUNCTION("""COMPUTED_VALUE"""),48.92975734792536)</f>
        <v>48.92975735</v>
      </c>
      <c r="F784" s="31">
        <f>IFERROR(__xludf.DUMMYFUNCTION("""COMPUTED_VALUE"""),-2.0707079964233586)</f>
        <v>-2.070707996</v>
      </c>
      <c r="G784" s="31">
        <f>IFERROR(__xludf.DUMMYFUNCTION("""COMPUTED_VALUE"""),57.433903252132154)</f>
        <v>57.43390325</v>
      </c>
      <c r="H784" s="31">
        <f>IFERROR(__xludf.DUMMYFUNCTION("""COMPUTED_VALUE"""),2.610302806075719)</f>
        <v>2.610302806</v>
      </c>
      <c r="I784" s="54">
        <f>IFERROR(__xludf.DUMMYFUNCTION("""COMPUTED_VALUE"""),36.0)</f>
        <v>36</v>
      </c>
      <c r="J784" s="55">
        <f>IFERROR(__xludf.DUMMYFUNCTION("""COMPUTED_VALUE"""),13.0)</f>
        <v>13</v>
      </c>
      <c r="K784" s="54">
        <f>IFERROR(__xludf.DUMMYFUNCTION("""COMPUTED_VALUE"""),23.0)</f>
        <v>23</v>
      </c>
      <c r="L784" s="56">
        <f>IFERROR(__xludf.DUMMYFUNCTION("""COMPUTED_VALUE"""),0.3611111111111111)</f>
        <v>0.3611111111</v>
      </c>
      <c r="M784" s="56">
        <f>IFERROR(__xludf.DUMMYFUNCTION("""COMPUTED_VALUE"""),0.2553191489361702)</f>
        <v>0.2553191489</v>
      </c>
      <c r="N784" s="31">
        <f>IFERROR(__xludf.DUMMYFUNCTION("""COMPUTED_VALUE"""),354.47222222222223)</f>
        <v>354.4722222</v>
      </c>
      <c r="O784" s="57">
        <f>IFERROR(__xludf.DUMMYFUNCTION("""COMPUTED_VALUE"""),0.6666666666666666)</f>
        <v>0.6666666667</v>
      </c>
      <c r="P784" s="57">
        <f>IFERROR(__xludf.DUMMYFUNCTION("""COMPUTED_VALUE"""),0.5833333333333334)</f>
        <v>0.5833333333</v>
      </c>
      <c r="Q784" s="57">
        <f>IFERROR(__xludf.DUMMYFUNCTION("""COMPUTED_VALUE"""),1.3888888888888888)</f>
        <v>1.388888889</v>
      </c>
      <c r="R784" s="57">
        <f>IFERROR(__xludf.DUMMYFUNCTION("""COMPUTED_VALUE"""),2.611111111111111)</f>
        <v>2.611111111</v>
      </c>
      <c r="S784" s="31">
        <f>IFERROR(__xludf.DUMMYFUNCTION("""COMPUTED_VALUE"""),358.4537037037037)</f>
        <v>358.4537037</v>
      </c>
      <c r="T784" s="57">
        <f>IFERROR(__xludf.DUMMYFUNCTION("""COMPUTED_VALUE"""),0.8240740740740742)</f>
        <v>0.8240740741</v>
      </c>
      <c r="U784" s="57">
        <f>IFERROR(__xludf.DUMMYFUNCTION("""COMPUTED_VALUE"""),0.611111111111111)</f>
        <v>0.6111111111</v>
      </c>
      <c r="V784" s="57">
        <f>IFERROR(__xludf.DUMMYFUNCTION("""COMPUTED_VALUE"""),1.2129629629629628)</f>
        <v>1.212962963</v>
      </c>
      <c r="W784" s="57">
        <f>IFERROR(__xludf.DUMMYFUNCTION("""COMPUTED_VALUE"""),2.731481481481482)</f>
        <v>2.731481481</v>
      </c>
      <c r="X784" s="31">
        <f>IFERROR(__xludf.DUMMYFUNCTION("""COMPUTED_VALUE"""),357.1822305055052)</f>
        <v>357.1822305</v>
      </c>
      <c r="Y784" s="57">
        <f>IFERROR(__xludf.DUMMYFUNCTION("""COMPUTED_VALUE"""),0.829367901172502)</f>
        <v>0.8293679012</v>
      </c>
      <c r="Z784" s="57">
        <f>IFERROR(__xludf.DUMMYFUNCTION("""COMPUTED_VALUE"""),0.6132602717895355)</f>
        <v>0.6132602718</v>
      </c>
      <c r="AA784" s="57">
        <f>IFERROR(__xludf.DUMMYFUNCTION("""COMPUTED_VALUE"""),1.299358393972353)</f>
        <v>1.299358394</v>
      </c>
      <c r="AB784" s="57">
        <f>IFERROR(__xludf.DUMMYFUNCTION("""COMPUTED_VALUE"""),2.7365321141794796)</f>
        <v>2.736532114</v>
      </c>
      <c r="AC784" s="31">
        <f>IFERROR(__xludf.DUMMYFUNCTION("""COMPUTED_VALUE"""),358.22901977346254)</f>
        <v>358.2290198</v>
      </c>
      <c r="AD784" s="57">
        <f>IFERROR(__xludf.DUMMYFUNCTION("""COMPUTED_VALUE"""),0.823014214442159)</f>
        <v>0.8230142144</v>
      </c>
      <c r="AE784" s="57">
        <f>IFERROR(__xludf.DUMMYFUNCTION("""COMPUTED_VALUE"""),0.6107800260470684)</f>
        <v>0.610780026</v>
      </c>
      <c r="AF784" s="57">
        <f>IFERROR(__xludf.DUMMYFUNCTION("""COMPUTED_VALUE"""),1.379195394431739)</f>
        <v>1.379195394</v>
      </c>
      <c r="AG784" s="57">
        <f>IFERROR(__xludf.DUMMYFUNCTION("""COMPUTED_VALUE"""),2.607767636594593)</f>
        <v>2.607767637</v>
      </c>
      <c r="AH784" s="57">
        <f>IFERROR(__xludf.DUMMYFUNCTION("""COMPUTED_VALUE"""),0.9895128609245113)</f>
        <v>0.9895128609</v>
      </c>
      <c r="AI784" s="57">
        <f>IFERROR(__xludf.DUMMYFUNCTION("""COMPUTED_VALUE"""),0.810030562009837)</f>
        <v>0.810030562</v>
      </c>
      <c r="AJ784" s="57">
        <f>IFERROR(__xludf.DUMMYFUNCTION("""COMPUTED_VALUE"""),0.9550628842737895)</f>
        <v>0.9550628843</v>
      </c>
      <c r="AK784" s="57">
        <f>IFERROR(__xludf.DUMMYFUNCTION("""COMPUTED_VALUE"""),1.0070283692189559)</f>
        <v>1.007028369</v>
      </c>
      <c r="AL784" s="57">
        <f>IFERROR(__xludf.DUMMYFUNCTION("""COMPUTED_VALUE"""),1.0012821213322842)</f>
        <v>1.001282121</v>
      </c>
      <c r="AM784" s="57">
        <f>IFERROR(__xludf.DUMMYFUNCTION("""COMPUTED_VALUE"""),1.0035597325107664)</f>
        <v>1.003559733</v>
      </c>
      <c r="AN784" s="57">
        <f>IFERROR(__xludf.DUMMYFUNCTION("""COMPUTED_VALUE"""),0.9936170340195903)</f>
        <v>0.993617034</v>
      </c>
      <c r="AO784" s="57">
        <f>IFERROR(__xludf.DUMMYFUNCTION("""COMPUTED_VALUE"""),0.9964955162150761)</f>
        <v>0.9964955162</v>
      </c>
      <c r="AP784" s="35">
        <f>IFERROR(__xludf.DUMMYFUNCTION("""COMPUTED_VALUE"""),0.9335091600514734)</f>
        <v>0.9335091601</v>
      </c>
      <c r="AQ784" s="57">
        <f>IFERROR(__xludf.DUMMYFUNCTION("""COMPUTED_VALUE"""),0.9981543674668286)</f>
        <v>0.9981543675</v>
      </c>
      <c r="AR784" s="36" t="b">
        <f>IFERROR(__xludf.DUMMYFUNCTION("""COMPUTED_VALUE"""),TRUE)</f>
        <v>1</v>
      </c>
      <c r="AS784" s="57"/>
      <c r="AT784" s="37"/>
      <c r="AU784" s="30"/>
      <c r="AV784" s="30"/>
      <c r="AW784" s="30"/>
      <c r="AX784" s="30"/>
      <c r="AY784" s="30"/>
      <c r="AZ784" s="30"/>
    </row>
    <row r="785">
      <c r="A785" s="30" t="str">
        <f>IFERROR(__xludf.DUMMYFUNCTION("""COMPUTED_VALUE"""),"Veteran")</f>
        <v>Veteran</v>
      </c>
      <c r="B785" s="30" t="str">
        <f>IFERROR(__xludf.DUMMYFUNCTION("""COMPUTED_VALUE"""),"RSC006613")</f>
        <v>RSC006613</v>
      </c>
      <c r="C785" s="30" t="str">
        <f>IFERROR(__xludf.DUMMYFUNCTION("""COMPUTED_VALUE"""),"steel.reserve")</f>
        <v>steel.reserve</v>
      </c>
      <c r="D785" s="31" t="str">
        <f>IFERROR(__xludf.DUMMYFUNCTION("""COMPUTED_VALUE"""),"Dog Fighters")</f>
        <v>Dog Fighters</v>
      </c>
      <c r="E785" s="31">
        <f>IFERROR(__xludf.DUMMYFUNCTION("""COMPUTED_VALUE"""),48.28029882492027)</f>
        <v>48.28029882</v>
      </c>
      <c r="F785" s="31">
        <f>IFERROR(__xludf.DUMMYFUNCTION("""COMPUTED_VALUE"""),-2.116047577310591)</f>
        <v>-2.116047577</v>
      </c>
      <c r="G785" s="31">
        <f>IFERROR(__xludf.DUMMYFUNCTION("""COMPUTED_VALUE"""),39.371766942765085)</f>
        <v>39.37176694</v>
      </c>
      <c r="H785" s="31">
        <f>IFERROR(__xludf.DUMMYFUNCTION("""COMPUTED_VALUE"""),-2.9817706314793444)</f>
        <v>-2.981770631</v>
      </c>
      <c r="I785" s="54">
        <f>IFERROR(__xludf.DUMMYFUNCTION("""COMPUTED_VALUE"""),23.0)</f>
        <v>23</v>
      </c>
      <c r="J785" s="55">
        <f>IFERROR(__xludf.DUMMYFUNCTION("""COMPUTED_VALUE"""),12.0)</f>
        <v>12</v>
      </c>
      <c r="K785" s="54">
        <f>IFERROR(__xludf.DUMMYFUNCTION("""COMPUTED_VALUE"""),11.0)</f>
        <v>11</v>
      </c>
      <c r="L785" s="56">
        <f>IFERROR(__xludf.DUMMYFUNCTION("""COMPUTED_VALUE"""),0.5217391304347826)</f>
        <v>0.5217391304</v>
      </c>
      <c r="M785" s="56">
        <f>IFERROR(__xludf.DUMMYFUNCTION("""COMPUTED_VALUE"""),0.3793103448275862)</f>
        <v>0.3793103448</v>
      </c>
      <c r="N785" s="31">
        <f>IFERROR(__xludf.DUMMYFUNCTION("""COMPUTED_VALUE"""),344.9130434782609)</f>
        <v>344.9130435</v>
      </c>
      <c r="O785" s="57">
        <f>IFERROR(__xludf.DUMMYFUNCTION("""COMPUTED_VALUE"""),0.9565217391304348)</f>
        <v>0.9565217391</v>
      </c>
      <c r="P785" s="57">
        <f>IFERROR(__xludf.DUMMYFUNCTION("""COMPUTED_VALUE"""),0.34782608695652173)</f>
        <v>0.347826087</v>
      </c>
      <c r="Q785" s="57">
        <f>IFERROR(__xludf.DUMMYFUNCTION("""COMPUTED_VALUE"""),1.3478260869565217)</f>
        <v>1.347826087</v>
      </c>
      <c r="R785" s="57">
        <f>IFERROR(__xludf.DUMMYFUNCTION("""COMPUTED_VALUE"""),2.5217391304347827)</f>
        <v>2.52173913</v>
      </c>
      <c r="S785" s="31">
        <f>IFERROR(__xludf.DUMMYFUNCTION("""COMPUTED_VALUE"""),368.7246376811594)</f>
        <v>368.7246377</v>
      </c>
      <c r="T785" s="57">
        <f>IFERROR(__xludf.DUMMYFUNCTION("""COMPUTED_VALUE"""),0.7971014492753624)</f>
        <v>0.7971014493</v>
      </c>
      <c r="U785" s="57">
        <f>IFERROR(__xludf.DUMMYFUNCTION("""COMPUTED_VALUE"""),0.5942028985507246)</f>
        <v>0.5942028986</v>
      </c>
      <c r="V785" s="57">
        <f>IFERROR(__xludf.DUMMYFUNCTION("""COMPUTED_VALUE"""),1.5507246376811594)</f>
        <v>1.550724638</v>
      </c>
      <c r="W785" s="57">
        <f>IFERROR(__xludf.DUMMYFUNCTION("""COMPUTED_VALUE"""),2.420289855072464)</f>
        <v>2.420289855</v>
      </c>
      <c r="X785" s="31">
        <f>IFERROR(__xludf.DUMMYFUNCTION("""COMPUTED_VALUE"""),350.7685253098938)</f>
        <v>350.7685253</v>
      </c>
      <c r="Y785" s="57">
        <f>IFERROR(__xludf.DUMMYFUNCTION("""COMPUTED_VALUE"""),0.7062418346530267)</f>
        <v>0.7062418347</v>
      </c>
      <c r="Z785" s="57">
        <f>IFERROR(__xludf.DUMMYFUNCTION("""COMPUTED_VALUE"""),0.5562739004174889)</f>
        <v>0.5562739004</v>
      </c>
      <c r="AA785" s="57">
        <f>IFERROR(__xludf.DUMMYFUNCTION("""COMPUTED_VALUE"""),1.4582947053676165)</f>
        <v>1.458294705</v>
      </c>
      <c r="AB785" s="57">
        <f>IFERROR(__xludf.DUMMYFUNCTION("""COMPUTED_VALUE"""),2.421638020693059)</f>
        <v>2.421638021</v>
      </c>
      <c r="AC785" s="31">
        <f>IFERROR(__xludf.DUMMYFUNCTION("""COMPUTED_VALUE"""),349.7220141046302)</f>
        <v>349.7220141</v>
      </c>
      <c r="AD785" s="57">
        <f>IFERROR(__xludf.DUMMYFUNCTION("""COMPUTED_VALUE"""),0.7680500562142802)</f>
        <v>0.7680500562</v>
      </c>
      <c r="AE785" s="57">
        <f>IFERROR(__xludf.DUMMYFUNCTION("""COMPUTED_VALUE"""),0.55749639629651)</f>
        <v>0.5574963963</v>
      </c>
      <c r="AF785" s="57">
        <f>IFERROR(__xludf.DUMMYFUNCTION("""COMPUTED_VALUE"""),1.316154313558636)</f>
        <v>1.316154314</v>
      </c>
      <c r="AG785" s="57">
        <f>IFERROR(__xludf.DUMMYFUNCTION("""COMPUTED_VALUE"""),2.7891398056194627)</f>
        <v>2.789139806</v>
      </c>
      <c r="AH785" s="57">
        <f>IFERROR(__xludf.DUMMYFUNCTION("""COMPUTED_VALUE"""),0.9862491623849262)</f>
        <v>0.9862491624</v>
      </c>
      <c r="AI785" s="57">
        <f>IFERROR(__xludf.DUMMYFUNCTION("""COMPUTED_VALUE"""),1.2453898432676793)</f>
        <v>1.245389843</v>
      </c>
      <c r="AJ785" s="57">
        <f>IFERROR(__xludf.DUMMYFUNCTION("""COMPUTED_VALUE"""),0.6239073279525326)</f>
        <v>0.623907328</v>
      </c>
      <c r="AK785" s="57">
        <f>IFERROR(__xludf.DUMMYFUNCTION("""COMPUTED_VALUE"""),1.0240638753918232)</f>
        <v>1.024063875</v>
      </c>
      <c r="AL785" s="57">
        <f>IFERROR(__xludf.DUMMYFUNCTION("""COMPUTED_VALUE"""),0.9041279054402614)</f>
        <v>0.9041279054</v>
      </c>
      <c r="AM785" s="57">
        <f>IFERROR(__xludf.DUMMYFUNCTION("""COMPUTED_VALUE"""),1.0511907741876267)</f>
        <v>1.051190774</v>
      </c>
      <c r="AN785" s="57">
        <f>IFERROR(__xludf.DUMMYFUNCTION("""COMPUTED_VALUE"""),1.1286522691861982)</f>
        <v>1.128652269</v>
      </c>
      <c r="AO785" s="57">
        <f>IFERROR(__xludf.DUMMYFUNCTION("""COMPUTED_VALUE"""),1.0681840332698866)</f>
        <v>1.068184033</v>
      </c>
      <c r="AP785" s="35">
        <f>IFERROR(__xludf.DUMMYFUNCTION("""COMPUTED_VALUE"""),1.0633822038668395)</f>
        <v>1.063382204</v>
      </c>
      <c r="AQ785" s="57">
        <f>IFERROR(__xludf.DUMMYFUNCTION("""COMPUTED_VALUE"""),0.9994432835919015)</f>
        <v>0.9994432836</v>
      </c>
      <c r="AR785" s="36" t="b">
        <f>IFERROR(__xludf.DUMMYFUNCTION("""COMPUTED_VALUE"""),TRUE)</f>
        <v>1</v>
      </c>
      <c r="AS785" s="57"/>
      <c r="AT785" s="37"/>
      <c r="AU785" s="30"/>
      <c r="AV785" s="30"/>
      <c r="AW785" s="30"/>
      <c r="AX785" s="30"/>
      <c r="AY785" s="30"/>
      <c r="AZ785" s="30"/>
    </row>
    <row r="786">
      <c r="A786" s="30" t="str">
        <f>IFERROR(__xludf.DUMMYFUNCTION("""COMPUTED_VALUE"""),"Veteran")</f>
        <v>Veteran</v>
      </c>
      <c r="B786" s="30" t="str">
        <f>IFERROR(__xludf.DUMMYFUNCTION("""COMPUTED_VALUE"""),"RSC004229")</f>
        <v>RSC004229</v>
      </c>
      <c r="C786" s="30" t="str">
        <f>IFERROR(__xludf.DUMMYFUNCTION("""COMPUTED_VALUE"""),"ImNotDotey")</f>
        <v>ImNotDotey</v>
      </c>
      <c r="D786" s="31"/>
      <c r="E786" s="31">
        <f>IFERROR(__xludf.DUMMYFUNCTION("""COMPUTED_VALUE"""),47.6211196666275)</f>
        <v>47.62111967</v>
      </c>
      <c r="F786" s="31">
        <f>IFERROR(__xludf.DUMMYFUNCTION("""COMPUTED_VALUE"""),-2.164053561147586)</f>
        <v>-2.164053561</v>
      </c>
      <c r="G786" s="31">
        <f>IFERROR(__xludf.DUMMYFUNCTION("""COMPUTED_VALUE"""),39.213377301585)</f>
        <v>39.2133773</v>
      </c>
      <c r="H786" s="31">
        <f>IFERROR(__xludf.DUMMYFUNCTION("""COMPUTED_VALUE"""),-3.0024153084166056)</f>
        <v>-3.002415308</v>
      </c>
      <c r="I786" s="54">
        <f>IFERROR(__xludf.DUMMYFUNCTION("""COMPUTED_VALUE"""),28.0)</f>
        <v>28</v>
      </c>
      <c r="J786" s="55">
        <f>IFERROR(__xludf.DUMMYFUNCTION("""COMPUTED_VALUE"""),11.0)</f>
        <v>11</v>
      </c>
      <c r="K786" s="54">
        <f>IFERROR(__xludf.DUMMYFUNCTION("""COMPUTED_VALUE"""),17.0)</f>
        <v>17</v>
      </c>
      <c r="L786" s="56">
        <f>IFERROR(__xludf.DUMMYFUNCTION("""COMPUTED_VALUE"""),0.39285714285714285)</f>
        <v>0.3928571429</v>
      </c>
      <c r="M786" s="56">
        <f>IFERROR(__xludf.DUMMYFUNCTION("""COMPUTED_VALUE"""),0.3)</f>
        <v>0.3</v>
      </c>
      <c r="N786" s="31">
        <f>IFERROR(__xludf.DUMMYFUNCTION("""COMPUTED_VALUE"""),331.5)</f>
        <v>331.5</v>
      </c>
      <c r="O786" s="57">
        <f>IFERROR(__xludf.DUMMYFUNCTION("""COMPUTED_VALUE"""),0.75)</f>
        <v>0.75</v>
      </c>
      <c r="P786" s="57">
        <f>IFERROR(__xludf.DUMMYFUNCTION("""COMPUTED_VALUE"""),0.6428571428571429)</f>
        <v>0.6428571429</v>
      </c>
      <c r="Q786" s="57">
        <f>IFERROR(__xludf.DUMMYFUNCTION("""COMPUTED_VALUE"""),1.25)</f>
        <v>1.25</v>
      </c>
      <c r="R786" s="57">
        <f>IFERROR(__xludf.DUMMYFUNCTION("""COMPUTED_VALUE"""),2.5)</f>
        <v>2.5</v>
      </c>
      <c r="S786" s="31">
        <f>IFERROR(__xludf.DUMMYFUNCTION("""COMPUTED_VALUE"""),399.9285714285714)</f>
        <v>399.9285714</v>
      </c>
      <c r="T786" s="57">
        <f>IFERROR(__xludf.DUMMYFUNCTION("""COMPUTED_VALUE"""),1.0476190476190477)</f>
        <v>1.047619048</v>
      </c>
      <c r="U786" s="57">
        <f>IFERROR(__xludf.DUMMYFUNCTION("""COMPUTED_VALUE"""),0.7261904761904762)</f>
        <v>0.7261904762</v>
      </c>
      <c r="V786" s="57">
        <f>IFERROR(__xludf.DUMMYFUNCTION("""COMPUTED_VALUE"""),1.4404761904761902)</f>
        <v>1.44047619</v>
      </c>
      <c r="W786" s="57">
        <f>IFERROR(__xludf.DUMMYFUNCTION("""COMPUTED_VALUE"""),2.857142857142857)</f>
        <v>2.857142857</v>
      </c>
      <c r="X786" s="31">
        <f>IFERROR(__xludf.DUMMYFUNCTION("""COMPUTED_VALUE"""),357.59433766174254)</f>
        <v>357.5943377</v>
      </c>
      <c r="Y786" s="57">
        <f>IFERROR(__xludf.DUMMYFUNCTION("""COMPUTED_VALUE"""),0.829423657202491)</f>
        <v>0.8294236572</v>
      </c>
      <c r="Z786" s="57">
        <f>IFERROR(__xludf.DUMMYFUNCTION("""COMPUTED_VALUE"""),0.6122776984539691)</f>
        <v>0.6122776985</v>
      </c>
      <c r="AA786" s="57">
        <f>IFERROR(__xludf.DUMMYFUNCTION("""COMPUTED_VALUE"""),1.2993423274610119)</f>
        <v>1.299342327</v>
      </c>
      <c r="AB786" s="57">
        <f>IFERROR(__xludf.DUMMYFUNCTION("""COMPUTED_VALUE"""),2.717003533652239)</f>
        <v>2.717003534</v>
      </c>
      <c r="AC786" s="31">
        <f>IFERROR(__xludf.DUMMYFUNCTION("""COMPUTED_VALUE"""),357.5315073009332)</f>
        <v>357.5315073</v>
      </c>
      <c r="AD786" s="57">
        <f>IFERROR(__xludf.DUMMYFUNCTION("""COMPUTED_VALUE"""),0.7969339643997101)</f>
        <v>0.7969339644</v>
      </c>
      <c r="AE786" s="57">
        <f>IFERROR(__xludf.DUMMYFUNCTION("""COMPUTED_VALUE"""),0.602087624510337)</f>
        <v>0.6020876245</v>
      </c>
      <c r="AF786" s="57">
        <f>IFERROR(__xludf.DUMMYFUNCTION("""COMPUTED_VALUE"""),1.367614381723593)</f>
        <v>1.367614382</v>
      </c>
      <c r="AG786" s="57">
        <f>IFERROR(__xludf.DUMMYFUNCTION("""COMPUTED_VALUE"""),2.5863148686878987)</f>
        <v>2.586314869</v>
      </c>
      <c r="AH786" s="57">
        <f>IFERROR(__xludf.DUMMYFUNCTION("""COMPUTED_VALUE"""),0.9271910117867667)</f>
        <v>0.9271910118</v>
      </c>
      <c r="AI786" s="57">
        <f>IFERROR(__xludf.DUMMYFUNCTION("""COMPUTED_VALUE"""),0.9411068338202111)</f>
        <v>0.9411068338</v>
      </c>
      <c r="AJ786" s="57">
        <f>IFERROR(__xludf.DUMMYFUNCTION("""COMPUTED_VALUE"""),1.0677135963057913)</f>
        <v>1.067713596</v>
      </c>
      <c r="AK786" s="57">
        <f>IFERROR(__xludf.DUMMYFUNCTION("""COMPUTED_VALUE"""),0.9140003327726309)</f>
        <v>0.9140003328</v>
      </c>
      <c r="AL786" s="57">
        <f>IFERROR(__xludf.DUMMYFUNCTION("""COMPUTED_VALUE"""),0.9666263107663731)</f>
        <v>0.9666263108</v>
      </c>
      <c r="AM786" s="57">
        <f>IFERROR(__xludf.DUMMYFUNCTION("""COMPUTED_VALUE"""),1.1183861971742792)</f>
        <v>1.118386197</v>
      </c>
      <c r="AN786" s="57">
        <f>IFERROR(__xludf.DUMMYFUNCTION("""COMPUTED_VALUE"""),1.263068684527873)</f>
        <v>1.263068685</v>
      </c>
      <c r="AO786" s="57">
        <f>IFERROR(__xludf.DUMMYFUNCTION("""COMPUTED_VALUE"""),1.1860475696308104)</f>
        <v>1.18604757</v>
      </c>
      <c r="AP786" s="35">
        <f>IFERROR(__xludf.DUMMYFUNCTION("""COMPUTED_VALUE"""),1.10861946080904)</f>
        <v>1.108619461</v>
      </c>
      <c r="AQ786" s="57">
        <f>IFERROR(__xludf.DUMMYFUNCTION("""COMPUTED_VALUE"""),1.051578631295426)</f>
        <v>1.051578631</v>
      </c>
      <c r="AR786" s="36" t="b">
        <f>IFERROR(__xludf.DUMMYFUNCTION("""COMPUTED_VALUE"""),TRUE)</f>
        <v>1</v>
      </c>
      <c r="AS786" s="57"/>
      <c r="AT786" s="37"/>
      <c r="AU786" s="30"/>
      <c r="AV786" s="30"/>
      <c r="AW786" s="30"/>
      <c r="AX786" s="30"/>
      <c r="AY786" s="30"/>
      <c r="AZ786" s="30"/>
    </row>
    <row r="787">
      <c r="A787" s="30" t="str">
        <f>IFERROR(__xludf.DUMMYFUNCTION("""COMPUTED_VALUE"""),"Veteran")</f>
        <v>Veteran</v>
      </c>
      <c r="B787" s="30" t="str">
        <f>IFERROR(__xludf.DUMMYFUNCTION("""COMPUTED_VALUE"""),"RSC000601")</f>
        <v>RSC000601</v>
      </c>
      <c r="C787" s="30" t="str">
        <f>IFERROR(__xludf.DUMMYFUNCTION("""COMPUTED_VALUE"""),"Bxffledd")</f>
        <v>Bxffledd</v>
      </c>
      <c r="D787" s="31"/>
      <c r="E787" s="31">
        <f>IFERROR(__xludf.DUMMYFUNCTION("""COMPUTED_VALUE"""),47.34415974769322)</f>
        <v>47.34415975</v>
      </c>
      <c r="F787" s="31">
        <f>IFERROR(__xludf.DUMMYFUNCTION("""COMPUTED_VALUE"""),-2.1848443784096423)</f>
        <v>-2.184844378</v>
      </c>
      <c r="G787" s="31">
        <f>IFERROR(__xludf.DUMMYFUNCTION("""COMPUTED_VALUE"""),41.61323684030001)</f>
        <v>41.61323684</v>
      </c>
      <c r="H787" s="31">
        <f>IFERROR(__xludf.DUMMYFUNCTION("""COMPUTED_VALUE"""),-2.7127097628920445)</f>
        <v>-2.712709763</v>
      </c>
      <c r="I787" s="54">
        <f>IFERROR(__xludf.DUMMYFUNCTION("""COMPUTED_VALUE"""),6.0)</f>
        <v>6</v>
      </c>
      <c r="J787" s="55">
        <f>IFERROR(__xludf.DUMMYFUNCTION("""COMPUTED_VALUE"""),3.0)</f>
        <v>3</v>
      </c>
      <c r="K787" s="54">
        <f>IFERROR(__xludf.DUMMYFUNCTION("""COMPUTED_VALUE"""),3.0)</f>
        <v>3</v>
      </c>
      <c r="L787" s="56">
        <f>IFERROR(__xludf.DUMMYFUNCTION("""COMPUTED_VALUE"""),0.5)</f>
        <v>0.5</v>
      </c>
      <c r="M787" s="56">
        <f>IFERROR(__xludf.DUMMYFUNCTION("""COMPUTED_VALUE"""),0.375)</f>
        <v>0.375</v>
      </c>
      <c r="N787" s="31">
        <f>IFERROR(__xludf.DUMMYFUNCTION("""COMPUTED_VALUE"""),373.0)</f>
        <v>373</v>
      </c>
      <c r="O787" s="57">
        <f>IFERROR(__xludf.DUMMYFUNCTION("""COMPUTED_VALUE"""),1.0)</f>
        <v>1</v>
      </c>
      <c r="P787" s="57">
        <f>IFERROR(__xludf.DUMMYFUNCTION("""COMPUTED_VALUE"""),0.3333333333333333)</f>
        <v>0.3333333333</v>
      </c>
      <c r="Q787" s="57">
        <f>IFERROR(__xludf.DUMMYFUNCTION("""COMPUTED_VALUE"""),1.5)</f>
        <v>1.5</v>
      </c>
      <c r="R787" s="57">
        <f>IFERROR(__xludf.DUMMYFUNCTION("""COMPUTED_VALUE"""),2.6666666666666665)</f>
        <v>2.666666667</v>
      </c>
      <c r="S787" s="31">
        <f>IFERROR(__xludf.DUMMYFUNCTION("""COMPUTED_VALUE"""),378.5)</f>
        <v>378.5</v>
      </c>
      <c r="T787" s="57">
        <f>IFERROR(__xludf.DUMMYFUNCTION("""COMPUTED_VALUE"""),0.9444444444444443)</f>
        <v>0.9444444444</v>
      </c>
      <c r="U787" s="57">
        <f>IFERROR(__xludf.DUMMYFUNCTION("""COMPUTED_VALUE"""),0.7777777777777777)</f>
        <v>0.7777777778</v>
      </c>
      <c r="V787" s="57">
        <f>IFERROR(__xludf.DUMMYFUNCTION("""COMPUTED_VALUE"""),1.1666666666666665)</f>
        <v>1.166666667</v>
      </c>
      <c r="W787" s="57">
        <f>IFERROR(__xludf.DUMMYFUNCTION("""COMPUTED_VALUE"""),2.8888888888888893)</f>
        <v>2.888888889</v>
      </c>
      <c r="X787" s="31">
        <f>IFERROR(__xludf.DUMMYFUNCTION("""COMPUTED_VALUE"""),356.23604269293924)</f>
        <v>356.2360427</v>
      </c>
      <c r="Y787" s="57">
        <f>IFERROR(__xludf.DUMMYFUNCTION("""COMPUTED_VALUE"""),0.801070364288755)</f>
        <v>0.8010703643</v>
      </c>
      <c r="Z787" s="57">
        <f>IFERROR(__xludf.DUMMYFUNCTION("""COMPUTED_VALUE"""),0.5876892902754971)</f>
        <v>0.5876892903</v>
      </c>
      <c r="AA787" s="57">
        <f>IFERROR(__xludf.DUMMYFUNCTION("""COMPUTED_VALUE"""),1.397220701818403)</f>
        <v>1.397220702</v>
      </c>
      <c r="AB787" s="57">
        <f>IFERROR(__xludf.DUMMYFUNCTION("""COMPUTED_VALUE"""),2.6431536216018974)</f>
        <v>2.643153622</v>
      </c>
      <c r="AC787" s="31">
        <f>IFERROR(__xludf.DUMMYFUNCTION("""COMPUTED_VALUE"""),364.686092359464)</f>
        <v>364.6860924</v>
      </c>
      <c r="AD787" s="57">
        <f>IFERROR(__xludf.DUMMYFUNCTION("""COMPUTED_VALUE"""),0.830642218573253)</f>
        <v>0.8306422186</v>
      </c>
      <c r="AE787" s="57">
        <f>IFERROR(__xludf.DUMMYFUNCTION("""COMPUTED_VALUE"""),0.5935099028968761)</f>
        <v>0.5935099029</v>
      </c>
      <c r="AF787" s="57">
        <f>IFERROR(__xludf.DUMMYFUNCTION("""COMPUTED_VALUE"""),1.3393642684830425)</f>
        <v>1.339364268</v>
      </c>
      <c r="AG787" s="57">
        <f>IFERROR(__xludf.DUMMYFUNCTION("""COMPUTED_VALUE"""),2.61498814085021)</f>
        <v>2.614988141</v>
      </c>
      <c r="AH787" s="57">
        <f>IFERROR(__xludf.DUMMYFUNCTION("""COMPUTED_VALUE"""),1.022797435423836)</f>
        <v>1.022797435</v>
      </c>
      <c r="AI787" s="57">
        <f>IFERROR(__xludf.DUMMYFUNCTION("""COMPUTED_VALUE"""),1.2038877601449673)</f>
        <v>1.20388776</v>
      </c>
      <c r="AJ787" s="57">
        <f>IFERROR(__xludf.DUMMYFUNCTION("""COMPUTED_VALUE"""),0.5616306176297295)</f>
        <v>0.5616306176</v>
      </c>
      <c r="AK787" s="57">
        <f>IFERROR(__xludf.DUMMYFUNCTION("""COMPUTED_VALUE"""),1.1199343115961222)</f>
        <v>1.119934312</v>
      </c>
      <c r="AL787" s="57">
        <f>IFERROR(__xludf.DUMMYFUNCTION("""COMPUTED_VALUE"""),1.0197624321920076)</f>
        <v>1.019762432</v>
      </c>
      <c r="AM787" s="57">
        <f>IFERROR(__xludf.DUMMYFUNCTION("""COMPUTED_VALUE"""),1.0624977673195504)</f>
        <v>1.062497767</v>
      </c>
      <c r="AN787" s="57">
        <f>IFERROR(__xludf.DUMMYFUNCTION("""COMPUTED_VALUE"""),1.1789781354388096)</f>
        <v>1.178978135</v>
      </c>
      <c r="AO787" s="57">
        <f>IFERROR(__xludf.DUMMYFUNCTION("""COMPUTED_VALUE"""),1.3234506577670844)</f>
        <v>1.323450658</v>
      </c>
      <c r="AP787" s="35">
        <f>IFERROR(__xludf.DUMMYFUNCTION("""COMPUTED_VALUE"""),0.8349909682474046)</f>
        <v>0.8349909682</v>
      </c>
      <c r="AQ787" s="57">
        <f>IFERROR(__xludf.DUMMYFUNCTION("""COMPUTED_VALUE"""),1.0929704824111066)</f>
        <v>1.092970482</v>
      </c>
      <c r="AR787" s="36" t="b">
        <f>IFERROR(__xludf.DUMMYFUNCTION("""COMPUTED_VALUE"""),TRUE)</f>
        <v>1</v>
      </c>
      <c r="AS787" s="57"/>
      <c r="AT787" s="37"/>
      <c r="AU787" s="30"/>
      <c r="AV787" s="30"/>
      <c r="AW787" s="30"/>
      <c r="AX787" s="30"/>
      <c r="AY787" s="30"/>
      <c r="AZ787" s="30"/>
    </row>
    <row r="788">
      <c r="A788" s="30" t="str">
        <f>IFERROR(__xludf.DUMMYFUNCTION("""COMPUTED_VALUE"""),"Veteran")</f>
        <v>Veteran</v>
      </c>
      <c r="B788" s="30" t="str">
        <f>IFERROR(__xludf.DUMMYFUNCTION("""COMPUTED_VALUE"""),"RSC002209")</f>
        <v>RSC002209</v>
      </c>
      <c r="C788" s="30" t="str">
        <f>IFERROR(__xludf.DUMMYFUNCTION("""COMPUTED_VALUE"""),"Panick")</f>
        <v>Panick</v>
      </c>
      <c r="D788" s="31" t="str">
        <f>IFERROR(__xludf.DUMMYFUNCTION("""COMPUTED_VALUE"""),"Repossessed")</f>
        <v>Repossessed</v>
      </c>
      <c r="E788" s="31">
        <f>IFERROR(__xludf.DUMMYFUNCTION("""COMPUTED_VALUE"""),47.12913954791818)</f>
        <v>47.12913955</v>
      </c>
      <c r="F788" s="31">
        <f>IFERROR(__xludf.DUMMYFUNCTION("""COMPUTED_VALUE"""),-2.201245895050903)</f>
        <v>-2.201245895</v>
      </c>
      <c r="G788" s="31">
        <f>IFERROR(__xludf.DUMMYFUNCTION("""COMPUTED_VALUE"""),40.92266728337092)</f>
        <v>40.92266728</v>
      </c>
      <c r="H788" s="31">
        <f>IFERROR(__xludf.DUMMYFUNCTION("""COMPUTED_VALUE"""),-2.791209765560648)</f>
        <v>-2.791209766</v>
      </c>
      <c r="I788" s="54">
        <f>IFERROR(__xludf.DUMMYFUNCTION("""COMPUTED_VALUE"""),34.0)</f>
        <v>34</v>
      </c>
      <c r="J788" s="55">
        <f>IFERROR(__xludf.DUMMYFUNCTION("""COMPUTED_VALUE"""),18.0)</f>
        <v>18</v>
      </c>
      <c r="K788" s="54">
        <f>IFERROR(__xludf.DUMMYFUNCTION("""COMPUTED_VALUE"""),16.0)</f>
        <v>16</v>
      </c>
      <c r="L788" s="56">
        <f>IFERROR(__xludf.DUMMYFUNCTION("""COMPUTED_VALUE"""),0.5294117647058824)</f>
        <v>0.5294117647</v>
      </c>
      <c r="M788" s="56">
        <f>IFERROR(__xludf.DUMMYFUNCTION("""COMPUTED_VALUE"""),0.2391304347826087)</f>
        <v>0.2391304348</v>
      </c>
      <c r="N788" s="31">
        <f>IFERROR(__xludf.DUMMYFUNCTION("""COMPUTED_VALUE"""),296.97058823529414)</f>
        <v>296.9705882</v>
      </c>
      <c r="O788" s="57">
        <f>IFERROR(__xludf.DUMMYFUNCTION("""COMPUTED_VALUE"""),0.6470588235294118)</f>
        <v>0.6470588235</v>
      </c>
      <c r="P788" s="57">
        <f>IFERROR(__xludf.DUMMYFUNCTION("""COMPUTED_VALUE"""),0.5294117647058824)</f>
        <v>0.5294117647</v>
      </c>
      <c r="Q788" s="57">
        <f>IFERROR(__xludf.DUMMYFUNCTION("""COMPUTED_VALUE"""),0.7647058823529411)</f>
        <v>0.7647058824</v>
      </c>
      <c r="R788" s="57">
        <f>IFERROR(__xludf.DUMMYFUNCTION("""COMPUTED_VALUE"""),2.7058823529411766)</f>
        <v>2.705882353</v>
      </c>
      <c r="S788" s="31">
        <f>IFERROR(__xludf.DUMMYFUNCTION("""COMPUTED_VALUE"""),337.16666666666663)</f>
        <v>337.1666667</v>
      </c>
      <c r="T788" s="57">
        <f>IFERROR(__xludf.DUMMYFUNCTION("""COMPUTED_VALUE"""),0.6568627450980393)</f>
        <v>0.6568627451</v>
      </c>
      <c r="U788" s="57">
        <f>IFERROR(__xludf.DUMMYFUNCTION("""COMPUTED_VALUE"""),0.5)</f>
        <v>0.5</v>
      </c>
      <c r="V788" s="57">
        <f>IFERROR(__xludf.DUMMYFUNCTION("""COMPUTED_VALUE"""),1.4019607843137256)</f>
        <v>1.401960784</v>
      </c>
      <c r="W788" s="57">
        <f>IFERROR(__xludf.DUMMYFUNCTION("""COMPUTED_VALUE"""),2.4607843137254903)</f>
        <v>2.460784314</v>
      </c>
      <c r="X788" s="31">
        <f>IFERROR(__xludf.DUMMYFUNCTION("""COMPUTED_VALUE"""),345.8847776997379)</f>
        <v>345.8847777</v>
      </c>
      <c r="Y788" s="57">
        <f>IFERROR(__xludf.DUMMYFUNCTION("""COMPUTED_VALUE"""),0.7273501054986865)</f>
        <v>0.7273501055</v>
      </c>
      <c r="Z788" s="57">
        <f>IFERROR(__xludf.DUMMYFUNCTION("""COMPUTED_VALUE"""),0.5660961712622389)</f>
        <v>0.5660961713</v>
      </c>
      <c r="AA788" s="57">
        <f>IFERROR(__xludf.DUMMYFUNCTION("""COMPUTED_VALUE"""),1.3516752826237872)</f>
        <v>1.351675283</v>
      </c>
      <c r="AB788" s="57">
        <f>IFERROR(__xludf.DUMMYFUNCTION("""COMPUTED_VALUE"""),2.488863468889857)</f>
        <v>2.488863469</v>
      </c>
      <c r="AC788" s="31">
        <f>IFERROR(__xludf.DUMMYFUNCTION("""COMPUTED_VALUE"""),344.4025997613184)</f>
        <v>344.4025998</v>
      </c>
      <c r="AD788" s="57">
        <f>IFERROR(__xludf.DUMMYFUNCTION("""COMPUTED_VALUE"""),0.7395363581886645)</f>
        <v>0.7395363582</v>
      </c>
      <c r="AE788" s="57">
        <f>IFERROR(__xludf.DUMMYFUNCTION("""COMPUTED_VALUE"""),0.5355129356499807)</f>
        <v>0.5355129356</v>
      </c>
      <c r="AF788" s="57">
        <f>IFERROR(__xludf.DUMMYFUNCTION("""COMPUTED_VALUE"""),1.332971983789264)</f>
        <v>1.332971984</v>
      </c>
      <c r="AG788" s="57">
        <f>IFERROR(__xludf.DUMMYFUNCTION("""COMPUTED_VALUE"""),2.5632120425144094)</f>
        <v>2.563212043</v>
      </c>
      <c r="AH788" s="57">
        <f>IFERROR(__xludf.DUMMYFUNCTION("""COMPUTED_VALUE"""),0.8622774289192471)</f>
        <v>0.8622774289</v>
      </c>
      <c r="AI788" s="57">
        <f>IFERROR(__xludf.DUMMYFUNCTION("""COMPUTED_VALUE"""),0.8749520106276363)</f>
        <v>0.8749520106</v>
      </c>
      <c r="AJ788" s="57">
        <f>IFERROR(__xludf.DUMMYFUNCTION("""COMPUTED_VALUE"""),0.9886068654220406)</f>
        <v>0.9886068654</v>
      </c>
      <c r="AK788" s="57">
        <f>IFERROR(__xludf.DUMMYFUNCTION("""COMPUTED_VALUE"""),0.5736848873440668)</f>
        <v>0.5736848873</v>
      </c>
      <c r="AL788" s="57">
        <f>IFERROR(__xludf.DUMMYFUNCTION("""COMPUTED_VALUE"""),1.0556607522360162)</f>
        <v>1.055660752</v>
      </c>
      <c r="AM788" s="57">
        <f>IFERROR(__xludf.DUMMYFUNCTION("""COMPUTED_VALUE"""),0.9747947536429618)</f>
        <v>0.9747947536</v>
      </c>
      <c r="AN788" s="57">
        <f>IFERROR(__xludf.DUMMYFUNCTION("""COMPUTED_VALUE"""),0.9030901901742083)</f>
        <v>0.9030901902</v>
      </c>
      <c r="AO788" s="57">
        <f>IFERROR(__xludf.DUMMYFUNCTION("""COMPUTED_VALUE"""),0.8832421510379366)</f>
        <v>0.883242151</v>
      </c>
      <c r="AP788" s="35">
        <f>IFERROR(__xludf.DUMMYFUNCTION("""COMPUTED_VALUE"""),1.0372023535063297)</f>
        <v>1.037202354</v>
      </c>
      <c r="AQ788" s="57">
        <f>IFERROR(__xludf.DUMMYFUNCTION("""COMPUTED_VALUE"""),0.9887180813590827)</f>
        <v>0.9887180814</v>
      </c>
      <c r="AR788" s="36" t="b">
        <f>IFERROR(__xludf.DUMMYFUNCTION("""COMPUTED_VALUE"""),TRUE)</f>
        <v>1</v>
      </c>
      <c r="AS788" s="57"/>
      <c r="AT788" s="37"/>
      <c r="AU788" s="30"/>
      <c r="AV788" s="30"/>
      <c r="AW788" s="30"/>
      <c r="AX788" s="30"/>
      <c r="AY788" s="30"/>
      <c r="AZ788" s="30"/>
    </row>
    <row r="789">
      <c r="A789" s="30" t="str">
        <f>IFERROR(__xludf.DUMMYFUNCTION("""COMPUTED_VALUE"""),"Veteran")</f>
        <v>Veteran</v>
      </c>
      <c r="B789" s="30" t="str">
        <f>IFERROR(__xludf.DUMMYFUNCTION("""COMPUTED_VALUE"""),"RSC004332")</f>
        <v>RSC004332</v>
      </c>
      <c r="C789" s="30" t="str">
        <f>IFERROR(__xludf.DUMMYFUNCTION("""COMPUTED_VALUE"""),"FriendBrady")</f>
        <v>FriendBrady</v>
      </c>
      <c r="D789" s="31" t="str">
        <f>IFERROR(__xludf.DUMMYFUNCTION("""COMPUTED_VALUE"""),"Makos")</f>
        <v>Makos</v>
      </c>
      <c r="E789" s="31">
        <f>IFERROR(__xludf.DUMMYFUNCTION("""COMPUTED_VALUE"""),47.05939225240426)</f>
        <v>47.05939225</v>
      </c>
      <c r="F789" s="31">
        <f>IFERROR(__xludf.DUMMYFUNCTION("""COMPUTED_VALUE"""),-2.2066157067298686)</f>
        <v>-2.206615707</v>
      </c>
      <c r="G789" s="31">
        <f>IFERROR(__xludf.DUMMYFUNCTION("""COMPUTED_VALUE"""),16.788314279644844)</f>
        <v>16.78831428</v>
      </c>
      <c r="H789" s="31">
        <f>IFERROR(__xludf.DUMMYFUNCTION("""COMPUTED_VALUE"""),-10.868163179465435)</f>
        <v>-10.86816318</v>
      </c>
      <c r="I789" s="54">
        <f>IFERROR(__xludf.DUMMYFUNCTION("""COMPUTED_VALUE"""),5.0)</f>
        <v>5</v>
      </c>
      <c r="J789" s="55">
        <f>IFERROR(__xludf.DUMMYFUNCTION("""COMPUTED_VALUE"""),3.0)</f>
        <v>3</v>
      </c>
      <c r="K789" s="54">
        <f>IFERROR(__xludf.DUMMYFUNCTION("""COMPUTED_VALUE"""),2.0)</f>
        <v>2</v>
      </c>
      <c r="L789" s="56">
        <f>IFERROR(__xludf.DUMMYFUNCTION("""COMPUTED_VALUE"""),0.6)</f>
        <v>0.6</v>
      </c>
      <c r="M789" s="56">
        <f>IFERROR(__xludf.DUMMYFUNCTION("""COMPUTED_VALUE"""),0.23076923076923075)</f>
        <v>0.2307692308</v>
      </c>
      <c r="N789" s="31">
        <f>IFERROR(__xludf.DUMMYFUNCTION("""COMPUTED_VALUE"""),268.6)</f>
        <v>268.6</v>
      </c>
      <c r="O789" s="57">
        <f>IFERROR(__xludf.DUMMYFUNCTION("""COMPUTED_VALUE"""),0.6)</f>
        <v>0.6</v>
      </c>
      <c r="P789" s="57">
        <f>IFERROR(__xludf.DUMMYFUNCTION("""COMPUTED_VALUE"""),0.8)</f>
        <v>0.8</v>
      </c>
      <c r="Q789" s="57">
        <f>IFERROR(__xludf.DUMMYFUNCTION("""COMPUTED_VALUE"""),0.8)</f>
        <v>0.8</v>
      </c>
      <c r="R789" s="57">
        <f>IFERROR(__xludf.DUMMYFUNCTION("""COMPUTED_VALUE"""),2.6)</f>
        <v>2.6</v>
      </c>
      <c r="S789" s="31">
        <f>IFERROR(__xludf.DUMMYFUNCTION("""COMPUTED_VALUE"""),389.7333333333333)</f>
        <v>389.7333333</v>
      </c>
      <c r="T789" s="57">
        <f>IFERROR(__xludf.DUMMYFUNCTION("""COMPUTED_VALUE"""),0.8666666666666666)</f>
        <v>0.8666666667</v>
      </c>
      <c r="U789" s="57">
        <f>IFERROR(__xludf.DUMMYFUNCTION("""COMPUTED_VALUE"""),0.6000000000000001)</f>
        <v>0.6</v>
      </c>
      <c r="V789" s="57">
        <f>IFERROR(__xludf.DUMMYFUNCTION("""COMPUTED_VALUE"""),1.7333333333333336)</f>
        <v>1.733333333</v>
      </c>
      <c r="W789" s="57">
        <f>IFERROR(__xludf.DUMMYFUNCTION("""COMPUTED_VALUE"""),3.0666666666666664)</f>
        <v>3.066666667</v>
      </c>
      <c r="X789" s="31">
        <f>IFERROR(__xludf.DUMMYFUNCTION("""COMPUTED_VALUE"""),363.1684201680672)</f>
        <v>363.1684202</v>
      </c>
      <c r="Y789" s="57">
        <f>IFERROR(__xludf.DUMMYFUNCTION("""COMPUTED_VALUE"""),0.6750034235916589)</f>
        <v>0.6750034236</v>
      </c>
      <c r="Z789" s="57">
        <f>IFERROR(__xludf.DUMMYFUNCTION("""COMPUTED_VALUE"""),0.8075362589480237)</f>
        <v>0.8075362589</v>
      </c>
      <c r="AA789" s="57">
        <f>IFERROR(__xludf.DUMMYFUNCTION("""COMPUTED_VALUE"""),1.4624774354186119)</f>
        <v>1.462477435</v>
      </c>
      <c r="AB789" s="57">
        <f>IFERROR(__xludf.DUMMYFUNCTION("""COMPUTED_VALUE"""),2.932413320883909)</f>
        <v>2.932413321</v>
      </c>
      <c r="AC789" s="31">
        <f>IFERROR(__xludf.DUMMYFUNCTION("""COMPUTED_VALUE"""),350.47526444651936)</f>
        <v>350.4752644</v>
      </c>
      <c r="AD789" s="57">
        <f>IFERROR(__xludf.DUMMYFUNCTION("""COMPUTED_VALUE"""),0.8376495487083723)</f>
        <v>0.8376495487</v>
      </c>
      <c r="AE789" s="57">
        <f>IFERROR(__xludf.DUMMYFUNCTION("""COMPUTED_VALUE"""),0.5974731818653388)</f>
        <v>0.5974731819</v>
      </c>
      <c r="AF789" s="57">
        <f>IFERROR(__xludf.DUMMYFUNCTION("""COMPUTED_VALUE"""),1.301733789812221)</f>
        <v>1.30173379</v>
      </c>
      <c r="AG789" s="57">
        <f>IFERROR(__xludf.DUMMYFUNCTION("""COMPUTED_VALUE"""),2.7048307915758896)</f>
        <v>2.704830792</v>
      </c>
      <c r="AH789" s="57">
        <f>IFERROR(__xludf.DUMMYFUNCTION("""COMPUTED_VALUE"""),0.76638789451855)</f>
        <v>0.7663878945</v>
      </c>
      <c r="AI789" s="57">
        <f>IFERROR(__xludf.DUMMYFUNCTION("""COMPUTED_VALUE"""),0.7162900056774101)</f>
        <v>0.7162900057</v>
      </c>
      <c r="AJ789" s="57">
        <f>IFERROR(__xludf.DUMMYFUNCTION("""COMPUTED_VALUE"""),1.3389722321968713)</f>
        <v>1.338972232</v>
      </c>
      <c r="AK789" s="57">
        <f>IFERROR(__xludf.DUMMYFUNCTION("""COMPUTED_VALUE"""),0.61456497961492)</f>
        <v>0.6145649796</v>
      </c>
      <c r="AL789" s="57">
        <f>IFERROR(__xludf.DUMMYFUNCTION("""COMPUTED_VALUE"""),0.9612431240052496)</f>
        <v>0.961243124</v>
      </c>
      <c r="AM789" s="57">
        <f>IFERROR(__xludf.DUMMYFUNCTION("""COMPUTED_VALUE"""),1.0731476408465592)</f>
        <v>1.073147641</v>
      </c>
      <c r="AN789" s="57">
        <f>IFERROR(__xludf.DUMMYFUNCTION("""COMPUTED_VALUE"""),1.2839441051353153)</f>
        <v>1.283944105</v>
      </c>
      <c r="AO789" s="57">
        <f>IFERROR(__xludf.DUMMYFUNCTION("""COMPUTED_VALUE"""),0.7430006929739839)</f>
        <v>0.743000693</v>
      </c>
      <c r="AP789" s="35">
        <f>IFERROR(__xludf.DUMMYFUNCTION("""COMPUTED_VALUE"""),1.1852034714212143)</f>
        <v>1.185203471</v>
      </c>
      <c r="AQ789" s="57">
        <f>IFERROR(__xludf.DUMMYFUNCTION("""COMPUTED_VALUE"""),1.0457825453276448)</f>
        <v>1.045782545</v>
      </c>
      <c r="AR789" s="36" t="b">
        <f>IFERROR(__xludf.DUMMYFUNCTION("""COMPUTED_VALUE"""),TRUE)</f>
        <v>1</v>
      </c>
      <c r="AS789" s="57"/>
      <c r="AT789" s="37"/>
      <c r="AU789" s="30"/>
      <c r="AV789" s="30"/>
      <c r="AW789" s="30"/>
      <c r="AX789" s="30"/>
      <c r="AY789" s="30"/>
      <c r="AZ789" s="30"/>
    </row>
    <row r="790">
      <c r="A790" s="30" t="str">
        <f>IFERROR(__xludf.DUMMYFUNCTION("""COMPUTED_VALUE"""),"Veteran")</f>
        <v>Veteran</v>
      </c>
      <c r="B790" s="30" t="str">
        <f>IFERROR(__xludf.DUMMYFUNCTION("""COMPUTED_VALUE"""),"RSC002747")</f>
        <v>RSC002747</v>
      </c>
      <c r="C790" s="30" t="str">
        <f>IFERROR(__xludf.DUMMYFUNCTION("""COMPUTED_VALUE"""),"derrrrrrrrp")</f>
        <v>derrrrrrrrp</v>
      </c>
      <c r="D790" s="31" t="str">
        <f>IFERROR(__xludf.DUMMYFUNCTION("""COMPUTED_VALUE"""),"Folks")</f>
        <v>Folks</v>
      </c>
      <c r="E790" s="31">
        <f>IFERROR(__xludf.DUMMYFUNCTION("""COMPUTED_VALUE"""),47.00484861875626)</f>
        <v>47.00484862</v>
      </c>
      <c r="F790" s="31">
        <f>IFERROR(__xludf.DUMMYFUNCTION("""COMPUTED_VALUE"""),-2.210832052088467)</f>
        <v>-2.210832052</v>
      </c>
      <c r="G790" s="31">
        <f>IFERROR(__xludf.DUMMYFUNCTION("""COMPUTED_VALUE"""),30.39291469580196)</f>
        <v>30.3929147</v>
      </c>
      <c r="H790" s="31">
        <f>IFERROR(__xludf.DUMMYFUNCTION("""COMPUTED_VALUE"""),-4.620283923314434)</f>
        <v>-4.620283923</v>
      </c>
      <c r="I790" s="54">
        <f>IFERROR(__xludf.DUMMYFUNCTION("""COMPUTED_VALUE"""),15.0)</f>
        <v>15</v>
      </c>
      <c r="J790" s="55">
        <f>IFERROR(__xludf.DUMMYFUNCTION("""COMPUTED_VALUE"""),9.0)</f>
        <v>9</v>
      </c>
      <c r="K790" s="54">
        <f>IFERROR(__xludf.DUMMYFUNCTION("""COMPUTED_VALUE"""),6.0)</f>
        <v>6</v>
      </c>
      <c r="L790" s="56">
        <f>IFERROR(__xludf.DUMMYFUNCTION("""COMPUTED_VALUE"""),0.6)</f>
        <v>0.6</v>
      </c>
      <c r="M790" s="56">
        <f>IFERROR(__xludf.DUMMYFUNCTION("""COMPUTED_VALUE"""),0.34210526315789475)</f>
        <v>0.3421052632</v>
      </c>
      <c r="N790" s="31">
        <f>IFERROR(__xludf.DUMMYFUNCTION("""COMPUTED_VALUE"""),314.8)</f>
        <v>314.8</v>
      </c>
      <c r="O790" s="57">
        <f>IFERROR(__xludf.DUMMYFUNCTION("""COMPUTED_VALUE"""),0.8666666666666667)</f>
        <v>0.8666666667</v>
      </c>
      <c r="P790" s="57">
        <f>IFERROR(__xludf.DUMMYFUNCTION("""COMPUTED_VALUE"""),0.3333333333333333)</f>
        <v>0.3333333333</v>
      </c>
      <c r="Q790" s="57">
        <f>IFERROR(__xludf.DUMMYFUNCTION("""COMPUTED_VALUE"""),1.3333333333333333)</f>
        <v>1.333333333</v>
      </c>
      <c r="R790" s="57">
        <f>IFERROR(__xludf.DUMMYFUNCTION("""COMPUTED_VALUE"""),2.533333333333333)</f>
        <v>2.533333333</v>
      </c>
      <c r="S790" s="31">
        <f>IFERROR(__xludf.DUMMYFUNCTION("""COMPUTED_VALUE"""),332.4888888888889)</f>
        <v>332.4888889</v>
      </c>
      <c r="T790" s="57">
        <f>IFERROR(__xludf.DUMMYFUNCTION("""COMPUTED_VALUE"""),0.6222222222222221)</f>
        <v>0.6222222222</v>
      </c>
      <c r="U790" s="57">
        <f>IFERROR(__xludf.DUMMYFUNCTION("""COMPUTED_VALUE"""),0.5555555555555555)</f>
        <v>0.5555555556</v>
      </c>
      <c r="V790" s="57">
        <f>IFERROR(__xludf.DUMMYFUNCTION("""COMPUTED_VALUE"""),1.288888888888889)</f>
        <v>1.288888889</v>
      </c>
      <c r="W790" s="57">
        <f>IFERROR(__xludf.DUMMYFUNCTION("""COMPUTED_VALUE"""),2.7777777777777777)</f>
        <v>2.777777778</v>
      </c>
      <c r="X790" s="31">
        <f>IFERROR(__xludf.DUMMYFUNCTION("""COMPUTED_VALUE"""),370.3202156924529)</f>
        <v>370.3202157</v>
      </c>
      <c r="Y790" s="57">
        <f>IFERROR(__xludf.DUMMYFUNCTION("""COMPUTED_VALUE"""),0.8820358585121393)</f>
        <v>0.8820358585</v>
      </c>
      <c r="Z790" s="57">
        <f>IFERROR(__xludf.DUMMYFUNCTION("""COMPUTED_VALUE"""),0.6226375714149275)</f>
        <v>0.6226375714</v>
      </c>
      <c r="AA790" s="57">
        <f>IFERROR(__xludf.DUMMYFUNCTION("""COMPUTED_VALUE"""),1.3786360315838497)</f>
        <v>1.378636032</v>
      </c>
      <c r="AB790" s="57">
        <f>IFERROR(__xludf.DUMMYFUNCTION("""COMPUTED_VALUE"""),2.819243938499947)</f>
        <v>2.819243938</v>
      </c>
      <c r="AC790" s="31">
        <f>IFERROR(__xludf.DUMMYFUNCTION("""COMPUTED_VALUE"""),360.2946098174281)</f>
        <v>360.2946098</v>
      </c>
      <c r="AD790" s="57">
        <f>IFERROR(__xludf.DUMMYFUNCTION("""COMPUTED_VALUE"""),0.8127038307465252)</f>
        <v>0.8127038307</v>
      </c>
      <c r="AE790" s="57">
        <f>IFERROR(__xludf.DUMMYFUNCTION("""COMPUTED_VALUE"""),0.5649404240389904)</f>
        <v>0.564940424</v>
      </c>
      <c r="AF790" s="57">
        <f>IFERROR(__xludf.DUMMYFUNCTION("""COMPUTED_VALUE"""),1.419155412243015)</f>
        <v>1.419155412</v>
      </c>
      <c r="AG790" s="57">
        <f>IFERROR(__xludf.DUMMYFUNCTION("""COMPUTED_VALUE"""),2.6791836139473717)</f>
        <v>2.679183614</v>
      </c>
      <c r="AH790" s="57">
        <f>IFERROR(__xludf.DUMMYFUNCTION("""COMPUTED_VALUE"""),0.8737294187096455)</f>
        <v>0.8737294187</v>
      </c>
      <c r="AI790" s="57">
        <f>IFERROR(__xludf.DUMMYFUNCTION("""COMPUTED_VALUE"""),1.0663991405953788)</f>
        <v>1.066399141</v>
      </c>
      <c r="AJ790" s="57">
        <f>IFERROR(__xludf.DUMMYFUNCTION("""COMPUTED_VALUE"""),0.5900327169902215)</f>
        <v>0.590032717</v>
      </c>
      <c r="AK790" s="57">
        <f>IFERROR(__xludf.DUMMYFUNCTION("""COMPUTED_VALUE"""),0.9395259474971542)</f>
        <v>0.9395259475</v>
      </c>
      <c r="AL790" s="57">
        <f>IFERROR(__xludf.DUMMYFUNCTION("""COMPUTED_VALUE"""),0.9455616704078187)</f>
        <v>0.9455616704</v>
      </c>
      <c r="AM790" s="57">
        <f>IFERROR(__xludf.DUMMYFUNCTION("""COMPUTED_VALUE"""),0.8978415835797025)</f>
        <v>0.8978415836</v>
      </c>
      <c r="AN790" s="57">
        <f>IFERROR(__xludf.DUMMYFUNCTION("""COMPUTED_VALUE"""),0.7054386918824554)</f>
        <v>0.7054386919</v>
      </c>
      <c r="AO790" s="57">
        <f>IFERROR(__xludf.DUMMYFUNCTION("""COMPUTED_VALUE"""),0.8922615355399612)</f>
        <v>0.8922615355</v>
      </c>
      <c r="AP790" s="35">
        <f>IFERROR(__xludf.DUMMYFUNCTION("""COMPUTED_VALUE"""),0.9349014963783773)</f>
        <v>0.9349014964</v>
      </c>
      <c r="AQ790" s="57">
        <f>IFERROR(__xludf.DUMMYFUNCTION("""COMPUTED_VALUE"""),0.9852917443021152)</f>
        <v>0.9852917443</v>
      </c>
      <c r="AR790" s="36" t="b">
        <f>IFERROR(__xludf.DUMMYFUNCTION("""COMPUTED_VALUE"""),TRUE)</f>
        <v>1</v>
      </c>
      <c r="AS790" s="57"/>
      <c r="AT790" s="37"/>
      <c r="AU790" s="30"/>
      <c r="AV790" s="30"/>
      <c r="AW790" s="30"/>
      <c r="AX790" s="30"/>
      <c r="AY790" s="30"/>
      <c r="AZ790" s="30"/>
    </row>
    <row r="791">
      <c r="A791" s="30" t="str">
        <f>IFERROR(__xludf.DUMMYFUNCTION("""COMPUTED_VALUE"""),"Veteran")</f>
        <v>Veteran</v>
      </c>
      <c r="B791" s="30" t="str">
        <f>IFERROR(__xludf.DUMMYFUNCTION("""COMPUTED_VALUE"""),"RSC005505")</f>
        <v>RSC005505</v>
      </c>
      <c r="C791" s="30" t="str">
        <f>IFERROR(__xludf.DUMMYFUNCTION("""COMPUTED_VALUE"""),"The_Wheelman_95")</f>
        <v>The_Wheelman_95</v>
      </c>
      <c r="D791" s="31" t="str">
        <f>IFERROR(__xludf.DUMMYFUNCTION("""COMPUTED_VALUE"""),"Penguins")</f>
        <v>Penguins</v>
      </c>
      <c r="E791" s="31">
        <f>IFERROR(__xludf.DUMMYFUNCTION("""COMPUTED_VALUE"""),46.75055118183011)</f>
        <v>46.75055118</v>
      </c>
      <c r="F791" s="31">
        <f>IFERROR(__xludf.DUMMYFUNCTION("""COMPUTED_VALUE"""),-2.2306892497157698)</f>
        <v>-2.23068925</v>
      </c>
      <c r="G791" s="31">
        <f>IFERROR(__xludf.DUMMYFUNCTION("""COMPUTED_VALUE"""),35.30621804060773)</f>
        <v>35.30621804</v>
      </c>
      <c r="H791" s="31">
        <f>IFERROR(__xludf.DUMMYFUNCTION("""COMPUTED_VALUE"""),-3.5926040783655706)</f>
        <v>-3.592604078</v>
      </c>
      <c r="I791" s="54">
        <f>IFERROR(__xludf.DUMMYFUNCTION("""COMPUTED_VALUE"""),17.0)</f>
        <v>17</v>
      </c>
      <c r="J791" s="55">
        <f>IFERROR(__xludf.DUMMYFUNCTION("""COMPUTED_VALUE"""),10.0)</f>
        <v>10</v>
      </c>
      <c r="K791" s="54">
        <f>IFERROR(__xludf.DUMMYFUNCTION("""COMPUTED_VALUE"""),7.0)</f>
        <v>7</v>
      </c>
      <c r="L791" s="56">
        <f>IFERROR(__xludf.DUMMYFUNCTION("""COMPUTED_VALUE"""),0.5882352941176471)</f>
        <v>0.5882352941</v>
      </c>
      <c r="M791" s="56">
        <f>IFERROR(__xludf.DUMMYFUNCTION("""COMPUTED_VALUE"""),0.31428571428571433)</f>
        <v>0.3142857143</v>
      </c>
      <c r="N791" s="31">
        <f>IFERROR(__xludf.DUMMYFUNCTION("""COMPUTED_VALUE"""),329.6470588235294)</f>
        <v>329.6470588</v>
      </c>
      <c r="O791" s="57">
        <f>IFERROR(__xludf.DUMMYFUNCTION("""COMPUTED_VALUE"""),0.6470588235294118)</f>
        <v>0.6470588235</v>
      </c>
      <c r="P791" s="57">
        <f>IFERROR(__xludf.DUMMYFUNCTION("""COMPUTED_VALUE"""),0.5294117647058824)</f>
        <v>0.5294117647</v>
      </c>
      <c r="Q791" s="57">
        <f>IFERROR(__xludf.DUMMYFUNCTION("""COMPUTED_VALUE"""),1.4705882352941178)</f>
        <v>1.470588235</v>
      </c>
      <c r="R791" s="57">
        <f>IFERROR(__xludf.DUMMYFUNCTION("""COMPUTED_VALUE"""),2.0588235294117645)</f>
        <v>2.058823529</v>
      </c>
      <c r="S791" s="31">
        <f>IFERROR(__xludf.DUMMYFUNCTION("""COMPUTED_VALUE"""),344.9019607843137)</f>
        <v>344.9019608</v>
      </c>
      <c r="T791" s="57">
        <f>IFERROR(__xludf.DUMMYFUNCTION("""COMPUTED_VALUE"""),0.6470588235294119)</f>
        <v>0.6470588235</v>
      </c>
      <c r="U791" s="57">
        <f>IFERROR(__xludf.DUMMYFUNCTION("""COMPUTED_VALUE"""),0.4705882352941176)</f>
        <v>0.4705882353</v>
      </c>
      <c r="V791" s="57">
        <f>IFERROR(__xludf.DUMMYFUNCTION("""COMPUTED_VALUE"""),1.5490196078431373)</f>
        <v>1.549019608</v>
      </c>
      <c r="W791" s="57">
        <f>IFERROR(__xludf.DUMMYFUNCTION("""COMPUTED_VALUE"""),2.3529411764705883)</f>
        <v>2.352941176</v>
      </c>
      <c r="X791" s="31">
        <f>IFERROR(__xludf.DUMMYFUNCTION("""COMPUTED_VALUE"""),349.58783914875096)</f>
        <v>349.5878391</v>
      </c>
      <c r="Y791" s="57">
        <f>IFERROR(__xludf.DUMMYFUNCTION("""COMPUTED_VALUE"""),0.7948603486561583)</f>
        <v>0.7948603487</v>
      </c>
      <c r="Z791" s="57">
        <f>IFERROR(__xludf.DUMMYFUNCTION("""COMPUTED_VALUE"""),0.5687404054673383)</f>
        <v>0.5687404055</v>
      </c>
      <c r="AA791" s="57">
        <f>IFERROR(__xludf.DUMMYFUNCTION("""COMPUTED_VALUE"""),1.3303838675511293)</f>
        <v>1.330383868</v>
      </c>
      <c r="AB791" s="57">
        <f>IFERROR(__xludf.DUMMYFUNCTION("""COMPUTED_VALUE"""),2.6183055774661135)</f>
        <v>2.618305577</v>
      </c>
      <c r="AC791" s="31">
        <f>IFERROR(__xludf.DUMMYFUNCTION("""COMPUTED_VALUE"""),347.6047989453246)</f>
        <v>347.6047989</v>
      </c>
      <c r="AD791" s="57">
        <f>IFERROR(__xludf.DUMMYFUNCTION("""COMPUTED_VALUE"""),0.7625575903554238)</f>
        <v>0.7625575904</v>
      </c>
      <c r="AE791" s="57">
        <f>IFERROR(__xludf.DUMMYFUNCTION("""COMPUTED_VALUE"""),0.5315120126556031)</f>
        <v>0.5315120127</v>
      </c>
      <c r="AF791" s="57">
        <f>IFERROR(__xludf.DUMMYFUNCTION("""COMPUTED_VALUE"""),1.3663864566849997)</f>
        <v>1.366386457</v>
      </c>
      <c r="AG791" s="57">
        <f>IFERROR(__xludf.DUMMYFUNCTION("""COMPUTED_VALUE"""),2.5259397068871876)</f>
        <v>2.525939707</v>
      </c>
      <c r="AH791" s="57">
        <f>IFERROR(__xludf.DUMMYFUNCTION("""COMPUTED_VALUE"""),0.9483386300296164)</f>
        <v>0.94833863</v>
      </c>
      <c r="AI791" s="57">
        <f>IFERROR(__xludf.DUMMYFUNCTION("""COMPUTED_VALUE"""),0.8485376471406196)</f>
        <v>0.8485376471</v>
      </c>
      <c r="AJ791" s="57">
        <f>IFERROR(__xludf.DUMMYFUNCTION("""COMPUTED_VALUE"""),0.9960485409554015)</f>
        <v>0.996048541</v>
      </c>
      <c r="AK791" s="57">
        <f>IFERROR(__xludf.DUMMYFUNCTION("""COMPUTED_VALUE"""),1.0762608397494826)</f>
        <v>1.07626084</v>
      </c>
      <c r="AL791" s="57">
        <f>IFERROR(__xludf.DUMMYFUNCTION("""COMPUTED_VALUE"""),0.8150723169671107)</f>
        <v>0.815072317</v>
      </c>
      <c r="AM791" s="57">
        <f>IFERROR(__xludf.DUMMYFUNCTION("""COMPUTED_VALUE"""),0.986595991508608)</f>
        <v>0.9865959915</v>
      </c>
      <c r="AN791" s="57">
        <f>IFERROR(__xludf.DUMMYFUNCTION("""COMPUTED_VALUE"""),0.8140534681637736)</f>
        <v>0.8140534682</v>
      </c>
      <c r="AO791" s="57">
        <f>IFERROR(__xludf.DUMMYFUNCTION("""COMPUTED_VALUE"""),0.8274218444308202)</f>
        <v>0.8274218444</v>
      </c>
      <c r="AP791" s="35">
        <f>IFERROR(__xludf.DUMMYFUNCTION("""COMPUTED_VALUE"""),1.1643403423813732)</f>
        <v>1.164340342</v>
      </c>
      <c r="AQ791" s="57">
        <f>IFERROR(__xludf.DUMMYFUNCTION("""COMPUTED_VALUE"""),0.8986503320012275)</f>
        <v>0.898650332</v>
      </c>
      <c r="AR791" s="36" t="b">
        <f>IFERROR(__xludf.DUMMYFUNCTION("""COMPUTED_VALUE"""),TRUE)</f>
        <v>1</v>
      </c>
      <c r="AS791" s="57"/>
      <c r="AT791" s="37"/>
      <c r="AU791" s="30"/>
      <c r="AV791" s="30"/>
      <c r="AW791" s="30"/>
      <c r="AX791" s="30"/>
      <c r="AY791" s="30"/>
      <c r="AZ791" s="30"/>
    </row>
    <row r="792">
      <c r="A792" s="30" t="str">
        <f>IFERROR(__xludf.DUMMYFUNCTION("""COMPUTED_VALUE"""),"Veteran")</f>
        <v>Veteran</v>
      </c>
      <c r="B792" s="30" t="str">
        <f>IFERROR(__xludf.DUMMYFUNCTION("""COMPUTED_VALUE"""),"RSC003904")</f>
        <v>RSC003904</v>
      </c>
      <c r="C792" s="30" t="str">
        <f>IFERROR(__xludf.DUMMYFUNCTION("""COMPUTED_VALUE"""),"Tyyphoon454")</f>
        <v>Tyyphoon454</v>
      </c>
      <c r="D792" s="31" t="str">
        <f>IFERROR(__xludf.DUMMYFUNCTION("""COMPUTED_VALUE"""),"Giraffes")</f>
        <v>Giraffes</v>
      </c>
      <c r="E792" s="31">
        <f>IFERROR(__xludf.DUMMYFUNCTION("""COMPUTED_VALUE"""),46.396616930417494)</f>
        <v>46.39661693</v>
      </c>
      <c r="F792" s="31">
        <f>IFERROR(__xludf.DUMMYFUNCTION("""COMPUTED_VALUE"""),-2.258882345677642)</f>
        <v>-2.258882346</v>
      </c>
      <c r="G792" s="31">
        <f>IFERROR(__xludf.DUMMYFUNCTION("""COMPUTED_VALUE"""),48.673190290620475)</f>
        <v>48.67319029</v>
      </c>
      <c r="H792" s="31">
        <f>IFERROR(__xludf.DUMMYFUNCTION("""COMPUTED_VALUE"""),-2.0883928319114746)</f>
        <v>-2.088392832</v>
      </c>
      <c r="I792" s="54">
        <f>IFERROR(__xludf.DUMMYFUNCTION("""COMPUTED_VALUE"""),26.0)</f>
        <v>26</v>
      </c>
      <c r="J792" s="55">
        <f>IFERROR(__xludf.DUMMYFUNCTION("""COMPUTED_VALUE"""),15.0)</f>
        <v>15</v>
      </c>
      <c r="K792" s="54">
        <f>IFERROR(__xludf.DUMMYFUNCTION("""COMPUTED_VALUE"""),11.0)</f>
        <v>11</v>
      </c>
      <c r="L792" s="56">
        <f>IFERROR(__xludf.DUMMYFUNCTION("""COMPUTED_VALUE"""),0.5769230769230769)</f>
        <v>0.5769230769</v>
      </c>
      <c r="M792" s="56">
        <f>IFERROR(__xludf.DUMMYFUNCTION("""COMPUTED_VALUE"""),0.2727272727272727)</f>
        <v>0.2727272727</v>
      </c>
      <c r="N792" s="31">
        <f>IFERROR(__xludf.DUMMYFUNCTION("""COMPUTED_VALUE"""),346.3076923076923)</f>
        <v>346.3076923</v>
      </c>
      <c r="O792" s="57">
        <f>IFERROR(__xludf.DUMMYFUNCTION("""COMPUTED_VALUE"""),0.8076923076923077)</f>
        <v>0.8076923077</v>
      </c>
      <c r="P792" s="57">
        <f>IFERROR(__xludf.DUMMYFUNCTION("""COMPUTED_VALUE"""),0.34615384615384615)</f>
        <v>0.3461538462</v>
      </c>
      <c r="Q792" s="57">
        <f>IFERROR(__xludf.DUMMYFUNCTION("""COMPUTED_VALUE"""),1.5769230769230769)</f>
        <v>1.576923077</v>
      </c>
      <c r="R792" s="57">
        <f>IFERROR(__xludf.DUMMYFUNCTION("""COMPUTED_VALUE"""),2.9615384615384617)</f>
        <v>2.961538462</v>
      </c>
      <c r="S792" s="31">
        <f>IFERROR(__xludf.DUMMYFUNCTION("""COMPUTED_VALUE"""),337.29487179487177)</f>
        <v>337.2948718</v>
      </c>
      <c r="T792" s="57">
        <f>IFERROR(__xludf.DUMMYFUNCTION("""COMPUTED_VALUE"""),0.7435897435897435)</f>
        <v>0.7435897436</v>
      </c>
      <c r="U792" s="57">
        <f>IFERROR(__xludf.DUMMYFUNCTION("""COMPUTED_VALUE"""),0.5000000000000001)</f>
        <v>0.5</v>
      </c>
      <c r="V792" s="57">
        <f>IFERROR(__xludf.DUMMYFUNCTION("""COMPUTED_VALUE"""),1.3461538461538458)</f>
        <v>1.346153846</v>
      </c>
      <c r="W792" s="57">
        <f>IFERROR(__xludf.DUMMYFUNCTION("""COMPUTED_VALUE"""),2.5)</f>
        <v>2.5</v>
      </c>
      <c r="X792" s="31">
        <f>IFERROR(__xludf.DUMMYFUNCTION("""COMPUTED_VALUE"""),345.5943986758732)</f>
        <v>345.5943987</v>
      </c>
      <c r="Y792" s="57">
        <f>IFERROR(__xludf.DUMMYFUNCTION("""COMPUTED_VALUE"""),0.7594743349932122)</f>
        <v>0.759474335</v>
      </c>
      <c r="Z792" s="57">
        <f>IFERROR(__xludf.DUMMYFUNCTION("""COMPUTED_VALUE"""),0.5300206894314725)</f>
        <v>0.5300206894</v>
      </c>
      <c r="AA792" s="57">
        <f>IFERROR(__xludf.DUMMYFUNCTION("""COMPUTED_VALUE"""),1.3657539069362663)</f>
        <v>1.365753907</v>
      </c>
      <c r="AB792" s="57">
        <f>IFERROR(__xludf.DUMMYFUNCTION("""COMPUTED_VALUE"""),2.5637626473252655)</f>
        <v>2.563762647</v>
      </c>
      <c r="AC792" s="31">
        <f>IFERROR(__xludf.DUMMYFUNCTION("""COMPUTED_VALUE"""),359.3938103055602)</f>
        <v>359.3938103</v>
      </c>
      <c r="AD792" s="57">
        <f>IFERROR(__xludf.DUMMYFUNCTION("""COMPUTED_VALUE"""),0.8253672177572375)</f>
        <v>0.8253672178</v>
      </c>
      <c r="AE792" s="57">
        <f>IFERROR(__xludf.DUMMYFUNCTION("""COMPUTED_VALUE"""),0.6071544168944877)</f>
        <v>0.6071544169</v>
      </c>
      <c r="AF792" s="57">
        <f>IFERROR(__xludf.DUMMYFUNCTION("""COMPUTED_VALUE"""),1.3646505963777877)</f>
        <v>1.364650596</v>
      </c>
      <c r="AG792" s="57">
        <f>IFERROR(__xludf.DUMMYFUNCTION("""COMPUTED_VALUE"""),2.666270821509758)</f>
        <v>2.666270822</v>
      </c>
      <c r="AH792" s="57">
        <f>IFERROR(__xludf.DUMMYFUNCTION("""COMPUTED_VALUE"""),0.9635883601146555)</f>
        <v>0.9635883601</v>
      </c>
      <c r="AI792" s="57">
        <f>IFERROR(__xludf.DUMMYFUNCTION("""COMPUTED_VALUE"""),0.9785853984933425)</f>
        <v>0.9785853985</v>
      </c>
      <c r="AJ792" s="57">
        <f>IFERROR(__xludf.DUMMYFUNCTION("""COMPUTED_VALUE"""),0.5701248916616237)</f>
        <v>0.5701248917</v>
      </c>
      <c r="AK792" s="57">
        <f>IFERROR(__xludf.DUMMYFUNCTION("""COMPUTED_VALUE"""),1.1555507916156174)</f>
        <v>1.155550792</v>
      </c>
      <c r="AL792" s="57">
        <f>IFERROR(__xludf.DUMMYFUNCTION("""COMPUTED_VALUE"""),1.110741803738268)</f>
        <v>1.110741804</v>
      </c>
      <c r="AM792" s="57">
        <f>IFERROR(__xludf.DUMMYFUNCTION("""COMPUTED_VALUE"""),0.9759847760472952)</f>
        <v>0.975984776</v>
      </c>
      <c r="AN792" s="57">
        <f>IFERROR(__xludf.DUMMYFUNCTION("""COMPUTED_VALUE"""),0.9790847555057793)</f>
        <v>0.9790847555</v>
      </c>
      <c r="AO792" s="57">
        <f>IFERROR(__xludf.DUMMYFUNCTION("""COMPUTED_VALUE"""),0.9433594008119303)</f>
        <v>0.9433594008</v>
      </c>
      <c r="AP792" s="35">
        <f>IFERROR(__xludf.DUMMYFUNCTION("""COMPUTED_VALUE"""),0.9856489074035392)</f>
        <v>0.9856489074</v>
      </c>
      <c r="AQ792" s="57">
        <f>IFERROR(__xludf.DUMMYFUNCTION("""COMPUTED_VALUE"""),0.9751292704916392)</f>
        <v>0.9751292705</v>
      </c>
      <c r="AR792" s="36" t="b">
        <f>IFERROR(__xludf.DUMMYFUNCTION("""COMPUTED_VALUE"""),TRUE)</f>
        <v>1</v>
      </c>
      <c r="AS792" s="57"/>
      <c r="AT792" s="37"/>
      <c r="AU792" s="30"/>
      <c r="AV792" s="30"/>
      <c r="AW792" s="30"/>
      <c r="AX792" s="30"/>
      <c r="AY792" s="30"/>
      <c r="AZ792" s="30"/>
    </row>
    <row r="793">
      <c r="A793" s="30" t="str">
        <f>IFERROR(__xludf.DUMMYFUNCTION("""COMPUTED_VALUE"""),"Veteran")</f>
        <v>Veteran</v>
      </c>
      <c r="B793" s="30" t="str">
        <f>IFERROR(__xludf.DUMMYFUNCTION("""COMPUTED_VALUE"""),"RSC000698")</f>
        <v>RSC000698</v>
      </c>
      <c r="C793" s="30" t="str">
        <f>IFERROR(__xludf.DUMMYFUNCTION("""COMPUTED_VALUE"""),"Inedibledeer")</f>
        <v>Inedibledeer</v>
      </c>
      <c r="D793" s="31" t="str">
        <f>IFERROR(__xludf.DUMMYFUNCTION("""COMPUTED_VALUE"""),"Werewolves")</f>
        <v>Werewolves</v>
      </c>
      <c r="E793" s="31">
        <f>IFERROR(__xludf.DUMMYFUNCTION("""COMPUTED_VALUE"""),44.91803310969864)</f>
        <v>44.91803311</v>
      </c>
      <c r="F793" s="31">
        <f>IFERROR(__xludf.DUMMYFUNCTION("""COMPUTED_VALUE"""),-2.384025440941965)</f>
        <v>-2.384025441</v>
      </c>
      <c r="G793" s="31">
        <f>IFERROR(__xludf.DUMMYFUNCTION("""COMPUTED_VALUE"""),36.57088509890025)</f>
        <v>36.5708851</v>
      </c>
      <c r="H793" s="31">
        <f>IFERROR(__xludf.DUMMYFUNCTION("""COMPUTED_VALUE"""),-3.3832136067157)</f>
        <v>-3.383213607</v>
      </c>
      <c r="I793" s="54">
        <f>IFERROR(__xludf.DUMMYFUNCTION("""COMPUTED_VALUE"""),10.0)</f>
        <v>10</v>
      </c>
      <c r="J793" s="55">
        <f>IFERROR(__xludf.DUMMYFUNCTION("""COMPUTED_VALUE"""),6.0)</f>
        <v>6</v>
      </c>
      <c r="K793" s="54">
        <f>IFERROR(__xludf.DUMMYFUNCTION("""COMPUTED_VALUE"""),4.0)</f>
        <v>4</v>
      </c>
      <c r="L793" s="56">
        <f>IFERROR(__xludf.DUMMYFUNCTION("""COMPUTED_VALUE"""),0.6)</f>
        <v>0.6</v>
      </c>
      <c r="M793" s="56">
        <f>IFERROR(__xludf.DUMMYFUNCTION("""COMPUTED_VALUE"""),0.27586206896551724)</f>
        <v>0.275862069</v>
      </c>
      <c r="N793" s="31">
        <f>IFERROR(__xludf.DUMMYFUNCTION("""COMPUTED_VALUE"""),327.4)</f>
        <v>327.4</v>
      </c>
      <c r="O793" s="57">
        <f>IFERROR(__xludf.DUMMYFUNCTION("""COMPUTED_VALUE"""),0.8)</f>
        <v>0.8</v>
      </c>
      <c r="P793" s="57">
        <f>IFERROR(__xludf.DUMMYFUNCTION("""COMPUTED_VALUE"""),0.4)</f>
        <v>0.4</v>
      </c>
      <c r="Q793" s="57">
        <f>IFERROR(__xludf.DUMMYFUNCTION("""COMPUTED_VALUE"""),1.0)</f>
        <v>1</v>
      </c>
      <c r="R793" s="57">
        <f>IFERROR(__xludf.DUMMYFUNCTION("""COMPUTED_VALUE"""),2.9)</f>
        <v>2.9</v>
      </c>
      <c r="S793" s="31">
        <f>IFERROR(__xludf.DUMMYFUNCTION("""COMPUTED_VALUE"""),376.3333333333333)</f>
        <v>376.3333333</v>
      </c>
      <c r="T793" s="57">
        <f>IFERROR(__xludf.DUMMYFUNCTION("""COMPUTED_VALUE"""),0.9333333333333332)</f>
        <v>0.9333333333</v>
      </c>
      <c r="U793" s="57">
        <f>IFERROR(__xludf.DUMMYFUNCTION("""COMPUTED_VALUE"""),0.5666666666666667)</f>
        <v>0.5666666667</v>
      </c>
      <c r="V793" s="57">
        <f>IFERROR(__xludf.DUMMYFUNCTION("""COMPUTED_VALUE"""),1.5)</f>
        <v>1.5</v>
      </c>
      <c r="W793" s="57">
        <f>IFERROR(__xludf.DUMMYFUNCTION("""COMPUTED_VALUE"""),2.766666666666666)</f>
        <v>2.766666667</v>
      </c>
      <c r="X793" s="31">
        <f>IFERROR(__xludf.DUMMYFUNCTION("""COMPUTED_VALUE"""),360.212393495559)</f>
        <v>360.2123935</v>
      </c>
      <c r="Y793" s="57">
        <f>IFERROR(__xludf.DUMMYFUNCTION("""COMPUTED_VALUE"""),0.8284809717276767)</f>
        <v>0.8284809717</v>
      </c>
      <c r="Z793" s="57">
        <f>IFERROR(__xludf.DUMMYFUNCTION("""COMPUTED_VALUE"""),0.5797259642084212)</f>
        <v>0.5797259642</v>
      </c>
      <c r="AA793" s="57">
        <f>IFERROR(__xludf.DUMMYFUNCTION("""COMPUTED_VALUE"""),1.3637883345704087)</f>
        <v>1.363788335</v>
      </c>
      <c r="AB793" s="57">
        <f>IFERROR(__xludf.DUMMYFUNCTION("""COMPUTED_VALUE"""),2.6547394618394278)</f>
        <v>2.654739462</v>
      </c>
      <c r="AC793" s="31">
        <f>IFERROR(__xludf.DUMMYFUNCTION("""COMPUTED_VALUE"""),354.97160683937335)</f>
        <v>354.9716068</v>
      </c>
      <c r="AD793" s="57">
        <f>IFERROR(__xludf.DUMMYFUNCTION("""COMPUTED_VALUE"""),0.7948667178688081)</f>
        <v>0.7948667179</v>
      </c>
      <c r="AE793" s="57">
        <f>IFERROR(__xludf.DUMMYFUNCTION("""COMPUTED_VALUE"""),0.582976376496612)</f>
        <v>0.5829763765</v>
      </c>
      <c r="AF793" s="57">
        <f>IFERROR(__xludf.DUMMYFUNCTION("""COMPUTED_VALUE"""),1.3251528825015852)</f>
        <v>1.325152883</v>
      </c>
      <c r="AG793" s="57">
        <f>IFERROR(__xludf.DUMMYFUNCTION("""COMPUTED_VALUE"""),2.6201982836820483)</f>
        <v>2.620198284</v>
      </c>
      <c r="AH793" s="57">
        <f>IFERROR(__xludf.DUMMYFUNCTION("""COMPUTED_VALUE"""),0.9223272895405134)</f>
        <v>0.9223272895</v>
      </c>
      <c r="AI793" s="57">
        <f>IFERROR(__xludf.DUMMYFUNCTION("""COMPUTED_VALUE"""),1.006458041349316)</f>
        <v>1.006458041</v>
      </c>
      <c r="AJ793" s="57">
        <f>IFERROR(__xludf.DUMMYFUNCTION("""COMPUTED_VALUE"""),0.6861341490435584)</f>
        <v>0.686134149</v>
      </c>
      <c r="AK793" s="57">
        <f>IFERROR(__xludf.DUMMYFUNCTION("""COMPUTED_VALUE"""),0.7546299096540687)</f>
        <v>0.7546299097</v>
      </c>
      <c r="AL793" s="57">
        <f>IFERROR(__xludf.DUMMYFUNCTION("""COMPUTED_VALUE"""),1.1067864665283111)</f>
        <v>1.106786467</v>
      </c>
      <c r="AM793" s="57">
        <f>IFERROR(__xludf.DUMMYFUNCTION("""COMPUTED_VALUE"""),1.0447539843960785)</f>
        <v>1.044753984</v>
      </c>
      <c r="AN793" s="57">
        <f>IFERROR(__xludf.DUMMYFUNCTION("""COMPUTED_VALUE"""),1.1265597704519419)</f>
        <v>1.12655977</v>
      </c>
      <c r="AO793" s="57">
        <f>IFERROR(__xludf.DUMMYFUNCTION("""COMPUTED_VALUE"""),0.9774733264541875)</f>
        <v>0.9774733265</v>
      </c>
      <c r="AP793" s="35">
        <f>IFERROR(__xludf.DUMMYFUNCTION("""COMPUTED_VALUE"""),1.0998774237737543)</f>
        <v>1.099877424</v>
      </c>
      <c r="AQ793" s="57">
        <f>IFERROR(__xludf.DUMMYFUNCTION("""COMPUTED_VALUE"""),1.0421612766285118)</f>
        <v>1.042161277</v>
      </c>
      <c r="AR793" s="36" t="b">
        <f>IFERROR(__xludf.DUMMYFUNCTION("""COMPUTED_VALUE"""),TRUE)</f>
        <v>1</v>
      </c>
      <c r="AS793" s="57"/>
      <c r="AT793" s="37"/>
      <c r="AU793" s="30"/>
      <c r="AV793" s="30"/>
      <c r="AW793" s="30"/>
      <c r="AX793" s="30"/>
      <c r="AY793" s="30"/>
      <c r="AZ793" s="30"/>
    </row>
    <row r="794">
      <c r="A794" s="30" t="str">
        <f>IFERROR(__xludf.DUMMYFUNCTION("""COMPUTED_VALUE"""),"Veteran")</f>
        <v>Veteran</v>
      </c>
      <c r="B794" s="30" t="str">
        <f>IFERROR(__xludf.DUMMYFUNCTION("""COMPUTED_VALUE"""),"RSC007479")</f>
        <v>RSC007479</v>
      </c>
      <c r="C794" s="30" t="str">
        <f>IFERROR(__xludf.DUMMYFUNCTION("""COMPUTED_VALUE"""),"Metatonixz")</f>
        <v>Metatonixz</v>
      </c>
      <c r="D794" s="31" t="str">
        <f>IFERROR(__xludf.DUMMYFUNCTION("""COMPUTED_VALUE"""),"Folks")</f>
        <v>Folks</v>
      </c>
      <c r="E794" s="31">
        <f>IFERROR(__xludf.DUMMYFUNCTION("""COMPUTED_VALUE"""),44.90808482175339)</f>
        <v>44.90808482</v>
      </c>
      <c r="F794" s="31">
        <f>IFERROR(__xludf.DUMMYFUNCTION("""COMPUTED_VALUE"""),-2.3849095597339947)</f>
        <v>-2.38490956</v>
      </c>
      <c r="G794" s="31">
        <f>IFERROR(__xludf.DUMMYFUNCTION("""COMPUTED_VALUE"""),42.06469060002888)</f>
        <v>42.0646906</v>
      </c>
      <c r="H794" s="31">
        <f>IFERROR(__xludf.DUMMYFUNCTION("""COMPUTED_VALUE"""),-2.6633615497131853)</f>
        <v>-2.66336155</v>
      </c>
      <c r="I794" s="54">
        <f>IFERROR(__xludf.DUMMYFUNCTION("""COMPUTED_VALUE"""),35.0)</f>
        <v>35</v>
      </c>
      <c r="J794" s="55">
        <f>IFERROR(__xludf.DUMMYFUNCTION("""COMPUTED_VALUE"""),18.0)</f>
        <v>18</v>
      </c>
      <c r="K794" s="54">
        <f>IFERROR(__xludf.DUMMYFUNCTION("""COMPUTED_VALUE"""),17.0)</f>
        <v>17</v>
      </c>
      <c r="L794" s="56">
        <f>IFERROR(__xludf.DUMMYFUNCTION("""COMPUTED_VALUE"""),0.5142857142857142)</f>
        <v>0.5142857143</v>
      </c>
      <c r="M794" s="56">
        <f>IFERROR(__xludf.DUMMYFUNCTION("""COMPUTED_VALUE"""),0.3076923076923077)</f>
        <v>0.3076923077</v>
      </c>
      <c r="N794" s="31">
        <f>IFERROR(__xludf.DUMMYFUNCTION("""COMPUTED_VALUE"""),334.7142857142857)</f>
        <v>334.7142857</v>
      </c>
      <c r="O794" s="57">
        <f>IFERROR(__xludf.DUMMYFUNCTION("""COMPUTED_VALUE"""),0.6857142857142857)</f>
        <v>0.6857142857</v>
      </c>
      <c r="P794" s="57">
        <f>IFERROR(__xludf.DUMMYFUNCTION("""COMPUTED_VALUE"""),0.5142857142857142)</f>
        <v>0.5142857143</v>
      </c>
      <c r="Q794" s="57">
        <f>IFERROR(__xludf.DUMMYFUNCTION("""COMPUTED_VALUE"""),1.2)</f>
        <v>1.2</v>
      </c>
      <c r="R794" s="57">
        <f>IFERROR(__xludf.DUMMYFUNCTION("""COMPUTED_VALUE"""),2.2285714285714286)</f>
        <v>2.228571429</v>
      </c>
      <c r="S794" s="31">
        <f>IFERROR(__xludf.DUMMYFUNCTION("""COMPUTED_VALUE"""),343.59047619047624)</f>
        <v>343.5904762</v>
      </c>
      <c r="T794" s="57">
        <f>IFERROR(__xludf.DUMMYFUNCTION("""COMPUTED_VALUE"""),0.7333333333333335)</f>
        <v>0.7333333333</v>
      </c>
      <c r="U794" s="57">
        <f>IFERROR(__xludf.DUMMYFUNCTION("""COMPUTED_VALUE"""),0.6190476190476192)</f>
        <v>0.619047619</v>
      </c>
      <c r="V794" s="57">
        <f>IFERROR(__xludf.DUMMYFUNCTION("""COMPUTED_VALUE"""),1.2571428571428571)</f>
        <v>1.257142857</v>
      </c>
      <c r="W794" s="57">
        <f>IFERROR(__xludf.DUMMYFUNCTION("""COMPUTED_VALUE"""),2.6095238095238096)</f>
        <v>2.60952381</v>
      </c>
      <c r="X794" s="31">
        <f>IFERROR(__xludf.DUMMYFUNCTION("""COMPUTED_VALUE"""),362.9662519181103)</f>
        <v>362.9662519</v>
      </c>
      <c r="Y794" s="57">
        <f>IFERROR(__xludf.DUMMYFUNCTION("""COMPUTED_VALUE"""),0.8183138865817775)</f>
        <v>0.8183138866</v>
      </c>
      <c r="Z794" s="57">
        <f>IFERROR(__xludf.DUMMYFUNCTION("""COMPUTED_VALUE"""),0.619291560314963)</f>
        <v>0.6192915603</v>
      </c>
      <c r="AA794" s="57">
        <f>IFERROR(__xludf.DUMMYFUNCTION("""COMPUTED_VALUE"""),1.3682088190298636)</f>
        <v>1.368208819</v>
      </c>
      <c r="AB794" s="57">
        <f>IFERROR(__xludf.DUMMYFUNCTION("""COMPUTED_VALUE"""),2.704117669345939)</f>
        <v>2.704117669</v>
      </c>
      <c r="AC794" s="31">
        <f>IFERROR(__xludf.DUMMYFUNCTION("""COMPUTED_VALUE"""),356.2429729518194)</f>
        <v>356.242973</v>
      </c>
      <c r="AD794" s="57">
        <f>IFERROR(__xludf.DUMMYFUNCTION("""COMPUTED_VALUE"""),0.7939629122025588)</f>
        <v>0.7939629122</v>
      </c>
      <c r="AE794" s="57">
        <f>IFERROR(__xludf.DUMMYFUNCTION("""COMPUTED_VALUE"""),0.5677776534349304)</f>
        <v>0.5677776534</v>
      </c>
      <c r="AF794" s="57">
        <f>IFERROR(__xludf.DUMMYFUNCTION("""COMPUTED_VALUE"""),1.3794736796744194)</f>
        <v>1.37947368</v>
      </c>
      <c r="AG794" s="57">
        <f>IFERROR(__xludf.DUMMYFUNCTION("""COMPUTED_VALUE"""),2.6410793874553544)</f>
        <v>2.641079387</v>
      </c>
      <c r="AH794" s="57">
        <f>IFERROR(__xludf.DUMMYFUNCTION("""COMPUTED_VALUE"""),0.939567405192171)</f>
        <v>0.9395674052</v>
      </c>
      <c r="AI794" s="57">
        <f>IFERROR(__xludf.DUMMYFUNCTION("""COMPUTED_VALUE"""),0.8636603488342082)</f>
        <v>0.8636603488</v>
      </c>
      <c r="AJ794" s="57">
        <f>IFERROR(__xludf.DUMMYFUNCTION("""COMPUTED_VALUE"""),0.905787170689791)</f>
        <v>0.9057871707</v>
      </c>
      <c r="AK794" s="57">
        <f>IFERROR(__xludf.DUMMYFUNCTION("""COMPUTED_VALUE"""),0.8698969887437226)</f>
        <v>0.8698969887</v>
      </c>
      <c r="AL794" s="57">
        <f>IFERROR(__xludf.DUMMYFUNCTION("""COMPUTED_VALUE"""),0.8438108445951064)</f>
        <v>0.8438108446</v>
      </c>
      <c r="AM794" s="57">
        <f>IFERROR(__xludf.DUMMYFUNCTION("""COMPUTED_VALUE"""),0.9466182444642113)</f>
        <v>0.9466182445</v>
      </c>
      <c r="AN794" s="57">
        <f>IFERROR(__xludf.DUMMYFUNCTION("""COMPUTED_VALUE"""),0.896151642246448)</f>
        <v>0.8961516422</v>
      </c>
      <c r="AO794" s="57">
        <f>IFERROR(__xludf.DUMMYFUNCTION("""COMPUTED_VALUE"""),0.9996060962509811)</f>
        <v>0.9996060963</v>
      </c>
      <c r="AP794" s="35">
        <f>IFERROR(__xludf.DUMMYFUNCTION("""COMPUTED_VALUE"""),0.918823822546504)</f>
        <v>0.9188238225</v>
      </c>
      <c r="AQ794" s="57">
        <f>IFERROR(__xludf.DUMMYFUNCTION("""COMPUTED_VALUE"""),0.9650185859533956)</f>
        <v>0.965018586</v>
      </c>
      <c r="AR794" s="36" t="b">
        <f>IFERROR(__xludf.DUMMYFUNCTION("""COMPUTED_VALUE"""),TRUE)</f>
        <v>1</v>
      </c>
      <c r="AS794" s="57"/>
      <c r="AT794" s="37"/>
      <c r="AU794" s="30"/>
      <c r="AV794" s="30"/>
      <c r="AW794" s="30"/>
      <c r="AX794" s="30"/>
      <c r="AY794" s="30"/>
      <c r="AZ794" s="30"/>
    </row>
    <row r="795">
      <c r="A795" s="30" t="str">
        <f>IFERROR(__xludf.DUMMYFUNCTION("""COMPUTED_VALUE"""),"Veteran")</f>
        <v>Veteran</v>
      </c>
      <c r="B795" s="30" t="str">
        <f>IFERROR(__xludf.DUMMYFUNCTION("""COMPUTED_VALUE"""),"RSC004385")</f>
        <v>RSC004385</v>
      </c>
      <c r="C795" s="30" t="str">
        <f>IFERROR(__xludf.DUMMYFUNCTION("""COMPUTED_VALUE"""),"Braybaum02")</f>
        <v>Braybaum02</v>
      </c>
      <c r="D795" s="31" t="str">
        <f>IFERROR(__xludf.DUMMYFUNCTION("""COMPUTED_VALUE"""),"Peppermint")</f>
        <v>Peppermint</v>
      </c>
      <c r="E795" s="31">
        <f>IFERROR(__xludf.DUMMYFUNCTION("""COMPUTED_VALUE"""),44.73841661810256)</f>
        <v>44.73841662</v>
      </c>
      <c r="F795" s="31">
        <f>IFERROR(__xludf.DUMMYFUNCTION("""COMPUTED_VALUE"""),-2.400078535414122)</f>
        <v>-2.400078535</v>
      </c>
      <c r="G795" s="31">
        <f>IFERROR(__xludf.DUMMYFUNCTION("""COMPUTED_VALUE"""),37.00277278851229)</f>
        <v>37.00277279</v>
      </c>
      <c r="H795" s="31">
        <f>IFERROR(__xludf.DUMMYFUNCTION("""COMPUTED_VALUE"""),-3.3159748625635386)</f>
        <v>-3.315974863</v>
      </c>
      <c r="I795" s="54">
        <f>IFERROR(__xludf.DUMMYFUNCTION("""COMPUTED_VALUE"""),35.0)</f>
        <v>35</v>
      </c>
      <c r="J795" s="55">
        <f>IFERROR(__xludf.DUMMYFUNCTION("""COMPUTED_VALUE"""),14.0)</f>
        <v>14</v>
      </c>
      <c r="K795" s="54">
        <f>IFERROR(__xludf.DUMMYFUNCTION("""COMPUTED_VALUE"""),21.0)</f>
        <v>21</v>
      </c>
      <c r="L795" s="56">
        <f>IFERROR(__xludf.DUMMYFUNCTION("""COMPUTED_VALUE"""),0.4)</f>
        <v>0.4</v>
      </c>
      <c r="M795" s="56">
        <f>IFERROR(__xludf.DUMMYFUNCTION("""COMPUTED_VALUE"""),0.46052631578947373)</f>
        <v>0.4605263158</v>
      </c>
      <c r="N795" s="31">
        <f>IFERROR(__xludf.DUMMYFUNCTION("""COMPUTED_VALUE"""),361.0857142857143)</f>
        <v>361.0857143</v>
      </c>
      <c r="O795" s="57">
        <f>IFERROR(__xludf.DUMMYFUNCTION("""COMPUTED_VALUE"""),1.0)</f>
        <v>1</v>
      </c>
      <c r="P795" s="57">
        <f>IFERROR(__xludf.DUMMYFUNCTION("""COMPUTED_VALUE"""),0.4)</f>
        <v>0.4</v>
      </c>
      <c r="Q795" s="57">
        <f>IFERROR(__xludf.DUMMYFUNCTION("""COMPUTED_VALUE"""),1.3428571428571427)</f>
        <v>1.342857143</v>
      </c>
      <c r="R795" s="57">
        <f>IFERROR(__xludf.DUMMYFUNCTION("""COMPUTED_VALUE"""),2.1714285714285713)</f>
        <v>2.171428571</v>
      </c>
      <c r="S795" s="31">
        <f>IFERROR(__xludf.DUMMYFUNCTION("""COMPUTED_VALUE"""),381.02857142857147)</f>
        <v>381.0285714</v>
      </c>
      <c r="T795" s="57">
        <f>IFERROR(__xludf.DUMMYFUNCTION("""COMPUTED_VALUE"""),1.0285714285714285)</f>
        <v>1.028571429</v>
      </c>
      <c r="U795" s="57">
        <f>IFERROR(__xludf.DUMMYFUNCTION("""COMPUTED_VALUE"""),0.7238095238095239)</f>
        <v>0.7238095238</v>
      </c>
      <c r="V795" s="57">
        <f>IFERROR(__xludf.DUMMYFUNCTION("""COMPUTED_VALUE"""),1.1714285714285715)</f>
        <v>1.171428571</v>
      </c>
      <c r="W795" s="57">
        <f>IFERROR(__xludf.DUMMYFUNCTION("""COMPUTED_VALUE"""),3.2095238095238097)</f>
        <v>3.20952381</v>
      </c>
      <c r="X795" s="31">
        <f>IFERROR(__xludf.DUMMYFUNCTION("""COMPUTED_VALUE"""),351.55075680894373)</f>
        <v>351.5507568</v>
      </c>
      <c r="Y795" s="57">
        <f>IFERROR(__xludf.DUMMYFUNCTION("""COMPUTED_VALUE"""),0.8222637401702928)</f>
        <v>0.8222637402</v>
      </c>
      <c r="Z795" s="57">
        <f>IFERROR(__xludf.DUMMYFUNCTION("""COMPUTED_VALUE"""),0.5740360597503524)</f>
        <v>0.5740360598</v>
      </c>
      <c r="AA795" s="57">
        <f>IFERROR(__xludf.DUMMYFUNCTION("""COMPUTED_VALUE"""),1.2771134150841488)</f>
        <v>1.277113415</v>
      </c>
      <c r="AB795" s="57">
        <f>IFERROR(__xludf.DUMMYFUNCTION("""COMPUTED_VALUE"""),2.6878898066312864)</f>
        <v>2.687889807</v>
      </c>
      <c r="AC795" s="31">
        <f>IFERROR(__xludf.DUMMYFUNCTION("""COMPUTED_VALUE"""),356.2415074852467)</f>
        <v>356.2415075</v>
      </c>
      <c r="AD795" s="57">
        <f>IFERROR(__xludf.DUMMYFUNCTION("""COMPUTED_VALUE"""),0.8312750542182583)</f>
        <v>0.8312750542</v>
      </c>
      <c r="AE795" s="57">
        <f>IFERROR(__xludf.DUMMYFUNCTION("""COMPUTED_VALUE"""),0.6133629703691634)</f>
        <v>0.6133629704</v>
      </c>
      <c r="AF795" s="57">
        <f>IFERROR(__xludf.DUMMYFUNCTION("""COMPUTED_VALUE"""),1.3289380812929137)</f>
        <v>1.328938081</v>
      </c>
      <c r="AG795" s="57">
        <f>IFERROR(__xludf.DUMMYFUNCTION("""COMPUTED_VALUE"""),2.570883881300026)</f>
        <v>2.570883881</v>
      </c>
      <c r="AH795" s="57">
        <f>IFERROR(__xludf.DUMMYFUNCTION("""COMPUTED_VALUE"""),1.0135980976351224)</f>
        <v>1.013598098</v>
      </c>
      <c r="AI795" s="57">
        <f>IFERROR(__xludf.DUMMYFUNCTION("""COMPUTED_VALUE"""),1.2029712607464358)</f>
        <v>1.202971261</v>
      </c>
      <c r="AJ795" s="57">
        <f>IFERROR(__xludf.DUMMYFUNCTION("""COMPUTED_VALUE"""),0.6521424007048435)</f>
        <v>0.6521424007</v>
      </c>
      <c r="AK795" s="57">
        <f>IFERROR(__xludf.DUMMYFUNCTION("""COMPUTED_VALUE"""),1.0104738224904257)</f>
        <v>1.010473822</v>
      </c>
      <c r="AL795" s="57">
        <f>IFERROR(__xludf.DUMMYFUNCTION("""COMPUTED_VALUE"""),0.8446233558905581)</f>
        <v>0.8446233559</v>
      </c>
      <c r="AM795" s="57">
        <f>IFERROR(__xludf.DUMMYFUNCTION("""COMPUTED_VALUE"""),1.0838508068854704)</f>
        <v>1.083850807</v>
      </c>
      <c r="AN795" s="57">
        <f>IFERROR(__xludf.DUMMYFUNCTION("""COMPUTED_VALUE"""),1.2509020869124168)</f>
        <v>1.250902087</v>
      </c>
      <c r="AO795" s="57">
        <f>IFERROR(__xludf.DUMMYFUNCTION("""COMPUTED_VALUE"""),1.260912988853536)</f>
        <v>1.260912989</v>
      </c>
      <c r="AP795" s="35">
        <f>IFERROR(__xludf.DUMMYFUNCTION("""COMPUTED_VALUE"""),0.9172470961409377)</f>
        <v>0.9172470961</v>
      </c>
      <c r="AQ795" s="57">
        <f>IFERROR(__xludf.DUMMYFUNCTION("""COMPUTED_VALUE"""),1.1940682246740923)</f>
        <v>1.194068225</v>
      </c>
      <c r="AR795" s="36" t="b">
        <f>IFERROR(__xludf.DUMMYFUNCTION("""COMPUTED_VALUE"""),TRUE)</f>
        <v>1</v>
      </c>
      <c r="AS795" s="57"/>
      <c r="AT795" s="37"/>
      <c r="AU795" s="30"/>
      <c r="AV795" s="30"/>
      <c r="AW795" s="30"/>
      <c r="AX795" s="30"/>
      <c r="AY795" s="30"/>
      <c r="AZ795" s="30"/>
    </row>
    <row r="796">
      <c r="A796" s="30" t="str">
        <f>IFERROR(__xludf.DUMMYFUNCTION("""COMPUTED_VALUE"""),"Veteran")</f>
        <v>Veteran</v>
      </c>
      <c r="B796" s="30" t="str">
        <f>IFERROR(__xludf.DUMMYFUNCTION("""COMPUTED_VALUE"""),"RSC006885")</f>
        <v>RSC006885</v>
      </c>
      <c r="C796" s="30" t="str">
        <f>IFERROR(__xludf.DUMMYFUNCTION("""COMPUTED_VALUE"""),"ski")</f>
        <v>ski</v>
      </c>
      <c r="D796" s="31" t="str">
        <f>IFERROR(__xludf.DUMMYFUNCTION("""COMPUTED_VALUE"""),"Dread")</f>
        <v>Dread</v>
      </c>
      <c r="E796" s="31">
        <f>IFERROR(__xludf.DUMMYFUNCTION("""COMPUTED_VALUE"""),44.411336700726935)</f>
        <v>44.4113367</v>
      </c>
      <c r="F796" s="31">
        <f>IFERROR(__xludf.DUMMYFUNCTION("""COMPUTED_VALUE"""),-2.4298083878404912)</f>
        <v>-2.429808388</v>
      </c>
      <c r="G796" s="31">
        <f>IFERROR(__xludf.DUMMYFUNCTION("""COMPUTED_VALUE"""),46.13193036946239)</f>
        <v>46.13193037</v>
      </c>
      <c r="H796" s="31">
        <f>IFERROR(__xludf.DUMMYFUNCTION("""COMPUTED_VALUE"""),-2.280398049006156)</f>
        <v>-2.280398049</v>
      </c>
      <c r="I796" s="54">
        <f>IFERROR(__xludf.DUMMYFUNCTION("""COMPUTED_VALUE"""),19.0)</f>
        <v>19</v>
      </c>
      <c r="J796" s="55">
        <f>IFERROR(__xludf.DUMMYFUNCTION("""COMPUTED_VALUE"""),9.0)</f>
        <v>9</v>
      </c>
      <c r="K796" s="54">
        <f>IFERROR(__xludf.DUMMYFUNCTION("""COMPUTED_VALUE"""),10.0)</f>
        <v>10</v>
      </c>
      <c r="L796" s="56">
        <f>IFERROR(__xludf.DUMMYFUNCTION("""COMPUTED_VALUE"""),0.47368421052631576)</f>
        <v>0.4736842105</v>
      </c>
      <c r="M796" s="56">
        <f>IFERROR(__xludf.DUMMYFUNCTION("""COMPUTED_VALUE"""),0.28260869565217395)</f>
        <v>0.2826086957</v>
      </c>
      <c r="N796" s="31">
        <f>IFERROR(__xludf.DUMMYFUNCTION("""COMPUTED_VALUE"""),352.2631578947368)</f>
        <v>352.2631579</v>
      </c>
      <c r="O796" s="57">
        <f>IFERROR(__xludf.DUMMYFUNCTION("""COMPUTED_VALUE"""),0.6842105263157895)</f>
        <v>0.6842105263</v>
      </c>
      <c r="P796" s="57">
        <f>IFERROR(__xludf.DUMMYFUNCTION("""COMPUTED_VALUE"""),0.5263157894736842)</f>
        <v>0.5263157895</v>
      </c>
      <c r="Q796" s="57">
        <f>IFERROR(__xludf.DUMMYFUNCTION("""COMPUTED_VALUE"""),1.368421052631579)</f>
        <v>1.368421053</v>
      </c>
      <c r="R796" s="57">
        <f>IFERROR(__xludf.DUMMYFUNCTION("""COMPUTED_VALUE"""),2.4210526315789473)</f>
        <v>2.421052632</v>
      </c>
      <c r="S796" s="31">
        <f>IFERROR(__xludf.DUMMYFUNCTION("""COMPUTED_VALUE"""),369.421052631579)</f>
        <v>369.4210526</v>
      </c>
      <c r="T796" s="57">
        <f>IFERROR(__xludf.DUMMYFUNCTION("""COMPUTED_VALUE"""),0.7894736842105262)</f>
        <v>0.7894736842</v>
      </c>
      <c r="U796" s="57">
        <f>IFERROR(__xludf.DUMMYFUNCTION("""COMPUTED_VALUE"""),0.631578947368421)</f>
        <v>0.6315789474</v>
      </c>
      <c r="V796" s="57">
        <f>IFERROR(__xludf.DUMMYFUNCTION("""COMPUTED_VALUE"""),1.3333333333333333)</f>
        <v>1.333333333</v>
      </c>
      <c r="W796" s="57">
        <f>IFERROR(__xludf.DUMMYFUNCTION("""COMPUTED_VALUE"""),2.859649122807017)</f>
        <v>2.859649123</v>
      </c>
      <c r="X796" s="31">
        <f>IFERROR(__xludf.DUMMYFUNCTION("""COMPUTED_VALUE"""),359.66357924263053)</f>
        <v>359.6635792</v>
      </c>
      <c r="Y796" s="57">
        <f>IFERROR(__xludf.DUMMYFUNCTION("""COMPUTED_VALUE"""),0.8195473179288498)</f>
        <v>0.8195473179</v>
      </c>
      <c r="Z796" s="57">
        <f>IFERROR(__xludf.DUMMYFUNCTION("""COMPUTED_VALUE"""),0.6207643291300642)</f>
        <v>0.6207643291</v>
      </c>
      <c r="AA796" s="57">
        <f>IFERROR(__xludf.DUMMYFUNCTION("""COMPUTED_VALUE"""),1.3274782680093542)</f>
        <v>1.327478268</v>
      </c>
      <c r="AB796" s="57">
        <f>IFERROR(__xludf.DUMMYFUNCTION("""COMPUTED_VALUE"""),2.7639802696285516)</f>
        <v>2.76398027</v>
      </c>
      <c r="AC796" s="31">
        <f>IFERROR(__xludf.DUMMYFUNCTION("""COMPUTED_VALUE"""),362.06395837833935)</f>
        <v>362.0639584</v>
      </c>
      <c r="AD796" s="57">
        <f>IFERROR(__xludf.DUMMYFUNCTION("""COMPUTED_VALUE"""),0.8352503984599601)</f>
        <v>0.8352503985</v>
      </c>
      <c r="AE796" s="57">
        <f>IFERROR(__xludf.DUMMYFUNCTION("""COMPUTED_VALUE"""),0.6234914155265475)</f>
        <v>0.6234914155</v>
      </c>
      <c r="AF796" s="57">
        <f>IFERROR(__xludf.DUMMYFUNCTION("""COMPUTED_VALUE"""),1.3930779021920847)</f>
        <v>1.393077902</v>
      </c>
      <c r="AG796" s="57">
        <f>IFERROR(__xludf.DUMMYFUNCTION("""COMPUTED_VALUE"""),2.605086577509851)</f>
        <v>2.605086578</v>
      </c>
      <c r="AH796" s="57">
        <f>IFERROR(__xludf.DUMMYFUNCTION("""COMPUTED_VALUE"""),0.9729307481266579)</f>
        <v>0.9729307481</v>
      </c>
      <c r="AI796" s="57">
        <f>IFERROR(__xludf.DUMMYFUNCTION("""COMPUTED_VALUE"""),0.8191681531398741)</f>
        <v>0.8191681531</v>
      </c>
      <c r="AJ796" s="57">
        <f>IFERROR(__xludf.DUMMYFUNCTION("""COMPUTED_VALUE"""),0.8441428003129808)</f>
        <v>0.8441428003</v>
      </c>
      <c r="AK796" s="57">
        <f>IFERROR(__xludf.DUMMYFUNCTION("""COMPUTED_VALUE"""),0.982300451739485)</f>
        <v>0.9823004517</v>
      </c>
      <c r="AL796" s="57">
        <f>IFERROR(__xludf.DUMMYFUNCTION("""COMPUTED_VALUE"""),0.9293559194847113)</f>
        <v>0.9293559195</v>
      </c>
      <c r="AM796" s="57">
        <f>IFERROR(__xludf.DUMMYFUNCTION("""COMPUTED_VALUE"""),1.0271294452707598)</f>
        <v>1.027129445</v>
      </c>
      <c r="AN796" s="57">
        <f>IFERROR(__xludf.DUMMYFUNCTION("""COMPUTED_VALUE"""),0.963304579173872)</f>
        <v>0.9633045792</v>
      </c>
      <c r="AO796" s="57">
        <f>IFERROR(__xludf.DUMMYFUNCTION("""COMPUTED_VALUE"""),1.0174214556650063)</f>
        <v>1.017421456</v>
      </c>
      <c r="AP796" s="35">
        <f>IFERROR(__xludf.DUMMYFUNCTION("""COMPUTED_VALUE"""),1.004410667552968)</f>
        <v>1.004410668</v>
      </c>
      <c r="AQ796" s="57">
        <f>IFERROR(__xludf.DUMMYFUNCTION("""COMPUTED_VALUE"""),1.0346127120478044)</f>
        <v>1.034612712</v>
      </c>
      <c r="AR796" s="36" t="b">
        <f>IFERROR(__xludf.DUMMYFUNCTION("""COMPUTED_VALUE"""),TRUE)</f>
        <v>1</v>
      </c>
      <c r="AS796" s="57"/>
      <c r="AT796" s="37"/>
      <c r="AU796" s="30"/>
      <c r="AV796" s="30"/>
      <c r="AW796" s="30"/>
      <c r="AX796" s="30"/>
      <c r="AY796" s="30"/>
      <c r="AZ796" s="30"/>
    </row>
    <row r="797">
      <c r="A797" s="30" t="str">
        <f>IFERROR(__xludf.DUMMYFUNCTION("""COMPUTED_VALUE"""),"Veteran")</f>
        <v>Veteran</v>
      </c>
      <c r="B797" s="30" t="str">
        <f>IFERROR(__xludf.DUMMYFUNCTION("""COMPUTED_VALUE"""),"RSC007607")</f>
        <v>RSC007607</v>
      </c>
      <c r="C797" s="30" t="str">
        <f>IFERROR(__xludf.DUMMYFUNCTION("""COMPUTED_VALUE"""),"GameGang")</f>
        <v>GameGang</v>
      </c>
      <c r="D797" s="31" t="str">
        <f>IFERROR(__xludf.DUMMYFUNCTION("""COMPUTED_VALUE"""),"Rockin Revenants")</f>
        <v>Rockin Revenants</v>
      </c>
      <c r="E797" s="31">
        <f>IFERROR(__xludf.DUMMYFUNCTION("""COMPUTED_VALUE"""),42.78650232020894)</f>
        <v>42.78650232</v>
      </c>
      <c r="F797" s="31">
        <f>IFERROR(__xludf.DUMMYFUNCTION("""COMPUTED_VALUE"""),-2.5875447666999536)</f>
        <v>-2.587544767</v>
      </c>
      <c r="G797" s="31">
        <f>IFERROR(__xludf.DUMMYFUNCTION("""COMPUTED_VALUE"""),31.495314532212802)</f>
        <v>31.49531453</v>
      </c>
      <c r="H797" s="31">
        <f>IFERROR(__xludf.DUMMYFUNCTION("""COMPUTED_VALUE"""),-4.35553082632807)</f>
        <v>-4.355530826</v>
      </c>
      <c r="I797" s="54">
        <f>IFERROR(__xludf.DUMMYFUNCTION("""COMPUTED_VALUE"""),32.0)</f>
        <v>32</v>
      </c>
      <c r="J797" s="55">
        <f>IFERROR(__xludf.DUMMYFUNCTION("""COMPUTED_VALUE"""),16.0)</f>
        <v>16</v>
      </c>
      <c r="K797" s="54">
        <f>IFERROR(__xludf.DUMMYFUNCTION("""COMPUTED_VALUE"""),16.0)</f>
        <v>16</v>
      </c>
      <c r="L797" s="56">
        <f>IFERROR(__xludf.DUMMYFUNCTION("""COMPUTED_VALUE"""),0.5)</f>
        <v>0.5</v>
      </c>
      <c r="M797" s="56">
        <f>IFERROR(__xludf.DUMMYFUNCTION("""COMPUTED_VALUE"""),0.2191780821917808)</f>
        <v>0.2191780822</v>
      </c>
      <c r="N797" s="31">
        <f>IFERROR(__xludf.DUMMYFUNCTION("""COMPUTED_VALUE"""),288.34375)</f>
        <v>288.34375</v>
      </c>
      <c r="O797" s="57">
        <f>IFERROR(__xludf.DUMMYFUNCTION("""COMPUTED_VALUE"""),0.5)</f>
        <v>0.5</v>
      </c>
      <c r="P797" s="57">
        <f>IFERROR(__xludf.DUMMYFUNCTION("""COMPUTED_VALUE"""),0.75)</f>
        <v>0.75</v>
      </c>
      <c r="Q797" s="57">
        <f>IFERROR(__xludf.DUMMYFUNCTION("""COMPUTED_VALUE"""),0.9375)</f>
        <v>0.9375</v>
      </c>
      <c r="R797" s="57">
        <f>IFERROR(__xludf.DUMMYFUNCTION("""COMPUTED_VALUE"""),2.28125)</f>
        <v>2.28125</v>
      </c>
      <c r="S797" s="31">
        <f>IFERROR(__xludf.DUMMYFUNCTION("""COMPUTED_VALUE"""),353.84374999999994)</f>
        <v>353.84375</v>
      </c>
      <c r="T797" s="57">
        <f>IFERROR(__xludf.DUMMYFUNCTION("""COMPUTED_VALUE"""),0.75)</f>
        <v>0.75</v>
      </c>
      <c r="U797" s="57">
        <f>IFERROR(__xludf.DUMMYFUNCTION("""COMPUTED_VALUE"""),0.6249999999999999)</f>
        <v>0.625</v>
      </c>
      <c r="V797" s="57">
        <f>IFERROR(__xludf.DUMMYFUNCTION("""COMPUTED_VALUE"""),1.3124999999999998)</f>
        <v>1.3125</v>
      </c>
      <c r="W797" s="57">
        <f>IFERROR(__xludf.DUMMYFUNCTION("""COMPUTED_VALUE"""),2.520833333333333)</f>
        <v>2.520833333</v>
      </c>
      <c r="X797" s="31">
        <f>IFERROR(__xludf.DUMMYFUNCTION("""COMPUTED_VALUE"""),366.63232969106093)</f>
        <v>366.6323297</v>
      </c>
      <c r="Y797" s="57">
        <f>IFERROR(__xludf.DUMMYFUNCTION("""COMPUTED_VALUE"""),0.8497723948450348)</f>
        <v>0.8497723948</v>
      </c>
      <c r="Z797" s="57">
        <f>IFERROR(__xludf.DUMMYFUNCTION("""COMPUTED_VALUE"""),0.5970357616612955)</f>
        <v>0.5970357617</v>
      </c>
      <c r="AA797" s="57">
        <f>IFERROR(__xludf.DUMMYFUNCTION("""COMPUTED_VALUE"""),1.3776843757216148)</f>
        <v>1.377684376</v>
      </c>
      <c r="AB797" s="57">
        <f>IFERROR(__xludf.DUMMYFUNCTION("""COMPUTED_VALUE"""),2.7591311083125007)</f>
        <v>2.759131108</v>
      </c>
      <c r="AC797" s="31">
        <f>IFERROR(__xludf.DUMMYFUNCTION("""COMPUTED_VALUE"""),364.017698345243)</f>
        <v>364.0176983</v>
      </c>
      <c r="AD797" s="57">
        <f>IFERROR(__xludf.DUMMYFUNCTION("""COMPUTED_VALUE"""),0.8250936342278847)</f>
        <v>0.8250936342</v>
      </c>
      <c r="AE797" s="57">
        <f>IFERROR(__xludf.DUMMYFUNCTION("""COMPUTED_VALUE"""),0.6049528785528545)</f>
        <v>0.6049528786</v>
      </c>
      <c r="AF797" s="57">
        <f>IFERROR(__xludf.DUMMYFUNCTION("""COMPUTED_VALUE"""),1.3888519097902006)</f>
        <v>1.38885191</v>
      </c>
      <c r="AG797" s="57">
        <f>IFERROR(__xludf.DUMMYFUNCTION("""COMPUTED_VALUE"""),2.736937126851936)</f>
        <v>2.736937127</v>
      </c>
      <c r="AH797" s="57">
        <f>IFERROR(__xludf.DUMMYFUNCTION("""COMPUTED_VALUE"""),0.7921146452789446)</f>
        <v>0.7921146453</v>
      </c>
      <c r="AI797" s="57">
        <f>IFERROR(__xludf.DUMMYFUNCTION("""COMPUTED_VALUE"""),0.6059918283915686)</f>
        <v>0.6059918284</v>
      </c>
      <c r="AJ797" s="57">
        <f>IFERROR(__xludf.DUMMYFUNCTION("""COMPUTED_VALUE"""),1.2397659827557508)</f>
        <v>1.239765983</v>
      </c>
      <c r="AK797" s="57">
        <f>IFERROR(__xludf.DUMMYFUNCTION("""COMPUTED_VALUE"""),0.6750179723204747)</f>
        <v>0.6750179723</v>
      </c>
      <c r="AL797" s="57">
        <f>IFERROR(__xludf.DUMMYFUNCTION("""COMPUTED_VALUE"""),0.8335047150403219)</f>
        <v>0.833504715</v>
      </c>
      <c r="AM797" s="57">
        <f>IFERROR(__xludf.DUMMYFUNCTION("""COMPUTED_VALUE"""),0.9651187888917566)</f>
        <v>0.9651187889</v>
      </c>
      <c r="AN797" s="57">
        <f>IFERROR(__xludf.DUMMYFUNCTION("""COMPUTED_VALUE"""),0.8825892727861213)</f>
        <v>0.8825892728</v>
      </c>
      <c r="AO797" s="57">
        <f>IFERROR(__xludf.DUMMYFUNCTION("""COMPUTED_VALUE"""),1.0468384645182591)</f>
        <v>1.046838465</v>
      </c>
      <c r="AP797" s="35">
        <f>IFERROR(__xludf.DUMMYFUNCTION("""COMPUTED_VALUE"""),0.9526855520245904)</f>
        <v>0.952685552</v>
      </c>
      <c r="AQ797" s="57">
        <f>IFERROR(__xludf.DUMMYFUNCTION("""COMPUTED_VALUE"""),0.9136330367697126)</f>
        <v>0.9136330368</v>
      </c>
      <c r="AR797" s="36" t="b">
        <f>IFERROR(__xludf.DUMMYFUNCTION("""COMPUTED_VALUE"""),TRUE)</f>
        <v>1</v>
      </c>
      <c r="AS797" s="57"/>
      <c r="AT797" s="37"/>
      <c r="AU797" s="30"/>
      <c r="AV797" s="30"/>
      <c r="AW797" s="30"/>
      <c r="AX797" s="30"/>
      <c r="AY797" s="30"/>
      <c r="AZ797" s="30"/>
    </row>
    <row r="798">
      <c r="A798" s="30" t="str">
        <f>IFERROR(__xludf.DUMMYFUNCTION("""COMPUTED_VALUE"""),"Veteran")</f>
        <v>Veteran</v>
      </c>
      <c r="B798" s="30" t="str">
        <f>IFERROR(__xludf.DUMMYFUNCTION("""COMPUTED_VALUE"""),"RSC004094")</f>
        <v>RSC004094</v>
      </c>
      <c r="C798" s="30" t="str">
        <f>IFERROR(__xludf.DUMMYFUNCTION("""COMPUTED_VALUE"""),"Moxen")</f>
        <v>Moxen</v>
      </c>
      <c r="D798" s="31"/>
      <c r="E798" s="31">
        <f>IFERROR(__xludf.DUMMYFUNCTION("""COMPUTED_VALUE"""),42.705531193772224)</f>
        <v>42.70553119</v>
      </c>
      <c r="F798" s="31">
        <f>IFERROR(__xludf.DUMMYFUNCTION("""COMPUTED_VALUE"""),-2.5958660067860704)</f>
        <v>-2.595866007</v>
      </c>
      <c r="G798" s="31">
        <f>IFERROR(__xludf.DUMMYFUNCTION("""COMPUTED_VALUE"""),25.67212301769427)</f>
        <v>25.67212302</v>
      </c>
      <c r="H798" s="31">
        <f>IFERROR(__xludf.DUMMYFUNCTION("""COMPUTED_VALUE"""),-6.0515084363673814)</f>
        <v>-6.051508436</v>
      </c>
      <c r="I798" s="54">
        <f>IFERROR(__xludf.DUMMYFUNCTION("""COMPUTED_VALUE"""),16.0)</f>
        <v>16</v>
      </c>
      <c r="J798" s="55">
        <f>IFERROR(__xludf.DUMMYFUNCTION("""COMPUTED_VALUE"""),8.0)</f>
        <v>8</v>
      </c>
      <c r="K798" s="54">
        <f>IFERROR(__xludf.DUMMYFUNCTION("""COMPUTED_VALUE"""),8.0)</f>
        <v>8</v>
      </c>
      <c r="L798" s="56">
        <f>IFERROR(__xludf.DUMMYFUNCTION("""COMPUTED_VALUE"""),0.5)</f>
        <v>0.5</v>
      </c>
      <c r="M798" s="56">
        <f>IFERROR(__xludf.DUMMYFUNCTION("""COMPUTED_VALUE"""),0.30952380952380953)</f>
        <v>0.3095238095</v>
      </c>
      <c r="N798" s="31">
        <f>IFERROR(__xludf.DUMMYFUNCTION("""COMPUTED_VALUE"""),311.125)</f>
        <v>311.125</v>
      </c>
      <c r="O798" s="57">
        <f>IFERROR(__xludf.DUMMYFUNCTION("""COMPUTED_VALUE"""),0.8125)</f>
        <v>0.8125</v>
      </c>
      <c r="P798" s="57">
        <f>IFERROR(__xludf.DUMMYFUNCTION("""COMPUTED_VALUE"""),0.375)</f>
        <v>0.375</v>
      </c>
      <c r="Q798" s="57">
        <f>IFERROR(__xludf.DUMMYFUNCTION("""COMPUTED_VALUE"""),1.0)</f>
        <v>1</v>
      </c>
      <c r="R798" s="57">
        <f>IFERROR(__xludf.DUMMYFUNCTION("""COMPUTED_VALUE"""),2.625)</f>
        <v>2.625</v>
      </c>
      <c r="S798" s="31">
        <f>IFERROR(__xludf.DUMMYFUNCTION("""COMPUTED_VALUE"""),383.68750000000006)</f>
        <v>383.6875</v>
      </c>
      <c r="T798" s="57">
        <f>IFERROR(__xludf.DUMMYFUNCTION("""COMPUTED_VALUE"""),0.8333333333333336)</f>
        <v>0.8333333333</v>
      </c>
      <c r="U798" s="57">
        <f>IFERROR(__xludf.DUMMYFUNCTION("""COMPUTED_VALUE"""),0.625)</f>
        <v>0.625</v>
      </c>
      <c r="V798" s="57">
        <f>IFERROR(__xludf.DUMMYFUNCTION("""COMPUTED_VALUE"""),1.5833333333333333)</f>
        <v>1.583333333</v>
      </c>
      <c r="W798" s="57">
        <f>IFERROR(__xludf.DUMMYFUNCTION("""COMPUTED_VALUE"""),2.6875)</f>
        <v>2.6875</v>
      </c>
      <c r="X798" s="31">
        <f>IFERROR(__xludf.DUMMYFUNCTION("""COMPUTED_VALUE"""),368.00721511274753)</f>
        <v>368.0072151</v>
      </c>
      <c r="Y798" s="57">
        <f>IFERROR(__xludf.DUMMYFUNCTION("""COMPUTED_VALUE"""),0.8270545158027369)</f>
        <v>0.8270545158</v>
      </c>
      <c r="Z798" s="57">
        <f>IFERROR(__xludf.DUMMYFUNCTION("""COMPUTED_VALUE"""),0.6532107623515357)</f>
        <v>0.6532107624</v>
      </c>
      <c r="AA798" s="57">
        <f>IFERROR(__xludf.DUMMYFUNCTION("""COMPUTED_VALUE"""),1.3806722061584489)</f>
        <v>1.380672206</v>
      </c>
      <c r="AB798" s="57">
        <f>IFERROR(__xludf.DUMMYFUNCTION("""COMPUTED_VALUE"""),2.7113071707177494)</f>
        <v>2.711307171</v>
      </c>
      <c r="AC798" s="31">
        <f>IFERROR(__xludf.DUMMYFUNCTION("""COMPUTED_VALUE"""),361.2198493697059)</f>
        <v>361.2198494</v>
      </c>
      <c r="AD798" s="57">
        <f>IFERROR(__xludf.DUMMYFUNCTION("""COMPUTED_VALUE"""),0.7949240150062415)</f>
        <v>0.794924015</v>
      </c>
      <c r="AE798" s="57">
        <f>IFERROR(__xludf.DUMMYFUNCTION("""COMPUTED_VALUE"""),0.5685741874408068)</f>
        <v>0.5685741874</v>
      </c>
      <c r="AF798" s="57">
        <f>IFERROR(__xludf.DUMMYFUNCTION("""COMPUTED_VALUE"""),1.4343646829998427)</f>
        <v>1.434364683</v>
      </c>
      <c r="AG798" s="57">
        <f>IFERROR(__xludf.DUMMYFUNCTION("""COMPUTED_VALUE"""),2.5905688343138933)</f>
        <v>2.590568834</v>
      </c>
      <c r="AH798" s="57">
        <f>IFERROR(__xludf.DUMMYFUNCTION("""COMPUTED_VALUE"""),0.8613175619858193)</f>
        <v>0.861317562</v>
      </c>
      <c r="AI798" s="57">
        <f>IFERROR(__xludf.DUMMYFUNCTION("""COMPUTED_VALUE"""),1.0221102704937408)</f>
        <v>1.02211027</v>
      </c>
      <c r="AJ798" s="57">
        <f>IFERROR(__xludf.DUMMYFUNCTION("""COMPUTED_VALUE"""),0.6595445383968307)</f>
        <v>0.6595445384</v>
      </c>
      <c r="AK798" s="57">
        <f>IFERROR(__xludf.DUMMYFUNCTION("""COMPUTED_VALUE"""),0.6971727705318228)</f>
        <v>0.6971727705</v>
      </c>
      <c r="AL798" s="57">
        <f>IFERROR(__xludf.DUMMYFUNCTION("""COMPUTED_VALUE"""),1.0132909673080452)</f>
        <v>1.013290967</v>
      </c>
      <c r="AM798" s="57">
        <f>IFERROR(__xludf.DUMMYFUNCTION("""COMPUTED_VALUE"""),1.0426086344053023)</f>
        <v>1.042608634</v>
      </c>
      <c r="AN798" s="57">
        <f>IFERROR(__xludf.DUMMYFUNCTION("""COMPUTED_VALUE"""),1.0075917819329026)</f>
        <v>1.007591782</v>
      </c>
      <c r="AO798" s="57">
        <f>IFERROR(__xludf.DUMMYFUNCTION("""COMPUTED_VALUE"""),0.9568121592945316)</f>
        <v>0.9568121593</v>
      </c>
      <c r="AP798" s="35">
        <f>IFERROR(__xludf.DUMMYFUNCTION("""COMPUTED_VALUE"""),1.1467843897131558)</f>
        <v>1.14678439</v>
      </c>
      <c r="AQ798" s="57">
        <f>IFERROR(__xludf.DUMMYFUNCTION("""COMPUTED_VALUE"""),0.9912193015329034)</f>
        <v>0.9912193015</v>
      </c>
      <c r="AR798" s="36" t="b">
        <f>IFERROR(__xludf.DUMMYFUNCTION("""COMPUTED_VALUE"""),TRUE)</f>
        <v>1</v>
      </c>
      <c r="AS798" s="57"/>
      <c r="AT798" s="37"/>
      <c r="AU798" s="30"/>
      <c r="AV798" s="30"/>
      <c r="AW798" s="30"/>
      <c r="AX798" s="30"/>
      <c r="AY798" s="30"/>
      <c r="AZ798" s="30"/>
    </row>
    <row r="799">
      <c r="A799" s="30" t="str">
        <f>IFERROR(__xludf.DUMMYFUNCTION("""COMPUTED_VALUE"""),"Veteran")</f>
        <v>Veteran</v>
      </c>
      <c r="B799" s="30" t="str">
        <f>IFERROR(__xludf.DUMMYFUNCTION("""COMPUTED_VALUE"""),"RSC007795")</f>
        <v>RSC007795</v>
      </c>
      <c r="C799" s="30" t="str">
        <f>IFERROR(__xludf.DUMMYFUNCTION("""COMPUTED_VALUE"""),"Gizmeaux")</f>
        <v>Gizmeaux</v>
      </c>
      <c r="D799" s="31" t="str">
        <f>IFERROR(__xludf.DUMMYFUNCTION("""COMPUTED_VALUE"""),"Gouda Gangsters")</f>
        <v>Gouda Gangsters</v>
      </c>
      <c r="E799" s="31">
        <f>IFERROR(__xludf.DUMMYFUNCTION("""COMPUTED_VALUE"""),41.97928674737361)</f>
        <v>41.97928675</v>
      </c>
      <c r="F799" s="31">
        <f>IFERROR(__xludf.DUMMYFUNCTION("""COMPUTED_VALUE"""),-2.6725807762110834)</f>
        <v>-2.672580776</v>
      </c>
      <c r="G799" s="31">
        <f>IFERROR(__xludf.DUMMYFUNCTION("""COMPUTED_VALUE"""),38.04857284717335)</f>
        <v>38.04857285</v>
      </c>
      <c r="H799" s="31">
        <f>IFERROR(__xludf.DUMMYFUNCTION("""COMPUTED_VALUE"""),-3.16150763415124)</f>
        <v>-3.161507634</v>
      </c>
      <c r="I799" s="54">
        <f>IFERROR(__xludf.DUMMYFUNCTION("""COMPUTED_VALUE"""),16.0)</f>
        <v>16</v>
      </c>
      <c r="J799" s="55">
        <f>IFERROR(__xludf.DUMMYFUNCTION("""COMPUTED_VALUE"""),6.0)</f>
        <v>6</v>
      </c>
      <c r="K799" s="54">
        <f>IFERROR(__xludf.DUMMYFUNCTION("""COMPUTED_VALUE"""),10.0)</f>
        <v>10</v>
      </c>
      <c r="L799" s="56">
        <f>IFERROR(__xludf.DUMMYFUNCTION("""COMPUTED_VALUE"""),0.375)</f>
        <v>0.375</v>
      </c>
      <c r="M799" s="56">
        <f>IFERROR(__xludf.DUMMYFUNCTION("""COMPUTED_VALUE"""),0.34210526315789475)</f>
        <v>0.3421052632</v>
      </c>
      <c r="N799" s="31">
        <f>IFERROR(__xludf.DUMMYFUNCTION("""COMPUTED_VALUE"""),332.125)</f>
        <v>332.125</v>
      </c>
      <c r="O799" s="57">
        <f>IFERROR(__xludf.DUMMYFUNCTION("""COMPUTED_VALUE"""),0.8125)</f>
        <v>0.8125</v>
      </c>
      <c r="P799" s="57">
        <f>IFERROR(__xludf.DUMMYFUNCTION("""COMPUTED_VALUE"""),0.5625)</f>
        <v>0.5625</v>
      </c>
      <c r="Q799" s="57">
        <f>IFERROR(__xludf.DUMMYFUNCTION("""COMPUTED_VALUE"""),1.125)</f>
        <v>1.125</v>
      </c>
      <c r="R799" s="57">
        <f>IFERROR(__xludf.DUMMYFUNCTION("""COMPUTED_VALUE"""),2.375)</f>
        <v>2.375</v>
      </c>
      <c r="S799" s="31">
        <f>IFERROR(__xludf.DUMMYFUNCTION("""COMPUTED_VALUE"""),387.75)</f>
        <v>387.75</v>
      </c>
      <c r="T799" s="57">
        <f>IFERROR(__xludf.DUMMYFUNCTION("""COMPUTED_VALUE"""),1.0208333333333335)</f>
        <v>1.020833333</v>
      </c>
      <c r="U799" s="57">
        <f>IFERROR(__xludf.DUMMYFUNCTION("""COMPUTED_VALUE"""),0.7291666666666667)</f>
        <v>0.7291666667</v>
      </c>
      <c r="V799" s="57">
        <f>IFERROR(__xludf.DUMMYFUNCTION("""COMPUTED_VALUE"""),1.2708333333333333)</f>
        <v>1.270833333</v>
      </c>
      <c r="W799" s="57">
        <f>IFERROR(__xludf.DUMMYFUNCTION("""COMPUTED_VALUE"""),2.5625000000000004)</f>
        <v>2.5625</v>
      </c>
      <c r="X799" s="31">
        <f>IFERROR(__xludf.DUMMYFUNCTION("""COMPUTED_VALUE"""),354.8268119531346)</f>
        <v>354.826812</v>
      </c>
      <c r="Y799" s="57">
        <f>IFERROR(__xludf.DUMMYFUNCTION("""COMPUTED_VALUE"""),0.7995586988837532)</f>
        <v>0.7995586989</v>
      </c>
      <c r="Z799" s="57">
        <f>IFERROR(__xludf.DUMMYFUNCTION("""COMPUTED_VALUE"""),0.5670821017796632)</f>
        <v>0.5670821018</v>
      </c>
      <c r="AA799" s="57">
        <f>IFERROR(__xludf.DUMMYFUNCTION("""COMPUTED_VALUE"""),1.3778946955418445)</f>
        <v>1.377894696</v>
      </c>
      <c r="AB799" s="57">
        <f>IFERROR(__xludf.DUMMYFUNCTION("""COMPUTED_VALUE"""),2.592543613498851)</f>
        <v>2.592543613</v>
      </c>
      <c r="AC799" s="31">
        <f>IFERROR(__xludf.DUMMYFUNCTION("""COMPUTED_VALUE"""),366.8055238386066)</f>
        <v>366.8055238</v>
      </c>
      <c r="AD799" s="57">
        <f>IFERROR(__xludf.DUMMYFUNCTION("""COMPUTED_VALUE"""),0.8825236009080142)</f>
        <v>0.8825236009</v>
      </c>
      <c r="AE799" s="57">
        <f>IFERROR(__xludf.DUMMYFUNCTION("""COMPUTED_VALUE"""),0.6490074694249033)</f>
        <v>0.6490074694</v>
      </c>
      <c r="AF799" s="57">
        <f>IFERROR(__xludf.DUMMYFUNCTION("""COMPUTED_VALUE"""),1.3506491541460357)</f>
        <v>1.350649154</v>
      </c>
      <c r="AG799" s="57">
        <f>IFERROR(__xludf.DUMMYFUNCTION("""COMPUTED_VALUE"""),2.7752566854247416)</f>
        <v>2.775256685</v>
      </c>
      <c r="AH799" s="57">
        <f>IFERROR(__xludf.DUMMYFUNCTION("""COMPUTED_VALUE"""),0.9054525584138533)</f>
        <v>0.9054525584</v>
      </c>
      <c r="AI799" s="57">
        <f>IFERROR(__xludf.DUMMYFUNCTION("""COMPUTED_VALUE"""),0.9206552653821745)</f>
        <v>0.9206552654</v>
      </c>
      <c r="AJ799" s="57">
        <f>IFERROR(__xludf.DUMMYFUNCTION("""COMPUTED_VALUE"""),0.8667080526799499)</f>
        <v>0.8667080527</v>
      </c>
      <c r="AK799" s="57">
        <f>IFERROR(__xludf.DUMMYFUNCTION("""COMPUTED_VALUE"""),0.8329328134894475)</f>
        <v>0.8329328135</v>
      </c>
      <c r="AL799" s="57">
        <f>IFERROR(__xludf.DUMMYFUNCTION("""COMPUTED_VALUE"""),0.8557766971513542)</f>
        <v>0.8557766972</v>
      </c>
      <c r="AM799" s="57">
        <f>IFERROR(__xludf.DUMMYFUNCTION("""COMPUTED_VALUE"""),1.092786641081717)</f>
        <v>1.092786641</v>
      </c>
      <c r="AN799" s="57">
        <f>IFERROR(__xludf.DUMMYFUNCTION("""COMPUTED_VALUE"""),1.2767459534346848)</f>
        <v>1.276745953</v>
      </c>
      <c r="AO799" s="57">
        <f>IFERROR(__xludf.DUMMYFUNCTION("""COMPUTED_VALUE"""),1.2858220430134129)</f>
        <v>1.285822043</v>
      </c>
      <c r="AP799" s="35">
        <f>IFERROR(__xludf.DUMMYFUNCTION("""COMPUTED_VALUE"""),0.922300766121746)</f>
        <v>0.9223007661</v>
      </c>
      <c r="AQ799" s="57">
        <f>IFERROR(__xludf.DUMMYFUNCTION("""COMPUTED_VALUE"""),0.9884115301503823)</f>
        <v>0.9884115302</v>
      </c>
      <c r="AR799" s="36" t="b">
        <f>IFERROR(__xludf.DUMMYFUNCTION("""COMPUTED_VALUE"""),TRUE)</f>
        <v>1</v>
      </c>
      <c r="AS799" s="57"/>
      <c r="AT799" s="37"/>
      <c r="AU799" s="30"/>
      <c r="AV799" s="30"/>
      <c r="AW799" s="30"/>
      <c r="AX799" s="30"/>
      <c r="AY799" s="30"/>
      <c r="AZ799" s="30"/>
    </row>
    <row r="800">
      <c r="A800" s="30" t="str">
        <f>IFERROR(__xludf.DUMMYFUNCTION("""COMPUTED_VALUE"""),"Veteran")</f>
        <v>Veteran</v>
      </c>
      <c r="B800" s="30" t="str">
        <f>IFERROR(__xludf.DUMMYFUNCTION("""COMPUTED_VALUE"""),"RSC006700")</f>
        <v>RSC006700</v>
      </c>
      <c r="C800" s="30" t="str">
        <f>IFERROR(__xludf.DUMMYFUNCTION("""COMPUTED_VALUE"""),"Terx")</f>
        <v>Terx</v>
      </c>
      <c r="D800" s="31" t="str">
        <f>IFERROR(__xludf.DUMMYFUNCTION("""COMPUTED_VALUE"""),"Penguins")</f>
        <v>Penguins</v>
      </c>
      <c r="E800" s="31">
        <f>IFERROR(__xludf.DUMMYFUNCTION("""COMPUTED_VALUE"""),41.419530320515264)</f>
        <v>41.41953032</v>
      </c>
      <c r="F800" s="31">
        <f>IFERROR(__xludf.DUMMYFUNCTION("""COMPUTED_VALUE"""),-2.7343551843261014)</f>
        <v>-2.734355184</v>
      </c>
      <c r="G800" s="31">
        <f>IFERROR(__xludf.DUMMYFUNCTION("""COMPUTED_VALUE"""),32.033121597074796)</f>
        <v>32.0331216</v>
      </c>
      <c r="H800" s="31">
        <f>IFERROR(__xludf.DUMMYFUNCTION("""COMPUTED_VALUE"""),-4.2342281294747925)</f>
        <v>-4.234228129</v>
      </c>
      <c r="I800" s="54">
        <f>IFERROR(__xludf.DUMMYFUNCTION("""COMPUTED_VALUE"""),36.0)</f>
        <v>36</v>
      </c>
      <c r="J800" s="55">
        <f>IFERROR(__xludf.DUMMYFUNCTION("""COMPUTED_VALUE"""),22.0)</f>
        <v>22</v>
      </c>
      <c r="K800" s="54">
        <f>IFERROR(__xludf.DUMMYFUNCTION("""COMPUTED_VALUE"""),14.0)</f>
        <v>14</v>
      </c>
      <c r="L800" s="56">
        <f>IFERROR(__xludf.DUMMYFUNCTION("""COMPUTED_VALUE"""),0.6111111111111112)</f>
        <v>0.6111111111</v>
      </c>
      <c r="M800" s="56">
        <f>IFERROR(__xludf.DUMMYFUNCTION("""COMPUTED_VALUE"""),0.19999999999999998)</f>
        <v>0.2</v>
      </c>
      <c r="N800" s="31">
        <f>IFERROR(__xludf.DUMMYFUNCTION("""COMPUTED_VALUE"""),275.0833333333333)</f>
        <v>275.0833333</v>
      </c>
      <c r="O800" s="57">
        <f>IFERROR(__xludf.DUMMYFUNCTION("""COMPUTED_VALUE"""),0.4722222222222222)</f>
        <v>0.4722222222</v>
      </c>
      <c r="P800" s="57">
        <f>IFERROR(__xludf.DUMMYFUNCTION("""COMPUTED_VALUE"""),0.6111111111111112)</f>
        <v>0.6111111111</v>
      </c>
      <c r="Q800" s="57">
        <f>IFERROR(__xludf.DUMMYFUNCTION("""COMPUTED_VALUE"""),1.0555555555555556)</f>
        <v>1.055555556</v>
      </c>
      <c r="R800" s="57">
        <f>IFERROR(__xludf.DUMMYFUNCTION("""COMPUTED_VALUE"""),2.361111111111111)</f>
        <v>2.361111111</v>
      </c>
      <c r="S800" s="31">
        <f>IFERROR(__xludf.DUMMYFUNCTION("""COMPUTED_VALUE"""),327.59259259259255)</f>
        <v>327.5925926</v>
      </c>
      <c r="T800" s="57">
        <f>IFERROR(__xludf.DUMMYFUNCTION("""COMPUTED_VALUE"""),0.6203703703703703)</f>
        <v>0.6203703704</v>
      </c>
      <c r="U800" s="57">
        <f>IFERROR(__xludf.DUMMYFUNCTION("""COMPUTED_VALUE"""),0.4166666666666668)</f>
        <v>0.4166666667</v>
      </c>
      <c r="V800" s="57">
        <f>IFERROR(__xludf.DUMMYFUNCTION("""COMPUTED_VALUE"""),1.5277777777777775)</f>
        <v>1.527777778</v>
      </c>
      <c r="W800" s="57">
        <f>IFERROR(__xludf.DUMMYFUNCTION("""COMPUTED_VALUE"""),2.2037037037037033)</f>
        <v>2.203703704</v>
      </c>
      <c r="X800" s="31">
        <f>IFERROR(__xludf.DUMMYFUNCTION("""COMPUTED_VALUE"""),354.7786011441707)</f>
        <v>354.7786011</v>
      </c>
      <c r="Y800" s="57">
        <f>IFERROR(__xludf.DUMMYFUNCTION("""COMPUTED_VALUE"""),0.7862001074370173)</f>
        <v>0.7862001074</v>
      </c>
      <c r="Z800" s="57">
        <f>IFERROR(__xludf.DUMMYFUNCTION("""COMPUTED_VALUE"""),0.5554088573007425)</f>
        <v>0.5554088573</v>
      </c>
      <c r="AA800" s="57">
        <f>IFERROR(__xludf.DUMMYFUNCTION("""COMPUTED_VALUE"""),1.3971396634755928)</f>
        <v>1.397139663</v>
      </c>
      <c r="AB800" s="57">
        <f>IFERROR(__xludf.DUMMYFUNCTION("""COMPUTED_VALUE"""),2.6042273568170557)</f>
        <v>2.604227357</v>
      </c>
      <c r="AC800" s="31">
        <f>IFERROR(__xludf.DUMMYFUNCTION("""COMPUTED_VALUE"""),348.3869072734055)</f>
        <v>348.3869073</v>
      </c>
      <c r="AD800" s="57">
        <f>IFERROR(__xludf.DUMMYFUNCTION("""COMPUTED_VALUE"""),0.7707942263399628)</f>
        <v>0.7707942263</v>
      </c>
      <c r="AE800" s="57">
        <f>IFERROR(__xludf.DUMMYFUNCTION("""COMPUTED_VALUE"""),0.5505378181380323)</f>
        <v>0.5505378181</v>
      </c>
      <c r="AF800" s="57">
        <f>IFERROR(__xludf.DUMMYFUNCTION("""COMPUTED_VALUE"""),1.338410098990893)</f>
        <v>1.338410099</v>
      </c>
      <c r="AG800" s="57">
        <f>IFERROR(__xludf.DUMMYFUNCTION("""COMPUTED_VALUE"""),2.6302566716068716)</f>
        <v>2.630256672</v>
      </c>
      <c r="AH800" s="57">
        <f>IFERROR(__xludf.DUMMYFUNCTION("""COMPUTED_VALUE"""),0.7895914788710894)</f>
        <v>0.7895914789</v>
      </c>
      <c r="AI800" s="57">
        <f>IFERROR(__xludf.DUMMYFUNCTION("""COMPUTED_VALUE"""),0.6126436941082459)</f>
        <v>0.6126436941</v>
      </c>
      <c r="AJ800" s="57">
        <f>IFERROR(__xludf.DUMMYFUNCTION("""COMPUTED_VALUE"""),1.110025671220813)</f>
        <v>1.110025671</v>
      </c>
      <c r="AK800" s="57">
        <f>IFERROR(__xludf.DUMMYFUNCTION("""COMPUTED_VALUE"""),0.788663770806423)</f>
        <v>0.7886637708</v>
      </c>
      <c r="AL800" s="57">
        <f>IFERROR(__xludf.DUMMYFUNCTION("""COMPUTED_VALUE"""),0.8976732714334931)</f>
        <v>0.8976732714</v>
      </c>
      <c r="AM800" s="57">
        <f>IFERROR(__xludf.DUMMYFUNCTION("""COMPUTED_VALUE"""),0.9233719044387049)</f>
        <v>0.9233719044</v>
      </c>
      <c r="AN800" s="57">
        <f>IFERROR(__xludf.DUMMYFUNCTION("""COMPUTED_VALUE"""),0.7890743902245885)</f>
        <v>0.7890743902</v>
      </c>
      <c r="AO800" s="57">
        <f>IFERROR(__xludf.DUMMYFUNCTION("""COMPUTED_VALUE"""),0.7501980949523287)</f>
        <v>0.750198095</v>
      </c>
      <c r="AP800" s="35">
        <f>IFERROR(__xludf.DUMMYFUNCTION("""COMPUTED_VALUE"""),1.0935039765295926)</f>
        <v>1.093503977</v>
      </c>
      <c r="AQ800" s="57">
        <f>IFERROR(__xludf.DUMMYFUNCTION("""COMPUTED_VALUE"""),0.846202501457906)</f>
        <v>0.8462025015</v>
      </c>
      <c r="AR800" s="36" t="b">
        <f>IFERROR(__xludf.DUMMYFUNCTION("""COMPUTED_VALUE"""),TRUE)</f>
        <v>1</v>
      </c>
      <c r="AS800" s="57"/>
      <c r="AT800" s="37"/>
      <c r="AU800" s="30"/>
      <c r="AV800" s="30"/>
      <c r="AW800" s="30"/>
      <c r="AX800" s="30"/>
      <c r="AY800" s="30"/>
      <c r="AZ800" s="30"/>
    </row>
    <row r="801">
      <c r="A801" s="30" t="str">
        <f>IFERROR(__xludf.DUMMYFUNCTION("""COMPUTED_VALUE"""),"Veteran")</f>
        <v>Veteran</v>
      </c>
      <c r="B801" s="30" t="str">
        <f>IFERROR(__xludf.DUMMYFUNCTION("""COMPUTED_VALUE"""),"RSC004859")</f>
        <v>RSC004859</v>
      </c>
      <c r="C801" s="30" t="str">
        <f>IFERROR(__xludf.DUMMYFUNCTION("""COMPUTED_VALUE"""),"LowFadeEnthusiast")</f>
        <v>LowFadeEnthusiast</v>
      </c>
      <c r="D801" s="31"/>
      <c r="E801" s="31">
        <f>IFERROR(__xludf.DUMMYFUNCTION("""COMPUTED_VALUE"""),40.280472551916105)</f>
        <v>40.28047255</v>
      </c>
      <c r="F801" s="31">
        <f>IFERROR(__xludf.DUMMYFUNCTION("""COMPUTED_VALUE"""),-2.867638065665103)</f>
        <v>-2.867638066</v>
      </c>
      <c r="G801" s="31">
        <f>IFERROR(__xludf.DUMMYFUNCTION("""COMPUTED_VALUE"""),26.19561099691122)</f>
        <v>26.195611</v>
      </c>
      <c r="H801" s="31">
        <f>IFERROR(__xludf.DUMMYFUNCTION("""COMPUTED_VALUE"""),-5.864965843700367)</f>
        <v>-5.864965844</v>
      </c>
      <c r="I801" s="54">
        <f>IFERROR(__xludf.DUMMYFUNCTION("""COMPUTED_VALUE"""),8.0)</f>
        <v>8</v>
      </c>
      <c r="J801" s="55">
        <f>IFERROR(__xludf.DUMMYFUNCTION("""COMPUTED_VALUE"""),5.0)</f>
        <v>5</v>
      </c>
      <c r="K801" s="54">
        <f>IFERROR(__xludf.DUMMYFUNCTION("""COMPUTED_VALUE"""),3.0)</f>
        <v>3</v>
      </c>
      <c r="L801" s="56">
        <f>IFERROR(__xludf.DUMMYFUNCTION("""COMPUTED_VALUE"""),0.625)</f>
        <v>0.625</v>
      </c>
      <c r="M801" s="56">
        <f>IFERROR(__xludf.DUMMYFUNCTION("""COMPUTED_VALUE"""),0.3157894736842105)</f>
        <v>0.3157894737</v>
      </c>
      <c r="N801" s="31">
        <f>IFERROR(__xludf.DUMMYFUNCTION("""COMPUTED_VALUE"""),283.125)</f>
        <v>283.125</v>
      </c>
      <c r="O801" s="57">
        <f>IFERROR(__xludf.DUMMYFUNCTION("""COMPUTED_VALUE"""),0.75)</f>
        <v>0.75</v>
      </c>
      <c r="P801" s="57">
        <f>IFERROR(__xludf.DUMMYFUNCTION("""COMPUTED_VALUE"""),0.25)</f>
        <v>0.25</v>
      </c>
      <c r="Q801" s="57">
        <f>IFERROR(__xludf.DUMMYFUNCTION("""COMPUTED_VALUE"""),0.875)</f>
        <v>0.875</v>
      </c>
      <c r="R801" s="57">
        <f>IFERROR(__xludf.DUMMYFUNCTION("""COMPUTED_VALUE"""),2.375)</f>
        <v>2.375</v>
      </c>
      <c r="S801" s="31">
        <f>IFERROR(__xludf.DUMMYFUNCTION("""COMPUTED_VALUE"""),311.95833333333337)</f>
        <v>311.9583333</v>
      </c>
      <c r="T801" s="57">
        <f>IFERROR(__xludf.DUMMYFUNCTION("""COMPUTED_VALUE"""),0.41666666666666663)</f>
        <v>0.4166666667</v>
      </c>
      <c r="U801" s="57">
        <f>IFERROR(__xludf.DUMMYFUNCTION("""COMPUTED_VALUE"""),0.375)</f>
        <v>0.375</v>
      </c>
      <c r="V801" s="57">
        <f>IFERROR(__xludf.DUMMYFUNCTION("""COMPUTED_VALUE"""),1.3333333333333335)</f>
        <v>1.333333333</v>
      </c>
      <c r="W801" s="57">
        <f>IFERROR(__xludf.DUMMYFUNCTION("""COMPUTED_VALUE"""),2.541666666666667)</f>
        <v>2.541666667</v>
      </c>
      <c r="X801" s="31">
        <f>IFERROR(__xludf.DUMMYFUNCTION("""COMPUTED_VALUE"""),338.7839856594811)</f>
        <v>338.7839857</v>
      </c>
      <c r="Y801" s="57">
        <f>IFERROR(__xludf.DUMMYFUNCTION("""COMPUTED_VALUE"""),0.6641234319814883)</f>
        <v>0.664123432</v>
      </c>
      <c r="Z801" s="57">
        <f>IFERROR(__xludf.DUMMYFUNCTION("""COMPUTED_VALUE"""),0.517148033126294)</f>
        <v>0.5171480331</v>
      </c>
      <c r="AA801" s="57">
        <f>IFERROR(__xludf.DUMMYFUNCTION("""COMPUTED_VALUE"""),1.3584628851540617)</f>
        <v>1.358462885</v>
      </c>
      <c r="AB801" s="57">
        <f>IFERROR(__xludf.DUMMYFUNCTION("""COMPUTED_VALUE"""),2.590229570088905)</f>
        <v>2.59022957</v>
      </c>
      <c r="AC801" s="31">
        <f>IFERROR(__xludf.DUMMYFUNCTION("""COMPUTED_VALUE"""),349.3048338610806)</f>
        <v>349.3048339</v>
      </c>
      <c r="AD801" s="57">
        <f>IFERROR(__xludf.DUMMYFUNCTION("""COMPUTED_VALUE"""),0.7094661632769049)</f>
        <v>0.7094661633</v>
      </c>
      <c r="AE801" s="57">
        <f>IFERROR(__xludf.DUMMYFUNCTION("""COMPUTED_VALUE"""),0.48773261478504437)</f>
        <v>0.4877326148</v>
      </c>
      <c r="AF801" s="57">
        <f>IFERROR(__xludf.DUMMYFUNCTION("""COMPUTED_VALUE"""),1.4309313725490198)</f>
        <v>1.430931373</v>
      </c>
      <c r="AG801" s="57">
        <f>IFERROR(__xludf.DUMMYFUNCTION("""COMPUTED_VALUE"""),2.3985381398936387)</f>
        <v>2.39853814</v>
      </c>
      <c r="AH801" s="57">
        <f>IFERROR(__xludf.DUMMYFUNCTION("""COMPUTED_VALUE"""),0.8105384539642515)</f>
        <v>0.810538454</v>
      </c>
      <c r="AI801" s="57">
        <f>IFERROR(__xludf.DUMMYFUNCTION("""COMPUTED_VALUE"""),1.0571328680932097)</f>
        <v>1.057132868</v>
      </c>
      <c r="AJ801" s="57">
        <f>IFERROR(__xludf.DUMMYFUNCTION("""COMPUTED_VALUE"""),0.5125759328401303)</f>
        <v>0.5125759328</v>
      </c>
      <c r="AK801" s="57">
        <f>IFERROR(__xludf.DUMMYFUNCTION("""COMPUTED_VALUE"""),0.6114898427597546)</f>
        <v>0.6114898428</v>
      </c>
      <c r="AL801" s="57">
        <f>IFERROR(__xludf.DUMMYFUNCTION("""COMPUTED_VALUE"""),0.9901864642041163)</f>
        <v>0.9901864642</v>
      </c>
      <c r="AM801" s="57">
        <f>IFERROR(__xludf.DUMMYFUNCTION("""COMPUTED_VALUE"""),0.9208178265158296)</f>
        <v>0.9208178265</v>
      </c>
      <c r="AN801" s="57">
        <f>IFERROR(__xludf.DUMMYFUNCTION("""COMPUTED_VALUE"""),0.6273934130339204)</f>
        <v>0.627393413</v>
      </c>
      <c r="AO801" s="57">
        <f>IFERROR(__xludf.DUMMYFUNCTION("""COMPUTED_VALUE"""),0.7251308638515509)</f>
        <v>0.7251308639</v>
      </c>
      <c r="AP801" s="35">
        <f>IFERROR(__xludf.DUMMYFUNCTION("""COMPUTED_VALUE"""),0.98150148075788)</f>
        <v>0.9815014808</v>
      </c>
      <c r="AQ801" s="57">
        <f>IFERROR(__xludf.DUMMYFUNCTION("""COMPUTED_VALUE"""),0.9812515060506505)</f>
        <v>0.9812515061</v>
      </c>
      <c r="AR801" s="36" t="b">
        <f>IFERROR(__xludf.DUMMYFUNCTION("""COMPUTED_VALUE"""),TRUE)</f>
        <v>1</v>
      </c>
      <c r="AS801" s="57"/>
      <c r="AT801" s="37"/>
      <c r="AU801" s="30"/>
      <c r="AV801" s="30"/>
      <c r="AW801" s="30"/>
      <c r="AX801" s="30"/>
      <c r="AY801" s="30"/>
      <c r="AZ801" s="30"/>
    </row>
    <row r="802">
      <c r="A802" s="30" t="str">
        <f>IFERROR(__xludf.DUMMYFUNCTION("""COMPUTED_VALUE"""),"Veteran")</f>
        <v>Veteran</v>
      </c>
      <c r="B802" s="30" t="str">
        <f>IFERROR(__xludf.DUMMYFUNCTION("""COMPUTED_VALUE"""),"RSC002668")</f>
        <v>RSC002668</v>
      </c>
      <c r="C802" s="30" t="str">
        <f>IFERROR(__xludf.DUMMYFUNCTION("""COMPUTED_VALUE"""),"Azorh &lt;3")</f>
        <v>Azorh &lt;3</v>
      </c>
      <c r="D802" s="31" t="str">
        <f>IFERROR(__xludf.DUMMYFUNCTION("""COMPUTED_VALUE"""),"Peppermint")</f>
        <v>Peppermint</v>
      </c>
      <c r="E802" s="31">
        <f>IFERROR(__xludf.DUMMYFUNCTION("""COMPUTED_VALUE"""),39.87703237084181)</f>
        <v>39.87703237</v>
      </c>
      <c r="F802" s="31">
        <f>IFERROR(__xludf.DUMMYFUNCTION("""COMPUTED_VALUE"""),-2.917419799029979)</f>
        <v>-2.917419799</v>
      </c>
      <c r="G802" s="31">
        <f>IFERROR(__xludf.DUMMYFUNCTION("""COMPUTED_VALUE"""),40.72230276409498)</f>
        <v>40.72230276</v>
      </c>
      <c r="H802" s="31">
        <f>IFERROR(__xludf.DUMMYFUNCTION("""COMPUTED_VALUE"""),-2.8146925683857584)</f>
        <v>-2.814692568</v>
      </c>
      <c r="I802" s="54">
        <f>IFERROR(__xludf.DUMMYFUNCTION("""COMPUTED_VALUE"""),30.0)</f>
        <v>30</v>
      </c>
      <c r="J802" s="55">
        <f>IFERROR(__xludf.DUMMYFUNCTION("""COMPUTED_VALUE"""),13.0)</f>
        <v>13</v>
      </c>
      <c r="K802" s="54">
        <f>IFERROR(__xludf.DUMMYFUNCTION("""COMPUTED_VALUE"""),17.0)</f>
        <v>17</v>
      </c>
      <c r="L802" s="56">
        <f>IFERROR(__xludf.DUMMYFUNCTION("""COMPUTED_VALUE"""),0.43333333333333335)</f>
        <v>0.4333333333</v>
      </c>
      <c r="M802" s="56">
        <f>IFERROR(__xludf.DUMMYFUNCTION("""COMPUTED_VALUE"""),0.24)</f>
        <v>0.24</v>
      </c>
      <c r="N802" s="31">
        <f>IFERROR(__xludf.DUMMYFUNCTION("""COMPUTED_VALUE"""),351.8333333333333)</f>
        <v>351.8333333</v>
      </c>
      <c r="O802" s="57">
        <f>IFERROR(__xludf.DUMMYFUNCTION("""COMPUTED_VALUE"""),0.6)</f>
        <v>0.6</v>
      </c>
      <c r="P802" s="57">
        <f>IFERROR(__xludf.DUMMYFUNCTION("""COMPUTED_VALUE"""),0.6333333333333333)</f>
        <v>0.6333333333</v>
      </c>
      <c r="Q802" s="57">
        <f>IFERROR(__xludf.DUMMYFUNCTION("""COMPUTED_VALUE"""),1.6)</f>
        <v>1.6</v>
      </c>
      <c r="R802" s="57">
        <f>IFERROR(__xludf.DUMMYFUNCTION("""COMPUTED_VALUE"""),2.5)</f>
        <v>2.5</v>
      </c>
      <c r="S802" s="31">
        <f>IFERROR(__xludf.DUMMYFUNCTION("""COMPUTED_VALUE"""),374.6777777777778)</f>
        <v>374.6777778</v>
      </c>
      <c r="T802" s="57">
        <f>IFERROR(__xludf.DUMMYFUNCTION("""COMPUTED_VALUE"""),0.9888888888888889)</f>
        <v>0.9888888889</v>
      </c>
      <c r="U802" s="57">
        <f>IFERROR(__xludf.DUMMYFUNCTION("""COMPUTED_VALUE"""),0.688888888888889)</f>
        <v>0.6888888889</v>
      </c>
      <c r="V802" s="57">
        <f>IFERROR(__xludf.DUMMYFUNCTION("""COMPUTED_VALUE"""),1.1666666666666672)</f>
        <v>1.166666667</v>
      </c>
      <c r="W802" s="57">
        <f>IFERROR(__xludf.DUMMYFUNCTION("""COMPUTED_VALUE"""),3.18888888888889)</f>
        <v>3.188888889</v>
      </c>
      <c r="X802" s="31">
        <f>IFERROR(__xludf.DUMMYFUNCTION("""COMPUTED_VALUE"""),350.7031323472329)</f>
        <v>350.7031323</v>
      </c>
      <c r="Y802" s="57">
        <f>IFERROR(__xludf.DUMMYFUNCTION("""COMPUTED_VALUE"""),0.8005109337156372)</f>
        <v>0.8005109337</v>
      </c>
      <c r="Z802" s="57">
        <f>IFERROR(__xludf.DUMMYFUNCTION("""COMPUTED_VALUE"""),0.5745123467084335)</f>
        <v>0.5745123467</v>
      </c>
      <c r="AA802" s="57">
        <f>IFERROR(__xludf.DUMMYFUNCTION("""COMPUTED_VALUE"""),1.3082777164984747)</f>
        <v>1.308277716</v>
      </c>
      <c r="AB802" s="57">
        <f>IFERROR(__xludf.DUMMYFUNCTION("""COMPUTED_VALUE"""),2.6285254508218823)</f>
        <v>2.628525451</v>
      </c>
      <c r="AC802" s="31">
        <f>IFERROR(__xludf.DUMMYFUNCTION("""COMPUTED_VALUE"""),359.07998043628413)</f>
        <v>359.0799804</v>
      </c>
      <c r="AD802" s="57">
        <f>IFERROR(__xludf.DUMMYFUNCTION("""COMPUTED_VALUE"""),0.859036479117276)</f>
        <v>0.8590364791</v>
      </c>
      <c r="AE802" s="57">
        <f>IFERROR(__xludf.DUMMYFUNCTION("""COMPUTED_VALUE"""),0.6269108776795408)</f>
        <v>0.6269108777</v>
      </c>
      <c r="AF802" s="57">
        <f>IFERROR(__xludf.DUMMYFUNCTION("""COMPUTED_VALUE"""),1.3063751626910947)</f>
        <v>1.306375163</v>
      </c>
      <c r="AG802" s="57">
        <f>IFERROR(__xludf.DUMMYFUNCTION("""COMPUTED_VALUE"""),2.630343952051676)</f>
        <v>2.630343952</v>
      </c>
      <c r="AH802" s="57">
        <f>IFERROR(__xludf.DUMMYFUNCTION("""COMPUTED_VALUE"""),0.9798188495661995)</f>
        <v>0.9798188496</v>
      </c>
      <c r="AI802" s="57">
        <f>IFERROR(__xludf.DUMMYFUNCTION("""COMPUTED_VALUE"""),0.6984569509976395)</f>
        <v>0.698456951</v>
      </c>
      <c r="AJ802" s="57">
        <f>IFERROR(__xludf.DUMMYFUNCTION("""COMPUTED_VALUE"""),1.010244607140276)</f>
        <v>1.010244607</v>
      </c>
      <c r="AK802" s="57">
        <f>IFERROR(__xludf.DUMMYFUNCTION("""COMPUTED_VALUE"""),1.2247630280294421)</f>
        <v>1.224763028</v>
      </c>
      <c r="AL802" s="57">
        <f>IFERROR(__xludf.DUMMYFUNCTION("""COMPUTED_VALUE"""),0.9504460426363605)</f>
        <v>0.9504460426</v>
      </c>
      <c r="AM802" s="57">
        <f>IFERROR(__xludf.DUMMYFUNCTION("""COMPUTED_VALUE"""),1.0683616518338008)</f>
        <v>1.068361652</v>
      </c>
      <c r="AN802" s="57">
        <f>IFERROR(__xludf.DUMMYFUNCTION("""COMPUTED_VALUE"""),1.2353221514400559)</f>
        <v>1.235322151</v>
      </c>
      <c r="AO802" s="57">
        <f>IFERROR(__xludf.DUMMYFUNCTION("""COMPUTED_VALUE"""),1.199084567695987)</f>
        <v>1.199084568</v>
      </c>
      <c r="AP802" s="35">
        <f>IFERROR(__xludf.DUMMYFUNCTION("""COMPUTED_VALUE"""),0.8917576535578234)</f>
        <v>0.8917576536</v>
      </c>
      <c r="AQ802" s="57">
        <f>IFERROR(__xludf.DUMMYFUNCTION("""COMPUTED_VALUE"""),1.2131854716840555)</f>
        <v>1.213185472</v>
      </c>
      <c r="AR802" s="36" t="b">
        <f>IFERROR(__xludf.DUMMYFUNCTION("""COMPUTED_VALUE"""),TRUE)</f>
        <v>1</v>
      </c>
      <c r="AS802" s="57"/>
      <c r="AT802" s="37"/>
      <c r="AU802" s="30"/>
      <c r="AV802" s="30"/>
      <c r="AW802" s="30"/>
      <c r="AX802" s="30"/>
      <c r="AY802" s="30"/>
      <c r="AZ802" s="30"/>
    </row>
    <row r="803">
      <c r="A803" s="30" t="str">
        <f>IFERROR(__xludf.DUMMYFUNCTION("""COMPUTED_VALUE"""),"Veteran")</f>
        <v>Veteran</v>
      </c>
      <c r="B803" s="30" t="str">
        <f>IFERROR(__xludf.DUMMYFUNCTION("""COMPUTED_VALUE"""),"RSC007625")</f>
        <v>RSC007625</v>
      </c>
      <c r="C803" s="30" t="str">
        <f>IFERROR(__xludf.DUMMYFUNCTION("""COMPUTED_VALUE"""),"assassin_funny.")</f>
        <v>assassin_funny.</v>
      </c>
      <c r="D803" s="31" t="str">
        <f>IFERROR(__xludf.DUMMYFUNCTION("""COMPUTED_VALUE"""),"Mellow Fellows")</f>
        <v>Mellow Fellows</v>
      </c>
      <c r="E803" s="31">
        <f>IFERROR(__xludf.DUMMYFUNCTION("""COMPUTED_VALUE"""),39.82209656984696)</f>
        <v>39.82209657</v>
      </c>
      <c r="F803" s="31">
        <f>IFERROR(__xludf.DUMMYFUNCTION("""COMPUTED_VALUE"""),-2.9243071243812824)</f>
        <v>-2.924307124</v>
      </c>
      <c r="G803" s="31">
        <f>IFERROR(__xludf.DUMMYFUNCTION("""COMPUTED_VALUE"""),35.355913901000555)</f>
        <v>35.3559139</v>
      </c>
      <c r="H803" s="31">
        <f>IFERROR(__xludf.DUMMYFUNCTION("""COMPUTED_VALUE"""),-3.584007845529436)</f>
        <v>-3.584007846</v>
      </c>
      <c r="I803" s="54">
        <f>IFERROR(__xludf.DUMMYFUNCTION("""COMPUTED_VALUE"""),5.0)</f>
        <v>5</v>
      </c>
      <c r="J803" s="55">
        <f>IFERROR(__xludf.DUMMYFUNCTION("""COMPUTED_VALUE"""),1.0)</f>
        <v>1</v>
      </c>
      <c r="K803" s="54">
        <f>IFERROR(__xludf.DUMMYFUNCTION("""COMPUTED_VALUE"""),4.0)</f>
        <v>4</v>
      </c>
      <c r="L803" s="56">
        <f>IFERROR(__xludf.DUMMYFUNCTION("""COMPUTED_VALUE"""),0.2)</f>
        <v>0.2</v>
      </c>
      <c r="M803" s="56">
        <f>IFERROR(__xludf.DUMMYFUNCTION("""COMPUTED_VALUE"""),0.19999999999999998)</f>
        <v>0.2</v>
      </c>
      <c r="N803" s="31">
        <f>IFERROR(__xludf.DUMMYFUNCTION("""COMPUTED_VALUE"""),342.4)</f>
        <v>342.4</v>
      </c>
      <c r="O803" s="57">
        <f>IFERROR(__xludf.DUMMYFUNCTION("""COMPUTED_VALUE"""),0.6)</f>
        <v>0.6</v>
      </c>
      <c r="P803" s="57">
        <f>IFERROR(__xludf.DUMMYFUNCTION("""COMPUTED_VALUE"""),0.6)</f>
        <v>0.6</v>
      </c>
      <c r="Q803" s="57">
        <f>IFERROR(__xludf.DUMMYFUNCTION("""COMPUTED_VALUE"""),1.4)</f>
        <v>1.4</v>
      </c>
      <c r="R803" s="57">
        <f>IFERROR(__xludf.DUMMYFUNCTION("""COMPUTED_VALUE"""),3.0)</f>
        <v>3</v>
      </c>
      <c r="S803" s="31">
        <f>IFERROR(__xludf.DUMMYFUNCTION("""COMPUTED_VALUE"""),403.66666666666663)</f>
        <v>403.6666667</v>
      </c>
      <c r="T803" s="57">
        <f>IFERROR(__xludf.DUMMYFUNCTION("""COMPUTED_VALUE"""),1.0666666666666669)</f>
        <v>1.066666667</v>
      </c>
      <c r="U803" s="57">
        <f>IFERROR(__xludf.DUMMYFUNCTION("""COMPUTED_VALUE"""),0.8)</f>
        <v>0.8</v>
      </c>
      <c r="V803" s="57">
        <f>IFERROR(__xludf.DUMMYFUNCTION("""COMPUTED_VALUE"""),1.6)</f>
        <v>1.6</v>
      </c>
      <c r="W803" s="57">
        <f>IFERROR(__xludf.DUMMYFUNCTION("""COMPUTED_VALUE"""),3.6)</f>
        <v>3.6</v>
      </c>
      <c r="X803" s="31">
        <f>IFERROR(__xludf.DUMMYFUNCTION("""COMPUTED_VALUE"""),340.30281979458454)</f>
        <v>340.3028198</v>
      </c>
      <c r="Y803" s="57">
        <f>IFERROR(__xludf.DUMMYFUNCTION("""COMPUTED_VALUE"""),0.765552443199502)</f>
        <v>0.7655524432</v>
      </c>
      <c r="Z803" s="57">
        <f>IFERROR(__xludf.DUMMYFUNCTION("""COMPUTED_VALUE"""),0.4891378773731715)</f>
        <v>0.4891378774</v>
      </c>
      <c r="AA803" s="57">
        <f>IFERROR(__xludf.DUMMYFUNCTION("""COMPUTED_VALUE"""),1.3287145969498912)</f>
        <v>1.328714597</v>
      </c>
      <c r="AB803" s="57">
        <f>IFERROR(__xludf.DUMMYFUNCTION("""COMPUTED_VALUE"""),2.604400871459695)</f>
        <v>2.604400871</v>
      </c>
      <c r="AC803" s="31">
        <f>IFERROR(__xludf.DUMMYFUNCTION("""COMPUTED_VALUE"""),339.0120199190787)</f>
        <v>339.0120199</v>
      </c>
      <c r="AD803" s="57">
        <f>IFERROR(__xludf.DUMMYFUNCTION("""COMPUTED_VALUE"""),0.7310198153335409)</f>
        <v>0.7310198153</v>
      </c>
      <c r="AE803" s="57">
        <f>IFERROR(__xludf.DUMMYFUNCTION("""COMPUTED_VALUE"""),0.5182882041705572)</f>
        <v>0.5182882042</v>
      </c>
      <c r="AF803" s="57">
        <f>IFERROR(__xludf.DUMMYFUNCTION("""COMPUTED_VALUE"""),1.365156136528686)</f>
        <v>1.365156137</v>
      </c>
      <c r="AG803" s="57">
        <f>IFERROR(__xludf.DUMMYFUNCTION("""COMPUTED_VALUE"""),2.453497250752153)</f>
        <v>2.453497251</v>
      </c>
      <c r="AH803" s="57">
        <f>IFERROR(__xludf.DUMMYFUNCTION("""COMPUTED_VALUE"""),1.00999368719059)</f>
        <v>1.009993687</v>
      </c>
      <c r="AI803" s="57">
        <f>IFERROR(__xludf.DUMMYFUNCTION("""COMPUTED_VALUE"""),0.8207711848771695)</f>
        <v>0.8207711849</v>
      </c>
      <c r="AJ803" s="57">
        <f>IFERROR(__xludf.DUMMYFUNCTION("""COMPUTED_VALUE"""),1.1576570625608011)</f>
        <v>1.157657063</v>
      </c>
      <c r="AK803" s="57">
        <f>IFERROR(__xludf.DUMMYFUNCTION("""COMPUTED_VALUE"""),1.025523720356204)</f>
        <v>1.02552372</v>
      </c>
      <c r="AL803" s="57">
        <f>IFERROR(__xludf.DUMMYFUNCTION("""COMPUTED_VALUE"""),1.2227443903107327)</f>
        <v>1.22274439</v>
      </c>
      <c r="AM803" s="57">
        <f>IFERROR(__xludf.DUMMYFUNCTION("""COMPUTED_VALUE"""),1.1861984185447836)</f>
        <v>1.186198419</v>
      </c>
      <c r="AN803" s="57">
        <f>IFERROR(__xludf.DUMMYFUNCTION("""COMPUTED_VALUE"""),1.393329322036655)</f>
        <v>1.393329322</v>
      </c>
      <c r="AO803" s="57">
        <f>IFERROR(__xludf.DUMMYFUNCTION("""COMPUTED_VALUE"""),1.6355306693815221)</f>
        <v>1.635530669</v>
      </c>
      <c r="AP803" s="35">
        <f>IFERROR(__xludf.DUMMYFUNCTION("""COMPUTED_VALUE"""),1.2041713123893223)</f>
        <v>1.204171312</v>
      </c>
      <c r="AQ803" s="57">
        <f>IFERROR(__xludf.DUMMYFUNCTION("""COMPUTED_VALUE"""),1.382275685533118)</f>
        <v>1.382275686</v>
      </c>
      <c r="AR803" s="36" t="b">
        <f>IFERROR(__xludf.DUMMYFUNCTION("""COMPUTED_VALUE"""),TRUE)</f>
        <v>1</v>
      </c>
      <c r="AS803" s="57"/>
      <c r="AT803" s="37"/>
      <c r="AU803" s="30"/>
      <c r="AV803" s="30"/>
      <c r="AW803" s="30"/>
      <c r="AX803" s="30"/>
      <c r="AY803" s="30"/>
      <c r="AZ803" s="30"/>
    </row>
    <row r="804">
      <c r="A804" s="30" t="str">
        <f>IFERROR(__xludf.DUMMYFUNCTION("""COMPUTED_VALUE"""),"Veteran")</f>
        <v>Veteran</v>
      </c>
      <c r="B804" s="30" t="str">
        <f>IFERROR(__xludf.DUMMYFUNCTION("""COMPUTED_VALUE"""),"RSC001612")</f>
        <v>RSC001612</v>
      </c>
      <c r="C804" s="30" t="str">
        <f>IFERROR(__xludf.DUMMYFUNCTION("""COMPUTED_VALUE"""),"Reverse Fridge")</f>
        <v>Reverse Fridge</v>
      </c>
      <c r="D804" s="31" t="str">
        <f>IFERROR(__xludf.DUMMYFUNCTION("""COMPUTED_VALUE"""),"Mellow Fellows")</f>
        <v>Mellow Fellows</v>
      </c>
      <c r="E804" s="31">
        <f>IFERROR(__xludf.DUMMYFUNCTION("""COMPUTED_VALUE"""),39.694495777770264)</f>
        <v>39.69449578</v>
      </c>
      <c r="F804" s="31">
        <f>IFERROR(__xludf.DUMMYFUNCTION("""COMPUTED_VALUE"""),-2.9404065362383442)</f>
        <v>-2.940406536</v>
      </c>
      <c r="G804" s="31">
        <f>IFERROR(__xludf.DUMMYFUNCTION("""COMPUTED_VALUE"""),41.212112994542245)</f>
        <v>41.21211299</v>
      </c>
      <c r="H804" s="31">
        <f>IFERROR(__xludf.DUMMYFUNCTION("""COMPUTED_VALUE"""),-2.757853584055817)</f>
        <v>-2.757853584</v>
      </c>
      <c r="I804" s="54">
        <f>IFERROR(__xludf.DUMMYFUNCTION("""COMPUTED_VALUE"""),27.0)</f>
        <v>27</v>
      </c>
      <c r="J804" s="55">
        <f>IFERROR(__xludf.DUMMYFUNCTION("""COMPUTED_VALUE"""),11.0)</f>
        <v>11</v>
      </c>
      <c r="K804" s="54">
        <f>IFERROR(__xludf.DUMMYFUNCTION("""COMPUTED_VALUE"""),16.0)</f>
        <v>16</v>
      </c>
      <c r="L804" s="56">
        <f>IFERROR(__xludf.DUMMYFUNCTION("""COMPUTED_VALUE"""),0.4074074074074074)</f>
        <v>0.4074074074</v>
      </c>
      <c r="M804" s="56">
        <f>IFERROR(__xludf.DUMMYFUNCTION("""COMPUTED_VALUE"""),0.3)</f>
        <v>0.3</v>
      </c>
      <c r="N804" s="31">
        <f>IFERROR(__xludf.DUMMYFUNCTION("""COMPUTED_VALUE"""),315.3703703703704)</f>
        <v>315.3703704</v>
      </c>
      <c r="O804" s="57">
        <f>IFERROR(__xludf.DUMMYFUNCTION("""COMPUTED_VALUE"""),0.7777777777777778)</f>
        <v>0.7777777778</v>
      </c>
      <c r="P804" s="57">
        <f>IFERROR(__xludf.DUMMYFUNCTION("""COMPUTED_VALUE"""),0.25925925925925924)</f>
        <v>0.2592592593</v>
      </c>
      <c r="Q804" s="57">
        <f>IFERROR(__xludf.DUMMYFUNCTION("""COMPUTED_VALUE"""),1.037037037037037)</f>
        <v>1.037037037</v>
      </c>
      <c r="R804" s="57">
        <f>IFERROR(__xludf.DUMMYFUNCTION("""COMPUTED_VALUE"""),2.5925925925925926)</f>
        <v>2.592592593</v>
      </c>
      <c r="S804" s="31">
        <f>IFERROR(__xludf.DUMMYFUNCTION("""COMPUTED_VALUE"""),340.22222222222223)</f>
        <v>340.2222222</v>
      </c>
      <c r="T804" s="57">
        <f>IFERROR(__xludf.DUMMYFUNCTION("""COMPUTED_VALUE"""),0.728395061728395)</f>
        <v>0.7283950617</v>
      </c>
      <c r="U804" s="57">
        <f>IFERROR(__xludf.DUMMYFUNCTION("""COMPUTED_VALUE"""),0.4938271604938272)</f>
        <v>0.4938271605</v>
      </c>
      <c r="V804" s="57">
        <f>IFERROR(__xludf.DUMMYFUNCTION("""COMPUTED_VALUE"""),1.3456790123456788)</f>
        <v>1.345679012</v>
      </c>
      <c r="W804" s="57">
        <f>IFERROR(__xludf.DUMMYFUNCTION("""COMPUTED_VALUE"""),2.567901234567901)</f>
        <v>2.567901235</v>
      </c>
      <c r="X804" s="31">
        <f>IFERROR(__xludf.DUMMYFUNCTION("""COMPUTED_VALUE"""),338.91905661273825)</f>
        <v>338.9190566</v>
      </c>
      <c r="Y804" s="57">
        <f>IFERROR(__xludf.DUMMYFUNCTION("""COMPUTED_VALUE"""),0.722421533827949)</f>
        <v>0.7224215338</v>
      </c>
      <c r="Z804" s="57">
        <f>IFERROR(__xludf.DUMMYFUNCTION("""COMPUTED_VALUE"""),0.5402074244387657)</f>
        <v>0.5402074244</v>
      </c>
      <c r="AA804" s="57">
        <f>IFERROR(__xludf.DUMMYFUNCTION("""COMPUTED_VALUE"""),1.282206720630642)</f>
        <v>1.282206721</v>
      </c>
      <c r="AB804" s="57">
        <f>IFERROR(__xludf.DUMMYFUNCTION("""COMPUTED_VALUE"""),2.6055081481513622)</f>
        <v>2.605508148</v>
      </c>
      <c r="AC804" s="31">
        <f>IFERROR(__xludf.DUMMYFUNCTION("""COMPUTED_VALUE"""),343.4341631930304)</f>
        <v>343.4341632</v>
      </c>
      <c r="AD804" s="57">
        <f>IFERROR(__xludf.DUMMYFUNCTION("""COMPUTED_VALUE"""),0.7092253285598153)</f>
        <v>0.7092253286</v>
      </c>
      <c r="AE804" s="57">
        <f>IFERROR(__xludf.DUMMYFUNCTION("""COMPUTED_VALUE"""),0.5290473650847188)</f>
        <v>0.5290473651</v>
      </c>
      <c r="AF804" s="57">
        <f>IFERROR(__xludf.DUMMYFUNCTION("""COMPUTED_VALUE"""),1.3606360847074837)</f>
        <v>1.360636085</v>
      </c>
      <c r="AG804" s="57">
        <f>IFERROR(__xludf.DUMMYFUNCTION("""COMPUTED_VALUE"""),2.49098425801588)</f>
        <v>2.490984258</v>
      </c>
      <c r="AH804" s="57">
        <f>IFERROR(__xludf.DUMMYFUNCTION("""COMPUTED_VALUE"""),0.9182847956599866)</f>
        <v>0.9182847957</v>
      </c>
      <c r="AI804" s="57">
        <f>IFERROR(__xludf.DUMMYFUNCTION("""COMPUTED_VALUE"""),1.0966582078465361)</f>
        <v>1.096658208</v>
      </c>
      <c r="AJ804" s="57">
        <f>IFERROR(__xludf.DUMMYFUNCTION("""COMPUTED_VALUE"""),0.4900492401426909)</f>
        <v>0.4900492401</v>
      </c>
      <c r="AK804" s="57">
        <f>IFERROR(__xludf.DUMMYFUNCTION("""COMPUTED_VALUE"""),0.7621707587300864)</f>
        <v>0.7621707587</v>
      </c>
      <c r="AL804" s="57">
        <f>IFERROR(__xludf.DUMMYFUNCTION("""COMPUTED_VALUE"""),1.0407904362501454)</f>
        <v>1.040790436</v>
      </c>
      <c r="AM804" s="57">
        <f>IFERROR(__xludf.DUMMYFUNCTION("""COMPUTED_VALUE"""),1.003845064430747)</f>
        <v>1.003845064</v>
      </c>
      <c r="AN804" s="57">
        <f>IFERROR(__xludf.DUMMYFUNCTION("""COMPUTED_VALUE"""),1.0082687567032969)</f>
        <v>1.008268757</v>
      </c>
      <c r="AO804" s="57">
        <f>IFERROR(__xludf.DUMMYFUNCTION("""COMPUTED_VALUE"""),0.9141436014265741)</f>
        <v>0.9141436014</v>
      </c>
      <c r="AP804" s="35">
        <f>IFERROR(__xludf.DUMMYFUNCTION("""COMPUTED_VALUE"""),1.0495023857649244)</f>
        <v>1.049502386</v>
      </c>
      <c r="AQ804" s="57">
        <f>IFERROR(__xludf.DUMMYFUNCTION("""COMPUTED_VALUE"""),0.9855663803584174)</f>
        <v>0.9855663804</v>
      </c>
      <c r="AR804" s="36" t="b">
        <f>IFERROR(__xludf.DUMMYFUNCTION("""COMPUTED_VALUE"""),TRUE)</f>
        <v>1</v>
      </c>
      <c r="AS804" s="57"/>
      <c r="AT804" s="37"/>
      <c r="AU804" s="30"/>
      <c r="AV804" s="30"/>
      <c r="AW804" s="30"/>
      <c r="AX804" s="30"/>
      <c r="AY804" s="30"/>
      <c r="AZ804" s="30"/>
    </row>
    <row r="805">
      <c r="A805" s="30" t="str">
        <f>IFERROR(__xludf.DUMMYFUNCTION("""COMPUTED_VALUE"""),"Veteran")</f>
        <v>Veteran</v>
      </c>
      <c r="B805" s="30" t="str">
        <f>IFERROR(__xludf.DUMMYFUNCTION("""COMPUTED_VALUE"""),"RSC007688")</f>
        <v>RSC007688</v>
      </c>
      <c r="C805" s="30" t="str">
        <f>IFERROR(__xludf.DUMMYFUNCTION("""COMPUTED_VALUE"""),"Yami ^^")</f>
        <v>Yami ^^</v>
      </c>
      <c r="D805" s="31" t="str">
        <f>IFERROR(__xludf.DUMMYFUNCTION("""COMPUTED_VALUE"""),"Typhoons")</f>
        <v>Typhoons</v>
      </c>
      <c r="E805" s="31">
        <f>IFERROR(__xludf.DUMMYFUNCTION("""COMPUTED_VALUE"""),38.887907981538774)</f>
        <v>38.88790798</v>
      </c>
      <c r="F805" s="31">
        <f>IFERROR(__xludf.DUMMYFUNCTION("""COMPUTED_VALUE"""),-3.04556349553952)</f>
        <v>-3.045563496</v>
      </c>
      <c r="G805" s="31">
        <f>IFERROR(__xludf.DUMMYFUNCTION("""COMPUTED_VALUE"""),38.503615542098174)</f>
        <v>38.50361554</v>
      </c>
      <c r="H805" s="31">
        <f>IFERROR(__xludf.DUMMYFUNCTION("""COMPUTED_VALUE"""),-3.0977973192264905)</f>
        <v>-3.097797319</v>
      </c>
      <c r="I805" s="54">
        <f>IFERROR(__xludf.DUMMYFUNCTION("""COMPUTED_VALUE"""),35.0)</f>
        <v>35</v>
      </c>
      <c r="J805" s="55">
        <f>IFERROR(__xludf.DUMMYFUNCTION("""COMPUTED_VALUE"""),19.0)</f>
        <v>19</v>
      </c>
      <c r="K805" s="54">
        <f>IFERROR(__xludf.DUMMYFUNCTION("""COMPUTED_VALUE"""),16.0)</f>
        <v>16</v>
      </c>
      <c r="L805" s="56">
        <f>IFERROR(__xludf.DUMMYFUNCTION("""COMPUTED_VALUE"""),0.5428571428571428)</f>
        <v>0.5428571429</v>
      </c>
      <c r="M805" s="56">
        <f>IFERROR(__xludf.DUMMYFUNCTION("""COMPUTED_VALUE"""),0.25609756097560976)</f>
        <v>0.256097561</v>
      </c>
      <c r="N805" s="31">
        <f>IFERROR(__xludf.DUMMYFUNCTION("""COMPUTED_VALUE"""),297.2857142857143)</f>
        <v>297.2857143</v>
      </c>
      <c r="O805" s="57">
        <f>IFERROR(__xludf.DUMMYFUNCTION("""COMPUTED_VALUE"""),0.6)</f>
        <v>0.6</v>
      </c>
      <c r="P805" s="57">
        <f>IFERROR(__xludf.DUMMYFUNCTION("""COMPUTED_VALUE"""),0.45714285714285713)</f>
        <v>0.4571428571</v>
      </c>
      <c r="Q805" s="57">
        <f>IFERROR(__xludf.DUMMYFUNCTION("""COMPUTED_VALUE"""),1.1142857142857143)</f>
        <v>1.114285714</v>
      </c>
      <c r="R805" s="57">
        <f>IFERROR(__xludf.DUMMYFUNCTION("""COMPUTED_VALUE"""),2.342857142857143)</f>
        <v>2.342857143</v>
      </c>
      <c r="S805" s="31">
        <f>IFERROR(__xludf.DUMMYFUNCTION("""COMPUTED_VALUE"""),335.20952380952383)</f>
        <v>335.2095238</v>
      </c>
      <c r="T805" s="57">
        <f>IFERROR(__xludf.DUMMYFUNCTION("""COMPUTED_VALUE"""),0.6476190476190478)</f>
        <v>0.6476190476</v>
      </c>
      <c r="U805" s="57">
        <f>IFERROR(__xludf.DUMMYFUNCTION("""COMPUTED_VALUE"""),0.5238095238095237)</f>
        <v>0.5238095238</v>
      </c>
      <c r="V805" s="57">
        <f>IFERROR(__xludf.DUMMYFUNCTION("""COMPUTED_VALUE"""),1.3809523809523807)</f>
        <v>1.380952381</v>
      </c>
      <c r="W805" s="57">
        <f>IFERROR(__xludf.DUMMYFUNCTION("""COMPUTED_VALUE"""),2.2380952380952386)</f>
        <v>2.238095238</v>
      </c>
      <c r="X805" s="31">
        <f>IFERROR(__xludf.DUMMYFUNCTION("""COMPUTED_VALUE"""),349.60472311729205)</f>
        <v>349.6047231</v>
      </c>
      <c r="Y805" s="57">
        <f>IFERROR(__xludf.DUMMYFUNCTION("""COMPUTED_VALUE"""),0.7360106241390751)</f>
        <v>0.7360106241</v>
      </c>
      <c r="Z805" s="57">
        <f>IFERROR(__xludf.DUMMYFUNCTION("""COMPUTED_VALUE"""),0.5566246359211429)</f>
        <v>0.5566246359</v>
      </c>
      <c r="AA805" s="57">
        <f>IFERROR(__xludf.DUMMYFUNCTION("""COMPUTED_VALUE"""),1.382945532661142)</f>
        <v>1.382945533</v>
      </c>
      <c r="AB805" s="57">
        <f>IFERROR(__xludf.DUMMYFUNCTION("""COMPUTED_VALUE"""),2.5298182238547335)</f>
        <v>2.529818224</v>
      </c>
      <c r="AC805" s="31">
        <f>IFERROR(__xludf.DUMMYFUNCTION("""COMPUTED_VALUE"""),349.04760916683347)</f>
        <v>349.0476092</v>
      </c>
      <c r="AD805" s="57">
        <f>IFERROR(__xludf.DUMMYFUNCTION("""COMPUTED_VALUE"""),0.7342133242389854)</f>
        <v>0.7342133242</v>
      </c>
      <c r="AE805" s="57">
        <f>IFERROR(__xludf.DUMMYFUNCTION("""COMPUTED_VALUE"""),0.5474468278377754)</f>
        <v>0.5474468278</v>
      </c>
      <c r="AF805" s="57">
        <f>IFERROR(__xludf.DUMMYFUNCTION("""COMPUTED_VALUE"""),1.3811991461936308)</f>
        <v>1.381199146</v>
      </c>
      <c r="AG805" s="57">
        <f>IFERROR(__xludf.DUMMYFUNCTION("""COMPUTED_VALUE"""),2.602168216064639)</f>
        <v>2.602168216</v>
      </c>
      <c r="AH805" s="57">
        <f>IFERROR(__xludf.DUMMYFUNCTION("""COMPUTED_VALUE"""),0.851705344710215)</f>
        <v>0.8517053447</v>
      </c>
      <c r="AI805" s="57">
        <f>IFERROR(__xludf.DUMMYFUNCTION("""COMPUTED_VALUE"""),0.8172011868919731)</f>
        <v>0.8172011869</v>
      </c>
      <c r="AJ805" s="57">
        <f>IFERROR(__xludf.DUMMYFUNCTION("""COMPUTED_VALUE"""),0.8350452206443728)</f>
        <v>0.8350452206</v>
      </c>
      <c r="AK805" s="57">
        <f>IFERROR(__xludf.DUMMYFUNCTION("""COMPUTED_VALUE"""),0.8067523914683207)</f>
        <v>0.8067523915</v>
      </c>
      <c r="AL805" s="57">
        <f>IFERROR(__xludf.DUMMYFUNCTION("""COMPUTED_VALUE"""),0.9003480744993257)</f>
        <v>0.9003480745</v>
      </c>
      <c r="AM805" s="57">
        <f>IFERROR(__xludf.DUMMYFUNCTION("""COMPUTED_VALUE"""),0.9588243568925164)</f>
        <v>0.9588243569</v>
      </c>
      <c r="AN805" s="57">
        <f>IFERROR(__xludf.DUMMYFUNCTION("""COMPUTED_VALUE"""),0.8799044828688165)</f>
        <v>0.8799044829</v>
      </c>
      <c r="AO805" s="57">
        <f>IFERROR(__xludf.DUMMYFUNCTION("""COMPUTED_VALUE"""),0.94104624554155)</f>
        <v>0.9410462455</v>
      </c>
      <c r="AP805" s="35">
        <f>IFERROR(__xludf.DUMMYFUNCTION("""COMPUTED_VALUE"""),0.9985587634063029)</f>
        <v>0.9985587634</v>
      </c>
      <c r="AQ805" s="57">
        <f>IFERROR(__xludf.DUMMYFUNCTION("""COMPUTED_VALUE"""),0.8846861869328339)</f>
        <v>0.8846861869</v>
      </c>
      <c r="AR805" s="36" t="b">
        <f>IFERROR(__xludf.DUMMYFUNCTION("""COMPUTED_VALUE"""),TRUE)</f>
        <v>1</v>
      </c>
      <c r="AS805" s="57"/>
      <c r="AT805" s="37"/>
      <c r="AU805" s="30"/>
      <c r="AV805" s="30"/>
      <c r="AW805" s="30"/>
      <c r="AX805" s="30"/>
      <c r="AY805" s="30"/>
      <c r="AZ805" s="30"/>
    </row>
    <row r="806">
      <c r="A806" s="30" t="str">
        <f>IFERROR(__xludf.DUMMYFUNCTION("""COMPUTED_VALUE"""),"Veteran")</f>
        <v>Veteran</v>
      </c>
      <c r="B806" s="30" t="str">
        <f>IFERROR(__xludf.DUMMYFUNCTION("""COMPUTED_VALUE"""),"RSC007231")</f>
        <v>RSC007231</v>
      </c>
      <c r="C806" s="30" t="str">
        <f>IFERROR(__xludf.DUMMYFUNCTION("""COMPUTED_VALUE"""),"BlitzzyG")</f>
        <v>BlitzzyG</v>
      </c>
      <c r="D806" s="31" t="str">
        <f>IFERROR(__xludf.DUMMYFUNCTION("""COMPUTED_VALUE"""),"Silver Dollar")</f>
        <v>Silver Dollar</v>
      </c>
      <c r="E806" s="31">
        <f>IFERROR(__xludf.DUMMYFUNCTION("""COMPUTED_VALUE"""),38.31518019097622)</f>
        <v>38.31518019</v>
      </c>
      <c r="F806" s="31">
        <f>IFERROR(__xludf.DUMMYFUNCTION("""COMPUTED_VALUE"""),-3.123931623241218)</f>
        <v>-3.123931623</v>
      </c>
      <c r="G806" s="31">
        <f>IFERROR(__xludf.DUMMYFUNCTION("""COMPUTED_VALUE"""),39.808047097817166)</f>
        <v>39.8080471</v>
      </c>
      <c r="H806" s="31">
        <f>IFERROR(__xludf.DUMMYFUNCTION("""COMPUTED_VALUE"""),-2.92607274627326)</f>
        <v>-2.926072746</v>
      </c>
      <c r="I806" s="54">
        <f>IFERROR(__xludf.DUMMYFUNCTION("""COMPUTED_VALUE"""),21.0)</f>
        <v>21</v>
      </c>
      <c r="J806" s="55">
        <f>IFERROR(__xludf.DUMMYFUNCTION("""COMPUTED_VALUE"""),13.0)</f>
        <v>13</v>
      </c>
      <c r="K806" s="54">
        <f>IFERROR(__xludf.DUMMYFUNCTION("""COMPUTED_VALUE"""),8.0)</f>
        <v>8</v>
      </c>
      <c r="L806" s="56">
        <f>IFERROR(__xludf.DUMMYFUNCTION("""COMPUTED_VALUE"""),0.6190476190476191)</f>
        <v>0.619047619</v>
      </c>
      <c r="M806" s="56">
        <f>IFERROR(__xludf.DUMMYFUNCTION("""COMPUTED_VALUE"""),0.2926829268292683)</f>
        <v>0.2926829268</v>
      </c>
      <c r="N806" s="31">
        <f>IFERROR(__xludf.DUMMYFUNCTION("""COMPUTED_VALUE"""),309.85714285714283)</f>
        <v>309.8571429</v>
      </c>
      <c r="O806" s="57">
        <f>IFERROR(__xludf.DUMMYFUNCTION("""COMPUTED_VALUE"""),0.5714285714285714)</f>
        <v>0.5714285714</v>
      </c>
      <c r="P806" s="57">
        <f>IFERROR(__xludf.DUMMYFUNCTION("""COMPUTED_VALUE"""),0.5714285714285714)</f>
        <v>0.5714285714</v>
      </c>
      <c r="Q806" s="57">
        <f>IFERROR(__xludf.DUMMYFUNCTION("""COMPUTED_VALUE"""),1.0952380952380953)</f>
        <v>1.095238095</v>
      </c>
      <c r="R806" s="57">
        <f>IFERROR(__xludf.DUMMYFUNCTION("""COMPUTED_VALUE"""),1.9523809523809523)</f>
        <v>1.952380952</v>
      </c>
      <c r="S806" s="31">
        <f>IFERROR(__xludf.DUMMYFUNCTION("""COMPUTED_VALUE"""),329.44444444444446)</f>
        <v>329.4444444</v>
      </c>
      <c r="T806" s="57">
        <f>IFERROR(__xludf.DUMMYFUNCTION("""COMPUTED_VALUE"""),0.619047619047619)</f>
        <v>0.619047619</v>
      </c>
      <c r="U806" s="57">
        <f>IFERROR(__xludf.DUMMYFUNCTION("""COMPUTED_VALUE"""),0.44444444444444436)</f>
        <v>0.4444444444</v>
      </c>
      <c r="V806" s="57">
        <f>IFERROR(__xludf.DUMMYFUNCTION("""COMPUTED_VALUE"""),1.2698412698412698)</f>
        <v>1.26984127</v>
      </c>
      <c r="W806" s="57">
        <f>IFERROR(__xludf.DUMMYFUNCTION("""COMPUTED_VALUE"""),2.4126984126984126)</f>
        <v>2.412698413</v>
      </c>
      <c r="X806" s="31">
        <f>IFERROR(__xludf.DUMMYFUNCTION("""COMPUTED_VALUE"""),334.3403999750214)</f>
        <v>334.3404</v>
      </c>
      <c r="Y806" s="57">
        <f>IFERROR(__xludf.DUMMYFUNCTION("""COMPUTED_VALUE"""),0.6673374772824661)</f>
        <v>0.6673374773</v>
      </c>
      <c r="Z806" s="57">
        <f>IFERROR(__xludf.DUMMYFUNCTION("""COMPUTED_VALUE"""),0.4949199098520504)</f>
        <v>0.4949199099</v>
      </c>
      <c r="AA806" s="57">
        <f>IFERROR(__xludf.DUMMYFUNCTION("""COMPUTED_VALUE"""),1.4253186867477776)</f>
        <v>1.425318687</v>
      </c>
      <c r="AB806" s="57">
        <f>IFERROR(__xludf.DUMMYFUNCTION("""COMPUTED_VALUE"""),2.386346331497351)</f>
        <v>2.386346331</v>
      </c>
      <c r="AC806" s="31">
        <f>IFERROR(__xludf.DUMMYFUNCTION("""COMPUTED_VALUE"""),349.75221647520823)</f>
        <v>349.7522165</v>
      </c>
      <c r="AD806" s="57">
        <f>IFERROR(__xludf.DUMMYFUNCTION("""COMPUTED_VALUE"""),0.785083826334346)</f>
        <v>0.7850838263</v>
      </c>
      <c r="AE806" s="57">
        <f>IFERROR(__xludf.DUMMYFUNCTION("""COMPUTED_VALUE"""),0.5751893008248713)</f>
        <v>0.5751893008</v>
      </c>
      <c r="AF806" s="57">
        <f>IFERROR(__xludf.DUMMYFUNCTION("""COMPUTED_VALUE"""),1.3096728342376756)</f>
        <v>1.309672834</v>
      </c>
      <c r="AG806" s="57">
        <f>IFERROR(__xludf.DUMMYFUNCTION("""COMPUTED_VALUE"""),2.6960980877969627)</f>
        <v>2.696098088</v>
      </c>
      <c r="AH806" s="57">
        <f>IFERROR(__xludf.DUMMYFUNCTION("""COMPUTED_VALUE"""),0.8859333215379542)</f>
        <v>0.8859333215</v>
      </c>
      <c r="AI806" s="57">
        <f>IFERROR(__xludf.DUMMYFUNCTION("""COMPUTED_VALUE"""),0.7278567616105944)</f>
        <v>0.7278567616</v>
      </c>
      <c r="AJ806" s="57">
        <f>IFERROR(__xludf.DUMMYFUNCTION("""COMPUTED_VALUE"""),0.9934617535637281)</f>
        <v>0.9934617536</v>
      </c>
      <c r="AK806" s="57">
        <f>IFERROR(__xludf.DUMMYFUNCTION("""COMPUTED_VALUE"""),0.8362684684344112)</f>
        <v>0.8362684684</v>
      </c>
      <c r="AL806" s="57">
        <f>IFERROR(__xludf.DUMMYFUNCTION("""COMPUTED_VALUE"""),0.724150564557643)</f>
        <v>0.7241505646</v>
      </c>
      <c r="AM806" s="57">
        <f>IFERROR(__xludf.DUMMYFUNCTION("""COMPUTED_VALUE"""),0.9853563747278441)</f>
        <v>0.9853563747</v>
      </c>
      <c r="AN806" s="57">
        <f>IFERROR(__xludf.DUMMYFUNCTION("""COMPUTED_VALUE"""),0.9276380244198285)</f>
        <v>0.9276380244</v>
      </c>
      <c r="AO806" s="57">
        <f>IFERROR(__xludf.DUMMYFUNCTION("""COMPUTED_VALUE"""),0.8980128614694547)</f>
        <v>0.8980128615</v>
      </c>
      <c r="AP806" s="35">
        <f>IFERROR(__xludf.DUMMYFUNCTION("""COMPUTED_VALUE"""),0.8909174359726746)</f>
        <v>0.890917436</v>
      </c>
      <c r="AQ806" s="57">
        <f>IFERROR(__xludf.DUMMYFUNCTION("""COMPUTED_VALUE"""),1.0110428569622274)</f>
        <v>1.011042857</v>
      </c>
      <c r="AR806" s="36" t="b">
        <f>IFERROR(__xludf.DUMMYFUNCTION("""COMPUTED_VALUE"""),TRUE)</f>
        <v>1</v>
      </c>
      <c r="AS806" s="57"/>
      <c r="AT806" s="37"/>
      <c r="AU806" s="30"/>
      <c r="AV806" s="30"/>
      <c r="AW806" s="30"/>
      <c r="AX806" s="30"/>
      <c r="AY806" s="30"/>
      <c r="AZ806" s="30"/>
    </row>
    <row r="807">
      <c r="A807" s="30" t="str">
        <f>IFERROR(__xludf.DUMMYFUNCTION("""COMPUTED_VALUE"""),"Veteran")</f>
        <v>Veteran</v>
      </c>
      <c r="B807" s="30" t="str">
        <f>IFERROR(__xludf.DUMMYFUNCTION("""COMPUTED_VALUE"""),"RSC000156")</f>
        <v>RSC000156</v>
      </c>
      <c r="C807" s="30" t="str">
        <f>IFERROR(__xludf.DUMMYFUNCTION("""COMPUTED_VALUE"""),"Drupenson")</f>
        <v>Drupenson</v>
      </c>
      <c r="D807" s="31"/>
      <c r="E807" s="31">
        <f>IFERROR(__xludf.DUMMYFUNCTION("""COMPUTED_VALUE"""),37.00326426480227)</f>
        <v>37.00326426</v>
      </c>
      <c r="F807" s="31">
        <f>IFERROR(__xludf.DUMMYFUNCTION("""COMPUTED_VALUE"""),-3.3158995277233854)</f>
        <v>-3.315899528</v>
      </c>
      <c r="G807" s="31">
        <f>IFERROR(__xludf.DUMMYFUNCTION("""COMPUTED_VALUE"""),47.947603537383785)</f>
        <v>47.94760354</v>
      </c>
      <c r="H807" s="31">
        <f>IFERROR(__xludf.DUMMYFUNCTION("""COMPUTED_VALUE"""),-2.140020500338029)</f>
        <v>-2.1400205</v>
      </c>
      <c r="I807" s="54">
        <f>IFERROR(__xludf.DUMMYFUNCTION("""COMPUTED_VALUE"""),6.0)</f>
        <v>6</v>
      </c>
      <c r="J807" s="55">
        <f>IFERROR(__xludf.DUMMYFUNCTION("""COMPUTED_VALUE"""),2.0)</f>
        <v>2</v>
      </c>
      <c r="K807" s="54">
        <f>IFERROR(__xludf.DUMMYFUNCTION("""COMPUTED_VALUE"""),4.0)</f>
        <v>4</v>
      </c>
      <c r="L807" s="56">
        <f>IFERROR(__xludf.DUMMYFUNCTION("""COMPUTED_VALUE"""),0.3333333333333333)</f>
        <v>0.3333333333</v>
      </c>
      <c r="M807" s="56">
        <f>IFERROR(__xludf.DUMMYFUNCTION("""COMPUTED_VALUE"""),0.4117647058823529)</f>
        <v>0.4117647059</v>
      </c>
      <c r="N807" s="31">
        <f>IFERROR(__xludf.DUMMYFUNCTION("""COMPUTED_VALUE"""),303.6666666666667)</f>
        <v>303.6666667</v>
      </c>
      <c r="O807" s="57">
        <f>IFERROR(__xludf.DUMMYFUNCTION("""COMPUTED_VALUE"""),1.1666666666666667)</f>
        <v>1.166666667</v>
      </c>
      <c r="P807" s="57">
        <f>IFERROR(__xludf.DUMMYFUNCTION("""COMPUTED_VALUE"""),0.0)</f>
        <v>0</v>
      </c>
      <c r="Q807" s="57">
        <f>IFERROR(__xludf.DUMMYFUNCTION("""COMPUTED_VALUE"""),0.5)</f>
        <v>0.5</v>
      </c>
      <c r="R807" s="57">
        <f>IFERROR(__xludf.DUMMYFUNCTION("""COMPUTED_VALUE"""),2.8333333333333335)</f>
        <v>2.833333333</v>
      </c>
      <c r="S807" s="31">
        <f>IFERROR(__xludf.DUMMYFUNCTION("""COMPUTED_VALUE"""),334.72222222222223)</f>
        <v>334.7222222</v>
      </c>
      <c r="T807" s="57">
        <f>IFERROR(__xludf.DUMMYFUNCTION("""COMPUTED_VALUE"""),0.888888888888889)</f>
        <v>0.8888888889</v>
      </c>
      <c r="U807" s="57">
        <f>IFERROR(__xludf.DUMMYFUNCTION("""COMPUTED_VALUE"""),0.6666666666666666)</f>
        <v>0.6666666667</v>
      </c>
      <c r="V807" s="57">
        <f>IFERROR(__xludf.DUMMYFUNCTION("""COMPUTED_VALUE"""),0.9999999999999999)</f>
        <v>1</v>
      </c>
      <c r="W807" s="57">
        <f>IFERROR(__xludf.DUMMYFUNCTION("""COMPUTED_VALUE"""),2.055555555555556)</f>
        <v>2.055555556</v>
      </c>
      <c r="X807" s="31">
        <f>IFERROR(__xludf.DUMMYFUNCTION("""COMPUTED_VALUE"""),358.3558901338313)</f>
        <v>358.3558901</v>
      </c>
      <c r="Y807" s="57">
        <f>IFERROR(__xludf.DUMMYFUNCTION("""COMPUTED_VALUE"""),0.8061344537815126)</f>
        <v>0.8061344538</v>
      </c>
      <c r="Z807" s="57">
        <f>IFERROR(__xludf.DUMMYFUNCTION("""COMPUTED_VALUE"""),0.566604419545596)</f>
        <v>0.5666044195</v>
      </c>
      <c r="AA807" s="57">
        <f>IFERROR(__xludf.DUMMYFUNCTION("""COMPUTED_VALUE"""),1.3637581699346404)</f>
        <v>1.36375817</v>
      </c>
      <c r="AB807" s="57">
        <f>IFERROR(__xludf.DUMMYFUNCTION("""COMPUTED_VALUE"""),2.5752100840336127)</f>
        <v>2.575210084</v>
      </c>
      <c r="AC807" s="31">
        <f>IFERROR(__xludf.DUMMYFUNCTION("""COMPUTED_VALUE"""),363.67424006639703)</f>
        <v>363.6742401</v>
      </c>
      <c r="AD807" s="57">
        <f>IFERROR(__xludf.DUMMYFUNCTION("""COMPUTED_VALUE"""),0.8818788256043159)</f>
        <v>0.8818788256</v>
      </c>
      <c r="AE807" s="57">
        <f>IFERROR(__xludf.DUMMYFUNCTION("""COMPUTED_VALUE"""),0.6230801950409794)</f>
        <v>0.623080195</v>
      </c>
      <c r="AF807" s="57">
        <f>IFERROR(__xludf.DUMMYFUNCTION("""COMPUTED_VALUE"""),1.2570619358854653)</f>
        <v>1.257061936</v>
      </c>
      <c r="AG807" s="57">
        <f>IFERROR(__xludf.DUMMYFUNCTION("""COMPUTED_VALUE"""),2.886715426911506)</f>
        <v>2.886715427</v>
      </c>
      <c r="AH807" s="57">
        <f>IFERROR(__xludf.DUMMYFUNCTION("""COMPUTED_VALUE"""),0.8349963599600164)</f>
        <v>0.83499636</v>
      </c>
      <c r="AI807" s="57">
        <f>IFERROR(__xludf.DUMMYFUNCTION("""COMPUTED_VALUE"""),1.3229330751503159)</f>
        <v>1.322933075</v>
      </c>
      <c r="AJ807" s="57">
        <f>IFERROR(__xludf.DUMMYFUNCTION("""COMPUTED_VALUE"""),0.0)</f>
        <v>0</v>
      </c>
      <c r="AK807" s="57">
        <f>IFERROR(__xludf.DUMMYFUNCTION("""COMPUTED_VALUE"""),0.39775287575452967)</f>
        <v>0.3977528758</v>
      </c>
      <c r="AL807" s="57">
        <f>IFERROR(__xludf.DUMMYFUNCTION("""COMPUTED_VALUE"""),0.9815076702467739)</f>
        <v>0.9815076702</v>
      </c>
      <c r="AM807" s="57">
        <f>IFERROR(__xludf.DUMMYFUNCTION("""COMPUTED_VALUE"""),0.9340497294385678)</f>
        <v>0.9340497294</v>
      </c>
      <c r="AN807" s="57">
        <f>IFERROR(__xludf.DUMMYFUNCTION("""COMPUTED_VALUE"""),1.1026558717583423)</f>
        <v>1.102655872</v>
      </c>
      <c r="AO807" s="57">
        <f>IFERROR(__xludf.DUMMYFUNCTION("""COMPUTED_VALUE"""),1.176599835210107)</f>
        <v>1.176599835</v>
      </c>
      <c r="AP807" s="35">
        <f>IFERROR(__xludf.DUMMYFUNCTION("""COMPUTED_VALUE"""),0.7332678344635882)</f>
        <v>0.7332678345</v>
      </c>
      <c r="AQ807" s="57">
        <f>IFERROR(__xludf.DUMMYFUNCTION("""COMPUTED_VALUE"""),0.798208879461939)</f>
        <v>0.7982088795</v>
      </c>
      <c r="AR807" s="36" t="b">
        <f>IFERROR(__xludf.DUMMYFUNCTION("""COMPUTED_VALUE"""),TRUE)</f>
        <v>1</v>
      </c>
      <c r="AS807" s="57"/>
      <c r="AT807" s="37"/>
      <c r="AU807" s="30"/>
      <c r="AV807" s="30"/>
      <c r="AW807" s="30"/>
      <c r="AX807" s="30"/>
      <c r="AY807" s="30"/>
      <c r="AZ807" s="30"/>
    </row>
    <row r="808">
      <c r="A808" s="30" t="str">
        <f>IFERROR(__xludf.DUMMYFUNCTION("""COMPUTED_VALUE"""),"Veteran")</f>
        <v>Veteran</v>
      </c>
      <c r="B808" s="30" t="str">
        <f>IFERROR(__xludf.DUMMYFUNCTION("""COMPUTED_VALUE"""),"RSC007825")</f>
        <v>RSC007825</v>
      </c>
      <c r="C808" s="30" t="str">
        <f>IFERROR(__xludf.DUMMYFUNCTION("""COMPUTED_VALUE"""),"Acryonix")</f>
        <v>Acryonix</v>
      </c>
      <c r="D808" s="31" t="str">
        <f>IFERROR(__xludf.DUMMYFUNCTION("""COMPUTED_VALUE"""),"Slots")</f>
        <v>Slots</v>
      </c>
      <c r="E808" s="31">
        <f>IFERROR(__xludf.DUMMYFUNCTION("""COMPUTED_VALUE"""),36.69341338941159)</f>
        <v>36.69341339</v>
      </c>
      <c r="F808" s="31">
        <f>IFERROR(__xludf.DUMMYFUNCTION("""COMPUTED_VALUE"""),-3.3639252453617234)</f>
        <v>-3.363925245</v>
      </c>
      <c r="G808" s="31">
        <f>IFERROR(__xludf.DUMMYFUNCTION("""COMPUTED_VALUE"""),12.924345632644638)</f>
        <v>12.92434563</v>
      </c>
      <c r="H808" s="31">
        <f>IFERROR(__xludf.DUMMYFUNCTION("""COMPUTED_VALUE"""),-14.4856727926614)</f>
        <v>-14.48567279</v>
      </c>
      <c r="I808" s="54">
        <f>IFERROR(__xludf.DUMMYFUNCTION("""COMPUTED_VALUE"""),8.0)</f>
        <v>8</v>
      </c>
      <c r="J808" s="55">
        <f>IFERROR(__xludf.DUMMYFUNCTION("""COMPUTED_VALUE"""),4.0)</f>
        <v>4</v>
      </c>
      <c r="K808" s="54">
        <f>IFERROR(__xludf.DUMMYFUNCTION("""COMPUTED_VALUE"""),4.0)</f>
        <v>4</v>
      </c>
      <c r="L808" s="56">
        <f>IFERROR(__xludf.DUMMYFUNCTION("""COMPUTED_VALUE"""),0.5)</f>
        <v>0.5</v>
      </c>
      <c r="M808" s="56">
        <f>IFERROR(__xludf.DUMMYFUNCTION("""COMPUTED_VALUE"""),0.4444444444444444)</f>
        <v>0.4444444444</v>
      </c>
      <c r="N808" s="31">
        <f>IFERROR(__xludf.DUMMYFUNCTION("""COMPUTED_VALUE"""),339.5)</f>
        <v>339.5</v>
      </c>
      <c r="O808" s="57">
        <f>IFERROR(__xludf.DUMMYFUNCTION("""COMPUTED_VALUE"""),1.0)</f>
        <v>1</v>
      </c>
      <c r="P808" s="57">
        <f>IFERROR(__xludf.DUMMYFUNCTION("""COMPUTED_VALUE"""),0.125)</f>
        <v>0.125</v>
      </c>
      <c r="Q808" s="57">
        <f>IFERROR(__xludf.DUMMYFUNCTION("""COMPUTED_VALUE"""),1.375)</f>
        <v>1.375</v>
      </c>
      <c r="R808" s="57">
        <f>IFERROR(__xludf.DUMMYFUNCTION("""COMPUTED_VALUE"""),2.25)</f>
        <v>2.25</v>
      </c>
      <c r="S808" s="31">
        <f>IFERROR(__xludf.DUMMYFUNCTION("""COMPUTED_VALUE"""),394.79166666666663)</f>
        <v>394.7916667</v>
      </c>
      <c r="T808" s="57">
        <f>IFERROR(__xludf.DUMMYFUNCTION("""COMPUTED_VALUE"""),0.9583333333333333)</f>
        <v>0.9583333333</v>
      </c>
      <c r="U808" s="57">
        <f>IFERROR(__xludf.DUMMYFUNCTION("""COMPUTED_VALUE"""),0.75)</f>
        <v>0.75</v>
      </c>
      <c r="V808" s="57">
        <f>IFERROR(__xludf.DUMMYFUNCTION("""COMPUTED_VALUE"""),1.4166666666666667)</f>
        <v>1.416666667</v>
      </c>
      <c r="W808" s="57">
        <f>IFERROR(__xludf.DUMMYFUNCTION("""COMPUTED_VALUE"""),3.4999999999999996)</f>
        <v>3.5</v>
      </c>
      <c r="X808" s="31">
        <f>IFERROR(__xludf.DUMMYFUNCTION("""COMPUTED_VALUE"""),362.65815615892825)</f>
        <v>362.6581562</v>
      </c>
      <c r="Y808" s="57">
        <f>IFERROR(__xludf.DUMMYFUNCTION("""COMPUTED_VALUE"""),0.8668338054918938)</f>
        <v>0.8668338055</v>
      </c>
      <c r="Z808" s="57">
        <f>IFERROR(__xludf.DUMMYFUNCTION("""COMPUTED_VALUE"""),0.7245484165888577)</f>
        <v>0.7245484166</v>
      </c>
      <c r="AA808" s="57">
        <f>IFERROR(__xludf.DUMMYFUNCTION("""COMPUTED_VALUE"""),1.1493551587301587)</f>
        <v>1.149355159</v>
      </c>
      <c r="AB808" s="57">
        <f>IFERROR(__xludf.DUMMYFUNCTION("""COMPUTED_VALUE"""),2.9213046474903095)</f>
        <v>2.921304647</v>
      </c>
      <c r="AC808" s="31">
        <f>IFERROR(__xludf.DUMMYFUNCTION("""COMPUTED_VALUE"""),349.00806480273087)</f>
        <v>349.0080648</v>
      </c>
      <c r="AD808" s="57">
        <f>IFERROR(__xludf.DUMMYFUNCTION("""COMPUTED_VALUE"""),0.7536921340505899)</f>
        <v>0.7536921341</v>
      </c>
      <c r="AE808" s="57">
        <f>IFERROR(__xludf.DUMMYFUNCTION("""COMPUTED_VALUE"""),0.5465794720666044)</f>
        <v>0.5465794721</v>
      </c>
      <c r="AF808" s="57">
        <f>IFERROR(__xludf.DUMMYFUNCTION("""COMPUTED_VALUE"""),1.3882398580223334)</f>
        <v>1.388239858</v>
      </c>
      <c r="AG808" s="57">
        <f>IFERROR(__xludf.DUMMYFUNCTION("""COMPUTED_VALUE"""),2.4428603392114425)</f>
        <v>2.442860339</v>
      </c>
      <c r="AH808" s="57">
        <f>IFERROR(__xludf.DUMMYFUNCTION("""COMPUTED_VALUE"""),0.9727568908526366)</f>
        <v>0.9727568909</v>
      </c>
      <c r="AI808" s="57">
        <f>IFERROR(__xludf.DUMMYFUNCTION("""COMPUTED_VALUE"""),1.3268016937176597)</f>
        <v>1.326801694</v>
      </c>
      <c r="AJ808" s="57">
        <f>IFERROR(__xludf.DUMMYFUNCTION("""COMPUTED_VALUE"""),0.2286950139700232)</f>
        <v>0.228695014</v>
      </c>
      <c r="AK808" s="57">
        <f>IFERROR(__xludf.DUMMYFUNCTION("""COMPUTED_VALUE"""),0.9904628454904078)</f>
        <v>0.9904628455</v>
      </c>
      <c r="AL808" s="57">
        <f>IFERROR(__xludf.DUMMYFUNCTION("""COMPUTED_VALUE"""),0.9210514264300111)</f>
        <v>0.9210514264</v>
      </c>
      <c r="AM808" s="57">
        <f>IFERROR(__xludf.DUMMYFUNCTION("""COMPUTED_VALUE"""),1.0886055089676694)</f>
        <v>1.088605509</v>
      </c>
      <c r="AN808" s="57">
        <f>IFERROR(__xludf.DUMMYFUNCTION("""COMPUTED_VALUE"""),1.1055560215369278)</f>
        <v>1.105556022</v>
      </c>
      <c r="AO808" s="57">
        <f>IFERROR(__xludf.DUMMYFUNCTION("""COMPUTED_VALUE"""),1.0351275122937502)</f>
        <v>1.035127512</v>
      </c>
      <c r="AP808" s="35">
        <f>IFERROR(__xludf.DUMMYFUNCTION("""COMPUTED_VALUE"""),1.2325752017608218)</f>
        <v>1.232575202</v>
      </c>
      <c r="AQ808" s="57">
        <f>IFERROR(__xludf.DUMMYFUNCTION("""COMPUTED_VALUE"""),1.1980948317070754)</f>
        <v>1.198094832</v>
      </c>
      <c r="AR808" s="36" t="b">
        <f>IFERROR(__xludf.DUMMYFUNCTION("""COMPUTED_VALUE"""),TRUE)</f>
        <v>1</v>
      </c>
      <c r="AS808" s="57"/>
      <c r="AT808" s="37"/>
      <c r="AU808" s="30"/>
      <c r="AV808" s="30"/>
      <c r="AW808" s="30"/>
      <c r="AX808" s="30"/>
      <c r="AY808" s="30"/>
      <c r="AZ808" s="30"/>
    </row>
    <row r="809">
      <c r="A809" s="30" t="str">
        <f>IFERROR(__xludf.DUMMYFUNCTION("""COMPUTED_VALUE"""),"Veteran")</f>
        <v>Veteran</v>
      </c>
      <c r="B809" s="30" t="str">
        <f>IFERROR(__xludf.DUMMYFUNCTION("""COMPUTED_VALUE"""),"RSC006531")</f>
        <v>RSC006531</v>
      </c>
      <c r="C809" s="30" t="str">
        <f>IFERROR(__xludf.DUMMYFUNCTION("""COMPUTED_VALUE"""),"Corners-")</f>
        <v>Corners-</v>
      </c>
      <c r="D809" s="31"/>
      <c r="E809" s="31">
        <f>IFERROR(__xludf.DUMMYFUNCTION("""COMPUTED_VALUE"""),36.23597787167449)</f>
        <v>36.23597787</v>
      </c>
      <c r="F809" s="31">
        <f>IFERROR(__xludf.DUMMYFUNCTION("""COMPUTED_VALUE"""),-3.43681155519909)</f>
        <v>-3.436811555</v>
      </c>
      <c r="G809" s="31">
        <f>IFERROR(__xludf.DUMMYFUNCTION("""COMPUTED_VALUE"""),32.76152082660842)</f>
        <v>32.76152083</v>
      </c>
      <c r="H809" s="31">
        <f>IFERROR(__xludf.DUMMYFUNCTION("""COMPUTED_VALUE"""),-4.077604691741838)</f>
        <v>-4.077604692</v>
      </c>
      <c r="I809" s="54">
        <f>IFERROR(__xludf.DUMMYFUNCTION("""COMPUTED_VALUE"""),4.0)</f>
        <v>4</v>
      </c>
      <c r="J809" s="55">
        <f>IFERROR(__xludf.DUMMYFUNCTION("""COMPUTED_VALUE"""),1.0)</f>
        <v>1</v>
      </c>
      <c r="K809" s="54">
        <f>IFERROR(__xludf.DUMMYFUNCTION("""COMPUTED_VALUE"""),3.0)</f>
        <v>3</v>
      </c>
      <c r="L809" s="56">
        <f>IFERROR(__xludf.DUMMYFUNCTION("""COMPUTED_VALUE"""),0.25)</f>
        <v>0.25</v>
      </c>
      <c r="M809" s="56">
        <f>IFERROR(__xludf.DUMMYFUNCTION("""COMPUTED_VALUE"""),0.16666666666666666)</f>
        <v>0.1666666667</v>
      </c>
      <c r="N809" s="31">
        <f>IFERROR(__xludf.DUMMYFUNCTION("""COMPUTED_VALUE"""),261.0)</f>
        <v>261</v>
      </c>
      <c r="O809" s="57">
        <f>IFERROR(__xludf.DUMMYFUNCTION("""COMPUTED_VALUE"""),0.5)</f>
        <v>0.5</v>
      </c>
      <c r="P809" s="57">
        <f>IFERROR(__xludf.DUMMYFUNCTION("""COMPUTED_VALUE"""),0.75)</f>
        <v>0.75</v>
      </c>
      <c r="Q809" s="57">
        <f>IFERROR(__xludf.DUMMYFUNCTION("""COMPUTED_VALUE"""),0.5)</f>
        <v>0.5</v>
      </c>
      <c r="R809" s="57">
        <f>IFERROR(__xludf.DUMMYFUNCTION("""COMPUTED_VALUE"""),3.0)</f>
        <v>3</v>
      </c>
      <c r="S809" s="31">
        <f>IFERROR(__xludf.DUMMYFUNCTION("""COMPUTED_VALUE"""),414.33333333333337)</f>
        <v>414.3333333</v>
      </c>
      <c r="T809" s="57">
        <f>IFERROR(__xludf.DUMMYFUNCTION("""COMPUTED_VALUE"""),1.0)</f>
        <v>1</v>
      </c>
      <c r="U809" s="57">
        <f>IFERROR(__xludf.DUMMYFUNCTION("""COMPUTED_VALUE"""),0.6666666666666666)</f>
        <v>0.6666666667</v>
      </c>
      <c r="V809" s="57">
        <f>IFERROR(__xludf.DUMMYFUNCTION("""COMPUTED_VALUE"""),1.9166666666666667)</f>
        <v>1.916666667</v>
      </c>
      <c r="W809" s="57">
        <f>IFERROR(__xludf.DUMMYFUNCTION("""COMPUTED_VALUE"""),1.9166666666666665)</f>
        <v>1.916666667</v>
      </c>
      <c r="X809" s="31">
        <f>IFERROR(__xludf.DUMMYFUNCTION("""COMPUTED_VALUE"""),328.7067901234568)</f>
        <v>328.7067901</v>
      </c>
      <c r="Y809" s="57">
        <f>IFERROR(__xludf.DUMMYFUNCTION("""COMPUTED_VALUE"""),0.6018518518518519)</f>
        <v>0.6018518519</v>
      </c>
      <c r="Z809" s="57">
        <f>IFERROR(__xludf.DUMMYFUNCTION("""COMPUTED_VALUE"""),0.4290123456790123)</f>
        <v>0.4290123457</v>
      </c>
      <c r="AA809" s="57">
        <f>IFERROR(__xludf.DUMMYFUNCTION("""COMPUTED_VALUE"""),1.4475308641975309)</f>
        <v>1.447530864</v>
      </c>
      <c r="AB809" s="57">
        <f>IFERROR(__xludf.DUMMYFUNCTION("""COMPUTED_VALUE"""),2.373456790123457)</f>
        <v>2.37345679</v>
      </c>
      <c r="AC809" s="31">
        <f>IFERROR(__xludf.DUMMYFUNCTION("""COMPUTED_VALUE"""),346.29012345679007)</f>
        <v>346.2901235</v>
      </c>
      <c r="AD809" s="57">
        <f>IFERROR(__xludf.DUMMYFUNCTION("""COMPUTED_VALUE"""),0.7489711934156379)</f>
        <v>0.7489711934</v>
      </c>
      <c r="AE809" s="57">
        <f>IFERROR(__xludf.DUMMYFUNCTION("""COMPUTED_VALUE"""),0.522633744855967)</f>
        <v>0.5226337449</v>
      </c>
      <c r="AF809" s="57">
        <f>IFERROR(__xludf.DUMMYFUNCTION("""COMPUTED_VALUE"""),1.3930041152263373)</f>
        <v>1.393004115</v>
      </c>
      <c r="AG809" s="57">
        <f>IFERROR(__xludf.DUMMYFUNCTION("""COMPUTED_VALUE"""),2.664609053497943)</f>
        <v>2.664609053</v>
      </c>
      <c r="AH809" s="57">
        <f>IFERROR(__xludf.DUMMYFUNCTION("""COMPUTED_VALUE"""),0.7537032745681742)</f>
        <v>0.7537032746</v>
      </c>
      <c r="AI809" s="57">
        <f>IFERROR(__xludf.DUMMYFUNCTION("""COMPUTED_VALUE"""),0.6675824175824175)</f>
        <v>0.6675824176</v>
      </c>
      <c r="AJ809" s="57">
        <f>IFERROR(__xludf.DUMMYFUNCTION("""COMPUTED_VALUE"""),1.4350393700787403)</f>
        <v>1.43503937</v>
      </c>
      <c r="AK809" s="57">
        <f>IFERROR(__xludf.DUMMYFUNCTION("""COMPUTED_VALUE"""),0.3589364844903989)</f>
        <v>0.3589364845</v>
      </c>
      <c r="AL809" s="57">
        <f>IFERROR(__xludf.DUMMYFUNCTION("""COMPUTED_VALUE"""),1.1258687258687257)</f>
        <v>1.125868726</v>
      </c>
      <c r="AM809" s="57">
        <f>IFERROR(__xludf.DUMMYFUNCTION("""COMPUTED_VALUE"""),1.2604952066177784)</f>
        <v>1.260495207</v>
      </c>
      <c r="AN809" s="57">
        <f>IFERROR(__xludf.DUMMYFUNCTION("""COMPUTED_VALUE"""),1.6615384615384614)</f>
        <v>1.661538462</v>
      </c>
      <c r="AO809" s="57">
        <f>IFERROR(__xludf.DUMMYFUNCTION("""COMPUTED_VALUE"""),1.5539568345323742)</f>
        <v>1.553956835</v>
      </c>
      <c r="AP809" s="35">
        <f>IFERROR(__xludf.DUMMYFUNCTION("""COMPUTED_VALUE"""),1.32409381663113)</f>
        <v>1.324093817</v>
      </c>
      <c r="AQ809" s="57">
        <f>IFERROR(__xludf.DUMMYFUNCTION("""COMPUTED_VALUE"""),0.8075422626788036)</f>
        <v>0.8075422627</v>
      </c>
      <c r="AR809" s="36" t="b">
        <f>IFERROR(__xludf.DUMMYFUNCTION("""COMPUTED_VALUE"""),TRUE)</f>
        <v>1</v>
      </c>
      <c r="AS809" s="57"/>
      <c r="AT809" s="37"/>
      <c r="AU809" s="30"/>
      <c r="AV809" s="30"/>
      <c r="AW809" s="30"/>
      <c r="AX809" s="30"/>
      <c r="AY809" s="30"/>
      <c r="AZ809" s="30"/>
    </row>
    <row r="810">
      <c r="A810" s="30" t="str">
        <f>IFERROR(__xludf.DUMMYFUNCTION("""COMPUTED_VALUE"""),"Veteran")</f>
        <v>Veteran</v>
      </c>
      <c r="B810" s="30" t="str">
        <f>IFERROR(__xludf.DUMMYFUNCTION("""COMPUTED_VALUE"""),"RSC004239")</f>
        <v>RSC004239</v>
      </c>
      <c r="C810" s="30" t="str">
        <f>IFERROR(__xludf.DUMMYFUNCTION("""COMPUTED_VALUE"""),"Nitro")</f>
        <v>Nitro</v>
      </c>
      <c r="D810" s="31" t="str">
        <f>IFERROR(__xludf.DUMMYFUNCTION("""COMPUTED_VALUE"""),"Slots")</f>
        <v>Slots</v>
      </c>
      <c r="E810" s="31">
        <f>IFERROR(__xludf.DUMMYFUNCTION("""COMPUTED_VALUE"""),36.09814244498928)</f>
        <v>36.09814244</v>
      </c>
      <c r="F810" s="31">
        <f>IFERROR(__xludf.DUMMYFUNCTION("""COMPUTED_VALUE"""),-3.459249665605512)</f>
        <v>-3.459249666</v>
      </c>
      <c r="G810" s="31">
        <f>IFERROR(__xludf.DUMMYFUNCTION("""COMPUTED_VALUE"""),33.22926620911801)</f>
        <v>33.22926621</v>
      </c>
      <c r="H810" s="31">
        <f>IFERROR(__xludf.DUMMYFUNCTION("""COMPUTED_VALUE"""),-3.98145242951774)</f>
        <v>-3.98145243</v>
      </c>
      <c r="I810" s="54">
        <f>IFERROR(__xludf.DUMMYFUNCTION("""COMPUTED_VALUE"""),31.0)</f>
        <v>31</v>
      </c>
      <c r="J810" s="55">
        <f>IFERROR(__xludf.DUMMYFUNCTION("""COMPUTED_VALUE"""),14.0)</f>
        <v>14</v>
      </c>
      <c r="K810" s="54">
        <f>IFERROR(__xludf.DUMMYFUNCTION("""COMPUTED_VALUE"""),17.0)</f>
        <v>17</v>
      </c>
      <c r="L810" s="56">
        <f>IFERROR(__xludf.DUMMYFUNCTION("""COMPUTED_VALUE"""),0.45161290322580644)</f>
        <v>0.4516129032</v>
      </c>
      <c r="M810" s="56">
        <f>IFERROR(__xludf.DUMMYFUNCTION("""COMPUTED_VALUE"""),0.22222222222222224)</f>
        <v>0.2222222222</v>
      </c>
      <c r="N810" s="31">
        <f>IFERROR(__xludf.DUMMYFUNCTION("""COMPUTED_VALUE"""),342.741935483871)</f>
        <v>342.7419355</v>
      </c>
      <c r="O810" s="57">
        <f>IFERROR(__xludf.DUMMYFUNCTION("""COMPUTED_VALUE"""),0.5806451612903226)</f>
        <v>0.5806451613</v>
      </c>
      <c r="P810" s="57">
        <f>IFERROR(__xludf.DUMMYFUNCTION("""COMPUTED_VALUE"""),0.4838709677419355)</f>
        <v>0.4838709677</v>
      </c>
      <c r="Q810" s="57">
        <f>IFERROR(__xludf.DUMMYFUNCTION("""COMPUTED_VALUE"""),1.8709677419354838)</f>
        <v>1.870967742</v>
      </c>
      <c r="R810" s="57">
        <f>IFERROR(__xludf.DUMMYFUNCTION("""COMPUTED_VALUE"""),2.6129032258064515)</f>
        <v>2.612903226</v>
      </c>
      <c r="S810" s="31">
        <f>IFERROR(__xludf.DUMMYFUNCTION("""COMPUTED_VALUE"""),387.6989247311828)</f>
        <v>387.6989247</v>
      </c>
      <c r="T810" s="57">
        <f>IFERROR(__xludf.DUMMYFUNCTION("""COMPUTED_VALUE"""),0.9354838709677421)</f>
        <v>0.935483871</v>
      </c>
      <c r="U810" s="57">
        <f>IFERROR(__xludf.DUMMYFUNCTION("""COMPUTED_VALUE"""),0.6881720430107525)</f>
        <v>0.688172043</v>
      </c>
      <c r="V810" s="57">
        <f>IFERROR(__xludf.DUMMYFUNCTION("""COMPUTED_VALUE"""),1.4838709677419357)</f>
        <v>1.483870968</v>
      </c>
      <c r="W810" s="57">
        <f>IFERROR(__xludf.DUMMYFUNCTION("""COMPUTED_VALUE"""),2.9784946236559144)</f>
        <v>2.978494624</v>
      </c>
      <c r="X810" s="31">
        <f>IFERROR(__xludf.DUMMYFUNCTION("""COMPUTED_VALUE"""),360.0989414106204)</f>
        <v>360.0989414</v>
      </c>
      <c r="Y810" s="57">
        <f>IFERROR(__xludf.DUMMYFUNCTION("""COMPUTED_VALUE"""),0.8145744087967615)</f>
        <v>0.8145744088</v>
      </c>
      <c r="Z810" s="57">
        <f>IFERROR(__xludf.DUMMYFUNCTION("""COMPUTED_VALUE"""),0.6258177561880247)</f>
        <v>0.6258177562</v>
      </c>
      <c r="AA810" s="57">
        <f>IFERROR(__xludf.DUMMYFUNCTION("""COMPUTED_VALUE"""),1.329759415197206)</f>
        <v>1.329759415</v>
      </c>
      <c r="AB810" s="57">
        <f>IFERROR(__xludf.DUMMYFUNCTION("""COMPUTED_VALUE"""),2.6629379577661334)</f>
        <v>2.662937958</v>
      </c>
      <c r="AC810" s="31">
        <f>IFERROR(__xludf.DUMMYFUNCTION("""COMPUTED_VALUE"""),355.8558589997911)</f>
        <v>355.855859</v>
      </c>
      <c r="AD810" s="57">
        <f>IFERROR(__xludf.DUMMYFUNCTION("""COMPUTED_VALUE"""),0.7985948537884197)</f>
        <v>0.7985948538</v>
      </c>
      <c r="AE810" s="57">
        <f>IFERROR(__xludf.DUMMYFUNCTION("""COMPUTED_VALUE"""),0.5871776796438405)</f>
        <v>0.5871776796</v>
      </c>
      <c r="AF810" s="57">
        <f>IFERROR(__xludf.DUMMYFUNCTION("""COMPUTED_VALUE"""),1.3393025330123574)</f>
        <v>1.339302533</v>
      </c>
      <c r="AG810" s="57">
        <f>IFERROR(__xludf.DUMMYFUNCTION("""COMPUTED_VALUE"""),2.6408667757618844)</f>
        <v>2.640866776</v>
      </c>
      <c r="AH810" s="57">
        <f>IFERROR(__xludf.DUMMYFUNCTION("""COMPUTED_VALUE"""),0.9631482152555262)</f>
        <v>0.9631482153</v>
      </c>
      <c r="AI810" s="57">
        <f>IFERROR(__xludf.DUMMYFUNCTION("""COMPUTED_VALUE"""),0.7270835249386157)</f>
        <v>0.7270835249</v>
      </c>
      <c r="AJ810" s="57">
        <f>IFERROR(__xludf.DUMMYFUNCTION("""COMPUTED_VALUE"""),0.824062263462455)</f>
        <v>0.8240622635</v>
      </c>
      <c r="AK810" s="57">
        <f>IFERROR(__xludf.DUMMYFUNCTION("""COMPUTED_VALUE"""),1.3969717041655298)</f>
        <v>1.396971704</v>
      </c>
      <c r="AL810" s="57">
        <f>IFERROR(__xludf.DUMMYFUNCTION("""COMPUTED_VALUE"""),0.9894112227803065)</f>
        <v>0.9894112228</v>
      </c>
      <c r="AM810" s="57">
        <f>IFERROR(__xludf.DUMMYFUNCTION("""COMPUTED_VALUE"""),1.0766455552811252)</f>
        <v>1.076645555</v>
      </c>
      <c r="AN810" s="57">
        <f>IFERROR(__xludf.DUMMYFUNCTION("""COMPUTED_VALUE"""),1.1484326795259632)</f>
        <v>1.14843268</v>
      </c>
      <c r="AO810" s="57">
        <f>IFERROR(__xludf.DUMMYFUNCTION("""COMPUTED_VALUE"""),1.0996364935417295)</f>
        <v>1.099636494</v>
      </c>
      <c r="AP810" s="35">
        <f>IFERROR(__xludf.DUMMYFUNCTION("""COMPUTED_VALUE"""),1.115894311996185)</f>
        <v>1.115894312</v>
      </c>
      <c r="AQ810" s="57">
        <f>IFERROR(__xludf.DUMMYFUNCTION("""COMPUTED_VALUE"""),1.1184994434322055)</f>
        <v>1.118499443</v>
      </c>
      <c r="AR810" s="36" t="b">
        <f>IFERROR(__xludf.DUMMYFUNCTION("""COMPUTED_VALUE"""),TRUE)</f>
        <v>1</v>
      </c>
      <c r="AS810" s="57"/>
      <c r="AT810" s="37"/>
      <c r="AU810" s="30"/>
      <c r="AV810" s="30"/>
      <c r="AW810" s="30"/>
      <c r="AX810" s="30"/>
      <c r="AY810" s="30"/>
      <c r="AZ810" s="30"/>
    </row>
    <row r="811">
      <c r="A811" s="30" t="str">
        <f>IFERROR(__xludf.DUMMYFUNCTION("""COMPUTED_VALUE"""),"Veteran")</f>
        <v>Veteran</v>
      </c>
      <c r="B811" s="30" t="str">
        <f>IFERROR(__xludf.DUMMYFUNCTION("""COMPUTED_VALUE"""),"RSC002730")</f>
        <v>RSC002730</v>
      </c>
      <c r="C811" s="30" t="str">
        <f>IFERROR(__xludf.DUMMYFUNCTION("""COMPUTED_VALUE"""),"AquaP")</f>
        <v>AquaP</v>
      </c>
      <c r="D811" s="31" t="str">
        <f>IFERROR(__xludf.DUMMYFUNCTION("""COMPUTED_VALUE"""),"Merciless Mob")</f>
        <v>Merciless Mob</v>
      </c>
      <c r="E811" s="31">
        <f>IFERROR(__xludf.DUMMYFUNCTION("""COMPUTED_VALUE"""),34.82200328238558)</f>
        <v>34.82200328</v>
      </c>
      <c r="F811" s="31">
        <f>IFERROR(__xludf.DUMMYFUNCTION("""COMPUTED_VALUE"""),-3.6780164003839597)</f>
        <v>-3.6780164</v>
      </c>
      <c r="G811" s="31">
        <f>IFERROR(__xludf.DUMMYFUNCTION("""COMPUTED_VALUE"""),31.199047531423467)</f>
        <v>31.19904753</v>
      </c>
      <c r="H811" s="31">
        <f>IFERROR(__xludf.DUMMYFUNCTION("""COMPUTED_VALUE"""),-4.424503231585659)</f>
        <v>-4.424503232</v>
      </c>
      <c r="I811" s="54">
        <f>IFERROR(__xludf.DUMMYFUNCTION("""COMPUTED_VALUE"""),12.0)</f>
        <v>12</v>
      </c>
      <c r="J811" s="55">
        <f>IFERROR(__xludf.DUMMYFUNCTION("""COMPUTED_VALUE"""),5.0)</f>
        <v>5</v>
      </c>
      <c r="K811" s="54">
        <f>IFERROR(__xludf.DUMMYFUNCTION("""COMPUTED_VALUE"""),7.0)</f>
        <v>7</v>
      </c>
      <c r="L811" s="56">
        <f>IFERROR(__xludf.DUMMYFUNCTION("""COMPUTED_VALUE"""),0.4166666666666667)</f>
        <v>0.4166666667</v>
      </c>
      <c r="M811" s="56">
        <f>IFERROR(__xludf.DUMMYFUNCTION("""COMPUTED_VALUE"""),0.38461538461538464)</f>
        <v>0.3846153846</v>
      </c>
      <c r="N811" s="31">
        <f>IFERROR(__xludf.DUMMYFUNCTION("""COMPUTED_VALUE"""),307.6666666666667)</f>
        <v>307.6666667</v>
      </c>
      <c r="O811" s="57">
        <f>IFERROR(__xludf.DUMMYFUNCTION("""COMPUTED_VALUE"""),0.8333333333333334)</f>
        <v>0.8333333333</v>
      </c>
      <c r="P811" s="57">
        <f>IFERROR(__xludf.DUMMYFUNCTION("""COMPUTED_VALUE"""),0.3333333333333333)</f>
        <v>0.3333333333</v>
      </c>
      <c r="Q811" s="57">
        <f>IFERROR(__xludf.DUMMYFUNCTION("""COMPUTED_VALUE"""),0.9166666666666666)</f>
        <v>0.9166666667</v>
      </c>
      <c r="R811" s="57">
        <f>IFERROR(__xludf.DUMMYFUNCTION("""COMPUTED_VALUE"""),2.1666666666666665)</f>
        <v>2.166666667</v>
      </c>
      <c r="S811" s="31">
        <f>IFERROR(__xludf.DUMMYFUNCTION("""COMPUTED_VALUE"""),355.27777777777777)</f>
        <v>355.2777778</v>
      </c>
      <c r="T811" s="57">
        <f>IFERROR(__xludf.DUMMYFUNCTION("""COMPUTED_VALUE"""),0.8611111111111112)</f>
        <v>0.8611111111</v>
      </c>
      <c r="U811" s="57">
        <f>IFERROR(__xludf.DUMMYFUNCTION("""COMPUTED_VALUE"""),0.6388888888888888)</f>
        <v>0.6388888889</v>
      </c>
      <c r="V811" s="57">
        <f>IFERROR(__xludf.DUMMYFUNCTION("""COMPUTED_VALUE"""),1.1666666666666667)</f>
        <v>1.166666667</v>
      </c>
      <c r="W811" s="57">
        <f>IFERROR(__xludf.DUMMYFUNCTION("""COMPUTED_VALUE"""),2.888888888888889)</f>
        <v>2.888888889</v>
      </c>
      <c r="X811" s="31">
        <f>IFERROR(__xludf.DUMMYFUNCTION("""COMPUTED_VALUE"""),351.0708818785799)</f>
        <v>351.0708819</v>
      </c>
      <c r="Y811" s="57">
        <f>IFERROR(__xludf.DUMMYFUNCTION("""COMPUTED_VALUE"""),0.7356950979709623)</f>
        <v>0.735695098</v>
      </c>
      <c r="Z811" s="57">
        <f>IFERROR(__xludf.DUMMYFUNCTION("""COMPUTED_VALUE"""),0.5854662613095921)</f>
        <v>0.5854662613</v>
      </c>
      <c r="AA811" s="57">
        <f>IFERROR(__xludf.DUMMYFUNCTION("""COMPUTED_VALUE"""),1.3424021655445806)</f>
        <v>1.342402166</v>
      </c>
      <c r="AB811" s="57">
        <f>IFERROR(__xludf.DUMMYFUNCTION("""COMPUTED_VALUE"""),2.3699828103756118)</f>
        <v>2.36998281</v>
      </c>
      <c r="AC811" s="31">
        <f>IFERROR(__xludf.DUMMYFUNCTION("""COMPUTED_VALUE"""),342.274419052465)</f>
        <v>342.2744191</v>
      </c>
      <c r="AD811" s="57">
        <f>IFERROR(__xludf.DUMMYFUNCTION("""COMPUTED_VALUE"""),0.773580271939835)</f>
        <v>0.7735802719</v>
      </c>
      <c r="AE811" s="57">
        <f>IFERROR(__xludf.DUMMYFUNCTION("""COMPUTED_VALUE"""),0.5334274718659394)</f>
        <v>0.5334274719</v>
      </c>
      <c r="AF811" s="57">
        <f>IFERROR(__xludf.DUMMYFUNCTION("""COMPUTED_VALUE"""),1.2564717013348545)</f>
        <v>1.256471701</v>
      </c>
      <c r="AG811" s="57">
        <f>IFERROR(__xludf.DUMMYFUNCTION("""COMPUTED_VALUE"""),2.665005438091416)</f>
        <v>2.665005438</v>
      </c>
      <c r="AH811" s="57">
        <f>IFERROR(__xludf.DUMMYFUNCTION("""COMPUTED_VALUE"""),0.898888872613955)</f>
        <v>0.8988888726</v>
      </c>
      <c r="AI811" s="57">
        <f>IFERROR(__xludf.DUMMYFUNCTION("""COMPUTED_VALUE"""),1.0772422249647877)</f>
        <v>1.077242225</v>
      </c>
      <c r="AJ811" s="57">
        <f>IFERROR(__xludf.DUMMYFUNCTION("""COMPUTED_VALUE"""),0.6248897008759728)</f>
        <v>0.6248897009</v>
      </c>
      <c r="AK811" s="57">
        <f>IFERROR(__xludf.DUMMYFUNCTION("""COMPUTED_VALUE"""),0.7295561576856966)</f>
        <v>0.7295561577</v>
      </c>
      <c r="AL811" s="57">
        <f>IFERROR(__xludf.DUMMYFUNCTION("""COMPUTED_VALUE"""),0.8130064710931163)</f>
        <v>0.8130064711</v>
      </c>
      <c r="AM811" s="57">
        <f>IFERROR(__xludf.DUMMYFUNCTION("""COMPUTED_VALUE"""),1.0119830385154325)</f>
        <v>1.011983039</v>
      </c>
      <c r="AN811" s="57">
        <f>IFERROR(__xludf.DUMMYFUNCTION("""COMPUTED_VALUE"""),1.1704728133788638)</f>
        <v>1.170472813</v>
      </c>
      <c r="AO811" s="57">
        <f>IFERROR(__xludf.DUMMYFUNCTION("""COMPUTED_VALUE"""),1.0912480037018684)</f>
        <v>1.091248004</v>
      </c>
      <c r="AP811" s="35">
        <f>IFERROR(__xludf.DUMMYFUNCTION("""COMPUTED_VALUE"""),0.8690887847259825)</f>
        <v>0.8690887847</v>
      </c>
      <c r="AQ811" s="57">
        <f>IFERROR(__xludf.DUMMYFUNCTION("""COMPUTED_VALUE"""),1.2189493004934653)</f>
        <v>1.2189493</v>
      </c>
      <c r="AR811" s="36" t="b">
        <f>IFERROR(__xludf.DUMMYFUNCTION("""COMPUTED_VALUE"""),TRUE)</f>
        <v>1</v>
      </c>
      <c r="AS811" s="57"/>
      <c r="AT811" s="37"/>
      <c r="AU811" s="30"/>
      <c r="AV811" s="30"/>
      <c r="AW811" s="30"/>
      <c r="AX811" s="30"/>
      <c r="AY811" s="30"/>
      <c r="AZ811" s="30"/>
    </row>
    <row r="812">
      <c r="A812" s="30" t="str">
        <f>IFERROR(__xludf.DUMMYFUNCTION("""COMPUTED_VALUE"""),"Veteran")</f>
        <v>Veteran</v>
      </c>
      <c r="B812" s="30" t="str">
        <f>IFERROR(__xludf.DUMMYFUNCTION("""COMPUTED_VALUE"""),"RSC001007")</f>
        <v>RSC001007</v>
      </c>
      <c r="C812" s="30" t="str">
        <f>IFERROR(__xludf.DUMMYFUNCTION("""COMPUTED_VALUE"""),"Tdeez")</f>
        <v>Tdeez</v>
      </c>
      <c r="D812" s="31" t="str">
        <f>IFERROR(__xludf.DUMMYFUNCTION("""COMPUTED_VALUE"""),"Supernova")</f>
        <v>Supernova</v>
      </c>
      <c r="E812" s="31">
        <f>IFERROR(__xludf.DUMMYFUNCTION("""COMPUTED_VALUE"""),34.6637483312977)</f>
        <v>34.66374833</v>
      </c>
      <c r="F812" s="31">
        <f>IFERROR(__xludf.DUMMYFUNCTION("""COMPUTED_VALUE"""),-3.7065949178706634)</f>
        <v>-3.706594918</v>
      </c>
      <c r="G812" s="31">
        <f>IFERROR(__xludf.DUMMYFUNCTION("""COMPUTED_VALUE"""),25.16101576625413)</f>
        <v>25.16101577</v>
      </c>
      <c r="H812" s="31">
        <f>IFERROR(__xludf.DUMMYFUNCTION("""COMPUTED_VALUE"""),-6.241468044145221)</f>
        <v>-6.241468044</v>
      </c>
      <c r="I812" s="54">
        <f>IFERROR(__xludf.DUMMYFUNCTION("""COMPUTED_VALUE"""),26.0)</f>
        <v>26</v>
      </c>
      <c r="J812" s="55">
        <f>IFERROR(__xludf.DUMMYFUNCTION("""COMPUTED_VALUE"""),8.0)</f>
        <v>8</v>
      </c>
      <c r="K812" s="54">
        <f>IFERROR(__xludf.DUMMYFUNCTION("""COMPUTED_VALUE"""),18.0)</f>
        <v>18</v>
      </c>
      <c r="L812" s="56">
        <f>IFERROR(__xludf.DUMMYFUNCTION("""COMPUTED_VALUE"""),0.3076923076923077)</f>
        <v>0.3076923077</v>
      </c>
      <c r="M812" s="56">
        <f>IFERROR(__xludf.DUMMYFUNCTION("""COMPUTED_VALUE"""),0.375)</f>
        <v>0.375</v>
      </c>
      <c r="N812" s="31">
        <f>IFERROR(__xludf.DUMMYFUNCTION("""COMPUTED_VALUE"""),328.0)</f>
        <v>328</v>
      </c>
      <c r="O812" s="57">
        <f>IFERROR(__xludf.DUMMYFUNCTION("""COMPUTED_VALUE"""),0.8076923076923077)</f>
        <v>0.8076923077</v>
      </c>
      <c r="P812" s="57">
        <f>IFERROR(__xludf.DUMMYFUNCTION("""COMPUTED_VALUE"""),0.4230769230769231)</f>
        <v>0.4230769231</v>
      </c>
      <c r="Q812" s="57">
        <f>IFERROR(__xludf.DUMMYFUNCTION("""COMPUTED_VALUE"""),1.5384615384615385)</f>
        <v>1.538461538</v>
      </c>
      <c r="R812" s="57">
        <f>IFERROR(__xludf.DUMMYFUNCTION("""COMPUTED_VALUE"""),2.1538461538461537)</f>
        <v>2.153846154</v>
      </c>
      <c r="S812" s="31">
        <f>IFERROR(__xludf.DUMMYFUNCTION("""COMPUTED_VALUE"""),389.9358974358974)</f>
        <v>389.9358974</v>
      </c>
      <c r="T812" s="57">
        <f>IFERROR(__xludf.DUMMYFUNCTION("""COMPUTED_VALUE"""),1.1153846153846152)</f>
        <v>1.115384615</v>
      </c>
      <c r="U812" s="57">
        <f>IFERROR(__xludf.DUMMYFUNCTION("""COMPUTED_VALUE"""),0.846153846153846)</f>
        <v>0.8461538462</v>
      </c>
      <c r="V812" s="57">
        <f>IFERROR(__xludf.DUMMYFUNCTION("""COMPUTED_VALUE"""),1.1153846153846154)</f>
        <v>1.115384615</v>
      </c>
      <c r="W812" s="57">
        <f>IFERROR(__xludf.DUMMYFUNCTION("""COMPUTED_VALUE"""),3.3205128205128207)</f>
        <v>3.320512821</v>
      </c>
      <c r="X812" s="31">
        <f>IFERROR(__xludf.DUMMYFUNCTION("""COMPUTED_VALUE"""),363.339804393483)</f>
        <v>363.3398044</v>
      </c>
      <c r="Y812" s="57">
        <f>IFERROR(__xludf.DUMMYFUNCTION("""COMPUTED_VALUE"""),0.8334345464779881)</f>
        <v>0.8334345465</v>
      </c>
      <c r="Z812" s="57">
        <f>IFERROR(__xludf.DUMMYFUNCTION("""COMPUTED_VALUE"""),0.5839289848808984)</f>
        <v>0.5839289849</v>
      </c>
      <c r="AA812" s="57">
        <f>IFERROR(__xludf.DUMMYFUNCTION("""COMPUTED_VALUE"""),1.3808287564781379)</f>
        <v>1.380828756</v>
      </c>
      <c r="AB812" s="57">
        <f>IFERROR(__xludf.DUMMYFUNCTION("""COMPUTED_VALUE"""),2.7112979309921283)</f>
        <v>2.711297931</v>
      </c>
      <c r="AC812" s="31">
        <f>IFERROR(__xludf.DUMMYFUNCTION("""COMPUTED_VALUE"""),352.1284965004261)</f>
        <v>352.1284965</v>
      </c>
      <c r="AD812" s="57">
        <f>IFERROR(__xludf.DUMMYFUNCTION("""COMPUTED_VALUE"""),0.7588714939496902)</f>
        <v>0.7588714939</v>
      </c>
      <c r="AE812" s="57">
        <f>IFERROR(__xludf.DUMMYFUNCTION("""COMPUTED_VALUE"""),0.5376282761780942)</f>
        <v>0.5376282762</v>
      </c>
      <c r="AF812" s="57">
        <f>IFERROR(__xludf.DUMMYFUNCTION("""COMPUTED_VALUE"""),1.3966309985005663)</f>
        <v>1.396630999</v>
      </c>
      <c r="AG812" s="57">
        <f>IFERROR(__xludf.DUMMYFUNCTION("""COMPUTED_VALUE"""),2.6297447415923116)</f>
        <v>2.629744742</v>
      </c>
      <c r="AH812" s="57">
        <f>IFERROR(__xludf.DUMMYFUNCTION("""COMPUTED_VALUE"""),0.9314781486297662)</f>
        <v>0.9314781486</v>
      </c>
      <c r="AI812" s="57">
        <f>IFERROR(__xludf.DUMMYFUNCTION("""COMPUTED_VALUE"""),1.0643334400248985)</f>
        <v>1.06433344</v>
      </c>
      <c r="AJ812" s="57">
        <f>IFERROR(__xludf.DUMMYFUNCTION("""COMPUTED_VALUE"""),0.7869320529130337)</f>
        <v>0.7869320529</v>
      </c>
      <c r="AK812" s="57">
        <f>IFERROR(__xludf.DUMMYFUNCTION("""COMPUTED_VALUE"""),1.1015519060605432)</f>
        <v>1.101551906</v>
      </c>
      <c r="AL812" s="57">
        <f>IFERROR(__xludf.DUMMYFUNCTION("""COMPUTED_VALUE"""),0.8190324025677104)</f>
        <v>0.8190324026</v>
      </c>
      <c r="AM812" s="57">
        <f>IFERROR(__xludf.DUMMYFUNCTION("""COMPUTED_VALUE"""),1.073198952387864)</f>
        <v>1.073198952</v>
      </c>
      <c r="AN812" s="57">
        <f>IFERROR(__xludf.DUMMYFUNCTION("""COMPUTED_VALUE"""),1.338298994321894)</f>
        <v>1.338298994</v>
      </c>
      <c r="AO812" s="57">
        <f>IFERROR(__xludf.DUMMYFUNCTION("""COMPUTED_VALUE"""),1.4490697808508899)</f>
        <v>1.449069781</v>
      </c>
      <c r="AP812" s="35">
        <f>IFERROR(__xludf.DUMMYFUNCTION("""COMPUTED_VALUE"""),0.807764619726961)</f>
        <v>0.8077646197</v>
      </c>
      <c r="AQ812" s="57">
        <f>IFERROR(__xludf.DUMMYFUNCTION("""COMPUTED_VALUE"""),1.2246949265725904)</f>
        <v>1.224694927</v>
      </c>
      <c r="AR812" s="36" t="b">
        <f>IFERROR(__xludf.DUMMYFUNCTION("""COMPUTED_VALUE"""),TRUE)</f>
        <v>1</v>
      </c>
      <c r="AS812" s="57"/>
      <c r="AT812" s="37"/>
      <c r="AU812" s="30"/>
      <c r="AV812" s="30"/>
      <c r="AW812" s="30"/>
      <c r="AX812" s="30"/>
      <c r="AY812" s="30"/>
      <c r="AZ812" s="30"/>
    </row>
    <row r="813">
      <c r="A813" s="30" t="str">
        <f>IFERROR(__xludf.DUMMYFUNCTION("""COMPUTED_VALUE"""),"Veteran")</f>
        <v>Veteran</v>
      </c>
      <c r="B813" s="30" t="str">
        <f>IFERROR(__xludf.DUMMYFUNCTION("""COMPUTED_VALUE"""),"RSC007327")</f>
        <v>RSC007327</v>
      </c>
      <c r="C813" s="30" t="str">
        <f>IFERROR(__xludf.DUMMYFUNCTION("""COMPUTED_VALUE"""),"JustAChillGuyONG")</f>
        <v>JustAChillGuyONG</v>
      </c>
      <c r="D813" s="31" t="str">
        <f>IFERROR(__xludf.DUMMYFUNCTION("""COMPUTED_VALUE"""),"Slots")</f>
        <v>Slots</v>
      </c>
      <c r="E813" s="31">
        <f>IFERROR(__xludf.DUMMYFUNCTION("""COMPUTED_VALUE"""),31.32404718632159)</f>
        <v>31.32404719</v>
      </c>
      <c r="F813" s="31">
        <f>IFERROR(__xludf.DUMMYFUNCTION("""COMPUTED_VALUE"""),-4.395212638887977)</f>
        <v>-4.395212639</v>
      </c>
      <c r="G813" s="31">
        <f>IFERROR(__xludf.DUMMYFUNCTION("""COMPUTED_VALUE"""),23.381462447750188)</f>
        <v>23.38146245</v>
      </c>
      <c r="H813" s="31">
        <f>IFERROR(__xludf.DUMMYFUNCTION("""COMPUTED_VALUE"""),-6.968812940974962)</f>
        <v>-6.968812941</v>
      </c>
      <c r="I813" s="54">
        <f>IFERROR(__xludf.DUMMYFUNCTION("""COMPUTED_VALUE"""),18.0)</f>
        <v>18</v>
      </c>
      <c r="J813" s="55">
        <f>IFERROR(__xludf.DUMMYFUNCTION("""COMPUTED_VALUE"""),7.0)</f>
        <v>7</v>
      </c>
      <c r="K813" s="54">
        <f>IFERROR(__xludf.DUMMYFUNCTION("""COMPUTED_VALUE"""),11.0)</f>
        <v>11</v>
      </c>
      <c r="L813" s="56">
        <f>IFERROR(__xludf.DUMMYFUNCTION("""COMPUTED_VALUE"""),0.3888888888888889)</f>
        <v>0.3888888889</v>
      </c>
      <c r="M813" s="56">
        <f>IFERROR(__xludf.DUMMYFUNCTION("""COMPUTED_VALUE"""),0.3181818181818182)</f>
        <v>0.3181818182</v>
      </c>
      <c r="N813" s="31">
        <f>IFERROR(__xludf.DUMMYFUNCTION("""COMPUTED_VALUE"""),317.22222222222223)</f>
        <v>317.2222222</v>
      </c>
      <c r="O813" s="57">
        <f>IFERROR(__xludf.DUMMYFUNCTION("""COMPUTED_VALUE"""),0.7777777777777778)</f>
        <v>0.7777777778</v>
      </c>
      <c r="P813" s="57">
        <f>IFERROR(__xludf.DUMMYFUNCTION("""COMPUTED_VALUE"""),0.2777777777777778)</f>
        <v>0.2777777778</v>
      </c>
      <c r="Q813" s="57">
        <f>IFERROR(__xludf.DUMMYFUNCTION("""COMPUTED_VALUE"""),1.3888888888888888)</f>
        <v>1.388888889</v>
      </c>
      <c r="R813" s="57">
        <f>IFERROR(__xludf.DUMMYFUNCTION("""COMPUTED_VALUE"""),2.4444444444444446)</f>
        <v>2.444444444</v>
      </c>
      <c r="S813" s="31">
        <f>IFERROR(__xludf.DUMMYFUNCTION("""COMPUTED_VALUE"""),402.37037037037044)</f>
        <v>402.3703704</v>
      </c>
      <c r="T813" s="57">
        <f>IFERROR(__xludf.DUMMYFUNCTION("""COMPUTED_VALUE"""),1.074074074074074)</f>
        <v>1.074074074</v>
      </c>
      <c r="U813" s="57">
        <f>IFERROR(__xludf.DUMMYFUNCTION("""COMPUTED_VALUE"""),0.8148148148148149)</f>
        <v>0.8148148148</v>
      </c>
      <c r="V813" s="57">
        <f>IFERROR(__xludf.DUMMYFUNCTION("""COMPUTED_VALUE"""),1.3518518518518519)</f>
        <v>1.351851852</v>
      </c>
      <c r="W813" s="57">
        <f>IFERROR(__xludf.DUMMYFUNCTION("""COMPUTED_VALUE"""),3.018518518518518)</f>
        <v>3.018518519</v>
      </c>
      <c r="X813" s="31">
        <f>IFERROR(__xludf.DUMMYFUNCTION("""COMPUTED_VALUE"""),368.6225336621742)</f>
        <v>368.6225337</v>
      </c>
      <c r="Y813" s="57">
        <f>IFERROR(__xludf.DUMMYFUNCTION("""COMPUTED_VALUE"""),0.8618078858928532)</f>
        <v>0.8618078859</v>
      </c>
      <c r="Z813" s="57">
        <f>IFERROR(__xludf.DUMMYFUNCTION("""COMPUTED_VALUE"""),0.7124361102465679)</f>
        <v>0.7124361102</v>
      </c>
      <c r="AA813" s="57">
        <f>IFERROR(__xludf.DUMMYFUNCTION("""COMPUTED_VALUE"""),1.2562247121070649)</f>
        <v>1.256224712</v>
      </c>
      <c r="AB813" s="57">
        <f>IFERROR(__xludf.DUMMYFUNCTION("""COMPUTED_VALUE"""),2.8678193072964318)</f>
        <v>2.867819307</v>
      </c>
      <c r="AC813" s="31">
        <f>IFERROR(__xludf.DUMMYFUNCTION("""COMPUTED_VALUE"""),356.3136221405884)</f>
        <v>356.3136221</v>
      </c>
      <c r="AD813" s="57">
        <f>IFERROR(__xludf.DUMMYFUNCTION("""COMPUTED_VALUE"""),0.776187151628328)</f>
        <v>0.7761871516</v>
      </c>
      <c r="AE813" s="57">
        <f>IFERROR(__xludf.DUMMYFUNCTION("""COMPUTED_VALUE"""),0.5622774089059492)</f>
        <v>0.5622774089</v>
      </c>
      <c r="AF813" s="57">
        <f>IFERROR(__xludf.DUMMYFUNCTION("""COMPUTED_VALUE"""),1.4087892437184377)</f>
        <v>1.408789244</v>
      </c>
      <c r="AG813" s="57">
        <f>IFERROR(__xludf.DUMMYFUNCTION("""COMPUTED_VALUE"""),2.55422272051357)</f>
        <v>2.554222721</v>
      </c>
      <c r="AH813" s="57">
        <f>IFERROR(__xludf.DUMMYFUNCTION("""COMPUTED_VALUE"""),0.890289347672085)</f>
        <v>0.8902893477</v>
      </c>
      <c r="AI813" s="57">
        <f>IFERROR(__xludf.DUMMYFUNCTION("""COMPUTED_VALUE"""),1.0020492817307178)</f>
        <v>1.002049282</v>
      </c>
      <c r="AJ813" s="57">
        <f>IFERROR(__xludf.DUMMYFUNCTION("""COMPUTED_VALUE"""),0.4940226539036374)</f>
        <v>0.4940226539</v>
      </c>
      <c r="AK813" s="57">
        <f>IFERROR(__xludf.DUMMYFUNCTION("""COMPUTED_VALUE"""),0.9858741434048554)</f>
        <v>0.9858741434</v>
      </c>
      <c r="AL813" s="57">
        <f>IFERROR(__xludf.DUMMYFUNCTION("""COMPUTED_VALUE"""),0.957020867762443)</f>
        <v>0.9570208678</v>
      </c>
      <c r="AM813" s="57">
        <f>IFERROR(__xludf.DUMMYFUNCTION("""COMPUTED_VALUE"""),1.0915512038098154)</f>
        <v>1.091551204</v>
      </c>
      <c r="AN813" s="57">
        <f>IFERROR(__xludf.DUMMYFUNCTION("""COMPUTED_VALUE"""),1.246303371848713)</f>
        <v>1.246303372</v>
      </c>
      <c r="AO813" s="57">
        <f>IFERROR(__xludf.DUMMYFUNCTION("""COMPUTED_VALUE"""),1.1437022956806815)</f>
        <v>1.143702296</v>
      </c>
      <c r="AP813" s="35">
        <f>IFERROR(__xludf.DUMMYFUNCTION("""COMPUTED_VALUE"""),1.0761226385877982)</f>
        <v>1.076122639</v>
      </c>
      <c r="AQ813" s="57">
        <f>IFERROR(__xludf.DUMMYFUNCTION("""COMPUTED_VALUE"""),1.052548363433732)</f>
        <v>1.052548363</v>
      </c>
      <c r="AR813" s="36" t="b">
        <f>IFERROR(__xludf.DUMMYFUNCTION("""COMPUTED_VALUE"""),TRUE)</f>
        <v>1</v>
      </c>
      <c r="AS813" s="57"/>
      <c r="AT813" s="37"/>
      <c r="AU813" s="30"/>
      <c r="AV813" s="30"/>
      <c r="AW813" s="30"/>
      <c r="AX813" s="30"/>
      <c r="AY813" s="30"/>
      <c r="AZ813" s="30"/>
    </row>
    <row r="814">
      <c r="A814" s="30" t="str">
        <f>IFERROR(__xludf.DUMMYFUNCTION("""COMPUTED_VALUE"""),"Veteran")</f>
        <v>Veteran</v>
      </c>
      <c r="B814" s="30" t="str">
        <f>IFERROR(__xludf.DUMMYFUNCTION("""COMPUTED_VALUE"""),"RSC007610")</f>
        <v>RSC007610</v>
      </c>
      <c r="C814" s="30" t="str">
        <f>IFERROR(__xludf.DUMMYFUNCTION("""COMPUTED_VALUE"""),"Halibut907")</f>
        <v>Halibut907</v>
      </c>
      <c r="D814" s="31" t="str">
        <f>IFERROR(__xludf.DUMMYFUNCTION("""COMPUTED_VALUE"""),"Dump Trucks")</f>
        <v>Dump Trucks</v>
      </c>
      <c r="E814" s="31">
        <f>IFERROR(__xludf.DUMMYFUNCTION("""COMPUTED_VALUE"""),30.50588561376874)</f>
        <v>30.50588561</v>
      </c>
      <c r="F814" s="31">
        <f>IFERROR(__xludf.DUMMYFUNCTION("""COMPUTED_VALUE"""),-4.5921118509534065)</f>
        <v>-4.592111851</v>
      </c>
      <c r="G814" s="31">
        <f>IFERROR(__xludf.DUMMYFUNCTION("""COMPUTED_VALUE"""),40.4385392161131)</f>
        <v>40.43853922</v>
      </c>
      <c r="H814" s="31">
        <f>IFERROR(__xludf.DUMMYFUNCTION("""COMPUTED_VALUE"""),-2.8485104199700975)</f>
        <v>-2.84851042</v>
      </c>
      <c r="I814" s="54">
        <f>IFERROR(__xludf.DUMMYFUNCTION("""COMPUTED_VALUE"""),36.0)</f>
        <v>36</v>
      </c>
      <c r="J814" s="55">
        <f>IFERROR(__xludf.DUMMYFUNCTION("""COMPUTED_VALUE"""),12.0)</f>
        <v>12</v>
      </c>
      <c r="K814" s="54">
        <f>IFERROR(__xludf.DUMMYFUNCTION("""COMPUTED_VALUE"""),24.0)</f>
        <v>24</v>
      </c>
      <c r="L814" s="56">
        <f>IFERROR(__xludf.DUMMYFUNCTION("""COMPUTED_VALUE"""),0.3333333333333333)</f>
        <v>0.3333333333</v>
      </c>
      <c r="M814" s="56">
        <f>IFERROR(__xludf.DUMMYFUNCTION("""COMPUTED_VALUE"""),0.3230769230769231)</f>
        <v>0.3230769231</v>
      </c>
      <c r="N814" s="31">
        <f>IFERROR(__xludf.DUMMYFUNCTION("""COMPUTED_VALUE"""),351.6111111111111)</f>
        <v>351.6111111</v>
      </c>
      <c r="O814" s="57">
        <f>IFERROR(__xludf.DUMMYFUNCTION("""COMPUTED_VALUE"""),0.5833333333333334)</f>
        <v>0.5833333333</v>
      </c>
      <c r="P814" s="57">
        <f>IFERROR(__xludf.DUMMYFUNCTION("""COMPUTED_VALUE"""),0.3888888888888889)</f>
        <v>0.3888888889</v>
      </c>
      <c r="Q814" s="57">
        <f>IFERROR(__xludf.DUMMYFUNCTION("""COMPUTED_VALUE"""),1.7777777777777777)</f>
        <v>1.777777778</v>
      </c>
      <c r="R814" s="57">
        <f>IFERROR(__xludf.DUMMYFUNCTION("""COMPUTED_VALUE"""),1.8055555555555556)</f>
        <v>1.805555556</v>
      </c>
      <c r="S814" s="31">
        <f>IFERROR(__xludf.DUMMYFUNCTION("""COMPUTED_VALUE"""),348.05555555555554)</f>
        <v>348.0555556</v>
      </c>
      <c r="T814" s="57">
        <f>IFERROR(__xludf.DUMMYFUNCTION("""COMPUTED_VALUE"""),0.7962962962962963)</f>
        <v>0.7962962963</v>
      </c>
      <c r="U814" s="57">
        <f>IFERROR(__xludf.DUMMYFUNCTION("""COMPUTED_VALUE"""),0.5833333333333334)</f>
        <v>0.5833333333</v>
      </c>
      <c r="V814" s="57">
        <f>IFERROR(__xludf.DUMMYFUNCTION("""COMPUTED_VALUE"""),1.166666666666667)</f>
        <v>1.166666667</v>
      </c>
      <c r="W814" s="57">
        <f>IFERROR(__xludf.DUMMYFUNCTION("""COMPUTED_VALUE"""),2.907407407407408)</f>
        <v>2.907407407</v>
      </c>
      <c r="X814" s="31">
        <f>IFERROR(__xludf.DUMMYFUNCTION("""COMPUTED_VALUE"""),349.2934516457573)</f>
        <v>349.2934516</v>
      </c>
      <c r="Y814" s="57">
        <f>IFERROR(__xludf.DUMMYFUNCTION("""COMPUTED_VALUE"""),0.7434232543270682)</f>
        <v>0.7434232543</v>
      </c>
      <c r="Z814" s="57">
        <f>IFERROR(__xludf.DUMMYFUNCTION("""COMPUTED_VALUE"""),0.5431855778154497)</f>
        <v>0.5431855778</v>
      </c>
      <c r="AA814" s="57">
        <f>IFERROR(__xludf.DUMMYFUNCTION("""COMPUTED_VALUE"""),1.3474107262254955)</f>
        <v>1.347410726</v>
      </c>
      <c r="AB814" s="57">
        <f>IFERROR(__xludf.DUMMYFUNCTION("""COMPUTED_VALUE"""),2.652527166355966)</f>
        <v>2.652527166</v>
      </c>
      <c r="AC814" s="31">
        <f>IFERROR(__xludf.DUMMYFUNCTION("""COMPUTED_VALUE"""),349.3648593188867)</f>
        <v>349.3648593</v>
      </c>
      <c r="AD814" s="57">
        <f>IFERROR(__xludf.DUMMYFUNCTION("""COMPUTED_VALUE"""),0.7345657711863157)</f>
        <v>0.7345657712</v>
      </c>
      <c r="AE814" s="57">
        <f>IFERROR(__xludf.DUMMYFUNCTION("""COMPUTED_VALUE"""),0.5376528576769899)</f>
        <v>0.5376528577</v>
      </c>
      <c r="AF814" s="57">
        <f>IFERROR(__xludf.DUMMYFUNCTION("""COMPUTED_VALUE"""),1.4079390598718315)</f>
        <v>1.40793906</v>
      </c>
      <c r="AG814" s="57">
        <f>IFERROR(__xludf.DUMMYFUNCTION("""COMPUTED_VALUE"""),2.541636746922866)</f>
        <v>2.541636747</v>
      </c>
      <c r="AH814" s="57">
        <f>IFERROR(__xludf.DUMMYFUNCTION("""COMPUTED_VALUE"""),1.0064295298519823)</f>
        <v>1.00642953</v>
      </c>
      <c r="AI814" s="57">
        <f>IFERROR(__xludf.DUMMYFUNCTION("""COMPUTED_VALUE"""),0.7941199497919109)</f>
        <v>0.7941199498</v>
      </c>
      <c r="AJ814" s="57">
        <f>IFERROR(__xludf.DUMMYFUNCTION("""COMPUTED_VALUE"""),0.723308512799768)</f>
        <v>0.7233085128</v>
      </c>
      <c r="AK814" s="57">
        <f>IFERROR(__xludf.DUMMYFUNCTION("""COMPUTED_VALUE"""),1.262680913149475)</f>
        <v>1.262680913</v>
      </c>
      <c r="AL814" s="57">
        <f>IFERROR(__xludf.DUMMYFUNCTION("""COMPUTED_VALUE"""),0.7103908761712403)</f>
        <v>0.7103908762</v>
      </c>
      <c r="AM814" s="57">
        <f>IFERROR(__xludf.DUMMYFUNCTION("""COMPUTED_VALUE"""),0.996455999720667)</f>
        <v>0.9964559997</v>
      </c>
      <c r="AN814" s="57">
        <f>IFERROR(__xludf.DUMMYFUNCTION("""COMPUTED_VALUE"""),1.071121049363848)</f>
        <v>1.071121049</v>
      </c>
      <c r="AO814" s="57">
        <f>IFERROR(__xludf.DUMMYFUNCTION("""COMPUTED_VALUE"""),1.0739116743109185)</f>
        <v>1.073911674</v>
      </c>
      <c r="AP814" s="35">
        <f>IFERROR(__xludf.DUMMYFUNCTION("""COMPUTED_VALUE"""),0.8658582301291698)</f>
        <v>0.8658582301</v>
      </c>
      <c r="AQ814" s="57">
        <f>IFERROR(__xludf.DUMMYFUNCTION("""COMPUTED_VALUE"""),1.0960895874260153)</f>
        <v>1.096089587</v>
      </c>
      <c r="AR814" s="36" t="b">
        <f>IFERROR(__xludf.DUMMYFUNCTION("""COMPUTED_VALUE"""),TRUE)</f>
        <v>1</v>
      </c>
      <c r="AS814" s="57"/>
      <c r="AT814" s="37"/>
      <c r="AU814" s="30"/>
      <c r="AV814" s="30"/>
      <c r="AW814" s="30"/>
      <c r="AX814" s="30"/>
      <c r="AY814" s="30"/>
      <c r="AZ814" s="30"/>
    </row>
    <row r="815">
      <c r="A815" s="30" t="str">
        <f>IFERROR(__xludf.DUMMYFUNCTION("""COMPUTED_VALUE"""),"Veteran")</f>
        <v>Veteran</v>
      </c>
      <c r="B815" s="30" t="str">
        <f>IFERROR(__xludf.DUMMYFUNCTION("""COMPUTED_VALUE"""),"RSC001487")</f>
        <v>RSC001487</v>
      </c>
      <c r="C815" s="30" t="str">
        <f>IFERROR(__xludf.DUMMYFUNCTION("""COMPUTED_VALUE"""),"M1ke1sMy1ke")</f>
        <v>M1ke1sMy1ke</v>
      </c>
      <c r="D815" s="31" t="str">
        <f>IFERROR(__xludf.DUMMYFUNCTION("""COMPUTED_VALUE"""),"Dump Trucks")</f>
        <v>Dump Trucks</v>
      </c>
      <c r="E815" s="31">
        <f>IFERROR(__xludf.DUMMYFUNCTION("""COMPUTED_VALUE"""),29.703026296967508)</f>
        <v>29.7030263</v>
      </c>
      <c r="F815" s="31">
        <f>IFERROR(__xludf.DUMMYFUNCTION("""COMPUTED_VALUE"""),-4.7977612275033215)</f>
        <v>-4.797761228</v>
      </c>
      <c r="G815" s="31">
        <f>IFERROR(__xludf.DUMMYFUNCTION("""COMPUTED_VALUE"""),39.269766078426485)</f>
        <v>39.26976608</v>
      </c>
      <c r="H815" s="31">
        <f>IFERROR(__xludf.DUMMYFUNCTION("""COMPUTED_VALUE"""),-2.9950392824474203)</f>
        <v>-2.995039282</v>
      </c>
      <c r="I815" s="54">
        <f>IFERROR(__xludf.DUMMYFUNCTION("""COMPUTED_VALUE"""),31.0)</f>
        <v>31</v>
      </c>
      <c r="J815" s="55">
        <f>IFERROR(__xludf.DUMMYFUNCTION("""COMPUTED_VALUE"""),11.0)</f>
        <v>11</v>
      </c>
      <c r="K815" s="54">
        <f>IFERROR(__xludf.DUMMYFUNCTION("""COMPUTED_VALUE"""),20.0)</f>
        <v>20</v>
      </c>
      <c r="L815" s="56">
        <f>IFERROR(__xludf.DUMMYFUNCTION("""COMPUTED_VALUE"""),0.3548387096774194)</f>
        <v>0.3548387097</v>
      </c>
      <c r="M815" s="56">
        <f>IFERROR(__xludf.DUMMYFUNCTION("""COMPUTED_VALUE"""),0.21875)</f>
        <v>0.21875</v>
      </c>
      <c r="N815" s="31">
        <f>IFERROR(__xludf.DUMMYFUNCTION("""COMPUTED_VALUE"""),322.80645161290323)</f>
        <v>322.8064516</v>
      </c>
      <c r="O815" s="57">
        <f>IFERROR(__xludf.DUMMYFUNCTION("""COMPUTED_VALUE"""),0.45161290322580644)</f>
        <v>0.4516129032</v>
      </c>
      <c r="P815" s="57">
        <f>IFERROR(__xludf.DUMMYFUNCTION("""COMPUTED_VALUE"""),0.5161290322580645)</f>
        <v>0.5161290323</v>
      </c>
      <c r="Q815" s="57">
        <f>IFERROR(__xludf.DUMMYFUNCTION("""COMPUTED_VALUE"""),1.5806451612903225)</f>
        <v>1.580645161</v>
      </c>
      <c r="R815" s="57">
        <f>IFERROR(__xludf.DUMMYFUNCTION("""COMPUTED_VALUE"""),2.064516129032258)</f>
        <v>2.064516129</v>
      </c>
      <c r="S815" s="31">
        <f>IFERROR(__xludf.DUMMYFUNCTION("""COMPUTED_VALUE"""),350.52688172043014)</f>
        <v>350.5268817</v>
      </c>
      <c r="T815" s="57">
        <f>IFERROR(__xludf.DUMMYFUNCTION("""COMPUTED_VALUE"""),0.8172043010752689)</f>
        <v>0.8172043011</v>
      </c>
      <c r="U815" s="57">
        <f>IFERROR(__xludf.DUMMYFUNCTION("""COMPUTED_VALUE"""),0.5806451612903226)</f>
        <v>0.5806451613</v>
      </c>
      <c r="V815" s="57">
        <f>IFERROR(__xludf.DUMMYFUNCTION("""COMPUTED_VALUE"""),1.1720430107526882)</f>
        <v>1.172043011</v>
      </c>
      <c r="W815" s="57">
        <f>IFERROR(__xludf.DUMMYFUNCTION("""COMPUTED_VALUE"""),2.9032258064516134)</f>
        <v>2.903225806</v>
      </c>
      <c r="X815" s="31">
        <f>IFERROR(__xludf.DUMMYFUNCTION("""COMPUTED_VALUE"""),350.2767965407747)</f>
        <v>350.2767965</v>
      </c>
      <c r="Y815" s="57">
        <f>IFERROR(__xludf.DUMMYFUNCTION("""COMPUTED_VALUE"""),0.7486729378704743)</f>
        <v>0.7486729379</v>
      </c>
      <c r="Z815" s="57">
        <f>IFERROR(__xludf.DUMMYFUNCTION("""COMPUTED_VALUE"""),0.540309232819655)</f>
        <v>0.5403092328</v>
      </c>
      <c r="AA815" s="57">
        <f>IFERROR(__xludf.DUMMYFUNCTION("""COMPUTED_VALUE"""),1.3623846989011121)</f>
        <v>1.362384699</v>
      </c>
      <c r="AB815" s="57">
        <f>IFERROR(__xludf.DUMMYFUNCTION("""COMPUTED_VALUE"""),2.643224734115374)</f>
        <v>2.643224734</v>
      </c>
      <c r="AC815" s="31">
        <f>IFERROR(__xludf.DUMMYFUNCTION("""COMPUTED_VALUE"""),350.2289690406323)</f>
        <v>350.228969</v>
      </c>
      <c r="AD815" s="57">
        <f>IFERROR(__xludf.DUMMYFUNCTION("""COMPUTED_VALUE"""),0.7465694889743675)</f>
        <v>0.746569489</v>
      </c>
      <c r="AE815" s="57">
        <f>IFERROR(__xludf.DUMMYFUNCTION("""COMPUTED_VALUE"""),0.5435886572527269)</f>
        <v>0.5435886573</v>
      </c>
      <c r="AF815" s="57">
        <f>IFERROR(__xludf.DUMMYFUNCTION("""COMPUTED_VALUE"""),1.3964597554503042)</f>
        <v>1.396459755</v>
      </c>
      <c r="AG815" s="57">
        <f>IFERROR(__xludf.DUMMYFUNCTION("""COMPUTED_VALUE"""),2.5583021955264273)</f>
        <v>2.558302196</v>
      </c>
      <c r="AH815" s="57">
        <f>IFERROR(__xludf.DUMMYFUNCTION("""COMPUTED_VALUE"""),0.9217011730844354)</f>
        <v>0.9217011731</v>
      </c>
      <c r="AI815" s="57">
        <f>IFERROR(__xludf.DUMMYFUNCTION("""COMPUTED_VALUE"""),0.6049174388927003)</f>
        <v>0.6049174389</v>
      </c>
      <c r="AJ815" s="57">
        <f>IFERROR(__xludf.DUMMYFUNCTION("""COMPUTED_VALUE"""),0.9494845511798533)</f>
        <v>0.9494845512</v>
      </c>
      <c r="AK815" s="57">
        <f>IFERROR(__xludf.DUMMYFUNCTION("""COMPUTED_VALUE"""),1.1318945319556493)</f>
        <v>1.131894532</v>
      </c>
      <c r="AL815" s="57">
        <f>IFERROR(__xludf.DUMMYFUNCTION("""COMPUTED_VALUE"""),0.806986810487976)</f>
        <v>0.8069868105</v>
      </c>
      <c r="AM815" s="57">
        <f>IFERROR(__xludf.DUMMYFUNCTION("""COMPUTED_VALUE"""),1.000713964447903)</f>
        <v>1.000713964</v>
      </c>
      <c r="AN815" s="57">
        <f>IFERROR(__xludf.DUMMYFUNCTION("""COMPUTED_VALUE"""),1.0915371181970663)</f>
        <v>1.091537118</v>
      </c>
      <c r="AO815" s="57">
        <f>IFERROR(__xludf.DUMMYFUNCTION("""COMPUTED_VALUE"""),1.074653413305878)</f>
        <v>1.074653413</v>
      </c>
      <c r="AP815" s="35">
        <f>IFERROR(__xludf.DUMMYFUNCTION("""COMPUTED_VALUE"""),0.8602878553304717)</f>
        <v>0.8602878553</v>
      </c>
      <c r="AQ815" s="57">
        <f>IFERROR(__xludf.DUMMYFUNCTION("""COMPUTED_VALUE"""),1.098365102664362)</f>
        <v>1.098365103</v>
      </c>
      <c r="AR815" s="36" t="b">
        <f>IFERROR(__xludf.DUMMYFUNCTION("""COMPUTED_VALUE"""),TRUE)</f>
        <v>1</v>
      </c>
      <c r="AS815" s="57"/>
      <c r="AT815" s="37"/>
      <c r="AU815" s="30"/>
      <c r="AV815" s="30"/>
      <c r="AW815" s="30"/>
      <c r="AX815" s="30"/>
      <c r="AY815" s="30"/>
      <c r="AZ815" s="30"/>
    </row>
    <row r="816">
      <c r="A816" s="30" t="str">
        <f>IFERROR(__xludf.DUMMYFUNCTION("""COMPUTED_VALUE"""),"Veteran")</f>
        <v>Veteran</v>
      </c>
      <c r="B816" s="30" t="str">
        <f>IFERROR(__xludf.DUMMYFUNCTION("""COMPUTED_VALUE"""),"RSC000796")</f>
        <v>RSC000796</v>
      </c>
      <c r="C816" s="30" t="str">
        <f>IFERROR(__xludf.DUMMYFUNCTION("""COMPUTED_VALUE"""),"hoyci")</f>
        <v>hoyci</v>
      </c>
      <c r="D816" s="31" t="str">
        <f>IFERROR(__xludf.DUMMYFUNCTION("""COMPUTED_VALUE"""),"Dread")</f>
        <v>Dread</v>
      </c>
      <c r="E816" s="31">
        <f>IFERROR(__xludf.DUMMYFUNCTION("""COMPUTED_VALUE"""),29.583466590551495)</f>
        <v>29.58346659</v>
      </c>
      <c r="F816" s="31">
        <f>IFERROR(__xludf.DUMMYFUNCTION("""COMPUTED_VALUE"""),-4.829494779068745)</f>
        <v>-4.829494779</v>
      </c>
      <c r="G816" s="31">
        <f>IFERROR(__xludf.DUMMYFUNCTION("""COMPUTED_VALUE"""),28.399443070417714)</f>
        <v>28.39944307</v>
      </c>
      <c r="H816" s="31">
        <f>IFERROR(__xludf.DUMMYFUNCTION("""COMPUTED_VALUE"""),-5.160282863005339)</f>
        <v>-5.160282863</v>
      </c>
      <c r="I816" s="54">
        <f>IFERROR(__xludf.DUMMYFUNCTION("""COMPUTED_VALUE"""),21.0)</f>
        <v>21</v>
      </c>
      <c r="J816" s="55">
        <f>IFERROR(__xludf.DUMMYFUNCTION("""COMPUTED_VALUE"""),7.0)</f>
        <v>7</v>
      </c>
      <c r="K816" s="54">
        <f>IFERROR(__xludf.DUMMYFUNCTION("""COMPUTED_VALUE"""),14.0)</f>
        <v>14</v>
      </c>
      <c r="L816" s="56">
        <f>IFERROR(__xludf.DUMMYFUNCTION("""COMPUTED_VALUE"""),0.3333333333333333)</f>
        <v>0.3333333333</v>
      </c>
      <c r="M816" s="56">
        <f>IFERROR(__xludf.DUMMYFUNCTION("""COMPUTED_VALUE"""),0.3414634146341463)</f>
        <v>0.3414634146</v>
      </c>
      <c r="N816" s="31">
        <f>IFERROR(__xludf.DUMMYFUNCTION("""COMPUTED_VALUE"""),288.3333333333333)</f>
        <v>288.3333333</v>
      </c>
      <c r="O816" s="57">
        <f>IFERROR(__xludf.DUMMYFUNCTION("""COMPUTED_VALUE"""),0.6666666666666666)</f>
        <v>0.6666666667</v>
      </c>
      <c r="P816" s="57">
        <f>IFERROR(__xludf.DUMMYFUNCTION("""COMPUTED_VALUE"""),0.47619047619047616)</f>
        <v>0.4761904762</v>
      </c>
      <c r="Q816" s="57">
        <f>IFERROR(__xludf.DUMMYFUNCTION("""COMPUTED_VALUE"""),1.0952380952380953)</f>
        <v>1.095238095</v>
      </c>
      <c r="R816" s="57">
        <f>IFERROR(__xludf.DUMMYFUNCTION("""COMPUTED_VALUE"""),1.9523809523809523)</f>
        <v>1.952380952</v>
      </c>
      <c r="S816" s="31">
        <f>IFERROR(__xludf.DUMMYFUNCTION("""COMPUTED_VALUE"""),359.82539682539687)</f>
        <v>359.8253968</v>
      </c>
      <c r="T816" s="57">
        <f>IFERROR(__xludf.DUMMYFUNCTION("""COMPUTED_VALUE"""),0.8571428571428571)</f>
        <v>0.8571428571</v>
      </c>
      <c r="U816" s="57">
        <f>IFERROR(__xludf.DUMMYFUNCTION("""COMPUTED_VALUE"""),0.6031746031746033)</f>
        <v>0.6031746032</v>
      </c>
      <c r="V816" s="57">
        <f>IFERROR(__xludf.DUMMYFUNCTION("""COMPUTED_VALUE"""),1.1746031746031749)</f>
        <v>1.174603175</v>
      </c>
      <c r="W816" s="57">
        <f>IFERROR(__xludf.DUMMYFUNCTION("""COMPUTED_VALUE"""),2.6666666666666665)</f>
        <v>2.666666667</v>
      </c>
      <c r="X816" s="31">
        <f>IFERROR(__xludf.DUMMYFUNCTION("""COMPUTED_VALUE"""),350.53847577555905)</f>
        <v>350.5384758</v>
      </c>
      <c r="Y816" s="57">
        <f>IFERROR(__xludf.DUMMYFUNCTION("""COMPUTED_VALUE"""),0.8084991024342788)</f>
        <v>0.8084991024</v>
      </c>
      <c r="Z816" s="57">
        <f>IFERROR(__xludf.DUMMYFUNCTION("""COMPUTED_VALUE"""),0.5776431432426107)</f>
        <v>0.5776431432</v>
      </c>
      <c r="AA816" s="57">
        <f>IFERROR(__xludf.DUMMYFUNCTION("""COMPUTED_VALUE"""),1.284428869292935)</f>
        <v>1.284428869</v>
      </c>
      <c r="AB816" s="57">
        <f>IFERROR(__xludf.DUMMYFUNCTION("""COMPUTED_VALUE"""),2.690395127361897)</f>
        <v>2.690395127</v>
      </c>
      <c r="AC816" s="31">
        <f>IFERROR(__xludf.DUMMYFUNCTION("""COMPUTED_VALUE"""),367.4954415199206)</f>
        <v>367.4954415</v>
      </c>
      <c r="AD816" s="57">
        <f>IFERROR(__xludf.DUMMYFUNCTION("""COMPUTED_VALUE"""),0.8876318485663084)</f>
        <v>0.8876318486</v>
      </c>
      <c r="AE816" s="57">
        <f>IFERROR(__xludf.DUMMYFUNCTION("""COMPUTED_VALUE"""),0.6651858415617339)</f>
        <v>0.6651858416</v>
      </c>
      <c r="AF816" s="57">
        <f>IFERROR(__xludf.DUMMYFUNCTION("""COMPUTED_VALUE"""),1.3478666435692974)</f>
        <v>1.347866644</v>
      </c>
      <c r="AG816" s="57">
        <f>IFERROR(__xludf.DUMMYFUNCTION("""COMPUTED_VALUE"""),2.685759706708949)</f>
        <v>2.685759707</v>
      </c>
      <c r="AH816" s="57">
        <f>IFERROR(__xludf.DUMMYFUNCTION("""COMPUTED_VALUE"""),0.7845902309449567)</f>
        <v>0.7845902309</v>
      </c>
      <c r="AI816" s="57">
        <f>IFERROR(__xludf.DUMMYFUNCTION("""COMPUTED_VALUE"""),0.7510621298046686)</f>
        <v>0.7510621298</v>
      </c>
      <c r="AJ816" s="57">
        <f>IFERROR(__xludf.DUMMYFUNCTION("""COMPUTED_VALUE"""),0.7158758446699175)</f>
        <v>0.7158758447</v>
      </c>
      <c r="AK816" s="57">
        <f>IFERROR(__xludf.DUMMYFUNCTION("""COMPUTED_VALUE"""),0.8125715555492833)</f>
        <v>0.8125715555</v>
      </c>
      <c r="AL816" s="57">
        <f>IFERROR(__xludf.DUMMYFUNCTION("""COMPUTED_VALUE"""),0.7269380605807593)</f>
        <v>0.7269380606</v>
      </c>
      <c r="AM816" s="57">
        <f>IFERROR(__xludf.DUMMYFUNCTION("""COMPUTED_VALUE"""),1.02649330014142)</f>
        <v>1.0264933</v>
      </c>
      <c r="AN816" s="57">
        <f>IFERROR(__xludf.DUMMYFUNCTION("""COMPUTED_VALUE"""),1.060165502425567)</f>
        <v>1.060165502</v>
      </c>
      <c r="AO816" s="57">
        <f>IFERROR(__xludf.DUMMYFUNCTION("""COMPUTED_VALUE"""),1.044199364660803)</f>
        <v>1.044199365</v>
      </c>
      <c r="AP816" s="35">
        <f>IFERROR(__xludf.DUMMYFUNCTION("""COMPUTED_VALUE"""),0.9144945295801252)</f>
        <v>0.9144945296</v>
      </c>
      <c r="AQ816" s="57">
        <f>IFERROR(__xludf.DUMMYFUNCTION("""COMPUTED_VALUE"""),0.9911803063966675)</f>
        <v>0.9911803064</v>
      </c>
      <c r="AR816" s="36" t="b">
        <f>IFERROR(__xludf.DUMMYFUNCTION("""COMPUTED_VALUE"""),TRUE)</f>
        <v>1</v>
      </c>
      <c r="AS816" s="57"/>
      <c r="AT816" s="37"/>
      <c r="AU816" s="30"/>
      <c r="AV816" s="30"/>
      <c r="AW816" s="30"/>
      <c r="AX816" s="30"/>
      <c r="AY816" s="30"/>
      <c r="AZ816" s="30"/>
    </row>
    <row r="817">
      <c r="A817" s="30" t="str">
        <f>IFERROR(__xludf.DUMMYFUNCTION("""COMPUTED_VALUE"""),"Veteran")</f>
        <v>Veteran</v>
      </c>
      <c r="B817" s="30" t="str">
        <f>IFERROR(__xludf.DUMMYFUNCTION("""COMPUTED_VALUE"""),"RSC003746")</f>
        <v>RSC003746</v>
      </c>
      <c r="C817" s="30" t="str">
        <f>IFERROR(__xludf.DUMMYFUNCTION("""COMPUTED_VALUE"""),"archhie.")</f>
        <v>archhie.</v>
      </c>
      <c r="D817" s="31"/>
      <c r="E817" s="31">
        <f>IFERROR(__xludf.DUMMYFUNCTION("""COMPUTED_VALUE"""),29.14576884926408)</f>
        <v>29.14576885</v>
      </c>
      <c r="F817" s="31">
        <f>IFERROR(__xludf.DUMMYFUNCTION("""COMPUTED_VALUE"""),-4.948221578477919)</f>
        <v>-4.948221578</v>
      </c>
      <c r="G817" s="31">
        <f>IFERROR(__xludf.DUMMYFUNCTION("""COMPUTED_VALUE"""),48.52990750631687)</f>
        <v>48.52990751</v>
      </c>
      <c r="H817" s="31">
        <f>IFERROR(__xludf.DUMMYFUNCTION("""COMPUTED_VALUE"""),-2.0983970666500613)</f>
        <v>-2.098397067</v>
      </c>
      <c r="I817" s="54">
        <f>IFERROR(__xludf.DUMMYFUNCTION("""COMPUTED_VALUE"""),4.0)</f>
        <v>4</v>
      </c>
      <c r="J817" s="55">
        <f>IFERROR(__xludf.DUMMYFUNCTION("""COMPUTED_VALUE"""),1.0)</f>
        <v>1</v>
      </c>
      <c r="K817" s="54">
        <f>IFERROR(__xludf.DUMMYFUNCTION("""COMPUTED_VALUE"""),3.0)</f>
        <v>3</v>
      </c>
      <c r="L817" s="56">
        <f>IFERROR(__xludf.DUMMYFUNCTION("""COMPUTED_VALUE"""),0.25)</f>
        <v>0.25</v>
      </c>
      <c r="M817" s="56">
        <f>IFERROR(__xludf.DUMMYFUNCTION("""COMPUTED_VALUE"""),0.25)</f>
        <v>0.25</v>
      </c>
      <c r="N817" s="31">
        <f>IFERROR(__xludf.DUMMYFUNCTION("""COMPUTED_VALUE"""),364.75)</f>
        <v>364.75</v>
      </c>
      <c r="O817" s="57">
        <f>IFERROR(__xludf.DUMMYFUNCTION("""COMPUTED_VALUE"""),0.5)</f>
        <v>0.5</v>
      </c>
      <c r="P817" s="57">
        <f>IFERROR(__xludf.DUMMYFUNCTION("""COMPUTED_VALUE"""),0.25)</f>
        <v>0.25</v>
      </c>
      <c r="Q817" s="57">
        <f>IFERROR(__xludf.DUMMYFUNCTION("""COMPUTED_VALUE"""),2.25)</f>
        <v>2.25</v>
      </c>
      <c r="R817" s="57">
        <f>IFERROR(__xludf.DUMMYFUNCTION("""COMPUTED_VALUE"""),2.0)</f>
        <v>2</v>
      </c>
      <c r="S817" s="31">
        <f>IFERROR(__xludf.DUMMYFUNCTION("""COMPUTED_VALUE"""),327.0833333333333)</f>
        <v>327.0833333</v>
      </c>
      <c r="T817" s="57">
        <f>IFERROR(__xludf.DUMMYFUNCTION("""COMPUTED_VALUE"""),1.0)</f>
        <v>1</v>
      </c>
      <c r="U817" s="57">
        <f>IFERROR(__xludf.DUMMYFUNCTION("""COMPUTED_VALUE"""),0.6666666666666666)</f>
        <v>0.6666666667</v>
      </c>
      <c r="V817" s="57">
        <f>IFERROR(__xludf.DUMMYFUNCTION("""COMPUTED_VALUE"""),0.75)</f>
        <v>0.75</v>
      </c>
      <c r="W817" s="57">
        <f>IFERROR(__xludf.DUMMYFUNCTION("""COMPUTED_VALUE"""),3.0833333333333335)</f>
        <v>3.083333333</v>
      </c>
      <c r="X817" s="31">
        <f>IFERROR(__xludf.DUMMYFUNCTION("""COMPUTED_VALUE"""),370.83703703703696)</f>
        <v>370.837037</v>
      </c>
      <c r="Y817" s="57">
        <f>IFERROR(__xludf.DUMMYFUNCTION("""COMPUTED_VALUE"""),0.938888888888889)</f>
        <v>0.9388888889</v>
      </c>
      <c r="Z817" s="57">
        <f>IFERROR(__xludf.DUMMYFUNCTION("""COMPUTED_VALUE"""),0.737037037037037)</f>
        <v>0.737037037</v>
      </c>
      <c r="AA817" s="57">
        <f>IFERROR(__xludf.DUMMYFUNCTION("""COMPUTED_VALUE"""),1.187037037037037)</f>
        <v>1.187037037</v>
      </c>
      <c r="AB817" s="57">
        <f>IFERROR(__xludf.DUMMYFUNCTION("""COMPUTED_VALUE"""),3.1611111111111114)</f>
        <v>3.161111111</v>
      </c>
      <c r="AC817" s="31">
        <f>IFERROR(__xludf.DUMMYFUNCTION("""COMPUTED_VALUE"""),345.5203703703703)</f>
        <v>345.5203704</v>
      </c>
      <c r="AD817" s="57">
        <f>IFERROR(__xludf.DUMMYFUNCTION("""COMPUTED_VALUE"""),0.6222222222222222)</f>
        <v>0.6222222222</v>
      </c>
      <c r="AE817" s="57">
        <f>IFERROR(__xludf.DUMMYFUNCTION("""COMPUTED_VALUE"""),0.5135802469135803)</f>
        <v>0.5135802469</v>
      </c>
      <c r="AF817" s="57">
        <f>IFERROR(__xludf.DUMMYFUNCTION("""COMPUTED_VALUE"""),1.6537037037037035)</f>
        <v>1.653703704</v>
      </c>
      <c r="AG817" s="57">
        <f>IFERROR(__xludf.DUMMYFUNCTION("""COMPUTED_VALUE"""),2.215432098765432)</f>
        <v>2.215432099</v>
      </c>
      <c r="AH817" s="57">
        <f>IFERROR(__xludf.DUMMYFUNCTION("""COMPUTED_VALUE"""),1.055654112691003)</f>
        <v>1.055654113</v>
      </c>
      <c r="AI817" s="57">
        <f>IFERROR(__xludf.DUMMYFUNCTION("""COMPUTED_VALUE"""),0.8035714285714286)</f>
        <v>0.8035714286</v>
      </c>
      <c r="AJ817" s="57">
        <f>IFERROR(__xludf.DUMMYFUNCTION("""COMPUTED_VALUE"""),0.48677884615384615)</f>
        <v>0.4867788462</v>
      </c>
      <c r="AK817" s="57">
        <f>IFERROR(__xludf.DUMMYFUNCTION("""COMPUTED_VALUE"""),1.3605823068309073)</f>
        <v>1.360582307</v>
      </c>
      <c r="AL817" s="57">
        <f>IFERROR(__xludf.DUMMYFUNCTION("""COMPUTED_VALUE"""),0.9027584285316244)</f>
        <v>0.9027584285</v>
      </c>
      <c r="AM817" s="57">
        <f>IFERROR(__xludf.DUMMYFUNCTION("""COMPUTED_VALUE"""),0.8820136627848911)</f>
        <v>0.8820136628</v>
      </c>
      <c r="AN817" s="57">
        <f>IFERROR(__xludf.DUMMYFUNCTION("""COMPUTED_VALUE"""),1.0650887573964496)</f>
        <v>1.065088757</v>
      </c>
      <c r="AO817" s="57">
        <f>IFERROR(__xludf.DUMMYFUNCTION("""COMPUTED_VALUE"""),0.9045226130653266)</f>
        <v>0.9045226131</v>
      </c>
      <c r="AP817" s="35">
        <f>IFERROR(__xludf.DUMMYFUNCTION("""COMPUTED_VALUE"""),0.6318252730109205)</f>
        <v>0.631825273</v>
      </c>
      <c r="AQ817" s="57">
        <f>IFERROR(__xludf.DUMMYFUNCTION("""COMPUTED_VALUE"""),0.9753954305799648)</f>
        <v>0.9753954306</v>
      </c>
      <c r="AR817" s="36" t="b">
        <f>IFERROR(__xludf.DUMMYFUNCTION("""COMPUTED_VALUE"""),TRUE)</f>
        <v>1</v>
      </c>
      <c r="AS817" s="57"/>
      <c r="AT817" s="37"/>
      <c r="AU817" s="30"/>
      <c r="AV817" s="30"/>
      <c r="AW817" s="30"/>
      <c r="AX817" s="30"/>
      <c r="AY817" s="30"/>
      <c r="AZ817" s="30"/>
    </row>
    <row r="818">
      <c r="A818" s="30" t="str">
        <f>IFERROR(__xludf.DUMMYFUNCTION("""COMPUTED_VALUE"""),"Veteran")</f>
        <v>Veteran</v>
      </c>
      <c r="B818" s="30" t="str">
        <f>IFERROR(__xludf.DUMMYFUNCTION("""COMPUTED_VALUE"""),"RSC003416")</f>
        <v>RSC003416</v>
      </c>
      <c r="C818" s="30" t="str">
        <f>IFERROR(__xludf.DUMMYFUNCTION("""COMPUTED_VALUE"""),"DrSkimMilk")</f>
        <v>DrSkimMilk</v>
      </c>
      <c r="D818" s="31" t="str">
        <f>IFERROR(__xludf.DUMMYFUNCTION("""COMPUTED_VALUE"""),"Merciless Mob")</f>
        <v>Merciless Mob</v>
      </c>
      <c r="E818" s="31">
        <f>IFERROR(__xludf.DUMMYFUNCTION("""COMPUTED_VALUE"""),27.803285039662974)</f>
        <v>27.80328504</v>
      </c>
      <c r="F818" s="31">
        <f>IFERROR(__xludf.DUMMYFUNCTION("""COMPUTED_VALUE"""),-5.338865284592591)</f>
        <v>-5.338865285</v>
      </c>
      <c r="G818" s="31">
        <f>IFERROR(__xludf.DUMMYFUNCTION("""COMPUTED_VALUE"""),27.933295130147993)</f>
        <v>27.93329513</v>
      </c>
      <c r="H818" s="31">
        <f>IFERROR(__xludf.DUMMYFUNCTION("""COMPUTED_VALUE"""),-5.299198423619964)</f>
        <v>-5.299198424</v>
      </c>
      <c r="I818" s="54">
        <f>IFERROR(__xludf.DUMMYFUNCTION("""COMPUTED_VALUE"""),29.0)</f>
        <v>29</v>
      </c>
      <c r="J818" s="55">
        <f>IFERROR(__xludf.DUMMYFUNCTION("""COMPUTED_VALUE"""),15.0)</f>
        <v>15</v>
      </c>
      <c r="K818" s="54">
        <f>IFERROR(__xludf.DUMMYFUNCTION("""COMPUTED_VALUE"""),14.0)</f>
        <v>14</v>
      </c>
      <c r="L818" s="56">
        <f>IFERROR(__xludf.DUMMYFUNCTION("""COMPUTED_VALUE"""),0.5172413793103449)</f>
        <v>0.5172413793</v>
      </c>
      <c r="M818" s="56">
        <f>IFERROR(__xludf.DUMMYFUNCTION("""COMPUTED_VALUE"""),0.2985074626865672)</f>
        <v>0.2985074627</v>
      </c>
      <c r="N818" s="31">
        <f>IFERROR(__xludf.DUMMYFUNCTION("""COMPUTED_VALUE"""),280.6896551724138)</f>
        <v>280.6896552</v>
      </c>
      <c r="O818" s="57">
        <f>IFERROR(__xludf.DUMMYFUNCTION("""COMPUTED_VALUE"""),0.6896551724137931)</f>
        <v>0.6896551724</v>
      </c>
      <c r="P818" s="57">
        <f>IFERROR(__xludf.DUMMYFUNCTION("""COMPUTED_VALUE"""),0.2413793103448276)</f>
        <v>0.2413793103</v>
      </c>
      <c r="Q818" s="57">
        <f>IFERROR(__xludf.DUMMYFUNCTION("""COMPUTED_VALUE"""),1.0344827586206897)</f>
        <v>1.034482759</v>
      </c>
      <c r="R818" s="57">
        <f>IFERROR(__xludf.DUMMYFUNCTION("""COMPUTED_VALUE"""),2.310344827586207)</f>
        <v>2.310344828</v>
      </c>
      <c r="S818" s="31">
        <f>IFERROR(__xludf.DUMMYFUNCTION("""COMPUTED_VALUE"""),330.68965517241384)</f>
        <v>330.6896552</v>
      </c>
      <c r="T818" s="57">
        <f>IFERROR(__xludf.DUMMYFUNCTION("""COMPUTED_VALUE"""),0.7471264367816093)</f>
        <v>0.7471264368</v>
      </c>
      <c r="U818" s="57">
        <f>IFERROR(__xludf.DUMMYFUNCTION("""COMPUTED_VALUE"""),0.5862068965517241)</f>
        <v>0.5862068966</v>
      </c>
      <c r="V818" s="57">
        <f>IFERROR(__xludf.DUMMYFUNCTION("""COMPUTED_VALUE"""),1.1379310344827587)</f>
        <v>1.137931034</v>
      </c>
      <c r="W818" s="57">
        <f>IFERROR(__xludf.DUMMYFUNCTION("""COMPUTED_VALUE"""),2.5747126436781604)</f>
        <v>2.574712644</v>
      </c>
      <c r="X818" s="31">
        <f>IFERROR(__xludf.DUMMYFUNCTION("""COMPUTED_VALUE"""),349.50366378957324)</f>
        <v>349.5036638</v>
      </c>
      <c r="Y818" s="57">
        <f>IFERROR(__xludf.DUMMYFUNCTION("""COMPUTED_VALUE"""),0.7634985205011625)</f>
        <v>0.7634985205</v>
      </c>
      <c r="Z818" s="57">
        <f>IFERROR(__xludf.DUMMYFUNCTION("""COMPUTED_VALUE"""),0.5568245714297013)</f>
        <v>0.5568245714</v>
      </c>
      <c r="AA818" s="57">
        <f>IFERROR(__xludf.DUMMYFUNCTION("""COMPUTED_VALUE"""),1.3287427776111453)</f>
        <v>1.328742778</v>
      </c>
      <c r="AB818" s="57">
        <f>IFERROR(__xludf.DUMMYFUNCTION("""COMPUTED_VALUE"""),2.5213800291239705)</f>
        <v>2.521380029</v>
      </c>
      <c r="AC818" s="31">
        <f>IFERROR(__xludf.DUMMYFUNCTION("""COMPUTED_VALUE"""),344.6044842062994)</f>
        <v>344.6044842</v>
      </c>
      <c r="AD818" s="57">
        <f>IFERROR(__xludf.DUMMYFUNCTION("""COMPUTED_VALUE"""),0.7457471292610611)</f>
        <v>0.7457471293</v>
      </c>
      <c r="AE818" s="57">
        <f>IFERROR(__xludf.DUMMYFUNCTION("""COMPUTED_VALUE"""),0.5272549024314974)</f>
        <v>0.5272549024</v>
      </c>
      <c r="AF818" s="57">
        <f>IFERROR(__xludf.DUMMYFUNCTION("""COMPUTED_VALUE"""),1.358272092361849)</f>
        <v>1.358272092</v>
      </c>
      <c r="AG818" s="57">
        <f>IFERROR(__xludf.DUMMYFUNCTION("""COMPUTED_VALUE"""),2.535501042017936)</f>
        <v>2.535501042</v>
      </c>
      <c r="AH818" s="57">
        <f>IFERROR(__xludf.DUMMYFUNCTION("""COMPUTED_VALUE"""),0.8145269955465158)</f>
        <v>0.8145269955</v>
      </c>
      <c r="AI818" s="57">
        <f>IFERROR(__xludf.DUMMYFUNCTION("""COMPUTED_VALUE"""),0.9247842135137042)</f>
        <v>0.9247842135</v>
      </c>
      <c r="AJ818" s="57">
        <f>IFERROR(__xludf.DUMMYFUNCTION("""COMPUTED_VALUE"""),0.4578038235997025)</f>
        <v>0.4578038236</v>
      </c>
      <c r="AK818" s="57">
        <f>IFERROR(__xludf.DUMMYFUNCTION("""COMPUTED_VALUE"""),0.7616167367628572)</f>
        <v>0.7616167368</v>
      </c>
      <c r="AL818" s="57">
        <f>IFERROR(__xludf.DUMMYFUNCTION("""COMPUTED_VALUE"""),0.9111985320847933)</f>
        <v>0.9111985321</v>
      </c>
      <c r="AM818" s="57">
        <f>IFERROR(__xludf.DUMMYFUNCTION("""COMPUTED_VALUE"""),0.946169352237501)</f>
        <v>0.9461693522</v>
      </c>
      <c r="AN818" s="57">
        <f>IFERROR(__xludf.DUMMYFUNCTION("""COMPUTED_VALUE"""),0.9785564958150718)</f>
        <v>0.9785564958</v>
      </c>
      <c r="AO818" s="57">
        <f>IFERROR(__xludf.DUMMYFUNCTION("""COMPUTED_VALUE"""),1.05276765184155)</f>
        <v>1.052767652</v>
      </c>
      <c r="AP818" s="35">
        <f>IFERROR(__xludf.DUMMYFUNCTION("""COMPUTED_VALUE"""),0.8563967787118031)</f>
        <v>0.8563967787</v>
      </c>
      <c r="AQ818" s="57">
        <f>IFERROR(__xludf.DUMMYFUNCTION("""COMPUTED_VALUE"""),1.0211521523682092)</f>
        <v>1.021152152</v>
      </c>
      <c r="AR818" s="36" t="b">
        <f>IFERROR(__xludf.DUMMYFUNCTION("""COMPUTED_VALUE"""),TRUE)</f>
        <v>1</v>
      </c>
      <c r="AS818" s="57"/>
      <c r="AT818" s="37"/>
      <c r="AU818" s="30"/>
      <c r="AV818" s="30"/>
      <c r="AW818" s="30"/>
      <c r="AX818" s="30"/>
      <c r="AY818" s="30"/>
      <c r="AZ818" s="30"/>
    </row>
    <row r="819">
      <c r="A819" s="30" t="str">
        <f>IFERROR(__xludf.DUMMYFUNCTION("""COMPUTED_VALUE"""),"Veteran")</f>
        <v>Veteran</v>
      </c>
      <c r="B819" s="30" t="str">
        <f>IFERROR(__xludf.DUMMYFUNCTION("""COMPUTED_VALUE"""),"RSC006319")</f>
        <v>RSC006319</v>
      </c>
      <c r="C819" s="30" t="str">
        <f>IFERROR(__xludf.DUMMYFUNCTION("""COMPUTED_VALUE"""),"red crayon chewer 14")</f>
        <v>red crayon chewer 14</v>
      </c>
      <c r="D819" s="31" t="str">
        <f>IFERROR(__xludf.DUMMYFUNCTION("""COMPUTED_VALUE"""),"Mosaic Maestros")</f>
        <v>Mosaic Maestros</v>
      </c>
      <c r="E819" s="31">
        <f>IFERROR(__xludf.DUMMYFUNCTION("""COMPUTED_VALUE"""),26.123811056305478)</f>
        <v>26.12381106</v>
      </c>
      <c r="F819" s="31">
        <f>IFERROR(__xludf.DUMMYFUNCTION("""COMPUTED_VALUE"""),-5.890085456352024)</f>
        <v>-5.890085456</v>
      </c>
      <c r="G819" s="31">
        <f>IFERROR(__xludf.DUMMYFUNCTION("""COMPUTED_VALUE"""),2.10237066864039)</f>
        <v>2.102370669</v>
      </c>
      <c r="H819" s="31">
        <f>IFERROR(__xludf.DUMMYFUNCTION("""COMPUTED_VALUE"""),-36.115968224576)</f>
        <v>-36.11596822</v>
      </c>
      <c r="I819" s="54">
        <f>IFERROR(__xludf.DUMMYFUNCTION("""COMPUTED_VALUE"""),2.0)</f>
        <v>2</v>
      </c>
      <c r="J819" s="55">
        <f>IFERROR(__xludf.DUMMYFUNCTION("""COMPUTED_VALUE"""),1.0)</f>
        <v>1</v>
      </c>
      <c r="K819" s="54">
        <f>IFERROR(__xludf.DUMMYFUNCTION("""COMPUTED_VALUE"""),1.0)</f>
        <v>1</v>
      </c>
      <c r="L819" s="56">
        <f>IFERROR(__xludf.DUMMYFUNCTION("""COMPUTED_VALUE"""),0.5)</f>
        <v>0.5</v>
      </c>
      <c r="M819" s="56">
        <f>IFERROR(__xludf.DUMMYFUNCTION("""COMPUTED_VALUE"""),0.5)</f>
        <v>0.5</v>
      </c>
      <c r="N819" s="31">
        <f>IFERROR(__xludf.DUMMYFUNCTION("""COMPUTED_VALUE"""),272.0)</f>
        <v>272</v>
      </c>
      <c r="O819" s="57">
        <f>IFERROR(__xludf.DUMMYFUNCTION("""COMPUTED_VALUE"""),1.0)</f>
        <v>1</v>
      </c>
      <c r="P819" s="57">
        <f>IFERROR(__xludf.DUMMYFUNCTION("""COMPUTED_VALUE"""),0.0)</f>
        <v>0</v>
      </c>
      <c r="Q819" s="57">
        <f>IFERROR(__xludf.DUMMYFUNCTION("""COMPUTED_VALUE"""),0.5)</f>
        <v>0.5</v>
      </c>
      <c r="R819" s="57">
        <f>IFERROR(__xludf.DUMMYFUNCTION("""COMPUTED_VALUE"""),2.0)</f>
        <v>2</v>
      </c>
      <c r="S819" s="31">
        <f>IFERROR(__xludf.DUMMYFUNCTION("""COMPUTED_VALUE"""),408.3333333333333)</f>
        <v>408.3333333</v>
      </c>
      <c r="T819" s="57">
        <f>IFERROR(__xludf.DUMMYFUNCTION("""COMPUTED_VALUE"""),0.8333333333333334)</f>
        <v>0.8333333333</v>
      </c>
      <c r="U819" s="57">
        <f>IFERROR(__xludf.DUMMYFUNCTION("""COMPUTED_VALUE"""),0.6666666666666666)</f>
        <v>0.6666666667</v>
      </c>
      <c r="V819" s="57">
        <f>IFERROR(__xludf.DUMMYFUNCTION("""COMPUTED_VALUE"""),1.5)</f>
        <v>1.5</v>
      </c>
      <c r="W819" s="57">
        <f>IFERROR(__xludf.DUMMYFUNCTION("""COMPUTED_VALUE"""),2.6666666666666665)</f>
        <v>2.666666667</v>
      </c>
      <c r="X819" s="31">
        <f>IFERROR(__xludf.DUMMYFUNCTION("""COMPUTED_VALUE"""),383.52645502645504)</f>
        <v>383.526455</v>
      </c>
      <c r="Y819" s="57">
        <f>IFERROR(__xludf.DUMMYFUNCTION("""COMPUTED_VALUE"""),0.776984126984127)</f>
        <v>0.776984127</v>
      </c>
      <c r="Z819" s="57">
        <f>IFERROR(__xludf.DUMMYFUNCTION("""COMPUTED_VALUE"""),0.5211640211640212)</f>
        <v>0.5211640212</v>
      </c>
      <c r="AA819" s="57">
        <f>IFERROR(__xludf.DUMMYFUNCTION("""COMPUTED_VALUE"""),1.7727513227513227)</f>
        <v>1.772751323</v>
      </c>
      <c r="AB819" s="57">
        <f>IFERROR(__xludf.DUMMYFUNCTION("""COMPUTED_VALUE"""),2.4365079365079367)</f>
        <v>2.436507937</v>
      </c>
      <c r="AC819" s="31">
        <f>IFERROR(__xludf.DUMMYFUNCTION("""COMPUTED_VALUE"""),325.6910052910053)</f>
        <v>325.6910053</v>
      </c>
      <c r="AD819" s="57">
        <f>IFERROR(__xludf.DUMMYFUNCTION("""COMPUTED_VALUE"""),0.6299823633156966)</f>
        <v>0.6299823633</v>
      </c>
      <c r="AE819" s="57">
        <f>IFERROR(__xludf.DUMMYFUNCTION("""COMPUTED_VALUE"""),0.43959435626102294)</f>
        <v>0.4395943563</v>
      </c>
      <c r="AF819" s="57">
        <f>IFERROR(__xludf.DUMMYFUNCTION("""COMPUTED_VALUE"""),1.2741622574955906)</f>
        <v>1.274162257</v>
      </c>
      <c r="AG819" s="57">
        <f>IFERROR(__xludf.DUMMYFUNCTION("""COMPUTED_VALUE"""),2.847354497354498)</f>
        <v>2.847354497</v>
      </c>
      <c r="AH819" s="57">
        <f>IFERROR(__xludf.DUMMYFUNCTION("""COMPUTED_VALUE"""),0.8351474114459123)</f>
        <v>0.8351474114</v>
      </c>
      <c r="AI819" s="57">
        <f>IFERROR(__xludf.DUMMYFUNCTION("""COMPUTED_VALUE"""),1.5873460246360585)</f>
        <v>1.587346025</v>
      </c>
      <c r="AJ819" s="57">
        <f>IFERROR(__xludf.DUMMYFUNCTION("""COMPUTED_VALUE"""),0.0)</f>
        <v>0</v>
      </c>
      <c r="AK819" s="57">
        <f>IFERROR(__xludf.DUMMYFUNCTION("""COMPUTED_VALUE"""),0.3924146999792374)</f>
        <v>0.3924147</v>
      </c>
      <c r="AL819" s="57">
        <f>IFERROR(__xludf.DUMMYFUNCTION("""COMPUTED_VALUE"""),0.702406392269813)</f>
        <v>0.7024063923</v>
      </c>
      <c r="AM819" s="57">
        <f>IFERROR(__xludf.DUMMYFUNCTION("""COMPUTED_VALUE"""),1.0646810095672987)</f>
        <v>1.06468101</v>
      </c>
      <c r="AN819" s="57">
        <f>IFERROR(__xludf.DUMMYFUNCTION("""COMPUTED_VALUE"""),1.0725229826353422)</f>
        <v>1.072522983</v>
      </c>
      <c r="AO819" s="57">
        <f>IFERROR(__xludf.DUMMYFUNCTION("""COMPUTED_VALUE"""),1.279187817258883)</f>
        <v>1.279187817</v>
      </c>
      <c r="AP819" s="35">
        <f>IFERROR(__xludf.DUMMYFUNCTION("""COMPUTED_VALUE"""),0.8461423668109237)</f>
        <v>0.8461423668</v>
      </c>
      <c r="AQ819" s="57">
        <f>IFERROR(__xludf.DUMMYFUNCTION("""COMPUTED_VALUE"""),1.0944625407166122)</f>
        <v>1.094462541</v>
      </c>
      <c r="AR819" s="36" t="b">
        <f>IFERROR(__xludf.DUMMYFUNCTION("""COMPUTED_VALUE"""),TRUE)</f>
        <v>1</v>
      </c>
      <c r="AS819" s="57"/>
      <c r="AT819" s="37"/>
      <c r="AU819" s="30"/>
      <c r="AV819" s="30"/>
      <c r="AW819" s="30"/>
      <c r="AX819" s="30"/>
      <c r="AY819" s="30"/>
      <c r="AZ819" s="30"/>
    </row>
    <row r="820">
      <c r="A820" s="30" t="str">
        <f>IFERROR(__xludf.DUMMYFUNCTION("""COMPUTED_VALUE"""),"Veteran")</f>
        <v>Veteran</v>
      </c>
      <c r="B820" s="30" t="str">
        <f>IFERROR(__xludf.DUMMYFUNCTION("""COMPUTED_VALUE"""),"RSC000625")</f>
        <v>RSC000625</v>
      </c>
      <c r="C820" s="30" t="str">
        <f>IFERROR(__xludf.DUMMYFUNCTION("""COMPUTED_VALUE"""),"Sly")</f>
        <v>Sly</v>
      </c>
      <c r="D820" s="31" t="str">
        <f>IFERROR(__xludf.DUMMYFUNCTION("""COMPUTED_VALUE"""),"Rulers")</f>
        <v>Rulers</v>
      </c>
      <c r="E820" s="31">
        <f>IFERROR(__xludf.DUMMYFUNCTION("""COMPUTED_VALUE"""),24.87853599195712)</f>
        <v>24.87853599</v>
      </c>
      <c r="F820" s="31">
        <f>IFERROR(__xludf.DUMMYFUNCTION("""COMPUTED_VALUE"""),-6.349912681555999)</f>
        <v>-6.349912682</v>
      </c>
      <c r="G820" s="31">
        <f>IFERROR(__xludf.DUMMYFUNCTION("""COMPUTED_VALUE"""),9.777666202292977)</f>
        <v>9.777666202</v>
      </c>
      <c r="H820" s="31">
        <f>IFERROR(__xludf.DUMMYFUNCTION("""COMPUTED_VALUE"""),-18.580511461857157)</f>
        <v>-18.58051146</v>
      </c>
      <c r="I820" s="54">
        <f>IFERROR(__xludf.DUMMYFUNCTION("""COMPUTED_VALUE"""),21.0)</f>
        <v>21</v>
      </c>
      <c r="J820" s="55">
        <f>IFERROR(__xludf.DUMMYFUNCTION("""COMPUTED_VALUE"""),10.0)</f>
        <v>10</v>
      </c>
      <c r="K820" s="54">
        <f>IFERROR(__xludf.DUMMYFUNCTION("""COMPUTED_VALUE"""),11.0)</f>
        <v>11</v>
      </c>
      <c r="L820" s="56">
        <f>IFERROR(__xludf.DUMMYFUNCTION("""COMPUTED_VALUE"""),0.47619047619047616)</f>
        <v>0.4761904762</v>
      </c>
      <c r="M820" s="56">
        <f>IFERROR(__xludf.DUMMYFUNCTION("""COMPUTED_VALUE"""),0.1875)</f>
        <v>0.1875</v>
      </c>
      <c r="N820" s="31">
        <f>IFERROR(__xludf.DUMMYFUNCTION("""COMPUTED_VALUE"""),247.42857142857142)</f>
        <v>247.4285714</v>
      </c>
      <c r="O820" s="57">
        <f>IFERROR(__xludf.DUMMYFUNCTION("""COMPUTED_VALUE"""),0.2857142857142857)</f>
        <v>0.2857142857</v>
      </c>
      <c r="P820" s="57">
        <f>IFERROR(__xludf.DUMMYFUNCTION("""COMPUTED_VALUE"""),0.6190476190476191)</f>
        <v>0.619047619</v>
      </c>
      <c r="Q820" s="57">
        <f>IFERROR(__xludf.DUMMYFUNCTION("""COMPUTED_VALUE"""),0.9047619047619048)</f>
        <v>0.9047619048</v>
      </c>
      <c r="R820" s="57">
        <f>IFERROR(__xludf.DUMMYFUNCTION("""COMPUTED_VALUE"""),1.5238095238095237)</f>
        <v>1.523809524</v>
      </c>
      <c r="S820" s="31">
        <f>IFERROR(__xludf.DUMMYFUNCTION("""COMPUTED_VALUE"""),324.3333333333333)</f>
        <v>324.3333333</v>
      </c>
      <c r="T820" s="57">
        <f>IFERROR(__xludf.DUMMYFUNCTION("""COMPUTED_VALUE"""),0.6031746031746031)</f>
        <v>0.6031746032</v>
      </c>
      <c r="U820" s="57">
        <f>IFERROR(__xludf.DUMMYFUNCTION("""COMPUTED_VALUE"""),0.47619047619047616)</f>
        <v>0.4761904762</v>
      </c>
      <c r="V820" s="57">
        <f>IFERROR(__xludf.DUMMYFUNCTION("""COMPUTED_VALUE"""),1.2857142857142858)</f>
        <v>1.285714286</v>
      </c>
      <c r="W820" s="57">
        <f>IFERROR(__xludf.DUMMYFUNCTION("""COMPUTED_VALUE"""),2.9047619047619047)</f>
        <v>2.904761905</v>
      </c>
      <c r="X820" s="31">
        <f>IFERROR(__xludf.DUMMYFUNCTION("""COMPUTED_VALUE"""),353.998355292253)</f>
        <v>353.9983553</v>
      </c>
      <c r="Y820" s="57">
        <f>IFERROR(__xludf.DUMMYFUNCTION("""COMPUTED_VALUE"""),0.8436365829764263)</f>
        <v>0.843636583</v>
      </c>
      <c r="Z820" s="57">
        <f>IFERROR(__xludf.DUMMYFUNCTION("""COMPUTED_VALUE"""),0.5691467465065504)</f>
        <v>0.5691467465</v>
      </c>
      <c r="AA820" s="57">
        <f>IFERROR(__xludf.DUMMYFUNCTION("""COMPUTED_VALUE"""),1.2928650379395836)</f>
        <v>1.292865038</v>
      </c>
      <c r="AB820" s="57">
        <f>IFERROR(__xludf.DUMMYFUNCTION("""COMPUTED_VALUE"""),2.6967608223625215)</f>
        <v>2.696760822</v>
      </c>
      <c r="AC820" s="31">
        <f>IFERROR(__xludf.DUMMYFUNCTION("""COMPUTED_VALUE"""),343.2854764300265)</f>
        <v>343.2854764</v>
      </c>
      <c r="AD820" s="57">
        <f>IFERROR(__xludf.DUMMYFUNCTION("""COMPUTED_VALUE"""),0.7200198670604774)</f>
        <v>0.7200198671</v>
      </c>
      <c r="AE820" s="57">
        <f>IFERROR(__xludf.DUMMYFUNCTION("""COMPUTED_VALUE"""),0.516214010101051)</f>
        <v>0.5162140101</v>
      </c>
      <c r="AF820" s="57">
        <f>IFERROR(__xludf.DUMMYFUNCTION("""COMPUTED_VALUE"""),1.4185527921782544)</f>
        <v>1.418552792</v>
      </c>
      <c r="AG820" s="57">
        <f>IFERROR(__xludf.DUMMYFUNCTION("""COMPUTED_VALUE"""),2.4302582633981524)</f>
        <v>2.430258263</v>
      </c>
      <c r="AH820" s="57">
        <f>IFERROR(__xludf.DUMMYFUNCTION("""COMPUTED_VALUE"""),0.7207662089339977)</f>
        <v>0.7207662089</v>
      </c>
      <c r="AI820" s="57">
        <f>IFERROR(__xludf.DUMMYFUNCTION("""COMPUTED_VALUE"""),0.3968144474689716)</f>
        <v>0.3968144475</v>
      </c>
      <c r="AJ820" s="57">
        <f>IFERROR(__xludf.DUMMYFUNCTION("""COMPUTED_VALUE"""),1.199207318930453)</f>
        <v>1.199207319</v>
      </c>
      <c r="AK820" s="57">
        <f>IFERROR(__xludf.DUMMYFUNCTION("""COMPUTED_VALUE"""),0.6378062979049235)</f>
        <v>0.6378062979</v>
      </c>
      <c r="AL820" s="57">
        <f>IFERROR(__xludf.DUMMYFUNCTION("""COMPUTED_VALUE"""),0.6270154685859722)</f>
        <v>0.6270154686</v>
      </c>
      <c r="AM820" s="57">
        <f>IFERROR(__xludf.DUMMYFUNCTION("""COMPUTED_VALUE"""),0.9162001136010112)</f>
        <v>0.9162001136</v>
      </c>
      <c r="AN820" s="57">
        <f>IFERROR(__xludf.DUMMYFUNCTION("""COMPUTED_VALUE"""),0.7149697101168236)</f>
        <v>0.7149697101</v>
      </c>
      <c r="AO820" s="57">
        <f>IFERROR(__xludf.DUMMYFUNCTION("""COMPUTED_VALUE"""),0.836674335948252)</f>
        <v>0.8366743359</v>
      </c>
      <c r="AP820" s="35">
        <f>IFERROR(__xludf.DUMMYFUNCTION("""COMPUTED_VALUE"""),0.9944690652036705)</f>
        <v>0.9944690652</v>
      </c>
      <c r="AQ820" s="57">
        <f>IFERROR(__xludf.DUMMYFUNCTION("""COMPUTED_VALUE"""),1.0771299703980282)</f>
        <v>1.07712997</v>
      </c>
      <c r="AR820" s="36" t="b">
        <f>IFERROR(__xludf.DUMMYFUNCTION("""COMPUTED_VALUE"""),TRUE)</f>
        <v>1</v>
      </c>
      <c r="AS820" s="57"/>
      <c r="AT820" s="37"/>
      <c r="AU820" s="30"/>
      <c r="AV820" s="30"/>
      <c r="AW820" s="30"/>
      <c r="AX820" s="30"/>
      <c r="AY820" s="30"/>
      <c r="AZ820" s="30"/>
    </row>
    <row r="821">
      <c r="A821" s="30" t="str">
        <f>IFERROR(__xludf.DUMMYFUNCTION("""COMPUTED_VALUE"""),"Veteran")</f>
        <v>Veteran</v>
      </c>
      <c r="B821" s="30" t="str">
        <f>IFERROR(__xludf.DUMMYFUNCTION("""COMPUTED_VALUE"""),"RSC007510")</f>
        <v>RSC007510</v>
      </c>
      <c r="C821" s="30" t="str">
        <f>IFERROR(__xludf.DUMMYFUNCTION("""COMPUTED_VALUE"""),"Faolaen")</f>
        <v>Faolaen</v>
      </c>
      <c r="D821" s="31" t="str">
        <f>IFERROR(__xludf.DUMMYFUNCTION("""COMPUTED_VALUE"""),"Dread")</f>
        <v>Dread</v>
      </c>
      <c r="E821" s="31">
        <f>IFERROR(__xludf.DUMMYFUNCTION("""COMPUTED_VALUE"""),24.60905481520535)</f>
        <v>24.60905482</v>
      </c>
      <c r="F821" s="31">
        <f>IFERROR(__xludf.DUMMYFUNCTION("""COMPUTED_VALUE"""),-6.455738452094742)</f>
        <v>-6.455738452</v>
      </c>
      <c r="G821" s="31">
        <f>IFERROR(__xludf.DUMMYFUNCTION("""COMPUTED_VALUE"""),36.620315508205216)</f>
        <v>36.62031551</v>
      </c>
      <c r="H821" s="31">
        <f>IFERROR(__xludf.DUMMYFUNCTION("""COMPUTED_VALUE"""),-3.375411823255755)</f>
        <v>-3.375411823</v>
      </c>
      <c r="I821" s="54">
        <f>IFERROR(__xludf.DUMMYFUNCTION("""COMPUTED_VALUE"""),24.0)</f>
        <v>24</v>
      </c>
      <c r="J821" s="55">
        <f>IFERROR(__xludf.DUMMYFUNCTION("""COMPUTED_VALUE"""),8.0)</f>
        <v>8</v>
      </c>
      <c r="K821" s="54">
        <f>IFERROR(__xludf.DUMMYFUNCTION("""COMPUTED_VALUE"""),16.0)</f>
        <v>16</v>
      </c>
      <c r="L821" s="56">
        <f>IFERROR(__xludf.DUMMYFUNCTION("""COMPUTED_VALUE"""),0.3333333333333333)</f>
        <v>0.3333333333</v>
      </c>
      <c r="M821" s="56">
        <f>IFERROR(__xludf.DUMMYFUNCTION("""COMPUTED_VALUE"""),0.25)</f>
        <v>0.25</v>
      </c>
      <c r="N821" s="31">
        <f>IFERROR(__xludf.DUMMYFUNCTION("""COMPUTED_VALUE"""),322.75)</f>
        <v>322.75</v>
      </c>
      <c r="O821" s="57">
        <f>IFERROR(__xludf.DUMMYFUNCTION("""COMPUTED_VALUE"""),0.5416666666666666)</f>
        <v>0.5416666667</v>
      </c>
      <c r="P821" s="57">
        <f>IFERROR(__xludf.DUMMYFUNCTION("""COMPUTED_VALUE"""),0.2916666666666667)</f>
        <v>0.2916666667</v>
      </c>
      <c r="Q821" s="57">
        <f>IFERROR(__xludf.DUMMYFUNCTION("""COMPUTED_VALUE"""),1.5416666666666667)</f>
        <v>1.541666667</v>
      </c>
      <c r="R821" s="57">
        <f>IFERROR(__xludf.DUMMYFUNCTION("""COMPUTED_VALUE"""),2.1666666666666665)</f>
        <v>2.166666667</v>
      </c>
      <c r="S821" s="31">
        <f>IFERROR(__xludf.DUMMYFUNCTION("""COMPUTED_VALUE"""),343.0694444444444)</f>
        <v>343.0694444</v>
      </c>
      <c r="T821" s="57">
        <f>IFERROR(__xludf.DUMMYFUNCTION("""COMPUTED_VALUE"""),0.8055555555555555)</f>
        <v>0.8055555556</v>
      </c>
      <c r="U821" s="57">
        <f>IFERROR(__xludf.DUMMYFUNCTION("""COMPUTED_VALUE"""),0.5694444444444445)</f>
        <v>0.5694444444</v>
      </c>
      <c r="V821" s="57">
        <f>IFERROR(__xludf.DUMMYFUNCTION("""COMPUTED_VALUE"""),1.1805555555555556)</f>
        <v>1.180555556</v>
      </c>
      <c r="W821" s="57">
        <f>IFERROR(__xludf.DUMMYFUNCTION("""COMPUTED_VALUE"""),2.680555555555556)</f>
        <v>2.680555556</v>
      </c>
      <c r="X821" s="31">
        <f>IFERROR(__xludf.DUMMYFUNCTION("""COMPUTED_VALUE"""),352.761061549335)</f>
        <v>352.7610615</v>
      </c>
      <c r="Y821" s="57">
        <f>IFERROR(__xludf.DUMMYFUNCTION("""COMPUTED_VALUE"""),0.8222752325123373)</f>
        <v>0.8222752325</v>
      </c>
      <c r="Z821" s="57">
        <f>IFERROR(__xludf.DUMMYFUNCTION("""COMPUTED_VALUE"""),0.5912576827250272)</f>
        <v>0.5912576827</v>
      </c>
      <c r="AA821" s="57">
        <f>IFERROR(__xludf.DUMMYFUNCTION("""COMPUTED_VALUE"""),1.2916580882744446)</f>
        <v>1.291658088</v>
      </c>
      <c r="AB821" s="57">
        <f>IFERROR(__xludf.DUMMYFUNCTION("""COMPUTED_VALUE"""),2.655247681519357)</f>
        <v>2.655247682</v>
      </c>
      <c r="AC821" s="31">
        <f>IFERROR(__xludf.DUMMYFUNCTION("""COMPUTED_VALUE"""),352.0464829363043)</f>
        <v>352.0464829</v>
      </c>
      <c r="AD821" s="57">
        <f>IFERROR(__xludf.DUMMYFUNCTION("""COMPUTED_VALUE"""),0.8019906307590462)</f>
        <v>0.8019906308</v>
      </c>
      <c r="AE821" s="57">
        <f>IFERROR(__xludf.DUMMYFUNCTION("""COMPUTED_VALUE"""),0.5980337263670237)</f>
        <v>0.5980337264</v>
      </c>
      <c r="AF821" s="57">
        <f>IFERROR(__xludf.DUMMYFUNCTION("""COMPUTED_VALUE"""),1.3402917794410223)</f>
        <v>1.340291779</v>
      </c>
      <c r="AG821" s="57">
        <f>IFERROR(__xludf.DUMMYFUNCTION("""COMPUTED_VALUE"""),2.614037793398739)</f>
        <v>2.614037793</v>
      </c>
      <c r="AH821" s="57">
        <f>IFERROR(__xludf.DUMMYFUNCTION("""COMPUTED_VALUE"""),0.9167823445019193)</f>
        <v>0.9167823445</v>
      </c>
      <c r="AI821" s="57">
        <f>IFERROR(__xludf.DUMMYFUNCTION("""COMPUTED_VALUE"""),0.6754027365057927)</f>
        <v>0.6754027365</v>
      </c>
      <c r="AJ821" s="57">
        <f>IFERROR(__xludf.DUMMYFUNCTION("""COMPUTED_VALUE"""),0.4877093946498693)</f>
        <v>0.4877093946</v>
      </c>
      <c r="AK821" s="57">
        <f>IFERROR(__xludf.DUMMYFUNCTION("""COMPUTED_VALUE"""),1.1502470509142637)</f>
        <v>1.150247051</v>
      </c>
      <c r="AL821" s="57">
        <f>IFERROR(__xludf.DUMMYFUNCTION("""COMPUTED_VALUE"""),0.8288582024858921)</f>
        <v>0.8288582025</v>
      </c>
      <c r="AM821" s="57">
        <f>IFERROR(__xludf.DUMMYFUNCTION("""COMPUTED_VALUE"""),0.9725263977199615)</f>
        <v>0.9725263977</v>
      </c>
      <c r="AN821" s="57">
        <f>IFERROR(__xludf.DUMMYFUNCTION("""COMPUTED_VALUE"""),0.9796665686917295)</f>
        <v>0.9796665687</v>
      </c>
      <c r="AO821" s="57">
        <f>IFERROR(__xludf.DUMMYFUNCTION("""COMPUTED_VALUE"""),0.9631070531209871)</f>
        <v>0.9631070531</v>
      </c>
      <c r="AP821" s="35">
        <f>IFERROR(__xludf.DUMMYFUNCTION("""COMPUTED_VALUE"""),0.9139845647021702)</f>
        <v>0.9139845647</v>
      </c>
      <c r="AQ821" s="57">
        <f>IFERROR(__xludf.DUMMYFUNCTION("""COMPUTED_VALUE"""),1.0095312667862748)</f>
        <v>1.009531267</v>
      </c>
      <c r="AR821" s="36" t="b">
        <f>IFERROR(__xludf.DUMMYFUNCTION("""COMPUTED_VALUE"""),TRUE)</f>
        <v>1</v>
      </c>
      <c r="AS821" s="57"/>
      <c r="AT821" s="37"/>
      <c r="AU821" s="30"/>
      <c r="AV821" s="30"/>
      <c r="AW821" s="30"/>
      <c r="AX821" s="30"/>
      <c r="AY821" s="30"/>
      <c r="AZ821" s="30"/>
    </row>
    <row r="822">
      <c r="A822" s="30" t="str">
        <f>IFERROR(__xludf.DUMMYFUNCTION("""COMPUTED_VALUE"""),"Veteran")</f>
        <v>Veteran</v>
      </c>
      <c r="B822" s="30" t="str">
        <f>IFERROR(__xludf.DUMMYFUNCTION("""COMPUTED_VALUE"""),"RSC005960")</f>
        <v>RSC005960</v>
      </c>
      <c r="C822" s="30" t="str">
        <f>IFERROR(__xludf.DUMMYFUNCTION("""COMPUTED_VALUE"""),"Hyper")</f>
        <v>Hyper</v>
      </c>
      <c r="D822" s="31" t="str">
        <f>IFERROR(__xludf.DUMMYFUNCTION("""COMPUTED_VALUE"""),"Possessed")</f>
        <v>Possessed</v>
      </c>
      <c r="E822" s="31">
        <f>IFERROR(__xludf.DUMMYFUNCTION("""COMPUTED_VALUE"""),23.962111890710958)</f>
        <v>23.96211189</v>
      </c>
      <c r="F822" s="31">
        <f>IFERROR(__xludf.DUMMYFUNCTION("""COMPUTED_VALUE"""),-6.719609304083214)</f>
        <v>-6.719609304</v>
      </c>
      <c r="G822" s="31">
        <f>IFERROR(__xludf.DUMMYFUNCTION("""COMPUTED_VALUE"""),27.660948480404876)</f>
        <v>27.66094848</v>
      </c>
      <c r="H822" s="31">
        <f>IFERROR(__xludf.DUMMYFUNCTION("""COMPUTED_VALUE"""),-5.382765014816978)</f>
        <v>-5.382765015</v>
      </c>
      <c r="I822" s="54">
        <f>IFERROR(__xludf.DUMMYFUNCTION("""COMPUTED_VALUE"""),12.0)</f>
        <v>12</v>
      </c>
      <c r="J822" s="55">
        <f>IFERROR(__xludf.DUMMYFUNCTION("""COMPUTED_VALUE"""),4.0)</f>
        <v>4</v>
      </c>
      <c r="K822" s="54">
        <f>IFERROR(__xludf.DUMMYFUNCTION("""COMPUTED_VALUE"""),8.0)</f>
        <v>8</v>
      </c>
      <c r="L822" s="56">
        <f>IFERROR(__xludf.DUMMYFUNCTION("""COMPUTED_VALUE"""),0.3333333333333333)</f>
        <v>0.3333333333</v>
      </c>
      <c r="M822" s="56">
        <f>IFERROR(__xludf.DUMMYFUNCTION("""COMPUTED_VALUE"""),0.125)</f>
        <v>0.125</v>
      </c>
      <c r="N822" s="31">
        <f>IFERROR(__xludf.DUMMYFUNCTION("""COMPUTED_VALUE"""),308.75)</f>
        <v>308.75</v>
      </c>
      <c r="O822" s="57">
        <f>IFERROR(__xludf.DUMMYFUNCTION("""COMPUTED_VALUE"""),0.25)</f>
        <v>0.25</v>
      </c>
      <c r="P822" s="57">
        <f>IFERROR(__xludf.DUMMYFUNCTION("""COMPUTED_VALUE"""),0.75)</f>
        <v>0.75</v>
      </c>
      <c r="Q822" s="57">
        <f>IFERROR(__xludf.DUMMYFUNCTION("""COMPUTED_VALUE"""),1.6666666666666667)</f>
        <v>1.666666667</v>
      </c>
      <c r="R822" s="57">
        <f>IFERROR(__xludf.DUMMYFUNCTION("""COMPUTED_VALUE"""),2.0)</f>
        <v>2</v>
      </c>
      <c r="S822" s="31">
        <f>IFERROR(__xludf.DUMMYFUNCTION("""COMPUTED_VALUE"""),411.8611111111111)</f>
        <v>411.8611111</v>
      </c>
      <c r="T822" s="57">
        <f>IFERROR(__xludf.DUMMYFUNCTION("""COMPUTED_VALUE"""),1.111111111111111)</f>
        <v>1.111111111</v>
      </c>
      <c r="U822" s="57">
        <f>IFERROR(__xludf.DUMMYFUNCTION("""COMPUTED_VALUE"""),0.888888888888889)</f>
        <v>0.8888888889</v>
      </c>
      <c r="V822" s="57">
        <f>IFERROR(__xludf.DUMMYFUNCTION("""COMPUTED_VALUE"""),1.4166666666666667)</f>
        <v>1.416666667</v>
      </c>
      <c r="W822" s="57">
        <f>IFERROR(__xludf.DUMMYFUNCTION("""COMPUTED_VALUE"""),3.0833333333333335)</f>
        <v>3.083333333</v>
      </c>
      <c r="X822" s="31">
        <f>IFERROR(__xludf.DUMMYFUNCTION("""COMPUTED_VALUE"""),364.6856202443017)</f>
        <v>364.6856202</v>
      </c>
      <c r="Y822" s="57">
        <f>IFERROR(__xludf.DUMMYFUNCTION("""COMPUTED_VALUE"""),0.8285792699159668)</f>
        <v>0.8285792699</v>
      </c>
      <c r="Z822" s="57">
        <f>IFERROR(__xludf.DUMMYFUNCTION("""COMPUTED_VALUE"""),0.5474833581179305)</f>
        <v>0.5474833581</v>
      </c>
      <c r="AA822" s="57">
        <f>IFERROR(__xludf.DUMMYFUNCTION("""COMPUTED_VALUE"""),1.4128157763196982)</f>
        <v>1.412815776</v>
      </c>
      <c r="AB822" s="57">
        <f>IFERROR(__xludf.DUMMYFUNCTION("""COMPUTED_VALUE"""),2.856069940424492)</f>
        <v>2.85606994</v>
      </c>
      <c r="AC822" s="31">
        <f>IFERROR(__xludf.DUMMYFUNCTION("""COMPUTED_VALUE"""),347.89127320775907)</f>
        <v>347.8912732</v>
      </c>
      <c r="AD822" s="57">
        <f>IFERROR(__xludf.DUMMYFUNCTION("""COMPUTED_VALUE"""),0.6918217722182777)</f>
        <v>0.6918217722</v>
      </c>
      <c r="AE822" s="57">
        <f>IFERROR(__xludf.DUMMYFUNCTION("""COMPUTED_VALUE"""),0.5224841398578141)</f>
        <v>0.5224841399</v>
      </c>
      <c r="AF822" s="57">
        <f>IFERROR(__xludf.DUMMYFUNCTION("""COMPUTED_VALUE"""),1.4622831605701485)</f>
        <v>1.462283161</v>
      </c>
      <c r="AG822" s="57">
        <f>IFERROR(__xludf.DUMMYFUNCTION("""COMPUTED_VALUE"""),2.5063842732855526)</f>
        <v>2.506384273</v>
      </c>
      <c r="AH822" s="57">
        <f>IFERROR(__xludf.DUMMYFUNCTION("""COMPUTED_VALUE"""),0.8874899250939702)</f>
        <v>0.8874899251</v>
      </c>
      <c r="AI822" s="57">
        <f>IFERROR(__xludf.DUMMYFUNCTION("""COMPUTED_VALUE"""),0.3613647474527907)</f>
        <v>0.3613647475</v>
      </c>
      <c r="AJ822" s="57">
        <f>IFERROR(__xludf.DUMMYFUNCTION("""COMPUTED_VALUE"""),1.4354502707088885)</f>
        <v>1.435450271</v>
      </c>
      <c r="AK822" s="57">
        <f>IFERROR(__xludf.DUMMYFUNCTION("""COMPUTED_VALUE"""),1.1397701290746098)</f>
        <v>1.139770129</v>
      </c>
      <c r="AL822" s="57">
        <f>IFERROR(__xludf.DUMMYFUNCTION("""COMPUTED_VALUE"""),0.7979622364044971)</f>
        <v>0.7979622364</v>
      </c>
      <c r="AM822" s="57">
        <f>IFERROR(__xludf.DUMMYFUNCTION("""COMPUTED_VALUE"""),1.1293593392445984)</f>
        <v>1.129359339</v>
      </c>
      <c r="AN822" s="57">
        <f>IFERROR(__xludf.DUMMYFUNCTION("""COMPUTED_VALUE"""),1.3409834779281868)</f>
        <v>1.340983478</v>
      </c>
      <c r="AO822" s="57">
        <f>IFERROR(__xludf.DUMMYFUNCTION("""COMPUTED_VALUE"""),1.623590700445397)</f>
        <v>1.6235907</v>
      </c>
      <c r="AP822" s="35">
        <f>IFERROR(__xludf.DUMMYFUNCTION("""COMPUTED_VALUE"""),1.0027256847010866)</f>
        <v>1.002725685</v>
      </c>
      <c r="AQ822" s="57">
        <f>IFERROR(__xludf.DUMMYFUNCTION("""COMPUTED_VALUE"""),1.0795720684890036)</f>
        <v>1.079572068</v>
      </c>
      <c r="AR822" s="36" t="b">
        <f>IFERROR(__xludf.DUMMYFUNCTION("""COMPUTED_VALUE"""),TRUE)</f>
        <v>1</v>
      </c>
      <c r="AS822" s="57"/>
      <c r="AT822" s="37"/>
      <c r="AU822" s="30"/>
      <c r="AV822" s="30"/>
      <c r="AW822" s="30"/>
      <c r="AX822" s="30"/>
      <c r="AY822" s="30"/>
      <c r="AZ822" s="30"/>
    </row>
    <row r="823">
      <c r="A823" s="30" t="str">
        <f>IFERROR(__xludf.DUMMYFUNCTION("""COMPUTED_VALUE"""),"Veteran")</f>
        <v>Veteran</v>
      </c>
      <c r="B823" s="30" t="str">
        <f>IFERROR(__xludf.DUMMYFUNCTION("""COMPUTED_VALUE"""),"RSC003887")</f>
        <v>RSC003887</v>
      </c>
      <c r="C823" s="30" t="str">
        <f>IFERROR(__xludf.DUMMYFUNCTION("""COMPUTED_VALUE"""),"Cundy")</f>
        <v>Cundy</v>
      </c>
      <c r="D823" s="31" t="str">
        <f>IFERROR(__xludf.DUMMYFUNCTION("""COMPUTED_VALUE"""),"Possessed")</f>
        <v>Possessed</v>
      </c>
      <c r="E823" s="31">
        <f>IFERROR(__xludf.DUMMYFUNCTION("""COMPUTED_VALUE"""),22.480122256275543)</f>
        <v>22.48012226</v>
      </c>
      <c r="F823" s="31">
        <f>IFERROR(__xludf.DUMMYFUNCTION("""COMPUTED_VALUE"""),-7.38045942009799)</f>
        <v>-7.38045942</v>
      </c>
      <c r="G823" s="31">
        <f>IFERROR(__xludf.DUMMYFUNCTION("""COMPUTED_VALUE"""),27.097179368784126)</f>
        <v>27.09717937</v>
      </c>
      <c r="H823" s="31">
        <f>IFERROR(__xludf.DUMMYFUNCTION("""COMPUTED_VALUE"""),-5.561615836943607)</f>
        <v>-5.561615837</v>
      </c>
      <c r="I823" s="54">
        <f>IFERROR(__xludf.DUMMYFUNCTION("""COMPUTED_VALUE"""),29.0)</f>
        <v>29</v>
      </c>
      <c r="J823" s="55">
        <f>IFERROR(__xludf.DUMMYFUNCTION("""COMPUTED_VALUE"""),9.0)</f>
        <v>9</v>
      </c>
      <c r="K823" s="54">
        <f>IFERROR(__xludf.DUMMYFUNCTION("""COMPUTED_VALUE"""),20.0)</f>
        <v>20</v>
      </c>
      <c r="L823" s="56">
        <f>IFERROR(__xludf.DUMMYFUNCTION("""COMPUTED_VALUE"""),0.3103448275862069)</f>
        <v>0.3103448276</v>
      </c>
      <c r="M823" s="56">
        <f>IFERROR(__xludf.DUMMYFUNCTION("""COMPUTED_VALUE"""),0.16129032258064518)</f>
        <v>0.1612903226</v>
      </c>
      <c r="N823" s="31">
        <f>IFERROR(__xludf.DUMMYFUNCTION("""COMPUTED_VALUE"""),273.82758620689657)</f>
        <v>273.8275862</v>
      </c>
      <c r="O823" s="57">
        <f>IFERROR(__xludf.DUMMYFUNCTION("""COMPUTED_VALUE"""),0.3448275862068966)</f>
        <v>0.3448275862</v>
      </c>
      <c r="P823" s="57">
        <f>IFERROR(__xludf.DUMMYFUNCTION("""COMPUTED_VALUE"""),0.6206896551724138)</f>
        <v>0.6206896552</v>
      </c>
      <c r="Q823" s="57">
        <f>IFERROR(__xludf.DUMMYFUNCTION("""COMPUTED_VALUE"""),0.9310344827586207)</f>
        <v>0.9310344828</v>
      </c>
      <c r="R823" s="57">
        <f>IFERROR(__xludf.DUMMYFUNCTION("""COMPUTED_VALUE"""),2.1379310344827585)</f>
        <v>2.137931034</v>
      </c>
      <c r="S823" s="31">
        <f>IFERROR(__xludf.DUMMYFUNCTION("""COMPUTED_VALUE"""),393.02298850574715)</f>
        <v>393.0229885</v>
      </c>
      <c r="T823" s="57">
        <f>IFERROR(__xludf.DUMMYFUNCTION("""COMPUTED_VALUE"""),1.0114942528735633)</f>
        <v>1.011494253</v>
      </c>
      <c r="U823" s="57">
        <f>IFERROR(__xludf.DUMMYFUNCTION("""COMPUTED_VALUE"""),0.7931034482758621)</f>
        <v>0.7931034483</v>
      </c>
      <c r="V823" s="57">
        <f>IFERROR(__xludf.DUMMYFUNCTION("""COMPUTED_VALUE"""),1.3908045977011496)</f>
        <v>1.390804598</v>
      </c>
      <c r="W823" s="57">
        <f>IFERROR(__xludf.DUMMYFUNCTION("""COMPUTED_VALUE"""),2.632183908045977)</f>
        <v>2.632183908</v>
      </c>
      <c r="X823" s="31">
        <f>IFERROR(__xludf.DUMMYFUNCTION("""COMPUTED_VALUE"""),352.86648401420166)</f>
        <v>352.866484</v>
      </c>
      <c r="Y823" s="57">
        <f>IFERROR(__xludf.DUMMYFUNCTION("""COMPUTED_VALUE"""),0.7664679644771345)</f>
        <v>0.7664679645</v>
      </c>
      <c r="Z823" s="57">
        <f>IFERROR(__xludf.DUMMYFUNCTION("""COMPUTED_VALUE"""),0.5484422230713215)</f>
        <v>0.5484422231</v>
      </c>
      <c r="AA823" s="57">
        <f>IFERROR(__xludf.DUMMYFUNCTION("""COMPUTED_VALUE"""),1.368391827450834)</f>
        <v>1.368391827</v>
      </c>
      <c r="AB823" s="57">
        <f>IFERROR(__xludf.DUMMYFUNCTION("""COMPUTED_VALUE"""),2.64420371043171)</f>
        <v>2.64420371</v>
      </c>
      <c r="AC823" s="31">
        <f>IFERROR(__xludf.DUMMYFUNCTION("""COMPUTED_VALUE"""),341.36744994302944)</f>
        <v>341.3674499</v>
      </c>
      <c r="AD823" s="57">
        <f>IFERROR(__xludf.DUMMYFUNCTION("""COMPUTED_VALUE"""),0.6926699078363072)</f>
        <v>0.6926699078</v>
      </c>
      <c r="AE823" s="57">
        <f>IFERROR(__xludf.DUMMYFUNCTION("""COMPUTED_VALUE"""),0.5186663717175187)</f>
        <v>0.5186663717</v>
      </c>
      <c r="AF823" s="57">
        <f>IFERROR(__xludf.DUMMYFUNCTION("""COMPUTED_VALUE"""),1.3498413502120354)</f>
        <v>1.34984135</v>
      </c>
      <c r="AG823" s="57">
        <f>IFERROR(__xludf.DUMMYFUNCTION("""COMPUTED_VALUE"""),2.559231189787899)</f>
        <v>2.55923119</v>
      </c>
      <c r="AH823" s="57">
        <f>IFERROR(__xludf.DUMMYFUNCTION("""COMPUTED_VALUE"""),0.8021490808587505)</f>
        <v>0.8021490809</v>
      </c>
      <c r="AI823" s="57">
        <f>IFERROR(__xludf.DUMMYFUNCTION("""COMPUTED_VALUE"""),0.49782382965651617)</f>
        <v>0.4978238297</v>
      </c>
      <c r="AJ823" s="57">
        <f>IFERROR(__xludf.DUMMYFUNCTION("""COMPUTED_VALUE"""),1.1967031005250135)</f>
        <v>1.196703101</v>
      </c>
      <c r="AK823" s="57">
        <f>IFERROR(__xludf.DUMMYFUNCTION("""COMPUTED_VALUE"""),0.6897362290852715)</f>
        <v>0.6897362291</v>
      </c>
      <c r="AL823" s="57">
        <f>IFERROR(__xludf.DUMMYFUNCTION("""COMPUTED_VALUE"""),0.8353801887901903)</f>
        <v>0.8353801888</v>
      </c>
      <c r="AM823" s="57">
        <f>IFERROR(__xludf.DUMMYFUNCTION("""COMPUTED_VALUE"""),1.1138008462428224)</f>
        <v>1.113800846</v>
      </c>
      <c r="AN823" s="57">
        <f>IFERROR(__xludf.DUMMYFUNCTION("""COMPUTED_VALUE"""),1.3196823608454133)</f>
        <v>1.319682361</v>
      </c>
      <c r="AO823" s="57">
        <f>IFERROR(__xludf.DUMMYFUNCTION("""COMPUTED_VALUE"""),1.4461020959225526)</f>
        <v>1.446102096</v>
      </c>
      <c r="AP823" s="35">
        <f>IFERROR(__xludf.DUMMYFUNCTION("""COMPUTED_VALUE"""),1.0163789126774223)</f>
        <v>1.016378913</v>
      </c>
      <c r="AQ823" s="57">
        <f>IFERROR(__xludf.DUMMYFUNCTION("""COMPUTED_VALUE"""),0.99545428276259)</f>
        <v>0.9954542828</v>
      </c>
      <c r="AR823" s="36" t="b">
        <f>IFERROR(__xludf.DUMMYFUNCTION("""COMPUTED_VALUE"""),TRUE)</f>
        <v>1</v>
      </c>
      <c r="AS823" s="57"/>
      <c r="AT823" s="37"/>
      <c r="AU823" s="30"/>
      <c r="AV823" s="30"/>
      <c r="AW823" s="30"/>
      <c r="AX823" s="30"/>
      <c r="AY823" s="30"/>
      <c r="AZ823" s="30"/>
    </row>
    <row r="824">
      <c r="A824" s="30" t="str">
        <f>IFERROR(__xludf.DUMMYFUNCTION("""COMPUTED_VALUE"""),"Veteran")</f>
        <v>Veteran</v>
      </c>
      <c r="B824" s="30" t="str">
        <f>IFERROR(__xludf.DUMMYFUNCTION("""COMPUTED_VALUE"""),"RSC007991")</f>
        <v>RSC007991</v>
      </c>
      <c r="C824" s="30" t="str">
        <f>IFERROR(__xludf.DUMMYFUNCTION("""COMPUTED_VALUE"""),"TTV 50D Drew")</f>
        <v>TTV 50D Drew</v>
      </c>
      <c r="D824" s="31" t="str">
        <f>IFERROR(__xludf.DUMMYFUNCTION("""COMPUTED_VALUE"""),"Dump Trucks")</f>
        <v>Dump Trucks</v>
      </c>
      <c r="E824" s="31">
        <f>IFERROR(__xludf.DUMMYFUNCTION("""COMPUTED_VALUE"""),21.16807176027412)</f>
        <v>21.16807176</v>
      </c>
      <c r="F824" s="31">
        <f>IFERROR(__xludf.DUMMYFUNCTION("""COMPUTED_VALUE"""),-8.038693310333946)</f>
        <v>-8.03869331</v>
      </c>
      <c r="G824" s="31">
        <f>IFERROR(__xludf.DUMMYFUNCTION("""COMPUTED_VALUE"""),22.338462481397265)</f>
        <v>22.33846248</v>
      </c>
      <c r="H824" s="31">
        <f>IFERROR(__xludf.DUMMYFUNCTION("""COMPUTED_VALUE"""),-7.448045632393875)</f>
        <v>-7.448045632</v>
      </c>
      <c r="I824" s="54">
        <f>IFERROR(__xludf.DUMMYFUNCTION("""COMPUTED_VALUE"""),10.0)</f>
        <v>10</v>
      </c>
      <c r="J824" s="55">
        <f>IFERROR(__xludf.DUMMYFUNCTION("""COMPUTED_VALUE"""),2.0)</f>
        <v>2</v>
      </c>
      <c r="K824" s="54">
        <f>IFERROR(__xludf.DUMMYFUNCTION("""COMPUTED_VALUE"""),8.0)</f>
        <v>8</v>
      </c>
      <c r="L824" s="56">
        <f>IFERROR(__xludf.DUMMYFUNCTION("""COMPUTED_VALUE"""),0.2)</f>
        <v>0.2</v>
      </c>
      <c r="M824" s="56">
        <f>IFERROR(__xludf.DUMMYFUNCTION("""COMPUTED_VALUE"""),0.2727272727272727)</f>
        <v>0.2727272727</v>
      </c>
      <c r="N824" s="31">
        <f>IFERROR(__xludf.DUMMYFUNCTION("""COMPUTED_VALUE"""),297.3)</f>
        <v>297.3</v>
      </c>
      <c r="O824" s="57">
        <f>IFERROR(__xludf.DUMMYFUNCTION("""COMPUTED_VALUE"""),0.6)</f>
        <v>0.6</v>
      </c>
      <c r="P824" s="57">
        <f>IFERROR(__xludf.DUMMYFUNCTION("""COMPUTED_VALUE"""),0.3)</f>
        <v>0.3</v>
      </c>
      <c r="Q824" s="57">
        <f>IFERROR(__xludf.DUMMYFUNCTION("""COMPUTED_VALUE"""),1.4)</f>
        <v>1.4</v>
      </c>
      <c r="R824" s="57">
        <f>IFERROR(__xludf.DUMMYFUNCTION("""COMPUTED_VALUE"""),2.2)</f>
        <v>2.2</v>
      </c>
      <c r="S824" s="31">
        <f>IFERROR(__xludf.DUMMYFUNCTION("""COMPUTED_VALUE"""),373.6)</f>
        <v>373.6</v>
      </c>
      <c r="T824" s="57">
        <f>IFERROR(__xludf.DUMMYFUNCTION("""COMPUTED_VALUE"""),0.9666666666666668)</f>
        <v>0.9666666667</v>
      </c>
      <c r="U824" s="57">
        <f>IFERROR(__xludf.DUMMYFUNCTION("""COMPUTED_VALUE"""),0.6333333333333333)</f>
        <v>0.6333333333</v>
      </c>
      <c r="V824" s="57">
        <f>IFERROR(__xludf.DUMMYFUNCTION("""COMPUTED_VALUE"""),1.3666666666666667)</f>
        <v>1.366666667</v>
      </c>
      <c r="W824" s="57">
        <f>IFERROR(__xludf.DUMMYFUNCTION("""COMPUTED_VALUE"""),3.1999999999999997)</f>
        <v>3.2</v>
      </c>
      <c r="X824" s="31">
        <f>IFERROR(__xludf.DUMMYFUNCTION("""COMPUTED_VALUE"""),361.9157816913582)</f>
        <v>361.9157817</v>
      </c>
      <c r="Y824" s="57">
        <f>IFERROR(__xludf.DUMMYFUNCTION("""COMPUTED_VALUE"""),0.8090807947770038)</f>
        <v>0.8090807948</v>
      </c>
      <c r="Z824" s="57">
        <f>IFERROR(__xludf.DUMMYFUNCTION("""COMPUTED_VALUE"""),0.5605021538769785)</f>
        <v>0.5605021539</v>
      </c>
      <c r="AA824" s="57">
        <f>IFERROR(__xludf.DUMMYFUNCTION("""COMPUTED_VALUE"""),1.342705626663943)</f>
        <v>1.342705627</v>
      </c>
      <c r="AB824" s="57">
        <f>IFERROR(__xludf.DUMMYFUNCTION("""COMPUTED_VALUE"""),2.8187684449656443)</f>
        <v>2.818768445</v>
      </c>
      <c r="AC824" s="31">
        <f>IFERROR(__xludf.DUMMYFUNCTION("""COMPUTED_VALUE"""),358.0909260803433)</f>
        <v>358.0909261</v>
      </c>
      <c r="AD824" s="57">
        <f>IFERROR(__xludf.DUMMYFUNCTION("""COMPUTED_VALUE"""),0.7699499442133095)</f>
        <v>0.7699499442</v>
      </c>
      <c r="AE824" s="57">
        <f>IFERROR(__xludf.DUMMYFUNCTION("""COMPUTED_VALUE"""),0.5614320460925526)</f>
        <v>0.5614320461</v>
      </c>
      <c r="AF824" s="57">
        <f>IFERROR(__xludf.DUMMYFUNCTION("""COMPUTED_VALUE"""),1.4239851509405383)</f>
        <v>1.423985151</v>
      </c>
      <c r="AG824" s="57">
        <f>IFERROR(__xludf.DUMMYFUNCTION("""COMPUTED_VALUE"""),2.6251939569656764)</f>
        <v>2.625193957</v>
      </c>
      <c r="AH824" s="57">
        <f>IFERROR(__xludf.DUMMYFUNCTION("""COMPUTED_VALUE"""),0.8302360611430185)</f>
        <v>0.8302360611</v>
      </c>
      <c r="AI824" s="57">
        <f>IFERROR(__xludf.DUMMYFUNCTION("""COMPUTED_VALUE"""),0.779271437720598)</f>
        <v>0.7792714377</v>
      </c>
      <c r="AJ824" s="57">
        <f>IFERROR(__xludf.DUMMYFUNCTION("""COMPUTED_VALUE"""),0.5343478379760045)</f>
        <v>0.534347838</v>
      </c>
      <c r="AK824" s="57">
        <f>IFERROR(__xludf.DUMMYFUNCTION("""COMPUTED_VALUE"""),0.9831563194850057)</f>
        <v>0.9831563195</v>
      </c>
      <c r="AL824" s="57">
        <f>IFERROR(__xludf.DUMMYFUNCTION("""COMPUTED_VALUE"""),0.8380333171812053)</f>
        <v>0.8380333172</v>
      </c>
      <c r="AM824" s="57">
        <f>IFERROR(__xludf.DUMMYFUNCTION("""COMPUTED_VALUE"""),1.0322843570237181)</f>
        <v>1.032284357</v>
      </c>
      <c r="AN824" s="57">
        <f>IFERROR(__xludf.DUMMYFUNCTION("""COMPUTED_VALUE"""),1.1947714899512556)</f>
        <v>1.19477149</v>
      </c>
      <c r="AO824" s="57">
        <f>IFERROR(__xludf.DUMMYFUNCTION("""COMPUTED_VALUE"""),1.129939160719693)</f>
        <v>1.129939161</v>
      </c>
      <c r="AP824" s="35">
        <f>IFERROR(__xludf.DUMMYFUNCTION("""COMPUTED_VALUE"""),1.017845341172999)</f>
        <v>1.017845341</v>
      </c>
      <c r="AQ824" s="57">
        <f>IFERROR(__xludf.DUMMYFUNCTION("""COMPUTED_VALUE"""),1.1352475602298018)</f>
        <v>1.13524756</v>
      </c>
      <c r="AR824" s="36" t="b">
        <f>IFERROR(__xludf.DUMMYFUNCTION("""COMPUTED_VALUE"""),TRUE)</f>
        <v>1</v>
      </c>
      <c r="AS824" s="57"/>
      <c r="AT824" s="37"/>
      <c r="AU824" s="30"/>
      <c r="AV824" s="30"/>
      <c r="AW824" s="30"/>
      <c r="AX824" s="30"/>
      <c r="AY824" s="30"/>
      <c r="AZ824" s="30"/>
    </row>
    <row r="825">
      <c r="A825" s="30" t="str">
        <f>IFERROR(__xludf.DUMMYFUNCTION("""COMPUTED_VALUE"""),"Veteran")</f>
        <v>Veteran</v>
      </c>
      <c r="B825" s="30" t="str">
        <f>IFERROR(__xludf.DUMMYFUNCTION("""COMPUTED_VALUE"""),"RSC007187")</f>
        <v>RSC007187</v>
      </c>
      <c r="C825" s="30" t="str">
        <f>IFERROR(__xludf.DUMMYFUNCTION("""COMPUTED_VALUE"""),"Evil Gooby")</f>
        <v>Evil Gooby</v>
      </c>
      <c r="D825" s="31" t="str">
        <f>IFERROR(__xludf.DUMMYFUNCTION("""COMPUTED_VALUE"""),"Mellow Fellows")</f>
        <v>Mellow Fellows</v>
      </c>
      <c r="E825" s="31">
        <f>IFERROR(__xludf.DUMMYFUNCTION("""COMPUTED_VALUE"""),20.43344591203869)</f>
        <v>20.43344591</v>
      </c>
      <c r="F825" s="31">
        <f>IFERROR(__xludf.DUMMYFUNCTION("""COMPUTED_VALUE"""),-8.44084632072473)</f>
        <v>-8.440846321</v>
      </c>
      <c r="G825" s="31">
        <f>IFERROR(__xludf.DUMMYFUNCTION("""COMPUTED_VALUE"""),23.581451095554428)</f>
        <v>23.5814511</v>
      </c>
      <c r="H825" s="31">
        <f>IFERROR(__xludf.DUMMYFUNCTION("""COMPUTED_VALUE"""),-6.881616927309943)</f>
        <v>-6.881616927</v>
      </c>
      <c r="I825" s="54">
        <f>IFERROR(__xludf.DUMMYFUNCTION("""COMPUTED_VALUE"""),36.0)</f>
        <v>36</v>
      </c>
      <c r="J825" s="55">
        <f>IFERROR(__xludf.DUMMYFUNCTION("""COMPUTED_VALUE"""),14.0)</f>
        <v>14</v>
      </c>
      <c r="K825" s="54">
        <f>IFERROR(__xludf.DUMMYFUNCTION("""COMPUTED_VALUE"""),22.0)</f>
        <v>22</v>
      </c>
      <c r="L825" s="56">
        <f>IFERROR(__xludf.DUMMYFUNCTION("""COMPUTED_VALUE"""),0.3888888888888889)</f>
        <v>0.3888888889</v>
      </c>
      <c r="M825" s="56">
        <f>IFERROR(__xludf.DUMMYFUNCTION("""COMPUTED_VALUE"""),0.2676056338028169)</f>
        <v>0.2676056338</v>
      </c>
      <c r="N825" s="31">
        <f>IFERROR(__xludf.DUMMYFUNCTION("""COMPUTED_VALUE"""),308.6111111111111)</f>
        <v>308.6111111</v>
      </c>
      <c r="O825" s="57">
        <f>IFERROR(__xludf.DUMMYFUNCTION("""COMPUTED_VALUE"""),0.5277777777777778)</f>
        <v>0.5277777778</v>
      </c>
      <c r="P825" s="57">
        <f>IFERROR(__xludf.DUMMYFUNCTION("""COMPUTED_VALUE"""),0.2777777777777778)</f>
        <v>0.2777777778</v>
      </c>
      <c r="Q825" s="57">
        <f>IFERROR(__xludf.DUMMYFUNCTION("""COMPUTED_VALUE"""),1.5555555555555556)</f>
        <v>1.555555556</v>
      </c>
      <c r="R825" s="57">
        <f>IFERROR(__xludf.DUMMYFUNCTION("""COMPUTED_VALUE"""),1.9722222222222223)</f>
        <v>1.972222222</v>
      </c>
      <c r="S825" s="31">
        <f>IFERROR(__xludf.DUMMYFUNCTION("""COMPUTED_VALUE"""),349.324074074074)</f>
        <v>349.3240741</v>
      </c>
      <c r="T825" s="57">
        <f>IFERROR(__xludf.DUMMYFUNCTION("""COMPUTED_VALUE"""),0.7592592592592594)</f>
        <v>0.7592592593</v>
      </c>
      <c r="U825" s="57">
        <f>IFERROR(__xludf.DUMMYFUNCTION("""COMPUTED_VALUE"""),0.537037037037037)</f>
        <v>0.537037037</v>
      </c>
      <c r="V825" s="57">
        <f>IFERROR(__xludf.DUMMYFUNCTION("""COMPUTED_VALUE"""),1.4166666666666665)</f>
        <v>1.416666667</v>
      </c>
      <c r="W825" s="57">
        <f>IFERROR(__xludf.DUMMYFUNCTION("""COMPUTED_VALUE"""),2.7129629629629637)</f>
        <v>2.712962963</v>
      </c>
      <c r="X825" s="31">
        <f>IFERROR(__xludf.DUMMYFUNCTION("""COMPUTED_VALUE"""),338.0814465497977)</f>
        <v>338.0814465</v>
      </c>
      <c r="Y825" s="57">
        <f>IFERROR(__xludf.DUMMYFUNCTION("""COMPUTED_VALUE"""),0.7102969867242348)</f>
        <v>0.7102969867</v>
      </c>
      <c r="Z825" s="57">
        <f>IFERROR(__xludf.DUMMYFUNCTION("""COMPUTED_VALUE"""),0.547005816303956)</f>
        <v>0.5470058163</v>
      </c>
      <c r="AA825" s="57">
        <f>IFERROR(__xludf.DUMMYFUNCTION("""COMPUTED_VALUE"""),1.2917926042256005)</f>
        <v>1.291792604</v>
      </c>
      <c r="AB825" s="57">
        <f>IFERROR(__xludf.DUMMYFUNCTION("""COMPUTED_VALUE"""),2.58639410996994)</f>
        <v>2.58639411</v>
      </c>
      <c r="AC825" s="31">
        <f>IFERROR(__xludf.DUMMYFUNCTION("""COMPUTED_VALUE"""),348.2561267932117)</f>
        <v>348.2561268</v>
      </c>
      <c r="AD825" s="57">
        <f>IFERROR(__xludf.DUMMYFUNCTION("""COMPUTED_VALUE"""),0.7429287373390756)</f>
        <v>0.7429287373</v>
      </c>
      <c r="AE825" s="57">
        <f>IFERROR(__xludf.DUMMYFUNCTION("""COMPUTED_VALUE"""),0.5547285605429182)</f>
        <v>0.5547285605</v>
      </c>
      <c r="AF825" s="57">
        <f>IFERROR(__xludf.DUMMYFUNCTION("""COMPUTED_VALUE"""),1.3721900717081992)</f>
        <v>1.372190072</v>
      </c>
      <c r="AG825" s="57">
        <f>IFERROR(__xludf.DUMMYFUNCTION("""COMPUTED_VALUE"""),2.521510569583101)</f>
        <v>2.52151057</v>
      </c>
      <c r="AH825" s="57">
        <f>IFERROR(__xludf.DUMMYFUNCTION("""COMPUTED_VALUE"""),0.8861613260126759)</f>
        <v>0.886161326</v>
      </c>
      <c r="AI825" s="57">
        <f>IFERROR(__xludf.DUMMYFUNCTION("""COMPUTED_VALUE"""),0.7104016189602556)</f>
        <v>0.710401619</v>
      </c>
      <c r="AJ825" s="57">
        <f>IFERROR(__xludf.DUMMYFUNCTION("""COMPUTED_VALUE"""),0.5007454051147358)</f>
        <v>0.5007454051</v>
      </c>
      <c r="AK825" s="57">
        <f>IFERROR(__xludf.DUMMYFUNCTION("""COMPUTED_VALUE"""),1.1336297992734272)</f>
        <v>1.133629799</v>
      </c>
      <c r="AL825" s="57">
        <f>IFERROR(__xludf.DUMMYFUNCTION("""COMPUTED_VALUE"""),0.7821590145260837)</f>
        <v>0.7821590145</v>
      </c>
      <c r="AM825" s="57">
        <f>IFERROR(__xludf.DUMMYFUNCTION("""COMPUTED_VALUE"""),1.033254198474983)</f>
        <v>1.033254198</v>
      </c>
      <c r="AN825" s="57">
        <f>IFERROR(__xludf.DUMMYFUNCTION("""COMPUTED_VALUE"""),1.068932113538634)</f>
        <v>1.068932114</v>
      </c>
      <c r="AO825" s="57">
        <f>IFERROR(__xludf.DUMMYFUNCTION("""COMPUTED_VALUE"""),0.9817757344258665)</f>
        <v>0.9817757344</v>
      </c>
      <c r="AP825" s="35">
        <f>IFERROR(__xludf.DUMMYFUNCTION("""COMPUTED_VALUE"""),1.0966672684396774)</f>
        <v>1.096667268</v>
      </c>
      <c r="AQ825" s="57">
        <f>IFERROR(__xludf.DUMMYFUNCTION("""COMPUTED_VALUE"""),1.0489364140233426)</f>
        <v>1.048936414</v>
      </c>
      <c r="AR825" s="36" t="b">
        <f>IFERROR(__xludf.DUMMYFUNCTION("""COMPUTED_VALUE"""),TRUE)</f>
        <v>1</v>
      </c>
      <c r="AS825" s="57"/>
      <c r="AT825" s="37"/>
      <c r="AU825" s="30"/>
      <c r="AV825" s="30"/>
      <c r="AW825" s="30"/>
      <c r="AX825" s="30"/>
      <c r="AY825" s="30"/>
      <c r="AZ825" s="30"/>
    </row>
    <row r="826">
      <c r="A826" s="30" t="str">
        <f>IFERROR(__xludf.DUMMYFUNCTION("""COMPUTED_VALUE"""),"Veteran")</f>
        <v>Veteran</v>
      </c>
      <c r="B826" s="30" t="str">
        <f>IFERROR(__xludf.DUMMYFUNCTION("""COMPUTED_VALUE"""),"RSC003250")</f>
        <v>RSC003250</v>
      </c>
      <c r="C826" s="30" t="str">
        <f>IFERROR(__xludf.DUMMYFUNCTION("""COMPUTED_VALUE"""),"Chefty")</f>
        <v>Chefty</v>
      </c>
      <c r="D826" s="31" t="str">
        <f>IFERROR(__xludf.DUMMYFUNCTION("""COMPUTED_VALUE"""),"Werewolves")</f>
        <v>Werewolves</v>
      </c>
      <c r="E826" s="31">
        <f>IFERROR(__xludf.DUMMYFUNCTION("""COMPUTED_VALUE"""),20.156237863190302)</f>
        <v>20.15623786</v>
      </c>
      <c r="F826" s="31">
        <f>IFERROR(__xludf.DUMMYFUNCTION("""COMPUTED_VALUE"""),-8.599354894777191)</f>
        <v>-8.599354895</v>
      </c>
      <c r="G826" s="31">
        <f>IFERROR(__xludf.DUMMYFUNCTION("""COMPUTED_VALUE"""),19.925779904097602)</f>
        <v>19.9257799</v>
      </c>
      <c r="H826" s="31">
        <f>IFERROR(__xludf.DUMMYFUNCTION("""COMPUTED_VALUE"""),-8.734067149094713)</f>
        <v>-8.734067149</v>
      </c>
      <c r="I826" s="54">
        <f>IFERROR(__xludf.DUMMYFUNCTION("""COMPUTED_VALUE"""),35.0)</f>
        <v>35</v>
      </c>
      <c r="J826" s="55">
        <f>IFERROR(__xludf.DUMMYFUNCTION("""COMPUTED_VALUE"""),14.0)</f>
        <v>14</v>
      </c>
      <c r="K826" s="54">
        <f>IFERROR(__xludf.DUMMYFUNCTION("""COMPUTED_VALUE"""),21.0)</f>
        <v>21</v>
      </c>
      <c r="L826" s="56">
        <f>IFERROR(__xludf.DUMMYFUNCTION("""COMPUTED_VALUE"""),0.4)</f>
        <v>0.4</v>
      </c>
      <c r="M826" s="56">
        <f>IFERROR(__xludf.DUMMYFUNCTION("""COMPUTED_VALUE"""),0.21333333333333332)</f>
        <v>0.2133333333</v>
      </c>
      <c r="N826" s="31">
        <f>IFERROR(__xludf.DUMMYFUNCTION("""COMPUTED_VALUE"""),311.6857142857143)</f>
        <v>311.6857143</v>
      </c>
      <c r="O826" s="57">
        <f>IFERROR(__xludf.DUMMYFUNCTION("""COMPUTED_VALUE"""),0.45714285714285713)</f>
        <v>0.4571428571</v>
      </c>
      <c r="P826" s="57">
        <f>IFERROR(__xludf.DUMMYFUNCTION("""COMPUTED_VALUE"""),0.45714285714285713)</f>
        <v>0.4571428571</v>
      </c>
      <c r="Q826" s="57">
        <f>IFERROR(__xludf.DUMMYFUNCTION("""COMPUTED_VALUE"""),1.4285714285714286)</f>
        <v>1.428571429</v>
      </c>
      <c r="R826" s="57">
        <f>IFERROR(__xludf.DUMMYFUNCTION("""COMPUTED_VALUE"""),2.142857142857143)</f>
        <v>2.142857143</v>
      </c>
      <c r="S826" s="31">
        <f>IFERROR(__xludf.DUMMYFUNCTION("""COMPUTED_VALUE"""),408.48571428571427)</f>
        <v>408.4857143</v>
      </c>
      <c r="T826" s="57">
        <f>IFERROR(__xludf.DUMMYFUNCTION("""COMPUTED_VALUE"""),1.076190476190476)</f>
        <v>1.076190476</v>
      </c>
      <c r="U826" s="57">
        <f>IFERROR(__xludf.DUMMYFUNCTION("""COMPUTED_VALUE"""),0.7523809523809526)</f>
        <v>0.7523809524</v>
      </c>
      <c r="V826" s="57">
        <f>IFERROR(__xludf.DUMMYFUNCTION("""COMPUTED_VALUE"""),1.5142857142857142)</f>
        <v>1.514285714</v>
      </c>
      <c r="W826" s="57">
        <f>IFERROR(__xludf.DUMMYFUNCTION("""COMPUTED_VALUE"""),2.9619047619047616)</f>
        <v>2.961904762</v>
      </c>
      <c r="X826" s="31">
        <f>IFERROR(__xludf.DUMMYFUNCTION("""COMPUTED_VALUE"""),359.832687294449)</f>
        <v>359.8326873</v>
      </c>
      <c r="Y826" s="57">
        <f>IFERROR(__xludf.DUMMYFUNCTION("""COMPUTED_VALUE"""),0.845946079563581)</f>
        <v>0.8459460796</v>
      </c>
      <c r="Z826" s="57">
        <f>IFERROR(__xludf.DUMMYFUNCTION("""COMPUTED_VALUE"""),0.6167511407271584)</f>
        <v>0.6167511407</v>
      </c>
      <c r="AA826" s="57">
        <f>IFERROR(__xludf.DUMMYFUNCTION("""COMPUTED_VALUE"""),1.344673342994926)</f>
        <v>1.344673343</v>
      </c>
      <c r="AB826" s="57">
        <f>IFERROR(__xludf.DUMMYFUNCTION("""COMPUTED_VALUE"""),2.692064063061275)</f>
        <v>2.692064063</v>
      </c>
      <c r="AC826" s="31">
        <f>IFERROR(__xludf.DUMMYFUNCTION("""COMPUTED_VALUE"""),358.66895896545947)</f>
        <v>358.668959</v>
      </c>
      <c r="AD826" s="57">
        <f>IFERROR(__xludf.DUMMYFUNCTION("""COMPUTED_VALUE"""),0.8158345309721087)</f>
        <v>0.815834531</v>
      </c>
      <c r="AE826" s="57">
        <f>IFERROR(__xludf.DUMMYFUNCTION("""COMPUTED_VALUE"""),0.5911452142939682)</f>
        <v>0.5911452143</v>
      </c>
      <c r="AF826" s="57">
        <f>IFERROR(__xludf.DUMMYFUNCTION("""COMPUTED_VALUE"""),1.3639608119121112)</f>
        <v>1.363960812</v>
      </c>
      <c r="AG826" s="57">
        <f>IFERROR(__xludf.DUMMYFUNCTION("""COMPUTED_VALUE"""),2.6270347740601534)</f>
        <v>2.627034774</v>
      </c>
      <c r="AH826" s="57">
        <f>IFERROR(__xludf.DUMMYFUNCTION("""COMPUTED_VALUE"""),0.8690066605840018)</f>
        <v>0.8690066606</v>
      </c>
      <c r="AI826" s="57">
        <f>IFERROR(__xludf.DUMMYFUNCTION("""COMPUTED_VALUE"""),0.5603377152939922)</f>
        <v>0.5603377153</v>
      </c>
      <c r="AJ826" s="57">
        <f>IFERROR(__xludf.DUMMYFUNCTION("""COMPUTED_VALUE"""),0.7733173610968733)</f>
        <v>0.7733173611</v>
      </c>
      <c r="AK826" s="57">
        <f>IFERROR(__xludf.DUMMYFUNCTION("""COMPUTED_VALUE"""),1.0473698482354057)</f>
        <v>1.047369848</v>
      </c>
      <c r="AL826" s="57">
        <f>IFERROR(__xludf.DUMMYFUNCTION("""COMPUTED_VALUE"""),0.8156942435692616)</f>
        <v>0.8156942436</v>
      </c>
      <c r="AM826" s="57">
        <f>IFERROR(__xludf.DUMMYFUNCTION("""COMPUTED_VALUE"""),1.135210137125349)</f>
        <v>1.135210137</v>
      </c>
      <c r="AN826" s="57">
        <f>IFERROR(__xludf.DUMMYFUNCTION("""COMPUTED_VALUE"""),1.2721738443964143)</f>
        <v>1.272173844</v>
      </c>
      <c r="AO826" s="57">
        <f>IFERROR(__xludf.DUMMYFUNCTION("""COMPUTED_VALUE"""),1.2199101107358872)</f>
        <v>1.219910111</v>
      </c>
      <c r="AP826" s="35">
        <f>IFERROR(__xludf.DUMMYFUNCTION("""COMPUTED_VALUE"""),1.1261364867344055)</f>
        <v>1.126136487</v>
      </c>
      <c r="AQ826" s="57">
        <f>IFERROR(__xludf.DUMMYFUNCTION("""COMPUTED_VALUE"""),1.1002356156920863)</f>
        <v>1.100235616</v>
      </c>
      <c r="AR826" s="36" t="b">
        <f>IFERROR(__xludf.DUMMYFUNCTION("""COMPUTED_VALUE"""),TRUE)</f>
        <v>1</v>
      </c>
      <c r="AS826" s="57"/>
      <c r="AT826" s="37"/>
      <c r="AU826" s="30"/>
      <c r="AV826" s="30"/>
      <c r="AW826" s="30"/>
      <c r="AX826" s="30"/>
      <c r="AY826" s="30"/>
      <c r="AZ826" s="30"/>
    </row>
    <row r="827">
      <c r="A827" s="30" t="str">
        <f>IFERROR(__xludf.DUMMYFUNCTION("""COMPUTED_VALUE"""),"Veteran")</f>
        <v>Veteran</v>
      </c>
      <c r="B827" s="30" t="str">
        <f>IFERROR(__xludf.DUMMYFUNCTION("""COMPUTED_VALUE"""),"RSC003104")</f>
        <v>RSC003104</v>
      </c>
      <c r="C827" s="30" t="str">
        <f>IFERROR(__xludf.DUMMYFUNCTION("""COMPUTED_VALUE"""),"nizz")</f>
        <v>nizz</v>
      </c>
      <c r="D827" s="31" t="str">
        <f>IFERROR(__xludf.DUMMYFUNCTION("""COMPUTED_VALUE"""),"Folks")</f>
        <v>Folks</v>
      </c>
      <c r="E827" s="31">
        <f>IFERROR(__xludf.DUMMYFUNCTION("""COMPUTED_VALUE"""),19.801105825038757)</f>
        <v>19.80110583</v>
      </c>
      <c r="F827" s="31">
        <f>IFERROR(__xludf.DUMMYFUNCTION("""COMPUTED_VALUE"""),-8.808078604369408)</f>
        <v>-8.808078604</v>
      </c>
      <c r="G827" s="31">
        <f>IFERROR(__xludf.DUMMYFUNCTION("""COMPUTED_VALUE"""),23.245933487325697)</f>
        <v>23.24593349</v>
      </c>
      <c r="H827" s="31">
        <f>IFERROR(__xludf.DUMMYFUNCTION("""COMPUTED_VALUE"""),-7.028738090410817)</f>
        <v>-7.02873809</v>
      </c>
      <c r="I827" s="54">
        <f>IFERROR(__xludf.DUMMYFUNCTION("""COMPUTED_VALUE"""),21.0)</f>
        <v>21</v>
      </c>
      <c r="J827" s="55">
        <f>IFERROR(__xludf.DUMMYFUNCTION("""COMPUTED_VALUE"""),8.0)</f>
        <v>8</v>
      </c>
      <c r="K827" s="54">
        <f>IFERROR(__xludf.DUMMYFUNCTION("""COMPUTED_VALUE"""),13.0)</f>
        <v>13</v>
      </c>
      <c r="L827" s="56">
        <f>IFERROR(__xludf.DUMMYFUNCTION("""COMPUTED_VALUE"""),0.38095238095238093)</f>
        <v>0.380952381</v>
      </c>
      <c r="M827" s="56">
        <f>IFERROR(__xludf.DUMMYFUNCTION("""COMPUTED_VALUE"""),0.21276595744680848)</f>
        <v>0.2127659574</v>
      </c>
      <c r="N827" s="31">
        <f>IFERROR(__xludf.DUMMYFUNCTION("""COMPUTED_VALUE"""),268.6666666666667)</f>
        <v>268.6666667</v>
      </c>
      <c r="O827" s="57">
        <f>IFERROR(__xludf.DUMMYFUNCTION("""COMPUTED_VALUE"""),0.47619047619047616)</f>
        <v>0.4761904762</v>
      </c>
      <c r="P827" s="57">
        <f>IFERROR(__xludf.DUMMYFUNCTION("""COMPUTED_VALUE"""),0.3333333333333333)</f>
        <v>0.3333333333</v>
      </c>
      <c r="Q827" s="57">
        <f>IFERROR(__xludf.DUMMYFUNCTION("""COMPUTED_VALUE"""),1.3333333333333333)</f>
        <v>1.333333333</v>
      </c>
      <c r="R827" s="57">
        <f>IFERROR(__xludf.DUMMYFUNCTION("""COMPUTED_VALUE"""),2.238095238095238)</f>
        <v>2.238095238</v>
      </c>
      <c r="S827" s="31">
        <f>IFERROR(__xludf.DUMMYFUNCTION("""COMPUTED_VALUE"""),345.99999999999994)</f>
        <v>346</v>
      </c>
      <c r="T827" s="57">
        <f>IFERROR(__xludf.DUMMYFUNCTION("""COMPUTED_VALUE"""),0.7936507936507937)</f>
        <v>0.7936507937</v>
      </c>
      <c r="U827" s="57">
        <f>IFERROR(__xludf.DUMMYFUNCTION("""COMPUTED_VALUE"""),0.6507936507936508)</f>
        <v>0.6507936508</v>
      </c>
      <c r="V827" s="57">
        <f>IFERROR(__xludf.DUMMYFUNCTION("""COMPUTED_VALUE"""),1.2539682539682542)</f>
        <v>1.253968254</v>
      </c>
      <c r="W827" s="57">
        <f>IFERROR(__xludf.DUMMYFUNCTION("""COMPUTED_VALUE"""),2.619047619047619)</f>
        <v>2.619047619</v>
      </c>
      <c r="X827" s="31">
        <f>IFERROR(__xludf.DUMMYFUNCTION("""COMPUTED_VALUE"""),357.925945230267)</f>
        <v>357.9259452</v>
      </c>
      <c r="Y827" s="57">
        <f>IFERROR(__xludf.DUMMYFUNCTION("""COMPUTED_VALUE"""),0.7811882103017913)</f>
        <v>0.7811882103</v>
      </c>
      <c r="Z827" s="57">
        <f>IFERROR(__xludf.DUMMYFUNCTION("""COMPUTED_VALUE"""),0.6162889306382724)</f>
        <v>0.6162889306</v>
      </c>
      <c r="AA827" s="57">
        <f>IFERROR(__xludf.DUMMYFUNCTION("""COMPUTED_VALUE"""),1.3584748018620492)</f>
        <v>1.358474802</v>
      </c>
      <c r="AB827" s="57">
        <f>IFERROR(__xludf.DUMMYFUNCTION("""COMPUTED_VALUE"""),2.6641469588952345)</f>
        <v>2.664146959</v>
      </c>
      <c r="AC827" s="31">
        <f>IFERROR(__xludf.DUMMYFUNCTION("""COMPUTED_VALUE"""),349.8182511716314)</f>
        <v>349.8182512</v>
      </c>
      <c r="AD827" s="57">
        <f>IFERROR(__xludf.DUMMYFUNCTION("""COMPUTED_VALUE"""),0.7647567700757614)</f>
        <v>0.7647567701</v>
      </c>
      <c r="AE827" s="57">
        <f>IFERROR(__xludf.DUMMYFUNCTION("""COMPUTED_VALUE"""),0.5590321287150196)</f>
        <v>0.5590321287</v>
      </c>
      <c r="AF827" s="57">
        <f>IFERROR(__xludf.DUMMYFUNCTION("""COMPUTED_VALUE"""),1.364319998960271)</f>
        <v>1.364319999</v>
      </c>
      <c r="AG827" s="57">
        <f>IFERROR(__xludf.DUMMYFUNCTION("""COMPUTED_VALUE"""),2.592598323919795)</f>
        <v>2.592598324</v>
      </c>
      <c r="AH827" s="57">
        <f>IFERROR(__xludf.DUMMYFUNCTION("""COMPUTED_VALUE"""),0.7680178657540961)</f>
        <v>0.7680178658</v>
      </c>
      <c r="AI827" s="57">
        <f>IFERROR(__xludf.DUMMYFUNCTION("""COMPUTED_VALUE"""),0.6226691868884036)</f>
        <v>0.6226691869</v>
      </c>
      <c r="AJ827" s="57">
        <f>IFERROR(__xludf.DUMMYFUNCTION("""COMPUTED_VALUE"""),0.5962686511409047)</f>
        <v>0.5962686511</v>
      </c>
      <c r="AK827" s="57">
        <f>IFERROR(__xludf.DUMMYFUNCTION("""COMPUTED_VALUE"""),0.977287831556708)</f>
        <v>0.9772878316</v>
      </c>
      <c r="AL827" s="57">
        <f>IFERROR(__xludf.DUMMYFUNCTION("""COMPUTED_VALUE"""),0.863263397745094)</f>
        <v>0.8632633977</v>
      </c>
      <c r="AM827" s="57">
        <f>IFERROR(__xludf.DUMMYFUNCTION("""COMPUTED_VALUE"""),0.9666804114393142)</f>
        <v>0.9666804114</v>
      </c>
      <c r="AN827" s="57">
        <f>IFERROR(__xludf.DUMMYFUNCTION("""COMPUTED_VALUE"""),1.0159533684516153)</f>
        <v>1.015953368</v>
      </c>
      <c r="AO827" s="57">
        <f>IFERROR(__xludf.DUMMYFUNCTION("""COMPUTED_VALUE"""),1.0559878953523356)</f>
        <v>1.055987895</v>
      </c>
      <c r="AP827" s="35">
        <f>IFERROR(__xludf.DUMMYFUNCTION("""COMPUTED_VALUE"""),0.9230706762094161)</f>
        <v>0.9230706762</v>
      </c>
      <c r="AQ827" s="57">
        <f>IFERROR(__xludf.DUMMYFUNCTION("""COMPUTED_VALUE"""),0.9830717522180844)</f>
        <v>0.9830717522</v>
      </c>
      <c r="AR827" s="36" t="b">
        <f>IFERROR(__xludf.DUMMYFUNCTION("""COMPUTED_VALUE"""),TRUE)</f>
        <v>1</v>
      </c>
      <c r="AS827" s="57"/>
      <c r="AT827" s="37"/>
      <c r="AU827" s="30"/>
      <c r="AV827" s="30"/>
      <c r="AW827" s="30"/>
      <c r="AX827" s="30"/>
      <c r="AY827" s="30"/>
      <c r="AZ827" s="30"/>
    </row>
    <row r="828">
      <c r="A828" s="30" t="str">
        <f>IFERROR(__xludf.DUMMYFUNCTION("""COMPUTED_VALUE"""),"Veteran")</f>
        <v>Veteran</v>
      </c>
      <c r="B828" s="30" t="str">
        <f>IFERROR(__xludf.DUMMYFUNCTION("""COMPUTED_VALUE"""),"RSC007720")</f>
        <v>RSC007720</v>
      </c>
      <c r="C828" s="30" t="str">
        <f>IFERROR(__xludf.DUMMYFUNCTION("""COMPUTED_VALUE"""),"trock")</f>
        <v>trock</v>
      </c>
      <c r="D828" s="31"/>
      <c r="E828" s="31">
        <f>IFERROR(__xludf.DUMMYFUNCTION("""COMPUTED_VALUE"""),17.70841710594526)</f>
        <v>17.70841711</v>
      </c>
      <c r="F828" s="31">
        <f>IFERROR(__xludf.DUMMYFUNCTION("""COMPUTED_VALUE"""),-10.179476032192257)</f>
        <v>-10.17947603</v>
      </c>
      <c r="G828" s="31">
        <f>IFERROR(__xludf.DUMMYFUNCTION("""COMPUTED_VALUE"""),15.661950088523213)</f>
        <v>15.66195009</v>
      </c>
      <c r="H828" s="31">
        <f>IFERROR(__xludf.DUMMYFUNCTION("""COMPUTED_VALUE"""),-11.793139292913585)</f>
        <v>-11.79313929</v>
      </c>
      <c r="I828" s="54">
        <f>IFERROR(__xludf.DUMMYFUNCTION("""COMPUTED_VALUE"""),4.0)</f>
        <v>4</v>
      </c>
      <c r="J828" s="55">
        <f>IFERROR(__xludf.DUMMYFUNCTION("""COMPUTED_VALUE"""),2.0)</f>
        <v>2</v>
      </c>
      <c r="K828" s="54">
        <f>IFERROR(__xludf.DUMMYFUNCTION("""COMPUTED_VALUE"""),2.0)</f>
        <v>2</v>
      </c>
      <c r="L828" s="56">
        <f>IFERROR(__xludf.DUMMYFUNCTION("""COMPUTED_VALUE"""),0.5)</f>
        <v>0.5</v>
      </c>
      <c r="M828" s="56">
        <f>IFERROR(__xludf.DUMMYFUNCTION("""COMPUTED_VALUE"""),0.16666666666666666)</f>
        <v>0.1666666667</v>
      </c>
      <c r="N828" s="31">
        <f>IFERROR(__xludf.DUMMYFUNCTION("""COMPUTED_VALUE"""),255.5)</f>
        <v>255.5</v>
      </c>
      <c r="O828" s="57">
        <f>IFERROR(__xludf.DUMMYFUNCTION("""COMPUTED_VALUE"""),0.25)</f>
        <v>0.25</v>
      </c>
      <c r="P828" s="57">
        <f>IFERROR(__xludf.DUMMYFUNCTION("""COMPUTED_VALUE"""),0.5)</f>
        <v>0.5</v>
      </c>
      <c r="Q828" s="57">
        <f>IFERROR(__xludf.DUMMYFUNCTION("""COMPUTED_VALUE"""),1.5)</f>
        <v>1.5</v>
      </c>
      <c r="R828" s="57">
        <f>IFERROR(__xludf.DUMMYFUNCTION("""COMPUTED_VALUE"""),1.5)</f>
        <v>1.5</v>
      </c>
      <c r="S828" s="31">
        <f>IFERROR(__xludf.DUMMYFUNCTION("""COMPUTED_VALUE"""),400.8333333333333)</f>
        <v>400.8333333</v>
      </c>
      <c r="T828" s="57">
        <f>IFERROR(__xludf.DUMMYFUNCTION("""COMPUTED_VALUE"""),0.9166666666666666)</f>
        <v>0.9166666667</v>
      </c>
      <c r="U828" s="57">
        <f>IFERROR(__xludf.DUMMYFUNCTION("""COMPUTED_VALUE"""),0.7499999999999999)</f>
        <v>0.75</v>
      </c>
      <c r="V828" s="57">
        <f>IFERROR(__xludf.DUMMYFUNCTION("""COMPUTED_VALUE"""),1.4166666666666667)</f>
        <v>1.416666667</v>
      </c>
      <c r="W828" s="57">
        <f>IFERROR(__xludf.DUMMYFUNCTION("""COMPUTED_VALUE"""),2.416666666666667)</f>
        <v>2.416666667</v>
      </c>
      <c r="X828" s="31">
        <f>IFERROR(__xludf.DUMMYFUNCTION("""COMPUTED_VALUE"""),390.19444444444446)</f>
        <v>390.1944444</v>
      </c>
      <c r="Y828" s="57">
        <f>IFERROR(__xludf.DUMMYFUNCTION("""COMPUTED_VALUE"""),0.9444444444444443)</f>
        <v>0.9444444444</v>
      </c>
      <c r="Z828" s="57">
        <f>IFERROR(__xludf.DUMMYFUNCTION("""COMPUTED_VALUE"""),0.7592592592592592)</f>
        <v>0.7592592593</v>
      </c>
      <c r="AA828" s="57">
        <f>IFERROR(__xludf.DUMMYFUNCTION("""COMPUTED_VALUE"""),1.3518518518518519)</f>
        <v>1.351851852</v>
      </c>
      <c r="AB828" s="57">
        <f>IFERROR(__xludf.DUMMYFUNCTION("""COMPUTED_VALUE"""),3.074074074074074)</f>
        <v>3.074074074</v>
      </c>
      <c r="AC828" s="31">
        <f>IFERROR(__xludf.DUMMYFUNCTION("""COMPUTED_VALUE"""),334.34259259259255)</f>
        <v>334.3425926</v>
      </c>
      <c r="AD828" s="57">
        <f>IFERROR(__xludf.DUMMYFUNCTION("""COMPUTED_VALUE"""),0.6574074074074074)</f>
        <v>0.6574074074</v>
      </c>
      <c r="AE828" s="57">
        <f>IFERROR(__xludf.DUMMYFUNCTION("""COMPUTED_VALUE"""),0.46296296296296297)</f>
        <v>0.462962963</v>
      </c>
      <c r="AF828" s="57">
        <f>IFERROR(__xludf.DUMMYFUNCTION("""COMPUTED_VALUE"""),1.5092592592592589)</f>
        <v>1.509259259</v>
      </c>
      <c r="AG828" s="57">
        <f>IFERROR(__xludf.DUMMYFUNCTION("""COMPUTED_VALUE"""),2.314814814814815)</f>
        <v>2.314814815</v>
      </c>
      <c r="AH828" s="57">
        <f>IFERROR(__xludf.DUMMYFUNCTION("""COMPUTED_VALUE"""),0.7641862139632779)</f>
        <v>0.764186214</v>
      </c>
      <c r="AI828" s="57">
        <f>IFERROR(__xludf.DUMMYFUNCTION("""COMPUTED_VALUE"""),0.38028169014084506)</f>
        <v>0.3802816901</v>
      </c>
      <c r="AJ828" s="57">
        <f>IFERROR(__xludf.DUMMYFUNCTION("""COMPUTED_VALUE"""),1.08)</f>
        <v>1.08</v>
      </c>
      <c r="AK828" s="57">
        <f>IFERROR(__xludf.DUMMYFUNCTION("""COMPUTED_VALUE"""),0.9938650306748469)</f>
        <v>0.9938650307</v>
      </c>
      <c r="AL828" s="57">
        <f>IFERROR(__xludf.DUMMYFUNCTION("""COMPUTED_VALUE"""),0.648)</f>
        <v>0.648</v>
      </c>
      <c r="AM828" s="57">
        <f>IFERROR(__xludf.DUMMYFUNCTION("""COMPUTED_VALUE"""),1.0272656083149425)</f>
        <v>1.027265608</v>
      </c>
      <c r="AN828" s="57">
        <f>IFERROR(__xludf.DUMMYFUNCTION("""COMPUTED_VALUE"""),0.9705882352941178)</f>
        <v>0.9705882353</v>
      </c>
      <c r="AO828" s="57">
        <f>IFERROR(__xludf.DUMMYFUNCTION("""COMPUTED_VALUE"""),0.9878048780487805)</f>
        <v>0.987804878</v>
      </c>
      <c r="AP828" s="35">
        <f>IFERROR(__xludf.DUMMYFUNCTION("""COMPUTED_VALUE"""),1.047945205479452)</f>
        <v>1.047945205</v>
      </c>
      <c r="AQ828" s="57">
        <f>IFERROR(__xludf.DUMMYFUNCTION("""COMPUTED_VALUE"""),0.7861445783132531)</f>
        <v>0.7861445783</v>
      </c>
      <c r="AR828" s="36" t="b">
        <f>IFERROR(__xludf.DUMMYFUNCTION("""COMPUTED_VALUE"""),TRUE)</f>
        <v>1</v>
      </c>
      <c r="AS828" s="57"/>
      <c r="AT828" s="37"/>
      <c r="AU828" s="30"/>
      <c r="AV828" s="30"/>
      <c r="AW828" s="30"/>
      <c r="AX828" s="30"/>
      <c r="AY828" s="30"/>
      <c r="AZ828" s="30"/>
    </row>
    <row r="829">
      <c r="A829" s="30" t="str">
        <f>IFERROR(__xludf.DUMMYFUNCTION("""COMPUTED_VALUE"""),"Veteran")</f>
        <v>Veteran</v>
      </c>
      <c r="B829" s="30" t="str">
        <f>IFERROR(__xludf.DUMMYFUNCTION("""COMPUTED_VALUE"""),"RSC008028")</f>
        <v>RSC008028</v>
      </c>
      <c r="C829" s="30" t="str">
        <f>IFERROR(__xludf.DUMMYFUNCTION("""COMPUTED_VALUE"""),"krozex.")</f>
        <v>krozex.</v>
      </c>
      <c r="D829" s="31"/>
      <c r="E829" s="31">
        <f>IFERROR(__xludf.DUMMYFUNCTION("""COMPUTED_VALUE"""),17.580828508024524)</f>
        <v>17.58082851</v>
      </c>
      <c r="F829" s="31">
        <f>IFERROR(__xludf.DUMMYFUNCTION("""COMPUTED_VALUE"""),-10.271611363429656)</f>
        <v>-10.27161136</v>
      </c>
      <c r="G829" s="31">
        <f>IFERROR(__xludf.DUMMYFUNCTION("""COMPUTED_VALUE"""),18.353155097720286)</f>
        <v>18.3531551</v>
      </c>
      <c r="H829" s="31">
        <f>IFERROR(__xludf.DUMMYFUNCTION("""COMPUTED_VALUE"""),-9.729601281653878)</f>
        <v>-9.729601282</v>
      </c>
      <c r="I829" s="54">
        <f>IFERROR(__xludf.DUMMYFUNCTION("""COMPUTED_VALUE"""),4.0)</f>
        <v>4</v>
      </c>
      <c r="J829" s="55">
        <f>IFERROR(__xludf.DUMMYFUNCTION("""COMPUTED_VALUE"""),2.0)</f>
        <v>2</v>
      </c>
      <c r="K829" s="54">
        <f>IFERROR(__xludf.DUMMYFUNCTION("""COMPUTED_VALUE"""),2.0)</f>
        <v>2</v>
      </c>
      <c r="L829" s="56">
        <f>IFERROR(__xludf.DUMMYFUNCTION("""COMPUTED_VALUE"""),0.5)</f>
        <v>0.5</v>
      </c>
      <c r="M829" s="56">
        <f>IFERROR(__xludf.DUMMYFUNCTION("""COMPUTED_VALUE"""),0.14285714285714285)</f>
        <v>0.1428571429</v>
      </c>
      <c r="N829" s="31">
        <f>IFERROR(__xludf.DUMMYFUNCTION("""COMPUTED_VALUE"""),274.75)</f>
        <v>274.75</v>
      </c>
      <c r="O829" s="57">
        <f>IFERROR(__xludf.DUMMYFUNCTION("""COMPUTED_VALUE"""),0.25)</f>
        <v>0.25</v>
      </c>
      <c r="P829" s="57">
        <f>IFERROR(__xludf.DUMMYFUNCTION("""COMPUTED_VALUE"""),0.5)</f>
        <v>0.5</v>
      </c>
      <c r="Q829" s="57">
        <f>IFERROR(__xludf.DUMMYFUNCTION("""COMPUTED_VALUE"""),1.0)</f>
        <v>1</v>
      </c>
      <c r="R829" s="57">
        <f>IFERROR(__xludf.DUMMYFUNCTION("""COMPUTED_VALUE"""),1.75)</f>
        <v>1.75</v>
      </c>
      <c r="S829" s="31">
        <f>IFERROR(__xludf.DUMMYFUNCTION("""COMPUTED_VALUE"""),352.6666666666667)</f>
        <v>352.6666667</v>
      </c>
      <c r="T829" s="57">
        <f>IFERROR(__xludf.DUMMYFUNCTION("""COMPUTED_VALUE"""),0.6666666666666666)</f>
        <v>0.6666666667</v>
      </c>
      <c r="U829" s="57">
        <f>IFERROR(__xludf.DUMMYFUNCTION("""COMPUTED_VALUE"""),0.49999999999999994)</f>
        <v>0.5</v>
      </c>
      <c r="V829" s="57">
        <f>IFERROR(__xludf.DUMMYFUNCTION("""COMPUTED_VALUE"""),1.666666666666667)</f>
        <v>1.666666667</v>
      </c>
      <c r="W829" s="57">
        <f>IFERROR(__xludf.DUMMYFUNCTION("""COMPUTED_VALUE"""),2.5)</f>
        <v>2.5</v>
      </c>
      <c r="X829" s="31">
        <f>IFERROR(__xludf.DUMMYFUNCTION("""COMPUTED_VALUE"""),345.00982216708024)</f>
        <v>345.0098222</v>
      </c>
      <c r="Y829" s="57">
        <f>IFERROR(__xludf.DUMMYFUNCTION("""COMPUTED_VALUE"""),0.7756151778329198)</f>
        <v>0.7756151778</v>
      </c>
      <c r="Z829" s="57">
        <f>IFERROR(__xludf.DUMMYFUNCTION("""COMPUTED_VALUE"""),0.5602770885028949)</f>
        <v>0.5602770885</v>
      </c>
      <c r="AA829" s="57">
        <f>IFERROR(__xludf.DUMMYFUNCTION("""COMPUTED_VALUE"""),1.4053453267162945)</f>
        <v>1.405345327</v>
      </c>
      <c r="AB829" s="57">
        <f>IFERROR(__xludf.DUMMYFUNCTION("""COMPUTED_VALUE"""),2.5627843258891647)</f>
        <v>2.562784326</v>
      </c>
      <c r="AC829" s="31">
        <f>IFERROR(__xludf.DUMMYFUNCTION("""COMPUTED_VALUE"""),342.3536669423766)</f>
        <v>342.3536669</v>
      </c>
      <c r="AD829" s="57">
        <f>IFERROR(__xludf.DUMMYFUNCTION("""COMPUTED_VALUE"""),0.7875137854976564)</f>
        <v>0.7875137855</v>
      </c>
      <c r="AE829" s="57">
        <f>IFERROR(__xludf.DUMMYFUNCTION("""COMPUTED_VALUE"""),0.5547715053763441)</f>
        <v>0.5547715054</v>
      </c>
      <c r="AF829" s="57">
        <f>IFERROR(__xludf.DUMMYFUNCTION("""COMPUTED_VALUE"""),1.2917959057071957)</f>
        <v>1.291795906</v>
      </c>
      <c r="AG829" s="57">
        <f>IFERROR(__xludf.DUMMYFUNCTION("""COMPUTED_VALUE"""),2.557571684587814)</f>
        <v>2.557571685</v>
      </c>
      <c r="AH829" s="57">
        <f>IFERROR(__xludf.DUMMYFUNCTION("""COMPUTED_VALUE"""),0.8025326629442665)</f>
        <v>0.8025326629</v>
      </c>
      <c r="AI829" s="57">
        <f>IFERROR(__xludf.DUMMYFUNCTION("""COMPUTED_VALUE"""),0.3174547602897092)</f>
        <v>0.3174547603</v>
      </c>
      <c r="AJ829" s="57">
        <f>IFERROR(__xludf.DUMMYFUNCTION("""COMPUTED_VALUE"""),0.9012719563900665)</f>
        <v>0.9012719564</v>
      </c>
      <c r="AK829" s="57">
        <f>IFERROR(__xludf.DUMMYFUNCTION("""COMPUTED_VALUE"""),0.7741160934029655)</f>
        <v>0.7741160934</v>
      </c>
      <c r="AL829" s="57">
        <f>IFERROR(__xludf.DUMMYFUNCTION("""COMPUTED_VALUE"""),0.6842427958307786)</f>
        <v>0.6842427958</v>
      </c>
      <c r="AM829" s="57">
        <f>IFERROR(__xludf.DUMMYFUNCTION("""COMPUTED_VALUE"""),1.0221931203334798)</f>
        <v>1.02219312</v>
      </c>
      <c r="AN829" s="57">
        <f>IFERROR(__xludf.DUMMYFUNCTION("""COMPUTED_VALUE"""),0.8595327756856733)</f>
        <v>0.8595327757</v>
      </c>
      <c r="AO829" s="57">
        <f>IFERROR(__xludf.DUMMYFUNCTION("""COMPUTED_VALUE"""),0.8924155748293042)</f>
        <v>0.8924155748</v>
      </c>
      <c r="AP829" s="35">
        <f>IFERROR(__xludf.DUMMYFUNCTION("""COMPUTED_VALUE"""),1.1859481331616701)</f>
        <v>1.185948133</v>
      </c>
      <c r="AQ829" s="57">
        <f>IFERROR(__xludf.DUMMYFUNCTION("""COMPUTED_VALUE"""),0.9755015179174777)</f>
        <v>0.9755015179</v>
      </c>
      <c r="AR829" s="36" t="b">
        <f>IFERROR(__xludf.DUMMYFUNCTION("""COMPUTED_VALUE"""),TRUE)</f>
        <v>1</v>
      </c>
      <c r="AS829" s="57"/>
      <c r="AT829" s="37"/>
      <c r="AU829" s="30"/>
      <c r="AV829" s="30"/>
      <c r="AW829" s="30"/>
      <c r="AX829" s="30"/>
      <c r="AY829" s="30"/>
      <c r="AZ829" s="30"/>
    </row>
    <row r="830">
      <c r="A830" s="30" t="str">
        <f>IFERROR(__xludf.DUMMYFUNCTION("""COMPUTED_VALUE"""),"Veteran")</f>
        <v>Veteran</v>
      </c>
      <c r="B830" s="30" t="str">
        <f>IFERROR(__xludf.DUMMYFUNCTION("""COMPUTED_VALUE"""),"RSC000290")</f>
        <v>RSC000290</v>
      </c>
      <c r="C830" s="30" t="str">
        <f>IFERROR(__xludf.DUMMYFUNCTION("""COMPUTED_VALUE"""),"JimJam")</f>
        <v>JimJam</v>
      </c>
      <c r="D830" s="31" t="str">
        <f>IFERROR(__xludf.DUMMYFUNCTION("""COMPUTED_VALUE"""),"Cannoli")</f>
        <v>Cannoli</v>
      </c>
      <c r="E830" s="31">
        <f>IFERROR(__xludf.DUMMYFUNCTION("""COMPUTED_VALUE"""),17.524805772180265)</f>
        <v>17.52480577</v>
      </c>
      <c r="F830" s="31">
        <f>IFERROR(__xludf.DUMMYFUNCTION("""COMPUTED_VALUE"""),-10.312400617925233)</f>
        <v>-10.31240062</v>
      </c>
      <c r="G830" s="31">
        <f>IFERROR(__xludf.DUMMYFUNCTION("""COMPUTED_VALUE"""),12.967463607917566)</f>
        <v>12.96746361</v>
      </c>
      <c r="H830" s="31">
        <f>IFERROR(__xludf.DUMMYFUNCTION("""COMPUTED_VALUE"""),-14.437695703219132)</f>
        <v>-14.4376957</v>
      </c>
      <c r="I830" s="54">
        <f>IFERROR(__xludf.DUMMYFUNCTION("""COMPUTED_VALUE"""),3.0)</f>
        <v>3</v>
      </c>
      <c r="J830" s="55">
        <f>IFERROR(__xludf.DUMMYFUNCTION("""COMPUTED_VALUE"""),0.0)</f>
        <v>0</v>
      </c>
      <c r="K830" s="54">
        <f>IFERROR(__xludf.DUMMYFUNCTION("""COMPUTED_VALUE"""),3.0)</f>
        <v>3</v>
      </c>
      <c r="L830" s="56">
        <f>IFERROR(__xludf.DUMMYFUNCTION("""COMPUTED_VALUE"""),0.0)</f>
        <v>0</v>
      </c>
      <c r="M830" s="56">
        <f>IFERROR(__xludf.DUMMYFUNCTION("""COMPUTED_VALUE"""),0.2857142857142857)</f>
        <v>0.2857142857</v>
      </c>
      <c r="N830" s="31">
        <f>IFERROR(__xludf.DUMMYFUNCTION("""COMPUTED_VALUE"""),292.0)</f>
        <v>292</v>
      </c>
      <c r="O830" s="57">
        <f>IFERROR(__xludf.DUMMYFUNCTION("""COMPUTED_VALUE"""),0.6666666666666666)</f>
        <v>0.6666666667</v>
      </c>
      <c r="P830" s="57">
        <f>IFERROR(__xludf.DUMMYFUNCTION("""COMPUTED_VALUE"""),0.0)</f>
        <v>0</v>
      </c>
      <c r="Q830" s="57">
        <f>IFERROR(__xludf.DUMMYFUNCTION("""COMPUTED_VALUE"""),1.3333333333333333)</f>
        <v>1.333333333</v>
      </c>
      <c r="R830" s="57">
        <f>IFERROR(__xludf.DUMMYFUNCTION("""COMPUTED_VALUE"""),2.3333333333333335)</f>
        <v>2.333333333</v>
      </c>
      <c r="S830" s="31">
        <f>IFERROR(__xludf.DUMMYFUNCTION("""COMPUTED_VALUE"""),361.6666666666667)</f>
        <v>361.6666667</v>
      </c>
      <c r="T830" s="57">
        <f>IFERROR(__xludf.DUMMYFUNCTION("""COMPUTED_VALUE"""),0.8888888888888888)</f>
        <v>0.8888888889</v>
      </c>
      <c r="U830" s="57">
        <f>IFERROR(__xludf.DUMMYFUNCTION("""COMPUTED_VALUE"""),0.2222222222222222)</f>
        <v>0.2222222222</v>
      </c>
      <c r="V830" s="57">
        <f>IFERROR(__xludf.DUMMYFUNCTION("""COMPUTED_VALUE"""),1.3333333333333333)</f>
        <v>1.333333333</v>
      </c>
      <c r="W830" s="57">
        <f>IFERROR(__xludf.DUMMYFUNCTION("""COMPUTED_VALUE"""),3.0)</f>
        <v>3</v>
      </c>
      <c r="X830" s="31">
        <f>IFERROR(__xludf.DUMMYFUNCTION("""COMPUTED_VALUE"""),357.57562921464887)</f>
        <v>357.5756292</v>
      </c>
      <c r="Y830" s="57">
        <f>IFERROR(__xludf.DUMMYFUNCTION("""COMPUTED_VALUE"""),0.8429873430853823)</f>
        <v>0.8429873431</v>
      </c>
      <c r="Z830" s="57">
        <f>IFERROR(__xludf.DUMMYFUNCTION("""COMPUTED_VALUE"""),0.5542239858906525)</f>
        <v>0.5542239859</v>
      </c>
      <c r="AA830" s="57">
        <f>IFERROR(__xludf.DUMMYFUNCTION("""COMPUTED_VALUE"""),1.34279593318809)</f>
        <v>1.342795933</v>
      </c>
      <c r="AB830" s="57">
        <f>IFERROR(__xludf.DUMMYFUNCTION("""COMPUTED_VALUE"""),2.5975801431683787)</f>
        <v>2.597580143</v>
      </c>
      <c r="AC830" s="31">
        <f>IFERROR(__xludf.DUMMYFUNCTION("""COMPUTED_VALUE"""),351.0552183836498)</f>
        <v>351.0552184</v>
      </c>
      <c r="AD830" s="57">
        <f>IFERROR(__xludf.DUMMYFUNCTION("""COMPUTED_VALUE"""),0.7572718470104091)</f>
        <v>0.757271847</v>
      </c>
      <c r="AE830" s="57">
        <f>IFERROR(__xludf.DUMMYFUNCTION("""COMPUTED_VALUE"""),0.6032209426980669)</f>
        <v>0.6032209427</v>
      </c>
      <c r="AF830" s="57">
        <f>IFERROR(__xludf.DUMMYFUNCTION("""COMPUTED_VALUE"""),1.3100888750561952)</f>
        <v>1.310088875</v>
      </c>
      <c r="AG830" s="57">
        <f>IFERROR(__xludf.DUMMYFUNCTION("""COMPUTED_VALUE"""),2.6918573849292806)</f>
        <v>2.691857385</v>
      </c>
      <c r="AH830" s="57">
        <f>IFERROR(__xludf.DUMMYFUNCTION("""COMPUTED_VALUE"""),0.831777978816109)</f>
        <v>0.8317779788</v>
      </c>
      <c r="AI830" s="57">
        <f>IFERROR(__xludf.DUMMYFUNCTION("""COMPUTED_VALUE"""),0.8803531641887421)</f>
        <v>0.8803531642</v>
      </c>
      <c r="AJ830" s="57">
        <f>IFERROR(__xludf.DUMMYFUNCTION("""COMPUTED_VALUE"""),0.0)</f>
        <v>0</v>
      </c>
      <c r="AK830" s="57">
        <f>IFERROR(__xludf.DUMMYFUNCTION("""COMPUTED_VALUE"""),1.017742657555306)</f>
        <v>1.017742658</v>
      </c>
      <c r="AL830" s="57">
        <f>IFERROR(__xludf.DUMMYFUNCTION("""COMPUTED_VALUE"""),0.8668116470050785)</f>
        <v>0.866811647</v>
      </c>
      <c r="AM830" s="57">
        <f>IFERROR(__xludf.DUMMYFUNCTION("""COMPUTED_VALUE"""),1.0114410410491426)</f>
        <v>1.011441041</v>
      </c>
      <c r="AN830" s="57">
        <f>IFERROR(__xludf.DUMMYFUNCTION("""COMPUTED_VALUE"""),1.0544510498052133)</f>
        <v>1.05445105</v>
      </c>
      <c r="AO830" s="57">
        <f>IFERROR(__xludf.DUMMYFUNCTION("""COMPUTED_VALUE"""),0.4009610335884422)</f>
        <v>0.4009610336</v>
      </c>
      <c r="AP830" s="35">
        <f>IFERROR(__xludf.DUMMYFUNCTION("""COMPUTED_VALUE"""),0.9929530618756861)</f>
        <v>0.9929530619</v>
      </c>
      <c r="AQ830" s="57">
        <f>IFERROR(__xludf.DUMMYFUNCTION("""COMPUTED_VALUE"""),1.1549210552328801)</f>
        <v>1.154921055</v>
      </c>
      <c r="AR830" s="36" t="b">
        <f>IFERROR(__xludf.DUMMYFUNCTION("""COMPUTED_VALUE"""),TRUE)</f>
        <v>1</v>
      </c>
      <c r="AS830" s="57"/>
      <c r="AT830" s="37"/>
      <c r="AU830" s="30"/>
      <c r="AV830" s="30"/>
      <c r="AW830" s="30"/>
      <c r="AX830" s="30"/>
      <c r="AY830" s="30"/>
      <c r="AZ830" s="30"/>
    </row>
    <row r="831">
      <c r="A831" s="30" t="str">
        <f>IFERROR(__xludf.DUMMYFUNCTION("""COMPUTED_VALUE"""),"Veteran")</f>
        <v>Veteran</v>
      </c>
      <c r="B831" s="30" t="str">
        <f>IFERROR(__xludf.DUMMYFUNCTION("""COMPUTED_VALUE"""),"RSC007036")</f>
        <v>RSC007036</v>
      </c>
      <c r="C831" s="30" t="str">
        <f>IFERROR(__xludf.DUMMYFUNCTION("""COMPUTED_VALUE"""),"PoiisonDeath")</f>
        <v>PoiisonDeath</v>
      </c>
      <c r="D831" s="31" t="str">
        <f>IFERROR(__xludf.DUMMYFUNCTION("""COMPUTED_VALUE"""),"Silver Dollar")</f>
        <v>Silver Dollar</v>
      </c>
      <c r="E831" s="31">
        <f>IFERROR(__xludf.DUMMYFUNCTION("""COMPUTED_VALUE"""),17.22421247879253)</f>
        <v>17.22421248</v>
      </c>
      <c r="F831" s="31">
        <f>IFERROR(__xludf.DUMMYFUNCTION("""COMPUTED_VALUE"""),-10.534792346565007)</f>
        <v>-10.53479235</v>
      </c>
      <c r="G831" s="31">
        <f>IFERROR(__xludf.DUMMYFUNCTION("""COMPUTED_VALUE"""),12.032394514571926)</f>
        <v>12.03239451</v>
      </c>
      <c r="H831" s="31">
        <f>IFERROR(__xludf.DUMMYFUNCTION("""COMPUTED_VALUE"""),-15.523495252411488)</f>
        <v>-15.52349525</v>
      </c>
      <c r="I831" s="54">
        <f>IFERROR(__xludf.DUMMYFUNCTION("""COMPUTED_VALUE"""),6.0)</f>
        <v>6</v>
      </c>
      <c r="J831" s="55">
        <f>IFERROR(__xludf.DUMMYFUNCTION("""COMPUTED_VALUE"""),2.0)</f>
        <v>2</v>
      </c>
      <c r="K831" s="54">
        <f>IFERROR(__xludf.DUMMYFUNCTION("""COMPUTED_VALUE"""),4.0)</f>
        <v>4</v>
      </c>
      <c r="L831" s="56">
        <f>IFERROR(__xludf.DUMMYFUNCTION("""COMPUTED_VALUE"""),0.3333333333333333)</f>
        <v>0.3333333333</v>
      </c>
      <c r="M831" s="56">
        <f>IFERROR(__xludf.DUMMYFUNCTION("""COMPUTED_VALUE"""),0.42857142857142855)</f>
        <v>0.4285714286</v>
      </c>
      <c r="N831" s="31">
        <f>IFERROR(__xludf.DUMMYFUNCTION("""COMPUTED_VALUE"""),252.83333333333334)</f>
        <v>252.8333333</v>
      </c>
      <c r="O831" s="57">
        <f>IFERROR(__xludf.DUMMYFUNCTION("""COMPUTED_VALUE"""),0.5)</f>
        <v>0.5</v>
      </c>
      <c r="P831" s="57">
        <f>IFERROR(__xludf.DUMMYFUNCTION("""COMPUTED_VALUE"""),0.3333333333333333)</f>
        <v>0.3333333333</v>
      </c>
      <c r="Q831" s="57">
        <f>IFERROR(__xludf.DUMMYFUNCTION("""COMPUTED_VALUE"""),1.0)</f>
        <v>1</v>
      </c>
      <c r="R831" s="57">
        <f>IFERROR(__xludf.DUMMYFUNCTION("""COMPUTED_VALUE"""),1.1666666666666667)</f>
        <v>1.166666667</v>
      </c>
      <c r="S831" s="31">
        <f>IFERROR(__xludf.DUMMYFUNCTION("""COMPUTED_VALUE"""),333.38888888888886)</f>
        <v>333.3888889</v>
      </c>
      <c r="T831" s="57">
        <f>IFERROR(__xludf.DUMMYFUNCTION("""COMPUTED_VALUE"""),0.8888888888888888)</f>
        <v>0.8888888889</v>
      </c>
      <c r="U831" s="57">
        <f>IFERROR(__xludf.DUMMYFUNCTION("""COMPUTED_VALUE"""),0.4444444444444444)</f>
        <v>0.4444444444</v>
      </c>
      <c r="V831" s="57">
        <f>IFERROR(__xludf.DUMMYFUNCTION("""COMPUTED_VALUE"""),1.0555555555555556)</f>
        <v>1.055555556</v>
      </c>
      <c r="W831" s="57">
        <f>IFERROR(__xludf.DUMMYFUNCTION("""COMPUTED_VALUE"""),2.4444444444444446)</f>
        <v>2.444444444</v>
      </c>
      <c r="X831" s="31">
        <f>IFERROR(__xludf.DUMMYFUNCTION("""COMPUTED_VALUE"""),338.3219201822143)</f>
        <v>338.3219202</v>
      </c>
      <c r="Y831" s="57">
        <f>IFERROR(__xludf.DUMMYFUNCTION("""COMPUTED_VALUE"""),0.7574030453932415)</f>
        <v>0.7574030454</v>
      </c>
      <c r="Z831" s="57">
        <f>IFERROR(__xludf.DUMMYFUNCTION("""COMPUTED_VALUE"""),0.5847297673278066)</f>
        <v>0.5847297673</v>
      </c>
      <c r="AA831" s="57">
        <f>IFERROR(__xludf.DUMMYFUNCTION("""COMPUTED_VALUE"""),1.2047741655584792)</f>
        <v>1.204774166</v>
      </c>
      <c r="AB831" s="57">
        <f>IFERROR(__xludf.DUMMYFUNCTION("""COMPUTED_VALUE"""),2.5972552320591533)</f>
        <v>2.597255232</v>
      </c>
      <c r="AC831" s="31">
        <f>IFERROR(__xludf.DUMMYFUNCTION("""COMPUTED_VALUE"""),333.650455103478)</f>
        <v>333.6504551</v>
      </c>
      <c r="AD831" s="57">
        <f>IFERROR(__xludf.DUMMYFUNCTION("""COMPUTED_VALUE"""),0.6439574707548564)</f>
        <v>0.6439574708</v>
      </c>
      <c r="AE831" s="57">
        <f>IFERROR(__xludf.DUMMYFUNCTION("""COMPUTED_VALUE"""),0.45143663526016464)</f>
        <v>0.4514366353</v>
      </c>
      <c r="AF831" s="57">
        <f>IFERROR(__xludf.DUMMYFUNCTION("""COMPUTED_VALUE"""),1.487924883758217)</f>
        <v>1.487924884</v>
      </c>
      <c r="AG831" s="57">
        <f>IFERROR(__xludf.DUMMYFUNCTION("""COMPUTED_VALUE"""),2.307082064026508)</f>
        <v>2.307082064</v>
      </c>
      <c r="AH831" s="57">
        <f>IFERROR(__xludf.DUMMYFUNCTION("""COMPUTED_VALUE"""),0.7577790752748108)</f>
        <v>0.7577790753</v>
      </c>
      <c r="AI831" s="57">
        <f>IFERROR(__xludf.DUMMYFUNCTION("""COMPUTED_VALUE"""),0.7764487915854018)</f>
        <v>0.7764487916</v>
      </c>
      <c r="AJ831" s="57">
        <f>IFERROR(__xludf.DUMMYFUNCTION("""COMPUTED_VALUE"""),0.7383834347897619)</f>
        <v>0.7383834348</v>
      </c>
      <c r="AK831" s="57">
        <f>IFERROR(__xludf.DUMMYFUNCTION("""COMPUTED_VALUE"""),0.672076938100658)</f>
        <v>0.6720769381</v>
      </c>
      <c r="AL831" s="57">
        <f>IFERROR(__xludf.DUMMYFUNCTION("""COMPUTED_VALUE"""),0.5056892794834116)</f>
        <v>0.5056892795</v>
      </c>
      <c r="AM831" s="57">
        <f>IFERROR(__xludf.DUMMYFUNCTION("""COMPUTED_VALUE"""),0.9854191200775032)</f>
        <v>0.9854191201</v>
      </c>
      <c r="AN831" s="57">
        <f>IFERROR(__xludf.DUMMYFUNCTION("""COMPUTED_VALUE"""),1.1736008909594233)</f>
        <v>1.173600891</v>
      </c>
      <c r="AO831" s="57">
        <f>IFERROR(__xludf.DUMMYFUNCTION("""COMPUTED_VALUE"""),0.7600852039319618)</f>
        <v>0.7600852039</v>
      </c>
      <c r="AP831" s="35">
        <f>IFERROR(__xludf.DUMMYFUNCTION("""COMPUTED_VALUE"""),0.8761439162054471)</f>
        <v>0.8761439162</v>
      </c>
      <c r="AQ831" s="57">
        <f>IFERROR(__xludf.DUMMYFUNCTION("""COMPUTED_VALUE"""),0.9411645086980699)</f>
        <v>0.9411645087</v>
      </c>
      <c r="AR831" s="36" t="b">
        <f>IFERROR(__xludf.DUMMYFUNCTION("""COMPUTED_VALUE"""),TRUE)</f>
        <v>1</v>
      </c>
      <c r="AS831" s="57"/>
      <c r="AT831" s="37"/>
      <c r="AU831" s="30"/>
      <c r="AV831" s="30"/>
      <c r="AW831" s="30"/>
      <c r="AX831" s="30"/>
      <c r="AY831" s="30"/>
      <c r="AZ831" s="30"/>
    </row>
    <row r="832">
      <c r="A832" s="30" t="str">
        <f>IFERROR(__xludf.DUMMYFUNCTION("""COMPUTED_VALUE"""),"Veteran")</f>
        <v>Veteran</v>
      </c>
      <c r="B832" s="30" t="str">
        <f>IFERROR(__xludf.DUMMYFUNCTION("""COMPUTED_VALUE"""),"RSC005267")</f>
        <v>RSC005267</v>
      </c>
      <c r="C832" s="30" t="str">
        <f>IFERROR(__xludf.DUMMYFUNCTION("""COMPUTED_VALUE"""),"jj.dunbar")</f>
        <v>jj.dunbar</v>
      </c>
      <c r="D832" s="31" t="str">
        <f>IFERROR(__xludf.DUMMYFUNCTION("""COMPUTED_VALUE"""),"Banshees")</f>
        <v>Banshees</v>
      </c>
      <c r="E832" s="31">
        <f>IFERROR(__xludf.DUMMYFUNCTION("""COMPUTED_VALUE"""),17.02308549364089)</f>
        <v>17.02308549</v>
      </c>
      <c r="F832" s="31">
        <f>IFERROR(__xludf.DUMMYFUNCTION("""COMPUTED_VALUE"""),-10.686985513614065)</f>
        <v>-10.68698551</v>
      </c>
      <c r="G832" s="31">
        <f>IFERROR(__xludf.DUMMYFUNCTION("""COMPUTED_VALUE"""),15.046820373617763)</f>
        <v>15.04682037</v>
      </c>
      <c r="H832" s="31">
        <f>IFERROR(__xludf.DUMMYFUNCTION("""COMPUTED_VALUE"""),-12.339975378539624)</f>
        <v>-12.33997538</v>
      </c>
      <c r="I832" s="54">
        <f>IFERROR(__xludf.DUMMYFUNCTION("""COMPUTED_VALUE"""),17.0)</f>
        <v>17</v>
      </c>
      <c r="J832" s="55">
        <f>IFERROR(__xludf.DUMMYFUNCTION("""COMPUTED_VALUE"""),5.0)</f>
        <v>5</v>
      </c>
      <c r="K832" s="54">
        <f>IFERROR(__xludf.DUMMYFUNCTION("""COMPUTED_VALUE"""),12.0)</f>
        <v>12</v>
      </c>
      <c r="L832" s="56">
        <f>IFERROR(__xludf.DUMMYFUNCTION("""COMPUTED_VALUE"""),0.29411764705882354)</f>
        <v>0.2941176471</v>
      </c>
      <c r="M832" s="56">
        <f>IFERROR(__xludf.DUMMYFUNCTION("""COMPUTED_VALUE"""),0.32142857142857145)</f>
        <v>0.3214285714</v>
      </c>
      <c r="N832" s="31">
        <f>IFERROR(__xludf.DUMMYFUNCTION("""COMPUTED_VALUE"""),261.4117647058824)</f>
        <v>261.4117647</v>
      </c>
      <c r="O832" s="57">
        <f>IFERROR(__xludf.DUMMYFUNCTION("""COMPUTED_VALUE"""),0.5294117647058824)</f>
        <v>0.5294117647</v>
      </c>
      <c r="P832" s="57">
        <f>IFERROR(__xludf.DUMMYFUNCTION("""COMPUTED_VALUE"""),0.47058823529411764)</f>
        <v>0.4705882353</v>
      </c>
      <c r="Q832" s="57">
        <f>IFERROR(__xludf.DUMMYFUNCTION("""COMPUTED_VALUE"""),0.8235294117647058)</f>
        <v>0.8235294118</v>
      </c>
      <c r="R832" s="57">
        <f>IFERROR(__xludf.DUMMYFUNCTION("""COMPUTED_VALUE"""),1.6470588235294117)</f>
        <v>1.647058824</v>
      </c>
      <c r="S832" s="31">
        <f>IFERROR(__xludf.DUMMYFUNCTION("""COMPUTED_VALUE"""),349.84313725490193)</f>
        <v>349.8431373</v>
      </c>
      <c r="T832" s="57">
        <f>IFERROR(__xludf.DUMMYFUNCTION("""COMPUTED_VALUE"""),0.8627450980392157)</f>
        <v>0.862745098</v>
      </c>
      <c r="U832" s="57">
        <f>IFERROR(__xludf.DUMMYFUNCTION("""COMPUTED_VALUE"""),0.6666666666666665)</f>
        <v>0.6666666667</v>
      </c>
      <c r="V832" s="57">
        <f>IFERROR(__xludf.DUMMYFUNCTION("""COMPUTED_VALUE"""),1.156862745098039)</f>
        <v>1.156862745</v>
      </c>
      <c r="W832" s="57">
        <f>IFERROR(__xludf.DUMMYFUNCTION("""COMPUTED_VALUE"""),2.568627450980392)</f>
        <v>2.568627451</v>
      </c>
      <c r="X832" s="31">
        <f>IFERROR(__xludf.DUMMYFUNCTION("""COMPUTED_VALUE"""),344.30699220733885)</f>
        <v>344.3069922</v>
      </c>
      <c r="Y832" s="57">
        <f>IFERROR(__xludf.DUMMYFUNCTION("""COMPUTED_VALUE"""),0.7515581998464939)</f>
        <v>0.7515581998</v>
      </c>
      <c r="Z832" s="57">
        <f>IFERROR(__xludf.DUMMYFUNCTION("""COMPUTED_VALUE"""),0.5411185033894909)</f>
        <v>0.5411185034</v>
      </c>
      <c r="AA832" s="57">
        <f>IFERROR(__xludf.DUMMYFUNCTION("""COMPUTED_VALUE"""),1.369873746186152)</f>
        <v>1.369873746</v>
      </c>
      <c r="AB832" s="57">
        <f>IFERROR(__xludf.DUMMYFUNCTION("""COMPUTED_VALUE"""),2.4814320351796626)</f>
        <v>2.481432035</v>
      </c>
      <c r="AC832" s="31">
        <f>IFERROR(__xludf.DUMMYFUNCTION("""COMPUTED_VALUE"""),362.52012601089547)</f>
        <v>362.520126</v>
      </c>
      <c r="AD832" s="57">
        <f>IFERROR(__xludf.DUMMYFUNCTION("""COMPUTED_VALUE"""),0.8608901788375711)</f>
        <v>0.8608901788</v>
      </c>
      <c r="AE832" s="57">
        <f>IFERROR(__xludf.DUMMYFUNCTION("""COMPUTED_VALUE"""),0.6288966902626415)</f>
        <v>0.6288966903</v>
      </c>
      <c r="AF832" s="57">
        <f>IFERROR(__xludf.DUMMYFUNCTION("""COMPUTED_VALUE"""),1.303790023981413)</f>
        <v>1.303790024</v>
      </c>
      <c r="AG832" s="57">
        <f>IFERROR(__xludf.DUMMYFUNCTION("""COMPUTED_VALUE"""),2.7797251107009773)</f>
        <v>2.779725111</v>
      </c>
      <c r="AH832" s="57">
        <f>IFERROR(__xludf.DUMMYFUNCTION("""COMPUTED_VALUE"""),0.7210958673726868)</f>
        <v>0.7210958674</v>
      </c>
      <c r="AI832" s="57">
        <f>IFERROR(__xludf.DUMMYFUNCTION("""COMPUTED_VALUE"""),0.6149585367796017)</f>
        <v>0.6149585368</v>
      </c>
      <c r="AJ832" s="57">
        <f>IFERROR(__xludf.DUMMYFUNCTION("""COMPUTED_VALUE"""),0.7482758974253615)</f>
        <v>0.7482758974</v>
      </c>
      <c r="AK832" s="57">
        <f>IFERROR(__xludf.DUMMYFUNCTION("""COMPUTED_VALUE"""),0.6316426699215534)</f>
        <v>0.6316426699</v>
      </c>
      <c r="AL832" s="57">
        <f>IFERROR(__xludf.DUMMYFUNCTION("""COMPUTED_VALUE"""),0.5925257922766559)</f>
        <v>0.5925257923</v>
      </c>
      <c r="AM832" s="57">
        <f>IFERROR(__xludf.DUMMYFUNCTION("""COMPUTED_VALUE"""),1.0160790956119452)</f>
        <v>1.016079096</v>
      </c>
      <c r="AN832" s="57">
        <f>IFERROR(__xludf.DUMMYFUNCTION("""COMPUTED_VALUE"""),1.1479418336669494)</f>
        <v>1.147941834</v>
      </c>
      <c r="AO832" s="57">
        <f>IFERROR(__xludf.DUMMYFUNCTION("""COMPUTED_VALUE"""),1.2320160232754183)</f>
        <v>1.232016023</v>
      </c>
      <c r="AP832" s="35">
        <f>IFERROR(__xludf.DUMMYFUNCTION("""COMPUTED_VALUE"""),0.8445031874790255)</f>
        <v>0.8445031875</v>
      </c>
      <c r="AQ832" s="57">
        <f>IFERROR(__xludf.DUMMYFUNCTION("""COMPUTED_VALUE"""),1.0351391513305808)</f>
        <v>1.035139151</v>
      </c>
      <c r="AR832" s="36" t="b">
        <f>IFERROR(__xludf.DUMMYFUNCTION("""COMPUTED_VALUE"""),TRUE)</f>
        <v>1</v>
      </c>
      <c r="AS832" s="57"/>
      <c r="AT832" s="37"/>
      <c r="AU832" s="30"/>
      <c r="AV832" s="30"/>
      <c r="AW832" s="30"/>
      <c r="AX832" s="30"/>
      <c r="AY832" s="30"/>
      <c r="AZ832" s="30"/>
    </row>
    <row r="833">
      <c r="A833" s="30" t="str">
        <f>IFERROR(__xludf.DUMMYFUNCTION("""COMPUTED_VALUE"""),"Veteran")</f>
        <v>Veteran</v>
      </c>
      <c r="B833" s="30" t="str">
        <f>IFERROR(__xludf.DUMMYFUNCTION("""COMPUTED_VALUE"""),"RSC001893")</f>
        <v>RSC001893</v>
      </c>
      <c r="C833" s="30" t="str">
        <f>IFERROR(__xludf.DUMMYFUNCTION("""COMPUTED_VALUE"""),"cjax")</f>
        <v>cjax</v>
      </c>
      <c r="D833" s="31" t="str">
        <f>IFERROR(__xludf.DUMMYFUNCTION("""COMPUTED_VALUE"""),"Peppermint")</f>
        <v>Peppermint</v>
      </c>
      <c r="E833" s="31">
        <f>IFERROR(__xludf.DUMMYFUNCTION("""COMPUTED_VALUE"""),15.907061127116826)</f>
        <v>15.90706113</v>
      </c>
      <c r="F833" s="31">
        <f>IFERROR(__xludf.DUMMYFUNCTION("""COMPUTED_VALUE"""),-11.583695190547825)</f>
        <v>-11.58369519</v>
      </c>
      <c r="G833" s="31">
        <f>IFERROR(__xludf.DUMMYFUNCTION("""COMPUTED_VALUE"""),16.70369858957922)</f>
        <v>16.70369859</v>
      </c>
      <c r="H833" s="31">
        <f>IFERROR(__xludf.DUMMYFUNCTION("""COMPUTED_VALUE"""),-10.934410545318576)</f>
        <v>-10.93441055</v>
      </c>
      <c r="I833" s="54">
        <f>IFERROR(__xludf.DUMMYFUNCTION("""COMPUTED_VALUE"""),25.0)</f>
        <v>25</v>
      </c>
      <c r="J833" s="55">
        <f>IFERROR(__xludf.DUMMYFUNCTION("""COMPUTED_VALUE"""),9.0)</f>
        <v>9</v>
      </c>
      <c r="K833" s="54">
        <f>IFERROR(__xludf.DUMMYFUNCTION("""COMPUTED_VALUE"""),16.0)</f>
        <v>16</v>
      </c>
      <c r="L833" s="56">
        <f>IFERROR(__xludf.DUMMYFUNCTION("""COMPUTED_VALUE"""),0.36)</f>
        <v>0.36</v>
      </c>
      <c r="M833" s="56">
        <f>IFERROR(__xludf.DUMMYFUNCTION("""COMPUTED_VALUE"""),0.3)</f>
        <v>0.3</v>
      </c>
      <c r="N833" s="31">
        <f>IFERROR(__xludf.DUMMYFUNCTION("""COMPUTED_VALUE"""),300.6)</f>
        <v>300.6</v>
      </c>
      <c r="O833" s="57">
        <f>IFERROR(__xludf.DUMMYFUNCTION("""COMPUTED_VALUE"""),0.48)</f>
        <v>0.48</v>
      </c>
      <c r="P833" s="57">
        <f>IFERROR(__xludf.DUMMYFUNCTION("""COMPUTED_VALUE"""),0.4)</f>
        <v>0.4</v>
      </c>
      <c r="Q833" s="57">
        <f>IFERROR(__xludf.DUMMYFUNCTION("""COMPUTED_VALUE"""),1.64)</f>
        <v>1.64</v>
      </c>
      <c r="R833" s="57">
        <f>IFERROR(__xludf.DUMMYFUNCTION("""COMPUTED_VALUE"""),1.6)</f>
        <v>1.6</v>
      </c>
      <c r="S833" s="31">
        <f>IFERROR(__xludf.DUMMYFUNCTION("""COMPUTED_VALUE"""),363.26666666666665)</f>
        <v>363.2666667</v>
      </c>
      <c r="T833" s="57">
        <f>IFERROR(__xludf.DUMMYFUNCTION("""COMPUTED_VALUE"""),0.9466666666666665)</f>
        <v>0.9466666667</v>
      </c>
      <c r="U833" s="57">
        <f>IFERROR(__xludf.DUMMYFUNCTION("""COMPUTED_VALUE"""),0.72)</f>
        <v>0.72</v>
      </c>
      <c r="V833" s="57">
        <f>IFERROR(__xludf.DUMMYFUNCTION("""COMPUTED_VALUE"""),1.0533333333333337)</f>
        <v>1.053333333</v>
      </c>
      <c r="W833" s="57">
        <f>IFERROR(__xludf.DUMMYFUNCTION("""COMPUTED_VALUE"""),3.266666666666668)</f>
        <v>3.266666667</v>
      </c>
      <c r="X833" s="31">
        <f>IFERROR(__xludf.DUMMYFUNCTION("""COMPUTED_VALUE"""),354.4940281819543)</f>
        <v>354.4940282</v>
      </c>
      <c r="Y833" s="57">
        <f>IFERROR(__xludf.DUMMYFUNCTION("""COMPUTED_VALUE"""),0.8514741756047792)</f>
        <v>0.8514741756</v>
      </c>
      <c r="Z833" s="57">
        <f>IFERROR(__xludf.DUMMYFUNCTION("""COMPUTED_VALUE"""),0.6106791318656893)</f>
        <v>0.6106791319</v>
      </c>
      <c r="AA833" s="57">
        <f>IFERROR(__xludf.DUMMYFUNCTION("""COMPUTED_VALUE"""),1.2529112546441865)</f>
        <v>1.252911255</v>
      </c>
      <c r="AB833" s="57">
        <f>IFERROR(__xludf.DUMMYFUNCTION("""COMPUTED_VALUE"""),2.763993008228173)</f>
        <v>2.763993008</v>
      </c>
      <c r="AC833" s="31">
        <f>IFERROR(__xludf.DUMMYFUNCTION("""COMPUTED_VALUE"""),355.20894490806927)</f>
        <v>355.2089449</v>
      </c>
      <c r="AD833" s="57">
        <f>IFERROR(__xludf.DUMMYFUNCTION("""COMPUTED_VALUE"""),0.8075769253603123)</f>
        <v>0.8075769254</v>
      </c>
      <c r="AE833" s="57">
        <f>IFERROR(__xludf.DUMMYFUNCTION("""COMPUTED_VALUE"""),0.6019671731368543)</f>
        <v>0.6019671731</v>
      </c>
      <c r="AF833" s="57">
        <f>IFERROR(__xludf.DUMMYFUNCTION("""COMPUTED_VALUE"""),1.3821033925508857)</f>
        <v>1.382103393</v>
      </c>
      <c r="AG833" s="57">
        <f>IFERROR(__xludf.DUMMYFUNCTION("""COMPUTED_VALUE"""),2.5014732407115874)</f>
        <v>2.501473241</v>
      </c>
      <c r="AH833" s="57">
        <f>IFERROR(__xludf.DUMMYFUNCTION("""COMPUTED_VALUE"""),0.8462624725787734)</f>
        <v>0.8462624726</v>
      </c>
      <c r="AI833" s="57">
        <f>IFERROR(__xludf.DUMMYFUNCTION("""COMPUTED_VALUE"""),0.5943706226943531)</f>
        <v>0.5943706227</v>
      </c>
      <c r="AJ833" s="57">
        <f>IFERROR(__xludf.DUMMYFUNCTION("""COMPUTED_VALUE"""),0.6644880615592338)</f>
        <v>0.6644880616</v>
      </c>
      <c r="AK833" s="57">
        <f>IFERROR(__xludf.DUMMYFUNCTION("""COMPUTED_VALUE"""),1.1865971886322673)</f>
        <v>1.186597189</v>
      </c>
      <c r="AL833" s="57">
        <f>IFERROR(__xludf.DUMMYFUNCTION("""COMPUTED_VALUE"""),0.6396230724998091)</f>
        <v>0.6396230725</v>
      </c>
      <c r="AM833" s="57">
        <f>IFERROR(__xludf.DUMMYFUNCTION("""COMPUTED_VALUE"""),1.0247469288261453)</f>
        <v>1.024746929</v>
      </c>
      <c r="AN833" s="57">
        <f>IFERROR(__xludf.DUMMYFUNCTION("""COMPUTED_VALUE"""),1.1117972732341233)</f>
        <v>1.111797273</v>
      </c>
      <c r="AO833" s="57">
        <f>IFERROR(__xludf.DUMMYFUNCTION("""COMPUTED_VALUE"""),1.1790152347278084)</f>
        <v>1.179015235</v>
      </c>
      <c r="AP833" s="35">
        <f>IFERROR(__xludf.DUMMYFUNCTION("""COMPUTED_VALUE"""),0.8407086530900939)</f>
        <v>0.8407086531</v>
      </c>
      <c r="AQ833" s="57">
        <f>IFERROR(__xludf.DUMMYFUNCTION("""COMPUTED_VALUE"""),1.1818650253246221)</f>
        <v>1.181865025</v>
      </c>
      <c r="AR833" s="36" t="b">
        <f>IFERROR(__xludf.DUMMYFUNCTION("""COMPUTED_VALUE"""),TRUE)</f>
        <v>1</v>
      </c>
      <c r="AS833" s="57"/>
      <c r="AT833" s="37"/>
      <c r="AU833" s="30"/>
      <c r="AV833" s="30"/>
      <c r="AW833" s="30"/>
      <c r="AX833" s="30"/>
      <c r="AY833" s="30"/>
      <c r="AZ833" s="30"/>
    </row>
    <row r="834">
      <c r="A834" s="30" t="str">
        <f>IFERROR(__xludf.DUMMYFUNCTION("""COMPUTED_VALUE"""),"Veteran")</f>
        <v>Veteran</v>
      </c>
      <c r="B834" s="30" t="str">
        <f>IFERROR(__xludf.DUMMYFUNCTION("""COMPUTED_VALUE"""),"RSC007443")</f>
        <v>RSC007443</v>
      </c>
      <c r="C834" s="30" t="str">
        <f>IFERROR(__xludf.DUMMYFUNCTION("""COMPUTED_VALUE"""),"Allusion.-.")</f>
        <v>Allusion.-.</v>
      </c>
      <c r="D834" s="31" t="str">
        <f>IFERROR(__xludf.DUMMYFUNCTION("""COMPUTED_VALUE"""),"Possessed")</f>
        <v>Possessed</v>
      </c>
      <c r="E834" s="31">
        <f>IFERROR(__xludf.DUMMYFUNCTION("""COMPUTED_VALUE"""),14.368406132817285)</f>
        <v>14.36840613</v>
      </c>
      <c r="F834" s="31">
        <f>IFERROR(__xludf.DUMMYFUNCTION("""COMPUTED_VALUE"""),-12.980188004681077)</f>
        <v>-12.980188</v>
      </c>
      <c r="G834" s="31">
        <f>IFERROR(__xludf.DUMMYFUNCTION("""COMPUTED_VALUE"""),32.32340878794871)</f>
        <v>32.32340879</v>
      </c>
      <c r="H834" s="31">
        <f>IFERROR(__xludf.DUMMYFUNCTION("""COMPUTED_VALUE"""),-4.170777272121783)</f>
        <v>-4.170777272</v>
      </c>
      <c r="I834" s="54">
        <f>IFERROR(__xludf.DUMMYFUNCTION("""COMPUTED_VALUE"""),14.0)</f>
        <v>14</v>
      </c>
      <c r="J834" s="55">
        <f>IFERROR(__xludf.DUMMYFUNCTION("""COMPUTED_VALUE"""),4.0)</f>
        <v>4</v>
      </c>
      <c r="K834" s="54">
        <f>IFERROR(__xludf.DUMMYFUNCTION("""COMPUTED_VALUE"""),10.0)</f>
        <v>10</v>
      </c>
      <c r="L834" s="56">
        <f>IFERROR(__xludf.DUMMYFUNCTION("""COMPUTED_VALUE"""),0.2857142857142857)</f>
        <v>0.2857142857</v>
      </c>
      <c r="M834" s="56">
        <f>IFERROR(__xludf.DUMMYFUNCTION("""COMPUTED_VALUE"""),0.3333333333333333)</f>
        <v>0.3333333333</v>
      </c>
      <c r="N834" s="31">
        <f>IFERROR(__xludf.DUMMYFUNCTION("""COMPUTED_VALUE"""),288.07142857142856)</f>
        <v>288.0714286</v>
      </c>
      <c r="O834" s="57">
        <f>IFERROR(__xludf.DUMMYFUNCTION("""COMPUTED_VALUE"""),0.5714285714285714)</f>
        <v>0.5714285714</v>
      </c>
      <c r="P834" s="57">
        <f>IFERROR(__xludf.DUMMYFUNCTION("""COMPUTED_VALUE"""),0.2857142857142857)</f>
        <v>0.2857142857</v>
      </c>
      <c r="Q834" s="57">
        <f>IFERROR(__xludf.DUMMYFUNCTION("""COMPUTED_VALUE"""),1.3571428571428572)</f>
        <v>1.357142857</v>
      </c>
      <c r="R834" s="57">
        <f>IFERROR(__xludf.DUMMYFUNCTION("""COMPUTED_VALUE"""),1.7142857142857142)</f>
        <v>1.714285714</v>
      </c>
      <c r="S834" s="31">
        <f>IFERROR(__xludf.DUMMYFUNCTION("""COMPUTED_VALUE"""),361.9047619047618)</f>
        <v>361.9047619</v>
      </c>
      <c r="T834" s="57">
        <f>IFERROR(__xludf.DUMMYFUNCTION("""COMPUTED_VALUE"""),0.9761904761904763)</f>
        <v>0.9761904762</v>
      </c>
      <c r="U834" s="57">
        <f>IFERROR(__xludf.DUMMYFUNCTION("""COMPUTED_VALUE"""),0.6904761904761905)</f>
        <v>0.6904761905</v>
      </c>
      <c r="V834" s="57">
        <f>IFERROR(__xludf.DUMMYFUNCTION("""COMPUTED_VALUE"""),1.1666666666666665)</f>
        <v>1.166666667</v>
      </c>
      <c r="W834" s="57">
        <f>IFERROR(__xludf.DUMMYFUNCTION("""COMPUTED_VALUE"""),2.2857142857142856)</f>
        <v>2.285714286</v>
      </c>
      <c r="X834" s="31">
        <f>IFERROR(__xludf.DUMMYFUNCTION("""COMPUTED_VALUE"""),344.23829697830377)</f>
        <v>344.238297</v>
      </c>
      <c r="Y834" s="57">
        <f>IFERROR(__xludf.DUMMYFUNCTION("""COMPUTED_VALUE"""),0.7432326362007633)</f>
        <v>0.7432326362</v>
      </c>
      <c r="Z834" s="57">
        <f>IFERROR(__xludf.DUMMYFUNCTION("""COMPUTED_VALUE"""),0.5071087738744423)</f>
        <v>0.5071087739</v>
      </c>
      <c r="AA834" s="57">
        <f>IFERROR(__xludf.DUMMYFUNCTION("""COMPUTED_VALUE"""),1.3500575096987855)</f>
        <v>1.35005751</v>
      </c>
      <c r="AB834" s="57">
        <f>IFERROR(__xludf.DUMMYFUNCTION("""COMPUTED_VALUE"""),2.4738966822697934)</f>
        <v>2.473896682</v>
      </c>
      <c r="AC834" s="31">
        <f>IFERROR(__xludf.DUMMYFUNCTION("""COMPUTED_VALUE"""),342.16553358041665)</f>
        <v>342.1655336</v>
      </c>
      <c r="AD834" s="57">
        <f>IFERROR(__xludf.DUMMYFUNCTION("""COMPUTED_VALUE"""),0.7443610054685154)</f>
        <v>0.7443610055</v>
      </c>
      <c r="AE834" s="57">
        <f>IFERROR(__xludf.DUMMYFUNCTION("""COMPUTED_VALUE"""),0.5511312813242562)</f>
        <v>0.5511312813</v>
      </c>
      <c r="AF834" s="57">
        <f>IFERROR(__xludf.DUMMYFUNCTION("""COMPUTED_VALUE"""),1.288450248118697)</f>
        <v>1.288450248</v>
      </c>
      <c r="AG834" s="57">
        <f>IFERROR(__xludf.DUMMYFUNCTION("""COMPUTED_VALUE"""),2.5794835844938446)</f>
        <v>2.579483584</v>
      </c>
      <c r="AH834" s="57">
        <f>IFERROR(__xludf.DUMMYFUNCTION("""COMPUTED_VALUE"""),0.8419066220874208)</f>
        <v>0.8419066221</v>
      </c>
      <c r="AI834" s="57">
        <f>IFERROR(__xludf.DUMMYFUNCTION("""COMPUTED_VALUE"""),0.7676766612309347)</f>
        <v>0.7676766612</v>
      </c>
      <c r="AJ834" s="57">
        <f>IFERROR(__xludf.DUMMYFUNCTION("""COMPUTED_VALUE"""),0.5184142061901703)</f>
        <v>0.5184142062</v>
      </c>
      <c r="AK834" s="57">
        <f>IFERROR(__xludf.DUMMYFUNCTION("""COMPUTED_VALUE"""),1.0533141338786347)</f>
        <v>1.053314134</v>
      </c>
      <c r="AL834" s="57">
        <f>IFERROR(__xludf.DUMMYFUNCTION("""COMPUTED_VALUE"""),0.6645848512434311)</f>
        <v>0.6645848512</v>
      </c>
      <c r="AM834" s="57">
        <f>IFERROR(__xludf.DUMMYFUNCTION("""COMPUTED_VALUE"""),1.0513204517961332)</f>
        <v>1.051320452</v>
      </c>
      <c r="AN834" s="57">
        <f>IFERROR(__xludf.DUMMYFUNCTION("""COMPUTED_VALUE"""),1.3134386578885189)</f>
        <v>1.313438658</v>
      </c>
      <c r="AO834" s="57">
        <f>IFERROR(__xludf.DUMMYFUNCTION("""COMPUTED_VALUE"""),1.3615938553000644)</f>
        <v>1.361593855</v>
      </c>
      <c r="AP834" s="35">
        <f>IFERROR(__xludf.DUMMYFUNCTION("""COMPUTED_VALUE"""),0.8641607178104319)</f>
        <v>0.8641607178</v>
      </c>
      <c r="AQ834" s="57">
        <f>IFERROR(__xludf.DUMMYFUNCTION("""COMPUTED_VALUE"""),0.9239327988496063)</f>
        <v>0.9239327988</v>
      </c>
      <c r="AR834" s="36" t="b">
        <f>IFERROR(__xludf.DUMMYFUNCTION("""COMPUTED_VALUE"""),TRUE)</f>
        <v>1</v>
      </c>
      <c r="AS834" s="57"/>
      <c r="AT834" s="37"/>
      <c r="AU834" s="30"/>
      <c r="AV834" s="30"/>
      <c r="AW834" s="30"/>
      <c r="AX834" s="30"/>
      <c r="AY834" s="30"/>
      <c r="AZ834" s="30"/>
    </row>
    <row r="835">
      <c r="A835" s="30" t="str">
        <f>IFERROR(__xludf.DUMMYFUNCTION("""COMPUTED_VALUE"""),"Veteran")</f>
        <v>Veteran</v>
      </c>
      <c r="B835" s="30" t="str">
        <f>IFERROR(__xludf.DUMMYFUNCTION("""COMPUTED_VALUE"""),"RSC000367")</f>
        <v>RSC000367</v>
      </c>
      <c r="C835" s="30" t="str">
        <f>IFERROR(__xludf.DUMMYFUNCTION("""COMPUTED_VALUE"""),"Pana")</f>
        <v>Pana</v>
      </c>
      <c r="D835" s="31" t="str">
        <f>IFERROR(__xludf.DUMMYFUNCTION("""COMPUTED_VALUE"""),"Supernova")</f>
        <v>Supernova</v>
      </c>
      <c r="E835" s="31">
        <f>IFERROR(__xludf.DUMMYFUNCTION("""COMPUTED_VALUE"""),8.969445539222697)</f>
        <v>8.969445539</v>
      </c>
      <c r="F835" s="31">
        <f>IFERROR(__xludf.DUMMYFUNCTION("""COMPUTED_VALUE"""),-19.850859795942462)</f>
        <v>-19.8508598</v>
      </c>
      <c r="G835" s="31">
        <f>IFERROR(__xludf.DUMMYFUNCTION("""COMPUTED_VALUE"""),19.59498704387792)</f>
        <v>19.59498704</v>
      </c>
      <c r="H835" s="31">
        <f>IFERROR(__xludf.DUMMYFUNCTION("""COMPUTED_VALUE"""),-8.93221823167457)</f>
        <v>-8.932218232</v>
      </c>
      <c r="I835" s="54">
        <f>IFERROR(__xludf.DUMMYFUNCTION("""COMPUTED_VALUE"""),20.0)</f>
        <v>20</v>
      </c>
      <c r="J835" s="55">
        <f>IFERROR(__xludf.DUMMYFUNCTION("""COMPUTED_VALUE"""),5.0)</f>
        <v>5</v>
      </c>
      <c r="K835" s="54">
        <f>IFERROR(__xludf.DUMMYFUNCTION("""COMPUTED_VALUE"""),15.0)</f>
        <v>15</v>
      </c>
      <c r="L835" s="56">
        <f>IFERROR(__xludf.DUMMYFUNCTION("""COMPUTED_VALUE"""),0.25)</f>
        <v>0.25</v>
      </c>
      <c r="M835" s="56">
        <f>IFERROR(__xludf.DUMMYFUNCTION("""COMPUTED_VALUE"""),0.15555555555555556)</f>
        <v>0.1555555556</v>
      </c>
      <c r="N835" s="31">
        <f>IFERROR(__xludf.DUMMYFUNCTION("""COMPUTED_VALUE"""),290.05)</f>
        <v>290.05</v>
      </c>
      <c r="O835" s="57">
        <f>IFERROR(__xludf.DUMMYFUNCTION("""COMPUTED_VALUE"""),0.35)</f>
        <v>0.35</v>
      </c>
      <c r="P835" s="57">
        <f>IFERROR(__xludf.DUMMYFUNCTION("""COMPUTED_VALUE"""),0.35)</f>
        <v>0.35</v>
      </c>
      <c r="Q835" s="57">
        <f>IFERROR(__xludf.DUMMYFUNCTION("""COMPUTED_VALUE"""),1.65)</f>
        <v>1.65</v>
      </c>
      <c r="R835" s="57">
        <f>IFERROR(__xludf.DUMMYFUNCTION("""COMPUTED_VALUE"""),2.25)</f>
        <v>2.25</v>
      </c>
      <c r="S835" s="31">
        <f>IFERROR(__xludf.DUMMYFUNCTION("""COMPUTED_VALUE"""),397.34999999999997)</f>
        <v>397.35</v>
      </c>
      <c r="T835" s="57">
        <f>IFERROR(__xludf.DUMMYFUNCTION("""COMPUTED_VALUE"""),1.1833333333333331)</f>
        <v>1.183333333</v>
      </c>
      <c r="U835" s="57">
        <f>IFERROR(__xludf.DUMMYFUNCTION("""COMPUTED_VALUE"""),0.7833333333333333)</f>
        <v>0.7833333333</v>
      </c>
      <c r="V835" s="57">
        <f>IFERROR(__xludf.DUMMYFUNCTION("""COMPUTED_VALUE"""),1.1833333333333333)</f>
        <v>1.183333333</v>
      </c>
      <c r="W835" s="57">
        <f>IFERROR(__xludf.DUMMYFUNCTION("""COMPUTED_VALUE"""),3.1333333333333333)</f>
        <v>3.133333333</v>
      </c>
      <c r="X835" s="31">
        <f>IFERROR(__xludf.DUMMYFUNCTION("""COMPUTED_VALUE"""),348.6781970496428)</f>
        <v>348.678197</v>
      </c>
      <c r="Y835" s="57">
        <f>IFERROR(__xludf.DUMMYFUNCTION("""COMPUTED_VALUE"""),0.8011054867349238)</f>
        <v>0.8011054867</v>
      </c>
      <c r="Z835" s="57">
        <f>IFERROR(__xludf.DUMMYFUNCTION("""COMPUTED_VALUE"""),0.589006365991063)</f>
        <v>0.589006366</v>
      </c>
      <c r="AA835" s="57">
        <f>IFERROR(__xludf.DUMMYFUNCTION("""COMPUTED_VALUE"""),1.257087708868877)</f>
        <v>1.257087709</v>
      </c>
      <c r="AB835" s="57">
        <f>IFERROR(__xludf.DUMMYFUNCTION("""COMPUTED_VALUE"""),2.6616965034250697)</f>
        <v>2.661696503</v>
      </c>
      <c r="AC835" s="31">
        <f>IFERROR(__xludf.DUMMYFUNCTION("""COMPUTED_VALUE"""),345.081661689013)</f>
        <v>345.0816617</v>
      </c>
      <c r="AD835" s="57">
        <f>IFERROR(__xludf.DUMMYFUNCTION("""COMPUTED_VALUE"""),0.7237936201652259)</f>
        <v>0.7237936202</v>
      </c>
      <c r="AE835" s="57">
        <f>IFERROR(__xludf.DUMMYFUNCTION("""COMPUTED_VALUE"""),0.49425899817883356)</f>
        <v>0.4942589982</v>
      </c>
      <c r="AF835" s="57">
        <f>IFERROR(__xludf.DUMMYFUNCTION("""COMPUTED_VALUE"""),1.4249446333380935)</f>
        <v>1.424944633</v>
      </c>
      <c r="AG835" s="57">
        <f>IFERROR(__xludf.DUMMYFUNCTION("""COMPUTED_VALUE"""),2.4211221743657942)</f>
        <v>2.421122174</v>
      </c>
      <c r="AH835" s="57">
        <f>IFERROR(__xludf.DUMMYFUNCTION("""COMPUTED_VALUE"""),0.8405256847910758)</f>
        <v>0.8405256848</v>
      </c>
      <c r="AI835" s="57">
        <f>IFERROR(__xludf.DUMMYFUNCTION("""COMPUTED_VALUE"""),0.4835632564985898)</f>
        <v>0.4835632565</v>
      </c>
      <c r="AJ835" s="57">
        <f>IFERROR(__xludf.DUMMYFUNCTION("""COMPUTED_VALUE"""),0.7081307599651679)</f>
        <v>0.70813076</v>
      </c>
      <c r="AK835" s="57">
        <f>IFERROR(__xludf.DUMMYFUNCTION("""COMPUTED_VALUE"""),1.157939727198164)</f>
        <v>1.157939727</v>
      </c>
      <c r="AL835" s="57">
        <f>IFERROR(__xludf.DUMMYFUNCTION("""COMPUTED_VALUE"""),0.9293211320859431)</f>
        <v>0.9293211321</v>
      </c>
      <c r="AM835" s="57">
        <f>IFERROR(__xludf.DUMMYFUNCTION("""COMPUTED_VALUE"""),1.1395894649054514)</f>
        <v>1.139589465</v>
      </c>
      <c r="AN835" s="57">
        <f>IFERROR(__xludf.DUMMYFUNCTION("""COMPUTED_VALUE"""),1.4771254883751457)</f>
        <v>1.477125488</v>
      </c>
      <c r="AO835" s="57">
        <f>IFERROR(__xludf.DUMMYFUNCTION("""COMPUTED_VALUE"""),1.3299233736044525)</f>
        <v>1.329923374</v>
      </c>
      <c r="AP835" s="35">
        <f>IFERROR(__xludf.DUMMYFUNCTION("""COMPUTED_VALUE"""),0.9413291729644644)</f>
        <v>0.941329173</v>
      </c>
      <c r="AQ835" s="57">
        <f>IFERROR(__xludf.DUMMYFUNCTION("""COMPUTED_VALUE"""),1.177194067505954)</f>
        <v>1.177194068</v>
      </c>
      <c r="AR835" s="36" t="b">
        <f>IFERROR(__xludf.DUMMYFUNCTION("""COMPUTED_VALUE"""),TRUE)</f>
        <v>1</v>
      </c>
      <c r="AS835" s="57"/>
      <c r="AT835" s="37"/>
      <c r="AU835" s="30"/>
      <c r="AV835" s="30"/>
      <c r="AW835" s="30"/>
      <c r="AX835" s="30"/>
      <c r="AY835" s="30"/>
      <c r="AZ835" s="30"/>
    </row>
    <row r="836">
      <c r="A836" s="30" t="str">
        <f>IFERROR(__xludf.DUMMYFUNCTION("""COMPUTED_VALUE"""),"Veteran")</f>
        <v>Veteran</v>
      </c>
      <c r="B836" s="30" t="str">
        <f>IFERROR(__xludf.DUMMYFUNCTION("""COMPUTED_VALUE"""),"RSC006174")</f>
        <v>RSC006174</v>
      </c>
      <c r="C836" s="30" t="str">
        <f>IFERROR(__xludf.DUMMYFUNCTION("""COMPUTED_VALUE"""),"I like bananas")</f>
        <v>I like bananas</v>
      </c>
      <c r="D836" s="31"/>
      <c r="E836" s="31">
        <f>IFERROR(__xludf.DUMMYFUNCTION("""COMPUTED_VALUE"""),-0.8544975462421078)</f>
        <v>-0.8544975462</v>
      </c>
      <c r="F836" s="31">
        <f>IFERROR(__xludf.DUMMYFUNCTION("""COMPUTED_VALUE"""),-47.69460930937334)</f>
        <v>-47.69460931</v>
      </c>
      <c r="G836" s="31">
        <f>IFERROR(__xludf.DUMMYFUNCTION("""COMPUTED_VALUE"""),19.18340175385603)</f>
        <v>19.18340175</v>
      </c>
      <c r="H836" s="31">
        <f>IFERROR(__xludf.DUMMYFUNCTION("""COMPUTED_VALUE"""),-9.186904959451653)</f>
        <v>-9.186904959</v>
      </c>
      <c r="I836" s="54">
        <f>IFERROR(__xludf.DUMMYFUNCTION("""COMPUTED_VALUE"""),5.0)</f>
        <v>5</v>
      </c>
      <c r="J836" s="55">
        <f>IFERROR(__xludf.DUMMYFUNCTION("""COMPUTED_VALUE"""),1.0)</f>
        <v>1</v>
      </c>
      <c r="K836" s="54">
        <f>IFERROR(__xludf.DUMMYFUNCTION("""COMPUTED_VALUE"""),4.0)</f>
        <v>4</v>
      </c>
      <c r="L836" s="56">
        <f>IFERROR(__xludf.DUMMYFUNCTION("""COMPUTED_VALUE"""),0.2)</f>
        <v>0.2</v>
      </c>
      <c r="M836" s="56">
        <f>IFERROR(__xludf.DUMMYFUNCTION("""COMPUTED_VALUE"""),0.125)</f>
        <v>0.125</v>
      </c>
      <c r="N836" s="31">
        <f>IFERROR(__xludf.DUMMYFUNCTION("""COMPUTED_VALUE"""),405.6)</f>
        <v>405.6</v>
      </c>
      <c r="O836" s="57">
        <f>IFERROR(__xludf.DUMMYFUNCTION("""COMPUTED_VALUE"""),0.2)</f>
        <v>0.2</v>
      </c>
      <c r="P836" s="57">
        <f>IFERROR(__xludf.DUMMYFUNCTION("""COMPUTED_VALUE"""),0.2)</f>
        <v>0.2</v>
      </c>
      <c r="Q836" s="57">
        <f>IFERROR(__xludf.DUMMYFUNCTION("""COMPUTED_VALUE"""),3.6)</f>
        <v>3.6</v>
      </c>
      <c r="R836" s="57">
        <f>IFERROR(__xludf.DUMMYFUNCTION("""COMPUTED_VALUE"""),1.6)</f>
        <v>1.6</v>
      </c>
      <c r="S836" s="31">
        <f>IFERROR(__xludf.DUMMYFUNCTION("""COMPUTED_VALUE"""),431.5333333333333)</f>
        <v>431.5333333</v>
      </c>
      <c r="T836" s="57">
        <f>IFERROR(__xludf.DUMMYFUNCTION("""COMPUTED_VALUE"""),1.2)</f>
        <v>1.2</v>
      </c>
      <c r="U836" s="57">
        <f>IFERROR(__xludf.DUMMYFUNCTION("""COMPUTED_VALUE"""),0.7333333333333332)</f>
        <v>0.7333333333</v>
      </c>
      <c r="V836" s="57">
        <f>IFERROR(__xludf.DUMMYFUNCTION("""COMPUTED_VALUE"""),1.0666666666666667)</f>
        <v>1.066666667</v>
      </c>
      <c r="W836" s="57">
        <f>IFERROR(__xludf.DUMMYFUNCTION("""COMPUTED_VALUE"""),4.466666666666667)</f>
        <v>4.466666667</v>
      </c>
      <c r="X836" s="31">
        <f>IFERROR(__xludf.DUMMYFUNCTION("""COMPUTED_VALUE"""),374.64695611577963)</f>
        <v>374.6469561</v>
      </c>
      <c r="Y836" s="57">
        <f>IFERROR(__xludf.DUMMYFUNCTION("""COMPUTED_VALUE"""),0.8889604730781201)</f>
        <v>0.8889604731</v>
      </c>
      <c r="Z836" s="57">
        <f>IFERROR(__xludf.DUMMYFUNCTION("""COMPUTED_VALUE"""),0.6564737005913476)</f>
        <v>0.6564737006</v>
      </c>
      <c r="AA836" s="57">
        <f>IFERROR(__xludf.DUMMYFUNCTION("""COMPUTED_VALUE"""),1.3237659508247746)</f>
        <v>1.323765951</v>
      </c>
      <c r="AB836" s="57">
        <f>IFERROR(__xludf.DUMMYFUNCTION("""COMPUTED_VALUE"""),2.9219296607531904)</f>
        <v>2.921929661</v>
      </c>
      <c r="AC836" s="31">
        <f>IFERROR(__xludf.DUMMYFUNCTION("""COMPUTED_VALUE"""),350.80464882249197)</f>
        <v>350.8046488</v>
      </c>
      <c r="AD836" s="57">
        <f>IFERROR(__xludf.DUMMYFUNCTION("""COMPUTED_VALUE"""),0.7159663865546217)</f>
        <v>0.7159663866</v>
      </c>
      <c r="AE836" s="57">
        <f>IFERROR(__xludf.DUMMYFUNCTION("""COMPUTED_VALUE"""),0.47135802469135796)</f>
        <v>0.4713580247</v>
      </c>
      <c r="AF836" s="57">
        <f>IFERROR(__xludf.DUMMYFUNCTION("""COMPUTED_VALUE"""),1.5262703599958503)</f>
        <v>1.52627036</v>
      </c>
      <c r="AG836" s="57">
        <f>IFERROR(__xludf.DUMMYFUNCTION("""COMPUTED_VALUE"""),2.464703807448906)</f>
        <v>2.464703807</v>
      </c>
      <c r="AH836" s="57">
        <f>IFERROR(__xludf.DUMMYFUNCTION("""COMPUTED_VALUE"""),1.1561990451421715)</f>
        <v>1.156199045</v>
      </c>
      <c r="AI836" s="57">
        <f>IFERROR(__xludf.DUMMYFUNCTION("""COMPUTED_VALUE"""),0.27934272300469487)</f>
        <v>0.279342723</v>
      </c>
      <c r="AJ836" s="57">
        <f>IFERROR(__xludf.DUMMYFUNCTION("""COMPUTED_VALUE"""),0.42430591932949197)</f>
        <v>0.4243059193</v>
      </c>
      <c r="AK836" s="57">
        <f>IFERROR(__xludf.DUMMYFUNCTION("""COMPUTED_VALUE"""),2.358690894062693)</f>
        <v>2.358690894</v>
      </c>
      <c r="AL836" s="57">
        <f>IFERROR(__xludf.DUMMYFUNCTION("""COMPUTED_VALUE"""),0.6491652243017718)</f>
        <v>0.6491652243</v>
      </c>
      <c r="AM836" s="57">
        <f>IFERROR(__xludf.DUMMYFUNCTION("""COMPUTED_VALUE"""),1.1518399556941115)</f>
        <v>1.151839956</v>
      </c>
      <c r="AN836" s="57">
        <f>IFERROR(__xludf.DUMMYFUNCTION("""COMPUTED_VALUE"""),1.3498912902672404)</f>
        <v>1.34989129</v>
      </c>
      <c r="AO836" s="57">
        <f>IFERROR(__xludf.DUMMYFUNCTION("""COMPUTED_VALUE"""),1.1170795306388526)</f>
        <v>1.117079531</v>
      </c>
      <c r="AP836" s="35">
        <f>IFERROR(__xludf.DUMMYFUNCTION("""COMPUTED_VALUE"""),0.8057819178700572)</f>
        <v>0.8057819179</v>
      </c>
      <c r="AQ836" s="57">
        <f>IFERROR(__xludf.DUMMYFUNCTION("""COMPUTED_VALUE"""),1.528670154748108)</f>
        <v>1.528670155</v>
      </c>
      <c r="AR836" s="36" t="b">
        <f>IFERROR(__xludf.DUMMYFUNCTION("""COMPUTED_VALUE"""),TRUE)</f>
        <v>1</v>
      </c>
      <c r="AS836" s="57"/>
      <c r="AT836" s="37"/>
      <c r="AU836" s="30"/>
      <c r="AV836" s="30"/>
      <c r="AW836" s="30"/>
      <c r="AX836" s="30"/>
      <c r="AY836" s="30"/>
      <c r="AZ836" s="30"/>
    </row>
    <row r="837">
      <c r="A837" s="30" t="str">
        <f>IFERROR(__xludf.DUMMYFUNCTION("""COMPUTED_VALUE"""),"Veteran")</f>
        <v>Veteran</v>
      </c>
      <c r="B837" s="30" t="str">
        <f>IFERROR(__xludf.DUMMYFUNCTION("""COMPUTED_VALUE"""),"RSC004188")</f>
        <v>RSC004188</v>
      </c>
      <c r="C837" s="30" t="str">
        <f>IFERROR(__xludf.DUMMYFUNCTION("""COMPUTED_VALUE"""),"wntr")</f>
        <v>wntr</v>
      </c>
      <c r="D837" s="31" t="str">
        <f>IFERROR(__xludf.DUMMYFUNCTION("""COMPUTED_VALUE"""),"Azalea")</f>
        <v>Azalea</v>
      </c>
      <c r="E837" s="31">
        <f>IFERROR(__xludf.DUMMYFUNCTION("""COMPUTED_VALUE"""),-4.004366468591378)</f>
        <v>-4.004366469</v>
      </c>
      <c r="F837" s="31">
        <f>IFERROR(__xludf.DUMMYFUNCTION("""COMPUTED_VALUE"""),-65.02130020215253)</f>
        <v>-65.0213002</v>
      </c>
      <c r="G837" s="31">
        <f>IFERROR(__xludf.DUMMYFUNCTION("""COMPUTED_VALUE"""),6.362832855768467)</f>
        <v>6.362832856</v>
      </c>
      <c r="H837" s="31">
        <f>IFERROR(__xludf.DUMMYFUNCTION("""COMPUTED_VALUE"""),-24.721821396191935)</f>
        <v>-24.7218214</v>
      </c>
      <c r="I837" s="54">
        <f>IFERROR(__xludf.DUMMYFUNCTION("""COMPUTED_VALUE"""),9.0)</f>
        <v>9</v>
      </c>
      <c r="J837" s="55">
        <f>IFERROR(__xludf.DUMMYFUNCTION("""COMPUTED_VALUE"""),3.0)</f>
        <v>3</v>
      </c>
      <c r="K837" s="54">
        <f>IFERROR(__xludf.DUMMYFUNCTION("""COMPUTED_VALUE"""),6.0)</f>
        <v>6</v>
      </c>
      <c r="L837" s="56">
        <f>IFERROR(__xludf.DUMMYFUNCTION("""COMPUTED_VALUE"""),0.3333333333333333)</f>
        <v>0.3333333333</v>
      </c>
      <c r="M837" s="56">
        <f>IFERROR(__xludf.DUMMYFUNCTION("""COMPUTED_VALUE"""),0.14285714285714285)</f>
        <v>0.1428571429</v>
      </c>
      <c r="N837" s="31">
        <f>IFERROR(__xludf.DUMMYFUNCTION("""COMPUTED_VALUE"""),238.55555555555554)</f>
        <v>238.5555556</v>
      </c>
      <c r="O837" s="57">
        <f>IFERROR(__xludf.DUMMYFUNCTION("""COMPUTED_VALUE"""),0.1111111111111111)</f>
        <v>0.1111111111</v>
      </c>
      <c r="P837" s="57">
        <f>IFERROR(__xludf.DUMMYFUNCTION("""COMPUTED_VALUE"""),0.5555555555555556)</f>
        <v>0.5555555556</v>
      </c>
      <c r="Q837" s="57">
        <f>IFERROR(__xludf.DUMMYFUNCTION("""COMPUTED_VALUE"""),1.2222222222222223)</f>
        <v>1.222222222</v>
      </c>
      <c r="R837" s="57">
        <f>IFERROR(__xludf.DUMMYFUNCTION("""COMPUTED_VALUE"""),0.7777777777777778)</f>
        <v>0.7777777778</v>
      </c>
      <c r="S837" s="31">
        <f>IFERROR(__xludf.DUMMYFUNCTION("""COMPUTED_VALUE"""),350.55555555555554)</f>
        <v>350.5555556</v>
      </c>
      <c r="T837" s="57">
        <f>IFERROR(__xludf.DUMMYFUNCTION("""COMPUTED_VALUE"""),0.9629629629629631)</f>
        <v>0.962962963</v>
      </c>
      <c r="U837" s="57">
        <f>IFERROR(__xludf.DUMMYFUNCTION("""COMPUTED_VALUE"""),0.5185185185185185)</f>
        <v>0.5185185185</v>
      </c>
      <c r="V837" s="57">
        <f>IFERROR(__xludf.DUMMYFUNCTION("""COMPUTED_VALUE"""),0.9629629629629629)</f>
        <v>0.962962963</v>
      </c>
      <c r="W837" s="57">
        <f>IFERROR(__xludf.DUMMYFUNCTION("""COMPUTED_VALUE"""),2.6666666666666665)</f>
        <v>2.666666667</v>
      </c>
      <c r="X837" s="31">
        <f>IFERROR(__xludf.DUMMYFUNCTION("""COMPUTED_VALUE"""),343.24963645271714)</f>
        <v>343.2496365</v>
      </c>
      <c r="Y837" s="57">
        <f>IFERROR(__xludf.DUMMYFUNCTION("""COMPUTED_VALUE"""),0.7673773250793768)</f>
        <v>0.7673773251</v>
      </c>
      <c r="Z837" s="57">
        <f>IFERROR(__xludf.DUMMYFUNCTION("""COMPUTED_VALUE"""),0.544703882626588)</f>
        <v>0.5447038826</v>
      </c>
      <c r="AA837" s="57">
        <f>IFERROR(__xludf.DUMMYFUNCTION("""COMPUTED_VALUE"""),1.3392838376520146)</f>
        <v>1.339283838</v>
      </c>
      <c r="AB837" s="57">
        <f>IFERROR(__xludf.DUMMYFUNCTION("""COMPUTED_VALUE"""),2.46072709346385)</f>
        <v>2.460727093</v>
      </c>
      <c r="AC837" s="31">
        <f>IFERROR(__xludf.DUMMYFUNCTION("""COMPUTED_VALUE"""),358.6460656380608)</f>
        <v>358.6460656</v>
      </c>
      <c r="AD837" s="57">
        <f>IFERROR(__xludf.DUMMYFUNCTION("""COMPUTED_VALUE"""),0.8782715564616281)</f>
        <v>0.8782715565</v>
      </c>
      <c r="AE837" s="57">
        <f>IFERROR(__xludf.DUMMYFUNCTION("""COMPUTED_VALUE"""),0.6150312642522556)</f>
        <v>0.6150312643</v>
      </c>
      <c r="AF837" s="57">
        <f>IFERROR(__xludf.DUMMYFUNCTION("""COMPUTED_VALUE"""),1.2734299210868796)</f>
        <v>1.273429921</v>
      </c>
      <c r="AG837" s="57">
        <f>IFERROR(__xludf.DUMMYFUNCTION("""COMPUTED_VALUE"""),2.626183380972653)</f>
        <v>2.626183381</v>
      </c>
      <c r="AH837" s="57">
        <f>IFERROR(__xludf.DUMMYFUNCTION("""COMPUTED_VALUE"""),0.6651559250514727)</f>
        <v>0.6651559251</v>
      </c>
      <c r="AI837" s="57">
        <f>IFERROR(__xludf.DUMMYFUNCTION("""COMPUTED_VALUE"""),0.12651111184649366)</f>
        <v>0.1265111118</v>
      </c>
      <c r="AJ837" s="57">
        <f>IFERROR(__xludf.DUMMYFUNCTION("""COMPUTED_VALUE"""),0.9032964466139627)</f>
        <v>0.9032964466</v>
      </c>
      <c r="AK837" s="57">
        <f>IFERROR(__xludf.DUMMYFUNCTION("""COMPUTED_VALUE"""),0.9597875799706739)</f>
        <v>0.95978758</v>
      </c>
      <c r="AL837" s="57">
        <f>IFERROR(__xludf.DUMMYFUNCTION("""COMPUTED_VALUE"""),0.2961627826194354)</f>
        <v>0.2961627826</v>
      </c>
      <c r="AM837" s="57">
        <f>IFERROR(__xludf.DUMMYFUNCTION("""COMPUTED_VALUE"""),1.0212845647218765)</f>
        <v>1.021284565</v>
      </c>
      <c r="AN837" s="57">
        <f>IFERROR(__xludf.DUMMYFUNCTION("""COMPUTED_VALUE"""),1.2548754458744986)</f>
        <v>1.254875446</v>
      </c>
      <c r="AO837" s="57">
        <f>IFERROR(__xludf.DUMMYFUNCTION("""COMPUTED_VALUE"""),0.9519273408116674)</f>
        <v>0.9519273408</v>
      </c>
      <c r="AP837" s="35">
        <f>IFERROR(__xludf.DUMMYFUNCTION("""COMPUTED_VALUE"""),0.7190133531747801)</f>
        <v>0.7190133532</v>
      </c>
      <c r="AQ837" s="57">
        <f>IFERROR(__xludf.DUMMYFUNCTION("""COMPUTED_VALUE"""),1.0836905375447081)</f>
        <v>1.083690538</v>
      </c>
      <c r="AR837" s="36" t="b">
        <f>IFERROR(__xludf.DUMMYFUNCTION("""COMPUTED_VALUE"""),TRUE)</f>
        <v>1</v>
      </c>
      <c r="AS837" s="57"/>
      <c r="AT837" s="37"/>
      <c r="AU837" s="30"/>
      <c r="AV837" s="30"/>
      <c r="AW837" s="30"/>
      <c r="AX837" s="30"/>
      <c r="AY837" s="30"/>
      <c r="AZ837" s="30"/>
    </row>
    <row r="838">
      <c r="A838" s="30" t="str">
        <f>IFERROR(__xludf.DUMMYFUNCTION("""COMPUTED_VALUE"""),"Veteran")</f>
        <v>Veteran</v>
      </c>
      <c r="B838" s="30" t="str">
        <f>IFERROR(__xludf.DUMMYFUNCTION("""COMPUTED_VALUE"""),"RSC007486")</f>
        <v>RSC007486</v>
      </c>
      <c r="C838" s="30" t="str">
        <f>IFERROR(__xludf.DUMMYFUNCTION("""COMPUTED_VALUE"""),"risfox")</f>
        <v>risfox</v>
      </c>
      <c r="D838" s="31"/>
      <c r="E838" s="31">
        <f>IFERROR(__xludf.DUMMYFUNCTION("""COMPUTED_VALUE"""),-5.753405201037374)</f>
        <v>-5.753405201</v>
      </c>
      <c r="F838" s="31">
        <f>IFERROR(__xludf.DUMMYFUNCTION("""COMPUTED_VALUE"""),-77.70490273208054)</f>
        <v>-77.70490273</v>
      </c>
      <c r="G838" s="31">
        <f>IFERROR(__xludf.DUMMYFUNCTION("""COMPUTED_VALUE"""),28.729079781107046)</f>
        <v>28.72907978</v>
      </c>
      <c r="H838" s="31">
        <f>IFERROR(__xludf.DUMMYFUNCTION("""COMPUTED_VALUE"""),-5.065086214169456)</f>
        <v>-5.065086214</v>
      </c>
      <c r="I838" s="54">
        <f>IFERROR(__xludf.DUMMYFUNCTION("""COMPUTED_VALUE"""),1.0)</f>
        <v>1</v>
      </c>
      <c r="J838" s="55">
        <f>IFERROR(__xludf.DUMMYFUNCTION("""COMPUTED_VALUE"""),0.0)</f>
        <v>0</v>
      </c>
      <c r="K838" s="54">
        <f>IFERROR(__xludf.DUMMYFUNCTION("""COMPUTED_VALUE"""),1.0)</f>
        <v>1</v>
      </c>
      <c r="L838" s="56">
        <f>IFERROR(__xludf.DUMMYFUNCTION("""COMPUTED_VALUE"""),0.0)</f>
        <v>0</v>
      </c>
      <c r="M838" s="56">
        <f>IFERROR(__xludf.DUMMYFUNCTION("""COMPUTED_VALUE"""),0.0)</f>
        <v>0</v>
      </c>
      <c r="N838" s="31">
        <f>IFERROR(__xludf.DUMMYFUNCTION("""COMPUTED_VALUE"""),288.0)</f>
        <v>288</v>
      </c>
      <c r="O838" s="57">
        <f>IFERROR(__xludf.DUMMYFUNCTION("""COMPUTED_VALUE"""),0.0)</f>
        <v>0</v>
      </c>
      <c r="P838" s="57">
        <f>IFERROR(__xludf.DUMMYFUNCTION("""COMPUTED_VALUE"""),0.0)</f>
        <v>0</v>
      </c>
      <c r="Q838" s="57">
        <f>IFERROR(__xludf.DUMMYFUNCTION("""COMPUTED_VALUE"""),2.0)</f>
        <v>2</v>
      </c>
      <c r="R838" s="57">
        <f>IFERROR(__xludf.DUMMYFUNCTION("""COMPUTED_VALUE"""),6.0)</f>
        <v>6</v>
      </c>
      <c r="S838" s="31">
        <f>IFERROR(__xludf.DUMMYFUNCTION("""COMPUTED_VALUE"""),498.3333333333333)</f>
        <v>498.3333333</v>
      </c>
      <c r="T838" s="57">
        <f>IFERROR(__xludf.DUMMYFUNCTION("""COMPUTED_VALUE"""),1.3333333333333333)</f>
        <v>1.333333333</v>
      </c>
      <c r="U838" s="57">
        <f>IFERROR(__xludf.DUMMYFUNCTION("""COMPUTED_VALUE"""),1.0)</f>
        <v>1</v>
      </c>
      <c r="V838" s="57">
        <f>IFERROR(__xludf.DUMMYFUNCTION("""COMPUTED_VALUE"""),2.3333333333333335)</f>
        <v>2.333333333</v>
      </c>
      <c r="W838" s="57">
        <f>IFERROR(__xludf.DUMMYFUNCTION("""COMPUTED_VALUE"""),3.6666666666666665)</f>
        <v>3.666666667</v>
      </c>
      <c r="X838" s="31">
        <f>IFERROR(__xludf.DUMMYFUNCTION("""COMPUTED_VALUE"""),346.1847494553377)</f>
        <v>346.1847495</v>
      </c>
      <c r="Y838" s="57">
        <f>IFERROR(__xludf.DUMMYFUNCTION("""COMPUTED_VALUE"""),0.8412490922294844)</f>
        <v>0.8412490922</v>
      </c>
      <c r="Z838" s="57">
        <f>IFERROR(__xludf.DUMMYFUNCTION("""COMPUTED_VALUE"""),0.515758896151053)</f>
        <v>0.5157588962</v>
      </c>
      <c r="AA838" s="57">
        <f>IFERROR(__xludf.DUMMYFUNCTION("""COMPUTED_VALUE"""),1.2790123456790123)</f>
        <v>1.279012346</v>
      </c>
      <c r="AB838" s="57">
        <f>IFERROR(__xludf.DUMMYFUNCTION("""COMPUTED_VALUE"""),2.733696441539579)</f>
        <v>2.733696442</v>
      </c>
      <c r="AC838" s="31">
        <f>IFERROR(__xludf.DUMMYFUNCTION("""COMPUTED_VALUE"""),336.1567901234567)</f>
        <v>336.1567901</v>
      </c>
      <c r="AD838" s="57">
        <f>IFERROR(__xludf.DUMMYFUNCTION("""COMPUTED_VALUE"""),0.71999515855725)</f>
        <v>0.7199951586</v>
      </c>
      <c r="AE838" s="57">
        <f>IFERROR(__xludf.DUMMYFUNCTION("""COMPUTED_VALUE"""),0.44872912127814096)</f>
        <v>0.4487291213</v>
      </c>
      <c r="AF838" s="57">
        <f>IFERROR(__xludf.DUMMYFUNCTION("""COMPUTED_VALUE"""),1.4427257322682163)</f>
        <v>1.442725732</v>
      </c>
      <c r="AG838" s="57">
        <f>IFERROR(__xludf.DUMMYFUNCTION("""COMPUTED_VALUE"""),2.3608085209392398)</f>
        <v>2.360808521</v>
      </c>
      <c r="AH838" s="57">
        <f>IFERROR(__xludf.DUMMYFUNCTION("""COMPUTED_VALUE"""),0.8567430688942185)</f>
        <v>0.8567430689</v>
      </c>
      <c r="AI838" s="57">
        <f>IFERROR(__xludf.DUMMYFUNCTION("""COMPUTED_VALUE"""),0.0)</f>
        <v>0</v>
      </c>
      <c r="AJ838" s="57">
        <f>IFERROR(__xludf.DUMMYFUNCTION("""COMPUTED_VALUE"""),0.0)</f>
        <v>0</v>
      </c>
      <c r="AK838" s="57">
        <f>IFERROR(__xludf.DUMMYFUNCTION("""COMPUTED_VALUE"""),1.3862648702159428)</f>
        <v>1.38626487</v>
      </c>
      <c r="AL838" s="57">
        <f>IFERROR(__xludf.DUMMYFUNCTION("""COMPUTED_VALUE"""),2.54150217892848)</f>
        <v>2.541502179</v>
      </c>
      <c r="AM838" s="57">
        <f>IFERROR(__xludf.DUMMYFUNCTION("""COMPUTED_VALUE"""),1.439501116433856)</f>
        <v>1.439501116</v>
      </c>
      <c r="AN838" s="57">
        <f>IFERROR(__xludf.DUMMYFUNCTION("""COMPUTED_VALUE"""),1.5849447513812154)</f>
        <v>1.584944751</v>
      </c>
      <c r="AO838" s="57">
        <f>IFERROR(__xludf.DUMMYFUNCTION("""COMPUTED_VALUE"""),1.9388904533934104)</f>
        <v>1.938890453</v>
      </c>
      <c r="AP838" s="35">
        <f>IFERROR(__xludf.DUMMYFUNCTION("""COMPUTED_VALUE"""),1.8243243243243243)</f>
        <v>1.824324324</v>
      </c>
      <c r="AQ838" s="57">
        <f>IFERROR(__xludf.DUMMYFUNCTION("""COMPUTED_VALUE"""),1.341285232314109)</f>
        <v>1.341285232</v>
      </c>
      <c r="AR838" s="36" t="b">
        <f>IFERROR(__xludf.DUMMYFUNCTION("""COMPUTED_VALUE"""),TRUE)</f>
        <v>1</v>
      </c>
      <c r="AS838" s="57"/>
      <c r="AT838" s="37"/>
      <c r="AU838" s="30"/>
      <c r="AV838" s="30"/>
      <c r="AW838" s="30"/>
      <c r="AX838" s="30"/>
      <c r="AY838" s="30"/>
      <c r="AZ838" s="30"/>
    </row>
    <row r="839">
      <c r="A839" s="30" t="str">
        <f>IFERROR(__xludf.DUMMYFUNCTION("""COMPUTED_VALUE"""),"Veteran")</f>
        <v>Veteran</v>
      </c>
      <c r="B839" s="30" t="str">
        <f>IFERROR(__xludf.DUMMYFUNCTION("""COMPUTED_VALUE"""),"RSC003027")</f>
        <v>RSC003027</v>
      </c>
      <c r="C839" s="30" t="str">
        <f>IFERROR(__xludf.DUMMYFUNCTION("""COMPUTED_VALUE"""),"Defiance")</f>
        <v>Defiance</v>
      </c>
      <c r="D839" s="31" t="str">
        <f>IFERROR(__xludf.DUMMYFUNCTION("""COMPUTED_VALUE"""),"Paradox Paloma")</f>
        <v>Paradox Paloma</v>
      </c>
      <c r="E839" s="31">
        <f>IFERROR(__xludf.DUMMYFUNCTION("""COMPUTED_VALUE"""),-6.469907277001376)</f>
        <v>-6.469907277</v>
      </c>
      <c r="F839" s="31">
        <f>IFERROR(__xludf.DUMMYFUNCTION("""COMPUTED_VALUE"""),-83.69580818206529)</f>
        <v>-83.69580818</v>
      </c>
      <c r="G839" s="31">
        <f>IFERROR(__xludf.DUMMYFUNCTION("""COMPUTED_VALUE"""),6.362930687640009)</f>
        <v>6.362930688</v>
      </c>
      <c r="H839" s="31">
        <f>IFERROR(__xludf.DUMMYFUNCTION("""COMPUTED_VALUE"""),-24.721613416219235)</f>
        <v>-24.72161342</v>
      </c>
      <c r="I839" s="54">
        <f>IFERROR(__xludf.DUMMYFUNCTION("""COMPUTED_VALUE"""),3.0)</f>
        <v>3</v>
      </c>
      <c r="J839" s="55">
        <f>IFERROR(__xludf.DUMMYFUNCTION("""COMPUTED_VALUE"""),0.0)</f>
        <v>0</v>
      </c>
      <c r="K839" s="54">
        <f>IFERROR(__xludf.DUMMYFUNCTION("""COMPUTED_VALUE"""),3.0)</f>
        <v>3</v>
      </c>
      <c r="L839" s="56">
        <f>IFERROR(__xludf.DUMMYFUNCTION("""COMPUTED_VALUE"""),0.0)</f>
        <v>0</v>
      </c>
      <c r="M839" s="56">
        <f>IFERROR(__xludf.DUMMYFUNCTION("""COMPUTED_VALUE"""),0.0)</f>
        <v>0</v>
      </c>
      <c r="N839" s="31">
        <f>IFERROR(__xludf.DUMMYFUNCTION("""COMPUTED_VALUE"""),282.3333333333333)</f>
        <v>282.3333333</v>
      </c>
      <c r="O839" s="57">
        <f>IFERROR(__xludf.DUMMYFUNCTION("""COMPUTED_VALUE"""),0.0)</f>
        <v>0</v>
      </c>
      <c r="P839" s="57">
        <f>IFERROR(__xludf.DUMMYFUNCTION("""COMPUTED_VALUE"""),0.3333333333333333)</f>
        <v>0.3333333333</v>
      </c>
      <c r="Q839" s="57">
        <f>IFERROR(__xludf.DUMMYFUNCTION("""COMPUTED_VALUE"""),1.6666666666666667)</f>
        <v>1.666666667</v>
      </c>
      <c r="R839" s="57">
        <f>IFERROR(__xludf.DUMMYFUNCTION("""COMPUTED_VALUE"""),1.3333333333333333)</f>
        <v>1.333333333</v>
      </c>
      <c r="S839" s="31">
        <f>IFERROR(__xludf.DUMMYFUNCTION("""COMPUTED_VALUE"""),433.0)</f>
        <v>433</v>
      </c>
      <c r="T839" s="57">
        <f>IFERROR(__xludf.DUMMYFUNCTION("""COMPUTED_VALUE"""),0.9999999999999999)</f>
        <v>1</v>
      </c>
      <c r="U839" s="57">
        <f>IFERROR(__xludf.DUMMYFUNCTION("""COMPUTED_VALUE"""),0.3333333333333333)</f>
        <v>0.3333333333</v>
      </c>
      <c r="V839" s="57">
        <f>IFERROR(__xludf.DUMMYFUNCTION("""COMPUTED_VALUE"""),1.888888888888889)</f>
        <v>1.888888889</v>
      </c>
      <c r="W839" s="57">
        <f>IFERROR(__xludf.DUMMYFUNCTION("""COMPUTED_VALUE"""),2.6666666666666665)</f>
        <v>2.666666667</v>
      </c>
      <c r="X839" s="31">
        <f>IFERROR(__xludf.DUMMYFUNCTION("""COMPUTED_VALUE"""),351.68666666666667)</f>
        <v>351.6866667</v>
      </c>
      <c r="Y839" s="57">
        <f>IFERROR(__xludf.DUMMYFUNCTION("""COMPUTED_VALUE"""),0.7529166666666667)</f>
        <v>0.7529166667</v>
      </c>
      <c r="Z839" s="57">
        <f>IFERROR(__xludf.DUMMYFUNCTION("""COMPUTED_VALUE"""),0.5779166666666667)</f>
        <v>0.5779166667</v>
      </c>
      <c r="AA839" s="57">
        <f>IFERROR(__xludf.DUMMYFUNCTION("""COMPUTED_VALUE"""),1.3695833333333332)</f>
        <v>1.369583333</v>
      </c>
      <c r="AB839" s="57">
        <f>IFERROR(__xludf.DUMMYFUNCTION("""COMPUTED_VALUE"""),2.5420833333333337)</f>
        <v>2.542083333</v>
      </c>
      <c r="AC839" s="31">
        <f>IFERROR(__xludf.DUMMYFUNCTION("""COMPUTED_VALUE"""),332.16569444444445)</f>
        <v>332.1656944</v>
      </c>
      <c r="AD839" s="57">
        <f>IFERROR(__xludf.DUMMYFUNCTION("""COMPUTED_VALUE"""),0.5481944444444444)</f>
        <v>0.5481944444</v>
      </c>
      <c r="AE839" s="57">
        <f>IFERROR(__xludf.DUMMYFUNCTION("""COMPUTED_VALUE"""),0.4358333333333333)</f>
        <v>0.4358333333</v>
      </c>
      <c r="AF839" s="57">
        <f>IFERROR(__xludf.DUMMYFUNCTION("""COMPUTED_VALUE"""),1.427361111111111)</f>
        <v>1.427361111</v>
      </c>
      <c r="AG839" s="57">
        <f>IFERROR(__xludf.DUMMYFUNCTION("""COMPUTED_VALUE"""),2.497777777777778)</f>
        <v>2.497777778</v>
      </c>
      <c r="AH839" s="57">
        <f>IFERROR(__xludf.DUMMYFUNCTION("""COMPUTED_VALUE"""),0.8499774000007525)</f>
        <v>0.8499774</v>
      </c>
      <c r="AI839" s="57">
        <f>IFERROR(__xludf.DUMMYFUNCTION("""COMPUTED_VALUE"""),0.0)</f>
        <v>0</v>
      </c>
      <c r="AJ839" s="57">
        <f>IFERROR(__xludf.DUMMYFUNCTION("""COMPUTED_VALUE"""),0.7648183556405354)</f>
        <v>0.7648183556</v>
      </c>
      <c r="AK839" s="57">
        <f>IFERROR(__xludf.DUMMYFUNCTION("""COMPUTED_VALUE"""),1.1676559307190815)</f>
        <v>1.167655931</v>
      </c>
      <c r="AL839" s="57">
        <f>IFERROR(__xludf.DUMMYFUNCTION("""COMPUTED_VALUE"""),0.5338078291814946)</f>
        <v>0.5338078292</v>
      </c>
      <c r="AM839" s="57">
        <f>IFERROR(__xludf.DUMMYFUNCTION("""COMPUTED_VALUE"""),1.2312095994540595)</f>
        <v>1.231209599</v>
      </c>
      <c r="AN839" s="57">
        <f>IFERROR(__xludf.DUMMYFUNCTION("""COMPUTED_VALUE"""),1.3281682346430546)</f>
        <v>1.328168235</v>
      </c>
      <c r="AO839" s="57">
        <f>IFERROR(__xludf.DUMMYFUNCTION("""COMPUTED_VALUE"""),0.5767844268204757)</f>
        <v>0.5767844268</v>
      </c>
      <c r="AP839" s="35">
        <f>IFERROR(__xludf.DUMMYFUNCTION("""COMPUTED_VALUE"""),1.3791704695264175)</f>
        <v>1.37917047</v>
      </c>
      <c r="AQ839" s="57">
        <f>IFERROR(__xludf.DUMMYFUNCTION("""COMPUTED_VALUE"""),1.049008359285363)</f>
        <v>1.049008359</v>
      </c>
      <c r="AR839" s="36" t="b">
        <f>IFERROR(__xludf.DUMMYFUNCTION("""COMPUTED_VALUE"""),TRUE)</f>
        <v>1</v>
      </c>
      <c r="AS839" s="57"/>
      <c r="AT839" s="37"/>
      <c r="AU839" s="30"/>
      <c r="AV839" s="30"/>
      <c r="AW839" s="30"/>
      <c r="AX839" s="30"/>
      <c r="AY839" s="30"/>
      <c r="AZ839" s="30"/>
    </row>
    <row r="840">
      <c r="A840" s="30" t="str">
        <f>IFERROR(__xludf.DUMMYFUNCTION("""COMPUTED_VALUE"""),"Veteran")</f>
        <v>Veteran</v>
      </c>
      <c r="B840" s="30" t="str">
        <f>IFERROR(__xludf.DUMMYFUNCTION("""COMPUTED_VALUE"""),"RSC004198")</f>
        <v>RSC004198</v>
      </c>
      <c r="C840" s="30" t="str">
        <f>IFERROR(__xludf.DUMMYFUNCTION("""COMPUTED_VALUE"""),"Dr. Cereal")</f>
        <v>Dr. Cereal</v>
      </c>
      <c r="D840" s="31" t="str">
        <f>IFERROR(__xludf.DUMMYFUNCTION("""COMPUTED_VALUE"""),"Giraffes")</f>
        <v>Giraffes</v>
      </c>
      <c r="E840" s="31">
        <f>IFERROR(__xludf.DUMMYFUNCTION("""COMPUTED_VALUE"""),-15.848679782690311)</f>
        <v>-15.84867978</v>
      </c>
      <c r="F840" s="31">
        <f>IFERROR(__xludf.DUMMYFUNCTION("""COMPUTED_VALUE"""),-236.97071755791643)</f>
        <v>-236.9707176</v>
      </c>
      <c r="G840" s="31">
        <f>IFERROR(__xludf.DUMMYFUNCTION("""COMPUTED_VALUE"""),-0.02553420055934197)</f>
        <v>-0.02553420056</v>
      </c>
      <c r="H840" s="31">
        <f>IFERROR(__xludf.DUMMYFUNCTION("""COMPUTED_VALUE"""),-44.0624842064285)</f>
        <v>-44.06248421</v>
      </c>
      <c r="I840" s="54">
        <f>IFERROR(__xludf.DUMMYFUNCTION("""COMPUTED_VALUE"""),6.0)</f>
        <v>6</v>
      </c>
      <c r="J840" s="55">
        <f>IFERROR(__xludf.DUMMYFUNCTION("""COMPUTED_VALUE"""),1.0)</f>
        <v>1</v>
      </c>
      <c r="K840" s="54">
        <f>IFERROR(__xludf.DUMMYFUNCTION("""COMPUTED_VALUE"""),5.0)</f>
        <v>5</v>
      </c>
      <c r="L840" s="56">
        <f>IFERROR(__xludf.DUMMYFUNCTION("""COMPUTED_VALUE"""),0.16666666666666666)</f>
        <v>0.1666666667</v>
      </c>
      <c r="M840" s="56">
        <f>IFERROR(__xludf.DUMMYFUNCTION("""COMPUTED_VALUE"""),0.27272727272727276)</f>
        <v>0.2727272727</v>
      </c>
      <c r="N840" s="31">
        <f>IFERROR(__xludf.DUMMYFUNCTION("""COMPUTED_VALUE"""),208.0)</f>
        <v>208</v>
      </c>
      <c r="O840" s="57">
        <f>IFERROR(__xludf.DUMMYFUNCTION("""COMPUTED_VALUE"""),0.5)</f>
        <v>0.5</v>
      </c>
      <c r="P840" s="57">
        <f>IFERROR(__xludf.DUMMYFUNCTION("""COMPUTED_VALUE"""),0.0)</f>
        <v>0</v>
      </c>
      <c r="Q840" s="57">
        <f>IFERROR(__xludf.DUMMYFUNCTION("""COMPUTED_VALUE"""),0.5)</f>
        <v>0.5</v>
      </c>
      <c r="R840" s="57">
        <f>IFERROR(__xludf.DUMMYFUNCTION("""COMPUTED_VALUE"""),1.8333333333333333)</f>
        <v>1.833333333</v>
      </c>
      <c r="S840" s="31">
        <f>IFERROR(__xludf.DUMMYFUNCTION("""COMPUTED_VALUE"""),370.8333333333333)</f>
        <v>370.8333333</v>
      </c>
      <c r="T840" s="57">
        <f>IFERROR(__xludf.DUMMYFUNCTION("""COMPUTED_VALUE"""),1.0555555555555556)</f>
        <v>1.055555556</v>
      </c>
      <c r="U840" s="57">
        <f>IFERROR(__xludf.DUMMYFUNCTION("""COMPUTED_VALUE"""),0.8888888888888888)</f>
        <v>0.8888888889</v>
      </c>
      <c r="V840" s="57">
        <f>IFERROR(__xludf.DUMMYFUNCTION("""COMPUTED_VALUE"""),0.9444444444444443)</f>
        <v>0.9444444444</v>
      </c>
      <c r="W840" s="57">
        <f>IFERROR(__xludf.DUMMYFUNCTION("""COMPUTED_VALUE"""),2.7222222222222228)</f>
        <v>2.722222222</v>
      </c>
      <c r="X840" s="31">
        <f>IFERROR(__xludf.DUMMYFUNCTION("""COMPUTED_VALUE"""),340.4308831423068)</f>
        <v>340.4308831</v>
      </c>
      <c r="Y840" s="57">
        <f>IFERROR(__xludf.DUMMYFUNCTION("""COMPUTED_VALUE"""),0.7700084462126234)</f>
        <v>0.7700084462</v>
      </c>
      <c r="Z840" s="57">
        <f>IFERROR(__xludf.DUMMYFUNCTION("""COMPUTED_VALUE"""),0.503312234716753)</f>
        <v>0.5033122347</v>
      </c>
      <c r="AA840" s="57">
        <f>IFERROR(__xludf.DUMMYFUNCTION("""COMPUTED_VALUE"""),1.278682165297681)</f>
        <v>1.278682165</v>
      </c>
      <c r="AB840" s="57">
        <f>IFERROR(__xludf.DUMMYFUNCTION("""COMPUTED_VALUE"""),2.4510314190088276)</f>
        <v>2.451031419</v>
      </c>
      <c r="AC840" s="31">
        <f>IFERROR(__xludf.DUMMYFUNCTION("""COMPUTED_VALUE"""),343.8267193887753)</f>
        <v>343.8267194</v>
      </c>
      <c r="AD840" s="57">
        <f>IFERROR(__xludf.DUMMYFUNCTION("""COMPUTED_VALUE"""),0.7887234603986523)</f>
        <v>0.7887234604</v>
      </c>
      <c r="AE840" s="57">
        <f>IFERROR(__xludf.DUMMYFUNCTION("""COMPUTED_VALUE"""),0.6007575467116532)</f>
        <v>0.6007575467</v>
      </c>
      <c r="AF840" s="57">
        <f>IFERROR(__xludf.DUMMYFUNCTION("""COMPUTED_VALUE"""),1.2221601066620957)</f>
        <v>1.222160107</v>
      </c>
      <c r="AG840" s="57">
        <f>IFERROR(__xludf.DUMMYFUNCTION("""COMPUTED_VALUE"""),2.5684031395703744)</f>
        <v>2.56840314</v>
      </c>
      <c r="AH840" s="57">
        <f>IFERROR(__xludf.DUMMYFUNCTION("""COMPUTED_VALUE"""),0.6049558928106692)</f>
        <v>0.6049558928</v>
      </c>
      <c r="AI840" s="57">
        <f>IFERROR(__xludf.DUMMYFUNCTION("""COMPUTED_VALUE"""),0.6339357520153897)</f>
        <v>0.633935752</v>
      </c>
      <c r="AJ840" s="57">
        <f>IFERROR(__xludf.DUMMYFUNCTION("""COMPUTED_VALUE"""),0.0)</f>
        <v>0</v>
      </c>
      <c r="AK840" s="57">
        <f>IFERROR(__xludf.DUMMYFUNCTION("""COMPUTED_VALUE"""),0.40911170089291793)</f>
        <v>0.4091117009</v>
      </c>
      <c r="AL840" s="57">
        <f>IFERROR(__xludf.DUMMYFUNCTION("""COMPUTED_VALUE"""),0.7138027925164432)</f>
        <v>0.7138027925</v>
      </c>
      <c r="AM840" s="57">
        <f>IFERROR(__xludf.DUMMYFUNCTION("""COMPUTED_VALUE"""),1.0893057936177832)</f>
        <v>1.089305794</v>
      </c>
      <c r="AN840" s="57">
        <f>IFERROR(__xludf.DUMMYFUNCTION("""COMPUTED_VALUE"""),1.370836334000528)</f>
        <v>1.370836334</v>
      </c>
      <c r="AO840" s="57">
        <f>IFERROR(__xludf.DUMMYFUNCTION("""COMPUTED_VALUE"""),1.766078445101032)</f>
        <v>1.766078445</v>
      </c>
      <c r="AP840" s="35">
        <f>IFERROR(__xludf.DUMMYFUNCTION("""COMPUTED_VALUE"""),0.7386076619161845)</f>
        <v>0.7386076619</v>
      </c>
      <c r="AQ840" s="57">
        <f>IFERROR(__xludf.DUMMYFUNCTION("""COMPUTED_VALUE"""),1.1106435442280302)</f>
        <v>1.110643544</v>
      </c>
      <c r="AR840" s="36" t="b">
        <f>IFERROR(__xludf.DUMMYFUNCTION("""COMPUTED_VALUE"""),TRUE)</f>
        <v>1</v>
      </c>
      <c r="AS840" s="57"/>
      <c r="AT840" s="37"/>
      <c r="AU840" s="30"/>
      <c r="AV840" s="30"/>
      <c r="AW840" s="30"/>
      <c r="AX840" s="30"/>
      <c r="AY840" s="30"/>
      <c r="AZ840" s="30"/>
    </row>
    <row r="841">
      <c r="A841" s="30" t="str">
        <f>IFERROR(__xludf.DUMMYFUNCTION("""COMPUTED_VALUE"""),"Veteran")</f>
        <v>Veteran</v>
      </c>
      <c r="B841" s="30" t="str">
        <f>IFERROR(__xludf.DUMMYFUNCTION("""COMPUTED_VALUE"""),"RSC007062")</f>
        <v>RSC007062</v>
      </c>
      <c r="C841" s="30" t="str">
        <f>IFERROR(__xludf.DUMMYFUNCTION("""COMPUTED_VALUE"""),"Ice Phoenix")</f>
        <v>Ice Phoenix</v>
      </c>
      <c r="D841" s="31" t="str">
        <f>IFERROR(__xludf.DUMMYFUNCTION("""COMPUTED_VALUE"""),"Mellow Fellows")</f>
        <v>Mellow Fellows</v>
      </c>
      <c r="E841" s="31">
        <f>IFERROR(__xludf.DUMMYFUNCTION("""COMPUTED_VALUE"""),-19.649256073670088)</f>
        <v>-19.64925607</v>
      </c>
      <c r="F841" s="31">
        <f>IFERROR(__xludf.DUMMYFUNCTION("""COMPUTED_VALUE"""),-374.7580193792522)</f>
        <v>-374.7580194</v>
      </c>
      <c r="G841" s="31">
        <f>IFERROR(__xludf.DUMMYFUNCTION("""COMPUTED_VALUE"""),-16.322547989252143)</f>
        <v>-16.32254799</v>
      </c>
      <c r="H841" s="31">
        <f>IFERROR(__xludf.DUMMYFUNCTION("""COMPUTED_VALUE"""),-250.61696916903364)</f>
        <v>-250.6169692</v>
      </c>
      <c r="I841" s="54">
        <f>IFERROR(__xludf.DUMMYFUNCTION("""COMPUTED_VALUE"""),4.0)</f>
        <v>4</v>
      </c>
      <c r="J841" s="55">
        <f>IFERROR(__xludf.DUMMYFUNCTION("""COMPUTED_VALUE"""),0.0)</f>
        <v>0</v>
      </c>
      <c r="K841" s="54">
        <f>IFERROR(__xludf.DUMMYFUNCTION("""COMPUTED_VALUE"""),4.0)</f>
        <v>4</v>
      </c>
      <c r="L841" s="56">
        <f>IFERROR(__xludf.DUMMYFUNCTION("""COMPUTED_VALUE"""),0.0)</f>
        <v>0</v>
      </c>
      <c r="M841" s="56">
        <f>IFERROR(__xludf.DUMMYFUNCTION("""COMPUTED_VALUE"""),0.0)</f>
        <v>0</v>
      </c>
      <c r="N841" s="31">
        <f>IFERROR(__xludf.DUMMYFUNCTION("""COMPUTED_VALUE"""),180.75)</f>
        <v>180.75</v>
      </c>
      <c r="O841" s="57">
        <f>IFERROR(__xludf.DUMMYFUNCTION("""COMPUTED_VALUE"""),0.0)</f>
        <v>0</v>
      </c>
      <c r="P841" s="57">
        <f>IFERROR(__xludf.DUMMYFUNCTION("""COMPUTED_VALUE"""),0.25)</f>
        <v>0.25</v>
      </c>
      <c r="Q841" s="57">
        <f>IFERROR(__xludf.DUMMYFUNCTION("""COMPUTED_VALUE"""),0.75)</f>
        <v>0.75</v>
      </c>
      <c r="R841" s="57">
        <f>IFERROR(__xludf.DUMMYFUNCTION("""COMPUTED_VALUE"""),1.0)</f>
        <v>1</v>
      </c>
      <c r="S841" s="31">
        <f>IFERROR(__xludf.DUMMYFUNCTION("""COMPUTED_VALUE"""),349.0833333333333)</f>
        <v>349.0833333</v>
      </c>
      <c r="T841" s="57">
        <f>IFERROR(__xludf.DUMMYFUNCTION("""COMPUTED_VALUE"""),0.8333333333333333)</f>
        <v>0.8333333333</v>
      </c>
      <c r="U841" s="57">
        <f>IFERROR(__xludf.DUMMYFUNCTION("""COMPUTED_VALUE"""),0.6666666666666666)</f>
        <v>0.6666666667</v>
      </c>
      <c r="V841" s="57">
        <f>IFERROR(__xludf.DUMMYFUNCTION("""COMPUTED_VALUE"""),0.8333333333333334)</f>
        <v>0.8333333333</v>
      </c>
      <c r="W841" s="57">
        <f>IFERROR(__xludf.DUMMYFUNCTION("""COMPUTED_VALUE"""),3.0833333333333335)</f>
        <v>3.083333333</v>
      </c>
      <c r="X841" s="31">
        <f>IFERROR(__xludf.DUMMYFUNCTION("""COMPUTED_VALUE"""),373.7903361344538)</f>
        <v>373.7903361</v>
      </c>
      <c r="Y841" s="57">
        <f>IFERROR(__xludf.DUMMYFUNCTION("""COMPUTED_VALUE"""),0.913056333644569)</f>
        <v>0.9130563336</v>
      </c>
      <c r="Z841" s="57">
        <f>IFERROR(__xludf.DUMMYFUNCTION("""COMPUTED_VALUE"""),0.7506224712107065)</f>
        <v>0.7506224712</v>
      </c>
      <c r="AA841" s="57">
        <f>IFERROR(__xludf.DUMMYFUNCTION("""COMPUTED_VALUE"""),1.237877373171491)</f>
        <v>1.237877373</v>
      </c>
      <c r="AB841" s="57">
        <f>IFERROR(__xludf.DUMMYFUNCTION("""COMPUTED_VALUE"""),2.99853719265484)</f>
        <v>2.998537193</v>
      </c>
      <c r="AC841" s="31">
        <f>IFERROR(__xludf.DUMMYFUNCTION("""COMPUTED_VALUE"""),352.3459954352111)</f>
        <v>352.3459954</v>
      </c>
      <c r="AD841" s="57">
        <f>IFERROR(__xludf.DUMMYFUNCTION("""COMPUTED_VALUE"""),0.7173980703392467)</f>
        <v>0.7173980703</v>
      </c>
      <c r="AE841" s="57">
        <f>IFERROR(__xludf.DUMMYFUNCTION("""COMPUTED_VALUE"""),0.48906525573192233)</f>
        <v>0.4890652557</v>
      </c>
      <c r="AF841" s="57">
        <f>IFERROR(__xludf.DUMMYFUNCTION("""COMPUTED_VALUE"""),1.5810872497147008)</f>
        <v>1.58108725</v>
      </c>
      <c r="AG841" s="57">
        <f>IFERROR(__xludf.DUMMYFUNCTION("""COMPUTED_VALUE"""),2.4663761801016704)</f>
        <v>2.46637618</v>
      </c>
      <c r="AH841" s="57">
        <f>IFERROR(__xludf.DUMMYFUNCTION("""COMPUTED_VALUE"""),0.5129900789045184)</f>
        <v>0.5129900789</v>
      </c>
      <c r="AI841" s="57">
        <f>IFERROR(__xludf.DUMMYFUNCTION("""COMPUTED_VALUE"""),0.0)</f>
        <v>0</v>
      </c>
      <c r="AJ841" s="57">
        <f>IFERROR(__xludf.DUMMYFUNCTION("""COMPUTED_VALUE"""),0.511179228272629)</f>
        <v>0.5111792283</v>
      </c>
      <c r="AK841" s="57">
        <f>IFERROR(__xludf.DUMMYFUNCTION("""COMPUTED_VALUE"""),0.474357123640921)</f>
        <v>0.4743571236</v>
      </c>
      <c r="AL841" s="57">
        <f>IFERROR(__xludf.DUMMYFUNCTION("""COMPUTED_VALUE"""),0.4054531535245274)</f>
        <v>0.4054531535</v>
      </c>
      <c r="AM841" s="57">
        <f>IFERROR(__xludf.DUMMYFUNCTION("""COMPUTED_VALUE"""),0.9339014404261289)</f>
        <v>0.9339014404</v>
      </c>
      <c r="AN841" s="57">
        <f>IFERROR(__xludf.DUMMYFUNCTION("""COMPUTED_VALUE"""),0.912685562354064)</f>
        <v>0.9126855624</v>
      </c>
      <c r="AO841" s="57">
        <f>IFERROR(__xludf.DUMMYFUNCTION("""COMPUTED_VALUE"""),0.8881517570229087)</f>
        <v>0.888151757</v>
      </c>
      <c r="AP841" s="35">
        <f>IFERROR(__xludf.DUMMYFUNCTION("""COMPUTED_VALUE"""),0.6731953838030824)</f>
        <v>0.6731953838</v>
      </c>
      <c r="AQ841" s="57">
        <f>IFERROR(__xludf.DUMMYFUNCTION("""COMPUTED_VALUE"""),1.0282791692183137)</f>
        <v>1.028279169</v>
      </c>
      <c r="AR841" s="36" t="b">
        <f>IFERROR(__xludf.DUMMYFUNCTION("""COMPUTED_VALUE"""),TRUE)</f>
        <v>1</v>
      </c>
      <c r="AS841" s="57"/>
      <c r="AT841" s="37"/>
      <c r="AU841" s="30"/>
      <c r="AV841" s="30"/>
      <c r="AW841" s="30"/>
      <c r="AX841" s="30"/>
      <c r="AY841" s="30"/>
      <c r="AZ841" s="30"/>
    </row>
    <row r="842">
      <c r="A842" s="30" t="str">
        <f>IFERROR(__xludf.DUMMYFUNCTION("""COMPUTED_VALUE"""),"Veteran")</f>
        <v>Veteran</v>
      </c>
      <c r="B842" s="30" t="str">
        <f>IFERROR(__xludf.DUMMYFUNCTION("""COMPUTED_VALUE"""),"RSC003694")</f>
        <v>RSC003694</v>
      </c>
      <c r="C842" s="30" t="str">
        <f>IFERROR(__xludf.DUMMYFUNCTION("""COMPUTED_VALUE"""),"TheCroctopusTV")</f>
        <v>TheCroctopusTV</v>
      </c>
      <c r="D842" s="31"/>
      <c r="E842" s="31">
        <f>IFERROR(__xludf.DUMMYFUNCTION("""COMPUTED_VALUE"""),-25.774094250273606)</f>
        <v>-25.77409425</v>
      </c>
      <c r="F842" s="31">
        <f>IFERROR(__xludf.DUMMYFUNCTION("""COMPUTED_VALUE"""),-820.430367678598)</f>
        <v>-820.4303677</v>
      </c>
      <c r="G842" s="31">
        <f>IFERROR(__xludf.DUMMYFUNCTION("""COMPUTED_VALUE"""),-25.65005813151329)</f>
        <v>-25.65005813</v>
      </c>
      <c r="H842" s="31">
        <f>IFERROR(__xludf.DUMMYFUNCTION("""COMPUTED_VALUE"""),-807.0686393747033)</f>
        <v>-807.0686394</v>
      </c>
      <c r="I842" s="54">
        <f>IFERROR(__xludf.DUMMYFUNCTION("""COMPUTED_VALUE"""),4.0)</f>
        <v>4</v>
      </c>
      <c r="J842" s="55">
        <f>IFERROR(__xludf.DUMMYFUNCTION("""COMPUTED_VALUE"""),1.0)</f>
        <v>1</v>
      </c>
      <c r="K842" s="54">
        <f>IFERROR(__xludf.DUMMYFUNCTION("""COMPUTED_VALUE"""),3.0)</f>
        <v>3</v>
      </c>
      <c r="L842" s="56">
        <f>IFERROR(__xludf.DUMMYFUNCTION("""COMPUTED_VALUE"""),0.25)</f>
        <v>0.25</v>
      </c>
      <c r="M842" s="56">
        <f>IFERROR(__xludf.DUMMYFUNCTION("""COMPUTED_VALUE"""),0.5)</f>
        <v>0.5</v>
      </c>
      <c r="N842" s="31">
        <f>IFERROR(__xludf.DUMMYFUNCTION("""COMPUTED_VALUE"""),227.5)</f>
        <v>227.5</v>
      </c>
      <c r="O842" s="57">
        <f>IFERROR(__xludf.DUMMYFUNCTION("""COMPUTED_VALUE"""),0.25)</f>
        <v>0.25</v>
      </c>
      <c r="P842" s="57">
        <f>IFERROR(__xludf.DUMMYFUNCTION("""COMPUTED_VALUE"""),0.0)</f>
        <v>0</v>
      </c>
      <c r="Q842" s="57">
        <f>IFERROR(__xludf.DUMMYFUNCTION("""COMPUTED_VALUE"""),1.25)</f>
        <v>1.25</v>
      </c>
      <c r="R842" s="57">
        <f>IFERROR(__xludf.DUMMYFUNCTION("""COMPUTED_VALUE"""),0.5)</f>
        <v>0.5</v>
      </c>
      <c r="S842" s="31">
        <f>IFERROR(__xludf.DUMMYFUNCTION("""COMPUTED_VALUE"""),380.1666666666667)</f>
        <v>380.1666667</v>
      </c>
      <c r="T842" s="57">
        <f>IFERROR(__xludf.DUMMYFUNCTION("""COMPUTED_VALUE"""),1.0)</f>
        <v>1</v>
      </c>
      <c r="U842" s="57">
        <f>IFERROR(__xludf.DUMMYFUNCTION("""COMPUTED_VALUE"""),0.5833333333333334)</f>
        <v>0.5833333333</v>
      </c>
      <c r="V842" s="57">
        <f>IFERROR(__xludf.DUMMYFUNCTION("""COMPUTED_VALUE"""),1.0)</f>
        <v>1</v>
      </c>
      <c r="W842" s="57">
        <f>IFERROR(__xludf.DUMMYFUNCTION("""COMPUTED_VALUE"""),3.4166666666666665)</f>
        <v>3.416666667</v>
      </c>
      <c r="X842" s="31">
        <f>IFERROR(__xludf.DUMMYFUNCTION("""COMPUTED_VALUE"""),365.6980494015788)</f>
        <v>365.6980494</v>
      </c>
      <c r="Y842" s="57">
        <f>IFERROR(__xludf.DUMMYFUNCTION("""COMPUTED_VALUE"""),0.8678278584160939)</f>
        <v>0.8678278584</v>
      </c>
      <c r="Z842" s="57">
        <f>IFERROR(__xludf.DUMMYFUNCTION("""COMPUTED_VALUE"""),0.5793837535014006)</f>
        <v>0.5793837535</v>
      </c>
      <c r="AA842" s="57">
        <f>IFERROR(__xludf.DUMMYFUNCTION("""COMPUTED_VALUE"""),1.2781512605042016)</f>
        <v>1.278151261</v>
      </c>
      <c r="AB842" s="57">
        <f>IFERROR(__xludf.DUMMYFUNCTION("""COMPUTED_VALUE"""),2.746228673287497)</f>
        <v>2.746228673</v>
      </c>
      <c r="AC842" s="31">
        <f>IFERROR(__xludf.DUMMYFUNCTION("""COMPUTED_VALUE"""),319.2554316271963)</f>
        <v>319.2554316</v>
      </c>
      <c r="AD842" s="57">
        <f>IFERROR(__xludf.DUMMYFUNCTION("""COMPUTED_VALUE"""),0.6737874543756895)</f>
        <v>0.6737874544</v>
      </c>
      <c r="AE842" s="57">
        <f>IFERROR(__xludf.DUMMYFUNCTION("""COMPUTED_VALUE"""),0.466797385620915)</f>
        <v>0.4667973856</v>
      </c>
      <c r="AF842" s="57">
        <f>IFERROR(__xludf.DUMMYFUNCTION("""COMPUTED_VALUE"""),1.1688074017485781)</f>
        <v>1.168807402</v>
      </c>
      <c r="AG842" s="57">
        <f>IFERROR(__xludf.DUMMYFUNCTION("""COMPUTED_VALUE"""),2.3460606060606066)</f>
        <v>2.346060606</v>
      </c>
      <c r="AH842" s="57">
        <f>IFERROR(__xludf.DUMMYFUNCTION("""COMPUTED_VALUE"""),0.7125955503418286)</f>
        <v>0.7125955503</v>
      </c>
      <c r="AI842" s="57">
        <f>IFERROR(__xludf.DUMMYFUNCTION("""COMPUTED_VALUE"""),0.3710368876363871)</f>
        <v>0.3710368876</v>
      </c>
      <c r="AJ842" s="57">
        <f>IFERROR(__xludf.DUMMYFUNCTION("""COMPUTED_VALUE"""),0.0)</f>
        <v>0</v>
      </c>
      <c r="AK842" s="57">
        <f>IFERROR(__xludf.DUMMYFUNCTION("""COMPUTED_VALUE"""),1.0694661910336594)</f>
        <v>1.069466191</v>
      </c>
      <c r="AL842" s="57">
        <f>IFERROR(__xludf.DUMMYFUNCTION("""COMPUTED_VALUE"""),0.21312322397313352)</f>
        <v>0.213123224</v>
      </c>
      <c r="AM842" s="57">
        <f>IFERROR(__xludf.DUMMYFUNCTION("""COMPUTED_VALUE"""),1.0395643818411502)</f>
        <v>1.039564382</v>
      </c>
      <c r="AN842" s="57">
        <f>IFERROR(__xludf.DUMMYFUNCTION("""COMPUTED_VALUE"""),1.1523022570687447)</f>
        <v>1.152302257</v>
      </c>
      <c r="AO842" s="57">
        <f>IFERROR(__xludf.DUMMYFUNCTION("""COMPUTED_VALUE"""),1.0068168632759622)</f>
        <v>1.006816863</v>
      </c>
      <c r="AP842" s="35">
        <f>IFERROR(__xludf.DUMMYFUNCTION("""COMPUTED_VALUE"""),0.782380013149244)</f>
        <v>0.7823800131</v>
      </c>
      <c r="AQ842" s="57">
        <f>IFERROR(__xludf.DUMMYFUNCTION("""COMPUTED_VALUE"""),1.2441304323636644)</f>
        <v>1.244130432</v>
      </c>
      <c r="AR842" s="36" t="b">
        <f>IFERROR(__xludf.DUMMYFUNCTION("""COMPUTED_VALUE"""),TRUE)</f>
        <v>1</v>
      </c>
      <c r="AS842" s="57"/>
      <c r="AT842" s="37"/>
      <c r="AU842" s="30"/>
      <c r="AV842" s="30"/>
      <c r="AW842" s="30"/>
      <c r="AX842" s="30"/>
      <c r="AY842" s="30"/>
      <c r="AZ842" s="30"/>
    </row>
    <row r="843">
      <c r="A843" s="30" t="str">
        <f>IFERROR(__xludf.DUMMYFUNCTION("""COMPUTED_VALUE"""),"Veteran")</f>
        <v>Veteran</v>
      </c>
      <c r="B843" s="30" t="str">
        <f>IFERROR(__xludf.DUMMYFUNCTION("""COMPUTED_VALUE"""),"RSC007505")</f>
        <v>RSC007505</v>
      </c>
      <c r="C843" s="30" t="str">
        <f>IFERROR(__xludf.DUMMYFUNCTION("""COMPUTED_VALUE"""),"Detroeux_RL")</f>
        <v>Detroeux_RL</v>
      </c>
      <c r="D843" s="31"/>
      <c r="E843" s="31">
        <f>IFERROR(__xludf.DUMMYFUNCTION("""COMPUTED_VALUE"""),-39.89128919466863)</f>
        <v>-39.89128919</v>
      </c>
      <c r="F843" s="31">
        <f>IFERROR(__xludf.DUMMYFUNCTION("""COMPUTED_VALUE"""),-6180.839056925713)</f>
        <v>-6180.839057</v>
      </c>
      <c r="G843" s="31">
        <f>IFERROR(__xludf.DUMMYFUNCTION("""COMPUTED_VALUE"""),-38.85610369911531)</f>
        <v>-38.8561037</v>
      </c>
      <c r="H843" s="31">
        <f>IFERROR(__xludf.DUMMYFUNCTION("""COMPUTED_VALUE"""),-5276.110221617393)</f>
        <v>-5276.110222</v>
      </c>
      <c r="I843" s="54">
        <f>IFERROR(__xludf.DUMMYFUNCTION("""COMPUTED_VALUE"""),4.0)</f>
        <v>4</v>
      </c>
      <c r="J843" s="55">
        <f>IFERROR(__xludf.DUMMYFUNCTION("""COMPUTED_VALUE"""),0.0)</f>
        <v>0</v>
      </c>
      <c r="K843" s="54">
        <f>IFERROR(__xludf.DUMMYFUNCTION("""COMPUTED_VALUE"""),4.0)</f>
        <v>4</v>
      </c>
      <c r="L843" s="56">
        <f>IFERROR(__xludf.DUMMYFUNCTION("""COMPUTED_VALUE"""),0.0)</f>
        <v>0</v>
      </c>
      <c r="M843" s="56">
        <f>IFERROR(__xludf.DUMMYFUNCTION("""COMPUTED_VALUE"""),0.3333333333333333)</f>
        <v>0.3333333333</v>
      </c>
      <c r="N843" s="31">
        <f>IFERROR(__xludf.DUMMYFUNCTION("""COMPUTED_VALUE"""),189.0)</f>
        <v>189</v>
      </c>
      <c r="O843" s="57">
        <f>IFERROR(__xludf.DUMMYFUNCTION("""COMPUTED_VALUE"""),0.25)</f>
        <v>0.25</v>
      </c>
      <c r="P843" s="57">
        <f>IFERROR(__xludf.DUMMYFUNCTION("""COMPUTED_VALUE"""),0.25)</f>
        <v>0.25</v>
      </c>
      <c r="Q843" s="57">
        <f>IFERROR(__xludf.DUMMYFUNCTION("""COMPUTED_VALUE"""),0.75)</f>
        <v>0.75</v>
      </c>
      <c r="R843" s="57">
        <f>IFERROR(__xludf.DUMMYFUNCTION("""COMPUTED_VALUE"""),0.75)</f>
        <v>0.75</v>
      </c>
      <c r="S843" s="31">
        <f>IFERROR(__xludf.DUMMYFUNCTION("""COMPUTED_VALUE"""),531.6666666666666)</f>
        <v>531.6666667</v>
      </c>
      <c r="T843" s="57">
        <f>IFERROR(__xludf.DUMMYFUNCTION("""COMPUTED_VALUE"""),1.9166666666666665)</f>
        <v>1.916666667</v>
      </c>
      <c r="U843" s="57">
        <f>IFERROR(__xludf.DUMMYFUNCTION("""COMPUTED_VALUE"""),1.3333333333333335)</f>
        <v>1.333333333</v>
      </c>
      <c r="V843" s="57">
        <f>IFERROR(__xludf.DUMMYFUNCTION("""COMPUTED_VALUE"""),1.1666666666666667)</f>
        <v>1.166666667</v>
      </c>
      <c r="W843" s="57">
        <f>IFERROR(__xludf.DUMMYFUNCTION("""COMPUTED_VALUE"""),4.583333333333333)</f>
        <v>4.583333333</v>
      </c>
      <c r="X843" s="31">
        <f>IFERROR(__xludf.DUMMYFUNCTION("""COMPUTED_VALUE"""),379.0114814814815)</f>
        <v>379.0114815</v>
      </c>
      <c r="Y843" s="57">
        <f>IFERROR(__xludf.DUMMYFUNCTION("""COMPUTED_VALUE"""),0.9646296296296296)</f>
        <v>0.9646296296</v>
      </c>
      <c r="Z843" s="57">
        <f>IFERROR(__xludf.DUMMYFUNCTION("""COMPUTED_VALUE"""),0.7642592592592593)</f>
        <v>0.7642592593</v>
      </c>
      <c r="AA843" s="57">
        <f>IFERROR(__xludf.DUMMYFUNCTION("""COMPUTED_VALUE"""),1.221851851851852)</f>
        <v>1.221851852</v>
      </c>
      <c r="AB843" s="57">
        <f>IFERROR(__xludf.DUMMYFUNCTION("""COMPUTED_VALUE"""),2.7750000000000004)</f>
        <v>2.775</v>
      </c>
      <c r="AC843" s="31">
        <f>IFERROR(__xludf.DUMMYFUNCTION("""COMPUTED_VALUE"""),375.5833333333333)</f>
        <v>375.5833333</v>
      </c>
      <c r="AD843" s="57">
        <f>IFERROR(__xludf.DUMMYFUNCTION("""COMPUTED_VALUE"""),0.8909876543209876)</f>
        <v>0.8909876543</v>
      </c>
      <c r="AE843" s="57">
        <f>IFERROR(__xludf.DUMMYFUNCTION("""COMPUTED_VALUE"""),0.6279012345679013)</f>
        <v>0.6279012346</v>
      </c>
      <c r="AF843" s="57">
        <f>IFERROR(__xludf.DUMMYFUNCTION("""COMPUTED_VALUE"""),1.4093827160493826)</f>
        <v>1.409382716</v>
      </c>
      <c r="AG843" s="57">
        <f>IFERROR(__xludf.DUMMYFUNCTION("""COMPUTED_VALUE"""),2.7846913580246913)</f>
        <v>2.784691358</v>
      </c>
      <c r="AH843" s="57">
        <f>IFERROR(__xludf.DUMMYFUNCTION("""COMPUTED_VALUE"""),0.5032172176614156)</f>
        <v>0.5032172177</v>
      </c>
      <c r="AI843" s="57">
        <f>IFERROR(__xludf.DUMMYFUNCTION("""COMPUTED_VALUE"""),0.2805875017320216)</f>
        <v>0.2805875017</v>
      </c>
      <c r="AJ843" s="57">
        <f>IFERROR(__xludf.DUMMYFUNCTION("""COMPUTED_VALUE"""),0.3981517892253244)</f>
        <v>0.3981517892</v>
      </c>
      <c r="AK843" s="57">
        <f>IFERROR(__xludf.DUMMYFUNCTION("""COMPUTED_VALUE"""),0.5321478626489139)</f>
        <v>0.5321478626</v>
      </c>
      <c r="AL843" s="57">
        <f>IFERROR(__xludf.DUMMYFUNCTION("""COMPUTED_VALUE"""),0.2693296683809186)</f>
        <v>0.2693296684</v>
      </c>
      <c r="AM843" s="57">
        <f>IFERROR(__xludf.DUMMYFUNCTION("""COMPUTED_VALUE"""),1.4027719281444615)</f>
        <v>1.402771928</v>
      </c>
      <c r="AN843" s="57">
        <f>IFERROR(__xludf.DUMMYFUNCTION("""COMPUTED_VALUE"""),1.9869456709541178)</f>
        <v>1.986945671</v>
      </c>
      <c r="AO843" s="57">
        <f>IFERROR(__xludf.DUMMYFUNCTION("""COMPUTED_VALUE"""),1.7446086745820208)</f>
        <v>1.744608675</v>
      </c>
      <c r="AP843" s="35">
        <f>IFERROR(__xludf.DUMMYFUNCTION("""COMPUTED_VALUE"""),0.9548347984237647)</f>
        <v>0.9548347984</v>
      </c>
      <c r="AQ843" s="57">
        <f>IFERROR(__xludf.DUMMYFUNCTION("""COMPUTED_VALUE"""),1.6516516516516513)</f>
        <v>1.651651652</v>
      </c>
      <c r="AR843" s="36" t="b">
        <f>IFERROR(__xludf.DUMMYFUNCTION("""COMPUTED_VALUE"""),TRUE)</f>
        <v>1</v>
      </c>
      <c r="AS843" s="57"/>
      <c r="AT843" s="37"/>
      <c r="AU843" s="30"/>
      <c r="AV843" s="30"/>
      <c r="AW843" s="30"/>
      <c r="AX843" s="30"/>
      <c r="AY843" s="30"/>
      <c r="AZ843" s="30"/>
    </row>
    <row r="844">
      <c r="A844" s="30"/>
      <c r="B844" s="30"/>
      <c r="C844" s="30"/>
      <c r="D844" s="31"/>
      <c r="E844" s="31"/>
      <c r="F844" s="31"/>
      <c r="G844" s="31"/>
      <c r="H844" s="31"/>
      <c r="I844" s="54"/>
      <c r="J844" s="55"/>
      <c r="K844" s="54"/>
      <c r="L844" s="56"/>
      <c r="M844" s="56"/>
      <c r="N844" s="31"/>
      <c r="O844" s="57"/>
      <c r="P844" s="57"/>
      <c r="Q844" s="57"/>
      <c r="R844" s="57"/>
      <c r="S844" s="31"/>
      <c r="T844" s="57"/>
      <c r="U844" s="57"/>
      <c r="V844" s="57"/>
      <c r="W844" s="57"/>
      <c r="X844" s="31"/>
      <c r="Y844" s="57"/>
      <c r="Z844" s="57"/>
      <c r="AA844" s="57"/>
      <c r="AB844" s="57"/>
      <c r="AC844" s="31"/>
      <c r="AD844" s="57"/>
      <c r="AE844" s="57"/>
      <c r="AF844" s="57"/>
      <c r="AG844" s="57"/>
      <c r="AH844" s="57"/>
      <c r="AI844" s="57"/>
      <c r="AJ844" s="57"/>
      <c r="AK844" s="57"/>
      <c r="AL844" s="57"/>
      <c r="AM844" s="57"/>
      <c r="AN844" s="57"/>
      <c r="AO844" s="57"/>
      <c r="AP844" s="35"/>
      <c r="AQ844" s="57"/>
      <c r="AR844" s="36"/>
      <c r="AS844" s="57"/>
      <c r="AT844" s="37"/>
      <c r="AU844" s="30"/>
      <c r="AV844" s="30"/>
      <c r="AW844" s="30"/>
      <c r="AX844" s="30"/>
      <c r="AY844" s="30"/>
      <c r="AZ844" s="30"/>
    </row>
    <row r="845">
      <c r="A845" s="30"/>
      <c r="B845" s="30"/>
      <c r="C845" s="30"/>
      <c r="D845" s="31"/>
      <c r="E845" s="31"/>
      <c r="F845" s="31"/>
      <c r="G845" s="31"/>
      <c r="H845" s="31"/>
      <c r="I845" s="54"/>
      <c r="J845" s="55"/>
      <c r="K845" s="54"/>
      <c r="L845" s="56"/>
      <c r="M845" s="56"/>
      <c r="N845" s="31"/>
      <c r="O845" s="57"/>
      <c r="P845" s="57"/>
      <c r="Q845" s="57"/>
      <c r="R845" s="57"/>
      <c r="S845" s="31"/>
      <c r="T845" s="57"/>
      <c r="U845" s="57"/>
      <c r="V845" s="57"/>
      <c r="W845" s="57"/>
      <c r="X845" s="31"/>
      <c r="Y845" s="57"/>
      <c r="Z845" s="57"/>
      <c r="AA845" s="57"/>
      <c r="AB845" s="57"/>
      <c r="AC845" s="31"/>
      <c r="AD845" s="57"/>
      <c r="AE845" s="57"/>
      <c r="AF845" s="57"/>
      <c r="AG845" s="57"/>
      <c r="AH845" s="57"/>
      <c r="AI845" s="57"/>
      <c r="AJ845" s="57"/>
      <c r="AK845" s="57"/>
      <c r="AL845" s="57"/>
      <c r="AM845" s="57"/>
      <c r="AN845" s="57"/>
      <c r="AO845" s="57"/>
      <c r="AP845" s="35"/>
      <c r="AQ845" s="57"/>
      <c r="AR845" s="36"/>
      <c r="AS845" s="57"/>
      <c r="AT845" s="37"/>
      <c r="AU845" s="30"/>
      <c r="AV845" s="30"/>
      <c r="AW845" s="30"/>
      <c r="AX845" s="30"/>
      <c r="AY845" s="30"/>
      <c r="AZ845" s="30"/>
    </row>
    <row r="846">
      <c r="A846" s="30"/>
      <c r="B846" s="30"/>
      <c r="C846" s="30"/>
      <c r="D846" s="31"/>
      <c r="E846" s="31"/>
      <c r="F846" s="31"/>
      <c r="G846" s="31"/>
      <c r="H846" s="31"/>
      <c r="I846" s="54"/>
      <c r="J846" s="55"/>
      <c r="K846" s="54"/>
      <c r="L846" s="56"/>
      <c r="M846" s="56"/>
      <c r="N846" s="31"/>
      <c r="O846" s="57"/>
      <c r="P846" s="57"/>
      <c r="Q846" s="57"/>
      <c r="R846" s="57"/>
      <c r="S846" s="31"/>
      <c r="T846" s="57"/>
      <c r="U846" s="57"/>
      <c r="V846" s="57"/>
      <c r="W846" s="57"/>
      <c r="X846" s="31"/>
      <c r="Y846" s="57"/>
      <c r="Z846" s="57"/>
      <c r="AA846" s="57"/>
      <c r="AB846" s="57"/>
      <c r="AC846" s="31"/>
      <c r="AD846" s="57"/>
      <c r="AE846" s="57"/>
      <c r="AF846" s="57"/>
      <c r="AG846" s="57"/>
      <c r="AH846" s="57"/>
      <c r="AI846" s="57"/>
      <c r="AJ846" s="57"/>
      <c r="AK846" s="57"/>
      <c r="AL846" s="57"/>
      <c r="AM846" s="57"/>
      <c r="AN846" s="57"/>
      <c r="AO846" s="57"/>
      <c r="AP846" s="35"/>
      <c r="AQ846" s="57"/>
      <c r="AR846" s="36"/>
      <c r="AS846" s="57"/>
      <c r="AT846" s="37"/>
      <c r="AU846" s="30"/>
      <c r="AV846" s="30"/>
      <c r="AW846" s="30"/>
      <c r="AX846" s="30"/>
      <c r="AY846" s="30"/>
      <c r="AZ846" s="30"/>
    </row>
    <row r="847">
      <c r="A847" s="30"/>
      <c r="B847" s="30"/>
      <c r="C847" s="30"/>
      <c r="D847" s="31"/>
      <c r="E847" s="31"/>
      <c r="F847" s="31"/>
      <c r="G847" s="31"/>
      <c r="H847" s="31"/>
      <c r="I847" s="54"/>
      <c r="J847" s="55"/>
      <c r="K847" s="54"/>
      <c r="L847" s="56"/>
      <c r="M847" s="56"/>
      <c r="N847" s="31"/>
      <c r="O847" s="57"/>
      <c r="P847" s="57"/>
      <c r="Q847" s="57"/>
      <c r="R847" s="57"/>
      <c r="S847" s="31"/>
      <c r="T847" s="57"/>
      <c r="U847" s="57"/>
      <c r="V847" s="57"/>
      <c r="W847" s="57"/>
      <c r="X847" s="31"/>
      <c r="Y847" s="57"/>
      <c r="Z847" s="57"/>
      <c r="AA847" s="57"/>
      <c r="AB847" s="57"/>
      <c r="AC847" s="31"/>
      <c r="AD847" s="57"/>
      <c r="AE847" s="57"/>
      <c r="AF847" s="57"/>
      <c r="AG847" s="57"/>
      <c r="AH847" s="57"/>
      <c r="AI847" s="57"/>
      <c r="AJ847" s="57"/>
      <c r="AK847" s="57"/>
      <c r="AL847" s="57"/>
      <c r="AM847" s="57"/>
      <c r="AN847" s="57"/>
      <c r="AO847" s="57"/>
      <c r="AP847" s="35"/>
      <c r="AQ847" s="57"/>
      <c r="AR847" s="36"/>
      <c r="AS847" s="57"/>
      <c r="AT847" s="37"/>
      <c r="AU847" s="30"/>
      <c r="AV847" s="30"/>
      <c r="AW847" s="30"/>
      <c r="AX847" s="30"/>
      <c r="AY847" s="30"/>
      <c r="AZ847" s="30"/>
    </row>
    <row r="848">
      <c r="A848" s="30"/>
      <c r="B848" s="30"/>
      <c r="C848" s="30"/>
      <c r="D848" s="31"/>
      <c r="E848" s="31"/>
      <c r="F848" s="31"/>
      <c r="G848" s="31"/>
      <c r="H848" s="31"/>
      <c r="I848" s="54"/>
      <c r="J848" s="55"/>
      <c r="K848" s="54"/>
      <c r="L848" s="56"/>
      <c r="M848" s="56"/>
      <c r="N848" s="31"/>
      <c r="O848" s="57"/>
      <c r="P848" s="57"/>
      <c r="Q848" s="57"/>
      <c r="R848" s="57"/>
      <c r="S848" s="31"/>
      <c r="T848" s="57"/>
      <c r="U848" s="57"/>
      <c r="V848" s="57"/>
      <c r="W848" s="57"/>
      <c r="X848" s="31"/>
      <c r="Y848" s="57"/>
      <c r="Z848" s="57"/>
      <c r="AA848" s="57"/>
      <c r="AB848" s="57"/>
      <c r="AC848" s="31"/>
      <c r="AD848" s="57"/>
      <c r="AE848" s="57"/>
      <c r="AF848" s="57"/>
      <c r="AG848" s="57"/>
      <c r="AH848" s="57"/>
      <c r="AI848" s="57"/>
      <c r="AJ848" s="57"/>
      <c r="AK848" s="57"/>
      <c r="AL848" s="57"/>
      <c r="AM848" s="57"/>
      <c r="AN848" s="57"/>
      <c r="AO848" s="57"/>
      <c r="AP848" s="35"/>
      <c r="AQ848" s="57"/>
      <c r="AR848" s="36"/>
      <c r="AS848" s="57"/>
      <c r="AT848" s="37"/>
      <c r="AU848" s="30"/>
      <c r="AV848" s="30"/>
      <c r="AW848" s="30"/>
      <c r="AX848" s="30"/>
      <c r="AY848" s="30"/>
      <c r="AZ848" s="30"/>
    </row>
    <row r="849">
      <c r="A849" s="30"/>
      <c r="B849" s="30"/>
      <c r="C849" s="30"/>
      <c r="D849" s="31"/>
      <c r="E849" s="31"/>
      <c r="F849" s="31"/>
      <c r="G849" s="31"/>
      <c r="H849" s="31"/>
      <c r="I849" s="54"/>
      <c r="J849" s="55"/>
      <c r="K849" s="54"/>
      <c r="L849" s="56"/>
      <c r="M849" s="56"/>
      <c r="N849" s="31"/>
      <c r="O849" s="57"/>
      <c r="P849" s="57"/>
      <c r="Q849" s="57"/>
      <c r="R849" s="57"/>
      <c r="S849" s="31"/>
      <c r="T849" s="57"/>
      <c r="U849" s="57"/>
      <c r="V849" s="57"/>
      <c r="W849" s="57"/>
      <c r="X849" s="31"/>
      <c r="Y849" s="57"/>
      <c r="Z849" s="57"/>
      <c r="AA849" s="57"/>
      <c r="AB849" s="57"/>
      <c r="AC849" s="31"/>
      <c r="AD849" s="57"/>
      <c r="AE849" s="57"/>
      <c r="AF849" s="57"/>
      <c r="AG849" s="57"/>
      <c r="AH849" s="57"/>
      <c r="AI849" s="57"/>
      <c r="AJ849" s="57"/>
      <c r="AK849" s="57"/>
      <c r="AL849" s="57"/>
      <c r="AM849" s="57"/>
      <c r="AN849" s="57"/>
      <c r="AO849" s="57"/>
      <c r="AP849" s="35"/>
      <c r="AQ849" s="57"/>
      <c r="AR849" s="36"/>
      <c r="AS849" s="57"/>
      <c r="AT849" s="37"/>
      <c r="AU849" s="30"/>
      <c r="AV849" s="30"/>
      <c r="AW849" s="30"/>
      <c r="AX849" s="30"/>
      <c r="AY849" s="30"/>
      <c r="AZ849" s="30"/>
    </row>
    <row r="850">
      <c r="A850" s="30"/>
      <c r="B850" s="30"/>
      <c r="C850" s="30"/>
      <c r="D850" s="31"/>
      <c r="E850" s="31"/>
      <c r="F850" s="31"/>
      <c r="G850" s="31"/>
      <c r="H850" s="31"/>
      <c r="I850" s="54"/>
      <c r="J850" s="55"/>
      <c r="K850" s="54"/>
      <c r="L850" s="56"/>
      <c r="M850" s="56"/>
      <c r="N850" s="31"/>
      <c r="O850" s="57"/>
      <c r="P850" s="57"/>
      <c r="Q850" s="57"/>
      <c r="R850" s="57"/>
      <c r="S850" s="31"/>
      <c r="T850" s="57"/>
      <c r="U850" s="57"/>
      <c r="V850" s="57"/>
      <c r="W850" s="57"/>
      <c r="X850" s="31"/>
      <c r="Y850" s="57"/>
      <c r="Z850" s="57"/>
      <c r="AA850" s="57"/>
      <c r="AB850" s="57"/>
      <c r="AC850" s="31"/>
      <c r="AD850" s="57"/>
      <c r="AE850" s="57"/>
      <c r="AF850" s="57"/>
      <c r="AG850" s="57"/>
      <c r="AH850" s="57"/>
      <c r="AI850" s="57"/>
      <c r="AJ850" s="57"/>
      <c r="AK850" s="57"/>
      <c r="AL850" s="57"/>
      <c r="AM850" s="57"/>
      <c r="AN850" s="57"/>
      <c r="AO850" s="57"/>
      <c r="AP850" s="35"/>
      <c r="AQ850" s="57"/>
      <c r="AR850" s="36"/>
      <c r="AS850" s="57"/>
      <c r="AT850" s="37"/>
      <c r="AU850" s="30"/>
      <c r="AV850" s="30"/>
      <c r="AW850" s="30"/>
      <c r="AX850" s="30"/>
      <c r="AY850" s="30"/>
      <c r="AZ850" s="30"/>
    </row>
    <row r="851">
      <c r="A851" s="30"/>
      <c r="B851" s="30"/>
      <c r="C851" s="30"/>
      <c r="D851" s="31"/>
      <c r="E851" s="31"/>
      <c r="F851" s="31"/>
      <c r="G851" s="31"/>
      <c r="H851" s="31"/>
      <c r="I851" s="54"/>
      <c r="J851" s="55"/>
      <c r="K851" s="54"/>
      <c r="L851" s="56"/>
      <c r="M851" s="56"/>
      <c r="N851" s="31"/>
      <c r="O851" s="57"/>
      <c r="P851" s="57"/>
      <c r="Q851" s="57"/>
      <c r="R851" s="57"/>
      <c r="S851" s="31"/>
      <c r="T851" s="57"/>
      <c r="U851" s="57"/>
      <c r="V851" s="57"/>
      <c r="W851" s="57"/>
      <c r="X851" s="31"/>
      <c r="Y851" s="57"/>
      <c r="Z851" s="57"/>
      <c r="AA851" s="57"/>
      <c r="AB851" s="57"/>
      <c r="AC851" s="31"/>
      <c r="AD851" s="57"/>
      <c r="AE851" s="57"/>
      <c r="AF851" s="57"/>
      <c r="AG851" s="57"/>
      <c r="AH851" s="57"/>
      <c r="AI851" s="57"/>
      <c r="AJ851" s="57"/>
      <c r="AK851" s="57"/>
      <c r="AL851" s="57"/>
      <c r="AM851" s="57"/>
      <c r="AN851" s="57"/>
      <c r="AO851" s="57"/>
      <c r="AP851" s="35"/>
      <c r="AQ851" s="57"/>
      <c r="AR851" s="36"/>
      <c r="AS851" s="57"/>
      <c r="AT851" s="37"/>
      <c r="AU851" s="30"/>
      <c r="AV851" s="30"/>
      <c r="AW851" s="30"/>
      <c r="AX851" s="30"/>
      <c r="AY851" s="30"/>
      <c r="AZ851" s="30"/>
    </row>
    <row r="852">
      <c r="A852" s="30"/>
      <c r="B852" s="30"/>
      <c r="C852" s="30"/>
      <c r="D852" s="31"/>
      <c r="E852" s="31"/>
      <c r="F852" s="31"/>
      <c r="G852" s="31"/>
      <c r="H852" s="31"/>
      <c r="I852" s="54"/>
      <c r="J852" s="55"/>
      <c r="K852" s="54"/>
      <c r="L852" s="56"/>
      <c r="M852" s="56"/>
      <c r="N852" s="31"/>
      <c r="O852" s="57"/>
      <c r="P852" s="57"/>
      <c r="Q852" s="57"/>
      <c r="R852" s="57"/>
      <c r="S852" s="31"/>
      <c r="T852" s="57"/>
      <c r="U852" s="57"/>
      <c r="V852" s="57"/>
      <c r="W852" s="57"/>
      <c r="X852" s="31"/>
      <c r="Y852" s="57"/>
      <c r="Z852" s="57"/>
      <c r="AA852" s="57"/>
      <c r="AB852" s="57"/>
      <c r="AC852" s="31"/>
      <c r="AD852" s="57"/>
      <c r="AE852" s="57"/>
      <c r="AF852" s="57"/>
      <c r="AG852" s="57"/>
      <c r="AH852" s="57"/>
      <c r="AI852" s="57"/>
      <c r="AJ852" s="57"/>
      <c r="AK852" s="57"/>
      <c r="AL852" s="57"/>
      <c r="AM852" s="57"/>
      <c r="AN852" s="57"/>
      <c r="AO852" s="57"/>
      <c r="AP852" s="35"/>
      <c r="AQ852" s="57"/>
      <c r="AR852" s="36"/>
      <c r="AS852" s="57"/>
      <c r="AT852" s="37"/>
      <c r="AU852" s="30"/>
      <c r="AV852" s="30"/>
      <c r="AW852" s="30"/>
      <c r="AX852" s="30"/>
      <c r="AY852" s="30"/>
      <c r="AZ852" s="30"/>
    </row>
    <row r="853">
      <c r="A853" s="30"/>
      <c r="B853" s="30"/>
      <c r="C853" s="30"/>
      <c r="D853" s="31"/>
      <c r="E853" s="31"/>
      <c r="F853" s="31"/>
      <c r="G853" s="31"/>
      <c r="H853" s="31"/>
      <c r="I853" s="54"/>
      <c r="J853" s="55"/>
      <c r="K853" s="54"/>
      <c r="L853" s="56"/>
      <c r="M853" s="56"/>
      <c r="N853" s="31"/>
      <c r="O853" s="57"/>
      <c r="P853" s="57"/>
      <c r="Q853" s="57"/>
      <c r="R853" s="57"/>
      <c r="S853" s="31"/>
      <c r="T853" s="57"/>
      <c r="U853" s="57"/>
      <c r="V853" s="57"/>
      <c r="W853" s="57"/>
      <c r="X853" s="31"/>
      <c r="Y853" s="57"/>
      <c r="Z853" s="57"/>
      <c r="AA853" s="57"/>
      <c r="AB853" s="57"/>
      <c r="AC853" s="31"/>
      <c r="AD853" s="57"/>
      <c r="AE853" s="57"/>
      <c r="AF853" s="57"/>
      <c r="AG853" s="57"/>
      <c r="AH853" s="57"/>
      <c r="AI853" s="57"/>
      <c r="AJ853" s="57"/>
      <c r="AK853" s="57"/>
      <c r="AL853" s="57"/>
      <c r="AM853" s="57"/>
      <c r="AN853" s="57"/>
      <c r="AO853" s="57"/>
      <c r="AP853" s="35"/>
      <c r="AQ853" s="57"/>
      <c r="AR853" s="36"/>
      <c r="AS853" s="57"/>
      <c r="AT853" s="37"/>
      <c r="AU853" s="30"/>
      <c r="AV853" s="30"/>
      <c r="AW853" s="30"/>
      <c r="AX853" s="30"/>
      <c r="AY853" s="30"/>
      <c r="AZ853" s="30"/>
    </row>
    <row r="854">
      <c r="A854" s="30"/>
      <c r="B854" s="30"/>
      <c r="C854" s="30"/>
      <c r="D854" s="31"/>
      <c r="E854" s="31"/>
      <c r="F854" s="31"/>
      <c r="G854" s="31"/>
      <c r="H854" s="31"/>
      <c r="I854" s="54"/>
      <c r="J854" s="55"/>
      <c r="K854" s="54"/>
      <c r="L854" s="56"/>
      <c r="M854" s="56"/>
      <c r="N854" s="31"/>
      <c r="O854" s="57"/>
      <c r="P854" s="57"/>
      <c r="Q854" s="57"/>
      <c r="R854" s="57"/>
      <c r="S854" s="31"/>
      <c r="T854" s="57"/>
      <c r="U854" s="57"/>
      <c r="V854" s="57"/>
      <c r="W854" s="57"/>
      <c r="X854" s="31"/>
      <c r="Y854" s="57"/>
      <c r="Z854" s="57"/>
      <c r="AA854" s="57"/>
      <c r="AB854" s="57"/>
      <c r="AC854" s="31"/>
      <c r="AD854" s="57"/>
      <c r="AE854" s="57"/>
      <c r="AF854" s="57"/>
      <c r="AG854" s="57"/>
      <c r="AH854" s="57"/>
      <c r="AI854" s="57"/>
      <c r="AJ854" s="57"/>
      <c r="AK854" s="57"/>
      <c r="AL854" s="57"/>
      <c r="AM854" s="57"/>
      <c r="AN854" s="57"/>
      <c r="AO854" s="57"/>
      <c r="AP854" s="35"/>
      <c r="AQ854" s="57"/>
      <c r="AR854" s="36"/>
      <c r="AS854" s="57"/>
      <c r="AT854" s="37"/>
      <c r="AU854" s="30"/>
      <c r="AV854" s="30"/>
      <c r="AW854" s="30"/>
      <c r="AX854" s="30"/>
      <c r="AY854" s="30"/>
      <c r="AZ854" s="30"/>
    </row>
    <row r="855">
      <c r="A855" s="30"/>
      <c r="B855" s="30"/>
      <c r="C855" s="30"/>
      <c r="D855" s="31"/>
      <c r="E855" s="31"/>
      <c r="F855" s="31"/>
      <c r="G855" s="31"/>
      <c r="H855" s="31"/>
      <c r="I855" s="54"/>
      <c r="J855" s="55"/>
      <c r="K855" s="54"/>
      <c r="L855" s="56"/>
      <c r="M855" s="56"/>
      <c r="N855" s="31"/>
      <c r="O855" s="57"/>
      <c r="P855" s="57"/>
      <c r="Q855" s="57"/>
      <c r="R855" s="57"/>
      <c r="S855" s="31"/>
      <c r="T855" s="57"/>
      <c r="U855" s="57"/>
      <c r="V855" s="57"/>
      <c r="W855" s="57"/>
      <c r="X855" s="31"/>
      <c r="Y855" s="57"/>
      <c r="Z855" s="57"/>
      <c r="AA855" s="57"/>
      <c r="AB855" s="57"/>
      <c r="AC855" s="31"/>
      <c r="AD855" s="57"/>
      <c r="AE855" s="57"/>
      <c r="AF855" s="57"/>
      <c r="AG855" s="57"/>
      <c r="AH855" s="57"/>
      <c r="AI855" s="57"/>
      <c r="AJ855" s="57"/>
      <c r="AK855" s="57"/>
      <c r="AL855" s="57"/>
      <c r="AM855" s="57"/>
      <c r="AN855" s="57"/>
      <c r="AO855" s="57"/>
      <c r="AP855" s="35"/>
      <c r="AQ855" s="57"/>
      <c r="AR855" s="36"/>
      <c r="AS855" s="57"/>
      <c r="AT855" s="37"/>
      <c r="AU855" s="30"/>
      <c r="AV855" s="30"/>
      <c r="AW855" s="30"/>
      <c r="AX855" s="30"/>
      <c r="AY855" s="30"/>
      <c r="AZ855" s="30"/>
    </row>
    <row r="856">
      <c r="A856" s="30"/>
      <c r="B856" s="30"/>
      <c r="C856" s="30"/>
      <c r="D856" s="31"/>
      <c r="E856" s="31"/>
      <c r="F856" s="31"/>
      <c r="G856" s="31"/>
      <c r="H856" s="31"/>
      <c r="I856" s="54"/>
      <c r="J856" s="55"/>
      <c r="K856" s="54"/>
      <c r="L856" s="56"/>
      <c r="M856" s="56"/>
      <c r="N856" s="31"/>
      <c r="O856" s="57"/>
      <c r="P856" s="57"/>
      <c r="Q856" s="57"/>
      <c r="R856" s="57"/>
      <c r="S856" s="31"/>
      <c r="T856" s="57"/>
      <c r="U856" s="57"/>
      <c r="V856" s="57"/>
      <c r="W856" s="57"/>
      <c r="X856" s="31"/>
      <c r="Y856" s="57"/>
      <c r="Z856" s="57"/>
      <c r="AA856" s="57"/>
      <c r="AB856" s="57"/>
      <c r="AC856" s="31"/>
      <c r="AD856" s="57"/>
      <c r="AE856" s="57"/>
      <c r="AF856" s="57"/>
      <c r="AG856" s="57"/>
      <c r="AH856" s="57"/>
      <c r="AI856" s="57"/>
      <c r="AJ856" s="57"/>
      <c r="AK856" s="57"/>
      <c r="AL856" s="57"/>
      <c r="AM856" s="57"/>
      <c r="AN856" s="57"/>
      <c r="AO856" s="57"/>
      <c r="AP856" s="35"/>
      <c r="AQ856" s="57"/>
      <c r="AR856" s="36"/>
      <c r="AS856" s="57"/>
      <c r="AT856" s="37"/>
      <c r="AU856" s="30"/>
      <c r="AV856" s="30"/>
      <c r="AW856" s="30"/>
      <c r="AX856" s="30"/>
      <c r="AY856" s="30"/>
      <c r="AZ856" s="30"/>
    </row>
    <row r="857">
      <c r="A857" s="30"/>
      <c r="B857" s="30"/>
      <c r="C857" s="30"/>
      <c r="D857" s="31"/>
      <c r="E857" s="31"/>
      <c r="F857" s="31"/>
      <c r="G857" s="31"/>
      <c r="H857" s="31"/>
      <c r="I857" s="54"/>
      <c r="J857" s="55"/>
      <c r="K857" s="54"/>
      <c r="L857" s="56"/>
      <c r="M857" s="56"/>
      <c r="N857" s="31"/>
      <c r="O857" s="57"/>
      <c r="P857" s="57"/>
      <c r="Q857" s="57"/>
      <c r="R857" s="57"/>
      <c r="S857" s="31"/>
      <c r="T857" s="57"/>
      <c r="U857" s="57"/>
      <c r="V857" s="57"/>
      <c r="W857" s="57"/>
      <c r="X857" s="31"/>
      <c r="Y857" s="57"/>
      <c r="Z857" s="57"/>
      <c r="AA857" s="57"/>
      <c r="AB857" s="57"/>
      <c r="AC857" s="31"/>
      <c r="AD857" s="57"/>
      <c r="AE857" s="57"/>
      <c r="AF857" s="57"/>
      <c r="AG857" s="57"/>
      <c r="AH857" s="57"/>
      <c r="AI857" s="57"/>
      <c r="AJ857" s="57"/>
      <c r="AK857" s="57"/>
      <c r="AL857" s="57"/>
      <c r="AM857" s="57"/>
      <c r="AN857" s="57"/>
      <c r="AO857" s="57"/>
      <c r="AP857" s="35"/>
      <c r="AQ857" s="57"/>
      <c r="AR857" s="36"/>
      <c r="AS857" s="57"/>
      <c r="AT857" s="37"/>
      <c r="AU857" s="30"/>
      <c r="AV857" s="30"/>
      <c r="AW857" s="30"/>
      <c r="AX857" s="30"/>
      <c r="AY857" s="30"/>
      <c r="AZ857" s="30"/>
    </row>
    <row r="858">
      <c r="A858" s="30"/>
      <c r="B858" s="30"/>
      <c r="C858" s="30"/>
      <c r="D858" s="31"/>
      <c r="E858" s="31"/>
      <c r="F858" s="31"/>
      <c r="G858" s="31"/>
      <c r="H858" s="31"/>
      <c r="I858" s="54"/>
      <c r="J858" s="55"/>
      <c r="K858" s="54"/>
      <c r="L858" s="56"/>
      <c r="M858" s="56"/>
      <c r="N858" s="31"/>
      <c r="O858" s="57"/>
      <c r="P858" s="57"/>
      <c r="Q858" s="57"/>
      <c r="R858" s="57"/>
      <c r="S858" s="31"/>
      <c r="T858" s="57"/>
      <c r="U858" s="57"/>
      <c r="V858" s="57"/>
      <c r="W858" s="57"/>
      <c r="X858" s="31"/>
      <c r="Y858" s="57"/>
      <c r="Z858" s="57"/>
      <c r="AA858" s="57"/>
      <c r="AB858" s="57"/>
      <c r="AC858" s="31"/>
      <c r="AD858" s="57"/>
      <c r="AE858" s="57"/>
      <c r="AF858" s="57"/>
      <c r="AG858" s="57"/>
      <c r="AH858" s="57"/>
      <c r="AI858" s="57"/>
      <c r="AJ858" s="57"/>
      <c r="AK858" s="57"/>
      <c r="AL858" s="57"/>
      <c r="AM858" s="57"/>
      <c r="AN858" s="57"/>
      <c r="AO858" s="57"/>
      <c r="AP858" s="35"/>
      <c r="AQ858" s="57"/>
      <c r="AR858" s="36"/>
      <c r="AS858" s="57"/>
      <c r="AT858" s="37"/>
      <c r="AU858" s="30"/>
      <c r="AV858" s="30"/>
      <c r="AW858" s="30"/>
      <c r="AX858" s="30"/>
      <c r="AY858" s="30"/>
      <c r="AZ858" s="30"/>
    </row>
    <row r="859">
      <c r="A859" s="30"/>
      <c r="B859" s="30"/>
      <c r="C859" s="30"/>
      <c r="D859" s="31"/>
      <c r="E859" s="31"/>
      <c r="F859" s="31"/>
      <c r="G859" s="31"/>
      <c r="H859" s="31"/>
      <c r="I859" s="54"/>
      <c r="J859" s="55"/>
      <c r="K859" s="54"/>
      <c r="L859" s="56"/>
      <c r="M859" s="56"/>
      <c r="N859" s="31"/>
      <c r="O859" s="57"/>
      <c r="P859" s="57"/>
      <c r="Q859" s="57"/>
      <c r="R859" s="57"/>
      <c r="S859" s="31"/>
      <c r="T859" s="57"/>
      <c r="U859" s="57"/>
      <c r="V859" s="57"/>
      <c r="W859" s="57"/>
      <c r="X859" s="31"/>
      <c r="Y859" s="57"/>
      <c r="Z859" s="57"/>
      <c r="AA859" s="57"/>
      <c r="AB859" s="57"/>
      <c r="AC859" s="31"/>
      <c r="AD859" s="57"/>
      <c r="AE859" s="57"/>
      <c r="AF859" s="57"/>
      <c r="AG859" s="57"/>
      <c r="AH859" s="57"/>
      <c r="AI859" s="57"/>
      <c r="AJ859" s="57"/>
      <c r="AK859" s="57"/>
      <c r="AL859" s="57"/>
      <c r="AM859" s="57"/>
      <c r="AN859" s="57"/>
      <c r="AO859" s="57"/>
      <c r="AP859" s="35"/>
      <c r="AQ859" s="57"/>
      <c r="AR859" s="36"/>
      <c r="AS859" s="57"/>
      <c r="AT859" s="37"/>
      <c r="AU859" s="30"/>
      <c r="AV859" s="30"/>
      <c r="AW859" s="30"/>
      <c r="AX859" s="30"/>
      <c r="AY859" s="30"/>
      <c r="AZ859" s="30"/>
    </row>
    <row r="860">
      <c r="A860" s="30"/>
      <c r="B860" s="30"/>
      <c r="C860" s="30"/>
      <c r="D860" s="31"/>
      <c r="E860" s="31"/>
      <c r="F860" s="31"/>
      <c r="G860" s="31"/>
      <c r="H860" s="31"/>
      <c r="I860" s="54"/>
      <c r="J860" s="55"/>
      <c r="K860" s="54"/>
      <c r="L860" s="56"/>
      <c r="M860" s="56"/>
      <c r="N860" s="31"/>
      <c r="O860" s="57"/>
      <c r="P860" s="57"/>
      <c r="Q860" s="57"/>
      <c r="R860" s="57"/>
      <c r="S860" s="31"/>
      <c r="T860" s="57"/>
      <c r="U860" s="57"/>
      <c r="V860" s="57"/>
      <c r="W860" s="57"/>
      <c r="X860" s="31"/>
      <c r="Y860" s="57"/>
      <c r="Z860" s="57"/>
      <c r="AA860" s="57"/>
      <c r="AB860" s="57"/>
      <c r="AC860" s="31"/>
      <c r="AD860" s="57"/>
      <c r="AE860" s="57"/>
      <c r="AF860" s="57"/>
      <c r="AG860" s="57"/>
      <c r="AH860" s="57"/>
      <c r="AI860" s="57"/>
      <c r="AJ860" s="57"/>
      <c r="AK860" s="57"/>
      <c r="AL860" s="57"/>
      <c r="AM860" s="57"/>
      <c r="AN860" s="57"/>
      <c r="AO860" s="57"/>
      <c r="AP860" s="35"/>
      <c r="AQ860" s="57"/>
      <c r="AR860" s="36"/>
      <c r="AS860" s="57"/>
      <c r="AT860" s="37"/>
      <c r="AU860" s="30"/>
      <c r="AV860" s="30"/>
      <c r="AW860" s="30"/>
      <c r="AX860" s="30"/>
      <c r="AY860" s="30"/>
      <c r="AZ860" s="30"/>
    </row>
    <row r="861">
      <c r="A861" s="30"/>
      <c r="B861" s="30"/>
      <c r="C861" s="30"/>
      <c r="D861" s="31"/>
      <c r="E861" s="31"/>
      <c r="F861" s="31"/>
      <c r="G861" s="31"/>
      <c r="H861" s="31"/>
      <c r="I861" s="54"/>
      <c r="J861" s="55"/>
      <c r="K861" s="54"/>
      <c r="L861" s="56"/>
      <c r="M861" s="56"/>
      <c r="N861" s="31"/>
      <c r="O861" s="57"/>
      <c r="P861" s="57"/>
      <c r="Q861" s="57"/>
      <c r="R861" s="57"/>
      <c r="S861" s="31"/>
      <c r="T861" s="57"/>
      <c r="U861" s="57"/>
      <c r="V861" s="57"/>
      <c r="W861" s="57"/>
      <c r="X861" s="31"/>
      <c r="Y861" s="57"/>
      <c r="Z861" s="57"/>
      <c r="AA861" s="57"/>
      <c r="AB861" s="57"/>
      <c r="AC861" s="31"/>
      <c r="AD861" s="57"/>
      <c r="AE861" s="57"/>
      <c r="AF861" s="57"/>
      <c r="AG861" s="57"/>
      <c r="AH861" s="57"/>
      <c r="AI861" s="57"/>
      <c r="AJ861" s="57"/>
      <c r="AK861" s="57"/>
      <c r="AL861" s="57"/>
      <c r="AM861" s="57"/>
      <c r="AN861" s="57"/>
      <c r="AO861" s="57"/>
      <c r="AP861" s="35"/>
      <c r="AQ861" s="57"/>
      <c r="AR861" s="36"/>
      <c r="AS861" s="57"/>
      <c r="AT861" s="37"/>
      <c r="AU861" s="30"/>
      <c r="AV861" s="30"/>
      <c r="AW861" s="30"/>
      <c r="AX861" s="30"/>
      <c r="AY861" s="30"/>
      <c r="AZ861" s="30"/>
    </row>
    <row r="862">
      <c r="A862" s="30"/>
      <c r="B862" s="30"/>
      <c r="C862" s="30"/>
      <c r="D862" s="31"/>
      <c r="E862" s="31"/>
      <c r="F862" s="31"/>
      <c r="G862" s="31"/>
      <c r="H862" s="31"/>
      <c r="I862" s="54"/>
      <c r="J862" s="55"/>
      <c r="K862" s="54"/>
      <c r="L862" s="56"/>
      <c r="M862" s="56"/>
      <c r="N862" s="31"/>
      <c r="O862" s="57"/>
      <c r="P862" s="57"/>
      <c r="Q862" s="57"/>
      <c r="R862" s="57"/>
      <c r="S862" s="31"/>
      <c r="T862" s="57"/>
      <c r="U862" s="57"/>
      <c r="V862" s="57"/>
      <c r="W862" s="57"/>
      <c r="X862" s="31"/>
      <c r="Y862" s="57"/>
      <c r="Z862" s="57"/>
      <c r="AA862" s="57"/>
      <c r="AB862" s="57"/>
      <c r="AC862" s="31"/>
      <c r="AD862" s="57"/>
      <c r="AE862" s="57"/>
      <c r="AF862" s="57"/>
      <c r="AG862" s="57"/>
      <c r="AH862" s="57"/>
      <c r="AI862" s="57"/>
      <c r="AJ862" s="57"/>
      <c r="AK862" s="57"/>
      <c r="AL862" s="57"/>
      <c r="AM862" s="57"/>
      <c r="AN862" s="57"/>
      <c r="AO862" s="57"/>
      <c r="AP862" s="35"/>
      <c r="AQ862" s="57"/>
      <c r="AR862" s="36"/>
      <c r="AS862" s="57"/>
      <c r="AT862" s="37"/>
      <c r="AU862" s="30"/>
      <c r="AV862" s="30"/>
      <c r="AW862" s="30"/>
      <c r="AX862" s="30"/>
      <c r="AY862" s="30"/>
      <c r="AZ862" s="30"/>
    </row>
    <row r="863">
      <c r="A863" s="30"/>
      <c r="B863" s="30"/>
      <c r="C863" s="30"/>
      <c r="D863" s="31"/>
      <c r="E863" s="31"/>
      <c r="F863" s="31"/>
      <c r="G863" s="31"/>
      <c r="H863" s="31"/>
      <c r="I863" s="54"/>
      <c r="J863" s="55"/>
      <c r="K863" s="54"/>
      <c r="L863" s="56"/>
      <c r="M863" s="56"/>
      <c r="N863" s="31"/>
      <c r="O863" s="57"/>
      <c r="P863" s="57"/>
      <c r="Q863" s="57"/>
      <c r="R863" s="57"/>
      <c r="S863" s="31"/>
      <c r="T863" s="57"/>
      <c r="U863" s="57"/>
      <c r="V863" s="57"/>
      <c r="W863" s="57"/>
      <c r="X863" s="31"/>
      <c r="Y863" s="57"/>
      <c r="Z863" s="57"/>
      <c r="AA863" s="57"/>
      <c r="AB863" s="57"/>
      <c r="AC863" s="31"/>
      <c r="AD863" s="57"/>
      <c r="AE863" s="57"/>
      <c r="AF863" s="57"/>
      <c r="AG863" s="57"/>
      <c r="AH863" s="57"/>
      <c r="AI863" s="57"/>
      <c r="AJ863" s="57"/>
      <c r="AK863" s="57"/>
      <c r="AL863" s="57"/>
      <c r="AM863" s="57"/>
      <c r="AN863" s="57"/>
      <c r="AO863" s="57"/>
      <c r="AP863" s="35"/>
      <c r="AQ863" s="57"/>
      <c r="AR863" s="36"/>
      <c r="AS863" s="57"/>
      <c r="AT863" s="37"/>
      <c r="AU863" s="30"/>
      <c r="AV863" s="30"/>
      <c r="AW863" s="30"/>
      <c r="AX863" s="30"/>
      <c r="AY863" s="30"/>
      <c r="AZ863" s="30"/>
    </row>
    <row r="864">
      <c r="A864" s="30"/>
      <c r="B864" s="30"/>
      <c r="C864" s="30"/>
      <c r="D864" s="31"/>
      <c r="E864" s="31"/>
      <c r="F864" s="31"/>
      <c r="G864" s="31"/>
      <c r="H864" s="31"/>
      <c r="I864" s="54"/>
      <c r="J864" s="55"/>
      <c r="K864" s="54"/>
      <c r="L864" s="56"/>
      <c r="M864" s="56"/>
      <c r="N864" s="31"/>
      <c r="O864" s="57"/>
      <c r="P864" s="57"/>
      <c r="Q864" s="57"/>
      <c r="R864" s="57"/>
      <c r="S864" s="31"/>
      <c r="T864" s="57"/>
      <c r="U864" s="57"/>
      <c r="V864" s="57"/>
      <c r="W864" s="57"/>
      <c r="X864" s="31"/>
      <c r="Y864" s="57"/>
      <c r="Z864" s="57"/>
      <c r="AA864" s="57"/>
      <c r="AB864" s="57"/>
      <c r="AC864" s="31"/>
      <c r="AD864" s="57"/>
      <c r="AE864" s="57"/>
      <c r="AF864" s="57"/>
      <c r="AG864" s="57"/>
      <c r="AH864" s="57"/>
      <c r="AI864" s="57"/>
      <c r="AJ864" s="57"/>
      <c r="AK864" s="57"/>
      <c r="AL864" s="57"/>
      <c r="AM864" s="57"/>
      <c r="AN864" s="57"/>
      <c r="AO864" s="57"/>
      <c r="AP864" s="35"/>
      <c r="AQ864" s="57"/>
      <c r="AR864" s="36"/>
      <c r="AS864" s="57"/>
      <c r="AT864" s="37"/>
      <c r="AU864" s="30"/>
      <c r="AV864" s="30"/>
      <c r="AW864" s="30"/>
      <c r="AX864" s="30"/>
      <c r="AY864" s="30"/>
      <c r="AZ864" s="30"/>
    </row>
    <row r="865">
      <c r="A865" s="30"/>
      <c r="B865" s="30"/>
      <c r="C865" s="30"/>
      <c r="D865" s="31"/>
      <c r="E865" s="31"/>
      <c r="F865" s="31"/>
      <c r="G865" s="31"/>
      <c r="H865" s="31"/>
      <c r="I865" s="54"/>
      <c r="J865" s="55"/>
      <c r="K865" s="54"/>
      <c r="L865" s="56"/>
      <c r="M865" s="56"/>
      <c r="N865" s="31"/>
      <c r="O865" s="57"/>
      <c r="P865" s="57"/>
      <c r="Q865" s="57"/>
      <c r="R865" s="57"/>
      <c r="S865" s="31"/>
      <c r="T865" s="57"/>
      <c r="U865" s="57"/>
      <c r="V865" s="57"/>
      <c r="W865" s="57"/>
      <c r="X865" s="31"/>
      <c r="Y865" s="57"/>
      <c r="Z865" s="57"/>
      <c r="AA865" s="57"/>
      <c r="AB865" s="57"/>
      <c r="AC865" s="31"/>
      <c r="AD865" s="57"/>
      <c r="AE865" s="57"/>
      <c r="AF865" s="57"/>
      <c r="AG865" s="57"/>
      <c r="AH865" s="57"/>
      <c r="AI865" s="57"/>
      <c r="AJ865" s="57"/>
      <c r="AK865" s="57"/>
      <c r="AL865" s="57"/>
      <c r="AM865" s="57"/>
      <c r="AN865" s="57"/>
      <c r="AO865" s="57"/>
      <c r="AP865" s="35"/>
      <c r="AQ865" s="57"/>
      <c r="AR865" s="36"/>
      <c r="AS865" s="57"/>
      <c r="AT865" s="37"/>
      <c r="AU865" s="30"/>
      <c r="AV865" s="30"/>
      <c r="AW865" s="30"/>
      <c r="AX865" s="30"/>
      <c r="AY865" s="30"/>
      <c r="AZ865" s="30"/>
    </row>
    <row r="866">
      <c r="A866" s="30"/>
      <c r="B866" s="30"/>
      <c r="C866" s="30"/>
      <c r="D866" s="31"/>
      <c r="E866" s="31"/>
      <c r="F866" s="31"/>
      <c r="G866" s="31"/>
      <c r="H866" s="31"/>
      <c r="I866" s="54"/>
      <c r="J866" s="55"/>
      <c r="K866" s="54"/>
      <c r="L866" s="56"/>
      <c r="M866" s="56"/>
      <c r="N866" s="31"/>
      <c r="O866" s="57"/>
      <c r="P866" s="57"/>
      <c r="Q866" s="57"/>
      <c r="R866" s="57"/>
      <c r="S866" s="31"/>
      <c r="T866" s="57"/>
      <c r="U866" s="57"/>
      <c r="V866" s="57"/>
      <c r="W866" s="57"/>
      <c r="X866" s="31"/>
      <c r="Y866" s="57"/>
      <c r="Z866" s="57"/>
      <c r="AA866" s="57"/>
      <c r="AB866" s="57"/>
      <c r="AC866" s="31"/>
      <c r="AD866" s="57"/>
      <c r="AE866" s="57"/>
      <c r="AF866" s="57"/>
      <c r="AG866" s="57"/>
      <c r="AH866" s="57"/>
      <c r="AI866" s="57"/>
      <c r="AJ866" s="57"/>
      <c r="AK866" s="57"/>
      <c r="AL866" s="57"/>
      <c r="AM866" s="57"/>
      <c r="AN866" s="57"/>
      <c r="AO866" s="57"/>
      <c r="AP866" s="35"/>
      <c r="AQ866" s="57"/>
      <c r="AR866" s="36"/>
      <c r="AS866" s="57"/>
      <c r="AT866" s="37"/>
      <c r="AU866" s="30"/>
      <c r="AV866" s="30"/>
      <c r="AW866" s="30"/>
      <c r="AX866" s="30"/>
      <c r="AY866" s="30"/>
      <c r="AZ866" s="30"/>
    </row>
    <row r="867">
      <c r="A867" s="30"/>
      <c r="B867" s="30"/>
      <c r="C867" s="30"/>
      <c r="D867" s="31"/>
      <c r="E867" s="31"/>
      <c r="F867" s="31"/>
      <c r="G867" s="31"/>
      <c r="H867" s="31"/>
      <c r="I867" s="54"/>
      <c r="J867" s="55"/>
      <c r="K867" s="54"/>
      <c r="L867" s="56"/>
      <c r="M867" s="56"/>
      <c r="N867" s="31"/>
      <c r="O867" s="57"/>
      <c r="P867" s="57"/>
      <c r="Q867" s="57"/>
      <c r="R867" s="57"/>
      <c r="S867" s="31"/>
      <c r="T867" s="57"/>
      <c r="U867" s="57"/>
      <c r="V867" s="57"/>
      <c r="W867" s="57"/>
      <c r="X867" s="31"/>
      <c r="Y867" s="57"/>
      <c r="Z867" s="57"/>
      <c r="AA867" s="57"/>
      <c r="AB867" s="57"/>
      <c r="AC867" s="31"/>
      <c r="AD867" s="57"/>
      <c r="AE867" s="57"/>
      <c r="AF867" s="57"/>
      <c r="AG867" s="57"/>
      <c r="AH867" s="57"/>
      <c r="AI867" s="57"/>
      <c r="AJ867" s="57"/>
      <c r="AK867" s="57"/>
      <c r="AL867" s="57"/>
      <c r="AM867" s="57"/>
      <c r="AN867" s="57"/>
      <c r="AO867" s="57"/>
      <c r="AP867" s="35"/>
      <c r="AQ867" s="57"/>
      <c r="AR867" s="36"/>
      <c r="AS867" s="57"/>
      <c r="AT867" s="37"/>
      <c r="AU867" s="30"/>
      <c r="AV867" s="30"/>
      <c r="AW867" s="30"/>
      <c r="AX867" s="30"/>
      <c r="AY867" s="30"/>
      <c r="AZ867" s="30"/>
    </row>
    <row r="868">
      <c r="A868" s="30"/>
      <c r="B868" s="30"/>
      <c r="C868" s="30"/>
      <c r="D868" s="31"/>
      <c r="E868" s="31"/>
      <c r="F868" s="31"/>
      <c r="G868" s="31"/>
      <c r="H868" s="31"/>
      <c r="I868" s="54"/>
      <c r="J868" s="55"/>
      <c r="K868" s="54"/>
      <c r="L868" s="56"/>
      <c r="M868" s="56"/>
      <c r="N868" s="31"/>
      <c r="O868" s="57"/>
      <c r="P868" s="57"/>
      <c r="Q868" s="57"/>
      <c r="R868" s="57"/>
      <c r="S868" s="31"/>
      <c r="T868" s="57"/>
      <c r="U868" s="57"/>
      <c r="V868" s="57"/>
      <c r="W868" s="57"/>
      <c r="X868" s="31"/>
      <c r="Y868" s="57"/>
      <c r="Z868" s="57"/>
      <c r="AA868" s="57"/>
      <c r="AB868" s="57"/>
      <c r="AC868" s="31"/>
      <c r="AD868" s="57"/>
      <c r="AE868" s="57"/>
      <c r="AF868" s="57"/>
      <c r="AG868" s="57"/>
      <c r="AH868" s="57"/>
      <c r="AI868" s="57"/>
      <c r="AJ868" s="57"/>
      <c r="AK868" s="57"/>
      <c r="AL868" s="57"/>
      <c r="AM868" s="57"/>
      <c r="AN868" s="57"/>
      <c r="AO868" s="57"/>
      <c r="AP868" s="35"/>
      <c r="AQ868" s="57"/>
      <c r="AR868" s="36"/>
      <c r="AS868" s="57"/>
      <c r="AT868" s="37"/>
      <c r="AU868" s="30"/>
      <c r="AV868" s="30"/>
      <c r="AW868" s="30"/>
      <c r="AX868" s="30"/>
      <c r="AY868" s="30"/>
      <c r="AZ868" s="30"/>
    </row>
    <row r="869">
      <c r="A869" s="30"/>
      <c r="B869" s="30"/>
      <c r="C869" s="30"/>
      <c r="D869" s="31"/>
      <c r="E869" s="31"/>
      <c r="F869" s="31"/>
      <c r="G869" s="31"/>
      <c r="H869" s="31"/>
      <c r="I869" s="54"/>
      <c r="J869" s="55"/>
      <c r="K869" s="54"/>
      <c r="L869" s="56"/>
      <c r="M869" s="56"/>
      <c r="N869" s="31"/>
      <c r="O869" s="57"/>
      <c r="P869" s="57"/>
      <c r="Q869" s="57"/>
      <c r="R869" s="57"/>
      <c r="S869" s="31"/>
      <c r="T869" s="57"/>
      <c r="U869" s="57"/>
      <c r="V869" s="57"/>
      <c r="W869" s="57"/>
      <c r="X869" s="31"/>
      <c r="Y869" s="57"/>
      <c r="Z869" s="57"/>
      <c r="AA869" s="57"/>
      <c r="AB869" s="57"/>
      <c r="AC869" s="31"/>
      <c r="AD869" s="57"/>
      <c r="AE869" s="57"/>
      <c r="AF869" s="57"/>
      <c r="AG869" s="57"/>
      <c r="AH869" s="57"/>
      <c r="AI869" s="57"/>
      <c r="AJ869" s="57"/>
      <c r="AK869" s="57"/>
      <c r="AL869" s="57"/>
      <c r="AM869" s="57"/>
      <c r="AN869" s="57"/>
      <c r="AO869" s="57"/>
      <c r="AP869" s="35"/>
      <c r="AQ869" s="57"/>
      <c r="AR869" s="36"/>
      <c r="AS869" s="57"/>
      <c r="AT869" s="37"/>
      <c r="AU869" s="30"/>
      <c r="AV869" s="30"/>
      <c r="AW869" s="30"/>
      <c r="AX869" s="30"/>
      <c r="AY869" s="30"/>
      <c r="AZ869" s="30"/>
    </row>
    <row r="870">
      <c r="A870" s="30"/>
      <c r="B870" s="30"/>
      <c r="C870" s="30"/>
      <c r="D870" s="31"/>
      <c r="E870" s="31"/>
      <c r="F870" s="31"/>
      <c r="G870" s="31"/>
      <c r="H870" s="31"/>
      <c r="I870" s="54"/>
      <c r="J870" s="55"/>
      <c r="K870" s="54"/>
      <c r="L870" s="56"/>
      <c r="M870" s="56"/>
      <c r="N870" s="31"/>
      <c r="O870" s="57"/>
      <c r="P870" s="57"/>
      <c r="Q870" s="57"/>
      <c r="R870" s="57"/>
      <c r="S870" s="31"/>
      <c r="T870" s="57"/>
      <c r="U870" s="57"/>
      <c r="V870" s="57"/>
      <c r="W870" s="57"/>
      <c r="X870" s="31"/>
      <c r="Y870" s="57"/>
      <c r="Z870" s="57"/>
      <c r="AA870" s="57"/>
      <c r="AB870" s="57"/>
      <c r="AC870" s="31"/>
      <c r="AD870" s="57"/>
      <c r="AE870" s="57"/>
      <c r="AF870" s="57"/>
      <c r="AG870" s="57"/>
      <c r="AH870" s="57"/>
      <c r="AI870" s="57"/>
      <c r="AJ870" s="57"/>
      <c r="AK870" s="57"/>
      <c r="AL870" s="57"/>
      <c r="AM870" s="57"/>
      <c r="AN870" s="57"/>
      <c r="AO870" s="57"/>
      <c r="AP870" s="35"/>
      <c r="AQ870" s="57"/>
      <c r="AR870" s="36"/>
      <c r="AS870" s="57"/>
      <c r="AT870" s="37"/>
      <c r="AU870" s="30"/>
      <c r="AV870" s="30"/>
      <c r="AW870" s="30"/>
      <c r="AX870" s="30"/>
      <c r="AY870" s="30"/>
      <c r="AZ870" s="30"/>
    </row>
    <row r="871">
      <c r="A871" s="30"/>
      <c r="B871" s="30"/>
      <c r="C871" s="30"/>
      <c r="D871" s="31"/>
      <c r="E871" s="31"/>
      <c r="F871" s="31"/>
      <c r="G871" s="31"/>
      <c r="H871" s="31"/>
      <c r="I871" s="54"/>
      <c r="J871" s="55"/>
      <c r="K871" s="54"/>
      <c r="L871" s="56"/>
      <c r="M871" s="56"/>
      <c r="N871" s="31"/>
      <c r="O871" s="57"/>
      <c r="P871" s="57"/>
      <c r="Q871" s="57"/>
      <c r="R871" s="57"/>
      <c r="S871" s="31"/>
      <c r="T871" s="57"/>
      <c r="U871" s="57"/>
      <c r="V871" s="57"/>
      <c r="W871" s="57"/>
      <c r="X871" s="31"/>
      <c r="Y871" s="57"/>
      <c r="Z871" s="57"/>
      <c r="AA871" s="57"/>
      <c r="AB871" s="57"/>
      <c r="AC871" s="31"/>
      <c r="AD871" s="57"/>
      <c r="AE871" s="57"/>
      <c r="AF871" s="57"/>
      <c r="AG871" s="57"/>
      <c r="AH871" s="57"/>
      <c r="AI871" s="57"/>
      <c r="AJ871" s="57"/>
      <c r="AK871" s="57"/>
      <c r="AL871" s="57"/>
      <c r="AM871" s="57"/>
      <c r="AN871" s="57"/>
      <c r="AO871" s="57"/>
      <c r="AP871" s="35"/>
      <c r="AQ871" s="57"/>
      <c r="AR871" s="36"/>
      <c r="AS871" s="57"/>
      <c r="AT871" s="37"/>
      <c r="AU871" s="30"/>
      <c r="AV871" s="30"/>
      <c r="AW871" s="30"/>
      <c r="AX871" s="30"/>
      <c r="AY871" s="30"/>
      <c r="AZ871" s="30"/>
    </row>
    <row r="872">
      <c r="A872" s="30"/>
      <c r="B872" s="30"/>
      <c r="C872" s="30"/>
      <c r="D872" s="31"/>
      <c r="E872" s="31"/>
      <c r="F872" s="31"/>
      <c r="G872" s="31"/>
      <c r="H872" s="31"/>
      <c r="I872" s="54"/>
      <c r="J872" s="55"/>
      <c r="K872" s="54"/>
      <c r="L872" s="56"/>
      <c r="M872" s="56"/>
      <c r="N872" s="31"/>
      <c r="O872" s="57"/>
      <c r="P872" s="57"/>
      <c r="Q872" s="57"/>
      <c r="R872" s="57"/>
      <c r="S872" s="31"/>
      <c r="T872" s="57"/>
      <c r="U872" s="57"/>
      <c r="V872" s="57"/>
      <c r="W872" s="57"/>
      <c r="X872" s="31"/>
      <c r="Y872" s="57"/>
      <c r="Z872" s="57"/>
      <c r="AA872" s="57"/>
      <c r="AB872" s="57"/>
      <c r="AC872" s="31"/>
      <c r="AD872" s="57"/>
      <c r="AE872" s="57"/>
      <c r="AF872" s="57"/>
      <c r="AG872" s="57"/>
      <c r="AH872" s="57"/>
      <c r="AI872" s="57"/>
      <c r="AJ872" s="57"/>
      <c r="AK872" s="57"/>
      <c r="AL872" s="57"/>
      <c r="AM872" s="57"/>
      <c r="AN872" s="57"/>
      <c r="AO872" s="57"/>
      <c r="AP872" s="35"/>
      <c r="AQ872" s="57"/>
      <c r="AR872" s="36"/>
      <c r="AS872" s="57"/>
      <c r="AT872" s="37"/>
      <c r="AU872" s="30"/>
      <c r="AV872" s="30"/>
      <c r="AW872" s="30"/>
      <c r="AX872" s="30"/>
      <c r="AY872" s="30"/>
      <c r="AZ872" s="30"/>
    </row>
    <row r="873">
      <c r="A873" s="30"/>
      <c r="B873" s="30"/>
      <c r="C873" s="30"/>
      <c r="D873" s="31"/>
      <c r="E873" s="31"/>
      <c r="F873" s="31"/>
      <c r="G873" s="31"/>
      <c r="H873" s="31"/>
      <c r="I873" s="54"/>
      <c r="J873" s="55"/>
      <c r="K873" s="54"/>
      <c r="L873" s="56"/>
      <c r="M873" s="56"/>
      <c r="N873" s="31"/>
      <c r="O873" s="57"/>
      <c r="P873" s="57"/>
      <c r="Q873" s="57"/>
      <c r="R873" s="57"/>
      <c r="S873" s="31"/>
      <c r="T873" s="57"/>
      <c r="U873" s="57"/>
      <c r="V873" s="57"/>
      <c r="W873" s="57"/>
      <c r="X873" s="31"/>
      <c r="Y873" s="57"/>
      <c r="Z873" s="57"/>
      <c r="AA873" s="57"/>
      <c r="AB873" s="57"/>
      <c r="AC873" s="31"/>
      <c r="AD873" s="57"/>
      <c r="AE873" s="57"/>
      <c r="AF873" s="57"/>
      <c r="AG873" s="57"/>
      <c r="AH873" s="57"/>
      <c r="AI873" s="57"/>
      <c r="AJ873" s="57"/>
      <c r="AK873" s="57"/>
      <c r="AL873" s="57"/>
      <c r="AM873" s="57"/>
      <c r="AN873" s="57"/>
      <c r="AO873" s="57"/>
      <c r="AP873" s="35"/>
      <c r="AQ873" s="57"/>
      <c r="AR873" s="36"/>
      <c r="AS873" s="57"/>
      <c r="AT873" s="37"/>
      <c r="AU873" s="30"/>
      <c r="AV873" s="30"/>
      <c r="AW873" s="30"/>
      <c r="AX873" s="30"/>
      <c r="AY873" s="30"/>
      <c r="AZ873" s="30"/>
    </row>
    <row r="874">
      <c r="A874" s="30"/>
      <c r="B874" s="30"/>
      <c r="C874" s="30"/>
      <c r="D874" s="31"/>
      <c r="E874" s="31"/>
      <c r="F874" s="31"/>
      <c r="G874" s="31"/>
      <c r="H874" s="31"/>
      <c r="I874" s="54"/>
      <c r="J874" s="55"/>
      <c r="K874" s="54"/>
      <c r="L874" s="56"/>
      <c r="M874" s="56"/>
      <c r="N874" s="31"/>
      <c r="O874" s="57"/>
      <c r="P874" s="57"/>
      <c r="Q874" s="57"/>
      <c r="R874" s="57"/>
      <c r="S874" s="31"/>
      <c r="T874" s="57"/>
      <c r="U874" s="57"/>
      <c r="V874" s="57"/>
      <c r="W874" s="57"/>
      <c r="X874" s="31"/>
      <c r="Y874" s="57"/>
      <c r="Z874" s="57"/>
      <c r="AA874" s="57"/>
      <c r="AB874" s="57"/>
      <c r="AC874" s="31"/>
      <c r="AD874" s="57"/>
      <c r="AE874" s="57"/>
      <c r="AF874" s="57"/>
      <c r="AG874" s="57"/>
      <c r="AH874" s="57"/>
      <c r="AI874" s="57"/>
      <c r="AJ874" s="57"/>
      <c r="AK874" s="57"/>
      <c r="AL874" s="57"/>
      <c r="AM874" s="57"/>
      <c r="AN874" s="57"/>
      <c r="AO874" s="57"/>
      <c r="AP874" s="35"/>
      <c r="AQ874" s="57"/>
      <c r="AR874" s="36"/>
      <c r="AS874" s="57"/>
      <c r="AT874" s="37"/>
      <c r="AU874" s="30"/>
      <c r="AV874" s="30"/>
      <c r="AW874" s="30"/>
      <c r="AX874" s="30"/>
      <c r="AY874" s="30"/>
      <c r="AZ874" s="30"/>
    </row>
    <row r="875">
      <c r="A875" s="30"/>
      <c r="B875" s="30"/>
      <c r="C875" s="30"/>
      <c r="D875" s="31"/>
      <c r="E875" s="31"/>
      <c r="F875" s="31"/>
      <c r="G875" s="31"/>
      <c r="H875" s="31"/>
      <c r="I875" s="54"/>
      <c r="J875" s="55"/>
      <c r="K875" s="54"/>
      <c r="L875" s="56"/>
      <c r="M875" s="56"/>
      <c r="N875" s="31"/>
      <c r="O875" s="57"/>
      <c r="P875" s="57"/>
      <c r="Q875" s="57"/>
      <c r="R875" s="57"/>
      <c r="S875" s="31"/>
      <c r="T875" s="57"/>
      <c r="U875" s="57"/>
      <c r="V875" s="57"/>
      <c r="W875" s="57"/>
      <c r="X875" s="31"/>
      <c r="Y875" s="57"/>
      <c r="Z875" s="57"/>
      <c r="AA875" s="57"/>
      <c r="AB875" s="57"/>
      <c r="AC875" s="31"/>
      <c r="AD875" s="57"/>
      <c r="AE875" s="57"/>
      <c r="AF875" s="57"/>
      <c r="AG875" s="57"/>
      <c r="AH875" s="57"/>
      <c r="AI875" s="57"/>
      <c r="AJ875" s="57"/>
      <c r="AK875" s="57"/>
      <c r="AL875" s="57"/>
      <c r="AM875" s="57"/>
      <c r="AN875" s="57"/>
      <c r="AO875" s="57"/>
      <c r="AP875" s="35"/>
      <c r="AQ875" s="57"/>
      <c r="AR875" s="36"/>
      <c r="AS875" s="57"/>
      <c r="AT875" s="37"/>
      <c r="AU875" s="30"/>
      <c r="AV875" s="30"/>
      <c r="AW875" s="30"/>
      <c r="AX875" s="30"/>
      <c r="AY875" s="30"/>
      <c r="AZ875" s="30"/>
    </row>
    <row r="876">
      <c r="A876" s="30"/>
      <c r="B876" s="30"/>
      <c r="C876" s="30"/>
      <c r="D876" s="31"/>
      <c r="E876" s="31"/>
      <c r="F876" s="31"/>
      <c r="G876" s="31"/>
      <c r="H876" s="31"/>
      <c r="I876" s="54"/>
      <c r="J876" s="55"/>
      <c r="K876" s="54"/>
      <c r="L876" s="56"/>
      <c r="M876" s="56"/>
      <c r="N876" s="31"/>
      <c r="O876" s="57"/>
      <c r="P876" s="57"/>
      <c r="Q876" s="57"/>
      <c r="R876" s="57"/>
      <c r="S876" s="31"/>
      <c r="T876" s="57"/>
      <c r="U876" s="57"/>
      <c r="V876" s="57"/>
      <c r="W876" s="57"/>
      <c r="X876" s="31"/>
      <c r="Y876" s="57"/>
      <c r="Z876" s="57"/>
      <c r="AA876" s="57"/>
      <c r="AB876" s="57"/>
      <c r="AC876" s="31"/>
      <c r="AD876" s="57"/>
      <c r="AE876" s="57"/>
      <c r="AF876" s="57"/>
      <c r="AG876" s="57"/>
      <c r="AH876" s="57"/>
      <c r="AI876" s="57"/>
      <c r="AJ876" s="57"/>
      <c r="AK876" s="57"/>
      <c r="AL876" s="57"/>
      <c r="AM876" s="57"/>
      <c r="AN876" s="57"/>
      <c r="AO876" s="57"/>
      <c r="AP876" s="35"/>
      <c r="AQ876" s="57"/>
      <c r="AR876" s="36"/>
      <c r="AS876" s="57"/>
      <c r="AT876" s="37"/>
      <c r="AU876" s="30"/>
      <c r="AV876" s="30"/>
      <c r="AW876" s="30"/>
      <c r="AX876" s="30"/>
      <c r="AY876" s="30"/>
      <c r="AZ876" s="30"/>
    </row>
    <row r="877">
      <c r="A877" s="30"/>
      <c r="B877" s="30"/>
      <c r="C877" s="30"/>
      <c r="D877" s="31"/>
      <c r="E877" s="31"/>
      <c r="F877" s="31"/>
      <c r="G877" s="31"/>
      <c r="H877" s="31"/>
      <c r="I877" s="54"/>
      <c r="J877" s="55"/>
      <c r="K877" s="54"/>
      <c r="L877" s="56"/>
      <c r="M877" s="56"/>
      <c r="N877" s="31"/>
      <c r="O877" s="57"/>
      <c r="P877" s="57"/>
      <c r="Q877" s="57"/>
      <c r="R877" s="57"/>
      <c r="S877" s="31"/>
      <c r="T877" s="57"/>
      <c r="U877" s="57"/>
      <c r="V877" s="57"/>
      <c r="W877" s="57"/>
      <c r="X877" s="31"/>
      <c r="Y877" s="57"/>
      <c r="Z877" s="57"/>
      <c r="AA877" s="57"/>
      <c r="AB877" s="57"/>
      <c r="AC877" s="31"/>
      <c r="AD877" s="57"/>
      <c r="AE877" s="57"/>
      <c r="AF877" s="57"/>
      <c r="AG877" s="57"/>
      <c r="AH877" s="57"/>
      <c r="AI877" s="57"/>
      <c r="AJ877" s="57"/>
      <c r="AK877" s="57"/>
      <c r="AL877" s="57"/>
      <c r="AM877" s="57"/>
      <c r="AN877" s="57"/>
      <c r="AO877" s="57"/>
      <c r="AP877" s="35"/>
      <c r="AQ877" s="57"/>
      <c r="AR877" s="36"/>
      <c r="AS877" s="57"/>
      <c r="AT877" s="37"/>
      <c r="AU877" s="30"/>
      <c r="AV877" s="30"/>
      <c r="AW877" s="30"/>
      <c r="AX877" s="30"/>
      <c r="AY877" s="30"/>
      <c r="AZ877" s="30"/>
    </row>
    <row r="878">
      <c r="A878" s="30"/>
      <c r="B878" s="30"/>
      <c r="C878" s="30"/>
      <c r="D878" s="31"/>
      <c r="E878" s="31"/>
      <c r="F878" s="31"/>
      <c r="G878" s="31"/>
      <c r="H878" s="31"/>
      <c r="I878" s="54"/>
      <c r="J878" s="55"/>
      <c r="K878" s="54"/>
      <c r="L878" s="56"/>
      <c r="M878" s="56"/>
      <c r="N878" s="31"/>
      <c r="O878" s="57"/>
      <c r="P878" s="57"/>
      <c r="Q878" s="57"/>
      <c r="R878" s="57"/>
      <c r="S878" s="31"/>
      <c r="T878" s="57"/>
      <c r="U878" s="57"/>
      <c r="V878" s="57"/>
      <c r="W878" s="57"/>
      <c r="X878" s="31"/>
      <c r="Y878" s="57"/>
      <c r="Z878" s="57"/>
      <c r="AA878" s="57"/>
      <c r="AB878" s="57"/>
      <c r="AC878" s="31"/>
      <c r="AD878" s="57"/>
      <c r="AE878" s="57"/>
      <c r="AF878" s="57"/>
      <c r="AG878" s="57"/>
      <c r="AH878" s="57"/>
      <c r="AI878" s="57"/>
      <c r="AJ878" s="57"/>
      <c r="AK878" s="57"/>
      <c r="AL878" s="57"/>
      <c r="AM878" s="57"/>
      <c r="AN878" s="57"/>
      <c r="AO878" s="57"/>
      <c r="AP878" s="35"/>
      <c r="AQ878" s="57"/>
      <c r="AR878" s="36"/>
      <c r="AS878" s="57"/>
      <c r="AT878" s="37"/>
      <c r="AU878" s="30"/>
      <c r="AV878" s="30"/>
      <c r="AW878" s="30"/>
      <c r="AX878" s="30"/>
      <c r="AY878" s="30"/>
      <c r="AZ878" s="30"/>
    </row>
    <row r="879">
      <c r="A879" s="30"/>
      <c r="B879" s="30"/>
      <c r="C879" s="30"/>
      <c r="D879" s="31"/>
      <c r="E879" s="31"/>
      <c r="F879" s="31"/>
      <c r="G879" s="31"/>
      <c r="H879" s="31"/>
      <c r="I879" s="54"/>
      <c r="J879" s="55"/>
      <c r="K879" s="54"/>
      <c r="L879" s="56"/>
      <c r="M879" s="56"/>
      <c r="N879" s="31"/>
      <c r="O879" s="57"/>
      <c r="P879" s="57"/>
      <c r="Q879" s="57"/>
      <c r="R879" s="57"/>
      <c r="S879" s="31"/>
      <c r="T879" s="57"/>
      <c r="U879" s="57"/>
      <c r="V879" s="57"/>
      <c r="W879" s="57"/>
      <c r="X879" s="31"/>
      <c r="Y879" s="57"/>
      <c r="Z879" s="57"/>
      <c r="AA879" s="57"/>
      <c r="AB879" s="57"/>
      <c r="AC879" s="31"/>
      <c r="AD879" s="57"/>
      <c r="AE879" s="57"/>
      <c r="AF879" s="57"/>
      <c r="AG879" s="57"/>
      <c r="AH879" s="57"/>
      <c r="AI879" s="57"/>
      <c r="AJ879" s="57"/>
      <c r="AK879" s="57"/>
      <c r="AL879" s="57"/>
      <c r="AM879" s="57"/>
      <c r="AN879" s="57"/>
      <c r="AO879" s="57"/>
      <c r="AP879" s="35"/>
      <c r="AQ879" s="57"/>
      <c r="AR879" s="36"/>
      <c r="AS879" s="57"/>
      <c r="AT879" s="37"/>
      <c r="AU879" s="30"/>
      <c r="AV879" s="30"/>
      <c r="AW879" s="30"/>
      <c r="AX879" s="30"/>
      <c r="AY879" s="30"/>
      <c r="AZ879" s="30"/>
    </row>
    <row r="880">
      <c r="A880" s="30"/>
      <c r="B880" s="30"/>
      <c r="C880" s="30"/>
      <c r="D880" s="31"/>
      <c r="E880" s="31"/>
      <c r="F880" s="31"/>
      <c r="G880" s="31"/>
      <c r="H880" s="31"/>
      <c r="I880" s="54"/>
      <c r="J880" s="55"/>
      <c r="K880" s="54"/>
      <c r="L880" s="56"/>
      <c r="M880" s="56"/>
      <c r="N880" s="31"/>
      <c r="O880" s="57"/>
      <c r="P880" s="57"/>
      <c r="Q880" s="57"/>
      <c r="R880" s="57"/>
      <c r="S880" s="31"/>
      <c r="T880" s="57"/>
      <c r="U880" s="57"/>
      <c r="V880" s="57"/>
      <c r="W880" s="57"/>
      <c r="X880" s="31"/>
      <c r="Y880" s="57"/>
      <c r="Z880" s="57"/>
      <c r="AA880" s="57"/>
      <c r="AB880" s="57"/>
      <c r="AC880" s="31"/>
      <c r="AD880" s="57"/>
      <c r="AE880" s="57"/>
      <c r="AF880" s="57"/>
      <c r="AG880" s="57"/>
      <c r="AH880" s="57"/>
      <c r="AI880" s="57"/>
      <c r="AJ880" s="57"/>
      <c r="AK880" s="57"/>
      <c r="AL880" s="57"/>
      <c r="AM880" s="57"/>
      <c r="AN880" s="57"/>
      <c r="AO880" s="57"/>
      <c r="AP880" s="35"/>
      <c r="AQ880" s="57"/>
      <c r="AR880" s="36"/>
      <c r="AS880" s="57"/>
      <c r="AT880" s="37"/>
      <c r="AU880" s="30"/>
      <c r="AV880" s="30"/>
      <c r="AW880" s="30"/>
      <c r="AX880" s="30"/>
      <c r="AY880" s="30"/>
      <c r="AZ880" s="30"/>
    </row>
    <row r="881">
      <c r="A881" s="30"/>
      <c r="B881" s="30"/>
      <c r="C881" s="30"/>
      <c r="D881" s="31"/>
      <c r="E881" s="31"/>
      <c r="F881" s="31"/>
      <c r="G881" s="31"/>
      <c r="H881" s="31"/>
      <c r="I881" s="54"/>
      <c r="J881" s="55"/>
      <c r="K881" s="54"/>
      <c r="L881" s="56"/>
      <c r="M881" s="56"/>
      <c r="N881" s="31"/>
      <c r="O881" s="57"/>
      <c r="P881" s="57"/>
      <c r="Q881" s="57"/>
      <c r="R881" s="57"/>
      <c r="S881" s="31"/>
      <c r="T881" s="57"/>
      <c r="U881" s="57"/>
      <c r="V881" s="57"/>
      <c r="W881" s="57"/>
      <c r="X881" s="31"/>
      <c r="Y881" s="57"/>
      <c r="Z881" s="57"/>
      <c r="AA881" s="57"/>
      <c r="AB881" s="57"/>
      <c r="AC881" s="31"/>
      <c r="AD881" s="57"/>
      <c r="AE881" s="57"/>
      <c r="AF881" s="57"/>
      <c r="AG881" s="57"/>
      <c r="AH881" s="57"/>
      <c r="AI881" s="57"/>
      <c r="AJ881" s="57"/>
      <c r="AK881" s="57"/>
      <c r="AL881" s="57"/>
      <c r="AM881" s="57"/>
      <c r="AN881" s="57"/>
      <c r="AO881" s="57"/>
      <c r="AP881" s="35"/>
      <c r="AQ881" s="57"/>
      <c r="AR881" s="36"/>
      <c r="AS881" s="57"/>
      <c r="AT881" s="37"/>
      <c r="AU881" s="30"/>
      <c r="AV881" s="30"/>
      <c r="AW881" s="30"/>
      <c r="AX881" s="30"/>
      <c r="AY881" s="30"/>
      <c r="AZ881" s="30"/>
    </row>
    <row r="882">
      <c r="A882" s="30"/>
      <c r="B882" s="30"/>
      <c r="C882" s="30"/>
      <c r="D882" s="31"/>
      <c r="E882" s="31"/>
      <c r="F882" s="31"/>
      <c r="G882" s="31"/>
      <c r="H882" s="31"/>
      <c r="I882" s="54"/>
      <c r="J882" s="55"/>
      <c r="K882" s="54"/>
      <c r="L882" s="56"/>
      <c r="M882" s="56"/>
      <c r="N882" s="31"/>
      <c r="O882" s="57"/>
      <c r="P882" s="57"/>
      <c r="Q882" s="57"/>
      <c r="R882" s="57"/>
      <c r="S882" s="31"/>
      <c r="T882" s="57"/>
      <c r="U882" s="57"/>
      <c r="V882" s="57"/>
      <c r="W882" s="57"/>
      <c r="X882" s="31"/>
      <c r="Y882" s="57"/>
      <c r="Z882" s="57"/>
      <c r="AA882" s="57"/>
      <c r="AB882" s="57"/>
      <c r="AC882" s="31"/>
      <c r="AD882" s="57"/>
      <c r="AE882" s="57"/>
      <c r="AF882" s="57"/>
      <c r="AG882" s="57"/>
      <c r="AH882" s="57"/>
      <c r="AI882" s="57"/>
      <c r="AJ882" s="57"/>
      <c r="AK882" s="57"/>
      <c r="AL882" s="57"/>
      <c r="AM882" s="57"/>
      <c r="AN882" s="57"/>
      <c r="AO882" s="57"/>
      <c r="AP882" s="35"/>
      <c r="AQ882" s="57"/>
      <c r="AR882" s="36"/>
      <c r="AS882" s="57"/>
      <c r="AT882" s="37"/>
      <c r="AU882" s="30"/>
      <c r="AV882" s="30"/>
      <c r="AW882" s="30"/>
      <c r="AX882" s="30"/>
      <c r="AY882" s="30"/>
      <c r="AZ882" s="30"/>
    </row>
    <row r="883">
      <c r="A883" s="30"/>
      <c r="B883" s="30"/>
      <c r="C883" s="30"/>
      <c r="D883" s="31"/>
      <c r="E883" s="31"/>
      <c r="F883" s="31"/>
      <c r="G883" s="31"/>
      <c r="H883" s="31"/>
      <c r="I883" s="54"/>
      <c r="J883" s="55"/>
      <c r="K883" s="54"/>
      <c r="L883" s="56"/>
      <c r="M883" s="56"/>
      <c r="N883" s="31"/>
      <c r="O883" s="57"/>
      <c r="P883" s="57"/>
      <c r="Q883" s="57"/>
      <c r="R883" s="57"/>
      <c r="S883" s="31"/>
      <c r="T883" s="57"/>
      <c r="U883" s="57"/>
      <c r="V883" s="57"/>
      <c r="W883" s="57"/>
      <c r="X883" s="31"/>
      <c r="Y883" s="57"/>
      <c r="Z883" s="57"/>
      <c r="AA883" s="57"/>
      <c r="AB883" s="57"/>
      <c r="AC883" s="31"/>
      <c r="AD883" s="57"/>
      <c r="AE883" s="57"/>
      <c r="AF883" s="57"/>
      <c r="AG883" s="57"/>
      <c r="AH883" s="57"/>
      <c r="AI883" s="57"/>
      <c r="AJ883" s="57"/>
      <c r="AK883" s="57"/>
      <c r="AL883" s="57"/>
      <c r="AM883" s="57"/>
      <c r="AN883" s="57"/>
      <c r="AO883" s="57"/>
      <c r="AP883" s="35"/>
      <c r="AQ883" s="57"/>
      <c r="AR883" s="36"/>
      <c r="AS883" s="57"/>
      <c r="AT883" s="37"/>
      <c r="AU883" s="30"/>
      <c r="AV883" s="30"/>
      <c r="AW883" s="30"/>
      <c r="AX883" s="30"/>
      <c r="AY883" s="30"/>
      <c r="AZ883" s="30"/>
    </row>
    <row r="884">
      <c r="A884" s="30"/>
      <c r="B884" s="30"/>
      <c r="C884" s="30"/>
      <c r="D884" s="31"/>
      <c r="E884" s="31"/>
      <c r="F884" s="31"/>
      <c r="G884" s="31"/>
      <c r="H884" s="31"/>
      <c r="I884" s="54"/>
      <c r="J884" s="55"/>
      <c r="K884" s="54"/>
      <c r="L884" s="56"/>
      <c r="M884" s="56"/>
      <c r="N884" s="31"/>
      <c r="O884" s="57"/>
      <c r="P884" s="57"/>
      <c r="Q884" s="57"/>
      <c r="R884" s="57"/>
      <c r="S884" s="31"/>
      <c r="T884" s="57"/>
      <c r="U884" s="57"/>
      <c r="V884" s="57"/>
      <c r="W884" s="57"/>
      <c r="X884" s="31"/>
      <c r="Y884" s="57"/>
      <c r="Z884" s="57"/>
      <c r="AA884" s="57"/>
      <c r="AB884" s="57"/>
      <c r="AC884" s="31"/>
      <c r="AD884" s="57"/>
      <c r="AE884" s="57"/>
      <c r="AF884" s="57"/>
      <c r="AG884" s="57"/>
      <c r="AH884" s="57"/>
      <c r="AI884" s="57"/>
      <c r="AJ884" s="57"/>
      <c r="AK884" s="57"/>
      <c r="AL884" s="57"/>
      <c r="AM884" s="57"/>
      <c r="AN884" s="57"/>
      <c r="AO884" s="57"/>
      <c r="AP884" s="35"/>
      <c r="AQ884" s="57"/>
      <c r="AR884" s="36"/>
      <c r="AS884" s="57"/>
      <c r="AT884" s="37"/>
      <c r="AU884" s="30"/>
      <c r="AV884" s="30"/>
      <c r="AW884" s="30"/>
      <c r="AX884" s="30"/>
      <c r="AY884" s="30"/>
      <c r="AZ884" s="30"/>
    </row>
    <row r="885">
      <c r="A885" s="30"/>
      <c r="B885" s="30"/>
      <c r="C885" s="30"/>
      <c r="D885" s="31"/>
      <c r="E885" s="31"/>
      <c r="F885" s="31"/>
      <c r="G885" s="31"/>
      <c r="H885" s="31"/>
      <c r="I885" s="54"/>
      <c r="J885" s="55"/>
      <c r="K885" s="54"/>
      <c r="L885" s="56"/>
      <c r="M885" s="56"/>
      <c r="N885" s="31"/>
      <c r="O885" s="57"/>
      <c r="P885" s="57"/>
      <c r="Q885" s="57"/>
      <c r="R885" s="57"/>
      <c r="S885" s="31"/>
      <c r="T885" s="57"/>
      <c r="U885" s="57"/>
      <c r="V885" s="57"/>
      <c r="W885" s="57"/>
      <c r="X885" s="31"/>
      <c r="Y885" s="57"/>
      <c r="Z885" s="57"/>
      <c r="AA885" s="57"/>
      <c r="AB885" s="57"/>
      <c r="AC885" s="31"/>
      <c r="AD885" s="57"/>
      <c r="AE885" s="57"/>
      <c r="AF885" s="57"/>
      <c r="AG885" s="57"/>
      <c r="AH885" s="57"/>
      <c r="AI885" s="57"/>
      <c r="AJ885" s="57"/>
      <c r="AK885" s="57"/>
      <c r="AL885" s="57"/>
      <c r="AM885" s="57"/>
      <c r="AN885" s="57"/>
      <c r="AO885" s="57"/>
      <c r="AP885" s="35"/>
      <c r="AQ885" s="57"/>
      <c r="AR885" s="36"/>
      <c r="AS885" s="57"/>
      <c r="AT885" s="37"/>
      <c r="AU885" s="30"/>
      <c r="AV885" s="30"/>
      <c r="AW885" s="30"/>
      <c r="AX885" s="30"/>
      <c r="AY885" s="30"/>
      <c r="AZ885" s="30"/>
    </row>
    <row r="886">
      <c r="A886" s="30"/>
      <c r="B886" s="30"/>
      <c r="C886" s="30"/>
      <c r="D886" s="31"/>
      <c r="E886" s="31"/>
      <c r="F886" s="31"/>
      <c r="G886" s="31"/>
      <c r="H886" s="31"/>
      <c r="I886" s="54"/>
      <c r="J886" s="55"/>
      <c r="K886" s="54"/>
      <c r="L886" s="56"/>
      <c r="M886" s="56"/>
      <c r="N886" s="31"/>
      <c r="O886" s="57"/>
      <c r="P886" s="57"/>
      <c r="Q886" s="57"/>
      <c r="R886" s="57"/>
      <c r="S886" s="31"/>
      <c r="T886" s="57"/>
      <c r="U886" s="57"/>
      <c r="V886" s="57"/>
      <c r="W886" s="57"/>
      <c r="X886" s="31"/>
      <c r="Y886" s="57"/>
      <c r="Z886" s="57"/>
      <c r="AA886" s="57"/>
      <c r="AB886" s="57"/>
      <c r="AC886" s="31"/>
      <c r="AD886" s="57"/>
      <c r="AE886" s="57"/>
      <c r="AF886" s="57"/>
      <c r="AG886" s="57"/>
      <c r="AH886" s="57"/>
      <c r="AI886" s="57"/>
      <c r="AJ886" s="57"/>
      <c r="AK886" s="57"/>
      <c r="AL886" s="57"/>
      <c r="AM886" s="57"/>
      <c r="AN886" s="57"/>
      <c r="AO886" s="57"/>
      <c r="AP886" s="35"/>
      <c r="AQ886" s="57"/>
      <c r="AR886" s="36"/>
      <c r="AS886" s="57"/>
      <c r="AT886" s="37"/>
      <c r="AU886" s="30"/>
      <c r="AV886" s="30"/>
      <c r="AW886" s="30"/>
      <c r="AX886" s="30"/>
      <c r="AY886" s="30"/>
      <c r="AZ886" s="30"/>
    </row>
    <row r="887">
      <c r="A887" s="30"/>
      <c r="B887" s="30"/>
      <c r="C887" s="30"/>
      <c r="D887" s="31"/>
      <c r="E887" s="31"/>
      <c r="F887" s="31"/>
      <c r="G887" s="31"/>
      <c r="H887" s="31"/>
      <c r="I887" s="54"/>
      <c r="J887" s="55"/>
      <c r="K887" s="54"/>
      <c r="L887" s="56"/>
      <c r="M887" s="56"/>
      <c r="N887" s="31"/>
      <c r="O887" s="57"/>
      <c r="P887" s="57"/>
      <c r="Q887" s="57"/>
      <c r="R887" s="57"/>
      <c r="S887" s="31"/>
      <c r="T887" s="57"/>
      <c r="U887" s="57"/>
      <c r="V887" s="57"/>
      <c r="W887" s="57"/>
      <c r="X887" s="31"/>
      <c r="Y887" s="57"/>
      <c r="Z887" s="57"/>
      <c r="AA887" s="57"/>
      <c r="AB887" s="57"/>
      <c r="AC887" s="31"/>
      <c r="AD887" s="57"/>
      <c r="AE887" s="57"/>
      <c r="AF887" s="57"/>
      <c r="AG887" s="57"/>
      <c r="AH887" s="57"/>
      <c r="AI887" s="57"/>
      <c r="AJ887" s="57"/>
      <c r="AK887" s="57"/>
      <c r="AL887" s="57"/>
      <c r="AM887" s="57"/>
      <c r="AN887" s="57"/>
      <c r="AO887" s="57"/>
      <c r="AP887" s="35"/>
      <c r="AQ887" s="57"/>
      <c r="AR887" s="36"/>
      <c r="AS887" s="57"/>
      <c r="AT887" s="37"/>
      <c r="AU887" s="30"/>
      <c r="AV887" s="30"/>
      <c r="AW887" s="30"/>
      <c r="AX887" s="30"/>
      <c r="AY887" s="30"/>
      <c r="AZ887" s="30"/>
    </row>
    <row r="888">
      <c r="A888" s="30"/>
      <c r="B888" s="30"/>
      <c r="C888" s="30"/>
      <c r="D888" s="31"/>
      <c r="E888" s="31"/>
      <c r="F888" s="31"/>
      <c r="G888" s="31"/>
      <c r="H888" s="31"/>
      <c r="I888" s="54"/>
      <c r="J888" s="55"/>
      <c r="K888" s="54"/>
      <c r="L888" s="56"/>
      <c r="M888" s="56"/>
      <c r="N888" s="31"/>
      <c r="O888" s="57"/>
      <c r="P888" s="57"/>
      <c r="Q888" s="57"/>
      <c r="R888" s="57"/>
      <c r="S888" s="31"/>
      <c r="T888" s="57"/>
      <c r="U888" s="57"/>
      <c r="V888" s="57"/>
      <c r="W888" s="57"/>
      <c r="X888" s="31"/>
      <c r="Y888" s="57"/>
      <c r="Z888" s="57"/>
      <c r="AA888" s="57"/>
      <c r="AB888" s="57"/>
      <c r="AC888" s="31"/>
      <c r="AD888" s="57"/>
      <c r="AE888" s="57"/>
      <c r="AF888" s="57"/>
      <c r="AG888" s="57"/>
      <c r="AH888" s="57"/>
      <c r="AI888" s="57"/>
      <c r="AJ888" s="57"/>
      <c r="AK888" s="57"/>
      <c r="AL888" s="57"/>
      <c r="AM888" s="57"/>
      <c r="AN888" s="57"/>
      <c r="AO888" s="57"/>
      <c r="AP888" s="35"/>
      <c r="AQ888" s="57"/>
      <c r="AR888" s="36"/>
      <c r="AS888" s="57"/>
      <c r="AT888" s="37"/>
      <c r="AU888" s="30"/>
      <c r="AV888" s="30"/>
      <c r="AW888" s="30"/>
      <c r="AX888" s="30"/>
      <c r="AY888" s="30"/>
      <c r="AZ888" s="30"/>
    </row>
    <row r="889">
      <c r="A889" s="30"/>
      <c r="B889" s="30"/>
      <c r="C889" s="30"/>
      <c r="D889" s="31"/>
      <c r="E889" s="31"/>
      <c r="F889" s="31"/>
      <c r="G889" s="31"/>
      <c r="H889" s="31"/>
      <c r="I889" s="54"/>
      <c r="J889" s="55"/>
      <c r="K889" s="54"/>
      <c r="L889" s="56"/>
      <c r="M889" s="56"/>
      <c r="N889" s="31"/>
      <c r="O889" s="57"/>
      <c r="P889" s="57"/>
      <c r="Q889" s="57"/>
      <c r="R889" s="57"/>
      <c r="S889" s="31"/>
      <c r="T889" s="57"/>
      <c r="U889" s="57"/>
      <c r="V889" s="57"/>
      <c r="W889" s="57"/>
      <c r="X889" s="31"/>
      <c r="Y889" s="57"/>
      <c r="Z889" s="57"/>
      <c r="AA889" s="57"/>
      <c r="AB889" s="57"/>
      <c r="AC889" s="31"/>
      <c r="AD889" s="57"/>
      <c r="AE889" s="57"/>
      <c r="AF889" s="57"/>
      <c r="AG889" s="57"/>
      <c r="AH889" s="57"/>
      <c r="AI889" s="57"/>
      <c r="AJ889" s="57"/>
      <c r="AK889" s="57"/>
      <c r="AL889" s="57"/>
      <c r="AM889" s="57"/>
      <c r="AN889" s="57"/>
      <c r="AO889" s="57"/>
      <c r="AP889" s="35"/>
      <c r="AQ889" s="57"/>
      <c r="AR889" s="36"/>
      <c r="AS889" s="57"/>
      <c r="AT889" s="37"/>
      <c r="AU889" s="30"/>
      <c r="AV889" s="30"/>
      <c r="AW889" s="30"/>
      <c r="AX889" s="30"/>
      <c r="AY889" s="30"/>
      <c r="AZ889" s="30"/>
    </row>
    <row r="890">
      <c r="A890" s="30"/>
      <c r="B890" s="30"/>
      <c r="C890" s="30"/>
      <c r="D890" s="31"/>
      <c r="E890" s="31"/>
      <c r="F890" s="31"/>
      <c r="G890" s="31"/>
      <c r="H890" s="31"/>
      <c r="I890" s="54"/>
      <c r="J890" s="55"/>
      <c r="K890" s="54"/>
      <c r="L890" s="56"/>
      <c r="M890" s="56"/>
      <c r="N890" s="31"/>
      <c r="O890" s="57"/>
      <c r="P890" s="57"/>
      <c r="Q890" s="57"/>
      <c r="R890" s="57"/>
      <c r="S890" s="31"/>
      <c r="T890" s="57"/>
      <c r="U890" s="57"/>
      <c r="V890" s="57"/>
      <c r="W890" s="57"/>
      <c r="X890" s="31"/>
      <c r="Y890" s="57"/>
      <c r="Z890" s="57"/>
      <c r="AA890" s="57"/>
      <c r="AB890" s="57"/>
      <c r="AC890" s="31"/>
      <c r="AD890" s="57"/>
      <c r="AE890" s="57"/>
      <c r="AF890" s="57"/>
      <c r="AG890" s="57"/>
      <c r="AH890" s="57"/>
      <c r="AI890" s="57"/>
      <c r="AJ890" s="57"/>
      <c r="AK890" s="57"/>
      <c r="AL890" s="57"/>
      <c r="AM890" s="57"/>
      <c r="AN890" s="57"/>
      <c r="AO890" s="57"/>
      <c r="AP890" s="35"/>
      <c r="AQ890" s="57"/>
      <c r="AR890" s="36"/>
      <c r="AS890" s="57"/>
      <c r="AT890" s="37"/>
      <c r="AU890" s="30"/>
      <c r="AV890" s="30"/>
      <c r="AW890" s="30"/>
      <c r="AX890" s="30"/>
      <c r="AY890" s="30"/>
      <c r="AZ890" s="30"/>
    </row>
    <row r="891">
      <c r="A891" s="30"/>
      <c r="B891" s="30"/>
      <c r="C891" s="30"/>
      <c r="D891" s="31"/>
      <c r="E891" s="31"/>
      <c r="F891" s="31"/>
      <c r="G891" s="31"/>
      <c r="H891" s="31"/>
      <c r="I891" s="54"/>
      <c r="J891" s="55"/>
      <c r="K891" s="54"/>
      <c r="L891" s="56"/>
      <c r="M891" s="56"/>
      <c r="N891" s="31"/>
      <c r="O891" s="57"/>
      <c r="P891" s="57"/>
      <c r="Q891" s="57"/>
      <c r="R891" s="57"/>
      <c r="S891" s="31"/>
      <c r="T891" s="57"/>
      <c r="U891" s="57"/>
      <c r="V891" s="57"/>
      <c r="W891" s="57"/>
      <c r="X891" s="31"/>
      <c r="Y891" s="57"/>
      <c r="Z891" s="57"/>
      <c r="AA891" s="57"/>
      <c r="AB891" s="57"/>
      <c r="AC891" s="31"/>
      <c r="AD891" s="57"/>
      <c r="AE891" s="57"/>
      <c r="AF891" s="57"/>
      <c r="AG891" s="57"/>
      <c r="AH891" s="57"/>
      <c r="AI891" s="57"/>
      <c r="AJ891" s="57"/>
      <c r="AK891" s="57"/>
      <c r="AL891" s="57"/>
      <c r="AM891" s="57"/>
      <c r="AN891" s="57"/>
      <c r="AO891" s="57"/>
      <c r="AP891" s="35"/>
      <c r="AQ891" s="57"/>
      <c r="AR891" s="36"/>
      <c r="AS891" s="57"/>
      <c r="AT891" s="37"/>
      <c r="AU891" s="30"/>
      <c r="AV891" s="30"/>
      <c r="AW891" s="30"/>
      <c r="AX891" s="30"/>
      <c r="AY891" s="30"/>
      <c r="AZ891" s="30"/>
    </row>
    <row r="892">
      <c r="A892" s="30"/>
      <c r="B892" s="30"/>
      <c r="C892" s="30"/>
      <c r="D892" s="31"/>
      <c r="E892" s="31"/>
      <c r="F892" s="31"/>
      <c r="G892" s="31"/>
      <c r="H892" s="31"/>
      <c r="I892" s="54"/>
      <c r="J892" s="55"/>
      <c r="K892" s="54"/>
      <c r="L892" s="56"/>
      <c r="M892" s="56"/>
      <c r="N892" s="31"/>
      <c r="O892" s="57"/>
      <c r="P892" s="57"/>
      <c r="Q892" s="57"/>
      <c r="R892" s="57"/>
      <c r="S892" s="31"/>
      <c r="T892" s="57"/>
      <c r="U892" s="57"/>
      <c r="V892" s="57"/>
      <c r="W892" s="57"/>
      <c r="X892" s="31"/>
      <c r="Y892" s="57"/>
      <c r="Z892" s="57"/>
      <c r="AA892" s="57"/>
      <c r="AB892" s="57"/>
      <c r="AC892" s="31"/>
      <c r="AD892" s="57"/>
      <c r="AE892" s="57"/>
      <c r="AF892" s="57"/>
      <c r="AG892" s="57"/>
      <c r="AH892" s="57"/>
      <c r="AI892" s="57"/>
      <c r="AJ892" s="57"/>
      <c r="AK892" s="57"/>
      <c r="AL892" s="57"/>
      <c r="AM892" s="57"/>
      <c r="AN892" s="57"/>
      <c r="AO892" s="57"/>
      <c r="AP892" s="35"/>
      <c r="AQ892" s="57"/>
      <c r="AR892" s="36"/>
      <c r="AS892" s="57"/>
      <c r="AT892" s="37"/>
      <c r="AU892" s="30"/>
      <c r="AV892" s="30"/>
      <c r="AW892" s="30"/>
      <c r="AX892" s="30"/>
      <c r="AY892" s="30"/>
      <c r="AZ892" s="30"/>
    </row>
    <row r="893">
      <c r="A893" s="30"/>
      <c r="B893" s="30"/>
      <c r="C893" s="30"/>
      <c r="D893" s="31"/>
      <c r="E893" s="31"/>
      <c r="F893" s="31"/>
      <c r="G893" s="31"/>
      <c r="H893" s="31"/>
      <c r="I893" s="54"/>
      <c r="J893" s="55"/>
      <c r="K893" s="54"/>
      <c r="L893" s="56"/>
      <c r="M893" s="56"/>
      <c r="N893" s="31"/>
      <c r="O893" s="57"/>
      <c r="P893" s="57"/>
      <c r="Q893" s="57"/>
      <c r="R893" s="57"/>
      <c r="S893" s="31"/>
      <c r="T893" s="57"/>
      <c r="U893" s="57"/>
      <c r="V893" s="57"/>
      <c r="W893" s="57"/>
      <c r="X893" s="31"/>
      <c r="Y893" s="57"/>
      <c r="Z893" s="57"/>
      <c r="AA893" s="57"/>
      <c r="AB893" s="57"/>
      <c r="AC893" s="31"/>
      <c r="AD893" s="57"/>
      <c r="AE893" s="57"/>
      <c r="AF893" s="57"/>
      <c r="AG893" s="57"/>
      <c r="AH893" s="57"/>
      <c r="AI893" s="57"/>
      <c r="AJ893" s="57"/>
      <c r="AK893" s="57"/>
      <c r="AL893" s="57"/>
      <c r="AM893" s="57"/>
      <c r="AN893" s="57"/>
      <c r="AO893" s="57"/>
      <c r="AP893" s="35"/>
      <c r="AQ893" s="57"/>
      <c r="AR893" s="36"/>
      <c r="AS893" s="57"/>
      <c r="AT893" s="37"/>
      <c r="AU893" s="30"/>
      <c r="AV893" s="30"/>
      <c r="AW893" s="30"/>
      <c r="AX893" s="30"/>
      <c r="AY893" s="30"/>
      <c r="AZ893" s="30"/>
    </row>
    <row r="894">
      <c r="A894" s="30"/>
      <c r="B894" s="30"/>
      <c r="C894" s="30"/>
      <c r="D894" s="31"/>
      <c r="E894" s="31"/>
      <c r="F894" s="31"/>
      <c r="G894" s="31"/>
      <c r="H894" s="31"/>
      <c r="I894" s="54"/>
      <c r="J894" s="55"/>
      <c r="K894" s="54"/>
      <c r="L894" s="56"/>
      <c r="M894" s="56"/>
      <c r="N894" s="31"/>
      <c r="O894" s="57"/>
      <c r="P894" s="57"/>
      <c r="Q894" s="57"/>
      <c r="R894" s="57"/>
      <c r="S894" s="31"/>
      <c r="T894" s="57"/>
      <c r="U894" s="57"/>
      <c r="V894" s="57"/>
      <c r="W894" s="57"/>
      <c r="X894" s="31"/>
      <c r="Y894" s="57"/>
      <c r="Z894" s="57"/>
      <c r="AA894" s="57"/>
      <c r="AB894" s="57"/>
      <c r="AC894" s="31"/>
      <c r="AD894" s="57"/>
      <c r="AE894" s="57"/>
      <c r="AF894" s="57"/>
      <c r="AG894" s="57"/>
      <c r="AH894" s="57"/>
      <c r="AI894" s="57"/>
      <c r="AJ894" s="57"/>
      <c r="AK894" s="57"/>
      <c r="AL894" s="57"/>
      <c r="AM894" s="57"/>
      <c r="AN894" s="57"/>
      <c r="AO894" s="57"/>
      <c r="AP894" s="35"/>
      <c r="AQ894" s="57"/>
      <c r="AR894" s="36"/>
      <c r="AS894" s="57"/>
      <c r="AT894" s="37"/>
      <c r="AU894" s="30"/>
      <c r="AV894" s="30"/>
      <c r="AW894" s="30"/>
      <c r="AX894" s="30"/>
      <c r="AY894" s="30"/>
      <c r="AZ894" s="30"/>
    </row>
    <row r="895">
      <c r="A895" s="30"/>
      <c r="B895" s="30"/>
      <c r="C895" s="30"/>
      <c r="D895" s="31"/>
      <c r="E895" s="31"/>
      <c r="F895" s="31"/>
      <c r="G895" s="31"/>
      <c r="H895" s="31"/>
      <c r="I895" s="54"/>
      <c r="J895" s="55"/>
      <c r="K895" s="54"/>
      <c r="L895" s="56"/>
      <c r="M895" s="56"/>
      <c r="N895" s="31"/>
      <c r="O895" s="57"/>
      <c r="P895" s="57"/>
      <c r="Q895" s="57"/>
      <c r="R895" s="57"/>
      <c r="S895" s="31"/>
      <c r="T895" s="57"/>
      <c r="U895" s="57"/>
      <c r="V895" s="57"/>
      <c r="W895" s="57"/>
      <c r="X895" s="31"/>
      <c r="Y895" s="57"/>
      <c r="Z895" s="57"/>
      <c r="AA895" s="57"/>
      <c r="AB895" s="57"/>
      <c r="AC895" s="31"/>
      <c r="AD895" s="57"/>
      <c r="AE895" s="57"/>
      <c r="AF895" s="57"/>
      <c r="AG895" s="57"/>
      <c r="AH895" s="57"/>
      <c r="AI895" s="57"/>
      <c r="AJ895" s="57"/>
      <c r="AK895" s="57"/>
      <c r="AL895" s="57"/>
      <c r="AM895" s="57"/>
      <c r="AN895" s="57"/>
      <c r="AO895" s="57"/>
      <c r="AP895" s="35"/>
      <c r="AQ895" s="57"/>
      <c r="AR895" s="36"/>
      <c r="AS895" s="57"/>
      <c r="AT895" s="37"/>
      <c r="AU895" s="30"/>
      <c r="AV895" s="30"/>
      <c r="AW895" s="30"/>
      <c r="AX895" s="30"/>
      <c r="AY895" s="30"/>
      <c r="AZ895" s="30"/>
    </row>
    <row r="896">
      <c r="A896" s="30"/>
      <c r="B896" s="30"/>
      <c r="C896" s="30"/>
      <c r="D896" s="31"/>
      <c r="E896" s="31"/>
      <c r="F896" s="31"/>
      <c r="G896" s="31"/>
      <c r="H896" s="31"/>
      <c r="I896" s="54"/>
      <c r="J896" s="55"/>
      <c r="K896" s="54"/>
      <c r="L896" s="56"/>
      <c r="M896" s="56"/>
      <c r="N896" s="31"/>
      <c r="O896" s="57"/>
      <c r="P896" s="57"/>
      <c r="Q896" s="57"/>
      <c r="R896" s="57"/>
      <c r="S896" s="31"/>
      <c r="T896" s="57"/>
      <c r="U896" s="57"/>
      <c r="V896" s="57"/>
      <c r="W896" s="57"/>
      <c r="X896" s="31"/>
      <c r="Y896" s="57"/>
      <c r="Z896" s="57"/>
      <c r="AA896" s="57"/>
      <c r="AB896" s="57"/>
      <c r="AC896" s="31"/>
      <c r="AD896" s="57"/>
      <c r="AE896" s="57"/>
      <c r="AF896" s="57"/>
      <c r="AG896" s="57"/>
      <c r="AH896" s="57"/>
      <c r="AI896" s="57"/>
      <c r="AJ896" s="57"/>
      <c r="AK896" s="57"/>
      <c r="AL896" s="57"/>
      <c r="AM896" s="57"/>
      <c r="AN896" s="57"/>
      <c r="AO896" s="57"/>
      <c r="AP896" s="35"/>
      <c r="AQ896" s="57"/>
      <c r="AR896" s="36"/>
      <c r="AS896" s="57"/>
      <c r="AT896" s="37"/>
      <c r="AU896" s="30"/>
      <c r="AV896" s="30"/>
      <c r="AW896" s="30"/>
      <c r="AX896" s="30"/>
      <c r="AY896" s="30"/>
      <c r="AZ896" s="30"/>
    </row>
    <row r="897">
      <c r="A897" s="30"/>
      <c r="B897" s="30"/>
      <c r="C897" s="30"/>
      <c r="D897" s="31"/>
      <c r="E897" s="31"/>
      <c r="F897" s="31"/>
      <c r="G897" s="31"/>
      <c r="H897" s="31"/>
      <c r="I897" s="54"/>
      <c r="J897" s="55"/>
      <c r="K897" s="54"/>
      <c r="L897" s="56"/>
      <c r="M897" s="56"/>
      <c r="N897" s="31"/>
      <c r="O897" s="57"/>
      <c r="P897" s="57"/>
      <c r="Q897" s="57"/>
      <c r="R897" s="57"/>
      <c r="S897" s="31"/>
      <c r="T897" s="57"/>
      <c r="U897" s="57"/>
      <c r="V897" s="57"/>
      <c r="W897" s="57"/>
      <c r="X897" s="31"/>
      <c r="Y897" s="57"/>
      <c r="Z897" s="57"/>
      <c r="AA897" s="57"/>
      <c r="AB897" s="57"/>
      <c r="AC897" s="31"/>
      <c r="AD897" s="57"/>
      <c r="AE897" s="57"/>
      <c r="AF897" s="57"/>
      <c r="AG897" s="57"/>
      <c r="AH897" s="57"/>
      <c r="AI897" s="57"/>
      <c r="AJ897" s="57"/>
      <c r="AK897" s="57"/>
      <c r="AL897" s="57"/>
      <c r="AM897" s="57"/>
      <c r="AN897" s="57"/>
      <c r="AO897" s="57"/>
      <c r="AP897" s="35"/>
      <c r="AQ897" s="57"/>
      <c r="AR897" s="36"/>
      <c r="AS897" s="57"/>
      <c r="AT897" s="37"/>
      <c r="AU897" s="30"/>
      <c r="AV897" s="30"/>
      <c r="AW897" s="30"/>
      <c r="AX897" s="30"/>
      <c r="AY897" s="30"/>
      <c r="AZ897" s="30"/>
    </row>
    <row r="898">
      <c r="A898" s="30"/>
      <c r="B898" s="30"/>
      <c r="C898" s="30"/>
      <c r="D898" s="31"/>
      <c r="E898" s="31"/>
      <c r="F898" s="31"/>
      <c r="G898" s="31"/>
      <c r="H898" s="31"/>
      <c r="I898" s="54"/>
      <c r="J898" s="55"/>
      <c r="K898" s="54"/>
      <c r="L898" s="56"/>
      <c r="M898" s="56"/>
      <c r="N898" s="31"/>
      <c r="O898" s="57"/>
      <c r="P898" s="57"/>
      <c r="Q898" s="57"/>
      <c r="R898" s="57"/>
      <c r="S898" s="31"/>
      <c r="T898" s="57"/>
      <c r="U898" s="57"/>
      <c r="V898" s="57"/>
      <c r="W898" s="57"/>
      <c r="X898" s="31"/>
      <c r="Y898" s="57"/>
      <c r="Z898" s="57"/>
      <c r="AA898" s="57"/>
      <c r="AB898" s="57"/>
      <c r="AC898" s="31"/>
      <c r="AD898" s="57"/>
      <c r="AE898" s="57"/>
      <c r="AF898" s="57"/>
      <c r="AG898" s="57"/>
      <c r="AH898" s="57"/>
      <c r="AI898" s="57"/>
      <c r="AJ898" s="57"/>
      <c r="AK898" s="57"/>
      <c r="AL898" s="57"/>
      <c r="AM898" s="57"/>
      <c r="AN898" s="57"/>
      <c r="AO898" s="57"/>
      <c r="AP898" s="35"/>
      <c r="AQ898" s="57"/>
      <c r="AR898" s="36"/>
      <c r="AS898" s="57"/>
      <c r="AT898" s="37"/>
      <c r="AU898" s="30"/>
      <c r="AV898" s="30"/>
      <c r="AW898" s="30"/>
      <c r="AX898" s="30"/>
      <c r="AY898" s="30"/>
      <c r="AZ898" s="30"/>
    </row>
    <row r="899">
      <c r="A899" s="30"/>
      <c r="B899" s="30"/>
      <c r="C899" s="30"/>
      <c r="D899" s="31"/>
      <c r="E899" s="31"/>
      <c r="F899" s="31"/>
      <c r="G899" s="31"/>
      <c r="H899" s="31"/>
      <c r="I899" s="54"/>
      <c r="J899" s="55"/>
      <c r="K899" s="54"/>
      <c r="L899" s="56"/>
      <c r="M899" s="56"/>
      <c r="N899" s="31"/>
      <c r="O899" s="57"/>
      <c r="P899" s="57"/>
      <c r="Q899" s="57"/>
      <c r="R899" s="57"/>
      <c r="S899" s="31"/>
      <c r="T899" s="57"/>
      <c r="U899" s="57"/>
      <c r="V899" s="57"/>
      <c r="W899" s="57"/>
      <c r="X899" s="31"/>
      <c r="Y899" s="57"/>
      <c r="Z899" s="57"/>
      <c r="AA899" s="57"/>
      <c r="AB899" s="57"/>
      <c r="AC899" s="31"/>
      <c r="AD899" s="57"/>
      <c r="AE899" s="57"/>
      <c r="AF899" s="57"/>
      <c r="AG899" s="57"/>
      <c r="AH899" s="57"/>
      <c r="AI899" s="57"/>
      <c r="AJ899" s="57"/>
      <c r="AK899" s="57"/>
      <c r="AL899" s="57"/>
      <c r="AM899" s="57"/>
      <c r="AN899" s="57"/>
      <c r="AO899" s="57"/>
      <c r="AP899" s="35"/>
      <c r="AQ899" s="57"/>
      <c r="AR899" s="36"/>
      <c r="AS899" s="57"/>
      <c r="AT899" s="37"/>
      <c r="AU899" s="30"/>
      <c r="AV899" s="30"/>
      <c r="AW899" s="30"/>
      <c r="AX899" s="30"/>
      <c r="AY899" s="30"/>
      <c r="AZ899" s="30"/>
    </row>
    <row r="900">
      <c r="A900" s="30"/>
      <c r="B900" s="30"/>
      <c r="C900" s="30"/>
      <c r="D900" s="31"/>
      <c r="E900" s="31"/>
      <c r="F900" s="31"/>
      <c r="G900" s="31"/>
      <c r="H900" s="31"/>
      <c r="I900" s="54"/>
      <c r="J900" s="55"/>
      <c r="K900" s="54"/>
      <c r="L900" s="56"/>
      <c r="M900" s="56"/>
      <c r="N900" s="31"/>
      <c r="O900" s="57"/>
      <c r="P900" s="57"/>
      <c r="Q900" s="57"/>
      <c r="R900" s="57"/>
      <c r="S900" s="31"/>
      <c r="T900" s="57"/>
      <c r="U900" s="57"/>
      <c r="V900" s="57"/>
      <c r="W900" s="57"/>
      <c r="X900" s="31"/>
      <c r="Y900" s="57"/>
      <c r="Z900" s="57"/>
      <c r="AA900" s="57"/>
      <c r="AB900" s="57"/>
      <c r="AC900" s="31"/>
      <c r="AD900" s="57"/>
      <c r="AE900" s="57"/>
      <c r="AF900" s="57"/>
      <c r="AG900" s="57"/>
      <c r="AH900" s="57"/>
      <c r="AI900" s="57"/>
      <c r="AJ900" s="57"/>
      <c r="AK900" s="57"/>
      <c r="AL900" s="57"/>
      <c r="AM900" s="57"/>
      <c r="AN900" s="57"/>
      <c r="AO900" s="57"/>
      <c r="AP900" s="35"/>
      <c r="AQ900" s="57"/>
      <c r="AR900" s="36"/>
      <c r="AS900" s="57"/>
      <c r="AT900" s="37"/>
      <c r="AU900" s="30"/>
      <c r="AV900" s="30"/>
      <c r="AW900" s="30"/>
      <c r="AX900" s="30"/>
      <c r="AY900" s="30"/>
      <c r="AZ900" s="30"/>
    </row>
    <row r="901">
      <c r="A901" s="30"/>
      <c r="B901" s="30"/>
      <c r="C901" s="30"/>
      <c r="D901" s="31"/>
      <c r="E901" s="31"/>
      <c r="F901" s="31"/>
      <c r="G901" s="31"/>
      <c r="H901" s="31"/>
      <c r="I901" s="54"/>
      <c r="J901" s="55"/>
      <c r="K901" s="54"/>
      <c r="L901" s="56"/>
      <c r="M901" s="56"/>
      <c r="N901" s="31"/>
      <c r="O901" s="57"/>
      <c r="P901" s="57"/>
      <c r="Q901" s="57"/>
      <c r="R901" s="57"/>
      <c r="S901" s="31"/>
      <c r="T901" s="57"/>
      <c r="U901" s="57"/>
      <c r="V901" s="57"/>
      <c r="W901" s="57"/>
      <c r="X901" s="31"/>
      <c r="Y901" s="57"/>
      <c r="Z901" s="57"/>
      <c r="AA901" s="57"/>
      <c r="AB901" s="57"/>
      <c r="AC901" s="31"/>
      <c r="AD901" s="57"/>
      <c r="AE901" s="57"/>
      <c r="AF901" s="57"/>
      <c r="AG901" s="57"/>
      <c r="AH901" s="57"/>
      <c r="AI901" s="57"/>
      <c r="AJ901" s="57"/>
      <c r="AK901" s="57"/>
      <c r="AL901" s="57"/>
      <c r="AM901" s="57"/>
      <c r="AN901" s="57"/>
      <c r="AO901" s="57"/>
      <c r="AP901" s="35"/>
      <c r="AQ901" s="57"/>
      <c r="AR901" s="36"/>
      <c r="AS901" s="57"/>
      <c r="AT901" s="37"/>
      <c r="AU901" s="30"/>
      <c r="AV901" s="30"/>
      <c r="AW901" s="30"/>
      <c r="AX901" s="30"/>
      <c r="AY901" s="30"/>
      <c r="AZ901" s="30"/>
    </row>
    <row r="902">
      <c r="A902" s="30"/>
      <c r="B902" s="30"/>
      <c r="C902" s="30"/>
      <c r="D902" s="31"/>
      <c r="E902" s="31"/>
      <c r="F902" s="31"/>
      <c r="G902" s="31"/>
      <c r="H902" s="31"/>
      <c r="I902" s="54"/>
      <c r="J902" s="55"/>
      <c r="K902" s="54"/>
      <c r="L902" s="56"/>
      <c r="M902" s="56"/>
      <c r="N902" s="31"/>
      <c r="O902" s="57"/>
      <c r="P902" s="57"/>
      <c r="Q902" s="57"/>
      <c r="R902" s="57"/>
      <c r="S902" s="31"/>
      <c r="T902" s="57"/>
      <c r="U902" s="57"/>
      <c r="V902" s="57"/>
      <c r="W902" s="57"/>
      <c r="X902" s="31"/>
      <c r="Y902" s="57"/>
      <c r="Z902" s="57"/>
      <c r="AA902" s="57"/>
      <c r="AB902" s="57"/>
      <c r="AC902" s="31"/>
      <c r="AD902" s="57"/>
      <c r="AE902" s="57"/>
      <c r="AF902" s="57"/>
      <c r="AG902" s="57"/>
      <c r="AH902" s="57"/>
      <c r="AI902" s="57"/>
      <c r="AJ902" s="57"/>
      <c r="AK902" s="57"/>
      <c r="AL902" s="57"/>
      <c r="AM902" s="57"/>
      <c r="AN902" s="57"/>
      <c r="AO902" s="57"/>
      <c r="AP902" s="35"/>
      <c r="AQ902" s="57"/>
      <c r="AR902" s="36"/>
      <c r="AS902" s="57"/>
      <c r="AT902" s="37"/>
      <c r="AU902" s="30"/>
      <c r="AV902" s="30"/>
      <c r="AW902" s="30"/>
      <c r="AX902" s="30"/>
      <c r="AY902" s="30"/>
      <c r="AZ902" s="30"/>
    </row>
    <row r="903">
      <c r="A903" s="30"/>
      <c r="B903" s="30"/>
      <c r="C903" s="30"/>
      <c r="D903" s="31"/>
      <c r="E903" s="31"/>
      <c r="F903" s="31"/>
      <c r="G903" s="31"/>
      <c r="H903" s="31"/>
      <c r="I903" s="54"/>
      <c r="J903" s="55"/>
      <c r="K903" s="54"/>
      <c r="L903" s="56"/>
      <c r="M903" s="56"/>
      <c r="N903" s="31"/>
      <c r="O903" s="57"/>
      <c r="P903" s="57"/>
      <c r="Q903" s="57"/>
      <c r="R903" s="57"/>
      <c r="S903" s="31"/>
      <c r="T903" s="57"/>
      <c r="U903" s="57"/>
      <c r="V903" s="57"/>
      <c r="W903" s="57"/>
      <c r="X903" s="31"/>
      <c r="Y903" s="57"/>
      <c r="Z903" s="57"/>
      <c r="AA903" s="57"/>
      <c r="AB903" s="57"/>
      <c r="AC903" s="31"/>
      <c r="AD903" s="57"/>
      <c r="AE903" s="57"/>
      <c r="AF903" s="57"/>
      <c r="AG903" s="57"/>
      <c r="AH903" s="57"/>
      <c r="AI903" s="57"/>
      <c r="AJ903" s="57"/>
      <c r="AK903" s="57"/>
      <c r="AL903" s="57"/>
      <c r="AM903" s="57"/>
      <c r="AN903" s="57"/>
      <c r="AO903" s="57"/>
      <c r="AP903" s="35"/>
      <c r="AQ903" s="57"/>
      <c r="AR903" s="36"/>
      <c r="AS903" s="57"/>
      <c r="AT903" s="37"/>
      <c r="AU903" s="30"/>
      <c r="AV903" s="30"/>
      <c r="AW903" s="30"/>
      <c r="AX903" s="30"/>
      <c r="AY903" s="30"/>
      <c r="AZ903" s="30"/>
    </row>
    <row r="904">
      <c r="A904" s="30"/>
      <c r="B904" s="30"/>
      <c r="C904" s="30"/>
      <c r="D904" s="31"/>
      <c r="E904" s="31"/>
      <c r="F904" s="31"/>
      <c r="G904" s="31"/>
      <c r="H904" s="31"/>
      <c r="I904" s="54"/>
      <c r="J904" s="55"/>
      <c r="K904" s="54"/>
      <c r="L904" s="56"/>
      <c r="M904" s="56"/>
      <c r="N904" s="31"/>
      <c r="O904" s="57"/>
      <c r="P904" s="57"/>
      <c r="Q904" s="57"/>
      <c r="R904" s="57"/>
      <c r="S904" s="31"/>
      <c r="T904" s="57"/>
      <c r="U904" s="57"/>
      <c r="V904" s="57"/>
      <c r="W904" s="57"/>
      <c r="X904" s="31"/>
      <c r="Y904" s="57"/>
      <c r="Z904" s="57"/>
      <c r="AA904" s="57"/>
      <c r="AB904" s="57"/>
      <c r="AC904" s="31"/>
      <c r="AD904" s="57"/>
      <c r="AE904" s="57"/>
      <c r="AF904" s="57"/>
      <c r="AG904" s="57"/>
      <c r="AH904" s="57"/>
      <c r="AI904" s="57"/>
      <c r="AJ904" s="57"/>
      <c r="AK904" s="57"/>
      <c r="AL904" s="57"/>
      <c r="AM904" s="57"/>
      <c r="AN904" s="57"/>
      <c r="AO904" s="57"/>
      <c r="AP904" s="35"/>
      <c r="AQ904" s="57"/>
      <c r="AR904" s="36"/>
      <c r="AS904" s="57"/>
      <c r="AT904" s="37"/>
      <c r="AU904" s="30"/>
      <c r="AV904" s="30"/>
      <c r="AW904" s="30"/>
      <c r="AX904" s="30"/>
      <c r="AY904" s="30"/>
      <c r="AZ904" s="30"/>
    </row>
    <row r="905">
      <c r="A905" s="30"/>
      <c r="B905" s="30"/>
      <c r="C905" s="30"/>
      <c r="D905" s="31"/>
      <c r="E905" s="31"/>
      <c r="F905" s="31"/>
      <c r="G905" s="31"/>
      <c r="H905" s="31"/>
      <c r="I905" s="54"/>
      <c r="J905" s="55"/>
      <c r="K905" s="54"/>
      <c r="L905" s="56"/>
      <c r="M905" s="56"/>
      <c r="N905" s="31"/>
      <c r="O905" s="57"/>
      <c r="P905" s="57"/>
      <c r="Q905" s="57"/>
      <c r="R905" s="57"/>
      <c r="S905" s="31"/>
      <c r="T905" s="57"/>
      <c r="U905" s="57"/>
      <c r="V905" s="57"/>
      <c r="W905" s="57"/>
      <c r="X905" s="31"/>
      <c r="Y905" s="57"/>
      <c r="Z905" s="57"/>
      <c r="AA905" s="57"/>
      <c r="AB905" s="57"/>
      <c r="AC905" s="31"/>
      <c r="AD905" s="57"/>
      <c r="AE905" s="57"/>
      <c r="AF905" s="57"/>
      <c r="AG905" s="57"/>
      <c r="AH905" s="57"/>
      <c r="AI905" s="57"/>
      <c r="AJ905" s="57"/>
      <c r="AK905" s="57"/>
      <c r="AL905" s="57"/>
      <c r="AM905" s="57"/>
      <c r="AN905" s="57"/>
      <c r="AO905" s="57"/>
      <c r="AP905" s="35"/>
      <c r="AQ905" s="57"/>
      <c r="AR905" s="36"/>
      <c r="AS905" s="57"/>
      <c r="AT905" s="37"/>
      <c r="AU905" s="30"/>
      <c r="AV905" s="30"/>
      <c r="AW905" s="30"/>
      <c r="AX905" s="30"/>
      <c r="AY905" s="30"/>
      <c r="AZ905" s="30"/>
    </row>
    <row r="906">
      <c r="A906" s="30"/>
      <c r="B906" s="30"/>
      <c r="C906" s="30"/>
      <c r="D906" s="31"/>
      <c r="E906" s="31"/>
      <c r="F906" s="31"/>
      <c r="G906" s="31"/>
      <c r="H906" s="31"/>
      <c r="I906" s="54"/>
      <c r="J906" s="55"/>
      <c r="K906" s="54"/>
      <c r="L906" s="56"/>
      <c r="M906" s="56"/>
      <c r="N906" s="31"/>
      <c r="O906" s="57"/>
      <c r="P906" s="57"/>
      <c r="Q906" s="57"/>
      <c r="R906" s="57"/>
      <c r="S906" s="31"/>
      <c r="T906" s="57"/>
      <c r="U906" s="57"/>
      <c r="V906" s="57"/>
      <c r="W906" s="57"/>
      <c r="X906" s="31"/>
      <c r="Y906" s="57"/>
      <c r="Z906" s="57"/>
      <c r="AA906" s="57"/>
      <c r="AB906" s="57"/>
      <c r="AC906" s="31"/>
      <c r="AD906" s="57"/>
      <c r="AE906" s="57"/>
      <c r="AF906" s="57"/>
      <c r="AG906" s="57"/>
      <c r="AH906" s="57"/>
      <c r="AI906" s="57"/>
      <c r="AJ906" s="57"/>
      <c r="AK906" s="57"/>
      <c r="AL906" s="57"/>
      <c r="AM906" s="57"/>
      <c r="AN906" s="57"/>
      <c r="AO906" s="57"/>
      <c r="AP906" s="35"/>
      <c r="AQ906" s="57"/>
      <c r="AR906" s="36"/>
      <c r="AS906" s="57"/>
      <c r="AT906" s="37"/>
      <c r="AU906" s="30"/>
      <c r="AV906" s="30"/>
      <c r="AW906" s="30"/>
      <c r="AX906" s="30"/>
      <c r="AY906" s="30"/>
      <c r="AZ906" s="30"/>
    </row>
    <row r="907">
      <c r="A907" s="30"/>
      <c r="B907" s="30"/>
      <c r="C907" s="30"/>
      <c r="D907" s="31"/>
      <c r="E907" s="31"/>
      <c r="F907" s="31"/>
      <c r="G907" s="31"/>
      <c r="H907" s="31"/>
      <c r="I907" s="54"/>
      <c r="J907" s="55"/>
      <c r="K907" s="54"/>
      <c r="L907" s="56"/>
      <c r="M907" s="56"/>
      <c r="N907" s="31"/>
      <c r="O907" s="57"/>
      <c r="P907" s="57"/>
      <c r="Q907" s="57"/>
      <c r="R907" s="57"/>
      <c r="S907" s="31"/>
      <c r="T907" s="57"/>
      <c r="U907" s="57"/>
      <c r="V907" s="57"/>
      <c r="W907" s="57"/>
      <c r="X907" s="31"/>
      <c r="Y907" s="57"/>
      <c r="Z907" s="57"/>
      <c r="AA907" s="57"/>
      <c r="AB907" s="57"/>
      <c r="AC907" s="31"/>
      <c r="AD907" s="57"/>
      <c r="AE907" s="57"/>
      <c r="AF907" s="57"/>
      <c r="AG907" s="57"/>
      <c r="AH907" s="57"/>
      <c r="AI907" s="57"/>
      <c r="AJ907" s="57"/>
      <c r="AK907" s="57"/>
      <c r="AL907" s="57"/>
      <c r="AM907" s="57"/>
      <c r="AN907" s="57"/>
      <c r="AO907" s="57"/>
      <c r="AP907" s="35"/>
      <c r="AQ907" s="57"/>
      <c r="AR907" s="36"/>
      <c r="AS907" s="57"/>
      <c r="AT907" s="37"/>
      <c r="AU907" s="30"/>
      <c r="AV907" s="30"/>
      <c r="AW907" s="30"/>
      <c r="AX907" s="30"/>
      <c r="AY907" s="30"/>
      <c r="AZ907" s="30"/>
    </row>
    <row r="908">
      <c r="A908" s="30"/>
      <c r="B908" s="30"/>
      <c r="C908" s="30"/>
      <c r="D908" s="31"/>
      <c r="E908" s="31"/>
      <c r="F908" s="31"/>
      <c r="G908" s="31"/>
      <c r="H908" s="31"/>
      <c r="I908" s="54"/>
      <c r="J908" s="55"/>
      <c r="K908" s="54"/>
      <c r="L908" s="56"/>
      <c r="M908" s="56"/>
      <c r="N908" s="31"/>
      <c r="O908" s="57"/>
      <c r="P908" s="57"/>
      <c r="Q908" s="57"/>
      <c r="R908" s="57"/>
      <c r="S908" s="31"/>
      <c r="T908" s="57"/>
      <c r="U908" s="57"/>
      <c r="V908" s="57"/>
      <c r="W908" s="57"/>
      <c r="X908" s="31"/>
      <c r="Y908" s="57"/>
      <c r="Z908" s="57"/>
      <c r="AA908" s="57"/>
      <c r="AB908" s="57"/>
      <c r="AC908" s="31"/>
      <c r="AD908" s="57"/>
      <c r="AE908" s="57"/>
      <c r="AF908" s="57"/>
      <c r="AG908" s="57"/>
      <c r="AH908" s="57"/>
      <c r="AI908" s="57"/>
      <c r="AJ908" s="57"/>
      <c r="AK908" s="57"/>
      <c r="AL908" s="57"/>
      <c r="AM908" s="57"/>
      <c r="AN908" s="57"/>
      <c r="AO908" s="57"/>
      <c r="AP908" s="35"/>
      <c r="AQ908" s="57"/>
      <c r="AR908" s="36"/>
      <c r="AS908" s="57"/>
      <c r="AT908" s="37"/>
      <c r="AU908" s="30"/>
      <c r="AV908" s="30"/>
      <c r="AW908" s="30"/>
      <c r="AX908" s="30"/>
      <c r="AY908" s="30"/>
      <c r="AZ908" s="30"/>
    </row>
    <row r="909">
      <c r="A909" s="30"/>
      <c r="B909" s="30"/>
      <c r="C909" s="30"/>
      <c r="D909" s="31"/>
      <c r="E909" s="31"/>
      <c r="F909" s="31"/>
      <c r="G909" s="31"/>
      <c r="H909" s="31"/>
      <c r="I909" s="54"/>
      <c r="J909" s="55"/>
      <c r="K909" s="54"/>
      <c r="L909" s="56"/>
      <c r="M909" s="56"/>
      <c r="N909" s="31"/>
      <c r="O909" s="57"/>
      <c r="P909" s="57"/>
      <c r="Q909" s="57"/>
      <c r="R909" s="57"/>
      <c r="S909" s="31"/>
      <c r="T909" s="57"/>
      <c r="U909" s="57"/>
      <c r="V909" s="57"/>
      <c r="W909" s="57"/>
      <c r="X909" s="31"/>
      <c r="Y909" s="57"/>
      <c r="Z909" s="57"/>
      <c r="AA909" s="57"/>
      <c r="AB909" s="57"/>
      <c r="AC909" s="31"/>
      <c r="AD909" s="57"/>
      <c r="AE909" s="57"/>
      <c r="AF909" s="57"/>
      <c r="AG909" s="57"/>
      <c r="AH909" s="57"/>
      <c r="AI909" s="57"/>
      <c r="AJ909" s="57"/>
      <c r="AK909" s="57"/>
      <c r="AL909" s="57"/>
      <c r="AM909" s="57"/>
      <c r="AN909" s="57"/>
      <c r="AO909" s="57"/>
      <c r="AP909" s="35"/>
      <c r="AQ909" s="57"/>
      <c r="AR909" s="36"/>
      <c r="AS909" s="57"/>
      <c r="AT909" s="37"/>
      <c r="AU909" s="30"/>
      <c r="AV909" s="30"/>
      <c r="AW909" s="30"/>
      <c r="AX909" s="30"/>
      <c r="AY909" s="30"/>
      <c r="AZ909" s="30"/>
    </row>
    <row r="910">
      <c r="A910" s="30"/>
      <c r="B910" s="30"/>
      <c r="C910" s="30"/>
      <c r="D910" s="31"/>
      <c r="E910" s="31"/>
      <c r="F910" s="31"/>
      <c r="G910" s="31"/>
      <c r="H910" s="31"/>
      <c r="I910" s="54"/>
      <c r="J910" s="55"/>
      <c r="K910" s="54"/>
      <c r="L910" s="56"/>
      <c r="M910" s="56"/>
      <c r="N910" s="31"/>
      <c r="O910" s="57"/>
      <c r="P910" s="57"/>
      <c r="Q910" s="57"/>
      <c r="R910" s="57"/>
      <c r="S910" s="31"/>
      <c r="T910" s="57"/>
      <c r="U910" s="57"/>
      <c r="V910" s="57"/>
      <c r="W910" s="57"/>
      <c r="X910" s="31"/>
      <c r="Y910" s="57"/>
      <c r="Z910" s="57"/>
      <c r="AA910" s="57"/>
      <c r="AB910" s="57"/>
      <c r="AC910" s="31"/>
      <c r="AD910" s="57"/>
      <c r="AE910" s="57"/>
      <c r="AF910" s="57"/>
      <c r="AG910" s="57"/>
      <c r="AH910" s="57"/>
      <c r="AI910" s="57"/>
      <c r="AJ910" s="57"/>
      <c r="AK910" s="57"/>
      <c r="AL910" s="57"/>
      <c r="AM910" s="57"/>
      <c r="AN910" s="57"/>
      <c r="AO910" s="57"/>
      <c r="AP910" s="35"/>
      <c r="AQ910" s="57"/>
      <c r="AR910" s="36"/>
      <c r="AS910" s="57"/>
      <c r="AT910" s="37"/>
      <c r="AU910" s="30"/>
      <c r="AV910" s="30"/>
      <c r="AW910" s="30"/>
      <c r="AX910" s="30"/>
      <c r="AY910" s="30"/>
      <c r="AZ910" s="30"/>
    </row>
    <row r="911">
      <c r="A911" s="30"/>
      <c r="B911" s="30"/>
      <c r="C911" s="30"/>
      <c r="D911" s="31"/>
      <c r="E911" s="31"/>
      <c r="F911" s="31"/>
      <c r="G911" s="31"/>
      <c r="H911" s="31"/>
      <c r="I911" s="54"/>
      <c r="J911" s="55"/>
      <c r="K911" s="54"/>
      <c r="L911" s="56"/>
      <c r="M911" s="56"/>
      <c r="N911" s="31"/>
      <c r="O911" s="57"/>
      <c r="P911" s="57"/>
      <c r="Q911" s="57"/>
      <c r="R911" s="57"/>
      <c r="S911" s="31"/>
      <c r="T911" s="57"/>
      <c r="U911" s="57"/>
      <c r="V911" s="57"/>
      <c r="W911" s="57"/>
      <c r="X911" s="31"/>
      <c r="Y911" s="57"/>
      <c r="Z911" s="57"/>
      <c r="AA911" s="57"/>
      <c r="AB911" s="57"/>
      <c r="AC911" s="31"/>
      <c r="AD911" s="57"/>
      <c r="AE911" s="57"/>
      <c r="AF911" s="57"/>
      <c r="AG911" s="57"/>
      <c r="AH911" s="57"/>
      <c r="AI911" s="57"/>
      <c r="AJ911" s="57"/>
      <c r="AK911" s="57"/>
      <c r="AL911" s="57"/>
      <c r="AM911" s="57"/>
      <c r="AN911" s="57"/>
      <c r="AO911" s="57"/>
      <c r="AP911" s="35"/>
      <c r="AQ911" s="57"/>
      <c r="AR911" s="36"/>
      <c r="AS911" s="57"/>
      <c r="AT911" s="37"/>
      <c r="AU911" s="30"/>
      <c r="AV911" s="30"/>
      <c r="AW911" s="30"/>
      <c r="AX911" s="30"/>
      <c r="AY911" s="30"/>
      <c r="AZ911" s="30"/>
    </row>
    <row r="912">
      <c r="A912" s="30"/>
      <c r="B912" s="30"/>
      <c r="C912" s="30"/>
      <c r="D912" s="31"/>
      <c r="E912" s="31"/>
      <c r="F912" s="31"/>
      <c r="G912" s="31"/>
      <c r="H912" s="31"/>
      <c r="I912" s="54"/>
      <c r="J912" s="55"/>
      <c r="K912" s="54"/>
      <c r="L912" s="56"/>
      <c r="M912" s="56"/>
      <c r="N912" s="31"/>
      <c r="O912" s="57"/>
      <c r="P912" s="57"/>
      <c r="Q912" s="57"/>
      <c r="R912" s="57"/>
      <c r="S912" s="31"/>
      <c r="T912" s="57"/>
      <c r="U912" s="57"/>
      <c r="V912" s="57"/>
      <c r="W912" s="57"/>
      <c r="X912" s="31"/>
      <c r="Y912" s="57"/>
      <c r="Z912" s="57"/>
      <c r="AA912" s="57"/>
      <c r="AB912" s="57"/>
      <c r="AC912" s="31"/>
      <c r="AD912" s="57"/>
      <c r="AE912" s="57"/>
      <c r="AF912" s="57"/>
      <c r="AG912" s="57"/>
      <c r="AH912" s="57"/>
      <c r="AI912" s="57"/>
      <c r="AJ912" s="57"/>
      <c r="AK912" s="57"/>
      <c r="AL912" s="57"/>
      <c r="AM912" s="57"/>
      <c r="AN912" s="57"/>
      <c r="AO912" s="57"/>
      <c r="AP912" s="35"/>
      <c r="AQ912" s="57"/>
      <c r="AR912" s="36"/>
      <c r="AS912" s="57"/>
      <c r="AT912" s="37"/>
      <c r="AU912" s="30"/>
      <c r="AV912" s="30"/>
      <c r="AW912" s="30"/>
      <c r="AX912" s="30"/>
      <c r="AY912" s="30"/>
      <c r="AZ912" s="30"/>
    </row>
    <row r="913">
      <c r="A913" s="30"/>
      <c r="B913" s="30"/>
      <c r="C913" s="30"/>
      <c r="D913" s="31"/>
      <c r="E913" s="31"/>
      <c r="F913" s="31"/>
      <c r="G913" s="31"/>
      <c r="H913" s="31"/>
      <c r="I913" s="54"/>
      <c r="J913" s="55"/>
      <c r="K913" s="54"/>
      <c r="L913" s="56"/>
      <c r="M913" s="56"/>
      <c r="N913" s="31"/>
      <c r="O913" s="57"/>
      <c r="P913" s="57"/>
      <c r="Q913" s="57"/>
      <c r="R913" s="57"/>
      <c r="S913" s="31"/>
      <c r="T913" s="57"/>
      <c r="U913" s="57"/>
      <c r="V913" s="57"/>
      <c r="W913" s="57"/>
      <c r="X913" s="31"/>
      <c r="Y913" s="57"/>
      <c r="Z913" s="57"/>
      <c r="AA913" s="57"/>
      <c r="AB913" s="57"/>
      <c r="AC913" s="31"/>
      <c r="AD913" s="57"/>
      <c r="AE913" s="57"/>
      <c r="AF913" s="57"/>
      <c r="AG913" s="57"/>
      <c r="AH913" s="57"/>
      <c r="AI913" s="57"/>
      <c r="AJ913" s="57"/>
      <c r="AK913" s="57"/>
      <c r="AL913" s="57"/>
      <c r="AM913" s="57"/>
      <c r="AN913" s="57"/>
      <c r="AO913" s="57"/>
      <c r="AP913" s="35"/>
      <c r="AQ913" s="57"/>
      <c r="AR913" s="36"/>
      <c r="AS913" s="57"/>
      <c r="AT913" s="37"/>
      <c r="AU913" s="30"/>
      <c r="AV913" s="30"/>
      <c r="AW913" s="30"/>
      <c r="AX913" s="30"/>
      <c r="AY913" s="30"/>
      <c r="AZ913" s="30"/>
    </row>
    <row r="914">
      <c r="A914" s="30"/>
      <c r="B914" s="30"/>
      <c r="C914" s="30"/>
      <c r="D914" s="31"/>
      <c r="E914" s="31"/>
      <c r="F914" s="31"/>
      <c r="G914" s="31"/>
      <c r="H914" s="31"/>
      <c r="I914" s="54"/>
      <c r="J914" s="55"/>
      <c r="K914" s="54"/>
      <c r="L914" s="56"/>
      <c r="M914" s="56"/>
      <c r="N914" s="31"/>
      <c r="O914" s="57"/>
      <c r="P914" s="57"/>
      <c r="Q914" s="57"/>
      <c r="R914" s="57"/>
      <c r="S914" s="31"/>
      <c r="T914" s="57"/>
      <c r="U914" s="57"/>
      <c r="V914" s="57"/>
      <c r="W914" s="57"/>
      <c r="X914" s="31"/>
      <c r="Y914" s="57"/>
      <c r="Z914" s="57"/>
      <c r="AA914" s="57"/>
      <c r="AB914" s="57"/>
      <c r="AC914" s="31"/>
      <c r="AD914" s="57"/>
      <c r="AE914" s="57"/>
      <c r="AF914" s="57"/>
      <c r="AG914" s="57"/>
      <c r="AH914" s="57"/>
      <c r="AI914" s="57"/>
      <c r="AJ914" s="57"/>
      <c r="AK914" s="57"/>
      <c r="AL914" s="57"/>
      <c r="AM914" s="57"/>
      <c r="AN914" s="57"/>
      <c r="AO914" s="57"/>
      <c r="AP914" s="35"/>
      <c r="AQ914" s="57"/>
      <c r="AR914" s="36"/>
      <c r="AS914" s="57"/>
      <c r="AT914" s="37"/>
      <c r="AU914" s="30"/>
      <c r="AV914" s="30"/>
      <c r="AW914" s="30"/>
      <c r="AX914" s="30"/>
      <c r="AY914" s="30"/>
      <c r="AZ914" s="30"/>
    </row>
    <row r="915">
      <c r="A915" s="30"/>
      <c r="B915" s="30"/>
      <c r="C915" s="30"/>
      <c r="D915" s="31"/>
      <c r="E915" s="31"/>
      <c r="F915" s="31"/>
      <c r="G915" s="31"/>
      <c r="H915" s="31"/>
      <c r="I915" s="54"/>
      <c r="J915" s="55"/>
      <c r="K915" s="54"/>
      <c r="L915" s="56"/>
      <c r="M915" s="56"/>
      <c r="N915" s="31"/>
      <c r="O915" s="57"/>
      <c r="P915" s="57"/>
      <c r="Q915" s="57"/>
      <c r="R915" s="57"/>
      <c r="S915" s="31"/>
      <c r="T915" s="57"/>
      <c r="U915" s="57"/>
      <c r="V915" s="57"/>
      <c r="W915" s="57"/>
      <c r="X915" s="31"/>
      <c r="Y915" s="57"/>
      <c r="Z915" s="57"/>
      <c r="AA915" s="57"/>
      <c r="AB915" s="57"/>
      <c r="AC915" s="31"/>
      <c r="AD915" s="57"/>
      <c r="AE915" s="57"/>
      <c r="AF915" s="57"/>
      <c r="AG915" s="57"/>
      <c r="AH915" s="57"/>
      <c r="AI915" s="57"/>
      <c r="AJ915" s="57"/>
      <c r="AK915" s="57"/>
      <c r="AL915" s="57"/>
      <c r="AM915" s="57"/>
      <c r="AN915" s="57"/>
      <c r="AO915" s="57"/>
      <c r="AP915" s="35"/>
      <c r="AQ915" s="57"/>
      <c r="AR915" s="36"/>
      <c r="AS915" s="57"/>
      <c r="AT915" s="37"/>
      <c r="AU915" s="30"/>
      <c r="AV915" s="30"/>
      <c r="AW915" s="30"/>
      <c r="AX915" s="30"/>
      <c r="AY915" s="30"/>
      <c r="AZ915" s="30"/>
    </row>
    <row r="916">
      <c r="A916" s="30"/>
      <c r="B916" s="30"/>
      <c r="C916" s="30"/>
      <c r="D916" s="31"/>
      <c r="E916" s="31"/>
      <c r="F916" s="31"/>
      <c r="G916" s="31"/>
      <c r="H916" s="31"/>
      <c r="I916" s="54"/>
      <c r="J916" s="55"/>
      <c r="K916" s="54"/>
      <c r="L916" s="56"/>
      <c r="M916" s="56"/>
      <c r="N916" s="31"/>
      <c r="O916" s="57"/>
      <c r="P916" s="57"/>
      <c r="Q916" s="57"/>
      <c r="R916" s="57"/>
      <c r="S916" s="31"/>
      <c r="T916" s="57"/>
      <c r="U916" s="57"/>
      <c r="V916" s="57"/>
      <c r="W916" s="57"/>
      <c r="X916" s="31"/>
      <c r="Y916" s="57"/>
      <c r="Z916" s="57"/>
      <c r="AA916" s="57"/>
      <c r="AB916" s="57"/>
      <c r="AC916" s="31"/>
      <c r="AD916" s="57"/>
      <c r="AE916" s="57"/>
      <c r="AF916" s="57"/>
      <c r="AG916" s="57"/>
      <c r="AH916" s="57"/>
      <c r="AI916" s="57"/>
      <c r="AJ916" s="57"/>
      <c r="AK916" s="57"/>
      <c r="AL916" s="57"/>
      <c r="AM916" s="57"/>
      <c r="AN916" s="57"/>
      <c r="AO916" s="57"/>
      <c r="AP916" s="35"/>
      <c r="AQ916" s="57"/>
      <c r="AR916" s="36"/>
      <c r="AS916" s="57"/>
      <c r="AT916" s="37"/>
      <c r="AU916" s="30"/>
      <c r="AV916" s="30"/>
      <c r="AW916" s="30"/>
      <c r="AX916" s="30"/>
      <c r="AY916" s="30"/>
      <c r="AZ916" s="30"/>
    </row>
    <row r="917">
      <c r="A917" s="30"/>
      <c r="B917" s="30"/>
      <c r="C917" s="30"/>
      <c r="D917" s="31"/>
      <c r="E917" s="31"/>
      <c r="F917" s="31"/>
      <c r="G917" s="31"/>
      <c r="H917" s="31"/>
      <c r="I917" s="54"/>
      <c r="J917" s="55"/>
      <c r="K917" s="54"/>
      <c r="L917" s="56"/>
      <c r="M917" s="56"/>
      <c r="N917" s="31"/>
      <c r="O917" s="57"/>
      <c r="P917" s="57"/>
      <c r="Q917" s="57"/>
      <c r="R917" s="57"/>
      <c r="S917" s="31"/>
      <c r="T917" s="57"/>
      <c r="U917" s="57"/>
      <c r="V917" s="57"/>
      <c r="W917" s="57"/>
      <c r="X917" s="31"/>
      <c r="Y917" s="57"/>
      <c r="Z917" s="57"/>
      <c r="AA917" s="57"/>
      <c r="AB917" s="57"/>
      <c r="AC917" s="31"/>
      <c r="AD917" s="57"/>
      <c r="AE917" s="57"/>
      <c r="AF917" s="57"/>
      <c r="AG917" s="57"/>
      <c r="AH917" s="57"/>
      <c r="AI917" s="57"/>
      <c r="AJ917" s="57"/>
      <c r="AK917" s="57"/>
      <c r="AL917" s="57"/>
      <c r="AM917" s="57"/>
      <c r="AN917" s="57"/>
      <c r="AO917" s="57"/>
      <c r="AP917" s="35"/>
      <c r="AQ917" s="57"/>
      <c r="AR917" s="36"/>
      <c r="AS917" s="57"/>
      <c r="AT917" s="37"/>
      <c r="AU917" s="30"/>
      <c r="AV917" s="30"/>
      <c r="AW917" s="30"/>
      <c r="AX917" s="30"/>
      <c r="AY917" s="30"/>
      <c r="AZ917" s="30"/>
    </row>
    <row r="918">
      <c r="A918" s="30"/>
      <c r="B918" s="30"/>
      <c r="C918" s="30"/>
      <c r="D918" s="31"/>
      <c r="E918" s="31"/>
      <c r="F918" s="31"/>
      <c r="G918" s="31"/>
      <c r="H918" s="31"/>
      <c r="I918" s="54"/>
      <c r="J918" s="55"/>
      <c r="K918" s="54"/>
      <c r="L918" s="56"/>
      <c r="M918" s="56"/>
      <c r="N918" s="31"/>
      <c r="O918" s="57"/>
      <c r="P918" s="57"/>
      <c r="Q918" s="57"/>
      <c r="R918" s="57"/>
      <c r="S918" s="31"/>
      <c r="T918" s="57"/>
      <c r="U918" s="57"/>
      <c r="V918" s="57"/>
      <c r="W918" s="57"/>
      <c r="X918" s="31"/>
      <c r="Y918" s="57"/>
      <c r="Z918" s="57"/>
      <c r="AA918" s="57"/>
      <c r="AB918" s="57"/>
      <c r="AC918" s="31"/>
      <c r="AD918" s="57"/>
      <c r="AE918" s="57"/>
      <c r="AF918" s="57"/>
      <c r="AG918" s="57"/>
      <c r="AH918" s="57"/>
      <c r="AI918" s="57"/>
      <c r="AJ918" s="57"/>
      <c r="AK918" s="57"/>
      <c r="AL918" s="57"/>
      <c r="AM918" s="57"/>
      <c r="AN918" s="57"/>
      <c r="AO918" s="57"/>
      <c r="AP918" s="35"/>
      <c r="AQ918" s="57"/>
      <c r="AR918" s="36"/>
      <c r="AS918" s="57"/>
      <c r="AT918" s="37"/>
      <c r="AU918" s="30"/>
      <c r="AV918" s="30"/>
      <c r="AW918" s="30"/>
      <c r="AX918" s="30"/>
      <c r="AY918" s="30"/>
      <c r="AZ918" s="30"/>
    </row>
    <row r="919">
      <c r="A919" s="30"/>
      <c r="B919" s="30"/>
      <c r="C919" s="30"/>
      <c r="D919" s="31"/>
      <c r="E919" s="31"/>
      <c r="F919" s="31"/>
      <c r="G919" s="31"/>
      <c r="H919" s="31"/>
      <c r="I919" s="54"/>
      <c r="J919" s="55"/>
      <c r="K919" s="54"/>
      <c r="L919" s="56"/>
      <c r="M919" s="56"/>
      <c r="N919" s="31"/>
      <c r="O919" s="57"/>
      <c r="P919" s="57"/>
      <c r="Q919" s="57"/>
      <c r="R919" s="57"/>
      <c r="S919" s="31"/>
      <c r="T919" s="57"/>
      <c r="U919" s="57"/>
      <c r="V919" s="57"/>
      <c r="W919" s="57"/>
      <c r="X919" s="31"/>
      <c r="Y919" s="57"/>
      <c r="Z919" s="57"/>
      <c r="AA919" s="57"/>
      <c r="AB919" s="57"/>
      <c r="AC919" s="31"/>
      <c r="AD919" s="57"/>
      <c r="AE919" s="57"/>
      <c r="AF919" s="57"/>
      <c r="AG919" s="57"/>
      <c r="AH919" s="57"/>
      <c r="AI919" s="57"/>
      <c r="AJ919" s="57"/>
      <c r="AK919" s="57"/>
      <c r="AL919" s="57"/>
      <c r="AM919" s="57"/>
      <c r="AN919" s="57"/>
      <c r="AO919" s="57"/>
      <c r="AP919" s="35"/>
      <c r="AQ919" s="57"/>
      <c r="AR919" s="36"/>
      <c r="AS919" s="57"/>
      <c r="AT919" s="37"/>
      <c r="AU919" s="30"/>
      <c r="AV919" s="30"/>
      <c r="AW919" s="30"/>
      <c r="AX919" s="30"/>
      <c r="AY919" s="30"/>
      <c r="AZ919" s="30"/>
    </row>
    <row r="920">
      <c r="A920" s="30"/>
      <c r="B920" s="30"/>
      <c r="C920" s="30"/>
      <c r="D920" s="31"/>
      <c r="E920" s="31"/>
      <c r="F920" s="31"/>
      <c r="G920" s="31"/>
      <c r="H920" s="31"/>
      <c r="I920" s="54"/>
      <c r="J920" s="55"/>
      <c r="K920" s="54"/>
      <c r="L920" s="56"/>
      <c r="M920" s="56"/>
      <c r="N920" s="31"/>
      <c r="O920" s="57"/>
      <c r="P920" s="57"/>
      <c r="Q920" s="57"/>
      <c r="R920" s="57"/>
      <c r="S920" s="31"/>
      <c r="T920" s="57"/>
      <c r="U920" s="57"/>
      <c r="V920" s="57"/>
      <c r="W920" s="57"/>
      <c r="X920" s="31"/>
      <c r="Y920" s="57"/>
      <c r="Z920" s="57"/>
      <c r="AA920" s="57"/>
      <c r="AB920" s="57"/>
      <c r="AC920" s="31"/>
      <c r="AD920" s="57"/>
      <c r="AE920" s="57"/>
      <c r="AF920" s="57"/>
      <c r="AG920" s="57"/>
      <c r="AH920" s="57"/>
      <c r="AI920" s="57"/>
      <c r="AJ920" s="57"/>
      <c r="AK920" s="57"/>
      <c r="AL920" s="57"/>
      <c r="AM920" s="57"/>
      <c r="AN920" s="57"/>
      <c r="AO920" s="57"/>
      <c r="AP920" s="35"/>
      <c r="AQ920" s="57"/>
      <c r="AR920" s="36"/>
      <c r="AS920" s="57"/>
      <c r="AT920" s="37"/>
      <c r="AU920" s="30"/>
      <c r="AV920" s="30"/>
      <c r="AW920" s="30"/>
      <c r="AX920" s="30"/>
      <c r="AY920" s="30"/>
      <c r="AZ920" s="30"/>
    </row>
    <row r="921">
      <c r="A921" s="30"/>
      <c r="B921" s="30"/>
      <c r="C921" s="30"/>
      <c r="D921" s="31"/>
      <c r="E921" s="31"/>
      <c r="F921" s="31"/>
      <c r="G921" s="31"/>
      <c r="H921" s="31"/>
      <c r="I921" s="54"/>
      <c r="J921" s="55"/>
      <c r="K921" s="54"/>
      <c r="L921" s="56"/>
      <c r="M921" s="56"/>
      <c r="N921" s="31"/>
      <c r="O921" s="57"/>
      <c r="P921" s="57"/>
      <c r="Q921" s="57"/>
      <c r="R921" s="57"/>
      <c r="S921" s="31"/>
      <c r="T921" s="57"/>
      <c r="U921" s="57"/>
      <c r="V921" s="57"/>
      <c r="W921" s="57"/>
      <c r="X921" s="31"/>
      <c r="Y921" s="57"/>
      <c r="Z921" s="57"/>
      <c r="AA921" s="57"/>
      <c r="AB921" s="57"/>
      <c r="AC921" s="31"/>
      <c r="AD921" s="57"/>
      <c r="AE921" s="57"/>
      <c r="AF921" s="57"/>
      <c r="AG921" s="57"/>
      <c r="AH921" s="57"/>
      <c r="AI921" s="57"/>
      <c r="AJ921" s="57"/>
      <c r="AK921" s="57"/>
      <c r="AL921" s="57"/>
      <c r="AM921" s="57"/>
      <c r="AN921" s="57"/>
      <c r="AO921" s="57"/>
      <c r="AP921" s="35"/>
      <c r="AQ921" s="57"/>
      <c r="AR921" s="36"/>
      <c r="AS921" s="57"/>
      <c r="AT921" s="37"/>
      <c r="AU921" s="30"/>
      <c r="AV921" s="30"/>
      <c r="AW921" s="30"/>
      <c r="AX921" s="30"/>
      <c r="AY921" s="30"/>
      <c r="AZ921" s="30"/>
    </row>
    <row r="922">
      <c r="A922" s="30"/>
      <c r="B922" s="30"/>
      <c r="C922" s="30"/>
      <c r="D922" s="31"/>
      <c r="E922" s="31"/>
      <c r="F922" s="31"/>
      <c r="G922" s="31"/>
      <c r="H922" s="31"/>
      <c r="I922" s="54"/>
      <c r="J922" s="55"/>
      <c r="K922" s="54"/>
      <c r="L922" s="56"/>
      <c r="M922" s="56"/>
      <c r="N922" s="31"/>
      <c r="O922" s="57"/>
      <c r="P922" s="57"/>
      <c r="Q922" s="57"/>
      <c r="R922" s="57"/>
      <c r="S922" s="31"/>
      <c r="T922" s="57"/>
      <c r="U922" s="57"/>
      <c r="V922" s="57"/>
      <c r="W922" s="57"/>
      <c r="X922" s="31"/>
      <c r="Y922" s="57"/>
      <c r="Z922" s="57"/>
      <c r="AA922" s="57"/>
      <c r="AB922" s="57"/>
      <c r="AC922" s="31"/>
      <c r="AD922" s="57"/>
      <c r="AE922" s="57"/>
      <c r="AF922" s="57"/>
      <c r="AG922" s="57"/>
      <c r="AH922" s="57"/>
      <c r="AI922" s="57"/>
      <c r="AJ922" s="57"/>
      <c r="AK922" s="57"/>
      <c r="AL922" s="57"/>
      <c r="AM922" s="57"/>
      <c r="AN922" s="57"/>
      <c r="AO922" s="57"/>
      <c r="AP922" s="35"/>
      <c r="AQ922" s="57"/>
      <c r="AR922" s="36"/>
      <c r="AS922" s="57"/>
      <c r="AT922" s="37"/>
      <c r="AU922" s="30"/>
      <c r="AV922" s="30"/>
      <c r="AW922" s="30"/>
      <c r="AX922" s="30"/>
      <c r="AY922" s="30"/>
      <c r="AZ922" s="30"/>
    </row>
    <row r="923">
      <c r="A923" s="30"/>
      <c r="B923" s="30"/>
      <c r="C923" s="30"/>
      <c r="D923" s="31"/>
      <c r="E923" s="31"/>
      <c r="F923" s="31"/>
      <c r="G923" s="31"/>
      <c r="H923" s="31"/>
      <c r="I923" s="54"/>
      <c r="J923" s="55"/>
      <c r="K923" s="54"/>
      <c r="L923" s="56"/>
      <c r="M923" s="56"/>
      <c r="N923" s="31"/>
      <c r="O923" s="57"/>
      <c r="P923" s="57"/>
      <c r="Q923" s="57"/>
      <c r="R923" s="57"/>
      <c r="S923" s="31"/>
      <c r="T923" s="57"/>
      <c r="U923" s="57"/>
      <c r="V923" s="57"/>
      <c r="W923" s="57"/>
      <c r="X923" s="31"/>
      <c r="Y923" s="57"/>
      <c r="Z923" s="57"/>
      <c r="AA923" s="57"/>
      <c r="AB923" s="57"/>
      <c r="AC923" s="31"/>
      <c r="AD923" s="57"/>
      <c r="AE923" s="57"/>
      <c r="AF923" s="57"/>
      <c r="AG923" s="57"/>
      <c r="AH923" s="57"/>
      <c r="AI923" s="57"/>
      <c r="AJ923" s="57"/>
      <c r="AK923" s="57"/>
      <c r="AL923" s="57"/>
      <c r="AM923" s="57"/>
      <c r="AN923" s="57"/>
      <c r="AO923" s="57"/>
      <c r="AP923" s="35"/>
      <c r="AQ923" s="57"/>
      <c r="AR923" s="36"/>
      <c r="AS923" s="57"/>
      <c r="AT923" s="37"/>
      <c r="AU923" s="30"/>
      <c r="AV923" s="30"/>
      <c r="AW923" s="30"/>
      <c r="AX923" s="30"/>
      <c r="AY923" s="30"/>
      <c r="AZ923" s="30"/>
    </row>
    <row r="924">
      <c r="A924" s="30"/>
      <c r="B924" s="30"/>
      <c r="C924" s="30"/>
      <c r="D924" s="31"/>
      <c r="E924" s="31"/>
      <c r="F924" s="31"/>
      <c r="G924" s="31"/>
      <c r="H924" s="31"/>
      <c r="I924" s="54"/>
      <c r="J924" s="55"/>
      <c r="K924" s="54"/>
      <c r="L924" s="56"/>
      <c r="M924" s="56"/>
      <c r="N924" s="31"/>
      <c r="O924" s="57"/>
      <c r="P924" s="57"/>
      <c r="Q924" s="57"/>
      <c r="R924" s="57"/>
      <c r="S924" s="31"/>
      <c r="T924" s="57"/>
      <c r="U924" s="57"/>
      <c r="V924" s="57"/>
      <c r="W924" s="57"/>
      <c r="X924" s="31"/>
      <c r="Y924" s="57"/>
      <c r="Z924" s="57"/>
      <c r="AA924" s="57"/>
      <c r="AB924" s="57"/>
      <c r="AC924" s="31"/>
      <c r="AD924" s="57"/>
      <c r="AE924" s="57"/>
      <c r="AF924" s="57"/>
      <c r="AG924" s="57"/>
      <c r="AH924" s="57"/>
      <c r="AI924" s="57"/>
      <c r="AJ924" s="57"/>
      <c r="AK924" s="57"/>
      <c r="AL924" s="57"/>
      <c r="AM924" s="57"/>
      <c r="AN924" s="57"/>
      <c r="AO924" s="57"/>
      <c r="AP924" s="35"/>
      <c r="AQ924" s="57"/>
      <c r="AR924" s="36"/>
      <c r="AS924" s="57"/>
      <c r="AT924" s="37"/>
      <c r="AU924" s="30"/>
      <c r="AV924" s="30"/>
      <c r="AW924" s="30"/>
      <c r="AX924" s="30"/>
      <c r="AY924" s="30"/>
      <c r="AZ924" s="30"/>
    </row>
    <row r="925">
      <c r="A925" s="30"/>
      <c r="B925" s="30"/>
      <c r="C925" s="30"/>
      <c r="D925" s="31"/>
      <c r="E925" s="31"/>
      <c r="F925" s="31"/>
      <c r="G925" s="31"/>
      <c r="H925" s="31"/>
      <c r="I925" s="54"/>
      <c r="J925" s="55"/>
      <c r="K925" s="54"/>
      <c r="L925" s="56"/>
      <c r="M925" s="56"/>
      <c r="N925" s="31"/>
      <c r="O925" s="57"/>
      <c r="P925" s="57"/>
      <c r="Q925" s="57"/>
      <c r="R925" s="57"/>
      <c r="S925" s="31"/>
      <c r="T925" s="57"/>
      <c r="U925" s="57"/>
      <c r="V925" s="57"/>
      <c r="W925" s="57"/>
      <c r="X925" s="31"/>
      <c r="Y925" s="57"/>
      <c r="Z925" s="57"/>
      <c r="AA925" s="57"/>
      <c r="AB925" s="57"/>
      <c r="AC925" s="31"/>
      <c r="AD925" s="57"/>
      <c r="AE925" s="57"/>
      <c r="AF925" s="57"/>
      <c r="AG925" s="57"/>
      <c r="AH925" s="57"/>
      <c r="AI925" s="57"/>
      <c r="AJ925" s="57"/>
      <c r="AK925" s="57"/>
      <c r="AL925" s="57"/>
      <c r="AM925" s="57"/>
      <c r="AN925" s="57"/>
      <c r="AO925" s="57"/>
      <c r="AP925" s="35"/>
      <c r="AQ925" s="57"/>
      <c r="AR925" s="36"/>
      <c r="AS925" s="57"/>
      <c r="AT925" s="37"/>
      <c r="AU925" s="30"/>
      <c r="AV925" s="30"/>
      <c r="AW925" s="30"/>
      <c r="AX925" s="30"/>
      <c r="AY925" s="30"/>
      <c r="AZ925" s="30"/>
    </row>
    <row r="926">
      <c r="A926" s="30"/>
      <c r="B926" s="30"/>
      <c r="C926" s="30"/>
      <c r="D926" s="31"/>
      <c r="E926" s="31"/>
      <c r="F926" s="31"/>
      <c r="G926" s="31"/>
      <c r="H926" s="31"/>
      <c r="I926" s="54"/>
      <c r="J926" s="55"/>
      <c r="K926" s="54"/>
      <c r="L926" s="56"/>
      <c r="M926" s="56"/>
      <c r="N926" s="31"/>
      <c r="O926" s="57"/>
      <c r="P926" s="57"/>
      <c r="Q926" s="57"/>
      <c r="R926" s="57"/>
      <c r="S926" s="31"/>
      <c r="T926" s="57"/>
      <c r="U926" s="57"/>
      <c r="V926" s="57"/>
      <c r="W926" s="57"/>
      <c r="X926" s="31"/>
      <c r="Y926" s="57"/>
      <c r="Z926" s="57"/>
      <c r="AA926" s="57"/>
      <c r="AB926" s="57"/>
      <c r="AC926" s="31"/>
      <c r="AD926" s="57"/>
      <c r="AE926" s="57"/>
      <c r="AF926" s="57"/>
      <c r="AG926" s="57"/>
      <c r="AH926" s="57"/>
      <c r="AI926" s="57"/>
      <c r="AJ926" s="57"/>
      <c r="AK926" s="57"/>
      <c r="AL926" s="57"/>
      <c r="AM926" s="57"/>
      <c r="AN926" s="57"/>
      <c r="AO926" s="57"/>
      <c r="AP926" s="35"/>
      <c r="AQ926" s="57"/>
      <c r="AR926" s="36"/>
      <c r="AS926" s="57"/>
      <c r="AT926" s="37"/>
      <c r="AU926" s="30"/>
      <c r="AV926" s="30"/>
      <c r="AW926" s="30"/>
      <c r="AX926" s="30"/>
      <c r="AY926" s="30"/>
      <c r="AZ926" s="30"/>
    </row>
    <row r="927">
      <c r="A927" s="30"/>
      <c r="B927" s="30"/>
      <c r="C927" s="30"/>
      <c r="D927" s="31"/>
      <c r="E927" s="31"/>
      <c r="F927" s="31"/>
      <c r="G927" s="31"/>
      <c r="H927" s="31"/>
      <c r="I927" s="54"/>
      <c r="J927" s="55"/>
      <c r="K927" s="54"/>
      <c r="L927" s="56"/>
      <c r="M927" s="56"/>
      <c r="N927" s="31"/>
      <c r="O927" s="57"/>
      <c r="P927" s="57"/>
      <c r="Q927" s="57"/>
      <c r="R927" s="57"/>
      <c r="S927" s="31"/>
      <c r="T927" s="57"/>
      <c r="U927" s="57"/>
      <c r="V927" s="57"/>
      <c r="W927" s="57"/>
      <c r="X927" s="31"/>
      <c r="Y927" s="57"/>
      <c r="Z927" s="57"/>
      <c r="AA927" s="57"/>
      <c r="AB927" s="57"/>
      <c r="AC927" s="31"/>
      <c r="AD927" s="57"/>
      <c r="AE927" s="57"/>
      <c r="AF927" s="57"/>
      <c r="AG927" s="57"/>
      <c r="AH927" s="57"/>
      <c r="AI927" s="57"/>
      <c r="AJ927" s="57"/>
      <c r="AK927" s="57"/>
      <c r="AL927" s="57"/>
      <c r="AM927" s="57"/>
      <c r="AN927" s="57"/>
      <c r="AO927" s="57"/>
      <c r="AP927" s="35"/>
      <c r="AQ927" s="57"/>
      <c r="AR927" s="36"/>
      <c r="AS927" s="57"/>
      <c r="AT927" s="37"/>
      <c r="AU927" s="30"/>
      <c r="AV927" s="30"/>
      <c r="AW927" s="30"/>
      <c r="AX927" s="30"/>
      <c r="AY927" s="30"/>
      <c r="AZ927" s="30"/>
    </row>
    <row r="928">
      <c r="A928" s="30"/>
      <c r="B928" s="30"/>
      <c r="C928" s="30"/>
      <c r="D928" s="31"/>
      <c r="E928" s="31"/>
      <c r="F928" s="31"/>
      <c r="G928" s="31"/>
      <c r="H928" s="31"/>
      <c r="I928" s="54"/>
      <c r="J928" s="55"/>
      <c r="K928" s="54"/>
      <c r="L928" s="56"/>
      <c r="M928" s="56"/>
      <c r="N928" s="31"/>
      <c r="O928" s="57"/>
      <c r="P928" s="57"/>
      <c r="Q928" s="57"/>
      <c r="R928" s="57"/>
      <c r="S928" s="31"/>
      <c r="T928" s="57"/>
      <c r="U928" s="57"/>
      <c r="V928" s="57"/>
      <c r="W928" s="57"/>
      <c r="X928" s="31"/>
      <c r="Y928" s="57"/>
      <c r="Z928" s="57"/>
      <c r="AA928" s="57"/>
      <c r="AB928" s="57"/>
      <c r="AC928" s="31"/>
      <c r="AD928" s="57"/>
      <c r="AE928" s="57"/>
      <c r="AF928" s="57"/>
      <c r="AG928" s="57"/>
      <c r="AH928" s="57"/>
      <c r="AI928" s="57"/>
      <c r="AJ928" s="57"/>
      <c r="AK928" s="57"/>
      <c r="AL928" s="57"/>
      <c r="AM928" s="57"/>
      <c r="AN928" s="57"/>
      <c r="AO928" s="57"/>
      <c r="AP928" s="35"/>
      <c r="AQ928" s="57"/>
      <c r="AR928" s="36"/>
      <c r="AS928" s="57"/>
      <c r="AT928" s="37"/>
      <c r="AU928" s="30"/>
      <c r="AV928" s="30"/>
      <c r="AW928" s="30"/>
      <c r="AX928" s="30"/>
      <c r="AY928" s="30"/>
      <c r="AZ928" s="30"/>
    </row>
    <row r="929">
      <c r="A929" s="30"/>
      <c r="B929" s="30"/>
      <c r="C929" s="30"/>
      <c r="D929" s="31"/>
      <c r="E929" s="31"/>
      <c r="F929" s="31"/>
      <c r="G929" s="31"/>
      <c r="H929" s="31"/>
      <c r="I929" s="54"/>
      <c r="J929" s="55"/>
      <c r="K929" s="54"/>
      <c r="L929" s="56"/>
      <c r="M929" s="56"/>
      <c r="N929" s="31"/>
      <c r="O929" s="57"/>
      <c r="P929" s="57"/>
      <c r="Q929" s="57"/>
      <c r="R929" s="57"/>
      <c r="S929" s="31"/>
      <c r="T929" s="57"/>
      <c r="U929" s="57"/>
      <c r="V929" s="57"/>
      <c r="W929" s="57"/>
      <c r="X929" s="31"/>
      <c r="Y929" s="57"/>
      <c r="Z929" s="57"/>
      <c r="AA929" s="57"/>
      <c r="AB929" s="57"/>
      <c r="AC929" s="31"/>
      <c r="AD929" s="57"/>
      <c r="AE929" s="57"/>
      <c r="AF929" s="57"/>
      <c r="AG929" s="57"/>
      <c r="AH929" s="57"/>
      <c r="AI929" s="57"/>
      <c r="AJ929" s="57"/>
      <c r="AK929" s="57"/>
      <c r="AL929" s="57"/>
      <c r="AM929" s="57"/>
      <c r="AN929" s="57"/>
      <c r="AO929" s="57"/>
      <c r="AP929" s="35"/>
      <c r="AQ929" s="57"/>
      <c r="AR929" s="36"/>
      <c r="AS929" s="57"/>
      <c r="AT929" s="37"/>
      <c r="AU929" s="30"/>
      <c r="AV929" s="30"/>
      <c r="AW929" s="30"/>
      <c r="AX929" s="30"/>
      <c r="AY929" s="30"/>
      <c r="AZ929" s="30"/>
    </row>
    <row r="930">
      <c r="A930" s="30"/>
      <c r="B930" s="30"/>
      <c r="C930" s="30"/>
      <c r="D930" s="31"/>
      <c r="E930" s="31"/>
      <c r="F930" s="31"/>
      <c r="G930" s="31"/>
      <c r="H930" s="31"/>
      <c r="I930" s="54"/>
      <c r="J930" s="55"/>
      <c r="K930" s="54"/>
      <c r="L930" s="56"/>
      <c r="M930" s="56"/>
      <c r="N930" s="31"/>
      <c r="O930" s="57"/>
      <c r="P930" s="57"/>
      <c r="Q930" s="57"/>
      <c r="R930" s="57"/>
      <c r="S930" s="31"/>
      <c r="T930" s="57"/>
      <c r="U930" s="57"/>
      <c r="V930" s="57"/>
      <c r="W930" s="57"/>
      <c r="X930" s="31"/>
      <c r="Y930" s="57"/>
      <c r="Z930" s="57"/>
      <c r="AA930" s="57"/>
      <c r="AB930" s="57"/>
      <c r="AC930" s="31"/>
      <c r="AD930" s="57"/>
      <c r="AE930" s="57"/>
      <c r="AF930" s="57"/>
      <c r="AG930" s="57"/>
      <c r="AH930" s="57"/>
      <c r="AI930" s="57"/>
      <c r="AJ930" s="57"/>
      <c r="AK930" s="57"/>
      <c r="AL930" s="57"/>
      <c r="AM930" s="57"/>
      <c r="AN930" s="57"/>
      <c r="AO930" s="57"/>
      <c r="AP930" s="35"/>
      <c r="AQ930" s="57"/>
      <c r="AR930" s="36"/>
      <c r="AS930" s="57"/>
      <c r="AT930" s="37"/>
      <c r="AU930" s="30"/>
      <c r="AV930" s="30"/>
      <c r="AW930" s="30"/>
      <c r="AX930" s="30"/>
      <c r="AY930" s="30"/>
      <c r="AZ930" s="30"/>
    </row>
    <row r="931">
      <c r="A931" s="30"/>
      <c r="B931" s="30"/>
      <c r="C931" s="30"/>
      <c r="D931" s="31"/>
      <c r="E931" s="31"/>
      <c r="F931" s="31"/>
      <c r="G931" s="31"/>
      <c r="H931" s="31"/>
      <c r="I931" s="54"/>
      <c r="J931" s="55"/>
      <c r="K931" s="54"/>
      <c r="L931" s="56"/>
      <c r="M931" s="56"/>
      <c r="N931" s="31"/>
      <c r="O931" s="57"/>
      <c r="P931" s="57"/>
      <c r="Q931" s="57"/>
      <c r="R931" s="57"/>
      <c r="S931" s="31"/>
      <c r="T931" s="57"/>
      <c r="U931" s="57"/>
      <c r="V931" s="57"/>
      <c r="W931" s="57"/>
      <c r="X931" s="31"/>
      <c r="Y931" s="57"/>
      <c r="Z931" s="57"/>
      <c r="AA931" s="57"/>
      <c r="AB931" s="57"/>
      <c r="AC931" s="31"/>
      <c r="AD931" s="57"/>
      <c r="AE931" s="57"/>
      <c r="AF931" s="57"/>
      <c r="AG931" s="57"/>
      <c r="AH931" s="57"/>
      <c r="AI931" s="57"/>
      <c r="AJ931" s="57"/>
      <c r="AK931" s="57"/>
      <c r="AL931" s="57"/>
      <c r="AM931" s="57"/>
      <c r="AN931" s="57"/>
      <c r="AO931" s="57"/>
      <c r="AP931" s="35"/>
      <c r="AQ931" s="57"/>
      <c r="AR931" s="36"/>
      <c r="AS931" s="57"/>
      <c r="AT931" s="37"/>
      <c r="AU931" s="30"/>
      <c r="AV931" s="30"/>
      <c r="AW931" s="30"/>
      <c r="AX931" s="30"/>
      <c r="AY931" s="30"/>
      <c r="AZ931" s="30"/>
    </row>
    <row r="932">
      <c r="A932" s="30"/>
      <c r="B932" s="30"/>
      <c r="C932" s="30"/>
      <c r="D932" s="31"/>
      <c r="E932" s="31"/>
      <c r="F932" s="31"/>
      <c r="G932" s="31"/>
      <c r="H932" s="31"/>
      <c r="I932" s="54"/>
      <c r="J932" s="55"/>
      <c r="K932" s="54"/>
      <c r="L932" s="56"/>
      <c r="M932" s="56"/>
      <c r="N932" s="31"/>
      <c r="O932" s="57"/>
      <c r="P932" s="57"/>
      <c r="Q932" s="57"/>
      <c r="R932" s="57"/>
      <c r="S932" s="31"/>
      <c r="T932" s="57"/>
      <c r="U932" s="57"/>
      <c r="V932" s="57"/>
      <c r="W932" s="57"/>
      <c r="X932" s="31"/>
      <c r="Y932" s="57"/>
      <c r="Z932" s="57"/>
      <c r="AA932" s="57"/>
      <c r="AB932" s="57"/>
      <c r="AC932" s="31"/>
      <c r="AD932" s="57"/>
      <c r="AE932" s="57"/>
      <c r="AF932" s="57"/>
      <c r="AG932" s="57"/>
      <c r="AH932" s="57"/>
      <c r="AI932" s="57"/>
      <c r="AJ932" s="57"/>
      <c r="AK932" s="57"/>
      <c r="AL932" s="57"/>
      <c r="AM932" s="57"/>
      <c r="AN932" s="57"/>
      <c r="AO932" s="57"/>
      <c r="AP932" s="35"/>
      <c r="AQ932" s="57"/>
      <c r="AR932" s="36"/>
      <c r="AS932" s="57"/>
      <c r="AT932" s="37"/>
      <c r="AU932" s="30"/>
      <c r="AV932" s="30"/>
      <c r="AW932" s="30"/>
      <c r="AX932" s="30"/>
      <c r="AY932" s="30"/>
      <c r="AZ932" s="30"/>
    </row>
    <row r="933">
      <c r="A933" s="30"/>
      <c r="B933" s="30"/>
      <c r="C933" s="30"/>
      <c r="D933" s="31"/>
      <c r="E933" s="31"/>
      <c r="F933" s="31"/>
      <c r="G933" s="31"/>
      <c r="H933" s="31"/>
      <c r="I933" s="54"/>
      <c r="J933" s="55"/>
      <c r="K933" s="54"/>
      <c r="L933" s="56"/>
      <c r="M933" s="56"/>
      <c r="N933" s="31"/>
      <c r="O933" s="57"/>
      <c r="P933" s="57"/>
      <c r="Q933" s="57"/>
      <c r="R933" s="57"/>
      <c r="S933" s="31"/>
      <c r="T933" s="57"/>
      <c r="U933" s="57"/>
      <c r="V933" s="57"/>
      <c r="W933" s="57"/>
      <c r="X933" s="31"/>
      <c r="Y933" s="57"/>
      <c r="Z933" s="57"/>
      <c r="AA933" s="57"/>
      <c r="AB933" s="57"/>
      <c r="AC933" s="31"/>
      <c r="AD933" s="57"/>
      <c r="AE933" s="57"/>
      <c r="AF933" s="57"/>
      <c r="AG933" s="57"/>
      <c r="AH933" s="57"/>
      <c r="AI933" s="57"/>
      <c r="AJ933" s="57"/>
      <c r="AK933" s="57"/>
      <c r="AL933" s="57"/>
      <c r="AM933" s="57"/>
      <c r="AN933" s="57"/>
      <c r="AO933" s="57"/>
      <c r="AP933" s="35"/>
      <c r="AQ933" s="57"/>
      <c r="AR933" s="36"/>
      <c r="AS933" s="57"/>
      <c r="AT933" s="37"/>
      <c r="AU933" s="30"/>
      <c r="AV933" s="30"/>
      <c r="AW933" s="30"/>
      <c r="AX933" s="30"/>
      <c r="AY933" s="30"/>
      <c r="AZ933" s="30"/>
    </row>
    <row r="934">
      <c r="A934" s="30"/>
      <c r="B934" s="30"/>
      <c r="C934" s="30"/>
      <c r="D934" s="31"/>
      <c r="E934" s="31"/>
      <c r="F934" s="31"/>
      <c r="G934" s="31"/>
      <c r="H934" s="31"/>
      <c r="I934" s="54"/>
      <c r="J934" s="55"/>
      <c r="K934" s="54"/>
      <c r="L934" s="56"/>
      <c r="M934" s="56"/>
      <c r="N934" s="31"/>
      <c r="O934" s="57"/>
      <c r="P934" s="57"/>
      <c r="Q934" s="57"/>
      <c r="R934" s="57"/>
      <c r="S934" s="31"/>
      <c r="T934" s="57"/>
      <c r="U934" s="57"/>
      <c r="V934" s="57"/>
      <c r="W934" s="57"/>
      <c r="X934" s="31"/>
      <c r="Y934" s="57"/>
      <c r="Z934" s="57"/>
      <c r="AA934" s="57"/>
      <c r="AB934" s="57"/>
      <c r="AC934" s="31"/>
      <c r="AD934" s="57"/>
      <c r="AE934" s="57"/>
      <c r="AF934" s="57"/>
      <c r="AG934" s="57"/>
      <c r="AH934" s="57"/>
      <c r="AI934" s="57"/>
      <c r="AJ934" s="57"/>
      <c r="AK934" s="57"/>
      <c r="AL934" s="57"/>
      <c r="AM934" s="57"/>
      <c r="AN934" s="57"/>
      <c r="AO934" s="57"/>
      <c r="AP934" s="35"/>
      <c r="AQ934" s="57"/>
      <c r="AR934" s="36"/>
      <c r="AS934" s="57"/>
      <c r="AT934" s="37"/>
      <c r="AU934" s="30"/>
      <c r="AV934" s="30"/>
      <c r="AW934" s="30"/>
      <c r="AX934" s="30"/>
      <c r="AY934" s="30"/>
      <c r="AZ934" s="30"/>
    </row>
    <row r="935">
      <c r="A935" s="30"/>
      <c r="B935" s="30"/>
      <c r="C935" s="30"/>
      <c r="D935" s="31"/>
      <c r="E935" s="31"/>
      <c r="F935" s="31"/>
      <c r="G935" s="31"/>
      <c r="H935" s="31"/>
      <c r="I935" s="54"/>
      <c r="J935" s="55"/>
      <c r="K935" s="54"/>
      <c r="L935" s="56"/>
      <c r="M935" s="56"/>
      <c r="N935" s="31"/>
      <c r="O935" s="57"/>
      <c r="P935" s="57"/>
      <c r="Q935" s="57"/>
      <c r="R935" s="57"/>
      <c r="S935" s="31"/>
      <c r="T935" s="57"/>
      <c r="U935" s="57"/>
      <c r="V935" s="57"/>
      <c r="W935" s="57"/>
      <c r="X935" s="31"/>
      <c r="Y935" s="57"/>
      <c r="Z935" s="57"/>
      <c r="AA935" s="57"/>
      <c r="AB935" s="57"/>
      <c r="AC935" s="31"/>
      <c r="AD935" s="57"/>
      <c r="AE935" s="57"/>
      <c r="AF935" s="57"/>
      <c r="AG935" s="57"/>
      <c r="AH935" s="57"/>
      <c r="AI935" s="57"/>
      <c r="AJ935" s="57"/>
      <c r="AK935" s="57"/>
      <c r="AL935" s="57"/>
      <c r="AM935" s="57"/>
      <c r="AN935" s="57"/>
      <c r="AO935" s="57"/>
      <c r="AP935" s="35"/>
      <c r="AQ935" s="57"/>
      <c r="AR935" s="36"/>
      <c r="AS935" s="57"/>
      <c r="AT935" s="37"/>
      <c r="AU935" s="30"/>
      <c r="AV935" s="30"/>
      <c r="AW935" s="30"/>
      <c r="AX935" s="30"/>
      <c r="AY935" s="30"/>
      <c r="AZ935" s="30"/>
    </row>
    <row r="936">
      <c r="A936" s="30"/>
      <c r="B936" s="30"/>
      <c r="C936" s="30"/>
      <c r="D936" s="31"/>
      <c r="E936" s="31"/>
      <c r="F936" s="31"/>
      <c r="G936" s="31"/>
      <c r="H936" s="31"/>
      <c r="I936" s="54"/>
      <c r="J936" s="55"/>
      <c r="K936" s="54"/>
      <c r="L936" s="56"/>
      <c r="M936" s="56"/>
      <c r="N936" s="31"/>
      <c r="O936" s="57"/>
      <c r="P936" s="57"/>
      <c r="Q936" s="57"/>
      <c r="R936" s="57"/>
      <c r="S936" s="31"/>
      <c r="T936" s="57"/>
      <c r="U936" s="57"/>
      <c r="V936" s="57"/>
      <c r="W936" s="57"/>
      <c r="X936" s="31"/>
      <c r="Y936" s="57"/>
      <c r="Z936" s="57"/>
      <c r="AA936" s="57"/>
      <c r="AB936" s="57"/>
      <c r="AC936" s="31"/>
      <c r="AD936" s="57"/>
      <c r="AE936" s="57"/>
      <c r="AF936" s="57"/>
      <c r="AG936" s="57"/>
      <c r="AH936" s="57"/>
      <c r="AI936" s="57"/>
      <c r="AJ936" s="57"/>
      <c r="AK936" s="57"/>
      <c r="AL936" s="57"/>
      <c r="AM936" s="57"/>
      <c r="AN936" s="57"/>
      <c r="AO936" s="57"/>
      <c r="AP936" s="35"/>
      <c r="AQ936" s="57"/>
      <c r="AR936" s="36"/>
      <c r="AS936" s="57"/>
      <c r="AT936" s="37"/>
      <c r="AU936" s="30"/>
      <c r="AV936" s="30"/>
      <c r="AW936" s="30"/>
      <c r="AX936" s="30"/>
      <c r="AY936" s="30"/>
      <c r="AZ936" s="30"/>
    </row>
    <row r="937">
      <c r="A937" s="30"/>
      <c r="B937" s="30"/>
      <c r="C937" s="30"/>
      <c r="D937" s="31"/>
      <c r="E937" s="31"/>
      <c r="F937" s="31"/>
      <c r="G937" s="31"/>
      <c r="H937" s="31"/>
      <c r="I937" s="54"/>
      <c r="J937" s="55"/>
      <c r="K937" s="54"/>
      <c r="L937" s="56"/>
      <c r="M937" s="56"/>
      <c r="N937" s="31"/>
      <c r="O937" s="57"/>
      <c r="P937" s="57"/>
      <c r="Q937" s="57"/>
      <c r="R937" s="57"/>
      <c r="S937" s="31"/>
      <c r="T937" s="57"/>
      <c r="U937" s="57"/>
      <c r="V937" s="57"/>
      <c r="W937" s="57"/>
      <c r="X937" s="31"/>
      <c r="Y937" s="57"/>
      <c r="Z937" s="57"/>
      <c r="AA937" s="57"/>
      <c r="AB937" s="57"/>
      <c r="AC937" s="31"/>
      <c r="AD937" s="57"/>
      <c r="AE937" s="57"/>
      <c r="AF937" s="57"/>
      <c r="AG937" s="57"/>
      <c r="AH937" s="57"/>
      <c r="AI937" s="57"/>
      <c r="AJ937" s="57"/>
      <c r="AK937" s="57"/>
      <c r="AL937" s="57"/>
      <c r="AM937" s="57"/>
      <c r="AN937" s="57"/>
      <c r="AO937" s="57"/>
      <c r="AP937" s="35"/>
      <c r="AQ937" s="57"/>
      <c r="AR937" s="36"/>
      <c r="AS937" s="57"/>
      <c r="AT937" s="37"/>
      <c r="AU937" s="30"/>
      <c r="AV937" s="30"/>
      <c r="AW937" s="30"/>
      <c r="AX937" s="30"/>
      <c r="AY937" s="30"/>
      <c r="AZ937" s="30"/>
    </row>
    <row r="938">
      <c r="A938" s="30"/>
      <c r="B938" s="30"/>
      <c r="C938" s="30"/>
      <c r="D938" s="31"/>
      <c r="E938" s="31"/>
      <c r="F938" s="31"/>
      <c r="G938" s="31"/>
      <c r="H938" s="31"/>
      <c r="I938" s="54"/>
      <c r="J938" s="55"/>
      <c r="K938" s="54"/>
      <c r="L938" s="56"/>
      <c r="M938" s="56"/>
      <c r="N938" s="31"/>
      <c r="O938" s="57"/>
      <c r="P938" s="57"/>
      <c r="Q938" s="57"/>
      <c r="R938" s="57"/>
      <c r="S938" s="31"/>
      <c r="T938" s="57"/>
      <c r="U938" s="57"/>
      <c r="V938" s="57"/>
      <c r="W938" s="57"/>
      <c r="X938" s="31"/>
      <c r="Y938" s="57"/>
      <c r="Z938" s="57"/>
      <c r="AA938" s="57"/>
      <c r="AB938" s="57"/>
      <c r="AC938" s="31"/>
      <c r="AD938" s="57"/>
      <c r="AE938" s="57"/>
      <c r="AF938" s="57"/>
      <c r="AG938" s="57"/>
      <c r="AH938" s="57"/>
      <c r="AI938" s="57"/>
      <c r="AJ938" s="57"/>
      <c r="AK938" s="57"/>
      <c r="AL938" s="57"/>
      <c r="AM938" s="57"/>
      <c r="AN938" s="57"/>
      <c r="AO938" s="57"/>
      <c r="AP938" s="35"/>
      <c r="AQ938" s="57"/>
      <c r="AR938" s="36"/>
      <c r="AS938" s="57"/>
      <c r="AT938" s="37"/>
      <c r="AU938" s="30"/>
      <c r="AV938" s="30"/>
      <c r="AW938" s="30"/>
      <c r="AX938" s="30"/>
      <c r="AY938" s="30"/>
      <c r="AZ938" s="30"/>
    </row>
    <row r="939">
      <c r="A939" s="30"/>
      <c r="B939" s="30"/>
      <c r="C939" s="30"/>
      <c r="D939" s="31"/>
      <c r="E939" s="31"/>
      <c r="F939" s="31"/>
      <c r="G939" s="31"/>
      <c r="H939" s="31"/>
      <c r="I939" s="54"/>
      <c r="J939" s="55"/>
      <c r="K939" s="54"/>
      <c r="L939" s="56"/>
      <c r="M939" s="56"/>
      <c r="N939" s="31"/>
      <c r="O939" s="57"/>
      <c r="P939" s="57"/>
      <c r="Q939" s="57"/>
      <c r="R939" s="57"/>
      <c r="S939" s="31"/>
      <c r="T939" s="57"/>
      <c r="U939" s="57"/>
      <c r="V939" s="57"/>
      <c r="W939" s="57"/>
      <c r="X939" s="31"/>
      <c r="Y939" s="57"/>
      <c r="Z939" s="57"/>
      <c r="AA939" s="57"/>
      <c r="AB939" s="57"/>
      <c r="AC939" s="31"/>
      <c r="AD939" s="57"/>
      <c r="AE939" s="57"/>
      <c r="AF939" s="57"/>
      <c r="AG939" s="57"/>
      <c r="AH939" s="57"/>
      <c r="AI939" s="57"/>
      <c r="AJ939" s="57"/>
      <c r="AK939" s="57"/>
      <c r="AL939" s="57"/>
      <c r="AM939" s="57"/>
      <c r="AN939" s="57"/>
      <c r="AO939" s="57"/>
      <c r="AP939" s="35"/>
      <c r="AQ939" s="57"/>
      <c r="AR939" s="36"/>
      <c r="AS939" s="57"/>
      <c r="AT939" s="37"/>
      <c r="AU939" s="30"/>
      <c r="AV939" s="30"/>
      <c r="AW939" s="30"/>
      <c r="AX939" s="30"/>
      <c r="AY939" s="30"/>
      <c r="AZ939" s="30"/>
    </row>
    <row r="940">
      <c r="A940" s="30"/>
      <c r="B940" s="30"/>
      <c r="C940" s="30"/>
      <c r="D940" s="31"/>
      <c r="E940" s="31"/>
      <c r="F940" s="31"/>
      <c r="G940" s="31"/>
      <c r="H940" s="31"/>
      <c r="I940" s="54"/>
      <c r="J940" s="55"/>
      <c r="K940" s="54"/>
      <c r="L940" s="56"/>
      <c r="M940" s="56"/>
      <c r="N940" s="31"/>
      <c r="O940" s="57"/>
      <c r="P940" s="57"/>
      <c r="Q940" s="57"/>
      <c r="R940" s="57"/>
      <c r="S940" s="31"/>
      <c r="T940" s="57"/>
      <c r="U940" s="57"/>
      <c r="V940" s="57"/>
      <c r="W940" s="57"/>
      <c r="X940" s="31"/>
      <c r="Y940" s="57"/>
      <c r="Z940" s="57"/>
      <c r="AA940" s="57"/>
      <c r="AB940" s="57"/>
      <c r="AC940" s="31"/>
      <c r="AD940" s="57"/>
      <c r="AE940" s="57"/>
      <c r="AF940" s="57"/>
      <c r="AG940" s="57"/>
      <c r="AH940" s="57"/>
      <c r="AI940" s="57"/>
      <c r="AJ940" s="57"/>
      <c r="AK940" s="57"/>
      <c r="AL940" s="57"/>
      <c r="AM940" s="57"/>
      <c r="AN940" s="57"/>
      <c r="AO940" s="57"/>
      <c r="AP940" s="35"/>
      <c r="AQ940" s="57"/>
      <c r="AR940" s="36"/>
      <c r="AS940" s="57"/>
      <c r="AT940" s="37"/>
      <c r="AU940" s="30"/>
      <c r="AV940" s="30"/>
      <c r="AW940" s="30"/>
      <c r="AX940" s="30"/>
      <c r="AY940" s="30"/>
      <c r="AZ940" s="30"/>
    </row>
    <row r="941">
      <c r="A941" s="30"/>
      <c r="B941" s="30"/>
      <c r="C941" s="30"/>
      <c r="D941" s="31"/>
      <c r="E941" s="31"/>
      <c r="F941" s="31"/>
      <c r="G941" s="31"/>
      <c r="H941" s="31"/>
      <c r="I941" s="54"/>
      <c r="J941" s="55"/>
      <c r="K941" s="54"/>
      <c r="L941" s="56"/>
      <c r="M941" s="56"/>
      <c r="N941" s="31"/>
      <c r="O941" s="57"/>
      <c r="P941" s="57"/>
      <c r="Q941" s="57"/>
      <c r="R941" s="57"/>
      <c r="S941" s="31"/>
      <c r="T941" s="57"/>
      <c r="U941" s="57"/>
      <c r="V941" s="57"/>
      <c r="W941" s="57"/>
      <c r="X941" s="31"/>
      <c r="Y941" s="57"/>
      <c r="Z941" s="57"/>
      <c r="AA941" s="57"/>
      <c r="AB941" s="57"/>
      <c r="AC941" s="31"/>
      <c r="AD941" s="57"/>
      <c r="AE941" s="57"/>
      <c r="AF941" s="57"/>
      <c r="AG941" s="57"/>
      <c r="AH941" s="57"/>
      <c r="AI941" s="57"/>
      <c r="AJ941" s="57"/>
      <c r="AK941" s="57"/>
      <c r="AL941" s="57"/>
      <c r="AM941" s="57"/>
      <c r="AN941" s="57"/>
      <c r="AO941" s="57"/>
      <c r="AP941" s="35"/>
      <c r="AQ941" s="57"/>
      <c r="AR941" s="36"/>
      <c r="AS941" s="57"/>
      <c r="AT941" s="37"/>
      <c r="AU941" s="30"/>
      <c r="AV941" s="30"/>
      <c r="AW941" s="30"/>
      <c r="AX941" s="30"/>
      <c r="AY941" s="30"/>
      <c r="AZ941" s="30"/>
    </row>
    <row r="942">
      <c r="A942" s="30"/>
      <c r="B942" s="30"/>
      <c r="C942" s="30"/>
      <c r="D942" s="31"/>
      <c r="E942" s="31"/>
      <c r="F942" s="31"/>
      <c r="G942" s="31"/>
      <c r="H942" s="31"/>
      <c r="I942" s="54"/>
      <c r="J942" s="55"/>
      <c r="K942" s="54"/>
      <c r="L942" s="56"/>
      <c r="M942" s="56"/>
      <c r="N942" s="31"/>
      <c r="O942" s="57"/>
      <c r="P942" s="57"/>
      <c r="Q942" s="57"/>
      <c r="R942" s="57"/>
      <c r="S942" s="31"/>
      <c r="T942" s="57"/>
      <c r="U942" s="57"/>
      <c r="V942" s="57"/>
      <c r="W942" s="57"/>
      <c r="X942" s="31"/>
      <c r="Y942" s="57"/>
      <c r="Z942" s="57"/>
      <c r="AA942" s="57"/>
      <c r="AB942" s="57"/>
      <c r="AC942" s="31"/>
      <c r="AD942" s="57"/>
      <c r="AE942" s="57"/>
      <c r="AF942" s="57"/>
      <c r="AG942" s="57"/>
      <c r="AH942" s="57"/>
      <c r="AI942" s="57"/>
      <c r="AJ942" s="57"/>
      <c r="AK942" s="57"/>
      <c r="AL942" s="57"/>
      <c r="AM942" s="57"/>
      <c r="AN942" s="57"/>
      <c r="AO942" s="57"/>
      <c r="AP942" s="35"/>
      <c r="AQ942" s="57"/>
      <c r="AR942" s="36"/>
      <c r="AS942" s="57"/>
      <c r="AT942" s="37"/>
      <c r="AU942" s="30"/>
      <c r="AV942" s="30"/>
      <c r="AW942" s="30"/>
      <c r="AX942" s="30"/>
      <c r="AY942" s="30"/>
      <c r="AZ942" s="30"/>
    </row>
    <row r="943">
      <c r="A943" s="30"/>
      <c r="B943" s="30"/>
      <c r="C943" s="30"/>
      <c r="D943" s="31"/>
      <c r="E943" s="31"/>
      <c r="F943" s="31"/>
      <c r="G943" s="31"/>
      <c r="H943" s="31"/>
      <c r="I943" s="54"/>
      <c r="J943" s="55"/>
      <c r="K943" s="54"/>
      <c r="L943" s="56"/>
      <c r="M943" s="56"/>
      <c r="N943" s="31"/>
      <c r="O943" s="57"/>
      <c r="P943" s="57"/>
      <c r="Q943" s="57"/>
      <c r="R943" s="57"/>
      <c r="S943" s="31"/>
      <c r="T943" s="57"/>
      <c r="U943" s="57"/>
      <c r="V943" s="57"/>
      <c r="W943" s="57"/>
      <c r="X943" s="31"/>
      <c r="Y943" s="57"/>
      <c r="Z943" s="57"/>
      <c r="AA943" s="57"/>
      <c r="AB943" s="57"/>
      <c r="AC943" s="31"/>
      <c r="AD943" s="57"/>
      <c r="AE943" s="57"/>
      <c r="AF943" s="57"/>
      <c r="AG943" s="57"/>
      <c r="AH943" s="57"/>
      <c r="AI943" s="57"/>
      <c r="AJ943" s="57"/>
      <c r="AK943" s="57"/>
      <c r="AL943" s="57"/>
      <c r="AM943" s="57"/>
      <c r="AN943" s="57"/>
      <c r="AO943" s="57"/>
      <c r="AP943" s="35"/>
      <c r="AQ943" s="57"/>
      <c r="AR943" s="36"/>
      <c r="AS943" s="57"/>
      <c r="AT943" s="37"/>
      <c r="AU943" s="30"/>
      <c r="AV943" s="30"/>
      <c r="AW943" s="30"/>
      <c r="AX943" s="30"/>
      <c r="AY943" s="30"/>
      <c r="AZ943" s="30"/>
    </row>
    <row r="944">
      <c r="A944" s="30"/>
      <c r="B944" s="30"/>
      <c r="C944" s="30"/>
      <c r="D944" s="31"/>
      <c r="E944" s="31"/>
      <c r="F944" s="31"/>
      <c r="G944" s="31"/>
      <c r="H944" s="31"/>
      <c r="I944" s="54"/>
      <c r="J944" s="55"/>
      <c r="K944" s="54"/>
      <c r="L944" s="56"/>
      <c r="M944" s="56"/>
      <c r="N944" s="31"/>
      <c r="O944" s="57"/>
      <c r="P944" s="57"/>
      <c r="Q944" s="57"/>
      <c r="R944" s="57"/>
      <c r="S944" s="31"/>
      <c r="T944" s="57"/>
      <c r="U944" s="57"/>
      <c r="V944" s="57"/>
      <c r="W944" s="57"/>
      <c r="X944" s="31"/>
      <c r="Y944" s="57"/>
      <c r="Z944" s="57"/>
      <c r="AA944" s="57"/>
      <c r="AB944" s="57"/>
      <c r="AC944" s="31"/>
      <c r="AD944" s="57"/>
      <c r="AE944" s="57"/>
      <c r="AF944" s="57"/>
      <c r="AG944" s="57"/>
      <c r="AH944" s="57"/>
      <c r="AI944" s="57"/>
      <c r="AJ944" s="57"/>
      <c r="AK944" s="57"/>
      <c r="AL944" s="57"/>
      <c r="AM944" s="57"/>
      <c r="AN944" s="57"/>
      <c r="AO944" s="57"/>
      <c r="AP944" s="35"/>
      <c r="AQ944" s="57"/>
      <c r="AR944" s="36"/>
      <c r="AS944" s="57"/>
      <c r="AT944" s="37"/>
      <c r="AU944" s="30"/>
      <c r="AV944" s="30"/>
      <c r="AW944" s="30"/>
      <c r="AX944" s="30"/>
      <c r="AY944" s="30"/>
      <c r="AZ944" s="30"/>
    </row>
    <row r="945">
      <c r="A945" s="30"/>
      <c r="B945" s="30"/>
      <c r="C945" s="30"/>
      <c r="D945" s="31"/>
      <c r="E945" s="31"/>
      <c r="F945" s="31"/>
      <c r="G945" s="31"/>
      <c r="H945" s="31"/>
      <c r="I945" s="54"/>
      <c r="J945" s="55"/>
      <c r="K945" s="54"/>
      <c r="L945" s="56"/>
      <c r="M945" s="56"/>
      <c r="N945" s="31"/>
      <c r="O945" s="57"/>
      <c r="P945" s="57"/>
      <c r="Q945" s="57"/>
      <c r="R945" s="57"/>
      <c r="S945" s="31"/>
      <c r="T945" s="57"/>
      <c r="U945" s="57"/>
      <c r="V945" s="57"/>
      <c r="W945" s="57"/>
      <c r="X945" s="31"/>
      <c r="Y945" s="57"/>
      <c r="Z945" s="57"/>
      <c r="AA945" s="57"/>
      <c r="AB945" s="57"/>
      <c r="AC945" s="31"/>
      <c r="AD945" s="57"/>
      <c r="AE945" s="57"/>
      <c r="AF945" s="57"/>
      <c r="AG945" s="57"/>
      <c r="AH945" s="57"/>
      <c r="AI945" s="57"/>
      <c r="AJ945" s="57"/>
      <c r="AK945" s="57"/>
      <c r="AL945" s="57"/>
      <c r="AM945" s="57"/>
      <c r="AN945" s="57"/>
      <c r="AO945" s="57"/>
      <c r="AP945" s="35"/>
      <c r="AQ945" s="57"/>
      <c r="AR945" s="36"/>
      <c r="AS945" s="57"/>
      <c r="AT945" s="37"/>
      <c r="AU945" s="30"/>
      <c r="AV945" s="30"/>
      <c r="AW945" s="30"/>
      <c r="AX945" s="30"/>
      <c r="AY945" s="30"/>
      <c r="AZ945" s="30"/>
    </row>
    <row r="946">
      <c r="A946" s="30"/>
      <c r="B946" s="30"/>
      <c r="C946" s="30"/>
      <c r="D946" s="31"/>
      <c r="E946" s="31"/>
      <c r="F946" s="31"/>
      <c r="G946" s="31"/>
      <c r="H946" s="31"/>
      <c r="I946" s="54"/>
      <c r="J946" s="55"/>
      <c r="K946" s="54"/>
      <c r="L946" s="56"/>
      <c r="M946" s="56"/>
      <c r="N946" s="31"/>
      <c r="O946" s="57"/>
      <c r="P946" s="57"/>
      <c r="Q946" s="57"/>
      <c r="R946" s="57"/>
      <c r="S946" s="31"/>
      <c r="T946" s="57"/>
      <c r="U946" s="57"/>
      <c r="V946" s="57"/>
      <c r="W946" s="57"/>
      <c r="X946" s="31"/>
      <c r="Y946" s="57"/>
      <c r="Z946" s="57"/>
      <c r="AA946" s="57"/>
      <c r="AB946" s="57"/>
      <c r="AC946" s="31"/>
      <c r="AD946" s="57"/>
      <c r="AE946" s="57"/>
      <c r="AF946" s="57"/>
      <c r="AG946" s="57"/>
      <c r="AH946" s="57"/>
      <c r="AI946" s="57"/>
      <c r="AJ946" s="57"/>
      <c r="AK946" s="57"/>
      <c r="AL946" s="57"/>
      <c r="AM946" s="57"/>
      <c r="AN946" s="57"/>
      <c r="AO946" s="57"/>
      <c r="AP946" s="35"/>
      <c r="AQ946" s="57"/>
      <c r="AR946" s="36"/>
      <c r="AS946" s="57"/>
      <c r="AT946" s="37"/>
      <c r="AU946" s="30"/>
      <c r="AV946" s="30"/>
      <c r="AW946" s="30"/>
      <c r="AX946" s="30"/>
      <c r="AY946" s="30"/>
      <c r="AZ946" s="30"/>
    </row>
    <row r="947">
      <c r="A947" s="30"/>
      <c r="B947" s="30"/>
      <c r="C947" s="30"/>
      <c r="D947" s="31"/>
      <c r="E947" s="31"/>
      <c r="F947" s="31"/>
      <c r="G947" s="31"/>
      <c r="H947" s="31"/>
      <c r="I947" s="54"/>
      <c r="J947" s="55"/>
      <c r="K947" s="54"/>
      <c r="L947" s="56"/>
      <c r="M947" s="56"/>
      <c r="N947" s="31"/>
      <c r="O947" s="57"/>
      <c r="P947" s="57"/>
      <c r="Q947" s="57"/>
      <c r="R947" s="57"/>
      <c r="S947" s="31"/>
      <c r="T947" s="57"/>
      <c r="U947" s="57"/>
      <c r="V947" s="57"/>
      <c r="W947" s="57"/>
      <c r="X947" s="31"/>
      <c r="Y947" s="57"/>
      <c r="Z947" s="57"/>
      <c r="AA947" s="57"/>
      <c r="AB947" s="57"/>
      <c r="AC947" s="31"/>
      <c r="AD947" s="57"/>
      <c r="AE947" s="57"/>
      <c r="AF947" s="57"/>
      <c r="AG947" s="57"/>
      <c r="AH947" s="57"/>
      <c r="AI947" s="57"/>
      <c r="AJ947" s="57"/>
      <c r="AK947" s="57"/>
      <c r="AL947" s="57"/>
      <c r="AM947" s="57"/>
      <c r="AN947" s="57"/>
      <c r="AO947" s="57"/>
      <c r="AP947" s="35"/>
      <c r="AQ947" s="57"/>
      <c r="AR947" s="36"/>
      <c r="AS947" s="57"/>
      <c r="AT947" s="37"/>
      <c r="AU947" s="30"/>
      <c r="AV947" s="30"/>
      <c r="AW947" s="30"/>
      <c r="AX947" s="30"/>
      <c r="AY947" s="30"/>
      <c r="AZ947" s="30"/>
    </row>
    <row r="948">
      <c r="A948" s="30"/>
      <c r="B948" s="30"/>
      <c r="C948" s="30"/>
      <c r="D948" s="31"/>
      <c r="E948" s="31"/>
      <c r="F948" s="31"/>
      <c r="G948" s="31"/>
      <c r="H948" s="31"/>
      <c r="I948" s="54"/>
      <c r="J948" s="55"/>
      <c r="K948" s="54"/>
      <c r="L948" s="56"/>
      <c r="M948" s="56"/>
      <c r="N948" s="31"/>
      <c r="O948" s="57"/>
      <c r="P948" s="57"/>
      <c r="Q948" s="57"/>
      <c r="R948" s="57"/>
      <c r="S948" s="31"/>
      <c r="T948" s="57"/>
      <c r="U948" s="57"/>
      <c r="V948" s="57"/>
      <c r="W948" s="57"/>
      <c r="X948" s="31"/>
      <c r="Y948" s="57"/>
      <c r="Z948" s="57"/>
      <c r="AA948" s="57"/>
      <c r="AB948" s="57"/>
      <c r="AC948" s="31"/>
      <c r="AD948" s="57"/>
      <c r="AE948" s="57"/>
      <c r="AF948" s="57"/>
      <c r="AG948" s="57"/>
      <c r="AH948" s="57"/>
      <c r="AI948" s="57"/>
      <c r="AJ948" s="57"/>
      <c r="AK948" s="57"/>
      <c r="AL948" s="57"/>
      <c r="AM948" s="57"/>
      <c r="AN948" s="57"/>
      <c r="AO948" s="57"/>
      <c r="AP948" s="35"/>
      <c r="AQ948" s="57"/>
      <c r="AR948" s="36"/>
      <c r="AS948" s="57"/>
      <c r="AT948" s="37"/>
      <c r="AU948" s="30"/>
      <c r="AV948" s="30"/>
      <c r="AW948" s="30"/>
      <c r="AX948" s="30"/>
      <c r="AY948" s="30"/>
      <c r="AZ948" s="30"/>
    </row>
    <row r="949">
      <c r="A949" s="30"/>
      <c r="B949" s="30"/>
      <c r="C949" s="30"/>
      <c r="D949" s="31"/>
      <c r="E949" s="31"/>
      <c r="F949" s="31"/>
      <c r="G949" s="31"/>
      <c r="H949" s="31"/>
      <c r="I949" s="54"/>
      <c r="J949" s="55"/>
      <c r="K949" s="54"/>
      <c r="L949" s="56"/>
      <c r="M949" s="56"/>
      <c r="N949" s="31"/>
      <c r="O949" s="57"/>
      <c r="P949" s="57"/>
      <c r="Q949" s="57"/>
      <c r="R949" s="57"/>
      <c r="S949" s="31"/>
      <c r="T949" s="57"/>
      <c r="U949" s="57"/>
      <c r="V949" s="57"/>
      <c r="W949" s="57"/>
      <c r="X949" s="31"/>
      <c r="Y949" s="57"/>
      <c r="Z949" s="57"/>
      <c r="AA949" s="57"/>
      <c r="AB949" s="57"/>
      <c r="AC949" s="31"/>
      <c r="AD949" s="57"/>
      <c r="AE949" s="57"/>
      <c r="AF949" s="57"/>
      <c r="AG949" s="57"/>
      <c r="AH949" s="57"/>
      <c r="AI949" s="57"/>
      <c r="AJ949" s="57"/>
      <c r="AK949" s="57"/>
      <c r="AL949" s="57"/>
      <c r="AM949" s="57"/>
      <c r="AN949" s="57"/>
      <c r="AO949" s="57"/>
      <c r="AP949" s="35"/>
      <c r="AQ949" s="57"/>
      <c r="AR949" s="36"/>
      <c r="AS949" s="57"/>
      <c r="AT949" s="37"/>
      <c r="AU949" s="30"/>
      <c r="AV949" s="30"/>
      <c r="AW949" s="30"/>
      <c r="AX949" s="30"/>
      <c r="AY949" s="30"/>
      <c r="AZ949" s="30"/>
    </row>
    <row r="950">
      <c r="A950" s="30"/>
      <c r="B950" s="30"/>
      <c r="C950" s="30"/>
      <c r="D950" s="31"/>
      <c r="E950" s="31"/>
      <c r="F950" s="31"/>
      <c r="G950" s="31"/>
      <c r="H950" s="31"/>
      <c r="I950" s="54"/>
      <c r="J950" s="55"/>
      <c r="K950" s="54"/>
      <c r="L950" s="56"/>
      <c r="M950" s="56"/>
      <c r="N950" s="31"/>
      <c r="O950" s="57"/>
      <c r="P950" s="57"/>
      <c r="Q950" s="57"/>
      <c r="R950" s="57"/>
      <c r="S950" s="31"/>
      <c r="T950" s="57"/>
      <c r="U950" s="57"/>
      <c r="V950" s="57"/>
      <c r="W950" s="57"/>
      <c r="X950" s="31"/>
      <c r="Y950" s="57"/>
      <c r="Z950" s="57"/>
      <c r="AA950" s="57"/>
      <c r="AB950" s="57"/>
      <c r="AC950" s="31"/>
      <c r="AD950" s="57"/>
      <c r="AE950" s="57"/>
      <c r="AF950" s="57"/>
      <c r="AG950" s="57"/>
      <c r="AH950" s="57"/>
      <c r="AI950" s="57"/>
      <c r="AJ950" s="57"/>
      <c r="AK950" s="57"/>
      <c r="AL950" s="57"/>
      <c r="AM950" s="57"/>
      <c r="AN950" s="57"/>
      <c r="AO950" s="57"/>
      <c r="AP950" s="35"/>
      <c r="AQ950" s="57"/>
      <c r="AR950" s="36"/>
      <c r="AS950" s="57"/>
      <c r="AT950" s="37"/>
      <c r="AU950" s="30"/>
      <c r="AV950" s="30"/>
      <c r="AW950" s="30"/>
      <c r="AX950" s="30"/>
      <c r="AY950" s="30"/>
      <c r="AZ950" s="30"/>
    </row>
    <row r="951">
      <c r="A951" s="30"/>
      <c r="B951" s="30"/>
      <c r="C951" s="30"/>
      <c r="D951" s="31"/>
      <c r="E951" s="31"/>
      <c r="F951" s="31"/>
      <c r="G951" s="31"/>
      <c r="H951" s="31"/>
      <c r="I951" s="54"/>
      <c r="J951" s="55"/>
      <c r="K951" s="54"/>
      <c r="L951" s="56"/>
      <c r="M951" s="56"/>
      <c r="N951" s="31"/>
      <c r="O951" s="57"/>
      <c r="P951" s="57"/>
      <c r="Q951" s="57"/>
      <c r="R951" s="57"/>
      <c r="S951" s="31"/>
      <c r="T951" s="57"/>
      <c r="U951" s="57"/>
      <c r="V951" s="57"/>
      <c r="W951" s="57"/>
      <c r="X951" s="31"/>
      <c r="Y951" s="57"/>
      <c r="Z951" s="57"/>
      <c r="AA951" s="57"/>
      <c r="AB951" s="57"/>
      <c r="AC951" s="31"/>
      <c r="AD951" s="57"/>
      <c r="AE951" s="57"/>
      <c r="AF951" s="57"/>
      <c r="AG951" s="57"/>
      <c r="AH951" s="57"/>
      <c r="AI951" s="57"/>
      <c r="AJ951" s="57"/>
      <c r="AK951" s="57"/>
      <c r="AL951" s="57"/>
      <c r="AM951" s="57"/>
      <c r="AN951" s="57"/>
      <c r="AO951" s="57"/>
      <c r="AP951" s="35"/>
      <c r="AQ951" s="57"/>
      <c r="AR951" s="36"/>
      <c r="AS951" s="57"/>
      <c r="AT951" s="37"/>
      <c r="AU951" s="30"/>
      <c r="AV951" s="30"/>
      <c r="AW951" s="30"/>
      <c r="AX951" s="30"/>
      <c r="AY951" s="30"/>
      <c r="AZ951" s="30"/>
    </row>
    <row r="952">
      <c r="A952" s="30"/>
      <c r="B952" s="30"/>
      <c r="C952" s="30"/>
      <c r="D952" s="31"/>
      <c r="E952" s="31"/>
      <c r="F952" s="31"/>
      <c r="G952" s="31"/>
      <c r="H952" s="31"/>
      <c r="I952" s="54"/>
      <c r="J952" s="55"/>
      <c r="K952" s="54"/>
      <c r="L952" s="56"/>
      <c r="M952" s="56"/>
      <c r="N952" s="31"/>
      <c r="O952" s="57"/>
      <c r="P952" s="57"/>
      <c r="Q952" s="57"/>
      <c r="R952" s="57"/>
      <c r="S952" s="31"/>
      <c r="T952" s="57"/>
      <c r="U952" s="57"/>
      <c r="V952" s="57"/>
      <c r="W952" s="57"/>
      <c r="X952" s="31"/>
      <c r="Y952" s="57"/>
      <c r="Z952" s="57"/>
      <c r="AA952" s="57"/>
      <c r="AB952" s="57"/>
      <c r="AC952" s="31"/>
      <c r="AD952" s="57"/>
      <c r="AE952" s="57"/>
      <c r="AF952" s="57"/>
      <c r="AG952" s="57"/>
      <c r="AH952" s="57"/>
      <c r="AI952" s="57"/>
      <c r="AJ952" s="57"/>
      <c r="AK952" s="57"/>
      <c r="AL952" s="57"/>
      <c r="AM952" s="57"/>
      <c r="AN952" s="57"/>
      <c r="AO952" s="57"/>
      <c r="AP952" s="35"/>
      <c r="AQ952" s="57"/>
      <c r="AR952" s="36"/>
      <c r="AS952" s="57"/>
      <c r="AT952" s="37"/>
      <c r="AU952" s="30"/>
      <c r="AV952" s="30"/>
      <c r="AW952" s="30"/>
      <c r="AX952" s="30"/>
      <c r="AY952" s="30"/>
      <c r="AZ952" s="30"/>
    </row>
    <row r="953">
      <c r="A953" s="30"/>
      <c r="B953" s="30"/>
      <c r="C953" s="30"/>
      <c r="D953" s="31"/>
      <c r="E953" s="31"/>
      <c r="F953" s="31"/>
      <c r="G953" s="31"/>
      <c r="H953" s="31"/>
      <c r="I953" s="54"/>
      <c r="J953" s="55"/>
      <c r="K953" s="54"/>
      <c r="L953" s="56"/>
      <c r="M953" s="56"/>
      <c r="N953" s="31"/>
      <c r="O953" s="57"/>
      <c r="P953" s="57"/>
      <c r="Q953" s="57"/>
      <c r="R953" s="57"/>
      <c r="S953" s="31"/>
      <c r="T953" s="57"/>
      <c r="U953" s="57"/>
      <c r="V953" s="57"/>
      <c r="W953" s="57"/>
      <c r="X953" s="31"/>
      <c r="Y953" s="57"/>
      <c r="Z953" s="57"/>
      <c r="AA953" s="57"/>
      <c r="AB953" s="57"/>
      <c r="AC953" s="31"/>
      <c r="AD953" s="57"/>
      <c r="AE953" s="57"/>
      <c r="AF953" s="57"/>
      <c r="AG953" s="57"/>
      <c r="AH953" s="57"/>
      <c r="AI953" s="57"/>
      <c r="AJ953" s="57"/>
      <c r="AK953" s="57"/>
      <c r="AL953" s="57"/>
      <c r="AM953" s="57"/>
      <c r="AN953" s="57"/>
      <c r="AO953" s="57"/>
      <c r="AP953" s="35"/>
      <c r="AQ953" s="57"/>
      <c r="AR953" s="36"/>
      <c r="AS953" s="57"/>
      <c r="AT953" s="37"/>
      <c r="AU953" s="30"/>
      <c r="AV953" s="30"/>
      <c r="AW953" s="30"/>
      <c r="AX953" s="30"/>
      <c r="AY953" s="30"/>
      <c r="AZ953" s="30"/>
    </row>
    <row r="954">
      <c r="A954" s="30"/>
      <c r="B954" s="30"/>
      <c r="C954" s="30"/>
      <c r="D954" s="31"/>
      <c r="E954" s="31"/>
      <c r="F954" s="31"/>
      <c r="G954" s="31"/>
      <c r="H954" s="31"/>
      <c r="I954" s="54"/>
      <c r="J954" s="55"/>
      <c r="K954" s="54"/>
      <c r="L954" s="56"/>
      <c r="M954" s="56"/>
      <c r="N954" s="31"/>
      <c r="O954" s="57"/>
      <c r="P954" s="57"/>
      <c r="Q954" s="57"/>
      <c r="R954" s="57"/>
      <c r="S954" s="31"/>
      <c r="T954" s="57"/>
      <c r="U954" s="57"/>
      <c r="V954" s="57"/>
      <c r="W954" s="57"/>
      <c r="X954" s="31"/>
      <c r="Y954" s="57"/>
      <c r="Z954" s="57"/>
      <c r="AA954" s="57"/>
      <c r="AB954" s="57"/>
      <c r="AC954" s="31"/>
      <c r="AD954" s="57"/>
      <c r="AE954" s="57"/>
      <c r="AF954" s="57"/>
      <c r="AG954" s="57"/>
      <c r="AH954" s="57"/>
      <c r="AI954" s="57"/>
      <c r="AJ954" s="57"/>
      <c r="AK954" s="57"/>
      <c r="AL954" s="57"/>
      <c r="AM954" s="57"/>
      <c r="AN954" s="57"/>
      <c r="AO954" s="57"/>
      <c r="AP954" s="35"/>
      <c r="AQ954" s="57"/>
      <c r="AR954" s="36"/>
      <c r="AS954" s="57"/>
      <c r="AT954" s="37"/>
      <c r="AU954" s="30"/>
      <c r="AV954" s="30"/>
      <c r="AW954" s="30"/>
      <c r="AX954" s="30"/>
      <c r="AY954" s="30"/>
      <c r="AZ954" s="30"/>
    </row>
    <row r="955">
      <c r="A955" s="30"/>
      <c r="B955" s="30"/>
      <c r="C955" s="30"/>
      <c r="D955" s="31"/>
      <c r="E955" s="31"/>
      <c r="F955" s="31"/>
      <c r="G955" s="31"/>
      <c r="H955" s="31"/>
      <c r="I955" s="54"/>
      <c r="J955" s="55"/>
      <c r="K955" s="54"/>
      <c r="L955" s="56"/>
      <c r="M955" s="56"/>
      <c r="N955" s="31"/>
      <c r="O955" s="57"/>
      <c r="P955" s="57"/>
      <c r="Q955" s="57"/>
      <c r="R955" s="57"/>
      <c r="S955" s="31"/>
      <c r="T955" s="57"/>
      <c r="U955" s="57"/>
      <c r="V955" s="57"/>
      <c r="W955" s="57"/>
      <c r="X955" s="31"/>
      <c r="Y955" s="57"/>
      <c r="Z955" s="57"/>
      <c r="AA955" s="57"/>
      <c r="AB955" s="57"/>
      <c r="AC955" s="31"/>
      <c r="AD955" s="57"/>
      <c r="AE955" s="57"/>
      <c r="AF955" s="57"/>
      <c r="AG955" s="57"/>
      <c r="AH955" s="57"/>
      <c r="AI955" s="57"/>
      <c r="AJ955" s="57"/>
      <c r="AK955" s="57"/>
      <c r="AL955" s="57"/>
      <c r="AM955" s="57"/>
      <c r="AN955" s="57"/>
      <c r="AO955" s="57"/>
      <c r="AP955" s="35"/>
      <c r="AQ955" s="57"/>
      <c r="AR955" s="36"/>
      <c r="AS955" s="57"/>
      <c r="AT955" s="37"/>
      <c r="AU955" s="30"/>
      <c r="AV955" s="30"/>
      <c r="AW955" s="30"/>
      <c r="AX955" s="30"/>
      <c r="AY955" s="30"/>
      <c r="AZ955" s="30"/>
    </row>
    <row r="956">
      <c r="A956" s="30"/>
      <c r="B956" s="30"/>
      <c r="C956" s="30"/>
      <c r="D956" s="31"/>
      <c r="E956" s="31"/>
      <c r="F956" s="31"/>
      <c r="G956" s="31"/>
      <c r="H956" s="31"/>
      <c r="I956" s="54"/>
      <c r="J956" s="55"/>
      <c r="K956" s="54"/>
      <c r="L956" s="56"/>
      <c r="M956" s="56"/>
      <c r="N956" s="31"/>
      <c r="O956" s="57"/>
      <c r="P956" s="57"/>
      <c r="Q956" s="57"/>
      <c r="R956" s="57"/>
      <c r="S956" s="31"/>
      <c r="T956" s="57"/>
      <c r="U956" s="57"/>
      <c r="V956" s="57"/>
      <c r="W956" s="57"/>
      <c r="X956" s="31"/>
      <c r="Y956" s="57"/>
      <c r="Z956" s="57"/>
      <c r="AA956" s="57"/>
      <c r="AB956" s="57"/>
      <c r="AC956" s="31"/>
      <c r="AD956" s="57"/>
      <c r="AE956" s="57"/>
      <c r="AF956" s="57"/>
      <c r="AG956" s="57"/>
      <c r="AH956" s="57"/>
      <c r="AI956" s="57"/>
      <c r="AJ956" s="57"/>
      <c r="AK956" s="57"/>
      <c r="AL956" s="57"/>
      <c r="AM956" s="57"/>
      <c r="AN956" s="57"/>
      <c r="AO956" s="57"/>
      <c r="AP956" s="35"/>
      <c r="AQ956" s="57"/>
      <c r="AR956" s="36"/>
      <c r="AS956" s="57"/>
      <c r="AT956" s="37"/>
      <c r="AU956" s="30"/>
      <c r="AV956" s="30"/>
      <c r="AW956" s="30"/>
      <c r="AX956" s="30"/>
      <c r="AY956" s="30"/>
      <c r="AZ956" s="30"/>
    </row>
    <row r="957">
      <c r="A957" s="30"/>
      <c r="B957" s="30"/>
      <c r="C957" s="30"/>
      <c r="D957" s="31"/>
      <c r="E957" s="31"/>
      <c r="F957" s="31"/>
      <c r="G957" s="31"/>
      <c r="H957" s="31"/>
      <c r="I957" s="54"/>
      <c r="J957" s="55"/>
      <c r="K957" s="54"/>
      <c r="L957" s="56"/>
      <c r="M957" s="56"/>
      <c r="N957" s="31"/>
      <c r="O957" s="57"/>
      <c r="P957" s="57"/>
      <c r="Q957" s="57"/>
      <c r="R957" s="57"/>
      <c r="S957" s="31"/>
      <c r="T957" s="57"/>
      <c r="U957" s="57"/>
      <c r="V957" s="57"/>
      <c r="W957" s="57"/>
      <c r="X957" s="31"/>
      <c r="Y957" s="57"/>
      <c r="Z957" s="57"/>
      <c r="AA957" s="57"/>
      <c r="AB957" s="57"/>
      <c r="AC957" s="31"/>
      <c r="AD957" s="57"/>
      <c r="AE957" s="57"/>
      <c r="AF957" s="57"/>
      <c r="AG957" s="57"/>
      <c r="AH957" s="57"/>
      <c r="AI957" s="57"/>
      <c r="AJ957" s="57"/>
      <c r="AK957" s="57"/>
      <c r="AL957" s="57"/>
      <c r="AM957" s="57"/>
      <c r="AN957" s="57"/>
      <c r="AO957" s="57"/>
      <c r="AP957" s="35"/>
      <c r="AQ957" s="57"/>
      <c r="AR957" s="36"/>
      <c r="AS957" s="57"/>
      <c r="AT957" s="37"/>
      <c r="AU957" s="30"/>
      <c r="AV957" s="30"/>
      <c r="AW957" s="30"/>
      <c r="AX957" s="30"/>
      <c r="AY957" s="30"/>
      <c r="AZ957" s="30"/>
    </row>
    <row r="958">
      <c r="A958" s="30"/>
      <c r="B958" s="30"/>
      <c r="C958" s="30"/>
      <c r="D958" s="31"/>
      <c r="E958" s="31"/>
      <c r="F958" s="31"/>
      <c r="G958" s="31"/>
      <c r="H958" s="31"/>
      <c r="I958" s="54"/>
      <c r="J958" s="55"/>
      <c r="K958" s="54"/>
      <c r="L958" s="56"/>
      <c r="M958" s="56"/>
      <c r="N958" s="31"/>
      <c r="O958" s="57"/>
      <c r="P958" s="57"/>
      <c r="Q958" s="57"/>
      <c r="R958" s="57"/>
      <c r="S958" s="31"/>
      <c r="T958" s="57"/>
      <c r="U958" s="57"/>
      <c r="V958" s="57"/>
      <c r="W958" s="57"/>
      <c r="X958" s="31"/>
      <c r="Y958" s="57"/>
      <c r="Z958" s="57"/>
      <c r="AA958" s="57"/>
      <c r="AB958" s="57"/>
      <c r="AC958" s="31"/>
      <c r="AD958" s="57"/>
      <c r="AE958" s="57"/>
      <c r="AF958" s="57"/>
      <c r="AG958" s="57"/>
      <c r="AH958" s="57"/>
      <c r="AI958" s="57"/>
      <c r="AJ958" s="57"/>
      <c r="AK958" s="57"/>
      <c r="AL958" s="57"/>
      <c r="AM958" s="57"/>
      <c r="AN958" s="57"/>
      <c r="AO958" s="57"/>
      <c r="AP958" s="35"/>
      <c r="AQ958" s="57"/>
      <c r="AR958" s="36"/>
      <c r="AS958" s="57"/>
      <c r="AT958" s="37"/>
      <c r="AU958" s="30"/>
      <c r="AV958" s="30"/>
      <c r="AW958" s="30"/>
      <c r="AX958" s="30"/>
      <c r="AY958" s="30"/>
      <c r="AZ958" s="30"/>
    </row>
    <row r="959">
      <c r="A959" s="30"/>
      <c r="B959" s="30"/>
      <c r="C959" s="30"/>
      <c r="D959" s="31"/>
      <c r="E959" s="31"/>
      <c r="F959" s="31"/>
      <c r="G959" s="31"/>
      <c r="H959" s="31"/>
      <c r="I959" s="54"/>
      <c r="J959" s="55"/>
      <c r="K959" s="54"/>
      <c r="L959" s="56"/>
      <c r="M959" s="56"/>
      <c r="N959" s="31"/>
      <c r="O959" s="57"/>
      <c r="P959" s="57"/>
      <c r="Q959" s="57"/>
      <c r="R959" s="57"/>
      <c r="S959" s="31"/>
      <c r="T959" s="57"/>
      <c r="U959" s="57"/>
      <c r="V959" s="57"/>
      <c r="W959" s="57"/>
      <c r="X959" s="31"/>
      <c r="Y959" s="57"/>
      <c r="Z959" s="57"/>
      <c r="AA959" s="57"/>
      <c r="AB959" s="57"/>
      <c r="AC959" s="31"/>
      <c r="AD959" s="57"/>
      <c r="AE959" s="57"/>
      <c r="AF959" s="57"/>
      <c r="AG959" s="57"/>
      <c r="AH959" s="57"/>
      <c r="AI959" s="57"/>
      <c r="AJ959" s="57"/>
      <c r="AK959" s="57"/>
      <c r="AL959" s="57"/>
      <c r="AM959" s="57"/>
      <c r="AN959" s="57"/>
      <c r="AO959" s="57"/>
      <c r="AP959" s="35"/>
      <c r="AQ959" s="57"/>
      <c r="AR959" s="36"/>
      <c r="AS959" s="57"/>
      <c r="AT959" s="37"/>
      <c r="AU959" s="30"/>
      <c r="AV959" s="30"/>
      <c r="AW959" s="30"/>
      <c r="AX959" s="30"/>
      <c r="AY959" s="30"/>
      <c r="AZ959" s="30"/>
    </row>
    <row r="960">
      <c r="A960" s="30"/>
      <c r="B960" s="30"/>
      <c r="C960" s="30"/>
      <c r="D960" s="31"/>
      <c r="E960" s="31"/>
      <c r="F960" s="31"/>
      <c r="G960" s="31"/>
      <c r="H960" s="31"/>
      <c r="I960" s="54"/>
      <c r="J960" s="55"/>
      <c r="K960" s="54"/>
      <c r="L960" s="56"/>
      <c r="M960" s="56"/>
      <c r="N960" s="31"/>
      <c r="O960" s="57"/>
      <c r="P960" s="57"/>
      <c r="Q960" s="57"/>
      <c r="R960" s="57"/>
      <c r="S960" s="31"/>
      <c r="T960" s="57"/>
      <c r="U960" s="57"/>
      <c r="V960" s="57"/>
      <c r="W960" s="57"/>
      <c r="X960" s="31"/>
      <c r="Y960" s="57"/>
      <c r="Z960" s="57"/>
      <c r="AA960" s="57"/>
      <c r="AB960" s="57"/>
      <c r="AC960" s="31"/>
      <c r="AD960" s="57"/>
      <c r="AE960" s="57"/>
      <c r="AF960" s="57"/>
      <c r="AG960" s="57"/>
      <c r="AH960" s="57"/>
      <c r="AI960" s="57"/>
      <c r="AJ960" s="57"/>
      <c r="AK960" s="57"/>
      <c r="AL960" s="57"/>
      <c r="AM960" s="57"/>
      <c r="AN960" s="57"/>
      <c r="AO960" s="57"/>
      <c r="AP960" s="35"/>
      <c r="AQ960" s="57"/>
      <c r="AR960" s="36"/>
      <c r="AS960" s="57"/>
      <c r="AT960" s="37"/>
      <c r="AU960" s="30"/>
      <c r="AV960" s="30"/>
      <c r="AW960" s="30"/>
      <c r="AX960" s="30"/>
      <c r="AY960" s="30"/>
      <c r="AZ960" s="30"/>
    </row>
    <row r="961">
      <c r="A961" s="30"/>
      <c r="B961" s="30"/>
      <c r="C961" s="30"/>
      <c r="D961" s="31"/>
      <c r="E961" s="31"/>
      <c r="F961" s="31"/>
      <c r="G961" s="31"/>
      <c r="H961" s="31"/>
      <c r="I961" s="54"/>
      <c r="J961" s="55"/>
      <c r="K961" s="54"/>
      <c r="L961" s="56"/>
      <c r="M961" s="56"/>
      <c r="N961" s="31"/>
      <c r="O961" s="57"/>
      <c r="P961" s="57"/>
      <c r="Q961" s="57"/>
      <c r="R961" s="57"/>
      <c r="S961" s="31"/>
      <c r="T961" s="57"/>
      <c r="U961" s="57"/>
      <c r="V961" s="57"/>
      <c r="W961" s="57"/>
      <c r="X961" s="31"/>
      <c r="Y961" s="57"/>
      <c r="Z961" s="57"/>
      <c r="AA961" s="57"/>
      <c r="AB961" s="57"/>
      <c r="AC961" s="31"/>
      <c r="AD961" s="57"/>
      <c r="AE961" s="57"/>
      <c r="AF961" s="57"/>
      <c r="AG961" s="57"/>
      <c r="AH961" s="57"/>
      <c r="AI961" s="57"/>
      <c r="AJ961" s="57"/>
      <c r="AK961" s="57"/>
      <c r="AL961" s="57"/>
      <c r="AM961" s="57"/>
      <c r="AN961" s="57"/>
      <c r="AO961" s="57"/>
      <c r="AP961" s="35"/>
      <c r="AQ961" s="57"/>
      <c r="AR961" s="36"/>
      <c r="AS961" s="57"/>
      <c r="AT961" s="37"/>
      <c r="AU961" s="30"/>
      <c r="AV961" s="30"/>
      <c r="AW961" s="30"/>
      <c r="AX961" s="30"/>
      <c r="AY961" s="30"/>
      <c r="AZ961" s="30"/>
    </row>
    <row r="962">
      <c r="A962" s="30"/>
      <c r="B962" s="30"/>
      <c r="C962" s="30"/>
      <c r="D962" s="31"/>
      <c r="E962" s="31"/>
      <c r="F962" s="31"/>
      <c r="G962" s="31"/>
      <c r="H962" s="31"/>
      <c r="I962" s="54"/>
      <c r="J962" s="55"/>
      <c r="K962" s="54"/>
      <c r="L962" s="56"/>
      <c r="M962" s="56"/>
      <c r="N962" s="31"/>
      <c r="O962" s="57"/>
      <c r="P962" s="57"/>
      <c r="Q962" s="57"/>
      <c r="R962" s="57"/>
      <c r="S962" s="31"/>
      <c r="T962" s="57"/>
      <c r="U962" s="57"/>
      <c r="V962" s="57"/>
      <c r="W962" s="57"/>
      <c r="X962" s="31"/>
      <c r="Y962" s="57"/>
      <c r="Z962" s="57"/>
      <c r="AA962" s="57"/>
      <c r="AB962" s="57"/>
      <c r="AC962" s="31"/>
      <c r="AD962" s="57"/>
      <c r="AE962" s="57"/>
      <c r="AF962" s="57"/>
      <c r="AG962" s="57"/>
      <c r="AH962" s="57"/>
      <c r="AI962" s="57"/>
      <c r="AJ962" s="57"/>
      <c r="AK962" s="57"/>
      <c r="AL962" s="57"/>
      <c r="AM962" s="57"/>
      <c r="AN962" s="57"/>
      <c r="AO962" s="57"/>
      <c r="AP962" s="35"/>
      <c r="AQ962" s="57"/>
      <c r="AR962" s="36"/>
      <c r="AS962" s="57"/>
      <c r="AT962" s="37"/>
      <c r="AU962" s="30"/>
      <c r="AV962" s="30"/>
      <c r="AW962" s="30"/>
      <c r="AX962" s="30"/>
      <c r="AY962" s="30"/>
      <c r="AZ962" s="30"/>
    </row>
    <row r="963">
      <c r="A963" s="30"/>
      <c r="B963" s="30"/>
      <c r="C963" s="30"/>
      <c r="D963" s="31"/>
      <c r="E963" s="31"/>
      <c r="F963" s="31"/>
      <c r="G963" s="31"/>
      <c r="H963" s="31"/>
      <c r="I963" s="54"/>
      <c r="J963" s="55"/>
      <c r="K963" s="54"/>
      <c r="L963" s="56"/>
      <c r="M963" s="56"/>
      <c r="N963" s="31"/>
      <c r="O963" s="57"/>
      <c r="P963" s="57"/>
      <c r="Q963" s="57"/>
      <c r="R963" s="57"/>
      <c r="S963" s="31"/>
      <c r="T963" s="57"/>
      <c r="U963" s="57"/>
      <c r="V963" s="57"/>
      <c r="W963" s="57"/>
      <c r="X963" s="31"/>
      <c r="Y963" s="57"/>
      <c r="Z963" s="57"/>
      <c r="AA963" s="57"/>
      <c r="AB963" s="57"/>
      <c r="AC963" s="31"/>
      <c r="AD963" s="57"/>
      <c r="AE963" s="57"/>
      <c r="AF963" s="57"/>
      <c r="AG963" s="57"/>
      <c r="AH963" s="57"/>
      <c r="AI963" s="57"/>
      <c r="AJ963" s="57"/>
      <c r="AK963" s="57"/>
      <c r="AL963" s="57"/>
      <c r="AM963" s="57"/>
      <c r="AN963" s="57"/>
      <c r="AO963" s="57"/>
      <c r="AP963" s="35"/>
      <c r="AQ963" s="57"/>
      <c r="AR963" s="36"/>
      <c r="AS963" s="57"/>
      <c r="AT963" s="37"/>
      <c r="AU963" s="30"/>
      <c r="AV963" s="30"/>
      <c r="AW963" s="30"/>
      <c r="AX963" s="30"/>
      <c r="AY963" s="30"/>
      <c r="AZ963" s="30"/>
    </row>
    <row r="964">
      <c r="A964" s="30"/>
      <c r="B964" s="30"/>
      <c r="C964" s="30"/>
      <c r="D964" s="31"/>
      <c r="E964" s="31"/>
      <c r="F964" s="31"/>
      <c r="G964" s="31"/>
      <c r="H964" s="31"/>
      <c r="I964" s="54"/>
      <c r="J964" s="55"/>
      <c r="K964" s="54"/>
      <c r="L964" s="56"/>
      <c r="M964" s="56"/>
      <c r="N964" s="31"/>
      <c r="O964" s="57"/>
      <c r="P964" s="57"/>
      <c r="Q964" s="57"/>
      <c r="R964" s="57"/>
      <c r="S964" s="31"/>
      <c r="T964" s="57"/>
      <c r="U964" s="57"/>
      <c r="V964" s="57"/>
      <c r="W964" s="57"/>
      <c r="X964" s="31"/>
      <c r="Y964" s="57"/>
      <c r="Z964" s="57"/>
      <c r="AA964" s="57"/>
      <c r="AB964" s="57"/>
      <c r="AC964" s="31"/>
      <c r="AD964" s="57"/>
      <c r="AE964" s="57"/>
      <c r="AF964" s="57"/>
      <c r="AG964" s="57"/>
      <c r="AH964" s="57"/>
      <c r="AI964" s="57"/>
      <c r="AJ964" s="57"/>
      <c r="AK964" s="57"/>
      <c r="AL964" s="57"/>
      <c r="AM964" s="57"/>
      <c r="AN964" s="57"/>
      <c r="AO964" s="57"/>
      <c r="AP964" s="35"/>
      <c r="AQ964" s="57"/>
      <c r="AR964" s="36"/>
      <c r="AS964" s="57"/>
      <c r="AT964" s="37"/>
      <c r="AU964" s="30"/>
      <c r="AV964" s="30"/>
      <c r="AW964" s="30"/>
      <c r="AX964" s="30"/>
      <c r="AY964" s="30"/>
      <c r="AZ964" s="30"/>
    </row>
    <row r="965">
      <c r="A965" s="30"/>
      <c r="B965" s="30"/>
      <c r="C965" s="30"/>
      <c r="D965" s="31"/>
      <c r="E965" s="31"/>
      <c r="F965" s="31"/>
      <c r="G965" s="31"/>
      <c r="H965" s="31"/>
      <c r="I965" s="54"/>
      <c r="J965" s="55"/>
      <c r="K965" s="54"/>
      <c r="L965" s="56"/>
      <c r="M965" s="56"/>
      <c r="N965" s="31"/>
      <c r="O965" s="57"/>
      <c r="P965" s="57"/>
      <c r="Q965" s="57"/>
      <c r="R965" s="57"/>
      <c r="S965" s="31"/>
      <c r="T965" s="57"/>
      <c r="U965" s="57"/>
      <c r="V965" s="57"/>
      <c r="W965" s="57"/>
      <c r="X965" s="31"/>
      <c r="Y965" s="57"/>
      <c r="Z965" s="57"/>
      <c r="AA965" s="57"/>
      <c r="AB965" s="57"/>
      <c r="AC965" s="31"/>
      <c r="AD965" s="57"/>
      <c r="AE965" s="57"/>
      <c r="AF965" s="57"/>
      <c r="AG965" s="57"/>
      <c r="AH965" s="57"/>
      <c r="AI965" s="57"/>
      <c r="AJ965" s="57"/>
      <c r="AK965" s="57"/>
      <c r="AL965" s="57"/>
      <c r="AM965" s="57"/>
      <c r="AN965" s="57"/>
      <c r="AO965" s="57"/>
      <c r="AP965" s="35"/>
      <c r="AQ965" s="57"/>
      <c r="AR965" s="36"/>
      <c r="AS965" s="57"/>
      <c r="AT965" s="37"/>
      <c r="AU965" s="30"/>
      <c r="AV965" s="30"/>
      <c r="AW965" s="30"/>
      <c r="AX965" s="30"/>
      <c r="AY965" s="30"/>
      <c r="AZ965" s="30"/>
    </row>
    <row r="966">
      <c r="A966" s="30"/>
      <c r="B966" s="30"/>
      <c r="C966" s="30"/>
      <c r="D966" s="31"/>
      <c r="E966" s="31"/>
      <c r="F966" s="31"/>
      <c r="G966" s="31"/>
      <c r="H966" s="31"/>
      <c r="I966" s="54"/>
      <c r="J966" s="55"/>
      <c r="K966" s="54"/>
      <c r="L966" s="56"/>
      <c r="M966" s="56"/>
      <c r="N966" s="31"/>
      <c r="O966" s="57"/>
      <c r="P966" s="57"/>
      <c r="Q966" s="57"/>
      <c r="R966" s="57"/>
      <c r="S966" s="31"/>
      <c r="T966" s="57"/>
      <c r="U966" s="57"/>
      <c r="V966" s="57"/>
      <c r="W966" s="57"/>
      <c r="X966" s="31"/>
      <c r="Y966" s="57"/>
      <c r="Z966" s="57"/>
      <c r="AA966" s="57"/>
      <c r="AB966" s="57"/>
      <c r="AC966" s="31"/>
      <c r="AD966" s="57"/>
      <c r="AE966" s="57"/>
      <c r="AF966" s="57"/>
      <c r="AG966" s="57"/>
      <c r="AH966" s="57"/>
      <c r="AI966" s="57"/>
      <c r="AJ966" s="57"/>
      <c r="AK966" s="57"/>
      <c r="AL966" s="57"/>
      <c r="AM966" s="57"/>
      <c r="AN966" s="57"/>
      <c r="AO966" s="57"/>
      <c r="AP966" s="35"/>
      <c r="AQ966" s="57"/>
      <c r="AR966" s="36"/>
      <c r="AS966" s="57"/>
      <c r="AT966" s="37"/>
      <c r="AU966" s="30"/>
      <c r="AV966" s="30"/>
      <c r="AW966" s="30"/>
      <c r="AX966" s="30"/>
      <c r="AY966" s="30"/>
      <c r="AZ966" s="30"/>
    </row>
    <row r="967">
      <c r="A967" s="30"/>
      <c r="B967" s="30"/>
      <c r="C967" s="30"/>
      <c r="D967" s="31"/>
      <c r="E967" s="31"/>
      <c r="F967" s="31"/>
      <c r="G967" s="31"/>
      <c r="H967" s="31"/>
      <c r="I967" s="54"/>
      <c r="J967" s="55"/>
      <c r="K967" s="54"/>
      <c r="L967" s="56"/>
      <c r="M967" s="56"/>
      <c r="N967" s="31"/>
      <c r="O967" s="57"/>
      <c r="P967" s="57"/>
      <c r="Q967" s="57"/>
      <c r="R967" s="57"/>
      <c r="S967" s="31"/>
      <c r="T967" s="57"/>
      <c r="U967" s="57"/>
      <c r="V967" s="57"/>
      <c r="W967" s="57"/>
      <c r="X967" s="31"/>
      <c r="Y967" s="57"/>
      <c r="Z967" s="57"/>
      <c r="AA967" s="57"/>
      <c r="AB967" s="57"/>
      <c r="AC967" s="31"/>
      <c r="AD967" s="57"/>
      <c r="AE967" s="57"/>
      <c r="AF967" s="57"/>
      <c r="AG967" s="57"/>
      <c r="AH967" s="57"/>
      <c r="AI967" s="57"/>
      <c r="AJ967" s="57"/>
      <c r="AK967" s="57"/>
      <c r="AL967" s="57"/>
      <c r="AM967" s="57"/>
      <c r="AN967" s="57"/>
      <c r="AO967" s="57"/>
      <c r="AP967" s="35"/>
      <c r="AQ967" s="57"/>
      <c r="AR967" s="36"/>
      <c r="AS967" s="57"/>
      <c r="AT967" s="37"/>
      <c r="AU967" s="30"/>
      <c r="AV967" s="30"/>
      <c r="AW967" s="30"/>
      <c r="AX967" s="30"/>
      <c r="AY967" s="30"/>
      <c r="AZ967" s="30"/>
    </row>
    <row r="968">
      <c r="A968" s="30"/>
      <c r="B968" s="30"/>
      <c r="C968" s="30"/>
      <c r="D968" s="31"/>
      <c r="E968" s="31"/>
      <c r="F968" s="31"/>
      <c r="G968" s="31"/>
      <c r="H968" s="31"/>
      <c r="I968" s="54"/>
      <c r="J968" s="55"/>
      <c r="K968" s="54"/>
      <c r="L968" s="56"/>
      <c r="M968" s="56"/>
      <c r="N968" s="31"/>
      <c r="O968" s="57"/>
      <c r="P968" s="57"/>
      <c r="Q968" s="57"/>
      <c r="R968" s="57"/>
      <c r="S968" s="31"/>
      <c r="T968" s="57"/>
      <c r="U968" s="57"/>
      <c r="V968" s="57"/>
      <c r="W968" s="57"/>
      <c r="X968" s="31"/>
      <c r="Y968" s="57"/>
      <c r="Z968" s="57"/>
      <c r="AA968" s="57"/>
      <c r="AB968" s="57"/>
      <c r="AC968" s="31"/>
      <c r="AD968" s="57"/>
      <c r="AE968" s="57"/>
      <c r="AF968" s="57"/>
      <c r="AG968" s="57"/>
      <c r="AH968" s="57"/>
      <c r="AI968" s="57"/>
      <c r="AJ968" s="57"/>
      <c r="AK968" s="57"/>
      <c r="AL968" s="57"/>
      <c r="AM968" s="57"/>
      <c r="AN968" s="57"/>
      <c r="AO968" s="57"/>
      <c r="AP968" s="35"/>
      <c r="AQ968" s="57"/>
      <c r="AR968" s="36"/>
      <c r="AS968" s="57"/>
      <c r="AT968" s="37"/>
      <c r="AU968" s="30"/>
      <c r="AV968" s="30"/>
      <c r="AW968" s="30"/>
      <c r="AX968" s="30"/>
      <c r="AY968" s="30"/>
      <c r="AZ968" s="30"/>
    </row>
    <row r="969">
      <c r="A969" s="30"/>
      <c r="B969" s="30"/>
      <c r="C969" s="30"/>
      <c r="D969" s="31"/>
      <c r="E969" s="31"/>
      <c r="F969" s="31"/>
      <c r="G969" s="31"/>
      <c r="H969" s="31"/>
      <c r="I969" s="54"/>
      <c r="J969" s="55"/>
      <c r="K969" s="54"/>
      <c r="L969" s="56"/>
      <c r="M969" s="56"/>
      <c r="N969" s="31"/>
      <c r="O969" s="57"/>
      <c r="P969" s="57"/>
      <c r="Q969" s="57"/>
      <c r="R969" s="57"/>
      <c r="S969" s="31"/>
      <c r="T969" s="57"/>
      <c r="U969" s="57"/>
      <c r="V969" s="57"/>
      <c r="W969" s="57"/>
      <c r="X969" s="31"/>
      <c r="Y969" s="57"/>
      <c r="Z969" s="57"/>
      <c r="AA969" s="57"/>
      <c r="AB969" s="57"/>
      <c r="AC969" s="31"/>
      <c r="AD969" s="57"/>
      <c r="AE969" s="57"/>
      <c r="AF969" s="57"/>
      <c r="AG969" s="57"/>
      <c r="AH969" s="57"/>
      <c r="AI969" s="57"/>
      <c r="AJ969" s="57"/>
      <c r="AK969" s="57"/>
      <c r="AL969" s="57"/>
      <c r="AM969" s="57"/>
      <c r="AN969" s="57"/>
      <c r="AO969" s="57"/>
      <c r="AP969" s="35"/>
      <c r="AQ969" s="57"/>
      <c r="AR969" s="36"/>
      <c r="AS969" s="57"/>
      <c r="AT969" s="37"/>
      <c r="AU969" s="30"/>
      <c r="AV969" s="30"/>
      <c r="AW969" s="30"/>
      <c r="AX969" s="30"/>
      <c r="AY969" s="30"/>
      <c r="AZ969" s="30"/>
    </row>
    <row r="970">
      <c r="A970" s="30"/>
      <c r="B970" s="30"/>
      <c r="C970" s="30"/>
      <c r="D970" s="31"/>
      <c r="E970" s="31"/>
      <c r="F970" s="31"/>
      <c r="G970" s="31"/>
      <c r="H970" s="31"/>
      <c r="I970" s="54"/>
      <c r="J970" s="55"/>
      <c r="K970" s="54"/>
      <c r="L970" s="56"/>
      <c r="M970" s="56"/>
      <c r="N970" s="31"/>
      <c r="O970" s="57"/>
      <c r="P970" s="57"/>
      <c r="Q970" s="57"/>
      <c r="R970" s="57"/>
      <c r="S970" s="31"/>
      <c r="T970" s="57"/>
      <c r="U970" s="57"/>
      <c r="V970" s="57"/>
      <c r="W970" s="57"/>
      <c r="X970" s="31"/>
      <c r="Y970" s="57"/>
      <c r="Z970" s="57"/>
      <c r="AA970" s="57"/>
      <c r="AB970" s="57"/>
      <c r="AC970" s="31"/>
      <c r="AD970" s="57"/>
      <c r="AE970" s="57"/>
      <c r="AF970" s="57"/>
      <c r="AG970" s="57"/>
      <c r="AH970" s="57"/>
      <c r="AI970" s="57"/>
      <c r="AJ970" s="57"/>
      <c r="AK970" s="57"/>
      <c r="AL970" s="57"/>
      <c r="AM970" s="57"/>
      <c r="AN970" s="57"/>
      <c r="AO970" s="57"/>
      <c r="AP970" s="35"/>
      <c r="AQ970" s="57"/>
      <c r="AR970" s="36"/>
      <c r="AS970" s="57"/>
      <c r="AT970" s="37"/>
      <c r="AU970" s="30"/>
      <c r="AV970" s="30"/>
      <c r="AW970" s="30"/>
      <c r="AX970" s="30"/>
      <c r="AY970" s="30"/>
      <c r="AZ970" s="30"/>
    </row>
    <row r="971">
      <c r="A971" s="30"/>
      <c r="B971" s="30"/>
      <c r="C971" s="30"/>
      <c r="D971" s="31"/>
      <c r="E971" s="31"/>
      <c r="F971" s="31"/>
      <c r="G971" s="31"/>
      <c r="H971" s="31"/>
      <c r="I971" s="54"/>
      <c r="J971" s="55"/>
      <c r="K971" s="54"/>
      <c r="L971" s="56"/>
      <c r="M971" s="56"/>
      <c r="N971" s="31"/>
      <c r="O971" s="57"/>
      <c r="P971" s="57"/>
      <c r="Q971" s="57"/>
      <c r="R971" s="57"/>
      <c r="S971" s="31"/>
      <c r="T971" s="57"/>
      <c r="U971" s="57"/>
      <c r="V971" s="57"/>
      <c r="W971" s="57"/>
      <c r="X971" s="31"/>
      <c r="Y971" s="57"/>
      <c r="Z971" s="57"/>
      <c r="AA971" s="57"/>
      <c r="AB971" s="57"/>
      <c r="AC971" s="31"/>
      <c r="AD971" s="57"/>
      <c r="AE971" s="57"/>
      <c r="AF971" s="57"/>
      <c r="AG971" s="57"/>
      <c r="AH971" s="57"/>
      <c r="AI971" s="57"/>
      <c r="AJ971" s="57"/>
      <c r="AK971" s="57"/>
      <c r="AL971" s="57"/>
      <c r="AM971" s="57"/>
      <c r="AN971" s="57"/>
      <c r="AO971" s="57"/>
      <c r="AP971" s="35"/>
      <c r="AQ971" s="57"/>
      <c r="AR971" s="36"/>
      <c r="AS971" s="57"/>
      <c r="AT971" s="37"/>
      <c r="AU971" s="30"/>
      <c r="AV971" s="30"/>
      <c r="AW971" s="30"/>
      <c r="AX971" s="30"/>
      <c r="AY971" s="30"/>
      <c r="AZ971" s="30"/>
    </row>
    <row r="972">
      <c r="A972" s="30"/>
      <c r="B972" s="30"/>
      <c r="C972" s="30"/>
      <c r="D972" s="31"/>
      <c r="E972" s="31"/>
      <c r="F972" s="31"/>
      <c r="G972" s="31"/>
      <c r="H972" s="31"/>
      <c r="I972" s="54"/>
      <c r="J972" s="55"/>
      <c r="K972" s="54"/>
      <c r="L972" s="56"/>
      <c r="M972" s="56"/>
      <c r="N972" s="31"/>
      <c r="O972" s="57"/>
      <c r="P972" s="57"/>
      <c r="Q972" s="57"/>
      <c r="R972" s="57"/>
      <c r="S972" s="31"/>
      <c r="T972" s="57"/>
      <c r="U972" s="57"/>
      <c r="V972" s="57"/>
      <c r="W972" s="57"/>
      <c r="X972" s="31"/>
      <c r="Y972" s="57"/>
      <c r="Z972" s="57"/>
      <c r="AA972" s="57"/>
      <c r="AB972" s="57"/>
      <c r="AC972" s="31"/>
      <c r="AD972" s="57"/>
      <c r="AE972" s="57"/>
      <c r="AF972" s="57"/>
      <c r="AG972" s="57"/>
      <c r="AH972" s="57"/>
      <c r="AI972" s="57"/>
      <c r="AJ972" s="57"/>
      <c r="AK972" s="57"/>
      <c r="AL972" s="57"/>
      <c r="AM972" s="57"/>
      <c r="AN972" s="57"/>
      <c r="AO972" s="57"/>
      <c r="AP972" s="35"/>
      <c r="AQ972" s="57"/>
      <c r="AR972" s="36"/>
      <c r="AS972" s="57"/>
      <c r="AT972" s="37"/>
      <c r="AU972" s="30"/>
      <c r="AV972" s="30"/>
      <c r="AW972" s="30"/>
      <c r="AX972" s="30"/>
      <c r="AY972" s="30"/>
      <c r="AZ972" s="30"/>
    </row>
    <row r="973">
      <c r="A973" s="30"/>
      <c r="B973" s="30"/>
      <c r="C973" s="30"/>
      <c r="D973" s="31"/>
      <c r="E973" s="31"/>
      <c r="F973" s="31"/>
      <c r="G973" s="31"/>
      <c r="H973" s="31"/>
      <c r="I973" s="54"/>
      <c r="J973" s="55"/>
      <c r="K973" s="54"/>
      <c r="L973" s="56"/>
      <c r="M973" s="56"/>
      <c r="N973" s="31"/>
      <c r="O973" s="57"/>
      <c r="P973" s="57"/>
      <c r="Q973" s="57"/>
      <c r="R973" s="57"/>
      <c r="S973" s="31"/>
      <c r="T973" s="57"/>
      <c r="U973" s="57"/>
      <c r="V973" s="57"/>
      <c r="W973" s="57"/>
      <c r="X973" s="31"/>
      <c r="Y973" s="57"/>
      <c r="Z973" s="57"/>
      <c r="AA973" s="57"/>
      <c r="AB973" s="57"/>
      <c r="AC973" s="31"/>
      <c r="AD973" s="57"/>
      <c r="AE973" s="57"/>
      <c r="AF973" s="57"/>
      <c r="AG973" s="57"/>
      <c r="AH973" s="57"/>
      <c r="AI973" s="57"/>
      <c r="AJ973" s="57"/>
      <c r="AK973" s="57"/>
      <c r="AL973" s="57"/>
      <c r="AM973" s="57"/>
      <c r="AN973" s="57"/>
      <c r="AO973" s="57"/>
      <c r="AP973" s="35"/>
      <c r="AQ973" s="57"/>
      <c r="AR973" s="36"/>
      <c r="AS973" s="57"/>
      <c r="AT973" s="37"/>
      <c r="AU973" s="30"/>
      <c r="AV973" s="30"/>
      <c r="AW973" s="30"/>
      <c r="AX973" s="30"/>
      <c r="AY973" s="30"/>
      <c r="AZ973" s="30"/>
    </row>
    <row r="974">
      <c r="A974" s="30"/>
      <c r="B974" s="30"/>
      <c r="C974" s="30"/>
      <c r="D974" s="31"/>
      <c r="E974" s="31"/>
      <c r="F974" s="31"/>
      <c r="G974" s="31"/>
      <c r="H974" s="31"/>
      <c r="I974" s="54"/>
      <c r="J974" s="55"/>
      <c r="K974" s="54"/>
      <c r="L974" s="56"/>
      <c r="M974" s="56"/>
      <c r="N974" s="31"/>
      <c r="O974" s="57"/>
      <c r="P974" s="57"/>
      <c r="Q974" s="57"/>
      <c r="R974" s="57"/>
      <c r="S974" s="31"/>
      <c r="T974" s="57"/>
      <c r="U974" s="57"/>
      <c r="V974" s="57"/>
      <c r="W974" s="57"/>
      <c r="X974" s="31"/>
      <c r="Y974" s="57"/>
      <c r="Z974" s="57"/>
      <c r="AA974" s="57"/>
      <c r="AB974" s="57"/>
      <c r="AC974" s="31"/>
      <c r="AD974" s="57"/>
      <c r="AE974" s="57"/>
      <c r="AF974" s="57"/>
      <c r="AG974" s="57"/>
      <c r="AH974" s="57"/>
      <c r="AI974" s="57"/>
      <c r="AJ974" s="57"/>
      <c r="AK974" s="57"/>
      <c r="AL974" s="57"/>
      <c r="AM974" s="57"/>
      <c r="AN974" s="57"/>
      <c r="AO974" s="57"/>
      <c r="AP974" s="35"/>
      <c r="AQ974" s="57"/>
      <c r="AR974" s="36"/>
      <c r="AS974" s="57"/>
      <c r="AT974" s="37"/>
      <c r="AU974" s="30"/>
      <c r="AV974" s="30"/>
      <c r="AW974" s="30"/>
      <c r="AX974" s="30"/>
      <c r="AY974" s="30"/>
      <c r="AZ974" s="30"/>
    </row>
    <row r="975">
      <c r="A975" s="30"/>
      <c r="B975" s="30"/>
      <c r="C975" s="30"/>
      <c r="D975" s="31"/>
      <c r="E975" s="31"/>
      <c r="F975" s="31"/>
      <c r="G975" s="31"/>
      <c r="H975" s="31"/>
      <c r="I975" s="54"/>
      <c r="J975" s="55"/>
      <c r="K975" s="54"/>
      <c r="L975" s="56"/>
      <c r="M975" s="56"/>
      <c r="N975" s="31"/>
      <c r="O975" s="57"/>
      <c r="P975" s="57"/>
      <c r="Q975" s="57"/>
      <c r="R975" s="57"/>
      <c r="S975" s="31"/>
      <c r="T975" s="57"/>
      <c r="U975" s="57"/>
      <c r="V975" s="57"/>
      <c r="W975" s="57"/>
      <c r="X975" s="31"/>
      <c r="Y975" s="57"/>
      <c r="Z975" s="57"/>
      <c r="AA975" s="57"/>
      <c r="AB975" s="57"/>
      <c r="AC975" s="31"/>
      <c r="AD975" s="57"/>
      <c r="AE975" s="57"/>
      <c r="AF975" s="57"/>
      <c r="AG975" s="57"/>
      <c r="AH975" s="57"/>
      <c r="AI975" s="57"/>
      <c r="AJ975" s="57"/>
      <c r="AK975" s="57"/>
      <c r="AL975" s="57"/>
      <c r="AM975" s="57"/>
      <c r="AN975" s="57"/>
      <c r="AO975" s="57"/>
      <c r="AP975" s="35"/>
      <c r="AQ975" s="57"/>
      <c r="AR975" s="36"/>
      <c r="AS975" s="57"/>
      <c r="AT975" s="37"/>
      <c r="AU975" s="30"/>
      <c r="AV975" s="30"/>
      <c r="AW975" s="30"/>
      <c r="AX975" s="30"/>
      <c r="AY975" s="30"/>
      <c r="AZ975" s="30"/>
    </row>
    <row r="976">
      <c r="A976" s="30"/>
      <c r="B976" s="30"/>
      <c r="C976" s="30"/>
      <c r="D976" s="31"/>
      <c r="E976" s="31"/>
      <c r="F976" s="31"/>
      <c r="G976" s="31"/>
      <c r="H976" s="31"/>
      <c r="I976" s="54"/>
      <c r="J976" s="55"/>
      <c r="K976" s="54"/>
      <c r="L976" s="56"/>
      <c r="M976" s="56"/>
      <c r="N976" s="31"/>
      <c r="O976" s="57"/>
      <c r="P976" s="57"/>
      <c r="Q976" s="57"/>
      <c r="R976" s="57"/>
      <c r="S976" s="31"/>
      <c r="T976" s="57"/>
      <c r="U976" s="57"/>
      <c r="V976" s="57"/>
      <c r="W976" s="57"/>
      <c r="X976" s="31"/>
      <c r="Y976" s="57"/>
      <c r="Z976" s="57"/>
      <c r="AA976" s="57"/>
      <c r="AB976" s="57"/>
      <c r="AC976" s="31"/>
      <c r="AD976" s="57"/>
      <c r="AE976" s="57"/>
      <c r="AF976" s="57"/>
      <c r="AG976" s="57"/>
      <c r="AH976" s="57"/>
      <c r="AI976" s="57"/>
      <c r="AJ976" s="57"/>
      <c r="AK976" s="57"/>
      <c r="AL976" s="57"/>
      <c r="AM976" s="57"/>
      <c r="AN976" s="57"/>
      <c r="AO976" s="57"/>
      <c r="AP976" s="35"/>
      <c r="AQ976" s="57"/>
      <c r="AR976" s="36"/>
      <c r="AS976" s="57"/>
      <c r="AT976" s="37"/>
      <c r="AU976" s="30"/>
      <c r="AV976" s="30"/>
      <c r="AW976" s="30"/>
      <c r="AX976" s="30"/>
      <c r="AY976" s="30"/>
      <c r="AZ976" s="30"/>
    </row>
    <row r="977">
      <c r="A977" s="30"/>
      <c r="B977" s="30"/>
      <c r="C977" s="30"/>
      <c r="D977" s="31"/>
      <c r="E977" s="31"/>
      <c r="F977" s="31"/>
      <c r="G977" s="31"/>
      <c r="H977" s="31"/>
      <c r="I977" s="54"/>
      <c r="J977" s="55"/>
      <c r="K977" s="54"/>
      <c r="L977" s="56"/>
      <c r="M977" s="56"/>
      <c r="N977" s="31"/>
      <c r="O977" s="57"/>
      <c r="P977" s="57"/>
      <c r="Q977" s="57"/>
      <c r="R977" s="57"/>
      <c r="S977" s="31"/>
      <c r="T977" s="57"/>
      <c r="U977" s="57"/>
      <c r="V977" s="57"/>
      <c r="W977" s="57"/>
      <c r="X977" s="31"/>
      <c r="Y977" s="57"/>
      <c r="Z977" s="57"/>
      <c r="AA977" s="57"/>
      <c r="AB977" s="57"/>
      <c r="AC977" s="31"/>
      <c r="AD977" s="57"/>
      <c r="AE977" s="57"/>
      <c r="AF977" s="57"/>
      <c r="AG977" s="57"/>
      <c r="AH977" s="57"/>
      <c r="AI977" s="57"/>
      <c r="AJ977" s="57"/>
      <c r="AK977" s="57"/>
      <c r="AL977" s="57"/>
      <c r="AM977" s="57"/>
      <c r="AN977" s="57"/>
      <c r="AO977" s="57"/>
      <c r="AP977" s="35"/>
      <c r="AQ977" s="57"/>
      <c r="AR977" s="36"/>
      <c r="AS977" s="57"/>
      <c r="AT977" s="37"/>
      <c r="AU977" s="30"/>
      <c r="AV977" s="30"/>
      <c r="AW977" s="30"/>
      <c r="AX977" s="30"/>
      <c r="AY977" s="30"/>
      <c r="AZ977" s="30"/>
    </row>
    <row r="978">
      <c r="A978" s="30"/>
      <c r="B978" s="30"/>
      <c r="C978" s="30"/>
      <c r="D978" s="31"/>
      <c r="E978" s="31"/>
      <c r="F978" s="31"/>
      <c r="G978" s="31"/>
      <c r="H978" s="31"/>
      <c r="I978" s="54"/>
      <c r="J978" s="55"/>
      <c r="K978" s="54"/>
      <c r="L978" s="56"/>
      <c r="M978" s="56"/>
      <c r="N978" s="31"/>
      <c r="O978" s="57"/>
      <c r="P978" s="57"/>
      <c r="Q978" s="57"/>
      <c r="R978" s="57"/>
      <c r="S978" s="31"/>
      <c r="T978" s="57"/>
      <c r="U978" s="57"/>
      <c r="V978" s="57"/>
      <c r="W978" s="57"/>
      <c r="X978" s="31"/>
      <c r="Y978" s="57"/>
      <c r="Z978" s="57"/>
      <c r="AA978" s="57"/>
      <c r="AB978" s="57"/>
      <c r="AC978" s="31"/>
      <c r="AD978" s="57"/>
      <c r="AE978" s="57"/>
      <c r="AF978" s="57"/>
      <c r="AG978" s="57"/>
      <c r="AH978" s="57"/>
      <c r="AI978" s="57"/>
      <c r="AJ978" s="57"/>
      <c r="AK978" s="57"/>
      <c r="AL978" s="57"/>
      <c r="AM978" s="57"/>
      <c r="AN978" s="57"/>
      <c r="AO978" s="57"/>
      <c r="AP978" s="35"/>
      <c r="AQ978" s="57"/>
      <c r="AR978" s="36"/>
      <c r="AS978" s="57"/>
      <c r="AT978" s="37"/>
      <c r="AU978" s="30"/>
      <c r="AV978" s="30"/>
      <c r="AW978" s="30"/>
      <c r="AX978" s="30"/>
      <c r="AY978" s="30"/>
      <c r="AZ978" s="30"/>
    </row>
    <row r="979">
      <c r="A979" s="30"/>
      <c r="B979" s="30"/>
      <c r="C979" s="30"/>
      <c r="D979" s="31"/>
      <c r="E979" s="31"/>
      <c r="F979" s="31"/>
      <c r="G979" s="31"/>
      <c r="H979" s="31"/>
      <c r="I979" s="54"/>
      <c r="J979" s="55"/>
      <c r="K979" s="54"/>
      <c r="L979" s="56"/>
      <c r="M979" s="56"/>
      <c r="N979" s="31"/>
      <c r="O979" s="57"/>
      <c r="P979" s="57"/>
      <c r="Q979" s="57"/>
      <c r="R979" s="57"/>
      <c r="S979" s="31"/>
      <c r="T979" s="57"/>
      <c r="U979" s="57"/>
      <c r="V979" s="57"/>
      <c r="W979" s="57"/>
      <c r="X979" s="31"/>
      <c r="Y979" s="57"/>
      <c r="Z979" s="57"/>
      <c r="AA979" s="57"/>
      <c r="AB979" s="57"/>
      <c r="AC979" s="31"/>
      <c r="AD979" s="57"/>
      <c r="AE979" s="57"/>
      <c r="AF979" s="57"/>
      <c r="AG979" s="57"/>
      <c r="AH979" s="57"/>
      <c r="AI979" s="57"/>
      <c r="AJ979" s="57"/>
      <c r="AK979" s="57"/>
      <c r="AL979" s="57"/>
      <c r="AM979" s="57"/>
      <c r="AN979" s="57"/>
      <c r="AO979" s="57"/>
      <c r="AP979" s="35"/>
      <c r="AQ979" s="57"/>
      <c r="AR979" s="36"/>
      <c r="AS979" s="57"/>
      <c r="AT979" s="37"/>
      <c r="AU979" s="30"/>
      <c r="AV979" s="30"/>
      <c r="AW979" s="30"/>
      <c r="AX979" s="30"/>
      <c r="AY979" s="30"/>
      <c r="AZ979" s="30"/>
    </row>
    <row r="980">
      <c r="A980" s="30"/>
      <c r="B980" s="30"/>
      <c r="C980" s="30"/>
      <c r="D980" s="31"/>
      <c r="E980" s="31"/>
      <c r="F980" s="31"/>
      <c r="G980" s="31"/>
      <c r="H980" s="31"/>
      <c r="I980" s="54"/>
      <c r="J980" s="55"/>
      <c r="K980" s="54"/>
      <c r="L980" s="56"/>
      <c r="M980" s="56"/>
      <c r="N980" s="31"/>
      <c r="O980" s="57"/>
      <c r="P980" s="57"/>
      <c r="Q980" s="57"/>
      <c r="R980" s="57"/>
      <c r="S980" s="31"/>
      <c r="T980" s="57"/>
      <c r="U980" s="57"/>
      <c r="V980" s="57"/>
      <c r="W980" s="57"/>
      <c r="X980" s="31"/>
      <c r="Y980" s="57"/>
      <c r="Z980" s="57"/>
      <c r="AA980" s="57"/>
      <c r="AB980" s="57"/>
      <c r="AC980" s="31"/>
      <c r="AD980" s="57"/>
      <c r="AE980" s="57"/>
      <c r="AF980" s="57"/>
      <c r="AG980" s="57"/>
      <c r="AH980" s="57"/>
      <c r="AI980" s="57"/>
      <c r="AJ980" s="57"/>
      <c r="AK980" s="57"/>
      <c r="AL980" s="57"/>
      <c r="AM980" s="57"/>
      <c r="AN980" s="57"/>
      <c r="AO980" s="57"/>
      <c r="AP980" s="35"/>
      <c r="AQ980" s="57"/>
      <c r="AR980" s="36"/>
      <c r="AS980" s="57"/>
      <c r="AT980" s="37"/>
      <c r="AU980" s="30"/>
      <c r="AV980" s="30"/>
      <c r="AW980" s="30"/>
      <c r="AX980" s="30"/>
      <c r="AY980" s="30"/>
      <c r="AZ980" s="30"/>
    </row>
    <row r="981">
      <c r="A981" s="30"/>
      <c r="B981" s="30"/>
      <c r="C981" s="30"/>
      <c r="D981" s="31"/>
      <c r="E981" s="31"/>
      <c r="F981" s="31"/>
      <c r="G981" s="31"/>
      <c r="H981" s="31"/>
      <c r="I981" s="54"/>
      <c r="J981" s="55"/>
      <c r="K981" s="54"/>
      <c r="L981" s="56"/>
      <c r="M981" s="56"/>
      <c r="N981" s="31"/>
      <c r="O981" s="57"/>
      <c r="P981" s="57"/>
      <c r="Q981" s="57"/>
      <c r="R981" s="57"/>
      <c r="S981" s="31"/>
      <c r="T981" s="57"/>
      <c r="U981" s="57"/>
      <c r="V981" s="57"/>
      <c r="W981" s="57"/>
      <c r="X981" s="31"/>
      <c r="Y981" s="57"/>
      <c r="Z981" s="57"/>
      <c r="AA981" s="57"/>
      <c r="AB981" s="57"/>
      <c r="AC981" s="31"/>
      <c r="AD981" s="57"/>
      <c r="AE981" s="57"/>
      <c r="AF981" s="57"/>
      <c r="AG981" s="57"/>
      <c r="AH981" s="57"/>
      <c r="AI981" s="57"/>
      <c r="AJ981" s="57"/>
      <c r="AK981" s="57"/>
      <c r="AL981" s="57"/>
      <c r="AM981" s="57"/>
      <c r="AN981" s="57"/>
      <c r="AO981" s="57"/>
      <c r="AP981" s="35"/>
      <c r="AQ981" s="57"/>
      <c r="AR981" s="36"/>
      <c r="AS981" s="57"/>
      <c r="AT981" s="37"/>
      <c r="AU981" s="30"/>
      <c r="AV981" s="30"/>
      <c r="AW981" s="30"/>
      <c r="AX981" s="30"/>
      <c r="AY981" s="30"/>
      <c r="AZ981" s="30"/>
    </row>
    <row r="982">
      <c r="A982" s="30"/>
      <c r="B982" s="30"/>
      <c r="C982" s="30"/>
      <c r="D982" s="31"/>
      <c r="E982" s="31"/>
      <c r="F982" s="31"/>
      <c r="G982" s="31"/>
      <c r="H982" s="31"/>
      <c r="I982" s="54"/>
      <c r="J982" s="55"/>
      <c r="K982" s="54"/>
      <c r="L982" s="56"/>
      <c r="M982" s="56"/>
      <c r="N982" s="31"/>
      <c r="O982" s="57"/>
      <c r="P982" s="57"/>
      <c r="Q982" s="57"/>
      <c r="R982" s="57"/>
      <c r="S982" s="31"/>
      <c r="T982" s="57"/>
      <c r="U982" s="57"/>
      <c r="V982" s="57"/>
      <c r="W982" s="57"/>
      <c r="X982" s="31"/>
      <c r="Y982" s="57"/>
      <c r="Z982" s="57"/>
      <c r="AA982" s="57"/>
      <c r="AB982" s="57"/>
      <c r="AC982" s="31"/>
      <c r="AD982" s="57"/>
      <c r="AE982" s="57"/>
      <c r="AF982" s="57"/>
      <c r="AG982" s="57"/>
      <c r="AH982" s="57"/>
      <c r="AI982" s="57"/>
      <c r="AJ982" s="57"/>
      <c r="AK982" s="57"/>
      <c r="AL982" s="57"/>
      <c r="AM982" s="57"/>
      <c r="AN982" s="57"/>
      <c r="AO982" s="57"/>
      <c r="AP982" s="35"/>
      <c r="AQ982" s="57"/>
      <c r="AR982" s="36"/>
      <c r="AS982" s="57"/>
      <c r="AT982" s="37"/>
      <c r="AU982" s="30"/>
      <c r="AV982" s="30"/>
      <c r="AW982" s="30"/>
      <c r="AX982" s="30"/>
      <c r="AY982" s="30"/>
      <c r="AZ982" s="30"/>
    </row>
    <row r="983">
      <c r="A983" s="30"/>
      <c r="B983" s="30"/>
      <c r="C983" s="30"/>
      <c r="D983" s="31"/>
      <c r="E983" s="31"/>
      <c r="F983" s="31"/>
      <c r="G983" s="31"/>
      <c r="H983" s="31"/>
      <c r="I983" s="54"/>
      <c r="J983" s="55"/>
      <c r="K983" s="54"/>
      <c r="L983" s="56"/>
      <c r="M983" s="56"/>
      <c r="N983" s="31"/>
      <c r="O983" s="57"/>
      <c r="P983" s="57"/>
      <c r="Q983" s="57"/>
      <c r="R983" s="57"/>
      <c r="S983" s="31"/>
      <c r="T983" s="57"/>
      <c r="U983" s="57"/>
      <c r="V983" s="57"/>
      <c r="W983" s="57"/>
      <c r="X983" s="31"/>
      <c r="Y983" s="57"/>
      <c r="Z983" s="57"/>
      <c r="AA983" s="57"/>
      <c r="AB983" s="57"/>
      <c r="AC983" s="31"/>
      <c r="AD983" s="57"/>
      <c r="AE983" s="57"/>
      <c r="AF983" s="57"/>
      <c r="AG983" s="57"/>
      <c r="AH983" s="57"/>
      <c r="AI983" s="57"/>
      <c r="AJ983" s="57"/>
      <c r="AK983" s="57"/>
      <c r="AL983" s="57"/>
      <c r="AM983" s="57"/>
      <c r="AN983" s="57"/>
      <c r="AO983" s="57"/>
      <c r="AP983" s="35"/>
      <c r="AQ983" s="57"/>
      <c r="AR983" s="36"/>
      <c r="AS983" s="57"/>
      <c r="AT983" s="37"/>
      <c r="AU983" s="30"/>
      <c r="AV983" s="30"/>
      <c r="AW983" s="30"/>
      <c r="AX983" s="30"/>
      <c r="AY983" s="30"/>
      <c r="AZ983" s="30"/>
    </row>
    <row r="984">
      <c r="A984" s="30"/>
      <c r="B984" s="30"/>
      <c r="C984" s="30"/>
      <c r="D984" s="31"/>
      <c r="E984" s="31"/>
      <c r="F984" s="31"/>
      <c r="G984" s="31"/>
      <c r="H984" s="31"/>
      <c r="I984" s="54"/>
      <c r="J984" s="55"/>
      <c r="K984" s="54"/>
      <c r="L984" s="56"/>
      <c r="M984" s="56"/>
      <c r="N984" s="31"/>
      <c r="O984" s="57"/>
      <c r="P984" s="57"/>
      <c r="Q984" s="57"/>
      <c r="R984" s="57"/>
      <c r="S984" s="31"/>
      <c r="T984" s="57"/>
      <c r="U984" s="57"/>
      <c r="V984" s="57"/>
      <c r="W984" s="57"/>
      <c r="X984" s="31"/>
      <c r="Y984" s="57"/>
      <c r="Z984" s="57"/>
      <c r="AA984" s="57"/>
      <c r="AB984" s="57"/>
      <c r="AC984" s="31"/>
      <c r="AD984" s="57"/>
      <c r="AE984" s="57"/>
      <c r="AF984" s="57"/>
      <c r="AG984" s="57"/>
      <c r="AH984" s="57"/>
      <c r="AI984" s="57"/>
      <c r="AJ984" s="57"/>
      <c r="AK984" s="57"/>
      <c r="AL984" s="57"/>
      <c r="AM984" s="57"/>
      <c r="AN984" s="57"/>
      <c r="AO984" s="57"/>
      <c r="AP984" s="35"/>
      <c r="AQ984" s="57"/>
      <c r="AR984" s="36"/>
      <c r="AS984" s="57"/>
      <c r="AT984" s="37"/>
      <c r="AU984" s="30"/>
      <c r="AV984" s="30"/>
      <c r="AW984" s="30"/>
      <c r="AX984" s="30"/>
      <c r="AY984" s="30"/>
      <c r="AZ984" s="30"/>
    </row>
    <row r="985">
      <c r="A985" s="30"/>
      <c r="B985" s="30"/>
      <c r="C985" s="30"/>
      <c r="D985" s="31"/>
      <c r="E985" s="31"/>
      <c r="F985" s="31"/>
      <c r="G985" s="31"/>
      <c r="H985" s="31"/>
      <c r="I985" s="54"/>
      <c r="J985" s="55"/>
      <c r="K985" s="54"/>
      <c r="L985" s="56"/>
      <c r="M985" s="56"/>
      <c r="N985" s="31"/>
      <c r="O985" s="57"/>
      <c r="P985" s="57"/>
      <c r="Q985" s="57"/>
      <c r="R985" s="57"/>
      <c r="S985" s="31"/>
      <c r="T985" s="57"/>
      <c r="U985" s="57"/>
      <c r="V985" s="57"/>
      <c r="W985" s="57"/>
      <c r="X985" s="31"/>
      <c r="Y985" s="57"/>
      <c r="Z985" s="57"/>
      <c r="AA985" s="57"/>
      <c r="AB985" s="57"/>
      <c r="AC985" s="31"/>
      <c r="AD985" s="57"/>
      <c r="AE985" s="57"/>
      <c r="AF985" s="57"/>
      <c r="AG985" s="57"/>
      <c r="AH985" s="57"/>
      <c r="AI985" s="57"/>
      <c r="AJ985" s="57"/>
      <c r="AK985" s="57"/>
      <c r="AL985" s="57"/>
      <c r="AM985" s="57"/>
      <c r="AN985" s="57"/>
      <c r="AO985" s="57"/>
      <c r="AP985" s="35"/>
      <c r="AQ985" s="57"/>
      <c r="AR985" s="36"/>
      <c r="AS985" s="57"/>
      <c r="AT985" s="37"/>
      <c r="AU985" s="30"/>
      <c r="AV985" s="30"/>
      <c r="AW985" s="30"/>
      <c r="AX985" s="30"/>
      <c r="AY985" s="30"/>
      <c r="AZ985" s="30"/>
    </row>
    <row r="986">
      <c r="A986" s="30"/>
      <c r="B986" s="30"/>
      <c r="C986" s="30"/>
      <c r="D986" s="31"/>
      <c r="E986" s="31"/>
      <c r="F986" s="31"/>
      <c r="G986" s="31"/>
      <c r="H986" s="31"/>
      <c r="I986" s="54"/>
      <c r="J986" s="55"/>
      <c r="K986" s="54"/>
      <c r="L986" s="56"/>
      <c r="M986" s="56"/>
      <c r="N986" s="31"/>
      <c r="O986" s="57"/>
      <c r="P986" s="57"/>
      <c r="Q986" s="57"/>
      <c r="R986" s="57"/>
      <c r="S986" s="31"/>
      <c r="T986" s="57"/>
      <c r="U986" s="57"/>
      <c r="V986" s="57"/>
      <c r="W986" s="57"/>
      <c r="X986" s="31"/>
      <c r="Y986" s="57"/>
      <c r="Z986" s="57"/>
      <c r="AA986" s="57"/>
      <c r="AB986" s="57"/>
      <c r="AC986" s="31"/>
      <c r="AD986" s="57"/>
      <c r="AE986" s="57"/>
      <c r="AF986" s="57"/>
      <c r="AG986" s="57"/>
      <c r="AH986" s="57"/>
      <c r="AI986" s="57"/>
      <c r="AJ986" s="57"/>
      <c r="AK986" s="57"/>
      <c r="AL986" s="57"/>
      <c r="AM986" s="57"/>
      <c r="AN986" s="57"/>
      <c r="AO986" s="57"/>
      <c r="AP986" s="35"/>
      <c r="AQ986" s="57"/>
      <c r="AR986" s="36"/>
      <c r="AS986" s="57"/>
      <c r="AT986" s="37"/>
      <c r="AU986" s="30"/>
      <c r="AV986" s="30"/>
      <c r="AW986" s="30"/>
      <c r="AX986" s="30"/>
      <c r="AY986" s="30"/>
      <c r="AZ986" s="30"/>
    </row>
    <row r="987">
      <c r="A987" s="30"/>
      <c r="B987" s="30"/>
      <c r="C987" s="30"/>
      <c r="D987" s="31"/>
      <c r="E987" s="31"/>
      <c r="F987" s="31"/>
      <c r="G987" s="31"/>
      <c r="H987" s="31"/>
      <c r="I987" s="54"/>
      <c r="J987" s="55"/>
      <c r="K987" s="54"/>
      <c r="L987" s="56"/>
      <c r="M987" s="56"/>
      <c r="N987" s="31"/>
      <c r="O987" s="57"/>
      <c r="P987" s="57"/>
      <c r="Q987" s="57"/>
      <c r="R987" s="57"/>
      <c r="S987" s="31"/>
      <c r="T987" s="57"/>
      <c r="U987" s="57"/>
      <c r="V987" s="57"/>
      <c r="W987" s="57"/>
      <c r="X987" s="31"/>
      <c r="Y987" s="57"/>
      <c r="Z987" s="57"/>
      <c r="AA987" s="57"/>
      <c r="AB987" s="57"/>
      <c r="AC987" s="31"/>
      <c r="AD987" s="57"/>
      <c r="AE987" s="57"/>
      <c r="AF987" s="57"/>
      <c r="AG987" s="57"/>
      <c r="AH987" s="57"/>
      <c r="AI987" s="57"/>
      <c r="AJ987" s="57"/>
      <c r="AK987" s="57"/>
      <c r="AL987" s="57"/>
      <c r="AM987" s="57"/>
      <c r="AN987" s="57"/>
      <c r="AO987" s="57"/>
      <c r="AP987" s="35"/>
      <c r="AQ987" s="57"/>
      <c r="AR987" s="36"/>
      <c r="AS987" s="57"/>
      <c r="AT987" s="37"/>
      <c r="AU987" s="30"/>
      <c r="AV987" s="30"/>
      <c r="AW987" s="30"/>
      <c r="AX987" s="30"/>
      <c r="AY987" s="30"/>
      <c r="AZ987" s="30"/>
    </row>
    <row r="988">
      <c r="A988" s="30"/>
      <c r="B988" s="30"/>
      <c r="C988" s="30"/>
      <c r="D988" s="31"/>
      <c r="E988" s="31"/>
      <c r="F988" s="31"/>
      <c r="G988" s="31"/>
      <c r="H988" s="31"/>
      <c r="I988" s="54"/>
      <c r="J988" s="55"/>
      <c r="K988" s="54"/>
      <c r="L988" s="56"/>
      <c r="M988" s="56"/>
      <c r="N988" s="31"/>
      <c r="O988" s="57"/>
      <c r="P988" s="57"/>
      <c r="Q988" s="57"/>
      <c r="R988" s="57"/>
      <c r="S988" s="31"/>
      <c r="T988" s="57"/>
      <c r="U988" s="57"/>
      <c r="V988" s="57"/>
      <c r="W988" s="57"/>
      <c r="X988" s="31"/>
      <c r="Y988" s="57"/>
      <c r="Z988" s="57"/>
      <c r="AA988" s="57"/>
      <c r="AB988" s="57"/>
      <c r="AC988" s="31"/>
      <c r="AD988" s="57"/>
      <c r="AE988" s="57"/>
      <c r="AF988" s="57"/>
      <c r="AG988" s="57"/>
      <c r="AH988" s="57"/>
      <c r="AI988" s="57"/>
      <c r="AJ988" s="57"/>
      <c r="AK988" s="57"/>
      <c r="AL988" s="57"/>
      <c r="AM988" s="57"/>
      <c r="AN988" s="57"/>
      <c r="AO988" s="57"/>
      <c r="AP988" s="35"/>
      <c r="AQ988" s="57"/>
      <c r="AR988" s="36"/>
      <c r="AS988" s="57"/>
      <c r="AT988" s="37"/>
      <c r="AU988" s="30"/>
      <c r="AV988" s="30"/>
      <c r="AW988" s="30"/>
      <c r="AX988" s="30"/>
      <c r="AY988" s="30"/>
      <c r="AZ988" s="30"/>
    </row>
    <row r="989">
      <c r="A989" s="30"/>
      <c r="B989" s="30"/>
      <c r="C989" s="30"/>
      <c r="D989" s="31"/>
      <c r="E989" s="31"/>
      <c r="F989" s="31"/>
      <c r="G989" s="31"/>
      <c r="H989" s="31"/>
      <c r="I989" s="54"/>
      <c r="J989" s="55"/>
      <c r="K989" s="54"/>
      <c r="L989" s="56"/>
      <c r="M989" s="56"/>
      <c r="N989" s="31"/>
      <c r="O989" s="57"/>
      <c r="P989" s="57"/>
      <c r="Q989" s="57"/>
      <c r="R989" s="57"/>
      <c r="S989" s="31"/>
      <c r="T989" s="57"/>
      <c r="U989" s="57"/>
      <c r="V989" s="57"/>
      <c r="W989" s="57"/>
      <c r="X989" s="31"/>
      <c r="Y989" s="57"/>
      <c r="Z989" s="57"/>
      <c r="AA989" s="57"/>
      <c r="AB989" s="57"/>
      <c r="AC989" s="31"/>
      <c r="AD989" s="57"/>
      <c r="AE989" s="57"/>
      <c r="AF989" s="57"/>
      <c r="AG989" s="57"/>
      <c r="AH989" s="57"/>
      <c r="AI989" s="57"/>
      <c r="AJ989" s="57"/>
      <c r="AK989" s="57"/>
      <c r="AL989" s="57"/>
      <c r="AM989" s="57"/>
      <c r="AN989" s="57"/>
      <c r="AO989" s="57"/>
      <c r="AP989" s="35"/>
      <c r="AQ989" s="57"/>
      <c r="AR989" s="36"/>
      <c r="AS989" s="57"/>
      <c r="AT989" s="37"/>
      <c r="AU989" s="30"/>
      <c r="AV989" s="30"/>
      <c r="AW989" s="30"/>
      <c r="AX989" s="30"/>
      <c r="AY989" s="30"/>
      <c r="AZ989" s="30"/>
    </row>
    <row r="990">
      <c r="A990" s="30"/>
      <c r="B990" s="30"/>
      <c r="C990" s="30"/>
      <c r="D990" s="31"/>
      <c r="E990" s="31"/>
      <c r="F990" s="31"/>
      <c r="G990" s="31"/>
      <c r="H990" s="31"/>
      <c r="I990" s="54"/>
      <c r="J990" s="55"/>
      <c r="K990" s="54"/>
      <c r="L990" s="56"/>
      <c r="M990" s="56"/>
      <c r="N990" s="31"/>
      <c r="O990" s="57"/>
      <c r="P990" s="57"/>
      <c r="Q990" s="57"/>
      <c r="R990" s="57"/>
      <c r="S990" s="31"/>
      <c r="T990" s="57"/>
      <c r="U990" s="57"/>
      <c r="V990" s="57"/>
      <c r="W990" s="57"/>
      <c r="X990" s="31"/>
      <c r="Y990" s="57"/>
      <c r="Z990" s="57"/>
      <c r="AA990" s="57"/>
      <c r="AB990" s="57"/>
      <c r="AC990" s="31"/>
      <c r="AD990" s="57"/>
      <c r="AE990" s="57"/>
      <c r="AF990" s="57"/>
      <c r="AG990" s="57"/>
      <c r="AH990" s="57"/>
      <c r="AI990" s="57"/>
      <c r="AJ990" s="57"/>
      <c r="AK990" s="57"/>
      <c r="AL990" s="57"/>
      <c r="AM990" s="57"/>
      <c r="AN990" s="57"/>
      <c r="AO990" s="57"/>
      <c r="AP990" s="35"/>
      <c r="AQ990" s="57"/>
      <c r="AR990" s="36"/>
      <c r="AS990" s="57"/>
      <c r="AT990" s="37"/>
      <c r="AU990" s="30"/>
      <c r="AV990" s="30"/>
      <c r="AW990" s="30"/>
      <c r="AX990" s="30"/>
      <c r="AY990" s="30"/>
      <c r="AZ990" s="30"/>
    </row>
    <row r="991">
      <c r="A991" s="30"/>
      <c r="B991" s="30"/>
      <c r="C991" s="30"/>
      <c r="D991" s="31"/>
      <c r="E991" s="31"/>
      <c r="F991" s="31"/>
      <c r="G991" s="31"/>
      <c r="H991" s="31"/>
      <c r="I991" s="54"/>
      <c r="J991" s="55"/>
      <c r="K991" s="54"/>
      <c r="L991" s="56"/>
      <c r="M991" s="56"/>
      <c r="N991" s="31"/>
      <c r="O991" s="57"/>
      <c r="P991" s="57"/>
      <c r="Q991" s="57"/>
      <c r="R991" s="57"/>
      <c r="S991" s="31"/>
      <c r="T991" s="57"/>
      <c r="U991" s="57"/>
      <c r="V991" s="57"/>
      <c r="W991" s="57"/>
      <c r="X991" s="31"/>
      <c r="Y991" s="57"/>
      <c r="Z991" s="57"/>
      <c r="AA991" s="57"/>
      <c r="AB991" s="57"/>
      <c r="AC991" s="31"/>
      <c r="AD991" s="57"/>
      <c r="AE991" s="57"/>
      <c r="AF991" s="57"/>
      <c r="AG991" s="57"/>
      <c r="AH991" s="57"/>
      <c r="AI991" s="57"/>
      <c r="AJ991" s="57"/>
      <c r="AK991" s="57"/>
      <c r="AL991" s="57"/>
      <c r="AM991" s="57"/>
      <c r="AN991" s="57"/>
      <c r="AO991" s="57"/>
      <c r="AP991" s="35"/>
      <c r="AQ991" s="57"/>
      <c r="AR991" s="36"/>
      <c r="AS991" s="57"/>
      <c r="AT991" s="37"/>
      <c r="AU991" s="30"/>
      <c r="AV991" s="30"/>
      <c r="AW991" s="30"/>
      <c r="AX991" s="30"/>
      <c r="AY991" s="30"/>
      <c r="AZ991" s="30"/>
    </row>
    <row r="992">
      <c r="A992" s="30"/>
      <c r="B992" s="30"/>
      <c r="C992" s="30"/>
      <c r="D992" s="31"/>
      <c r="E992" s="31"/>
      <c r="F992" s="31"/>
      <c r="G992" s="31"/>
      <c r="H992" s="31"/>
      <c r="I992" s="54"/>
      <c r="J992" s="55"/>
      <c r="K992" s="54"/>
      <c r="L992" s="56"/>
      <c r="M992" s="56"/>
      <c r="N992" s="31"/>
      <c r="O992" s="57"/>
      <c r="P992" s="57"/>
      <c r="Q992" s="57"/>
      <c r="R992" s="57"/>
      <c r="S992" s="31"/>
      <c r="T992" s="57"/>
      <c r="U992" s="57"/>
      <c r="V992" s="57"/>
      <c r="W992" s="57"/>
      <c r="X992" s="31"/>
      <c r="Y992" s="57"/>
      <c r="Z992" s="57"/>
      <c r="AA992" s="57"/>
      <c r="AB992" s="57"/>
      <c r="AC992" s="31"/>
      <c r="AD992" s="57"/>
      <c r="AE992" s="57"/>
      <c r="AF992" s="57"/>
      <c r="AG992" s="57"/>
      <c r="AH992" s="57"/>
      <c r="AI992" s="57"/>
      <c r="AJ992" s="57"/>
      <c r="AK992" s="57"/>
      <c r="AL992" s="57"/>
      <c r="AM992" s="57"/>
      <c r="AN992" s="57"/>
      <c r="AO992" s="57"/>
      <c r="AP992" s="35"/>
      <c r="AQ992" s="57"/>
      <c r="AR992" s="36"/>
      <c r="AS992" s="57"/>
      <c r="AT992" s="37"/>
      <c r="AU992" s="30"/>
      <c r="AV992" s="30"/>
      <c r="AW992" s="30"/>
      <c r="AX992" s="30"/>
      <c r="AY992" s="30"/>
      <c r="AZ992" s="30"/>
    </row>
    <row r="993">
      <c r="A993" s="30"/>
      <c r="B993" s="30"/>
      <c r="C993" s="30"/>
      <c r="D993" s="31"/>
      <c r="E993" s="31"/>
      <c r="F993" s="31"/>
      <c r="G993" s="31"/>
      <c r="H993" s="31"/>
      <c r="I993" s="54"/>
      <c r="J993" s="55"/>
      <c r="K993" s="54"/>
      <c r="L993" s="56"/>
      <c r="M993" s="56"/>
      <c r="N993" s="31"/>
      <c r="O993" s="57"/>
      <c r="P993" s="57"/>
      <c r="Q993" s="57"/>
      <c r="R993" s="57"/>
      <c r="S993" s="31"/>
      <c r="T993" s="57"/>
      <c r="U993" s="57"/>
      <c r="V993" s="57"/>
      <c r="W993" s="57"/>
      <c r="X993" s="31"/>
      <c r="Y993" s="57"/>
      <c r="Z993" s="57"/>
      <c r="AA993" s="57"/>
      <c r="AB993" s="57"/>
      <c r="AC993" s="31"/>
      <c r="AD993" s="57"/>
      <c r="AE993" s="57"/>
      <c r="AF993" s="57"/>
      <c r="AG993" s="57"/>
      <c r="AH993" s="57"/>
      <c r="AI993" s="57"/>
      <c r="AJ993" s="57"/>
      <c r="AK993" s="57"/>
      <c r="AL993" s="57"/>
      <c r="AM993" s="57"/>
      <c r="AN993" s="57"/>
      <c r="AO993" s="57"/>
      <c r="AP993" s="35"/>
      <c r="AQ993" s="57"/>
      <c r="AR993" s="36"/>
      <c r="AS993" s="57"/>
      <c r="AT993" s="37"/>
      <c r="AU993" s="30"/>
      <c r="AV993" s="30"/>
      <c r="AW993" s="30"/>
      <c r="AX993" s="30"/>
      <c r="AY993" s="30"/>
      <c r="AZ993" s="30"/>
    </row>
    <row r="994">
      <c r="A994" s="30"/>
      <c r="B994" s="30"/>
      <c r="C994" s="30"/>
      <c r="D994" s="31"/>
      <c r="E994" s="31"/>
      <c r="F994" s="31"/>
      <c r="G994" s="31"/>
      <c r="H994" s="31"/>
      <c r="I994" s="54"/>
      <c r="J994" s="55"/>
      <c r="K994" s="54"/>
      <c r="L994" s="56"/>
      <c r="M994" s="56"/>
      <c r="N994" s="31"/>
      <c r="O994" s="57"/>
      <c r="P994" s="57"/>
      <c r="Q994" s="57"/>
      <c r="R994" s="57"/>
      <c r="S994" s="31"/>
      <c r="T994" s="57"/>
      <c r="U994" s="57"/>
      <c r="V994" s="57"/>
      <c r="W994" s="57"/>
      <c r="X994" s="31"/>
      <c r="Y994" s="57"/>
      <c r="Z994" s="57"/>
      <c r="AA994" s="57"/>
      <c r="AB994" s="57"/>
      <c r="AC994" s="31"/>
      <c r="AD994" s="57"/>
      <c r="AE994" s="57"/>
      <c r="AF994" s="57"/>
      <c r="AG994" s="57"/>
      <c r="AH994" s="57"/>
      <c r="AI994" s="57"/>
      <c r="AJ994" s="57"/>
      <c r="AK994" s="57"/>
      <c r="AL994" s="57"/>
      <c r="AM994" s="57"/>
      <c r="AN994" s="57"/>
      <c r="AO994" s="57"/>
      <c r="AP994" s="35"/>
      <c r="AQ994" s="57"/>
      <c r="AR994" s="36"/>
      <c r="AS994" s="57"/>
      <c r="AT994" s="37"/>
      <c r="AU994" s="30"/>
      <c r="AV994" s="30"/>
      <c r="AW994" s="30"/>
      <c r="AX994" s="30"/>
      <c r="AY994" s="30"/>
      <c r="AZ994" s="30"/>
    </row>
    <row r="995">
      <c r="A995" s="30"/>
      <c r="B995" s="30"/>
      <c r="C995" s="30"/>
      <c r="D995" s="31"/>
      <c r="E995" s="31"/>
      <c r="F995" s="31"/>
      <c r="G995" s="31"/>
      <c r="H995" s="31"/>
      <c r="I995" s="54"/>
      <c r="J995" s="55"/>
      <c r="K995" s="54"/>
      <c r="L995" s="56"/>
      <c r="M995" s="56"/>
      <c r="N995" s="31"/>
      <c r="O995" s="57"/>
      <c r="P995" s="57"/>
      <c r="Q995" s="57"/>
      <c r="R995" s="57"/>
      <c r="S995" s="31"/>
      <c r="T995" s="57"/>
      <c r="U995" s="57"/>
      <c r="V995" s="57"/>
      <c r="W995" s="57"/>
      <c r="X995" s="31"/>
      <c r="Y995" s="57"/>
      <c r="Z995" s="57"/>
      <c r="AA995" s="57"/>
      <c r="AB995" s="57"/>
      <c r="AC995" s="31"/>
      <c r="AD995" s="57"/>
      <c r="AE995" s="57"/>
      <c r="AF995" s="57"/>
      <c r="AG995" s="57"/>
      <c r="AH995" s="57"/>
      <c r="AI995" s="57"/>
      <c r="AJ995" s="57"/>
      <c r="AK995" s="57"/>
      <c r="AL995" s="57"/>
      <c r="AM995" s="57"/>
      <c r="AN995" s="57"/>
      <c r="AO995" s="57"/>
      <c r="AP995" s="35"/>
      <c r="AQ995" s="57"/>
      <c r="AR995" s="36"/>
      <c r="AS995" s="57"/>
      <c r="AT995" s="37"/>
      <c r="AU995" s="30"/>
      <c r="AV995" s="30"/>
      <c r="AW995" s="30"/>
      <c r="AX995" s="30"/>
      <c r="AY995" s="30"/>
      <c r="AZ995" s="30"/>
    </row>
    <row r="996">
      <c r="A996" s="30"/>
      <c r="B996" s="30"/>
      <c r="C996" s="30"/>
      <c r="D996" s="31"/>
      <c r="E996" s="31"/>
      <c r="F996" s="31"/>
      <c r="G996" s="31"/>
      <c r="H996" s="31"/>
      <c r="I996" s="54"/>
      <c r="J996" s="55"/>
      <c r="K996" s="54"/>
      <c r="L996" s="56"/>
      <c r="M996" s="56"/>
      <c r="N996" s="31"/>
      <c r="O996" s="57"/>
      <c r="P996" s="57"/>
      <c r="Q996" s="57"/>
      <c r="R996" s="57"/>
      <c r="S996" s="31"/>
      <c r="T996" s="57"/>
      <c r="U996" s="57"/>
      <c r="V996" s="57"/>
      <c r="W996" s="57"/>
      <c r="X996" s="31"/>
      <c r="Y996" s="57"/>
      <c r="Z996" s="57"/>
      <c r="AA996" s="57"/>
      <c r="AB996" s="57"/>
      <c r="AC996" s="31"/>
      <c r="AD996" s="57"/>
      <c r="AE996" s="57"/>
      <c r="AF996" s="57"/>
      <c r="AG996" s="57"/>
      <c r="AH996" s="57"/>
      <c r="AI996" s="57"/>
      <c r="AJ996" s="57"/>
      <c r="AK996" s="57"/>
      <c r="AL996" s="57"/>
      <c r="AM996" s="57"/>
      <c r="AN996" s="57"/>
      <c r="AO996" s="57"/>
      <c r="AP996" s="35"/>
      <c r="AQ996" s="57"/>
      <c r="AR996" s="36"/>
      <c r="AS996" s="57"/>
      <c r="AT996" s="37"/>
      <c r="AU996" s="30"/>
      <c r="AV996" s="30"/>
      <c r="AW996" s="30"/>
      <c r="AX996" s="30"/>
      <c r="AY996" s="30"/>
      <c r="AZ996" s="30"/>
    </row>
    <row r="997">
      <c r="A997" s="30"/>
      <c r="B997" s="30"/>
      <c r="C997" s="30"/>
      <c r="D997" s="31"/>
      <c r="E997" s="31"/>
      <c r="F997" s="31"/>
      <c r="G997" s="31"/>
      <c r="H997" s="31"/>
      <c r="I997" s="54"/>
      <c r="J997" s="55"/>
      <c r="K997" s="54"/>
      <c r="L997" s="56"/>
      <c r="M997" s="56"/>
      <c r="N997" s="31"/>
      <c r="O997" s="57"/>
      <c r="P997" s="57"/>
      <c r="Q997" s="57"/>
      <c r="R997" s="57"/>
      <c r="S997" s="31"/>
      <c r="T997" s="57"/>
      <c r="U997" s="57"/>
      <c r="V997" s="57"/>
      <c r="W997" s="57"/>
      <c r="X997" s="31"/>
      <c r="Y997" s="57"/>
      <c r="Z997" s="57"/>
      <c r="AA997" s="57"/>
      <c r="AB997" s="57"/>
      <c r="AC997" s="31"/>
      <c r="AD997" s="57"/>
      <c r="AE997" s="57"/>
      <c r="AF997" s="57"/>
      <c r="AG997" s="57"/>
      <c r="AH997" s="57"/>
      <c r="AI997" s="57"/>
      <c r="AJ997" s="57"/>
      <c r="AK997" s="57"/>
      <c r="AL997" s="57"/>
      <c r="AM997" s="57"/>
      <c r="AN997" s="57"/>
      <c r="AO997" s="57"/>
      <c r="AP997" s="35"/>
      <c r="AQ997" s="57"/>
      <c r="AR997" s="36"/>
      <c r="AS997" s="57"/>
      <c r="AT997" s="37"/>
      <c r="AU997" s="30"/>
      <c r="AV997" s="30"/>
      <c r="AW997" s="30"/>
      <c r="AX997" s="30"/>
      <c r="AY997" s="30"/>
      <c r="AZ997" s="30"/>
    </row>
    <row r="998">
      <c r="A998" s="30"/>
      <c r="B998" s="30"/>
      <c r="C998" s="30"/>
      <c r="D998" s="31"/>
      <c r="E998" s="31"/>
      <c r="F998" s="31"/>
      <c r="G998" s="31"/>
      <c r="H998" s="31"/>
      <c r="I998" s="54"/>
      <c r="J998" s="55"/>
      <c r="K998" s="54"/>
      <c r="L998" s="56"/>
      <c r="M998" s="56"/>
      <c r="N998" s="31"/>
      <c r="O998" s="57"/>
      <c r="P998" s="57"/>
      <c r="Q998" s="57"/>
      <c r="R998" s="57"/>
      <c r="S998" s="31"/>
      <c r="T998" s="57"/>
      <c r="U998" s="57"/>
      <c r="V998" s="57"/>
      <c r="W998" s="57"/>
      <c r="X998" s="31"/>
      <c r="Y998" s="57"/>
      <c r="Z998" s="57"/>
      <c r="AA998" s="57"/>
      <c r="AB998" s="57"/>
      <c r="AC998" s="31"/>
      <c r="AD998" s="57"/>
      <c r="AE998" s="57"/>
      <c r="AF998" s="57"/>
      <c r="AG998" s="57"/>
      <c r="AH998" s="57"/>
      <c r="AI998" s="57"/>
      <c r="AJ998" s="57"/>
      <c r="AK998" s="57"/>
      <c r="AL998" s="57"/>
      <c r="AM998" s="57"/>
      <c r="AN998" s="57"/>
      <c r="AO998" s="57"/>
      <c r="AP998" s="35"/>
      <c r="AQ998" s="57"/>
      <c r="AR998" s="36"/>
      <c r="AS998" s="57"/>
      <c r="AT998" s="37"/>
      <c r="AU998" s="30"/>
      <c r="AV998" s="30"/>
      <c r="AW998" s="30"/>
      <c r="AX998" s="30"/>
      <c r="AY998" s="30"/>
      <c r="AZ998" s="30"/>
    </row>
    <row r="999">
      <c r="A999" s="30"/>
      <c r="B999" s="30"/>
      <c r="C999" s="30"/>
      <c r="D999" s="31"/>
      <c r="E999" s="31"/>
      <c r="F999" s="31"/>
      <c r="G999" s="31"/>
      <c r="H999" s="31"/>
      <c r="I999" s="54"/>
      <c r="J999" s="55"/>
      <c r="K999" s="54"/>
      <c r="L999" s="56"/>
      <c r="M999" s="56"/>
      <c r="N999" s="31"/>
      <c r="O999" s="57"/>
      <c r="P999" s="57"/>
      <c r="Q999" s="57"/>
      <c r="R999" s="57"/>
      <c r="S999" s="31"/>
      <c r="T999" s="57"/>
      <c r="U999" s="57"/>
      <c r="V999" s="57"/>
      <c r="W999" s="57"/>
      <c r="X999" s="31"/>
      <c r="Y999" s="57"/>
      <c r="Z999" s="57"/>
      <c r="AA999" s="57"/>
      <c r="AB999" s="57"/>
      <c r="AC999" s="31"/>
      <c r="AD999" s="57"/>
      <c r="AE999" s="57"/>
      <c r="AF999" s="57"/>
      <c r="AG999" s="57"/>
      <c r="AH999" s="57"/>
      <c r="AI999" s="57"/>
      <c r="AJ999" s="57"/>
      <c r="AK999" s="57"/>
      <c r="AL999" s="57"/>
      <c r="AM999" s="57"/>
      <c r="AN999" s="57"/>
      <c r="AO999" s="57"/>
      <c r="AP999" s="35"/>
      <c r="AQ999" s="57"/>
      <c r="AR999" s="36"/>
      <c r="AS999" s="57"/>
      <c r="AT999" s="37"/>
      <c r="AU999" s="30"/>
      <c r="AV999" s="30"/>
      <c r="AW999" s="30"/>
      <c r="AX999" s="30"/>
      <c r="AY999" s="30"/>
      <c r="AZ999" s="30"/>
    </row>
    <row r="1000">
      <c r="A1000" s="30"/>
      <c r="B1000" s="30"/>
      <c r="C1000" s="30"/>
      <c r="D1000" s="31"/>
      <c r="E1000" s="31"/>
      <c r="F1000" s="31"/>
      <c r="G1000" s="31"/>
      <c r="H1000" s="31"/>
      <c r="I1000" s="54"/>
      <c r="J1000" s="55"/>
      <c r="K1000" s="54"/>
      <c r="L1000" s="56"/>
      <c r="M1000" s="56"/>
      <c r="N1000" s="31"/>
      <c r="O1000" s="57"/>
      <c r="P1000" s="57"/>
      <c r="Q1000" s="57"/>
      <c r="R1000" s="57"/>
      <c r="S1000" s="31"/>
      <c r="T1000" s="57"/>
      <c r="U1000" s="57"/>
      <c r="V1000" s="57"/>
      <c r="W1000" s="57"/>
      <c r="X1000" s="31"/>
      <c r="Y1000" s="57"/>
      <c r="Z1000" s="57"/>
      <c r="AA1000" s="57"/>
      <c r="AB1000" s="57"/>
      <c r="AC1000" s="31"/>
      <c r="AD1000" s="57"/>
      <c r="AE1000" s="57"/>
      <c r="AF1000" s="57"/>
      <c r="AG1000" s="57"/>
      <c r="AH1000" s="57"/>
      <c r="AI1000" s="57"/>
      <c r="AJ1000" s="57"/>
      <c r="AK1000" s="57"/>
      <c r="AL1000" s="57"/>
      <c r="AM1000" s="57"/>
      <c r="AN1000" s="57"/>
      <c r="AO1000" s="57"/>
      <c r="AP1000" s="35"/>
      <c r="AQ1000" s="57"/>
      <c r="AR1000" s="36"/>
      <c r="AS1000" s="57"/>
      <c r="AT1000" s="37"/>
      <c r="AU1000" s="30"/>
      <c r="AV1000" s="30"/>
      <c r="AW1000" s="30"/>
      <c r="AX1000" s="30"/>
      <c r="AY1000" s="30"/>
      <c r="AZ1000" s="30"/>
    </row>
    <row r="1001">
      <c r="A1001" s="30"/>
      <c r="B1001" s="30"/>
      <c r="C1001" s="30"/>
      <c r="D1001" s="31"/>
      <c r="E1001" s="31"/>
      <c r="F1001" s="31"/>
      <c r="G1001" s="31"/>
      <c r="H1001" s="31"/>
      <c r="I1001" s="54"/>
      <c r="J1001" s="55"/>
      <c r="K1001" s="54"/>
      <c r="L1001" s="56"/>
      <c r="M1001" s="56"/>
      <c r="N1001" s="31"/>
      <c r="O1001" s="57"/>
      <c r="P1001" s="57"/>
      <c r="Q1001" s="57"/>
      <c r="R1001" s="57"/>
      <c r="S1001" s="31"/>
      <c r="T1001" s="57"/>
      <c r="U1001" s="57"/>
      <c r="V1001" s="57"/>
      <c r="W1001" s="57"/>
      <c r="X1001" s="31"/>
      <c r="Y1001" s="57"/>
      <c r="Z1001" s="57"/>
      <c r="AA1001" s="57"/>
      <c r="AB1001" s="57"/>
      <c r="AC1001" s="31"/>
      <c r="AD1001" s="57"/>
      <c r="AE1001" s="57"/>
      <c r="AF1001" s="57"/>
      <c r="AG1001" s="57"/>
      <c r="AH1001" s="57"/>
      <c r="AI1001" s="57"/>
      <c r="AJ1001" s="57"/>
      <c r="AK1001" s="57"/>
      <c r="AL1001" s="57"/>
      <c r="AM1001" s="57"/>
      <c r="AN1001" s="57"/>
      <c r="AO1001" s="57"/>
      <c r="AP1001" s="35"/>
      <c r="AQ1001" s="57"/>
      <c r="AR1001" s="36"/>
      <c r="AS1001" s="57"/>
      <c r="AT1001" s="37"/>
      <c r="AU1001" s="30"/>
      <c r="AV1001" s="30"/>
      <c r="AW1001" s="30"/>
      <c r="AX1001" s="30"/>
      <c r="AY1001" s="30"/>
      <c r="AZ1001" s="30"/>
    </row>
    <row r="1002">
      <c r="A1002" s="30"/>
      <c r="B1002" s="30"/>
      <c r="C1002" s="30"/>
      <c r="D1002" s="31"/>
      <c r="E1002" s="31"/>
      <c r="F1002" s="31"/>
      <c r="G1002" s="31"/>
      <c r="H1002" s="31"/>
      <c r="I1002" s="54"/>
      <c r="J1002" s="55"/>
      <c r="K1002" s="54"/>
      <c r="L1002" s="56"/>
      <c r="M1002" s="56"/>
      <c r="N1002" s="31"/>
      <c r="O1002" s="57"/>
      <c r="P1002" s="57"/>
      <c r="Q1002" s="57"/>
      <c r="R1002" s="57"/>
      <c r="S1002" s="31"/>
      <c r="T1002" s="57"/>
      <c r="U1002" s="57"/>
      <c r="V1002" s="57"/>
      <c r="W1002" s="57"/>
      <c r="X1002" s="31"/>
      <c r="Y1002" s="57"/>
      <c r="Z1002" s="57"/>
      <c r="AA1002" s="57"/>
      <c r="AB1002" s="57"/>
      <c r="AC1002" s="31"/>
      <c r="AD1002" s="57"/>
      <c r="AE1002" s="57"/>
      <c r="AF1002" s="57"/>
      <c r="AG1002" s="57"/>
      <c r="AH1002" s="57"/>
      <c r="AI1002" s="57"/>
      <c r="AJ1002" s="57"/>
      <c r="AK1002" s="57"/>
      <c r="AL1002" s="57"/>
      <c r="AM1002" s="57"/>
      <c r="AN1002" s="57"/>
      <c r="AO1002" s="57"/>
      <c r="AP1002" s="35"/>
      <c r="AQ1002" s="57"/>
      <c r="AR1002" s="36"/>
      <c r="AS1002" s="57"/>
      <c r="AT1002" s="37"/>
      <c r="AU1002" s="30"/>
      <c r="AV1002" s="30"/>
      <c r="AW1002" s="30"/>
      <c r="AX1002" s="30"/>
      <c r="AY1002" s="30"/>
      <c r="AZ1002" s="30"/>
    </row>
    <row r="1003">
      <c r="A1003" s="30"/>
      <c r="B1003" s="30"/>
      <c r="C1003" s="30"/>
      <c r="D1003" s="31"/>
      <c r="E1003" s="31"/>
      <c r="F1003" s="31"/>
      <c r="G1003" s="31"/>
      <c r="H1003" s="31"/>
      <c r="I1003" s="54"/>
      <c r="J1003" s="55"/>
      <c r="K1003" s="54"/>
      <c r="L1003" s="56"/>
      <c r="M1003" s="56"/>
      <c r="N1003" s="31"/>
      <c r="O1003" s="57"/>
      <c r="P1003" s="57"/>
      <c r="Q1003" s="57"/>
      <c r="R1003" s="57"/>
      <c r="S1003" s="31"/>
      <c r="T1003" s="57"/>
      <c r="U1003" s="57"/>
      <c r="V1003" s="57"/>
      <c r="W1003" s="57"/>
      <c r="X1003" s="31"/>
      <c r="Y1003" s="57"/>
      <c r="Z1003" s="57"/>
      <c r="AA1003" s="57"/>
      <c r="AB1003" s="57"/>
      <c r="AC1003" s="31"/>
      <c r="AD1003" s="57"/>
      <c r="AE1003" s="57"/>
      <c r="AF1003" s="57"/>
      <c r="AG1003" s="57"/>
      <c r="AH1003" s="57"/>
      <c r="AI1003" s="57"/>
      <c r="AJ1003" s="57"/>
      <c r="AK1003" s="57"/>
      <c r="AL1003" s="57"/>
      <c r="AM1003" s="57"/>
      <c r="AN1003" s="57"/>
      <c r="AO1003" s="57"/>
      <c r="AP1003" s="35"/>
      <c r="AQ1003" s="57"/>
      <c r="AR1003" s="36"/>
      <c r="AS1003" s="57"/>
      <c r="AT1003" s="37"/>
      <c r="AU1003" s="30"/>
      <c r="AV1003" s="30"/>
      <c r="AW1003" s="30"/>
      <c r="AX1003" s="30"/>
      <c r="AY1003" s="30"/>
      <c r="AZ1003" s="30"/>
    </row>
    <row r="1004">
      <c r="A1004" s="30"/>
      <c r="B1004" s="30"/>
      <c r="C1004" s="30"/>
      <c r="D1004" s="31"/>
      <c r="E1004" s="31"/>
      <c r="F1004" s="31"/>
      <c r="G1004" s="31"/>
      <c r="H1004" s="31"/>
      <c r="I1004" s="54"/>
      <c r="J1004" s="55"/>
      <c r="K1004" s="54"/>
      <c r="L1004" s="56"/>
      <c r="M1004" s="56"/>
      <c r="N1004" s="31"/>
      <c r="O1004" s="57"/>
      <c r="P1004" s="57"/>
      <c r="Q1004" s="57"/>
      <c r="R1004" s="57"/>
      <c r="S1004" s="31"/>
      <c r="T1004" s="57"/>
      <c r="U1004" s="57"/>
      <c r="V1004" s="57"/>
      <c r="W1004" s="57"/>
      <c r="X1004" s="31"/>
      <c r="Y1004" s="57"/>
      <c r="Z1004" s="57"/>
      <c r="AA1004" s="57"/>
      <c r="AB1004" s="57"/>
      <c r="AC1004" s="31"/>
      <c r="AD1004" s="57"/>
      <c r="AE1004" s="57"/>
      <c r="AF1004" s="57"/>
      <c r="AG1004" s="57"/>
      <c r="AH1004" s="57"/>
      <c r="AI1004" s="57"/>
      <c r="AJ1004" s="57"/>
      <c r="AK1004" s="57"/>
      <c r="AL1004" s="57"/>
      <c r="AM1004" s="57"/>
      <c r="AN1004" s="57"/>
      <c r="AO1004" s="57"/>
      <c r="AP1004" s="35"/>
      <c r="AQ1004" s="57"/>
      <c r="AR1004" s="36"/>
      <c r="AS1004" s="57"/>
      <c r="AT1004" s="37"/>
      <c r="AU1004" s="30"/>
      <c r="AV1004" s="30"/>
      <c r="AW1004" s="30"/>
      <c r="AX1004" s="30"/>
      <c r="AY1004" s="30"/>
      <c r="AZ1004" s="30"/>
    </row>
    <row r="1005">
      <c r="A1005" s="30"/>
      <c r="B1005" s="30"/>
      <c r="C1005" s="30"/>
      <c r="D1005" s="31"/>
      <c r="E1005" s="31"/>
      <c r="F1005" s="31"/>
      <c r="G1005" s="31"/>
      <c r="H1005" s="31"/>
      <c r="I1005" s="54"/>
      <c r="J1005" s="55"/>
      <c r="K1005" s="54"/>
      <c r="L1005" s="56"/>
      <c r="M1005" s="56"/>
      <c r="N1005" s="31"/>
      <c r="O1005" s="57"/>
      <c r="P1005" s="57"/>
      <c r="Q1005" s="57"/>
      <c r="R1005" s="57"/>
      <c r="S1005" s="31"/>
      <c r="T1005" s="57"/>
      <c r="U1005" s="57"/>
      <c r="V1005" s="57"/>
      <c r="W1005" s="57"/>
      <c r="X1005" s="31"/>
      <c r="Y1005" s="57"/>
      <c r="Z1005" s="57"/>
      <c r="AA1005" s="57"/>
      <c r="AB1005" s="57"/>
      <c r="AC1005" s="31"/>
      <c r="AD1005" s="57"/>
      <c r="AE1005" s="57"/>
      <c r="AF1005" s="57"/>
      <c r="AG1005" s="57"/>
      <c r="AH1005" s="57"/>
      <c r="AI1005" s="57"/>
      <c r="AJ1005" s="57"/>
      <c r="AK1005" s="57"/>
      <c r="AL1005" s="57"/>
      <c r="AM1005" s="57"/>
      <c r="AN1005" s="57"/>
      <c r="AO1005" s="57"/>
      <c r="AP1005" s="35"/>
      <c r="AQ1005" s="57"/>
      <c r="AR1005" s="36"/>
      <c r="AS1005" s="57"/>
      <c r="AT1005" s="37"/>
      <c r="AU1005" s="30"/>
      <c r="AV1005" s="30"/>
      <c r="AW1005" s="30"/>
      <c r="AX1005" s="30"/>
      <c r="AY1005" s="30"/>
      <c r="AZ1005" s="30"/>
    </row>
    <row r="1006">
      <c r="A1006" s="30"/>
      <c r="B1006" s="30"/>
      <c r="C1006" s="30"/>
      <c r="D1006" s="31"/>
      <c r="E1006" s="31"/>
      <c r="F1006" s="31"/>
      <c r="G1006" s="31"/>
      <c r="H1006" s="31"/>
      <c r="I1006" s="54"/>
      <c r="J1006" s="55"/>
      <c r="K1006" s="54"/>
      <c r="L1006" s="56"/>
      <c r="M1006" s="56"/>
      <c r="N1006" s="31"/>
      <c r="O1006" s="57"/>
      <c r="P1006" s="57"/>
      <c r="Q1006" s="57"/>
      <c r="R1006" s="57"/>
      <c r="S1006" s="31"/>
      <c r="T1006" s="57"/>
      <c r="U1006" s="57"/>
      <c r="V1006" s="57"/>
      <c r="W1006" s="57"/>
      <c r="X1006" s="31"/>
      <c r="Y1006" s="57"/>
      <c r="Z1006" s="57"/>
      <c r="AA1006" s="57"/>
      <c r="AB1006" s="57"/>
      <c r="AC1006" s="31"/>
      <c r="AD1006" s="57"/>
      <c r="AE1006" s="57"/>
      <c r="AF1006" s="57"/>
      <c r="AG1006" s="57"/>
      <c r="AH1006" s="57"/>
      <c r="AI1006" s="57"/>
      <c r="AJ1006" s="57"/>
      <c r="AK1006" s="57"/>
      <c r="AL1006" s="57"/>
      <c r="AM1006" s="57"/>
      <c r="AN1006" s="57"/>
      <c r="AO1006" s="57"/>
      <c r="AP1006" s="35"/>
      <c r="AQ1006" s="57"/>
      <c r="AR1006" s="36"/>
      <c r="AS1006" s="57"/>
      <c r="AT1006" s="37"/>
      <c r="AU1006" s="30"/>
      <c r="AV1006" s="30"/>
      <c r="AW1006" s="30"/>
      <c r="AX1006" s="30"/>
      <c r="AY1006" s="30"/>
      <c r="AZ1006" s="30"/>
    </row>
    <row r="1007">
      <c r="A1007" s="30"/>
      <c r="B1007" s="30"/>
      <c r="C1007" s="30"/>
      <c r="D1007" s="31"/>
      <c r="E1007" s="31"/>
      <c r="F1007" s="31"/>
      <c r="G1007" s="31"/>
      <c r="H1007" s="31"/>
      <c r="I1007" s="54"/>
      <c r="J1007" s="55"/>
      <c r="K1007" s="54"/>
      <c r="L1007" s="56"/>
      <c r="M1007" s="56"/>
      <c r="N1007" s="31"/>
      <c r="O1007" s="57"/>
      <c r="P1007" s="57"/>
      <c r="Q1007" s="57"/>
      <c r="R1007" s="57"/>
      <c r="S1007" s="31"/>
      <c r="T1007" s="57"/>
      <c r="U1007" s="57"/>
      <c r="V1007" s="57"/>
      <c r="W1007" s="57"/>
      <c r="X1007" s="31"/>
      <c r="Y1007" s="57"/>
      <c r="Z1007" s="57"/>
      <c r="AA1007" s="57"/>
      <c r="AB1007" s="57"/>
      <c r="AC1007" s="31"/>
      <c r="AD1007" s="57"/>
      <c r="AE1007" s="57"/>
      <c r="AF1007" s="57"/>
      <c r="AG1007" s="57"/>
      <c r="AH1007" s="57"/>
      <c r="AI1007" s="57"/>
      <c r="AJ1007" s="57"/>
      <c r="AK1007" s="57"/>
      <c r="AL1007" s="57"/>
      <c r="AM1007" s="57"/>
      <c r="AN1007" s="57"/>
      <c r="AO1007" s="57"/>
      <c r="AP1007" s="35"/>
      <c r="AQ1007" s="57"/>
      <c r="AR1007" s="36"/>
      <c r="AS1007" s="57"/>
      <c r="AT1007" s="37"/>
      <c r="AU1007" s="30"/>
      <c r="AV1007" s="30"/>
      <c r="AW1007" s="30"/>
      <c r="AX1007" s="30"/>
      <c r="AY1007" s="30"/>
      <c r="AZ1007" s="30"/>
    </row>
    <row r="1008">
      <c r="A1008" s="30"/>
      <c r="B1008" s="30"/>
      <c r="C1008" s="30"/>
      <c r="D1008" s="31"/>
      <c r="E1008" s="31"/>
      <c r="F1008" s="31"/>
      <c r="G1008" s="31"/>
      <c r="H1008" s="31"/>
      <c r="I1008" s="54"/>
      <c r="J1008" s="55"/>
      <c r="K1008" s="54"/>
      <c r="L1008" s="56"/>
      <c r="M1008" s="56"/>
      <c r="N1008" s="31"/>
      <c r="O1008" s="57"/>
      <c r="P1008" s="57"/>
      <c r="Q1008" s="57"/>
      <c r="R1008" s="57"/>
      <c r="S1008" s="31"/>
      <c r="T1008" s="57"/>
      <c r="U1008" s="57"/>
      <c r="V1008" s="57"/>
      <c r="W1008" s="57"/>
      <c r="X1008" s="31"/>
      <c r="Y1008" s="57"/>
      <c r="Z1008" s="57"/>
      <c r="AA1008" s="57"/>
      <c r="AB1008" s="57"/>
      <c r="AC1008" s="31"/>
      <c r="AD1008" s="57"/>
      <c r="AE1008" s="57"/>
      <c r="AF1008" s="57"/>
      <c r="AG1008" s="57"/>
      <c r="AH1008" s="57"/>
      <c r="AI1008" s="57"/>
      <c r="AJ1008" s="57"/>
      <c r="AK1008" s="57"/>
      <c r="AL1008" s="57"/>
      <c r="AM1008" s="57"/>
      <c r="AN1008" s="57"/>
      <c r="AO1008" s="57"/>
      <c r="AP1008" s="35"/>
      <c r="AQ1008" s="57"/>
      <c r="AR1008" s="36"/>
      <c r="AS1008" s="57"/>
      <c r="AT1008" s="37"/>
      <c r="AU1008" s="30"/>
      <c r="AV1008" s="30"/>
      <c r="AW1008" s="30"/>
      <c r="AX1008" s="30"/>
      <c r="AY1008" s="30"/>
      <c r="AZ1008" s="30"/>
    </row>
    <row r="1009">
      <c r="A1009" s="30"/>
      <c r="B1009" s="30"/>
      <c r="C1009" s="30"/>
      <c r="D1009" s="31"/>
      <c r="E1009" s="31"/>
      <c r="F1009" s="31"/>
      <c r="G1009" s="31"/>
      <c r="H1009" s="31"/>
      <c r="I1009" s="54"/>
      <c r="J1009" s="55"/>
      <c r="K1009" s="54"/>
      <c r="L1009" s="56"/>
      <c r="M1009" s="56"/>
      <c r="N1009" s="31"/>
      <c r="O1009" s="57"/>
      <c r="P1009" s="57"/>
      <c r="Q1009" s="57"/>
      <c r="R1009" s="57"/>
      <c r="S1009" s="31"/>
      <c r="T1009" s="57"/>
      <c r="U1009" s="57"/>
      <c r="V1009" s="57"/>
      <c r="W1009" s="57"/>
      <c r="X1009" s="31"/>
      <c r="Y1009" s="57"/>
      <c r="Z1009" s="57"/>
      <c r="AA1009" s="57"/>
      <c r="AB1009" s="57"/>
      <c r="AC1009" s="31"/>
      <c r="AD1009" s="57"/>
      <c r="AE1009" s="57"/>
      <c r="AF1009" s="57"/>
      <c r="AG1009" s="57"/>
      <c r="AH1009" s="57"/>
      <c r="AI1009" s="57"/>
      <c r="AJ1009" s="57"/>
      <c r="AK1009" s="57"/>
      <c r="AL1009" s="57"/>
      <c r="AM1009" s="57"/>
      <c r="AN1009" s="57"/>
      <c r="AO1009" s="57"/>
      <c r="AP1009" s="35"/>
      <c r="AQ1009" s="57"/>
      <c r="AR1009" s="36"/>
      <c r="AS1009" s="57"/>
      <c r="AT1009" s="37"/>
      <c r="AU1009" s="30"/>
      <c r="AV1009" s="30"/>
      <c r="AW1009" s="30"/>
      <c r="AX1009" s="30"/>
      <c r="AY1009" s="30"/>
      <c r="AZ1009" s="30"/>
    </row>
    <row r="1010">
      <c r="A1010" s="30"/>
      <c r="B1010" s="30"/>
      <c r="C1010" s="30"/>
      <c r="D1010" s="31"/>
      <c r="E1010" s="31"/>
      <c r="F1010" s="31"/>
      <c r="G1010" s="31"/>
      <c r="H1010" s="31"/>
      <c r="I1010" s="54"/>
      <c r="J1010" s="55"/>
      <c r="K1010" s="54"/>
      <c r="L1010" s="56"/>
      <c r="M1010" s="56"/>
      <c r="N1010" s="31"/>
      <c r="O1010" s="57"/>
      <c r="P1010" s="57"/>
      <c r="Q1010" s="57"/>
      <c r="R1010" s="57"/>
      <c r="S1010" s="31"/>
      <c r="T1010" s="57"/>
      <c r="U1010" s="57"/>
      <c r="V1010" s="57"/>
      <c r="W1010" s="57"/>
      <c r="X1010" s="31"/>
      <c r="Y1010" s="57"/>
      <c r="Z1010" s="57"/>
      <c r="AA1010" s="57"/>
      <c r="AB1010" s="57"/>
      <c r="AC1010" s="31"/>
      <c r="AD1010" s="57"/>
      <c r="AE1010" s="57"/>
      <c r="AF1010" s="57"/>
      <c r="AG1010" s="57"/>
      <c r="AH1010" s="57"/>
      <c r="AI1010" s="57"/>
      <c r="AJ1010" s="57"/>
      <c r="AK1010" s="57"/>
      <c r="AL1010" s="57"/>
      <c r="AM1010" s="57"/>
      <c r="AN1010" s="57"/>
      <c r="AO1010" s="57"/>
      <c r="AP1010" s="35"/>
      <c r="AQ1010" s="57"/>
      <c r="AR1010" s="36"/>
      <c r="AS1010" s="57"/>
      <c r="AT1010" s="37"/>
      <c r="AU1010" s="30"/>
      <c r="AV1010" s="30"/>
      <c r="AW1010" s="30"/>
      <c r="AX1010" s="30"/>
      <c r="AY1010" s="30"/>
      <c r="AZ1010" s="30"/>
    </row>
    <row r="1011">
      <c r="A1011" s="30"/>
      <c r="B1011" s="30"/>
      <c r="C1011" s="30"/>
      <c r="D1011" s="31"/>
      <c r="E1011" s="31"/>
      <c r="F1011" s="31"/>
      <c r="G1011" s="31"/>
      <c r="H1011" s="31"/>
      <c r="I1011" s="54"/>
      <c r="J1011" s="55"/>
      <c r="K1011" s="54"/>
      <c r="L1011" s="56"/>
      <c r="M1011" s="56"/>
      <c r="N1011" s="31"/>
      <c r="O1011" s="57"/>
      <c r="P1011" s="57"/>
      <c r="Q1011" s="57"/>
      <c r="R1011" s="57"/>
      <c r="S1011" s="31"/>
      <c r="T1011" s="57"/>
      <c r="U1011" s="57"/>
      <c r="V1011" s="57"/>
      <c r="W1011" s="57"/>
      <c r="X1011" s="31"/>
      <c r="Y1011" s="57"/>
      <c r="Z1011" s="57"/>
      <c r="AA1011" s="57"/>
      <c r="AB1011" s="57"/>
      <c r="AC1011" s="31"/>
      <c r="AD1011" s="57"/>
      <c r="AE1011" s="57"/>
      <c r="AF1011" s="57"/>
      <c r="AG1011" s="57"/>
      <c r="AH1011" s="57"/>
      <c r="AI1011" s="57"/>
      <c r="AJ1011" s="57"/>
      <c r="AK1011" s="57"/>
      <c r="AL1011" s="57"/>
      <c r="AM1011" s="57"/>
      <c r="AN1011" s="57"/>
      <c r="AO1011" s="57"/>
      <c r="AP1011" s="35"/>
      <c r="AQ1011" s="57"/>
      <c r="AR1011" s="36"/>
      <c r="AS1011" s="57"/>
      <c r="AT1011" s="37"/>
      <c r="AU1011" s="30"/>
      <c r="AV1011" s="30"/>
      <c r="AW1011" s="30"/>
      <c r="AX1011" s="30"/>
      <c r="AY1011" s="30"/>
      <c r="AZ1011" s="30"/>
    </row>
    <row r="1012">
      <c r="A1012" s="30"/>
      <c r="B1012" s="30"/>
      <c r="C1012" s="30"/>
      <c r="D1012" s="31"/>
      <c r="E1012" s="31"/>
      <c r="F1012" s="31"/>
      <c r="G1012" s="31"/>
      <c r="H1012" s="31"/>
      <c r="I1012" s="54"/>
      <c r="J1012" s="55"/>
      <c r="K1012" s="54"/>
      <c r="L1012" s="56"/>
      <c r="M1012" s="56"/>
      <c r="N1012" s="31"/>
      <c r="O1012" s="57"/>
      <c r="P1012" s="57"/>
      <c r="Q1012" s="57"/>
      <c r="R1012" s="57"/>
      <c r="S1012" s="31"/>
      <c r="T1012" s="57"/>
      <c r="U1012" s="57"/>
      <c r="V1012" s="57"/>
      <c r="W1012" s="57"/>
      <c r="X1012" s="31"/>
      <c r="Y1012" s="57"/>
      <c r="Z1012" s="57"/>
      <c r="AA1012" s="57"/>
      <c r="AB1012" s="57"/>
      <c r="AC1012" s="31"/>
      <c r="AD1012" s="57"/>
      <c r="AE1012" s="57"/>
      <c r="AF1012" s="57"/>
      <c r="AG1012" s="57"/>
      <c r="AH1012" s="57"/>
      <c r="AI1012" s="57"/>
      <c r="AJ1012" s="57"/>
      <c r="AK1012" s="57"/>
      <c r="AL1012" s="57"/>
      <c r="AM1012" s="57"/>
      <c r="AN1012" s="57"/>
      <c r="AO1012" s="57"/>
      <c r="AP1012" s="35"/>
      <c r="AQ1012" s="57"/>
      <c r="AR1012" s="36"/>
      <c r="AS1012" s="57"/>
      <c r="AT1012" s="37"/>
      <c r="AU1012" s="30"/>
      <c r="AV1012" s="30"/>
      <c r="AW1012" s="30"/>
      <c r="AX1012" s="30"/>
      <c r="AY1012" s="30"/>
      <c r="AZ1012" s="30"/>
    </row>
    <row r="1013">
      <c r="A1013" s="30"/>
      <c r="B1013" s="30"/>
      <c r="C1013" s="30"/>
      <c r="D1013" s="31"/>
      <c r="E1013" s="31"/>
      <c r="F1013" s="31"/>
      <c r="G1013" s="31"/>
      <c r="H1013" s="31"/>
      <c r="I1013" s="54"/>
      <c r="J1013" s="55"/>
      <c r="K1013" s="54"/>
      <c r="L1013" s="56"/>
      <c r="M1013" s="56"/>
      <c r="N1013" s="31"/>
      <c r="O1013" s="57"/>
      <c r="P1013" s="57"/>
      <c r="Q1013" s="57"/>
      <c r="R1013" s="57"/>
      <c r="S1013" s="31"/>
      <c r="T1013" s="57"/>
      <c r="U1013" s="57"/>
      <c r="V1013" s="57"/>
      <c r="W1013" s="57"/>
      <c r="X1013" s="31"/>
      <c r="Y1013" s="57"/>
      <c r="Z1013" s="57"/>
      <c r="AA1013" s="57"/>
      <c r="AB1013" s="57"/>
      <c r="AC1013" s="31"/>
      <c r="AD1013" s="57"/>
      <c r="AE1013" s="57"/>
      <c r="AF1013" s="57"/>
      <c r="AG1013" s="57"/>
      <c r="AH1013" s="57"/>
      <c r="AI1013" s="57"/>
      <c r="AJ1013" s="57"/>
      <c r="AK1013" s="57"/>
      <c r="AL1013" s="57"/>
      <c r="AM1013" s="57"/>
      <c r="AN1013" s="57"/>
      <c r="AO1013" s="57"/>
      <c r="AP1013" s="35"/>
      <c r="AQ1013" s="57"/>
      <c r="AR1013" s="36"/>
      <c r="AS1013" s="57"/>
      <c r="AT1013" s="37"/>
      <c r="AU1013" s="30"/>
      <c r="AV1013" s="30"/>
      <c r="AW1013" s="30"/>
      <c r="AX1013" s="30"/>
      <c r="AY1013" s="30"/>
      <c r="AZ1013" s="30"/>
    </row>
    <row r="1014">
      <c r="A1014" s="30"/>
      <c r="B1014" s="30"/>
      <c r="C1014" s="30"/>
      <c r="D1014" s="31"/>
      <c r="E1014" s="31"/>
      <c r="F1014" s="31"/>
      <c r="G1014" s="31"/>
      <c r="H1014" s="31"/>
      <c r="I1014" s="54"/>
      <c r="J1014" s="55"/>
      <c r="K1014" s="54"/>
      <c r="L1014" s="56"/>
      <c r="M1014" s="56"/>
      <c r="N1014" s="31"/>
      <c r="O1014" s="57"/>
      <c r="P1014" s="57"/>
      <c r="Q1014" s="57"/>
      <c r="R1014" s="57"/>
      <c r="S1014" s="31"/>
      <c r="T1014" s="57"/>
      <c r="U1014" s="57"/>
      <c r="V1014" s="57"/>
      <c r="W1014" s="57"/>
      <c r="X1014" s="31"/>
      <c r="Y1014" s="57"/>
      <c r="Z1014" s="57"/>
      <c r="AA1014" s="57"/>
      <c r="AB1014" s="57"/>
      <c r="AC1014" s="31"/>
      <c r="AD1014" s="57"/>
      <c r="AE1014" s="57"/>
      <c r="AF1014" s="57"/>
      <c r="AG1014" s="57"/>
      <c r="AH1014" s="57"/>
      <c r="AI1014" s="57"/>
      <c r="AJ1014" s="57"/>
      <c r="AK1014" s="57"/>
      <c r="AL1014" s="57"/>
      <c r="AM1014" s="57"/>
      <c r="AN1014" s="57"/>
      <c r="AO1014" s="57"/>
      <c r="AP1014" s="35"/>
      <c r="AQ1014" s="57"/>
      <c r="AR1014" s="36"/>
      <c r="AS1014" s="57"/>
      <c r="AT1014" s="37"/>
      <c r="AU1014" s="30"/>
      <c r="AV1014" s="30"/>
      <c r="AW1014" s="30"/>
      <c r="AX1014" s="30"/>
      <c r="AY1014" s="30"/>
      <c r="AZ1014" s="30"/>
    </row>
    <row r="1015">
      <c r="A1015" s="30"/>
      <c r="B1015" s="30"/>
      <c r="C1015" s="30"/>
      <c r="D1015" s="31"/>
      <c r="E1015" s="31"/>
      <c r="F1015" s="31"/>
      <c r="G1015" s="31"/>
      <c r="H1015" s="31"/>
      <c r="I1015" s="54"/>
      <c r="J1015" s="55"/>
      <c r="K1015" s="54"/>
      <c r="L1015" s="56"/>
      <c r="M1015" s="56"/>
      <c r="N1015" s="31"/>
      <c r="O1015" s="57"/>
      <c r="P1015" s="57"/>
      <c r="Q1015" s="57"/>
      <c r="R1015" s="57"/>
      <c r="S1015" s="31"/>
      <c r="T1015" s="57"/>
      <c r="U1015" s="57"/>
      <c r="V1015" s="57"/>
      <c r="W1015" s="57"/>
      <c r="X1015" s="31"/>
      <c r="Y1015" s="57"/>
      <c r="Z1015" s="57"/>
      <c r="AA1015" s="57"/>
      <c r="AB1015" s="57"/>
      <c r="AC1015" s="31"/>
      <c r="AD1015" s="57"/>
      <c r="AE1015" s="57"/>
      <c r="AF1015" s="57"/>
      <c r="AG1015" s="57"/>
      <c r="AH1015" s="57"/>
      <c r="AI1015" s="57"/>
      <c r="AJ1015" s="57"/>
      <c r="AK1015" s="57"/>
      <c r="AL1015" s="57"/>
      <c r="AM1015" s="57"/>
      <c r="AN1015" s="57"/>
      <c r="AO1015" s="57"/>
      <c r="AP1015" s="35"/>
      <c r="AQ1015" s="57"/>
      <c r="AR1015" s="36"/>
      <c r="AS1015" s="57"/>
      <c r="AT1015" s="37"/>
      <c r="AU1015" s="30"/>
      <c r="AV1015" s="30"/>
      <c r="AW1015" s="30"/>
      <c r="AX1015" s="30"/>
      <c r="AY1015" s="30"/>
      <c r="AZ1015" s="30"/>
    </row>
    <row r="1016">
      <c r="A1016" s="30"/>
      <c r="B1016" s="30"/>
      <c r="C1016" s="30"/>
      <c r="D1016" s="31"/>
      <c r="E1016" s="31"/>
      <c r="F1016" s="31"/>
      <c r="G1016" s="31"/>
      <c r="H1016" s="31"/>
      <c r="I1016" s="54"/>
      <c r="J1016" s="55"/>
      <c r="K1016" s="54"/>
      <c r="L1016" s="56"/>
      <c r="M1016" s="56"/>
      <c r="N1016" s="31"/>
      <c r="O1016" s="57"/>
      <c r="P1016" s="57"/>
      <c r="Q1016" s="57"/>
      <c r="R1016" s="57"/>
      <c r="S1016" s="31"/>
      <c r="T1016" s="57"/>
      <c r="U1016" s="57"/>
      <c r="V1016" s="57"/>
      <c r="W1016" s="57"/>
      <c r="X1016" s="31"/>
      <c r="Y1016" s="57"/>
      <c r="Z1016" s="57"/>
      <c r="AA1016" s="57"/>
      <c r="AB1016" s="57"/>
      <c r="AC1016" s="31"/>
      <c r="AD1016" s="57"/>
      <c r="AE1016" s="57"/>
      <c r="AF1016" s="57"/>
      <c r="AG1016" s="57"/>
      <c r="AH1016" s="57"/>
      <c r="AI1016" s="57"/>
      <c r="AJ1016" s="57"/>
      <c r="AK1016" s="57"/>
      <c r="AL1016" s="57"/>
      <c r="AM1016" s="57"/>
      <c r="AN1016" s="57"/>
      <c r="AO1016" s="57"/>
      <c r="AP1016" s="35"/>
      <c r="AQ1016" s="57"/>
      <c r="AR1016" s="36"/>
      <c r="AS1016" s="57"/>
      <c r="AT1016" s="37"/>
      <c r="AU1016" s="30"/>
      <c r="AV1016" s="30"/>
      <c r="AW1016" s="30"/>
      <c r="AX1016" s="30"/>
      <c r="AY1016" s="30"/>
      <c r="AZ1016" s="30"/>
    </row>
    <row r="1017">
      <c r="A1017" s="30"/>
      <c r="B1017" s="30"/>
      <c r="C1017" s="30"/>
      <c r="D1017" s="31"/>
      <c r="E1017" s="31"/>
      <c r="F1017" s="31"/>
      <c r="G1017" s="31"/>
      <c r="H1017" s="31"/>
      <c r="I1017" s="54"/>
      <c r="J1017" s="55"/>
      <c r="K1017" s="54"/>
      <c r="L1017" s="56"/>
      <c r="M1017" s="56"/>
      <c r="N1017" s="31"/>
      <c r="O1017" s="57"/>
      <c r="P1017" s="57"/>
      <c r="Q1017" s="57"/>
      <c r="R1017" s="57"/>
      <c r="S1017" s="31"/>
      <c r="T1017" s="57"/>
      <c r="U1017" s="57"/>
      <c r="V1017" s="57"/>
      <c r="W1017" s="57"/>
      <c r="X1017" s="31"/>
      <c r="Y1017" s="57"/>
      <c r="Z1017" s="57"/>
      <c r="AA1017" s="57"/>
      <c r="AB1017" s="57"/>
      <c r="AC1017" s="31"/>
      <c r="AD1017" s="57"/>
      <c r="AE1017" s="57"/>
      <c r="AF1017" s="57"/>
      <c r="AG1017" s="57"/>
      <c r="AH1017" s="57"/>
      <c r="AI1017" s="57"/>
      <c r="AJ1017" s="57"/>
      <c r="AK1017" s="57"/>
      <c r="AL1017" s="57"/>
      <c r="AM1017" s="57"/>
      <c r="AN1017" s="57"/>
      <c r="AO1017" s="57"/>
      <c r="AP1017" s="35"/>
      <c r="AQ1017" s="57"/>
      <c r="AR1017" s="36"/>
      <c r="AS1017" s="57"/>
      <c r="AT1017" s="37"/>
      <c r="AU1017" s="30"/>
      <c r="AV1017" s="30"/>
      <c r="AW1017" s="30"/>
      <c r="AX1017" s="30"/>
      <c r="AY1017" s="30"/>
      <c r="AZ1017" s="30"/>
    </row>
    <row r="1018">
      <c r="A1018" s="30"/>
      <c r="B1018" s="30"/>
      <c r="C1018" s="30"/>
      <c r="D1018" s="31"/>
      <c r="E1018" s="31"/>
      <c r="F1018" s="31"/>
      <c r="G1018" s="31"/>
      <c r="H1018" s="31"/>
      <c r="I1018" s="54"/>
      <c r="J1018" s="55"/>
      <c r="K1018" s="54"/>
      <c r="L1018" s="56"/>
      <c r="M1018" s="56"/>
      <c r="N1018" s="31"/>
      <c r="O1018" s="57"/>
      <c r="P1018" s="57"/>
      <c r="Q1018" s="57"/>
      <c r="R1018" s="57"/>
      <c r="S1018" s="31"/>
      <c r="T1018" s="57"/>
      <c r="U1018" s="57"/>
      <c r="V1018" s="57"/>
      <c r="W1018" s="57"/>
      <c r="X1018" s="31"/>
      <c r="Y1018" s="57"/>
      <c r="Z1018" s="57"/>
      <c r="AA1018" s="57"/>
      <c r="AB1018" s="57"/>
      <c r="AC1018" s="31"/>
      <c r="AD1018" s="57"/>
      <c r="AE1018" s="57"/>
      <c r="AF1018" s="57"/>
      <c r="AG1018" s="57"/>
      <c r="AH1018" s="57"/>
      <c r="AI1018" s="57"/>
      <c r="AJ1018" s="57"/>
      <c r="AK1018" s="57"/>
      <c r="AL1018" s="57"/>
      <c r="AM1018" s="57"/>
      <c r="AN1018" s="57"/>
      <c r="AO1018" s="57"/>
      <c r="AP1018" s="35"/>
      <c r="AQ1018" s="57"/>
      <c r="AR1018" s="36"/>
      <c r="AS1018" s="57"/>
      <c r="AT1018" s="37"/>
      <c r="AU1018" s="30"/>
      <c r="AV1018" s="30"/>
      <c r="AW1018" s="30"/>
      <c r="AX1018" s="30"/>
      <c r="AY1018" s="30"/>
      <c r="AZ1018" s="30"/>
    </row>
    <row r="1019">
      <c r="A1019" s="30"/>
      <c r="B1019" s="30"/>
      <c r="C1019" s="30"/>
      <c r="D1019" s="31"/>
      <c r="E1019" s="31"/>
      <c r="F1019" s="31"/>
      <c r="G1019" s="31"/>
      <c r="H1019" s="31"/>
      <c r="I1019" s="54"/>
      <c r="J1019" s="55"/>
      <c r="K1019" s="54"/>
      <c r="L1019" s="56"/>
      <c r="M1019" s="56"/>
      <c r="N1019" s="31"/>
      <c r="O1019" s="57"/>
      <c r="P1019" s="57"/>
      <c r="Q1019" s="57"/>
      <c r="R1019" s="57"/>
      <c r="S1019" s="31"/>
      <c r="T1019" s="57"/>
      <c r="U1019" s="57"/>
      <c r="V1019" s="57"/>
      <c r="W1019" s="57"/>
      <c r="X1019" s="31"/>
      <c r="Y1019" s="57"/>
      <c r="Z1019" s="57"/>
      <c r="AA1019" s="57"/>
      <c r="AB1019" s="57"/>
      <c r="AC1019" s="31"/>
      <c r="AD1019" s="57"/>
      <c r="AE1019" s="57"/>
      <c r="AF1019" s="57"/>
      <c r="AG1019" s="57"/>
      <c r="AH1019" s="57"/>
      <c r="AI1019" s="57"/>
      <c r="AJ1019" s="57"/>
      <c r="AK1019" s="57"/>
      <c r="AL1019" s="57"/>
      <c r="AM1019" s="57"/>
      <c r="AN1019" s="57"/>
      <c r="AO1019" s="57"/>
      <c r="AP1019" s="35"/>
      <c r="AQ1019" s="57"/>
      <c r="AR1019" s="36"/>
      <c r="AS1019" s="57"/>
      <c r="AT1019" s="37"/>
      <c r="AU1019" s="30"/>
      <c r="AV1019" s="30"/>
      <c r="AW1019" s="30"/>
      <c r="AX1019" s="30"/>
      <c r="AY1019" s="30"/>
      <c r="AZ1019" s="30"/>
    </row>
    <row r="1020">
      <c r="A1020" s="30"/>
      <c r="B1020" s="30"/>
      <c r="C1020" s="30"/>
      <c r="D1020" s="31"/>
      <c r="E1020" s="31"/>
      <c r="F1020" s="31"/>
      <c r="G1020" s="31"/>
      <c r="H1020" s="31"/>
      <c r="I1020" s="54"/>
      <c r="J1020" s="55"/>
      <c r="K1020" s="54"/>
      <c r="L1020" s="56"/>
      <c r="M1020" s="56"/>
      <c r="N1020" s="31"/>
      <c r="O1020" s="57"/>
      <c r="P1020" s="57"/>
      <c r="Q1020" s="57"/>
      <c r="R1020" s="57"/>
      <c r="S1020" s="31"/>
      <c r="T1020" s="57"/>
      <c r="U1020" s="57"/>
      <c r="V1020" s="57"/>
      <c r="W1020" s="57"/>
      <c r="X1020" s="31"/>
      <c r="Y1020" s="57"/>
      <c r="Z1020" s="57"/>
      <c r="AA1020" s="57"/>
      <c r="AB1020" s="57"/>
      <c r="AC1020" s="31"/>
      <c r="AD1020" s="57"/>
      <c r="AE1020" s="57"/>
      <c r="AF1020" s="57"/>
      <c r="AG1020" s="57"/>
      <c r="AH1020" s="57"/>
      <c r="AI1020" s="57"/>
      <c r="AJ1020" s="57"/>
      <c r="AK1020" s="57"/>
      <c r="AL1020" s="57"/>
      <c r="AM1020" s="57"/>
      <c r="AN1020" s="57"/>
      <c r="AO1020" s="57"/>
      <c r="AP1020" s="35"/>
      <c r="AQ1020" s="57"/>
      <c r="AR1020" s="36"/>
      <c r="AS1020" s="57"/>
      <c r="AT1020" s="37"/>
      <c r="AU1020" s="30"/>
      <c r="AV1020" s="30"/>
      <c r="AW1020" s="30"/>
      <c r="AX1020" s="30"/>
      <c r="AY1020" s="30"/>
      <c r="AZ1020" s="30"/>
    </row>
    <row r="1021">
      <c r="A1021" s="30"/>
      <c r="B1021" s="30"/>
      <c r="C1021" s="30"/>
      <c r="D1021" s="31"/>
      <c r="E1021" s="31"/>
      <c r="F1021" s="31"/>
      <c r="G1021" s="31"/>
      <c r="H1021" s="31"/>
      <c r="I1021" s="54"/>
      <c r="J1021" s="55"/>
      <c r="K1021" s="54"/>
      <c r="L1021" s="56"/>
      <c r="M1021" s="56"/>
      <c r="N1021" s="31"/>
      <c r="O1021" s="57"/>
      <c r="P1021" s="57"/>
      <c r="Q1021" s="57"/>
      <c r="R1021" s="57"/>
      <c r="S1021" s="31"/>
      <c r="T1021" s="57"/>
      <c r="U1021" s="57"/>
      <c r="V1021" s="57"/>
      <c r="W1021" s="57"/>
      <c r="X1021" s="31"/>
      <c r="Y1021" s="57"/>
      <c r="Z1021" s="57"/>
      <c r="AA1021" s="57"/>
      <c r="AB1021" s="57"/>
      <c r="AC1021" s="31"/>
      <c r="AD1021" s="57"/>
      <c r="AE1021" s="57"/>
      <c r="AF1021" s="57"/>
      <c r="AG1021" s="57"/>
      <c r="AH1021" s="57"/>
      <c r="AI1021" s="57"/>
      <c r="AJ1021" s="57"/>
      <c r="AK1021" s="57"/>
      <c r="AL1021" s="57"/>
      <c r="AM1021" s="57"/>
      <c r="AN1021" s="57"/>
      <c r="AO1021" s="57"/>
      <c r="AP1021" s="35"/>
      <c r="AQ1021" s="57"/>
      <c r="AR1021" s="36"/>
      <c r="AS1021" s="57"/>
      <c r="AT1021" s="37"/>
      <c r="AU1021" s="30"/>
      <c r="AV1021" s="30"/>
      <c r="AW1021" s="30"/>
      <c r="AX1021" s="30"/>
      <c r="AY1021" s="30"/>
      <c r="AZ1021" s="30"/>
    </row>
    <row r="1022">
      <c r="A1022" s="30"/>
      <c r="B1022" s="30"/>
      <c r="C1022" s="30"/>
      <c r="D1022" s="31"/>
      <c r="E1022" s="31"/>
      <c r="F1022" s="31"/>
      <c r="G1022" s="31"/>
      <c r="H1022" s="31"/>
      <c r="I1022" s="54"/>
      <c r="J1022" s="55"/>
      <c r="K1022" s="54"/>
      <c r="L1022" s="56"/>
      <c r="M1022" s="56"/>
      <c r="N1022" s="31"/>
      <c r="O1022" s="57"/>
      <c r="P1022" s="57"/>
      <c r="Q1022" s="57"/>
      <c r="R1022" s="57"/>
      <c r="S1022" s="31"/>
      <c r="T1022" s="57"/>
      <c r="U1022" s="57"/>
      <c r="V1022" s="57"/>
      <c r="W1022" s="57"/>
      <c r="X1022" s="31"/>
      <c r="Y1022" s="57"/>
      <c r="Z1022" s="57"/>
      <c r="AA1022" s="57"/>
      <c r="AB1022" s="57"/>
      <c r="AC1022" s="31"/>
      <c r="AD1022" s="57"/>
      <c r="AE1022" s="57"/>
      <c r="AF1022" s="57"/>
      <c r="AG1022" s="57"/>
      <c r="AH1022" s="57"/>
      <c r="AI1022" s="57"/>
      <c r="AJ1022" s="57"/>
      <c r="AK1022" s="57"/>
      <c r="AL1022" s="57"/>
      <c r="AM1022" s="57"/>
      <c r="AN1022" s="57"/>
      <c r="AO1022" s="57"/>
      <c r="AP1022" s="35"/>
      <c r="AQ1022" s="57"/>
      <c r="AR1022" s="36"/>
      <c r="AS1022" s="57"/>
      <c r="AT1022" s="37"/>
      <c r="AU1022" s="30"/>
      <c r="AV1022" s="30"/>
      <c r="AW1022" s="30"/>
      <c r="AX1022" s="30"/>
      <c r="AY1022" s="30"/>
      <c r="AZ1022" s="30"/>
    </row>
    <row r="1023">
      <c r="A1023" s="30"/>
      <c r="B1023" s="30"/>
      <c r="C1023" s="30"/>
      <c r="D1023" s="31"/>
      <c r="E1023" s="31"/>
      <c r="F1023" s="31"/>
      <c r="G1023" s="31"/>
      <c r="H1023" s="31"/>
      <c r="I1023" s="54"/>
      <c r="J1023" s="55"/>
      <c r="K1023" s="54"/>
      <c r="L1023" s="56"/>
      <c r="M1023" s="56"/>
      <c r="N1023" s="31"/>
      <c r="O1023" s="57"/>
      <c r="P1023" s="57"/>
      <c r="Q1023" s="57"/>
      <c r="R1023" s="57"/>
      <c r="S1023" s="31"/>
      <c r="T1023" s="57"/>
      <c r="U1023" s="57"/>
      <c r="V1023" s="57"/>
      <c r="W1023" s="57"/>
      <c r="X1023" s="31"/>
      <c r="Y1023" s="57"/>
      <c r="Z1023" s="57"/>
      <c r="AA1023" s="57"/>
      <c r="AB1023" s="57"/>
      <c r="AC1023" s="31"/>
      <c r="AD1023" s="57"/>
      <c r="AE1023" s="57"/>
      <c r="AF1023" s="57"/>
      <c r="AG1023" s="57"/>
      <c r="AH1023" s="57"/>
      <c r="AI1023" s="57"/>
      <c r="AJ1023" s="57"/>
      <c r="AK1023" s="57"/>
      <c r="AL1023" s="57"/>
      <c r="AM1023" s="57"/>
      <c r="AN1023" s="57"/>
      <c r="AO1023" s="57"/>
      <c r="AP1023" s="35"/>
      <c r="AQ1023" s="57"/>
      <c r="AR1023" s="36"/>
      <c r="AS1023" s="57"/>
      <c r="AT1023" s="37"/>
      <c r="AU1023" s="30"/>
      <c r="AV1023" s="30"/>
      <c r="AW1023" s="30"/>
      <c r="AX1023" s="30"/>
      <c r="AY1023" s="30"/>
      <c r="AZ1023" s="30"/>
    </row>
    <row r="1024">
      <c r="A1024" s="30"/>
      <c r="B1024" s="30"/>
      <c r="C1024" s="30"/>
      <c r="D1024" s="31"/>
      <c r="E1024" s="31"/>
      <c r="F1024" s="31"/>
      <c r="G1024" s="31"/>
      <c r="H1024" s="31"/>
      <c r="I1024" s="54"/>
      <c r="J1024" s="55"/>
      <c r="K1024" s="54"/>
      <c r="L1024" s="56"/>
      <c r="M1024" s="56"/>
      <c r="N1024" s="31"/>
      <c r="O1024" s="57"/>
      <c r="P1024" s="57"/>
      <c r="Q1024" s="57"/>
      <c r="R1024" s="57"/>
      <c r="S1024" s="31"/>
      <c r="T1024" s="57"/>
      <c r="U1024" s="57"/>
      <c r="V1024" s="57"/>
      <c r="W1024" s="57"/>
      <c r="X1024" s="31"/>
      <c r="Y1024" s="57"/>
      <c r="Z1024" s="57"/>
      <c r="AA1024" s="57"/>
      <c r="AB1024" s="57"/>
      <c r="AC1024" s="31"/>
      <c r="AD1024" s="57"/>
      <c r="AE1024" s="57"/>
      <c r="AF1024" s="57"/>
      <c r="AG1024" s="57"/>
      <c r="AH1024" s="57"/>
      <c r="AI1024" s="57"/>
      <c r="AJ1024" s="57"/>
      <c r="AK1024" s="57"/>
      <c r="AL1024" s="57"/>
      <c r="AM1024" s="57"/>
      <c r="AN1024" s="57"/>
      <c r="AO1024" s="57"/>
      <c r="AP1024" s="35"/>
      <c r="AQ1024" s="57"/>
      <c r="AR1024" s="36"/>
      <c r="AS1024" s="57"/>
      <c r="AT1024" s="37"/>
      <c r="AU1024" s="30"/>
      <c r="AV1024" s="30"/>
      <c r="AW1024" s="30"/>
      <c r="AX1024" s="30"/>
      <c r="AY1024" s="30"/>
      <c r="AZ1024" s="30"/>
    </row>
    <row r="1025">
      <c r="A1025" s="30"/>
      <c r="B1025" s="30"/>
      <c r="C1025" s="30"/>
      <c r="D1025" s="31"/>
      <c r="E1025" s="31"/>
      <c r="F1025" s="31"/>
      <c r="G1025" s="31"/>
      <c r="H1025" s="31"/>
      <c r="I1025" s="54"/>
      <c r="J1025" s="55"/>
      <c r="K1025" s="54"/>
      <c r="L1025" s="56"/>
      <c r="M1025" s="56"/>
      <c r="N1025" s="31"/>
      <c r="O1025" s="57"/>
      <c r="P1025" s="57"/>
      <c r="Q1025" s="57"/>
      <c r="R1025" s="57"/>
      <c r="S1025" s="31"/>
      <c r="T1025" s="57"/>
      <c r="U1025" s="57"/>
      <c r="V1025" s="57"/>
      <c r="W1025" s="57"/>
      <c r="X1025" s="31"/>
      <c r="Y1025" s="57"/>
      <c r="Z1025" s="57"/>
      <c r="AA1025" s="57"/>
      <c r="AB1025" s="57"/>
      <c r="AC1025" s="31"/>
      <c r="AD1025" s="57"/>
      <c r="AE1025" s="57"/>
      <c r="AF1025" s="57"/>
      <c r="AG1025" s="57"/>
      <c r="AH1025" s="57"/>
      <c r="AI1025" s="57"/>
      <c r="AJ1025" s="57"/>
      <c r="AK1025" s="57"/>
      <c r="AL1025" s="57"/>
      <c r="AM1025" s="57"/>
      <c r="AN1025" s="57"/>
      <c r="AO1025" s="57"/>
      <c r="AP1025" s="35"/>
      <c r="AQ1025" s="57"/>
      <c r="AR1025" s="36"/>
      <c r="AS1025" s="57"/>
      <c r="AT1025" s="37"/>
      <c r="AU1025" s="30"/>
      <c r="AV1025" s="30"/>
      <c r="AW1025" s="30"/>
      <c r="AX1025" s="30"/>
      <c r="AY1025" s="30"/>
      <c r="AZ1025" s="30"/>
    </row>
    <row r="1026">
      <c r="A1026" s="30"/>
      <c r="B1026" s="30"/>
      <c r="C1026" s="30"/>
      <c r="D1026" s="31"/>
      <c r="E1026" s="31"/>
      <c r="F1026" s="31"/>
      <c r="G1026" s="31"/>
      <c r="H1026" s="31"/>
      <c r="I1026" s="54"/>
      <c r="J1026" s="55"/>
      <c r="K1026" s="54"/>
      <c r="L1026" s="56"/>
      <c r="M1026" s="56"/>
      <c r="N1026" s="31"/>
      <c r="O1026" s="57"/>
      <c r="P1026" s="57"/>
      <c r="Q1026" s="57"/>
      <c r="R1026" s="57"/>
      <c r="S1026" s="31"/>
      <c r="T1026" s="57"/>
      <c r="U1026" s="57"/>
      <c r="V1026" s="57"/>
      <c r="W1026" s="57"/>
      <c r="X1026" s="31"/>
      <c r="Y1026" s="57"/>
      <c r="Z1026" s="57"/>
      <c r="AA1026" s="57"/>
      <c r="AB1026" s="57"/>
      <c r="AC1026" s="31"/>
      <c r="AD1026" s="57"/>
      <c r="AE1026" s="57"/>
      <c r="AF1026" s="57"/>
      <c r="AG1026" s="57"/>
      <c r="AH1026" s="57"/>
      <c r="AI1026" s="57"/>
      <c r="AJ1026" s="57"/>
      <c r="AK1026" s="57"/>
      <c r="AL1026" s="57"/>
      <c r="AM1026" s="57"/>
      <c r="AN1026" s="57"/>
      <c r="AO1026" s="57"/>
      <c r="AP1026" s="35"/>
      <c r="AQ1026" s="57"/>
      <c r="AR1026" s="36"/>
      <c r="AS1026" s="57"/>
      <c r="AT1026" s="37"/>
      <c r="AU1026" s="30"/>
      <c r="AV1026" s="30"/>
      <c r="AW1026" s="30"/>
      <c r="AX1026" s="30"/>
      <c r="AY1026" s="30"/>
      <c r="AZ1026" s="30"/>
    </row>
    <row r="1027">
      <c r="A1027" s="30"/>
      <c r="B1027" s="30"/>
      <c r="C1027" s="30"/>
      <c r="D1027" s="31"/>
      <c r="E1027" s="31"/>
      <c r="F1027" s="31"/>
      <c r="G1027" s="31"/>
      <c r="H1027" s="31"/>
      <c r="I1027" s="54"/>
      <c r="J1027" s="55"/>
      <c r="K1027" s="54"/>
      <c r="L1027" s="56"/>
      <c r="M1027" s="56"/>
      <c r="N1027" s="31"/>
      <c r="O1027" s="57"/>
      <c r="P1027" s="57"/>
      <c r="Q1027" s="57"/>
      <c r="R1027" s="57"/>
      <c r="S1027" s="31"/>
      <c r="T1027" s="57"/>
      <c r="U1027" s="57"/>
      <c r="V1027" s="57"/>
      <c r="W1027" s="57"/>
      <c r="X1027" s="31"/>
      <c r="Y1027" s="57"/>
      <c r="Z1027" s="57"/>
      <c r="AA1027" s="57"/>
      <c r="AB1027" s="57"/>
      <c r="AC1027" s="31"/>
      <c r="AD1027" s="57"/>
      <c r="AE1027" s="57"/>
      <c r="AF1027" s="57"/>
      <c r="AG1027" s="57"/>
      <c r="AH1027" s="57"/>
      <c r="AI1027" s="57"/>
      <c r="AJ1027" s="57"/>
      <c r="AK1027" s="57"/>
      <c r="AL1027" s="57"/>
      <c r="AM1027" s="57"/>
      <c r="AN1027" s="57"/>
      <c r="AO1027" s="57"/>
      <c r="AP1027" s="35"/>
      <c r="AQ1027" s="57"/>
      <c r="AR1027" s="36"/>
      <c r="AS1027" s="57"/>
      <c r="AT1027" s="37"/>
      <c r="AU1027" s="30"/>
      <c r="AV1027" s="30"/>
      <c r="AW1027" s="30"/>
      <c r="AX1027" s="30"/>
      <c r="AY1027" s="30"/>
      <c r="AZ1027" s="30"/>
    </row>
    <row r="1028">
      <c r="A1028" s="30"/>
      <c r="B1028" s="30"/>
      <c r="C1028" s="30"/>
      <c r="D1028" s="31"/>
      <c r="E1028" s="31"/>
      <c r="F1028" s="31"/>
      <c r="G1028" s="31"/>
      <c r="H1028" s="31"/>
      <c r="I1028" s="54"/>
      <c r="J1028" s="55"/>
      <c r="K1028" s="54"/>
      <c r="L1028" s="56"/>
      <c r="M1028" s="56"/>
      <c r="N1028" s="31"/>
      <c r="O1028" s="57"/>
      <c r="P1028" s="57"/>
      <c r="Q1028" s="57"/>
      <c r="R1028" s="57"/>
      <c r="S1028" s="31"/>
      <c r="T1028" s="57"/>
      <c r="U1028" s="57"/>
      <c r="V1028" s="57"/>
      <c r="W1028" s="57"/>
      <c r="X1028" s="31"/>
      <c r="Y1028" s="57"/>
      <c r="Z1028" s="57"/>
      <c r="AA1028" s="57"/>
      <c r="AB1028" s="57"/>
      <c r="AC1028" s="31"/>
      <c r="AD1028" s="57"/>
      <c r="AE1028" s="57"/>
      <c r="AF1028" s="57"/>
      <c r="AG1028" s="57"/>
      <c r="AH1028" s="57"/>
      <c r="AI1028" s="57"/>
      <c r="AJ1028" s="57"/>
      <c r="AK1028" s="57"/>
      <c r="AL1028" s="57"/>
      <c r="AM1028" s="57"/>
      <c r="AN1028" s="57"/>
      <c r="AO1028" s="57"/>
      <c r="AP1028" s="35"/>
      <c r="AQ1028" s="57"/>
      <c r="AR1028" s="36"/>
      <c r="AS1028" s="57"/>
      <c r="AT1028" s="37"/>
      <c r="AU1028" s="30"/>
      <c r="AV1028" s="30"/>
      <c r="AW1028" s="30"/>
      <c r="AX1028" s="30"/>
      <c r="AY1028" s="30"/>
      <c r="AZ1028" s="30"/>
    </row>
    <row r="1029">
      <c r="A1029" s="30"/>
      <c r="B1029" s="30"/>
      <c r="C1029" s="30"/>
      <c r="D1029" s="31"/>
      <c r="E1029" s="31"/>
      <c r="F1029" s="31"/>
      <c r="G1029" s="31"/>
      <c r="H1029" s="31"/>
      <c r="I1029" s="54"/>
      <c r="J1029" s="55"/>
      <c r="K1029" s="54"/>
      <c r="L1029" s="56"/>
      <c r="M1029" s="56"/>
      <c r="N1029" s="31"/>
      <c r="O1029" s="57"/>
      <c r="P1029" s="57"/>
      <c r="Q1029" s="57"/>
      <c r="R1029" s="57"/>
      <c r="S1029" s="31"/>
      <c r="T1029" s="57"/>
      <c r="U1029" s="57"/>
      <c r="V1029" s="57"/>
      <c r="W1029" s="57"/>
      <c r="X1029" s="31"/>
      <c r="Y1029" s="57"/>
      <c r="Z1029" s="57"/>
      <c r="AA1029" s="57"/>
      <c r="AB1029" s="57"/>
      <c r="AC1029" s="31"/>
      <c r="AD1029" s="57"/>
      <c r="AE1029" s="57"/>
      <c r="AF1029" s="57"/>
      <c r="AG1029" s="57"/>
      <c r="AH1029" s="57"/>
      <c r="AI1029" s="57"/>
      <c r="AJ1029" s="57"/>
      <c r="AK1029" s="57"/>
      <c r="AL1029" s="57"/>
      <c r="AM1029" s="57"/>
      <c r="AN1029" s="57"/>
      <c r="AO1029" s="57"/>
      <c r="AP1029" s="35"/>
      <c r="AQ1029" s="57"/>
      <c r="AR1029" s="36"/>
      <c r="AS1029" s="57"/>
      <c r="AT1029" s="37"/>
      <c r="AU1029" s="30"/>
      <c r="AV1029" s="30"/>
      <c r="AW1029" s="30"/>
      <c r="AX1029" s="30"/>
      <c r="AY1029" s="30"/>
      <c r="AZ1029" s="30"/>
    </row>
    <row r="1030">
      <c r="A1030" s="30"/>
      <c r="B1030" s="30"/>
      <c r="C1030" s="30"/>
      <c r="D1030" s="31"/>
      <c r="E1030" s="31"/>
      <c r="F1030" s="31"/>
      <c r="G1030" s="31"/>
      <c r="H1030" s="31"/>
      <c r="I1030" s="54"/>
      <c r="J1030" s="55"/>
      <c r="K1030" s="54"/>
      <c r="L1030" s="56"/>
      <c r="M1030" s="56"/>
      <c r="N1030" s="31"/>
      <c r="O1030" s="57"/>
      <c r="P1030" s="57"/>
      <c r="Q1030" s="57"/>
      <c r="R1030" s="57"/>
      <c r="S1030" s="31"/>
      <c r="T1030" s="57"/>
      <c r="U1030" s="57"/>
      <c r="V1030" s="57"/>
      <c r="W1030" s="57"/>
      <c r="X1030" s="31"/>
      <c r="Y1030" s="57"/>
      <c r="Z1030" s="57"/>
      <c r="AA1030" s="57"/>
      <c r="AB1030" s="57"/>
      <c r="AC1030" s="31"/>
      <c r="AD1030" s="57"/>
      <c r="AE1030" s="57"/>
      <c r="AF1030" s="57"/>
      <c r="AG1030" s="57"/>
      <c r="AH1030" s="57"/>
      <c r="AI1030" s="57"/>
      <c r="AJ1030" s="57"/>
      <c r="AK1030" s="57"/>
      <c r="AL1030" s="57"/>
      <c r="AM1030" s="57"/>
      <c r="AN1030" s="57"/>
      <c r="AO1030" s="57"/>
      <c r="AP1030" s="35"/>
      <c r="AQ1030" s="57"/>
      <c r="AR1030" s="36"/>
      <c r="AS1030" s="57"/>
      <c r="AT1030" s="37"/>
      <c r="AU1030" s="30"/>
      <c r="AV1030" s="30"/>
      <c r="AW1030" s="30"/>
      <c r="AX1030" s="30"/>
      <c r="AY1030" s="30"/>
      <c r="AZ1030" s="30"/>
    </row>
    <row r="1031">
      <c r="A1031" s="30"/>
      <c r="B1031" s="30"/>
      <c r="C1031" s="30"/>
      <c r="D1031" s="31"/>
      <c r="E1031" s="31"/>
      <c r="F1031" s="31"/>
      <c r="G1031" s="31"/>
      <c r="H1031" s="31"/>
      <c r="I1031" s="54"/>
      <c r="J1031" s="55"/>
      <c r="K1031" s="54"/>
      <c r="L1031" s="56"/>
      <c r="M1031" s="56"/>
      <c r="N1031" s="31"/>
      <c r="O1031" s="57"/>
      <c r="P1031" s="57"/>
      <c r="Q1031" s="57"/>
      <c r="R1031" s="57"/>
      <c r="S1031" s="31"/>
      <c r="T1031" s="57"/>
      <c r="U1031" s="57"/>
      <c r="V1031" s="57"/>
      <c r="W1031" s="57"/>
      <c r="X1031" s="31"/>
      <c r="Y1031" s="57"/>
      <c r="Z1031" s="57"/>
      <c r="AA1031" s="57"/>
      <c r="AB1031" s="57"/>
      <c r="AC1031" s="31"/>
      <c r="AD1031" s="57"/>
      <c r="AE1031" s="57"/>
      <c r="AF1031" s="57"/>
      <c r="AG1031" s="57"/>
      <c r="AH1031" s="57"/>
      <c r="AI1031" s="57"/>
      <c r="AJ1031" s="57"/>
      <c r="AK1031" s="57"/>
      <c r="AL1031" s="57"/>
      <c r="AM1031" s="57"/>
      <c r="AN1031" s="57"/>
      <c r="AO1031" s="57"/>
      <c r="AP1031" s="35"/>
      <c r="AQ1031" s="57"/>
      <c r="AR1031" s="36"/>
      <c r="AS1031" s="57"/>
      <c r="AT1031" s="37"/>
      <c r="AU1031" s="30"/>
      <c r="AV1031" s="30"/>
      <c r="AW1031" s="30"/>
      <c r="AX1031" s="30"/>
      <c r="AY1031" s="30"/>
      <c r="AZ1031" s="30"/>
    </row>
    <row r="1032">
      <c r="A1032" s="30"/>
      <c r="B1032" s="30"/>
      <c r="C1032" s="30"/>
      <c r="D1032" s="31"/>
      <c r="E1032" s="31"/>
      <c r="F1032" s="31"/>
      <c r="G1032" s="31"/>
      <c r="H1032" s="31"/>
      <c r="I1032" s="54"/>
      <c r="J1032" s="55"/>
      <c r="K1032" s="54"/>
      <c r="L1032" s="56"/>
      <c r="M1032" s="56"/>
      <c r="N1032" s="31"/>
      <c r="O1032" s="57"/>
      <c r="P1032" s="57"/>
      <c r="Q1032" s="57"/>
      <c r="R1032" s="57"/>
      <c r="S1032" s="31"/>
      <c r="T1032" s="57"/>
      <c r="U1032" s="57"/>
      <c r="V1032" s="57"/>
      <c r="W1032" s="57"/>
      <c r="X1032" s="31"/>
      <c r="Y1032" s="57"/>
      <c r="Z1032" s="57"/>
      <c r="AA1032" s="57"/>
      <c r="AB1032" s="57"/>
      <c r="AC1032" s="31"/>
      <c r="AD1032" s="57"/>
      <c r="AE1032" s="57"/>
      <c r="AF1032" s="57"/>
      <c r="AG1032" s="57"/>
      <c r="AH1032" s="57"/>
      <c r="AI1032" s="57"/>
      <c r="AJ1032" s="57"/>
      <c r="AK1032" s="57"/>
      <c r="AL1032" s="57"/>
      <c r="AM1032" s="57"/>
      <c r="AN1032" s="57"/>
      <c r="AO1032" s="57"/>
      <c r="AP1032" s="35"/>
      <c r="AQ1032" s="57"/>
      <c r="AR1032" s="36"/>
      <c r="AS1032" s="57"/>
      <c r="AT1032" s="37"/>
      <c r="AU1032" s="30"/>
      <c r="AV1032" s="30"/>
      <c r="AW1032" s="30"/>
      <c r="AX1032" s="30"/>
      <c r="AY1032" s="30"/>
      <c r="AZ1032" s="30"/>
    </row>
    <row r="1033">
      <c r="A1033" s="30"/>
      <c r="B1033" s="30"/>
      <c r="C1033" s="30"/>
      <c r="D1033" s="31"/>
      <c r="E1033" s="31"/>
      <c r="F1033" s="31"/>
      <c r="G1033" s="31"/>
      <c r="H1033" s="31"/>
      <c r="I1033" s="54"/>
      <c r="J1033" s="55"/>
      <c r="K1033" s="54"/>
      <c r="L1033" s="56"/>
      <c r="M1033" s="56"/>
      <c r="N1033" s="31"/>
      <c r="O1033" s="57"/>
      <c r="P1033" s="57"/>
      <c r="Q1033" s="57"/>
      <c r="R1033" s="57"/>
      <c r="S1033" s="31"/>
      <c r="T1033" s="57"/>
      <c r="U1033" s="57"/>
      <c r="V1033" s="57"/>
      <c r="W1033" s="57"/>
      <c r="X1033" s="31"/>
      <c r="Y1033" s="57"/>
      <c r="Z1033" s="57"/>
      <c r="AA1033" s="57"/>
      <c r="AB1033" s="57"/>
      <c r="AC1033" s="31"/>
      <c r="AD1033" s="57"/>
      <c r="AE1033" s="57"/>
      <c r="AF1033" s="57"/>
      <c r="AG1033" s="57"/>
      <c r="AH1033" s="57"/>
      <c r="AI1033" s="57"/>
      <c r="AJ1033" s="57"/>
      <c r="AK1033" s="57"/>
      <c r="AL1033" s="57"/>
      <c r="AM1033" s="57"/>
      <c r="AN1033" s="57"/>
      <c r="AO1033" s="57"/>
      <c r="AP1033" s="35"/>
      <c r="AQ1033" s="57"/>
      <c r="AR1033" s="36"/>
      <c r="AS1033" s="57"/>
      <c r="AT1033" s="37"/>
      <c r="AU1033" s="30"/>
      <c r="AV1033" s="30"/>
      <c r="AW1033" s="30"/>
      <c r="AX1033" s="30"/>
      <c r="AY1033" s="30"/>
      <c r="AZ1033" s="30"/>
    </row>
    <row r="1034">
      <c r="A1034" s="30"/>
      <c r="B1034" s="30"/>
      <c r="C1034" s="30"/>
      <c r="D1034" s="31"/>
      <c r="E1034" s="31"/>
      <c r="F1034" s="31"/>
      <c r="G1034" s="31"/>
      <c r="H1034" s="31"/>
      <c r="I1034" s="54"/>
      <c r="J1034" s="55"/>
      <c r="K1034" s="54"/>
      <c r="L1034" s="56"/>
      <c r="M1034" s="56"/>
      <c r="N1034" s="31"/>
      <c r="O1034" s="57"/>
      <c r="P1034" s="57"/>
      <c r="Q1034" s="57"/>
      <c r="R1034" s="57"/>
      <c r="S1034" s="31"/>
      <c r="T1034" s="57"/>
      <c r="U1034" s="57"/>
      <c r="V1034" s="57"/>
      <c r="W1034" s="57"/>
      <c r="X1034" s="31"/>
      <c r="Y1034" s="57"/>
      <c r="Z1034" s="57"/>
      <c r="AA1034" s="57"/>
      <c r="AB1034" s="57"/>
      <c r="AC1034" s="31"/>
      <c r="AD1034" s="57"/>
      <c r="AE1034" s="57"/>
      <c r="AF1034" s="57"/>
      <c r="AG1034" s="57"/>
      <c r="AH1034" s="57"/>
      <c r="AI1034" s="57"/>
      <c r="AJ1034" s="57"/>
      <c r="AK1034" s="57"/>
      <c r="AL1034" s="57"/>
      <c r="AM1034" s="57"/>
      <c r="AN1034" s="57"/>
      <c r="AO1034" s="57"/>
      <c r="AP1034" s="35"/>
      <c r="AQ1034" s="57"/>
      <c r="AR1034" s="36"/>
      <c r="AS1034" s="57"/>
      <c r="AT1034" s="37"/>
      <c r="AU1034" s="30"/>
      <c r="AV1034" s="30"/>
      <c r="AW1034" s="30"/>
      <c r="AX1034" s="30"/>
      <c r="AY1034" s="30"/>
      <c r="AZ1034" s="30"/>
    </row>
    <row r="1035">
      <c r="A1035" s="30"/>
      <c r="B1035" s="30"/>
      <c r="C1035" s="30"/>
      <c r="D1035" s="31"/>
      <c r="E1035" s="31"/>
      <c r="F1035" s="31"/>
      <c r="G1035" s="31"/>
      <c r="H1035" s="31"/>
      <c r="I1035" s="54"/>
      <c r="J1035" s="55"/>
      <c r="K1035" s="54"/>
      <c r="L1035" s="56"/>
      <c r="M1035" s="56"/>
      <c r="N1035" s="31"/>
      <c r="O1035" s="57"/>
      <c r="P1035" s="57"/>
      <c r="Q1035" s="57"/>
      <c r="R1035" s="57"/>
      <c r="S1035" s="31"/>
      <c r="T1035" s="57"/>
      <c r="U1035" s="57"/>
      <c r="V1035" s="57"/>
      <c r="W1035" s="57"/>
      <c r="X1035" s="31"/>
      <c r="Y1035" s="57"/>
      <c r="Z1035" s="57"/>
      <c r="AA1035" s="57"/>
      <c r="AB1035" s="57"/>
      <c r="AC1035" s="31"/>
      <c r="AD1035" s="57"/>
      <c r="AE1035" s="57"/>
      <c r="AF1035" s="57"/>
      <c r="AG1035" s="57"/>
      <c r="AH1035" s="57"/>
      <c r="AI1035" s="57"/>
      <c r="AJ1035" s="57"/>
      <c r="AK1035" s="57"/>
      <c r="AL1035" s="57"/>
      <c r="AM1035" s="57"/>
      <c r="AN1035" s="57"/>
      <c r="AO1035" s="57"/>
      <c r="AP1035" s="35"/>
      <c r="AQ1035" s="57"/>
      <c r="AR1035" s="36"/>
      <c r="AS1035" s="57"/>
      <c r="AT1035" s="37"/>
      <c r="AU1035" s="30"/>
      <c r="AV1035" s="30"/>
      <c r="AW1035" s="30"/>
      <c r="AX1035" s="30"/>
      <c r="AY1035" s="30"/>
      <c r="AZ1035" s="30"/>
    </row>
    <row r="1036">
      <c r="A1036" s="30"/>
      <c r="B1036" s="30"/>
      <c r="C1036" s="30"/>
      <c r="D1036" s="31"/>
      <c r="E1036" s="31"/>
      <c r="F1036" s="31"/>
      <c r="G1036" s="31"/>
      <c r="H1036" s="31"/>
      <c r="I1036" s="54"/>
      <c r="J1036" s="55"/>
      <c r="K1036" s="54"/>
      <c r="L1036" s="56"/>
      <c r="M1036" s="56"/>
      <c r="N1036" s="31"/>
      <c r="O1036" s="57"/>
      <c r="P1036" s="57"/>
      <c r="Q1036" s="57"/>
      <c r="R1036" s="57"/>
      <c r="S1036" s="31"/>
      <c r="T1036" s="57"/>
      <c r="U1036" s="57"/>
      <c r="V1036" s="57"/>
      <c r="W1036" s="57"/>
      <c r="X1036" s="31"/>
      <c r="Y1036" s="57"/>
      <c r="Z1036" s="57"/>
      <c r="AA1036" s="57"/>
      <c r="AB1036" s="57"/>
      <c r="AC1036" s="31"/>
      <c r="AD1036" s="57"/>
      <c r="AE1036" s="57"/>
      <c r="AF1036" s="57"/>
      <c r="AG1036" s="57"/>
      <c r="AH1036" s="57"/>
      <c r="AI1036" s="57"/>
      <c r="AJ1036" s="57"/>
      <c r="AK1036" s="57"/>
      <c r="AL1036" s="57"/>
      <c r="AM1036" s="57"/>
      <c r="AN1036" s="57"/>
      <c r="AO1036" s="57"/>
      <c r="AP1036" s="35"/>
      <c r="AQ1036" s="57"/>
      <c r="AR1036" s="36"/>
      <c r="AS1036" s="57"/>
      <c r="AT1036" s="37"/>
      <c r="AU1036" s="30"/>
      <c r="AV1036" s="30"/>
      <c r="AW1036" s="30"/>
      <c r="AX1036" s="30"/>
      <c r="AY1036" s="30"/>
      <c r="AZ1036" s="30"/>
    </row>
    <row r="1037">
      <c r="A1037" s="30"/>
      <c r="B1037" s="30"/>
      <c r="C1037" s="30"/>
      <c r="D1037" s="31"/>
      <c r="E1037" s="31"/>
      <c r="F1037" s="31"/>
      <c r="G1037" s="31"/>
      <c r="H1037" s="31"/>
      <c r="I1037" s="54"/>
      <c r="J1037" s="55"/>
      <c r="K1037" s="54"/>
      <c r="L1037" s="56"/>
      <c r="M1037" s="56"/>
      <c r="N1037" s="31"/>
      <c r="O1037" s="57"/>
      <c r="P1037" s="57"/>
      <c r="Q1037" s="57"/>
      <c r="R1037" s="57"/>
      <c r="S1037" s="31"/>
      <c r="T1037" s="57"/>
      <c r="U1037" s="57"/>
      <c r="V1037" s="57"/>
      <c r="W1037" s="57"/>
      <c r="X1037" s="31"/>
      <c r="Y1037" s="57"/>
      <c r="Z1037" s="57"/>
      <c r="AA1037" s="57"/>
      <c r="AB1037" s="57"/>
      <c r="AC1037" s="31"/>
      <c r="AD1037" s="57"/>
      <c r="AE1037" s="57"/>
      <c r="AF1037" s="57"/>
      <c r="AG1037" s="57"/>
      <c r="AH1037" s="57"/>
      <c r="AI1037" s="57"/>
      <c r="AJ1037" s="57"/>
      <c r="AK1037" s="57"/>
      <c r="AL1037" s="57"/>
      <c r="AM1037" s="57"/>
      <c r="AN1037" s="57"/>
      <c r="AO1037" s="57"/>
      <c r="AP1037" s="35"/>
      <c r="AQ1037" s="57"/>
      <c r="AR1037" s="36"/>
      <c r="AS1037" s="57"/>
      <c r="AT1037" s="37"/>
      <c r="AU1037" s="30"/>
      <c r="AV1037" s="30"/>
      <c r="AW1037" s="30"/>
      <c r="AX1037" s="30"/>
      <c r="AY1037" s="30"/>
      <c r="AZ1037" s="30"/>
    </row>
    <row r="1038">
      <c r="A1038" s="30"/>
      <c r="B1038" s="30"/>
      <c r="C1038" s="30"/>
      <c r="D1038" s="31"/>
      <c r="E1038" s="31"/>
      <c r="F1038" s="31"/>
      <c r="G1038" s="31"/>
      <c r="H1038" s="31"/>
      <c r="I1038" s="54"/>
      <c r="J1038" s="55"/>
      <c r="K1038" s="54"/>
      <c r="L1038" s="56"/>
      <c r="M1038" s="56"/>
      <c r="N1038" s="31"/>
      <c r="O1038" s="57"/>
      <c r="P1038" s="57"/>
      <c r="Q1038" s="57"/>
      <c r="R1038" s="57"/>
      <c r="S1038" s="31"/>
      <c r="T1038" s="57"/>
      <c r="U1038" s="57"/>
      <c r="V1038" s="57"/>
      <c r="W1038" s="57"/>
      <c r="X1038" s="31"/>
      <c r="Y1038" s="57"/>
      <c r="Z1038" s="57"/>
      <c r="AA1038" s="57"/>
      <c r="AB1038" s="57"/>
      <c r="AC1038" s="31"/>
      <c r="AD1038" s="57"/>
      <c r="AE1038" s="57"/>
      <c r="AF1038" s="57"/>
      <c r="AG1038" s="57"/>
      <c r="AH1038" s="57"/>
      <c r="AI1038" s="57"/>
      <c r="AJ1038" s="57"/>
      <c r="AK1038" s="57"/>
      <c r="AL1038" s="57"/>
      <c r="AM1038" s="57"/>
      <c r="AN1038" s="57"/>
      <c r="AO1038" s="57"/>
      <c r="AP1038" s="35"/>
      <c r="AQ1038" s="57"/>
      <c r="AR1038" s="36"/>
      <c r="AS1038" s="57"/>
      <c r="AT1038" s="37"/>
      <c r="AU1038" s="30"/>
      <c r="AV1038" s="30"/>
      <c r="AW1038" s="30"/>
      <c r="AX1038" s="30"/>
      <c r="AY1038" s="30"/>
      <c r="AZ1038" s="30"/>
    </row>
    <row r="1039">
      <c r="A1039" s="30"/>
      <c r="B1039" s="30"/>
      <c r="C1039" s="30"/>
      <c r="D1039" s="31"/>
      <c r="E1039" s="31"/>
      <c r="F1039" s="31"/>
      <c r="G1039" s="31"/>
      <c r="H1039" s="31"/>
      <c r="I1039" s="54"/>
      <c r="J1039" s="55"/>
      <c r="K1039" s="54"/>
      <c r="L1039" s="56"/>
      <c r="M1039" s="56"/>
      <c r="N1039" s="31"/>
      <c r="O1039" s="57"/>
      <c r="P1039" s="57"/>
      <c r="Q1039" s="57"/>
      <c r="R1039" s="57"/>
      <c r="S1039" s="31"/>
      <c r="T1039" s="57"/>
      <c r="U1039" s="57"/>
      <c r="V1039" s="57"/>
      <c r="W1039" s="57"/>
      <c r="X1039" s="31"/>
      <c r="Y1039" s="57"/>
      <c r="Z1039" s="57"/>
      <c r="AA1039" s="57"/>
      <c r="AB1039" s="57"/>
      <c r="AC1039" s="31"/>
      <c r="AD1039" s="57"/>
      <c r="AE1039" s="57"/>
      <c r="AF1039" s="57"/>
      <c r="AG1039" s="57"/>
      <c r="AH1039" s="57"/>
      <c r="AI1039" s="57"/>
      <c r="AJ1039" s="57"/>
      <c r="AK1039" s="57"/>
      <c r="AL1039" s="57"/>
      <c r="AM1039" s="57"/>
      <c r="AN1039" s="57"/>
      <c r="AO1039" s="57"/>
      <c r="AP1039" s="35"/>
      <c r="AQ1039" s="57"/>
      <c r="AR1039" s="36"/>
      <c r="AS1039" s="57"/>
      <c r="AT1039" s="37"/>
      <c r="AU1039" s="30"/>
      <c r="AV1039" s="30"/>
      <c r="AW1039" s="30"/>
      <c r="AX1039" s="30"/>
      <c r="AY1039" s="30"/>
      <c r="AZ1039" s="30"/>
    </row>
    <row r="1040">
      <c r="A1040" s="30"/>
      <c r="B1040" s="30"/>
      <c r="C1040" s="30"/>
      <c r="D1040" s="31"/>
      <c r="E1040" s="31"/>
      <c r="F1040" s="31"/>
      <c r="G1040" s="31"/>
      <c r="H1040" s="31"/>
      <c r="I1040" s="54"/>
      <c r="J1040" s="55"/>
      <c r="K1040" s="54"/>
      <c r="L1040" s="56"/>
      <c r="M1040" s="56"/>
      <c r="N1040" s="31"/>
      <c r="O1040" s="57"/>
      <c r="P1040" s="57"/>
      <c r="Q1040" s="57"/>
      <c r="R1040" s="57"/>
      <c r="S1040" s="31"/>
      <c r="T1040" s="57"/>
      <c r="U1040" s="57"/>
      <c r="V1040" s="57"/>
      <c r="W1040" s="57"/>
      <c r="X1040" s="31"/>
      <c r="Y1040" s="57"/>
      <c r="Z1040" s="57"/>
      <c r="AA1040" s="57"/>
      <c r="AB1040" s="57"/>
      <c r="AC1040" s="31"/>
      <c r="AD1040" s="57"/>
      <c r="AE1040" s="57"/>
      <c r="AF1040" s="57"/>
      <c r="AG1040" s="57"/>
      <c r="AH1040" s="57"/>
      <c r="AI1040" s="57"/>
      <c r="AJ1040" s="57"/>
      <c r="AK1040" s="57"/>
      <c r="AL1040" s="57"/>
      <c r="AM1040" s="57"/>
      <c r="AN1040" s="57"/>
      <c r="AO1040" s="57"/>
      <c r="AP1040" s="35"/>
      <c r="AQ1040" s="57"/>
      <c r="AR1040" s="36"/>
      <c r="AS1040" s="57"/>
      <c r="AT1040" s="37"/>
      <c r="AU1040" s="30"/>
      <c r="AV1040" s="30"/>
      <c r="AW1040" s="30"/>
      <c r="AX1040" s="30"/>
      <c r="AY1040" s="30"/>
      <c r="AZ1040" s="30"/>
    </row>
    <row r="1041">
      <c r="A1041" s="30"/>
      <c r="B1041" s="30"/>
      <c r="C1041" s="30"/>
      <c r="D1041" s="31"/>
      <c r="E1041" s="31"/>
      <c r="F1041" s="31"/>
      <c r="G1041" s="31"/>
      <c r="H1041" s="31"/>
      <c r="I1041" s="54"/>
      <c r="J1041" s="55"/>
      <c r="K1041" s="54"/>
      <c r="L1041" s="56"/>
      <c r="M1041" s="56"/>
      <c r="N1041" s="31"/>
      <c r="O1041" s="57"/>
      <c r="P1041" s="57"/>
      <c r="Q1041" s="57"/>
      <c r="R1041" s="57"/>
      <c r="S1041" s="31"/>
      <c r="T1041" s="57"/>
      <c r="U1041" s="57"/>
      <c r="V1041" s="57"/>
      <c r="W1041" s="57"/>
      <c r="X1041" s="31"/>
      <c r="Y1041" s="57"/>
      <c r="Z1041" s="57"/>
      <c r="AA1041" s="57"/>
      <c r="AB1041" s="57"/>
      <c r="AC1041" s="31"/>
      <c r="AD1041" s="57"/>
      <c r="AE1041" s="57"/>
      <c r="AF1041" s="57"/>
      <c r="AG1041" s="57"/>
      <c r="AH1041" s="57"/>
      <c r="AI1041" s="57"/>
      <c r="AJ1041" s="57"/>
      <c r="AK1041" s="57"/>
      <c r="AL1041" s="57"/>
      <c r="AM1041" s="57"/>
      <c r="AN1041" s="57"/>
      <c r="AO1041" s="57"/>
      <c r="AP1041" s="35"/>
      <c r="AQ1041" s="57"/>
      <c r="AR1041" s="36"/>
      <c r="AS1041" s="57"/>
      <c r="AT1041" s="37"/>
      <c r="AU1041" s="30"/>
      <c r="AV1041" s="30"/>
      <c r="AW1041" s="30"/>
      <c r="AX1041" s="30"/>
      <c r="AY1041" s="30"/>
      <c r="AZ1041" s="30"/>
    </row>
    <row r="1042">
      <c r="A1042" s="30"/>
      <c r="B1042" s="30"/>
      <c r="C1042" s="30"/>
      <c r="D1042" s="31"/>
      <c r="E1042" s="31"/>
      <c r="F1042" s="31"/>
      <c r="G1042" s="31"/>
      <c r="H1042" s="31"/>
      <c r="I1042" s="54"/>
      <c r="J1042" s="55"/>
      <c r="K1042" s="54"/>
      <c r="L1042" s="56"/>
      <c r="M1042" s="56"/>
      <c r="N1042" s="31"/>
      <c r="O1042" s="57"/>
      <c r="P1042" s="57"/>
      <c r="Q1042" s="57"/>
      <c r="R1042" s="57"/>
      <c r="S1042" s="31"/>
      <c r="T1042" s="57"/>
      <c r="U1042" s="57"/>
      <c r="V1042" s="57"/>
      <c r="W1042" s="57"/>
      <c r="X1042" s="31"/>
      <c r="Y1042" s="57"/>
      <c r="Z1042" s="57"/>
      <c r="AA1042" s="57"/>
      <c r="AB1042" s="57"/>
      <c r="AC1042" s="31"/>
      <c r="AD1042" s="57"/>
      <c r="AE1042" s="57"/>
      <c r="AF1042" s="57"/>
      <c r="AG1042" s="57"/>
      <c r="AH1042" s="57"/>
      <c r="AI1042" s="57"/>
      <c r="AJ1042" s="57"/>
      <c r="AK1042" s="57"/>
      <c r="AL1042" s="57"/>
      <c r="AM1042" s="57"/>
      <c r="AN1042" s="57"/>
      <c r="AO1042" s="57"/>
      <c r="AP1042" s="35"/>
      <c r="AQ1042" s="57"/>
      <c r="AR1042" s="36"/>
      <c r="AS1042" s="57"/>
      <c r="AT1042" s="37"/>
      <c r="AU1042" s="30"/>
      <c r="AV1042" s="30"/>
      <c r="AW1042" s="30"/>
      <c r="AX1042" s="30"/>
      <c r="AY1042" s="30"/>
      <c r="AZ1042" s="30"/>
    </row>
    <row r="1043">
      <c r="A1043" s="30"/>
      <c r="B1043" s="30"/>
      <c r="C1043" s="30"/>
      <c r="D1043" s="31"/>
      <c r="E1043" s="31"/>
      <c r="F1043" s="31"/>
      <c r="G1043" s="31"/>
      <c r="H1043" s="31"/>
      <c r="I1043" s="54"/>
      <c r="J1043" s="55"/>
      <c r="K1043" s="54"/>
      <c r="L1043" s="56"/>
      <c r="M1043" s="56"/>
      <c r="N1043" s="31"/>
      <c r="O1043" s="57"/>
      <c r="P1043" s="57"/>
      <c r="Q1043" s="57"/>
      <c r="R1043" s="57"/>
      <c r="S1043" s="31"/>
      <c r="T1043" s="57"/>
      <c r="U1043" s="57"/>
      <c r="V1043" s="57"/>
      <c r="W1043" s="57"/>
      <c r="X1043" s="31"/>
      <c r="Y1043" s="57"/>
      <c r="Z1043" s="57"/>
      <c r="AA1043" s="57"/>
      <c r="AB1043" s="57"/>
      <c r="AC1043" s="31"/>
      <c r="AD1043" s="57"/>
      <c r="AE1043" s="57"/>
      <c r="AF1043" s="57"/>
      <c r="AG1043" s="57"/>
      <c r="AH1043" s="57"/>
      <c r="AI1043" s="57"/>
      <c r="AJ1043" s="57"/>
      <c r="AK1043" s="57"/>
      <c r="AL1043" s="57"/>
      <c r="AM1043" s="57"/>
      <c r="AN1043" s="57"/>
      <c r="AO1043" s="57"/>
      <c r="AP1043" s="35"/>
      <c r="AQ1043" s="57"/>
      <c r="AR1043" s="36"/>
      <c r="AS1043" s="57"/>
      <c r="AT1043" s="37"/>
      <c r="AU1043" s="30"/>
      <c r="AV1043" s="30"/>
      <c r="AW1043" s="30"/>
      <c r="AX1043" s="30"/>
      <c r="AY1043" s="30"/>
      <c r="AZ1043" s="30"/>
    </row>
    <row r="1044">
      <c r="A1044" s="30"/>
      <c r="B1044" s="30"/>
      <c r="C1044" s="30"/>
      <c r="D1044" s="31"/>
      <c r="E1044" s="31"/>
      <c r="F1044" s="31"/>
      <c r="G1044" s="31"/>
      <c r="H1044" s="31"/>
      <c r="I1044" s="54"/>
      <c r="J1044" s="55"/>
      <c r="K1044" s="54"/>
      <c r="L1044" s="56"/>
      <c r="M1044" s="56"/>
      <c r="N1044" s="31"/>
      <c r="O1044" s="57"/>
      <c r="P1044" s="57"/>
      <c r="Q1044" s="57"/>
      <c r="R1044" s="57"/>
      <c r="S1044" s="31"/>
      <c r="T1044" s="57"/>
      <c r="U1044" s="57"/>
      <c r="V1044" s="57"/>
      <c r="W1044" s="57"/>
      <c r="X1044" s="31"/>
      <c r="Y1044" s="57"/>
      <c r="Z1044" s="57"/>
      <c r="AA1044" s="57"/>
      <c r="AB1044" s="57"/>
      <c r="AC1044" s="31"/>
      <c r="AD1044" s="57"/>
      <c r="AE1044" s="57"/>
      <c r="AF1044" s="57"/>
      <c r="AG1044" s="57"/>
      <c r="AH1044" s="57"/>
      <c r="AI1044" s="57"/>
      <c r="AJ1044" s="57"/>
      <c r="AK1044" s="57"/>
      <c r="AL1044" s="57"/>
      <c r="AM1044" s="57"/>
      <c r="AN1044" s="57"/>
      <c r="AO1044" s="57"/>
      <c r="AP1044" s="35"/>
      <c r="AQ1044" s="57"/>
      <c r="AR1044" s="36"/>
      <c r="AS1044" s="57"/>
      <c r="AT1044" s="37"/>
      <c r="AU1044" s="30"/>
      <c r="AV1044" s="30"/>
      <c r="AW1044" s="30"/>
      <c r="AX1044" s="30"/>
      <c r="AY1044" s="30"/>
      <c r="AZ1044" s="30"/>
    </row>
    <row r="1045">
      <c r="A1045" s="30"/>
      <c r="B1045" s="30"/>
      <c r="C1045" s="30"/>
      <c r="D1045" s="31"/>
      <c r="E1045" s="31"/>
      <c r="F1045" s="31"/>
      <c r="G1045" s="31"/>
      <c r="H1045" s="31"/>
      <c r="I1045" s="54"/>
      <c r="J1045" s="55"/>
      <c r="K1045" s="54"/>
      <c r="L1045" s="56"/>
      <c r="M1045" s="56"/>
      <c r="N1045" s="31"/>
      <c r="O1045" s="57"/>
      <c r="P1045" s="57"/>
      <c r="Q1045" s="57"/>
      <c r="R1045" s="57"/>
      <c r="S1045" s="31"/>
      <c r="T1045" s="57"/>
      <c r="U1045" s="57"/>
      <c r="V1045" s="57"/>
      <c r="W1045" s="57"/>
      <c r="X1045" s="31"/>
      <c r="Y1045" s="57"/>
      <c r="Z1045" s="57"/>
      <c r="AA1045" s="57"/>
      <c r="AB1045" s="57"/>
      <c r="AC1045" s="31"/>
      <c r="AD1045" s="57"/>
      <c r="AE1045" s="57"/>
      <c r="AF1045" s="57"/>
      <c r="AG1045" s="57"/>
      <c r="AH1045" s="57"/>
      <c r="AI1045" s="57"/>
      <c r="AJ1045" s="57"/>
      <c r="AK1045" s="57"/>
      <c r="AL1045" s="57"/>
      <c r="AM1045" s="57"/>
      <c r="AN1045" s="57"/>
      <c r="AO1045" s="57"/>
      <c r="AP1045" s="35"/>
      <c r="AQ1045" s="57"/>
      <c r="AR1045" s="36"/>
      <c r="AS1045" s="57"/>
      <c r="AT1045" s="37"/>
      <c r="AU1045" s="30"/>
      <c r="AV1045" s="30"/>
      <c r="AW1045" s="30"/>
      <c r="AX1045" s="30"/>
      <c r="AY1045" s="30"/>
      <c r="AZ1045" s="30"/>
    </row>
    <row r="1046">
      <c r="A1046" s="30"/>
      <c r="B1046" s="30"/>
      <c r="C1046" s="30"/>
      <c r="D1046" s="31"/>
      <c r="E1046" s="31"/>
      <c r="F1046" s="31"/>
      <c r="G1046" s="31"/>
      <c r="H1046" s="31"/>
      <c r="I1046" s="54"/>
      <c r="J1046" s="55"/>
      <c r="K1046" s="54"/>
      <c r="L1046" s="56"/>
      <c r="M1046" s="56"/>
      <c r="N1046" s="31"/>
      <c r="O1046" s="57"/>
      <c r="P1046" s="57"/>
      <c r="Q1046" s="57"/>
      <c r="R1046" s="57"/>
      <c r="S1046" s="31"/>
      <c r="T1046" s="57"/>
      <c r="U1046" s="57"/>
      <c r="V1046" s="57"/>
      <c r="W1046" s="57"/>
      <c r="X1046" s="31"/>
      <c r="Y1046" s="57"/>
      <c r="Z1046" s="57"/>
      <c r="AA1046" s="57"/>
      <c r="AB1046" s="57"/>
      <c r="AC1046" s="31"/>
      <c r="AD1046" s="57"/>
      <c r="AE1046" s="57"/>
      <c r="AF1046" s="57"/>
      <c r="AG1046" s="57"/>
      <c r="AH1046" s="57"/>
      <c r="AI1046" s="57"/>
      <c r="AJ1046" s="57"/>
      <c r="AK1046" s="57"/>
      <c r="AL1046" s="57"/>
      <c r="AM1046" s="57"/>
      <c r="AN1046" s="57"/>
      <c r="AO1046" s="57"/>
      <c r="AP1046" s="35"/>
      <c r="AQ1046" s="57"/>
      <c r="AR1046" s="36"/>
      <c r="AS1046" s="57"/>
      <c r="AT1046" s="37"/>
      <c r="AU1046" s="30"/>
      <c r="AV1046" s="30"/>
      <c r="AW1046" s="30"/>
      <c r="AX1046" s="30"/>
      <c r="AY1046" s="30"/>
      <c r="AZ1046" s="30"/>
    </row>
    <row r="1047">
      <c r="A1047" s="30"/>
      <c r="B1047" s="30"/>
      <c r="C1047" s="30"/>
      <c r="D1047" s="31"/>
      <c r="E1047" s="31"/>
      <c r="F1047" s="31"/>
      <c r="G1047" s="31"/>
      <c r="H1047" s="31"/>
      <c r="I1047" s="54"/>
      <c r="J1047" s="55"/>
      <c r="K1047" s="54"/>
      <c r="L1047" s="56"/>
      <c r="M1047" s="56"/>
      <c r="N1047" s="31"/>
      <c r="O1047" s="57"/>
      <c r="P1047" s="57"/>
      <c r="Q1047" s="57"/>
      <c r="R1047" s="57"/>
      <c r="S1047" s="31"/>
      <c r="T1047" s="57"/>
      <c r="U1047" s="57"/>
      <c r="V1047" s="57"/>
      <c r="W1047" s="57"/>
      <c r="X1047" s="31"/>
      <c r="Y1047" s="57"/>
      <c r="Z1047" s="57"/>
      <c r="AA1047" s="57"/>
      <c r="AB1047" s="57"/>
      <c r="AC1047" s="31"/>
      <c r="AD1047" s="57"/>
      <c r="AE1047" s="57"/>
      <c r="AF1047" s="57"/>
      <c r="AG1047" s="57"/>
      <c r="AH1047" s="57"/>
      <c r="AI1047" s="57"/>
      <c r="AJ1047" s="57"/>
      <c r="AK1047" s="57"/>
      <c r="AL1047" s="57"/>
      <c r="AM1047" s="57"/>
      <c r="AN1047" s="57"/>
      <c r="AO1047" s="57"/>
      <c r="AP1047" s="35"/>
      <c r="AQ1047" s="57"/>
      <c r="AR1047" s="36"/>
      <c r="AS1047" s="57"/>
      <c r="AT1047" s="37"/>
      <c r="AU1047" s="30"/>
      <c r="AV1047" s="30"/>
      <c r="AW1047" s="30"/>
      <c r="AX1047" s="30"/>
      <c r="AY1047" s="30"/>
      <c r="AZ1047" s="30"/>
    </row>
    <row r="1048">
      <c r="A1048" s="30"/>
      <c r="B1048" s="30"/>
      <c r="C1048" s="30"/>
      <c r="D1048" s="31"/>
      <c r="E1048" s="31"/>
      <c r="F1048" s="31"/>
      <c r="G1048" s="31"/>
      <c r="H1048" s="31"/>
      <c r="I1048" s="54"/>
      <c r="J1048" s="55"/>
      <c r="K1048" s="54"/>
      <c r="L1048" s="56"/>
      <c r="M1048" s="56"/>
      <c r="N1048" s="31"/>
      <c r="O1048" s="57"/>
      <c r="P1048" s="57"/>
      <c r="Q1048" s="57"/>
      <c r="R1048" s="57"/>
      <c r="S1048" s="31"/>
      <c r="T1048" s="57"/>
      <c r="U1048" s="57"/>
      <c r="V1048" s="57"/>
      <c r="W1048" s="57"/>
      <c r="X1048" s="31"/>
      <c r="Y1048" s="57"/>
      <c r="Z1048" s="57"/>
      <c r="AA1048" s="57"/>
      <c r="AB1048" s="57"/>
      <c r="AC1048" s="31"/>
      <c r="AD1048" s="57"/>
      <c r="AE1048" s="57"/>
      <c r="AF1048" s="57"/>
      <c r="AG1048" s="57"/>
      <c r="AH1048" s="57"/>
      <c r="AI1048" s="57"/>
      <c r="AJ1048" s="57"/>
      <c r="AK1048" s="57"/>
      <c r="AL1048" s="57"/>
      <c r="AM1048" s="57"/>
      <c r="AN1048" s="57"/>
      <c r="AO1048" s="57"/>
      <c r="AP1048" s="35"/>
      <c r="AQ1048" s="57"/>
      <c r="AR1048" s="36"/>
      <c r="AS1048" s="57"/>
      <c r="AT1048" s="37"/>
      <c r="AU1048" s="30"/>
      <c r="AV1048" s="30"/>
      <c r="AW1048" s="30"/>
      <c r="AX1048" s="30"/>
      <c r="AY1048" s="30"/>
      <c r="AZ1048" s="30"/>
    </row>
    <row r="1049">
      <c r="A1049" s="30"/>
      <c r="B1049" s="30"/>
      <c r="C1049" s="30"/>
      <c r="D1049" s="31"/>
      <c r="E1049" s="31"/>
      <c r="F1049" s="31"/>
      <c r="G1049" s="31"/>
      <c r="H1049" s="31"/>
      <c r="I1049" s="54"/>
      <c r="J1049" s="55"/>
      <c r="K1049" s="54"/>
      <c r="L1049" s="56"/>
      <c r="M1049" s="56"/>
      <c r="N1049" s="31"/>
      <c r="O1049" s="57"/>
      <c r="P1049" s="57"/>
      <c r="Q1049" s="57"/>
      <c r="R1049" s="57"/>
      <c r="S1049" s="31"/>
      <c r="T1049" s="57"/>
      <c r="U1049" s="57"/>
      <c r="V1049" s="57"/>
      <c r="W1049" s="57"/>
      <c r="X1049" s="31"/>
      <c r="Y1049" s="57"/>
      <c r="Z1049" s="57"/>
      <c r="AA1049" s="57"/>
      <c r="AB1049" s="57"/>
      <c r="AC1049" s="31"/>
      <c r="AD1049" s="57"/>
      <c r="AE1049" s="57"/>
      <c r="AF1049" s="57"/>
      <c r="AG1049" s="57"/>
      <c r="AH1049" s="57"/>
      <c r="AI1049" s="57"/>
      <c r="AJ1049" s="57"/>
      <c r="AK1049" s="57"/>
      <c r="AL1049" s="57"/>
      <c r="AM1049" s="57"/>
      <c r="AN1049" s="57"/>
      <c r="AO1049" s="57"/>
      <c r="AP1049" s="35"/>
      <c r="AQ1049" s="57"/>
      <c r="AR1049" s="36"/>
      <c r="AS1049" s="57"/>
      <c r="AT1049" s="37"/>
      <c r="AU1049" s="30"/>
      <c r="AV1049" s="30"/>
      <c r="AW1049" s="30"/>
      <c r="AX1049" s="30"/>
      <c r="AY1049" s="30"/>
      <c r="AZ1049" s="30"/>
    </row>
    <row r="1050">
      <c r="A1050" s="30"/>
      <c r="B1050" s="30"/>
      <c r="C1050" s="30"/>
      <c r="D1050" s="31"/>
      <c r="E1050" s="31"/>
      <c r="F1050" s="31"/>
      <c r="G1050" s="31"/>
      <c r="H1050" s="31"/>
      <c r="I1050" s="54"/>
      <c r="J1050" s="55"/>
      <c r="K1050" s="54"/>
      <c r="L1050" s="56"/>
      <c r="M1050" s="56"/>
      <c r="N1050" s="31"/>
      <c r="O1050" s="57"/>
      <c r="P1050" s="57"/>
      <c r="Q1050" s="57"/>
      <c r="R1050" s="57"/>
      <c r="S1050" s="31"/>
      <c r="T1050" s="57"/>
      <c r="U1050" s="57"/>
      <c r="V1050" s="57"/>
      <c r="W1050" s="57"/>
      <c r="X1050" s="31"/>
      <c r="Y1050" s="57"/>
      <c r="Z1050" s="57"/>
      <c r="AA1050" s="57"/>
      <c r="AB1050" s="57"/>
      <c r="AC1050" s="31"/>
      <c r="AD1050" s="57"/>
      <c r="AE1050" s="57"/>
      <c r="AF1050" s="57"/>
      <c r="AG1050" s="57"/>
      <c r="AH1050" s="57"/>
      <c r="AI1050" s="57"/>
      <c r="AJ1050" s="57"/>
      <c r="AK1050" s="57"/>
      <c r="AL1050" s="57"/>
      <c r="AM1050" s="57"/>
      <c r="AN1050" s="57"/>
      <c r="AO1050" s="57"/>
      <c r="AP1050" s="35"/>
      <c r="AQ1050" s="57"/>
      <c r="AR1050" s="36"/>
      <c r="AS1050" s="57"/>
      <c r="AT1050" s="37"/>
      <c r="AU1050" s="30"/>
      <c r="AV1050" s="30"/>
      <c r="AW1050" s="30"/>
      <c r="AX1050" s="30"/>
      <c r="AY1050" s="30"/>
      <c r="AZ1050" s="30"/>
    </row>
    <row r="1051">
      <c r="A1051" s="30"/>
      <c r="B1051" s="30"/>
      <c r="C1051" s="30"/>
      <c r="D1051" s="31"/>
      <c r="E1051" s="31"/>
      <c r="F1051" s="31"/>
      <c r="G1051" s="31"/>
      <c r="H1051" s="31"/>
      <c r="I1051" s="54"/>
      <c r="J1051" s="55"/>
      <c r="K1051" s="54"/>
      <c r="L1051" s="56"/>
      <c r="M1051" s="56"/>
      <c r="N1051" s="31"/>
      <c r="O1051" s="57"/>
      <c r="P1051" s="57"/>
      <c r="Q1051" s="57"/>
      <c r="R1051" s="57"/>
      <c r="S1051" s="31"/>
      <c r="T1051" s="57"/>
      <c r="U1051" s="57"/>
      <c r="V1051" s="57"/>
      <c r="W1051" s="57"/>
      <c r="X1051" s="31"/>
      <c r="Y1051" s="57"/>
      <c r="Z1051" s="57"/>
      <c r="AA1051" s="57"/>
      <c r="AB1051" s="57"/>
      <c r="AC1051" s="31"/>
      <c r="AD1051" s="57"/>
      <c r="AE1051" s="57"/>
      <c r="AF1051" s="57"/>
      <c r="AG1051" s="57"/>
      <c r="AH1051" s="57"/>
      <c r="AI1051" s="57"/>
      <c r="AJ1051" s="57"/>
      <c r="AK1051" s="57"/>
      <c r="AL1051" s="57"/>
      <c r="AM1051" s="57"/>
      <c r="AN1051" s="57"/>
      <c r="AO1051" s="57"/>
      <c r="AP1051" s="35"/>
      <c r="AQ1051" s="57"/>
      <c r="AR1051" s="36"/>
      <c r="AS1051" s="57"/>
      <c r="AT1051" s="37"/>
      <c r="AU1051" s="30"/>
      <c r="AV1051" s="30"/>
      <c r="AW1051" s="30"/>
      <c r="AX1051" s="30"/>
      <c r="AY1051" s="30"/>
      <c r="AZ1051" s="30"/>
    </row>
    <row r="1052">
      <c r="A1052" s="30"/>
      <c r="B1052" s="30"/>
      <c r="C1052" s="30"/>
      <c r="D1052" s="31"/>
      <c r="E1052" s="31"/>
      <c r="F1052" s="31"/>
      <c r="G1052" s="31"/>
      <c r="H1052" s="31"/>
      <c r="I1052" s="54"/>
      <c r="J1052" s="55"/>
      <c r="K1052" s="54"/>
      <c r="L1052" s="56"/>
      <c r="M1052" s="56"/>
      <c r="N1052" s="31"/>
      <c r="O1052" s="57"/>
      <c r="P1052" s="57"/>
      <c r="Q1052" s="57"/>
      <c r="R1052" s="57"/>
      <c r="S1052" s="31"/>
      <c r="T1052" s="57"/>
      <c r="U1052" s="57"/>
      <c r="V1052" s="57"/>
      <c r="W1052" s="57"/>
      <c r="X1052" s="31"/>
      <c r="Y1052" s="57"/>
      <c r="Z1052" s="57"/>
      <c r="AA1052" s="57"/>
      <c r="AB1052" s="57"/>
      <c r="AC1052" s="31"/>
      <c r="AD1052" s="57"/>
      <c r="AE1052" s="57"/>
      <c r="AF1052" s="57"/>
      <c r="AG1052" s="57"/>
      <c r="AH1052" s="57"/>
      <c r="AI1052" s="57"/>
      <c r="AJ1052" s="57"/>
      <c r="AK1052" s="57"/>
      <c r="AL1052" s="57"/>
      <c r="AM1052" s="57"/>
      <c r="AN1052" s="57"/>
      <c r="AO1052" s="57"/>
      <c r="AP1052" s="35"/>
      <c r="AQ1052" s="57"/>
      <c r="AR1052" s="36"/>
      <c r="AS1052" s="57"/>
      <c r="AT1052" s="37"/>
      <c r="AU1052" s="30"/>
      <c r="AV1052" s="30"/>
      <c r="AW1052" s="30"/>
      <c r="AX1052" s="30"/>
      <c r="AY1052" s="30"/>
      <c r="AZ1052" s="30"/>
    </row>
    <row r="1053">
      <c r="A1053" s="30"/>
      <c r="B1053" s="30"/>
      <c r="C1053" s="30"/>
      <c r="D1053" s="31"/>
      <c r="E1053" s="31"/>
      <c r="F1053" s="31"/>
      <c r="G1053" s="31"/>
      <c r="H1053" s="31"/>
      <c r="I1053" s="54"/>
      <c r="J1053" s="55"/>
      <c r="K1053" s="54"/>
      <c r="L1053" s="56"/>
      <c r="M1053" s="56"/>
      <c r="N1053" s="31"/>
      <c r="O1053" s="57"/>
      <c r="P1053" s="57"/>
      <c r="Q1053" s="57"/>
      <c r="R1053" s="57"/>
      <c r="S1053" s="31"/>
      <c r="T1053" s="57"/>
      <c r="U1053" s="57"/>
      <c r="V1053" s="57"/>
      <c r="W1053" s="57"/>
      <c r="X1053" s="31"/>
      <c r="Y1053" s="57"/>
      <c r="Z1053" s="57"/>
      <c r="AA1053" s="57"/>
      <c r="AB1053" s="57"/>
      <c r="AC1053" s="31"/>
      <c r="AD1053" s="57"/>
      <c r="AE1053" s="57"/>
      <c r="AF1053" s="57"/>
      <c r="AG1053" s="57"/>
      <c r="AH1053" s="57"/>
      <c r="AI1053" s="57"/>
      <c r="AJ1053" s="57"/>
      <c r="AK1053" s="57"/>
      <c r="AL1053" s="57"/>
      <c r="AM1053" s="57"/>
      <c r="AN1053" s="57"/>
      <c r="AO1053" s="57"/>
      <c r="AP1053" s="35"/>
      <c r="AQ1053" s="57"/>
      <c r="AR1053" s="36"/>
      <c r="AS1053" s="57"/>
      <c r="AT1053" s="37"/>
      <c r="AU1053" s="30"/>
      <c r="AV1053" s="30"/>
      <c r="AW1053" s="30"/>
      <c r="AX1053" s="30"/>
      <c r="AY1053" s="30"/>
      <c r="AZ1053" s="30"/>
    </row>
    <row r="1054">
      <c r="A1054" s="30"/>
      <c r="B1054" s="30"/>
      <c r="C1054" s="30"/>
      <c r="D1054" s="31"/>
      <c r="E1054" s="31"/>
      <c r="F1054" s="31"/>
      <c r="G1054" s="31"/>
      <c r="H1054" s="31"/>
      <c r="I1054" s="54"/>
      <c r="J1054" s="55"/>
      <c r="K1054" s="54"/>
      <c r="L1054" s="56"/>
      <c r="M1054" s="56"/>
      <c r="N1054" s="31"/>
      <c r="O1054" s="57"/>
      <c r="P1054" s="57"/>
      <c r="Q1054" s="57"/>
      <c r="R1054" s="57"/>
      <c r="S1054" s="31"/>
      <c r="T1054" s="57"/>
      <c r="U1054" s="57"/>
      <c r="V1054" s="57"/>
      <c r="W1054" s="57"/>
      <c r="X1054" s="31"/>
      <c r="Y1054" s="57"/>
      <c r="Z1054" s="57"/>
      <c r="AA1054" s="57"/>
      <c r="AB1054" s="57"/>
      <c r="AC1054" s="31"/>
      <c r="AD1054" s="57"/>
      <c r="AE1054" s="57"/>
      <c r="AF1054" s="57"/>
      <c r="AG1054" s="57"/>
      <c r="AH1054" s="57"/>
      <c r="AI1054" s="57"/>
      <c r="AJ1054" s="57"/>
      <c r="AK1054" s="57"/>
      <c r="AL1054" s="57"/>
      <c r="AM1054" s="57"/>
      <c r="AN1054" s="57"/>
      <c r="AO1054" s="57"/>
      <c r="AP1054" s="35"/>
      <c r="AQ1054" s="57"/>
      <c r="AR1054" s="36"/>
      <c r="AS1054" s="57"/>
      <c r="AT1054" s="37"/>
      <c r="AU1054" s="30"/>
      <c r="AV1054" s="30"/>
      <c r="AW1054" s="30"/>
      <c r="AX1054" s="30"/>
      <c r="AY1054" s="30"/>
      <c r="AZ1054" s="30"/>
    </row>
    <row r="1055">
      <c r="A1055" s="30"/>
      <c r="B1055" s="30"/>
      <c r="C1055" s="30"/>
      <c r="D1055" s="31"/>
      <c r="E1055" s="31"/>
      <c r="F1055" s="31"/>
      <c r="G1055" s="31"/>
      <c r="H1055" s="31"/>
      <c r="I1055" s="54"/>
      <c r="J1055" s="55"/>
      <c r="K1055" s="54"/>
      <c r="L1055" s="56"/>
      <c r="M1055" s="56"/>
      <c r="N1055" s="31"/>
      <c r="O1055" s="57"/>
      <c r="P1055" s="57"/>
      <c r="Q1055" s="57"/>
      <c r="R1055" s="57"/>
      <c r="S1055" s="31"/>
      <c r="T1055" s="57"/>
      <c r="U1055" s="57"/>
      <c r="V1055" s="57"/>
      <c r="W1055" s="57"/>
      <c r="X1055" s="31"/>
      <c r="Y1055" s="57"/>
      <c r="Z1055" s="57"/>
      <c r="AA1055" s="57"/>
      <c r="AB1055" s="57"/>
      <c r="AC1055" s="31"/>
      <c r="AD1055" s="57"/>
      <c r="AE1055" s="57"/>
      <c r="AF1055" s="57"/>
      <c r="AG1055" s="57"/>
      <c r="AH1055" s="57"/>
      <c r="AI1055" s="57"/>
      <c r="AJ1055" s="57"/>
      <c r="AK1055" s="57"/>
      <c r="AL1055" s="57"/>
      <c r="AM1055" s="57"/>
      <c r="AN1055" s="57"/>
      <c r="AO1055" s="57"/>
      <c r="AP1055" s="35"/>
      <c r="AQ1055" s="57"/>
      <c r="AR1055" s="36"/>
      <c r="AS1055" s="57"/>
      <c r="AT1055" s="37"/>
      <c r="AU1055" s="30"/>
      <c r="AV1055" s="30"/>
      <c r="AW1055" s="30"/>
      <c r="AX1055" s="30"/>
      <c r="AY1055" s="30"/>
      <c r="AZ1055" s="30"/>
    </row>
    <row r="1056">
      <c r="A1056" s="30"/>
      <c r="B1056" s="30"/>
      <c r="C1056" s="30"/>
      <c r="D1056" s="31"/>
      <c r="E1056" s="31"/>
      <c r="F1056" s="31"/>
      <c r="G1056" s="31"/>
      <c r="H1056" s="31"/>
      <c r="I1056" s="54"/>
      <c r="J1056" s="55"/>
      <c r="K1056" s="54"/>
      <c r="L1056" s="56"/>
      <c r="M1056" s="56"/>
      <c r="N1056" s="31"/>
      <c r="O1056" s="57"/>
      <c r="P1056" s="57"/>
      <c r="Q1056" s="57"/>
      <c r="R1056" s="57"/>
      <c r="S1056" s="31"/>
      <c r="T1056" s="57"/>
      <c r="U1056" s="57"/>
      <c r="V1056" s="57"/>
      <c r="W1056" s="57"/>
      <c r="X1056" s="31"/>
      <c r="Y1056" s="57"/>
      <c r="Z1056" s="57"/>
      <c r="AA1056" s="57"/>
      <c r="AB1056" s="57"/>
      <c r="AC1056" s="31"/>
      <c r="AD1056" s="57"/>
      <c r="AE1056" s="57"/>
      <c r="AF1056" s="57"/>
      <c r="AG1056" s="57"/>
      <c r="AH1056" s="57"/>
      <c r="AI1056" s="57"/>
      <c r="AJ1056" s="57"/>
      <c r="AK1056" s="57"/>
      <c r="AL1056" s="57"/>
      <c r="AM1056" s="57"/>
      <c r="AN1056" s="57"/>
      <c r="AO1056" s="57"/>
      <c r="AP1056" s="35"/>
      <c r="AQ1056" s="57"/>
      <c r="AR1056" s="36"/>
      <c r="AS1056" s="57"/>
      <c r="AT1056" s="37"/>
      <c r="AU1056" s="30"/>
      <c r="AV1056" s="30"/>
      <c r="AW1056" s="30"/>
      <c r="AX1056" s="30"/>
      <c r="AY1056" s="30"/>
      <c r="AZ1056" s="30"/>
    </row>
    <row r="1057">
      <c r="A1057" s="30"/>
      <c r="B1057" s="30"/>
      <c r="C1057" s="30"/>
      <c r="D1057" s="31"/>
      <c r="E1057" s="31"/>
      <c r="F1057" s="31"/>
      <c r="G1057" s="31"/>
      <c r="H1057" s="31"/>
      <c r="I1057" s="54"/>
      <c r="J1057" s="55"/>
      <c r="K1057" s="54"/>
      <c r="L1057" s="56"/>
      <c r="M1057" s="56"/>
      <c r="N1057" s="31"/>
      <c r="O1057" s="57"/>
      <c r="P1057" s="57"/>
      <c r="Q1057" s="57"/>
      <c r="R1057" s="57"/>
      <c r="S1057" s="31"/>
      <c r="T1057" s="57"/>
      <c r="U1057" s="57"/>
      <c r="V1057" s="57"/>
      <c r="W1057" s="57"/>
      <c r="X1057" s="31"/>
      <c r="Y1057" s="57"/>
      <c r="Z1057" s="57"/>
      <c r="AA1057" s="57"/>
      <c r="AB1057" s="57"/>
      <c r="AC1057" s="31"/>
      <c r="AD1057" s="57"/>
      <c r="AE1057" s="57"/>
      <c r="AF1057" s="57"/>
      <c r="AG1057" s="57"/>
      <c r="AH1057" s="57"/>
      <c r="AI1057" s="57"/>
      <c r="AJ1057" s="57"/>
      <c r="AK1057" s="57"/>
      <c r="AL1057" s="57"/>
      <c r="AM1057" s="57"/>
      <c r="AN1057" s="57"/>
      <c r="AO1057" s="57"/>
      <c r="AP1057" s="35"/>
      <c r="AQ1057" s="57"/>
      <c r="AR1057" s="36"/>
      <c r="AS1057" s="57"/>
      <c r="AT1057" s="37"/>
      <c r="AU1057" s="30"/>
      <c r="AV1057" s="30"/>
      <c r="AW1057" s="30"/>
      <c r="AX1057" s="30"/>
      <c r="AY1057" s="30"/>
      <c r="AZ1057" s="30"/>
    </row>
    <row r="1058">
      <c r="A1058" s="30"/>
      <c r="B1058" s="30"/>
      <c r="C1058" s="30"/>
      <c r="D1058" s="31"/>
      <c r="E1058" s="31"/>
      <c r="F1058" s="31"/>
      <c r="G1058" s="31"/>
      <c r="H1058" s="31"/>
      <c r="I1058" s="54"/>
      <c r="J1058" s="55"/>
      <c r="K1058" s="54"/>
      <c r="L1058" s="56"/>
      <c r="M1058" s="56"/>
      <c r="N1058" s="31"/>
      <c r="O1058" s="57"/>
      <c r="P1058" s="57"/>
      <c r="Q1058" s="57"/>
      <c r="R1058" s="57"/>
      <c r="S1058" s="31"/>
      <c r="T1058" s="57"/>
      <c r="U1058" s="57"/>
      <c r="V1058" s="57"/>
      <c r="W1058" s="57"/>
      <c r="X1058" s="31"/>
      <c r="Y1058" s="57"/>
      <c r="Z1058" s="57"/>
      <c r="AA1058" s="57"/>
      <c r="AB1058" s="57"/>
      <c r="AC1058" s="31"/>
      <c r="AD1058" s="57"/>
      <c r="AE1058" s="57"/>
      <c r="AF1058" s="57"/>
      <c r="AG1058" s="57"/>
      <c r="AH1058" s="57"/>
      <c r="AI1058" s="57"/>
      <c r="AJ1058" s="57"/>
      <c r="AK1058" s="57"/>
      <c r="AL1058" s="57"/>
      <c r="AM1058" s="57"/>
      <c r="AN1058" s="57"/>
      <c r="AO1058" s="57"/>
      <c r="AP1058" s="35"/>
      <c r="AQ1058" s="57"/>
      <c r="AR1058" s="36"/>
      <c r="AS1058" s="57"/>
      <c r="AT1058" s="37"/>
      <c r="AU1058" s="30"/>
      <c r="AV1058" s="30"/>
      <c r="AW1058" s="30"/>
      <c r="AX1058" s="30"/>
      <c r="AY1058" s="30"/>
      <c r="AZ1058" s="30"/>
    </row>
    <row r="1059">
      <c r="A1059" s="30"/>
      <c r="B1059" s="30"/>
      <c r="C1059" s="30"/>
      <c r="D1059" s="31"/>
      <c r="E1059" s="31"/>
      <c r="F1059" s="31"/>
      <c r="G1059" s="31"/>
      <c r="H1059" s="31"/>
      <c r="I1059" s="54"/>
      <c r="J1059" s="55"/>
      <c r="K1059" s="54"/>
      <c r="L1059" s="56"/>
      <c r="M1059" s="56"/>
      <c r="N1059" s="31"/>
      <c r="O1059" s="57"/>
      <c r="P1059" s="57"/>
      <c r="Q1059" s="57"/>
      <c r="R1059" s="57"/>
      <c r="S1059" s="31"/>
      <c r="T1059" s="57"/>
      <c r="U1059" s="57"/>
      <c r="V1059" s="57"/>
      <c r="W1059" s="57"/>
      <c r="X1059" s="31"/>
      <c r="Y1059" s="57"/>
      <c r="Z1059" s="57"/>
      <c r="AA1059" s="57"/>
      <c r="AB1059" s="57"/>
      <c r="AC1059" s="31"/>
      <c r="AD1059" s="57"/>
      <c r="AE1059" s="57"/>
      <c r="AF1059" s="57"/>
      <c r="AG1059" s="57"/>
      <c r="AH1059" s="57"/>
      <c r="AI1059" s="57"/>
      <c r="AJ1059" s="57"/>
      <c r="AK1059" s="57"/>
      <c r="AL1059" s="57"/>
      <c r="AM1059" s="57"/>
      <c r="AN1059" s="57"/>
      <c r="AO1059" s="57"/>
      <c r="AP1059" s="35"/>
      <c r="AQ1059" s="57"/>
      <c r="AR1059" s="36"/>
      <c r="AS1059" s="57"/>
      <c r="AT1059" s="37"/>
      <c r="AU1059" s="30"/>
      <c r="AV1059" s="30"/>
      <c r="AW1059" s="30"/>
      <c r="AX1059" s="30"/>
      <c r="AY1059" s="30"/>
      <c r="AZ1059" s="30"/>
    </row>
    <row r="1060">
      <c r="A1060" s="30"/>
      <c r="B1060" s="30"/>
      <c r="C1060" s="30"/>
      <c r="D1060" s="31"/>
      <c r="E1060" s="31"/>
      <c r="F1060" s="31"/>
      <c r="G1060" s="31"/>
      <c r="H1060" s="31"/>
      <c r="I1060" s="54"/>
      <c r="J1060" s="55"/>
      <c r="K1060" s="54"/>
      <c r="L1060" s="56"/>
      <c r="M1060" s="56"/>
      <c r="N1060" s="31"/>
      <c r="O1060" s="57"/>
      <c r="P1060" s="57"/>
      <c r="Q1060" s="57"/>
      <c r="R1060" s="57"/>
      <c r="S1060" s="31"/>
      <c r="T1060" s="57"/>
      <c r="U1060" s="57"/>
      <c r="V1060" s="57"/>
      <c r="W1060" s="57"/>
      <c r="X1060" s="31"/>
      <c r="Y1060" s="57"/>
      <c r="Z1060" s="57"/>
      <c r="AA1060" s="57"/>
      <c r="AB1060" s="57"/>
      <c r="AC1060" s="31"/>
      <c r="AD1060" s="57"/>
      <c r="AE1060" s="57"/>
      <c r="AF1060" s="57"/>
      <c r="AG1060" s="57"/>
      <c r="AH1060" s="57"/>
      <c r="AI1060" s="57"/>
      <c r="AJ1060" s="57"/>
      <c r="AK1060" s="57"/>
      <c r="AL1060" s="57"/>
      <c r="AM1060" s="57"/>
      <c r="AN1060" s="57"/>
      <c r="AO1060" s="57"/>
      <c r="AP1060" s="35"/>
      <c r="AQ1060" s="57"/>
      <c r="AR1060" s="36"/>
      <c r="AS1060" s="57"/>
      <c r="AT1060" s="37"/>
      <c r="AU1060" s="30"/>
      <c r="AV1060" s="30"/>
      <c r="AW1060" s="30"/>
      <c r="AX1060" s="30"/>
      <c r="AY1060" s="30"/>
      <c r="AZ1060" s="30"/>
    </row>
    <row r="1061">
      <c r="A1061" s="30"/>
      <c r="B1061" s="30"/>
      <c r="C1061" s="30"/>
      <c r="D1061" s="31"/>
      <c r="E1061" s="31"/>
      <c r="F1061" s="31"/>
      <c r="G1061" s="31"/>
      <c r="H1061" s="31"/>
      <c r="I1061" s="54"/>
      <c r="J1061" s="55"/>
      <c r="K1061" s="54"/>
      <c r="L1061" s="56"/>
      <c r="M1061" s="56"/>
      <c r="N1061" s="31"/>
      <c r="O1061" s="57"/>
      <c r="P1061" s="57"/>
      <c r="Q1061" s="57"/>
      <c r="R1061" s="57"/>
      <c r="S1061" s="31"/>
      <c r="T1061" s="57"/>
      <c r="U1061" s="57"/>
      <c r="V1061" s="57"/>
      <c r="W1061" s="57"/>
      <c r="X1061" s="31"/>
      <c r="Y1061" s="57"/>
      <c r="Z1061" s="57"/>
      <c r="AA1061" s="57"/>
      <c r="AB1061" s="57"/>
      <c r="AC1061" s="31"/>
      <c r="AD1061" s="57"/>
      <c r="AE1061" s="57"/>
      <c r="AF1061" s="57"/>
      <c r="AG1061" s="57"/>
      <c r="AH1061" s="57"/>
      <c r="AI1061" s="57"/>
      <c r="AJ1061" s="57"/>
      <c r="AK1061" s="57"/>
      <c r="AL1061" s="57"/>
      <c r="AM1061" s="57"/>
      <c r="AN1061" s="57"/>
      <c r="AO1061" s="57"/>
      <c r="AP1061" s="35"/>
      <c r="AQ1061" s="57"/>
      <c r="AR1061" s="36"/>
      <c r="AS1061" s="57"/>
      <c r="AT1061" s="37"/>
      <c r="AU1061" s="30"/>
      <c r="AV1061" s="30"/>
      <c r="AW1061" s="30"/>
      <c r="AX1061" s="30"/>
      <c r="AY1061" s="30"/>
      <c r="AZ1061" s="30"/>
    </row>
    <row r="1062">
      <c r="A1062" s="30"/>
      <c r="B1062" s="30"/>
      <c r="C1062" s="30"/>
      <c r="D1062" s="31"/>
      <c r="E1062" s="31"/>
      <c r="F1062" s="31"/>
      <c r="G1062" s="31"/>
      <c r="H1062" s="31"/>
      <c r="I1062" s="54"/>
      <c r="J1062" s="55"/>
      <c r="K1062" s="54"/>
      <c r="L1062" s="56"/>
      <c r="M1062" s="56"/>
      <c r="N1062" s="31"/>
      <c r="O1062" s="57"/>
      <c r="P1062" s="57"/>
      <c r="Q1062" s="57"/>
      <c r="R1062" s="57"/>
      <c r="S1062" s="31"/>
      <c r="T1062" s="57"/>
      <c r="U1062" s="57"/>
      <c r="V1062" s="57"/>
      <c r="W1062" s="57"/>
      <c r="X1062" s="31"/>
      <c r="Y1062" s="57"/>
      <c r="Z1062" s="57"/>
      <c r="AA1062" s="57"/>
      <c r="AB1062" s="57"/>
      <c r="AC1062" s="31"/>
      <c r="AD1062" s="57"/>
      <c r="AE1062" s="57"/>
      <c r="AF1062" s="57"/>
      <c r="AG1062" s="57"/>
      <c r="AH1062" s="57"/>
      <c r="AI1062" s="57"/>
      <c r="AJ1062" s="57"/>
      <c r="AK1062" s="57"/>
      <c r="AL1062" s="57"/>
      <c r="AM1062" s="57"/>
      <c r="AN1062" s="57"/>
      <c r="AO1062" s="57"/>
      <c r="AP1062" s="35"/>
      <c r="AQ1062" s="57"/>
      <c r="AR1062" s="36"/>
      <c r="AS1062" s="57"/>
      <c r="AT1062" s="37"/>
      <c r="AU1062" s="30"/>
      <c r="AV1062" s="30"/>
      <c r="AW1062" s="30"/>
      <c r="AX1062" s="30"/>
      <c r="AY1062" s="30"/>
      <c r="AZ1062" s="30"/>
    </row>
    <row r="1063">
      <c r="A1063" s="30"/>
      <c r="B1063" s="30"/>
      <c r="C1063" s="30"/>
      <c r="D1063" s="31"/>
      <c r="E1063" s="31"/>
      <c r="F1063" s="31"/>
      <c r="G1063" s="31"/>
      <c r="H1063" s="31"/>
      <c r="I1063" s="54"/>
      <c r="J1063" s="55"/>
      <c r="K1063" s="54"/>
      <c r="L1063" s="56"/>
      <c r="M1063" s="56"/>
      <c r="N1063" s="31"/>
      <c r="O1063" s="57"/>
      <c r="P1063" s="57"/>
      <c r="Q1063" s="57"/>
      <c r="R1063" s="57"/>
      <c r="S1063" s="31"/>
      <c r="T1063" s="57"/>
      <c r="U1063" s="57"/>
      <c r="V1063" s="57"/>
      <c r="W1063" s="57"/>
      <c r="X1063" s="31"/>
      <c r="Y1063" s="57"/>
      <c r="Z1063" s="57"/>
      <c r="AA1063" s="57"/>
      <c r="AB1063" s="57"/>
      <c r="AC1063" s="31"/>
      <c r="AD1063" s="57"/>
      <c r="AE1063" s="57"/>
      <c r="AF1063" s="57"/>
      <c r="AG1063" s="57"/>
      <c r="AH1063" s="57"/>
      <c r="AI1063" s="57"/>
      <c r="AJ1063" s="57"/>
      <c r="AK1063" s="57"/>
      <c r="AL1063" s="57"/>
      <c r="AM1063" s="57"/>
      <c r="AN1063" s="57"/>
      <c r="AO1063" s="57"/>
      <c r="AP1063" s="35"/>
      <c r="AQ1063" s="57"/>
      <c r="AR1063" s="36"/>
      <c r="AS1063" s="57"/>
      <c r="AT1063" s="37"/>
      <c r="AU1063" s="30"/>
      <c r="AV1063" s="30"/>
      <c r="AW1063" s="30"/>
      <c r="AX1063" s="30"/>
      <c r="AY1063" s="30"/>
      <c r="AZ1063" s="30"/>
    </row>
    <row r="1064">
      <c r="A1064" s="30"/>
      <c r="B1064" s="30"/>
      <c r="C1064" s="30"/>
      <c r="D1064" s="31"/>
      <c r="E1064" s="31"/>
      <c r="F1064" s="31"/>
      <c r="G1064" s="31"/>
      <c r="H1064" s="31"/>
      <c r="I1064" s="54"/>
      <c r="J1064" s="55"/>
      <c r="K1064" s="54"/>
      <c r="L1064" s="56"/>
      <c r="M1064" s="56"/>
      <c r="N1064" s="31"/>
      <c r="O1064" s="57"/>
      <c r="P1064" s="57"/>
      <c r="Q1064" s="57"/>
      <c r="R1064" s="57"/>
      <c r="S1064" s="31"/>
      <c r="T1064" s="57"/>
      <c r="U1064" s="57"/>
      <c r="V1064" s="57"/>
      <c r="W1064" s="57"/>
      <c r="X1064" s="31"/>
      <c r="Y1064" s="57"/>
      <c r="Z1064" s="57"/>
      <c r="AA1064" s="57"/>
      <c r="AB1064" s="57"/>
      <c r="AC1064" s="31"/>
      <c r="AD1064" s="57"/>
      <c r="AE1064" s="57"/>
      <c r="AF1064" s="57"/>
      <c r="AG1064" s="57"/>
      <c r="AH1064" s="57"/>
      <c r="AI1064" s="57"/>
      <c r="AJ1064" s="57"/>
      <c r="AK1064" s="57"/>
      <c r="AL1064" s="57"/>
      <c r="AM1064" s="57"/>
      <c r="AN1064" s="57"/>
      <c r="AO1064" s="57"/>
      <c r="AP1064" s="35"/>
      <c r="AQ1064" s="57"/>
      <c r="AR1064" s="36"/>
      <c r="AS1064" s="57"/>
      <c r="AT1064" s="37"/>
      <c r="AU1064" s="30"/>
      <c r="AV1064" s="30"/>
      <c r="AW1064" s="30"/>
      <c r="AX1064" s="30"/>
      <c r="AY1064" s="30"/>
      <c r="AZ1064" s="30"/>
    </row>
    <row r="1065">
      <c r="A1065" s="30"/>
      <c r="B1065" s="30"/>
      <c r="C1065" s="30"/>
      <c r="D1065" s="31"/>
      <c r="E1065" s="31"/>
      <c r="F1065" s="31"/>
      <c r="G1065" s="31"/>
      <c r="H1065" s="31"/>
      <c r="I1065" s="54"/>
      <c r="J1065" s="55"/>
      <c r="K1065" s="54"/>
      <c r="L1065" s="56"/>
      <c r="M1065" s="56"/>
      <c r="N1065" s="31"/>
      <c r="O1065" s="57"/>
      <c r="P1065" s="57"/>
      <c r="Q1065" s="57"/>
      <c r="R1065" s="57"/>
      <c r="S1065" s="31"/>
      <c r="T1065" s="57"/>
      <c r="U1065" s="57"/>
      <c r="V1065" s="57"/>
      <c r="W1065" s="57"/>
      <c r="X1065" s="31"/>
      <c r="Y1065" s="57"/>
      <c r="Z1065" s="57"/>
      <c r="AA1065" s="57"/>
      <c r="AB1065" s="57"/>
      <c r="AC1065" s="31"/>
      <c r="AD1065" s="57"/>
      <c r="AE1065" s="57"/>
      <c r="AF1065" s="57"/>
      <c r="AG1065" s="57"/>
      <c r="AH1065" s="57"/>
      <c r="AI1065" s="57"/>
      <c r="AJ1065" s="57"/>
      <c r="AK1065" s="57"/>
      <c r="AL1065" s="57"/>
      <c r="AM1065" s="57"/>
      <c r="AN1065" s="57"/>
      <c r="AO1065" s="57"/>
      <c r="AP1065" s="35"/>
      <c r="AQ1065" s="57"/>
      <c r="AR1065" s="36"/>
      <c r="AS1065" s="57"/>
      <c r="AT1065" s="37"/>
      <c r="AU1065" s="30"/>
      <c r="AV1065" s="30"/>
      <c r="AW1065" s="30"/>
      <c r="AX1065" s="30"/>
      <c r="AY1065" s="30"/>
      <c r="AZ1065" s="30"/>
    </row>
    <row r="1066">
      <c r="A1066" s="30"/>
      <c r="B1066" s="30"/>
      <c r="C1066" s="30"/>
      <c r="D1066" s="31"/>
      <c r="E1066" s="31"/>
      <c r="F1066" s="31"/>
      <c r="G1066" s="31"/>
      <c r="H1066" s="31"/>
      <c r="I1066" s="54"/>
      <c r="J1066" s="55"/>
      <c r="K1066" s="54"/>
      <c r="L1066" s="56"/>
      <c r="M1066" s="56"/>
      <c r="N1066" s="31"/>
      <c r="O1066" s="57"/>
      <c r="P1066" s="57"/>
      <c r="Q1066" s="57"/>
      <c r="R1066" s="57"/>
      <c r="S1066" s="31"/>
      <c r="T1066" s="57"/>
      <c r="U1066" s="57"/>
      <c r="V1066" s="57"/>
      <c r="W1066" s="57"/>
      <c r="X1066" s="31"/>
      <c r="Y1066" s="57"/>
      <c r="Z1066" s="57"/>
      <c r="AA1066" s="57"/>
      <c r="AB1066" s="57"/>
      <c r="AC1066" s="31"/>
      <c r="AD1066" s="57"/>
      <c r="AE1066" s="57"/>
      <c r="AF1066" s="57"/>
      <c r="AG1066" s="57"/>
      <c r="AH1066" s="57"/>
      <c r="AI1066" s="57"/>
      <c r="AJ1066" s="57"/>
      <c r="AK1066" s="57"/>
      <c r="AL1066" s="57"/>
      <c r="AM1066" s="57"/>
      <c r="AN1066" s="57"/>
      <c r="AO1066" s="57"/>
      <c r="AP1066" s="35"/>
      <c r="AQ1066" s="57"/>
      <c r="AR1066" s="36"/>
      <c r="AS1066" s="57"/>
      <c r="AT1066" s="37"/>
      <c r="AU1066" s="30"/>
      <c r="AV1066" s="30"/>
      <c r="AW1066" s="30"/>
      <c r="AX1066" s="30"/>
      <c r="AY1066" s="30"/>
      <c r="AZ1066" s="30"/>
    </row>
    <row r="1067">
      <c r="A1067" s="30"/>
      <c r="B1067" s="30"/>
      <c r="C1067" s="30"/>
      <c r="D1067" s="31"/>
      <c r="E1067" s="31"/>
      <c r="F1067" s="31"/>
      <c r="G1067" s="31"/>
      <c r="H1067" s="31"/>
      <c r="I1067" s="54"/>
      <c r="J1067" s="55"/>
      <c r="K1067" s="54"/>
      <c r="L1067" s="56"/>
      <c r="M1067" s="56"/>
      <c r="N1067" s="31"/>
      <c r="O1067" s="57"/>
      <c r="P1067" s="57"/>
      <c r="Q1067" s="57"/>
      <c r="R1067" s="57"/>
      <c r="S1067" s="31"/>
      <c r="T1067" s="57"/>
      <c r="U1067" s="57"/>
      <c r="V1067" s="57"/>
      <c r="W1067" s="57"/>
      <c r="X1067" s="31"/>
      <c r="Y1067" s="57"/>
      <c r="Z1067" s="57"/>
      <c r="AA1067" s="57"/>
      <c r="AB1067" s="57"/>
      <c r="AC1067" s="31"/>
      <c r="AD1067" s="57"/>
      <c r="AE1067" s="57"/>
      <c r="AF1067" s="57"/>
      <c r="AG1067" s="57"/>
      <c r="AH1067" s="57"/>
      <c r="AI1067" s="57"/>
      <c r="AJ1067" s="57"/>
      <c r="AK1067" s="57"/>
      <c r="AL1067" s="57"/>
      <c r="AM1067" s="57"/>
      <c r="AN1067" s="57"/>
      <c r="AO1067" s="57"/>
      <c r="AP1067" s="35"/>
      <c r="AQ1067" s="57"/>
      <c r="AR1067" s="36"/>
      <c r="AS1067" s="57"/>
      <c r="AT1067" s="37"/>
      <c r="AU1067" s="30"/>
      <c r="AV1067" s="30"/>
      <c r="AW1067" s="30"/>
      <c r="AX1067" s="30"/>
      <c r="AY1067" s="30"/>
      <c r="AZ1067" s="30"/>
    </row>
    <row r="1068">
      <c r="A1068" s="30"/>
      <c r="B1068" s="30"/>
      <c r="C1068" s="30"/>
      <c r="D1068" s="31"/>
      <c r="E1068" s="31"/>
      <c r="F1068" s="31"/>
      <c r="G1068" s="31"/>
      <c r="H1068" s="31"/>
      <c r="I1068" s="54"/>
      <c r="J1068" s="55"/>
      <c r="K1068" s="54"/>
      <c r="L1068" s="56"/>
      <c r="M1068" s="56"/>
      <c r="N1068" s="31"/>
      <c r="O1068" s="57"/>
      <c r="P1068" s="57"/>
      <c r="Q1068" s="57"/>
      <c r="R1068" s="57"/>
      <c r="S1068" s="31"/>
      <c r="T1068" s="57"/>
      <c r="U1068" s="57"/>
      <c r="V1068" s="57"/>
      <c r="W1068" s="57"/>
      <c r="X1068" s="31"/>
      <c r="Y1068" s="57"/>
      <c r="Z1068" s="57"/>
      <c r="AA1068" s="57"/>
      <c r="AB1068" s="57"/>
      <c r="AC1068" s="31"/>
      <c r="AD1068" s="57"/>
      <c r="AE1068" s="57"/>
      <c r="AF1068" s="57"/>
      <c r="AG1068" s="57"/>
      <c r="AH1068" s="57"/>
      <c r="AI1068" s="57"/>
      <c r="AJ1068" s="57"/>
      <c r="AK1068" s="57"/>
      <c r="AL1068" s="57"/>
      <c r="AM1068" s="57"/>
      <c r="AN1068" s="57"/>
      <c r="AO1068" s="57"/>
      <c r="AP1068" s="35"/>
      <c r="AQ1068" s="57"/>
      <c r="AR1068" s="36"/>
      <c r="AS1068" s="57"/>
      <c r="AT1068" s="37"/>
      <c r="AU1068" s="30"/>
      <c r="AV1068" s="30"/>
      <c r="AW1068" s="30"/>
      <c r="AX1068" s="30"/>
      <c r="AY1068" s="30"/>
      <c r="AZ1068" s="30"/>
    </row>
    <row r="1069">
      <c r="A1069" s="30"/>
      <c r="B1069" s="30"/>
      <c r="C1069" s="30"/>
      <c r="D1069" s="31"/>
      <c r="E1069" s="31"/>
      <c r="F1069" s="31"/>
      <c r="G1069" s="31"/>
      <c r="H1069" s="31"/>
      <c r="I1069" s="54"/>
      <c r="J1069" s="55"/>
      <c r="K1069" s="54"/>
      <c r="L1069" s="56"/>
      <c r="M1069" s="56"/>
      <c r="N1069" s="31"/>
      <c r="O1069" s="57"/>
      <c r="P1069" s="57"/>
      <c r="Q1069" s="57"/>
      <c r="R1069" s="57"/>
      <c r="S1069" s="31"/>
      <c r="T1069" s="57"/>
      <c r="U1069" s="57"/>
      <c r="V1069" s="57"/>
      <c r="W1069" s="57"/>
      <c r="X1069" s="31"/>
      <c r="Y1069" s="57"/>
      <c r="Z1069" s="57"/>
      <c r="AA1069" s="57"/>
      <c r="AB1069" s="57"/>
      <c r="AC1069" s="31"/>
      <c r="AD1069" s="57"/>
      <c r="AE1069" s="57"/>
      <c r="AF1069" s="57"/>
      <c r="AG1069" s="57"/>
      <c r="AH1069" s="57"/>
      <c r="AI1069" s="57"/>
      <c r="AJ1069" s="57"/>
      <c r="AK1069" s="57"/>
      <c r="AL1069" s="57"/>
      <c r="AM1069" s="57"/>
      <c r="AN1069" s="57"/>
      <c r="AO1069" s="57"/>
      <c r="AP1069" s="35"/>
      <c r="AQ1069" s="57"/>
      <c r="AR1069" s="36"/>
      <c r="AS1069" s="57"/>
      <c r="AT1069" s="37"/>
      <c r="AU1069" s="30"/>
      <c r="AV1069" s="30"/>
      <c r="AW1069" s="30"/>
      <c r="AX1069" s="30"/>
      <c r="AY1069" s="30"/>
      <c r="AZ1069" s="30"/>
    </row>
    <row r="1070">
      <c r="A1070" s="30"/>
      <c r="B1070" s="30"/>
      <c r="C1070" s="30"/>
      <c r="D1070" s="31"/>
      <c r="E1070" s="31"/>
      <c r="F1070" s="31"/>
      <c r="G1070" s="31"/>
      <c r="H1070" s="31"/>
      <c r="I1070" s="54"/>
      <c r="J1070" s="55"/>
      <c r="K1070" s="54"/>
      <c r="L1070" s="56"/>
      <c r="M1070" s="56"/>
      <c r="N1070" s="31"/>
      <c r="O1070" s="57"/>
      <c r="P1070" s="57"/>
      <c r="Q1070" s="57"/>
      <c r="R1070" s="57"/>
      <c r="S1070" s="31"/>
      <c r="T1070" s="57"/>
      <c r="U1070" s="57"/>
      <c r="V1070" s="57"/>
      <c r="W1070" s="57"/>
      <c r="X1070" s="31"/>
      <c r="Y1070" s="57"/>
      <c r="Z1070" s="57"/>
      <c r="AA1070" s="57"/>
      <c r="AB1070" s="57"/>
      <c r="AC1070" s="31"/>
      <c r="AD1070" s="57"/>
      <c r="AE1070" s="57"/>
      <c r="AF1070" s="57"/>
      <c r="AG1070" s="57"/>
      <c r="AH1070" s="57"/>
      <c r="AI1070" s="57"/>
      <c r="AJ1070" s="57"/>
      <c r="AK1070" s="57"/>
      <c r="AL1070" s="57"/>
      <c r="AM1070" s="57"/>
      <c r="AN1070" s="57"/>
      <c r="AO1070" s="57"/>
      <c r="AP1070" s="35"/>
      <c r="AQ1070" s="57"/>
      <c r="AR1070" s="36"/>
      <c r="AS1070" s="57"/>
      <c r="AT1070" s="37"/>
      <c r="AU1070" s="30"/>
      <c r="AV1070" s="30"/>
      <c r="AW1070" s="30"/>
      <c r="AX1070" s="30"/>
      <c r="AY1070" s="30"/>
      <c r="AZ1070" s="30"/>
    </row>
    <row r="1071">
      <c r="A1071" s="30"/>
      <c r="B1071" s="30"/>
      <c r="C1071" s="30"/>
      <c r="D1071" s="31"/>
      <c r="E1071" s="31"/>
      <c r="F1071" s="31"/>
      <c r="G1071" s="31"/>
      <c r="H1071" s="31"/>
      <c r="I1071" s="54"/>
      <c r="J1071" s="55"/>
      <c r="K1071" s="54"/>
      <c r="L1071" s="56"/>
      <c r="M1071" s="56"/>
      <c r="N1071" s="31"/>
      <c r="O1071" s="57"/>
      <c r="P1071" s="57"/>
      <c r="Q1071" s="57"/>
      <c r="R1071" s="57"/>
      <c r="S1071" s="31"/>
      <c r="T1071" s="57"/>
      <c r="U1071" s="57"/>
      <c r="V1071" s="57"/>
      <c r="W1071" s="57"/>
      <c r="X1071" s="31"/>
      <c r="Y1071" s="57"/>
      <c r="Z1071" s="57"/>
      <c r="AA1071" s="57"/>
      <c r="AB1071" s="57"/>
      <c r="AC1071" s="31"/>
      <c r="AD1071" s="57"/>
      <c r="AE1071" s="57"/>
      <c r="AF1071" s="57"/>
      <c r="AG1071" s="57"/>
      <c r="AH1071" s="57"/>
      <c r="AI1071" s="57"/>
      <c r="AJ1071" s="57"/>
      <c r="AK1071" s="57"/>
      <c r="AL1071" s="57"/>
      <c r="AM1071" s="57"/>
      <c r="AN1071" s="57"/>
      <c r="AO1071" s="57"/>
      <c r="AP1071" s="35"/>
      <c r="AQ1071" s="57"/>
      <c r="AR1071" s="36"/>
      <c r="AS1071" s="57"/>
      <c r="AT1071" s="37"/>
      <c r="AU1071" s="30"/>
      <c r="AV1071" s="30"/>
      <c r="AW1071" s="30"/>
      <c r="AX1071" s="30"/>
      <c r="AY1071" s="30"/>
      <c r="AZ1071" s="30"/>
    </row>
    <row r="1072">
      <c r="A1072" s="30"/>
      <c r="B1072" s="30"/>
      <c r="C1072" s="30"/>
      <c r="D1072" s="31"/>
      <c r="E1072" s="31"/>
      <c r="F1072" s="31"/>
      <c r="G1072" s="31"/>
      <c r="H1072" s="31"/>
      <c r="I1072" s="54"/>
      <c r="J1072" s="55"/>
      <c r="K1072" s="54"/>
      <c r="L1072" s="56"/>
      <c r="M1072" s="56"/>
      <c r="N1072" s="31"/>
      <c r="O1072" s="57"/>
      <c r="P1072" s="57"/>
      <c r="Q1072" s="57"/>
      <c r="R1072" s="57"/>
      <c r="S1072" s="31"/>
      <c r="T1072" s="57"/>
      <c r="U1072" s="57"/>
      <c r="V1072" s="57"/>
      <c r="W1072" s="57"/>
      <c r="X1072" s="31"/>
      <c r="Y1072" s="57"/>
      <c r="Z1072" s="57"/>
      <c r="AA1072" s="57"/>
      <c r="AB1072" s="57"/>
      <c r="AC1072" s="31"/>
      <c r="AD1072" s="57"/>
      <c r="AE1072" s="57"/>
      <c r="AF1072" s="57"/>
      <c r="AG1072" s="57"/>
      <c r="AH1072" s="57"/>
      <c r="AI1072" s="57"/>
      <c r="AJ1072" s="57"/>
      <c r="AK1072" s="57"/>
      <c r="AL1072" s="57"/>
      <c r="AM1072" s="57"/>
      <c r="AN1072" s="57"/>
      <c r="AO1072" s="57"/>
      <c r="AP1072" s="35"/>
      <c r="AQ1072" s="57"/>
      <c r="AR1072" s="36"/>
      <c r="AS1072" s="57"/>
      <c r="AT1072" s="37"/>
      <c r="AU1072" s="30"/>
      <c r="AV1072" s="30"/>
      <c r="AW1072" s="30"/>
      <c r="AX1072" s="30"/>
      <c r="AY1072" s="30"/>
      <c r="AZ1072" s="30"/>
    </row>
    <row r="1073">
      <c r="A1073" s="30"/>
      <c r="B1073" s="30"/>
      <c r="C1073" s="30"/>
      <c r="D1073" s="31"/>
      <c r="E1073" s="31"/>
      <c r="F1073" s="31"/>
      <c r="G1073" s="31"/>
      <c r="H1073" s="31"/>
      <c r="I1073" s="54"/>
      <c r="J1073" s="55"/>
      <c r="K1073" s="54"/>
      <c r="L1073" s="56"/>
      <c r="M1073" s="56"/>
      <c r="N1073" s="31"/>
      <c r="O1073" s="57"/>
      <c r="P1073" s="57"/>
      <c r="Q1073" s="57"/>
      <c r="R1073" s="57"/>
      <c r="S1073" s="31"/>
      <c r="T1073" s="57"/>
      <c r="U1073" s="57"/>
      <c r="V1073" s="57"/>
      <c r="W1073" s="57"/>
      <c r="X1073" s="31"/>
      <c r="Y1073" s="57"/>
      <c r="Z1073" s="57"/>
      <c r="AA1073" s="57"/>
      <c r="AB1073" s="57"/>
      <c r="AC1073" s="31"/>
      <c r="AD1073" s="57"/>
      <c r="AE1073" s="57"/>
      <c r="AF1073" s="57"/>
      <c r="AG1073" s="57"/>
      <c r="AH1073" s="57"/>
      <c r="AI1073" s="57"/>
      <c r="AJ1073" s="57"/>
      <c r="AK1073" s="57"/>
      <c r="AL1073" s="57"/>
      <c r="AM1073" s="57"/>
      <c r="AN1073" s="57"/>
      <c r="AO1073" s="57"/>
      <c r="AP1073" s="35"/>
      <c r="AQ1073" s="57"/>
      <c r="AR1073" s="36"/>
      <c r="AS1073" s="57"/>
      <c r="AT1073" s="37"/>
      <c r="AU1073" s="30"/>
      <c r="AV1073" s="30"/>
      <c r="AW1073" s="30"/>
      <c r="AX1073" s="30"/>
      <c r="AY1073" s="30"/>
      <c r="AZ1073" s="30"/>
    </row>
    <row r="1074">
      <c r="A1074" s="30"/>
      <c r="B1074" s="30"/>
      <c r="C1074" s="30"/>
      <c r="D1074" s="31"/>
      <c r="E1074" s="31"/>
      <c r="F1074" s="31"/>
      <c r="G1074" s="31"/>
      <c r="H1074" s="31"/>
      <c r="I1074" s="54"/>
      <c r="J1074" s="55"/>
      <c r="K1074" s="54"/>
      <c r="L1074" s="56"/>
      <c r="M1074" s="56"/>
      <c r="N1074" s="31"/>
      <c r="O1074" s="57"/>
      <c r="P1074" s="57"/>
      <c r="Q1074" s="57"/>
      <c r="R1074" s="57"/>
      <c r="S1074" s="31"/>
      <c r="T1074" s="57"/>
      <c r="U1074" s="57"/>
      <c r="V1074" s="57"/>
      <c r="W1074" s="57"/>
      <c r="X1074" s="31"/>
      <c r="Y1074" s="57"/>
      <c r="Z1074" s="57"/>
      <c r="AA1074" s="57"/>
      <c r="AB1074" s="57"/>
      <c r="AC1074" s="31"/>
      <c r="AD1074" s="57"/>
      <c r="AE1074" s="57"/>
      <c r="AF1074" s="57"/>
      <c r="AG1074" s="57"/>
      <c r="AH1074" s="57"/>
      <c r="AI1074" s="57"/>
      <c r="AJ1074" s="57"/>
      <c r="AK1074" s="57"/>
      <c r="AL1074" s="57"/>
      <c r="AM1074" s="57"/>
      <c r="AN1074" s="57"/>
      <c r="AO1074" s="57"/>
      <c r="AP1074" s="35"/>
      <c r="AQ1074" s="57"/>
      <c r="AR1074" s="36"/>
      <c r="AS1074" s="57"/>
      <c r="AT1074" s="37"/>
      <c r="AU1074" s="30"/>
      <c r="AV1074" s="30"/>
      <c r="AW1074" s="30"/>
      <c r="AX1074" s="30"/>
      <c r="AY1074" s="30"/>
      <c r="AZ1074" s="30"/>
    </row>
    <row r="1075">
      <c r="A1075" s="30"/>
      <c r="B1075" s="30"/>
      <c r="C1075" s="30"/>
      <c r="D1075" s="31"/>
      <c r="E1075" s="31"/>
      <c r="F1075" s="31"/>
      <c r="G1075" s="31"/>
      <c r="H1075" s="31"/>
      <c r="I1075" s="54"/>
      <c r="J1075" s="55"/>
      <c r="K1075" s="54"/>
      <c r="L1075" s="56"/>
      <c r="M1075" s="56"/>
      <c r="N1075" s="31"/>
      <c r="O1075" s="57"/>
      <c r="P1075" s="57"/>
      <c r="Q1075" s="57"/>
      <c r="R1075" s="57"/>
      <c r="S1075" s="31"/>
      <c r="T1075" s="57"/>
      <c r="U1075" s="57"/>
      <c r="V1075" s="57"/>
      <c r="W1075" s="57"/>
      <c r="X1075" s="31"/>
      <c r="Y1075" s="57"/>
      <c r="Z1075" s="57"/>
      <c r="AA1075" s="57"/>
      <c r="AB1075" s="57"/>
      <c r="AC1075" s="31"/>
      <c r="AD1075" s="57"/>
      <c r="AE1075" s="57"/>
      <c r="AF1075" s="57"/>
      <c r="AG1075" s="57"/>
      <c r="AH1075" s="57"/>
      <c r="AI1075" s="57"/>
      <c r="AJ1075" s="57"/>
      <c r="AK1075" s="57"/>
      <c r="AL1075" s="57"/>
      <c r="AM1075" s="57"/>
      <c r="AN1075" s="57"/>
      <c r="AO1075" s="57"/>
      <c r="AP1075" s="35"/>
      <c r="AQ1075" s="57"/>
      <c r="AR1075" s="36"/>
      <c r="AS1075" s="57"/>
      <c r="AT1075" s="37"/>
      <c r="AU1075" s="30"/>
      <c r="AV1075" s="30"/>
      <c r="AW1075" s="30"/>
      <c r="AX1075" s="30"/>
      <c r="AY1075" s="30"/>
      <c r="AZ1075" s="30"/>
    </row>
    <row r="1076">
      <c r="A1076" s="30"/>
      <c r="B1076" s="30"/>
      <c r="C1076" s="30"/>
      <c r="D1076" s="31"/>
      <c r="E1076" s="31"/>
      <c r="F1076" s="31"/>
      <c r="G1076" s="31"/>
      <c r="H1076" s="31"/>
      <c r="I1076" s="54"/>
      <c r="J1076" s="55"/>
      <c r="K1076" s="54"/>
      <c r="L1076" s="56"/>
      <c r="M1076" s="56"/>
      <c r="N1076" s="31"/>
      <c r="O1076" s="57"/>
      <c r="P1076" s="57"/>
      <c r="Q1076" s="57"/>
      <c r="R1076" s="57"/>
      <c r="S1076" s="31"/>
      <c r="T1076" s="57"/>
      <c r="U1076" s="57"/>
      <c r="V1076" s="57"/>
      <c r="W1076" s="57"/>
      <c r="X1076" s="31"/>
      <c r="Y1076" s="57"/>
      <c r="Z1076" s="57"/>
      <c r="AA1076" s="57"/>
      <c r="AB1076" s="57"/>
      <c r="AC1076" s="31"/>
      <c r="AD1076" s="57"/>
      <c r="AE1076" s="57"/>
      <c r="AF1076" s="57"/>
      <c r="AG1076" s="57"/>
      <c r="AH1076" s="57"/>
      <c r="AI1076" s="57"/>
      <c r="AJ1076" s="57"/>
      <c r="AK1076" s="57"/>
      <c r="AL1076" s="57"/>
      <c r="AM1076" s="57"/>
      <c r="AN1076" s="57"/>
      <c r="AO1076" s="57"/>
      <c r="AP1076" s="35"/>
      <c r="AQ1076" s="57"/>
      <c r="AR1076" s="36"/>
      <c r="AS1076" s="57"/>
      <c r="AT1076" s="37"/>
      <c r="AU1076" s="30"/>
      <c r="AV1076" s="30"/>
      <c r="AW1076" s="30"/>
      <c r="AX1076" s="30"/>
      <c r="AY1076" s="30"/>
      <c r="AZ1076" s="30"/>
    </row>
    <row r="1077">
      <c r="A1077" s="30"/>
      <c r="B1077" s="30"/>
      <c r="C1077" s="30"/>
      <c r="D1077" s="31"/>
      <c r="E1077" s="31"/>
      <c r="F1077" s="31"/>
      <c r="G1077" s="31"/>
      <c r="H1077" s="31"/>
      <c r="I1077" s="54"/>
      <c r="J1077" s="55"/>
      <c r="K1077" s="54"/>
      <c r="L1077" s="56"/>
      <c r="M1077" s="56"/>
      <c r="N1077" s="31"/>
      <c r="O1077" s="57"/>
      <c r="P1077" s="57"/>
      <c r="Q1077" s="57"/>
      <c r="R1077" s="57"/>
      <c r="S1077" s="31"/>
      <c r="T1077" s="57"/>
      <c r="U1077" s="57"/>
      <c r="V1077" s="57"/>
      <c r="W1077" s="57"/>
      <c r="X1077" s="31"/>
      <c r="Y1077" s="57"/>
      <c r="Z1077" s="57"/>
      <c r="AA1077" s="57"/>
      <c r="AB1077" s="57"/>
      <c r="AC1077" s="31"/>
      <c r="AD1077" s="57"/>
      <c r="AE1077" s="57"/>
      <c r="AF1077" s="57"/>
      <c r="AG1077" s="57"/>
      <c r="AH1077" s="57"/>
      <c r="AI1077" s="57"/>
      <c r="AJ1077" s="57"/>
      <c r="AK1077" s="57"/>
      <c r="AL1077" s="57"/>
      <c r="AM1077" s="57"/>
      <c r="AN1077" s="57"/>
      <c r="AO1077" s="57"/>
      <c r="AP1077" s="35"/>
      <c r="AQ1077" s="57"/>
      <c r="AR1077" s="36"/>
      <c r="AS1077" s="57"/>
      <c r="AT1077" s="37"/>
      <c r="AU1077" s="30"/>
      <c r="AV1077" s="30"/>
      <c r="AW1077" s="30"/>
      <c r="AX1077" s="30"/>
      <c r="AY1077" s="30"/>
      <c r="AZ1077" s="30"/>
    </row>
    <row r="1078">
      <c r="A1078" s="30"/>
      <c r="B1078" s="30"/>
      <c r="C1078" s="30"/>
      <c r="D1078" s="31"/>
      <c r="E1078" s="31"/>
      <c r="F1078" s="31"/>
      <c r="G1078" s="31"/>
      <c r="H1078" s="31"/>
      <c r="I1078" s="54"/>
      <c r="J1078" s="55"/>
      <c r="K1078" s="54"/>
      <c r="L1078" s="56"/>
      <c r="M1078" s="56"/>
      <c r="N1078" s="31"/>
      <c r="O1078" s="57"/>
      <c r="P1078" s="57"/>
      <c r="Q1078" s="57"/>
      <c r="R1078" s="57"/>
      <c r="S1078" s="31"/>
      <c r="T1078" s="57"/>
      <c r="U1078" s="57"/>
      <c r="V1078" s="57"/>
      <c r="W1078" s="57"/>
      <c r="X1078" s="31"/>
      <c r="Y1078" s="57"/>
      <c r="Z1078" s="57"/>
      <c r="AA1078" s="57"/>
      <c r="AB1078" s="57"/>
      <c r="AC1078" s="31"/>
      <c r="AD1078" s="57"/>
      <c r="AE1078" s="57"/>
      <c r="AF1078" s="57"/>
      <c r="AG1078" s="57"/>
      <c r="AH1078" s="57"/>
      <c r="AI1078" s="57"/>
      <c r="AJ1078" s="57"/>
      <c r="AK1078" s="57"/>
      <c r="AL1078" s="57"/>
      <c r="AM1078" s="57"/>
      <c r="AN1078" s="57"/>
      <c r="AO1078" s="57"/>
      <c r="AP1078" s="35"/>
      <c r="AQ1078" s="57"/>
      <c r="AR1078" s="36"/>
      <c r="AS1078" s="57"/>
      <c r="AT1078" s="37"/>
      <c r="AU1078" s="30"/>
      <c r="AV1078" s="30"/>
      <c r="AW1078" s="30"/>
      <c r="AX1078" s="30"/>
      <c r="AY1078" s="30"/>
      <c r="AZ1078" s="30"/>
    </row>
    <row r="1079">
      <c r="A1079" s="30"/>
      <c r="B1079" s="30"/>
      <c r="C1079" s="30"/>
      <c r="D1079" s="31"/>
      <c r="E1079" s="31"/>
      <c r="F1079" s="31"/>
      <c r="G1079" s="31"/>
      <c r="H1079" s="31"/>
      <c r="I1079" s="54"/>
      <c r="J1079" s="55"/>
      <c r="K1079" s="54"/>
      <c r="L1079" s="56"/>
      <c r="M1079" s="56"/>
      <c r="N1079" s="31"/>
      <c r="O1079" s="57"/>
      <c r="P1079" s="57"/>
      <c r="Q1079" s="57"/>
      <c r="R1079" s="57"/>
      <c r="S1079" s="31"/>
      <c r="T1079" s="57"/>
      <c r="U1079" s="57"/>
      <c r="V1079" s="57"/>
      <c r="W1079" s="57"/>
      <c r="X1079" s="31"/>
      <c r="Y1079" s="57"/>
      <c r="Z1079" s="57"/>
      <c r="AA1079" s="57"/>
      <c r="AB1079" s="57"/>
      <c r="AC1079" s="31"/>
      <c r="AD1079" s="57"/>
      <c r="AE1079" s="57"/>
      <c r="AF1079" s="57"/>
      <c r="AG1079" s="57"/>
      <c r="AH1079" s="57"/>
      <c r="AI1079" s="57"/>
      <c r="AJ1079" s="57"/>
      <c r="AK1079" s="57"/>
      <c r="AL1079" s="57"/>
      <c r="AM1079" s="57"/>
      <c r="AN1079" s="57"/>
      <c r="AO1079" s="57"/>
      <c r="AP1079" s="35"/>
      <c r="AQ1079" s="57"/>
      <c r="AR1079" s="36"/>
      <c r="AS1079" s="57"/>
      <c r="AT1079" s="37"/>
      <c r="AU1079" s="30"/>
      <c r="AV1079" s="30"/>
      <c r="AW1079" s="30"/>
      <c r="AX1079" s="30"/>
      <c r="AY1079" s="30"/>
      <c r="AZ1079" s="30"/>
    </row>
    <row r="1080">
      <c r="A1080" s="30"/>
      <c r="B1080" s="30"/>
      <c r="C1080" s="30"/>
      <c r="D1080" s="31"/>
      <c r="E1080" s="31"/>
      <c r="F1080" s="31"/>
      <c r="G1080" s="31"/>
      <c r="H1080" s="31"/>
      <c r="I1080" s="54"/>
      <c r="J1080" s="55"/>
      <c r="K1080" s="54"/>
      <c r="L1080" s="56"/>
      <c r="M1080" s="56"/>
      <c r="N1080" s="31"/>
      <c r="O1080" s="57"/>
      <c r="P1080" s="57"/>
      <c r="Q1080" s="57"/>
      <c r="R1080" s="57"/>
      <c r="S1080" s="31"/>
      <c r="T1080" s="57"/>
      <c r="U1080" s="57"/>
      <c r="V1080" s="57"/>
      <c r="W1080" s="57"/>
      <c r="X1080" s="31"/>
      <c r="Y1080" s="57"/>
      <c r="Z1080" s="57"/>
      <c r="AA1080" s="57"/>
      <c r="AB1080" s="57"/>
      <c r="AC1080" s="31"/>
      <c r="AD1080" s="57"/>
      <c r="AE1080" s="57"/>
      <c r="AF1080" s="57"/>
      <c r="AG1080" s="57"/>
      <c r="AH1080" s="57"/>
      <c r="AI1080" s="57"/>
      <c r="AJ1080" s="57"/>
      <c r="AK1080" s="57"/>
      <c r="AL1080" s="57"/>
      <c r="AM1080" s="57"/>
      <c r="AN1080" s="57"/>
      <c r="AO1080" s="57"/>
      <c r="AP1080" s="35"/>
      <c r="AQ1080" s="57"/>
      <c r="AR1080" s="36"/>
      <c r="AS1080" s="57"/>
      <c r="AT1080" s="37"/>
      <c r="AU1080" s="30"/>
      <c r="AV1080" s="30"/>
      <c r="AW1080" s="30"/>
      <c r="AX1080" s="30"/>
      <c r="AY1080" s="30"/>
      <c r="AZ1080" s="30"/>
    </row>
    <row r="1081">
      <c r="A1081" s="30"/>
      <c r="B1081" s="30"/>
      <c r="C1081" s="30"/>
      <c r="D1081" s="31"/>
      <c r="E1081" s="31"/>
      <c r="F1081" s="31"/>
      <c r="G1081" s="31"/>
      <c r="H1081" s="31"/>
      <c r="I1081" s="54"/>
      <c r="J1081" s="55"/>
      <c r="K1081" s="54"/>
      <c r="L1081" s="56"/>
      <c r="M1081" s="56"/>
      <c r="N1081" s="31"/>
      <c r="O1081" s="57"/>
      <c r="P1081" s="57"/>
      <c r="Q1081" s="57"/>
      <c r="R1081" s="57"/>
      <c r="S1081" s="31"/>
      <c r="T1081" s="57"/>
      <c r="U1081" s="57"/>
      <c r="V1081" s="57"/>
      <c r="W1081" s="57"/>
      <c r="X1081" s="31"/>
      <c r="Y1081" s="57"/>
      <c r="Z1081" s="57"/>
      <c r="AA1081" s="57"/>
      <c r="AB1081" s="57"/>
      <c r="AC1081" s="31"/>
      <c r="AD1081" s="57"/>
      <c r="AE1081" s="57"/>
      <c r="AF1081" s="57"/>
      <c r="AG1081" s="57"/>
      <c r="AH1081" s="57"/>
      <c r="AI1081" s="57"/>
      <c r="AJ1081" s="57"/>
      <c r="AK1081" s="57"/>
      <c r="AL1081" s="57"/>
      <c r="AM1081" s="57"/>
      <c r="AN1081" s="57"/>
      <c r="AO1081" s="57"/>
      <c r="AP1081" s="35"/>
      <c r="AQ1081" s="57"/>
      <c r="AR1081" s="36"/>
      <c r="AS1081" s="57"/>
      <c r="AT1081" s="37"/>
      <c r="AU1081" s="30"/>
      <c r="AV1081" s="30"/>
      <c r="AW1081" s="30"/>
      <c r="AX1081" s="30"/>
      <c r="AY1081" s="30"/>
      <c r="AZ1081" s="30"/>
    </row>
    <row r="1082">
      <c r="A1082" s="30"/>
      <c r="B1082" s="30"/>
      <c r="C1082" s="30"/>
      <c r="D1082" s="31"/>
      <c r="E1082" s="31"/>
      <c r="F1082" s="31"/>
      <c r="G1082" s="31"/>
      <c r="H1082" s="31"/>
      <c r="I1082" s="54"/>
      <c r="J1082" s="55"/>
      <c r="K1082" s="54"/>
      <c r="L1082" s="56"/>
      <c r="M1082" s="56"/>
      <c r="N1082" s="31"/>
      <c r="O1082" s="57"/>
      <c r="P1082" s="57"/>
      <c r="Q1082" s="57"/>
      <c r="R1082" s="57"/>
      <c r="S1082" s="31"/>
      <c r="T1082" s="57"/>
      <c r="U1082" s="57"/>
      <c r="V1082" s="57"/>
      <c r="W1082" s="57"/>
      <c r="X1082" s="31"/>
      <c r="Y1082" s="57"/>
      <c r="Z1082" s="57"/>
      <c r="AA1082" s="57"/>
      <c r="AB1082" s="57"/>
      <c r="AC1082" s="31"/>
      <c r="AD1082" s="57"/>
      <c r="AE1082" s="57"/>
      <c r="AF1082" s="57"/>
      <c r="AG1082" s="57"/>
      <c r="AH1082" s="57"/>
      <c r="AI1082" s="57"/>
      <c r="AJ1082" s="57"/>
      <c r="AK1082" s="57"/>
      <c r="AL1082" s="57"/>
      <c r="AM1082" s="57"/>
      <c r="AN1082" s="57"/>
      <c r="AO1082" s="57"/>
      <c r="AP1082" s="35"/>
      <c r="AQ1082" s="57"/>
      <c r="AR1082" s="36"/>
      <c r="AS1082" s="57"/>
      <c r="AT1082" s="37"/>
      <c r="AU1082" s="30"/>
      <c r="AV1082" s="30"/>
      <c r="AW1082" s="30"/>
      <c r="AX1082" s="30"/>
      <c r="AY1082" s="30"/>
      <c r="AZ1082" s="30"/>
    </row>
    <row r="1083">
      <c r="A1083" s="30"/>
      <c r="B1083" s="30"/>
      <c r="C1083" s="30"/>
      <c r="D1083" s="31"/>
      <c r="E1083" s="31"/>
      <c r="F1083" s="31"/>
      <c r="G1083" s="31"/>
      <c r="H1083" s="31"/>
      <c r="I1083" s="54"/>
      <c r="J1083" s="55"/>
      <c r="K1083" s="54"/>
      <c r="L1083" s="56"/>
      <c r="M1083" s="56"/>
      <c r="N1083" s="31"/>
      <c r="O1083" s="57"/>
      <c r="P1083" s="57"/>
      <c r="Q1083" s="57"/>
      <c r="R1083" s="57"/>
      <c r="S1083" s="31"/>
      <c r="T1083" s="57"/>
      <c r="U1083" s="57"/>
      <c r="V1083" s="57"/>
      <c r="W1083" s="57"/>
      <c r="X1083" s="31"/>
      <c r="Y1083" s="57"/>
      <c r="Z1083" s="57"/>
      <c r="AA1083" s="57"/>
      <c r="AB1083" s="57"/>
      <c r="AC1083" s="31"/>
      <c r="AD1083" s="57"/>
      <c r="AE1083" s="57"/>
      <c r="AF1083" s="57"/>
      <c r="AG1083" s="57"/>
      <c r="AH1083" s="57"/>
      <c r="AI1083" s="57"/>
      <c r="AJ1083" s="57"/>
      <c r="AK1083" s="57"/>
      <c r="AL1083" s="57"/>
      <c r="AM1083" s="57"/>
      <c r="AN1083" s="57"/>
      <c r="AO1083" s="57"/>
      <c r="AP1083" s="35"/>
      <c r="AQ1083" s="57"/>
      <c r="AR1083" s="36"/>
      <c r="AS1083" s="57"/>
      <c r="AT1083" s="37"/>
      <c r="AU1083" s="30"/>
      <c r="AV1083" s="30"/>
      <c r="AW1083" s="30"/>
      <c r="AX1083" s="30"/>
      <c r="AY1083" s="30"/>
      <c r="AZ1083" s="30"/>
    </row>
    <row r="1084">
      <c r="A1084" s="30"/>
      <c r="B1084" s="30"/>
      <c r="C1084" s="30"/>
      <c r="D1084" s="31"/>
      <c r="E1084" s="31"/>
      <c r="F1084" s="31"/>
      <c r="G1084" s="31"/>
      <c r="H1084" s="31"/>
      <c r="I1084" s="54"/>
      <c r="J1084" s="55"/>
      <c r="K1084" s="54"/>
      <c r="L1084" s="56"/>
      <c r="M1084" s="56"/>
      <c r="N1084" s="31"/>
      <c r="O1084" s="57"/>
      <c r="P1084" s="57"/>
      <c r="Q1084" s="57"/>
      <c r="R1084" s="57"/>
      <c r="S1084" s="31"/>
      <c r="T1084" s="57"/>
      <c r="U1084" s="57"/>
      <c r="V1084" s="57"/>
      <c r="W1084" s="57"/>
      <c r="X1084" s="31"/>
      <c r="Y1084" s="57"/>
      <c r="Z1084" s="57"/>
      <c r="AA1084" s="57"/>
      <c r="AB1084" s="57"/>
      <c r="AC1084" s="31"/>
      <c r="AD1084" s="57"/>
      <c r="AE1084" s="57"/>
      <c r="AF1084" s="57"/>
      <c r="AG1084" s="57"/>
      <c r="AH1084" s="57"/>
      <c r="AI1084" s="57"/>
      <c r="AJ1084" s="57"/>
      <c r="AK1084" s="57"/>
      <c r="AL1084" s="57"/>
      <c r="AM1084" s="57"/>
      <c r="AN1084" s="57"/>
      <c r="AO1084" s="57"/>
      <c r="AP1084" s="35"/>
      <c r="AQ1084" s="57"/>
      <c r="AR1084" s="36"/>
      <c r="AS1084" s="57"/>
      <c r="AT1084" s="37"/>
      <c r="AU1084" s="30"/>
      <c r="AV1084" s="30"/>
      <c r="AW1084" s="30"/>
      <c r="AX1084" s="30"/>
      <c r="AY1084" s="30"/>
      <c r="AZ1084" s="30"/>
    </row>
    <row r="1085">
      <c r="A1085" s="30"/>
      <c r="B1085" s="30"/>
      <c r="C1085" s="30"/>
      <c r="D1085" s="31"/>
      <c r="E1085" s="31"/>
      <c r="F1085" s="31"/>
      <c r="G1085" s="31"/>
      <c r="H1085" s="31"/>
      <c r="I1085" s="54"/>
      <c r="J1085" s="55"/>
      <c r="K1085" s="54"/>
      <c r="L1085" s="56"/>
      <c r="M1085" s="56"/>
      <c r="N1085" s="31"/>
      <c r="O1085" s="57"/>
      <c r="P1085" s="57"/>
      <c r="Q1085" s="57"/>
      <c r="R1085" s="57"/>
      <c r="S1085" s="31"/>
      <c r="T1085" s="57"/>
      <c r="U1085" s="57"/>
      <c r="V1085" s="57"/>
      <c r="W1085" s="57"/>
      <c r="X1085" s="31"/>
      <c r="Y1085" s="57"/>
      <c r="Z1085" s="57"/>
      <c r="AA1085" s="57"/>
      <c r="AB1085" s="57"/>
      <c r="AC1085" s="31"/>
      <c r="AD1085" s="57"/>
      <c r="AE1085" s="57"/>
      <c r="AF1085" s="57"/>
      <c r="AG1085" s="57"/>
      <c r="AH1085" s="57"/>
      <c r="AI1085" s="57"/>
      <c r="AJ1085" s="57"/>
      <c r="AK1085" s="57"/>
      <c r="AL1085" s="57"/>
      <c r="AM1085" s="57"/>
      <c r="AN1085" s="57"/>
      <c r="AO1085" s="57"/>
      <c r="AP1085" s="35"/>
      <c r="AQ1085" s="57"/>
      <c r="AR1085" s="36"/>
      <c r="AS1085" s="57"/>
      <c r="AT1085" s="37"/>
      <c r="AU1085" s="30"/>
      <c r="AV1085" s="30"/>
      <c r="AW1085" s="30"/>
      <c r="AX1085" s="30"/>
      <c r="AY1085" s="30"/>
      <c r="AZ1085" s="30"/>
    </row>
    <row r="1086">
      <c r="A1086" s="30"/>
      <c r="B1086" s="30"/>
      <c r="C1086" s="30"/>
      <c r="D1086" s="31"/>
      <c r="E1086" s="31"/>
      <c r="F1086" s="31"/>
      <c r="G1086" s="31"/>
      <c r="H1086" s="31"/>
      <c r="I1086" s="54"/>
      <c r="J1086" s="55"/>
      <c r="K1086" s="54"/>
      <c r="L1086" s="56"/>
      <c r="M1086" s="56"/>
      <c r="N1086" s="31"/>
      <c r="O1086" s="57"/>
      <c r="P1086" s="57"/>
      <c r="Q1086" s="57"/>
      <c r="R1086" s="57"/>
      <c r="S1086" s="31"/>
      <c r="T1086" s="57"/>
      <c r="U1086" s="57"/>
      <c r="V1086" s="57"/>
      <c r="W1086" s="57"/>
      <c r="X1086" s="31"/>
      <c r="Y1086" s="57"/>
      <c r="Z1086" s="57"/>
      <c r="AA1086" s="57"/>
      <c r="AB1086" s="57"/>
      <c r="AC1086" s="31"/>
      <c r="AD1086" s="57"/>
      <c r="AE1086" s="57"/>
      <c r="AF1086" s="57"/>
      <c r="AG1086" s="57"/>
      <c r="AH1086" s="57"/>
      <c r="AI1086" s="57"/>
      <c r="AJ1086" s="57"/>
      <c r="AK1086" s="57"/>
      <c r="AL1086" s="57"/>
      <c r="AM1086" s="57"/>
      <c r="AN1086" s="57"/>
      <c r="AO1086" s="57"/>
      <c r="AP1086" s="35"/>
      <c r="AQ1086" s="57"/>
      <c r="AR1086" s="36"/>
      <c r="AS1086" s="57"/>
      <c r="AT1086" s="37"/>
      <c r="AU1086" s="30"/>
      <c r="AV1086" s="30"/>
      <c r="AW1086" s="30"/>
      <c r="AX1086" s="30"/>
      <c r="AY1086" s="30"/>
      <c r="AZ1086" s="30"/>
    </row>
    <row r="1087">
      <c r="A1087" s="30"/>
      <c r="B1087" s="30"/>
      <c r="C1087" s="30"/>
      <c r="D1087" s="31"/>
      <c r="E1087" s="31"/>
      <c r="F1087" s="31"/>
      <c r="G1087" s="31"/>
      <c r="H1087" s="31"/>
      <c r="I1087" s="54"/>
      <c r="J1087" s="55"/>
      <c r="K1087" s="54"/>
      <c r="L1087" s="56"/>
      <c r="M1087" s="56"/>
      <c r="N1087" s="31"/>
      <c r="O1087" s="57"/>
      <c r="P1087" s="57"/>
      <c r="Q1087" s="57"/>
      <c r="R1087" s="57"/>
      <c r="S1087" s="31"/>
      <c r="T1087" s="57"/>
      <c r="U1087" s="57"/>
      <c r="V1087" s="57"/>
      <c r="W1087" s="57"/>
      <c r="X1087" s="31"/>
      <c r="Y1087" s="57"/>
      <c r="Z1087" s="57"/>
      <c r="AA1087" s="57"/>
      <c r="AB1087" s="57"/>
      <c r="AC1087" s="31"/>
      <c r="AD1087" s="57"/>
      <c r="AE1087" s="57"/>
      <c r="AF1087" s="57"/>
      <c r="AG1087" s="57"/>
      <c r="AH1087" s="57"/>
      <c r="AI1087" s="57"/>
      <c r="AJ1087" s="57"/>
      <c r="AK1087" s="57"/>
      <c r="AL1087" s="57"/>
      <c r="AM1087" s="57"/>
      <c r="AN1087" s="57"/>
      <c r="AO1087" s="57"/>
      <c r="AP1087" s="35"/>
      <c r="AQ1087" s="57"/>
      <c r="AR1087" s="36"/>
      <c r="AS1087" s="57"/>
      <c r="AT1087" s="37"/>
      <c r="AU1087" s="30"/>
      <c r="AV1087" s="30"/>
      <c r="AW1087" s="30"/>
      <c r="AX1087" s="30"/>
      <c r="AY1087" s="30"/>
      <c r="AZ1087" s="30"/>
    </row>
    <row r="1088">
      <c r="A1088" s="30"/>
      <c r="B1088" s="30"/>
      <c r="C1088" s="30"/>
      <c r="D1088" s="31"/>
      <c r="E1088" s="31"/>
      <c r="F1088" s="31"/>
      <c r="G1088" s="31"/>
      <c r="H1088" s="31"/>
      <c r="I1088" s="54"/>
      <c r="J1088" s="55"/>
      <c r="K1088" s="54"/>
      <c r="L1088" s="56"/>
      <c r="M1088" s="56"/>
      <c r="N1088" s="31"/>
      <c r="O1088" s="57"/>
      <c r="P1088" s="57"/>
      <c r="Q1088" s="57"/>
      <c r="R1088" s="57"/>
      <c r="S1088" s="31"/>
      <c r="T1088" s="57"/>
      <c r="U1088" s="57"/>
      <c r="V1088" s="57"/>
      <c r="W1088" s="57"/>
      <c r="X1088" s="31"/>
      <c r="Y1088" s="57"/>
      <c r="Z1088" s="57"/>
      <c r="AA1088" s="57"/>
      <c r="AB1088" s="57"/>
      <c r="AC1088" s="31"/>
      <c r="AD1088" s="57"/>
      <c r="AE1088" s="57"/>
      <c r="AF1088" s="57"/>
      <c r="AG1088" s="57"/>
      <c r="AH1088" s="57"/>
      <c r="AI1088" s="57"/>
      <c r="AJ1088" s="57"/>
      <c r="AK1088" s="57"/>
      <c r="AL1088" s="57"/>
      <c r="AM1088" s="57"/>
      <c r="AN1088" s="57"/>
      <c r="AO1088" s="57"/>
      <c r="AP1088" s="35"/>
      <c r="AQ1088" s="57"/>
      <c r="AR1088" s="36"/>
      <c r="AS1088" s="57"/>
      <c r="AT1088" s="37"/>
      <c r="AU1088" s="30"/>
      <c r="AV1088" s="30"/>
      <c r="AW1088" s="30"/>
      <c r="AX1088" s="30"/>
      <c r="AY1088" s="30"/>
      <c r="AZ1088" s="30"/>
    </row>
    <row r="1089">
      <c r="A1089" s="30"/>
      <c r="B1089" s="30"/>
      <c r="C1089" s="30"/>
      <c r="D1089" s="31"/>
      <c r="E1089" s="31"/>
      <c r="F1089" s="31"/>
      <c r="G1089" s="31"/>
      <c r="H1089" s="31"/>
      <c r="I1089" s="54"/>
      <c r="J1089" s="55"/>
      <c r="K1089" s="54"/>
      <c r="L1089" s="56"/>
      <c r="M1089" s="56"/>
      <c r="N1089" s="31"/>
      <c r="O1089" s="57"/>
      <c r="P1089" s="57"/>
      <c r="Q1089" s="57"/>
      <c r="R1089" s="57"/>
      <c r="S1089" s="31"/>
      <c r="T1089" s="57"/>
      <c r="U1089" s="57"/>
      <c r="V1089" s="57"/>
      <c r="W1089" s="57"/>
      <c r="X1089" s="31"/>
      <c r="Y1089" s="57"/>
      <c r="Z1089" s="57"/>
      <c r="AA1089" s="57"/>
      <c r="AB1089" s="57"/>
      <c r="AC1089" s="31"/>
      <c r="AD1089" s="57"/>
      <c r="AE1089" s="57"/>
      <c r="AF1089" s="57"/>
      <c r="AG1089" s="57"/>
      <c r="AH1089" s="57"/>
      <c r="AI1089" s="57"/>
      <c r="AJ1089" s="57"/>
      <c r="AK1089" s="57"/>
      <c r="AL1089" s="57"/>
      <c r="AM1089" s="57"/>
      <c r="AN1089" s="57"/>
      <c r="AO1089" s="57"/>
      <c r="AP1089" s="35"/>
      <c r="AQ1089" s="57"/>
      <c r="AR1089" s="36"/>
      <c r="AS1089" s="57"/>
      <c r="AT1089" s="37"/>
      <c r="AU1089" s="30"/>
      <c r="AV1089" s="30"/>
      <c r="AW1089" s="30"/>
      <c r="AX1089" s="30"/>
      <c r="AY1089" s="30"/>
      <c r="AZ1089" s="30"/>
    </row>
    <row r="1090">
      <c r="A1090" s="30"/>
      <c r="B1090" s="30"/>
      <c r="C1090" s="30"/>
      <c r="D1090" s="31"/>
      <c r="E1090" s="31"/>
      <c r="F1090" s="31"/>
      <c r="G1090" s="31"/>
      <c r="H1090" s="31"/>
      <c r="I1090" s="54"/>
      <c r="J1090" s="55"/>
      <c r="K1090" s="54"/>
      <c r="L1090" s="56"/>
      <c r="M1090" s="56"/>
      <c r="N1090" s="31"/>
      <c r="O1090" s="57"/>
      <c r="P1090" s="57"/>
      <c r="Q1090" s="57"/>
      <c r="R1090" s="57"/>
      <c r="S1090" s="31"/>
      <c r="T1090" s="57"/>
      <c r="U1090" s="57"/>
      <c r="V1090" s="57"/>
      <c r="W1090" s="57"/>
      <c r="X1090" s="31"/>
      <c r="Y1090" s="57"/>
      <c r="Z1090" s="57"/>
      <c r="AA1090" s="57"/>
      <c r="AB1090" s="57"/>
      <c r="AC1090" s="31"/>
      <c r="AD1090" s="57"/>
      <c r="AE1090" s="57"/>
      <c r="AF1090" s="57"/>
      <c r="AG1090" s="57"/>
      <c r="AH1090" s="57"/>
      <c r="AI1090" s="57"/>
      <c r="AJ1090" s="57"/>
      <c r="AK1090" s="57"/>
      <c r="AL1090" s="57"/>
      <c r="AM1090" s="57"/>
      <c r="AN1090" s="57"/>
      <c r="AO1090" s="57"/>
      <c r="AP1090" s="35"/>
      <c r="AQ1090" s="57"/>
      <c r="AR1090" s="36"/>
      <c r="AS1090" s="57"/>
      <c r="AT1090" s="37"/>
      <c r="AU1090" s="30"/>
      <c r="AV1090" s="30"/>
      <c r="AW1090" s="30"/>
      <c r="AX1090" s="30"/>
      <c r="AY1090" s="30"/>
      <c r="AZ1090" s="30"/>
    </row>
    <row r="1091">
      <c r="A1091" s="30"/>
      <c r="B1091" s="30"/>
      <c r="C1091" s="30"/>
      <c r="D1091" s="31"/>
      <c r="E1091" s="31"/>
      <c r="F1091" s="31"/>
      <c r="G1091" s="31"/>
      <c r="H1091" s="31"/>
      <c r="I1091" s="54"/>
      <c r="J1091" s="55"/>
      <c r="K1091" s="54"/>
      <c r="L1091" s="56"/>
      <c r="M1091" s="56"/>
      <c r="N1091" s="31"/>
      <c r="O1091" s="57"/>
      <c r="P1091" s="57"/>
      <c r="Q1091" s="57"/>
      <c r="R1091" s="57"/>
      <c r="S1091" s="31"/>
      <c r="T1091" s="57"/>
      <c r="U1091" s="57"/>
      <c r="V1091" s="57"/>
      <c r="W1091" s="57"/>
      <c r="X1091" s="31"/>
      <c r="Y1091" s="57"/>
      <c r="Z1091" s="57"/>
      <c r="AA1091" s="57"/>
      <c r="AB1091" s="57"/>
      <c r="AC1091" s="31"/>
      <c r="AD1091" s="57"/>
      <c r="AE1091" s="57"/>
      <c r="AF1091" s="57"/>
      <c r="AG1091" s="57"/>
      <c r="AH1091" s="57"/>
      <c r="AI1091" s="57"/>
      <c r="AJ1091" s="57"/>
      <c r="AK1091" s="57"/>
      <c r="AL1091" s="57"/>
      <c r="AM1091" s="57"/>
      <c r="AN1091" s="57"/>
      <c r="AO1091" s="57"/>
      <c r="AP1091" s="35"/>
      <c r="AQ1091" s="57"/>
      <c r="AR1091" s="36"/>
      <c r="AS1091" s="57"/>
      <c r="AT1091" s="37"/>
      <c r="AU1091" s="30"/>
      <c r="AV1091" s="30"/>
      <c r="AW1091" s="30"/>
      <c r="AX1091" s="30"/>
      <c r="AY1091" s="30"/>
      <c r="AZ1091" s="30"/>
    </row>
    <row r="1092">
      <c r="A1092" s="30"/>
      <c r="B1092" s="30"/>
      <c r="C1092" s="30"/>
      <c r="D1092" s="31"/>
      <c r="E1092" s="31"/>
      <c r="F1092" s="31"/>
      <c r="G1092" s="31"/>
      <c r="H1092" s="31"/>
      <c r="I1092" s="54"/>
      <c r="J1092" s="55"/>
      <c r="K1092" s="54"/>
      <c r="L1092" s="56"/>
      <c r="M1092" s="56"/>
      <c r="N1092" s="31"/>
      <c r="O1092" s="57"/>
      <c r="P1092" s="57"/>
      <c r="Q1092" s="57"/>
      <c r="R1092" s="57"/>
      <c r="S1092" s="31"/>
      <c r="T1092" s="57"/>
      <c r="U1092" s="57"/>
      <c r="V1092" s="57"/>
      <c r="W1092" s="57"/>
      <c r="X1092" s="31"/>
      <c r="Y1092" s="57"/>
      <c r="Z1092" s="57"/>
      <c r="AA1092" s="57"/>
      <c r="AB1092" s="57"/>
      <c r="AC1092" s="31"/>
      <c r="AD1092" s="57"/>
      <c r="AE1092" s="57"/>
      <c r="AF1092" s="57"/>
      <c r="AG1092" s="57"/>
      <c r="AH1092" s="57"/>
      <c r="AI1092" s="57"/>
      <c r="AJ1092" s="57"/>
      <c r="AK1092" s="57"/>
      <c r="AL1092" s="57"/>
      <c r="AM1092" s="57"/>
      <c r="AN1092" s="57"/>
      <c r="AO1092" s="57"/>
      <c r="AP1092" s="35"/>
      <c r="AQ1092" s="57"/>
      <c r="AR1092" s="36"/>
      <c r="AS1092" s="57"/>
      <c r="AT1092" s="37"/>
      <c r="AU1092" s="30"/>
      <c r="AV1092" s="30"/>
      <c r="AW1092" s="30"/>
      <c r="AX1092" s="30"/>
      <c r="AY1092" s="30"/>
      <c r="AZ1092" s="30"/>
    </row>
    <row r="1093">
      <c r="A1093" s="30"/>
      <c r="B1093" s="30"/>
      <c r="C1093" s="30"/>
      <c r="D1093" s="31"/>
      <c r="E1093" s="31"/>
      <c r="F1093" s="31"/>
      <c r="G1093" s="31"/>
      <c r="H1093" s="31"/>
      <c r="I1093" s="54"/>
      <c r="J1093" s="55"/>
      <c r="K1093" s="54"/>
      <c r="L1093" s="56"/>
      <c r="M1093" s="56"/>
      <c r="N1093" s="31"/>
      <c r="O1093" s="57"/>
      <c r="P1093" s="57"/>
      <c r="Q1093" s="57"/>
      <c r="R1093" s="57"/>
      <c r="S1093" s="31"/>
      <c r="T1093" s="57"/>
      <c r="U1093" s="57"/>
      <c r="V1093" s="57"/>
      <c r="W1093" s="57"/>
      <c r="X1093" s="31"/>
      <c r="Y1093" s="57"/>
      <c r="Z1093" s="57"/>
      <c r="AA1093" s="57"/>
      <c r="AB1093" s="57"/>
      <c r="AC1093" s="31"/>
      <c r="AD1093" s="57"/>
      <c r="AE1093" s="57"/>
      <c r="AF1093" s="57"/>
      <c r="AG1093" s="57"/>
      <c r="AH1093" s="57"/>
      <c r="AI1093" s="57"/>
      <c r="AJ1093" s="57"/>
      <c r="AK1093" s="57"/>
      <c r="AL1093" s="57"/>
      <c r="AM1093" s="57"/>
      <c r="AN1093" s="57"/>
      <c r="AO1093" s="57"/>
      <c r="AP1093" s="35"/>
      <c r="AQ1093" s="57"/>
      <c r="AR1093" s="36"/>
      <c r="AS1093" s="57"/>
      <c r="AT1093" s="37"/>
      <c r="AU1093" s="30"/>
      <c r="AV1093" s="30"/>
      <c r="AW1093" s="30"/>
      <c r="AX1093" s="30"/>
      <c r="AY1093" s="30"/>
      <c r="AZ1093" s="30"/>
    </row>
    <row r="1094">
      <c r="A1094" s="30"/>
      <c r="B1094" s="30"/>
      <c r="C1094" s="30"/>
      <c r="D1094" s="31"/>
      <c r="E1094" s="31"/>
      <c r="F1094" s="31"/>
      <c r="G1094" s="31"/>
      <c r="H1094" s="31"/>
      <c r="I1094" s="54"/>
      <c r="J1094" s="55"/>
      <c r="K1094" s="54"/>
      <c r="L1094" s="56"/>
      <c r="M1094" s="56"/>
      <c r="N1094" s="31"/>
      <c r="O1094" s="57"/>
      <c r="P1094" s="57"/>
      <c r="Q1094" s="57"/>
      <c r="R1094" s="57"/>
      <c r="S1094" s="31"/>
      <c r="T1094" s="57"/>
      <c r="U1094" s="57"/>
      <c r="V1094" s="57"/>
      <c r="W1094" s="57"/>
      <c r="X1094" s="31"/>
      <c r="Y1094" s="57"/>
      <c r="Z1094" s="57"/>
      <c r="AA1094" s="57"/>
      <c r="AB1094" s="57"/>
      <c r="AC1094" s="31"/>
      <c r="AD1094" s="57"/>
      <c r="AE1094" s="57"/>
      <c r="AF1094" s="57"/>
      <c r="AG1094" s="57"/>
      <c r="AH1094" s="57"/>
      <c r="AI1094" s="57"/>
      <c r="AJ1094" s="57"/>
      <c r="AK1094" s="57"/>
      <c r="AL1094" s="57"/>
      <c r="AM1094" s="57"/>
      <c r="AN1094" s="57"/>
      <c r="AO1094" s="57"/>
      <c r="AP1094" s="35"/>
      <c r="AQ1094" s="57"/>
      <c r="AR1094" s="36"/>
      <c r="AS1094" s="57"/>
      <c r="AT1094" s="37"/>
      <c r="AU1094" s="30"/>
      <c r="AV1094" s="30"/>
      <c r="AW1094" s="30"/>
      <c r="AX1094" s="30"/>
      <c r="AY1094" s="30"/>
      <c r="AZ1094" s="30"/>
    </row>
    <row r="1095">
      <c r="A1095" s="30"/>
      <c r="B1095" s="30"/>
      <c r="C1095" s="30"/>
      <c r="D1095" s="31"/>
      <c r="E1095" s="31"/>
      <c r="F1095" s="31"/>
      <c r="G1095" s="31"/>
      <c r="H1095" s="31"/>
      <c r="I1095" s="54"/>
      <c r="J1095" s="55"/>
      <c r="K1095" s="54"/>
      <c r="L1095" s="56"/>
      <c r="M1095" s="56"/>
      <c r="N1095" s="31"/>
      <c r="O1095" s="57"/>
      <c r="P1095" s="57"/>
      <c r="Q1095" s="57"/>
      <c r="R1095" s="57"/>
      <c r="S1095" s="31"/>
      <c r="T1095" s="57"/>
      <c r="U1095" s="57"/>
      <c r="V1095" s="57"/>
      <c r="W1095" s="57"/>
      <c r="X1095" s="31"/>
      <c r="Y1095" s="57"/>
      <c r="Z1095" s="57"/>
      <c r="AA1095" s="57"/>
      <c r="AB1095" s="57"/>
      <c r="AC1095" s="31"/>
      <c r="AD1095" s="57"/>
      <c r="AE1095" s="57"/>
      <c r="AF1095" s="57"/>
      <c r="AG1095" s="57"/>
      <c r="AH1095" s="57"/>
      <c r="AI1095" s="57"/>
      <c r="AJ1095" s="57"/>
      <c r="AK1095" s="57"/>
      <c r="AL1095" s="57"/>
      <c r="AM1095" s="57"/>
      <c r="AN1095" s="57"/>
      <c r="AO1095" s="57"/>
      <c r="AP1095" s="35"/>
      <c r="AQ1095" s="57"/>
      <c r="AR1095" s="36"/>
      <c r="AS1095" s="57"/>
      <c r="AT1095" s="37"/>
      <c r="AU1095" s="30"/>
      <c r="AV1095" s="30"/>
      <c r="AW1095" s="30"/>
      <c r="AX1095" s="30"/>
      <c r="AY1095" s="30"/>
      <c r="AZ1095" s="30"/>
    </row>
    <row r="1096">
      <c r="A1096" s="30"/>
      <c r="B1096" s="30"/>
      <c r="C1096" s="30"/>
      <c r="D1096" s="31"/>
      <c r="E1096" s="31"/>
      <c r="F1096" s="31"/>
      <c r="G1096" s="31"/>
      <c r="H1096" s="31"/>
      <c r="I1096" s="54"/>
      <c r="J1096" s="55"/>
      <c r="K1096" s="54"/>
      <c r="L1096" s="56"/>
      <c r="M1096" s="56"/>
      <c r="N1096" s="31"/>
      <c r="O1096" s="57"/>
      <c r="P1096" s="57"/>
      <c r="Q1096" s="57"/>
      <c r="R1096" s="57"/>
      <c r="S1096" s="31"/>
      <c r="T1096" s="57"/>
      <c r="U1096" s="57"/>
      <c r="V1096" s="57"/>
      <c r="W1096" s="57"/>
      <c r="X1096" s="31"/>
      <c r="Y1096" s="57"/>
      <c r="Z1096" s="57"/>
      <c r="AA1096" s="57"/>
      <c r="AB1096" s="57"/>
      <c r="AC1096" s="31"/>
      <c r="AD1096" s="57"/>
      <c r="AE1096" s="57"/>
      <c r="AF1096" s="57"/>
      <c r="AG1096" s="57"/>
      <c r="AH1096" s="57"/>
      <c r="AI1096" s="57"/>
      <c r="AJ1096" s="57"/>
      <c r="AK1096" s="57"/>
      <c r="AL1096" s="57"/>
      <c r="AM1096" s="57"/>
      <c r="AN1096" s="57"/>
      <c r="AO1096" s="57"/>
      <c r="AP1096" s="35"/>
      <c r="AQ1096" s="57"/>
      <c r="AR1096" s="36"/>
      <c r="AS1096" s="57"/>
      <c r="AT1096" s="37"/>
      <c r="AU1096" s="30"/>
      <c r="AV1096" s="30"/>
      <c r="AW1096" s="30"/>
      <c r="AX1096" s="30"/>
      <c r="AY1096" s="30"/>
      <c r="AZ1096" s="30"/>
    </row>
    <row r="1097">
      <c r="A1097" s="30"/>
      <c r="B1097" s="30"/>
      <c r="C1097" s="30"/>
      <c r="D1097" s="31"/>
      <c r="E1097" s="31"/>
      <c r="F1097" s="31"/>
      <c r="G1097" s="31"/>
      <c r="H1097" s="31"/>
      <c r="I1097" s="54"/>
      <c r="J1097" s="55"/>
      <c r="K1097" s="54"/>
      <c r="L1097" s="56"/>
      <c r="M1097" s="56"/>
      <c r="N1097" s="31"/>
      <c r="O1097" s="57"/>
      <c r="P1097" s="57"/>
      <c r="Q1097" s="57"/>
      <c r="R1097" s="57"/>
      <c r="S1097" s="31"/>
      <c r="T1097" s="57"/>
      <c r="U1097" s="57"/>
      <c r="V1097" s="57"/>
      <c r="W1097" s="57"/>
      <c r="X1097" s="31"/>
      <c r="Y1097" s="57"/>
      <c r="Z1097" s="57"/>
      <c r="AA1097" s="57"/>
      <c r="AB1097" s="57"/>
      <c r="AC1097" s="31"/>
      <c r="AD1097" s="57"/>
      <c r="AE1097" s="57"/>
      <c r="AF1097" s="57"/>
      <c r="AG1097" s="57"/>
      <c r="AH1097" s="57"/>
      <c r="AI1097" s="57"/>
      <c r="AJ1097" s="57"/>
      <c r="AK1097" s="57"/>
      <c r="AL1097" s="57"/>
      <c r="AM1097" s="57"/>
      <c r="AN1097" s="57"/>
      <c r="AO1097" s="57"/>
      <c r="AP1097" s="35"/>
      <c r="AQ1097" s="57"/>
      <c r="AR1097" s="36"/>
      <c r="AS1097" s="57"/>
      <c r="AT1097" s="37"/>
      <c r="AU1097" s="30"/>
      <c r="AV1097" s="30"/>
      <c r="AW1097" s="30"/>
      <c r="AX1097" s="30"/>
      <c r="AY1097" s="30"/>
      <c r="AZ1097" s="30"/>
    </row>
    <row r="1098">
      <c r="A1098" s="30"/>
      <c r="B1098" s="30"/>
      <c r="C1098" s="30"/>
      <c r="D1098" s="31"/>
      <c r="E1098" s="31"/>
      <c r="F1098" s="31"/>
      <c r="G1098" s="31"/>
      <c r="H1098" s="31"/>
      <c r="I1098" s="54"/>
      <c r="J1098" s="55"/>
      <c r="K1098" s="54"/>
      <c r="L1098" s="56"/>
      <c r="M1098" s="56"/>
      <c r="N1098" s="31"/>
      <c r="O1098" s="57"/>
      <c r="P1098" s="57"/>
      <c r="Q1098" s="57"/>
      <c r="R1098" s="57"/>
      <c r="S1098" s="31"/>
      <c r="T1098" s="57"/>
      <c r="U1098" s="57"/>
      <c r="V1098" s="57"/>
      <c r="W1098" s="57"/>
      <c r="X1098" s="31"/>
      <c r="Y1098" s="57"/>
      <c r="Z1098" s="57"/>
      <c r="AA1098" s="57"/>
      <c r="AB1098" s="57"/>
      <c r="AC1098" s="31"/>
      <c r="AD1098" s="57"/>
      <c r="AE1098" s="57"/>
      <c r="AF1098" s="57"/>
      <c r="AG1098" s="57"/>
      <c r="AH1098" s="57"/>
      <c r="AI1098" s="57"/>
      <c r="AJ1098" s="57"/>
      <c r="AK1098" s="57"/>
      <c r="AL1098" s="57"/>
      <c r="AM1098" s="57"/>
      <c r="AN1098" s="57"/>
      <c r="AO1098" s="57"/>
      <c r="AP1098" s="35"/>
      <c r="AQ1098" s="57"/>
      <c r="AR1098" s="36"/>
      <c r="AS1098" s="57"/>
      <c r="AT1098" s="37"/>
      <c r="AU1098" s="30"/>
      <c r="AV1098" s="30"/>
      <c r="AW1098" s="30"/>
      <c r="AX1098" s="30"/>
      <c r="AY1098" s="30"/>
      <c r="AZ1098" s="30"/>
    </row>
    <row r="1099">
      <c r="A1099" s="30"/>
      <c r="B1099" s="30"/>
      <c r="C1099" s="30"/>
      <c r="D1099" s="31"/>
      <c r="E1099" s="31"/>
      <c r="F1099" s="31"/>
      <c r="G1099" s="31"/>
      <c r="H1099" s="31"/>
      <c r="I1099" s="54"/>
      <c r="J1099" s="55"/>
      <c r="K1099" s="54"/>
      <c r="L1099" s="56"/>
      <c r="M1099" s="56"/>
      <c r="N1099" s="31"/>
      <c r="O1099" s="57"/>
      <c r="P1099" s="57"/>
      <c r="Q1099" s="57"/>
      <c r="R1099" s="57"/>
      <c r="S1099" s="31"/>
      <c r="T1099" s="57"/>
      <c r="U1099" s="57"/>
      <c r="V1099" s="57"/>
      <c r="W1099" s="57"/>
      <c r="X1099" s="31"/>
      <c r="Y1099" s="57"/>
      <c r="Z1099" s="57"/>
      <c r="AA1099" s="57"/>
      <c r="AB1099" s="57"/>
      <c r="AC1099" s="31"/>
      <c r="AD1099" s="57"/>
      <c r="AE1099" s="57"/>
      <c r="AF1099" s="57"/>
      <c r="AG1099" s="57"/>
      <c r="AH1099" s="57"/>
      <c r="AI1099" s="57"/>
      <c r="AJ1099" s="57"/>
      <c r="AK1099" s="57"/>
      <c r="AL1099" s="57"/>
      <c r="AM1099" s="57"/>
      <c r="AN1099" s="57"/>
      <c r="AO1099" s="57"/>
      <c r="AP1099" s="35"/>
      <c r="AQ1099" s="57"/>
      <c r="AR1099" s="36"/>
      <c r="AS1099" s="57"/>
      <c r="AT1099" s="37"/>
      <c r="AU1099" s="30"/>
      <c r="AV1099" s="30"/>
      <c r="AW1099" s="30"/>
      <c r="AX1099" s="30"/>
      <c r="AY1099" s="30"/>
      <c r="AZ1099" s="30"/>
    </row>
    <row r="1100">
      <c r="A1100" s="30"/>
      <c r="B1100" s="30"/>
      <c r="C1100" s="30"/>
      <c r="D1100" s="31"/>
      <c r="E1100" s="31"/>
      <c r="F1100" s="31"/>
      <c r="G1100" s="31"/>
      <c r="H1100" s="31"/>
      <c r="I1100" s="54"/>
      <c r="J1100" s="55"/>
      <c r="K1100" s="54"/>
      <c r="L1100" s="56"/>
      <c r="M1100" s="56"/>
      <c r="N1100" s="31"/>
      <c r="O1100" s="57"/>
      <c r="P1100" s="57"/>
      <c r="Q1100" s="57"/>
      <c r="R1100" s="57"/>
      <c r="S1100" s="31"/>
      <c r="T1100" s="57"/>
      <c r="U1100" s="57"/>
      <c r="V1100" s="57"/>
      <c r="W1100" s="57"/>
      <c r="X1100" s="31"/>
      <c r="Y1100" s="57"/>
      <c r="Z1100" s="57"/>
      <c r="AA1100" s="57"/>
      <c r="AB1100" s="57"/>
      <c r="AC1100" s="31"/>
      <c r="AD1100" s="57"/>
      <c r="AE1100" s="57"/>
      <c r="AF1100" s="57"/>
      <c r="AG1100" s="57"/>
      <c r="AH1100" s="57"/>
      <c r="AI1100" s="57"/>
      <c r="AJ1100" s="57"/>
      <c r="AK1100" s="57"/>
      <c r="AL1100" s="57"/>
      <c r="AM1100" s="57"/>
      <c r="AN1100" s="57"/>
      <c r="AO1100" s="57"/>
      <c r="AP1100" s="35"/>
      <c r="AQ1100" s="57"/>
      <c r="AR1100" s="36"/>
      <c r="AS1100" s="57"/>
      <c r="AT1100" s="37"/>
      <c r="AU1100" s="30"/>
      <c r="AV1100" s="30"/>
      <c r="AW1100" s="30"/>
      <c r="AX1100" s="30"/>
      <c r="AY1100" s="30"/>
      <c r="AZ1100" s="30"/>
    </row>
    <row r="1101">
      <c r="A1101" s="30"/>
      <c r="B1101" s="30"/>
      <c r="C1101" s="30"/>
      <c r="D1101" s="31"/>
      <c r="E1101" s="31"/>
      <c r="F1101" s="31"/>
      <c r="G1101" s="31"/>
      <c r="H1101" s="31"/>
      <c r="I1101" s="54"/>
      <c r="J1101" s="55"/>
      <c r="K1101" s="54"/>
      <c r="L1101" s="56"/>
      <c r="M1101" s="56"/>
      <c r="N1101" s="31"/>
      <c r="O1101" s="57"/>
      <c r="P1101" s="57"/>
      <c r="Q1101" s="57"/>
      <c r="R1101" s="57"/>
      <c r="S1101" s="31"/>
      <c r="T1101" s="57"/>
      <c r="U1101" s="57"/>
      <c r="V1101" s="57"/>
      <c r="W1101" s="57"/>
      <c r="X1101" s="31"/>
      <c r="Y1101" s="57"/>
      <c r="Z1101" s="57"/>
      <c r="AA1101" s="57"/>
      <c r="AB1101" s="57"/>
      <c r="AC1101" s="31"/>
      <c r="AD1101" s="57"/>
      <c r="AE1101" s="57"/>
      <c r="AF1101" s="57"/>
      <c r="AG1101" s="57"/>
      <c r="AH1101" s="57"/>
      <c r="AI1101" s="57"/>
      <c r="AJ1101" s="57"/>
      <c r="AK1101" s="57"/>
      <c r="AL1101" s="57"/>
      <c r="AM1101" s="57"/>
      <c r="AN1101" s="57"/>
      <c r="AO1101" s="57"/>
      <c r="AP1101" s="35"/>
      <c r="AQ1101" s="57"/>
      <c r="AR1101" s="36"/>
      <c r="AS1101" s="57"/>
      <c r="AT1101" s="37"/>
      <c r="AU1101" s="30"/>
      <c r="AV1101" s="30"/>
      <c r="AW1101" s="30"/>
      <c r="AX1101" s="30"/>
      <c r="AY1101" s="30"/>
      <c r="AZ1101" s="30"/>
    </row>
    <row r="1102">
      <c r="A1102" s="30"/>
      <c r="B1102" s="30"/>
      <c r="C1102" s="30"/>
      <c r="D1102" s="31"/>
      <c r="E1102" s="31"/>
      <c r="F1102" s="31"/>
      <c r="G1102" s="31"/>
      <c r="H1102" s="31"/>
      <c r="I1102" s="54"/>
      <c r="J1102" s="55"/>
      <c r="K1102" s="54"/>
      <c r="L1102" s="56"/>
      <c r="M1102" s="56"/>
      <c r="N1102" s="31"/>
      <c r="O1102" s="57"/>
      <c r="P1102" s="57"/>
      <c r="Q1102" s="57"/>
      <c r="R1102" s="57"/>
      <c r="S1102" s="31"/>
      <c r="T1102" s="57"/>
      <c r="U1102" s="57"/>
      <c r="V1102" s="57"/>
      <c r="W1102" s="57"/>
      <c r="X1102" s="31"/>
      <c r="Y1102" s="57"/>
      <c r="Z1102" s="57"/>
      <c r="AA1102" s="57"/>
      <c r="AB1102" s="57"/>
      <c r="AC1102" s="31"/>
      <c r="AD1102" s="57"/>
      <c r="AE1102" s="57"/>
      <c r="AF1102" s="57"/>
      <c r="AG1102" s="57"/>
      <c r="AH1102" s="57"/>
      <c r="AI1102" s="57"/>
      <c r="AJ1102" s="57"/>
      <c r="AK1102" s="57"/>
      <c r="AL1102" s="57"/>
      <c r="AM1102" s="57"/>
      <c r="AN1102" s="57"/>
      <c r="AO1102" s="57"/>
      <c r="AP1102" s="35"/>
      <c r="AQ1102" s="57"/>
      <c r="AR1102" s="36"/>
      <c r="AS1102" s="57"/>
      <c r="AT1102" s="37"/>
      <c r="AU1102" s="30"/>
      <c r="AV1102" s="30"/>
      <c r="AW1102" s="30"/>
      <c r="AX1102" s="30"/>
      <c r="AY1102" s="30"/>
      <c r="AZ1102" s="30"/>
    </row>
    <row r="1103">
      <c r="A1103" s="30"/>
      <c r="B1103" s="30"/>
      <c r="C1103" s="30"/>
      <c r="D1103" s="31"/>
      <c r="E1103" s="31"/>
      <c r="F1103" s="31"/>
      <c r="G1103" s="31"/>
      <c r="H1103" s="31"/>
      <c r="I1103" s="54"/>
      <c r="J1103" s="55"/>
      <c r="K1103" s="54"/>
      <c r="L1103" s="56"/>
      <c r="M1103" s="56"/>
      <c r="N1103" s="31"/>
      <c r="O1103" s="57"/>
      <c r="P1103" s="57"/>
      <c r="Q1103" s="57"/>
      <c r="R1103" s="57"/>
      <c r="S1103" s="31"/>
      <c r="T1103" s="57"/>
      <c r="U1103" s="57"/>
      <c r="V1103" s="57"/>
      <c r="W1103" s="57"/>
      <c r="X1103" s="31"/>
      <c r="Y1103" s="57"/>
      <c r="Z1103" s="57"/>
      <c r="AA1103" s="57"/>
      <c r="AB1103" s="57"/>
      <c r="AC1103" s="31"/>
      <c r="AD1103" s="57"/>
      <c r="AE1103" s="57"/>
      <c r="AF1103" s="57"/>
      <c r="AG1103" s="57"/>
      <c r="AH1103" s="57"/>
      <c r="AI1103" s="57"/>
      <c r="AJ1103" s="57"/>
      <c r="AK1103" s="57"/>
      <c r="AL1103" s="57"/>
      <c r="AM1103" s="57"/>
      <c r="AN1103" s="57"/>
      <c r="AO1103" s="57"/>
      <c r="AP1103" s="35"/>
      <c r="AQ1103" s="57"/>
      <c r="AR1103" s="36"/>
      <c r="AS1103" s="57"/>
      <c r="AT1103" s="37"/>
      <c r="AU1103" s="30"/>
      <c r="AV1103" s="30"/>
      <c r="AW1103" s="30"/>
      <c r="AX1103" s="30"/>
      <c r="AY1103" s="30"/>
      <c r="AZ1103" s="30"/>
    </row>
    <row r="1104">
      <c r="A1104" s="30"/>
      <c r="B1104" s="30"/>
      <c r="C1104" s="30"/>
      <c r="D1104" s="31"/>
      <c r="E1104" s="31"/>
      <c r="F1104" s="31"/>
      <c r="G1104" s="31"/>
      <c r="H1104" s="31"/>
      <c r="I1104" s="54"/>
      <c r="J1104" s="55"/>
      <c r="K1104" s="54"/>
      <c r="L1104" s="56"/>
      <c r="M1104" s="56"/>
      <c r="N1104" s="31"/>
      <c r="O1104" s="57"/>
      <c r="P1104" s="57"/>
      <c r="Q1104" s="57"/>
      <c r="R1104" s="57"/>
      <c r="S1104" s="31"/>
      <c r="T1104" s="57"/>
      <c r="U1104" s="57"/>
      <c r="V1104" s="57"/>
      <c r="W1104" s="57"/>
      <c r="X1104" s="31"/>
      <c r="Y1104" s="57"/>
      <c r="Z1104" s="57"/>
      <c r="AA1104" s="57"/>
      <c r="AB1104" s="57"/>
      <c r="AC1104" s="31"/>
      <c r="AD1104" s="57"/>
      <c r="AE1104" s="57"/>
      <c r="AF1104" s="57"/>
      <c r="AG1104" s="57"/>
      <c r="AH1104" s="57"/>
      <c r="AI1104" s="57"/>
      <c r="AJ1104" s="57"/>
      <c r="AK1104" s="57"/>
      <c r="AL1104" s="57"/>
      <c r="AM1104" s="57"/>
      <c r="AN1104" s="57"/>
      <c r="AO1104" s="57"/>
      <c r="AP1104" s="35"/>
      <c r="AQ1104" s="57"/>
      <c r="AR1104" s="36"/>
      <c r="AS1104" s="57"/>
      <c r="AT1104" s="37"/>
      <c r="AU1104" s="30"/>
      <c r="AV1104" s="30"/>
      <c r="AW1104" s="30"/>
      <c r="AX1104" s="30"/>
      <c r="AY1104" s="30"/>
      <c r="AZ1104" s="30"/>
    </row>
    <row r="1105">
      <c r="A1105" s="30"/>
      <c r="B1105" s="30"/>
      <c r="C1105" s="30"/>
      <c r="D1105" s="31"/>
      <c r="E1105" s="31"/>
      <c r="F1105" s="31"/>
      <c r="G1105" s="31"/>
      <c r="H1105" s="31"/>
      <c r="I1105" s="54"/>
      <c r="J1105" s="55"/>
      <c r="K1105" s="54"/>
      <c r="L1105" s="56"/>
      <c r="M1105" s="56"/>
      <c r="N1105" s="31"/>
      <c r="O1105" s="57"/>
      <c r="P1105" s="57"/>
      <c r="Q1105" s="57"/>
      <c r="R1105" s="57"/>
      <c r="S1105" s="31"/>
      <c r="T1105" s="57"/>
      <c r="U1105" s="57"/>
      <c r="V1105" s="57"/>
      <c r="W1105" s="57"/>
      <c r="X1105" s="31"/>
      <c r="Y1105" s="57"/>
      <c r="Z1105" s="57"/>
      <c r="AA1105" s="57"/>
      <c r="AB1105" s="57"/>
      <c r="AC1105" s="31"/>
      <c r="AD1105" s="57"/>
      <c r="AE1105" s="57"/>
      <c r="AF1105" s="57"/>
      <c r="AG1105" s="57"/>
      <c r="AH1105" s="57"/>
      <c r="AI1105" s="57"/>
      <c r="AJ1105" s="57"/>
      <c r="AK1105" s="57"/>
      <c r="AL1105" s="57"/>
      <c r="AM1105" s="57"/>
      <c r="AN1105" s="57"/>
      <c r="AO1105" s="57"/>
      <c r="AP1105" s="35"/>
      <c r="AQ1105" s="57"/>
      <c r="AR1105" s="36"/>
      <c r="AS1105" s="57"/>
      <c r="AT1105" s="37"/>
      <c r="AU1105" s="30"/>
      <c r="AV1105" s="30"/>
      <c r="AW1105" s="30"/>
      <c r="AX1105" s="30"/>
      <c r="AY1105" s="30"/>
      <c r="AZ1105" s="30"/>
    </row>
    <row r="1106">
      <c r="A1106" s="30"/>
      <c r="B1106" s="30"/>
      <c r="C1106" s="30"/>
      <c r="D1106" s="31"/>
      <c r="E1106" s="31"/>
      <c r="F1106" s="31"/>
      <c r="G1106" s="31"/>
      <c r="H1106" s="31"/>
      <c r="I1106" s="54"/>
      <c r="J1106" s="55"/>
      <c r="K1106" s="54"/>
      <c r="L1106" s="56"/>
      <c r="M1106" s="56"/>
      <c r="N1106" s="31"/>
      <c r="O1106" s="57"/>
      <c r="P1106" s="57"/>
      <c r="Q1106" s="57"/>
      <c r="R1106" s="57"/>
      <c r="S1106" s="31"/>
      <c r="T1106" s="57"/>
      <c r="U1106" s="57"/>
      <c r="V1106" s="57"/>
      <c r="W1106" s="57"/>
      <c r="X1106" s="31"/>
      <c r="Y1106" s="57"/>
      <c r="Z1106" s="57"/>
      <c r="AA1106" s="57"/>
      <c r="AB1106" s="57"/>
      <c r="AC1106" s="31"/>
      <c r="AD1106" s="57"/>
      <c r="AE1106" s="57"/>
      <c r="AF1106" s="57"/>
      <c r="AG1106" s="57"/>
      <c r="AH1106" s="57"/>
      <c r="AI1106" s="57"/>
      <c r="AJ1106" s="57"/>
      <c r="AK1106" s="57"/>
      <c r="AL1106" s="57"/>
      <c r="AM1106" s="57"/>
      <c r="AN1106" s="57"/>
      <c r="AO1106" s="57"/>
      <c r="AP1106" s="35"/>
      <c r="AQ1106" s="57"/>
      <c r="AR1106" s="36"/>
      <c r="AS1106" s="57"/>
      <c r="AT1106" s="37"/>
      <c r="AU1106" s="30"/>
      <c r="AV1106" s="30"/>
      <c r="AW1106" s="30"/>
      <c r="AX1106" s="30"/>
      <c r="AY1106" s="30"/>
      <c r="AZ1106" s="30"/>
    </row>
    <row r="1107">
      <c r="A1107" s="30"/>
      <c r="B1107" s="30"/>
      <c r="C1107" s="30"/>
      <c r="D1107" s="31"/>
      <c r="E1107" s="31"/>
      <c r="F1107" s="31"/>
      <c r="G1107" s="31"/>
      <c r="H1107" s="31"/>
      <c r="I1107" s="54"/>
      <c r="J1107" s="55"/>
      <c r="K1107" s="54"/>
      <c r="L1107" s="56"/>
      <c r="M1107" s="56"/>
      <c r="N1107" s="31"/>
      <c r="O1107" s="57"/>
      <c r="P1107" s="57"/>
      <c r="Q1107" s="57"/>
      <c r="R1107" s="57"/>
      <c r="S1107" s="31"/>
      <c r="T1107" s="57"/>
      <c r="U1107" s="57"/>
      <c r="V1107" s="57"/>
      <c r="W1107" s="57"/>
      <c r="X1107" s="31"/>
      <c r="Y1107" s="57"/>
      <c r="Z1107" s="57"/>
      <c r="AA1107" s="57"/>
      <c r="AB1107" s="57"/>
      <c r="AC1107" s="31"/>
      <c r="AD1107" s="57"/>
      <c r="AE1107" s="57"/>
      <c r="AF1107" s="57"/>
      <c r="AG1107" s="57"/>
      <c r="AH1107" s="57"/>
      <c r="AI1107" s="57"/>
      <c r="AJ1107" s="57"/>
      <c r="AK1107" s="57"/>
      <c r="AL1107" s="57"/>
      <c r="AM1107" s="57"/>
      <c r="AN1107" s="57"/>
      <c r="AO1107" s="57"/>
      <c r="AP1107" s="35"/>
      <c r="AQ1107" s="57"/>
      <c r="AR1107" s="36"/>
      <c r="AS1107" s="57"/>
      <c r="AT1107" s="37"/>
      <c r="AU1107" s="30"/>
      <c r="AV1107" s="30"/>
      <c r="AW1107" s="30"/>
      <c r="AX1107" s="30"/>
      <c r="AY1107" s="30"/>
      <c r="AZ1107" s="30"/>
    </row>
    <row r="1108">
      <c r="A1108" s="30"/>
      <c r="B1108" s="30"/>
      <c r="C1108" s="30"/>
      <c r="D1108" s="31"/>
      <c r="E1108" s="31"/>
      <c r="F1108" s="31"/>
      <c r="G1108" s="31"/>
      <c r="H1108" s="31"/>
      <c r="I1108" s="54"/>
      <c r="J1108" s="55"/>
      <c r="K1108" s="54"/>
      <c r="L1108" s="56"/>
      <c r="M1108" s="56"/>
      <c r="N1108" s="31"/>
      <c r="O1108" s="57"/>
      <c r="P1108" s="57"/>
      <c r="Q1108" s="57"/>
      <c r="R1108" s="57"/>
      <c r="S1108" s="31"/>
      <c r="T1108" s="57"/>
      <c r="U1108" s="57"/>
      <c r="V1108" s="57"/>
      <c r="W1108" s="57"/>
      <c r="X1108" s="31"/>
      <c r="Y1108" s="57"/>
      <c r="Z1108" s="57"/>
      <c r="AA1108" s="57"/>
      <c r="AB1108" s="57"/>
      <c r="AC1108" s="31"/>
      <c r="AD1108" s="57"/>
      <c r="AE1108" s="57"/>
      <c r="AF1108" s="57"/>
      <c r="AG1108" s="57"/>
      <c r="AH1108" s="57"/>
      <c r="AI1108" s="57"/>
      <c r="AJ1108" s="57"/>
      <c r="AK1108" s="57"/>
      <c r="AL1108" s="57"/>
      <c r="AM1108" s="57"/>
      <c r="AN1108" s="57"/>
      <c r="AO1108" s="57"/>
      <c r="AP1108" s="35"/>
      <c r="AQ1108" s="57"/>
      <c r="AR1108" s="36"/>
      <c r="AS1108" s="57"/>
      <c r="AT1108" s="37"/>
      <c r="AU1108" s="30"/>
      <c r="AV1108" s="30"/>
      <c r="AW1108" s="30"/>
      <c r="AX1108" s="30"/>
      <c r="AY1108" s="30"/>
      <c r="AZ1108" s="30"/>
    </row>
    <row r="1109">
      <c r="A1109" s="30"/>
      <c r="B1109" s="30"/>
      <c r="C1109" s="30"/>
      <c r="D1109" s="31"/>
      <c r="E1109" s="31"/>
      <c r="F1109" s="31"/>
      <c r="G1109" s="31"/>
      <c r="H1109" s="31"/>
      <c r="I1109" s="54"/>
      <c r="J1109" s="55"/>
      <c r="K1109" s="54"/>
      <c r="L1109" s="56"/>
      <c r="M1109" s="56"/>
      <c r="N1109" s="31"/>
      <c r="O1109" s="57"/>
      <c r="P1109" s="57"/>
      <c r="Q1109" s="57"/>
      <c r="R1109" s="57"/>
      <c r="S1109" s="31"/>
      <c r="T1109" s="57"/>
      <c r="U1109" s="57"/>
      <c r="V1109" s="57"/>
      <c r="W1109" s="57"/>
      <c r="X1109" s="31"/>
      <c r="Y1109" s="57"/>
      <c r="Z1109" s="57"/>
      <c r="AA1109" s="57"/>
      <c r="AB1109" s="57"/>
      <c r="AC1109" s="31"/>
      <c r="AD1109" s="57"/>
      <c r="AE1109" s="57"/>
      <c r="AF1109" s="57"/>
      <c r="AG1109" s="57"/>
      <c r="AH1109" s="57"/>
      <c r="AI1109" s="57"/>
      <c r="AJ1109" s="57"/>
      <c r="AK1109" s="57"/>
      <c r="AL1109" s="57"/>
      <c r="AM1109" s="57"/>
      <c r="AN1109" s="57"/>
      <c r="AO1109" s="57"/>
      <c r="AP1109" s="35"/>
      <c r="AQ1109" s="57"/>
      <c r="AR1109" s="36"/>
      <c r="AS1109" s="57"/>
      <c r="AT1109" s="37"/>
      <c r="AU1109" s="30"/>
      <c r="AV1109" s="30"/>
      <c r="AW1109" s="30"/>
      <c r="AX1109" s="30"/>
      <c r="AY1109" s="30"/>
      <c r="AZ1109" s="30"/>
    </row>
    <row r="1110">
      <c r="A1110" s="30"/>
      <c r="B1110" s="30"/>
      <c r="C1110" s="30"/>
      <c r="D1110" s="31"/>
      <c r="E1110" s="31"/>
      <c r="F1110" s="31"/>
      <c r="G1110" s="31"/>
      <c r="H1110" s="31"/>
      <c r="I1110" s="54"/>
      <c r="J1110" s="55"/>
      <c r="K1110" s="54"/>
      <c r="L1110" s="56"/>
      <c r="M1110" s="56"/>
      <c r="N1110" s="31"/>
      <c r="O1110" s="57"/>
      <c r="P1110" s="57"/>
      <c r="Q1110" s="57"/>
      <c r="R1110" s="57"/>
      <c r="S1110" s="31"/>
      <c r="T1110" s="57"/>
      <c r="U1110" s="57"/>
      <c r="V1110" s="57"/>
      <c r="W1110" s="57"/>
      <c r="X1110" s="31"/>
      <c r="Y1110" s="57"/>
      <c r="Z1110" s="57"/>
      <c r="AA1110" s="57"/>
      <c r="AB1110" s="57"/>
      <c r="AC1110" s="31"/>
      <c r="AD1110" s="57"/>
      <c r="AE1110" s="57"/>
      <c r="AF1110" s="57"/>
      <c r="AG1110" s="57"/>
      <c r="AH1110" s="57"/>
      <c r="AI1110" s="57"/>
      <c r="AJ1110" s="57"/>
      <c r="AK1110" s="57"/>
      <c r="AL1110" s="57"/>
      <c r="AM1110" s="57"/>
      <c r="AN1110" s="57"/>
      <c r="AO1110" s="57"/>
      <c r="AP1110" s="35"/>
      <c r="AQ1110" s="57"/>
      <c r="AR1110" s="36"/>
      <c r="AS1110" s="57"/>
      <c r="AT1110" s="37"/>
      <c r="AU1110" s="30"/>
      <c r="AV1110" s="30"/>
      <c r="AW1110" s="30"/>
      <c r="AX1110" s="30"/>
      <c r="AY1110" s="30"/>
      <c r="AZ1110" s="30"/>
    </row>
    <row r="1111">
      <c r="A1111" s="30"/>
      <c r="B1111" s="30"/>
      <c r="C1111" s="30"/>
      <c r="D1111" s="31"/>
      <c r="E1111" s="31"/>
      <c r="F1111" s="31"/>
      <c r="G1111" s="31"/>
      <c r="H1111" s="31"/>
      <c r="I1111" s="54"/>
      <c r="J1111" s="55"/>
      <c r="K1111" s="54"/>
      <c r="L1111" s="56"/>
      <c r="M1111" s="56"/>
      <c r="N1111" s="31"/>
      <c r="O1111" s="57"/>
      <c r="P1111" s="57"/>
      <c r="Q1111" s="57"/>
      <c r="R1111" s="57"/>
      <c r="S1111" s="31"/>
      <c r="T1111" s="57"/>
      <c r="U1111" s="57"/>
      <c r="V1111" s="57"/>
      <c r="W1111" s="57"/>
      <c r="X1111" s="31"/>
      <c r="Y1111" s="57"/>
      <c r="Z1111" s="57"/>
      <c r="AA1111" s="57"/>
      <c r="AB1111" s="57"/>
      <c r="AC1111" s="31"/>
      <c r="AD1111" s="57"/>
      <c r="AE1111" s="57"/>
      <c r="AF1111" s="57"/>
      <c r="AG1111" s="57"/>
      <c r="AH1111" s="57"/>
      <c r="AI1111" s="57"/>
      <c r="AJ1111" s="57"/>
      <c r="AK1111" s="57"/>
      <c r="AL1111" s="57"/>
      <c r="AM1111" s="57"/>
      <c r="AN1111" s="57"/>
      <c r="AO1111" s="57"/>
      <c r="AP1111" s="35"/>
      <c r="AQ1111" s="57"/>
      <c r="AR1111" s="36"/>
      <c r="AS1111" s="57"/>
      <c r="AT1111" s="37"/>
      <c r="AU1111" s="30"/>
      <c r="AV1111" s="30"/>
      <c r="AW1111" s="30"/>
      <c r="AX1111" s="30"/>
      <c r="AY1111" s="30"/>
      <c r="AZ1111" s="30"/>
    </row>
    <row r="1112">
      <c r="A1112" s="30"/>
      <c r="B1112" s="30"/>
      <c r="C1112" s="30"/>
      <c r="D1112" s="31"/>
      <c r="E1112" s="31"/>
      <c r="F1112" s="31"/>
      <c r="G1112" s="31"/>
      <c r="H1112" s="31"/>
      <c r="I1112" s="54"/>
      <c r="J1112" s="55"/>
      <c r="K1112" s="54"/>
      <c r="L1112" s="56"/>
      <c r="M1112" s="56"/>
      <c r="N1112" s="31"/>
      <c r="O1112" s="57"/>
      <c r="P1112" s="57"/>
      <c r="Q1112" s="57"/>
      <c r="R1112" s="57"/>
      <c r="S1112" s="31"/>
      <c r="T1112" s="57"/>
      <c r="U1112" s="57"/>
      <c r="V1112" s="57"/>
      <c r="W1112" s="57"/>
      <c r="X1112" s="31"/>
      <c r="Y1112" s="57"/>
      <c r="Z1112" s="57"/>
      <c r="AA1112" s="57"/>
      <c r="AB1112" s="57"/>
      <c r="AC1112" s="31"/>
      <c r="AD1112" s="57"/>
      <c r="AE1112" s="57"/>
      <c r="AF1112" s="57"/>
      <c r="AG1112" s="57"/>
      <c r="AH1112" s="57"/>
      <c r="AI1112" s="57"/>
      <c r="AJ1112" s="57"/>
      <c r="AK1112" s="57"/>
      <c r="AL1112" s="57"/>
      <c r="AM1112" s="57"/>
      <c r="AN1112" s="57"/>
      <c r="AO1112" s="57"/>
      <c r="AP1112" s="35"/>
      <c r="AQ1112" s="57"/>
      <c r="AR1112" s="36"/>
      <c r="AS1112" s="57"/>
      <c r="AT1112" s="37"/>
      <c r="AU1112" s="30"/>
      <c r="AV1112" s="30"/>
      <c r="AW1112" s="30"/>
      <c r="AX1112" s="30"/>
      <c r="AY1112" s="30"/>
      <c r="AZ1112" s="30"/>
    </row>
    <row r="1113">
      <c r="A1113" s="30"/>
      <c r="B1113" s="30"/>
      <c r="C1113" s="30"/>
      <c r="D1113" s="31"/>
      <c r="E1113" s="31"/>
      <c r="F1113" s="31"/>
      <c r="G1113" s="31"/>
      <c r="H1113" s="31"/>
      <c r="I1113" s="54"/>
      <c r="J1113" s="55"/>
      <c r="K1113" s="54"/>
      <c r="L1113" s="56"/>
      <c r="M1113" s="56"/>
      <c r="N1113" s="31"/>
      <c r="O1113" s="57"/>
      <c r="P1113" s="57"/>
      <c r="Q1113" s="57"/>
      <c r="R1113" s="57"/>
      <c r="S1113" s="31"/>
      <c r="T1113" s="57"/>
      <c r="U1113" s="57"/>
      <c r="V1113" s="57"/>
      <c r="W1113" s="57"/>
      <c r="X1113" s="31"/>
      <c r="Y1113" s="57"/>
      <c r="Z1113" s="57"/>
      <c r="AA1113" s="57"/>
      <c r="AB1113" s="57"/>
      <c r="AC1113" s="31"/>
      <c r="AD1113" s="57"/>
      <c r="AE1113" s="57"/>
      <c r="AF1113" s="57"/>
      <c r="AG1113" s="57"/>
      <c r="AH1113" s="57"/>
      <c r="AI1113" s="57"/>
      <c r="AJ1113" s="57"/>
      <c r="AK1113" s="57"/>
      <c r="AL1113" s="57"/>
      <c r="AM1113" s="57"/>
      <c r="AN1113" s="57"/>
      <c r="AO1113" s="57"/>
      <c r="AP1113" s="35"/>
      <c r="AQ1113" s="57"/>
      <c r="AR1113" s="36"/>
      <c r="AS1113" s="57"/>
      <c r="AT1113" s="37"/>
      <c r="AU1113" s="30"/>
      <c r="AV1113" s="30"/>
      <c r="AW1113" s="30"/>
      <c r="AX1113" s="30"/>
      <c r="AY1113" s="30"/>
      <c r="AZ1113" s="30"/>
    </row>
    <row r="1114">
      <c r="A1114" s="30"/>
      <c r="B1114" s="30"/>
      <c r="C1114" s="30"/>
      <c r="D1114" s="31"/>
      <c r="E1114" s="31"/>
      <c r="F1114" s="31"/>
      <c r="G1114" s="31"/>
      <c r="H1114" s="31"/>
      <c r="I1114" s="54"/>
      <c r="J1114" s="55"/>
      <c r="K1114" s="54"/>
      <c r="L1114" s="56"/>
      <c r="M1114" s="56"/>
      <c r="N1114" s="31"/>
      <c r="O1114" s="57"/>
      <c r="P1114" s="57"/>
      <c r="Q1114" s="57"/>
      <c r="R1114" s="57"/>
      <c r="S1114" s="31"/>
      <c r="T1114" s="57"/>
      <c r="U1114" s="57"/>
      <c r="V1114" s="57"/>
      <c r="W1114" s="57"/>
      <c r="X1114" s="31"/>
      <c r="Y1114" s="57"/>
      <c r="Z1114" s="57"/>
      <c r="AA1114" s="57"/>
      <c r="AB1114" s="57"/>
      <c r="AC1114" s="31"/>
      <c r="AD1114" s="57"/>
      <c r="AE1114" s="57"/>
      <c r="AF1114" s="57"/>
      <c r="AG1114" s="57"/>
      <c r="AH1114" s="57"/>
      <c r="AI1114" s="57"/>
      <c r="AJ1114" s="57"/>
      <c r="AK1114" s="57"/>
      <c r="AL1114" s="57"/>
      <c r="AM1114" s="57"/>
      <c r="AN1114" s="57"/>
      <c r="AO1114" s="57"/>
      <c r="AP1114" s="35"/>
      <c r="AQ1114" s="57"/>
      <c r="AR1114" s="36"/>
      <c r="AS1114" s="57"/>
      <c r="AT1114" s="37"/>
      <c r="AU1114" s="30"/>
      <c r="AV1114" s="30"/>
      <c r="AW1114" s="30"/>
      <c r="AX1114" s="30"/>
      <c r="AY1114" s="30"/>
      <c r="AZ1114" s="30"/>
    </row>
    <row r="1115">
      <c r="A1115" s="30"/>
      <c r="B1115" s="30"/>
      <c r="C1115" s="30"/>
      <c r="D1115" s="31"/>
      <c r="E1115" s="31"/>
      <c r="F1115" s="31"/>
      <c r="G1115" s="31"/>
      <c r="H1115" s="31"/>
      <c r="I1115" s="54"/>
      <c r="J1115" s="55"/>
      <c r="K1115" s="54"/>
      <c r="L1115" s="56"/>
      <c r="M1115" s="56"/>
      <c r="N1115" s="31"/>
      <c r="O1115" s="57"/>
      <c r="P1115" s="57"/>
      <c r="Q1115" s="57"/>
      <c r="R1115" s="57"/>
      <c r="S1115" s="31"/>
      <c r="T1115" s="57"/>
      <c r="U1115" s="57"/>
      <c r="V1115" s="57"/>
      <c r="W1115" s="57"/>
      <c r="X1115" s="31"/>
      <c r="Y1115" s="57"/>
      <c r="Z1115" s="57"/>
      <c r="AA1115" s="57"/>
      <c r="AB1115" s="57"/>
      <c r="AC1115" s="31"/>
      <c r="AD1115" s="57"/>
      <c r="AE1115" s="57"/>
      <c r="AF1115" s="57"/>
      <c r="AG1115" s="57"/>
      <c r="AH1115" s="57"/>
      <c r="AI1115" s="57"/>
      <c r="AJ1115" s="57"/>
      <c r="AK1115" s="57"/>
      <c r="AL1115" s="57"/>
      <c r="AM1115" s="57"/>
      <c r="AN1115" s="57"/>
      <c r="AO1115" s="57"/>
      <c r="AP1115" s="35"/>
      <c r="AQ1115" s="57"/>
      <c r="AR1115" s="36"/>
      <c r="AS1115" s="57"/>
      <c r="AT1115" s="37"/>
      <c r="AU1115" s="30"/>
      <c r="AV1115" s="30"/>
      <c r="AW1115" s="30"/>
      <c r="AX1115" s="30"/>
      <c r="AY1115" s="30"/>
      <c r="AZ1115" s="30"/>
    </row>
    <row r="1116">
      <c r="A1116" s="30"/>
      <c r="B1116" s="30"/>
      <c r="C1116" s="30"/>
      <c r="D1116" s="31"/>
      <c r="E1116" s="31"/>
      <c r="F1116" s="31"/>
      <c r="G1116" s="31"/>
      <c r="H1116" s="31"/>
      <c r="I1116" s="54"/>
      <c r="J1116" s="55"/>
      <c r="K1116" s="54"/>
      <c r="L1116" s="56"/>
      <c r="M1116" s="56"/>
      <c r="N1116" s="31"/>
      <c r="O1116" s="57"/>
      <c r="P1116" s="57"/>
      <c r="Q1116" s="57"/>
      <c r="R1116" s="57"/>
      <c r="S1116" s="31"/>
      <c r="T1116" s="57"/>
      <c r="U1116" s="57"/>
      <c r="V1116" s="57"/>
      <c r="W1116" s="57"/>
      <c r="X1116" s="31"/>
      <c r="Y1116" s="57"/>
      <c r="Z1116" s="57"/>
      <c r="AA1116" s="57"/>
      <c r="AB1116" s="57"/>
      <c r="AC1116" s="31"/>
      <c r="AD1116" s="57"/>
      <c r="AE1116" s="57"/>
      <c r="AF1116" s="57"/>
      <c r="AG1116" s="57"/>
      <c r="AH1116" s="57"/>
      <c r="AI1116" s="57"/>
      <c r="AJ1116" s="57"/>
      <c r="AK1116" s="57"/>
      <c r="AL1116" s="57"/>
      <c r="AM1116" s="57"/>
      <c r="AN1116" s="57"/>
      <c r="AO1116" s="57"/>
      <c r="AP1116" s="35"/>
      <c r="AQ1116" s="57"/>
      <c r="AR1116" s="36"/>
      <c r="AS1116" s="57"/>
      <c r="AT1116" s="37"/>
      <c r="AU1116" s="30"/>
      <c r="AV1116" s="30"/>
      <c r="AW1116" s="30"/>
      <c r="AX1116" s="30"/>
      <c r="AY1116" s="30"/>
      <c r="AZ1116" s="30"/>
    </row>
    <row r="1117">
      <c r="A1117" s="30"/>
      <c r="B1117" s="30"/>
      <c r="C1117" s="30"/>
      <c r="D1117" s="31"/>
      <c r="E1117" s="31"/>
      <c r="F1117" s="31"/>
      <c r="G1117" s="31"/>
      <c r="H1117" s="31"/>
      <c r="I1117" s="54"/>
      <c r="J1117" s="55"/>
      <c r="K1117" s="54"/>
      <c r="L1117" s="56"/>
      <c r="M1117" s="56"/>
      <c r="N1117" s="31"/>
      <c r="O1117" s="57"/>
      <c r="P1117" s="57"/>
      <c r="Q1117" s="57"/>
      <c r="R1117" s="57"/>
      <c r="S1117" s="31"/>
      <c r="T1117" s="57"/>
      <c r="U1117" s="57"/>
      <c r="V1117" s="57"/>
      <c r="W1117" s="57"/>
      <c r="X1117" s="31"/>
      <c r="Y1117" s="57"/>
      <c r="Z1117" s="57"/>
      <c r="AA1117" s="57"/>
      <c r="AB1117" s="57"/>
      <c r="AC1117" s="31"/>
      <c r="AD1117" s="57"/>
      <c r="AE1117" s="57"/>
      <c r="AF1117" s="57"/>
      <c r="AG1117" s="57"/>
      <c r="AH1117" s="57"/>
      <c r="AI1117" s="57"/>
      <c r="AJ1117" s="57"/>
      <c r="AK1117" s="57"/>
      <c r="AL1117" s="57"/>
      <c r="AM1117" s="57"/>
      <c r="AN1117" s="57"/>
      <c r="AO1117" s="57"/>
      <c r="AP1117" s="35"/>
      <c r="AQ1117" s="57"/>
      <c r="AR1117" s="36"/>
      <c r="AS1117" s="57"/>
      <c r="AT1117" s="37"/>
      <c r="AU1117" s="30"/>
      <c r="AV1117" s="30"/>
      <c r="AW1117" s="30"/>
      <c r="AX1117" s="30"/>
      <c r="AY1117" s="30"/>
      <c r="AZ1117" s="30"/>
    </row>
    <row r="1118">
      <c r="A1118" s="30"/>
      <c r="B1118" s="30"/>
      <c r="C1118" s="30"/>
      <c r="D1118" s="31"/>
      <c r="E1118" s="31"/>
      <c r="F1118" s="31"/>
      <c r="G1118" s="31"/>
      <c r="H1118" s="31"/>
      <c r="I1118" s="54"/>
      <c r="J1118" s="55"/>
      <c r="K1118" s="54"/>
      <c r="L1118" s="56"/>
      <c r="M1118" s="56"/>
      <c r="N1118" s="31"/>
      <c r="O1118" s="57"/>
      <c r="P1118" s="57"/>
      <c r="Q1118" s="57"/>
      <c r="R1118" s="57"/>
      <c r="S1118" s="31"/>
      <c r="T1118" s="57"/>
      <c r="U1118" s="57"/>
      <c r="V1118" s="57"/>
      <c r="W1118" s="57"/>
      <c r="X1118" s="31"/>
      <c r="Y1118" s="57"/>
      <c r="Z1118" s="57"/>
      <c r="AA1118" s="57"/>
      <c r="AB1118" s="57"/>
      <c r="AC1118" s="31"/>
      <c r="AD1118" s="57"/>
      <c r="AE1118" s="57"/>
      <c r="AF1118" s="57"/>
      <c r="AG1118" s="57"/>
      <c r="AH1118" s="57"/>
      <c r="AI1118" s="57"/>
      <c r="AJ1118" s="57"/>
      <c r="AK1118" s="57"/>
      <c r="AL1118" s="57"/>
      <c r="AM1118" s="57"/>
      <c r="AN1118" s="57"/>
      <c r="AO1118" s="57"/>
      <c r="AP1118" s="35"/>
      <c r="AQ1118" s="57"/>
      <c r="AR1118" s="36"/>
      <c r="AS1118" s="57"/>
      <c r="AT1118" s="37"/>
      <c r="AU1118" s="30"/>
      <c r="AV1118" s="30"/>
      <c r="AW1118" s="30"/>
      <c r="AX1118" s="30"/>
      <c r="AY1118" s="30"/>
      <c r="AZ1118" s="30"/>
    </row>
    <row r="1119">
      <c r="A1119" s="30"/>
      <c r="B1119" s="30"/>
      <c r="C1119" s="30"/>
      <c r="D1119" s="31"/>
      <c r="E1119" s="31"/>
      <c r="F1119" s="31"/>
      <c r="G1119" s="31"/>
      <c r="H1119" s="31"/>
      <c r="I1119" s="54"/>
      <c r="J1119" s="55"/>
      <c r="K1119" s="54"/>
      <c r="L1119" s="56"/>
      <c r="M1119" s="56"/>
      <c r="N1119" s="31"/>
      <c r="O1119" s="57"/>
      <c r="P1119" s="57"/>
      <c r="Q1119" s="57"/>
      <c r="R1119" s="57"/>
      <c r="S1119" s="31"/>
      <c r="T1119" s="57"/>
      <c r="U1119" s="57"/>
      <c r="V1119" s="57"/>
      <c r="W1119" s="57"/>
      <c r="X1119" s="31"/>
      <c r="Y1119" s="57"/>
      <c r="Z1119" s="57"/>
      <c r="AA1119" s="57"/>
      <c r="AB1119" s="57"/>
      <c r="AC1119" s="31"/>
      <c r="AD1119" s="57"/>
      <c r="AE1119" s="57"/>
      <c r="AF1119" s="57"/>
      <c r="AG1119" s="57"/>
      <c r="AH1119" s="57"/>
      <c r="AI1119" s="57"/>
      <c r="AJ1119" s="57"/>
      <c r="AK1119" s="57"/>
      <c r="AL1119" s="57"/>
      <c r="AM1119" s="57"/>
      <c r="AN1119" s="57"/>
      <c r="AO1119" s="57"/>
      <c r="AP1119" s="35"/>
      <c r="AQ1119" s="57"/>
      <c r="AR1119" s="36"/>
      <c r="AS1119" s="57"/>
      <c r="AT1119" s="37"/>
      <c r="AU1119" s="30"/>
      <c r="AV1119" s="30"/>
      <c r="AW1119" s="30"/>
      <c r="AX1119" s="30"/>
      <c r="AY1119" s="30"/>
      <c r="AZ1119" s="30"/>
    </row>
    <row r="1120">
      <c r="A1120" s="30"/>
      <c r="B1120" s="30"/>
      <c r="C1120" s="30"/>
      <c r="D1120" s="31"/>
      <c r="E1120" s="31"/>
      <c r="F1120" s="31"/>
      <c r="G1120" s="31"/>
      <c r="H1120" s="31"/>
      <c r="I1120" s="54"/>
      <c r="J1120" s="55"/>
      <c r="K1120" s="54"/>
      <c r="L1120" s="56"/>
      <c r="M1120" s="56"/>
      <c r="N1120" s="31"/>
      <c r="O1120" s="57"/>
      <c r="P1120" s="57"/>
      <c r="Q1120" s="57"/>
      <c r="R1120" s="57"/>
      <c r="S1120" s="31"/>
      <c r="T1120" s="57"/>
      <c r="U1120" s="57"/>
      <c r="V1120" s="57"/>
      <c r="W1120" s="57"/>
      <c r="X1120" s="31"/>
      <c r="Y1120" s="57"/>
      <c r="Z1120" s="57"/>
      <c r="AA1120" s="57"/>
      <c r="AB1120" s="57"/>
      <c r="AC1120" s="31"/>
      <c r="AD1120" s="57"/>
      <c r="AE1120" s="57"/>
      <c r="AF1120" s="57"/>
      <c r="AG1120" s="57"/>
      <c r="AH1120" s="57"/>
      <c r="AI1120" s="57"/>
      <c r="AJ1120" s="57"/>
      <c r="AK1120" s="57"/>
      <c r="AL1120" s="57"/>
      <c r="AM1120" s="57"/>
      <c r="AN1120" s="57"/>
      <c r="AO1120" s="57"/>
      <c r="AP1120" s="35"/>
      <c r="AQ1120" s="57"/>
      <c r="AR1120" s="36"/>
      <c r="AS1120" s="57"/>
      <c r="AT1120" s="37"/>
      <c r="AU1120" s="30"/>
      <c r="AV1120" s="30"/>
      <c r="AW1120" s="30"/>
      <c r="AX1120" s="30"/>
      <c r="AY1120" s="30"/>
      <c r="AZ1120" s="30"/>
    </row>
    <row r="1121">
      <c r="A1121" s="30"/>
      <c r="B1121" s="30"/>
      <c r="C1121" s="30"/>
      <c r="D1121" s="31"/>
      <c r="E1121" s="31"/>
      <c r="F1121" s="31"/>
      <c r="G1121" s="31"/>
      <c r="H1121" s="31"/>
      <c r="I1121" s="54"/>
      <c r="J1121" s="55"/>
      <c r="K1121" s="54"/>
      <c r="L1121" s="56"/>
      <c r="M1121" s="56"/>
      <c r="N1121" s="31"/>
      <c r="O1121" s="57"/>
      <c r="P1121" s="57"/>
      <c r="Q1121" s="57"/>
      <c r="R1121" s="57"/>
      <c r="S1121" s="31"/>
      <c r="T1121" s="57"/>
      <c r="U1121" s="57"/>
      <c r="V1121" s="57"/>
      <c r="W1121" s="57"/>
      <c r="X1121" s="31"/>
      <c r="Y1121" s="57"/>
      <c r="Z1121" s="57"/>
      <c r="AA1121" s="57"/>
      <c r="AB1121" s="57"/>
      <c r="AC1121" s="31"/>
      <c r="AD1121" s="57"/>
      <c r="AE1121" s="57"/>
      <c r="AF1121" s="57"/>
      <c r="AG1121" s="57"/>
      <c r="AH1121" s="57"/>
      <c r="AI1121" s="57"/>
      <c r="AJ1121" s="57"/>
      <c r="AK1121" s="57"/>
      <c r="AL1121" s="57"/>
      <c r="AM1121" s="57"/>
      <c r="AN1121" s="57"/>
      <c r="AO1121" s="57"/>
      <c r="AP1121" s="35"/>
      <c r="AQ1121" s="57"/>
      <c r="AR1121" s="36"/>
      <c r="AS1121" s="57"/>
      <c r="AT1121" s="37"/>
      <c r="AU1121" s="30"/>
      <c r="AV1121" s="30"/>
      <c r="AW1121" s="30"/>
      <c r="AX1121" s="30"/>
      <c r="AY1121" s="30"/>
      <c r="AZ1121" s="30"/>
    </row>
    <row r="1122">
      <c r="A1122" s="30"/>
      <c r="B1122" s="30"/>
      <c r="C1122" s="30"/>
      <c r="D1122" s="31"/>
      <c r="E1122" s="31"/>
      <c r="F1122" s="31"/>
      <c r="G1122" s="31"/>
      <c r="H1122" s="31"/>
      <c r="I1122" s="54"/>
      <c r="J1122" s="55"/>
      <c r="K1122" s="54"/>
      <c r="L1122" s="56"/>
      <c r="M1122" s="56"/>
      <c r="N1122" s="31"/>
      <c r="O1122" s="57"/>
      <c r="P1122" s="57"/>
      <c r="Q1122" s="57"/>
      <c r="R1122" s="57"/>
      <c r="S1122" s="31"/>
      <c r="T1122" s="57"/>
      <c r="U1122" s="57"/>
      <c r="V1122" s="57"/>
      <c r="W1122" s="57"/>
      <c r="X1122" s="31"/>
      <c r="Y1122" s="57"/>
      <c r="Z1122" s="57"/>
      <c r="AA1122" s="57"/>
      <c r="AB1122" s="57"/>
      <c r="AC1122" s="31"/>
      <c r="AD1122" s="57"/>
      <c r="AE1122" s="57"/>
      <c r="AF1122" s="57"/>
      <c r="AG1122" s="57"/>
      <c r="AH1122" s="57"/>
      <c r="AI1122" s="57"/>
      <c r="AJ1122" s="57"/>
      <c r="AK1122" s="57"/>
      <c r="AL1122" s="57"/>
      <c r="AM1122" s="57"/>
      <c r="AN1122" s="57"/>
      <c r="AO1122" s="57"/>
      <c r="AP1122" s="35"/>
      <c r="AQ1122" s="57"/>
      <c r="AR1122" s="36"/>
      <c r="AS1122" s="57"/>
      <c r="AT1122" s="37"/>
      <c r="AU1122" s="30"/>
      <c r="AV1122" s="30"/>
      <c r="AW1122" s="30"/>
      <c r="AX1122" s="30"/>
      <c r="AY1122" s="30"/>
      <c r="AZ1122" s="30"/>
    </row>
    <row r="1123">
      <c r="A1123" s="30"/>
      <c r="B1123" s="30"/>
      <c r="C1123" s="30"/>
      <c r="D1123" s="31"/>
      <c r="E1123" s="31"/>
      <c r="F1123" s="31"/>
      <c r="G1123" s="31"/>
      <c r="H1123" s="31"/>
      <c r="I1123" s="54"/>
      <c r="J1123" s="55"/>
      <c r="K1123" s="54"/>
      <c r="L1123" s="56"/>
      <c r="M1123" s="56"/>
      <c r="N1123" s="31"/>
      <c r="O1123" s="57"/>
      <c r="P1123" s="57"/>
      <c r="Q1123" s="57"/>
      <c r="R1123" s="57"/>
      <c r="S1123" s="31"/>
      <c r="T1123" s="57"/>
      <c r="U1123" s="57"/>
      <c r="V1123" s="57"/>
      <c r="W1123" s="57"/>
      <c r="X1123" s="31"/>
      <c r="Y1123" s="57"/>
      <c r="Z1123" s="57"/>
      <c r="AA1123" s="57"/>
      <c r="AB1123" s="57"/>
      <c r="AC1123" s="31"/>
      <c r="AD1123" s="57"/>
      <c r="AE1123" s="57"/>
      <c r="AF1123" s="57"/>
      <c r="AG1123" s="57"/>
      <c r="AH1123" s="57"/>
      <c r="AI1123" s="57"/>
      <c r="AJ1123" s="57"/>
      <c r="AK1123" s="57"/>
      <c r="AL1123" s="57"/>
      <c r="AM1123" s="57"/>
      <c r="AN1123" s="57"/>
      <c r="AO1123" s="57"/>
      <c r="AP1123" s="35"/>
      <c r="AQ1123" s="57"/>
      <c r="AR1123" s="36"/>
      <c r="AS1123" s="57"/>
      <c r="AT1123" s="37"/>
      <c r="AU1123" s="30"/>
      <c r="AV1123" s="30"/>
      <c r="AW1123" s="30"/>
      <c r="AX1123" s="30"/>
      <c r="AY1123" s="30"/>
      <c r="AZ1123" s="30"/>
    </row>
    <row r="1124">
      <c r="A1124" s="30"/>
      <c r="B1124" s="30"/>
      <c r="C1124" s="30"/>
      <c r="D1124" s="31"/>
      <c r="E1124" s="31"/>
      <c r="F1124" s="31"/>
      <c r="G1124" s="31"/>
      <c r="H1124" s="31"/>
      <c r="I1124" s="54"/>
      <c r="J1124" s="55"/>
      <c r="K1124" s="54"/>
      <c r="L1124" s="56"/>
      <c r="M1124" s="56"/>
      <c r="N1124" s="31"/>
      <c r="O1124" s="57"/>
      <c r="P1124" s="57"/>
      <c r="Q1124" s="57"/>
      <c r="R1124" s="57"/>
      <c r="S1124" s="31"/>
      <c r="T1124" s="57"/>
      <c r="U1124" s="57"/>
      <c r="V1124" s="57"/>
      <c r="W1124" s="57"/>
      <c r="X1124" s="31"/>
      <c r="Y1124" s="57"/>
      <c r="Z1124" s="57"/>
      <c r="AA1124" s="57"/>
      <c r="AB1124" s="57"/>
      <c r="AC1124" s="31"/>
      <c r="AD1124" s="57"/>
      <c r="AE1124" s="57"/>
      <c r="AF1124" s="57"/>
      <c r="AG1124" s="57"/>
      <c r="AH1124" s="57"/>
      <c r="AI1124" s="57"/>
      <c r="AJ1124" s="57"/>
      <c r="AK1124" s="57"/>
      <c r="AL1124" s="57"/>
      <c r="AM1124" s="57"/>
      <c r="AN1124" s="57"/>
      <c r="AO1124" s="57"/>
      <c r="AP1124" s="35"/>
      <c r="AQ1124" s="57"/>
      <c r="AR1124" s="36"/>
      <c r="AS1124" s="57"/>
      <c r="AT1124" s="37"/>
      <c r="AU1124" s="30"/>
      <c r="AV1124" s="30"/>
      <c r="AW1124" s="30"/>
      <c r="AX1124" s="30"/>
      <c r="AY1124" s="30"/>
      <c r="AZ1124" s="30"/>
    </row>
    <row r="1125">
      <c r="A1125" s="30"/>
      <c r="B1125" s="30"/>
      <c r="C1125" s="30"/>
      <c r="D1125" s="31"/>
      <c r="E1125" s="31"/>
      <c r="F1125" s="31"/>
      <c r="G1125" s="31"/>
      <c r="H1125" s="31"/>
      <c r="I1125" s="54"/>
      <c r="J1125" s="55"/>
      <c r="K1125" s="54"/>
      <c r="L1125" s="56"/>
      <c r="M1125" s="56"/>
      <c r="N1125" s="31"/>
      <c r="O1125" s="57"/>
      <c r="P1125" s="57"/>
      <c r="Q1125" s="57"/>
      <c r="R1125" s="57"/>
      <c r="S1125" s="31"/>
      <c r="T1125" s="57"/>
      <c r="U1125" s="57"/>
      <c r="V1125" s="57"/>
      <c r="W1125" s="57"/>
      <c r="X1125" s="31"/>
      <c r="Y1125" s="57"/>
      <c r="Z1125" s="57"/>
      <c r="AA1125" s="57"/>
      <c r="AB1125" s="57"/>
      <c r="AC1125" s="31"/>
      <c r="AD1125" s="57"/>
      <c r="AE1125" s="57"/>
      <c r="AF1125" s="57"/>
      <c r="AG1125" s="57"/>
      <c r="AH1125" s="57"/>
      <c r="AI1125" s="57"/>
      <c r="AJ1125" s="57"/>
      <c r="AK1125" s="57"/>
      <c r="AL1125" s="57"/>
      <c r="AM1125" s="57"/>
      <c r="AN1125" s="57"/>
      <c r="AO1125" s="57"/>
      <c r="AP1125" s="35"/>
      <c r="AQ1125" s="57"/>
      <c r="AR1125" s="36"/>
      <c r="AS1125" s="57"/>
      <c r="AT1125" s="37"/>
      <c r="AU1125" s="30"/>
      <c r="AV1125" s="30"/>
      <c r="AW1125" s="30"/>
      <c r="AX1125" s="30"/>
      <c r="AY1125" s="30"/>
      <c r="AZ1125" s="30"/>
    </row>
    <row r="1126">
      <c r="A1126" s="30"/>
      <c r="B1126" s="30"/>
      <c r="C1126" s="30"/>
      <c r="D1126" s="31"/>
      <c r="E1126" s="31"/>
      <c r="F1126" s="31"/>
      <c r="G1126" s="31"/>
      <c r="H1126" s="31"/>
      <c r="I1126" s="54"/>
      <c r="J1126" s="55"/>
      <c r="K1126" s="54"/>
      <c r="L1126" s="56"/>
      <c r="M1126" s="56"/>
      <c r="N1126" s="31"/>
      <c r="O1126" s="57"/>
      <c r="P1126" s="57"/>
      <c r="Q1126" s="57"/>
      <c r="R1126" s="57"/>
      <c r="S1126" s="31"/>
      <c r="T1126" s="57"/>
      <c r="U1126" s="57"/>
      <c r="V1126" s="57"/>
      <c r="W1126" s="57"/>
      <c r="X1126" s="31"/>
      <c r="Y1126" s="57"/>
      <c r="Z1126" s="57"/>
      <c r="AA1126" s="57"/>
      <c r="AB1126" s="57"/>
      <c r="AC1126" s="31"/>
      <c r="AD1126" s="57"/>
      <c r="AE1126" s="57"/>
      <c r="AF1126" s="57"/>
      <c r="AG1126" s="57"/>
      <c r="AH1126" s="57"/>
      <c r="AI1126" s="57"/>
      <c r="AJ1126" s="57"/>
      <c r="AK1126" s="57"/>
      <c r="AL1126" s="57"/>
      <c r="AM1126" s="57"/>
      <c r="AN1126" s="57"/>
      <c r="AO1126" s="57"/>
      <c r="AP1126" s="35"/>
      <c r="AQ1126" s="57"/>
      <c r="AR1126" s="36"/>
      <c r="AS1126" s="57"/>
      <c r="AT1126" s="37"/>
      <c r="AU1126" s="30"/>
      <c r="AV1126" s="30"/>
      <c r="AW1126" s="30"/>
      <c r="AX1126" s="30"/>
      <c r="AY1126" s="30"/>
      <c r="AZ1126" s="30"/>
    </row>
    <row r="1127">
      <c r="A1127" s="30"/>
      <c r="B1127" s="30"/>
      <c r="C1127" s="30"/>
      <c r="D1127" s="31"/>
      <c r="E1127" s="31"/>
      <c r="F1127" s="31"/>
      <c r="G1127" s="31"/>
      <c r="H1127" s="31"/>
      <c r="I1127" s="54"/>
      <c r="J1127" s="55"/>
      <c r="K1127" s="54"/>
      <c r="L1127" s="56"/>
      <c r="M1127" s="56"/>
      <c r="N1127" s="31"/>
      <c r="O1127" s="57"/>
      <c r="P1127" s="57"/>
      <c r="Q1127" s="57"/>
      <c r="R1127" s="57"/>
      <c r="S1127" s="31"/>
      <c r="T1127" s="57"/>
      <c r="U1127" s="57"/>
      <c r="V1127" s="57"/>
      <c r="W1127" s="57"/>
      <c r="X1127" s="31"/>
      <c r="Y1127" s="57"/>
      <c r="Z1127" s="57"/>
      <c r="AA1127" s="57"/>
      <c r="AB1127" s="57"/>
      <c r="AC1127" s="31"/>
      <c r="AD1127" s="57"/>
      <c r="AE1127" s="57"/>
      <c r="AF1127" s="57"/>
      <c r="AG1127" s="57"/>
      <c r="AH1127" s="57"/>
      <c r="AI1127" s="57"/>
      <c r="AJ1127" s="57"/>
      <c r="AK1127" s="57"/>
      <c r="AL1127" s="57"/>
      <c r="AM1127" s="57"/>
      <c r="AN1127" s="57"/>
      <c r="AO1127" s="57"/>
      <c r="AP1127" s="35"/>
      <c r="AQ1127" s="57"/>
      <c r="AR1127" s="36"/>
      <c r="AS1127" s="57"/>
      <c r="AT1127" s="37"/>
      <c r="AU1127" s="30"/>
      <c r="AV1127" s="30"/>
      <c r="AW1127" s="30"/>
      <c r="AX1127" s="30"/>
      <c r="AY1127" s="30"/>
      <c r="AZ1127" s="30"/>
    </row>
    <row r="1128">
      <c r="A1128" s="30"/>
      <c r="B1128" s="30"/>
      <c r="C1128" s="30"/>
      <c r="D1128" s="31"/>
      <c r="E1128" s="31"/>
      <c r="F1128" s="31"/>
      <c r="G1128" s="31"/>
      <c r="H1128" s="31"/>
      <c r="I1128" s="54"/>
      <c r="J1128" s="55"/>
      <c r="K1128" s="54"/>
      <c r="L1128" s="56"/>
      <c r="M1128" s="56"/>
      <c r="N1128" s="31"/>
      <c r="O1128" s="57"/>
      <c r="P1128" s="57"/>
      <c r="Q1128" s="57"/>
      <c r="R1128" s="57"/>
      <c r="S1128" s="31"/>
      <c r="T1128" s="57"/>
      <c r="U1128" s="57"/>
      <c r="V1128" s="57"/>
      <c r="W1128" s="57"/>
      <c r="X1128" s="31"/>
      <c r="Y1128" s="57"/>
      <c r="Z1128" s="57"/>
      <c r="AA1128" s="57"/>
      <c r="AB1128" s="57"/>
      <c r="AC1128" s="31"/>
      <c r="AD1128" s="57"/>
      <c r="AE1128" s="57"/>
      <c r="AF1128" s="57"/>
      <c r="AG1128" s="57"/>
      <c r="AH1128" s="57"/>
      <c r="AI1128" s="57"/>
      <c r="AJ1128" s="57"/>
      <c r="AK1128" s="57"/>
      <c r="AL1128" s="57"/>
      <c r="AM1128" s="57"/>
      <c r="AN1128" s="57"/>
      <c r="AO1128" s="57"/>
      <c r="AP1128" s="35"/>
      <c r="AQ1128" s="57"/>
      <c r="AR1128" s="36"/>
      <c r="AS1128" s="57"/>
      <c r="AT1128" s="37"/>
      <c r="AU1128" s="30"/>
      <c r="AV1128" s="30"/>
      <c r="AW1128" s="30"/>
      <c r="AX1128" s="30"/>
      <c r="AY1128" s="30"/>
      <c r="AZ1128" s="30"/>
    </row>
    <row r="1129">
      <c r="A1129" s="30"/>
      <c r="B1129" s="30"/>
      <c r="C1129" s="30"/>
      <c r="D1129" s="31"/>
      <c r="E1129" s="31"/>
      <c r="F1129" s="31"/>
      <c r="G1129" s="31"/>
      <c r="H1129" s="31"/>
      <c r="I1129" s="54"/>
      <c r="J1129" s="55"/>
      <c r="K1129" s="54"/>
      <c r="L1129" s="56"/>
      <c r="M1129" s="56"/>
      <c r="N1129" s="31"/>
      <c r="O1129" s="57"/>
      <c r="P1129" s="57"/>
      <c r="Q1129" s="57"/>
      <c r="R1129" s="57"/>
      <c r="S1129" s="31"/>
      <c r="T1129" s="57"/>
      <c r="U1129" s="57"/>
      <c r="V1129" s="57"/>
      <c r="W1129" s="57"/>
      <c r="X1129" s="31"/>
      <c r="Y1129" s="57"/>
      <c r="Z1129" s="57"/>
      <c r="AA1129" s="57"/>
      <c r="AB1129" s="57"/>
      <c r="AC1129" s="31"/>
      <c r="AD1129" s="57"/>
      <c r="AE1129" s="57"/>
      <c r="AF1129" s="57"/>
      <c r="AG1129" s="57"/>
      <c r="AH1129" s="57"/>
      <c r="AI1129" s="57"/>
      <c r="AJ1129" s="57"/>
      <c r="AK1129" s="57"/>
      <c r="AL1129" s="57"/>
      <c r="AM1129" s="57"/>
      <c r="AN1129" s="57"/>
      <c r="AO1129" s="57"/>
      <c r="AP1129" s="35"/>
      <c r="AQ1129" s="57"/>
      <c r="AR1129" s="36"/>
      <c r="AS1129" s="57"/>
      <c r="AT1129" s="37"/>
      <c r="AU1129" s="30"/>
      <c r="AV1129" s="30"/>
      <c r="AW1129" s="30"/>
      <c r="AX1129" s="30"/>
      <c r="AY1129" s="30"/>
      <c r="AZ1129" s="30"/>
    </row>
    <row r="1130">
      <c r="A1130" s="30"/>
      <c r="B1130" s="30"/>
      <c r="C1130" s="30"/>
      <c r="D1130" s="31"/>
      <c r="E1130" s="31"/>
      <c r="F1130" s="31"/>
      <c r="G1130" s="31"/>
      <c r="H1130" s="31"/>
      <c r="I1130" s="54"/>
      <c r="J1130" s="55"/>
      <c r="K1130" s="54"/>
      <c r="L1130" s="56"/>
      <c r="M1130" s="56"/>
      <c r="N1130" s="31"/>
      <c r="O1130" s="57"/>
      <c r="P1130" s="57"/>
      <c r="Q1130" s="57"/>
      <c r="R1130" s="57"/>
      <c r="S1130" s="31"/>
      <c r="T1130" s="57"/>
      <c r="U1130" s="57"/>
      <c r="V1130" s="57"/>
      <c r="W1130" s="57"/>
      <c r="X1130" s="31"/>
      <c r="Y1130" s="57"/>
      <c r="Z1130" s="57"/>
      <c r="AA1130" s="57"/>
      <c r="AB1130" s="57"/>
      <c r="AC1130" s="31"/>
      <c r="AD1130" s="57"/>
      <c r="AE1130" s="57"/>
      <c r="AF1130" s="57"/>
      <c r="AG1130" s="57"/>
      <c r="AH1130" s="57"/>
      <c r="AI1130" s="57"/>
      <c r="AJ1130" s="57"/>
      <c r="AK1130" s="57"/>
      <c r="AL1130" s="57"/>
      <c r="AM1130" s="57"/>
      <c r="AN1130" s="57"/>
      <c r="AO1130" s="57"/>
      <c r="AP1130" s="35"/>
      <c r="AQ1130" s="57"/>
      <c r="AR1130" s="36"/>
      <c r="AS1130" s="57"/>
      <c r="AT1130" s="37"/>
      <c r="AU1130" s="30"/>
      <c r="AV1130" s="30"/>
      <c r="AW1130" s="30"/>
      <c r="AX1130" s="30"/>
      <c r="AY1130" s="30"/>
      <c r="AZ1130" s="30"/>
    </row>
    <row r="1131">
      <c r="A1131" s="30"/>
      <c r="B1131" s="30"/>
      <c r="C1131" s="30"/>
      <c r="D1131" s="31"/>
      <c r="E1131" s="31"/>
      <c r="F1131" s="31"/>
      <c r="G1131" s="31"/>
      <c r="H1131" s="31"/>
      <c r="I1131" s="54"/>
      <c r="J1131" s="55"/>
      <c r="K1131" s="54"/>
      <c r="L1131" s="56"/>
      <c r="M1131" s="56"/>
      <c r="N1131" s="31"/>
      <c r="O1131" s="57"/>
      <c r="P1131" s="57"/>
      <c r="Q1131" s="57"/>
      <c r="R1131" s="57"/>
      <c r="S1131" s="31"/>
      <c r="T1131" s="57"/>
      <c r="U1131" s="57"/>
      <c r="V1131" s="57"/>
      <c r="W1131" s="57"/>
      <c r="X1131" s="31"/>
      <c r="Y1131" s="57"/>
      <c r="Z1131" s="57"/>
      <c r="AA1131" s="57"/>
      <c r="AB1131" s="57"/>
      <c r="AC1131" s="31"/>
      <c r="AD1131" s="57"/>
      <c r="AE1131" s="57"/>
      <c r="AF1131" s="57"/>
      <c r="AG1131" s="57"/>
      <c r="AH1131" s="57"/>
      <c r="AI1131" s="57"/>
      <c r="AJ1131" s="57"/>
      <c r="AK1131" s="57"/>
      <c r="AL1131" s="57"/>
      <c r="AM1131" s="57"/>
      <c r="AN1131" s="57"/>
      <c r="AO1131" s="57"/>
      <c r="AP1131" s="35"/>
      <c r="AQ1131" s="57"/>
      <c r="AR1131" s="36"/>
      <c r="AS1131" s="57"/>
      <c r="AT1131" s="37"/>
      <c r="AU1131" s="30"/>
      <c r="AV1131" s="30"/>
      <c r="AW1131" s="30"/>
      <c r="AX1131" s="30"/>
      <c r="AY1131" s="30"/>
      <c r="AZ1131" s="30"/>
    </row>
    <row r="1132">
      <c r="A1132" s="30"/>
      <c r="B1132" s="30"/>
      <c r="C1132" s="30"/>
      <c r="D1132" s="31"/>
      <c r="E1132" s="31"/>
      <c r="F1132" s="31"/>
      <c r="G1132" s="31"/>
      <c r="H1132" s="31"/>
      <c r="I1132" s="54"/>
      <c r="J1132" s="55"/>
      <c r="K1132" s="54"/>
      <c r="L1132" s="56"/>
      <c r="M1132" s="56"/>
      <c r="N1132" s="31"/>
      <c r="O1132" s="57"/>
      <c r="P1132" s="57"/>
      <c r="Q1132" s="57"/>
      <c r="R1132" s="57"/>
      <c r="S1132" s="31"/>
      <c r="T1132" s="57"/>
      <c r="U1132" s="57"/>
      <c r="V1132" s="57"/>
      <c r="W1132" s="57"/>
      <c r="X1132" s="31"/>
      <c r="Y1132" s="57"/>
      <c r="Z1132" s="57"/>
      <c r="AA1132" s="57"/>
      <c r="AB1132" s="57"/>
      <c r="AC1132" s="31"/>
      <c r="AD1132" s="57"/>
      <c r="AE1132" s="57"/>
      <c r="AF1132" s="57"/>
      <c r="AG1132" s="57"/>
      <c r="AH1132" s="57"/>
      <c r="AI1132" s="57"/>
      <c r="AJ1132" s="57"/>
      <c r="AK1132" s="57"/>
      <c r="AL1132" s="57"/>
      <c r="AM1132" s="57"/>
      <c r="AN1132" s="57"/>
      <c r="AO1132" s="57"/>
      <c r="AP1132" s="35"/>
      <c r="AQ1132" s="57"/>
      <c r="AR1132" s="36"/>
      <c r="AS1132" s="57"/>
      <c r="AT1132" s="37"/>
      <c r="AU1132" s="30"/>
      <c r="AV1132" s="30"/>
      <c r="AW1132" s="30"/>
      <c r="AX1132" s="30"/>
      <c r="AY1132" s="30"/>
      <c r="AZ1132" s="30"/>
    </row>
    <row r="1133">
      <c r="A1133" s="30"/>
      <c r="B1133" s="30"/>
      <c r="C1133" s="30"/>
      <c r="D1133" s="31"/>
      <c r="E1133" s="31"/>
      <c r="F1133" s="31"/>
      <c r="G1133" s="31"/>
      <c r="H1133" s="31"/>
      <c r="I1133" s="54"/>
      <c r="J1133" s="55"/>
      <c r="K1133" s="54"/>
      <c r="L1133" s="56"/>
      <c r="M1133" s="56"/>
      <c r="N1133" s="31"/>
      <c r="O1133" s="57"/>
      <c r="P1133" s="57"/>
      <c r="Q1133" s="57"/>
      <c r="R1133" s="57"/>
      <c r="S1133" s="31"/>
      <c r="T1133" s="57"/>
      <c r="U1133" s="57"/>
      <c r="V1133" s="57"/>
      <c r="W1133" s="57"/>
      <c r="X1133" s="31"/>
      <c r="Y1133" s="57"/>
      <c r="Z1133" s="57"/>
      <c r="AA1133" s="57"/>
      <c r="AB1133" s="57"/>
      <c r="AC1133" s="31"/>
      <c r="AD1133" s="57"/>
      <c r="AE1133" s="57"/>
      <c r="AF1133" s="57"/>
      <c r="AG1133" s="57"/>
      <c r="AH1133" s="57"/>
      <c r="AI1133" s="57"/>
      <c r="AJ1133" s="57"/>
      <c r="AK1133" s="57"/>
      <c r="AL1133" s="57"/>
      <c r="AM1133" s="57"/>
      <c r="AN1133" s="57"/>
      <c r="AO1133" s="57"/>
      <c r="AP1133" s="35"/>
      <c r="AQ1133" s="57"/>
      <c r="AR1133" s="36"/>
      <c r="AS1133" s="57"/>
      <c r="AT1133" s="37"/>
      <c r="AU1133" s="30"/>
      <c r="AV1133" s="30"/>
      <c r="AW1133" s="30"/>
      <c r="AX1133" s="30"/>
      <c r="AY1133" s="30"/>
      <c r="AZ1133" s="30"/>
    </row>
    <row r="1134">
      <c r="A1134" s="30"/>
      <c r="B1134" s="30"/>
      <c r="C1134" s="30"/>
      <c r="D1134" s="31"/>
      <c r="E1134" s="31"/>
      <c r="F1134" s="31"/>
      <c r="G1134" s="31"/>
      <c r="H1134" s="31"/>
      <c r="I1134" s="54"/>
      <c r="J1134" s="55"/>
      <c r="K1134" s="54"/>
      <c r="L1134" s="56"/>
      <c r="M1134" s="56"/>
      <c r="N1134" s="31"/>
      <c r="O1134" s="57"/>
      <c r="P1134" s="57"/>
      <c r="Q1134" s="57"/>
      <c r="R1134" s="57"/>
      <c r="S1134" s="31"/>
      <c r="T1134" s="57"/>
      <c r="U1134" s="57"/>
      <c r="V1134" s="57"/>
      <c r="W1134" s="57"/>
      <c r="X1134" s="31"/>
      <c r="Y1134" s="57"/>
      <c r="Z1134" s="57"/>
      <c r="AA1134" s="57"/>
      <c r="AB1134" s="57"/>
      <c r="AC1134" s="31"/>
      <c r="AD1134" s="57"/>
      <c r="AE1134" s="57"/>
      <c r="AF1134" s="57"/>
      <c r="AG1134" s="57"/>
      <c r="AH1134" s="57"/>
      <c r="AI1134" s="57"/>
      <c r="AJ1134" s="57"/>
      <c r="AK1134" s="57"/>
      <c r="AL1134" s="57"/>
      <c r="AM1134" s="57"/>
      <c r="AN1134" s="57"/>
      <c r="AO1134" s="57"/>
      <c r="AP1134" s="35"/>
      <c r="AQ1134" s="57"/>
      <c r="AR1134" s="36"/>
      <c r="AS1134" s="57"/>
      <c r="AT1134" s="37"/>
      <c r="AU1134" s="30"/>
      <c r="AV1134" s="30"/>
      <c r="AW1134" s="30"/>
      <c r="AX1134" s="30"/>
      <c r="AY1134" s="30"/>
      <c r="AZ1134" s="30"/>
    </row>
    <row r="1135">
      <c r="A1135" s="30"/>
      <c r="B1135" s="30"/>
      <c r="C1135" s="30"/>
      <c r="D1135" s="31"/>
      <c r="E1135" s="31"/>
      <c r="F1135" s="31"/>
      <c r="G1135" s="31"/>
      <c r="H1135" s="31"/>
      <c r="I1135" s="54"/>
      <c r="J1135" s="55"/>
      <c r="K1135" s="54"/>
      <c r="L1135" s="56"/>
      <c r="M1135" s="56"/>
      <c r="N1135" s="31"/>
      <c r="O1135" s="57"/>
      <c r="P1135" s="57"/>
      <c r="Q1135" s="57"/>
      <c r="R1135" s="57"/>
      <c r="S1135" s="31"/>
      <c r="T1135" s="57"/>
      <c r="U1135" s="57"/>
      <c r="V1135" s="57"/>
      <c r="W1135" s="57"/>
      <c r="X1135" s="31"/>
      <c r="Y1135" s="57"/>
      <c r="Z1135" s="57"/>
      <c r="AA1135" s="57"/>
      <c r="AB1135" s="57"/>
      <c r="AC1135" s="31"/>
      <c r="AD1135" s="57"/>
      <c r="AE1135" s="57"/>
      <c r="AF1135" s="57"/>
      <c r="AG1135" s="57"/>
      <c r="AH1135" s="57"/>
      <c r="AI1135" s="57"/>
      <c r="AJ1135" s="57"/>
      <c r="AK1135" s="57"/>
      <c r="AL1135" s="57"/>
      <c r="AM1135" s="57"/>
      <c r="AN1135" s="57"/>
      <c r="AO1135" s="57"/>
      <c r="AP1135" s="35"/>
      <c r="AQ1135" s="57"/>
      <c r="AR1135" s="36"/>
      <c r="AS1135" s="57"/>
      <c r="AT1135" s="37"/>
      <c r="AU1135" s="30"/>
      <c r="AV1135" s="30"/>
      <c r="AW1135" s="30"/>
      <c r="AX1135" s="30"/>
      <c r="AY1135" s="30"/>
      <c r="AZ1135" s="30"/>
    </row>
    <row r="1136">
      <c r="A1136" s="30"/>
      <c r="B1136" s="30"/>
      <c r="C1136" s="30"/>
      <c r="D1136" s="31"/>
      <c r="E1136" s="31"/>
      <c r="F1136" s="31"/>
      <c r="G1136" s="31"/>
      <c r="H1136" s="31"/>
      <c r="I1136" s="54"/>
      <c r="J1136" s="55"/>
      <c r="K1136" s="54"/>
      <c r="L1136" s="56"/>
      <c r="M1136" s="56"/>
      <c r="N1136" s="31"/>
      <c r="O1136" s="57"/>
      <c r="P1136" s="57"/>
      <c r="Q1136" s="57"/>
      <c r="R1136" s="57"/>
      <c r="S1136" s="31"/>
      <c r="T1136" s="57"/>
      <c r="U1136" s="57"/>
      <c r="V1136" s="57"/>
      <c r="W1136" s="57"/>
      <c r="X1136" s="31"/>
      <c r="Y1136" s="57"/>
      <c r="Z1136" s="57"/>
      <c r="AA1136" s="57"/>
      <c r="AB1136" s="57"/>
      <c r="AC1136" s="31"/>
      <c r="AD1136" s="57"/>
      <c r="AE1136" s="57"/>
      <c r="AF1136" s="57"/>
      <c r="AG1136" s="57"/>
      <c r="AH1136" s="57"/>
      <c r="AI1136" s="57"/>
      <c r="AJ1136" s="57"/>
      <c r="AK1136" s="57"/>
      <c r="AL1136" s="57"/>
      <c r="AM1136" s="57"/>
      <c r="AN1136" s="57"/>
      <c r="AO1136" s="57"/>
      <c r="AP1136" s="35"/>
      <c r="AQ1136" s="57"/>
      <c r="AR1136" s="36"/>
      <c r="AS1136" s="57"/>
      <c r="AT1136" s="37"/>
      <c r="AU1136" s="30"/>
      <c r="AV1136" s="30"/>
      <c r="AW1136" s="30"/>
      <c r="AX1136" s="30"/>
      <c r="AY1136" s="30"/>
      <c r="AZ1136" s="30"/>
    </row>
    <row r="1137">
      <c r="A1137" s="30"/>
      <c r="B1137" s="30"/>
      <c r="C1137" s="30"/>
      <c r="D1137" s="31"/>
      <c r="E1137" s="31"/>
      <c r="F1137" s="31"/>
      <c r="G1137" s="31"/>
      <c r="H1137" s="31"/>
      <c r="I1137" s="54"/>
      <c r="J1137" s="55"/>
      <c r="K1137" s="54"/>
      <c r="L1137" s="56"/>
      <c r="M1137" s="56"/>
      <c r="N1137" s="31"/>
      <c r="O1137" s="57"/>
      <c r="P1137" s="57"/>
      <c r="Q1137" s="57"/>
      <c r="R1137" s="57"/>
      <c r="S1137" s="31"/>
      <c r="T1137" s="57"/>
      <c r="U1137" s="57"/>
      <c r="V1137" s="57"/>
      <c r="W1137" s="57"/>
      <c r="X1137" s="31"/>
      <c r="Y1137" s="57"/>
      <c r="Z1137" s="57"/>
      <c r="AA1137" s="57"/>
      <c r="AB1137" s="57"/>
      <c r="AC1137" s="31"/>
      <c r="AD1137" s="57"/>
      <c r="AE1137" s="57"/>
      <c r="AF1137" s="57"/>
      <c r="AG1137" s="57"/>
      <c r="AH1137" s="57"/>
      <c r="AI1137" s="57"/>
      <c r="AJ1137" s="57"/>
      <c r="AK1137" s="57"/>
      <c r="AL1137" s="57"/>
      <c r="AM1137" s="57"/>
      <c r="AN1137" s="57"/>
      <c r="AO1137" s="57"/>
      <c r="AP1137" s="35"/>
      <c r="AQ1137" s="57"/>
      <c r="AR1137" s="36"/>
      <c r="AS1137" s="57"/>
      <c r="AT1137" s="37"/>
      <c r="AU1137" s="30"/>
      <c r="AV1137" s="30"/>
      <c r="AW1137" s="30"/>
      <c r="AX1137" s="30"/>
      <c r="AY1137" s="30"/>
      <c r="AZ1137" s="30"/>
    </row>
    <row r="1138">
      <c r="A1138" s="30"/>
      <c r="B1138" s="30"/>
      <c r="C1138" s="30"/>
      <c r="D1138" s="31"/>
      <c r="E1138" s="31"/>
      <c r="F1138" s="31"/>
      <c r="G1138" s="31"/>
      <c r="H1138" s="31"/>
      <c r="I1138" s="54"/>
      <c r="J1138" s="55"/>
      <c r="K1138" s="54"/>
      <c r="L1138" s="56"/>
      <c r="M1138" s="56"/>
      <c r="N1138" s="31"/>
      <c r="O1138" s="57"/>
      <c r="P1138" s="57"/>
      <c r="Q1138" s="57"/>
      <c r="R1138" s="57"/>
      <c r="S1138" s="31"/>
      <c r="T1138" s="57"/>
      <c r="U1138" s="57"/>
      <c r="V1138" s="57"/>
      <c r="W1138" s="57"/>
      <c r="X1138" s="31"/>
      <c r="Y1138" s="57"/>
      <c r="Z1138" s="57"/>
      <c r="AA1138" s="57"/>
      <c r="AB1138" s="57"/>
      <c r="AC1138" s="31"/>
      <c r="AD1138" s="57"/>
      <c r="AE1138" s="57"/>
      <c r="AF1138" s="57"/>
      <c r="AG1138" s="57"/>
      <c r="AH1138" s="57"/>
      <c r="AI1138" s="57"/>
      <c r="AJ1138" s="57"/>
      <c r="AK1138" s="57"/>
      <c r="AL1138" s="57"/>
      <c r="AM1138" s="57"/>
      <c r="AN1138" s="57"/>
      <c r="AO1138" s="57"/>
      <c r="AP1138" s="35"/>
      <c r="AQ1138" s="57"/>
      <c r="AR1138" s="36"/>
      <c r="AS1138" s="57"/>
      <c r="AT1138" s="37"/>
      <c r="AU1138" s="30"/>
      <c r="AV1138" s="30"/>
      <c r="AW1138" s="30"/>
      <c r="AX1138" s="30"/>
      <c r="AY1138" s="30"/>
      <c r="AZ1138" s="30"/>
    </row>
    <row r="1139">
      <c r="A1139" s="30"/>
      <c r="B1139" s="30"/>
      <c r="C1139" s="30"/>
      <c r="D1139" s="31"/>
      <c r="E1139" s="31"/>
      <c r="F1139" s="31"/>
      <c r="G1139" s="31"/>
      <c r="H1139" s="31"/>
      <c r="I1139" s="54"/>
      <c r="J1139" s="55"/>
      <c r="K1139" s="54"/>
      <c r="L1139" s="56"/>
      <c r="M1139" s="56"/>
      <c r="N1139" s="31"/>
      <c r="O1139" s="57"/>
      <c r="P1139" s="57"/>
      <c r="Q1139" s="57"/>
      <c r="R1139" s="57"/>
      <c r="S1139" s="31"/>
      <c r="T1139" s="57"/>
      <c r="U1139" s="57"/>
      <c r="V1139" s="57"/>
      <c r="W1139" s="57"/>
      <c r="X1139" s="31"/>
      <c r="Y1139" s="57"/>
      <c r="Z1139" s="57"/>
      <c r="AA1139" s="57"/>
      <c r="AB1139" s="57"/>
      <c r="AC1139" s="31"/>
      <c r="AD1139" s="57"/>
      <c r="AE1139" s="57"/>
      <c r="AF1139" s="57"/>
      <c r="AG1139" s="57"/>
      <c r="AH1139" s="57"/>
      <c r="AI1139" s="57"/>
      <c r="AJ1139" s="57"/>
      <c r="AK1139" s="57"/>
      <c r="AL1139" s="57"/>
      <c r="AM1139" s="57"/>
      <c r="AN1139" s="57"/>
      <c r="AO1139" s="57"/>
      <c r="AP1139" s="35"/>
      <c r="AQ1139" s="57"/>
      <c r="AR1139" s="36"/>
      <c r="AS1139" s="57"/>
      <c r="AT1139" s="37"/>
      <c r="AU1139" s="30"/>
      <c r="AV1139" s="30"/>
      <c r="AW1139" s="30"/>
      <c r="AX1139" s="30"/>
      <c r="AY1139" s="30"/>
      <c r="AZ1139" s="30"/>
    </row>
    <row r="1140">
      <c r="A1140" s="30"/>
      <c r="B1140" s="30"/>
      <c r="C1140" s="30"/>
      <c r="D1140" s="31"/>
      <c r="E1140" s="31"/>
      <c r="F1140" s="31"/>
      <c r="G1140" s="31"/>
      <c r="H1140" s="31"/>
      <c r="I1140" s="54"/>
      <c r="J1140" s="55"/>
      <c r="K1140" s="54"/>
      <c r="L1140" s="56"/>
      <c r="M1140" s="56"/>
      <c r="N1140" s="31"/>
      <c r="O1140" s="57"/>
      <c r="P1140" s="57"/>
      <c r="Q1140" s="57"/>
      <c r="R1140" s="57"/>
      <c r="S1140" s="31"/>
      <c r="T1140" s="57"/>
      <c r="U1140" s="57"/>
      <c r="V1140" s="57"/>
      <c r="W1140" s="57"/>
      <c r="X1140" s="31"/>
      <c r="Y1140" s="57"/>
      <c r="Z1140" s="57"/>
      <c r="AA1140" s="57"/>
      <c r="AB1140" s="57"/>
      <c r="AC1140" s="31"/>
      <c r="AD1140" s="57"/>
      <c r="AE1140" s="57"/>
      <c r="AF1140" s="57"/>
      <c r="AG1140" s="57"/>
      <c r="AH1140" s="57"/>
      <c r="AI1140" s="57"/>
      <c r="AJ1140" s="57"/>
      <c r="AK1140" s="57"/>
      <c r="AL1140" s="57"/>
      <c r="AM1140" s="57"/>
      <c r="AN1140" s="57"/>
      <c r="AO1140" s="57"/>
      <c r="AP1140" s="35"/>
      <c r="AQ1140" s="57"/>
      <c r="AR1140" s="36"/>
      <c r="AS1140" s="57"/>
      <c r="AT1140" s="37"/>
      <c r="AU1140" s="30"/>
      <c r="AV1140" s="30"/>
      <c r="AW1140" s="30"/>
      <c r="AX1140" s="30"/>
      <c r="AY1140" s="30"/>
      <c r="AZ1140" s="30"/>
    </row>
    <row r="1141">
      <c r="A1141" s="30"/>
      <c r="B1141" s="30"/>
      <c r="C1141" s="30"/>
      <c r="D1141" s="31"/>
      <c r="E1141" s="31"/>
      <c r="F1141" s="31"/>
      <c r="G1141" s="31"/>
      <c r="H1141" s="31"/>
      <c r="I1141" s="54"/>
      <c r="J1141" s="55"/>
      <c r="K1141" s="54"/>
      <c r="L1141" s="56"/>
      <c r="M1141" s="56"/>
      <c r="N1141" s="31"/>
      <c r="O1141" s="57"/>
      <c r="P1141" s="57"/>
      <c r="Q1141" s="57"/>
      <c r="R1141" s="57"/>
      <c r="S1141" s="31"/>
      <c r="T1141" s="57"/>
      <c r="U1141" s="57"/>
      <c r="V1141" s="57"/>
      <c r="W1141" s="57"/>
      <c r="X1141" s="31"/>
      <c r="Y1141" s="57"/>
      <c r="Z1141" s="57"/>
      <c r="AA1141" s="57"/>
      <c r="AB1141" s="57"/>
      <c r="AC1141" s="31"/>
      <c r="AD1141" s="57"/>
      <c r="AE1141" s="57"/>
      <c r="AF1141" s="57"/>
      <c r="AG1141" s="57"/>
      <c r="AH1141" s="57"/>
      <c r="AI1141" s="57"/>
      <c r="AJ1141" s="57"/>
      <c r="AK1141" s="57"/>
      <c r="AL1141" s="57"/>
      <c r="AM1141" s="57"/>
      <c r="AN1141" s="57"/>
      <c r="AO1141" s="57"/>
      <c r="AP1141" s="35"/>
      <c r="AQ1141" s="57"/>
      <c r="AR1141" s="36"/>
      <c r="AS1141" s="57"/>
      <c r="AT1141" s="37"/>
      <c r="AU1141" s="30"/>
      <c r="AV1141" s="30"/>
      <c r="AW1141" s="30"/>
      <c r="AX1141" s="30"/>
      <c r="AY1141" s="30"/>
      <c r="AZ1141" s="30"/>
    </row>
    <row r="1142">
      <c r="A1142" s="30"/>
      <c r="B1142" s="30"/>
      <c r="C1142" s="30"/>
      <c r="D1142" s="31"/>
      <c r="E1142" s="31"/>
      <c r="F1142" s="31"/>
      <c r="G1142" s="31"/>
      <c r="H1142" s="31"/>
      <c r="I1142" s="54"/>
      <c r="J1142" s="55"/>
      <c r="K1142" s="54"/>
      <c r="L1142" s="56"/>
      <c r="M1142" s="56"/>
      <c r="N1142" s="31"/>
      <c r="O1142" s="57"/>
      <c r="P1142" s="57"/>
      <c r="Q1142" s="57"/>
      <c r="R1142" s="57"/>
      <c r="S1142" s="31"/>
      <c r="T1142" s="57"/>
      <c r="U1142" s="57"/>
      <c r="V1142" s="57"/>
      <c r="W1142" s="57"/>
      <c r="X1142" s="31"/>
      <c r="Y1142" s="57"/>
      <c r="Z1142" s="57"/>
      <c r="AA1142" s="57"/>
      <c r="AB1142" s="57"/>
      <c r="AC1142" s="31"/>
      <c r="AD1142" s="57"/>
      <c r="AE1142" s="57"/>
      <c r="AF1142" s="57"/>
      <c r="AG1142" s="57"/>
      <c r="AH1142" s="57"/>
      <c r="AI1142" s="57"/>
      <c r="AJ1142" s="57"/>
      <c r="AK1142" s="57"/>
      <c r="AL1142" s="57"/>
      <c r="AM1142" s="57"/>
      <c r="AN1142" s="57"/>
      <c r="AO1142" s="57"/>
      <c r="AP1142" s="35"/>
      <c r="AQ1142" s="57"/>
      <c r="AR1142" s="36"/>
      <c r="AS1142" s="57"/>
      <c r="AT1142" s="37"/>
      <c r="AU1142" s="30"/>
      <c r="AV1142" s="30"/>
      <c r="AW1142" s="30"/>
      <c r="AX1142" s="30"/>
      <c r="AY1142" s="30"/>
      <c r="AZ1142" s="30"/>
    </row>
    <row r="1143">
      <c r="A1143" s="30"/>
      <c r="B1143" s="30"/>
      <c r="C1143" s="30"/>
      <c r="D1143" s="31"/>
      <c r="E1143" s="31"/>
      <c r="F1143" s="31"/>
      <c r="G1143" s="31"/>
      <c r="H1143" s="31"/>
      <c r="I1143" s="54"/>
      <c r="J1143" s="55"/>
      <c r="K1143" s="54"/>
      <c r="L1143" s="56"/>
      <c r="M1143" s="56"/>
      <c r="N1143" s="31"/>
      <c r="O1143" s="57"/>
      <c r="P1143" s="57"/>
      <c r="Q1143" s="57"/>
      <c r="R1143" s="57"/>
      <c r="S1143" s="31"/>
      <c r="T1143" s="57"/>
      <c r="U1143" s="57"/>
      <c r="V1143" s="57"/>
      <c r="W1143" s="57"/>
      <c r="X1143" s="31"/>
      <c r="Y1143" s="57"/>
      <c r="Z1143" s="57"/>
      <c r="AA1143" s="57"/>
      <c r="AB1143" s="57"/>
      <c r="AC1143" s="31"/>
      <c r="AD1143" s="57"/>
      <c r="AE1143" s="57"/>
      <c r="AF1143" s="57"/>
      <c r="AG1143" s="57"/>
      <c r="AH1143" s="57"/>
      <c r="AI1143" s="57"/>
      <c r="AJ1143" s="57"/>
      <c r="AK1143" s="57"/>
      <c r="AL1143" s="57"/>
      <c r="AM1143" s="57"/>
      <c r="AN1143" s="57"/>
      <c r="AO1143" s="57"/>
      <c r="AP1143" s="35"/>
      <c r="AQ1143" s="57"/>
      <c r="AR1143" s="36"/>
      <c r="AS1143" s="57"/>
      <c r="AT1143" s="37"/>
      <c r="AU1143" s="30"/>
      <c r="AV1143" s="30"/>
      <c r="AW1143" s="30"/>
      <c r="AX1143" s="30"/>
      <c r="AY1143" s="30"/>
      <c r="AZ1143" s="30"/>
    </row>
    <row r="1144">
      <c r="A1144" s="30"/>
      <c r="B1144" s="30"/>
      <c r="C1144" s="30"/>
      <c r="D1144" s="31"/>
      <c r="E1144" s="31"/>
      <c r="F1144" s="31"/>
      <c r="G1144" s="31"/>
      <c r="H1144" s="31"/>
      <c r="I1144" s="54"/>
      <c r="J1144" s="55"/>
      <c r="K1144" s="54"/>
      <c r="L1144" s="56"/>
      <c r="M1144" s="56"/>
      <c r="N1144" s="31"/>
      <c r="O1144" s="57"/>
      <c r="P1144" s="57"/>
      <c r="Q1144" s="57"/>
      <c r="R1144" s="57"/>
      <c r="S1144" s="31"/>
      <c r="T1144" s="57"/>
      <c r="U1144" s="57"/>
      <c r="V1144" s="57"/>
      <c r="W1144" s="57"/>
      <c r="X1144" s="31"/>
      <c r="Y1144" s="57"/>
      <c r="Z1144" s="57"/>
      <c r="AA1144" s="57"/>
      <c r="AB1144" s="57"/>
      <c r="AC1144" s="31"/>
      <c r="AD1144" s="57"/>
      <c r="AE1144" s="57"/>
      <c r="AF1144" s="57"/>
      <c r="AG1144" s="57"/>
      <c r="AH1144" s="57"/>
      <c r="AI1144" s="57"/>
      <c r="AJ1144" s="57"/>
      <c r="AK1144" s="57"/>
      <c r="AL1144" s="57"/>
      <c r="AM1144" s="57"/>
      <c r="AN1144" s="57"/>
      <c r="AO1144" s="57"/>
      <c r="AP1144" s="35"/>
      <c r="AQ1144" s="57"/>
      <c r="AR1144" s="36"/>
      <c r="AS1144" s="57"/>
      <c r="AT1144" s="37"/>
      <c r="AU1144" s="30"/>
      <c r="AV1144" s="30"/>
      <c r="AW1144" s="30"/>
      <c r="AX1144" s="30"/>
      <c r="AY1144" s="30"/>
      <c r="AZ1144" s="30"/>
    </row>
    <row r="1145">
      <c r="A1145" s="30"/>
      <c r="B1145" s="30"/>
      <c r="C1145" s="30"/>
      <c r="D1145" s="31"/>
      <c r="E1145" s="31"/>
      <c r="F1145" s="31"/>
      <c r="G1145" s="31"/>
      <c r="H1145" s="31"/>
      <c r="I1145" s="54"/>
      <c r="J1145" s="55"/>
      <c r="K1145" s="54"/>
      <c r="L1145" s="56"/>
      <c r="M1145" s="56"/>
      <c r="N1145" s="31"/>
      <c r="O1145" s="57"/>
      <c r="P1145" s="57"/>
      <c r="Q1145" s="57"/>
      <c r="R1145" s="57"/>
      <c r="S1145" s="31"/>
      <c r="T1145" s="57"/>
      <c r="U1145" s="57"/>
      <c r="V1145" s="57"/>
      <c r="W1145" s="57"/>
      <c r="X1145" s="31"/>
      <c r="Y1145" s="57"/>
      <c r="Z1145" s="57"/>
      <c r="AA1145" s="57"/>
      <c r="AB1145" s="57"/>
      <c r="AC1145" s="31"/>
      <c r="AD1145" s="57"/>
      <c r="AE1145" s="57"/>
      <c r="AF1145" s="57"/>
      <c r="AG1145" s="57"/>
      <c r="AH1145" s="57"/>
      <c r="AI1145" s="57"/>
      <c r="AJ1145" s="57"/>
      <c r="AK1145" s="57"/>
      <c r="AL1145" s="57"/>
      <c r="AM1145" s="57"/>
      <c r="AN1145" s="57"/>
      <c r="AO1145" s="57"/>
      <c r="AP1145" s="35"/>
      <c r="AQ1145" s="57"/>
      <c r="AR1145" s="36"/>
      <c r="AS1145" s="57"/>
      <c r="AT1145" s="37"/>
      <c r="AU1145" s="30"/>
      <c r="AV1145" s="30"/>
      <c r="AW1145" s="30"/>
      <c r="AX1145" s="30"/>
      <c r="AY1145" s="30"/>
      <c r="AZ1145" s="30"/>
    </row>
    <row r="1146">
      <c r="A1146" s="30"/>
      <c r="B1146" s="30"/>
      <c r="C1146" s="30"/>
      <c r="D1146" s="31"/>
      <c r="E1146" s="31"/>
      <c r="F1146" s="31"/>
      <c r="G1146" s="31"/>
      <c r="H1146" s="31"/>
      <c r="I1146" s="54"/>
      <c r="J1146" s="55"/>
      <c r="K1146" s="54"/>
      <c r="L1146" s="56"/>
      <c r="M1146" s="56"/>
      <c r="N1146" s="31"/>
      <c r="O1146" s="57"/>
      <c r="P1146" s="57"/>
      <c r="Q1146" s="57"/>
      <c r="R1146" s="57"/>
      <c r="S1146" s="31"/>
      <c r="T1146" s="57"/>
      <c r="U1146" s="57"/>
      <c r="V1146" s="57"/>
      <c r="W1146" s="57"/>
      <c r="X1146" s="31"/>
      <c r="Y1146" s="57"/>
      <c r="Z1146" s="57"/>
      <c r="AA1146" s="57"/>
      <c r="AB1146" s="57"/>
      <c r="AC1146" s="31"/>
      <c r="AD1146" s="57"/>
      <c r="AE1146" s="57"/>
      <c r="AF1146" s="57"/>
      <c r="AG1146" s="57"/>
      <c r="AH1146" s="57"/>
      <c r="AI1146" s="57"/>
      <c r="AJ1146" s="57"/>
      <c r="AK1146" s="57"/>
      <c r="AL1146" s="57"/>
      <c r="AM1146" s="57"/>
      <c r="AN1146" s="57"/>
      <c r="AO1146" s="57"/>
      <c r="AP1146" s="35"/>
      <c r="AQ1146" s="57"/>
      <c r="AR1146" s="36"/>
      <c r="AS1146" s="57"/>
      <c r="AT1146" s="37"/>
      <c r="AU1146" s="30"/>
      <c r="AV1146" s="30"/>
      <c r="AW1146" s="30"/>
      <c r="AX1146" s="30"/>
      <c r="AY1146" s="30"/>
      <c r="AZ1146" s="30"/>
    </row>
    <row r="1147">
      <c r="A1147" s="30"/>
      <c r="B1147" s="30"/>
      <c r="C1147" s="30"/>
      <c r="D1147" s="31"/>
      <c r="E1147" s="31"/>
      <c r="F1147" s="31"/>
      <c r="G1147" s="31"/>
      <c r="H1147" s="31"/>
      <c r="I1147" s="54"/>
      <c r="J1147" s="55"/>
      <c r="K1147" s="54"/>
      <c r="L1147" s="56"/>
      <c r="M1147" s="56"/>
      <c r="N1147" s="31"/>
      <c r="O1147" s="57"/>
      <c r="P1147" s="57"/>
      <c r="Q1147" s="57"/>
      <c r="R1147" s="57"/>
      <c r="S1147" s="31"/>
      <c r="T1147" s="57"/>
      <c r="U1147" s="57"/>
      <c r="V1147" s="57"/>
      <c r="W1147" s="57"/>
      <c r="X1147" s="31"/>
      <c r="Y1147" s="57"/>
      <c r="Z1147" s="57"/>
      <c r="AA1147" s="57"/>
      <c r="AB1147" s="57"/>
      <c r="AC1147" s="31"/>
      <c r="AD1147" s="57"/>
      <c r="AE1147" s="57"/>
      <c r="AF1147" s="57"/>
      <c r="AG1147" s="57"/>
      <c r="AH1147" s="57"/>
      <c r="AI1147" s="57"/>
      <c r="AJ1147" s="57"/>
      <c r="AK1147" s="57"/>
      <c r="AL1147" s="57"/>
      <c r="AM1147" s="57"/>
      <c r="AN1147" s="57"/>
      <c r="AO1147" s="57"/>
      <c r="AP1147" s="35"/>
      <c r="AQ1147" s="57"/>
      <c r="AR1147" s="36"/>
      <c r="AS1147" s="57"/>
      <c r="AT1147" s="37"/>
      <c r="AU1147" s="30"/>
      <c r="AV1147" s="30"/>
      <c r="AW1147" s="30"/>
      <c r="AX1147" s="30"/>
      <c r="AY1147" s="30"/>
      <c r="AZ1147" s="30"/>
    </row>
    <row r="1148">
      <c r="A1148" s="30"/>
      <c r="B1148" s="30"/>
      <c r="C1148" s="30"/>
      <c r="D1148" s="31"/>
      <c r="E1148" s="31"/>
      <c r="F1148" s="31"/>
      <c r="G1148" s="31"/>
      <c r="H1148" s="31"/>
      <c r="I1148" s="54"/>
      <c r="J1148" s="55"/>
      <c r="K1148" s="54"/>
      <c r="L1148" s="56"/>
      <c r="M1148" s="56"/>
      <c r="N1148" s="31"/>
      <c r="O1148" s="57"/>
      <c r="P1148" s="57"/>
      <c r="Q1148" s="57"/>
      <c r="R1148" s="57"/>
      <c r="S1148" s="31"/>
      <c r="T1148" s="57"/>
      <c r="U1148" s="57"/>
      <c r="V1148" s="57"/>
      <c r="W1148" s="57"/>
      <c r="X1148" s="31"/>
      <c r="Y1148" s="57"/>
      <c r="Z1148" s="57"/>
      <c r="AA1148" s="57"/>
      <c r="AB1148" s="57"/>
      <c r="AC1148" s="31"/>
      <c r="AD1148" s="57"/>
      <c r="AE1148" s="57"/>
      <c r="AF1148" s="57"/>
      <c r="AG1148" s="57"/>
      <c r="AH1148" s="57"/>
      <c r="AI1148" s="57"/>
      <c r="AJ1148" s="57"/>
      <c r="AK1148" s="57"/>
      <c r="AL1148" s="57"/>
      <c r="AM1148" s="57"/>
      <c r="AN1148" s="57"/>
      <c r="AO1148" s="57"/>
      <c r="AP1148" s="35"/>
      <c r="AQ1148" s="57"/>
      <c r="AR1148" s="36"/>
      <c r="AS1148" s="57"/>
      <c r="AT1148" s="37"/>
      <c r="AU1148" s="30"/>
      <c r="AV1148" s="30"/>
      <c r="AW1148" s="30"/>
      <c r="AX1148" s="30"/>
      <c r="AY1148" s="30"/>
      <c r="AZ1148" s="30"/>
    </row>
    <row r="1149">
      <c r="A1149" s="30"/>
      <c r="B1149" s="30"/>
      <c r="C1149" s="30"/>
      <c r="D1149" s="31"/>
      <c r="E1149" s="31"/>
      <c r="F1149" s="31"/>
      <c r="G1149" s="31"/>
      <c r="H1149" s="31"/>
      <c r="I1149" s="54"/>
      <c r="J1149" s="55"/>
      <c r="K1149" s="54"/>
      <c r="L1149" s="56"/>
      <c r="M1149" s="56"/>
      <c r="N1149" s="31"/>
      <c r="O1149" s="57"/>
      <c r="P1149" s="57"/>
      <c r="Q1149" s="57"/>
      <c r="R1149" s="57"/>
      <c r="S1149" s="31"/>
      <c r="T1149" s="57"/>
      <c r="U1149" s="57"/>
      <c r="V1149" s="57"/>
      <c r="W1149" s="57"/>
      <c r="X1149" s="31"/>
      <c r="Y1149" s="57"/>
      <c r="Z1149" s="57"/>
      <c r="AA1149" s="57"/>
      <c r="AB1149" s="57"/>
      <c r="AC1149" s="31"/>
      <c r="AD1149" s="57"/>
      <c r="AE1149" s="57"/>
      <c r="AF1149" s="57"/>
      <c r="AG1149" s="57"/>
      <c r="AH1149" s="57"/>
      <c r="AI1149" s="57"/>
      <c r="AJ1149" s="57"/>
      <c r="AK1149" s="57"/>
      <c r="AL1149" s="57"/>
      <c r="AM1149" s="57"/>
      <c r="AN1149" s="57"/>
      <c r="AO1149" s="57"/>
      <c r="AP1149" s="35"/>
      <c r="AQ1149" s="57"/>
      <c r="AR1149" s="36"/>
      <c r="AS1149" s="57"/>
      <c r="AT1149" s="37"/>
      <c r="AU1149" s="30"/>
      <c r="AV1149" s="30"/>
      <c r="AW1149" s="30"/>
      <c r="AX1149" s="30"/>
      <c r="AY1149" s="30"/>
      <c r="AZ1149" s="30"/>
    </row>
    <row r="1150">
      <c r="A1150" s="30"/>
      <c r="B1150" s="30"/>
      <c r="C1150" s="30"/>
      <c r="D1150" s="31"/>
      <c r="E1150" s="31"/>
      <c r="F1150" s="31"/>
      <c r="G1150" s="31"/>
      <c r="H1150" s="31"/>
      <c r="I1150" s="54"/>
      <c r="J1150" s="55"/>
      <c r="K1150" s="54"/>
      <c r="L1150" s="56"/>
      <c r="M1150" s="56"/>
      <c r="N1150" s="31"/>
      <c r="O1150" s="57"/>
      <c r="P1150" s="57"/>
      <c r="Q1150" s="57"/>
      <c r="R1150" s="57"/>
      <c r="S1150" s="31"/>
      <c r="T1150" s="57"/>
      <c r="U1150" s="57"/>
      <c r="V1150" s="57"/>
      <c r="W1150" s="57"/>
      <c r="X1150" s="31"/>
      <c r="Y1150" s="57"/>
      <c r="Z1150" s="57"/>
      <c r="AA1150" s="57"/>
      <c r="AB1150" s="57"/>
      <c r="AC1150" s="31"/>
      <c r="AD1150" s="57"/>
      <c r="AE1150" s="57"/>
      <c r="AF1150" s="57"/>
      <c r="AG1150" s="57"/>
      <c r="AH1150" s="57"/>
      <c r="AI1150" s="57"/>
      <c r="AJ1150" s="57"/>
      <c r="AK1150" s="57"/>
      <c r="AL1150" s="57"/>
      <c r="AM1150" s="57"/>
      <c r="AN1150" s="57"/>
      <c r="AO1150" s="57"/>
      <c r="AP1150" s="35"/>
      <c r="AQ1150" s="57"/>
      <c r="AR1150" s="36"/>
      <c r="AS1150" s="57"/>
      <c r="AT1150" s="37"/>
      <c r="AU1150" s="30"/>
      <c r="AV1150" s="30"/>
      <c r="AW1150" s="30"/>
      <c r="AX1150" s="30"/>
      <c r="AY1150" s="30"/>
      <c r="AZ1150" s="30"/>
    </row>
    <row r="1151">
      <c r="A1151" s="30"/>
      <c r="B1151" s="30"/>
      <c r="C1151" s="30"/>
      <c r="D1151" s="31"/>
      <c r="E1151" s="31"/>
      <c r="F1151" s="31"/>
      <c r="G1151" s="31"/>
      <c r="H1151" s="31"/>
      <c r="I1151" s="54"/>
      <c r="J1151" s="55"/>
      <c r="K1151" s="54"/>
      <c r="L1151" s="56"/>
      <c r="M1151" s="56"/>
      <c r="N1151" s="31"/>
      <c r="O1151" s="57"/>
      <c r="P1151" s="57"/>
      <c r="Q1151" s="57"/>
      <c r="R1151" s="57"/>
      <c r="S1151" s="31"/>
      <c r="T1151" s="57"/>
      <c r="U1151" s="57"/>
      <c r="V1151" s="57"/>
      <c r="W1151" s="57"/>
      <c r="X1151" s="31"/>
      <c r="Y1151" s="57"/>
      <c r="Z1151" s="57"/>
      <c r="AA1151" s="57"/>
      <c r="AB1151" s="57"/>
      <c r="AC1151" s="31"/>
      <c r="AD1151" s="57"/>
      <c r="AE1151" s="57"/>
      <c r="AF1151" s="57"/>
      <c r="AG1151" s="57"/>
      <c r="AH1151" s="57"/>
      <c r="AI1151" s="57"/>
      <c r="AJ1151" s="57"/>
      <c r="AK1151" s="57"/>
      <c r="AL1151" s="57"/>
      <c r="AM1151" s="57"/>
      <c r="AN1151" s="57"/>
      <c r="AO1151" s="57"/>
      <c r="AP1151" s="35"/>
      <c r="AQ1151" s="57"/>
      <c r="AR1151" s="36"/>
      <c r="AS1151" s="57"/>
      <c r="AT1151" s="37"/>
      <c r="AU1151" s="30"/>
      <c r="AV1151" s="30"/>
      <c r="AW1151" s="30"/>
      <c r="AX1151" s="30"/>
      <c r="AY1151" s="30"/>
      <c r="AZ1151" s="30"/>
    </row>
    <row r="1152">
      <c r="A1152" s="30"/>
      <c r="B1152" s="30"/>
      <c r="C1152" s="30"/>
      <c r="D1152" s="31"/>
      <c r="E1152" s="31"/>
      <c r="F1152" s="31"/>
      <c r="G1152" s="31"/>
      <c r="H1152" s="31"/>
      <c r="I1152" s="54"/>
      <c r="J1152" s="55"/>
      <c r="K1152" s="54"/>
      <c r="L1152" s="56"/>
      <c r="M1152" s="56"/>
      <c r="N1152" s="31"/>
      <c r="O1152" s="57"/>
      <c r="P1152" s="57"/>
      <c r="Q1152" s="57"/>
      <c r="R1152" s="57"/>
      <c r="S1152" s="31"/>
      <c r="T1152" s="57"/>
      <c r="U1152" s="57"/>
      <c r="V1152" s="57"/>
      <c r="W1152" s="57"/>
      <c r="X1152" s="31"/>
      <c r="Y1152" s="57"/>
      <c r="Z1152" s="57"/>
      <c r="AA1152" s="57"/>
      <c r="AB1152" s="57"/>
      <c r="AC1152" s="31"/>
      <c r="AD1152" s="57"/>
      <c r="AE1152" s="57"/>
      <c r="AF1152" s="57"/>
      <c r="AG1152" s="57"/>
      <c r="AH1152" s="57"/>
      <c r="AI1152" s="57"/>
      <c r="AJ1152" s="57"/>
      <c r="AK1152" s="57"/>
      <c r="AL1152" s="57"/>
      <c r="AM1152" s="57"/>
      <c r="AN1152" s="57"/>
      <c r="AO1152" s="57"/>
      <c r="AP1152" s="35"/>
      <c r="AQ1152" s="57"/>
      <c r="AR1152" s="36"/>
      <c r="AS1152" s="57"/>
      <c r="AT1152" s="37"/>
      <c r="AU1152" s="30"/>
      <c r="AV1152" s="30"/>
      <c r="AW1152" s="30"/>
      <c r="AX1152" s="30"/>
      <c r="AY1152" s="30"/>
      <c r="AZ1152" s="30"/>
    </row>
    <row r="1153">
      <c r="A1153" s="30"/>
      <c r="B1153" s="30"/>
      <c r="C1153" s="30"/>
      <c r="D1153" s="31"/>
      <c r="E1153" s="31"/>
      <c r="F1153" s="31"/>
      <c r="G1153" s="31"/>
      <c r="H1153" s="31"/>
      <c r="I1153" s="54"/>
      <c r="J1153" s="55"/>
      <c r="K1153" s="54"/>
      <c r="L1153" s="56"/>
      <c r="M1153" s="56"/>
      <c r="N1153" s="31"/>
      <c r="O1153" s="57"/>
      <c r="P1153" s="57"/>
      <c r="Q1153" s="57"/>
      <c r="R1153" s="57"/>
      <c r="S1153" s="31"/>
      <c r="T1153" s="57"/>
      <c r="U1153" s="57"/>
      <c r="V1153" s="57"/>
      <c r="W1153" s="57"/>
      <c r="X1153" s="31"/>
      <c r="Y1153" s="57"/>
      <c r="Z1153" s="57"/>
      <c r="AA1153" s="57"/>
      <c r="AB1153" s="57"/>
      <c r="AC1153" s="31"/>
      <c r="AD1153" s="57"/>
      <c r="AE1153" s="57"/>
      <c r="AF1153" s="57"/>
      <c r="AG1153" s="57"/>
      <c r="AH1153" s="57"/>
      <c r="AI1153" s="57"/>
      <c r="AJ1153" s="57"/>
      <c r="AK1153" s="57"/>
      <c r="AL1153" s="57"/>
      <c r="AM1153" s="57"/>
      <c r="AN1153" s="57"/>
      <c r="AO1153" s="57"/>
      <c r="AP1153" s="35"/>
      <c r="AQ1153" s="57"/>
      <c r="AR1153" s="36"/>
      <c r="AS1153" s="57"/>
      <c r="AT1153" s="37"/>
      <c r="AU1153" s="30"/>
      <c r="AV1153" s="30"/>
      <c r="AW1153" s="30"/>
      <c r="AX1153" s="30"/>
      <c r="AY1153" s="30"/>
      <c r="AZ1153" s="30"/>
    </row>
    <row r="1154">
      <c r="A1154" s="30"/>
      <c r="B1154" s="30"/>
      <c r="C1154" s="30"/>
      <c r="D1154" s="31"/>
      <c r="E1154" s="31"/>
      <c r="F1154" s="31"/>
      <c r="G1154" s="31"/>
      <c r="H1154" s="31"/>
      <c r="I1154" s="54"/>
      <c r="J1154" s="55"/>
      <c r="K1154" s="54"/>
      <c r="L1154" s="56"/>
      <c r="M1154" s="56"/>
      <c r="N1154" s="31"/>
      <c r="O1154" s="57"/>
      <c r="P1154" s="57"/>
      <c r="Q1154" s="57"/>
      <c r="R1154" s="57"/>
      <c r="S1154" s="31"/>
      <c r="T1154" s="57"/>
      <c r="U1154" s="57"/>
      <c r="V1154" s="57"/>
      <c r="W1154" s="57"/>
      <c r="X1154" s="31"/>
      <c r="Y1154" s="57"/>
      <c r="Z1154" s="57"/>
      <c r="AA1154" s="57"/>
      <c r="AB1154" s="57"/>
      <c r="AC1154" s="31"/>
      <c r="AD1154" s="57"/>
      <c r="AE1154" s="57"/>
      <c r="AF1154" s="57"/>
      <c r="AG1154" s="57"/>
      <c r="AH1154" s="57"/>
      <c r="AI1154" s="57"/>
      <c r="AJ1154" s="57"/>
      <c r="AK1154" s="57"/>
      <c r="AL1154" s="57"/>
      <c r="AM1154" s="57"/>
      <c r="AN1154" s="57"/>
      <c r="AO1154" s="57"/>
      <c r="AP1154" s="35"/>
      <c r="AQ1154" s="57"/>
      <c r="AR1154" s="36"/>
      <c r="AS1154" s="57"/>
      <c r="AT1154" s="37"/>
      <c r="AU1154" s="30"/>
      <c r="AV1154" s="30"/>
      <c r="AW1154" s="30"/>
      <c r="AX1154" s="30"/>
      <c r="AY1154" s="30"/>
      <c r="AZ1154" s="30"/>
    </row>
    <row r="1155">
      <c r="A1155" s="30"/>
      <c r="B1155" s="30"/>
      <c r="C1155" s="30"/>
      <c r="D1155" s="31"/>
      <c r="E1155" s="31"/>
      <c r="F1155" s="31"/>
      <c r="G1155" s="31"/>
      <c r="H1155" s="31"/>
      <c r="I1155" s="54"/>
      <c r="J1155" s="55"/>
      <c r="K1155" s="54"/>
      <c r="L1155" s="56"/>
      <c r="M1155" s="56"/>
      <c r="N1155" s="31"/>
      <c r="O1155" s="57"/>
      <c r="P1155" s="57"/>
      <c r="Q1155" s="57"/>
      <c r="R1155" s="57"/>
      <c r="S1155" s="31"/>
      <c r="T1155" s="57"/>
      <c r="U1155" s="57"/>
      <c r="V1155" s="57"/>
      <c r="W1155" s="57"/>
      <c r="X1155" s="31"/>
      <c r="Y1155" s="57"/>
      <c r="Z1155" s="57"/>
      <c r="AA1155" s="57"/>
      <c r="AB1155" s="57"/>
      <c r="AC1155" s="31"/>
      <c r="AD1155" s="57"/>
      <c r="AE1155" s="57"/>
      <c r="AF1155" s="57"/>
      <c r="AG1155" s="57"/>
      <c r="AH1155" s="57"/>
      <c r="AI1155" s="57"/>
      <c r="AJ1155" s="57"/>
      <c r="AK1155" s="57"/>
      <c r="AL1155" s="57"/>
      <c r="AM1155" s="57"/>
      <c r="AN1155" s="57"/>
      <c r="AO1155" s="57"/>
      <c r="AP1155" s="35"/>
      <c r="AQ1155" s="57"/>
      <c r="AR1155" s="36"/>
      <c r="AS1155" s="57"/>
      <c r="AT1155" s="37"/>
      <c r="AU1155" s="30"/>
      <c r="AV1155" s="30"/>
      <c r="AW1155" s="30"/>
      <c r="AX1155" s="30"/>
      <c r="AY1155" s="30"/>
      <c r="AZ1155" s="30"/>
    </row>
    <row r="1156">
      <c r="A1156" s="30"/>
      <c r="B1156" s="30"/>
      <c r="C1156" s="30"/>
      <c r="D1156" s="31"/>
      <c r="E1156" s="31"/>
      <c r="F1156" s="31"/>
      <c r="G1156" s="31"/>
      <c r="H1156" s="31"/>
      <c r="I1156" s="54"/>
      <c r="J1156" s="55"/>
      <c r="K1156" s="54"/>
      <c r="L1156" s="56"/>
      <c r="M1156" s="56"/>
      <c r="N1156" s="31"/>
      <c r="O1156" s="57"/>
      <c r="P1156" s="57"/>
      <c r="Q1156" s="57"/>
      <c r="R1156" s="57"/>
      <c r="S1156" s="31"/>
      <c r="T1156" s="57"/>
      <c r="U1156" s="57"/>
      <c r="V1156" s="57"/>
      <c r="W1156" s="57"/>
      <c r="X1156" s="31"/>
      <c r="Y1156" s="57"/>
      <c r="Z1156" s="57"/>
      <c r="AA1156" s="57"/>
      <c r="AB1156" s="57"/>
      <c r="AC1156" s="31"/>
      <c r="AD1156" s="57"/>
      <c r="AE1156" s="57"/>
      <c r="AF1156" s="57"/>
      <c r="AG1156" s="57"/>
      <c r="AH1156" s="57"/>
      <c r="AI1156" s="57"/>
      <c r="AJ1156" s="57"/>
      <c r="AK1156" s="57"/>
      <c r="AL1156" s="57"/>
      <c r="AM1156" s="57"/>
      <c r="AN1156" s="57"/>
      <c r="AO1156" s="57"/>
      <c r="AP1156" s="35"/>
      <c r="AQ1156" s="57"/>
      <c r="AR1156" s="36"/>
      <c r="AS1156" s="57"/>
      <c r="AT1156" s="37"/>
      <c r="AU1156" s="30"/>
      <c r="AV1156" s="30"/>
      <c r="AW1156" s="30"/>
      <c r="AX1156" s="30"/>
      <c r="AY1156" s="30"/>
      <c r="AZ1156" s="30"/>
    </row>
    <row r="1157">
      <c r="A1157" s="30"/>
      <c r="B1157" s="30"/>
      <c r="C1157" s="30"/>
      <c r="D1157" s="31"/>
      <c r="E1157" s="31"/>
      <c r="F1157" s="31"/>
      <c r="G1157" s="31"/>
      <c r="H1157" s="31"/>
      <c r="I1157" s="54"/>
      <c r="J1157" s="55"/>
      <c r="K1157" s="54"/>
      <c r="L1157" s="56"/>
      <c r="M1157" s="56"/>
      <c r="N1157" s="31"/>
      <c r="O1157" s="57"/>
      <c r="P1157" s="57"/>
      <c r="Q1157" s="57"/>
      <c r="R1157" s="57"/>
      <c r="S1157" s="31"/>
      <c r="T1157" s="57"/>
      <c r="U1157" s="57"/>
      <c r="V1157" s="57"/>
      <c r="W1157" s="57"/>
      <c r="X1157" s="31"/>
      <c r="Y1157" s="57"/>
      <c r="Z1157" s="57"/>
      <c r="AA1157" s="57"/>
      <c r="AB1157" s="57"/>
      <c r="AC1157" s="31"/>
      <c r="AD1157" s="57"/>
      <c r="AE1157" s="57"/>
      <c r="AF1157" s="57"/>
      <c r="AG1157" s="57"/>
      <c r="AH1157" s="57"/>
      <c r="AI1157" s="57"/>
      <c r="AJ1157" s="57"/>
      <c r="AK1157" s="57"/>
      <c r="AL1157" s="57"/>
      <c r="AM1157" s="57"/>
      <c r="AN1157" s="57"/>
      <c r="AO1157" s="57"/>
      <c r="AP1157" s="35"/>
      <c r="AQ1157" s="57"/>
      <c r="AR1157" s="36"/>
      <c r="AS1157" s="57"/>
      <c r="AT1157" s="37"/>
      <c r="AU1157" s="30"/>
      <c r="AV1157" s="30"/>
      <c r="AW1157" s="30"/>
      <c r="AX1157" s="30"/>
      <c r="AY1157" s="30"/>
      <c r="AZ1157" s="30"/>
    </row>
    <row r="1158">
      <c r="A1158" s="30"/>
      <c r="B1158" s="30"/>
      <c r="C1158" s="30"/>
      <c r="D1158" s="31"/>
      <c r="E1158" s="31"/>
      <c r="F1158" s="31"/>
      <c r="G1158" s="31"/>
      <c r="H1158" s="31"/>
      <c r="I1158" s="54"/>
      <c r="J1158" s="55"/>
      <c r="K1158" s="54"/>
      <c r="L1158" s="56"/>
      <c r="M1158" s="56"/>
      <c r="N1158" s="31"/>
      <c r="O1158" s="57"/>
      <c r="P1158" s="57"/>
      <c r="Q1158" s="57"/>
      <c r="R1158" s="57"/>
      <c r="S1158" s="31"/>
      <c r="T1158" s="57"/>
      <c r="U1158" s="57"/>
      <c r="V1158" s="57"/>
      <c r="W1158" s="57"/>
      <c r="X1158" s="31"/>
      <c r="Y1158" s="57"/>
      <c r="Z1158" s="57"/>
      <c r="AA1158" s="57"/>
      <c r="AB1158" s="57"/>
      <c r="AC1158" s="31"/>
      <c r="AD1158" s="57"/>
      <c r="AE1158" s="57"/>
      <c r="AF1158" s="57"/>
      <c r="AG1158" s="57"/>
      <c r="AH1158" s="57"/>
      <c r="AI1158" s="57"/>
      <c r="AJ1158" s="57"/>
      <c r="AK1158" s="57"/>
      <c r="AL1158" s="57"/>
      <c r="AM1158" s="57"/>
      <c r="AN1158" s="57"/>
      <c r="AO1158" s="57"/>
      <c r="AP1158" s="35"/>
      <c r="AQ1158" s="57"/>
      <c r="AR1158" s="36"/>
      <c r="AS1158" s="57"/>
      <c r="AT1158" s="37"/>
      <c r="AU1158" s="30"/>
      <c r="AV1158" s="30"/>
      <c r="AW1158" s="30"/>
      <c r="AX1158" s="30"/>
      <c r="AY1158" s="30"/>
      <c r="AZ1158" s="30"/>
    </row>
    <row r="1159">
      <c r="A1159" s="30"/>
      <c r="B1159" s="30"/>
      <c r="C1159" s="30"/>
      <c r="D1159" s="31"/>
      <c r="E1159" s="31"/>
      <c r="F1159" s="31"/>
      <c r="G1159" s="31"/>
      <c r="H1159" s="31"/>
      <c r="I1159" s="54"/>
      <c r="J1159" s="55"/>
      <c r="K1159" s="54"/>
      <c r="L1159" s="56"/>
      <c r="M1159" s="56"/>
      <c r="N1159" s="31"/>
      <c r="O1159" s="57"/>
      <c r="P1159" s="57"/>
      <c r="Q1159" s="57"/>
      <c r="R1159" s="57"/>
      <c r="S1159" s="31"/>
      <c r="T1159" s="57"/>
      <c r="U1159" s="57"/>
      <c r="V1159" s="57"/>
      <c r="W1159" s="57"/>
      <c r="X1159" s="31"/>
      <c r="Y1159" s="57"/>
      <c r="Z1159" s="57"/>
      <c r="AA1159" s="57"/>
      <c r="AB1159" s="57"/>
      <c r="AC1159" s="31"/>
      <c r="AD1159" s="57"/>
      <c r="AE1159" s="57"/>
      <c r="AF1159" s="57"/>
      <c r="AG1159" s="57"/>
      <c r="AH1159" s="57"/>
      <c r="AI1159" s="57"/>
      <c r="AJ1159" s="57"/>
      <c r="AK1159" s="57"/>
      <c r="AL1159" s="57"/>
      <c r="AM1159" s="57"/>
      <c r="AN1159" s="57"/>
      <c r="AO1159" s="57"/>
      <c r="AP1159" s="35"/>
      <c r="AQ1159" s="57"/>
      <c r="AR1159" s="36"/>
      <c r="AS1159" s="57"/>
      <c r="AT1159" s="37"/>
      <c r="AU1159" s="30"/>
      <c r="AV1159" s="30"/>
      <c r="AW1159" s="30"/>
      <c r="AX1159" s="30"/>
      <c r="AY1159" s="30"/>
      <c r="AZ1159" s="30"/>
    </row>
    <row r="1160">
      <c r="A1160" s="30"/>
      <c r="B1160" s="30"/>
      <c r="C1160" s="30"/>
      <c r="D1160" s="31"/>
      <c r="E1160" s="31"/>
      <c r="F1160" s="31"/>
      <c r="G1160" s="31"/>
      <c r="H1160" s="31"/>
      <c r="I1160" s="54"/>
      <c r="J1160" s="55"/>
      <c r="K1160" s="54"/>
      <c r="L1160" s="56"/>
      <c r="M1160" s="56"/>
      <c r="N1160" s="31"/>
      <c r="O1160" s="57"/>
      <c r="P1160" s="57"/>
      <c r="Q1160" s="57"/>
      <c r="R1160" s="57"/>
      <c r="S1160" s="31"/>
      <c r="T1160" s="57"/>
      <c r="U1160" s="57"/>
      <c r="V1160" s="57"/>
      <c r="W1160" s="57"/>
      <c r="X1160" s="31"/>
      <c r="Y1160" s="57"/>
      <c r="Z1160" s="57"/>
      <c r="AA1160" s="57"/>
      <c r="AB1160" s="57"/>
      <c r="AC1160" s="31"/>
      <c r="AD1160" s="57"/>
      <c r="AE1160" s="57"/>
      <c r="AF1160" s="57"/>
      <c r="AG1160" s="57"/>
      <c r="AH1160" s="57"/>
      <c r="AI1160" s="57"/>
      <c r="AJ1160" s="57"/>
      <c r="AK1160" s="57"/>
      <c r="AL1160" s="57"/>
      <c r="AM1160" s="57"/>
      <c r="AN1160" s="57"/>
      <c r="AO1160" s="57"/>
      <c r="AP1160" s="35"/>
      <c r="AQ1160" s="57"/>
      <c r="AR1160" s="36"/>
      <c r="AS1160" s="57"/>
      <c r="AT1160" s="37"/>
      <c r="AU1160" s="30"/>
      <c r="AV1160" s="30"/>
      <c r="AW1160" s="30"/>
      <c r="AX1160" s="30"/>
      <c r="AY1160" s="30"/>
      <c r="AZ1160" s="30"/>
    </row>
    <row r="1161">
      <c r="A1161" s="30"/>
      <c r="B1161" s="30"/>
      <c r="C1161" s="30"/>
      <c r="D1161" s="31"/>
      <c r="E1161" s="31"/>
      <c r="F1161" s="31"/>
      <c r="G1161" s="31"/>
      <c r="H1161" s="31"/>
      <c r="I1161" s="54"/>
      <c r="J1161" s="55"/>
      <c r="K1161" s="54"/>
      <c r="L1161" s="56"/>
      <c r="M1161" s="56"/>
      <c r="N1161" s="31"/>
      <c r="O1161" s="57"/>
      <c r="P1161" s="57"/>
      <c r="Q1161" s="57"/>
      <c r="R1161" s="57"/>
      <c r="S1161" s="31"/>
      <c r="T1161" s="57"/>
      <c r="U1161" s="57"/>
      <c r="V1161" s="57"/>
      <c r="W1161" s="57"/>
      <c r="X1161" s="31"/>
      <c r="Y1161" s="57"/>
      <c r="Z1161" s="57"/>
      <c r="AA1161" s="57"/>
      <c r="AB1161" s="57"/>
      <c r="AC1161" s="31"/>
      <c r="AD1161" s="57"/>
      <c r="AE1161" s="57"/>
      <c r="AF1161" s="57"/>
      <c r="AG1161" s="57"/>
      <c r="AH1161" s="57"/>
      <c r="AI1161" s="57"/>
      <c r="AJ1161" s="57"/>
      <c r="AK1161" s="57"/>
      <c r="AL1161" s="57"/>
      <c r="AM1161" s="57"/>
      <c r="AN1161" s="57"/>
      <c r="AO1161" s="57"/>
      <c r="AP1161" s="35"/>
      <c r="AQ1161" s="57"/>
      <c r="AR1161" s="36"/>
      <c r="AS1161" s="57"/>
      <c r="AT1161" s="37"/>
      <c r="AU1161" s="30"/>
      <c r="AV1161" s="30"/>
      <c r="AW1161" s="30"/>
      <c r="AX1161" s="30"/>
      <c r="AY1161" s="30"/>
      <c r="AZ1161" s="30"/>
    </row>
    <row r="1162">
      <c r="A1162" s="30"/>
      <c r="B1162" s="30"/>
      <c r="C1162" s="30"/>
      <c r="D1162" s="31"/>
      <c r="E1162" s="31"/>
      <c r="F1162" s="31"/>
      <c r="G1162" s="31"/>
      <c r="H1162" s="31"/>
      <c r="I1162" s="54"/>
      <c r="J1162" s="55"/>
      <c r="K1162" s="54"/>
      <c r="L1162" s="56"/>
      <c r="M1162" s="56"/>
      <c r="N1162" s="31"/>
      <c r="O1162" s="57"/>
      <c r="P1162" s="57"/>
      <c r="Q1162" s="57"/>
      <c r="R1162" s="57"/>
      <c r="S1162" s="31"/>
      <c r="T1162" s="57"/>
      <c r="U1162" s="57"/>
      <c r="V1162" s="57"/>
      <c r="W1162" s="57"/>
      <c r="X1162" s="31"/>
      <c r="Y1162" s="57"/>
      <c r="Z1162" s="57"/>
      <c r="AA1162" s="57"/>
      <c r="AB1162" s="57"/>
      <c r="AC1162" s="31"/>
      <c r="AD1162" s="57"/>
      <c r="AE1162" s="57"/>
      <c r="AF1162" s="57"/>
      <c r="AG1162" s="57"/>
      <c r="AH1162" s="57"/>
      <c r="AI1162" s="57"/>
      <c r="AJ1162" s="57"/>
      <c r="AK1162" s="57"/>
      <c r="AL1162" s="57"/>
      <c r="AM1162" s="57"/>
      <c r="AN1162" s="57"/>
      <c r="AO1162" s="57"/>
      <c r="AP1162" s="35"/>
      <c r="AQ1162" s="57"/>
      <c r="AR1162" s="36"/>
      <c r="AS1162" s="57"/>
      <c r="AT1162" s="37"/>
      <c r="AU1162" s="30"/>
      <c r="AV1162" s="30"/>
      <c r="AW1162" s="30"/>
      <c r="AX1162" s="30"/>
      <c r="AY1162" s="30"/>
      <c r="AZ1162" s="30"/>
    </row>
    <row r="1163">
      <c r="A1163" s="30"/>
      <c r="B1163" s="30"/>
      <c r="C1163" s="30"/>
      <c r="D1163" s="31"/>
      <c r="E1163" s="31"/>
      <c r="F1163" s="31"/>
      <c r="G1163" s="31"/>
      <c r="H1163" s="31"/>
      <c r="I1163" s="54"/>
      <c r="J1163" s="55"/>
      <c r="K1163" s="54"/>
      <c r="L1163" s="56"/>
      <c r="M1163" s="56"/>
      <c r="N1163" s="31"/>
      <c r="O1163" s="57"/>
      <c r="P1163" s="57"/>
      <c r="Q1163" s="57"/>
      <c r="R1163" s="57"/>
      <c r="S1163" s="31"/>
      <c r="T1163" s="57"/>
      <c r="U1163" s="57"/>
      <c r="V1163" s="57"/>
      <c r="W1163" s="57"/>
      <c r="X1163" s="31"/>
      <c r="Y1163" s="57"/>
      <c r="Z1163" s="57"/>
      <c r="AA1163" s="57"/>
      <c r="AB1163" s="57"/>
      <c r="AC1163" s="31"/>
      <c r="AD1163" s="57"/>
      <c r="AE1163" s="57"/>
      <c r="AF1163" s="57"/>
      <c r="AG1163" s="57"/>
      <c r="AH1163" s="57"/>
      <c r="AI1163" s="57"/>
      <c r="AJ1163" s="57"/>
      <c r="AK1163" s="57"/>
      <c r="AL1163" s="57"/>
      <c r="AM1163" s="57"/>
      <c r="AN1163" s="57"/>
      <c r="AO1163" s="57"/>
      <c r="AP1163" s="35"/>
      <c r="AQ1163" s="57"/>
      <c r="AR1163" s="36"/>
      <c r="AS1163" s="57"/>
      <c r="AT1163" s="37"/>
      <c r="AU1163" s="30"/>
      <c r="AV1163" s="30"/>
      <c r="AW1163" s="30"/>
      <c r="AX1163" s="30"/>
      <c r="AY1163" s="30"/>
      <c r="AZ1163" s="30"/>
    </row>
    <row r="1164">
      <c r="A1164" s="30"/>
      <c r="B1164" s="30"/>
      <c r="C1164" s="30"/>
      <c r="D1164" s="31"/>
      <c r="E1164" s="31"/>
      <c r="F1164" s="31"/>
      <c r="G1164" s="31"/>
      <c r="H1164" s="31"/>
      <c r="I1164" s="54"/>
      <c r="J1164" s="55"/>
      <c r="K1164" s="54"/>
      <c r="L1164" s="56"/>
      <c r="M1164" s="56"/>
      <c r="N1164" s="31"/>
      <c r="O1164" s="57"/>
      <c r="P1164" s="57"/>
      <c r="Q1164" s="57"/>
      <c r="R1164" s="57"/>
      <c r="S1164" s="31"/>
      <c r="T1164" s="57"/>
      <c r="U1164" s="57"/>
      <c r="V1164" s="57"/>
      <c r="W1164" s="57"/>
      <c r="X1164" s="31"/>
      <c r="Y1164" s="57"/>
      <c r="Z1164" s="57"/>
      <c r="AA1164" s="57"/>
      <c r="AB1164" s="57"/>
      <c r="AC1164" s="31"/>
      <c r="AD1164" s="57"/>
      <c r="AE1164" s="57"/>
      <c r="AF1164" s="57"/>
      <c r="AG1164" s="57"/>
      <c r="AH1164" s="57"/>
      <c r="AI1164" s="57"/>
      <c r="AJ1164" s="57"/>
      <c r="AK1164" s="57"/>
      <c r="AL1164" s="57"/>
      <c r="AM1164" s="57"/>
      <c r="AN1164" s="57"/>
      <c r="AO1164" s="57"/>
      <c r="AP1164" s="35"/>
      <c r="AQ1164" s="57"/>
      <c r="AR1164" s="36"/>
      <c r="AS1164" s="57"/>
      <c r="AT1164" s="37"/>
      <c r="AU1164" s="30"/>
      <c r="AV1164" s="30"/>
      <c r="AW1164" s="30"/>
      <c r="AX1164" s="30"/>
      <c r="AY1164" s="30"/>
      <c r="AZ1164" s="30"/>
    </row>
    <row r="1165">
      <c r="A1165" s="30"/>
      <c r="B1165" s="30"/>
      <c r="C1165" s="30"/>
      <c r="D1165" s="31"/>
      <c r="E1165" s="31"/>
      <c r="F1165" s="31"/>
      <c r="G1165" s="31"/>
      <c r="H1165" s="31"/>
      <c r="I1165" s="54"/>
      <c r="J1165" s="55"/>
      <c r="K1165" s="54"/>
      <c r="L1165" s="56"/>
      <c r="M1165" s="56"/>
      <c r="N1165" s="31"/>
      <c r="O1165" s="57"/>
      <c r="P1165" s="57"/>
      <c r="Q1165" s="57"/>
      <c r="R1165" s="57"/>
      <c r="S1165" s="31"/>
      <c r="T1165" s="57"/>
      <c r="U1165" s="57"/>
      <c r="V1165" s="57"/>
      <c r="W1165" s="57"/>
      <c r="X1165" s="31"/>
      <c r="Y1165" s="57"/>
      <c r="Z1165" s="57"/>
      <c r="AA1165" s="57"/>
      <c r="AB1165" s="57"/>
      <c r="AC1165" s="31"/>
      <c r="AD1165" s="57"/>
      <c r="AE1165" s="57"/>
      <c r="AF1165" s="57"/>
      <c r="AG1165" s="57"/>
      <c r="AH1165" s="57"/>
      <c r="AI1165" s="57"/>
      <c r="AJ1165" s="57"/>
      <c r="AK1165" s="57"/>
      <c r="AL1165" s="57"/>
      <c r="AM1165" s="57"/>
      <c r="AN1165" s="57"/>
      <c r="AO1165" s="57"/>
      <c r="AP1165" s="35"/>
      <c r="AQ1165" s="57"/>
      <c r="AR1165" s="36"/>
      <c r="AS1165" s="57"/>
      <c r="AT1165" s="37"/>
      <c r="AU1165" s="30"/>
      <c r="AV1165" s="30"/>
      <c r="AW1165" s="30"/>
      <c r="AX1165" s="30"/>
      <c r="AY1165" s="30"/>
      <c r="AZ1165" s="30"/>
    </row>
    <row r="1166">
      <c r="A1166" s="30"/>
      <c r="B1166" s="30"/>
      <c r="C1166" s="30"/>
      <c r="D1166" s="31"/>
      <c r="E1166" s="31"/>
      <c r="F1166" s="31"/>
      <c r="G1166" s="31"/>
      <c r="H1166" s="31"/>
      <c r="I1166" s="54"/>
      <c r="J1166" s="55"/>
      <c r="K1166" s="54"/>
      <c r="L1166" s="56"/>
      <c r="M1166" s="56"/>
      <c r="N1166" s="31"/>
      <c r="O1166" s="57"/>
      <c r="P1166" s="57"/>
      <c r="Q1166" s="57"/>
      <c r="R1166" s="57"/>
      <c r="S1166" s="31"/>
      <c r="T1166" s="57"/>
      <c r="U1166" s="57"/>
      <c r="V1166" s="57"/>
      <c r="W1166" s="57"/>
      <c r="X1166" s="31"/>
      <c r="Y1166" s="57"/>
      <c r="Z1166" s="57"/>
      <c r="AA1166" s="57"/>
      <c r="AB1166" s="57"/>
      <c r="AC1166" s="31"/>
      <c r="AD1166" s="57"/>
      <c r="AE1166" s="57"/>
      <c r="AF1166" s="57"/>
      <c r="AG1166" s="57"/>
      <c r="AH1166" s="57"/>
      <c r="AI1166" s="57"/>
      <c r="AJ1166" s="57"/>
      <c r="AK1166" s="57"/>
      <c r="AL1166" s="57"/>
      <c r="AM1166" s="57"/>
      <c r="AN1166" s="57"/>
      <c r="AO1166" s="57"/>
      <c r="AP1166" s="35"/>
      <c r="AQ1166" s="57"/>
      <c r="AR1166" s="36"/>
      <c r="AS1166" s="57"/>
      <c r="AT1166" s="37"/>
      <c r="AU1166" s="30"/>
      <c r="AV1166" s="30"/>
      <c r="AW1166" s="30"/>
      <c r="AX1166" s="30"/>
      <c r="AY1166" s="30"/>
      <c r="AZ1166" s="30"/>
    </row>
    <row r="1167">
      <c r="A1167" s="30"/>
      <c r="B1167" s="30"/>
      <c r="C1167" s="30"/>
      <c r="D1167" s="31"/>
      <c r="E1167" s="31"/>
      <c r="F1167" s="31"/>
      <c r="G1167" s="31"/>
      <c r="H1167" s="31"/>
      <c r="I1167" s="54"/>
      <c r="J1167" s="55"/>
      <c r="K1167" s="54"/>
      <c r="L1167" s="56"/>
      <c r="M1167" s="56"/>
      <c r="N1167" s="31"/>
      <c r="O1167" s="57"/>
      <c r="P1167" s="57"/>
      <c r="Q1167" s="57"/>
      <c r="R1167" s="57"/>
      <c r="S1167" s="31"/>
      <c r="T1167" s="57"/>
      <c r="U1167" s="57"/>
      <c r="V1167" s="57"/>
      <c r="W1167" s="57"/>
      <c r="X1167" s="31"/>
      <c r="Y1167" s="57"/>
      <c r="Z1167" s="57"/>
      <c r="AA1167" s="57"/>
      <c r="AB1167" s="57"/>
      <c r="AC1167" s="31"/>
      <c r="AD1167" s="57"/>
      <c r="AE1167" s="57"/>
      <c r="AF1167" s="57"/>
      <c r="AG1167" s="57"/>
      <c r="AH1167" s="57"/>
      <c r="AI1167" s="57"/>
      <c r="AJ1167" s="57"/>
      <c r="AK1167" s="57"/>
      <c r="AL1167" s="57"/>
      <c r="AM1167" s="57"/>
      <c r="AN1167" s="57"/>
      <c r="AO1167" s="57"/>
      <c r="AP1167" s="35"/>
      <c r="AQ1167" s="57"/>
      <c r="AR1167" s="36"/>
      <c r="AS1167" s="57"/>
      <c r="AT1167" s="37"/>
      <c r="AU1167" s="30"/>
      <c r="AV1167" s="30"/>
      <c r="AW1167" s="30"/>
      <c r="AX1167" s="30"/>
      <c r="AY1167" s="30"/>
      <c r="AZ1167" s="30"/>
    </row>
    <row r="1168">
      <c r="A1168" s="30"/>
      <c r="B1168" s="30"/>
      <c r="C1168" s="30"/>
      <c r="D1168" s="31"/>
      <c r="E1168" s="31"/>
      <c r="F1168" s="31"/>
      <c r="G1168" s="31"/>
      <c r="H1168" s="31"/>
      <c r="I1168" s="54"/>
      <c r="J1168" s="55"/>
      <c r="K1168" s="54"/>
      <c r="L1168" s="56"/>
      <c r="M1168" s="56"/>
      <c r="N1168" s="31"/>
      <c r="O1168" s="57"/>
      <c r="P1168" s="57"/>
      <c r="Q1168" s="57"/>
      <c r="R1168" s="57"/>
      <c r="S1168" s="31"/>
      <c r="T1168" s="57"/>
      <c r="U1168" s="57"/>
      <c r="V1168" s="57"/>
      <c r="W1168" s="57"/>
      <c r="X1168" s="31"/>
      <c r="Y1168" s="57"/>
      <c r="Z1168" s="57"/>
      <c r="AA1168" s="57"/>
      <c r="AB1168" s="57"/>
      <c r="AC1168" s="31"/>
      <c r="AD1168" s="57"/>
      <c r="AE1168" s="57"/>
      <c r="AF1168" s="57"/>
      <c r="AG1168" s="57"/>
      <c r="AH1168" s="57"/>
      <c r="AI1168" s="57"/>
      <c r="AJ1168" s="57"/>
      <c r="AK1168" s="57"/>
      <c r="AL1168" s="57"/>
      <c r="AM1168" s="57"/>
      <c r="AN1168" s="57"/>
      <c r="AO1168" s="57"/>
      <c r="AP1168" s="35"/>
      <c r="AQ1168" s="57"/>
      <c r="AR1168" s="36"/>
      <c r="AS1168" s="57"/>
      <c r="AT1168" s="37"/>
      <c r="AU1168" s="30"/>
      <c r="AV1168" s="30"/>
      <c r="AW1168" s="30"/>
      <c r="AX1168" s="30"/>
      <c r="AY1168" s="30"/>
      <c r="AZ1168" s="30"/>
    </row>
    <row r="1169">
      <c r="A1169" s="30"/>
      <c r="B1169" s="30"/>
      <c r="C1169" s="30"/>
      <c r="D1169" s="31"/>
      <c r="E1169" s="31"/>
      <c r="F1169" s="31"/>
      <c r="G1169" s="31"/>
      <c r="H1169" s="31"/>
      <c r="I1169" s="54"/>
      <c r="J1169" s="55"/>
      <c r="K1169" s="54"/>
      <c r="L1169" s="56"/>
      <c r="M1169" s="56"/>
      <c r="N1169" s="31"/>
      <c r="O1169" s="57"/>
      <c r="P1169" s="57"/>
      <c r="Q1169" s="57"/>
      <c r="R1169" s="57"/>
      <c r="S1169" s="31"/>
      <c r="T1169" s="57"/>
      <c r="U1169" s="57"/>
      <c r="V1169" s="57"/>
      <c r="W1169" s="57"/>
      <c r="X1169" s="31"/>
      <c r="Y1169" s="57"/>
      <c r="Z1169" s="57"/>
      <c r="AA1169" s="57"/>
      <c r="AB1169" s="57"/>
      <c r="AC1169" s="31"/>
      <c r="AD1169" s="57"/>
      <c r="AE1169" s="57"/>
      <c r="AF1169" s="57"/>
      <c r="AG1169" s="57"/>
      <c r="AH1169" s="57"/>
      <c r="AI1169" s="57"/>
      <c r="AJ1169" s="57"/>
      <c r="AK1169" s="57"/>
      <c r="AL1169" s="57"/>
      <c r="AM1169" s="57"/>
      <c r="AN1169" s="57"/>
      <c r="AO1169" s="57"/>
      <c r="AP1169" s="35"/>
      <c r="AQ1169" s="57"/>
      <c r="AR1169" s="36"/>
      <c r="AS1169" s="57"/>
      <c r="AT1169" s="37"/>
      <c r="AU1169" s="30"/>
      <c r="AV1169" s="30"/>
      <c r="AW1169" s="30"/>
      <c r="AX1169" s="30"/>
      <c r="AY1169" s="30"/>
      <c r="AZ1169" s="30"/>
    </row>
    <row r="1170">
      <c r="A1170" s="30"/>
      <c r="B1170" s="30"/>
      <c r="C1170" s="30"/>
      <c r="D1170" s="31"/>
      <c r="E1170" s="31"/>
      <c r="F1170" s="31"/>
      <c r="G1170" s="31"/>
      <c r="H1170" s="31"/>
      <c r="I1170" s="54"/>
      <c r="J1170" s="55"/>
      <c r="K1170" s="54"/>
      <c r="L1170" s="56"/>
      <c r="M1170" s="56"/>
      <c r="N1170" s="31"/>
      <c r="O1170" s="57"/>
      <c r="P1170" s="57"/>
      <c r="Q1170" s="57"/>
      <c r="R1170" s="57"/>
      <c r="S1170" s="31"/>
      <c r="T1170" s="57"/>
      <c r="U1170" s="57"/>
      <c r="V1170" s="57"/>
      <c r="W1170" s="57"/>
      <c r="X1170" s="31"/>
      <c r="Y1170" s="57"/>
      <c r="Z1170" s="57"/>
      <c r="AA1170" s="57"/>
      <c r="AB1170" s="57"/>
      <c r="AC1170" s="31"/>
      <c r="AD1170" s="57"/>
      <c r="AE1170" s="57"/>
      <c r="AF1170" s="57"/>
      <c r="AG1170" s="57"/>
      <c r="AH1170" s="57"/>
      <c r="AI1170" s="57"/>
      <c r="AJ1170" s="57"/>
      <c r="AK1170" s="57"/>
      <c r="AL1170" s="57"/>
      <c r="AM1170" s="57"/>
      <c r="AN1170" s="57"/>
      <c r="AO1170" s="57"/>
      <c r="AP1170" s="35"/>
      <c r="AQ1170" s="57"/>
      <c r="AR1170" s="36"/>
      <c r="AS1170" s="57"/>
      <c r="AT1170" s="37"/>
      <c r="AU1170" s="30"/>
      <c r="AV1170" s="30"/>
      <c r="AW1170" s="30"/>
      <c r="AX1170" s="30"/>
      <c r="AY1170" s="30"/>
      <c r="AZ1170" s="30"/>
    </row>
    <row r="1171">
      <c r="A1171" s="30"/>
      <c r="B1171" s="30"/>
      <c r="C1171" s="30"/>
      <c r="D1171" s="31"/>
      <c r="E1171" s="31"/>
      <c r="F1171" s="31"/>
      <c r="G1171" s="31"/>
      <c r="H1171" s="31"/>
      <c r="I1171" s="54"/>
      <c r="J1171" s="55"/>
      <c r="K1171" s="54"/>
      <c r="L1171" s="56"/>
      <c r="M1171" s="56"/>
      <c r="N1171" s="31"/>
      <c r="O1171" s="57"/>
      <c r="P1171" s="57"/>
      <c r="Q1171" s="57"/>
      <c r="R1171" s="57"/>
      <c r="S1171" s="31"/>
      <c r="T1171" s="57"/>
      <c r="U1171" s="57"/>
      <c r="V1171" s="57"/>
      <c r="W1171" s="57"/>
      <c r="X1171" s="31"/>
      <c r="Y1171" s="57"/>
      <c r="Z1171" s="57"/>
      <c r="AA1171" s="57"/>
      <c r="AB1171" s="57"/>
      <c r="AC1171" s="31"/>
      <c r="AD1171" s="57"/>
      <c r="AE1171" s="57"/>
      <c r="AF1171" s="57"/>
      <c r="AG1171" s="57"/>
      <c r="AH1171" s="57"/>
      <c r="AI1171" s="57"/>
      <c r="AJ1171" s="57"/>
      <c r="AK1171" s="57"/>
      <c r="AL1171" s="57"/>
      <c r="AM1171" s="57"/>
      <c r="AN1171" s="57"/>
      <c r="AO1171" s="57"/>
      <c r="AP1171" s="35"/>
      <c r="AQ1171" s="57"/>
      <c r="AR1171" s="36"/>
      <c r="AS1171" s="57"/>
      <c r="AT1171" s="37"/>
      <c r="AU1171" s="30"/>
      <c r="AV1171" s="30"/>
      <c r="AW1171" s="30"/>
      <c r="AX1171" s="30"/>
      <c r="AY1171" s="30"/>
      <c r="AZ1171" s="30"/>
    </row>
    <row r="1172">
      <c r="A1172" s="30"/>
      <c r="B1172" s="30"/>
      <c r="C1172" s="30"/>
      <c r="D1172" s="31"/>
      <c r="E1172" s="31"/>
      <c r="F1172" s="31"/>
      <c r="G1172" s="31"/>
      <c r="H1172" s="31"/>
      <c r="I1172" s="54"/>
      <c r="J1172" s="55"/>
      <c r="K1172" s="54"/>
      <c r="L1172" s="56"/>
      <c r="M1172" s="56"/>
      <c r="N1172" s="31"/>
      <c r="O1172" s="57"/>
      <c r="P1172" s="57"/>
      <c r="Q1172" s="57"/>
      <c r="R1172" s="57"/>
      <c r="S1172" s="31"/>
      <c r="T1172" s="57"/>
      <c r="U1172" s="57"/>
      <c r="V1172" s="57"/>
      <c r="W1172" s="57"/>
      <c r="X1172" s="31"/>
      <c r="Y1172" s="57"/>
      <c r="Z1172" s="57"/>
      <c r="AA1172" s="57"/>
      <c r="AB1172" s="57"/>
      <c r="AC1172" s="31"/>
      <c r="AD1172" s="57"/>
      <c r="AE1172" s="57"/>
      <c r="AF1172" s="57"/>
      <c r="AG1172" s="57"/>
      <c r="AH1172" s="57"/>
      <c r="AI1172" s="57"/>
      <c r="AJ1172" s="57"/>
      <c r="AK1172" s="57"/>
      <c r="AL1172" s="57"/>
      <c r="AM1172" s="57"/>
      <c r="AN1172" s="57"/>
      <c r="AO1172" s="57"/>
      <c r="AP1172" s="35"/>
      <c r="AQ1172" s="57"/>
      <c r="AR1172" s="36"/>
      <c r="AS1172" s="57"/>
      <c r="AT1172" s="37"/>
      <c r="AU1172" s="30"/>
      <c r="AV1172" s="30"/>
      <c r="AW1172" s="30"/>
      <c r="AX1172" s="30"/>
      <c r="AY1172" s="30"/>
      <c r="AZ1172" s="30"/>
    </row>
    <row r="1173">
      <c r="A1173" s="30"/>
      <c r="B1173" s="30"/>
      <c r="C1173" s="30"/>
      <c r="D1173" s="31"/>
      <c r="E1173" s="31"/>
      <c r="F1173" s="31"/>
      <c r="G1173" s="31"/>
      <c r="H1173" s="31"/>
      <c r="I1173" s="54"/>
      <c r="J1173" s="55"/>
      <c r="K1173" s="54"/>
      <c r="L1173" s="56"/>
      <c r="M1173" s="56"/>
      <c r="N1173" s="31"/>
      <c r="O1173" s="57"/>
      <c r="P1173" s="57"/>
      <c r="Q1173" s="57"/>
      <c r="R1173" s="57"/>
      <c r="S1173" s="31"/>
      <c r="T1173" s="57"/>
      <c r="U1173" s="57"/>
      <c r="V1173" s="57"/>
      <c r="W1173" s="57"/>
      <c r="X1173" s="31"/>
      <c r="Y1173" s="57"/>
      <c r="Z1173" s="57"/>
      <c r="AA1173" s="57"/>
      <c r="AB1173" s="57"/>
      <c r="AC1173" s="31"/>
      <c r="AD1173" s="57"/>
      <c r="AE1173" s="57"/>
      <c r="AF1173" s="57"/>
      <c r="AG1173" s="57"/>
      <c r="AH1173" s="57"/>
      <c r="AI1173" s="57"/>
      <c r="AJ1173" s="57"/>
      <c r="AK1173" s="57"/>
      <c r="AL1173" s="57"/>
      <c r="AM1173" s="57"/>
      <c r="AN1173" s="57"/>
      <c r="AO1173" s="57"/>
      <c r="AP1173" s="35"/>
      <c r="AQ1173" s="57"/>
      <c r="AR1173" s="36"/>
      <c r="AS1173" s="57"/>
      <c r="AT1173" s="37"/>
      <c r="AU1173" s="30"/>
      <c r="AV1173" s="30"/>
      <c r="AW1173" s="30"/>
      <c r="AX1173" s="30"/>
      <c r="AY1173" s="30"/>
      <c r="AZ1173" s="30"/>
    </row>
    <row r="1174">
      <c r="A1174" s="30"/>
      <c r="B1174" s="30"/>
      <c r="C1174" s="30"/>
      <c r="D1174" s="31"/>
      <c r="E1174" s="31"/>
      <c r="F1174" s="31"/>
      <c r="G1174" s="31"/>
      <c r="H1174" s="31"/>
      <c r="I1174" s="54"/>
      <c r="J1174" s="55"/>
      <c r="K1174" s="54"/>
      <c r="L1174" s="56"/>
      <c r="M1174" s="56"/>
      <c r="N1174" s="31"/>
      <c r="O1174" s="57"/>
      <c r="P1174" s="57"/>
      <c r="Q1174" s="57"/>
      <c r="R1174" s="57"/>
      <c r="S1174" s="31"/>
      <c r="T1174" s="57"/>
      <c r="U1174" s="57"/>
      <c r="V1174" s="57"/>
      <c r="W1174" s="57"/>
      <c r="X1174" s="31"/>
      <c r="Y1174" s="57"/>
      <c r="Z1174" s="57"/>
      <c r="AA1174" s="57"/>
      <c r="AB1174" s="57"/>
      <c r="AC1174" s="31"/>
      <c r="AD1174" s="57"/>
      <c r="AE1174" s="57"/>
      <c r="AF1174" s="57"/>
      <c r="AG1174" s="57"/>
      <c r="AH1174" s="57"/>
      <c r="AI1174" s="57"/>
      <c r="AJ1174" s="57"/>
      <c r="AK1174" s="57"/>
      <c r="AL1174" s="57"/>
      <c r="AM1174" s="57"/>
      <c r="AN1174" s="57"/>
      <c r="AO1174" s="57"/>
      <c r="AP1174" s="35"/>
      <c r="AQ1174" s="57"/>
      <c r="AR1174" s="36"/>
      <c r="AS1174" s="57"/>
      <c r="AT1174" s="37"/>
      <c r="AU1174" s="30"/>
      <c r="AV1174" s="30"/>
      <c r="AW1174" s="30"/>
      <c r="AX1174" s="30"/>
      <c r="AY1174" s="30"/>
      <c r="AZ1174" s="30"/>
    </row>
    <row r="1175">
      <c r="A1175" s="30"/>
      <c r="B1175" s="30"/>
      <c r="C1175" s="30"/>
      <c r="D1175" s="31"/>
      <c r="E1175" s="31"/>
      <c r="F1175" s="31"/>
      <c r="G1175" s="31"/>
      <c r="H1175" s="31"/>
      <c r="I1175" s="54"/>
      <c r="J1175" s="55"/>
      <c r="K1175" s="54"/>
      <c r="L1175" s="56"/>
      <c r="M1175" s="56"/>
      <c r="N1175" s="31"/>
      <c r="O1175" s="57"/>
      <c r="P1175" s="57"/>
      <c r="Q1175" s="57"/>
      <c r="R1175" s="57"/>
      <c r="S1175" s="31"/>
      <c r="T1175" s="57"/>
      <c r="U1175" s="57"/>
      <c r="V1175" s="57"/>
      <c r="W1175" s="57"/>
      <c r="X1175" s="31"/>
      <c r="Y1175" s="57"/>
      <c r="Z1175" s="57"/>
      <c r="AA1175" s="57"/>
      <c r="AB1175" s="57"/>
      <c r="AC1175" s="31"/>
      <c r="AD1175" s="57"/>
      <c r="AE1175" s="57"/>
      <c r="AF1175" s="57"/>
      <c r="AG1175" s="57"/>
      <c r="AH1175" s="57"/>
      <c r="AI1175" s="57"/>
      <c r="AJ1175" s="57"/>
      <c r="AK1175" s="57"/>
      <c r="AL1175" s="57"/>
      <c r="AM1175" s="57"/>
      <c r="AN1175" s="57"/>
      <c r="AO1175" s="57"/>
      <c r="AP1175" s="35"/>
      <c r="AQ1175" s="57"/>
      <c r="AR1175" s="36"/>
      <c r="AS1175" s="57"/>
      <c r="AT1175" s="37"/>
      <c r="AU1175" s="30"/>
      <c r="AV1175" s="30"/>
      <c r="AW1175" s="30"/>
      <c r="AX1175" s="30"/>
      <c r="AY1175" s="30"/>
      <c r="AZ1175" s="30"/>
    </row>
    <row r="1176">
      <c r="A1176" s="30"/>
      <c r="B1176" s="30"/>
      <c r="C1176" s="30"/>
      <c r="D1176" s="31"/>
      <c r="E1176" s="31"/>
      <c r="F1176" s="31"/>
      <c r="G1176" s="31"/>
      <c r="H1176" s="31"/>
      <c r="I1176" s="54"/>
      <c r="J1176" s="55"/>
      <c r="K1176" s="54"/>
      <c r="L1176" s="56"/>
      <c r="M1176" s="56"/>
      <c r="N1176" s="31"/>
      <c r="O1176" s="57"/>
      <c r="P1176" s="57"/>
      <c r="Q1176" s="57"/>
      <c r="R1176" s="57"/>
      <c r="S1176" s="31"/>
      <c r="T1176" s="57"/>
      <c r="U1176" s="57"/>
      <c r="V1176" s="57"/>
      <c r="W1176" s="57"/>
      <c r="X1176" s="31"/>
      <c r="Y1176" s="57"/>
      <c r="Z1176" s="57"/>
      <c r="AA1176" s="57"/>
      <c r="AB1176" s="57"/>
      <c r="AC1176" s="31"/>
      <c r="AD1176" s="57"/>
      <c r="AE1176" s="57"/>
      <c r="AF1176" s="57"/>
      <c r="AG1176" s="57"/>
      <c r="AH1176" s="57"/>
      <c r="AI1176" s="57"/>
      <c r="AJ1176" s="57"/>
      <c r="AK1176" s="57"/>
      <c r="AL1176" s="57"/>
      <c r="AM1176" s="57"/>
      <c r="AN1176" s="57"/>
      <c r="AO1176" s="57"/>
      <c r="AP1176" s="35"/>
      <c r="AQ1176" s="57"/>
      <c r="AR1176" s="36"/>
      <c r="AS1176" s="57"/>
      <c r="AT1176" s="37"/>
      <c r="AU1176" s="30"/>
      <c r="AV1176" s="30"/>
      <c r="AW1176" s="30"/>
      <c r="AX1176" s="30"/>
      <c r="AY1176" s="30"/>
      <c r="AZ1176" s="30"/>
    </row>
    <row r="1177">
      <c r="A1177" s="30"/>
      <c r="B1177" s="30"/>
      <c r="C1177" s="30"/>
      <c r="D1177" s="31"/>
      <c r="E1177" s="31"/>
      <c r="F1177" s="31"/>
      <c r="G1177" s="31"/>
      <c r="H1177" s="31"/>
      <c r="I1177" s="54"/>
      <c r="J1177" s="55"/>
      <c r="K1177" s="54"/>
      <c r="L1177" s="56"/>
      <c r="M1177" s="56"/>
      <c r="N1177" s="31"/>
      <c r="O1177" s="57"/>
      <c r="P1177" s="57"/>
      <c r="Q1177" s="57"/>
      <c r="R1177" s="57"/>
      <c r="S1177" s="31"/>
      <c r="T1177" s="57"/>
      <c r="U1177" s="57"/>
      <c r="V1177" s="57"/>
      <c r="W1177" s="57"/>
      <c r="X1177" s="31"/>
      <c r="Y1177" s="57"/>
      <c r="Z1177" s="57"/>
      <c r="AA1177" s="57"/>
      <c r="AB1177" s="57"/>
      <c r="AC1177" s="31"/>
      <c r="AD1177" s="57"/>
      <c r="AE1177" s="57"/>
      <c r="AF1177" s="57"/>
      <c r="AG1177" s="57"/>
      <c r="AH1177" s="57"/>
      <c r="AI1177" s="57"/>
      <c r="AJ1177" s="57"/>
      <c r="AK1177" s="57"/>
      <c r="AL1177" s="57"/>
      <c r="AM1177" s="57"/>
      <c r="AN1177" s="57"/>
      <c r="AO1177" s="57"/>
      <c r="AP1177" s="35"/>
      <c r="AQ1177" s="57"/>
      <c r="AR1177" s="36"/>
      <c r="AS1177" s="57"/>
      <c r="AT1177" s="37"/>
      <c r="AU1177" s="30"/>
      <c r="AV1177" s="30"/>
      <c r="AW1177" s="30"/>
      <c r="AX1177" s="30"/>
      <c r="AY1177" s="30"/>
      <c r="AZ1177" s="30"/>
    </row>
    <row r="1178">
      <c r="A1178" s="30"/>
      <c r="B1178" s="30"/>
      <c r="C1178" s="30"/>
      <c r="D1178" s="31"/>
      <c r="E1178" s="31"/>
      <c r="F1178" s="31"/>
      <c r="G1178" s="31"/>
      <c r="H1178" s="31"/>
      <c r="I1178" s="54"/>
      <c r="J1178" s="55"/>
      <c r="K1178" s="54"/>
      <c r="L1178" s="56"/>
      <c r="M1178" s="56"/>
      <c r="N1178" s="31"/>
      <c r="O1178" s="57"/>
      <c r="P1178" s="57"/>
      <c r="Q1178" s="57"/>
      <c r="R1178" s="57"/>
      <c r="S1178" s="31"/>
      <c r="T1178" s="57"/>
      <c r="U1178" s="57"/>
      <c r="V1178" s="57"/>
      <c r="W1178" s="57"/>
      <c r="X1178" s="31"/>
      <c r="Y1178" s="57"/>
      <c r="Z1178" s="57"/>
      <c r="AA1178" s="57"/>
      <c r="AB1178" s="57"/>
      <c r="AC1178" s="31"/>
      <c r="AD1178" s="57"/>
      <c r="AE1178" s="57"/>
      <c r="AF1178" s="57"/>
      <c r="AG1178" s="57"/>
      <c r="AH1178" s="57"/>
      <c r="AI1178" s="57"/>
      <c r="AJ1178" s="57"/>
      <c r="AK1178" s="57"/>
      <c r="AL1178" s="57"/>
      <c r="AM1178" s="57"/>
      <c r="AN1178" s="57"/>
      <c r="AO1178" s="57"/>
      <c r="AP1178" s="35"/>
      <c r="AQ1178" s="57"/>
      <c r="AR1178" s="36"/>
      <c r="AS1178" s="57"/>
      <c r="AT1178" s="37"/>
      <c r="AU1178" s="30"/>
      <c r="AV1178" s="30"/>
      <c r="AW1178" s="30"/>
      <c r="AX1178" s="30"/>
      <c r="AY1178" s="30"/>
      <c r="AZ1178" s="30"/>
    </row>
    <row r="1179">
      <c r="A1179" s="30"/>
      <c r="B1179" s="30"/>
      <c r="C1179" s="30"/>
      <c r="D1179" s="31"/>
      <c r="E1179" s="31"/>
      <c r="F1179" s="31"/>
      <c r="G1179" s="31"/>
      <c r="H1179" s="31"/>
      <c r="I1179" s="54"/>
      <c r="J1179" s="55"/>
      <c r="K1179" s="54"/>
      <c r="L1179" s="56"/>
      <c r="M1179" s="56"/>
      <c r="N1179" s="31"/>
      <c r="O1179" s="57"/>
      <c r="P1179" s="57"/>
      <c r="Q1179" s="57"/>
      <c r="R1179" s="57"/>
      <c r="S1179" s="31"/>
      <c r="T1179" s="57"/>
      <c r="U1179" s="57"/>
      <c r="V1179" s="57"/>
      <c r="W1179" s="57"/>
      <c r="X1179" s="31"/>
      <c r="Y1179" s="57"/>
      <c r="Z1179" s="57"/>
      <c r="AA1179" s="57"/>
      <c r="AB1179" s="57"/>
      <c r="AC1179" s="31"/>
      <c r="AD1179" s="57"/>
      <c r="AE1179" s="57"/>
      <c r="AF1179" s="57"/>
      <c r="AG1179" s="57"/>
      <c r="AH1179" s="57"/>
      <c r="AI1179" s="57"/>
      <c r="AJ1179" s="57"/>
      <c r="AK1179" s="57"/>
      <c r="AL1179" s="57"/>
      <c r="AM1179" s="57"/>
      <c r="AN1179" s="57"/>
      <c r="AO1179" s="57"/>
      <c r="AP1179" s="35"/>
      <c r="AQ1179" s="57"/>
      <c r="AR1179" s="36"/>
      <c r="AS1179" s="57"/>
      <c r="AT1179" s="37"/>
      <c r="AU1179" s="30"/>
      <c r="AV1179" s="30"/>
      <c r="AW1179" s="30"/>
      <c r="AX1179" s="30"/>
      <c r="AY1179" s="30"/>
      <c r="AZ1179" s="30"/>
    </row>
    <row r="1180">
      <c r="A1180" s="30"/>
      <c r="B1180" s="30"/>
      <c r="C1180" s="30"/>
      <c r="D1180" s="31"/>
      <c r="E1180" s="31"/>
      <c r="F1180" s="31"/>
      <c r="G1180" s="31"/>
      <c r="H1180" s="31"/>
      <c r="I1180" s="54"/>
      <c r="J1180" s="55"/>
      <c r="K1180" s="54"/>
      <c r="L1180" s="56"/>
      <c r="M1180" s="56"/>
      <c r="N1180" s="31"/>
      <c r="O1180" s="57"/>
      <c r="P1180" s="57"/>
      <c r="Q1180" s="57"/>
      <c r="R1180" s="57"/>
      <c r="S1180" s="31"/>
      <c r="T1180" s="57"/>
      <c r="U1180" s="57"/>
      <c r="V1180" s="57"/>
      <c r="W1180" s="57"/>
      <c r="X1180" s="31"/>
      <c r="Y1180" s="57"/>
      <c r="Z1180" s="57"/>
      <c r="AA1180" s="57"/>
      <c r="AB1180" s="57"/>
      <c r="AC1180" s="31"/>
      <c r="AD1180" s="57"/>
      <c r="AE1180" s="57"/>
      <c r="AF1180" s="57"/>
      <c r="AG1180" s="57"/>
      <c r="AH1180" s="57"/>
      <c r="AI1180" s="57"/>
      <c r="AJ1180" s="57"/>
      <c r="AK1180" s="57"/>
      <c r="AL1180" s="57"/>
      <c r="AM1180" s="57"/>
      <c r="AN1180" s="57"/>
      <c r="AO1180" s="57"/>
      <c r="AP1180" s="35"/>
      <c r="AQ1180" s="57"/>
      <c r="AR1180" s="36"/>
      <c r="AS1180" s="57"/>
      <c r="AT1180" s="37"/>
      <c r="AU1180" s="30"/>
      <c r="AV1180" s="30"/>
      <c r="AW1180" s="30"/>
      <c r="AX1180" s="30"/>
      <c r="AY1180" s="30"/>
      <c r="AZ1180" s="30"/>
    </row>
    <row r="1181">
      <c r="A1181" s="30"/>
      <c r="B1181" s="30"/>
      <c r="C1181" s="30"/>
      <c r="D1181" s="31"/>
      <c r="E1181" s="31"/>
      <c r="F1181" s="31"/>
      <c r="G1181" s="31"/>
      <c r="H1181" s="31"/>
      <c r="I1181" s="54"/>
      <c r="J1181" s="55"/>
      <c r="K1181" s="54"/>
      <c r="L1181" s="56"/>
      <c r="M1181" s="56"/>
      <c r="N1181" s="31"/>
      <c r="O1181" s="57"/>
      <c r="P1181" s="57"/>
      <c r="Q1181" s="57"/>
      <c r="R1181" s="57"/>
      <c r="S1181" s="31"/>
      <c r="T1181" s="57"/>
      <c r="U1181" s="57"/>
      <c r="V1181" s="57"/>
      <c r="W1181" s="57"/>
      <c r="X1181" s="31"/>
      <c r="Y1181" s="57"/>
      <c r="Z1181" s="57"/>
      <c r="AA1181" s="57"/>
      <c r="AB1181" s="57"/>
      <c r="AC1181" s="31"/>
      <c r="AD1181" s="57"/>
      <c r="AE1181" s="57"/>
      <c r="AF1181" s="57"/>
      <c r="AG1181" s="57"/>
      <c r="AH1181" s="57"/>
      <c r="AI1181" s="57"/>
      <c r="AJ1181" s="57"/>
      <c r="AK1181" s="57"/>
      <c r="AL1181" s="57"/>
      <c r="AM1181" s="57"/>
      <c r="AN1181" s="57"/>
      <c r="AO1181" s="57"/>
      <c r="AP1181" s="35"/>
      <c r="AQ1181" s="57"/>
      <c r="AR1181" s="36"/>
      <c r="AS1181" s="57"/>
      <c r="AT1181" s="37"/>
      <c r="AU1181" s="30"/>
      <c r="AV1181" s="30"/>
      <c r="AW1181" s="30"/>
      <c r="AX1181" s="30"/>
      <c r="AY1181" s="30"/>
      <c r="AZ1181" s="30"/>
    </row>
    <row r="1182">
      <c r="A1182" s="30"/>
      <c r="B1182" s="30"/>
      <c r="C1182" s="30"/>
      <c r="D1182" s="31"/>
      <c r="E1182" s="31"/>
      <c r="F1182" s="31"/>
      <c r="G1182" s="31"/>
      <c r="H1182" s="31"/>
      <c r="I1182" s="54"/>
      <c r="J1182" s="55"/>
      <c r="K1182" s="54"/>
      <c r="L1182" s="56"/>
      <c r="M1182" s="56"/>
      <c r="N1182" s="31"/>
      <c r="O1182" s="57"/>
      <c r="P1182" s="57"/>
      <c r="Q1182" s="57"/>
      <c r="R1182" s="57"/>
      <c r="S1182" s="31"/>
      <c r="T1182" s="57"/>
      <c r="U1182" s="57"/>
      <c r="V1182" s="57"/>
      <c r="W1182" s="57"/>
      <c r="X1182" s="31"/>
      <c r="Y1182" s="57"/>
      <c r="Z1182" s="57"/>
      <c r="AA1182" s="57"/>
      <c r="AB1182" s="57"/>
      <c r="AC1182" s="31"/>
      <c r="AD1182" s="57"/>
      <c r="AE1182" s="57"/>
      <c r="AF1182" s="57"/>
      <c r="AG1182" s="57"/>
      <c r="AH1182" s="57"/>
      <c r="AI1182" s="57"/>
      <c r="AJ1182" s="57"/>
      <c r="AK1182" s="57"/>
      <c r="AL1182" s="57"/>
      <c r="AM1182" s="57"/>
      <c r="AN1182" s="57"/>
      <c r="AO1182" s="57"/>
      <c r="AP1182" s="35"/>
      <c r="AQ1182" s="57"/>
      <c r="AR1182" s="36"/>
      <c r="AS1182" s="57"/>
      <c r="AT1182" s="37"/>
      <c r="AU1182" s="30"/>
      <c r="AV1182" s="30"/>
      <c r="AW1182" s="30"/>
      <c r="AX1182" s="30"/>
      <c r="AY1182" s="30"/>
      <c r="AZ1182" s="30"/>
    </row>
    <row r="1183">
      <c r="A1183" s="30"/>
      <c r="B1183" s="30"/>
      <c r="C1183" s="30"/>
      <c r="D1183" s="31"/>
      <c r="E1183" s="31"/>
      <c r="F1183" s="31"/>
      <c r="G1183" s="31"/>
      <c r="H1183" s="31"/>
      <c r="I1183" s="54"/>
      <c r="J1183" s="55"/>
      <c r="K1183" s="54"/>
      <c r="L1183" s="56"/>
      <c r="M1183" s="56"/>
      <c r="N1183" s="31"/>
      <c r="O1183" s="57"/>
      <c r="P1183" s="57"/>
      <c r="Q1183" s="57"/>
      <c r="R1183" s="57"/>
      <c r="S1183" s="31"/>
      <c r="T1183" s="57"/>
      <c r="U1183" s="57"/>
      <c r="V1183" s="57"/>
      <c r="W1183" s="57"/>
      <c r="X1183" s="31"/>
      <c r="Y1183" s="57"/>
      <c r="Z1183" s="57"/>
      <c r="AA1183" s="57"/>
      <c r="AB1183" s="57"/>
      <c r="AC1183" s="31"/>
      <c r="AD1183" s="57"/>
      <c r="AE1183" s="57"/>
      <c r="AF1183" s="57"/>
      <c r="AG1183" s="57"/>
      <c r="AH1183" s="57"/>
      <c r="AI1183" s="57"/>
      <c r="AJ1183" s="57"/>
      <c r="AK1183" s="57"/>
      <c r="AL1183" s="57"/>
      <c r="AM1183" s="57"/>
      <c r="AN1183" s="57"/>
      <c r="AO1183" s="57"/>
      <c r="AP1183" s="35"/>
      <c r="AQ1183" s="57"/>
      <c r="AR1183" s="36"/>
      <c r="AS1183" s="57"/>
      <c r="AT1183" s="37"/>
      <c r="AU1183" s="30"/>
      <c r="AV1183" s="30"/>
      <c r="AW1183" s="30"/>
      <c r="AX1183" s="30"/>
      <c r="AY1183" s="30"/>
      <c r="AZ1183" s="30"/>
    </row>
    <row r="1184">
      <c r="A1184" s="30"/>
      <c r="B1184" s="30"/>
      <c r="C1184" s="30"/>
      <c r="D1184" s="31"/>
      <c r="E1184" s="31"/>
      <c r="F1184" s="31"/>
      <c r="G1184" s="31"/>
      <c r="H1184" s="31"/>
      <c r="I1184" s="54"/>
      <c r="J1184" s="55"/>
      <c r="K1184" s="54"/>
      <c r="L1184" s="56"/>
      <c r="M1184" s="56"/>
      <c r="N1184" s="31"/>
      <c r="O1184" s="57"/>
      <c r="P1184" s="57"/>
      <c r="Q1184" s="57"/>
      <c r="R1184" s="57"/>
      <c r="S1184" s="31"/>
      <c r="T1184" s="57"/>
      <c r="U1184" s="57"/>
      <c r="V1184" s="57"/>
      <c r="W1184" s="57"/>
      <c r="X1184" s="31"/>
      <c r="Y1184" s="57"/>
      <c r="Z1184" s="57"/>
      <c r="AA1184" s="57"/>
      <c r="AB1184" s="57"/>
      <c r="AC1184" s="31"/>
      <c r="AD1184" s="57"/>
      <c r="AE1184" s="57"/>
      <c r="AF1184" s="57"/>
      <c r="AG1184" s="57"/>
      <c r="AH1184" s="57"/>
      <c r="AI1184" s="57"/>
      <c r="AJ1184" s="57"/>
      <c r="AK1184" s="57"/>
      <c r="AL1184" s="57"/>
      <c r="AM1184" s="57"/>
      <c r="AN1184" s="57"/>
      <c r="AO1184" s="57"/>
      <c r="AP1184" s="35"/>
      <c r="AQ1184" s="57"/>
      <c r="AR1184" s="36"/>
      <c r="AS1184" s="57"/>
      <c r="AT1184" s="37"/>
      <c r="AU1184" s="30"/>
      <c r="AV1184" s="30"/>
      <c r="AW1184" s="30"/>
      <c r="AX1184" s="30"/>
      <c r="AY1184" s="30"/>
      <c r="AZ1184" s="30"/>
    </row>
    <row r="1185">
      <c r="A1185" s="30"/>
      <c r="B1185" s="30"/>
      <c r="C1185" s="30"/>
      <c r="D1185" s="31"/>
      <c r="E1185" s="31"/>
      <c r="F1185" s="31"/>
      <c r="G1185" s="31"/>
      <c r="H1185" s="31"/>
      <c r="I1185" s="54"/>
      <c r="J1185" s="55"/>
      <c r="K1185" s="54"/>
      <c r="L1185" s="56"/>
      <c r="M1185" s="56"/>
      <c r="N1185" s="31"/>
      <c r="O1185" s="57"/>
      <c r="P1185" s="57"/>
      <c r="Q1185" s="57"/>
      <c r="R1185" s="57"/>
      <c r="S1185" s="31"/>
      <c r="T1185" s="57"/>
      <c r="U1185" s="57"/>
      <c r="V1185" s="57"/>
      <c r="W1185" s="57"/>
      <c r="X1185" s="31"/>
      <c r="Y1185" s="57"/>
      <c r="Z1185" s="57"/>
      <c r="AA1185" s="57"/>
      <c r="AB1185" s="57"/>
      <c r="AC1185" s="31"/>
      <c r="AD1185" s="57"/>
      <c r="AE1185" s="57"/>
      <c r="AF1185" s="57"/>
      <c r="AG1185" s="57"/>
      <c r="AH1185" s="57"/>
      <c r="AI1185" s="57"/>
      <c r="AJ1185" s="57"/>
      <c r="AK1185" s="57"/>
      <c r="AL1185" s="57"/>
      <c r="AM1185" s="57"/>
      <c r="AN1185" s="57"/>
      <c r="AO1185" s="57"/>
      <c r="AP1185" s="35"/>
      <c r="AQ1185" s="57"/>
      <c r="AR1185" s="36"/>
      <c r="AS1185" s="57"/>
      <c r="AT1185" s="37"/>
      <c r="AU1185" s="30"/>
      <c r="AV1185" s="30"/>
      <c r="AW1185" s="30"/>
      <c r="AX1185" s="30"/>
      <c r="AY1185" s="30"/>
      <c r="AZ1185" s="30"/>
    </row>
    <row r="1186">
      <c r="A1186" s="30"/>
      <c r="B1186" s="30"/>
      <c r="C1186" s="30"/>
      <c r="D1186" s="31"/>
      <c r="E1186" s="31"/>
      <c r="F1186" s="31"/>
      <c r="G1186" s="31"/>
      <c r="H1186" s="31"/>
      <c r="I1186" s="54"/>
      <c r="J1186" s="55"/>
      <c r="K1186" s="54"/>
      <c r="L1186" s="56"/>
      <c r="M1186" s="56"/>
      <c r="N1186" s="31"/>
      <c r="O1186" s="57"/>
      <c r="P1186" s="57"/>
      <c r="Q1186" s="57"/>
      <c r="R1186" s="57"/>
      <c r="S1186" s="31"/>
      <c r="T1186" s="57"/>
      <c r="U1186" s="57"/>
      <c r="V1186" s="57"/>
      <c r="W1186" s="57"/>
      <c r="X1186" s="31"/>
      <c r="Y1186" s="57"/>
      <c r="Z1186" s="57"/>
      <c r="AA1186" s="57"/>
      <c r="AB1186" s="57"/>
      <c r="AC1186" s="31"/>
      <c r="AD1186" s="57"/>
      <c r="AE1186" s="57"/>
      <c r="AF1186" s="57"/>
      <c r="AG1186" s="57"/>
      <c r="AH1186" s="57"/>
      <c r="AI1186" s="57"/>
      <c r="AJ1186" s="57"/>
      <c r="AK1186" s="57"/>
      <c r="AL1186" s="57"/>
      <c r="AM1186" s="57"/>
      <c r="AN1186" s="57"/>
      <c r="AO1186" s="57"/>
      <c r="AP1186" s="35"/>
      <c r="AQ1186" s="57"/>
      <c r="AR1186" s="36"/>
      <c r="AS1186" s="57"/>
      <c r="AT1186" s="37"/>
      <c r="AU1186" s="30"/>
      <c r="AV1186" s="30"/>
      <c r="AW1186" s="30"/>
      <c r="AX1186" s="30"/>
      <c r="AY1186" s="30"/>
      <c r="AZ1186" s="30"/>
    </row>
    <row r="1187">
      <c r="A1187" s="30"/>
      <c r="B1187" s="30"/>
      <c r="C1187" s="30"/>
      <c r="D1187" s="31"/>
      <c r="E1187" s="31"/>
      <c r="F1187" s="31"/>
      <c r="G1187" s="31"/>
      <c r="H1187" s="31"/>
      <c r="I1187" s="54"/>
      <c r="J1187" s="55"/>
      <c r="K1187" s="54"/>
      <c r="L1187" s="56"/>
      <c r="M1187" s="56"/>
      <c r="N1187" s="31"/>
      <c r="O1187" s="57"/>
      <c r="P1187" s="57"/>
      <c r="Q1187" s="57"/>
      <c r="R1187" s="57"/>
      <c r="S1187" s="31"/>
      <c r="T1187" s="57"/>
      <c r="U1187" s="57"/>
      <c r="V1187" s="57"/>
      <c r="W1187" s="57"/>
      <c r="X1187" s="31"/>
      <c r="Y1187" s="57"/>
      <c r="Z1187" s="57"/>
      <c r="AA1187" s="57"/>
      <c r="AB1187" s="57"/>
      <c r="AC1187" s="31"/>
      <c r="AD1187" s="57"/>
      <c r="AE1187" s="57"/>
      <c r="AF1187" s="57"/>
      <c r="AG1187" s="57"/>
      <c r="AH1187" s="57"/>
      <c r="AI1187" s="57"/>
      <c r="AJ1187" s="57"/>
      <c r="AK1187" s="57"/>
      <c r="AL1187" s="57"/>
      <c r="AM1187" s="57"/>
      <c r="AN1187" s="57"/>
      <c r="AO1187" s="57"/>
      <c r="AP1187" s="35"/>
      <c r="AQ1187" s="57"/>
      <c r="AR1187" s="36"/>
      <c r="AS1187" s="57"/>
      <c r="AT1187" s="37"/>
      <c r="AU1187" s="30"/>
      <c r="AV1187" s="30"/>
      <c r="AW1187" s="30"/>
      <c r="AX1187" s="30"/>
      <c r="AY1187" s="30"/>
      <c r="AZ1187" s="30"/>
    </row>
    <row r="1188">
      <c r="A1188" s="30"/>
      <c r="B1188" s="30"/>
      <c r="C1188" s="30"/>
      <c r="D1188" s="31"/>
      <c r="E1188" s="31"/>
      <c r="F1188" s="31"/>
      <c r="G1188" s="31"/>
      <c r="H1188" s="31"/>
      <c r="I1188" s="54"/>
      <c r="J1188" s="55"/>
      <c r="K1188" s="54"/>
      <c r="L1188" s="56"/>
      <c r="M1188" s="56"/>
      <c r="N1188" s="31"/>
      <c r="O1188" s="57"/>
      <c r="P1188" s="57"/>
      <c r="Q1188" s="57"/>
      <c r="R1188" s="57"/>
      <c r="S1188" s="31"/>
      <c r="T1188" s="57"/>
      <c r="U1188" s="57"/>
      <c r="V1188" s="57"/>
      <c r="W1188" s="57"/>
      <c r="X1188" s="31"/>
      <c r="Y1188" s="57"/>
      <c r="Z1188" s="57"/>
      <c r="AA1188" s="57"/>
      <c r="AB1188" s="57"/>
      <c r="AC1188" s="31"/>
      <c r="AD1188" s="57"/>
      <c r="AE1188" s="57"/>
      <c r="AF1188" s="57"/>
      <c r="AG1188" s="57"/>
      <c r="AH1188" s="57"/>
      <c r="AI1188" s="57"/>
      <c r="AJ1188" s="57"/>
      <c r="AK1188" s="57"/>
      <c r="AL1188" s="57"/>
      <c r="AM1188" s="57"/>
      <c r="AN1188" s="57"/>
      <c r="AO1188" s="57"/>
      <c r="AP1188" s="35"/>
      <c r="AQ1188" s="57"/>
      <c r="AR1188" s="36"/>
      <c r="AS1188" s="57"/>
      <c r="AT1188" s="37"/>
      <c r="AU1188" s="30"/>
      <c r="AV1188" s="30"/>
      <c r="AW1188" s="30"/>
      <c r="AX1188" s="30"/>
      <c r="AY1188" s="30"/>
      <c r="AZ1188" s="30"/>
    </row>
    <row r="1189">
      <c r="A1189" s="30"/>
      <c r="B1189" s="30"/>
      <c r="C1189" s="30"/>
      <c r="D1189" s="31"/>
      <c r="E1189" s="31"/>
      <c r="F1189" s="31"/>
      <c r="G1189" s="31"/>
      <c r="H1189" s="31"/>
      <c r="I1189" s="54"/>
      <c r="J1189" s="55"/>
      <c r="K1189" s="54"/>
      <c r="L1189" s="56"/>
      <c r="M1189" s="56"/>
      <c r="N1189" s="31"/>
      <c r="O1189" s="57"/>
      <c r="P1189" s="57"/>
      <c r="Q1189" s="57"/>
      <c r="R1189" s="57"/>
      <c r="S1189" s="31"/>
      <c r="T1189" s="57"/>
      <c r="U1189" s="57"/>
      <c r="V1189" s="57"/>
      <c r="W1189" s="57"/>
      <c r="X1189" s="31"/>
      <c r="Y1189" s="57"/>
      <c r="Z1189" s="57"/>
      <c r="AA1189" s="57"/>
      <c r="AB1189" s="57"/>
      <c r="AC1189" s="31"/>
      <c r="AD1189" s="57"/>
      <c r="AE1189" s="57"/>
      <c r="AF1189" s="57"/>
      <c r="AG1189" s="57"/>
      <c r="AH1189" s="57"/>
      <c r="AI1189" s="57"/>
      <c r="AJ1189" s="57"/>
      <c r="AK1189" s="57"/>
      <c r="AL1189" s="57"/>
      <c r="AM1189" s="57"/>
      <c r="AN1189" s="57"/>
      <c r="AO1189" s="57"/>
      <c r="AP1189" s="35"/>
      <c r="AQ1189" s="57"/>
      <c r="AR1189" s="36"/>
      <c r="AS1189" s="57"/>
      <c r="AT1189" s="37"/>
      <c r="AU1189" s="30"/>
      <c r="AV1189" s="30"/>
      <c r="AW1189" s="30"/>
      <c r="AX1189" s="30"/>
      <c r="AY1189" s="30"/>
      <c r="AZ1189" s="30"/>
    </row>
    <row r="1190">
      <c r="A1190" s="30"/>
      <c r="B1190" s="30"/>
      <c r="C1190" s="30"/>
      <c r="D1190" s="31"/>
      <c r="E1190" s="31"/>
      <c r="F1190" s="31"/>
      <c r="G1190" s="31"/>
      <c r="H1190" s="31"/>
      <c r="I1190" s="54"/>
      <c r="J1190" s="55"/>
      <c r="K1190" s="54"/>
      <c r="L1190" s="56"/>
      <c r="M1190" s="56"/>
      <c r="N1190" s="31"/>
      <c r="O1190" s="57"/>
      <c r="P1190" s="57"/>
      <c r="Q1190" s="57"/>
      <c r="R1190" s="57"/>
      <c r="S1190" s="31"/>
      <c r="T1190" s="57"/>
      <c r="U1190" s="57"/>
      <c r="V1190" s="57"/>
      <c r="W1190" s="57"/>
      <c r="X1190" s="31"/>
      <c r="Y1190" s="57"/>
      <c r="Z1190" s="57"/>
      <c r="AA1190" s="57"/>
      <c r="AB1190" s="57"/>
      <c r="AC1190" s="31"/>
      <c r="AD1190" s="57"/>
      <c r="AE1190" s="57"/>
      <c r="AF1190" s="57"/>
      <c r="AG1190" s="57"/>
      <c r="AH1190" s="57"/>
      <c r="AI1190" s="57"/>
      <c r="AJ1190" s="57"/>
      <c r="AK1190" s="57"/>
      <c r="AL1190" s="57"/>
      <c r="AM1190" s="57"/>
      <c r="AN1190" s="57"/>
      <c r="AO1190" s="57"/>
      <c r="AP1190" s="35"/>
      <c r="AQ1190" s="57"/>
      <c r="AR1190" s="36"/>
      <c r="AS1190" s="57"/>
      <c r="AT1190" s="37"/>
      <c r="AU1190" s="30"/>
      <c r="AV1190" s="30"/>
      <c r="AW1190" s="30"/>
      <c r="AX1190" s="30"/>
      <c r="AY1190" s="30"/>
      <c r="AZ1190" s="30"/>
    </row>
    <row r="1191">
      <c r="A1191" s="30"/>
      <c r="B1191" s="30"/>
      <c r="C1191" s="30"/>
      <c r="D1191" s="31"/>
      <c r="E1191" s="31"/>
      <c r="F1191" s="31"/>
      <c r="G1191" s="31"/>
      <c r="H1191" s="31"/>
      <c r="I1191" s="54"/>
      <c r="J1191" s="55"/>
      <c r="K1191" s="54"/>
      <c r="L1191" s="56"/>
      <c r="M1191" s="56"/>
      <c r="N1191" s="31"/>
      <c r="O1191" s="57"/>
      <c r="P1191" s="57"/>
      <c r="Q1191" s="57"/>
      <c r="R1191" s="57"/>
      <c r="S1191" s="31"/>
      <c r="T1191" s="57"/>
      <c r="U1191" s="57"/>
      <c r="V1191" s="57"/>
      <c r="W1191" s="57"/>
      <c r="X1191" s="31"/>
      <c r="Y1191" s="57"/>
      <c r="Z1191" s="57"/>
      <c r="AA1191" s="57"/>
      <c r="AB1191" s="57"/>
      <c r="AC1191" s="31"/>
      <c r="AD1191" s="57"/>
      <c r="AE1191" s="57"/>
      <c r="AF1191" s="57"/>
      <c r="AG1191" s="57"/>
      <c r="AH1191" s="57"/>
      <c r="AI1191" s="57"/>
      <c r="AJ1191" s="57"/>
      <c r="AK1191" s="57"/>
      <c r="AL1191" s="57"/>
      <c r="AM1191" s="57"/>
      <c r="AN1191" s="57"/>
      <c r="AO1191" s="57"/>
      <c r="AP1191" s="35"/>
      <c r="AQ1191" s="57"/>
      <c r="AR1191" s="36"/>
      <c r="AS1191" s="57"/>
      <c r="AT1191" s="37"/>
      <c r="AU1191" s="30"/>
      <c r="AV1191" s="30"/>
      <c r="AW1191" s="30"/>
      <c r="AX1191" s="30"/>
      <c r="AY1191" s="30"/>
      <c r="AZ1191" s="30"/>
    </row>
    <row r="1192">
      <c r="A1192" s="30"/>
      <c r="B1192" s="30"/>
      <c r="C1192" s="30"/>
      <c r="D1192" s="31"/>
      <c r="E1192" s="31"/>
      <c r="F1192" s="31"/>
      <c r="G1192" s="31"/>
      <c r="H1192" s="31"/>
      <c r="I1192" s="54"/>
      <c r="J1192" s="55"/>
      <c r="K1192" s="54"/>
      <c r="L1192" s="56"/>
      <c r="M1192" s="56"/>
      <c r="N1192" s="31"/>
      <c r="O1192" s="57"/>
      <c r="P1192" s="57"/>
      <c r="Q1192" s="57"/>
      <c r="R1192" s="57"/>
      <c r="S1192" s="31"/>
      <c r="T1192" s="57"/>
      <c r="U1192" s="57"/>
      <c r="V1192" s="57"/>
      <c r="W1192" s="57"/>
      <c r="X1192" s="31"/>
      <c r="Y1192" s="57"/>
      <c r="Z1192" s="57"/>
      <c r="AA1192" s="57"/>
      <c r="AB1192" s="57"/>
      <c r="AC1192" s="31"/>
      <c r="AD1192" s="57"/>
      <c r="AE1192" s="57"/>
      <c r="AF1192" s="57"/>
      <c r="AG1192" s="57"/>
      <c r="AH1192" s="57"/>
      <c r="AI1192" s="57"/>
      <c r="AJ1192" s="57"/>
      <c r="AK1192" s="57"/>
      <c r="AL1192" s="57"/>
      <c r="AM1192" s="57"/>
      <c r="AN1192" s="57"/>
      <c r="AO1192" s="57"/>
      <c r="AP1192" s="35"/>
      <c r="AQ1192" s="57"/>
      <c r="AR1192" s="36"/>
      <c r="AS1192" s="57"/>
      <c r="AT1192" s="37"/>
      <c r="AU1192" s="30"/>
      <c r="AV1192" s="30"/>
      <c r="AW1192" s="30"/>
      <c r="AX1192" s="30"/>
      <c r="AY1192" s="30"/>
      <c r="AZ1192" s="30"/>
    </row>
    <row r="1193">
      <c r="A1193" s="30"/>
      <c r="B1193" s="30"/>
      <c r="C1193" s="30"/>
      <c r="D1193" s="31"/>
      <c r="E1193" s="31"/>
      <c r="F1193" s="31"/>
      <c r="G1193" s="31"/>
      <c r="H1193" s="31"/>
      <c r="I1193" s="54"/>
      <c r="J1193" s="55"/>
      <c r="K1193" s="54"/>
      <c r="L1193" s="56"/>
      <c r="M1193" s="56"/>
      <c r="N1193" s="31"/>
      <c r="O1193" s="57"/>
      <c r="P1193" s="57"/>
      <c r="Q1193" s="57"/>
      <c r="R1193" s="57"/>
      <c r="S1193" s="31"/>
      <c r="T1193" s="57"/>
      <c r="U1193" s="57"/>
      <c r="V1193" s="57"/>
      <c r="W1193" s="57"/>
      <c r="X1193" s="31"/>
      <c r="Y1193" s="57"/>
      <c r="Z1193" s="57"/>
      <c r="AA1193" s="57"/>
      <c r="AB1193" s="57"/>
      <c r="AC1193" s="31"/>
      <c r="AD1193" s="57"/>
      <c r="AE1193" s="57"/>
      <c r="AF1193" s="57"/>
      <c r="AG1193" s="57"/>
      <c r="AH1193" s="57"/>
      <c r="AI1193" s="57"/>
      <c r="AJ1193" s="57"/>
      <c r="AK1193" s="57"/>
      <c r="AL1193" s="57"/>
      <c r="AM1193" s="57"/>
      <c r="AN1193" s="57"/>
      <c r="AO1193" s="57"/>
      <c r="AP1193" s="35"/>
      <c r="AQ1193" s="57"/>
      <c r="AR1193" s="36"/>
      <c r="AS1193" s="57"/>
      <c r="AT1193" s="37"/>
      <c r="AU1193" s="30"/>
      <c r="AV1193" s="30"/>
      <c r="AW1193" s="30"/>
      <c r="AX1193" s="30"/>
      <c r="AY1193" s="30"/>
      <c r="AZ1193" s="30"/>
    </row>
    <row r="1194">
      <c r="A1194" s="30"/>
      <c r="B1194" s="30"/>
      <c r="C1194" s="30"/>
      <c r="D1194" s="31"/>
      <c r="E1194" s="31"/>
      <c r="F1194" s="31"/>
      <c r="G1194" s="31"/>
      <c r="H1194" s="31"/>
      <c r="I1194" s="54"/>
      <c r="J1194" s="55"/>
      <c r="K1194" s="54"/>
      <c r="L1194" s="56"/>
      <c r="M1194" s="56"/>
      <c r="N1194" s="31"/>
      <c r="O1194" s="57"/>
      <c r="P1194" s="57"/>
      <c r="Q1194" s="57"/>
      <c r="R1194" s="57"/>
      <c r="S1194" s="31"/>
      <c r="T1194" s="57"/>
      <c r="U1194" s="57"/>
      <c r="V1194" s="57"/>
      <c r="W1194" s="57"/>
      <c r="X1194" s="31"/>
      <c r="Y1194" s="57"/>
      <c r="Z1194" s="57"/>
      <c r="AA1194" s="57"/>
      <c r="AB1194" s="57"/>
      <c r="AC1194" s="31"/>
      <c r="AD1194" s="57"/>
      <c r="AE1194" s="57"/>
      <c r="AF1194" s="57"/>
      <c r="AG1194" s="57"/>
      <c r="AH1194" s="57"/>
      <c r="AI1194" s="57"/>
      <c r="AJ1194" s="57"/>
      <c r="AK1194" s="57"/>
      <c r="AL1194" s="57"/>
      <c r="AM1194" s="57"/>
      <c r="AN1194" s="57"/>
      <c r="AO1194" s="57"/>
      <c r="AP1194" s="35"/>
      <c r="AQ1194" s="57"/>
      <c r="AR1194" s="36"/>
      <c r="AS1194" s="57"/>
      <c r="AT1194" s="37"/>
      <c r="AU1194" s="30"/>
      <c r="AV1194" s="30"/>
      <c r="AW1194" s="30"/>
      <c r="AX1194" s="30"/>
      <c r="AY1194" s="30"/>
      <c r="AZ1194" s="30"/>
    </row>
    <row r="1195">
      <c r="A1195" s="30"/>
      <c r="B1195" s="30"/>
      <c r="C1195" s="30"/>
      <c r="D1195" s="31"/>
      <c r="E1195" s="31"/>
      <c r="F1195" s="31"/>
      <c r="G1195" s="31"/>
      <c r="H1195" s="31"/>
      <c r="I1195" s="54"/>
      <c r="J1195" s="55"/>
      <c r="K1195" s="54"/>
      <c r="L1195" s="56"/>
      <c r="M1195" s="56"/>
      <c r="N1195" s="31"/>
      <c r="O1195" s="57"/>
      <c r="P1195" s="57"/>
      <c r="Q1195" s="57"/>
      <c r="R1195" s="57"/>
      <c r="S1195" s="31"/>
      <c r="T1195" s="57"/>
      <c r="U1195" s="57"/>
      <c r="V1195" s="57"/>
      <c r="W1195" s="57"/>
      <c r="X1195" s="31"/>
      <c r="Y1195" s="57"/>
      <c r="Z1195" s="57"/>
      <c r="AA1195" s="57"/>
      <c r="AB1195" s="57"/>
      <c r="AC1195" s="31"/>
      <c r="AD1195" s="57"/>
      <c r="AE1195" s="57"/>
      <c r="AF1195" s="57"/>
      <c r="AG1195" s="57"/>
      <c r="AH1195" s="57"/>
      <c r="AI1195" s="57"/>
      <c r="AJ1195" s="57"/>
      <c r="AK1195" s="57"/>
      <c r="AL1195" s="57"/>
      <c r="AM1195" s="57"/>
      <c r="AN1195" s="57"/>
      <c r="AO1195" s="57"/>
      <c r="AP1195" s="35"/>
      <c r="AQ1195" s="57"/>
      <c r="AR1195" s="36"/>
      <c r="AS1195" s="57"/>
      <c r="AT1195" s="37"/>
      <c r="AU1195" s="30"/>
      <c r="AV1195" s="30"/>
      <c r="AW1195" s="30"/>
      <c r="AX1195" s="30"/>
      <c r="AY1195" s="30"/>
      <c r="AZ1195" s="30"/>
    </row>
    <row r="1196">
      <c r="A1196" s="30"/>
      <c r="B1196" s="30"/>
      <c r="C1196" s="30"/>
      <c r="D1196" s="31"/>
      <c r="E1196" s="31"/>
      <c r="F1196" s="31"/>
      <c r="G1196" s="31"/>
      <c r="H1196" s="31"/>
      <c r="I1196" s="54"/>
      <c r="J1196" s="55"/>
      <c r="K1196" s="54"/>
      <c r="L1196" s="56"/>
      <c r="M1196" s="56"/>
      <c r="N1196" s="31"/>
      <c r="O1196" s="57"/>
      <c r="P1196" s="57"/>
      <c r="Q1196" s="57"/>
      <c r="R1196" s="57"/>
      <c r="S1196" s="31"/>
      <c r="T1196" s="57"/>
      <c r="U1196" s="57"/>
      <c r="V1196" s="57"/>
      <c r="W1196" s="57"/>
      <c r="X1196" s="31"/>
      <c r="Y1196" s="57"/>
      <c r="Z1196" s="57"/>
      <c r="AA1196" s="57"/>
      <c r="AB1196" s="57"/>
      <c r="AC1196" s="31"/>
      <c r="AD1196" s="57"/>
      <c r="AE1196" s="57"/>
      <c r="AF1196" s="57"/>
      <c r="AG1196" s="57"/>
      <c r="AH1196" s="57"/>
      <c r="AI1196" s="57"/>
      <c r="AJ1196" s="57"/>
      <c r="AK1196" s="57"/>
      <c r="AL1196" s="57"/>
      <c r="AM1196" s="57"/>
      <c r="AN1196" s="57"/>
      <c r="AO1196" s="57"/>
      <c r="AP1196" s="35"/>
      <c r="AQ1196" s="57"/>
      <c r="AR1196" s="36"/>
      <c r="AS1196" s="57"/>
      <c r="AT1196" s="37"/>
      <c r="AU1196" s="30"/>
      <c r="AV1196" s="30"/>
      <c r="AW1196" s="30"/>
      <c r="AX1196" s="30"/>
      <c r="AY1196" s="30"/>
      <c r="AZ1196" s="30"/>
    </row>
    <row r="1197">
      <c r="A1197" s="30"/>
      <c r="B1197" s="30"/>
      <c r="C1197" s="30"/>
      <c r="D1197" s="31"/>
      <c r="E1197" s="31"/>
      <c r="F1197" s="31"/>
      <c r="G1197" s="31"/>
      <c r="H1197" s="31"/>
      <c r="I1197" s="54"/>
      <c r="J1197" s="55"/>
      <c r="K1197" s="54"/>
      <c r="L1197" s="56"/>
      <c r="M1197" s="56"/>
      <c r="N1197" s="31"/>
      <c r="O1197" s="57"/>
      <c r="P1197" s="57"/>
      <c r="Q1197" s="57"/>
      <c r="R1197" s="57"/>
      <c r="S1197" s="31"/>
      <c r="T1197" s="57"/>
      <c r="U1197" s="57"/>
      <c r="V1197" s="57"/>
      <c r="W1197" s="57"/>
      <c r="X1197" s="31"/>
      <c r="Y1197" s="57"/>
      <c r="Z1197" s="57"/>
      <c r="AA1197" s="57"/>
      <c r="AB1197" s="57"/>
      <c r="AC1197" s="31"/>
      <c r="AD1197" s="57"/>
      <c r="AE1197" s="57"/>
      <c r="AF1197" s="57"/>
      <c r="AG1197" s="57"/>
      <c r="AH1197" s="57"/>
      <c r="AI1197" s="57"/>
      <c r="AJ1197" s="57"/>
      <c r="AK1197" s="57"/>
      <c r="AL1197" s="57"/>
      <c r="AM1197" s="57"/>
      <c r="AN1197" s="57"/>
      <c r="AO1197" s="57"/>
      <c r="AP1197" s="35"/>
      <c r="AQ1197" s="57"/>
      <c r="AR1197" s="36"/>
      <c r="AS1197" s="57"/>
      <c r="AT1197" s="37"/>
      <c r="AU1197" s="30"/>
      <c r="AV1197" s="30"/>
      <c r="AW1197" s="30"/>
      <c r="AX1197" s="30"/>
      <c r="AY1197" s="30"/>
      <c r="AZ1197" s="30"/>
    </row>
    <row r="1198">
      <c r="A1198" s="30"/>
      <c r="B1198" s="30"/>
      <c r="C1198" s="30"/>
      <c r="D1198" s="31"/>
      <c r="E1198" s="31"/>
      <c r="F1198" s="31"/>
      <c r="G1198" s="31"/>
      <c r="H1198" s="31"/>
      <c r="I1198" s="54"/>
      <c r="J1198" s="55"/>
      <c r="K1198" s="54"/>
      <c r="L1198" s="56"/>
      <c r="M1198" s="56"/>
      <c r="N1198" s="31"/>
      <c r="O1198" s="57"/>
      <c r="P1198" s="57"/>
      <c r="Q1198" s="57"/>
      <c r="R1198" s="57"/>
      <c r="S1198" s="31"/>
      <c r="T1198" s="57"/>
      <c r="U1198" s="57"/>
      <c r="V1198" s="57"/>
      <c r="W1198" s="57"/>
      <c r="X1198" s="31"/>
      <c r="Y1198" s="57"/>
      <c r="Z1198" s="57"/>
      <c r="AA1198" s="57"/>
      <c r="AB1198" s="57"/>
      <c r="AC1198" s="31"/>
      <c r="AD1198" s="57"/>
      <c r="AE1198" s="57"/>
      <c r="AF1198" s="57"/>
      <c r="AG1198" s="57"/>
      <c r="AH1198" s="57"/>
      <c r="AI1198" s="57"/>
      <c r="AJ1198" s="57"/>
      <c r="AK1198" s="57"/>
      <c r="AL1198" s="57"/>
      <c r="AM1198" s="57"/>
      <c r="AN1198" s="57"/>
      <c r="AO1198" s="57"/>
      <c r="AP1198" s="35"/>
      <c r="AQ1198" s="57"/>
      <c r="AR1198" s="36"/>
      <c r="AS1198" s="57"/>
      <c r="AT1198" s="37"/>
      <c r="AU1198" s="30"/>
      <c r="AV1198" s="30"/>
      <c r="AW1198" s="30"/>
      <c r="AX1198" s="30"/>
      <c r="AY1198" s="30"/>
      <c r="AZ1198" s="30"/>
    </row>
    <row r="1199">
      <c r="A1199" s="30"/>
      <c r="B1199" s="30"/>
      <c r="C1199" s="30"/>
      <c r="D1199" s="31"/>
      <c r="E1199" s="31"/>
      <c r="F1199" s="31"/>
      <c r="G1199" s="31"/>
      <c r="H1199" s="31"/>
      <c r="I1199" s="54"/>
      <c r="J1199" s="55"/>
      <c r="K1199" s="54"/>
      <c r="L1199" s="56"/>
      <c r="M1199" s="56"/>
      <c r="N1199" s="31"/>
      <c r="O1199" s="57"/>
      <c r="P1199" s="57"/>
      <c r="Q1199" s="57"/>
      <c r="R1199" s="57"/>
      <c r="S1199" s="31"/>
      <c r="T1199" s="57"/>
      <c r="U1199" s="57"/>
      <c r="V1199" s="57"/>
      <c r="W1199" s="57"/>
      <c r="X1199" s="31"/>
      <c r="Y1199" s="57"/>
      <c r="Z1199" s="57"/>
      <c r="AA1199" s="57"/>
      <c r="AB1199" s="57"/>
      <c r="AC1199" s="31"/>
      <c r="AD1199" s="57"/>
      <c r="AE1199" s="57"/>
      <c r="AF1199" s="57"/>
      <c r="AG1199" s="57"/>
      <c r="AH1199" s="57"/>
      <c r="AI1199" s="57"/>
      <c r="AJ1199" s="57"/>
      <c r="AK1199" s="57"/>
      <c r="AL1199" s="57"/>
      <c r="AM1199" s="57"/>
      <c r="AN1199" s="57"/>
      <c r="AO1199" s="57"/>
      <c r="AP1199" s="35"/>
      <c r="AQ1199" s="57"/>
      <c r="AR1199" s="36"/>
      <c r="AS1199" s="57"/>
      <c r="AT1199" s="37"/>
      <c r="AU1199" s="30"/>
      <c r="AV1199" s="30"/>
      <c r="AW1199" s="30"/>
      <c r="AX1199" s="30"/>
      <c r="AY1199" s="30"/>
      <c r="AZ1199" s="30"/>
    </row>
    <row r="1200">
      <c r="A1200" s="30"/>
      <c r="B1200" s="30"/>
      <c r="C1200" s="30"/>
      <c r="D1200" s="31"/>
      <c r="E1200" s="31"/>
      <c r="F1200" s="31"/>
      <c r="G1200" s="31"/>
      <c r="H1200" s="31"/>
      <c r="I1200" s="54"/>
      <c r="J1200" s="55"/>
      <c r="K1200" s="54"/>
      <c r="L1200" s="56"/>
      <c r="M1200" s="56"/>
      <c r="N1200" s="31"/>
      <c r="O1200" s="57"/>
      <c r="P1200" s="57"/>
      <c r="Q1200" s="57"/>
      <c r="R1200" s="57"/>
      <c r="S1200" s="31"/>
      <c r="T1200" s="57"/>
      <c r="U1200" s="57"/>
      <c r="V1200" s="57"/>
      <c r="W1200" s="57"/>
      <c r="X1200" s="31"/>
      <c r="Y1200" s="57"/>
      <c r="Z1200" s="57"/>
      <c r="AA1200" s="57"/>
      <c r="AB1200" s="57"/>
      <c r="AC1200" s="31"/>
      <c r="AD1200" s="57"/>
      <c r="AE1200" s="57"/>
      <c r="AF1200" s="57"/>
      <c r="AG1200" s="57"/>
      <c r="AH1200" s="57"/>
      <c r="AI1200" s="57"/>
      <c r="AJ1200" s="57"/>
      <c r="AK1200" s="57"/>
      <c r="AL1200" s="57"/>
      <c r="AM1200" s="57"/>
      <c r="AN1200" s="57"/>
      <c r="AO1200" s="57"/>
      <c r="AP1200" s="35"/>
      <c r="AQ1200" s="57"/>
      <c r="AR1200" s="36"/>
      <c r="AS1200" s="57"/>
      <c r="AT1200" s="37"/>
      <c r="AU1200" s="30"/>
      <c r="AV1200" s="30"/>
      <c r="AW1200" s="30"/>
      <c r="AX1200" s="30"/>
      <c r="AY1200" s="30"/>
      <c r="AZ1200" s="30"/>
    </row>
    <row r="1201">
      <c r="A1201" s="30"/>
      <c r="B1201" s="30"/>
      <c r="C1201" s="30"/>
      <c r="D1201" s="31"/>
      <c r="E1201" s="31"/>
      <c r="F1201" s="31"/>
      <c r="G1201" s="31"/>
      <c r="H1201" s="31"/>
      <c r="I1201" s="54"/>
      <c r="J1201" s="55"/>
      <c r="K1201" s="54"/>
      <c r="L1201" s="56"/>
      <c r="M1201" s="56"/>
      <c r="N1201" s="31"/>
      <c r="O1201" s="57"/>
      <c r="P1201" s="57"/>
      <c r="Q1201" s="57"/>
      <c r="R1201" s="57"/>
      <c r="S1201" s="31"/>
      <c r="T1201" s="57"/>
      <c r="U1201" s="57"/>
      <c r="V1201" s="57"/>
      <c r="W1201" s="57"/>
      <c r="X1201" s="31"/>
      <c r="Y1201" s="57"/>
      <c r="Z1201" s="57"/>
      <c r="AA1201" s="57"/>
      <c r="AB1201" s="57"/>
      <c r="AC1201" s="31"/>
      <c r="AD1201" s="57"/>
      <c r="AE1201" s="57"/>
      <c r="AF1201" s="57"/>
      <c r="AG1201" s="57"/>
      <c r="AH1201" s="57"/>
      <c r="AI1201" s="57"/>
      <c r="AJ1201" s="57"/>
      <c r="AK1201" s="57"/>
      <c r="AL1201" s="57"/>
      <c r="AM1201" s="57"/>
      <c r="AN1201" s="57"/>
      <c r="AO1201" s="57"/>
      <c r="AP1201" s="35"/>
      <c r="AQ1201" s="57"/>
      <c r="AR1201" s="36"/>
      <c r="AS1201" s="57"/>
      <c r="AT1201" s="37"/>
      <c r="AU1201" s="30"/>
      <c r="AV1201" s="30"/>
      <c r="AW1201" s="30"/>
      <c r="AX1201" s="30"/>
      <c r="AY1201" s="30"/>
      <c r="AZ1201" s="30"/>
    </row>
    <row r="1202">
      <c r="A1202" s="30"/>
      <c r="B1202" s="30"/>
      <c r="C1202" s="30"/>
      <c r="D1202" s="31"/>
      <c r="E1202" s="31"/>
      <c r="F1202" s="31"/>
      <c r="G1202" s="31"/>
      <c r="H1202" s="31"/>
      <c r="I1202" s="54"/>
      <c r="J1202" s="55"/>
      <c r="K1202" s="54"/>
      <c r="L1202" s="56"/>
      <c r="M1202" s="56"/>
      <c r="N1202" s="31"/>
      <c r="O1202" s="57"/>
      <c r="P1202" s="57"/>
      <c r="Q1202" s="57"/>
      <c r="R1202" s="57"/>
      <c r="S1202" s="31"/>
      <c r="T1202" s="57"/>
      <c r="U1202" s="57"/>
      <c r="V1202" s="57"/>
      <c r="W1202" s="57"/>
      <c r="X1202" s="31"/>
      <c r="Y1202" s="57"/>
      <c r="Z1202" s="57"/>
      <c r="AA1202" s="57"/>
      <c r="AB1202" s="57"/>
      <c r="AC1202" s="31"/>
      <c r="AD1202" s="57"/>
      <c r="AE1202" s="57"/>
      <c r="AF1202" s="57"/>
      <c r="AG1202" s="57"/>
      <c r="AH1202" s="57"/>
      <c r="AI1202" s="57"/>
      <c r="AJ1202" s="57"/>
      <c r="AK1202" s="57"/>
      <c r="AL1202" s="57"/>
      <c r="AM1202" s="57"/>
      <c r="AN1202" s="57"/>
      <c r="AO1202" s="57"/>
      <c r="AP1202" s="35"/>
      <c r="AQ1202" s="57"/>
      <c r="AR1202" s="36"/>
      <c r="AS1202" s="57"/>
      <c r="AT1202" s="37"/>
      <c r="AU1202" s="30"/>
      <c r="AV1202" s="30"/>
      <c r="AW1202" s="30"/>
      <c r="AX1202" s="30"/>
      <c r="AY1202" s="30"/>
      <c r="AZ1202" s="30"/>
    </row>
    <row r="1203">
      <c r="A1203" s="30"/>
      <c r="B1203" s="30"/>
      <c r="C1203" s="30"/>
      <c r="D1203" s="31"/>
      <c r="E1203" s="31"/>
      <c r="F1203" s="31"/>
      <c r="G1203" s="31"/>
      <c r="H1203" s="31"/>
      <c r="I1203" s="54"/>
      <c r="J1203" s="55"/>
      <c r="K1203" s="54"/>
      <c r="L1203" s="56"/>
      <c r="M1203" s="56"/>
      <c r="N1203" s="31"/>
      <c r="O1203" s="57"/>
      <c r="P1203" s="57"/>
      <c r="Q1203" s="57"/>
      <c r="R1203" s="57"/>
      <c r="S1203" s="31"/>
      <c r="T1203" s="57"/>
      <c r="U1203" s="57"/>
      <c r="V1203" s="57"/>
      <c r="W1203" s="57"/>
      <c r="X1203" s="31"/>
      <c r="Y1203" s="57"/>
      <c r="Z1203" s="57"/>
      <c r="AA1203" s="57"/>
      <c r="AB1203" s="57"/>
      <c r="AC1203" s="31"/>
      <c r="AD1203" s="57"/>
      <c r="AE1203" s="57"/>
      <c r="AF1203" s="57"/>
      <c r="AG1203" s="57"/>
      <c r="AH1203" s="57"/>
      <c r="AI1203" s="57"/>
      <c r="AJ1203" s="57"/>
      <c r="AK1203" s="57"/>
      <c r="AL1203" s="57"/>
      <c r="AM1203" s="57"/>
      <c r="AN1203" s="57"/>
      <c r="AO1203" s="57"/>
      <c r="AP1203" s="35"/>
      <c r="AQ1203" s="57"/>
      <c r="AR1203" s="36"/>
      <c r="AS1203" s="57"/>
      <c r="AT1203" s="37"/>
      <c r="AU1203" s="30"/>
      <c r="AV1203" s="30"/>
      <c r="AW1203" s="30"/>
      <c r="AX1203" s="30"/>
      <c r="AY1203" s="30"/>
      <c r="AZ1203" s="30"/>
    </row>
    <row r="1204">
      <c r="A1204" s="30"/>
      <c r="B1204" s="30"/>
      <c r="C1204" s="30"/>
      <c r="D1204" s="31"/>
      <c r="E1204" s="31"/>
      <c r="F1204" s="31"/>
      <c r="G1204" s="31"/>
      <c r="H1204" s="31"/>
      <c r="I1204" s="54"/>
      <c r="J1204" s="55"/>
      <c r="K1204" s="54"/>
      <c r="L1204" s="56"/>
      <c r="M1204" s="56"/>
      <c r="N1204" s="31"/>
      <c r="O1204" s="57"/>
      <c r="P1204" s="57"/>
      <c r="Q1204" s="57"/>
      <c r="R1204" s="57"/>
      <c r="S1204" s="31"/>
      <c r="T1204" s="57"/>
      <c r="U1204" s="57"/>
      <c r="V1204" s="57"/>
      <c r="W1204" s="57"/>
      <c r="X1204" s="31"/>
      <c r="Y1204" s="57"/>
      <c r="Z1204" s="57"/>
      <c r="AA1204" s="57"/>
      <c r="AB1204" s="57"/>
      <c r="AC1204" s="31"/>
      <c r="AD1204" s="57"/>
      <c r="AE1204" s="57"/>
      <c r="AF1204" s="57"/>
      <c r="AG1204" s="57"/>
      <c r="AH1204" s="57"/>
      <c r="AI1204" s="57"/>
      <c r="AJ1204" s="57"/>
      <c r="AK1204" s="57"/>
      <c r="AL1204" s="57"/>
      <c r="AM1204" s="57"/>
      <c r="AN1204" s="57"/>
      <c r="AO1204" s="57"/>
      <c r="AP1204" s="35"/>
      <c r="AQ1204" s="57"/>
      <c r="AR1204" s="36"/>
      <c r="AS1204" s="57"/>
      <c r="AT1204" s="37"/>
      <c r="AU1204" s="30"/>
      <c r="AV1204" s="30"/>
      <c r="AW1204" s="30"/>
      <c r="AX1204" s="30"/>
      <c r="AY1204" s="30"/>
      <c r="AZ1204" s="30"/>
    </row>
    <row r="1205">
      <c r="A1205" s="30"/>
      <c r="B1205" s="30"/>
      <c r="C1205" s="30"/>
      <c r="D1205" s="31"/>
      <c r="E1205" s="31"/>
      <c r="F1205" s="31"/>
      <c r="G1205" s="31"/>
      <c r="H1205" s="31"/>
      <c r="I1205" s="54"/>
      <c r="J1205" s="55"/>
      <c r="K1205" s="54"/>
      <c r="L1205" s="56"/>
      <c r="M1205" s="56"/>
      <c r="N1205" s="31"/>
      <c r="O1205" s="57"/>
      <c r="P1205" s="57"/>
      <c r="Q1205" s="57"/>
      <c r="R1205" s="57"/>
      <c r="S1205" s="31"/>
      <c r="T1205" s="57"/>
      <c r="U1205" s="57"/>
      <c r="V1205" s="57"/>
      <c r="W1205" s="57"/>
      <c r="X1205" s="31"/>
      <c r="Y1205" s="57"/>
      <c r="Z1205" s="57"/>
      <c r="AA1205" s="57"/>
      <c r="AB1205" s="57"/>
      <c r="AC1205" s="31"/>
      <c r="AD1205" s="57"/>
      <c r="AE1205" s="57"/>
      <c r="AF1205" s="57"/>
      <c r="AG1205" s="57"/>
      <c r="AH1205" s="57"/>
      <c r="AI1205" s="57"/>
      <c r="AJ1205" s="57"/>
      <c r="AK1205" s="57"/>
      <c r="AL1205" s="57"/>
      <c r="AM1205" s="57"/>
      <c r="AN1205" s="57"/>
      <c r="AO1205" s="57"/>
      <c r="AP1205" s="35"/>
      <c r="AQ1205" s="57"/>
      <c r="AR1205" s="36"/>
      <c r="AS1205" s="57"/>
      <c r="AT1205" s="37"/>
      <c r="AU1205" s="30"/>
      <c r="AV1205" s="30"/>
      <c r="AW1205" s="30"/>
      <c r="AX1205" s="30"/>
      <c r="AY1205" s="30"/>
      <c r="AZ1205" s="30"/>
    </row>
    <row r="1206">
      <c r="A1206" s="30"/>
      <c r="B1206" s="30"/>
      <c r="C1206" s="30"/>
      <c r="D1206" s="31"/>
      <c r="E1206" s="31"/>
      <c r="F1206" s="31"/>
      <c r="G1206" s="31"/>
      <c r="H1206" s="31"/>
      <c r="I1206" s="54"/>
      <c r="J1206" s="55"/>
      <c r="K1206" s="54"/>
      <c r="L1206" s="56"/>
      <c r="M1206" s="56"/>
      <c r="N1206" s="31"/>
      <c r="O1206" s="57"/>
      <c r="P1206" s="57"/>
      <c r="Q1206" s="57"/>
      <c r="R1206" s="57"/>
      <c r="S1206" s="31"/>
      <c r="T1206" s="57"/>
      <c r="U1206" s="57"/>
      <c r="V1206" s="57"/>
      <c r="W1206" s="57"/>
      <c r="X1206" s="31"/>
      <c r="Y1206" s="57"/>
      <c r="Z1206" s="57"/>
      <c r="AA1206" s="57"/>
      <c r="AB1206" s="57"/>
      <c r="AC1206" s="31"/>
      <c r="AD1206" s="57"/>
      <c r="AE1206" s="57"/>
      <c r="AF1206" s="57"/>
      <c r="AG1206" s="57"/>
      <c r="AH1206" s="57"/>
      <c r="AI1206" s="57"/>
      <c r="AJ1206" s="57"/>
      <c r="AK1206" s="57"/>
      <c r="AL1206" s="57"/>
      <c r="AM1206" s="57"/>
      <c r="AN1206" s="57"/>
      <c r="AO1206" s="57"/>
      <c r="AP1206" s="35"/>
      <c r="AQ1206" s="57"/>
      <c r="AR1206" s="36"/>
      <c r="AS1206" s="57"/>
      <c r="AT1206" s="37"/>
      <c r="AU1206" s="30"/>
      <c r="AV1206" s="30"/>
      <c r="AW1206" s="30"/>
      <c r="AX1206" s="30"/>
      <c r="AY1206" s="30"/>
      <c r="AZ1206" s="30"/>
    </row>
    <row r="1207">
      <c r="A1207" s="30"/>
      <c r="B1207" s="30"/>
      <c r="C1207" s="30"/>
      <c r="D1207" s="31"/>
      <c r="E1207" s="31"/>
      <c r="F1207" s="31"/>
      <c r="G1207" s="31"/>
      <c r="H1207" s="31"/>
      <c r="I1207" s="54"/>
      <c r="J1207" s="55"/>
      <c r="K1207" s="54"/>
      <c r="L1207" s="56"/>
      <c r="M1207" s="56"/>
      <c r="N1207" s="31"/>
      <c r="O1207" s="57"/>
      <c r="P1207" s="57"/>
      <c r="Q1207" s="57"/>
      <c r="R1207" s="57"/>
      <c r="S1207" s="31"/>
      <c r="T1207" s="57"/>
      <c r="U1207" s="57"/>
      <c r="V1207" s="57"/>
      <c r="W1207" s="57"/>
      <c r="X1207" s="31"/>
      <c r="Y1207" s="57"/>
      <c r="Z1207" s="57"/>
      <c r="AA1207" s="57"/>
      <c r="AB1207" s="57"/>
      <c r="AC1207" s="31"/>
      <c r="AD1207" s="57"/>
      <c r="AE1207" s="57"/>
      <c r="AF1207" s="57"/>
      <c r="AG1207" s="57"/>
      <c r="AH1207" s="57"/>
      <c r="AI1207" s="57"/>
      <c r="AJ1207" s="57"/>
      <c r="AK1207" s="57"/>
      <c r="AL1207" s="57"/>
      <c r="AM1207" s="57"/>
      <c r="AN1207" s="57"/>
      <c r="AO1207" s="57"/>
      <c r="AP1207" s="35"/>
      <c r="AQ1207" s="57"/>
      <c r="AR1207" s="36"/>
      <c r="AS1207" s="57"/>
      <c r="AT1207" s="37"/>
      <c r="AU1207" s="30"/>
      <c r="AV1207" s="30"/>
      <c r="AW1207" s="30"/>
      <c r="AX1207" s="30"/>
      <c r="AY1207" s="30"/>
      <c r="AZ1207" s="30"/>
    </row>
    <row r="1208">
      <c r="A1208" s="30"/>
      <c r="B1208" s="30"/>
      <c r="C1208" s="30"/>
      <c r="D1208" s="31"/>
      <c r="E1208" s="31"/>
      <c r="F1208" s="31"/>
      <c r="G1208" s="31"/>
      <c r="H1208" s="31"/>
      <c r="I1208" s="54"/>
      <c r="J1208" s="55"/>
      <c r="K1208" s="54"/>
      <c r="L1208" s="56"/>
      <c r="M1208" s="56"/>
      <c r="N1208" s="31"/>
      <c r="O1208" s="57"/>
      <c r="P1208" s="57"/>
      <c r="Q1208" s="57"/>
      <c r="R1208" s="57"/>
      <c r="S1208" s="31"/>
      <c r="T1208" s="57"/>
      <c r="U1208" s="57"/>
      <c r="V1208" s="57"/>
      <c r="W1208" s="57"/>
      <c r="X1208" s="31"/>
      <c r="Y1208" s="57"/>
      <c r="Z1208" s="57"/>
      <c r="AA1208" s="57"/>
      <c r="AB1208" s="57"/>
      <c r="AC1208" s="31"/>
      <c r="AD1208" s="57"/>
      <c r="AE1208" s="57"/>
      <c r="AF1208" s="57"/>
      <c r="AG1208" s="57"/>
      <c r="AH1208" s="57"/>
      <c r="AI1208" s="57"/>
      <c r="AJ1208" s="57"/>
      <c r="AK1208" s="57"/>
      <c r="AL1208" s="57"/>
      <c r="AM1208" s="57"/>
      <c r="AN1208" s="57"/>
      <c r="AO1208" s="57"/>
      <c r="AP1208" s="35"/>
      <c r="AQ1208" s="57"/>
      <c r="AR1208" s="36"/>
      <c r="AS1208" s="57"/>
      <c r="AT1208" s="37"/>
      <c r="AU1208" s="30"/>
      <c r="AV1208" s="30"/>
      <c r="AW1208" s="30"/>
      <c r="AX1208" s="30"/>
      <c r="AY1208" s="30"/>
      <c r="AZ1208" s="30"/>
    </row>
    <row r="1209">
      <c r="A1209" s="30"/>
      <c r="B1209" s="30"/>
      <c r="C1209" s="30"/>
      <c r="D1209" s="31"/>
      <c r="E1209" s="31"/>
      <c r="F1209" s="31"/>
      <c r="G1209" s="31"/>
      <c r="H1209" s="31"/>
      <c r="I1209" s="54"/>
      <c r="J1209" s="55"/>
      <c r="K1209" s="54"/>
      <c r="L1209" s="56"/>
      <c r="M1209" s="56"/>
      <c r="N1209" s="31"/>
      <c r="O1209" s="57"/>
      <c r="P1209" s="57"/>
      <c r="Q1209" s="57"/>
      <c r="R1209" s="57"/>
      <c r="S1209" s="31"/>
      <c r="T1209" s="57"/>
      <c r="U1209" s="57"/>
      <c r="V1209" s="57"/>
      <c r="W1209" s="57"/>
      <c r="X1209" s="31"/>
      <c r="Y1209" s="57"/>
      <c r="Z1209" s="57"/>
      <c r="AA1209" s="57"/>
      <c r="AB1209" s="57"/>
      <c r="AC1209" s="31"/>
      <c r="AD1209" s="57"/>
      <c r="AE1209" s="57"/>
      <c r="AF1209" s="57"/>
      <c r="AG1209" s="57"/>
      <c r="AH1209" s="57"/>
      <c r="AI1209" s="57"/>
      <c r="AJ1209" s="57"/>
      <c r="AK1209" s="57"/>
      <c r="AL1209" s="57"/>
      <c r="AM1209" s="57"/>
      <c r="AN1209" s="57"/>
      <c r="AO1209" s="57"/>
      <c r="AP1209" s="35"/>
      <c r="AQ1209" s="57"/>
      <c r="AR1209" s="36"/>
      <c r="AS1209" s="57"/>
      <c r="AT1209" s="37"/>
      <c r="AU1209" s="30"/>
      <c r="AV1209" s="30"/>
      <c r="AW1209" s="30"/>
      <c r="AX1209" s="30"/>
      <c r="AY1209" s="30"/>
      <c r="AZ1209" s="30"/>
    </row>
    <row r="1210">
      <c r="A1210" s="30"/>
      <c r="B1210" s="30"/>
      <c r="C1210" s="30"/>
      <c r="D1210" s="31"/>
      <c r="E1210" s="31"/>
      <c r="F1210" s="31"/>
      <c r="G1210" s="31"/>
      <c r="H1210" s="31"/>
      <c r="I1210" s="54"/>
      <c r="J1210" s="55"/>
      <c r="K1210" s="54"/>
      <c r="L1210" s="56"/>
      <c r="M1210" s="56"/>
      <c r="N1210" s="31"/>
      <c r="O1210" s="57"/>
      <c r="P1210" s="57"/>
      <c r="Q1210" s="57"/>
      <c r="R1210" s="57"/>
      <c r="S1210" s="31"/>
      <c r="T1210" s="57"/>
      <c r="U1210" s="57"/>
      <c r="V1210" s="57"/>
      <c r="W1210" s="57"/>
      <c r="X1210" s="31"/>
      <c r="Y1210" s="57"/>
      <c r="Z1210" s="57"/>
      <c r="AA1210" s="57"/>
      <c r="AB1210" s="57"/>
      <c r="AC1210" s="31"/>
      <c r="AD1210" s="57"/>
      <c r="AE1210" s="57"/>
      <c r="AF1210" s="57"/>
      <c r="AG1210" s="57"/>
      <c r="AH1210" s="57"/>
      <c r="AI1210" s="57"/>
      <c r="AJ1210" s="57"/>
      <c r="AK1210" s="57"/>
      <c r="AL1210" s="57"/>
      <c r="AM1210" s="57"/>
      <c r="AN1210" s="57"/>
      <c r="AO1210" s="57"/>
      <c r="AP1210" s="35"/>
      <c r="AQ1210" s="57"/>
      <c r="AR1210" s="36"/>
      <c r="AS1210" s="57"/>
      <c r="AT1210" s="37"/>
      <c r="AU1210" s="30"/>
      <c r="AV1210" s="30"/>
      <c r="AW1210" s="30"/>
      <c r="AX1210" s="30"/>
      <c r="AY1210" s="30"/>
      <c r="AZ1210" s="30"/>
    </row>
    <row r="1211">
      <c r="A1211" s="30"/>
      <c r="B1211" s="30"/>
      <c r="C1211" s="30"/>
      <c r="D1211" s="31"/>
      <c r="E1211" s="31"/>
      <c r="F1211" s="31"/>
      <c r="G1211" s="31"/>
      <c r="H1211" s="31"/>
      <c r="I1211" s="54"/>
      <c r="J1211" s="55"/>
      <c r="K1211" s="54"/>
      <c r="L1211" s="56"/>
      <c r="M1211" s="56"/>
      <c r="N1211" s="31"/>
      <c r="O1211" s="57"/>
      <c r="P1211" s="57"/>
      <c r="Q1211" s="57"/>
      <c r="R1211" s="57"/>
      <c r="S1211" s="31"/>
      <c r="T1211" s="57"/>
      <c r="U1211" s="57"/>
      <c r="V1211" s="57"/>
      <c r="W1211" s="57"/>
      <c r="X1211" s="31"/>
      <c r="Y1211" s="57"/>
      <c r="Z1211" s="57"/>
      <c r="AA1211" s="57"/>
      <c r="AB1211" s="57"/>
      <c r="AC1211" s="31"/>
      <c r="AD1211" s="57"/>
      <c r="AE1211" s="57"/>
      <c r="AF1211" s="57"/>
      <c r="AG1211" s="57"/>
      <c r="AH1211" s="57"/>
      <c r="AI1211" s="57"/>
      <c r="AJ1211" s="57"/>
      <c r="AK1211" s="57"/>
      <c r="AL1211" s="57"/>
      <c r="AM1211" s="57"/>
      <c r="AN1211" s="57"/>
      <c r="AO1211" s="57"/>
      <c r="AP1211" s="35"/>
      <c r="AQ1211" s="57"/>
      <c r="AR1211" s="36"/>
      <c r="AS1211" s="57"/>
      <c r="AT1211" s="37"/>
      <c r="AU1211" s="30"/>
      <c r="AV1211" s="30"/>
      <c r="AW1211" s="30"/>
      <c r="AX1211" s="30"/>
      <c r="AY1211" s="30"/>
      <c r="AZ1211" s="30"/>
    </row>
    <row r="1212">
      <c r="A1212" s="30"/>
      <c r="B1212" s="30"/>
      <c r="C1212" s="30"/>
      <c r="D1212" s="31"/>
      <c r="E1212" s="31"/>
      <c r="F1212" s="31"/>
      <c r="G1212" s="31"/>
      <c r="H1212" s="31"/>
      <c r="I1212" s="54"/>
      <c r="J1212" s="55"/>
      <c r="K1212" s="54"/>
      <c r="L1212" s="56"/>
      <c r="M1212" s="56"/>
      <c r="N1212" s="31"/>
      <c r="O1212" s="57"/>
      <c r="P1212" s="57"/>
      <c r="Q1212" s="57"/>
      <c r="R1212" s="57"/>
      <c r="S1212" s="31"/>
      <c r="T1212" s="57"/>
      <c r="U1212" s="57"/>
      <c r="V1212" s="57"/>
      <c r="W1212" s="57"/>
      <c r="X1212" s="31"/>
      <c r="Y1212" s="57"/>
      <c r="Z1212" s="57"/>
      <c r="AA1212" s="57"/>
      <c r="AB1212" s="57"/>
      <c r="AC1212" s="31"/>
      <c r="AD1212" s="57"/>
      <c r="AE1212" s="57"/>
      <c r="AF1212" s="57"/>
      <c r="AG1212" s="57"/>
      <c r="AH1212" s="57"/>
      <c r="AI1212" s="57"/>
      <c r="AJ1212" s="57"/>
      <c r="AK1212" s="57"/>
      <c r="AL1212" s="57"/>
      <c r="AM1212" s="57"/>
      <c r="AN1212" s="57"/>
      <c r="AO1212" s="57"/>
      <c r="AP1212" s="35"/>
      <c r="AQ1212" s="57"/>
      <c r="AR1212" s="36"/>
      <c r="AS1212" s="57"/>
      <c r="AT1212" s="37"/>
      <c r="AU1212" s="30"/>
      <c r="AV1212" s="30"/>
      <c r="AW1212" s="30"/>
      <c r="AX1212" s="30"/>
      <c r="AY1212" s="30"/>
      <c r="AZ1212" s="30"/>
    </row>
    <row r="1213">
      <c r="A1213" s="30"/>
      <c r="B1213" s="30"/>
      <c r="C1213" s="30"/>
      <c r="D1213" s="31"/>
      <c r="E1213" s="31"/>
      <c r="F1213" s="31"/>
      <c r="G1213" s="31"/>
      <c r="H1213" s="31"/>
      <c r="I1213" s="54"/>
      <c r="J1213" s="55"/>
      <c r="K1213" s="54"/>
      <c r="L1213" s="56"/>
      <c r="M1213" s="56"/>
      <c r="N1213" s="31"/>
      <c r="O1213" s="57"/>
      <c r="P1213" s="57"/>
      <c r="Q1213" s="57"/>
      <c r="R1213" s="57"/>
      <c r="S1213" s="31"/>
      <c r="T1213" s="57"/>
      <c r="U1213" s="57"/>
      <c r="V1213" s="57"/>
      <c r="W1213" s="57"/>
      <c r="X1213" s="31"/>
      <c r="Y1213" s="57"/>
      <c r="Z1213" s="57"/>
      <c r="AA1213" s="57"/>
      <c r="AB1213" s="57"/>
      <c r="AC1213" s="31"/>
      <c r="AD1213" s="57"/>
      <c r="AE1213" s="57"/>
      <c r="AF1213" s="57"/>
      <c r="AG1213" s="57"/>
      <c r="AH1213" s="57"/>
      <c r="AI1213" s="57"/>
      <c r="AJ1213" s="57"/>
      <c r="AK1213" s="57"/>
      <c r="AL1213" s="57"/>
      <c r="AM1213" s="57"/>
      <c r="AN1213" s="57"/>
      <c r="AO1213" s="57"/>
      <c r="AP1213" s="35"/>
      <c r="AQ1213" s="57"/>
      <c r="AR1213" s="36"/>
      <c r="AS1213" s="57"/>
      <c r="AT1213" s="37"/>
      <c r="AU1213" s="30"/>
      <c r="AV1213" s="30"/>
      <c r="AW1213" s="30"/>
      <c r="AX1213" s="30"/>
      <c r="AY1213" s="30"/>
      <c r="AZ1213" s="30"/>
    </row>
    <row r="1214">
      <c r="A1214" s="30"/>
      <c r="B1214" s="30"/>
      <c r="C1214" s="30"/>
      <c r="D1214" s="31"/>
      <c r="E1214" s="31"/>
      <c r="F1214" s="31"/>
      <c r="G1214" s="31"/>
      <c r="H1214" s="31"/>
      <c r="I1214" s="54"/>
      <c r="J1214" s="55"/>
      <c r="K1214" s="54"/>
      <c r="L1214" s="56"/>
      <c r="M1214" s="56"/>
      <c r="N1214" s="31"/>
      <c r="O1214" s="57"/>
      <c r="P1214" s="57"/>
      <c r="Q1214" s="57"/>
      <c r="R1214" s="57"/>
      <c r="S1214" s="31"/>
      <c r="T1214" s="57"/>
      <c r="U1214" s="57"/>
      <c r="V1214" s="57"/>
      <c r="W1214" s="57"/>
      <c r="X1214" s="31"/>
      <c r="Y1214" s="57"/>
      <c r="Z1214" s="57"/>
      <c r="AA1214" s="57"/>
      <c r="AB1214" s="57"/>
      <c r="AC1214" s="31"/>
      <c r="AD1214" s="57"/>
      <c r="AE1214" s="57"/>
      <c r="AF1214" s="57"/>
      <c r="AG1214" s="57"/>
      <c r="AH1214" s="57"/>
      <c r="AI1214" s="57"/>
      <c r="AJ1214" s="57"/>
      <c r="AK1214" s="57"/>
      <c r="AL1214" s="57"/>
      <c r="AM1214" s="57"/>
      <c r="AN1214" s="57"/>
      <c r="AO1214" s="57"/>
      <c r="AP1214" s="35"/>
      <c r="AQ1214" s="57"/>
      <c r="AR1214" s="36"/>
      <c r="AS1214" s="57"/>
      <c r="AT1214" s="37"/>
      <c r="AU1214" s="30"/>
      <c r="AV1214" s="30"/>
      <c r="AW1214" s="30"/>
      <c r="AX1214" s="30"/>
      <c r="AY1214" s="30"/>
      <c r="AZ1214" s="30"/>
    </row>
    <row r="1215">
      <c r="A1215" s="30"/>
      <c r="B1215" s="30"/>
      <c r="C1215" s="30"/>
      <c r="D1215" s="31"/>
      <c r="E1215" s="31"/>
      <c r="F1215" s="31"/>
      <c r="G1215" s="31"/>
      <c r="H1215" s="31"/>
      <c r="I1215" s="54"/>
      <c r="J1215" s="55"/>
      <c r="K1215" s="54"/>
      <c r="L1215" s="56"/>
      <c r="M1215" s="56"/>
      <c r="N1215" s="31"/>
      <c r="O1215" s="57"/>
      <c r="P1215" s="57"/>
      <c r="Q1215" s="57"/>
      <c r="R1215" s="57"/>
      <c r="S1215" s="31"/>
      <c r="T1215" s="57"/>
      <c r="U1215" s="57"/>
      <c r="V1215" s="57"/>
      <c r="W1215" s="57"/>
      <c r="X1215" s="31"/>
      <c r="Y1215" s="57"/>
      <c r="Z1215" s="57"/>
      <c r="AA1215" s="57"/>
      <c r="AB1215" s="57"/>
      <c r="AC1215" s="31"/>
      <c r="AD1215" s="57"/>
      <c r="AE1215" s="57"/>
      <c r="AF1215" s="57"/>
      <c r="AG1215" s="57"/>
      <c r="AH1215" s="57"/>
      <c r="AI1215" s="57"/>
      <c r="AJ1215" s="57"/>
      <c r="AK1215" s="57"/>
      <c r="AL1215" s="57"/>
      <c r="AM1215" s="57"/>
      <c r="AN1215" s="57"/>
      <c r="AO1215" s="57"/>
      <c r="AP1215" s="35"/>
      <c r="AQ1215" s="57"/>
      <c r="AR1215" s="36"/>
      <c r="AS1215" s="57"/>
      <c r="AT1215" s="37"/>
      <c r="AU1215" s="30"/>
      <c r="AV1215" s="30"/>
      <c r="AW1215" s="30"/>
      <c r="AX1215" s="30"/>
      <c r="AY1215" s="30"/>
      <c r="AZ1215" s="30"/>
    </row>
    <row r="1216">
      <c r="A1216" s="30"/>
      <c r="B1216" s="30"/>
      <c r="C1216" s="30"/>
      <c r="D1216" s="31"/>
      <c r="E1216" s="31"/>
      <c r="F1216" s="31"/>
      <c r="G1216" s="31"/>
      <c r="H1216" s="31"/>
      <c r="I1216" s="54"/>
      <c r="J1216" s="55"/>
      <c r="K1216" s="54"/>
      <c r="L1216" s="56"/>
      <c r="M1216" s="56"/>
      <c r="N1216" s="31"/>
      <c r="O1216" s="57"/>
      <c r="P1216" s="57"/>
      <c r="Q1216" s="57"/>
      <c r="R1216" s="57"/>
      <c r="S1216" s="31"/>
      <c r="T1216" s="57"/>
      <c r="U1216" s="57"/>
      <c r="V1216" s="57"/>
      <c r="W1216" s="57"/>
      <c r="X1216" s="31"/>
      <c r="Y1216" s="57"/>
      <c r="Z1216" s="57"/>
      <c r="AA1216" s="57"/>
      <c r="AB1216" s="57"/>
      <c r="AC1216" s="31"/>
      <c r="AD1216" s="57"/>
      <c r="AE1216" s="57"/>
      <c r="AF1216" s="57"/>
      <c r="AG1216" s="57"/>
      <c r="AH1216" s="57"/>
      <c r="AI1216" s="57"/>
      <c r="AJ1216" s="57"/>
      <c r="AK1216" s="57"/>
      <c r="AL1216" s="57"/>
      <c r="AM1216" s="57"/>
      <c r="AN1216" s="57"/>
      <c r="AO1216" s="57"/>
      <c r="AP1216" s="35"/>
      <c r="AQ1216" s="57"/>
      <c r="AR1216" s="36"/>
      <c r="AS1216" s="57"/>
      <c r="AT1216" s="37"/>
      <c r="AU1216" s="30"/>
      <c r="AV1216" s="30"/>
      <c r="AW1216" s="30"/>
      <c r="AX1216" s="30"/>
      <c r="AY1216" s="30"/>
      <c r="AZ1216" s="30"/>
    </row>
    <row r="1217">
      <c r="A1217" s="30"/>
      <c r="B1217" s="30"/>
      <c r="C1217" s="30"/>
      <c r="D1217" s="31"/>
      <c r="E1217" s="31"/>
      <c r="F1217" s="31"/>
      <c r="G1217" s="31"/>
      <c r="H1217" s="31"/>
      <c r="I1217" s="54"/>
      <c r="J1217" s="55"/>
      <c r="K1217" s="54"/>
      <c r="L1217" s="56"/>
      <c r="M1217" s="56"/>
      <c r="N1217" s="31"/>
      <c r="O1217" s="57"/>
      <c r="P1217" s="57"/>
      <c r="Q1217" s="57"/>
      <c r="R1217" s="57"/>
      <c r="S1217" s="31"/>
      <c r="T1217" s="57"/>
      <c r="U1217" s="57"/>
      <c r="V1217" s="57"/>
      <c r="W1217" s="57"/>
      <c r="X1217" s="31"/>
      <c r="Y1217" s="57"/>
      <c r="Z1217" s="57"/>
      <c r="AA1217" s="57"/>
      <c r="AB1217" s="57"/>
      <c r="AC1217" s="31"/>
      <c r="AD1217" s="57"/>
      <c r="AE1217" s="57"/>
      <c r="AF1217" s="57"/>
      <c r="AG1217" s="57"/>
      <c r="AH1217" s="57"/>
      <c r="AI1217" s="57"/>
      <c r="AJ1217" s="57"/>
      <c r="AK1217" s="57"/>
      <c r="AL1217" s="57"/>
      <c r="AM1217" s="57"/>
      <c r="AN1217" s="57"/>
      <c r="AO1217" s="57"/>
      <c r="AP1217" s="35"/>
      <c r="AQ1217" s="57"/>
      <c r="AR1217" s="36"/>
      <c r="AS1217" s="57"/>
      <c r="AT1217" s="37"/>
      <c r="AU1217" s="30"/>
      <c r="AV1217" s="30"/>
      <c r="AW1217" s="30"/>
      <c r="AX1217" s="30"/>
      <c r="AY1217" s="30"/>
      <c r="AZ1217" s="30"/>
    </row>
    <row r="1218">
      <c r="A1218" s="30"/>
      <c r="B1218" s="30"/>
      <c r="C1218" s="30"/>
      <c r="D1218" s="31"/>
      <c r="E1218" s="31"/>
      <c r="F1218" s="31"/>
      <c r="G1218" s="31"/>
      <c r="H1218" s="31"/>
      <c r="I1218" s="54"/>
      <c r="J1218" s="55"/>
      <c r="K1218" s="54"/>
      <c r="L1218" s="56"/>
      <c r="M1218" s="56"/>
      <c r="N1218" s="31"/>
      <c r="O1218" s="57"/>
      <c r="P1218" s="57"/>
      <c r="Q1218" s="57"/>
      <c r="R1218" s="57"/>
      <c r="S1218" s="31"/>
      <c r="T1218" s="57"/>
      <c r="U1218" s="57"/>
      <c r="V1218" s="57"/>
      <c r="W1218" s="57"/>
      <c r="X1218" s="31"/>
      <c r="Y1218" s="57"/>
      <c r="Z1218" s="57"/>
      <c r="AA1218" s="57"/>
      <c r="AB1218" s="57"/>
      <c r="AC1218" s="31"/>
      <c r="AD1218" s="57"/>
      <c r="AE1218" s="57"/>
      <c r="AF1218" s="57"/>
      <c r="AG1218" s="57"/>
      <c r="AH1218" s="57"/>
      <c r="AI1218" s="57"/>
      <c r="AJ1218" s="57"/>
      <c r="AK1218" s="57"/>
      <c r="AL1218" s="57"/>
      <c r="AM1218" s="57"/>
      <c r="AN1218" s="57"/>
      <c r="AO1218" s="57"/>
      <c r="AP1218" s="35"/>
      <c r="AQ1218" s="57"/>
      <c r="AR1218" s="36"/>
      <c r="AS1218" s="57"/>
      <c r="AT1218" s="37"/>
      <c r="AU1218" s="30"/>
      <c r="AV1218" s="30"/>
      <c r="AW1218" s="30"/>
      <c r="AX1218" s="30"/>
      <c r="AY1218" s="30"/>
      <c r="AZ1218" s="30"/>
    </row>
    <row r="1219">
      <c r="A1219" s="30"/>
      <c r="B1219" s="30"/>
      <c r="C1219" s="30"/>
      <c r="D1219" s="31"/>
      <c r="E1219" s="31"/>
      <c r="F1219" s="31"/>
      <c r="G1219" s="31"/>
      <c r="H1219" s="31"/>
      <c r="I1219" s="54"/>
      <c r="J1219" s="55"/>
      <c r="K1219" s="54"/>
      <c r="L1219" s="56"/>
      <c r="M1219" s="56"/>
      <c r="N1219" s="31"/>
      <c r="O1219" s="57"/>
      <c r="P1219" s="57"/>
      <c r="Q1219" s="57"/>
      <c r="R1219" s="57"/>
      <c r="S1219" s="31"/>
      <c r="T1219" s="57"/>
      <c r="U1219" s="57"/>
      <c r="V1219" s="57"/>
      <c r="W1219" s="57"/>
      <c r="X1219" s="31"/>
      <c r="Y1219" s="57"/>
      <c r="Z1219" s="57"/>
      <c r="AA1219" s="57"/>
      <c r="AB1219" s="57"/>
      <c r="AC1219" s="31"/>
      <c r="AD1219" s="57"/>
      <c r="AE1219" s="57"/>
      <c r="AF1219" s="57"/>
      <c r="AG1219" s="57"/>
      <c r="AH1219" s="57"/>
      <c r="AI1219" s="57"/>
      <c r="AJ1219" s="57"/>
      <c r="AK1219" s="57"/>
      <c r="AL1219" s="57"/>
      <c r="AM1219" s="57"/>
      <c r="AN1219" s="57"/>
      <c r="AO1219" s="57"/>
      <c r="AP1219" s="35"/>
      <c r="AQ1219" s="57"/>
      <c r="AR1219" s="36"/>
      <c r="AS1219" s="57"/>
      <c r="AT1219" s="37"/>
      <c r="AU1219" s="30"/>
      <c r="AV1219" s="30"/>
      <c r="AW1219" s="30"/>
      <c r="AX1219" s="30"/>
      <c r="AY1219" s="30"/>
      <c r="AZ1219" s="30"/>
    </row>
    <row r="1220">
      <c r="A1220" s="30"/>
      <c r="B1220" s="30"/>
      <c r="C1220" s="30"/>
      <c r="D1220" s="31"/>
      <c r="E1220" s="31"/>
      <c r="F1220" s="31"/>
      <c r="G1220" s="31"/>
      <c r="H1220" s="31"/>
      <c r="I1220" s="54"/>
      <c r="J1220" s="55"/>
      <c r="K1220" s="54"/>
      <c r="L1220" s="56"/>
      <c r="M1220" s="56"/>
      <c r="N1220" s="31"/>
      <c r="O1220" s="57"/>
      <c r="P1220" s="57"/>
      <c r="Q1220" s="57"/>
      <c r="R1220" s="57"/>
      <c r="S1220" s="31"/>
      <c r="T1220" s="57"/>
      <c r="U1220" s="57"/>
      <c r="V1220" s="57"/>
      <c r="W1220" s="57"/>
      <c r="X1220" s="31"/>
      <c r="Y1220" s="57"/>
      <c r="Z1220" s="57"/>
      <c r="AA1220" s="57"/>
      <c r="AB1220" s="57"/>
      <c r="AC1220" s="31"/>
      <c r="AD1220" s="57"/>
      <c r="AE1220" s="57"/>
      <c r="AF1220" s="57"/>
      <c r="AG1220" s="57"/>
      <c r="AH1220" s="57"/>
      <c r="AI1220" s="57"/>
      <c r="AJ1220" s="57"/>
      <c r="AK1220" s="57"/>
      <c r="AL1220" s="57"/>
      <c r="AM1220" s="57"/>
      <c r="AN1220" s="57"/>
      <c r="AO1220" s="57"/>
      <c r="AP1220" s="35"/>
      <c r="AQ1220" s="57"/>
      <c r="AR1220" s="36"/>
      <c r="AS1220" s="57"/>
      <c r="AT1220" s="37"/>
      <c r="AU1220" s="30"/>
      <c r="AV1220" s="30"/>
      <c r="AW1220" s="30"/>
      <c r="AX1220" s="30"/>
      <c r="AY1220" s="30"/>
      <c r="AZ1220" s="30"/>
    </row>
    <row r="1221">
      <c r="A1221" s="30"/>
      <c r="B1221" s="30"/>
      <c r="C1221" s="30"/>
      <c r="D1221" s="31"/>
      <c r="E1221" s="31"/>
      <c r="F1221" s="31"/>
      <c r="G1221" s="31"/>
      <c r="H1221" s="31"/>
      <c r="I1221" s="54"/>
      <c r="J1221" s="55"/>
      <c r="K1221" s="54"/>
      <c r="L1221" s="56"/>
      <c r="M1221" s="56"/>
      <c r="N1221" s="31"/>
      <c r="O1221" s="57"/>
      <c r="P1221" s="57"/>
      <c r="Q1221" s="57"/>
      <c r="R1221" s="57"/>
      <c r="S1221" s="31"/>
      <c r="T1221" s="57"/>
      <c r="U1221" s="57"/>
      <c r="V1221" s="57"/>
      <c r="W1221" s="57"/>
      <c r="X1221" s="31"/>
      <c r="Y1221" s="57"/>
      <c r="Z1221" s="57"/>
      <c r="AA1221" s="57"/>
      <c r="AB1221" s="57"/>
      <c r="AC1221" s="31"/>
      <c r="AD1221" s="57"/>
      <c r="AE1221" s="57"/>
      <c r="AF1221" s="57"/>
      <c r="AG1221" s="57"/>
      <c r="AH1221" s="57"/>
      <c r="AI1221" s="57"/>
      <c r="AJ1221" s="57"/>
      <c r="AK1221" s="57"/>
      <c r="AL1221" s="57"/>
      <c r="AM1221" s="57"/>
      <c r="AN1221" s="57"/>
      <c r="AO1221" s="57"/>
      <c r="AP1221" s="35"/>
      <c r="AQ1221" s="57"/>
      <c r="AR1221" s="36"/>
      <c r="AS1221" s="57"/>
      <c r="AT1221" s="37"/>
      <c r="AU1221" s="30"/>
      <c r="AV1221" s="30"/>
      <c r="AW1221" s="30"/>
      <c r="AX1221" s="30"/>
      <c r="AY1221" s="30"/>
      <c r="AZ1221" s="30"/>
    </row>
    <row r="1222">
      <c r="A1222" s="30"/>
      <c r="B1222" s="30"/>
      <c r="C1222" s="30"/>
      <c r="D1222" s="31"/>
      <c r="E1222" s="31"/>
      <c r="F1222" s="31"/>
      <c r="G1222" s="31"/>
      <c r="H1222" s="31"/>
      <c r="I1222" s="54"/>
      <c r="J1222" s="55"/>
      <c r="K1222" s="54"/>
      <c r="L1222" s="56"/>
      <c r="M1222" s="56"/>
      <c r="N1222" s="31"/>
      <c r="O1222" s="57"/>
      <c r="P1222" s="57"/>
      <c r="Q1222" s="57"/>
      <c r="R1222" s="57"/>
      <c r="S1222" s="31"/>
      <c r="T1222" s="57"/>
      <c r="U1222" s="57"/>
      <c r="V1222" s="57"/>
      <c r="W1222" s="57"/>
      <c r="X1222" s="31"/>
      <c r="Y1222" s="57"/>
      <c r="Z1222" s="57"/>
      <c r="AA1222" s="57"/>
      <c r="AB1222" s="57"/>
      <c r="AC1222" s="31"/>
      <c r="AD1222" s="57"/>
      <c r="AE1222" s="57"/>
      <c r="AF1222" s="57"/>
      <c r="AG1222" s="57"/>
      <c r="AH1222" s="57"/>
      <c r="AI1222" s="57"/>
      <c r="AJ1222" s="57"/>
      <c r="AK1222" s="57"/>
      <c r="AL1222" s="57"/>
      <c r="AM1222" s="57"/>
      <c r="AN1222" s="57"/>
      <c r="AO1222" s="57"/>
      <c r="AP1222" s="35"/>
      <c r="AQ1222" s="57"/>
      <c r="AR1222" s="36"/>
      <c r="AS1222" s="57"/>
      <c r="AT1222" s="37"/>
      <c r="AU1222" s="30"/>
      <c r="AV1222" s="30"/>
      <c r="AW1222" s="30"/>
      <c r="AX1222" s="30"/>
      <c r="AY1222" s="30"/>
      <c r="AZ1222" s="30"/>
    </row>
    <row r="1223">
      <c r="A1223" s="30"/>
      <c r="B1223" s="30"/>
      <c r="C1223" s="30"/>
      <c r="D1223" s="31"/>
      <c r="E1223" s="31"/>
      <c r="F1223" s="31"/>
      <c r="G1223" s="31"/>
      <c r="H1223" s="31"/>
      <c r="I1223" s="54"/>
      <c r="J1223" s="55"/>
      <c r="K1223" s="54"/>
      <c r="L1223" s="56"/>
      <c r="M1223" s="56"/>
      <c r="N1223" s="31"/>
      <c r="O1223" s="57"/>
      <c r="P1223" s="57"/>
      <c r="Q1223" s="57"/>
      <c r="R1223" s="57"/>
      <c r="S1223" s="31"/>
      <c r="T1223" s="57"/>
      <c r="U1223" s="57"/>
      <c r="V1223" s="57"/>
      <c r="W1223" s="57"/>
      <c r="X1223" s="31"/>
      <c r="Y1223" s="57"/>
      <c r="Z1223" s="57"/>
      <c r="AA1223" s="57"/>
      <c r="AB1223" s="57"/>
      <c r="AC1223" s="31"/>
      <c r="AD1223" s="57"/>
      <c r="AE1223" s="57"/>
      <c r="AF1223" s="57"/>
      <c r="AG1223" s="57"/>
      <c r="AH1223" s="57"/>
      <c r="AI1223" s="57"/>
      <c r="AJ1223" s="57"/>
      <c r="AK1223" s="57"/>
      <c r="AL1223" s="57"/>
      <c r="AM1223" s="57"/>
      <c r="AN1223" s="57"/>
      <c r="AO1223" s="57"/>
      <c r="AP1223" s="35"/>
      <c r="AQ1223" s="57"/>
      <c r="AR1223" s="36"/>
      <c r="AS1223" s="57"/>
      <c r="AT1223" s="37"/>
      <c r="AU1223" s="30"/>
      <c r="AV1223" s="30"/>
      <c r="AW1223" s="30"/>
      <c r="AX1223" s="30"/>
      <c r="AY1223" s="30"/>
      <c r="AZ1223" s="30"/>
    </row>
    <row r="1224">
      <c r="A1224" s="30"/>
      <c r="B1224" s="30"/>
      <c r="C1224" s="30"/>
      <c r="D1224" s="31"/>
      <c r="E1224" s="31"/>
      <c r="F1224" s="31"/>
      <c r="G1224" s="31"/>
      <c r="H1224" s="31"/>
      <c r="I1224" s="54"/>
      <c r="J1224" s="55"/>
      <c r="K1224" s="54"/>
      <c r="L1224" s="56"/>
      <c r="M1224" s="56"/>
      <c r="N1224" s="31"/>
      <c r="O1224" s="57"/>
      <c r="P1224" s="57"/>
      <c r="Q1224" s="57"/>
      <c r="R1224" s="57"/>
      <c r="S1224" s="31"/>
      <c r="T1224" s="57"/>
      <c r="U1224" s="57"/>
      <c r="V1224" s="57"/>
      <c r="W1224" s="57"/>
      <c r="X1224" s="31"/>
      <c r="Y1224" s="57"/>
      <c r="Z1224" s="57"/>
      <c r="AA1224" s="57"/>
      <c r="AB1224" s="57"/>
      <c r="AC1224" s="31"/>
      <c r="AD1224" s="57"/>
      <c r="AE1224" s="57"/>
      <c r="AF1224" s="57"/>
      <c r="AG1224" s="57"/>
      <c r="AH1224" s="57"/>
      <c r="AI1224" s="57"/>
      <c r="AJ1224" s="57"/>
      <c r="AK1224" s="57"/>
      <c r="AL1224" s="57"/>
      <c r="AM1224" s="57"/>
      <c r="AN1224" s="57"/>
      <c r="AO1224" s="57"/>
      <c r="AP1224" s="35"/>
      <c r="AQ1224" s="57"/>
      <c r="AR1224" s="36"/>
      <c r="AS1224" s="57"/>
      <c r="AT1224" s="37"/>
      <c r="AU1224" s="30"/>
      <c r="AV1224" s="30"/>
      <c r="AW1224" s="30"/>
      <c r="AX1224" s="30"/>
      <c r="AY1224" s="30"/>
      <c r="AZ1224" s="30"/>
    </row>
    <row r="1225">
      <c r="A1225" s="30"/>
      <c r="B1225" s="30"/>
      <c r="C1225" s="30"/>
      <c r="D1225" s="31"/>
      <c r="E1225" s="31"/>
      <c r="F1225" s="31"/>
      <c r="G1225" s="31"/>
      <c r="H1225" s="31"/>
      <c r="I1225" s="54"/>
      <c r="J1225" s="55"/>
      <c r="K1225" s="54"/>
      <c r="L1225" s="56"/>
      <c r="M1225" s="56"/>
      <c r="N1225" s="31"/>
      <c r="O1225" s="57"/>
      <c r="P1225" s="57"/>
      <c r="Q1225" s="57"/>
      <c r="R1225" s="57"/>
      <c r="S1225" s="31"/>
      <c r="T1225" s="57"/>
      <c r="U1225" s="57"/>
      <c r="V1225" s="57"/>
      <c r="W1225" s="57"/>
      <c r="X1225" s="31"/>
      <c r="Y1225" s="57"/>
      <c r="Z1225" s="57"/>
      <c r="AA1225" s="57"/>
      <c r="AB1225" s="57"/>
      <c r="AC1225" s="31"/>
      <c r="AD1225" s="57"/>
      <c r="AE1225" s="57"/>
      <c r="AF1225" s="57"/>
      <c r="AG1225" s="57"/>
      <c r="AH1225" s="57"/>
      <c r="AI1225" s="57"/>
      <c r="AJ1225" s="57"/>
      <c r="AK1225" s="57"/>
      <c r="AL1225" s="57"/>
      <c r="AM1225" s="57"/>
      <c r="AN1225" s="57"/>
      <c r="AO1225" s="57"/>
      <c r="AP1225" s="35"/>
      <c r="AQ1225" s="57"/>
      <c r="AR1225" s="36"/>
      <c r="AS1225" s="57"/>
      <c r="AT1225" s="37"/>
      <c r="AU1225" s="30"/>
      <c r="AV1225" s="30"/>
      <c r="AW1225" s="30"/>
      <c r="AX1225" s="30"/>
      <c r="AY1225" s="30"/>
      <c r="AZ1225" s="30"/>
    </row>
    <row r="1226">
      <c r="A1226" s="30"/>
      <c r="B1226" s="30"/>
      <c r="C1226" s="30"/>
      <c r="D1226" s="31"/>
      <c r="E1226" s="31"/>
      <c r="F1226" s="31"/>
      <c r="G1226" s="31"/>
      <c r="H1226" s="31"/>
      <c r="I1226" s="54"/>
      <c r="J1226" s="55"/>
      <c r="K1226" s="54"/>
      <c r="L1226" s="56"/>
      <c r="M1226" s="56"/>
      <c r="N1226" s="31"/>
      <c r="O1226" s="57"/>
      <c r="P1226" s="57"/>
      <c r="Q1226" s="57"/>
      <c r="R1226" s="57"/>
      <c r="S1226" s="31"/>
      <c r="T1226" s="57"/>
      <c r="U1226" s="57"/>
      <c r="V1226" s="57"/>
      <c r="W1226" s="57"/>
      <c r="X1226" s="31"/>
      <c r="Y1226" s="57"/>
      <c r="Z1226" s="57"/>
      <c r="AA1226" s="57"/>
      <c r="AB1226" s="57"/>
      <c r="AC1226" s="31"/>
      <c r="AD1226" s="57"/>
      <c r="AE1226" s="57"/>
      <c r="AF1226" s="57"/>
      <c r="AG1226" s="57"/>
      <c r="AH1226" s="57"/>
      <c r="AI1226" s="57"/>
      <c r="AJ1226" s="57"/>
      <c r="AK1226" s="57"/>
      <c r="AL1226" s="57"/>
      <c r="AM1226" s="57"/>
      <c r="AN1226" s="57"/>
      <c r="AO1226" s="57"/>
      <c r="AP1226" s="35"/>
      <c r="AQ1226" s="57"/>
      <c r="AR1226" s="36"/>
      <c r="AS1226" s="57"/>
      <c r="AT1226" s="37"/>
      <c r="AU1226" s="30"/>
      <c r="AV1226" s="30"/>
      <c r="AW1226" s="30"/>
      <c r="AX1226" s="30"/>
      <c r="AY1226" s="30"/>
      <c r="AZ1226" s="30"/>
    </row>
    <row r="1227">
      <c r="A1227" s="30"/>
      <c r="B1227" s="30"/>
      <c r="C1227" s="30"/>
      <c r="D1227" s="31"/>
      <c r="E1227" s="31"/>
      <c r="F1227" s="31"/>
      <c r="G1227" s="31"/>
      <c r="H1227" s="31"/>
      <c r="I1227" s="54"/>
      <c r="J1227" s="55"/>
      <c r="K1227" s="54"/>
      <c r="L1227" s="56"/>
      <c r="M1227" s="56"/>
      <c r="N1227" s="31"/>
      <c r="O1227" s="57"/>
      <c r="P1227" s="57"/>
      <c r="Q1227" s="57"/>
      <c r="R1227" s="57"/>
      <c r="S1227" s="31"/>
      <c r="T1227" s="57"/>
      <c r="U1227" s="57"/>
      <c r="V1227" s="57"/>
      <c r="W1227" s="57"/>
      <c r="X1227" s="31"/>
      <c r="Y1227" s="57"/>
      <c r="Z1227" s="57"/>
      <c r="AA1227" s="57"/>
      <c r="AB1227" s="57"/>
      <c r="AC1227" s="31"/>
      <c r="AD1227" s="57"/>
      <c r="AE1227" s="57"/>
      <c r="AF1227" s="57"/>
      <c r="AG1227" s="57"/>
      <c r="AH1227" s="57"/>
      <c r="AI1227" s="57"/>
      <c r="AJ1227" s="57"/>
      <c r="AK1227" s="57"/>
      <c r="AL1227" s="57"/>
      <c r="AM1227" s="57"/>
      <c r="AN1227" s="57"/>
      <c r="AO1227" s="57"/>
      <c r="AP1227" s="35"/>
      <c r="AQ1227" s="57"/>
      <c r="AR1227" s="36"/>
      <c r="AS1227" s="57"/>
      <c r="AT1227" s="37"/>
      <c r="AU1227" s="30"/>
      <c r="AV1227" s="30"/>
      <c r="AW1227" s="30"/>
      <c r="AX1227" s="30"/>
      <c r="AY1227" s="30"/>
      <c r="AZ1227" s="30"/>
    </row>
    <row r="1228">
      <c r="A1228" s="30"/>
      <c r="B1228" s="30"/>
      <c r="C1228" s="30"/>
      <c r="D1228" s="31"/>
      <c r="E1228" s="31"/>
      <c r="F1228" s="31"/>
      <c r="G1228" s="31"/>
      <c r="H1228" s="31"/>
      <c r="I1228" s="54"/>
      <c r="J1228" s="55"/>
      <c r="K1228" s="54"/>
      <c r="L1228" s="56"/>
      <c r="M1228" s="56"/>
      <c r="N1228" s="31"/>
      <c r="O1228" s="57"/>
      <c r="P1228" s="57"/>
      <c r="Q1228" s="57"/>
      <c r="R1228" s="57"/>
      <c r="S1228" s="31"/>
      <c r="T1228" s="57"/>
      <c r="U1228" s="57"/>
      <c r="V1228" s="57"/>
      <c r="W1228" s="57"/>
      <c r="X1228" s="31"/>
      <c r="Y1228" s="57"/>
      <c r="Z1228" s="57"/>
      <c r="AA1228" s="57"/>
      <c r="AB1228" s="57"/>
      <c r="AC1228" s="31"/>
      <c r="AD1228" s="57"/>
      <c r="AE1228" s="57"/>
      <c r="AF1228" s="57"/>
      <c r="AG1228" s="57"/>
      <c r="AH1228" s="57"/>
      <c r="AI1228" s="57"/>
      <c r="AJ1228" s="57"/>
      <c r="AK1228" s="57"/>
      <c r="AL1228" s="57"/>
      <c r="AM1228" s="57"/>
      <c r="AN1228" s="57"/>
      <c r="AO1228" s="57"/>
      <c r="AP1228" s="35"/>
      <c r="AQ1228" s="57"/>
      <c r="AR1228" s="36"/>
      <c r="AS1228" s="57"/>
      <c r="AT1228" s="37"/>
      <c r="AU1228" s="30"/>
      <c r="AV1228" s="30"/>
      <c r="AW1228" s="30"/>
      <c r="AX1228" s="30"/>
      <c r="AY1228" s="30"/>
      <c r="AZ1228" s="30"/>
    </row>
    <row r="1229">
      <c r="A1229" s="30"/>
      <c r="B1229" s="30"/>
      <c r="C1229" s="30"/>
      <c r="D1229" s="31"/>
      <c r="E1229" s="31"/>
      <c r="F1229" s="31"/>
      <c r="G1229" s="31"/>
      <c r="H1229" s="31"/>
      <c r="I1229" s="54"/>
      <c r="J1229" s="55"/>
      <c r="K1229" s="54"/>
      <c r="L1229" s="56"/>
      <c r="M1229" s="56"/>
      <c r="N1229" s="31"/>
      <c r="O1229" s="57"/>
      <c r="P1229" s="57"/>
      <c r="Q1229" s="57"/>
      <c r="R1229" s="57"/>
      <c r="S1229" s="31"/>
      <c r="T1229" s="57"/>
      <c r="U1229" s="57"/>
      <c r="V1229" s="57"/>
      <c r="W1229" s="57"/>
      <c r="X1229" s="31"/>
      <c r="Y1229" s="57"/>
      <c r="Z1229" s="57"/>
      <c r="AA1229" s="57"/>
      <c r="AB1229" s="57"/>
      <c r="AC1229" s="31"/>
      <c r="AD1229" s="57"/>
      <c r="AE1229" s="57"/>
      <c r="AF1229" s="57"/>
      <c r="AG1229" s="57"/>
      <c r="AH1229" s="57"/>
      <c r="AI1229" s="57"/>
      <c r="AJ1229" s="57"/>
      <c r="AK1229" s="57"/>
      <c r="AL1229" s="57"/>
      <c r="AM1229" s="57"/>
      <c r="AN1229" s="57"/>
      <c r="AO1229" s="57"/>
      <c r="AP1229" s="35"/>
      <c r="AQ1229" s="57"/>
      <c r="AR1229" s="36"/>
      <c r="AS1229" s="57"/>
      <c r="AT1229" s="37"/>
      <c r="AU1229" s="30"/>
      <c r="AV1229" s="30"/>
      <c r="AW1229" s="30"/>
      <c r="AX1229" s="30"/>
      <c r="AY1229" s="30"/>
      <c r="AZ1229" s="30"/>
    </row>
    <row r="1230">
      <c r="A1230" s="30"/>
      <c r="B1230" s="30"/>
      <c r="C1230" s="30"/>
      <c r="D1230" s="31"/>
      <c r="E1230" s="31"/>
      <c r="F1230" s="31"/>
      <c r="G1230" s="31"/>
      <c r="H1230" s="31"/>
      <c r="I1230" s="54"/>
      <c r="J1230" s="55"/>
      <c r="K1230" s="54"/>
      <c r="L1230" s="56"/>
      <c r="M1230" s="56"/>
      <c r="N1230" s="31"/>
      <c r="O1230" s="57"/>
      <c r="P1230" s="57"/>
      <c r="Q1230" s="57"/>
      <c r="R1230" s="57"/>
      <c r="S1230" s="31"/>
      <c r="T1230" s="57"/>
      <c r="U1230" s="57"/>
      <c r="V1230" s="57"/>
      <c r="W1230" s="57"/>
      <c r="X1230" s="31"/>
      <c r="Y1230" s="57"/>
      <c r="Z1230" s="57"/>
      <c r="AA1230" s="57"/>
      <c r="AB1230" s="57"/>
      <c r="AC1230" s="31"/>
      <c r="AD1230" s="57"/>
      <c r="AE1230" s="57"/>
      <c r="AF1230" s="57"/>
      <c r="AG1230" s="57"/>
      <c r="AH1230" s="57"/>
      <c r="AI1230" s="57"/>
      <c r="AJ1230" s="57"/>
      <c r="AK1230" s="57"/>
      <c r="AL1230" s="57"/>
      <c r="AM1230" s="57"/>
      <c r="AN1230" s="57"/>
      <c r="AO1230" s="57"/>
      <c r="AP1230" s="35"/>
      <c r="AQ1230" s="57"/>
      <c r="AR1230" s="36"/>
      <c r="AS1230" s="57"/>
      <c r="AT1230" s="37"/>
      <c r="AU1230" s="30"/>
      <c r="AV1230" s="30"/>
      <c r="AW1230" s="30"/>
      <c r="AX1230" s="30"/>
      <c r="AY1230" s="30"/>
      <c r="AZ1230" s="30"/>
    </row>
    <row r="1231">
      <c r="A1231" s="30"/>
      <c r="B1231" s="30"/>
      <c r="C1231" s="30"/>
      <c r="D1231" s="31"/>
      <c r="E1231" s="31"/>
      <c r="F1231" s="31"/>
      <c r="G1231" s="31"/>
      <c r="H1231" s="31"/>
      <c r="I1231" s="54"/>
      <c r="J1231" s="55"/>
      <c r="K1231" s="54"/>
      <c r="L1231" s="56"/>
      <c r="M1231" s="56"/>
      <c r="N1231" s="31"/>
      <c r="O1231" s="57"/>
      <c r="P1231" s="57"/>
      <c r="Q1231" s="57"/>
      <c r="R1231" s="57"/>
      <c r="S1231" s="31"/>
      <c r="T1231" s="57"/>
      <c r="U1231" s="57"/>
      <c r="V1231" s="57"/>
      <c r="W1231" s="57"/>
      <c r="X1231" s="31"/>
      <c r="Y1231" s="57"/>
      <c r="Z1231" s="57"/>
      <c r="AA1231" s="57"/>
      <c r="AB1231" s="57"/>
      <c r="AC1231" s="31"/>
      <c r="AD1231" s="57"/>
      <c r="AE1231" s="57"/>
      <c r="AF1231" s="57"/>
      <c r="AG1231" s="57"/>
      <c r="AH1231" s="57"/>
      <c r="AI1231" s="57"/>
      <c r="AJ1231" s="57"/>
      <c r="AK1231" s="57"/>
      <c r="AL1231" s="57"/>
      <c r="AM1231" s="57"/>
      <c r="AN1231" s="57"/>
      <c r="AO1231" s="57"/>
      <c r="AP1231" s="35"/>
      <c r="AQ1231" s="57"/>
      <c r="AR1231" s="36"/>
      <c r="AS1231" s="57"/>
      <c r="AT1231" s="37"/>
      <c r="AU1231" s="30"/>
      <c r="AV1231" s="30"/>
      <c r="AW1231" s="30"/>
      <c r="AX1231" s="30"/>
      <c r="AY1231" s="30"/>
      <c r="AZ1231" s="30"/>
    </row>
    <row r="1232">
      <c r="A1232" s="30"/>
      <c r="B1232" s="30"/>
      <c r="C1232" s="30"/>
      <c r="D1232" s="31"/>
      <c r="E1232" s="31"/>
      <c r="F1232" s="31"/>
      <c r="G1232" s="31"/>
      <c r="H1232" s="31"/>
      <c r="I1232" s="54"/>
      <c r="J1232" s="55"/>
      <c r="K1232" s="54"/>
      <c r="L1232" s="56"/>
      <c r="M1232" s="56"/>
      <c r="N1232" s="31"/>
      <c r="O1232" s="57"/>
      <c r="P1232" s="57"/>
      <c r="Q1232" s="57"/>
      <c r="R1232" s="57"/>
      <c r="S1232" s="31"/>
      <c r="T1232" s="57"/>
      <c r="U1232" s="57"/>
      <c r="V1232" s="57"/>
      <c r="W1232" s="57"/>
      <c r="X1232" s="31"/>
      <c r="Y1232" s="57"/>
      <c r="Z1232" s="57"/>
      <c r="AA1232" s="57"/>
      <c r="AB1232" s="57"/>
      <c r="AC1232" s="31"/>
      <c r="AD1232" s="57"/>
      <c r="AE1232" s="57"/>
      <c r="AF1232" s="57"/>
      <c r="AG1232" s="57"/>
      <c r="AH1232" s="57"/>
      <c r="AI1232" s="57"/>
      <c r="AJ1232" s="57"/>
      <c r="AK1232" s="57"/>
      <c r="AL1232" s="57"/>
      <c r="AM1232" s="57"/>
      <c r="AN1232" s="57"/>
      <c r="AO1232" s="57"/>
      <c r="AP1232" s="35"/>
      <c r="AQ1232" s="57"/>
      <c r="AR1232" s="36"/>
      <c r="AS1232" s="57"/>
      <c r="AT1232" s="37"/>
      <c r="AU1232" s="30"/>
      <c r="AV1232" s="30"/>
      <c r="AW1232" s="30"/>
      <c r="AX1232" s="30"/>
      <c r="AY1232" s="30"/>
      <c r="AZ1232" s="30"/>
    </row>
    <row r="1233">
      <c r="A1233" s="30"/>
      <c r="B1233" s="30"/>
      <c r="C1233" s="30"/>
      <c r="D1233" s="31"/>
      <c r="E1233" s="31"/>
      <c r="F1233" s="31"/>
      <c r="G1233" s="31"/>
      <c r="H1233" s="31"/>
      <c r="I1233" s="54"/>
      <c r="J1233" s="55"/>
      <c r="K1233" s="54"/>
      <c r="L1233" s="56"/>
      <c r="M1233" s="56"/>
      <c r="N1233" s="31"/>
      <c r="O1233" s="57"/>
      <c r="P1233" s="57"/>
      <c r="Q1233" s="57"/>
      <c r="R1233" s="57"/>
      <c r="S1233" s="31"/>
      <c r="T1233" s="57"/>
      <c r="U1233" s="57"/>
      <c r="V1233" s="57"/>
      <c r="W1233" s="57"/>
      <c r="X1233" s="31"/>
      <c r="Y1233" s="57"/>
      <c r="Z1233" s="57"/>
      <c r="AA1233" s="57"/>
      <c r="AB1233" s="57"/>
      <c r="AC1233" s="31"/>
      <c r="AD1233" s="57"/>
      <c r="AE1233" s="57"/>
      <c r="AF1233" s="57"/>
      <c r="AG1233" s="57"/>
      <c r="AH1233" s="57"/>
      <c r="AI1233" s="57"/>
      <c r="AJ1233" s="57"/>
      <c r="AK1233" s="57"/>
      <c r="AL1233" s="57"/>
      <c r="AM1233" s="57"/>
      <c r="AN1233" s="57"/>
      <c r="AO1233" s="57"/>
      <c r="AP1233" s="35"/>
      <c r="AQ1233" s="57"/>
      <c r="AR1233" s="36"/>
      <c r="AS1233" s="57"/>
      <c r="AT1233" s="37"/>
      <c r="AU1233" s="30"/>
      <c r="AV1233" s="30"/>
      <c r="AW1233" s="30"/>
      <c r="AX1233" s="30"/>
      <c r="AY1233" s="30"/>
      <c r="AZ1233" s="30"/>
    </row>
    <row r="1234">
      <c r="A1234" s="30"/>
      <c r="B1234" s="30"/>
      <c r="C1234" s="30"/>
      <c r="D1234" s="31"/>
      <c r="E1234" s="31"/>
      <c r="F1234" s="31"/>
      <c r="G1234" s="31"/>
      <c r="H1234" s="31"/>
      <c r="I1234" s="54"/>
      <c r="J1234" s="55"/>
      <c r="K1234" s="54"/>
      <c r="L1234" s="56"/>
      <c r="M1234" s="56"/>
      <c r="N1234" s="31"/>
      <c r="O1234" s="57"/>
      <c r="P1234" s="57"/>
      <c r="Q1234" s="57"/>
      <c r="R1234" s="57"/>
      <c r="S1234" s="31"/>
      <c r="T1234" s="57"/>
      <c r="U1234" s="57"/>
      <c r="V1234" s="57"/>
      <c r="W1234" s="57"/>
      <c r="X1234" s="31"/>
      <c r="Y1234" s="57"/>
      <c r="Z1234" s="57"/>
      <c r="AA1234" s="57"/>
      <c r="AB1234" s="57"/>
      <c r="AC1234" s="31"/>
      <c r="AD1234" s="57"/>
      <c r="AE1234" s="57"/>
      <c r="AF1234" s="57"/>
      <c r="AG1234" s="57"/>
      <c r="AH1234" s="57"/>
      <c r="AI1234" s="57"/>
      <c r="AJ1234" s="57"/>
      <c r="AK1234" s="57"/>
      <c r="AL1234" s="57"/>
      <c r="AM1234" s="57"/>
      <c r="AN1234" s="57"/>
      <c r="AO1234" s="57"/>
      <c r="AP1234" s="35"/>
      <c r="AQ1234" s="57"/>
      <c r="AR1234" s="36"/>
      <c r="AS1234" s="57"/>
      <c r="AT1234" s="37"/>
      <c r="AU1234" s="30"/>
      <c r="AV1234" s="30"/>
      <c r="AW1234" s="30"/>
      <c r="AX1234" s="30"/>
      <c r="AY1234" s="30"/>
      <c r="AZ1234" s="30"/>
    </row>
    <row r="1235">
      <c r="A1235" s="30"/>
      <c r="B1235" s="30"/>
      <c r="C1235" s="30"/>
      <c r="D1235" s="31"/>
      <c r="E1235" s="31"/>
      <c r="F1235" s="31"/>
      <c r="G1235" s="31"/>
      <c r="H1235" s="31"/>
      <c r="I1235" s="54"/>
      <c r="J1235" s="55"/>
      <c r="K1235" s="54"/>
      <c r="L1235" s="56"/>
      <c r="M1235" s="56"/>
      <c r="N1235" s="31"/>
      <c r="O1235" s="57"/>
      <c r="P1235" s="57"/>
      <c r="Q1235" s="57"/>
      <c r="R1235" s="57"/>
      <c r="S1235" s="31"/>
      <c r="T1235" s="57"/>
      <c r="U1235" s="57"/>
      <c r="V1235" s="57"/>
      <c r="W1235" s="57"/>
      <c r="X1235" s="31"/>
      <c r="Y1235" s="57"/>
      <c r="Z1235" s="57"/>
      <c r="AA1235" s="57"/>
      <c r="AB1235" s="57"/>
      <c r="AC1235" s="31"/>
      <c r="AD1235" s="57"/>
      <c r="AE1235" s="57"/>
      <c r="AF1235" s="57"/>
      <c r="AG1235" s="57"/>
      <c r="AH1235" s="57"/>
      <c r="AI1235" s="57"/>
      <c r="AJ1235" s="57"/>
      <c r="AK1235" s="57"/>
      <c r="AL1235" s="57"/>
      <c r="AM1235" s="57"/>
      <c r="AN1235" s="57"/>
      <c r="AO1235" s="57"/>
      <c r="AP1235" s="35"/>
      <c r="AQ1235" s="57"/>
      <c r="AR1235" s="36"/>
      <c r="AS1235" s="57"/>
      <c r="AT1235" s="37"/>
      <c r="AU1235" s="30"/>
      <c r="AV1235" s="30"/>
      <c r="AW1235" s="30"/>
      <c r="AX1235" s="30"/>
      <c r="AY1235" s="30"/>
      <c r="AZ1235" s="30"/>
    </row>
    <row r="1236">
      <c r="A1236" s="30"/>
      <c r="B1236" s="30"/>
      <c r="C1236" s="30"/>
      <c r="D1236" s="31"/>
      <c r="E1236" s="31"/>
      <c r="F1236" s="31"/>
      <c r="G1236" s="31"/>
      <c r="H1236" s="31"/>
      <c r="I1236" s="54"/>
      <c r="J1236" s="55"/>
      <c r="K1236" s="54"/>
      <c r="L1236" s="56"/>
      <c r="M1236" s="56"/>
      <c r="N1236" s="31"/>
      <c r="O1236" s="57"/>
      <c r="P1236" s="57"/>
      <c r="Q1236" s="57"/>
      <c r="R1236" s="57"/>
      <c r="S1236" s="31"/>
      <c r="T1236" s="57"/>
      <c r="U1236" s="57"/>
      <c r="V1236" s="57"/>
      <c r="W1236" s="57"/>
      <c r="X1236" s="31"/>
      <c r="Y1236" s="57"/>
      <c r="Z1236" s="57"/>
      <c r="AA1236" s="57"/>
      <c r="AB1236" s="57"/>
      <c r="AC1236" s="31"/>
      <c r="AD1236" s="57"/>
      <c r="AE1236" s="57"/>
      <c r="AF1236" s="57"/>
      <c r="AG1236" s="57"/>
      <c r="AH1236" s="57"/>
      <c r="AI1236" s="57"/>
      <c r="AJ1236" s="57"/>
      <c r="AK1236" s="57"/>
      <c r="AL1236" s="57"/>
      <c r="AM1236" s="57"/>
      <c r="AN1236" s="57"/>
      <c r="AO1236" s="57"/>
      <c r="AP1236" s="35"/>
      <c r="AQ1236" s="57"/>
      <c r="AR1236" s="36"/>
      <c r="AS1236" s="57"/>
      <c r="AT1236" s="37"/>
      <c r="AU1236" s="30"/>
      <c r="AV1236" s="30"/>
      <c r="AW1236" s="30"/>
      <c r="AX1236" s="30"/>
      <c r="AY1236" s="30"/>
      <c r="AZ1236" s="30"/>
    </row>
    <row r="1237">
      <c r="A1237" s="30"/>
      <c r="B1237" s="30"/>
      <c r="C1237" s="30"/>
      <c r="D1237" s="31"/>
      <c r="E1237" s="31"/>
      <c r="F1237" s="31"/>
      <c r="G1237" s="31"/>
      <c r="H1237" s="31"/>
      <c r="I1237" s="54"/>
      <c r="J1237" s="55"/>
      <c r="K1237" s="54"/>
      <c r="L1237" s="56"/>
      <c r="M1237" s="56"/>
      <c r="N1237" s="31"/>
      <c r="O1237" s="57"/>
      <c r="P1237" s="57"/>
      <c r="Q1237" s="57"/>
      <c r="R1237" s="57"/>
      <c r="S1237" s="31"/>
      <c r="T1237" s="57"/>
      <c r="U1237" s="57"/>
      <c r="V1237" s="57"/>
      <c r="W1237" s="57"/>
      <c r="X1237" s="31"/>
      <c r="Y1237" s="57"/>
      <c r="Z1237" s="57"/>
      <c r="AA1237" s="57"/>
      <c r="AB1237" s="57"/>
      <c r="AC1237" s="31"/>
      <c r="AD1237" s="57"/>
      <c r="AE1237" s="57"/>
      <c r="AF1237" s="57"/>
      <c r="AG1237" s="57"/>
      <c r="AH1237" s="57"/>
      <c r="AI1237" s="57"/>
      <c r="AJ1237" s="57"/>
      <c r="AK1237" s="57"/>
      <c r="AL1237" s="57"/>
      <c r="AM1237" s="57"/>
      <c r="AN1237" s="57"/>
      <c r="AO1237" s="57"/>
      <c r="AP1237" s="35"/>
      <c r="AQ1237" s="57"/>
      <c r="AR1237" s="36"/>
      <c r="AS1237" s="57"/>
      <c r="AT1237" s="37"/>
      <c r="AU1237" s="30"/>
      <c r="AV1237" s="30"/>
      <c r="AW1237" s="30"/>
      <c r="AX1237" s="30"/>
      <c r="AY1237" s="30"/>
      <c r="AZ1237" s="30"/>
    </row>
    <row r="1238">
      <c r="A1238" s="30"/>
      <c r="B1238" s="30"/>
      <c r="C1238" s="30"/>
      <c r="D1238" s="31"/>
      <c r="E1238" s="31"/>
      <c r="F1238" s="31"/>
      <c r="G1238" s="31"/>
      <c r="H1238" s="31"/>
      <c r="I1238" s="54"/>
      <c r="J1238" s="55"/>
      <c r="K1238" s="54"/>
      <c r="L1238" s="56"/>
      <c r="M1238" s="56"/>
      <c r="N1238" s="31"/>
      <c r="O1238" s="57"/>
      <c r="P1238" s="57"/>
      <c r="Q1238" s="57"/>
      <c r="R1238" s="57"/>
      <c r="S1238" s="31"/>
      <c r="T1238" s="57"/>
      <c r="U1238" s="57"/>
      <c r="V1238" s="57"/>
      <c r="W1238" s="57"/>
      <c r="X1238" s="31"/>
      <c r="Y1238" s="57"/>
      <c r="Z1238" s="57"/>
      <c r="AA1238" s="57"/>
      <c r="AB1238" s="57"/>
      <c r="AC1238" s="31"/>
      <c r="AD1238" s="57"/>
      <c r="AE1238" s="57"/>
      <c r="AF1238" s="57"/>
      <c r="AG1238" s="57"/>
      <c r="AH1238" s="57"/>
      <c r="AI1238" s="57"/>
      <c r="AJ1238" s="57"/>
      <c r="AK1238" s="57"/>
      <c r="AL1238" s="57"/>
      <c r="AM1238" s="57"/>
      <c r="AN1238" s="57"/>
      <c r="AO1238" s="57"/>
      <c r="AP1238" s="35"/>
      <c r="AQ1238" s="57"/>
      <c r="AR1238" s="36"/>
      <c r="AS1238" s="57"/>
      <c r="AT1238" s="37"/>
      <c r="AU1238" s="30"/>
      <c r="AV1238" s="30"/>
      <c r="AW1238" s="30"/>
      <c r="AX1238" s="30"/>
      <c r="AY1238" s="30"/>
      <c r="AZ1238" s="30"/>
    </row>
    <row r="1239">
      <c r="A1239" s="30"/>
      <c r="B1239" s="30"/>
      <c r="C1239" s="30"/>
      <c r="D1239" s="31"/>
      <c r="E1239" s="31"/>
      <c r="F1239" s="31"/>
      <c r="G1239" s="31"/>
      <c r="H1239" s="31"/>
      <c r="I1239" s="54"/>
      <c r="J1239" s="55"/>
      <c r="K1239" s="54"/>
      <c r="L1239" s="56"/>
      <c r="M1239" s="56"/>
      <c r="N1239" s="31"/>
      <c r="O1239" s="57"/>
      <c r="P1239" s="57"/>
      <c r="Q1239" s="57"/>
      <c r="R1239" s="57"/>
      <c r="S1239" s="31"/>
      <c r="T1239" s="57"/>
      <c r="U1239" s="57"/>
      <c r="V1239" s="57"/>
      <c r="W1239" s="57"/>
      <c r="X1239" s="31"/>
      <c r="Y1239" s="57"/>
      <c r="Z1239" s="57"/>
      <c r="AA1239" s="57"/>
      <c r="AB1239" s="57"/>
      <c r="AC1239" s="31"/>
      <c r="AD1239" s="57"/>
      <c r="AE1239" s="57"/>
      <c r="AF1239" s="57"/>
      <c r="AG1239" s="57"/>
      <c r="AH1239" s="57"/>
      <c r="AI1239" s="57"/>
      <c r="AJ1239" s="57"/>
      <c r="AK1239" s="57"/>
      <c r="AL1239" s="57"/>
      <c r="AM1239" s="57"/>
      <c r="AN1239" s="57"/>
      <c r="AO1239" s="57"/>
      <c r="AP1239" s="35"/>
      <c r="AQ1239" s="57"/>
      <c r="AR1239" s="36"/>
      <c r="AS1239" s="57"/>
      <c r="AT1239" s="37"/>
      <c r="AU1239" s="30"/>
      <c r="AV1239" s="30"/>
      <c r="AW1239" s="30"/>
      <c r="AX1239" s="30"/>
      <c r="AY1239" s="30"/>
      <c r="AZ1239" s="30"/>
    </row>
    <row r="1240">
      <c r="A1240" s="30"/>
      <c r="B1240" s="30"/>
      <c r="C1240" s="30"/>
      <c r="D1240" s="31"/>
      <c r="E1240" s="31"/>
      <c r="F1240" s="31"/>
      <c r="G1240" s="31"/>
      <c r="H1240" s="31"/>
      <c r="I1240" s="54"/>
      <c r="J1240" s="55"/>
      <c r="K1240" s="54"/>
      <c r="L1240" s="56"/>
      <c r="M1240" s="56"/>
      <c r="N1240" s="31"/>
      <c r="O1240" s="57"/>
      <c r="P1240" s="57"/>
      <c r="Q1240" s="57"/>
      <c r="R1240" s="57"/>
      <c r="S1240" s="31"/>
      <c r="T1240" s="57"/>
      <c r="U1240" s="57"/>
      <c r="V1240" s="57"/>
      <c r="W1240" s="57"/>
      <c r="X1240" s="31"/>
      <c r="Y1240" s="57"/>
      <c r="Z1240" s="57"/>
      <c r="AA1240" s="57"/>
      <c r="AB1240" s="57"/>
      <c r="AC1240" s="31"/>
      <c r="AD1240" s="57"/>
      <c r="AE1240" s="57"/>
      <c r="AF1240" s="57"/>
      <c r="AG1240" s="57"/>
      <c r="AH1240" s="57"/>
      <c r="AI1240" s="57"/>
      <c r="AJ1240" s="57"/>
      <c r="AK1240" s="57"/>
      <c r="AL1240" s="57"/>
      <c r="AM1240" s="57"/>
      <c r="AN1240" s="57"/>
      <c r="AO1240" s="57"/>
      <c r="AP1240" s="35"/>
      <c r="AQ1240" s="57"/>
      <c r="AR1240" s="36"/>
      <c r="AS1240" s="57"/>
      <c r="AT1240" s="37"/>
      <c r="AU1240" s="30"/>
      <c r="AV1240" s="30"/>
      <c r="AW1240" s="30"/>
      <c r="AX1240" s="30"/>
      <c r="AY1240" s="30"/>
      <c r="AZ1240" s="30"/>
    </row>
    <row r="1241">
      <c r="A1241" s="30"/>
      <c r="B1241" s="30"/>
      <c r="C1241" s="30"/>
      <c r="D1241" s="31"/>
      <c r="E1241" s="31"/>
      <c r="F1241" s="31"/>
      <c r="G1241" s="31"/>
      <c r="H1241" s="31"/>
      <c r="I1241" s="54"/>
      <c r="J1241" s="55"/>
      <c r="K1241" s="54"/>
      <c r="L1241" s="56"/>
      <c r="M1241" s="56"/>
      <c r="N1241" s="31"/>
      <c r="O1241" s="57"/>
      <c r="P1241" s="57"/>
      <c r="Q1241" s="57"/>
      <c r="R1241" s="57"/>
      <c r="S1241" s="31"/>
      <c r="T1241" s="57"/>
      <c r="U1241" s="57"/>
      <c r="V1241" s="57"/>
      <c r="W1241" s="57"/>
      <c r="X1241" s="31"/>
      <c r="Y1241" s="57"/>
      <c r="Z1241" s="57"/>
      <c r="AA1241" s="57"/>
      <c r="AB1241" s="57"/>
      <c r="AC1241" s="31"/>
      <c r="AD1241" s="57"/>
      <c r="AE1241" s="57"/>
      <c r="AF1241" s="57"/>
      <c r="AG1241" s="57"/>
      <c r="AH1241" s="57"/>
      <c r="AI1241" s="57"/>
      <c r="AJ1241" s="57"/>
      <c r="AK1241" s="57"/>
      <c r="AL1241" s="57"/>
      <c r="AM1241" s="57"/>
      <c r="AN1241" s="57"/>
      <c r="AO1241" s="57"/>
      <c r="AP1241" s="35"/>
      <c r="AQ1241" s="57"/>
      <c r="AR1241" s="36"/>
      <c r="AS1241" s="57"/>
      <c r="AT1241" s="37"/>
      <c r="AU1241" s="30"/>
      <c r="AV1241" s="30"/>
      <c r="AW1241" s="30"/>
      <c r="AX1241" s="30"/>
      <c r="AY1241" s="30"/>
      <c r="AZ1241" s="30"/>
    </row>
    <row r="1242">
      <c r="A1242" s="30"/>
      <c r="B1242" s="30"/>
      <c r="C1242" s="30"/>
      <c r="D1242" s="31"/>
      <c r="E1242" s="31"/>
      <c r="F1242" s="31"/>
      <c r="G1242" s="31"/>
      <c r="H1242" s="31"/>
      <c r="I1242" s="54"/>
      <c r="J1242" s="55"/>
      <c r="K1242" s="54"/>
      <c r="L1242" s="56"/>
      <c r="M1242" s="56"/>
      <c r="N1242" s="31"/>
      <c r="O1242" s="57"/>
      <c r="P1242" s="57"/>
      <c r="Q1242" s="57"/>
      <c r="R1242" s="57"/>
      <c r="S1242" s="31"/>
      <c r="T1242" s="57"/>
      <c r="U1242" s="57"/>
      <c r="V1242" s="57"/>
      <c r="W1242" s="57"/>
      <c r="X1242" s="31"/>
      <c r="Y1242" s="57"/>
      <c r="Z1242" s="57"/>
      <c r="AA1242" s="57"/>
      <c r="AB1242" s="57"/>
      <c r="AC1242" s="31"/>
      <c r="AD1242" s="57"/>
      <c r="AE1242" s="57"/>
      <c r="AF1242" s="57"/>
      <c r="AG1242" s="57"/>
      <c r="AH1242" s="57"/>
      <c r="AI1242" s="57"/>
      <c r="AJ1242" s="57"/>
      <c r="AK1242" s="57"/>
      <c r="AL1242" s="57"/>
      <c r="AM1242" s="57"/>
      <c r="AN1242" s="57"/>
      <c r="AO1242" s="57"/>
      <c r="AP1242" s="35"/>
      <c r="AQ1242" s="57"/>
      <c r="AR1242" s="36"/>
      <c r="AS1242" s="57"/>
      <c r="AT1242" s="37"/>
      <c r="AU1242" s="30"/>
      <c r="AV1242" s="30"/>
      <c r="AW1242" s="30"/>
      <c r="AX1242" s="30"/>
      <c r="AY1242" s="30"/>
      <c r="AZ1242" s="30"/>
    </row>
    <row r="1243">
      <c r="A1243" s="30"/>
      <c r="B1243" s="30"/>
      <c r="C1243" s="30"/>
      <c r="D1243" s="31"/>
      <c r="E1243" s="31"/>
      <c r="F1243" s="31"/>
      <c r="G1243" s="31"/>
      <c r="H1243" s="31"/>
      <c r="I1243" s="54"/>
      <c r="J1243" s="55"/>
      <c r="K1243" s="54"/>
      <c r="L1243" s="56"/>
      <c r="M1243" s="56"/>
      <c r="N1243" s="31"/>
      <c r="O1243" s="57"/>
      <c r="P1243" s="57"/>
      <c r="Q1243" s="57"/>
      <c r="R1243" s="57"/>
      <c r="S1243" s="31"/>
      <c r="T1243" s="57"/>
      <c r="U1243" s="57"/>
      <c r="V1243" s="57"/>
      <c r="W1243" s="57"/>
      <c r="X1243" s="31"/>
      <c r="Y1243" s="57"/>
      <c r="Z1243" s="57"/>
      <c r="AA1243" s="57"/>
      <c r="AB1243" s="57"/>
      <c r="AC1243" s="31"/>
      <c r="AD1243" s="57"/>
      <c r="AE1243" s="57"/>
      <c r="AF1243" s="57"/>
      <c r="AG1243" s="57"/>
      <c r="AH1243" s="57"/>
      <c r="AI1243" s="57"/>
      <c r="AJ1243" s="57"/>
      <c r="AK1243" s="57"/>
      <c r="AL1243" s="57"/>
      <c r="AM1243" s="57"/>
      <c r="AN1243" s="57"/>
      <c r="AO1243" s="57"/>
      <c r="AP1243" s="35"/>
      <c r="AQ1243" s="57"/>
      <c r="AR1243" s="36"/>
      <c r="AS1243" s="57"/>
      <c r="AT1243" s="37"/>
      <c r="AU1243" s="30"/>
      <c r="AV1243" s="30"/>
      <c r="AW1243" s="30"/>
      <c r="AX1243" s="30"/>
      <c r="AY1243" s="30"/>
      <c r="AZ1243" s="30"/>
    </row>
    <row r="1244">
      <c r="A1244" s="30"/>
      <c r="B1244" s="30"/>
      <c r="C1244" s="30"/>
      <c r="D1244" s="31"/>
      <c r="E1244" s="31"/>
      <c r="F1244" s="31"/>
      <c r="G1244" s="31"/>
      <c r="H1244" s="31"/>
      <c r="I1244" s="54"/>
      <c r="J1244" s="55"/>
      <c r="K1244" s="54"/>
      <c r="L1244" s="56"/>
      <c r="M1244" s="56"/>
      <c r="N1244" s="31"/>
      <c r="O1244" s="57"/>
      <c r="P1244" s="57"/>
      <c r="Q1244" s="57"/>
      <c r="R1244" s="57"/>
      <c r="S1244" s="31"/>
      <c r="T1244" s="57"/>
      <c r="U1244" s="57"/>
      <c r="V1244" s="57"/>
      <c r="W1244" s="57"/>
      <c r="X1244" s="31"/>
      <c r="Y1244" s="57"/>
      <c r="Z1244" s="57"/>
      <c r="AA1244" s="57"/>
      <c r="AB1244" s="57"/>
      <c r="AC1244" s="31"/>
      <c r="AD1244" s="57"/>
      <c r="AE1244" s="57"/>
      <c r="AF1244" s="57"/>
      <c r="AG1244" s="57"/>
      <c r="AH1244" s="57"/>
      <c r="AI1244" s="57"/>
      <c r="AJ1244" s="57"/>
      <c r="AK1244" s="57"/>
      <c r="AL1244" s="57"/>
      <c r="AM1244" s="57"/>
      <c r="AN1244" s="57"/>
      <c r="AO1244" s="57"/>
      <c r="AP1244" s="35"/>
      <c r="AQ1244" s="57"/>
      <c r="AR1244" s="36"/>
      <c r="AS1244" s="57"/>
      <c r="AT1244" s="37"/>
      <c r="AU1244" s="30"/>
      <c r="AV1244" s="30"/>
      <c r="AW1244" s="30"/>
      <c r="AX1244" s="30"/>
      <c r="AY1244" s="30"/>
      <c r="AZ1244" s="30"/>
    </row>
    <row r="1245">
      <c r="A1245" s="30"/>
      <c r="B1245" s="30"/>
      <c r="C1245" s="30"/>
      <c r="D1245" s="31"/>
      <c r="E1245" s="31"/>
      <c r="F1245" s="31"/>
      <c r="G1245" s="31"/>
      <c r="H1245" s="31"/>
      <c r="I1245" s="54"/>
      <c r="J1245" s="55"/>
      <c r="K1245" s="54"/>
      <c r="L1245" s="56"/>
      <c r="M1245" s="56"/>
      <c r="N1245" s="31"/>
      <c r="O1245" s="57"/>
      <c r="P1245" s="57"/>
      <c r="Q1245" s="57"/>
      <c r="R1245" s="57"/>
      <c r="S1245" s="31"/>
      <c r="T1245" s="57"/>
      <c r="U1245" s="57"/>
      <c r="V1245" s="57"/>
      <c r="W1245" s="57"/>
      <c r="X1245" s="31"/>
      <c r="Y1245" s="57"/>
      <c r="Z1245" s="57"/>
      <c r="AA1245" s="57"/>
      <c r="AB1245" s="57"/>
      <c r="AC1245" s="31"/>
      <c r="AD1245" s="57"/>
      <c r="AE1245" s="57"/>
      <c r="AF1245" s="57"/>
      <c r="AG1245" s="57"/>
      <c r="AH1245" s="57"/>
      <c r="AI1245" s="57"/>
      <c r="AJ1245" s="57"/>
      <c r="AK1245" s="57"/>
      <c r="AL1245" s="57"/>
      <c r="AM1245" s="57"/>
      <c r="AN1245" s="57"/>
      <c r="AO1245" s="57"/>
      <c r="AP1245" s="35"/>
      <c r="AQ1245" s="57"/>
      <c r="AR1245" s="36"/>
      <c r="AS1245" s="57"/>
      <c r="AT1245" s="37"/>
      <c r="AU1245" s="30"/>
      <c r="AV1245" s="30"/>
      <c r="AW1245" s="30"/>
      <c r="AX1245" s="30"/>
      <c r="AY1245" s="30"/>
      <c r="AZ1245" s="30"/>
    </row>
    <row r="1246">
      <c r="A1246" s="30"/>
      <c r="B1246" s="30"/>
      <c r="C1246" s="30"/>
      <c r="D1246" s="31"/>
      <c r="E1246" s="31"/>
      <c r="F1246" s="31"/>
      <c r="G1246" s="31"/>
      <c r="H1246" s="31"/>
      <c r="I1246" s="54"/>
      <c r="J1246" s="55"/>
      <c r="K1246" s="54"/>
      <c r="L1246" s="56"/>
      <c r="M1246" s="56"/>
      <c r="N1246" s="31"/>
      <c r="O1246" s="57"/>
      <c r="P1246" s="57"/>
      <c r="Q1246" s="57"/>
      <c r="R1246" s="57"/>
      <c r="S1246" s="31"/>
      <c r="T1246" s="57"/>
      <c r="U1246" s="57"/>
      <c r="V1246" s="57"/>
      <c r="W1246" s="57"/>
      <c r="X1246" s="31"/>
      <c r="Y1246" s="57"/>
      <c r="Z1246" s="57"/>
      <c r="AA1246" s="57"/>
      <c r="AB1246" s="57"/>
      <c r="AC1246" s="31"/>
      <c r="AD1246" s="57"/>
      <c r="AE1246" s="57"/>
      <c r="AF1246" s="57"/>
      <c r="AG1246" s="57"/>
      <c r="AH1246" s="57"/>
      <c r="AI1246" s="57"/>
      <c r="AJ1246" s="57"/>
      <c r="AK1246" s="57"/>
      <c r="AL1246" s="57"/>
      <c r="AM1246" s="57"/>
      <c r="AN1246" s="57"/>
      <c r="AO1246" s="57"/>
      <c r="AP1246" s="35"/>
      <c r="AQ1246" s="57"/>
      <c r="AR1246" s="36"/>
      <c r="AS1246" s="57"/>
      <c r="AT1246" s="37"/>
      <c r="AU1246" s="30"/>
      <c r="AV1246" s="30"/>
      <c r="AW1246" s="30"/>
      <c r="AX1246" s="30"/>
      <c r="AY1246" s="30"/>
      <c r="AZ1246" s="30"/>
    </row>
    <row r="1247">
      <c r="A1247" s="30"/>
      <c r="B1247" s="30"/>
      <c r="C1247" s="30"/>
      <c r="D1247" s="31"/>
      <c r="E1247" s="31"/>
      <c r="F1247" s="31"/>
      <c r="G1247" s="31"/>
      <c r="H1247" s="31"/>
      <c r="I1247" s="54"/>
      <c r="J1247" s="55"/>
      <c r="K1247" s="54"/>
      <c r="L1247" s="56"/>
      <c r="M1247" s="56"/>
      <c r="N1247" s="31"/>
      <c r="O1247" s="57"/>
      <c r="P1247" s="57"/>
      <c r="Q1247" s="57"/>
      <c r="R1247" s="57"/>
      <c r="S1247" s="31"/>
      <c r="T1247" s="57"/>
      <c r="U1247" s="57"/>
      <c r="V1247" s="57"/>
      <c r="W1247" s="57"/>
      <c r="X1247" s="31"/>
      <c r="Y1247" s="57"/>
      <c r="Z1247" s="57"/>
      <c r="AA1247" s="57"/>
      <c r="AB1247" s="57"/>
      <c r="AC1247" s="31"/>
      <c r="AD1247" s="57"/>
      <c r="AE1247" s="57"/>
      <c r="AF1247" s="57"/>
      <c r="AG1247" s="57"/>
      <c r="AH1247" s="57"/>
      <c r="AI1247" s="57"/>
      <c r="AJ1247" s="57"/>
      <c r="AK1247" s="57"/>
      <c r="AL1247" s="57"/>
      <c r="AM1247" s="57"/>
      <c r="AN1247" s="57"/>
      <c r="AO1247" s="57"/>
      <c r="AP1247" s="35"/>
      <c r="AQ1247" s="57"/>
      <c r="AR1247" s="36"/>
      <c r="AS1247" s="57"/>
      <c r="AT1247" s="37"/>
      <c r="AU1247" s="30"/>
      <c r="AV1247" s="30"/>
      <c r="AW1247" s="30"/>
      <c r="AX1247" s="30"/>
      <c r="AY1247" s="30"/>
      <c r="AZ1247" s="30"/>
    </row>
    <row r="1248">
      <c r="A1248" s="30"/>
      <c r="B1248" s="30"/>
      <c r="C1248" s="30"/>
      <c r="D1248" s="31"/>
      <c r="E1248" s="31"/>
      <c r="F1248" s="31"/>
      <c r="G1248" s="31"/>
      <c r="H1248" s="31"/>
      <c r="I1248" s="54"/>
      <c r="J1248" s="55"/>
      <c r="K1248" s="54"/>
      <c r="L1248" s="56"/>
      <c r="M1248" s="56"/>
      <c r="N1248" s="31"/>
      <c r="O1248" s="57"/>
      <c r="P1248" s="57"/>
      <c r="Q1248" s="57"/>
      <c r="R1248" s="57"/>
      <c r="S1248" s="31"/>
      <c r="T1248" s="57"/>
      <c r="U1248" s="57"/>
      <c r="V1248" s="57"/>
      <c r="W1248" s="57"/>
      <c r="X1248" s="31"/>
      <c r="Y1248" s="57"/>
      <c r="Z1248" s="57"/>
      <c r="AA1248" s="57"/>
      <c r="AB1248" s="57"/>
      <c r="AC1248" s="31"/>
      <c r="AD1248" s="57"/>
      <c r="AE1248" s="57"/>
      <c r="AF1248" s="57"/>
      <c r="AG1248" s="57"/>
      <c r="AH1248" s="57"/>
      <c r="AI1248" s="57"/>
      <c r="AJ1248" s="57"/>
      <c r="AK1248" s="57"/>
      <c r="AL1248" s="57"/>
      <c r="AM1248" s="57"/>
      <c r="AN1248" s="57"/>
      <c r="AO1248" s="57"/>
      <c r="AP1248" s="35"/>
      <c r="AQ1248" s="57"/>
      <c r="AR1248" s="36"/>
      <c r="AS1248" s="57"/>
      <c r="AT1248" s="37"/>
      <c r="AU1248" s="30"/>
      <c r="AV1248" s="30"/>
      <c r="AW1248" s="30"/>
      <c r="AX1248" s="30"/>
      <c r="AY1248" s="30"/>
      <c r="AZ1248" s="30"/>
    </row>
    <row r="1249">
      <c r="A1249" s="30"/>
      <c r="B1249" s="30"/>
      <c r="C1249" s="30"/>
      <c r="D1249" s="31"/>
      <c r="E1249" s="31"/>
      <c r="F1249" s="31"/>
      <c r="G1249" s="31"/>
      <c r="H1249" s="31"/>
      <c r="I1249" s="54"/>
      <c r="J1249" s="55"/>
      <c r="K1249" s="54"/>
      <c r="L1249" s="56"/>
      <c r="M1249" s="56"/>
      <c r="N1249" s="31"/>
      <c r="O1249" s="57"/>
      <c r="P1249" s="57"/>
      <c r="Q1249" s="57"/>
      <c r="R1249" s="57"/>
      <c r="S1249" s="31"/>
      <c r="T1249" s="57"/>
      <c r="U1249" s="57"/>
      <c r="V1249" s="57"/>
      <c r="W1249" s="57"/>
      <c r="X1249" s="31"/>
      <c r="Y1249" s="57"/>
      <c r="Z1249" s="57"/>
      <c r="AA1249" s="57"/>
      <c r="AB1249" s="57"/>
      <c r="AC1249" s="31"/>
      <c r="AD1249" s="57"/>
      <c r="AE1249" s="57"/>
      <c r="AF1249" s="57"/>
      <c r="AG1249" s="57"/>
      <c r="AH1249" s="57"/>
      <c r="AI1249" s="57"/>
      <c r="AJ1249" s="57"/>
      <c r="AK1249" s="57"/>
      <c r="AL1249" s="57"/>
      <c r="AM1249" s="57"/>
      <c r="AN1249" s="57"/>
      <c r="AO1249" s="57"/>
      <c r="AP1249" s="35"/>
      <c r="AQ1249" s="57"/>
      <c r="AR1249" s="36"/>
      <c r="AS1249" s="57"/>
      <c r="AT1249" s="37"/>
      <c r="AU1249" s="30"/>
      <c r="AV1249" s="30"/>
      <c r="AW1249" s="30"/>
      <c r="AX1249" s="30"/>
      <c r="AY1249" s="30"/>
      <c r="AZ1249" s="30"/>
    </row>
    <row r="1250">
      <c r="A1250" s="30"/>
      <c r="B1250" s="30"/>
      <c r="C1250" s="30"/>
      <c r="D1250" s="31"/>
      <c r="E1250" s="31"/>
      <c r="F1250" s="31"/>
      <c r="G1250" s="31"/>
      <c r="H1250" s="31"/>
      <c r="I1250" s="54"/>
      <c r="J1250" s="55"/>
      <c r="K1250" s="54"/>
      <c r="L1250" s="56"/>
      <c r="M1250" s="56"/>
      <c r="N1250" s="31"/>
      <c r="O1250" s="57"/>
      <c r="P1250" s="57"/>
      <c r="Q1250" s="57"/>
      <c r="R1250" s="57"/>
      <c r="S1250" s="31"/>
      <c r="T1250" s="57"/>
      <c r="U1250" s="57"/>
      <c r="V1250" s="57"/>
      <c r="W1250" s="57"/>
      <c r="X1250" s="31"/>
      <c r="Y1250" s="57"/>
      <c r="Z1250" s="57"/>
      <c r="AA1250" s="57"/>
      <c r="AB1250" s="57"/>
      <c r="AC1250" s="31"/>
      <c r="AD1250" s="57"/>
      <c r="AE1250" s="57"/>
      <c r="AF1250" s="57"/>
      <c r="AG1250" s="57"/>
      <c r="AH1250" s="57"/>
      <c r="AI1250" s="57"/>
      <c r="AJ1250" s="57"/>
      <c r="AK1250" s="57"/>
      <c r="AL1250" s="57"/>
      <c r="AM1250" s="57"/>
      <c r="AN1250" s="57"/>
      <c r="AO1250" s="57"/>
      <c r="AP1250" s="35"/>
      <c r="AQ1250" s="57"/>
      <c r="AR1250" s="36"/>
      <c r="AS1250" s="57"/>
      <c r="AT1250" s="37"/>
      <c r="AU1250" s="30"/>
      <c r="AV1250" s="30"/>
      <c r="AW1250" s="30"/>
      <c r="AX1250" s="30"/>
      <c r="AY1250" s="30"/>
      <c r="AZ1250" s="30"/>
    </row>
  </sheetData>
  <mergeCells count="1">
    <mergeCell ref="I1:N3"/>
  </mergeCells>
  <conditionalFormatting sqref="A1:D1250">
    <cfRule type="expression" dxfId="4" priority="1">
      <formula>$A1="Amateur"</formula>
    </cfRule>
  </conditionalFormatting>
  <conditionalFormatting sqref="A1:D1250">
    <cfRule type="expression" dxfId="5" priority="2">
      <formula>$A1="Contender"</formula>
    </cfRule>
  </conditionalFormatting>
  <conditionalFormatting sqref="A1:D1250">
    <cfRule type="expression" dxfId="6" priority="3">
      <formula>$A1="Prospect"</formula>
    </cfRule>
  </conditionalFormatting>
  <conditionalFormatting sqref="A1:D1250">
    <cfRule type="expression" dxfId="7" priority="4">
      <formula>$A1="Challenger"</formula>
    </cfRule>
  </conditionalFormatting>
  <conditionalFormatting sqref="A1:D1250">
    <cfRule type="expression" dxfId="8" priority="5">
      <formula>$A1="Rival"</formula>
    </cfRule>
  </conditionalFormatting>
  <conditionalFormatting sqref="A1:D1250">
    <cfRule type="expression" dxfId="9" priority="6">
      <formula>$A1="Veteran"</formula>
    </cfRule>
  </conditionalFormatting>
  <conditionalFormatting sqref="A1:D1250">
    <cfRule type="expression" dxfId="10" priority="7">
      <formula>$A1="Elite"</formula>
    </cfRule>
  </conditionalFormatting>
  <conditionalFormatting sqref="A1:D1250">
    <cfRule type="expression" dxfId="11" priority="8">
      <formula>$A1="Master"</formula>
    </cfRule>
  </conditionalFormatting>
  <conditionalFormatting sqref="A1:D1250">
    <cfRule type="expression" dxfId="12" priority="9">
      <formula>$A1="Premier"</formula>
    </cfRule>
  </conditionalFormatting>
  <conditionalFormatting sqref="E6:E1250">
    <cfRule type="colorScale" priority="10">
      <colorScale>
        <cfvo type="min"/>
        <cfvo type="formula" val="50"/>
        <cfvo type="max"/>
        <color rgb="FFEA4335"/>
        <color rgb="FF666666"/>
        <color rgb="FF34A853"/>
      </colorScale>
    </cfRule>
  </conditionalFormatting>
  <conditionalFormatting sqref="F6:F1250">
    <cfRule type="colorScale" priority="11">
      <colorScale>
        <cfvo type="min"/>
        <cfvo type="percentile" val="50"/>
        <cfvo type="max"/>
        <color rgb="FFEA4335"/>
        <color rgb="FF666666"/>
        <color rgb="FF34A853"/>
      </colorScale>
    </cfRule>
  </conditionalFormatting>
  <conditionalFormatting sqref="K6:K1250">
    <cfRule type="colorScale" priority="12">
      <colorScale>
        <cfvo type="min"/>
        <cfvo type="formula" val="0.5"/>
        <cfvo type="max"/>
        <color rgb="FF34A853"/>
        <color rgb="FF666666"/>
        <color rgb="FFEA4335"/>
      </colorScale>
    </cfRule>
  </conditionalFormatting>
  <conditionalFormatting sqref="J6:J1250">
    <cfRule type="colorScale" priority="13">
      <colorScale>
        <cfvo type="min"/>
        <cfvo type="percentile" val="50"/>
        <cfvo type="max"/>
        <color rgb="FFEA4335"/>
        <color rgb="FF666666"/>
        <color rgb="FF34A853"/>
      </colorScale>
    </cfRule>
  </conditionalFormatting>
  <conditionalFormatting sqref="I6:I1250">
    <cfRule type="expression" dxfId="13" priority="14">
      <formula>AR6</formula>
    </cfRule>
  </conditionalFormatting>
  <conditionalFormatting sqref="L6:M1250">
    <cfRule type="colorScale" priority="15">
      <colorScale>
        <cfvo type="formula" val="0"/>
        <cfvo type="formula" val="0.5"/>
        <cfvo type="formula" val="1"/>
        <color rgb="FFEA4335"/>
        <color rgb="FF666666"/>
        <color rgb="FF34A853"/>
      </colorScale>
    </cfRule>
  </conditionalFormatting>
  <conditionalFormatting sqref="N6:N1250">
    <cfRule type="colorScale" priority="16">
      <colorScale>
        <cfvo type="min"/>
        <cfvo type="percentile" val="50"/>
        <cfvo type="max"/>
        <color rgb="FFEA4335"/>
        <color rgb="FF666666"/>
        <color rgb="FF34A853"/>
      </colorScale>
    </cfRule>
  </conditionalFormatting>
  <conditionalFormatting sqref="O6:O1250">
    <cfRule type="colorScale" priority="17">
      <colorScale>
        <cfvo type="min"/>
        <cfvo type="percentile" val="50"/>
        <cfvo type="max"/>
        <color rgb="FFEA4335"/>
        <color rgb="FF666666"/>
        <color rgb="FF34A853"/>
      </colorScale>
    </cfRule>
  </conditionalFormatting>
  <conditionalFormatting sqref="P6:P1250">
    <cfRule type="colorScale" priority="18">
      <colorScale>
        <cfvo type="min"/>
        <cfvo type="percentile" val="50"/>
        <cfvo type="max"/>
        <color rgb="FFEA4335"/>
        <color rgb="FF666666"/>
        <color rgb="FF34A853"/>
      </colorScale>
    </cfRule>
  </conditionalFormatting>
  <conditionalFormatting sqref="Q6:Q1250">
    <cfRule type="colorScale" priority="19">
      <colorScale>
        <cfvo type="min"/>
        <cfvo type="percentile" val="50"/>
        <cfvo type="max"/>
        <color rgb="FFEA4335"/>
        <color rgb="FF666666"/>
        <color rgb="FF34A853"/>
      </colorScale>
    </cfRule>
  </conditionalFormatting>
  <conditionalFormatting sqref="R6:R1250">
    <cfRule type="colorScale" priority="20">
      <colorScale>
        <cfvo type="min"/>
        <cfvo type="percentile" val="50"/>
        <cfvo type="max"/>
        <color rgb="FFEA4335"/>
        <color rgb="FF666666"/>
        <color rgb="FF34A853"/>
      </colorScale>
    </cfRule>
  </conditionalFormatting>
  <conditionalFormatting sqref="S6:S1250">
    <cfRule type="colorScale" priority="21">
      <colorScale>
        <cfvo type="min"/>
        <cfvo type="percentile" val="50"/>
        <cfvo type="max"/>
        <color rgb="FF34A853"/>
        <color rgb="FF666666"/>
        <color rgb="FFEA4335"/>
      </colorScale>
    </cfRule>
  </conditionalFormatting>
  <conditionalFormatting sqref="T6:T1250">
    <cfRule type="colorScale" priority="22">
      <colorScale>
        <cfvo type="min"/>
        <cfvo type="percentile" val="50"/>
        <cfvo type="max"/>
        <color rgb="FF34A853"/>
        <color rgb="FF666666"/>
        <color rgb="FFEA4335"/>
      </colorScale>
    </cfRule>
  </conditionalFormatting>
  <conditionalFormatting sqref="AF6:AF1250">
    <cfRule type="colorScale" priority="23">
      <colorScale>
        <cfvo type="min"/>
        <cfvo type="percentile" val="50"/>
        <cfvo type="max"/>
        <color rgb="FFEA4335"/>
        <color rgb="FF666666"/>
        <color rgb="FF34A853"/>
      </colorScale>
    </cfRule>
  </conditionalFormatting>
  <conditionalFormatting sqref="AG6:AG1250">
    <cfRule type="colorScale" priority="24">
      <colorScale>
        <cfvo type="min"/>
        <cfvo type="percentile" val="50"/>
        <cfvo type="max"/>
        <color rgb="FF34A853"/>
        <color rgb="FF666666"/>
        <color rgb="FFEA4335"/>
      </colorScale>
    </cfRule>
  </conditionalFormatting>
  <conditionalFormatting sqref="AH6:AH1250">
    <cfRule type="colorScale" priority="25">
      <colorScale>
        <cfvo type="min"/>
        <cfvo type="percentile" val="50"/>
        <cfvo type="max"/>
        <color rgb="FFEA4335"/>
        <color rgb="FF666666"/>
        <color rgb="FF34A853"/>
      </colorScale>
    </cfRule>
  </conditionalFormatting>
  <conditionalFormatting sqref="AI6:AI1250">
    <cfRule type="colorScale" priority="26">
      <colorScale>
        <cfvo type="min"/>
        <cfvo type="percentile" val="50"/>
        <cfvo type="max"/>
        <color rgb="FFEA4335"/>
        <color rgb="FF666666"/>
        <color rgb="FF34A853"/>
      </colorScale>
    </cfRule>
  </conditionalFormatting>
  <conditionalFormatting sqref="AJ6:AJ1250">
    <cfRule type="colorScale" priority="27">
      <colorScale>
        <cfvo type="min"/>
        <cfvo type="percentile" val="50"/>
        <cfvo type="max"/>
        <color rgb="FFEA4335"/>
        <color rgb="FF666666"/>
        <color rgb="FF34A853"/>
      </colorScale>
    </cfRule>
  </conditionalFormatting>
  <conditionalFormatting sqref="AK6:AK1250">
    <cfRule type="colorScale" priority="28">
      <colorScale>
        <cfvo type="min"/>
        <cfvo type="percentile" val="50"/>
        <cfvo type="max"/>
        <color rgb="FF34A853"/>
        <color rgb="FF666666"/>
        <color rgb="FFEA4335"/>
      </colorScale>
    </cfRule>
  </conditionalFormatting>
  <conditionalFormatting sqref="AL6:AL1250">
    <cfRule type="colorScale" priority="29">
      <colorScale>
        <cfvo type="min"/>
        <cfvo type="percentile" val="50"/>
        <cfvo type="max"/>
        <color rgb="FFEA4335"/>
        <color rgb="FF666666"/>
        <color rgb="FF34A853"/>
      </colorScale>
    </cfRule>
  </conditionalFormatting>
  <conditionalFormatting sqref="AM6:AM1250">
    <cfRule type="colorScale" priority="30">
      <colorScale>
        <cfvo type="min"/>
        <cfvo type="percentile" val="50"/>
        <cfvo type="max"/>
        <color rgb="FF34A853"/>
        <color rgb="FF666666"/>
        <color rgb="FFEA4335"/>
      </colorScale>
    </cfRule>
  </conditionalFormatting>
  <conditionalFormatting sqref="AN6:AN1250">
    <cfRule type="colorScale" priority="31">
      <colorScale>
        <cfvo type="min"/>
        <cfvo type="percentile" val="50"/>
        <cfvo type="max"/>
        <color rgb="FF34A853"/>
        <color rgb="FF666666"/>
        <color rgb="FFEA4335"/>
      </colorScale>
    </cfRule>
  </conditionalFormatting>
  <conditionalFormatting sqref="U6:U1250">
    <cfRule type="colorScale" priority="32">
      <colorScale>
        <cfvo type="min"/>
        <cfvo type="percentile" val="50"/>
        <cfvo type="max"/>
        <color rgb="FF34A853"/>
        <color rgb="FF666666"/>
        <color rgb="FFEA4335"/>
      </colorScale>
    </cfRule>
  </conditionalFormatting>
  <conditionalFormatting sqref="A1:AZ1250">
    <cfRule type="containsBlanks" dxfId="0" priority="33">
      <formula>LEN(TRIM(A1))=0</formula>
    </cfRule>
  </conditionalFormatting>
  <conditionalFormatting sqref="AO6:AO1250">
    <cfRule type="colorScale" priority="34">
      <colorScale>
        <cfvo type="min"/>
        <cfvo type="percentile" val="50"/>
        <cfvo type="max"/>
        <color rgb="FF34A853"/>
        <color rgb="FF666666"/>
        <color rgb="FFEA4335"/>
      </colorScale>
    </cfRule>
  </conditionalFormatting>
  <conditionalFormatting sqref="V6:V1250">
    <cfRule type="colorScale" priority="35">
      <colorScale>
        <cfvo type="min"/>
        <cfvo type="percentile" val="50"/>
        <cfvo type="max"/>
        <color rgb="FFEA4335"/>
        <color rgb="FF666666"/>
        <color rgb="FF34A853"/>
      </colorScale>
    </cfRule>
  </conditionalFormatting>
  <conditionalFormatting sqref="W6:W1250">
    <cfRule type="colorScale" priority="36">
      <colorScale>
        <cfvo type="min"/>
        <cfvo type="percentile" val="50"/>
        <cfvo type="max"/>
        <color rgb="FF34A853"/>
        <color rgb="FF666666"/>
        <color rgb="FFEA4335"/>
      </colorScale>
    </cfRule>
  </conditionalFormatting>
  <conditionalFormatting sqref="X6:X1250">
    <cfRule type="colorScale" priority="37">
      <colorScale>
        <cfvo type="min"/>
        <cfvo type="percentile" val="50"/>
        <cfvo type="max"/>
        <color rgb="FFEA4335"/>
        <color rgb="FF666666"/>
        <color rgb="FF34A853"/>
      </colorScale>
    </cfRule>
  </conditionalFormatting>
  <conditionalFormatting sqref="Y6:Y1250">
    <cfRule type="colorScale" priority="38">
      <colorScale>
        <cfvo type="min"/>
        <cfvo type="percentile" val="50"/>
        <cfvo type="max"/>
        <color rgb="FFEA4335"/>
        <color rgb="FF666666"/>
        <color rgb="FF34A853"/>
      </colorScale>
    </cfRule>
  </conditionalFormatting>
  <conditionalFormatting sqref="Z6:Z1250">
    <cfRule type="colorScale" priority="39">
      <colorScale>
        <cfvo type="min"/>
        <cfvo type="percentile" val="50"/>
        <cfvo type="max"/>
        <color rgb="FFEA4335"/>
        <color rgb="FF666666"/>
        <color rgb="FF34A853"/>
      </colorScale>
    </cfRule>
  </conditionalFormatting>
  <conditionalFormatting sqref="AA6:AA1250">
    <cfRule type="colorScale" priority="40">
      <colorScale>
        <cfvo type="min"/>
        <cfvo type="percentile" val="50"/>
        <cfvo type="max"/>
        <color rgb="FF34A853"/>
        <color rgb="FF666666"/>
        <color rgb="FFEA4335"/>
      </colorScale>
    </cfRule>
  </conditionalFormatting>
  <conditionalFormatting sqref="AB6:AB1250">
    <cfRule type="colorScale" priority="41">
      <colorScale>
        <cfvo type="min"/>
        <cfvo type="percentile" val="50"/>
        <cfvo type="max"/>
        <color rgb="FFEA4335"/>
        <color rgb="FF666666"/>
        <color rgb="FF34A853"/>
      </colorScale>
    </cfRule>
  </conditionalFormatting>
  <conditionalFormatting sqref="AC6:AC1250">
    <cfRule type="colorScale" priority="42">
      <colorScale>
        <cfvo type="min"/>
        <cfvo type="percentile" val="50"/>
        <cfvo type="max"/>
        <color rgb="FF34A853"/>
        <color rgb="FF666666"/>
        <color rgb="FFEA4335"/>
      </colorScale>
    </cfRule>
  </conditionalFormatting>
  <conditionalFormatting sqref="AD6:AD1250">
    <cfRule type="colorScale" priority="43">
      <colorScale>
        <cfvo type="min"/>
        <cfvo type="percentile" val="50"/>
        <cfvo type="max"/>
        <color rgb="FF34A853"/>
        <color rgb="FF666666"/>
        <color rgb="FFEA4335"/>
      </colorScale>
    </cfRule>
  </conditionalFormatting>
  <conditionalFormatting sqref="AE6:AE1250">
    <cfRule type="colorScale" priority="44">
      <colorScale>
        <cfvo type="min"/>
        <cfvo type="percentile" val="50"/>
        <cfvo type="max"/>
        <color rgb="FF34A853"/>
        <color rgb="FF666666"/>
        <color rgb="FFEA4335"/>
      </colorScale>
    </cfRule>
  </conditionalFormatting>
  <conditionalFormatting sqref="AP6:AP1250">
    <cfRule type="colorScale" priority="45">
      <colorScale>
        <cfvo type="min"/>
        <cfvo type="percentile" val="50"/>
        <cfvo type="max"/>
        <color rgb="FFEA4335"/>
        <color rgb="FF666666"/>
        <color rgb="FF34A853"/>
      </colorScale>
    </cfRule>
  </conditionalFormatting>
  <conditionalFormatting sqref="AQ6:AQ1250">
    <cfRule type="colorScale" priority="46">
      <colorScale>
        <cfvo type="min"/>
        <cfvo type="percentile" val="50"/>
        <cfvo type="max"/>
        <color rgb="FF34A853"/>
        <color rgb="FF666666"/>
        <color rgb="FFEA4335"/>
      </colorScale>
    </cfRule>
  </conditionalFormatting>
  <conditionalFormatting sqref="H6:H1250">
    <cfRule type="colorScale" priority="47">
      <colorScale>
        <cfvo type="min"/>
        <cfvo type="percentile" val="50"/>
        <cfvo type="max"/>
        <color rgb="FFEA4335"/>
        <color rgb="FF666666"/>
        <color rgb="FF34A853"/>
      </colorScale>
    </cfRule>
  </conditionalFormatting>
  <conditionalFormatting sqref="AR6:AR1250">
    <cfRule type="colorScale" priority="48">
      <colorScale>
        <cfvo type="min"/>
        <cfvo type="formula" val="1"/>
        <cfvo type="max"/>
        <color rgb="FF34A853"/>
        <color rgb="FF666666"/>
        <color rgb="FFEA4335"/>
      </colorScale>
    </cfRule>
  </conditionalFormatting>
  <conditionalFormatting sqref="AS6:AS1250">
    <cfRule type="colorScale" priority="49">
      <colorScale>
        <cfvo type="min"/>
        <cfvo type="formula" val="1"/>
        <cfvo type="max"/>
        <color rgb="FF34A853"/>
        <color rgb="FF666666"/>
        <color rgb="FFEA4335"/>
      </colorScale>
    </cfRule>
  </conditionalFormatting>
  <conditionalFormatting sqref="I6:I1250">
    <cfRule type="expression" dxfId="14" priority="50">
      <formula>AR6=FALSE</formula>
    </cfRule>
  </conditionalFormatting>
  <conditionalFormatting sqref="G1:G1250">
    <cfRule type="colorScale" priority="51">
      <colorScale>
        <cfvo type="min"/>
        <cfvo type="percentile" val="50"/>
        <cfvo type="max"/>
        <color rgb="FFEA4335"/>
        <color rgb="FF666666"/>
        <color rgb="FF34A853"/>
      </colorScale>
    </cfRule>
  </conditionalFormatting>
  <dataValidations>
    <dataValidation type="list" allowBlank="1" showErrorMessage="1" sqref="B2">
      <formula1>'IDR View'!$C$5:$AQ$5</formula1>
    </dataValidation>
    <dataValidation type="list" allowBlank="1" showErrorMessage="1" sqref="B1">
      <formula1>"All,Premier,Master,Elite,Veteran,Rival,Challenger,Contender,Prospect,Amateur"</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hidden="1" min="6" max="47" width="12.63"/>
    <col customWidth="1" min="48" max="48" width="12.75"/>
    <col hidden="1" min="53" max="53" width="12.63"/>
  </cols>
  <sheetData>
    <row r="1">
      <c r="A1" s="61" t="s">
        <v>127</v>
      </c>
      <c r="B1" s="62" t="s">
        <v>132</v>
      </c>
      <c r="C1" s="63" t="s">
        <v>133</v>
      </c>
      <c r="D1" s="62" t="s">
        <v>134</v>
      </c>
      <c r="E1" s="63" t="s">
        <v>12</v>
      </c>
      <c r="F1" s="64"/>
      <c r="G1" s="65"/>
      <c r="H1" s="66"/>
      <c r="I1" s="66"/>
      <c r="AV1" s="62" t="s">
        <v>4</v>
      </c>
      <c r="AW1" s="67" t="s">
        <v>135</v>
      </c>
      <c r="AX1" s="68" t="s">
        <v>136</v>
      </c>
      <c r="AY1" s="68" t="s">
        <v>137</v>
      </c>
      <c r="AZ1" s="69" t="s">
        <v>142</v>
      </c>
    </row>
    <row r="2">
      <c r="A2" s="30" t="str">
        <f>IFERROR(__xludf.DUMMYFUNCTION("SORT(filter('Raw Stats Imports'!A2:BA1000,'Raw Stats Imports'!A2:A1000&lt;&gt;"""", 'Raw Stats Imports'!E2:E1000&gt;Constants!F2),53,1,52,0)"),"Premier")</f>
        <v>Premier</v>
      </c>
      <c r="B2" s="30" t="str">
        <f>IFERROR(__xludf.DUMMYFUNCTION("""COMPUTED_VALUE"""),"RSC004810")</f>
        <v>RSC004810</v>
      </c>
      <c r="C2" s="30" t="str">
        <f>IFERROR(__xludf.DUMMYFUNCTION("""COMPUTED_VALUE"""),"feed.")</f>
        <v>feed.</v>
      </c>
      <c r="D2" s="30" t="str">
        <f>IFERROR(__xludf.DUMMYFUNCTION("""COMPUTED_VALUE"""),"Fairies")</f>
        <v>Fairies</v>
      </c>
      <c r="E2" s="30">
        <f>IFERROR(__xludf.DUMMYFUNCTION("""COMPUTED_VALUE"""),2.0)</f>
        <v>2</v>
      </c>
      <c r="F2" s="70">
        <f>IFERROR(__xludf.DUMMYFUNCTION("""COMPUTED_VALUE"""),0.0)</f>
        <v>0</v>
      </c>
      <c r="G2" s="30">
        <f>IFERROR(__xludf.DUMMYFUNCTION("""COMPUTED_VALUE"""),2.0)</f>
        <v>2</v>
      </c>
      <c r="H2" s="42">
        <f>IFERROR(__xludf.DUMMYFUNCTION("""COMPUTED_VALUE"""),0.0)</f>
        <v>0</v>
      </c>
      <c r="I2" s="42">
        <f>IFERROR(__xludf.DUMMYFUNCTION("""COMPUTED_VALUE"""),0.0)</f>
        <v>0</v>
      </c>
      <c r="J2" s="30">
        <f>IFERROR(__xludf.DUMMYFUNCTION("""COMPUTED_VALUE"""),292.5)</f>
        <v>292.5</v>
      </c>
      <c r="K2" s="30">
        <f>IFERROR(__xludf.DUMMYFUNCTION("""COMPUTED_VALUE"""),0.0)</f>
        <v>0</v>
      </c>
      <c r="L2" s="30">
        <f>IFERROR(__xludf.DUMMYFUNCTION("""COMPUTED_VALUE"""),0.5)</f>
        <v>0.5</v>
      </c>
      <c r="M2" s="30">
        <f>IFERROR(__xludf.DUMMYFUNCTION("""COMPUTED_VALUE"""),2.5)</f>
        <v>2.5</v>
      </c>
      <c r="N2" s="30">
        <f>IFERROR(__xludf.DUMMYFUNCTION("""COMPUTED_VALUE"""),1.5)</f>
        <v>1.5</v>
      </c>
      <c r="O2" s="30">
        <f>IFERROR(__xludf.DUMMYFUNCTION("""COMPUTED_VALUE"""),564.6666666666666)</f>
        <v>564.6666667</v>
      </c>
      <c r="P2" s="30">
        <f>IFERROR(__xludf.DUMMYFUNCTION("""COMPUTED_VALUE"""),2.1666666666666665)</f>
        <v>2.166666667</v>
      </c>
      <c r="Q2" s="30">
        <f>IFERROR(__xludf.DUMMYFUNCTION("""COMPUTED_VALUE"""),1.5)</f>
        <v>1.5</v>
      </c>
      <c r="R2" s="30">
        <f>IFERROR(__xludf.DUMMYFUNCTION("""COMPUTED_VALUE"""),0.8333333333333333)</f>
        <v>0.8333333333</v>
      </c>
      <c r="S2" s="30">
        <f>IFERROR(__xludf.DUMMYFUNCTION("""COMPUTED_VALUE"""),4.5)</f>
        <v>4.5</v>
      </c>
      <c r="T2" s="30">
        <f>IFERROR(__xludf.DUMMYFUNCTION("""COMPUTED_VALUE"""),403.7856209150327)</f>
        <v>403.7856209</v>
      </c>
      <c r="U2" s="30">
        <f>IFERROR(__xludf.DUMMYFUNCTION("""COMPUTED_VALUE"""),0.9934640522875817)</f>
        <v>0.9934640523</v>
      </c>
      <c r="V2" s="30">
        <f>IFERROR(__xludf.DUMMYFUNCTION("""COMPUTED_VALUE"""),0.8032679738562091)</f>
        <v>0.8032679739</v>
      </c>
      <c r="W2" s="30">
        <f>IFERROR(__xludf.DUMMYFUNCTION("""COMPUTED_VALUE"""),1.2705882352941176)</f>
        <v>1.270588235</v>
      </c>
      <c r="X2" s="30">
        <f>IFERROR(__xludf.DUMMYFUNCTION("""COMPUTED_VALUE"""),3.098692810457516)</f>
        <v>3.09869281</v>
      </c>
      <c r="Y2" s="30">
        <f>IFERROR(__xludf.DUMMYFUNCTION("""COMPUTED_VALUE"""),341.7945533769063)</f>
        <v>341.7945534</v>
      </c>
      <c r="Z2" s="30">
        <f>IFERROR(__xludf.DUMMYFUNCTION("""COMPUTED_VALUE"""),0.6276688453159042)</f>
        <v>0.6276688453</v>
      </c>
      <c r="AA2" s="30">
        <f>IFERROR(__xludf.DUMMYFUNCTION("""COMPUTED_VALUE"""),0.42745098039215684)</f>
        <v>0.4274509804</v>
      </c>
      <c r="AB2" s="30">
        <f>IFERROR(__xludf.DUMMYFUNCTION("""COMPUTED_VALUE"""),1.5958605664488017)</f>
        <v>1.595860566</v>
      </c>
      <c r="AC2" s="30">
        <f>IFERROR(__xludf.DUMMYFUNCTION("""COMPUTED_VALUE"""),2.2934640522875824)</f>
        <v>2.293464052</v>
      </c>
      <c r="AD2" s="30">
        <f>IFERROR(__xludf.DUMMYFUNCTION("""COMPUTED_VALUE"""),0.8557772413577701)</f>
        <v>0.8557772414</v>
      </c>
      <c r="AE2" s="30">
        <f>IFERROR(__xludf.DUMMYFUNCTION("""COMPUTED_VALUE"""),0.0)</f>
        <v>0</v>
      </c>
      <c r="AF2" s="30">
        <f>IFERROR(__xludf.DUMMYFUNCTION("""COMPUTED_VALUE"""),1.1697247706422018)</f>
        <v>1.169724771</v>
      </c>
      <c r="AG2" s="30">
        <f>IFERROR(__xludf.DUMMYFUNCTION("""COMPUTED_VALUE"""),1.5665529010238908)</f>
        <v>1.566552901</v>
      </c>
      <c r="AH2" s="30">
        <f>IFERROR(__xludf.DUMMYFUNCTION("""COMPUTED_VALUE"""),0.654032487888287)</f>
        <v>0.6540324879</v>
      </c>
      <c r="AI2" s="30">
        <f>IFERROR(__xludf.DUMMYFUNCTION("""COMPUTED_VALUE"""),1.3984318346627989)</f>
        <v>1.398431835</v>
      </c>
      <c r="AJ2" s="30">
        <f>IFERROR(__xludf.DUMMYFUNCTION("""COMPUTED_VALUE"""),2.1809210526315788)</f>
        <v>2.180921053</v>
      </c>
      <c r="AK2" s="30">
        <f>IFERROR(__xludf.DUMMYFUNCTION("""COMPUTED_VALUE"""),1.867371847030106)</f>
        <v>1.867371847</v>
      </c>
      <c r="AL2" s="30">
        <f>IFERROR(__xludf.DUMMYFUNCTION("""COMPUTED_VALUE"""),0.6558641975308642)</f>
        <v>0.6558641975</v>
      </c>
      <c r="AM2" s="30">
        <f>IFERROR(__xludf.DUMMYFUNCTION("""COMPUTED_VALUE"""),1.4522252689306054)</f>
        <v>1.452225269</v>
      </c>
      <c r="AN2" s="30">
        <f>IFERROR(__xludf.DUMMYFUNCTION("""COMPUTED_VALUE"""),0.7941612800560164)</f>
        <v>0.7941612801</v>
      </c>
      <c r="AO2" s="30">
        <f>IFERROR(__xludf.DUMMYFUNCTION("""COMPUTED_VALUE"""),0.0)</f>
        <v>0</v>
      </c>
      <c r="AP2" s="30">
        <f>IFERROR(__xludf.DUMMYFUNCTION("""COMPUTED_VALUE"""),0.822222978282094)</f>
        <v>0.8222229783</v>
      </c>
      <c r="AQ2" s="30">
        <f>IFERROR(__xludf.DUMMYFUNCTION("""COMPUTED_VALUE"""),1.692104769082304)</f>
        <v>1.692104769</v>
      </c>
      <c r="AR2" s="30">
        <f>IFERROR(__xludf.DUMMYFUNCTION("""COMPUTED_VALUE"""),0.5650988900984222)</f>
        <v>0.5650988901</v>
      </c>
      <c r="AS2" s="30">
        <f>IFERROR(__xludf.DUMMYFUNCTION("""COMPUTED_VALUE"""),2.0)</f>
        <v>2</v>
      </c>
      <c r="AT2" s="30">
        <f>IFERROR(__xludf.DUMMYFUNCTION("""COMPUTED_VALUE"""),0.034311658509621715)</f>
        <v>0.03431165851</v>
      </c>
      <c r="AU2" s="30">
        <f>IFERROR(__xludf.DUMMYFUNCTION("""COMPUTED_VALUE"""),0.03571905451436336)</f>
        <v>0.03571905451</v>
      </c>
      <c r="AV2" s="32">
        <f>IFERROR(__xludf.DUMMYFUNCTION("""COMPUTED_VALUE"""),-19.688043957117657)</f>
        <v>-19.68804396</v>
      </c>
      <c r="AW2" s="32">
        <f>IFERROR(__xludf.DUMMYFUNCTION("""COMPUTED_VALUE"""),-376.5564435299661)</f>
        <v>-376.5564435</v>
      </c>
      <c r="AX2" s="32">
        <f>IFERROR(__xludf.DUMMYFUNCTION("""COMPUTED_VALUE"""),4.608608224444453)</f>
        <v>4.608608224</v>
      </c>
      <c r="AY2" s="32">
        <f>IFERROR(__xludf.DUMMYFUNCTION("""COMPUTED_VALUE"""),-28.808809860904354)</f>
        <v>-28.80880986</v>
      </c>
      <c r="AZ2" s="30">
        <f>IFERROR(__xludf.DUMMYFUNCTION("""COMPUTED_VALUE"""),347.7476336690617)</f>
        <v>347.7476337</v>
      </c>
      <c r="BA2" s="30">
        <f>IFERROR(__xludf.DUMMYFUNCTION("""COMPUTED_VALUE"""),2.0)</f>
        <v>2</v>
      </c>
    </row>
    <row r="3">
      <c r="A3" s="30" t="str">
        <f>IFERROR(__xludf.DUMMYFUNCTION("""COMPUTED_VALUE"""),"Premier")</f>
        <v>Premier</v>
      </c>
      <c r="B3" s="30" t="str">
        <f>IFERROR(__xludf.DUMMYFUNCTION("""COMPUTED_VALUE"""),"RSC007830")</f>
        <v>RSC007830</v>
      </c>
      <c r="C3" s="30" t="str">
        <f>IFERROR(__xludf.DUMMYFUNCTION("""COMPUTED_VALUE"""),"ghosty rl")</f>
        <v>ghosty rl</v>
      </c>
      <c r="D3" s="30"/>
      <c r="E3" s="30">
        <f>IFERROR(__xludf.DUMMYFUNCTION("""COMPUTED_VALUE"""),8.0)</f>
        <v>8</v>
      </c>
      <c r="F3" s="30">
        <f>IFERROR(__xludf.DUMMYFUNCTION("""COMPUTED_VALUE"""),2.0)</f>
        <v>2</v>
      </c>
      <c r="G3" s="30">
        <f>IFERROR(__xludf.DUMMYFUNCTION("""COMPUTED_VALUE"""),6.0)</f>
        <v>6</v>
      </c>
      <c r="H3" s="42">
        <f>IFERROR(__xludf.DUMMYFUNCTION("""COMPUTED_VALUE"""),0.25)</f>
        <v>0.25</v>
      </c>
      <c r="I3" s="42">
        <f>IFERROR(__xludf.DUMMYFUNCTION("""COMPUTED_VALUE"""),0.125)</f>
        <v>0.125</v>
      </c>
      <c r="J3" s="30">
        <f>IFERROR(__xludf.DUMMYFUNCTION("""COMPUTED_VALUE"""),336.625)</f>
        <v>336.625</v>
      </c>
      <c r="K3" s="30">
        <f>IFERROR(__xludf.DUMMYFUNCTION("""COMPUTED_VALUE"""),0.25)</f>
        <v>0.25</v>
      </c>
      <c r="L3" s="30">
        <f>IFERROR(__xludf.DUMMYFUNCTION("""COMPUTED_VALUE"""),0.25)</f>
        <v>0.25</v>
      </c>
      <c r="M3" s="30">
        <f>IFERROR(__xludf.DUMMYFUNCTION("""COMPUTED_VALUE"""),2.25)</f>
        <v>2.25</v>
      </c>
      <c r="N3" s="30">
        <f>IFERROR(__xludf.DUMMYFUNCTION("""COMPUTED_VALUE"""),2.0)</f>
        <v>2</v>
      </c>
      <c r="O3" s="30">
        <f>IFERROR(__xludf.DUMMYFUNCTION("""COMPUTED_VALUE"""),410.08333333333337)</f>
        <v>410.0833333</v>
      </c>
      <c r="P3" s="30">
        <f>IFERROR(__xludf.DUMMYFUNCTION("""COMPUTED_VALUE"""),1.1666666666666667)</f>
        <v>1.166666667</v>
      </c>
      <c r="Q3" s="30">
        <f>IFERROR(__xludf.DUMMYFUNCTION("""COMPUTED_VALUE"""),1.0833333333333333)</f>
        <v>1.083333333</v>
      </c>
      <c r="R3" s="30">
        <f>IFERROR(__xludf.DUMMYFUNCTION("""COMPUTED_VALUE"""),1.0833333333333333)</f>
        <v>1.083333333</v>
      </c>
      <c r="S3" s="30">
        <f>IFERROR(__xludf.DUMMYFUNCTION("""COMPUTED_VALUE"""),3.041666666666667)</f>
        <v>3.041666667</v>
      </c>
      <c r="T3" s="30">
        <f>IFERROR(__xludf.DUMMYFUNCTION("""COMPUTED_VALUE"""),385.5620136943666)</f>
        <v>385.5620137</v>
      </c>
      <c r="U3" s="30">
        <f>IFERROR(__xludf.DUMMYFUNCTION("""COMPUTED_VALUE"""),0.9042561469032058)</f>
        <v>0.9042561469</v>
      </c>
      <c r="V3" s="30">
        <f>IFERROR(__xludf.DUMMYFUNCTION("""COMPUTED_VALUE"""),0.826525054466231)</f>
        <v>0.8265250545</v>
      </c>
      <c r="W3" s="30">
        <f>IFERROR(__xludf.DUMMYFUNCTION("""COMPUTED_VALUE"""),1.4246031746031744)</f>
        <v>1.424603175</v>
      </c>
      <c r="X3" s="30">
        <f>IFERROR(__xludf.DUMMYFUNCTION("""COMPUTED_VALUE"""),2.8974089635854336)</f>
        <v>2.897408964</v>
      </c>
      <c r="Y3" s="30">
        <f>IFERROR(__xludf.DUMMYFUNCTION("""COMPUTED_VALUE"""),368.8771267766366)</f>
        <v>368.8771268</v>
      </c>
      <c r="Z3" s="30">
        <f>IFERROR(__xludf.DUMMYFUNCTION("""COMPUTED_VALUE"""),0.7986954040875609)</f>
        <v>0.7986954041</v>
      </c>
      <c r="AA3" s="30">
        <f>IFERROR(__xludf.DUMMYFUNCTION("""COMPUTED_VALUE"""),0.6014498391949371)</f>
        <v>0.6014498392</v>
      </c>
      <c r="AB3" s="30">
        <f>IFERROR(__xludf.DUMMYFUNCTION("""COMPUTED_VALUE"""),1.5360903620707542)</f>
        <v>1.536090362</v>
      </c>
      <c r="AC3" s="30">
        <f>IFERROR(__xludf.DUMMYFUNCTION("""COMPUTED_VALUE"""),2.6205259881730467)</f>
        <v>2.620525988</v>
      </c>
      <c r="AD3" s="30">
        <f>IFERROR(__xludf.DUMMYFUNCTION("""COMPUTED_VALUE"""),0.9125667480158888)</f>
        <v>0.912566748</v>
      </c>
      <c r="AE3" s="30">
        <f>IFERROR(__xludf.DUMMYFUNCTION("""COMPUTED_VALUE"""),0.3130104401760055)</f>
        <v>0.3130104402</v>
      </c>
      <c r="AF3" s="30">
        <f>IFERROR(__xludf.DUMMYFUNCTION("""COMPUTED_VALUE"""),0.4156622609370621)</f>
        <v>0.4156622609</v>
      </c>
      <c r="AG3" s="30">
        <f>IFERROR(__xludf.DUMMYFUNCTION("""COMPUTED_VALUE"""),1.464757579083334)</f>
        <v>1.464757579</v>
      </c>
      <c r="AH3" s="30">
        <f>IFERROR(__xludf.DUMMYFUNCTION("""COMPUTED_VALUE"""),0.7632055583598089)</f>
        <v>0.7632055584</v>
      </c>
      <c r="AI3" s="30">
        <f>IFERROR(__xludf.DUMMYFUNCTION("""COMPUTED_VALUE"""),1.0635988991861753)</f>
        <v>1.063598899</v>
      </c>
      <c r="AJ3" s="30">
        <f>IFERROR(__xludf.DUMMYFUNCTION("""COMPUTED_VALUE"""),1.2901948973884612)</f>
        <v>1.290194897</v>
      </c>
      <c r="AK3" s="30">
        <f>IFERROR(__xludf.DUMMYFUNCTION("""COMPUTED_VALUE"""),1.3107084019769355)</f>
        <v>1.310708402</v>
      </c>
      <c r="AL3" s="30">
        <f>IFERROR(__xludf.DUMMYFUNCTION("""COMPUTED_VALUE"""),0.7604456824512535)</f>
        <v>0.7604456825</v>
      </c>
      <c r="AM3" s="30">
        <f>IFERROR(__xludf.DUMMYFUNCTION("""COMPUTED_VALUE"""),1.0497885196374626)</f>
        <v>1.04978852</v>
      </c>
      <c r="AN3" s="30">
        <f>IFERROR(__xludf.DUMMYFUNCTION("""COMPUTED_VALUE"""),0.9139642423892531)</f>
        <v>0.9139642424</v>
      </c>
      <c r="AO3" s="30">
        <f>IFERROR(__xludf.DUMMYFUNCTION("""COMPUTED_VALUE"""),0.3120514935753224)</f>
        <v>0.3120514936</v>
      </c>
      <c r="AP3" s="30">
        <f>IFERROR(__xludf.DUMMYFUNCTION("""COMPUTED_VALUE"""),0.411111489141047)</f>
        <v>0.4111114891</v>
      </c>
      <c r="AQ3" s="30">
        <f>IFERROR(__xludf.DUMMYFUNCTION("""COMPUTED_VALUE"""),1.5228942921740733)</f>
        <v>1.522894292</v>
      </c>
      <c r="AR3" s="30">
        <f>IFERROR(__xludf.DUMMYFUNCTION("""COMPUTED_VALUE"""),0.7534651867978963)</f>
        <v>0.7534651868</v>
      </c>
      <c r="AS3" s="30">
        <f>IFERROR(__xludf.DUMMYFUNCTION("""COMPUTED_VALUE"""),16.0)</f>
        <v>16</v>
      </c>
      <c r="AT3" s="30">
        <f>IFERROR(__xludf.DUMMYFUNCTION("""COMPUTED_VALUE"""),0.28642789176939765)</f>
        <v>0.2864278918</v>
      </c>
      <c r="AU3" s="30">
        <f>IFERROR(__xludf.DUMMYFUNCTION("""COMPUTED_VALUE"""),0.7219566835115703)</f>
        <v>0.7219566835</v>
      </c>
      <c r="AV3" s="32">
        <f>IFERROR(__xludf.DUMMYFUNCTION("""COMPUTED_VALUE"""),-0.39297454784903607)</f>
        <v>-0.3929745478</v>
      </c>
      <c r="AW3" s="32">
        <f>IFERROR(__xludf.DUMMYFUNCTION("""COMPUTED_VALUE"""),-45.63150279834894)</f>
        <v>-45.6315028</v>
      </c>
      <c r="AX3" s="32">
        <f>IFERROR(__xludf.DUMMYFUNCTION("""COMPUTED_VALUE"""),21.928600927865062)</f>
        <v>21.92860093</v>
      </c>
      <c r="AY3" s="32">
        <f>IFERROR(__xludf.DUMMYFUNCTION("""COMPUTED_VALUE"""),-7.64822236890018)</f>
        <v>-7.648222369</v>
      </c>
      <c r="AZ3" s="30">
        <f>IFERROR(__xludf.DUMMYFUNCTION("""COMPUTED_VALUE"""),37.98328042944876)</f>
        <v>37.98328043</v>
      </c>
      <c r="BA3" s="30">
        <f>IFERROR(__xludf.DUMMYFUNCTION("""COMPUTED_VALUE"""),2.0)</f>
        <v>2</v>
      </c>
    </row>
    <row r="4">
      <c r="A4" s="30" t="str">
        <f>IFERROR(__xludf.DUMMYFUNCTION("""COMPUTED_VALUE"""),"Premier")</f>
        <v>Premier</v>
      </c>
      <c r="B4" s="71" t="str">
        <f>IFERROR(__xludf.DUMMYFUNCTION("""COMPUTED_VALUE"""),"RSC004216")</f>
        <v>RSC004216</v>
      </c>
      <c r="C4" s="30" t="str">
        <f>IFERROR(__xludf.DUMMYFUNCTION("""COMPUTED_VALUE"""),"GrEh")</f>
        <v>GrEh</v>
      </c>
      <c r="D4" s="30" t="str">
        <f>IFERROR(__xludf.DUMMYFUNCTION("""COMPUTED_VALUE"""),"Long Beards")</f>
        <v>Long Beards</v>
      </c>
      <c r="E4" s="30">
        <f>IFERROR(__xludf.DUMMYFUNCTION("""COMPUTED_VALUE"""),36.0)</f>
        <v>36</v>
      </c>
      <c r="F4" s="30">
        <f>IFERROR(__xludf.DUMMYFUNCTION("""COMPUTED_VALUE"""),24.0)</f>
        <v>24</v>
      </c>
      <c r="G4" s="30">
        <f>IFERROR(__xludf.DUMMYFUNCTION("""COMPUTED_VALUE"""),12.0)</f>
        <v>12</v>
      </c>
      <c r="H4" s="42">
        <f>IFERROR(__xludf.DUMMYFUNCTION("""COMPUTED_VALUE"""),0.6666666666666666)</f>
        <v>0.6666666667</v>
      </c>
      <c r="I4" s="42">
        <f>IFERROR(__xludf.DUMMYFUNCTION("""COMPUTED_VALUE"""),0.33076923076923076)</f>
        <v>0.3307692308</v>
      </c>
      <c r="J4" s="30">
        <f>IFERROR(__xludf.DUMMYFUNCTION("""COMPUTED_VALUE"""),399.9166666666667)</f>
        <v>399.9166667</v>
      </c>
      <c r="K4" s="30">
        <f>IFERROR(__xludf.DUMMYFUNCTION("""COMPUTED_VALUE"""),1.1944444444444444)</f>
        <v>1.194444444</v>
      </c>
      <c r="L4" s="30">
        <f>IFERROR(__xludf.DUMMYFUNCTION("""COMPUTED_VALUE"""),0.9722222222222222)</f>
        <v>0.9722222222</v>
      </c>
      <c r="M4" s="30">
        <f>IFERROR(__xludf.DUMMYFUNCTION("""COMPUTED_VALUE"""),0.9722222222222222)</f>
        <v>0.9722222222</v>
      </c>
      <c r="N4" s="30">
        <f>IFERROR(__xludf.DUMMYFUNCTION("""COMPUTED_VALUE"""),3.611111111111111)</f>
        <v>3.611111111</v>
      </c>
      <c r="O4" s="30">
        <f>IFERROR(__xludf.DUMMYFUNCTION("""COMPUTED_VALUE"""),382.2314814814814)</f>
        <v>382.2314815</v>
      </c>
      <c r="P4" s="30">
        <f>IFERROR(__xludf.DUMMYFUNCTION("""COMPUTED_VALUE"""),0.7129629629629629)</f>
        <v>0.712962963</v>
      </c>
      <c r="Q4" s="30">
        <f>IFERROR(__xludf.DUMMYFUNCTION("""COMPUTED_VALUE"""),0.5277777777777776)</f>
        <v>0.5277777778</v>
      </c>
      <c r="R4" s="30">
        <f>IFERROR(__xludf.DUMMYFUNCTION("""COMPUTED_VALUE"""),1.8888888888888888)</f>
        <v>1.888888889</v>
      </c>
      <c r="S4" s="30">
        <f>IFERROR(__xludf.DUMMYFUNCTION("""COMPUTED_VALUE"""),2.407407407407407)</f>
        <v>2.407407407</v>
      </c>
      <c r="T4" s="30">
        <f>IFERROR(__xludf.DUMMYFUNCTION("""COMPUTED_VALUE"""),370.01895017664566)</f>
        <v>370.0189502</v>
      </c>
      <c r="U4" s="30">
        <f>IFERROR(__xludf.DUMMYFUNCTION("""COMPUTED_VALUE"""),0.779393888180521)</f>
        <v>0.7793938882</v>
      </c>
      <c r="V4" s="30">
        <f>IFERROR(__xludf.DUMMYFUNCTION("""COMPUTED_VALUE"""),0.5934895865288902)</f>
        <v>0.5934895865</v>
      </c>
      <c r="W4" s="30">
        <f>IFERROR(__xludf.DUMMYFUNCTION("""COMPUTED_VALUE"""),1.5223464120149595)</f>
        <v>1.522346412</v>
      </c>
      <c r="X4" s="30">
        <f>IFERROR(__xludf.DUMMYFUNCTION("""COMPUTED_VALUE"""),2.6667100263044285)</f>
        <v>2.666710026</v>
      </c>
      <c r="Y4" s="30">
        <f>IFERROR(__xludf.DUMMYFUNCTION("""COMPUTED_VALUE"""),382.53383702047114)</f>
        <v>382.533837</v>
      </c>
      <c r="Z4" s="30">
        <f>IFERROR(__xludf.DUMMYFUNCTION("""COMPUTED_VALUE"""),0.8780200513321835)</f>
        <v>0.8780200513</v>
      </c>
      <c r="AA4" s="30">
        <f>IFERROR(__xludf.DUMMYFUNCTION("""COMPUTED_VALUE"""),0.6960303120982895)</f>
        <v>0.6960303121</v>
      </c>
      <c r="AB4" s="30">
        <f>IFERROR(__xludf.DUMMYFUNCTION("""COMPUTED_VALUE"""),1.4268370701747664)</f>
        <v>1.42683707</v>
      </c>
      <c r="AC4" s="30">
        <f>IFERROR(__xludf.DUMMYFUNCTION("""COMPUTED_VALUE"""),2.8134877733118993)</f>
        <v>2.813487773</v>
      </c>
      <c r="AD4" s="30">
        <f>IFERROR(__xludf.DUMMYFUNCTION("""COMPUTED_VALUE"""),1.0454412864011957)</f>
        <v>1.045441286</v>
      </c>
      <c r="AE4" s="30">
        <f>IFERROR(__xludf.DUMMYFUNCTION("""COMPUTED_VALUE"""),1.3603840170075425)</f>
        <v>1.360384017</v>
      </c>
      <c r="AF4" s="30">
        <f>IFERROR(__xludf.DUMMYFUNCTION("""COMPUTED_VALUE"""),1.3968101752512907)</f>
        <v>1.396810175</v>
      </c>
      <c r="AG4" s="30">
        <f>IFERROR(__xludf.DUMMYFUNCTION("""COMPUTED_VALUE"""),0.681382788928479)</f>
        <v>0.6813827889</v>
      </c>
      <c r="AH4" s="30">
        <f>IFERROR(__xludf.DUMMYFUNCTION("""COMPUTED_VALUE"""),1.283499841501102)</f>
        <v>1.283499842</v>
      </c>
      <c r="AI4" s="30">
        <f>IFERROR(__xludf.DUMMYFUNCTION("""COMPUTED_VALUE"""),1.0330051509497162)</f>
        <v>1.033005151</v>
      </c>
      <c r="AJ4" s="30">
        <f>IFERROR(__xludf.DUMMYFUNCTION("""COMPUTED_VALUE"""),0.9147659146100828)</f>
        <v>0.9147659146</v>
      </c>
      <c r="AK4" s="30">
        <f>IFERROR(__xludf.DUMMYFUNCTION("""COMPUTED_VALUE"""),0.88927891871627)</f>
        <v>0.8892789187</v>
      </c>
      <c r="AL4" s="30">
        <f>IFERROR(__xludf.DUMMYFUNCTION("""COMPUTED_VALUE"""),1.2407746843826288)</f>
        <v>1.240774684</v>
      </c>
      <c r="AM4" s="30">
        <f>IFERROR(__xludf.DUMMYFUNCTION("""COMPUTED_VALUE"""),0.902763098972419)</f>
        <v>0.902763099</v>
      </c>
      <c r="AN4" s="30">
        <f>IFERROR(__xludf.DUMMYFUNCTION("""COMPUTED_VALUE"""),1.0858062629597787)</f>
        <v>1.085806263</v>
      </c>
      <c r="AO4" s="30">
        <f>IFERROR(__xludf.DUMMYFUNCTION("""COMPUTED_VALUE"""),1.4909126915265403)</f>
        <v>1.490912692</v>
      </c>
      <c r="AP4" s="30">
        <f>IFERROR(__xludf.DUMMYFUNCTION("""COMPUTED_VALUE"""),1.5987669022151827)</f>
        <v>1.598766902</v>
      </c>
      <c r="AQ4" s="30">
        <f>IFERROR(__xludf.DUMMYFUNCTION("""COMPUTED_VALUE"""),0.658040743532007)</f>
        <v>0.6580407435</v>
      </c>
      <c r="AR4" s="30">
        <f>IFERROR(__xludf.DUMMYFUNCTION("""COMPUTED_VALUE"""),1.3604232539406462)</f>
        <v>1.360423254</v>
      </c>
      <c r="AS4" s="30">
        <f>IFERROR(__xludf.DUMMYFUNCTION("""COMPUTED_VALUE"""),117.0)</f>
        <v>117</v>
      </c>
      <c r="AT4" s="30">
        <f>IFERROR(__xludf.DUMMYFUNCTION("""COMPUTED_VALUE"""),0.6633861855324868)</f>
        <v>0.6633861855</v>
      </c>
      <c r="AU4" s="30">
        <f>IFERROR(__xludf.DUMMYFUNCTION("""COMPUTED_VALUE"""),4.1142451832689275)</f>
        <v>4.114245183</v>
      </c>
      <c r="AV4" s="32">
        <f>IFERROR(__xludf.DUMMYFUNCTION("""COMPUTED_VALUE"""),94.98862403153811)</f>
        <v>94.98862403</v>
      </c>
      <c r="AW4" s="32">
        <f>IFERROR(__xludf.DUMMYFUNCTION("""COMPUTED_VALUE"""),27.803836762494523)</f>
        <v>27.80383676</v>
      </c>
      <c r="AX4" s="32">
        <f>IFERROR(__xludf.DUMMYFUNCTION("""COMPUTED_VALUE"""),66.69891775953036)</f>
        <v>66.69891776</v>
      </c>
      <c r="AY4" s="32">
        <f>IFERROR(__xludf.DUMMYFUNCTION("""COMPUTED_VALUE"""),3.9669849592261697)</f>
        <v>3.966984959</v>
      </c>
      <c r="AZ4" s="30">
        <f>IFERROR(__xludf.DUMMYFUNCTION("""COMPUTED_VALUE"""),23.836851803268353)</f>
        <v>23.8368518</v>
      </c>
      <c r="BA4" s="30">
        <f>IFERROR(__xludf.DUMMYFUNCTION("""COMPUTED_VALUE"""),2.0)</f>
        <v>2</v>
      </c>
    </row>
    <row r="5">
      <c r="A5" s="30" t="str">
        <f>IFERROR(__xludf.DUMMYFUNCTION("""COMPUTED_VALUE"""),"Premier")</f>
        <v>Premier</v>
      </c>
      <c r="B5" s="71" t="str">
        <f>IFERROR(__xludf.DUMMYFUNCTION("""COMPUTED_VALUE"""),"RSC007982")</f>
        <v>RSC007982</v>
      </c>
      <c r="C5" s="30" t="str">
        <f>IFERROR(__xludf.DUMMYFUNCTION("""COMPUTED_VALUE"""),"Cadomac")</f>
        <v>Cadomac</v>
      </c>
      <c r="D5" s="30" t="str">
        <f>IFERROR(__xludf.DUMMYFUNCTION("""COMPUTED_VALUE"""),"Hurricanes")</f>
        <v>Hurricanes</v>
      </c>
      <c r="E5" s="30">
        <f>IFERROR(__xludf.DUMMYFUNCTION("""COMPUTED_VALUE"""),31.0)</f>
        <v>31</v>
      </c>
      <c r="F5" s="30">
        <f>IFERROR(__xludf.DUMMYFUNCTION("""COMPUTED_VALUE"""),19.0)</f>
        <v>19</v>
      </c>
      <c r="G5" s="30">
        <f>IFERROR(__xludf.DUMMYFUNCTION("""COMPUTED_VALUE"""),12.0)</f>
        <v>12</v>
      </c>
      <c r="H5" s="42">
        <f>IFERROR(__xludf.DUMMYFUNCTION("""COMPUTED_VALUE"""),0.6129032258064516)</f>
        <v>0.6129032258</v>
      </c>
      <c r="I5" s="42">
        <f>IFERROR(__xludf.DUMMYFUNCTION("""COMPUTED_VALUE"""),0.26495726495726496)</f>
        <v>0.264957265</v>
      </c>
      <c r="J5" s="30">
        <f>IFERROR(__xludf.DUMMYFUNCTION("""COMPUTED_VALUE"""),462.2258064516129)</f>
        <v>462.2258065</v>
      </c>
      <c r="K5" s="30">
        <f>IFERROR(__xludf.DUMMYFUNCTION("""COMPUTED_VALUE"""),1.0)</f>
        <v>1</v>
      </c>
      <c r="L5" s="30">
        <f>IFERROR(__xludf.DUMMYFUNCTION("""COMPUTED_VALUE"""),0.9354838709677419)</f>
        <v>0.935483871</v>
      </c>
      <c r="M5" s="30">
        <f>IFERROR(__xludf.DUMMYFUNCTION("""COMPUTED_VALUE"""),1.6451612903225807)</f>
        <v>1.64516129</v>
      </c>
      <c r="N5" s="30">
        <f>IFERROR(__xludf.DUMMYFUNCTION("""COMPUTED_VALUE"""),3.774193548387097)</f>
        <v>3.774193548</v>
      </c>
      <c r="O5" s="30">
        <f>IFERROR(__xludf.DUMMYFUNCTION("""COMPUTED_VALUE"""),386.9032258064516)</f>
        <v>386.9032258</v>
      </c>
      <c r="P5" s="30">
        <f>IFERROR(__xludf.DUMMYFUNCTION("""COMPUTED_VALUE"""),0.6881720430107525)</f>
        <v>0.688172043</v>
      </c>
      <c r="Q5" s="30">
        <f>IFERROR(__xludf.DUMMYFUNCTION("""COMPUTED_VALUE"""),0.5376344086021505)</f>
        <v>0.5376344086</v>
      </c>
      <c r="R5" s="30">
        <f>IFERROR(__xludf.DUMMYFUNCTION("""COMPUTED_VALUE"""),1.8602150537634408)</f>
        <v>1.860215054</v>
      </c>
      <c r="S5" s="30">
        <f>IFERROR(__xludf.DUMMYFUNCTION("""COMPUTED_VALUE"""),2.6236559139784945)</f>
        <v>2.623655914</v>
      </c>
      <c r="T5" s="30">
        <f>IFERROR(__xludf.DUMMYFUNCTION("""COMPUTED_VALUE"""),374.96665069111987)</f>
        <v>374.9666507</v>
      </c>
      <c r="U5" s="30">
        <f>IFERROR(__xludf.DUMMYFUNCTION("""COMPUTED_VALUE"""),0.8528681699732722)</f>
        <v>0.85286817</v>
      </c>
      <c r="V5" s="30">
        <f>IFERROR(__xludf.DUMMYFUNCTION("""COMPUTED_VALUE"""),0.6298439461166467)</f>
        <v>0.6298439461</v>
      </c>
      <c r="W5" s="30">
        <f>IFERROR(__xludf.DUMMYFUNCTION("""COMPUTED_VALUE"""),1.4626437645521873)</f>
        <v>1.462643765</v>
      </c>
      <c r="X5" s="30">
        <f>IFERROR(__xludf.DUMMYFUNCTION("""COMPUTED_VALUE"""),2.6643529723249784)</f>
        <v>2.664352972</v>
      </c>
      <c r="Y5" s="30">
        <f>IFERROR(__xludf.DUMMYFUNCTION("""COMPUTED_VALUE"""),377.8469868118932)</f>
        <v>377.8469868</v>
      </c>
      <c r="Z5" s="30">
        <f>IFERROR(__xludf.DUMMYFUNCTION("""COMPUTED_VALUE"""),0.8632378814330715)</f>
        <v>0.8632378814</v>
      </c>
      <c r="AA5" s="30">
        <f>IFERROR(__xludf.DUMMYFUNCTION("""COMPUTED_VALUE"""),0.6699881294030299)</f>
        <v>0.6699881294</v>
      </c>
      <c r="AB5" s="30">
        <f>IFERROR(__xludf.DUMMYFUNCTION("""COMPUTED_VALUE"""),1.430109412295505)</f>
        <v>1.430109412</v>
      </c>
      <c r="AC5" s="30">
        <f>IFERROR(__xludf.DUMMYFUNCTION("""COMPUTED_VALUE"""),2.8016798122899926)</f>
        <v>2.801679812</v>
      </c>
      <c r="AD5" s="30">
        <f>IFERROR(__xludf.DUMMYFUNCTION("""COMPUTED_VALUE"""),1.2233147876913644)</f>
        <v>1.223314788</v>
      </c>
      <c r="AE5" s="30">
        <f>IFERROR(__xludf.DUMMYFUNCTION("""COMPUTED_VALUE"""),1.15842923660844)</f>
        <v>1.158429237</v>
      </c>
      <c r="AF5" s="30">
        <f>IFERROR(__xludf.DUMMYFUNCTION("""COMPUTED_VALUE"""),1.3962693216688375)</f>
        <v>1.396269322</v>
      </c>
      <c r="AG5" s="30">
        <f>IFERROR(__xludf.DUMMYFUNCTION("""COMPUTED_VALUE"""),1.1503744232281434)</f>
        <v>1.150374423</v>
      </c>
      <c r="AH5" s="30">
        <f>IFERROR(__xludf.DUMMYFUNCTION("""COMPUTED_VALUE"""),1.3471180867389005)</f>
        <v>1.347118087</v>
      </c>
      <c r="AI5" s="30">
        <f>IFERROR(__xludf.DUMMYFUNCTION("""COMPUTED_VALUE"""),1.0318336979924236)</f>
        <v>1.031833698</v>
      </c>
      <c r="AJ5" s="30">
        <f>IFERROR(__xludf.DUMMYFUNCTION("""COMPUTED_VALUE"""),0.80689146017997)</f>
        <v>0.8068914602</v>
      </c>
      <c r="AK5" s="30">
        <f>IFERROR(__xludf.DUMMYFUNCTION("""COMPUTED_VALUE"""),0.8535993906379167)</f>
        <v>0.8535993906</v>
      </c>
      <c r="AL5" s="30">
        <f>IFERROR(__xludf.DUMMYFUNCTION("""COMPUTED_VALUE"""),1.2718168968046546)</f>
        <v>1.271816897</v>
      </c>
      <c r="AM5" s="30">
        <f>IFERROR(__xludf.DUMMYFUNCTION("""COMPUTED_VALUE"""),0.9847253502935946)</f>
        <v>0.9847253503</v>
      </c>
      <c r="AN5" s="30">
        <f>IFERROR(__xludf.DUMMYFUNCTION("""COMPUTED_VALUE"""),1.2549806431676493)</f>
        <v>1.254980643</v>
      </c>
      <c r="AO5" s="30">
        <f>IFERROR(__xludf.DUMMYFUNCTION("""COMPUTED_VALUE"""),1.2482059743012897)</f>
        <v>1.248205974</v>
      </c>
      <c r="AP5" s="30">
        <f>IFERROR(__xludf.DUMMYFUNCTION("""COMPUTED_VALUE"""),1.5383526690439175)</f>
        <v>1.538352669</v>
      </c>
      <c r="AQ5" s="30">
        <f>IFERROR(__xludf.DUMMYFUNCTION("""COMPUTED_VALUE"""),1.1135141061057743)</f>
        <v>1.113514106</v>
      </c>
      <c r="AR5" s="30">
        <f>IFERROR(__xludf.DUMMYFUNCTION("""COMPUTED_VALUE"""),1.4218617234734496)</f>
        <v>1.421861723</v>
      </c>
      <c r="AS5" s="30">
        <f>IFERROR(__xludf.DUMMYFUNCTION("""COMPUTED_VALUE"""),87.0)</f>
        <v>87</v>
      </c>
      <c r="AT5" s="30">
        <f>IFERROR(__xludf.DUMMYFUNCTION("""COMPUTED_VALUE"""),0.618606291138452)</f>
        <v>0.6186062911</v>
      </c>
      <c r="AU5" s="30">
        <f>IFERROR(__xludf.DUMMYFUNCTION("""COMPUTED_VALUE"""),4.111480377804052)</f>
        <v>4.111480378</v>
      </c>
      <c r="AV5" s="32">
        <f>IFERROR(__xludf.DUMMYFUNCTION("""COMPUTED_VALUE"""),94.91088548865778)</f>
        <v>94.91088549</v>
      </c>
      <c r="AW5" s="32">
        <f>IFERROR(__xludf.DUMMYFUNCTION("""COMPUTED_VALUE"""),27.614661437933854)</f>
        <v>27.61466144</v>
      </c>
      <c r="AX5" s="32">
        <f>IFERROR(__xludf.DUMMYFUNCTION("""COMPUTED_VALUE"""),72.94521285136305)</f>
        <v>72.94521285</v>
      </c>
      <c r="AY5" s="32">
        <f>IFERROR(__xludf.DUMMYFUNCTION("""COMPUTED_VALUE"""),5.575392739911701)</f>
        <v>5.57539274</v>
      </c>
      <c r="AZ5" s="30">
        <f>IFERROR(__xludf.DUMMYFUNCTION("""COMPUTED_VALUE"""),22.039268698022155)</f>
        <v>22.0392687</v>
      </c>
      <c r="BA5" s="30">
        <f>IFERROR(__xludf.DUMMYFUNCTION("""COMPUTED_VALUE"""),2.0)</f>
        <v>2</v>
      </c>
    </row>
    <row r="6">
      <c r="A6" s="30" t="str">
        <f>IFERROR(__xludf.DUMMYFUNCTION("""COMPUTED_VALUE"""),"Premier")</f>
        <v>Premier</v>
      </c>
      <c r="B6" s="71" t="str">
        <f>IFERROR(__xludf.DUMMYFUNCTION("""COMPUTED_VALUE"""),"RSC004459")</f>
        <v>RSC004459</v>
      </c>
      <c r="C6" s="30" t="str">
        <f>IFERROR(__xludf.DUMMYFUNCTION("""COMPUTED_VALUE"""),"phoenix")</f>
        <v>phoenix</v>
      </c>
      <c r="D6" s="30" t="str">
        <f>IFERROR(__xludf.DUMMYFUNCTION("""COMPUTED_VALUE"""),"Long Beards")</f>
        <v>Long Beards</v>
      </c>
      <c r="E6" s="30">
        <f>IFERROR(__xludf.DUMMYFUNCTION("""COMPUTED_VALUE"""),36.0)</f>
        <v>36</v>
      </c>
      <c r="F6" s="30">
        <f>IFERROR(__xludf.DUMMYFUNCTION("""COMPUTED_VALUE"""),24.0)</f>
        <v>24</v>
      </c>
      <c r="G6" s="30">
        <f>IFERROR(__xludf.DUMMYFUNCTION("""COMPUTED_VALUE"""),12.0)</f>
        <v>12</v>
      </c>
      <c r="H6" s="42">
        <f>IFERROR(__xludf.DUMMYFUNCTION("""COMPUTED_VALUE"""),0.6666666666666666)</f>
        <v>0.6666666667</v>
      </c>
      <c r="I6" s="42">
        <f>IFERROR(__xludf.DUMMYFUNCTION("""COMPUTED_VALUE"""),0.3053435114503817)</f>
        <v>0.3053435115</v>
      </c>
      <c r="J6" s="30">
        <f>IFERROR(__xludf.DUMMYFUNCTION("""COMPUTED_VALUE"""),434.19444444444446)</f>
        <v>434.1944444</v>
      </c>
      <c r="K6" s="30">
        <f>IFERROR(__xludf.DUMMYFUNCTION("""COMPUTED_VALUE"""),1.1111111111111112)</f>
        <v>1.111111111</v>
      </c>
      <c r="L6" s="30">
        <f>IFERROR(__xludf.DUMMYFUNCTION("""COMPUTED_VALUE"""),0.8888888888888888)</f>
        <v>0.8888888889</v>
      </c>
      <c r="M6" s="30">
        <f>IFERROR(__xludf.DUMMYFUNCTION("""COMPUTED_VALUE"""),1.8055555555555556)</f>
        <v>1.805555556</v>
      </c>
      <c r="N6" s="30">
        <f>IFERROR(__xludf.DUMMYFUNCTION("""COMPUTED_VALUE"""),3.638888888888889)</f>
        <v>3.638888889</v>
      </c>
      <c r="O6" s="30">
        <f>IFERROR(__xludf.DUMMYFUNCTION("""COMPUTED_VALUE"""),382.2314814814814)</f>
        <v>382.2314815</v>
      </c>
      <c r="P6" s="30">
        <f>IFERROR(__xludf.DUMMYFUNCTION("""COMPUTED_VALUE"""),0.7129629629629629)</f>
        <v>0.712962963</v>
      </c>
      <c r="Q6" s="30">
        <f>IFERROR(__xludf.DUMMYFUNCTION("""COMPUTED_VALUE"""),0.5277777777777776)</f>
        <v>0.5277777778</v>
      </c>
      <c r="R6" s="30">
        <f>IFERROR(__xludf.DUMMYFUNCTION("""COMPUTED_VALUE"""),1.8888888888888888)</f>
        <v>1.888888889</v>
      </c>
      <c r="S6" s="30">
        <f>IFERROR(__xludf.DUMMYFUNCTION("""COMPUTED_VALUE"""),2.407407407407407)</f>
        <v>2.407407407</v>
      </c>
      <c r="T6" s="30">
        <f>IFERROR(__xludf.DUMMYFUNCTION("""COMPUTED_VALUE"""),370.01895017664566)</f>
        <v>370.0189502</v>
      </c>
      <c r="U6" s="30">
        <f>IFERROR(__xludf.DUMMYFUNCTION("""COMPUTED_VALUE"""),0.779393888180521)</f>
        <v>0.7793938882</v>
      </c>
      <c r="V6" s="30">
        <f>IFERROR(__xludf.DUMMYFUNCTION("""COMPUTED_VALUE"""),0.5934895865288902)</f>
        <v>0.5934895865</v>
      </c>
      <c r="W6" s="30">
        <f>IFERROR(__xludf.DUMMYFUNCTION("""COMPUTED_VALUE"""),1.5223464120149595)</f>
        <v>1.522346412</v>
      </c>
      <c r="X6" s="30">
        <f>IFERROR(__xludf.DUMMYFUNCTION("""COMPUTED_VALUE"""),2.6667100263044285)</f>
        <v>2.666710026</v>
      </c>
      <c r="Y6" s="30">
        <f>IFERROR(__xludf.DUMMYFUNCTION("""COMPUTED_VALUE"""),382.53383702047114)</f>
        <v>382.533837</v>
      </c>
      <c r="Z6" s="30">
        <f>IFERROR(__xludf.DUMMYFUNCTION("""COMPUTED_VALUE"""),0.8780200513321835)</f>
        <v>0.8780200513</v>
      </c>
      <c r="AA6" s="30">
        <f>IFERROR(__xludf.DUMMYFUNCTION("""COMPUTED_VALUE"""),0.6960303120982895)</f>
        <v>0.6960303121</v>
      </c>
      <c r="AB6" s="30">
        <f>IFERROR(__xludf.DUMMYFUNCTION("""COMPUTED_VALUE"""),1.4268370701747664)</f>
        <v>1.42683707</v>
      </c>
      <c r="AC6" s="30">
        <f>IFERROR(__xludf.DUMMYFUNCTION("""COMPUTED_VALUE"""),2.8134877733118993)</f>
        <v>2.813487773</v>
      </c>
      <c r="AD6" s="30">
        <f>IFERROR(__xludf.DUMMYFUNCTION("""COMPUTED_VALUE"""),1.1350484648007981)</f>
        <v>1.135048465</v>
      </c>
      <c r="AE6" s="30">
        <f>IFERROR(__xludf.DUMMYFUNCTION("""COMPUTED_VALUE"""),1.2654735041930627)</f>
        <v>1.265473504</v>
      </c>
      <c r="AF6" s="30">
        <f>IFERROR(__xludf.DUMMYFUNCTION("""COMPUTED_VALUE"""),1.27708358880118)</f>
        <v>1.277083589</v>
      </c>
      <c r="AG6" s="30">
        <f>IFERROR(__xludf.DUMMYFUNCTION("""COMPUTED_VALUE"""),1.265425179438604)</f>
        <v>1.265425179</v>
      </c>
      <c r="AH6" s="30">
        <f>IFERROR(__xludf.DUMMYFUNCTION("""COMPUTED_VALUE"""),1.2933729172049566)</f>
        <v>1.293372917</v>
      </c>
      <c r="AI6" s="30">
        <f>IFERROR(__xludf.DUMMYFUNCTION("""COMPUTED_VALUE"""),1.0330051509497162)</f>
        <v>1.033005151</v>
      </c>
      <c r="AJ6" s="30">
        <f>IFERROR(__xludf.DUMMYFUNCTION("""COMPUTED_VALUE"""),0.9147659146100828)</f>
        <v>0.9147659146</v>
      </c>
      <c r="AK6" s="30">
        <f>IFERROR(__xludf.DUMMYFUNCTION("""COMPUTED_VALUE"""),0.88927891871627)</f>
        <v>0.8892789187</v>
      </c>
      <c r="AL6" s="30">
        <f>IFERROR(__xludf.DUMMYFUNCTION("""COMPUTED_VALUE"""),1.2407746843826288)</f>
        <v>1.240774684</v>
      </c>
      <c r="AM6" s="30">
        <f>IFERROR(__xludf.DUMMYFUNCTION("""COMPUTED_VALUE"""),0.902763098972419)</f>
        <v>0.902763099</v>
      </c>
      <c r="AN6" s="30">
        <f>IFERROR(__xludf.DUMMYFUNCTION("""COMPUTED_VALUE"""),1.178873216387046)</f>
        <v>1.178873216</v>
      </c>
      <c r="AO6" s="30">
        <f>IFERROR(__xludf.DUMMYFUNCTION("""COMPUTED_VALUE"""),1.386895527001433)</f>
        <v>1.386895527</v>
      </c>
      <c r="AP6" s="30">
        <f>IFERROR(__xludf.DUMMYFUNCTION("""COMPUTED_VALUE"""),1.461729739168167)</f>
        <v>1.461729739</v>
      </c>
      <c r="AQ6" s="30">
        <f>IFERROR(__xludf.DUMMYFUNCTION("""COMPUTED_VALUE"""),1.2220756665594417)</f>
        <v>1.222075667</v>
      </c>
      <c r="AR6" s="30">
        <f>IFERROR(__xludf.DUMMYFUNCTION("""COMPUTED_VALUE"""),1.370888048201728)</f>
        <v>1.370888048</v>
      </c>
      <c r="AS6" s="30">
        <f>IFERROR(__xludf.DUMMYFUNCTION("""COMPUTED_VALUE"""),117.0)</f>
        <v>117</v>
      </c>
      <c r="AT6" s="30">
        <f>IFERROR(__xludf.DUMMYFUNCTION("""COMPUTED_VALUE"""),0.6633861855324868)</f>
        <v>0.6633861855</v>
      </c>
      <c r="AU6" s="30">
        <f>IFERROR(__xludf.DUMMYFUNCTION("""COMPUTED_VALUE"""),3.9679370667920164)</f>
        <v>3.967937067</v>
      </c>
      <c r="AV6" s="32">
        <f>IFERROR(__xludf.DUMMYFUNCTION("""COMPUTED_VALUE"""),90.87485185806138)</f>
        <v>90.87485186</v>
      </c>
      <c r="AW6" s="32">
        <f>IFERROR(__xludf.DUMMYFUNCTION("""COMPUTED_VALUE"""),19.598180496953063)</f>
        <v>19.5981805</v>
      </c>
      <c r="AX6" s="32">
        <f>IFERROR(__xludf.DUMMYFUNCTION("""COMPUTED_VALUE"""),68.47694789629274)</f>
        <v>68.4769479</v>
      </c>
      <c r="AY6" s="32">
        <f>IFERROR(__xludf.DUMMYFUNCTION("""COMPUTED_VALUE"""),4.349152710162478)</f>
        <v>4.34915271</v>
      </c>
      <c r="AZ6" s="30">
        <f>IFERROR(__xludf.DUMMYFUNCTION("""COMPUTED_VALUE"""),15.249027786790585)</f>
        <v>15.24902779</v>
      </c>
      <c r="BA6" s="30">
        <f>IFERROR(__xludf.DUMMYFUNCTION("""COMPUTED_VALUE"""),2.0)</f>
        <v>2</v>
      </c>
    </row>
    <row r="7">
      <c r="A7" s="30" t="str">
        <f>IFERROR(__xludf.DUMMYFUNCTION("""COMPUTED_VALUE"""),"Premier")</f>
        <v>Premier</v>
      </c>
      <c r="B7" s="71" t="str">
        <f>IFERROR(__xludf.DUMMYFUNCTION("""COMPUTED_VALUE"""),"RSC005157")</f>
        <v>RSC005157</v>
      </c>
      <c r="C7" s="30" t="str">
        <f>IFERROR(__xludf.DUMMYFUNCTION("""COMPUTED_VALUE"""),"ScuLa")</f>
        <v>ScuLa</v>
      </c>
      <c r="D7" s="30" t="str">
        <f>IFERROR(__xludf.DUMMYFUNCTION("""COMPUTED_VALUE"""),"Excavators")</f>
        <v>Excavators</v>
      </c>
      <c r="E7" s="30">
        <f>IFERROR(__xludf.DUMMYFUNCTION("""COMPUTED_VALUE"""),34.0)</f>
        <v>34</v>
      </c>
      <c r="F7" s="30">
        <f>IFERROR(__xludf.DUMMYFUNCTION("""COMPUTED_VALUE"""),25.0)</f>
        <v>25</v>
      </c>
      <c r="G7" s="30">
        <f>IFERROR(__xludf.DUMMYFUNCTION("""COMPUTED_VALUE"""),9.0)</f>
        <v>9</v>
      </c>
      <c r="H7" s="42">
        <f>IFERROR(__xludf.DUMMYFUNCTION("""COMPUTED_VALUE"""),0.7352941176470589)</f>
        <v>0.7352941176</v>
      </c>
      <c r="I7" s="42">
        <f>IFERROR(__xludf.DUMMYFUNCTION("""COMPUTED_VALUE"""),0.36792452830188677)</f>
        <v>0.3679245283</v>
      </c>
      <c r="J7" s="30">
        <f>IFERROR(__xludf.DUMMYFUNCTION("""COMPUTED_VALUE"""),456.52941176470586)</f>
        <v>456.5294118</v>
      </c>
      <c r="K7" s="30">
        <f>IFERROR(__xludf.DUMMYFUNCTION("""COMPUTED_VALUE"""),1.1470588235294117)</f>
        <v>1.147058824</v>
      </c>
      <c r="L7" s="30">
        <f>IFERROR(__xludf.DUMMYFUNCTION("""COMPUTED_VALUE"""),0.8823529411764706)</f>
        <v>0.8823529412</v>
      </c>
      <c r="M7" s="30">
        <f>IFERROR(__xludf.DUMMYFUNCTION("""COMPUTED_VALUE"""),1.5588235294117647)</f>
        <v>1.558823529</v>
      </c>
      <c r="N7" s="30">
        <f>IFERROR(__xludf.DUMMYFUNCTION("""COMPUTED_VALUE"""),3.1176470588235294)</f>
        <v>3.117647059</v>
      </c>
      <c r="O7" s="30">
        <f>IFERROR(__xludf.DUMMYFUNCTION("""COMPUTED_VALUE"""),344.3529411764705)</f>
        <v>344.3529412</v>
      </c>
      <c r="P7" s="30">
        <f>IFERROR(__xludf.DUMMYFUNCTION("""COMPUTED_VALUE"""),0.6470588235294119)</f>
        <v>0.6470588235</v>
      </c>
      <c r="Q7" s="30">
        <f>IFERROR(__xludf.DUMMYFUNCTION("""COMPUTED_VALUE"""),0.4411764705882353)</f>
        <v>0.4411764706</v>
      </c>
      <c r="R7" s="30">
        <f>IFERROR(__xludf.DUMMYFUNCTION("""COMPUTED_VALUE"""),1.588235294117647)</f>
        <v>1.588235294</v>
      </c>
      <c r="S7" s="30">
        <f>IFERROR(__xludf.DUMMYFUNCTION("""COMPUTED_VALUE"""),2.3235294117647065)</f>
        <v>2.323529412</v>
      </c>
      <c r="T7" s="30">
        <f>IFERROR(__xludf.DUMMYFUNCTION("""COMPUTED_VALUE"""),375.6762129019212)</f>
        <v>375.6762129</v>
      </c>
      <c r="U7" s="30">
        <f>IFERROR(__xludf.DUMMYFUNCTION("""COMPUTED_VALUE"""),0.8074839606845319)</f>
        <v>0.8074839607</v>
      </c>
      <c r="V7" s="30">
        <f>IFERROR(__xludf.DUMMYFUNCTION("""COMPUTED_VALUE"""),0.6175631220352301)</f>
        <v>0.617563122</v>
      </c>
      <c r="W7" s="30">
        <f>IFERROR(__xludf.DUMMYFUNCTION("""COMPUTED_VALUE"""),1.5179917749381493)</f>
        <v>1.517991775</v>
      </c>
      <c r="X7" s="30">
        <f>IFERROR(__xludf.DUMMYFUNCTION("""COMPUTED_VALUE"""),2.736094894621674)</f>
        <v>2.736094895</v>
      </c>
      <c r="Y7" s="30">
        <f>IFERROR(__xludf.DUMMYFUNCTION("""COMPUTED_VALUE"""),384.19002910675175)</f>
        <v>384.1900291</v>
      </c>
      <c r="Z7" s="30">
        <f>IFERROR(__xludf.DUMMYFUNCTION("""COMPUTED_VALUE"""),0.8846196911685399)</f>
        <v>0.8846196912</v>
      </c>
      <c r="AA7" s="30">
        <f>IFERROR(__xludf.DUMMYFUNCTION("""COMPUTED_VALUE"""),0.6920906060786814)</f>
        <v>0.6920906061</v>
      </c>
      <c r="AB7" s="30">
        <f>IFERROR(__xludf.DUMMYFUNCTION("""COMPUTED_VALUE"""),1.4308141689871674)</f>
        <v>1.430814169</v>
      </c>
      <c r="AC7" s="30">
        <f>IFERROR(__xludf.DUMMYFUNCTION("""COMPUTED_VALUE"""),2.8375003046407983)</f>
        <v>2.837500305</v>
      </c>
      <c r="AD7" s="30">
        <f>IFERROR(__xludf.DUMMYFUNCTION("""COMPUTED_VALUE"""),1.1882906300981948)</f>
        <v>1.18829063</v>
      </c>
      <c r="AE7" s="30">
        <f>IFERROR(__xludf.DUMMYFUNCTION("""COMPUTED_VALUE"""),1.296668879271953)</f>
        <v>1.296668879</v>
      </c>
      <c r="AF7" s="30">
        <f>IFERROR(__xludf.DUMMYFUNCTION("""COMPUTED_VALUE"""),1.2749095760391795)</f>
        <v>1.274909576</v>
      </c>
      <c r="AG7" s="30">
        <f>IFERROR(__xludf.DUMMYFUNCTION("""COMPUTED_VALUE"""),1.0894660978338029)</f>
        <v>1.089466098</v>
      </c>
      <c r="AH7" s="30">
        <f>IFERROR(__xludf.DUMMYFUNCTION("""COMPUTED_VALUE"""),1.098730123032778)</f>
        <v>1.098730123</v>
      </c>
      <c r="AI7" s="30">
        <f>IFERROR(__xludf.DUMMYFUNCTION("""COMPUTED_VALUE"""),0.9166216261511656)</f>
        <v>0.9166216262</v>
      </c>
      <c r="AJ7" s="30">
        <f>IFERROR(__xludf.DUMMYFUNCTION("""COMPUTED_VALUE"""),0.8013271532735807)</f>
        <v>0.8013271533</v>
      </c>
      <c r="AK7" s="30">
        <f>IFERROR(__xludf.DUMMYFUNCTION("""COMPUTED_VALUE"""),0.7143827972342356)</f>
        <v>0.7143827972</v>
      </c>
      <c r="AL7" s="30">
        <f>IFERROR(__xludf.DUMMYFUNCTION("""COMPUTED_VALUE"""),1.0462739787785476)</f>
        <v>1.046273979</v>
      </c>
      <c r="AM7" s="30">
        <f>IFERROR(__xludf.DUMMYFUNCTION("""COMPUTED_VALUE"""),0.8492137521736014)</f>
        <v>0.8492137522</v>
      </c>
      <c r="AN7" s="30">
        <f>IFERROR(__xludf.DUMMYFUNCTION("""COMPUTED_VALUE"""),1.2395144684795862)</f>
        <v>1.239514468</v>
      </c>
      <c r="AO7" s="30">
        <f>IFERROR(__xludf.DUMMYFUNCTION("""COMPUTED_VALUE"""),1.4317656764044202)</f>
        <v>1.431765676</v>
      </c>
      <c r="AP7" s="30">
        <f>IFERROR(__xludf.DUMMYFUNCTION("""COMPUTED_VALUE"""),1.4509817263801659)</f>
        <v>1.450981726</v>
      </c>
      <c r="AQ7" s="30">
        <f>IFERROR(__xludf.DUMMYFUNCTION("""COMPUTED_VALUE"""),1.0550770913101424)</f>
        <v>1.055077091</v>
      </c>
      <c r="AR7" s="30">
        <f>IFERROR(__xludf.DUMMYFUNCTION("""COMPUTED_VALUE"""),1.1745192617731912)</f>
        <v>1.174519262</v>
      </c>
      <c r="AS7" s="30">
        <f>IFERROR(__xludf.DUMMYFUNCTION("""COMPUTED_VALUE"""),104.0)</f>
        <v>104</v>
      </c>
      <c r="AT7" s="30">
        <f>IFERROR(__xludf.DUMMYFUNCTION("""COMPUTED_VALUE"""),0.6729838821753815)</f>
        <v>0.6729838822</v>
      </c>
      <c r="AU7" s="30">
        <f>IFERROR(__xludf.DUMMYFUNCTION("""COMPUTED_VALUE"""),4.0008569903146665)</f>
        <v>4.00085699</v>
      </c>
      <c r="AV7" s="32">
        <f>IFERROR(__xludf.DUMMYFUNCTION("""COMPUTED_VALUE"""),91.80046739191887)</f>
        <v>91.80046739</v>
      </c>
      <c r="AW7" s="32">
        <f>IFERROR(__xludf.DUMMYFUNCTION("""COMPUTED_VALUE"""),21.159400686499957)</f>
        <v>21.15940069</v>
      </c>
      <c r="AX7" s="32">
        <f>IFERROR(__xludf.DUMMYFUNCTION("""COMPUTED_VALUE"""),82.42728676511939)</f>
        <v>82.42728677</v>
      </c>
      <c r="AY7" s="32">
        <f>IFERROR(__xludf.DUMMYFUNCTION("""COMPUTED_VALUE"""),10.277507294925224)</f>
        <v>10.27750729</v>
      </c>
      <c r="AZ7" s="30">
        <f>IFERROR(__xludf.DUMMYFUNCTION("""COMPUTED_VALUE"""),10.881893391574733)</f>
        <v>10.88189339</v>
      </c>
      <c r="BA7" s="30">
        <f>IFERROR(__xludf.DUMMYFUNCTION("""COMPUTED_VALUE"""),2.0)</f>
        <v>2</v>
      </c>
    </row>
    <row r="8">
      <c r="A8" s="30" t="str">
        <f>IFERROR(__xludf.DUMMYFUNCTION("""COMPUTED_VALUE"""),"Premier")</f>
        <v>Premier</v>
      </c>
      <c r="B8" s="71" t="str">
        <f>IFERROR(__xludf.DUMMYFUNCTION("""COMPUTED_VALUE"""),"RSC000672")</f>
        <v>RSC000672</v>
      </c>
      <c r="C8" s="30" t="str">
        <f>IFERROR(__xludf.DUMMYFUNCTION("""COMPUTED_VALUE"""),"Feathers McGraw")</f>
        <v>Feathers McGraw</v>
      </c>
      <c r="D8" s="30" t="str">
        <f>IFERROR(__xludf.DUMMYFUNCTION("""COMPUTED_VALUE"""),"Hurricanes")</f>
        <v>Hurricanes</v>
      </c>
      <c r="E8" s="30">
        <f>IFERROR(__xludf.DUMMYFUNCTION("""COMPUTED_VALUE"""),12.0)</f>
        <v>12</v>
      </c>
      <c r="F8" s="30">
        <f>IFERROR(__xludf.DUMMYFUNCTION("""COMPUTED_VALUE"""),8.0)</f>
        <v>8</v>
      </c>
      <c r="G8" s="30">
        <f>IFERROR(__xludf.DUMMYFUNCTION("""COMPUTED_VALUE"""),4.0)</f>
        <v>4</v>
      </c>
      <c r="H8" s="42">
        <f>IFERROR(__xludf.DUMMYFUNCTION("""COMPUTED_VALUE"""),0.6666666666666666)</f>
        <v>0.6666666667</v>
      </c>
      <c r="I8" s="42">
        <f>IFERROR(__xludf.DUMMYFUNCTION("""COMPUTED_VALUE"""),0.19999999999999998)</f>
        <v>0.2</v>
      </c>
      <c r="J8" s="30">
        <f>IFERROR(__xludf.DUMMYFUNCTION("""COMPUTED_VALUE"""),384.8333333333333)</f>
        <v>384.8333333</v>
      </c>
      <c r="K8" s="30">
        <f>IFERROR(__xludf.DUMMYFUNCTION("""COMPUTED_VALUE"""),0.6666666666666666)</f>
        <v>0.6666666667</v>
      </c>
      <c r="L8" s="30">
        <f>IFERROR(__xludf.DUMMYFUNCTION("""COMPUTED_VALUE"""),1.0833333333333333)</f>
        <v>1.083333333</v>
      </c>
      <c r="M8" s="30">
        <f>IFERROR(__xludf.DUMMYFUNCTION("""COMPUTED_VALUE"""),1.25)</f>
        <v>1.25</v>
      </c>
      <c r="N8" s="30">
        <f>IFERROR(__xludf.DUMMYFUNCTION("""COMPUTED_VALUE"""),3.3333333333333335)</f>
        <v>3.333333333</v>
      </c>
      <c r="O8" s="30">
        <f>IFERROR(__xludf.DUMMYFUNCTION("""COMPUTED_VALUE"""),399.8055555555555)</f>
        <v>399.8055556</v>
      </c>
      <c r="P8" s="30">
        <f>IFERROR(__xludf.DUMMYFUNCTION("""COMPUTED_VALUE"""),0.777777777777778)</f>
        <v>0.7777777778</v>
      </c>
      <c r="Q8" s="30">
        <f>IFERROR(__xludf.DUMMYFUNCTION("""COMPUTED_VALUE"""),0.5833333333333333)</f>
        <v>0.5833333333</v>
      </c>
      <c r="R8" s="30">
        <f>IFERROR(__xludf.DUMMYFUNCTION("""COMPUTED_VALUE"""),1.861111111111111)</f>
        <v>1.861111111</v>
      </c>
      <c r="S8" s="30">
        <f>IFERROR(__xludf.DUMMYFUNCTION("""COMPUTED_VALUE"""),2.555555555555556)</f>
        <v>2.555555556</v>
      </c>
      <c r="T8" s="30">
        <f>IFERROR(__xludf.DUMMYFUNCTION("""COMPUTED_VALUE"""),370.8164239028945)</f>
        <v>370.8164239</v>
      </c>
      <c r="U8" s="30">
        <f>IFERROR(__xludf.DUMMYFUNCTION("""COMPUTED_VALUE"""),0.8766865079365079)</f>
        <v>0.8766865079</v>
      </c>
      <c r="V8" s="30">
        <f>IFERROR(__xludf.DUMMYFUNCTION("""COMPUTED_VALUE"""),0.6711356209150326)</f>
        <v>0.6711356209</v>
      </c>
      <c r="W8" s="30">
        <f>IFERROR(__xludf.DUMMYFUNCTION("""COMPUTED_VALUE"""),1.300765639589169)</f>
        <v>1.30076564</v>
      </c>
      <c r="X8" s="30">
        <f>IFERROR(__xludf.DUMMYFUNCTION("""COMPUTED_VALUE"""),2.7046650326797383)</f>
        <v>2.704665033</v>
      </c>
      <c r="Y8" s="30">
        <f>IFERROR(__xludf.DUMMYFUNCTION("""COMPUTED_VALUE"""),372.98463546529723)</f>
        <v>372.9846355</v>
      </c>
      <c r="Z8" s="30">
        <f>IFERROR(__xludf.DUMMYFUNCTION("""COMPUTED_VALUE"""),0.8651104886399003)</f>
        <v>0.8651104886</v>
      </c>
      <c r="AA8" s="30">
        <f>IFERROR(__xludf.DUMMYFUNCTION("""COMPUTED_VALUE"""),0.6582314036725803)</f>
        <v>0.6582314037</v>
      </c>
      <c r="AB8" s="30">
        <f>IFERROR(__xludf.DUMMYFUNCTION("""COMPUTED_VALUE"""),1.3800190631808278)</f>
        <v>1.380019063</v>
      </c>
      <c r="AC8" s="30">
        <f>IFERROR(__xludf.DUMMYFUNCTION("""COMPUTED_VALUE"""),2.643903283535636)</f>
        <v>2.643903284</v>
      </c>
      <c r="AD8" s="30">
        <f>IFERROR(__xludf.DUMMYFUNCTION("""COMPUTED_VALUE"""),1.0317672545767331)</f>
        <v>1.031767255</v>
      </c>
      <c r="AE8" s="30">
        <f>IFERROR(__xludf.DUMMYFUNCTION("""COMPUTED_VALUE"""),0.7706144769031517)</f>
        <v>0.7706144769</v>
      </c>
      <c r="AF8" s="30">
        <f>IFERROR(__xludf.DUMMYFUNCTION("""COMPUTED_VALUE"""),1.6458244430285625)</f>
        <v>1.645824443</v>
      </c>
      <c r="AG8" s="30">
        <f>IFERROR(__xludf.DUMMYFUNCTION("""COMPUTED_VALUE"""),0.9057845890323103)</f>
        <v>0.905784589</v>
      </c>
      <c r="AH8" s="30">
        <f>IFERROR(__xludf.DUMMYFUNCTION("""COMPUTED_VALUE"""),1.2607622049153542)</f>
        <v>1.260762205</v>
      </c>
      <c r="AI8" s="30">
        <f>IFERROR(__xludf.DUMMYFUNCTION("""COMPUTED_VALUE"""),1.078176504016587)</f>
        <v>1.078176504</v>
      </c>
      <c r="AJ8" s="30">
        <f>IFERROR(__xludf.DUMMYFUNCTION("""COMPUTED_VALUE"""),0.8871789068688472)</f>
        <v>0.8871789069</v>
      </c>
      <c r="AK8" s="30">
        <f>IFERROR(__xludf.DUMMYFUNCTION("""COMPUTED_VALUE"""),0.869173554725066)</f>
        <v>0.8691735547</v>
      </c>
      <c r="AL8" s="30">
        <f>IFERROR(__xludf.DUMMYFUNCTION("""COMPUTED_VALUE"""),1.4307812679453313)</f>
        <v>1.430781268</v>
      </c>
      <c r="AM8" s="30">
        <f>IFERROR(__xludf.DUMMYFUNCTION("""COMPUTED_VALUE"""),0.9448695216144946)</f>
        <v>0.9448695216</v>
      </c>
      <c r="AN8" s="30">
        <f>IFERROR(__xludf.DUMMYFUNCTION("""COMPUTED_VALUE"""),1.0448537866947816)</f>
        <v>1.044853787</v>
      </c>
      <c r="AO8" s="30">
        <f>IFERROR(__xludf.DUMMYFUNCTION("""COMPUTED_VALUE"""),0.8321373162008596)</f>
        <v>0.8321373162</v>
      </c>
      <c r="AP8" s="30">
        <f>IFERROR(__xludf.DUMMYFUNCTION("""COMPUTED_VALUE"""),1.7814831196112035)</f>
        <v>1.78148312</v>
      </c>
      <c r="AQ8" s="30">
        <f>IFERROR(__xludf.DUMMYFUNCTION("""COMPUTED_VALUE"""),0.846052384541152)</f>
        <v>0.8460523845</v>
      </c>
      <c r="AR8" s="30">
        <f>IFERROR(__xludf.DUMMYFUNCTION("""COMPUTED_VALUE"""),1.2557753113298273)</f>
        <v>1.255775311</v>
      </c>
      <c r="AS8" s="30">
        <f>IFERROR(__xludf.DUMMYFUNCTION("""COMPUTED_VALUE"""),36.0)</f>
        <v>36</v>
      </c>
      <c r="AT8" s="30">
        <f>IFERROR(__xludf.DUMMYFUNCTION("""COMPUTED_VALUE"""),0.6002046755760305)</f>
        <v>0.6002046756</v>
      </c>
      <c r="AU8" s="30">
        <f>IFERROR(__xludf.DUMMYFUNCTION("""COMPUTED_VALUE"""),3.6551643586013505)</f>
        <v>3.655164359</v>
      </c>
      <c r="AV8" s="32">
        <f>IFERROR(__xludf.DUMMYFUNCTION("""COMPUTED_VALUE"""),82.08056419609991)</f>
        <v>82.0805642</v>
      </c>
      <c r="AW8" s="32">
        <f>IFERROR(__xludf.DUMMYFUNCTION("""COMPUTED_VALUE"""),10.029380488579093)</f>
        <v>10.02938049</v>
      </c>
      <c r="AX8" s="32">
        <f>IFERROR(__xludf.DUMMYFUNCTION("""COMPUTED_VALUE"""),54.64413503313505)</f>
        <v>54.64413503</v>
      </c>
      <c r="AY8" s="32">
        <f>IFERROR(__xludf.DUMMYFUNCTION("""COMPUTED_VALUE"""),2.3456868282283727)</f>
        <v>2.345686828</v>
      </c>
      <c r="AZ8" s="30">
        <f>IFERROR(__xludf.DUMMYFUNCTION("""COMPUTED_VALUE"""),7.683693660350721)</f>
        <v>7.68369366</v>
      </c>
      <c r="BA8" s="30">
        <f>IFERROR(__xludf.DUMMYFUNCTION("""COMPUTED_VALUE"""),2.0)</f>
        <v>2</v>
      </c>
    </row>
    <row r="9">
      <c r="A9" s="30" t="str">
        <f>IFERROR(__xludf.DUMMYFUNCTION("""COMPUTED_VALUE"""),"Premier")</f>
        <v>Premier</v>
      </c>
      <c r="B9" s="71" t="str">
        <f>IFERROR(__xludf.DUMMYFUNCTION("""COMPUTED_VALUE"""),"RSC001177")</f>
        <v>RSC001177</v>
      </c>
      <c r="C9" s="30" t="str">
        <f>IFERROR(__xludf.DUMMYFUNCTION("""COMPUTED_VALUE"""),"Calster")</f>
        <v>Calster</v>
      </c>
      <c r="D9" s="30" t="str">
        <f>IFERROR(__xludf.DUMMYFUNCTION("""COMPUTED_VALUE"""),"Crooked Capos")</f>
        <v>Crooked Capos</v>
      </c>
      <c r="E9" s="30">
        <f>IFERROR(__xludf.DUMMYFUNCTION("""COMPUTED_VALUE"""),16.0)</f>
        <v>16</v>
      </c>
      <c r="F9" s="30">
        <f>IFERROR(__xludf.DUMMYFUNCTION("""COMPUTED_VALUE"""),7.0)</f>
        <v>7</v>
      </c>
      <c r="G9" s="30">
        <f>IFERROR(__xludf.DUMMYFUNCTION("""COMPUTED_VALUE"""),9.0)</f>
        <v>9</v>
      </c>
      <c r="H9" s="42">
        <f>IFERROR(__xludf.DUMMYFUNCTION("""COMPUTED_VALUE"""),0.4375)</f>
        <v>0.4375</v>
      </c>
      <c r="I9" s="42">
        <f>IFERROR(__xludf.DUMMYFUNCTION("""COMPUTED_VALUE"""),0.3448275862068966)</f>
        <v>0.3448275862</v>
      </c>
      <c r="J9" s="30">
        <f>IFERROR(__xludf.DUMMYFUNCTION("""COMPUTED_VALUE"""),368.0625)</f>
        <v>368.0625</v>
      </c>
      <c r="K9" s="30">
        <f>IFERROR(__xludf.DUMMYFUNCTION("""COMPUTED_VALUE"""),0.625)</f>
        <v>0.625</v>
      </c>
      <c r="L9" s="30">
        <f>IFERROR(__xludf.DUMMYFUNCTION("""COMPUTED_VALUE"""),1.125)</f>
        <v>1.125</v>
      </c>
      <c r="M9" s="30">
        <f>IFERROR(__xludf.DUMMYFUNCTION("""COMPUTED_VALUE"""),1.3125)</f>
        <v>1.3125</v>
      </c>
      <c r="N9" s="30">
        <f>IFERROR(__xludf.DUMMYFUNCTION("""COMPUTED_VALUE"""),1.8125)</f>
        <v>1.8125</v>
      </c>
      <c r="O9" s="30">
        <f>IFERROR(__xludf.DUMMYFUNCTION("""COMPUTED_VALUE"""),383.3333333333333)</f>
        <v>383.3333333</v>
      </c>
      <c r="P9" s="30">
        <f>IFERROR(__xludf.DUMMYFUNCTION("""COMPUTED_VALUE"""),0.8958333333333335)</f>
        <v>0.8958333333</v>
      </c>
      <c r="Q9" s="30">
        <f>IFERROR(__xludf.DUMMYFUNCTION("""COMPUTED_VALUE"""),0.6875)</f>
        <v>0.6875</v>
      </c>
      <c r="R9" s="30">
        <f>IFERROR(__xludf.DUMMYFUNCTION("""COMPUTED_VALUE"""),1.3125)</f>
        <v>1.3125</v>
      </c>
      <c r="S9" s="30">
        <f>IFERROR(__xludf.DUMMYFUNCTION("""COMPUTED_VALUE"""),2.9166666666666665)</f>
        <v>2.916666667</v>
      </c>
      <c r="T9" s="30">
        <f>IFERROR(__xludf.DUMMYFUNCTION("""COMPUTED_VALUE"""),381.8760377536456)</f>
        <v>381.8760378</v>
      </c>
      <c r="U9" s="30">
        <f>IFERROR(__xludf.DUMMYFUNCTION("""COMPUTED_VALUE"""),0.904599762756513)</f>
        <v>0.9045997628</v>
      </c>
      <c r="V9" s="30">
        <f>IFERROR(__xludf.DUMMYFUNCTION("""COMPUTED_VALUE"""),0.683310329849175)</f>
        <v>0.6833103298</v>
      </c>
      <c r="W9" s="30">
        <f>IFERROR(__xludf.DUMMYFUNCTION("""COMPUTED_VALUE"""),1.3596625199869572)</f>
        <v>1.35966252</v>
      </c>
      <c r="X9" s="30">
        <f>IFERROR(__xludf.DUMMYFUNCTION("""COMPUTED_VALUE"""),2.832803713691726)</f>
        <v>2.832803714</v>
      </c>
      <c r="Y9" s="30">
        <f>IFERROR(__xludf.DUMMYFUNCTION("""COMPUTED_VALUE"""),361.2991407269104)</f>
        <v>361.2991407</v>
      </c>
      <c r="Z9" s="30">
        <f>IFERROR(__xludf.DUMMYFUNCTION("""COMPUTED_VALUE"""),0.7914813074891014)</f>
        <v>0.7914813075</v>
      </c>
      <c r="AA9" s="30">
        <f>IFERROR(__xludf.DUMMYFUNCTION("""COMPUTED_VALUE"""),0.6022827719797597)</f>
        <v>0.602282772</v>
      </c>
      <c r="AB9" s="30">
        <f>IFERROR(__xludf.DUMMYFUNCTION("""COMPUTED_VALUE"""),1.431526408528452)</f>
        <v>1.431526409</v>
      </c>
      <c r="AC9" s="30">
        <f>IFERROR(__xludf.DUMMYFUNCTION("""COMPUTED_VALUE"""),2.6027000060029994)</f>
        <v>2.602700006</v>
      </c>
      <c r="AD9" s="30">
        <f>IFERROR(__xludf.DUMMYFUNCTION("""COMPUTED_VALUE"""),1.0187195553786321)</f>
        <v>1.018719555</v>
      </c>
      <c r="AE9" s="30">
        <f>IFERROR(__xludf.DUMMYFUNCTION("""COMPUTED_VALUE"""),0.7896585732172913)</f>
        <v>0.7896585732</v>
      </c>
      <c r="AF9" s="30">
        <f>IFERROR(__xludf.DUMMYFUNCTION("""COMPUTED_VALUE"""),1.8678933755684561)</f>
        <v>1.867893376</v>
      </c>
      <c r="AG9" s="30">
        <f>IFERROR(__xludf.DUMMYFUNCTION("""COMPUTED_VALUE"""),0.9168535013958938)</f>
        <v>0.9168535014</v>
      </c>
      <c r="AH9" s="30">
        <f>IFERROR(__xludf.DUMMYFUNCTION("""COMPUTED_VALUE"""),0.6963922064854028)</f>
        <v>0.6963922065</v>
      </c>
      <c r="AI9" s="30">
        <f>IFERROR(__xludf.DUMMYFUNCTION("""COMPUTED_VALUE"""),1.0038161482670138)</f>
        <v>1.003816148</v>
      </c>
      <c r="AJ9" s="30">
        <f>IFERROR(__xludf.DUMMYFUNCTION("""COMPUTED_VALUE"""),0.9903090518214749)</f>
        <v>0.9903090518</v>
      </c>
      <c r="AK9" s="30">
        <f>IFERROR(__xludf.DUMMYFUNCTION("""COMPUTED_VALUE"""),1.0061314310172214)</f>
        <v>1.006131431</v>
      </c>
      <c r="AL9" s="30">
        <f>IFERROR(__xludf.DUMMYFUNCTION("""COMPUTED_VALUE"""),0.9653130690199435)</f>
        <v>0.965313069</v>
      </c>
      <c r="AM9" s="30">
        <f>IFERROR(__xludf.DUMMYFUNCTION("""COMPUTED_VALUE"""),1.0296042230422136)</f>
        <v>1.029604223</v>
      </c>
      <c r="AN9" s="30">
        <f>IFERROR(__xludf.DUMMYFUNCTION("""COMPUTED_VALUE"""),0.999319610737154)</f>
        <v>0.9993196107</v>
      </c>
      <c r="AO9" s="30">
        <f>IFERROR(__xludf.DUMMYFUNCTION("""COMPUTED_VALUE"""),0.780128733938306)</f>
        <v>0.7801287339</v>
      </c>
      <c r="AP9" s="30">
        <f>IFERROR(__xludf.DUMMYFUNCTION("""COMPUTED_VALUE"""),1.8500017011347114)</f>
        <v>1.850001701</v>
      </c>
      <c r="AQ9" s="30">
        <f>IFERROR(__xludf.DUMMYFUNCTION("""COMPUTED_VALUE"""),0.8883550037682095)</f>
        <v>0.8883550038</v>
      </c>
      <c r="AR9" s="30">
        <f>IFERROR(__xludf.DUMMYFUNCTION("""COMPUTED_VALUE"""),0.6828278255355935)</f>
        <v>0.6828278255</v>
      </c>
      <c r="AS9" s="30">
        <f>IFERROR(__xludf.DUMMYFUNCTION("""COMPUTED_VALUE"""),44.0)</f>
        <v>44</v>
      </c>
      <c r="AT9" s="30">
        <f>IFERROR(__xludf.DUMMYFUNCTION("""COMPUTED_VALUE"""),0.50934284010562)</f>
        <v>0.5093428401</v>
      </c>
      <c r="AU9" s="30">
        <f>IFERROR(__xludf.DUMMYFUNCTION("""COMPUTED_VALUE"""),3.050111144815638)</f>
        <v>3.050111145</v>
      </c>
      <c r="AV9" s="32">
        <f>IFERROR(__xludf.DUMMYFUNCTION("""COMPUTED_VALUE"""),65.06817189497197)</f>
        <v>65.06817189</v>
      </c>
      <c r="AW9" s="32">
        <f>IFERROR(__xludf.DUMMYFUNCTION("""COMPUTED_VALUE"""),3.658377762155826)</f>
        <v>3.658377762</v>
      </c>
      <c r="AX9" s="32">
        <f>IFERROR(__xludf.DUMMYFUNCTION("""COMPUTED_VALUE"""),43.90185770297345)</f>
        <v>43.9018577</v>
      </c>
      <c r="AY9" s="32">
        <f>IFERROR(__xludf.DUMMYFUNCTION("""COMPUTED_VALUE"""),-2.4774294691630887)</f>
        <v>-2.477429469</v>
      </c>
      <c r="AZ9" s="30">
        <f>IFERROR(__xludf.DUMMYFUNCTION("""COMPUTED_VALUE"""),6.135807231318915)</f>
        <v>6.135807231</v>
      </c>
      <c r="BA9" s="30">
        <f>IFERROR(__xludf.DUMMYFUNCTION("""COMPUTED_VALUE"""),2.0)</f>
        <v>2</v>
      </c>
    </row>
    <row r="10">
      <c r="A10" s="30" t="str">
        <f>IFERROR(__xludf.DUMMYFUNCTION("""COMPUTED_VALUE"""),"Premier")</f>
        <v>Premier</v>
      </c>
      <c r="B10" s="71" t="str">
        <f>IFERROR(__xludf.DUMMYFUNCTION("""COMPUTED_VALUE"""),"RSC004923")</f>
        <v>RSC004923</v>
      </c>
      <c r="C10" s="30" t="str">
        <f>IFERROR(__xludf.DUMMYFUNCTION("""COMPUTED_VALUE"""),"Monster.")</f>
        <v>Monster.</v>
      </c>
      <c r="D10" s="30" t="str">
        <f>IFERROR(__xludf.DUMMYFUNCTION("""COMPUTED_VALUE"""),"Long Beards")</f>
        <v>Long Beards</v>
      </c>
      <c r="E10" s="30">
        <f>IFERROR(__xludf.DUMMYFUNCTION("""COMPUTED_VALUE"""),36.0)</f>
        <v>36</v>
      </c>
      <c r="F10" s="30">
        <f>IFERROR(__xludf.DUMMYFUNCTION("""COMPUTED_VALUE"""),24.0)</f>
        <v>24</v>
      </c>
      <c r="G10" s="30">
        <f>IFERROR(__xludf.DUMMYFUNCTION("""COMPUTED_VALUE"""),12.0)</f>
        <v>12</v>
      </c>
      <c r="H10" s="42">
        <f>IFERROR(__xludf.DUMMYFUNCTION("""COMPUTED_VALUE"""),0.6666666666666666)</f>
        <v>0.6666666667</v>
      </c>
      <c r="I10" s="42">
        <f>IFERROR(__xludf.DUMMYFUNCTION("""COMPUTED_VALUE"""),0.2809917355371901)</f>
        <v>0.2809917355</v>
      </c>
      <c r="J10" s="30">
        <f>IFERROR(__xludf.DUMMYFUNCTION("""COMPUTED_VALUE"""),393.0833333333333)</f>
        <v>393.0833333</v>
      </c>
      <c r="K10" s="30">
        <f>IFERROR(__xludf.DUMMYFUNCTION("""COMPUTED_VALUE"""),0.9444444444444444)</f>
        <v>0.9444444444</v>
      </c>
      <c r="L10" s="30">
        <f>IFERROR(__xludf.DUMMYFUNCTION("""COMPUTED_VALUE"""),0.8888888888888888)</f>
        <v>0.8888888889</v>
      </c>
      <c r="M10" s="30">
        <f>IFERROR(__xludf.DUMMYFUNCTION("""COMPUTED_VALUE"""),1.2777777777777777)</f>
        <v>1.277777778</v>
      </c>
      <c r="N10" s="30">
        <f>IFERROR(__xludf.DUMMYFUNCTION("""COMPUTED_VALUE"""),3.361111111111111)</f>
        <v>3.361111111</v>
      </c>
      <c r="O10" s="30">
        <f>IFERROR(__xludf.DUMMYFUNCTION("""COMPUTED_VALUE"""),382.2314814814814)</f>
        <v>382.2314815</v>
      </c>
      <c r="P10" s="30">
        <f>IFERROR(__xludf.DUMMYFUNCTION("""COMPUTED_VALUE"""),0.7129629629629629)</f>
        <v>0.712962963</v>
      </c>
      <c r="Q10" s="30">
        <f>IFERROR(__xludf.DUMMYFUNCTION("""COMPUTED_VALUE"""),0.5277777777777776)</f>
        <v>0.5277777778</v>
      </c>
      <c r="R10" s="30">
        <f>IFERROR(__xludf.DUMMYFUNCTION("""COMPUTED_VALUE"""),1.8888888888888888)</f>
        <v>1.888888889</v>
      </c>
      <c r="S10" s="30">
        <f>IFERROR(__xludf.DUMMYFUNCTION("""COMPUTED_VALUE"""),2.407407407407407)</f>
        <v>2.407407407</v>
      </c>
      <c r="T10" s="30">
        <f>IFERROR(__xludf.DUMMYFUNCTION("""COMPUTED_VALUE"""),370.01895017664566)</f>
        <v>370.0189502</v>
      </c>
      <c r="U10" s="30">
        <f>IFERROR(__xludf.DUMMYFUNCTION("""COMPUTED_VALUE"""),0.779393888180521)</f>
        <v>0.7793938882</v>
      </c>
      <c r="V10" s="30">
        <f>IFERROR(__xludf.DUMMYFUNCTION("""COMPUTED_VALUE"""),0.5934895865288902)</f>
        <v>0.5934895865</v>
      </c>
      <c r="W10" s="30">
        <f>IFERROR(__xludf.DUMMYFUNCTION("""COMPUTED_VALUE"""),1.5223464120149595)</f>
        <v>1.522346412</v>
      </c>
      <c r="X10" s="30">
        <f>IFERROR(__xludf.DUMMYFUNCTION("""COMPUTED_VALUE"""),2.6667100263044285)</f>
        <v>2.666710026</v>
      </c>
      <c r="Y10" s="30">
        <f>IFERROR(__xludf.DUMMYFUNCTION("""COMPUTED_VALUE"""),382.53383702047114)</f>
        <v>382.533837</v>
      </c>
      <c r="Z10" s="30">
        <f>IFERROR(__xludf.DUMMYFUNCTION("""COMPUTED_VALUE"""),0.8780200513321835)</f>
        <v>0.8780200513</v>
      </c>
      <c r="AA10" s="30">
        <f>IFERROR(__xludf.DUMMYFUNCTION("""COMPUTED_VALUE"""),0.6960303120982895)</f>
        <v>0.6960303121</v>
      </c>
      <c r="AB10" s="30">
        <f>IFERROR(__xludf.DUMMYFUNCTION("""COMPUTED_VALUE"""),1.4268370701747664)</f>
        <v>1.42683707</v>
      </c>
      <c r="AC10" s="30">
        <f>IFERROR(__xludf.DUMMYFUNCTION("""COMPUTED_VALUE"""),2.8134877733118993)</f>
        <v>2.813487773</v>
      </c>
      <c r="AD10" s="30">
        <f>IFERROR(__xludf.DUMMYFUNCTION("""COMPUTED_VALUE"""),1.027577942895278)</f>
        <v>1.027577943</v>
      </c>
      <c r="AE10" s="30">
        <f>IFERROR(__xludf.DUMMYFUNCTION("""COMPUTED_VALUE"""),1.0756524785641033)</f>
        <v>1.075652479</v>
      </c>
      <c r="AF10" s="30">
        <f>IFERROR(__xludf.DUMMYFUNCTION("""COMPUTED_VALUE"""),1.27708358880118)</f>
        <v>1.277083589</v>
      </c>
      <c r="AG10" s="30">
        <f>IFERROR(__xludf.DUMMYFUNCTION("""COMPUTED_VALUE"""),0.8955316654488581)</f>
        <v>0.8955316654</v>
      </c>
      <c r="AH10" s="30">
        <f>IFERROR(__xludf.DUMMYFUNCTION("""COMPUTED_VALUE"""),1.1946421601664103)</f>
        <v>1.19464216</v>
      </c>
      <c r="AI10" s="30">
        <f>IFERROR(__xludf.DUMMYFUNCTION("""COMPUTED_VALUE"""),1.0330051509497162)</f>
        <v>1.033005151</v>
      </c>
      <c r="AJ10" s="30">
        <f>IFERROR(__xludf.DUMMYFUNCTION("""COMPUTED_VALUE"""),0.9147659146100828)</f>
        <v>0.9147659146</v>
      </c>
      <c r="AK10" s="30">
        <f>IFERROR(__xludf.DUMMYFUNCTION("""COMPUTED_VALUE"""),0.88927891871627)</f>
        <v>0.8892789187</v>
      </c>
      <c r="AL10" s="30">
        <f>IFERROR(__xludf.DUMMYFUNCTION("""COMPUTED_VALUE"""),1.2407746843826288)</f>
        <v>1.240774684</v>
      </c>
      <c r="AM10" s="30">
        <f>IFERROR(__xludf.DUMMYFUNCTION("""COMPUTED_VALUE"""),0.902763098972419)</f>
        <v>0.902763099</v>
      </c>
      <c r="AN10" s="30">
        <f>IFERROR(__xludf.DUMMYFUNCTION("""COMPUTED_VALUE"""),1.0672532074143104)</f>
        <v>1.067253207</v>
      </c>
      <c r="AO10" s="30">
        <f>IFERROR(__xludf.DUMMYFUNCTION("""COMPUTED_VALUE"""),1.1788611979512178)</f>
        <v>1.178861198</v>
      </c>
      <c r="AP10" s="30">
        <f>IFERROR(__xludf.DUMMYFUNCTION("""COMPUTED_VALUE"""),1.461729739168167)</f>
        <v>1.461729739</v>
      </c>
      <c r="AQ10" s="30">
        <f>IFERROR(__xludf.DUMMYFUNCTION("""COMPUTED_VALUE"""),0.8648535486420663)</f>
        <v>0.8648535486</v>
      </c>
      <c r="AR10" s="30">
        <f>IFERROR(__xludf.DUMMYFUNCTION("""COMPUTED_VALUE"""),1.2662401055909092)</f>
        <v>1.266240106</v>
      </c>
      <c r="AS10" s="30">
        <f>IFERROR(__xludf.DUMMYFUNCTION("""COMPUTED_VALUE"""),117.0)</f>
        <v>117</v>
      </c>
      <c r="AT10" s="30">
        <f>IFERROR(__xludf.DUMMYFUNCTION("""COMPUTED_VALUE"""),0.6633861855324868)</f>
        <v>0.6633861855</v>
      </c>
      <c r="AU10" s="30">
        <f>IFERROR(__xludf.DUMMYFUNCTION("""COMPUTED_VALUE"""),3.5725105392308087)</f>
        <v>3.572510539</v>
      </c>
      <c r="AV10" s="32">
        <f>IFERROR(__xludf.DUMMYFUNCTION("""COMPUTED_VALUE"""),79.75657158143342)</f>
        <v>79.75657158</v>
      </c>
      <c r="AW10" s="32">
        <f>IFERROR(__xludf.DUMMYFUNCTION("""COMPUTED_VALUE"""),8.54908764976691)</f>
        <v>8.54908765</v>
      </c>
      <c r="AX10" s="32">
        <f>IFERROR(__xludf.DUMMYFUNCTION("""COMPUTED_VALUE"""),57.4435654048477)</f>
        <v>57.4435654</v>
      </c>
      <c r="AY10" s="32">
        <f>IFERROR(__xludf.DUMMYFUNCTION("""COMPUTED_VALUE"""),2.6113082728395285)</f>
        <v>2.611308273</v>
      </c>
      <c r="AZ10" s="30">
        <f>IFERROR(__xludf.DUMMYFUNCTION("""COMPUTED_VALUE"""),5.937779376927383)</f>
        <v>5.937779377</v>
      </c>
      <c r="BA10" s="30">
        <f>IFERROR(__xludf.DUMMYFUNCTION("""COMPUTED_VALUE"""),2.0)</f>
        <v>2</v>
      </c>
    </row>
    <row r="11">
      <c r="A11" s="30" t="str">
        <f>IFERROR(__xludf.DUMMYFUNCTION("""COMPUTED_VALUE"""),"Premier")</f>
        <v>Premier</v>
      </c>
      <c r="B11" s="30" t="str">
        <f>IFERROR(__xludf.DUMMYFUNCTION("""COMPUTED_VALUE"""),"RSC000330")</f>
        <v>RSC000330</v>
      </c>
      <c r="C11" s="30" t="str">
        <f>IFERROR(__xludf.DUMMYFUNCTION("""COMPUTED_VALUE"""),"Infinite")</f>
        <v>Infinite</v>
      </c>
      <c r="D11" s="30" t="str">
        <f>IFERROR(__xludf.DUMMYFUNCTION("""COMPUTED_VALUE"""),"Oblivion")</f>
        <v>Oblivion</v>
      </c>
      <c r="E11" s="30">
        <f>IFERROR(__xludf.DUMMYFUNCTION("""COMPUTED_VALUE"""),4.0)</f>
        <v>4</v>
      </c>
      <c r="F11" s="30">
        <f>IFERROR(__xludf.DUMMYFUNCTION("""COMPUTED_VALUE"""),0.0)</f>
        <v>0</v>
      </c>
      <c r="G11" s="30">
        <f>IFERROR(__xludf.DUMMYFUNCTION("""COMPUTED_VALUE"""),4.0)</f>
        <v>4</v>
      </c>
      <c r="H11" s="42">
        <f>IFERROR(__xludf.DUMMYFUNCTION("""COMPUTED_VALUE"""),0.0)</f>
        <v>0</v>
      </c>
      <c r="I11" s="42">
        <f>IFERROR(__xludf.DUMMYFUNCTION("""COMPUTED_VALUE"""),0.6666666666666666)</f>
        <v>0.6666666667</v>
      </c>
      <c r="J11" s="30">
        <f>IFERROR(__xludf.DUMMYFUNCTION("""COMPUTED_VALUE"""),349.0)</f>
        <v>349</v>
      </c>
      <c r="K11" s="30">
        <f>IFERROR(__xludf.DUMMYFUNCTION("""COMPUTED_VALUE"""),1.0)</f>
        <v>1</v>
      </c>
      <c r="L11" s="30">
        <f>IFERROR(__xludf.DUMMYFUNCTION("""COMPUTED_VALUE"""),0.0)</f>
        <v>0</v>
      </c>
      <c r="M11" s="30">
        <f>IFERROR(__xludf.DUMMYFUNCTION("""COMPUTED_VALUE"""),1.75)</f>
        <v>1.75</v>
      </c>
      <c r="N11" s="30">
        <f>IFERROR(__xludf.DUMMYFUNCTION("""COMPUTED_VALUE"""),1.5)</f>
        <v>1.5</v>
      </c>
      <c r="O11" s="30">
        <f>IFERROR(__xludf.DUMMYFUNCTION("""COMPUTED_VALUE"""),453.75000000000006)</f>
        <v>453.75</v>
      </c>
      <c r="P11" s="30">
        <f>IFERROR(__xludf.DUMMYFUNCTION("""COMPUTED_VALUE"""),1.0833333333333333)</f>
        <v>1.083333333</v>
      </c>
      <c r="Q11" s="30">
        <f>IFERROR(__xludf.DUMMYFUNCTION("""COMPUTED_VALUE"""),1.0)</f>
        <v>1</v>
      </c>
      <c r="R11" s="30">
        <f>IFERROR(__xludf.DUMMYFUNCTION("""COMPUTED_VALUE"""),1.3333333333333333)</f>
        <v>1.333333333</v>
      </c>
      <c r="S11" s="30">
        <f>IFERROR(__xludf.DUMMYFUNCTION("""COMPUTED_VALUE"""),3.5000000000000004)</f>
        <v>3.5</v>
      </c>
      <c r="T11" s="30">
        <f>IFERROR(__xludf.DUMMYFUNCTION("""COMPUTED_VALUE"""),416.44086021505376)</f>
        <v>416.4408602</v>
      </c>
      <c r="U11" s="30">
        <f>IFERROR(__xludf.DUMMYFUNCTION("""COMPUTED_VALUE"""),0.967741935483871)</f>
        <v>0.9677419355</v>
      </c>
      <c r="V11" s="30">
        <f>IFERROR(__xludf.DUMMYFUNCTION("""COMPUTED_VALUE"""),0.6774193548387096)</f>
        <v>0.6774193548</v>
      </c>
      <c r="W11" s="30">
        <f>IFERROR(__xludf.DUMMYFUNCTION("""COMPUTED_VALUE"""),1.6021505376344087)</f>
        <v>1.602150538</v>
      </c>
      <c r="X11" s="30">
        <f>IFERROR(__xludf.DUMMYFUNCTION("""COMPUTED_VALUE"""),3.3333333333333335)</f>
        <v>3.333333333</v>
      </c>
      <c r="Y11" s="30">
        <f>IFERROR(__xludf.DUMMYFUNCTION("""COMPUTED_VALUE"""),377.58422939068106)</f>
        <v>377.5842294</v>
      </c>
      <c r="Z11" s="30">
        <f>IFERROR(__xludf.DUMMYFUNCTION("""COMPUTED_VALUE"""),0.6523297491039425)</f>
        <v>0.6523297491</v>
      </c>
      <c r="AA11" s="30">
        <f>IFERROR(__xludf.DUMMYFUNCTION("""COMPUTED_VALUE"""),0.5161290322580646)</f>
        <v>0.5161290323</v>
      </c>
      <c r="AB11" s="30">
        <f>IFERROR(__xludf.DUMMYFUNCTION("""COMPUTED_VALUE"""),1.7813620071684586)</f>
        <v>1.781362007</v>
      </c>
      <c r="AC11" s="30">
        <f>IFERROR(__xludf.DUMMYFUNCTION("""COMPUTED_VALUE"""),2.691756272401434)</f>
        <v>2.691756272</v>
      </c>
      <c r="AD11" s="30">
        <f>IFERROR(__xludf.DUMMYFUNCTION("""COMPUTED_VALUE"""),0.924297078199457)</f>
        <v>0.9242970782</v>
      </c>
      <c r="AE11" s="30">
        <f>IFERROR(__xludf.DUMMYFUNCTION("""COMPUTED_VALUE"""),1.5329670329670333)</f>
        <v>1.532967033</v>
      </c>
      <c r="AF11" s="30">
        <f>IFERROR(__xludf.DUMMYFUNCTION("""COMPUTED_VALUE"""),0.0)</f>
        <v>0</v>
      </c>
      <c r="AG11" s="30">
        <f>IFERROR(__xludf.DUMMYFUNCTION("""COMPUTED_VALUE"""),0.9823943661971832)</f>
        <v>0.9823943662</v>
      </c>
      <c r="AH11" s="30">
        <f>IFERROR(__xludf.DUMMYFUNCTION("""COMPUTED_VALUE"""),0.5572569906790944)</f>
        <v>0.5572569907</v>
      </c>
      <c r="AI11" s="30">
        <f>IFERROR(__xludf.DUMMYFUNCTION("""COMPUTED_VALUE"""),1.0895904877481992)</f>
        <v>1.089590488</v>
      </c>
      <c r="AJ11" s="30">
        <f>IFERROR(__xludf.DUMMYFUNCTION("""COMPUTED_VALUE"""),1.1194444444444442)</f>
        <v>1.119444444</v>
      </c>
      <c r="AK11" s="30">
        <f>IFERROR(__xludf.DUMMYFUNCTION("""COMPUTED_VALUE"""),1.4761904761904763)</f>
        <v>1.476190476</v>
      </c>
      <c r="AL11" s="30">
        <f>IFERROR(__xludf.DUMMYFUNCTION("""COMPUTED_VALUE"""),0.832214765100671)</f>
        <v>0.8322147651</v>
      </c>
      <c r="AM11" s="30">
        <f>IFERROR(__xludf.DUMMYFUNCTION("""COMPUTED_VALUE"""),1.05)</f>
        <v>1.05</v>
      </c>
      <c r="AN11" s="30">
        <f>IFERROR(__xludf.DUMMYFUNCTION("""COMPUTED_VALUE"""),0.9475633734685461)</f>
        <v>0.9475633735</v>
      </c>
      <c r="AO11" s="30">
        <f>IFERROR(__xludf.DUMMYFUNCTION("""COMPUTED_VALUE"""),1.2482059743012897)</f>
        <v>1.248205974</v>
      </c>
      <c r="AP11" s="30">
        <f>IFERROR(__xludf.DUMMYFUNCTION("""COMPUTED_VALUE"""),0.0)</f>
        <v>0</v>
      </c>
      <c r="AQ11" s="30">
        <f>IFERROR(__xludf.DUMMYFUNCTION("""COMPUTED_VALUE"""),1.1844733383576127)</f>
        <v>1.184473338</v>
      </c>
      <c r="AR11" s="30">
        <f>IFERROR(__xludf.DUMMYFUNCTION("""COMPUTED_VALUE"""),0.5650988900984222)</f>
        <v>0.5650988901</v>
      </c>
      <c r="AS11" s="30">
        <f>IFERROR(__xludf.DUMMYFUNCTION("""COMPUTED_VALUE"""),8.0)</f>
        <v>8</v>
      </c>
      <c r="AT11" s="30">
        <f>IFERROR(__xludf.DUMMYFUNCTION("""COMPUTED_VALUE"""),0.31401492300692596)</f>
        <v>0.314014923</v>
      </c>
      <c r="AU11" s="30">
        <f>IFERROR(__xludf.DUMMYFUNCTION("""COMPUTED_VALUE"""),1.0569767604815419)</f>
        <v>1.05697676</v>
      </c>
      <c r="AV11" s="32">
        <f>IFERROR(__xludf.DUMMYFUNCTION("""COMPUTED_VALUE"""),9.026846466746534)</f>
        <v>9.026846467</v>
      </c>
      <c r="AW11" s="32">
        <f>IFERROR(__xludf.DUMMYFUNCTION("""COMPUTED_VALUE"""),-19.757253945761338)</f>
        <v>-19.75725395</v>
      </c>
      <c r="AX11" s="32">
        <f>IFERROR(__xludf.DUMMYFUNCTION("""COMPUTED_VALUE"""),5.997171123614713)</f>
        <v>5.997171124</v>
      </c>
      <c r="AY11" s="32">
        <f>IFERROR(__xludf.DUMMYFUNCTION("""COMPUTED_VALUE"""),-25.513906612375592)</f>
        <v>-25.51390661</v>
      </c>
      <c r="AZ11" s="30">
        <f>IFERROR(__xludf.DUMMYFUNCTION("""COMPUTED_VALUE"""),5.756652666614254)</f>
        <v>5.756652667</v>
      </c>
      <c r="BA11" s="30">
        <f>IFERROR(__xludf.DUMMYFUNCTION("""COMPUTED_VALUE"""),2.0)</f>
        <v>2</v>
      </c>
    </row>
    <row r="12">
      <c r="A12" s="30" t="str">
        <f>IFERROR(__xludf.DUMMYFUNCTION("""COMPUTED_VALUE"""),"Premier")</f>
        <v>Premier</v>
      </c>
      <c r="B12" s="71" t="str">
        <f>IFERROR(__xludf.DUMMYFUNCTION("""COMPUTED_VALUE"""),"RSC007896")</f>
        <v>RSC007896</v>
      </c>
      <c r="C12" s="30" t="str">
        <f>IFERROR(__xludf.DUMMYFUNCTION("""COMPUTED_VALUE"""),"Notice")</f>
        <v>Notice</v>
      </c>
      <c r="D12" s="30" t="str">
        <f>IFERROR(__xludf.DUMMYFUNCTION("""COMPUTED_VALUE"""),"Hurricanes")</f>
        <v>Hurricanes</v>
      </c>
      <c r="E12" s="30">
        <f>IFERROR(__xludf.DUMMYFUNCTION("""COMPUTED_VALUE"""),31.0)</f>
        <v>31</v>
      </c>
      <c r="F12" s="30">
        <f>IFERROR(__xludf.DUMMYFUNCTION("""COMPUTED_VALUE"""),20.0)</f>
        <v>20</v>
      </c>
      <c r="G12" s="30">
        <f>IFERROR(__xludf.DUMMYFUNCTION("""COMPUTED_VALUE"""),11.0)</f>
        <v>11</v>
      </c>
      <c r="H12" s="42">
        <f>IFERROR(__xludf.DUMMYFUNCTION("""COMPUTED_VALUE"""),0.6451612903225806)</f>
        <v>0.6451612903</v>
      </c>
      <c r="I12" s="42">
        <f>IFERROR(__xludf.DUMMYFUNCTION("""COMPUTED_VALUE"""),0.3018867924528302)</f>
        <v>0.3018867925</v>
      </c>
      <c r="J12" s="30">
        <f>IFERROR(__xludf.DUMMYFUNCTION("""COMPUTED_VALUE"""),418.9032258064516)</f>
        <v>418.9032258</v>
      </c>
      <c r="K12" s="30">
        <f>IFERROR(__xludf.DUMMYFUNCTION("""COMPUTED_VALUE"""),1.032258064516129)</f>
        <v>1.032258065</v>
      </c>
      <c r="L12" s="30">
        <f>IFERROR(__xludf.DUMMYFUNCTION("""COMPUTED_VALUE"""),0.7096774193548387)</f>
        <v>0.7096774194</v>
      </c>
      <c r="M12" s="30">
        <f>IFERROR(__xludf.DUMMYFUNCTION("""COMPUTED_VALUE"""),1.5483870967741935)</f>
        <v>1.548387097</v>
      </c>
      <c r="N12" s="30">
        <f>IFERROR(__xludf.DUMMYFUNCTION("""COMPUTED_VALUE"""),3.4193548387096775)</f>
        <v>3.419354839</v>
      </c>
      <c r="O12" s="30">
        <f>IFERROR(__xludf.DUMMYFUNCTION("""COMPUTED_VALUE"""),376.2580645161291)</f>
        <v>376.2580645</v>
      </c>
      <c r="P12" s="30">
        <f>IFERROR(__xludf.DUMMYFUNCTION("""COMPUTED_VALUE"""),0.6666666666666664)</f>
        <v>0.6666666667</v>
      </c>
      <c r="Q12" s="30">
        <f>IFERROR(__xludf.DUMMYFUNCTION("""COMPUTED_VALUE"""),0.5268817204301075)</f>
        <v>0.5268817204</v>
      </c>
      <c r="R12" s="30">
        <f>IFERROR(__xludf.DUMMYFUNCTION("""COMPUTED_VALUE"""),1.7096774193548387)</f>
        <v>1.709677419</v>
      </c>
      <c r="S12" s="30">
        <f>IFERROR(__xludf.DUMMYFUNCTION("""COMPUTED_VALUE"""),2.7419354838709684)</f>
        <v>2.741935484</v>
      </c>
      <c r="T12" s="30">
        <f>IFERROR(__xludf.DUMMYFUNCTION("""COMPUTED_VALUE"""),377.86159512050455)</f>
        <v>377.8615951</v>
      </c>
      <c r="U12" s="30">
        <f>IFERROR(__xludf.DUMMYFUNCTION("""COMPUTED_VALUE"""),0.866193822815054)</f>
        <v>0.8661938228</v>
      </c>
      <c r="V12" s="30">
        <f>IFERROR(__xludf.DUMMYFUNCTION("""COMPUTED_VALUE"""),0.6453833876997314)</f>
        <v>0.6453833877</v>
      </c>
      <c r="W12" s="30">
        <f>IFERROR(__xludf.DUMMYFUNCTION("""COMPUTED_VALUE"""),1.4638003562211128)</f>
        <v>1.463800356</v>
      </c>
      <c r="X12" s="30">
        <f>IFERROR(__xludf.DUMMYFUNCTION("""COMPUTED_VALUE"""),2.665344659322357)</f>
        <v>2.665344659</v>
      </c>
      <c r="Y12" s="30">
        <f>IFERROR(__xludf.DUMMYFUNCTION("""COMPUTED_VALUE"""),374.86885287014445)</f>
        <v>374.8688529</v>
      </c>
      <c r="Z12" s="30">
        <f>IFERROR(__xludf.DUMMYFUNCTION("""COMPUTED_VALUE"""),0.8544685672557877)</f>
        <v>0.8544685673</v>
      </c>
      <c r="AA12" s="30">
        <f>IFERROR(__xludf.DUMMYFUNCTION("""COMPUTED_VALUE"""),0.6625139569383452)</f>
        <v>0.6625139569</v>
      </c>
      <c r="AB12" s="30">
        <f>IFERROR(__xludf.DUMMYFUNCTION("""COMPUTED_VALUE"""),1.405815716322492)</f>
        <v>1.405815716</v>
      </c>
      <c r="AC12" s="30">
        <f>IFERROR(__xludf.DUMMYFUNCTION("""COMPUTED_VALUE"""),2.7687975195879657)</f>
        <v>2.76879752</v>
      </c>
      <c r="AD12" s="30">
        <f>IFERROR(__xludf.DUMMYFUNCTION("""COMPUTED_VALUE"""),1.11746607539987)</f>
        <v>1.117466075</v>
      </c>
      <c r="AE12" s="30">
        <f>IFERROR(__xludf.DUMMYFUNCTION("""COMPUTED_VALUE"""),1.208070260362333)</f>
        <v>1.20807026</v>
      </c>
      <c r="AF12" s="30">
        <f>IFERROR(__xludf.DUMMYFUNCTION("""COMPUTED_VALUE"""),1.0711886322130457)</f>
        <v>1.071188632</v>
      </c>
      <c r="AG12" s="30">
        <f>IFERROR(__xludf.DUMMYFUNCTION("""COMPUTED_VALUE"""),1.1014154122737065)</f>
        <v>1.101415412</v>
      </c>
      <c r="AH12" s="30">
        <f>IFERROR(__xludf.DUMMYFUNCTION("""COMPUTED_VALUE"""),1.2349602361744831)</f>
        <v>1.234960236</v>
      </c>
      <c r="AI12" s="30">
        <f>IFERROR(__xludf.DUMMYFUNCTION("""COMPUTED_VALUE"""),0.9957563017118369)</f>
        <v>0.9957563017</v>
      </c>
      <c r="AJ12" s="30">
        <f>IFERROR(__xludf.DUMMYFUNCTION("""COMPUTED_VALUE"""),0.7696506822226672)</f>
        <v>0.7696506822</v>
      </c>
      <c r="AK12" s="30">
        <f>IFERROR(__xludf.DUMMYFUNCTION("""COMPUTED_VALUE"""),0.8163856251522273)</f>
        <v>0.8163856252</v>
      </c>
      <c r="AL12" s="30">
        <f>IFERROR(__xludf.DUMMYFUNCTION("""COMPUTED_VALUE"""),1.167971719701225)</f>
        <v>1.16797172</v>
      </c>
      <c r="AM12" s="30">
        <f>IFERROR(__xludf.DUMMYFUNCTION("""COMPUTED_VALUE"""),1.0287358050602298)</f>
        <v>1.028735805</v>
      </c>
      <c r="AN12" s="30">
        <f>IFERROR(__xludf.DUMMYFUNCTION("""COMPUTED_VALUE"""),1.137356314618961)</f>
        <v>1.137356315</v>
      </c>
      <c r="AO12" s="30">
        <f>IFERROR(__xludf.DUMMYFUNCTION("""COMPUTED_VALUE"""),1.2884706831497181)</f>
        <v>1.288470683</v>
      </c>
      <c r="AP12" s="30">
        <f>IFERROR(__xludf.DUMMYFUNCTION("""COMPUTED_VALUE"""),1.167026162722972)</f>
        <v>1.167026163</v>
      </c>
      <c r="AQ12" s="30">
        <f>IFERROR(__xludf.DUMMYFUNCTION("""COMPUTED_VALUE"""),1.0480132763348462)</f>
        <v>1.048013276</v>
      </c>
      <c r="AR12" s="30">
        <f>IFERROR(__xludf.DUMMYFUNCTION("""COMPUTED_VALUE"""),1.2881824161383388)</f>
        <v>1.288182416</v>
      </c>
      <c r="AS12" s="30">
        <f>IFERROR(__xludf.DUMMYFUNCTION("""COMPUTED_VALUE"""),83.0)</f>
        <v>83</v>
      </c>
      <c r="AT12" s="30">
        <f>IFERROR(__xludf.DUMMYFUNCTION("""COMPUTED_VALUE"""),0.6116349650733587)</f>
        <v>0.6116349651</v>
      </c>
      <c r="AU12" s="30">
        <f>IFERROR(__xludf.DUMMYFUNCTION("""COMPUTED_VALUE"""),3.550861659282302)</f>
        <v>3.550861659</v>
      </c>
      <c r="AV12" s="32">
        <f>IFERROR(__xludf.DUMMYFUNCTION("""COMPUTED_VALUE"""),79.14786604913877)</f>
        <v>79.14786605</v>
      </c>
      <c r="AW12" s="32">
        <f>IFERROR(__xludf.DUMMYFUNCTION("""COMPUTED_VALUE"""),8.208530883152171)</f>
        <v>8.208530883</v>
      </c>
      <c r="AX12" s="32">
        <f>IFERROR(__xludf.DUMMYFUNCTION("""COMPUTED_VALUE"""),58.99060978039206)</f>
        <v>58.99060978</v>
      </c>
      <c r="AY12" s="32">
        <f>IFERROR(__xludf.DUMMYFUNCTION("""COMPUTED_VALUE"""),2.7811458970127467)</f>
        <v>2.781145897</v>
      </c>
      <c r="AZ12" s="30">
        <f>IFERROR(__xludf.DUMMYFUNCTION("""COMPUTED_VALUE"""),5.427384986139424)</f>
        <v>5.427384986</v>
      </c>
      <c r="BA12" s="30">
        <f>IFERROR(__xludf.DUMMYFUNCTION("""COMPUTED_VALUE"""),2.0)</f>
        <v>2</v>
      </c>
    </row>
    <row r="13">
      <c r="A13" s="30" t="str">
        <f>IFERROR(__xludf.DUMMYFUNCTION("""COMPUTED_VALUE"""),"Premier")</f>
        <v>Premier</v>
      </c>
      <c r="B13" s="71" t="str">
        <f>IFERROR(__xludf.DUMMYFUNCTION("""COMPUTED_VALUE"""),"RSC002062")</f>
        <v>RSC002062</v>
      </c>
      <c r="C13" s="30" t="str">
        <f>IFERROR(__xludf.DUMMYFUNCTION("""COMPUTED_VALUE"""),"Gromit")</f>
        <v>Gromit</v>
      </c>
      <c r="D13" s="30" t="str">
        <f>IFERROR(__xludf.DUMMYFUNCTION("""COMPUTED_VALUE"""),"Excavators")</f>
        <v>Excavators</v>
      </c>
      <c r="E13" s="30">
        <f>IFERROR(__xludf.DUMMYFUNCTION("""COMPUTED_VALUE"""),34.0)</f>
        <v>34</v>
      </c>
      <c r="F13" s="30">
        <f>IFERROR(__xludf.DUMMYFUNCTION("""COMPUTED_VALUE"""),25.0)</f>
        <v>25</v>
      </c>
      <c r="G13" s="30">
        <f>IFERROR(__xludf.DUMMYFUNCTION("""COMPUTED_VALUE"""),9.0)</f>
        <v>9</v>
      </c>
      <c r="H13" s="42">
        <f>IFERROR(__xludf.DUMMYFUNCTION("""COMPUTED_VALUE"""),0.7352941176470589)</f>
        <v>0.7352941176</v>
      </c>
      <c r="I13" s="42">
        <f>IFERROR(__xludf.DUMMYFUNCTION("""COMPUTED_VALUE"""),0.2931034482758621)</f>
        <v>0.2931034483</v>
      </c>
      <c r="J13" s="30">
        <f>IFERROR(__xludf.DUMMYFUNCTION("""COMPUTED_VALUE"""),367.29411764705884)</f>
        <v>367.2941176</v>
      </c>
      <c r="K13" s="30">
        <f>IFERROR(__xludf.DUMMYFUNCTION("""COMPUTED_VALUE"""),1.0)</f>
        <v>1</v>
      </c>
      <c r="L13" s="30">
        <f>IFERROR(__xludf.DUMMYFUNCTION("""COMPUTED_VALUE"""),0.7941176470588235)</f>
        <v>0.7941176471</v>
      </c>
      <c r="M13" s="30">
        <f>IFERROR(__xludf.DUMMYFUNCTION("""COMPUTED_VALUE"""),0.8529411764705882)</f>
        <v>0.8529411765</v>
      </c>
      <c r="N13" s="30">
        <f>IFERROR(__xludf.DUMMYFUNCTION("""COMPUTED_VALUE"""),3.411764705882353)</f>
        <v>3.411764706</v>
      </c>
      <c r="O13" s="30">
        <f>IFERROR(__xludf.DUMMYFUNCTION("""COMPUTED_VALUE"""),344.3529411764705)</f>
        <v>344.3529412</v>
      </c>
      <c r="P13" s="30">
        <f>IFERROR(__xludf.DUMMYFUNCTION("""COMPUTED_VALUE"""),0.6470588235294119)</f>
        <v>0.6470588235</v>
      </c>
      <c r="Q13" s="30">
        <f>IFERROR(__xludf.DUMMYFUNCTION("""COMPUTED_VALUE"""),0.4411764705882353)</f>
        <v>0.4411764706</v>
      </c>
      <c r="R13" s="30">
        <f>IFERROR(__xludf.DUMMYFUNCTION("""COMPUTED_VALUE"""),1.588235294117647)</f>
        <v>1.588235294</v>
      </c>
      <c r="S13" s="30">
        <f>IFERROR(__xludf.DUMMYFUNCTION("""COMPUTED_VALUE"""),2.3235294117647065)</f>
        <v>2.323529412</v>
      </c>
      <c r="T13" s="30">
        <f>IFERROR(__xludf.DUMMYFUNCTION("""COMPUTED_VALUE"""),375.6762129019212)</f>
        <v>375.6762129</v>
      </c>
      <c r="U13" s="30">
        <f>IFERROR(__xludf.DUMMYFUNCTION("""COMPUTED_VALUE"""),0.8074839606845319)</f>
        <v>0.8074839607</v>
      </c>
      <c r="V13" s="30">
        <f>IFERROR(__xludf.DUMMYFUNCTION("""COMPUTED_VALUE"""),0.6175631220352301)</f>
        <v>0.617563122</v>
      </c>
      <c r="W13" s="30">
        <f>IFERROR(__xludf.DUMMYFUNCTION("""COMPUTED_VALUE"""),1.5179917749381493)</f>
        <v>1.517991775</v>
      </c>
      <c r="X13" s="30">
        <f>IFERROR(__xludf.DUMMYFUNCTION("""COMPUTED_VALUE"""),2.736094894621674)</f>
        <v>2.736094895</v>
      </c>
      <c r="Y13" s="30">
        <f>IFERROR(__xludf.DUMMYFUNCTION("""COMPUTED_VALUE"""),384.19002910675175)</f>
        <v>384.1900291</v>
      </c>
      <c r="Z13" s="30">
        <f>IFERROR(__xludf.DUMMYFUNCTION("""COMPUTED_VALUE"""),0.8846196911685399)</f>
        <v>0.8846196912</v>
      </c>
      <c r="AA13" s="30">
        <f>IFERROR(__xludf.DUMMYFUNCTION("""COMPUTED_VALUE"""),0.6920906060786814)</f>
        <v>0.6920906061</v>
      </c>
      <c r="AB13" s="30">
        <f>IFERROR(__xludf.DUMMYFUNCTION("""COMPUTED_VALUE"""),1.4308141689871674)</f>
        <v>1.430814169</v>
      </c>
      <c r="AC13" s="30">
        <f>IFERROR(__xludf.DUMMYFUNCTION("""COMPUTED_VALUE"""),2.8375003046407983)</f>
        <v>2.837500305</v>
      </c>
      <c r="AD13" s="30">
        <f>IFERROR(__xludf.DUMMYFUNCTION("""COMPUTED_VALUE"""),0.9560219938581536)</f>
        <v>0.9560219939</v>
      </c>
      <c r="AE13" s="30">
        <f>IFERROR(__xludf.DUMMYFUNCTION("""COMPUTED_VALUE"""),1.1304292793652924)</f>
        <v>1.130429279</v>
      </c>
      <c r="AF13" s="30">
        <f>IFERROR(__xludf.DUMMYFUNCTION("""COMPUTED_VALUE"""),1.1474186184352615)</f>
        <v>1.147418618</v>
      </c>
      <c r="AG13" s="30">
        <f>IFERROR(__xludf.DUMMYFUNCTION("""COMPUTED_VALUE"""),0.5961229591920808)</f>
        <v>0.5961229592</v>
      </c>
      <c r="AH13" s="30">
        <f>IFERROR(__xludf.DUMMYFUNCTION("""COMPUTED_VALUE"""),1.2023839082245495)</f>
        <v>1.202383908</v>
      </c>
      <c r="AI13" s="30">
        <f>IFERROR(__xludf.DUMMYFUNCTION("""COMPUTED_VALUE"""),0.9166216261511656)</f>
        <v>0.9166216262</v>
      </c>
      <c r="AJ13" s="30">
        <f>IFERROR(__xludf.DUMMYFUNCTION("""COMPUTED_VALUE"""),0.8013271532735807)</f>
        <v>0.8013271533</v>
      </c>
      <c r="AK13" s="30">
        <f>IFERROR(__xludf.DUMMYFUNCTION("""COMPUTED_VALUE"""),0.7143827972342356)</f>
        <v>0.7143827972</v>
      </c>
      <c r="AL13" s="30">
        <f>IFERROR(__xludf.DUMMYFUNCTION("""COMPUTED_VALUE"""),1.0462739787785476)</f>
        <v>1.046273979</v>
      </c>
      <c r="AM13" s="30">
        <f>IFERROR(__xludf.DUMMYFUNCTION("""COMPUTED_VALUE"""),0.8492137521736014)</f>
        <v>0.8492137522</v>
      </c>
      <c r="AN13" s="30">
        <f>IFERROR(__xludf.DUMMYFUNCTION("""COMPUTED_VALUE"""),0.9972333901799431)</f>
        <v>0.9972333902</v>
      </c>
      <c r="AO13" s="30">
        <f>IFERROR(__xludf.DUMMYFUNCTION("""COMPUTED_VALUE"""),1.2482059743012897)</f>
        <v>1.248205974</v>
      </c>
      <c r="AP13" s="30">
        <f>IFERROR(__xludf.DUMMYFUNCTION("""COMPUTED_VALUE"""),1.3058835537421492)</f>
        <v>1.305883554</v>
      </c>
      <c r="AQ13" s="30">
        <f>IFERROR(__xludf.DUMMYFUNCTION("""COMPUTED_VALUE"""),0.5773063329810213)</f>
        <v>0.577306333</v>
      </c>
      <c r="AR13" s="30">
        <f>IFERROR(__xludf.DUMMYFUNCTION("""COMPUTED_VALUE"""),1.2853229657140584)</f>
        <v>1.285322966</v>
      </c>
      <c r="AS13" s="30">
        <f>IFERROR(__xludf.DUMMYFUNCTION("""COMPUTED_VALUE"""),104.0)</f>
        <v>104</v>
      </c>
      <c r="AT13" s="30">
        <f>IFERROR(__xludf.DUMMYFUNCTION("""COMPUTED_VALUE"""),0.6729838821753815)</f>
        <v>0.6729838822</v>
      </c>
      <c r="AU13" s="30">
        <f>IFERROR(__xludf.DUMMYFUNCTION("""COMPUTED_VALUE"""),3.5851017600171122)</f>
        <v>3.58510176</v>
      </c>
      <c r="AV13" s="32">
        <f>IFERROR(__xludf.DUMMYFUNCTION("""COMPUTED_VALUE"""),80.11060124805805)</f>
        <v>80.11060125</v>
      </c>
      <c r="AW13" s="32">
        <f>IFERROR(__xludf.DUMMYFUNCTION("""COMPUTED_VALUE"""),8.755581420409671)</f>
        <v>8.75558142</v>
      </c>
      <c r="AX13" s="32">
        <f>IFERROR(__xludf.DUMMYFUNCTION("""COMPUTED_VALUE"""),65.50039516663448)</f>
        <v>65.50039517</v>
      </c>
      <c r="AY13" s="32">
        <f>IFERROR(__xludf.DUMMYFUNCTION("""COMPUTED_VALUE"""),3.736589983031715)</f>
        <v>3.736589983</v>
      </c>
      <c r="AZ13" s="30">
        <f>IFERROR(__xludf.DUMMYFUNCTION("""COMPUTED_VALUE"""),5.018991437377956)</f>
        <v>5.018991437</v>
      </c>
      <c r="BA13" s="30">
        <f>IFERROR(__xludf.DUMMYFUNCTION("""COMPUTED_VALUE"""),2.0)</f>
        <v>2</v>
      </c>
    </row>
    <row r="14">
      <c r="A14" s="30" t="str">
        <f>IFERROR(__xludf.DUMMYFUNCTION("""COMPUTED_VALUE"""),"Premier")</f>
        <v>Premier</v>
      </c>
      <c r="B14" s="71" t="str">
        <f>IFERROR(__xludf.DUMMYFUNCTION("""COMPUTED_VALUE"""),"RSC005170")</f>
        <v>RSC005170</v>
      </c>
      <c r="C14" s="30" t="str">
        <f>IFERROR(__xludf.DUMMYFUNCTION("""COMPUTED_VALUE"""),"FrenchyNF")</f>
        <v>FrenchyNF</v>
      </c>
      <c r="D14" s="30" t="str">
        <f>IFERROR(__xludf.DUMMYFUNCTION("""COMPUTED_VALUE"""),"Super Clusters")</f>
        <v>Super Clusters</v>
      </c>
      <c r="E14" s="30">
        <f>IFERROR(__xludf.DUMMYFUNCTION("""COMPUTED_VALUE"""),7.0)</f>
        <v>7</v>
      </c>
      <c r="F14" s="30">
        <f>IFERROR(__xludf.DUMMYFUNCTION("""COMPUTED_VALUE"""),4.0)</f>
        <v>4</v>
      </c>
      <c r="G14" s="30">
        <f>IFERROR(__xludf.DUMMYFUNCTION("""COMPUTED_VALUE"""),3.0)</f>
        <v>3</v>
      </c>
      <c r="H14" s="42">
        <f>IFERROR(__xludf.DUMMYFUNCTION("""COMPUTED_VALUE"""),0.5714285714285714)</f>
        <v>0.5714285714</v>
      </c>
      <c r="I14" s="42">
        <f>IFERROR(__xludf.DUMMYFUNCTION("""COMPUTED_VALUE"""),0.3125)</f>
        <v>0.3125</v>
      </c>
      <c r="J14" s="30">
        <f>IFERROR(__xludf.DUMMYFUNCTION("""COMPUTED_VALUE"""),324.85714285714283)</f>
        <v>324.8571429</v>
      </c>
      <c r="K14" s="30">
        <f>IFERROR(__xludf.DUMMYFUNCTION("""COMPUTED_VALUE"""),0.7142857142857143)</f>
        <v>0.7142857143</v>
      </c>
      <c r="L14" s="30">
        <f>IFERROR(__xludf.DUMMYFUNCTION("""COMPUTED_VALUE"""),1.0)</f>
        <v>1</v>
      </c>
      <c r="M14" s="30">
        <f>IFERROR(__xludf.DUMMYFUNCTION("""COMPUTED_VALUE"""),1.1428571428571428)</f>
        <v>1.142857143</v>
      </c>
      <c r="N14" s="30">
        <f>IFERROR(__xludf.DUMMYFUNCTION("""COMPUTED_VALUE"""),2.2857142857142856)</f>
        <v>2.285714286</v>
      </c>
      <c r="O14" s="30">
        <f>IFERROR(__xludf.DUMMYFUNCTION("""COMPUTED_VALUE"""),326.5238095238095)</f>
        <v>326.5238095</v>
      </c>
      <c r="P14" s="30">
        <f>IFERROR(__xludf.DUMMYFUNCTION("""COMPUTED_VALUE"""),0.5714285714285714)</f>
        <v>0.5714285714</v>
      </c>
      <c r="Q14" s="30">
        <f>IFERROR(__xludf.DUMMYFUNCTION("""COMPUTED_VALUE"""),0.5238095238095238)</f>
        <v>0.5238095238</v>
      </c>
      <c r="R14" s="30">
        <f>IFERROR(__xludf.DUMMYFUNCTION("""COMPUTED_VALUE"""),1.3809523809523812)</f>
        <v>1.380952381</v>
      </c>
      <c r="S14" s="30">
        <f>IFERROR(__xludf.DUMMYFUNCTION("""COMPUTED_VALUE"""),2.238095238095238)</f>
        <v>2.238095238</v>
      </c>
      <c r="T14" s="30">
        <f>IFERROR(__xludf.DUMMYFUNCTION("""COMPUTED_VALUE"""),350.91613211215434)</f>
        <v>350.9161321</v>
      </c>
      <c r="U14" s="30">
        <f>IFERROR(__xludf.DUMMYFUNCTION("""COMPUTED_VALUE"""),0.722913402297346)</f>
        <v>0.7229134023</v>
      </c>
      <c r="V14" s="30">
        <f>IFERROR(__xludf.DUMMYFUNCTION("""COMPUTED_VALUE"""),0.48101524078159213)</f>
        <v>0.4810152408</v>
      </c>
      <c r="W14" s="30">
        <f>IFERROR(__xludf.DUMMYFUNCTION("""COMPUTED_VALUE"""),1.4845326749199332)</f>
        <v>1.484532675</v>
      </c>
      <c r="X14" s="30">
        <f>IFERROR(__xludf.DUMMYFUNCTION("""COMPUTED_VALUE"""),2.3923845070946697)</f>
        <v>2.392384507</v>
      </c>
      <c r="Y14" s="30">
        <f>IFERROR(__xludf.DUMMYFUNCTION("""COMPUTED_VALUE"""),386.7438183271799)</f>
        <v>386.7438183</v>
      </c>
      <c r="Z14" s="30">
        <f>IFERROR(__xludf.DUMMYFUNCTION("""COMPUTED_VALUE"""),0.9407130501910463)</f>
        <v>0.9407130502</v>
      </c>
      <c r="AA14" s="30">
        <f>IFERROR(__xludf.DUMMYFUNCTION("""COMPUTED_VALUE"""),0.7363804630196417)</f>
        <v>0.736380463</v>
      </c>
      <c r="AB14" s="30">
        <f>IFERROR(__xludf.DUMMYFUNCTION("""COMPUTED_VALUE"""),1.3706819389601612)</f>
        <v>1.370681939</v>
      </c>
      <c r="AC14" s="30">
        <f>IFERROR(__xludf.DUMMYFUNCTION("""COMPUTED_VALUE"""),2.9582658643536646)</f>
        <v>2.958265864</v>
      </c>
      <c r="AD14" s="30">
        <f>IFERROR(__xludf.DUMMYFUNCTION("""COMPUTED_VALUE"""),0.8399801818740854)</f>
        <v>0.8399801819</v>
      </c>
      <c r="AE14" s="30">
        <f>IFERROR(__xludf.DUMMYFUNCTION("""COMPUTED_VALUE"""),0.7593024399317649)</f>
        <v>0.7593024399</v>
      </c>
      <c r="AF14" s="30">
        <f>IFERROR(__xludf.DUMMYFUNCTION("""COMPUTED_VALUE"""),1.3579936598254465)</f>
        <v>1.35799366</v>
      </c>
      <c r="AG14" s="30">
        <f>IFERROR(__xludf.DUMMYFUNCTION("""COMPUTED_VALUE"""),0.833787263385222)</f>
        <v>0.8337872634</v>
      </c>
      <c r="AH14" s="30">
        <f>IFERROR(__xludf.DUMMYFUNCTION("""COMPUTED_VALUE"""),0.7726534363447685)</f>
        <v>0.7726534363</v>
      </c>
      <c r="AI14" s="30">
        <f>IFERROR(__xludf.DUMMYFUNCTION("""COMPUTED_VALUE"""),0.9304895946460822)</f>
        <v>0.9304895946</v>
      </c>
      <c r="AJ14" s="30">
        <f>IFERROR(__xludf.DUMMYFUNCTION("""COMPUTED_VALUE"""),0.7904523136694228)</f>
        <v>0.7904523137</v>
      </c>
      <c r="AK14" s="30">
        <f>IFERROR(__xludf.DUMMYFUNCTION("""COMPUTED_VALUE"""),1.0889665844233878)</f>
        <v>1.088966584</v>
      </c>
      <c r="AL14" s="30">
        <f>IFERROR(__xludf.DUMMYFUNCTION("""COMPUTED_VALUE"""),0.9302270029367062)</f>
        <v>0.9302270029</v>
      </c>
      <c r="AM14" s="30">
        <f>IFERROR(__xludf.DUMMYFUNCTION("""COMPUTED_VALUE"""),0.9355081641174806)</f>
        <v>0.9355081641</v>
      </c>
      <c r="AN14" s="30">
        <f>IFERROR(__xludf.DUMMYFUNCTION("""COMPUTED_VALUE"""),0.8820135535274145)</f>
        <v>0.8820135535</v>
      </c>
      <c r="AO14" s="30">
        <f>IFERROR(__xludf.DUMMYFUNCTION("""COMPUTED_VALUE"""),0.8915756959294926)</f>
        <v>0.8915756959</v>
      </c>
      <c r="AP14" s="30">
        <f>IFERROR(__xludf.DUMMYFUNCTION("""COMPUTED_VALUE"""),1.644445956564188)</f>
        <v>1.644445957</v>
      </c>
      <c r="AQ14" s="30">
        <f>IFERROR(__xludf.DUMMYFUNCTION("""COMPUTED_VALUE"""),0.7735336087233389)</f>
        <v>0.7735336087</v>
      </c>
      <c r="AR14" s="30">
        <f>IFERROR(__xludf.DUMMYFUNCTION("""COMPUTED_VALUE"""),0.8611030706261672)</f>
        <v>0.8611030706</v>
      </c>
      <c r="AS14" s="30">
        <f>IFERROR(__xludf.DUMMYFUNCTION("""COMPUTED_VALUE"""),21.0)</f>
        <v>21</v>
      </c>
      <c r="AT14" s="30">
        <f>IFERROR(__xludf.DUMMYFUNCTION("""COMPUTED_VALUE"""),0.7054305836588017)</f>
        <v>0.7054305837</v>
      </c>
      <c r="AU14" s="30">
        <f>IFERROR(__xludf.DUMMYFUNCTION("""COMPUTED_VALUE"""),2.814531858879632)</f>
        <v>2.814531859</v>
      </c>
      <c r="AV14" s="32">
        <f>IFERROR(__xludf.DUMMYFUNCTION("""COMPUTED_VALUE"""),58.4443458594287)</f>
        <v>58.44434586</v>
      </c>
      <c r="AW14" s="32">
        <f>IFERROR(__xludf.DUMMYFUNCTION("""COMPUTED_VALUE"""),2.7191142868923515)</f>
        <v>2.719114287</v>
      </c>
      <c r="AX14" s="32">
        <f>IFERROR(__xludf.DUMMYFUNCTION("""COMPUTED_VALUE"""),49.98172768837443)</f>
        <v>49.98172769</v>
      </c>
      <c r="AY14" s="32">
        <f>IFERROR(__xludf.DUMMYFUNCTION("""COMPUTED_VALUE"""),-2.001167016089215)</f>
        <v>-2.001167016</v>
      </c>
      <c r="AZ14" s="30">
        <f>IFERROR(__xludf.DUMMYFUNCTION("""COMPUTED_VALUE"""),4.720281302981567)</f>
        <v>4.720281303</v>
      </c>
      <c r="BA14" s="30">
        <f>IFERROR(__xludf.DUMMYFUNCTION("""COMPUTED_VALUE"""),2.0)</f>
        <v>2</v>
      </c>
    </row>
    <row r="15">
      <c r="A15" s="30" t="str">
        <f>IFERROR(__xludf.DUMMYFUNCTION("""COMPUTED_VALUE"""),"Premier")</f>
        <v>Premier</v>
      </c>
      <c r="B15" s="71" t="str">
        <f>IFERROR(__xludf.DUMMYFUNCTION("""COMPUTED_VALUE"""),"RSC007819")</f>
        <v>RSC007819</v>
      </c>
      <c r="C15" s="30" t="str">
        <f>IFERROR(__xludf.DUMMYFUNCTION("""COMPUTED_VALUE"""),"DivineRL_ TTV")</f>
        <v>DivineRL_ TTV</v>
      </c>
      <c r="D15" s="30" t="str">
        <f>IFERROR(__xludf.DUMMYFUNCTION("""COMPUTED_VALUE"""),"Interstellar")</f>
        <v>Interstellar</v>
      </c>
      <c r="E15" s="30">
        <f>IFERROR(__xludf.DUMMYFUNCTION("""COMPUTED_VALUE"""),36.0)</f>
        <v>36</v>
      </c>
      <c r="F15" s="30">
        <f>IFERROR(__xludf.DUMMYFUNCTION("""COMPUTED_VALUE"""),16.0)</f>
        <v>16</v>
      </c>
      <c r="G15" s="30">
        <f>IFERROR(__xludf.DUMMYFUNCTION("""COMPUTED_VALUE"""),20.0)</f>
        <v>20</v>
      </c>
      <c r="H15" s="42">
        <f>IFERROR(__xludf.DUMMYFUNCTION("""COMPUTED_VALUE"""),0.4444444444444444)</f>
        <v>0.4444444444</v>
      </c>
      <c r="I15" s="42">
        <f>IFERROR(__xludf.DUMMYFUNCTION("""COMPUTED_VALUE"""),0.29069767441860467)</f>
        <v>0.2906976744</v>
      </c>
      <c r="J15" s="30">
        <f>IFERROR(__xludf.DUMMYFUNCTION("""COMPUTED_VALUE"""),385.69444444444446)</f>
        <v>385.6944444</v>
      </c>
      <c r="K15" s="30">
        <f>IFERROR(__xludf.DUMMYFUNCTION("""COMPUTED_VALUE"""),0.6944444444444444)</f>
        <v>0.6944444444</v>
      </c>
      <c r="L15" s="30">
        <f>IFERROR(__xludf.DUMMYFUNCTION("""COMPUTED_VALUE"""),0.6944444444444444)</f>
        <v>0.6944444444</v>
      </c>
      <c r="M15" s="30">
        <f>IFERROR(__xludf.DUMMYFUNCTION("""COMPUTED_VALUE"""),1.7777777777777777)</f>
        <v>1.777777778</v>
      </c>
      <c r="N15" s="30">
        <f>IFERROR(__xludf.DUMMYFUNCTION("""COMPUTED_VALUE"""),2.388888888888889)</f>
        <v>2.388888889</v>
      </c>
      <c r="O15" s="30">
        <f>IFERROR(__xludf.DUMMYFUNCTION("""COMPUTED_VALUE"""),357.14814814814827)</f>
        <v>357.1481481</v>
      </c>
      <c r="P15" s="30">
        <f>IFERROR(__xludf.DUMMYFUNCTION("""COMPUTED_VALUE"""),0.8703703703703705)</f>
        <v>0.8703703704</v>
      </c>
      <c r="Q15" s="30">
        <f>IFERROR(__xludf.DUMMYFUNCTION("""COMPUTED_VALUE"""),0.675925925925926)</f>
        <v>0.6759259259</v>
      </c>
      <c r="R15" s="30">
        <f>IFERROR(__xludf.DUMMYFUNCTION("""COMPUTED_VALUE"""),1.1759259259259263)</f>
        <v>1.175925926</v>
      </c>
      <c r="S15" s="30">
        <f>IFERROR(__xludf.DUMMYFUNCTION("""COMPUTED_VALUE"""),2.888888888888889)</f>
        <v>2.888888889</v>
      </c>
      <c r="T15" s="30">
        <f>IFERROR(__xludf.DUMMYFUNCTION("""COMPUTED_VALUE"""),372.1450075735545)</f>
        <v>372.1450076</v>
      </c>
      <c r="U15" s="30">
        <f>IFERROR(__xludf.DUMMYFUNCTION("""COMPUTED_VALUE"""),0.8408754178530552)</f>
        <v>0.8408754179</v>
      </c>
      <c r="V15" s="30">
        <f>IFERROR(__xludf.DUMMYFUNCTION("""COMPUTED_VALUE"""),0.6144580762541165)</f>
        <v>0.6144580763</v>
      </c>
      <c r="W15" s="30">
        <f>IFERROR(__xludf.DUMMYFUNCTION("""COMPUTED_VALUE"""),1.4297989530664281)</f>
        <v>1.429798953</v>
      </c>
      <c r="X15" s="30">
        <f>IFERROR(__xludf.DUMMYFUNCTION("""COMPUTED_VALUE"""),2.7839083730658993)</f>
        <v>2.783908373</v>
      </c>
      <c r="Y15" s="30">
        <f>IFERROR(__xludf.DUMMYFUNCTION("""COMPUTED_VALUE"""),379.780122708669)</f>
        <v>379.7801227</v>
      </c>
      <c r="Z15" s="30">
        <f>IFERROR(__xludf.DUMMYFUNCTION("""COMPUTED_VALUE"""),0.8583295797287053)</f>
        <v>0.8583295797</v>
      </c>
      <c r="AA15" s="30">
        <f>IFERROR(__xludf.DUMMYFUNCTION("""COMPUTED_VALUE"""),0.6822460531547884)</f>
        <v>0.6822460532</v>
      </c>
      <c r="AB15" s="30">
        <f>IFERROR(__xludf.DUMMYFUNCTION("""COMPUTED_VALUE"""),1.4537999116971958)</f>
        <v>1.453799912</v>
      </c>
      <c r="AC15" s="30">
        <f>IFERROR(__xludf.DUMMYFUNCTION("""COMPUTED_VALUE"""),2.7422104886271796)</f>
        <v>2.742210489</v>
      </c>
      <c r="AD15" s="30">
        <f>IFERROR(__xludf.DUMMYFUNCTION("""COMPUTED_VALUE"""),1.0155730154953695)</f>
        <v>1.015573015</v>
      </c>
      <c r="AE15" s="30">
        <f>IFERROR(__xludf.DUMMYFUNCTION("""COMPUTED_VALUE"""),0.8090650268209788)</f>
        <v>0.8090650268</v>
      </c>
      <c r="AF15" s="30">
        <f>IFERROR(__xludf.DUMMYFUNCTION("""COMPUTED_VALUE"""),1.0178797535482238)</f>
        <v>1.017879754</v>
      </c>
      <c r="AG15" s="30">
        <f>IFERROR(__xludf.DUMMYFUNCTION("""COMPUTED_VALUE"""),1.2228490065750268)</f>
        <v>1.222849007</v>
      </c>
      <c r="AH15" s="30">
        <f>IFERROR(__xludf.DUMMYFUNCTION("""COMPUTED_VALUE"""),0.8711544568866512)</f>
        <v>0.8711544569</v>
      </c>
      <c r="AI15" s="30">
        <f>IFERROR(__xludf.DUMMYFUNCTION("""COMPUTED_VALUE"""),0.9597015703013506)</f>
        <v>0.9597015703</v>
      </c>
      <c r="AJ15" s="30">
        <f>IFERROR(__xludf.DUMMYFUNCTION("""COMPUTED_VALUE"""),1.0350764832591046)</f>
        <v>1.035076483</v>
      </c>
      <c r="AK15" s="30">
        <f>IFERROR(__xludf.DUMMYFUNCTION("""COMPUTED_VALUE"""),1.100035872335721)</f>
        <v>1.100035872</v>
      </c>
      <c r="AL15" s="30">
        <f>IFERROR(__xludf.DUMMYFUNCTION("""COMPUTED_VALUE"""),0.8224414512291877)</f>
        <v>0.8224414512</v>
      </c>
      <c r="AM15" s="30">
        <f>IFERROR(__xludf.DUMMYFUNCTION("""COMPUTED_VALUE"""),1.0377097597171905)</f>
        <v>1.03770976</v>
      </c>
      <c r="AN15" s="30">
        <f>IFERROR(__xludf.DUMMYFUNCTION("""COMPUTED_VALUE"""),1.0471917733692107)</f>
        <v>1.047191773</v>
      </c>
      <c r="AO15" s="30">
        <f>IFERROR(__xludf.DUMMYFUNCTION("""COMPUTED_VALUE"""),0.8668097043758956)</f>
        <v>0.8668097044</v>
      </c>
      <c r="AP15" s="30">
        <f>IFERROR(__xludf.DUMMYFUNCTION("""COMPUTED_VALUE"""),1.1419763587251304)</f>
        <v>1.141976359</v>
      </c>
      <c r="AQ15" s="30">
        <f>IFERROR(__xludf.DUMMYFUNCTION("""COMPUTED_VALUE"""),1.2032745024585272)</f>
        <v>1.203274502</v>
      </c>
      <c r="AR15" s="30">
        <f>IFERROR(__xludf.DUMMYFUNCTION("""COMPUTED_VALUE"""),0.8999723064530428)</f>
        <v>0.8999723065</v>
      </c>
      <c r="AS15" s="30">
        <f>IFERROR(__xludf.DUMMYFUNCTION("""COMPUTED_VALUE"""),85.0)</f>
        <v>85</v>
      </c>
      <c r="AT15" s="30">
        <f>IFERROR(__xludf.DUMMYFUNCTION("""COMPUTED_VALUE"""),0.46021523673211245)</f>
        <v>0.4602152367</v>
      </c>
      <c r="AU15" s="30">
        <f>IFERROR(__xludf.DUMMYFUNCTION("""COMPUTED_VALUE"""),2.4281075924177715)</f>
        <v>2.428107592</v>
      </c>
      <c r="AV15" s="32">
        <f>IFERROR(__xludf.DUMMYFUNCTION("""COMPUTED_VALUE"""),47.579183810966235)</f>
        <v>47.57918381</v>
      </c>
      <c r="AW15" s="32">
        <f>IFERROR(__xludf.DUMMYFUNCTION("""COMPUTED_VALUE"""),-2.167177604479944)</f>
        <v>-2.167177604</v>
      </c>
      <c r="AX15" s="32">
        <f>IFERROR(__xludf.DUMMYFUNCTION("""COMPUTED_VALUE"""),55.72241036557527)</f>
        <v>55.72241037</v>
      </c>
      <c r="AY15" s="32">
        <f>IFERROR(__xludf.DUMMYFUNCTION("""COMPUTED_VALUE"""),2.442153243279824)</f>
        <v>2.442153243</v>
      </c>
      <c r="AZ15" s="30">
        <f>IFERROR(__xludf.DUMMYFUNCTION("""COMPUTED_VALUE"""),4.609330847759768)</f>
        <v>4.609330848</v>
      </c>
      <c r="BA15" s="30">
        <f>IFERROR(__xludf.DUMMYFUNCTION("""COMPUTED_VALUE"""),2.0)</f>
        <v>2</v>
      </c>
    </row>
    <row r="16">
      <c r="A16" s="30" t="str">
        <f>IFERROR(__xludf.DUMMYFUNCTION("""COMPUTED_VALUE"""),"Premier")</f>
        <v>Premier</v>
      </c>
      <c r="B16" s="30" t="str">
        <f>IFERROR(__xludf.DUMMYFUNCTION("""COMPUTED_VALUE"""),"RSC003749")</f>
        <v>RSC003749</v>
      </c>
      <c r="C16" s="30" t="str">
        <f>IFERROR(__xludf.DUMMYFUNCTION("""COMPUTED_VALUE"""),"Rule")</f>
        <v>Rule</v>
      </c>
      <c r="D16" s="30" t="str">
        <f>IFERROR(__xludf.DUMMYFUNCTION("""COMPUTED_VALUE"""),"Fairies")</f>
        <v>Fairies</v>
      </c>
      <c r="E16" s="30">
        <f>IFERROR(__xludf.DUMMYFUNCTION("""COMPUTED_VALUE"""),19.0)</f>
        <v>19</v>
      </c>
      <c r="F16" s="30">
        <f>IFERROR(__xludf.DUMMYFUNCTION("""COMPUTED_VALUE"""),5.0)</f>
        <v>5</v>
      </c>
      <c r="G16" s="30">
        <f>IFERROR(__xludf.DUMMYFUNCTION("""COMPUTED_VALUE"""),14.0)</f>
        <v>14</v>
      </c>
      <c r="H16" s="42">
        <f>IFERROR(__xludf.DUMMYFUNCTION("""COMPUTED_VALUE"""),0.2631578947368421)</f>
        <v>0.2631578947</v>
      </c>
      <c r="I16" s="42">
        <f>IFERROR(__xludf.DUMMYFUNCTION("""COMPUTED_VALUE"""),0.2857142857142857)</f>
        <v>0.2857142857</v>
      </c>
      <c r="J16" s="30">
        <f>IFERROR(__xludf.DUMMYFUNCTION("""COMPUTED_VALUE"""),325.6842105263158)</f>
        <v>325.6842105</v>
      </c>
      <c r="K16" s="30">
        <f>IFERROR(__xludf.DUMMYFUNCTION("""COMPUTED_VALUE"""),0.631578947368421)</f>
        <v>0.6315789474</v>
      </c>
      <c r="L16" s="30">
        <f>IFERROR(__xludf.DUMMYFUNCTION("""COMPUTED_VALUE"""),0.2631578947368421)</f>
        <v>0.2631578947</v>
      </c>
      <c r="M16" s="30">
        <f>IFERROR(__xludf.DUMMYFUNCTION("""COMPUTED_VALUE"""),1.736842105263158)</f>
        <v>1.736842105</v>
      </c>
      <c r="N16" s="30">
        <f>IFERROR(__xludf.DUMMYFUNCTION("""COMPUTED_VALUE"""),2.210526315789474)</f>
        <v>2.210526316</v>
      </c>
      <c r="O16" s="30">
        <f>IFERROR(__xludf.DUMMYFUNCTION("""COMPUTED_VALUE"""),371.280701754386)</f>
        <v>371.2807018</v>
      </c>
      <c r="P16" s="30">
        <f>IFERROR(__xludf.DUMMYFUNCTION("""COMPUTED_VALUE"""),0.8947368421052632)</f>
        <v>0.8947368421</v>
      </c>
      <c r="Q16" s="30">
        <f>IFERROR(__xludf.DUMMYFUNCTION("""COMPUTED_VALUE"""),0.7368421052631579)</f>
        <v>0.7368421053</v>
      </c>
      <c r="R16" s="30">
        <f>IFERROR(__xludf.DUMMYFUNCTION("""COMPUTED_VALUE"""),1.192982456140351)</f>
        <v>1.192982456</v>
      </c>
      <c r="S16" s="30">
        <f>IFERROR(__xludf.DUMMYFUNCTION("""COMPUTED_VALUE"""),3.105263157894737)</f>
        <v>3.105263158</v>
      </c>
      <c r="T16" s="30">
        <f>IFERROR(__xludf.DUMMYFUNCTION("""COMPUTED_VALUE"""),384.128634693584)</f>
        <v>384.1286347</v>
      </c>
      <c r="U16" s="30">
        <f>IFERROR(__xludf.DUMMYFUNCTION("""COMPUTED_VALUE"""),0.8752844665899798)</f>
        <v>0.8752844666</v>
      </c>
      <c r="V16" s="30">
        <f>IFERROR(__xludf.DUMMYFUNCTION("""COMPUTED_VALUE"""),0.6371870362736186)</f>
        <v>0.6371870363</v>
      </c>
      <c r="W16" s="30">
        <f>IFERROR(__xludf.DUMMYFUNCTION("""COMPUTED_VALUE"""),1.4972404580533751)</f>
        <v>1.497240458</v>
      </c>
      <c r="X16" s="30">
        <f>IFERROR(__xludf.DUMMYFUNCTION("""COMPUTED_VALUE"""),2.77467367679605)</f>
        <v>2.774673677</v>
      </c>
      <c r="Y16" s="30">
        <f>IFERROR(__xludf.DUMMYFUNCTION("""COMPUTED_VALUE"""),377.60244470524907)</f>
        <v>377.6024447</v>
      </c>
      <c r="Z16" s="30">
        <f>IFERROR(__xludf.DUMMYFUNCTION("""COMPUTED_VALUE"""),0.8185588577974969)</f>
        <v>0.8185588578</v>
      </c>
      <c r="AA16" s="30">
        <f>IFERROR(__xludf.DUMMYFUNCTION("""COMPUTED_VALUE"""),0.6334443597499432)</f>
        <v>0.6334443597</v>
      </c>
      <c r="AB16" s="30">
        <f>IFERROR(__xludf.DUMMYFUNCTION("""COMPUTED_VALUE"""),1.4763327833011364)</f>
        <v>1.476332783</v>
      </c>
      <c r="AC16" s="30">
        <f>IFERROR(__xludf.DUMMYFUNCTION("""COMPUTED_VALUE"""),2.7642711745685773)</f>
        <v>2.764271175</v>
      </c>
      <c r="AD16" s="30">
        <f>IFERROR(__xludf.DUMMYFUNCTION("""COMPUTED_VALUE"""),0.8625055666166042)</f>
        <v>0.8625055666</v>
      </c>
      <c r="AE16" s="30">
        <f>IFERROR(__xludf.DUMMYFUNCTION("""COMPUTED_VALUE"""),0.771574262928161)</f>
        <v>0.7715742629</v>
      </c>
      <c r="AF16" s="30">
        <f>IFERROR(__xludf.DUMMYFUNCTION("""COMPUTED_VALUE"""),0.41543963678313534)</f>
        <v>0.4154396368</v>
      </c>
      <c r="AG16" s="30">
        <f>IFERROR(__xludf.DUMMYFUNCTION("""COMPUTED_VALUE"""),1.1764570460729815)</f>
        <v>1.176457046</v>
      </c>
      <c r="AH16" s="30">
        <f>IFERROR(__xludf.DUMMYFUNCTION("""COMPUTED_VALUE"""),0.7996778087932972)</f>
        <v>0.7996778088</v>
      </c>
      <c r="AI16" s="30">
        <f>IFERROR(__xludf.DUMMYFUNCTION("""COMPUTED_VALUE"""),0.9665530455717088)</f>
        <v>0.9665530456</v>
      </c>
      <c r="AJ16" s="30">
        <f>IFERROR(__xludf.DUMMYFUNCTION("""COMPUTED_VALUE"""),1.0222240611570177)</f>
        <v>1.022224061</v>
      </c>
      <c r="AK16" s="30">
        <f>IFERROR(__xludf.DUMMYFUNCTION("""COMPUTED_VALUE"""),1.1563984565228125)</f>
        <v>1.156398457</v>
      </c>
      <c r="AL16" s="30">
        <f>IFERROR(__xludf.DUMMYFUNCTION("""COMPUTED_VALUE"""),0.7967874830816403)</f>
        <v>0.7967874831</v>
      </c>
      <c r="AM16" s="30">
        <f>IFERROR(__xludf.DUMMYFUNCTION("""COMPUTED_VALUE"""),1.1191453553127095)</f>
        <v>1.119145355</v>
      </c>
      <c r="AN16" s="30">
        <f>IFERROR(__xludf.DUMMYFUNCTION("""COMPUTED_VALUE"""),0.8842591094892721)</f>
        <v>0.8842591095</v>
      </c>
      <c r="AO16" s="30">
        <f>IFERROR(__xludf.DUMMYFUNCTION("""COMPUTED_VALUE"""),0.7883406153481829)</f>
        <v>0.7883406153</v>
      </c>
      <c r="AP16" s="30">
        <f>IFERROR(__xludf.DUMMYFUNCTION("""COMPUTED_VALUE"""),0.43274893593794417)</f>
        <v>0.4327489359</v>
      </c>
      <c r="AQ16" s="30">
        <f>IFERROR(__xludf.DUMMYFUNCTION("""COMPUTED_VALUE"""),1.1755675237834953)</f>
        <v>1.175567524</v>
      </c>
      <c r="AR16" s="30">
        <f>IFERROR(__xludf.DUMMYFUNCTION("""COMPUTED_VALUE"""),0.8327773117239907)</f>
        <v>0.8327773117</v>
      </c>
      <c r="AS16" s="30">
        <f>IFERROR(__xludf.DUMMYFUNCTION("""COMPUTED_VALUE"""),28.0)</f>
        <v>28</v>
      </c>
      <c r="AT16" s="30">
        <f>IFERROR(__xludf.DUMMYFUNCTION("""COMPUTED_VALUE"""),0.2885172211429807)</f>
        <v>0.2885172211</v>
      </c>
      <c r="AU16" s="30">
        <f>IFERROR(__xludf.DUMMYFUNCTION("""COMPUTED_VALUE"""),1.3664404851233585)</f>
        <v>1.366440485</v>
      </c>
      <c r="AV16" s="32">
        <f>IFERROR(__xludf.DUMMYFUNCTION("""COMPUTED_VALUE"""),17.728094830728267)</f>
        <v>17.72809483</v>
      </c>
      <c r="AW16" s="32">
        <f>IFERROR(__xludf.DUMMYFUNCTION("""COMPUTED_VALUE"""),-10.165359543965035)</f>
        <v>-10.16535954</v>
      </c>
      <c r="AX16" s="32">
        <f>IFERROR(__xludf.DUMMYFUNCTION("""COMPUTED_VALUE"""),25.190626133755732)</f>
        <v>25.19062613</v>
      </c>
      <c r="AY16" s="32">
        <f>IFERROR(__xludf.DUMMYFUNCTION("""COMPUTED_VALUE"""),-6.2302452218064435)</f>
        <v>-6.230245222</v>
      </c>
      <c r="AZ16" s="30">
        <f>IFERROR(__xludf.DUMMYFUNCTION("""COMPUTED_VALUE"""),3.935114322158592)</f>
        <v>3.935114322</v>
      </c>
      <c r="BA16" s="30">
        <f>IFERROR(__xludf.DUMMYFUNCTION("""COMPUTED_VALUE"""),2.0)</f>
        <v>2</v>
      </c>
    </row>
    <row r="17">
      <c r="A17" s="30" t="str">
        <f>IFERROR(__xludf.DUMMYFUNCTION("""COMPUTED_VALUE"""),"Premier")</f>
        <v>Premier</v>
      </c>
      <c r="B17" s="71" t="str">
        <f>IFERROR(__xludf.DUMMYFUNCTION("""COMPUTED_VALUE"""),"RSC007691")</f>
        <v>RSC007691</v>
      </c>
      <c r="C17" s="30" t="str">
        <f>IFERROR(__xludf.DUMMYFUNCTION("""COMPUTED_VALUE"""),"exy")</f>
        <v>exy</v>
      </c>
      <c r="D17" s="30"/>
      <c r="E17" s="30">
        <f>IFERROR(__xludf.DUMMYFUNCTION("""COMPUTED_VALUE"""),4.0)</f>
        <v>4</v>
      </c>
      <c r="F17" s="30">
        <f>IFERROR(__xludf.DUMMYFUNCTION("""COMPUTED_VALUE"""),1.0)</f>
        <v>1</v>
      </c>
      <c r="G17" s="30">
        <f>IFERROR(__xludf.DUMMYFUNCTION("""COMPUTED_VALUE"""),3.0)</f>
        <v>3</v>
      </c>
      <c r="H17" s="42">
        <f>IFERROR(__xludf.DUMMYFUNCTION("""COMPUTED_VALUE"""),0.25)</f>
        <v>0.25</v>
      </c>
      <c r="I17" s="42">
        <f>IFERROR(__xludf.DUMMYFUNCTION("""COMPUTED_VALUE"""),0.07692307692307693)</f>
        <v>0.07692307692</v>
      </c>
      <c r="J17" s="30">
        <f>IFERROR(__xludf.DUMMYFUNCTION("""COMPUTED_VALUE"""),239.25)</f>
        <v>239.25</v>
      </c>
      <c r="K17" s="30">
        <f>IFERROR(__xludf.DUMMYFUNCTION("""COMPUTED_VALUE"""),0.25)</f>
        <v>0.25</v>
      </c>
      <c r="L17" s="30">
        <f>IFERROR(__xludf.DUMMYFUNCTION("""COMPUTED_VALUE"""),0.75)</f>
        <v>0.75</v>
      </c>
      <c r="M17" s="30">
        <f>IFERROR(__xludf.DUMMYFUNCTION("""COMPUTED_VALUE"""),0.5)</f>
        <v>0.5</v>
      </c>
      <c r="N17" s="30">
        <f>IFERROR(__xludf.DUMMYFUNCTION("""COMPUTED_VALUE"""),3.25)</f>
        <v>3.25</v>
      </c>
      <c r="O17" s="30">
        <f>IFERROR(__xludf.DUMMYFUNCTION("""COMPUTED_VALUE"""),373.8333333333333)</f>
        <v>373.8333333</v>
      </c>
      <c r="P17" s="30">
        <f>IFERROR(__xludf.DUMMYFUNCTION("""COMPUTED_VALUE"""),0.6666666666666667)</f>
        <v>0.6666666667</v>
      </c>
      <c r="Q17" s="30">
        <f>IFERROR(__xludf.DUMMYFUNCTION("""COMPUTED_VALUE"""),0.6666666666666667)</f>
        <v>0.6666666667</v>
      </c>
      <c r="R17" s="30">
        <f>IFERROR(__xludf.DUMMYFUNCTION("""COMPUTED_VALUE"""),1.6666666666666667)</f>
        <v>1.666666667</v>
      </c>
      <c r="S17" s="30">
        <f>IFERROR(__xludf.DUMMYFUNCTION("""COMPUTED_VALUE"""),2.583333333333333)</f>
        <v>2.583333333</v>
      </c>
      <c r="T17" s="30">
        <f>IFERROR(__xludf.DUMMYFUNCTION("""COMPUTED_VALUE"""),380.0680072463768)</f>
        <v>380.0680072</v>
      </c>
      <c r="U17" s="30">
        <f>IFERROR(__xludf.DUMMYFUNCTION("""COMPUTED_VALUE"""),0.8107272256728778)</f>
        <v>0.8107272257</v>
      </c>
      <c r="V17" s="30">
        <f>IFERROR(__xludf.DUMMYFUNCTION("""COMPUTED_VALUE"""),0.7333359213250518)</f>
        <v>0.7333359213</v>
      </c>
      <c r="W17" s="30">
        <f>IFERROR(__xludf.DUMMYFUNCTION("""COMPUTED_VALUE"""),1.4326578674948238)</f>
        <v>1.432657867</v>
      </c>
      <c r="X17" s="30">
        <f>IFERROR(__xludf.DUMMYFUNCTION("""COMPUTED_VALUE"""),2.524477225672878)</f>
        <v>2.524477226</v>
      </c>
      <c r="Y17" s="30">
        <f>IFERROR(__xludf.DUMMYFUNCTION("""COMPUTED_VALUE"""),348.5145729813664)</f>
        <v>348.514573</v>
      </c>
      <c r="Z17" s="30">
        <f>IFERROR(__xludf.DUMMYFUNCTION("""COMPUTED_VALUE"""),0.8262034161490683)</f>
        <v>0.8262034161</v>
      </c>
      <c r="AA17" s="30">
        <f>IFERROR(__xludf.DUMMYFUNCTION("""COMPUTED_VALUE"""),0.6226984126984126)</f>
        <v>0.6226984127</v>
      </c>
      <c r="AB17" s="30">
        <f>IFERROR(__xludf.DUMMYFUNCTION("""COMPUTED_VALUE"""),1.2349542788129741)</f>
        <v>1.234954279</v>
      </c>
      <c r="AC17" s="30">
        <f>IFERROR(__xludf.DUMMYFUNCTION("""COMPUTED_VALUE"""),2.847162698412699)</f>
        <v>2.847162698</v>
      </c>
      <c r="AD17" s="30">
        <f>IFERROR(__xludf.DUMMYFUNCTION("""COMPUTED_VALUE"""),0.6864849235810626)</f>
        <v>0.6864849236</v>
      </c>
      <c r="AE17" s="30">
        <f>IFERROR(__xludf.DUMMYFUNCTION("""COMPUTED_VALUE"""),0.3025889207348588)</f>
        <v>0.3025889207</v>
      </c>
      <c r="AF17" s="30">
        <f>IFERROR(__xludf.DUMMYFUNCTION("""COMPUTED_VALUE"""),1.2044353810859039)</f>
        <v>1.204435381</v>
      </c>
      <c r="AG17" s="30">
        <f>IFERROR(__xludf.DUMMYFUNCTION("""COMPUTED_VALUE"""),0.40487328849177723)</f>
        <v>0.4048732885</v>
      </c>
      <c r="AH17" s="30">
        <f>IFERROR(__xludf.DUMMYFUNCTION("""COMPUTED_VALUE"""),1.1414872784796892)</f>
        <v>1.141487278</v>
      </c>
      <c r="AI17" s="30">
        <f>IFERROR(__xludf.DUMMYFUNCTION("""COMPUTED_VALUE"""),0.9835958991702191)</f>
        <v>0.9835958992</v>
      </c>
      <c r="AJ17" s="30">
        <f>IFERROR(__xludf.DUMMYFUNCTION("""COMPUTED_VALUE"""),0.8223069924824032)</f>
        <v>0.8223069925</v>
      </c>
      <c r="AK17" s="30">
        <f>IFERROR(__xludf.DUMMYFUNCTION("""COMPUTED_VALUE"""),0.9090877008480349)</f>
        <v>0.9090877008</v>
      </c>
      <c r="AL17" s="30">
        <f>IFERROR(__xludf.DUMMYFUNCTION("""COMPUTED_VALUE"""),1.163338927235318)</f>
        <v>1.163338927</v>
      </c>
      <c r="AM17" s="30">
        <f>IFERROR(__xludf.DUMMYFUNCTION("""COMPUTED_VALUE"""),1.0233141765201577)</f>
        <v>1.023314177</v>
      </c>
      <c r="AN17" s="30">
        <f>IFERROR(__xludf.DUMMYFUNCTION("""COMPUTED_VALUE"""),0.6495832008663314)</f>
        <v>0.6495832009</v>
      </c>
      <c r="AO17" s="30">
        <f>IFERROR(__xludf.DUMMYFUNCTION("""COMPUTED_VALUE"""),0.3120514935753224)</f>
        <v>0.3120514936</v>
      </c>
      <c r="AP17" s="30">
        <f>IFERROR(__xludf.DUMMYFUNCTION("""COMPUTED_VALUE"""),1.233334467423141)</f>
        <v>1.233334467</v>
      </c>
      <c r="AQ17" s="30">
        <f>IFERROR(__xludf.DUMMYFUNCTION("""COMPUTED_VALUE"""),0.33842095381646076)</f>
        <v>0.3384209538</v>
      </c>
      <c r="AR17" s="30">
        <f>IFERROR(__xludf.DUMMYFUNCTION("""COMPUTED_VALUE"""),1.2243809285465814)</f>
        <v>1.224380929</v>
      </c>
      <c r="AS17" s="30">
        <f>IFERROR(__xludf.DUMMYFUNCTION("""COMPUTED_VALUE"""),6.0)</f>
        <v>6</v>
      </c>
      <c r="AT17" s="30">
        <f>IFERROR(__xludf.DUMMYFUNCTION("""COMPUTED_VALUE"""),0.39839556112833874)</f>
        <v>0.3983955611</v>
      </c>
      <c r="AU17" s="30">
        <f>IFERROR(__xludf.DUMMYFUNCTION("""COMPUTED_VALUE"""),2.2229103867988225)</f>
        <v>2.222910387</v>
      </c>
      <c r="AV17" s="32">
        <f>IFERROR(__xludf.DUMMYFUNCTION("""COMPUTED_VALUE"""),41.80961630591515)</f>
        <v>41.80961631</v>
      </c>
      <c r="AW17" s="32">
        <f>IFERROR(__xludf.DUMMYFUNCTION("""COMPUTED_VALUE"""),-2.691056551730117)</f>
        <v>-2.691056552</v>
      </c>
      <c r="AX17" s="32">
        <f>IFERROR(__xludf.DUMMYFUNCTION("""COMPUTED_VALUE"""),25.630037858378344)</f>
        <v>25.63003786</v>
      </c>
      <c r="AY17" s="32">
        <f>IFERROR(__xludf.DUMMYFUNCTION("""COMPUTED_VALUE"""),-6.066852557500477)</f>
        <v>-6.066852558</v>
      </c>
      <c r="AZ17" s="30">
        <f>IFERROR(__xludf.DUMMYFUNCTION("""COMPUTED_VALUE"""),3.37579600577036)</f>
        <v>3.375796006</v>
      </c>
      <c r="BA17" s="30">
        <f>IFERROR(__xludf.DUMMYFUNCTION("""COMPUTED_VALUE"""),2.0)</f>
        <v>2</v>
      </c>
    </row>
    <row r="18">
      <c r="A18" s="30" t="str">
        <f>IFERROR(__xludf.DUMMYFUNCTION("""COMPUTED_VALUE"""),"Premier")</f>
        <v>Premier</v>
      </c>
      <c r="B18" s="30" t="str">
        <f>IFERROR(__xludf.DUMMYFUNCTION("""COMPUTED_VALUE"""),"RSC002714")</f>
        <v>RSC002714</v>
      </c>
      <c r="C18" s="30" t="str">
        <f>IFERROR(__xludf.DUMMYFUNCTION("""COMPUTED_VALUE"""),"Yujin")</f>
        <v>Yujin</v>
      </c>
      <c r="D18" s="30" t="str">
        <f>IFERROR(__xludf.DUMMYFUNCTION("""COMPUTED_VALUE"""),"Feta Forgers")</f>
        <v>Feta Forgers</v>
      </c>
      <c r="E18" s="30">
        <f>IFERROR(__xludf.DUMMYFUNCTION("""COMPUTED_VALUE"""),34.0)</f>
        <v>34</v>
      </c>
      <c r="F18" s="30">
        <f>IFERROR(__xludf.DUMMYFUNCTION("""COMPUTED_VALUE"""),7.0)</f>
        <v>7</v>
      </c>
      <c r="G18" s="30">
        <f>IFERROR(__xludf.DUMMYFUNCTION("""COMPUTED_VALUE"""),27.0)</f>
        <v>27</v>
      </c>
      <c r="H18" s="42">
        <f>IFERROR(__xludf.DUMMYFUNCTION("""COMPUTED_VALUE"""),0.20588235294117646)</f>
        <v>0.2058823529</v>
      </c>
      <c r="I18" s="42">
        <f>IFERROR(__xludf.DUMMYFUNCTION("""COMPUTED_VALUE"""),0.3866666666666666)</f>
        <v>0.3866666667</v>
      </c>
      <c r="J18" s="30">
        <f>IFERROR(__xludf.DUMMYFUNCTION("""COMPUTED_VALUE"""),342.20588235294116)</f>
        <v>342.2058824</v>
      </c>
      <c r="K18" s="30">
        <f>IFERROR(__xludf.DUMMYFUNCTION("""COMPUTED_VALUE"""),0.8529411764705882)</f>
        <v>0.8529411765</v>
      </c>
      <c r="L18" s="30">
        <f>IFERROR(__xludf.DUMMYFUNCTION("""COMPUTED_VALUE"""),0.23529411764705882)</f>
        <v>0.2352941176</v>
      </c>
      <c r="M18" s="30">
        <f>IFERROR(__xludf.DUMMYFUNCTION("""COMPUTED_VALUE"""),1.3529411764705883)</f>
        <v>1.352941176</v>
      </c>
      <c r="N18" s="30">
        <f>IFERROR(__xludf.DUMMYFUNCTION("""COMPUTED_VALUE"""),2.2058823529411766)</f>
        <v>2.205882353</v>
      </c>
      <c r="O18" s="30">
        <f>IFERROR(__xludf.DUMMYFUNCTION("""COMPUTED_VALUE"""),412.34313725490205)</f>
        <v>412.3431373</v>
      </c>
      <c r="P18" s="30">
        <f>IFERROR(__xludf.DUMMYFUNCTION("""COMPUTED_VALUE"""),1.1176470588235292)</f>
        <v>1.117647059</v>
      </c>
      <c r="Q18" s="30">
        <f>IFERROR(__xludf.DUMMYFUNCTION("""COMPUTED_VALUE"""),0.8921568627450979)</f>
        <v>0.8921568627</v>
      </c>
      <c r="R18" s="30">
        <f>IFERROR(__xludf.DUMMYFUNCTION("""COMPUTED_VALUE"""),1.1666666666666665)</f>
        <v>1.166666667</v>
      </c>
      <c r="S18" s="30">
        <f>IFERROR(__xludf.DUMMYFUNCTION("""COMPUTED_VALUE"""),3.3039215686274503)</f>
        <v>3.303921569</v>
      </c>
      <c r="T18" s="30">
        <f>IFERROR(__xludf.DUMMYFUNCTION("""COMPUTED_VALUE"""),381.7754196039991)</f>
        <v>381.7754196</v>
      </c>
      <c r="U18" s="30">
        <f>IFERROR(__xludf.DUMMYFUNCTION("""COMPUTED_VALUE"""),0.8807221648846179)</f>
        <v>0.8807221649</v>
      </c>
      <c r="V18" s="30">
        <f>IFERROR(__xludf.DUMMYFUNCTION("""COMPUTED_VALUE"""),0.6864819744873081)</f>
        <v>0.6864819745</v>
      </c>
      <c r="W18" s="30">
        <f>IFERROR(__xludf.DUMMYFUNCTION("""COMPUTED_VALUE"""),1.437348518760143)</f>
        <v>1.437348519</v>
      </c>
      <c r="X18" s="30">
        <f>IFERROR(__xludf.DUMMYFUNCTION("""COMPUTED_VALUE"""),2.8796176269277534)</f>
        <v>2.879617627</v>
      </c>
      <c r="Y18" s="30">
        <f>IFERROR(__xludf.DUMMYFUNCTION("""COMPUTED_VALUE"""),372.09332783210294)</f>
        <v>372.0933278</v>
      </c>
      <c r="Z18" s="30">
        <f>IFERROR(__xludf.DUMMYFUNCTION("""COMPUTED_VALUE"""),0.8004135578519527)</f>
        <v>0.8004135579</v>
      </c>
      <c r="AA18" s="30">
        <f>IFERROR(__xludf.DUMMYFUNCTION("""COMPUTED_VALUE"""),0.6145732179300842)</f>
        <v>0.6145732179</v>
      </c>
      <c r="AB18" s="30">
        <f>IFERROR(__xludf.DUMMYFUNCTION("""COMPUTED_VALUE"""),1.5168544246190194)</f>
        <v>1.516854425</v>
      </c>
      <c r="AC18" s="30">
        <f>IFERROR(__xludf.DUMMYFUNCTION("""COMPUTED_VALUE"""),2.6804815494965992)</f>
        <v>2.680481549</v>
      </c>
      <c r="AD18" s="30">
        <f>IFERROR(__xludf.DUMMYFUNCTION("""COMPUTED_VALUE"""),0.9196775560225909)</f>
        <v>0.919677556</v>
      </c>
      <c r="AE18" s="30">
        <f>IFERROR(__xludf.DUMMYFUNCTION("""COMPUTED_VALUE"""),1.0656255982964637)</f>
        <v>1.065625598</v>
      </c>
      <c r="AF18" s="30">
        <f>IFERROR(__xludf.DUMMYFUNCTION("""COMPUTED_VALUE"""),0.38285774710382287)</f>
        <v>0.3828577471</v>
      </c>
      <c r="AG18" s="30">
        <f>IFERROR(__xludf.DUMMYFUNCTION("""COMPUTED_VALUE"""),0.8919387084956419)</f>
        <v>0.8919387085</v>
      </c>
      <c r="AH18" s="30">
        <f>IFERROR(__xludf.DUMMYFUNCTION("""COMPUTED_VALUE"""),0.8229425617033054)</f>
        <v>0.8229425617</v>
      </c>
      <c r="AI18" s="30">
        <f>IFERROR(__xludf.DUMMYFUNCTION("""COMPUTED_VALUE"""),1.0800672753699272)</f>
        <v>1.080067275</v>
      </c>
      <c r="AJ18" s="30">
        <f>IFERROR(__xludf.DUMMYFUNCTION("""COMPUTED_VALUE"""),1.2690120714402033)</f>
        <v>1.269012071</v>
      </c>
      <c r="AK18" s="30">
        <f>IFERROR(__xludf.DUMMYFUNCTION("""COMPUTED_VALUE"""),1.29960712138348)</f>
        <v>1.299607121</v>
      </c>
      <c r="AL18" s="30">
        <f>IFERROR(__xludf.DUMMYFUNCTION("""COMPUTED_VALUE"""),0.811679736291817)</f>
        <v>0.8116797363</v>
      </c>
      <c r="AM18" s="30">
        <f>IFERROR(__xludf.DUMMYFUNCTION("""COMPUTED_VALUE"""),1.147347320606724)</f>
        <v>1.147347321</v>
      </c>
      <c r="AN18" s="30">
        <f>IFERROR(__xludf.DUMMYFUNCTION("""COMPUTED_VALUE"""),0.9291167916995224)</f>
        <v>0.9291167917</v>
      </c>
      <c r="AO18" s="30">
        <f>IFERROR(__xludf.DUMMYFUNCTION("""COMPUTED_VALUE"""),1.0646462721981587)</f>
        <v>1.064646272</v>
      </c>
      <c r="AP18" s="30">
        <f>IFERROR(__xludf.DUMMYFUNCTION("""COMPUTED_VALUE"""),0.38692846036804424)</f>
        <v>0.3869284604</v>
      </c>
      <c r="AQ18" s="30">
        <f>IFERROR(__xludf.DUMMYFUNCTION("""COMPUTED_VALUE"""),0.9157272867974822)</f>
        <v>0.9157272868</v>
      </c>
      <c r="AR18" s="30">
        <f>IFERROR(__xludf.DUMMYFUNCTION("""COMPUTED_VALUE"""),0.8310277795565033)</f>
        <v>0.8310277796</v>
      </c>
      <c r="AS18" s="30">
        <f>IFERROR(__xludf.DUMMYFUNCTION("""COMPUTED_VALUE"""),60.0)</f>
        <v>60</v>
      </c>
      <c r="AT18" s="30">
        <f>IFERROR(__xludf.DUMMYFUNCTION("""COMPUTED_VALUE"""),0.26395575733904725)</f>
        <v>0.2639557573</v>
      </c>
      <c r="AU18" s="30">
        <f>IFERROR(__xludf.DUMMYFUNCTION("""COMPUTED_VALUE"""),1.4565407874618472)</f>
        <v>1.456540787</v>
      </c>
      <c r="AV18" s="32">
        <f>IFERROR(__xludf.DUMMYFUNCTION("""COMPUTED_VALUE"""),20.261461574195355)</f>
        <v>20.26146157</v>
      </c>
      <c r="AW18" s="32">
        <f>IFERROR(__xludf.DUMMYFUNCTION("""COMPUTED_VALUE"""),-8.538738525298118)</f>
        <v>-8.538738525</v>
      </c>
      <c r="AX18" s="32">
        <f>IFERROR(__xludf.DUMMYFUNCTION("""COMPUTED_VALUE"""),27.657420432842763)</f>
        <v>27.65742043</v>
      </c>
      <c r="AY18" s="32">
        <f>IFERROR(__xludf.DUMMYFUNCTION("""COMPUTED_VALUE"""),-5.383859460822405)</f>
        <v>-5.383859461</v>
      </c>
      <c r="AZ18" s="30">
        <f>IFERROR(__xludf.DUMMYFUNCTION("""COMPUTED_VALUE"""),3.154879064475713)</f>
        <v>3.154879064</v>
      </c>
      <c r="BA18" s="30">
        <f>IFERROR(__xludf.DUMMYFUNCTION("""COMPUTED_VALUE"""),2.0)</f>
        <v>2</v>
      </c>
    </row>
    <row r="19">
      <c r="A19" s="30" t="str">
        <f>IFERROR(__xludf.DUMMYFUNCTION("""COMPUTED_VALUE"""),"Premier")</f>
        <v>Premier</v>
      </c>
      <c r="B19" s="71" t="str">
        <f>IFERROR(__xludf.DUMMYFUNCTION("""COMPUTED_VALUE"""),"RSC001605")</f>
        <v>RSC001605</v>
      </c>
      <c r="C19" s="30" t="str">
        <f>IFERROR(__xludf.DUMMYFUNCTION("""COMPUTED_VALUE"""),"Reeves")</f>
        <v>Reeves</v>
      </c>
      <c r="D19" s="30" t="str">
        <f>IFERROR(__xludf.DUMMYFUNCTION("""COMPUTED_VALUE"""),"Crooked Capos")</f>
        <v>Crooked Capos</v>
      </c>
      <c r="E19" s="30">
        <f>IFERROR(__xludf.DUMMYFUNCTION("""COMPUTED_VALUE"""),20.0)</f>
        <v>20</v>
      </c>
      <c r="F19" s="30">
        <f>IFERROR(__xludf.DUMMYFUNCTION("""COMPUTED_VALUE"""),11.0)</f>
        <v>11</v>
      </c>
      <c r="G19" s="30">
        <f>IFERROR(__xludf.DUMMYFUNCTION("""COMPUTED_VALUE"""),9.0)</f>
        <v>9</v>
      </c>
      <c r="H19" s="42">
        <f>IFERROR(__xludf.DUMMYFUNCTION("""COMPUTED_VALUE"""),0.55)</f>
        <v>0.55</v>
      </c>
      <c r="I19" s="42">
        <f>IFERROR(__xludf.DUMMYFUNCTION("""COMPUTED_VALUE"""),0.2027027027027027)</f>
        <v>0.2027027027</v>
      </c>
      <c r="J19" s="30">
        <f>IFERROR(__xludf.DUMMYFUNCTION("""COMPUTED_VALUE"""),390.8)</f>
        <v>390.8</v>
      </c>
      <c r="K19" s="30">
        <f>IFERROR(__xludf.DUMMYFUNCTION("""COMPUTED_VALUE"""),0.75)</f>
        <v>0.75</v>
      </c>
      <c r="L19" s="30">
        <f>IFERROR(__xludf.DUMMYFUNCTION("""COMPUTED_VALUE"""),0.7)</f>
        <v>0.7</v>
      </c>
      <c r="M19" s="30">
        <f>IFERROR(__xludf.DUMMYFUNCTION("""COMPUTED_VALUE"""),1.6)</f>
        <v>1.6</v>
      </c>
      <c r="N19" s="30">
        <f>IFERROR(__xludf.DUMMYFUNCTION("""COMPUTED_VALUE"""),3.7)</f>
        <v>3.7</v>
      </c>
      <c r="O19" s="30">
        <f>IFERROR(__xludf.DUMMYFUNCTION("""COMPUTED_VALUE"""),375.28333333333336)</f>
        <v>375.2833333</v>
      </c>
      <c r="P19" s="30">
        <f>IFERROR(__xludf.DUMMYFUNCTION("""COMPUTED_VALUE"""),0.75)</f>
        <v>0.75</v>
      </c>
      <c r="Q19" s="30">
        <f>IFERROR(__xludf.DUMMYFUNCTION("""COMPUTED_VALUE"""),0.5833333333333334)</f>
        <v>0.5833333333</v>
      </c>
      <c r="R19" s="30">
        <f>IFERROR(__xludf.DUMMYFUNCTION("""COMPUTED_VALUE"""),1.5666666666666662)</f>
        <v>1.566666667</v>
      </c>
      <c r="S19" s="30">
        <f>IFERROR(__xludf.DUMMYFUNCTION("""COMPUTED_VALUE"""),2.6999999999999997)</f>
        <v>2.7</v>
      </c>
      <c r="T19" s="30">
        <f>IFERROR(__xludf.DUMMYFUNCTION("""COMPUTED_VALUE"""),384.0764112910865)</f>
        <v>384.0764113</v>
      </c>
      <c r="U19" s="30">
        <f>IFERROR(__xludf.DUMMYFUNCTION("""COMPUTED_VALUE"""),0.895444999255741)</f>
        <v>0.8954449993</v>
      </c>
      <c r="V19" s="30">
        <f>IFERROR(__xludf.DUMMYFUNCTION("""COMPUTED_VALUE"""),0.7022810322196512)</f>
        <v>0.7022810322</v>
      </c>
      <c r="W19" s="30">
        <f>IFERROR(__xludf.DUMMYFUNCTION("""COMPUTED_VALUE"""),1.4239425296688724)</f>
        <v>1.42394253</v>
      </c>
      <c r="X19" s="30">
        <f>IFERROR(__xludf.DUMMYFUNCTION("""COMPUTED_VALUE"""),2.862314280301492)</f>
        <v>2.86231428</v>
      </c>
      <c r="Y19" s="30">
        <f>IFERROR(__xludf.DUMMYFUNCTION("""COMPUTED_VALUE"""),370.7062353482455)</f>
        <v>370.7062353</v>
      </c>
      <c r="Z19" s="30">
        <f>IFERROR(__xludf.DUMMYFUNCTION("""COMPUTED_VALUE"""),0.8149283481508546)</f>
        <v>0.8149283482</v>
      </c>
      <c r="AA19" s="30">
        <f>IFERROR(__xludf.DUMMYFUNCTION("""COMPUTED_VALUE"""),0.6213439153439152)</f>
        <v>0.6213439153</v>
      </c>
      <c r="AB19" s="30">
        <f>IFERROR(__xludf.DUMMYFUNCTION("""COMPUTED_VALUE"""),1.4606073559858728)</f>
        <v>1.460607356</v>
      </c>
      <c r="AC19" s="30">
        <f>IFERROR(__xludf.DUMMYFUNCTION("""COMPUTED_VALUE"""),2.6796495487083734)</f>
        <v>2.679649549</v>
      </c>
      <c r="AD19" s="30">
        <f>IFERROR(__xludf.DUMMYFUNCTION("""COMPUTED_VALUE"""),1.0542040104420638)</f>
        <v>1.05420401</v>
      </c>
      <c r="AE19" s="30">
        <f>IFERROR(__xludf.DUMMYFUNCTION("""COMPUTED_VALUE"""),0.9203263105300205)</f>
        <v>0.9203263105</v>
      </c>
      <c r="AF19" s="30">
        <f>IFERROR(__xludf.DUMMYFUNCTION("""COMPUTED_VALUE"""),1.1265902549517177)</f>
        <v>1.126590255</v>
      </c>
      <c r="AG19" s="30">
        <f>IFERROR(__xludf.DUMMYFUNCTION("""COMPUTED_VALUE"""),1.0954347131300326)</f>
        <v>1.095434713</v>
      </c>
      <c r="AH19" s="30">
        <f>IFERROR(__xludf.DUMMYFUNCTION("""COMPUTED_VALUE"""),1.3807775728671121)</f>
        <v>1.380777573</v>
      </c>
      <c r="AI19" s="30">
        <f>IFERROR(__xludf.DUMMYFUNCTION("""COMPUTED_VALUE"""),0.977105915127162)</f>
        <v>0.9771059151</v>
      </c>
      <c r="AJ19" s="30">
        <f>IFERROR(__xludf.DUMMYFUNCTION("""COMPUTED_VALUE"""),0.8375723809093477)</f>
        <v>0.8375723809</v>
      </c>
      <c r="AK19" s="30">
        <f>IFERROR(__xludf.DUMMYFUNCTION("""COMPUTED_VALUE"""),0.8306266388679642)</f>
        <v>0.8306266389</v>
      </c>
      <c r="AL19" s="30">
        <f>IFERROR(__xludf.DUMMYFUNCTION("""COMPUTED_VALUE"""),1.1002316694838683)</f>
        <v>1.100231669</v>
      </c>
      <c r="AM19" s="30">
        <f>IFERROR(__xludf.DUMMYFUNCTION("""COMPUTED_VALUE"""),0.9432926421048372)</f>
        <v>0.9432926421</v>
      </c>
      <c r="AN19" s="30">
        <f>IFERROR(__xludf.DUMMYFUNCTION("""COMPUTED_VALUE"""),1.0610537717808246)</f>
        <v>1.061053772</v>
      </c>
      <c r="AO19" s="30">
        <f>IFERROR(__xludf.DUMMYFUNCTION("""COMPUTED_VALUE"""),0.9361544807259672)</f>
        <v>0.9361544807</v>
      </c>
      <c r="AP19" s="30">
        <f>IFERROR(__xludf.DUMMYFUNCTION("""COMPUTED_VALUE"""),1.1511121695949316)</f>
        <v>1.15111217</v>
      </c>
      <c r="AQ19" s="30">
        <f>IFERROR(__xludf.DUMMYFUNCTION("""COMPUTED_VALUE"""),1.0829470522126745)</f>
        <v>1.082947052</v>
      </c>
      <c r="AR19" s="30">
        <f>IFERROR(__xludf.DUMMYFUNCTION("""COMPUTED_VALUE"""),1.3939105955761082)</f>
        <v>1.393910596</v>
      </c>
      <c r="AS19" s="30">
        <f>IFERROR(__xludf.DUMMYFUNCTION("""COMPUTED_VALUE"""),49.0)</f>
        <v>49</v>
      </c>
      <c r="AT19" s="30">
        <f>IFERROR(__xludf.DUMMYFUNCTION("""COMPUTED_VALUE"""),0.5331450899641901)</f>
        <v>0.53314509</v>
      </c>
      <c r="AU19" s="30">
        <f>IFERROR(__xludf.DUMMYFUNCTION("""COMPUTED_VALUE"""),3.3407528121093)</f>
        <v>3.340752812</v>
      </c>
      <c r="AV19" s="32">
        <f>IFERROR(__xludf.DUMMYFUNCTION("""COMPUTED_VALUE"""),73.24019701672407)</f>
        <v>73.24019702</v>
      </c>
      <c r="AW19" s="32">
        <f>IFERROR(__xludf.DUMMYFUNCTION("""COMPUTED_VALUE"""),5.67256568503812)</f>
        <v>5.672565685</v>
      </c>
      <c r="AX19" s="32">
        <f>IFERROR(__xludf.DUMMYFUNCTION("""COMPUTED_VALUE"""),61.971213924115375)</f>
        <v>61.97121392</v>
      </c>
      <c r="AY19" s="32">
        <f>IFERROR(__xludf.DUMMYFUNCTION("""COMPUTED_VALUE"""),3.1643247944159)</f>
        <v>3.164324794</v>
      </c>
      <c r="AZ19" s="30">
        <f>IFERROR(__xludf.DUMMYFUNCTION("""COMPUTED_VALUE"""),2.50824089062222)</f>
        <v>2.508240891</v>
      </c>
      <c r="BA19" s="30">
        <f>IFERROR(__xludf.DUMMYFUNCTION("""COMPUTED_VALUE"""),2.0)</f>
        <v>2</v>
      </c>
    </row>
    <row r="20">
      <c r="A20" s="30" t="str">
        <f>IFERROR(__xludf.DUMMYFUNCTION("""COMPUTED_VALUE"""),"Premier")</f>
        <v>Premier</v>
      </c>
      <c r="B20" s="71" t="str">
        <f>IFERROR(__xludf.DUMMYFUNCTION("""COMPUTED_VALUE"""),"RSC003804")</f>
        <v>RSC003804</v>
      </c>
      <c r="C20" s="30" t="str">
        <f>IFERROR(__xludf.DUMMYFUNCTION("""COMPUTED_VALUE"""),"ayylo")</f>
        <v>ayylo</v>
      </c>
      <c r="D20" s="30" t="str">
        <f>IFERROR(__xludf.DUMMYFUNCTION("""COMPUTED_VALUE"""),"Hurricanes")</f>
        <v>Hurricanes</v>
      </c>
      <c r="E20" s="30">
        <f>IFERROR(__xludf.DUMMYFUNCTION("""COMPUTED_VALUE"""),31.0)</f>
        <v>31</v>
      </c>
      <c r="F20" s="30">
        <f>IFERROR(__xludf.DUMMYFUNCTION("""COMPUTED_VALUE"""),22.0)</f>
        <v>22</v>
      </c>
      <c r="G20" s="30">
        <f>IFERROR(__xludf.DUMMYFUNCTION("""COMPUTED_VALUE"""),9.0)</f>
        <v>9</v>
      </c>
      <c r="H20" s="42">
        <f>IFERROR(__xludf.DUMMYFUNCTION("""COMPUTED_VALUE"""),0.7096774193548387)</f>
        <v>0.7096774194</v>
      </c>
      <c r="I20" s="42">
        <f>IFERROR(__xludf.DUMMYFUNCTION("""COMPUTED_VALUE"""),0.3103448275862069)</f>
        <v>0.3103448276</v>
      </c>
      <c r="J20" s="30">
        <f>IFERROR(__xludf.DUMMYFUNCTION("""COMPUTED_VALUE"""),368.19354838709677)</f>
        <v>368.1935484</v>
      </c>
      <c r="K20" s="30">
        <f>IFERROR(__xludf.DUMMYFUNCTION("""COMPUTED_VALUE"""),0.8709677419354839)</f>
        <v>0.8709677419</v>
      </c>
      <c r="L20" s="30">
        <f>IFERROR(__xludf.DUMMYFUNCTION("""COMPUTED_VALUE"""),0.3870967741935484)</f>
        <v>0.3870967742</v>
      </c>
      <c r="M20" s="30">
        <f>IFERROR(__xludf.DUMMYFUNCTION("""COMPUTED_VALUE"""),1.6129032258064515)</f>
        <v>1.612903226</v>
      </c>
      <c r="N20" s="30">
        <f>IFERROR(__xludf.DUMMYFUNCTION("""COMPUTED_VALUE"""),2.806451612903226)</f>
        <v>2.806451613</v>
      </c>
      <c r="O20" s="30">
        <f>IFERROR(__xludf.DUMMYFUNCTION("""COMPUTED_VALUE"""),369.5913978494624)</f>
        <v>369.5913978</v>
      </c>
      <c r="P20" s="30">
        <f>IFERROR(__xludf.DUMMYFUNCTION("""COMPUTED_VALUE"""),0.6021505376344085)</f>
        <v>0.6021505376</v>
      </c>
      <c r="Q20" s="30">
        <f>IFERROR(__xludf.DUMMYFUNCTION("""COMPUTED_VALUE"""),0.48387096774193566)</f>
        <v>0.4838709677</v>
      </c>
      <c r="R20" s="30">
        <f>IFERROR(__xludf.DUMMYFUNCTION("""COMPUTED_VALUE"""),1.7741935483870965)</f>
        <v>1.774193548</v>
      </c>
      <c r="S20" s="30">
        <f>IFERROR(__xludf.DUMMYFUNCTION("""COMPUTED_VALUE"""),2.709677419354839)</f>
        <v>2.709677419</v>
      </c>
      <c r="T20" s="30">
        <f>IFERROR(__xludf.DUMMYFUNCTION("""COMPUTED_VALUE"""),376.25214043540467)</f>
        <v>376.2521404</v>
      </c>
      <c r="U20" s="30">
        <f>IFERROR(__xludf.DUMMYFUNCTION("""COMPUTED_VALUE"""),0.8587053435523812)</f>
        <v>0.8587053436</v>
      </c>
      <c r="V20" s="30">
        <f>IFERROR(__xludf.DUMMYFUNCTION("""COMPUTED_VALUE"""),0.6344233262557991)</f>
        <v>0.6344233263</v>
      </c>
      <c r="W20" s="30">
        <f>IFERROR(__xludf.DUMMYFUNCTION("""COMPUTED_VALUE"""),1.4637389122887012)</f>
        <v>1.463738912</v>
      </c>
      <c r="X20" s="30">
        <f>IFERROR(__xludf.DUMMYFUNCTION("""COMPUTED_VALUE"""),2.6913738451902534)</f>
        <v>2.691373845</v>
      </c>
      <c r="Y20" s="30">
        <f>IFERROR(__xludf.DUMMYFUNCTION("""COMPUTED_VALUE"""),380.19159736579206)</f>
        <v>380.1915974</v>
      </c>
      <c r="Z20" s="30">
        <f>IFERROR(__xludf.DUMMYFUNCTION("""COMPUTED_VALUE"""),0.8631603235281892)</f>
        <v>0.8631603235</v>
      </c>
      <c r="AA20" s="30">
        <f>IFERROR(__xludf.DUMMYFUNCTION("""COMPUTED_VALUE"""),0.6732820060934911)</f>
        <v>0.6732820061</v>
      </c>
      <c r="AB20" s="30">
        <f>IFERROR(__xludf.DUMMYFUNCTION("""COMPUTED_VALUE"""),1.442943212482246)</f>
        <v>1.442943212</v>
      </c>
      <c r="AC20" s="30">
        <f>IFERROR(__xludf.DUMMYFUNCTION("""COMPUTED_VALUE"""),2.7633520510779808)</f>
        <v>2.763352051</v>
      </c>
      <c r="AD20" s="30">
        <f>IFERROR(__xludf.DUMMYFUNCTION("""COMPUTED_VALUE"""),0.9684420985055289)</f>
        <v>0.9684420985</v>
      </c>
      <c r="AE20" s="30">
        <f>IFERROR(__xludf.DUMMYFUNCTION("""COMPUTED_VALUE"""),1.0090451544104595)</f>
        <v>1.009045154</v>
      </c>
      <c r="AF20" s="30">
        <f>IFERROR(__xludf.DUMMYFUNCTION("""COMPUTED_VALUE"""),0.5749400261556917)</f>
        <v>0.5749400262</v>
      </c>
      <c r="AG20" s="30">
        <f>IFERROR(__xludf.DUMMYFUNCTION("""COMPUTED_VALUE"""),1.1177870423825127)</f>
        <v>1.117787042</v>
      </c>
      <c r="AH20" s="30">
        <f>IFERROR(__xludf.DUMMYFUNCTION("""COMPUTED_VALUE"""),1.0155968407313256)</f>
        <v>1.015596841</v>
      </c>
      <c r="AI20" s="30">
        <f>IFERROR(__xludf.DUMMYFUNCTION("""COMPUTED_VALUE"""),0.9822971303811472)</f>
        <v>0.9822971304</v>
      </c>
      <c r="AJ20" s="30">
        <f>IFERROR(__xludf.DUMMYFUNCTION("""COMPUTED_VALUE"""),0.7012306865861226)</f>
        <v>0.7012306866</v>
      </c>
      <c r="AK20" s="30">
        <f>IFERROR(__xludf.DUMMYFUNCTION("""COMPUTED_VALUE"""),0.7626941628984795)</f>
        <v>0.7626941629</v>
      </c>
      <c r="AL20" s="30">
        <f>IFERROR(__xludf.DUMMYFUNCTION("""COMPUTED_VALUE"""),1.2120970027455022)</f>
        <v>1.212097003</v>
      </c>
      <c r="AM20" s="30">
        <f>IFERROR(__xludf.DUMMYFUNCTION("""COMPUTED_VALUE"""),1.006800829322651)</f>
        <v>1.006800829</v>
      </c>
      <c r="AN20" s="30">
        <f>IFERROR(__xludf.DUMMYFUNCTION("""COMPUTED_VALUE"""),0.9996754177622686)</f>
        <v>0.9996754178</v>
      </c>
      <c r="AO20" s="30">
        <f>IFERROR(__xludf.DUMMYFUNCTION("""COMPUTED_VALUE"""),1.0871471389075749)</f>
        <v>1.087147139</v>
      </c>
      <c r="AP20" s="30">
        <f>IFERROR(__xludf.DUMMYFUNCTION("""COMPUTED_VALUE"""),0.6365597251216211)</f>
        <v>0.6365597251</v>
      </c>
      <c r="AQ20" s="30">
        <f>IFERROR(__xludf.DUMMYFUNCTION("""COMPUTED_VALUE"""),1.0916804961821314)</f>
        <v>1.091680496</v>
      </c>
      <c r="AR20" s="30">
        <f>IFERROR(__xludf.DUMMYFUNCTION("""COMPUTED_VALUE"""),1.0572817943776933)</f>
        <v>1.057281794</v>
      </c>
      <c r="AS20" s="30">
        <f>IFERROR(__xludf.DUMMYFUNCTION("""COMPUTED_VALUE"""),88.0)</f>
        <v>88</v>
      </c>
      <c r="AT20" s="30">
        <f>IFERROR(__xludf.DUMMYFUNCTION("""COMPUTED_VALUE"""),0.6687085137247877)</f>
        <v>0.6687085137</v>
      </c>
      <c r="AU20" s="30">
        <f>IFERROR(__xludf.DUMMYFUNCTION("""COMPUTED_VALUE"""),2.4738098092752785)</f>
        <v>2.473809809</v>
      </c>
      <c r="AV20" s="32">
        <f>IFERROR(__xludf.DUMMYFUNCTION("""COMPUTED_VALUE"""),48.864201433377374)</f>
        <v>48.86420143</v>
      </c>
      <c r="AW20" s="32">
        <f>IFERROR(__xludf.DUMMYFUNCTION("""COMPUTED_VALUE"""),-2.0751989410692713)</f>
        <v>-2.075198941</v>
      </c>
      <c r="AX20" s="32">
        <f>IFERROR(__xludf.DUMMYFUNCTION("""COMPUTED_VALUE"""),31.53628996256092)</f>
        <v>31.53628996</v>
      </c>
      <c r="AY20" s="32">
        <f>IFERROR(__xludf.DUMMYFUNCTION("""COMPUTED_VALUE"""),-4.346113471475654)</f>
        <v>-4.346113471</v>
      </c>
      <c r="AZ20" s="30">
        <f>IFERROR(__xludf.DUMMYFUNCTION("""COMPUTED_VALUE"""),2.2709145304063827)</f>
        <v>2.27091453</v>
      </c>
      <c r="BA20" s="30">
        <f>IFERROR(__xludf.DUMMYFUNCTION("""COMPUTED_VALUE"""),2.0)</f>
        <v>2</v>
      </c>
    </row>
    <row r="21">
      <c r="A21" s="30" t="str">
        <f>IFERROR(__xludf.DUMMYFUNCTION("""COMPUTED_VALUE"""),"Premier")</f>
        <v>Premier</v>
      </c>
      <c r="B21" s="30" t="str">
        <f>IFERROR(__xludf.DUMMYFUNCTION("""COMPUTED_VALUE"""),"RSC005340")</f>
        <v>RSC005340</v>
      </c>
      <c r="C21" s="30" t="str">
        <f>IFERROR(__xludf.DUMMYFUNCTION("""COMPUTED_VALUE"""),"Mystikal")</f>
        <v>Mystikal</v>
      </c>
      <c r="D21" s="30"/>
      <c r="E21" s="30">
        <f>IFERROR(__xludf.DUMMYFUNCTION("""COMPUTED_VALUE"""),4.0)</f>
        <v>4</v>
      </c>
      <c r="F21" s="30">
        <f>IFERROR(__xludf.DUMMYFUNCTION("""COMPUTED_VALUE"""),0.0)</f>
        <v>0</v>
      </c>
      <c r="G21" s="30">
        <f>IFERROR(__xludf.DUMMYFUNCTION("""COMPUTED_VALUE"""),4.0)</f>
        <v>4</v>
      </c>
      <c r="H21" s="42">
        <f>IFERROR(__xludf.DUMMYFUNCTION("""COMPUTED_VALUE"""),0.0)</f>
        <v>0</v>
      </c>
      <c r="I21" s="42">
        <f>IFERROR(__xludf.DUMMYFUNCTION("""COMPUTED_VALUE"""),0.2857142857142857)</f>
        <v>0.2857142857</v>
      </c>
      <c r="J21" s="30">
        <f>IFERROR(__xludf.DUMMYFUNCTION("""COMPUTED_VALUE"""),272.0)</f>
        <v>272</v>
      </c>
      <c r="K21" s="30">
        <f>IFERROR(__xludf.DUMMYFUNCTION("""COMPUTED_VALUE"""),0.5)</f>
        <v>0.5</v>
      </c>
      <c r="L21" s="30">
        <f>IFERROR(__xludf.DUMMYFUNCTION("""COMPUTED_VALUE"""),0.5)</f>
        <v>0.5</v>
      </c>
      <c r="M21" s="30">
        <f>IFERROR(__xludf.DUMMYFUNCTION("""COMPUTED_VALUE"""),1.0)</f>
        <v>1</v>
      </c>
      <c r="N21" s="30">
        <f>IFERROR(__xludf.DUMMYFUNCTION("""COMPUTED_VALUE"""),1.75)</f>
        <v>1.75</v>
      </c>
      <c r="O21" s="30">
        <f>IFERROR(__xludf.DUMMYFUNCTION("""COMPUTED_VALUE"""),403.66666666666663)</f>
        <v>403.6666667</v>
      </c>
      <c r="P21" s="30">
        <f>IFERROR(__xludf.DUMMYFUNCTION("""COMPUTED_VALUE"""),1.0)</f>
        <v>1</v>
      </c>
      <c r="Q21" s="30">
        <f>IFERROR(__xludf.DUMMYFUNCTION("""COMPUTED_VALUE"""),0.9166666666666666)</f>
        <v>0.9166666667</v>
      </c>
      <c r="R21" s="30">
        <f>IFERROR(__xludf.DUMMYFUNCTION("""COMPUTED_VALUE"""),1.5833333333333333)</f>
        <v>1.583333333</v>
      </c>
      <c r="S21" s="30">
        <f>IFERROR(__xludf.DUMMYFUNCTION("""COMPUTED_VALUE"""),2.916666666666667)</f>
        <v>2.916666667</v>
      </c>
      <c r="T21" s="30">
        <f>IFERROR(__xludf.DUMMYFUNCTION("""COMPUTED_VALUE"""),387.6721739130435)</f>
        <v>387.6721739</v>
      </c>
      <c r="U21" s="30">
        <f>IFERROR(__xludf.DUMMYFUNCTION("""COMPUTED_VALUE"""),0.8360248447204969)</f>
        <v>0.8360248447</v>
      </c>
      <c r="V21" s="30">
        <f>IFERROR(__xludf.DUMMYFUNCTION("""COMPUTED_VALUE"""),0.7586335403726707)</f>
        <v>0.7586335404</v>
      </c>
      <c r="W21" s="30">
        <f>IFERROR(__xludf.DUMMYFUNCTION("""COMPUTED_VALUE"""),1.4966459627329192)</f>
        <v>1.496645963</v>
      </c>
      <c r="X21" s="30">
        <f>IFERROR(__xludf.DUMMYFUNCTION("""COMPUTED_VALUE"""),2.706024844720497)</f>
        <v>2.706024845</v>
      </c>
      <c r="Y21" s="30">
        <f>IFERROR(__xludf.DUMMYFUNCTION("""COMPUTED_VALUE"""),346.9654658385093)</f>
        <v>346.9654658</v>
      </c>
      <c r="Z21" s="30">
        <f>IFERROR(__xludf.DUMMYFUNCTION("""COMPUTED_VALUE"""),0.8257073844030365)</f>
        <v>0.8257073844</v>
      </c>
      <c r="AA21" s="30">
        <f>IFERROR(__xludf.DUMMYFUNCTION("""COMPUTED_VALUE"""),0.6107936507936508)</f>
        <v>0.6107936508</v>
      </c>
      <c r="AB21" s="30">
        <f>IFERROR(__xludf.DUMMYFUNCTION("""COMPUTED_VALUE"""),1.2463630089717046)</f>
        <v>1.246363009</v>
      </c>
      <c r="AC21" s="30">
        <f>IFERROR(__xludf.DUMMYFUNCTION("""COMPUTED_VALUE"""),2.8069841269841276)</f>
        <v>2.806984127</v>
      </c>
      <c r="AD21" s="30">
        <f>IFERROR(__xludf.DUMMYFUNCTION("""COMPUTED_VALUE"""),0.7839396907777529)</f>
        <v>0.7839396908</v>
      </c>
      <c r="AE21" s="30">
        <f>IFERROR(__xludf.DUMMYFUNCTION("""COMPUTED_VALUE"""),0.6055413932884784)</f>
        <v>0.6055413933</v>
      </c>
      <c r="AF21" s="30">
        <f>IFERROR(__xludf.DUMMYFUNCTION("""COMPUTED_VALUE"""),0.8186070686070687)</f>
        <v>0.8186070686</v>
      </c>
      <c r="AG21" s="30">
        <f>IFERROR(__xludf.DUMMYFUNCTION("""COMPUTED_VALUE"""),0.8023344666053888)</f>
        <v>0.8023344666</v>
      </c>
      <c r="AH21" s="30">
        <f>IFERROR(__xludf.DUMMYFUNCTION("""COMPUTED_VALUE"""),0.6234449219633565)</f>
        <v>0.623444922</v>
      </c>
      <c r="AI21" s="30">
        <f>IFERROR(__xludf.DUMMYFUNCTION("""COMPUTED_VALUE"""),1.0412577786849637)</f>
        <v>1.041257779</v>
      </c>
      <c r="AJ21" s="30">
        <f>IFERROR(__xludf.DUMMYFUNCTION("""COMPUTED_VALUE"""),1.1961367013372957)</f>
        <v>1.196136701</v>
      </c>
      <c r="AK21" s="30">
        <f>IFERROR(__xludf.DUMMYFUNCTION("""COMPUTED_VALUE"""),1.208312865018285)</f>
        <v>1.208312865</v>
      </c>
      <c r="AL21" s="30">
        <f>IFERROR(__xludf.DUMMYFUNCTION("""COMPUTED_VALUE"""),1.0579210934041612)</f>
        <v>1.057921093</v>
      </c>
      <c r="AM21" s="30">
        <f>IFERROR(__xludf.DUMMYFUNCTION("""COMPUTED_VALUE"""),1.0778417915700722)</f>
        <v>1.077841792</v>
      </c>
      <c r="AN21" s="30">
        <f>IFERROR(__xludf.DUMMYFUNCTION("""COMPUTED_VALUE"""),0.7385021134196118)</f>
        <v>0.7385021134</v>
      </c>
      <c r="AO21" s="30">
        <f>IFERROR(__xludf.DUMMYFUNCTION("""COMPUTED_VALUE"""),0.6241029871506448)</f>
        <v>0.6241029872</v>
      </c>
      <c r="AP21" s="30">
        <f>IFERROR(__xludf.DUMMYFUNCTION("""COMPUTED_VALUE"""),0.822222978282094)</f>
        <v>0.8222229783</v>
      </c>
      <c r="AQ21" s="30">
        <f>IFERROR(__xludf.DUMMYFUNCTION("""COMPUTED_VALUE"""),0.6768419076329215)</f>
        <v>0.6768419076</v>
      </c>
      <c r="AR21" s="30">
        <f>IFERROR(__xludf.DUMMYFUNCTION("""COMPUTED_VALUE"""),0.6592820384481592)</f>
        <v>0.6592820384</v>
      </c>
      <c r="AS21" s="30">
        <f>IFERROR(__xludf.DUMMYFUNCTION("""COMPUTED_VALUE"""),6.0)</f>
        <v>6</v>
      </c>
      <c r="AT21" s="30">
        <f>IFERROR(__xludf.DUMMYFUNCTION("""COMPUTED_VALUE"""),0.25591176740996385)</f>
        <v>0.2559117674</v>
      </c>
      <c r="AU21" s="30">
        <f>IFERROR(__xludf.DUMMYFUNCTION("""COMPUTED_VALUE"""),1.2736528252756856)</f>
        <v>1.273652825</v>
      </c>
      <c r="AV21" s="32">
        <f>IFERROR(__xludf.DUMMYFUNCTION("""COMPUTED_VALUE"""),15.119167162770637)</f>
        <v>15.11916716</v>
      </c>
      <c r="AW21" s="32">
        <f>IFERROR(__xludf.DUMMYFUNCTION("""COMPUTED_VALUE"""),-12.27404298240199)</f>
        <v>-12.27404298</v>
      </c>
      <c r="AX21" s="32">
        <f>IFERROR(__xludf.DUMMYFUNCTION("""COMPUTED_VALUE"""),13.146822767188922)</f>
        <v>13.14682277</v>
      </c>
      <c r="AY21" s="32">
        <f>IFERROR(__xludf.DUMMYFUNCTION("""COMPUTED_VALUE"""),-14.24020908056375)</f>
        <v>-14.24020908</v>
      </c>
      <c r="AZ21" s="30">
        <f>IFERROR(__xludf.DUMMYFUNCTION("""COMPUTED_VALUE"""),1.966166098161759)</f>
        <v>1.966166098</v>
      </c>
      <c r="BA21" s="30">
        <f>IFERROR(__xludf.DUMMYFUNCTION("""COMPUTED_VALUE"""),2.0)</f>
        <v>2</v>
      </c>
    </row>
    <row r="22">
      <c r="A22" s="30" t="str">
        <f>IFERROR(__xludf.DUMMYFUNCTION("""COMPUTED_VALUE"""),"Premier")</f>
        <v>Premier</v>
      </c>
      <c r="B22" s="71" t="str">
        <f>IFERROR(__xludf.DUMMYFUNCTION("""COMPUTED_VALUE"""),"RSC004580")</f>
        <v>RSC004580</v>
      </c>
      <c r="C22" s="30" t="str">
        <f>IFERROR(__xludf.DUMMYFUNCTION("""COMPUTED_VALUE"""),"Stati_c")</f>
        <v>Stati_c</v>
      </c>
      <c r="D22" s="30"/>
      <c r="E22" s="30">
        <f>IFERROR(__xludf.DUMMYFUNCTION("""COMPUTED_VALUE"""),28.0)</f>
        <v>28</v>
      </c>
      <c r="F22" s="30">
        <f>IFERROR(__xludf.DUMMYFUNCTION("""COMPUTED_VALUE"""),13.0)</f>
        <v>13</v>
      </c>
      <c r="G22" s="30">
        <f>IFERROR(__xludf.DUMMYFUNCTION("""COMPUTED_VALUE"""),15.0)</f>
        <v>15</v>
      </c>
      <c r="H22" s="42">
        <f>IFERROR(__xludf.DUMMYFUNCTION("""COMPUTED_VALUE"""),0.4642857142857143)</f>
        <v>0.4642857143</v>
      </c>
      <c r="I22" s="42">
        <f>IFERROR(__xludf.DUMMYFUNCTION("""COMPUTED_VALUE"""),0.2833333333333333)</f>
        <v>0.2833333333</v>
      </c>
      <c r="J22" s="30">
        <f>IFERROR(__xludf.DUMMYFUNCTION("""COMPUTED_VALUE"""),303.67857142857144)</f>
        <v>303.6785714</v>
      </c>
      <c r="K22" s="30">
        <f>IFERROR(__xludf.DUMMYFUNCTION("""COMPUTED_VALUE"""),0.6071428571428571)</f>
        <v>0.6071428571</v>
      </c>
      <c r="L22" s="30">
        <f>IFERROR(__xludf.DUMMYFUNCTION("""COMPUTED_VALUE"""),0.5357142857142857)</f>
        <v>0.5357142857</v>
      </c>
      <c r="M22" s="30">
        <f>IFERROR(__xludf.DUMMYFUNCTION("""COMPUTED_VALUE"""),1.1071428571428572)</f>
        <v>1.107142857</v>
      </c>
      <c r="N22" s="30">
        <f>IFERROR(__xludf.DUMMYFUNCTION("""COMPUTED_VALUE"""),2.142857142857143)</f>
        <v>2.142857143</v>
      </c>
      <c r="O22" s="30">
        <f>IFERROR(__xludf.DUMMYFUNCTION("""COMPUTED_VALUE"""),394.07142857142856)</f>
        <v>394.0714286</v>
      </c>
      <c r="P22" s="30">
        <f>IFERROR(__xludf.DUMMYFUNCTION("""COMPUTED_VALUE"""),0.9404761904761906)</f>
        <v>0.9404761905</v>
      </c>
      <c r="Q22" s="30">
        <f>IFERROR(__xludf.DUMMYFUNCTION("""COMPUTED_VALUE"""),0.7142857142857143)</f>
        <v>0.7142857143</v>
      </c>
      <c r="R22" s="30">
        <f>IFERROR(__xludf.DUMMYFUNCTION("""COMPUTED_VALUE"""),1.476190476190476)</f>
        <v>1.476190476</v>
      </c>
      <c r="S22" s="30">
        <f>IFERROR(__xludf.DUMMYFUNCTION("""COMPUTED_VALUE"""),2.7380952380952386)</f>
        <v>2.738095238</v>
      </c>
      <c r="T22" s="30">
        <f>IFERROR(__xludf.DUMMYFUNCTION("""COMPUTED_VALUE"""),381.79152604401503)</f>
        <v>381.791526</v>
      </c>
      <c r="U22" s="30">
        <f>IFERROR(__xludf.DUMMYFUNCTION("""COMPUTED_VALUE"""),0.8315819107307137)</f>
        <v>0.8315819107</v>
      </c>
      <c r="V22" s="30">
        <f>IFERROR(__xludf.DUMMYFUNCTION("""COMPUTED_VALUE"""),0.6879444804394748)</f>
        <v>0.6879444804</v>
      </c>
      <c r="W22" s="30">
        <f>IFERROR(__xludf.DUMMYFUNCTION("""COMPUTED_VALUE"""),1.488384390415915)</f>
        <v>1.48838439</v>
      </c>
      <c r="X22" s="30">
        <f>IFERROR(__xludf.DUMMYFUNCTION("""COMPUTED_VALUE"""),2.814145142588256)</f>
        <v>2.814145143</v>
      </c>
      <c r="Y22" s="30">
        <f>IFERROR(__xludf.DUMMYFUNCTION("""COMPUTED_VALUE"""),380.0965848642168)</f>
        <v>380.0965849</v>
      </c>
      <c r="Z22" s="30">
        <f>IFERROR(__xludf.DUMMYFUNCTION("""COMPUTED_VALUE"""),0.8116597578581625)</f>
        <v>0.8116597579</v>
      </c>
      <c r="AA22" s="30">
        <f>IFERROR(__xludf.DUMMYFUNCTION("""COMPUTED_VALUE"""),0.6244795393476512)</f>
        <v>0.6244795393</v>
      </c>
      <c r="AB22" s="30">
        <f>IFERROR(__xludf.DUMMYFUNCTION("""COMPUTED_VALUE"""),1.5332887656833878)</f>
        <v>1.533288766</v>
      </c>
      <c r="AC22" s="30">
        <f>IFERROR(__xludf.DUMMYFUNCTION("""COMPUTED_VALUE"""),2.748038723286585)</f>
        <v>2.748038723</v>
      </c>
      <c r="AD22" s="30">
        <f>IFERROR(__xludf.DUMMYFUNCTION("""COMPUTED_VALUE"""),0.798951065390539)</f>
        <v>0.7989510654</v>
      </c>
      <c r="AE22" s="30">
        <f>IFERROR(__xludf.DUMMYFUNCTION("""COMPUTED_VALUE"""),0.7480263143081135)</f>
        <v>0.7480263143</v>
      </c>
      <c r="AF22" s="30">
        <f>IFERROR(__xludf.DUMMYFUNCTION("""COMPUTED_VALUE"""),0.8578572266337305)</f>
        <v>0.8578572266</v>
      </c>
      <c r="AG22" s="30">
        <f>IFERROR(__xludf.DUMMYFUNCTION("""COMPUTED_VALUE"""),0.7220706770452354)</f>
        <v>0.722070677</v>
      </c>
      <c r="AH22" s="30">
        <f>IFERROR(__xludf.DUMMYFUNCTION("""COMPUTED_VALUE"""),0.7797769095096082)</f>
        <v>0.7797769095</v>
      </c>
      <c r="AI22" s="30">
        <f>IFERROR(__xludf.DUMMYFUNCTION("""COMPUTED_VALUE"""),1.032163894926253)</f>
        <v>1.032163895</v>
      </c>
      <c r="AJ22" s="30">
        <f>IFERROR(__xludf.DUMMYFUNCTION("""COMPUTED_VALUE"""),1.1309483507761624)</f>
        <v>1.130948351</v>
      </c>
      <c r="AK22" s="30">
        <f>IFERROR(__xludf.DUMMYFUNCTION("""COMPUTED_VALUE"""),1.0382897669727826)</f>
        <v>1.038289767</v>
      </c>
      <c r="AL22" s="30">
        <f>IFERROR(__xludf.DUMMYFUNCTION("""COMPUTED_VALUE"""),0.9918072815705682)</f>
        <v>0.9918072816</v>
      </c>
      <c r="AM22" s="30">
        <f>IFERROR(__xludf.DUMMYFUNCTION("""COMPUTED_VALUE"""),0.972975841458173)</f>
        <v>0.9729758415</v>
      </c>
      <c r="AN22" s="30">
        <f>IFERROR(__xludf.DUMMYFUNCTION("""COMPUTED_VALUE"""),0.8245120102950315)</f>
        <v>0.8245120103</v>
      </c>
      <c r="AO22" s="30">
        <f>IFERROR(__xludf.DUMMYFUNCTION("""COMPUTED_VALUE"""),0.7578393415400686)</f>
        <v>0.7578393415</v>
      </c>
      <c r="AP22" s="30">
        <f>IFERROR(__xludf.DUMMYFUNCTION("""COMPUTED_VALUE"""),0.8809531910165292)</f>
        <v>0.880953191</v>
      </c>
      <c r="AQ22" s="30">
        <f>IFERROR(__xludf.DUMMYFUNCTION("""COMPUTED_VALUE"""),0.7493606834507346)</f>
        <v>0.7493606835</v>
      </c>
      <c r="AR22" s="30">
        <f>IFERROR(__xludf.DUMMYFUNCTION("""COMPUTED_VALUE"""),0.8072841287120317)</f>
        <v>0.8072841287</v>
      </c>
      <c r="AS22" s="30">
        <f>IFERROR(__xludf.DUMMYFUNCTION("""COMPUTED_VALUE"""),70.0)</f>
        <v>70</v>
      </c>
      <c r="AT22" s="30">
        <f>IFERROR(__xludf.DUMMYFUNCTION("""COMPUTED_VALUE"""),0.45129806457746646)</f>
        <v>0.4512980646</v>
      </c>
      <c r="AU22" s="30">
        <f>IFERROR(__xludf.DUMMYFUNCTION("""COMPUTED_VALUE"""),1.8023778718018975)</f>
        <v>1.802377872</v>
      </c>
      <c r="AV22" s="32">
        <f>IFERROR(__xludf.DUMMYFUNCTION("""COMPUTED_VALUE"""),29.98542637104202)</f>
        <v>29.98542637</v>
      </c>
      <c r="AW22" s="32">
        <f>IFERROR(__xludf.DUMMYFUNCTION("""COMPUTED_VALUE"""),-4.723965388412978)</f>
        <v>-4.723965388</v>
      </c>
      <c r="AX22" s="32">
        <f>IFERROR(__xludf.DUMMYFUNCTION("""COMPUTED_VALUE"""),24.21410185316978)</f>
        <v>24.21410185</v>
      </c>
      <c r="AY22" s="32">
        <f>IFERROR(__xludf.DUMMYFUNCTION("""COMPUTED_VALUE"""),-6.615146999953301)</f>
        <v>-6.615147</v>
      </c>
      <c r="AZ22" s="30">
        <f>IFERROR(__xludf.DUMMYFUNCTION("""COMPUTED_VALUE"""),1.8911816115403228)</f>
        <v>1.891181612</v>
      </c>
      <c r="BA22" s="30">
        <f>IFERROR(__xludf.DUMMYFUNCTION("""COMPUTED_VALUE"""),2.0)</f>
        <v>2</v>
      </c>
    </row>
    <row r="23">
      <c r="A23" s="30" t="str">
        <f>IFERROR(__xludf.DUMMYFUNCTION("""COMPUTED_VALUE"""),"Premier")</f>
        <v>Premier</v>
      </c>
      <c r="B23" s="71" t="str">
        <f>IFERROR(__xludf.DUMMYFUNCTION("""COMPUTED_VALUE"""),"RSC004924")</f>
        <v>RSC004924</v>
      </c>
      <c r="C23" s="30" t="str">
        <f>IFERROR(__xludf.DUMMYFUNCTION("""COMPUTED_VALUE"""),"comet")</f>
        <v>comet</v>
      </c>
      <c r="D23" s="30" t="str">
        <f>IFERROR(__xludf.DUMMYFUNCTION("""COMPUTED_VALUE"""),"Excavators")</f>
        <v>Excavators</v>
      </c>
      <c r="E23" s="30">
        <f>IFERROR(__xludf.DUMMYFUNCTION("""COMPUTED_VALUE"""),30.0)</f>
        <v>30</v>
      </c>
      <c r="F23" s="30">
        <f>IFERROR(__xludf.DUMMYFUNCTION("""COMPUTED_VALUE"""),24.0)</f>
        <v>24</v>
      </c>
      <c r="G23" s="30">
        <f>IFERROR(__xludf.DUMMYFUNCTION("""COMPUTED_VALUE"""),6.0)</f>
        <v>6</v>
      </c>
      <c r="H23" s="42">
        <f>IFERROR(__xludf.DUMMYFUNCTION("""COMPUTED_VALUE"""),0.8)</f>
        <v>0.8</v>
      </c>
      <c r="I23" s="42">
        <f>IFERROR(__xludf.DUMMYFUNCTION("""COMPUTED_VALUE"""),0.30120481927710846)</f>
        <v>0.3012048193</v>
      </c>
      <c r="J23" s="30">
        <f>IFERROR(__xludf.DUMMYFUNCTION("""COMPUTED_VALUE"""),387.53333333333336)</f>
        <v>387.5333333</v>
      </c>
      <c r="K23" s="30">
        <f>IFERROR(__xludf.DUMMYFUNCTION("""COMPUTED_VALUE"""),0.8333333333333334)</f>
        <v>0.8333333333</v>
      </c>
      <c r="L23" s="30">
        <f>IFERROR(__xludf.DUMMYFUNCTION("""COMPUTED_VALUE"""),0.7333333333333333)</f>
        <v>0.7333333333</v>
      </c>
      <c r="M23" s="30">
        <f>IFERROR(__xludf.DUMMYFUNCTION("""COMPUTED_VALUE"""),1.4)</f>
        <v>1.4</v>
      </c>
      <c r="N23" s="30">
        <f>IFERROR(__xludf.DUMMYFUNCTION("""COMPUTED_VALUE"""),2.7666666666666666)</f>
        <v>2.766666667</v>
      </c>
      <c r="O23" s="30">
        <f>IFERROR(__xludf.DUMMYFUNCTION("""COMPUTED_VALUE"""),336.6777777777778)</f>
        <v>336.6777778</v>
      </c>
      <c r="P23" s="30">
        <f>IFERROR(__xludf.DUMMYFUNCTION("""COMPUTED_VALUE"""),0.5888888888888888)</f>
        <v>0.5888888889</v>
      </c>
      <c r="Q23" s="30">
        <f>IFERROR(__xludf.DUMMYFUNCTION("""COMPUTED_VALUE"""),0.4)</f>
        <v>0.4</v>
      </c>
      <c r="R23" s="30">
        <f>IFERROR(__xludf.DUMMYFUNCTION("""COMPUTED_VALUE"""),1.6111111111111112)</f>
        <v>1.611111111</v>
      </c>
      <c r="S23" s="30">
        <f>IFERROR(__xludf.DUMMYFUNCTION("""COMPUTED_VALUE"""),2.233333333333334)</f>
        <v>2.233333333</v>
      </c>
      <c r="T23" s="30">
        <f>IFERROR(__xludf.DUMMYFUNCTION("""COMPUTED_VALUE"""),374.88425744197207)</f>
        <v>374.8842574</v>
      </c>
      <c r="U23" s="30">
        <f>IFERROR(__xludf.DUMMYFUNCTION("""COMPUTED_VALUE"""),0.7916564252837391)</f>
        <v>0.7916564253</v>
      </c>
      <c r="V23" s="30">
        <f>IFERROR(__xludf.DUMMYFUNCTION("""COMPUTED_VALUE"""),0.603490305813597)</f>
        <v>0.6034903058</v>
      </c>
      <c r="W23" s="30">
        <f>IFERROR(__xludf.DUMMYFUNCTION("""COMPUTED_VALUE"""),1.5461796605228064)</f>
        <v>1.546179661</v>
      </c>
      <c r="X23" s="30">
        <f>IFERROR(__xludf.DUMMYFUNCTION("""COMPUTED_VALUE"""),2.7306367722612395)</f>
        <v>2.730636772</v>
      </c>
      <c r="Y23" s="30">
        <f>IFERROR(__xludf.DUMMYFUNCTION("""COMPUTED_VALUE"""),385.90229520364943)</f>
        <v>385.9022952</v>
      </c>
      <c r="Z23" s="30">
        <f>IFERROR(__xludf.DUMMYFUNCTION("""COMPUTED_VALUE"""),0.8902681741117715)</f>
        <v>0.8902681741</v>
      </c>
      <c r="AA23" s="30">
        <f>IFERROR(__xludf.DUMMYFUNCTION("""COMPUTED_VALUE"""),0.6980450460550607)</f>
        <v>0.6980450461</v>
      </c>
      <c r="AB23" s="30">
        <f>IFERROR(__xludf.DUMMYFUNCTION("""COMPUTED_VALUE"""),1.4415341471988394)</f>
        <v>1.441534147</v>
      </c>
      <c r="AC23" s="30">
        <f>IFERROR(__xludf.DUMMYFUNCTION("""COMPUTED_VALUE"""),2.887841148247433)</f>
        <v>2.887841148</v>
      </c>
      <c r="AD23" s="30">
        <f>IFERROR(__xludf.DUMMYFUNCTION("""COMPUTED_VALUE"""),1.0042265572139788)</f>
        <v>1.004226557</v>
      </c>
      <c r="AE23" s="30">
        <f>IFERROR(__xludf.DUMMYFUNCTION("""COMPUTED_VALUE"""),0.9360475388943983)</f>
        <v>0.9360475389</v>
      </c>
      <c r="AF23" s="30">
        <f>IFERROR(__xludf.DUMMYFUNCTION("""COMPUTED_VALUE"""),1.0505530230143474)</f>
        <v>1.050553023</v>
      </c>
      <c r="AG23" s="30">
        <f>IFERROR(__xludf.DUMMYFUNCTION("""COMPUTED_VALUE"""),0.9711875384432982)</f>
        <v>0.9711875384</v>
      </c>
      <c r="AH23" s="30">
        <f>IFERROR(__xludf.DUMMYFUNCTION("""COMPUTED_VALUE"""),0.9580397690315119)</f>
        <v>0.958039769</v>
      </c>
      <c r="AI23" s="30">
        <f>IFERROR(__xludf.DUMMYFUNCTION("""COMPUTED_VALUE"""),0.8980845983640479)</f>
        <v>0.8980845984</v>
      </c>
      <c r="AJ23" s="30">
        <f>IFERROR(__xludf.DUMMYFUNCTION("""COMPUTED_VALUE"""),0.7438692721755198)</f>
        <v>0.7438692722</v>
      </c>
      <c r="AK23" s="30">
        <f>IFERROR(__xludf.DUMMYFUNCTION("""COMPUTED_VALUE"""),0.6628109783151181)</f>
        <v>0.6628109783</v>
      </c>
      <c r="AL23" s="30">
        <f>IFERROR(__xludf.DUMMYFUNCTION("""COMPUTED_VALUE"""),1.0419947644158956)</f>
        <v>1.041994764</v>
      </c>
      <c r="AM23" s="30">
        <f>IFERROR(__xludf.DUMMYFUNCTION("""COMPUTED_VALUE"""),0.8178800476212408)</f>
        <v>0.8178800476</v>
      </c>
      <c r="AN23" s="30">
        <f>IFERROR(__xludf.DUMMYFUNCTION("""COMPUTED_VALUE"""),1.052184506202991)</f>
        <v>1.052184506</v>
      </c>
      <c r="AO23" s="30">
        <f>IFERROR(__xludf.DUMMYFUNCTION("""COMPUTED_VALUE"""),1.0401716452510748)</f>
        <v>1.040171645</v>
      </c>
      <c r="AP23" s="30">
        <f>IFERROR(__xludf.DUMMYFUNCTION("""COMPUTED_VALUE"""),1.2059270348137376)</f>
        <v>1.205927035</v>
      </c>
      <c r="AQ23" s="30">
        <f>IFERROR(__xludf.DUMMYFUNCTION("""COMPUTED_VALUE"""),0.94757867068609)</f>
        <v>0.9475786707</v>
      </c>
      <c r="AR23" s="30">
        <f>IFERROR(__xludf.DUMMYFUNCTION("""COMPUTED_VALUE"""),1.0422935084037566)</f>
        <v>1.042293508</v>
      </c>
      <c r="AS23" s="30">
        <f>IFERROR(__xludf.DUMMYFUNCTION("""COMPUTED_VALUE"""),91.0)</f>
        <v>91</v>
      </c>
      <c r="AT23" s="30">
        <f>IFERROR(__xludf.DUMMYFUNCTION("""COMPUTED_VALUE"""),0.7001352904919365)</f>
        <v>0.7001352905</v>
      </c>
      <c r="AU23" s="30">
        <f>IFERROR(__xludf.DUMMYFUNCTION("""COMPUTED_VALUE"""),3.127048026188196)</f>
        <v>3.127048026</v>
      </c>
      <c r="AV23" s="32">
        <f>IFERROR(__xludf.DUMMYFUNCTION("""COMPUTED_VALUE"""),67.23142031430663)</f>
        <v>67.23142031</v>
      </c>
      <c r="AW23" s="32">
        <f>IFERROR(__xludf.DUMMYFUNCTION("""COMPUTED_VALUE"""),4.076128461589346)</f>
        <v>4.076128462</v>
      </c>
      <c r="AX23" s="32">
        <f>IFERROR(__xludf.DUMMYFUNCTION("""COMPUTED_VALUE"""),57.45508678172544)</f>
        <v>57.45508678</v>
      </c>
      <c r="AY23" s="32">
        <f>IFERROR(__xludf.DUMMYFUNCTION("""COMPUTED_VALUE"""),2.612508076459881)</f>
        <v>2.612508076</v>
      </c>
      <c r="AZ23" s="30">
        <f>IFERROR(__xludf.DUMMYFUNCTION("""COMPUTED_VALUE"""),1.463620385129465)</f>
        <v>1.463620385</v>
      </c>
      <c r="BA23" s="30">
        <f>IFERROR(__xludf.DUMMYFUNCTION("""COMPUTED_VALUE"""),2.0)</f>
        <v>2</v>
      </c>
    </row>
    <row r="24">
      <c r="A24" s="30" t="str">
        <f>IFERROR(__xludf.DUMMYFUNCTION("""COMPUTED_VALUE"""),"Premier")</f>
        <v>Premier</v>
      </c>
      <c r="B24" s="71" t="str">
        <f>IFERROR(__xludf.DUMMYFUNCTION("""COMPUTED_VALUE"""),"RSC006677")</f>
        <v>RSC006677</v>
      </c>
      <c r="C24" s="30" t="str">
        <f>IFERROR(__xludf.DUMMYFUNCTION("""COMPUTED_VALUE"""),"luigi")</f>
        <v>luigi</v>
      </c>
      <c r="D24" s="30" t="str">
        <f>IFERROR(__xludf.DUMMYFUNCTION("""COMPUTED_VALUE"""),"Punks")</f>
        <v>Punks</v>
      </c>
      <c r="E24" s="30">
        <f>IFERROR(__xludf.DUMMYFUNCTION("""COMPUTED_VALUE"""),36.0)</f>
        <v>36</v>
      </c>
      <c r="F24" s="30">
        <f>IFERROR(__xludf.DUMMYFUNCTION("""COMPUTED_VALUE"""),17.0)</f>
        <v>17</v>
      </c>
      <c r="G24" s="30">
        <f>IFERROR(__xludf.DUMMYFUNCTION("""COMPUTED_VALUE"""),19.0)</f>
        <v>19</v>
      </c>
      <c r="H24" s="42">
        <f>IFERROR(__xludf.DUMMYFUNCTION("""COMPUTED_VALUE"""),0.4722222222222222)</f>
        <v>0.4722222222</v>
      </c>
      <c r="I24" s="42">
        <f>IFERROR(__xludf.DUMMYFUNCTION("""COMPUTED_VALUE"""),0.3225806451612903)</f>
        <v>0.3225806452</v>
      </c>
      <c r="J24" s="30">
        <f>IFERROR(__xludf.DUMMYFUNCTION("""COMPUTED_VALUE"""),388.9166666666667)</f>
        <v>388.9166667</v>
      </c>
      <c r="K24" s="30">
        <f>IFERROR(__xludf.DUMMYFUNCTION("""COMPUTED_VALUE"""),1.1111111111111112)</f>
        <v>1.111111111</v>
      </c>
      <c r="L24" s="30">
        <f>IFERROR(__xludf.DUMMYFUNCTION("""COMPUTED_VALUE"""),0.6666666666666666)</f>
        <v>0.6666666667</v>
      </c>
      <c r="M24" s="30">
        <f>IFERROR(__xludf.DUMMYFUNCTION("""COMPUTED_VALUE"""),1.25)</f>
        <v>1.25</v>
      </c>
      <c r="N24" s="30">
        <f>IFERROR(__xludf.DUMMYFUNCTION("""COMPUTED_VALUE"""),3.4444444444444446)</f>
        <v>3.444444444</v>
      </c>
      <c r="O24" s="30">
        <f>IFERROR(__xludf.DUMMYFUNCTION("""COMPUTED_VALUE"""),368.5462962962963)</f>
        <v>368.5462963</v>
      </c>
      <c r="P24" s="30">
        <f>IFERROR(__xludf.DUMMYFUNCTION("""COMPUTED_VALUE"""),0.8148148148148147)</f>
        <v>0.8148148148</v>
      </c>
      <c r="Q24" s="30">
        <f>IFERROR(__xludf.DUMMYFUNCTION("""COMPUTED_VALUE"""),0.6666666666666665)</f>
        <v>0.6666666667</v>
      </c>
      <c r="R24" s="30">
        <f>IFERROR(__xludf.DUMMYFUNCTION("""COMPUTED_VALUE"""),1.37037037037037)</f>
        <v>1.37037037</v>
      </c>
      <c r="S24" s="30">
        <f>IFERROR(__xludf.DUMMYFUNCTION("""COMPUTED_VALUE"""),2.583333333333334)</f>
        <v>2.583333333</v>
      </c>
      <c r="T24" s="30">
        <f>IFERROR(__xludf.DUMMYFUNCTION("""COMPUTED_VALUE"""),378.4003589201298)</f>
        <v>378.4003589</v>
      </c>
      <c r="U24" s="30">
        <f>IFERROR(__xludf.DUMMYFUNCTION("""COMPUTED_VALUE"""),0.8235086535983653)</f>
        <v>0.8235086536</v>
      </c>
      <c r="V24" s="30">
        <f>IFERROR(__xludf.DUMMYFUNCTION("""COMPUTED_VALUE"""),0.6715462862562256)</f>
        <v>0.6715462863</v>
      </c>
      <c r="W24" s="30">
        <f>IFERROR(__xludf.DUMMYFUNCTION("""COMPUTED_VALUE"""),1.4814346936595006)</f>
        <v>1.481434694</v>
      </c>
      <c r="X24" s="30">
        <f>IFERROR(__xludf.DUMMYFUNCTION("""COMPUTED_VALUE"""),2.684275822504537)</f>
        <v>2.684275823</v>
      </c>
      <c r="Y24" s="30">
        <f>IFERROR(__xludf.DUMMYFUNCTION("""COMPUTED_VALUE"""),374.9531450243783)</f>
        <v>374.953145</v>
      </c>
      <c r="Z24" s="30">
        <f>IFERROR(__xludf.DUMMYFUNCTION("""COMPUTED_VALUE"""),0.8585351157763442)</f>
        <v>0.8585351158</v>
      </c>
      <c r="AA24" s="30">
        <f>IFERROR(__xludf.DUMMYFUNCTION("""COMPUTED_VALUE"""),0.6609887361499618)</f>
        <v>0.6609887361</v>
      </c>
      <c r="AB24" s="30">
        <f>IFERROR(__xludf.DUMMYFUNCTION("""COMPUTED_VALUE"""),1.4095618808526647)</f>
        <v>1.409561881</v>
      </c>
      <c r="AC24" s="30">
        <f>IFERROR(__xludf.DUMMYFUNCTION("""COMPUTED_VALUE"""),2.798498352298782)</f>
        <v>2.798498352</v>
      </c>
      <c r="AD24" s="30">
        <f>IFERROR(__xludf.DUMMYFUNCTION("""COMPUTED_VALUE"""),1.0372407108130286)</f>
        <v>1.037240711</v>
      </c>
      <c r="AE24" s="30">
        <f>IFERROR(__xludf.DUMMYFUNCTION("""COMPUTED_VALUE"""),1.294194134512915)</f>
        <v>1.294194135</v>
      </c>
      <c r="AF24" s="30">
        <f>IFERROR(__xludf.DUMMYFUNCTION("""COMPUTED_VALUE"""),1.008590056390033)</f>
        <v>1.008590056</v>
      </c>
      <c r="AG24" s="30">
        <f>IFERROR(__xludf.DUMMYFUNCTION("""COMPUTED_VALUE"""),0.8868003717891808)</f>
        <v>0.8868003718</v>
      </c>
      <c r="AH24" s="30">
        <f>IFERROR(__xludf.DUMMYFUNCTION("""COMPUTED_VALUE"""),1.2308188216780833)</f>
        <v>1.230818822</v>
      </c>
      <c r="AI24" s="30">
        <f>IFERROR(__xludf.DUMMYFUNCTION("""COMPUTED_VALUE"""),0.973958632988735)</f>
        <v>0.973958633</v>
      </c>
      <c r="AJ24" s="30">
        <f>IFERROR(__xludf.DUMMYFUNCTION("""COMPUTED_VALUE"""),0.9894429296576758)</f>
        <v>0.9894429297</v>
      </c>
      <c r="AK24" s="30">
        <f>IFERROR(__xludf.DUMMYFUNCTION("""COMPUTED_VALUE"""),0.9927337553800465)</f>
        <v>0.9927337554</v>
      </c>
      <c r="AL24" s="30">
        <f>IFERROR(__xludf.DUMMYFUNCTION("""COMPUTED_VALUE"""),0.9250292140689813)</f>
        <v>0.9250292141</v>
      </c>
      <c r="AM24" s="30">
        <f>IFERROR(__xludf.DUMMYFUNCTION("""COMPUTED_VALUE"""),0.9623948894055829)</f>
        <v>0.9623948894</v>
      </c>
      <c r="AN24" s="30">
        <f>IFERROR(__xludf.DUMMYFUNCTION("""COMPUTED_VALUE"""),1.0559403686670736)</f>
        <v>1.055940369</v>
      </c>
      <c r="AO24" s="30">
        <f>IFERROR(__xludf.DUMMYFUNCTION("""COMPUTED_VALUE"""),1.386895527001433)</f>
        <v>1.386895527</v>
      </c>
      <c r="AP24" s="30">
        <f>IFERROR(__xludf.DUMMYFUNCTION("""COMPUTED_VALUE"""),1.0962973043761253)</f>
        <v>1.096297304</v>
      </c>
      <c r="AQ24" s="30">
        <f>IFERROR(__xludf.DUMMYFUNCTION("""COMPUTED_VALUE"""),0.846052384541152)</f>
        <v>0.8460523845</v>
      </c>
      <c r="AR24" s="30">
        <f>IFERROR(__xludf.DUMMYFUNCTION("""COMPUTED_VALUE"""),1.2976344883741548)</f>
        <v>1.297634488</v>
      </c>
      <c r="AS24" s="30">
        <f>IFERROR(__xludf.DUMMYFUNCTION("""COMPUTED_VALUE"""),88.0)</f>
        <v>88</v>
      </c>
      <c r="AT24" s="30">
        <f>IFERROR(__xludf.DUMMYFUNCTION("""COMPUTED_VALUE"""),0.5000000000000001)</f>
        <v>0.5</v>
      </c>
      <c r="AU24" s="30">
        <f>IFERROR(__xludf.DUMMYFUNCTION("""COMPUTED_VALUE"""),3.373532179068236)</f>
        <v>3.373532179</v>
      </c>
      <c r="AV24" s="32">
        <f>IFERROR(__xludf.DUMMYFUNCTION("""COMPUTED_VALUE"""),74.16186049587311)</f>
        <v>74.1618605</v>
      </c>
      <c r="AW24" s="32">
        <f>IFERROR(__xludf.DUMMYFUNCTION("""COMPUTED_VALUE"""),5.991488953291458)</f>
        <v>5.991488953</v>
      </c>
      <c r="AX24" s="32">
        <f>IFERROR(__xludf.DUMMYFUNCTION("""COMPUTED_VALUE"""),70.20757247365404)</f>
        <v>70.20757247</v>
      </c>
      <c r="AY24" s="32">
        <f>IFERROR(__xludf.DUMMYFUNCTION("""COMPUTED_VALUE"""),4.774224145937896)</f>
        <v>4.774224146</v>
      </c>
      <c r="AZ24" s="30">
        <f>IFERROR(__xludf.DUMMYFUNCTION("""COMPUTED_VALUE"""),1.217264807353562)</f>
        <v>1.217264807</v>
      </c>
      <c r="BA24" s="30">
        <f>IFERROR(__xludf.DUMMYFUNCTION("""COMPUTED_VALUE"""),2.0)</f>
        <v>2</v>
      </c>
    </row>
    <row r="25">
      <c r="A25" s="30" t="str">
        <f>IFERROR(__xludf.DUMMYFUNCTION("""COMPUTED_VALUE"""),"Premier")</f>
        <v>Premier</v>
      </c>
      <c r="B25" s="71" t="str">
        <f>IFERROR(__xludf.DUMMYFUNCTION("""COMPUTED_VALUE"""),"RSC005481")</f>
        <v>RSC005481</v>
      </c>
      <c r="C25" s="30" t="str">
        <f>IFERROR(__xludf.DUMMYFUNCTION("""COMPUTED_VALUE"""),"Leonis")</f>
        <v>Leonis</v>
      </c>
      <c r="D25" s="30" t="str">
        <f>IFERROR(__xludf.DUMMYFUNCTION("""COMPUTED_VALUE"""),"Feta Forgers")</f>
        <v>Feta Forgers</v>
      </c>
      <c r="E25" s="30">
        <f>IFERROR(__xludf.DUMMYFUNCTION("""COMPUTED_VALUE"""),34.0)</f>
        <v>34</v>
      </c>
      <c r="F25" s="30">
        <f>IFERROR(__xludf.DUMMYFUNCTION("""COMPUTED_VALUE"""),7.0)</f>
        <v>7</v>
      </c>
      <c r="G25" s="30">
        <f>IFERROR(__xludf.DUMMYFUNCTION("""COMPUTED_VALUE"""),27.0)</f>
        <v>27</v>
      </c>
      <c r="H25" s="42">
        <f>IFERROR(__xludf.DUMMYFUNCTION("""COMPUTED_VALUE"""),0.20588235294117646)</f>
        <v>0.2058823529</v>
      </c>
      <c r="I25" s="42">
        <f>IFERROR(__xludf.DUMMYFUNCTION("""COMPUTED_VALUE"""),0.2121212121212121)</f>
        <v>0.2121212121</v>
      </c>
      <c r="J25" s="30">
        <f>IFERROR(__xludf.DUMMYFUNCTION("""COMPUTED_VALUE"""),356.3529411764706)</f>
        <v>356.3529412</v>
      </c>
      <c r="K25" s="30">
        <f>IFERROR(__xludf.DUMMYFUNCTION("""COMPUTED_VALUE"""),0.4117647058823529)</f>
        <v>0.4117647059</v>
      </c>
      <c r="L25" s="30">
        <f>IFERROR(__xludf.DUMMYFUNCTION("""COMPUTED_VALUE"""),0.7352941176470589)</f>
        <v>0.7352941176</v>
      </c>
      <c r="M25" s="30">
        <f>IFERROR(__xludf.DUMMYFUNCTION("""COMPUTED_VALUE"""),1.911764705882353)</f>
        <v>1.911764706</v>
      </c>
      <c r="N25" s="30">
        <f>IFERROR(__xludf.DUMMYFUNCTION("""COMPUTED_VALUE"""),1.9411764705882353)</f>
        <v>1.941176471</v>
      </c>
      <c r="O25" s="30">
        <f>IFERROR(__xludf.DUMMYFUNCTION("""COMPUTED_VALUE"""),412.34313725490205)</f>
        <v>412.3431373</v>
      </c>
      <c r="P25" s="30">
        <f>IFERROR(__xludf.DUMMYFUNCTION("""COMPUTED_VALUE"""),1.1176470588235292)</f>
        <v>1.117647059</v>
      </c>
      <c r="Q25" s="30">
        <f>IFERROR(__xludf.DUMMYFUNCTION("""COMPUTED_VALUE"""),0.8921568627450979)</f>
        <v>0.8921568627</v>
      </c>
      <c r="R25" s="30">
        <f>IFERROR(__xludf.DUMMYFUNCTION("""COMPUTED_VALUE"""),1.1666666666666665)</f>
        <v>1.166666667</v>
      </c>
      <c r="S25" s="30">
        <f>IFERROR(__xludf.DUMMYFUNCTION("""COMPUTED_VALUE"""),3.3039215686274503)</f>
        <v>3.303921569</v>
      </c>
      <c r="T25" s="30">
        <f>IFERROR(__xludf.DUMMYFUNCTION("""COMPUTED_VALUE"""),381.7754196039991)</f>
        <v>381.7754196</v>
      </c>
      <c r="U25" s="30">
        <f>IFERROR(__xludf.DUMMYFUNCTION("""COMPUTED_VALUE"""),0.8807221648846179)</f>
        <v>0.8807221649</v>
      </c>
      <c r="V25" s="30">
        <f>IFERROR(__xludf.DUMMYFUNCTION("""COMPUTED_VALUE"""),0.6864819744873081)</f>
        <v>0.6864819745</v>
      </c>
      <c r="W25" s="30">
        <f>IFERROR(__xludf.DUMMYFUNCTION("""COMPUTED_VALUE"""),1.437348518760143)</f>
        <v>1.437348519</v>
      </c>
      <c r="X25" s="30">
        <f>IFERROR(__xludf.DUMMYFUNCTION("""COMPUTED_VALUE"""),2.8796176269277534)</f>
        <v>2.879617627</v>
      </c>
      <c r="Y25" s="30">
        <f>IFERROR(__xludf.DUMMYFUNCTION("""COMPUTED_VALUE"""),372.09332783210294)</f>
        <v>372.0933278</v>
      </c>
      <c r="Z25" s="30">
        <f>IFERROR(__xludf.DUMMYFUNCTION("""COMPUTED_VALUE"""),0.8004135578519527)</f>
        <v>0.8004135579</v>
      </c>
      <c r="AA25" s="30">
        <f>IFERROR(__xludf.DUMMYFUNCTION("""COMPUTED_VALUE"""),0.6145732179300842)</f>
        <v>0.6145732179</v>
      </c>
      <c r="AB25" s="30">
        <f>IFERROR(__xludf.DUMMYFUNCTION("""COMPUTED_VALUE"""),1.5168544246190194)</f>
        <v>1.516854425</v>
      </c>
      <c r="AC25" s="30">
        <f>IFERROR(__xludf.DUMMYFUNCTION("""COMPUTED_VALUE"""),2.6804815494965992)</f>
        <v>2.680481549</v>
      </c>
      <c r="AD25" s="30">
        <f>IFERROR(__xludf.DUMMYFUNCTION("""COMPUTED_VALUE"""),0.9576977454894468)</f>
        <v>0.9576977455</v>
      </c>
      <c r="AE25" s="30">
        <f>IFERROR(__xludf.DUMMYFUNCTION("""COMPUTED_VALUE"""),0.5144399440051893)</f>
        <v>0.514439944</v>
      </c>
      <c r="AF25" s="30">
        <f>IFERROR(__xludf.DUMMYFUNCTION("""COMPUTED_VALUE"""),1.1964304596994466)</f>
        <v>1.19643046</v>
      </c>
      <c r="AG25" s="30">
        <f>IFERROR(__xludf.DUMMYFUNCTION("""COMPUTED_VALUE"""),1.2603481750481897)</f>
        <v>1.260348175</v>
      </c>
      <c r="AH25" s="30">
        <f>IFERROR(__xludf.DUMMYFUNCTION("""COMPUTED_VALUE"""),0.7241894542989087)</f>
        <v>0.7241894543</v>
      </c>
      <c r="AI25" s="30">
        <f>IFERROR(__xludf.DUMMYFUNCTION("""COMPUTED_VALUE"""),1.0800672753699272)</f>
        <v>1.080067275</v>
      </c>
      <c r="AJ25" s="30">
        <f>IFERROR(__xludf.DUMMYFUNCTION("""COMPUTED_VALUE"""),1.2690120714402033)</f>
        <v>1.269012071</v>
      </c>
      <c r="AK25" s="30">
        <f>IFERROR(__xludf.DUMMYFUNCTION("""COMPUTED_VALUE"""),1.29960712138348)</f>
        <v>1.299607121</v>
      </c>
      <c r="AL25" s="30">
        <f>IFERROR(__xludf.DUMMYFUNCTION("""COMPUTED_VALUE"""),0.811679736291817)</f>
        <v>0.8116797363</v>
      </c>
      <c r="AM25" s="30">
        <f>IFERROR(__xludf.DUMMYFUNCTION("""COMPUTED_VALUE"""),1.147347320606724)</f>
        <v>1.147347321</v>
      </c>
      <c r="AN25" s="30">
        <f>IFERROR(__xludf.DUMMYFUNCTION("""COMPUTED_VALUE"""),0.967527206551905)</f>
        <v>0.9675272066</v>
      </c>
      <c r="AO25" s="30">
        <f>IFERROR(__xludf.DUMMYFUNCTION("""COMPUTED_VALUE"""),0.5139671658887662)</f>
        <v>0.5139671659</v>
      </c>
      <c r="AP25" s="30">
        <f>IFERROR(__xludf.DUMMYFUNCTION("""COMPUTED_VALUE"""),1.2091514386501383)</f>
        <v>1.209151439</v>
      </c>
      <c r="AQ25" s="30">
        <f>IFERROR(__xludf.DUMMYFUNCTION("""COMPUTED_VALUE"""),1.293962470474703)</f>
        <v>1.29396247</v>
      </c>
      <c r="AR25" s="30">
        <f>IFERROR(__xludf.DUMMYFUNCTION("""COMPUTED_VALUE"""),0.7313044460097229)</f>
        <v>0.731304446</v>
      </c>
      <c r="AS25" s="30">
        <f>IFERROR(__xludf.DUMMYFUNCTION("""COMPUTED_VALUE"""),60.0)</f>
        <v>60</v>
      </c>
      <c r="AT25" s="30">
        <f>IFERROR(__xludf.DUMMYFUNCTION("""COMPUTED_VALUE"""),0.26395575733904725)</f>
        <v>0.2639557573</v>
      </c>
      <c r="AU25" s="30">
        <f>IFERROR(__xludf.DUMMYFUNCTION("""COMPUTED_VALUE"""),1.7820563843779114)</f>
        <v>1.782056384</v>
      </c>
      <c r="AV25" s="32">
        <f>IFERROR(__xludf.DUMMYFUNCTION("""COMPUTED_VALUE"""),29.41404337807154)</f>
        <v>29.41404338</v>
      </c>
      <c r="AW25" s="32">
        <f>IFERROR(__xludf.DUMMYFUNCTION("""COMPUTED_VALUE"""),-4.87497147845241)</f>
        <v>-4.874971478</v>
      </c>
      <c r="AX25" s="32">
        <f>IFERROR(__xludf.DUMMYFUNCTION("""COMPUTED_VALUE"""),34.60241334174896)</f>
        <v>34.60241334</v>
      </c>
      <c r="AY25" s="32">
        <f>IFERROR(__xludf.DUMMYFUNCTION("""COMPUTED_VALUE"""),-3.7177607383864237)</f>
        <v>-3.717760738</v>
      </c>
      <c r="AZ25" s="30">
        <f>IFERROR(__xludf.DUMMYFUNCTION("""COMPUTED_VALUE"""),1.157210740065986)</f>
        <v>1.15721074</v>
      </c>
      <c r="BA25" s="30">
        <f>IFERROR(__xludf.DUMMYFUNCTION("""COMPUTED_VALUE"""),2.0)</f>
        <v>2</v>
      </c>
    </row>
    <row r="26">
      <c r="A26" s="30" t="str">
        <f>IFERROR(__xludf.DUMMYFUNCTION("""COMPUTED_VALUE"""),"Premier")</f>
        <v>Premier</v>
      </c>
      <c r="B26" s="71" t="str">
        <f>IFERROR(__xludf.DUMMYFUNCTION("""COMPUTED_VALUE"""),"RSC001945")</f>
        <v>RSC001945</v>
      </c>
      <c r="C26" s="30" t="str">
        <f>IFERROR(__xludf.DUMMYFUNCTION("""COMPUTED_VALUE"""),"Brody")</f>
        <v>Brody</v>
      </c>
      <c r="D26" s="30"/>
      <c r="E26" s="30">
        <f>IFERROR(__xludf.DUMMYFUNCTION("""COMPUTED_VALUE"""),27.0)</f>
        <v>27</v>
      </c>
      <c r="F26" s="30">
        <f>IFERROR(__xludf.DUMMYFUNCTION("""COMPUTED_VALUE"""),7.0)</f>
        <v>7</v>
      </c>
      <c r="G26" s="30">
        <f>IFERROR(__xludf.DUMMYFUNCTION("""COMPUTED_VALUE"""),20.0)</f>
        <v>20</v>
      </c>
      <c r="H26" s="42">
        <f>IFERROR(__xludf.DUMMYFUNCTION("""COMPUTED_VALUE"""),0.25925925925925924)</f>
        <v>0.2592592593</v>
      </c>
      <c r="I26" s="42">
        <f>IFERROR(__xludf.DUMMYFUNCTION("""COMPUTED_VALUE"""),0.19047619047619047)</f>
        <v>0.1904761905</v>
      </c>
      <c r="J26" s="30">
        <f>IFERROR(__xludf.DUMMYFUNCTION("""COMPUTED_VALUE"""),413.3333333333333)</f>
        <v>413.3333333</v>
      </c>
      <c r="K26" s="30">
        <f>IFERROR(__xludf.DUMMYFUNCTION("""COMPUTED_VALUE"""),0.4444444444444444)</f>
        <v>0.4444444444</v>
      </c>
      <c r="L26" s="30">
        <f>IFERROR(__xludf.DUMMYFUNCTION("""COMPUTED_VALUE"""),0.5185185185185185)</f>
        <v>0.5185185185</v>
      </c>
      <c r="M26" s="30">
        <f>IFERROR(__xludf.DUMMYFUNCTION("""COMPUTED_VALUE"""),2.2962962962962963)</f>
        <v>2.296296296</v>
      </c>
      <c r="N26" s="30">
        <f>IFERROR(__xludf.DUMMYFUNCTION("""COMPUTED_VALUE"""),2.3333333333333335)</f>
        <v>2.333333333</v>
      </c>
      <c r="O26" s="30">
        <f>IFERROR(__xludf.DUMMYFUNCTION("""COMPUTED_VALUE"""),401.59259259259267)</f>
        <v>401.5925926</v>
      </c>
      <c r="P26" s="30">
        <f>IFERROR(__xludf.DUMMYFUNCTION("""COMPUTED_VALUE"""),1.0123456790123455)</f>
        <v>1.012345679</v>
      </c>
      <c r="Q26" s="30">
        <f>IFERROR(__xludf.DUMMYFUNCTION("""COMPUTED_VALUE"""),0.8148148148148148)</f>
        <v>0.8148148148</v>
      </c>
      <c r="R26" s="30">
        <f>IFERROR(__xludf.DUMMYFUNCTION("""COMPUTED_VALUE"""),1.308641975308642)</f>
        <v>1.308641975</v>
      </c>
      <c r="S26" s="30">
        <f>IFERROR(__xludf.DUMMYFUNCTION("""COMPUTED_VALUE"""),3.407407407407408)</f>
        <v>3.407407407</v>
      </c>
      <c r="T26" s="30">
        <f>IFERROR(__xludf.DUMMYFUNCTION("""COMPUTED_VALUE"""),386.41073130699226)</f>
        <v>386.4107313</v>
      </c>
      <c r="U26" s="30">
        <f>IFERROR(__xludf.DUMMYFUNCTION("""COMPUTED_VALUE"""),0.9191590242893917)</f>
        <v>0.9191590243</v>
      </c>
      <c r="V26" s="30">
        <f>IFERROR(__xludf.DUMMYFUNCTION("""COMPUTED_VALUE"""),0.7018964641478525)</f>
        <v>0.7018964641</v>
      </c>
      <c r="W26" s="30">
        <f>IFERROR(__xludf.DUMMYFUNCTION("""COMPUTED_VALUE"""),1.3866347826798318)</f>
        <v>1.386634783</v>
      </c>
      <c r="X26" s="30">
        <f>IFERROR(__xludf.DUMMYFUNCTION("""COMPUTED_VALUE"""),2.9976982974259667)</f>
        <v>2.997698297</v>
      </c>
      <c r="Y26" s="30">
        <f>IFERROR(__xludf.DUMMYFUNCTION("""COMPUTED_VALUE"""),375.6485125485214)</f>
        <v>375.6485125</v>
      </c>
      <c r="Z26" s="30">
        <f>IFERROR(__xludf.DUMMYFUNCTION("""COMPUTED_VALUE"""),0.771609623538782)</f>
        <v>0.7716096235</v>
      </c>
      <c r="AA26" s="30">
        <f>IFERROR(__xludf.DUMMYFUNCTION("""COMPUTED_VALUE"""),0.5885170515836758)</f>
        <v>0.5885170516</v>
      </c>
      <c r="AB26" s="30">
        <f>IFERROR(__xludf.DUMMYFUNCTION("""COMPUTED_VALUE"""),1.5902649351257825)</f>
        <v>1.590264935</v>
      </c>
      <c r="AC26" s="30">
        <f>IFERROR(__xludf.DUMMYFUNCTION("""COMPUTED_VALUE"""),2.581636969137848)</f>
        <v>2.581636969</v>
      </c>
      <c r="AD26" s="30">
        <f>IFERROR(__xludf.DUMMYFUNCTION("""COMPUTED_VALUE"""),1.1003193664448339)</f>
        <v>1.100319366</v>
      </c>
      <c r="AE26" s="30">
        <f>IFERROR(__xludf.DUMMYFUNCTION("""COMPUTED_VALUE"""),0.5759965024880306)</f>
        <v>0.5759965025</v>
      </c>
      <c r="AF26" s="30">
        <f>IFERROR(__xludf.DUMMYFUNCTION("""COMPUTED_VALUE"""),0.8810594648416828)</f>
        <v>0.8810594648</v>
      </c>
      <c r="AG26" s="30">
        <f>IFERROR(__xludf.DUMMYFUNCTION("""COMPUTED_VALUE"""),1.4439709042032485)</f>
        <v>1.443970904</v>
      </c>
      <c r="AH26" s="30">
        <f>IFERROR(__xludf.DUMMYFUNCTION("""COMPUTED_VALUE"""),0.9038193058230659)</f>
        <v>0.9038193058</v>
      </c>
      <c r="AI26" s="30">
        <f>IFERROR(__xludf.DUMMYFUNCTION("""COMPUTED_VALUE"""),1.0392894401101371)</f>
        <v>1.03928944</v>
      </c>
      <c r="AJ26" s="30">
        <f>IFERROR(__xludf.DUMMYFUNCTION("""COMPUTED_VALUE"""),1.1013825162571809)</f>
        <v>1.101382516</v>
      </c>
      <c r="AK26" s="30">
        <f>IFERROR(__xludf.DUMMYFUNCTION("""COMPUTED_VALUE"""),1.1608760785026215)</f>
        <v>1.160876079</v>
      </c>
      <c r="AL26" s="30">
        <f>IFERROR(__xludf.DUMMYFUNCTION("""COMPUTED_VALUE"""),0.9437538937105994)</f>
        <v>0.9437538937</v>
      </c>
      <c r="AM26" s="30">
        <f>IFERROR(__xludf.DUMMYFUNCTION("""COMPUTED_VALUE"""),1.1366745647262921)</f>
        <v>1.136674565</v>
      </c>
      <c r="AN26" s="30">
        <f>IFERROR(__xludf.DUMMYFUNCTION("""COMPUTED_VALUE"""),1.1222336037258807)</f>
        <v>1.122233604</v>
      </c>
      <c r="AO26" s="30">
        <f>IFERROR(__xludf.DUMMYFUNCTION("""COMPUTED_VALUE"""),0.5547582108005731)</f>
        <v>0.5547582108</v>
      </c>
      <c r="AP26" s="30">
        <f>IFERROR(__xludf.DUMMYFUNCTION("""COMPUTED_VALUE"""),0.8526756811814308)</f>
        <v>0.8526756812</v>
      </c>
      <c r="AQ26" s="30">
        <f>IFERROR(__xludf.DUMMYFUNCTION("""COMPUTED_VALUE"""),1.5542295656755976)</f>
        <v>1.554229566</v>
      </c>
      <c r="AR26" s="30">
        <f>IFERROR(__xludf.DUMMYFUNCTION("""COMPUTED_VALUE"""),0.8790427179308791)</f>
        <v>0.8790427179</v>
      </c>
      <c r="AS26" s="30">
        <f>IFERROR(__xludf.DUMMYFUNCTION("""COMPUTED_VALUE"""),41.0)</f>
        <v>41</v>
      </c>
      <c r="AT26" s="30">
        <f>IFERROR(__xludf.DUMMYFUNCTION("""COMPUTED_VALUE"""),0.25519544699869356)</f>
        <v>0.255195447</v>
      </c>
      <c r="AU26" s="30">
        <f>IFERROR(__xludf.DUMMYFUNCTION("""COMPUTED_VALUE"""),1.8901145045503611)</f>
        <v>1.890114505</v>
      </c>
      <c r="AV26" s="32">
        <f>IFERROR(__xludf.DUMMYFUNCTION("""COMPUTED_VALUE"""),32.452333382671384)</f>
        <v>32.45233338</v>
      </c>
      <c r="AW26" s="32">
        <f>IFERROR(__xludf.DUMMYFUNCTION("""COMPUTED_VALUE"""),-4.143039496547973)</f>
        <v>-4.143039497</v>
      </c>
      <c r="AX26" s="32">
        <f>IFERROR(__xludf.DUMMYFUNCTION("""COMPUTED_VALUE"""),39.20973666988346)</f>
        <v>39.20973667</v>
      </c>
      <c r="AY26" s="32">
        <f>IFERROR(__xludf.DUMMYFUNCTION("""COMPUTED_VALUE"""),-3.002892528987627)</f>
        <v>-3.002892529</v>
      </c>
      <c r="AZ26" s="30">
        <f>IFERROR(__xludf.DUMMYFUNCTION("""COMPUTED_VALUE"""),1.1401469675603462)</f>
        <v>1.140146968</v>
      </c>
      <c r="BA26" s="30">
        <f>IFERROR(__xludf.DUMMYFUNCTION("""COMPUTED_VALUE"""),2.0)</f>
        <v>2</v>
      </c>
    </row>
    <row r="27">
      <c r="A27" s="30" t="str">
        <f>IFERROR(__xludf.DUMMYFUNCTION("""COMPUTED_VALUE"""),"Premier")</f>
        <v>Premier</v>
      </c>
      <c r="B27" s="71" t="str">
        <f>IFERROR(__xludf.DUMMYFUNCTION("""COMPUTED_VALUE"""),"RSC007962")</f>
        <v>RSC007962</v>
      </c>
      <c r="C27" s="30" t="str">
        <f>IFERROR(__xludf.DUMMYFUNCTION("""COMPUTED_VALUE"""),"Kamikazi")</f>
        <v>Kamikazi</v>
      </c>
      <c r="D27" s="30"/>
      <c r="E27" s="30">
        <f>IFERROR(__xludf.DUMMYFUNCTION("""COMPUTED_VALUE"""),28.0)</f>
        <v>28</v>
      </c>
      <c r="F27" s="30">
        <f>IFERROR(__xludf.DUMMYFUNCTION("""COMPUTED_VALUE"""),12.0)</f>
        <v>12</v>
      </c>
      <c r="G27" s="30">
        <f>IFERROR(__xludf.DUMMYFUNCTION("""COMPUTED_VALUE"""),16.0)</f>
        <v>16</v>
      </c>
      <c r="H27" s="42">
        <f>IFERROR(__xludf.DUMMYFUNCTION("""COMPUTED_VALUE"""),0.42857142857142855)</f>
        <v>0.4285714286</v>
      </c>
      <c r="I27" s="42">
        <f>IFERROR(__xludf.DUMMYFUNCTION("""COMPUTED_VALUE"""),0.32)</f>
        <v>0.32</v>
      </c>
      <c r="J27" s="30">
        <f>IFERROR(__xludf.DUMMYFUNCTION("""COMPUTED_VALUE"""),367.39285714285717)</f>
        <v>367.3928571</v>
      </c>
      <c r="K27" s="30">
        <f>IFERROR(__xludf.DUMMYFUNCTION("""COMPUTED_VALUE"""),0.8571428571428571)</f>
        <v>0.8571428571</v>
      </c>
      <c r="L27" s="30">
        <f>IFERROR(__xludf.DUMMYFUNCTION("""COMPUTED_VALUE"""),0.2857142857142857)</f>
        <v>0.2857142857</v>
      </c>
      <c r="M27" s="30">
        <f>IFERROR(__xludf.DUMMYFUNCTION("""COMPUTED_VALUE"""),1.7142857142857142)</f>
        <v>1.714285714</v>
      </c>
      <c r="N27" s="30">
        <f>IFERROR(__xludf.DUMMYFUNCTION("""COMPUTED_VALUE"""),2.6785714285714284)</f>
        <v>2.678571429</v>
      </c>
      <c r="O27" s="30">
        <f>IFERROR(__xludf.DUMMYFUNCTION("""COMPUTED_VALUE"""),399.7857142857143)</f>
        <v>399.7857143</v>
      </c>
      <c r="P27" s="30">
        <f>IFERROR(__xludf.DUMMYFUNCTION("""COMPUTED_VALUE"""),0.9642857142857144)</f>
        <v>0.9642857143</v>
      </c>
      <c r="Q27" s="30">
        <f>IFERROR(__xludf.DUMMYFUNCTION("""COMPUTED_VALUE"""),0.7857142857142858)</f>
        <v>0.7857142857</v>
      </c>
      <c r="R27" s="30">
        <f>IFERROR(__xludf.DUMMYFUNCTION("""COMPUTED_VALUE"""),1.4404761904761902)</f>
        <v>1.44047619</v>
      </c>
      <c r="S27" s="30">
        <f>IFERROR(__xludf.DUMMYFUNCTION("""COMPUTED_VALUE"""),3.0952380952380953)</f>
        <v>3.095238095</v>
      </c>
      <c r="T27" s="30">
        <f>IFERROR(__xludf.DUMMYFUNCTION("""COMPUTED_VALUE"""),382.28579515139376)</f>
        <v>382.2857952</v>
      </c>
      <c r="U27" s="30">
        <f>IFERROR(__xludf.DUMMYFUNCTION("""COMPUTED_VALUE"""),0.9275354586278954)</f>
        <v>0.9275354586</v>
      </c>
      <c r="V27" s="30">
        <f>IFERROR(__xludf.DUMMYFUNCTION("""COMPUTED_VALUE"""),0.7718531857187323)</f>
        <v>0.7718531857</v>
      </c>
      <c r="W27" s="30">
        <f>IFERROR(__xludf.DUMMYFUNCTION("""COMPUTED_VALUE"""),1.2982037259348187)</f>
        <v>1.298203726</v>
      </c>
      <c r="X27" s="30">
        <f>IFERROR(__xludf.DUMMYFUNCTION("""COMPUTED_VALUE"""),2.920630474411987)</f>
        <v>2.920630474</v>
      </c>
      <c r="Y27" s="30">
        <f>IFERROR(__xludf.DUMMYFUNCTION("""COMPUTED_VALUE"""),360.2099720443734)</f>
        <v>360.209972</v>
      </c>
      <c r="Z27" s="30">
        <f>IFERROR(__xludf.DUMMYFUNCTION("""COMPUTED_VALUE"""),0.7342056266951223)</f>
        <v>0.7342056267</v>
      </c>
      <c r="AA27" s="30">
        <f>IFERROR(__xludf.DUMMYFUNCTION("""COMPUTED_VALUE"""),0.5632452981192475)</f>
        <v>0.5632452981</v>
      </c>
      <c r="AB27" s="30">
        <f>IFERROR(__xludf.DUMMYFUNCTION("""COMPUTED_VALUE"""),1.504789971544173)</f>
        <v>1.504789972</v>
      </c>
      <c r="AC27" s="30">
        <f>IFERROR(__xludf.DUMMYFUNCTION("""COMPUTED_VALUE"""),2.4223533857987642)</f>
        <v>2.422353386</v>
      </c>
      <c r="AD27" s="30">
        <f>IFERROR(__xludf.DUMMYFUNCTION("""COMPUTED_VALUE"""),1.0199408280057247)</f>
        <v>1.019940828</v>
      </c>
      <c r="AE27" s="30">
        <f>IFERROR(__xludf.DUMMYFUNCTION("""COMPUTED_VALUE"""),1.1674425065374556)</f>
        <v>1.167442507</v>
      </c>
      <c r="AF27" s="30">
        <f>IFERROR(__xludf.DUMMYFUNCTION("""COMPUTED_VALUE"""),0.5072643955809741)</f>
        <v>0.5072643956</v>
      </c>
      <c r="AG27" s="30">
        <f>IFERROR(__xludf.DUMMYFUNCTION("""COMPUTED_VALUE"""),1.1392192576393652)</f>
        <v>1.139219258</v>
      </c>
      <c r="AH27" s="30">
        <f>IFERROR(__xludf.DUMMYFUNCTION("""COMPUTED_VALUE"""),1.1057723634688326)</f>
        <v>1.105772363</v>
      </c>
      <c r="AI27" s="30">
        <f>IFERROR(__xludf.DUMMYFUNCTION("""COMPUTED_VALUE"""),1.0457770583063128)</f>
        <v>1.045777058</v>
      </c>
      <c r="AJ27" s="30">
        <f>IFERROR(__xludf.DUMMYFUNCTION("""COMPUTED_VALUE"""),1.0396214024121337)</f>
        <v>1.039621402</v>
      </c>
      <c r="AK27" s="30">
        <f>IFERROR(__xludf.DUMMYFUNCTION("""COMPUTED_VALUE"""),1.0179582079235008)</f>
        <v>1.017958208</v>
      </c>
      <c r="AL27" s="30">
        <f>IFERROR(__xludf.DUMMYFUNCTION("""COMPUTED_VALUE"""),1.1095917857106157)</f>
        <v>1.109591786</v>
      </c>
      <c r="AM27" s="30">
        <f>IFERROR(__xludf.DUMMYFUNCTION("""COMPUTED_VALUE"""),1.0597842220561169)</f>
        <v>1.059784222</v>
      </c>
      <c r="AN27" s="30">
        <f>IFERROR(__xludf.DUMMYFUNCTION("""COMPUTED_VALUE"""),0.997501475938491)</f>
        <v>0.9975014759</v>
      </c>
      <c r="AO27" s="30">
        <f>IFERROR(__xludf.DUMMYFUNCTION("""COMPUTED_VALUE"""),1.069890835115391)</f>
        <v>1.069890835</v>
      </c>
      <c r="AP27" s="30">
        <f>IFERROR(__xludf.DUMMYFUNCTION("""COMPUTED_VALUE"""),0.46984170187548224)</f>
        <v>0.4698417019</v>
      </c>
      <c r="AQ27" s="30">
        <f>IFERROR(__xludf.DUMMYFUNCTION("""COMPUTED_VALUE"""),1.1603004130850083)</f>
        <v>1.160300413</v>
      </c>
      <c r="AR27" s="30">
        <f>IFERROR(__xludf.DUMMYFUNCTION("""COMPUTED_VALUE"""),1.0091051608900397)</f>
        <v>1.009105161</v>
      </c>
      <c r="AS27" s="30">
        <f>IFERROR(__xludf.DUMMYFUNCTION("""COMPUTED_VALUE"""),57.0)</f>
        <v>57</v>
      </c>
      <c r="AT27" s="30">
        <f>IFERROR(__xludf.DUMMYFUNCTION("""COMPUTED_VALUE"""),0.3646112294033368)</f>
        <v>0.3646112294</v>
      </c>
      <c r="AU27" s="30">
        <f>IFERROR(__xludf.DUMMYFUNCTION("""COMPUTED_VALUE"""),2.170797211839839)</f>
        <v>2.170797212</v>
      </c>
      <c r="AV27" s="32">
        <f>IFERROR(__xludf.DUMMYFUNCTION("""COMPUTED_VALUE"""),40.344340597498636)</f>
        <v>40.3443406</v>
      </c>
      <c r="AW27" s="32">
        <f>IFERROR(__xludf.DUMMYFUNCTION("""COMPUTED_VALUE"""),-2.8598841741550567)</f>
        <v>-2.859884174</v>
      </c>
      <c r="AX27" s="32">
        <f>IFERROR(__xludf.DUMMYFUNCTION("""COMPUTED_VALUE"""),33.34584011054908)</f>
        <v>33.34584011</v>
      </c>
      <c r="AY27" s="32">
        <f>IFERROR(__xludf.DUMMYFUNCTION("""COMPUTED_VALUE"""),-3.9580075224481432)</f>
        <v>-3.958007522</v>
      </c>
      <c r="AZ27" s="30">
        <f>IFERROR(__xludf.DUMMYFUNCTION("""COMPUTED_VALUE"""),1.0981233482930866)</f>
        <v>1.098123348</v>
      </c>
      <c r="BA27" s="30">
        <f>IFERROR(__xludf.DUMMYFUNCTION("""COMPUTED_VALUE"""),2.0)</f>
        <v>2</v>
      </c>
    </row>
    <row r="28">
      <c r="A28" s="30" t="str">
        <f>IFERROR(__xludf.DUMMYFUNCTION("""COMPUTED_VALUE"""),"Premier")</f>
        <v>Premier</v>
      </c>
      <c r="B28" s="71" t="str">
        <f>IFERROR(__xludf.DUMMYFUNCTION("""COMPUTED_VALUE"""),"RSC007541")</f>
        <v>RSC007541</v>
      </c>
      <c r="C28" s="30" t="str">
        <f>IFERROR(__xludf.DUMMYFUNCTION("""COMPUTED_VALUE"""),"Water RL")</f>
        <v>Water RL</v>
      </c>
      <c r="D28" s="30" t="str">
        <f>IFERROR(__xludf.DUMMYFUNCTION("""COMPUTED_VALUE"""),"Interstellar")</f>
        <v>Interstellar</v>
      </c>
      <c r="E28" s="30">
        <f>IFERROR(__xludf.DUMMYFUNCTION("""COMPUTED_VALUE"""),28.0)</f>
        <v>28</v>
      </c>
      <c r="F28" s="30">
        <f>IFERROR(__xludf.DUMMYFUNCTION("""COMPUTED_VALUE"""),13.0)</f>
        <v>13</v>
      </c>
      <c r="G28" s="30">
        <f>IFERROR(__xludf.DUMMYFUNCTION("""COMPUTED_VALUE"""),15.0)</f>
        <v>15</v>
      </c>
      <c r="H28" s="42">
        <f>IFERROR(__xludf.DUMMYFUNCTION("""COMPUTED_VALUE"""),0.4642857142857143)</f>
        <v>0.4642857143</v>
      </c>
      <c r="I28" s="42">
        <f>IFERROR(__xludf.DUMMYFUNCTION("""COMPUTED_VALUE"""),0.33333333333333337)</f>
        <v>0.3333333333</v>
      </c>
      <c r="J28" s="30">
        <f>IFERROR(__xludf.DUMMYFUNCTION("""COMPUTED_VALUE"""),413.07142857142856)</f>
        <v>413.0714286</v>
      </c>
      <c r="K28" s="30">
        <f>IFERROR(__xludf.DUMMYFUNCTION("""COMPUTED_VALUE"""),0.8928571428571429)</f>
        <v>0.8928571429</v>
      </c>
      <c r="L28" s="30">
        <f>IFERROR(__xludf.DUMMYFUNCTION("""COMPUTED_VALUE"""),0.75)</f>
        <v>0.75</v>
      </c>
      <c r="M28" s="30">
        <f>IFERROR(__xludf.DUMMYFUNCTION("""COMPUTED_VALUE"""),1.7142857142857142)</f>
        <v>1.714285714</v>
      </c>
      <c r="N28" s="30">
        <f>IFERROR(__xludf.DUMMYFUNCTION("""COMPUTED_VALUE"""),2.6785714285714284)</f>
        <v>2.678571429</v>
      </c>
      <c r="O28" s="30">
        <f>IFERROR(__xludf.DUMMYFUNCTION("""COMPUTED_VALUE"""),356.38095238095235)</f>
        <v>356.3809524</v>
      </c>
      <c r="P28" s="30">
        <f>IFERROR(__xludf.DUMMYFUNCTION("""COMPUTED_VALUE"""),0.880952380952381)</f>
        <v>0.880952381</v>
      </c>
      <c r="Q28" s="30">
        <f>IFERROR(__xludf.DUMMYFUNCTION("""COMPUTED_VALUE"""),0.7023809523809524)</f>
        <v>0.7023809524</v>
      </c>
      <c r="R28" s="30">
        <f>IFERROR(__xludf.DUMMYFUNCTION("""COMPUTED_VALUE"""),1.1190476190476188)</f>
        <v>1.119047619</v>
      </c>
      <c r="S28" s="30">
        <f>IFERROR(__xludf.DUMMYFUNCTION("""COMPUTED_VALUE"""),3.023809523809524)</f>
        <v>3.023809524</v>
      </c>
      <c r="T28" s="30">
        <f>IFERROR(__xludf.DUMMYFUNCTION("""COMPUTED_VALUE"""),370.24950538514867)</f>
        <v>370.2495054</v>
      </c>
      <c r="U28" s="30">
        <f>IFERROR(__xludf.DUMMYFUNCTION("""COMPUTED_VALUE"""),0.8124479228247007)</f>
        <v>0.8124479228</v>
      </c>
      <c r="V28" s="30">
        <f>IFERROR(__xludf.DUMMYFUNCTION("""COMPUTED_VALUE"""),0.609762851265594)</f>
        <v>0.6097628513</v>
      </c>
      <c r="W28" s="30">
        <f>IFERROR(__xludf.DUMMYFUNCTION("""COMPUTED_VALUE"""),1.4455870966314535)</f>
        <v>1.445587097</v>
      </c>
      <c r="X28" s="30">
        <f>IFERROR(__xludf.DUMMYFUNCTION("""COMPUTED_VALUE"""),2.8112620978747684)</f>
        <v>2.811262098</v>
      </c>
      <c r="Y28" s="30">
        <f>IFERROR(__xludf.DUMMYFUNCTION("""COMPUTED_VALUE"""),385.5531497870794)</f>
        <v>385.5531498</v>
      </c>
      <c r="Z28" s="30">
        <f>IFERROR(__xludf.DUMMYFUNCTION("""COMPUTED_VALUE"""),0.8645673827487469)</f>
        <v>0.8645673827</v>
      </c>
      <c r="AA28" s="30">
        <f>IFERROR(__xludf.DUMMYFUNCTION("""COMPUTED_VALUE"""),0.695191198617637)</f>
        <v>0.6951911986</v>
      </c>
      <c r="AB28" s="30">
        <f>IFERROR(__xludf.DUMMYFUNCTION("""COMPUTED_VALUE"""),1.4802729576078686)</f>
        <v>1.480272958</v>
      </c>
      <c r="AC28" s="30">
        <f>IFERROR(__xludf.DUMMYFUNCTION("""COMPUTED_VALUE"""),2.7413951578556346)</f>
        <v>2.741395158</v>
      </c>
      <c r="AD28" s="30">
        <f>IFERROR(__xludf.DUMMYFUNCTION("""COMPUTED_VALUE"""),1.0713735027182272)</f>
        <v>1.071373503</v>
      </c>
      <c r="AE28" s="30">
        <f>IFERROR(__xludf.DUMMYFUNCTION("""COMPUTED_VALUE"""),1.032721290061225)</f>
        <v>1.03272129</v>
      </c>
      <c r="AF28" s="30">
        <f>IFERROR(__xludf.DUMMYFUNCTION("""COMPUTED_VALUE"""),1.0788398954005003)</f>
        <v>1.078839895</v>
      </c>
      <c r="AG28" s="30">
        <f>IFERROR(__xludf.DUMMYFUNCTION("""COMPUTED_VALUE"""),1.1580875712652428)</f>
        <v>1.158087571</v>
      </c>
      <c r="AH28" s="30">
        <f>IFERROR(__xludf.DUMMYFUNCTION("""COMPUTED_VALUE"""),0.9770833004121346)</f>
        <v>0.9770833004</v>
      </c>
      <c r="AI28" s="30">
        <f>IFERROR(__xludf.DUMMYFUNCTION("""COMPUTED_VALUE"""),0.9625426832379703)</f>
        <v>0.9625426832</v>
      </c>
      <c r="AJ28" s="30">
        <f>IFERROR(__xludf.DUMMYFUNCTION("""COMPUTED_VALUE"""),1.0843185836324198)</f>
        <v>1.084318584</v>
      </c>
      <c r="AK28" s="30">
        <f>IFERROR(__xludf.DUMMYFUNCTION("""COMPUTED_VALUE"""),1.1518920034618783)</f>
        <v>1.151892003</v>
      </c>
      <c r="AL28" s="30">
        <f>IFERROR(__xludf.DUMMYFUNCTION("""COMPUTED_VALUE"""),0.7741128996345181)</f>
        <v>0.7741128996</v>
      </c>
      <c r="AM28" s="30">
        <f>IFERROR(__xludf.DUMMYFUNCTION("""COMPUTED_VALUE"""),1.0756056954260633)</f>
        <v>1.075605695</v>
      </c>
      <c r="AN28" s="30">
        <f>IFERROR(__xludf.DUMMYFUNCTION("""COMPUTED_VALUE"""),1.1215225110046259)</f>
        <v>1.121522511</v>
      </c>
      <c r="AO28" s="30">
        <f>IFERROR(__xludf.DUMMYFUNCTION("""COMPUTED_VALUE"""),1.1144696199118658)</f>
        <v>1.11446962</v>
      </c>
      <c r="AP28" s="30">
        <f>IFERROR(__xludf.DUMMYFUNCTION("""COMPUTED_VALUE"""),1.233334467423141)</f>
        <v>1.233334467</v>
      </c>
      <c r="AQ28" s="30">
        <f>IFERROR(__xludf.DUMMYFUNCTION("""COMPUTED_VALUE"""),1.1603004130850083)</f>
        <v>1.160300413</v>
      </c>
      <c r="AR28" s="30">
        <f>IFERROR(__xludf.DUMMYFUNCTION("""COMPUTED_VALUE"""),1.0091051608900397)</f>
        <v>1.009105161</v>
      </c>
      <c r="AS28" s="30">
        <f>IFERROR(__xludf.DUMMYFUNCTION("""COMPUTED_VALUE"""),68.0)</f>
        <v>68</v>
      </c>
      <c r="AT28" s="30">
        <f>IFERROR(__xludf.DUMMYFUNCTION("""COMPUTED_VALUE"""),0.4663637529746043)</f>
        <v>0.466363753</v>
      </c>
      <c r="AU28" s="30">
        <f>IFERROR(__xludf.DUMMYFUNCTION("""COMPUTED_VALUE"""),2.859656447148579)</f>
        <v>2.859656447</v>
      </c>
      <c r="AV28" s="32">
        <f>IFERROR(__xludf.DUMMYFUNCTION("""COMPUTED_VALUE"""),59.713122192761396)</f>
        <v>59.71312219</v>
      </c>
      <c r="AW28" s="32">
        <f>IFERROR(__xludf.DUMMYFUNCTION("""COMPUTED_VALUE"""),2.8668588874256717)</f>
        <v>2.866858887</v>
      </c>
      <c r="AX28" s="32">
        <f>IFERROR(__xludf.DUMMYFUNCTION("""COMPUTED_VALUE"""),66.31781538285337)</f>
        <v>66.31781538</v>
      </c>
      <c r="AY28" s="32">
        <f>IFERROR(__xludf.DUMMYFUNCTION("""COMPUTED_VALUE"""),3.8914929718222417)</f>
        <v>3.891492972</v>
      </c>
      <c r="AZ28" s="30">
        <f>IFERROR(__xludf.DUMMYFUNCTION("""COMPUTED_VALUE"""),1.02463408439657)</f>
        <v>1.024634084</v>
      </c>
      <c r="BA28" s="30">
        <f>IFERROR(__xludf.DUMMYFUNCTION("""COMPUTED_VALUE"""),2.0)</f>
        <v>2</v>
      </c>
    </row>
    <row r="29">
      <c r="A29" s="30" t="str">
        <f>IFERROR(__xludf.DUMMYFUNCTION("""COMPUTED_VALUE"""),"Premier")</f>
        <v>Premier</v>
      </c>
      <c r="B29" s="30" t="str">
        <f>IFERROR(__xludf.DUMMYFUNCTION("""COMPUTED_VALUE"""),"RSC007150")</f>
        <v>RSC007150</v>
      </c>
      <c r="C29" s="30" t="str">
        <f>IFERROR(__xludf.DUMMYFUNCTION("""COMPUTED_VALUE"""),"peach")</f>
        <v>peach</v>
      </c>
      <c r="D29" s="30" t="str">
        <f>IFERROR(__xludf.DUMMYFUNCTION("""COMPUTED_VALUE"""),"Fairies")</f>
        <v>Fairies</v>
      </c>
      <c r="E29" s="30">
        <f>IFERROR(__xludf.DUMMYFUNCTION("""COMPUTED_VALUE"""),28.0)</f>
        <v>28</v>
      </c>
      <c r="F29" s="30">
        <f>IFERROR(__xludf.DUMMYFUNCTION("""COMPUTED_VALUE"""),7.0)</f>
        <v>7</v>
      </c>
      <c r="G29" s="30">
        <f>IFERROR(__xludf.DUMMYFUNCTION("""COMPUTED_VALUE"""),21.0)</f>
        <v>21</v>
      </c>
      <c r="H29" s="42">
        <f>IFERROR(__xludf.DUMMYFUNCTION("""COMPUTED_VALUE"""),0.25)</f>
        <v>0.25</v>
      </c>
      <c r="I29" s="42">
        <f>IFERROR(__xludf.DUMMYFUNCTION("""COMPUTED_VALUE"""),0.16176470588235295)</f>
        <v>0.1617647059</v>
      </c>
      <c r="J29" s="30">
        <f>IFERROR(__xludf.DUMMYFUNCTION("""COMPUTED_VALUE"""),303.42857142857144)</f>
        <v>303.4285714</v>
      </c>
      <c r="K29" s="30">
        <f>IFERROR(__xludf.DUMMYFUNCTION("""COMPUTED_VALUE"""),0.39285714285714285)</f>
        <v>0.3928571429</v>
      </c>
      <c r="L29" s="30">
        <f>IFERROR(__xludf.DUMMYFUNCTION("""COMPUTED_VALUE"""),0.39285714285714285)</f>
        <v>0.3928571429</v>
      </c>
      <c r="M29" s="30">
        <f>IFERROR(__xludf.DUMMYFUNCTION("""COMPUTED_VALUE"""),1.4285714285714286)</f>
        <v>1.428571429</v>
      </c>
      <c r="N29" s="30">
        <f>IFERROR(__xludf.DUMMYFUNCTION("""COMPUTED_VALUE"""),2.4285714285714284)</f>
        <v>2.428571429</v>
      </c>
      <c r="O29" s="30">
        <f>IFERROR(__xludf.DUMMYFUNCTION("""COMPUTED_VALUE"""),400.11904761904765)</f>
        <v>400.1190476</v>
      </c>
      <c r="P29" s="30">
        <f>IFERROR(__xludf.DUMMYFUNCTION("""COMPUTED_VALUE"""),0.9642857142857142)</f>
        <v>0.9642857143</v>
      </c>
      <c r="Q29" s="30">
        <f>IFERROR(__xludf.DUMMYFUNCTION("""COMPUTED_VALUE"""),0.8095238095238094)</f>
        <v>0.8095238095</v>
      </c>
      <c r="R29" s="30">
        <f>IFERROR(__xludf.DUMMYFUNCTION("""COMPUTED_VALUE"""),1.440476190476191)</f>
        <v>1.44047619</v>
      </c>
      <c r="S29" s="30">
        <f>IFERROR(__xludf.DUMMYFUNCTION("""COMPUTED_VALUE"""),3.2142857142857144)</f>
        <v>3.214285714</v>
      </c>
      <c r="T29" s="30">
        <f>IFERROR(__xludf.DUMMYFUNCTION("""COMPUTED_VALUE"""),384.94094153946844)</f>
        <v>384.9409415</v>
      </c>
      <c r="U29" s="30">
        <f>IFERROR(__xludf.DUMMYFUNCTION("""COMPUTED_VALUE"""),0.8936518231752402)</f>
        <v>0.8936518232</v>
      </c>
      <c r="V29" s="30">
        <f>IFERROR(__xludf.DUMMYFUNCTION("""COMPUTED_VALUE"""),0.6918516862631148)</f>
        <v>0.6918516863</v>
      </c>
      <c r="W29" s="30">
        <f>IFERROR(__xludf.DUMMYFUNCTION("""COMPUTED_VALUE"""),1.4345496879148307)</f>
        <v>1.434549688</v>
      </c>
      <c r="X29" s="30">
        <f>IFERROR(__xludf.DUMMYFUNCTION("""COMPUTED_VALUE"""),2.833645516559026)</f>
        <v>2.833645517</v>
      </c>
      <c r="Y29" s="30">
        <f>IFERROR(__xludf.DUMMYFUNCTION("""COMPUTED_VALUE"""),369.6012852005368)</f>
        <v>369.6012852</v>
      </c>
      <c r="Z29" s="30">
        <f>IFERROR(__xludf.DUMMYFUNCTION("""COMPUTED_VALUE"""),0.7976551447767851)</f>
        <v>0.7976551448</v>
      </c>
      <c r="AA29" s="30">
        <f>IFERROR(__xludf.DUMMYFUNCTION("""COMPUTED_VALUE"""),0.6056381451215964)</f>
        <v>0.6056381451</v>
      </c>
      <c r="AB29" s="30">
        <f>IFERROR(__xludf.DUMMYFUNCTION("""COMPUTED_VALUE"""),1.4861972169578057)</f>
        <v>1.486197217</v>
      </c>
      <c r="AC29" s="30">
        <f>IFERROR(__xludf.DUMMYFUNCTION("""COMPUTED_VALUE"""),2.688572747812575)</f>
        <v>2.688572748</v>
      </c>
      <c r="AD29" s="30">
        <f>IFERROR(__xludf.DUMMYFUNCTION("""COMPUTED_VALUE"""),0.8209618948265789)</f>
        <v>0.8209618948</v>
      </c>
      <c r="AE29" s="30">
        <f>IFERROR(__xludf.DUMMYFUNCTION("""COMPUTED_VALUE"""),0.4925150241049088)</f>
        <v>0.4925150241</v>
      </c>
      <c r="AF29" s="30">
        <f>IFERROR(__xludf.DUMMYFUNCTION("""COMPUTED_VALUE"""),0.6486664455031433)</f>
        <v>0.6486664455</v>
      </c>
      <c r="AG29" s="30">
        <f>IFERROR(__xludf.DUMMYFUNCTION("""COMPUTED_VALUE"""),0.961226015141964)</f>
        <v>0.9612260151</v>
      </c>
      <c r="AH29" s="30">
        <f>IFERROR(__xludf.DUMMYFUNCTION("""COMPUTED_VALUE"""),0.9032939244613396)</f>
        <v>0.9032939245</v>
      </c>
      <c r="AI29" s="30">
        <f>IFERROR(__xludf.DUMMYFUNCTION("""COMPUTED_VALUE"""),1.0394297006155762)</f>
        <v>1.039429701</v>
      </c>
      <c r="AJ29" s="30">
        <f>IFERROR(__xludf.DUMMYFUNCTION("""COMPUTED_VALUE"""),1.079039609475091)</f>
        <v>1.079039609</v>
      </c>
      <c r="AK29" s="30">
        <f>IFERROR(__xludf.DUMMYFUNCTION("""COMPUTED_VALUE"""),1.1700828741146456)</f>
        <v>1.170082874</v>
      </c>
      <c r="AL29" s="30">
        <f>IFERROR(__xludf.DUMMYFUNCTION("""COMPUTED_VALUE"""),1.0041312633583117)</f>
        <v>1.004131263</v>
      </c>
      <c r="AM29" s="30">
        <f>IFERROR(__xludf.DUMMYFUNCTION("""COMPUTED_VALUE"""),1.134328798539667)</f>
        <v>1.134328799</v>
      </c>
      <c r="AN29" s="30">
        <f>IFERROR(__xludf.DUMMYFUNCTION("""COMPUTED_VALUE"""),0.8238332399701973)</f>
        <v>0.82383324</v>
      </c>
      <c r="AO29" s="30">
        <f>IFERROR(__xludf.DUMMYFUNCTION("""COMPUTED_VALUE"""),0.4903666327612209)</f>
        <v>0.4903666328</v>
      </c>
      <c r="AP29" s="30">
        <f>IFERROR(__xludf.DUMMYFUNCTION("""COMPUTED_VALUE"""),0.6460323400787881)</f>
        <v>0.6460323401</v>
      </c>
      <c r="AQ29" s="30">
        <f>IFERROR(__xludf.DUMMYFUNCTION("""COMPUTED_VALUE"""),0.9669170109041736)</f>
        <v>0.9669170109</v>
      </c>
      <c r="AR29" s="30">
        <f>IFERROR(__xludf.DUMMYFUNCTION("""COMPUTED_VALUE"""),0.9149220125403026)</f>
        <v>0.9149220125</v>
      </c>
      <c r="AS29" s="30">
        <f>IFERROR(__xludf.DUMMYFUNCTION("""COMPUTED_VALUE"""),44.0)</f>
        <v>44</v>
      </c>
      <c r="AT29" s="30">
        <f>IFERROR(__xludf.DUMMYFUNCTION("""COMPUTED_VALUE"""),0.2813959575969064)</f>
        <v>0.2813959576</v>
      </c>
      <c r="AU29" s="30">
        <f>IFERROR(__xludf.DUMMYFUNCTION("""COMPUTED_VALUE"""),1.3438749049438665)</f>
        <v>1.343874905</v>
      </c>
      <c r="AV29" s="32">
        <f>IFERROR(__xludf.DUMMYFUNCTION("""COMPUTED_VALUE"""),17.093614269730807)</f>
        <v>17.09361427</v>
      </c>
      <c r="AW29" s="32">
        <f>IFERROR(__xludf.DUMMYFUNCTION("""COMPUTED_VALUE"""),-10.633302194575522)</f>
        <v>-10.63330219</v>
      </c>
      <c r="AX29" s="32">
        <f>IFERROR(__xludf.DUMMYFUNCTION("""COMPUTED_VALUE"""),15.841014229657866)</f>
        <v>15.84101423</v>
      </c>
      <c r="AY29" s="32">
        <f>IFERROR(__xludf.DUMMYFUNCTION("""COMPUTED_VALUE"""),-11.639670099112097)</f>
        <v>-11.6396701</v>
      </c>
      <c r="AZ29" s="30">
        <f>IFERROR(__xludf.DUMMYFUNCTION("""COMPUTED_VALUE"""),1.0063679045365745)</f>
        <v>1.006367905</v>
      </c>
      <c r="BA29" s="30">
        <f>IFERROR(__xludf.DUMMYFUNCTION("""COMPUTED_VALUE"""),2.0)</f>
        <v>2</v>
      </c>
    </row>
    <row r="30">
      <c r="A30" s="30" t="str">
        <f>IFERROR(__xludf.DUMMYFUNCTION("""COMPUTED_VALUE"""),"Premier")</f>
        <v>Premier</v>
      </c>
      <c r="B30" s="71" t="str">
        <f>IFERROR(__xludf.DUMMYFUNCTION("""COMPUTED_VALUE"""),"RSC005917")</f>
        <v>RSC005917</v>
      </c>
      <c r="C30" s="30" t="str">
        <f>IFERROR(__xludf.DUMMYFUNCTION("""COMPUTED_VALUE"""),"GAVALANCHE")</f>
        <v>GAVALANCHE</v>
      </c>
      <c r="D30" s="30" t="str">
        <f>IFERROR(__xludf.DUMMYFUNCTION("""COMPUTED_VALUE"""),"Crooked Capos")</f>
        <v>Crooked Capos</v>
      </c>
      <c r="E30" s="30">
        <f>IFERROR(__xludf.DUMMYFUNCTION("""COMPUTED_VALUE"""),32.0)</f>
        <v>32</v>
      </c>
      <c r="F30" s="30">
        <f>IFERROR(__xludf.DUMMYFUNCTION("""COMPUTED_VALUE"""),14.0)</f>
        <v>14</v>
      </c>
      <c r="G30" s="30">
        <f>IFERROR(__xludf.DUMMYFUNCTION("""COMPUTED_VALUE"""),18.0)</f>
        <v>18</v>
      </c>
      <c r="H30" s="42">
        <f>IFERROR(__xludf.DUMMYFUNCTION("""COMPUTED_VALUE"""),0.4375)</f>
        <v>0.4375</v>
      </c>
      <c r="I30" s="42">
        <f>IFERROR(__xludf.DUMMYFUNCTION("""COMPUTED_VALUE"""),0.34523809523809523)</f>
        <v>0.3452380952</v>
      </c>
      <c r="J30" s="30">
        <f>IFERROR(__xludf.DUMMYFUNCTION("""COMPUTED_VALUE"""),369.375)</f>
        <v>369.375</v>
      </c>
      <c r="K30" s="30">
        <f>IFERROR(__xludf.DUMMYFUNCTION("""COMPUTED_VALUE"""),0.90625)</f>
        <v>0.90625</v>
      </c>
      <c r="L30" s="30">
        <f>IFERROR(__xludf.DUMMYFUNCTION("""COMPUTED_VALUE"""),0.5625)</f>
        <v>0.5625</v>
      </c>
      <c r="M30" s="30">
        <f>IFERROR(__xludf.DUMMYFUNCTION("""COMPUTED_VALUE"""),1.59375)</f>
        <v>1.59375</v>
      </c>
      <c r="N30" s="30">
        <f>IFERROR(__xludf.DUMMYFUNCTION("""COMPUTED_VALUE"""),2.625)</f>
        <v>2.625</v>
      </c>
      <c r="O30" s="30">
        <f>IFERROR(__xludf.DUMMYFUNCTION("""COMPUTED_VALUE"""),399.75)</f>
        <v>399.75</v>
      </c>
      <c r="P30" s="30">
        <f>IFERROR(__xludf.DUMMYFUNCTION("""COMPUTED_VALUE"""),0.8749999999999999)</f>
        <v>0.875</v>
      </c>
      <c r="Q30" s="30">
        <f>IFERROR(__xludf.DUMMYFUNCTION("""COMPUTED_VALUE"""),0.6770833333333331)</f>
        <v>0.6770833333</v>
      </c>
      <c r="R30" s="30">
        <f>IFERROR(__xludf.DUMMYFUNCTION("""COMPUTED_VALUE"""),1.5625000000000002)</f>
        <v>1.5625</v>
      </c>
      <c r="S30" s="30">
        <f>IFERROR(__xludf.DUMMYFUNCTION("""COMPUTED_VALUE"""),2.989583333333334)</f>
        <v>2.989583333</v>
      </c>
      <c r="T30" s="30">
        <f>IFERROR(__xludf.DUMMYFUNCTION("""COMPUTED_VALUE"""),376.7806075028043)</f>
        <v>376.7806075</v>
      </c>
      <c r="U30" s="30">
        <f>IFERROR(__xludf.DUMMYFUNCTION("""COMPUTED_VALUE"""),0.8483807750342949)</f>
        <v>0.848380775</v>
      </c>
      <c r="V30" s="30">
        <f>IFERROR(__xludf.DUMMYFUNCTION("""COMPUTED_VALUE"""),0.6509371838792013)</f>
        <v>0.6509371839</v>
      </c>
      <c r="W30" s="30">
        <f>IFERROR(__xludf.DUMMYFUNCTION("""COMPUTED_VALUE"""),1.4428365197122817)</f>
        <v>1.44283652</v>
      </c>
      <c r="X30" s="30">
        <f>IFERROR(__xludf.DUMMYFUNCTION("""COMPUTED_VALUE"""),2.762046040612324)</f>
        <v>2.762046041</v>
      </c>
      <c r="Y30" s="30">
        <f>IFERROR(__xludf.DUMMYFUNCTION("""COMPUTED_VALUE"""),376.48126641264236)</f>
        <v>376.4812664</v>
      </c>
      <c r="Z30" s="30">
        <f>IFERROR(__xludf.DUMMYFUNCTION("""COMPUTED_VALUE"""),0.8542275811069615)</f>
        <v>0.8542275811</v>
      </c>
      <c r="AA30" s="30">
        <f>IFERROR(__xludf.DUMMYFUNCTION("""COMPUTED_VALUE"""),0.6553731299553082)</f>
        <v>0.65537313</v>
      </c>
      <c r="AB30" s="30">
        <f>IFERROR(__xludf.DUMMYFUNCTION("""COMPUTED_VALUE"""),1.4489250173896728)</f>
        <v>1.448925017</v>
      </c>
      <c r="AC30" s="30">
        <f>IFERROR(__xludf.DUMMYFUNCTION("""COMPUTED_VALUE"""),2.7445962157539565)</f>
        <v>2.744596216</v>
      </c>
      <c r="AD30" s="30">
        <f>IFERROR(__xludf.DUMMYFUNCTION("""COMPUTED_VALUE"""),0.9811245152239434)</f>
        <v>0.9811245152</v>
      </c>
      <c r="AE30" s="30">
        <f>IFERROR(__xludf.DUMMYFUNCTION("""COMPUTED_VALUE"""),1.0608999522417955)</f>
        <v>1.060899952</v>
      </c>
      <c r="AF30" s="30">
        <f>IFERROR(__xludf.DUMMYFUNCTION("""COMPUTED_VALUE"""),0.8582896891704402)</f>
        <v>0.8582896892</v>
      </c>
      <c r="AG30" s="30">
        <f>IFERROR(__xludf.DUMMYFUNCTION("""COMPUTED_VALUE"""),1.0999534005363771)</f>
        <v>1.099953401</v>
      </c>
      <c r="AH30" s="30">
        <f>IFERROR(__xludf.DUMMYFUNCTION("""COMPUTED_VALUE"""),0.9564248412690087)</f>
        <v>0.9564248413</v>
      </c>
      <c r="AI30" s="30">
        <f>IFERROR(__xludf.DUMMYFUNCTION("""COMPUTED_VALUE"""),1.0609622471003228)</f>
        <v>1.060962247</v>
      </c>
      <c r="AJ30" s="30">
        <f>IFERROR(__xludf.DUMMYFUNCTION("""COMPUTED_VALUE"""),1.031376506574691)</f>
        <v>1.031376507</v>
      </c>
      <c r="AK30" s="30">
        <f>IFERROR(__xludf.DUMMYFUNCTION("""COMPUTED_VALUE"""),1.040166931774148)</f>
        <v>1.040166932</v>
      </c>
      <c r="AL30" s="30">
        <f>IFERROR(__xludf.DUMMYFUNCTION("""COMPUTED_VALUE"""),1.0829362707783283)</f>
        <v>1.082936271</v>
      </c>
      <c r="AM30" s="30">
        <f>IFERROR(__xludf.DUMMYFUNCTION("""COMPUTED_VALUE"""),1.0823799782390908)</f>
        <v>1.082379978</v>
      </c>
      <c r="AN30" s="30">
        <f>IFERROR(__xludf.DUMMYFUNCTION("""COMPUTED_VALUE"""),1.0028831549425337)</f>
        <v>1.002883155</v>
      </c>
      <c r="AO30" s="30">
        <f>IFERROR(__xludf.DUMMYFUNCTION("""COMPUTED_VALUE"""),1.1311866642105437)</f>
        <v>1.131186664</v>
      </c>
      <c r="AP30" s="30">
        <f>IFERROR(__xludf.DUMMYFUNCTION("""COMPUTED_VALUE"""),0.9250008505673557)</f>
        <v>0.9250008506</v>
      </c>
      <c r="AQ30" s="30">
        <f>IFERROR(__xludf.DUMMYFUNCTION("""COMPUTED_VALUE"""),1.0787167902899686)</f>
        <v>1.07871679</v>
      </c>
      <c r="AR30" s="30">
        <f>IFERROR(__xludf.DUMMYFUNCTION("""COMPUTED_VALUE"""),0.9889230576722389)</f>
        <v>0.9889230577</v>
      </c>
      <c r="AS30" s="30">
        <f>IFERROR(__xludf.DUMMYFUNCTION("""COMPUTED_VALUE"""),77.0)</f>
        <v>77</v>
      </c>
      <c r="AT30" s="30">
        <f>IFERROR(__xludf.DUMMYFUNCTION("""COMPUTED_VALUE"""),0.4654693184805201)</f>
        <v>0.4654693185</v>
      </c>
      <c r="AU30" s="30">
        <f>IFERROR(__xludf.DUMMYFUNCTION("""COMPUTED_VALUE"""),2.4971514799704733)</f>
        <v>2.49715148</v>
      </c>
      <c r="AV30" s="32">
        <f>IFERROR(__xludf.DUMMYFUNCTION("""COMPUTED_VALUE"""),49.52050347389679)</f>
        <v>49.52050347</v>
      </c>
      <c r="AW30" s="32">
        <f>IFERROR(__xludf.DUMMYFUNCTION("""COMPUTED_VALUE"""),-2.031080356918326)</f>
        <v>-2.031080357</v>
      </c>
      <c r="AX30" s="32">
        <f>IFERROR(__xludf.DUMMYFUNCTION("""COMPUTED_VALUE"""),39.4034939616507)</f>
        <v>39.40349396</v>
      </c>
      <c r="AY30" s="32">
        <f>IFERROR(__xludf.DUMMYFUNCTION("""COMPUTED_VALUE"""),-2.977662730056796)</f>
        <v>-2.97766273</v>
      </c>
      <c r="AZ30" s="30">
        <f>IFERROR(__xludf.DUMMYFUNCTION("""COMPUTED_VALUE"""),0.9465823731384702)</f>
        <v>0.9465823731</v>
      </c>
      <c r="BA30" s="30">
        <f>IFERROR(__xludf.DUMMYFUNCTION("""COMPUTED_VALUE"""),2.0)</f>
        <v>2</v>
      </c>
    </row>
    <row r="31">
      <c r="A31" s="30" t="str">
        <f>IFERROR(__xludf.DUMMYFUNCTION("""COMPUTED_VALUE"""),"Premier")</f>
        <v>Premier</v>
      </c>
      <c r="B31" s="71" t="str">
        <f>IFERROR(__xludf.DUMMYFUNCTION("""COMPUTED_VALUE"""),"RSC007460")</f>
        <v>RSC007460</v>
      </c>
      <c r="C31" s="30" t="str">
        <f>IFERROR(__xludf.DUMMYFUNCTION("""COMPUTED_VALUE"""),"mogii")</f>
        <v>mogii</v>
      </c>
      <c r="D31" s="30" t="str">
        <f>IFERROR(__xludf.DUMMYFUNCTION("""COMPUTED_VALUE"""),"Gummy Bears")</f>
        <v>Gummy Bears</v>
      </c>
      <c r="E31" s="30">
        <f>IFERROR(__xludf.DUMMYFUNCTION("""COMPUTED_VALUE"""),28.0)</f>
        <v>28</v>
      </c>
      <c r="F31" s="30">
        <f>IFERROR(__xludf.DUMMYFUNCTION("""COMPUTED_VALUE"""),15.0)</f>
        <v>15</v>
      </c>
      <c r="G31" s="30">
        <f>IFERROR(__xludf.DUMMYFUNCTION("""COMPUTED_VALUE"""),13.0)</f>
        <v>13</v>
      </c>
      <c r="H31" s="42">
        <f>IFERROR(__xludf.DUMMYFUNCTION("""COMPUTED_VALUE"""),0.5357142857142857)</f>
        <v>0.5357142857</v>
      </c>
      <c r="I31" s="42">
        <f>IFERROR(__xludf.DUMMYFUNCTION("""COMPUTED_VALUE"""),0.3368421052631579)</f>
        <v>0.3368421053</v>
      </c>
      <c r="J31" s="30">
        <f>IFERROR(__xludf.DUMMYFUNCTION("""COMPUTED_VALUE"""),435.5)</f>
        <v>435.5</v>
      </c>
      <c r="K31" s="30">
        <f>IFERROR(__xludf.DUMMYFUNCTION("""COMPUTED_VALUE"""),1.1428571428571428)</f>
        <v>1.142857143</v>
      </c>
      <c r="L31" s="30">
        <f>IFERROR(__xludf.DUMMYFUNCTION("""COMPUTED_VALUE"""),0.6428571428571429)</f>
        <v>0.6428571429</v>
      </c>
      <c r="M31" s="30">
        <f>IFERROR(__xludf.DUMMYFUNCTION("""COMPUTED_VALUE"""),1.7142857142857142)</f>
        <v>1.714285714</v>
      </c>
      <c r="N31" s="30">
        <f>IFERROR(__xludf.DUMMYFUNCTION("""COMPUTED_VALUE"""),3.392857142857143)</f>
        <v>3.392857143</v>
      </c>
      <c r="O31" s="30">
        <f>IFERROR(__xludf.DUMMYFUNCTION("""COMPUTED_VALUE"""),354.0952380952381)</f>
        <v>354.0952381</v>
      </c>
      <c r="P31" s="30">
        <f>IFERROR(__xludf.DUMMYFUNCTION("""COMPUTED_VALUE"""),0.8452380952380952)</f>
        <v>0.8452380952</v>
      </c>
      <c r="Q31" s="30">
        <f>IFERROR(__xludf.DUMMYFUNCTION("""COMPUTED_VALUE"""),0.6190476190476192)</f>
        <v>0.619047619</v>
      </c>
      <c r="R31" s="30">
        <f>IFERROR(__xludf.DUMMYFUNCTION("""COMPUTED_VALUE"""),1.3095238095238095)</f>
        <v>1.30952381</v>
      </c>
      <c r="S31" s="30">
        <f>IFERROR(__xludf.DUMMYFUNCTION("""COMPUTED_VALUE"""),2.7142857142857144)</f>
        <v>2.714285714</v>
      </c>
      <c r="T31" s="30">
        <f>IFERROR(__xludf.DUMMYFUNCTION("""COMPUTED_VALUE"""),370.8313078624891)</f>
        <v>370.8313079</v>
      </c>
      <c r="U31" s="30">
        <f>IFERROR(__xludf.DUMMYFUNCTION("""COMPUTED_VALUE"""),0.8080828649049784)</f>
        <v>0.8080828649</v>
      </c>
      <c r="V31" s="30">
        <f>IFERROR(__xludf.DUMMYFUNCTION("""COMPUTED_VALUE"""),0.6958440483771843)</f>
        <v>0.6958440484</v>
      </c>
      <c r="W31" s="30">
        <f>IFERROR(__xludf.DUMMYFUNCTION("""COMPUTED_VALUE"""),1.405633031667847)</f>
        <v>1.405633032</v>
      </c>
      <c r="X31" s="30">
        <f>IFERROR(__xludf.DUMMYFUNCTION("""COMPUTED_VALUE"""),2.692327725194106)</f>
        <v>2.692327725</v>
      </c>
      <c r="Y31" s="30">
        <f>IFERROR(__xludf.DUMMYFUNCTION("""COMPUTED_VALUE"""),376.4962374793028)</f>
        <v>376.4962375</v>
      </c>
      <c r="Z31" s="30">
        <f>IFERROR(__xludf.DUMMYFUNCTION("""COMPUTED_VALUE"""),0.8342114328253183)</f>
        <v>0.8342114328</v>
      </c>
      <c r="AA31" s="30">
        <f>IFERROR(__xludf.DUMMYFUNCTION("""COMPUTED_VALUE"""),0.6480015332921141)</f>
        <v>0.6480015333</v>
      </c>
      <c r="AB31" s="30">
        <f>IFERROR(__xludf.DUMMYFUNCTION("""COMPUTED_VALUE"""),1.4791966255155775)</f>
        <v>1.479196626</v>
      </c>
      <c r="AC31" s="30">
        <f>IFERROR(__xludf.DUMMYFUNCTION("""COMPUTED_VALUE"""),2.7647110071784495)</f>
        <v>2.764711007</v>
      </c>
      <c r="AD31" s="30">
        <f>IFERROR(__xludf.DUMMYFUNCTION("""COMPUTED_VALUE"""),1.1567180668676424)</f>
        <v>1.156718067</v>
      </c>
      <c r="AE31" s="30">
        <f>IFERROR(__xludf.DUMMYFUNCTION("""COMPUTED_VALUE"""),1.3699849916783076)</f>
        <v>1.369984992</v>
      </c>
      <c r="AF31" s="30">
        <f>IFERROR(__xludf.DUMMYFUNCTION("""COMPUTED_VALUE"""),0.9920611446568104)</f>
        <v>0.9920611447</v>
      </c>
      <c r="AG31" s="30">
        <f>IFERROR(__xludf.DUMMYFUNCTION("""COMPUTED_VALUE"""),1.158930249511755)</f>
        <v>1.15893025</v>
      </c>
      <c r="AH31" s="30">
        <f>IFERROR(__xludf.DUMMYFUNCTION("""COMPUTED_VALUE"""),1.2272013726019608)</f>
        <v>1.227201373</v>
      </c>
      <c r="AI31" s="30">
        <f>IFERROR(__xludf.DUMMYFUNCTION("""COMPUTED_VALUE"""),0.954868778842543)</f>
        <v>0.9548687788</v>
      </c>
      <c r="AJ31" s="30">
        <f>IFERROR(__xludf.DUMMYFUNCTION("""COMPUTED_VALUE"""),1.0459794805047449)</f>
        <v>1.045979481</v>
      </c>
      <c r="AK31" s="30">
        <f>IFERROR(__xludf.DUMMYFUNCTION("""COMPUTED_VALUE"""),0.8896355735043416)</f>
        <v>0.8896355735</v>
      </c>
      <c r="AL31" s="30">
        <f>IFERROR(__xludf.DUMMYFUNCTION("""COMPUTED_VALUE"""),0.9316256661740515)</f>
        <v>0.9316256662</v>
      </c>
      <c r="AM31" s="30">
        <f>IFERROR(__xludf.DUMMYFUNCTION("""COMPUTED_VALUE"""),1.0081557638344438)</f>
        <v>1.008155764</v>
      </c>
      <c r="AN31" s="30">
        <f>IFERROR(__xludf.DUMMYFUNCTION("""COMPUTED_VALUE"""),1.1824179058611801)</f>
        <v>1.182417906</v>
      </c>
      <c r="AO31" s="30">
        <f>IFERROR(__xludf.DUMMYFUNCTION("""COMPUTED_VALUE"""),1.426521113487188)</f>
        <v>1.426521113</v>
      </c>
      <c r="AP31" s="30">
        <f>IFERROR(__xludf.DUMMYFUNCTION("""COMPUTED_VALUE"""),1.0571438292198352)</f>
        <v>1.057143829</v>
      </c>
      <c r="AQ31" s="30">
        <f>IFERROR(__xludf.DUMMYFUNCTION("""COMPUTED_VALUE"""),1.1603004130850083)</f>
        <v>1.160300413</v>
      </c>
      <c r="AR31" s="30">
        <f>IFERROR(__xludf.DUMMYFUNCTION("""COMPUTED_VALUE"""),1.278199870460717)</f>
        <v>1.27819987</v>
      </c>
      <c r="AS31" s="30">
        <f>IFERROR(__xludf.DUMMYFUNCTION("""COMPUTED_VALUE"""),70.0)</f>
        <v>70</v>
      </c>
      <c r="AT31" s="30">
        <f>IFERROR(__xludf.DUMMYFUNCTION("""COMPUTED_VALUE"""),0.4943606209430952)</f>
        <v>0.4943606209</v>
      </c>
      <c r="AU31" s="30">
        <f>IFERROR(__xludf.DUMMYFUNCTION("""COMPUTED_VALUE"""),3.5011648247769562)</f>
        <v>3.501164825</v>
      </c>
      <c r="AV31" s="32">
        <f>IFERROR(__xludf.DUMMYFUNCTION("""COMPUTED_VALUE"""),77.75053102890267)</f>
        <v>77.75053103</v>
      </c>
      <c r="AW31" s="32">
        <f>IFERROR(__xludf.DUMMYFUNCTION("""COMPUTED_VALUE"""),7.490920813914775)</f>
        <v>7.490920814</v>
      </c>
      <c r="AX31" s="32">
        <f>IFERROR(__xludf.DUMMYFUNCTION("""COMPUTED_VALUE"""),75.61339930523934)</f>
        <v>75.61339931</v>
      </c>
      <c r="AY31" s="32">
        <f>IFERROR(__xludf.DUMMYFUNCTION("""COMPUTED_VALUE"""),6.544884064559536)</f>
        <v>6.544884065</v>
      </c>
      <c r="AZ31" s="30">
        <f>IFERROR(__xludf.DUMMYFUNCTION("""COMPUTED_VALUE"""),0.9460367493552386)</f>
        <v>0.9460367494</v>
      </c>
      <c r="BA31" s="30">
        <f>IFERROR(__xludf.DUMMYFUNCTION("""COMPUTED_VALUE"""),2.0)</f>
        <v>2</v>
      </c>
    </row>
    <row r="32">
      <c r="A32" s="30" t="str">
        <f>IFERROR(__xludf.DUMMYFUNCTION("""COMPUTED_VALUE"""),"Premier")</f>
        <v>Premier</v>
      </c>
      <c r="B32" s="71" t="str">
        <f>IFERROR(__xludf.DUMMYFUNCTION("""COMPUTED_VALUE"""),"RSC007569")</f>
        <v>RSC007569</v>
      </c>
      <c r="C32" s="30" t="str">
        <f>IFERROR(__xludf.DUMMYFUNCTION("""COMPUTED_VALUE"""),"newo")</f>
        <v>newo</v>
      </c>
      <c r="D32" s="30" t="str">
        <f>IFERROR(__xludf.DUMMYFUNCTION("""COMPUTED_VALUE"""),"Gummy Bears")</f>
        <v>Gummy Bears</v>
      </c>
      <c r="E32" s="30">
        <f>IFERROR(__xludf.DUMMYFUNCTION("""COMPUTED_VALUE"""),25.0)</f>
        <v>25</v>
      </c>
      <c r="F32" s="30">
        <f>IFERROR(__xludf.DUMMYFUNCTION("""COMPUTED_VALUE"""),16.0)</f>
        <v>16</v>
      </c>
      <c r="G32" s="30">
        <f>IFERROR(__xludf.DUMMYFUNCTION("""COMPUTED_VALUE"""),9.0)</f>
        <v>9</v>
      </c>
      <c r="H32" s="42">
        <f>IFERROR(__xludf.DUMMYFUNCTION("""COMPUTED_VALUE"""),0.64)</f>
        <v>0.64</v>
      </c>
      <c r="I32" s="42">
        <f>IFERROR(__xludf.DUMMYFUNCTION("""COMPUTED_VALUE"""),0.37037037037037035)</f>
        <v>0.3703703704</v>
      </c>
      <c r="J32" s="30">
        <f>IFERROR(__xludf.DUMMYFUNCTION("""COMPUTED_VALUE"""),335.56)</f>
        <v>335.56</v>
      </c>
      <c r="K32" s="30">
        <f>IFERROR(__xludf.DUMMYFUNCTION("""COMPUTED_VALUE"""),0.8)</f>
        <v>0.8</v>
      </c>
      <c r="L32" s="30">
        <f>IFERROR(__xludf.DUMMYFUNCTION("""COMPUTED_VALUE"""),0.72)</f>
        <v>0.72</v>
      </c>
      <c r="M32" s="30">
        <f>IFERROR(__xludf.DUMMYFUNCTION("""COMPUTED_VALUE"""),1.08)</f>
        <v>1.08</v>
      </c>
      <c r="N32" s="30">
        <f>IFERROR(__xludf.DUMMYFUNCTION("""COMPUTED_VALUE"""),2.16)</f>
        <v>2.16</v>
      </c>
      <c r="O32" s="30">
        <f>IFERROR(__xludf.DUMMYFUNCTION("""COMPUTED_VALUE"""),332.78666666666663)</f>
        <v>332.7866667</v>
      </c>
      <c r="P32" s="30">
        <f>IFERROR(__xludf.DUMMYFUNCTION("""COMPUTED_VALUE"""),0.7333333333333333)</f>
        <v>0.7333333333</v>
      </c>
      <c r="Q32" s="30">
        <f>IFERROR(__xludf.DUMMYFUNCTION("""COMPUTED_VALUE"""),0.5466666666666667)</f>
        <v>0.5466666667</v>
      </c>
      <c r="R32" s="30">
        <f>IFERROR(__xludf.DUMMYFUNCTION("""COMPUTED_VALUE"""),1.2266666666666663)</f>
        <v>1.226666667</v>
      </c>
      <c r="S32" s="30">
        <f>IFERROR(__xludf.DUMMYFUNCTION("""COMPUTED_VALUE"""),2.7066666666666674)</f>
        <v>2.706666667</v>
      </c>
      <c r="T32" s="30">
        <f>IFERROR(__xludf.DUMMYFUNCTION("""COMPUTED_VALUE"""),357.20444243973924)</f>
        <v>357.2044424</v>
      </c>
      <c r="U32" s="30">
        <f>IFERROR(__xludf.DUMMYFUNCTION("""COMPUTED_VALUE"""),0.7443729026483946)</f>
        <v>0.7443729026</v>
      </c>
      <c r="V32" s="30">
        <f>IFERROR(__xludf.DUMMYFUNCTION("""COMPUTED_VALUE"""),0.6544685926093099)</f>
        <v>0.6544685926</v>
      </c>
      <c r="W32" s="30">
        <f>IFERROR(__xludf.DUMMYFUNCTION("""COMPUTED_VALUE"""),1.3873711307815473)</f>
        <v>1.387371131</v>
      </c>
      <c r="X32" s="30">
        <f>IFERROR(__xludf.DUMMYFUNCTION("""COMPUTED_VALUE"""),2.639155886909307)</f>
        <v>2.639155887</v>
      </c>
      <c r="Y32" s="30">
        <f>IFERROR(__xludf.DUMMYFUNCTION("""COMPUTED_VALUE"""),381.2717757495503)</f>
        <v>381.2717757</v>
      </c>
      <c r="Z32" s="30">
        <f>IFERROR(__xludf.DUMMYFUNCTION("""COMPUTED_VALUE"""),0.8588001865171878)</f>
        <v>0.8588001865</v>
      </c>
      <c r="AA32" s="30">
        <f>IFERROR(__xludf.DUMMYFUNCTION("""COMPUTED_VALUE"""),0.6889868706916379)</f>
        <v>0.6889868707</v>
      </c>
      <c r="AB32" s="30">
        <f>IFERROR(__xludf.DUMMYFUNCTION("""COMPUTED_VALUE"""),1.4661477405651313)</f>
        <v>1.466147741</v>
      </c>
      <c r="AC32" s="30">
        <f>IFERROR(__xludf.DUMMYFUNCTION("""COMPUTED_VALUE"""),2.834672970376607)</f>
        <v>2.83467297</v>
      </c>
      <c r="AD32" s="30">
        <f>IFERROR(__xludf.DUMMYFUNCTION("""COMPUTED_VALUE"""),0.8801071082177941)</f>
        <v>0.8801071082</v>
      </c>
      <c r="AE32" s="30">
        <f>IFERROR(__xludf.DUMMYFUNCTION("""COMPUTED_VALUE"""),0.931532168436469)</f>
        <v>0.9315321684</v>
      </c>
      <c r="AF32" s="30">
        <f>IFERROR(__xludf.DUMMYFUNCTION("""COMPUTED_VALUE"""),1.0450126564490694)</f>
        <v>1.045012656</v>
      </c>
      <c r="AG32" s="30">
        <f>IFERROR(__xludf.DUMMYFUNCTION("""COMPUTED_VALUE"""),0.7366242637892076)</f>
        <v>0.7366242638</v>
      </c>
      <c r="AH32" s="30">
        <f>IFERROR(__xludf.DUMMYFUNCTION("""COMPUTED_VALUE"""),0.7619926610839445)</f>
        <v>0.7619926611</v>
      </c>
      <c r="AI32" s="30">
        <f>IFERROR(__xludf.DUMMYFUNCTION("""COMPUTED_VALUE"""),0.931642015406368)</f>
        <v>0.9316420154</v>
      </c>
      <c r="AJ32" s="30">
        <f>IFERROR(__xludf.DUMMYFUNCTION("""COMPUTED_VALUE"""),0.9851693025420676)</f>
        <v>0.9851693025</v>
      </c>
      <c r="AK32" s="30">
        <f>IFERROR(__xludf.DUMMYFUNCTION("""COMPUTED_VALUE"""),0.8352832707940252)</f>
        <v>0.8352832708</v>
      </c>
      <c r="AL32" s="30">
        <f>IFERROR(__xludf.DUMMYFUNCTION("""COMPUTED_VALUE"""),0.8841662043058721)</f>
        <v>0.8841662043</v>
      </c>
      <c r="AM32" s="30">
        <f>IFERROR(__xludf.DUMMYFUNCTION("""COMPUTED_VALUE"""),1.0255804441458825)</f>
        <v>1.025580444</v>
      </c>
      <c r="AN32" s="30">
        <f>IFERROR(__xludf.DUMMYFUNCTION("""COMPUTED_VALUE"""),0.9110726808054594)</f>
        <v>0.9110726808</v>
      </c>
      <c r="AO32" s="30">
        <f>IFERROR(__xludf.DUMMYFUNCTION("""COMPUTED_VALUE"""),0.9985647794410317)</f>
        <v>0.9985647794</v>
      </c>
      <c r="AP32" s="30">
        <f>IFERROR(__xludf.DUMMYFUNCTION("""COMPUTED_VALUE"""),1.1840010887262153)</f>
        <v>1.184001089</v>
      </c>
      <c r="AQ32" s="30">
        <f>IFERROR(__xludf.DUMMYFUNCTION("""COMPUTED_VALUE"""),0.7309892602435553)</f>
        <v>0.7309892602</v>
      </c>
      <c r="AR32" s="30">
        <f>IFERROR(__xludf.DUMMYFUNCTION("""COMPUTED_VALUE"""),0.8137424017417281)</f>
        <v>0.8137424017</v>
      </c>
      <c r="AS32" s="30">
        <f>IFERROR(__xludf.DUMMYFUNCTION("""COMPUTED_VALUE"""),67.0)</f>
        <v>67</v>
      </c>
      <c r="AT32" s="30">
        <f>IFERROR(__xludf.DUMMYFUNCTION("""COMPUTED_VALUE"""),0.5771422631969931)</f>
        <v>0.5771422632</v>
      </c>
      <c r="AU32" s="30">
        <f>IFERROR(__xludf.DUMMYFUNCTION("""COMPUTED_VALUE"""),2.4996642740621757)</f>
        <v>2.499664274</v>
      </c>
      <c r="AV32" s="32">
        <f>IFERROR(__xludf.DUMMYFUNCTION("""COMPUTED_VALUE"""),49.59115616672777)</f>
        <v>49.59115617</v>
      </c>
      <c r="AW32" s="32">
        <f>IFERROR(__xludf.DUMMYFUNCTION("""COMPUTED_VALUE"""),-2.026440644307799)</f>
        <v>-2.026440644</v>
      </c>
      <c r="AX32" s="32">
        <f>IFERROR(__xludf.DUMMYFUNCTION("""COMPUTED_VALUE"""),39.77186799801907)</f>
        <v>39.771868</v>
      </c>
      <c r="AY32" s="32">
        <f>IFERROR(__xludf.DUMMYFUNCTION("""COMPUTED_VALUE"""),-2.930627397175997)</f>
        <v>-2.930627397</v>
      </c>
      <c r="AZ32" s="30">
        <f>IFERROR(__xludf.DUMMYFUNCTION("""COMPUTED_VALUE"""),0.9041867528681977)</f>
        <v>0.9041867529</v>
      </c>
      <c r="BA32" s="30">
        <f>IFERROR(__xludf.DUMMYFUNCTION("""COMPUTED_VALUE"""),2.0)</f>
        <v>2</v>
      </c>
    </row>
    <row r="33">
      <c r="A33" s="30" t="str">
        <f>IFERROR(__xludf.DUMMYFUNCTION("""COMPUTED_VALUE"""),"Premier")</f>
        <v>Premier</v>
      </c>
      <c r="B33" s="71" t="str">
        <f>IFERROR(__xludf.DUMMYFUNCTION("""COMPUTED_VALUE"""),"RSC004370")</f>
        <v>RSC004370</v>
      </c>
      <c r="C33" s="30" t="str">
        <f>IFERROR(__xludf.DUMMYFUNCTION("""COMPUTED_VALUE"""),"Nightfang")</f>
        <v>Nightfang</v>
      </c>
      <c r="D33" s="30" t="str">
        <f>IFERROR(__xludf.DUMMYFUNCTION("""COMPUTED_VALUE"""),"Old Heads")</f>
        <v>Old Heads</v>
      </c>
      <c r="E33" s="30">
        <f>IFERROR(__xludf.DUMMYFUNCTION("""COMPUTED_VALUE"""),31.0)</f>
        <v>31</v>
      </c>
      <c r="F33" s="30">
        <f>IFERROR(__xludf.DUMMYFUNCTION("""COMPUTED_VALUE"""),18.0)</f>
        <v>18</v>
      </c>
      <c r="G33" s="30">
        <f>IFERROR(__xludf.DUMMYFUNCTION("""COMPUTED_VALUE"""),13.0)</f>
        <v>13</v>
      </c>
      <c r="H33" s="42">
        <f>IFERROR(__xludf.DUMMYFUNCTION("""COMPUTED_VALUE"""),0.5806451612903226)</f>
        <v>0.5806451613</v>
      </c>
      <c r="I33" s="42">
        <f>IFERROR(__xludf.DUMMYFUNCTION("""COMPUTED_VALUE"""),0.36708860759493667)</f>
        <v>0.3670886076</v>
      </c>
      <c r="J33" s="30">
        <f>IFERROR(__xludf.DUMMYFUNCTION("""COMPUTED_VALUE"""),362.03225806451616)</f>
        <v>362.0322581</v>
      </c>
      <c r="K33" s="30">
        <f>IFERROR(__xludf.DUMMYFUNCTION("""COMPUTED_VALUE"""),0.9354838709677419)</f>
        <v>0.935483871</v>
      </c>
      <c r="L33" s="30">
        <f>IFERROR(__xludf.DUMMYFUNCTION("""COMPUTED_VALUE"""),0.7419354838709677)</f>
        <v>0.7419354839</v>
      </c>
      <c r="M33" s="30">
        <f>IFERROR(__xludf.DUMMYFUNCTION("""COMPUTED_VALUE"""),1.1612903225806452)</f>
        <v>1.161290323</v>
      </c>
      <c r="N33" s="30">
        <f>IFERROR(__xludf.DUMMYFUNCTION("""COMPUTED_VALUE"""),2.5483870967741935)</f>
        <v>2.548387097</v>
      </c>
      <c r="O33" s="30">
        <f>IFERROR(__xludf.DUMMYFUNCTION("""COMPUTED_VALUE"""),366.5698924731182)</f>
        <v>366.5698925</v>
      </c>
      <c r="P33" s="30">
        <f>IFERROR(__xludf.DUMMYFUNCTION("""COMPUTED_VALUE"""),0.8709677419354839)</f>
        <v>0.8709677419</v>
      </c>
      <c r="Q33" s="30">
        <f>IFERROR(__xludf.DUMMYFUNCTION("""COMPUTED_VALUE"""),0.6559139784946236)</f>
        <v>0.6559139785</v>
      </c>
      <c r="R33" s="30">
        <f>IFERROR(__xludf.DUMMYFUNCTION("""COMPUTED_VALUE"""),1.4408602150537635)</f>
        <v>1.440860215</v>
      </c>
      <c r="S33" s="30">
        <f>IFERROR(__xludf.DUMMYFUNCTION("""COMPUTED_VALUE"""),2.6559139784946235)</f>
        <v>2.655913978</v>
      </c>
      <c r="T33" s="30">
        <f>IFERROR(__xludf.DUMMYFUNCTION("""COMPUTED_VALUE"""),379.0792591697208)</f>
        <v>379.0792592</v>
      </c>
      <c r="U33" s="30">
        <f>IFERROR(__xludf.DUMMYFUNCTION("""COMPUTED_VALUE"""),0.8497533993263212)</f>
        <v>0.8497533993</v>
      </c>
      <c r="V33" s="30">
        <f>IFERROR(__xludf.DUMMYFUNCTION("""COMPUTED_VALUE"""),0.6882951542025771)</f>
        <v>0.6882951542</v>
      </c>
      <c r="W33" s="30">
        <f>IFERROR(__xludf.DUMMYFUNCTION("""COMPUTED_VALUE"""),1.4533217789068607)</f>
        <v>1.453321779</v>
      </c>
      <c r="X33" s="30">
        <f>IFERROR(__xludf.DUMMYFUNCTION("""COMPUTED_VALUE"""),2.757562507939128)</f>
        <v>2.757562508</v>
      </c>
      <c r="Y33" s="30">
        <f>IFERROR(__xludf.DUMMYFUNCTION("""COMPUTED_VALUE"""),376.7940498957167)</f>
        <v>376.7940499</v>
      </c>
      <c r="Z33" s="30">
        <f>IFERROR(__xludf.DUMMYFUNCTION("""COMPUTED_VALUE"""),0.8360630034277218)</f>
        <v>0.8360630034</v>
      </c>
      <c r="AA33" s="30">
        <f>IFERROR(__xludf.DUMMYFUNCTION("""COMPUTED_VALUE"""),0.6421739002765713)</f>
        <v>0.6421739003</v>
      </c>
      <c r="AB33" s="30">
        <f>IFERROR(__xludf.DUMMYFUNCTION("""COMPUTED_VALUE"""),1.4553381221075057)</f>
        <v>1.455338122</v>
      </c>
      <c r="AC33" s="30">
        <f>IFERROR(__xludf.DUMMYFUNCTION("""COMPUTED_VALUE"""),2.7599339037268273)</f>
        <v>2.759933904</v>
      </c>
      <c r="AD33" s="30">
        <f>IFERROR(__xludf.DUMMYFUNCTION("""COMPUTED_VALUE"""),0.9608226514317674)</f>
        <v>0.9608226514</v>
      </c>
      <c r="AE33" s="30">
        <f>IFERROR(__xludf.DUMMYFUNCTION("""COMPUTED_VALUE"""),1.1189155208787027)</f>
        <v>1.118915521</v>
      </c>
      <c r="AF33" s="30">
        <f>IFERROR(__xludf.DUMMYFUNCTION("""COMPUTED_VALUE"""),1.1553497947385143)</f>
        <v>1.155349795</v>
      </c>
      <c r="AG33" s="30">
        <f>IFERROR(__xludf.DUMMYFUNCTION("""COMPUTED_VALUE"""),0.7979522455571743)</f>
        <v>0.7979522456</v>
      </c>
      <c r="AH33" s="30">
        <f>IFERROR(__xludf.DUMMYFUNCTION("""COMPUTED_VALUE"""),0.9233507705865799)</f>
        <v>0.9233507706</v>
      </c>
      <c r="AI33" s="30">
        <f>IFERROR(__xludf.DUMMYFUNCTION("""COMPUTED_VALUE"""),0.9670006564748458)</f>
        <v>0.9670006565</v>
      </c>
      <c r="AJ33" s="30">
        <f>IFERROR(__xludf.DUMMYFUNCTION("""COMPUTED_VALUE"""),1.0249652930202824)</f>
        <v>1.024965293</v>
      </c>
      <c r="AK33" s="30">
        <f>IFERROR(__xludf.DUMMYFUNCTION("""COMPUTED_VALUE"""),0.9529545202951942)</f>
        <v>0.9529545203</v>
      </c>
      <c r="AL33" s="30">
        <f>IFERROR(__xludf.DUMMYFUNCTION("""COMPUTED_VALUE"""),0.9914254612887792)</f>
        <v>0.9914254613</v>
      </c>
      <c r="AM33" s="30">
        <f>IFERROR(__xludf.DUMMYFUNCTION("""COMPUTED_VALUE"""),0.9631382682525402)</f>
        <v>0.9631382683</v>
      </c>
      <c r="AN33" s="30">
        <f>IFERROR(__xludf.DUMMYFUNCTION("""COMPUTED_VALUE"""),0.9829470136276452)</f>
        <v>0.9829470136</v>
      </c>
      <c r="AO33" s="30">
        <f>IFERROR(__xludf.DUMMYFUNCTION("""COMPUTED_VALUE"""),1.167676556604432)</f>
        <v>1.167676557</v>
      </c>
      <c r="AP33" s="30">
        <f>IFERROR(__xludf.DUMMYFUNCTION("""COMPUTED_VALUE"""),1.2200728064831072)</f>
        <v>1.220072806</v>
      </c>
      <c r="AQ33" s="30">
        <f>IFERROR(__xludf.DUMMYFUNCTION("""COMPUTED_VALUE"""),0.7860099572511348)</f>
        <v>0.7860099573</v>
      </c>
      <c r="AR33" s="30">
        <f>IFERROR(__xludf.DUMMYFUNCTION("""COMPUTED_VALUE"""),0.9600604799521582)</f>
        <v>0.96006048</v>
      </c>
      <c r="AS33" s="30">
        <f>IFERROR(__xludf.DUMMYFUNCTION("""COMPUTED_VALUE"""),84.0)</f>
        <v>84</v>
      </c>
      <c r="AT33" s="30">
        <f>IFERROR(__xludf.DUMMYFUNCTION("""COMPUTED_VALUE"""),0.5146868044558263)</f>
        <v>0.5146868045</v>
      </c>
      <c r="AU33" s="30">
        <f>IFERROR(__xludf.DUMMYFUNCTION("""COMPUTED_VALUE"""),2.927071062691828)</f>
        <v>2.927071063</v>
      </c>
      <c r="AV33" s="32">
        <f>IFERROR(__xludf.DUMMYFUNCTION("""COMPUTED_VALUE"""),61.60863131546421)</f>
        <v>61.60863132</v>
      </c>
      <c r="AW33" s="32">
        <f>IFERROR(__xludf.DUMMYFUNCTION("""COMPUTED_VALUE"""),3.1133230568912516)</f>
        <v>3.113323057</v>
      </c>
      <c r="AX33" s="32">
        <f>IFERROR(__xludf.DUMMYFUNCTION("""COMPUTED_VALUE"""),53.782199616461796)</f>
        <v>53.78219962</v>
      </c>
      <c r="AY33" s="32">
        <f>IFERROR(__xludf.DUMMYFUNCTION("""COMPUTED_VALUE"""),2.273376871976131)</f>
        <v>2.273376872</v>
      </c>
      <c r="AZ33" s="30">
        <f>IFERROR(__xludf.DUMMYFUNCTION("""COMPUTED_VALUE"""),0.8399461849151204)</f>
        <v>0.8399461849</v>
      </c>
      <c r="BA33" s="30">
        <f>IFERROR(__xludf.DUMMYFUNCTION("""COMPUTED_VALUE"""),2.0)</f>
        <v>2</v>
      </c>
    </row>
    <row r="34">
      <c r="A34" s="30" t="str">
        <f>IFERROR(__xludf.DUMMYFUNCTION("""COMPUTED_VALUE"""),"Premier")</f>
        <v>Premier</v>
      </c>
      <c r="B34" s="30" t="str">
        <f>IFERROR(__xludf.DUMMYFUNCTION("""COMPUTED_VALUE"""),"RSC007471")</f>
        <v>RSC007471</v>
      </c>
      <c r="C34" s="30" t="str">
        <f>IFERROR(__xludf.DUMMYFUNCTION("""COMPUTED_VALUE"""),"ha ha boo.")</f>
        <v>ha ha boo.</v>
      </c>
      <c r="D34" s="30" t="str">
        <f>IFERROR(__xludf.DUMMYFUNCTION("""COMPUTED_VALUE"""),"Feta Forgers")</f>
        <v>Feta Forgers</v>
      </c>
      <c r="E34" s="30">
        <f>IFERROR(__xludf.DUMMYFUNCTION("""COMPUTED_VALUE"""),24.0)</f>
        <v>24</v>
      </c>
      <c r="F34" s="30">
        <f>IFERROR(__xludf.DUMMYFUNCTION("""COMPUTED_VALUE"""),5.0)</f>
        <v>5</v>
      </c>
      <c r="G34" s="30">
        <f>IFERROR(__xludf.DUMMYFUNCTION("""COMPUTED_VALUE"""),19.0)</f>
        <v>19</v>
      </c>
      <c r="H34" s="42">
        <f>IFERROR(__xludf.DUMMYFUNCTION("""COMPUTED_VALUE"""),0.20833333333333334)</f>
        <v>0.2083333333</v>
      </c>
      <c r="I34" s="42">
        <f>IFERROR(__xludf.DUMMYFUNCTION("""COMPUTED_VALUE"""),0.27272727272727276)</f>
        <v>0.2727272727</v>
      </c>
      <c r="J34" s="30">
        <f>IFERROR(__xludf.DUMMYFUNCTION("""COMPUTED_VALUE"""),339.9166666666667)</f>
        <v>339.9166667</v>
      </c>
      <c r="K34" s="30">
        <f>IFERROR(__xludf.DUMMYFUNCTION("""COMPUTED_VALUE"""),0.625)</f>
        <v>0.625</v>
      </c>
      <c r="L34" s="30">
        <f>IFERROR(__xludf.DUMMYFUNCTION("""COMPUTED_VALUE"""),0.4583333333333333)</f>
        <v>0.4583333333</v>
      </c>
      <c r="M34" s="30">
        <f>IFERROR(__xludf.DUMMYFUNCTION("""COMPUTED_VALUE"""),1.6666666666666667)</f>
        <v>1.666666667</v>
      </c>
      <c r="N34" s="30">
        <f>IFERROR(__xludf.DUMMYFUNCTION("""COMPUTED_VALUE"""),2.2916666666666665)</f>
        <v>2.291666667</v>
      </c>
      <c r="O34" s="30">
        <f>IFERROR(__xludf.DUMMYFUNCTION("""COMPUTED_VALUE"""),400.40277777777777)</f>
        <v>400.4027778</v>
      </c>
      <c r="P34" s="30">
        <f>IFERROR(__xludf.DUMMYFUNCTION("""COMPUTED_VALUE"""),1.0138888888888893)</f>
        <v>1.013888889</v>
      </c>
      <c r="Q34" s="30">
        <f>IFERROR(__xludf.DUMMYFUNCTION("""COMPUTED_VALUE"""),0.7777777777777778)</f>
        <v>0.7777777778</v>
      </c>
      <c r="R34" s="30">
        <f>IFERROR(__xludf.DUMMYFUNCTION("""COMPUTED_VALUE"""),1.2222222222222223)</f>
        <v>1.222222222</v>
      </c>
      <c r="S34" s="30">
        <f>IFERROR(__xludf.DUMMYFUNCTION("""COMPUTED_VALUE"""),3.2916666666666674)</f>
        <v>3.291666667</v>
      </c>
      <c r="T34" s="30">
        <f>IFERROR(__xludf.DUMMYFUNCTION("""COMPUTED_VALUE"""),378.67903813129055)</f>
        <v>378.6790381</v>
      </c>
      <c r="U34" s="30">
        <f>IFERROR(__xludf.DUMMYFUNCTION("""COMPUTED_VALUE"""),0.8634823469281745)</f>
        <v>0.8634823469</v>
      </c>
      <c r="V34" s="30">
        <f>IFERROR(__xludf.DUMMYFUNCTION("""COMPUTED_VALUE"""),0.630068781213592)</f>
        <v>0.6300687812</v>
      </c>
      <c r="W34" s="30">
        <f>IFERROR(__xludf.DUMMYFUNCTION("""COMPUTED_VALUE"""),1.4554936571013013)</f>
        <v>1.455493657</v>
      </c>
      <c r="X34" s="30">
        <f>IFERROR(__xludf.DUMMYFUNCTION("""COMPUTED_VALUE"""),2.8554309160810454)</f>
        <v>2.855430916</v>
      </c>
      <c r="Y34" s="30">
        <f>IFERROR(__xludf.DUMMYFUNCTION("""COMPUTED_VALUE"""),375.6902927218582)</f>
        <v>375.6902927</v>
      </c>
      <c r="Z34" s="30">
        <f>IFERROR(__xludf.DUMMYFUNCTION("""COMPUTED_VALUE"""),0.8153816684847538)</f>
        <v>0.8153816685</v>
      </c>
      <c r="AA34" s="30">
        <f>IFERROR(__xludf.DUMMYFUNCTION("""COMPUTED_VALUE"""),0.6345411973032941)</f>
        <v>0.6345411973</v>
      </c>
      <c r="AB34" s="30">
        <f>IFERROR(__xludf.DUMMYFUNCTION("""COMPUTED_VALUE"""),1.503858600315959)</f>
        <v>1.5038586</v>
      </c>
      <c r="AC34" s="30">
        <f>IFERROR(__xludf.DUMMYFUNCTION("""COMPUTED_VALUE"""),2.7327181947052033)</f>
        <v>2.732718195</v>
      </c>
      <c r="AD34" s="30">
        <f>IFERROR(__xludf.DUMMYFUNCTION("""COMPUTED_VALUE"""),0.9047789449229222)</f>
        <v>0.9047789449</v>
      </c>
      <c r="AE34" s="30">
        <f>IFERROR(__xludf.DUMMYFUNCTION("""COMPUTED_VALUE"""),0.7665122042312463)</f>
        <v>0.7665122042</v>
      </c>
      <c r="AF34" s="30">
        <f>IFERROR(__xludf.DUMMYFUNCTION("""COMPUTED_VALUE"""),0.7223066607513933)</f>
        <v>0.7223066608</v>
      </c>
      <c r="AG34" s="30">
        <f>IFERROR(__xludf.DUMMYFUNCTION("""COMPUTED_VALUE"""),1.10826022228187)</f>
        <v>1.108260222</v>
      </c>
      <c r="AH34" s="30">
        <f>IFERROR(__xludf.DUMMYFUNCTION("""COMPUTED_VALUE"""),0.8386033624348463)</f>
        <v>0.8386033624</v>
      </c>
      <c r="AI34" s="30">
        <f>IFERROR(__xludf.DUMMYFUNCTION("""COMPUTED_VALUE"""),1.0573671565072358)</f>
        <v>1.057367157</v>
      </c>
      <c r="AJ34" s="30">
        <f>IFERROR(__xludf.DUMMYFUNCTION("""COMPUTED_VALUE"""),1.1741860068081111)</f>
        <v>1.174186007</v>
      </c>
      <c r="AK34" s="30">
        <f>IFERROR(__xludf.DUMMYFUNCTION("""COMPUTED_VALUE"""),1.234433130109509)</f>
        <v>1.23443313</v>
      </c>
      <c r="AL34" s="30">
        <f>IFERROR(__xludf.DUMMYFUNCTION("""COMPUTED_VALUE"""),0.8397303665729108)</f>
        <v>0.8397303666</v>
      </c>
      <c r="AM34" s="30">
        <f>IFERROR(__xludf.DUMMYFUNCTION("""COMPUTED_VALUE"""),1.1527740517653065)</f>
        <v>1.152774052</v>
      </c>
      <c r="AN34" s="30">
        <f>IFERROR(__xludf.DUMMYFUNCTION("""COMPUTED_VALUE"""),0.9229013849995701)</f>
        <v>0.922901385</v>
      </c>
      <c r="AO34" s="30">
        <f>IFERROR(__xludf.DUMMYFUNCTION("""COMPUTED_VALUE"""),0.780128733938306)</f>
        <v>0.7801287339</v>
      </c>
      <c r="AP34" s="30">
        <f>IFERROR(__xludf.DUMMYFUNCTION("""COMPUTED_VALUE"""),0.7537043967585861)</f>
        <v>0.7537043968</v>
      </c>
      <c r="AQ34" s="30">
        <f>IFERROR(__xludf.DUMMYFUNCTION("""COMPUTED_VALUE"""),1.1280698460548693)</f>
        <v>1.128069846</v>
      </c>
      <c r="AR34" s="30">
        <f>IFERROR(__xludf.DUMMYFUNCTION("""COMPUTED_VALUE"""),0.8633455265392561)</f>
        <v>0.8633455265</v>
      </c>
      <c r="AS34" s="30">
        <f>IFERROR(__xludf.DUMMYFUNCTION("""COMPUTED_VALUE"""),42.0)</f>
        <v>42</v>
      </c>
      <c r="AT34" s="30">
        <f>IFERROR(__xludf.DUMMYFUNCTION("""COMPUTED_VALUE"""),0.29594521249798944)</f>
        <v>0.2959452125</v>
      </c>
      <c r="AU34" s="30">
        <f>IFERROR(__xludf.DUMMYFUNCTION("""COMPUTED_VALUE"""),1.6618177081709258)</f>
        <v>1.661817708</v>
      </c>
      <c r="AV34" s="32">
        <f>IFERROR(__xludf.DUMMYFUNCTION("""COMPUTED_VALUE"""),26.033270443071483)</f>
        <v>26.03327044</v>
      </c>
      <c r="AW34" s="32">
        <f>IFERROR(__xludf.DUMMYFUNCTION("""COMPUTED_VALUE"""),-5.921970430965502)</f>
        <v>-5.921970431</v>
      </c>
      <c r="AX34" s="32">
        <f>IFERROR(__xludf.DUMMYFUNCTION("""COMPUTED_VALUE"""),28.52327178301902)</f>
        <v>28.52327178</v>
      </c>
      <c r="AY34" s="32">
        <f>IFERROR(__xludf.DUMMYFUNCTION("""COMPUTED_VALUE"""),-5.124232164890462)</f>
        <v>-5.124232165</v>
      </c>
      <c r="AZ34" s="30">
        <f>IFERROR(__xludf.DUMMYFUNCTION("""COMPUTED_VALUE"""),0.7977382660750401)</f>
        <v>0.7977382661</v>
      </c>
      <c r="BA34" s="30">
        <f>IFERROR(__xludf.DUMMYFUNCTION("""COMPUTED_VALUE"""),2.0)</f>
        <v>2</v>
      </c>
    </row>
    <row r="35">
      <c r="A35" s="30" t="str">
        <f>IFERROR(__xludf.DUMMYFUNCTION("""COMPUTED_VALUE"""),"Premier")</f>
        <v>Premier</v>
      </c>
      <c r="B35" s="71" t="str">
        <f>IFERROR(__xludf.DUMMYFUNCTION("""COMPUTED_VALUE"""),"RSC005920")</f>
        <v>RSC005920</v>
      </c>
      <c r="C35" s="30" t="str">
        <f>IFERROR(__xludf.DUMMYFUNCTION("""COMPUTED_VALUE"""),"Lavar Ball")</f>
        <v>Lavar Ball</v>
      </c>
      <c r="D35" s="30" t="str">
        <f>IFERROR(__xludf.DUMMYFUNCTION("""COMPUTED_VALUE"""),"Capybaras")</f>
        <v>Capybaras</v>
      </c>
      <c r="E35" s="30">
        <f>IFERROR(__xludf.DUMMYFUNCTION("""COMPUTED_VALUE"""),8.0)</f>
        <v>8</v>
      </c>
      <c r="F35" s="30">
        <f>IFERROR(__xludf.DUMMYFUNCTION("""COMPUTED_VALUE"""),2.0)</f>
        <v>2</v>
      </c>
      <c r="G35" s="30">
        <f>IFERROR(__xludf.DUMMYFUNCTION("""COMPUTED_VALUE"""),6.0)</f>
        <v>6</v>
      </c>
      <c r="H35" s="42">
        <f>IFERROR(__xludf.DUMMYFUNCTION("""COMPUTED_VALUE"""),0.25)</f>
        <v>0.25</v>
      </c>
      <c r="I35" s="42">
        <f>IFERROR(__xludf.DUMMYFUNCTION("""COMPUTED_VALUE"""),0.20689655172413793)</f>
        <v>0.2068965517</v>
      </c>
      <c r="J35" s="30">
        <f>IFERROR(__xludf.DUMMYFUNCTION("""COMPUTED_VALUE"""),348.5)</f>
        <v>348.5</v>
      </c>
      <c r="K35" s="30">
        <f>IFERROR(__xludf.DUMMYFUNCTION("""COMPUTED_VALUE"""),0.75)</f>
        <v>0.75</v>
      </c>
      <c r="L35" s="30">
        <f>IFERROR(__xludf.DUMMYFUNCTION("""COMPUTED_VALUE"""),0.375)</f>
        <v>0.375</v>
      </c>
      <c r="M35" s="30">
        <f>IFERROR(__xludf.DUMMYFUNCTION("""COMPUTED_VALUE"""),1.0)</f>
        <v>1</v>
      </c>
      <c r="N35" s="30">
        <f>IFERROR(__xludf.DUMMYFUNCTION("""COMPUTED_VALUE"""),3.625)</f>
        <v>3.625</v>
      </c>
      <c r="O35" s="30">
        <f>IFERROR(__xludf.DUMMYFUNCTION("""COMPUTED_VALUE"""),440.1666666666667)</f>
        <v>440.1666667</v>
      </c>
      <c r="P35" s="30">
        <f>IFERROR(__xludf.DUMMYFUNCTION("""COMPUTED_VALUE"""),1.0833333333333335)</f>
        <v>1.083333333</v>
      </c>
      <c r="Q35" s="30">
        <f>IFERROR(__xludf.DUMMYFUNCTION("""COMPUTED_VALUE"""),0.875)</f>
        <v>0.875</v>
      </c>
      <c r="R35" s="30">
        <f>IFERROR(__xludf.DUMMYFUNCTION("""COMPUTED_VALUE"""),1.7083333333333333)</f>
        <v>1.708333333</v>
      </c>
      <c r="S35" s="30">
        <f>IFERROR(__xludf.DUMMYFUNCTION("""COMPUTED_VALUE"""),2.666666666666667)</f>
        <v>2.666666667</v>
      </c>
      <c r="T35" s="30">
        <f>IFERROR(__xludf.DUMMYFUNCTION("""COMPUTED_VALUE"""),385.36540948981934)</f>
        <v>385.3654095</v>
      </c>
      <c r="U35" s="30">
        <f>IFERROR(__xludf.DUMMYFUNCTION("""COMPUTED_VALUE"""),0.885540239487608)</f>
        <v>0.8855402395</v>
      </c>
      <c r="V35" s="30">
        <f>IFERROR(__xludf.DUMMYFUNCTION("""COMPUTED_VALUE"""),0.6900146608350943)</f>
        <v>0.6900146608</v>
      </c>
      <c r="W35" s="30">
        <f>IFERROR(__xludf.DUMMYFUNCTION("""COMPUTED_VALUE"""),1.507231723098596)</f>
        <v>1.507231723</v>
      </c>
      <c r="X35" s="30">
        <f>IFERROR(__xludf.DUMMYFUNCTION("""COMPUTED_VALUE"""),2.5401096695988334)</f>
        <v>2.54010967</v>
      </c>
      <c r="Y35" s="30">
        <f>IFERROR(__xludf.DUMMYFUNCTION("""COMPUTED_VALUE"""),360.95225859105824)</f>
        <v>360.9522586</v>
      </c>
      <c r="Z35" s="30">
        <f>IFERROR(__xludf.DUMMYFUNCTION("""COMPUTED_VALUE"""),0.8387461539196575)</f>
        <v>0.8387461539</v>
      </c>
      <c r="AA35" s="30">
        <f>IFERROR(__xludf.DUMMYFUNCTION("""COMPUTED_VALUE"""),0.6528491708574269)</f>
        <v>0.6528491709</v>
      </c>
      <c r="AB35" s="30">
        <f>IFERROR(__xludf.DUMMYFUNCTION("""COMPUTED_VALUE"""),1.2419132833445268)</f>
        <v>1.241913283</v>
      </c>
      <c r="AC35" s="30">
        <f>IFERROR(__xludf.DUMMYFUNCTION("""COMPUTED_VALUE"""),2.724193654069815)</f>
        <v>2.724193654</v>
      </c>
      <c r="AD35" s="30">
        <f>IFERROR(__xludf.DUMMYFUNCTION("""COMPUTED_VALUE"""),0.9655016465621675)</f>
        <v>0.9655016466</v>
      </c>
      <c r="AE35" s="30">
        <f>IFERROR(__xludf.DUMMYFUNCTION("""COMPUTED_VALUE"""),0.8941918797422488)</f>
        <v>0.8941918797</v>
      </c>
      <c r="AF35" s="30">
        <f>IFERROR(__xludf.DUMMYFUNCTION("""COMPUTED_VALUE"""),0.57440526348144)</f>
        <v>0.5744052635</v>
      </c>
      <c r="AG35" s="30">
        <f>IFERROR(__xludf.DUMMYFUNCTION("""COMPUTED_VALUE"""),0.8052091989119854)</f>
        <v>0.8052091989</v>
      </c>
      <c r="AH35" s="30">
        <f>IFERROR(__xludf.DUMMYFUNCTION("""COMPUTED_VALUE"""),1.3306689833097671)</f>
        <v>1.330668983</v>
      </c>
      <c r="AI35" s="30">
        <f>IFERROR(__xludf.DUMMYFUNCTION("""COMPUTED_VALUE"""),1.1422059578450439)</f>
        <v>1.142205958</v>
      </c>
      <c r="AJ35" s="30">
        <f>IFERROR(__xludf.DUMMYFUNCTION("""COMPUTED_VALUE"""),1.2233586742034137)</f>
        <v>1.223358674</v>
      </c>
      <c r="AK35" s="30">
        <f>IFERROR(__xludf.DUMMYFUNCTION("""COMPUTED_VALUE"""),1.2680889981975543)</f>
        <v>1.268088998</v>
      </c>
      <c r="AL35" s="30">
        <f>IFERROR(__xludf.DUMMYFUNCTION("""COMPUTED_VALUE"""),1.13342448088958)</f>
        <v>1.133424481</v>
      </c>
      <c r="AM35" s="30">
        <f>IFERROR(__xludf.DUMMYFUNCTION("""COMPUTED_VALUE"""),1.0498234381698255)</f>
        <v>1.049823438</v>
      </c>
      <c r="AN35" s="30">
        <f>IFERROR(__xludf.DUMMYFUNCTION("""COMPUTED_VALUE"""),0.9462058328188777)</f>
        <v>0.9462058328</v>
      </c>
      <c r="AO35" s="30">
        <f>IFERROR(__xludf.DUMMYFUNCTION("""COMPUTED_VALUE"""),0.9361544807259672)</f>
        <v>0.9361544807</v>
      </c>
      <c r="AP35" s="30">
        <f>IFERROR(__xludf.DUMMYFUNCTION("""COMPUTED_VALUE"""),0.6166672337115705)</f>
        <v>0.6166672337</v>
      </c>
      <c r="AQ35" s="30">
        <f>IFERROR(__xludf.DUMMYFUNCTION("""COMPUTED_VALUE"""),0.6768419076329215)</f>
        <v>0.6768419076</v>
      </c>
      <c r="AR35" s="30">
        <f>IFERROR(__xludf.DUMMYFUNCTION("""COMPUTED_VALUE"""),1.365655651071187)</f>
        <v>1.365655651</v>
      </c>
      <c r="AS35" s="30">
        <f>IFERROR(__xludf.DUMMYFUNCTION("""COMPUTED_VALUE"""),16.0)</f>
        <v>16</v>
      </c>
      <c r="AT35" s="30">
        <f>IFERROR(__xludf.DUMMYFUNCTION("""COMPUTED_VALUE"""),0.3140149230069259)</f>
        <v>0.314014923</v>
      </c>
      <c r="AU35" s="30">
        <f>IFERROR(__xludf.DUMMYFUNCTION("""COMPUTED_VALUE"""),2.1892413853951584)</f>
        <v>2.189241385</v>
      </c>
      <c r="AV35" s="32">
        <f>IFERROR(__xludf.DUMMYFUNCTION("""COMPUTED_VALUE"""),40.862938811744826)</f>
        <v>40.86293881</v>
      </c>
      <c r="AW35" s="32">
        <f>IFERROR(__xludf.DUMMYFUNCTION("""COMPUTED_VALUE"""),-2.7981760662378803)</f>
        <v>-2.798176066</v>
      </c>
      <c r="AX35" s="32">
        <f>IFERROR(__xludf.DUMMYFUNCTION("""COMPUTED_VALUE"""),49.22600648865721)</f>
        <v>49.22600649</v>
      </c>
      <c r="AY35" s="32">
        <f>IFERROR(__xludf.DUMMYFUNCTION("""COMPUTED_VALUE"""),-2.050647619327822)</f>
        <v>-2.050647619</v>
      </c>
      <c r="AZ35" s="30">
        <f>IFERROR(__xludf.DUMMYFUNCTION("""COMPUTED_VALUE"""),0.7475284469100583)</f>
        <v>0.7475284469</v>
      </c>
      <c r="BA35" s="30">
        <f>IFERROR(__xludf.DUMMYFUNCTION("""COMPUTED_VALUE"""),2.0)</f>
        <v>2</v>
      </c>
    </row>
    <row r="36">
      <c r="A36" s="30" t="str">
        <f>IFERROR(__xludf.DUMMYFUNCTION("""COMPUTED_VALUE"""),"Premier")</f>
        <v>Premier</v>
      </c>
      <c r="B36" s="71" t="str">
        <f>IFERROR(__xludf.DUMMYFUNCTION("""COMPUTED_VALUE"""),"RSC006203")</f>
        <v>RSC006203</v>
      </c>
      <c r="C36" s="30" t="str">
        <f>IFERROR(__xludf.DUMMYFUNCTION("""COMPUTED_VALUE"""),"Lonzo Ball")</f>
        <v>Lonzo Ball</v>
      </c>
      <c r="D36" s="30" t="str">
        <f>IFERROR(__xludf.DUMMYFUNCTION("""COMPUTED_VALUE"""),"Capybaras")</f>
        <v>Capybaras</v>
      </c>
      <c r="E36" s="30">
        <f>IFERROR(__xludf.DUMMYFUNCTION("""COMPUTED_VALUE"""),32.0)</f>
        <v>32</v>
      </c>
      <c r="F36" s="30">
        <f>IFERROR(__xludf.DUMMYFUNCTION("""COMPUTED_VALUE"""),14.0)</f>
        <v>14</v>
      </c>
      <c r="G36" s="30">
        <f>IFERROR(__xludf.DUMMYFUNCTION("""COMPUTED_VALUE"""),18.0)</f>
        <v>18</v>
      </c>
      <c r="H36" s="42">
        <f>IFERROR(__xludf.DUMMYFUNCTION("""COMPUTED_VALUE"""),0.4375)</f>
        <v>0.4375</v>
      </c>
      <c r="I36" s="42">
        <f>IFERROR(__xludf.DUMMYFUNCTION("""COMPUTED_VALUE"""),0.31313131313131315)</f>
        <v>0.3131313131</v>
      </c>
      <c r="J36" s="30">
        <f>IFERROR(__xludf.DUMMYFUNCTION("""COMPUTED_VALUE"""),384.21875)</f>
        <v>384.21875</v>
      </c>
      <c r="K36" s="30">
        <f>IFERROR(__xludf.DUMMYFUNCTION("""COMPUTED_VALUE"""),0.96875)</f>
        <v>0.96875</v>
      </c>
      <c r="L36" s="30">
        <f>IFERROR(__xludf.DUMMYFUNCTION("""COMPUTED_VALUE"""),0.59375)</f>
        <v>0.59375</v>
      </c>
      <c r="M36" s="30">
        <f>IFERROR(__xludf.DUMMYFUNCTION("""COMPUTED_VALUE"""),1.25)</f>
        <v>1.25</v>
      </c>
      <c r="N36" s="30">
        <f>IFERROR(__xludf.DUMMYFUNCTION("""COMPUTED_VALUE"""),3.09375)</f>
        <v>3.09375</v>
      </c>
      <c r="O36" s="30">
        <f>IFERROR(__xludf.DUMMYFUNCTION("""COMPUTED_VALUE"""),394.8333333333333)</f>
        <v>394.8333333</v>
      </c>
      <c r="P36" s="30">
        <f>IFERROR(__xludf.DUMMYFUNCTION("""COMPUTED_VALUE"""),0.8854166666666667)</f>
        <v>0.8854166667</v>
      </c>
      <c r="Q36" s="30">
        <f>IFERROR(__xludf.DUMMYFUNCTION("""COMPUTED_VALUE"""),0.6875)</f>
        <v>0.6875</v>
      </c>
      <c r="R36" s="30">
        <f>IFERROR(__xludf.DUMMYFUNCTION("""COMPUTED_VALUE"""),1.6041666666666663)</f>
        <v>1.604166667</v>
      </c>
      <c r="S36" s="30">
        <f>IFERROR(__xludf.DUMMYFUNCTION("""COMPUTED_VALUE"""),2.65625)</f>
        <v>2.65625</v>
      </c>
      <c r="T36" s="30">
        <f>IFERROR(__xludf.DUMMYFUNCTION("""COMPUTED_VALUE"""),385.04416081816566)</f>
        <v>385.0441608</v>
      </c>
      <c r="U36" s="30">
        <f>IFERROR(__xludf.DUMMYFUNCTION("""COMPUTED_VALUE"""),0.8234628135418149)</f>
        <v>0.8234628135</v>
      </c>
      <c r="V36" s="30">
        <f>IFERROR(__xludf.DUMMYFUNCTION("""COMPUTED_VALUE"""),0.6780903005488617)</f>
        <v>0.6780903005</v>
      </c>
      <c r="W36" s="30">
        <f>IFERROR(__xludf.DUMMYFUNCTION("""COMPUTED_VALUE"""),1.5440436451811708)</f>
        <v>1.544043645</v>
      </c>
      <c r="X36" s="30">
        <f>IFERROR(__xludf.DUMMYFUNCTION("""COMPUTED_VALUE"""),2.7711617244351654)</f>
        <v>2.771161724</v>
      </c>
      <c r="Y36" s="30">
        <f>IFERROR(__xludf.DUMMYFUNCTION("""COMPUTED_VALUE"""),375.4928460308269)</f>
        <v>375.492846</v>
      </c>
      <c r="Z36" s="30">
        <f>IFERROR(__xludf.DUMMYFUNCTION("""COMPUTED_VALUE"""),0.8247530141286418)</f>
        <v>0.8247530141</v>
      </c>
      <c r="AA36" s="30">
        <f>IFERROR(__xludf.DUMMYFUNCTION("""COMPUTED_VALUE"""),0.6300754003811799)</f>
        <v>0.6300754004</v>
      </c>
      <c r="AB36" s="30">
        <f>IFERROR(__xludf.DUMMYFUNCTION("""COMPUTED_VALUE"""),1.4704837957354153)</f>
        <v>1.470483796</v>
      </c>
      <c r="AC36" s="30">
        <f>IFERROR(__xludf.DUMMYFUNCTION("""COMPUTED_VALUE"""),2.8323820162811715)</f>
        <v>2.832382016</v>
      </c>
      <c r="AD36" s="30">
        <f>IFERROR(__xludf.DUMMYFUNCTION("""COMPUTED_VALUE"""),1.0232385358640275)</f>
        <v>1.023238536</v>
      </c>
      <c r="AE36" s="30">
        <f>IFERROR(__xludf.DUMMYFUNCTION("""COMPUTED_VALUE"""),1.1745940704727127)</f>
        <v>1.17459407</v>
      </c>
      <c r="AF36" s="30">
        <f>IFERROR(__xludf.DUMMYFUNCTION("""COMPUTED_VALUE"""),0.9423475343439786)</f>
        <v>0.9423475343</v>
      </c>
      <c r="AG36" s="30">
        <f>IFERROR(__xludf.DUMMYFUNCTION("""COMPUTED_VALUE"""),0.8500603703523659)</f>
        <v>0.8500603704</v>
      </c>
      <c r="AH36" s="30">
        <f>IFERROR(__xludf.DUMMYFUNCTION("""COMPUTED_VALUE"""),1.0922785070009717)</f>
        <v>1.092278507</v>
      </c>
      <c r="AI36" s="30">
        <f>IFERROR(__xludf.DUMMYFUNCTION("""COMPUTED_VALUE"""),1.0254235059541406)</f>
        <v>1.025423506</v>
      </c>
      <c r="AJ36" s="30">
        <f>IFERROR(__xludf.DUMMYFUNCTION("""COMPUTED_VALUE"""),1.0752357630557483)</f>
        <v>1.075235763</v>
      </c>
      <c r="AK36" s="30">
        <f>IFERROR(__xludf.DUMMYFUNCTION("""COMPUTED_VALUE"""),1.013876764560003)</f>
        <v>1.013876765</v>
      </c>
      <c r="AL36" s="30">
        <f>IFERROR(__xludf.DUMMYFUNCTION("""COMPUTED_VALUE"""),1.0389386800516516)</f>
        <v>1.03893868</v>
      </c>
      <c r="AM36" s="30">
        <f>IFERROR(__xludf.DUMMYFUNCTION("""COMPUTED_VALUE"""),0.9585330139984568)</f>
        <v>0.958533014</v>
      </c>
      <c r="AN36" s="30">
        <f>IFERROR(__xludf.DUMMYFUNCTION("""COMPUTED_VALUE"""),1.0431851429795642)</f>
        <v>1.043185143</v>
      </c>
      <c r="AO36" s="30">
        <f>IFERROR(__xludf.DUMMYFUNCTION("""COMPUTED_VALUE"""),1.2091995376043743)</f>
        <v>1.209199538</v>
      </c>
      <c r="AP36" s="30">
        <f>IFERROR(__xludf.DUMMYFUNCTION("""COMPUTED_VALUE"""),0.9763897867099866)</f>
        <v>0.9763897867</v>
      </c>
      <c r="AQ36" s="30">
        <f>IFERROR(__xludf.DUMMYFUNCTION("""COMPUTED_VALUE"""),0.846052384541152)</f>
        <v>0.8460523845</v>
      </c>
      <c r="AR36" s="30">
        <f>IFERROR(__xludf.DUMMYFUNCTION("""COMPUTED_VALUE"""),1.1655164608279958)</f>
        <v>1.165516461</v>
      </c>
      <c r="AS36" s="30">
        <f>IFERROR(__xludf.DUMMYFUNCTION("""COMPUTED_VALUE"""),81.0)</f>
        <v>81</v>
      </c>
      <c r="AT36" s="30">
        <f>IFERROR(__xludf.DUMMYFUNCTION("""COMPUTED_VALUE"""),0.48068108617701755)</f>
        <v>0.4806810862</v>
      </c>
      <c r="AU36" s="30">
        <f>IFERROR(__xludf.DUMMYFUNCTION("""COMPUTED_VALUE"""),2.914007089998022)</f>
        <v>2.91400709</v>
      </c>
      <c r="AV36" s="32">
        <f>IFERROR(__xludf.DUMMYFUNCTION("""COMPUTED_VALUE"""),61.241309196658044)</f>
        <v>61.2413092</v>
      </c>
      <c r="AW36" s="32">
        <f>IFERROR(__xludf.DUMMYFUNCTION("""COMPUTED_VALUE"""),3.0629694993426195)</f>
        <v>3.062969499</v>
      </c>
      <c r="AX36" s="32">
        <f>IFERROR(__xludf.DUMMYFUNCTION("""COMPUTED_VALUE"""),54.98975860304694)</f>
        <v>54.9897586</v>
      </c>
      <c r="AY36" s="32">
        <f>IFERROR(__xludf.DUMMYFUNCTION("""COMPUTED_VALUE"""),2.375858483472317)</f>
        <v>2.375858483</v>
      </c>
      <c r="AZ36" s="30">
        <f>IFERROR(__xludf.DUMMYFUNCTION("""COMPUTED_VALUE"""),0.6871110158703027)</f>
        <v>0.6871110159</v>
      </c>
      <c r="BA36" s="30">
        <f>IFERROR(__xludf.DUMMYFUNCTION("""COMPUTED_VALUE"""),2.0)</f>
        <v>2</v>
      </c>
    </row>
    <row r="37">
      <c r="A37" s="30" t="str">
        <f>IFERROR(__xludf.DUMMYFUNCTION("""COMPUTED_VALUE"""),"Premier")</f>
        <v>Premier</v>
      </c>
      <c r="B37" s="71" t="str">
        <f>IFERROR(__xludf.DUMMYFUNCTION("""COMPUTED_VALUE"""),"RSC007188")</f>
        <v>RSC007188</v>
      </c>
      <c r="C37" s="30" t="str">
        <f>IFERROR(__xludf.DUMMYFUNCTION("""COMPUTED_VALUE"""),"spoody")</f>
        <v>spoody</v>
      </c>
      <c r="D37" s="30"/>
      <c r="E37" s="30">
        <f>IFERROR(__xludf.DUMMYFUNCTION("""COMPUTED_VALUE"""),28.0)</f>
        <v>28</v>
      </c>
      <c r="F37" s="30">
        <f>IFERROR(__xludf.DUMMYFUNCTION("""COMPUTED_VALUE"""),12.0)</f>
        <v>12</v>
      </c>
      <c r="G37" s="30">
        <f>IFERROR(__xludf.DUMMYFUNCTION("""COMPUTED_VALUE"""),16.0)</f>
        <v>16</v>
      </c>
      <c r="H37" s="42">
        <f>IFERROR(__xludf.DUMMYFUNCTION("""COMPUTED_VALUE"""),0.42857142857142855)</f>
        <v>0.4285714286</v>
      </c>
      <c r="I37" s="42">
        <f>IFERROR(__xludf.DUMMYFUNCTION("""COMPUTED_VALUE"""),0.29069767441860467)</f>
        <v>0.2906976744</v>
      </c>
      <c r="J37" s="30">
        <f>IFERROR(__xludf.DUMMYFUNCTION("""COMPUTED_VALUE"""),389.64285714285717)</f>
        <v>389.6428571</v>
      </c>
      <c r="K37" s="30">
        <f>IFERROR(__xludf.DUMMYFUNCTION("""COMPUTED_VALUE"""),0.8928571428571429)</f>
        <v>0.8928571429</v>
      </c>
      <c r="L37" s="30">
        <f>IFERROR(__xludf.DUMMYFUNCTION("""COMPUTED_VALUE"""),0.6785714285714286)</f>
        <v>0.6785714286</v>
      </c>
      <c r="M37" s="30">
        <f>IFERROR(__xludf.DUMMYFUNCTION("""COMPUTED_VALUE"""),1.5357142857142858)</f>
        <v>1.535714286</v>
      </c>
      <c r="N37" s="30">
        <f>IFERROR(__xludf.DUMMYFUNCTION("""COMPUTED_VALUE"""),3.0714285714285716)</f>
        <v>3.071428571</v>
      </c>
      <c r="O37" s="30">
        <f>IFERROR(__xludf.DUMMYFUNCTION("""COMPUTED_VALUE"""),394.38095238095235)</f>
        <v>394.3809524</v>
      </c>
      <c r="P37" s="30">
        <f>IFERROR(__xludf.DUMMYFUNCTION("""COMPUTED_VALUE"""),0.9047619047619049)</f>
        <v>0.9047619048</v>
      </c>
      <c r="Q37" s="30">
        <f>IFERROR(__xludf.DUMMYFUNCTION("""COMPUTED_VALUE"""),0.7142857142857143)</f>
        <v>0.7142857143</v>
      </c>
      <c r="R37" s="30">
        <f>IFERROR(__xludf.DUMMYFUNCTION("""COMPUTED_VALUE"""),1.5357142857142854)</f>
        <v>1.535714286</v>
      </c>
      <c r="S37" s="30">
        <f>IFERROR(__xludf.DUMMYFUNCTION("""COMPUTED_VALUE"""),2.75)</f>
        <v>2.75</v>
      </c>
      <c r="T37" s="30">
        <f>IFERROR(__xludf.DUMMYFUNCTION("""COMPUTED_VALUE"""),384.46262091674674)</f>
        <v>384.4626209</v>
      </c>
      <c r="U37" s="30">
        <f>IFERROR(__xludf.DUMMYFUNCTION("""COMPUTED_VALUE"""),0.8204017865071113)</f>
        <v>0.8204017865</v>
      </c>
      <c r="V37" s="30">
        <f>IFERROR(__xludf.DUMMYFUNCTION("""COMPUTED_VALUE"""),0.6811146180597404)</f>
        <v>0.6811146181</v>
      </c>
      <c r="W37" s="30">
        <f>IFERROR(__xludf.DUMMYFUNCTION("""COMPUTED_VALUE"""),1.520638335472199)</f>
        <v>1.520638335</v>
      </c>
      <c r="X37" s="30">
        <f>IFERROR(__xludf.DUMMYFUNCTION("""COMPUTED_VALUE"""),2.838015038372656)</f>
        <v>2.838015038</v>
      </c>
      <c r="Y37" s="30">
        <f>IFERROR(__xludf.DUMMYFUNCTION("""COMPUTED_VALUE"""),379.05518349207387)</f>
        <v>379.0551835</v>
      </c>
      <c r="Z37" s="30">
        <f>IFERROR(__xludf.DUMMYFUNCTION("""COMPUTED_VALUE"""),0.8232554106120176)</f>
        <v>0.8232554106</v>
      </c>
      <c r="AA37" s="30">
        <f>IFERROR(__xludf.DUMMYFUNCTION("""COMPUTED_VALUE"""),0.6260481667986316)</f>
        <v>0.6260481668</v>
      </c>
      <c r="AB37" s="30">
        <f>IFERROR(__xludf.DUMMYFUNCTION("""COMPUTED_VALUE"""),1.5186368759419846)</f>
        <v>1.518636876</v>
      </c>
      <c r="AC37" s="30">
        <f>IFERROR(__xludf.DUMMYFUNCTION("""COMPUTED_VALUE"""),2.810087542814397)</f>
        <v>2.810087543</v>
      </c>
      <c r="AD37" s="30">
        <f>IFERROR(__xludf.DUMMYFUNCTION("""COMPUTED_VALUE"""),1.0279317474391025)</f>
        <v>1.027931747</v>
      </c>
      <c r="AE37" s="30">
        <f>IFERROR(__xludf.DUMMYFUNCTION("""COMPUTED_VALUE"""),1.084544518442196)</f>
        <v>1.084544518</v>
      </c>
      <c r="AF37" s="30">
        <f>IFERROR(__xludf.DUMMYFUNCTION("""COMPUTED_VALUE"""),1.0838965187636929)</f>
        <v>1.083896519</v>
      </c>
      <c r="AG37" s="30">
        <f>IFERROR(__xludf.DUMMYFUNCTION("""COMPUTED_VALUE"""),1.0112452226354034)</f>
        <v>1.011245223</v>
      </c>
      <c r="AH37" s="30">
        <f>IFERROR(__xludf.DUMMYFUNCTION("""COMPUTED_VALUE"""),1.093001027417257)</f>
        <v>1.093001027</v>
      </c>
      <c r="AI37" s="30">
        <f>IFERROR(__xludf.DUMMYFUNCTION("""COMPUTED_VALUE"""),1.025797908365072)</f>
        <v>1.025797908</v>
      </c>
      <c r="AJ37" s="30">
        <f>IFERROR(__xludf.DUMMYFUNCTION("""COMPUTED_VALUE"""),1.1028278090592167)</f>
        <v>1.102827809</v>
      </c>
      <c r="AK37" s="30">
        <f>IFERROR(__xludf.DUMMYFUNCTION("""COMPUTED_VALUE"""),1.0487011955791918)</f>
        <v>1.048701196</v>
      </c>
      <c r="AL37" s="30">
        <f>IFERROR(__xludf.DUMMYFUNCTION("""COMPUTED_VALUE"""),1.009914224763645)</f>
        <v>1.009914225</v>
      </c>
      <c r="AM37" s="30">
        <f>IFERROR(__xludf.DUMMYFUNCTION("""COMPUTED_VALUE"""),0.9689871134639495)</f>
        <v>0.9689871135</v>
      </c>
      <c r="AN37" s="30">
        <f>IFERROR(__xludf.DUMMYFUNCTION("""COMPUTED_VALUE"""),1.057912034848735)</f>
        <v>1.057912035</v>
      </c>
      <c r="AO37" s="30">
        <f>IFERROR(__xludf.DUMMYFUNCTION("""COMPUTED_VALUE"""),1.1144696199118658)</f>
        <v>1.11446962</v>
      </c>
      <c r="AP37" s="30">
        <f>IFERROR(__xludf.DUMMYFUNCTION("""COMPUTED_VALUE"""),1.1158740419542705)</f>
        <v>1.115874042</v>
      </c>
      <c r="AQ37" s="30">
        <f>IFERROR(__xludf.DUMMYFUNCTION("""COMPUTED_VALUE"""),1.0394357867219868)</f>
        <v>1.039435787</v>
      </c>
      <c r="AR37" s="30">
        <f>IFERROR(__xludf.DUMMYFUNCTION("""COMPUTED_VALUE"""),1.1571072511539122)</f>
        <v>1.157107251</v>
      </c>
      <c r="AS37" s="30">
        <f>IFERROR(__xludf.DUMMYFUNCTION("""COMPUTED_VALUE"""),70.0)</f>
        <v>70</v>
      </c>
      <c r="AT37" s="30">
        <f>IFERROR(__xludf.DUMMYFUNCTION("""COMPUTED_VALUE"""),0.4670225509757698)</f>
        <v>0.467022551</v>
      </c>
      <c r="AU37" s="30">
        <f>IFERROR(__xludf.DUMMYFUNCTION("""COMPUTED_VALUE"""),2.960945839613248)</f>
        <v>2.96094584</v>
      </c>
      <c r="AV37" s="32">
        <f>IFERROR(__xludf.DUMMYFUNCTION("""COMPUTED_VALUE"""),62.561094637648125)</f>
        <v>62.56109464</v>
      </c>
      <c r="AW37" s="32">
        <f>IFERROR(__xludf.DUMMYFUNCTION("""COMPUTED_VALUE"""),3.250154376434399)</f>
        <v>3.250154376</v>
      </c>
      <c r="AX37" s="32">
        <f>IFERROR(__xludf.DUMMYFUNCTION("""COMPUTED_VALUE"""),57.13621878568335)</f>
        <v>57.13621879</v>
      </c>
      <c r="AY37" s="32">
        <f>IFERROR(__xludf.DUMMYFUNCTION("""COMPUTED_VALUE"""),2.5796453834684883)</f>
        <v>2.579645383</v>
      </c>
      <c r="AZ37" s="30">
        <f>IFERROR(__xludf.DUMMYFUNCTION("""COMPUTED_VALUE"""),0.6705089929659107)</f>
        <v>0.670508993</v>
      </c>
      <c r="BA37" s="30">
        <f>IFERROR(__xludf.DUMMYFUNCTION("""COMPUTED_VALUE"""),2.0)</f>
        <v>2</v>
      </c>
    </row>
    <row r="38">
      <c r="A38" s="30" t="str">
        <f>IFERROR(__xludf.DUMMYFUNCTION("""COMPUTED_VALUE"""),"Premier")</f>
        <v>Premier</v>
      </c>
      <c r="B38" s="71" t="str">
        <f>IFERROR(__xludf.DUMMYFUNCTION("""COMPUTED_VALUE"""),"RSC002542")</f>
        <v>RSC002542</v>
      </c>
      <c r="C38" s="30" t="str">
        <f>IFERROR(__xludf.DUMMYFUNCTION("""COMPUTED_VALUE"""),"wicked.")</f>
        <v>wicked.</v>
      </c>
      <c r="D38" s="30" t="str">
        <f>IFERROR(__xludf.DUMMYFUNCTION("""COMPUTED_VALUE"""),"Fairies")</f>
        <v>Fairies</v>
      </c>
      <c r="E38" s="30">
        <f>IFERROR(__xludf.DUMMYFUNCTION("""COMPUTED_VALUE"""),11.0)</f>
        <v>11</v>
      </c>
      <c r="F38" s="30">
        <f>IFERROR(__xludf.DUMMYFUNCTION("""COMPUTED_VALUE"""),2.0)</f>
        <v>2</v>
      </c>
      <c r="G38" s="30">
        <f>IFERROR(__xludf.DUMMYFUNCTION("""COMPUTED_VALUE"""),9.0)</f>
        <v>9</v>
      </c>
      <c r="H38" s="42">
        <f>IFERROR(__xludf.DUMMYFUNCTION("""COMPUTED_VALUE"""),0.18181818181818182)</f>
        <v>0.1818181818</v>
      </c>
      <c r="I38" s="42">
        <f>IFERROR(__xludf.DUMMYFUNCTION("""COMPUTED_VALUE"""),0.32)</f>
        <v>0.32</v>
      </c>
      <c r="J38" s="30">
        <f>IFERROR(__xludf.DUMMYFUNCTION("""COMPUTED_VALUE"""),333.1818181818182)</f>
        <v>333.1818182</v>
      </c>
      <c r="K38" s="30">
        <f>IFERROR(__xludf.DUMMYFUNCTION("""COMPUTED_VALUE"""),0.7272727272727273)</f>
        <v>0.7272727273</v>
      </c>
      <c r="L38" s="30">
        <f>IFERROR(__xludf.DUMMYFUNCTION("""COMPUTED_VALUE"""),0.36363636363636365)</f>
        <v>0.3636363636</v>
      </c>
      <c r="M38" s="30">
        <f>IFERROR(__xludf.DUMMYFUNCTION("""COMPUTED_VALUE"""),1.5454545454545454)</f>
        <v>1.545454545</v>
      </c>
      <c r="N38" s="30">
        <f>IFERROR(__xludf.DUMMYFUNCTION("""COMPUTED_VALUE"""),2.272727272727273)</f>
        <v>2.272727273</v>
      </c>
      <c r="O38" s="30">
        <f>IFERROR(__xludf.DUMMYFUNCTION("""COMPUTED_VALUE"""),383.66666666666663)</f>
        <v>383.6666667</v>
      </c>
      <c r="P38" s="30">
        <f>IFERROR(__xludf.DUMMYFUNCTION("""COMPUTED_VALUE"""),0.9090909090909091)</f>
        <v>0.9090909091</v>
      </c>
      <c r="Q38" s="30">
        <f>IFERROR(__xludf.DUMMYFUNCTION("""COMPUTED_VALUE"""),0.8484848484848484)</f>
        <v>0.8484848485</v>
      </c>
      <c r="R38" s="30">
        <f>IFERROR(__xludf.DUMMYFUNCTION("""COMPUTED_VALUE"""),1.3333333333333335)</f>
        <v>1.333333333</v>
      </c>
      <c r="S38" s="30">
        <f>IFERROR(__xludf.DUMMYFUNCTION("""COMPUTED_VALUE"""),3.0)</f>
        <v>3</v>
      </c>
      <c r="T38" s="30">
        <f>IFERROR(__xludf.DUMMYFUNCTION("""COMPUTED_VALUE"""),393.2776700130055)</f>
        <v>393.27767</v>
      </c>
      <c r="U38" s="30">
        <f>IFERROR(__xludf.DUMMYFUNCTION("""COMPUTED_VALUE"""),0.8659722472983712)</f>
        <v>0.8659722473</v>
      </c>
      <c r="V38" s="30">
        <f>IFERROR(__xludf.DUMMYFUNCTION("""COMPUTED_VALUE"""),0.6902983692461068)</f>
        <v>0.6902983692</v>
      </c>
      <c r="W38" s="30">
        <f>IFERROR(__xludf.DUMMYFUNCTION("""COMPUTED_VALUE"""),1.5789642123144005)</f>
        <v>1.578964212</v>
      </c>
      <c r="X38" s="30">
        <f>IFERROR(__xludf.DUMMYFUNCTION("""COMPUTED_VALUE"""),2.6646057281984055)</f>
        <v>2.664605728</v>
      </c>
      <c r="Y38" s="30">
        <f>IFERROR(__xludf.DUMMYFUNCTION("""COMPUTED_VALUE"""),357.1851741187181)</f>
        <v>357.1851741</v>
      </c>
      <c r="Z38" s="30">
        <f>IFERROR(__xludf.DUMMYFUNCTION("""COMPUTED_VALUE"""),0.7820679878989221)</f>
        <v>0.7820679879</v>
      </c>
      <c r="AA38" s="30">
        <f>IFERROR(__xludf.DUMMYFUNCTION("""COMPUTED_VALUE"""),0.606567717218538)</f>
        <v>0.6065677172</v>
      </c>
      <c r="AB38" s="30">
        <f>IFERROR(__xludf.DUMMYFUNCTION("""COMPUTED_VALUE"""),1.3470501885377255)</f>
        <v>1.347050189</v>
      </c>
      <c r="AC38" s="30">
        <f>IFERROR(__xludf.DUMMYFUNCTION("""COMPUTED_VALUE"""),2.856153903004498)</f>
        <v>2.856153903</v>
      </c>
      <c r="AD38" s="30">
        <f>IFERROR(__xludf.DUMMYFUNCTION("""COMPUTED_VALUE"""),0.9327985659087801)</f>
        <v>0.9327985659</v>
      </c>
      <c r="AE38" s="30">
        <f>IFERROR(__xludf.DUMMYFUNCTION("""COMPUTED_VALUE"""),0.9299354257250627)</f>
        <v>0.9299354257</v>
      </c>
      <c r="AF38" s="30">
        <f>IFERROR(__xludf.DUMMYFUNCTION("""COMPUTED_VALUE"""),0.5994983796761318)</f>
        <v>0.5994983797</v>
      </c>
      <c r="AG38" s="30">
        <f>IFERROR(__xludf.DUMMYFUNCTION("""COMPUTED_VALUE"""),1.1472880213410575)</f>
        <v>1.147288021</v>
      </c>
      <c r="AH38" s="30">
        <f>IFERROR(__xludf.DUMMYFUNCTION("""COMPUTED_VALUE"""),0.7957299746125389)</f>
        <v>0.7957299746</v>
      </c>
      <c r="AI38" s="30">
        <f>IFERROR(__xludf.DUMMYFUNCTION("""COMPUTED_VALUE"""),0.9755617873091522)</f>
        <v>0.9755617873</v>
      </c>
      <c r="AJ38" s="30">
        <f>IFERROR(__xludf.DUMMYFUNCTION("""COMPUTED_VALUE"""),1.049792198222354)</f>
        <v>1.049792198</v>
      </c>
      <c r="AK38" s="30">
        <f>IFERROR(__xludf.DUMMYFUNCTION("""COMPUTED_VALUE"""),1.2291566752671041)</f>
        <v>1.229156675</v>
      </c>
      <c r="AL38" s="30">
        <f>IFERROR(__xludf.DUMMYFUNCTION("""COMPUTED_VALUE"""),0.8444354361768414)</f>
        <v>0.8444354362</v>
      </c>
      <c r="AM38" s="30">
        <f>IFERROR(__xludf.DUMMYFUNCTION("""COMPUTED_VALUE"""),1.1258701308986383)</f>
        <v>1.125870131</v>
      </c>
      <c r="AN38" s="30">
        <f>IFERROR(__xludf.DUMMYFUNCTION("""COMPUTED_VALUE"""),0.9046157238244912)</f>
        <v>0.9046157238</v>
      </c>
      <c r="AO38" s="30">
        <f>IFERROR(__xludf.DUMMYFUNCTION("""COMPUTED_VALUE"""),0.9077861631282106)</f>
        <v>0.9077861631</v>
      </c>
      <c r="AP38" s="30">
        <f>IFERROR(__xludf.DUMMYFUNCTION("""COMPUTED_VALUE"""),0.5979803478415229)</f>
        <v>0.5979803478</v>
      </c>
      <c r="AQ38" s="30">
        <f>IFERROR(__xludf.DUMMYFUNCTION("""COMPUTED_VALUE"""),1.046028402705424)</f>
        <v>1.046028403</v>
      </c>
      <c r="AR38" s="30">
        <f>IFERROR(__xludf.DUMMYFUNCTION("""COMPUTED_VALUE"""),0.8562104395430641)</f>
        <v>0.8562104395</v>
      </c>
      <c r="AS38" s="30">
        <f>IFERROR(__xludf.DUMMYFUNCTION("""COMPUTED_VALUE"""),18.0)</f>
        <v>18</v>
      </c>
      <c r="AT38" s="30">
        <f>IFERROR(__xludf.DUMMYFUNCTION("""COMPUTED_VALUE"""),0.3143916380650231)</f>
        <v>0.3143916381</v>
      </c>
      <c r="AU38" s="30">
        <f>IFERROR(__xludf.DUMMYFUNCTION("""COMPUTED_VALUE"""),1.6951239072796427)</f>
        <v>1.695123907</v>
      </c>
      <c r="AV38" s="32">
        <f>IFERROR(__xludf.DUMMYFUNCTION("""COMPUTED_VALUE"""),26.969746958503475)</f>
        <v>26.96974696</v>
      </c>
      <c r="AW38" s="32">
        <f>IFERROR(__xludf.DUMMYFUNCTION("""COMPUTED_VALUE"""),-5.603171072300945)</f>
        <v>-5.603171072</v>
      </c>
      <c r="AX38" s="32">
        <f>IFERROR(__xludf.DUMMYFUNCTION("""COMPUTED_VALUE"""),29.10385017726203)</f>
        <v>29.10385018</v>
      </c>
      <c r="AY38" s="32">
        <f>IFERROR(__xludf.DUMMYFUNCTION("""COMPUTED_VALUE"""),-4.959806368591997)</f>
        <v>-4.959806369</v>
      </c>
      <c r="AZ38" s="30">
        <f>IFERROR(__xludf.DUMMYFUNCTION("""COMPUTED_VALUE"""),0.643364703708948)</f>
        <v>0.6433647037</v>
      </c>
      <c r="BA38" s="30">
        <f>IFERROR(__xludf.DUMMYFUNCTION("""COMPUTED_VALUE"""),2.0)</f>
        <v>2</v>
      </c>
    </row>
    <row r="39">
      <c r="A39" s="30" t="str">
        <f>IFERROR(__xludf.DUMMYFUNCTION("""COMPUTED_VALUE"""),"Premier")</f>
        <v>Premier</v>
      </c>
      <c r="B39" s="71" t="str">
        <f>IFERROR(__xludf.DUMMYFUNCTION("""COMPUTED_VALUE"""),"RSC001977")</f>
        <v>RSC001977</v>
      </c>
      <c r="C39" s="30" t="str">
        <f>IFERROR(__xludf.DUMMYFUNCTION("""COMPUTED_VALUE"""),"LaMelo Ball")</f>
        <v>LaMelo Ball</v>
      </c>
      <c r="D39" s="30" t="str">
        <f>IFERROR(__xludf.DUMMYFUNCTION("""COMPUTED_VALUE"""),"Capybaras")</f>
        <v>Capybaras</v>
      </c>
      <c r="E39" s="30">
        <f>IFERROR(__xludf.DUMMYFUNCTION("""COMPUTED_VALUE"""),20.0)</f>
        <v>20</v>
      </c>
      <c r="F39" s="30">
        <f>IFERROR(__xludf.DUMMYFUNCTION("""COMPUTED_VALUE"""),9.0)</f>
        <v>9</v>
      </c>
      <c r="G39" s="30">
        <f>IFERROR(__xludf.DUMMYFUNCTION("""COMPUTED_VALUE"""),11.0)</f>
        <v>11</v>
      </c>
      <c r="H39" s="42">
        <f>IFERROR(__xludf.DUMMYFUNCTION("""COMPUTED_VALUE"""),0.45)</f>
        <v>0.45</v>
      </c>
      <c r="I39" s="42">
        <f>IFERROR(__xludf.DUMMYFUNCTION("""COMPUTED_VALUE"""),0.3255813953488372)</f>
        <v>0.3255813953</v>
      </c>
      <c r="J39" s="30">
        <f>IFERROR(__xludf.DUMMYFUNCTION("""COMPUTED_VALUE"""),343.9)</f>
        <v>343.9</v>
      </c>
      <c r="K39" s="30">
        <f>IFERROR(__xludf.DUMMYFUNCTION("""COMPUTED_VALUE"""),0.7)</f>
        <v>0.7</v>
      </c>
      <c r="L39" s="30">
        <f>IFERROR(__xludf.DUMMYFUNCTION("""COMPUTED_VALUE"""),0.7)</f>
        <v>0.7</v>
      </c>
      <c r="M39" s="30">
        <f>IFERROR(__xludf.DUMMYFUNCTION("""COMPUTED_VALUE"""),1.1)</f>
        <v>1.1</v>
      </c>
      <c r="N39" s="30">
        <f>IFERROR(__xludf.DUMMYFUNCTION("""COMPUTED_VALUE"""),2.15)</f>
        <v>2.15</v>
      </c>
      <c r="O39" s="30">
        <f>IFERROR(__xludf.DUMMYFUNCTION("""COMPUTED_VALUE"""),372.65)</f>
        <v>372.65</v>
      </c>
      <c r="P39" s="30">
        <f>IFERROR(__xludf.DUMMYFUNCTION("""COMPUTED_VALUE"""),0.95)</f>
        <v>0.95</v>
      </c>
      <c r="Q39" s="30">
        <f>IFERROR(__xludf.DUMMYFUNCTION("""COMPUTED_VALUE"""),0.7)</f>
        <v>0.7</v>
      </c>
      <c r="R39" s="30">
        <f>IFERROR(__xludf.DUMMYFUNCTION("""COMPUTED_VALUE"""),1.2166666666666666)</f>
        <v>1.216666667</v>
      </c>
      <c r="S39" s="30">
        <f>IFERROR(__xludf.DUMMYFUNCTION("""COMPUTED_VALUE"""),2.8499999999999996)</f>
        <v>2.85</v>
      </c>
      <c r="T39" s="30">
        <f>IFERROR(__xludf.DUMMYFUNCTION("""COMPUTED_VALUE"""),381.10271674865015)</f>
        <v>381.1027167</v>
      </c>
      <c r="U39" s="30">
        <f>IFERROR(__xludf.DUMMYFUNCTION("""COMPUTED_VALUE"""),0.8719068280019044)</f>
        <v>0.871906828</v>
      </c>
      <c r="V39" s="30">
        <f>IFERROR(__xludf.DUMMYFUNCTION("""COMPUTED_VALUE"""),0.729590093724719)</f>
        <v>0.7295900937</v>
      </c>
      <c r="W39" s="30">
        <f>IFERROR(__xludf.DUMMYFUNCTION("""COMPUTED_VALUE"""),1.424961301630632)</f>
        <v>1.424961302</v>
      </c>
      <c r="X39" s="30">
        <f>IFERROR(__xludf.DUMMYFUNCTION("""COMPUTED_VALUE"""),2.7419612598859575)</f>
        <v>2.74196126</v>
      </c>
      <c r="Y39" s="30">
        <f>IFERROR(__xludf.DUMMYFUNCTION("""COMPUTED_VALUE"""),366.220973912045)</f>
        <v>366.2209739</v>
      </c>
      <c r="Z39" s="30">
        <f>IFERROR(__xludf.DUMMYFUNCTION("""COMPUTED_VALUE"""),0.7939715371780357)</f>
        <v>0.7939715372</v>
      </c>
      <c r="AA39" s="30">
        <f>IFERROR(__xludf.DUMMYFUNCTION("""COMPUTED_VALUE"""),0.6274223104320643)</f>
        <v>0.6274223104</v>
      </c>
      <c r="AB39" s="30">
        <f>IFERROR(__xludf.DUMMYFUNCTION("""COMPUTED_VALUE"""),1.4237277500448713)</f>
        <v>1.42372775</v>
      </c>
      <c r="AC39" s="30">
        <f>IFERROR(__xludf.DUMMYFUNCTION("""COMPUTED_VALUE"""),2.6619224408621522)</f>
        <v>2.661922441</v>
      </c>
      <c r="AD39" s="30">
        <f>IFERROR(__xludf.DUMMYFUNCTION("""COMPUTED_VALUE"""),0.9390505309578314)</f>
        <v>0.939050531</v>
      </c>
      <c r="AE39" s="30">
        <f>IFERROR(__xludf.DUMMYFUNCTION("""COMPUTED_VALUE"""),0.8816436952991628)</f>
        <v>0.8816436953</v>
      </c>
      <c r="AF39" s="30">
        <f>IFERROR(__xludf.DUMMYFUNCTION("""COMPUTED_VALUE"""),1.1156759783023276)</f>
        <v>1.115675978</v>
      </c>
      <c r="AG39" s="30">
        <f>IFERROR(__xludf.DUMMYFUNCTION("""COMPUTED_VALUE"""),0.7726196247599526)</f>
        <v>0.7726196248</v>
      </c>
      <c r="AH39" s="30">
        <f>IFERROR(__xludf.DUMMYFUNCTION("""COMPUTED_VALUE"""),0.807686943464683)</f>
        <v>0.8076869435</v>
      </c>
      <c r="AI39" s="30">
        <f>IFERROR(__xludf.DUMMYFUNCTION("""COMPUTED_VALUE"""),0.9778203713141593)</f>
        <v>0.9778203713</v>
      </c>
      <c r="AJ39" s="30">
        <f>IFERROR(__xludf.DUMMYFUNCTION("""COMPUTED_VALUE"""),1.0895659599054373)</f>
        <v>1.08956596</v>
      </c>
      <c r="AK39" s="30">
        <f>IFERROR(__xludf.DUMMYFUNCTION("""COMPUTED_VALUE"""),0.9594428515693586)</f>
        <v>0.9594428516</v>
      </c>
      <c r="AL39" s="30">
        <f>IFERROR(__xludf.DUMMYFUNCTION("""COMPUTED_VALUE"""),0.853824356685612)</f>
        <v>0.8538243567</v>
      </c>
      <c r="AM39" s="30">
        <f>IFERROR(__xludf.DUMMYFUNCTION("""COMPUTED_VALUE"""),1.0394019936366772)</f>
        <v>1.039401994</v>
      </c>
      <c r="AN39" s="30">
        <f>IFERROR(__xludf.DUMMYFUNCTION("""COMPUTED_VALUE"""),0.9337164588419283)</f>
        <v>0.9337164588</v>
      </c>
      <c r="AO39" s="30">
        <f>IFERROR(__xludf.DUMMYFUNCTION("""COMPUTED_VALUE"""),0.8737441820109026)</f>
        <v>0.873744182</v>
      </c>
      <c r="AP39" s="30">
        <f>IFERROR(__xludf.DUMMYFUNCTION("""COMPUTED_VALUE"""),1.1511121695949316)</f>
        <v>1.15111217</v>
      </c>
      <c r="AQ39" s="30">
        <f>IFERROR(__xludf.DUMMYFUNCTION("""COMPUTED_VALUE"""),0.7445260983962138)</f>
        <v>0.7445260984</v>
      </c>
      <c r="AR39" s="30">
        <f>IFERROR(__xludf.DUMMYFUNCTION("""COMPUTED_VALUE"""),0.8099750758077385)</f>
        <v>0.8099750758</v>
      </c>
      <c r="AS39" s="30">
        <f>IFERROR(__xludf.DUMMYFUNCTION("""COMPUTED_VALUE"""),52.0)</f>
        <v>52</v>
      </c>
      <c r="AT39" s="30">
        <f>IFERROR(__xludf.DUMMYFUNCTION("""COMPUTED_VALUE"""),0.46273012661169305)</f>
        <v>0.4627301266</v>
      </c>
      <c r="AU39" s="30">
        <f>IFERROR(__xludf.DUMMYFUNCTION("""COMPUTED_VALUE"""),2.3791738455571263)</f>
        <v>2.379173846</v>
      </c>
      <c r="AV39" s="32">
        <f>IFERROR(__xludf.DUMMYFUNCTION("""COMPUTED_VALUE"""),46.203304666140774)</f>
        <v>46.20330467</v>
      </c>
      <c r="AW39" s="32">
        <f>IFERROR(__xludf.DUMMYFUNCTION("""COMPUTED_VALUE"""),-2.274559339792194)</f>
        <v>-2.27455934</v>
      </c>
      <c r="AX39" s="32">
        <f>IFERROR(__xludf.DUMMYFUNCTION("""COMPUTED_VALUE"""),40.03020331026519)</f>
        <v>40.03020331</v>
      </c>
      <c r="AY39" s="32">
        <f>IFERROR(__xludf.DUMMYFUNCTION("""COMPUTED_VALUE"""),-2.898355107549933)</f>
        <v>-2.898355108</v>
      </c>
      <c r="AZ39" s="30">
        <f>IFERROR(__xludf.DUMMYFUNCTION("""COMPUTED_VALUE"""),0.623795767757739)</f>
        <v>0.6237957678</v>
      </c>
      <c r="BA39" s="30">
        <f>IFERROR(__xludf.DUMMYFUNCTION("""COMPUTED_VALUE"""),2.0)</f>
        <v>2</v>
      </c>
    </row>
    <row r="40">
      <c r="A40" s="30" t="str">
        <f>IFERROR(__xludf.DUMMYFUNCTION("""COMPUTED_VALUE"""),"Premier")</f>
        <v>Premier</v>
      </c>
      <c r="B40" s="71" t="str">
        <f>IFERROR(__xludf.DUMMYFUNCTION("""COMPUTED_VALUE"""),"RSC000750")</f>
        <v>RSC000750</v>
      </c>
      <c r="C40" s="30" t="str">
        <f>IFERROR(__xludf.DUMMYFUNCTION("""COMPUTED_VALUE"""),"Jatt")</f>
        <v>Jatt</v>
      </c>
      <c r="D40" s="30" t="str">
        <f>IFERROR(__xludf.DUMMYFUNCTION("""COMPUTED_VALUE"""),"Crooked Capos")</f>
        <v>Crooked Capos</v>
      </c>
      <c r="E40" s="30">
        <f>IFERROR(__xludf.DUMMYFUNCTION("""COMPUTED_VALUE"""),20.0)</f>
        <v>20</v>
      </c>
      <c r="F40" s="30">
        <f>IFERROR(__xludf.DUMMYFUNCTION("""COMPUTED_VALUE"""),10.0)</f>
        <v>10</v>
      </c>
      <c r="G40" s="30">
        <f>IFERROR(__xludf.DUMMYFUNCTION("""COMPUTED_VALUE"""),10.0)</f>
        <v>10</v>
      </c>
      <c r="H40" s="42">
        <f>IFERROR(__xludf.DUMMYFUNCTION("""COMPUTED_VALUE"""),0.5)</f>
        <v>0.5</v>
      </c>
      <c r="I40" s="42">
        <f>IFERROR(__xludf.DUMMYFUNCTION("""COMPUTED_VALUE"""),0.28846153846153844)</f>
        <v>0.2884615385</v>
      </c>
      <c r="J40" s="30">
        <f>IFERROR(__xludf.DUMMYFUNCTION("""COMPUTED_VALUE"""),376.8)</f>
        <v>376.8</v>
      </c>
      <c r="K40" s="30">
        <f>IFERROR(__xludf.DUMMYFUNCTION("""COMPUTED_VALUE"""),0.75)</f>
        <v>0.75</v>
      </c>
      <c r="L40" s="30">
        <f>IFERROR(__xludf.DUMMYFUNCTION("""COMPUTED_VALUE"""),0.3)</f>
        <v>0.3</v>
      </c>
      <c r="M40" s="30">
        <f>IFERROR(__xludf.DUMMYFUNCTION("""COMPUTED_VALUE"""),1.85)</f>
        <v>1.85</v>
      </c>
      <c r="N40" s="30">
        <f>IFERROR(__xludf.DUMMYFUNCTION("""COMPUTED_VALUE"""),2.6)</f>
        <v>2.6</v>
      </c>
      <c r="O40" s="30">
        <f>IFERROR(__xludf.DUMMYFUNCTION("""COMPUTED_VALUE"""),404.55)</f>
        <v>404.55</v>
      </c>
      <c r="P40" s="30">
        <f>IFERROR(__xludf.DUMMYFUNCTION("""COMPUTED_VALUE"""),0.8333333333333333)</f>
        <v>0.8333333333</v>
      </c>
      <c r="Q40" s="30">
        <f>IFERROR(__xludf.DUMMYFUNCTION("""COMPUTED_VALUE"""),0.6333333333333334)</f>
        <v>0.6333333333</v>
      </c>
      <c r="R40" s="30">
        <f>IFERROR(__xludf.DUMMYFUNCTION("""COMPUTED_VALUE"""),1.7499999999999996)</f>
        <v>1.75</v>
      </c>
      <c r="S40" s="30">
        <f>IFERROR(__xludf.DUMMYFUNCTION("""COMPUTED_VALUE"""),2.8833333333333337)</f>
        <v>2.883333333</v>
      </c>
      <c r="T40" s="30">
        <f>IFERROR(__xludf.DUMMYFUNCTION("""COMPUTED_VALUE"""),369.33332698675576)</f>
        <v>369.333327</v>
      </c>
      <c r="U40" s="30">
        <f>IFERROR(__xludf.DUMMYFUNCTION("""COMPUTED_VALUE"""),0.7966923928126239)</f>
        <v>0.7966923928</v>
      </c>
      <c r="V40" s="30">
        <f>IFERROR(__xludf.DUMMYFUNCTION("""COMPUTED_VALUE"""),0.6244808599570117)</f>
        <v>0.62448086</v>
      </c>
      <c r="W40" s="30">
        <f>IFERROR(__xludf.DUMMYFUNCTION("""COMPUTED_VALUE"""),1.487475082216751)</f>
        <v>1.487475082</v>
      </c>
      <c r="X40" s="30">
        <f>IFERROR(__xludf.DUMMYFUNCTION("""COMPUTED_VALUE"""),2.697475138470782)</f>
        <v>2.697475138</v>
      </c>
      <c r="Y40" s="30">
        <f>IFERROR(__xludf.DUMMYFUNCTION("""COMPUTED_VALUE"""),387.03997293795857)</f>
        <v>387.0399729</v>
      </c>
      <c r="Z40" s="30">
        <f>IFERROR(__xludf.DUMMYFUNCTION("""COMPUTED_VALUE"""),0.8965420467428207)</f>
        <v>0.8965420467</v>
      </c>
      <c r="AA40" s="30">
        <f>IFERROR(__xludf.DUMMYFUNCTION("""COMPUTED_VALUE"""),0.700104123678019)</f>
        <v>0.7001041237</v>
      </c>
      <c r="AB40" s="30">
        <f>IFERROR(__xludf.DUMMYFUNCTION("""COMPUTED_VALUE"""),1.4471329750747899)</f>
        <v>1.447132975</v>
      </c>
      <c r="AC40" s="30">
        <f>IFERROR(__xludf.DUMMYFUNCTION("""COMPUTED_VALUE"""),2.8258606070705965)</f>
        <v>2.825860607</v>
      </c>
      <c r="AD40" s="30">
        <f>IFERROR(__xludf.DUMMYFUNCTION("""COMPUTED_VALUE"""),0.9735428543459516)</f>
        <v>0.9735428543</v>
      </c>
      <c r="AE40" s="30">
        <f>IFERROR(__xludf.DUMMYFUNCTION("""COMPUTED_VALUE"""),0.8365474912468246)</f>
        <v>0.8365474912</v>
      </c>
      <c r="AF40" s="30">
        <f>IFERROR(__xludf.DUMMYFUNCTION("""COMPUTED_VALUE"""),0.4285076888619661)</f>
        <v>0.4285076889</v>
      </c>
      <c r="AG40" s="30">
        <f>IFERROR(__xludf.DUMMYFUNCTION("""COMPUTED_VALUE"""),1.278389776104984)</f>
        <v>1.278389776</v>
      </c>
      <c r="AH40" s="30">
        <f>IFERROR(__xludf.DUMMYFUNCTION("""COMPUTED_VALUE"""),0.9200736913542481)</f>
        <v>0.9200736914</v>
      </c>
      <c r="AI40" s="30">
        <f>IFERROR(__xludf.DUMMYFUNCTION("""COMPUTED_VALUE"""),1.095352004381958)</f>
        <v>1.095352004</v>
      </c>
      <c r="AJ40" s="30">
        <f>IFERROR(__xludf.DUMMYFUNCTION("""COMPUTED_VALUE"""),1.0459913272064179)</f>
        <v>1.045991327</v>
      </c>
      <c r="AK40" s="30">
        <f>IFERROR(__xludf.DUMMYFUNCTION("""COMPUTED_VALUE"""),1.014175732106395)</f>
        <v>1.014175732</v>
      </c>
      <c r="AL40" s="30">
        <f>IFERROR(__xludf.DUMMYFUNCTION("""COMPUTED_VALUE"""),1.176490296154752)</f>
        <v>1.176490296</v>
      </c>
      <c r="AM40" s="30">
        <f>IFERROR(__xludf.DUMMYFUNCTION("""COMPUTED_VALUE"""),1.0689007999413542)</f>
        <v>1.0689008</v>
      </c>
      <c r="AN40" s="30">
        <f>IFERROR(__xludf.DUMMYFUNCTION("""COMPUTED_VALUE"""),1.0230426335901095)</f>
        <v>1.023042634</v>
      </c>
      <c r="AO40" s="30">
        <f>IFERROR(__xludf.DUMMYFUNCTION("""COMPUTED_VALUE"""),0.9361544807259672)</f>
        <v>0.9361544807</v>
      </c>
      <c r="AP40" s="30">
        <f>IFERROR(__xludf.DUMMYFUNCTION("""COMPUTED_VALUE"""),0.49333378696925634)</f>
        <v>0.493333787</v>
      </c>
      <c r="AQ40" s="30">
        <f>IFERROR(__xludf.DUMMYFUNCTION("""COMPUTED_VALUE"""),1.2521575291209048)</f>
        <v>1.252157529</v>
      </c>
      <c r="AR40" s="30">
        <f>IFERROR(__xludf.DUMMYFUNCTION("""COMPUTED_VALUE"""),0.9795047428372652)</f>
        <v>0.9795047428</v>
      </c>
      <c r="AS40" s="30">
        <f>IFERROR(__xludf.DUMMYFUNCTION("""COMPUTED_VALUE"""),44.0)</f>
        <v>44</v>
      </c>
      <c r="AT40" s="30">
        <f>IFERROR(__xludf.DUMMYFUNCTION("""COMPUTED_VALUE"""),0.4503359725912821)</f>
        <v>0.4503359726</v>
      </c>
      <c r="AU40" s="30">
        <f>IFERROR(__xludf.DUMMYFUNCTION("""COMPUTED_VALUE"""),1.802209501266307)</f>
        <v>1.802209501</v>
      </c>
      <c r="AV40" s="32">
        <f>IFERROR(__xludf.DUMMYFUNCTION("""COMPUTED_VALUE"""),29.98069226577962)</f>
        <v>29.98069227</v>
      </c>
      <c r="AW40" s="32">
        <f>IFERROR(__xludf.DUMMYFUNCTION("""COMPUTED_VALUE"""),-4.725189226919122)</f>
        <v>-4.725189227</v>
      </c>
      <c r="AX40" s="32">
        <f>IFERROR(__xludf.DUMMYFUNCTION("""COMPUTED_VALUE"""),32.5238340279746)</f>
        <v>32.52383403</v>
      </c>
      <c r="AY40" s="32">
        <f>IFERROR(__xludf.DUMMYFUNCTION("""COMPUTED_VALUE"""),-4.127772007547527)</f>
        <v>-4.127772008</v>
      </c>
      <c r="AZ40" s="30">
        <f>IFERROR(__xludf.DUMMYFUNCTION("""COMPUTED_VALUE"""),0.5974172193715948)</f>
        <v>0.5974172194</v>
      </c>
      <c r="BA40" s="30">
        <f>IFERROR(__xludf.DUMMYFUNCTION("""COMPUTED_VALUE"""),2.0)</f>
        <v>2</v>
      </c>
    </row>
    <row r="41">
      <c r="A41" s="30" t="str">
        <f>IFERROR(__xludf.DUMMYFUNCTION("""COMPUTED_VALUE"""),"Premier")</f>
        <v>Premier</v>
      </c>
      <c r="B41" s="71" t="str">
        <f>IFERROR(__xludf.DUMMYFUNCTION("""COMPUTED_VALUE"""),"RSC007409")</f>
        <v>RSC007409</v>
      </c>
      <c r="C41" s="30" t="str">
        <f>IFERROR(__xludf.DUMMYFUNCTION("""COMPUTED_VALUE"""),"Averded")</f>
        <v>Averded</v>
      </c>
      <c r="D41" s="30" t="str">
        <f>IFERROR(__xludf.DUMMYFUNCTION("""COMPUTED_VALUE"""),"Excavators")</f>
        <v>Excavators</v>
      </c>
      <c r="E41" s="30">
        <f>IFERROR(__xludf.DUMMYFUNCTION("""COMPUTED_VALUE"""),4.0)</f>
        <v>4</v>
      </c>
      <c r="F41" s="30">
        <f>IFERROR(__xludf.DUMMYFUNCTION("""COMPUTED_VALUE"""),1.0)</f>
        <v>1</v>
      </c>
      <c r="G41" s="30">
        <f>IFERROR(__xludf.DUMMYFUNCTION("""COMPUTED_VALUE"""),3.0)</f>
        <v>3</v>
      </c>
      <c r="H41" s="42">
        <f>IFERROR(__xludf.DUMMYFUNCTION("""COMPUTED_VALUE"""),0.25)</f>
        <v>0.25</v>
      </c>
      <c r="I41" s="42">
        <f>IFERROR(__xludf.DUMMYFUNCTION("""COMPUTED_VALUE"""),0.5454545454545454)</f>
        <v>0.5454545455</v>
      </c>
      <c r="J41" s="30">
        <f>IFERROR(__xludf.DUMMYFUNCTION("""COMPUTED_VALUE"""),367.0)</f>
        <v>367</v>
      </c>
      <c r="K41" s="30">
        <f>IFERROR(__xludf.DUMMYFUNCTION("""COMPUTED_VALUE"""),1.5)</f>
        <v>1.5</v>
      </c>
      <c r="L41" s="30">
        <f>IFERROR(__xludf.DUMMYFUNCTION("""COMPUTED_VALUE"""),0.0)</f>
        <v>0</v>
      </c>
      <c r="M41" s="30">
        <f>IFERROR(__xludf.DUMMYFUNCTION("""COMPUTED_VALUE"""),0.75)</f>
        <v>0.75</v>
      </c>
      <c r="N41" s="30">
        <f>IFERROR(__xludf.DUMMYFUNCTION("""COMPUTED_VALUE"""),2.75)</f>
        <v>2.75</v>
      </c>
      <c r="O41" s="30">
        <f>IFERROR(__xludf.DUMMYFUNCTION("""COMPUTED_VALUE"""),401.91666666666663)</f>
        <v>401.9166667</v>
      </c>
      <c r="P41" s="30">
        <f>IFERROR(__xludf.DUMMYFUNCTION("""COMPUTED_VALUE"""),1.0833333333333333)</f>
        <v>1.083333333</v>
      </c>
      <c r="Q41" s="30">
        <f>IFERROR(__xludf.DUMMYFUNCTION("""COMPUTED_VALUE"""),0.75)</f>
        <v>0.75</v>
      </c>
      <c r="R41" s="30">
        <f>IFERROR(__xludf.DUMMYFUNCTION("""COMPUTED_VALUE"""),1.4166666666666667)</f>
        <v>1.416666667</v>
      </c>
      <c r="S41" s="30">
        <f>IFERROR(__xludf.DUMMYFUNCTION("""COMPUTED_VALUE"""),3.0)</f>
        <v>3</v>
      </c>
      <c r="T41" s="30">
        <f>IFERROR(__xludf.DUMMYFUNCTION("""COMPUTED_VALUE"""),381.6158788515406)</f>
        <v>381.6158789</v>
      </c>
      <c r="U41" s="30">
        <f>IFERROR(__xludf.DUMMYFUNCTION("""COMPUTED_VALUE"""),0.9261904761904761)</f>
        <v>0.9261904762</v>
      </c>
      <c r="V41" s="30">
        <f>IFERROR(__xludf.DUMMYFUNCTION("""COMPUTED_VALUE"""),0.7231092436974791)</f>
        <v>0.7231092437</v>
      </c>
      <c r="W41" s="30">
        <f>IFERROR(__xludf.DUMMYFUNCTION("""COMPUTED_VALUE"""),1.3065826330532213)</f>
        <v>1.306582633</v>
      </c>
      <c r="X41" s="30">
        <f>IFERROR(__xludf.DUMMYFUNCTION("""COMPUTED_VALUE"""),2.7770308123249294)</f>
        <v>2.777030812</v>
      </c>
      <c r="Y41" s="30">
        <f>IFERROR(__xludf.DUMMYFUNCTION("""COMPUTED_VALUE"""),371.34803338001865)</f>
        <v>371.3480334</v>
      </c>
      <c r="Z41" s="30">
        <f>IFERROR(__xludf.DUMMYFUNCTION("""COMPUTED_VALUE"""),0.8422560690943044)</f>
        <v>0.8422560691</v>
      </c>
      <c r="AA41" s="30">
        <f>IFERROR(__xludf.DUMMYFUNCTION("""COMPUTED_VALUE"""),0.6474323062558357)</f>
        <v>0.6474323063</v>
      </c>
      <c r="AB41" s="30">
        <f>IFERROR(__xludf.DUMMYFUNCTION("""COMPUTED_VALUE"""),1.3504143323996267)</f>
        <v>1.350414332</v>
      </c>
      <c r="AC41" s="30">
        <f>IFERROR(__xludf.DUMMYFUNCTION("""COMPUTED_VALUE"""),2.4599439775910357)</f>
        <v>2.459943978</v>
      </c>
      <c r="AD41" s="30">
        <f>IFERROR(__xludf.DUMMYFUNCTION("""COMPUTED_VALUE"""),0.9882912174316834)</f>
        <v>0.9882912174</v>
      </c>
      <c r="AE41" s="30">
        <f>IFERROR(__xludf.DUMMYFUNCTION("""COMPUTED_VALUE"""),1.7809310672144891)</f>
        <v>1.780931067</v>
      </c>
      <c r="AF41" s="30">
        <f>IFERROR(__xludf.DUMMYFUNCTION("""COMPUTED_VALUE"""),0.0)</f>
        <v>0</v>
      </c>
      <c r="AG41" s="30">
        <f>IFERROR(__xludf.DUMMYFUNCTION("""COMPUTED_VALUE"""),0.5553851007100044)</f>
        <v>0.5553851007</v>
      </c>
      <c r="AH41" s="30">
        <f>IFERROR(__xludf.DUMMYFUNCTION("""COMPUTED_VALUE"""),1.117911637440219)</f>
        <v>1.117911637</v>
      </c>
      <c r="AI41" s="30">
        <f>IFERROR(__xludf.DUMMYFUNCTION("""COMPUTED_VALUE"""),1.0531969159046017)</f>
        <v>1.053196916</v>
      </c>
      <c r="AJ41" s="30">
        <f>IFERROR(__xludf.DUMMYFUNCTION("""COMPUTED_VALUE"""),1.1696658097686374)</f>
        <v>1.16966581</v>
      </c>
      <c r="AK41" s="30">
        <f>IFERROR(__xludf.DUMMYFUNCTION("""COMPUTED_VALUE"""),1.0371876815804764)</f>
        <v>1.037187682</v>
      </c>
      <c r="AL41" s="30">
        <f>IFERROR(__xludf.DUMMYFUNCTION("""COMPUTED_VALUE"""),1.0842534033658484)</f>
        <v>1.084253403</v>
      </c>
      <c r="AM41" s="30">
        <f>IFERROR(__xludf.DUMMYFUNCTION("""COMPUTED_VALUE"""),1.0802904982852535)</f>
        <v>1.080290498</v>
      </c>
      <c r="AN41" s="30">
        <f>IFERROR(__xludf.DUMMYFUNCTION("""COMPUTED_VALUE"""),0.9964348368566086)</f>
        <v>0.9964348369</v>
      </c>
      <c r="AO41" s="30">
        <f>IFERROR(__xludf.DUMMYFUNCTION("""COMPUTED_VALUE"""),1.8723089614519344)</f>
        <v>1.872308961</v>
      </c>
      <c r="AP41" s="30">
        <f>IFERROR(__xludf.DUMMYFUNCTION("""COMPUTED_VALUE"""),0.0)</f>
        <v>0</v>
      </c>
      <c r="AQ41" s="30">
        <f>IFERROR(__xludf.DUMMYFUNCTION("""COMPUTED_VALUE"""),0.5076314307246912)</f>
        <v>0.5076314307</v>
      </c>
      <c r="AR41" s="30">
        <f>IFERROR(__xludf.DUMMYFUNCTION("""COMPUTED_VALUE"""),1.0360146318471075)</f>
        <v>1.036014632</v>
      </c>
      <c r="AS41" s="30">
        <f>IFERROR(__xludf.DUMMYFUNCTION("""COMPUTED_VALUE"""),13.0)</f>
        <v>13</v>
      </c>
      <c r="AT41" s="30">
        <f>IFERROR(__xludf.DUMMYFUNCTION("""COMPUTED_VALUE"""),0.5)</f>
        <v>0.5</v>
      </c>
      <c r="AU41" s="30">
        <f>IFERROR(__xludf.DUMMYFUNCTION("""COMPUTED_VALUE"""),2.2458069974457353)</f>
        <v>2.245806997</v>
      </c>
      <c r="AV41" s="32">
        <f>IFERROR(__xludf.DUMMYFUNCTION("""COMPUTED_VALUE"""),42.45340451134301)</f>
        <v>42.45340451</v>
      </c>
      <c r="AW41" s="32">
        <f>IFERROR(__xludf.DUMMYFUNCTION("""COMPUTED_VALUE"""),-2.622070912155936)</f>
        <v>-2.622070912</v>
      </c>
      <c r="AX41" s="32">
        <f>IFERROR(__xludf.DUMMYFUNCTION("""COMPUTED_VALUE"""),37.825265492824265)</f>
        <v>37.82526549</v>
      </c>
      <c r="AY41" s="32">
        <f>IFERROR(__xludf.DUMMYFUNCTION("""COMPUTED_VALUE"""),-3.193531913665119)</f>
        <v>-3.193531914</v>
      </c>
      <c r="AZ41" s="30">
        <f>IFERROR(__xludf.DUMMYFUNCTION("""COMPUTED_VALUE"""),0.5714610015091828)</f>
        <v>0.5714610015</v>
      </c>
      <c r="BA41" s="30">
        <f>IFERROR(__xludf.DUMMYFUNCTION("""COMPUTED_VALUE"""),2.0)</f>
        <v>2</v>
      </c>
    </row>
    <row r="42">
      <c r="A42" s="30" t="str">
        <f>IFERROR(__xludf.DUMMYFUNCTION("""COMPUTED_VALUE"""),"Premier")</f>
        <v>Premier</v>
      </c>
      <c r="B42" s="71" t="str">
        <f>IFERROR(__xludf.DUMMYFUNCTION("""COMPUTED_VALUE"""),"RSC005670")</f>
        <v>RSC005670</v>
      </c>
      <c r="C42" s="30" t="str">
        <f>IFERROR(__xludf.DUMMYFUNCTION("""COMPUTED_VALUE"""),"mesi")</f>
        <v>mesi</v>
      </c>
      <c r="D42" s="30" t="str">
        <f>IFERROR(__xludf.DUMMYFUNCTION("""COMPUTED_VALUE"""),"Old Heads")</f>
        <v>Old Heads</v>
      </c>
      <c r="E42" s="30">
        <f>IFERROR(__xludf.DUMMYFUNCTION("""COMPUTED_VALUE"""),36.0)</f>
        <v>36</v>
      </c>
      <c r="F42" s="30">
        <f>IFERROR(__xludf.DUMMYFUNCTION("""COMPUTED_VALUE"""),21.0)</f>
        <v>21</v>
      </c>
      <c r="G42" s="30">
        <f>IFERROR(__xludf.DUMMYFUNCTION("""COMPUTED_VALUE"""),15.0)</f>
        <v>15</v>
      </c>
      <c r="H42" s="42">
        <f>IFERROR(__xludf.DUMMYFUNCTION("""COMPUTED_VALUE"""),0.5833333333333334)</f>
        <v>0.5833333333</v>
      </c>
      <c r="I42" s="42">
        <f>IFERROR(__xludf.DUMMYFUNCTION("""COMPUTED_VALUE"""),0.32407407407407407)</f>
        <v>0.3240740741</v>
      </c>
      <c r="J42" s="30">
        <f>IFERROR(__xludf.DUMMYFUNCTION("""COMPUTED_VALUE"""),368.47222222222223)</f>
        <v>368.4722222</v>
      </c>
      <c r="K42" s="30">
        <f>IFERROR(__xludf.DUMMYFUNCTION("""COMPUTED_VALUE"""),0.9722222222222222)</f>
        <v>0.9722222222</v>
      </c>
      <c r="L42" s="30">
        <f>IFERROR(__xludf.DUMMYFUNCTION("""COMPUTED_VALUE"""),0.5)</f>
        <v>0.5</v>
      </c>
      <c r="M42" s="30">
        <f>IFERROR(__xludf.DUMMYFUNCTION("""COMPUTED_VALUE"""),1.4444444444444444)</f>
        <v>1.444444444</v>
      </c>
      <c r="N42" s="30">
        <f>IFERROR(__xludf.DUMMYFUNCTION("""COMPUTED_VALUE"""),3.0)</f>
        <v>3</v>
      </c>
      <c r="O42" s="30">
        <f>IFERROR(__xludf.DUMMYFUNCTION("""COMPUTED_VALUE"""),371.8518518518518)</f>
        <v>371.8518519</v>
      </c>
      <c r="P42" s="30">
        <f>IFERROR(__xludf.DUMMYFUNCTION("""COMPUTED_VALUE"""),0.8611111111111112)</f>
        <v>0.8611111111</v>
      </c>
      <c r="Q42" s="30">
        <f>IFERROR(__xludf.DUMMYFUNCTION("""COMPUTED_VALUE"""),0.6666666666666666)</f>
        <v>0.6666666667</v>
      </c>
      <c r="R42" s="30">
        <f>IFERROR(__xludf.DUMMYFUNCTION("""COMPUTED_VALUE"""),1.4629629629629632)</f>
        <v>1.462962963</v>
      </c>
      <c r="S42" s="30">
        <f>IFERROR(__xludf.DUMMYFUNCTION("""COMPUTED_VALUE"""),2.759259259259259)</f>
        <v>2.759259259</v>
      </c>
      <c r="T42" s="30">
        <f>IFERROR(__xludf.DUMMYFUNCTION("""COMPUTED_VALUE"""),381.89487213258366)</f>
        <v>381.8948721</v>
      </c>
      <c r="U42" s="30">
        <f>IFERROR(__xludf.DUMMYFUNCTION("""COMPUTED_VALUE"""),0.8678445017904656)</f>
        <v>0.8678445018</v>
      </c>
      <c r="V42" s="30">
        <f>IFERROR(__xludf.DUMMYFUNCTION("""COMPUTED_VALUE"""),0.7020369699833945)</f>
        <v>0.70203697</v>
      </c>
      <c r="W42" s="30">
        <f>IFERROR(__xludf.DUMMYFUNCTION("""COMPUTED_VALUE"""),1.4289419644539552)</f>
        <v>1.428941964</v>
      </c>
      <c r="X42" s="30">
        <f>IFERROR(__xludf.DUMMYFUNCTION("""COMPUTED_VALUE"""),2.7960066611185557)</f>
        <v>2.796006661</v>
      </c>
      <c r="Y42" s="30">
        <f>IFERROR(__xludf.DUMMYFUNCTION("""COMPUTED_VALUE"""),372.75393871263515)</f>
        <v>372.7539387</v>
      </c>
      <c r="Z42" s="30">
        <f>IFERROR(__xludf.DUMMYFUNCTION("""COMPUTED_VALUE"""),0.8130801265727025)</f>
        <v>0.8130801266</v>
      </c>
      <c r="AA42" s="30">
        <f>IFERROR(__xludf.DUMMYFUNCTION("""COMPUTED_VALUE"""),0.6184618648999491)</f>
        <v>0.6184618649</v>
      </c>
      <c r="AB42" s="30">
        <f>IFERROR(__xludf.DUMMYFUNCTION("""COMPUTED_VALUE"""),1.4680371773202083)</f>
        <v>1.468037177</v>
      </c>
      <c r="AC42" s="30">
        <f>IFERROR(__xludf.DUMMYFUNCTION("""COMPUTED_VALUE"""),2.699770866729807)</f>
        <v>2.699770867</v>
      </c>
      <c r="AD42" s="30">
        <f>IFERROR(__xludf.DUMMYFUNCTION("""COMPUTED_VALUE"""),0.9885132897449709)</f>
        <v>0.9885132897</v>
      </c>
      <c r="AE42" s="30">
        <f>IFERROR(__xludf.DUMMYFUNCTION("""COMPUTED_VALUE"""),1.1957274448710682)</f>
        <v>1.195727445</v>
      </c>
      <c r="AF42" s="30">
        <f>IFERROR(__xludf.DUMMYFUNCTION("""COMPUTED_VALUE"""),0.8084572847201934)</f>
        <v>0.8084572847</v>
      </c>
      <c r="AG42" s="30">
        <f>IFERROR(__xludf.DUMMYFUNCTION("""COMPUTED_VALUE"""),0.9839290630780682)</f>
        <v>0.9839290631</v>
      </c>
      <c r="AH42" s="30">
        <f>IFERROR(__xludf.DUMMYFUNCTION("""COMPUTED_VALUE"""),1.111205412640761)</f>
        <v>1.111205413</v>
      </c>
      <c r="AI42" s="30">
        <f>IFERROR(__xludf.DUMMYFUNCTION("""COMPUTED_VALUE"""),0.9737021337190273)</f>
        <v>0.9737021337</v>
      </c>
      <c r="AJ42" s="30">
        <f>IFERROR(__xludf.DUMMYFUNCTION("""COMPUTED_VALUE"""),0.9922412475213443)</f>
        <v>0.9922412475</v>
      </c>
      <c r="AK42" s="30">
        <f>IFERROR(__xludf.DUMMYFUNCTION("""COMPUTED_VALUE"""),0.9496176058682999)</f>
        <v>0.9496176059</v>
      </c>
      <c r="AL42" s="30">
        <f>IFERROR(__xludf.DUMMYFUNCTION("""COMPUTED_VALUE"""),1.0238085236176884)</f>
        <v>1.023808524</v>
      </c>
      <c r="AM42" s="30">
        <f>IFERROR(__xludf.DUMMYFUNCTION("""COMPUTED_VALUE"""),0.986857183721946)</f>
        <v>0.9868571837</v>
      </c>
      <c r="AN42" s="30">
        <f>IFERROR(__xludf.DUMMYFUNCTION("""COMPUTED_VALUE"""),1.0004320398806323)</f>
        <v>1.00043204</v>
      </c>
      <c r="AO42" s="30">
        <f>IFERROR(__xludf.DUMMYFUNCTION("""COMPUTED_VALUE"""),1.2135335861262537)</f>
        <v>1.213533586</v>
      </c>
      <c r="AP42" s="30">
        <f>IFERROR(__xludf.DUMMYFUNCTION("""COMPUTED_VALUE"""),0.822222978282094)</f>
        <v>0.8222229783</v>
      </c>
      <c r="AQ42" s="30">
        <f>IFERROR(__xludf.DUMMYFUNCTION("""COMPUTED_VALUE"""),0.9776605332475533)</f>
        <v>0.9776605332</v>
      </c>
      <c r="AR42" s="30">
        <f>IFERROR(__xludf.DUMMYFUNCTION("""COMPUTED_VALUE"""),1.1301977801968444)</f>
        <v>1.13019778</v>
      </c>
      <c r="AS42" s="30">
        <f>IFERROR(__xludf.DUMMYFUNCTION("""COMPUTED_VALUE"""),98.0)</f>
        <v>98</v>
      </c>
      <c r="AT42" s="30">
        <f>IFERROR(__xludf.DUMMYFUNCTION("""COMPUTED_VALUE"""),0.5211224885017609)</f>
        <v>0.5211224885</v>
      </c>
      <c r="AU42" s="30">
        <f>IFERROR(__xludf.DUMMYFUNCTION("""COMPUTED_VALUE"""),2.777549789087248)</f>
        <v>2.777549789</v>
      </c>
      <c r="AV42" s="32">
        <f>IFERROR(__xludf.DUMMYFUNCTION("""COMPUTED_VALUE"""),57.40451421308602)</f>
        <v>57.40451421</v>
      </c>
      <c r="AW42" s="32">
        <f>IFERROR(__xludf.DUMMYFUNCTION("""COMPUTED_VALUE"""),2.607248558250006)</f>
        <v>2.607248558</v>
      </c>
      <c r="AX42" s="32">
        <f>IFERROR(__xludf.DUMMYFUNCTION("""COMPUTED_VALUE"""),50.596590754292556)</f>
        <v>50.59659075</v>
      </c>
      <c r="AY42" s="32">
        <f>IFERROR(__xludf.DUMMYFUNCTION("""COMPUTED_VALUE"""),2.038816237536458)</f>
        <v>2.038816238</v>
      </c>
      <c r="AZ42" s="30">
        <f>IFERROR(__xludf.DUMMYFUNCTION("""COMPUTED_VALUE"""),0.5684323207135482)</f>
        <v>0.5684323207</v>
      </c>
      <c r="BA42" s="30">
        <f>IFERROR(__xludf.DUMMYFUNCTION("""COMPUTED_VALUE"""),2.0)</f>
        <v>2</v>
      </c>
    </row>
    <row r="43">
      <c r="A43" s="30" t="str">
        <f>IFERROR(__xludf.DUMMYFUNCTION("""COMPUTED_VALUE"""),"Premier")</f>
        <v>Premier</v>
      </c>
      <c r="B43" s="71" t="str">
        <f>IFERROR(__xludf.DUMMYFUNCTION("""COMPUTED_VALUE"""),"RSC004079")</f>
        <v>RSC004079</v>
      </c>
      <c r="C43" s="30" t="str">
        <f>IFERROR(__xludf.DUMMYFUNCTION("""COMPUTED_VALUE"""),"tox")</f>
        <v>tox</v>
      </c>
      <c r="D43" s="30" t="str">
        <f>IFERROR(__xludf.DUMMYFUNCTION("""COMPUTED_VALUE"""),"Super Clusters")</f>
        <v>Super Clusters</v>
      </c>
      <c r="E43" s="30">
        <f>IFERROR(__xludf.DUMMYFUNCTION("""COMPUTED_VALUE"""),35.0)</f>
        <v>35</v>
      </c>
      <c r="F43" s="30">
        <f>IFERROR(__xludf.DUMMYFUNCTION("""COMPUTED_VALUE"""),18.0)</f>
        <v>18</v>
      </c>
      <c r="G43" s="30">
        <f>IFERROR(__xludf.DUMMYFUNCTION("""COMPUTED_VALUE"""),17.0)</f>
        <v>17</v>
      </c>
      <c r="H43" s="42">
        <f>IFERROR(__xludf.DUMMYFUNCTION("""COMPUTED_VALUE"""),0.5142857142857142)</f>
        <v>0.5142857143</v>
      </c>
      <c r="I43" s="42">
        <f>IFERROR(__xludf.DUMMYFUNCTION("""COMPUTED_VALUE"""),0.37499999999999994)</f>
        <v>0.375</v>
      </c>
      <c r="J43" s="30">
        <f>IFERROR(__xludf.DUMMYFUNCTION("""COMPUTED_VALUE"""),390.74285714285713)</f>
        <v>390.7428571</v>
      </c>
      <c r="K43" s="30">
        <f>IFERROR(__xludf.DUMMYFUNCTION("""COMPUTED_VALUE"""),1.0285714285714285)</f>
        <v>1.028571429</v>
      </c>
      <c r="L43" s="30">
        <f>IFERROR(__xludf.DUMMYFUNCTION("""COMPUTED_VALUE"""),0.7428571428571429)</f>
        <v>0.7428571429</v>
      </c>
      <c r="M43" s="30">
        <f>IFERROR(__xludf.DUMMYFUNCTION("""COMPUTED_VALUE"""),1.2285714285714286)</f>
        <v>1.228571429</v>
      </c>
      <c r="N43" s="30">
        <f>IFERROR(__xludf.DUMMYFUNCTION("""COMPUTED_VALUE"""),2.742857142857143)</f>
        <v>2.742857143</v>
      </c>
      <c r="O43" s="30">
        <f>IFERROR(__xludf.DUMMYFUNCTION("""COMPUTED_VALUE"""),367.43809523809523)</f>
        <v>367.4380952</v>
      </c>
      <c r="P43" s="30">
        <f>IFERROR(__xludf.DUMMYFUNCTION("""COMPUTED_VALUE"""),0.8190476190476191)</f>
        <v>0.819047619</v>
      </c>
      <c r="Q43" s="30">
        <f>IFERROR(__xludf.DUMMYFUNCTION("""COMPUTED_VALUE"""),0.6285714285714287)</f>
        <v>0.6285714286</v>
      </c>
      <c r="R43" s="30">
        <f>IFERROR(__xludf.DUMMYFUNCTION("""COMPUTED_VALUE"""),1.3619047619047622)</f>
        <v>1.361904762</v>
      </c>
      <c r="S43" s="30">
        <f>IFERROR(__xludf.DUMMYFUNCTION("""COMPUTED_VALUE"""),2.4190476190476184)</f>
        <v>2.419047619</v>
      </c>
      <c r="T43" s="30">
        <f>IFERROR(__xludf.DUMMYFUNCTION("""COMPUTED_VALUE"""),376.87690050100395)</f>
        <v>376.8769005</v>
      </c>
      <c r="U43" s="30">
        <f>IFERROR(__xludf.DUMMYFUNCTION("""COMPUTED_VALUE"""),0.8746352881843171)</f>
        <v>0.8746352882</v>
      </c>
      <c r="V43" s="30">
        <f>IFERROR(__xludf.DUMMYFUNCTION("""COMPUTED_VALUE"""),0.5932661513325697)</f>
        <v>0.5932661513</v>
      </c>
      <c r="W43" s="30">
        <f>IFERROR(__xludf.DUMMYFUNCTION("""COMPUTED_VALUE"""),1.4598286046481725)</f>
        <v>1.459828605</v>
      </c>
      <c r="X43" s="30">
        <f>IFERROR(__xludf.DUMMYFUNCTION("""COMPUTED_VALUE"""),2.7948488167196714)</f>
        <v>2.794848817</v>
      </c>
      <c r="Y43" s="30">
        <f>IFERROR(__xludf.DUMMYFUNCTION("""COMPUTED_VALUE"""),379.3990816705229)</f>
        <v>379.3990817</v>
      </c>
      <c r="Z43" s="30">
        <f>IFERROR(__xludf.DUMMYFUNCTION("""COMPUTED_VALUE"""),0.8384013469145024)</f>
        <v>0.8384013469</v>
      </c>
      <c r="AA43" s="30">
        <f>IFERROR(__xludf.DUMMYFUNCTION("""COMPUTED_VALUE"""),0.6476945497434339)</f>
        <v>0.6476945497</v>
      </c>
      <c r="AB43" s="30">
        <f>IFERROR(__xludf.DUMMYFUNCTION("""COMPUTED_VALUE"""),1.496912088443082)</f>
        <v>1.496912088</v>
      </c>
      <c r="AC43" s="30">
        <f>IFERROR(__xludf.DUMMYFUNCTION("""COMPUTED_VALUE"""),2.776740979105597)</f>
        <v>2.776740979</v>
      </c>
      <c r="AD43" s="30">
        <f>IFERROR(__xludf.DUMMYFUNCTION("""COMPUTED_VALUE"""),1.0298993224295292)</f>
        <v>1.029899322</v>
      </c>
      <c r="AE43" s="30">
        <f>IFERROR(__xludf.DUMMYFUNCTION("""COMPUTED_VALUE"""),1.2268246375757779)</f>
        <v>1.226824638</v>
      </c>
      <c r="AF43" s="30">
        <f>IFERROR(__xludf.DUMMYFUNCTION("""COMPUTED_VALUE"""),1.1469251102258078)</f>
        <v>1.14692511</v>
      </c>
      <c r="AG43" s="30">
        <f>IFERROR(__xludf.DUMMYFUNCTION("""COMPUTED_VALUE"""),0.8207371949606267)</f>
        <v>0.820737195</v>
      </c>
      <c r="AH43" s="30">
        <f>IFERROR(__xludf.DUMMYFUNCTION("""COMPUTED_VALUE"""),0.9877972643096987)</f>
        <v>0.9877972643</v>
      </c>
      <c r="AI43" s="30">
        <f>IFERROR(__xludf.DUMMYFUNCTION("""COMPUTED_VALUE"""),0.9749552035416308)</f>
        <v>0.9749552035</v>
      </c>
      <c r="AJ43" s="30">
        <f>IFERROR(__xludf.DUMMYFUNCTION("""COMPUTED_VALUE"""),0.9364447445836604)</f>
        <v>0.9364447446</v>
      </c>
      <c r="AK43" s="30">
        <f>IFERROR(__xludf.DUMMYFUNCTION("""COMPUTED_VALUE"""),1.05951001445061)</f>
        <v>1.059510014</v>
      </c>
      <c r="AL43" s="30">
        <f>IFERROR(__xludf.DUMMYFUNCTION("""COMPUTED_VALUE"""),0.9329210001560351)</f>
        <v>0.9329210002</v>
      </c>
      <c r="AM43" s="30">
        <f>IFERROR(__xludf.DUMMYFUNCTION("""COMPUTED_VALUE"""),0.8655379155309256)</f>
        <v>0.8655379155</v>
      </c>
      <c r="AN43" s="30">
        <f>IFERROR(__xludf.DUMMYFUNCTION("""COMPUTED_VALUE"""),1.0608986242780054)</f>
        <v>1.060898624</v>
      </c>
      <c r="AO43" s="30">
        <f>IFERROR(__xludf.DUMMYFUNCTION("""COMPUTED_VALUE"""),1.283869002138469)</f>
        <v>1.283869002</v>
      </c>
      <c r="AP43" s="30">
        <f>IFERROR(__xludf.DUMMYFUNCTION("""COMPUTED_VALUE"""),1.2215884248762539)</f>
        <v>1.221588425</v>
      </c>
      <c r="AQ43" s="30">
        <f>IFERROR(__xludf.DUMMYFUNCTION("""COMPUTED_VALUE"""),0.8315486293775893)</f>
        <v>0.8315486294</v>
      </c>
      <c r="AR43" s="30">
        <f>IFERROR(__xludf.DUMMYFUNCTION("""COMPUTED_VALUE"""),1.0333236847514007)</f>
        <v>1.033323685</v>
      </c>
      <c r="AS43" s="30">
        <f>IFERROR(__xludf.DUMMYFUNCTION("""COMPUTED_VALUE"""),97.0)</f>
        <v>97</v>
      </c>
      <c r="AT43" s="30">
        <f>IFERROR(__xludf.DUMMYFUNCTION("""COMPUTED_VALUE"""),0.5482235679150733)</f>
        <v>0.5482235679</v>
      </c>
      <c r="AU43" s="30">
        <f>IFERROR(__xludf.DUMMYFUNCTION("""COMPUTED_VALUE"""),3.190897879366976)</f>
        <v>3.190897879</v>
      </c>
      <c r="AV43" s="32">
        <f>IFERROR(__xludf.DUMMYFUNCTION("""COMPUTED_VALUE"""),69.02669835910937)</f>
        <v>69.02669836</v>
      </c>
      <c r="AW43" s="32">
        <f>IFERROR(__xludf.DUMMYFUNCTION("""COMPUTED_VALUE"""),4.478114975435831)</f>
        <v>4.478114975</v>
      </c>
      <c r="AX43" s="32">
        <f>IFERROR(__xludf.DUMMYFUNCTION("""COMPUTED_VALUE"""),66.895095837718)</f>
        <v>66.89509584</v>
      </c>
      <c r="AY43" s="32">
        <f>IFERROR(__xludf.DUMMYFUNCTION("""COMPUTED_VALUE"""),4.006689565142393)</f>
        <v>4.006689565</v>
      </c>
      <c r="AZ43" s="30">
        <f>IFERROR(__xludf.DUMMYFUNCTION("""COMPUTED_VALUE"""),0.4714254102934383)</f>
        <v>0.4714254103</v>
      </c>
      <c r="BA43" s="30">
        <f>IFERROR(__xludf.DUMMYFUNCTION("""COMPUTED_VALUE"""),2.0)</f>
        <v>2</v>
      </c>
    </row>
    <row r="44">
      <c r="A44" s="30" t="str">
        <f>IFERROR(__xludf.DUMMYFUNCTION("""COMPUTED_VALUE"""),"Premier")</f>
        <v>Premier</v>
      </c>
      <c r="B44" s="71" t="str">
        <f>IFERROR(__xludf.DUMMYFUNCTION("""COMPUTED_VALUE"""),"RSC007845")</f>
        <v>RSC007845</v>
      </c>
      <c r="C44" s="30" t="str">
        <f>IFERROR(__xludf.DUMMYFUNCTION("""COMPUTED_VALUE"""),"Enchanted")</f>
        <v>Enchanted</v>
      </c>
      <c r="D44" s="30" t="str">
        <f>IFERROR(__xludf.DUMMYFUNCTION("""COMPUTED_VALUE"""),"Old Heads")</f>
        <v>Old Heads</v>
      </c>
      <c r="E44" s="30">
        <f>IFERROR(__xludf.DUMMYFUNCTION("""COMPUTED_VALUE"""),36.0)</f>
        <v>36</v>
      </c>
      <c r="F44" s="30">
        <f>IFERROR(__xludf.DUMMYFUNCTION("""COMPUTED_VALUE"""),21.0)</f>
        <v>21</v>
      </c>
      <c r="G44" s="30">
        <f>IFERROR(__xludf.DUMMYFUNCTION("""COMPUTED_VALUE"""),15.0)</f>
        <v>15</v>
      </c>
      <c r="H44" s="42">
        <f>IFERROR(__xludf.DUMMYFUNCTION("""COMPUTED_VALUE"""),0.5833333333333334)</f>
        <v>0.5833333333</v>
      </c>
      <c r="I44" s="42">
        <f>IFERROR(__xludf.DUMMYFUNCTION("""COMPUTED_VALUE"""),0.3176470588235294)</f>
        <v>0.3176470588</v>
      </c>
      <c r="J44" s="30">
        <f>IFERROR(__xludf.DUMMYFUNCTION("""COMPUTED_VALUE"""),366.02777777777777)</f>
        <v>366.0277778</v>
      </c>
      <c r="K44" s="30">
        <f>IFERROR(__xludf.DUMMYFUNCTION("""COMPUTED_VALUE"""),0.75)</f>
        <v>0.75</v>
      </c>
      <c r="L44" s="30">
        <f>IFERROR(__xludf.DUMMYFUNCTION("""COMPUTED_VALUE"""),0.6388888888888888)</f>
        <v>0.6388888889</v>
      </c>
      <c r="M44" s="30">
        <f>IFERROR(__xludf.DUMMYFUNCTION("""COMPUTED_VALUE"""),1.3888888888888888)</f>
        <v>1.388888889</v>
      </c>
      <c r="N44" s="30">
        <f>IFERROR(__xludf.DUMMYFUNCTION("""COMPUTED_VALUE"""),2.361111111111111)</f>
        <v>2.361111111</v>
      </c>
      <c r="O44" s="30">
        <f>IFERROR(__xludf.DUMMYFUNCTION("""COMPUTED_VALUE"""),371.8518518518518)</f>
        <v>371.8518519</v>
      </c>
      <c r="P44" s="30">
        <f>IFERROR(__xludf.DUMMYFUNCTION("""COMPUTED_VALUE"""),0.8611111111111112)</f>
        <v>0.8611111111</v>
      </c>
      <c r="Q44" s="30">
        <f>IFERROR(__xludf.DUMMYFUNCTION("""COMPUTED_VALUE"""),0.6666666666666666)</f>
        <v>0.6666666667</v>
      </c>
      <c r="R44" s="30">
        <f>IFERROR(__xludf.DUMMYFUNCTION("""COMPUTED_VALUE"""),1.4629629629629632)</f>
        <v>1.462962963</v>
      </c>
      <c r="S44" s="30">
        <f>IFERROR(__xludf.DUMMYFUNCTION("""COMPUTED_VALUE"""),2.759259259259259)</f>
        <v>2.759259259</v>
      </c>
      <c r="T44" s="30">
        <f>IFERROR(__xludf.DUMMYFUNCTION("""COMPUTED_VALUE"""),381.89487213258366)</f>
        <v>381.8948721</v>
      </c>
      <c r="U44" s="30">
        <f>IFERROR(__xludf.DUMMYFUNCTION("""COMPUTED_VALUE"""),0.8678445017904656)</f>
        <v>0.8678445018</v>
      </c>
      <c r="V44" s="30">
        <f>IFERROR(__xludf.DUMMYFUNCTION("""COMPUTED_VALUE"""),0.7020369699833945)</f>
        <v>0.70203697</v>
      </c>
      <c r="W44" s="30">
        <f>IFERROR(__xludf.DUMMYFUNCTION("""COMPUTED_VALUE"""),1.4289419644539552)</f>
        <v>1.428941964</v>
      </c>
      <c r="X44" s="30">
        <f>IFERROR(__xludf.DUMMYFUNCTION("""COMPUTED_VALUE"""),2.7960066611185557)</f>
        <v>2.796006661</v>
      </c>
      <c r="Y44" s="30">
        <f>IFERROR(__xludf.DUMMYFUNCTION("""COMPUTED_VALUE"""),372.75393871263515)</f>
        <v>372.7539387</v>
      </c>
      <c r="Z44" s="30">
        <f>IFERROR(__xludf.DUMMYFUNCTION("""COMPUTED_VALUE"""),0.8130801265727025)</f>
        <v>0.8130801266</v>
      </c>
      <c r="AA44" s="30">
        <f>IFERROR(__xludf.DUMMYFUNCTION("""COMPUTED_VALUE"""),0.6184618648999491)</f>
        <v>0.6184618649</v>
      </c>
      <c r="AB44" s="30">
        <f>IFERROR(__xludf.DUMMYFUNCTION("""COMPUTED_VALUE"""),1.4680371773202083)</f>
        <v>1.468037177</v>
      </c>
      <c r="AC44" s="30">
        <f>IFERROR(__xludf.DUMMYFUNCTION("""COMPUTED_VALUE"""),2.699770866729807)</f>
        <v>2.699770867</v>
      </c>
      <c r="AD44" s="30">
        <f>IFERROR(__xludf.DUMMYFUNCTION("""COMPUTED_VALUE"""),0.9819554933260068)</f>
        <v>0.9819554933</v>
      </c>
      <c r="AE44" s="30">
        <f>IFERROR(__xludf.DUMMYFUNCTION("""COMPUTED_VALUE"""),0.922418314614824)</f>
        <v>0.9224183146</v>
      </c>
      <c r="AF44" s="30">
        <f>IFERROR(__xludf.DUMMYFUNCTION("""COMPUTED_VALUE"""),1.0330287526980249)</f>
        <v>1.033028753</v>
      </c>
      <c r="AG44" s="30">
        <f>IFERROR(__xludf.DUMMYFUNCTION("""COMPUTED_VALUE"""),0.9460856375750656)</f>
        <v>0.9460856376</v>
      </c>
      <c r="AH44" s="30">
        <f>IFERROR(__xludf.DUMMYFUNCTION("""COMPUTED_VALUE"""),0.8745598155043026)</f>
        <v>0.8745598155</v>
      </c>
      <c r="AI44" s="30">
        <f>IFERROR(__xludf.DUMMYFUNCTION("""COMPUTED_VALUE"""),0.9737021337190273)</f>
        <v>0.9737021337</v>
      </c>
      <c r="AJ44" s="30">
        <f>IFERROR(__xludf.DUMMYFUNCTION("""COMPUTED_VALUE"""),0.9922412475213443)</f>
        <v>0.9922412475</v>
      </c>
      <c r="AK44" s="30">
        <f>IFERROR(__xludf.DUMMYFUNCTION("""COMPUTED_VALUE"""),0.9496176058682999)</f>
        <v>0.9496176059</v>
      </c>
      <c r="AL44" s="30">
        <f>IFERROR(__xludf.DUMMYFUNCTION("""COMPUTED_VALUE"""),1.0238085236176884)</f>
        <v>1.023808524</v>
      </c>
      <c r="AM44" s="30">
        <f>IFERROR(__xludf.DUMMYFUNCTION("""COMPUTED_VALUE"""),0.986857183721946)</f>
        <v>0.9868571837</v>
      </c>
      <c r="AN44" s="30">
        <f>IFERROR(__xludf.DUMMYFUNCTION("""COMPUTED_VALUE"""),0.9937951744822534)</f>
        <v>0.9937951745</v>
      </c>
      <c r="AO44" s="30">
        <f>IFERROR(__xludf.DUMMYFUNCTION("""COMPUTED_VALUE"""),0.9361544807259672)</f>
        <v>0.9361544807</v>
      </c>
      <c r="AP44" s="30">
        <f>IFERROR(__xludf.DUMMYFUNCTION("""COMPUTED_VALUE"""),1.05061825002712)</f>
        <v>1.05061825</v>
      </c>
      <c r="AQ44" s="30">
        <f>IFERROR(__xludf.DUMMYFUNCTION("""COMPUTED_VALUE"""),0.9400582050457243)</f>
        <v>0.940058205</v>
      </c>
      <c r="AR44" s="30">
        <f>IFERROR(__xludf.DUMMYFUNCTION("""COMPUTED_VALUE"""),0.8895075121919609)</f>
        <v>0.8895075122</v>
      </c>
      <c r="AS44" s="30">
        <f>IFERROR(__xludf.DUMMYFUNCTION("""COMPUTED_VALUE"""),98.0)</f>
        <v>98</v>
      </c>
      <c r="AT44" s="30">
        <f>IFERROR(__xludf.DUMMYFUNCTION("""COMPUTED_VALUE"""),0.5211224885017609)</f>
        <v>0.5211224885</v>
      </c>
      <c r="AU44" s="30">
        <f>IFERROR(__xludf.DUMMYFUNCTION("""COMPUTED_VALUE"""),2.50972011618924)</f>
        <v>2.509720116</v>
      </c>
      <c r="AV44" s="32">
        <f>IFERROR(__xludf.DUMMYFUNCTION("""COMPUTED_VALUE"""),49.87389812608941)</f>
        <v>49.87389813</v>
      </c>
      <c r="AW44" s="32">
        <f>IFERROR(__xludf.DUMMYFUNCTION("""COMPUTED_VALUE"""),-2.008081670197877)</f>
        <v>-2.00808167</v>
      </c>
      <c r="AX44" s="32">
        <f>IFERROR(__xludf.DUMMYFUNCTION("""COMPUTED_VALUE"""),43.93685317867472)</f>
        <v>43.93685318</v>
      </c>
      <c r="AY44" s="32">
        <f>IFERROR(__xludf.DUMMYFUNCTION("""COMPUTED_VALUE"""),-2.4741062773486653)</f>
        <v>-2.474106277</v>
      </c>
      <c r="AZ44" s="30">
        <f>IFERROR(__xludf.DUMMYFUNCTION("""COMPUTED_VALUE"""),0.4660246071507883)</f>
        <v>0.4660246072</v>
      </c>
      <c r="BA44" s="30">
        <f>IFERROR(__xludf.DUMMYFUNCTION("""COMPUTED_VALUE"""),2.0)</f>
        <v>2</v>
      </c>
    </row>
    <row r="45">
      <c r="A45" s="30" t="str">
        <f>IFERROR(__xludf.DUMMYFUNCTION("""COMPUTED_VALUE"""),"Premier")</f>
        <v>Premier</v>
      </c>
      <c r="B45" s="71" t="str">
        <f>IFERROR(__xludf.DUMMYFUNCTION("""COMPUTED_VALUE"""),"RSC001214")</f>
        <v>RSC001214</v>
      </c>
      <c r="C45" s="30" t="str">
        <f>IFERROR(__xludf.DUMMYFUNCTION("""COMPUTED_VALUE"""),"Corrupt")</f>
        <v>Corrupt</v>
      </c>
      <c r="D45" s="30" t="str">
        <f>IFERROR(__xludf.DUMMYFUNCTION("""COMPUTED_VALUE"""),"Interstellar")</f>
        <v>Interstellar</v>
      </c>
      <c r="E45" s="30">
        <f>IFERROR(__xludf.DUMMYFUNCTION("""COMPUTED_VALUE"""),19.0)</f>
        <v>19</v>
      </c>
      <c r="F45" s="30">
        <f>IFERROR(__xludf.DUMMYFUNCTION("""COMPUTED_VALUE"""),11.0)</f>
        <v>11</v>
      </c>
      <c r="G45" s="30">
        <f>IFERROR(__xludf.DUMMYFUNCTION("""COMPUTED_VALUE"""),8.0)</f>
        <v>8</v>
      </c>
      <c r="H45" s="42">
        <f>IFERROR(__xludf.DUMMYFUNCTION("""COMPUTED_VALUE"""),0.5789473684210527)</f>
        <v>0.5789473684</v>
      </c>
      <c r="I45" s="42">
        <f>IFERROR(__xludf.DUMMYFUNCTION("""COMPUTED_VALUE"""),0.5142857142857142)</f>
        <v>0.5142857143</v>
      </c>
      <c r="J45" s="30">
        <f>IFERROR(__xludf.DUMMYFUNCTION("""COMPUTED_VALUE"""),368.57894736842104)</f>
        <v>368.5789474</v>
      </c>
      <c r="K45" s="30">
        <f>IFERROR(__xludf.DUMMYFUNCTION("""COMPUTED_VALUE"""),0.9473684210526315)</f>
        <v>0.9473684211</v>
      </c>
      <c r="L45" s="30">
        <f>IFERROR(__xludf.DUMMYFUNCTION("""COMPUTED_VALUE"""),0.5263157894736842)</f>
        <v>0.5263157895</v>
      </c>
      <c r="M45" s="30">
        <f>IFERROR(__xludf.DUMMYFUNCTION("""COMPUTED_VALUE"""),1.631578947368421)</f>
        <v>1.631578947</v>
      </c>
      <c r="N45" s="30">
        <f>IFERROR(__xludf.DUMMYFUNCTION("""COMPUTED_VALUE"""),1.8421052631578947)</f>
        <v>1.842105263</v>
      </c>
      <c r="O45" s="30">
        <f>IFERROR(__xludf.DUMMYFUNCTION("""COMPUTED_VALUE"""),338.14035087719293)</f>
        <v>338.1403509</v>
      </c>
      <c r="P45" s="30">
        <f>IFERROR(__xludf.DUMMYFUNCTION("""COMPUTED_VALUE"""),0.7543859649122806)</f>
        <v>0.7543859649</v>
      </c>
      <c r="Q45" s="30">
        <f>IFERROR(__xludf.DUMMYFUNCTION("""COMPUTED_VALUE"""),0.5964912280701754)</f>
        <v>0.5964912281</v>
      </c>
      <c r="R45" s="30">
        <f>IFERROR(__xludf.DUMMYFUNCTION("""COMPUTED_VALUE"""),1.1052631578947367)</f>
        <v>1.105263158</v>
      </c>
      <c r="S45" s="30">
        <f>IFERROR(__xludf.DUMMYFUNCTION("""COMPUTED_VALUE"""),3.0526315789473686)</f>
        <v>3.052631579</v>
      </c>
      <c r="T45" s="30">
        <f>IFERROR(__xludf.DUMMYFUNCTION("""COMPUTED_VALUE"""),362.78860725319254)</f>
        <v>362.7886073</v>
      </c>
      <c r="U45" s="30">
        <f>IFERROR(__xludf.DUMMYFUNCTION("""COMPUTED_VALUE"""),0.8257464834334644)</f>
        <v>0.8257464834</v>
      </c>
      <c r="V45" s="30">
        <f>IFERROR(__xludf.DUMMYFUNCTION("""COMPUTED_VALUE"""),0.5768832473810476)</f>
        <v>0.5768832474</v>
      </c>
      <c r="W45" s="30">
        <f>IFERROR(__xludf.DUMMYFUNCTION("""COMPUTED_VALUE"""),1.3497007035837087)</f>
        <v>1.349700704</v>
      </c>
      <c r="X45" s="30">
        <f>IFERROR(__xludf.DUMMYFUNCTION("""COMPUTED_VALUE"""),2.6986800886727558)</f>
        <v>2.698680089</v>
      </c>
      <c r="Y45" s="30">
        <f>IFERROR(__xludf.DUMMYFUNCTION("""COMPUTED_VALUE"""),375.6605792473961)</f>
        <v>375.6605792</v>
      </c>
      <c r="Z45" s="30">
        <f>IFERROR(__xludf.DUMMYFUNCTION("""COMPUTED_VALUE"""),0.8752813092555638)</f>
        <v>0.8752813093</v>
      </c>
      <c r="AA45" s="30">
        <f>IFERROR(__xludf.DUMMYFUNCTION("""COMPUTED_VALUE"""),0.6969844655733525)</f>
        <v>0.6969844656</v>
      </c>
      <c r="AB45" s="30">
        <f>IFERROR(__xludf.DUMMYFUNCTION("""COMPUTED_VALUE"""),1.3635518836651312)</f>
        <v>1.363551884</v>
      </c>
      <c r="AC45" s="30">
        <f>IFERROR(__xludf.DUMMYFUNCTION("""COMPUTED_VALUE"""),2.735491217724393)</f>
        <v>2.735491218</v>
      </c>
      <c r="AD45" s="30">
        <f>IFERROR(__xludf.DUMMYFUNCTION("""COMPUTED_VALUE"""),0.9811488554557348)</f>
        <v>0.9811488555</v>
      </c>
      <c r="AE45" s="30">
        <f>IFERROR(__xludf.DUMMYFUNCTION("""COMPUTED_VALUE"""),1.0823587925787865)</f>
        <v>1.082358793</v>
      </c>
      <c r="AF45" s="30">
        <f>IFERROR(__xludf.DUMMYFUNCTION("""COMPUTED_VALUE"""),0.7551327403555931)</f>
        <v>0.7551327404</v>
      </c>
      <c r="AG45" s="30">
        <f>IFERROR(__xludf.DUMMYFUNCTION("""COMPUTED_VALUE"""),1.1965653576619701)</f>
        <v>1.196565358</v>
      </c>
      <c r="AH45" s="30">
        <f>IFERROR(__xludf.DUMMYFUNCTION("""COMPUTED_VALUE"""),0.6734093135529456)</f>
        <v>0.6734093136</v>
      </c>
      <c r="AI45" s="30">
        <f>IFERROR(__xludf.DUMMYFUNCTION("""COMPUTED_VALUE"""),0.9320589018419825)</f>
        <v>0.9320589018</v>
      </c>
      <c r="AJ45" s="30">
        <f>IFERROR(__xludf.DUMMYFUNCTION("""COMPUTED_VALUE"""),0.9135805965234441)</f>
        <v>0.9135805965</v>
      </c>
      <c r="AK45" s="30">
        <f>IFERROR(__xludf.DUMMYFUNCTION("""COMPUTED_VALUE"""),1.0339895130915047)</f>
        <v>1.033989513</v>
      </c>
      <c r="AL45" s="30">
        <f>IFERROR(__xludf.DUMMYFUNCTION("""COMPUTED_VALUE"""),0.8188950001730425)</f>
        <v>0.8188950002</v>
      </c>
      <c r="AM45" s="30">
        <f>IFERROR(__xludf.DUMMYFUNCTION("""COMPUTED_VALUE"""),1.1311572615665944)</f>
        <v>1.131157262</v>
      </c>
      <c r="AN45" s="30">
        <f>IFERROR(__xludf.DUMMYFUNCTION("""COMPUTED_VALUE"""),1.0007218073292456)</f>
        <v>1.000721807</v>
      </c>
      <c r="AO45" s="30">
        <f>IFERROR(__xludf.DUMMYFUNCTION("""COMPUTED_VALUE"""),1.1825109230222743)</f>
        <v>1.182510923</v>
      </c>
      <c r="AP45" s="30">
        <f>IFERROR(__xludf.DUMMYFUNCTION("""COMPUTED_VALUE"""),0.8654978718758883)</f>
        <v>0.8654978719</v>
      </c>
      <c r="AQ45" s="30">
        <f>IFERROR(__xludf.DUMMYFUNCTION("""COMPUTED_VALUE"""),1.1043210071905563)</f>
        <v>1.104321007</v>
      </c>
      <c r="AR45" s="30">
        <f>IFERROR(__xludf.DUMMYFUNCTION("""COMPUTED_VALUE"""),0.6939810931033256)</f>
        <v>0.6939810931</v>
      </c>
      <c r="AS45" s="30">
        <f>IFERROR(__xludf.DUMMYFUNCTION("""COMPUTED_VALUE"""),47.0)</f>
        <v>47</v>
      </c>
      <c r="AT45" s="30">
        <f>IFERROR(__xludf.DUMMYFUNCTION("""COMPUTED_VALUE"""),0.5346928989174765)</f>
        <v>0.5346928989</v>
      </c>
      <c r="AU45" s="30">
        <f>IFERROR(__xludf.DUMMYFUNCTION("""COMPUTED_VALUE"""),2.1961466428436442)</f>
        <v>2.196146643</v>
      </c>
      <c r="AV45" s="32">
        <f>IFERROR(__xludf.DUMMYFUNCTION("""COMPUTED_VALUE"""),41.057095203244515)</f>
        <v>41.0570952</v>
      </c>
      <c r="AW45" s="32">
        <f>IFERROR(__xludf.DUMMYFUNCTION("""COMPUTED_VALUE"""),-2.775635470939937)</f>
        <v>-2.775635471</v>
      </c>
      <c r="AX45" s="32">
        <f>IFERROR(__xludf.DUMMYFUNCTION("""COMPUTED_VALUE"""),37.50867365275697)</f>
        <v>37.50867365</v>
      </c>
      <c r="AY45" s="32">
        <f>IFERROR(__xludf.DUMMYFUNCTION("""COMPUTED_VALUE"""),-3.239813975301806)</f>
        <v>-3.239813975</v>
      </c>
      <c r="AZ45" s="30">
        <f>IFERROR(__xludf.DUMMYFUNCTION("""COMPUTED_VALUE"""),0.4641785043618687)</f>
        <v>0.4641785044</v>
      </c>
      <c r="BA45" s="30">
        <f>IFERROR(__xludf.DUMMYFUNCTION("""COMPUTED_VALUE"""),2.0)</f>
        <v>2</v>
      </c>
    </row>
    <row r="46">
      <c r="A46" s="30" t="str">
        <f>IFERROR(__xludf.DUMMYFUNCTION("""COMPUTED_VALUE"""),"Premier")</f>
        <v>Premier</v>
      </c>
      <c r="B46" s="71" t="str">
        <f>IFERROR(__xludf.DUMMYFUNCTION("""COMPUTED_VALUE"""),"RSC007596")</f>
        <v>RSC007596</v>
      </c>
      <c r="C46" s="30" t="str">
        <f>IFERROR(__xludf.DUMMYFUNCTION("""COMPUTED_VALUE"""),"Sean")</f>
        <v>Sean</v>
      </c>
      <c r="D46" s="30" t="str">
        <f>IFERROR(__xludf.DUMMYFUNCTION("""COMPUTED_VALUE"""),"Punks")</f>
        <v>Punks</v>
      </c>
      <c r="E46" s="30">
        <f>IFERROR(__xludf.DUMMYFUNCTION("""COMPUTED_VALUE"""),36.0)</f>
        <v>36</v>
      </c>
      <c r="F46" s="30">
        <f>IFERROR(__xludf.DUMMYFUNCTION("""COMPUTED_VALUE"""),17.0)</f>
        <v>17</v>
      </c>
      <c r="G46" s="30">
        <f>IFERROR(__xludf.DUMMYFUNCTION("""COMPUTED_VALUE"""),19.0)</f>
        <v>19</v>
      </c>
      <c r="H46" s="42">
        <f>IFERROR(__xludf.DUMMYFUNCTION("""COMPUTED_VALUE"""),0.4722222222222222)</f>
        <v>0.4722222222</v>
      </c>
      <c r="I46" s="42">
        <f>IFERROR(__xludf.DUMMYFUNCTION("""COMPUTED_VALUE"""),0.24)</f>
        <v>0.24</v>
      </c>
      <c r="J46" s="30">
        <f>IFERROR(__xludf.DUMMYFUNCTION("""COMPUTED_VALUE"""),333.3611111111111)</f>
        <v>333.3611111</v>
      </c>
      <c r="K46" s="30">
        <f>IFERROR(__xludf.DUMMYFUNCTION("""COMPUTED_VALUE"""),0.5)</f>
        <v>0.5</v>
      </c>
      <c r="L46" s="30">
        <f>IFERROR(__xludf.DUMMYFUNCTION("""COMPUTED_VALUE"""),0.75)</f>
        <v>0.75</v>
      </c>
      <c r="M46" s="30">
        <f>IFERROR(__xludf.DUMMYFUNCTION("""COMPUTED_VALUE"""),1.3055555555555556)</f>
        <v>1.305555556</v>
      </c>
      <c r="N46" s="30">
        <f>IFERROR(__xludf.DUMMYFUNCTION("""COMPUTED_VALUE"""),2.0833333333333335)</f>
        <v>2.083333333</v>
      </c>
      <c r="O46" s="30">
        <f>IFERROR(__xludf.DUMMYFUNCTION("""COMPUTED_VALUE"""),368.5462962962963)</f>
        <v>368.5462963</v>
      </c>
      <c r="P46" s="30">
        <f>IFERROR(__xludf.DUMMYFUNCTION("""COMPUTED_VALUE"""),0.8148148148148147)</f>
        <v>0.8148148148</v>
      </c>
      <c r="Q46" s="30">
        <f>IFERROR(__xludf.DUMMYFUNCTION("""COMPUTED_VALUE"""),0.6666666666666665)</f>
        <v>0.6666666667</v>
      </c>
      <c r="R46" s="30">
        <f>IFERROR(__xludf.DUMMYFUNCTION("""COMPUTED_VALUE"""),1.37037037037037)</f>
        <v>1.37037037</v>
      </c>
      <c r="S46" s="30">
        <f>IFERROR(__xludf.DUMMYFUNCTION("""COMPUTED_VALUE"""),2.583333333333334)</f>
        <v>2.583333333</v>
      </c>
      <c r="T46" s="30">
        <f>IFERROR(__xludf.DUMMYFUNCTION("""COMPUTED_VALUE"""),378.4003589201298)</f>
        <v>378.4003589</v>
      </c>
      <c r="U46" s="30">
        <f>IFERROR(__xludf.DUMMYFUNCTION("""COMPUTED_VALUE"""),0.8235086535983653)</f>
        <v>0.8235086536</v>
      </c>
      <c r="V46" s="30">
        <f>IFERROR(__xludf.DUMMYFUNCTION("""COMPUTED_VALUE"""),0.6715462862562256)</f>
        <v>0.6715462863</v>
      </c>
      <c r="W46" s="30">
        <f>IFERROR(__xludf.DUMMYFUNCTION("""COMPUTED_VALUE"""),1.4814346936595006)</f>
        <v>1.481434694</v>
      </c>
      <c r="X46" s="30">
        <f>IFERROR(__xludf.DUMMYFUNCTION("""COMPUTED_VALUE"""),2.684275822504537)</f>
        <v>2.684275823</v>
      </c>
      <c r="Y46" s="30">
        <f>IFERROR(__xludf.DUMMYFUNCTION("""COMPUTED_VALUE"""),374.9531450243783)</f>
        <v>374.953145</v>
      </c>
      <c r="Z46" s="30">
        <f>IFERROR(__xludf.DUMMYFUNCTION("""COMPUTED_VALUE"""),0.8585351157763442)</f>
        <v>0.8585351158</v>
      </c>
      <c r="AA46" s="30">
        <f>IFERROR(__xludf.DUMMYFUNCTION("""COMPUTED_VALUE"""),0.6609887361499618)</f>
        <v>0.6609887361</v>
      </c>
      <c r="AB46" s="30">
        <f>IFERROR(__xludf.DUMMYFUNCTION("""COMPUTED_VALUE"""),1.4095618808526647)</f>
        <v>1.409561881</v>
      </c>
      <c r="AC46" s="30">
        <f>IFERROR(__xludf.DUMMYFUNCTION("""COMPUTED_VALUE"""),2.798498352298782)</f>
        <v>2.798498352</v>
      </c>
      <c r="AD46" s="30">
        <f>IFERROR(__xludf.DUMMYFUNCTION("""COMPUTED_VALUE"""),0.8890740497441006)</f>
        <v>0.8890740497</v>
      </c>
      <c r="AE46" s="30">
        <f>IFERROR(__xludf.DUMMYFUNCTION("""COMPUTED_VALUE"""),0.5823873605308117)</f>
        <v>0.5823873605</v>
      </c>
      <c r="AF46" s="30">
        <f>IFERROR(__xludf.DUMMYFUNCTION("""COMPUTED_VALUE"""),1.1346638134387872)</f>
        <v>1.134663813</v>
      </c>
      <c r="AG46" s="30">
        <f>IFERROR(__xludf.DUMMYFUNCTION("""COMPUTED_VALUE"""),0.9262137216464778)</f>
        <v>0.9262137216</v>
      </c>
      <c r="AH46" s="30">
        <f>IFERROR(__xludf.DUMMYFUNCTION("""COMPUTED_VALUE"""),0.7444468679504537)</f>
        <v>0.744446868</v>
      </c>
      <c r="AI46" s="30">
        <f>IFERROR(__xludf.DUMMYFUNCTION("""COMPUTED_VALUE"""),0.973958632988735)</f>
        <v>0.973958633</v>
      </c>
      <c r="AJ46" s="30">
        <f>IFERROR(__xludf.DUMMYFUNCTION("""COMPUTED_VALUE"""),0.9894429296576758)</f>
        <v>0.9894429297</v>
      </c>
      <c r="AK46" s="30">
        <f>IFERROR(__xludf.DUMMYFUNCTION("""COMPUTED_VALUE"""),0.9927337553800465)</f>
        <v>0.9927337554</v>
      </c>
      <c r="AL46" s="30">
        <f>IFERROR(__xludf.DUMMYFUNCTION("""COMPUTED_VALUE"""),0.9250292140689813)</f>
        <v>0.9250292141</v>
      </c>
      <c r="AM46" s="30">
        <f>IFERROR(__xludf.DUMMYFUNCTION("""COMPUTED_VALUE"""),0.9623948894055829)</f>
        <v>0.9623948894</v>
      </c>
      <c r="AN46" s="30">
        <f>IFERROR(__xludf.DUMMYFUNCTION("""COMPUTED_VALUE"""),0.9051025187039176)</f>
        <v>0.9051025187</v>
      </c>
      <c r="AO46" s="30">
        <f>IFERROR(__xludf.DUMMYFUNCTION("""COMPUTED_VALUE"""),0.6241029871506448)</f>
        <v>0.6241029872</v>
      </c>
      <c r="AP46" s="30">
        <f>IFERROR(__xludf.DUMMYFUNCTION("""COMPUTED_VALUE"""),1.233334467423141)</f>
        <v>1.233334467</v>
      </c>
      <c r="AQ46" s="30">
        <f>IFERROR(__xludf.DUMMYFUNCTION("""COMPUTED_VALUE"""),0.8836547127429809)</f>
        <v>0.8836547127</v>
      </c>
      <c r="AR46" s="30">
        <f>IFERROR(__xludf.DUMMYFUNCTION("""COMPUTED_VALUE"""),0.784859569581142)</f>
        <v>0.7848595696</v>
      </c>
      <c r="AS46" s="30">
        <f>IFERROR(__xludf.DUMMYFUNCTION("""COMPUTED_VALUE"""),88.0)</f>
        <v>88</v>
      </c>
      <c r="AT46" s="30">
        <f>IFERROR(__xludf.DUMMYFUNCTION("""COMPUTED_VALUE"""),0.5000000000000001)</f>
        <v>0.5</v>
      </c>
      <c r="AU46" s="30">
        <f>IFERROR(__xludf.DUMMYFUNCTION("""COMPUTED_VALUE"""),2.154110773290137)</f>
        <v>2.154110773</v>
      </c>
      <c r="AV46" s="32">
        <f>IFERROR(__xludf.DUMMYFUNCTION("""COMPUTED_VALUE"""),39.875164941129455)</f>
        <v>39.87516494</v>
      </c>
      <c r="AW46" s="32">
        <f>IFERROR(__xludf.DUMMYFUNCTION("""COMPUTED_VALUE"""),-2.917653487407116)</f>
        <v>-2.917653487</v>
      </c>
      <c r="AX46" s="32">
        <f>IFERROR(__xludf.DUMMYFUNCTION("""COMPUTED_VALUE"""),37.00249361086473)</f>
        <v>37.00249361</v>
      </c>
      <c r="AY46" s="32">
        <f>IFERROR(__xludf.DUMMYFUNCTION("""COMPUTED_VALUE"""),-3.3160176568643163)</f>
        <v>-3.316017657</v>
      </c>
      <c r="AZ46" s="30">
        <f>IFERROR(__xludf.DUMMYFUNCTION("""COMPUTED_VALUE"""),0.3983641694572002)</f>
        <v>0.3983641695</v>
      </c>
      <c r="BA46" s="30">
        <f>IFERROR(__xludf.DUMMYFUNCTION("""COMPUTED_VALUE"""),2.0)</f>
        <v>2</v>
      </c>
    </row>
    <row r="47">
      <c r="A47" s="30" t="str">
        <f>IFERROR(__xludf.DUMMYFUNCTION("""COMPUTED_VALUE"""),"Premier")</f>
        <v>Premier</v>
      </c>
      <c r="B47" s="71" t="str">
        <f>IFERROR(__xludf.DUMMYFUNCTION("""COMPUTED_VALUE"""),"RSC006029")</f>
        <v>RSC006029</v>
      </c>
      <c r="C47" s="30" t="str">
        <f>IFERROR(__xludf.DUMMYFUNCTION("""COMPUTED_VALUE"""),"bman.")</f>
        <v>bman.</v>
      </c>
      <c r="D47" s="30"/>
      <c r="E47" s="30">
        <f>IFERROR(__xludf.DUMMYFUNCTION("""COMPUTED_VALUE"""),12.0)</f>
        <v>12</v>
      </c>
      <c r="F47" s="30">
        <f>IFERROR(__xludf.DUMMYFUNCTION("""COMPUTED_VALUE"""),6.0)</f>
        <v>6</v>
      </c>
      <c r="G47" s="30">
        <f>IFERROR(__xludf.DUMMYFUNCTION("""COMPUTED_VALUE"""),6.0)</f>
        <v>6</v>
      </c>
      <c r="H47" s="42">
        <f>IFERROR(__xludf.DUMMYFUNCTION("""COMPUTED_VALUE"""),0.5)</f>
        <v>0.5</v>
      </c>
      <c r="I47" s="42">
        <f>IFERROR(__xludf.DUMMYFUNCTION("""COMPUTED_VALUE"""),0.29268292682926833)</f>
        <v>0.2926829268</v>
      </c>
      <c r="J47" s="30">
        <f>IFERROR(__xludf.DUMMYFUNCTION("""COMPUTED_VALUE"""),434.1666666666667)</f>
        <v>434.1666667</v>
      </c>
      <c r="K47" s="30">
        <f>IFERROR(__xludf.DUMMYFUNCTION("""COMPUTED_VALUE"""),1.0)</f>
        <v>1</v>
      </c>
      <c r="L47" s="30">
        <f>IFERROR(__xludf.DUMMYFUNCTION("""COMPUTED_VALUE"""),0.5833333333333334)</f>
        <v>0.5833333333</v>
      </c>
      <c r="M47" s="30">
        <f>IFERROR(__xludf.DUMMYFUNCTION("""COMPUTED_VALUE"""),1.5)</f>
        <v>1.5</v>
      </c>
      <c r="N47" s="30">
        <f>IFERROR(__xludf.DUMMYFUNCTION("""COMPUTED_VALUE"""),3.4166666666666665)</f>
        <v>3.416666667</v>
      </c>
      <c r="O47" s="30">
        <f>IFERROR(__xludf.DUMMYFUNCTION("""COMPUTED_VALUE"""),399.1111111111111)</f>
        <v>399.1111111</v>
      </c>
      <c r="P47" s="30">
        <f>IFERROR(__xludf.DUMMYFUNCTION("""COMPUTED_VALUE"""),0.861111111111111)</f>
        <v>0.8611111111</v>
      </c>
      <c r="Q47" s="30">
        <f>IFERROR(__xludf.DUMMYFUNCTION("""COMPUTED_VALUE"""),0.5833333333333334)</f>
        <v>0.5833333333</v>
      </c>
      <c r="R47" s="30">
        <f>IFERROR(__xludf.DUMMYFUNCTION("""COMPUTED_VALUE"""),1.611111111111111)</f>
        <v>1.611111111</v>
      </c>
      <c r="S47" s="30">
        <f>IFERROR(__xludf.DUMMYFUNCTION("""COMPUTED_VALUE"""),3.0833333333333335)</f>
        <v>3.083333333</v>
      </c>
      <c r="T47" s="30">
        <f>IFERROR(__xludf.DUMMYFUNCTION("""COMPUTED_VALUE"""),357.3909502137961)</f>
        <v>357.3909502</v>
      </c>
      <c r="U47" s="30">
        <f>IFERROR(__xludf.DUMMYFUNCTION("""COMPUTED_VALUE"""),0.7328151808733302)</f>
        <v>0.7328151809</v>
      </c>
      <c r="V47" s="30">
        <f>IFERROR(__xludf.DUMMYFUNCTION("""COMPUTED_VALUE"""),0.5403770714620083)</f>
        <v>0.5403770715</v>
      </c>
      <c r="W47" s="30">
        <f>IFERROR(__xludf.DUMMYFUNCTION("""COMPUTED_VALUE"""),1.4832434032113337)</f>
        <v>1.483243403</v>
      </c>
      <c r="X47" s="30">
        <f>IFERROR(__xludf.DUMMYFUNCTION("""COMPUTED_VALUE"""),2.5766627777628055)</f>
        <v>2.576662778</v>
      </c>
      <c r="Y47" s="30">
        <f>IFERROR(__xludf.DUMMYFUNCTION("""COMPUTED_VALUE"""),385.1724058253958)</f>
        <v>385.1724058</v>
      </c>
      <c r="Z47" s="30">
        <f>IFERROR(__xludf.DUMMYFUNCTION("""COMPUTED_VALUE"""),0.9105792179406439)</f>
        <v>0.9105792179</v>
      </c>
      <c r="AA47" s="30">
        <f>IFERROR(__xludf.DUMMYFUNCTION("""COMPUTED_VALUE"""),0.7184999411112408)</f>
        <v>0.7184999411</v>
      </c>
      <c r="AB47" s="30">
        <f>IFERROR(__xludf.DUMMYFUNCTION("""COMPUTED_VALUE"""),1.436106465719589)</f>
        <v>1.436106466</v>
      </c>
      <c r="AC47" s="30">
        <f>IFERROR(__xludf.DUMMYFUNCTION("""COMPUTED_VALUE"""),2.8939704460773608)</f>
        <v>2.893970446</v>
      </c>
      <c r="AD47" s="30">
        <f>IFERROR(__xludf.DUMMYFUNCTION("""COMPUTED_VALUE"""),1.1272008588888391)</f>
        <v>1.127200859</v>
      </c>
      <c r="AE47" s="30">
        <f>IFERROR(__xludf.DUMMYFUNCTION("""COMPUTED_VALUE"""),1.0982020897221763)</f>
        <v>1.09820209</v>
      </c>
      <c r="AF47" s="30">
        <f>IFERROR(__xludf.DUMMYFUNCTION("""COMPUTED_VALUE"""),0.8118766612995721)</f>
        <v>0.8118766613</v>
      </c>
      <c r="AG47" s="30">
        <f>IFERROR(__xludf.DUMMYFUNCTION("""COMPUTED_VALUE"""),1.0444908060826785)</f>
        <v>1.044490806</v>
      </c>
      <c r="AH47" s="30">
        <f>IFERROR(__xludf.DUMMYFUNCTION("""COMPUTED_VALUE"""),1.1806156041772284)</f>
        <v>1.180615604</v>
      </c>
      <c r="AI47" s="30">
        <f>IFERROR(__xludf.DUMMYFUNCTION("""COMPUTED_VALUE"""),1.1167353590580775)</f>
        <v>1.116735359</v>
      </c>
      <c r="AJ47" s="30">
        <f>IFERROR(__xludf.DUMMYFUNCTION("""COMPUTED_VALUE"""),1.175072697163403)</f>
        <v>1.175072697</v>
      </c>
      <c r="AK47" s="30">
        <f>IFERROR(__xludf.DUMMYFUNCTION("""COMPUTED_VALUE"""),1.0794931245974324)</f>
        <v>1.079493125</v>
      </c>
      <c r="AL47" s="30">
        <f>IFERROR(__xludf.DUMMYFUNCTION("""COMPUTED_VALUE"""),1.0862081756931694)</f>
        <v>1.086208176</v>
      </c>
      <c r="AM47" s="30">
        <f>IFERROR(__xludf.DUMMYFUNCTION("""COMPUTED_VALUE"""),1.196638287300617)</f>
        <v>1.196638287</v>
      </c>
      <c r="AN47" s="30">
        <f>IFERROR(__xludf.DUMMYFUNCTION("""COMPUTED_VALUE"""),1.1787977974620643)</f>
        <v>1.178797797</v>
      </c>
      <c r="AO47" s="30">
        <f>IFERROR(__xludf.DUMMYFUNCTION("""COMPUTED_VALUE"""),1.2482059743012897)</f>
        <v>1.248205974</v>
      </c>
      <c r="AP47" s="30">
        <f>IFERROR(__xludf.DUMMYFUNCTION("""COMPUTED_VALUE"""),0.9592601413291096)</f>
        <v>0.9592601413</v>
      </c>
      <c r="AQ47" s="30">
        <f>IFERROR(__xludf.DUMMYFUNCTION("""COMPUTED_VALUE"""),1.0152628614493824)</f>
        <v>1.015262861</v>
      </c>
      <c r="AR47" s="30">
        <f>IFERROR(__xludf.DUMMYFUNCTION("""COMPUTED_VALUE"""),1.2871696941130728)</f>
        <v>1.287169694</v>
      </c>
      <c r="AS47" s="30">
        <f>IFERROR(__xludf.DUMMYFUNCTION("""COMPUTED_VALUE"""),34.0)</f>
        <v>34</v>
      </c>
      <c r="AT47" s="30">
        <f>IFERROR(__xludf.DUMMYFUNCTION("""COMPUTED_VALUE"""),0.5374329717670739)</f>
        <v>0.5374329718</v>
      </c>
      <c r="AU47" s="30">
        <f>IFERROR(__xludf.DUMMYFUNCTION("""COMPUTED_VALUE"""),2.875601720855679)</f>
        <v>2.875601721</v>
      </c>
      <c r="AV47" s="32">
        <f>IFERROR(__xludf.DUMMYFUNCTION("""COMPUTED_VALUE"""),60.16145838117164)</f>
        <v>60.16145838</v>
      </c>
      <c r="AW47" s="32">
        <f>IFERROR(__xludf.DUMMYFUNCTION("""COMPUTED_VALUE"""),2.922242638809092)</f>
        <v>2.922242639</v>
      </c>
      <c r="AX47" s="32">
        <f>IFERROR(__xludf.DUMMYFUNCTION("""COMPUTED_VALUE"""),56.58139293574354)</f>
        <v>56.58139294</v>
      </c>
      <c r="AY47" s="32">
        <f>IFERROR(__xludf.DUMMYFUNCTION("""COMPUTED_VALUE"""),2.52412594758052)</f>
        <v>2.524125948</v>
      </c>
      <c r="AZ47" s="30">
        <f>IFERROR(__xludf.DUMMYFUNCTION("""COMPUTED_VALUE"""),0.3981166912285721)</f>
        <v>0.3981166912</v>
      </c>
      <c r="BA47" s="30">
        <f>IFERROR(__xludf.DUMMYFUNCTION("""COMPUTED_VALUE"""),2.0)</f>
        <v>2</v>
      </c>
    </row>
    <row r="48">
      <c r="A48" s="30" t="str">
        <f>IFERROR(__xludf.DUMMYFUNCTION("""COMPUTED_VALUE"""),"Premier")</f>
        <v>Premier</v>
      </c>
      <c r="B48" s="71" t="str">
        <f>IFERROR(__xludf.DUMMYFUNCTION("""COMPUTED_VALUE"""),"RSC003334")</f>
        <v>RSC003334</v>
      </c>
      <c r="C48" s="30" t="str">
        <f>IFERROR(__xludf.DUMMYFUNCTION("""COMPUTED_VALUE"""),"hawk rl")</f>
        <v>hawk rl</v>
      </c>
      <c r="D48" s="30" t="str">
        <f>IFERROR(__xludf.DUMMYFUNCTION("""COMPUTED_VALUE"""),"Interstellar")</f>
        <v>Interstellar</v>
      </c>
      <c r="E48" s="30">
        <f>IFERROR(__xludf.DUMMYFUNCTION("""COMPUTED_VALUE"""),17.0)</f>
        <v>17</v>
      </c>
      <c r="F48" s="30">
        <f>IFERROR(__xludf.DUMMYFUNCTION("""COMPUTED_VALUE"""),7.0)</f>
        <v>7</v>
      </c>
      <c r="G48" s="30">
        <f>IFERROR(__xludf.DUMMYFUNCTION("""COMPUTED_VALUE"""),10.0)</f>
        <v>10</v>
      </c>
      <c r="H48" s="42">
        <f>IFERROR(__xludf.DUMMYFUNCTION("""COMPUTED_VALUE"""),0.4117647058823529)</f>
        <v>0.4117647059</v>
      </c>
      <c r="I48" s="42">
        <f>IFERROR(__xludf.DUMMYFUNCTION("""COMPUTED_VALUE"""),0.3448275862068966)</f>
        <v>0.3448275862</v>
      </c>
      <c r="J48" s="30">
        <f>IFERROR(__xludf.DUMMYFUNCTION("""COMPUTED_VALUE"""),287.4117647058824)</f>
        <v>287.4117647</v>
      </c>
      <c r="K48" s="30">
        <f>IFERROR(__xludf.DUMMYFUNCTION("""COMPUTED_VALUE"""),0.5882352941176471)</f>
        <v>0.5882352941</v>
      </c>
      <c r="L48" s="30">
        <f>IFERROR(__xludf.DUMMYFUNCTION("""COMPUTED_VALUE"""),0.7647058823529411)</f>
        <v>0.7647058824</v>
      </c>
      <c r="M48" s="30">
        <f>IFERROR(__xludf.DUMMYFUNCTION("""COMPUTED_VALUE"""),1.0)</f>
        <v>1</v>
      </c>
      <c r="N48" s="30">
        <f>IFERROR(__xludf.DUMMYFUNCTION("""COMPUTED_VALUE"""),1.7058823529411764)</f>
        <v>1.705882353</v>
      </c>
      <c r="O48" s="30">
        <f>IFERROR(__xludf.DUMMYFUNCTION("""COMPUTED_VALUE"""),353.0392156862745)</f>
        <v>353.0392157</v>
      </c>
      <c r="P48" s="30">
        <f>IFERROR(__xludf.DUMMYFUNCTION("""COMPUTED_VALUE"""),0.9019607843137255)</f>
        <v>0.9019607843</v>
      </c>
      <c r="Q48" s="30">
        <f>IFERROR(__xludf.DUMMYFUNCTION("""COMPUTED_VALUE"""),0.6470588235294118)</f>
        <v>0.6470588235</v>
      </c>
      <c r="R48" s="30">
        <f>IFERROR(__xludf.DUMMYFUNCTION("""COMPUTED_VALUE"""),1.2549019607843137)</f>
        <v>1.254901961</v>
      </c>
      <c r="S48" s="30">
        <f>IFERROR(__xludf.DUMMYFUNCTION("""COMPUTED_VALUE"""),2.588235294117647)</f>
        <v>2.588235294</v>
      </c>
      <c r="T48" s="30">
        <f>IFERROR(__xludf.DUMMYFUNCTION("""COMPUTED_VALUE"""),376.8626120640117)</f>
        <v>376.8626121</v>
      </c>
      <c r="U48" s="30">
        <f>IFERROR(__xludf.DUMMYFUNCTION("""COMPUTED_VALUE"""),0.8641605408766921)</f>
        <v>0.8641605409</v>
      </c>
      <c r="V48" s="30">
        <f>IFERROR(__xludf.DUMMYFUNCTION("""COMPUTED_VALUE"""),0.6464351002893249)</f>
        <v>0.6464351003</v>
      </c>
      <c r="W48" s="30">
        <f>IFERROR(__xludf.DUMMYFUNCTION("""COMPUTED_VALUE"""),1.4758826777601195)</f>
        <v>1.475882678</v>
      </c>
      <c r="X48" s="30">
        <f>IFERROR(__xludf.DUMMYFUNCTION("""COMPUTED_VALUE"""),2.7395183230365734)</f>
        <v>2.739518323</v>
      </c>
      <c r="Y48" s="30">
        <f>IFERROR(__xludf.DUMMYFUNCTION("""COMPUTED_VALUE"""),377.67223075413324)</f>
        <v>377.6722308</v>
      </c>
      <c r="Z48" s="30">
        <f>IFERROR(__xludf.DUMMYFUNCTION("""COMPUTED_VALUE"""),0.8761525019031439)</f>
        <v>0.8761525019</v>
      </c>
      <c r="AA48" s="30">
        <f>IFERROR(__xludf.DUMMYFUNCTION("""COMPUTED_VALUE"""),0.6880477377541778)</f>
        <v>0.6880477378</v>
      </c>
      <c r="AB48" s="30">
        <f>IFERROR(__xludf.DUMMYFUNCTION("""COMPUTED_VALUE"""),1.4335667935035428)</f>
        <v>1.433566794</v>
      </c>
      <c r="AC48" s="30">
        <f>IFERROR(__xludf.DUMMYFUNCTION("""COMPUTED_VALUE"""),2.767028776792887)</f>
        <v>2.767028777</v>
      </c>
      <c r="AD48" s="30">
        <f>IFERROR(__xludf.DUMMYFUNCTION("""COMPUTED_VALUE"""),0.7610084652821326)</f>
        <v>0.7610084653</v>
      </c>
      <c r="AE48" s="30">
        <f>IFERROR(__xludf.DUMMYFUNCTION("""COMPUTED_VALUE"""),0.6713845966768406)</f>
        <v>0.6713845967</v>
      </c>
      <c r="AF48" s="30">
        <f>IFERROR(__xludf.DUMMYFUNCTION("""COMPUTED_VALUE"""),1.1114139911991852)</f>
        <v>1.111413991</v>
      </c>
      <c r="AG48" s="30">
        <f>IFERROR(__xludf.DUMMYFUNCTION("""COMPUTED_VALUE"""),0.6975608004675289)</f>
        <v>0.6975608005</v>
      </c>
      <c r="AH48" s="30">
        <f>IFERROR(__xludf.DUMMYFUNCTION("""COMPUTED_VALUE"""),0.6165032930804472)</f>
        <v>0.6165032931</v>
      </c>
      <c r="AI48" s="30">
        <f>IFERROR(__xludf.DUMMYFUNCTION("""COMPUTED_VALUE"""),0.9367849300644057)</f>
        <v>0.9367849301</v>
      </c>
      <c r="AJ48" s="30">
        <f>IFERROR(__xludf.DUMMYFUNCTION("""COMPUTED_VALUE"""),1.0437421539737106)</f>
        <v>1.043742154</v>
      </c>
      <c r="AK48" s="30">
        <f>IFERROR(__xludf.DUMMYFUNCTION("""COMPUTED_VALUE"""),1.000964865985476)</f>
        <v>1.000964866</v>
      </c>
      <c r="AL48" s="30">
        <f>IFERROR(__xludf.DUMMYFUNCTION("""COMPUTED_VALUE"""),0.8502721657312367)</f>
        <v>0.8502721657</v>
      </c>
      <c r="AM48" s="30">
        <f>IFERROR(__xludf.DUMMYFUNCTION("""COMPUTED_VALUE"""),0.9447775079119606)</f>
        <v>0.9447775079</v>
      </c>
      <c r="AN48" s="30">
        <f>IFERROR(__xludf.DUMMYFUNCTION("""COMPUTED_VALUE"""),0.7803463075623321)</f>
        <v>0.7803463076</v>
      </c>
      <c r="AO48" s="30">
        <f>IFERROR(__xludf.DUMMYFUNCTION("""COMPUTED_VALUE"""),0.7342388084125233)</f>
        <v>0.7342388084</v>
      </c>
      <c r="AP48" s="30">
        <f>IFERROR(__xludf.DUMMYFUNCTION("""COMPUTED_VALUE"""),1.2575174961961437)</f>
        <v>1.257517496</v>
      </c>
      <c r="AQ48" s="30">
        <f>IFERROR(__xludf.DUMMYFUNCTION("""COMPUTED_VALUE"""),0.6768419076329215)</f>
        <v>0.6768419076</v>
      </c>
      <c r="AR48" s="30">
        <f>IFERROR(__xludf.DUMMYFUNCTION("""COMPUTED_VALUE"""),0.6426614828570292)</f>
        <v>0.6426614829</v>
      </c>
      <c r="AS48" s="30">
        <f>IFERROR(__xludf.DUMMYFUNCTION("""COMPUTED_VALUE"""),38.0)</f>
        <v>38</v>
      </c>
      <c r="AT48" s="30">
        <f>IFERROR(__xludf.DUMMYFUNCTION("""COMPUTED_VALUE"""),0.42502081735321345)</f>
        <v>0.4250208174</v>
      </c>
      <c r="AU48" s="30">
        <f>IFERROR(__xludf.DUMMYFUNCTION("""COMPUTED_VALUE"""),1.9877079294700692)</f>
        <v>1.987707929</v>
      </c>
      <c r="AV48" s="32">
        <f>IFERROR(__xludf.DUMMYFUNCTION("""COMPUTED_VALUE"""),35.196385629508576)</f>
        <v>35.19638563</v>
      </c>
      <c r="AW48" s="32">
        <f>IFERROR(__xludf.DUMMYFUNCTION("""COMPUTED_VALUE"""),-3.6117134930542654)</f>
        <v>-3.611713493</v>
      </c>
      <c r="AX48" s="32">
        <f>IFERROR(__xludf.DUMMYFUNCTION("""COMPUTED_VALUE"""),37.68091514082372)</f>
        <v>37.68091514</v>
      </c>
      <c r="AY48" s="32">
        <f>IFERROR(__xludf.DUMMYFUNCTION("""COMPUTED_VALUE"""),-3.214504986236269)</f>
        <v>-3.214504986</v>
      </c>
      <c r="AZ48" s="30">
        <f>IFERROR(__xludf.DUMMYFUNCTION("""COMPUTED_VALUE"""),0.39720850681799647)</f>
        <v>0.3972085068</v>
      </c>
      <c r="BA48" s="30">
        <f>IFERROR(__xludf.DUMMYFUNCTION("""COMPUTED_VALUE"""),2.0)</f>
        <v>2</v>
      </c>
    </row>
    <row r="49">
      <c r="A49" s="30" t="str">
        <f>IFERROR(__xludf.DUMMYFUNCTION("""COMPUTED_VALUE"""),"Premier")</f>
        <v>Premier</v>
      </c>
      <c r="B49" s="71" t="str">
        <f>IFERROR(__xludf.DUMMYFUNCTION("""COMPUTED_VALUE"""),"RSC007721")</f>
        <v>RSC007721</v>
      </c>
      <c r="C49" s="30" t="str">
        <f>IFERROR(__xludf.DUMMYFUNCTION("""COMPUTED_VALUE"""),"Ace!")</f>
        <v>Ace!</v>
      </c>
      <c r="D49" s="30" t="str">
        <f>IFERROR(__xludf.DUMMYFUNCTION("""COMPUTED_VALUE"""),"Gummy Bears")</f>
        <v>Gummy Bears</v>
      </c>
      <c r="E49" s="30">
        <f>IFERROR(__xludf.DUMMYFUNCTION("""COMPUTED_VALUE"""),23.0)</f>
        <v>23</v>
      </c>
      <c r="F49" s="30">
        <f>IFERROR(__xludf.DUMMYFUNCTION("""COMPUTED_VALUE"""),14.0)</f>
        <v>14</v>
      </c>
      <c r="G49" s="30">
        <f>IFERROR(__xludf.DUMMYFUNCTION("""COMPUTED_VALUE"""),9.0)</f>
        <v>9</v>
      </c>
      <c r="H49" s="42">
        <f>IFERROR(__xludf.DUMMYFUNCTION("""COMPUTED_VALUE"""),0.6086956521739131)</f>
        <v>0.6086956522</v>
      </c>
      <c r="I49" s="42">
        <f>IFERROR(__xludf.DUMMYFUNCTION("""COMPUTED_VALUE"""),0.22033898305084745)</f>
        <v>0.2203389831</v>
      </c>
      <c r="J49" s="30">
        <f>IFERROR(__xludf.DUMMYFUNCTION("""COMPUTED_VALUE"""),391.95652173913044)</f>
        <v>391.9565217</v>
      </c>
      <c r="K49" s="30">
        <f>IFERROR(__xludf.DUMMYFUNCTION("""COMPUTED_VALUE"""),0.5652173913043478)</f>
        <v>0.5652173913</v>
      </c>
      <c r="L49" s="30">
        <f>IFERROR(__xludf.DUMMYFUNCTION("""COMPUTED_VALUE"""),0.9130434782608695)</f>
        <v>0.9130434783</v>
      </c>
      <c r="M49" s="30">
        <f>IFERROR(__xludf.DUMMYFUNCTION("""COMPUTED_VALUE"""),1.6956521739130435)</f>
        <v>1.695652174</v>
      </c>
      <c r="N49" s="30">
        <f>IFERROR(__xludf.DUMMYFUNCTION("""COMPUTED_VALUE"""),2.5652173913043477)</f>
        <v>2.565217391</v>
      </c>
      <c r="O49" s="30">
        <f>IFERROR(__xludf.DUMMYFUNCTION("""COMPUTED_VALUE"""),354.0144927536232)</f>
        <v>354.0144928</v>
      </c>
      <c r="P49" s="30">
        <f>IFERROR(__xludf.DUMMYFUNCTION("""COMPUTED_VALUE"""),0.898550724637681)</f>
        <v>0.8985507246</v>
      </c>
      <c r="Q49" s="30">
        <f>IFERROR(__xludf.DUMMYFUNCTION("""COMPUTED_VALUE"""),0.6666666666666665)</f>
        <v>0.6666666667</v>
      </c>
      <c r="R49" s="30">
        <f>IFERROR(__xludf.DUMMYFUNCTION("""COMPUTED_VALUE"""),1.2028985507246375)</f>
        <v>1.202898551</v>
      </c>
      <c r="S49" s="30">
        <f>IFERROR(__xludf.DUMMYFUNCTION("""COMPUTED_VALUE"""),3.0000000000000004)</f>
        <v>3</v>
      </c>
      <c r="T49" s="30">
        <f>IFERROR(__xludf.DUMMYFUNCTION("""COMPUTED_VALUE"""),352.19663668320527)</f>
        <v>352.1966367</v>
      </c>
      <c r="U49" s="30">
        <f>IFERROR(__xludf.DUMMYFUNCTION("""COMPUTED_VALUE"""),0.7514585250281565)</f>
        <v>0.751458525</v>
      </c>
      <c r="V49" s="30">
        <f>IFERROR(__xludf.DUMMYFUNCTION("""COMPUTED_VALUE"""),0.6206766247377584)</f>
        <v>0.6206766247</v>
      </c>
      <c r="W49" s="30">
        <f>IFERROR(__xludf.DUMMYFUNCTION("""COMPUTED_VALUE"""),1.3371701995856355)</f>
        <v>1.3371702</v>
      </c>
      <c r="X49" s="30">
        <f>IFERROR(__xludf.DUMMYFUNCTION("""COMPUTED_VALUE"""),2.6571084368976456)</f>
        <v>2.657108437</v>
      </c>
      <c r="Y49" s="30">
        <f>IFERROR(__xludf.DUMMYFUNCTION("""COMPUTED_VALUE"""),380.0511277489022)</f>
        <v>380.0511277</v>
      </c>
      <c r="Z49" s="30">
        <f>IFERROR(__xludf.DUMMYFUNCTION("""COMPUTED_VALUE"""),0.8596589914529855)</f>
        <v>0.8596589915</v>
      </c>
      <c r="AA49" s="30">
        <f>IFERROR(__xludf.DUMMYFUNCTION("""COMPUTED_VALUE"""),0.6952089771690051)</f>
        <v>0.6952089772</v>
      </c>
      <c r="AB49" s="30">
        <f>IFERROR(__xludf.DUMMYFUNCTION("""COMPUTED_VALUE"""),1.4509030415968787)</f>
        <v>1.450903042</v>
      </c>
      <c r="AC49" s="30">
        <f>IFERROR(__xludf.DUMMYFUNCTION("""COMPUTED_VALUE"""),2.7761977714570327)</f>
        <v>2.776197771</v>
      </c>
      <c r="AD49" s="30">
        <f>IFERROR(__xludf.DUMMYFUNCTION("""COMPUTED_VALUE"""),1.0313257694056734)</f>
        <v>1.031325769</v>
      </c>
      <c r="AE49" s="30">
        <f>IFERROR(__xludf.DUMMYFUNCTION("""COMPUTED_VALUE"""),0.6574902338298398)</f>
        <v>0.6574902338</v>
      </c>
      <c r="AF49" s="30">
        <f>IFERROR(__xludf.DUMMYFUNCTION("""COMPUTED_VALUE"""),1.3133367206777438)</f>
        <v>1.313336721</v>
      </c>
      <c r="AG49" s="30">
        <f>IFERROR(__xludf.DUMMYFUNCTION("""COMPUTED_VALUE"""),1.1686874486435643)</f>
        <v>1.168687449</v>
      </c>
      <c r="AH49" s="30">
        <f>IFERROR(__xludf.DUMMYFUNCTION("""COMPUTED_VALUE"""),0.9240038363542248)</f>
        <v>0.9240038364</v>
      </c>
      <c r="AI49" s="30">
        <f>IFERROR(__xludf.DUMMYFUNCTION("""COMPUTED_VALUE"""),1.0051614804943554)</f>
        <v>1.00516148</v>
      </c>
      <c r="AJ49" s="30">
        <f>IFERROR(__xludf.DUMMYFUNCTION("""COMPUTED_VALUE"""),1.1957422728074223)</f>
        <v>1.195742273</v>
      </c>
      <c r="AK49" s="30">
        <f>IFERROR(__xludf.DUMMYFUNCTION("""COMPUTED_VALUE"""),1.0740966230979607)</f>
        <v>1.074096623</v>
      </c>
      <c r="AL49" s="30">
        <f>IFERROR(__xludf.DUMMYFUNCTION("""COMPUTED_VALUE"""),0.8995852219092182)</f>
        <v>0.8995852219</v>
      </c>
      <c r="AM49" s="30">
        <f>IFERROR(__xludf.DUMMYFUNCTION("""COMPUTED_VALUE"""),1.1290468835749525)</f>
        <v>1.129046884</v>
      </c>
      <c r="AN49" s="30">
        <f>IFERROR(__xludf.DUMMYFUNCTION("""COMPUTED_VALUE"""),1.0641938223270142)</f>
        <v>1.064193822</v>
      </c>
      <c r="AO49" s="30">
        <f>IFERROR(__xludf.DUMMYFUNCTION("""COMPUTED_VALUE"""),0.7055077246050766)</f>
        <v>0.7055077246</v>
      </c>
      <c r="AP49" s="30">
        <f>IFERROR(__xludf.DUMMYFUNCTION("""COMPUTED_VALUE"""),1.501450655993389)</f>
        <v>1.501450656</v>
      </c>
      <c r="AQ49" s="30">
        <f>IFERROR(__xludf.DUMMYFUNCTION("""COMPUTED_VALUE"""),1.1476884520732147)</f>
        <v>1.147688452</v>
      </c>
      <c r="AR49" s="30">
        <f>IFERROR(__xludf.DUMMYFUNCTION("""COMPUTED_VALUE"""),0.9664010004581713)</f>
        <v>0.9664010005</v>
      </c>
      <c r="AS49" s="30">
        <f>IFERROR(__xludf.DUMMYFUNCTION("""COMPUTED_VALUE"""),62.0)</f>
        <v>62</v>
      </c>
      <c r="AT49" s="30">
        <f>IFERROR(__xludf.DUMMYFUNCTION("""COMPUTED_VALUE"""),0.5000000000000001)</f>
        <v>0.5</v>
      </c>
      <c r="AU49" s="30">
        <f>IFERROR(__xludf.DUMMYFUNCTION("""COMPUTED_VALUE"""),2.63746991246079)</f>
        <v>2.637469912</v>
      </c>
      <c r="AV49" s="32">
        <f>IFERROR(__xludf.DUMMYFUNCTION("""COMPUTED_VALUE"""),53.46586260300315)</f>
        <v>53.4658626</v>
      </c>
      <c r="AW49" s="32">
        <f>IFERROR(__xludf.DUMMYFUNCTION("""COMPUTED_VALUE"""),2.247850272298438)</f>
        <v>2.247850272</v>
      </c>
      <c r="AX49" s="32">
        <f>IFERROR(__xludf.DUMMYFUNCTION("""COMPUTED_VALUE"""),50.540081771498684)</f>
        <v>50.54008177</v>
      </c>
      <c r="AY49" s="32">
        <f>IFERROR(__xludf.DUMMYFUNCTION("""COMPUTED_VALUE"""),2.035075701154478)</f>
        <v>2.035075701</v>
      </c>
      <c r="AZ49" s="30">
        <f>IFERROR(__xludf.DUMMYFUNCTION("""COMPUTED_VALUE"""),0.21277457114396015)</f>
        <v>0.2127745711</v>
      </c>
      <c r="BA49" s="30">
        <f>IFERROR(__xludf.DUMMYFUNCTION("""COMPUTED_VALUE"""),2.0)</f>
        <v>2</v>
      </c>
    </row>
    <row r="50">
      <c r="A50" s="30" t="str">
        <f>IFERROR(__xludf.DUMMYFUNCTION("""COMPUTED_VALUE"""),"Premier")</f>
        <v>Premier</v>
      </c>
      <c r="B50" s="71" t="str">
        <f>IFERROR(__xludf.DUMMYFUNCTION("""COMPUTED_VALUE"""),"RSC007450")</f>
        <v>RSC007450</v>
      </c>
      <c r="C50" s="30" t="str">
        <f>IFERROR(__xludf.DUMMYFUNCTION("""COMPUTED_VALUE"""),"kev")</f>
        <v>kev</v>
      </c>
      <c r="D50" s="30" t="str">
        <f>IFERROR(__xludf.DUMMYFUNCTION("""COMPUTED_VALUE"""),"Gummy Bears")</f>
        <v>Gummy Bears</v>
      </c>
      <c r="E50" s="30">
        <f>IFERROR(__xludf.DUMMYFUNCTION("""COMPUTED_VALUE"""),24.0)</f>
        <v>24</v>
      </c>
      <c r="F50" s="30">
        <f>IFERROR(__xludf.DUMMYFUNCTION("""COMPUTED_VALUE"""),13.0)</f>
        <v>13</v>
      </c>
      <c r="G50" s="30">
        <f>IFERROR(__xludf.DUMMYFUNCTION("""COMPUTED_VALUE"""),11.0)</f>
        <v>11</v>
      </c>
      <c r="H50" s="42">
        <f>IFERROR(__xludf.DUMMYFUNCTION("""COMPUTED_VALUE"""),0.5416666666666666)</f>
        <v>0.5416666667</v>
      </c>
      <c r="I50" s="42">
        <f>IFERROR(__xludf.DUMMYFUNCTION("""COMPUTED_VALUE"""),0.39062500000000006)</f>
        <v>0.390625</v>
      </c>
      <c r="J50" s="30">
        <f>IFERROR(__xludf.DUMMYFUNCTION("""COMPUTED_VALUE"""),405.0833333333333)</f>
        <v>405.0833333</v>
      </c>
      <c r="K50" s="30">
        <f>IFERROR(__xludf.DUMMYFUNCTION("""COMPUTED_VALUE"""),1.0416666666666667)</f>
        <v>1.041666667</v>
      </c>
      <c r="L50" s="30">
        <f>IFERROR(__xludf.DUMMYFUNCTION("""COMPUTED_VALUE"""),0.5416666666666666)</f>
        <v>0.5416666667</v>
      </c>
      <c r="M50" s="30">
        <f>IFERROR(__xludf.DUMMYFUNCTION("""COMPUTED_VALUE"""),1.4583333333333333)</f>
        <v>1.458333333</v>
      </c>
      <c r="N50" s="30">
        <f>IFERROR(__xludf.DUMMYFUNCTION("""COMPUTED_VALUE"""),2.6666666666666665)</f>
        <v>2.666666667</v>
      </c>
      <c r="O50" s="30">
        <f>IFERROR(__xludf.DUMMYFUNCTION("""COMPUTED_VALUE"""),360.2916666666667)</f>
        <v>360.2916667</v>
      </c>
      <c r="P50" s="30">
        <f>IFERROR(__xludf.DUMMYFUNCTION("""COMPUTED_VALUE"""),0.8472222222222222)</f>
        <v>0.8472222222</v>
      </c>
      <c r="Q50" s="30">
        <f>IFERROR(__xludf.DUMMYFUNCTION("""COMPUTED_VALUE"""),0.6666666666666666)</f>
        <v>0.6666666667</v>
      </c>
      <c r="R50" s="30">
        <f>IFERROR(__xludf.DUMMYFUNCTION("""COMPUTED_VALUE"""),1.2638888888888886)</f>
        <v>1.263888889</v>
      </c>
      <c r="S50" s="30">
        <f>IFERROR(__xludf.DUMMYFUNCTION("""COMPUTED_VALUE"""),2.8750000000000004)</f>
        <v>2.875</v>
      </c>
      <c r="T50" s="30">
        <f>IFERROR(__xludf.DUMMYFUNCTION("""COMPUTED_VALUE"""),358.05974088492945)</f>
        <v>358.0597409</v>
      </c>
      <c r="U50" s="30">
        <f>IFERROR(__xludf.DUMMYFUNCTION("""COMPUTED_VALUE"""),0.7616591456599447)</f>
        <v>0.7616591457</v>
      </c>
      <c r="V50" s="30">
        <f>IFERROR(__xludf.DUMMYFUNCTION("""COMPUTED_VALUE"""),0.6593993319447106)</f>
        <v>0.6593993319</v>
      </c>
      <c r="W50" s="30">
        <f>IFERROR(__xludf.DUMMYFUNCTION("""COMPUTED_VALUE"""),1.3904851195149845)</f>
        <v>1.39048512</v>
      </c>
      <c r="X50" s="30">
        <f>IFERROR(__xludf.DUMMYFUNCTION("""COMPUTED_VALUE"""),2.5713549361439387)</f>
        <v>2.571354936</v>
      </c>
      <c r="Y50" s="30">
        <f>IFERROR(__xludf.DUMMYFUNCTION("""COMPUTED_VALUE"""),371.104711300904)</f>
        <v>371.1047113</v>
      </c>
      <c r="Z50" s="30">
        <f>IFERROR(__xludf.DUMMYFUNCTION("""COMPUTED_VALUE"""),0.8340842298797307)</f>
        <v>0.8340842299</v>
      </c>
      <c r="AA50" s="30">
        <f>IFERROR(__xludf.DUMMYFUNCTION("""COMPUTED_VALUE"""),0.6560802423466724)</f>
        <v>0.6560802423</v>
      </c>
      <c r="AB50" s="30">
        <f>IFERROR(__xludf.DUMMYFUNCTION("""COMPUTED_VALUE"""),1.3920481889857117)</f>
        <v>1.392048189</v>
      </c>
      <c r="AC50" s="30">
        <f>IFERROR(__xludf.DUMMYFUNCTION("""COMPUTED_VALUE"""),2.7709144892210382)</f>
        <v>2.770914489</v>
      </c>
      <c r="AD50" s="30">
        <f>IFERROR(__xludf.DUMMYFUNCTION("""COMPUTED_VALUE"""),1.0915607401299692)</f>
        <v>1.09156074</v>
      </c>
      <c r="AE50" s="30">
        <f>IFERROR(__xludf.DUMMYFUNCTION("""COMPUTED_VALUE"""),1.2488746691888275)</f>
        <v>1.248874669</v>
      </c>
      <c r="AF50" s="30">
        <f>IFERROR(__xludf.DUMMYFUNCTION("""COMPUTED_VALUE"""),0.8256103929135703)</f>
        <v>0.8256103929</v>
      </c>
      <c r="AG50" s="30">
        <f>IFERROR(__xludf.DUMMYFUNCTION("""COMPUTED_VALUE"""),1.0476169897508498)</f>
        <v>1.04761699</v>
      </c>
      <c r="AH50" s="30">
        <f>IFERROR(__xludf.DUMMYFUNCTION("""COMPUTED_VALUE"""),0.9623778276233714)</f>
        <v>0.9623778276</v>
      </c>
      <c r="AI50" s="30">
        <f>IFERROR(__xludf.DUMMYFUNCTION("""COMPUTED_VALUE"""),1.0062333893674311)</f>
        <v>1.006233389</v>
      </c>
      <c r="AJ50" s="30">
        <f>IFERROR(__xludf.DUMMYFUNCTION("""COMPUTED_VALUE"""),1.1123377524576834)</f>
        <v>1.112337752</v>
      </c>
      <c r="AK50" s="30">
        <f>IFERROR(__xludf.DUMMYFUNCTION("""COMPUTED_VALUE"""),1.0110211435921888)</f>
        <v>1.011021144</v>
      </c>
      <c r="AL50" s="30">
        <f>IFERROR(__xludf.DUMMYFUNCTION("""COMPUTED_VALUE"""),0.9089553502951158)</f>
        <v>0.9089553503</v>
      </c>
      <c r="AM50" s="30">
        <f>IFERROR(__xludf.DUMMYFUNCTION("""COMPUTED_VALUE"""),1.1180875730487112)</f>
        <v>1.118087573</v>
      </c>
      <c r="AN50" s="30">
        <f>IFERROR(__xludf.DUMMYFUNCTION("""COMPUTED_VALUE"""),1.099834183006352)</f>
        <v>1.099834183</v>
      </c>
      <c r="AO50" s="30">
        <f>IFERROR(__xludf.DUMMYFUNCTION("""COMPUTED_VALUE"""),1.3002145565638434)</f>
        <v>1.300214557</v>
      </c>
      <c r="AP50" s="30">
        <f>IFERROR(__xludf.DUMMYFUNCTION("""COMPUTED_VALUE"""),0.8907415598056018)</f>
        <v>0.8907415598</v>
      </c>
      <c r="AQ50" s="30">
        <f>IFERROR(__xludf.DUMMYFUNCTION("""COMPUTED_VALUE"""),0.9870611152980105)</f>
        <v>0.9870611153</v>
      </c>
      <c r="AR50" s="30">
        <f>IFERROR(__xludf.DUMMYFUNCTION("""COMPUTED_VALUE"""),1.0046202490638616)</f>
        <v>1.004620249</v>
      </c>
      <c r="AS50" s="30">
        <f>IFERROR(__xludf.DUMMYFUNCTION("""COMPUTED_VALUE"""),60.0)</f>
        <v>60</v>
      </c>
      <c r="AT50" s="30">
        <f>IFERROR(__xludf.DUMMYFUNCTION("""COMPUTED_VALUE"""),0.49342632434844313)</f>
        <v>0.4934263243</v>
      </c>
      <c r="AU50" s="30">
        <f>IFERROR(__xludf.DUMMYFUNCTION("""COMPUTED_VALUE"""),2.715773869430782)</f>
        <v>2.715773869</v>
      </c>
      <c r="AV50" s="32">
        <f>IFERROR(__xludf.DUMMYFUNCTION("""COMPUTED_VALUE"""),55.66754933790899)</f>
        <v>55.66754934</v>
      </c>
      <c r="AW50" s="32">
        <f>IFERROR(__xludf.DUMMYFUNCTION("""COMPUTED_VALUE"""),2.437076237788072)</f>
        <v>2.437076238</v>
      </c>
      <c r="AX50" s="32">
        <f>IFERROR(__xludf.DUMMYFUNCTION("""COMPUTED_VALUE"""),53.835902357169836)</f>
        <v>53.83590236</v>
      </c>
      <c r="AY50" s="32">
        <f>IFERROR(__xludf.DUMMYFUNCTION("""COMPUTED_VALUE"""),2.277763244843971)</f>
        <v>2.277763245</v>
      </c>
      <c r="AZ50" s="30">
        <f>IFERROR(__xludf.DUMMYFUNCTION("""COMPUTED_VALUE"""),0.15931299294410106)</f>
        <v>0.1593129929</v>
      </c>
      <c r="BA50" s="30">
        <f>IFERROR(__xludf.DUMMYFUNCTION("""COMPUTED_VALUE"""),2.0)</f>
        <v>2</v>
      </c>
    </row>
    <row r="51">
      <c r="A51" s="30" t="str">
        <f>IFERROR(__xludf.DUMMYFUNCTION("""COMPUTED_VALUE"""),"Premier")</f>
        <v>Premier</v>
      </c>
      <c r="B51" s="71" t="str">
        <f>IFERROR(__xludf.DUMMYFUNCTION("""COMPUTED_VALUE"""),"RSC000462")</f>
        <v>RSC000462</v>
      </c>
      <c r="C51" s="30" t="str">
        <f>IFERROR(__xludf.DUMMYFUNCTION("""COMPUTED_VALUE"""),"Kruncho")</f>
        <v>Kruncho</v>
      </c>
      <c r="D51" s="30" t="str">
        <f>IFERROR(__xludf.DUMMYFUNCTION("""COMPUTED_VALUE"""),"Super Clusters")</f>
        <v>Super Clusters</v>
      </c>
      <c r="E51" s="30">
        <f>IFERROR(__xludf.DUMMYFUNCTION("""COMPUTED_VALUE"""),32.0)</f>
        <v>32</v>
      </c>
      <c r="F51" s="30">
        <f>IFERROR(__xludf.DUMMYFUNCTION("""COMPUTED_VALUE"""),15.0)</f>
        <v>15</v>
      </c>
      <c r="G51" s="30">
        <f>IFERROR(__xludf.DUMMYFUNCTION("""COMPUTED_VALUE"""),17.0)</f>
        <v>17</v>
      </c>
      <c r="H51" s="42">
        <f>IFERROR(__xludf.DUMMYFUNCTION("""COMPUTED_VALUE"""),0.46875)</f>
        <v>0.46875</v>
      </c>
      <c r="I51" s="42">
        <f>IFERROR(__xludf.DUMMYFUNCTION("""COMPUTED_VALUE"""),0.25)</f>
        <v>0.25</v>
      </c>
      <c r="J51" s="30">
        <f>IFERROR(__xludf.DUMMYFUNCTION("""COMPUTED_VALUE"""),362.78125)</f>
        <v>362.78125</v>
      </c>
      <c r="K51" s="30">
        <f>IFERROR(__xludf.DUMMYFUNCTION("""COMPUTED_VALUE"""),0.75)</f>
        <v>0.75</v>
      </c>
      <c r="L51" s="30">
        <f>IFERROR(__xludf.DUMMYFUNCTION("""COMPUTED_VALUE"""),0.75)</f>
        <v>0.75</v>
      </c>
      <c r="M51" s="30">
        <f>IFERROR(__xludf.DUMMYFUNCTION("""COMPUTED_VALUE"""),1.25)</f>
        <v>1.25</v>
      </c>
      <c r="N51" s="30">
        <f>IFERROR(__xludf.DUMMYFUNCTION("""COMPUTED_VALUE"""),3.0)</f>
        <v>3</v>
      </c>
      <c r="O51" s="30">
        <f>IFERROR(__xludf.DUMMYFUNCTION("""COMPUTED_VALUE"""),377.8020833333333)</f>
        <v>377.8020833</v>
      </c>
      <c r="P51" s="30">
        <f>IFERROR(__xludf.DUMMYFUNCTION("""COMPUTED_VALUE"""),0.8645833333333334)</f>
        <v>0.8645833333</v>
      </c>
      <c r="Q51" s="30">
        <f>IFERROR(__xludf.DUMMYFUNCTION("""COMPUTED_VALUE"""),0.6666666666666667)</f>
        <v>0.6666666667</v>
      </c>
      <c r="R51" s="30">
        <f>IFERROR(__xludf.DUMMYFUNCTION("""COMPUTED_VALUE"""),1.385416666666667)</f>
        <v>1.385416667</v>
      </c>
      <c r="S51" s="30">
        <f>IFERROR(__xludf.DUMMYFUNCTION("""COMPUTED_VALUE"""),2.499999999999999)</f>
        <v>2.5</v>
      </c>
      <c r="T51" s="30">
        <f>IFERROR(__xludf.DUMMYFUNCTION("""COMPUTED_VALUE"""),381.3408447540022)</f>
        <v>381.3408448</v>
      </c>
      <c r="U51" s="30">
        <f>IFERROR(__xludf.DUMMYFUNCTION("""COMPUTED_VALUE"""),0.8941382134937542)</f>
        <v>0.8941382135</v>
      </c>
      <c r="V51" s="30">
        <f>IFERROR(__xludf.DUMMYFUNCTION("""COMPUTED_VALUE"""),0.6050839164267229)</f>
        <v>0.6050839164</v>
      </c>
      <c r="W51" s="30">
        <f>IFERROR(__xludf.DUMMYFUNCTION("""COMPUTED_VALUE"""),1.474905342273519)</f>
        <v>1.474905342</v>
      </c>
      <c r="X51" s="30">
        <f>IFERROR(__xludf.DUMMYFUNCTION("""COMPUTED_VALUE"""),2.8487803091430886)</f>
        <v>2.848780309</v>
      </c>
      <c r="Y51" s="30">
        <f>IFERROR(__xludf.DUMMYFUNCTION("""COMPUTED_VALUE"""),377.9286312515953)</f>
        <v>377.9286313</v>
      </c>
      <c r="Z51" s="30">
        <f>IFERROR(__xludf.DUMMYFUNCTION("""COMPUTED_VALUE"""),0.8250654559493004)</f>
        <v>0.8250654559</v>
      </c>
      <c r="AA51" s="30">
        <f>IFERROR(__xludf.DUMMYFUNCTION("""COMPUTED_VALUE"""),0.6374705732800886)</f>
        <v>0.6374705733</v>
      </c>
      <c r="AB51" s="30">
        <f>IFERROR(__xludf.DUMMYFUNCTION("""COMPUTED_VALUE"""),1.5105127301476036)</f>
        <v>1.51051273</v>
      </c>
      <c r="AC51" s="30">
        <f>IFERROR(__xludf.DUMMYFUNCTION("""COMPUTED_VALUE"""),2.7604052288517447)</f>
        <v>2.760405229</v>
      </c>
      <c r="AD51" s="30">
        <f>IFERROR(__xludf.DUMMYFUNCTION("""COMPUTED_VALUE"""),0.9599199954726073)</f>
        <v>0.9599199955</v>
      </c>
      <c r="AE51" s="30">
        <f>IFERROR(__xludf.DUMMYFUNCTION("""COMPUTED_VALUE"""),0.9090187870452874)</f>
        <v>0.909018787</v>
      </c>
      <c r="AF51" s="30">
        <f>IFERROR(__xludf.DUMMYFUNCTION("""COMPUTED_VALUE"""),1.1765248961075867)</f>
        <v>1.176524896</v>
      </c>
      <c r="AG51" s="30">
        <f>IFERROR(__xludf.DUMMYFUNCTION("""COMPUTED_VALUE"""),0.8275335752237276)</f>
        <v>0.8275335752</v>
      </c>
      <c r="AH51" s="30">
        <f>IFERROR(__xludf.DUMMYFUNCTION("""COMPUTED_VALUE"""),1.0867969559845823)</f>
        <v>1.086796956</v>
      </c>
      <c r="AI51" s="30">
        <f>IFERROR(__xludf.DUMMYFUNCTION("""COMPUTED_VALUE"""),0.9907202140307008)</f>
        <v>0.990720214</v>
      </c>
      <c r="AJ51" s="30">
        <f>IFERROR(__xludf.DUMMYFUNCTION("""COMPUTED_VALUE"""),0.9669459601274191)</f>
        <v>0.9669459601</v>
      </c>
      <c r="AK51" s="30">
        <f>IFERROR(__xludf.DUMMYFUNCTION("""COMPUTED_VALUE"""),1.101775553056535)</f>
        <v>1.101775553</v>
      </c>
      <c r="AL51" s="30">
        <f>IFERROR(__xludf.DUMMYFUNCTION("""COMPUTED_VALUE"""),0.9393258177037259)</f>
        <v>0.9393258177</v>
      </c>
      <c r="AM51" s="30">
        <f>IFERROR(__xludf.DUMMYFUNCTION("""COMPUTED_VALUE"""),0.8775685481875567)</f>
        <v>0.8775685482</v>
      </c>
      <c r="AN51" s="30">
        <f>IFERROR(__xludf.DUMMYFUNCTION("""COMPUTED_VALUE"""),0.9849805876250315)</f>
        <v>0.9849805876</v>
      </c>
      <c r="AO51" s="30">
        <f>IFERROR(__xludf.DUMMYFUNCTION("""COMPUTED_VALUE"""),0.9361544807259672)</f>
        <v>0.9361544807</v>
      </c>
      <c r="AP51" s="30">
        <f>IFERROR(__xludf.DUMMYFUNCTION("""COMPUTED_VALUE"""),1.233334467423141)</f>
        <v>1.233334467</v>
      </c>
      <c r="AQ51" s="30">
        <f>IFERROR(__xludf.DUMMYFUNCTION("""COMPUTED_VALUE"""),0.846052384541152)</f>
        <v>0.8460523845</v>
      </c>
      <c r="AR51" s="30">
        <f>IFERROR(__xludf.DUMMYFUNCTION("""COMPUTED_VALUE"""),1.1301977801968444)</f>
        <v>1.13019778</v>
      </c>
      <c r="AS51" s="30">
        <f>IFERROR(__xludf.DUMMYFUNCTION("""COMPUTED_VALUE"""),84.0)</f>
        <v>84</v>
      </c>
      <c r="AT51" s="30">
        <f>IFERROR(__xludf.DUMMYFUNCTION("""COMPUTED_VALUE"""),0.5048104633165253)</f>
        <v>0.5048104633</v>
      </c>
      <c r="AU51" s="30">
        <f>IFERROR(__xludf.DUMMYFUNCTION("""COMPUTED_VALUE"""),2.90140242733922)</f>
        <v>2.901402427</v>
      </c>
      <c r="AV51" s="32">
        <f>IFERROR(__xludf.DUMMYFUNCTION("""COMPUTED_VALUE"""),60.88690158243642)</f>
        <v>60.88690158</v>
      </c>
      <c r="AW51" s="32">
        <f>IFERROR(__xludf.DUMMYFUNCTION("""COMPUTED_VALUE"""),3.0156046538207844)</f>
        <v>3.015604654</v>
      </c>
      <c r="AX51" s="32">
        <f>IFERROR(__xludf.DUMMYFUNCTION("""COMPUTED_VALUE"""),59.65875978128236)</f>
        <v>59.65875978</v>
      </c>
      <c r="AY51" s="32">
        <f>IFERROR(__xludf.DUMMYFUNCTION("""COMPUTED_VALUE"""),2.860259783427357)</f>
        <v>2.860259783</v>
      </c>
      <c r="AZ51" s="30">
        <f>IFERROR(__xludf.DUMMYFUNCTION("""COMPUTED_VALUE"""),0.15534487039342748)</f>
        <v>0.1553448704</v>
      </c>
      <c r="BA51" s="30">
        <f>IFERROR(__xludf.DUMMYFUNCTION("""COMPUTED_VALUE"""),2.0)</f>
        <v>2</v>
      </c>
    </row>
    <row r="52">
      <c r="A52" s="30" t="str">
        <f>IFERROR(__xludf.DUMMYFUNCTION("""COMPUTED_VALUE"""),"Premier")</f>
        <v>Premier</v>
      </c>
      <c r="B52" s="71" t="str">
        <f>IFERROR(__xludf.DUMMYFUNCTION("""COMPUTED_VALUE"""),"RSC004090")</f>
        <v>RSC004090</v>
      </c>
      <c r="C52" s="30" t="str">
        <f>IFERROR(__xludf.DUMMYFUNCTION("""COMPUTED_VALUE"""),"LikeWisse")</f>
        <v>LikeWisse</v>
      </c>
      <c r="D52" s="30" t="str">
        <f>IFERROR(__xludf.DUMMYFUNCTION("""COMPUTED_VALUE"""),"Super Clusters")</f>
        <v>Super Clusters</v>
      </c>
      <c r="E52" s="30">
        <f>IFERROR(__xludf.DUMMYFUNCTION("""COMPUTED_VALUE"""),34.0)</f>
        <v>34</v>
      </c>
      <c r="F52" s="30">
        <f>IFERROR(__xludf.DUMMYFUNCTION("""COMPUTED_VALUE"""),17.0)</f>
        <v>17</v>
      </c>
      <c r="G52" s="30">
        <f>IFERROR(__xludf.DUMMYFUNCTION("""COMPUTED_VALUE"""),17.0)</f>
        <v>17</v>
      </c>
      <c r="H52" s="42">
        <f>IFERROR(__xludf.DUMMYFUNCTION("""COMPUTED_VALUE"""),0.5)</f>
        <v>0.5</v>
      </c>
      <c r="I52" s="42">
        <f>IFERROR(__xludf.DUMMYFUNCTION("""COMPUTED_VALUE"""),0.38636363636363635)</f>
        <v>0.3863636364</v>
      </c>
      <c r="J52" s="30">
        <f>IFERROR(__xludf.DUMMYFUNCTION("""COMPUTED_VALUE"""),391.3235294117647)</f>
        <v>391.3235294</v>
      </c>
      <c r="K52" s="30">
        <f>IFERROR(__xludf.DUMMYFUNCTION("""COMPUTED_VALUE"""),1.0)</f>
        <v>1</v>
      </c>
      <c r="L52" s="30">
        <f>IFERROR(__xludf.DUMMYFUNCTION("""COMPUTED_VALUE"""),0.6764705882352942)</f>
        <v>0.6764705882</v>
      </c>
      <c r="M52" s="30">
        <f>IFERROR(__xludf.DUMMYFUNCTION("""COMPUTED_VALUE"""),1.4411764705882353)</f>
        <v>1.441176471</v>
      </c>
      <c r="N52" s="30">
        <f>IFERROR(__xludf.DUMMYFUNCTION("""COMPUTED_VALUE"""),2.588235294117647)</f>
        <v>2.588235294</v>
      </c>
      <c r="O52" s="30">
        <f>IFERROR(__xludf.DUMMYFUNCTION("""COMPUTED_VALUE"""),368.8039215686274)</f>
        <v>368.8039216</v>
      </c>
      <c r="P52" s="30">
        <f>IFERROR(__xludf.DUMMYFUNCTION("""COMPUTED_VALUE"""),0.8431372549019608)</f>
        <v>0.8431372549</v>
      </c>
      <c r="Q52" s="30">
        <f>IFERROR(__xludf.DUMMYFUNCTION("""COMPUTED_VALUE"""),0.6470588235294119)</f>
        <v>0.6470588235</v>
      </c>
      <c r="R52" s="30">
        <f>IFERROR(__xludf.DUMMYFUNCTION("""COMPUTED_VALUE"""),1.3039215686274512)</f>
        <v>1.303921569</v>
      </c>
      <c r="S52" s="30">
        <f>IFERROR(__xludf.DUMMYFUNCTION("""COMPUTED_VALUE"""),2.4607843137254894)</f>
        <v>2.460784314</v>
      </c>
      <c r="T52" s="30">
        <f>IFERROR(__xludf.DUMMYFUNCTION("""COMPUTED_VALUE"""),377.0175098888717)</f>
        <v>377.0175099</v>
      </c>
      <c r="U52" s="30">
        <f>IFERROR(__xludf.DUMMYFUNCTION("""COMPUTED_VALUE"""),0.8885105770061943)</f>
        <v>0.888510577</v>
      </c>
      <c r="V52" s="30">
        <f>IFERROR(__xludf.DUMMYFUNCTION("""COMPUTED_VALUE"""),0.6082253810268665)</f>
        <v>0.608225381</v>
      </c>
      <c r="W52" s="30">
        <f>IFERROR(__xludf.DUMMYFUNCTION("""COMPUTED_VALUE"""),1.4292331265909977)</f>
        <v>1.429233127</v>
      </c>
      <c r="X52" s="30">
        <f>IFERROR(__xludf.DUMMYFUNCTION("""COMPUTED_VALUE"""),2.8129780569417884)</f>
        <v>2.812978057</v>
      </c>
      <c r="Y52" s="30">
        <f>IFERROR(__xludf.DUMMYFUNCTION("""COMPUTED_VALUE"""),378.4495995521209)</f>
        <v>378.4495996</v>
      </c>
      <c r="Z52" s="30">
        <f>IFERROR(__xludf.DUMMYFUNCTION("""COMPUTED_VALUE"""),0.8321823031311159)</f>
        <v>0.8321823031</v>
      </c>
      <c r="AA52" s="30">
        <f>IFERROR(__xludf.DUMMYFUNCTION("""COMPUTED_VALUE"""),0.6404160061108234)</f>
        <v>0.6404160061</v>
      </c>
      <c r="AB52" s="30">
        <f>IFERROR(__xludf.DUMMYFUNCTION("""COMPUTED_VALUE"""),1.5064544527809112)</f>
        <v>1.506454453</v>
      </c>
      <c r="AC52" s="30">
        <f>IFERROR(__xludf.DUMMYFUNCTION("""COMPUTED_VALUE"""),2.7501609606080426)</f>
        <v>2.750160961</v>
      </c>
      <c r="AD52" s="30">
        <f>IFERROR(__xludf.DUMMYFUNCTION("""COMPUTED_VALUE"""),1.0340175544507897)</f>
        <v>1.034017554</v>
      </c>
      <c r="AE52" s="30">
        <f>IFERROR(__xludf.DUMMYFUNCTION("""COMPUTED_VALUE"""),1.201659776034006)</f>
        <v>1.201659776</v>
      </c>
      <c r="AF52" s="30">
        <f>IFERROR(__xludf.DUMMYFUNCTION("""COMPUTED_VALUE"""),1.0562986898835123)</f>
        <v>1.05629869</v>
      </c>
      <c r="AG52" s="30">
        <f>IFERROR(__xludf.DUMMYFUNCTION("""COMPUTED_VALUE"""),0.9566678022875681)</f>
        <v>0.9566678023</v>
      </c>
      <c r="AH52" s="30">
        <f>IFERROR(__xludf.DUMMYFUNCTION("""COMPUTED_VALUE"""),0.941121385689878)</f>
        <v>0.9411213857</v>
      </c>
      <c r="AI52" s="30">
        <f>IFERROR(__xludf.DUMMYFUNCTION("""COMPUTED_VALUE"""),0.9782143054239966)</f>
        <v>0.9782143054</v>
      </c>
      <c r="AJ52" s="30">
        <f>IFERROR(__xludf.DUMMYFUNCTION("""COMPUTED_VALUE"""),0.9489332785917785)</f>
        <v>0.9489332786</v>
      </c>
      <c r="AK52" s="30">
        <f>IFERROR(__xludf.DUMMYFUNCTION("""COMPUTED_VALUE"""),1.0638471259403592)</f>
        <v>1.063847126</v>
      </c>
      <c r="AL52" s="30">
        <f>IFERROR(__xludf.DUMMYFUNCTION("""COMPUTED_VALUE"""),0.9123225206356369)</f>
        <v>0.9123225206</v>
      </c>
      <c r="AM52" s="30">
        <f>IFERROR(__xludf.DUMMYFUNCTION("""COMPUTED_VALUE"""),0.8747968394751018)</f>
        <v>0.8747968395</v>
      </c>
      <c r="AN52" s="30">
        <f>IFERROR(__xludf.DUMMYFUNCTION("""COMPUTED_VALUE"""),1.0624751966963597)</f>
        <v>1.062475197</v>
      </c>
      <c r="AO52" s="30">
        <f>IFERROR(__xludf.DUMMYFUNCTION("""COMPUTED_VALUE"""),1.2482059743012897)</f>
        <v>1.248205974</v>
      </c>
      <c r="AP52" s="30">
        <f>IFERROR(__xludf.DUMMYFUNCTION("""COMPUTED_VALUE"""),1.1124193235581272)</f>
        <v>1.112419324</v>
      </c>
      <c r="AQ52" s="30">
        <f>IFERROR(__xludf.DUMMYFUNCTION("""COMPUTED_VALUE"""),0.9754486315886222)</f>
        <v>0.9754486316</v>
      </c>
      <c r="AR52" s="30">
        <f>IFERROR(__xludf.DUMMYFUNCTION("""COMPUTED_VALUE"""),0.9750725946796306)</f>
        <v>0.9750725947</v>
      </c>
      <c r="AS52" s="30">
        <f>IFERROR(__xludf.DUMMYFUNCTION("""COMPUTED_VALUE"""),95.0)</f>
        <v>95</v>
      </c>
      <c r="AT52" s="30">
        <f>IFERROR(__xludf.DUMMYFUNCTION("""COMPUTED_VALUE"""),0.5401214672917835)</f>
        <v>0.5401214673</v>
      </c>
      <c r="AU52" s="30">
        <f>IFERROR(__xludf.DUMMYFUNCTION("""COMPUTED_VALUE"""),2.9840898790625423)</f>
        <v>2.984089879</v>
      </c>
      <c r="AV52" s="32">
        <f>IFERROR(__xludf.DUMMYFUNCTION("""COMPUTED_VALUE"""),63.211839844141025)</f>
        <v>63.21183984</v>
      </c>
      <c r="AW52" s="32">
        <f>IFERROR(__xludf.DUMMYFUNCTION("""COMPUTED_VALUE"""),3.3491263052079367)</f>
        <v>3.349126305</v>
      </c>
      <c r="AX52" s="32">
        <f>IFERROR(__xludf.DUMMYFUNCTION("""COMPUTED_VALUE"""),62.582923820491054)</f>
        <v>62.58292382</v>
      </c>
      <c r="AY52" s="32">
        <f>IFERROR(__xludf.DUMMYFUNCTION("""COMPUTED_VALUE"""),3.2534002749558955)</f>
        <v>3.253400275</v>
      </c>
      <c r="AZ52" s="30">
        <f>IFERROR(__xludf.DUMMYFUNCTION("""COMPUTED_VALUE"""),0.0957260302520413)</f>
        <v>0.09572603025</v>
      </c>
      <c r="BA52" s="30">
        <f>IFERROR(__xludf.DUMMYFUNCTION("""COMPUTED_VALUE"""),2.0)</f>
        <v>2</v>
      </c>
    </row>
    <row r="53">
      <c r="A53" s="30" t="str">
        <f>IFERROR(__xludf.DUMMYFUNCTION("""COMPUTED_VALUE"""),"Premier")</f>
        <v>Premier</v>
      </c>
      <c r="B53" s="71" t="str">
        <f>IFERROR(__xludf.DUMMYFUNCTION("""COMPUTED_VALUE"""),"RSC001114")</f>
        <v>RSC001114</v>
      </c>
      <c r="C53" s="30" t="str">
        <f>IFERROR(__xludf.DUMMYFUNCTION("""COMPUTED_VALUE"""),"ashes.")</f>
        <v>ashes.</v>
      </c>
      <c r="D53" s="30" t="str">
        <f>IFERROR(__xludf.DUMMYFUNCTION("""COMPUTED_VALUE"""),"Punks")</f>
        <v>Punks</v>
      </c>
      <c r="E53" s="30">
        <f>IFERROR(__xludf.DUMMYFUNCTION("""COMPUTED_VALUE"""),36.0)</f>
        <v>36</v>
      </c>
      <c r="F53" s="30">
        <f>IFERROR(__xludf.DUMMYFUNCTION("""COMPUTED_VALUE"""),17.0)</f>
        <v>17</v>
      </c>
      <c r="G53" s="30">
        <f>IFERROR(__xludf.DUMMYFUNCTION("""COMPUTED_VALUE"""),19.0)</f>
        <v>19</v>
      </c>
      <c r="H53" s="42">
        <f>IFERROR(__xludf.DUMMYFUNCTION("""COMPUTED_VALUE"""),0.4722222222222222)</f>
        <v>0.4722222222</v>
      </c>
      <c r="I53" s="42">
        <f>IFERROR(__xludf.DUMMYFUNCTION("""COMPUTED_VALUE"""),0.31578947368421056)</f>
        <v>0.3157894737</v>
      </c>
      <c r="J53" s="30">
        <f>IFERROR(__xludf.DUMMYFUNCTION("""COMPUTED_VALUE"""),357.5)</f>
        <v>357.5</v>
      </c>
      <c r="K53" s="30">
        <f>IFERROR(__xludf.DUMMYFUNCTION("""COMPUTED_VALUE"""),0.8333333333333334)</f>
        <v>0.8333333333</v>
      </c>
      <c r="L53" s="30">
        <f>IFERROR(__xludf.DUMMYFUNCTION("""COMPUTED_VALUE"""),0.5277777777777778)</f>
        <v>0.5277777778</v>
      </c>
      <c r="M53" s="30">
        <f>IFERROR(__xludf.DUMMYFUNCTION("""COMPUTED_VALUE"""),1.4444444444444444)</f>
        <v>1.444444444</v>
      </c>
      <c r="N53" s="30">
        <f>IFERROR(__xludf.DUMMYFUNCTION("""COMPUTED_VALUE"""),2.638888888888889)</f>
        <v>2.638888889</v>
      </c>
      <c r="O53" s="30">
        <f>IFERROR(__xludf.DUMMYFUNCTION("""COMPUTED_VALUE"""),368.5462962962963)</f>
        <v>368.5462963</v>
      </c>
      <c r="P53" s="30">
        <f>IFERROR(__xludf.DUMMYFUNCTION("""COMPUTED_VALUE"""),0.8148148148148147)</f>
        <v>0.8148148148</v>
      </c>
      <c r="Q53" s="30">
        <f>IFERROR(__xludf.DUMMYFUNCTION("""COMPUTED_VALUE"""),0.6666666666666665)</f>
        <v>0.6666666667</v>
      </c>
      <c r="R53" s="30">
        <f>IFERROR(__xludf.DUMMYFUNCTION("""COMPUTED_VALUE"""),1.37037037037037)</f>
        <v>1.37037037</v>
      </c>
      <c r="S53" s="30">
        <f>IFERROR(__xludf.DUMMYFUNCTION("""COMPUTED_VALUE"""),2.583333333333334)</f>
        <v>2.583333333</v>
      </c>
      <c r="T53" s="30">
        <f>IFERROR(__xludf.DUMMYFUNCTION("""COMPUTED_VALUE"""),378.4003589201298)</f>
        <v>378.4003589</v>
      </c>
      <c r="U53" s="30">
        <f>IFERROR(__xludf.DUMMYFUNCTION("""COMPUTED_VALUE"""),0.8235086535983653)</f>
        <v>0.8235086536</v>
      </c>
      <c r="V53" s="30">
        <f>IFERROR(__xludf.DUMMYFUNCTION("""COMPUTED_VALUE"""),0.6715462862562256)</f>
        <v>0.6715462863</v>
      </c>
      <c r="W53" s="30">
        <f>IFERROR(__xludf.DUMMYFUNCTION("""COMPUTED_VALUE"""),1.4814346936595006)</f>
        <v>1.481434694</v>
      </c>
      <c r="X53" s="30">
        <f>IFERROR(__xludf.DUMMYFUNCTION("""COMPUTED_VALUE"""),2.684275822504537)</f>
        <v>2.684275823</v>
      </c>
      <c r="Y53" s="30">
        <f>IFERROR(__xludf.DUMMYFUNCTION("""COMPUTED_VALUE"""),374.9531450243783)</f>
        <v>374.953145</v>
      </c>
      <c r="Z53" s="30">
        <f>IFERROR(__xludf.DUMMYFUNCTION("""COMPUTED_VALUE"""),0.8585351157763442)</f>
        <v>0.8585351158</v>
      </c>
      <c r="AA53" s="30">
        <f>IFERROR(__xludf.DUMMYFUNCTION("""COMPUTED_VALUE"""),0.6609887361499618)</f>
        <v>0.6609887361</v>
      </c>
      <c r="AB53" s="30">
        <f>IFERROR(__xludf.DUMMYFUNCTION("""COMPUTED_VALUE"""),1.4095618808526647)</f>
        <v>1.409561881</v>
      </c>
      <c r="AC53" s="30">
        <f>IFERROR(__xludf.DUMMYFUNCTION("""COMPUTED_VALUE"""),2.798498352298782)</f>
        <v>2.798498352</v>
      </c>
      <c r="AD53" s="30">
        <f>IFERROR(__xludf.DUMMYFUNCTION("""COMPUTED_VALUE"""),0.9534524639785499)</f>
        <v>0.953452464</v>
      </c>
      <c r="AE53" s="30">
        <f>IFERROR(__xludf.DUMMYFUNCTION("""COMPUTED_VALUE"""),0.9706456008846863)</f>
        <v>0.9706456009</v>
      </c>
      <c r="AF53" s="30">
        <f>IFERROR(__xludf.DUMMYFUNCTION("""COMPUTED_VALUE"""),0.7984671279754428)</f>
        <v>0.798467128</v>
      </c>
      <c r="AG53" s="30">
        <f>IFERROR(__xludf.DUMMYFUNCTION("""COMPUTED_VALUE"""),1.02474709628972)</f>
        <v>1.024747096</v>
      </c>
      <c r="AH53" s="30">
        <f>IFERROR(__xludf.DUMMYFUNCTION("""COMPUTED_VALUE"""),0.9429660327372412)</f>
        <v>0.9429660327</v>
      </c>
      <c r="AI53" s="30">
        <f>IFERROR(__xludf.DUMMYFUNCTION("""COMPUTED_VALUE"""),0.973958632988735)</f>
        <v>0.973958633</v>
      </c>
      <c r="AJ53" s="30">
        <f>IFERROR(__xludf.DUMMYFUNCTION("""COMPUTED_VALUE"""),0.9894429296576758)</f>
        <v>0.9894429297</v>
      </c>
      <c r="AK53" s="30">
        <f>IFERROR(__xludf.DUMMYFUNCTION("""COMPUTED_VALUE"""),0.9927337553800465)</f>
        <v>0.9927337554</v>
      </c>
      <c r="AL53" s="30">
        <f>IFERROR(__xludf.DUMMYFUNCTION("""COMPUTED_VALUE"""),0.9250292140689813)</f>
        <v>0.9250292141</v>
      </c>
      <c r="AM53" s="30">
        <f>IFERROR(__xludf.DUMMYFUNCTION("""COMPUTED_VALUE"""),0.9623948894055829)</f>
        <v>0.9623948894</v>
      </c>
      <c r="AN53" s="30">
        <f>IFERROR(__xludf.DUMMYFUNCTION("""COMPUTED_VALUE"""),0.970641564512909)</f>
        <v>0.9706415645</v>
      </c>
      <c r="AO53" s="30">
        <f>IFERROR(__xludf.DUMMYFUNCTION("""COMPUTED_VALUE"""),1.0401716452510748)</f>
        <v>1.040171645</v>
      </c>
      <c r="AP53" s="30">
        <f>IFERROR(__xludf.DUMMYFUNCTION("""COMPUTED_VALUE"""),0.8679020326310992)</f>
        <v>0.8679020326</v>
      </c>
      <c r="AQ53" s="30">
        <f>IFERROR(__xludf.DUMMYFUNCTION("""COMPUTED_VALUE"""),0.9776605332475533)</f>
        <v>0.9776605332</v>
      </c>
      <c r="AR53" s="30">
        <f>IFERROR(__xludf.DUMMYFUNCTION("""COMPUTED_VALUE"""),0.9941554548027798)</f>
        <v>0.9941554548</v>
      </c>
      <c r="AS53" s="30">
        <f>IFERROR(__xludf.DUMMYFUNCTION("""COMPUTED_VALUE"""),88.0)</f>
        <v>88</v>
      </c>
      <c r="AT53" s="30">
        <f>IFERROR(__xludf.DUMMYFUNCTION("""COMPUTED_VALUE"""),0.5000000000000001)</f>
        <v>0.5</v>
      </c>
      <c r="AU53" s="30">
        <f>IFERROR(__xludf.DUMMYFUNCTION("""COMPUTED_VALUE"""),2.416809345213566)</f>
        <v>2.416809345</v>
      </c>
      <c r="AV53" s="32">
        <f>IFERROR(__xludf.DUMMYFUNCTION("""COMPUTED_VALUE"""),47.26150891994229)</f>
        <v>47.26150892</v>
      </c>
      <c r="AW53" s="32">
        <f>IFERROR(__xludf.DUMMYFUNCTION("""COMPUTED_VALUE"""),-2.1911217320164473)</f>
        <v>-2.191121732</v>
      </c>
      <c r="AX53" s="32">
        <f>IFERROR(__xludf.DUMMYFUNCTION("""COMPUTED_VALUE"""),46.07183688287794)</f>
        <v>46.07183688</v>
      </c>
      <c r="AY53" s="32">
        <f>IFERROR(__xludf.DUMMYFUNCTION("""COMPUTED_VALUE"""),-2.2853352242173024)</f>
        <v>-2.285335224</v>
      </c>
      <c r="AZ53" s="30">
        <f>IFERROR(__xludf.DUMMYFUNCTION("""COMPUTED_VALUE"""),0.09421349220085506)</f>
        <v>0.0942134922</v>
      </c>
      <c r="BA53" s="30">
        <f>IFERROR(__xludf.DUMMYFUNCTION("""COMPUTED_VALUE"""),2.0)</f>
        <v>2</v>
      </c>
    </row>
    <row r="54">
      <c r="A54" s="30" t="str">
        <f>IFERROR(__xludf.DUMMYFUNCTION("""COMPUTED_VALUE"""),"Master")</f>
        <v>Master</v>
      </c>
      <c r="B54" s="30" t="str">
        <f>IFERROR(__xludf.DUMMYFUNCTION("""COMPUTED_VALUE"""),"RSC003412")</f>
        <v>RSC003412</v>
      </c>
      <c r="C54" s="30" t="str">
        <f>IFERROR(__xludf.DUMMYFUNCTION("""COMPUTED_VALUE"""),"Python")</f>
        <v>Python</v>
      </c>
      <c r="D54" s="30"/>
      <c r="E54" s="30">
        <f>IFERROR(__xludf.DUMMYFUNCTION("""COMPUTED_VALUE"""),4.0)</f>
        <v>4</v>
      </c>
      <c r="F54" s="30">
        <f>IFERROR(__xludf.DUMMYFUNCTION("""COMPUTED_VALUE"""),1.0)</f>
        <v>1</v>
      </c>
      <c r="G54" s="30">
        <f>IFERROR(__xludf.DUMMYFUNCTION("""COMPUTED_VALUE"""),3.0)</f>
        <v>3</v>
      </c>
      <c r="H54" s="42">
        <f>IFERROR(__xludf.DUMMYFUNCTION("""COMPUTED_VALUE"""),0.25)</f>
        <v>0.25</v>
      </c>
      <c r="I54" s="42">
        <f>IFERROR(__xludf.DUMMYFUNCTION("""COMPUTED_VALUE"""),0.3333333333333333)</f>
        <v>0.3333333333</v>
      </c>
      <c r="J54" s="30">
        <f>IFERROR(__xludf.DUMMYFUNCTION("""COMPUTED_VALUE"""),186.75)</f>
        <v>186.75</v>
      </c>
      <c r="K54" s="30">
        <f>IFERROR(__xludf.DUMMYFUNCTION("""COMPUTED_VALUE"""),0.25)</f>
        <v>0.25</v>
      </c>
      <c r="L54" s="30">
        <f>IFERROR(__xludf.DUMMYFUNCTION("""COMPUTED_VALUE"""),0.0)</f>
        <v>0</v>
      </c>
      <c r="M54" s="30">
        <f>IFERROR(__xludf.DUMMYFUNCTION("""COMPUTED_VALUE"""),0.75)</f>
        <v>0.75</v>
      </c>
      <c r="N54" s="30">
        <f>IFERROR(__xludf.DUMMYFUNCTION("""COMPUTED_VALUE"""),0.75)</f>
        <v>0.75</v>
      </c>
      <c r="O54" s="30">
        <f>IFERROR(__xludf.DUMMYFUNCTION("""COMPUTED_VALUE"""),489.0833333333333)</f>
        <v>489.0833333</v>
      </c>
      <c r="P54" s="30">
        <f>IFERROR(__xludf.DUMMYFUNCTION("""COMPUTED_VALUE"""),1.6666666666666667)</f>
        <v>1.666666667</v>
      </c>
      <c r="Q54" s="30">
        <f>IFERROR(__xludf.DUMMYFUNCTION("""COMPUTED_VALUE"""),1.4166666666666667)</f>
        <v>1.416666667</v>
      </c>
      <c r="R54" s="30">
        <f>IFERROR(__xludf.DUMMYFUNCTION("""COMPUTED_VALUE"""),1.0833333333333335)</f>
        <v>1.083333333</v>
      </c>
      <c r="S54" s="30">
        <f>IFERROR(__xludf.DUMMYFUNCTION("""COMPUTED_VALUE"""),3.8333333333333335)</f>
        <v>3.833333333</v>
      </c>
      <c r="T54" s="30">
        <f>IFERROR(__xludf.DUMMYFUNCTION("""COMPUTED_VALUE"""),416.07950513538754)</f>
        <v>416.0795051</v>
      </c>
      <c r="U54" s="30">
        <f>IFERROR(__xludf.DUMMYFUNCTION("""COMPUTED_VALUE"""),1.0084967320261438)</f>
        <v>1.008496732</v>
      </c>
      <c r="V54" s="30">
        <f>IFERROR(__xludf.DUMMYFUNCTION("""COMPUTED_VALUE"""),0.7140989729225024)</f>
        <v>0.7140989729</v>
      </c>
      <c r="W54" s="30">
        <f>IFERROR(__xludf.DUMMYFUNCTION("""COMPUTED_VALUE"""),1.599766573295985)</f>
        <v>1.599766573</v>
      </c>
      <c r="X54" s="30">
        <f>IFERROR(__xludf.DUMMYFUNCTION("""COMPUTED_VALUE"""),2.8646825396825397)</f>
        <v>2.86468254</v>
      </c>
      <c r="Y54" s="30">
        <f>IFERROR(__xludf.DUMMYFUNCTION("""COMPUTED_VALUE"""),353.27124183006543)</f>
        <v>353.2712418</v>
      </c>
      <c r="Z54" s="30">
        <f>IFERROR(__xludf.DUMMYFUNCTION("""COMPUTED_VALUE"""),0.7457983193277311)</f>
        <v>0.7457983193</v>
      </c>
      <c r="AA54" s="30">
        <f>IFERROR(__xludf.DUMMYFUNCTION("""COMPUTED_VALUE"""),0.5947012138188609)</f>
        <v>0.5947012138</v>
      </c>
      <c r="AB54" s="30">
        <f>IFERROR(__xludf.DUMMYFUNCTION("""COMPUTED_VALUE"""),1.3642779333955806)</f>
        <v>1.364277933</v>
      </c>
      <c r="AC54" s="30">
        <f>IFERROR(__xludf.DUMMYFUNCTION("""COMPUTED_VALUE"""),2.7820883909119196)</f>
        <v>2.782088391</v>
      </c>
      <c r="AD54" s="30">
        <f>IFERROR(__xludf.DUMMYFUNCTION("""COMPUTED_VALUE"""),0.5286306324640844)</f>
        <v>0.5286306325</v>
      </c>
      <c r="AE54" s="30">
        <f>IFERROR(__xludf.DUMMYFUNCTION("""COMPUTED_VALUE"""),0.3352112676056338)</f>
        <v>0.3352112676</v>
      </c>
      <c r="AF54" s="30">
        <f>IFERROR(__xludf.DUMMYFUNCTION("""COMPUTED_VALUE"""),0.0)</f>
        <v>0</v>
      </c>
      <c r="AG54" s="30">
        <f>IFERROR(__xludf.DUMMYFUNCTION("""COMPUTED_VALUE"""),0.5497413552188072)</f>
        <v>0.5497413552</v>
      </c>
      <c r="AH54" s="30">
        <f>IFERROR(__xludf.DUMMYFUNCTION("""COMPUTED_VALUE"""),0.2695816575957758)</f>
        <v>0.2695816576</v>
      </c>
      <c r="AI54" s="30">
        <f>IFERROR(__xludf.DUMMYFUNCTION("""COMPUTED_VALUE"""),1.1754564387260342)</f>
        <v>1.175456439</v>
      </c>
      <c r="AJ54" s="30">
        <f>IFERROR(__xludf.DUMMYFUNCTION("""COMPUTED_VALUE"""),1.6526247569669477)</f>
        <v>1.652624757</v>
      </c>
      <c r="AK54" s="30">
        <f>IFERROR(__xludf.DUMMYFUNCTION("""COMPUTED_VALUE"""),1.9838519874476988)</f>
        <v>1.983851987</v>
      </c>
      <c r="AL54" s="30">
        <f>IFERROR(__xludf.DUMMYFUNCTION("""COMPUTED_VALUE"""),0.6771821285785159)</f>
        <v>0.6771821286</v>
      </c>
      <c r="AM54" s="30">
        <f>IFERROR(__xludf.DUMMYFUNCTION("""COMPUTED_VALUE"""),1.338135475827677)</f>
        <v>1.338135476</v>
      </c>
      <c r="AN54" s="30">
        <f>IFERROR(__xludf.DUMMYFUNCTION("""COMPUTED_VALUE"""),0.5063451712772958)</f>
        <v>0.5063451713</v>
      </c>
      <c r="AO54" s="30">
        <f>IFERROR(__xludf.DUMMYFUNCTION("""COMPUTED_VALUE"""),0.325774072577698)</f>
        <v>0.3257740726</v>
      </c>
      <c r="AP54" s="30">
        <f>IFERROR(__xludf.DUMMYFUNCTION("""COMPUTED_VALUE"""),0.0)</f>
        <v>0</v>
      </c>
      <c r="AQ54" s="30">
        <f>IFERROR(__xludf.DUMMYFUNCTION("""COMPUTED_VALUE"""),0.5123955847990671)</f>
        <v>0.5123955848</v>
      </c>
      <c r="AR54" s="30">
        <f>IFERROR(__xludf.DUMMYFUNCTION("""COMPUTED_VALUE"""),0.27800181319243494)</f>
        <v>0.2780018132</v>
      </c>
      <c r="AS54" s="30">
        <f>IFERROR(__xludf.DUMMYFUNCTION("""COMPUTED_VALUE"""),5.0)</f>
        <v>5</v>
      </c>
      <c r="AT54" s="30">
        <f>IFERROR(__xludf.DUMMYFUNCTION("""COMPUTED_VALUE"""),0.0874079281503586)</f>
        <v>0.08740792815</v>
      </c>
      <c r="AU54" s="30">
        <f>IFERROR(__xludf.DUMMYFUNCTION("""COMPUTED_VALUE"""),-0.41363772581952674)</f>
        <v>-0.4136377258</v>
      </c>
      <c r="AV54" s="32">
        <f>IFERROR(__xludf.DUMMYFUNCTION("""COMPUTED_VALUE"""),-34.09750615760821)</f>
        <v>-34.09750616</v>
      </c>
      <c r="AW54" s="32">
        <f>IFERROR(__xludf.DUMMYFUNCTION("""COMPUTED_VALUE"""),-2602.4955623425626)</f>
        <v>-2602.495562</v>
      </c>
      <c r="AX54" s="32">
        <f>IFERROR(__xludf.DUMMYFUNCTION("""COMPUTED_VALUE"""),-43.153371560752745)</f>
        <v>-43.15337156</v>
      </c>
      <c r="AY54" s="32">
        <f>IFERROR(__xludf.DUMMYFUNCTION("""COMPUTED_VALUE"""),-10286.034080916119)</f>
        <v>-10286.03408</v>
      </c>
      <c r="AZ54" s="30">
        <f>IFERROR(__xludf.DUMMYFUNCTION("""COMPUTED_VALUE"""),7683.538518573556)</f>
        <v>7683.538519</v>
      </c>
      <c r="BA54" s="30">
        <f>IFERROR(__xludf.DUMMYFUNCTION("""COMPUTED_VALUE"""),450.0)</f>
        <v>450</v>
      </c>
    </row>
    <row r="55">
      <c r="A55" s="30" t="str">
        <f>IFERROR(__xludf.DUMMYFUNCTION("""COMPUTED_VALUE"""),"Master")</f>
        <v>Master</v>
      </c>
      <c r="B55" s="30" t="str">
        <f>IFERROR(__xludf.DUMMYFUNCTION("""COMPUTED_VALUE"""),"RSC006704")</f>
        <v>RSC006704</v>
      </c>
      <c r="C55" s="30" t="str">
        <f>IFERROR(__xludf.DUMMYFUNCTION("""COMPUTED_VALUE"""),"noah")</f>
        <v>noah</v>
      </c>
      <c r="D55" s="30"/>
      <c r="E55" s="30">
        <f>IFERROR(__xludf.DUMMYFUNCTION("""COMPUTED_VALUE"""),4.0)</f>
        <v>4</v>
      </c>
      <c r="F55" s="30">
        <f>IFERROR(__xludf.DUMMYFUNCTION("""COMPUTED_VALUE"""),0.0)</f>
        <v>0</v>
      </c>
      <c r="G55" s="30">
        <f>IFERROR(__xludf.DUMMYFUNCTION("""COMPUTED_VALUE"""),4.0)</f>
        <v>4</v>
      </c>
      <c r="H55" s="42">
        <f>IFERROR(__xludf.DUMMYFUNCTION("""COMPUTED_VALUE"""),0.0)</f>
        <v>0</v>
      </c>
      <c r="I55" s="42">
        <f>IFERROR(__xludf.DUMMYFUNCTION("""COMPUTED_VALUE"""),0.0)</f>
        <v>0</v>
      </c>
      <c r="J55" s="30">
        <f>IFERROR(__xludf.DUMMYFUNCTION("""COMPUTED_VALUE"""),175.25)</f>
        <v>175.25</v>
      </c>
      <c r="K55" s="30">
        <f>IFERROR(__xludf.DUMMYFUNCTION("""COMPUTED_VALUE"""),0.0)</f>
        <v>0</v>
      </c>
      <c r="L55" s="30">
        <f>IFERROR(__xludf.DUMMYFUNCTION("""COMPUTED_VALUE"""),0.25)</f>
        <v>0.25</v>
      </c>
      <c r="M55" s="30">
        <f>IFERROR(__xludf.DUMMYFUNCTION("""COMPUTED_VALUE"""),0.75)</f>
        <v>0.75</v>
      </c>
      <c r="N55" s="30">
        <f>IFERROR(__xludf.DUMMYFUNCTION("""COMPUTED_VALUE"""),2.25)</f>
        <v>2.25</v>
      </c>
      <c r="O55" s="30">
        <f>IFERROR(__xludf.DUMMYFUNCTION("""COMPUTED_VALUE"""),447.8333333333333)</f>
        <v>447.8333333</v>
      </c>
      <c r="P55" s="30">
        <f>IFERROR(__xludf.DUMMYFUNCTION("""COMPUTED_VALUE"""),1.1666666666666667)</f>
        <v>1.166666667</v>
      </c>
      <c r="Q55" s="30">
        <f>IFERROR(__xludf.DUMMYFUNCTION("""COMPUTED_VALUE"""),0.8333333333333334)</f>
        <v>0.8333333333</v>
      </c>
      <c r="R55" s="30">
        <f>IFERROR(__xludf.DUMMYFUNCTION("""COMPUTED_VALUE"""),2.0)</f>
        <v>2</v>
      </c>
      <c r="S55" s="30">
        <f>IFERROR(__xludf.DUMMYFUNCTION("""COMPUTED_VALUE"""),3.0)</f>
        <v>3</v>
      </c>
      <c r="T55" s="30">
        <f>IFERROR(__xludf.DUMMYFUNCTION("""COMPUTED_VALUE"""),448.75132275132273)</f>
        <v>448.7513228</v>
      </c>
      <c r="U55" s="30">
        <f>IFERROR(__xludf.DUMMYFUNCTION("""COMPUTED_VALUE"""),1.2195767195767195)</f>
        <v>1.21957672</v>
      </c>
      <c r="V55" s="30">
        <f>IFERROR(__xludf.DUMMYFUNCTION("""COMPUTED_VALUE"""),0.943121693121693)</f>
        <v>0.9431216931</v>
      </c>
      <c r="W55" s="30">
        <f>IFERROR(__xludf.DUMMYFUNCTION("""COMPUTED_VALUE"""),1.4325396825396826)</f>
        <v>1.432539683</v>
      </c>
      <c r="X55" s="30">
        <f>IFERROR(__xludf.DUMMYFUNCTION("""COMPUTED_VALUE"""),3.396825396825397)</f>
        <v>3.396825397</v>
      </c>
      <c r="Y55" s="30">
        <f>IFERROR(__xludf.DUMMYFUNCTION("""COMPUTED_VALUE"""),353.7716049382717)</f>
        <v>353.7716049</v>
      </c>
      <c r="Z55" s="30">
        <f>IFERROR(__xludf.DUMMYFUNCTION("""COMPUTED_VALUE"""),0.6124338624338624)</f>
        <v>0.6124338624</v>
      </c>
      <c r="AA55" s="30">
        <f>IFERROR(__xludf.DUMMYFUNCTION("""COMPUTED_VALUE"""),0.4863315696649029)</f>
        <v>0.4863315697</v>
      </c>
      <c r="AB55" s="30">
        <f>IFERROR(__xludf.DUMMYFUNCTION("""COMPUTED_VALUE"""),1.64373897707231)</f>
        <v>1.643738977</v>
      </c>
      <c r="AC55" s="30">
        <f>IFERROR(__xludf.DUMMYFUNCTION("""COMPUTED_VALUE"""),2.3778659611992943)</f>
        <v>2.377865961</v>
      </c>
      <c r="AD55" s="30">
        <f>IFERROR(__xludf.DUMMYFUNCTION("""COMPUTED_VALUE"""),0.4953761058086579)</f>
        <v>0.4953761058</v>
      </c>
      <c r="AE55" s="30">
        <f>IFERROR(__xludf.DUMMYFUNCTION("""COMPUTED_VALUE"""),0.0)</f>
        <v>0</v>
      </c>
      <c r="AF55" s="30">
        <f>IFERROR(__xludf.DUMMYFUNCTION("""COMPUTED_VALUE"""),0.5140525838621941)</f>
        <v>0.5140525839</v>
      </c>
      <c r="AG55" s="30">
        <f>IFERROR(__xludf.DUMMYFUNCTION("""COMPUTED_VALUE"""),0.45627682403433484)</f>
        <v>0.456276824</v>
      </c>
      <c r="AH55" s="30">
        <f>IFERROR(__xludf.DUMMYFUNCTION("""COMPUTED_VALUE"""),0.9462265900241055)</f>
        <v>0.94622659</v>
      </c>
      <c r="AI55" s="30">
        <f>IFERROR(__xludf.DUMMYFUNCTION("""COMPUTED_VALUE"""),0.997954347159667)</f>
        <v>0.9979543472</v>
      </c>
      <c r="AJ55" s="30">
        <f>IFERROR(__xludf.DUMMYFUNCTION("""COMPUTED_VALUE"""),0.9566160520607376)</f>
        <v>0.9566160521</v>
      </c>
      <c r="AK55" s="30">
        <f>IFERROR(__xludf.DUMMYFUNCTION("""COMPUTED_VALUE"""),0.8835904628330997)</f>
        <v>0.8835904628</v>
      </c>
      <c r="AL55" s="30">
        <f>IFERROR(__xludf.DUMMYFUNCTION("""COMPUTED_VALUE"""),1.3961218836565097)</f>
        <v>1.396121884</v>
      </c>
      <c r="AM55" s="30">
        <f>IFERROR(__xludf.DUMMYFUNCTION("""COMPUTED_VALUE"""),0.8831775700934579)</f>
        <v>0.8831775701</v>
      </c>
      <c r="AN55" s="30">
        <f>IFERROR(__xludf.DUMMYFUNCTION("""COMPUTED_VALUE"""),0.4751646118679844)</f>
        <v>0.4751646119</v>
      </c>
      <c r="AO55" s="30">
        <f>IFERROR(__xludf.DUMMYFUNCTION("""COMPUTED_VALUE"""),0.0)</f>
        <v>0</v>
      </c>
      <c r="AP55" s="30">
        <f>IFERROR(__xludf.DUMMYFUNCTION("""COMPUTED_VALUE"""),0.39245433589303064)</f>
        <v>0.3924543359</v>
      </c>
      <c r="AQ55" s="30">
        <f>IFERROR(__xludf.DUMMYFUNCTION("""COMPUTED_VALUE"""),0.5123955847990671)</f>
        <v>0.5123955848</v>
      </c>
      <c r="AR55" s="30">
        <f>IFERROR(__xludf.DUMMYFUNCTION("""COMPUTED_VALUE"""),0.8340054395773049)</f>
        <v>0.8340054396</v>
      </c>
      <c r="AS55" s="30">
        <f>IFERROR(__xludf.DUMMYFUNCTION("""COMPUTED_VALUE"""),2.0)</f>
        <v>2</v>
      </c>
      <c r="AT55" s="30">
        <f>IFERROR(__xludf.DUMMYFUNCTION("""COMPUTED_VALUE"""),0.052313469115238466)</f>
        <v>0.05231346912</v>
      </c>
      <c r="AU55" s="30">
        <f>IFERROR(__xludf.DUMMYFUNCTION("""COMPUTED_VALUE"""),0.7434913179825415)</f>
        <v>0.743491318</v>
      </c>
      <c r="AV55" s="32">
        <f>IFERROR(__xludf.DUMMYFUNCTION("""COMPUTED_VALUE"""),-5.823514547389664)</f>
        <v>-5.823514547</v>
      </c>
      <c r="AW55" s="32">
        <f>IFERROR(__xludf.DUMMYFUNCTION("""COMPUTED_VALUE"""),-78.26911622074859)</f>
        <v>-78.26911622</v>
      </c>
      <c r="AX55" s="32">
        <f>IFERROR(__xludf.DUMMYFUNCTION("""COMPUTED_VALUE"""),-24.03480456940524)</f>
        <v>-24.03480457</v>
      </c>
      <c r="AY55" s="32">
        <f>IFERROR(__xludf.DUMMYFUNCTION("""COMPUTED_VALUE"""),-653.0576044093478)</f>
        <v>-653.0576044</v>
      </c>
      <c r="AZ55" s="30">
        <f>IFERROR(__xludf.DUMMYFUNCTION("""COMPUTED_VALUE"""),574.7884881885992)</f>
        <v>574.7884882</v>
      </c>
      <c r="BA55" s="30">
        <f>IFERROR(__xludf.DUMMYFUNCTION("""COMPUTED_VALUE"""),450.0)</f>
        <v>450</v>
      </c>
    </row>
    <row r="56">
      <c r="A56" s="30" t="str">
        <f>IFERROR(__xludf.DUMMYFUNCTION("""COMPUTED_VALUE"""),"Master")</f>
        <v>Master</v>
      </c>
      <c r="B56" s="30" t="str">
        <f>IFERROR(__xludf.DUMMYFUNCTION("""COMPUTED_VALUE"""),"RSC005301")</f>
        <v>RSC005301</v>
      </c>
      <c r="C56" s="30" t="str">
        <f>IFERROR(__xludf.DUMMYFUNCTION("""COMPUTED_VALUE"""),"Nehtaro")</f>
        <v>Nehtaro</v>
      </c>
      <c r="D56" s="30"/>
      <c r="E56" s="30">
        <f>IFERROR(__xludf.DUMMYFUNCTION("""COMPUTED_VALUE"""),2.0)</f>
        <v>2</v>
      </c>
      <c r="F56" s="30">
        <f>IFERROR(__xludf.DUMMYFUNCTION("""COMPUTED_VALUE"""),0.0)</f>
        <v>0</v>
      </c>
      <c r="G56" s="30">
        <f>IFERROR(__xludf.DUMMYFUNCTION("""COMPUTED_VALUE"""),2.0)</f>
        <v>2</v>
      </c>
      <c r="H56" s="42">
        <f>IFERROR(__xludf.DUMMYFUNCTION("""COMPUTED_VALUE"""),0.0)</f>
        <v>0</v>
      </c>
      <c r="I56" s="42">
        <f>IFERROR(__xludf.DUMMYFUNCTION("""COMPUTED_VALUE"""),0.0)</f>
        <v>0</v>
      </c>
      <c r="J56" s="30">
        <f>IFERROR(__xludf.DUMMYFUNCTION("""COMPUTED_VALUE"""),239.5)</f>
        <v>239.5</v>
      </c>
      <c r="K56" s="30">
        <f>IFERROR(__xludf.DUMMYFUNCTION("""COMPUTED_VALUE"""),0.0)</f>
        <v>0</v>
      </c>
      <c r="L56" s="30">
        <f>IFERROR(__xludf.DUMMYFUNCTION("""COMPUTED_VALUE"""),0.5)</f>
        <v>0.5</v>
      </c>
      <c r="M56" s="30">
        <f>IFERROR(__xludf.DUMMYFUNCTION("""COMPUTED_VALUE"""),1.5)</f>
        <v>1.5</v>
      </c>
      <c r="N56" s="30">
        <f>IFERROR(__xludf.DUMMYFUNCTION("""COMPUTED_VALUE"""),2.5)</f>
        <v>2.5</v>
      </c>
      <c r="O56" s="30">
        <f>IFERROR(__xludf.DUMMYFUNCTION("""COMPUTED_VALUE"""),530.0)</f>
        <v>530</v>
      </c>
      <c r="P56" s="30">
        <f>IFERROR(__xludf.DUMMYFUNCTION("""COMPUTED_VALUE"""),1.5)</f>
        <v>1.5</v>
      </c>
      <c r="Q56" s="30">
        <f>IFERROR(__xludf.DUMMYFUNCTION("""COMPUTED_VALUE"""),1.5)</f>
        <v>1.5</v>
      </c>
      <c r="R56" s="30">
        <f>IFERROR(__xludf.DUMMYFUNCTION("""COMPUTED_VALUE"""),2.0)</f>
        <v>2</v>
      </c>
      <c r="S56" s="30">
        <f>IFERROR(__xludf.DUMMYFUNCTION("""COMPUTED_VALUE"""),4.0)</f>
        <v>4</v>
      </c>
      <c r="T56" s="30">
        <f>IFERROR(__xludf.DUMMYFUNCTION("""COMPUTED_VALUE"""),391.9192699946323)</f>
        <v>391.91927</v>
      </c>
      <c r="U56" s="30">
        <f>IFERROR(__xludf.DUMMYFUNCTION("""COMPUTED_VALUE"""),0.9425964266543977)</f>
        <v>0.9425964267</v>
      </c>
      <c r="V56" s="30">
        <f>IFERROR(__xludf.DUMMYFUNCTION("""COMPUTED_VALUE"""),0.7107277049306036)</f>
        <v>0.7107277049</v>
      </c>
      <c r="W56" s="30">
        <f>IFERROR(__xludf.DUMMYFUNCTION("""COMPUTED_VALUE"""),1.5511233801088873)</f>
        <v>1.55112338</v>
      </c>
      <c r="X56" s="30">
        <f>IFERROR(__xludf.DUMMYFUNCTION("""COMPUTED_VALUE"""),3.185752626332336)</f>
        <v>3.185752626</v>
      </c>
      <c r="Y56" s="30">
        <f>IFERROR(__xludf.DUMMYFUNCTION("""COMPUTED_VALUE"""),426.23681721749364)</f>
        <v>426.2368172</v>
      </c>
      <c r="Z56" s="30">
        <f>IFERROR(__xludf.DUMMYFUNCTION("""COMPUTED_VALUE"""),1.0582317306954987)</f>
        <v>1.058231731</v>
      </c>
      <c r="AA56" s="30">
        <f>IFERROR(__xludf.DUMMYFUNCTION("""COMPUTED_VALUE"""),0.8766965723487461)</f>
        <v>0.8766965723</v>
      </c>
      <c r="AB56" s="30">
        <f>IFERROR(__xludf.DUMMYFUNCTION("""COMPUTED_VALUE"""),1.6579454540807201)</f>
        <v>1.657945454</v>
      </c>
      <c r="AC56" s="30">
        <f>IFERROR(__xludf.DUMMYFUNCTION("""COMPUTED_VALUE"""),3.164798200546993)</f>
        <v>3.164798201</v>
      </c>
      <c r="AD56" s="30">
        <f>IFERROR(__xludf.DUMMYFUNCTION("""COMPUTED_VALUE"""),0.5618942107429251)</f>
        <v>0.5618942107</v>
      </c>
      <c r="AE56" s="30">
        <f>IFERROR(__xludf.DUMMYFUNCTION("""COMPUTED_VALUE"""),0.0)</f>
        <v>0</v>
      </c>
      <c r="AF56" s="30">
        <f>IFERROR(__xludf.DUMMYFUNCTION("""COMPUTED_VALUE"""),0.5703227499344006)</f>
        <v>0.5703227499</v>
      </c>
      <c r="AG56" s="30">
        <f>IFERROR(__xludf.DUMMYFUNCTION("""COMPUTED_VALUE"""),0.9047342277202383)</f>
        <v>0.9047342277</v>
      </c>
      <c r="AH56" s="30">
        <f>IFERROR(__xludf.DUMMYFUNCTION("""COMPUTED_VALUE"""),0.7899397818059642)</f>
        <v>0.7899397818</v>
      </c>
      <c r="AI56" s="30">
        <f>IFERROR(__xludf.DUMMYFUNCTION("""COMPUTED_VALUE"""),1.3523193182291313)</f>
        <v>1.352319318</v>
      </c>
      <c r="AJ56" s="30">
        <f>IFERROR(__xludf.DUMMYFUNCTION("""COMPUTED_VALUE"""),1.5913491262894146)</f>
        <v>1.591349126</v>
      </c>
      <c r="AK56" s="30">
        <f>IFERROR(__xludf.DUMMYFUNCTION("""COMPUTED_VALUE"""),2.1105129145717796)</f>
        <v>2.110512915</v>
      </c>
      <c r="AL56" s="30">
        <f>IFERROR(__xludf.DUMMYFUNCTION("""COMPUTED_VALUE"""),1.2893880819845562)</f>
        <v>1.289388082</v>
      </c>
      <c r="AM56" s="30">
        <f>IFERROR(__xludf.DUMMYFUNCTION("""COMPUTED_VALUE"""),1.25559026992158)</f>
        <v>1.25559027</v>
      </c>
      <c r="AN56" s="30">
        <f>IFERROR(__xludf.DUMMYFUNCTION("""COMPUTED_VALUE"""),0.649369041611311)</f>
        <v>0.6493690416</v>
      </c>
      <c r="AO56" s="30">
        <f>IFERROR(__xludf.DUMMYFUNCTION("""COMPUTED_VALUE"""),0.0)</f>
        <v>0</v>
      </c>
      <c r="AP56" s="30">
        <f>IFERROR(__xludf.DUMMYFUNCTION("""COMPUTED_VALUE"""),0.7849086717860613)</f>
        <v>0.7849086718</v>
      </c>
      <c r="AQ56" s="30">
        <f>IFERROR(__xludf.DUMMYFUNCTION("""COMPUTED_VALUE"""),1.0247911695981342)</f>
        <v>1.02479117</v>
      </c>
      <c r="AR56" s="30">
        <f>IFERROR(__xludf.DUMMYFUNCTION("""COMPUTED_VALUE"""),0.9266727106414498)</f>
        <v>0.9266727106</v>
      </c>
      <c r="AS56" s="30">
        <f>IFERROR(__xludf.DUMMYFUNCTION("""COMPUTED_VALUE"""),5.0)</f>
        <v>5</v>
      </c>
      <c r="AT56" s="30">
        <f>IFERROR(__xludf.DUMMYFUNCTION("""COMPUTED_VALUE"""),0.26357777693216294)</f>
        <v>0.2635777769</v>
      </c>
      <c r="AU56" s="30">
        <f>IFERROR(__xludf.DUMMYFUNCTION("""COMPUTED_VALUE"""),0.459576560156906)</f>
        <v>0.4595765602</v>
      </c>
      <c r="AV56" s="32">
        <f>IFERROR(__xludf.DUMMYFUNCTION("""COMPUTED_VALUE"""),-12.760859628974494)</f>
        <v>-12.76085963</v>
      </c>
      <c r="AW56" s="32">
        <f>IFERROR(__xludf.DUMMYFUNCTION("""COMPUTED_VALUE"""),-165.8612319146008)</f>
        <v>-165.8612319</v>
      </c>
      <c r="AX56" s="32">
        <f>IFERROR(__xludf.DUMMYFUNCTION("""COMPUTED_VALUE"""),-20.868938721090572)</f>
        <v>-20.86893872</v>
      </c>
      <c r="AY56" s="32">
        <f>IFERROR(__xludf.DUMMYFUNCTION("""COMPUTED_VALUE"""),-436.1053778580845)</f>
        <v>-436.1053779</v>
      </c>
      <c r="AZ56" s="30">
        <f>IFERROR(__xludf.DUMMYFUNCTION("""COMPUTED_VALUE"""),270.2441459434837)</f>
        <v>270.2441459</v>
      </c>
      <c r="BA56" s="30">
        <f>IFERROR(__xludf.DUMMYFUNCTION("""COMPUTED_VALUE"""),450.0)</f>
        <v>450</v>
      </c>
    </row>
    <row r="57">
      <c r="A57" s="30" t="str">
        <f>IFERROR(__xludf.DUMMYFUNCTION("""COMPUTED_VALUE"""),"Master")</f>
        <v>Master</v>
      </c>
      <c r="B57" s="30" t="str">
        <f>IFERROR(__xludf.DUMMYFUNCTION("""COMPUTED_VALUE"""),"RSC007067")</f>
        <v>RSC007067</v>
      </c>
      <c r="C57" s="30" t="str">
        <f>IFERROR(__xludf.DUMMYFUNCTION("""COMPUTED_VALUE"""),"ThyChad_")</f>
        <v>ThyChad_</v>
      </c>
      <c r="D57" s="30"/>
      <c r="E57" s="30">
        <f>IFERROR(__xludf.DUMMYFUNCTION("""COMPUTED_VALUE"""),4.0)</f>
        <v>4</v>
      </c>
      <c r="F57" s="30">
        <f>IFERROR(__xludf.DUMMYFUNCTION("""COMPUTED_VALUE"""),0.0)</f>
        <v>0</v>
      </c>
      <c r="G57" s="30">
        <f>IFERROR(__xludf.DUMMYFUNCTION("""COMPUTED_VALUE"""),4.0)</f>
        <v>4</v>
      </c>
      <c r="H57" s="42">
        <f>IFERROR(__xludf.DUMMYFUNCTION("""COMPUTED_VALUE"""),0.0)</f>
        <v>0</v>
      </c>
      <c r="I57" s="42">
        <f>IFERROR(__xludf.DUMMYFUNCTION("""COMPUTED_VALUE"""),0.16666666666666666)</f>
        <v>0.1666666667</v>
      </c>
      <c r="J57" s="30">
        <f>IFERROR(__xludf.DUMMYFUNCTION("""COMPUTED_VALUE"""),338.0)</f>
        <v>338</v>
      </c>
      <c r="K57" s="30">
        <f>IFERROR(__xludf.DUMMYFUNCTION("""COMPUTED_VALUE"""),0.25)</f>
        <v>0.25</v>
      </c>
      <c r="L57" s="30">
        <f>IFERROR(__xludf.DUMMYFUNCTION("""COMPUTED_VALUE"""),0.0)</f>
        <v>0</v>
      </c>
      <c r="M57" s="30">
        <f>IFERROR(__xludf.DUMMYFUNCTION("""COMPUTED_VALUE"""),2.5)</f>
        <v>2.5</v>
      </c>
      <c r="N57" s="30">
        <f>IFERROR(__xludf.DUMMYFUNCTION("""COMPUTED_VALUE"""),1.5)</f>
        <v>1.5</v>
      </c>
      <c r="O57" s="30">
        <f>IFERROR(__xludf.DUMMYFUNCTION("""COMPUTED_VALUE"""),420.0)</f>
        <v>420</v>
      </c>
      <c r="P57" s="30">
        <f>IFERROR(__xludf.DUMMYFUNCTION("""COMPUTED_VALUE"""),1.1666666666666667)</f>
        <v>1.166666667</v>
      </c>
      <c r="Q57" s="30">
        <f>IFERROR(__xludf.DUMMYFUNCTION("""COMPUTED_VALUE"""),0.9999999999999999)</f>
        <v>1</v>
      </c>
      <c r="R57" s="30">
        <f>IFERROR(__xludf.DUMMYFUNCTION("""COMPUTED_VALUE"""),1.1666666666666665)</f>
        <v>1.166666667</v>
      </c>
      <c r="S57" s="30">
        <f>IFERROR(__xludf.DUMMYFUNCTION("""COMPUTED_VALUE"""),3.7499999999999996)</f>
        <v>3.75</v>
      </c>
      <c r="T57" s="30">
        <f>IFERROR(__xludf.DUMMYFUNCTION("""COMPUTED_VALUE"""),448.75132275132273)</f>
        <v>448.7513228</v>
      </c>
      <c r="U57" s="30">
        <f>IFERROR(__xludf.DUMMYFUNCTION("""COMPUTED_VALUE"""),1.2195767195767198)</f>
        <v>1.21957672</v>
      </c>
      <c r="V57" s="30">
        <f>IFERROR(__xludf.DUMMYFUNCTION("""COMPUTED_VALUE"""),0.9431216931216931)</f>
        <v>0.9431216931</v>
      </c>
      <c r="W57" s="30">
        <f>IFERROR(__xludf.DUMMYFUNCTION("""COMPUTED_VALUE"""),1.4325396825396826)</f>
        <v>1.432539683</v>
      </c>
      <c r="X57" s="30">
        <f>IFERROR(__xludf.DUMMYFUNCTION("""COMPUTED_VALUE"""),3.396825396825397)</f>
        <v>3.396825397</v>
      </c>
      <c r="Y57" s="30">
        <f>IFERROR(__xludf.DUMMYFUNCTION("""COMPUTED_VALUE"""),353.7716049382717)</f>
        <v>353.7716049</v>
      </c>
      <c r="Z57" s="30">
        <f>IFERROR(__xludf.DUMMYFUNCTION("""COMPUTED_VALUE"""),0.6124338624338624)</f>
        <v>0.6124338624</v>
      </c>
      <c r="AA57" s="30">
        <f>IFERROR(__xludf.DUMMYFUNCTION("""COMPUTED_VALUE"""),0.4863315696649029)</f>
        <v>0.4863315697</v>
      </c>
      <c r="AB57" s="30">
        <f>IFERROR(__xludf.DUMMYFUNCTION("""COMPUTED_VALUE"""),1.64373897707231)</f>
        <v>1.643738977</v>
      </c>
      <c r="AC57" s="30">
        <f>IFERROR(__xludf.DUMMYFUNCTION("""COMPUTED_VALUE"""),2.3778659611992943)</f>
        <v>2.377865961</v>
      </c>
      <c r="AD57" s="30">
        <f>IFERROR(__xludf.DUMMYFUNCTION("""COMPUTED_VALUE"""),0.9554186805325328)</f>
        <v>0.9554186805</v>
      </c>
      <c r="AE57" s="30">
        <f>IFERROR(__xludf.DUMMYFUNCTION("""COMPUTED_VALUE"""),0.408207343412527)</f>
        <v>0.4082073434</v>
      </c>
      <c r="AF57" s="30">
        <f>IFERROR(__xludf.DUMMYFUNCTION("""COMPUTED_VALUE"""),0.0)</f>
        <v>0</v>
      </c>
      <c r="AG57" s="30">
        <f>IFERROR(__xludf.DUMMYFUNCTION("""COMPUTED_VALUE"""),1.5209227467811162)</f>
        <v>1.520922747</v>
      </c>
      <c r="AH57" s="30">
        <f>IFERROR(__xludf.DUMMYFUNCTION("""COMPUTED_VALUE"""),0.630817726682737)</f>
        <v>0.6308177267</v>
      </c>
      <c r="AI57" s="30">
        <f>IFERROR(__xludf.DUMMYFUNCTION("""COMPUTED_VALUE"""),0.9359303888508973)</f>
        <v>0.9359303889</v>
      </c>
      <c r="AJ57" s="30">
        <f>IFERROR(__xludf.DUMMYFUNCTION("""COMPUTED_VALUE"""),0.9566160520607374)</f>
        <v>0.9566160521</v>
      </c>
      <c r="AK57" s="30">
        <f>IFERROR(__xludf.DUMMYFUNCTION("""COMPUTED_VALUE"""),1.0603085553997194)</f>
        <v>1.060308555</v>
      </c>
      <c r="AL57" s="30">
        <f>IFERROR(__xludf.DUMMYFUNCTION("""COMPUTED_VALUE"""),0.8144044321329639)</f>
        <v>0.8144044321</v>
      </c>
      <c r="AM57" s="30">
        <f>IFERROR(__xludf.DUMMYFUNCTION("""COMPUTED_VALUE"""),1.1039719626168223)</f>
        <v>1.103971963</v>
      </c>
      <c r="AN57" s="30">
        <f>IFERROR(__xludf.DUMMYFUNCTION("""COMPUTED_VALUE"""),0.9164373113345434)</f>
        <v>0.9164373113</v>
      </c>
      <c r="AO57" s="30">
        <f>IFERROR(__xludf.DUMMYFUNCTION("""COMPUTED_VALUE"""),0.325774072577698)</f>
        <v>0.3257740726</v>
      </c>
      <c r="AP57" s="30">
        <f>IFERROR(__xludf.DUMMYFUNCTION("""COMPUTED_VALUE"""),0.0)</f>
        <v>0</v>
      </c>
      <c r="AQ57" s="30">
        <f>IFERROR(__xludf.DUMMYFUNCTION("""COMPUTED_VALUE"""),1.707985282663557)</f>
        <v>1.707985283</v>
      </c>
      <c r="AR57" s="30">
        <f>IFERROR(__xludf.DUMMYFUNCTION("""COMPUTED_VALUE"""),0.5560036263848699)</f>
        <v>0.5560036264</v>
      </c>
      <c r="AS57" s="30">
        <f>IFERROR(__xludf.DUMMYFUNCTION("""COMPUTED_VALUE"""),3.0)</f>
        <v>3</v>
      </c>
      <c r="AT57" s="30">
        <f>IFERROR(__xludf.DUMMYFUNCTION("""COMPUTED_VALUE"""),0.08839229707775373)</f>
        <v>0.08839229708</v>
      </c>
      <c r="AU57" s="30">
        <f>IFERROR(__xludf.DUMMYFUNCTION("""COMPUTED_VALUE"""),0.9020560806511453)</f>
        <v>0.9020560807</v>
      </c>
      <c r="AV57" s="32">
        <f>IFERROR(__xludf.DUMMYFUNCTION("""COMPUTED_VALUE"""),-1.9490471373958513)</f>
        <v>-1.949047137</v>
      </c>
      <c r="AW57" s="32">
        <f>IFERROR(__xludf.DUMMYFUNCTION("""COMPUTED_VALUE"""),-53.03229403715952)</f>
        <v>-53.03229404</v>
      </c>
      <c r="AX57" s="32">
        <f>IFERROR(__xludf.DUMMYFUNCTION("""COMPUTED_VALUE"""),9.697594944247598)</f>
        <v>9.697594944</v>
      </c>
      <c r="AY57" s="32">
        <f>IFERROR(__xludf.DUMMYFUNCTION("""COMPUTED_VALUE"""),-18.701899816331423)</f>
        <v>-18.70189982</v>
      </c>
      <c r="AZ57" s="30">
        <f>IFERROR(__xludf.DUMMYFUNCTION("""COMPUTED_VALUE"""),34.3303942208281)</f>
        <v>34.33039422</v>
      </c>
      <c r="BA57" s="30">
        <f>IFERROR(__xludf.DUMMYFUNCTION("""COMPUTED_VALUE"""),450.0)</f>
        <v>450</v>
      </c>
    </row>
    <row r="58">
      <c r="A58" s="30" t="str">
        <f>IFERROR(__xludf.DUMMYFUNCTION("""COMPUTED_VALUE"""),"Master")</f>
        <v>Master</v>
      </c>
      <c r="B58" s="30" t="str">
        <f>IFERROR(__xludf.DUMMYFUNCTION("""COMPUTED_VALUE"""),"RSC007099")</f>
        <v>RSC007099</v>
      </c>
      <c r="C58" s="30" t="str">
        <f>IFERROR(__xludf.DUMMYFUNCTION("""COMPUTED_VALUE"""),"gumwee wigglebean")</f>
        <v>gumwee wigglebean</v>
      </c>
      <c r="D58" s="30" t="str">
        <f>IFERROR(__xludf.DUMMYFUNCTION("""COMPUTED_VALUE"""),"Plinko")</f>
        <v>Plinko</v>
      </c>
      <c r="E58" s="30">
        <f>IFERROR(__xludf.DUMMYFUNCTION("""COMPUTED_VALUE"""),12.0)</f>
        <v>12</v>
      </c>
      <c r="F58" s="30">
        <f>IFERROR(__xludf.DUMMYFUNCTION("""COMPUTED_VALUE"""),6.0)</f>
        <v>6</v>
      </c>
      <c r="G58" s="30">
        <f>IFERROR(__xludf.DUMMYFUNCTION("""COMPUTED_VALUE"""),6.0)</f>
        <v>6</v>
      </c>
      <c r="H58" s="42">
        <f>IFERROR(__xludf.DUMMYFUNCTION("""COMPUTED_VALUE"""),0.5)</f>
        <v>0.5</v>
      </c>
      <c r="I58" s="42">
        <f>IFERROR(__xludf.DUMMYFUNCTION("""COMPUTED_VALUE"""),0.3720930232558139)</f>
        <v>0.3720930233</v>
      </c>
      <c r="J58" s="30">
        <f>IFERROR(__xludf.DUMMYFUNCTION("""COMPUTED_VALUE"""),489.1666666666667)</f>
        <v>489.1666667</v>
      </c>
      <c r="K58" s="30">
        <f>IFERROR(__xludf.DUMMYFUNCTION("""COMPUTED_VALUE"""),1.3333333333333333)</f>
        <v>1.333333333</v>
      </c>
      <c r="L58" s="30">
        <f>IFERROR(__xludf.DUMMYFUNCTION("""COMPUTED_VALUE"""),0.8333333333333334)</f>
        <v>0.8333333333</v>
      </c>
      <c r="M58" s="30">
        <f>IFERROR(__xludf.DUMMYFUNCTION("""COMPUTED_VALUE"""),1.4166666666666667)</f>
        <v>1.416666667</v>
      </c>
      <c r="N58" s="30">
        <f>IFERROR(__xludf.DUMMYFUNCTION("""COMPUTED_VALUE"""),3.5833333333333335)</f>
        <v>3.583333333</v>
      </c>
      <c r="O58" s="30">
        <f>IFERROR(__xludf.DUMMYFUNCTION("""COMPUTED_VALUE"""),408.0)</f>
        <v>408</v>
      </c>
      <c r="P58" s="30">
        <f>IFERROR(__xludf.DUMMYFUNCTION("""COMPUTED_VALUE"""),0.8055555555555555)</f>
        <v>0.8055555556</v>
      </c>
      <c r="Q58" s="30">
        <f>IFERROR(__xludf.DUMMYFUNCTION("""COMPUTED_VALUE"""),0.6666666666666666)</f>
        <v>0.6666666667</v>
      </c>
      <c r="R58" s="30">
        <f>IFERROR(__xludf.DUMMYFUNCTION("""COMPUTED_VALUE"""),1.6944444444444444)</f>
        <v>1.694444444</v>
      </c>
      <c r="S58" s="30">
        <f>IFERROR(__xludf.DUMMYFUNCTION("""COMPUTED_VALUE"""),2.638888888888889)</f>
        <v>2.638888889</v>
      </c>
      <c r="T58" s="30">
        <f>IFERROR(__xludf.DUMMYFUNCTION("""COMPUTED_VALUE"""),388.8691260174103)</f>
        <v>388.869126</v>
      </c>
      <c r="U58" s="30">
        <f>IFERROR(__xludf.DUMMYFUNCTION("""COMPUTED_VALUE"""),0.8630345825198766)</f>
        <v>0.8630345825</v>
      </c>
      <c r="V58" s="30">
        <f>IFERROR(__xludf.DUMMYFUNCTION("""COMPUTED_VALUE"""),0.6955282281262672)</f>
        <v>0.6955282281</v>
      </c>
      <c r="W58" s="30">
        <f>IFERROR(__xludf.DUMMYFUNCTION("""COMPUTED_VALUE"""),1.4436549198804098)</f>
        <v>1.44365492</v>
      </c>
      <c r="X58" s="30">
        <f>IFERROR(__xludf.DUMMYFUNCTION("""COMPUTED_VALUE"""),2.787256847183317)</f>
        <v>2.787256847</v>
      </c>
      <c r="Y58" s="30">
        <f>IFERROR(__xludf.DUMMYFUNCTION("""COMPUTED_VALUE"""),393.84239311886375)</f>
        <v>393.8423931</v>
      </c>
      <c r="Z58" s="30">
        <f>IFERROR(__xludf.DUMMYFUNCTION("""COMPUTED_VALUE"""),0.8437477207493544)</f>
        <v>0.8437477207</v>
      </c>
      <c r="AA58" s="30">
        <f>IFERROR(__xludf.DUMMYFUNCTION("""COMPUTED_VALUE"""),0.6508028856885067)</f>
        <v>0.6508028857</v>
      </c>
      <c r="AB58" s="30">
        <f>IFERROR(__xludf.DUMMYFUNCTION("""COMPUTED_VALUE"""),1.5434003315130769)</f>
        <v>1.543400332</v>
      </c>
      <c r="AC58" s="30">
        <f>IFERROR(__xludf.DUMMYFUNCTION("""COMPUTED_VALUE"""),2.7729129530600116)</f>
        <v>2.772912953</v>
      </c>
      <c r="AD58" s="30">
        <f>IFERROR(__xludf.DUMMYFUNCTION("""COMPUTED_VALUE"""),1.242036599445082)</f>
        <v>1.242036599</v>
      </c>
      <c r="AE58" s="30">
        <f>IFERROR(__xludf.DUMMYFUNCTION("""COMPUTED_VALUE"""),1.5802511823666499)</f>
        <v>1.580251182</v>
      </c>
      <c r="AF58" s="30">
        <f>IFERROR(__xludf.DUMMYFUNCTION("""COMPUTED_VALUE"""),1.2804696347523434)</f>
        <v>1.280469635</v>
      </c>
      <c r="AG58" s="30">
        <f>IFERROR(__xludf.DUMMYFUNCTION("""COMPUTED_VALUE"""),0.9178867191753377)</f>
        <v>0.9178867192</v>
      </c>
      <c r="AH58" s="30">
        <f>IFERROR(__xludf.DUMMYFUNCTION("""COMPUTED_VALUE"""),1.2922631882039401)</f>
        <v>1.292263188</v>
      </c>
      <c r="AI58" s="30">
        <f>IFERROR(__xludf.DUMMYFUNCTION("""COMPUTED_VALUE"""),1.0491961760464708)</f>
        <v>1.049196176</v>
      </c>
      <c r="AJ58" s="30">
        <f>IFERROR(__xludf.DUMMYFUNCTION("""COMPUTED_VALUE"""),0.9333989296274842)</f>
        <v>0.9333989296</v>
      </c>
      <c r="AK58" s="30">
        <f>IFERROR(__xludf.DUMMYFUNCTION("""COMPUTED_VALUE"""),0.9585041119936242)</f>
        <v>0.958504112</v>
      </c>
      <c r="AL58" s="30">
        <f>IFERROR(__xludf.DUMMYFUNCTION("""COMPUTED_VALUE"""),1.1737184704671735)</f>
        <v>1.17371847</v>
      </c>
      <c r="AM58" s="30">
        <f>IFERROR(__xludf.DUMMYFUNCTION("""COMPUTED_VALUE"""),0.9467691833121291)</f>
        <v>0.9467691833</v>
      </c>
      <c r="AN58" s="30">
        <f>IFERROR(__xludf.DUMMYFUNCTION("""COMPUTED_VALUE"""),1.3263035053091148)</f>
        <v>1.326303505</v>
      </c>
      <c r="AO58" s="30">
        <f>IFERROR(__xludf.DUMMYFUNCTION("""COMPUTED_VALUE"""),1.7374617204143892)</f>
        <v>1.73746172</v>
      </c>
      <c r="AP58" s="30">
        <f>IFERROR(__xludf.DUMMYFUNCTION("""COMPUTED_VALUE"""),1.3081811196434354)</f>
        <v>1.30818112</v>
      </c>
      <c r="AQ58" s="30">
        <f>IFERROR(__xludf.DUMMYFUNCTION("""COMPUTED_VALUE"""),0.9678583268426824)</f>
        <v>0.9678583268</v>
      </c>
      <c r="AR58" s="30">
        <f>IFERROR(__xludf.DUMMYFUNCTION("""COMPUTED_VALUE"""),1.328230885252745)</f>
        <v>1.328230885</v>
      </c>
      <c r="AS58" s="30">
        <f>IFERROR(__xludf.DUMMYFUNCTION("""COMPUTED_VALUE"""),36.0)</f>
        <v>36</v>
      </c>
      <c r="AT58" s="30">
        <f>IFERROR(__xludf.DUMMYFUNCTION("""COMPUTED_VALUE"""),0.5868945705368407)</f>
        <v>0.5868945705</v>
      </c>
      <c r="AU58" s="30">
        <f>IFERROR(__xludf.DUMMYFUNCTION("""COMPUTED_VALUE"""),4.8873589590579405)</f>
        <v>4.887358959</v>
      </c>
      <c r="AV58" s="32">
        <f>IFERROR(__xludf.DUMMYFUNCTION("""COMPUTED_VALUE"""),95.43025619251696)</f>
        <v>95.43025619</v>
      </c>
      <c r="AW58" s="32">
        <f>IFERROR(__xludf.DUMMYFUNCTION("""COMPUTED_VALUE"""),28.908031022229075)</f>
        <v>28.90803102</v>
      </c>
      <c r="AX58" s="32">
        <f>IFERROR(__xludf.DUMMYFUNCTION("""COMPUTED_VALUE"""),81.97433317095613)</f>
        <v>81.97433317</v>
      </c>
      <c r="AY58" s="32">
        <f>IFERROR(__xludf.DUMMYFUNCTION("""COMPUTED_VALUE"""),9.954882041805387)</f>
        <v>9.954882042</v>
      </c>
      <c r="AZ58" s="30">
        <f>IFERROR(__xludf.DUMMYFUNCTION("""COMPUTED_VALUE"""),18.953148980423688)</f>
        <v>18.95314898</v>
      </c>
      <c r="BA58" s="30">
        <f>IFERROR(__xludf.DUMMYFUNCTION("""COMPUTED_VALUE"""),450.0)</f>
        <v>450</v>
      </c>
    </row>
    <row r="59">
      <c r="A59" s="30" t="str">
        <f>IFERROR(__xludf.DUMMYFUNCTION("""COMPUTED_VALUE"""),"Master")</f>
        <v>Master</v>
      </c>
      <c r="B59" s="30" t="str">
        <f>IFERROR(__xludf.DUMMYFUNCTION("""COMPUTED_VALUE"""),"RSC006408")</f>
        <v>RSC006408</v>
      </c>
      <c r="C59" s="30" t="str">
        <f>IFERROR(__xludf.DUMMYFUNCTION("""COMPUTED_VALUE"""),"Met.")</f>
        <v>Met.</v>
      </c>
      <c r="D59" s="30" t="str">
        <f>IFERROR(__xludf.DUMMYFUNCTION("""COMPUTED_VALUE"""),"Battle Masters")</f>
        <v>Battle Masters</v>
      </c>
      <c r="E59" s="30">
        <f>IFERROR(__xludf.DUMMYFUNCTION("""COMPUTED_VALUE"""),28.0)</f>
        <v>28</v>
      </c>
      <c r="F59" s="30">
        <f>IFERROR(__xludf.DUMMYFUNCTION("""COMPUTED_VALUE"""),21.0)</f>
        <v>21</v>
      </c>
      <c r="G59" s="30">
        <f>IFERROR(__xludf.DUMMYFUNCTION("""COMPUTED_VALUE"""),7.0)</f>
        <v>7</v>
      </c>
      <c r="H59" s="42">
        <f>IFERROR(__xludf.DUMMYFUNCTION("""COMPUTED_VALUE"""),0.75)</f>
        <v>0.75</v>
      </c>
      <c r="I59" s="42">
        <f>IFERROR(__xludf.DUMMYFUNCTION("""COMPUTED_VALUE"""),0.31481481481481477)</f>
        <v>0.3148148148</v>
      </c>
      <c r="J59" s="30">
        <f>IFERROR(__xludf.DUMMYFUNCTION("""COMPUTED_VALUE"""),461.39285714285717)</f>
        <v>461.3928571</v>
      </c>
      <c r="K59" s="30">
        <f>IFERROR(__xludf.DUMMYFUNCTION("""COMPUTED_VALUE"""),1.2142857142857142)</f>
        <v>1.214285714</v>
      </c>
      <c r="L59" s="30">
        <f>IFERROR(__xludf.DUMMYFUNCTION("""COMPUTED_VALUE"""),1.1071428571428572)</f>
        <v>1.107142857</v>
      </c>
      <c r="M59" s="30">
        <f>IFERROR(__xludf.DUMMYFUNCTION("""COMPUTED_VALUE"""),1.2142857142857142)</f>
        <v>1.214285714</v>
      </c>
      <c r="N59" s="30">
        <f>IFERROR(__xludf.DUMMYFUNCTION("""COMPUTED_VALUE"""),3.857142857142857)</f>
        <v>3.857142857</v>
      </c>
      <c r="O59" s="30">
        <f>IFERROR(__xludf.DUMMYFUNCTION("""COMPUTED_VALUE"""),342.00000000000006)</f>
        <v>342</v>
      </c>
      <c r="P59" s="30">
        <f>IFERROR(__xludf.DUMMYFUNCTION("""COMPUTED_VALUE"""),0.5595238095238095)</f>
        <v>0.5595238095</v>
      </c>
      <c r="Q59" s="30">
        <f>IFERROR(__xludf.DUMMYFUNCTION("""COMPUTED_VALUE"""),0.4404761904761905)</f>
        <v>0.4404761905</v>
      </c>
      <c r="R59" s="30">
        <f>IFERROR(__xludf.DUMMYFUNCTION("""COMPUTED_VALUE"""),1.6904761904761902)</f>
        <v>1.69047619</v>
      </c>
      <c r="S59" s="30">
        <f>IFERROR(__xludf.DUMMYFUNCTION("""COMPUTED_VALUE"""),2.226190476190476)</f>
        <v>2.226190476</v>
      </c>
      <c r="T59" s="30">
        <f>IFERROR(__xludf.DUMMYFUNCTION("""COMPUTED_VALUE"""),369.47254778197276)</f>
        <v>369.4725478</v>
      </c>
      <c r="U59" s="30">
        <f>IFERROR(__xludf.DUMMYFUNCTION("""COMPUTED_VALUE"""),0.7709216645620682)</f>
        <v>0.7709216646</v>
      </c>
      <c r="V59" s="30">
        <f>IFERROR(__xludf.DUMMYFUNCTION("""COMPUTED_VALUE"""),0.5924592769454741)</f>
        <v>0.5924592769</v>
      </c>
      <c r="W59" s="30">
        <f>IFERROR(__xludf.DUMMYFUNCTION("""COMPUTED_VALUE"""),1.5422862238563233)</f>
        <v>1.542286224</v>
      </c>
      <c r="X59" s="30">
        <f>IFERROR(__xludf.DUMMYFUNCTION("""COMPUTED_VALUE"""),2.689630955626083)</f>
        <v>2.689630956</v>
      </c>
      <c r="Y59" s="30">
        <f>IFERROR(__xludf.DUMMYFUNCTION("""COMPUTED_VALUE"""),400.4535570649922)</f>
        <v>400.4535571</v>
      </c>
      <c r="Z59" s="30">
        <f>IFERROR(__xludf.DUMMYFUNCTION("""COMPUTED_VALUE"""),0.9698710311829561)</f>
        <v>0.9698710312</v>
      </c>
      <c r="AA59" s="30">
        <f>IFERROR(__xludf.DUMMYFUNCTION("""COMPUTED_VALUE"""),0.7496014539626051)</f>
        <v>0.749601454</v>
      </c>
      <c r="AB59" s="30">
        <f>IFERROR(__xludf.DUMMYFUNCTION("""COMPUTED_VALUE"""),1.4894269550299555)</f>
        <v>1.489426955</v>
      </c>
      <c r="AC59" s="30">
        <f>IFERROR(__xludf.DUMMYFUNCTION("""COMPUTED_VALUE"""),2.945332286645874)</f>
        <v>2.945332287</v>
      </c>
      <c r="AD59" s="30">
        <f>IFERROR(__xludf.DUMMYFUNCTION("""COMPUTED_VALUE"""),1.1521756992858343)</f>
        <v>1.152175699</v>
      </c>
      <c r="AE59" s="30">
        <f>IFERROR(__xludf.DUMMYFUNCTION("""COMPUTED_VALUE"""),1.2520074063915945)</f>
        <v>1.252007406</v>
      </c>
      <c r="AF59" s="30">
        <f>IFERROR(__xludf.DUMMYFUNCTION("""COMPUTED_VALUE"""),1.4769753330789144)</f>
        <v>1.476975333</v>
      </c>
      <c r="AG59" s="30">
        <f>IFERROR(__xludf.DUMMYFUNCTION("""COMPUTED_VALUE"""),0.8152704032815711)</f>
        <v>0.8152704033</v>
      </c>
      <c r="AH59" s="30">
        <f>IFERROR(__xludf.DUMMYFUNCTION("""COMPUTED_VALUE"""),1.309578166997024)</f>
        <v>1.309578167</v>
      </c>
      <c r="AI59" s="30">
        <f>IFERROR(__xludf.DUMMYFUNCTION("""COMPUTED_VALUE"""),0.9256438727399461)</f>
        <v>0.9256438727</v>
      </c>
      <c r="AJ59" s="30">
        <f>IFERROR(__xludf.DUMMYFUNCTION("""COMPUTED_VALUE"""),0.7257855567486926)</f>
        <v>0.7257855567</v>
      </c>
      <c r="AK59" s="30">
        <f>IFERROR(__xludf.DUMMYFUNCTION("""COMPUTED_VALUE"""),0.7434708301761118)</f>
        <v>0.7434708302</v>
      </c>
      <c r="AL59" s="30">
        <f>IFERROR(__xludf.DUMMYFUNCTION("""COMPUTED_VALUE"""),1.0960846075959452)</f>
        <v>1.096084608</v>
      </c>
      <c r="AM59" s="30">
        <f>IFERROR(__xludf.DUMMYFUNCTION("""COMPUTED_VALUE"""),0.8276936549729258)</f>
        <v>0.827693655</v>
      </c>
      <c r="AN59" s="30">
        <f>IFERROR(__xludf.DUMMYFUNCTION("""COMPUTED_VALUE"""),1.2509989037543288)</f>
        <v>1.250998904</v>
      </c>
      <c r="AO59" s="30">
        <f>IFERROR(__xludf.DUMMYFUNCTION("""COMPUTED_VALUE"""),1.5823312096631044)</f>
        <v>1.58233121</v>
      </c>
      <c r="AP59" s="30">
        <f>IFERROR(__xludf.DUMMYFUNCTION("""COMPUTED_VALUE"""),1.73801205895485)</f>
        <v>1.738012059</v>
      </c>
      <c r="AQ59" s="30">
        <f>IFERROR(__xludf.DUMMYFUNCTION("""COMPUTED_VALUE"""),0.829592851579442)</f>
        <v>0.8295928516</v>
      </c>
      <c r="AR59" s="30">
        <f>IFERROR(__xludf.DUMMYFUNCTION("""COMPUTED_VALUE"""),1.4297236107039513)</f>
        <v>1.429723611</v>
      </c>
      <c r="AS59" s="30">
        <f>IFERROR(__xludf.DUMMYFUNCTION("""COMPUTED_VALUE"""),104.0)</f>
        <v>104</v>
      </c>
      <c r="AT59" s="30">
        <f>IFERROR(__xludf.DUMMYFUNCTION("""COMPUTED_VALUE"""),0.783843516869912)</f>
        <v>0.7838435169</v>
      </c>
      <c r="AU59" s="30">
        <f>IFERROR(__xludf.DUMMYFUNCTION("""COMPUTED_VALUE"""),5.084798154150533)</f>
        <v>5.084798154</v>
      </c>
      <c r="AV59" s="32">
        <f>IFERROR(__xludf.DUMMYFUNCTION("""COMPUTED_VALUE"""),100.25460501988178)</f>
        <v>100.254605</v>
      </c>
      <c r="AW59" s="32">
        <f>IFERROR(__xludf.DUMMYFUNCTION("""COMPUTED_VALUE"""),45.033181296943226)</f>
        <v>45.0331813</v>
      </c>
      <c r="AX59" s="32">
        <f>IFERROR(__xludf.DUMMYFUNCTION("""COMPUTED_VALUE"""),95.91171668831944)</f>
        <v>95.91171669</v>
      </c>
      <c r="AY59" s="32">
        <f>IFERROR(__xludf.DUMMYFUNCTION("""COMPUTED_VALUE"""),30.171204103402687)</f>
        <v>30.1712041</v>
      </c>
      <c r="AZ59" s="30">
        <f>IFERROR(__xludf.DUMMYFUNCTION("""COMPUTED_VALUE"""),14.86197719354054)</f>
        <v>14.86197719</v>
      </c>
      <c r="BA59" s="30">
        <f>IFERROR(__xludf.DUMMYFUNCTION("""COMPUTED_VALUE"""),450.0)</f>
        <v>450</v>
      </c>
    </row>
    <row r="60">
      <c r="A60" s="30" t="str">
        <f>IFERROR(__xludf.DUMMYFUNCTION("""COMPUTED_VALUE"""),"Master")</f>
        <v>Master</v>
      </c>
      <c r="B60" s="30" t="str">
        <f>IFERROR(__xludf.DUMMYFUNCTION("""COMPUTED_VALUE"""),"RSC007455")</f>
        <v>RSC007455</v>
      </c>
      <c r="C60" s="30" t="str">
        <f>IFERROR(__xludf.DUMMYFUNCTION("""COMPUTED_VALUE"""),"Shlumpy")</f>
        <v>Shlumpy</v>
      </c>
      <c r="D60" s="30" t="str">
        <f>IFERROR(__xludf.DUMMYFUNCTION("""COMPUTED_VALUE"""),"Phantom Phreaks")</f>
        <v>Phantom Phreaks</v>
      </c>
      <c r="E60" s="30">
        <f>IFERROR(__xludf.DUMMYFUNCTION("""COMPUTED_VALUE"""),20.0)</f>
        <v>20</v>
      </c>
      <c r="F60" s="30">
        <f>IFERROR(__xludf.DUMMYFUNCTION("""COMPUTED_VALUE"""),13.0)</f>
        <v>13</v>
      </c>
      <c r="G60" s="30">
        <f>IFERROR(__xludf.DUMMYFUNCTION("""COMPUTED_VALUE"""),7.0)</f>
        <v>7</v>
      </c>
      <c r="H60" s="42">
        <f>IFERROR(__xludf.DUMMYFUNCTION("""COMPUTED_VALUE"""),0.65)</f>
        <v>0.65</v>
      </c>
      <c r="I60" s="42">
        <f>IFERROR(__xludf.DUMMYFUNCTION("""COMPUTED_VALUE"""),0.5263157894736842)</f>
        <v>0.5263157895</v>
      </c>
      <c r="J60" s="30">
        <f>IFERROR(__xludf.DUMMYFUNCTION("""COMPUTED_VALUE"""),450.9)</f>
        <v>450.9</v>
      </c>
      <c r="K60" s="30">
        <f>IFERROR(__xludf.DUMMYFUNCTION("""COMPUTED_VALUE"""),1.5)</f>
        <v>1.5</v>
      </c>
      <c r="L60" s="30">
        <f>IFERROR(__xludf.DUMMYFUNCTION("""COMPUTED_VALUE"""),0.8)</f>
        <v>0.8</v>
      </c>
      <c r="M60" s="30">
        <f>IFERROR(__xludf.DUMMYFUNCTION("""COMPUTED_VALUE"""),1.2)</f>
        <v>1.2</v>
      </c>
      <c r="N60" s="30">
        <f>IFERROR(__xludf.DUMMYFUNCTION("""COMPUTED_VALUE"""),2.85)</f>
        <v>2.85</v>
      </c>
      <c r="O60" s="30">
        <f>IFERROR(__xludf.DUMMYFUNCTION("""COMPUTED_VALUE"""),361.31666666666666)</f>
        <v>361.3166667</v>
      </c>
      <c r="P60" s="30">
        <f>IFERROR(__xludf.DUMMYFUNCTION("""COMPUTED_VALUE"""),0.7833333333333333)</f>
        <v>0.7833333333</v>
      </c>
      <c r="Q60" s="30">
        <f>IFERROR(__xludf.DUMMYFUNCTION("""COMPUTED_VALUE"""),0.5833333333333333)</f>
        <v>0.5833333333</v>
      </c>
      <c r="R60" s="30">
        <f>IFERROR(__xludf.DUMMYFUNCTION("""COMPUTED_VALUE"""),1.4)</f>
        <v>1.4</v>
      </c>
      <c r="S60" s="30">
        <f>IFERROR(__xludf.DUMMYFUNCTION("""COMPUTED_VALUE"""),2.3833333333333333)</f>
        <v>2.383333333</v>
      </c>
      <c r="T60" s="30">
        <f>IFERROR(__xludf.DUMMYFUNCTION("""COMPUTED_VALUE"""),378.1473618946808)</f>
        <v>378.1473619</v>
      </c>
      <c r="U60" s="30">
        <f>IFERROR(__xludf.DUMMYFUNCTION("""COMPUTED_VALUE"""),0.8266677301634822)</f>
        <v>0.8266677302</v>
      </c>
      <c r="V60" s="30">
        <f>IFERROR(__xludf.DUMMYFUNCTION("""COMPUTED_VALUE"""),0.6218347103735657)</f>
        <v>0.6218347104</v>
      </c>
      <c r="W60" s="30">
        <f>IFERROR(__xludf.DUMMYFUNCTION("""COMPUTED_VALUE"""),1.4948715255767984)</f>
        <v>1.494871526</v>
      </c>
      <c r="X60" s="30">
        <f>IFERROR(__xludf.DUMMYFUNCTION("""COMPUTED_VALUE"""),2.7111681552386195)</f>
        <v>2.711168155</v>
      </c>
      <c r="Y60" s="30">
        <f>IFERROR(__xludf.DUMMYFUNCTION("""COMPUTED_VALUE"""),388.3877076104711)</f>
        <v>388.3877076</v>
      </c>
      <c r="Z60" s="30">
        <f>IFERROR(__xludf.DUMMYFUNCTION("""COMPUTED_VALUE"""),0.8906022173219824)</f>
        <v>0.8906022173</v>
      </c>
      <c r="AA60" s="30">
        <f>IFERROR(__xludf.DUMMYFUNCTION("""COMPUTED_VALUE"""),0.68460749026487)</f>
        <v>0.6846074903</v>
      </c>
      <c r="AB60" s="30">
        <f>IFERROR(__xludf.DUMMYFUNCTION("""COMPUTED_VALUE"""),1.463843065093482)</f>
        <v>1.463843065</v>
      </c>
      <c r="AC60" s="30">
        <f>IFERROR(__xludf.DUMMYFUNCTION("""COMPUTED_VALUE"""),2.8436369954198533)</f>
        <v>2.843636995</v>
      </c>
      <c r="AD60" s="30">
        <f>IFERROR(__xludf.DUMMYFUNCTION("""COMPUTED_VALUE"""),1.160953323610913)</f>
        <v>1.160953324</v>
      </c>
      <c r="AE60" s="30">
        <f>IFERROR(__xludf.DUMMYFUNCTION("""COMPUTED_VALUE"""),1.6842536104507586)</f>
        <v>1.68425361</v>
      </c>
      <c r="AF60" s="30">
        <f>IFERROR(__xludf.DUMMYFUNCTION("""COMPUTED_VALUE"""),1.1685528005112615)</f>
        <v>1.168552801</v>
      </c>
      <c r="AG60" s="30">
        <f>IFERROR(__xludf.DUMMYFUNCTION("""COMPUTED_VALUE"""),0.8197600061201692)</f>
        <v>0.8197600061</v>
      </c>
      <c r="AH60" s="30">
        <f>IFERROR(__xludf.DUMMYFUNCTION("""COMPUTED_VALUE"""),1.0022376289907593)</f>
        <v>1.002237629</v>
      </c>
      <c r="AI60" s="30">
        <f>IFERROR(__xludf.DUMMYFUNCTION("""COMPUTED_VALUE"""),0.9554917026428927)</f>
        <v>0.9554917026</v>
      </c>
      <c r="AJ60" s="30">
        <f>IFERROR(__xludf.DUMMYFUNCTION("""COMPUTED_VALUE"""),0.9475794261116507)</f>
        <v>0.9475794261</v>
      </c>
      <c r="AK60" s="30">
        <f>IFERROR(__xludf.DUMMYFUNCTION("""COMPUTED_VALUE"""),0.938084226567052)</f>
        <v>0.9380842266</v>
      </c>
      <c r="AL60" s="30">
        <f>IFERROR(__xludf.DUMMYFUNCTION("""COMPUTED_VALUE"""),0.9365353316632397)</f>
        <v>0.9365353317</v>
      </c>
      <c r="AM60" s="30">
        <f>IFERROR(__xludf.DUMMYFUNCTION("""COMPUTED_VALUE"""),0.879079864053496)</f>
        <v>0.8790798641</v>
      </c>
      <c r="AN60" s="30">
        <f>IFERROR(__xludf.DUMMYFUNCTION("""COMPUTED_VALUE"""),1.2225490641442178)</f>
        <v>1.222549064</v>
      </c>
      <c r="AO60" s="30">
        <f>IFERROR(__xludf.DUMMYFUNCTION("""COMPUTED_VALUE"""),1.954644435466188)</f>
        <v>1.954644435</v>
      </c>
      <c r="AP60" s="30">
        <f>IFERROR(__xludf.DUMMYFUNCTION("""COMPUTED_VALUE"""),1.255853874857698)</f>
        <v>1.255853875</v>
      </c>
      <c r="AQ60" s="30">
        <f>IFERROR(__xludf.DUMMYFUNCTION("""COMPUTED_VALUE"""),0.8198329356785073)</f>
        <v>0.8198329357</v>
      </c>
      <c r="AR60" s="30">
        <f>IFERROR(__xludf.DUMMYFUNCTION("""COMPUTED_VALUE"""),1.0564068901312529)</f>
        <v>1.05640689</v>
      </c>
      <c r="AS60" s="30">
        <f>IFERROR(__xludf.DUMMYFUNCTION("""COMPUTED_VALUE"""),69.0)</f>
        <v>69</v>
      </c>
      <c r="AT60" s="30">
        <f>IFERROR(__xludf.DUMMYFUNCTION("""COMPUTED_VALUE"""),0.6538259804363099)</f>
        <v>0.6538259804</v>
      </c>
      <c r="AU60" s="30">
        <f>IFERROR(__xludf.DUMMYFUNCTION("""COMPUTED_VALUE"""),4.718461382941597)</f>
        <v>4.718461383</v>
      </c>
      <c r="AV60" s="32">
        <f>IFERROR(__xludf.DUMMYFUNCTION("""COMPUTED_VALUE"""),91.30331056300548)</f>
        <v>91.30331056</v>
      </c>
      <c r="AW60" s="32">
        <f>IFERROR(__xludf.DUMMYFUNCTION("""COMPUTED_VALUE"""),20.303010508421565)</f>
        <v>20.30301051</v>
      </c>
      <c r="AX60" s="32">
        <f>IFERROR(__xludf.DUMMYFUNCTION("""COMPUTED_VALUE"""),73.38170113454305)</f>
        <v>73.38170113</v>
      </c>
      <c r="AY60" s="32">
        <f>IFERROR(__xludf.DUMMYFUNCTION("""COMPUTED_VALUE"""),5.72000279434311)</f>
        <v>5.720002794</v>
      </c>
      <c r="AZ60" s="30">
        <f>IFERROR(__xludf.DUMMYFUNCTION("""COMPUTED_VALUE"""),14.583007714078455)</f>
        <v>14.58300771</v>
      </c>
      <c r="BA60" s="30">
        <f>IFERROR(__xludf.DUMMYFUNCTION("""COMPUTED_VALUE"""),450.0)</f>
        <v>450</v>
      </c>
    </row>
    <row r="61">
      <c r="A61" s="30" t="str">
        <f>IFERROR(__xludf.DUMMYFUNCTION("""COMPUTED_VALUE"""),"Master")</f>
        <v>Master</v>
      </c>
      <c r="B61" s="30" t="str">
        <f>IFERROR(__xludf.DUMMYFUNCTION("""COMPUTED_VALUE"""),"RSC000777")</f>
        <v>RSC000777</v>
      </c>
      <c r="C61" s="30" t="str">
        <f>IFERROR(__xludf.DUMMYFUNCTION("""COMPUTED_VALUE"""),"Marcus.")</f>
        <v>Marcus.</v>
      </c>
      <c r="D61" s="30" t="str">
        <f>IFERROR(__xludf.DUMMYFUNCTION("""COMPUTED_VALUE"""),"Care Bears")</f>
        <v>Care Bears</v>
      </c>
      <c r="E61" s="30">
        <f>IFERROR(__xludf.DUMMYFUNCTION("""COMPUTED_VALUE"""),11.0)</f>
        <v>11</v>
      </c>
      <c r="F61" s="30">
        <f>IFERROR(__xludf.DUMMYFUNCTION("""COMPUTED_VALUE"""),5.0)</f>
        <v>5</v>
      </c>
      <c r="G61" s="30">
        <f>IFERROR(__xludf.DUMMYFUNCTION("""COMPUTED_VALUE"""),6.0)</f>
        <v>6</v>
      </c>
      <c r="H61" s="42">
        <f>IFERROR(__xludf.DUMMYFUNCTION("""COMPUTED_VALUE"""),0.45454545454545453)</f>
        <v>0.4545454545</v>
      </c>
      <c r="I61" s="42">
        <f>IFERROR(__xludf.DUMMYFUNCTION("""COMPUTED_VALUE"""),0.08333333333333334)</f>
        <v>0.08333333333</v>
      </c>
      <c r="J61" s="30">
        <f>IFERROR(__xludf.DUMMYFUNCTION("""COMPUTED_VALUE"""),244.8181818181818)</f>
        <v>244.8181818</v>
      </c>
      <c r="K61" s="30">
        <f>IFERROR(__xludf.DUMMYFUNCTION("""COMPUTED_VALUE"""),0.18181818181818182)</f>
        <v>0.1818181818</v>
      </c>
      <c r="L61" s="30">
        <f>IFERROR(__xludf.DUMMYFUNCTION("""COMPUTED_VALUE"""),0.45454545454545453)</f>
        <v>0.4545454545</v>
      </c>
      <c r="M61" s="30">
        <f>IFERROR(__xludf.DUMMYFUNCTION("""COMPUTED_VALUE"""),1.4545454545454546)</f>
        <v>1.454545455</v>
      </c>
      <c r="N61" s="30">
        <f>IFERROR(__xludf.DUMMYFUNCTION("""COMPUTED_VALUE"""),2.1818181818181817)</f>
        <v>2.181818182</v>
      </c>
      <c r="O61" s="30">
        <f>IFERROR(__xludf.DUMMYFUNCTION("""COMPUTED_VALUE"""),345.99999999999994)</f>
        <v>346</v>
      </c>
      <c r="P61" s="30">
        <f>IFERROR(__xludf.DUMMYFUNCTION("""COMPUTED_VALUE"""),0.7272727272727273)</f>
        <v>0.7272727273</v>
      </c>
      <c r="Q61" s="30">
        <f>IFERROR(__xludf.DUMMYFUNCTION("""COMPUTED_VALUE"""),0.4848484848484848)</f>
        <v>0.4848484848</v>
      </c>
      <c r="R61" s="30">
        <f>IFERROR(__xludf.DUMMYFUNCTION("""COMPUTED_VALUE"""),1.424242424242424)</f>
        <v>1.424242424</v>
      </c>
      <c r="S61" s="30">
        <f>IFERROR(__xludf.DUMMYFUNCTION("""COMPUTED_VALUE"""),2.6363636363636362)</f>
        <v>2.636363636</v>
      </c>
      <c r="T61" s="30">
        <f>IFERROR(__xludf.DUMMYFUNCTION("""COMPUTED_VALUE"""),379.1690649684778)</f>
        <v>379.169065</v>
      </c>
      <c r="U61" s="30">
        <f>IFERROR(__xludf.DUMMYFUNCTION("""COMPUTED_VALUE"""),0.8713445405724266)</f>
        <v>0.8713445406</v>
      </c>
      <c r="V61" s="30">
        <f>IFERROR(__xludf.DUMMYFUNCTION("""COMPUTED_VALUE"""),0.6902754490960388)</f>
        <v>0.6902754491</v>
      </c>
      <c r="W61" s="30">
        <f>IFERROR(__xludf.DUMMYFUNCTION("""COMPUTED_VALUE"""),1.415362677006855)</f>
        <v>1.415362677</v>
      </c>
      <c r="X61" s="30">
        <f>IFERROR(__xludf.DUMMYFUNCTION("""COMPUTED_VALUE"""),2.814432700677078)</f>
        <v>2.814432701</v>
      </c>
      <c r="Y61" s="30">
        <f>IFERROR(__xludf.DUMMYFUNCTION("""COMPUTED_VALUE"""),371.16718745204923)</f>
        <v>371.1671875</v>
      </c>
      <c r="Z61" s="30">
        <f>IFERROR(__xludf.DUMMYFUNCTION("""COMPUTED_VALUE"""),0.8159831780438144)</f>
        <v>0.815983178</v>
      </c>
      <c r="AA61" s="30">
        <f>IFERROR(__xludf.DUMMYFUNCTION("""COMPUTED_VALUE"""),0.6179503121615398)</f>
        <v>0.6179503122</v>
      </c>
      <c r="AB61" s="30">
        <f>IFERROR(__xludf.DUMMYFUNCTION("""COMPUTED_VALUE"""),1.4870435473300703)</f>
        <v>1.487043547</v>
      </c>
      <c r="AC61" s="30">
        <f>IFERROR(__xludf.DUMMYFUNCTION("""COMPUTED_VALUE"""),2.6650692490855743)</f>
        <v>2.665069249</v>
      </c>
      <c r="AD61" s="30">
        <f>IFERROR(__xludf.DUMMYFUNCTION("""COMPUTED_VALUE"""),0.659590044849559)</f>
        <v>0.6595900448</v>
      </c>
      <c r="AE61" s="30">
        <f>IFERROR(__xludf.DUMMYFUNCTION("""COMPUTED_VALUE"""),0.22282099277347978)</f>
        <v>0.2228209928</v>
      </c>
      <c r="AF61" s="30">
        <f>IFERROR(__xludf.DUMMYFUNCTION("""COMPUTED_VALUE"""),0.7355695848028486)</f>
        <v>0.7355695848</v>
      </c>
      <c r="AG61" s="30">
        <f>IFERROR(__xludf.DUMMYFUNCTION("""COMPUTED_VALUE"""),0.9781458365204134)</f>
        <v>0.9781458365</v>
      </c>
      <c r="AH61" s="30">
        <f>IFERROR(__xludf.DUMMYFUNCTION("""COMPUTED_VALUE"""),0.8186722287110538)</f>
        <v>0.8186722287</v>
      </c>
      <c r="AI61" s="30">
        <f>IFERROR(__xludf.DUMMYFUNCTION("""COMPUTED_VALUE"""),0.9125217006528858)</f>
        <v>0.9125217007</v>
      </c>
      <c r="AJ61" s="30">
        <f>IFERROR(__xludf.DUMMYFUNCTION("""COMPUTED_VALUE"""),0.8346557456995692)</f>
        <v>0.8346557457</v>
      </c>
      <c r="AK61" s="30">
        <f>IFERROR(__xludf.DUMMYFUNCTION("""COMPUTED_VALUE"""),0.702398564925677)</f>
        <v>0.7023985649</v>
      </c>
      <c r="AL61" s="30">
        <f>IFERROR(__xludf.DUMMYFUNCTION("""COMPUTED_VALUE"""),1.006273831703933)</f>
        <v>1.006273832</v>
      </c>
      <c r="AM61" s="30">
        <f>IFERROR(__xludf.DUMMYFUNCTION("""COMPUTED_VALUE"""),0.9367300329225839)</f>
        <v>0.9367300329</v>
      </c>
      <c r="AN61" s="30">
        <f>IFERROR(__xludf.DUMMYFUNCTION("""COMPUTED_VALUE"""),0.6637885097966448)</f>
        <v>0.6637885098</v>
      </c>
      <c r="AO61" s="30">
        <f>IFERROR(__xludf.DUMMYFUNCTION("""COMPUTED_VALUE"""),0.23692659823832582)</f>
        <v>0.2369265982</v>
      </c>
      <c r="AP61" s="30">
        <f>IFERROR(__xludf.DUMMYFUNCTION("""COMPUTED_VALUE"""),0.7135533379873283)</f>
        <v>0.713553338</v>
      </c>
      <c r="AQ61" s="30">
        <f>IFERROR(__xludf.DUMMYFUNCTION("""COMPUTED_VALUE"""),0.9937368917315241)</f>
        <v>0.9937368917</v>
      </c>
      <c r="AR61" s="30">
        <f>IFERROR(__xludf.DUMMYFUNCTION("""COMPUTED_VALUE"""),0.8087325474689017)</f>
        <v>0.8087325475</v>
      </c>
      <c r="AS61" s="30">
        <f>IFERROR(__xludf.DUMMYFUNCTION("""COMPUTED_VALUE"""),19.0)</f>
        <v>19</v>
      </c>
      <c r="AT61" s="30">
        <f>IFERROR(__xludf.DUMMYFUNCTION("""COMPUTED_VALUE"""),0.4144783029083763)</f>
        <v>0.4144783029</v>
      </c>
      <c r="AU61" s="30">
        <f>IFERROR(__xludf.DUMMYFUNCTION("""COMPUTED_VALUE"""),1.553149475167503)</f>
        <v>1.553149475</v>
      </c>
      <c r="AV61" s="32">
        <f>IFERROR(__xludf.DUMMYFUNCTION("""COMPUTED_VALUE"""),13.960163051933002)</f>
        <v>13.96016305</v>
      </c>
      <c r="AW61" s="32">
        <f>IFERROR(__xludf.DUMMYFUNCTION("""COMPUTED_VALUE"""),-13.385349745133345)</f>
        <v>-13.38534975</v>
      </c>
      <c r="AX61" s="32">
        <f>IFERROR(__xludf.DUMMYFUNCTION("""COMPUTED_VALUE"""),6.187300135132759)</f>
        <v>6.187300135</v>
      </c>
      <c r="AY61" s="32">
        <f>IFERROR(__xludf.DUMMYFUNCTION("""COMPUTED_VALUE"""),-25.0983553103736)</f>
        <v>-25.09835531</v>
      </c>
      <c r="AZ61" s="30">
        <f>IFERROR(__xludf.DUMMYFUNCTION("""COMPUTED_VALUE"""),11.713005565240254)</f>
        <v>11.71300557</v>
      </c>
      <c r="BA61" s="30">
        <f>IFERROR(__xludf.DUMMYFUNCTION("""COMPUTED_VALUE"""),450.0)</f>
        <v>450</v>
      </c>
    </row>
    <row r="62">
      <c r="A62" s="30" t="str">
        <f>IFERROR(__xludf.DUMMYFUNCTION("""COMPUTED_VALUE"""),"Master")</f>
        <v>Master</v>
      </c>
      <c r="B62" s="30" t="str">
        <f>IFERROR(__xludf.DUMMYFUNCTION("""COMPUTED_VALUE"""),"RSC006889")</f>
        <v>RSC006889</v>
      </c>
      <c r="C62" s="30" t="str">
        <f>IFERROR(__xludf.DUMMYFUNCTION("""COMPUTED_VALUE"""),"Jay")</f>
        <v>Jay</v>
      </c>
      <c r="D62" s="30" t="str">
        <f>IFERROR(__xludf.DUMMYFUNCTION("""COMPUTED_VALUE"""),"Basilisks")</f>
        <v>Basilisks</v>
      </c>
      <c r="E62" s="30">
        <f>IFERROR(__xludf.DUMMYFUNCTION("""COMPUTED_VALUE"""),35.0)</f>
        <v>35</v>
      </c>
      <c r="F62" s="30">
        <f>IFERROR(__xludf.DUMMYFUNCTION("""COMPUTED_VALUE"""),22.0)</f>
        <v>22</v>
      </c>
      <c r="G62" s="30">
        <f>IFERROR(__xludf.DUMMYFUNCTION("""COMPUTED_VALUE"""),13.0)</f>
        <v>13</v>
      </c>
      <c r="H62" s="42">
        <f>IFERROR(__xludf.DUMMYFUNCTION("""COMPUTED_VALUE"""),0.6285714285714286)</f>
        <v>0.6285714286</v>
      </c>
      <c r="I62" s="42">
        <f>IFERROR(__xludf.DUMMYFUNCTION("""COMPUTED_VALUE"""),0.4)</f>
        <v>0.4</v>
      </c>
      <c r="J62" s="30">
        <f>IFERROR(__xludf.DUMMYFUNCTION("""COMPUTED_VALUE"""),500.9428571428571)</f>
        <v>500.9428571</v>
      </c>
      <c r="K62" s="30">
        <f>IFERROR(__xludf.DUMMYFUNCTION("""COMPUTED_VALUE"""),1.4857142857142858)</f>
        <v>1.485714286</v>
      </c>
      <c r="L62" s="30">
        <f>IFERROR(__xludf.DUMMYFUNCTION("""COMPUTED_VALUE"""),0.6)</f>
        <v>0.6</v>
      </c>
      <c r="M62" s="30">
        <f>IFERROR(__xludf.DUMMYFUNCTION("""COMPUTED_VALUE"""),2.142857142857143)</f>
        <v>2.142857143</v>
      </c>
      <c r="N62" s="30">
        <f>IFERROR(__xludf.DUMMYFUNCTION("""COMPUTED_VALUE"""),3.7142857142857144)</f>
        <v>3.714285714</v>
      </c>
      <c r="O62" s="30">
        <f>IFERROR(__xludf.DUMMYFUNCTION("""COMPUTED_VALUE"""),363.49523809523805)</f>
        <v>363.4952381</v>
      </c>
      <c r="P62" s="30">
        <f>IFERROR(__xludf.DUMMYFUNCTION("""COMPUTED_VALUE"""),0.7523809523809524)</f>
        <v>0.7523809524</v>
      </c>
      <c r="Q62" s="30">
        <f>IFERROR(__xludf.DUMMYFUNCTION("""COMPUTED_VALUE"""),0.6190476190476191)</f>
        <v>0.619047619</v>
      </c>
      <c r="R62" s="30">
        <f>IFERROR(__xludf.DUMMYFUNCTION("""COMPUTED_VALUE"""),1.4476190476190478)</f>
        <v>1.447619048</v>
      </c>
      <c r="S62" s="30">
        <f>IFERROR(__xludf.DUMMYFUNCTION("""COMPUTED_VALUE"""),2.9333333333333336)</f>
        <v>2.933333333</v>
      </c>
      <c r="T62" s="30">
        <f>IFERROR(__xludf.DUMMYFUNCTION("""COMPUTED_VALUE"""),381.2076119461561)</f>
        <v>381.2076119</v>
      </c>
      <c r="U62" s="30">
        <f>IFERROR(__xludf.DUMMYFUNCTION("""COMPUTED_VALUE"""),0.8229907021642875)</f>
        <v>0.8229907022</v>
      </c>
      <c r="V62" s="30">
        <f>IFERROR(__xludf.DUMMYFUNCTION("""COMPUTED_VALUE"""),0.6501245637301561)</f>
        <v>0.6501245637</v>
      </c>
      <c r="W62" s="30">
        <f>IFERROR(__xludf.DUMMYFUNCTION("""COMPUTED_VALUE"""),1.5202797709879472)</f>
        <v>1.520279771</v>
      </c>
      <c r="X62" s="30">
        <f>IFERROR(__xludf.DUMMYFUNCTION("""COMPUTED_VALUE"""),2.807537277193877)</f>
        <v>2.807537277</v>
      </c>
      <c r="Y62" s="30">
        <f>IFERROR(__xludf.DUMMYFUNCTION("""COMPUTED_VALUE"""),391.2642718967724)</f>
        <v>391.2642719</v>
      </c>
      <c r="Z62" s="30">
        <f>IFERROR(__xludf.DUMMYFUNCTION("""COMPUTED_VALUE"""),0.8710568490651838)</f>
        <v>0.8710568491</v>
      </c>
      <c r="AA62" s="30">
        <f>IFERROR(__xludf.DUMMYFUNCTION("""COMPUTED_VALUE"""),0.6716858643399646)</f>
        <v>0.6716858643</v>
      </c>
      <c r="AB62" s="30">
        <f>IFERROR(__xludf.DUMMYFUNCTION("""COMPUTED_VALUE"""),1.543613374381869)</f>
        <v>1.543613374</v>
      </c>
      <c r="AC62" s="30">
        <f>IFERROR(__xludf.DUMMYFUNCTION("""COMPUTED_VALUE"""),2.871614758702301)</f>
        <v>2.871614759</v>
      </c>
      <c r="AD62" s="30">
        <f>IFERROR(__xludf.DUMMYFUNCTION("""COMPUTED_VALUE"""),1.2803184270170758)</f>
        <v>1.280318427</v>
      </c>
      <c r="AE62" s="30">
        <f>IFERROR(__xludf.DUMMYFUNCTION("""COMPUTED_VALUE"""),1.7056456043124522)</f>
        <v>1.705645604</v>
      </c>
      <c r="AF62" s="30">
        <f>IFERROR(__xludf.DUMMYFUNCTION("""COMPUTED_VALUE"""),0.8932747164324992)</f>
        <v>0.8932747164</v>
      </c>
      <c r="AG62" s="30">
        <f>IFERROR(__xludf.DUMMYFUNCTION("""COMPUTED_VALUE"""),1.3882084584264744)</f>
        <v>1.388208458</v>
      </c>
      <c r="AH62" s="30">
        <f>IFERROR(__xludf.DUMMYFUNCTION("""COMPUTED_VALUE"""),1.2934484693776338)</f>
        <v>1.293448469</v>
      </c>
      <c r="AI62" s="30">
        <f>IFERROR(__xludf.DUMMYFUNCTION("""COMPUTED_VALUE"""),0.9535361485556594)</f>
        <v>0.9535361486</v>
      </c>
      <c r="AJ62" s="30">
        <f>IFERROR(__xludf.DUMMYFUNCTION("""COMPUTED_VALUE"""),0.9142034659715513)</f>
        <v>0.914203466</v>
      </c>
      <c r="AK62" s="30">
        <f>IFERROR(__xludf.DUMMYFUNCTION("""COMPUTED_VALUE"""),0.9521984763900784)</f>
        <v>0.9521984764</v>
      </c>
      <c r="AL62" s="30">
        <f>IFERROR(__xludf.DUMMYFUNCTION("""COMPUTED_VALUE"""),0.9522056895345775)</f>
        <v>0.9522056895</v>
      </c>
      <c r="AM62" s="30">
        <f>IFERROR(__xludf.DUMMYFUNCTION("""COMPUTED_VALUE"""),1.044806548843116)</f>
        <v>1.044806549</v>
      </c>
      <c r="AN62" s="30">
        <f>IFERROR(__xludf.DUMMYFUNCTION("""COMPUTED_VALUE"""),1.3582329145924386)</f>
        <v>1.358232915</v>
      </c>
      <c r="AO62" s="30">
        <f>IFERROR(__xludf.DUMMYFUNCTION("""COMPUTED_VALUE"""),1.9360287741760338)</f>
        <v>1.936028774</v>
      </c>
      <c r="AP62" s="30">
        <f>IFERROR(__xludf.DUMMYFUNCTION("""COMPUTED_VALUE"""),0.9418904061432735)</f>
        <v>0.9418904061</v>
      </c>
      <c r="AQ62" s="30">
        <f>IFERROR(__xludf.DUMMYFUNCTION("""COMPUTED_VALUE"""),1.4639873851401917)</f>
        <v>1.463987385</v>
      </c>
      <c r="AR62" s="30">
        <f>IFERROR(__xludf.DUMMYFUNCTION("""COMPUTED_VALUE"""),1.3767708843815827)</f>
        <v>1.376770884</v>
      </c>
      <c r="AS62" s="30">
        <f>IFERROR(__xludf.DUMMYFUNCTION("""COMPUTED_VALUE"""),100.0)</f>
        <v>100</v>
      </c>
      <c r="AT62" s="30">
        <f>IFERROR(__xludf.DUMMYFUNCTION("""COMPUTED_VALUE"""),0.5930406045056313)</f>
        <v>0.5930406045</v>
      </c>
      <c r="AU62" s="30">
        <f>IFERROR(__xludf.DUMMYFUNCTION("""COMPUTED_VALUE"""),4.75866289900828)</f>
        <v>4.758662899</v>
      </c>
      <c r="AV62" s="32">
        <f>IFERROR(__xludf.DUMMYFUNCTION("""COMPUTED_VALUE"""),92.28561874555069)</f>
        <v>92.28561875</v>
      </c>
      <c r="AW62" s="32">
        <f>IFERROR(__xludf.DUMMYFUNCTION("""COMPUTED_VALUE"""),22.0371812461421)</f>
        <v>22.03718125</v>
      </c>
      <c r="AX62" s="32">
        <f>IFERROR(__xludf.DUMMYFUNCTION("""COMPUTED_VALUE"""),82.84975716552962)</f>
        <v>82.84975717</v>
      </c>
      <c r="AY62" s="32">
        <f>IFERROR(__xludf.DUMMYFUNCTION("""COMPUTED_VALUE"""),10.59044522591464)</f>
        <v>10.59044523</v>
      </c>
      <c r="AZ62" s="30">
        <f>IFERROR(__xludf.DUMMYFUNCTION("""COMPUTED_VALUE"""),11.44673602022746)</f>
        <v>11.44673602</v>
      </c>
      <c r="BA62" s="30">
        <f>IFERROR(__xludf.DUMMYFUNCTION("""COMPUTED_VALUE"""),450.0)</f>
        <v>450</v>
      </c>
    </row>
    <row r="63">
      <c r="A63" s="30" t="str">
        <f>IFERROR(__xludf.DUMMYFUNCTION("""COMPUTED_VALUE"""),"Master")</f>
        <v>Master</v>
      </c>
      <c r="B63" s="30" t="str">
        <f>IFERROR(__xludf.DUMMYFUNCTION("""COMPUTED_VALUE"""),"RSC007976")</f>
        <v>RSC007976</v>
      </c>
      <c r="C63" s="30" t="str">
        <f>IFERROR(__xludf.DUMMYFUNCTION("""COMPUTED_VALUE"""),"Just Kraze")</f>
        <v>Just Kraze</v>
      </c>
      <c r="D63" s="30" t="str">
        <f>IFERROR(__xludf.DUMMYFUNCTION("""COMPUTED_VALUE"""),"Battle Masters")</f>
        <v>Battle Masters</v>
      </c>
      <c r="E63" s="30">
        <f>IFERROR(__xludf.DUMMYFUNCTION("""COMPUTED_VALUE"""),36.0)</f>
        <v>36</v>
      </c>
      <c r="F63" s="30">
        <f>IFERROR(__xludf.DUMMYFUNCTION("""COMPUTED_VALUE"""),25.0)</f>
        <v>25</v>
      </c>
      <c r="G63" s="30">
        <f>IFERROR(__xludf.DUMMYFUNCTION("""COMPUTED_VALUE"""),11.0)</f>
        <v>11</v>
      </c>
      <c r="H63" s="42">
        <f>IFERROR(__xludf.DUMMYFUNCTION("""COMPUTED_VALUE"""),0.6944444444444444)</f>
        <v>0.6944444444</v>
      </c>
      <c r="I63" s="42">
        <f>IFERROR(__xludf.DUMMYFUNCTION("""COMPUTED_VALUE"""),0.375)</f>
        <v>0.375</v>
      </c>
      <c r="J63" s="30">
        <f>IFERROR(__xludf.DUMMYFUNCTION("""COMPUTED_VALUE"""),439.97222222222223)</f>
        <v>439.9722222</v>
      </c>
      <c r="K63" s="30">
        <f>IFERROR(__xludf.DUMMYFUNCTION("""COMPUTED_VALUE"""),1.25)</f>
        <v>1.25</v>
      </c>
      <c r="L63" s="30">
        <f>IFERROR(__xludf.DUMMYFUNCTION("""COMPUTED_VALUE"""),0.9166666666666666)</f>
        <v>0.9166666667</v>
      </c>
      <c r="M63" s="30">
        <f>IFERROR(__xludf.DUMMYFUNCTION("""COMPUTED_VALUE"""),1.1666666666666667)</f>
        <v>1.166666667</v>
      </c>
      <c r="N63" s="30">
        <f>IFERROR(__xludf.DUMMYFUNCTION("""COMPUTED_VALUE"""),3.3333333333333335)</f>
        <v>3.333333333</v>
      </c>
      <c r="O63" s="30">
        <f>IFERROR(__xludf.DUMMYFUNCTION("""COMPUTED_VALUE"""),359.6574074074075)</f>
        <v>359.6574074</v>
      </c>
      <c r="P63" s="30">
        <f>IFERROR(__xludf.DUMMYFUNCTION("""COMPUTED_VALUE"""),0.6388888888888888)</f>
        <v>0.6388888889</v>
      </c>
      <c r="Q63" s="30">
        <f>IFERROR(__xludf.DUMMYFUNCTION("""COMPUTED_VALUE"""),0.5092592592592591)</f>
        <v>0.5092592593</v>
      </c>
      <c r="R63" s="30">
        <f>IFERROR(__xludf.DUMMYFUNCTION("""COMPUTED_VALUE"""),1.6203703703703702)</f>
        <v>1.62037037</v>
      </c>
      <c r="S63" s="30">
        <f>IFERROR(__xludf.DUMMYFUNCTION("""COMPUTED_VALUE"""),2.4537037037037037)</f>
        <v>2.453703704</v>
      </c>
      <c r="T63" s="30">
        <f>IFERROR(__xludf.DUMMYFUNCTION("""COMPUTED_VALUE"""),376.26679428523585)</f>
        <v>376.2667943</v>
      </c>
      <c r="U63" s="30">
        <f>IFERROR(__xludf.DUMMYFUNCTION("""COMPUTED_VALUE"""),0.7977645761515567)</f>
        <v>0.7977645762</v>
      </c>
      <c r="V63" s="30">
        <f>IFERROR(__xludf.DUMMYFUNCTION("""COMPUTED_VALUE"""),0.6056830130611666)</f>
        <v>0.6056830131</v>
      </c>
      <c r="W63" s="30">
        <f>IFERROR(__xludf.DUMMYFUNCTION("""COMPUTED_VALUE"""),1.5441243207621758)</f>
        <v>1.544124321</v>
      </c>
      <c r="X63" s="30">
        <f>IFERROR(__xludf.DUMMYFUNCTION("""COMPUTED_VALUE"""),2.727186510460498)</f>
        <v>2.72718651</v>
      </c>
      <c r="Y63" s="30">
        <f>IFERROR(__xludf.DUMMYFUNCTION("""COMPUTED_VALUE"""),400.227568416092)</f>
        <v>400.2275684</v>
      </c>
      <c r="Z63" s="30">
        <f>IFERROR(__xludf.DUMMYFUNCTION("""COMPUTED_VALUE"""),0.9544420056012807)</f>
        <v>0.9544420056</v>
      </c>
      <c r="AA63" s="30">
        <f>IFERROR(__xludf.DUMMYFUNCTION("""COMPUTED_VALUE"""),0.7384839333111252)</f>
        <v>0.7384839333</v>
      </c>
      <c r="AB63" s="30">
        <f>IFERROR(__xludf.DUMMYFUNCTION("""COMPUTED_VALUE"""),1.4908473657145143)</f>
        <v>1.490847366</v>
      </c>
      <c r="AC63" s="30">
        <f>IFERROR(__xludf.DUMMYFUNCTION("""COMPUTED_VALUE"""),2.934814633151126)</f>
        <v>2.934814633</v>
      </c>
      <c r="AD63" s="30">
        <f>IFERROR(__xludf.DUMMYFUNCTION("""COMPUTED_VALUE"""),1.0993051377330663)</f>
        <v>1.099305138</v>
      </c>
      <c r="AE63" s="30">
        <f>IFERROR(__xludf.DUMMYFUNCTION("""COMPUTED_VALUE"""),1.309665744659387)</f>
        <v>1.309665745</v>
      </c>
      <c r="AF63" s="30">
        <f>IFERROR(__xludf.DUMMYFUNCTION("""COMPUTED_VALUE"""),1.2412818008871598)</f>
        <v>1.241281801</v>
      </c>
      <c r="AG63" s="30">
        <f>IFERROR(__xludf.DUMMYFUNCTION("""COMPUTED_VALUE"""),0.7825527237038928)</f>
        <v>0.7825527237</v>
      </c>
      <c r="AH63" s="30">
        <f>IFERROR(__xludf.DUMMYFUNCTION("""COMPUTED_VALUE"""),1.1357900753528396)</f>
        <v>1.135790075</v>
      </c>
      <c r="AI63" s="30">
        <f>IFERROR(__xludf.DUMMYFUNCTION("""COMPUTED_VALUE"""),0.9558574205056285)</f>
        <v>0.9558574205</v>
      </c>
      <c r="AJ63" s="30">
        <f>IFERROR(__xludf.DUMMYFUNCTION("""COMPUTED_VALUE"""),0.8008489070433666)</f>
        <v>0.800848907</v>
      </c>
      <c r="AK63" s="30">
        <f>IFERROR(__xludf.DUMMYFUNCTION("""COMPUTED_VALUE"""),0.8408016211077561)</f>
        <v>0.8408016211</v>
      </c>
      <c r="AL63" s="30">
        <f>IFERROR(__xludf.DUMMYFUNCTION("""COMPUTED_VALUE"""),1.0493781806186173)</f>
        <v>1.049378181</v>
      </c>
      <c r="AM63" s="30">
        <f>IFERROR(__xludf.DUMMYFUNCTION("""COMPUTED_VALUE"""),0.8997198007148344)</f>
        <v>0.8997198007</v>
      </c>
      <c r="AN63" s="30">
        <f>IFERROR(__xludf.DUMMYFUNCTION("""COMPUTED_VALUE"""),1.1929200011692829)</f>
        <v>1.192920001</v>
      </c>
      <c r="AO63" s="30">
        <f>IFERROR(__xludf.DUMMYFUNCTION("""COMPUTED_VALUE"""),1.62887036288849)</f>
        <v>1.628870363</v>
      </c>
      <c r="AP63" s="30">
        <f>IFERROR(__xludf.DUMMYFUNCTION("""COMPUTED_VALUE"""),1.4389992316077789)</f>
        <v>1.438999232</v>
      </c>
      <c r="AQ63" s="30">
        <f>IFERROR(__xludf.DUMMYFUNCTION("""COMPUTED_VALUE"""),0.7970597985763267)</f>
        <v>0.7970597986</v>
      </c>
      <c r="AR63" s="30">
        <f>IFERROR(__xludf.DUMMYFUNCTION("""COMPUTED_VALUE"""),1.2355636141886)</f>
        <v>1.235563614</v>
      </c>
      <c r="AS63" s="30">
        <f>IFERROR(__xludf.DUMMYFUNCTION("""COMPUTED_VALUE"""),127.0)</f>
        <v>127</v>
      </c>
      <c r="AT63" s="30">
        <f>IFERROR(__xludf.DUMMYFUNCTION("""COMPUTED_VALUE"""),0.7295252442022341)</f>
        <v>0.7295252442</v>
      </c>
      <c r="AU63" s="30">
        <f>IFERROR(__xludf.DUMMYFUNCTION("""COMPUTED_VALUE"""),4.576841001930801)</f>
        <v>4.576841002</v>
      </c>
      <c r="AV63" s="32">
        <f>IFERROR(__xludf.DUMMYFUNCTION("""COMPUTED_VALUE"""),87.84287243297777)</f>
        <v>87.84287243</v>
      </c>
      <c r="AW63" s="32">
        <f>IFERROR(__xludf.DUMMYFUNCTION("""COMPUTED_VALUE"""),15.373006999376834)</f>
        <v>15.373007</v>
      </c>
      <c r="AX63" s="32">
        <f>IFERROR(__xludf.DUMMYFUNCTION("""COMPUTED_VALUE"""),75.86434972549577)</f>
        <v>75.86434973</v>
      </c>
      <c r="AY63" s="32">
        <f>IFERROR(__xludf.DUMMYFUNCTION("""COMPUTED_VALUE"""),6.647435489623336)</f>
        <v>6.64743549</v>
      </c>
      <c r="AZ63" s="30">
        <f>IFERROR(__xludf.DUMMYFUNCTION("""COMPUTED_VALUE"""),8.725571509753497)</f>
        <v>8.72557151</v>
      </c>
      <c r="BA63" s="30">
        <f>IFERROR(__xludf.DUMMYFUNCTION("""COMPUTED_VALUE"""),450.0)</f>
        <v>450</v>
      </c>
    </row>
    <row r="64">
      <c r="A64" s="30" t="str">
        <f>IFERROR(__xludf.DUMMYFUNCTION("""COMPUTED_VALUE"""),"Master")</f>
        <v>Master</v>
      </c>
      <c r="B64" s="30" t="str">
        <f>IFERROR(__xludf.DUMMYFUNCTION("""COMPUTED_VALUE"""),"RSC007252")</f>
        <v>RSC007252</v>
      </c>
      <c r="C64" s="30" t="str">
        <f>IFERROR(__xludf.DUMMYFUNCTION("""COMPUTED_VALUE"""),"mario.")</f>
        <v>mario.</v>
      </c>
      <c r="D64" s="30"/>
      <c r="E64" s="30">
        <f>IFERROR(__xludf.DUMMYFUNCTION("""COMPUTED_VALUE"""),12.0)</f>
        <v>12</v>
      </c>
      <c r="F64" s="30">
        <f>IFERROR(__xludf.DUMMYFUNCTION("""COMPUTED_VALUE"""),3.0)</f>
        <v>3</v>
      </c>
      <c r="G64" s="30">
        <f>IFERROR(__xludf.DUMMYFUNCTION("""COMPUTED_VALUE"""),9.0)</f>
        <v>9</v>
      </c>
      <c r="H64" s="42">
        <f>IFERROR(__xludf.DUMMYFUNCTION("""COMPUTED_VALUE"""),0.25)</f>
        <v>0.25</v>
      </c>
      <c r="I64" s="42">
        <f>IFERROR(__xludf.DUMMYFUNCTION("""COMPUTED_VALUE"""),0.13793103448275862)</f>
        <v>0.1379310345</v>
      </c>
      <c r="J64" s="30">
        <f>IFERROR(__xludf.DUMMYFUNCTION("""COMPUTED_VALUE"""),301.9166666666667)</f>
        <v>301.9166667</v>
      </c>
      <c r="K64" s="30">
        <f>IFERROR(__xludf.DUMMYFUNCTION("""COMPUTED_VALUE"""),0.3333333333333333)</f>
        <v>0.3333333333</v>
      </c>
      <c r="L64" s="30">
        <f>IFERROR(__xludf.DUMMYFUNCTION("""COMPUTED_VALUE"""),0.5833333333333334)</f>
        <v>0.5833333333</v>
      </c>
      <c r="M64" s="30">
        <f>IFERROR(__xludf.DUMMYFUNCTION("""COMPUTED_VALUE"""),1.0)</f>
        <v>1</v>
      </c>
      <c r="N64" s="30">
        <f>IFERROR(__xludf.DUMMYFUNCTION("""COMPUTED_VALUE"""),2.4166666666666665)</f>
        <v>2.416666667</v>
      </c>
      <c r="O64" s="30">
        <f>IFERROR(__xludf.DUMMYFUNCTION("""COMPUTED_VALUE"""),435.4444444444445)</f>
        <v>435.4444444</v>
      </c>
      <c r="P64" s="30">
        <f>IFERROR(__xludf.DUMMYFUNCTION("""COMPUTED_VALUE"""),1.0277777777777777)</f>
        <v>1.027777778</v>
      </c>
      <c r="Q64" s="30">
        <f>IFERROR(__xludf.DUMMYFUNCTION("""COMPUTED_VALUE"""),0.8333333333333331)</f>
        <v>0.8333333333</v>
      </c>
      <c r="R64" s="30">
        <f>IFERROR(__xludf.DUMMYFUNCTION("""COMPUTED_VALUE"""),1.5)</f>
        <v>1.5</v>
      </c>
      <c r="S64" s="30">
        <f>IFERROR(__xludf.DUMMYFUNCTION("""COMPUTED_VALUE"""),3.361111111111111)</f>
        <v>3.361111111</v>
      </c>
      <c r="T64" s="30">
        <f>IFERROR(__xludf.DUMMYFUNCTION("""COMPUTED_VALUE"""),413.62952998161154)</f>
        <v>413.62953</v>
      </c>
      <c r="U64" s="30">
        <f>IFERROR(__xludf.DUMMYFUNCTION("""COMPUTED_VALUE"""),0.9750557442515384)</f>
        <v>0.9750557443</v>
      </c>
      <c r="V64" s="30">
        <f>IFERROR(__xludf.DUMMYFUNCTION("""COMPUTED_VALUE"""),0.7345101271856032)</f>
        <v>0.7345101272</v>
      </c>
      <c r="W64" s="30">
        <f>IFERROR(__xludf.DUMMYFUNCTION("""COMPUTED_VALUE"""),1.549988009159649)</f>
        <v>1.549988009</v>
      </c>
      <c r="X64" s="30">
        <f>IFERROR(__xludf.DUMMYFUNCTION("""COMPUTED_VALUE"""),3.2161944380543424)</f>
        <v>3.216194438</v>
      </c>
      <c r="Y64" s="30">
        <f>IFERROR(__xludf.DUMMYFUNCTION("""COMPUTED_VALUE"""),391.59383861256083)</f>
        <v>391.5938386</v>
      </c>
      <c r="Z64" s="30">
        <f>IFERROR(__xludf.DUMMYFUNCTION("""COMPUTED_VALUE"""),0.8598824446579489)</f>
        <v>0.8598824447</v>
      </c>
      <c r="AA64" s="30">
        <f>IFERROR(__xludf.DUMMYFUNCTION("""COMPUTED_VALUE"""),0.682955640656692)</f>
        <v>0.6829556407</v>
      </c>
      <c r="AB64" s="30">
        <f>IFERROR(__xludf.DUMMYFUNCTION("""COMPUTED_VALUE"""),1.586008618870701)</f>
        <v>1.586008619</v>
      </c>
      <c r="AC64" s="30">
        <f>IFERROR(__xludf.DUMMYFUNCTION("""COMPUTED_VALUE"""),2.864702937893712)</f>
        <v>2.864702938</v>
      </c>
      <c r="AD64" s="30">
        <f>IFERROR(__xludf.DUMMYFUNCTION("""COMPUTED_VALUE"""),0.7709944255925337)</f>
        <v>0.7709944256</v>
      </c>
      <c r="AE64" s="30">
        <f>IFERROR(__xludf.DUMMYFUNCTION("""COMPUTED_VALUE"""),0.38764988796338246)</f>
        <v>0.387649888</v>
      </c>
      <c r="AF64" s="30">
        <f>IFERROR(__xludf.DUMMYFUNCTION("""COMPUTED_VALUE"""),0.8541306325143352)</f>
        <v>0.8541306325</v>
      </c>
      <c r="AG64" s="30">
        <f>IFERROR(__xludf.DUMMYFUNCTION("""COMPUTED_VALUE"""),0.6305135975314172)</f>
        <v>0.6305135975</v>
      </c>
      <c r="AH64" s="30">
        <f>IFERROR(__xludf.DUMMYFUNCTION("""COMPUTED_VALUE"""),0.8436011408720562)</f>
        <v>0.8436011409</v>
      </c>
      <c r="AI64" s="30">
        <f>IFERROR(__xludf.DUMMYFUNCTION("""COMPUTED_VALUE"""),1.0527402249636355)</f>
        <v>1.052740225</v>
      </c>
      <c r="AJ64" s="30">
        <f>IFERROR(__xludf.DUMMYFUNCTION("""COMPUTED_VALUE"""),1.054070789118533)</f>
        <v>1.054070789</v>
      </c>
      <c r="AK64" s="30">
        <f>IFERROR(__xludf.DUMMYFUNCTION("""COMPUTED_VALUE"""),1.1345430137585542)</f>
        <v>1.134543014</v>
      </c>
      <c r="AL64" s="30">
        <f>IFERROR(__xludf.DUMMYFUNCTION("""COMPUTED_VALUE"""),0.967749422018593)</f>
        <v>0.967749422</v>
      </c>
      <c r="AM64" s="30">
        <f>IFERROR(__xludf.DUMMYFUNCTION("""COMPUTED_VALUE"""),1.0450584303430477)</f>
        <v>1.04505843</v>
      </c>
      <c r="AN64" s="30">
        <f>IFERROR(__xludf.DUMMYFUNCTION("""COMPUTED_VALUE"""),0.8186026575357621)</f>
        <v>0.8186026575</v>
      </c>
      <c r="AO64" s="30">
        <f>IFERROR(__xludf.DUMMYFUNCTION("""COMPUTED_VALUE"""),0.4343654301035973)</f>
        <v>0.4343654301</v>
      </c>
      <c r="AP64" s="30">
        <f>IFERROR(__xludf.DUMMYFUNCTION("""COMPUTED_VALUE"""),0.9157267837504048)</f>
        <v>0.9157267838</v>
      </c>
      <c r="AQ64" s="30">
        <f>IFERROR(__xludf.DUMMYFUNCTION("""COMPUTED_VALUE"""),0.6831941130654228)</f>
        <v>0.6831941131</v>
      </c>
      <c r="AR64" s="30">
        <f>IFERROR(__xludf.DUMMYFUNCTION("""COMPUTED_VALUE"""),0.8957836202867349)</f>
        <v>0.8957836203</v>
      </c>
      <c r="AS64" s="30">
        <f>IFERROR(__xludf.DUMMYFUNCTION("""COMPUTED_VALUE"""),25.0)</f>
        <v>25</v>
      </c>
      <c r="AT64" s="30">
        <f>IFERROR(__xludf.DUMMYFUNCTION("""COMPUTED_VALUE"""),0.347943024864575)</f>
        <v>0.3479430249</v>
      </c>
      <c r="AU64" s="30">
        <f>IFERROR(__xludf.DUMMYFUNCTION("""COMPUTED_VALUE"""),1.916956759959063)</f>
        <v>1.91695676</v>
      </c>
      <c r="AV64" s="32">
        <f>IFERROR(__xludf.DUMMYFUNCTION("""COMPUTED_VALUE"""),22.849650506274756)</f>
        <v>22.84965051</v>
      </c>
      <c r="AW64" s="32">
        <f>IFERROR(__xludf.DUMMYFUNCTION("""COMPUTED_VALUE"""),-7.207913522132467)</f>
        <v>-7.207913522</v>
      </c>
      <c r="AX64" s="32">
        <f>IFERROR(__xludf.DUMMYFUNCTION("""COMPUTED_VALUE"""),12.384973307287453)</f>
        <v>12.38497331</v>
      </c>
      <c r="AY64" s="32">
        <f>IFERROR(__xludf.DUMMYFUNCTION("""COMPUTED_VALUE"""),-15.10269778401277)</f>
        <v>-15.10269778</v>
      </c>
      <c r="AZ64" s="30">
        <f>IFERROR(__xludf.DUMMYFUNCTION("""COMPUTED_VALUE"""),7.894784261880304)</f>
        <v>7.894784262</v>
      </c>
      <c r="BA64" s="30">
        <f>IFERROR(__xludf.DUMMYFUNCTION("""COMPUTED_VALUE"""),450.0)</f>
        <v>450</v>
      </c>
    </row>
    <row r="65">
      <c r="A65" s="30" t="str">
        <f>IFERROR(__xludf.DUMMYFUNCTION("""COMPUTED_VALUE"""),"Master")</f>
        <v>Master</v>
      </c>
      <c r="B65" s="30" t="str">
        <f>IFERROR(__xludf.DUMMYFUNCTION("""COMPUTED_VALUE"""),"RSC003178")</f>
        <v>RSC003178</v>
      </c>
      <c r="C65" s="30" t="str">
        <f>IFERROR(__xludf.DUMMYFUNCTION("""COMPUTED_VALUE"""),"Snack Time!")</f>
        <v>Snack Time!</v>
      </c>
      <c r="D65" s="30" t="str">
        <f>IFERROR(__xludf.DUMMYFUNCTION("""COMPUTED_VALUE"""),"The OG")</f>
        <v>The OG</v>
      </c>
      <c r="E65" s="30">
        <f>IFERROR(__xludf.DUMMYFUNCTION("""COMPUTED_VALUE"""),23.0)</f>
        <v>23</v>
      </c>
      <c r="F65" s="30">
        <f>IFERROR(__xludf.DUMMYFUNCTION("""COMPUTED_VALUE"""),6.0)</f>
        <v>6</v>
      </c>
      <c r="G65" s="30">
        <f>IFERROR(__xludf.DUMMYFUNCTION("""COMPUTED_VALUE"""),17.0)</f>
        <v>17</v>
      </c>
      <c r="H65" s="42">
        <f>IFERROR(__xludf.DUMMYFUNCTION("""COMPUTED_VALUE"""),0.2608695652173913)</f>
        <v>0.2608695652</v>
      </c>
      <c r="I65" s="42">
        <f>IFERROR(__xludf.DUMMYFUNCTION("""COMPUTED_VALUE"""),0.23333333333333334)</f>
        <v>0.2333333333</v>
      </c>
      <c r="J65" s="30">
        <f>IFERROR(__xludf.DUMMYFUNCTION("""COMPUTED_VALUE"""),318.7826086956522)</f>
        <v>318.7826087</v>
      </c>
      <c r="K65" s="30">
        <f>IFERROR(__xludf.DUMMYFUNCTION("""COMPUTED_VALUE"""),0.6086956521739131)</f>
        <v>0.6086956522</v>
      </c>
      <c r="L65" s="30">
        <f>IFERROR(__xludf.DUMMYFUNCTION("""COMPUTED_VALUE"""),0.6086956521739131)</f>
        <v>0.6086956522</v>
      </c>
      <c r="M65" s="30">
        <f>IFERROR(__xludf.DUMMYFUNCTION("""COMPUTED_VALUE"""),1.173913043478261)</f>
        <v>1.173913043</v>
      </c>
      <c r="N65" s="30">
        <f>IFERROR(__xludf.DUMMYFUNCTION("""COMPUTED_VALUE"""),2.608695652173913)</f>
        <v>2.608695652</v>
      </c>
      <c r="O65" s="30">
        <f>IFERROR(__xludf.DUMMYFUNCTION("""COMPUTED_VALUE"""),436.3623188405795)</f>
        <v>436.3623188</v>
      </c>
      <c r="P65" s="30">
        <f>IFERROR(__xludf.DUMMYFUNCTION("""COMPUTED_VALUE"""),1.0579710144927537)</f>
        <v>1.057971014</v>
      </c>
      <c r="Q65" s="30">
        <f>IFERROR(__xludf.DUMMYFUNCTION("""COMPUTED_VALUE"""),0.8405797101449275)</f>
        <v>0.8405797101</v>
      </c>
      <c r="R65" s="30">
        <f>IFERROR(__xludf.DUMMYFUNCTION("""COMPUTED_VALUE"""),1.7246376811594204)</f>
        <v>1.724637681</v>
      </c>
      <c r="S65" s="30">
        <f>IFERROR(__xludf.DUMMYFUNCTION("""COMPUTED_VALUE"""),3.1739130434782616)</f>
        <v>3.173913043</v>
      </c>
      <c r="T65" s="30">
        <f>IFERROR(__xludf.DUMMYFUNCTION("""COMPUTED_VALUE"""),401.84001469466097)</f>
        <v>401.8400147</v>
      </c>
      <c r="U65" s="30">
        <f>IFERROR(__xludf.DUMMYFUNCTION("""COMPUTED_VALUE"""),0.9130584225852768)</f>
        <v>0.9130584226</v>
      </c>
      <c r="V65" s="30">
        <f>IFERROR(__xludf.DUMMYFUNCTION("""COMPUTED_VALUE"""),0.6727981145500326)</f>
        <v>0.6727981146</v>
      </c>
      <c r="W65" s="30">
        <f>IFERROR(__xludf.DUMMYFUNCTION("""COMPUTED_VALUE"""),1.5875553561401816)</f>
        <v>1.587555356</v>
      </c>
      <c r="X65" s="30">
        <f>IFERROR(__xludf.DUMMYFUNCTION("""COMPUTED_VALUE"""),2.9311116285753966)</f>
        <v>2.931111629</v>
      </c>
      <c r="Y65" s="30">
        <f>IFERROR(__xludf.DUMMYFUNCTION("""COMPUTED_VALUE"""),377.1347173860104)</f>
        <v>377.1347174</v>
      </c>
      <c r="Z65" s="30">
        <f>IFERROR(__xludf.DUMMYFUNCTION("""COMPUTED_VALUE"""),0.8088489846801868)</f>
        <v>0.8088489847</v>
      </c>
      <c r="AA65" s="30">
        <f>IFERROR(__xludf.DUMMYFUNCTION("""COMPUTED_VALUE"""),0.6276154967615607)</f>
        <v>0.6276154968</v>
      </c>
      <c r="AB65" s="30">
        <f>IFERROR(__xludf.DUMMYFUNCTION("""COMPUTED_VALUE"""),1.5044893028624204)</f>
        <v>1.504489303</v>
      </c>
      <c r="AC65" s="30">
        <f>IFERROR(__xludf.DUMMYFUNCTION("""COMPUTED_VALUE"""),2.8047054360708814)</f>
        <v>2.804705436</v>
      </c>
      <c r="AD65" s="30">
        <f>IFERROR(__xludf.DUMMYFUNCTION("""COMPUTED_VALUE"""),0.8452751603066212)</f>
        <v>0.8452751603</v>
      </c>
      <c r="AE65" s="30">
        <f>IFERROR(__xludf.DUMMYFUNCTION("""COMPUTED_VALUE"""),0.7525454858728505)</f>
        <v>0.7525454859</v>
      </c>
      <c r="AF65" s="30">
        <f>IFERROR(__xludf.DUMMYFUNCTION("""COMPUTED_VALUE"""),0.9698544018028995)</f>
        <v>0.9698544018</v>
      </c>
      <c r="AG65" s="30">
        <f>IFERROR(__xludf.DUMMYFUNCTION("""COMPUTED_VALUE"""),0.7802734397943477)</f>
        <v>0.7802734398</v>
      </c>
      <c r="AH65" s="30">
        <f>IFERROR(__xludf.DUMMYFUNCTION("""COMPUTED_VALUE"""),0.930113950158146)</f>
        <v>0.9301139502</v>
      </c>
      <c r="AI65" s="30">
        <f>IFERROR(__xludf.DUMMYFUNCTION("""COMPUTED_VALUE"""),1.085910568593201)</f>
        <v>1.085910569</v>
      </c>
      <c r="AJ65" s="30">
        <f>IFERROR(__xludf.DUMMYFUNCTION("""COMPUTED_VALUE"""),1.1587111934164787)</f>
        <v>1.158711193</v>
      </c>
      <c r="AK65" s="30">
        <f>IFERROR(__xludf.DUMMYFUNCTION("""COMPUTED_VALUE"""),1.2493788135941897)</f>
        <v>1.249378814</v>
      </c>
      <c r="AL65" s="30">
        <f>IFERROR(__xludf.DUMMYFUNCTION("""COMPUTED_VALUE"""),1.0863480599205855)</f>
        <v>1.08634806</v>
      </c>
      <c r="AM65" s="30">
        <f>IFERROR(__xludf.DUMMYFUNCTION("""COMPUTED_VALUE"""),1.0828359495202418)</f>
        <v>1.08283595</v>
      </c>
      <c r="AN65" s="30">
        <f>IFERROR(__xludf.DUMMYFUNCTION("""COMPUTED_VALUE"""),0.8643321799208737)</f>
        <v>0.8643321799</v>
      </c>
      <c r="AO65" s="30">
        <f>IFERROR(__xludf.DUMMYFUNCTION("""COMPUTED_VALUE"""),0.7931890462761343)</f>
        <v>0.7931890463</v>
      </c>
      <c r="AP65" s="30">
        <f>IFERROR(__xludf.DUMMYFUNCTION("""COMPUTED_VALUE"""),0.9555409917395529)</f>
        <v>0.9555409917</v>
      </c>
      <c r="AQ65" s="30">
        <f>IFERROR(__xludf.DUMMYFUNCTION("""COMPUTED_VALUE"""),0.8020104805550616)</f>
        <v>0.8020104806</v>
      </c>
      <c r="AR65" s="30">
        <f>IFERROR(__xludf.DUMMYFUNCTION("""COMPUTED_VALUE"""),0.9669628284954259)</f>
        <v>0.9669628285</v>
      </c>
      <c r="AS65" s="30">
        <f>IFERROR(__xludf.DUMMYFUNCTION("""COMPUTED_VALUE"""),58.0)</f>
        <v>58</v>
      </c>
      <c r="AT65" s="30">
        <f>IFERROR(__xludf.DUMMYFUNCTION("""COMPUTED_VALUE"""),0.4063763968530978)</f>
        <v>0.4063763969</v>
      </c>
      <c r="AU65" s="30">
        <f>IFERROR(__xludf.DUMMYFUNCTION("""COMPUTED_VALUE"""),2.487482447030007)</f>
        <v>2.487482447</v>
      </c>
      <c r="AV65" s="32">
        <f>IFERROR(__xludf.DUMMYFUNCTION("""COMPUTED_VALUE"""),36.79022055424024)</f>
        <v>36.79022055</v>
      </c>
      <c r="AW65" s="32">
        <f>IFERROR(__xludf.DUMMYFUNCTION("""COMPUTED_VALUE"""),-3.348805599747596)</f>
        <v>-3.3488056</v>
      </c>
      <c r="AX65" s="32">
        <f>IFERROR(__xludf.DUMMYFUNCTION("""COMPUTED_VALUE"""),17.115639905686855)</f>
        <v>17.11563991</v>
      </c>
      <c r="AY65" s="32">
        <f>IFERROR(__xludf.DUMMYFUNCTION("""COMPUTED_VALUE"""),-10.616607039973182)</f>
        <v>-10.61660704</v>
      </c>
      <c r="AZ65" s="30">
        <f>IFERROR(__xludf.DUMMYFUNCTION("""COMPUTED_VALUE"""),7.267801440225586)</f>
        <v>7.26780144</v>
      </c>
      <c r="BA65" s="30">
        <f>IFERROR(__xludf.DUMMYFUNCTION("""COMPUTED_VALUE"""),450.0)</f>
        <v>450</v>
      </c>
    </row>
    <row r="66">
      <c r="A66" s="30" t="str">
        <f>IFERROR(__xludf.DUMMYFUNCTION("""COMPUTED_VALUE"""),"Master")</f>
        <v>Master</v>
      </c>
      <c r="B66" s="30" t="str">
        <f>IFERROR(__xludf.DUMMYFUNCTION("""COMPUTED_VALUE"""),"RSC005625")</f>
        <v>RSC005625</v>
      </c>
      <c r="C66" s="30" t="str">
        <f>IFERROR(__xludf.DUMMYFUNCTION("""COMPUTED_VALUE"""),"aspect of hope")</f>
        <v>aspect of hope</v>
      </c>
      <c r="D66" s="30" t="str">
        <f>IFERROR(__xludf.DUMMYFUNCTION("""COMPUTED_VALUE"""),"Spectres")</f>
        <v>Spectres</v>
      </c>
      <c r="E66" s="30">
        <f>IFERROR(__xludf.DUMMYFUNCTION("""COMPUTED_VALUE"""),23.0)</f>
        <v>23</v>
      </c>
      <c r="F66" s="30">
        <f>IFERROR(__xludf.DUMMYFUNCTION("""COMPUTED_VALUE"""),9.0)</f>
        <v>9</v>
      </c>
      <c r="G66" s="30">
        <f>IFERROR(__xludf.DUMMYFUNCTION("""COMPUTED_VALUE"""),14.0)</f>
        <v>14</v>
      </c>
      <c r="H66" s="42">
        <f>IFERROR(__xludf.DUMMYFUNCTION("""COMPUTED_VALUE"""),0.391304347826087)</f>
        <v>0.3913043478</v>
      </c>
      <c r="I66" s="42">
        <f>IFERROR(__xludf.DUMMYFUNCTION("""COMPUTED_VALUE"""),0.3421052631578947)</f>
        <v>0.3421052632</v>
      </c>
      <c r="J66" s="30">
        <f>IFERROR(__xludf.DUMMYFUNCTION("""COMPUTED_VALUE"""),406.5652173913044)</f>
        <v>406.5652174</v>
      </c>
      <c r="K66" s="30">
        <f>IFERROR(__xludf.DUMMYFUNCTION("""COMPUTED_VALUE"""),1.1304347826086956)</f>
        <v>1.130434783</v>
      </c>
      <c r="L66" s="30">
        <f>IFERROR(__xludf.DUMMYFUNCTION("""COMPUTED_VALUE"""),0.9565217391304348)</f>
        <v>0.9565217391</v>
      </c>
      <c r="M66" s="30">
        <f>IFERROR(__xludf.DUMMYFUNCTION("""COMPUTED_VALUE"""),1.2173913043478262)</f>
        <v>1.217391304</v>
      </c>
      <c r="N66" s="30">
        <f>IFERROR(__xludf.DUMMYFUNCTION("""COMPUTED_VALUE"""),3.3043478260869565)</f>
        <v>3.304347826</v>
      </c>
      <c r="O66" s="30">
        <f>IFERROR(__xludf.DUMMYFUNCTION("""COMPUTED_VALUE"""),421.8550724637682)</f>
        <v>421.8550725</v>
      </c>
      <c r="P66" s="30">
        <f>IFERROR(__xludf.DUMMYFUNCTION("""COMPUTED_VALUE"""),1.043478260869565)</f>
        <v>1.043478261</v>
      </c>
      <c r="Q66" s="30">
        <f>IFERROR(__xludf.DUMMYFUNCTION("""COMPUTED_VALUE"""),0.8840579710144926)</f>
        <v>0.884057971</v>
      </c>
      <c r="R66" s="30">
        <f>IFERROR(__xludf.DUMMYFUNCTION("""COMPUTED_VALUE"""),1.63768115942029)</f>
        <v>1.637681159</v>
      </c>
      <c r="S66" s="30">
        <f>IFERROR(__xludf.DUMMYFUNCTION("""COMPUTED_VALUE"""),3.101449275362319)</f>
        <v>3.101449275</v>
      </c>
      <c r="T66" s="30">
        <f>IFERROR(__xludf.DUMMYFUNCTION("""COMPUTED_VALUE"""),389.55941928732886)</f>
        <v>389.5594193</v>
      </c>
      <c r="U66" s="30">
        <f>IFERROR(__xludf.DUMMYFUNCTION("""COMPUTED_VALUE"""),0.8881539070885577)</f>
        <v>0.8881539071</v>
      </c>
      <c r="V66" s="30">
        <f>IFERROR(__xludf.DUMMYFUNCTION("""COMPUTED_VALUE"""),0.6797660559132761)</f>
        <v>0.6797660559</v>
      </c>
      <c r="W66" s="30">
        <f>IFERROR(__xludf.DUMMYFUNCTION("""COMPUTED_VALUE"""),1.494900101091123)</f>
        <v>1.494900101</v>
      </c>
      <c r="X66" s="30">
        <f>IFERROR(__xludf.DUMMYFUNCTION("""COMPUTED_VALUE"""),2.814956651063598)</f>
        <v>2.814956651</v>
      </c>
      <c r="Y66" s="30">
        <f>IFERROR(__xludf.DUMMYFUNCTION("""COMPUTED_VALUE"""),380.2768176563757)</f>
        <v>380.2768177</v>
      </c>
      <c r="Z66" s="30">
        <f>IFERROR(__xludf.DUMMYFUNCTION("""COMPUTED_VALUE"""),0.8362242221795286)</f>
        <v>0.8362242222</v>
      </c>
      <c r="AA66" s="30">
        <f>IFERROR(__xludf.DUMMYFUNCTION("""COMPUTED_VALUE"""),0.6630160818872833)</f>
        <v>0.6630160819</v>
      </c>
      <c r="AB66" s="30">
        <f>IFERROR(__xludf.DUMMYFUNCTION("""COMPUTED_VALUE"""),1.469442748704588)</f>
        <v>1.469442749</v>
      </c>
      <c r="AC66" s="30">
        <f>IFERROR(__xludf.DUMMYFUNCTION("""COMPUTED_VALUE"""),2.817053450776051)</f>
        <v>2.817053451</v>
      </c>
      <c r="AD66" s="30">
        <f>IFERROR(__xludf.DUMMYFUNCTION("""COMPUTED_VALUE"""),1.0691296406048167)</f>
        <v>1.069129641</v>
      </c>
      <c r="AE66" s="30">
        <f>IFERROR(__xludf.DUMMYFUNCTION("""COMPUTED_VALUE"""),1.3518321433721912)</f>
        <v>1.351832143</v>
      </c>
      <c r="AF66" s="30">
        <f>IFERROR(__xludf.DUMMYFUNCTION("""COMPUTED_VALUE"""),1.442682561194721)</f>
        <v>1.442682561</v>
      </c>
      <c r="AG66" s="30">
        <f>IFERROR(__xludf.DUMMYFUNCTION("""COMPUTED_VALUE"""),0.8284714089208566)</f>
        <v>0.8284714089</v>
      </c>
      <c r="AH66" s="30">
        <f>IFERROR(__xludf.DUMMYFUNCTION("""COMPUTED_VALUE"""),1.172980166626467)</f>
        <v>1.172980167</v>
      </c>
      <c r="AI66" s="30">
        <f>IFERROR(__xludf.DUMMYFUNCTION("""COMPUTED_VALUE"""),1.0829030221770068)</f>
        <v>1.082903022</v>
      </c>
      <c r="AJ66" s="30">
        <f>IFERROR(__xludf.DUMMYFUNCTION("""COMPUTED_VALUE"""),1.1748845020455672)</f>
        <v>1.174884502</v>
      </c>
      <c r="AK66" s="30">
        <f>IFERROR(__xludf.DUMMYFUNCTION("""COMPUTED_VALUE"""),1.3005326808011135)</f>
        <v>1.300532681</v>
      </c>
      <c r="AL66" s="30">
        <f>IFERROR(__xludf.DUMMYFUNCTION("""COMPUTED_VALUE"""),1.0955121069461107)</f>
        <v>1.095512107</v>
      </c>
      <c r="AM66" s="30">
        <f>IFERROR(__xludf.DUMMYFUNCTION("""COMPUTED_VALUE"""),1.101775146054371)</f>
        <v>1.101775146</v>
      </c>
      <c r="AN66" s="30">
        <f>IFERROR(__xludf.DUMMYFUNCTION("""COMPUTED_VALUE"""),1.1023418186634057)</f>
        <v>1.102341819</v>
      </c>
      <c r="AO66" s="30">
        <f>IFERROR(__xludf.DUMMYFUNCTION("""COMPUTED_VALUE"""),1.4730653716556779)</f>
        <v>1.473065372</v>
      </c>
      <c r="AP66" s="30">
        <f>IFERROR(__xludf.DUMMYFUNCTION("""COMPUTED_VALUE"""),1.501564415590726)</f>
        <v>1.501564416</v>
      </c>
      <c r="AQ66" s="30">
        <f>IFERROR(__xludf.DUMMYFUNCTION("""COMPUTED_VALUE"""),0.8317145724274713)</f>
        <v>0.8317145724</v>
      </c>
      <c r="AR66" s="30">
        <f>IFERROR(__xludf.DUMMYFUNCTION("""COMPUTED_VALUE"""),1.224819582760873)</f>
        <v>1.224819583</v>
      </c>
      <c r="AS66" s="30">
        <f>IFERROR(__xludf.DUMMYFUNCTION("""COMPUTED_VALUE"""),66.0)</f>
        <v>66</v>
      </c>
      <c r="AT66" s="30">
        <f>IFERROR(__xludf.DUMMYFUNCTION("""COMPUTED_VALUE"""),0.46368549927759645)</f>
        <v>0.4636854993</v>
      </c>
      <c r="AU66" s="30">
        <f>IFERROR(__xludf.DUMMYFUNCTION("""COMPUTED_VALUE"""),4.259247290713531)</f>
        <v>4.259247291</v>
      </c>
      <c r="AV66" s="32">
        <f>IFERROR(__xludf.DUMMYFUNCTION("""COMPUTED_VALUE"""),80.08259541416734)</f>
        <v>80.08259541</v>
      </c>
      <c r="AW66" s="32">
        <f>IFERROR(__xludf.DUMMYFUNCTION("""COMPUTED_VALUE"""),8.739013918583263)</f>
        <v>8.739013919</v>
      </c>
      <c r="AX66" s="32">
        <f>IFERROR(__xludf.DUMMYFUNCTION("""COMPUTED_VALUE"""),53.57945552757843)</f>
        <v>53.57945553</v>
      </c>
      <c r="AY66" s="32">
        <f>IFERROR(__xludf.DUMMYFUNCTION("""COMPUTED_VALUE"""),2.256955692926544)</f>
        <v>2.256955693</v>
      </c>
      <c r="AZ66" s="30">
        <f>IFERROR(__xludf.DUMMYFUNCTION("""COMPUTED_VALUE"""),6.4820582256567185)</f>
        <v>6.482058226</v>
      </c>
      <c r="BA66" s="30">
        <f>IFERROR(__xludf.DUMMYFUNCTION("""COMPUTED_VALUE"""),450.0)</f>
        <v>450</v>
      </c>
    </row>
    <row r="67">
      <c r="A67" s="30" t="str">
        <f>IFERROR(__xludf.DUMMYFUNCTION("""COMPUTED_VALUE"""),"Master")</f>
        <v>Master</v>
      </c>
      <c r="B67" s="30" t="str">
        <f>IFERROR(__xludf.DUMMYFUNCTION("""COMPUTED_VALUE"""),"RSC003031")</f>
        <v>RSC003031</v>
      </c>
      <c r="C67" s="30" t="str">
        <f>IFERROR(__xludf.DUMMYFUNCTION("""COMPUTED_VALUE"""),"Yesper")</f>
        <v>Yesper</v>
      </c>
      <c r="D67" s="30" t="str">
        <f>IFERROR(__xludf.DUMMYFUNCTION("""COMPUTED_VALUE"""),"Spectres")</f>
        <v>Spectres</v>
      </c>
      <c r="E67" s="30">
        <f>IFERROR(__xludf.DUMMYFUNCTION("""COMPUTED_VALUE"""),27.0)</f>
        <v>27</v>
      </c>
      <c r="F67" s="30">
        <f>IFERROR(__xludf.DUMMYFUNCTION("""COMPUTED_VALUE"""),10.0)</f>
        <v>10</v>
      </c>
      <c r="G67" s="30">
        <f>IFERROR(__xludf.DUMMYFUNCTION("""COMPUTED_VALUE"""),17.0)</f>
        <v>17</v>
      </c>
      <c r="H67" s="42">
        <f>IFERROR(__xludf.DUMMYFUNCTION("""COMPUTED_VALUE"""),0.37037037037037035)</f>
        <v>0.3703703704</v>
      </c>
      <c r="I67" s="42">
        <f>IFERROR(__xludf.DUMMYFUNCTION("""COMPUTED_VALUE"""),0.26595744680851063)</f>
        <v>0.2659574468</v>
      </c>
      <c r="J67" s="30">
        <f>IFERROR(__xludf.DUMMYFUNCTION("""COMPUTED_VALUE"""),382.5925925925926)</f>
        <v>382.5925926</v>
      </c>
      <c r="K67" s="30">
        <f>IFERROR(__xludf.DUMMYFUNCTION("""COMPUTED_VALUE"""),0.9259259259259259)</f>
        <v>0.9259259259</v>
      </c>
      <c r="L67" s="30">
        <f>IFERROR(__xludf.DUMMYFUNCTION("""COMPUTED_VALUE"""),0.5185185185185185)</f>
        <v>0.5185185185</v>
      </c>
      <c r="M67" s="30">
        <f>IFERROR(__xludf.DUMMYFUNCTION("""COMPUTED_VALUE"""),1.4074074074074074)</f>
        <v>1.407407407</v>
      </c>
      <c r="N67" s="30">
        <f>IFERROR(__xludf.DUMMYFUNCTION("""COMPUTED_VALUE"""),3.4814814814814814)</f>
        <v>3.481481481</v>
      </c>
      <c r="O67" s="30">
        <f>IFERROR(__xludf.DUMMYFUNCTION("""COMPUTED_VALUE"""),429.283950617284)</f>
        <v>429.2839506</v>
      </c>
      <c r="P67" s="30">
        <f>IFERROR(__xludf.DUMMYFUNCTION("""COMPUTED_VALUE"""),1.074074074074074)</f>
        <v>1.074074074</v>
      </c>
      <c r="Q67" s="30">
        <f>IFERROR(__xludf.DUMMYFUNCTION("""COMPUTED_VALUE"""),0.8888888888888888)</f>
        <v>0.8888888889</v>
      </c>
      <c r="R67" s="30">
        <f>IFERROR(__xludf.DUMMYFUNCTION("""COMPUTED_VALUE"""),1.6790123456790127)</f>
        <v>1.679012346</v>
      </c>
      <c r="S67" s="30">
        <f>IFERROR(__xludf.DUMMYFUNCTION("""COMPUTED_VALUE"""),3.1358024691358026)</f>
        <v>3.135802469</v>
      </c>
      <c r="T67" s="30">
        <f>IFERROR(__xludf.DUMMYFUNCTION("""COMPUTED_VALUE"""),390.8037028496999)</f>
        <v>390.8037028</v>
      </c>
      <c r="U67" s="30">
        <f>IFERROR(__xludf.DUMMYFUNCTION("""COMPUTED_VALUE"""),0.9141544256543134)</f>
        <v>0.9141544257</v>
      </c>
      <c r="V67" s="30">
        <f>IFERROR(__xludf.DUMMYFUNCTION("""COMPUTED_VALUE"""),0.6980586018136414)</f>
        <v>0.6980586018</v>
      </c>
      <c r="W67" s="30">
        <f>IFERROR(__xludf.DUMMYFUNCTION("""COMPUTED_VALUE"""),1.4726789612861284)</f>
        <v>1.472678961</v>
      </c>
      <c r="X67" s="30">
        <f>IFERROR(__xludf.DUMMYFUNCTION("""COMPUTED_VALUE"""),2.8091057343079484)</f>
        <v>2.809105734</v>
      </c>
      <c r="Y67" s="30">
        <f>IFERROR(__xludf.DUMMYFUNCTION("""COMPUTED_VALUE"""),373.73843680559133)</f>
        <v>373.7384368</v>
      </c>
      <c r="Z67" s="30">
        <f>IFERROR(__xludf.DUMMYFUNCTION("""COMPUTED_VALUE"""),0.8143624718429181)</f>
        <v>0.8143624718</v>
      </c>
      <c r="AA67" s="30">
        <f>IFERROR(__xludf.DUMMYFUNCTION("""COMPUTED_VALUE"""),0.6335500505514444)</f>
        <v>0.6335500506</v>
      </c>
      <c r="AB67" s="30">
        <f>IFERROR(__xludf.DUMMYFUNCTION("""COMPUTED_VALUE"""),1.4493927027145166)</f>
        <v>1.449392703</v>
      </c>
      <c r="AC67" s="30">
        <f>IFERROR(__xludf.DUMMYFUNCTION("""COMPUTED_VALUE"""),2.756993863189658)</f>
        <v>2.756993863</v>
      </c>
      <c r="AD67" s="30">
        <f>IFERROR(__xludf.DUMMYFUNCTION("""COMPUTED_VALUE"""),1.0236907818812517)</f>
        <v>1.023690782</v>
      </c>
      <c r="AE67" s="30">
        <f>IFERROR(__xludf.DUMMYFUNCTION("""COMPUTED_VALUE"""),1.1369948369925957)</f>
        <v>1.136994837</v>
      </c>
      <c r="AF67" s="30">
        <f>IFERROR(__xludf.DUMMYFUNCTION("""COMPUTED_VALUE"""),0.8184333945947885)</f>
        <v>0.8184333946</v>
      </c>
      <c r="AG67" s="30">
        <f>IFERROR(__xludf.DUMMYFUNCTION("""COMPUTED_VALUE"""),0.9710324915887348)</f>
        <v>0.9710324916</v>
      </c>
      <c r="AH67" s="30">
        <f>IFERROR(__xludf.DUMMYFUNCTION("""COMPUTED_VALUE"""),1.262781730480038)</f>
        <v>1.26278173</v>
      </c>
      <c r="AI67" s="30">
        <f>IFERROR(__xludf.DUMMYFUNCTION("""COMPUTED_VALUE"""),1.0984643888657915)</f>
        <v>1.098464389</v>
      </c>
      <c r="AJ67" s="30">
        <f>IFERROR(__xludf.DUMMYFUNCTION("""COMPUTED_VALUE"""),1.174937235910986)</f>
        <v>1.174937236</v>
      </c>
      <c r="AK67" s="30">
        <f>IFERROR(__xludf.DUMMYFUNCTION("""COMPUTED_VALUE"""),1.2733728752563853)</f>
        <v>1.273372875</v>
      </c>
      <c r="AL67" s="30">
        <f>IFERROR(__xludf.DUMMYFUNCTION("""COMPUTED_VALUE"""),1.14010751142441)</f>
        <v>1.140107511</v>
      </c>
      <c r="AM67" s="30">
        <f>IFERROR(__xludf.DUMMYFUNCTION("""COMPUTED_VALUE"""),1.1162991947358434)</f>
        <v>1.116299195</v>
      </c>
      <c r="AN67" s="30">
        <f>IFERROR(__xludf.DUMMYFUNCTION("""COMPUTED_VALUE"""),1.0373435706865914)</f>
        <v>1.037343571</v>
      </c>
      <c r="AO67" s="30">
        <f>IFERROR(__xludf.DUMMYFUNCTION("""COMPUTED_VALUE"""),1.2065706391766593)</f>
        <v>1.206570639</v>
      </c>
      <c r="AP67" s="30">
        <f>IFERROR(__xludf.DUMMYFUNCTION("""COMPUTED_VALUE"""),0.813979363333693)</f>
        <v>0.8139793633</v>
      </c>
      <c r="AQ67" s="30">
        <f>IFERROR(__xludf.DUMMYFUNCTION("""COMPUTED_VALUE"""),0.9615324554254099)</f>
        <v>0.9615324554</v>
      </c>
      <c r="AR67" s="30">
        <f>IFERROR(__xludf.DUMMYFUNCTION("""COMPUTED_VALUE"""),1.290477552596982)</f>
        <v>1.290477553</v>
      </c>
      <c r="AS67" s="30">
        <f>IFERROR(__xludf.DUMMYFUNCTION("""COMPUTED_VALUE"""),75.0)</f>
        <v>75</v>
      </c>
      <c r="AT67" s="30">
        <f>IFERROR(__xludf.DUMMYFUNCTION("""COMPUTED_VALUE"""),0.43826376552050667)</f>
        <v>0.4382637655</v>
      </c>
      <c r="AU67" s="30">
        <f>IFERROR(__xludf.DUMMYFUNCTION("""COMPUTED_VALUE"""),3.258844572801209)</f>
        <v>3.258844573</v>
      </c>
      <c r="AV67" s="32">
        <f>IFERROR(__xludf.DUMMYFUNCTION("""COMPUTED_VALUE"""),55.63814973665381)</f>
        <v>55.63814974</v>
      </c>
      <c r="AW67" s="32">
        <f>IFERROR(__xludf.DUMMYFUNCTION("""COMPUTED_VALUE"""),2.434363150593817)</f>
        <v>2.434363151</v>
      </c>
      <c r="AX67" s="32">
        <f>IFERROR(__xludf.DUMMYFUNCTION("""COMPUTED_VALUE"""),35.650173318459835)</f>
        <v>35.65017332</v>
      </c>
      <c r="AY67" s="32">
        <f>IFERROR(__xludf.DUMMYFUNCTION("""COMPUTED_VALUE"""),-3.5337406427824587)</f>
        <v>-3.533740643</v>
      </c>
      <c r="AZ67" s="30">
        <f>IFERROR(__xludf.DUMMYFUNCTION("""COMPUTED_VALUE"""),5.968103793376276)</f>
        <v>5.968103793</v>
      </c>
      <c r="BA67" s="30">
        <f>IFERROR(__xludf.DUMMYFUNCTION("""COMPUTED_VALUE"""),450.0)</f>
        <v>450</v>
      </c>
    </row>
    <row r="68">
      <c r="A68" s="30" t="str">
        <f>IFERROR(__xludf.DUMMYFUNCTION("""COMPUTED_VALUE"""),"Master")</f>
        <v>Master</v>
      </c>
      <c r="B68" s="30" t="str">
        <f>IFERROR(__xludf.DUMMYFUNCTION("""COMPUTED_VALUE"""),"RSC007893")</f>
        <v>RSC007893</v>
      </c>
      <c r="C68" s="30" t="str">
        <f>IFERROR(__xludf.DUMMYFUNCTION("""COMPUTED_VALUE"""),"solar722")</f>
        <v>solar722</v>
      </c>
      <c r="D68" s="30" t="str">
        <f>IFERROR(__xludf.DUMMYFUNCTION("""COMPUTED_VALUE"""),"Fromunda Frauds")</f>
        <v>Fromunda Frauds</v>
      </c>
      <c r="E68" s="30">
        <f>IFERROR(__xludf.DUMMYFUNCTION("""COMPUTED_VALUE"""),20.0)</f>
        <v>20</v>
      </c>
      <c r="F68" s="30">
        <f>IFERROR(__xludf.DUMMYFUNCTION("""COMPUTED_VALUE"""),10.0)</f>
        <v>10</v>
      </c>
      <c r="G68" s="30">
        <f>IFERROR(__xludf.DUMMYFUNCTION("""COMPUTED_VALUE"""),10.0)</f>
        <v>10</v>
      </c>
      <c r="H68" s="42">
        <f>IFERROR(__xludf.DUMMYFUNCTION("""COMPUTED_VALUE"""),0.5)</f>
        <v>0.5</v>
      </c>
      <c r="I68" s="42">
        <f>IFERROR(__xludf.DUMMYFUNCTION("""COMPUTED_VALUE"""),0.3333333333333333)</f>
        <v>0.3333333333</v>
      </c>
      <c r="J68" s="30">
        <f>IFERROR(__xludf.DUMMYFUNCTION("""COMPUTED_VALUE"""),473.1)</f>
        <v>473.1</v>
      </c>
      <c r="K68" s="30">
        <f>IFERROR(__xludf.DUMMYFUNCTION("""COMPUTED_VALUE"""),1.2)</f>
        <v>1.2</v>
      </c>
      <c r="L68" s="30">
        <f>IFERROR(__xludf.DUMMYFUNCTION("""COMPUTED_VALUE"""),0.85)</f>
        <v>0.85</v>
      </c>
      <c r="M68" s="30">
        <f>IFERROR(__xludf.DUMMYFUNCTION("""COMPUTED_VALUE"""),1.65)</f>
        <v>1.65</v>
      </c>
      <c r="N68" s="30">
        <f>IFERROR(__xludf.DUMMYFUNCTION("""COMPUTED_VALUE"""),3.6)</f>
        <v>3.6</v>
      </c>
      <c r="O68" s="30">
        <f>IFERROR(__xludf.DUMMYFUNCTION("""COMPUTED_VALUE"""),405.0333333333333)</f>
        <v>405.0333333</v>
      </c>
      <c r="P68" s="30">
        <f>IFERROR(__xludf.DUMMYFUNCTION("""COMPUTED_VALUE"""),0.9333333333333332)</f>
        <v>0.9333333333</v>
      </c>
      <c r="Q68" s="30">
        <f>IFERROR(__xludf.DUMMYFUNCTION("""COMPUTED_VALUE"""),0.7000000000000001)</f>
        <v>0.7</v>
      </c>
      <c r="R68" s="30">
        <f>IFERROR(__xludf.DUMMYFUNCTION("""COMPUTED_VALUE"""),1.55)</f>
        <v>1.55</v>
      </c>
      <c r="S68" s="30">
        <f>IFERROR(__xludf.DUMMYFUNCTION("""COMPUTED_VALUE"""),2.8166666666666673)</f>
        <v>2.816666667</v>
      </c>
      <c r="T68" s="30">
        <f>IFERROR(__xludf.DUMMYFUNCTION("""COMPUTED_VALUE"""),392.1937994855386)</f>
        <v>392.1937995</v>
      </c>
      <c r="U68" s="30">
        <f>IFERROR(__xludf.DUMMYFUNCTION("""COMPUTED_VALUE"""),0.895808847620442)</f>
        <v>0.8958088476</v>
      </c>
      <c r="V68" s="30">
        <f>IFERROR(__xludf.DUMMYFUNCTION("""COMPUTED_VALUE"""),0.6928405866811665)</f>
        <v>0.6928405867</v>
      </c>
      <c r="W68" s="30">
        <f>IFERROR(__xludf.DUMMYFUNCTION("""COMPUTED_VALUE"""),1.5136694411332092)</f>
        <v>1.513669441</v>
      </c>
      <c r="X68" s="30">
        <f>IFERROR(__xludf.DUMMYFUNCTION("""COMPUTED_VALUE"""),2.9186744951237698)</f>
        <v>2.918674495</v>
      </c>
      <c r="Y68" s="30">
        <f>IFERROR(__xludf.DUMMYFUNCTION("""COMPUTED_VALUE"""),393.62477512646603)</f>
        <v>393.6247751</v>
      </c>
      <c r="Z68" s="30">
        <f>IFERROR(__xludf.DUMMYFUNCTION("""COMPUTED_VALUE"""),0.8823614335208537)</f>
        <v>0.8823614335</v>
      </c>
      <c r="AA68" s="30">
        <f>IFERROR(__xludf.DUMMYFUNCTION("""COMPUTED_VALUE"""),0.6993056978805773)</f>
        <v>0.6993056979</v>
      </c>
      <c r="AB68" s="30">
        <f>IFERROR(__xludf.DUMMYFUNCTION("""COMPUTED_VALUE"""),1.542896076012018)</f>
        <v>1.542896076</v>
      </c>
      <c r="AC68" s="30">
        <f>IFERROR(__xludf.DUMMYFUNCTION("""COMPUTED_VALUE"""),2.9050666894386694)</f>
        <v>2.905066689</v>
      </c>
      <c r="AD68" s="30">
        <f>IFERROR(__xludf.DUMMYFUNCTION("""COMPUTED_VALUE"""),1.201906053418512)</f>
        <v>1.201906053</v>
      </c>
      <c r="AE68" s="30">
        <f>IFERROR(__xludf.DUMMYFUNCTION("""COMPUTED_VALUE"""),1.359986910592505)</f>
        <v>1.359986911</v>
      </c>
      <c r="AF68" s="30">
        <f>IFERROR(__xludf.DUMMYFUNCTION("""COMPUTED_VALUE"""),1.21549131170551)</f>
        <v>1.215491312</v>
      </c>
      <c r="AG68" s="30">
        <f>IFERROR(__xludf.DUMMYFUNCTION("""COMPUTED_VALUE"""),1.0694174582806752)</f>
        <v>1.069417458</v>
      </c>
      <c r="AH68" s="30">
        <f>IFERROR(__xludf.DUMMYFUNCTION("""COMPUTED_VALUE"""),1.239214236660298)</f>
        <v>1.239214237</v>
      </c>
      <c r="AI68" s="30">
        <f>IFERROR(__xludf.DUMMYFUNCTION("""COMPUTED_VALUE"""),1.032737727788244)</f>
        <v>1.032737728</v>
      </c>
      <c r="AJ68" s="30">
        <f>IFERROR(__xludf.DUMMYFUNCTION("""COMPUTED_VALUE"""),1.041888942950908)</f>
        <v>1.041888943</v>
      </c>
      <c r="AK68" s="30">
        <f>IFERROR(__xludf.DUMMYFUNCTION("""COMPUTED_VALUE"""),1.0103334207846113)</f>
        <v>1.010333421</v>
      </c>
      <c r="AL68" s="30">
        <f>IFERROR(__xludf.DUMMYFUNCTION("""COMPUTED_VALUE"""),1.0240016465151016)</f>
        <v>1.024001647</v>
      </c>
      <c r="AM68" s="30">
        <f>IFERROR(__xludf.DUMMYFUNCTION("""COMPUTED_VALUE"""),0.9650499469442286)</f>
        <v>0.9650499469</v>
      </c>
      <c r="AN68" s="30">
        <f>IFERROR(__xludf.DUMMYFUNCTION("""COMPUTED_VALUE"""),1.2827411005691494)</f>
        <v>1.282741101</v>
      </c>
      <c r="AO68" s="30">
        <f>IFERROR(__xludf.DUMMYFUNCTION("""COMPUTED_VALUE"""),1.5637155483729503)</f>
        <v>1.563715548</v>
      </c>
      <c r="AP68" s="30">
        <f>IFERROR(__xludf.DUMMYFUNCTION("""COMPUTED_VALUE"""),1.3343447420363042)</f>
        <v>1.334344742</v>
      </c>
      <c r="AQ68" s="30">
        <f>IFERROR(__xludf.DUMMYFUNCTION("""COMPUTED_VALUE"""),1.1272702865579476)</f>
        <v>1.127270287</v>
      </c>
      <c r="AR68" s="30">
        <f>IFERROR(__xludf.DUMMYFUNCTION("""COMPUTED_VALUE"""),1.3344087033236878)</f>
        <v>1.334408703</v>
      </c>
      <c r="AS68" s="30">
        <f>IFERROR(__xludf.DUMMYFUNCTION("""COMPUTED_VALUE"""),55.0)</f>
        <v>55</v>
      </c>
      <c r="AT68" s="30">
        <f>IFERROR(__xludf.DUMMYFUNCTION("""COMPUTED_VALUE"""),0.49263386898667016)</f>
        <v>0.492633869</v>
      </c>
      <c r="AU68" s="30">
        <f>IFERROR(__xludf.DUMMYFUNCTION("""COMPUTED_VALUE"""),4.525389445044587)</f>
        <v>4.525389445</v>
      </c>
      <c r="AV68" s="32">
        <f>IFERROR(__xludf.DUMMYFUNCTION("""COMPUTED_VALUE"""),86.58567394200085)</f>
        <v>86.58567394</v>
      </c>
      <c r="AW68" s="32">
        <f>IFERROR(__xludf.DUMMYFUNCTION("""COMPUTED_VALUE"""),13.95180896048581)</f>
        <v>13.95180896</v>
      </c>
      <c r="AX68" s="32">
        <f>IFERROR(__xludf.DUMMYFUNCTION("""COMPUTED_VALUE"""),78.81870735930397)</f>
        <v>78.81870736</v>
      </c>
      <c r="AY68" s="32">
        <f>IFERROR(__xludf.DUMMYFUNCTION("""COMPUTED_VALUE"""),8.031686203059131)</f>
        <v>8.031686203</v>
      </c>
      <c r="AZ68" s="30">
        <f>IFERROR(__xludf.DUMMYFUNCTION("""COMPUTED_VALUE"""),5.920122757426679)</f>
        <v>5.920122757</v>
      </c>
      <c r="BA68" s="30">
        <f>IFERROR(__xludf.DUMMYFUNCTION("""COMPUTED_VALUE"""),450.0)</f>
        <v>450</v>
      </c>
    </row>
    <row r="69">
      <c r="A69" s="30" t="str">
        <f>IFERROR(__xludf.DUMMYFUNCTION("""COMPUTED_VALUE"""),"Master")</f>
        <v>Master</v>
      </c>
      <c r="B69" s="30" t="str">
        <f>IFERROR(__xludf.DUMMYFUNCTION("""COMPUTED_VALUE"""),"RSC005524")</f>
        <v>RSC005524</v>
      </c>
      <c r="C69" s="30" t="str">
        <f>IFERROR(__xludf.DUMMYFUNCTION("""COMPUTED_VALUE"""),"RaunchyRomanian")</f>
        <v>RaunchyRomanian</v>
      </c>
      <c r="D69" s="30" t="str">
        <f>IFERROR(__xludf.DUMMYFUNCTION("""COMPUTED_VALUE"""),"Heinous Henchmen")</f>
        <v>Heinous Henchmen</v>
      </c>
      <c r="E69" s="30">
        <f>IFERROR(__xludf.DUMMYFUNCTION("""COMPUTED_VALUE"""),4.0)</f>
        <v>4</v>
      </c>
      <c r="F69" s="30">
        <f>IFERROR(__xludf.DUMMYFUNCTION("""COMPUTED_VALUE"""),1.0)</f>
        <v>1</v>
      </c>
      <c r="G69" s="30">
        <f>IFERROR(__xludf.DUMMYFUNCTION("""COMPUTED_VALUE"""),3.0)</f>
        <v>3</v>
      </c>
      <c r="H69" s="42">
        <f>IFERROR(__xludf.DUMMYFUNCTION("""COMPUTED_VALUE"""),0.25)</f>
        <v>0.25</v>
      </c>
      <c r="I69" s="42">
        <f>IFERROR(__xludf.DUMMYFUNCTION("""COMPUTED_VALUE"""),0.14285714285714285)</f>
        <v>0.1428571429</v>
      </c>
      <c r="J69" s="30">
        <f>IFERROR(__xludf.DUMMYFUNCTION("""COMPUTED_VALUE"""),269.5)</f>
        <v>269.5</v>
      </c>
      <c r="K69" s="30">
        <f>IFERROR(__xludf.DUMMYFUNCTION("""COMPUTED_VALUE"""),0.25)</f>
        <v>0.25</v>
      </c>
      <c r="L69" s="30">
        <f>IFERROR(__xludf.DUMMYFUNCTION("""COMPUTED_VALUE"""),0.75)</f>
        <v>0.75</v>
      </c>
      <c r="M69" s="30">
        <f>IFERROR(__xludf.DUMMYFUNCTION("""COMPUTED_VALUE"""),1.0)</f>
        <v>1</v>
      </c>
      <c r="N69" s="30">
        <f>IFERROR(__xludf.DUMMYFUNCTION("""COMPUTED_VALUE"""),1.75)</f>
        <v>1.75</v>
      </c>
      <c r="O69" s="30">
        <f>IFERROR(__xludf.DUMMYFUNCTION("""COMPUTED_VALUE"""),391.0833333333333)</f>
        <v>391.0833333</v>
      </c>
      <c r="P69" s="30">
        <f>IFERROR(__xludf.DUMMYFUNCTION("""COMPUTED_VALUE"""),1.0833333333333333)</f>
        <v>1.083333333</v>
      </c>
      <c r="Q69" s="30">
        <f>IFERROR(__xludf.DUMMYFUNCTION("""COMPUTED_VALUE"""),0.5833333333333334)</f>
        <v>0.5833333333</v>
      </c>
      <c r="R69" s="30">
        <f>IFERROR(__xludf.DUMMYFUNCTION("""COMPUTED_VALUE"""),1.4166666666666667)</f>
        <v>1.416666667</v>
      </c>
      <c r="S69" s="30">
        <f>IFERROR(__xludf.DUMMYFUNCTION("""COMPUTED_VALUE"""),2.9166666666666665)</f>
        <v>2.916666667</v>
      </c>
      <c r="T69" s="30">
        <f>IFERROR(__xludf.DUMMYFUNCTION("""COMPUTED_VALUE"""),397.9583333333333)</f>
        <v>397.9583333</v>
      </c>
      <c r="U69" s="30">
        <f>IFERROR(__xludf.DUMMYFUNCTION("""COMPUTED_VALUE"""),1.0636574074074074)</f>
        <v>1.063657407</v>
      </c>
      <c r="V69" s="30">
        <f>IFERROR(__xludf.DUMMYFUNCTION("""COMPUTED_VALUE"""),0.8032407407407408)</f>
        <v>0.8032407407</v>
      </c>
      <c r="W69" s="30">
        <f>IFERROR(__xludf.DUMMYFUNCTION("""COMPUTED_VALUE"""),1.3449074074074074)</f>
        <v>1.344907407</v>
      </c>
      <c r="X69" s="30">
        <f>IFERROR(__xludf.DUMMYFUNCTION("""COMPUTED_VALUE"""),2.7754629629629632)</f>
        <v>2.775462963</v>
      </c>
      <c r="Y69" s="30">
        <f>IFERROR(__xludf.DUMMYFUNCTION("""COMPUTED_VALUE"""),336.14274691358025)</f>
        <v>336.1427469</v>
      </c>
      <c r="Z69" s="30">
        <f>IFERROR(__xludf.DUMMYFUNCTION("""COMPUTED_VALUE"""),0.6886574074074074)</f>
        <v>0.6886574074</v>
      </c>
      <c r="AA69" s="30">
        <f>IFERROR(__xludf.DUMMYFUNCTION("""COMPUTED_VALUE"""),0.46412037037037046)</f>
        <v>0.4641203704</v>
      </c>
      <c r="AB69" s="30">
        <f>IFERROR(__xludf.DUMMYFUNCTION("""COMPUTED_VALUE"""),1.334104938271605)</f>
        <v>1.334104938</v>
      </c>
      <c r="AC69" s="30">
        <f>IFERROR(__xludf.DUMMYFUNCTION("""COMPUTED_VALUE"""),2.4116512345679015)</f>
        <v>2.411651235</v>
      </c>
      <c r="AD69" s="30">
        <f>IFERROR(__xludf.DUMMYFUNCTION("""COMPUTED_VALUE"""),0.8017427193491888)</f>
        <v>0.8017427193</v>
      </c>
      <c r="AE69" s="30">
        <f>IFERROR(__xludf.DUMMYFUNCTION("""COMPUTED_VALUE"""),0.3630252100840336)</f>
        <v>0.3630252101</v>
      </c>
      <c r="AF69" s="30">
        <f>IFERROR(__xludf.DUMMYFUNCTION("""COMPUTED_VALUE"""),1.6159600997506232)</f>
        <v>1.6159601</v>
      </c>
      <c r="AG69" s="30">
        <f>IFERROR(__xludf.DUMMYFUNCTION("""COMPUTED_VALUE"""),0.7495662232504338)</f>
        <v>0.7495662233</v>
      </c>
      <c r="AH69" s="30">
        <f>IFERROR(__xludf.DUMMYFUNCTION("""COMPUTED_VALUE"""),0.7256438969764837)</f>
        <v>0.725643897</v>
      </c>
      <c r="AI69" s="30">
        <f>IFERROR(__xludf.DUMMYFUNCTION("""COMPUTED_VALUE"""),0.9827243220605172)</f>
        <v>0.9827243221</v>
      </c>
      <c r="AJ69" s="30">
        <f>IFERROR(__xludf.DUMMYFUNCTION("""COMPUTED_VALUE"""),1.018498367791077)</f>
        <v>1.018498368</v>
      </c>
      <c r="AK69" s="30">
        <f>IFERROR(__xludf.DUMMYFUNCTION("""COMPUTED_VALUE"""),0.7262247838616714)</f>
        <v>0.7262247839</v>
      </c>
      <c r="AL69" s="30">
        <f>IFERROR(__xludf.DUMMYFUNCTION("""COMPUTED_VALUE"""),1.0533562822719449)</f>
        <v>1.053356282</v>
      </c>
      <c r="AM69" s="30">
        <f>IFERROR(__xludf.DUMMYFUNCTION("""COMPUTED_VALUE"""),1.0508757297748121)</f>
        <v>1.05087573</v>
      </c>
      <c r="AN69" s="30">
        <f>IFERROR(__xludf.DUMMYFUNCTION("""COMPUTED_VALUE"""),0.7307096313747321)</f>
        <v>0.7307096314</v>
      </c>
      <c r="AO69" s="30">
        <f>IFERROR(__xludf.DUMMYFUNCTION("""COMPUTED_VALUE"""),0.325774072577698)</f>
        <v>0.3257740726</v>
      </c>
      <c r="AP69" s="30">
        <f>IFERROR(__xludf.DUMMYFUNCTION("""COMPUTED_VALUE"""),1.1773630076790917)</f>
        <v>1.177363008</v>
      </c>
      <c r="AQ69" s="30">
        <f>IFERROR(__xludf.DUMMYFUNCTION("""COMPUTED_VALUE"""),0.6831941130654228)</f>
        <v>0.6831941131</v>
      </c>
      <c r="AR69" s="30">
        <f>IFERROR(__xludf.DUMMYFUNCTION("""COMPUTED_VALUE"""),0.648670897449015)</f>
        <v>0.6486708974</v>
      </c>
      <c r="AS69" s="30">
        <f>IFERROR(__xludf.DUMMYFUNCTION("""COMPUTED_VALUE"""),8.0)</f>
        <v>8</v>
      </c>
      <c r="AT69" s="30">
        <f>IFERROR(__xludf.DUMMYFUNCTION("""COMPUTED_VALUE"""),0.31401492300692596)</f>
        <v>0.314014923</v>
      </c>
      <c r="AU69" s="30">
        <f>IFERROR(__xludf.DUMMYFUNCTION("""COMPUTED_VALUE"""),2.2732769606256484)</f>
        <v>2.273276961</v>
      </c>
      <c r="AV69" s="32">
        <f>IFERROR(__xludf.DUMMYFUNCTION("""COMPUTED_VALUE"""),31.556194014244756)</f>
        <v>31.55619401</v>
      </c>
      <c r="AW69" s="32">
        <f>IFERROR(__xludf.DUMMYFUNCTION("""COMPUTED_VALUE"""),-4.341549517707207)</f>
        <v>-4.341549518</v>
      </c>
      <c r="AX69" s="32">
        <f>IFERROR(__xludf.DUMMYFUNCTION("""COMPUTED_VALUE"""),17.686086358528073)</f>
        <v>17.68608636</v>
      </c>
      <c r="AY69" s="32">
        <f>IFERROR(__xludf.DUMMYFUNCTION("""COMPUTED_VALUE"""),-10.195525869094197)</f>
        <v>-10.19552587</v>
      </c>
      <c r="AZ69" s="30">
        <f>IFERROR(__xludf.DUMMYFUNCTION("""COMPUTED_VALUE"""),5.85397635138699)</f>
        <v>5.853976351</v>
      </c>
      <c r="BA69" s="30">
        <f>IFERROR(__xludf.DUMMYFUNCTION("""COMPUTED_VALUE"""),450.0)</f>
        <v>450</v>
      </c>
    </row>
    <row r="70">
      <c r="A70" s="30" t="str">
        <f>IFERROR(__xludf.DUMMYFUNCTION("""COMPUTED_VALUE"""),"Master")</f>
        <v>Master</v>
      </c>
      <c r="B70" s="30" t="str">
        <f>IFERROR(__xludf.DUMMYFUNCTION("""COMPUTED_VALUE"""),"RSC003721")</f>
        <v>RSC003721</v>
      </c>
      <c r="C70" s="30" t="str">
        <f>IFERROR(__xludf.DUMMYFUNCTION("""COMPUTED_VALUE"""),"Kyurmex.")</f>
        <v>Kyurmex.</v>
      </c>
      <c r="D70" s="30" t="str">
        <f>IFERROR(__xludf.DUMMYFUNCTION("""COMPUTED_VALUE"""),"Spectres")</f>
        <v>Spectres</v>
      </c>
      <c r="E70" s="30">
        <f>IFERROR(__xludf.DUMMYFUNCTION("""COMPUTED_VALUE"""),35.0)</f>
        <v>35</v>
      </c>
      <c r="F70" s="30">
        <f>IFERROR(__xludf.DUMMYFUNCTION("""COMPUTED_VALUE"""),13.0)</f>
        <v>13</v>
      </c>
      <c r="G70" s="30">
        <f>IFERROR(__xludf.DUMMYFUNCTION("""COMPUTED_VALUE"""),22.0)</f>
        <v>22</v>
      </c>
      <c r="H70" s="42">
        <f>IFERROR(__xludf.DUMMYFUNCTION("""COMPUTED_VALUE"""),0.37142857142857144)</f>
        <v>0.3714285714</v>
      </c>
      <c r="I70" s="42">
        <f>IFERROR(__xludf.DUMMYFUNCTION("""COMPUTED_VALUE"""),0.27835051546391754)</f>
        <v>0.2783505155</v>
      </c>
      <c r="J70" s="30">
        <f>IFERROR(__xludf.DUMMYFUNCTION("""COMPUTED_VALUE"""),386.6)</f>
        <v>386.6</v>
      </c>
      <c r="K70" s="30">
        <f>IFERROR(__xludf.DUMMYFUNCTION("""COMPUTED_VALUE"""),0.7714285714285715)</f>
        <v>0.7714285714</v>
      </c>
      <c r="L70" s="30">
        <f>IFERROR(__xludf.DUMMYFUNCTION("""COMPUTED_VALUE"""),0.6571428571428571)</f>
        <v>0.6571428571</v>
      </c>
      <c r="M70" s="30">
        <f>IFERROR(__xludf.DUMMYFUNCTION("""COMPUTED_VALUE"""),2.0285714285714285)</f>
        <v>2.028571429</v>
      </c>
      <c r="N70" s="30">
        <f>IFERROR(__xludf.DUMMYFUNCTION("""COMPUTED_VALUE"""),2.7714285714285714)</f>
        <v>2.771428571</v>
      </c>
      <c r="O70" s="30">
        <f>IFERROR(__xludf.DUMMYFUNCTION("""COMPUTED_VALUE"""),427.57142857142867)</f>
        <v>427.5714286</v>
      </c>
      <c r="P70" s="30">
        <f>IFERROR(__xludf.DUMMYFUNCTION("""COMPUTED_VALUE"""),1.0571428571428574)</f>
        <v>1.057142857</v>
      </c>
      <c r="Q70" s="30">
        <f>IFERROR(__xludf.DUMMYFUNCTION("""COMPUTED_VALUE"""),0.8571428571428571)</f>
        <v>0.8571428571</v>
      </c>
      <c r="R70" s="30">
        <f>IFERROR(__xludf.DUMMYFUNCTION("""COMPUTED_VALUE"""),1.6571428571428575)</f>
        <v>1.657142857</v>
      </c>
      <c r="S70" s="30">
        <f>IFERROR(__xludf.DUMMYFUNCTION("""COMPUTED_VALUE"""),3.2571428571428576)</f>
        <v>3.257142857</v>
      </c>
      <c r="T70" s="30">
        <f>IFERROR(__xludf.DUMMYFUNCTION("""COMPUTED_VALUE"""),394.87395018752886)</f>
        <v>394.8739502</v>
      </c>
      <c r="U70" s="30">
        <f>IFERROR(__xludf.DUMMYFUNCTION("""COMPUTED_VALUE"""),0.9259620748334165)</f>
        <v>0.9259620748</v>
      </c>
      <c r="V70" s="30">
        <f>IFERROR(__xludf.DUMMYFUNCTION("""COMPUTED_VALUE"""),0.6886542086938106)</f>
        <v>0.6886542087</v>
      </c>
      <c r="W70" s="30">
        <f>IFERROR(__xludf.DUMMYFUNCTION("""COMPUTED_VALUE"""),1.5028327007106104)</f>
        <v>1.502832701</v>
      </c>
      <c r="X70" s="30">
        <f>IFERROR(__xludf.DUMMYFUNCTION("""COMPUTED_VALUE"""),2.8643605971356396)</f>
        <v>2.864360597</v>
      </c>
      <c r="Y70" s="30">
        <f>IFERROR(__xludf.DUMMYFUNCTION("""COMPUTED_VALUE"""),377.27018554230796)</f>
        <v>377.2701855</v>
      </c>
      <c r="Z70" s="30">
        <f>IFERROR(__xludf.DUMMYFUNCTION("""COMPUTED_VALUE"""),0.8195901229798007)</f>
        <v>0.819590123</v>
      </c>
      <c r="AA70" s="30">
        <f>IFERROR(__xludf.DUMMYFUNCTION("""COMPUTED_VALUE"""),0.642840475638376)</f>
        <v>0.6428404756</v>
      </c>
      <c r="AB70" s="30">
        <f>IFERROR(__xludf.DUMMYFUNCTION("""COMPUTED_VALUE"""),1.4712596031872243)</f>
        <v>1.471259603</v>
      </c>
      <c r="AC70" s="30">
        <f>IFERROR(__xludf.DUMMYFUNCTION("""COMPUTED_VALUE"""),2.7770189097350317)</f>
        <v>2.77701891</v>
      </c>
      <c r="AD70" s="30">
        <f>IFERROR(__xludf.DUMMYFUNCTION("""COMPUTED_VALUE"""),1.0247297952905579)</f>
        <v>1.024729795</v>
      </c>
      <c r="AE70" s="30">
        <f>IFERROR(__xludf.DUMMYFUNCTION("""COMPUTED_VALUE"""),0.9412370278742168)</f>
        <v>0.9412370279</v>
      </c>
      <c r="AF70" s="30">
        <f>IFERROR(__xludf.DUMMYFUNCTION("""COMPUTED_VALUE"""),1.0222487258448967)</f>
        <v>1.022248726</v>
      </c>
      <c r="AG70" s="30">
        <f>IFERROR(__xludf.DUMMYFUNCTION("""COMPUTED_VALUE"""),1.378799108041087)</f>
        <v>1.378799108</v>
      </c>
      <c r="AH70" s="30">
        <f>IFERROR(__xludf.DUMMYFUNCTION("""COMPUTED_VALUE"""),0.9979869282535805)</f>
        <v>0.9979869283</v>
      </c>
      <c r="AI70" s="30">
        <f>IFERROR(__xludf.DUMMYFUNCTION("""COMPUTED_VALUE"""),1.082804850429793)</f>
        <v>1.08280485</v>
      </c>
      <c r="AJ70" s="30">
        <f>IFERROR(__xludf.DUMMYFUNCTION("""COMPUTED_VALUE"""),1.14166971399238)</f>
        <v>1.141669714</v>
      </c>
      <c r="AK70" s="30">
        <f>IFERROR(__xludf.DUMMYFUNCTION("""COMPUTED_VALUE"""),1.2446636444270391)</f>
        <v>1.244663644</v>
      </c>
      <c r="AL70" s="30">
        <f>IFERROR(__xludf.DUMMYFUNCTION("""COMPUTED_VALUE"""),1.1026795307017754)</f>
        <v>1.102679531</v>
      </c>
      <c r="AM70" s="30">
        <f>IFERROR(__xludf.DUMMYFUNCTION("""COMPUTED_VALUE"""),1.137127378584945)</f>
        <v>1.137127379</v>
      </c>
      <c r="AN70" s="30">
        <f>IFERROR(__xludf.DUMMYFUNCTION("""COMPUTED_VALUE"""),1.0482090667512856)</f>
        <v>1.048209067</v>
      </c>
      <c r="AO70" s="30">
        <f>IFERROR(__xludf.DUMMYFUNCTION("""COMPUTED_VALUE"""),1.0052457096683254)</f>
        <v>1.00524571</v>
      </c>
      <c r="AP70" s="30">
        <f>IFERROR(__xludf.DUMMYFUNCTION("""COMPUTED_VALUE"""),1.0315942543473948)</f>
        <v>1.031594254</v>
      </c>
      <c r="AQ70" s="30">
        <f>IFERROR(__xludf.DUMMYFUNCTION("""COMPUTED_VALUE"""),1.3859080579327148)</f>
        <v>1.385908058</v>
      </c>
      <c r="AR70" s="30">
        <f>IFERROR(__xludf.DUMMYFUNCTION("""COMPUTED_VALUE"""),1.0272828906539502)</f>
        <v>1.027282891</v>
      </c>
      <c r="AS70" s="30">
        <f>IFERROR(__xludf.DUMMYFUNCTION("""COMPUTED_VALUE"""),89.0)</f>
        <v>89</v>
      </c>
      <c r="AT70" s="30">
        <f>IFERROR(__xludf.DUMMYFUNCTION("""COMPUTED_VALUE"""),0.40992463736225526)</f>
        <v>0.4099246374</v>
      </c>
      <c r="AU70" s="30">
        <f>IFERROR(__xludf.DUMMYFUNCTION("""COMPUTED_VALUE"""),3.0513874051107055)</f>
        <v>3.051387405</v>
      </c>
      <c r="AV70" s="32">
        <f>IFERROR(__xludf.DUMMYFUNCTION("""COMPUTED_VALUE"""),50.56901570170832)</f>
        <v>50.5690157</v>
      </c>
      <c r="AW70" s="32">
        <f>IFERROR(__xludf.DUMMYFUNCTION("""COMPUTED_VALUE"""),2.0369892516359935)</f>
        <v>2.036989252</v>
      </c>
      <c r="AX70" s="32">
        <f>IFERROR(__xludf.DUMMYFUNCTION("""COMPUTED_VALUE"""),35.18710040697958)</f>
        <v>35.18710041</v>
      </c>
      <c r="AY70" s="32">
        <f>IFERROR(__xludf.DUMMYFUNCTION("""COMPUTED_VALUE"""),-3.613336038188331)</f>
        <v>-3.613336038</v>
      </c>
      <c r="AZ70" s="30">
        <f>IFERROR(__xludf.DUMMYFUNCTION("""COMPUTED_VALUE"""),5.650325289824325)</f>
        <v>5.65032529</v>
      </c>
      <c r="BA70" s="30">
        <f>IFERROR(__xludf.DUMMYFUNCTION("""COMPUTED_VALUE"""),450.0)</f>
        <v>450</v>
      </c>
    </row>
    <row r="71">
      <c r="A71" s="30" t="str">
        <f>IFERROR(__xludf.DUMMYFUNCTION("""COMPUTED_VALUE"""),"Master")</f>
        <v>Master</v>
      </c>
      <c r="B71" s="30" t="str">
        <f>IFERROR(__xludf.DUMMYFUNCTION("""COMPUTED_VALUE"""),"RSC002862")</f>
        <v>RSC002862</v>
      </c>
      <c r="C71" s="30" t="str">
        <f>IFERROR(__xludf.DUMMYFUNCTION("""COMPUTED_VALUE"""),"Doodle!")</f>
        <v>Doodle!</v>
      </c>
      <c r="D71" s="30" t="str">
        <f>IFERROR(__xludf.DUMMYFUNCTION("""COMPUTED_VALUE"""),"The OG")</f>
        <v>The OG</v>
      </c>
      <c r="E71" s="30">
        <f>IFERROR(__xludf.DUMMYFUNCTION("""COMPUTED_VALUE"""),29.0)</f>
        <v>29</v>
      </c>
      <c r="F71" s="30">
        <f>IFERROR(__xludf.DUMMYFUNCTION("""COMPUTED_VALUE"""),10.0)</f>
        <v>10</v>
      </c>
      <c r="G71" s="30">
        <f>IFERROR(__xludf.DUMMYFUNCTION("""COMPUTED_VALUE"""),19.0)</f>
        <v>19</v>
      </c>
      <c r="H71" s="42">
        <f>IFERROR(__xludf.DUMMYFUNCTION("""COMPUTED_VALUE"""),0.3448275862068966)</f>
        <v>0.3448275862</v>
      </c>
      <c r="I71" s="42">
        <f>IFERROR(__xludf.DUMMYFUNCTION("""COMPUTED_VALUE"""),0.3068181818181818)</f>
        <v>0.3068181818</v>
      </c>
      <c r="J71" s="30">
        <f>IFERROR(__xludf.DUMMYFUNCTION("""COMPUTED_VALUE"""),386.0689655172414)</f>
        <v>386.0689655</v>
      </c>
      <c r="K71" s="30">
        <f>IFERROR(__xludf.DUMMYFUNCTION("""COMPUTED_VALUE"""),0.9310344827586207)</f>
        <v>0.9310344828</v>
      </c>
      <c r="L71" s="30">
        <f>IFERROR(__xludf.DUMMYFUNCTION("""COMPUTED_VALUE"""),0.5517241379310345)</f>
        <v>0.5517241379</v>
      </c>
      <c r="M71" s="30">
        <f>IFERROR(__xludf.DUMMYFUNCTION("""COMPUTED_VALUE"""),1.4827586206896552)</f>
        <v>1.482758621</v>
      </c>
      <c r="N71" s="30">
        <f>IFERROR(__xludf.DUMMYFUNCTION("""COMPUTED_VALUE"""),3.0344827586206895)</f>
        <v>3.034482759</v>
      </c>
      <c r="O71" s="30">
        <f>IFERROR(__xludf.DUMMYFUNCTION("""COMPUTED_VALUE"""),419.7011494252874)</f>
        <v>419.7011494</v>
      </c>
      <c r="P71" s="30">
        <f>IFERROR(__xludf.DUMMYFUNCTION("""COMPUTED_VALUE"""),0.9770114942528736)</f>
        <v>0.9770114943</v>
      </c>
      <c r="Q71" s="30">
        <f>IFERROR(__xludf.DUMMYFUNCTION("""COMPUTED_VALUE"""),0.7816091954022987)</f>
        <v>0.7816091954</v>
      </c>
      <c r="R71" s="30">
        <f>IFERROR(__xludf.DUMMYFUNCTION("""COMPUTED_VALUE"""),1.67816091954023)</f>
        <v>1.67816092</v>
      </c>
      <c r="S71" s="30">
        <f>IFERROR(__xludf.DUMMYFUNCTION("""COMPUTED_VALUE"""),3.080459770114943)</f>
        <v>3.08045977</v>
      </c>
      <c r="T71" s="30">
        <f>IFERROR(__xludf.DUMMYFUNCTION("""COMPUTED_VALUE"""),391.02919996369144)</f>
        <v>391.0292</v>
      </c>
      <c r="U71" s="30">
        <f>IFERROR(__xludf.DUMMYFUNCTION("""COMPUTED_VALUE"""),0.8953857592534707)</f>
        <v>0.8953857593</v>
      </c>
      <c r="V71" s="30">
        <f>IFERROR(__xludf.DUMMYFUNCTION("""COMPUTED_VALUE"""),0.6376701699018732)</f>
        <v>0.6376701699</v>
      </c>
      <c r="W71" s="30">
        <f>IFERROR(__xludf.DUMMYFUNCTION("""COMPUTED_VALUE"""),1.5034306741453933)</f>
        <v>1.503430674</v>
      </c>
      <c r="X71" s="30">
        <f>IFERROR(__xludf.DUMMYFUNCTION("""COMPUTED_VALUE"""),2.876243639362942)</f>
        <v>2.876243639</v>
      </c>
      <c r="Y71" s="30">
        <f>IFERROR(__xludf.DUMMYFUNCTION("""COMPUTED_VALUE"""),376.97346741740796)</f>
        <v>376.9734674</v>
      </c>
      <c r="Z71" s="30">
        <f>IFERROR(__xludf.DUMMYFUNCTION("""COMPUTED_VALUE"""),0.8306888634197007)</f>
        <v>0.8306888634</v>
      </c>
      <c r="AA71" s="30">
        <f>IFERROR(__xludf.DUMMYFUNCTION("""COMPUTED_VALUE"""),0.63853837429063)</f>
        <v>0.6385383743</v>
      </c>
      <c r="AB71" s="30">
        <f>IFERROR(__xludf.DUMMYFUNCTION("""COMPUTED_VALUE"""),1.476003812142513)</f>
        <v>1.476003812</v>
      </c>
      <c r="AC71" s="30">
        <f>IFERROR(__xludf.DUMMYFUNCTION("""COMPUTED_VALUE"""),2.76920210811237)</f>
        <v>2.769202108</v>
      </c>
      <c r="AD71" s="30">
        <f>IFERROR(__xludf.DUMMYFUNCTION("""COMPUTED_VALUE"""),1.0241276877180387)</f>
        <v>1.024127688</v>
      </c>
      <c r="AE71" s="30">
        <f>IFERROR(__xludf.DUMMYFUNCTION("""COMPUTED_VALUE"""),1.1207980794708463)</f>
        <v>1.120798079</v>
      </c>
      <c r="AF71" s="30">
        <f>IFERROR(__xludf.DUMMYFUNCTION("""COMPUTED_VALUE"""),0.8640422567303965)</f>
        <v>0.8640422567</v>
      </c>
      <c r="AG71" s="30">
        <f>IFERROR(__xludf.DUMMYFUNCTION("""COMPUTED_VALUE"""),1.0045764167352231)</f>
        <v>1.004576417</v>
      </c>
      <c r="AH71" s="30">
        <f>IFERROR(__xludf.DUMMYFUNCTION("""COMPUTED_VALUE"""),1.0957967819434993)</f>
        <v>1.095796782</v>
      </c>
      <c r="AI71" s="30">
        <f>IFERROR(__xludf.DUMMYFUNCTION("""COMPUTED_VALUE"""),1.0733243181436534)</f>
        <v>1.073324318</v>
      </c>
      <c r="AJ71" s="30">
        <f>IFERROR(__xludf.DUMMYFUNCTION("""COMPUTED_VALUE"""),1.0911626459945694)</f>
        <v>1.091162646</v>
      </c>
      <c r="AK71" s="30">
        <f>IFERROR(__xludf.DUMMYFUNCTION("""COMPUTED_VALUE"""),1.2257264527876148)</f>
        <v>1.225726453</v>
      </c>
      <c r="AL71" s="30">
        <f>IFERROR(__xludf.DUMMYFUNCTION("""COMPUTED_VALUE"""),1.116221019299184)</f>
        <v>1.116221019</v>
      </c>
      <c r="AM71" s="30">
        <f>IFERROR(__xludf.DUMMYFUNCTION("""COMPUTED_VALUE"""),1.0710009847417632)</f>
        <v>1.071000985</v>
      </c>
      <c r="AN71" s="30">
        <f>IFERROR(__xludf.DUMMYFUNCTION("""COMPUTED_VALUE"""),1.046769244817542)</f>
        <v>1.046769245</v>
      </c>
      <c r="AO71" s="30">
        <f>IFERROR(__xludf.DUMMYFUNCTION("""COMPUTED_VALUE"""),1.2132275806341857)</f>
        <v>1.213227581</v>
      </c>
      <c r="AP71" s="30">
        <f>IFERROR(__xludf.DUMMYFUNCTION("""COMPUTED_VALUE"""),0.8661061205915158)</f>
        <v>0.8661061206</v>
      </c>
      <c r="AQ71" s="30">
        <f>IFERROR(__xludf.DUMMYFUNCTION("""COMPUTED_VALUE"""),1.0130119607521788)</f>
        <v>1.013011961</v>
      </c>
      <c r="AR71" s="30">
        <f>IFERROR(__xludf.DUMMYFUNCTION("""COMPUTED_VALUE"""),1.1247889453303115)</f>
        <v>1.124788945</v>
      </c>
      <c r="AS71" s="30">
        <f>IFERROR(__xludf.DUMMYFUNCTION("""COMPUTED_VALUE"""),76.0)</f>
        <v>76</v>
      </c>
      <c r="AT71" s="30">
        <f>IFERROR(__xludf.DUMMYFUNCTION("""COMPUTED_VALUE"""),0.45436687322524033)</f>
        <v>0.4543668732</v>
      </c>
      <c r="AU71" s="30">
        <f>IFERROR(__xludf.DUMMYFUNCTION("""COMPUTED_VALUE"""),3.2334574517308563)</f>
        <v>3.233457452</v>
      </c>
      <c r="AV71" s="32">
        <f>IFERROR(__xludf.DUMMYFUNCTION("""COMPUTED_VALUE"""),55.01782545044262)</f>
        <v>55.01782545</v>
      </c>
      <c r="AW71" s="32">
        <f>IFERROR(__xludf.DUMMYFUNCTION("""COMPUTED_VALUE"""),2.3783390960574224)</f>
        <v>2.378339096</v>
      </c>
      <c r="AX71" s="32">
        <f>IFERROR(__xludf.DUMMYFUNCTION("""COMPUTED_VALUE"""),37.41019966623908)</f>
        <v>37.41019967</v>
      </c>
      <c r="AY71" s="32">
        <f>IFERROR(__xludf.DUMMYFUNCTION("""COMPUTED_VALUE"""),-3.2544238281516775)</f>
        <v>-3.254423828</v>
      </c>
      <c r="AZ71" s="30">
        <f>IFERROR(__xludf.DUMMYFUNCTION("""COMPUTED_VALUE"""),5.6327629242091)</f>
        <v>5.632762924</v>
      </c>
      <c r="BA71" s="30">
        <f>IFERROR(__xludf.DUMMYFUNCTION("""COMPUTED_VALUE"""),450.0)</f>
        <v>450</v>
      </c>
    </row>
    <row r="72">
      <c r="A72" s="30" t="str">
        <f>IFERROR(__xludf.DUMMYFUNCTION("""COMPUTED_VALUE"""),"Master")</f>
        <v>Master</v>
      </c>
      <c r="B72" s="30" t="str">
        <f>IFERROR(__xludf.DUMMYFUNCTION("""COMPUTED_VALUE"""),"RSC006087")</f>
        <v>RSC006087</v>
      </c>
      <c r="C72" s="30" t="str">
        <f>IFERROR(__xludf.DUMMYFUNCTION("""COMPUTED_VALUE"""),"DoorTK")</f>
        <v>DoorTK</v>
      </c>
      <c r="D72" s="30" t="str">
        <f>IFERROR(__xludf.DUMMYFUNCTION("""COMPUTED_VALUE"""),"Lemurs")</f>
        <v>Lemurs</v>
      </c>
      <c r="E72" s="30">
        <f>IFERROR(__xludf.DUMMYFUNCTION("""COMPUTED_VALUE"""),17.0)</f>
        <v>17</v>
      </c>
      <c r="F72" s="30">
        <f>IFERROR(__xludf.DUMMYFUNCTION("""COMPUTED_VALUE"""),7.0)</f>
        <v>7</v>
      </c>
      <c r="G72" s="30">
        <f>IFERROR(__xludf.DUMMYFUNCTION("""COMPUTED_VALUE"""),10.0)</f>
        <v>10</v>
      </c>
      <c r="H72" s="42">
        <f>IFERROR(__xludf.DUMMYFUNCTION("""COMPUTED_VALUE"""),0.4117647058823529)</f>
        <v>0.4117647059</v>
      </c>
      <c r="I72" s="42">
        <f>IFERROR(__xludf.DUMMYFUNCTION("""COMPUTED_VALUE"""),0.2)</f>
        <v>0.2</v>
      </c>
      <c r="J72" s="30">
        <f>IFERROR(__xludf.DUMMYFUNCTION("""COMPUTED_VALUE"""),291.70588235294116)</f>
        <v>291.7058824</v>
      </c>
      <c r="K72" s="30">
        <f>IFERROR(__xludf.DUMMYFUNCTION("""COMPUTED_VALUE"""),0.4117647058823529)</f>
        <v>0.4117647059</v>
      </c>
      <c r="L72" s="30">
        <f>IFERROR(__xludf.DUMMYFUNCTION("""COMPUTED_VALUE"""),0.5882352941176471)</f>
        <v>0.5882352941</v>
      </c>
      <c r="M72" s="30">
        <f>IFERROR(__xludf.DUMMYFUNCTION("""COMPUTED_VALUE"""),1.3529411764705883)</f>
        <v>1.352941176</v>
      </c>
      <c r="N72" s="30">
        <f>IFERROR(__xludf.DUMMYFUNCTION("""COMPUTED_VALUE"""),2.0588235294117645)</f>
        <v>2.058823529</v>
      </c>
      <c r="O72" s="30">
        <f>IFERROR(__xludf.DUMMYFUNCTION("""COMPUTED_VALUE"""),380.8235294117647)</f>
        <v>380.8235294</v>
      </c>
      <c r="P72" s="30">
        <f>IFERROR(__xludf.DUMMYFUNCTION("""COMPUTED_VALUE"""),0.8431372549019607)</f>
        <v>0.8431372549</v>
      </c>
      <c r="Q72" s="30">
        <f>IFERROR(__xludf.DUMMYFUNCTION("""COMPUTED_VALUE"""),0.6470588235294118)</f>
        <v>0.6470588235</v>
      </c>
      <c r="R72" s="30">
        <f>IFERROR(__xludf.DUMMYFUNCTION("""COMPUTED_VALUE"""),1.5098039215686274)</f>
        <v>1.509803922</v>
      </c>
      <c r="S72" s="30">
        <f>IFERROR(__xludf.DUMMYFUNCTION("""COMPUTED_VALUE"""),2.88235294117647)</f>
        <v>2.882352941</v>
      </c>
      <c r="T72" s="30">
        <f>IFERROR(__xludf.DUMMYFUNCTION("""COMPUTED_VALUE"""),390.74800341396013)</f>
        <v>390.7480034</v>
      </c>
      <c r="U72" s="30">
        <f>IFERROR(__xludf.DUMMYFUNCTION("""COMPUTED_VALUE"""),0.9049427089826011)</f>
        <v>0.904942709</v>
      </c>
      <c r="V72" s="30">
        <f>IFERROR(__xludf.DUMMYFUNCTION("""COMPUTED_VALUE"""),0.681354689434473)</f>
        <v>0.6813546894</v>
      </c>
      <c r="W72" s="30">
        <f>IFERROR(__xludf.DUMMYFUNCTION("""COMPUTED_VALUE"""),1.5174464411955964)</f>
        <v>1.517446441</v>
      </c>
      <c r="X72" s="30">
        <f>IFERROR(__xludf.DUMMYFUNCTION("""COMPUTED_VALUE"""),2.789106437348492)</f>
        <v>2.789106437</v>
      </c>
      <c r="Y72" s="30">
        <f>IFERROR(__xludf.DUMMYFUNCTION("""COMPUTED_VALUE"""),373.3582116826821)</f>
        <v>373.3582117</v>
      </c>
      <c r="Z72" s="30">
        <f>IFERROR(__xludf.DUMMYFUNCTION("""COMPUTED_VALUE"""),0.8001541684886289)</f>
        <v>0.8001541685</v>
      </c>
      <c r="AA72" s="30">
        <f>IFERROR(__xludf.DUMMYFUNCTION("""COMPUTED_VALUE"""),0.609350497247725)</f>
        <v>0.6093504972</v>
      </c>
      <c r="AB72" s="30">
        <f>IFERROR(__xludf.DUMMYFUNCTION("""COMPUTED_VALUE"""),1.468151731989911)</f>
        <v>1.468151732</v>
      </c>
      <c r="AC72" s="30">
        <f>IFERROR(__xludf.DUMMYFUNCTION("""COMPUTED_VALUE"""),2.7483784744208446)</f>
        <v>2.748378474</v>
      </c>
      <c r="AD72" s="30">
        <f>IFERROR(__xludf.DUMMYFUNCTION("""COMPUTED_VALUE"""),0.7813029772085542)</f>
        <v>0.7813029772</v>
      </c>
      <c r="AE72" s="30">
        <f>IFERROR(__xludf.DUMMYFUNCTION("""COMPUTED_VALUE"""),0.5146067121791225)</f>
        <v>0.5146067122</v>
      </c>
      <c r="AF72" s="30">
        <f>IFERROR(__xludf.DUMMYFUNCTION("""COMPUTED_VALUE"""),0.9653480169041467)</f>
        <v>0.9653480169</v>
      </c>
      <c r="AG72" s="30">
        <f>IFERROR(__xludf.DUMMYFUNCTION("""COMPUTED_VALUE"""),0.9215268061134472)</f>
        <v>0.9215268061</v>
      </c>
      <c r="AH72" s="30">
        <f>IFERROR(__xludf.DUMMYFUNCTION("""COMPUTED_VALUE"""),0.7491048080070605)</f>
        <v>0.749104808</v>
      </c>
      <c r="AI72" s="30">
        <f>IFERROR(__xludf.DUMMYFUNCTION("""COMPUTED_VALUE"""),0.9746013443050625)</f>
        <v>0.9746013443</v>
      </c>
      <c r="AJ72" s="30">
        <f>IFERROR(__xludf.DUMMYFUNCTION("""COMPUTED_VALUE"""),0.931702356992161)</f>
        <v>0.931702357</v>
      </c>
      <c r="AK72" s="30">
        <f>IFERROR(__xludf.DUMMYFUNCTION("""COMPUTED_VALUE"""),0.9496651796239535)</f>
        <v>0.9496651796</v>
      </c>
      <c r="AL72" s="30">
        <f>IFERROR(__xludf.DUMMYFUNCTION("""COMPUTED_VALUE"""),0.9949635654877234)</f>
        <v>0.9949635655</v>
      </c>
      <c r="AM72" s="30">
        <f>IFERROR(__xludf.DUMMYFUNCTION("""COMPUTED_VALUE"""),1.0334323934645622)</f>
        <v>1.033432393</v>
      </c>
      <c r="AN72" s="30">
        <f>IFERROR(__xludf.DUMMYFUNCTION("""COMPUTED_VALUE"""),0.7909176169349114)</f>
        <v>0.7909176169</v>
      </c>
      <c r="AO72" s="30">
        <f>IFERROR(__xludf.DUMMYFUNCTION("""COMPUTED_VALUE"""),0.5365690607162085)</f>
        <v>0.5365690607</v>
      </c>
      <c r="AP72" s="30">
        <f>IFERROR(__xludf.DUMMYFUNCTION("""COMPUTED_VALUE"""),0.9234219668071308)</f>
        <v>0.9234219668</v>
      </c>
      <c r="AQ72" s="30">
        <f>IFERROR(__xludf.DUMMYFUNCTION("""COMPUTED_VALUE"""),0.9243214470885133)</f>
        <v>0.9243214471</v>
      </c>
      <c r="AR72" s="30">
        <f>IFERROR(__xludf.DUMMYFUNCTION("""COMPUTED_VALUE"""),0.7631422322929586)</f>
        <v>0.7631422323</v>
      </c>
      <c r="AS72" s="30">
        <f>IFERROR(__xludf.DUMMYFUNCTION("""COMPUTED_VALUE"""),30.0)</f>
        <v>30</v>
      </c>
      <c r="AT72" s="30">
        <f>IFERROR(__xludf.DUMMYFUNCTION("""COMPUTED_VALUE"""),0.3665743704704846)</f>
        <v>0.3665743705</v>
      </c>
      <c r="AU72" s="30">
        <f>IFERROR(__xludf.DUMMYFUNCTION("""COMPUTED_VALUE"""),2.1122224121860613)</f>
        <v>2.112222412</v>
      </c>
      <c r="AV72" s="32">
        <f>IFERROR(__xludf.DUMMYFUNCTION("""COMPUTED_VALUE"""),27.62088967134612)</f>
        <v>27.62088967</v>
      </c>
      <c r="AW72" s="32">
        <f>IFERROR(__xludf.DUMMYFUNCTION("""COMPUTED_VALUE"""),-5.395209842640112)</f>
        <v>-5.395209843</v>
      </c>
      <c r="AX72" s="32">
        <f>IFERROR(__xludf.DUMMYFUNCTION("""COMPUTED_VALUE"""),17.10587418621114)</f>
        <v>17.10587419</v>
      </c>
      <c r="AY72" s="32">
        <f>IFERROR(__xludf.DUMMYFUNCTION("""COMPUTED_VALUE"""),-10.624005246496468)</f>
        <v>-10.62400525</v>
      </c>
      <c r="AZ72" s="30">
        <f>IFERROR(__xludf.DUMMYFUNCTION("""COMPUTED_VALUE"""),5.228795403856356)</f>
        <v>5.228795404</v>
      </c>
      <c r="BA72" s="30">
        <f>IFERROR(__xludf.DUMMYFUNCTION("""COMPUTED_VALUE"""),450.0)</f>
        <v>450</v>
      </c>
    </row>
    <row r="73">
      <c r="A73" s="30" t="str">
        <f>IFERROR(__xludf.DUMMYFUNCTION("""COMPUTED_VALUE"""),"Master")</f>
        <v>Master</v>
      </c>
      <c r="B73" s="30" t="str">
        <f>IFERROR(__xludf.DUMMYFUNCTION("""COMPUTED_VALUE"""),"RSC003801")</f>
        <v>RSC003801</v>
      </c>
      <c r="C73" s="30" t="str">
        <f>IFERROR(__xludf.DUMMYFUNCTION("""COMPUTED_VALUE"""),"veil._")</f>
        <v>veil._</v>
      </c>
      <c r="D73" s="30" t="str">
        <f>IFERROR(__xludf.DUMMYFUNCTION("""COMPUTED_VALUE"""),"Basilisks")</f>
        <v>Basilisks</v>
      </c>
      <c r="E73" s="30">
        <f>IFERROR(__xludf.DUMMYFUNCTION("""COMPUTED_VALUE"""),13.0)</f>
        <v>13</v>
      </c>
      <c r="F73" s="30">
        <f>IFERROR(__xludf.DUMMYFUNCTION("""COMPUTED_VALUE"""),5.0)</f>
        <v>5</v>
      </c>
      <c r="G73" s="30">
        <f>IFERROR(__xludf.DUMMYFUNCTION("""COMPUTED_VALUE"""),8.0)</f>
        <v>8</v>
      </c>
      <c r="H73" s="42">
        <f>IFERROR(__xludf.DUMMYFUNCTION("""COMPUTED_VALUE"""),0.38461538461538464)</f>
        <v>0.3846153846</v>
      </c>
      <c r="I73" s="42">
        <f>IFERROR(__xludf.DUMMYFUNCTION("""COMPUTED_VALUE"""),0.3)</f>
        <v>0.3</v>
      </c>
      <c r="J73" s="30">
        <f>IFERROR(__xludf.DUMMYFUNCTION("""COMPUTED_VALUE"""),335.61538461538464)</f>
        <v>335.6153846</v>
      </c>
      <c r="K73" s="30">
        <f>IFERROR(__xludf.DUMMYFUNCTION("""COMPUTED_VALUE"""),0.46153846153846156)</f>
        <v>0.4615384615</v>
      </c>
      <c r="L73" s="30">
        <f>IFERROR(__xludf.DUMMYFUNCTION("""COMPUTED_VALUE"""),0.7692307692307693)</f>
        <v>0.7692307692</v>
      </c>
      <c r="M73" s="30">
        <f>IFERROR(__xludf.DUMMYFUNCTION("""COMPUTED_VALUE"""),1.7692307692307692)</f>
        <v>1.769230769</v>
      </c>
      <c r="N73" s="30">
        <f>IFERROR(__xludf.DUMMYFUNCTION("""COMPUTED_VALUE"""),1.5384615384615385)</f>
        <v>1.538461538</v>
      </c>
      <c r="O73" s="30">
        <f>IFERROR(__xludf.DUMMYFUNCTION("""COMPUTED_VALUE"""),401.43589743589746)</f>
        <v>401.4358974</v>
      </c>
      <c r="P73" s="30">
        <f>IFERROR(__xludf.DUMMYFUNCTION("""COMPUTED_VALUE"""),0.9230769230769232)</f>
        <v>0.9230769231</v>
      </c>
      <c r="Q73" s="30">
        <f>IFERROR(__xludf.DUMMYFUNCTION("""COMPUTED_VALUE"""),0.7435897435897435)</f>
        <v>0.7435897436</v>
      </c>
      <c r="R73" s="30">
        <f>IFERROR(__xludf.DUMMYFUNCTION("""COMPUTED_VALUE"""),1.3589743589743588)</f>
        <v>1.358974359</v>
      </c>
      <c r="S73" s="30">
        <f>IFERROR(__xludf.DUMMYFUNCTION("""COMPUTED_VALUE"""),3.461538461538461)</f>
        <v>3.461538462</v>
      </c>
      <c r="T73" s="30">
        <f>IFERROR(__xludf.DUMMYFUNCTION("""COMPUTED_VALUE"""),391.58687454520793)</f>
        <v>391.5868745</v>
      </c>
      <c r="U73" s="30">
        <f>IFERROR(__xludf.DUMMYFUNCTION("""COMPUTED_VALUE"""),0.8730109396776065)</f>
        <v>0.8730109397</v>
      </c>
      <c r="V73" s="30">
        <f>IFERROR(__xludf.DUMMYFUNCTION("""COMPUTED_VALUE"""),0.6751239501239502)</f>
        <v>0.6751239501</v>
      </c>
      <c r="W73" s="30">
        <f>IFERROR(__xludf.DUMMYFUNCTION("""COMPUTED_VALUE"""),1.46399449316116)</f>
        <v>1.463994493</v>
      </c>
      <c r="X73" s="30">
        <f>IFERROR(__xludf.DUMMYFUNCTION("""COMPUTED_VALUE"""),2.979785646452313)</f>
        <v>2.979785646</v>
      </c>
      <c r="Y73" s="30">
        <f>IFERROR(__xludf.DUMMYFUNCTION("""COMPUTED_VALUE"""),382.69692591359257)</f>
        <v>382.6969259</v>
      </c>
      <c r="Z73" s="30">
        <f>IFERROR(__xludf.DUMMYFUNCTION("""COMPUTED_VALUE"""),0.787910443465999)</f>
        <v>0.7879104435</v>
      </c>
      <c r="AA73" s="30">
        <f>IFERROR(__xludf.DUMMYFUNCTION("""COMPUTED_VALUE"""),0.5922322533433644)</f>
        <v>0.5922322533</v>
      </c>
      <c r="AB73" s="30">
        <f>IFERROR(__xludf.DUMMYFUNCTION("""COMPUTED_VALUE"""),1.6192678720456497)</f>
        <v>1.619267872</v>
      </c>
      <c r="AC73" s="30">
        <f>IFERROR(__xludf.DUMMYFUNCTION("""COMPUTED_VALUE"""),2.6638585694141246)</f>
        <v>2.663858569</v>
      </c>
      <c r="AD73" s="30">
        <f>IFERROR(__xludf.DUMMYFUNCTION("""COMPUTED_VALUE"""),0.8769743415476552)</f>
        <v>0.8769743415</v>
      </c>
      <c r="AE73" s="30">
        <f>IFERROR(__xludf.DUMMYFUNCTION("""COMPUTED_VALUE"""),0.585775281145107)</f>
        <v>0.5857752811</v>
      </c>
      <c r="AF73" s="30">
        <f>IFERROR(__xludf.DUMMYFUNCTION("""COMPUTED_VALUE"""),1.2988667281935162)</f>
        <v>1.298866728</v>
      </c>
      <c r="AG73" s="30">
        <f>IFERROR(__xludf.DUMMYFUNCTION("""COMPUTED_VALUE"""),1.092611543632783)</f>
        <v>1.092611544</v>
      </c>
      <c r="AH73" s="30">
        <f>IFERROR(__xludf.DUMMYFUNCTION("""COMPUTED_VALUE"""),0.5775312383794835)</f>
        <v>0.5775312384</v>
      </c>
      <c r="AI73" s="30">
        <f>IFERROR(__xludf.DUMMYFUNCTION("""COMPUTED_VALUE"""),1.025151565414771)</f>
        <v>1.025151565</v>
      </c>
      <c r="AJ73" s="30">
        <f>IFERROR(__xludf.DUMMYFUNCTION("""COMPUTED_VALUE"""),1.057348632329631)</f>
        <v>1.057348632</v>
      </c>
      <c r="AK73" s="30">
        <f>IFERROR(__xludf.DUMMYFUNCTION("""COMPUTED_VALUE"""),1.1014121828343124)</f>
        <v>1.101412183</v>
      </c>
      <c r="AL73" s="30">
        <f>IFERROR(__xludf.DUMMYFUNCTION("""COMPUTED_VALUE"""),0.9282646658321547)</f>
        <v>0.9282646658</v>
      </c>
      <c r="AM73" s="30">
        <f>IFERROR(__xludf.DUMMYFUNCTION("""COMPUTED_VALUE"""),1.161673647787288)</f>
        <v>1.161673648</v>
      </c>
      <c r="AN73" s="30">
        <f>IFERROR(__xludf.DUMMYFUNCTION("""COMPUTED_VALUE"""),0.9099717772764254)</f>
        <v>0.9099717773</v>
      </c>
      <c r="AO73" s="30">
        <f>IFERROR(__xludf.DUMMYFUNCTION("""COMPUTED_VALUE"""),0.6014290570665194)</f>
        <v>0.6014290571</v>
      </c>
      <c r="AP73" s="30">
        <f>IFERROR(__xludf.DUMMYFUNCTION("""COMPUTED_VALUE"""),1.2075518027477865)</f>
        <v>1.207551803</v>
      </c>
      <c r="AQ73" s="30">
        <f>IFERROR(__xludf.DUMMYFUNCTION("""COMPUTED_VALUE"""),1.208728046192671)</f>
        <v>1.208728046</v>
      </c>
      <c r="AR73" s="30">
        <f>IFERROR(__xludf.DUMMYFUNCTION("""COMPUTED_VALUE"""),0.5702601296255077)</f>
        <v>0.5702601296</v>
      </c>
      <c r="AS73" s="30">
        <f>IFERROR(__xludf.DUMMYFUNCTION("""COMPUTED_VALUE"""),31.0)</f>
        <v>31</v>
      </c>
      <c r="AT73" s="30">
        <f>IFERROR(__xludf.DUMMYFUNCTION("""COMPUTED_VALUE"""),0.440435446111577)</f>
        <v>0.4404354461</v>
      </c>
      <c r="AU73" s="30">
        <f>IFERROR(__xludf.DUMMYFUNCTION("""COMPUTED_VALUE"""),2.3730234627802025)</f>
        <v>2.373023463</v>
      </c>
      <c r="AV73" s="32">
        <f>IFERROR(__xludf.DUMMYFUNCTION("""COMPUTED_VALUE"""),33.99346043683826)</f>
        <v>33.99346044</v>
      </c>
      <c r="AW73" s="32">
        <f>IFERROR(__xludf.DUMMYFUNCTION("""COMPUTED_VALUE"""),-3.8313988902614224)</f>
        <v>-3.83139889</v>
      </c>
      <c r="AX73" s="32">
        <f>IFERROR(__xludf.DUMMYFUNCTION("""COMPUTED_VALUE"""),19.523199229431633)</f>
        <v>19.52319923</v>
      </c>
      <c r="AY73" s="32">
        <f>IFERROR(__xludf.DUMMYFUNCTION("""COMPUTED_VALUE"""),-8.97598166345523)</f>
        <v>-8.975981663</v>
      </c>
      <c r="AZ73" s="30">
        <f>IFERROR(__xludf.DUMMYFUNCTION("""COMPUTED_VALUE"""),5.144582773193807)</f>
        <v>5.144582773</v>
      </c>
      <c r="BA73" s="30">
        <f>IFERROR(__xludf.DUMMYFUNCTION("""COMPUTED_VALUE"""),450.0)</f>
        <v>450</v>
      </c>
    </row>
    <row r="74">
      <c r="A74" s="30" t="str">
        <f>IFERROR(__xludf.DUMMYFUNCTION("""COMPUTED_VALUE"""),"Master")</f>
        <v>Master</v>
      </c>
      <c r="B74" s="30" t="str">
        <f>IFERROR(__xludf.DUMMYFUNCTION("""COMPUTED_VALUE"""),"RSC007809")</f>
        <v>RSC007809</v>
      </c>
      <c r="C74" s="30" t="str">
        <f>IFERROR(__xludf.DUMMYFUNCTION("""COMPUTED_VALUE"""),"wndr")</f>
        <v>wndr</v>
      </c>
      <c r="D74" s="30" t="str">
        <f>IFERROR(__xludf.DUMMYFUNCTION("""COMPUTED_VALUE"""),"Basilisks")</f>
        <v>Basilisks</v>
      </c>
      <c r="E74" s="30">
        <f>IFERROR(__xludf.DUMMYFUNCTION("""COMPUTED_VALUE"""),27.0)</f>
        <v>27</v>
      </c>
      <c r="F74" s="30">
        <f>IFERROR(__xludf.DUMMYFUNCTION("""COMPUTED_VALUE"""),20.0)</f>
        <v>20</v>
      </c>
      <c r="G74" s="30">
        <f>IFERROR(__xludf.DUMMYFUNCTION("""COMPUTED_VALUE"""),7.0)</f>
        <v>7</v>
      </c>
      <c r="H74" s="42">
        <f>IFERROR(__xludf.DUMMYFUNCTION("""COMPUTED_VALUE"""),0.7407407407407407)</f>
        <v>0.7407407407</v>
      </c>
      <c r="I74" s="42">
        <f>IFERROR(__xludf.DUMMYFUNCTION("""COMPUTED_VALUE"""),0.328125)</f>
        <v>0.328125</v>
      </c>
      <c r="J74" s="30">
        <f>IFERROR(__xludf.DUMMYFUNCTION("""COMPUTED_VALUE"""),357.51851851851853)</f>
        <v>357.5185185</v>
      </c>
      <c r="K74" s="30">
        <f>IFERROR(__xludf.DUMMYFUNCTION("""COMPUTED_VALUE"""),0.7777777777777778)</f>
        <v>0.7777777778</v>
      </c>
      <c r="L74" s="30">
        <f>IFERROR(__xludf.DUMMYFUNCTION("""COMPUTED_VALUE"""),0.7777777777777778)</f>
        <v>0.7777777778</v>
      </c>
      <c r="M74" s="30">
        <f>IFERROR(__xludf.DUMMYFUNCTION("""COMPUTED_VALUE"""),1.2962962962962963)</f>
        <v>1.296296296</v>
      </c>
      <c r="N74" s="30">
        <f>IFERROR(__xludf.DUMMYFUNCTION("""COMPUTED_VALUE"""),2.3703703703703702)</f>
        <v>2.37037037</v>
      </c>
      <c r="O74" s="30">
        <f>IFERROR(__xludf.DUMMYFUNCTION("""COMPUTED_VALUE"""),347.7654320987655)</f>
        <v>347.7654321</v>
      </c>
      <c r="P74" s="30">
        <f>IFERROR(__xludf.DUMMYFUNCTION("""COMPUTED_VALUE"""),0.6666666666666669)</f>
        <v>0.6666666667</v>
      </c>
      <c r="Q74" s="30">
        <f>IFERROR(__xludf.DUMMYFUNCTION("""COMPUTED_VALUE"""),0.5308641975308642)</f>
        <v>0.5308641975</v>
      </c>
      <c r="R74" s="30">
        <f>IFERROR(__xludf.DUMMYFUNCTION("""COMPUTED_VALUE"""),1.5061728395061726)</f>
        <v>1.50617284</v>
      </c>
      <c r="S74" s="30">
        <f>IFERROR(__xludf.DUMMYFUNCTION("""COMPUTED_VALUE"""),2.691358024691358)</f>
        <v>2.691358025</v>
      </c>
      <c r="T74" s="30">
        <f>IFERROR(__xludf.DUMMYFUNCTION("""COMPUTED_VALUE"""),375.68685962972535)</f>
        <v>375.6868596</v>
      </c>
      <c r="U74" s="30">
        <f>IFERROR(__xludf.DUMMYFUNCTION("""COMPUTED_VALUE"""),0.7878511323045456)</f>
        <v>0.7878511323</v>
      </c>
      <c r="V74" s="30">
        <f>IFERROR(__xludf.DUMMYFUNCTION("""COMPUTED_VALUE"""),0.6325296862776759)</f>
        <v>0.6325296863</v>
      </c>
      <c r="W74" s="30">
        <f>IFERROR(__xludf.DUMMYFUNCTION("""COMPUTED_VALUE"""),1.5503006110951603)</f>
        <v>1.550300611</v>
      </c>
      <c r="X74" s="30">
        <f>IFERROR(__xludf.DUMMYFUNCTION("""COMPUTED_VALUE"""),2.737322148142433)</f>
        <v>2.737322148</v>
      </c>
      <c r="Y74" s="30">
        <f>IFERROR(__xludf.DUMMYFUNCTION("""COMPUTED_VALUE"""),395.3556037815305)</f>
        <v>395.3556038</v>
      </c>
      <c r="Z74" s="30">
        <f>IFERROR(__xludf.DUMMYFUNCTION("""COMPUTED_VALUE"""),0.9063292183050433)</f>
        <v>0.9063292183</v>
      </c>
      <c r="AA74" s="30">
        <f>IFERROR(__xludf.DUMMYFUNCTION("""COMPUTED_VALUE"""),0.7031564860208545)</f>
        <v>0.703156486</v>
      </c>
      <c r="AB74" s="30">
        <f>IFERROR(__xludf.DUMMYFUNCTION("""COMPUTED_VALUE"""),1.5231431890570815)</f>
        <v>1.523143189</v>
      </c>
      <c r="AC74" s="30">
        <f>IFERROR(__xludf.DUMMYFUNCTION("""COMPUTED_VALUE"""),2.9454236540453653)</f>
        <v>2.945423654</v>
      </c>
      <c r="AD74" s="30">
        <f>IFERROR(__xludf.DUMMYFUNCTION("""COMPUTED_VALUE"""),0.9042960694091481)</f>
        <v>0.9042960694</v>
      </c>
      <c r="AE74" s="30">
        <f>IFERROR(__xludf.DUMMYFUNCTION("""COMPUTED_VALUE"""),0.8581625330719516)</f>
        <v>0.8581625331</v>
      </c>
      <c r="AF74" s="30">
        <f>IFERROR(__xludf.DUMMYFUNCTION("""COMPUTED_VALUE"""),1.1061233071733483)</f>
        <v>1.106123307</v>
      </c>
      <c r="AG74" s="30">
        <f>IFERROR(__xludf.DUMMYFUNCTION("""COMPUTED_VALUE"""),0.8510666007040236)</f>
        <v>0.8510666007</v>
      </c>
      <c r="AH74" s="30">
        <f>IFERROR(__xludf.DUMMYFUNCTION("""COMPUTED_VALUE"""),0.8047638128779222)</f>
        <v>0.8047638129</v>
      </c>
      <c r="AI74" s="30">
        <f>IFERROR(__xludf.DUMMYFUNCTION("""COMPUTED_VALUE"""),0.9256789881911786)</f>
        <v>0.9256789882</v>
      </c>
      <c r="AJ74" s="30">
        <f>IFERROR(__xludf.DUMMYFUNCTION("""COMPUTED_VALUE"""),0.846183548301312)</f>
        <v>0.8461835483</v>
      </c>
      <c r="AK74" s="30">
        <f>IFERROR(__xludf.DUMMYFUNCTION("""COMPUTED_VALUE"""),0.8392715931720218)</f>
        <v>0.8392715932</v>
      </c>
      <c r="AL74" s="30">
        <f>IFERROR(__xludf.DUMMYFUNCTION("""COMPUTED_VALUE"""),0.9715359903278274)</f>
        <v>0.9715359903</v>
      </c>
      <c r="AM74" s="30">
        <f>IFERROR(__xludf.DUMMYFUNCTION("""COMPUTED_VALUE"""),0.9832083616894466)</f>
        <v>0.9832083617</v>
      </c>
      <c r="AN74" s="30">
        <f>IFERROR(__xludf.DUMMYFUNCTION("""COMPUTED_VALUE"""),0.9693589049213618)</f>
        <v>0.9693589049</v>
      </c>
      <c r="AO74" s="30">
        <f>IFERROR(__xludf.DUMMYFUNCTION("""COMPUTED_VALUE"""),1.013519336908394)</f>
        <v>1.013519337</v>
      </c>
      <c r="AP74" s="30">
        <f>IFERROR(__xludf.DUMMYFUNCTION("""COMPUTED_VALUE"""),1.2209690450005397)</f>
        <v>1.220969045</v>
      </c>
      <c r="AQ74" s="30">
        <f>IFERROR(__xludf.DUMMYFUNCTION("""COMPUTED_VALUE"""),0.8856219984181407)</f>
        <v>0.8856219984</v>
      </c>
      <c r="AR74" s="30">
        <f>IFERROR(__xludf.DUMMYFUNCTION("""COMPUTED_VALUE"""),0.8786230145341154)</f>
        <v>0.8786230145</v>
      </c>
      <c r="AS74" s="30">
        <f>IFERROR(__xludf.DUMMYFUNCTION("""COMPUTED_VALUE"""),84.0)</f>
        <v>84</v>
      </c>
      <c r="AT74" s="30">
        <f>IFERROR(__xludf.DUMMYFUNCTION("""COMPUTED_VALUE"""),0.669443736679443)</f>
        <v>0.6694437367</v>
      </c>
      <c r="AU74" s="30">
        <f>IFERROR(__xludf.DUMMYFUNCTION("""COMPUTED_VALUE"""),3.184842560417611)</f>
        <v>3.18484256</v>
      </c>
      <c r="AV74" s="32">
        <f>IFERROR(__xludf.DUMMYFUNCTION("""COMPUTED_VALUE"""),53.82993976346171)</f>
        <v>53.82993976</v>
      </c>
      <c r="AW74" s="32">
        <f>IFERROR(__xludf.DUMMYFUNCTION("""COMPUTED_VALUE"""),2.2772754635444836)</f>
        <v>2.277275464</v>
      </c>
      <c r="AX74" s="32">
        <f>IFERROR(__xludf.DUMMYFUNCTION("""COMPUTED_VALUE"""),40.375585247366)</f>
        <v>40.37558525</v>
      </c>
      <c r="AY74" s="32">
        <f>IFERROR(__xludf.DUMMYFUNCTION("""COMPUTED_VALUE"""),-2.8561033997202205)</f>
        <v>-2.8561034</v>
      </c>
      <c r="AZ74" s="30">
        <f>IFERROR(__xludf.DUMMYFUNCTION("""COMPUTED_VALUE"""),5.133378863264705)</f>
        <v>5.133378863</v>
      </c>
      <c r="BA74" s="30">
        <f>IFERROR(__xludf.DUMMYFUNCTION("""COMPUTED_VALUE"""),450.0)</f>
        <v>450</v>
      </c>
    </row>
    <row r="75">
      <c r="A75" s="30" t="str">
        <f>IFERROR(__xludf.DUMMYFUNCTION("""COMPUTED_VALUE"""),"Master")</f>
        <v>Master</v>
      </c>
      <c r="B75" s="30" t="str">
        <f>IFERROR(__xludf.DUMMYFUNCTION("""COMPUTED_VALUE"""),"RSC001903")</f>
        <v>RSC001903</v>
      </c>
      <c r="C75" s="30" t="str">
        <f>IFERROR(__xludf.DUMMYFUNCTION("""COMPUTED_VALUE"""),"Plasma")</f>
        <v>Plasma</v>
      </c>
      <c r="D75" s="30" t="str">
        <f>IFERROR(__xludf.DUMMYFUNCTION("""COMPUTED_VALUE"""),"Spectres")</f>
        <v>Spectres</v>
      </c>
      <c r="E75" s="30">
        <f>IFERROR(__xludf.DUMMYFUNCTION("""COMPUTED_VALUE"""),15.0)</f>
        <v>15</v>
      </c>
      <c r="F75" s="30">
        <f>IFERROR(__xludf.DUMMYFUNCTION("""COMPUTED_VALUE"""),4.0)</f>
        <v>4</v>
      </c>
      <c r="G75" s="30">
        <f>IFERROR(__xludf.DUMMYFUNCTION("""COMPUTED_VALUE"""),11.0)</f>
        <v>11</v>
      </c>
      <c r="H75" s="42">
        <f>IFERROR(__xludf.DUMMYFUNCTION("""COMPUTED_VALUE"""),0.26666666666666666)</f>
        <v>0.2666666667</v>
      </c>
      <c r="I75" s="42">
        <f>IFERROR(__xludf.DUMMYFUNCTION("""COMPUTED_VALUE"""),0.3125)</f>
        <v>0.3125</v>
      </c>
      <c r="J75" s="30">
        <f>IFERROR(__xludf.DUMMYFUNCTION("""COMPUTED_VALUE"""),373.73333333333335)</f>
        <v>373.7333333</v>
      </c>
      <c r="K75" s="30">
        <f>IFERROR(__xludf.DUMMYFUNCTION("""COMPUTED_VALUE"""),0.6666666666666666)</f>
        <v>0.6666666667</v>
      </c>
      <c r="L75" s="30">
        <f>IFERROR(__xludf.DUMMYFUNCTION("""COMPUTED_VALUE"""),0.6)</f>
        <v>0.6</v>
      </c>
      <c r="M75" s="30">
        <f>IFERROR(__xludf.DUMMYFUNCTION("""COMPUTED_VALUE"""),2.0)</f>
        <v>2</v>
      </c>
      <c r="N75" s="30">
        <f>IFERROR(__xludf.DUMMYFUNCTION("""COMPUTED_VALUE"""),2.1333333333333333)</f>
        <v>2.133333333</v>
      </c>
      <c r="O75" s="30">
        <f>IFERROR(__xludf.DUMMYFUNCTION("""COMPUTED_VALUE"""),467.4222222222222)</f>
        <v>467.4222222</v>
      </c>
      <c r="P75" s="30">
        <f>IFERROR(__xludf.DUMMYFUNCTION("""COMPUTED_VALUE"""),1.222222222222222)</f>
        <v>1.222222222</v>
      </c>
      <c r="Q75" s="30">
        <f>IFERROR(__xludf.DUMMYFUNCTION("""COMPUTED_VALUE"""),0.9555555555555554)</f>
        <v>0.9555555556</v>
      </c>
      <c r="R75" s="30">
        <f>IFERROR(__xludf.DUMMYFUNCTION("""COMPUTED_VALUE"""),1.8000000000000003)</f>
        <v>1.8</v>
      </c>
      <c r="S75" s="30">
        <f>IFERROR(__xludf.DUMMYFUNCTION("""COMPUTED_VALUE"""),3.577777777777778)</f>
        <v>3.577777778</v>
      </c>
      <c r="T75" s="30">
        <f>IFERROR(__xludf.DUMMYFUNCTION("""COMPUTED_VALUE"""),413.7983720805944)</f>
        <v>413.7983721</v>
      </c>
      <c r="U75" s="30">
        <f>IFERROR(__xludf.DUMMYFUNCTION("""COMPUTED_VALUE"""),1.0426575276575276)</f>
        <v>1.042657528</v>
      </c>
      <c r="V75" s="30">
        <f>IFERROR(__xludf.DUMMYFUNCTION("""COMPUTED_VALUE"""),0.7531762065095399)</f>
        <v>0.7531762065</v>
      </c>
      <c r="W75" s="30">
        <f>IFERROR(__xludf.DUMMYFUNCTION("""COMPUTED_VALUE"""),1.5009374164929719)</f>
        <v>1.500937416</v>
      </c>
      <c r="X75" s="30">
        <f>IFERROR(__xludf.DUMMYFUNCTION("""COMPUTED_VALUE"""),3.046606274384052)</f>
        <v>3.046606274</v>
      </c>
      <c r="Y75" s="30">
        <f>IFERROR(__xludf.DUMMYFUNCTION("""COMPUTED_VALUE"""),367.96030017992985)</f>
        <v>367.9603002</v>
      </c>
      <c r="Z75" s="30">
        <f>IFERROR(__xludf.DUMMYFUNCTION("""COMPUTED_VALUE"""),0.7526532520976964)</f>
        <v>0.7526532521</v>
      </c>
      <c r="AA75" s="30">
        <f>IFERROR(__xludf.DUMMYFUNCTION("""COMPUTED_VALUE"""),0.5806027648620241)</f>
        <v>0.5806027649</v>
      </c>
      <c r="AB75" s="30">
        <f>IFERROR(__xludf.DUMMYFUNCTION("""COMPUTED_VALUE"""),1.5085413215042844)</f>
        <v>1.508541322</v>
      </c>
      <c r="AC75" s="30">
        <f>IFERROR(__xludf.DUMMYFUNCTION("""COMPUTED_VALUE"""),2.635802023764987)</f>
        <v>2.635802024</v>
      </c>
      <c r="AD75" s="30">
        <f>IFERROR(__xludf.DUMMYFUNCTION("""COMPUTED_VALUE"""),1.015689282649733)</f>
        <v>1.015689283</v>
      </c>
      <c r="AE75" s="30">
        <f>IFERROR(__xludf.DUMMYFUNCTION("""COMPUTED_VALUE"""),0.8857553791319187)</f>
        <v>0.8857553791</v>
      </c>
      <c r="AF75" s="30">
        <f>IFERROR(__xludf.DUMMYFUNCTION("""COMPUTED_VALUE"""),1.033408788782784)</f>
        <v>1.033408789</v>
      </c>
      <c r="AG75" s="30">
        <f>IFERROR(__xludf.DUMMYFUNCTION("""COMPUTED_VALUE"""),1.3257840348752554)</f>
        <v>1.325784035</v>
      </c>
      <c r="AH75" s="30">
        <f>IFERROR(__xludf.DUMMYFUNCTION("""COMPUTED_VALUE"""),0.8093678182574858)</f>
        <v>0.8093678183</v>
      </c>
      <c r="AI75" s="30">
        <f>IFERROR(__xludf.DUMMYFUNCTION("""COMPUTED_VALUE"""),1.129589321175927)</f>
        <v>1.129589321</v>
      </c>
      <c r="AJ75" s="30">
        <f>IFERROR(__xludf.DUMMYFUNCTION("""COMPUTED_VALUE"""),1.172218288173789)</f>
        <v>1.172218288</v>
      </c>
      <c r="AK75" s="30">
        <f>IFERROR(__xludf.DUMMYFUNCTION("""COMPUTED_VALUE"""),1.2687011980687843)</f>
        <v>1.268701198</v>
      </c>
      <c r="AL75" s="30">
        <f>IFERROR(__xludf.DUMMYFUNCTION("""COMPUTED_VALUE"""),1.1992505351794118)</f>
        <v>1.199250535</v>
      </c>
      <c r="AM75" s="30">
        <f>IFERROR(__xludf.DUMMYFUNCTION("""COMPUTED_VALUE"""),1.1743485884145353)</f>
        <v>1.174348588</v>
      </c>
      <c r="AN75" s="30">
        <f>IFERROR(__xludf.DUMMYFUNCTION("""COMPUTED_VALUE"""),1.0133229915860849)</f>
        <v>1.013322992</v>
      </c>
      <c r="AO75" s="30">
        <f>IFERROR(__xludf.DUMMYFUNCTION("""COMPUTED_VALUE"""),0.8687308602071946)</f>
        <v>0.8687308602</v>
      </c>
      <c r="AP75" s="30">
        <f>IFERROR(__xludf.DUMMYFUNCTION("""COMPUTED_VALUE"""),0.9418904061432735)</f>
        <v>0.9418904061</v>
      </c>
      <c r="AQ75" s="30">
        <f>IFERROR(__xludf.DUMMYFUNCTION("""COMPUTED_VALUE"""),1.3663882261308455)</f>
        <v>1.366388226</v>
      </c>
      <c r="AR75" s="30">
        <f>IFERROR(__xludf.DUMMYFUNCTION("""COMPUTED_VALUE"""),0.7907607130807038)</f>
        <v>0.7907607131</v>
      </c>
      <c r="AS75" s="30">
        <f>IFERROR(__xludf.DUMMYFUNCTION("""COMPUTED_VALUE"""),29.0)</f>
        <v>29</v>
      </c>
      <c r="AT75" s="30">
        <f>IFERROR(__xludf.DUMMYFUNCTION("""COMPUTED_VALUE"""),0.25934301391532116)</f>
        <v>0.2593430139</v>
      </c>
      <c r="AU75" s="30">
        <f>IFERROR(__xludf.DUMMYFUNCTION("""COMPUTED_VALUE"""),2.646567480640589)</f>
        <v>2.646567481</v>
      </c>
      <c r="AV75" s="32">
        <f>IFERROR(__xludf.DUMMYFUNCTION("""COMPUTED_VALUE"""),40.67740057941497)</f>
        <v>40.67740058</v>
      </c>
      <c r="AW75" s="32">
        <f>IFERROR(__xludf.DUMMYFUNCTION("""COMPUTED_VALUE"""),-2.8199997855412255)</f>
        <v>-2.819999786</v>
      </c>
      <c r="AX75" s="32">
        <f>IFERROR(__xludf.DUMMYFUNCTION("""COMPUTED_VALUE"""),21.61866935294937)</f>
        <v>21.61866935</v>
      </c>
      <c r="AY75" s="32">
        <f>IFERROR(__xludf.DUMMYFUNCTION("""COMPUTED_VALUE"""),-7.804292260951733)</f>
        <v>-7.804292261</v>
      </c>
      <c r="AZ75" s="30">
        <f>IFERROR(__xludf.DUMMYFUNCTION("""COMPUTED_VALUE"""),4.984292475410507)</f>
        <v>4.984292475</v>
      </c>
      <c r="BA75" s="30">
        <f>IFERROR(__xludf.DUMMYFUNCTION("""COMPUTED_VALUE"""),450.0)</f>
        <v>450</v>
      </c>
    </row>
    <row r="76">
      <c r="A76" s="30" t="str">
        <f>IFERROR(__xludf.DUMMYFUNCTION("""COMPUTED_VALUE"""),"Master")</f>
        <v>Master</v>
      </c>
      <c r="B76" s="30" t="str">
        <f>IFERROR(__xludf.DUMMYFUNCTION("""COMPUTED_VALUE"""),"RSC005349")</f>
        <v>RSC005349</v>
      </c>
      <c r="C76" s="30" t="str">
        <f>IFERROR(__xludf.DUMMYFUNCTION("""COMPUTED_VALUE"""),"Rzemb1e")</f>
        <v>Rzemb1e</v>
      </c>
      <c r="D76" s="30" t="str">
        <f>IFERROR(__xludf.DUMMYFUNCTION("""COMPUTED_VALUE"""),"Heinous Henchmen")</f>
        <v>Heinous Henchmen</v>
      </c>
      <c r="E76" s="30">
        <f>IFERROR(__xludf.DUMMYFUNCTION("""COMPUTED_VALUE"""),36.0)</f>
        <v>36</v>
      </c>
      <c r="F76" s="30">
        <f>IFERROR(__xludf.DUMMYFUNCTION("""COMPUTED_VALUE"""),13.0)</f>
        <v>13</v>
      </c>
      <c r="G76" s="30">
        <f>IFERROR(__xludf.DUMMYFUNCTION("""COMPUTED_VALUE"""),23.0)</f>
        <v>23</v>
      </c>
      <c r="H76" s="42">
        <f>IFERROR(__xludf.DUMMYFUNCTION("""COMPUTED_VALUE"""),0.3611111111111111)</f>
        <v>0.3611111111</v>
      </c>
      <c r="I76" s="42">
        <f>IFERROR(__xludf.DUMMYFUNCTION("""COMPUTED_VALUE"""),0.33962264150943394)</f>
        <v>0.3396226415</v>
      </c>
      <c r="J76" s="30">
        <f>IFERROR(__xludf.DUMMYFUNCTION("""COMPUTED_VALUE"""),388.8611111111111)</f>
        <v>388.8611111</v>
      </c>
      <c r="K76" s="30">
        <f>IFERROR(__xludf.DUMMYFUNCTION("""COMPUTED_VALUE"""),1.0)</f>
        <v>1</v>
      </c>
      <c r="L76" s="30">
        <f>IFERROR(__xludf.DUMMYFUNCTION("""COMPUTED_VALUE"""),0.5555555555555556)</f>
        <v>0.5555555556</v>
      </c>
      <c r="M76" s="30">
        <f>IFERROR(__xludf.DUMMYFUNCTION("""COMPUTED_VALUE"""),1.5277777777777777)</f>
        <v>1.527777778</v>
      </c>
      <c r="N76" s="30">
        <f>IFERROR(__xludf.DUMMYFUNCTION("""COMPUTED_VALUE"""),2.9444444444444446)</f>
        <v>2.944444444</v>
      </c>
      <c r="O76" s="30">
        <f>IFERROR(__xludf.DUMMYFUNCTION("""COMPUTED_VALUE"""),384.28703703703707)</f>
        <v>384.287037</v>
      </c>
      <c r="P76" s="30">
        <f>IFERROR(__xludf.DUMMYFUNCTION("""COMPUTED_VALUE"""),0.8796296296296295)</f>
        <v>0.8796296296</v>
      </c>
      <c r="Q76" s="30">
        <f>IFERROR(__xludf.DUMMYFUNCTION("""COMPUTED_VALUE"""),0.6574074074074074)</f>
        <v>0.6574074074</v>
      </c>
      <c r="R76" s="30">
        <f>IFERROR(__xludf.DUMMYFUNCTION("""COMPUTED_VALUE"""),1.4722222222222223)</f>
        <v>1.472222222</v>
      </c>
      <c r="S76" s="30">
        <f>IFERROR(__xludf.DUMMYFUNCTION("""COMPUTED_VALUE"""),3.0462962962962963)</f>
        <v>3.046296296</v>
      </c>
      <c r="T76" s="30">
        <f>IFERROR(__xludf.DUMMYFUNCTION("""COMPUTED_VALUE"""),375.0093247024902)</f>
        <v>375.0093247</v>
      </c>
      <c r="U76" s="30">
        <f>IFERROR(__xludf.DUMMYFUNCTION("""COMPUTED_VALUE"""),0.8537389612738788)</f>
        <v>0.8537389613</v>
      </c>
      <c r="V76" s="30">
        <f>IFERROR(__xludf.DUMMYFUNCTION("""COMPUTED_VALUE"""),0.6620947696766404)</f>
        <v>0.6620947697</v>
      </c>
      <c r="W76" s="30">
        <f>IFERROR(__xludf.DUMMYFUNCTION("""COMPUTED_VALUE"""),1.410255151271183)</f>
        <v>1.410255151</v>
      </c>
      <c r="X76" s="30">
        <f>IFERROR(__xludf.DUMMYFUNCTION("""COMPUTED_VALUE"""),2.7338918740760096)</f>
        <v>2.733891874</v>
      </c>
      <c r="Y76" s="30">
        <f>IFERROR(__xludf.DUMMYFUNCTION("""COMPUTED_VALUE"""),378.91005504133443)</f>
        <v>378.910055</v>
      </c>
      <c r="Z76" s="30">
        <f>IFERROR(__xludf.DUMMYFUNCTION("""COMPUTED_VALUE"""),0.8541010875891027)</f>
        <v>0.8541010876</v>
      </c>
      <c r="AA76" s="30">
        <f>IFERROR(__xludf.DUMMYFUNCTION("""COMPUTED_VALUE"""),0.6502591795965873)</f>
        <v>0.6502591796</v>
      </c>
      <c r="AB76" s="30">
        <f>IFERROR(__xludf.DUMMYFUNCTION("""COMPUTED_VALUE"""),1.4537307792387089)</f>
        <v>1.453730779</v>
      </c>
      <c r="AC76" s="30">
        <f>IFERROR(__xludf.DUMMYFUNCTION("""COMPUTED_VALUE"""),2.782479876888778)</f>
        <v>2.782479877</v>
      </c>
      <c r="AD76" s="30">
        <f>IFERROR(__xludf.DUMMYFUNCTION("""COMPUTED_VALUE"""),1.026262317236979)</f>
        <v>1.026262317</v>
      </c>
      <c r="AE76" s="30">
        <f>IFERROR(__xludf.DUMMYFUNCTION("""COMPUTED_VALUE"""),1.1708215977370202)</f>
        <v>1.170821598</v>
      </c>
      <c r="AF76" s="30">
        <f>IFERROR(__xludf.DUMMYFUNCTION("""COMPUTED_VALUE"""),0.8543601889637534)</f>
        <v>0.854360189</v>
      </c>
      <c r="AG76" s="30">
        <f>IFERROR(__xludf.DUMMYFUNCTION("""COMPUTED_VALUE"""),1.0509358401132882)</f>
        <v>1.05093584</v>
      </c>
      <c r="AH76" s="30">
        <f>IFERROR(__xludf.DUMMYFUNCTION("""COMPUTED_VALUE"""),1.0582087111935439)</f>
        <v>1.058208711</v>
      </c>
      <c r="AI76" s="30">
        <f>IFERROR(__xludf.DUMMYFUNCTION("""COMPUTED_VALUE"""),1.0247399510449702)</f>
        <v>1.024739951</v>
      </c>
      <c r="AJ76" s="30">
        <f>IFERROR(__xludf.DUMMYFUNCTION("""COMPUTED_VALUE"""),1.0303262115589977)</f>
        <v>1.030326212</v>
      </c>
      <c r="AK76" s="30">
        <f>IFERROR(__xludf.DUMMYFUNCTION("""COMPUTED_VALUE"""),0.9929204058332582)</f>
        <v>0.9929204058</v>
      </c>
      <c r="AL76" s="30">
        <f>IFERROR(__xludf.DUMMYFUNCTION("""COMPUTED_VALUE"""),1.0439403259014393)</f>
        <v>1.043940326</v>
      </c>
      <c r="AM76" s="30">
        <f>IFERROR(__xludf.DUMMYFUNCTION("""COMPUTED_VALUE"""),1.1142709502093502)</f>
        <v>1.11427095</v>
      </c>
      <c r="AN76" s="30">
        <f>IFERROR(__xludf.DUMMYFUNCTION("""COMPUTED_VALUE"""),1.0543397371278989)</f>
        <v>1.054339737</v>
      </c>
      <c r="AO76" s="30">
        <f>IFERROR(__xludf.DUMMYFUNCTION("""COMPUTED_VALUE"""),1.303096290310792)</f>
        <v>1.30309629</v>
      </c>
      <c r="AP76" s="30">
        <f>IFERROR(__xludf.DUMMYFUNCTION("""COMPUTED_VALUE"""),0.872120746428957)</f>
        <v>0.8721207464</v>
      </c>
      <c r="AQ76" s="30">
        <f>IFERROR(__xludf.DUMMYFUNCTION("""COMPUTED_VALUE"""),1.0437687838499514)</f>
        <v>1.043768784</v>
      </c>
      <c r="AR76" s="30">
        <f>IFERROR(__xludf.DUMMYFUNCTION("""COMPUTED_VALUE"""),1.0914145258665966)</f>
        <v>1.091414526</v>
      </c>
      <c r="AS76" s="30">
        <f>IFERROR(__xludf.DUMMYFUNCTION("""COMPUTED_VALUE"""),81.0)</f>
        <v>81</v>
      </c>
      <c r="AT76" s="30">
        <f>IFERROR(__xludf.DUMMYFUNCTION("""COMPUTED_VALUE"""),0.4374786670879907)</f>
        <v>0.4374786671</v>
      </c>
      <c r="AU76" s="30">
        <f>IFERROR(__xludf.DUMMYFUNCTION("""COMPUTED_VALUE"""),3.374441117703811)</f>
        <v>3.374441118</v>
      </c>
      <c r="AV76" s="32">
        <f>IFERROR(__xludf.DUMMYFUNCTION("""COMPUTED_VALUE"""),58.46270569975303)</f>
        <v>58.4627057</v>
      </c>
      <c r="AW76" s="32">
        <f>IFERROR(__xludf.DUMMYFUNCTION("""COMPUTED_VALUE"""),2.7211616377462455)</f>
        <v>2.721161638</v>
      </c>
      <c r="AX76" s="32">
        <f>IFERROR(__xludf.DUMMYFUNCTION("""COMPUTED_VALUE"""),46.73407761298402)</f>
        <v>46.73407761</v>
      </c>
      <c r="AY76" s="32">
        <f>IFERROR(__xludf.DUMMYFUNCTION("""COMPUTED_VALUE"""),-2.231987030442312)</f>
        <v>-2.23198703</v>
      </c>
      <c r="AZ76" s="30">
        <f>IFERROR(__xludf.DUMMYFUNCTION("""COMPUTED_VALUE"""),4.9531486681885575)</f>
        <v>4.953148668</v>
      </c>
      <c r="BA76" s="30">
        <f>IFERROR(__xludf.DUMMYFUNCTION("""COMPUTED_VALUE"""),450.0)</f>
        <v>450</v>
      </c>
    </row>
    <row r="77">
      <c r="A77" s="30" t="str">
        <f>IFERROR(__xludf.DUMMYFUNCTION("""COMPUTED_VALUE"""),"Master")</f>
        <v>Master</v>
      </c>
      <c r="B77" s="30" t="str">
        <f>IFERROR(__xludf.DUMMYFUNCTION("""COMPUTED_VALUE"""),"RSC004730")</f>
        <v>RSC004730</v>
      </c>
      <c r="C77" s="30" t="str">
        <f>IFERROR(__xludf.DUMMYFUNCTION("""COMPUTED_VALUE"""),"SgtPickle")</f>
        <v>SgtPickle</v>
      </c>
      <c r="D77" s="30" t="str">
        <f>IFERROR(__xludf.DUMMYFUNCTION("""COMPUTED_VALUE"""),"Lemurs")</f>
        <v>Lemurs</v>
      </c>
      <c r="E77" s="30">
        <f>IFERROR(__xludf.DUMMYFUNCTION("""COMPUTED_VALUE"""),20.0)</f>
        <v>20</v>
      </c>
      <c r="F77" s="30">
        <f>IFERROR(__xludf.DUMMYFUNCTION("""COMPUTED_VALUE"""),12.0)</f>
        <v>12</v>
      </c>
      <c r="G77" s="30">
        <f>IFERROR(__xludf.DUMMYFUNCTION("""COMPUTED_VALUE"""),8.0)</f>
        <v>8</v>
      </c>
      <c r="H77" s="42">
        <f>IFERROR(__xludf.DUMMYFUNCTION("""COMPUTED_VALUE"""),0.6)</f>
        <v>0.6</v>
      </c>
      <c r="I77" s="42">
        <f>IFERROR(__xludf.DUMMYFUNCTION("""COMPUTED_VALUE"""),0.30434782608695654)</f>
        <v>0.3043478261</v>
      </c>
      <c r="J77" s="30">
        <f>IFERROR(__xludf.DUMMYFUNCTION("""COMPUTED_VALUE"""),412.35)</f>
        <v>412.35</v>
      </c>
      <c r="K77" s="30">
        <f>IFERROR(__xludf.DUMMYFUNCTION("""COMPUTED_VALUE"""),1.05)</f>
        <v>1.05</v>
      </c>
      <c r="L77" s="30">
        <f>IFERROR(__xludf.DUMMYFUNCTION("""COMPUTED_VALUE"""),0.5)</f>
        <v>0.5</v>
      </c>
      <c r="M77" s="30">
        <f>IFERROR(__xludf.DUMMYFUNCTION("""COMPUTED_VALUE"""),1.6)</f>
        <v>1.6</v>
      </c>
      <c r="N77" s="30">
        <f>IFERROR(__xludf.DUMMYFUNCTION("""COMPUTED_VALUE"""),3.45)</f>
        <v>3.45</v>
      </c>
      <c r="O77" s="30">
        <f>IFERROR(__xludf.DUMMYFUNCTION("""COMPUTED_VALUE"""),442.3166666666666)</f>
        <v>442.3166667</v>
      </c>
      <c r="P77" s="30">
        <f>IFERROR(__xludf.DUMMYFUNCTION("""COMPUTED_VALUE"""),1.0166666666666666)</f>
        <v>1.016666667</v>
      </c>
      <c r="Q77" s="30">
        <f>IFERROR(__xludf.DUMMYFUNCTION("""COMPUTED_VALUE"""),0.8333333333333334)</f>
        <v>0.8333333333</v>
      </c>
      <c r="R77" s="30">
        <f>IFERROR(__xludf.DUMMYFUNCTION("""COMPUTED_VALUE"""),1.7)</f>
        <v>1.7</v>
      </c>
      <c r="S77" s="30">
        <f>IFERROR(__xludf.DUMMYFUNCTION("""COMPUTED_VALUE"""),2.85)</f>
        <v>2.85</v>
      </c>
      <c r="T77" s="30">
        <f>IFERROR(__xludf.DUMMYFUNCTION("""COMPUTED_VALUE"""),392.2879791690855)</f>
        <v>392.2879792</v>
      </c>
      <c r="U77" s="30">
        <f>IFERROR(__xludf.DUMMYFUNCTION("""COMPUTED_VALUE"""),0.8800264429323338)</f>
        <v>0.8800264429</v>
      </c>
      <c r="V77" s="30">
        <f>IFERROR(__xludf.DUMMYFUNCTION("""COMPUTED_VALUE"""),0.6890812648930467)</f>
        <v>0.6890812649</v>
      </c>
      <c r="W77" s="30">
        <f>IFERROR(__xludf.DUMMYFUNCTION("""COMPUTED_VALUE"""),1.533083190622702)</f>
        <v>1.533083191</v>
      </c>
      <c r="X77" s="30">
        <f>IFERROR(__xludf.DUMMYFUNCTION("""COMPUTED_VALUE"""),2.787244097032172)</f>
        <v>2.787244097</v>
      </c>
      <c r="Y77" s="30">
        <f>IFERROR(__xludf.DUMMYFUNCTION("""COMPUTED_VALUE"""),393.94731079380733)</f>
        <v>393.9473108</v>
      </c>
      <c r="Z77" s="30">
        <f>IFERROR(__xludf.DUMMYFUNCTION("""COMPUTED_VALUE"""),0.8894064619926688)</f>
        <v>0.889406462</v>
      </c>
      <c r="AA77" s="30">
        <f>IFERROR(__xludf.DUMMYFUNCTION("""COMPUTED_VALUE"""),0.6786888239031439)</f>
        <v>0.6786888239</v>
      </c>
      <c r="AB77" s="30">
        <f>IFERROR(__xludf.DUMMYFUNCTION("""COMPUTED_VALUE"""),1.5298149703106598)</f>
        <v>1.52981497</v>
      </c>
      <c r="AC77" s="30">
        <f>IFERROR(__xludf.DUMMYFUNCTION("""COMPUTED_VALUE"""),2.88150327048076)</f>
        <v>2.88150327</v>
      </c>
      <c r="AD77" s="30">
        <f>IFERROR(__xludf.DUMMYFUNCTION("""COMPUTED_VALUE"""),1.0467135799686285)</f>
        <v>1.04671358</v>
      </c>
      <c r="AE77" s="30">
        <f>IFERROR(__xludf.DUMMYFUNCTION("""COMPUTED_VALUE"""),1.1805625941231974)</f>
        <v>1.180562594</v>
      </c>
      <c r="AF77" s="30">
        <f>IFERROR(__xludf.DUMMYFUNCTION("""COMPUTED_VALUE"""),0.7367146509419393)</f>
        <v>0.7367146509</v>
      </c>
      <c r="AG77" s="30">
        <f>IFERROR(__xludf.DUMMYFUNCTION("""COMPUTED_VALUE"""),1.0458781166686373)</f>
        <v>1.045878117</v>
      </c>
      <c r="AH77" s="30">
        <f>IFERROR(__xludf.DUMMYFUNCTION("""COMPUTED_VALUE"""),1.1972917176055782)</f>
        <v>1.197291718</v>
      </c>
      <c r="AI77" s="30">
        <f>IFERROR(__xludf.DUMMYFUNCTION("""COMPUTED_VALUE"""),1.127530513689326)</f>
        <v>1.127530514</v>
      </c>
      <c r="AJ77" s="30">
        <f>IFERROR(__xludf.DUMMYFUNCTION("""COMPUTED_VALUE"""),1.1552683158917751)</f>
        <v>1.155268316</v>
      </c>
      <c r="AK77" s="30">
        <f>IFERROR(__xludf.DUMMYFUNCTION("""COMPUTED_VALUE"""),1.2093397046031664)</f>
        <v>1.209339705</v>
      </c>
      <c r="AL77" s="30">
        <f>IFERROR(__xludf.DUMMYFUNCTION("""COMPUTED_VALUE"""),1.108876550469189)</f>
        <v>1.10887655</v>
      </c>
      <c r="AM77" s="30">
        <f>IFERROR(__xludf.DUMMYFUNCTION("""COMPUTED_VALUE"""),1.0225153954168025)</f>
        <v>1.022515395</v>
      </c>
      <c r="AN77" s="30">
        <f>IFERROR(__xludf.DUMMYFUNCTION("""COMPUTED_VALUE"""),1.118026406298222)</f>
        <v>1.118026406</v>
      </c>
      <c r="AO77" s="30">
        <f>IFERROR(__xludf.DUMMYFUNCTION("""COMPUTED_VALUE"""),1.3682511048263317)</f>
        <v>1.368251105</v>
      </c>
      <c r="AP77" s="30">
        <f>IFERROR(__xludf.DUMMYFUNCTION("""COMPUTED_VALUE"""),0.7849086717860613)</f>
        <v>0.7849086718</v>
      </c>
      <c r="AQ77" s="30">
        <f>IFERROR(__xludf.DUMMYFUNCTION("""COMPUTED_VALUE"""),1.0931105809046766)</f>
        <v>1.093110581</v>
      </c>
      <c r="AR77" s="30">
        <f>IFERROR(__xludf.DUMMYFUNCTION("""COMPUTED_VALUE"""),1.2788083406852009)</f>
        <v>1.278808341</v>
      </c>
      <c r="AS77" s="30">
        <f>IFERROR(__xludf.DUMMYFUNCTION("""COMPUTED_VALUE"""),60.0)</f>
        <v>60</v>
      </c>
      <c r="AT77" s="30">
        <f>IFERROR(__xludf.DUMMYFUNCTION("""COMPUTED_VALUE"""),0.49307323380394374)</f>
        <v>0.4930732338</v>
      </c>
      <c r="AU77" s="30">
        <f>IFERROR(__xludf.DUMMYFUNCTION("""COMPUTED_VALUE"""),3.4039619115160793)</f>
        <v>3.403961912</v>
      </c>
      <c r="AV77" s="32">
        <f>IFERROR(__xludf.DUMMYFUNCTION("""COMPUTED_VALUE"""),59.18403464836581)</f>
        <v>59.18403465</v>
      </c>
      <c r="AW77" s="32">
        <f>IFERROR(__xludf.DUMMYFUNCTION("""COMPUTED_VALUE"""),2.803674892078319)</f>
        <v>2.803674892</v>
      </c>
      <c r="AX77" s="32">
        <f>IFERROR(__xludf.DUMMYFUNCTION("""COMPUTED_VALUE"""),47.91513710370814)</f>
        <v>47.9151371</v>
      </c>
      <c r="AY77" s="32">
        <f>IFERROR(__xludf.DUMMYFUNCTION("""COMPUTED_VALUE"""),-2.14238769435692)</f>
        <v>-2.142387694</v>
      </c>
      <c r="AZ77" s="30">
        <f>IFERROR(__xludf.DUMMYFUNCTION("""COMPUTED_VALUE"""),4.946062586435239)</f>
        <v>4.946062586</v>
      </c>
      <c r="BA77" s="30">
        <f>IFERROR(__xludf.DUMMYFUNCTION("""COMPUTED_VALUE"""),450.0)</f>
        <v>450</v>
      </c>
    </row>
    <row r="78">
      <c r="A78" s="30" t="str">
        <f>IFERROR(__xludf.DUMMYFUNCTION("""COMPUTED_VALUE"""),"Master")</f>
        <v>Master</v>
      </c>
      <c r="B78" s="30" t="str">
        <f>IFERROR(__xludf.DUMMYFUNCTION("""COMPUTED_VALUE"""),"RSC007924")</f>
        <v>RSC007924</v>
      </c>
      <c r="C78" s="30" t="str">
        <f>IFERROR(__xludf.DUMMYFUNCTION("""COMPUTED_VALUE"""),"Kaorix")</f>
        <v>Kaorix</v>
      </c>
      <c r="D78" s="30"/>
      <c r="E78" s="30">
        <f>IFERROR(__xludf.DUMMYFUNCTION("""COMPUTED_VALUE"""),4.0)</f>
        <v>4</v>
      </c>
      <c r="F78" s="30">
        <f>IFERROR(__xludf.DUMMYFUNCTION("""COMPUTED_VALUE"""),1.0)</f>
        <v>1</v>
      </c>
      <c r="G78" s="30">
        <f>IFERROR(__xludf.DUMMYFUNCTION("""COMPUTED_VALUE"""),3.0)</f>
        <v>3</v>
      </c>
      <c r="H78" s="42">
        <f>IFERROR(__xludf.DUMMYFUNCTION("""COMPUTED_VALUE"""),0.25)</f>
        <v>0.25</v>
      </c>
      <c r="I78" s="42">
        <f>IFERROR(__xludf.DUMMYFUNCTION("""COMPUTED_VALUE"""),0.14285714285714285)</f>
        <v>0.1428571429</v>
      </c>
      <c r="J78" s="30">
        <f>IFERROR(__xludf.DUMMYFUNCTION("""COMPUTED_VALUE"""),249.25)</f>
        <v>249.25</v>
      </c>
      <c r="K78" s="30">
        <f>IFERROR(__xludf.DUMMYFUNCTION("""COMPUTED_VALUE"""),0.25)</f>
        <v>0.25</v>
      </c>
      <c r="L78" s="30">
        <f>IFERROR(__xludf.DUMMYFUNCTION("""COMPUTED_VALUE"""),0.0)</f>
        <v>0</v>
      </c>
      <c r="M78" s="30">
        <f>IFERROR(__xludf.DUMMYFUNCTION("""COMPUTED_VALUE"""),1.25)</f>
        <v>1.25</v>
      </c>
      <c r="N78" s="30">
        <f>IFERROR(__xludf.DUMMYFUNCTION("""COMPUTED_VALUE"""),1.75)</f>
        <v>1.75</v>
      </c>
      <c r="O78" s="30">
        <f>IFERROR(__xludf.DUMMYFUNCTION("""COMPUTED_VALUE"""),385.8333333333333)</f>
        <v>385.8333333</v>
      </c>
      <c r="P78" s="30">
        <f>IFERROR(__xludf.DUMMYFUNCTION("""COMPUTED_VALUE"""),1.0833333333333335)</f>
        <v>1.083333333</v>
      </c>
      <c r="Q78" s="30">
        <f>IFERROR(__xludf.DUMMYFUNCTION("""COMPUTED_VALUE"""),0.7499999999999999)</f>
        <v>0.75</v>
      </c>
      <c r="R78" s="30">
        <f>IFERROR(__xludf.DUMMYFUNCTION("""COMPUTED_VALUE"""),1.0833333333333333)</f>
        <v>1.083333333</v>
      </c>
      <c r="S78" s="30">
        <f>IFERROR(__xludf.DUMMYFUNCTION("""COMPUTED_VALUE"""),2.75)</f>
        <v>2.75</v>
      </c>
      <c r="T78" s="30">
        <f>IFERROR(__xludf.DUMMYFUNCTION("""COMPUTED_VALUE"""),400.86942239858905)</f>
        <v>400.8694224</v>
      </c>
      <c r="U78" s="30">
        <f>IFERROR(__xludf.DUMMYFUNCTION("""COMPUTED_VALUE"""),0.9607197971781306)</f>
        <v>0.9607197972</v>
      </c>
      <c r="V78" s="30">
        <f>IFERROR(__xludf.DUMMYFUNCTION("""COMPUTED_VALUE"""),0.7243386243386244)</f>
        <v>0.7243386243</v>
      </c>
      <c r="W78" s="30">
        <f>IFERROR(__xludf.DUMMYFUNCTION("""COMPUTED_VALUE"""),1.3560901675485009)</f>
        <v>1.356090168</v>
      </c>
      <c r="X78" s="30">
        <f>IFERROR(__xludf.DUMMYFUNCTION("""COMPUTED_VALUE"""),3.066572971781305)</f>
        <v>3.066572972</v>
      </c>
      <c r="Y78" s="30">
        <f>IFERROR(__xludf.DUMMYFUNCTION("""COMPUTED_VALUE"""),372.5595072751322)</f>
        <v>372.5595073</v>
      </c>
      <c r="Z78" s="30">
        <f>IFERROR(__xludf.DUMMYFUNCTION("""COMPUTED_VALUE"""),0.7056455761316873)</f>
        <v>0.7056455761</v>
      </c>
      <c r="AA78" s="30">
        <f>IFERROR(__xludf.DUMMYFUNCTION("""COMPUTED_VALUE"""),0.5314079952968842)</f>
        <v>0.5314079953</v>
      </c>
      <c r="AB78" s="30">
        <f>IFERROR(__xludf.DUMMYFUNCTION("""COMPUTED_VALUE"""),1.6452307466196354)</f>
        <v>1.645230747</v>
      </c>
      <c r="AC78" s="30">
        <f>IFERROR(__xludf.DUMMYFUNCTION("""COMPUTED_VALUE"""),2.467781819517931)</f>
        <v>2.46778182</v>
      </c>
      <c r="AD78" s="30">
        <f>IFERROR(__xludf.DUMMYFUNCTION("""COMPUTED_VALUE"""),0.6690206400126326)</f>
        <v>0.66902064</v>
      </c>
      <c r="AE78" s="30">
        <f>IFERROR(__xludf.DUMMYFUNCTION("""COMPUTED_VALUE"""),0.3542855060049935)</f>
        <v>0.354285506</v>
      </c>
      <c r="AF78" s="30">
        <f>IFERROR(__xludf.DUMMYFUNCTION("""COMPUTED_VALUE"""),0.0)</f>
        <v>0</v>
      </c>
      <c r="AG78" s="30">
        <f>IFERROR(__xludf.DUMMYFUNCTION("""COMPUTED_VALUE"""),0.7597718451155291)</f>
        <v>0.7597718451</v>
      </c>
      <c r="AH78" s="30">
        <f>IFERROR(__xludf.DUMMYFUNCTION("""COMPUTED_VALUE"""),0.7091388655832849)</f>
        <v>0.7091388656</v>
      </c>
      <c r="AI78" s="30">
        <f>IFERROR(__xludf.DUMMYFUNCTION("""COMPUTED_VALUE"""),0.9624913045866961)</f>
        <v>0.9624913046</v>
      </c>
      <c r="AJ78" s="30">
        <f>IFERROR(__xludf.DUMMYFUNCTION("""COMPUTED_VALUE"""),1.1276267404037565)</f>
        <v>1.12762674</v>
      </c>
      <c r="AK78" s="30">
        <f>IFERROR(__xludf.DUMMYFUNCTION("""COMPUTED_VALUE"""),1.0354273192111028)</f>
        <v>1.035427319</v>
      </c>
      <c r="AL78" s="30">
        <f>IFERROR(__xludf.DUMMYFUNCTION("""COMPUTED_VALUE"""),0.7988652666745242)</f>
        <v>0.7988652667</v>
      </c>
      <c r="AM78" s="30">
        <f>IFERROR(__xludf.DUMMYFUNCTION("""COMPUTED_VALUE"""),0.8967665290555878)</f>
        <v>0.8967665291</v>
      </c>
      <c r="AN78" s="30">
        <f>IFERROR(__xludf.DUMMYFUNCTION("""COMPUTED_VALUE"""),0.6758047332844229)</f>
        <v>0.6758047333</v>
      </c>
      <c r="AO78" s="30">
        <f>IFERROR(__xludf.DUMMYFUNCTION("""COMPUTED_VALUE"""),0.325774072577698)</f>
        <v>0.3257740726</v>
      </c>
      <c r="AP78" s="30">
        <f>IFERROR(__xludf.DUMMYFUNCTION("""COMPUTED_VALUE"""),0.0)</f>
        <v>0</v>
      </c>
      <c r="AQ78" s="30">
        <f>IFERROR(__xludf.DUMMYFUNCTION("""COMPUTED_VALUE"""),0.8539926413317785)</f>
        <v>0.8539926413</v>
      </c>
      <c r="AR78" s="30">
        <f>IFERROR(__xludf.DUMMYFUNCTION("""COMPUTED_VALUE"""),0.648670897449015)</f>
        <v>0.6486708974</v>
      </c>
      <c r="AS78" s="30">
        <f>IFERROR(__xludf.DUMMYFUNCTION("""COMPUTED_VALUE"""),8.0)</f>
        <v>8</v>
      </c>
      <c r="AT78" s="30">
        <f>IFERROR(__xludf.DUMMYFUNCTION("""COMPUTED_VALUE"""),0.3140149230069259)</f>
        <v>0.314014923</v>
      </c>
      <c r="AU78" s="30">
        <f>IFERROR(__xludf.DUMMYFUNCTION("""COMPUTED_VALUE"""),0.6471465473940439)</f>
        <v>0.6471465474</v>
      </c>
      <c r="AV78" s="32">
        <f>IFERROR(__xludf.DUMMYFUNCTION("""COMPUTED_VALUE"""),-8.177661001407422)</f>
        <v>-8.177661001</v>
      </c>
      <c r="AW78" s="32">
        <f>IFERROR(__xludf.DUMMYFUNCTION("""COMPUTED_VALUE"""),-100.20240464038203)</f>
        <v>-100.2024046</v>
      </c>
      <c r="AX78" s="32">
        <f>IFERROR(__xludf.DUMMYFUNCTION("""COMPUTED_VALUE"""),-8.61848070359217)</f>
        <v>-8.618480704</v>
      </c>
      <c r="AY78" s="32">
        <f>IFERROR(__xludf.DUMMYFUNCTION("""COMPUTED_VALUE"""),-105.03985775989443)</f>
        <v>-105.0398578</v>
      </c>
      <c r="AZ78" s="30">
        <f>IFERROR(__xludf.DUMMYFUNCTION("""COMPUTED_VALUE"""),4.8374531195124035)</f>
        <v>4.83745312</v>
      </c>
      <c r="BA78" s="30">
        <f>IFERROR(__xludf.DUMMYFUNCTION("""COMPUTED_VALUE"""),450.0)</f>
        <v>450</v>
      </c>
    </row>
    <row r="79">
      <c r="A79" s="30" t="str">
        <f>IFERROR(__xludf.DUMMYFUNCTION("""COMPUTED_VALUE"""),"Master")</f>
        <v>Master</v>
      </c>
      <c r="B79" s="30" t="str">
        <f>IFERROR(__xludf.DUMMYFUNCTION("""COMPUTED_VALUE"""),"RSC002476")</f>
        <v>RSC002476</v>
      </c>
      <c r="C79" s="30" t="str">
        <f>IFERROR(__xludf.DUMMYFUNCTION("""COMPUTED_VALUE"""),"Argnor")</f>
        <v>Argnor</v>
      </c>
      <c r="D79" s="30" t="str">
        <f>IFERROR(__xludf.DUMMYFUNCTION("""COMPUTED_VALUE"""),"Helicoprions")</f>
        <v>Helicoprions</v>
      </c>
      <c r="E79" s="30">
        <f>IFERROR(__xludf.DUMMYFUNCTION("""COMPUTED_VALUE"""),27.0)</f>
        <v>27</v>
      </c>
      <c r="F79" s="30">
        <f>IFERROR(__xludf.DUMMYFUNCTION("""COMPUTED_VALUE"""),20.0)</f>
        <v>20</v>
      </c>
      <c r="G79" s="30">
        <f>IFERROR(__xludf.DUMMYFUNCTION("""COMPUTED_VALUE"""),7.0)</f>
        <v>7</v>
      </c>
      <c r="H79" s="42">
        <f>IFERROR(__xludf.DUMMYFUNCTION("""COMPUTED_VALUE"""),0.7407407407407407)</f>
        <v>0.7407407407</v>
      </c>
      <c r="I79" s="42">
        <f>IFERROR(__xludf.DUMMYFUNCTION("""COMPUTED_VALUE"""),0.25)</f>
        <v>0.25</v>
      </c>
      <c r="J79" s="30">
        <f>IFERROR(__xludf.DUMMYFUNCTION("""COMPUTED_VALUE"""),319.51851851851853)</f>
        <v>319.5185185</v>
      </c>
      <c r="K79" s="30">
        <f>IFERROR(__xludf.DUMMYFUNCTION("""COMPUTED_VALUE"""),0.7037037037037037)</f>
        <v>0.7037037037</v>
      </c>
      <c r="L79" s="30">
        <f>IFERROR(__xludf.DUMMYFUNCTION("""COMPUTED_VALUE"""),0.7777777777777778)</f>
        <v>0.7777777778</v>
      </c>
      <c r="M79" s="30">
        <f>IFERROR(__xludf.DUMMYFUNCTION("""COMPUTED_VALUE"""),0.9259259259259259)</f>
        <v>0.9259259259</v>
      </c>
      <c r="N79" s="30">
        <f>IFERROR(__xludf.DUMMYFUNCTION("""COMPUTED_VALUE"""),2.814814814814815)</f>
        <v>2.814814815</v>
      </c>
      <c r="O79" s="30">
        <f>IFERROR(__xludf.DUMMYFUNCTION("""COMPUTED_VALUE"""),352.51851851851853)</f>
        <v>352.5185185</v>
      </c>
      <c r="P79" s="30">
        <f>IFERROR(__xludf.DUMMYFUNCTION("""COMPUTED_VALUE"""),0.6049382716049384)</f>
        <v>0.6049382716</v>
      </c>
      <c r="Q79" s="30">
        <f>IFERROR(__xludf.DUMMYFUNCTION("""COMPUTED_VALUE"""),0.46913580246913583)</f>
        <v>0.4691358025</v>
      </c>
      <c r="R79" s="30">
        <f>IFERROR(__xludf.DUMMYFUNCTION("""COMPUTED_VALUE"""),1.6913580246913582)</f>
        <v>1.691358025</v>
      </c>
      <c r="S79" s="30">
        <f>IFERROR(__xludf.DUMMYFUNCTION("""COMPUTED_VALUE"""),2.3456790123456788)</f>
        <v>2.345679012</v>
      </c>
      <c r="T79" s="30">
        <f>IFERROR(__xludf.DUMMYFUNCTION("""COMPUTED_VALUE"""),364.6427866204188)</f>
        <v>364.6427866</v>
      </c>
      <c r="U79" s="30">
        <f>IFERROR(__xludf.DUMMYFUNCTION("""COMPUTED_VALUE"""),0.7527608722384833)</f>
        <v>0.7527608722</v>
      </c>
      <c r="V79" s="30">
        <f>IFERROR(__xludf.DUMMYFUNCTION("""COMPUTED_VALUE"""),0.5881178670852462)</f>
        <v>0.5881178671</v>
      </c>
      <c r="W79" s="30">
        <f>IFERROR(__xludf.DUMMYFUNCTION("""COMPUTED_VALUE"""),1.5496485650898235)</f>
        <v>1.549648565</v>
      </c>
      <c r="X79" s="30">
        <f>IFERROR(__xludf.DUMMYFUNCTION("""COMPUTED_VALUE"""),2.6596218301786276)</f>
        <v>2.65962183</v>
      </c>
      <c r="Y79" s="30">
        <f>IFERROR(__xludf.DUMMYFUNCTION("""COMPUTED_VALUE"""),393.1918266264946)</f>
        <v>393.1918266</v>
      </c>
      <c r="Z79" s="30">
        <f>IFERROR(__xludf.DUMMYFUNCTION("""COMPUTED_VALUE"""),0.9193938120800988)</f>
        <v>0.9193938121</v>
      </c>
      <c r="AA79" s="30">
        <f>IFERROR(__xludf.DUMMYFUNCTION("""COMPUTED_VALUE"""),0.7067848583273153)</f>
        <v>0.7067848583</v>
      </c>
      <c r="AB79" s="30">
        <f>IFERROR(__xludf.DUMMYFUNCTION("""COMPUTED_VALUE"""),1.488175020112129)</f>
        <v>1.48817502</v>
      </c>
      <c r="AC79" s="30">
        <f>IFERROR(__xludf.DUMMYFUNCTION("""COMPUTED_VALUE"""),2.943999279716562)</f>
        <v>2.94399928</v>
      </c>
      <c r="AD79" s="30">
        <f>IFERROR(__xludf.DUMMYFUNCTION("""COMPUTED_VALUE"""),0.8126275697537306)</f>
        <v>0.8126275698</v>
      </c>
      <c r="AE79" s="30">
        <f>IFERROR(__xludf.DUMMYFUNCTION("""COMPUTED_VALUE"""),0.7653996518767042)</f>
        <v>0.7653996519</v>
      </c>
      <c r="AF79" s="30">
        <f>IFERROR(__xludf.DUMMYFUNCTION("""COMPUTED_VALUE"""),1.1004448788256092)</f>
        <v>1.100444879</v>
      </c>
      <c r="AG79" s="30">
        <f>IFERROR(__xludf.DUMMYFUNCTION("""COMPUTED_VALUE"""),0.6221888644899848)</f>
        <v>0.6221888645</v>
      </c>
      <c r="AH79" s="30">
        <f>IFERROR(__xludf.DUMMYFUNCTION("""COMPUTED_VALUE"""),0.9561193965665017)</f>
        <v>0.9561193966</v>
      </c>
      <c r="AI79" s="30">
        <f>IFERROR(__xludf.DUMMYFUNCTION("""COMPUTED_VALUE"""),0.9667502867278128)</f>
        <v>0.9667502867</v>
      </c>
      <c r="AJ79" s="30">
        <f>IFERROR(__xludf.DUMMYFUNCTION("""COMPUTED_VALUE"""),0.8036260835476674)</f>
        <v>0.8036260835</v>
      </c>
      <c r="AK79" s="30">
        <f>IFERROR(__xludf.DUMMYFUNCTION("""COMPUTED_VALUE"""),0.7976901038463703)</f>
        <v>0.7976901038</v>
      </c>
      <c r="AL79" s="30">
        <f>IFERROR(__xludf.DUMMYFUNCTION("""COMPUTED_VALUE"""),1.091446191603656)</f>
        <v>1.091446192</v>
      </c>
      <c r="AM79" s="30">
        <f>IFERROR(__xludf.DUMMYFUNCTION("""COMPUTED_VALUE"""),0.8819596025755798)</f>
        <v>0.8819596026</v>
      </c>
      <c r="AN79" s="30">
        <f>IFERROR(__xludf.DUMMYFUNCTION("""COMPUTED_VALUE"""),0.8663274912210285)</f>
        <v>0.8663274912</v>
      </c>
      <c r="AO79" s="30">
        <f>IFERROR(__xludf.DUMMYFUNCTION("""COMPUTED_VALUE"""),0.9169936857742611)</f>
        <v>0.9169936858</v>
      </c>
      <c r="AP79" s="30">
        <f>IFERROR(__xludf.DUMMYFUNCTION("""COMPUTED_VALUE"""),1.2209690450005397)</f>
        <v>1.220969045</v>
      </c>
      <c r="AQ79" s="30">
        <f>IFERROR(__xludf.DUMMYFUNCTION("""COMPUTED_VALUE"""),0.6325871417272434)</f>
        <v>0.6325871417</v>
      </c>
      <c r="AR79" s="30">
        <f>IFERROR(__xludf.DUMMYFUNCTION("""COMPUTED_VALUE"""),1.0433648297592621)</f>
        <v>1.04336483</v>
      </c>
      <c r="AS79" s="30">
        <f>IFERROR(__xludf.DUMMYFUNCTION("""COMPUTED_VALUE"""),72.0)</f>
        <v>72</v>
      </c>
      <c r="AT79" s="30">
        <f>IFERROR(__xludf.DUMMYFUNCTION("""COMPUTED_VALUE"""),0.6437998611304165)</f>
        <v>0.6437998611</v>
      </c>
      <c r="AU79" s="30">
        <f>IFERROR(__xludf.DUMMYFUNCTION("""COMPUTED_VALUE"""),3.12239817687884)</f>
        <v>3.122398177</v>
      </c>
      <c r="AV79" s="32">
        <f>IFERROR(__xludf.DUMMYFUNCTION("""COMPUTED_VALUE"""),52.30413589073264)</f>
        <v>52.30413589</v>
      </c>
      <c r="AW79" s="32">
        <f>IFERROR(__xludf.DUMMYFUNCTION("""COMPUTED_VALUE"""),2.158506470108284)</f>
        <v>2.15850647</v>
      </c>
      <c r="AX79" s="32">
        <f>IFERROR(__xludf.DUMMYFUNCTION("""COMPUTED_VALUE"""),42.96471287372244)</f>
        <v>42.96471287</v>
      </c>
      <c r="AY79" s="32">
        <f>IFERROR(__xludf.DUMMYFUNCTION("""COMPUTED_VALUE"""),-2.5693902040515337)</f>
        <v>-2.569390204</v>
      </c>
      <c r="AZ79" s="30">
        <f>IFERROR(__xludf.DUMMYFUNCTION("""COMPUTED_VALUE"""),4.727896674159817)</f>
        <v>4.727896674</v>
      </c>
      <c r="BA79" s="30">
        <f>IFERROR(__xludf.DUMMYFUNCTION("""COMPUTED_VALUE"""),450.0)</f>
        <v>450</v>
      </c>
    </row>
    <row r="80">
      <c r="A80" s="30" t="str">
        <f>IFERROR(__xludf.DUMMYFUNCTION("""COMPUTED_VALUE"""),"Master")</f>
        <v>Master</v>
      </c>
      <c r="B80" s="30" t="str">
        <f>IFERROR(__xludf.DUMMYFUNCTION("""COMPUTED_VALUE"""),"RSC003728")</f>
        <v>RSC003728</v>
      </c>
      <c r="C80" s="30" t="str">
        <f>IFERROR(__xludf.DUMMYFUNCTION("""COMPUTED_VALUE"""),"yy")</f>
        <v>yy</v>
      </c>
      <c r="D80" s="30" t="str">
        <f>IFERROR(__xludf.DUMMYFUNCTION("""COMPUTED_VALUE"""),"Kawaii")</f>
        <v>Kawaii</v>
      </c>
      <c r="E80" s="30">
        <f>IFERROR(__xludf.DUMMYFUNCTION("""COMPUTED_VALUE"""),33.0)</f>
        <v>33</v>
      </c>
      <c r="F80" s="30">
        <f>IFERROR(__xludf.DUMMYFUNCTION("""COMPUTED_VALUE"""),16.0)</f>
        <v>16</v>
      </c>
      <c r="G80" s="30">
        <f>IFERROR(__xludf.DUMMYFUNCTION("""COMPUTED_VALUE"""),17.0)</f>
        <v>17</v>
      </c>
      <c r="H80" s="42">
        <f>IFERROR(__xludf.DUMMYFUNCTION("""COMPUTED_VALUE"""),0.48484848484848486)</f>
        <v>0.4848484848</v>
      </c>
      <c r="I80" s="42">
        <f>IFERROR(__xludf.DUMMYFUNCTION("""COMPUTED_VALUE"""),0.24242424242424243)</f>
        <v>0.2424242424</v>
      </c>
      <c r="J80" s="30">
        <f>IFERROR(__xludf.DUMMYFUNCTION("""COMPUTED_VALUE"""),397.45454545454544)</f>
        <v>397.4545455</v>
      </c>
      <c r="K80" s="30">
        <f>IFERROR(__xludf.DUMMYFUNCTION("""COMPUTED_VALUE"""),0.7272727272727273)</f>
        <v>0.7272727273</v>
      </c>
      <c r="L80" s="30">
        <f>IFERROR(__xludf.DUMMYFUNCTION("""COMPUTED_VALUE"""),0.7272727272727273)</f>
        <v>0.7272727273</v>
      </c>
      <c r="M80" s="30">
        <f>IFERROR(__xludf.DUMMYFUNCTION("""COMPUTED_VALUE"""),1.5151515151515151)</f>
        <v>1.515151515</v>
      </c>
      <c r="N80" s="30">
        <f>IFERROR(__xludf.DUMMYFUNCTION("""COMPUTED_VALUE"""),3.0)</f>
        <v>3</v>
      </c>
      <c r="O80" s="30">
        <f>IFERROR(__xludf.DUMMYFUNCTION("""COMPUTED_VALUE"""),411.51515151515144)</f>
        <v>411.5151515</v>
      </c>
      <c r="P80" s="30">
        <f>IFERROR(__xludf.DUMMYFUNCTION("""COMPUTED_VALUE"""),0.9090909090909091)</f>
        <v>0.9090909091</v>
      </c>
      <c r="Q80" s="30">
        <f>IFERROR(__xludf.DUMMYFUNCTION("""COMPUTED_VALUE"""),0.6767676767676767)</f>
        <v>0.6767676768</v>
      </c>
      <c r="R80" s="30">
        <f>IFERROR(__xludf.DUMMYFUNCTION("""COMPUTED_VALUE"""),1.696969696969697)</f>
        <v>1.696969697</v>
      </c>
      <c r="S80" s="30">
        <f>IFERROR(__xludf.DUMMYFUNCTION("""COMPUTED_VALUE"""),2.858585858585859)</f>
        <v>2.858585859</v>
      </c>
      <c r="T80" s="30">
        <f>IFERROR(__xludf.DUMMYFUNCTION("""COMPUTED_VALUE"""),393.3573002602973)</f>
        <v>393.3573003</v>
      </c>
      <c r="U80" s="30">
        <f>IFERROR(__xludf.DUMMYFUNCTION("""COMPUTED_VALUE"""),0.8993928475607142)</f>
        <v>0.8993928476</v>
      </c>
      <c r="V80" s="30">
        <f>IFERROR(__xludf.DUMMYFUNCTION("""COMPUTED_VALUE"""),0.7146250777910326)</f>
        <v>0.7146250778</v>
      </c>
      <c r="W80" s="30">
        <f>IFERROR(__xludf.DUMMYFUNCTION("""COMPUTED_VALUE"""),1.4765353867841446)</f>
        <v>1.476535387</v>
      </c>
      <c r="X80" s="30">
        <f>IFERROR(__xludf.DUMMYFUNCTION("""COMPUTED_VALUE"""),2.8507221439727726)</f>
        <v>2.850722144</v>
      </c>
      <c r="Y80" s="30">
        <f>IFERROR(__xludf.DUMMYFUNCTION("""COMPUTED_VALUE"""),381.90739668462453)</f>
        <v>381.9073967</v>
      </c>
      <c r="Z80" s="30">
        <f>IFERROR(__xludf.DUMMYFUNCTION("""COMPUTED_VALUE"""),0.8241516179327577)</f>
        <v>0.8241516179</v>
      </c>
      <c r="AA80" s="30">
        <f>IFERROR(__xludf.DUMMYFUNCTION("""COMPUTED_VALUE"""),0.6399972609956319)</f>
        <v>0.639997261</v>
      </c>
      <c r="AB80" s="30">
        <f>IFERROR(__xludf.DUMMYFUNCTION("""COMPUTED_VALUE"""),1.4988443496327812)</f>
        <v>1.49884435</v>
      </c>
      <c r="AC80" s="30">
        <f>IFERROR(__xludf.DUMMYFUNCTION("""COMPUTED_VALUE"""),2.7860346029295022)</f>
        <v>2.786034603</v>
      </c>
      <c r="AD80" s="30">
        <f>IFERROR(__xludf.DUMMYFUNCTION("""COMPUTED_VALUE"""),1.0407092109367015)</f>
        <v>1.040709211</v>
      </c>
      <c r="AE80" s="30">
        <f>IFERROR(__xludf.DUMMYFUNCTION("""COMPUTED_VALUE"""),0.8824501601986362)</f>
        <v>0.8824501602</v>
      </c>
      <c r="AF80" s="30">
        <f>IFERROR(__xludf.DUMMYFUNCTION("""COMPUTED_VALUE"""),1.1363684996734558)</f>
        <v>1.1363685</v>
      </c>
      <c r="AG80" s="30">
        <f>IFERROR(__xludf.DUMMYFUNCTION("""COMPUTED_VALUE"""),1.0108798258623246)</f>
        <v>1.010879826</v>
      </c>
      <c r="AH80" s="30">
        <f>IFERROR(__xludf.DUMMYFUNCTION("""COMPUTED_VALUE"""),1.076799260441889)</f>
        <v>1.07679926</v>
      </c>
      <c r="AI80" s="30">
        <f>IFERROR(__xludf.DUMMYFUNCTION("""COMPUTED_VALUE"""),1.046161215878893)</f>
        <v>1.046161216</v>
      </c>
      <c r="AJ80" s="30">
        <f>IFERROR(__xludf.DUMMYFUNCTION("""COMPUTED_VALUE"""),1.0107828982146092)</f>
        <v>1.010782898</v>
      </c>
      <c r="AK80" s="30">
        <f>IFERROR(__xludf.DUMMYFUNCTION("""COMPUTED_VALUE"""),0.9470248075531069)</f>
        <v>0.9470248076</v>
      </c>
      <c r="AL80" s="30">
        <f>IFERROR(__xludf.DUMMYFUNCTION("""COMPUTED_VALUE"""),1.1492915863436586)</f>
        <v>1.149291586</v>
      </c>
      <c r="AM80" s="30">
        <f>IFERROR(__xludf.DUMMYFUNCTION("""COMPUTED_VALUE"""),1.0027584991507197)</f>
        <v>1.002758499</v>
      </c>
      <c r="AN80" s="30">
        <f>IFERROR(__xludf.DUMMYFUNCTION("""COMPUTED_VALUE"""),1.077639571047505)</f>
        <v>1.077639571</v>
      </c>
      <c r="AO80" s="30">
        <f>IFERROR(__xludf.DUMMYFUNCTION("""COMPUTED_VALUE"""),0.9477063929533033)</f>
        <v>0.947706393</v>
      </c>
      <c r="AP80" s="30">
        <f>IFERROR(__xludf.DUMMYFUNCTION("""COMPUTED_VALUE"""),1.1416853407797254)</f>
        <v>1.141685341</v>
      </c>
      <c r="AQ80" s="30">
        <f>IFERROR(__xludf.DUMMYFUNCTION("""COMPUTED_VALUE"""),1.0351425955536708)</f>
        <v>1.035142596</v>
      </c>
      <c r="AR80" s="30">
        <f>IFERROR(__xludf.DUMMYFUNCTION("""COMPUTED_VALUE"""),1.1120072527697398)</f>
        <v>1.112007253</v>
      </c>
      <c r="AS80" s="30">
        <f>IFERROR(__xludf.DUMMYFUNCTION("""COMPUTED_VALUE"""),84.0)</f>
        <v>84</v>
      </c>
      <c r="AT80" s="30">
        <f>IFERROR(__xludf.DUMMYFUNCTION("""COMPUTED_VALUE"""),0.47223348832612144)</f>
        <v>0.4722334883</v>
      </c>
      <c r="AU80" s="30">
        <f>IFERROR(__xludf.DUMMYFUNCTION("""COMPUTED_VALUE"""),3.3457372595291917)</f>
        <v>3.34573726</v>
      </c>
      <c r="AV80" s="32">
        <f>IFERROR(__xludf.DUMMYFUNCTION("""COMPUTED_VALUE"""),57.761338251103176)</f>
        <v>57.76133825</v>
      </c>
      <c r="AW80" s="32">
        <f>IFERROR(__xludf.DUMMYFUNCTION("""COMPUTED_VALUE"""),2.644746680135896)</f>
        <v>2.64474668</v>
      </c>
      <c r="AX80" s="32">
        <f>IFERROR(__xludf.DUMMYFUNCTION("""COMPUTED_VALUE"""),49.31052140555112)</f>
        <v>49.31052141</v>
      </c>
      <c r="AY80" s="32">
        <f>IFERROR(__xludf.DUMMYFUNCTION("""COMPUTED_VALUE"""),-2.0449943413857112)</f>
        <v>-2.044994341</v>
      </c>
      <c r="AZ80" s="30">
        <f>IFERROR(__xludf.DUMMYFUNCTION("""COMPUTED_VALUE"""),4.689741021521607)</f>
        <v>4.689741022</v>
      </c>
      <c r="BA80" s="30">
        <f>IFERROR(__xludf.DUMMYFUNCTION("""COMPUTED_VALUE"""),450.0)</f>
        <v>450</v>
      </c>
    </row>
    <row r="81">
      <c r="A81" s="30" t="str">
        <f>IFERROR(__xludf.DUMMYFUNCTION("""COMPUTED_VALUE"""),"Master")</f>
        <v>Master</v>
      </c>
      <c r="B81" s="30" t="str">
        <f>IFERROR(__xludf.DUMMYFUNCTION("""COMPUTED_VALUE"""),"RSC002490")</f>
        <v>RSC002490</v>
      </c>
      <c r="C81" s="30" t="str">
        <f>IFERROR(__xludf.DUMMYFUNCTION("""COMPUTED_VALUE"""),"alexis bexas")</f>
        <v>alexis bexas</v>
      </c>
      <c r="D81" s="30" t="str">
        <f>IFERROR(__xludf.DUMMYFUNCTION("""COMPUTED_VALUE"""),"Tempests")</f>
        <v>Tempests</v>
      </c>
      <c r="E81" s="30">
        <f>IFERROR(__xludf.DUMMYFUNCTION("""COMPUTED_VALUE"""),32.0)</f>
        <v>32</v>
      </c>
      <c r="F81" s="30">
        <f>IFERROR(__xludf.DUMMYFUNCTION("""COMPUTED_VALUE"""),18.0)</f>
        <v>18</v>
      </c>
      <c r="G81" s="30">
        <f>IFERROR(__xludf.DUMMYFUNCTION("""COMPUTED_VALUE"""),14.0)</f>
        <v>14</v>
      </c>
      <c r="H81" s="42">
        <f>IFERROR(__xludf.DUMMYFUNCTION("""COMPUTED_VALUE"""),0.5625)</f>
        <v>0.5625</v>
      </c>
      <c r="I81" s="42">
        <f>IFERROR(__xludf.DUMMYFUNCTION("""COMPUTED_VALUE"""),0.35)</f>
        <v>0.35</v>
      </c>
      <c r="J81" s="30">
        <f>IFERROR(__xludf.DUMMYFUNCTION("""COMPUTED_VALUE"""),338.40625)</f>
        <v>338.40625</v>
      </c>
      <c r="K81" s="30">
        <f>IFERROR(__xludf.DUMMYFUNCTION("""COMPUTED_VALUE"""),0.875)</f>
        <v>0.875</v>
      </c>
      <c r="L81" s="30">
        <f>IFERROR(__xludf.DUMMYFUNCTION("""COMPUTED_VALUE"""),0.59375)</f>
        <v>0.59375</v>
      </c>
      <c r="M81" s="30">
        <f>IFERROR(__xludf.DUMMYFUNCTION("""COMPUTED_VALUE"""),0.96875)</f>
        <v>0.96875</v>
      </c>
      <c r="N81" s="30">
        <f>IFERROR(__xludf.DUMMYFUNCTION("""COMPUTED_VALUE"""),2.5)</f>
        <v>2.5</v>
      </c>
      <c r="O81" s="30">
        <f>IFERROR(__xludf.DUMMYFUNCTION("""COMPUTED_VALUE"""),350.28125)</f>
        <v>350.28125</v>
      </c>
      <c r="P81" s="30">
        <f>IFERROR(__xludf.DUMMYFUNCTION("""COMPUTED_VALUE"""),0.8333333333333333)</f>
        <v>0.8333333333</v>
      </c>
      <c r="Q81" s="30">
        <f>IFERROR(__xludf.DUMMYFUNCTION("""COMPUTED_VALUE"""),0.59375)</f>
        <v>0.59375</v>
      </c>
      <c r="R81" s="30">
        <f>IFERROR(__xludf.DUMMYFUNCTION("""COMPUTED_VALUE"""),1.2395833333333335)</f>
        <v>1.239583333</v>
      </c>
      <c r="S81" s="30">
        <f>IFERROR(__xludf.DUMMYFUNCTION("""COMPUTED_VALUE"""),2.65625)</f>
        <v>2.65625</v>
      </c>
      <c r="T81" s="30">
        <f>IFERROR(__xludf.DUMMYFUNCTION("""COMPUTED_VALUE"""),379.00050427022)</f>
        <v>379.0005043</v>
      </c>
      <c r="U81" s="30">
        <f>IFERROR(__xludf.DUMMYFUNCTION("""COMPUTED_VALUE"""),0.8343371773700267)</f>
        <v>0.8343371774</v>
      </c>
      <c r="V81" s="30">
        <f>IFERROR(__xludf.DUMMYFUNCTION("""COMPUTED_VALUE"""),0.6529682338191917)</f>
        <v>0.6529682338</v>
      </c>
      <c r="W81" s="30">
        <f>IFERROR(__xludf.DUMMYFUNCTION("""COMPUTED_VALUE"""),1.479259283829724)</f>
        <v>1.479259284</v>
      </c>
      <c r="X81" s="30">
        <f>IFERROR(__xludf.DUMMYFUNCTION("""COMPUTED_VALUE"""),2.7703269656207246)</f>
        <v>2.770326966</v>
      </c>
      <c r="Y81" s="30">
        <f>IFERROR(__xludf.DUMMYFUNCTION("""COMPUTED_VALUE"""),382.1729550323722)</f>
        <v>382.172955</v>
      </c>
      <c r="Z81" s="30">
        <f>IFERROR(__xludf.DUMMYFUNCTION("""COMPUTED_VALUE"""),0.8571902297724976)</f>
        <v>0.8571902298</v>
      </c>
      <c r="AA81" s="30">
        <f>IFERROR(__xludf.DUMMYFUNCTION("""COMPUTED_VALUE"""),0.6501736864692258)</f>
        <v>0.6501736865</v>
      </c>
      <c r="AB81" s="30">
        <f>IFERROR(__xludf.DUMMYFUNCTION("""COMPUTED_VALUE"""),1.4833643407838235)</f>
        <v>1.483364341</v>
      </c>
      <c r="AC81" s="30">
        <f>IFERROR(__xludf.DUMMYFUNCTION("""COMPUTED_VALUE"""),2.782310010717137)</f>
        <v>2.782310011</v>
      </c>
      <c r="AD81" s="30">
        <f>IFERROR(__xludf.DUMMYFUNCTION("""COMPUTED_VALUE"""),0.8854793243319248)</f>
        <v>0.8854793243</v>
      </c>
      <c r="AE81" s="30">
        <f>IFERROR(__xludf.DUMMYFUNCTION("""COMPUTED_VALUE"""),1.0207769169653615)</f>
        <v>1.020776917</v>
      </c>
      <c r="AF81" s="30">
        <f>IFERROR(__xludf.DUMMYFUNCTION("""COMPUTED_VALUE"""),0.913217517651883)</f>
        <v>0.9132175177</v>
      </c>
      <c r="AG81" s="30">
        <f>IFERROR(__xludf.DUMMYFUNCTION("""COMPUTED_VALUE"""),0.6530762358006419)</f>
        <v>0.6530762358</v>
      </c>
      <c r="AH81" s="30">
        <f>IFERROR(__xludf.DUMMYFUNCTION("""COMPUTED_VALUE"""),0.8985339485428614)</f>
        <v>0.8985339485</v>
      </c>
      <c r="AI81" s="30">
        <f>IFERROR(__xludf.DUMMYFUNCTION("""COMPUTED_VALUE"""),0.9242237043311591)</f>
        <v>0.9242237043</v>
      </c>
      <c r="AJ81" s="30">
        <f>IFERROR(__xludf.DUMMYFUNCTION("""COMPUTED_VALUE"""),0.9987968365021709)</f>
        <v>0.9987968365</v>
      </c>
      <c r="AK81" s="30">
        <f>IFERROR(__xludf.DUMMYFUNCTION("""COMPUTED_VALUE"""),0.909309165818334)</f>
        <v>0.9093091658</v>
      </c>
      <c r="AL81" s="30">
        <f>IFERROR(__xludf.DUMMYFUNCTION("""COMPUTED_VALUE"""),0.8379756996515971)</f>
        <v>0.8379756997</v>
      </c>
      <c r="AM81" s="30">
        <f>IFERROR(__xludf.DUMMYFUNCTION("""COMPUTED_VALUE"""),0.958821840513268)</f>
        <v>0.9588218405</v>
      </c>
      <c r="AN81" s="30">
        <f>IFERROR(__xludf.DUMMYFUNCTION("""COMPUTED_VALUE"""),0.9175387984875897)</f>
        <v>0.9175387985</v>
      </c>
      <c r="AO81" s="30">
        <f>IFERROR(__xludf.DUMMYFUNCTION("""COMPUTED_VALUE"""),1.140209254021943)</f>
        <v>1.140209254</v>
      </c>
      <c r="AP81" s="30">
        <f>IFERROR(__xludf.DUMMYFUNCTION("""COMPUTED_VALUE"""),0.9320790477459477)</f>
        <v>0.9320790477</v>
      </c>
      <c r="AQ81" s="30">
        <f>IFERROR(__xludf.DUMMYFUNCTION("""COMPUTED_VALUE"""),0.6618442970321283)</f>
        <v>0.661844297</v>
      </c>
      <c r="AR81" s="30">
        <f>IFERROR(__xludf.DUMMYFUNCTION("""COMPUTED_VALUE"""),0.9266727106414498)</f>
        <v>0.9266727106</v>
      </c>
      <c r="AS81" s="30">
        <f>IFERROR(__xludf.DUMMYFUNCTION("""COMPUTED_VALUE"""),82.0)</f>
        <v>82</v>
      </c>
      <c r="AT81" s="30">
        <f>IFERROR(__xludf.DUMMYFUNCTION("""COMPUTED_VALUE"""),0.5098311390909911)</f>
        <v>0.5098311391</v>
      </c>
      <c r="AU81" s="30">
        <f>IFERROR(__xludf.DUMMYFUNCTION("""COMPUTED_VALUE"""),3.0541284292977067)</f>
        <v>3.054128429</v>
      </c>
      <c r="AV81" s="32">
        <f>IFERROR(__xludf.DUMMYFUNCTION("""COMPUTED_VALUE"""),50.63599154617596)</f>
        <v>50.63599155</v>
      </c>
      <c r="AW81" s="32">
        <f>IFERROR(__xludf.DUMMYFUNCTION("""COMPUTED_VALUE"""),2.041432347997565)</f>
        <v>2.041432348</v>
      </c>
      <c r="AX81" s="32">
        <f>IFERROR(__xludf.DUMMYFUNCTION("""COMPUTED_VALUE"""),42.39463498293255)</f>
        <v>42.39463498</v>
      </c>
      <c r="AY81" s="32">
        <f>IFERROR(__xludf.DUMMYFUNCTION("""COMPUTED_VALUE"""),-2.6282438375560115)</f>
        <v>-2.628243838</v>
      </c>
      <c r="AZ81" s="30">
        <f>IFERROR(__xludf.DUMMYFUNCTION("""COMPUTED_VALUE"""),4.669676185553577)</f>
        <v>4.669676186</v>
      </c>
      <c r="BA81" s="30">
        <f>IFERROR(__xludf.DUMMYFUNCTION("""COMPUTED_VALUE"""),450.0)</f>
        <v>450</v>
      </c>
    </row>
    <row r="82">
      <c r="A82" s="30" t="str">
        <f>IFERROR(__xludf.DUMMYFUNCTION("""COMPUTED_VALUE"""),"Master")</f>
        <v>Master</v>
      </c>
      <c r="B82" s="30" t="str">
        <f>IFERROR(__xludf.DUMMYFUNCTION("""COMPUTED_VALUE"""),"RSC005499")</f>
        <v>RSC005499</v>
      </c>
      <c r="C82" s="30" t="str">
        <f>IFERROR(__xludf.DUMMYFUNCTION("""COMPUTED_VALUE"""),"R0cket")</f>
        <v>R0cket</v>
      </c>
      <c r="D82" s="30" t="str">
        <f>IFERROR(__xludf.DUMMYFUNCTION("""COMPUTED_VALUE"""),"Tempests")</f>
        <v>Tempests</v>
      </c>
      <c r="E82" s="30">
        <f>IFERROR(__xludf.DUMMYFUNCTION("""COMPUTED_VALUE"""),29.0)</f>
        <v>29</v>
      </c>
      <c r="F82" s="30">
        <f>IFERROR(__xludf.DUMMYFUNCTION("""COMPUTED_VALUE"""),17.0)</f>
        <v>17</v>
      </c>
      <c r="G82" s="30">
        <f>IFERROR(__xludf.DUMMYFUNCTION("""COMPUTED_VALUE"""),12.0)</f>
        <v>12</v>
      </c>
      <c r="H82" s="42">
        <f>IFERROR(__xludf.DUMMYFUNCTION("""COMPUTED_VALUE"""),0.5862068965517241)</f>
        <v>0.5862068966</v>
      </c>
      <c r="I82" s="42">
        <f>IFERROR(__xludf.DUMMYFUNCTION("""COMPUTED_VALUE"""),0.3188405797101449)</f>
        <v>0.3188405797</v>
      </c>
      <c r="J82" s="30">
        <f>IFERROR(__xludf.DUMMYFUNCTION("""COMPUTED_VALUE"""),359.17241379310343)</f>
        <v>359.1724138</v>
      </c>
      <c r="K82" s="30">
        <f>IFERROR(__xludf.DUMMYFUNCTION("""COMPUTED_VALUE"""),0.7586206896551724)</f>
        <v>0.7586206897</v>
      </c>
      <c r="L82" s="30">
        <f>IFERROR(__xludf.DUMMYFUNCTION("""COMPUTED_VALUE"""),0.7931034482758621)</f>
        <v>0.7931034483</v>
      </c>
      <c r="M82" s="30">
        <f>IFERROR(__xludf.DUMMYFUNCTION("""COMPUTED_VALUE"""),1.5172413793103448)</f>
        <v>1.517241379</v>
      </c>
      <c r="N82" s="30">
        <f>IFERROR(__xludf.DUMMYFUNCTION("""COMPUTED_VALUE"""),2.3793103448275863)</f>
        <v>2.379310345</v>
      </c>
      <c r="O82" s="30">
        <f>IFERROR(__xludf.DUMMYFUNCTION("""COMPUTED_VALUE"""),348.06896551724134)</f>
        <v>348.0689655</v>
      </c>
      <c r="P82" s="30">
        <f>IFERROR(__xludf.DUMMYFUNCTION("""COMPUTED_VALUE"""),0.8275862068965517)</f>
        <v>0.8275862069</v>
      </c>
      <c r="Q82" s="30">
        <f>IFERROR(__xludf.DUMMYFUNCTION("""COMPUTED_VALUE"""),0.5862068965517241)</f>
        <v>0.5862068966</v>
      </c>
      <c r="R82" s="30">
        <f>IFERROR(__xludf.DUMMYFUNCTION("""COMPUTED_VALUE"""),1.2988505747126435)</f>
        <v>1.298850575</v>
      </c>
      <c r="S82" s="30">
        <f>IFERROR(__xludf.DUMMYFUNCTION("""COMPUTED_VALUE"""),2.735632183908046)</f>
        <v>2.735632184</v>
      </c>
      <c r="T82" s="30">
        <f>IFERROR(__xludf.DUMMYFUNCTION("""COMPUTED_VALUE"""),383.15071500529183)</f>
        <v>383.150715</v>
      </c>
      <c r="U82" s="30">
        <f>IFERROR(__xludf.DUMMYFUNCTION("""COMPUTED_VALUE"""),0.8491369430383442)</f>
        <v>0.849136943</v>
      </c>
      <c r="V82" s="30">
        <f>IFERROR(__xludf.DUMMYFUNCTION("""COMPUTED_VALUE"""),0.666376025341776)</f>
        <v>0.6663760253</v>
      </c>
      <c r="W82" s="30">
        <f>IFERROR(__xludf.DUMMYFUNCTION("""COMPUTED_VALUE"""),1.519184844814348)</f>
        <v>1.519184845</v>
      </c>
      <c r="X82" s="30">
        <f>IFERROR(__xludf.DUMMYFUNCTION("""COMPUTED_VALUE"""),2.7910286404043827)</f>
        <v>2.79102864</v>
      </c>
      <c r="Y82" s="30">
        <f>IFERROR(__xludf.DUMMYFUNCTION("""COMPUTED_VALUE"""),373.2478849408182)</f>
        <v>373.2478849</v>
      </c>
      <c r="Z82" s="30">
        <f>IFERROR(__xludf.DUMMYFUNCTION("""COMPUTED_VALUE"""),0.8208610987630287)</f>
        <v>0.8208610988</v>
      </c>
      <c r="AA82" s="30">
        <f>IFERROR(__xludf.DUMMYFUNCTION("""COMPUTED_VALUE"""),0.6179844905315671)</f>
        <v>0.6179844905</v>
      </c>
      <c r="AB82" s="30">
        <f>IFERROR(__xludf.DUMMYFUNCTION("""COMPUTED_VALUE"""),1.4545208635159521)</f>
        <v>1.454520864</v>
      </c>
      <c r="AC82" s="30">
        <f>IFERROR(__xludf.DUMMYFUNCTION("""COMPUTED_VALUE"""),2.7574264836204003)</f>
        <v>2.757426484</v>
      </c>
      <c r="AD82" s="30">
        <f>IFERROR(__xludf.DUMMYFUNCTION("""COMPUTED_VALUE"""),0.9622892139095535)</f>
        <v>0.9622892139</v>
      </c>
      <c r="AE82" s="30">
        <f>IFERROR(__xludf.DUMMYFUNCTION("""COMPUTED_VALUE"""),0.9241766856759961)</f>
        <v>0.9241766857</v>
      </c>
      <c r="AF82" s="30">
        <f>IFERROR(__xludf.DUMMYFUNCTION("""COMPUTED_VALUE"""),1.283371120841017)</f>
        <v>1.283371121</v>
      </c>
      <c r="AG82" s="30">
        <f>IFERROR(__xludf.DUMMYFUNCTION("""COMPUTED_VALUE"""),1.0431210836280347)</f>
        <v>1.043121084</v>
      </c>
      <c r="AH82" s="30">
        <f>IFERROR(__xludf.DUMMYFUNCTION("""COMPUTED_VALUE"""),0.8628735376849064)</f>
        <v>0.8628735377</v>
      </c>
      <c r="AI82" s="30">
        <f>IFERROR(__xludf.DUMMYFUNCTION("""COMPUTED_VALUE"""),0.9084387732708108)</f>
        <v>0.9084387733</v>
      </c>
      <c r="AJ82" s="30">
        <f>IFERROR(__xludf.DUMMYFUNCTION("""COMPUTED_VALUE"""),0.9746204233386895)</f>
        <v>0.9746204233</v>
      </c>
      <c r="AK82" s="30">
        <f>IFERROR(__xludf.DUMMYFUNCTION("""COMPUTED_VALUE"""),0.8796938579101279)</f>
        <v>0.8796938579</v>
      </c>
      <c r="AL82" s="30">
        <f>IFERROR(__xludf.DUMMYFUNCTION("""COMPUTED_VALUE"""),0.8549654633181716)</f>
        <v>0.8549654633</v>
      </c>
      <c r="AM82" s="30">
        <f>IFERROR(__xludf.DUMMYFUNCTION("""COMPUTED_VALUE"""),0.9801519569901975)</f>
        <v>0.980151957</v>
      </c>
      <c r="AN82" s="30">
        <f>IFERROR(__xludf.DUMMYFUNCTION("""COMPUTED_VALUE"""),0.9738431988227508)</f>
        <v>0.9738431988</v>
      </c>
      <c r="AO82" s="30">
        <f>IFERROR(__xludf.DUMMYFUNCTION("""COMPUTED_VALUE"""),0.9885558064426697)</f>
        <v>0.9885558064</v>
      </c>
      <c r="AP82" s="30">
        <f>IFERROR(__xludf.DUMMYFUNCTION("""COMPUTED_VALUE"""),1.2450275483503042)</f>
        <v>1.245027548</v>
      </c>
      <c r="AQ82" s="30">
        <f>IFERROR(__xludf.DUMMYFUNCTION("""COMPUTED_VALUE"""),1.0365703784440898)</f>
        <v>1.036570378</v>
      </c>
      <c r="AR82" s="30">
        <f>IFERROR(__xludf.DUMMYFUNCTION("""COMPUTED_VALUE"""),0.8819367866794489)</f>
        <v>0.8819367867</v>
      </c>
      <c r="AS82" s="30">
        <f>IFERROR(__xludf.DUMMYFUNCTION("""COMPUTED_VALUE"""),77.0)</f>
        <v>77</v>
      </c>
      <c r="AT82" s="30">
        <f>IFERROR(__xludf.DUMMYFUNCTION("""COMPUTED_VALUE"""),0.5268222961496161)</f>
        <v>0.5268222961</v>
      </c>
      <c r="AU82" s="30">
        <f>IFERROR(__xludf.DUMMYFUNCTION("""COMPUTED_VALUE"""),3.311923909204428)</f>
        <v>3.311923909</v>
      </c>
      <c r="AV82" s="32">
        <f>IFERROR(__xludf.DUMMYFUNCTION("""COMPUTED_VALUE"""),56.93512237784636)</f>
        <v>56.93512238</v>
      </c>
      <c r="AW82" s="32">
        <f>IFERROR(__xludf.DUMMYFUNCTION("""COMPUTED_VALUE"""),2.5592818505668076)</f>
        <v>2.559281851</v>
      </c>
      <c r="AX82" s="32">
        <f>IFERROR(__xludf.DUMMYFUNCTION("""COMPUTED_VALUE"""),48.98903947314865)</f>
        <v>48.98903947</v>
      </c>
      <c r="AY82" s="32">
        <f>IFERROR(__xludf.DUMMYFUNCTION("""COMPUTED_VALUE"""),-2.066663112647123)</f>
        <v>-2.066663113</v>
      </c>
      <c r="AZ82" s="30">
        <f>IFERROR(__xludf.DUMMYFUNCTION("""COMPUTED_VALUE"""),4.6259449632139304)</f>
        <v>4.625944963</v>
      </c>
      <c r="BA82" s="30">
        <f>IFERROR(__xludf.DUMMYFUNCTION("""COMPUTED_VALUE"""),450.0)</f>
        <v>450</v>
      </c>
    </row>
    <row r="83">
      <c r="A83" s="30" t="str">
        <f>IFERROR(__xludf.DUMMYFUNCTION("""COMPUTED_VALUE"""),"Master")</f>
        <v>Master</v>
      </c>
      <c r="B83" s="30" t="str">
        <f>IFERROR(__xludf.DUMMYFUNCTION("""COMPUTED_VALUE"""),"RSC003323")</f>
        <v>RSC003323</v>
      </c>
      <c r="C83" s="30" t="str">
        <f>IFERROR(__xludf.DUMMYFUNCTION("""COMPUTED_VALUE"""),"Boog McCroog")</f>
        <v>Boog McCroog</v>
      </c>
      <c r="D83" s="30" t="str">
        <f>IFERROR(__xludf.DUMMYFUNCTION("""COMPUTED_VALUE"""),"Hard Hats")</f>
        <v>Hard Hats</v>
      </c>
      <c r="E83" s="30">
        <f>IFERROR(__xludf.DUMMYFUNCTION("""COMPUTED_VALUE"""),30.0)</f>
        <v>30</v>
      </c>
      <c r="F83" s="30">
        <f>IFERROR(__xludf.DUMMYFUNCTION("""COMPUTED_VALUE"""),10.0)</f>
        <v>10</v>
      </c>
      <c r="G83" s="30">
        <f>IFERROR(__xludf.DUMMYFUNCTION("""COMPUTED_VALUE"""),20.0)</f>
        <v>20</v>
      </c>
      <c r="H83" s="42">
        <f>IFERROR(__xludf.DUMMYFUNCTION("""COMPUTED_VALUE"""),0.3333333333333333)</f>
        <v>0.3333333333</v>
      </c>
      <c r="I83" s="42">
        <f>IFERROR(__xludf.DUMMYFUNCTION("""COMPUTED_VALUE"""),0.15492957746478872)</f>
        <v>0.1549295775</v>
      </c>
      <c r="J83" s="30">
        <f>IFERROR(__xludf.DUMMYFUNCTION("""COMPUTED_VALUE"""),309.73333333333335)</f>
        <v>309.7333333</v>
      </c>
      <c r="K83" s="30">
        <f>IFERROR(__xludf.DUMMYFUNCTION("""COMPUTED_VALUE"""),0.36666666666666664)</f>
        <v>0.3666666667</v>
      </c>
      <c r="L83" s="30">
        <f>IFERROR(__xludf.DUMMYFUNCTION("""COMPUTED_VALUE"""),0.5)</f>
        <v>0.5</v>
      </c>
      <c r="M83" s="30">
        <f>IFERROR(__xludf.DUMMYFUNCTION("""COMPUTED_VALUE"""),1.6333333333333333)</f>
        <v>1.633333333</v>
      </c>
      <c r="N83" s="30">
        <f>IFERROR(__xludf.DUMMYFUNCTION("""COMPUTED_VALUE"""),2.3666666666666667)</f>
        <v>2.366666667</v>
      </c>
      <c r="O83" s="30">
        <f>IFERROR(__xludf.DUMMYFUNCTION("""COMPUTED_VALUE"""),408.8666666666667)</f>
        <v>408.8666667</v>
      </c>
      <c r="P83" s="30">
        <f>IFERROR(__xludf.DUMMYFUNCTION("""COMPUTED_VALUE"""),0.9555555555555555)</f>
        <v>0.9555555556</v>
      </c>
      <c r="Q83" s="30">
        <f>IFERROR(__xludf.DUMMYFUNCTION("""COMPUTED_VALUE"""),0.6999999999999998)</f>
        <v>0.7</v>
      </c>
      <c r="R83" s="30">
        <f>IFERROR(__xludf.DUMMYFUNCTION("""COMPUTED_VALUE"""),1.6777777777777776)</f>
        <v>1.677777778</v>
      </c>
      <c r="S83" s="30">
        <f>IFERROR(__xludf.DUMMYFUNCTION("""COMPUTED_VALUE"""),2.9444444444444446)</f>
        <v>2.944444444</v>
      </c>
      <c r="T83" s="30">
        <f>IFERROR(__xludf.DUMMYFUNCTION("""COMPUTED_VALUE"""),391.33839918697385)</f>
        <v>391.3383992</v>
      </c>
      <c r="U83" s="30">
        <f>IFERROR(__xludf.DUMMYFUNCTION("""COMPUTED_VALUE"""),0.8969441987482963)</f>
        <v>0.8969441987</v>
      </c>
      <c r="V83" s="30">
        <f>IFERROR(__xludf.DUMMYFUNCTION("""COMPUTED_VALUE"""),0.7366853956818349)</f>
        <v>0.7366853957</v>
      </c>
      <c r="W83" s="30">
        <f>IFERROR(__xludf.DUMMYFUNCTION("""COMPUTED_VALUE"""),1.4651894398658516)</f>
        <v>1.46518944</v>
      </c>
      <c r="X83" s="30">
        <f>IFERROR(__xludf.DUMMYFUNCTION("""COMPUTED_VALUE"""),2.8727777504923293)</f>
        <v>2.87277775</v>
      </c>
      <c r="Y83" s="30">
        <f>IFERROR(__xludf.DUMMYFUNCTION("""COMPUTED_VALUE"""),372.59750388199143)</f>
        <v>372.5975039</v>
      </c>
      <c r="Z83" s="30">
        <f>IFERROR(__xludf.DUMMYFUNCTION("""COMPUTED_VALUE"""),0.7860435580917008)</f>
        <v>0.7860435581</v>
      </c>
      <c r="AA83" s="30">
        <f>IFERROR(__xludf.DUMMYFUNCTION("""COMPUTED_VALUE"""),0.6039127229368569)</f>
        <v>0.6039127229</v>
      </c>
      <c r="AB83" s="30">
        <f>IFERROR(__xludf.DUMMYFUNCTION("""COMPUTED_VALUE"""),1.506821450674836)</f>
        <v>1.506821451</v>
      </c>
      <c r="AC83" s="30">
        <f>IFERROR(__xludf.DUMMYFUNCTION("""COMPUTED_VALUE"""),2.7112107900498073)</f>
        <v>2.71121079</v>
      </c>
      <c r="AD83" s="30">
        <f>IFERROR(__xludf.DUMMYFUNCTION("""COMPUTED_VALUE"""),0.8312812890754944)</f>
        <v>0.8312812891</v>
      </c>
      <c r="AE83" s="30">
        <f>IFERROR(__xludf.DUMMYFUNCTION("""COMPUTED_VALUE"""),0.46647118075343463)</f>
        <v>0.4664711808</v>
      </c>
      <c r="AF83" s="30">
        <f>IFERROR(__xludf.DUMMYFUNCTION("""COMPUTED_VALUE"""),0.8279342047448109)</f>
        <v>0.8279342047</v>
      </c>
      <c r="AG83" s="30">
        <f>IFERROR(__xludf.DUMMYFUNCTION("""COMPUTED_VALUE"""),1.0839594383275062)</f>
        <v>1.083959438</v>
      </c>
      <c r="AH83" s="30">
        <f>IFERROR(__xludf.DUMMYFUNCTION("""COMPUTED_VALUE"""),0.8729187252250457)</f>
        <v>0.8729187252</v>
      </c>
      <c r="AI83" s="30">
        <f>IFERROR(__xludf.DUMMYFUNCTION("""COMPUTED_VALUE"""),1.0447905636556718)</f>
        <v>1.044790564</v>
      </c>
      <c r="AJ83" s="30">
        <f>IFERROR(__xludf.DUMMYFUNCTION("""COMPUTED_VALUE"""),1.0653455999704915)</f>
        <v>1.0653456</v>
      </c>
      <c r="AK83" s="30">
        <f>IFERROR(__xludf.DUMMYFUNCTION("""COMPUTED_VALUE"""),0.9502020864036798)</f>
        <v>0.9502020864</v>
      </c>
      <c r="AL83" s="30">
        <f>IFERROR(__xludf.DUMMYFUNCTION("""COMPUTED_VALUE"""),1.145092731443239)</f>
        <v>1.145092731</v>
      </c>
      <c r="AM83" s="30">
        <f>IFERROR(__xludf.DUMMYFUNCTION("""COMPUTED_VALUE"""),1.0249468285320134)</f>
        <v>1.024946829</v>
      </c>
      <c r="AN83" s="30">
        <f>IFERROR(__xludf.DUMMYFUNCTION("""COMPUTED_VALUE"""),0.8397964000907867)</f>
        <v>0.8397964001</v>
      </c>
      <c r="AO83" s="30">
        <f>IFERROR(__xludf.DUMMYFUNCTION("""COMPUTED_VALUE"""),0.47780197311395706)</f>
        <v>0.4778019731</v>
      </c>
      <c r="AP83" s="30">
        <f>IFERROR(__xludf.DUMMYFUNCTION("""COMPUTED_VALUE"""),0.7849086717860613)</f>
        <v>0.7849086718</v>
      </c>
      <c r="AQ83" s="30">
        <f>IFERROR(__xludf.DUMMYFUNCTION("""COMPUTED_VALUE"""),1.1158837180068573)</f>
        <v>1.115883718</v>
      </c>
      <c r="AR83" s="30">
        <f>IFERROR(__xludf.DUMMYFUNCTION("""COMPUTED_VALUE"""),0.8772501660739059)</f>
        <v>0.8772501661</v>
      </c>
      <c r="AS83" s="30">
        <f>IFERROR(__xludf.DUMMYFUNCTION("""COMPUTED_VALUE"""),60.0)</f>
        <v>60</v>
      </c>
      <c r="AT83" s="30">
        <f>IFERROR(__xludf.DUMMYFUNCTION("""COMPUTED_VALUE"""),0.36194194636627314)</f>
        <v>0.3619419464</v>
      </c>
      <c r="AU83" s="30">
        <f>IFERROR(__xludf.DUMMYFUNCTION("""COMPUTED_VALUE"""),1.9933761004504813)</f>
        <v>1.9933761</v>
      </c>
      <c r="AV83" s="32">
        <f>IFERROR(__xludf.DUMMYFUNCTION("""COMPUTED_VALUE"""),24.71692693796235)</f>
        <v>24.71692694</v>
      </c>
      <c r="AW83" s="32">
        <f>IFERROR(__xludf.DUMMYFUNCTION("""COMPUTED_VALUE"""),-6.413095059696097)</f>
        <v>-6.41309506</v>
      </c>
      <c r="AX83" s="32">
        <f>IFERROR(__xludf.DUMMYFUNCTION("""COMPUTED_VALUE"""),16.78718592302664)</f>
        <v>16.78718592</v>
      </c>
      <c r="AY83" s="32">
        <f>IFERROR(__xludf.DUMMYFUNCTION("""COMPUTED_VALUE"""),-10.869043262910939)</f>
        <v>-10.86904326</v>
      </c>
      <c r="AZ83" s="30">
        <f>IFERROR(__xludf.DUMMYFUNCTION("""COMPUTED_VALUE"""),4.455948203214842)</f>
        <v>4.455948203</v>
      </c>
      <c r="BA83" s="30">
        <f>IFERROR(__xludf.DUMMYFUNCTION("""COMPUTED_VALUE"""),450.0)</f>
        <v>450</v>
      </c>
    </row>
    <row r="84">
      <c r="A84" s="30" t="str">
        <f>IFERROR(__xludf.DUMMYFUNCTION("""COMPUTED_VALUE"""),"Master")</f>
        <v>Master</v>
      </c>
      <c r="B84" s="30" t="str">
        <f>IFERROR(__xludf.DUMMYFUNCTION("""COMPUTED_VALUE"""),"RSC000839")</f>
        <v>RSC000839</v>
      </c>
      <c r="C84" s="30" t="str">
        <f>IFERROR(__xludf.DUMMYFUNCTION("""COMPUTED_VALUE"""),"p0larbear")</f>
        <v>p0larbear</v>
      </c>
      <c r="D84" s="30" t="str">
        <f>IFERROR(__xludf.DUMMYFUNCTION("""COMPUTED_VALUE"""),"Heinous Henchmen")</f>
        <v>Heinous Henchmen</v>
      </c>
      <c r="E84" s="30">
        <f>IFERROR(__xludf.DUMMYFUNCTION("""COMPUTED_VALUE"""),32.0)</f>
        <v>32</v>
      </c>
      <c r="F84" s="30">
        <f>IFERROR(__xludf.DUMMYFUNCTION("""COMPUTED_VALUE"""),12.0)</f>
        <v>12</v>
      </c>
      <c r="G84" s="30">
        <f>IFERROR(__xludf.DUMMYFUNCTION("""COMPUTED_VALUE"""),20.0)</f>
        <v>20</v>
      </c>
      <c r="H84" s="42">
        <f>IFERROR(__xludf.DUMMYFUNCTION("""COMPUTED_VALUE"""),0.375)</f>
        <v>0.375</v>
      </c>
      <c r="I84" s="42">
        <f>IFERROR(__xludf.DUMMYFUNCTION("""COMPUTED_VALUE"""),0.28888888888888886)</f>
        <v>0.2888888889</v>
      </c>
      <c r="J84" s="30">
        <f>IFERROR(__xludf.DUMMYFUNCTION("""COMPUTED_VALUE"""),387.5625)</f>
        <v>387.5625</v>
      </c>
      <c r="K84" s="30">
        <f>IFERROR(__xludf.DUMMYFUNCTION("""COMPUTED_VALUE"""),0.8125)</f>
        <v>0.8125</v>
      </c>
      <c r="L84" s="30">
        <f>IFERROR(__xludf.DUMMYFUNCTION("""COMPUTED_VALUE"""),0.6875)</f>
        <v>0.6875</v>
      </c>
      <c r="M84" s="30">
        <f>IFERROR(__xludf.DUMMYFUNCTION("""COMPUTED_VALUE"""),1.59375)</f>
        <v>1.59375</v>
      </c>
      <c r="N84" s="30">
        <f>IFERROR(__xludf.DUMMYFUNCTION("""COMPUTED_VALUE"""),2.8125)</f>
        <v>2.8125</v>
      </c>
      <c r="O84" s="30">
        <f>IFERROR(__xludf.DUMMYFUNCTION("""COMPUTED_VALUE"""),383.4375)</f>
        <v>383.4375</v>
      </c>
      <c r="P84" s="30">
        <f>IFERROR(__xludf.DUMMYFUNCTION("""COMPUTED_VALUE"""),0.8541666666666666)</f>
        <v>0.8541666667</v>
      </c>
      <c r="Q84" s="30">
        <f>IFERROR(__xludf.DUMMYFUNCTION("""COMPUTED_VALUE"""),0.6666666666666667)</f>
        <v>0.6666666667</v>
      </c>
      <c r="R84" s="30">
        <f>IFERROR(__xludf.DUMMYFUNCTION("""COMPUTED_VALUE"""),1.4791666666666667)</f>
        <v>1.479166667</v>
      </c>
      <c r="S84" s="30">
        <f>IFERROR(__xludf.DUMMYFUNCTION("""COMPUTED_VALUE"""),3.0625)</f>
        <v>3.0625</v>
      </c>
      <c r="T84" s="30">
        <f>IFERROR(__xludf.DUMMYFUNCTION("""COMPUTED_VALUE"""),372.1406986236347)</f>
        <v>372.1406986</v>
      </c>
      <c r="U84" s="30">
        <f>IFERROR(__xludf.DUMMYFUNCTION("""COMPUTED_VALUE"""),0.8274991555071877)</f>
        <v>0.8274991555</v>
      </c>
      <c r="V84" s="30">
        <f>IFERROR(__xludf.DUMMYFUNCTION("""COMPUTED_VALUE"""),0.6444515232936279)</f>
        <v>0.6444515233</v>
      </c>
      <c r="W84" s="30">
        <f>IFERROR(__xludf.DUMMYFUNCTION("""COMPUTED_VALUE"""),1.4184236192541553)</f>
        <v>1.418423619</v>
      </c>
      <c r="X84" s="30">
        <f>IFERROR(__xludf.DUMMYFUNCTION("""COMPUTED_VALUE"""),2.728695487965141)</f>
        <v>2.728695488</v>
      </c>
      <c r="Y84" s="30">
        <f>IFERROR(__xludf.DUMMYFUNCTION("""COMPUTED_VALUE"""),384.2559685573038)</f>
        <v>384.2559686</v>
      </c>
      <c r="Z84" s="30">
        <f>IFERROR(__xludf.DUMMYFUNCTION("""COMPUTED_VALUE"""),0.8747815476118146)</f>
        <v>0.8747815476</v>
      </c>
      <c r="AA84" s="30">
        <f>IFERROR(__xludf.DUMMYFUNCTION("""COMPUTED_VALUE"""),0.6735265307498645)</f>
        <v>0.6735265307</v>
      </c>
      <c r="AB84" s="30">
        <f>IFERROR(__xludf.DUMMYFUNCTION("""COMPUTED_VALUE"""),1.4686840093595965)</f>
        <v>1.468684009</v>
      </c>
      <c r="AC84" s="30">
        <f>IFERROR(__xludf.DUMMYFUNCTION("""COMPUTED_VALUE"""),2.828833457178888)</f>
        <v>2.828833457</v>
      </c>
      <c r="AD84" s="30">
        <f>IFERROR(__xludf.DUMMYFUNCTION("""COMPUTED_VALUE"""),1.0086050229879595)</f>
        <v>1.008605023</v>
      </c>
      <c r="AE84" s="30">
        <f>IFERROR(__xludf.DUMMYFUNCTION("""COMPUTED_VALUE"""),0.928803313487984)</f>
        <v>0.9288033135</v>
      </c>
      <c r="AF84" s="30">
        <f>IFERROR(__xludf.DUMMYFUNCTION("""COMPUTED_VALUE"""),1.0207467243117778)</f>
        <v>1.020746724</v>
      </c>
      <c r="AG84" s="30">
        <f>IFERROR(__xludf.DUMMYFUNCTION("""COMPUTED_VALUE"""),1.0851551387796052)</f>
        <v>1.085155139</v>
      </c>
      <c r="AH84" s="30">
        <f>IFERROR(__xludf.DUMMYFUNCTION("""COMPUTED_VALUE"""),0.9942260803168042)</f>
        <v>0.9942260803</v>
      </c>
      <c r="AI84" s="30">
        <f>IFERROR(__xludf.DUMMYFUNCTION("""COMPUTED_VALUE"""),1.0303562642251884)</f>
        <v>1.030356264</v>
      </c>
      <c r="AJ84" s="30">
        <f>IFERROR(__xludf.DUMMYFUNCTION("""COMPUTED_VALUE"""),1.0322266324769045)</f>
        <v>1.032226632</v>
      </c>
      <c r="AK84" s="30">
        <f>IFERROR(__xludf.DUMMYFUNCTION("""COMPUTED_VALUE"""),1.0344713955512168)</f>
        <v>1.034471396</v>
      </c>
      <c r="AL84" s="30">
        <f>IFERROR(__xludf.DUMMYFUNCTION("""COMPUTED_VALUE"""),1.042824334414603)</f>
        <v>1.042824334</v>
      </c>
      <c r="AM84" s="30">
        <f>IFERROR(__xludf.DUMMYFUNCTION("""COMPUTED_VALUE"""),1.1223311701533196)</f>
        <v>1.12233117</v>
      </c>
      <c r="AN84" s="30">
        <f>IFERROR(__xludf.DUMMYFUNCTION("""COMPUTED_VALUE"""),1.0508187440061951)</f>
        <v>1.050818744</v>
      </c>
      <c r="AO84" s="30">
        <f>IFERROR(__xludf.DUMMYFUNCTION("""COMPUTED_VALUE"""),1.0587657358775184)</f>
        <v>1.058765736</v>
      </c>
      <c r="AP84" s="30">
        <f>IFERROR(__xludf.DUMMYFUNCTION("""COMPUTED_VALUE"""),1.079249423705834)</f>
        <v>1.079249424</v>
      </c>
      <c r="AQ84" s="30">
        <f>IFERROR(__xludf.DUMMYFUNCTION("""COMPUTED_VALUE"""),1.0888406176980177)</f>
        <v>1.088840618</v>
      </c>
      <c r="AR84" s="30">
        <f>IFERROR(__xludf.DUMMYFUNCTION("""COMPUTED_VALUE"""),1.042506799471631)</f>
        <v>1.042506799</v>
      </c>
      <c r="AS84" s="30">
        <f>IFERROR(__xludf.DUMMYFUNCTION("""COMPUTED_VALUE"""),73.0)</f>
        <v>73</v>
      </c>
      <c r="AT84" s="30">
        <f>IFERROR(__xludf.DUMMYFUNCTION("""COMPUTED_VALUE"""),0.4544163401774224)</f>
        <v>0.4544163402</v>
      </c>
      <c r="AU84" s="30">
        <f>IFERROR(__xludf.DUMMYFUNCTION("""COMPUTED_VALUE"""),3.207792304028855)</f>
        <v>3.207792304</v>
      </c>
      <c r="AV84" s="32">
        <f>IFERROR(__xludf.DUMMYFUNCTION("""COMPUTED_VALUE"""),54.39070769318967)</f>
        <v>54.39070769</v>
      </c>
      <c r="AW84" s="32">
        <f>IFERROR(__xludf.DUMMYFUNCTION("""COMPUTED_VALUE"""),2.323997937553537)</f>
        <v>2.323997938</v>
      </c>
      <c r="AX84" s="32">
        <f>IFERROR(__xludf.DUMMYFUNCTION("""COMPUTED_VALUE"""),48.17427140633802)</f>
        <v>48.17427141</v>
      </c>
      <c r="AY84" s="32">
        <f>IFERROR(__xludf.DUMMYFUNCTION("""COMPUTED_VALUE"""),-2.1236316189666447)</f>
        <v>-2.123631619</v>
      </c>
      <c r="AZ84" s="30">
        <f>IFERROR(__xludf.DUMMYFUNCTION("""COMPUTED_VALUE"""),4.447629556520182)</f>
        <v>4.447629557</v>
      </c>
      <c r="BA84" s="30">
        <f>IFERROR(__xludf.DUMMYFUNCTION("""COMPUTED_VALUE"""),450.0)</f>
        <v>450</v>
      </c>
    </row>
    <row r="85">
      <c r="A85" s="30" t="str">
        <f>IFERROR(__xludf.DUMMYFUNCTION("""COMPUTED_VALUE"""),"Master")</f>
        <v>Master</v>
      </c>
      <c r="B85" s="30" t="str">
        <f>IFERROR(__xludf.DUMMYFUNCTION("""COMPUTED_VALUE"""),"RSC000203")</f>
        <v>RSC000203</v>
      </c>
      <c r="C85" s="30" t="str">
        <f>IFERROR(__xludf.DUMMYFUNCTION("""COMPUTED_VALUE"""),"FrostyBrew")</f>
        <v>FrostyBrew</v>
      </c>
      <c r="D85" s="30"/>
      <c r="E85" s="30">
        <f>IFERROR(__xludf.DUMMYFUNCTION("""COMPUTED_VALUE"""),4.0)</f>
        <v>4</v>
      </c>
      <c r="F85" s="30">
        <f>IFERROR(__xludf.DUMMYFUNCTION("""COMPUTED_VALUE"""),2.0)</f>
        <v>2</v>
      </c>
      <c r="G85" s="30">
        <f>IFERROR(__xludf.DUMMYFUNCTION("""COMPUTED_VALUE"""),2.0)</f>
        <v>2</v>
      </c>
      <c r="H85" s="42">
        <f>IFERROR(__xludf.DUMMYFUNCTION("""COMPUTED_VALUE"""),0.5)</f>
        <v>0.5</v>
      </c>
      <c r="I85" s="42">
        <f>IFERROR(__xludf.DUMMYFUNCTION("""COMPUTED_VALUE"""),0.3)</f>
        <v>0.3</v>
      </c>
      <c r="J85" s="30">
        <f>IFERROR(__xludf.DUMMYFUNCTION("""COMPUTED_VALUE"""),382.5)</f>
        <v>382.5</v>
      </c>
      <c r="K85" s="30">
        <f>IFERROR(__xludf.DUMMYFUNCTION("""COMPUTED_VALUE"""),0.75)</f>
        <v>0.75</v>
      </c>
      <c r="L85" s="30">
        <f>IFERROR(__xludf.DUMMYFUNCTION("""COMPUTED_VALUE"""),0.75)</f>
        <v>0.75</v>
      </c>
      <c r="M85" s="30">
        <f>IFERROR(__xludf.DUMMYFUNCTION("""COMPUTED_VALUE"""),1.75)</f>
        <v>1.75</v>
      </c>
      <c r="N85" s="30">
        <f>IFERROR(__xludf.DUMMYFUNCTION("""COMPUTED_VALUE"""),2.5)</f>
        <v>2.5</v>
      </c>
      <c r="O85" s="30">
        <f>IFERROR(__xludf.DUMMYFUNCTION("""COMPUTED_VALUE"""),408.9166666666667)</f>
        <v>408.9166667</v>
      </c>
      <c r="P85" s="30">
        <f>IFERROR(__xludf.DUMMYFUNCTION("""COMPUTED_VALUE"""),1.0)</f>
        <v>1</v>
      </c>
      <c r="Q85" s="30">
        <f>IFERROR(__xludf.DUMMYFUNCTION("""COMPUTED_VALUE"""),0.75)</f>
        <v>0.75</v>
      </c>
      <c r="R85" s="30">
        <f>IFERROR(__xludf.DUMMYFUNCTION("""COMPUTED_VALUE"""),1.4166666666666667)</f>
        <v>1.416666667</v>
      </c>
      <c r="S85" s="30">
        <f>IFERROR(__xludf.DUMMYFUNCTION("""COMPUTED_VALUE"""),4.25)</f>
        <v>4.25</v>
      </c>
      <c r="T85" s="30">
        <f>IFERROR(__xludf.DUMMYFUNCTION("""COMPUTED_VALUE"""),399.78544973544973)</f>
        <v>399.7854497</v>
      </c>
      <c r="U85" s="30">
        <f>IFERROR(__xludf.DUMMYFUNCTION("""COMPUTED_VALUE"""),0.9246031746031745)</f>
        <v>0.9246031746</v>
      </c>
      <c r="V85" s="30">
        <f>IFERROR(__xludf.DUMMYFUNCTION("""COMPUTED_VALUE"""),0.5616402116402116)</f>
        <v>0.5616402116</v>
      </c>
      <c r="W85" s="30">
        <f>IFERROR(__xludf.DUMMYFUNCTION("""COMPUTED_VALUE"""),1.5375661375661374)</f>
        <v>1.537566138</v>
      </c>
      <c r="X85" s="30">
        <f>IFERROR(__xludf.DUMMYFUNCTION("""COMPUTED_VALUE"""),3.144179894179894)</f>
        <v>3.144179894</v>
      </c>
      <c r="Y85" s="30">
        <f>IFERROR(__xludf.DUMMYFUNCTION("""COMPUTED_VALUE"""),421.06719576719576)</f>
        <v>421.0671958</v>
      </c>
      <c r="Z85" s="30">
        <f>IFERROR(__xludf.DUMMYFUNCTION("""COMPUTED_VALUE"""),0.9522927689594356)</f>
        <v>0.952292769</v>
      </c>
      <c r="AA85" s="30">
        <f>IFERROR(__xludf.DUMMYFUNCTION("""COMPUTED_VALUE"""),0.7597001763668431)</f>
        <v>0.7597001764</v>
      </c>
      <c r="AB85" s="30">
        <f>IFERROR(__xludf.DUMMYFUNCTION("""COMPUTED_VALUE"""),1.6307760141093475)</f>
        <v>1.630776014</v>
      </c>
      <c r="AC85" s="30">
        <f>IFERROR(__xludf.DUMMYFUNCTION("""COMPUTED_VALUE"""),2.8277777777777775)</f>
        <v>2.827777778</v>
      </c>
      <c r="AD85" s="30">
        <f>IFERROR(__xludf.DUMMYFUNCTION("""COMPUTED_VALUE"""),0.9084060782818161)</f>
        <v>0.9084060783</v>
      </c>
      <c r="AE85" s="30">
        <f>IFERROR(__xludf.DUMMYFUNCTION("""COMPUTED_VALUE"""),0.7875729234188351)</f>
        <v>0.7875729234</v>
      </c>
      <c r="AF85" s="30">
        <f>IFERROR(__xludf.DUMMYFUNCTION("""COMPUTED_VALUE"""),0.9872315728380731)</f>
        <v>0.9872315728</v>
      </c>
      <c r="AG85" s="30">
        <f>IFERROR(__xludf.DUMMYFUNCTION("""COMPUTED_VALUE"""),1.0731087438490239)</f>
        <v>1.073108744</v>
      </c>
      <c r="AH85" s="30">
        <f>IFERROR(__xludf.DUMMYFUNCTION("""COMPUTED_VALUE"""),0.8840864440078586)</f>
        <v>0.884086444</v>
      </c>
      <c r="AI85" s="30">
        <f>IFERROR(__xludf.DUMMYFUNCTION("""COMPUTED_VALUE"""),1.02284029330547)</f>
        <v>1.022840293</v>
      </c>
      <c r="AJ85" s="30">
        <f>IFERROR(__xludf.DUMMYFUNCTION("""COMPUTED_VALUE"""),1.0815450643776825)</f>
        <v>1.081545064</v>
      </c>
      <c r="AK85" s="30">
        <f>IFERROR(__xludf.DUMMYFUNCTION("""COMPUTED_VALUE"""),1.335374470089496)</f>
        <v>1.33537447</v>
      </c>
      <c r="AL85" s="30">
        <f>IFERROR(__xludf.DUMMYFUNCTION("""COMPUTED_VALUE"""),0.9213695801789403)</f>
        <v>0.9213695802</v>
      </c>
      <c r="AM85" s="30">
        <f>IFERROR(__xludf.DUMMYFUNCTION("""COMPUTED_VALUE"""),1.3517038283550695)</f>
        <v>1.351703828</v>
      </c>
      <c r="AN85" s="30">
        <f>IFERROR(__xludf.DUMMYFUNCTION("""COMPUTED_VALUE"""),1.0370925194836178)</f>
        <v>1.037092519</v>
      </c>
      <c r="AO85" s="30">
        <f>IFERROR(__xludf.DUMMYFUNCTION("""COMPUTED_VALUE"""),0.977322217733094)</f>
        <v>0.9773222177</v>
      </c>
      <c r="AP85" s="30">
        <f>IFERROR(__xludf.DUMMYFUNCTION("""COMPUTED_VALUE"""),1.1773630076790917)</f>
        <v>1.177363008</v>
      </c>
      <c r="AQ85" s="30">
        <f>IFERROR(__xludf.DUMMYFUNCTION("""COMPUTED_VALUE"""),1.19558969786449)</f>
        <v>1.195589698</v>
      </c>
      <c r="AR85" s="30">
        <f>IFERROR(__xludf.DUMMYFUNCTION("""COMPUTED_VALUE"""),0.9266727106414498)</f>
        <v>0.9266727106</v>
      </c>
      <c r="AS85" s="30">
        <f>IFERROR(__xludf.DUMMYFUNCTION("""COMPUTED_VALUE"""),11.0)</f>
        <v>11</v>
      </c>
      <c r="AT85" s="30">
        <f>IFERROR(__xludf.DUMMYFUNCTION("""COMPUTED_VALUE"""),0.46412484476098326)</f>
        <v>0.4641248448</v>
      </c>
      <c r="AU85" s="30">
        <f>IFERROR(__xludf.DUMMYFUNCTION("""COMPUTED_VALUE"""),2.823804307120676)</f>
        <v>2.823804307</v>
      </c>
      <c r="AV85" s="32">
        <f>IFERROR(__xludf.DUMMYFUNCTION("""COMPUTED_VALUE"""),45.008112501098374)</f>
        <v>45.0081125</v>
      </c>
      <c r="AW85" s="32">
        <f>IFERROR(__xludf.DUMMYFUNCTION("""COMPUTED_VALUE"""),-2.376046478316494)</f>
        <v>-2.376046478</v>
      </c>
      <c r="AX85" s="32">
        <f>IFERROR(__xludf.DUMMYFUNCTION("""COMPUTED_VALUE"""),24.42651376258877)</f>
        <v>24.42651376</v>
      </c>
      <c r="AY85" s="32">
        <f>IFERROR(__xludf.DUMMYFUNCTION("""COMPUTED_VALUE"""),-6.52876871776794)</f>
        <v>-6.528768718</v>
      </c>
      <c r="AZ85" s="30">
        <f>IFERROR(__xludf.DUMMYFUNCTION("""COMPUTED_VALUE"""),4.152722239451446)</f>
        <v>4.152722239</v>
      </c>
      <c r="BA85" s="30">
        <f>IFERROR(__xludf.DUMMYFUNCTION("""COMPUTED_VALUE"""),450.0)</f>
        <v>450</v>
      </c>
    </row>
    <row r="86">
      <c r="A86" s="30" t="str">
        <f>IFERROR(__xludf.DUMMYFUNCTION("""COMPUTED_VALUE"""),"Master")</f>
        <v>Master</v>
      </c>
      <c r="B86" s="30" t="str">
        <f>IFERROR(__xludf.DUMMYFUNCTION("""COMPUTED_VALUE"""),"RSC004717")</f>
        <v>RSC004717</v>
      </c>
      <c r="C86" s="30" t="str">
        <f>IFERROR(__xludf.DUMMYFUNCTION("""COMPUTED_VALUE"""),"slain.")</f>
        <v>slain.</v>
      </c>
      <c r="D86" s="30" t="str">
        <f>IFERROR(__xludf.DUMMYFUNCTION("""COMPUTED_VALUE"""),"Battle Masters")</f>
        <v>Battle Masters</v>
      </c>
      <c r="E86" s="30">
        <f>IFERROR(__xludf.DUMMYFUNCTION("""COMPUTED_VALUE"""),36.0)</f>
        <v>36</v>
      </c>
      <c r="F86" s="30">
        <f>IFERROR(__xludf.DUMMYFUNCTION("""COMPUTED_VALUE"""),25.0)</f>
        <v>25</v>
      </c>
      <c r="G86" s="30">
        <f>IFERROR(__xludf.DUMMYFUNCTION("""COMPUTED_VALUE"""),11.0)</f>
        <v>11</v>
      </c>
      <c r="H86" s="42">
        <f>IFERROR(__xludf.DUMMYFUNCTION("""COMPUTED_VALUE"""),0.6944444444444444)</f>
        <v>0.6944444444</v>
      </c>
      <c r="I86" s="42">
        <f>IFERROR(__xludf.DUMMYFUNCTION("""COMPUTED_VALUE"""),0.39814814814814814)</f>
        <v>0.3981481481</v>
      </c>
      <c r="J86" s="30">
        <f>IFERROR(__xludf.DUMMYFUNCTION("""COMPUTED_VALUE"""),444.8888888888889)</f>
        <v>444.8888889</v>
      </c>
      <c r="K86" s="30">
        <f>IFERROR(__xludf.DUMMYFUNCTION("""COMPUTED_VALUE"""),1.1944444444444444)</f>
        <v>1.194444444</v>
      </c>
      <c r="L86" s="30">
        <f>IFERROR(__xludf.DUMMYFUNCTION("""COMPUTED_VALUE"""),0.8055555555555556)</f>
        <v>0.8055555556</v>
      </c>
      <c r="M86" s="30">
        <f>IFERROR(__xludf.DUMMYFUNCTION("""COMPUTED_VALUE"""),1.9166666666666667)</f>
        <v>1.916666667</v>
      </c>
      <c r="N86" s="30">
        <f>IFERROR(__xludf.DUMMYFUNCTION("""COMPUTED_VALUE"""),3.0)</f>
        <v>3</v>
      </c>
      <c r="O86" s="30">
        <f>IFERROR(__xludf.DUMMYFUNCTION("""COMPUTED_VALUE"""),359.6574074074075)</f>
        <v>359.6574074</v>
      </c>
      <c r="P86" s="30">
        <f>IFERROR(__xludf.DUMMYFUNCTION("""COMPUTED_VALUE"""),0.6388888888888888)</f>
        <v>0.6388888889</v>
      </c>
      <c r="Q86" s="30">
        <f>IFERROR(__xludf.DUMMYFUNCTION("""COMPUTED_VALUE"""),0.5092592592592591)</f>
        <v>0.5092592593</v>
      </c>
      <c r="R86" s="30">
        <f>IFERROR(__xludf.DUMMYFUNCTION("""COMPUTED_VALUE"""),1.6203703703703702)</f>
        <v>1.62037037</v>
      </c>
      <c r="S86" s="30">
        <f>IFERROR(__xludf.DUMMYFUNCTION("""COMPUTED_VALUE"""),2.4537037037037037)</f>
        <v>2.453703704</v>
      </c>
      <c r="T86" s="30">
        <f>IFERROR(__xludf.DUMMYFUNCTION("""COMPUTED_VALUE"""),376.26679428523585)</f>
        <v>376.2667943</v>
      </c>
      <c r="U86" s="30">
        <f>IFERROR(__xludf.DUMMYFUNCTION("""COMPUTED_VALUE"""),0.7977645761515567)</f>
        <v>0.7977645762</v>
      </c>
      <c r="V86" s="30">
        <f>IFERROR(__xludf.DUMMYFUNCTION("""COMPUTED_VALUE"""),0.6056830130611666)</f>
        <v>0.6056830131</v>
      </c>
      <c r="W86" s="30">
        <f>IFERROR(__xludf.DUMMYFUNCTION("""COMPUTED_VALUE"""),1.5441243207621758)</f>
        <v>1.544124321</v>
      </c>
      <c r="X86" s="30">
        <f>IFERROR(__xludf.DUMMYFUNCTION("""COMPUTED_VALUE"""),2.727186510460498)</f>
        <v>2.72718651</v>
      </c>
      <c r="Y86" s="30">
        <f>IFERROR(__xludf.DUMMYFUNCTION("""COMPUTED_VALUE"""),400.227568416092)</f>
        <v>400.2275684</v>
      </c>
      <c r="Z86" s="30">
        <f>IFERROR(__xludf.DUMMYFUNCTION("""COMPUTED_VALUE"""),0.9544420056012807)</f>
        <v>0.9544420056</v>
      </c>
      <c r="AA86" s="30">
        <f>IFERROR(__xludf.DUMMYFUNCTION("""COMPUTED_VALUE"""),0.7384839333111252)</f>
        <v>0.7384839333</v>
      </c>
      <c r="AB86" s="30">
        <f>IFERROR(__xludf.DUMMYFUNCTION("""COMPUTED_VALUE"""),1.4908473657145143)</f>
        <v>1.490847366</v>
      </c>
      <c r="AC86" s="30">
        <f>IFERROR(__xludf.DUMMYFUNCTION("""COMPUTED_VALUE"""),2.934814633151126)</f>
        <v>2.934814633</v>
      </c>
      <c r="AD86" s="30">
        <f>IFERROR(__xludf.DUMMYFUNCTION("""COMPUTED_VALUE"""),1.1115898153881425)</f>
        <v>1.111589815</v>
      </c>
      <c r="AE86" s="30">
        <f>IFERROR(__xludf.DUMMYFUNCTION("""COMPUTED_VALUE"""),1.2514583782300808)</f>
        <v>1.251458378</v>
      </c>
      <c r="AF86" s="30">
        <f>IFERROR(__xludf.DUMMYFUNCTION("""COMPUTED_VALUE"""),1.0908234007796254)</f>
        <v>1.090823401</v>
      </c>
      <c r="AG86" s="30">
        <f>IFERROR(__xludf.DUMMYFUNCTION("""COMPUTED_VALUE"""),1.2856223317992526)</f>
        <v>1.285622332</v>
      </c>
      <c r="AH86" s="30">
        <f>IFERROR(__xludf.DUMMYFUNCTION("""COMPUTED_VALUE"""),1.0222110678175556)</f>
        <v>1.022211068</v>
      </c>
      <c r="AI86" s="30">
        <f>IFERROR(__xludf.DUMMYFUNCTION("""COMPUTED_VALUE"""),0.9558574205056285)</f>
        <v>0.9558574205</v>
      </c>
      <c r="AJ86" s="30">
        <f>IFERROR(__xludf.DUMMYFUNCTION("""COMPUTED_VALUE"""),0.8008489070433666)</f>
        <v>0.800848907</v>
      </c>
      <c r="AK86" s="30">
        <f>IFERROR(__xludf.DUMMYFUNCTION("""COMPUTED_VALUE"""),0.8408016211077561)</f>
        <v>0.8408016211</v>
      </c>
      <c r="AL86" s="30">
        <f>IFERROR(__xludf.DUMMYFUNCTION("""COMPUTED_VALUE"""),1.0493781806186173)</f>
        <v>1.049378181</v>
      </c>
      <c r="AM86" s="30">
        <f>IFERROR(__xludf.DUMMYFUNCTION("""COMPUTED_VALUE"""),0.8997198007148344)</f>
        <v>0.8997198007</v>
      </c>
      <c r="AN86" s="30">
        <f>IFERROR(__xludf.DUMMYFUNCTION("""COMPUTED_VALUE"""),1.2062508200471769)</f>
        <v>1.20625082</v>
      </c>
      <c r="AO86" s="30">
        <f>IFERROR(__xludf.DUMMYFUNCTION("""COMPUTED_VALUE"""),1.5564761245378904)</f>
        <v>1.556476125</v>
      </c>
      <c r="AP86" s="30">
        <f>IFERROR(__xludf.DUMMYFUNCTION("""COMPUTED_VALUE"""),1.2645750823219877)</f>
        <v>1.264575082</v>
      </c>
      <c r="AQ86" s="30">
        <f>IFERROR(__xludf.DUMMYFUNCTION("""COMPUTED_VALUE"""),1.3094553833753937)</f>
        <v>1.309455383</v>
      </c>
      <c r="AR86" s="30">
        <f>IFERROR(__xludf.DUMMYFUNCTION("""COMPUTED_VALUE"""),1.1120072527697398)</f>
        <v>1.112007253</v>
      </c>
      <c r="AS86" s="30">
        <f>IFERROR(__xludf.DUMMYFUNCTION("""COMPUTED_VALUE"""),127.0)</f>
        <v>127</v>
      </c>
      <c r="AT86" s="30">
        <f>IFERROR(__xludf.DUMMYFUNCTION("""COMPUTED_VALUE"""),0.7295252442022341)</f>
        <v>0.7295252442</v>
      </c>
      <c r="AU86" s="30">
        <f>IFERROR(__xludf.DUMMYFUNCTION("""COMPUTED_VALUE"""),4.240672710222546)</f>
        <v>4.24067271</v>
      </c>
      <c r="AV86" s="32">
        <f>IFERROR(__xludf.DUMMYFUNCTION("""COMPUTED_VALUE"""),79.62873286894954)</f>
        <v>79.62873287</v>
      </c>
      <c r="AW86" s="32">
        <f>IFERROR(__xludf.DUMMYFUNCTION("""COMPUTED_VALUE"""),8.476069789904162)</f>
        <v>8.47606979</v>
      </c>
      <c r="AX86" s="32">
        <f>IFERROR(__xludf.DUMMYFUNCTION("""COMPUTED_VALUE"""),68.62505360539612)</f>
        <v>68.62505361</v>
      </c>
      <c r="AY86" s="32">
        <f>IFERROR(__xludf.DUMMYFUNCTION("""COMPUTED_VALUE"""),4.383365426221581)</f>
        <v>4.383365426</v>
      </c>
      <c r="AZ86" s="30">
        <f>IFERROR(__xludf.DUMMYFUNCTION("""COMPUTED_VALUE"""),4.092704363682581)</f>
        <v>4.092704364</v>
      </c>
      <c r="BA86" s="30">
        <f>IFERROR(__xludf.DUMMYFUNCTION("""COMPUTED_VALUE"""),450.0)</f>
        <v>450</v>
      </c>
    </row>
    <row r="87">
      <c r="A87" s="30" t="str">
        <f>IFERROR(__xludf.DUMMYFUNCTION("""COMPUTED_VALUE"""),"Master")</f>
        <v>Master</v>
      </c>
      <c r="B87" s="30" t="str">
        <f>IFERROR(__xludf.DUMMYFUNCTION("""COMPUTED_VALUE"""),"RSC006534")</f>
        <v>RSC006534</v>
      </c>
      <c r="C87" s="30" t="str">
        <f>IFERROR(__xludf.DUMMYFUNCTION("""COMPUTED_VALUE"""),"FIN0oo")</f>
        <v>FIN0oo</v>
      </c>
      <c r="D87" s="30" t="str">
        <f>IFERROR(__xludf.DUMMYFUNCTION("""COMPUTED_VALUE"""),"Helicoprions")</f>
        <v>Helicoprions</v>
      </c>
      <c r="E87" s="30">
        <f>IFERROR(__xludf.DUMMYFUNCTION("""COMPUTED_VALUE"""),32.0)</f>
        <v>32</v>
      </c>
      <c r="F87" s="30">
        <f>IFERROR(__xludf.DUMMYFUNCTION("""COMPUTED_VALUE"""),21.0)</f>
        <v>21</v>
      </c>
      <c r="G87" s="30">
        <f>IFERROR(__xludf.DUMMYFUNCTION("""COMPUTED_VALUE"""),11.0)</f>
        <v>11</v>
      </c>
      <c r="H87" s="42">
        <f>IFERROR(__xludf.DUMMYFUNCTION("""COMPUTED_VALUE"""),0.65625)</f>
        <v>0.65625</v>
      </c>
      <c r="I87" s="42">
        <f>IFERROR(__xludf.DUMMYFUNCTION("""COMPUTED_VALUE"""),0.2631578947368421)</f>
        <v>0.2631578947</v>
      </c>
      <c r="J87" s="30">
        <f>IFERROR(__xludf.DUMMYFUNCTION("""COMPUTED_VALUE"""),426.0)</f>
        <v>426</v>
      </c>
      <c r="K87" s="30">
        <f>IFERROR(__xludf.DUMMYFUNCTION("""COMPUTED_VALUE"""),0.78125)</f>
        <v>0.78125</v>
      </c>
      <c r="L87" s="30">
        <f>IFERROR(__xludf.DUMMYFUNCTION("""COMPUTED_VALUE"""),0.625)</f>
        <v>0.625</v>
      </c>
      <c r="M87" s="30">
        <f>IFERROR(__xludf.DUMMYFUNCTION("""COMPUTED_VALUE"""),1.90625)</f>
        <v>1.90625</v>
      </c>
      <c r="N87" s="30">
        <f>IFERROR(__xludf.DUMMYFUNCTION("""COMPUTED_VALUE"""),2.96875)</f>
        <v>2.96875</v>
      </c>
      <c r="O87" s="30">
        <f>IFERROR(__xludf.DUMMYFUNCTION("""COMPUTED_VALUE"""),368.2395833333333)</f>
        <v>368.2395833</v>
      </c>
      <c r="P87" s="30">
        <f>IFERROR(__xludf.DUMMYFUNCTION("""COMPUTED_VALUE"""),0.7187499999999998)</f>
        <v>0.71875</v>
      </c>
      <c r="Q87" s="30">
        <f>IFERROR(__xludf.DUMMYFUNCTION("""COMPUTED_VALUE"""),0.5416666666666667)</f>
        <v>0.5416666667</v>
      </c>
      <c r="R87" s="30">
        <f>IFERROR(__xludf.DUMMYFUNCTION("""COMPUTED_VALUE"""),1.5416666666666665)</f>
        <v>1.541666667</v>
      </c>
      <c r="S87" s="30">
        <f>IFERROR(__xludf.DUMMYFUNCTION("""COMPUTED_VALUE"""),2.447916666666667)</f>
        <v>2.447916667</v>
      </c>
      <c r="T87" s="30">
        <f>IFERROR(__xludf.DUMMYFUNCTION("""COMPUTED_VALUE"""),372.9120666588974)</f>
        <v>372.9120667</v>
      </c>
      <c r="U87" s="30">
        <f>IFERROR(__xludf.DUMMYFUNCTION("""COMPUTED_VALUE"""),0.7940193217639396)</f>
        <v>0.7940193218</v>
      </c>
      <c r="V87" s="30">
        <f>IFERROR(__xludf.DUMMYFUNCTION("""COMPUTED_VALUE"""),0.6087204680422776)</f>
        <v>0.608720468</v>
      </c>
      <c r="W87" s="30">
        <f>IFERROR(__xludf.DUMMYFUNCTION("""COMPUTED_VALUE"""),1.5184351863803385)</f>
        <v>1.518435186</v>
      </c>
      <c r="X87" s="30">
        <f>IFERROR(__xludf.DUMMYFUNCTION("""COMPUTED_VALUE"""),2.753524714956568)</f>
        <v>2.753524715</v>
      </c>
      <c r="Y87" s="30">
        <f>IFERROR(__xludf.DUMMYFUNCTION("""COMPUTED_VALUE"""),396.31744873508313)</f>
        <v>396.3174487</v>
      </c>
      <c r="Z87" s="30">
        <f>IFERROR(__xludf.DUMMYFUNCTION("""COMPUTED_VALUE"""),0.9137183701863715)</f>
        <v>0.9137183702</v>
      </c>
      <c r="AA87" s="30">
        <f>IFERROR(__xludf.DUMMYFUNCTION("""COMPUTED_VALUE"""),0.7083441921310519)</f>
        <v>0.7083441921</v>
      </c>
      <c r="AB87" s="30">
        <f>IFERROR(__xludf.DUMMYFUNCTION("""COMPUTED_VALUE"""),1.5269410453632908)</f>
        <v>1.526941045</v>
      </c>
      <c r="AC87" s="30">
        <f>IFERROR(__xludf.DUMMYFUNCTION("""COMPUTED_VALUE"""),2.888052888728846)</f>
        <v>2.888052889</v>
      </c>
      <c r="AD87" s="30">
        <f>IFERROR(__xludf.DUMMYFUNCTION("""COMPUTED_VALUE"""),1.074895898123219)</f>
        <v>1.074895898</v>
      </c>
      <c r="AE87" s="30">
        <f>IFERROR(__xludf.DUMMYFUNCTION("""COMPUTED_VALUE"""),0.8550227570018628)</f>
        <v>0.855022757</v>
      </c>
      <c r="AF87" s="30">
        <f>IFERROR(__xludf.DUMMYFUNCTION("""COMPUTED_VALUE"""),0.8823394148538)</f>
        <v>0.8823394149</v>
      </c>
      <c r="AG87" s="30">
        <f>IFERROR(__xludf.DUMMYFUNCTION("""COMPUTED_VALUE"""),1.2484110017138637)</f>
        <v>1.248411002</v>
      </c>
      <c r="AH87" s="30">
        <f>IFERROR(__xludf.DUMMYFUNCTION("""COMPUTED_VALUE"""),1.0279417013400582)</f>
        <v>1.027941701</v>
      </c>
      <c r="AI87" s="30">
        <f>IFERROR(__xludf.DUMMYFUNCTION("""COMPUTED_VALUE"""),0.9874702812182315)</f>
        <v>0.9874702812</v>
      </c>
      <c r="AJ87" s="30">
        <f>IFERROR(__xludf.DUMMYFUNCTION("""COMPUTED_VALUE"""),0.9052046723539087)</f>
        <v>0.9052046724</v>
      </c>
      <c r="AK87" s="30">
        <f>IFERROR(__xludf.DUMMYFUNCTION("""COMPUTED_VALUE"""),0.8898446743687387)</f>
        <v>0.8898446744</v>
      </c>
      <c r="AL87" s="30">
        <f>IFERROR(__xludf.DUMMYFUNCTION("""COMPUTED_VALUE"""),1.0152996193019654)</f>
        <v>1.015299619</v>
      </c>
      <c r="AM87" s="30">
        <f>IFERROR(__xludf.DUMMYFUNCTION("""COMPUTED_VALUE"""),0.8890120554829589)</f>
        <v>0.8890120555</v>
      </c>
      <c r="AN87" s="30">
        <f>IFERROR(__xludf.DUMMYFUNCTION("""COMPUTED_VALUE"""),1.1550363746405783)</f>
        <v>1.155036375</v>
      </c>
      <c r="AO87" s="30">
        <f>IFERROR(__xludf.DUMMYFUNCTION("""COMPUTED_VALUE"""),1.0180439768053062)</f>
        <v>1.018043977</v>
      </c>
      <c r="AP87" s="30">
        <f>IFERROR(__xludf.DUMMYFUNCTION("""COMPUTED_VALUE"""),0.9811358397325766)</f>
        <v>0.9811358397</v>
      </c>
      <c r="AQ87" s="30">
        <f>IFERROR(__xludf.DUMMYFUNCTION("""COMPUTED_VALUE"""),1.3023387780309623)</f>
        <v>1.302338778</v>
      </c>
      <c r="AR87" s="30">
        <f>IFERROR(__xludf.DUMMYFUNCTION("""COMPUTED_VALUE"""),1.1004238438867218)</f>
        <v>1.100423844</v>
      </c>
      <c r="AS87" s="30">
        <f>IFERROR(__xludf.DUMMYFUNCTION("""COMPUTED_VALUE"""),86.0)</f>
        <v>86</v>
      </c>
      <c r="AT87" s="30">
        <f>IFERROR(__xludf.DUMMYFUNCTION("""COMPUTED_VALUE"""),0.5857379361022874)</f>
        <v>0.5857379361</v>
      </c>
      <c r="AU87" s="30">
        <f>IFERROR(__xludf.DUMMYFUNCTION("""COMPUTED_VALUE"""),3.293505344643204)</f>
        <v>3.293505345</v>
      </c>
      <c r="AV87" s="32">
        <f>IFERROR(__xludf.DUMMYFUNCTION("""COMPUTED_VALUE"""),56.485072020312174)</f>
        <v>56.48507202</v>
      </c>
      <c r="AW87" s="32">
        <f>IFERROR(__xludf.DUMMYFUNCTION("""COMPUTED_VALUE"""),2.514697124696698)</f>
        <v>2.514697125</v>
      </c>
      <c r="AX87" s="32">
        <f>IFERROR(__xludf.DUMMYFUNCTION("""COMPUTED_VALUE"""),73.87718463273588)</f>
        <v>73.87718463</v>
      </c>
      <c r="AY87" s="32">
        <f>IFERROR(__xludf.DUMMYFUNCTION("""COMPUTED_VALUE"""),5.89043483071904)</f>
        <v>5.890434831</v>
      </c>
      <c r="AZ87" s="30">
        <f>IFERROR(__xludf.DUMMYFUNCTION("""COMPUTED_VALUE"""),3.3757377060223424)</f>
        <v>3.375737706</v>
      </c>
      <c r="BA87" s="30">
        <f>IFERROR(__xludf.DUMMYFUNCTION("""COMPUTED_VALUE"""),450.0)</f>
        <v>450</v>
      </c>
    </row>
    <row r="88">
      <c r="A88" s="30" t="str">
        <f>IFERROR(__xludf.DUMMYFUNCTION("""COMPUTED_VALUE"""),"Master")</f>
        <v>Master</v>
      </c>
      <c r="B88" s="30" t="str">
        <f>IFERROR(__xludf.DUMMYFUNCTION("""COMPUTED_VALUE"""),"RSC007997")</f>
        <v>RSC007997</v>
      </c>
      <c r="C88" s="30" t="str">
        <f>IFERROR(__xludf.DUMMYFUNCTION("""COMPUTED_VALUE"""),"dreamyrll")</f>
        <v>dreamyrll</v>
      </c>
      <c r="D88" s="30" t="str">
        <f>IFERROR(__xludf.DUMMYFUNCTION("""COMPUTED_VALUE"""),"The OG")</f>
        <v>The OG</v>
      </c>
      <c r="E88" s="30">
        <f>IFERROR(__xludf.DUMMYFUNCTION("""COMPUTED_VALUE"""),15.0)</f>
        <v>15</v>
      </c>
      <c r="F88" s="30">
        <f>IFERROR(__xludf.DUMMYFUNCTION("""COMPUTED_VALUE"""),5.0)</f>
        <v>5</v>
      </c>
      <c r="G88" s="30">
        <f>IFERROR(__xludf.DUMMYFUNCTION("""COMPUTED_VALUE"""),10.0)</f>
        <v>10</v>
      </c>
      <c r="H88" s="42">
        <f>IFERROR(__xludf.DUMMYFUNCTION("""COMPUTED_VALUE"""),0.3333333333333333)</f>
        <v>0.3333333333</v>
      </c>
      <c r="I88" s="42">
        <f>IFERROR(__xludf.DUMMYFUNCTION("""COMPUTED_VALUE"""),0.3269230769230769)</f>
        <v>0.3269230769</v>
      </c>
      <c r="J88" s="30">
        <f>IFERROR(__xludf.DUMMYFUNCTION("""COMPUTED_VALUE"""),481.73333333333335)</f>
        <v>481.7333333</v>
      </c>
      <c r="K88" s="30">
        <f>IFERROR(__xludf.DUMMYFUNCTION("""COMPUTED_VALUE"""),1.1333333333333333)</f>
        <v>1.133333333</v>
      </c>
      <c r="L88" s="30">
        <f>IFERROR(__xludf.DUMMYFUNCTION("""COMPUTED_VALUE"""),0.6)</f>
        <v>0.6</v>
      </c>
      <c r="M88" s="30">
        <f>IFERROR(__xludf.DUMMYFUNCTION("""COMPUTED_VALUE"""),1.8666666666666667)</f>
        <v>1.866666667</v>
      </c>
      <c r="N88" s="30">
        <f>IFERROR(__xludf.DUMMYFUNCTION("""COMPUTED_VALUE"""),3.466666666666667)</f>
        <v>3.466666667</v>
      </c>
      <c r="O88" s="30">
        <f>IFERROR(__xludf.DUMMYFUNCTION("""COMPUTED_VALUE"""),423.9111111111112)</f>
        <v>423.9111111</v>
      </c>
      <c r="P88" s="30">
        <f>IFERROR(__xludf.DUMMYFUNCTION("""COMPUTED_VALUE"""),1.0)</f>
        <v>1</v>
      </c>
      <c r="Q88" s="30">
        <f>IFERROR(__xludf.DUMMYFUNCTION("""COMPUTED_VALUE"""),0.7333333333333333)</f>
        <v>0.7333333333</v>
      </c>
      <c r="R88" s="30">
        <f>IFERROR(__xludf.DUMMYFUNCTION("""COMPUTED_VALUE"""),1.7555555555555555)</f>
        <v>1.755555556</v>
      </c>
      <c r="S88" s="30">
        <f>IFERROR(__xludf.DUMMYFUNCTION("""COMPUTED_VALUE"""),3.1111111111111103)</f>
        <v>3.111111111</v>
      </c>
      <c r="T88" s="30">
        <f>IFERROR(__xludf.DUMMYFUNCTION("""COMPUTED_VALUE"""),391.80088350367816)</f>
        <v>391.8008835</v>
      </c>
      <c r="U88" s="30">
        <f>IFERROR(__xludf.DUMMYFUNCTION("""COMPUTED_VALUE"""),0.8828674696783779)</f>
        <v>0.8828674697</v>
      </c>
      <c r="V88" s="30">
        <f>IFERROR(__xludf.DUMMYFUNCTION("""COMPUTED_VALUE"""),0.6414857088003357)</f>
        <v>0.6414857088</v>
      </c>
      <c r="W88" s="30">
        <f>IFERROR(__xludf.DUMMYFUNCTION("""COMPUTED_VALUE"""),1.5176836021765026)</f>
        <v>1.517683602</v>
      </c>
      <c r="X88" s="30">
        <f>IFERROR(__xludf.DUMMYFUNCTION("""COMPUTED_VALUE"""),2.9140473149668558)</f>
        <v>2.914047315</v>
      </c>
      <c r="Y88" s="30">
        <f>IFERROR(__xludf.DUMMYFUNCTION("""COMPUTED_VALUE"""),380.6482279902168)</f>
        <v>380.648228</v>
      </c>
      <c r="Z88" s="30">
        <f>IFERROR(__xludf.DUMMYFUNCTION("""COMPUTED_VALUE"""),0.8441827541290394)</f>
        <v>0.8441827541</v>
      </c>
      <c r="AA88" s="30">
        <f>IFERROR(__xludf.DUMMYFUNCTION("""COMPUTED_VALUE"""),0.6573725255676273)</f>
        <v>0.6573725256</v>
      </c>
      <c r="AB88" s="30">
        <f>IFERROR(__xludf.DUMMYFUNCTION("""COMPUTED_VALUE"""),1.4988121790507039)</f>
        <v>1.498812179</v>
      </c>
      <c r="AC88" s="30">
        <f>IFERROR(__xludf.DUMMYFUNCTION("""COMPUTED_VALUE"""),2.796810534629631)</f>
        <v>2.796810535</v>
      </c>
      <c r="AD88" s="30">
        <f>IFERROR(__xludf.DUMMYFUNCTION("""COMPUTED_VALUE"""),1.2655604253744603)</f>
        <v>1.265560425</v>
      </c>
      <c r="AE88" s="30">
        <f>IFERROR(__xludf.DUMMYFUNCTION("""COMPUTED_VALUE"""),1.3425213057125485)</f>
        <v>1.342521306</v>
      </c>
      <c r="AF88" s="30">
        <f>IFERROR(__xludf.DUMMYFUNCTION("""COMPUTED_VALUE"""),0.9127244852253487)</f>
        <v>0.9127244852</v>
      </c>
      <c r="AG88" s="30">
        <f>IFERROR(__xludf.DUMMYFUNCTION("""COMPUTED_VALUE"""),1.2454306768770382)</f>
        <v>1.245430677</v>
      </c>
      <c r="AH88" s="30">
        <f>IFERROR(__xludf.DUMMYFUNCTION("""COMPUTED_VALUE"""),1.2395071542183467)</f>
        <v>1.239507154</v>
      </c>
      <c r="AI88" s="30">
        <f>IFERROR(__xludf.DUMMYFUNCTION("""COMPUTED_VALUE"""),1.081955475241116)</f>
        <v>1.081955475</v>
      </c>
      <c r="AJ88" s="30">
        <f>IFERROR(__xludf.DUMMYFUNCTION("""COMPUTED_VALUE"""),1.1326728352153383)</f>
        <v>1.132672835</v>
      </c>
      <c r="AK88" s="30">
        <f>IFERROR(__xludf.DUMMYFUNCTION("""COMPUTED_VALUE"""),1.1431795335000758)</f>
        <v>1.143179534</v>
      </c>
      <c r="AL88" s="30">
        <f>IFERROR(__xludf.DUMMYFUNCTION("""COMPUTED_VALUE"""),1.1567335596417607)</f>
        <v>1.15673356</v>
      </c>
      <c r="AM88" s="30">
        <f>IFERROR(__xludf.DUMMYFUNCTION("""COMPUTED_VALUE"""),1.0676254620616878)</f>
        <v>1.067625462</v>
      </c>
      <c r="AN88" s="30">
        <f>IFERROR(__xludf.DUMMYFUNCTION("""COMPUTED_VALUE"""),1.3061491147344007)</f>
        <v>1.306149115</v>
      </c>
      <c r="AO88" s="30">
        <f>IFERROR(__xludf.DUMMYFUNCTION("""COMPUTED_VALUE"""),1.476842462352231)</f>
        <v>1.476842462</v>
      </c>
      <c r="AP88" s="30">
        <f>IFERROR(__xludf.DUMMYFUNCTION("""COMPUTED_VALUE"""),0.9418904061432735)</f>
        <v>0.9418904061</v>
      </c>
      <c r="AQ88" s="30">
        <f>IFERROR(__xludf.DUMMYFUNCTION("""COMPUTED_VALUE"""),1.2752956777221227)</f>
        <v>1.275295678</v>
      </c>
      <c r="AR88" s="30">
        <f>IFERROR(__xludf.DUMMYFUNCTION("""COMPUTED_VALUE"""),1.284986158756144)</f>
        <v>1.284986159</v>
      </c>
      <c r="AS88" s="30">
        <f>IFERROR(__xludf.DUMMYFUNCTION("""COMPUTED_VALUE"""),41.0)</f>
        <v>41</v>
      </c>
      <c r="AT88" s="30">
        <f>IFERROR(__xludf.DUMMYFUNCTION("""COMPUTED_VALUE"""),0.46165978893591564)</f>
        <v>0.4616597889</v>
      </c>
      <c r="AU88" s="30">
        <f>IFERROR(__xludf.DUMMYFUNCTION("""COMPUTED_VALUE"""),4.009498126911298)</f>
        <v>4.009498127</v>
      </c>
      <c r="AV88" s="32">
        <f>IFERROR(__xludf.DUMMYFUNCTION("""COMPUTED_VALUE"""),73.98007314162872)</f>
        <v>73.98007314</v>
      </c>
      <c r="AW88" s="32">
        <f>IFERROR(__xludf.DUMMYFUNCTION("""COMPUTED_VALUE"""),5.926689337890077)</f>
        <v>5.926689338</v>
      </c>
      <c r="AX88" s="32">
        <f>IFERROR(__xludf.DUMMYFUNCTION("""COMPUTED_VALUE"""),61.30623389592079)</f>
        <v>61.3062339</v>
      </c>
      <c r="AY88" s="32">
        <f>IFERROR(__xludf.DUMMYFUNCTION("""COMPUTED_VALUE"""),3.0717749915503116)</f>
        <v>3.071774992</v>
      </c>
      <c r="AZ88" s="30">
        <f>IFERROR(__xludf.DUMMYFUNCTION("""COMPUTED_VALUE"""),2.8549143463397657)</f>
        <v>2.854914346</v>
      </c>
      <c r="BA88" s="30">
        <f>IFERROR(__xludf.DUMMYFUNCTION("""COMPUTED_VALUE"""),450.0)</f>
        <v>450</v>
      </c>
    </row>
    <row r="89">
      <c r="A89" s="30" t="str">
        <f>IFERROR(__xludf.DUMMYFUNCTION("""COMPUTED_VALUE"""),"Master")</f>
        <v>Master</v>
      </c>
      <c r="B89" s="30" t="str">
        <f>IFERROR(__xludf.DUMMYFUNCTION("""COMPUTED_VALUE"""),"RSC002620")</f>
        <v>RSC002620</v>
      </c>
      <c r="C89" s="30" t="str">
        <f>IFERROR(__xludf.DUMMYFUNCTION("""COMPUTED_VALUE"""),"Instnt")</f>
        <v>Instnt</v>
      </c>
      <c r="D89" s="30" t="str">
        <f>IFERROR(__xludf.DUMMYFUNCTION("""COMPUTED_VALUE"""),"Tempests")</f>
        <v>Tempests</v>
      </c>
      <c r="E89" s="30">
        <f>IFERROR(__xludf.DUMMYFUNCTION("""COMPUTED_VALUE"""),4.0)</f>
        <v>4</v>
      </c>
      <c r="F89" s="30">
        <f>IFERROR(__xludf.DUMMYFUNCTION("""COMPUTED_VALUE"""),1.0)</f>
        <v>1</v>
      </c>
      <c r="G89" s="30">
        <f>IFERROR(__xludf.DUMMYFUNCTION("""COMPUTED_VALUE"""),3.0)</f>
        <v>3</v>
      </c>
      <c r="H89" s="42">
        <f>IFERROR(__xludf.DUMMYFUNCTION("""COMPUTED_VALUE"""),0.25)</f>
        <v>0.25</v>
      </c>
      <c r="I89" s="42">
        <f>IFERROR(__xludf.DUMMYFUNCTION("""COMPUTED_VALUE"""),0.125)</f>
        <v>0.125</v>
      </c>
      <c r="J89" s="30">
        <f>IFERROR(__xludf.DUMMYFUNCTION("""COMPUTED_VALUE"""),394.25)</f>
        <v>394.25</v>
      </c>
      <c r="K89" s="30">
        <f>IFERROR(__xludf.DUMMYFUNCTION("""COMPUTED_VALUE"""),0.5)</f>
        <v>0.5</v>
      </c>
      <c r="L89" s="30">
        <f>IFERROR(__xludf.DUMMYFUNCTION("""COMPUTED_VALUE"""),0.75)</f>
        <v>0.75</v>
      </c>
      <c r="M89" s="30">
        <f>IFERROR(__xludf.DUMMYFUNCTION("""COMPUTED_VALUE"""),1.5)</f>
        <v>1.5</v>
      </c>
      <c r="N89" s="30">
        <f>IFERROR(__xludf.DUMMYFUNCTION("""COMPUTED_VALUE"""),4.0)</f>
        <v>4</v>
      </c>
      <c r="O89" s="30">
        <f>IFERROR(__xludf.DUMMYFUNCTION("""COMPUTED_VALUE"""),387.6666666666667)</f>
        <v>387.6666667</v>
      </c>
      <c r="P89" s="30">
        <f>IFERROR(__xludf.DUMMYFUNCTION("""COMPUTED_VALUE"""),1.0)</f>
        <v>1</v>
      </c>
      <c r="Q89" s="30">
        <f>IFERROR(__xludf.DUMMYFUNCTION("""COMPUTED_VALUE"""),0.5833333333333333)</f>
        <v>0.5833333333</v>
      </c>
      <c r="R89" s="30">
        <f>IFERROR(__xludf.DUMMYFUNCTION("""COMPUTED_VALUE"""),1.6666666666666667)</f>
        <v>1.666666667</v>
      </c>
      <c r="S89" s="30">
        <f>IFERROR(__xludf.DUMMYFUNCTION("""COMPUTED_VALUE"""),2.4999999999999996)</f>
        <v>2.5</v>
      </c>
      <c r="T89" s="30">
        <f>IFERROR(__xludf.DUMMYFUNCTION("""COMPUTED_VALUE"""),386.3333333333333)</f>
        <v>386.3333333</v>
      </c>
      <c r="U89" s="30">
        <f>IFERROR(__xludf.DUMMYFUNCTION("""COMPUTED_VALUE"""),0.9074074074074074)</f>
        <v>0.9074074074</v>
      </c>
      <c r="V89" s="30">
        <f>IFERROR(__xludf.DUMMYFUNCTION("""COMPUTED_VALUE"""),0.8240740740740741)</f>
        <v>0.8240740741</v>
      </c>
      <c r="W89" s="30">
        <f>IFERROR(__xludf.DUMMYFUNCTION("""COMPUTED_VALUE"""),1.4907407407407407)</f>
        <v>1.490740741</v>
      </c>
      <c r="X89" s="30">
        <f>IFERROR(__xludf.DUMMYFUNCTION("""COMPUTED_VALUE"""),2.7129629629629632)</f>
        <v>2.712962963</v>
      </c>
      <c r="Y89" s="30">
        <f>IFERROR(__xludf.DUMMYFUNCTION("""COMPUTED_VALUE"""),344.1913580246914)</f>
        <v>344.191358</v>
      </c>
      <c r="Z89" s="30">
        <f>IFERROR(__xludf.DUMMYFUNCTION("""COMPUTED_VALUE"""),0.7407407407407408)</f>
        <v>0.7407407407</v>
      </c>
      <c r="AA89" s="30">
        <f>IFERROR(__xludf.DUMMYFUNCTION("""COMPUTED_VALUE"""),0.5370370370370371)</f>
        <v>0.537037037</v>
      </c>
      <c r="AB89" s="30">
        <f>IFERROR(__xludf.DUMMYFUNCTION("""COMPUTED_VALUE"""),1.2438271604938274)</f>
        <v>1.24382716</v>
      </c>
      <c r="AC89" s="30">
        <f>IFERROR(__xludf.DUMMYFUNCTION("""COMPUTED_VALUE"""),2.623456790123457)</f>
        <v>2.62345679</v>
      </c>
      <c r="AD89" s="30">
        <f>IFERROR(__xludf.DUMMYFUNCTION("""COMPUTED_VALUE"""),1.1454384045624921)</f>
        <v>1.145438405</v>
      </c>
      <c r="AE89" s="30">
        <f>IFERROR(__xludf.DUMMYFUNCTION("""COMPUTED_VALUE"""),0.6749999999999999)</f>
        <v>0.675</v>
      </c>
      <c r="AF89" s="30">
        <f>IFERROR(__xludf.DUMMYFUNCTION("""COMPUTED_VALUE"""),1.3965517241379308)</f>
        <v>1.396551724</v>
      </c>
      <c r="AG89" s="30">
        <f>IFERROR(__xludf.DUMMYFUNCTION("""COMPUTED_VALUE"""),1.2059553349875929)</f>
        <v>1.205955335</v>
      </c>
      <c r="AH89" s="30">
        <f>IFERROR(__xludf.DUMMYFUNCTION("""COMPUTED_VALUE"""),1.5247058823529411)</f>
        <v>1.524705882</v>
      </c>
      <c r="AI89" s="30">
        <f>IFERROR(__xludf.DUMMYFUNCTION("""COMPUTED_VALUE"""),1.003451251078516)</f>
        <v>1.003451251</v>
      </c>
      <c r="AJ89" s="30">
        <f>IFERROR(__xludf.DUMMYFUNCTION("""COMPUTED_VALUE"""),1.1020408163265305)</f>
        <v>1.102040816</v>
      </c>
      <c r="AK89" s="30">
        <f>IFERROR(__xludf.DUMMYFUNCTION("""COMPUTED_VALUE"""),0.7078651685393258)</f>
        <v>0.7078651685</v>
      </c>
      <c r="AL89" s="30">
        <f>IFERROR(__xludf.DUMMYFUNCTION("""COMPUTED_VALUE"""),1.1180124223602486)</f>
        <v>1.118012422</v>
      </c>
      <c r="AM89" s="30">
        <f>IFERROR(__xludf.DUMMYFUNCTION("""COMPUTED_VALUE"""),0.9215017064846414)</f>
        <v>0.9215017065</v>
      </c>
      <c r="AN89" s="30">
        <f>IFERROR(__xludf.DUMMYFUNCTION("""COMPUTED_VALUE"""),1.0689509171409577)</f>
        <v>1.068950917</v>
      </c>
      <c r="AO89" s="30">
        <f>IFERROR(__xludf.DUMMYFUNCTION("""COMPUTED_VALUE"""),0.651548145155396)</f>
        <v>0.6515481452</v>
      </c>
      <c r="AP89" s="30">
        <f>IFERROR(__xludf.DUMMYFUNCTION("""COMPUTED_VALUE"""),1.1773630076790917)</f>
        <v>1.177363008</v>
      </c>
      <c r="AQ89" s="30">
        <f>IFERROR(__xludf.DUMMYFUNCTION("""COMPUTED_VALUE"""),1.0247911695981342)</f>
        <v>1.02479117</v>
      </c>
      <c r="AR89" s="30">
        <f>IFERROR(__xludf.DUMMYFUNCTION("""COMPUTED_VALUE"""),1.4826763370263198)</f>
        <v>1.482676337</v>
      </c>
      <c r="AS89" s="30">
        <f>IFERROR(__xludf.DUMMYFUNCTION("""COMPUTED_VALUE"""),10.0)</f>
        <v>10</v>
      </c>
      <c r="AT89" s="30">
        <f>IFERROR(__xludf.DUMMYFUNCTION("""COMPUTED_VALUE"""),0.42619635446806875)</f>
        <v>0.4261963545</v>
      </c>
      <c r="AU89" s="30">
        <f>IFERROR(__xludf.DUMMYFUNCTION("""COMPUTED_VALUE"""),3.6075548340146946)</f>
        <v>3.607554834</v>
      </c>
      <c r="AV89" s="32">
        <f>IFERROR(__xludf.DUMMYFUNCTION("""COMPUTED_VALUE"""),64.15874737678504)</f>
        <v>64.15874738</v>
      </c>
      <c r="AW89" s="32">
        <f>IFERROR(__xludf.DUMMYFUNCTION("""COMPUTED_VALUE"""),3.5016706129204493)</f>
        <v>3.501670613</v>
      </c>
      <c r="AX89" s="32">
        <f>IFERROR(__xludf.DUMMYFUNCTION("""COMPUTED_VALUE"""),73.36584884099975)</f>
        <v>73.36584884</v>
      </c>
      <c r="AY89" s="32">
        <f>IFERROR(__xludf.DUMMYFUNCTION("""COMPUTED_VALUE"""),5.714661662774432)</f>
        <v>5.714661663</v>
      </c>
      <c r="AZ89" s="30">
        <f>IFERROR(__xludf.DUMMYFUNCTION("""COMPUTED_VALUE"""),2.212991049853983)</f>
        <v>2.21299105</v>
      </c>
      <c r="BA89" s="30">
        <f>IFERROR(__xludf.DUMMYFUNCTION("""COMPUTED_VALUE"""),450.0)</f>
        <v>450</v>
      </c>
    </row>
    <row r="90">
      <c r="A90" s="30" t="str">
        <f>IFERROR(__xludf.DUMMYFUNCTION("""COMPUTED_VALUE"""),"Master")</f>
        <v>Master</v>
      </c>
      <c r="B90" s="30" t="str">
        <f>IFERROR(__xludf.DUMMYFUNCTION("""COMPUTED_VALUE"""),"RSC006481")</f>
        <v>RSC006481</v>
      </c>
      <c r="C90" s="30" t="str">
        <f>IFERROR(__xludf.DUMMYFUNCTION("""COMPUTED_VALUE"""),"Mixsta.")</f>
        <v>Mixsta.</v>
      </c>
      <c r="D90" s="30" t="str">
        <f>IFERROR(__xludf.DUMMYFUNCTION("""COMPUTED_VALUE"""),"Phantom Phreaks")</f>
        <v>Phantom Phreaks</v>
      </c>
      <c r="E90" s="30">
        <f>IFERROR(__xludf.DUMMYFUNCTION("""COMPUTED_VALUE"""),24.0)</f>
        <v>24</v>
      </c>
      <c r="F90" s="30">
        <f>IFERROR(__xludf.DUMMYFUNCTION("""COMPUTED_VALUE"""),16.0)</f>
        <v>16</v>
      </c>
      <c r="G90" s="30">
        <f>IFERROR(__xludf.DUMMYFUNCTION("""COMPUTED_VALUE"""),8.0)</f>
        <v>8</v>
      </c>
      <c r="H90" s="42">
        <f>IFERROR(__xludf.DUMMYFUNCTION("""COMPUTED_VALUE"""),0.6666666666666666)</f>
        <v>0.6666666667</v>
      </c>
      <c r="I90" s="42">
        <f>IFERROR(__xludf.DUMMYFUNCTION("""COMPUTED_VALUE"""),0.23255813953488372)</f>
        <v>0.2325581395</v>
      </c>
      <c r="J90" s="30">
        <f>IFERROR(__xludf.DUMMYFUNCTION("""COMPUTED_VALUE"""),387.7083333333333)</f>
        <v>387.7083333</v>
      </c>
      <c r="K90" s="30">
        <f>IFERROR(__xludf.DUMMYFUNCTION("""COMPUTED_VALUE"""),0.8333333333333334)</f>
        <v>0.8333333333</v>
      </c>
      <c r="L90" s="30">
        <f>IFERROR(__xludf.DUMMYFUNCTION("""COMPUTED_VALUE"""),0.7916666666666666)</f>
        <v>0.7916666667</v>
      </c>
      <c r="M90" s="30">
        <f>IFERROR(__xludf.DUMMYFUNCTION("""COMPUTED_VALUE"""),1.2083333333333333)</f>
        <v>1.208333333</v>
      </c>
      <c r="N90" s="30">
        <f>IFERROR(__xludf.DUMMYFUNCTION("""COMPUTED_VALUE"""),3.5833333333333335)</f>
        <v>3.583333333</v>
      </c>
      <c r="O90" s="30">
        <f>IFERROR(__xludf.DUMMYFUNCTION("""COMPUTED_VALUE"""),396.3333333333333)</f>
        <v>396.3333333</v>
      </c>
      <c r="P90" s="30">
        <f>IFERROR(__xludf.DUMMYFUNCTION("""COMPUTED_VALUE"""),0.6805555555555557)</f>
        <v>0.6805555556</v>
      </c>
      <c r="Q90" s="30">
        <f>IFERROR(__xludf.DUMMYFUNCTION("""COMPUTED_VALUE"""),0.4861111111111111)</f>
        <v>0.4861111111</v>
      </c>
      <c r="R90" s="30">
        <f>IFERROR(__xludf.DUMMYFUNCTION("""COMPUTED_VALUE"""),1.9444444444444446)</f>
        <v>1.944444444</v>
      </c>
      <c r="S90" s="30">
        <f>IFERROR(__xludf.DUMMYFUNCTION("""COMPUTED_VALUE"""),2.597222222222222)</f>
        <v>2.597222222</v>
      </c>
      <c r="T90" s="30">
        <f>IFERROR(__xludf.DUMMYFUNCTION("""COMPUTED_VALUE"""),373.9945903376458)</f>
        <v>373.9945903</v>
      </c>
      <c r="U90" s="30">
        <f>IFERROR(__xludf.DUMMYFUNCTION("""COMPUTED_VALUE"""),0.7841939824578712)</f>
        <v>0.7841939825</v>
      </c>
      <c r="V90" s="30">
        <f>IFERROR(__xludf.DUMMYFUNCTION("""COMPUTED_VALUE"""),0.6327420907282019)</f>
        <v>0.6327420907</v>
      </c>
      <c r="W90" s="30">
        <f>IFERROR(__xludf.DUMMYFUNCTION("""COMPUTED_VALUE"""),1.5275195612001164)</f>
        <v>1.527519561</v>
      </c>
      <c r="X90" s="30">
        <f>IFERROR(__xludf.DUMMYFUNCTION("""COMPUTED_VALUE"""),2.645130512491623)</f>
        <v>2.645130512</v>
      </c>
      <c r="Y90" s="30">
        <f>IFERROR(__xludf.DUMMYFUNCTION("""COMPUTED_VALUE"""),388.4016419580078)</f>
        <v>388.401642</v>
      </c>
      <c r="Z90" s="30">
        <f>IFERROR(__xludf.DUMMYFUNCTION("""COMPUTED_VALUE"""),0.885798345173345)</f>
        <v>0.8857983452</v>
      </c>
      <c r="AA90" s="30">
        <f>IFERROR(__xludf.DUMMYFUNCTION("""COMPUTED_VALUE"""),0.6723040633920266)</f>
        <v>0.6723040634</v>
      </c>
      <c r="AB90" s="30">
        <f>IFERROR(__xludf.DUMMYFUNCTION("""COMPUTED_VALUE"""),1.4419135519829964)</f>
        <v>1.441913552</v>
      </c>
      <c r="AC90" s="30">
        <f>IFERROR(__xludf.DUMMYFUNCTION("""COMPUTED_VALUE"""),2.9147955782215047)</f>
        <v>2.914795578</v>
      </c>
      <c r="AD90" s="30">
        <f>IFERROR(__xludf.DUMMYFUNCTION("""COMPUTED_VALUE"""),0.9982149698925592)</f>
        <v>0.9982149699</v>
      </c>
      <c r="AE90" s="30">
        <f>IFERROR(__xludf.DUMMYFUNCTION("""COMPUTED_VALUE"""),0.9407709303975449)</f>
        <v>0.9407709304</v>
      </c>
      <c r="AF90" s="30">
        <f>IFERROR(__xludf.DUMMYFUNCTION("""COMPUTED_VALUE"""),1.1775425879064463)</f>
        <v>1.177542588</v>
      </c>
      <c r="AG90" s="30">
        <f>IFERROR(__xludf.DUMMYFUNCTION("""COMPUTED_VALUE"""),0.8380067804145185)</f>
        <v>0.8380067804</v>
      </c>
      <c r="AH90" s="30">
        <f>IFERROR(__xludf.DUMMYFUNCTION("""COMPUTED_VALUE"""),1.2293600827814295)</f>
        <v>1.229360083</v>
      </c>
      <c r="AI90" s="30">
        <f>IFERROR(__xludf.DUMMYFUNCTION("""COMPUTED_VALUE"""),1.059730123303441)</f>
        <v>1.059730123</v>
      </c>
      <c r="AJ90" s="30">
        <f>IFERROR(__xludf.DUMMYFUNCTION("""COMPUTED_VALUE"""),0.8678408286461402)</f>
        <v>0.8678408286</v>
      </c>
      <c r="AK90" s="30">
        <f>IFERROR(__xludf.DUMMYFUNCTION("""COMPUTED_VALUE"""),0.7682610628157548)</f>
        <v>0.7682610628</v>
      </c>
      <c r="AL90" s="30">
        <f>IFERROR(__xludf.DUMMYFUNCTION("""COMPUTED_VALUE"""),1.2729424184373557)</f>
        <v>1.272942418</v>
      </c>
      <c r="AM90" s="30">
        <f>IFERROR(__xludf.DUMMYFUNCTION("""COMPUTED_VALUE"""),0.9818881185472118)</f>
        <v>0.9818881185</v>
      </c>
      <c r="AN90" s="30">
        <f>IFERROR(__xludf.DUMMYFUNCTION("""COMPUTED_VALUE"""),1.0512141496508784)</f>
        <v>1.05121415</v>
      </c>
      <c r="AO90" s="30">
        <f>IFERROR(__xludf.DUMMYFUNCTION("""COMPUTED_VALUE"""),1.0859135752589935)</f>
        <v>1.085913575</v>
      </c>
      <c r="AP90" s="30">
        <f>IFERROR(__xludf.DUMMYFUNCTION("""COMPUTED_VALUE"""),1.2427720636612636)</f>
        <v>1.242772064</v>
      </c>
      <c r="AQ90" s="30">
        <f>IFERROR(__xludf.DUMMYFUNCTION("""COMPUTED_VALUE"""),0.8255262199540525)</f>
        <v>0.82552622</v>
      </c>
      <c r="AR90" s="30">
        <f>IFERROR(__xludf.DUMMYFUNCTION("""COMPUTED_VALUE"""),1.328230885252745)</f>
        <v>1.328230885</v>
      </c>
      <c r="AS90" s="30">
        <f>IFERROR(__xludf.DUMMYFUNCTION("""COMPUTED_VALUE"""),61.0)</f>
        <v>61</v>
      </c>
      <c r="AT90" s="30">
        <f>IFERROR(__xludf.DUMMYFUNCTION("""COMPUTED_VALUE"""),0.5839683975864846)</f>
        <v>0.5839683976</v>
      </c>
      <c r="AU90" s="30">
        <f>IFERROR(__xludf.DUMMYFUNCTION("""COMPUTED_VALUE"""),3.751851111952239)</f>
        <v>3.751851112</v>
      </c>
      <c r="AV90" s="32">
        <f>IFERROR(__xludf.DUMMYFUNCTION("""COMPUTED_VALUE"""),67.68456999237377)</f>
        <v>67.68456999</v>
      </c>
      <c r="AW90" s="32">
        <f>IFERROR(__xludf.DUMMYFUNCTION("""COMPUTED_VALUE"""),4.172502755628674)</f>
        <v>4.172502756</v>
      </c>
      <c r="AX90" s="32">
        <f>IFERROR(__xludf.DUMMYFUNCTION("""COMPUTED_VALUE"""),50.432590304419826)</f>
        <v>50.4325903</v>
      </c>
      <c r="AY90" s="32">
        <f>IFERROR(__xludf.DUMMYFUNCTION("""COMPUTED_VALUE"""),2.027997717305458)</f>
        <v>2.027997717</v>
      </c>
      <c r="AZ90" s="30">
        <f>IFERROR(__xludf.DUMMYFUNCTION("""COMPUTED_VALUE"""),2.144505038323216)</f>
        <v>2.144505038</v>
      </c>
      <c r="BA90" s="30">
        <f>IFERROR(__xludf.DUMMYFUNCTION("""COMPUTED_VALUE"""),450.0)</f>
        <v>450</v>
      </c>
    </row>
    <row r="91">
      <c r="A91" s="30" t="str">
        <f>IFERROR(__xludf.DUMMYFUNCTION("""COMPUTED_VALUE"""),"Master")</f>
        <v>Master</v>
      </c>
      <c r="B91" s="30" t="str">
        <f>IFERROR(__xludf.DUMMYFUNCTION("""COMPUTED_VALUE"""),"RSC005109")</f>
        <v>RSC005109</v>
      </c>
      <c r="C91" s="30" t="str">
        <f>IFERROR(__xludf.DUMMYFUNCTION("""COMPUTED_VALUE"""),"delta ^_^")</f>
        <v>delta ^_^</v>
      </c>
      <c r="D91" s="30"/>
      <c r="E91" s="30">
        <f>IFERROR(__xludf.DUMMYFUNCTION("""COMPUTED_VALUE"""),8.0)</f>
        <v>8</v>
      </c>
      <c r="F91" s="30">
        <f>IFERROR(__xludf.DUMMYFUNCTION("""COMPUTED_VALUE"""),3.0)</f>
        <v>3</v>
      </c>
      <c r="G91" s="30">
        <f>IFERROR(__xludf.DUMMYFUNCTION("""COMPUTED_VALUE"""),5.0)</f>
        <v>5</v>
      </c>
      <c r="H91" s="42">
        <f>IFERROR(__xludf.DUMMYFUNCTION("""COMPUTED_VALUE"""),0.375)</f>
        <v>0.375</v>
      </c>
      <c r="I91" s="42">
        <f>IFERROR(__xludf.DUMMYFUNCTION("""COMPUTED_VALUE"""),0.3333333333333333)</f>
        <v>0.3333333333</v>
      </c>
      <c r="J91" s="30">
        <f>IFERROR(__xludf.DUMMYFUNCTION("""COMPUTED_VALUE"""),365.25)</f>
        <v>365.25</v>
      </c>
      <c r="K91" s="30">
        <f>IFERROR(__xludf.DUMMYFUNCTION("""COMPUTED_VALUE"""),0.625)</f>
        <v>0.625</v>
      </c>
      <c r="L91" s="30">
        <f>IFERROR(__xludf.DUMMYFUNCTION("""COMPUTED_VALUE"""),0.25)</f>
        <v>0.25</v>
      </c>
      <c r="M91" s="30">
        <f>IFERROR(__xludf.DUMMYFUNCTION("""COMPUTED_VALUE"""),1.875)</f>
        <v>1.875</v>
      </c>
      <c r="N91" s="30">
        <f>IFERROR(__xludf.DUMMYFUNCTION("""COMPUTED_VALUE"""),1.875)</f>
        <v>1.875</v>
      </c>
      <c r="O91" s="30">
        <f>IFERROR(__xludf.DUMMYFUNCTION("""COMPUTED_VALUE"""),435.4583333333333)</f>
        <v>435.4583333</v>
      </c>
      <c r="P91" s="30">
        <f>IFERROR(__xludf.DUMMYFUNCTION("""COMPUTED_VALUE"""),1.3333333333333333)</f>
        <v>1.333333333</v>
      </c>
      <c r="Q91" s="30">
        <f>IFERROR(__xludf.DUMMYFUNCTION("""COMPUTED_VALUE"""),1.125)</f>
        <v>1.125</v>
      </c>
      <c r="R91" s="30">
        <f>IFERROR(__xludf.DUMMYFUNCTION("""COMPUTED_VALUE"""),1.0833333333333335)</f>
        <v>1.083333333</v>
      </c>
      <c r="S91" s="30">
        <f>IFERROR(__xludf.DUMMYFUNCTION("""COMPUTED_VALUE"""),3.666666666666667)</f>
        <v>3.666666667</v>
      </c>
      <c r="T91" s="30">
        <f>IFERROR(__xludf.DUMMYFUNCTION("""COMPUTED_VALUE"""),407.0189192343605)</f>
        <v>407.0189192</v>
      </c>
      <c r="U91" s="30">
        <f>IFERROR(__xludf.DUMMYFUNCTION("""COMPUTED_VALUE"""),1.0360770697167756)</f>
        <v>1.03607707</v>
      </c>
      <c r="V91" s="30">
        <f>IFERROR(__xludf.DUMMYFUNCTION("""COMPUTED_VALUE"""),0.7586698568316215)</f>
        <v>0.7586698568</v>
      </c>
      <c r="W91" s="30">
        <f>IFERROR(__xludf.DUMMYFUNCTION("""COMPUTED_VALUE"""),1.4723369903516965)</f>
        <v>1.47233699</v>
      </c>
      <c r="X91" s="30">
        <f>IFERROR(__xludf.DUMMYFUNCTION("""COMPUTED_VALUE"""),2.8200727513227513)</f>
        <v>2.820072751</v>
      </c>
      <c r="Y91" s="30">
        <f>IFERROR(__xludf.DUMMYFUNCTION("""COMPUTED_VALUE"""),344.7069943718228)</f>
        <v>344.7069944</v>
      </c>
      <c r="Z91" s="30">
        <f>IFERROR(__xludf.DUMMYFUNCTION("""COMPUTED_VALUE"""),0.7172278633675693)</f>
        <v>0.7172278634</v>
      </c>
      <c r="AA91" s="30">
        <f>IFERROR(__xludf.DUMMYFUNCTION("""COMPUTED_VALUE"""),0.5294107920946156)</f>
        <v>0.5294107921</v>
      </c>
      <c r="AB91" s="30">
        <f>IFERROR(__xludf.DUMMYFUNCTION("""COMPUTED_VALUE"""),1.3491914358335926)</f>
        <v>1.349191436</v>
      </c>
      <c r="AC91" s="30">
        <f>IFERROR(__xludf.DUMMYFUNCTION("""COMPUTED_VALUE"""),2.596869812739911)</f>
        <v>2.596869813</v>
      </c>
      <c r="AD91" s="30">
        <f>IFERROR(__xludf.DUMMYFUNCTION("""COMPUTED_VALUE"""),1.0595955578609995)</f>
        <v>1.059595558</v>
      </c>
      <c r="AE91" s="30">
        <f>IFERROR(__xludf.DUMMYFUNCTION("""COMPUTED_VALUE"""),0.8714106519307048)</f>
        <v>0.8714106519</v>
      </c>
      <c r="AF91" s="30">
        <f>IFERROR(__xludf.DUMMYFUNCTION("""COMPUTED_VALUE"""),0.47222308976905086)</f>
        <v>0.4722230898</v>
      </c>
      <c r="AG91" s="30">
        <f>IFERROR(__xludf.DUMMYFUNCTION("""COMPUTED_VALUE"""),1.3897212435546915)</f>
        <v>1.389721244</v>
      </c>
      <c r="AH91" s="30">
        <f>IFERROR(__xludf.DUMMYFUNCTION("""COMPUTED_VALUE"""),0.7220231028916005)</f>
        <v>0.7220231029</v>
      </c>
      <c r="AI91" s="30">
        <f>IFERROR(__xludf.DUMMYFUNCTION("""COMPUTED_VALUE"""),1.0698724623230536)</f>
        <v>1.069872462</v>
      </c>
      <c r="AJ91" s="30">
        <f>IFERROR(__xludf.DUMMYFUNCTION("""COMPUTED_VALUE"""),1.286905552014404)</f>
        <v>1.286905552</v>
      </c>
      <c r="AK91" s="30">
        <f>IFERROR(__xludf.DUMMYFUNCTION("""COMPUTED_VALUE"""),1.4828584395039193)</f>
        <v>1.48285844</v>
      </c>
      <c r="AL91" s="30">
        <f>IFERROR(__xludf.DUMMYFUNCTION("""COMPUTED_VALUE"""),0.7357916974391563)</f>
        <v>0.7357916974</v>
      </c>
      <c r="AM91" s="30">
        <f>IFERROR(__xludf.DUMMYFUNCTION("""COMPUTED_VALUE"""),1.300202863542021)</f>
        <v>1.300202864</v>
      </c>
      <c r="AN91" s="30">
        <f>IFERROR(__xludf.DUMMYFUNCTION("""COMPUTED_VALUE"""),0.9903216803696508)</f>
        <v>0.9903216804</v>
      </c>
      <c r="AO91" s="30">
        <f>IFERROR(__xludf.DUMMYFUNCTION("""COMPUTED_VALUE"""),0.814435181444245)</f>
        <v>0.8144351814</v>
      </c>
      <c r="AP91" s="30">
        <f>IFERROR(__xludf.DUMMYFUNCTION("""COMPUTED_VALUE"""),0.39245433589303064)</f>
        <v>0.3924543359</v>
      </c>
      <c r="AQ91" s="30">
        <f>IFERROR(__xludf.DUMMYFUNCTION("""COMPUTED_VALUE"""),1.2809889619976678)</f>
        <v>1.280988962</v>
      </c>
      <c r="AR91" s="30">
        <f>IFERROR(__xludf.DUMMYFUNCTION("""COMPUTED_VALUE"""),0.6950045329810874)</f>
        <v>0.695004533</v>
      </c>
      <c r="AS91" s="30">
        <f>IFERROR(__xludf.DUMMYFUNCTION("""COMPUTED_VALUE"""),14.0)</f>
        <v>14</v>
      </c>
      <c r="AT91" s="30">
        <f>IFERROR(__xludf.DUMMYFUNCTION("""COMPUTED_VALUE"""),0.20331238634987853)</f>
        <v>0.2033123863</v>
      </c>
      <c r="AU91" s="30">
        <f>IFERROR(__xludf.DUMMYFUNCTION("""COMPUTED_VALUE"""),1.845826346578199)</f>
        <v>1.845826347</v>
      </c>
      <c r="AV91" s="32">
        <f>IFERROR(__xludf.DUMMYFUNCTION("""COMPUTED_VALUE"""),21.11160692165107)</f>
        <v>21.11160692</v>
      </c>
      <c r="AW91" s="32">
        <f>IFERROR(__xludf.DUMMYFUNCTION("""COMPUTED_VALUE"""),-8.068709498318384)</f>
        <v>-8.068709498</v>
      </c>
      <c r="AX91" s="32">
        <f>IFERROR(__xludf.DUMMYFUNCTION("""COMPUTED_VALUE"""),24.80226008214733)</f>
        <v>24.80226008</v>
      </c>
      <c r="AY91" s="32">
        <f>IFERROR(__xludf.DUMMYFUNCTION("""COMPUTED_VALUE"""),-6.379628791559124)</f>
        <v>-6.379628792</v>
      </c>
      <c r="AZ91" s="30">
        <f>IFERROR(__xludf.DUMMYFUNCTION("""COMPUTED_VALUE"""),1.6890807067592597)</f>
        <v>1.689080707</v>
      </c>
      <c r="BA91" s="30">
        <f>IFERROR(__xludf.DUMMYFUNCTION("""COMPUTED_VALUE"""),450.0)</f>
        <v>450</v>
      </c>
    </row>
    <row r="92">
      <c r="A92" s="30" t="str">
        <f>IFERROR(__xludf.DUMMYFUNCTION("""COMPUTED_VALUE"""),"Master")</f>
        <v>Master</v>
      </c>
      <c r="B92" s="30" t="str">
        <f>IFERROR(__xludf.DUMMYFUNCTION("""COMPUTED_VALUE"""),"RSC000824")</f>
        <v>RSC000824</v>
      </c>
      <c r="C92" s="30" t="str">
        <f>IFERROR(__xludf.DUMMYFUNCTION("""COMPUTED_VALUE"""),"Cart")</f>
        <v>Cart</v>
      </c>
      <c r="D92" s="30" t="str">
        <f>IFERROR(__xludf.DUMMYFUNCTION("""COMPUTED_VALUE"""),"Hard Hats")</f>
        <v>Hard Hats</v>
      </c>
      <c r="E92" s="30">
        <f>IFERROR(__xludf.DUMMYFUNCTION("""COMPUTED_VALUE"""),15.0)</f>
        <v>15</v>
      </c>
      <c r="F92" s="30">
        <f>IFERROR(__xludf.DUMMYFUNCTION("""COMPUTED_VALUE"""),5.0)</f>
        <v>5</v>
      </c>
      <c r="G92" s="30">
        <f>IFERROR(__xludf.DUMMYFUNCTION("""COMPUTED_VALUE"""),10.0)</f>
        <v>10</v>
      </c>
      <c r="H92" s="42">
        <f>IFERROR(__xludf.DUMMYFUNCTION("""COMPUTED_VALUE"""),0.3333333333333333)</f>
        <v>0.3333333333</v>
      </c>
      <c r="I92" s="42">
        <f>IFERROR(__xludf.DUMMYFUNCTION("""COMPUTED_VALUE"""),0.27999999999999997)</f>
        <v>0.28</v>
      </c>
      <c r="J92" s="30">
        <f>IFERROR(__xludf.DUMMYFUNCTION("""COMPUTED_VALUE"""),296.53333333333336)</f>
        <v>296.5333333</v>
      </c>
      <c r="K92" s="30">
        <f>IFERROR(__xludf.DUMMYFUNCTION("""COMPUTED_VALUE"""),0.4666666666666667)</f>
        <v>0.4666666667</v>
      </c>
      <c r="L92" s="30">
        <f>IFERROR(__xludf.DUMMYFUNCTION("""COMPUTED_VALUE"""),0.6)</f>
        <v>0.6</v>
      </c>
      <c r="M92" s="30">
        <f>IFERROR(__xludf.DUMMYFUNCTION("""COMPUTED_VALUE"""),1.3333333333333333)</f>
        <v>1.333333333</v>
      </c>
      <c r="N92" s="30">
        <f>IFERROR(__xludf.DUMMYFUNCTION("""COMPUTED_VALUE"""),1.6666666666666667)</f>
        <v>1.666666667</v>
      </c>
      <c r="O92" s="30">
        <f>IFERROR(__xludf.DUMMYFUNCTION("""COMPUTED_VALUE"""),405.91111111111115)</f>
        <v>405.9111111</v>
      </c>
      <c r="P92" s="30">
        <f>IFERROR(__xludf.DUMMYFUNCTION("""COMPUTED_VALUE"""),1.1555555555555557)</f>
        <v>1.155555556</v>
      </c>
      <c r="Q92" s="30">
        <f>IFERROR(__xludf.DUMMYFUNCTION("""COMPUTED_VALUE"""),0.9333333333333333)</f>
        <v>0.9333333333</v>
      </c>
      <c r="R92" s="30">
        <f>IFERROR(__xludf.DUMMYFUNCTION("""COMPUTED_VALUE"""),1.1555555555555554)</f>
        <v>1.155555556</v>
      </c>
      <c r="S92" s="30">
        <f>IFERROR(__xludf.DUMMYFUNCTION("""COMPUTED_VALUE"""),3.0888888888888886)</f>
        <v>3.088888889</v>
      </c>
      <c r="T92" s="30">
        <f>IFERROR(__xludf.DUMMYFUNCTION("""COMPUTED_VALUE"""),401.4252851263962)</f>
        <v>401.4252851</v>
      </c>
      <c r="U92" s="30">
        <f>IFERROR(__xludf.DUMMYFUNCTION("""COMPUTED_VALUE"""),0.9650903880070548)</f>
        <v>0.965090388</v>
      </c>
      <c r="V92" s="30">
        <f>IFERROR(__xludf.DUMMYFUNCTION("""COMPUTED_VALUE"""),0.747286890064668)</f>
        <v>0.7472868901</v>
      </c>
      <c r="W92" s="30">
        <f>IFERROR(__xludf.DUMMYFUNCTION("""COMPUTED_VALUE"""),1.4847773368606703)</f>
        <v>1.484777337</v>
      </c>
      <c r="X92" s="30">
        <f>IFERROR(__xludf.DUMMYFUNCTION("""COMPUTED_VALUE"""),2.8968334803057028)</f>
        <v>2.89683348</v>
      </c>
      <c r="Y92" s="30">
        <f>IFERROR(__xludf.DUMMYFUNCTION("""COMPUTED_VALUE"""),373.3491767097785)</f>
        <v>373.3491767</v>
      </c>
      <c r="Z92" s="30">
        <f>IFERROR(__xludf.DUMMYFUNCTION("""COMPUTED_VALUE"""),0.796539045659416)</f>
        <v>0.7965390457</v>
      </c>
      <c r="AA92" s="30">
        <f>IFERROR(__xludf.DUMMYFUNCTION("""COMPUTED_VALUE"""),0.6128948657652361)</f>
        <v>0.6128948658</v>
      </c>
      <c r="AB92" s="30">
        <f>IFERROR(__xludf.DUMMYFUNCTION("""COMPUTED_VALUE"""),1.4720331177738586)</f>
        <v>1.472033118</v>
      </c>
      <c r="AC92" s="30">
        <f>IFERROR(__xludf.DUMMYFUNCTION("""COMPUTED_VALUE"""),2.6942751812659225)</f>
        <v>2.694275181</v>
      </c>
      <c r="AD92" s="30">
        <f>IFERROR(__xludf.DUMMYFUNCTION("""COMPUTED_VALUE"""),0.7942520081244009)</f>
        <v>0.7942520081</v>
      </c>
      <c r="AE92" s="30">
        <f>IFERROR(__xludf.DUMMYFUNCTION("""COMPUTED_VALUE"""),0.5858679109450762)</f>
        <v>0.5858679109</v>
      </c>
      <c r="AF92" s="30">
        <f>IFERROR(__xludf.DUMMYFUNCTION("""COMPUTED_VALUE"""),0.9789607215111256)</f>
        <v>0.9789607215</v>
      </c>
      <c r="AG92" s="30">
        <f>IFERROR(__xludf.DUMMYFUNCTION("""COMPUTED_VALUE"""),0.9057767228428395)</f>
        <v>0.9057767228</v>
      </c>
      <c r="AH92" s="30">
        <f>IFERROR(__xludf.DUMMYFUNCTION("""COMPUTED_VALUE"""),0.6185955607858781)</f>
        <v>0.6185955608</v>
      </c>
      <c r="AI92" s="30">
        <f>IFERROR(__xludf.DUMMYFUNCTION("""COMPUTED_VALUE"""),1.0111747469602033)</f>
        <v>1.011174747</v>
      </c>
      <c r="AJ92" s="30">
        <f>IFERROR(__xludf.DUMMYFUNCTION("""COMPUTED_VALUE"""),1.1973547451258095)</f>
        <v>1.197354745</v>
      </c>
      <c r="AK92" s="30">
        <f>IFERROR(__xludf.DUMMYFUNCTION("""COMPUTED_VALUE"""),1.2489625413508398)</f>
        <v>1.248962541</v>
      </c>
      <c r="AL92" s="30">
        <f>IFERROR(__xludf.DUMMYFUNCTION("""COMPUTED_VALUE"""),0.7782685840280922)</f>
        <v>0.778268584</v>
      </c>
      <c r="AM92" s="30">
        <f>IFERROR(__xludf.DUMMYFUNCTION("""COMPUTED_VALUE"""),1.066298394398189)</f>
        <v>1.066298394</v>
      </c>
      <c r="AN92" s="30">
        <f>IFERROR(__xludf.DUMMYFUNCTION("""COMPUTED_VALUE"""),0.8040065405948815)</f>
        <v>0.8040065406</v>
      </c>
      <c r="AO92" s="30">
        <f>IFERROR(__xludf.DUMMYFUNCTION("""COMPUTED_VALUE"""),0.6081116021450362)</f>
        <v>0.6081116021</v>
      </c>
      <c r="AP92" s="30">
        <f>IFERROR(__xludf.DUMMYFUNCTION("""COMPUTED_VALUE"""),0.9418904061432735)</f>
        <v>0.9418904061</v>
      </c>
      <c r="AQ92" s="30">
        <f>IFERROR(__xludf.DUMMYFUNCTION("""COMPUTED_VALUE"""),0.9109254840872304)</f>
        <v>0.9109254841</v>
      </c>
      <c r="AR92" s="30">
        <f>IFERROR(__xludf.DUMMYFUNCTION("""COMPUTED_VALUE"""),0.6177818070943)</f>
        <v>0.6177818071</v>
      </c>
      <c r="AS92" s="30">
        <f>IFERROR(__xludf.DUMMYFUNCTION("""COMPUTED_VALUE"""),29.0)</f>
        <v>29</v>
      </c>
      <c r="AT92" s="30">
        <f>IFERROR(__xludf.DUMMYFUNCTION("""COMPUTED_VALUE"""),0.2793914353384154)</f>
        <v>0.2793914353</v>
      </c>
      <c r="AU92" s="30">
        <f>IFERROR(__xludf.DUMMYFUNCTION("""COMPUTED_VALUE"""),1.9488348889184302)</f>
        <v>1.948834889</v>
      </c>
      <c r="AV92" s="32">
        <f>IFERROR(__xludf.DUMMYFUNCTION("""COMPUTED_VALUE"""),23.62858000905957)</f>
        <v>23.62858001</v>
      </c>
      <c r="AW92" s="32">
        <f>IFERROR(__xludf.DUMMYFUNCTION("""COMPUTED_VALUE"""),-6.861279482397093)</f>
        <v>-6.861279482</v>
      </c>
      <c r="AX92" s="32">
        <f>IFERROR(__xludf.DUMMYFUNCTION("""COMPUTED_VALUE"""),20.632706207886347)</f>
        <v>20.63270621</v>
      </c>
      <c r="AY92" s="32">
        <f>IFERROR(__xludf.DUMMYFUNCTION("""COMPUTED_VALUE"""),-8.329236025877139)</f>
        <v>-8.329236026</v>
      </c>
      <c r="AZ92" s="30">
        <f>IFERROR(__xludf.DUMMYFUNCTION("""COMPUTED_VALUE"""),1.467956543480046)</f>
        <v>1.467956543</v>
      </c>
      <c r="BA92" s="30">
        <f>IFERROR(__xludf.DUMMYFUNCTION("""COMPUTED_VALUE"""),450.0)</f>
        <v>450</v>
      </c>
    </row>
    <row r="93">
      <c r="A93" s="30" t="str">
        <f>IFERROR(__xludf.DUMMYFUNCTION("""COMPUTED_VALUE"""),"Master")</f>
        <v>Master</v>
      </c>
      <c r="B93" s="30" t="str">
        <f>IFERROR(__xludf.DUMMYFUNCTION("""COMPUTED_VALUE"""),"RSC004575")</f>
        <v>RSC004575</v>
      </c>
      <c r="C93" s="30" t="str">
        <f>IFERROR(__xludf.DUMMYFUNCTION("""COMPUTED_VALUE"""),"Diamond ^.^")</f>
        <v>Diamond ^.^</v>
      </c>
      <c r="D93" s="30" t="str">
        <f>IFERROR(__xludf.DUMMYFUNCTION("""COMPUTED_VALUE"""),"Lemurs")</f>
        <v>Lemurs</v>
      </c>
      <c r="E93" s="30">
        <f>IFERROR(__xludf.DUMMYFUNCTION("""COMPUTED_VALUE"""),35.0)</f>
        <v>35</v>
      </c>
      <c r="F93" s="30">
        <f>IFERROR(__xludf.DUMMYFUNCTION("""COMPUTED_VALUE"""),19.0)</f>
        <v>19</v>
      </c>
      <c r="G93" s="30">
        <f>IFERROR(__xludf.DUMMYFUNCTION("""COMPUTED_VALUE"""),16.0)</f>
        <v>16</v>
      </c>
      <c r="H93" s="42">
        <f>IFERROR(__xludf.DUMMYFUNCTION("""COMPUTED_VALUE"""),0.5428571428571428)</f>
        <v>0.5428571429</v>
      </c>
      <c r="I93" s="42">
        <f>IFERROR(__xludf.DUMMYFUNCTION("""COMPUTED_VALUE"""),0.3135593220338983)</f>
        <v>0.313559322</v>
      </c>
      <c r="J93" s="30">
        <f>IFERROR(__xludf.DUMMYFUNCTION("""COMPUTED_VALUE"""),428.22857142857146)</f>
        <v>428.2285714</v>
      </c>
      <c r="K93" s="30">
        <f>IFERROR(__xludf.DUMMYFUNCTION("""COMPUTED_VALUE"""),1.0571428571428572)</f>
        <v>1.057142857</v>
      </c>
      <c r="L93" s="30">
        <f>IFERROR(__xludf.DUMMYFUNCTION("""COMPUTED_VALUE"""),0.6571428571428571)</f>
        <v>0.6571428571</v>
      </c>
      <c r="M93" s="30">
        <f>IFERROR(__xludf.DUMMYFUNCTION("""COMPUTED_VALUE"""),1.457142857142857)</f>
        <v>1.457142857</v>
      </c>
      <c r="N93" s="30">
        <f>IFERROR(__xludf.DUMMYFUNCTION("""COMPUTED_VALUE"""),3.3714285714285714)</f>
        <v>3.371428571</v>
      </c>
      <c r="O93" s="30">
        <f>IFERROR(__xludf.DUMMYFUNCTION("""COMPUTED_VALUE"""),409.1904761904762)</f>
        <v>409.1904762</v>
      </c>
      <c r="P93" s="30">
        <f>IFERROR(__xludf.DUMMYFUNCTION("""COMPUTED_VALUE"""),0.9142857142857143)</f>
        <v>0.9142857143</v>
      </c>
      <c r="Q93" s="30">
        <f>IFERROR(__xludf.DUMMYFUNCTION("""COMPUTED_VALUE"""),0.7142857142857144)</f>
        <v>0.7142857143</v>
      </c>
      <c r="R93" s="30">
        <f>IFERROR(__xludf.DUMMYFUNCTION("""COMPUTED_VALUE"""),1.5904761904761906)</f>
        <v>1.59047619</v>
      </c>
      <c r="S93" s="30">
        <f>IFERROR(__xludf.DUMMYFUNCTION("""COMPUTED_VALUE"""),2.7999999999999994)</f>
        <v>2.8</v>
      </c>
      <c r="T93" s="30">
        <f>IFERROR(__xludf.DUMMYFUNCTION("""COMPUTED_VALUE"""),390.28757564548215)</f>
        <v>390.2875756</v>
      </c>
      <c r="U93" s="30">
        <f>IFERROR(__xludf.DUMMYFUNCTION("""COMPUTED_VALUE"""),0.8892192055800432)</f>
        <v>0.8892192056</v>
      </c>
      <c r="V93" s="30">
        <f>IFERROR(__xludf.DUMMYFUNCTION("""COMPUTED_VALUE"""),0.6868296495513241)</f>
        <v>0.6868296496</v>
      </c>
      <c r="W93" s="30">
        <f>IFERROR(__xludf.DUMMYFUNCTION("""COMPUTED_VALUE"""),1.5145259323933384)</f>
        <v>1.514525932</v>
      </c>
      <c r="X93" s="30">
        <f>IFERROR(__xludf.DUMMYFUNCTION("""COMPUTED_VALUE"""),2.782494709495942)</f>
        <v>2.782494709</v>
      </c>
      <c r="Y93" s="30">
        <f>IFERROR(__xludf.DUMMYFUNCTION("""COMPUTED_VALUE"""),383.5754647759038)</f>
        <v>383.5754648</v>
      </c>
      <c r="Z93" s="30">
        <f>IFERROR(__xludf.DUMMYFUNCTION("""COMPUTED_VALUE"""),0.8461731070324393)</f>
        <v>0.846173107</v>
      </c>
      <c r="AA93" s="30">
        <f>IFERROR(__xludf.DUMMYFUNCTION("""COMPUTED_VALUE"""),0.6418538610581577)</f>
        <v>0.6418538611</v>
      </c>
      <c r="AB93" s="30">
        <f>IFERROR(__xludf.DUMMYFUNCTION("""COMPUTED_VALUE"""),1.5017002422763235)</f>
        <v>1.501700242</v>
      </c>
      <c r="AC93" s="30">
        <f>IFERROR(__xludf.DUMMYFUNCTION("""COMPUTED_VALUE"""),2.808557598162141)</f>
        <v>2.808557598</v>
      </c>
      <c r="AD93" s="30">
        <f>IFERROR(__xludf.DUMMYFUNCTION("""COMPUTED_VALUE"""),1.1164128333358216)</f>
        <v>1.116412833</v>
      </c>
      <c r="AE93" s="30">
        <f>IFERROR(__xludf.DUMMYFUNCTION("""COMPUTED_VALUE"""),1.2493222112084095)</f>
        <v>1.249322211</v>
      </c>
      <c r="AF93" s="30">
        <f>IFERROR(__xludf.DUMMYFUNCTION("""COMPUTED_VALUE"""),1.0238200578235894)</f>
        <v>1.023820058</v>
      </c>
      <c r="AG93" s="30">
        <f>IFERROR(__xludf.DUMMYFUNCTION("""COMPUTED_VALUE"""),0.9703287088334454)</f>
        <v>0.9703287088</v>
      </c>
      <c r="AH93" s="30">
        <f>IFERROR(__xludf.DUMMYFUNCTION("""COMPUTED_VALUE"""),1.200412828860893)</f>
        <v>1.200412829</v>
      </c>
      <c r="AI93" s="30">
        <f>IFERROR(__xludf.DUMMYFUNCTION("""COMPUTED_VALUE"""),1.04843326235464)</f>
        <v>1.048433262</v>
      </c>
      <c r="AJ93" s="30">
        <f>IFERROR(__xludf.DUMMYFUNCTION("""COMPUTED_VALUE"""),1.0281893469555912)</f>
        <v>1.028189347</v>
      </c>
      <c r="AK93" s="30">
        <f>IFERROR(__xludf.DUMMYFUNCTION("""COMPUTED_VALUE"""),1.0399750720609195)</f>
        <v>1.039975072</v>
      </c>
      <c r="AL93" s="30">
        <f>IFERROR(__xludf.DUMMYFUNCTION("""COMPUTED_VALUE"""),1.050147875621272)</f>
        <v>1.050147876</v>
      </c>
      <c r="AM93" s="30">
        <f>IFERROR(__xludf.DUMMYFUNCTION("""COMPUTED_VALUE"""),1.0062912214870765)</f>
        <v>1.006291221</v>
      </c>
      <c r="AN93" s="30">
        <f>IFERROR(__xludf.DUMMYFUNCTION("""COMPUTED_VALUE"""),1.1610788184515755)</f>
        <v>1.161078818</v>
      </c>
      <c r="AO93" s="30">
        <f>IFERROR(__xludf.DUMMYFUNCTION("""COMPUTED_VALUE"""),1.3775589354714086)</f>
        <v>1.377558935</v>
      </c>
      <c r="AP93" s="30">
        <f>IFERROR(__xludf.DUMMYFUNCTION("""COMPUTED_VALUE"""),1.0315942543473948)</f>
        <v>1.031594254</v>
      </c>
      <c r="AQ93" s="30">
        <f>IFERROR(__xludf.DUMMYFUNCTION("""COMPUTED_VALUE"""),0.9955114218953304)</f>
        <v>0.9955114219</v>
      </c>
      <c r="AR93" s="30">
        <f>IFERROR(__xludf.DUMMYFUNCTION("""COMPUTED_VALUE"""),1.2496843412078982)</f>
        <v>1.249684341</v>
      </c>
      <c r="AS93" s="30">
        <f>IFERROR(__xludf.DUMMYFUNCTION("""COMPUTED_VALUE"""),88.0)</f>
        <v>88</v>
      </c>
      <c r="AT93" s="30">
        <f>IFERROR(__xludf.DUMMYFUNCTION("""COMPUTED_VALUE"""),0.4650327313543377)</f>
        <v>0.4650327314</v>
      </c>
      <c r="AU93" s="30">
        <f>IFERROR(__xludf.DUMMYFUNCTION("""COMPUTED_VALUE"""),3.883442684917448)</f>
        <v>3.883442685</v>
      </c>
      <c r="AV93" s="32">
        <f>IFERROR(__xludf.DUMMYFUNCTION("""COMPUTED_VALUE"""),70.89995815493225)</f>
        <v>70.89995815</v>
      </c>
      <c r="AW93" s="32">
        <f>IFERROR(__xludf.DUMMYFUNCTION("""COMPUTED_VALUE"""),4.960860734999156)</f>
        <v>4.960860735</v>
      </c>
      <c r="AX93" s="32">
        <f>IFERROR(__xludf.DUMMYFUNCTION("""COMPUTED_VALUE"""),65.03208534955803)</f>
        <v>65.03208535</v>
      </c>
      <c r="AY93" s="32">
        <f>IFERROR(__xludf.DUMMYFUNCTION("""COMPUTED_VALUE"""),3.6519592637002996)</f>
        <v>3.651959264</v>
      </c>
      <c r="AZ93" s="30">
        <f>IFERROR(__xludf.DUMMYFUNCTION("""COMPUTED_VALUE"""),1.3089014712988565)</f>
        <v>1.308901471</v>
      </c>
      <c r="BA93" s="30">
        <f>IFERROR(__xludf.DUMMYFUNCTION("""COMPUTED_VALUE"""),450.0)</f>
        <v>450</v>
      </c>
    </row>
    <row r="94">
      <c r="A94" s="30" t="str">
        <f>IFERROR(__xludf.DUMMYFUNCTION("""COMPUTED_VALUE"""),"Master")</f>
        <v>Master</v>
      </c>
      <c r="B94" s="30" t="str">
        <f>IFERROR(__xludf.DUMMYFUNCTION("""COMPUTED_VALUE"""),"RSC007174")</f>
        <v>RSC007174</v>
      </c>
      <c r="C94" s="30" t="str">
        <f>IFERROR(__xludf.DUMMYFUNCTION("""COMPUTED_VALUE"""),"LMNS")</f>
        <v>LMNS</v>
      </c>
      <c r="D94" s="30" t="str">
        <f>IFERROR(__xludf.DUMMYFUNCTION("""COMPUTED_VALUE"""),"Spectres")</f>
        <v>Spectres</v>
      </c>
      <c r="E94" s="30">
        <f>IFERROR(__xludf.DUMMYFUNCTION("""COMPUTED_VALUE"""),8.0)</f>
        <v>8</v>
      </c>
      <c r="F94" s="30">
        <f>IFERROR(__xludf.DUMMYFUNCTION("""COMPUTED_VALUE"""),4.0)</f>
        <v>4</v>
      </c>
      <c r="G94" s="30">
        <f>IFERROR(__xludf.DUMMYFUNCTION("""COMPUTED_VALUE"""),4.0)</f>
        <v>4</v>
      </c>
      <c r="H94" s="42">
        <f>IFERROR(__xludf.DUMMYFUNCTION("""COMPUTED_VALUE"""),0.5)</f>
        <v>0.5</v>
      </c>
      <c r="I94" s="42">
        <f>IFERROR(__xludf.DUMMYFUNCTION("""COMPUTED_VALUE"""),0.12)</f>
        <v>0.12</v>
      </c>
      <c r="J94" s="30">
        <f>IFERROR(__xludf.DUMMYFUNCTION("""COMPUTED_VALUE"""),284.25)</f>
        <v>284.25</v>
      </c>
      <c r="K94" s="30">
        <f>IFERROR(__xludf.DUMMYFUNCTION("""COMPUTED_VALUE"""),0.375)</f>
        <v>0.375</v>
      </c>
      <c r="L94" s="30">
        <f>IFERROR(__xludf.DUMMYFUNCTION("""COMPUTED_VALUE"""),0.5)</f>
        <v>0.5</v>
      </c>
      <c r="M94" s="30">
        <f>IFERROR(__xludf.DUMMYFUNCTION("""COMPUTED_VALUE"""),1.0)</f>
        <v>1</v>
      </c>
      <c r="N94" s="30">
        <f>IFERROR(__xludf.DUMMYFUNCTION("""COMPUTED_VALUE"""),3.125)</f>
        <v>3.125</v>
      </c>
      <c r="O94" s="30">
        <f>IFERROR(__xludf.DUMMYFUNCTION("""COMPUTED_VALUE"""),378.8333333333333)</f>
        <v>378.8333333</v>
      </c>
      <c r="P94" s="30">
        <f>IFERROR(__xludf.DUMMYFUNCTION("""COMPUTED_VALUE"""),0.6666666666666666)</f>
        <v>0.6666666667</v>
      </c>
      <c r="Q94" s="30">
        <f>IFERROR(__xludf.DUMMYFUNCTION("""COMPUTED_VALUE"""),0.4583333333333333)</f>
        <v>0.4583333333</v>
      </c>
      <c r="R94" s="30">
        <f>IFERROR(__xludf.DUMMYFUNCTION("""COMPUTED_VALUE"""),1.8333333333333333)</f>
        <v>1.833333333</v>
      </c>
      <c r="S94" s="30">
        <f>IFERROR(__xludf.DUMMYFUNCTION("""COMPUTED_VALUE"""),2.4166666666666665)</f>
        <v>2.416666667</v>
      </c>
      <c r="T94" s="30">
        <f>IFERROR(__xludf.DUMMYFUNCTION("""COMPUTED_VALUE"""),390.8931636627715)</f>
        <v>390.8931637</v>
      </c>
      <c r="U94" s="30">
        <f>IFERROR(__xludf.DUMMYFUNCTION("""COMPUTED_VALUE"""),0.8739212856859918)</f>
        <v>0.8739212857</v>
      </c>
      <c r="V94" s="30">
        <f>IFERROR(__xludf.DUMMYFUNCTION("""COMPUTED_VALUE"""),0.7735478029595676)</f>
        <v>0.773547803</v>
      </c>
      <c r="W94" s="30">
        <f>IFERROR(__xludf.DUMMYFUNCTION("""COMPUTED_VALUE"""),1.5536310820624544)</f>
        <v>1.553631082</v>
      </c>
      <c r="X94" s="30">
        <f>IFERROR(__xludf.DUMMYFUNCTION("""COMPUTED_VALUE"""),2.717283950617284)</f>
        <v>2.717283951</v>
      </c>
      <c r="Y94" s="30">
        <f>IFERROR(__xludf.DUMMYFUNCTION("""COMPUTED_VALUE"""),355.68327470157544)</f>
        <v>355.6832747</v>
      </c>
      <c r="Z94" s="30">
        <f>IFERROR(__xludf.DUMMYFUNCTION("""COMPUTED_VALUE"""),0.7605013722660782)</f>
        <v>0.7605013723</v>
      </c>
      <c r="AA94" s="30">
        <f>IFERROR(__xludf.DUMMYFUNCTION("""COMPUTED_VALUE"""),0.6036911285277299)</f>
        <v>0.6036911285</v>
      </c>
      <c r="AB94" s="30">
        <f>IFERROR(__xludf.DUMMYFUNCTION("""COMPUTED_VALUE"""),1.3535201061344855)</f>
        <v>1.353520106</v>
      </c>
      <c r="AC94" s="30">
        <f>IFERROR(__xludf.DUMMYFUNCTION("""COMPUTED_VALUE"""),2.877735179369166)</f>
        <v>2.877735179</v>
      </c>
      <c r="AD94" s="30">
        <f>IFERROR(__xludf.DUMMYFUNCTION("""COMPUTED_VALUE"""),0.7991660564823881)</f>
        <v>0.7991660565</v>
      </c>
      <c r="AE94" s="30">
        <f>IFERROR(__xludf.DUMMYFUNCTION("""COMPUTED_VALUE"""),0.49309575718792786)</f>
        <v>0.4930957572</v>
      </c>
      <c r="AF94" s="30">
        <f>IFERROR(__xludf.DUMMYFUNCTION("""COMPUTED_VALUE"""),0.8282381111337352)</f>
        <v>0.8282381111</v>
      </c>
      <c r="AG94" s="30">
        <f>IFERROR(__xludf.DUMMYFUNCTION("""COMPUTED_VALUE"""),0.7388142927968003)</f>
        <v>0.7388142928</v>
      </c>
      <c r="AH94" s="30">
        <f>IFERROR(__xludf.DUMMYFUNCTION("""COMPUTED_VALUE"""),1.0859234103275053)</f>
        <v>1.08592341</v>
      </c>
      <c r="AI94" s="30">
        <f>IFERROR(__xludf.DUMMYFUNCTION("""COMPUTED_VALUE"""),0.9691480142133099)</f>
        <v>0.9691480142</v>
      </c>
      <c r="AJ94" s="30">
        <f>IFERROR(__xludf.DUMMYFUNCTION("""COMPUTED_VALUE"""),0.7628452099588822)</f>
        <v>0.76284521</v>
      </c>
      <c r="AK94" s="30">
        <f>IFERROR(__xludf.DUMMYFUNCTION("""COMPUTED_VALUE"""),0.5925080926864061)</f>
        <v>0.5925080927</v>
      </c>
      <c r="AL94" s="30">
        <f>IFERROR(__xludf.DUMMYFUNCTION("""COMPUTED_VALUE"""),1.1800313179236686)</f>
        <v>1.180031318</v>
      </c>
      <c r="AM94" s="30">
        <f>IFERROR(__xludf.DUMMYFUNCTION("""COMPUTED_VALUE"""),0.8893684688777828)</f>
        <v>0.8893684689</v>
      </c>
      <c r="AN94" s="30">
        <f>IFERROR(__xludf.DUMMYFUNCTION("""COMPUTED_VALUE"""),0.7707020880084141)</f>
        <v>0.770702088</v>
      </c>
      <c r="AO94" s="30">
        <f>IFERROR(__xludf.DUMMYFUNCTION("""COMPUTED_VALUE"""),0.488661108866547)</f>
        <v>0.4886611089</v>
      </c>
      <c r="AP94" s="30">
        <f>IFERROR(__xludf.DUMMYFUNCTION("""COMPUTED_VALUE"""),0.7849086717860613)</f>
        <v>0.7849086718</v>
      </c>
      <c r="AQ94" s="30">
        <f>IFERROR(__xludf.DUMMYFUNCTION("""COMPUTED_VALUE"""),0.6831941130654228)</f>
        <v>0.6831941131</v>
      </c>
      <c r="AR94" s="30">
        <f>IFERROR(__xludf.DUMMYFUNCTION("""COMPUTED_VALUE"""),1.1583408883018123)</f>
        <v>1.158340888</v>
      </c>
      <c r="AS94" s="30">
        <f>IFERROR(__xludf.DUMMYFUNCTION("""COMPUTED_VALUE"""),14.0)</f>
        <v>14</v>
      </c>
      <c r="AT94" s="30">
        <f>IFERROR(__xludf.DUMMYFUNCTION("""COMPUTED_VALUE"""),0.4513709968099819)</f>
        <v>0.4513709968</v>
      </c>
      <c r="AU94" s="30">
        <f>IFERROR(__xludf.DUMMYFUNCTION("""COMPUTED_VALUE"""),2.3917714164829746)</f>
        <v>2.391771416</v>
      </c>
      <c r="AV94" s="32">
        <f>IFERROR(__xludf.DUMMYFUNCTION("""COMPUTED_VALUE"""),34.451559288077206)</f>
        <v>34.45155929</v>
      </c>
      <c r="AW94" s="32">
        <f>IFERROR(__xludf.DUMMYFUNCTION("""COMPUTED_VALUE"""),-3.745438421787196)</f>
        <v>-3.745438422</v>
      </c>
      <c r="AX94" s="32">
        <f>IFERROR(__xludf.DUMMYFUNCTION("""COMPUTED_VALUE"""),29.08631993751419)</f>
        <v>29.08631994</v>
      </c>
      <c r="AY94" s="32">
        <f>IFERROR(__xludf.DUMMYFUNCTION("""COMPUTED_VALUE"""),-4.964662356812188)</f>
        <v>-4.964662357</v>
      </c>
      <c r="AZ94" s="30">
        <f>IFERROR(__xludf.DUMMYFUNCTION("""COMPUTED_VALUE"""),1.2192239350249925)</f>
        <v>1.219223935</v>
      </c>
      <c r="BA94" s="30">
        <f>IFERROR(__xludf.DUMMYFUNCTION("""COMPUTED_VALUE"""),450.0)</f>
        <v>450</v>
      </c>
    </row>
    <row r="95">
      <c r="A95" s="30" t="str">
        <f>IFERROR(__xludf.DUMMYFUNCTION("""COMPUTED_VALUE"""),"Master")</f>
        <v>Master</v>
      </c>
      <c r="B95" s="30" t="str">
        <f>IFERROR(__xludf.DUMMYFUNCTION("""COMPUTED_VALUE"""),"RSC005220")</f>
        <v>RSC005220</v>
      </c>
      <c r="C95" s="30" t="str">
        <f>IFERROR(__xludf.DUMMYFUNCTION("""COMPUTED_VALUE"""),"Swax")</f>
        <v>Swax</v>
      </c>
      <c r="D95" s="30" t="str">
        <f>IFERROR(__xludf.DUMMYFUNCTION("""COMPUTED_VALUE"""),"Andromeda")</f>
        <v>Andromeda</v>
      </c>
      <c r="E95" s="30">
        <f>IFERROR(__xludf.DUMMYFUNCTION("""COMPUTED_VALUE"""),34.0)</f>
        <v>34</v>
      </c>
      <c r="F95" s="30">
        <f>IFERROR(__xludf.DUMMYFUNCTION("""COMPUTED_VALUE"""),18.0)</f>
        <v>18</v>
      </c>
      <c r="G95" s="30">
        <f>IFERROR(__xludf.DUMMYFUNCTION("""COMPUTED_VALUE"""),16.0)</f>
        <v>16</v>
      </c>
      <c r="H95" s="42">
        <f>IFERROR(__xludf.DUMMYFUNCTION("""COMPUTED_VALUE"""),0.5294117647058824)</f>
        <v>0.5294117647</v>
      </c>
      <c r="I95" s="42">
        <f>IFERROR(__xludf.DUMMYFUNCTION("""COMPUTED_VALUE"""),0.35294117647058826)</f>
        <v>0.3529411765</v>
      </c>
      <c r="J95" s="30">
        <f>IFERROR(__xludf.DUMMYFUNCTION("""COMPUTED_VALUE"""),399.2647058823529)</f>
        <v>399.2647059</v>
      </c>
      <c r="K95" s="30">
        <f>IFERROR(__xludf.DUMMYFUNCTION("""COMPUTED_VALUE"""),1.0588235294117647)</f>
        <v>1.058823529</v>
      </c>
      <c r="L95" s="30">
        <f>IFERROR(__xludf.DUMMYFUNCTION("""COMPUTED_VALUE"""),0.6470588235294118)</f>
        <v>0.6470588235</v>
      </c>
      <c r="M95" s="30">
        <f>IFERROR(__xludf.DUMMYFUNCTION("""COMPUTED_VALUE"""),1.5588235294117647)</f>
        <v>1.558823529</v>
      </c>
      <c r="N95" s="30">
        <f>IFERROR(__xludf.DUMMYFUNCTION("""COMPUTED_VALUE"""),3.0)</f>
        <v>3</v>
      </c>
      <c r="O95" s="30">
        <f>IFERROR(__xludf.DUMMYFUNCTION("""COMPUTED_VALUE"""),350.64705882352945)</f>
        <v>350.6470588</v>
      </c>
      <c r="P95" s="30">
        <f>IFERROR(__xludf.DUMMYFUNCTION("""COMPUTED_VALUE"""),0.7254901960784315)</f>
        <v>0.7254901961</v>
      </c>
      <c r="Q95" s="30">
        <f>IFERROR(__xludf.DUMMYFUNCTION("""COMPUTED_VALUE"""),0.5686274509803922)</f>
        <v>0.568627451</v>
      </c>
      <c r="R95" s="30">
        <f>IFERROR(__xludf.DUMMYFUNCTION("""COMPUTED_VALUE"""),1.4019607843137256)</f>
        <v>1.401960784</v>
      </c>
      <c r="S95" s="30">
        <f>IFERROR(__xludf.DUMMYFUNCTION("""COMPUTED_VALUE"""),2.813725490196078)</f>
        <v>2.81372549</v>
      </c>
      <c r="T95" s="30">
        <f>IFERROR(__xludf.DUMMYFUNCTION("""COMPUTED_VALUE"""),374.4761759478677)</f>
        <v>374.4761759</v>
      </c>
      <c r="U95" s="30">
        <f>IFERROR(__xludf.DUMMYFUNCTION("""COMPUTED_VALUE"""),0.821575916799261)</f>
        <v>0.8215759168</v>
      </c>
      <c r="V95" s="30">
        <f>IFERROR(__xludf.DUMMYFUNCTION("""COMPUTED_VALUE"""),0.6090658609593997)</f>
        <v>0.609065861</v>
      </c>
      <c r="W95" s="30">
        <f>IFERROR(__xludf.DUMMYFUNCTION("""COMPUTED_VALUE"""),1.4875783978324615)</f>
        <v>1.487578398</v>
      </c>
      <c r="X95" s="30">
        <f>IFERROR(__xludf.DUMMYFUNCTION("""COMPUTED_VALUE"""),2.737186263028122)</f>
        <v>2.737186263</v>
      </c>
      <c r="Y95" s="30">
        <f>IFERROR(__xludf.DUMMYFUNCTION("""COMPUTED_VALUE"""),395.4814226000933)</f>
        <v>395.4814226</v>
      </c>
      <c r="Z95" s="30">
        <f>IFERROR(__xludf.DUMMYFUNCTION("""COMPUTED_VALUE"""),0.9360928114727685)</f>
        <v>0.9360928115</v>
      </c>
      <c r="AA95" s="30">
        <f>IFERROR(__xludf.DUMMYFUNCTION("""COMPUTED_VALUE"""),0.7334538254833006)</f>
        <v>0.7334538255</v>
      </c>
      <c r="AB95" s="30">
        <f>IFERROR(__xludf.DUMMYFUNCTION("""COMPUTED_VALUE"""),1.4845780647741185)</f>
        <v>1.484578065</v>
      </c>
      <c r="AC95" s="30">
        <f>IFERROR(__xludf.DUMMYFUNCTION("""COMPUTED_VALUE"""),2.9789899168652187)</f>
        <v>2.978989917</v>
      </c>
      <c r="AD95" s="30">
        <f>IFERROR(__xludf.DUMMYFUNCTION("""COMPUTED_VALUE"""),1.009566273068875)</f>
        <v>1.009566273</v>
      </c>
      <c r="AE95" s="30">
        <f>IFERROR(__xludf.DUMMYFUNCTION("""COMPUTED_VALUE"""),1.1311095613969113)</f>
        <v>1.131109561</v>
      </c>
      <c r="AF95" s="30">
        <f>IFERROR(__xludf.DUMMYFUNCTION("""COMPUTED_VALUE"""),0.8822079878076035)</f>
        <v>0.8822079878</v>
      </c>
      <c r="AG95" s="30">
        <f>IFERROR(__xludf.DUMMYFUNCTION("""COMPUTED_VALUE"""),1.0500111556268634)</f>
        <v>1.050011156</v>
      </c>
      <c r="AH95" s="30">
        <f>IFERROR(__xludf.DUMMYFUNCTION("""COMPUTED_VALUE"""),1.0070527540277445)</f>
        <v>1.007052754</v>
      </c>
      <c r="AI95" s="30">
        <f>IFERROR(__xludf.DUMMYFUNCTION("""COMPUTED_VALUE"""),0.936366800734326)</f>
        <v>0.9363668007</v>
      </c>
      <c r="AJ95" s="30">
        <f>IFERROR(__xludf.DUMMYFUNCTION("""COMPUTED_VALUE"""),0.8830470577872275)</f>
        <v>0.8830470578</v>
      </c>
      <c r="AK95" s="30">
        <f>IFERROR(__xludf.DUMMYFUNCTION("""COMPUTED_VALUE"""),0.9336058502518776)</f>
        <v>0.9336058503</v>
      </c>
      <c r="AL95" s="30">
        <f>IFERROR(__xludf.DUMMYFUNCTION("""COMPUTED_VALUE"""),0.9424449738961734)</f>
        <v>0.9424449739</v>
      </c>
      <c r="AM95" s="30">
        <f>IFERROR(__xludf.DUMMYFUNCTION("""COMPUTED_VALUE"""),1.0279627397673996)</f>
        <v>1.02796274</v>
      </c>
      <c r="AN95" s="30">
        <f>IFERROR(__xludf.DUMMYFUNCTION("""COMPUTED_VALUE"""),1.0825475549396473)</f>
        <v>1.082547555</v>
      </c>
      <c r="AO95" s="30">
        <f>IFERROR(__xludf.DUMMYFUNCTION("""COMPUTED_VALUE"""),1.3797490132702503)</f>
        <v>1.379749013</v>
      </c>
      <c r="AP95" s="30">
        <f>IFERROR(__xludf.DUMMYFUNCTION("""COMPUTED_VALUE"""),1.015764163487844)</f>
        <v>1.015764163</v>
      </c>
      <c r="AQ95" s="30">
        <f>IFERROR(__xludf.DUMMYFUNCTION("""COMPUTED_VALUE"""),1.0649790586019827)</f>
        <v>1.064979059</v>
      </c>
      <c r="AR95" s="30">
        <f>IFERROR(__xludf.DUMMYFUNCTION("""COMPUTED_VALUE"""),1.1120072527697398)</f>
        <v>1.112007253</v>
      </c>
      <c r="AS95" s="30">
        <f>IFERROR(__xludf.DUMMYFUNCTION("""COMPUTED_VALUE"""),94.0)</f>
        <v>94</v>
      </c>
      <c r="AT95" s="30">
        <f>IFERROR(__xludf.DUMMYFUNCTION("""COMPUTED_VALUE"""),0.5934857282760203)</f>
        <v>0.5934857283</v>
      </c>
      <c r="AU95" s="30">
        <f>IFERROR(__xludf.DUMMYFUNCTION("""COMPUTED_VALUE"""),3.6040036149043018)</f>
        <v>3.604003615</v>
      </c>
      <c r="AV95" s="32">
        <f>IFERROR(__xludf.DUMMYFUNCTION("""COMPUTED_VALUE"""),64.07197473904762)</f>
        <v>64.07197474</v>
      </c>
      <c r="AW95" s="32">
        <f>IFERROR(__xludf.DUMMYFUNCTION("""COMPUTED_VALUE"""),3.487253203620396)</f>
        <v>3.487253204</v>
      </c>
      <c r="AX95" s="32">
        <f>IFERROR(__xludf.DUMMYFUNCTION("""COMPUTED_VALUE"""),54.60369603818687)</f>
        <v>54.60369604</v>
      </c>
      <c r="AY95" s="32">
        <f>IFERROR(__xludf.DUMMYFUNCTION("""COMPUTED_VALUE"""),2.3422015594151406)</f>
        <v>2.342201559</v>
      </c>
      <c r="AZ95" s="30">
        <f>IFERROR(__xludf.DUMMYFUNCTION("""COMPUTED_VALUE"""),1.1450516442052554)</f>
        <v>1.145051644</v>
      </c>
      <c r="BA95" s="30">
        <f>IFERROR(__xludf.DUMMYFUNCTION("""COMPUTED_VALUE"""),450.0)</f>
        <v>450</v>
      </c>
    </row>
    <row r="96">
      <c r="A96" s="30" t="str">
        <f>IFERROR(__xludf.DUMMYFUNCTION("""COMPUTED_VALUE"""),"Master")</f>
        <v>Master</v>
      </c>
      <c r="B96" s="30" t="str">
        <f>IFERROR(__xludf.DUMMYFUNCTION("""COMPUTED_VALUE"""),"RSC002500")</f>
        <v>RSC002500</v>
      </c>
      <c r="C96" s="30" t="str">
        <f>IFERROR(__xludf.DUMMYFUNCTION("""COMPUTED_VALUE"""),"kalten")</f>
        <v>kalten</v>
      </c>
      <c r="D96" s="30" t="str">
        <f>IFERROR(__xludf.DUMMYFUNCTION("""COMPUTED_VALUE"""),"Heinous Henchmen")</f>
        <v>Heinous Henchmen</v>
      </c>
      <c r="E96" s="30">
        <f>IFERROR(__xludf.DUMMYFUNCTION("""COMPUTED_VALUE"""),36.0)</f>
        <v>36</v>
      </c>
      <c r="F96" s="30">
        <f>IFERROR(__xludf.DUMMYFUNCTION("""COMPUTED_VALUE"""),13.0)</f>
        <v>13</v>
      </c>
      <c r="G96" s="30">
        <f>IFERROR(__xludf.DUMMYFUNCTION("""COMPUTED_VALUE"""),23.0)</f>
        <v>23</v>
      </c>
      <c r="H96" s="42">
        <f>IFERROR(__xludf.DUMMYFUNCTION("""COMPUTED_VALUE"""),0.3611111111111111)</f>
        <v>0.3611111111</v>
      </c>
      <c r="I96" s="42">
        <f>IFERROR(__xludf.DUMMYFUNCTION("""COMPUTED_VALUE"""),0.21428571428571427)</f>
        <v>0.2142857143</v>
      </c>
      <c r="J96" s="30">
        <f>IFERROR(__xludf.DUMMYFUNCTION("""COMPUTED_VALUE"""),339.97222222222223)</f>
        <v>339.9722222</v>
      </c>
      <c r="K96" s="30">
        <f>IFERROR(__xludf.DUMMYFUNCTION("""COMPUTED_VALUE"""),0.5)</f>
        <v>0.5</v>
      </c>
      <c r="L96" s="30">
        <f>IFERROR(__xludf.DUMMYFUNCTION("""COMPUTED_VALUE"""),0.6388888888888888)</f>
        <v>0.6388888889</v>
      </c>
      <c r="M96" s="30">
        <f>IFERROR(__xludf.DUMMYFUNCTION("""COMPUTED_VALUE"""),1.7222222222222223)</f>
        <v>1.722222222</v>
      </c>
      <c r="N96" s="30">
        <f>IFERROR(__xludf.DUMMYFUNCTION("""COMPUTED_VALUE"""),2.3333333333333335)</f>
        <v>2.333333333</v>
      </c>
      <c r="O96" s="30">
        <f>IFERROR(__xludf.DUMMYFUNCTION("""COMPUTED_VALUE"""),384.28703703703707)</f>
        <v>384.287037</v>
      </c>
      <c r="P96" s="30">
        <f>IFERROR(__xludf.DUMMYFUNCTION("""COMPUTED_VALUE"""),0.8796296296296295)</f>
        <v>0.8796296296</v>
      </c>
      <c r="Q96" s="30">
        <f>IFERROR(__xludf.DUMMYFUNCTION("""COMPUTED_VALUE"""),0.6574074074074074)</f>
        <v>0.6574074074</v>
      </c>
      <c r="R96" s="30">
        <f>IFERROR(__xludf.DUMMYFUNCTION("""COMPUTED_VALUE"""),1.4722222222222223)</f>
        <v>1.472222222</v>
      </c>
      <c r="S96" s="30">
        <f>IFERROR(__xludf.DUMMYFUNCTION("""COMPUTED_VALUE"""),3.0462962962962963)</f>
        <v>3.046296296</v>
      </c>
      <c r="T96" s="30">
        <f>IFERROR(__xludf.DUMMYFUNCTION("""COMPUTED_VALUE"""),375.0093247024902)</f>
        <v>375.0093247</v>
      </c>
      <c r="U96" s="30">
        <f>IFERROR(__xludf.DUMMYFUNCTION("""COMPUTED_VALUE"""),0.8537389612738788)</f>
        <v>0.8537389613</v>
      </c>
      <c r="V96" s="30">
        <f>IFERROR(__xludf.DUMMYFUNCTION("""COMPUTED_VALUE"""),0.6620947696766404)</f>
        <v>0.6620947697</v>
      </c>
      <c r="W96" s="30">
        <f>IFERROR(__xludf.DUMMYFUNCTION("""COMPUTED_VALUE"""),1.410255151271183)</f>
        <v>1.410255151</v>
      </c>
      <c r="X96" s="30">
        <f>IFERROR(__xludf.DUMMYFUNCTION("""COMPUTED_VALUE"""),2.7338918740760096)</f>
        <v>2.733891874</v>
      </c>
      <c r="Y96" s="30">
        <f>IFERROR(__xludf.DUMMYFUNCTION("""COMPUTED_VALUE"""),378.91005504133443)</f>
        <v>378.910055</v>
      </c>
      <c r="Z96" s="30">
        <f>IFERROR(__xludf.DUMMYFUNCTION("""COMPUTED_VALUE"""),0.8541010875891027)</f>
        <v>0.8541010876</v>
      </c>
      <c r="AA96" s="30">
        <f>IFERROR(__xludf.DUMMYFUNCTION("""COMPUTED_VALUE"""),0.6502591795965873)</f>
        <v>0.6502591796</v>
      </c>
      <c r="AB96" s="30">
        <f>IFERROR(__xludf.DUMMYFUNCTION("""COMPUTED_VALUE"""),1.4537307792387089)</f>
        <v>1.453730779</v>
      </c>
      <c r="AC96" s="30">
        <f>IFERROR(__xludf.DUMMYFUNCTION("""COMPUTED_VALUE"""),2.782479876888778)</f>
        <v>2.782479877</v>
      </c>
      <c r="AD96" s="30">
        <f>IFERROR(__xludf.DUMMYFUNCTION("""COMPUTED_VALUE"""),0.8972372669950271)</f>
        <v>0.897237267</v>
      </c>
      <c r="AE96" s="30">
        <f>IFERROR(__xludf.DUMMYFUNCTION("""COMPUTED_VALUE"""),0.5854107988685101)</f>
        <v>0.5854107989</v>
      </c>
      <c r="AF96" s="30">
        <f>IFERROR(__xludf.DUMMYFUNCTION("""COMPUTED_VALUE"""),0.9825142173083162)</f>
        <v>0.9825142173</v>
      </c>
      <c r="AG96" s="30">
        <f>IFERROR(__xludf.DUMMYFUNCTION("""COMPUTED_VALUE"""),1.1846913106731614)</f>
        <v>1.184691311</v>
      </c>
      <c r="AH96" s="30">
        <f>IFERROR(__xludf.DUMMYFUNCTION("""COMPUTED_VALUE"""),0.8385804881156386)</f>
        <v>0.8385804881</v>
      </c>
      <c r="AI96" s="30">
        <f>IFERROR(__xludf.DUMMYFUNCTION("""COMPUTED_VALUE"""),1.0247399510449702)</f>
        <v>1.024739951</v>
      </c>
      <c r="AJ96" s="30">
        <f>IFERROR(__xludf.DUMMYFUNCTION("""COMPUTED_VALUE"""),1.0303262115589977)</f>
        <v>1.030326212</v>
      </c>
      <c r="AK96" s="30">
        <f>IFERROR(__xludf.DUMMYFUNCTION("""COMPUTED_VALUE"""),0.9929204058332582)</f>
        <v>0.9929204058</v>
      </c>
      <c r="AL96" s="30">
        <f>IFERROR(__xludf.DUMMYFUNCTION("""COMPUTED_VALUE"""),1.0439403259014393)</f>
        <v>1.043940326</v>
      </c>
      <c r="AM96" s="30">
        <f>IFERROR(__xludf.DUMMYFUNCTION("""COMPUTED_VALUE"""),1.1142709502093502)</f>
        <v>1.11427095</v>
      </c>
      <c r="AN96" s="30">
        <f>IFERROR(__xludf.DUMMYFUNCTION("""COMPUTED_VALUE"""),0.9217847019578794)</f>
        <v>0.921784702</v>
      </c>
      <c r="AO96" s="30">
        <f>IFERROR(__xludf.DUMMYFUNCTION("""COMPUTED_VALUE"""),0.651548145155396)</f>
        <v>0.6515481452</v>
      </c>
      <c r="AP96" s="30">
        <f>IFERROR(__xludf.DUMMYFUNCTION("""COMPUTED_VALUE"""),1.0029388583933003)</f>
        <v>1.002938858</v>
      </c>
      <c r="AQ96" s="30">
        <f>IFERROR(__xludf.DUMMYFUNCTION("""COMPUTED_VALUE"""),1.1766120836126728)</f>
        <v>1.176612084</v>
      </c>
      <c r="AR96" s="30">
        <f>IFERROR(__xludf.DUMMYFUNCTION("""COMPUTED_VALUE"""),0.86489452993202)</f>
        <v>0.8648945299</v>
      </c>
      <c r="AS96" s="30">
        <f>IFERROR(__xludf.DUMMYFUNCTION("""COMPUTED_VALUE"""),81.0)</f>
        <v>81</v>
      </c>
      <c r="AT96" s="30">
        <f>IFERROR(__xludf.DUMMYFUNCTION("""COMPUTED_VALUE"""),0.4374786670879907)</f>
        <v>0.4374786671</v>
      </c>
      <c r="AU96" s="30">
        <f>IFERROR(__xludf.DUMMYFUNCTION("""COMPUTED_VALUE"""),2.4262291046868603)</f>
        <v>2.426229105</v>
      </c>
      <c r="AV96" s="32">
        <f>IFERROR(__xludf.DUMMYFUNCTION("""COMPUTED_VALUE"""),35.29351930317025)</f>
        <v>35.2935193</v>
      </c>
      <c r="AW96" s="32">
        <f>IFERROR(__xludf.DUMMYFUNCTION("""COMPUTED_VALUE"""),-3.594805669548082)</f>
        <v>-3.59480567</v>
      </c>
      <c r="AX96" s="32">
        <f>IFERROR(__xludf.DUMMYFUNCTION("""COMPUTED_VALUE"""),29.95884208114517)</f>
        <v>29.95884208</v>
      </c>
      <c r="AY96" s="32">
        <f>IFERROR(__xludf.DUMMYFUNCTION("""COMPUTED_VALUE"""),-4.730843649386782)</f>
        <v>-4.730843649</v>
      </c>
      <c r="AZ96" s="30">
        <f>IFERROR(__xludf.DUMMYFUNCTION("""COMPUTED_VALUE"""),1.1360379798387)</f>
        <v>1.13603798</v>
      </c>
      <c r="BA96" s="30">
        <f>IFERROR(__xludf.DUMMYFUNCTION("""COMPUTED_VALUE"""),450.0)</f>
        <v>450</v>
      </c>
    </row>
    <row r="97">
      <c r="A97" s="30" t="str">
        <f>IFERROR(__xludf.DUMMYFUNCTION("""COMPUTED_VALUE"""),"Master")</f>
        <v>Master</v>
      </c>
      <c r="B97" s="30" t="str">
        <f>IFERROR(__xludf.DUMMYFUNCTION("""COMPUTED_VALUE"""),"RSC000618")</f>
        <v>RSC000618</v>
      </c>
      <c r="C97" s="30" t="str">
        <f>IFERROR(__xludf.DUMMYFUNCTION("""COMPUTED_VALUE"""),"Taelo")</f>
        <v>Taelo</v>
      </c>
      <c r="D97" s="30" t="str">
        <f>IFERROR(__xludf.DUMMYFUNCTION("""COMPUTED_VALUE"""),"Oblivion")</f>
        <v>Oblivion</v>
      </c>
      <c r="E97" s="30">
        <f>IFERROR(__xludf.DUMMYFUNCTION("""COMPUTED_VALUE"""),36.0)</f>
        <v>36</v>
      </c>
      <c r="F97" s="30">
        <f>IFERROR(__xludf.DUMMYFUNCTION("""COMPUTED_VALUE"""),25.0)</f>
        <v>25</v>
      </c>
      <c r="G97" s="30">
        <f>IFERROR(__xludf.DUMMYFUNCTION("""COMPUTED_VALUE"""),11.0)</f>
        <v>11</v>
      </c>
      <c r="H97" s="42">
        <f>IFERROR(__xludf.DUMMYFUNCTION("""COMPUTED_VALUE"""),0.6944444444444444)</f>
        <v>0.6944444444</v>
      </c>
      <c r="I97" s="42">
        <f>IFERROR(__xludf.DUMMYFUNCTION("""COMPUTED_VALUE"""),0.3214285714285714)</f>
        <v>0.3214285714</v>
      </c>
      <c r="J97" s="30">
        <f>IFERROR(__xludf.DUMMYFUNCTION("""COMPUTED_VALUE"""),392.3888888888889)</f>
        <v>392.3888889</v>
      </c>
      <c r="K97" s="30">
        <f>IFERROR(__xludf.DUMMYFUNCTION("""COMPUTED_VALUE"""),1.0)</f>
        <v>1</v>
      </c>
      <c r="L97" s="30">
        <f>IFERROR(__xludf.DUMMYFUNCTION("""COMPUTED_VALUE"""),0.8611111111111112)</f>
        <v>0.8611111111</v>
      </c>
      <c r="M97" s="30">
        <f>IFERROR(__xludf.DUMMYFUNCTION("""COMPUTED_VALUE"""),1.1944444444444444)</f>
        <v>1.194444444</v>
      </c>
      <c r="N97" s="30">
        <f>IFERROR(__xludf.DUMMYFUNCTION("""COMPUTED_VALUE"""),3.111111111111111)</f>
        <v>3.111111111</v>
      </c>
      <c r="O97" s="30">
        <f>IFERROR(__xludf.DUMMYFUNCTION("""COMPUTED_VALUE"""),337.03703703703707)</f>
        <v>337.037037</v>
      </c>
      <c r="P97" s="30">
        <f>IFERROR(__xludf.DUMMYFUNCTION("""COMPUTED_VALUE"""),0.6944444444444444)</f>
        <v>0.6944444444</v>
      </c>
      <c r="Q97" s="30">
        <f>IFERROR(__xludf.DUMMYFUNCTION("""COMPUTED_VALUE"""),0.4722222222222223)</f>
        <v>0.4722222222</v>
      </c>
      <c r="R97" s="30">
        <f>IFERROR(__xludf.DUMMYFUNCTION("""COMPUTED_VALUE"""),1.3240740740740742)</f>
        <v>1.324074074</v>
      </c>
      <c r="S97" s="30">
        <f>IFERROR(__xludf.DUMMYFUNCTION("""COMPUTED_VALUE"""),2.435185185185185)</f>
        <v>2.435185185</v>
      </c>
      <c r="T97" s="30">
        <f>IFERROR(__xludf.DUMMYFUNCTION("""COMPUTED_VALUE"""),371.16792026445887)</f>
        <v>371.1679203</v>
      </c>
      <c r="U97" s="30">
        <f>IFERROR(__xludf.DUMMYFUNCTION("""COMPUTED_VALUE"""),0.7322734158358828)</f>
        <v>0.7322734158</v>
      </c>
      <c r="V97" s="30">
        <f>IFERROR(__xludf.DUMMYFUNCTION("""COMPUTED_VALUE"""),0.5968819245902108)</f>
        <v>0.5968819246</v>
      </c>
      <c r="W97" s="30">
        <f>IFERROR(__xludf.DUMMYFUNCTION("""COMPUTED_VALUE"""),1.5555377454657187)</f>
        <v>1.555537745</v>
      </c>
      <c r="X97" s="30">
        <f>IFERROR(__xludf.DUMMYFUNCTION("""COMPUTED_VALUE"""),2.7786657039971967)</f>
        <v>2.778665704</v>
      </c>
      <c r="Y97" s="30">
        <f>IFERROR(__xludf.DUMMYFUNCTION("""COMPUTED_VALUE"""),399.97102755039174)</f>
        <v>399.9710276</v>
      </c>
      <c r="Z97" s="30">
        <f>IFERROR(__xludf.DUMMYFUNCTION("""COMPUTED_VALUE"""),0.9465707667516009)</f>
        <v>0.9465707668</v>
      </c>
      <c r="AA97" s="30">
        <f>IFERROR(__xludf.DUMMYFUNCTION("""COMPUTED_VALUE"""),0.7160144291622331)</f>
        <v>0.7160144292</v>
      </c>
      <c r="AB97" s="30">
        <f>IFERROR(__xludf.DUMMYFUNCTION("""COMPUTED_VALUE"""),1.5343530320242875)</f>
        <v>1.534353032</v>
      </c>
      <c r="AC97" s="30">
        <f>IFERROR(__xludf.DUMMYFUNCTION("""COMPUTED_VALUE"""),2.91541843786635)</f>
        <v>2.915418438</v>
      </c>
      <c r="AD97" s="30">
        <f>IFERROR(__xludf.DUMMYFUNCTION("""COMPUTED_VALUE"""),0.9810432802897265)</f>
        <v>0.9810432803</v>
      </c>
      <c r="AE97" s="30">
        <f>IFERROR(__xludf.DUMMYFUNCTION("""COMPUTED_VALUE"""),1.056445048933589)</f>
        <v>1.056445049</v>
      </c>
      <c r="AF97" s="30">
        <f>IFERROR(__xludf.DUMMYFUNCTION("""COMPUTED_VALUE"""),1.202644913341547)</f>
        <v>1.202644913</v>
      </c>
      <c r="AG97" s="30">
        <f>IFERROR(__xludf.DUMMYFUNCTION("""COMPUTED_VALUE"""),0.7784678098941817)</f>
        <v>0.7784678099</v>
      </c>
      <c r="AH97" s="30">
        <f>IFERROR(__xludf.DUMMYFUNCTION("""COMPUTED_VALUE"""),1.0671233572179706)</f>
        <v>1.067123357</v>
      </c>
      <c r="AI97" s="30">
        <f>IFERROR(__xludf.DUMMYFUNCTION("""COMPUTED_VALUE"""),0.9080446305728593)</f>
        <v>0.9080446306</v>
      </c>
      <c r="AJ97" s="30">
        <f>IFERROR(__xludf.DUMMYFUNCTION("""COMPUTED_VALUE"""),0.9483403731811608)</f>
        <v>0.9483403732</v>
      </c>
      <c r="AK97" s="30">
        <f>IFERROR(__xludf.DUMMYFUNCTION("""COMPUTED_VALUE"""),0.7911484713604393)</f>
        <v>0.7911484714</v>
      </c>
      <c r="AL97" s="30">
        <f>IFERROR(__xludf.DUMMYFUNCTION("""COMPUTED_VALUE"""),0.8512002218741753)</f>
        <v>0.8512002219</v>
      </c>
      <c r="AM97" s="30">
        <f>IFERROR(__xludf.DUMMYFUNCTION("""COMPUTED_VALUE"""),0.8763865266995219)</f>
        <v>0.8763865267</v>
      </c>
      <c r="AN97" s="30">
        <f>IFERROR(__xludf.DUMMYFUNCTION("""COMPUTED_VALUE"""),1.06390478796119)</f>
        <v>1.063904788</v>
      </c>
      <c r="AO97" s="30">
        <f>IFERROR(__xludf.DUMMYFUNCTION("""COMPUTED_VALUE"""),1.303096290310792)</f>
        <v>1.30309629</v>
      </c>
      <c r="AP97" s="30">
        <f>IFERROR(__xludf.DUMMYFUNCTION("""COMPUTED_VALUE"""),1.3517871569648834)</f>
        <v>1.351787157</v>
      </c>
      <c r="AQ97" s="30">
        <f>IFERROR(__xludf.DUMMYFUNCTION("""COMPUTED_VALUE"""),0.8160374128281439)</f>
        <v>0.8160374128</v>
      </c>
      <c r="AR97" s="30">
        <f>IFERROR(__xludf.DUMMYFUNCTION("""COMPUTED_VALUE"""),1.1531927065760266)</f>
        <v>1.153192707</v>
      </c>
      <c r="AS97" s="30">
        <f>IFERROR(__xludf.DUMMYFUNCTION("""COMPUTED_VALUE"""),113.0)</f>
        <v>113</v>
      </c>
      <c r="AT97" s="30">
        <f>IFERROR(__xludf.DUMMYFUNCTION("""COMPUTED_VALUE"""),0.6589732187302225)</f>
        <v>0.6589732187</v>
      </c>
      <c r="AU97" s="30">
        <f>IFERROR(__xludf.DUMMYFUNCTION("""COMPUTED_VALUE"""),3.934169277216304)</f>
        <v>3.934169277</v>
      </c>
      <c r="AV97" s="32">
        <f>IFERROR(__xludf.DUMMYFUNCTION("""COMPUTED_VALUE"""),72.13944242227052)</f>
        <v>72.13944242</v>
      </c>
      <c r="AW97" s="32">
        <f>IFERROR(__xludf.DUMMYFUNCTION("""COMPUTED_VALUE"""),5.321340672774111)</f>
        <v>5.321340673</v>
      </c>
      <c r="AX97" s="32">
        <f>IFERROR(__xludf.DUMMYFUNCTION("""COMPUTED_VALUE"""),75.34533895833218)</f>
        <v>75.34533896</v>
      </c>
      <c r="AY97" s="32">
        <f>IFERROR(__xludf.DUMMYFUNCTION("""COMPUTED_VALUE"""),6.437663432290457)</f>
        <v>6.437663432</v>
      </c>
      <c r="AZ97" s="30">
        <f>IFERROR(__xludf.DUMMYFUNCTION("""COMPUTED_VALUE"""),1.116322759516346)</f>
        <v>1.11632276</v>
      </c>
      <c r="BA97" s="30">
        <f>IFERROR(__xludf.DUMMYFUNCTION("""COMPUTED_VALUE"""),450.0)</f>
        <v>450</v>
      </c>
    </row>
    <row r="98">
      <c r="A98" s="30" t="str">
        <f>IFERROR(__xludf.DUMMYFUNCTION("""COMPUTED_VALUE"""),"Master")</f>
        <v>Master</v>
      </c>
      <c r="B98" s="30" t="str">
        <f>IFERROR(__xludf.DUMMYFUNCTION("""COMPUTED_VALUE"""),"RSC006952")</f>
        <v>RSC006952</v>
      </c>
      <c r="C98" s="30" t="str">
        <f>IFERROR(__xludf.DUMMYFUNCTION("""COMPUTED_VALUE"""),"nave")</f>
        <v>nave</v>
      </c>
      <c r="D98" s="30" t="str">
        <f>IFERROR(__xludf.DUMMYFUNCTION("""COMPUTED_VALUE"""),"Kawaii")</f>
        <v>Kawaii</v>
      </c>
      <c r="E98" s="30">
        <f>IFERROR(__xludf.DUMMYFUNCTION("""COMPUTED_VALUE"""),36.0)</f>
        <v>36</v>
      </c>
      <c r="F98" s="30">
        <f>IFERROR(__xludf.DUMMYFUNCTION("""COMPUTED_VALUE"""),15.0)</f>
        <v>15</v>
      </c>
      <c r="G98" s="30">
        <f>IFERROR(__xludf.DUMMYFUNCTION("""COMPUTED_VALUE"""),21.0)</f>
        <v>21</v>
      </c>
      <c r="H98" s="42">
        <f>IFERROR(__xludf.DUMMYFUNCTION("""COMPUTED_VALUE"""),0.4166666666666667)</f>
        <v>0.4166666667</v>
      </c>
      <c r="I98" s="42">
        <f>IFERROR(__xludf.DUMMYFUNCTION("""COMPUTED_VALUE"""),0.3275862068965517)</f>
        <v>0.3275862069</v>
      </c>
      <c r="J98" s="30">
        <f>IFERROR(__xludf.DUMMYFUNCTION("""COMPUTED_VALUE"""),421.3888888888889)</f>
        <v>421.3888889</v>
      </c>
      <c r="K98" s="30">
        <f>IFERROR(__xludf.DUMMYFUNCTION("""COMPUTED_VALUE"""),1.0555555555555556)</f>
        <v>1.055555556</v>
      </c>
      <c r="L98" s="30">
        <f>IFERROR(__xludf.DUMMYFUNCTION("""COMPUTED_VALUE"""),0.6388888888888888)</f>
        <v>0.6388888889</v>
      </c>
      <c r="M98" s="30">
        <f>IFERROR(__xludf.DUMMYFUNCTION("""COMPUTED_VALUE"""),1.5555555555555556)</f>
        <v>1.555555556</v>
      </c>
      <c r="N98" s="30">
        <f>IFERROR(__xludf.DUMMYFUNCTION("""COMPUTED_VALUE"""),3.2222222222222223)</f>
        <v>3.222222222</v>
      </c>
      <c r="O98" s="30">
        <f>IFERROR(__xludf.DUMMYFUNCTION("""COMPUTED_VALUE"""),402.0740740740741)</f>
        <v>402.0740741</v>
      </c>
      <c r="P98" s="30">
        <f>IFERROR(__xludf.DUMMYFUNCTION("""COMPUTED_VALUE"""),0.9166666666666669)</f>
        <v>0.9166666667</v>
      </c>
      <c r="Q98" s="30">
        <f>IFERROR(__xludf.DUMMYFUNCTION("""COMPUTED_VALUE"""),0.685185185185185)</f>
        <v>0.6851851852</v>
      </c>
      <c r="R98" s="30">
        <f>IFERROR(__xludf.DUMMYFUNCTION("""COMPUTED_VALUE"""),1.4629629629629628)</f>
        <v>1.462962963</v>
      </c>
      <c r="S98" s="30">
        <f>IFERROR(__xludf.DUMMYFUNCTION("""COMPUTED_VALUE"""),2.8703703703703707)</f>
        <v>2.87037037</v>
      </c>
      <c r="T98" s="30">
        <f>IFERROR(__xludf.DUMMYFUNCTION("""COMPUTED_VALUE"""),398.02521515885127)</f>
        <v>398.0252152</v>
      </c>
      <c r="U98" s="30">
        <f>IFERROR(__xludf.DUMMYFUNCTION("""COMPUTED_VALUE"""),0.9404784697857522)</f>
        <v>0.9404784698</v>
      </c>
      <c r="V98" s="30">
        <f>IFERROR(__xludf.DUMMYFUNCTION("""COMPUTED_VALUE"""),0.7072184554314811)</f>
        <v>0.7072184554</v>
      </c>
      <c r="W98" s="30">
        <f>IFERROR(__xludf.DUMMYFUNCTION("""COMPUTED_VALUE"""),1.4660727952714512)</f>
        <v>1.466072795</v>
      </c>
      <c r="X98" s="30">
        <f>IFERROR(__xludf.DUMMYFUNCTION("""COMPUTED_VALUE"""),2.9097403770924655)</f>
        <v>2.909740377</v>
      </c>
      <c r="Y98" s="30">
        <f>IFERROR(__xludf.DUMMYFUNCTION("""COMPUTED_VALUE"""),383.0896988299807)</f>
        <v>383.0896988</v>
      </c>
      <c r="Z98" s="30">
        <f>IFERROR(__xludf.DUMMYFUNCTION("""COMPUTED_VALUE"""),0.842235955607803)</f>
        <v>0.8422359556</v>
      </c>
      <c r="AA98" s="30">
        <f>IFERROR(__xludf.DUMMYFUNCTION("""COMPUTED_VALUE"""),0.6493016000141046)</f>
        <v>0.6493016</v>
      </c>
      <c r="AB98" s="30">
        <f>IFERROR(__xludf.DUMMYFUNCTION("""COMPUTED_VALUE"""),1.4890987496217427)</f>
        <v>1.48909875</v>
      </c>
      <c r="AC98" s="30">
        <f>IFERROR(__xludf.DUMMYFUNCTION("""COMPUTED_VALUE"""),2.7698013449831795)</f>
        <v>2.769801345</v>
      </c>
      <c r="AD98" s="30">
        <f>IFERROR(__xludf.DUMMYFUNCTION("""COMPUTED_VALUE"""),1.0999744711901163)</f>
        <v>1.099974471</v>
      </c>
      <c r="AE98" s="30">
        <f>IFERROR(__xludf.DUMMYFUNCTION("""COMPUTED_VALUE"""),1.2532777169241245)</f>
        <v>1.253277717</v>
      </c>
      <c r="AF98" s="30">
        <f>IFERROR(__xludf.DUMMYFUNCTION("""COMPUTED_VALUE"""),0.9839632135128119)</f>
        <v>0.9839632135</v>
      </c>
      <c r="AG98" s="30">
        <f>IFERROR(__xludf.DUMMYFUNCTION("""COMPUTED_VALUE"""),1.0446288776689217)</f>
        <v>1.044628878</v>
      </c>
      <c r="AH98" s="30">
        <f>IFERROR(__xludf.DUMMYFUNCTION("""COMPUTED_VALUE"""),1.1633405507793881)</f>
        <v>1.163340551</v>
      </c>
      <c r="AI98" s="30">
        <f>IFERROR(__xludf.DUMMYFUNCTION("""COMPUTED_VALUE"""),1.0101723678827907)</f>
        <v>1.010172368</v>
      </c>
      <c r="AJ98" s="30">
        <f>IFERROR(__xludf.DUMMYFUNCTION("""COMPUTED_VALUE"""),0.974681182096056)</f>
        <v>0.9746811821</v>
      </c>
      <c r="AK98" s="30">
        <f>IFERROR(__xludf.DUMMYFUNCTION("""COMPUTED_VALUE"""),0.9688451707148206)</f>
        <v>0.9688451707</v>
      </c>
      <c r="AL98" s="30">
        <f>IFERROR(__xludf.DUMMYFUNCTION("""COMPUTED_VALUE"""),0.997878800890025)</f>
        <v>0.9978788009</v>
      </c>
      <c r="AM98" s="30">
        <f>IFERROR(__xludf.DUMMYFUNCTION("""COMPUTED_VALUE"""),0.9864695809179255)</f>
        <v>0.9864695809</v>
      </c>
      <c r="AN98" s="30">
        <f>IFERROR(__xludf.DUMMYFUNCTION("""COMPUTED_VALUE"""),1.142534024732497)</f>
        <v>1.142534025</v>
      </c>
      <c r="AO98" s="30">
        <f>IFERROR(__xludf.DUMMYFUNCTION("""COMPUTED_VALUE"""),1.3754905286613917)</f>
        <v>1.375490529</v>
      </c>
      <c r="AP98" s="30">
        <f>IFERROR(__xludf.DUMMYFUNCTION("""COMPUTED_VALUE"""),1.0029388583933003)</f>
        <v>1.002938858</v>
      </c>
      <c r="AQ98" s="30">
        <f>IFERROR(__xludf.DUMMYFUNCTION("""COMPUTED_VALUE"""),1.0627463981017689)</f>
        <v>1.062746398</v>
      </c>
      <c r="AR98" s="30">
        <f>IFERROR(__xludf.DUMMYFUNCTION("""COMPUTED_VALUE"""),1.1943781603823131)</f>
        <v>1.19437816</v>
      </c>
      <c r="AS98" s="30">
        <f>IFERROR(__xludf.DUMMYFUNCTION("""COMPUTED_VALUE"""),88.0)</f>
        <v>88</v>
      </c>
      <c r="AT98" s="30">
        <f>IFERROR(__xludf.DUMMYFUNCTION("""COMPUTED_VALUE"""),0.4528922359675898)</f>
        <v>0.452892236</v>
      </c>
      <c r="AU98" s="30">
        <f>IFERROR(__xludf.DUMMYFUNCTION("""COMPUTED_VALUE"""),3.8395353155205747)</f>
        <v>3.839535316</v>
      </c>
      <c r="AV98" s="32">
        <f>IFERROR(__xludf.DUMMYFUNCTION("""COMPUTED_VALUE"""),69.8270989085038)</f>
        <v>69.82709891</v>
      </c>
      <c r="AW98" s="32">
        <f>IFERROR(__xludf.DUMMYFUNCTION("""COMPUTED_VALUE"""),4.675858833260258)</f>
        <v>4.675858833</v>
      </c>
      <c r="AX98" s="32">
        <f>IFERROR(__xludf.DUMMYFUNCTION("""COMPUTED_VALUE"""),64.58549634776506)</f>
        <v>64.58549635</v>
      </c>
      <c r="AY98" s="32">
        <f>IFERROR(__xludf.DUMMYFUNCTION("""COMPUTED_VALUE"""),3.5739131068129026)</f>
        <v>3.573913107</v>
      </c>
      <c r="AZ98" s="30">
        <f>IFERROR(__xludf.DUMMYFUNCTION("""COMPUTED_VALUE"""),1.1019457264473553)</f>
        <v>1.101945726</v>
      </c>
      <c r="BA98" s="30">
        <f>IFERROR(__xludf.DUMMYFUNCTION("""COMPUTED_VALUE"""),450.0)</f>
        <v>450</v>
      </c>
    </row>
    <row r="99">
      <c r="A99" s="30" t="str">
        <f>IFERROR(__xludf.DUMMYFUNCTION("""COMPUTED_VALUE"""),"Master")</f>
        <v>Master</v>
      </c>
      <c r="B99" s="30" t="str">
        <f>IFERROR(__xludf.DUMMYFUNCTION("""COMPUTED_VALUE"""),"RSC000232")</f>
        <v>RSC000232</v>
      </c>
      <c r="C99" s="30" t="str">
        <f>IFERROR(__xludf.DUMMYFUNCTION("""COMPUTED_VALUE"""),"Unexpected")</f>
        <v>Unexpected</v>
      </c>
      <c r="D99" s="30" t="str">
        <f>IFERROR(__xludf.DUMMYFUNCTION("""COMPUTED_VALUE"""),"Lemurs")</f>
        <v>Lemurs</v>
      </c>
      <c r="E99" s="30">
        <f>IFERROR(__xludf.DUMMYFUNCTION("""COMPUTED_VALUE"""),36.0)</f>
        <v>36</v>
      </c>
      <c r="F99" s="30">
        <f>IFERROR(__xludf.DUMMYFUNCTION("""COMPUTED_VALUE"""),19.0)</f>
        <v>19</v>
      </c>
      <c r="G99" s="30">
        <f>IFERROR(__xludf.DUMMYFUNCTION("""COMPUTED_VALUE"""),17.0)</f>
        <v>17</v>
      </c>
      <c r="H99" s="42">
        <f>IFERROR(__xludf.DUMMYFUNCTION("""COMPUTED_VALUE"""),0.5277777777777778)</f>
        <v>0.5277777778</v>
      </c>
      <c r="I99" s="42">
        <f>IFERROR(__xludf.DUMMYFUNCTION("""COMPUTED_VALUE"""),0.2553191489361702)</f>
        <v>0.2553191489</v>
      </c>
      <c r="J99" s="30">
        <f>IFERROR(__xludf.DUMMYFUNCTION("""COMPUTED_VALUE"""),358.77777777777777)</f>
        <v>358.7777778</v>
      </c>
      <c r="K99" s="30">
        <f>IFERROR(__xludf.DUMMYFUNCTION("""COMPUTED_VALUE"""),0.6666666666666666)</f>
        <v>0.6666666667</v>
      </c>
      <c r="L99" s="30">
        <f>IFERROR(__xludf.DUMMYFUNCTION("""COMPUTED_VALUE"""),0.5277777777777778)</f>
        <v>0.5277777778</v>
      </c>
      <c r="M99" s="30">
        <f>IFERROR(__xludf.DUMMYFUNCTION("""COMPUTED_VALUE"""),1.5555555555555556)</f>
        <v>1.555555556</v>
      </c>
      <c r="N99" s="30">
        <f>IFERROR(__xludf.DUMMYFUNCTION("""COMPUTED_VALUE"""),2.611111111111111)</f>
        <v>2.611111111</v>
      </c>
      <c r="O99" s="30">
        <f>IFERROR(__xludf.DUMMYFUNCTION("""COMPUTED_VALUE"""),411.6944444444445)</f>
        <v>411.6944444</v>
      </c>
      <c r="P99" s="30">
        <f>IFERROR(__xludf.DUMMYFUNCTION("""COMPUTED_VALUE"""),0.9259259259259258)</f>
        <v>0.9259259259</v>
      </c>
      <c r="Q99" s="30">
        <f>IFERROR(__xludf.DUMMYFUNCTION("""COMPUTED_VALUE"""),0.7314814814814815)</f>
        <v>0.7314814815</v>
      </c>
      <c r="R99" s="30">
        <f>IFERROR(__xludf.DUMMYFUNCTION("""COMPUTED_VALUE"""),1.601851851851852)</f>
        <v>1.601851852</v>
      </c>
      <c r="S99" s="30">
        <f>IFERROR(__xludf.DUMMYFUNCTION("""COMPUTED_VALUE"""),2.8333333333333335)</f>
        <v>2.833333333</v>
      </c>
      <c r="T99" s="30">
        <f>IFERROR(__xludf.DUMMYFUNCTION("""COMPUTED_VALUE"""),390.9519554029293)</f>
        <v>390.9519554</v>
      </c>
      <c r="U99" s="30">
        <f>IFERROR(__xludf.DUMMYFUNCTION("""COMPUTED_VALUE"""),0.8903781542590612)</f>
        <v>0.8903781543</v>
      </c>
      <c r="V99" s="30">
        <f>IFERROR(__xludf.DUMMYFUNCTION("""COMPUTED_VALUE"""),0.6861623993408792)</f>
        <v>0.6861623993</v>
      </c>
      <c r="W99" s="30">
        <f>IFERROR(__xludf.DUMMYFUNCTION("""COMPUTED_VALUE"""),1.5203702909242505)</f>
        <v>1.520370291</v>
      </c>
      <c r="X99" s="30">
        <f>IFERROR(__xludf.DUMMYFUNCTION("""COMPUTED_VALUE"""),2.7853750862211917)</f>
        <v>2.785375086</v>
      </c>
      <c r="Y99" s="30">
        <f>IFERROR(__xludf.DUMMYFUNCTION("""COMPUTED_VALUE"""),384.04412613386626)</f>
        <v>384.0441261</v>
      </c>
      <c r="Z99" s="30">
        <f>IFERROR(__xludf.DUMMYFUNCTION("""COMPUTED_VALUE"""),0.8473167895874367)</f>
        <v>0.8473167896</v>
      </c>
      <c r="AA99" s="30">
        <f>IFERROR(__xludf.DUMMYFUNCTION("""COMPUTED_VALUE"""),0.644411389837635)</f>
        <v>0.6444113898</v>
      </c>
      <c r="AB99" s="30">
        <f>IFERROR(__xludf.DUMMYFUNCTION("""COMPUTED_VALUE"""),1.5015887129126808)</f>
        <v>1.501588713</v>
      </c>
      <c r="AC99" s="30">
        <f>IFERROR(__xludf.DUMMYFUNCTION("""COMPUTED_VALUE"""),2.814611325145063)</f>
        <v>2.814611325</v>
      </c>
      <c r="AD99" s="30">
        <f>IFERROR(__xludf.DUMMYFUNCTION("""COMPUTED_VALUE"""),0.9342097778959874)</f>
        <v>0.9342097779</v>
      </c>
      <c r="AE99" s="30">
        <f>IFERROR(__xludf.DUMMYFUNCTION("""COMPUTED_VALUE"""),0.7867974231825033)</f>
        <v>0.7867974232</v>
      </c>
      <c r="AF99" s="30">
        <f>IFERROR(__xludf.DUMMYFUNCTION("""COMPUTED_VALUE"""),0.8190075254733719)</f>
        <v>0.8190075255</v>
      </c>
      <c r="AG99" s="30">
        <f>IFERROR(__xludf.DUMMYFUNCTION("""COMPUTED_VALUE"""),1.0359398297142188)</f>
        <v>1.03593983</v>
      </c>
      <c r="AH99" s="30">
        <f>IFERROR(__xludf.DUMMYFUNCTION("""COMPUTED_VALUE"""),0.9276986444927832)</f>
        <v>0.9276986445</v>
      </c>
      <c r="AI99" s="30">
        <f>IFERROR(__xludf.DUMMYFUNCTION("""COMPUTED_VALUE"""),1.0530563634606642)</f>
        <v>1.053056363</v>
      </c>
      <c r="AJ99" s="30">
        <f>IFERROR(__xludf.DUMMYFUNCTION("""COMPUTED_VALUE"""),1.0399243529244562)</f>
        <v>1.039924353</v>
      </c>
      <c r="AK99" s="30">
        <f>IFERROR(__xludf.DUMMYFUNCTION("""COMPUTED_VALUE"""),1.06604716636198)</f>
        <v>1.066047166</v>
      </c>
      <c r="AL99" s="30">
        <f>IFERROR(__xludf.DUMMYFUNCTION("""COMPUTED_VALUE"""),1.053593234104876)</f>
        <v>1.053593234</v>
      </c>
      <c r="AM99" s="30">
        <f>IFERROR(__xludf.DUMMYFUNCTION("""COMPUTED_VALUE"""),1.0172178775308875)</f>
        <v>1.017217878</v>
      </c>
      <c r="AN99" s="30">
        <f>IFERROR(__xludf.DUMMYFUNCTION("""COMPUTED_VALUE"""),0.9727732012818017)</f>
        <v>0.9727732013</v>
      </c>
      <c r="AO99" s="30">
        <f>IFERROR(__xludf.DUMMYFUNCTION("""COMPUTED_VALUE"""),0.8687308602071946)</f>
        <v>0.8687308602</v>
      </c>
      <c r="AP99" s="30">
        <f>IFERROR(__xludf.DUMMYFUNCTION("""COMPUTED_VALUE"""),0.8285147091075091)</f>
        <v>0.8285147091</v>
      </c>
      <c r="AQ99" s="30">
        <f>IFERROR(__xludf.DUMMYFUNCTION("""COMPUTED_VALUE"""),1.0627463981017689)</f>
        <v>1.062746398</v>
      </c>
      <c r="AR99" s="30">
        <f>IFERROR(__xludf.DUMMYFUNCTION("""COMPUTED_VALUE"""),0.9678581644477365)</f>
        <v>0.9678581644</v>
      </c>
      <c r="AS99" s="30">
        <f>IFERROR(__xludf.DUMMYFUNCTION("""COMPUTED_VALUE"""),89.0)</f>
        <v>89</v>
      </c>
      <c r="AT99" s="30">
        <f>IFERROR(__xludf.DUMMYFUNCTION("""COMPUTED_VALUE"""),0.4532472504302214)</f>
        <v>0.4532472504</v>
      </c>
      <c r="AU99" s="30">
        <f>IFERROR(__xludf.DUMMYFUNCTION("""COMPUTED_VALUE"""),2.6265689282696107)</f>
        <v>2.626568928</v>
      </c>
      <c r="AV99" s="32">
        <f>IFERROR(__xludf.DUMMYFUNCTION("""COMPUTED_VALUE"""),40.188743843174336)</f>
        <v>40.18874384</v>
      </c>
      <c r="AW99" s="32">
        <f>IFERROR(__xludf.DUMMYFUNCTION("""COMPUTED_VALUE"""),-2.878834602791784)</f>
        <v>-2.878834603</v>
      </c>
      <c r="AX99" s="32">
        <f>IFERROR(__xludf.DUMMYFUNCTION("""COMPUTED_VALUE"""),33.52287511364125)</f>
        <v>33.52287511</v>
      </c>
      <c r="AY99" s="32">
        <f>IFERROR(__xludf.DUMMYFUNCTION("""COMPUTED_VALUE"""),-3.9227901514191585)</f>
        <v>-3.922790151</v>
      </c>
      <c r="AZ99" s="30">
        <f>IFERROR(__xludf.DUMMYFUNCTION("""COMPUTED_VALUE"""),1.0439555486273746)</f>
        <v>1.043955549</v>
      </c>
      <c r="BA99" s="30">
        <f>IFERROR(__xludf.DUMMYFUNCTION("""COMPUTED_VALUE"""),450.0)</f>
        <v>450</v>
      </c>
    </row>
    <row r="100">
      <c r="A100" s="30" t="str">
        <f>IFERROR(__xludf.DUMMYFUNCTION("""COMPUTED_VALUE"""),"Master")</f>
        <v>Master</v>
      </c>
      <c r="B100" s="30" t="str">
        <f>IFERROR(__xludf.DUMMYFUNCTION("""COMPUTED_VALUE"""),"RSC005385")</f>
        <v>RSC005385</v>
      </c>
      <c r="C100" s="30" t="str">
        <f>IFERROR(__xludf.DUMMYFUNCTION("""COMPUTED_VALUE"""),"Girth")</f>
        <v>Girth</v>
      </c>
      <c r="D100" s="30" t="str">
        <f>IFERROR(__xludf.DUMMYFUNCTION("""COMPUTED_VALUE"""),"Plinko")</f>
        <v>Plinko</v>
      </c>
      <c r="E100" s="30">
        <f>IFERROR(__xludf.DUMMYFUNCTION("""COMPUTED_VALUE"""),21.0)</f>
        <v>21</v>
      </c>
      <c r="F100" s="30">
        <f>IFERROR(__xludf.DUMMYFUNCTION("""COMPUTED_VALUE"""),8.0)</f>
        <v>8</v>
      </c>
      <c r="G100" s="30">
        <f>IFERROR(__xludf.DUMMYFUNCTION("""COMPUTED_VALUE"""),13.0)</f>
        <v>13</v>
      </c>
      <c r="H100" s="42">
        <f>IFERROR(__xludf.DUMMYFUNCTION("""COMPUTED_VALUE"""),0.38095238095238093)</f>
        <v>0.380952381</v>
      </c>
      <c r="I100" s="42">
        <f>IFERROR(__xludf.DUMMYFUNCTION("""COMPUTED_VALUE"""),0.3260869565217391)</f>
        <v>0.3260869565</v>
      </c>
      <c r="J100" s="30">
        <f>IFERROR(__xludf.DUMMYFUNCTION("""COMPUTED_VALUE"""),344.85714285714283)</f>
        <v>344.8571429</v>
      </c>
      <c r="K100" s="30">
        <f>IFERROR(__xludf.DUMMYFUNCTION("""COMPUTED_VALUE"""),0.7142857142857143)</f>
        <v>0.7142857143</v>
      </c>
      <c r="L100" s="30">
        <f>IFERROR(__xludf.DUMMYFUNCTION("""COMPUTED_VALUE"""),0.5714285714285714)</f>
        <v>0.5714285714</v>
      </c>
      <c r="M100" s="30">
        <f>IFERROR(__xludf.DUMMYFUNCTION("""COMPUTED_VALUE"""),1.3333333333333333)</f>
        <v>1.333333333</v>
      </c>
      <c r="N100" s="30">
        <f>IFERROR(__xludf.DUMMYFUNCTION("""COMPUTED_VALUE"""),2.1904761904761907)</f>
        <v>2.19047619</v>
      </c>
      <c r="O100" s="30">
        <f>IFERROR(__xludf.DUMMYFUNCTION("""COMPUTED_VALUE"""),388.82539682539687)</f>
        <v>388.8253968</v>
      </c>
      <c r="P100" s="30">
        <f>IFERROR(__xludf.DUMMYFUNCTION("""COMPUTED_VALUE"""),1.0158730158730158)</f>
        <v>1.015873016</v>
      </c>
      <c r="Q100" s="30">
        <f>IFERROR(__xludf.DUMMYFUNCTION("""COMPUTED_VALUE"""),0.8095238095238096)</f>
        <v>0.8095238095</v>
      </c>
      <c r="R100" s="30">
        <f>IFERROR(__xludf.DUMMYFUNCTION("""COMPUTED_VALUE"""),1.1904761904761905)</f>
        <v>1.19047619</v>
      </c>
      <c r="S100" s="30">
        <f>IFERROR(__xludf.DUMMYFUNCTION("""COMPUTED_VALUE"""),3.238095238095238)</f>
        <v>3.238095238</v>
      </c>
      <c r="T100" s="30">
        <f>IFERROR(__xludf.DUMMYFUNCTION("""COMPUTED_VALUE"""),394.4557154907052)</f>
        <v>394.4557155</v>
      </c>
      <c r="U100" s="30">
        <f>IFERROR(__xludf.DUMMYFUNCTION("""COMPUTED_VALUE"""),0.8637321487908102)</f>
        <v>0.8637321488</v>
      </c>
      <c r="V100" s="30">
        <f>IFERROR(__xludf.DUMMYFUNCTION("""COMPUTED_VALUE"""),0.6974377927621543)</f>
        <v>0.6974377928</v>
      </c>
      <c r="W100" s="30">
        <f>IFERROR(__xludf.DUMMYFUNCTION("""COMPUTED_VALUE"""),1.5407229978313484)</f>
        <v>1.540722998</v>
      </c>
      <c r="X100" s="30">
        <f>IFERROR(__xludf.DUMMYFUNCTION("""COMPUTED_VALUE"""),3.001538869585799)</f>
        <v>3.00153887</v>
      </c>
      <c r="Y100" s="30">
        <f>IFERROR(__xludf.DUMMYFUNCTION("""COMPUTED_VALUE"""),394.77321723871637)</f>
        <v>394.7732172</v>
      </c>
      <c r="Z100" s="30">
        <f>IFERROR(__xludf.DUMMYFUNCTION("""COMPUTED_VALUE"""),0.8744290235491066)</f>
        <v>0.8744290235</v>
      </c>
      <c r="AA100" s="30">
        <f>IFERROR(__xludf.DUMMYFUNCTION("""COMPUTED_VALUE"""),0.6864487104882782)</f>
        <v>0.6864487105</v>
      </c>
      <c r="AB100" s="30">
        <f>IFERROR(__xludf.DUMMYFUNCTION("""COMPUTED_VALUE"""),1.577626655991045)</f>
        <v>1.577626656</v>
      </c>
      <c r="AC100" s="30">
        <f>IFERROR(__xludf.DUMMYFUNCTION("""COMPUTED_VALUE"""),2.8575877355610495)</f>
        <v>2.857587736</v>
      </c>
      <c r="AD100" s="30">
        <f>IFERROR(__xludf.DUMMYFUNCTION("""COMPUTED_VALUE"""),0.8735575966102339)</f>
        <v>0.8735575966</v>
      </c>
      <c r="AE100" s="30">
        <f>IFERROR(__xludf.DUMMYFUNCTION("""COMPUTED_VALUE"""),0.8168595678430167)</f>
        <v>0.8168595678</v>
      </c>
      <c r="AF100" s="30">
        <f>IFERROR(__xludf.DUMMYFUNCTION("""COMPUTED_VALUE"""),0.8324417581352994)</f>
        <v>0.8324417581</v>
      </c>
      <c r="AG100" s="30">
        <f>IFERROR(__xludf.DUMMYFUNCTION("""COMPUTED_VALUE"""),0.8451513723288038)</f>
        <v>0.8451513723</v>
      </c>
      <c r="AH100" s="30">
        <f>IFERROR(__xludf.DUMMYFUNCTION("""COMPUTED_VALUE"""),0.7665473095425781)</f>
        <v>0.7665473095</v>
      </c>
      <c r="AI100" s="30">
        <f>IFERROR(__xludf.DUMMYFUNCTION("""COMPUTED_VALUE"""),0.9857263605413749)</f>
        <v>0.9857263605</v>
      </c>
      <c r="AJ100" s="30">
        <f>IFERROR(__xludf.DUMMYFUNCTION("""COMPUTED_VALUE"""),1.176143573323277)</f>
        <v>1.176143573</v>
      </c>
      <c r="AK100" s="30">
        <f>IFERROR(__xludf.DUMMYFUNCTION("""COMPUTED_VALUE"""),1.1607111314082168)</f>
        <v>1.160711131</v>
      </c>
      <c r="AL100" s="30">
        <f>IFERROR(__xludf.DUMMYFUNCTION("""COMPUTED_VALUE"""),0.7726737331446669)</f>
        <v>0.7726737331</v>
      </c>
      <c r="AM100" s="30">
        <f>IFERROR(__xludf.DUMMYFUNCTION("""COMPUTED_VALUE"""),1.078811695862557)</f>
        <v>1.078811696</v>
      </c>
      <c r="AN100" s="30">
        <f>IFERROR(__xludf.DUMMYFUNCTION("""COMPUTED_VALUE"""),0.935029446137611)</f>
        <v>0.9350294461</v>
      </c>
      <c r="AO100" s="30">
        <f>IFERROR(__xludf.DUMMYFUNCTION("""COMPUTED_VALUE"""),0.9307830645077086)</f>
        <v>0.9307830645</v>
      </c>
      <c r="AP100" s="30">
        <f>IFERROR(__xludf.DUMMYFUNCTION("""COMPUTED_VALUE"""),0.8970384820412128)</f>
        <v>0.897038482</v>
      </c>
      <c r="AQ100" s="30">
        <f>IFERROR(__xludf.DUMMYFUNCTION("""COMPUTED_VALUE"""),0.9109254840872304)</f>
        <v>0.9109254841</v>
      </c>
      <c r="AR100" s="30">
        <f>IFERROR(__xludf.DUMMYFUNCTION("""COMPUTED_VALUE"""),0.8119418036096514)</f>
        <v>0.8119418036</v>
      </c>
      <c r="AS100" s="30">
        <f>IFERROR(__xludf.DUMMYFUNCTION("""COMPUTED_VALUE"""),46.0)</f>
        <v>46</v>
      </c>
      <c r="AT100" s="30">
        <f>IFERROR(__xludf.DUMMYFUNCTION("""COMPUTED_VALUE"""),0.37024372649312703)</f>
        <v>0.3702437265</v>
      </c>
      <c r="AU100" s="30">
        <f>IFERROR(__xludf.DUMMYFUNCTION("""COMPUTED_VALUE"""),2.4883262599775477)</f>
        <v>2.48832626</v>
      </c>
      <c r="AV100" s="32">
        <f>IFERROR(__xludf.DUMMYFUNCTION("""COMPUTED_VALUE"""),36.81083879066525)</f>
        <v>36.81083879</v>
      </c>
      <c r="AW100" s="32">
        <f>IFERROR(__xludf.DUMMYFUNCTION("""COMPUTED_VALUE"""),-3.345598938670785)</f>
        <v>-3.345598939</v>
      </c>
      <c r="AX100" s="32">
        <f>IFERROR(__xludf.DUMMYFUNCTION("""COMPUTED_VALUE"""),31.776276837068853)</f>
        <v>31.77627684</v>
      </c>
      <c r="AY100" s="32">
        <f>IFERROR(__xludf.DUMMYFUNCTION("""COMPUTED_VALUE"""),-4.291542463154873)</f>
        <v>-4.291542463</v>
      </c>
      <c r="AZ100" s="30">
        <f>IFERROR(__xludf.DUMMYFUNCTION("""COMPUTED_VALUE"""),0.9459435244840884)</f>
        <v>0.9459435245</v>
      </c>
      <c r="BA100" s="30">
        <f>IFERROR(__xludf.DUMMYFUNCTION("""COMPUTED_VALUE"""),450.0)</f>
        <v>450</v>
      </c>
    </row>
    <row r="101">
      <c r="A101" s="30" t="str">
        <f>IFERROR(__xludf.DUMMYFUNCTION("""COMPUTED_VALUE"""),"Master")</f>
        <v>Master</v>
      </c>
      <c r="B101" s="30" t="str">
        <f>IFERROR(__xludf.DUMMYFUNCTION("""COMPUTED_VALUE"""),"RSC004132")</f>
        <v>RSC004132</v>
      </c>
      <c r="C101" s="30" t="str">
        <f>IFERROR(__xludf.DUMMYFUNCTION("""COMPUTED_VALUE"""),"Rob Belichick")</f>
        <v>Rob Belichick</v>
      </c>
      <c r="D101" s="30" t="str">
        <f>IFERROR(__xludf.DUMMYFUNCTION("""COMPUTED_VALUE"""),"Battle Masters")</f>
        <v>Battle Masters</v>
      </c>
      <c r="E101" s="30">
        <f>IFERROR(__xludf.DUMMYFUNCTION("""COMPUTED_VALUE"""),8.0)</f>
        <v>8</v>
      </c>
      <c r="F101" s="30">
        <f>IFERROR(__xludf.DUMMYFUNCTION("""COMPUTED_VALUE"""),4.0)</f>
        <v>4</v>
      </c>
      <c r="G101" s="30">
        <f>IFERROR(__xludf.DUMMYFUNCTION("""COMPUTED_VALUE"""),4.0)</f>
        <v>4</v>
      </c>
      <c r="H101" s="42">
        <f>IFERROR(__xludf.DUMMYFUNCTION("""COMPUTED_VALUE"""),0.5)</f>
        <v>0.5</v>
      </c>
      <c r="I101" s="42">
        <f>IFERROR(__xludf.DUMMYFUNCTION("""COMPUTED_VALUE"""),0.29411764705882354)</f>
        <v>0.2941176471</v>
      </c>
      <c r="J101" s="30">
        <f>IFERROR(__xludf.DUMMYFUNCTION("""COMPUTED_VALUE"""),373.75)</f>
        <v>373.75</v>
      </c>
      <c r="K101" s="30">
        <f>IFERROR(__xludf.DUMMYFUNCTION("""COMPUTED_VALUE"""),0.625)</f>
        <v>0.625</v>
      </c>
      <c r="L101" s="30">
        <f>IFERROR(__xludf.DUMMYFUNCTION("""COMPUTED_VALUE"""),0.875)</f>
        <v>0.875</v>
      </c>
      <c r="M101" s="30">
        <f>IFERROR(__xludf.DUMMYFUNCTION("""COMPUTED_VALUE"""),1.25)</f>
        <v>1.25</v>
      </c>
      <c r="N101" s="30">
        <f>IFERROR(__xludf.DUMMYFUNCTION("""COMPUTED_VALUE"""),2.125)</f>
        <v>2.125</v>
      </c>
      <c r="O101" s="30">
        <f>IFERROR(__xludf.DUMMYFUNCTION("""COMPUTED_VALUE"""),421.45833333333337)</f>
        <v>421.4583333</v>
      </c>
      <c r="P101" s="30">
        <f>IFERROR(__xludf.DUMMYFUNCTION("""COMPUTED_VALUE"""),0.9166666666666666)</f>
        <v>0.9166666667</v>
      </c>
      <c r="Q101" s="30">
        <f>IFERROR(__xludf.DUMMYFUNCTION("""COMPUTED_VALUE"""),0.75)</f>
        <v>0.75</v>
      </c>
      <c r="R101" s="30">
        <f>IFERROR(__xludf.DUMMYFUNCTION("""COMPUTED_VALUE"""),1.3749999999999998)</f>
        <v>1.375</v>
      </c>
      <c r="S101" s="30">
        <f>IFERROR(__xludf.DUMMYFUNCTION("""COMPUTED_VALUE"""),3.25)</f>
        <v>3.25</v>
      </c>
      <c r="T101" s="30">
        <f>IFERROR(__xludf.DUMMYFUNCTION("""COMPUTED_VALUE"""),400.04665704665706)</f>
        <v>400.046657</v>
      </c>
      <c r="U101" s="30">
        <f>IFERROR(__xludf.DUMMYFUNCTION("""COMPUTED_VALUE"""),0.8917147667147667)</f>
        <v>0.8917147667</v>
      </c>
      <c r="V101" s="30">
        <f>IFERROR(__xludf.DUMMYFUNCTION("""COMPUTED_VALUE"""),0.6519660894660895)</f>
        <v>0.6519660895</v>
      </c>
      <c r="W101" s="30">
        <f>IFERROR(__xludf.DUMMYFUNCTION("""COMPUTED_VALUE"""),1.5505576599326598)</f>
        <v>1.55055766</v>
      </c>
      <c r="X101" s="30">
        <f>IFERROR(__xludf.DUMMYFUNCTION("""COMPUTED_VALUE"""),2.8586309523809517)</f>
        <v>2.858630952</v>
      </c>
      <c r="Y101" s="30">
        <f>IFERROR(__xludf.DUMMYFUNCTION("""COMPUTED_VALUE"""),399.4366081449414)</f>
        <v>399.4366081</v>
      </c>
      <c r="Z101" s="30">
        <f>IFERROR(__xludf.DUMMYFUNCTION("""COMPUTED_VALUE"""),0.9004404160654161)</f>
        <v>0.9004404161</v>
      </c>
      <c r="AA101" s="30">
        <f>IFERROR(__xludf.DUMMYFUNCTION("""COMPUTED_VALUE"""),0.6995726110309444)</f>
        <v>0.699572611</v>
      </c>
      <c r="AB101" s="30">
        <f>IFERROR(__xludf.DUMMYFUNCTION("""COMPUTED_VALUE"""),1.4958188031104696)</f>
        <v>1.495818803</v>
      </c>
      <c r="AC101" s="30">
        <f>IFERROR(__xludf.DUMMYFUNCTION("""COMPUTED_VALUE"""),2.898002845919512)</f>
        <v>2.898002846</v>
      </c>
      <c r="AD101" s="30">
        <f>IFERROR(__xludf.DUMMYFUNCTION("""COMPUTED_VALUE"""),0.935692904402942)</f>
        <v>0.9356929044</v>
      </c>
      <c r="AE101" s="30">
        <f>IFERROR(__xludf.DUMMYFUNCTION("""COMPUTED_VALUE"""),0.6941047834469865)</f>
        <v>0.6941047834</v>
      </c>
      <c r="AF101" s="30">
        <f>IFERROR(__xludf.DUMMYFUNCTION("""COMPUTED_VALUE"""),1.2507636608450583)</f>
        <v>1.250763661</v>
      </c>
      <c r="AG101" s="30">
        <f>IFERROR(__xludf.DUMMYFUNCTION("""COMPUTED_VALUE"""),0.8356627135590865)</f>
        <v>0.8356627136</v>
      </c>
      <c r="AH101" s="30">
        <f>IFERROR(__xludf.DUMMYFUNCTION("""COMPUTED_VALUE"""),0.733263600134856)</f>
        <v>0.7332636001</v>
      </c>
      <c r="AI101" s="30">
        <f>IFERROR(__xludf.DUMMYFUNCTION("""COMPUTED_VALUE"""),1.0535229476600252)</f>
        <v>1.053522948</v>
      </c>
      <c r="AJ101" s="30">
        <f>IFERROR(__xludf.DUMMYFUNCTION("""COMPUTED_VALUE"""),1.0279819297417572)</f>
        <v>1.02798193</v>
      </c>
      <c r="AK101" s="30">
        <f>IFERROR(__xludf.DUMMYFUNCTION("""COMPUTED_VALUE"""),1.1503665790565776)</f>
        <v>1.150366579</v>
      </c>
      <c r="AL101" s="30">
        <f>IFERROR(__xludf.DUMMYFUNCTION("""COMPUTED_VALUE"""),0.8867777287687035)</f>
        <v>0.8867777288</v>
      </c>
      <c r="AM101" s="30">
        <f>IFERROR(__xludf.DUMMYFUNCTION("""COMPUTED_VALUE"""),1.1369078604893288)</f>
        <v>1.13690786</v>
      </c>
      <c r="AN101" s="30">
        <f>IFERROR(__xludf.DUMMYFUNCTION("""COMPUTED_VALUE"""),1.01336818080262)</f>
        <v>1.013368181</v>
      </c>
      <c r="AO101" s="30">
        <f>IFERROR(__xludf.DUMMYFUNCTION("""COMPUTED_VALUE"""),0.814435181444245)</f>
        <v>0.8144351814</v>
      </c>
      <c r="AP101" s="30">
        <f>IFERROR(__xludf.DUMMYFUNCTION("""COMPUTED_VALUE"""),1.3735901756256073)</f>
        <v>1.373590176</v>
      </c>
      <c r="AQ101" s="30">
        <f>IFERROR(__xludf.DUMMYFUNCTION("""COMPUTED_VALUE"""),0.8539926413317785)</f>
        <v>0.8539926413</v>
      </c>
      <c r="AR101" s="30">
        <f>IFERROR(__xludf.DUMMYFUNCTION("""COMPUTED_VALUE"""),0.7876718040452324)</f>
        <v>0.787671804</v>
      </c>
      <c r="AS101" s="30">
        <f>IFERROR(__xludf.DUMMYFUNCTION("""COMPUTED_VALUE"""),23.0)</f>
        <v>23</v>
      </c>
      <c r="AT101" s="30">
        <f>IFERROR(__xludf.DUMMYFUNCTION("""COMPUTED_VALUE"""),0.5182356601056898)</f>
        <v>0.5182356601</v>
      </c>
      <c r="AU101" s="30">
        <f>IFERROR(__xludf.DUMMYFUNCTION("""COMPUTED_VALUE"""),2.8941811953838408)</f>
        <v>2.894181195</v>
      </c>
      <c r="AV101" s="32">
        <f>IFERROR(__xludf.DUMMYFUNCTION("""COMPUTED_VALUE"""),46.72774399679383)</f>
        <v>46.727744</v>
      </c>
      <c r="AW101" s="32">
        <f>IFERROR(__xludf.DUMMYFUNCTION("""COMPUTED_VALUE"""),-2.2324863622763713)</f>
        <v>-2.232486362</v>
      </c>
      <c r="AX101" s="32">
        <f>IFERROR(__xludf.DUMMYFUNCTION("""COMPUTED_VALUE"""),38.08013816921977)</f>
        <v>38.08013817</v>
      </c>
      <c r="AY101" s="32">
        <f>IFERROR(__xludf.DUMMYFUNCTION("""COMPUTED_VALUE"""),-3.1570216625656773)</f>
        <v>-3.157021663</v>
      </c>
      <c r="AZ101" s="30">
        <f>IFERROR(__xludf.DUMMYFUNCTION("""COMPUTED_VALUE"""),0.924535300289306)</f>
        <v>0.9245353003</v>
      </c>
      <c r="BA101" s="30">
        <f>IFERROR(__xludf.DUMMYFUNCTION("""COMPUTED_VALUE"""),450.0)</f>
        <v>450</v>
      </c>
    </row>
    <row r="102">
      <c r="A102" s="30" t="str">
        <f>IFERROR(__xludf.DUMMYFUNCTION("""COMPUTED_VALUE"""),"Master")</f>
        <v>Master</v>
      </c>
      <c r="B102" s="30" t="str">
        <f>IFERROR(__xludf.DUMMYFUNCTION("""COMPUTED_VALUE"""),"RSC002050")</f>
        <v>RSC002050</v>
      </c>
      <c r="C102" s="30" t="str">
        <f>IFERROR(__xludf.DUMMYFUNCTION("""COMPUTED_VALUE"""),"Goobz")</f>
        <v>Goobz</v>
      </c>
      <c r="D102" s="30" t="str">
        <f>IFERROR(__xludf.DUMMYFUNCTION("""COMPUTED_VALUE"""),"Plinko")</f>
        <v>Plinko</v>
      </c>
      <c r="E102" s="30">
        <f>IFERROR(__xludf.DUMMYFUNCTION("""COMPUTED_VALUE"""),27.0)</f>
        <v>27</v>
      </c>
      <c r="F102" s="30">
        <f>IFERROR(__xludf.DUMMYFUNCTION("""COMPUTED_VALUE"""),13.0)</f>
        <v>13</v>
      </c>
      <c r="G102" s="30">
        <f>IFERROR(__xludf.DUMMYFUNCTION("""COMPUTED_VALUE"""),14.0)</f>
        <v>14</v>
      </c>
      <c r="H102" s="42">
        <f>IFERROR(__xludf.DUMMYFUNCTION("""COMPUTED_VALUE"""),0.48148148148148145)</f>
        <v>0.4814814815</v>
      </c>
      <c r="I102" s="42">
        <f>IFERROR(__xludf.DUMMYFUNCTION("""COMPUTED_VALUE"""),0.29850746268656714)</f>
        <v>0.2985074627</v>
      </c>
      <c r="J102" s="30">
        <f>IFERROR(__xludf.DUMMYFUNCTION("""COMPUTED_VALUE"""),380.0740740740741)</f>
        <v>380.0740741</v>
      </c>
      <c r="K102" s="30">
        <f>IFERROR(__xludf.DUMMYFUNCTION("""COMPUTED_VALUE"""),0.7407407407407407)</f>
        <v>0.7407407407</v>
      </c>
      <c r="L102" s="30">
        <f>IFERROR(__xludf.DUMMYFUNCTION("""COMPUTED_VALUE"""),0.5925925925925926)</f>
        <v>0.5925925926</v>
      </c>
      <c r="M102" s="30">
        <f>IFERROR(__xludf.DUMMYFUNCTION("""COMPUTED_VALUE"""),1.8518518518518519)</f>
        <v>1.851851852</v>
      </c>
      <c r="N102" s="30">
        <f>IFERROR(__xludf.DUMMYFUNCTION("""COMPUTED_VALUE"""),2.4814814814814814)</f>
        <v>2.481481481</v>
      </c>
      <c r="O102" s="30">
        <f>IFERROR(__xludf.DUMMYFUNCTION("""COMPUTED_VALUE"""),382.9876543209876)</f>
        <v>382.9876543</v>
      </c>
      <c r="P102" s="30">
        <f>IFERROR(__xludf.DUMMYFUNCTION("""COMPUTED_VALUE"""),0.8148148148148148)</f>
        <v>0.8148148148</v>
      </c>
      <c r="Q102" s="30">
        <f>IFERROR(__xludf.DUMMYFUNCTION("""COMPUTED_VALUE"""),0.691358024691358)</f>
        <v>0.6913580247</v>
      </c>
      <c r="R102" s="30">
        <f>IFERROR(__xludf.DUMMYFUNCTION("""COMPUTED_VALUE"""),1.4444444444444442)</f>
        <v>1.444444444</v>
      </c>
      <c r="S102" s="30">
        <f>IFERROR(__xludf.DUMMYFUNCTION("""COMPUTED_VALUE"""),3.08641975308642)</f>
        <v>3.086419753</v>
      </c>
      <c r="T102" s="30">
        <f>IFERROR(__xludf.DUMMYFUNCTION("""COMPUTED_VALUE"""),391.8440915186377)</f>
        <v>391.8440915</v>
      </c>
      <c r="U102" s="30">
        <f>IFERROR(__xludf.DUMMYFUNCTION("""COMPUTED_VALUE"""),0.8708876554737122)</f>
        <v>0.8708876555</v>
      </c>
      <c r="V102" s="30">
        <f>IFERROR(__xludf.DUMMYFUNCTION("""COMPUTED_VALUE"""),0.7059094157678033)</f>
        <v>0.7059094158</v>
      </c>
      <c r="W102" s="30">
        <f>IFERROR(__xludf.DUMMYFUNCTION("""COMPUTED_VALUE"""),1.4921362883599636)</f>
        <v>1.492136288</v>
      </c>
      <c r="X102" s="30">
        <f>IFERROR(__xludf.DUMMYFUNCTION("""COMPUTED_VALUE"""),2.8806686884755153)</f>
        <v>2.880668688</v>
      </c>
      <c r="Y102" s="30">
        <f>IFERROR(__xludf.DUMMYFUNCTION("""COMPUTED_VALUE"""),381.6183966586592)</f>
        <v>381.6183967</v>
      </c>
      <c r="Z102" s="30">
        <f>IFERROR(__xludf.DUMMYFUNCTION("""COMPUTED_VALUE"""),0.8133185435291466)</f>
        <v>0.8133185435</v>
      </c>
      <c r="AA102" s="30">
        <f>IFERROR(__xludf.DUMMYFUNCTION("""COMPUTED_VALUE"""),0.6212684329665692)</f>
        <v>0.621268433</v>
      </c>
      <c r="AB102" s="30">
        <f>IFERROR(__xludf.DUMMYFUNCTION("""COMPUTED_VALUE"""),1.5265916825224504)</f>
        <v>1.526591683</v>
      </c>
      <c r="AC102" s="30">
        <f>IFERROR(__xludf.DUMMYFUNCTION("""COMPUTED_VALUE"""),2.7335533785364334)</f>
        <v>2.733553379</v>
      </c>
      <c r="AD102" s="30">
        <f>IFERROR(__xludf.DUMMYFUNCTION("""COMPUTED_VALUE"""),0.995953228151193)</f>
        <v>0.9959532282</v>
      </c>
      <c r="AE102" s="30">
        <f>IFERROR(__xludf.DUMMYFUNCTION("""COMPUTED_VALUE"""),0.9107633738762715)</f>
        <v>0.9107633739</v>
      </c>
      <c r="AF102" s="30">
        <f>IFERROR(__xludf.DUMMYFUNCTION("""COMPUTED_VALUE"""),0.9538430751470038)</f>
        <v>0.9538430751</v>
      </c>
      <c r="AG102" s="30">
        <f>IFERROR(__xludf.DUMMYFUNCTION("""COMPUTED_VALUE"""),1.2130629775160053)</f>
        <v>1.213062978</v>
      </c>
      <c r="AH102" s="30">
        <f>IFERROR(__xludf.DUMMYFUNCTION("""COMPUTED_VALUE"""),0.9077859978758076)</f>
        <v>0.9077859979</v>
      </c>
      <c r="AI102" s="30">
        <f>IFERROR(__xludf.DUMMYFUNCTION("""COMPUTED_VALUE"""),0.977398058591809)</f>
        <v>0.9773980586</v>
      </c>
      <c r="AJ102" s="30">
        <f>IFERROR(__xludf.DUMMYFUNCTION("""COMPUTED_VALUE"""),0.935614151485019)</f>
        <v>0.9356141515</v>
      </c>
      <c r="AK102" s="30">
        <f>IFERROR(__xludf.DUMMYFUNCTION("""COMPUTED_VALUE"""),0.9793863196163518)</f>
        <v>0.9793863196</v>
      </c>
      <c r="AL102" s="30">
        <f>IFERROR(__xludf.DUMMYFUNCTION("""COMPUTED_VALUE"""),0.9680378767760294)</f>
        <v>0.9680378768</v>
      </c>
      <c r="AM102" s="30">
        <f>IFERROR(__xludf.DUMMYFUNCTION("""COMPUTED_VALUE"""),1.0714247582285454)</f>
        <v>1.071424758</v>
      </c>
      <c r="AN102" s="30">
        <f>IFERROR(__xludf.DUMMYFUNCTION("""COMPUTED_VALUE"""),1.0305149779657117)</f>
        <v>1.030514978</v>
      </c>
      <c r="AO102" s="30">
        <f>IFERROR(__xludf.DUMMYFUNCTION("""COMPUTED_VALUE"""),0.9652565113413274)</f>
        <v>0.9652565113</v>
      </c>
      <c r="AP102" s="30">
        <f>IFERROR(__xludf.DUMMYFUNCTION("""COMPUTED_VALUE"""),0.9302621295242207)</f>
        <v>0.9302621295</v>
      </c>
      <c r="AQ102" s="30">
        <f>IFERROR(__xludf.DUMMYFUNCTION("""COMPUTED_VALUE"""),1.2651742834544868)</f>
        <v>1.265174283</v>
      </c>
      <c r="AR102" s="30">
        <f>IFERROR(__xludf.DUMMYFUNCTION("""COMPUTED_VALUE"""),0.9198084683404021)</f>
        <v>0.9198084683</v>
      </c>
      <c r="AS102" s="30">
        <f>IFERROR(__xludf.DUMMYFUNCTION("""COMPUTED_VALUE"""),66.0)</f>
        <v>66</v>
      </c>
      <c r="AT102" s="30">
        <f>IFERROR(__xludf.DUMMYFUNCTION("""COMPUTED_VALUE"""),0.5)</f>
        <v>0.5</v>
      </c>
      <c r="AU102" s="30">
        <f>IFERROR(__xludf.DUMMYFUNCTION("""COMPUTED_VALUE"""),2.9799905977883556)</f>
        <v>2.979990598</v>
      </c>
      <c r="AV102" s="32">
        <f>IFERROR(__xludf.DUMMYFUNCTION("""COMPUTED_VALUE"""),48.824462886237015)</f>
        <v>48.82446289</v>
      </c>
      <c r="AW102" s="32">
        <f>IFERROR(__xludf.DUMMYFUNCTION("""COMPUTED_VALUE"""),-2.077930488368407)</f>
        <v>-2.077930488</v>
      </c>
      <c r="AX102" s="32">
        <f>IFERROR(__xludf.DUMMYFUNCTION("""COMPUTED_VALUE"""),39.27384493283203)</f>
        <v>39.27384493</v>
      </c>
      <c r="AY102" s="32">
        <f>IFERROR(__xludf.DUMMYFUNCTION("""COMPUTED_VALUE"""),-2.9945068698889092)</f>
        <v>-2.99450687</v>
      </c>
      <c r="AZ102" s="30">
        <f>IFERROR(__xludf.DUMMYFUNCTION("""COMPUTED_VALUE"""),0.9165763815205024)</f>
        <v>0.9165763815</v>
      </c>
      <c r="BA102" s="30">
        <f>IFERROR(__xludf.DUMMYFUNCTION("""COMPUTED_VALUE"""),450.0)</f>
        <v>450</v>
      </c>
    </row>
    <row r="103">
      <c r="A103" s="30" t="str">
        <f>IFERROR(__xludf.DUMMYFUNCTION("""COMPUTED_VALUE"""),"Master")</f>
        <v>Master</v>
      </c>
      <c r="B103" s="30" t="str">
        <f>IFERROR(__xludf.DUMMYFUNCTION("""COMPUTED_VALUE"""),"RSC002888")</f>
        <v>RSC002888</v>
      </c>
      <c r="C103" s="30" t="str">
        <f>IFERROR(__xludf.DUMMYFUNCTION("""COMPUTED_VALUE"""),"kri0s")</f>
        <v>kri0s</v>
      </c>
      <c r="D103" s="30" t="str">
        <f>IFERROR(__xludf.DUMMYFUNCTION("""COMPUTED_VALUE"""),"Basilisks")</f>
        <v>Basilisks</v>
      </c>
      <c r="E103" s="30">
        <f>IFERROR(__xludf.DUMMYFUNCTION("""COMPUTED_VALUE"""),33.0)</f>
        <v>33</v>
      </c>
      <c r="F103" s="30">
        <f>IFERROR(__xludf.DUMMYFUNCTION("""COMPUTED_VALUE"""),22.0)</f>
        <v>22</v>
      </c>
      <c r="G103" s="30">
        <f>IFERROR(__xludf.DUMMYFUNCTION("""COMPUTED_VALUE"""),11.0)</f>
        <v>11</v>
      </c>
      <c r="H103" s="42">
        <f>IFERROR(__xludf.DUMMYFUNCTION("""COMPUTED_VALUE"""),0.6666666666666666)</f>
        <v>0.6666666667</v>
      </c>
      <c r="I103" s="42">
        <f>IFERROR(__xludf.DUMMYFUNCTION("""COMPUTED_VALUE"""),0.2717391304347826)</f>
        <v>0.2717391304</v>
      </c>
      <c r="J103" s="30">
        <f>IFERROR(__xludf.DUMMYFUNCTION("""COMPUTED_VALUE"""),393.8484848484849)</f>
        <v>393.8484848</v>
      </c>
      <c r="K103" s="30">
        <f>IFERROR(__xludf.DUMMYFUNCTION("""COMPUTED_VALUE"""),0.7575757575757576)</f>
        <v>0.7575757576</v>
      </c>
      <c r="L103" s="30">
        <f>IFERROR(__xludf.DUMMYFUNCTION("""COMPUTED_VALUE"""),0.8787878787878788)</f>
        <v>0.8787878788</v>
      </c>
      <c r="M103" s="30">
        <f>IFERROR(__xludf.DUMMYFUNCTION("""COMPUTED_VALUE"""),1.5757575757575757)</f>
        <v>1.575757576</v>
      </c>
      <c r="N103" s="30">
        <f>IFERROR(__xludf.DUMMYFUNCTION("""COMPUTED_VALUE"""),2.787878787878788)</f>
        <v>2.787878788</v>
      </c>
      <c r="O103" s="30">
        <f>IFERROR(__xludf.DUMMYFUNCTION("""COMPUTED_VALUE"""),360.67676767676767)</f>
        <v>360.6767677</v>
      </c>
      <c r="P103" s="30">
        <f>IFERROR(__xludf.DUMMYFUNCTION("""COMPUTED_VALUE"""),0.7474747474747475)</f>
        <v>0.7474747475</v>
      </c>
      <c r="Q103" s="30">
        <f>IFERROR(__xludf.DUMMYFUNCTION("""COMPUTED_VALUE"""),0.6161616161616162)</f>
        <v>0.6161616162</v>
      </c>
      <c r="R103" s="30">
        <f>IFERROR(__xludf.DUMMYFUNCTION("""COMPUTED_VALUE"""),1.4242424242424245)</f>
        <v>1.424242424</v>
      </c>
      <c r="S103" s="30">
        <f>IFERROR(__xludf.DUMMYFUNCTION("""COMPUTED_VALUE"""),2.95959595959596)</f>
        <v>2.95959596</v>
      </c>
      <c r="T103" s="30">
        <f>IFERROR(__xludf.DUMMYFUNCTION("""COMPUTED_VALUE"""),381.5081320651738)</f>
        <v>381.5081321</v>
      </c>
      <c r="U103" s="30">
        <f>IFERROR(__xludf.DUMMYFUNCTION("""COMPUTED_VALUE"""),0.8215134404601723)</f>
        <v>0.8215134405</v>
      </c>
      <c r="V103" s="30">
        <f>IFERROR(__xludf.DUMMYFUNCTION("""COMPUTED_VALUE"""),0.6479114941598496)</f>
        <v>0.6479114942</v>
      </c>
      <c r="W103" s="30">
        <f>IFERROR(__xludf.DUMMYFUNCTION("""COMPUTED_VALUE"""),1.5298054382585544)</f>
        <v>1.529805438</v>
      </c>
      <c r="X103" s="30">
        <f>IFERROR(__xludf.DUMMYFUNCTION("""COMPUTED_VALUE"""),2.8089033063926294)</f>
        <v>2.808903306</v>
      </c>
      <c r="Y103" s="30">
        <f>IFERROR(__xludf.DUMMYFUNCTION("""COMPUTED_VALUE"""),392.89133201279725)</f>
        <v>392.891332</v>
      </c>
      <c r="Z103" s="30">
        <f>IFERROR(__xludf.DUMMYFUNCTION("""COMPUTED_VALUE"""),0.8822921812319975)</f>
        <v>0.8822921812</v>
      </c>
      <c r="AA103" s="30">
        <f>IFERROR(__xludf.DUMMYFUNCTION("""COMPUTED_VALUE"""),0.6806222352890418)</f>
        <v>0.6806222353</v>
      </c>
      <c r="AB103" s="30">
        <f>IFERROR(__xludf.DUMMYFUNCTION("""COMPUTED_VALUE"""),1.5399136380351057)</f>
        <v>1.539913638</v>
      </c>
      <c r="AC103" s="30">
        <f>IFERROR(__xludf.DUMMYFUNCTION("""COMPUTED_VALUE"""),2.8982104494564958)</f>
        <v>2.898210449</v>
      </c>
      <c r="AD103" s="30">
        <f>IFERROR(__xludf.DUMMYFUNCTION("""COMPUTED_VALUE"""),1.0024361770232602)</f>
        <v>1.002436177</v>
      </c>
      <c r="AE103" s="30">
        <f>IFERROR(__xludf.DUMMYFUNCTION("""COMPUTED_VALUE"""),0.8586449859704175)</f>
        <v>0.858644986</v>
      </c>
      <c r="AF103" s="30">
        <f>IFERROR(__xludf.DUMMYFUNCTION("""COMPUTED_VALUE"""),1.2911536432756734)</f>
        <v>1.291153643</v>
      </c>
      <c r="AG103" s="30">
        <f>IFERROR(__xludf.DUMMYFUNCTION("""COMPUTED_VALUE"""),1.0232765895678448)</f>
        <v>1.02327659</v>
      </c>
      <c r="AH103" s="30">
        <f>IFERROR(__xludf.DUMMYFUNCTION("""COMPUTED_VALUE"""),0.9619311076604536)</f>
        <v>0.9619311077</v>
      </c>
      <c r="AI103" s="30">
        <f>IFERROR(__xludf.DUMMYFUNCTION("""COMPUTED_VALUE"""),0.9453973254104909)</f>
        <v>0.9453973254</v>
      </c>
      <c r="AJ103" s="30">
        <f>IFERROR(__xludf.DUMMYFUNCTION("""COMPUTED_VALUE"""),0.909875250557128)</f>
        <v>0.9098752506</v>
      </c>
      <c r="AK103" s="30">
        <f>IFERROR(__xludf.DUMMYFUNCTION("""COMPUTED_VALUE"""),0.9509965816559504)</f>
        <v>0.9509965817</v>
      </c>
      <c r="AL103" s="30">
        <f>IFERROR(__xludf.DUMMYFUNCTION("""COMPUTED_VALUE"""),0.9309957911142629)</f>
        <v>0.9309957911</v>
      </c>
      <c r="AM103" s="30">
        <f>IFERROR(__xludf.DUMMYFUNCTION("""COMPUTED_VALUE"""),1.0536482166760164)</f>
        <v>1.053648217</v>
      </c>
      <c r="AN103" s="30">
        <f>IFERROR(__xludf.DUMMYFUNCTION("""COMPUTED_VALUE"""),1.0678622678335181)</f>
        <v>1.067862268</v>
      </c>
      <c r="AO103" s="30">
        <f>IFERROR(__xludf.DUMMYFUNCTION("""COMPUTED_VALUE"""),0.9871941593263576)</f>
        <v>0.9871941593</v>
      </c>
      <c r="AP103" s="30">
        <f>IFERROR(__xludf.DUMMYFUNCTION("""COMPUTED_VALUE"""),1.3795364534421681)</f>
        <v>1.379536453</v>
      </c>
      <c r="AQ103" s="30">
        <f>IFERROR(__xludf.DUMMYFUNCTION("""COMPUTED_VALUE"""),1.0765482993758178)</f>
        <v>1.076548299</v>
      </c>
      <c r="AR103" s="30">
        <f>IFERROR(__xludf.DUMMYFUNCTION("""COMPUTED_VALUE"""),1.0333804773213744)</f>
        <v>1.033380477</v>
      </c>
      <c r="AS103" s="30">
        <f>IFERROR(__xludf.DUMMYFUNCTION("""COMPUTED_VALUE"""),97.0)</f>
        <v>97</v>
      </c>
      <c r="AT103" s="30">
        <f>IFERROR(__xludf.DUMMYFUNCTION("""COMPUTED_VALUE"""),0.6068208161147297)</f>
        <v>0.6068208161</v>
      </c>
      <c r="AU103" s="30">
        <f>IFERROR(__xludf.DUMMYFUNCTION("""COMPUTED_VALUE"""),3.5137057213696647)</f>
        <v>3.513705721</v>
      </c>
      <c r="AV103" s="32">
        <f>IFERROR(__xludf.DUMMYFUNCTION("""COMPUTED_VALUE"""),61.86558133988975)</f>
        <v>61.86558134</v>
      </c>
      <c r="AW103" s="32">
        <f>IFERROR(__xludf.DUMMYFUNCTION("""COMPUTED_VALUE"""),3.1493308995843132)</f>
        <v>3.1493309</v>
      </c>
      <c r="AX103" s="32">
        <f>IFERROR(__xludf.DUMMYFUNCTION("""COMPUTED_VALUE"""),54.008299796510244)</f>
        <v>54.0082998</v>
      </c>
      <c r="AY103" s="32">
        <f>IFERROR(__xludf.DUMMYFUNCTION("""COMPUTED_VALUE"""),2.291949543648461)</f>
        <v>2.291949544</v>
      </c>
      <c r="AZ103" s="30">
        <f>IFERROR(__xludf.DUMMYFUNCTION("""COMPUTED_VALUE"""),0.8573813559358521)</f>
        <v>0.8573813559</v>
      </c>
      <c r="BA103" s="30">
        <f>IFERROR(__xludf.DUMMYFUNCTION("""COMPUTED_VALUE"""),450.0)</f>
        <v>450</v>
      </c>
    </row>
    <row r="104">
      <c r="A104" s="30" t="str">
        <f>IFERROR(__xludf.DUMMYFUNCTION("""COMPUTED_VALUE"""),"Master")</f>
        <v>Master</v>
      </c>
      <c r="B104" s="30" t="str">
        <f>IFERROR(__xludf.DUMMYFUNCTION("""COMPUTED_VALUE"""),"RSC002059")</f>
        <v>RSC002059</v>
      </c>
      <c r="C104" s="30" t="str">
        <f>IFERROR(__xludf.DUMMYFUNCTION("""COMPUTED_VALUE"""),"Thermal")</f>
        <v>Thermal</v>
      </c>
      <c r="D104" s="30"/>
      <c r="E104" s="30">
        <f>IFERROR(__xludf.DUMMYFUNCTION("""COMPUTED_VALUE"""),12.0)</f>
        <v>12</v>
      </c>
      <c r="F104" s="30">
        <f>IFERROR(__xludf.DUMMYFUNCTION("""COMPUTED_VALUE"""),5.0)</f>
        <v>5</v>
      </c>
      <c r="G104" s="30">
        <f>IFERROR(__xludf.DUMMYFUNCTION("""COMPUTED_VALUE"""),7.0)</f>
        <v>7</v>
      </c>
      <c r="H104" s="42">
        <f>IFERROR(__xludf.DUMMYFUNCTION("""COMPUTED_VALUE"""),0.4166666666666667)</f>
        <v>0.4166666667</v>
      </c>
      <c r="I104" s="42">
        <f>IFERROR(__xludf.DUMMYFUNCTION("""COMPUTED_VALUE"""),0.21052631578947367)</f>
        <v>0.2105263158</v>
      </c>
      <c r="J104" s="30">
        <f>IFERROR(__xludf.DUMMYFUNCTION("""COMPUTED_VALUE"""),321.1666666666667)</f>
        <v>321.1666667</v>
      </c>
      <c r="K104" s="30">
        <f>IFERROR(__xludf.DUMMYFUNCTION("""COMPUTED_VALUE"""),0.6666666666666666)</f>
        <v>0.6666666667</v>
      </c>
      <c r="L104" s="30">
        <f>IFERROR(__xludf.DUMMYFUNCTION("""COMPUTED_VALUE"""),0.4166666666666667)</f>
        <v>0.4166666667</v>
      </c>
      <c r="M104" s="30">
        <f>IFERROR(__xludf.DUMMYFUNCTION("""COMPUTED_VALUE"""),1.1666666666666667)</f>
        <v>1.166666667</v>
      </c>
      <c r="N104" s="30">
        <f>IFERROR(__xludf.DUMMYFUNCTION("""COMPUTED_VALUE"""),3.1666666666666665)</f>
        <v>3.166666667</v>
      </c>
      <c r="O104" s="30">
        <f>IFERROR(__xludf.DUMMYFUNCTION("""COMPUTED_VALUE"""),441.4166666666667)</f>
        <v>441.4166667</v>
      </c>
      <c r="P104" s="30">
        <f>IFERROR(__xludf.DUMMYFUNCTION("""COMPUTED_VALUE"""),1.1111111111111112)</f>
        <v>1.111111111</v>
      </c>
      <c r="Q104" s="30">
        <f>IFERROR(__xludf.DUMMYFUNCTION("""COMPUTED_VALUE"""),0.9166666666666666)</f>
        <v>0.9166666667</v>
      </c>
      <c r="R104" s="30">
        <f>IFERROR(__xludf.DUMMYFUNCTION("""COMPUTED_VALUE"""),1.777777777777778)</f>
        <v>1.777777778</v>
      </c>
      <c r="S104" s="30">
        <f>IFERROR(__xludf.DUMMYFUNCTION("""COMPUTED_VALUE"""),2.777777777777778)</f>
        <v>2.777777778</v>
      </c>
      <c r="T104" s="30">
        <f>IFERROR(__xludf.DUMMYFUNCTION("""COMPUTED_VALUE"""),397.727932561497)</f>
        <v>397.7279326</v>
      </c>
      <c r="U104" s="30">
        <f>IFERROR(__xludf.DUMMYFUNCTION("""COMPUTED_VALUE"""),0.942320390730561)</f>
        <v>0.9423203907</v>
      </c>
      <c r="V104" s="30">
        <f>IFERROR(__xludf.DUMMYFUNCTION("""COMPUTED_VALUE"""),0.6724540507524016)</f>
        <v>0.6724540508</v>
      </c>
      <c r="W104" s="30">
        <f>IFERROR(__xludf.DUMMYFUNCTION("""COMPUTED_VALUE"""),1.5422301580691136)</f>
        <v>1.542230158</v>
      </c>
      <c r="X104" s="30">
        <f>IFERROR(__xludf.DUMMYFUNCTION("""COMPUTED_VALUE"""),2.865264589927259)</f>
        <v>2.86526459</v>
      </c>
      <c r="Y104" s="30">
        <f>IFERROR(__xludf.DUMMYFUNCTION("""COMPUTED_VALUE"""),379.7433062789593)</f>
        <v>379.7433063</v>
      </c>
      <c r="Z104" s="30">
        <f>IFERROR(__xludf.DUMMYFUNCTION("""COMPUTED_VALUE"""),0.8523224884471344)</f>
        <v>0.8523224884</v>
      </c>
      <c r="AA104" s="30">
        <f>IFERROR(__xludf.DUMMYFUNCTION("""COMPUTED_VALUE"""),0.6317651745115096)</f>
        <v>0.6317651745</v>
      </c>
      <c r="AB104" s="30">
        <f>IFERROR(__xludf.DUMMYFUNCTION("""COMPUTED_VALUE"""),1.4852098642037008)</f>
        <v>1.485209864</v>
      </c>
      <c r="AC104" s="30">
        <f>IFERROR(__xludf.DUMMYFUNCTION("""COMPUTED_VALUE"""),2.848843132446122)</f>
        <v>2.848843132</v>
      </c>
      <c r="AD104" s="30">
        <f>IFERROR(__xludf.DUMMYFUNCTION("""COMPUTED_VALUE"""),0.8457467488070421)</f>
        <v>0.8457467488</v>
      </c>
      <c r="AE104" s="30">
        <f>IFERROR(__xludf.DUMMYFUNCTION("""COMPUTED_VALUE"""),0.7821765537141718)</f>
        <v>0.7821765537</v>
      </c>
      <c r="AF104" s="30">
        <f>IFERROR(__xludf.DUMMYFUNCTION("""COMPUTED_VALUE"""),0.6595277541039511)</f>
        <v>0.6595277541</v>
      </c>
      <c r="AG104" s="30">
        <f>IFERROR(__xludf.DUMMYFUNCTION("""COMPUTED_VALUE"""),0.7855231067241653)</f>
        <v>0.7855231067</v>
      </c>
      <c r="AH104" s="30">
        <f>IFERROR(__xludf.DUMMYFUNCTION("""COMPUTED_VALUE"""),1.1115623147518303)</f>
        <v>1.111562315</v>
      </c>
      <c r="AI104" s="30">
        <f>IFERROR(__xludf.DUMMYFUNCTION("""COMPUTED_VALUE"""),1.1098457778004176)</f>
        <v>1.109845778</v>
      </c>
      <c r="AJ104" s="30">
        <f>IFERROR(__xludf.DUMMYFUNCTION("""COMPUTED_VALUE"""),1.1791224322862104)</f>
        <v>1.179122432</v>
      </c>
      <c r="AK104" s="30">
        <f>IFERROR(__xludf.DUMMYFUNCTION("""COMPUTED_VALUE"""),1.3631662500077413)</f>
        <v>1.36316625</v>
      </c>
      <c r="AL104" s="30">
        <f>IFERROR(__xludf.DUMMYFUNCTION("""COMPUTED_VALUE"""),1.1527318205238395)</f>
        <v>1.152731821</v>
      </c>
      <c r="AM104" s="30">
        <f>IFERROR(__xludf.DUMMYFUNCTION("""COMPUTED_VALUE"""),0.9694664107262423)</f>
        <v>0.9694664107</v>
      </c>
      <c r="AN104" s="30">
        <f>IFERROR(__xludf.DUMMYFUNCTION("""COMPUTED_VALUE"""),0.8707962026339572)</f>
        <v>0.8707962026</v>
      </c>
      <c r="AO104" s="30">
        <f>IFERROR(__xludf.DUMMYFUNCTION("""COMPUTED_VALUE"""),0.8687308602071946)</f>
        <v>0.8687308602</v>
      </c>
      <c r="AP104" s="30">
        <f>IFERROR(__xludf.DUMMYFUNCTION("""COMPUTED_VALUE"""),0.6540905598217177)</f>
        <v>0.6540905598</v>
      </c>
      <c r="AQ104" s="30">
        <f>IFERROR(__xludf.DUMMYFUNCTION("""COMPUTED_VALUE"""),0.7970597985763267)</f>
        <v>0.7970597986</v>
      </c>
      <c r="AR104" s="30">
        <f>IFERROR(__xludf.DUMMYFUNCTION("""COMPUTED_VALUE"""),1.1737854334791697)</f>
        <v>1.173785433</v>
      </c>
      <c r="AS104" s="30">
        <f>IFERROR(__xludf.DUMMYFUNCTION("""COMPUTED_VALUE"""),23.0)</f>
        <v>23</v>
      </c>
      <c r="AT104" s="30">
        <f>IFERROR(__xludf.DUMMYFUNCTION("""COMPUTED_VALUE"""),0.29097307772493375)</f>
        <v>0.2909730777</v>
      </c>
      <c r="AU104" s="30">
        <f>IFERROR(__xludf.DUMMYFUNCTION("""COMPUTED_VALUE"""),2.378553623471746)</f>
        <v>2.378553623</v>
      </c>
      <c r="AV104" s="32">
        <f>IFERROR(__xludf.DUMMYFUNCTION("""COMPUTED_VALUE"""),34.1285877312687)</f>
        <v>34.12858773</v>
      </c>
      <c r="AW104" s="32">
        <f>IFERROR(__xludf.DUMMYFUNCTION("""COMPUTED_VALUE"""),-3.8057397008408858)</f>
        <v>-3.805739701</v>
      </c>
      <c r="AX104" s="32">
        <f>IFERROR(__xludf.DUMMYFUNCTION("""COMPUTED_VALUE"""),30.356158443084457)</f>
        <v>30.35615844</v>
      </c>
      <c r="AY104" s="32">
        <f>IFERROR(__xludf.DUMMYFUNCTION("""COMPUTED_VALUE"""),-4.629502978717196)</f>
        <v>-4.629502979</v>
      </c>
      <c r="AZ104" s="30">
        <f>IFERROR(__xludf.DUMMYFUNCTION("""COMPUTED_VALUE"""),0.82376327787631)</f>
        <v>0.8237632779</v>
      </c>
      <c r="BA104" s="30">
        <f>IFERROR(__xludf.DUMMYFUNCTION("""COMPUTED_VALUE"""),450.0)</f>
        <v>450</v>
      </c>
    </row>
    <row r="105">
      <c r="A105" s="30" t="str">
        <f>IFERROR(__xludf.DUMMYFUNCTION("""COMPUTED_VALUE"""),"Master")</f>
        <v>Master</v>
      </c>
      <c r="B105" s="30" t="str">
        <f>IFERROR(__xludf.DUMMYFUNCTION("""COMPUTED_VALUE"""),"RSC006985")</f>
        <v>RSC006985</v>
      </c>
      <c r="C105" s="30" t="str">
        <f>IFERROR(__xludf.DUMMYFUNCTION("""COMPUTED_VALUE"""),"not so jucy skep")</f>
        <v>not so jucy skep</v>
      </c>
      <c r="D105" s="30" t="str">
        <f>IFERROR(__xludf.DUMMYFUNCTION("""COMPUTED_VALUE"""),"Kawaii")</f>
        <v>Kawaii</v>
      </c>
      <c r="E105" s="30">
        <f>IFERROR(__xludf.DUMMYFUNCTION("""COMPUTED_VALUE"""),7.0)</f>
        <v>7</v>
      </c>
      <c r="F105" s="30">
        <f>IFERROR(__xludf.DUMMYFUNCTION("""COMPUTED_VALUE"""),3.0)</f>
        <v>3</v>
      </c>
      <c r="G105" s="30">
        <f>IFERROR(__xludf.DUMMYFUNCTION("""COMPUTED_VALUE"""),4.0)</f>
        <v>4</v>
      </c>
      <c r="H105" s="42">
        <f>IFERROR(__xludf.DUMMYFUNCTION("""COMPUTED_VALUE"""),0.42857142857142855)</f>
        <v>0.4285714286</v>
      </c>
      <c r="I105" s="42">
        <f>IFERROR(__xludf.DUMMYFUNCTION("""COMPUTED_VALUE"""),0.5)</f>
        <v>0.5</v>
      </c>
      <c r="J105" s="30">
        <f>IFERROR(__xludf.DUMMYFUNCTION("""COMPUTED_VALUE"""),412.57142857142856)</f>
        <v>412.5714286</v>
      </c>
      <c r="K105" s="30">
        <f>IFERROR(__xludf.DUMMYFUNCTION("""COMPUTED_VALUE"""),1.2857142857142858)</f>
        <v>1.285714286</v>
      </c>
      <c r="L105" s="30">
        <f>IFERROR(__xludf.DUMMYFUNCTION("""COMPUTED_VALUE"""),0.5714285714285714)</f>
        <v>0.5714285714</v>
      </c>
      <c r="M105" s="30">
        <f>IFERROR(__xludf.DUMMYFUNCTION("""COMPUTED_VALUE"""),1.5714285714285714)</f>
        <v>1.571428571</v>
      </c>
      <c r="N105" s="30">
        <f>IFERROR(__xludf.DUMMYFUNCTION("""COMPUTED_VALUE"""),2.5714285714285716)</f>
        <v>2.571428571</v>
      </c>
      <c r="O105" s="30">
        <f>IFERROR(__xludf.DUMMYFUNCTION("""COMPUTED_VALUE"""),356.42857142857144)</f>
        <v>356.4285714</v>
      </c>
      <c r="P105" s="30">
        <f>IFERROR(__xludf.DUMMYFUNCTION("""COMPUTED_VALUE"""),0.8095238095238094)</f>
        <v>0.8095238095</v>
      </c>
      <c r="Q105" s="30">
        <f>IFERROR(__xludf.DUMMYFUNCTION("""COMPUTED_VALUE"""),0.6666666666666666)</f>
        <v>0.6666666667</v>
      </c>
      <c r="R105" s="30">
        <f>IFERROR(__xludf.DUMMYFUNCTION("""COMPUTED_VALUE"""),1.1904761904761905)</f>
        <v>1.19047619</v>
      </c>
      <c r="S105" s="30">
        <f>IFERROR(__xludf.DUMMYFUNCTION("""COMPUTED_VALUE"""),2.952380952380952)</f>
        <v>2.952380952</v>
      </c>
      <c r="T105" s="30">
        <f>IFERROR(__xludf.DUMMYFUNCTION("""COMPUTED_VALUE"""),376.39774611938174)</f>
        <v>376.3977461</v>
      </c>
      <c r="U105" s="30">
        <f>IFERROR(__xludf.DUMMYFUNCTION("""COMPUTED_VALUE"""),0.8632438764555742)</f>
        <v>0.8632438765</v>
      </c>
      <c r="V105" s="30">
        <f>IFERROR(__xludf.DUMMYFUNCTION("""COMPUTED_VALUE"""),0.6707984844501408)</f>
        <v>0.6707984845</v>
      </c>
      <c r="W105" s="30">
        <f>IFERROR(__xludf.DUMMYFUNCTION("""COMPUTED_VALUE"""),1.4552337682254866)</f>
        <v>1.455233768</v>
      </c>
      <c r="X105" s="30">
        <f>IFERROR(__xludf.DUMMYFUNCTION("""COMPUTED_VALUE"""),2.8861188477001103)</f>
        <v>2.886118848</v>
      </c>
      <c r="Y105" s="30">
        <f>IFERROR(__xludf.DUMMYFUNCTION("""COMPUTED_VALUE"""),411.28902310387394)</f>
        <v>411.2890231</v>
      </c>
      <c r="Z105" s="30">
        <f>IFERROR(__xludf.DUMMYFUNCTION("""COMPUTED_VALUE"""),0.9954351386287206)</f>
        <v>0.9954351386</v>
      </c>
      <c r="AA105" s="30">
        <f>IFERROR(__xludf.DUMMYFUNCTION("""COMPUTED_VALUE"""),0.7873215107298958)</f>
        <v>0.7873215107</v>
      </c>
      <c r="AB105" s="30">
        <f>IFERROR(__xludf.DUMMYFUNCTION("""COMPUTED_VALUE"""),1.556878694848847)</f>
        <v>1.556878695</v>
      </c>
      <c r="AC105" s="30">
        <f>IFERROR(__xludf.DUMMYFUNCTION("""COMPUTED_VALUE"""),2.970233325482635)</f>
        <v>2.970233325</v>
      </c>
      <c r="AD105" s="30">
        <f>IFERROR(__xludf.DUMMYFUNCTION("""COMPUTED_VALUE"""),1.0031180153019321)</f>
        <v>1.003118015</v>
      </c>
      <c r="AE105" s="30">
        <f>IFERROR(__xludf.DUMMYFUNCTION("""COMPUTED_VALUE"""),1.291610307714719)</f>
        <v>1.291610308</v>
      </c>
      <c r="AF105" s="30">
        <f>IFERROR(__xludf.DUMMYFUNCTION("""COMPUTED_VALUE"""),0.725788084843283)</f>
        <v>0.7257880848</v>
      </c>
      <c r="AG105" s="30">
        <f>IFERROR(__xludf.DUMMYFUNCTION("""COMPUTED_VALUE"""),1.0093455428659053)</f>
        <v>1.009345543</v>
      </c>
      <c r="AH105" s="30">
        <f>IFERROR(__xludf.DUMMYFUNCTION("""COMPUTED_VALUE"""),0.8657328531625503)</f>
        <v>0.8657328532</v>
      </c>
      <c r="AI105" s="30">
        <f>IFERROR(__xludf.DUMMYFUNCTION("""COMPUTED_VALUE"""),0.9469466145940293)</f>
        <v>0.9469466146</v>
      </c>
      <c r="AJ105" s="30">
        <f>IFERROR(__xludf.DUMMYFUNCTION("""COMPUTED_VALUE"""),0.9377695360523888)</f>
        <v>0.9377695361</v>
      </c>
      <c r="AK105" s="30">
        <f>IFERROR(__xludf.DUMMYFUNCTION("""COMPUTED_VALUE"""),0.9938404485411725)</f>
        <v>0.9938404485</v>
      </c>
      <c r="AL105" s="30">
        <f>IFERROR(__xludf.DUMMYFUNCTION("""COMPUTED_VALUE"""),0.818065259664678)</f>
        <v>0.8180652597</v>
      </c>
      <c r="AM105" s="30">
        <f>IFERROR(__xludf.DUMMYFUNCTION("""COMPUTED_VALUE"""),1.0229588967667236)</f>
        <v>1.022958897</v>
      </c>
      <c r="AN105" s="30">
        <f>IFERROR(__xludf.DUMMYFUNCTION("""COMPUTED_VALUE"""),1.1186267773179042)</f>
        <v>1.118626777</v>
      </c>
      <c r="AO105" s="30">
        <f>IFERROR(__xludf.DUMMYFUNCTION("""COMPUTED_VALUE"""),1.6754095161138756)</f>
        <v>1.675409516</v>
      </c>
      <c r="AP105" s="30">
        <f>IFERROR(__xludf.DUMMYFUNCTION("""COMPUTED_VALUE"""),0.8970384820412128)</f>
        <v>0.897038482</v>
      </c>
      <c r="AQ105" s="30">
        <f>IFERROR(__xludf.DUMMYFUNCTION("""COMPUTED_VALUE"""),1.0735907491028074)</f>
        <v>1.073590749</v>
      </c>
      <c r="AR105" s="30">
        <f>IFERROR(__xludf.DUMMYFUNCTION("""COMPUTED_VALUE"""),0.9531490738026343)</f>
        <v>0.9531490738</v>
      </c>
      <c r="AS105" s="30">
        <f>IFERROR(__xludf.DUMMYFUNCTION("""COMPUTED_VALUE"""),16.0)</f>
        <v>16</v>
      </c>
      <c r="AT105" s="30">
        <f>IFERROR(__xludf.DUMMYFUNCTION("""COMPUTED_VALUE"""),0.4763660854857283)</f>
        <v>0.4763660855</v>
      </c>
      <c r="AU105" s="30">
        <f>IFERROR(__xludf.DUMMYFUNCTION("""COMPUTED_VALUE"""),3.609690944358781)</f>
        <v>3.609690944</v>
      </c>
      <c r="AV105" s="32">
        <f>IFERROR(__xludf.DUMMYFUNCTION("""COMPUTED_VALUE"""),64.21094239018541)</f>
        <v>64.21094239</v>
      </c>
      <c r="AW105" s="32">
        <f>IFERROR(__xludf.DUMMYFUNCTION("""COMPUTED_VALUE"""),3.5103867051379742)</f>
        <v>3.510386705</v>
      </c>
      <c r="AX105" s="32">
        <f>IFERROR(__xludf.DUMMYFUNCTION("""COMPUTED_VALUE"""),58.305691369132234)</f>
        <v>58.30569137</v>
      </c>
      <c r="AY105" s="32">
        <f>IFERROR(__xludf.DUMMYFUNCTION("""COMPUTED_VALUE"""),2.703735372167016)</f>
        <v>2.703735372</v>
      </c>
      <c r="AZ105" s="30">
        <f>IFERROR(__xludf.DUMMYFUNCTION("""COMPUTED_VALUE"""),0.8066513329709584)</f>
        <v>0.806651333</v>
      </c>
      <c r="BA105" s="30">
        <f>IFERROR(__xludf.DUMMYFUNCTION("""COMPUTED_VALUE"""),450.0)</f>
        <v>450</v>
      </c>
    </row>
    <row r="106">
      <c r="A106" s="30" t="str">
        <f>IFERROR(__xludf.DUMMYFUNCTION("""COMPUTED_VALUE"""),"Master")</f>
        <v>Master</v>
      </c>
      <c r="B106" s="30" t="str">
        <f>IFERROR(__xludf.DUMMYFUNCTION("""COMPUTED_VALUE"""),"RSC006259")</f>
        <v>RSC006259</v>
      </c>
      <c r="C106" s="30" t="str">
        <f>IFERROR(__xludf.DUMMYFUNCTION("""COMPUTED_VALUE"""),"mojomo")</f>
        <v>mojomo</v>
      </c>
      <c r="D106" s="30" t="str">
        <f>IFERROR(__xludf.DUMMYFUNCTION("""COMPUTED_VALUE"""),"Plinko")</f>
        <v>Plinko</v>
      </c>
      <c r="E106" s="30">
        <f>IFERROR(__xludf.DUMMYFUNCTION("""COMPUTED_VALUE"""),32.0)</f>
        <v>32</v>
      </c>
      <c r="F106" s="30">
        <f>IFERROR(__xludf.DUMMYFUNCTION("""COMPUTED_VALUE"""),13.0)</f>
        <v>13</v>
      </c>
      <c r="G106" s="30">
        <f>IFERROR(__xludf.DUMMYFUNCTION("""COMPUTED_VALUE"""),19.0)</f>
        <v>19</v>
      </c>
      <c r="H106" s="42">
        <f>IFERROR(__xludf.DUMMYFUNCTION("""COMPUTED_VALUE"""),0.40625)</f>
        <v>0.40625</v>
      </c>
      <c r="I106" s="42">
        <f>IFERROR(__xludf.DUMMYFUNCTION("""COMPUTED_VALUE"""),0.27710843373493976)</f>
        <v>0.2771084337</v>
      </c>
      <c r="J106" s="30">
        <f>IFERROR(__xludf.DUMMYFUNCTION("""COMPUTED_VALUE"""),373.375)</f>
        <v>373.375</v>
      </c>
      <c r="K106" s="30">
        <f>IFERROR(__xludf.DUMMYFUNCTION("""COMPUTED_VALUE"""),0.71875)</f>
        <v>0.71875</v>
      </c>
      <c r="L106" s="30">
        <f>IFERROR(__xludf.DUMMYFUNCTION("""COMPUTED_VALUE"""),0.5625)</f>
        <v>0.5625</v>
      </c>
      <c r="M106" s="30">
        <f>IFERROR(__xludf.DUMMYFUNCTION("""COMPUTED_VALUE"""),1.90625)</f>
        <v>1.90625</v>
      </c>
      <c r="N106" s="30">
        <f>IFERROR(__xludf.DUMMYFUNCTION("""COMPUTED_VALUE"""),2.59375)</f>
        <v>2.59375</v>
      </c>
      <c r="O106" s="30">
        <f>IFERROR(__xludf.DUMMYFUNCTION("""COMPUTED_VALUE"""),410.35416666666674)</f>
        <v>410.3541667</v>
      </c>
      <c r="P106" s="30">
        <f>IFERROR(__xludf.DUMMYFUNCTION("""COMPUTED_VALUE"""),1.0416666666666667)</f>
        <v>1.041666667</v>
      </c>
      <c r="Q106" s="30">
        <f>IFERROR(__xludf.DUMMYFUNCTION("""COMPUTED_VALUE"""),0.8437500000000001)</f>
        <v>0.84375</v>
      </c>
      <c r="R106" s="30">
        <f>IFERROR(__xludf.DUMMYFUNCTION("""COMPUTED_VALUE"""),1.3541666666666665)</f>
        <v>1.354166667</v>
      </c>
      <c r="S106" s="30">
        <f>IFERROR(__xludf.DUMMYFUNCTION("""COMPUTED_VALUE"""),3.3541666666666665)</f>
        <v>3.354166667</v>
      </c>
      <c r="T106" s="30">
        <f>IFERROR(__xludf.DUMMYFUNCTION("""COMPUTED_VALUE"""),396.1259800865339)</f>
        <v>396.1259801</v>
      </c>
      <c r="U106" s="30">
        <f>IFERROR(__xludf.DUMMYFUNCTION("""COMPUTED_VALUE"""),0.9038348886527966)</f>
        <v>0.9038348887</v>
      </c>
      <c r="V106" s="30">
        <f>IFERROR(__xludf.DUMMYFUNCTION("""COMPUTED_VALUE"""),0.7204079017604701)</f>
        <v>0.7204079018</v>
      </c>
      <c r="W106" s="30">
        <f>IFERROR(__xludf.DUMMYFUNCTION("""COMPUTED_VALUE"""),1.5205648317554221)</f>
        <v>1.520564832</v>
      </c>
      <c r="X106" s="30">
        <f>IFERROR(__xludf.DUMMYFUNCTION("""COMPUTED_VALUE"""),2.918060731282705)</f>
        <v>2.918060731</v>
      </c>
      <c r="Y106" s="30">
        <f>IFERROR(__xludf.DUMMYFUNCTION("""COMPUTED_VALUE"""),381.56965017756977)</f>
        <v>381.5696502</v>
      </c>
      <c r="Z106" s="30">
        <f>IFERROR(__xludf.DUMMYFUNCTION("""COMPUTED_VALUE"""),0.822502535773129)</f>
        <v>0.8225025358</v>
      </c>
      <c r="AA106" s="30">
        <f>IFERROR(__xludf.DUMMYFUNCTION("""COMPUTED_VALUE"""),0.6446203844619143)</f>
        <v>0.6446203845</v>
      </c>
      <c r="AB106" s="30">
        <f>IFERROR(__xludf.DUMMYFUNCTION("""COMPUTED_VALUE"""),1.524530733003933)</f>
        <v>1.524530733</v>
      </c>
      <c r="AC106" s="30">
        <f>IFERROR(__xludf.DUMMYFUNCTION("""COMPUTED_VALUE"""),2.79016019358202)</f>
        <v>2.790160194</v>
      </c>
      <c r="AD106" s="30">
        <f>IFERROR(__xludf.DUMMYFUNCTION("""COMPUTED_VALUE"""),0.9785238417841768)</f>
        <v>0.9785238418</v>
      </c>
      <c r="AE106" s="30">
        <f>IFERROR(__xludf.DUMMYFUNCTION("""COMPUTED_VALUE"""),0.8738574882622039)</f>
        <v>0.8738574883</v>
      </c>
      <c r="AF106" s="30">
        <f>IFERROR(__xludf.DUMMYFUNCTION("""COMPUTED_VALUE"""),0.8726065969346241)</f>
        <v>0.8726065969</v>
      </c>
      <c r="AG106" s="30">
        <f>IFERROR(__xludf.DUMMYFUNCTION("""COMPUTED_VALUE"""),1.2503847634766456)</f>
        <v>1.250384763</v>
      </c>
      <c r="AH106" s="30">
        <f>IFERROR(__xludf.DUMMYFUNCTION("""COMPUTED_VALUE"""),0.9296061229624714)</f>
        <v>0.929606123</v>
      </c>
      <c r="AI106" s="30">
        <f>IFERROR(__xludf.DUMMYFUNCTION("""COMPUTED_VALUE"""),1.0359183373355736)</f>
        <v>1.035918337</v>
      </c>
      <c r="AJ106" s="30">
        <f>IFERROR(__xludf.DUMMYFUNCTION("""COMPUTED_VALUE"""),1.1524966337815463)</f>
        <v>1.152496634</v>
      </c>
      <c r="AK106" s="30">
        <f>IFERROR(__xludf.DUMMYFUNCTION("""COMPUTED_VALUE"""),1.171211473302996)</f>
        <v>1.171211473</v>
      </c>
      <c r="AL106" s="30">
        <f>IFERROR(__xludf.DUMMYFUNCTION("""COMPUTED_VALUE"""),0.8905681878117249)</f>
        <v>0.8905681878</v>
      </c>
      <c r="AM106" s="30">
        <f>IFERROR(__xludf.DUMMYFUNCTION("""COMPUTED_VALUE"""),1.1494506028297293)</f>
        <v>1.149450603</v>
      </c>
      <c r="AN106" s="30">
        <f>IFERROR(__xludf.DUMMYFUNCTION("""COMPUTED_VALUE"""),1.0123514234305773)</f>
        <v>1.012351423</v>
      </c>
      <c r="AO106" s="30">
        <f>IFERROR(__xludf.DUMMYFUNCTION("""COMPUTED_VALUE"""),0.9366004586608817)</f>
        <v>0.9366004587</v>
      </c>
      <c r="AP106" s="30">
        <f>IFERROR(__xludf.DUMMYFUNCTION("""COMPUTED_VALUE"""),0.8830222557593189)</f>
        <v>0.8830222558</v>
      </c>
      <c r="AQ106" s="30">
        <f>IFERROR(__xludf.DUMMYFUNCTION("""COMPUTED_VALUE"""),1.3023387780309623)</f>
        <v>1.302338778</v>
      </c>
      <c r="AR106" s="30">
        <f>IFERROR(__xludf.DUMMYFUNCTION("""COMPUTED_VALUE"""),0.9614229372905042)</f>
        <v>0.9614229373</v>
      </c>
      <c r="AS106" s="30">
        <f>IFERROR(__xludf.DUMMYFUNCTION("""COMPUTED_VALUE"""),72.0)</f>
        <v>72</v>
      </c>
      <c r="AT106" s="30">
        <f>IFERROR(__xludf.DUMMYFUNCTION("""COMPUTED_VALUE"""),0.36997977956386313)</f>
        <v>0.3699797796</v>
      </c>
      <c r="AU106" s="30">
        <f>IFERROR(__xludf.DUMMYFUNCTION("""COMPUTED_VALUE"""),2.734193742937691)</f>
        <v>2.734193743</v>
      </c>
      <c r="AV106" s="32">
        <f>IFERROR(__xludf.DUMMYFUNCTION("""COMPUTED_VALUE"""),42.81851372344461)</f>
        <v>42.81851372</v>
      </c>
      <c r="AW106" s="32">
        <f>IFERROR(__xludf.DUMMYFUNCTION("""COMPUTED_VALUE"""),-2.5842675770249985)</f>
        <v>-2.584267577</v>
      </c>
      <c r="AX106" s="32">
        <f>IFERROR(__xludf.DUMMYFUNCTION("""COMPUTED_VALUE"""),36.580760850656915)</f>
        <v>36.58076085</v>
      </c>
      <c r="AY106" s="32">
        <f>IFERROR(__xludf.DUMMYFUNCTION("""COMPUTED_VALUE"""),-3.3816526610689905)</f>
        <v>-3.381652661</v>
      </c>
      <c r="AZ106" s="30">
        <f>IFERROR(__xludf.DUMMYFUNCTION("""COMPUTED_VALUE"""),0.797385084043992)</f>
        <v>0.797385084</v>
      </c>
      <c r="BA106" s="30">
        <f>IFERROR(__xludf.DUMMYFUNCTION("""COMPUTED_VALUE"""),450.0)</f>
        <v>450</v>
      </c>
    </row>
    <row r="107">
      <c r="A107" s="30" t="str">
        <f>IFERROR(__xludf.DUMMYFUNCTION("""COMPUTED_VALUE"""),"Master")</f>
        <v>Master</v>
      </c>
      <c r="B107" s="30" t="str">
        <f>IFERROR(__xludf.DUMMYFUNCTION("""COMPUTED_VALUE"""),"RSC006405")</f>
        <v>RSC006405</v>
      </c>
      <c r="C107" s="30" t="str">
        <f>IFERROR(__xludf.DUMMYFUNCTION("""COMPUTED_VALUE"""),"Lil Panda")</f>
        <v>Lil Panda</v>
      </c>
      <c r="D107" s="30" t="str">
        <f>IFERROR(__xludf.DUMMYFUNCTION("""COMPUTED_VALUE"""),"Helicoprions")</f>
        <v>Helicoprions</v>
      </c>
      <c r="E107" s="30">
        <f>IFERROR(__xludf.DUMMYFUNCTION("""COMPUTED_VALUE"""),35.0)</f>
        <v>35</v>
      </c>
      <c r="F107" s="30">
        <f>IFERROR(__xludf.DUMMYFUNCTION("""COMPUTED_VALUE"""),23.0)</f>
        <v>23</v>
      </c>
      <c r="G107" s="30">
        <f>IFERROR(__xludf.DUMMYFUNCTION("""COMPUTED_VALUE"""),12.0)</f>
        <v>12</v>
      </c>
      <c r="H107" s="42">
        <f>IFERROR(__xludf.DUMMYFUNCTION("""COMPUTED_VALUE"""),0.6571428571428571)</f>
        <v>0.6571428571</v>
      </c>
      <c r="I107" s="42">
        <f>IFERROR(__xludf.DUMMYFUNCTION("""COMPUTED_VALUE"""),0.4111111111111111)</f>
        <v>0.4111111111</v>
      </c>
      <c r="J107" s="30">
        <f>IFERROR(__xludf.DUMMYFUNCTION("""COMPUTED_VALUE"""),383.22857142857146)</f>
        <v>383.2285714</v>
      </c>
      <c r="K107" s="30">
        <f>IFERROR(__xludf.DUMMYFUNCTION("""COMPUTED_VALUE"""),1.0571428571428572)</f>
        <v>1.057142857</v>
      </c>
      <c r="L107" s="30">
        <f>IFERROR(__xludf.DUMMYFUNCTION("""COMPUTED_VALUE"""),0.6571428571428571)</f>
        <v>0.6571428571</v>
      </c>
      <c r="M107" s="30">
        <f>IFERROR(__xludf.DUMMYFUNCTION("""COMPUTED_VALUE"""),1.2571428571428571)</f>
        <v>1.257142857</v>
      </c>
      <c r="N107" s="30">
        <f>IFERROR(__xludf.DUMMYFUNCTION("""COMPUTED_VALUE"""),2.5714285714285716)</f>
        <v>2.571428571</v>
      </c>
      <c r="O107" s="30">
        <f>IFERROR(__xludf.DUMMYFUNCTION("""COMPUTED_VALUE"""),372.4952380952381)</f>
        <v>372.4952381</v>
      </c>
      <c r="P107" s="30">
        <f>IFERROR(__xludf.DUMMYFUNCTION("""COMPUTED_VALUE"""),0.7333333333333331)</f>
        <v>0.7333333333</v>
      </c>
      <c r="Q107" s="30">
        <f>IFERROR(__xludf.DUMMYFUNCTION("""COMPUTED_VALUE"""),0.561904761904762)</f>
        <v>0.5619047619</v>
      </c>
      <c r="R107" s="30">
        <f>IFERROR(__xludf.DUMMYFUNCTION("""COMPUTED_VALUE"""),1.5809523809523809)</f>
        <v>1.580952381</v>
      </c>
      <c r="S107" s="30">
        <f>IFERROR(__xludf.DUMMYFUNCTION("""COMPUTED_VALUE"""),2.504761904761905)</f>
        <v>2.504761905</v>
      </c>
      <c r="T107" s="30">
        <f>IFERROR(__xludf.DUMMYFUNCTION("""COMPUTED_VALUE"""),374.0767662865946)</f>
        <v>374.0767663</v>
      </c>
      <c r="U107" s="30">
        <f>IFERROR(__xludf.DUMMYFUNCTION("""COMPUTED_VALUE"""),0.7973390590766668)</f>
        <v>0.7973390591</v>
      </c>
      <c r="V107" s="30">
        <f>IFERROR(__xludf.DUMMYFUNCTION("""COMPUTED_VALUE"""),0.6143968989952298)</f>
        <v>0.614396899</v>
      </c>
      <c r="W107" s="30">
        <f>IFERROR(__xludf.DUMMYFUNCTION("""COMPUTED_VALUE"""),1.5314778568257403)</f>
        <v>1.531477857</v>
      </c>
      <c r="X107" s="30">
        <f>IFERROR(__xludf.DUMMYFUNCTION("""COMPUTED_VALUE"""),2.751728177795922)</f>
        <v>2.751728178</v>
      </c>
      <c r="Y107" s="30">
        <f>IFERROR(__xludf.DUMMYFUNCTION("""COMPUTED_VALUE"""),395.504728291902)</f>
        <v>395.5047283</v>
      </c>
      <c r="Z107" s="30">
        <f>IFERROR(__xludf.DUMMYFUNCTION("""COMPUTED_VALUE"""),0.9101118356915562)</f>
        <v>0.9101118357</v>
      </c>
      <c r="AA107" s="30">
        <f>IFERROR(__xludf.DUMMYFUNCTION("""COMPUTED_VALUE"""),0.7049911395382499)</f>
        <v>0.7049911395</v>
      </c>
      <c r="AB107" s="30">
        <f>IFERROR(__xludf.DUMMYFUNCTION("""COMPUTED_VALUE"""),1.5231041295751306)</f>
        <v>1.52310413</v>
      </c>
      <c r="AC107" s="30">
        <f>IFERROR(__xludf.DUMMYFUNCTION("""COMPUTED_VALUE"""),2.91057556584602)</f>
        <v>2.910575566</v>
      </c>
      <c r="AD107" s="30">
        <f>IFERROR(__xludf.DUMMYFUNCTION("""COMPUTED_VALUE"""),0.9689607835629461)</f>
        <v>0.9689607836</v>
      </c>
      <c r="AE107" s="30">
        <f>IFERROR(__xludf.DUMMYFUNCTION("""COMPUTED_VALUE"""),1.1615526968062977)</f>
        <v>1.161552697</v>
      </c>
      <c r="AF107" s="30">
        <f>IFERROR(__xludf.DUMMYFUNCTION("""COMPUTED_VALUE"""),0.9321292428912907)</f>
        <v>0.9321292429</v>
      </c>
      <c r="AG107" s="30">
        <f>IFERROR(__xludf.DUMMYFUNCTION("""COMPUTED_VALUE"""),0.8253820817185603)</f>
        <v>0.8253820817</v>
      </c>
      <c r="AH107" s="30">
        <f>IFERROR(__xludf.DUMMYFUNCTION("""COMPUTED_VALUE"""),0.8834776879194792)</f>
        <v>0.8834776879</v>
      </c>
      <c r="AI107" s="30">
        <f>IFERROR(__xludf.DUMMYFUNCTION("""COMPUTED_VALUE"""),0.9957721827873565)</f>
        <v>0.9957721828</v>
      </c>
      <c r="AJ107" s="30">
        <f>IFERROR(__xludf.DUMMYFUNCTION("""COMPUTED_VALUE"""),0.919725836813446)</f>
        <v>0.9197258368</v>
      </c>
      <c r="AK107" s="30">
        <f>IFERROR(__xludf.DUMMYFUNCTION("""COMPUTED_VALUE"""),0.9145631477367282)</f>
        <v>0.9145631477</v>
      </c>
      <c r="AL107" s="30">
        <f>IFERROR(__xludf.DUMMYFUNCTION("""COMPUTED_VALUE"""),1.0323050861663683)</f>
        <v>1.032305086</v>
      </c>
      <c r="AM107" s="30">
        <f>IFERROR(__xludf.DUMMYFUNCTION("""COMPUTED_VALUE"""),0.9102504836681101)</f>
        <v>0.9102504837</v>
      </c>
      <c r="AN107" s="30">
        <f>IFERROR(__xludf.DUMMYFUNCTION("""COMPUTED_VALUE"""),1.039067933806444)</f>
        <v>1.039067934</v>
      </c>
      <c r="AO107" s="30">
        <f>IFERROR(__xludf.DUMMYFUNCTION("""COMPUTED_VALUE"""),1.3775589354714086)</f>
        <v>1.377558935</v>
      </c>
      <c r="AP107" s="30">
        <f>IFERROR(__xludf.DUMMYFUNCTION("""COMPUTED_VALUE"""),1.0315942543473948)</f>
        <v>1.031594254</v>
      </c>
      <c r="AQ107" s="30">
        <f>IFERROR(__xludf.DUMMYFUNCTION("""COMPUTED_VALUE"""),0.8588725992822458)</f>
        <v>0.8588725993</v>
      </c>
      <c r="AR107" s="30">
        <f>IFERROR(__xludf.DUMMYFUNCTION("""COMPUTED_VALUE"""),0.9531490738026343)</f>
        <v>0.9531490738</v>
      </c>
      <c r="AS107" s="30">
        <f>IFERROR(__xludf.DUMMYFUNCTION("""COMPUTED_VALUE"""),94.0)</f>
        <v>94</v>
      </c>
      <c r="AT107" s="30">
        <f>IFERROR(__xludf.DUMMYFUNCTION("""COMPUTED_VALUE"""),0.5779870660702063)</f>
        <v>0.5779870661</v>
      </c>
      <c r="AU107" s="30">
        <f>IFERROR(__xludf.DUMMYFUNCTION("""COMPUTED_VALUE"""),3.4980787281417864)</f>
        <v>3.498078728</v>
      </c>
      <c r="AV107" s="32">
        <f>IFERROR(__xludf.DUMMYFUNCTION("""COMPUTED_VALUE"""),61.483741926399446)</f>
        <v>61.48374193</v>
      </c>
      <c r="AW107" s="32">
        <f>IFERROR(__xludf.DUMMYFUNCTION("""COMPUTED_VALUE"""),3.096056326464897)</f>
        <v>3.096056326</v>
      </c>
      <c r="AX107" s="32">
        <f>IFERROR(__xludf.DUMMYFUNCTION("""COMPUTED_VALUE"""),54.09269803530307)</f>
        <v>54.09269804</v>
      </c>
      <c r="AY107" s="32">
        <f>IFERROR(__xludf.DUMMYFUNCTION("""COMPUTED_VALUE"""),2.2989534164111123)</f>
        <v>2.298953416</v>
      </c>
      <c r="AZ107" s="30">
        <f>IFERROR(__xludf.DUMMYFUNCTION("""COMPUTED_VALUE"""),0.7971029100537845)</f>
        <v>0.7971029101</v>
      </c>
      <c r="BA107" s="30">
        <f>IFERROR(__xludf.DUMMYFUNCTION("""COMPUTED_VALUE"""),450.0)</f>
        <v>450</v>
      </c>
    </row>
    <row r="108">
      <c r="A108" s="30" t="str">
        <f>IFERROR(__xludf.DUMMYFUNCTION("""COMPUTED_VALUE"""),"Master")</f>
        <v>Master</v>
      </c>
      <c r="B108" s="30" t="str">
        <f>IFERROR(__xludf.DUMMYFUNCTION("""COMPUTED_VALUE"""),"RSC007858")</f>
        <v>RSC007858</v>
      </c>
      <c r="C108" s="30" t="str">
        <f>IFERROR(__xludf.DUMMYFUNCTION("""COMPUTED_VALUE"""),"Patty")</f>
        <v>Patty</v>
      </c>
      <c r="D108" s="30" t="str">
        <f>IFERROR(__xludf.DUMMYFUNCTION("""COMPUTED_VALUE"""),"Phantom Phreaks")</f>
        <v>Phantom Phreaks</v>
      </c>
      <c r="E108" s="30">
        <f>IFERROR(__xludf.DUMMYFUNCTION("""COMPUTED_VALUE"""),36.0)</f>
        <v>36</v>
      </c>
      <c r="F108" s="30">
        <f>IFERROR(__xludf.DUMMYFUNCTION("""COMPUTED_VALUE"""),25.0)</f>
        <v>25</v>
      </c>
      <c r="G108" s="30">
        <f>IFERROR(__xludf.DUMMYFUNCTION("""COMPUTED_VALUE"""),11.0)</f>
        <v>11</v>
      </c>
      <c r="H108" s="42">
        <f>IFERROR(__xludf.DUMMYFUNCTION("""COMPUTED_VALUE"""),0.6944444444444444)</f>
        <v>0.6944444444</v>
      </c>
      <c r="I108" s="42">
        <f>IFERROR(__xludf.DUMMYFUNCTION("""COMPUTED_VALUE"""),0.24615384615384614)</f>
        <v>0.2461538462</v>
      </c>
      <c r="J108" s="30">
        <f>IFERROR(__xludf.DUMMYFUNCTION("""COMPUTED_VALUE"""),437.8611111111111)</f>
        <v>437.8611111</v>
      </c>
      <c r="K108" s="30">
        <f>IFERROR(__xludf.DUMMYFUNCTION("""COMPUTED_VALUE"""),0.8888888888888888)</f>
        <v>0.8888888889</v>
      </c>
      <c r="L108" s="30">
        <f>IFERROR(__xludf.DUMMYFUNCTION("""COMPUTED_VALUE"""),0.6944444444444444)</f>
        <v>0.6944444444</v>
      </c>
      <c r="M108" s="30">
        <f>IFERROR(__xludf.DUMMYFUNCTION("""COMPUTED_VALUE"""),1.6388888888888888)</f>
        <v>1.638888889</v>
      </c>
      <c r="N108" s="30">
        <f>IFERROR(__xludf.DUMMYFUNCTION("""COMPUTED_VALUE"""),3.611111111111111)</f>
        <v>3.611111111</v>
      </c>
      <c r="O108" s="30">
        <f>IFERROR(__xludf.DUMMYFUNCTION("""COMPUTED_VALUE"""),384.4537037037037)</f>
        <v>384.4537037</v>
      </c>
      <c r="P108" s="30">
        <f>IFERROR(__xludf.DUMMYFUNCTION("""COMPUTED_VALUE"""),0.712962962962963)</f>
        <v>0.712962963</v>
      </c>
      <c r="Q108" s="30">
        <f>IFERROR(__xludf.DUMMYFUNCTION("""COMPUTED_VALUE"""),0.5462962962962963)</f>
        <v>0.5462962963</v>
      </c>
      <c r="R108" s="30">
        <f>IFERROR(__xludf.DUMMYFUNCTION("""COMPUTED_VALUE"""),1.7129629629629628)</f>
        <v>1.712962963</v>
      </c>
      <c r="S108" s="30">
        <f>IFERROR(__xludf.DUMMYFUNCTION("""COMPUTED_VALUE"""),2.5277777777777772)</f>
        <v>2.527777778</v>
      </c>
      <c r="T108" s="30">
        <f>IFERROR(__xludf.DUMMYFUNCTION("""COMPUTED_VALUE"""),376.1445465356494)</f>
        <v>376.1445465</v>
      </c>
      <c r="U108" s="30">
        <f>IFERROR(__xludf.DUMMYFUNCTION("""COMPUTED_VALUE"""),0.8056534599103592)</f>
        <v>0.8056534599</v>
      </c>
      <c r="V108" s="30">
        <f>IFERROR(__xludf.DUMMYFUNCTION("""COMPUTED_VALUE"""),0.6259961242584515)</f>
        <v>0.6259961243</v>
      </c>
      <c r="W108" s="30">
        <f>IFERROR(__xludf.DUMMYFUNCTION("""COMPUTED_VALUE"""),1.5000743729198946)</f>
        <v>1.500074373</v>
      </c>
      <c r="X108" s="30">
        <f>IFERROR(__xludf.DUMMYFUNCTION("""COMPUTED_VALUE"""),2.703470733278399)</f>
        <v>2.703470733</v>
      </c>
      <c r="Y108" s="30">
        <f>IFERROR(__xludf.DUMMYFUNCTION("""COMPUTED_VALUE"""),389.7931461023975)</f>
        <v>389.7931461</v>
      </c>
      <c r="Z108" s="30">
        <f>IFERROR(__xludf.DUMMYFUNCTION("""COMPUTED_VALUE"""),0.8920677034397949)</f>
        <v>0.8920677034</v>
      </c>
      <c r="AA108" s="30">
        <f>IFERROR(__xludf.DUMMYFUNCTION("""COMPUTED_VALUE"""),0.6801301002483976)</f>
        <v>0.6801301002</v>
      </c>
      <c r="AB108" s="30">
        <f>IFERROR(__xludf.DUMMYFUNCTION("""COMPUTED_VALUE"""),1.4653220206463256)</f>
        <v>1.465322021</v>
      </c>
      <c r="AC108" s="30">
        <f>IFERROR(__xludf.DUMMYFUNCTION("""COMPUTED_VALUE"""),2.8779776177798246)</f>
        <v>2.877977618</v>
      </c>
      <c r="AD108" s="30">
        <f>IFERROR(__xludf.DUMMYFUNCTION("""COMPUTED_VALUE"""),1.1233165987892622)</f>
        <v>1.123316599</v>
      </c>
      <c r="AE108" s="30">
        <f>IFERROR(__xludf.DUMMYFUNCTION("""COMPUTED_VALUE"""),0.99643657702364)</f>
        <v>0.996436577</v>
      </c>
      <c r="AF108" s="30">
        <f>IFERROR(__xludf.DUMMYFUNCTION("""COMPUTED_VALUE"""),1.021046479476234)</f>
        <v>1.021046479</v>
      </c>
      <c r="AG108" s="30">
        <f>IFERROR(__xludf.DUMMYFUNCTION("""COMPUTED_VALUE"""),1.1184496416466916)</f>
        <v>1.118449642</v>
      </c>
      <c r="AH108" s="30">
        <f>IFERROR(__xludf.DUMMYFUNCTION("""COMPUTED_VALUE"""),1.2547391226401725)</f>
        <v>1.254739123</v>
      </c>
      <c r="AI108" s="30">
        <f>IFERROR(__xludf.DUMMYFUNCTION("""COMPUTED_VALUE"""),1.022090330019624)</f>
        <v>1.02209033</v>
      </c>
      <c r="AJ108" s="30">
        <f>IFERROR(__xludf.DUMMYFUNCTION("""COMPUTED_VALUE"""),0.8849499176014097)</f>
        <v>0.8849499176</v>
      </c>
      <c r="AK108" s="30">
        <f>IFERROR(__xludf.DUMMYFUNCTION("""COMPUTED_VALUE"""),0.8726831926370681)</f>
        <v>0.8726831926</v>
      </c>
      <c r="AL108" s="30">
        <f>IFERROR(__xludf.DUMMYFUNCTION("""COMPUTED_VALUE"""),1.1419186900904656)</f>
        <v>1.14191869</v>
      </c>
      <c r="AM108" s="30">
        <f>IFERROR(__xludf.DUMMYFUNCTION("""COMPUTED_VALUE"""),0.9350120741689829)</f>
        <v>0.9350120742</v>
      </c>
      <c r="AN108" s="30">
        <f>IFERROR(__xludf.DUMMYFUNCTION("""COMPUTED_VALUE"""),1.1871960337414864)</f>
        <v>1.187196034</v>
      </c>
      <c r="AO108" s="30">
        <f>IFERROR(__xludf.DUMMYFUNCTION("""COMPUTED_VALUE"""),1.1583078136095928)</f>
        <v>1.158307814</v>
      </c>
      <c r="AP108" s="30">
        <f>IFERROR(__xludf.DUMMYFUNCTION("""COMPUTED_VALUE"""),1.090150933036196)</f>
        <v>1.090150933</v>
      </c>
      <c r="AQ108" s="30">
        <f>IFERROR(__xludf.DUMMYFUNCTION("""COMPUTED_VALUE"""),1.1196792408572207)</f>
        <v>1.119679241</v>
      </c>
      <c r="AR108" s="30">
        <f>IFERROR(__xludf.DUMMYFUNCTION("""COMPUTED_VALUE"""),1.3385272487043165)</f>
        <v>1.338527249</v>
      </c>
      <c r="AS108" s="30">
        <f>IFERROR(__xludf.DUMMYFUNCTION("""COMPUTED_VALUE"""),106.0)</f>
        <v>106</v>
      </c>
      <c r="AT108" s="30">
        <f>IFERROR(__xludf.DUMMYFUNCTION("""COMPUTED_VALUE"""),0.6247368425663056)</f>
        <v>0.6247368426</v>
      </c>
      <c r="AU108" s="30">
        <f>IFERROR(__xludf.DUMMYFUNCTION("""COMPUTED_VALUE"""),3.816815921344488)</f>
        <v>3.816815921</v>
      </c>
      <c r="AV108" s="32">
        <f>IFERROR(__xludf.DUMMYFUNCTION("""COMPUTED_VALUE"""),69.27195947633359)</f>
        <v>69.27195948</v>
      </c>
      <c r="AW108" s="32">
        <f>IFERROR(__xludf.DUMMYFUNCTION("""COMPUTED_VALUE"""),4.537421003646366)</f>
        <v>4.537421004</v>
      </c>
      <c r="AX108" s="32">
        <f>IFERROR(__xludf.DUMMYFUNCTION("""COMPUTED_VALUE"""),66.29233319537423)</f>
        <v>66.2923332</v>
      </c>
      <c r="AY108" s="32">
        <f>IFERROR(__xludf.DUMMYFUNCTION("""COMPUTED_VALUE"""),3.8865211404015407)</f>
        <v>3.88652114</v>
      </c>
      <c r="AZ108" s="30">
        <f>IFERROR(__xludf.DUMMYFUNCTION("""COMPUTED_VALUE"""),0.6508998632448253)</f>
        <v>0.6508998632</v>
      </c>
      <c r="BA108" s="30">
        <f>IFERROR(__xludf.DUMMYFUNCTION("""COMPUTED_VALUE"""),450.0)</f>
        <v>450</v>
      </c>
    </row>
    <row r="109">
      <c r="A109" s="30" t="str">
        <f>IFERROR(__xludf.DUMMYFUNCTION("""COMPUTED_VALUE"""),"Master")</f>
        <v>Master</v>
      </c>
      <c r="B109" s="30" t="str">
        <f>IFERROR(__xludf.DUMMYFUNCTION("""COMPUTED_VALUE"""),"RSC007282")</f>
        <v>RSC007282</v>
      </c>
      <c r="C109" s="30" t="str">
        <f>IFERROR(__xludf.DUMMYFUNCTION("""COMPUTED_VALUE"""),"kRs^^")</f>
        <v>kRs^^</v>
      </c>
      <c r="D109" s="30" t="str">
        <f>IFERROR(__xludf.DUMMYFUNCTION("""COMPUTED_VALUE"""),"Helicoprions")</f>
        <v>Helicoprions</v>
      </c>
      <c r="E109" s="30">
        <f>IFERROR(__xludf.DUMMYFUNCTION("""COMPUTED_VALUE"""),13.0)</f>
        <v>13</v>
      </c>
      <c r="F109" s="30">
        <f>IFERROR(__xludf.DUMMYFUNCTION("""COMPUTED_VALUE"""),7.0)</f>
        <v>7</v>
      </c>
      <c r="G109" s="30">
        <f>IFERROR(__xludf.DUMMYFUNCTION("""COMPUTED_VALUE"""),6.0)</f>
        <v>6</v>
      </c>
      <c r="H109" s="42">
        <f>IFERROR(__xludf.DUMMYFUNCTION("""COMPUTED_VALUE"""),0.5384615384615384)</f>
        <v>0.5384615385</v>
      </c>
      <c r="I109" s="42">
        <f>IFERROR(__xludf.DUMMYFUNCTION("""COMPUTED_VALUE"""),0.32558139534883723)</f>
        <v>0.3255813953</v>
      </c>
      <c r="J109" s="30">
        <f>IFERROR(__xludf.DUMMYFUNCTION("""COMPUTED_VALUE"""),386.46153846153845)</f>
        <v>386.4615385</v>
      </c>
      <c r="K109" s="30">
        <f>IFERROR(__xludf.DUMMYFUNCTION("""COMPUTED_VALUE"""),1.0769230769230769)</f>
        <v>1.076923077</v>
      </c>
      <c r="L109" s="30">
        <f>IFERROR(__xludf.DUMMYFUNCTION("""COMPUTED_VALUE"""),0.5384615384615384)</f>
        <v>0.5384615385</v>
      </c>
      <c r="M109" s="30">
        <f>IFERROR(__xludf.DUMMYFUNCTION("""COMPUTED_VALUE"""),1.2307692307692308)</f>
        <v>1.230769231</v>
      </c>
      <c r="N109" s="30">
        <f>IFERROR(__xludf.DUMMYFUNCTION("""COMPUTED_VALUE"""),3.3076923076923075)</f>
        <v>3.307692308</v>
      </c>
      <c r="O109" s="30">
        <f>IFERROR(__xludf.DUMMYFUNCTION("""COMPUTED_VALUE"""),405.974358974359)</f>
        <v>405.974359</v>
      </c>
      <c r="P109" s="30">
        <f>IFERROR(__xludf.DUMMYFUNCTION("""COMPUTED_VALUE"""),0.9743589743589745)</f>
        <v>0.9743589744</v>
      </c>
      <c r="Q109" s="30">
        <f>IFERROR(__xludf.DUMMYFUNCTION("""COMPUTED_VALUE"""),0.769230769230769)</f>
        <v>0.7692307692</v>
      </c>
      <c r="R109" s="30">
        <f>IFERROR(__xludf.DUMMYFUNCTION("""COMPUTED_VALUE"""),1.358974358974359)</f>
        <v>1.358974359</v>
      </c>
      <c r="S109" s="30">
        <f>IFERROR(__xludf.DUMMYFUNCTION("""COMPUTED_VALUE"""),2.9999999999999996)</f>
        <v>3</v>
      </c>
      <c r="T109" s="30">
        <f>IFERROR(__xludf.DUMMYFUNCTION("""COMPUTED_VALUE"""),389.60664999145905)</f>
        <v>389.60665</v>
      </c>
      <c r="U109" s="30">
        <f>IFERROR(__xludf.DUMMYFUNCTION("""COMPUTED_VALUE"""),0.8654416471287446)</f>
        <v>0.8654416471</v>
      </c>
      <c r="V109" s="30">
        <f>IFERROR(__xludf.DUMMYFUNCTION("""COMPUTED_VALUE"""),0.66295316035152)</f>
        <v>0.6629531604</v>
      </c>
      <c r="W109" s="30">
        <f>IFERROR(__xludf.DUMMYFUNCTION("""COMPUTED_VALUE"""),1.5127754902624824)</f>
        <v>1.51277549</v>
      </c>
      <c r="X109" s="30">
        <f>IFERROR(__xludf.DUMMYFUNCTION("""COMPUTED_VALUE"""),2.9136211952201014)</f>
        <v>2.913621195</v>
      </c>
      <c r="Y109" s="30">
        <f>IFERROR(__xludf.DUMMYFUNCTION("""COMPUTED_VALUE"""),395.2315311388334)</f>
        <v>395.2315311</v>
      </c>
      <c r="Z109" s="30">
        <f>IFERROR(__xludf.DUMMYFUNCTION("""COMPUTED_VALUE"""),0.8757300555592586)</f>
        <v>0.8757300556</v>
      </c>
      <c r="AA109" s="30">
        <f>IFERROR(__xludf.DUMMYFUNCTION("""COMPUTED_VALUE"""),0.6821364300492382)</f>
        <v>0.68213643</v>
      </c>
      <c r="AB109" s="30">
        <f>IFERROR(__xludf.DUMMYFUNCTION("""COMPUTED_VALUE"""),1.5752064772995487)</f>
        <v>1.575206477</v>
      </c>
      <c r="AC109" s="30">
        <f>IFERROR(__xludf.DUMMYFUNCTION("""COMPUTED_VALUE"""),2.8725609333761133)</f>
        <v>2.872560933</v>
      </c>
      <c r="AD109" s="30">
        <f>IFERROR(__xludf.DUMMYFUNCTION("""COMPUTED_VALUE"""),0.9778104933783375)</f>
        <v>0.9778104934</v>
      </c>
      <c r="AE109" s="30">
        <f>IFERROR(__xludf.DUMMYFUNCTION("""COMPUTED_VALUE"""),1.2297431955048435)</f>
        <v>1.229743196</v>
      </c>
      <c r="AF109" s="30">
        <f>IFERROR(__xludf.DUMMYFUNCTION("""COMPUTED_VALUE"""),0.7893751377897689)</f>
        <v>0.7893751378</v>
      </c>
      <c r="AG109" s="30">
        <f>IFERROR(__xludf.DUMMYFUNCTION("""COMPUTED_VALUE"""),0.7813383505629033)</f>
        <v>0.7813383506</v>
      </c>
      <c r="AH109" s="30">
        <f>IFERROR(__xludf.DUMMYFUNCTION("""COMPUTED_VALUE"""),1.1514785532520577)</f>
        <v>1.151478553</v>
      </c>
      <c r="AI109" s="30">
        <f>IFERROR(__xludf.DUMMYFUNCTION("""COMPUTED_VALUE"""),1.0420108562912331)</f>
        <v>1.042010856</v>
      </c>
      <c r="AJ109" s="30">
        <f>IFERROR(__xludf.DUMMYFUNCTION("""COMPUTED_VALUE"""),1.125851728526796)</f>
        <v>1.125851729</v>
      </c>
      <c r="AK109" s="30">
        <f>IFERROR(__xludf.DUMMYFUNCTION("""COMPUTED_VALUE"""),1.1603093781510856)</f>
        <v>1.160309378</v>
      </c>
      <c r="AL109" s="30">
        <f>IFERROR(__xludf.DUMMYFUNCTION("""COMPUTED_VALUE"""),0.8983318197061501)</f>
        <v>0.8983318197</v>
      </c>
      <c r="AM109" s="30">
        <f>IFERROR(__xludf.DUMMYFUNCTION("""COMPUTED_VALUE"""),1.0296465459963038)</f>
        <v>1.029646546</v>
      </c>
      <c r="AN109" s="30">
        <f>IFERROR(__xludf.DUMMYFUNCTION("""COMPUTED_VALUE"""),1.047833648644685)</f>
        <v>1.047833649</v>
      </c>
      <c r="AO109" s="30">
        <f>IFERROR(__xludf.DUMMYFUNCTION("""COMPUTED_VALUE"""),1.4033344664885452)</f>
        <v>1.403334466</v>
      </c>
      <c r="AP109" s="30">
        <f>IFERROR(__xludf.DUMMYFUNCTION("""COMPUTED_VALUE"""),0.8452862619234505)</f>
        <v>0.8452862619</v>
      </c>
      <c r="AQ109" s="30">
        <f>IFERROR(__xludf.DUMMYFUNCTION("""COMPUTED_VALUE"""),0.8408542930035974)</f>
        <v>0.840854293</v>
      </c>
      <c r="AR109" s="30">
        <f>IFERROR(__xludf.DUMMYFUNCTION("""COMPUTED_VALUE"""),1.2260592786948412)</f>
        <v>1.226059279</v>
      </c>
      <c r="AS109" s="30">
        <f>IFERROR(__xludf.DUMMYFUNCTION("""COMPUTED_VALUE"""),34.0)</f>
        <v>34</v>
      </c>
      <c r="AT109" s="30">
        <f>IFERROR(__xludf.DUMMYFUNCTION("""COMPUTED_VALUE"""),0.4546785367468546)</f>
        <v>0.4546785367</v>
      </c>
      <c r="AU109" s="30">
        <f>IFERROR(__xludf.DUMMYFUNCTION("""COMPUTED_VALUE"""),3.438926187731884)</f>
        <v>3.438926188</v>
      </c>
      <c r="AV109" s="32">
        <f>IFERROR(__xludf.DUMMYFUNCTION("""COMPUTED_VALUE"""),60.03837294164275)</f>
        <v>60.03837294</v>
      </c>
      <c r="AW109" s="32">
        <f>IFERROR(__xludf.DUMMYFUNCTION("""COMPUTED_VALUE"""),2.906865474118248)</f>
        <v>2.906865474</v>
      </c>
      <c r="AX109" s="32">
        <f>IFERROR(__xludf.DUMMYFUNCTION("""COMPUTED_VALUE"""),54.486178876069424)</f>
        <v>54.48617888</v>
      </c>
      <c r="AY109" s="32">
        <f>IFERROR(__xludf.DUMMYFUNCTION("""COMPUTED_VALUE"""),2.3321259702953197)</f>
        <v>2.33212597</v>
      </c>
      <c r="AZ109" s="30">
        <f>IFERROR(__xludf.DUMMYFUNCTION("""COMPUTED_VALUE"""),0.5747395038229284)</f>
        <v>0.5747395038</v>
      </c>
      <c r="BA109" s="30">
        <f>IFERROR(__xludf.DUMMYFUNCTION("""COMPUTED_VALUE"""),450.0)</f>
        <v>450</v>
      </c>
    </row>
    <row r="110">
      <c r="A110" s="30" t="str">
        <f>IFERROR(__xludf.DUMMYFUNCTION("""COMPUTED_VALUE"""),"Master")</f>
        <v>Master</v>
      </c>
      <c r="B110" s="30" t="str">
        <f>IFERROR(__xludf.DUMMYFUNCTION("""COMPUTED_VALUE"""),"RSC007466")</f>
        <v>RSC007466</v>
      </c>
      <c r="C110" s="30" t="str">
        <f>IFERROR(__xludf.DUMMYFUNCTION("""COMPUTED_VALUE"""),"Viiper :)")</f>
        <v>Viiper :)</v>
      </c>
      <c r="D110" s="30" t="str">
        <f>IFERROR(__xludf.DUMMYFUNCTION("""COMPUTED_VALUE"""),"Phantom Phreaks")</f>
        <v>Phantom Phreaks</v>
      </c>
      <c r="E110" s="30">
        <f>IFERROR(__xludf.DUMMYFUNCTION("""COMPUTED_VALUE"""),24.0)</f>
        <v>24</v>
      </c>
      <c r="F110" s="30">
        <f>IFERROR(__xludf.DUMMYFUNCTION("""COMPUTED_VALUE"""),17.0)</f>
        <v>17</v>
      </c>
      <c r="G110" s="30">
        <f>IFERROR(__xludf.DUMMYFUNCTION("""COMPUTED_VALUE"""),7.0)</f>
        <v>7</v>
      </c>
      <c r="H110" s="42">
        <f>IFERROR(__xludf.DUMMYFUNCTION("""COMPUTED_VALUE"""),0.7083333333333334)</f>
        <v>0.7083333333</v>
      </c>
      <c r="I110" s="42">
        <f>IFERROR(__xludf.DUMMYFUNCTION("""COMPUTED_VALUE"""),0.22499999999999998)</f>
        <v>0.225</v>
      </c>
      <c r="J110" s="30">
        <f>IFERROR(__xludf.DUMMYFUNCTION("""COMPUTED_VALUE"""),417.5)</f>
        <v>417.5</v>
      </c>
      <c r="K110" s="30">
        <f>IFERROR(__xludf.DUMMYFUNCTION("""COMPUTED_VALUE"""),0.75)</f>
        <v>0.75</v>
      </c>
      <c r="L110" s="30">
        <f>IFERROR(__xludf.DUMMYFUNCTION("""COMPUTED_VALUE"""),0.875)</f>
        <v>0.875</v>
      </c>
      <c r="M110" s="30">
        <f>IFERROR(__xludf.DUMMYFUNCTION("""COMPUTED_VALUE"""),1.6666666666666667)</f>
        <v>1.666666667</v>
      </c>
      <c r="N110" s="30">
        <f>IFERROR(__xludf.DUMMYFUNCTION("""COMPUTED_VALUE"""),3.3333333333333335)</f>
        <v>3.333333333</v>
      </c>
      <c r="O110" s="30">
        <f>IFERROR(__xludf.DUMMYFUNCTION("""COMPUTED_VALUE"""),385.59722222222223)</f>
        <v>385.5972222</v>
      </c>
      <c r="P110" s="30">
        <f>IFERROR(__xludf.DUMMYFUNCTION("""COMPUTED_VALUE"""),0.7083333333333331)</f>
        <v>0.7083333333</v>
      </c>
      <c r="Q110" s="30">
        <f>IFERROR(__xludf.DUMMYFUNCTION("""COMPUTED_VALUE"""),0.5972222222222222)</f>
        <v>0.5972222222</v>
      </c>
      <c r="R110" s="30">
        <f>IFERROR(__xludf.DUMMYFUNCTION("""COMPUTED_VALUE"""),1.736111111111111)</f>
        <v>1.736111111</v>
      </c>
      <c r="S110" s="30">
        <f>IFERROR(__xludf.DUMMYFUNCTION("""COMPUTED_VALUE"""),2.5)</f>
        <v>2.5</v>
      </c>
      <c r="T110" s="30">
        <f>IFERROR(__xludf.DUMMYFUNCTION("""COMPUTED_VALUE"""),380.8661915736795)</f>
        <v>380.8661916</v>
      </c>
      <c r="U110" s="30">
        <f>IFERROR(__xludf.DUMMYFUNCTION("""COMPUTED_VALUE"""),0.8402009767946588)</f>
        <v>0.8402009768</v>
      </c>
      <c r="V110" s="30">
        <f>IFERROR(__xludf.DUMMYFUNCTION("""COMPUTED_VALUE"""),0.6320029908548148)</f>
        <v>0.6320029909</v>
      </c>
      <c r="W110" s="30">
        <f>IFERROR(__xludf.DUMMYFUNCTION("""COMPUTED_VALUE"""),1.5048252099268264)</f>
        <v>1.50482521</v>
      </c>
      <c r="X110" s="30">
        <f>IFERROR(__xludf.DUMMYFUNCTION("""COMPUTED_VALUE"""),2.7658093469791782)</f>
        <v>2.765809347</v>
      </c>
      <c r="Y110" s="30">
        <f>IFERROR(__xludf.DUMMYFUNCTION("""COMPUTED_VALUE"""),386.13095059448045)</f>
        <v>386.1309506</v>
      </c>
      <c r="Z110" s="30">
        <f>IFERROR(__xludf.DUMMYFUNCTION("""COMPUTED_VALUE"""),0.8852873169287879)</f>
        <v>0.8852873169</v>
      </c>
      <c r="AA110" s="30">
        <f>IFERROR(__xludf.DUMMYFUNCTION("""COMPUTED_VALUE"""),0.6736555659857899)</f>
        <v>0.673655566</v>
      </c>
      <c r="AB110" s="30">
        <f>IFERROR(__xludf.DUMMYFUNCTION("""COMPUTED_VALUE"""),1.4744563904289594)</f>
        <v>1.47445639</v>
      </c>
      <c r="AC110" s="30">
        <f>IFERROR(__xludf.DUMMYFUNCTION("""COMPUTED_VALUE"""),2.8298456898962208)</f>
        <v>2.82984569</v>
      </c>
      <c r="AD110" s="30">
        <f>IFERROR(__xludf.DUMMYFUNCTION("""COMPUTED_VALUE"""),1.0812394068831424)</f>
        <v>1.081239407</v>
      </c>
      <c r="AE110" s="30">
        <f>IFERROR(__xludf.DUMMYFUNCTION("""COMPUTED_VALUE"""),0.8471825876845016)</f>
        <v>0.8471825877</v>
      </c>
      <c r="AF110" s="30">
        <f>IFERROR(__xludf.DUMMYFUNCTION("""COMPUTED_VALUE"""),1.2988833525327945)</f>
        <v>1.298883353</v>
      </c>
      <c r="AG110" s="30">
        <f>IFERROR(__xludf.DUMMYFUNCTION("""COMPUTED_VALUE"""),1.1303600957514846)</f>
        <v>1.130360096</v>
      </c>
      <c r="AH110" s="30">
        <f>IFERROR(__xludf.DUMMYFUNCTION("""COMPUTED_VALUE"""),1.1779205294602397)</f>
        <v>1.177920529</v>
      </c>
      <c r="AI110" s="30">
        <f>IFERROR(__xludf.DUMMYFUNCTION("""COMPUTED_VALUE"""),1.0124217658411603)</f>
        <v>1.012421766</v>
      </c>
      <c r="AJ110" s="30">
        <f>IFERROR(__xludf.DUMMYFUNCTION("""COMPUTED_VALUE"""),0.8430522611811323)</f>
        <v>0.8430522612</v>
      </c>
      <c r="AK110" s="30">
        <f>IFERROR(__xludf.DUMMYFUNCTION("""COMPUTED_VALUE"""),0.9449673986739368)</f>
        <v>0.9449673987</v>
      </c>
      <c r="AL110" s="30">
        <f>IFERROR(__xludf.DUMMYFUNCTION("""COMPUTED_VALUE"""),1.1536961898688094)</f>
        <v>1.15369619</v>
      </c>
      <c r="AM110" s="30">
        <f>IFERROR(__xludf.DUMMYFUNCTION("""COMPUTED_VALUE"""),0.9038945517812008)</f>
        <v>0.9038945518</v>
      </c>
      <c r="AN110" s="30">
        <f>IFERROR(__xludf.DUMMYFUNCTION("""COMPUTED_VALUE"""),1.131989874207609)</f>
        <v>1.131989874</v>
      </c>
      <c r="AO110" s="30">
        <f>IFERROR(__xludf.DUMMYFUNCTION("""COMPUTED_VALUE"""),0.977322217733094)</f>
        <v>0.9773222177</v>
      </c>
      <c r="AP110" s="30">
        <f>IFERROR(__xludf.DUMMYFUNCTION("""COMPUTED_VALUE"""),1.3735901756256073)</f>
        <v>1.373590176</v>
      </c>
      <c r="AQ110" s="30">
        <f>IFERROR(__xludf.DUMMYFUNCTION("""COMPUTED_VALUE"""),1.1386568551090381)</f>
        <v>1.138656855</v>
      </c>
      <c r="AR110" s="30">
        <f>IFERROR(__xludf.DUMMYFUNCTION("""COMPUTED_VALUE"""),1.2355636141886)</f>
        <v>1.235563614</v>
      </c>
      <c r="AS110" s="30">
        <f>IFERROR(__xludf.DUMMYFUNCTION("""COMPUTED_VALUE"""),71.0)</f>
        <v>71</v>
      </c>
      <c r="AT110" s="30">
        <f>IFERROR(__xludf.DUMMYFUNCTION("""COMPUTED_VALUE"""),0.6289222034307642)</f>
        <v>0.6289222034</v>
      </c>
      <c r="AU110" s="30">
        <f>IFERROR(__xludf.DUMMYFUNCTION("""COMPUTED_VALUE"""),3.7884843692452717)</f>
        <v>3.788484369</v>
      </c>
      <c r="AV110" s="32">
        <f>IFERROR(__xludf.DUMMYFUNCTION("""COMPUTED_VALUE"""),68.57968917973328)</f>
        <v>68.57968918</v>
      </c>
      <c r="AW110" s="32">
        <f>IFERROR(__xludf.DUMMYFUNCTION("""COMPUTED_VALUE"""),4.372845135151658)</f>
        <v>4.372845135</v>
      </c>
      <c r="AX110" s="32">
        <f>IFERROR(__xludf.DUMMYFUNCTION("""COMPUTED_VALUE"""),66.0645244508267)</f>
        <v>66.06452445</v>
      </c>
      <c r="AY110" s="32">
        <f>IFERROR(__xludf.DUMMYFUNCTION("""COMPUTED_VALUE"""),3.842488487487302)</f>
        <v>3.842488487</v>
      </c>
      <c r="AZ110" s="30">
        <f>IFERROR(__xludf.DUMMYFUNCTION("""COMPUTED_VALUE"""),0.5303566476643558)</f>
        <v>0.5303566477</v>
      </c>
      <c r="BA110" s="30">
        <f>IFERROR(__xludf.DUMMYFUNCTION("""COMPUTED_VALUE"""),450.0)</f>
        <v>450</v>
      </c>
    </row>
    <row r="111">
      <c r="A111" s="30" t="str">
        <f>IFERROR(__xludf.DUMMYFUNCTION("""COMPUTED_VALUE"""),"Master")</f>
        <v>Master</v>
      </c>
      <c r="B111" s="30" t="str">
        <f>IFERROR(__xludf.DUMMYFUNCTION("""COMPUTED_VALUE"""),"RSC003308")</f>
        <v>RSC003308</v>
      </c>
      <c r="C111" s="30" t="str">
        <f>IFERROR(__xludf.DUMMYFUNCTION("""COMPUTED_VALUE"""),"Tman")</f>
        <v>Tman</v>
      </c>
      <c r="D111" s="30" t="str">
        <f>IFERROR(__xludf.DUMMYFUNCTION("""COMPUTED_VALUE"""),"Care Bears")</f>
        <v>Care Bears</v>
      </c>
      <c r="E111" s="30">
        <f>IFERROR(__xludf.DUMMYFUNCTION("""COMPUTED_VALUE"""),29.0)</f>
        <v>29</v>
      </c>
      <c r="F111" s="30">
        <f>IFERROR(__xludf.DUMMYFUNCTION("""COMPUTED_VALUE"""),11.0)</f>
        <v>11</v>
      </c>
      <c r="G111" s="30">
        <f>IFERROR(__xludf.DUMMYFUNCTION("""COMPUTED_VALUE"""),18.0)</f>
        <v>18</v>
      </c>
      <c r="H111" s="42">
        <f>IFERROR(__xludf.DUMMYFUNCTION("""COMPUTED_VALUE"""),0.3793103448275862)</f>
        <v>0.3793103448</v>
      </c>
      <c r="I111" s="42">
        <f>IFERROR(__xludf.DUMMYFUNCTION("""COMPUTED_VALUE"""),0.29333333333333333)</f>
        <v>0.2933333333</v>
      </c>
      <c r="J111" s="30">
        <f>IFERROR(__xludf.DUMMYFUNCTION("""COMPUTED_VALUE"""),371.44827586206895)</f>
        <v>371.4482759</v>
      </c>
      <c r="K111" s="30">
        <f>IFERROR(__xludf.DUMMYFUNCTION("""COMPUTED_VALUE"""),0.7586206896551724)</f>
        <v>0.7586206897</v>
      </c>
      <c r="L111" s="30">
        <f>IFERROR(__xludf.DUMMYFUNCTION("""COMPUTED_VALUE"""),0.5172413793103449)</f>
        <v>0.5172413793</v>
      </c>
      <c r="M111" s="30">
        <f>IFERROR(__xludf.DUMMYFUNCTION("""COMPUTED_VALUE"""),1.5517241379310345)</f>
        <v>1.551724138</v>
      </c>
      <c r="N111" s="30">
        <f>IFERROR(__xludf.DUMMYFUNCTION("""COMPUTED_VALUE"""),2.586206896551724)</f>
        <v>2.586206897</v>
      </c>
      <c r="O111" s="30">
        <f>IFERROR(__xludf.DUMMYFUNCTION("""COMPUTED_VALUE"""),387.4137931034482)</f>
        <v>387.4137931</v>
      </c>
      <c r="P111" s="30">
        <f>IFERROR(__xludf.DUMMYFUNCTION("""COMPUTED_VALUE"""),0.9310344827586206)</f>
        <v>0.9310344828</v>
      </c>
      <c r="Q111" s="30">
        <f>IFERROR(__xludf.DUMMYFUNCTION("""COMPUTED_VALUE"""),0.6896551724137933)</f>
        <v>0.6896551724</v>
      </c>
      <c r="R111" s="30">
        <f>IFERROR(__xludf.DUMMYFUNCTION("""COMPUTED_VALUE"""),1.4367816091954022)</f>
        <v>1.436781609</v>
      </c>
      <c r="S111" s="30">
        <f>IFERROR(__xludf.DUMMYFUNCTION("""COMPUTED_VALUE"""),2.873563218390805)</f>
        <v>2.873563218</v>
      </c>
      <c r="T111" s="30">
        <f>IFERROR(__xludf.DUMMYFUNCTION("""COMPUTED_VALUE"""),395.5353499211599)</f>
        <v>395.5353499</v>
      </c>
      <c r="U111" s="30">
        <f>IFERROR(__xludf.DUMMYFUNCTION("""COMPUTED_VALUE"""),0.9227524456260242)</f>
        <v>0.9227524456</v>
      </c>
      <c r="V111" s="30">
        <f>IFERROR(__xludf.DUMMYFUNCTION("""COMPUTED_VALUE"""),0.7054245160858376)</f>
        <v>0.7054245161</v>
      </c>
      <c r="W111" s="30">
        <f>IFERROR(__xludf.DUMMYFUNCTION("""COMPUTED_VALUE"""),1.4815968227381884)</f>
        <v>1.481596823</v>
      </c>
      <c r="X111" s="30">
        <f>IFERROR(__xludf.DUMMYFUNCTION("""COMPUTED_VALUE"""),2.933006922103879)</f>
        <v>2.933006922</v>
      </c>
      <c r="Y111" s="30">
        <f>IFERROR(__xludf.DUMMYFUNCTION("""COMPUTED_VALUE"""),383.26849940167244)</f>
        <v>383.2684994</v>
      </c>
      <c r="Z111" s="30">
        <f>IFERROR(__xludf.DUMMYFUNCTION("""COMPUTED_VALUE"""),0.8439338291574785)</f>
        <v>0.8439338292</v>
      </c>
      <c r="AA111" s="30">
        <f>IFERROR(__xludf.DUMMYFUNCTION("""COMPUTED_VALUE"""),0.6515803234521566)</f>
        <v>0.6515803235</v>
      </c>
      <c r="AB111" s="30">
        <f>IFERROR(__xludf.DUMMYFUNCTION("""COMPUTED_VALUE"""),1.5197182900330624)</f>
        <v>1.51971829</v>
      </c>
      <c r="AC111" s="30">
        <f>IFERROR(__xludf.DUMMYFUNCTION("""COMPUTED_VALUE"""),2.7552788303979967)</f>
        <v>2.75527883</v>
      </c>
      <c r="AD111" s="30">
        <f>IFERROR(__xludf.DUMMYFUNCTION("""COMPUTED_VALUE"""),0.9691594181153519)</f>
        <v>0.9691594181</v>
      </c>
      <c r="AE111" s="30">
        <f>IFERROR(__xludf.DUMMYFUNCTION("""COMPUTED_VALUE"""),0.8989101555657788)</f>
        <v>0.8989101556</v>
      </c>
      <c r="AF111" s="30">
        <f>IFERROR(__xludf.DUMMYFUNCTION("""COMPUTED_VALUE"""),0.7938259654157961)</f>
        <v>0.7938259654</v>
      </c>
      <c r="AG111" s="30">
        <f>IFERROR(__xludf.DUMMYFUNCTION("""COMPUTED_VALUE"""),1.0210603821167907)</f>
        <v>1.021060382</v>
      </c>
      <c r="AH111" s="30">
        <f>IFERROR(__xludf.DUMMYFUNCTION("""COMPUTED_VALUE"""),0.9386370874769686)</f>
        <v>0.9386370875</v>
      </c>
      <c r="AI111" s="30">
        <f>IFERROR(__xludf.DUMMYFUNCTION("""COMPUTED_VALUE"""),0.9794669254737143)</f>
        <v>0.9794669255</v>
      </c>
      <c r="AJ111" s="30">
        <f>IFERROR(__xludf.DUMMYFUNCTION("""COMPUTED_VALUE"""),1.0089753618880712)</f>
        <v>1.008975362</v>
      </c>
      <c r="AK111" s="30">
        <f>IFERROR(__xludf.DUMMYFUNCTION("""COMPUTED_VALUE"""),0.977645597349603)</f>
        <v>0.9776455973</v>
      </c>
      <c r="AL111" s="30">
        <f>IFERROR(__xludf.DUMMYFUNCTION("""COMPUTED_VALUE"""),0.9697520858205124)</f>
        <v>0.9697520858</v>
      </c>
      <c r="AM111" s="30">
        <f>IFERROR(__xludf.DUMMYFUNCTION("""COMPUTED_VALUE"""),0.9797328457477917)</f>
        <v>0.9797328457</v>
      </c>
      <c r="AN111" s="30">
        <f>IFERROR(__xludf.DUMMYFUNCTION("""COMPUTED_VALUE"""),1.0071273941742196)</f>
        <v>1.007127394</v>
      </c>
      <c r="AO111" s="30">
        <f>IFERROR(__xludf.DUMMYFUNCTION("""COMPUTED_VALUE"""),0.9885558064426697)</f>
        <v>0.9885558064</v>
      </c>
      <c r="AP111" s="30">
        <f>IFERROR(__xludf.DUMMYFUNCTION("""COMPUTED_VALUE"""),0.8119744880545462)</f>
        <v>0.8119744881</v>
      </c>
      <c r="AQ111" s="30">
        <f>IFERROR(__xludf.DUMMYFUNCTION("""COMPUTED_VALUE"""),1.0601287961360009)</f>
        <v>1.060128796</v>
      </c>
      <c r="AR111" s="30">
        <f>IFERROR(__xludf.DUMMYFUNCTION("""COMPUTED_VALUE"""),0.9586269420428792)</f>
        <v>0.958626942</v>
      </c>
      <c r="AS111" s="30">
        <f>IFERROR(__xludf.DUMMYFUNCTION("""COMPUTED_VALUE"""),64.0)</f>
        <v>64</v>
      </c>
      <c r="AT111" s="30">
        <f>IFERROR(__xludf.DUMMYFUNCTION("""COMPUTED_VALUE"""),0.4076069501524173)</f>
        <v>0.4076069502</v>
      </c>
      <c r="AU111" s="30">
        <f>IFERROR(__xludf.DUMMYFUNCTION("""COMPUTED_VALUE"""),2.8445812845423695)</f>
        <v>2.844581285</v>
      </c>
      <c r="AV111" s="32">
        <f>IFERROR(__xludf.DUMMYFUNCTION("""COMPUTED_VALUE"""),45.515789746305565)</f>
        <v>45.51578975</v>
      </c>
      <c r="AW111" s="32">
        <f>IFERROR(__xludf.DUMMYFUNCTION("""COMPUTED_VALUE"""),-2.3319578516722212)</f>
        <v>-2.331957852</v>
      </c>
      <c r="AX111" s="32">
        <f>IFERROR(__xludf.DUMMYFUNCTION("""COMPUTED_VALUE"""),40.371636352791455)</f>
        <v>40.37163635</v>
      </c>
      <c r="AY111" s="32">
        <f>IFERROR(__xludf.DUMMYFUNCTION("""COMPUTED_VALUE"""),-2.856580786174001)</f>
        <v>-2.856580786</v>
      </c>
      <c r="AZ111" s="30">
        <f>IFERROR(__xludf.DUMMYFUNCTION("""COMPUTED_VALUE"""),0.5246229345017799)</f>
        <v>0.5246229345</v>
      </c>
      <c r="BA111" s="30">
        <f>IFERROR(__xludf.DUMMYFUNCTION("""COMPUTED_VALUE"""),450.0)</f>
        <v>450</v>
      </c>
    </row>
    <row r="112">
      <c r="A112" s="30" t="str">
        <f>IFERROR(__xludf.DUMMYFUNCTION("""COMPUTED_VALUE"""),"Master")</f>
        <v>Master</v>
      </c>
      <c r="B112" s="30" t="str">
        <f>IFERROR(__xludf.DUMMYFUNCTION("""COMPUTED_VALUE"""),"RSC002944")</f>
        <v>RSC002944</v>
      </c>
      <c r="C112" s="30" t="str">
        <f>IFERROR(__xludf.DUMMYFUNCTION("""COMPUTED_VALUE"""),"PayloSoul")</f>
        <v>PayloSoul</v>
      </c>
      <c r="D112" s="30"/>
      <c r="E112" s="30">
        <f>IFERROR(__xludf.DUMMYFUNCTION("""COMPUTED_VALUE"""),23.0)</f>
        <v>23</v>
      </c>
      <c r="F112" s="30">
        <f>IFERROR(__xludf.DUMMYFUNCTION("""COMPUTED_VALUE"""),7.0)</f>
        <v>7</v>
      </c>
      <c r="G112" s="30">
        <f>IFERROR(__xludf.DUMMYFUNCTION("""COMPUTED_VALUE"""),16.0)</f>
        <v>16</v>
      </c>
      <c r="H112" s="42">
        <f>IFERROR(__xludf.DUMMYFUNCTION("""COMPUTED_VALUE"""),0.30434782608695654)</f>
        <v>0.3043478261</v>
      </c>
      <c r="I112" s="42">
        <f>IFERROR(__xludf.DUMMYFUNCTION("""COMPUTED_VALUE"""),0.3181818181818182)</f>
        <v>0.3181818182</v>
      </c>
      <c r="J112" s="30">
        <f>IFERROR(__xludf.DUMMYFUNCTION("""COMPUTED_VALUE"""),401.4782608695652)</f>
        <v>401.4782609</v>
      </c>
      <c r="K112" s="30">
        <f>IFERROR(__xludf.DUMMYFUNCTION("""COMPUTED_VALUE"""),0.9130434782608695)</f>
        <v>0.9130434783</v>
      </c>
      <c r="L112" s="30">
        <f>IFERROR(__xludf.DUMMYFUNCTION("""COMPUTED_VALUE"""),0.6086956521739131)</f>
        <v>0.6086956522</v>
      </c>
      <c r="M112" s="30">
        <f>IFERROR(__xludf.DUMMYFUNCTION("""COMPUTED_VALUE"""),1.6521739130434783)</f>
        <v>1.652173913</v>
      </c>
      <c r="N112" s="30">
        <f>IFERROR(__xludf.DUMMYFUNCTION("""COMPUTED_VALUE"""),2.869565217391304)</f>
        <v>2.869565217</v>
      </c>
      <c r="O112" s="30">
        <f>IFERROR(__xludf.DUMMYFUNCTION("""COMPUTED_VALUE"""),413.63768115942037)</f>
        <v>413.6376812</v>
      </c>
      <c r="P112" s="30">
        <f>IFERROR(__xludf.DUMMYFUNCTION("""COMPUTED_VALUE"""),1.0144927536231882)</f>
        <v>1.014492754</v>
      </c>
      <c r="Q112" s="30">
        <f>IFERROR(__xludf.DUMMYFUNCTION("""COMPUTED_VALUE"""),0.7971014492753624)</f>
        <v>0.7971014493</v>
      </c>
      <c r="R112" s="30">
        <f>IFERROR(__xludf.DUMMYFUNCTION("""COMPUTED_VALUE"""),1.5072463768115938)</f>
        <v>1.507246377</v>
      </c>
      <c r="S112" s="30">
        <f>IFERROR(__xludf.DUMMYFUNCTION("""COMPUTED_VALUE"""),3.0579710144927534)</f>
        <v>3.057971014</v>
      </c>
      <c r="T112" s="30">
        <f>IFERROR(__xludf.DUMMYFUNCTION("""COMPUTED_VALUE"""),392.083273667769)</f>
        <v>392.0832737</v>
      </c>
      <c r="U112" s="30">
        <f>IFERROR(__xludf.DUMMYFUNCTION("""COMPUTED_VALUE"""),0.9128582719037489)</f>
        <v>0.9128582719</v>
      </c>
      <c r="V112" s="30">
        <f>IFERROR(__xludf.DUMMYFUNCTION("""COMPUTED_VALUE"""),0.6490934218945215)</f>
        <v>0.6490934219</v>
      </c>
      <c r="W112" s="30">
        <f>IFERROR(__xludf.DUMMYFUNCTION("""COMPUTED_VALUE"""),1.4607717259141548)</f>
        <v>1.460771726</v>
      </c>
      <c r="X112" s="30">
        <f>IFERROR(__xludf.DUMMYFUNCTION("""COMPUTED_VALUE"""),2.951074692978741)</f>
        <v>2.951074693</v>
      </c>
      <c r="Y112" s="30">
        <f>IFERROR(__xludf.DUMMYFUNCTION("""COMPUTED_VALUE"""),379.4458266075457)</f>
        <v>379.4458266</v>
      </c>
      <c r="Z112" s="30">
        <f>IFERROR(__xludf.DUMMYFUNCTION("""COMPUTED_VALUE"""),0.8282060447311157)</f>
        <v>0.8282060447</v>
      </c>
      <c r="AA112" s="30">
        <f>IFERROR(__xludf.DUMMYFUNCTION("""COMPUTED_VALUE"""),0.6323678735181317)</f>
        <v>0.6323678735</v>
      </c>
      <c r="AB112" s="30">
        <f>IFERROR(__xludf.DUMMYFUNCTION("""COMPUTED_VALUE"""),1.5221056200233274)</f>
        <v>1.52210562</v>
      </c>
      <c r="AC112" s="30">
        <f>IFERROR(__xludf.DUMMYFUNCTION("""COMPUTED_VALUE"""),2.6985644463322287)</f>
        <v>2.698564446</v>
      </c>
      <c r="AD112" s="30">
        <f>IFERROR(__xludf.DUMMYFUNCTION("""COMPUTED_VALUE"""),1.0580647689790175)</f>
        <v>1.058064769</v>
      </c>
      <c r="AE112" s="30">
        <f>IFERROR(__xludf.DUMMYFUNCTION("""COMPUTED_VALUE"""),1.102435177899839)</f>
        <v>1.102435178</v>
      </c>
      <c r="AF112" s="30">
        <f>IFERROR(__xludf.DUMMYFUNCTION("""COMPUTED_VALUE"""),0.962565743239738)</f>
        <v>0.9625657432</v>
      </c>
      <c r="AG112" s="30">
        <f>IFERROR(__xludf.DUMMYFUNCTION("""COMPUTED_VALUE"""),1.0854528695703505)</f>
        <v>1.08545287</v>
      </c>
      <c r="AH112" s="30">
        <f>IFERROR(__xludf.DUMMYFUNCTION("""COMPUTED_VALUE"""),1.063367310457044)</f>
        <v>1.06336731</v>
      </c>
      <c r="AI112" s="30">
        <f>IFERROR(__xludf.DUMMYFUNCTION("""COMPUTED_VALUE"""),1.0549740551031908)</f>
        <v>1.054974055</v>
      </c>
      <c r="AJ112" s="30">
        <f>IFERROR(__xludf.DUMMYFUNCTION("""COMPUTED_VALUE"""),1.111336540235849)</f>
        <v>1.11133654</v>
      </c>
      <c r="AK112" s="30">
        <f>IFERROR(__xludf.DUMMYFUNCTION("""COMPUTED_VALUE"""),1.2280226888586347)</f>
        <v>1.228022689</v>
      </c>
      <c r="AL112" s="30">
        <f>IFERROR(__xludf.DUMMYFUNCTION("""COMPUTED_VALUE"""),1.0318151358442778)</f>
        <v>1.031815136</v>
      </c>
      <c r="AM112" s="30">
        <f>IFERROR(__xludf.DUMMYFUNCTION("""COMPUTED_VALUE"""),1.0362228451107465)</f>
        <v>1.036222845</v>
      </c>
      <c r="AN112" s="30">
        <f>IFERROR(__xludf.DUMMYFUNCTION("""COMPUTED_VALUE"""),1.0885492838774342)</f>
        <v>1.088549284</v>
      </c>
      <c r="AO112" s="30">
        <f>IFERROR(__xludf.DUMMYFUNCTION("""COMPUTED_VALUE"""),1.1897835694142014)</f>
        <v>1.189783569</v>
      </c>
      <c r="AP112" s="30">
        <f>IFERROR(__xludf.DUMMYFUNCTION("""COMPUTED_VALUE"""),0.9555409917395529)</f>
        <v>0.9555409917</v>
      </c>
      <c r="AQ112" s="30">
        <f>IFERROR(__xludf.DUMMYFUNCTION("""COMPUTED_VALUE"""),1.1287554911515683)</f>
        <v>1.128755491</v>
      </c>
      <c r="AR112" s="30">
        <f>IFERROR(__xludf.DUMMYFUNCTION("""COMPUTED_VALUE"""),1.0636591113449685)</f>
        <v>1.063659111</v>
      </c>
      <c r="AS112" s="30">
        <f>IFERROR(__xludf.DUMMYFUNCTION("""COMPUTED_VALUE"""),55.0)</f>
        <v>55</v>
      </c>
      <c r="AT112" s="30">
        <f>IFERROR(__xludf.DUMMYFUNCTION("""COMPUTED_VALUE"""),0.40323154735654454)</f>
        <v>0.4032315474</v>
      </c>
      <c r="AU112" s="30">
        <f>IFERROR(__xludf.DUMMYFUNCTION("""COMPUTED_VALUE"""),3.316696629321763)</f>
        <v>3.316696629</v>
      </c>
      <c r="AV112" s="32">
        <f>IFERROR(__xludf.DUMMYFUNCTION("""COMPUTED_VALUE"""),57.05174191071372)</f>
        <v>57.05174191</v>
      </c>
      <c r="AW112" s="32">
        <f>IFERROR(__xludf.DUMMYFUNCTION("""COMPUTED_VALUE"""),2.5710573261596754)</f>
        <v>2.571057326</v>
      </c>
      <c r="AX112" s="32">
        <f>IFERROR(__xludf.DUMMYFUNCTION("""COMPUTED_VALUE"""),51.40628667492193)</f>
        <v>51.40628667</v>
      </c>
      <c r="AY112" s="32">
        <f>IFERROR(__xludf.DUMMYFUNCTION("""COMPUTED_VALUE"""),2.093930626148263)</f>
        <v>2.093930626</v>
      </c>
      <c r="AZ112" s="30">
        <f>IFERROR(__xludf.DUMMYFUNCTION("""COMPUTED_VALUE"""),0.47712670001141255)</f>
        <v>0.4771267</v>
      </c>
      <c r="BA112" s="30">
        <f>IFERROR(__xludf.DUMMYFUNCTION("""COMPUTED_VALUE"""),450.0)</f>
        <v>450</v>
      </c>
    </row>
    <row r="113">
      <c r="A113" s="30" t="str">
        <f>IFERROR(__xludf.DUMMYFUNCTION("""COMPUTED_VALUE"""),"Master")</f>
        <v>Master</v>
      </c>
      <c r="B113" s="30" t="str">
        <f>IFERROR(__xludf.DUMMYFUNCTION("""COMPUTED_VALUE"""),"RSC007354")</f>
        <v>RSC007354</v>
      </c>
      <c r="C113" s="30" t="str">
        <f>IFERROR(__xludf.DUMMYFUNCTION("""COMPUTED_VALUE"""),"Fanatic")</f>
        <v>Fanatic</v>
      </c>
      <c r="D113" s="30" t="str">
        <f>IFERROR(__xludf.DUMMYFUNCTION("""COMPUTED_VALUE"""),"Desolation")</f>
        <v>Desolation</v>
      </c>
      <c r="E113" s="30">
        <f>IFERROR(__xludf.DUMMYFUNCTION("""COMPUTED_VALUE"""),4.0)</f>
        <v>4</v>
      </c>
      <c r="F113" s="30">
        <f>IFERROR(__xludf.DUMMYFUNCTION("""COMPUTED_VALUE"""),3.0)</f>
        <v>3</v>
      </c>
      <c r="G113" s="30">
        <f>IFERROR(__xludf.DUMMYFUNCTION("""COMPUTED_VALUE"""),1.0)</f>
        <v>1</v>
      </c>
      <c r="H113" s="42">
        <f>IFERROR(__xludf.DUMMYFUNCTION("""COMPUTED_VALUE"""),0.75)</f>
        <v>0.75</v>
      </c>
      <c r="I113" s="42">
        <f>IFERROR(__xludf.DUMMYFUNCTION("""COMPUTED_VALUE"""),0.25)</f>
        <v>0.25</v>
      </c>
      <c r="J113" s="30">
        <f>IFERROR(__xludf.DUMMYFUNCTION("""COMPUTED_VALUE"""),350.75)</f>
        <v>350.75</v>
      </c>
      <c r="K113" s="30">
        <f>IFERROR(__xludf.DUMMYFUNCTION("""COMPUTED_VALUE"""),0.5)</f>
        <v>0.5</v>
      </c>
      <c r="L113" s="30">
        <f>IFERROR(__xludf.DUMMYFUNCTION("""COMPUTED_VALUE"""),0.75)</f>
        <v>0.75</v>
      </c>
      <c r="M113" s="30">
        <f>IFERROR(__xludf.DUMMYFUNCTION("""COMPUTED_VALUE"""),2.0)</f>
        <v>2</v>
      </c>
      <c r="N113" s="30">
        <f>IFERROR(__xludf.DUMMYFUNCTION("""COMPUTED_VALUE"""),2.0)</f>
        <v>2</v>
      </c>
      <c r="O113" s="30">
        <f>IFERROR(__xludf.DUMMYFUNCTION("""COMPUTED_VALUE"""),358.5)</f>
        <v>358.5</v>
      </c>
      <c r="P113" s="30">
        <f>IFERROR(__xludf.DUMMYFUNCTION("""COMPUTED_VALUE"""),0.8333333333333333)</f>
        <v>0.8333333333</v>
      </c>
      <c r="Q113" s="30">
        <f>IFERROR(__xludf.DUMMYFUNCTION("""COMPUTED_VALUE"""),0.6666666666666666)</f>
        <v>0.6666666667</v>
      </c>
      <c r="R113" s="30">
        <f>IFERROR(__xludf.DUMMYFUNCTION("""COMPUTED_VALUE"""),1.0833333333333333)</f>
        <v>1.083333333</v>
      </c>
      <c r="S113" s="30">
        <f>IFERROR(__xludf.DUMMYFUNCTION("""COMPUTED_VALUE"""),3.0)</f>
        <v>3</v>
      </c>
      <c r="T113" s="30">
        <f>IFERROR(__xludf.DUMMYFUNCTION("""COMPUTED_VALUE"""),382.2704342273308)</f>
        <v>382.2704342</v>
      </c>
      <c r="U113" s="30">
        <f>IFERROR(__xludf.DUMMYFUNCTION("""COMPUTED_VALUE"""),0.7158365261813536)</f>
        <v>0.7158365262</v>
      </c>
      <c r="V113" s="30">
        <f>IFERROR(__xludf.DUMMYFUNCTION("""COMPUTED_VALUE"""),0.6995530012771392)</f>
        <v>0.6995530013</v>
      </c>
      <c r="W113" s="30">
        <f>IFERROR(__xludf.DUMMYFUNCTION("""COMPUTED_VALUE"""),1.5335249042145593)</f>
        <v>1.533524904</v>
      </c>
      <c r="X113" s="30">
        <f>IFERROR(__xludf.DUMMYFUNCTION("""COMPUTED_VALUE"""),3.0616219667943803)</f>
        <v>3.061621967</v>
      </c>
      <c r="Y113" s="30">
        <f>IFERROR(__xludf.DUMMYFUNCTION("""COMPUTED_VALUE"""),363.39027245636447)</f>
        <v>363.3902725</v>
      </c>
      <c r="Z113" s="30">
        <f>IFERROR(__xludf.DUMMYFUNCTION("""COMPUTED_VALUE"""),0.893146019582801)</f>
        <v>0.8931460196</v>
      </c>
      <c r="AA113" s="30">
        <f>IFERROR(__xludf.DUMMYFUNCTION("""COMPUTED_VALUE"""),0.58737760749255)</f>
        <v>0.5873776075</v>
      </c>
      <c r="AB113" s="30">
        <f>IFERROR(__xludf.DUMMYFUNCTION("""COMPUTED_VALUE"""),1.4175180928054492)</f>
        <v>1.417518093</v>
      </c>
      <c r="AC113" s="30">
        <f>IFERROR(__xludf.DUMMYFUNCTION("""COMPUTED_VALUE"""),2.6248403575989783)</f>
        <v>2.624840358</v>
      </c>
      <c r="AD113" s="30">
        <f>IFERROR(__xludf.DUMMYFUNCTION("""COMPUTED_VALUE"""),0.9652157104511313)</f>
        <v>0.9652157105</v>
      </c>
      <c r="AE113" s="30">
        <f>IFERROR(__xludf.DUMMYFUNCTION("""COMPUTED_VALUE"""),0.5598188751191612)</f>
        <v>0.5598188751</v>
      </c>
      <c r="AF113" s="30">
        <f>IFERROR(__xludf.DUMMYFUNCTION("""COMPUTED_VALUE"""),1.2768617503170865)</f>
        <v>1.27686175</v>
      </c>
      <c r="AG113" s="30">
        <f>IFERROR(__xludf.DUMMYFUNCTION("""COMPUTED_VALUE"""),1.4109167354906524)</f>
        <v>1.410916735</v>
      </c>
      <c r="AH113" s="30">
        <f>IFERROR(__xludf.DUMMYFUNCTION("""COMPUTED_VALUE"""),0.7619511008393139)</f>
        <v>0.7619511008</v>
      </c>
      <c r="AI113" s="30">
        <f>IFERROR(__xludf.DUMMYFUNCTION("""COMPUTED_VALUE"""),0.9378177538752713)</f>
        <v>0.9378177539</v>
      </c>
      <c r="AJ113" s="30">
        <f>IFERROR(__xludf.DUMMYFUNCTION("""COMPUTED_VALUE"""),1.1641391614629797)</f>
        <v>1.164139161</v>
      </c>
      <c r="AK113" s="30">
        <f>IFERROR(__xludf.DUMMYFUNCTION("""COMPUTED_VALUE"""),0.9529895025102693)</f>
        <v>0.9529895025</v>
      </c>
      <c r="AL113" s="30">
        <f>IFERROR(__xludf.DUMMYFUNCTION("""COMPUTED_VALUE"""),0.7064334790755777)</f>
        <v>0.7064334791</v>
      </c>
      <c r="AM113" s="30">
        <f>IFERROR(__xludf.DUMMYFUNCTION("""COMPUTED_VALUE"""),0.9798727708833039)</f>
        <v>0.9798727709</v>
      </c>
      <c r="AN113" s="30">
        <f>IFERROR(__xludf.DUMMYFUNCTION("""COMPUTED_VALUE"""),0.9510070619839973)</f>
        <v>0.951007062</v>
      </c>
      <c r="AO113" s="30">
        <f>IFERROR(__xludf.DUMMYFUNCTION("""COMPUTED_VALUE"""),0.651548145155396)</f>
        <v>0.6515481452</v>
      </c>
      <c r="AP113" s="30">
        <f>IFERROR(__xludf.DUMMYFUNCTION("""COMPUTED_VALUE"""),1.1773630076790917)</f>
        <v>1.177363008</v>
      </c>
      <c r="AQ113" s="30">
        <f>IFERROR(__xludf.DUMMYFUNCTION("""COMPUTED_VALUE"""),1.3663882261308455)</f>
        <v>1.366388226</v>
      </c>
      <c r="AR113" s="30">
        <f>IFERROR(__xludf.DUMMYFUNCTION("""COMPUTED_VALUE"""),0.7413381685131599)</f>
        <v>0.7413381685</v>
      </c>
      <c r="AS113" s="30">
        <f>IFERROR(__xludf.DUMMYFUNCTION("""COMPUTED_VALUE"""),12.0)</f>
        <v>12</v>
      </c>
      <c r="AT113" s="30">
        <f>IFERROR(__xludf.DUMMYFUNCTION("""COMPUTED_VALUE"""),0.5738036455319312)</f>
        <v>0.5738036455</v>
      </c>
      <c r="AU113" s="30">
        <f>IFERROR(__xludf.DUMMYFUNCTION("""COMPUTED_VALUE"""),2.6446621585317667)</f>
        <v>2.644662159</v>
      </c>
      <c r="AV113" s="32">
        <f>IFERROR(__xludf.DUMMYFUNCTION("""COMPUTED_VALUE"""),40.63084478547983)</f>
        <v>40.63084479</v>
      </c>
      <c r="AW113" s="32">
        <f>IFERROR(__xludf.DUMMYFUNCTION("""COMPUTED_VALUE"""),-2.825519851543053)</f>
        <v>-2.825519852</v>
      </c>
      <c r="AX113" s="32">
        <f>IFERROR(__xludf.DUMMYFUNCTION("""COMPUTED_VALUE"""),37.23304471060662)</f>
        <v>37.23304471</v>
      </c>
      <c r="AY113" s="32">
        <f>IFERROR(__xludf.DUMMYFUNCTION("""COMPUTED_VALUE"""),-3.280966914173699)</f>
        <v>-3.280966914</v>
      </c>
      <c r="AZ113" s="30">
        <f>IFERROR(__xludf.DUMMYFUNCTION("""COMPUTED_VALUE"""),0.45544706263064594)</f>
        <v>0.4554470626</v>
      </c>
      <c r="BA113" s="30">
        <f>IFERROR(__xludf.DUMMYFUNCTION("""COMPUTED_VALUE"""),450.0)</f>
        <v>450</v>
      </c>
    </row>
    <row r="114">
      <c r="A114" s="30" t="str">
        <f>IFERROR(__xludf.DUMMYFUNCTION("""COMPUTED_VALUE"""),"Master")</f>
        <v>Master</v>
      </c>
      <c r="B114" s="30" t="str">
        <f>IFERROR(__xludf.DUMMYFUNCTION("""COMPUTED_VALUE"""),"RSC005183")</f>
        <v>RSC005183</v>
      </c>
      <c r="C114" s="30" t="str">
        <f>IFERROR(__xludf.DUMMYFUNCTION("""COMPUTED_VALUE"""),"Kagura.")</f>
        <v>Kagura.</v>
      </c>
      <c r="D114" s="30" t="str">
        <f>IFERROR(__xludf.DUMMYFUNCTION("""COMPUTED_VALUE"""),"Hard Hats")</f>
        <v>Hard Hats</v>
      </c>
      <c r="E114" s="30">
        <f>IFERROR(__xludf.DUMMYFUNCTION("""COMPUTED_VALUE"""),36.0)</f>
        <v>36</v>
      </c>
      <c r="F114" s="30">
        <f>IFERROR(__xludf.DUMMYFUNCTION("""COMPUTED_VALUE"""),12.0)</f>
        <v>12</v>
      </c>
      <c r="G114" s="30">
        <f>IFERROR(__xludf.DUMMYFUNCTION("""COMPUTED_VALUE"""),24.0)</f>
        <v>24</v>
      </c>
      <c r="H114" s="42">
        <f>IFERROR(__xludf.DUMMYFUNCTION("""COMPUTED_VALUE"""),0.3333333333333333)</f>
        <v>0.3333333333</v>
      </c>
      <c r="I114" s="42">
        <f>IFERROR(__xludf.DUMMYFUNCTION("""COMPUTED_VALUE"""),0.2983870967741935)</f>
        <v>0.2983870968</v>
      </c>
      <c r="J114" s="30">
        <f>IFERROR(__xludf.DUMMYFUNCTION("""COMPUTED_VALUE"""),432.22222222222223)</f>
        <v>432.2222222</v>
      </c>
      <c r="K114" s="30">
        <f>IFERROR(__xludf.DUMMYFUNCTION("""COMPUTED_VALUE"""),1.0277777777777777)</f>
        <v>1.027777778</v>
      </c>
      <c r="L114" s="30">
        <f>IFERROR(__xludf.DUMMYFUNCTION("""COMPUTED_VALUE"""),0.5)</f>
        <v>0.5</v>
      </c>
      <c r="M114" s="30">
        <f>IFERROR(__xludf.DUMMYFUNCTION("""COMPUTED_VALUE"""),1.8055555555555556)</f>
        <v>1.805555556</v>
      </c>
      <c r="N114" s="30">
        <f>IFERROR(__xludf.DUMMYFUNCTION("""COMPUTED_VALUE"""),3.4444444444444446)</f>
        <v>3.444444444</v>
      </c>
      <c r="O114" s="30">
        <f>IFERROR(__xludf.DUMMYFUNCTION("""COMPUTED_VALUE"""),406.19444444444446)</f>
        <v>406.1944444</v>
      </c>
      <c r="P114" s="30">
        <f>IFERROR(__xludf.DUMMYFUNCTION("""COMPUTED_VALUE"""),0.9907407407407407)</f>
        <v>0.9907407407</v>
      </c>
      <c r="Q114" s="30">
        <f>IFERROR(__xludf.DUMMYFUNCTION("""COMPUTED_VALUE"""),0.7499999999999998)</f>
        <v>0.75</v>
      </c>
      <c r="R114" s="30">
        <f>IFERROR(__xludf.DUMMYFUNCTION("""COMPUTED_VALUE"""),1.5648148148148149)</f>
        <v>1.564814815</v>
      </c>
      <c r="S114" s="30">
        <f>IFERROR(__xludf.DUMMYFUNCTION("""COMPUTED_VALUE"""),2.981481481481482)</f>
        <v>2.981481481</v>
      </c>
      <c r="T114" s="30">
        <f>IFERROR(__xludf.DUMMYFUNCTION("""COMPUTED_VALUE"""),390.91142808986996)</f>
        <v>390.9114281</v>
      </c>
      <c r="U114" s="30">
        <f>IFERROR(__xludf.DUMMYFUNCTION("""COMPUTED_VALUE"""),0.8982691956059435)</f>
        <v>0.8982691956</v>
      </c>
      <c r="V114" s="30">
        <f>IFERROR(__xludf.DUMMYFUNCTION("""COMPUTED_VALUE"""),0.73047777437527)</f>
        <v>0.7304777744</v>
      </c>
      <c r="W114" s="30">
        <f>IFERROR(__xludf.DUMMYFUNCTION("""COMPUTED_VALUE"""),1.4621067201703963)</f>
        <v>1.46210672</v>
      </c>
      <c r="X114" s="30">
        <f>IFERROR(__xludf.DUMMYFUNCTION("""COMPUTED_VALUE"""),2.862415161957403)</f>
        <v>2.862415162</v>
      </c>
      <c r="Y114" s="30">
        <f>IFERROR(__xludf.DUMMYFUNCTION("""COMPUTED_VALUE"""),373.6586147951862)</f>
        <v>373.6586148</v>
      </c>
      <c r="Z114" s="30">
        <f>IFERROR(__xludf.DUMMYFUNCTION("""COMPUTED_VALUE"""),0.7949237828960006)</f>
        <v>0.7949237829</v>
      </c>
      <c r="AA114" s="30">
        <f>IFERROR(__xludf.DUMMYFUNCTION("""COMPUTED_VALUE"""),0.6080379188952221)</f>
        <v>0.6080379189</v>
      </c>
      <c r="AB114" s="30">
        <f>IFERROR(__xludf.DUMMYFUNCTION("""COMPUTED_VALUE"""),1.4974588865689609)</f>
        <v>1.497458887</v>
      </c>
      <c r="AC114" s="30">
        <f>IFERROR(__xludf.DUMMYFUNCTION("""COMPUTED_VALUE"""),2.707312167127861)</f>
        <v>2.707312167</v>
      </c>
      <c r="AD114" s="30">
        <f>IFERROR(__xludf.DUMMYFUNCTION("""COMPUTED_VALUE"""),1.1567302481682016)</f>
        <v>1.156730248</v>
      </c>
      <c r="AE114" s="30">
        <f>IFERROR(__xludf.DUMMYFUNCTION("""COMPUTED_VALUE"""),1.292926189770625)</f>
        <v>1.29292619</v>
      </c>
      <c r="AF114" s="30">
        <f>IFERROR(__xludf.DUMMYFUNCTION("""COMPUTED_VALUE"""),0.8223171359254663)</f>
        <v>0.8223171359</v>
      </c>
      <c r="AG114" s="30">
        <f>IFERROR(__xludf.DUMMYFUNCTION("""COMPUTED_VALUE"""),1.2057463291646815)</f>
        <v>1.205746329</v>
      </c>
      <c r="AH114" s="30">
        <f>IFERROR(__xludf.DUMMYFUNCTION("""COMPUTED_VALUE"""),1.272274577814421)</f>
        <v>1.272274578</v>
      </c>
      <c r="AI114" s="30">
        <f>IFERROR(__xludf.DUMMYFUNCTION("""COMPUTED_VALUE"""),1.0390958546012652)</f>
        <v>1.039095855</v>
      </c>
      <c r="AJ114" s="30">
        <f>IFERROR(__xludf.DUMMYFUNCTION("""COMPUTED_VALUE"""),1.1029441347728939)</f>
        <v>1.102944135</v>
      </c>
      <c r="AK114" s="30">
        <f>IFERROR(__xludf.DUMMYFUNCTION("""COMPUTED_VALUE"""),1.0267252835193048)</f>
        <v>1.026725284</v>
      </c>
      <c r="AL114" s="30">
        <f>IFERROR(__xludf.DUMMYFUNCTION("""COMPUTED_VALUE"""),1.0702466469974563)</f>
        <v>1.070246647</v>
      </c>
      <c r="AM114" s="30">
        <f>IFERROR(__xludf.DUMMYFUNCTION("""COMPUTED_VALUE"""),1.0415964536194875)</f>
        <v>1.041596454</v>
      </c>
      <c r="AN114" s="30">
        <f>IFERROR(__xludf.DUMMYFUNCTION("""COMPUTED_VALUE"""),1.171907015480399)</f>
        <v>1.171907015</v>
      </c>
      <c r="AO114" s="30">
        <f>IFERROR(__xludf.DUMMYFUNCTION("""COMPUTED_VALUE"""),1.3392934094860918)</f>
        <v>1.339293409</v>
      </c>
      <c r="AP114" s="30">
        <f>IFERROR(__xludf.DUMMYFUNCTION("""COMPUTED_VALUE"""),0.7849086717860613)</f>
        <v>0.7849086718</v>
      </c>
      <c r="AQ114" s="30">
        <f>IFERROR(__xludf.DUMMYFUNCTION("""COMPUTED_VALUE"""),1.2335449263681246)</f>
        <v>1.233544926</v>
      </c>
      <c r="AR114" s="30">
        <f>IFERROR(__xludf.DUMMYFUNCTION("""COMPUTED_VALUE"""),1.2767490679948865)</f>
        <v>1.276749068</v>
      </c>
      <c r="AS114" s="30">
        <f>IFERROR(__xludf.DUMMYFUNCTION("""COMPUTED_VALUE"""),72.0)</f>
        <v>72</v>
      </c>
      <c r="AT114" s="30">
        <f>IFERROR(__xludf.DUMMYFUNCTION("""COMPUTED_VALUE"""),0.34802191644319325)</f>
        <v>0.3480219164</v>
      </c>
      <c r="AU114" s="30">
        <f>IFERROR(__xludf.DUMMYFUNCTION("""COMPUTED_VALUE"""),3.681012849584463)</f>
        <v>3.68101285</v>
      </c>
      <c r="AV114" s="32">
        <f>IFERROR(__xludf.DUMMYFUNCTION("""COMPUTED_VALUE"""),65.95366500247918)</f>
        <v>65.953665</v>
      </c>
      <c r="AW114" s="32">
        <f>IFERROR(__xludf.DUMMYFUNCTION("""COMPUTED_VALUE"""),3.8213280421530724)</f>
        <v>3.821328042</v>
      </c>
      <c r="AX114" s="32">
        <f>IFERROR(__xludf.DUMMYFUNCTION("""COMPUTED_VALUE"""),63.375681655013764)</f>
        <v>63.37568166</v>
      </c>
      <c r="AY114" s="32">
        <f>IFERROR(__xludf.DUMMYFUNCTION("""COMPUTED_VALUE"""),3.374781254531567)</f>
        <v>3.374781255</v>
      </c>
      <c r="AZ114" s="30">
        <f>IFERROR(__xludf.DUMMYFUNCTION("""COMPUTED_VALUE"""),0.44654678762150546)</f>
        <v>0.4465467876</v>
      </c>
      <c r="BA114" s="30">
        <f>IFERROR(__xludf.DUMMYFUNCTION("""COMPUTED_VALUE"""),450.0)</f>
        <v>450</v>
      </c>
    </row>
    <row r="115">
      <c r="A115" s="30" t="str">
        <f>IFERROR(__xludf.DUMMYFUNCTION("""COMPUTED_VALUE"""),"Master")</f>
        <v>Master</v>
      </c>
      <c r="B115" s="30" t="str">
        <f>IFERROR(__xludf.DUMMYFUNCTION("""COMPUTED_VALUE"""),"RSC007558")</f>
        <v>RSC007558</v>
      </c>
      <c r="C115" s="30" t="str">
        <f>IFERROR(__xludf.DUMMYFUNCTION("""COMPUTED_VALUE"""),"Frijole")</f>
        <v>Frijole</v>
      </c>
      <c r="D115" s="30" t="str">
        <f>IFERROR(__xludf.DUMMYFUNCTION("""COMPUTED_VALUE"""),"Fromunda Frauds")</f>
        <v>Fromunda Frauds</v>
      </c>
      <c r="E115" s="30">
        <f>IFERROR(__xludf.DUMMYFUNCTION("""COMPUTED_VALUE"""),28.0)</f>
        <v>28</v>
      </c>
      <c r="F115" s="30">
        <f>IFERROR(__xludf.DUMMYFUNCTION("""COMPUTED_VALUE"""),11.0)</f>
        <v>11</v>
      </c>
      <c r="G115" s="30">
        <f>IFERROR(__xludf.DUMMYFUNCTION("""COMPUTED_VALUE"""),17.0)</f>
        <v>17</v>
      </c>
      <c r="H115" s="42">
        <f>IFERROR(__xludf.DUMMYFUNCTION("""COMPUTED_VALUE"""),0.39285714285714285)</f>
        <v>0.3928571429</v>
      </c>
      <c r="I115" s="42">
        <f>IFERROR(__xludf.DUMMYFUNCTION("""COMPUTED_VALUE"""),0.31147540983606564)</f>
        <v>0.3114754098</v>
      </c>
      <c r="J115" s="30">
        <f>IFERROR(__xludf.DUMMYFUNCTION("""COMPUTED_VALUE"""),347.85714285714283)</f>
        <v>347.8571429</v>
      </c>
      <c r="K115" s="30">
        <f>IFERROR(__xludf.DUMMYFUNCTION("""COMPUTED_VALUE"""),0.6785714285714286)</f>
        <v>0.6785714286</v>
      </c>
      <c r="L115" s="30">
        <f>IFERROR(__xludf.DUMMYFUNCTION("""COMPUTED_VALUE"""),0.5714285714285714)</f>
        <v>0.5714285714</v>
      </c>
      <c r="M115" s="30">
        <f>IFERROR(__xludf.DUMMYFUNCTION("""COMPUTED_VALUE"""),1.3571428571428572)</f>
        <v>1.357142857</v>
      </c>
      <c r="N115" s="30">
        <f>IFERROR(__xludf.DUMMYFUNCTION("""COMPUTED_VALUE"""),2.1785714285714284)</f>
        <v>2.178571429</v>
      </c>
      <c r="O115" s="30">
        <f>IFERROR(__xludf.DUMMYFUNCTION("""COMPUTED_VALUE"""),399.9404761904762)</f>
        <v>399.9404762</v>
      </c>
      <c r="P115" s="30">
        <f>IFERROR(__xludf.DUMMYFUNCTION("""COMPUTED_VALUE"""),0.9642857142857145)</f>
        <v>0.9642857143</v>
      </c>
      <c r="Q115" s="30">
        <f>IFERROR(__xludf.DUMMYFUNCTION("""COMPUTED_VALUE"""),0.7023809523809523)</f>
        <v>0.7023809524</v>
      </c>
      <c r="R115" s="30">
        <f>IFERROR(__xludf.DUMMYFUNCTION("""COMPUTED_VALUE"""),1.380952380952381)</f>
        <v>1.380952381</v>
      </c>
      <c r="S115" s="30">
        <f>IFERROR(__xludf.DUMMYFUNCTION("""COMPUTED_VALUE"""),2.8928571428571423)</f>
        <v>2.892857143</v>
      </c>
      <c r="T115" s="30">
        <f>IFERROR(__xludf.DUMMYFUNCTION("""COMPUTED_VALUE"""),392.8316788920956)</f>
        <v>392.8316789</v>
      </c>
      <c r="U115" s="30">
        <f>IFERROR(__xludf.DUMMYFUNCTION("""COMPUTED_VALUE"""),0.9331081506676744)</f>
        <v>0.9331081507</v>
      </c>
      <c r="V115" s="30">
        <f>IFERROR(__xludf.DUMMYFUNCTION("""COMPUTED_VALUE"""),0.6601143235071808)</f>
        <v>0.6601143235</v>
      </c>
      <c r="W115" s="30">
        <f>IFERROR(__xludf.DUMMYFUNCTION("""COMPUTED_VALUE"""),1.4662874493231635)</f>
        <v>1.466287449</v>
      </c>
      <c r="X115" s="30">
        <f>IFERROR(__xludf.DUMMYFUNCTION("""COMPUTED_VALUE"""),2.882048518060423)</f>
        <v>2.882048518</v>
      </c>
      <c r="Y115" s="30">
        <f>IFERROR(__xludf.DUMMYFUNCTION("""COMPUTED_VALUE"""),376.9318968215793)</f>
        <v>376.9318968</v>
      </c>
      <c r="Z115" s="30">
        <f>IFERROR(__xludf.DUMMYFUNCTION("""COMPUTED_VALUE"""),0.804061829557862)</f>
        <v>0.8040618296</v>
      </c>
      <c r="AA115" s="30">
        <f>IFERROR(__xludf.DUMMYFUNCTION("""COMPUTED_VALUE"""),0.6142099853409378)</f>
        <v>0.6142099853</v>
      </c>
      <c r="AB115" s="30">
        <f>IFERROR(__xludf.DUMMYFUNCTION("""COMPUTED_VALUE"""),1.5001914935446679)</f>
        <v>1.500191494</v>
      </c>
      <c r="AC115" s="30">
        <f>IFERROR(__xludf.DUMMYFUNCTION("""COMPUTED_VALUE"""),2.7161911060720585)</f>
        <v>2.716191106</v>
      </c>
      <c r="AD115" s="30">
        <f>IFERROR(__xludf.DUMMYFUNCTION("""COMPUTED_VALUE"""),0.9228647025905611)</f>
        <v>0.9228647026</v>
      </c>
      <c r="AE115" s="30">
        <f>IFERROR(__xludf.DUMMYFUNCTION("""COMPUTED_VALUE"""),0.8439294139165415)</f>
        <v>0.8439294139</v>
      </c>
      <c r="AF115" s="30">
        <f>IFERROR(__xludf.DUMMYFUNCTION("""COMPUTED_VALUE"""),0.9303472510486471)</f>
        <v>0.930347251</v>
      </c>
      <c r="AG115" s="30">
        <f>IFERROR(__xludf.DUMMYFUNCTION("""COMPUTED_VALUE"""),0.9046464154627262)</f>
        <v>0.9046464155</v>
      </c>
      <c r="AH115" s="30">
        <f>IFERROR(__xludf.DUMMYFUNCTION("""COMPUTED_VALUE"""),0.8020685377038534)</f>
        <v>0.8020685377</v>
      </c>
      <c r="AI115" s="30">
        <f>IFERROR(__xludf.DUMMYFUNCTION("""COMPUTED_VALUE"""),1.0180962933499393)</f>
        <v>1.018096293</v>
      </c>
      <c r="AJ115" s="30">
        <f>IFERROR(__xludf.DUMMYFUNCTION("""COMPUTED_VALUE"""),1.0334125938089078)</f>
        <v>1.033412594</v>
      </c>
      <c r="AK115" s="30">
        <f>IFERROR(__xludf.DUMMYFUNCTION("""COMPUTED_VALUE"""),1.0640292557949802)</f>
        <v>1.064029256</v>
      </c>
      <c r="AL115" s="30">
        <f>IFERROR(__xludf.DUMMYFUNCTION("""COMPUTED_VALUE"""),0.9418019513089517)</f>
        <v>0.9418019513</v>
      </c>
      <c r="AM115" s="30">
        <f>IFERROR(__xludf.DUMMYFUNCTION("""COMPUTED_VALUE"""),1.0037503271471617)</f>
        <v>1.003750327</v>
      </c>
      <c r="AN115" s="30">
        <f>IFERROR(__xludf.DUMMYFUNCTION("""COMPUTED_VALUE"""),0.9431635051139531)</f>
        <v>0.9431635051</v>
      </c>
      <c r="AO115" s="30">
        <f>IFERROR(__xludf.DUMMYFUNCTION("""COMPUTED_VALUE"""),0.8842439112823232)</f>
        <v>0.8842439113</v>
      </c>
      <c r="AP115" s="30">
        <f>IFERROR(__xludf.DUMMYFUNCTION("""COMPUTED_VALUE"""),0.8970384820412128)</f>
        <v>0.897038482</v>
      </c>
      <c r="AQ115" s="30">
        <f>IFERROR(__xludf.DUMMYFUNCTION("""COMPUTED_VALUE"""),0.9271920105887882)</f>
        <v>0.9271920106</v>
      </c>
      <c r="AR115" s="30">
        <f>IFERROR(__xludf.DUMMYFUNCTION("""COMPUTED_VALUE"""),0.8075290764161205)</f>
        <v>0.8075290764</v>
      </c>
      <c r="AS115" s="30">
        <f>IFERROR(__xludf.DUMMYFUNCTION("""COMPUTED_VALUE"""),61.0)</f>
        <v>61</v>
      </c>
      <c r="AT115" s="30">
        <f>IFERROR(__xludf.DUMMYFUNCTION("""COMPUTED_VALUE"""),0.3889095038523541)</f>
        <v>0.3889095039</v>
      </c>
      <c r="AU115" s="30">
        <f>IFERROR(__xludf.DUMMYFUNCTION("""COMPUTED_VALUE"""),2.6362429960002043)</f>
        <v>2.636242996</v>
      </c>
      <c r="AV115" s="32">
        <f>IFERROR(__xludf.DUMMYFUNCTION("""COMPUTED_VALUE"""),40.42512587101866)</f>
        <v>40.42512587</v>
      </c>
      <c r="AW115" s="32">
        <f>IFERROR(__xludf.DUMMYFUNCTION("""COMPUTED_VALUE"""),-2.850125452489899)</f>
        <v>-2.850125452</v>
      </c>
      <c r="AX115" s="32">
        <f>IFERROR(__xludf.DUMMYFUNCTION("""COMPUTED_VALUE"""),37.41192033150891)</f>
        <v>37.41192033</v>
      </c>
      <c r="AY115" s="32">
        <f>IFERROR(__xludf.DUMMYFUNCTION("""COMPUTED_VALUE"""),-3.2541676639696506)</f>
        <v>-3.254167664</v>
      </c>
      <c r="AZ115" s="30">
        <f>IFERROR(__xludf.DUMMYFUNCTION("""COMPUTED_VALUE"""),0.4040422114797515)</f>
        <v>0.4040422115</v>
      </c>
      <c r="BA115" s="30">
        <f>IFERROR(__xludf.DUMMYFUNCTION("""COMPUTED_VALUE"""),450.0)</f>
        <v>450</v>
      </c>
    </row>
    <row r="116">
      <c r="A116" s="30" t="str">
        <f>IFERROR(__xludf.DUMMYFUNCTION("""COMPUTED_VALUE"""),"Master")</f>
        <v>Master</v>
      </c>
      <c r="B116" s="30" t="str">
        <f>IFERROR(__xludf.DUMMYFUNCTION("""COMPUTED_VALUE"""),"RSC007878")</f>
        <v>RSC007878</v>
      </c>
      <c r="C116" s="30" t="str">
        <f>IFERROR(__xludf.DUMMYFUNCTION("""COMPUTED_VALUE"""),"oneam")</f>
        <v>oneam</v>
      </c>
      <c r="D116" s="30" t="str">
        <f>IFERROR(__xludf.DUMMYFUNCTION("""COMPUTED_VALUE"""),"Hard Hats")</f>
        <v>Hard Hats</v>
      </c>
      <c r="E116" s="30">
        <f>IFERROR(__xludf.DUMMYFUNCTION("""COMPUTED_VALUE"""),22.0)</f>
        <v>22</v>
      </c>
      <c r="F116" s="30">
        <f>IFERROR(__xludf.DUMMYFUNCTION("""COMPUTED_VALUE"""),5.0)</f>
        <v>5</v>
      </c>
      <c r="G116" s="30">
        <f>IFERROR(__xludf.DUMMYFUNCTION("""COMPUTED_VALUE"""),17.0)</f>
        <v>17</v>
      </c>
      <c r="H116" s="42">
        <f>IFERROR(__xludf.DUMMYFUNCTION("""COMPUTED_VALUE"""),0.22727272727272727)</f>
        <v>0.2272727273</v>
      </c>
      <c r="I116" s="42">
        <f>IFERROR(__xludf.DUMMYFUNCTION("""COMPUTED_VALUE"""),0.3111111111111111)</f>
        <v>0.3111111111</v>
      </c>
      <c r="J116" s="30">
        <f>IFERROR(__xludf.DUMMYFUNCTION("""COMPUTED_VALUE"""),333.72727272727275)</f>
        <v>333.7272727</v>
      </c>
      <c r="K116" s="30">
        <f>IFERROR(__xludf.DUMMYFUNCTION("""COMPUTED_VALUE"""),0.6363636363636364)</f>
        <v>0.6363636364</v>
      </c>
      <c r="L116" s="30">
        <f>IFERROR(__xludf.DUMMYFUNCTION("""COMPUTED_VALUE"""),0.3181818181818182)</f>
        <v>0.3181818182</v>
      </c>
      <c r="M116" s="30">
        <f>IFERROR(__xludf.DUMMYFUNCTION("""COMPUTED_VALUE"""),1.5909090909090908)</f>
        <v>1.590909091</v>
      </c>
      <c r="N116" s="30">
        <f>IFERROR(__xludf.DUMMYFUNCTION("""COMPUTED_VALUE"""),2.0454545454545454)</f>
        <v>2.045454545</v>
      </c>
      <c r="O116" s="30">
        <f>IFERROR(__xludf.DUMMYFUNCTION("""COMPUTED_VALUE"""),395.54545454545456)</f>
        <v>395.5454545</v>
      </c>
      <c r="P116" s="30">
        <f>IFERROR(__xludf.DUMMYFUNCTION("""COMPUTED_VALUE"""),0.9848484848484849)</f>
        <v>0.9848484848</v>
      </c>
      <c r="Q116" s="30">
        <f>IFERROR(__xludf.DUMMYFUNCTION("""COMPUTED_VALUE"""),0.7272727272727274)</f>
        <v>0.7272727273</v>
      </c>
      <c r="R116" s="30">
        <f>IFERROR(__xludf.DUMMYFUNCTION("""COMPUTED_VALUE"""),1.3939393939393943)</f>
        <v>1.393939394</v>
      </c>
      <c r="S116" s="30">
        <f>IFERROR(__xludf.DUMMYFUNCTION("""COMPUTED_VALUE"""),2.939393939393939)</f>
        <v>2.939393939</v>
      </c>
      <c r="T116" s="30">
        <f>IFERROR(__xludf.DUMMYFUNCTION("""COMPUTED_VALUE"""),393.84247133835544)</f>
        <v>393.8424713</v>
      </c>
      <c r="U116" s="30">
        <f>IFERROR(__xludf.DUMMYFUNCTION("""COMPUTED_VALUE"""),0.9295990924815297)</f>
        <v>0.9295990925</v>
      </c>
      <c r="V116" s="30">
        <f>IFERROR(__xludf.DUMMYFUNCTION("""COMPUTED_VALUE"""),0.7130671939622245)</f>
        <v>0.713067194</v>
      </c>
      <c r="W116" s="30">
        <f>IFERROR(__xludf.DUMMYFUNCTION("""COMPUTED_VALUE"""),1.4277992280739074)</f>
        <v>1.427799228</v>
      </c>
      <c r="X116" s="30">
        <f>IFERROR(__xludf.DUMMYFUNCTION("""COMPUTED_VALUE"""),2.8788136219889098)</f>
        <v>2.878813622</v>
      </c>
      <c r="Y116" s="30">
        <f>IFERROR(__xludf.DUMMYFUNCTION("""COMPUTED_VALUE"""),365.4202703143836)</f>
        <v>365.4202703</v>
      </c>
      <c r="Z116" s="30">
        <f>IFERROR(__xludf.DUMMYFUNCTION("""COMPUTED_VALUE"""),0.7765885316644556)</f>
        <v>0.7765885317</v>
      </c>
      <c r="AA116" s="30">
        <f>IFERROR(__xludf.DUMMYFUNCTION("""COMPUTED_VALUE"""),0.574279716482359)</f>
        <v>0.5742797165</v>
      </c>
      <c r="AB116" s="30">
        <f>IFERROR(__xludf.DUMMYFUNCTION("""COMPUTED_VALUE"""),1.456528984615248)</f>
        <v>1.456528985</v>
      </c>
      <c r="AC116" s="30">
        <f>IFERROR(__xludf.DUMMYFUNCTION("""COMPUTED_VALUE"""),2.614130710674688)</f>
        <v>2.614130711</v>
      </c>
      <c r="AD116" s="30">
        <f>IFERROR(__xludf.DUMMYFUNCTION("""COMPUTED_VALUE"""),0.913269733066958)</f>
        <v>0.9132697331</v>
      </c>
      <c r="AE116" s="30">
        <f>IFERROR(__xludf.DUMMYFUNCTION("""COMPUTED_VALUE"""),0.8194347590991635)</f>
        <v>0.8194347591</v>
      </c>
      <c r="AF116" s="30">
        <f>IFERROR(__xludf.DUMMYFUNCTION("""COMPUTED_VALUE"""),0.5540537286094315)</f>
        <v>0.5540537286</v>
      </c>
      <c r="AG116" s="30">
        <f>IFERROR(__xludf.DUMMYFUNCTION("""COMPUTED_VALUE"""),1.092260509549242)</f>
        <v>1.09226051</v>
      </c>
      <c r="AH116" s="30">
        <f>IFERROR(__xludf.DUMMYFUNCTION("""COMPUTED_VALUE"""),0.7824606998808521)</f>
        <v>0.7824606999</v>
      </c>
      <c r="AI116" s="30">
        <f>IFERROR(__xludf.DUMMYFUNCTION("""COMPUTED_VALUE"""),1.0043240212293816)</f>
        <v>1.004324021</v>
      </c>
      <c r="AJ116" s="30">
        <f>IFERROR(__xludf.DUMMYFUNCTION("""COMPUTED_VALUE"""),1.0594335696041495)</f>
        <v>1.05943357</v>
      </c>
      <c r="AK116" s="30">
        <f>IFERROR(__xludf.DUMMYFUNCTION("""COMPUTED_VALUE"""),1.0199217316836138)</f>
        <v>1.019921732</v>
      </c>
      <c r="AL116" s="30">
        <f>IFERROR(__xludf.DUMMYFUNCTION("""COMPUTED_VALUE"""),0.9762852973522126)</f>
        <v>0.9762852974</v>
      </c>
      <c r="AM116" s="30">
        <f>IFERROR(__xludf.DUMMYFUNCTION("""COMPUTED_VALUE"""),1.0210435010249728)</f>
        <v>1.021043501</v>
      </c>
      <c r="AN116" s="30">
        <f>IFERROR(__xludf.DUMMYFUNCTION("""COMPUTED_VALUE"""),0.9048524394591472)</f>
        <v>0.9048524395</v>
      </c>
      <c r="AO116" s="30">
        <f>IFERROR(__xludf.DUMMYFUNCTION("""COMPUTED_VALUE"""),0.8292430938341404)</f>
        <v>0.8292430938</v>
      </c>
      <c r="AP116" s="30">
        <f>IFERROR(__xludf.DUMMYFUNCTION("""COMPUTED_VALUE"""),0.49948733659112987)</f>
        <v>0.4994873366</v>
      </c>
      <c r="AQ116" s="30">
        <f>IFERROR(__xludf.DUMMYFUNCTION("""COMPUTED_VALUE"""),1.0868997253313544)</f>
        <v>1.086899725</v>
      </c>
      <c r="AR116" s="30">
        <f>IFERROR(__xludf.DUMMYFUNCTION("""COMPUTED_VALUE"""),0.7581867632520953)</f>
        <v>0.7581867633</v>
      </c>
      <c r="AS116" s="30">
        <f>IFERROR(__xludf.DUMMYFUNCTION("""COMPUTED_VALUE"""),41.0)</f>
        <v>41</v>
      </c>
      <c r="AT116" s="30">
        <f>IFERROR(__xludf.DUMMYFUNCTION("""COMPUTED_VALUE"""),0.3265949729788528)</f>
        <v>0.326594973</v>
      </c>
      <c r="AU116" s="30">
        <f>IFERROR(__xludf.DUMMYFUNCTION("""COMPUTED_VALUE"""),2.1189498421986284)</f>
        <v>2.118949842</v>
      </c>
      <c r="AV116" s="32">
        <f>IFERROR(__xludf.DUMMYFUNCTION("""COMPUTED_VALUE"""),27.785271769222312)</f>
        <v>27.78527177</v>
      </c>
      <c r="AW116" s="32">
        <f>IFERROR(__xludf.DUMMYFUNCTION("""COMPUTED_VALUE"""),-5.344393584476933)</f>
        <v>-5.344393584</v>
      </c>
      <c r="AX116" s="32">
        <f>IFERROR(__xludf.DUMMYFUNCTION("""COMPUTED_VALUE"""),26.539998660585574)</f>
        <v>26.53999866</v>
      </c>
      <c r="AY116" s="32">
        <f>IFERROR(__xludf.DUMMYFUNCTION("""COMPUTED_VALUE"""),-5.746484771942646)</f>
        <v>-5.746484772</v>
      </c>
      <c r="AZ116" s="30">
        <f>IFERROR(__xludf.DUMMYFUNCTION("""COMPUTED_VALUE"""),0.4020911874657136)</f>
        <v>0.4020911875</v>
      </c>
      <c r="BA116" s="30">
        <f>IFERROR(__xludf.DUMMYFUNCTION("""COMPUTED_VALUE"""),450.0)</f>
        <v>450</v>
      </c>
    </row>
    <row r="117">
      <c r="A117" s="30" t="str">
        <f>IFERROR(__xludf.DUMMYFUNCTION("""COMPUTED_VALUE"""),"Master")</f>
        <v>Master</v>
      </c>
      <c r="B117" s="30" t="str">
        <f>IFERROR(__xludf.DUMMYFUNCTION("""COMPUTED_VALUE"""),"RSC007106")</f>
        <v>RSC007106</v>
      </c>
      <c r="C117" s="30" t="str">
        <f>IFERROR(__xludf.DUMMYFUNCTION("""COMPUTED_VALUE"""),"Sim")</f>
        <v>Sim</v>
      </c>
      <c r="D117" s="30" t="str">
        <f>IFERROR(__xludf.DUMMYFUNCTION("""COMPUTED_VALUE"""),"Tempests")</f>
        <v>Tempests</v>
      </c>
      <c r="E117" s="30">
        <f>IFERROR(__xludf.DUMMYFUNCTION("""COMPUTED_VALUE"""),36.0)</f>
        <v>36</v>
      </c>
      <c r="F117" s="30">
        <f>IFERROR(__xludf.DUMMYFUNCTION("""COMPUTED_VALUE"""),19.0)</f>
        <v>19</v>
      </c>
      <c r="G117" s="30">
        <f>IFERROR(__xludf.DUMMYFUNCTION("""COMPUTED_VALUE"""),17.0)</f>
        <v>17</v>
      </c>
      <c r="H117" s="42">
        <f>IFERROR(__xludf.DUMMYFUNCTION("""COMPUTED_VALUE"""),0.5277777777777778)</f>
        <v>0.5277777778</v>
      </c>
      <c r="I117" s="42">
        <f>IFERROR(__xludf.DUMMYFUNCTION("""COMPUTED_VALUE"""),0.31683168316831684)</f>
        <v>0.3168316832</v>
      </c>
      <c r="J117" s="30">
        <f>IFERROR(__xludf.DUMMYFUNCTION("""COMPUTED_VALUE"""),393.3888888888889)</f>
        <v>393.3888889</v>
      </c>
      <c r="K117" s="30">
        <f>IFERROR(__xludf.DUMMYFUNCTION("""COMPUTED_VALUE"""),0.8888888888888888)</f>
        <v>0.8888888889</v>
      </c>
      <c r="L117" s="30">
        <f>IFERROR(__xludf.DUMMYFUNCTION("""COMPUTED_VALUE"""),0.5555555555555556)</f>
        <v>0.5555555556</v>
      </c>
      <c r="M117" s="30">
        <f>IFERROR(__xludf.DUMMYFUNCTION("""COMPUTED_VALUE"""),1.5833333333333333)</f>
        <v>1.583333333</v>
      </c>
      <c r="N117" s="30">
        <f>IFERROR(__xludf.DUMMYFUNCTION("""COMPUTED_VALUE"""),2.8055555555555554)</f>
        <v>2.805555556</v>
      </c>
      <c r="O117" s="30">
        <f>IFERROR(__xludf.DUMMYFUNCTION("""COMPUTED_VALUE"""),354.4351851851852)</f>
        <v>354.4351852</v>
      </c>
      <c r="P117" s="30">
        <f>IFERROR(__xludf.DUMMYFUNCTION("""COMPUTED_VALUE"""),0.8518518518518516)</f>
        <v>0.8518518519</v>
      </c>
      <c r="Q117" s="30">
        <f>IFERROR(__xludf.DUMMYFUNCTION("""COMPUTED_VALUE"""),0.5925925925925924)</f>
        <v>0.5925925926</v>
      </c>
      <c r="R117" s="30">
        <f>IFERROR(__xludf.DUMMYFUNCTION("""COMPUTED_VALUE"""),1.287037037037037)</f>
        <v>1.287037037</v>
      </c>
      <c r="S117" s="30">
        <f>IFERROR(__xludf.DUMMYFUNCTION("""COMPUTED_VALUE"""),2.6388888888888884)</f>
        <v>2.638888889</v>
      </c>
      <c r="T117" s="30">
        <f>IFERROR(__xludf.DUMMYFUNCTION("""COMPUTED_VALUE"""),379.8152630550104)</f>
        <v>379.8152631</v>
      </c>
      <c r="U117" s="30">
        <f>IFERROR(__xludf.DUMMYFUNCTION("""COMPUTED_VALUE"""),0.8424560918186246)</f>
        <v>0.8424560918</v>
      </c>
      <c r="V117" s="30">
        <f>IFERROR(__xludf.DUMMYFUNCTION("""COMPUTED_VALUE"""),0.6719799938475118)</f>
        <v>0.6719799938</v>
      </c>
      <c r="W117" s="30">
        <f>IFERROR(__xludf.DUMMYFUNCTION("""COMPUTED_VALUE"""),1.4805350012642815)</f>
        <v>1.480535001</v>
      </c>
      <c r="X117" s="30">
        <f>IFERROR(__xludf.DUMMYFUNCTION("""COMPUTED_VALUE"""),2.76395318754764)</f>
        <v>2.763953188</v>
      </c>
      <c r="Y117" s="30">
        <f>IFERROR(__xludf.DUMMYFUNCTION("""COMPUTED_VALUE"""),377.95277758707437)</f>
        <v>377.9527776</v>
      </c>
      <c r="Z117" s="30">
        <f>IFERROR(__xludf.DUMMYFUNCTION("""COMPUTED_VALUE"""),0.8442513976578581)</f>
        <v>0.8442513977</v>
      </c>
      <c r="AA117" s="30">
        <f>IFERROR(__xludf.DUMMYFUNCTION("""COMPUTED_VALUE"""),0.6376029476434268)</f>
        <v>0.6376029476</v>
      </c>
      <c r="AB117" s="30">
        <f>IFERROR(__xludf.DUMMYFUNCTION("""COMPUTED_VALUE"""),1.4567490985293792)</f>
        <v>1.456749099</v>
      </c>
      <c r="AC117" s="30">
        <f>IFERROR(__xludf.DUMMYFUNCTION("""COMPUTED_VALUE"""),2.764659652873395)</f>
        <v>2.764659653</v>
      </c>
      <c r="AD117" s="30">
        <f>IFERROR(__xludf.DUMMYFUNCTION("""COMPUTED_VALUE"""),1.040841375476486)</f>
        <v>1.040841375</v>
      </c>
      <c r="AE117" s="30">
        <f>IFERROR(__xludf.DUMMYFUNCTION("""COMPUTED_VALUE"""),1.0528722740108754)</f>
        <v>1.052872274</v>
      </c>
      <c r="AF117" s="30">
        <f>IFERROR(__xludf.DUMMYFUNCTION("""COMPUTED_VALUE"""),0.871318988735674)</f>
        <v>0.8713189887</v>
      </c>
      <c r="AG117" s="30">
        <f>IFERROR(__xludf.DUMMYFUNCTION("""COMPUTED_VALUE"""),1.0868950150247174)</f>
        <v>1.086895015</v>
      </c>
      <c r="AH117" s="30">
        <f>IFERROR(__xludf.DUMMYFUNCTION("""COMPUTED_VALUE"""),1.014792382360576)</f>
        <v>1.014792382</v>
      </c>
      <c r="AI117" s="30">
        <f>IFERROR(__xludf.DUMMYFUNCTION("""COMPUTED_VALUE"""),0.9331778358097492)</f>
        <v>0.9331778358</v>
      </c>
      <c r="AJ117" s="30">
        <f>IFERROR(__xludf.DUMMYFUNCTION("""COMPUTED_VALUE"""),1.0111528186744358)</f>
        <v>1.011152819</v>
      </c>
      <c r="AK117" s="30">
        <f>IFERROR(__xludf.DUMMYFUNCTION("""COMPUTED_VALUE"""),0.8818604690887059)</f>
        <v>0.8818604691</v>
      </c>
      <c r="AL117" s="30">
        <f>IFERROR(__xludf.DUMMYFUNCTION("""COMPUTED_VALUE"""),0.8693053767307023)</f>
        <v>0.8693053767</v>
      </c>
      <c r="AM117" s="30">
        <f>IFERROR(__xludf.DUMMYFUNCTION("""COMPUTED_VALUE"""),0.9547516581604203)</f>
        <v>0.9547516582</v>
      </c>
      <c r="AN117" s="30">
        <f>IFERROR(__xludf.DUMMYFUNCTION("""COMPUTED_VALUE"""),1.0666161409533041)</f>
        <v>1.066616141</v>
      </c>
      <c r="AO117" s="30">
        <f>IFERROR(__xludf.DUMMYFUNCTION("""COMPUTED_VALUE"""),1.1583078136095928)</f>
        <v>1.158307814</v>
      </c>
      <c r="AP117" s="30">
        <f>IFERROR(__xludf.DUMMYFUNCTION("""COMPUTED_VALUE"""),0.872120746428957)</f>
        <v>0.8721207464</v>
      </c>
      <c r="AQ117" s="30">
        <f>IFERROR(__xludf.DUMMYFUNCTION("""COMPUTED_VALUE"""),1.081724012353586)</f>
        <v>1.081724012</v>
      </c>
      <c r="AR117" s="30">
        <f>IFERROR(__xludf.DUMMYFUNCTION("""COMPUTED_VALUE"""),1.0399327086087382)</f>
        <v>1.039932709</v>
      </c>
      <c r="AS117" s="30">
        <f>IFERROR(__xludf.DUMMYFUNCTION("""COMPUTED_VALUE"""),92.0)</f>
        <v>92</v>
      </c>
      <c r="AT117" s="30">
        <f>IFERROR(__xludf.DUMMYFUNCTION("""COMPUTED_VALUE"""),0.5000000000000001)</f>
        <v>0.5</v>
      </c>
      <c r="AU117" s="30">
        <f>IFERROR(__xludf.DUMMYFUNCTION("""COMPUTED_VALUE"""),3.2918515883224178)</f>
        <v>3.291851588</v>
      </c>
      <c r="AV117" s="32">
        <f>IFERROR(__xludf.DUMMYFUNCTION("""COMPUTED_VALUE"""),56.44466313714594)</f>
        <v>56.44466314</v>
      </c>
      <c r="AW117" s="32">
        <f>IFERROR(__xludf.DUMMYFUNCTION("""COMPUTED_VALUE"""),2.510759658967879)</f>
        <v>2.510759659</v>
      </c>
      <c r="AX117" s="32">
        <f>IFERROR(__xludf.DUMMYFUNCTION("""COMPUTED_VALUE"""),59.169592621368636)</f>
        <v>59.16959262</v>
      </c>
      <c r="AY117" s="32">
        <f>IFERROR(__xludf.DUMMYFUNCTION("""COMPUTED_VALUE"""),2.8019823777740487)</f>
        <v>2.801982378</v>
      </c>
      <c r="AZ117" s="30">
        <f>IFERROR(__xludf.DUMMYFUNCTION("""COMPUTED_VALUE"""),0.29122271880616957)</f>
        <v>0.2912227188</v>
      </c>
      <c r="BA117" s="30">
        <f>IFERROR(__xludf.DUMMYFUNCTION("""COMPUTED_VALUE"""),450.0)</f>
        <v>450</v>
      </c>
    </row>
    <row r="118">
      <c r="A118" s="30" t="str">
        <f>IFERROR(__xludf.DUMMYFUNCTION("""COMPUTED_VALUE"""),"Master")</f>
        <v>Master</v>
      </c>
      <c r="B118" s="30" t="str">
        <f>IFERROR(__xludf.DUMMYFUNCTION("""COMPUTED_VALUE"""),"RSC007605")</f>
        <v>RSC007605</v>
      </c>
      <c r="C118" s="30" t="str">
        <f>IFERROR(__xludf.DUMMYFUNCTION("""COMPUTED_VALUE"""),"Afterburner3375")</f>
        <v>Afterburner3375</v>
      </c>
      <c r="D118" s="30" t="str">
        <f>IFERROR(__xludf.DUMMYFUNCTION("""COMPUTED_VALUE"""),"Oblivion")</f>
        <v>Oblivion</v>
      </c>
      <c r="E118" s="30">
        <f>IFERROR(__xludf.DUMMYFUNCTION("""COMPUTED_VALUE"""),36.0)</f>
        <v>36</v>
      </c>
      <c r="F118" s="30">
        <f>IFERROR(__xludf.DUMMYFUNCTION("""COMPUTED_VALUE"""),25.0)</f>
        <v>25</v>
      </c>
      <c r="G118" s="30">
        <f>IFERROR(__xludf.DUMMYFUNCTION("""COMPUTED_VALUE"""),11.0)</f>
        <v>11</v>
      </c>
      <c r="H118" s="42">
        <f>IFERROR(__xludf.DUMMYFUNCTION("""COMPUTED_VALUE"""),0.6944444444444444)</f>
        <v>0.6944444444</v>
      </c>
      <c r="I118" s="42">
        <f>IFERROR(__xludf.DUMMYFUNCTION("""COMPUTED_VALUE"""),0.4036697247706422)</f>
        <v>0.4036697248</v>
      </c>
      <c r="J118" s="30">
        <f>IFERROR(__xludf.DUMMYFUNCTION("""COMPUTED_VALUE"""),415.8611111111111)</f>
        <v>415.8611111</v>
      </c>
      <c r="K118" s="30">
        <f>IFERROR(__xludf.DUMMYFUNCTION("""COMPUTED_VALUE"""),1.2222222222222223)</f>
        <v>1.222222222</v>
      </c>
      <c r="L118" s="30">
        <f>IFERROR(__xludf.DUMMYFUNCTION("""COMPUTED_VALUE"""),0.8611111111111112)</f>
        <v>0.8611111111</v>
      </c>
      <c r="M118" s="30">
        <f>IFERROR(__xludf.DUMMYFUNCTION("""COMPUTED_VALUE"""),1.2777777777777777)</f>
        <v>1.277777778</v>
      </c>
      <c r="N118" s="30">
        <f>IFERROR(__xludf.DUMMYFUNCTION("""COMPUTED_VALUE"""),3.0277777777777777)</f>
        <v>3.027777778</v>
      </c>
      <c r="O118" s="30">
        <f>IFERROR(__xludf.DUMMYFUNCTION("""COMPUTED_VALUE"""),337.03703703703707)</f>
        <v>337.037037</v>
      </c>
      <c r="P118" s="30">
        <f>IFERROR(__xludf.DUMMYFUNCTION("""COMPUTED_VALUE"""),0.6944444444444444)</f>
        <v>0.6944444444</v>
      </c>
      <c r="Q118" s="30">
        <f>IFERROR(__xludf.DUMMYFUNCTION("""COMPUTED_VALUE"""),0.4722222222222223)</f>
        <v>0.4722222222</v>
      </c>
      <c r="R118" s="30">
        <f>IFERROR(__xludf.DUMMYFUNCTION("""COMPUTED_VALUE"""),1.3240740740740742)</f>
        <v>1.324074074</v>
      </c>
      <c r="S118" s="30">
        <f>IFERROR(__xludf.DUMMYFUNCTION("""COMPUTED_VALUE"""),2.435185185185185)</f>
        <v>2.435185185</v>
      </c>
      <c r="T118" s="30">
        <f>IFERROR(__xludf.DUMMYFUNCTION("""COMPUTED_VALUE"""),371.16792026445887)</f>
        <v>371.1679203</v>
      </c>
      <c r="U118" s="30">
        <f>IFERROR(__xludf.DUMMYFUNCTION("""COMPUTED_VALUE"""),0.7322734158358828)</f>
        <v>0.7322734158</v>
      </c>
      <c r="V118" s="30">
        <f>IFERROR(__xludf.DUMMYFUNCTION("""COMPUTED_VALUE"""),0.5968819245902108)</f>
        <v>0.5968819246</v>
      </c>
      <c r="W118" s="30">
        <f>IFERROR(__xludf.DUMMYFUNCTION("""COMPUTED_VALUE"""),1.5555377454657187)</f>
        <v>1.555537745</v>
      </c>
      <c r="X118" s="30">
        <f>IFERROR(__xludf.DUMMYFUNCTION("""COMPUTED_VALUE"""),2.7786657039971967)</f>
        <v>2.778665704</v>
      </c>
      <c r="Y118" s="30">
        <f>IFERROR(__xludf.DUMMYFUNCTION("""COMPUTED_VALUE"""),399.97102755039174)</f>
        <v>399.9710276</v>
      </c>
      <c r="Z118" s="30">
        <f>IFERROR(__xludf.DUMMYFUNCTION("""COMPUTED_VALUE"""),0.9465707667516009)</f>
        <v>0.9465707668</v>
      </c>
      <c r="AA118" s="30">
        <f>IFERROR(__xludf.DUMMYFUNCTION("""COMPUTED_VALUE"""),0.7160144291622331)</f>
        <v>0.7160144292</v>
      </c>
      <c r="AB118" s="30">
        <f>IFERROR(__xludf.DUMMYFUNCTION("""COMPUTED_VALUE"""),1.5343530320242875)</f>
        <v>1.534353032</v>
      </c>
      <c r="AC118" s="30">
        <f>IFERROR(__xludf.DUMMYFUNCTION("""COMPUTED_VALUE"""),2.91541843786635)</f>
        <v>2.915418438</v>
      </c>
      <c r="AD118" s="30">
        <f>IFERROR(__xludf.DUMMYFUNCTION("""COMPUTED_VALUE"""),1.0397280864517553)</f>
        <v>1.039728086</v>
      </c>
      <c r="AE118" s="30">
        <f>IFERROR(__xludf.DUMMYFUNCTION("""COMPUTED_VALUE"""),1.2912106153632756)</f>
        <v>1.291210615</v>
      </c>
      <c r="AF118" s="30">
        <f>IFERROR(__xludf.DUMMYFUNCTION("""COMPUTED_VALUE"""),1.202644913341547)</f>
        <v>1.202644913</v>
      </c>
      <c r="AG118" s="30">
        <f>IFERROR(__xludf.DUMMYFUNCTION("""COMPUTED_VALUE"""),0.8327795175612176)</f>
        <v>0.8327795176</v>
      </c>
      <c r="AH118" s="30">
        <f>IFERROR(__xludf.DUMMYFUNCTION("""COMPUTED_VALUE"""),1.038539695863918)</f>
        <v>1.038539696</v>
      </c>
      <c r="AI118" s="30">
        <f>IFERROR(__xludf.DUMMYFUNCTION("""COMPUTED_VALUE"""),0.9080446305728593)</f>
        <v>0.9080446306</v>
      </c>
      <c r="AJ118" s="30">
        <f>IFERROR(__xludf.DUMMYFUNCTION("""COMPUTED_VALUE"""),0.9483403731811608)</f>
        <v>0.9483403732</v>
      </c>
      <c r="AK118" s="30">
        <f>IFERROR(__xludf.DUMMYFUNCTION("""COMPUTED_VALUE"""),0.7911484713604393)</f>
        <v>0.7911484714</v>
      </c>
      <c r="AL118" s="30">
        <f>IFERROR(__xludf.DUMMYFUNCTION("""COMPUTED_VALUE"""),0.8512002218741753)</f>
        <v>0.8512002219</v>
      </c>
      <c r="AM118" s="30">
        <f>IFERROR(__xludf.DUMMYFUNCTION("""COMPUTED_VALUE"""),0.8763865266995219)</f>
        <v>0.8763865267</v>
      </c>
      <c r="AN118" s="30">
        <f>IFERROR(__xludf.DUMMYFUNCTION("""COMPUTED_VALUE"""),1.1275462679149777)</f>
        <v>1.127546268</v>
      </c>
      <c r="AO118" s="30">
        <f>IFERROR(__xludf.DUMMYFUNCTION("""COMPUTED_VALUE"""),1.5926732437131903)</f>
        <v>1.592673244</v>
      </c>
      <c r="AP118" s="30">
        <f>IFERROR(__xludf.DUMMYFUNCTION("""COMPUTED_VALUE"""),1.3517871569648834)</f>
        <v>1.351787157</v>
      </c>
      <c r="AQ118" s="30">
        <f>IFERROR(__xludf.DUMMYFUNCTION("""COMPUTED_VALUE"""),0.8729702555835958)</f>
        <v>0.8729702556</v>
      </c>
      <c r="AR118" s="30">
        <f>IFERROR(__xludf.DUMMYFUNCTION("""COMPUTED_VALUE"""),1.1223036162213116)</f>
        <v>1.122303616</v>
      </c>
      <c r="AS118" s="30">
        <f>IFERROR(__xludf.DUMMYFUNCTION("""COMPUTED_VALUE"""),113.0)</f>
        <v>113</v>
      </c>
      <c r="AT118" s="30">
        <f>IFERROR(__xludf.DUMMYFUNCTION("""COMPUTED_VALUE"""),0.6589732187302225)</f>
        <v>0.6589732187</v>
      </c>
      <c r="AU118" s="30">
        <f>IFERROR(__xludf.DUMMYFUNCTION("""COMPUTED_VALUE"""),4.302027990105099)</f>
        <v>4.30202799</v>
      </c>
      <c r="AV118" s="32">
        <f>IFERROR(__xludf.DUMMYFUNCTION("""COMPUTED_VALUE"""),81.12792492357285)</f>
        <v>81.12792492</v>
      </c>
      <c r="AW118" s="32">
        <f>IFERROR(__xludf.DUMMYFUNCTION("""COMPUTED_VALUE"""),9.385760752034354)</f>
        <v>9.385760752</v>
      </c>
      <c r="AX118" s="32">
        <f>IFERROR(__xludf.DUMMYFUNCTION("""COMPUTED_VALUE"""),80.71110598509418)</f>
        <v>80.71110599</v>
      </c>
      <c r="AY118" s="32">
        <f>IFERROR(__xludf.DUMMYFUNCTION("""COMPUTED_VALUE"""),9.12074847530549)</f>
        <v>9.120748475</v>
      </c>
      <c r="AZ118" s="30">
        <f>IFERROR(__xludf.DUMMYFUNCTION("""COMPUTED_VALUE"""),0.2650122767288643)</f>
        <v>0.2650122767</v>
      </c>
      <c r="BA118" s="30">
        <f>IFERROR(__xludf.DUMMYFUNCTION("""COMPUTED_VALUE"""),450.0)</f>
        <v>450</v>
      </c>
    </row>
    <row r="119">
      <c r="A119" s="30" t="str">
        <f>IFERROR(__xludf.DUMMYFUNCTION("""COMPUTED_VALUE"""),"Master")</f>
        <v>Master</v>
      </c>
      <c r="B119" s="30" t="str">
        <f>IFERROR(__xludf.DUMMYFUNCTION("""COMPUTED_VALUE"""),"RSC007565")</f>
        <v>RSC007565</v>
      </c>
      <c r="C119" s="30" t="str">
        <f>IFERROR(__xludf.DUMMYFUNCTION("""COMPUTED_VALUE"""),"AcX")</f>
        <v>AcX</v>
      </c>
      <c r="D119" s="30" t="str">
        <f>IFERROR(__xludf.DUMMYFUNCTION("""COMPUTED_VALUE"""),"Care Bears")</f>
        <v>Care Bears</v>
      </c>
      <c r="E119" s="30">
        <f>IFERROR(__xludf.DUMMYFUNCTION("""COMPUTED_VALUE"""),27.0)</f>
        <v>27</v>
      </c>
      <c r="F119" s="30">
        <f>IFERROR(__xludf.DUMMYFUNCTION("""COMPUTED_VALUE"""),11.0)</f>
        <v>11</v>
      </c>
      <c r="G119" s="30">
        <f>IFERROR(__xludf.DUMMYFUNCTION("""COMPUTED_VALUE"""),16.0)</f>
        <v>16</v>
      </c>
      <c r="H119" s="42">
        <f>IFERROR(__xludf.DUMMYFUNCTION("""COMPUTED_VALUE"""),0.4074074074074074)</f>
        <v>0.4074074074</v>
      </c>
      <c r="I119" s="42">
        <f>IFERROR(__xludf.DUMMYFUNCTION("""COMPUTED_VALUE"""),0.2716049382716049)</f>
        <v>0.2716049383</v>
      </c>
      <c r="J119" s="30">
        <f>IFERROR(__xludf.DUMMYFUNCTION("""COMPUTED_VALUE"""),370.81481481481484)</f>
        <v>370.8148148</v>
      </c>
      <c r="K119" s="30">
        <f>IFERROR(__xludf.DUMMYFUNCTION("""COMPUTED_VALUE"""),0.8148148148148148)</f>
        <v>0.8148148148</v>
      </c>
      <c r="L119" s="30">
        <f>IFERROR(__xludf.DUMMYFUNCTION("""COMPUTED_VALUE"""),0.48148148148148145)</f>
        <v>0.4814814815</v>
      </c>
      <c r="M119" s="30">
        <f>IFERROR(__xludf.DUMMYFUNCTION("""COMPUTED_VALUE"""),1.3333333333333333)</f>
        <v>1.333333333</v>
      </c>
      <c r="N119" s="30">
        <f>IFERROR(__xludf.DUMMYFUNCTION("""COMPUTED_VALUE"""),3.0)</f>
        <v>3</v>
      </c>
      <c r="O119" s="30">
        <f>IFERROR(__xludf.DUMMYFUNCTION("""COMPUTED_VALUE"""),393.11111111111103)</f>
        <v>393.1111111</v>
      </c>
      <c r="P119" s="30">
        <f>IFERROR(__xludf.DUMMYFUNCTION("""COMPUTED_VALUE"""),0.9506172839506172)</f>
        <v>0.950617284</v>
      </c>
      <c r="Q119" s="30">
        <f>IFERROR(__xludf.DUMMYFUNCTION("""COMPUTED_VALUE"""),0.728395061728395)</f>
        <v>0.7283950617</v>
      </c>
      <c r="R119" s="30">
        <f>IFERROR(__xludf.DUMMYFUNCTION("""COMPUTED_VALUE"""),1.4938271604938274)</f>
        <v>1.49382716</v>
      </c>
      <c r="S119" s="30">
        <f>IFERROR(__xludf.DUMMYFUNCTION("""COMPUTED_VALUE"""),2.7530864197530867)</f>
        <v>2.75308642</v>
      </c>
      <c r="T119" s="30">
        <f>IFERROR(__xludf.DUMMYFUNCTION("""COMPUTED_VALUE"""),392.20459997044975)</f>
        <v>392.2046</v>
      </c>
      <c r="U119" s="30">
        <f>IFERROR(__xludf.DUMMYFUNCTION("""COMPUTED_VALUE"""),0.9105815546192852)</f>
        <v>0.9105815546</v>
      </c>
      <c r="V119" s="30">
        <f>IFERROR(__xludf.DUMMYFUNCTION("""COMPUTED_VALUE"""),0.6702453844489036)</f>
        <v>0.6702453844</v>
      </c>
      <c r="W119" s="30">
        <f>IFERROR(__xludf.DUMMYFUNCTION("""COMPUTED_VALUE"""),1.483152588758473)</f>
        <v>1.483152589</v>
      </c>
      <c r="X119" s="30">
        <f>IFERROR(__xludf.DUMMYFUNCTION("""COMPUTED_VALUE"""),2.874557527780126)</f>
        <v>2.874557528</v>
      </c>
      <c r="Y119" s="30">
        <f>IFERROR(__xludf.DUMMYFUNCTION("""COMPUTED_VALUE"""),377.9741198245904)</f>
        <v>377.9741198</v>
      </c>
      <c r="Z119" s="30">
        <f>IFERROR(__xludf.DUMMYFUNCTION("""COMPUTED_VALUE"""),0.8262334216095985)</f>
        <v>0.8262334216</v>
      </c>
      <c r="AA119" s="30">
        <f>IFERROR(__xludf.DUMMYFUNCTION("""COMPUTED_VALUE"""),0.6204883760488221)</f>
        <v>0.620488376</v>
      </c>
      <c r="AB119" s="30">
        <f>IFERROR(__xludf.DUMMYFUNCTION("""COMPUTED_VALUE"""),1.5020936257749407)</f>
        <v>1.502093626</v>
      </c>
      <c r="AC119" s="30">
        <f>IFERROR(__xludf.DUMMYFUNCTION("""COMPUTED_VALUE"""),2.719811818288079)</f>
        <v>2.719811818</v>
      </c>
      <c r="AD119" s="30">
        <f>IFERROR(__xludf.DUMMYFUNCTION("""COMPUTED_VALUE"""),0.981058742823191)</f>
        <v>0.9810587428</v>
      </c>
      <c r="AE119" s="30">
        <f>IFERROR(__xludf.DUMMYFUNCTION("""COMPUTED_VALUE"""),0.986179926282165)</f>
        <v>0.9861799263</v>
      </c>
      <c r="AF119" s="30">
        <f>IFERROR(__xludf.DUMMYFUNCTION("""COMPUTED_VALUE"""),0.7759717990971629)</f>
        <v>0.7759717991</v>
      </c>
      <c r="AG119" s="30">
        <f>IFERROR(__xludf.DUMMYFUNCTION("""COMPUTED_VALUE"""),0.8876499510111809)</f>
        <v>0.887649951</v>
      </c>
      <c r="AH119" s="30">
        <f>IFERROR(__xludf.DUMMYFUNCTION("""COMPUTED_VALUE"""),1.1030174881320571)</f>
        <v>1.103017488</v>
      </c>
      <c r="AI119" s="30">
        <f>IFERROR(__xludf.DUMMYFUNCTION("""COMPUTED_VALUE"""),1.002311322051627)</f>
        <v>1.002311322</v>
      </c>
      <c r="AJ119" s="30">
        <f>IFERROR(__xludf.DUMMYFUNCTION("""COMPUTED_VALUE"""),1.043967208788971)</f>
        <v>1.043967209</v>
      </c>
      <c r="AK119" s="30">
        <f>IFERROR(__xludf.DUMMYFUNCTION("""COMPUTED_VALUE"""),1.0867587880926683)</f>
        <v>1.086758788</v>
      </c>
      <c r="AL119" s="30">
        <f>IFERROR(__xludf.DUMMYFUNCTION("""COMPUTED_VALUE"""),1.007197217478675)</f>
        <v>1.007197217</v>
      </c>
      <c r="AM119" s="30">
        <f>IFERROR(__xludf.DUMMYFUNCTION("""COMPUTED_VALUE"""),0.9577426762716955)</f>
        <v>0.9577426763</v>
      </c>
      <c r="AN119" s="30">
        <f>IFERROR(__xludf.DUMMYFUNCTION("""COMPUTED_VALUE"""),1.0054098576683594)</f>
        <v>1.005409858</v>
      </c>
      <c r="AO119" s="30">
        <f>IFERROR(__xludf.DUMMYFUNCTION("""COMPUTED_VALUE"""),1.0617821624754602)</f>
        <v>1.061782162</v>
      </c>
      <c r="AP119" s="30">
        <f>IFERROR(__xludf.DUMMYFUNCTION("""COMPUTED_VALUE"""),0.7558379802384293)</f>
        <v>0.7558379802</v>
      </c>
      <c r="AQ119" s="30">
        <f>IFERROR(__xludf.DUMMYFUNCTION("""COMPUTED_VALUE"""),0.9109254840872304)</f>
        <v>0.9109254841</v>
      </c>
      <c r="AR119" s="30">
        <f>IFERROR(__xludf.DUMMYFUNCTION("""COMPUTED_VALUE"""),1.1120072527697398)</f>
        <v>1.112007253</v>
      </c>
      <c r="AS119" s="30">
        <f>IFERROR(__xludf.DUMMYFUNCTION("""COMPUTED_VALUE"""),64.0)</f>
        <v>64</v>
      </c>
      <c r="AT119" s="30">
        <f>IFERROR(__xludf.DUMMYFUNCTION("""COMPUTED_VALUE"""),0.4262479565667172)</f>
        <v>0.4262479566</v>
      </c>
      <c r="AU119" s="30">
        <f>IFERROR(__xludf.DUMMYFUNCTION("""COMPUTED_VALUE"""),2.994395662547943)</f>
        <v>2.994395663</v>
      </c>
      <c r="AV119" s="32">
        <f>IFERROR(__xludf.DUMMYFUNCTION("""COMPUTED_VALUE"""),49.176444959748)</f>
        <v>49.17644496</v>
      </c>
      <c r="AW119" s="32">
        <f>IFERROR(__xludf.DUMMYFUNCTION("""COMPUTED_VALUE"""),-2.053977124118236)</f>
        <v>-2.053977124</v>
      </c>
      <c r="AX119" s="32">
        <f>IFERROR(__xludf.DUMMYFUNCTION("""COMPUTED_VALUE"""),46.03692614749885)</f>
        <v>46.03692615</v>
      </c>
      <c r="AY119" s="32">
        <f>IFERROR(__xludf.DUMMYFUNCTION("""COMPUTED_VALUE"""),-2.2882124001838178)</f>
        <v>-2.2882124</v>
      </c>
      <c r="AZ119" s="30">
        <f>IFERROR(__xludf.DUMMYFUNCTION("""COMPUTED_VALUE"""),0.23423527606558192)</f>
        <v>0.2342352761</v>
      </c>
      <c r="BA119" s="30">
        <f>IFERROR(__xludf.DUMMYFUNCTION("""COMPUTED_VALUE"""),450.0)</f>
        <v>450</v>
      </c>
    </row>
    <row r="120">
      <c r="A120" s="30" t="str">
        <f>IFERROR(__xludf.DUMMYFUNCTION("""COMPUTED_VALUE"""),"Master")</f>
        <v>Master</v>
      </c>
      <c r="B120" s="30" t="str">
        <f>IFERROR(__xludf.DUMMYFUNCTION("""COMPUTED_VALUE"""),"RSC005690")</f>
        <v>RSC005690</v>
      </c>
      <c r="C120" s="30" t="str">
        <f>IFERROR(__xludf.DUMMYFUNCTION("""COMPUTED_VALUE"""),"DQ.")</f>
        <v>DQ.</v>
      </c>
      <c r="D120" s="30" t="str">
        <f>IFERROR(__xludf.DUMMYFUNCTION("""COMPUTED_VALUE"""),"Kawaii")</f>
        <v>Kawaii</v>
      </c>
      <c r="E120" s="30">
        <f>IFERROR(__xludf.DUMMYFUNCTION("""COMPUTED_VALUE"""),32.0)</f>
        <v>32</v>
      </c>
      <c r="F120" s="30">
        <f>IFERROR(__xludf.DUMMYFUNCTION("""COMPUTED_VALUE"""),15.0)</f>
        <v>15</v>
      </c>
      <c r="G120" s="30">
        <f>IFERROR(__xludf.DUMMYFUNCTION("""COMPUTED_VALUE"""),17.0)</f>
        <v>17</v>
      </c>
      <c r="H120" s="42">
        <f>IFERROR(__xludf.DUMMYFUNCTION("""COMPUTED_VALUE"""),0.46875)</f>
        <v>0.46875</v>
      </c>
      <c r="I120" s="42">
        <f>IFERROR(__xludf.DUMMYFUNCTION("""COMPUTED_VALUE"""),0.3333333333333333)</f>
        <v>0.3333333333</v>
      </c>
      <c r="J120" s="30">
        <f>IFERROR(__xludf.DUMMYFUNCTION("""COMPUTED_VALUE"""),347.625)</f>
        <v>347.625</v>
      </c>
      <c r="K120" s="30">
        <f>IFERROR(__xludf.DUMMYFUNCTION("""COMPUTED_VALUE"""),0.78125)</f>
        <v>0.78125</v>
      </c>
      <c r="L120" s="30">
        <f>IFERROR(__xludf.DUMMYFUNCTION("""COMPUTED_VALUE"""),0.5625)</f>
        <v>0.5625</v>
      </c>
      <c r="M120" s="30">
        <f>IFERROR(__xludf.DUMMYFUNCTION("""COMPUTED_VALUE"""),1.1875)</f>
        <v>1.1875</v>
      </c>
      <c r="N120" s="30">
        <f>IFERROR(__xludf.DUMMYFUNCTION("""COMPUTED_VALUE"""),2.34375)</f>
        <v>2.34375</v>
      </c>
      <c r="O120" s="30">
        <f>IFERROR(__xludf.DUMMYFUNCTION("""COMPUTED_VALUE"""),380.2291666666667)</f>
        <v>380.2291667</v>
      </c>
      <c r="P120" s="30">
        <f>IFERROR(__xludf.DUMMYFUNCTION("""COMPUTED_VALUE"""),0.8645833333333334)</f>
        <v>0.8645833333</v>
      </c>
      <c r="Q120" s="30">
        <f>IFERROR(__xludf.DUMMYFUNCTION("""COMPUTED_VALUE"""),0.6041666666666667)</f>
        <v>0.6041666667</v>
      </c>
      <c r="R120" s="30">
        <f>IFERROR(__xludf.DUMMYFUNCTION("""COMPUTED_VALUE"""),1.3854166666666665)</f>
        <v>1.385416667</v>
      </c>
      <c r="S120" s="30">
        <f>IFERROR(__xludf.DUMMYFUNCTION("""COMPUTED_VALUE"""),2.541666666666667)</f>
        <v>2.541666667</v>
      </c>
      <c r="T120" s="30">
        <f>IFERROR(__xludf.DUMMYFUNCTION("""COMPUTED_VALUE"""),383.0112253624346)</f>
        <v>383.0112254</v>
      </c>
      <c r="U120" s="30">
        <f>IFERROR(__xludf.DUMMYFUNCTION("""COMPUTED_VALUE"""),0.8889090156475995)</f>
        <v>0.8889090156</v>
      </c>
      <c r="V120" s="30">
        <f>IFERROR(__xludf.DUMMYFUNCTION("""COMPUTED_VALUE"""),0.6873918963963787)</f>
        <v>0.6873918964</v>
      </c>
      <c r="W120" s="30">
        <f>IFERROR(__xludf.DUMMYFUNCTION("""COMPUTED_VALUE"""),1.4021311991986807)</f>
        <v>1.402131199</v>
      </c>
      <c r="X120" s="30">
        <f>IFERROR(__xludf.DUMMYFUNCTION("""COMPUTED_VALUE"""),2.7283795684829535)</f>
        <v>2.728379568</v>
      </c>
      <c r="Y120" s="30">
        <f>IFERROR(__xludf.DUMMYFUNCTION("""COMPUTED_VALUE"""),382.8038351807617)</f>
        <v>382.8038352</v>
      </c>
      <c r="Z120" s="30">
        <f>IFERROR(__xludf.DUMMYFUNCTION("""COMPUTED_VALUE"""),0.8581132817354551)</f>
        <v>0.8581132817</v>
      </c>
      <c r="AA120" s="30">
        <f>IFERROR(__xludf.DUMMYFUNCTION("""COMPUTED_VALUE"""),0.6514326679803839)</f>
        <v>0.651432668</v>
      </c>
      <c r="AB120" s="30">
        <f>IFERROR(__xludf.DUMMYFUNCTION("""COMPUTED_VALUE"""),1.4465290978022898)</f>
        <v>1.446529098</v>
      </c>
      <c r="AC120" s="30">
        <f>IFERROR(__xludf.DUMMYFUNCTION("""COMPUTED_VALUE"""),2.739160325040302)</f>
        <v>2.739160325</v>
      </c>
      <c r="AD120" s="30">
        <f>IFERROR(__xludf.DUMMYFUNCTION("""COMPUTED_VALUE"""),0.9081021872099319)</f>
        <v>0.9081021872</v>
      </c>
      <c r="AE120" s="30">
        <f>IFERROR(__xludf.DUMMYFUNCTION("""COMPUTED_VALUE"""),0.9104275817989832)</f>
        <v>0.9104275818</v>
      </c>
      <c r="AF120" s="30">
        <f>IFERROR(__xludf.DUMMYFUNCTION("""COMPUTED_VALUE"""),0.8634814120450867)</f>
        <v>0.863481412</v>
      </c>
      <c r="AG120" s="30">
        <f>IFERROR(__xludf.DUMMYFUNCTION("""COMPUTED_VALUE"""),0.8209305998781273)</f>
        <v>0.8209305999</v>
      </c>
      <c r="AH120" s="30">
        <f>IFERROR(__xludf.DUMMYFUNCTION("""COMPUTED_VALUE"""),0.855645424831245)</f>
        <v>0.8556454248</v>
      </c>
      <c r="AI120" s="30">
        <f>IFERROR(__xludf.DUMMYFUNCTION("""COMPUTED_VALUE"""),0.9927363520660908)</f>
        <v>0.9927363521</v>
      </c>
      <c r="AJ120" s="30">
        <f>IFERROR(__xludf.DUMMYFUNCTION("""COMPUTED_VALUE"""),0.9726342270287989)</f>
        <v>0.972634227</v>
      </c>
      <c r="AK120" s="30">
        <f>IFERROR(__xludf.DUMMYFUNCTION("""COMPUTED_VALUE"""),0.8789260825360082)</f>
        <v>0.8789260825</v>
      </c>
      <c r="AL120" s="30">
        <f>IFERROR(__xludf.DUMMYFUNCTION("""COMPUTED_VALUE"""),0.9880791950556649)</f>
        <v>0.9880791951</v>
      </c>
      <c r="AM120" s="30">
        <f>IFERROR(__xludf.DUMMYFUNCTION("""COMPUTED_VALUE"""),0.9315663758909822)</f>
        <v>0.9315663759</v>
      </c>
      <c r="AN120" s="30">
        <f>IFERROR(__xludf.DUMMYFUNCTION("""COMPUTED_VALUE"""),0.942534083883641)</f>
        <v>0.9425340839</v>
      </c>
      <c r="AO120" s="30">
        <f>IFERROR(__xludf.DUMMYFUNCTION("""COMPUTED_VALUE"""),1.0180439768053062)</f>
        <v>1.018043977</v>
      </c>
      <c r="AP120" s="30">
        <f>IFERROR(__xludf.DUMMYFUNCTION("""COMPUTED_VALUE"""),0.8830222557593189)</f>
        <v>0.8830222558</v>
      </c>
      <c r="AQ120" s="30">
        <f>IFERROR(__xludf.DUMMYFUNCTION("""COMPUTED_VALUE"""),0.8112930092651897)</f>
        <v>0.8112930093</v>
      </c>
      <c r="AR120" s="30">
        <f>IFERROR(__xludf.DUMMYFUNCTION("""COMPUTED_VALUE"""),0.8687556662263592)</f>
        <v>0.8687556662</v>
      </c>
      <c r="AS120" s="30">
        <f>IFERROR(__xludf.DUMMYFUNCTION("""COMPUTED_VALUE"""),80.0)</f>
        <v>80</v>
      </c>
      <c r="AT120" s="30">
        <f>IFERROR(__xludf.DUMMYFUNCTION("""COMPUTED_VALUE"""),0.48531927003015823)</f>
        <v>0.48531927</v>
      </c>
      <c r="AU120" s="30">
        <f>IFERROR(__xludf.DUMMYFUNCTION("""COMPUTED_VALUE"""),2.849197245494714)</f>
        <v>2.849197245</v>
      </c>
      <c r="AV120" s="32">
        <f>IFERROR(__xludf.DUMMYFUNCTION("""COMPUTED_VALUE"""),45.62857893082975)</f>
        <v>45.62857893</v>
      </c>
      <c r="AW120" s="32">
        <f>IFERROR(__xludf.DUMMYFUNCTION("""COMPUTED_VALUE"""),-2.322362163318495)</f>
        <v>-2.322362163</v>
      </c>
      <c r="AX120" s="32">
        <f>IFERROR(__xludf.DUMMYFUNCTION("""COMPUTED_VALUE"""),43.436052179937)</f>
        <v>43.43605218</v>
      </c>
      <c r="AY120" s="32">
        <f>IFERROR(__xludf.DUMMYFUNCTION("""COMPUTED_VALUE"""),-2.5224137178738446)</f>
        <v>-2.522413718</v>
      </c>
      <c r="AZ120" s="30">
        <f>IFERROR(__xludf.DUMMYFUNCTION("""COMPUTED_VALUE"""),0.2000515545553494)</f>
        <v>0.2000515546</v>
      </c>
      <c r="BA120" s="30">
        <f>IFERROR(__xludf.DUMMYFUNCTION("""COMPUTED_VALUE"""),450.0)</f>
        <v>450</v>
      </c>
    </row>
    <row r="121">
      <c r="A121" s="30" t="str">
        <f>IFERROR(__xludf.DUMMYFUNCTION("""COMPUTED_VALUE"""),"Master")</f>
        <v>Master</v>
      </c>
      <c r="B121" s="30" t="str">
        <f>IFERROR(__xludf.DUMMYFUNCTION("""COMPUTED_VALUE"""),"RSC000381")</f>
        <v>RSC000381</v>
      </c>
      <c r="C121" s="30" t="str">
        <f>IFERROR(__xludf.DUMMYFUNCTION("""COMPUTED_VALUE"""),"Noriko")</f>
        <v>Noriko</v>
      </c>
      <c r="D121" s="30" t="str">
        <f>IFERROR(__xludf.DUMMYFUNCTION("""COMPUTED_VALUE"""),"Andromeda")</f>
        <v>Andromeda</v>
      </c>
      <c r="E121" s="30">
        <f>IFERROR(__xludf.DUMMYFUNCTION("""COMPUTED_VALUE"""),24.0)</f>
        <v>24</v>
      </c>
      <c r="F121" s="30">
        <f>IFERROR(__xludf.DUMMYFUNCTION("""COMPUTED_VALUE"""),14.0)</f>
        <v>14</v>
      </c>
      <c r="G121" s="30">
        <f>IFERROR(__xludf.DUMMYFUNCTION("""COMPUTED_VALUE"""),10.0)</f>
        <v>10</v>
      </c>
      <c r="H121" s="42">
        <f>IFERROR(__xludf.DUMMYFUNCTION("""COMPUTED_VALUE"""),0.5833333333333334)</f>
        <v>0.5833333333</v>
      </c>
      <c r="I121" s="42">
        <f>IFERROR(__xludf.DUMMYFUNCTION("""COMPUTED_VALUE"""),0.4307692307692308)</f>
        <v>0.4307692308</v>
      </c>
      <c r="J121" s="30">
        <f>IFERROR(__xludf.DUMMYFUNCTION("""COMPUTED_VALUE"""),445.9166666666667)</f>
        <v>445.9166667</v>
      </c>
      <c r="K121" s="30">
        <f>IFERROR(__xludf.DUMMYFUNCTION("""COMPUTED_VALUE"""),1.1666666666666667)</f>
        <v>1.166666667</v>
      </c>
      <c r="L121" s="30">
        <f>IFERROR(__xludf.DUMMYFUNCTION("""COMPUTED_VALUE"""),0.6666666666666666)</f>
        <v>0.6666666667</v>
      </c>
      <c r="M121" s="30">
        <f>IFERROR(__xludf.DUMMYFUNCTION("""COMPUTED_VALUE"""),1.5833333333333333)</f>
        <v>1.583333333</v>
      </c>
      <c r="N121" s="30">
        <f>IFERROR(__xludf.DUMMYFUNCTION("""COMPUTED_VALUE"""),2.7083333333333335)</f>
        <v>2.708333333</v>
      </c>
      <c r="O121" s="30">
        <f>IFERROR(__xludf.DUMMYFUNCTION("""COMPUTED_VALUE"""),353.50000000000006)</f>
        <v>353.5</v>
      </c>
      <c r="P121" s="30">
        <f>IFERROR(__xludf.DUMMYFUNCTION("""COMPUTED_VALUE"""),0.7499999999999999)</f>
        <v>0.75</v>
      </c>
      <c r="Q121" s="30">
        <f>IFERROR(__xludf.DUMMYFUNCTION("""COMPUTED_VALUE"""),0.6249999999999999)</f>
        <v>0.625</v>
      </c>
      <c r="R121" s="30">
        <f>IFERROR(__xludf.DUMMYFUNCTION("""COMPUTED_VALUE"""),1.3194444444444444)</f>
        <v>1.319444444</v>
      </c>
      <c r="S121" s="30">
        <f>IFERROR(__xludf.DUMMYFUNCTION("""COMPUTED_VALUE"""),2.694444444444444)</f>
        <v>2.694444444</v>
      </c>
      <c r="T121" s="30">
        <f>IFERROR(__xludf.DUMMYFUNCTION("""COMPUTED_VALUE"""),371.55710883360035)</f>
        <v>371.5571088</v>
      </c>
      <c r="U121" s="30">
        <f>IFERROR(__xludf.DUMMYFUNCTION("""COMPUTED_VALUE"""),0.8146351485051925)</f>
        <v>0.8146351485</v>
      </c>
      <c r="V121" s="30">
        <f>IFERROR(__xludf.DUMMYFUNCTION("""COMPUTED_VALUE"""),0.5802489780943264)</f>
        <v>0.5802489781</v>
      </c>
      <c r="W121" s="30">
        <f>IFERROR(__xludf.DUMMYFUNCTION("""COMPUTED_VALUE"""),1.496592158065588)</f>
        <v>1.496592158</v>
      </c>
      <c r="X121" s="30">
        <f>IFERROR(__xludf.DUMMYFUNCTION("""COMPUTED_VALUE"""),2.6737553979844293)</f>
        <v>2.673755398</v>
      </c>
      <c r="Y121" s="30">
        <f>IFERROR(__xludf.DUMMYFUNCTION("""COMPUTED_VALUE"""),402.8537597777757)</f>
        <v>402.8537598</v>
      </c>
      <c r="Z121" s="30">
        <f>IFERROR(__xludf.DUMMYFUNCTION("""COMPUTED_VALUE"""),0.9922183919664347)</f>
        <v>0.992218392</v>
      </c>
      <c r="AA121" s="30">
        <f>IFERROR(__xludf.DUMMYFUNCTION("""COMPUTED_VALUE"""),0.7864134883482844)</f>
        <v>0.7864134883</v>
      </c>
      <c r="AB121" s="30">
        <f>IFERROR(__xludf.DUMMYFUNCTION("""COMPUTED_VALUE"""),1.4563017480657618)</f>
        <v>1.456301748</v>
      </c>
      <c r="AC121" s="30">
        <f>IFERROR(__xludf.DUMMYFUNCTION("""COMPUTED_VALUE"""),3.0833321669058313)</f>
        <v>3.083332167</v>
      </c>
      <c r="AD121" s="30">
        <f>IFERROR(__xludf.DUMMYFUNCTION("""COMPUTED_VALUE"""),1.1068946381750182)</f>
        <v>1.106894638</v>
      </c>
      <c r="AE121" s="30">
        <f>IFERROR(__xludf.DUMMYFUNCTION("""COMPUTED_VALUE"""),1.175816409081574)</f>
        <v>1.175816409</v>
      </c>
      <c r="AF121" s="30">
        <f>IFERROR(__xludf.DUMMYFUNCTION("""COMPUTED_VALUE"""),0.8477304580150021)</f>
        <v>0.847730458</v>
      </c>
      <c r="AG121" s="30">
        <f>IFERROR(__xludf.DUMMYFUNCTION("""COMPUTED_VALUE"""),1.0872288901913993)</f>
        <v>1.08722889</v>
      </c>
      <c r="AH121" s="30">
        <f>IFERROR(__xludf.DUMMYFUNCTION("""COMPUTED_VALUE"""),0.8783787106697575)</f>
        <v>0.8783787107</v>
      </c>
      <c r="AI121" s="30">
        <f>IFERROR(__xludf.DUMMYFUNCTION("""COMPUTED_VALUE"""),0.9514015250837602)</f>
        <v>0.9514015251</v>
      </c>
      <c r="AJ121" s="30">
        <f>IFERROR(__xludf.DUMMYFUNCTION("""COMPUTED_VALUE"""),0.9206575500409057)</f>
        <v>0.92065755</v>
      </c>
      <c r="AK121" s="30">
        <f>IFERROR(__xludf.DUMMYFUNCTION("""COMPUTED_VALUE"""),1.077123827176131)</f>
        <v>1.077123827</v>
      </c>
      <c r="AL121" s="30">
        <f>IFERROR(__xludf.DUMMYFUNCTION("""COMPUTED_VALUE"""),0.8816326060066257)</f>
        <v>0.881632606</v>
      </c>
      <c r="AM121" s="30">
        <f>IFERROR(__xludf.DUMMYFUNCTION("""COMPUTED_VALUE"""),1.0077378231664762)</f>
        <v>1.007737823</v>
      </c>
      <c r="AN121" s="30">
        <f>IFERROR(__xludf.DUMMYFUNCTION("""COMPUTED_VALUE"""),1.2090374884001829)</f>
        <v>1.209037488</v>
      </c>
      <c r="AO121" s="30">
        <f>IFERROR(__xludf.DUMMYFUNCTION("""COMPUTED_VALUE"""),1.5202790053625908)</f>
        <v>1.520279005</v>
      </c>
      <c r="AP121" s="30">
        <f>IFERROR(__xludf.DUMMYFUNCTION("""COMPUTED_VALUE"""),1.0465448957147483)</f>
        <v>1.046544896</v>
      </c>
      <c r="AQ121" s="30">
        <f>IFERROR(__xludf.DUMMYFUNCTION("""COMPUTED_VALUE"""),1.081724012353586)</f>
        <v>1.081724012</v>
      </c>
      <c r="AR121" s="30">
        <f>IFERROR(__xludf.DUMMYFUNCTION("""COMPUTED_VALUE"""),1.0038954365282373)</f>
        <v>1.003895437</v>
      </c>
      <c r="AS121" s="30">
        <f>IFERROR(__xludf.DUMMYFUNCTION("""COMPUTED_VALUE"""),76.0)</f>
        <v>76</v>
      </c>
      <c r="AT121" s="30">
        <f>IFERROR(__xludf.DUMMYFUNCTION("""COMPUTED_VALUE"""),0.6352935934033276)</f>
        <v>0.6352935934</v>
      </c>
      <c r="AU121" s="30">
        <f>IFERROR(__xludf.DUMMYFUNCTION("""COMPUTED_VALUE"""),3.7108583407109657)</f>
        <v>3.710858341</v>
      </c>
      <c r="AV121" s="32">
        <f>IFERROR(__xludf.DUMMYFUNCTION("""COMPUTED_VALUE"""),66.6829278018476)</f>
        <v>66.6829278</v>
      </c>
      <c r="AW121" s="32">
        <f>IFERROR(__xludf.DUMMYFUNCTION("""COMPUTED_VALUE"""),3.9637742880171634)</f>
        <v>3.963774288</v>
      </c>
      <c r="AX121" s="32">
        <f>IFERROR(__xludf.DUMMYFUNCTION("""COMPUTED_VALUE"""),67.49587909315025)</f>
        <v>67.49587909</v>
      </c>
      <c r="AY121" s="32">
        <f>IFERROR(__xludf.DUMMYFUNCTION("""COMPUTED_VALUE"""),4.131973140120511)</f>
        <v>4.13197314</v>
      </c>
      <c r="AZ121" s="30">
        <f>IFERROR(__xludf.DUMMYFUNCTION("""COMPUTED_VALUE"""),0.16819885210334773)</f>
        <v>0.1681988521</v>
      </c>
      <c r="BA121" s="30">
        <f>IFERROR(__xludf.DUMMYFUNCTION("""COMPUTED_VALUE"""),450.0)</f>
        <v>450</v>
      </c>
    </row>
    <row r="122">
      <c r="A122" s="30" t="str">
        <f>IFERROR(__xludf.DUMMYFUNCTION("""COMPUTED_VALUE"""),"Master")</f>
        <v>Master</v>
      </c>
      <c r="B122" s="30" t="str">
        <f>IFERROR(__xludf.DUMMYFUNCTION("""COMPUTED_VALUE"""),"RSC000241")</f>
        <v>RSC000241</v>
      </c>
      <c r="C122" s="30" t="str">
        <f>IFERROR(__xludf.DUMMYFUNCTION("""COMPUTED_VALUE"""),"Geherpaderp")</f>
        <v>Geherpaderp</v>
      </c>
      <c r="D122" s="30" t="str">
        <f>IFERROR(__xludf.DUMMYFUNCTION("""COMPUTED_VALUE"""),"Fromunda Frauds")</f>
        <v>Fromunda Frauds</v>
      </c>
      <c r="E122" s="30">
        <f>IFERROR(__xludf.DUMMYFUNCTION("""COMPUTED_VALUE"""),32.0)</f>
        <v>32</v>
      </c>
      <c r="F122" s="30">
        <f>IFERROR(__xludf.DUMMYFUNCTION("""COMPUTED_VALUE"""),16.0)</f>
        <v>16</v>
      </c>
      <c r="G122" s="30">
        <f>IFERROR(__xludf.DUMMYFUNCTION("""COMPUTED_VALUE"""),16.0)</f>
        <v>16</v>
      </c>
      <c r="H122" s="42">
        <f>IFERROR(__xludf.DUMMYFUNCTION("""COMPUTED_VALUE"""),0.5)</f>
        <v>0.5</v>
      </c>
      <c r="I122" s="42">
        <f>IFERROR(__xludf.DUMMYFUNCTION("""COMPUTED_VALUE"""),0.29347826086956524)</f>
        <v>0.2934782609</v>
      </c>
      <c r="J122" s="30">
        <f>IFERROR(__xludf.DUMMYFUNCTION("""COMPUTED_VALUE"""),361.21875)</f>
        <v>361.21875</v>
      </c>
      <c r="K122" s="30">
        <f>IFERROR(__xludf.DUMMYFUNCTION("""COMPUTED_VALUE"""),0.84375)</f>
        <v>0.84375</v>
      </c>
      <c r="L122" s="30">
        <f>IFERROR(__xludf.DUMMYFUNCTION("""COMPUTED_VALUE"""),0.5625)</f>
        <v>0.5625</v>
      </c>
      <c r="M122" s="30">
        <f>IFERROR(__xludf.DUMMYFUNCTION("""COMPUTED_VALUE"""),1.28125)</f>
        <v>1.28125</v>
      </c>
      <c r="N122" s="30">
        <f>IFERROR(__xludf.DUMMYFUNCTION("""COMPUTED_VALUE"""),2.875)</f>
        <v>2.875</v>
      </c>
      <c r="O122" s="30">
        <f>IFERROR(__xludf.DUMMYFUNCTION("""COMPUTED_VALUE"""),384.8125)</f>
        <v>384.8125</v>
      </c>
      <c r="P122" s="30">
        <f>IFERROR(__xludf.DUMMYFUNCTION("""COMPUTED_VALUE"""),0.8645833333333336)</f>
        <v>0.8645833333</v>
      </c>
      <c r="Q122" s="30">
        <f>IFERROR(__xludf.DUMMYFUNCTION("""COMPUTED_VALUE"""),0.6458333333333333)</f>
        <v>0.6458333333</v>
      </c>
      <c r="R122" s="30">
        <f>IFERROR(__xludf.DUMMYFUNCTION("""COMPUTED_VALUE"""),1.4583333333333333)</f>
        <v>1.458333333</v>
      </c>
      <c r="S122" s="30">
        <f>IFERROR(__xludf.DUMMYFUNCTION("""COMPUTED_VALUE"""),2.624999999999999)</f>
        <v>2.625</v>
      </c>
      <c r="T122" s="30">
        <f>IFERROR(__xludf.DUMMYFUNCTION("""COMPUTED_VALUE"""),390.8254490590429)</f>
        <v>390.8254491</v>
      </c>
      <c r="U122" s="30">
        <f>IFERROR(__xludf.DUMMYFUNCTION("""COMPUTED_VALUE"""),0.9166132430455345)</f>
        <v>0.916613243</v>
      </c>
      <c r="V122" s="30">
        <f>IFERROR(__xludf.DUMMYFUNCTION("""COMPUTED_VALUE"""),0.6432971831409333)</f>
        <v>0.6432971831</v>
      </c>
      <c r="W122" s="30">
        <f>IFERROR(__xludf.DUMMYFUNCTION("""COMPUTED_VALUE"""),1.4796413414903)</f>
        <v>1.479641341</v>
      </c>
      <c r="X122" s="30">
        <f>IFERROR(__xludf.DUMMYFUNCTION("""COMPUTED_VALUE"""),2.8585255456349206)</f>
        <v>2.858525546</v>
      </c>
      <c r="Y122" s="30">
        <f>IFERROR(__xludf.DUMMYFUNCTION("""COMPUTED_VALUE"""),381.29068034428275)</f>
        <v>381.2906803</v>
      </c>
      <c r="Z122" s="30">
        <f>IFERROR(__xludf.DUMMYFUNCTION("""COMPUTED_VALUE"""),0.8362097955413931)</f>
        <v>0.8362097955</v>
      </c>
      <c r="AA122" s="30">
        <f>IFERROR(__xludf.DUMMYFUNCTION("""COMPUTED_VALUE"""),0.6384880969082358)</f>
        <v>0.6384880969</v>
      </c>
      <c r="AB122" s="30">
        <f>IFERROR(__xludf.DUMMYFUNCTION("""COMPUTED_VALUE"""),1.4921252455106622)</f>
        <v>1.492125246</v>
      </c>
      <c r="AC122" s="30">
        <f>IFERROR(__xludf.DUMMYFUNCTION("""COMPUTED_VALUE"""),2.7565011682633216)</f>
        <v>2.756501168</v>
      </c>
      <c r="AD122" s="30">
        <f>IFERROR(__xludf.DUMMYFUNCTION("""COMPUTED_VALUE"""),0.9473579308936715)</f>
        <v>0.9473579309</v>
      </c>
      <c r="AE122" s="30">
        <f>IFERROR(__xludf.DUMMYFUNCTION("""COMPUTED_VALUE"""),1.009017120462844)</f>
        <v>1.00901712</v>
      </c>
      <c r="AF122" s="30">
        <f>IFERROR(__xludf.DUMMYFUNCTION("""COMPUTED_VALUE"""),0.880987449450985)</f>
        <v>0.8809874495</v>
      </c>
      <c r="AG122" s="30">
        <f>IFERROR(__xludf.DUMMYFUNCTION("""COMPUTED_VALUE"""),0.8586745676040803)</f>
        <v>0.8586745676</v>
      </c>
      <c r="AH122" s="30">
        <f>IFERROR(__xludf.DUMMYFUNCTION("""COMPUTED_VALUE"""),1.042988855981997)</f>
        <v>1.042988856</v>
      </c>
      <c r="AI122" s="30">
        <f>IFERROR(__xludf.DUMMYFUNCTION("""COMPUTED_VALUE"""),0.9846147453459856)</f>
        <v>0.9846147453</v>
      </c>
      <c r="AJ122" s="30">
        <f>IFERROR(__xludf.DUMMYFUNCTION("""COMPUTED_VALUE"""),0.943236790318099)</f>
        <v>0.9432367903</v>
      </c>
      <c r="AK122" s="30">
        <f>IFERROR(__xludf.DUMMYFUNCTION("""COMPUTED_VALUE"""),1.0039424239043253)</f>
        <v>1.003942424</v>
      </c>
      <c r="AL122" s="30">
        <f>IFERROR(__xludf.DUMMYFUNCTION("""COMPUTED_VALUE"""),0.9855992073487855)</f>
        <v>0.9855992073</v>
      </c>
      <c r="AM122" s="30">
        <f>IFERROR(__xludf.DUMMYFUNCTION("""COMPUTED_VALUE"""),0.918305594297898)</f>
        <v>0.9183055943</v>
      </c>
      <c r="AN122" s="30">
        <f>IFERROR(__xludf.DUMMYFUNCTION("""COMPUTED_VALUE"""),0.9793915386201911)</f>
        <v>0.9793915386</v>
      </c>
      <c r="AO122" s="30">
        <f>IFERROR(__xludf.DUMMYFUNCTION("""COMPUTED_VALUE"""),1.0994874949497309)</f>
        <v>1.099487495</v>
      </c>
      <c r="AP122" s="30">
        <f>IFERROR(__xludf.DUMMYFUNCTION("""COMPUTED_VALUE"""),0.8830222557593189)</f>
        <v>0.8830222558</v>
      </c>
      <c r="AQ122" s="30">
        <f>IFERROR(__xludf.DUMMYFUNCTION("""COMPUTED_VALUE"""),0.875342457365073)</f>
        <v>0.8753424574</v>
      </c>
      <c r="AR122" s="30">
        <f>IFERROR(__xludf.DUMMYFUNCTION("""COMPUTED_VALUE"""),1.0656736172376673)</f>
        <v>1.065673617</v>
      </c>
      <c r="AS122" s="30">
        <f>IFERROR(__xludf.DUMMYFUNCTION("""COMPUTED_VALUE"""),78.0)</f>
        <v>78</v>
      </c>
      <c r="AT122" s="30">
        <f>IFERROR(__xludf.DUMMYFUNCTION("""COMPUTED_VALUE"""),0.47532359902743415)</f>
        <v>0.475323599</v>
      </c>
      <c r="AU122" s="30">
        <f>IFERROR(__xludf.DUMMYFUNCTION("""COMPUTED_VALUE"""),3.1473122857119944)</f>
        <v>3.147312286</v>
      </c>
      <c r="AV122" s="32">
        <f>IFERROR(__xludf.DUMMYFUNCTION("""COMPUTED_VALUE"""),52.91290230956706)</f>
        <v>52.91290231</v>
      </c>
      <c r="AW122" s="32">
        <f>IFERROR(__xludf.DUMMYFUNCTION("""COMPUTED_VALUE"""),2.204479753302891)</f>
        <v>2.204479753</v>
      </c>
      <c r="AX122" s="32">
        <f>IFERROR(__xludf.DUMMYFUNCTION("""COMPUTED_VALUE"""),50.74629072139062)</f>
        <v>50.74629072</v>
      </c>
      <c r="AY122" s="32">
        <f>IFERROR(__xludf.DUMMYFUNCTION("""COMPUTED_VALUE"""),2.048791176736908)</f>
        <v>2.048791177</v>
      </c>
      <c r="AZ122" s="30">
        <f>IFERROR(__xludf.DUMMYFUNCTION("""COMPUTED_VALUE"""),0.155688576565983)</f>
        <v>0.1556885766</v>
      </c>
      <c r="BA122" s="30">
        <f>IFERROR(__xludf.DUMMYFUNCTION("""COMPUTED_VALUE"""),450.0)</f>
        <v>450</v>
      </c>
    </row>
    <row r="123">
      <c r="A123" s="30" t="str">
        <f>IFERROR(__xludf.DUMMYFUNCTION("""COMPUTED_VALUE"""),"Master")</f>
        <v>Master</v>
      </c>
      <c r="B123" s="30" t="str">
        <f>IFERROR(__xludf.DUMMYFUNCTION("""COMPUTED_VALUE"""),"RSC002959")</f>
        <v>RSC002959</v>
      </c>
      <c r="C123" s="30" t="str">
        <f>IFERROR(__xludf.DUMMYFUNCTION("""COMPUTED_VALUE"""),"JACKS0NTHEBOSS")</f>
        <v>JACKS0NTHEBOSS</v>
      </c>
      <c r="D123" s="30" t="str">
        <f>IFERROR(__xludf.DUMMYFUNCTION("""COMPUTED_VALUE"""),"Andromeda")</f>
        <v>Andromeda</v>
      </c>
      <c r="E123" s="30">
        <f>IFERROR(__xludf.DUMMYFUNCTION("""COMPUTED_VALUE"""),35.0)</f>
        <v>35</v>
      </c>
      <c r="F123" s="30">
        <f>IFERROR(__xludf.DUMMYFUNCTION("""COMPUTED_VALUE"""),18.0)</f>
        <v>18</v>
      </c>
      <c r="G123" s="30">
        <f>IFERROR(__xludf.DUMMYFUNCTION("""COMPUTED_VALUE"""),17.0)</f>
        <v>17</v>
      </c>
      <c r="H123" s="42">
        <f>IFERROR(__xludf.DUMMYFUNCTION("""COMPUTED_VALUE"""),0.5142857142857142)</f>
        <v>0.5142857143</v>
      </c>
      <c r="I123" s="42">
        <f>IFERROR(__xludf.DUMMYFUNCTION("""COMPUTED_VALUE"""),0.27722772277227725)</f>
        <v>0.2772277228</v>
      </c>
      <c r="J123" s="30">
        <f>IFERROR(__xludf.DUMMYFUNCTION("""COMPUTED_VALUE"""),403.0571428571429)</f>
        <v>403.0571429</v>
      </c>
      <c r="K123" s="30">
        <f>IFERROR(__xludf.DUMMYFUNCTION("""COMPUTED_VALUE"""),0.8)</f>
        <v>0.8</v>
      </c>
      <c r="L123" s="30">
        <f>IFERROR(__xludf.DUMMYFUNCTION("""COMPUTED_VALUE"""),0.8285714285714286)</f>
        <v>0.8285714286</v>
      </c>
      <c r="M123" s="30">
        <f>IFERROR(__xludf.DUMMYFUNCTION("""COMPUTED_VALUE"""),1.6571428571428573)</f>
        <v>1.657142857</v>
      </c>
      <c r="N123" s="30">
        <f>IFERROR(__xludf.DUMMYFUNCTION("""COMPUTED_VALUE"""),2.8857142857142857)</f>
        <v>2.885714286</v>
      </c>
      <c r="O123" s="30">
        <f>IFERROR(__xludf.DUMMYFUNCTION("""COMPUTED_VALUE"""),355.66666666666674)</f>
        <v>355.6666667</v>
      </c>
      <c r="P123" s="30">
        <f>IFERROR(__xludf.DUMMYFUNCTION("""COMPUTED_VALUE"""),0.761904761904762)</f>
        <v>0.7619047619</v>
      </c>
      <c r="Q123" s="30">
        <f>IFERROR(__xludf.DUMMYFUNCTION("""COMPUTED_VALUE"""),0.5904761904761905)</f>
        <v>0.5904761905</v>
      </c>
      <c r="R123" s="30">
        <f>IFERROR(__xludf.DUMMYFUNCTION("""COMPUTED_VALUE"""),1.3714285714285717)</f>
        <v>1.371428571</v>
      </c>
      <c r="S123" s="30">
        <f>IFERROR(__xludf.DUMMYFUNCTION("""COMPUTED_VALUE"""),2.8380952380952373)</f>
        <v>2.838095238</v>
      </c>
      <c r="T123" s="30">
        <f>IFERROR(__xludf.DUMMYFUNCTION("""COMPUTED_VALUE"""),378.13491640727955)</f>
        <v>378.1349164</v>
      </c>
      <c r="U123" s="30">
        <f>IFERROR(__xludf.DUMMYFUNCTION("""COMPUTED_VALUE"""),0.8376955420455099)</f>
        <v>0.837695542</v>
      </c>
      <c r="V123" s="30">
        <f>IFERROR(__xludf.DUMMYFUNCTION("""COMPUTED_VALUE"""),0.6216022814281723)</f>
        <v>0.6216022814</v>
      </c>
      <c r="W123" s="30">
        <f>IFERROR(__xludf.DUMMYFUNCTION("""COMPUTED_VALUE"""),1.495011446940928)</f>
        <v>1.495011447</v>
      </c>
      <c r="X123" s="30">
        <f>IFERROR(__xludf.DUMMYFUNCTION("""COMPUTED_VALUE"""),2.7673442284904417)</f>
        <v>2.767344228</v>
      </c>
      <c r="Y123" s="30">
        <f>IFERROR(__xludf.DUMMYFUNCTION("""COMPUTED_VALUE"""),394.4721138780255)</f>
        <v>394.4721139</v>
      </c>
      <c r="Z123" s="30">
        <f>IFERROR(__xludf.DUMMYFUNCTION("""COMPUTED_VALUE"""),0.9235478031615677)</f>
        <v>0.9235478032</v>
      </c>
      <c r="AA123" s="30">
        <f>IFERROR(__xludf.DUMMYFUNCTION("""COMPUTED_VALUE"""),0.7263315128751158)</f>
        <v>0.7263315129</v>
      </c>
      <c r="AB123" s="30">
        <f>IFERROR(__xludf.DUMMYFUNCTION("""COMPUTED_VALUE"""),1.4943880276615396)</f>
        <v>1.494388028</v>
      </c>
      <c r="AC123" s="30">
        <f>IFERROR(__xludf.DUMMYFUNCTION("""COMPUTED_VALUE"""),2.9670865299873705)</f>
        <v>2.96708653</v>
      </c>
      <c r="AD123" s="30">
        <f>IFERROR(__xludf.DUMMYFUNCTION("""COMPUTED_VALUE"""),1.0217633355491689)</f>
        <v>1.021763336</v>
      </c>
      <c r="AE123" s="30">
        <f>IFERROR(__xludf.DUMMYFUNCTION("""COMPUTED_VALUE"""),0.8662247879983817)</f>
        <v>0.866224788</v>
      </c>
      <c r="AF123" s="30">
        <f>IFERROR(__xludf.DUMMYFUNCTION("""COMPUTED_VALUE"""),1.140762054081346)</f>
        <v>1.140762054</v>
      </c>
      <c r="AG123" s="30">
        <f>IFERROR(__xludf.DUMMYFUNCTION("""COMPUTED_VALUE"""),1.1089106888362863)</f>
        <v>1.108910689</v>
      </c>
      <c r="AH123" s="30">
        <f>IFERROR(__xludf.DUMMYFUNCTION("""COMPUTED_VALUE"""),0.9725750349877962)</f>
        <v>0.972575035</v>
      </c>
      <c r="AI123" s="30">
        <f>IFERROR(__xludf.DUMMYFUNCTION("""COMPUTED_VALUE"""),0.940581393662116)</f>
        <v>0.9405813937</v>
      </c>
      <c r="AJ123" s="30">
        <f>IFERROR(__xludf.DUMMYFUNCTION("""COMPUTED_VALUE"""),0.9095246705555102)</f>
        <v>0.9095246706</v>
      </c>
      <c r="AK123" s="30">
        <f>IFERROR(__xludf.DUMMYFUNCTION("""COMPUTED_VALUE"""),0.949926034890883)</f>
        <v>0.9499260349</v>
      </c>
      <c r="AL123" s="30">
        <f>IFERROR(__xludf.DUMMYFUNCTION("""COMPUTED_VALUE"""),0.9173365021617528)</f>
        <v>0.9173365022</v>
      </c>
      <c r="AM123" s="30">
        <f>IFERROR(__xludf.DUMMYFUNCTION("""COMPUTED_VALUE"""),1.0255663928167655)</f>
        <v>1.025566393</v>
      </c>
      <c r="AN123" s="30">
        <f>IFERROR(__xludf.DUMMYFUNCTION("""COMPUTED_VALUE"""),1.092830190278648)</f>
        <v>1.09283019</v>
      </c>
      <c r="AO123" s="30">
        <f>IFERROR(__xludf.DUMMYFUNCTION("""COMPUTED_VALUE"""),1.0424770322486336)</f>
        <v>1.042477032</v>
      </c>
      <c r="AP123" s="30">
        <f>IFERROR(__xludf.DUMMYFUNCTION("""COMPUTED_VALUE"""),1.3007057989597588)</f>
        <v>1.300705799</v>
      </c>
      <c r="AQ123" s="30">
        <f>IFERROR(__xludf.DUMMYFUNCTION("""COMPUTED_VALUE"""),1.132150244508415)</f>
        <v>1.132150245</v>
      </c>
      <c r="AR123" s="30">
        <f>IFERROR(__xludf.DUMMYFUNCTION("""COMPUTED_VALUE"""),1.069645071711845)</f>
        <v>1.069645072</v>
      </c>
      <c r="AS123" s="30">
        <f>IFERROR(__xludf.DUMMYFUNCTION("""COMPUTED_VALUE"""),93.0)</f>
        <v>93</v>
      </c>
      <c r="AT123" s="30">
        <f>IFERROR(__xludf.DUMMYFUNCTION("""COMPUTED_VALUE"""),0.5592668621090963)</f>
        <v>0.5592668621</v>
      </c>
      <c r="AU123" s="30">
        <f>IFERROR(__xludf.DUMMYFUNCTION("""COMPUTED_VALUE"""),3.491473453402742)</f>
        <v>3.491473453</v>
      </c>
      <c r="AV123" s="32">
        <f>IFERROR(__xludf.DUMMYFUNCTION("""COMPUTED_VALUE"""),61.32234464443228)</f>
        <v>61.32234464</v>
      </c>
      <c r="AW123" s="32">
        <f>IFERROR(__xludf.DUMMYFUNCTION("""COMPUTED_VALUE"""),3.0739662719144105)</f>
        <v>3.073966272</v>
      </c>
      <c r="AX123" s="32">
        <f>IFERROR(__xludf.DUMMYFUNCTION("""COMPUTED_VALUE"""),62.350983974117305)</f>
        <v>62.35098397</v>
      </c>
      <c r="AY123" s="32">
        <f>IFERROR(__xludf.DUMMYFUNCTION("""COMPUTED_VALUE"""),3.2191688207545255)</f>
        <v>3.219168821</v>
      </c>
      <c r="AZ123" s="30">
        <f>IFERROR(__xludf.DUMMYFUNCTION("""COMPUTED_VALUE"""),0.14520254884011496)</f>
        <v>0.1452025488</v>
      </c>
      <c r="BA123" s="30">
        <f>IFERROR(__xludf.DUMMYFUNCTION("""COMPUTED_VALUE"""),450.0)</f>
        <v>450</v>
      </c>
    </row>
    <row r="124">
      <c r="A124" s="30" t="str">
        <f>IFERROR(__xludf.DUMMYFUNCTION("""COMPUTED_VALUE"""),"Master")</f>
        <v>Master</v>
      </c>
      <c r="B124" s="30" t="str">
        <f>IFERROR(__xludf.DUMMYFUNCTION("""COMPUTED_VALUE"""),"RSC000021")</f>
        <v>RSC000021</v>
      </c>
      <c r="C124" s="30" t="str">
        <f>IFERROR(__xludf.DUMMYFUNCTION("""COMPUTED_VALUE"""),"TyTy")</f>
        <v>TyTy</v>
      </c>
      <c r="D124" s="30" t="str">
        <f>IFERROR(__xludf.DUMMYFUNCTION("""COMPUTED_VALUE"""),"Andromeda")</f>
        <v>Andromeda</v>
      </c>
      <c r="E124" s="30">
        <f>IFERROR(__xludf.DUMMYFUNCTION("""COMPUTED_VALUE"""),11.0)</f>
        <v>11</v>
      </c>
      <c r="F124" s="30">
        <f>IFERROR(__xludf.DUMMYFUNCTION("""COMPUTED_VALUE"""),4.0)</f>
        <v>4</v>
      </c>
      <c r="G124" s="30">
        <f>IFERROR(__xludf.DUMMYFUNCTION("""COMPUTED_VALUE"""),7.0)</f>
        <v>7</v>
      </c>
      <c r="H124" s="42">
        <f>IFERROR(__xludf.DUMMYFUNCTION("""COMPUTED_VALUE"""),0.36363636363636365)</f>
        <v>0.3636363636</v>
      </c>
      <c r="I124" s="42">
        <f>IFERROR(__xludf.DUMMYFUNCTION("""COMPUTED_VALUE"""),0.23529411764705885)</f>
        <v>0.2352941176</v>
      </c>
      <c r="J124" s="30">
        <f>IFERROR(__xludf.DUMMYFUNCTION("""COMPUTED_VALUE"""),290.72727272727275)</f>
        <v>290.7272727</v>
      </c>
      <c r="K124" s="30">
        <f>IFERROR(__xludf.DUMMYFUNCTION("""COMPUTED_VALUE"""),0.36363636363636365)</f>
        <v>0.3636363636</v>
      </c>
      <c r="L124" s="30">
        <f>IFERROR(__xludf.DUMMYFUNCTION("""COMPUTED_VALUE"""),0.9090909090909091)</f>
        <v>0.9090909091</v>
      </c>
      <c r="M124" s="30">
        <f>IFERROR(__xludf.DUMMYFUNCTION("""COMPUTED_VALUE"""),1.0909090909090908)</f>
        <v>1.090909091</v>
      </c>
      <c r="N124" s="30">
        <f>IFERROR(__xludf.DUMMYFUNCTION("""COMPUTED_VALUE"""),1.5454545454545454)</f>
        <v>1.545454545</v>
      </c>
      <c r="O124" s="30">
        <f>IFERROR(__xludf.DUMMYFUNCTION("""COMPUTED_VALUE"""),355.8484848484849)</f>
        <v>355.8484848</v>
      </c>
      <c r="P124" s="30">
        <f>IFERROR(__xludf.DUMMYFUNCTION("""COMPUTED_VALUE"""),0.9090909090909091)</f>
        <v>0.9090909091</v>
      </c>
      <c r="Q124" s="30">
        <f>IFERROR(__xludf.DUMMYFUNCTION("""COMPUTED_VALUE"""),0.6969696969696969)</f>
        <v>0.696969697</v>
      </c>
      <c r="R124" s="30">
        <f>IFERROR(__xludf.DUMMYFUNCTION("""COMPUTED_VALUE"""),0.9696969696969696)</f>
        <v>0.9696969697</v>
      </c>
      <c r="S124" s="30">
        <f>IFERROR(__xludf.DUMMYFUNCTION("""COMPUTED_VALUE"""),3.03030303030303)</f>
        <v>3.03030303</v>
      </c>
      <c r="T124" s="30">
        <f>IFERROR(__xludf.DUMMYFUNCTION("""COMPUTED_VALUE"""),374.167801450214)</f>
        <v>374.1678015</v>
      </c>
      <c r="U124" s="30">
        <f>IFERROR(__xludf.DUMMYFUNCTION("""COMPUTED_VALUE"""),0.7998241734657617)</f>
        <v>0.7998241735</v>
      </c>
      <c r="V124" s="30">
        <f>IFERROR(__xludf.DUMMYFUNCTION("""COMPUTED_VALUE"""),0.6407151985848432)</f>
        <v>0.6407151986</v>
      </c>
      <c r="W124" s="30">
        <f>IFERROR(__xludf.DUMMYFUNCTION("""COMPUTED_VALUE"""),1.4994627225883754)</f>
        <v>1.499462723</v>
      </c>
      <c r="X124" s="30">
        <f>IFERROR(__xludf.DUMMYFUNCTION("""COMPUTED_VALUE"""),2.779745255711818)</f>
        <v>2.779745256</v>
      </c>
      <c r="Y124" s="30">
        <f>IFERROR(__xludf.DUMMYFUNCTION("""COMPUTED_VALUE"""),375.9898499401221)</f>
        <v>375.9898499</v>
      </c>
      <c r="Z124" s="30">
        <f>IFERROR(__xludf.DUMMYFUNCTION("""COMPUTED_VALUE"""),0.8246350151261331)</f>
        <v>0.8246350151</v>
      </c>
      <c r="AA124" s="30">
        <f>IFERROR(__xludf.DUMMYFUNCTION("""COMPUTED_VALUE"""),0.6235523022683419)</f>
        <v>0.6235523023</v>
      </c>
      <c r="AB124" s="30">
        <f>IFERROR(__xludf.DUMMYFUNCTION("""COMPUTED_VALUE"""),1.4937073470184752)</f>
        <v>1.493707347</v>
      </c>
      <c r="AC124" s="30">
        <f>IFERROR(__xludf.DUMMYFUNCTION("""COMPUTED_VALUE"""),2.8117941043598482)</f>
        <v>2.811794104</v>
      </c>
      <c r="AD124" s="30">
        <f>IFERROR(__xludf.DUMMYFUNCTION("""COMPUTED_VALUE"""),0.7732317049877071)</f>
        <v>0.773231705</v>
      </c>
      <c r="AE124" s="30">
        <f>IFERROR(__xludf.DUMMYFUNCTION("""COMPUTED_VALUE"""),0.4409664360186587)</f>
        <v>0.440966436</v>
      </c>
      <c r="AF124" s="30">
        <f>IFERROR(__xludf.DUMMYFUNCTION("""COMPUTED_VALUE"""),1.4579224642164619)</f>
        <v>1.457922464</v>
      </c>
      <c r="AG124" s="30">
        <f>IFERROR(__xludf.DUMMYFUNCTION("""COMPUTED_VALUE"""),0.7303365636425417)</f>
        <v>0.7303365636</v>
      </c>
      <c r="AH124" s="30">
        <f>IFERROR(__xludf.DUMMYFUNCTION("""COMPUTED_VALUE"""),0.5496328991721796)</f>
        <v>0.5496328992</v>
      </c>
      <c r="AI124" s="30">
        <f>IFERROR(__xludf.DUMMYFUNCTION("""COMPUTED_VALUE"""),0.9510398368573502)</f>
        <v>0.9510398369</v>
      </c>
      <c r="AJ124" s="30">
        <f>IFERROR(__xludf.DUMMYFUNCTION("""COMPUTED_VALUE"""),1.1366134448671108)</f>
        <v>1.136613445</v>
      </c>
      <c r="AK124" s="30">
        <f>IFERROR(__xludf.DUMMYFUNCTION("""COMPUTED_VALUE"""),1.0877995379368304)</f>
        <v>1.087799538</v>
      </c>
      <c r="AL124" s="30">
        <f>IFERROR(__xludf.DUMMYFUNCTION("""COMPUTED_VALUE"""),0.6466962833347913)</f>
        <v>0.6466962833</v>
      </c>
      <c r="AM124" s="30">
        <f>IFERROR(__xludf.DUMMYFUNCTION("""COMPUTED_VALUE"""),1.0901369555632359)</f>
        <v>1.090136956</v>
      </c>
      <c r="AN124" s="30">
        <f>IFERROR(__xludf.DUMMYFUNCTION("""COMPUTED_VALUE"""),0.7882642607982436)</f>
        <v>0.7882642608</v>
      </c>
      <c r="AO124" s="30">
        <f>IFERROR(__xludf.DUMMYFUNCTION("""COMPUTED_VALUE"""),0.47385319647665164)</f>
        <v>0.4738531965</v>
      </c>
      <c r="AP124" s="30">
        <f>IFERROR(__xludf.DUMMYFUNCTION("""COMPUTED_VALUE"""),1.4271066759746567)</f>
        <v>1.427106676</v>
      </c>
      <c r="AQ124" s="30">
        <f>IFERROR(__xludf.DUMMYFUNCTION("""COMPUTED_VALUE"""),0.745302668798643)</f>
        <v>0.7453026688</v>
      </c>
      <c r="AR124" s="30">
        <f>IFERROR(__xludf.DUMMYFUNCTION("""COMPUTED_VALUE"""),0.5728522211238054)</f>
        <v>0.5728522211</v>
      </c>
      <c r="AS124" s="30">
        <f>IFERROR(__xludf.DUMMYFUNCTION("""COMPUTED_VALUE"""),23.0)</f>
        <v>23</v>
      </c>
      <c r="AT124" s="30">
        <f>IFERROR(__xludf.DUMMYFUNCTION("""COMPUTED_VALUE"""),0.39717778100809875)</f>
        <v>0.397177781</v>
      </c>
      <c r="AU124" s="30">
        <f>IFERROR(__xludf.DUMMYFUNCTION("""COMPUTED_VALUE"""),2.292837978508779)</f>
        <v>2.292837979</v>
      </c>
      <c r="AV124" s="32">
        <f>IFERROR(__xludf.DUMMYFUNCTION("""COMPUTED_VALUE"""),32.03415976791533)</f>
        <v>32.03415977</v>
      </c>
      <c r="AW124" s="32">
        <f>IFERROR(__xludf.DUMMYFUNCTION("""COMPUTED_VALUE"""),-4.233998718017929)</f>
        <v>-4.233998718</v>
      </c>
      <c r="AX124" s="32">
        <f>IFERROR(__xludf.DUMMYFUNCTION("""COMPUTED_VALUE"""),32.61010049400984)</f>
        <v>32.61010049</v>
      </c>
      <c r="AY124" s="32">
        <f>IFERROR(__xludf.DUMMYFUNCTION("""COMPUTED_VALUE"""),-4.109460542083381)</f>
        <v>-4.109460542</v>
      </c>
      <c r="AZ124" s="30">
        <f>IFERROR(__xludf.DUMMYFUNCTION("""COMPUTED_VALUE"""),0.12453817593454808)</f>
        <v>0.1245381759</v>
      </c>
      <c r="BA124" s="30">
        <f>IFERROR(__xludf.DUMMYFUNCTION("""COMPUTED_VALUE"""),450.0)</f>
        <v>450</v>
      </c>
    </row>
    <row r="125">
      <c r="A125" s="30" t="str">
        <f>IFERROR(__xludf.DUMMYFUNCTION("""COMPUTED_VALUE"""),"Master")</f>
        <v>Master</v>
      </c>
      <c r="B125" s="30" t="str">
        <f>IFERROR(__xludf.DUMMYFUNCTION("""COMPUTED_VALUE"""),"RSC007244")</f>
        <v>RSC007244</v>
      </c>
      <c r="C125" s="30" t="str">
        <f>IFERROR(__xludf.DUMMYFUNCTION("""COMPUTED_VALUE"""),"Joxtrot")</f>
        <v>Joxtrot</v>
      </c>
      <c r="D125" s="30" t="str">
        <f>IFERROR(__xludf.DUMMYFUNCTION("""COMPUTED_VALUE"""),"Fromunda Frauds")</f>
        <v>Fromunda Frauds</v>
      </c>
      <c r="E125" s="30">
        <f>IFERROR(__xludf.DUMMYFUNCTION("""COMPUTED_VALUE"""),32.0)</f>
        <v>32</v>
      </c>
      <c r="F125" s="30">
        <f>IFERROR(__xludf.DUMMYFUNCTION("""COMPUTED_VALUE"""),15.0)</f>
        <v>15</v>
      </c>
      <c r="G125" s="30">
        <f>IFERROR(__xludf.DUMMYFUNCTION("""COMPUTED_VALUE"""),17.0)</f>
        <v>17</v>
      </c>
      <c r="H125" s="42">
        <f>IFERROR(__xludf.DUMMYFUNCTION("""COMPUTED_VALUE"""),0.46875)</f>
        <v>0.46875</v>
      </c>
      <c r="I125" s="42">
        <f>IFERROR(__xludf.DUMMYFUNCTION("""COMPUTED_VALUE"""),0.3116883116883117)</f>
        <v>0.3116883117</v>
      </c>
      <c r="J125" s="30">
        <f>IFERROR(__xludf.DUMMYFUNCTION("""COMPUTED_VALUE"""),358.03125)</f>
        <v>358.03125</v>
      </c>
      <c r="K125" s="30">
        <f>IFERROR(__xludf.DUMMYFUNCTION("""COMPUTED_VALUE"""),0.75)</f>
        <v>0.75</v>
      </c>
      <c r="L125" s="30">
        <f>IFERROR(__xludf.DUMMYFUNCTION("""COMPUTED_VALUE"""),0.71875)</f>
        <v>0.71875</v>
      </c>
      <c r="M125" s="30">
        <f>IFERROR(__xludf.DUMMYFUNCTION("""COMPUTED_VALUE"""),1.34375)</f>
        <v>1.34375</v>
      </c>
      <c r="N125" s="30">
        <f>IFERROR(__xludf.DUMMYFUNCTION("""COMPUTED_VALUE"""),2.40625)</f>
        <v>2.40625</v>
      </c>
      <c r="O125" s="30">
        <f>IFERROR(__xludf.DUMMYFUNCTION("""COMPUTED_VALUE"""),389.3229166666667)</f>
        <v>389.3229167</v>
      </c>
      <c r="P125" s="30">
        <f>IFERROR(__xludf.DUMMYFUNCTION("""COMPUTED_VALUE"""),0.9062500000000001)</f>
        <v>0.90625</v>
      </c>
      <c r="Q125" s="30">
        <f>IFERROR(__xludf.DUMMYFUNCTION("""COMPUTED_VALUE"""),0.6562499999999999)</f>
        <v>0.65625</v>
      </c>
      <c r="R125" s="30">
        <f>IFERROR(__xludf.DUMMYFUNCTION("""COMPUTED_VALUE"""),1.4270833333333333)</f>
        <v>1.427083333</v>
      </c>
      <c r="S125" s="30">
        <f>IFERROR(__xludf.DUMMYFUNCTION("""COMPUTED_VALUE"""),2.614583333333333)</f>
        <v>2.614583333</v>
      </c>
      <c r="T125" s="30">
        <f>IFERROR(__xludf.DUMMYFUNCTION("""COMPUTED_VALUE"""),390.2083935836541)</f>
        <v>390.2083936</v>
      </c>
      <c r="U125" s="30">
        <f>IFERROR(__xludf.DUMMYFUNCTION("""COMPUTED_VALUE"""),0.9199193071588905)</f>
        <v>0.9199193072</v>
      </c>
      <c r="V125" s="30">
        <f>IFERROR(__xludf.DUMMYFUNCTION("""COMPUTED_VALUE"""),0.6511337331649834)</f>
        <v>0.6511337332</v>
      </c>
      <c r="W125" s="30">
        <f>IFERROR(__xludf.DUMMYFUNCTION("""COMPUTED_VALUE"""),1.4454145873416713)</f>
        <v>1.445414587</v>
      </c>
      <c r="X125" s="30">
        <f>IFERROR(__xludf.DUMMYFUNCTION("""COMPUTED_VALUE"""),2.875200542127624)</f>
        <v>2.875200542</v>
      </c>
      <c r="Y125" s="30">
        <f>IFERROR(__xludf.DUMMYFUNCTION("""COMPUTED_VALUE"""),381.5134569905404)</f>
        <v>381.513457</v>
      </c>
      <c r="Z125" s="30">
        <f>IFERROR(__xludf.DUMMYFUNCTION("""COMPUTED_VALUE"""),0.8270697634412915)</f>
        <v>0.8270697634</v>
      </c>
      <c r="AA125" s="30">
        <f>IFERROR(__xludf.DUMMYFUNCTION("""COMPUTED_VALUE"""),0.6280621609614665)</f>
        <v>0.628062161</v>
      </c>
      <c r="AB125" s="30">
        <f>IFERROR(__xludf.DUMMYFUNCTION("""COMPUTED_VALUE"""),1.5127320242771636)</f>
        <v>1.512732024</v>
      </c>
      <c r="AC125" s="30">
        <f>IFERROR(__xludf.DUMMYFUNCTION("""COMPUTED_VALUE"""),2.699488268932713)</f>
        <v>2.699488269</v>
      </c>
      <c r="AD125" s="30">
        <f>IFERROR(__xludf.DUMMYFUNCTION("""COMPUTED_VALUE"""),0.9384498592113288)</f>
        <v>0.9384498592</v>
      </c>
      <c r="AE125" s="30">
        <f>IFERROR(__xludf.DUMMYFUNCTION("""COMPUTED_VALUE"""),0.9068158856145124)</f>
        <v>0.9068158856</v>
      </c>
      <c r="AF125" s="30">
        <f>IFERROR(__xludf.DUMMYFUNCTION("""COMPUTED_VALUE"""),1.1443930946257046)</f>
        <v>1.144393095</v>
      </c>
      <c r="AG125" s="30">
        <f>IFERROR(__xludf.DUMMYFUNCTION("""COMPUTED_VALUE"""),0.8882934838654526)</f>
        <v>0.8882934839</v>
      </c>
      <c r="AH125" s="30">
        <f>IFERROR(__xludf.DUMMYFUNCTION("""COMPUTED_VALUE"""),0.8913726455834351)</f>
        <v>0.8913726456</v>
      </c>
      <c r="AI125" s="30">
        <f>IFERROR(__xludf.DUMMYFUNCTION("""COMPUTED_VALUE"""),0.9977307589187019)</f>
        <v>0.9977307589</v>
      </c>
      <c r="AJ125" s="30">
        <f>IFERROR(__xludf.DUMMYFUNCTION("""COMPUTED_VALUE"""),0.9851407541373307)</f>
        <v>0.9851407541</v>
      </c>
      <c r="AK125" s="30">
        <f>IFERROR(__xludf.DUMMYFUNCTION("""COMPUTED_VALUE"""),1.0078574747005469)</f>
        <v>1.007857475</v>
      </c>
      <c r="AL125" s="30">
        <f>IFERROR(__xludf.DUMMYFUNCTION("""COMPUTED_VALUE"""),0.9873176497809865)</f>
        <v>0.9873176498</v>
      </c>
      <c r="AM125" s="30">
        <f>IFERROR(__xludf.DUMMYFUNCTION("""COMPUTED_VALUE"""),0.9093568587736017)</f>
        <v>0.9093568588</v>
      </c>
      <c r="AN125" s="30">
        <f>IFERROR(__xludf.DUMMYFUNCTION("""COMPUTED_VALUE"""),0.9707491009578276)</f>
        <v>0.970749101</v>
      </c>
      <c r="AO125" s="30">
        <f>IFERROR(__xludf.DUMMYFUNCTION("""COMPUTED_VALUE"""),0.977322217733094)</f>
        <v>0.9773222177</v>
      </c>
      <c r="AP125" s="30">
        <f>IFERROR(__xludf.DUMMYFUNCTION("""COMPUTED_VALUE"""),1.128306215692463)</f>
        <v>1.128306216</v>
      </c>
      <c r="AQ125" s="30">
        <f>IFERROR(__xludf.DUMMYFUNCTION("""COMPUTED_VALUE"""),0.9180420894316619)</f>
        <v>0.9180420894</v>
      </c>
      <c r="AR125" s="30">
        <f>IFERROR(__xludf.DUMMYFUNCTION("""COMPUTED_VALUE"""),0.8919224839923955)</f>
        <v>0.891922484</v>
      </c>
      <c r="AS125" s="30">
        <f>IFERROR(__xludf.DUMMYFUNCTION("""COMPUTED_VALUE"""),77.0)</f>
        <v>77</v>
      </c>
      <c r="AT125" s="30">
        <f>IFERROR(__xludf.DUMMYFUNCTION("""COMPUTED_VALUE"""),0.45136242371769025)</f>
        <v>0.4513624237</v>
      </c>
      <c r="AU125" s="30">
        <f>IFERROR(__xludf.DUMMYFUNCTION("""COMPUTED_VALUE"""),3.121486091451903)</f>
        <v>3.121486091</v>
      </c>
      <c r="AV125" s="32">
        <f>IFERROR(__xludf.DUMMYFUNCTION("""COMPUTED_VALUE"""),52.281849443212245)</f>
        <v>52.28184944</v>
      </c>
      <c r="AW125" s="32">
        <f>IFERROR(__xludf.DUMMYFUNCTION("""COMPUTED_VALUE"""),2.1568577042465553)</f>
        <v>2.156857704</v>
      </c>
      <c r="AX125" s="32">
        <f>IFERROR(__xludf.DUMMYFUNCTION("""COMPUTED_VALUE"""),50.921487822020225)</f>
        <v>50.92148782</v>
      </c>
      <c r="AY125" s="32">
        <f>IFERROR(__xludf.DUMMYFUNCTION("""COMPUTED_VALUE"""),2.0605874065213454)</f>
        <v>2.060587407</v>
      </c>
      <c r="AZ125" s="30">
        <f>IFERROR(__xludf.DUMMYFUNCTION("""COMPUTED_VALUE"""),0.0962702977252099)</f>
        <v>0.09627029773</v>
      </c>
      <c r="BA125" s="30">
        <f>IFERROR(__xludf.DUMMYFUNCTION("""COMPUTED_VALUE"""),450.0)</f>
        <v>450</v>
      </c>
    </row>
    <row r="126">
      <c r="A126" s="30" t="str">
        <f>IFERROR(__xludf.DUMMYFUNCTION("""COMPUTED_VALUE"""),"Master")</f>
        <v>Master</v>
      </c>
      <c r="B126" s="30" t="str">
        <f>IFERROR(__xludf.DUMMYFUNCTION("""COMPUTED_VALUE"""),"RSC007412")</f>
        <v>RSC007412</v>
      </c>
      <c r="C126" s="30" t="str">
        <f>IFERROR(__xludf.DUMMYFUNCTION("""COMPUTED_VALUE"""),"spuf.")</f>
        <v>spuf.</v>
      </c>
      <c r="D126" s="30" t="str">
        <f>IFERROR(__xludf.DUMMYFUNCTION("""COMPUTED_VALUE"""),"Care Bears")</f>
        <v>Care Bears</v>
      </c>
      <c r="E126" s="30">
        <f>IFERROR(__xludf.DUMMYFUNCTION("""COMPUTED_VALUE"""),27.0)</f>
        <v>27</v>
      </c>
      <c r="F126" s="30">
        <f>IFERROR(__xludf.DUMMYFUNCTION("""COMPUTED_VALUE"""),10.0)</f>
        <v>10</v>
      </c>
      <c r="G126" s="30">
        <f>IFERROR(__xludf.DUMMYFUNCTION("""COMPUTED_VALUE"""),17.0)</f>
        <v>17</v>
      </c>
      <c r="H126" s="42">
        <f>IFERROR(__xludf.DUMMYFUNCTION("""COMPUTED_VALUE"""),0.37037037037037035)</f>
        <v>0.3703703704</v>
      </c>
      <c r="I126" s="42">
        <f>IFERROR(__xludf.DUMMYFUNCTION("""COMPUTED_VALUE"""),0.34848484848484845)</f>
        <v>0.3484848485</v>
      </c>
      <c r="J126" s="30">
        <f>IFERROR(__xludf.DUMMYFUNCTION("""COMPUTED_VALUE"""),392.4074074074074)</f>
        <v>392.4074074</v>
      </c>
      <c r="K126" s="30">
        <f>IFERROR(__xludf.DUMMYFUNCTION("""COMPUTED_VALUE"""),0.8518518518518519)</f>
        <v>0.8518518519</v>
      </c>
      <c r="L126" s="30">
        <f>IFERROR(__xludf.DUMMYFUNCTION("""COMPUTED_VALUE"""),0.6296296296296297)</f>
        <v>0.6296296296</v>
      </c>
      <c r="M126" s="30">
        <f>IFERROR(__xludf.DUMMYFUNCTION("""COMPUTED_VALUE"""),1.6296296296296295)</f>
        <v>1.62962963</v>
      </c>
      <c r="N126" s="30">
        <f>IFERROR(__xludf.DUMMYFUNCTION("""COMPUTED_VALUE"""),2.4444444444444446)</f>
        <v>2.444444444</v>
      </c>
      <c r="O126" s="30">
        <f>IFERROR(__xludf.DUMMYFUNCTION("""COMPUTED_VALUE"""),387.14814814814815)</f>
        <v>387.1481481</v>
      </c>
      <c r="P126" s="30">
        <f>IFERROR(__xludf.DUMMYFUNCTION("""COMPUTED_VALUE"""),0.9629629629629628)</f>
        <v>0.962962963</v>
      </c>
      <c r="Q126" s="30">
        <f>IFERROR(__xludf.DUMMYFUNCTION("""COMPUTED_VALUE"""),0.7654320987654322)</f>
        <v>0.7654320988</v>
      </c>
      <c r="R126" s="30">
        <f>IFERROR(__xludf.DUMMYFUNCTION("""COMPUTED_VALUE"""),1.3456790123456785)</f>
        <v>1.345679012</v>
      </c>
      <c r="S126" s="30">
        <f>IFERROR(__xludf.DUMMYFUNCTION("""COMPUTED_VALUE"""),2.8148148148148144)</f>
        <v>2.814814815</v>
      </c>
      <c r="T126" s="30">
        <f>IFERROR(__xludf.DUMMYFUNCTION("""COMPUTED_VALUE"""),396.30315202247704)</f>
        <v>396.303152</v>
      </c>
      <c r="U126" s="30">
        <f>IFERROR(__xludf.DUMMYFUNCTION("""COMPUTED_VALUE"""),0.9218025236947419)</f>
        <v>0.9218025237</v>
      </c>
      <c r="V126" s="30">
        <f>IFERROR(__xludf.DUMMYFUNCTION("""COMPUTED_VALUE"""),0.7289602200277108)</f>
        <v>0.72896022</v>
      </c>
      <c r="W126" s="30">
        <f>IFERROR(__xludf.DUMMYFUNCTION("""COMPUTED_VALUE"""),1.4918566648031513)</f>
        <v>1.491856665</v>
      </c>
      <c r="X126" s="30">
        <f>IFERROR(__xludf.DUMMYFUNCTION("""COMPUTED_VALUE"""),2.958618277187369)</f>
        <v>2.958618277</v>
      </c>
      <c r="Y126" s="30">
        <f>IFERROR(__xludf.DUMMYFUNCTION("""COMPUTED_VALUE"""),381.381925777152)</f>
        <v>381.3819258</v>
      </c>
      <c r="Z126" s="30">
        <f>IFERROR(__xludf.DUMMYFUNCTION("""COMPUTED_VALUE"""),0.8357833432106754)</f>
        <v>0.8357833432</v>
      </c>
      <c r="AA126" s="30">
        <f>IFERROR(__xludf.DUMMYFUNCTION("""COMPUTED_VALUE"""),0.6526140798176959)</f>
        <v>0.6526140798</v>
      </c>
      <c r="AB126" s="30">
        <f>IFERROR(__xludf.DUMMYFUNCTION("""COMPUTED_VALUE"""),1.5128250387958517)</f>
        <v>1.512825039</v>
      </c>
      <c r="AC126" s="30">
        <f>IFERROR(__xludf.DUMMYFUNCTION("""COMPUTED_VALUE"""),2.784731843000596)</f>
        <v>2.784731843</v>
      </c>
      <c r="AD126" s="30">
        <f>IFERROR(__xludf.DUMMYFUNCTION("""COMPUTED_VALUE"""),1.0289092924573928)</f>
        <v>1.028909292</v>
      </c>
      <c r="AE126" s="30">
        <f>IFERROR(__xludf.DUMMYFUNCTION("""COMPUTED_VALUE"""),1.0192256866228622)</f>
        <v>1.019225687</v>
      </c>
      <c r="AF126" s="30">
        <f>IFERROR(__xludf.DUMMYFUNCTION("""COMPUTED_VALUE"""),0.9647809465059551)</f>
        <v>0.9647809465</v>
      </c>
      <c r="AG126" s="30">
        <f>IFERROR(__xludf.DUMMYFUNCTION("""COMPUTED_VALUE"""),1.0772095832884612)</f>
        <v>1.077209583</v>
      </c>
      <c r="AH126" s="30">
        <f>IFERROR(__xludf.DUMMYFUNCTION("""COMPUTED_VALUE"""),0.8778024536145334)</f>
        <v>0.8778024536</v>
      </c>
      <c r="AI126" s="30">
        <f>IFERROR(__xludf.DUMMYFUNCTION("""COMPUTED_VALUE"""),0.9768989879903613)</f>
        <v>0.976898988</v>
      </c>
      <c r="AJ126" s="30">
        <f>IFERROR(__xludf.DUMMYFUNCTION("""COMPUTED_VALUE"""),1.0446521225644325)</f>
        <v>1.044652123</v>
      </c>
      <c r="AK126" s="30">
        <f>IFERROR(__xludf.DUMMYFUNCTION("""COMPUTED_VALUE"""),1.0500327421657316)</f>
        <v>1.050032742</v>
      </c>
      <c r="AL126" s="30">
        <f>IFERROR(__xludf.DUMMYFUNCTION("""COMPUTED_VALUE"""),0.9020162888927666)</f>
        <v>0.9020162889</v>
      </c>
      <c r="AM126" s="30">
        <f>IFERROR(__xludf.DUMMYFUNCTION("""COMPUTED_VALUE"""),0.9513950604978814)</f>
        <v>0.9513950605</v>
      </c>
      <c r="AN126" s="30">
        <f>IFERROR(__xludf.DUMMYFUNCTION("""COMPUTED_VALUE"""),1.0639549982017846)</f>
        <v>1.063954998</v>
      </c>
      <c r="AO126" s="30">
        <f>IFERROR(__xludf.DUMMYFUNCTION("""COMPUTED_VALUE"""),1.1100449880425265)</f>
        <v>1.110044988</v>
      </c>
      <c r="AP126" s="30">
        <f>IFERROR(__xludf.DUMMYFUNCTION("""COMPUTED_VALUE"""),0.9884035126194846)</f>
        <v>0.9884035126</v>
      </c>
      <c r="AQ126" s="30">
        <f>IFERROR(__xludf.DUMMYFUNCTION("""COMPUTED_VALUE"""),1.1133533694399482)</f>
        <v>1.113353369</v>
      </c>
      <c r="AR126" s="30">
        <f>IFERROR(__xludf.DUMMYFUNCTION("""COMPUTED_VALUE"""),0.9060799837383067)</f>
        <v>0.9060799837</v>
      </c>
      <c r="AS126" s="30">
        <f>IFERROR(__xludf.DUMMYFUNCTION("""COMPUTED_VALUE"""),54.0)</f>
        <v>54</v>
      </c>
      <c r="AT126" s="30">
        <f>IFERROR(__xludf.DUMMYFUNCTION("""COMPUTED_VALUE"""),0.3589638670182884)</f>
        <v>0.358963867</v>
      </c>
      <c r="AU126" s="30">
        <f>IFERROR(__xludf.DUMMYFUNCTION("""COMPUTED_VALUE"""),3.176541280446426)</f>
        <v>3.17654128</v>
      </c>
      <c r="AV126" s="32">
        <f>IFERROR(__xludf.DUMMYFUNCTION("""COMPUTED_VALUE"""),53.62710126284975)</f>
        <v>53.62710126</v>
      </c>
      <c r="AW126" s="32">
        <f>IFERROR(__xludf.DUMMYFUNCTION("""COMPUTED_VALUE"""),2.2607951277372997)</f>
        <v>2.260795128</v>
      </c>
      <c r="AX126" s="32">
        <f>IFERROR(__xludf.DUMMYFUNCTION("""COMPUTED_VALUE"""),54.39447822856072)</f>
        <v>54.39447823</v>
      </c>
      <c r="AY126" s="32">
        <f>IFERROR(__xludf.DUMMYFUNCTION("""COMPUTED_VALUE"""),2.3243179748769536)</f>
        <v>2.324317975</v>
      </c>
      <c r="AZ126" s="30">
        <f>IFERROR(__xludf.DUMMYFUNCTION("""COMPUTED_VALUE"""),0.06352284713965384)</f>
        <v>0.06352284714</v>
      </c>
      <c r="BA126" s="30">
        <f>IFERROR(__xludf.DUMMYFUNCTION("""COMPUTED_VALUE"""),450.0)</f>
        <v>450</v>
      </c>
    </row>
    <row r="127">
      <c r="A127" s="30" t="str">
        <f>IFERROR(__xludf.DUMMYFUNCTION("""COMPUTED_VALUE"""),"Master")</f>
        <v>Master</v>
      </c>
      <c r="B127" s="30" t="str">
        <f>IFERROR(__xludf.DUMMYFUNCTION("""COMPUTED_VALUE"""),"RSC005234")</f>
        <v>RSC005234</v>
      </c>
      <c r="C127" s="30" t="str">
        <f>IFERROR(__xludf.DUMMYFUNCTION("""COMPUTED_VALUE"""),"Hirsch")</f>
        <v>Hirsch</v>
      </c>
      <c r="D127" s="30" t="str">
        <f>IFERROR(__xludf.DUMMYFUNCTION("""COMPUTED_VALUE"""),"The OG")</f>
        <v>The OG</v>
      </c>
      <c r="E127" s="30">
        <f>IFERROR(__xludf.DUMMYFUNCTION("""COMPUTED_VALUE"""),10.0)</f>
        <v>10</v>
      </c>
      <c r="F127" s="30">
        <f>IFERROR(__xludf.DUMMYFUNCTION("""COMPUTED_VALUE"""),5.0)</f>
        <v>5</v>
      </c>
      <c r="G127" s="30">
        <f>IFERROR(__xludf.DUMMYFUNCTION("""COMPUTED_VALUE"""),5.0)</f>
        <v>5</v>
      </c>
      <c r="H127" s="42">
        <f>IFERROR(__xludf.DUMMYFUNCTION("""COMPUTED_VALUE"""),0.5)</f>
        <v>0.5</v>
      </c>
      <c r="I127" s="42">
        <f>IFERROR(__xludf.DUMMYFUNCTION("""COMPUTED_VALUE"""),0.24)</f>
        <v>0.24</v>
      </c>
      <c r="J127" s="30">
        <f>IFERROR(__xludf.DUMMYFUNCTION("""COMPUTED_VALUE"""),313.6)</f>
        <v>313.6</v>
      </c>
      <c r="K127" s="30">
        <f>IFERROR(__xludf.DUMMYFUNCTION("""COMPUTED_VALUE"""),0.6)</f>
        <v>0.6</v>
      </c>
      <c r="L127" s="30">
        <f>IFERROR(__xludf.DUMMYFUNCTION("""COMPUTED_VALUE"""),1.0)</f>
        <v>1</v>
      </c>
      <c r="M127" s="30">
        <f>IFERROR(__xludf.DUMMYFUNCTION("""COMPUTED_VALUE"""),0.9)</f>
        <v>0.9</v>
      </c>
      <c r="N127" s="30">
        <f>IFERROR(__xludf.DUMMYFUNCTION("""COMPUTED_VALUE"""),2.5)</f>
        <v>2.5</v>
      </c>
      <c r="O127" s="30">
        <f>IFERROR(__xludf.DUMMYFUNCTION("""COMPUTED_VALUE"""),360.80000000000007)</f>
        <v>360.8</v>
      </c>
      <c r="P127" s="30">
        <f>IFERROR(__xludf.DUMMYFUNCTION("""COMPUTED_VALUE"""),0.8666666666666668)</f>
        <v>0.8666666667</v>
      </c>
      <c r="Q127" s="30">
        <f>IFERROR(__xludf.DUMMYFUNCTION("""COMPUTED_VALUE"""),0.6666666666666666)</f>
        <v>0.6666666667</v>
      </c>
      <c r="R127" s="30">
        <f>IFERROR(__xludf.DUMMYFUNCTION("""COMPUTED_VALUE"""),1.3333333333333335)</f>
        <v>1.333333333</v>
      </c>
      <c r="S127" s="30">
        <f>IFERROR(__xludf.DUMMYFUNCTION("""COMPUTED_VALUE"""),2.4666666666666672)</f>
        <v>2.466666667</v>
      </c>
      <c r="T127" s="30">
        <f>IFERROR(__xludf.DUMMYFUNCTION("""COMPUTED_VALUE"""),392.253131713965)</f>
        <v>392.2531317</v>
      </c>
      <c r="U127" s="30">
        <f>IFERROR(__xludf.DUMMYFUNCTION("""COMPUTED_VALUE"""),0.8953908128908129)</f>
        <v>0.8953908129</v>
      </c>
      <c r="V127" s="30">
        <f>IFERROR(__xludf.DUMMYFUNCTION("""COMPUTED_VALUE"""),0.6555555555555554)</f>
        <v>0.6555555556</v>
      </c>
      <c r="W127" s="30">
        <f>IFERROR(__xludf.DUMMYFUNCTION("""COMPUTED_VALUE"""),1.4465997274330606)</f>
        <v>1.446599727</v>
      </c>
      <c r="X127" s="30">
        <f>IFERROR(__xludf.DUMMYFUNCTION("""COMPUTED_VALUE"""),2.8825104216770887)</f>
        <v>2.882510422</v>
      </c>
      <c r="Y127" s="30">
        <f>IFERROR(__xludf.DUMMYFUNCTION("""COMPUTED_VALUE"""),375.2991716102827)</f>
        <v>375.2991716</v>
      </c>
      <c r="Z127" s="30">
        <f>IFERROR(__xludf.DUMMYFUNCTION("""COMPUTED_VALUE"""),0.823008658008658)</f>
        <v>0.823008658</v>
      </c>
      <c r="AA127" s="30">
        <f>IFERROR(__xludf.DUMMYFUNCTION("""COMPUTED_VALUE"""),0.6120733792956015)</f>
        <v>0.6120733793</v>
      </c>
      <c r="AB127" s="30">
        <f>IFERROR(__xludf.DUMMYFUNCTION("""COMPUTED_VALUE"""),1.4817509753620866)</f>
        <v>1.481750975</v>
      </c>
      <c r="AC127" s="30">
        <f>IFERROR(__xludf.DUMMYFUNCTION("""COMPUTED_VALUE"""),2.657795548073326)</f>
        <v>2.657795548</v>
      </c>
      <c r="AD127" s="30">
        <f>IFERROR(__xludf.DUMMYFUNCTION("""COMPUTED_VALUE"""),0.8356000325139215)</f>
        <v>0.8356000325</v>
      </c>
      <c r="AE127" s="30">
        <f>IFERROR(__xludf.DUMMYFUNCTION("""COMPUTED_VALUE"""),0.7290324277411041)</f>
        <v>0.7290324277</v>
      </c>
      <c r="AF127" s="30">
        <f>IFERROR(__xludf.DUMMYFUNCTION("""COMPUTED_VALUE"""),1.633791035236396)</f>
        <v>1.633791035</v>
      </c>
      <c r="AG127" s="30">
        <f>IFERROR(__xludf.DUMMYFUNCTION("""COMPUTED_VALUE"""),0.6073895107645011)</f>
        <v>0.6073895108</v>
      </c>
      <c r="AH127" s="30">
        <f>IFERROR(__xludf.DUMMYFUNCTION("""COMPUTED_VALUE"""),0.9406291623192332)</f>
        <v>0.9406291623</v>
      </c>
      <c r="AI127" s="30">
        <f>IFERROR(__xludf.DUMMYFUNCTION("""COMPUTED_VALUE"""),0.9198141986106542)</f>
        <v>0.9198141986</v>
      </c>
      <c r="AJ127" s="30">
        <f>IFERROR(__xludf.DUMMYFUNCTION("""COMPUTED_VALUE"""),0.9679199900081521)</f>
        <v>0.96791999</v>
      </c>
      <c r="AK127" s="30">
        <f>IFERROR(__xludf.DUMMYFUNCTION("""COMPUTED_VALUE"""),1.016949152542373)</f>
        <v>1.016949153</v>
      </c>
      <c r="AL127" s="30">
        <f>IFERROR(__xludf.DUMMYFUNCTION("""COMPUTED_VALUE"""),0.9217016345629248)</f>
        <v>0.9217016346</v>
      </c>
      <c r="AM127" s="30">
        <f>IFERROR(__xludf.DUMMYFUNCTION("""COMPUTED_VALUE"""),0.8557355588784039)</f>
        <v>0.8557355589</v>
      </c>
      <c r="AN127" s="30">
        <f>IFERROR(__xludf.DUMMYFUNCTION("""COMPUTED_VALUE"""),0.8502802983269611)</f>
        <v>0.8502802983</v>
      </c>
      <c r="AO127" s="30">
        <f>IFERROR(__xludf.DUMMYFUNCTION("""COMPUTED_VALUE"""),0.7818577741864752)</f>
        <v>0.7818577742</v>
      </c>
      <c r="AP127" s="30">
        <f>IFERROR(__xludf.DUMMYFUNCTION("""COMPUTED_VALUE"""),1.5698173435721225)</f>
        <v>1.569817344</v>
      </c>
      <c r="AQ127" s="30">
        <f>IFERROR(__xludf.DUMMYFUNCTION("""COMPUTED_VALUE"""),0.6148747017588806)</f>
        <v>0.6148747018</v>
      </c>
      <c r="AR127" s="30">
        <f>IFERROR(__xludf.DUMMYFUNCTION("""COMPUTED_VALUE"""),0.9266727106414498)</f>
        <v>0.9266727106</v>
      </c>
      <c r="AS127" s="30">
        <f>IFERROR(__xludf.DUMMYFUNCTION("""COMPUTED_VALUE"""),25.0)</f>
        <v>25</v>
      </c>
      <c r="AT127" s="30">
        <f>IFERROR(__xludf.DUMMYFUNCTION("""COMPUTED_VALUE"""),0.48435461213632264)</f>
        <v>0.4843546121</v>
      </c>
      <c r="AU127" s="30">
        <f>IFERROR(__xludf.DUMMYFUNCTION("""COMPUTED_VALUE"""),3.32584460360319)</f>
        <v>3.325844604</v>
      </c>
      <c r="AV127" s="32">
        <f>IFERROR(__xludf.DUMMYFUNCTION("""COMPUTED_VALUE"""),57.27526905271139)</f>
        <v>57.27526905</v>
      </c>
      <c r="AW127" s="32">
        <f>IFERROR(__xludf.DUMMYFUNCTION("""COMPUTED_VALUE"""),2.59388875876095)</f>
        <v>2.593888759</v>
      </c>
      <c r="AX127" s="32">
        <f>IFERROR(__xludf.DUMMYFUNCTION("""COMPUTED_VALUE"""),56.67696623324323)</f>
        <v>56.67696623</v>
      </c>
      <c r="AY127" s="32">
        <f>IFERROR(__xludf.DUMMYFUNCTION("""COMPUTED_VALUE"""),2.533542179143889)</f>
        <v>2.533542179</v>
      </c>
      <c r="AZ127" s="30">
        <f>IFERROR(__xludf.DUMMYFUNCTION("""COMPUTED_VALUE"""),0.060346579617061025)</f>
        <v>0.06034657962</v>
      </c>
      <c r="BA127" s="30">
        <f>IFERROR(__xludf.DUMMYFUNCTION("""COMPUTED_VALUE"""),450.0)</f>
        <v>450</v>
      </c>
    </row>
    <row r="128">
      <c r="A128" s="30" t="str">
        <f>IFERROR(__xludf.DUMMYFUNCTION("""COMPUTED_VALUE"""),"Master")</f>
        <v>Master</v>
      </c>
      <c r="B128" s="30" t="str">
        <f>IFERROR(__xludf.DUMMYFUNCTION("""COMPUTED_VALUE"""),"RSC000330")</f>
        <v>RSC000330</v>
      </c>
      <c r="C128" s="30" t="str">
        <f>IFERROR(__xludf.DUMMYFUNCTION("""COMPUTED_VALUE"""),"Infinite")</f>
        <v>Infinite</v>
      </c>
      <c r="D128" s="30" t="str">
        <f>IFERROR(__xludf.DUMMYFUNCTION("""COMPUTED_VALUE"""),"Oblivion")</f>
        <v>Oblivion</v>
      </c>
      <c r="E128" s="30">
        <f>IFERROR(__xludf.DUMMYFUNCTION("""COMPUTED_VALUE"""),32.0)</f>
        <v>32</v>
      </c>
      <c r="F128" s="30">
        <f>IFERROR(__xludf.DUMMYFUNCTION("""COMPUTED_VALUE"""),22.0)</f>
        <v>22</v>
      </c>
      <c r="G128" s="30">
        <f>IFERROR(__xludf.DUMMYFUNCTION("""COMPUTED_VALUE"""),10.0)</f>
        <v>10</v>
      </c>
      <c r="H128" s="42">
        <f>IFERROR(__xludf.DUMMYFUNCTION("""COMPUTED_VALUE"""),0.6875)</f>
        <v>0.6875</v>
      </c>
      <c r="I128" s="42">
        <f>IFERROR(__xludf.DUMMYFUNCTION("""COMPUTED_VALUE"""),0.44285714285714284)</f>
        <v>0.4428571429</v>
      </c>
      <c r="J128" s="30">
        <f>IFERROR(__xludf.DUMMYFUNCTION("""COMPUTED_VALUE"""),385.625)</f>
        <v>385.625</v>
      </c>
      <c r="K128" s="30">
        <f>IFERROR(__xludf.DUMMYFUNCTION("""COMPUTED_VALUE"""),0.96875)</f>
        <v>0.96875</v>
      </c>
      <c r="L128" s="30">
        <f>IFERROR(__xludf.DUMMYFUNCTION("""COMPUTED_VALUE"""),0.6875)</f>
        <v>0.6875</v>
      </c>
      <c r="M128" s="30">
        <f>IFERROR(__xludf.DUMMYFUNCTION("""COMPUTED_VALUE"""),1.5625)</f>
        <v>1.5625</v>
      </c>
      <c r="N128" s="30">
        <f>IFERROR(__xludf.DUMMYFUNCTION("""COMPUTED_VALUE"""),2.1875)</f>
        <v>2.1875</v>
      </c>
      <c r="O128" s="30">
        <f>IFERROR(__xludf.DUMMYFUNCTION("""COMPUTED_VALUE"""),334.3541666666667)</f>
        <v>334.3541667</v>
      </c>
      <c r="P128" s="30">
        <f>IFERROR(__xludf.DUMMYFUNCTION("""COMPUTED_VALUE"""),0.6770833333333334)</f>
        <v>0.6770833333</v>
      </c>
      <c r="Q128" s="30">
        <f>IFERROR(__xludf.DUMMYFUNCTION("""COMPUTED_VALUE"""),0.44791666666666674)</f>
        <v>0.4479166667</v>
      </c>
      <c r="R128" s="30">
        <f>IFERROR(__xludf.DUMMYFUNCTION("""COMPUTED_VALUE"""),1.3541666666666665)</f>
        <v>1.354166667</v>
      </c>
      <c r="S128" s="30">
        <f>IFERROR(__xludf.DUMMYFUNCTION("""COMPUTED_VALUE"""),2.3645833333333344)</f>
        <v>2.364583333</v>
      </c>
      <c r="T128" s="30">
        <f>IFERROR(__xludf.DUMMYFUNCTION("""COMPUTED_VALUE"""),369.78010601909983)</f>
        <v>369.780106</v>
      </c>
      <c r="U128" s="30">
        <f>IFERROR(__xludf.DUMMYFUNCTION("""COMPUTED_VALUE"""),0.7343280270426992)</f>
        <v>0.734328027</v>
      </c>
      <c r="V128" s="30">
        <f>IFERROR(__xludf.DUMMYFUNCTION("""COMPUTED_VALUE"""),0.584048040004345)</f>
        <v>0.58404804</v>
      </c>
      <c r="W128" s="30">
        <f>IFERROR(__xludf.DUMMYFUNCTION("""COMPUTED_VALUE"""),1.5582893506221132)</f>
        <v>1.558289351</v>
      </c>
      <c r="X128" s="30">
        <f>IFERROR(__xludf.DUMMYFUNCTION("""COMPUTED_VALUE"""),2.743296171147549)</f>
        <v>2.743296171</v>
      </c>
      <c r="Y128" s="30">
        <f>IFERROR(__xludf.DUMMYFUNCTION("""COMPUTED_VALUE"""),404.5436219371452)</f>
        <v>404.5436219</v>
      </c>
      <c r="Z128" s="30">
        <f>IFERROR(__xludf.DUMMYFUNCTION("""COMPUTED_VALUE"""),0.9532488601477009)</f>
        <v>0.9532488601</v>
      </c>
      <c r="AA128" s="30">
        <f>IFERROR(__xludf.DUMMYFUNCTION("""COMPUTED_VALUE"""),0.7320940318709434)</f>
        <v>0.7320940319</v>
      </c>
      <c r="AB128" s="30">
        <f>IFERROR(__xludf.DUMMYFUNCTION("""COMPUTED_VALUE"""),1.5489573994266426)</f>
        <v>1.548957399</v>
      </c>
      <c r="AC128" s="30">
        <f>IFERROR(__xludf.DUMMYFUNCTION("""COMPUTED_VALUE"""),2.951740697899772)</f>
        <v>2.951740698</v>
      </c>
      <c r="AD128" s="30">
        <f>IFERROR(__xludf.DUMMYFUNCTION("""COMPUTED_VALUE"""),0.9532346552726405)</f>
        <v>0.9532346553</v>
      </c>
      <c r="AE128" s="30">
        <f>IFERROR(__xludf.DUMMYFUNCTION("""COMPUTED_VALUE"""),1.016261377800019)</f>
        <v>1.016261378</v>
      </c>
      <c r="AF128" s="30">
        <f>IFERROR(__xludf.DUMMYFUNCTION("""COMPUTED_VALUE"""),0.939087016244377)</f>
        <v>0.9390870162</v>
      </c>
      <c r="AG128" s="30">
        <f>IFERROR(__xludf.DUMMYFUNCTION("""COMPUTED_VALUE"""),1.008743042628784)</f>
        <v>1.008743043</v>
      </c>
      <c r="AH128" s="30">
        <f>IFERROR(__xludf.DUMMYFUNCTION("""COMPUTED_VALUE"""),0.7410881320152729)</f>
        <v>0.741088132</v>
      </c>
      <c r="AI128" s="30">
        <f>IFERROR(__xludf.DUMMYFUNCTION("""COMPUTED_VALUE"""),0.9041972816390417)</f>
        <v>0.9041972816</v>
      </c>
      <c r="AJ128" s="30">
        <f>IFERROR(__xludf.DUMMYFUNCTION("""COMPUTED_VALUE"""),0.9220447925160874)</f>
        <v>0.9220447925</v>
      </c>
      <c r="AK128" s="30">
        <f>IFERROR(__xludf.DUMMYFUNCTION("""COMPUTED_VALUE"""),0.7669175067573799)</f>
        <v>0.7669175068</v>
      </c>
      <c r="AL128" s="30">
        <f>IFERROR(__xludf.DUMMYFUNCTION("""COMPUTED_VALUE"""),0.8690084842882645)</f>
        <v>0.8690084843</v>
      </c>
      <c r="AM128" s="30">
        <f>IFERROR(__xludf.DUMMYFUNCTION("""COMPUTED_VALUE"""),0.8619497078743069)</f>
        <v>0.8619497079</v>
      </c>
      <c r="AN128" s="30">
        <f>IFERROR(__xludf.DUMMYFUNCTION("""COMPUTED_VALUE"""),1.0455654975839743)</f>
        <v>1.045565498</v>
      </c>
      <c r="AO128" s="30">
        <f>IFERROR(__xludf.DUMMYFUNCTION("""COMPUTED_VALUE"""),1.2623745312385797)</f>
        <v>1.262374531</v>
      </c>
      <c r="AP128" s="30">
        <f>IFERROR(__xludf.DUMMYFUNCTION("""COMPUTED_VALUE"""),1.079249423705834)</f>
        <v>1.079249424</v>
      </c>
      <c r="AQ128" s="30">
        <f>IFERROR(__xludf.DUMMYFUNCTION("""COMPUTED_VALUE"""),1.067490801664723)</f>
        <v>1.067490802</v>
      </c>
      <c r="AR128" s="30">
        <f>IFERROR(__xludf.DUMMYFUNCTION("""COMPUTED_VALUE"""),0.8108386218112686)</f>
        <v>0.8108386218</v>
      </c>
      <c r="AS128" s="30">
        <f>IFERROR(__xludf.DUMMYFUNCTION("""COMPUTED_VALUE"""),101.0)</f>
        <v>101</v>
      </c>
      <c r="AT128" s="30">
        <f>IFERROR(__xludf.DUMMYFUNCTION("""COMPUTED_VALUE"""),0.6697197032995372)</f>
        <v>0.6697197033</v>
      </c>
      <c r="AU128" s="30">
        <f>IFERROR(__xludf.DUMMYFUNCTION("""COMPUTED_VALUE"""),3.3236823116418273)</f>
        <v>3.323682312</v>
      </c>
      <c r="AV128" s="32">
        <f>IFERROR(__xludf.DUMMYFUNCTION("""COMPUTED_VALUE"""),57.222434301823505)</f>
        <v>57.2224343</v>
      </c>
      <c r="AW128" s="32">
        <f>IFERROR(__xludf.DUMMYFUNCTION("""COMPUTED_VALUE"""),2.588460927853456)</f>
        <v>2.588460928</v>
      </c>
      <c r="AX128" s="32">
        <f>IFERROR(__xludf.DUMMYFUNCTION("""COMPUTED_VALUE"""),57.18745760076784)</f>
        <v>57.1874576</v>
      </c>
      <c r="AY128" s="32">
        <f>IFERROR(__xludf.DUMMYFUNCTION("""COMPUTED_VALUE"""),2.58487835707132)</f>
        <v>2.584878357</v>
      </c>
      <c r="AZ128" s="30">
        <f>IFERROR(__xludf.DUMMYFUNCTION("""COMPUTED_VALUE"""),0.0035825707821359742)</f>
        <v>0.003582570782</v>
      </c>
      <c r="BA128" s="30">
        <f>IFERROR(__xludf.DUMMYFUNCTION("""COMPUTED_VALUE"""),450.0)</f>
        <v>450</v>
      </c>
    </row>
    <row r="129">
      <c r="A129" s="30" t="str">
        <f>IFERROR(__xludf.DUMMYFUNCTION("""COMPUTED_VALUE"""),"Elite")</f>
        <v>Elite</v>
      </c>
      <c r="B129" s="30" t="str">
        <f>IFERROR(__xludf.DUMMYFUNCTION("""COMPUTED_VALUE"""),"RSC007869")</f>
        <v>RSC007869</v>
      </c>
      <c r="C129" s="30" t="str">
        <f>IFERROR(__xludf.DUMMYFUNCTION("""COMPUTED_VALUE"""),"Swishira")</f>
        <v>Swishira</v>
      </c>
      <c r="D129" s="30" t="str">
        <f>IFERROR(__xludf.DUMMYFUNCTION("""COMPUTED_VALUE"""),"Black-Holes")</f>
        <v>Black-Holes</v>
      </c>
      <c r="E129" s="30">
        <f>IFERROR(__xludf.DUMMYFUNCTION("""COMPUTED_VALUE"""),32.0)</f>
        <v>32</v>
      </c>
      <c r="F129" s="30">
        <f>IFERROR(__xludf.DUMMYFUNCTION("""COMPUTED_VALUE"""),24.0)</f>
        <v>24</v>
      </c>
      <c r="G129" s="30">
        <f>IFERROR(__xludf.DUMMYFUNCTION("""COMPUTED_VALUE"""),8.0)</f>
        <v>8</v>
      </c>
      <c r="H129" s="42">
        <f>IFERROR(__xludf.DUMMYFUNCTION("""COMPUTED_VALUE"""),0.75)</f>
        <v>0.75</v>
      </c>
      <c r="I129" s="42">
        <f>IFERROR(__xludf.DUMMYFUNCTION("""COMPUTED_VALUE"""),0.4108527131782946)</f>
        <v>0.4108527132</v>
      </c>
      <c r="J129" s="30">
        <f>IFERROR(__xludf.DUMMYFUNCTION("""COMPUTED_VALUE"""),509.21875)</f>
        <v>509.21875</v>
      </c>
      <c r="K129" s="30">
        <f>IFERROR(__xludf.DUMMYFUNCTION("""COMPUTED_VALUE"""),1.65625)</f>
        <v>1.65625</v>
      </c>
      <c r="L129" s="30">
        <f>IFERROR(__xludf.DUMMYFUNCTION("""COMPUTED_VALUE"""),1.125)</f>
        <v>1.125</v>
      </c>
      <c r="M129" s="30">
        <f>IFERROR(__xludf.DUMMYFUNCTION("""COMPUTED_VALUE"""),1.0625)</f>
        <v>1.0625</v>
      </c>
      <c r="N129" s="30">
        <f>IFERROR(__xludf.DUMMYFUNCTION("""COMPUTED_VALUE"""),4.03125)</f>
        <v>4.03125</v>
      </c>
      <c r="O129" s="30">
        <f>IFERROR(__xludf.DUMMYFUNCTION("""COMPUTED_VALUE"""),369.2604166666666)</f>
        <v>369.2604167</v>
      </c>
      <c r="P129" s="30">
        <f>IFERROR(__xludf.DUMMYFUNCTION("""COMPUTED_VALUE"""),0.7291666666666666)</f>
        <v>0.7291666667</v>
      </c>
      <c r="Q129" s="30">
        <f>IFERROR(__xludf.DUMMYFUNCTION("""COMPUTED_VALUE"""),0.53125)</f>
        <v>0.53125</v>
      </c>
      <c r="R129" s="30">
        <f>IFERROR(__xludf.DUMMYFUNCTION("""COMPUTED_VALUE"""),1.770833333333334)</f>
        <v>1.770833333</v>
      </c>
      <c r="S129" s="30">
        <f>IFERROR(__xludf.DUMMYFUNCTION("""COMPUTED_VALUE"""),2.3125)</f>
        <v>2.3125</v>
      </c>
      <c r="T129" s="30">
        <f>IFERROR(__xludf.DUMMYFUNCTION("""COMPUTED_VALUE"""),342.81915386696414)</f>
        <v>342.8191539</v>
      </c>
      <c r="U129" s="30">
        <f>IFERROR(__xludf.DUMMYFUNCTION("""COMPUTED_VALUE"""),0.6838194963636273)</f>
        <v>0.6838194964</v>
      </c>
      <c r="V129" s="30">
        <f>IFERROR(__xludf.DUMMYFUNCTION("""COMPUTED_VALUE"""),0.4914675616686758)</f>
        <v>0.4914675617</v>
      </c>
      <c r="W129" s="30">
        <f>IFERROR(__xludf.DUMMYFUNCTION("""COMPUTED_VALUE"""),1.460370414921018)</f>
        <v>1.460370415</v>
      </c>
      <c r="X129" s="30">
        <f>IFERROR(__xludf.DUMMYFUNCTION("""COMPUTED_VALUE"""),2.476930968495191)</f>
        <v>2.476930968</v>
      </c>
      <c r="Y129" s="30">
        <f>IFERROR(__xludf.DUMMYFUNCTION("""COMPUTED_VALUE"""),379.64447265833104)</f>
        <v>379.6444727</v>
      </c>
      <c r="Z129" s="30">
        <f>IFERROR(__xludf.DUMMYFUNCTION("""COMPUTED_VALUE"""),0.8981434192444838)</f>
        <v>0.8981434192</v>
      </c>
      <c r="AA129" s="30">
        <f>IFERROR(__xludf.DUMMYFUNCTION("""COMPUTED_VALUE"""),0.6944079222097672)</f>
        <v>0.6944079222</v>
      </c>
      <c r="AB129" s="30">
        <f>IFERROR(__xludf.DUMMYFUNCTION("""COMPUTED_VALUE"""),1.3550507243795002)</f>
        <v>1.355050724</v>
      </c>
      <c r="AC129" s="30">
        <f>IFERROR(__xludf.DUMMYFUNCTION("""COMPUTED_VALUE"""),2.9310176924767815)</f>
        <v>2.931017692</v>
      </c>
      <c r="AD129" s="30">
        <f>IFERROR(__xludf.DUMMYFUNCTION("""COMPUTED_VALUE"""),1.3413042640509665)</f>
        <v>1.341304264</v>
      </c>
      <c r="AE129" s="30">
        <f>IFERROR(__xludf.DUMMYFUNCTION("""COMPUTED_VALUE"""),1.8440818743550265)</f>
        <v>1.844081874</v>
      </c>
      <c r="AF129" s="30">
        <f>IFERROR(__xludf.DUMMYFUNCTION("""COMPUTED_VALUE"""),1.6200852035500817)</f>
        <v>1.620085204</v>
      </c>
      <c r="AG129" s="30">
        <f>IFERROR(__xludf.DUMMYFUNCTION("""COMPUTED_VALUE"""),0.784103488440653)</f>
        <v>0.7841034884</v>
      </c>
      <c r="AH129" s="30">
        <f>IFERROR(__xludf.DUMMYFUNCTION("""COMPUTED_VALUE"""),1.375375525827514)</f>
        <v>1.375375526</v>
      </c>
      <c r="AI129" s="30">
        <f>IFERROR(__xludf.DUMMYFUNCTION("""COMPUTED_VALUE"""),1.0771288958083227)</f>
        <v>1.077128896</v>
      </c>
      <c r="AJ129" s="30">
        <f>IFERROR(__xludf.DUMMYFUNCTION("""COMPUTED_VALUE"""),1.0663145326276653)</f>
        <v>1.066314533</v>
      </c>
      <c r="AK129" s="30">
        <f>IFERROR(__xludf.DUMMYFUNCTION("""COMPUTED_VALUE"""),1.0809462138177568)</f>
        <v>1.080946214</v>
      </c>
      <c r="AL129" s="30">
        <f>IFERROR(__xludf.DUMMYFUNCTION("""COMPUTED_VALUE"""),1.212591898082999)</f>
        <v>1.212591898</v>
      </c>
      <c r="AM129" s="30">
        <f>IFERROR(__xludf.DUMMYFUNCTION("""COMPUTED_VALUE"""),0.9336150378889696)</f>
        <v>0.9336150379</v>
      </c>
      <c r="AN129" s="30">
        <f>IFERROR(__xludf.DUMMYFUNCTION("""COMPUTED_VALUE"""),1.4437369636589432)</f>
        <v>1.443736964</v>
      </c>
      <c r="AO129" s="30">
        <f>IFERROR(__xludf.DUMMYFUNCTION("""COMPUTED_VALUE"""),2.322323181352325)</f>
        <v>2.322323181</v>
      </c>
      <c r="AP129" s="30">
        <f>IFERROR(__xludf.DUMMYFUNCTION("""COMPUTED_VALUE"""),1.9562616773637587)</f>
        <v>1.956261677</v>
      </c>
      <c r="AQ129" s="30">
        <f>IFERROR(__xludf.DUMMYFUNCTION("""COMPUTED_VALUE"""),0.7448206450342336)</f>
        <v>0.744820645</v>
      </c>
      <c r="AR129" s="30">
        <f>IFERROR(__xludf.DUMMYFUNCTION("""COMPUTED_VALUE"""),1.600267290933039)</f>
        <v>1.600267291</v>
      </c>
      <c r="AS129" s="30">
        <f>IFERROR(__xludf.DUMMYFUNCTION("""COMPUTED_VALUE"""),119.0)</f>
        <v>119</v>
      </c>
      <c r="AT129" s="30">
        <f>IFERROR(__xludf.DUMMYFUNCTION("""COMPUTED_VALUE"""),0.7075260647261703)</f>
        <v>0.7075260647</v>
      </c>
      <c r="AU129" s="30">
        <f>IFERROR(__xludf.DUMMYFUNCTION("""COMPUTED_VALUE"""),5.0349975068847135)</f>
        <v>5.034997507</v>
      </c>
      <c r="AV129" s="32">
        <f>IFERROR(__xludf.DUMMYFUNCTION("""COMPUTED_VALUE"""),126.15790455603492)</f>
        <v>126.1579046</v>
      </c>
      <c r="AW129" s="32">
        <f>IFERROR(__xludf.DUMMYFUNCTION("""COMPUTED_VALUE"""),863.3189862493921)</f>
        <v>863.3189862</v>
      </c>
      <c r="AX129" s="32">
        <f>IFERROR(__xludf.DUMMYFUNCTION("""COMPUTED_VALUE"""),102.840765417136)</f>
        <v>102.8407654</v>
      </c>
      <c r="AY129" s="32">
        <f>IFERROR(__xludf.DUMMYFUNCTION("""COMPUTED_VALUE"""),57.8924338954759)</f>
        <v>57.8924339</v>
      </c>
      <c r="AZ129" s="30">
        <f>IFERROR(__xludf.DUMMYFUNCTION("""COMPUTED_VALUE"""),805.4265523539162)</f>
        <v>805.4265524</v>
      </c>
      <c r="BA129" s="30">
        <f>IFERROR(__xludf.DUMMYFUNCTION("""COMPUTED_VALUE"""),800.0)</f>
        <v>800</v>
      </c>
    </row>
    <row r="130">
      <c r="A130" s="30" t="str">
        <f>IFERROR(__xludf.DUMMYFUNCTION("""COMPUTED_VALUE"""),"Elite")</f>
        <v>Elite</v>
      </c>
      <c r="B130" s="30" t="str">
        <f>IFERROR(__xludf.DUMMYFUNCTION("""COMPUTED_VALUE"""),"RSC005490")</f>
        <v>RSC005490</v>
      </c>
      <c r="C130" s="30" t="str">
        <f>IFERROR(__xludf.DUMMYFUNCTION("""COMPUTED_VALUE"""),"iProfessorEx")</f>
        <v>iProfessorEx</v>
      </c>
      <c r="D130" s="30" t="str">
        <f>IFERROR(__xludf.DUMMYFUNCTION("""COMPUTED_VALUE"""),"Repossessed")</f>
        <v>Repossessed</v>
      </c>
      <c r="E130" s="30">
        <f>IFERROR(__xludf.DUMMYFUNCTION("""COMPUTED_VALUE"""),4.0)</f>
        <v>4</v>
      </c>
      <c r="F130" s="30">
        <f>IFERROR(__xludf.DUMMYFUNCTION("""COMPUTED_VALUE"""),0.0)</f>
        <v>0</v>
      </c>
      <c r="G130" s="30">
        <f>IFERROR(__xludf.DUMMYFUNCTION("""COMPUTED_VALUE"""),4.0)</f>
        <v>4</v>
      </c>
      <c r="H130" s="42">
        <f>IFERROR(__xludf.DUMMYFUNCTION("""COMPUTED_VALUE"""),0.0)</f>
        <v>0</v>
      </c>
      <c r="I130" s="42">
        <f>IFERROR(__xludf.DUMMYFUNCTION("""COMPUTED_VALUE"""),0.0)</f>
        <v>0</v>
      </c>
      <c r="J130" s="30">
        <f>IFERROR(__xludf.DUMMYFUNCTION("""COMPUTED_VALUE"""),233.0)</f>
        <v>233</v>
      </c>
      <c r="K130" s="30">
        <f>IFERROR(__xludf.DUMMYFUNCTION("""COMPUTED_VALUE"""),0.0)</f>
        <v>0</v>
      </c>
      <c r="L130" s="30">
        <f>IFERROR(__xludf.DUMMYFUNCTION("""COMPUTED_VALUE"""),0.25)</f>
        <v>0.25</v>
      </c>
      <c r="M130" s="30">
        <f>IFERROR(__xludf.DUMMYFUNCTION("""COMPUTED_VALUE"""),1.5)</f>
        <v>1.5</v>
      </c>
      <c r="N130" s="30">
        <f>IFERROR(__xludf.DUMMYFUNCTION("""COMPUTED_VALUE"""),1.25)</f>
        <v>1.25</v>
      </c>
      <c r="O130" s="30">
        <f>IFERROR(__xludf.DUMMYFUNCTION("""COMPUTED_VALUE"""),443.0833333333333)</f>
        <v>443.0833333</v>
      </c>
      <c r="P130" s="30">
        <f>IFERROR(__xludf.DUMMYFUNCTION("""COMPUTED_VALUE"""),1.0833333333333335)</f>
        <v>1.083333333</v>
      </c>
      <c r="Q130" s="30">
        <f>IFERROR(__xludf.DUMMYFUNCTION("""COMPUTED_VALUE"""),0.9999999999999999)</f>
        <v>1</v>
      </c>
      <c r="R130" s="30">
        <f>IFERROR(__xludf.DUMMYFUNCTION("""COMPUTED_VALUE"""),1.6666666666666667)</f>
        <v>1.666666667</v>
      </c>
      <c r="S130" s="30">
        <f>IFERROR(__xludf.DUMMYFUNCTION("""COMPUTED_VALUE"""),3.0833333333333335)</f>
        <v>3.083333333</v>
      </c>
      <c r="T130" s="30">
        <f>IFERROR(__xludf.DUMMYFUNCTION("""COMPUTED_VALUE"""),379.0912698412699)</f>
        <v>379.0912698</v>
      </c>
      <c r="U130" s="30">
        <f>IFERROR(__xludf.DUMMYFUNCTION("""COMPUTED_VALUE"""),0.8035714285714285)</f>
        <v>0.8035714286</v>
      </c>
      <c r="V130" s="30">
        <f>IFERROR(__xludf.DUMMYFUNCTION("""COMPUTED_VALUE"""),0.6231812169312169)</f>
        <v>0.6231812169</v>
      </c>
      <c r="W130" s="30">
        <f>IFERROR(__xludf.DUMMYFUNCTION("""COMPUTED_VALUE"""),1.5540674603174605)</f>
        <v>1.55406746</v>
      </c>
      <c r="X130" s="30">
        <f>IFERROR(__xludf.DUMMYFUNCTION("""COMPUTED_VALUE"""),2.7273478835978837)</f>
        <v>2.727347884</v>
      </c>
      <c r="Y130" s="30">
        <f>IFERROR(__xludf.DUMMYFUNCTION("""COMPUTED_VALUE"""),365.148864638448)</f>
        <v>365.1488646</v>
      </c>
      <c r="Z130" s="30">
        <f>IFERROR(__xludf.DUMMYFUNCTION("""COMPUTED_VALUE"""),0.771880511463845)</f>
        <v>0.7718805115</v>
      </c>
      <c r="AA130" s="30">
        <f>IFERROR(__xludf.DUMMYFUNCTION("""COMPUTED_VALUE"""),0.5389660493827162)</f>
        <v>0.5389660494</v>
      </c>
      <c r="AB130" s="30">
        <f>IFERROR(__xludf.DUMMYFUNCTION("""COMPUTED_VALUE"""),1.5432649911816576)</f>
        <v>1.543264991</v>
      </c>
      <c r="AC130" s="30">
        <f>IFERROR(__xludf.DUMMYFUNCTION("""COMPUTED_VALUE"""),2.6633597883597884)</f>
        <v>2.663359788</v>
      </c>
      <c r="AD130" s="30">
        <f>IFERROR(__xludf.DUMMYFUNCTION("""COMPUTED_VALUE"""),0.6380959180325122)</f>
        <v>0.638095918</v>
      </c>
      <c r="AE130" s="30">
        <f>IFERROR(__xludf.DUMMYFUNCTION("""COMPUTED_VALUE"""),0.0)</f>
        <v>0</v>
      </c>
      <c r="AF130" s="30">
        <f>IFERROR(__xludf.DUMMYFUNCTION("""COMPUTED_VALUE"""),0.4638511095204007)</f>
        <v>0.4638511095</v>
      </c>
      <c r="AG130" s="30">
        <f>IFERROR(__xludf.DUMMYFUNCTION("""COMPUTED_VALUE"""),0.9719652869540375)</f>
        <v>0.971965287</v>
      </c>
      <c r="AH130" s="30">
        <f>IFERROR(__xludf.DUMMYFUNCTION("""COMPUTED_VALUE"""),0.4693320089396573)</f>
        <v>0.4693320089</v>
      </c>
      <c r="AI130" s="30">
        <f>IFERROR(__xludf.DUMMYFUNCTION("""COMPUTED_VALUE"""),1.1688038437784591)</f>
        <v>1.168803844</v>
      </c>
      <c r="AJ130" s="30">
        <f>IFERROR(__xludf.DUMMYFUNCTION("""COMPUTED_VALUE"""),1.3481481481481485)</f>
        <v>1.348148148</v>
      </c>
      <c r="AK130" s="30">
        <f>IFERROR(__xludf.DUMMYFUNCTION("""COMPUTED_VALUE"""),1.604669673653489)</f>
        <v>1.604669674</v>
      </c>
      <c r="AL130" s="30">
        <f>IFERROR(__xludf.DUMMYFUNCTION("""COMPUTED_VALUE"""),1.072454516437919)</f>
        <v>1.072454516</v>
      </c>
      <c r="AM130" s="30">
        <f>IFERROR(__xludf.DUMMYFUNCTION("""COMPUTED_VALUE"""),1.1305244013337374)</f>
        <v>1.130524401</v>
      </c>
      <c r="AN130" s="30">
        <f>IFERROR(__xludf.DUMMYFUNCTION("""COMPUTED_VALUE"""),0.6606015833716528)</f>
        <v>0.6606015834</v>
      </c>
      <c r="AO130" s="30">
        <f>IFERROR(__xludf.DUMMYFUNCTION("""COMPUTED_VALUE"""),0.0)</f>
        <v>0</v>
      </c>
      <c r="AP130" s="30">
        <f>IFERROR(__xludf.DUMMYFUNCTION("""COMPUTED_VALUE"""),0.4347248171919464)</f>
        <v>0.4347248172</v>
      </c>
      <c r="AQ130" s="30">
        <f>IFERROR(__xludf.DUMMYFUNCTION("""COMPUTED_VALUE"""),1.0515114988718592)</f>
        <v>1.051511499</v>
      </c>
      <c r="AR130" s="30">
        <f>IFERROR(__xludf.DUMMYFUNCTION("""COMPUTED_VALUE"""),0.49620691191722144)</f>
        <v>0.4962069119</v>
      </c>
      <c r="AS130" s="30">
        <f>IFERROR(__xludf.DUMMYFUNCTION("""COMPUTED_VALUE"""),3.0)</f>
        <v>3</v>
      </c>
      <c r="AT130" s="30">
        <f>IFERROR(__xludf.DUMMYFUNCTION("""COMPUTED_VALUE"""),0.10130065033179315)</f>
        <v>0.1013006503</v>
      </c>
      <c r="AU130" s="30">
        <f>IFERROR(__xludf.DUMMYFUNCTION("""COMPUTED_VALUE"""),-0.3145446987538235)</f>
        <v>-0.3145446988</v>
      </c>
      <c r="AV130" s="32">
        <f>IFERROR(__xludf.DUMMYFUNCTION("""COMPUTED_VALUE"""),-24.161337952339963)</f>
        <v>-24.16133795</v>
      </c>
      <c r="AW130" s="32">
        <f>IFERROR(__xludf.DUMMYFUNCTION("""COMPUTED_VALUE"""),-663.8874244565467)</f>
        <v>-663.8874245</v>
      </c>
      <c r="AX130" s="32">
        <f>IFERROR(__xludf.DUMMYFUNCTION("""COMPUTED_VALUE"""),-4.0023512452184065)</f>
        <v>-4.002351245</v>
      </c>
      <c r="AY130" s="32">
        <f>IFERROR(__xludf.DUMMYFUNCTION("""COMPUTED_VALUE"""),-65.00811556233911)</f>
        <v>-65.00811556</v>
      </c>
      <c r="AZ130" s="30">
        <f>IFERROR(__xludf.DUMMYFUNCTION("""COMPUTED_VALUE"""),598.8793088942076)</f>
        <v>598.8793089</v>
      </c>
      <c r="BA130" s="30">
        <f>IFERROR(__xludf.DUMMYFUNCTION("""COMPUTED_VALUE"""),800.0)</f>
        <v>800</v>
      </c>
    </row>
    <row r="131">
      <c r="A131" s="30" t="str">
        <f>IFERROR(__xludf.DUMMYFUNCTION("""COMPUTED_VALUE"""),"Elite")</f>
        <v>Elite</v>
      </c>
      <c r="B131" s="30" t="str">
        <f>IFERROR(__xludf.DUMMYFUNCTION("""COMPUTED_VALUE"""),"RSC000579")</f>
        <v>RSC000579</v>
      </c>
      <c r="C131" s="30" t="str">
        <f>IFERROR(__xludf.DUMMYFUNCTION("""COMPUTED_VALUE"""),"Cryptt.")</f>
        <v>Cryptt.</v>
      </c>
      <c r="D131" s="30" t="str">
        <f>IFERROR(__xludf.DUMMYFUNCTION("""COMPUTED_VALUE"""),"Cotija Cartel")</f>
        <v>Cotija Cartel</v>
      </c>
      <c r="E131" s="30">
        <f>IFERROR(__xludf.DUMMYFUNCTION("""COMPUTED_VALUE"""),34.0)</f>
        <v>34</v>
      </c>
      <c r="F131" s="30">
        <f>IFERROR(__xludf.DUMMYFUNCTION("""COMPUTED_VALUE"""),28.0)</f>
        <v>28</v>
      </c>
      <c r="G131" s="30">
        <f>IFERROR(__xludf.DUMMYFUNCTION("""COMPUTED_VALUE"""),6.0)</f>
        <v>6</v>
      </c>
      <c r="H131" s="42">
        <f>IFERROR(__xludf.DUMMYFUNCTION("""COMPUTED_VALUE"""),0.8235294117647058)</f>
        <v>0.8235294118</v>
      </c>
      <c r="I131" s="42">
        <f>IFERROR(__xludf.DUMMYFUNCTION("""COMPUTED_VALUE"""),0.3309859154929577)</f>
        <v>0.3309859155</v>
      </c>
      <c r="J131" s="30">
        <f>IFERROR(__xludf.DUMMYFUNCTION("""COMPUTED_VALUE"""),461.38235294117646)</f>
        <v>461.3823529</v>
      </c>
      <c r="K131" s="30">
        <f>IFERROR(__xludf.DUMMYFUNCTION("""COMPUTED_VALUE"""),1.3823529411764706)</f>
        <v>1.382352941</v>
      </c>
      <c r="L131" s="30">
        <f>IFERROR(__xludf.DUMMYFUNCTION("""COMPUTED_VALUE"""),0.5882352941176471)</f>
        <v>0.5882352941</v>
      </c>
      <c r="M131" s="30">
        <f>IFERROR(__xludf.DUMMYFUNCTION("""COMPUTED_VALUE"""),1.3823529411764706)</f>
        <v>1.382352941</v>
      </c>
      <c r="N131" s="30">
        <f>IFERROR(__xludf.DUMMYFUNCTION("""COMPUTED_VALUE"""),4.176470588235294)</f>
        <v>4.176470588</v>
      </c>
      <c r="O131" s="30">
        <f>IFERROR(__xludf.DUMMYFUNCTION("""COMPUTED_VALUE"""),311.52941176470586)</f>
        <v>311.5294118</v>
      </c>
      <c r="P131" s="30">
        <f>IFERROR(__xludf.DUMMYFUNCTION("""COMPUTED_VALUE"""),0.5196078431372549)</f>
        <v>0.5196078431</v>
      </c>
      <c r="Q131" s="30">
        <f>IFERROR(__xludf.DUMMYFUNCTION("""COMPUTED_VALUE"""),0.3431372549019609)</f>
        <v>0.3431372549</v>
      </c>
      <c r="R131" s="30">
        <f>IFERROR(__xludf.DUMMYFUNCTION("""COMPUTED_VALUE"""),1.3823529411764703)</f>
        <v>1.382352941</v>
      </c>
      <c r="S131" s="30">
        <f>IFERROR(__xludf.DUMMYFUNCTION("""COMPUTED_VALUE"""),2.1960784313725488)</f>
        <v>2.196078431</v>
      </c>
      <c r="T131" s="30">
        <f>IFERROR(__xludf.DUMMYFUNCTION("""COMPUTED_VALUE"""),353.2376148931269)</f>
        <v>353.2376149</v>
      </c>
      <c r="U131" s="30">
        <f>IFERROR(__xludf.DUMMYFUNCTION("""COMPUTED_VALUE"""),0.7353127369008049)</f>
        <v>0.7353127369</v>
      </c>
      <c r="V131" s="30">
        <f>IFERROR(__xludf.DUMMYFUNCTION("""COMPUTED_VALUE"""),0.5268882677113926)</f>
        <v>0.5268882677</v>
      </c>
      <c r="W131" s="30">
        <f>IFERROR(__xludf.DUMMYFUNCTION("""COMPUTED_VALUE"""),1.4549859553692295)</f>
        <v>1.454985955</v>
      </c>
      <c r="X131" s="30">
        <f>IFERROR(__xludf.DUMMYFUNCTION("""COMPUTED_VALUE"""),2.5306299757001574)</f>
        <v>2.530629976</v>
      </c>
      <c r="Y131" s="30">
        <f>IFERROR(__xludf.DUMMYFUNCTION("""COMPUTED_VALUE"""),366.5870068238791)</f>
        <v>366.5870068</v>
      </c>
      <c r="Z131" s="30">
        <f>IFERROR(__xludf.DUMMYFUNCTION("""COMPUTED_VALUE"""),0.8144779137505729)</f>
        <v>0.8144779138</v>
      </c>
      <c r="AA131" s="30">
        <f>IFERROR(__xludf.DUMMYFUNCTION("""COMPUTED_VALUE"""),0.5953047128130842)</f>
        <v>0.5953047128</v>
      </c>
      <c r="AB131" s="30">
        <f>IFERROR(__xludf.DUMMYFUNCTION("""COMPUTED_VALUE"""),1.3805195613188737)</f>
        <v>1.380519561</v>
      </c>
      <c r="AC131" s="30">
        <f>IFERROR(__xludf.DUMMYFUNCTION("""COMPUTED_VALUE"""),2.787228817363668)</f>
        <v>2.787228817</v>
      </c>
      <c r="AD131" s="30">
        <f>IFERROR(__xludf.DUMMYFUNCTION("""COMPUTED_VALUE"""),1.2585889416501885)</f>
        <v>1.258588942</v>
      </c>
      <c r="AE131" s="30">
        <f>IFERROR(__xludf.DUMMYFUNCTION("""COMPUTED_VALUE"""),1.6972258152598656)</f>
        <v>1.697225815</v>
      </c>
      <c r="AF131" s="30">
        <f>IFERROR(__xludf.DUMMYFUNCTION("""COMPUTED_VALUE"""),0.9881247056452301)</f>
        <v>0.9881247056</v>
      </c>
      <c r="AG131" s="30">
        <f>IFERROR(__xludf.DUMMYFUNCTION("""COMPUTED_VALUE"""),1.001328036131444)</f>
        <v>1.001328036</v>
      </c>
      <c r="AH131" s="30">
        <f>IFERROR(__xludf.DUMMYFUNCTION("""COMPUTED_VALUE"""),1.498431188073628)</f>
        <v>1.498431188</v>
      </c>
      <c r="AI131" s="30">
        <f>IFERROR(__xludf.DUMMYFUNCTION("""COMPUTED_VALUE"""),0.8819259292614124)</f>
        <v>0.8819259293</v>
      </c>
      <c r="AJ131" s="30">
        <f>IFERROR(__xludf.DUMMYFUNCTION("""COMPUTED_VALUE"""),0.7066487727756455)</f>
        <v>0.7066487728</v>
      </c>
      <c r="AK131" s="30">
        <f>IFERROR(__xludf.DUMMYFUNCTION("""COMPUTED_VALUE"""),0.6512524114314064)</f>
        <v>0.6512524114</v>
      </c>
      <c r="AL131" s="30">
        <f>IFERROR(__xludf.DUMMYFUNCTION("""COMPUTED_VALUE"""),0.950079920754749)</f>
        <v>0.9500799208</v>
      </c>
      <c r="AM131" s="30">
        <f>IFERROR(__xludf.DUMMYFUNCTION("""COMPUTED_VALUE"""),0.8677991063331781)</f>
        <v>0.8677991063</v>
      </c>
      <c r="AN131" s="30">
        <f>IFERROR(__xludf.DUMMYFUNCTION("""COMPUTED_VALUE"""),1.3081112141316733)</f>
        <v>1.308111214</v>
      </c>
      <c r="AO131" s="30">
        <f>IFERROR(__xludf.DUMMYFUNCTION("""COMPUTED_VALUE"""),1.9382763955349038)</f>
        <v>1.938276396</v>
      </c>
      <c r="AP131" s="30">
        <f>IFERROR(__xludf.DUMMYFUNCTION("""COMPUTED_VALUE"""),1.0228819228045798)</f>
        <v>1.022881923</v>
      </c>
      <c r="AQ131" s="30">
        <f>IFERROR(__xludf.DUMMYFUNCTION("""COMPUTED_VALUE"""),0.9690400087642623)</f>
        <v>0.9690400088</v>
      </c>
      <c r="AR131" s="30">
        <f>IFERROR(__xludf.DUMMYFUNCTION("""COMPUTED_VALUE"""),1.6579148586410695)</f>
        <v>1.657914859</v>
      </c>
      <c r="AS131" s="30">
        <f>IFERROR(__xludf.DUMMYFUNCTION("""COMPUTED_VALUE"""),108.0)</f>
        <v>108</v>
      </c>
      <c r="AT131" s="30">
        <f>IFERROR(__xludf.DUMMYFUNCTION("""COMPUTED_VALUE"""),0.7525503138140399)</f>
        <v>0.7525503138</v>
      </c>
      <c r="AU131" s="30">
        <f>IFERROR(__xludf.DUMMYFUNCTION("""COMPUTED_VALUE"""),4.56648017278331)</f>
        <v>4.566480173</v>
      </c>
      <c r="AV131" s="32">
        <f>IFERROR(__xludf.DUMMYFUNCTION("""COMPUTED_VALUE"""),112.99282088028892)</f>
        <v>112.9928209</v>
      </c>
      <c r="AW131" s="32">
        <f>IFERROR(__xludf.DUMMYFUNCTION("""COMPUTED_VALUE"""),170.2843429518639)</f>
        <v>170.284343</v>
      </c>
      <c r="AX131" s="32">
        <f>IFERROR(__xludf.DUMMYFUNCTION("""COMPUTED_VALUE"""),92.78440972292199)</f>
        <v>92.78440972</v>
      </c>
      <c r="AY131" s="32">
        <f>IFERROR(__xludf.DUMMYFUNCTION("""COMPUTED_VALUE"""),22.985427030899857)</f>
        <v>22.98542703</v>
      </c>
      <c r="AZ131" s="30">
        <f>IFERROR(__xludf.DUMMYFUNCTION("""COMPUTED_VALUE"""),147.29891592096402)</f>
        <v>147.2989159</v>
      </c>
      <c r="BA131" s="30">
        <f>IFERROR(__xludf.DUMMYFUNCTION("""COMPUTED_VALUE"""),800.0)</f>
        <v>800</v>
      </c>
    </row>
    <row r="132">
      <c r="A132" s="30" t="str">
        <f>IFERROR(__xludf.DUMMYFUNCTION("""COMPUTED_VALUE"""),"Elite")</f>
        <v>Elite</v>
      </c>
      <c r="B132" s="30" t="str">
        <f>IFERROR(__xludf.DUMMYFUNCTION("""COMPUTED_VALUE"""),"RSC004650")</f>
        <v>RSC004650</v>
      </c>
      <c r="C132" s="30" t="str">
        <f>IFERROR(__xludf.DUMMYFUNCTION("""COMPUTED_VALUE"""),"xolzkii")</f>
        <v>xolzkii</v>
      </c>
      <c r="D132" s="30" t="str">
        <f>IFERROR(__xludf.DUMMYFUNCTION("""COMPUTED_VALUE"""),"Summoned")</f>
        <v>Summoned</v>
      </c>
      <c r="E132" s="30">
        <f>IFERROR(__xludf.DUMMYFUNCTION("""COMPUTED_VALUE"""),4.0)</f>
        <v>4</v>
      </c>
      <c r="F132" s="30">
        <f>IFERROR(__xludf.DUMMYFUNCTION("""COMPUTED_VALUE"""),0.0)</f>
        <v>0</v>
      </c>
      <c r="G132" s="30">
        <f>IFERROR(__xludf.DUMMYFUNCTION("""COMPUTED_VALUE"""),4.0)</f>
        <v>4</v>
      </c>
      <c r="H132" s="42">
        <f>IFERROR(__xludf.DUMMYFUNCTION("""COMPUTED_VALUE"""),0.0)</f>
        <v>0</v>
      </c>
      <c r="I132" s="42">
        <f>IFERROR(__xludf.DUMMYFUNCTION("""COMPUTED_VALUE"""),0.16666666666666666)</f>
        <v>0.1666666667</v>
      </c>
      <c r="J132" s="30">
        <f>IFERROR(__xludf.DUMMYFUNCTION("""COMPUTED_VALUE"""),345.5)</f>
        <v>345.5</v>
      </c>
      <c r="K132" s="30">
        <f>IFERROR(__xludf.DUMMYFUNCTION("""COMPUTED_VALUE"""),0.25)</f>
        <v>0.25</v>
      </c>
      <c r="L132" s="30">
        <f>IFERROR(__xludf.DUMMYFUNCTION("""COMPUTED_VALUE"""),0.25)</f>
        <v>0.25</v>
      </c>
      <c r="M132" s="30">
        <f>IFERROR(__xludf.DUMMYFUNCTION("""COMPUTED_VALUE"""),1.75)</f>
        <v>1.75</v>
      </c>
      <c r="N132" s="30">
        <f>IFERROR(__xludf.DUMMYFUNCTION("""COMPUTED_VALUE"""),1.5)</f>
        <v>1.5</v>
      </c>
      <c r="O132" s="30">
        <f>IFERROR(__xludf.DUMMYFUNCTION("""COMPUTED_VALUE"""),492.0)</f>
        <v>492</v>
      </c>
      <c r="P132" s="30">
        <f>IFERROR(__xludf.DUMMYFUNCTION("""COMPUTED_VALUE"""),1.3333333333333333)</f>
        <v>1.333333333</v>
      </c>
      <c r="Q132" s="30">
        <f>IFERROR(__xludf.DUMMYFUNCTION("""COMPUTED_VALUE"""),0.9166666666666666)</f>
        <v>0.9166666667</v>
      </c>
      <c r="R132" s="30">
        <f>IFERROR(__xludf.DUMMYFUNCTION("""COMPUTED_VALUE"""),1.4166666666666667)</f>
        <v>1.416666667</v>
      </c>
      <c r="S132" s="30">
        <f>IFERROR(__xludf.DUMMYFUNCTION("""COMPUTED_VALUE"""),4.666666666666666)</f>
        <v>4.666666667</v>
      </c>
      <c r="T132" s="30">
        <f>IFERROR(__xludf.DUMMYFUNCTION("""COMPUTED_VALUE"""),402.17195767195767)</f>
        <v>402.1719577</v>
      </c>
      <c r="U132" s="30">
        <f>IFERROR(__xludf.DUMMYFUNCTION("""COMPUTED_VALUE"""),0.9928902116402116)</f>
        <v>0.9928902116</v>
      </c>
      <c r="V132" s="30">
        <f>IFERROR(__xludf.DUMMYFUNCTION("""COMPUTED_VALUE"""),0.5891203703703703)</f>
        <v>0.5891203704</v>
      </c>
      <c r="W132" s="30">
        <f>IFERROR(__xludf.DUMMYFUNCTION("""COMPUTED_VALUE"""),1.5454695767195767)</f>
        <v>1.545469577</v>
      </c>
      <c r="X132" s="30">
        <f>IFERROR(__xludf.DUMMYFUNCTION("""COMPUTED_VALUE"""),2.8115079365079367)</f>
        <v>2.811507937</v>
      </c>
      <c r="Y132" s="30">
        <f>IFERROR(__xludf.DUMMYFUNCTION("""COMPUTED_VALUE"""),344.0385251322751)</f>
        <v>344.0385251</v>
      </c>
      <c r="Z132" s="30">
        <f>IFERROR(__xludf.DUMMYFUNCTION("""COMPUTED_VALUE"""),0.6957120811287477)</f>
        <v>0.6957120811</v>
      </c>
      <c r="AA132" s="30">
        <f>IFERROR(__xludf.DUMMYFUNCTION("""COMPUTED_VALUE"""),0.4738205467372134)</f>
        <v>0.4738205467</v>
      </c>
      <c r="AB132" s="30">
        <f>IFERROR(__xludf.DUMMYFUNCTION("""COMPUTED_VALUE"""),1.3117835097001762)</f>
        <v>1.31178351</v>
      </c>
      <c r="AC132" s="30">
        <f>IFERROR(__xludf.DUMMYFUNCTION("""COMPUTED_VALUE"""),2.551146384479717)</f>
        <v>2.551146384</v>
      </c>
      <c r="AD132" s="30">
        <f>IFERROR(__xludf.DUMMYFUNCTION("""COMPUTED_VALUE"""),1.004247997712358)</f>
        <v>1.004247998</v>
      </c>
      <c r="AE132" s="30">
        <f>IFERROR(__xludf.DUMMYFUNCTION("""COMPUTED_VALUE"""),0.3593440545036838)</f>
        <v>0.3593440545</v>
      </c>
      <c r="AF132" s="30">
        <f>IFERROR(__xludf.DUMMYFUNCTION("""COMPUTED_VALUE"""),0.5276259160172153)</f>
        <v>0.527625916</v>
      </c>
      <c r="AG132" s="30">
        <f>IFERROR(__xludf.DUMMYFUNCTION("""COMPUTED_VALUE"""),1.3340615940506704)</f>
        <v>1.334061594</v>
      </c>
      <c r="AH132" s="30">
        <f>IFERROR(__xludf.DUMMYFUNCTION("""COMPUTED_VALUE"""),0.5879709643968201)</f>
        <v>0.5879709644</v>
      </c>
      <c r="AI132" s="30">
        <f>IFERROR(__xludf.DUMMYFUNCTION("""COMPUTED_VALUE"""),1.2233572993204886)</f>
        <v>1.223357299</v>
      </c>
      <c r="AJ132" s="30">
        <f>IFERROR(__xludf.DUMMYFUNCTION("""COMPUTED_VALUE"""),1.342880932556203)</f>
        <v>1.342880933</v>
      </c>
      <c r="AK132" s="30">
        <f>IFERROR(__xludf.DUMMYFUNCTION("""COMPUTED_VALUE"""),1.5559921414538311)</f>
        <v>1.555992141</v>
      </c>
      <c r="AL132" s="30">
        <f>IFERROR(__xludf.DUMMYFUNCTION("""COMPUTED_VALUE"""),0.9166577511501016)</f>
        <v>0.9166577512</v>
      </c>
      <c r="AM132" s="30">
        <f>IFERROR(__xludf.DUMMYFUNCTION("""COMPUTED_VALUE"""),1.6598447424135494)</f>
        <v>1.659844742</v>
      </c>
      <c r="AN132" s="30">
        <f>IFERROR(__xludf.DUMMYFUNCTION("""COMPUTED_VALUE"""),0.9795615753429442)</f>
        <v>0.9795615753</v>
      </c>
      <c r="AO132" s="30">
        <f>IFERROR(__xludf.DUMMYFUNCTION("""COMPUTED_VALUE"""),0.35053934812865284)</f>
        <v>0.3505393481</v>
      </c>
      <c r="AP132" s="30">
        <f>IFERROR(__xludf.DUMMYFUNCTION("""COMPUTED_VALUE"""),0.4347248171919464)</f>
        <v>0.4347248172</v>
      </c>
      <c r="AQ132" s="30">
        <f>IFERROR(__xludf.DUMMYFUNCTION("""COMPUTED_VALUE"""),1.2267634153505023)</f>
        <v>1.226763415</v>
      </c>
      <c r="AR132" s="30">
        <f>IFERROR(__xludf.DUMMYFUNCTION("""COMPUTED_VALUE"""),0.5954482943006657)</f>
        <v>0.5954482943</v>
      </c>
      <c r="AS132" s="30">
        <f>IFERROR(__xludf.DUMMYFUNCTION("""COMPUTED_VALUE"""),3.0)</f>
        <v>3</v>
      </c>
      <c r="AT132" s="30">
        <f>IFERROR(__xludf.DUMMYFUNCTION("""COMPUTED_VALUE"""),0.06799244525268718)</f>
        <v>0.06799244525</v>
      </c>
      <c r="AU132" s="30">
        <f>IFERROR(__xludf.DUMMYFUNCTION("""COMPUTED_VALUE"""),0.3612762221655835)</f>
        <v>0.3612762222</v>
      </c>
      <c r="AV132" s="32">
        <f>IFERROR(__xludf.DUMMYFUNCTION("""COMPUTED_VALUE"""),-5.171135613747204)</f>
        <v>-5.171135614</v>
      </c>
      <c r="AW132" s="32">
        <f>IFERROR(__xludf.DUMMYFUNCTION("""COMPUTED_VALUE"""),-73.19342079966447)</f>
        <v>-73.1934208</v>
      </c>
      <c r="AX132" s="32">
        <f>IFERROR(__xludf.DUMMYFUNCTION("""COMPUTED_VALUE"""),6.990553475322834)</f>
        <v>6.990553475</v>
      </c>
      <c r="AY132" s="32">
        <f>IFERROR(__xludf.DUMMYFUNCTION("""COMPUTED_VALUE"""),-23.429140936750912)</f>
        <v>-23.42914094</v>
      </c>
      <c r="AZ132" s="30">
        <f>IFERROR(__xludf.DUMMYFUNCTION("""COMPUTED_VALUE"""),49.764279862913554)</f>
        <v>49.76427986</v>
      </c>
      <c r="BA132" s="30">
        <f>IFERROR(__xludf.DUMMYFUNCTION("""COMPUTED_VALUE"""),800.0)</f>
        <v>800</v>
      </c>
    </row>
    <row r="133">
      <c r="A133" s="30" t="str">
        <f>IFERROR(__xludf.DUMMYFUNCTION("""COMPUTED_VALUE"""),"Elite")</f>
        <v>Elite</v>
      </c>
      <c r="B133" s="30" t="str">
        <f>IFERROR(__xludf.DUMMYFUNCTION("""COMPUTED_VALUE"""),"RSC005522")</f>
        <v>RSC005522</v>
      </c>
      <c r="C133" s="30" t="str">
        <f>IFERROR(__xludf.DUMMYFUNCTION("""COMPUTED_VALUE"""),"Diviniation")</f>
        <v>Diviniation</v>
      </c>
      <c r="D133" s="30"/>
      <c r="E133" s="30">
        <f>IFERROR(__xludf.DUMMYFUNCTION("""COMPUTED_VALUE"""),2.0)</f>
        <v>2</v>
      </c>
      <c r="F133" s="30">
        <f>IFERROR(__xludf.DUMMYFUNCTION("""COMPUTED_VALUE"""),1.0)</f>
        <v>1</v>
      </c>
      <c r="G133" s="30">
        <f>IFERROR(__xludf.DUMMYFUNCTION("""COMPUTED_VALUE"""),1.0)</f>
        <v>1</v>
      </c>
      <c r="H133" s="42">
        <f>IFERROR(__xludf.DUMMYFUNCTION("""COMPUTED_VALUE"""),0.5)</f>
        <v>0.5</v>
      </c>
      <c r="I133" s="42">
        <f>IFERROR(__xludf.DUMMYFUNCTION("""COMPUTED_VALUE"""),0.0)</f>
        <v>0</v>
      </c>
      <c r="J133" s="30">
        <f>IFERROR(__xludf.DUMMYFUNCTION("""COMPUTED_VALUE"""),280.0)</f>
        <v>280</v>
      </c>
      <c r="K133" s="30">
        <f>IFERROR(__xludf.DUMMYFUNCTION("""COMPUTED_VALUE"""),0.0)</f>
        <v>0</v>
      </c>
      <c r="L133" s="30">
        <f>IFERROR(__xludf.DUMMYFUNCTION("""COMPUTED_VALUE"""),0.5)</f>
        <v>0.5</v>
      </c>
      <c r="M133" s="30">
        <f>IFERROR(__xludf.DUMMYFUNCTION("""COMPUTED_VALUE"""),2.0)</f>
        <v>2</v>
      </c>
      <c r="N133" s="30">
        <f>IFERROR(__xludf.DUMMYFUNCTION("""COMPUTED_VALUE"""),1.5)</f>
        <v>1.5</v>
      </c>
      <c r="O133" s="30">
        <f>IFERROR(__xludf.DUMMYFUNCTION("""COMPUTED_VALUE"""),323.5)</f>
        <v>323.5</v>
      </c>
      <c r="P133" s="30">
        <f>IFERROR(__xludf.DUMMYFUNCTION("""COMPUTED_VALUE"""),1.0)</f>
        <v>1</v>
      </c>
      <c r="Q133" s="30">
        <f>IFERROR(__xludf.DUMMYFUNCTION("""COMPUTED_VALUE"""),0.6666666666666666)</f>
        <v>0.6666666667</v>
      </c>
      <c r="R133" s="30">
        <f>IFERROR(__xludf.DUMMYFUNCTION("""COMPUTED_VALUE"""),0.5)</f>
        <v>0.5</v>
      </c>
      <c r="S133" s="30">
        <f>IFERROR(__xludf.DUMMYFUNCTION("""COMPUTED_VALUE"""),3.5)</f>
        <v>3.5</v>
      </c>
      <c r="T133" s="30">
        <f>IFERROR(__xludf.DUMMYFUNCTION("""COMPUTED_VALUE"""),346.1909961685824)</f>
        <v>346.1909962</v>
      </c>
      <c r="U133" s="30">
        <f>IFERROR(__xludf.DUMMYFUNCTION("""COMPUTED_VALUE"""),0.8016283524904214)</f>
        <v>0.8016283525</v>
      </c>
      <c r="V133" s="30">
        <f>IFERROR(__xludf.DUMMYFUNCTION("""COMPUTED_VALUE"""),0.5908524904214559)</f>
        <v>0.5908524904</v>
      </c>
      <c r="W133" s="30">
        <f>IFERROR(__xludf.DUMMYFUNCTION("""COMPUTED_VALUE"""),1.1266283524904215)</f>
        <v>1.126628352</v>
      </c>
      <c r="X133" s="30">
        <f>IFERROR(__xludf.DUMMYFUNCTION("""COMPUTED_VALUE"""),2.859818007662835)</f>
        <v>2.859818008</v>
      </c>
      <c r="Y133" s="30">
        <f>IFERROR(__xludf.DUMMYFUNCTION("""COMPUTED_VALUE"""),364.2789431673052)</f>
        <v>364.2789432</v>
      </c>
      <c r="Z133" s="30">
        <f>IFERROR(__xludf.DUMMYFUNCTION("""COMPUTED_VALUE"""),0.7921455938697318)</f>
        <v>0.7921455939</v>
      </c>
      <c r="AA133" s="30">
        <f>IFERROR(__xludf.DUMMYFUNCTION("""COMPUTED_VALUE"""),0.5876596424010216)</f>
        <v>0.5876596424</v>
      </c>
      <c r="AB133" s="30">
        <f>IFERROR(__xludf.DUMMYFUNCTION("""COMPUTED_VALUE"""),1.4897030651340994)</f>
        <v>1.489703065</v>
      </c>
      <c r="AC133" s="30">
        <f>IFERROR(__xludf.DUMMYFUNCTION("""COMPUTED_VALUE"""),2.484323116219668)</f>
        <v>2.484323116</v>
      </c>
      <c r="AD133" s="30">
        <f>IFERROR(__xludf.DUMMYFUNCTION("""COMPUTED_VALUE"""),0.7686417380194337)</f>
        <v>0.768641738</v>
      </c>
      <c r="AE133" s="30">
        <f>IFERROR(__xludf.DUMMYFUNCTION("""COMPUTED_VALUE"""),0.0)</f>
        <v>0</v>
      </c>
      <c r="AF133" s="30">
        <f>IFERROR(__xludf.DUMMYFUNCTION("""COMPUTED_VALUE"""),0.8508326315503519)</f>
        <v>0.8508326316</v>
      </c>
      <c r="AG133" s="30">
        <f>IFERROR(__xludf.DUMMYFUNCTION("""COMPUTED_VALUE"""),1.3425494293521942)</f>
        <v>1.342549429</v>
      </c>
      <c r="AH133" s="30">
        <f>IFERROR(__xludf.DUMMYFUNCTION("""COMPUTED_VALUE"""),0.6037861943991055)</f>
        <v>0.6037861944</v>
      </c>
      <c r="AI133" s="30">
        <f>IFERROR(__xludf.DUMMYFUNCTION("""COMPUTED_VALUE"""),0.9344552676998777)</f>
        <v>0.9344552677</v>
      </c>
      <c r="AJ133" s="30">
        <f>IFERROR(__xludf.DUMMYFUNCTION("""COMPUTED_VALUE"""),1.247460867487155)</f>
        <v>1.247460867</v>
      </c>
      <c r="AK133" s="30">
        <f>IFERROR(__xludf.DUMMYFUNCTION("""COMPUTED_VALUE"""),1.1283132041825403)</f>
        <v>1.128313204</v>
      </c>
      <c r="AL133" s="30">
        <f>IFERROR(__xludf.DUMMYFUNCTION("""COMPUTED_VALUE"""),0.4438020744771297)</f>
        <v>0.4438020745</v>
      </c>
      <c r="AM133" s="30">
        <f>IFERROR(__xludf.DUMMYFUNCTION("""COMPUTED_VALUE"""),1.2238541021218161)</f>
        <v>1.223854102</v>
      </c>
      <c r="AN133" s="30">
        <f>IFERROR(__xludf.DUMMYFUNCTION("""COMPUTED_VALUE"""),0.7938559800174367)</f>
        <v>0.79385598</v>
      </c>
      <c r="AO133" s="30">
        <f>IFERROR(__xludf.DUMMYFUNCTION("""COMPUTED_VALUE"""),0.0)</f>
        <v>0</v>
      </c>
      <c r="AP133" s="30">
        <f>IFERROR(__xludf.DUMMYFUNCTION("""COMPUTED_VALUE"""),0.8694496343838928)</f>
        <v>0.8694496344</v>
      </c>
      <c r="AQ133" s="30">
        <f>IFERROR(__xludf.DUMMYFUNCTION("""COMPUTED_VALUE"""),1.4020153318291455)</f>
        <v>1.402015332</v>
      </c>
      <c r="AR133" s="30">
        <f>IFERROR(__xludf.DUMMYFUNCTION("""COMPUTED_VALUE"""),0.5954482943006657)</f>
        <v>0.5954482943</v>
      </c>
      <c r="AS133" s="30">
        <f>IFERROR(__xludf.DUMMYFUNCTION("""COMPUTED_VALUE"""),3.0)</f>
        <v>3</v>
      </c>
      <c r="AT133" s="30">
        <f>IFERROR(__xludf.DUMMYFUNCTION("""COMPUTED_VALUE"""),0.25591176740996385)</f>
        <v>0.2559117674</v>
      </c>
      <c r="AU133" s="30">
        <f>IFERROR(__xludf.DUMMYFUNCTION("""COMPUTED_VALUE"""),0.4067032068905216)</f>
        <v>0.4067032069</v>
      </c>
      <c r="AV133" s="32">
        <f>IFERROR(__xludf.DUMMYFUNCTION("""COMPUTED_VALUE"""),-3.894661913606136)</f>
        <v>-3.894661914</v>
      </c>
      <c r="AW133" s="32">
        <f>IFERROR(__xludf.DUMMYFUNCTION("""COMPUTED_VALUE"""),-64.30797461749029)</f>
        <v>-64.30797462</v>
      </c>
      <c r="AX133" s="32">
        <f>IFERROR(__xludf.DUMMYFUNCTION("""COMPUTED_VALUE"""),8.868735324744485)</f>
        <v>8.868735325</v>
      </c>
      <c r="AY133" s="32">
        <f>IFERROR(__xludf.DUMMYFUNCTION("""COMPUTED_VALUE"""),-20.016384357672766)</f>
        <v>-20.01638436</v>
      </c>
      <c r="AZ133" s="30">
        <f>IFERROR(__xludf.DUMMYFUNCTION("""COMPUTED_VALUE"""),44.291590259817525)</f>
        <v>44.29159026</v>
      </c>
      <c r="BA133" s="30">
        <f>IFERROR(__xludf.DUMMYFUNCTION("""COMPUTED_VALUE"""),800.0)</f>
        <v>800</v>
      </c>
    </row>
    <row r="134">
      <c r="A134" s="30" t="str">
        <f>IFERROR(__xludf.DUMMYFUNCTION("""COMPUTED_VALUE"""),"Elite")</f>
        <v>Elite</v>
      </c>
      <c r="B134" s="30" t="str">
        <f>IFERROR(__xludf.DUMMYFUNCTION("""COMPUTED_VALUE"""),"RSC000197")</f>
        <v>RSC000197</v>
      </c>
      <c r="C134" s="30" t="str">
        <f>IFERROR(__xludf.DUMMYFUNCTION("""COMPUTED_VALUE"""),"kareemostyle")</f>
        <v>kareemostyle</v>
      </c>
      <c r="D134" s="30" t="str">
        <f>IFERROR(__xludf.DUMMYFUNCTION("""COMPUTED_VALUE"""),"Drive Bye")</f>
        <v>Drive Bye</v>
      </c>
      <c r="E134" s="30">
        <f>IFERROR(__xludf.DUMMYFUNCTION("""COMPUTED_VALUE"""),4.0)</f>
        <v>4</v>
      </c>
      <c r="F134" s="30">
        <f>IFERROR(__xludf.DUMMYFUNCTION("""COMPUTED_VALUE"""),3.0)</f>
        <v>3</v>
      </c>
      <c r="G134" s="30">
        <f>IFERROR(__xludf.DUMMYFUNCTION("""COMPUTED_VALUE"""),1.0)</f>
        <v>1</v>
      </c>
      <c r="H134" s="42">
        <f>IFERROR(__xludf.DUMMYFUNCTION("""COMPUTED_VALUE"""),0.75)</f>
        <v>0.75</v>
      </c>
      <c r="I134" s="42">
        <f>IFERROR(__xludf.DUMMYFUNCTION("""COMPUTED_VALUE"""),0.6)</f>
        <v>0.6</v>
      </c>
      <c r="J134" s="30">
        <f>IFERROR(__xludf.DUMMYFUNCTION("""COMPUTED_VALUE"""),521.75)</f>
        <v>521.75</v>
      </c>
      <c r="K134" s="30">
        <f>IFERROR(__xludf.DUMMYFUNCTION("""COMPUTED_VALUE"""),1.5)</f>
        <v>1.5</v>
      </c>
      <c r="L134" s="30">
        <f>IFERROR(__xludf.DUMMYFUNCTION("""COMPUTED_VALUE"""),0.75)</f>
        <v>0.75</v>
      </c>
      <c r="M134" s="30">
        <f>IFERROR(__xludf.DUMMYFUNCTION("""COMPUTED_VALUE"""),2.25)</f>
        <v>2.25</v>
      </c>
      <c r="N134" s="30">
        <f>IFERROR(__xludf.DUMMYFUNCTION("""COMPUTED_VALUE"""),2.5)</f>
        <v>2.5</v>
      </c>
      <c r="O134" s="30">
        <f>IFERROR(__xludf.DUMMYFUNCTION("""COMPUTED_VALUE"""),313.9166666666667)</f>
        <v>313.9166667</v>
      </c>
      <c r="P134" s="30">
        <f>IFERROR(__xludf.DUMMYFUNCTION("""COMPUTED_VALUE"""),0.6666666666666666)</f>
        <v>0.6666666667</v>
      </c>
      <c r="Q134" s="30">
        <f>IFERROR(__xludf.DUMMYFUNCTION("""COMPUTED_VALUE"""),0.41666666666666663)</f>
        <v>0.4166666667</v>
      </c>
      <c r="R134" s="30">
        <f>IFERROR(__xludf.DUMMYFUNCTION("""COMPUTED_VALUE"""),0.8333333333333334)</f>
        <v>0.8333333333</v>
      </c>
      <c r="S134" s="30">
        <f>IFERROR(__xludf.DUMMYFUNCTION("""COMPUTED_VALUE"""),3.0833333333333335)</f>
        <v>3.083333333</v>
      </c>
      <c r="T134" s="30">
        <f>IFERROR(__xludf.DUMMYFUNCTION("""COMPUTED_VALUE"""),372.8339947089947)</f>
        <v>372.8339947</v>
      </c>
      <c r="U134" s="30">
        <f>IFERROR(__xludf.DUMMYFUNCTION("""COMPUTED_VALUE"""),0.8115079365079364)</f>
        <v>0.8115079365</v>
      </c>
      <c r="V134" s="30">
        <f>IFERROR(__xludf.DUMMYFUNCTION("""COMPUTED_VALUE"""),0.6031746031746031)</f>
        <v>0.6031746032</v>
      </c>
      <c r="W134" s="30">
        <f>IFERROR(__xludf.DUMMYFUNCTION("""COMPUTED_VALUE"""),1.5059523809523807)</f>
        <v>1.505952381</v>
      </c>
      <c r="X134" s="30">
        <f>IFERROR(__xludf.DUMMYFUNCTION("""COMPUTED_VALUE"""),2.861111111111111)</f>
        <v>2.861111111</v>
      </c>
      <c r="Y134" s="30">
        <f>IFERROR(__xludf.DUMMYFUNCTION("""COMPUTED_VALUE"""),363.1671075837742)</f>
        <v>363.1671076</v>
      </c>
      <c r="Z134" s="30">
        <f>IFERROR(__xludf.DUMMYFUNCTION("""COMPUTED_VALUE"""),0.8269400352733687)</f>
        <v>0.8269400353</v>
      </c>
      <c r="AA134" s="30">
        <f>IFERROR(__xludf.DUMMYFUNCTION("""COMPUTED_VALUE"""),0.5954585537918872)</f>
        <v>0.5954585538</v>
      </c>
      <c r="AB134" s="30">
        <f>IFERROR(__xludf.DUMMYFUNCTION("""COMPUTED_VALUE"""),1.4488536155202822)</f>
        <v>1.448853616</v>
      </c>
      <c r="AC134" s="30">
        <f>IFERROR(__xludf.DUMMYFUNCTION("""COMPUTED_VALUE"""),2.53615520282187)</f>
        <v>2.536155203</v>
      </c>
      <c r="AD134" s="30">
        <f>IFERROR(__xludf.DUMMYFUNCTION("""COMPUTED_VALUE"""),1.4366664521776504)</f>
        <v>1.436666452</v>
      </c>
      <c r="AE134" s="30">
        <f>IFERROR(__xludf.DUMMYFUNCTION("""COMPUTED_VALUE"""),1.8139162889896026)</f>
        <v>1.813916289</v>
      </c>
      <c r="AF134" s="30">
        <f>IFERROR(__xludf.DUMMYFUNCTION("""COMPUTED_VALUE"""),1.2595335061088484)</f>
        <v>1.259533506</v>
      </c>
      <c r="AG134" s="30">
        <f>IFERROR(__xludf.DUMMYFUNCTION("""COMPUTED_VALUE"""),1.5529519172245891)</f>
        <v>1.552951917</v>
      </c>
      <c r="AH134" s="30">
        <f>IFERROR(__xludf.DUMMYFUNCTION("""COMPUTED_VALUE"""),0.9857440890125172)</f>
        <v>0.985744089</v>
      </c>
      <c r="AI134" s="30">
        <f>IFERROR(__xludf.DUMMYFUNCTION("""COMPUTED_VALUE"""),0.8419743669342322)</f>
        <v>0.8419743669</v>
      </c>
      <c r="AJ134" s="30">
        <f>IFERROR(__xludf.DUMMYFUNCTION("""COMPUTED_VALUE"""),0.8215158924205379)</f>
        <v>0.8215158924</v>
      </c>
      <c r="AK134" s="30">
        <f>IFERROR(__xludf.DUMMYFUNCTION("""COMPUTED_VALUE"""),0.6907894736842105)</f>
        <v>0.6907894737</v>
      </c>
      <c r="AL134" s="30">
        <f>IFERROR(__xludf.DUMMYFUNCTION("""COMPUTED_VALUE"""),0.5533596837944665)</f>
        <v>0.5533596838</v>
      </c>
      <c r="AM134" s="30">
        <f>IFERROR(__xludf.DUMMYFUNCTION("""COMPUTED_VALUE"""),1.0776699029126213)</f>
        <v>1.077669903</v>
      </c>
      <c r="AN134" s="30">
        <f>IFERROR(__xludf.DUMMYFUNCTION("""COMPUTED_VALUE"""),1.4792655627646343)</f>
        <v>1.479265563</v>
      </c>
      <c r="AO134" s="30">
        <f>IFERROR(__xludf.DUMMYFUNCTION("""COMPUTED_VALUE"""),2.103236088771917)</f>
        <v>2.103236089</v>
      </c>
      <c r="AP134" s="30">
        <f>IFERROR(__xludf.DUMMYFUNCTION("""COMPUTED_VALUE"""),1.304174451575839)</f>
        <v>1.304174452</v>
      </c>
      <c r="AQ134" s="30">
        <f>IFERROR(__xludf.DUMMYFUNCTION("""COMPUTED_VALUE"""),1.5772672483077887)</f>
        <v>1.577267248</v>
      </c>
      <c r="AR134" s="30">
        <f>IFERROR(__xludf.DUMMYFUNCTION("""COMPUTED_VALUE"""),0.9924138238344429)</f>
        <v>0.9924138238</v>
      </c>
      <c r="AS134" s="30">
        <f>IFERROR(__xludf.DUMMYFUNCTION("""COMPUTED_VALUE"""),10.0)</f>
        <v>10</v>
      </c>
      <c r="AT134" s="30">
        <f>IFERROR(__xludf.DUMMYFUNCTION("""COMPUTED_VALUE"""),0.585065350241743)</f>
        <v>0.5850653502</v>
      </c>
      <c r="AU134" s="30">
        <f>IFERROR(__xludf.DUMMYFUNCTION("""COMPUTED_VALUE"""),4.303035438973229)</f>
        <v>4.303035439</v>
      </c>
      <c r="AV134" s="32">
        <f>IFERROR(__xludf.DUMMYFUNCTION("""COMPUTED_VALUE"""),105.59016635268996)</f>
        <v>105.5901664</v>
      </c>
      <c r="AW134" s="32">
        <f>IFERROR(__xludf.DUMMYFUNCTION("""COMPUTED_VALUE"""),76.40901915587243)</f>
        <v>76.40901916</v>
      </c>
      <c r="AX134" s="32">
        <f>IFERROR(__xludf.DUMMYFUNCTION("""COMPUTED_VALUE"""),109.33569203030532)</f>
        <v>109.335692</v>
      </c>
      <c r="AY134" s="32">
        <f>IFERROR(__xludf.DUMMYFUNCTION("""COMPUTED_VALUE"""),113.48262097658831)</f>
        <v>113.482621</v>
      </c>
      <c r="AZ134" s="30">
        <f>IFERROR(__xludf.DUMMYFUNCTION("""COMPUTED_VALUE"""),37.07360182071588)</f>
        <v>37.07360182</v>
      </c>
      <c r="BA134" s="30">
        <f>IFERROR(__xludf.DUMMYFUNCTION("""COMPUTED_VALUE"""),800.0)</f>
        <v>800</v>
      </c>
    </row>
    <row r="135">
      <c r="A135" s="30" t="str">
        <f>IFERROR(__xludf.DUMMYFUNCTION("""COMPUTED_VALUE"""),"Elite")</f>
        <v>Elite</v>
      </c>
      <c r="B135" s="30" t="str">
        <f>IFERROR(__xludf.DUMMYFUNCTION("""COMPUTED_VALUE"""),"RSC003110")</f>
        <v>RSC003110</v>
      </c>
      <c r="C135" s="30" t="str">
        <f>IFERROR(__xludf.DUMMYFUNCTION("""COMPUTED_VALUE"""),"Rev")</f>
        <v>Rev</v>
      </c>
      <c r="D135" s="30"/>
      <c r="E135" s="30">
        <f>IFERROR(__xludf.DUMMYFUNCTION("""COMPUTED_VALUE"""),8.0)</f>
        <v>8</v>
      </c>
      <c r="F135" s="30">
        <f>IFERROR(__xludf.DUMMYFUNCTION("""COMPUTED_VALUE"""),0.0)</f>
        <v>0</v>
      </c>
      <c r="G135" s="30">
        <f>IFERROR(__xludf.DUMMYFUNCTION("""COMPUTED_VALUE"""),8.0)</f>
        <v>8</v>
      </c>
      <c r="H135" s="42">
        <f>IFERROR(__xludf.DUMMYFUNCTION("""COMPUTED_VALUE"""),0.0)</f>
        <v>0</v>
      </c>
      <c r="I135" s="42">
        <f>IFERROR(__xludf.DUMMYFUNCTION("""COMPUTED_VALUE"""),0.058823529411764705)</f>
        <v>0.05882352941</v>
      </c>
      <c r="J135" s="30">
        <f>IFERROR(__xludf.DUMMYFUNCTION("""COMPUTED_VALUE"""),241.125)</f>
        <v>241.125</v>
      </c>
      <c r="K135" s="30">
        <f>IFERROR(__xludf.DUMMYFUNCTION("""COMPUTED_VALUE"""),0.125)</f>
        <v>0.125</v>
      </c>
      <c r="L135" s="30">
        <f>IFERROR(__xludf.DUMMYFUNCTION("""COMPUTED_VALUE"""),0.25)</f>
        <v>0.25</v>
      </c>
      <c r="M135" s="30">
        <f>IFERROR(__xludf.DUMMYFUNCTION("""COMPUTED_VALUE"""),1.125)</f>
        <v>1.125</v>
      </c>
      <c r="N135" s="30">
        <f>IFERROR(__xludf.DUMMYFUNCTION("""COMPUTED_VALUE"""),2.125)</f>
        <v>2.125</v>
      </c>
      <c r="O135" s="30">
        <f>IFERROR(__xludf.DUMMYFUNCTION("""COMPUTED_VALUE"""),413.04166666666663)</f>
        <v>413.0416667</v>
      </c>
      <c r="P135" s="30">
        <f>IFERROR(__xludf.DUMMYFUNCTION("""COMPUTED_VALUE"""),1.0833333333333333)</f>
        <v>1.083333333</v>
      </c>
      <c r="Q135" s="30">
        <f>IFERROR(__xludf.DUMMYFUNCTION("""COMPUTED_VALUE"""),0.9166666666666666)</f>
        <v>0.9166666667</v>
      </c>
      <c r="R135" s="30">
        <f>IFERROR(__xludf.DUMMYFUNCTION("""COMPUTED_VALUE"""),1.2916666666666667)</f>
        <v>1.291666667</v>
      </c>
      <c r="S135" s="30">
        <f>IFERROR(__xludf.DUMMYFUNCTION("""COMPUTED_VALUE"""),3.291666666666667)</f>
        <v>3.291666667</v>
      </c>
      <c r="T135" s="30">
        <f>IFERROR(__xludf.DUMMYFUNCTION("""COMPUTED_VALUE"""),395.1176170420275)</f>
        <v>395.117617</v>
      </c>
      <c r="U135" s="30">
        <f>IFERROR(__xludf.DUMMYFUNCTION("""COMPUTED_VALUE"""),0.9965688622192171)</f>
        <v>0.9965688622</v>
      </c>
      <c r="V135" s="30">
        <f>IFERROR(__xludf.DUMMYFUNCTION("""COMPUTED_VALUE"""),0.6591332893310581)</f>
        <v>0.6591332893</v>
      </c>
      <c r="W135" s="30">
        <f>IFERROR(__xludf.DUMMYFUNCTION("""COMPUTED_VALUE"""),1.3864281823840647)</f>
        <v>1.386428182</v>
      </c>
      <c r="X135" s="30">
        <f>IFERROR(__xludf.DUMMYFUNCTION("""COMPUTED_VALUE"""),3.0758863171705464)</f>
        <v>3.075886317</v>
      </c>
      <c r="Y135" s="30">
        <f>IFERROR(__xludf.DUMMYFUNCTION("""COMPUTED_VALUE"""),365.02819314986533)</f>
        <v>365.0281931</v>
      </c>
      <c r="Z135" s="30">
        <f>IFERROR(__xludf.DUMMYFUNCTION("""COMPUTED_VALUE"""),0.7517031876607603)</f>
        <v>0.7517031877</v>
      </c>
      <c r="AA135" s="30">
        <f>IFERROR(__xludf.DUMMYFUNCTION("""COMPUTED_VALUE"""),0.5402424619272996)</f>
        <v>0.5402424619</v>
      </c>
      <c r="AB135" s="30">
        <f>IFERROR(__xludf.DUMMYFUNCTION("""COMPUTED_VALUE"""),1.6227043020273244)</f>
        <v>1.622704302</v>
      </c>
      <c r="AC135" s="30">
        <f>IFERROR(__xludf.DUMMYFUNCTION("""COMPUTED_VALUE"""),2.517942665571976)</f>
        <v>2.517942666</v>
      </c>
      <c r="AD135" s="30">
        <f>IFERROR(__xludf.DUMMYFUNCTION("""COMPUTED_VALUE"""),0.6605654152883587)</f>
        <v>0.6605654153</v>
      </c>
      <c r="AE135" s="30">
        <f>IFERROR(__xludf.DUMMYFUNCTION("""COMPUTED_VALUE"""),0.16628903808295656)</f>
        <v>0.1662890381</v>
      </c>
      <c r="AF135" s="30">
        <f>IFERROR(__xludf.DUMMYFUNCTION("""COMPUTED_VALUE"""),0.4627551842336348)</f>
        <v>0.4627551842</v>
      </c>
      <c r="AG135" s="30">
        <f>IFERROR(__xludf.DUMMYFUNCTION("""COMPUTED_VALUE"""),0.6932871248288934)</f>
        <v>0.6932871248</v>
      </c>
      <c r="AH135" s="30">
        <f>IFERROR(__xludf.DUMMYFUNCTION("""COMPUTED_VALUE"""),0.843942965443689)</f>
        <v>0.8439429654</v>
      </c>
      <c r="AI135" s="30">
        <f>IFERROR(__xludf.DUMMYFUNCTION("""COMPUTED_VALUE"""),1.0453638330753867)</f>
        <v>1.045363833</v>
      </c>
      <c r="AJ135" s="30">
        <f>IFERROR(__xludf.DUMMYFUNCTION("""COMPUTED_VALUE"""),1.0870631969384474)</f>
        <v>1.087063197</v>
      </c>
      <c r="AK135" s="30">
        <f>IFERROR(__xludf.DUMMYFUNCTION("""COMPUTED_VALUE"""),1.390715173249669)</f>
        <v>1.390715173</v>
      </c>
      <c r="AL135" s="30">
        <f>IFERROR(__xludf.DUMMYFUNCTION("""COMPUTED_VALUE"""),0.9316506134818692)</f>
        <v>0.9316506135</v>
      </c>
      <c r="AM135" s="30">
        <f>IFERROR(__xludf.DUMMYFUNCTION("""COMPUTED_VALUE"""),1.0701522511711723)</f>
        <v>1.070152251</v>
      </c>
      <c r="AN135" s="30">
        <f>IFERROR(__xludf.DUMMYFUNCTION("""COMPUTED_VALUE"""),0.6836375827918015)</f>
        <v>0.6836375828</v>
      </c>
      <c r="AO135" s="30">
        <f>IFERROR(__xludf.DUMMYFUNCTION("""COMPUTED_VALUE"""),0.17526967406432642)</f>
        <v>0.1752696741</v>
      </c>
      <c r="AP135" s="30">
        <f>IFERROR(__xludf.DUMMYFUNCTION("""COMPUTED_VALUE"""),0.4347248171919464)</f>
        <v>0.4347248172</v>
      </c>
      <c r="AQ135" s="30">
        <f>IFERROR(__xludf.DUMMYFUNCTION("""COMPUTED_VALUE"""),0.7886336241538944)</f>
        <v>0.7886336242</v>
      </c>
      <c r="AR135" s="30">
        <f>IFERROR(__xludf.DUMMYFUNCTION("""COMPUTED_VALUE"""),0.8435517502592764)</f>
        <v>0.8435517503</v>
      </c>
      <c r="AS135" s="30">
        <f>IFERROR(__xludf.DUMMYFUNCTION("""COMPUTED_VALUE"""),5.0)</f>
        <v>5</v>
      </c>
      <c r="AT135" s="30">
        <f>IFERROR(__xludf.DUMMYFUNCTION("""COMPUTED_VALUE"""),0.08076438143893805)</f>
        <v>0.08076438144</v>
      </c>
      <c r="AU135" s="30">
        <f>IFERROR(__xludf.DUMMYFUNCTION("""COMPUTED_VALUE"""),0.5009452941770713)</f>
        <v>0.5009452942</v>
      </c>
      <c r="AV135" s="32">
        <f>IFERROR(__xludf.DUMMYFUNCTION("""COMPUTED_VALUE"""),-1.2465102346847914)</f>
        <v>-1.246510235</v>
      </c>
      <c r="AW135" s="32">
        <f>IFERROR(__xludf.DUMMYFUNCTION("""COMPUTED_VALUE"""),-49.53185637586845)</f>
        <v>-49.53185638</v>
      </c>
      <c r="AX135" s="32">
        <f>IFERROR(__xludf.DUMMYFUNCTION("""COMPUTED_VALUE"""),8.633263161967626)</f>
        <v>8.633263162</v>
      </c>
      <c r="AY135" s="32">
        <f>IFERROR(__xludf.DUMMYFUNCTION("""COMPUTED_VALUE"""),-20.40992049408964)</f>
        <v>-20.40992049</v>
      </c>
      <c r="AZ135" s="30">
        <f>IFERROR(__xludf.DUMMYFUNCTION("""COMPUTED_VALUE"""),29.12193588177881)</f>
        <v>29.12193588</v>
      </c>
      <c r="BA135" s="30">
        <f>IFERROR(__xludf.DUMMYFUNCTION("""COMPUTED_VALUE"""),800.0)</f>
        <v>800</v>
      </c>
    </row>
    <row r="136">
      <c r="A136" s="30" t="str">
        <f>IFERROR(__xludf.DUMMYFUNCTION("""COMPUTED_VALUE"""),"Elite")</f>
        <v>Elite</v>
      </c>
      <c r="B136" s="30" t="str">
        <f>IFERROR(__xludf.DUMMYFUNCTION("""COMPUTED_VALUE"""),"RSC004794")</f>
        <v>RSC004794</v>
      </c>
      <c r="C136" s="30" t="str">
        <f>IFERROR(__xludf.DUMMYFUNCTION("""COMPUTED_VALUE"""),"Buddha")</f>
        <v>Buddha</v>
      </c>
      <c r="D136" s="30"/>
      <c r="E136" s="30">
        <f>IFERROR(__xludf.DUMMYFUNCTION("""COMPUTED_VALUE"""),4.0)</f>
        <v>4</v>
      </c>
      <c r="F136" s="30">
        <f>IFERROR(__xludf.DUMMYFUNCTION("""COMPUTED_VALUE"""),0.0)</f>
        <v>0</v>
      </c>
      <c r="G136" s="30">
        <f>IFERROR(__xludf.DUMMYFUNCTION("""COMPUTED_VALUE"""),4.0)</f>
        <v>4</v>
      </c>
      <c r="H136" s="42">
        <f>IFERROR(__xludf.DUMMYFUNCTION("""COMPUTED_VALUE"""),0.0)</f>
        <v>0</v>
      </c>
      <c r="I136" s="42">
        <f>IFERROR(__xludf.DUMMYFUNCTION("""COMPUTED_VALUE"""),0.6666666666666666)</f>
        <v>0.6666666667</v>
      </c>
      <c r="J136" s="30">
        <f>IFERROR(__xludf.DUMMYFUNCTION("""COMPUTED_VALUE"""),216.75)</f>
        <v>216.75</v>
      </c>
      <c r="K136" s="30">
        <f>IFERROR(__xludf.DUMMYFUNCTION("""COMPUTED_VALUE"""),0.5)</f>
        <v>0.5</v>
      </c>
      <c r="L136" s="30">
        <f>IFERROR(__xludf.DUMMYFUNCTION("""COMPUTED_VALUE"""),0.25)</f>
        <v>0.25</v>
      </c>
      <c r="M136" s="30">
        <f>IFERROR(__xludf.DUMMYFUNCTION("""COMPUTED_VALUE"""),0.75)</f>
        <v>0.75</v>
      </c>
      <c r="N136" s="30">
        <f>IFERROR(__xludf.DUMMYFUNCTION("""COMPUTED_VALUE"""),0.75)</f>
        <v>0.75</v>
      </c>
      <c r="O136" s="30">
        <f>IFERROR(__xludf.DUMMYFUNCTION("""COMPUTED_VALUE"""),381.3333333333333)</f>
        <v>381.3333333</v>
      </c>
      <c r="P136" s="30">
        <f>IFERROR(__xludf.DUMMYFUNCTION("""COMPUTED_VALUE"""),1.25)</f>
        <v>1.25</v>
      </c>
      <c r="Q136" s="30">
        <f>IFERROR(__xludf.DUMMYFUNCTION("""COMPUTED_VALUE"""),0.9166666666666666)</f>
        <v>0.9166666667</v>
      </c>
      <c r="R136" s="30">
        <f>IFERROR(__xludf.DUMMYFUNCTION("""COMPUTED_VALUE"""),0.7499999999999999)</f>
        <v>0.75</v>
      </c>
      <c r="S136" s="30">
        <f>IFERROR(__xludf.DUMMYFUNCTION("""COMPUTED_VALUE"""),3.5)</f>
        <v>3.5</v>
      </c>
      <c r="T136" s="30">
        <f>IFERROR(__xludf.DUMMYFUNCTION("""COMPUTED_VALUE"""),371.2361111111111)</f>
        <v>371.2361111</v>
      </c>
      <c r="U136" s="30">
        <f>IFERROR(__xludf.DUMMYFUNCTION("""COMPUTED_VALUE"""),0.763888888888889)</f>
        <v>0.7638888889</v>
      </c>
      <c r="V136" s="30">
        <f>IFERROR(__xludf.DUMMYFUNCTION("""COMPUTED_VALUE"""),0.6759259259259259)</f>
        <v>0.6759259259</v>
      </c>
      <c r="W136" s="30">
        <f>IFERROR(__xludf.DUMMYFUNCTION("""COMPUTED_VALUE"""),1.3564814814814816)</f>
        <v>1.356481481</v>
      </c>
      <c r="X136" s="30">
        <f>IFERROR(__xludf.DUMMYFUNCTION("""COMPUTED_VALUE"""),2.8796296296296298)</f>
        <v>2.87962963</v>
      </c>
      <c r="Y136" s="30">
        <f>IFERROR(__xludf.DUMMYFUNCTION("""COMPUTED_VALUE"""),350.39351851851853)</f>
        <v>350.3935185</v>
      </c>
      <c r="Z136" s="30">
        <f>IFERROR(__xludf.DUMMYFUNCTION("""COMPUTED_VALUE"""),0.669753086419753)</f>
        <v>0.6697530864</v>
      </c>
      <c r="AA136" s="30">
        <f>IFERROR(__xludf.DUMMYFUNCTION("""COMPUTED_VALUE"""),0.5524691358024691)</f>
        <v>0.5524691358</v>
      </c>
      <c r="AB136" s="30">
        <f>IFERROR(__xludf.DUMMYFUNCTION("""COMPUTED_VALUE"""),1.479938271604938)</f>
        <v>1.479938272</v>
      </c>
      <c r="AC136" s="30">
        <f>IFERROR(__xludf.DUMMYFUNCTION("""COMPUTED_VALUE"""),2.334876543209877)</f>
        <v>2.334876543</v>
      </c>
      <c r="AD136" s="30">
        <f>IFERROR(__xludf.DUMMYFUNCTION("""COMPUTED_VALUE"""),0.6185902094206249)</f>
        <v>0.6185902094</v>
      </c>
      <c r="AE136" s="30">
        <f>IFERROR(__xludf.DUMMYFUNCTION("""COMPUTED_VALUE"""),0.7465437788018434)</f>
        <v>0.7465437788</v>
      </c>
      <c r="AF136" s="30">
        <f>IFERROR(__xludf.DUMMYFUNCTION("""COMPUTED_VALUE"""),0.4525139664804469)</f>
        <v>0.4525139665</v>
      </c>
      <c r="AG136" s="30">
        <f>IFERROR(__xludf.DUMMYFUNCTION("""COMPUTED_VALUE"""),0.5067778936392076)</f>
        <v>0.5067778936</v>
      </c>
      <c r="AH136" s="30">
        <f>IFERROR(__xludf.DUMMYFUNCTION("""COMPUTED_VALUE"""),0.32121612690019824)</f>
        <v>0.3212161269</v>
      </c>
      <c r="AI136" s="30">
        <f>IFERROR(__xludf.DUMMYFUNCTION("""COMPUTED_VALUE"""),1.0271989225186127)</f>
        <v>1.027198923</v>
      </c>
      <c r="AJ136" s="30">
        <f>IFERROR(__xludf.DUMMYFUNCTION("""COMPUTED_VALUE"""),1.6363636363636362)</f>
        <v>1.636363636</v>
      </c>
      <c r="AK136" s="30">
        <f>IFERROR(__xludf.DUMMYFUNCTION("""COMPUTED_VALUE"""),1.3561643835616437)</f>
        <v>1.356164384</v>
      </c>
      <c r="AL136" s="30">
        <f>IFERROR(__xludf.DUMMYFUNCTION("""COMPUTED_VALUE"""),0.5529010238907849)</f>
        <v>0.5529010239</v>
      </c>
      <c r="AM136" s="30">
        <f>IFERROR(__xludf.DUMMYFUNCTION("""COMPUTED_VALUE"""),1.215434083601286)</f>
        <v>1.215434084</v>
      </c>
      <c r="AN136" s="30">
        <f>IFERROR(__xludf.DUMMYFUNCTION("""COMPUTED_VALUE"""),0.6145295845313551)</f>
        <v>0.6145295845</v>
      </c>
      <c r="AO136" s="30">
        <f>IFERROR(__xludf.DUMMYFUNCTION("""COMPUTED_VALUE"""),0.7010786962573057)</f>
        <v>0.7010786963</v>
      </c>
      <c r="AP136" s="30">
        <f>IFERROR(__xludf.DUMMYFUNCTION("""COMPUTED_VALUE"""),0.4347248171919464)</f>
        <v>0.4347248172</v>
      </c>
      <c r="AQ136" s="30">
        <f>IFERROR(__xludf.DUMMYFUNCTION("""COMPUTED_VALUE"""),0.5257557494359296)</f>
        <v>0.5257557494</v>
      </c>
      <c r="AR136" s="30">
        <f>IFERROR(__xludf.DUMMYFUNCTION("""COMPUTED_VALUE"""),0.29772414715033285)</f>
        <v>0.2977241472</v>
      </c>
      <c r="AS136" s="30">
        <f>IFERROR(__xludf.DUMMYFUNCTION("""COMPUTED_VALUE"""),7.0)</f>
        <v>7</v>
      </c>
      <c r="AT136" s="30">
        <f>IFERROR(__xludf.DUMMYFUNCTION("""COMPUTED_VALUE"""),0.2238904750056121)</f>
        <v>0.223890475</v>
      </c>
      <c r="AU136" s="30">
        <f>IFERROR(__xludf.DUMMYFUNCTION("""COMPUTED_VALUE"""),0.2963090836876706)</f>
        <v>0.2963090837</v>
      </c>
      <c r="AV136" s="32">
        <f>IFERROR(__xludf.DUMMYFUNCTION("""COMPUTED_VALUE"""),-6.996677065433147)</f>
        <v>-6.996677065</v>
      </c>
      <c r="AW136" s="32">
        <f>IFERROR(__xludf.DUMMYFUNCTION("""COMPUTED_VALUE"""),-88.43463792012633)</f>
        <v>-88.43463792</v>
      </c>
      <c r="AX136" s="32">
        <f>IFERROR(__xludf.DUMMYFUNCTION("""COMPUTED_VALUE"""),-9.272049876886825)</f>
        <v>-9.272049877</v>
      </c>
      <c r="AY136" s="32">
        <f>IFERROR(__xludf.DUMMYFUNCTION("""COMPUTED_VALUE"""),-112.70338586414496)</f>
        <v>-112.7033859</v>
      </c>
      <c r="AZ136" s="30">
        <f>IFERROR(__xludf.DUMMYFUNCTION("""COMPUTED_VALUE"""),24.268747944018628)</f>
        <v>24.26874794</v>
      </c>
      <c r="BA136" s="30">
        <f>IFERROR(__xludf.DUMMYFUNCTION("""COMPUTED_VALUE"""),800.0)</f>
        <v>800</v>
      </c>
    </row>
    <row r="137">
      <c r="A137" s="30" t="str">
        <f>IFERROR(__xludf.DUMMYFUNCTION("""COMPUTED_VALUE"""),"Elite")</f>
        <v>Elite</v>
      </c>
      <c r="B137" s="30" t="str">
        <f>IFERROR(__xludf.DUMMYFUNCTION("""COMPUTED_VALUE"""),"RSC005009")</f>
        <v>RSC005009</v>
      </c>
      <c r="C137" s="30" t="str">
        <f>IFERROR(__xludf.DUMMYFUNCTION("""COMPUTED_VALUE"""),"Qeetz")</f>
        <v>Qeetz</v>
      </c>
      <c r="D137" s="30"/>
      <c r="E137" s="30">
        <f>IFERROR(__xludf.DUMMYFUNCTION("""COMPUTED_VALUE"""),2.0)</f>
        <v>2</v>
      </c>
      <c r="F137" s="30">
        <f>IFERROR(__xludf.DUMMYFUNCTION("""COMPUTED_VALUE"""),1.0)</f>
        <v>1</v>
      </c>
      <c r="G137" s="30">
        <f>IFERROR(__xludf.DUMMYFUNCTION("""COMPUTED_VALUE"""),1.0)</f>
        <v>1</v>
      </c>
      <c r="H137" s="42">
        <f>IFERROR(__xludf.DUMMYFUNCTION("""COMPUTED_VALUE"""),0.5)</f>
        <v>0.5</v>
      </c>
      <c r="I137" s="42">
        <f>IFERROR(__xludf.DUMMYFUNCTION("""COMPUTED_VALUE"""),0.4)</f>
        <v>0.4</v>
      </c>
      <c r="J137" s="30">
        <f>IFERROR(__xludf.DUMMYFUNCTION("""COMPUTED_VALUE"""),241.0)</f>
        <v>241</v>
      </c>
      <c r="K137" s="30">
        <f>IFERROR(__xludf.DUMMYFUNCTION("""COMPUTED_VALUE"""),1.0)</f>
        <v>1</v>
      </c>
      <c r="L137" s="30">
        <f>IFERROR(__xludf.DUMMYFUNCTION("""COMPUTED_VALUE"""),0.0)</f>
        <v>0</v>
      </c>
      <c r="M137" s="30">
        <f>IFERROR(__xludf.DUMMYFUNCTION("""COMPUTED_VALUE"""),0.0)</f>
        <v>0</v>
      </c>
      <c r="N137" s="30">
        <f>IFERROR(__xludf.DUMMYFUNCTION("""COMPUTED_VALUE"""),2.5)</f>
        <v>2.5</v>
      </c>
      <c r="O137" s="30">
        <f>IFERROR(__xludf.DUMMYFUNCTION("""COMPUTED_VALUE"""),385.0)</f>
        <v>385</v>
      </c>
      <c r="P137" s="30">
        <f>IFERROR(__xludf.DUMMYFUNCTION("""COMPUTED_VALUE"""),1.0)</f>
        <v>1</v>
      </c>
      <c r="Q137" s="30">
        <f>IFERROR(__xludf.DUMMYFUNCTION("""COMPUTED_VALUE"""),0.5)</f>
        <v>0.5</v>
      </c>
      <c r="R137" s="30">
        <f>IFERROR(__xludf.DUMMYFUNCTION("""COMPUTED_VALUE"""),1.5)</f>
        <v>1.5</v>
      </c>
      <c r="S137" s="30">
        <f>IFERROR(__xludf.DUMMYFUNCTION("""COMPUTED_VALUE"""),2.5)</f>
        <v>2.5</v>
      </c>
      <c r="T137" s="30">
        <f>IFERROR(__xludf.DUMMYFUNCTION("""COMPUTED_VALUE"""),373.1175895578172)</f>
        <v>373.1175896</v>
      </c>
      <c r="U137" s="30">
        <f>IFERROR(__xludf.DUMMYFUNCTION("""COMPUTED_VALUE"""),0.8410193011711038)</f>
        <v>0.8410193012</v>
      </c>
      <c r="V137" s="30">
        <f>IFERROR(__xludf.DUMMYFUNCTION("""COMPUTED_VALUE"""),0.5840952216663791)</f>
        <v>0.5840952217</v>
      </c>
      <c r="W137" s="30">
        <f>IFERROR(__xludf.DUMMYFUNCTION("""COMPUTED_VALUE"""),1.4342667663350774)</f>
        <v>1.434266766</v>
      </c>
      <c r="X137" s="30">
        <f>IFERROR(__xludf.DUMMYFUNCTION("""COMPUTED_VALUE"""),2.762549594617906)</f>
        <v>2.762549595</v>
      </c>
      <c r="Y137" s="30">
        <f>IFERROR(__xludf.DUMMYFUNCTION("""COMPUTED_VALUE"""),347.22027038250957)</f>
        <v>347.2202704</v>
      </c>
      <c r="Z137" s="30">
        <f>IFERROR(__xludf.DUMMYFUNCTION("""COMPUTED_VALUE"""),0.6552814674256798)</f>
        <v>0.6552814674</v>
      </c>
      <c r="AA137" s="30">
        <f>IFERROR(__xludf.DUMMYFUNCTION("""COMPUTED_VALUE"""),0.498725394361068)</f>
        <v>0.4987253944</v>
      </c>
      <c r="AB137" s="30">
        <f>IFERROR(__xludf.DUMMYFUNCTION("""COMPUTED_VALUE"""),1.4768558449772868)</f>
        <v>1.476855845</v>
      </c>
      <c r="AC137" s="30">
        <f>IFERROR(__xludf.DUMMYFUNCTION("""COMPUTED_VALUE"""),2.4499485685443942)</f>
        <v>2.449948569</v>
      </c>
      <c r="AD137" s="30">
        <f>IFERROR(__xludf.DUMMYFUNCTION("""COMPUTED_VALUE"""),0.6940839016527067)</f>
        <v>0.6940839017</v>
      </c>
      <c r="AE137" s="30">
        <f>IFERROR(__xludf.DUMMYFUNCTION("""COMPUTED_VALUE"""),1.5260617760617763)</f>
        <v>1.526061776</v>
      </c>
      <c r="AF137" s="30">
        <f>IFERROR(__xludf.DUMMYFUNCTION("""COMPUTED_VALUE"""),0.0)</f>
        <v>0</v>
      </c>
      <c r="AG137" s="30">
        <f>IFERROR(__xludf.DUMMYFUNCTION("""COMPUTED_VALUE"""),0.0)</f>
        <v>0</v>
      </c>
      <c r="AH137" s="30">
        <f>IFERROR(__xludf.DUMMYFUNCTION("""COMPUTED_VALUE"""),1.020429584562807)</f>
        <v>1.020429585</v>
      </c>
      <c r="AI137" s="30">
        <f>IFERROR(__xludf.DUMMYFUNCTION("""COMPUTED_VALUE"""),1.0318462886090807)</f>
        <v>1.031846289</v>
      </c>
      <c r="AJ137" s="30">
        <f>IFERROR(__xludf.DUMMYFUNCTION("""COMPUTED_VALUE"""),1.1890333534646809)</f>
        <v>1.189033353</v>
      </c>
      <c r="AK137" s="30">
        <f>IFERROR(__xludf.DUMMYFUNCTION("""COMPUTED_VALUE"""),0.8560248080330776)</f>
        <v>0.856024808</v>
      </c>
      <c r="AL137" s="30">
        <f>IFERROR(__xludf.DUMMYFUNCTION("""COMPUTED_VALUE"""),1.0458305492449553)</f>
        <v>1.045830549</v>
      </c>
      <c r="AM137" s="30">
        <f>IFERROR(__xludf.DUMMYFUNCTION("""COMPUTED_VALUE"""),0.9049611289768646)</f>
        <v>0.904961129</v>
      </c>
      <c r="AN137" s="30">
        <f>IFERROR(__xludf.DUMMYFUNCTION("""COMPUTED_VALUE"""),0.6832831828007223)</f>
        <v>0.6832831828</v>
      </c>
      <c r="AO137" s="30">
        <f>IFERROR(__xludf.DUMMYFUNCTION("""COMPUTED_VALUE"""),1.4021573925146114)</f>
        <v>1.402157393</v>
      </c>
      <c r="AP137" s="30">
        <f>IFERROR(__xludf.DUMMYFUNCTION("""COMPUTED_VALUE"""),0.0)</f>
        <v>0</v>
      </c>
      <c r="AQ137" s="30">
        <f>IFERROR(__xludf.DUMMYFUNCTION("""COMPUTED_VALUE"""),0.0)</f>
        <v>0</v>
      </c>
      <c r="AR137" s="30">
        <f>IFERROR(__xludf.DUMMYFUNCTION("""COMPUTED_VALUE"""),0.9924138238344429)</f>
        <v>0.9924138238</v>
      </c>
      <c r="AS137" s="30">
        <f>IFERROR(__xludf.DUMMYFUNCTION("""COMPUTED_VALUE"""),5.0)</f>
        <v>5</v>
      </c>
      <c r="AT137" s="30">
        <f>IFERROR(__xludf.DUMMYFUNCTION("""COMPUTED_VALUE"""),0.42619635446806875)</f>
        <v>0.4261963545</v>
      </c>
      <c r="AU137" s="30">
        <f>IFERROR(__xludf.DUMMYFUNCTION("""COMPUTED_VALUE"""),2.1064213287320888)</f>
        <v>2.106421329</v>
      </c>
      <c r="AV137" s="32">
        <f>IFERROR(__xludf.DUMMYFUNCTION("""COMPUTED_VALUE"""),43.86649796352857)</f>
        <v>43.86649796</v>
      </c>
      <c r="AW137" s="32">
        <f>IFERROR(__xludf.DUMMYFUNCTION("""COMPUTED_VALUE"""),-2.480795174227208)</f>
        <v>-2.480795174</v>
      </c>
      <c r="AX137" s="32">
        <f>IFERROR(__xludf.DUMMYFUNCTION("""COMPUTED_VALUE"""),7.3098430607740426)</f>
        <v>7.309843061</v>
      </c>
      <c r="AY137" s="32">
        <f>IFERROR(__xludf.DUMMYFUNCTION("""COMPUTED_VALUE"""),-22.80256711687527)</f>
        <v>-22.80256712</v>
      </c>
      <c r="AZ137" s="30">
        <f>IFERROR(__xludf.DUMMYFUNCTION("""COMPUTED_VALUE"""),20.321771942648063)</f>
        <v>20.32177194</v>
      </c>
      <c r="BA137" s="30">
        <f>IFERROR(__xludf.DUMMYFUNCTION("""COMPUTED_VALUE"""),800.0)</f>
        <v>800</v>
      </c>
    </row>
    <row r="138">
      <c r="A138" s="30" t="str">
        <f>IFERROR(__xludf.DUMMYFUNCTION("""COMPUTED_VALUE"""),"Elite")</f>
        <v>Elite</v>
      </c>
      <c r="B138" s="30" t="str">
        <f>IFERROR(__xludf.DUMMYFUNCTION("""COMPUTED_VALUE"""),"RSC001056")</f>
        <v>RSC001056</v>
      </c>
      <c r="C138" s="30" t="str">
        <f>IFERROR(__xludf.DUMMYFUNCTION("""COMPUTED_VALUE"""),"mysandislost")</f>
        <v>mysandislost</v>
      </c>
      <c r="D138" s="30" t="str">
        <f>IFERROR(__xludf.DUMMYFUNCTION("""COMPUTED_VALUE"""),"Orochi")</f>
        <v>Orochi</v>
      </c>
      <c r="E138" s="30">
        <f>IFERROR(__xludf.DUMMYFUNCTION("""COMPUTED_VALUE"""),16.0)</f>
        <v>16</v>
      </c>
      <c r="F138" s="30">
        <f>IFERROR(__xludf.DUMMYFUNCTION("""COMPUTED_VALUE"""),10.0)</f>
        <v>10</v>
      </c>
      <c r="G138" s="30">
        <f>IFERROR(__xludf.DUMMYFUNCTION("""COMPUTED_VALUE"""),6.0)</f>
        <v>6</v>
      </c>
      <c r="H138" s="42">
        <f>IFERROR(__xludf.DUMMYFUNCTION("""COMPUTED_VALUE"""),0.625)</f>
        <v>0.625</v>
      </c>
      <c r="I138" s="42">
        <f>IFERROR(__xludf.DUMMYFUNCTION("""COMPUTED_VALUE"""),0.23728813559322035)</f>
        <v>0.2372881356</v>
      </c>
      <c r="J138" s="30">
        <f>IFERROR(__xludf.DUMMYFUNCTION("""COMPUTED_VALUE"""),407.6875)</f>
        <v>407.6875</v>
      </c>
      <c r="K138" s="30">
        <f>IFERROR(__xludf.DUMMYFUNCTION("""COMPUTED_VALUE"""),0.875)</f>
        <v>0.875</v>
      </c>
      <c r="L138" s="30">
        <f>IFERROR(__xludf.DUMMYFUNCTION("""COMPUTED_VALUE"""),0.875)</f>
        <v>0.875</v>
      </c>
      <c r="M138" s="30">
        <f>IFERROR(__xludf.DUMMYFUNCTION("""COMPUTED_VALUE"""),1.5)</f>
        <v>1.5</v>
      </c>
      <c r="N138" s="30">
        <f>IFERROR(__xludf.DUMMYFUNCTION("""COMPUTED_VALUE"""),3.6875)</f>
        <v>3.6875</v>
      </c>
      <c r="O138" s="30">
        <f>IFERROR(__xludf.DUMMYFUNCTION("""COMPUTED_VALUE"""),338.9375)</f>
        <v>338.9375</v>
      </c>
      <c r="P138" s="30">
        <f>IFERROR(__xludf.DUMMYFUNCTION("""COMPUTED_VALUE"""),0.6041666666666667)</f>
        <v>0.6041666667</v>
      </c>
      <c r="Q138" s="30">
        <f>IFERROR(__xludf.DUMMYFUNCTION("""COMPUTED_VALUE"""),0.4375)</f>
        <v>0.4375</v>
      </c>
      <c r="R138" s="30">
        <f>IFERROR(__xludf.DUMMYFUNCTION("""COMPUTED_VALUE"""),1.479166666666667)</f>
        <v>1.479166667</v>
      </c>
      <c r="S138" s="30">
        <f>IFERROR(__xludf.DUMMYFUNCTION("""COMPUTED_VALUE"""),2.5625)</f>
        <v>2.5625</v>
      </c>
      <c r="T138" s="30">
        <f>IFERROR(__xludf.DUMMYFUNCTION("""COMPUTED_VALUE"""),362.7313453654826)</f>
        <v>362.7313454</v>
      </c>
      <c r="U138" s="30">
        <f>IFERROR(__xludf.DUMMYFUNCTION("""COMPUTED_VALUE"""),0.7272302858549718)</f>
        <v>0.7272302859</v>
      </c>
      <c r="V138" s="30">
        <f>IFERROR(__xludf.DUMMYFUNCTION("""COMPUTED_VALUE"""),0.5942435229339113)</f>
        <v>0.5942435229</v>
      </c>
      <c r="W138" s="30">
        <f>IFERROR(__xludf.DUMMYFUNCTION("""COMPUTED_VALUE"""),1.4320362512196283)</f>
        <v>1.432036251</v>
      </c>
      <c r="X138" s="30">
        <f>IFERROR(__xludf.DUMMYFUNCTION("""COMPUTED_VALUE"""),2.6936247810385185)</f>
        <v>2.693624781</v>
      </c>
      <c r="Y138" s="30">
        <f>IFERROR(__xludf.DUMMYFUNCTION("""COMPUTED_VALUE"""),349.77438501731274)</f>
        <v>349.774385</v>
      </c>
      <c r="Z138" s="30">
        <f>IFERROR(__xludf.DUMMYFUNCTION("""COMPUTED_VALUE"""),0.6869815593098254)</f>
        <v>0.6869815593</v>
      </c>
      <c r="AA138" s="30">
        <f>IFERROR(__xludf.DUMMYFUNCTION("""COMPUTED_VALUE"""),0.5185774470471736)</f>
        <v>0.518577447</v>
      </c>
      <c r="AB138" s="30">
        <f>IFERROR(__xludf.DUMMYFUNCTION("""COMPUTED_VALUE"""),1.4662673876258259)</f>
        <v>1.466267388</v>
      </c>
      <c r="AC138" s="30">
        <f>IFERROR(__xludf.DUMMYFUNCTION("""COMPUTED_VALUE"""),2.5541606100836134)</f>
        <v>2.55416061</v>
      </c>
      <c r="AD138" s="30">
        <f>IFERROR(__xludf.DUMMYFUNCTION("""COMPUTED_VALUE"""),1.1655727733745305)</f>
        <v>1.165572773</v>
      </c>
      <c r="AE138" s="30">
        <f>IFERROR(__xludf.DUMMYFUNCTION("""COMPUTED_VALUE"""),1.273687754994569)</f>
        <v>1.273687755</v>
      </c>
      <c r="AF138" s="30">
        <f>IFERROR(__xludf.DUMMYFUNCTION("""COMPUTED_VALUE"""),1.6873082410010856)</f>
        <v>1.687308241</v>
      </c>
      <c r="AG138" s="30">
        <f>IFERROR(__xludf.DUMMYFUNCTION("""COMPUTED_VALUE"""),1.0230057714294485)</f>
        <v>1.023005771</v>
      </c>
      <c r="AH138" s="30">
        <f>IFERROR(__xludf.DUMMYFUNCTION("""COMPUTED_VALUE"""),1.4437228361607555)</f>
        <v>1.443722836</v>
      </c>
      <c r="AI138" s="30">
        <f>IFERROR(__xludf.DUMMYFUNCTION("""COMPUTED_VALUE"""),0.9344036690804643)</f>
        <v>0.9344036691</v>
      </c>
      <c r="AJ138" s="30">
        <f>IFERROR(__xludf.DUMMYFUNCTION("""COMPUTED_VALUE"""),0.8307776483158635)</f>
        <v>0.8307776483</v>
      </c>
      <c r="AK138" s="30">
        <f>IFERROR(__xludf.DUMMYFUNCTION("""COMPUTED_VALUE"""),0.736230153321598)</f>
        <v>0.7362301533</v>
      </c>
      <c r="AL138" s="30">
        <f>IFERROR(__xludf.DUMMYFUNCTION("""COMPUTED_VALUE"""),1.0329114681328067)</f>
        <v>1.032911468</v>
      </c>
      <c r="AM138" s="30">
        <f>IFERROR(__xludf.DUMMYFUNCTION("""COMPUTED_VALUE"""),0.9513203242108711)</f>
        <v>0.9513203242</v>
      </c>
      <c r="AN138" s="30">
        <f>IFERROR(__xludf.DUMMYFUNCTION("""COMPUTED_VALUE"""),1.1558755709048527)</f>
        <v>1.155875571</v>
      </c>
      <c r="AO138" s="30">
        <f>IFERROR(__xludf.DUMMYFUNCTION("""COMPUTED_VALUE"""),1.2268877184502849)</f>
        <v>1.226887718</v>
      </c>
      <c r="AP138" s="30">
        <f>IFERROR(__xludf.DUMMYFUNCTION("""COMPUTED_VALUE"""),1.5215368601718122)</f>
        <v>1.52153686</v>
      </c>
      <c r="AQ138" s="30">
        <f>IFERROR(__xludf.DUMMYFUNCTION("""COMPUTED_VALUE"""),1.0515114988718592)</f>
        <v>1.051511499</v>
      </c>
      <c r="AR138" s="30">
        <f>IFERROR(__xludf.DUMMYFUNCTION("""COMPUTED_VALUE"""),1.4638103901558033)</f>
        <v>1.46381039</v>
      </c>
      <c r="AS138" s="30">
        <f>IFERROR(__xludf.DUMMYFUNCTION("""COMPUTED_VALUE"""),43.0)</f>
        <v>43</v>
      </c>
      <c r="AT138" s="30">
        <f>IFERROR(__xludf.DUMMYFUNCTION("""COMPUTED_VALUE"""),0.6471521625054047)</f>
        <v>0.6471521625</v>
      </c>
      <c r="AU138" s="30">
        <f>IFERROR(__xludf.DUMMYFUNCTION("""COMPUTED_VALUE"""),3.8841363014339887)</f>
        <v>3.884136301</v>
      </c>
      <c r="AV138" s="32">
        <f>IFERROR(__xludf.DUMMYFUNCTION("""COMPUTED_VALUE"""),93.81932716276081)</f>
        <v>93.81932716</v>
      </c>
      <c r="AW138" s="32">
        <f>IFERROR(__xludf.DUMMYFUNCTION("""COMPUTED_VALUE"""),25.11270437225964)</f>
        <v>25.11270437</v>
      </c>
      <c r="AX138" s="32">
        <f>IFERROR(__xludf.DUMMYFUNCTION("""COMPUTED_VALUE"""),76.59872584992317)</f>
        <v>76.59872585</v>
      </c>
      <c r="AY138" s="32">
        <f>IFERROR(__xludf.DUMMYFUNCTION("""COMPUTED_VALUE"""),6.960109807225077)</f>
        <v>6.960109807</v>
      </c>
      <c r="AZ138" s="30">
        <f>IFERROR(__xludf.DUMMYFUNCTION("""COMPUTED_VALUE"""),18.152594565034562)</f>
        <v>18.15259457</v>
      </c>
      <c r="BA138" s="30">
        <f>IFERROR(__xludf.DUMMYFUNCTION("""COMPUTED_VALUE"""),800.0)</f>
        <v>800</v>
      </c>
    </row>
    <row r="139">
      <c r="A139" s="30" t="str">
        <f>IFERROR(__xludf.DUMMYFUNCTION("""COMPUTED_VALUE"""),"Elite")</f>
        <v>Elite</v>
      </c>
      <c r="B139" s="30" t="str">
        <f>IFERROR(__xludf.DUMMYFUNCTION("""COMPUTED_VALUE"""),"RSC007386")</f>
        <v>RSC007386</v>
      </c>
      <c r="C139" s="30" t="str">
        <f>IFERROR(__xludf.DUMMYFUNCTION("""COMPUTED_VALUE"""),"oddtrip")</f>
        <v>oddtrip</v>
      </c>
      <c r="D139" s="30" t="str">
        <f>IFERROR(__xludf.DUMMYFUNCTION("""COMPUTED_VALUE"""),"Loonie")</f>
        <v>Loonie</v>
      </c>
      <c r="E139" s="30">
        <f>IFERROR(__xludf.DUMMYFUNCTION("""COMPUTED_VALUE"""),8.0)</f>
        <v>8</v>
      </c>
      <c r="F139" s="30">
        <f>IFERROR(__xludf.DUMMYFUNCTION("""COMPUTED_VALUE"""),1.0)</f>
        <v>1</v>
      </c>
      <c r="G139" s="30">
        <f>IFERROR(__xludf.DUMMYFUNCTION("""COMPUTED_VALUE"""),7.0)</f>
        <v>7</v>
      </c>
      <c r="H139" s="42">
        <f>IFERROR(__xludf.DUMMYFUNCTION("""COMPUTED_VALUE"""),0.125)</f>
        <v>0.125</v>
      </c>
      <c r="I139" s="42">
        <f>IFERROR(__xludf.DUMMYFUNCTION("""COMPUTED_VALUE"""),0.125)</f>
        <v>0.125</v>
      </c>
      <c r="J139" s="30">
        <f>IFERROR(__xludf.DUMMYFUNCTION("""COMPUTED_VALUE"""),210.5)</f>
        <v>210.5</v>
      </c>
      <c r="K139" s="30">
        <f>IFERROR(__xludf.DUMMYFUNCTION("""COMPUTED_VALUE"""),0.25)</f>
        <v>0.25</v>
      </c>
      <c r="L139" s="30">
        <f>IFERROR(__xludf.DUMMYFUNCTION("""COMPUTED_VALUE"""),0.5)</f>
        <v>0.5</v>
      </c>
      <c r="M139" s="30">
        <f>IFERROR(__xludf.DUMMYFUNCTION("""COMPUTED_VALUE"""),0.625)</f>
        <v>0.625</v>
      </c>
      <c r="N139" s="30">
        <f>IFERROR(__xludf.DUMMYFUNCTION("""COMPUTED_VALUE"""),2.0)</f>
        <v>2</v>
      </c>
      <c r="O139" s="30">
        <f>IFERROR(__xludf.DUMMYFUNCTION("""COMPUTED_VALUE"""),416.08333333333337)</f>
        <v>416.0833333</v>
      </c>
      <c r="P139" s="30">
        <f>IFERROR(__xludf.DUMMYFUNCTION("""COMPUTED_VALUE"""),1.0833333333333335)</f>
        <v>1.083333333</v>
      </c>
      <c r="Q139" s="30">
        <f>IFERROR(__xludf.DUMMYFUNCTION("""COMPUTED_VALUE"""),0.9166666666666666)</f>
        <v>0.9166666667</v>
      </c>
      <c r="R139" s="30">
        <f>IFERROR(__xludf.DUMMYFUNCTION("""COMPUTED_VALUE"""),1.75)</f>
        <v>1.75</v>
      </c>
      <c r="S139" s="30">
        <f>IFERROR(__xludf.DUMMYFUNCTION("""COMPUTED_VALUE"""),2.416666666666667)</f>
        <v>2.416666667</v>
      </c>
      <c r="T139" s="30">
        <f>IFERROR(__xludf.DUMMYFUNCTION("""COMPUTED_VALUE"""),351.31985047547545)</f>
        <v>351.3198505</v>
      </c>
      <c r="U139" s="30">
        <f>IFERROR(__xludf.DUMMYFUNCTION("""COMPUTED_VALUE"""),0.6969488238238238)</f>
        <v>0.6969488238</v>
      </c>
      <c r="V139" s="30">
        <f>IFERROR(__xludf.DUMMYFUNCTION("""COMPUTED_VALUE"""),0.5568818818818819)</f>
        <v>0.5568818819</v>
      </c>
      <c r="W139" s="30">
        <f>IFERROR(__xludf.DUMMYFUNCTION("""COMPUTED_VALUE"""),1.4687762762762764)</f>
        <v>1.468776276</v>
      </c>
      <c r="X139" s="30">
        <f>IFERROR(__xludf.DUMMYFUNCTION("""COMPUTED_VALUE"""),2.6356249999999997)</f>
        <v>2.635625</v>
      </c>
      <c r="Y139" s="30">
        <f>IFERROR(__xludf.DUMMYFUNCTION("""COMPUTED_VALUE"""),352.21734088254925)</f>
        <v>352.2173409</v>
      </c>
      <c r="Z139" s="30">
        <f>IFERROR(__xludf.DUMMYFUNCTION("""COMPUTED_VALUE"""),0.7251507757757757)</f>
        <v>0.7251507758</v>
      </c>
      <c r="AA139" s="30">
        <f>IFERROR(__xludf.DUMMYFUNCTION("""COMPUTED_VALUE"""),0.5045097180513848)</f>
        <v>0.5045097181</v>
      </c>
      <c r="AB139" s="30">
        <f>IFERROR(__xludf.DUMMYFUNCTION("""COMPUTED_VALUE"""),1.425903194861528)</f>
        <v>1.425903195</v>
      </c>
      <c r="AC139" s="30">
        <f>IFERROR(__xludf.DUMMYFUNCTION("""COMPUTED_VALUE"""),2.6875093843843847)</f>
        <v>2.687509384</v>
      </c>
      <c r="AD139" s="30">
        <f>IFERROR(__xludf.DUMMYFUNCTION("""COMPUTED_VALUE"""),0.5976423519425568)</f>
        <v>0.5976423519</v>
      </c>
      <c r="AE139" s="30">
        <f>IFERROR(__xludf.DUMMYFUNCTION("""COMPUTED_VALUE"""),0.34475588850132133)</f>
        <v>0.3447558885</v>
      </c>
      <c r="AF139" s="30">
        <f>IFERROR(__xludf.DUMMYFUNCTION("""COMPUTED_VALUE"""),0.9910611869503662)</f>
        <v>0.991061187</v>
      </c>
      <c r="AG139" s="30">
        <f>IFERROR(__xludf.DUMMYFUNCTION("""COMPUTED_VALUE"""),0.4383186756662642)</f>
        <v>0.4383186757</v>
      </c>
      <c r="AH139" s="30">
        <f>IFERROR(__xludf.DUMMYFUNCTION("""COMPUTED_VALUE"""),0.7441834479242686)</f>
        <v>0.7441834479</v>
      </c>
      <c r="AI139" s="30">
        <f>IFERROR(__xludf.DUMMYFUNCTION("""COMPUTED_VALUE"""),1.1843433633772962)</f>
        <v>1.184343363</v>
      </c>
      <c r="AJ139" s="30">
        <f>IFERROR(__xludf.DUMMYFUNCTION("""COMPUTED_VALUE"""),1.5543943777530225)</f>
        <v>1.554394378</v>
      </c>
      <c r="AK139" s="30">
        <f>IFERROR(__xludf.DUMMYFUNCTION("""COMPUTED_VALUE"""),1.6460701927829953)</f>
        <v>1.646070193</v>
      </c>
      <c r="AL139" s="30">
        <f>IFERROR(__xludf.DUMMYFUNCTION("""COMPUTED_VALUE"""),1.191468046063964)</f>
        <v>1.191468046</v>
      </c>
      <c r="AM139" s="30">
        <f>IFERROR(__xludf.DUMMYFUNCTION("""COMPUTED_VALUE"""),0.9169235633546757)</f>
        <v>0.9169235634</v>
      </c>
      <c r="AN139" s="30">
        <f>IFERROR(__xludf.DUMMYFUNCTION("""COMPUTED_VALUE"""),0.5968095849773944)</f>
        <v>0.596809585</v>
      </c>
      <c r="AO139" s="30">
        <f>IFERROR(__xludf.DUMMYFUNCTION("""COMPUTED_VALUE"""),0.35053934812865284)</f>
        <v>0.3505393481</v>
      </c>
      <c r="AP139" s="30">
        <f>IFERROR(__xludf.DUMMYFUNCTION("""COMPUTED_VALUE"""),0.8694496343838928)</f>
        <v>0.8694496344</v>
      </c>
      <c r="AQ139" s="30">
        <f>IFERROR(__xludf.DUMMYFUNCTION("""COMPUTED_VALUE"""),0.438129791196608)</f>
        <v>0.4381297912</v>
      </c>
      <c r="AR139" s="30">
        <f>IFERROR(__xludf.DUMMYFUNCTION("""COMPUTED_VALUE"""),0.7939310590675543)</f>
        <v>0.7939310591</v>
      </c>
      <c r="AS139" s="30">
        <f>IFERROR(__xludf.DUMMYFUNCTION("""COMPUTED_VALUE"""),11.0)</f>
        <v>11</v>
      </c>
      <c r="AT139" s="30">
        <f>IFERROR(__xludf.DUMMYFUNCTION("""COMPUTED_VALUE"""),0.20833052825352036)</f>
        <v>0.2083305283</v>
      </c>
      <c r="AU139" s="30">
        <f>IFERROR(__xludf.DUMMYFUNCTION("""COMPUTED_VALUE"""),0.6087670240336429)</f>
        <v>0.608767024</v>
      </c>
      <c r="AV139" s="32">
        <f>IFERROR(__xludf.DUMMYFUNCTION("""COMPUTED_VALUE"""),1.783222055472521)</f>
        <v>1.783222055</v>
      </c>
      <c r="AW139" s="32">
        <f>IFERROR(__xludf.DUMMYFUNCTION("""COMPUTED_VALUE"""),-37.194283456614734)</f>
        <v>-37.19428346</v>
      </c>
      <c r="AX139" s="32">
        <f>IFERROR(__xludf.DUMMYFUNCTION("""COMPUTED_VALUE"""),9.20918595142004)</f>
        <v>9.209185951</v>
      </c>
      <c r="AY139" s="32">
        <f>IFERROR(__xludf.DUMMYFUNCTION("""COMPUTED_VALUE"""),-19.463410434512774)</f>
        <v>-19.46341043</v>
      </c>
      <c r="AZ139" s="30">
        <f>IFERROR(__xludf.DUMMYFUNCTION("""COMPUTED_VALUE"""),17.73087302210196)</f>
        <v>17.73087302</v>
      </c>
      <c r="BA139" s="30">
        <f>IFERROR(__xludf.DUMMYFUNCTION("""COMPUTED_VALUE"""),800.0)</f>
        <v>800</v>
      </c>
    </row>
    <row r="140">
      <c r="A140" s="30" t="str">
        <f>IFERROR(__xludf.DUMMYFUNCTION("""COMPUTED_VALUE"""),"Elite")</f>
        <v>Elite</v>
      </c>
      <c r="B140" s="30" t="str">
        <f>IFERROR(__xludf.DUMMYFUNCTION("""COMPUTED_VALUE"""),"RSC000714")</f>
        <v>RSC000714</v>
      </c>
      <c r="C140" s="30" t="str">
        <f>IFERROR(__xludf.DUMMYFUNCTION("""COMPUTED_VALUE"""),"duffy")</f>
        <v>duffy</v>
      </c>
      <c r="D140" s="30" t="str">
        <f>IFERROR(__xludf.DUMMYFUNCTION("""COMPUTED_VALUE"""),"Thrashers")</f>
        <v>Thrashers</v>
      </c>
      <c r="E140" s="30">
        <f>IFERROR(__xludf.DUMMYFUNCTION("""COMPUTED_VALUE"""),36.0)</f>
        <v>36</v>
      </c>
      <c r="F140" s="30">
        <f>IFERROR(__xludf.DUMMYFUNCTION("""COMPUTED_VALUE"""),19.0)</f>
        <v>19</v>
      </c>
      <c r="G140" s="30">
        <f>IFERROR(__xludf.DUMMYFUNCTION("""COMPUTED_VALUE"""),17.0)</f>
        <v>17</v>
      </c>
      <c r="H140" s="42">
        <f>IFERROR(__xludf.DUMMYFUNCTION("""COMPUTED_VALUE"""),0.5277777777777778)</f>
        <v>0.5277777778</v>
      </c>
      <c r="I140" s="42">
        <f>IFERROR(__xludf.DUMMYFUNCTION("""COMPUTED_VALUE"""),0.3418803418803419)</f>
        <v>0.3418803419</v>
      </c>
      <c r="J140" s="30">
        <f>IFERROR(__xludf.DUMMYFUNCTION("""COMPUTED_VALUE"""),439.6388888888889)</f>
        <v>439.6388889</v>
      </c>
      <c r="K140" s="30">
        <f>IFERROR(__xludf.DUMMYFUNCTION("""COMPUTED_VALUE"""),1.1111111111111112)</f>
        <v>1.111111111</v>
      </c>
      <c r="L140" s="30">
        <f>IFERROR(__xludf.DUMMYFUNCTION("""COMPUTED_VALUE"""),0.8055555555555556)</f>
        <v>0.8055555556</v>
      </c>
      <c r="M140" s="30">
        <f>IFERROR(__xludf.DUMMYFUNCTION("""COMPUTED_VALUE"""),1.5)</f>
        <v>1.5</v>
      </c>
      <c r="N140" s="30">
        <f>IFERROR(__xludf.DUMMYFUNCTION("""COMPUTED_VALUE"""),3.25)</f>
        <v>3.25</v>
      </c>
      <c r="O140" s="30">
        <f>IFERROR(__xludf.DUMMYFUNCTION("""COMPUTED_VALUE"""),376.5648148148148)</f>
        <v>376.5648148</v>
      </c>
      <c r="P140" s="30">
        <f>IFERROR(__xludf.DUMMYFUNCTION("""COMPUTED_VALUE"""),0.898148148148148)</f>
        <v>0.8981481481</v>
      </c>
      <c r="Q140" s="30">
        <f>IFERROR(__xludf.DUMMYFUNCTION("""COMPUTED_VALUE"""),0.6481481481481483)</f>
        <v>0.6481481481</v>
      </c>
      <c r="R140" s="30">
        <f>IFERROR(__xludf.DUMMYFUNCTION("""COMPUTED_VALUE"""),1.5185185185185184)</f>
        <v>1.518518519</v>
      </c>
      <c r="S140" s="30">
        <f>IFERROR(__xludf.DUMMYFUNCTION("""COMPUTED_VALUE"""),2.5462962962962963)</f>
        <v>2.546296296</v>
      </c>
      <c r="T140" s="30">
        <f>IFERROR(__xludf.DUMMYFUNCTION("""COMPUTED_VALUE"""),368.4035286567312)</f>
        <v>368.4035287</v>
      </c>
      <c r="U140" s="30">
        <f>IFERROR(__xludf.DUMMYFUNCTION("""COMPUTED_VALUE"""),0.8051259124550891)</f>
        <v>0.8051259125</v>
      </c>
      <c r="V140" s="30">
        <f>IFERROR(__xludf.DUMMYFUNCTION("""COMPUTED_VALUE"""),0.6141087762578504)</f>
        <v>0.6141087763</v>
      </c>
      <c r="W140" s="30">
        <f>IFERROR(__xludf.DUMMYFUNCTION("""COMPUTED_VALUE"""),1.4282221704968117)</f>
        <v>1.42822217</v>
      </c>
      <c r="X140" s="30">
        <f>IFERROR(__xludf.DUMMYFUNCTION("""COMPUTED_VALUE"""),2.6976929219493577)</f>
        <v>2.697692922</v>
      </c>
      <c r="Y140" s="30">
        <f>IFERROR(__xludf.DUMMYFUNCTION("""COMPUTED_VALUE"""),344.9032302066567)</f>
        <v>344.9032302</v>
      </c>
      <c r="Z140" s="30">
        <f>IFERROR(__xludf.DUMMYFUNCTION("""COMPUTED_VALUE"""),0.6990731273057497)</f>
        <v>0.6990731273</v>
      </c>
      <c r="AA140" s="30">
        <f>IFERROR(__xludf.DUMMYFUNCTION("""COMPUTED_VALUE"""),0.5056816235824899)</f>
        <v>0.5056816236</v>
      </c>
      <c r="AB140" s="30">
        <f>IFERROR(__xludf.DUMMYFUNCTION("""COMPUTED_VALUE"""),1.404643681359883)</f>
        <v>1.404643681</v>
      </c>
      <c r="AC140" s="30">
        <f>IFERROR(__xludf.DUMMYFUNCTION("""COMPUTED_VALUE"""),2.514119393109605)</f>
        <v>2.514119393</v>
      </c>
      <c r="AD140" s="30">
        <f>IFERROR(__xludf.DUMMYFUNCTION("""COMPUTED_VALUE"""),1.274673155787695)</f>
        <v>1.274673156</v>
      </c>
      <c r="AE140" s="30">
        <f>IFERROR(__xludf.DUMMYFUNCTION("""COMPUTED_VALUE"""),1.589406126070629)</f>
        <v>1.589406126</v>
      </c>
      <c r="AF140" s="30">
        <f>IFERROR(__xludf.DUMMYFUNCTION("""COMPUTED_VALUE"""),1.593009352106995)</f>
        <v>1.593009352</v>
      </c>
      <c r="AG140" s="30">
        <f>IFERROR(__xludf.DUMMYFUNCTION("""COMPUTED_VALUE"""),1.0678864824620855)</f>
        <v>1.067886482</v>
      </c>
      <c r="AH140" s="30">
        <f>IFERROR(__xludf.DUMMYFUNCTION("""COMPUTED_VALUE"""),1.2926991490170308)</f>
        <v>1.292699149</v>
      </c>
      <c r="AI140" s="30">
        <f>IFERROR(__xludf.DUMMYFUNCTION("""COMPUTED_VALUE"""),1.0221531161437056)</f>
        <v>1.022153116</v>
      </c>
      <c r="AJ140" s="30">
        <f>IFERROR(__xludf.DUMMYFUNCTION("""COMPUTED_VALUE"""),1.115537500723836)</f>
        <v>1.115537501</v>
      </c>
      <c r="AK140" s="30">
        <f>IFERROR(__xludf.DUMMYFUNCTION("""COMPUTED_VALUE"""),1.0554288966487682)</f>
        <v>1.055428897</v>
      </c>
      <c r="AL140" s="30">
        <f>IFERROR(__xludf.DUMMYFUNCTION("""COMPUTED_VALUE"""),1.0632229003911182)</f>
        <v>1.0632229</v>
      </c>
      <c r="AM140" s="30">
        <f>IFERROR(__xludf.DUMMYFUNCTION("""COMPUTED_VALUE"""),0.9438792219747302)</f>
        <v>0.943879222</v>
      </c>
      <c r="AN140" s="30">
        <f>IFERROR(__xludf.DUMMYFUNCTION("""COMPUTED_VALUE"""),1.2464641464023782)</f>
        <v>1.246464146</v>
      </c>
      <c r="AO140" s="30">
        <f>IFERROR(__xludf.DUMMYFUNCTION("""COMPUTED_VALUE"""),1.5579526583495682)</f>
        <v>1.557952658</v>
      </c>
      <c r="AP140" s="30">
        <f>IFERROR(__xludf.DUMMYFUNCTION("""COMPUTED_VALUE"""),1.4007799665073828)</f>
        <v>1.400779967</v>
      </c>
      <c r="AQ140" s="30">
        <f>IFERROR(__xludf.DUMMYFUNCTION("""COMPUTED_VALUE"""),1.0515114988718592)</f>
        <v>1.051511499</v>
      </c>
      <c r="AR140" s="30">
        <f>IFERROR(__xludf.DUMMYFUNCTION("""COMPUTED_VALUE"""),1.2901379709847758)</f>
        <v>1.290137971</v>
      </c>
      <c r="AS140" s="30">
        <f>IFERROR(__xludf.DUMMYFUNCTION("""COMPUTED_VALUE"""),96.0)</f>
        <v>96</v>
      </c>
      <c r="AT140" s="30">
        <f>IFERROR(__xludf.DUMMYFUNCTION("""COMPUTED_VALUE"""),0.4958052843870312)</f>
        <v>0.4958052844</v>
      </c>
      <c r="AU140" s="30">
        <f>IFERROR(__xludf.DUMMYFUNCTION("""COMPUTED_VALUE"""),3.8761974531277397)</f>
        <v>3.876197453</v>
      </c>
      <c r="AV140" s="32">
        <f>IFERROR(__xludf.DUMMYFUNCTION("""COMPUTED_VALUE"""),93.59624981933385)</f>
        <v>93.59624982</v>
      </c>
      <c r="AW140" s="32">
        <f>IFERROR(__xludf.DUMMYFUNCTION("""COMPUTED_VALUE"""),24.63501669229624)</f>
        <v>24.63501669</v>
      </c>
      <c r="AX140" s="32">
        <f>IFERROR(__xludf.DUMMYFUNCTION("""COMPUTED_VALUE"""),78.61389533735712)</f>
        <v>78.61389534</v>
      </c>
      <c r="AY140" s="32">
        <f>IFERROR(__xludf.DUMMYFUNCTION("""COMPUTED_VALUE"""),7.92414359733925)</f>
        <v>7.924143597</v>
      </c>
      <c r="AZ140" s="30">
        <f>IFERROR(__xludf.DUMMYFUNCTION("""COMPUTED_VALUE"""),16.71087309495699)</f>
        <v>16.71087309</v>
      </c>
      <c r="BA140" s="30">
        <f>IFERROR(__xludf.DUMMYFUNCTION("""COMPUTED_VALUE"""),800.0)</f>
        <v>800</v>
      </c>
    </row>
    <row r="141">
      <c r="A141" s="30" t="str">
        <f>IFERROR(__xludf.DUMMYFUNCTION("""COMPUTED_VALUE"""),"Elite")</f>
        <v>Elite</v>
      </c>
      <c r="B141" s="30" t="str">
        <f>IFERROR(__xludf.DUMMYFUNCTION("""COMPUTED_VALUE"""),"RSC006484")</f>
        <v>RSC006484</v>
      </c>
      <c r="C141" s="30" t="str">
        <f>IFERROR(__xludf.DUMMYFUNCTION("""COMPUTED_VALUE"""),"Sunny.-._")</f>
        <v>Sunny.-._</v>
      </c>
      <c r="D141" s="30" t="str">
        <f>IFERROR(__xludf.DUMMYFUNCTION("""COMPUTED_VALUE"""),"Ghastly Goombahs")</f>
        <v>Ghastly Goombahs</v>
      </c>
      <c r="E141" s="30">
        <f>IFERROR(__xludf.DUMMYFUNCTION("""COMPUTED_VALUE"""),13.0)</f>
        <v>13</v>
      </c>
      <c r="F141" s="30">
        <f>IFERROR(__xludf.DUMMYFUNCTION("""COMPUTED_VALUE"""),2.0)</f>
        <v>2</v>
      </c>
      <c r="G141" s="30">
        <f>IFERROR(__xludf.DUMMYFUNCTION("""COMPUTED_VALUE"""),11.0)</f>
        <v>11</v>
      </c>
      <c r="H141" s="42">
        <f>IFERROR(__xludf.DUMMYFUNCTION("""COMPUTED_VALUE"""),0.15384615384615385)</f>
        <v>0.1538461538</v>
      </c>
      <c r="I141" s="42">
        <f>IFERROR(__xludf.DUMMYFUNCTION("""COMPUTED_VALUE"""),0.2105263157894737)</f>
        <v>0.2105263158</v>
      </c>
      <c r="J141" s="30">
        <f>IFERROR(__xludf.DUMMYFUNCTION("""COMPUTED_VALUE"""),278.3076923076923)</f>
        <v>278.3076923</v>
      </c>
      <c r="K141" s="30">
        <f>IFERROR(__xludf.DUMMYFUNCTION("""COMPUTED_VALUE"""),0.3076923076923077)</f>
        <v>0.3076923077</v>
      </c>
      <c r="L141" s="30">
        <f>IFERROR(__xludf.DUMMYFUNCTION("""COMPUTED_VALUE"""),0.38461538461538464)</f>
        <v>0.3846153846</v>
      </c>
      <c r="M141" s="30">
        <f>IFERROR(__xludf.DUMMYFUNCTION("""COMPUTED_VALUE"""),1.1538461538461537)</f>
        <v>1.153846154</v>
      </c>
      <c r="N141" s="30">
        <f>IFERROR(__xludf.DUMMYFUNCTION("""COMPUTED_VALUE"""),1.4615384615384615)</f>
        <v>1.461538462</v>
      </c>
      <c r="O141" s="30">
        <f>IFERROR(__xludf.DUMMYFUNCTION("""COMPUTED_VALUE"""),386.974358974359)</f>
        <v>386.974359</v>
      </c>
      <c r="P141" s="30">
        <f>IFERROR(__xludf.DUMMYFUNCTION("""COMPUTED_VALUE"""),1.0512820512820513)</f>
        <v>1.051282051</v>
      </c>
      <c r="Q141" s="30">
        <f>IFERROR(__xludf.DUMMYFUNCTION("""COMPUTED_VALUE"""),0.7179487179487178)</f>
        <v>0.7179487179</v>
      </c>
      <c r="R141" s="30">
        <f>IFERROR(__xludf.DUMMYFUNCTION("""COMPUTED_VALUE"""),1.0512820512820513)</f>
        <v>1.051282051</v>
      </c>
      <c r="S141" s="30">
        <f>IFERROR(__xludf.DUMMYFUNCTION("""COMPUTED_VALUE"""),3.2564102564102573)</f>
        <v>3.256410256</v>
      </c>
      <c r="T141" s="30">
        <f>IFERROR(__xludf.DUMMYFUNCTION("""COMPUTED_VALUE"""),381.1599441427027)</f>
        <v>381.1599441</v>
      </c>
      <c r="U141" s="30">
        <f>IFERROR(__xludf.DUMMYFUNCTION("""COMPUTED_VALUE"""),0.858309474688785)</f>
        <v>0.8583094747</v>
      </c>
      <c r="V141" s="30">
        <f>IFERROR(__xludf.DUMMYFUNCTION("""COMPUTED_VALUE"""),0.5840283917870125)</f>
        <v>0.5840283918</v>
      </c>
      <c r="W141" s="30">
        <f>IFERROR(__xludf.DUMMYFUNCTION("""COMPUTED_VALUE"""),1.4970587203345822)</f>
        <v>1.49705872</v>
      </c>
      <c r="X141" s="30">
        <f>IFERROR(__xludf.DUMMYFUNCTION("""COMPUTED_VALUE"""),2.886859500652603)</f>
        <v>2.886859501</v>
      </c>
      <c r="Y141" s="30">
        <f>IFERROR(__xludf.DUMMYFUNCTION("""COMPUTED_VALUE"""),352.9239654236781)</f>
        <v>352.9239654</v>
      </c>
      <c r="Z141" s="30">
        <f>IFERROR(__xludf.DUMMYFUNCTION("""COMPUTED_VALUE"""),0.6768350104557)</f>
        <v>0.6768350105</v>
      </c>
      <c r="AA141" s="30">
        <f>IFERROR(__xludf.DUMMYFUNCTION("""COMPUTED_VALUE"""),0.5117715511393676)</f>
        <v>0.5117715511</v>
      </c>
      <c r="AB141" s="30">
        <f>IFERROR(__xludf.DUMMYFUNCTION("""COMPUTED_VALUE"""),1.4845586618575126)</f>
        <v>1.484558662</v>
      </c>
      <c r="AC141" s="30">
        <f>IFERROR(__xludf.DUMMYFUNCTION("""COMPUTED_VALUE"""),2.570372709453169)</f>
        <v>2.570372709</v>
      </c>
      <c r="AD141" s="30">
        <f>IFERROR(__xludf.DUMMYFUNCTION("""COMPUTED_VALUE"""),0.7885769162023031)</f>
        <v>0.7885769162</v>
      </c>
      <c r="AE141" s="30">
        <f>IFERROR(__xludf.DUMMYFUNCTION("""COMPUTED_VALUE"""),0.454604597780993)</f>
        <v>0.4546045978</v>
      </c>
      <c r="AF141" s="30">
        <f>IFERROR(__xludf.DUMMYFUNCTION("""COMPUTED_VALUE"""),0.7515372508673205)</f>
        <v>0.7515372509</v>
      </c>
      <c r="AG141" s="30">
        <f>IFERROR(__xludf.DUMMYFUNCTION("""COMPUTED_VALUE"""),0.7772317682633274)</f>
        <v>0.7772317683</v>
      </c>
      <c r="AH141" s="30">
        <f>IFERROR(__xludf.DUMMYFUNCTION("""COMPUTED_VALUE"""),0.5686095468424868)</f>
        <v>0.5686095468</v>
      </c>
      <c r="AI141" s="30">
        <f>IFERROR(__xludf.DUMMYFUNCTION("""COMPUTED_VALUE"""),1.0152545274523375)</f>
        <v>1.015254527</v>
      </c>
      <c r="AJ141" s="30">
        <f>IFERROR(__xludf.DUMMYFUNCTION("""COMPUTED_VALUE"""),1.2248286687773502)</f>
        <v>1.224828669</v>
      </c>
      <c r="AK141" s="30">
        <f>IFERROR(__xludf.DUMMYFUNCTION("""COMPUTED_VALUE"""),1.2293044791057766)</f>
        <v>1.229304479</v>
      </c>
      <c r="AL141" s="30">
        <f>IFERROR(__xludf.DUMMYFUNCTION("""COMPUTED_VALUE"""),0.7022316740168328)</f>
        <v>0.702231674</v>
      </c>
      <c r="AM141" s="30">
        <f>IFERROR(__xludf.DUMMYFUNCTION("""COMPUTED_VALUE"""),1.128011340930902)</f>
        <v>1.128011341</v>
      </c>
      <c r="AN141" s="30">
        <f>IFERROR(__xludf.DUMMYFUNCTION("""COMPUTED_VALUE"""),0.7890579493689798)</f>
        <v>0.7890579494</v>
      </c>
      <c r="AO141" s="30">
        <f>IFERROR(__xludf.DUMMYFUNCTION("""COMPUTED_VALUE"""),0.4314330438506496)</f>
        <v>0.4314330439</v>
      </c>
      <c r="AP141" s="30">
        <f>IFERROR(__xludf.DUMMYFUNCTION("""COMPUTED_VALUE"""),0.6688074110645329)</f>
        <v>0.6688074111</v>
      </c>
      <c r="AQ141" s="30">
        <f>IFERROR(__xludf.DUMMYFUNCTION("""COMPUTED_VALUE"""),0.8088549991321993)</f>
        <v>0.8088549991</v>
      </c>
      <c r="AR141" s="30">
        <f>IFERROR(__xludf.DUMMYFUNCTION("""COMPUTED_VALUE"""),0.5801803893185974)</f>
        <v>0.5801803893</v>
      </c>
      <c r="AS141" s="30">
        <f>IFERROR(__xludf.DUMMYFUNCTION("""COMPUTED_VALUE"""),16.0)</f>
        <v>16</v>
      </c>
      <c r="AT141" s="30">
        <f>IFERROR(__xludf.DUMMYFUNCTION("""COMPUTED_VALUE"""),0.1918257871542369)</f>
        <v>0.1918257872</v>
      </c>
      <c r="AU141" s="30">
        <f>IFERROR(__xludf.DUMMYFUNCTION("""COMPUTED_VALUE"""),0.7784940166549883)</f>
        <v>0.7784940167</v>
      </c>
      <c r="AV141" s="32">
        <f>IFERROR(__xludf.DUMMYFUNCTION("""COMPUTED_VALUE"""),6.552458745889446)</f>
        <v>6.552458746</v>
      </c>
      <c r="AW141" s="32">
        <f>IFERROR(__xludf.DUMMYFUNCTION("""COMPUTED_VALUE"""),-24.322572312156538)</f>
        <v>-24.32257231</v>
      </c>
      <c r="AX141" s="32">
        <f>IFERROR(__xludf.DUMMYFUNCTION("""COMPUTED_VALUE"""),18.827802352309387)</f>
        <v>18.82780235</v>
      </c>
      <c r="AY141" s="32">
        <f>IFERROR(__xludf.DUMMYFUNCTION("""COMPUTED_VALUE"""),-9.414484855467027)</f>
        <v>-9.414484855</v>
      </c>
      <c r="AZ141" s="30">
        <f>IFERROR(__xludf.DUMMYFUNCTION("""COMPUTED_VALUE"""),14.908087456689511)</f>
        <v>14.90808746</v>
      </c>
      <c r="BA141" s="30">
        <f>IFERROR(__xludf.DUMMYFUNCTION("""COMPUTED_VALUE"""),800.0)</f>
        <v>800</v>
      </c>
    </row>
    <row r="142">
      <c r="A142" s="30" t="str">
        <f>IFERROR(__xludf.DUMMYFUNCTION("""COMPUTED_VALUE"""),"Elite")</f>
        <v>Elite</v>
      </c>
      <c r="B142" s="30" t="str">
        <f>IFERROR(__xludf.DUMMYFUNCTION("""COMPUTED_VALUE"""),"RSC007260")</f>
        <v>RSC007260</v>
      </c>
      <c r="C142" s="30" t="str">
        <f>IFERROR(__xludf.DUMMYFUNCTION("""COMPUTED_VALUE"""),"Veoloux")</f>
        <v>Veoloux</v>
      </c>
      <c r="D142" s="30" t="str">
        <f>IFERROR(__xludf.DUMMYFUNCTION("""COMPUTED_VALUE"""),"Ghastly Goombahs")</f>
        <v>Ghastly Goombahs</v>
      </c>
      <c r="E142" s="30">
        <f>IFERROR(__xludf.DUMMYFUNCTION("""COMPUTED_VALUE"""),6.0)</f>
        <v>6</v>
      </c>
      <c r="F142" s="30">
        <f>IFERROR(__xludf.DUMMYFUNCTION("""COMPUTED_VALUE"""),2.0)</f>
        <v>2</v>
      </c>
      <c r="G142" s="30">
        <f>IFERROR(__xludf.DUMMYFUNCTION("""COMPUTED_VALUE"""),4.0)</f>
        <v>4</v>
      </c>
      <c r="H142" s="42">
        <f>IFERROR(__xludf.DUMMYFUNCTION("""COMPUTED_VALUE"""),0.3333333333333333)</f>
        <v>0.3333333333</v>
      </c>
      <c r="I142" s="42">
        <f>IFERROR(__xludf.DUMMYFUNCTION("""COMPUTED_VALUE"""),0.1111111111111111)</f>
        <v>0.1111111111</v>
      </c>
      <c r="J142" s="30">
        <f>IFERROR(__xludf.DUMMYFUNCTION("""COMPUTED_VALUE"""),230.0)</f>
        <v>230</v>
      </c>
      <c r="K142" s="30">
        <f>IFERROR(__xludf.DUMMYFUNCTION("""COMPUTED_VALUE"""),0.16666666666666666)</f>
        <v>0.1666666667</v>
      </c>
      <c r="L142" s="30">
        <f>IFERROR(__xludf.DUMMYFUNCTION("""COMPUTED_VALUE"""),0.3333333333333333)</f>
        <v>0.3333333333</v>
      </c>
      <c r="M142" s="30">
        <f>IFERROR(__xludf.DUMMYFUNCTION("""COMPUTED_VALUE"""),1.1666666666666667)</f>
        <v>1.166666667</v>
      </c>
      <c r="N142" s="30">
        <f>IFERROR(__xludf.DUMMYFUNCTION("""COMPUTED_VALUE"""),1.5)</f>
        <v>1.5</v>
      </c>
      <c r="O142" s="30">
        <f>IFERROR(__xludf.DUMMYFUNCTION("""COMPUTED_VALUE"""),362.8888888888889)</f>
        <v>362.8888889</v>
      </c>
      <c r="P142" s="30">
        <f>IFERROR(__xludf.DUMMYFUNCTION("""COMPUTED_VALUE"""),0.6666666666666666)</f>
        <v>0.6666666667</v>
      </c>
      <c r="Q142" s="30">
        <f>IFERROR(__xludf.DUMMYFUNCTION("""COMPUTED_VALUE"""),0.6666666666666666)</f>
        <v>0.6666666667</v>
      </c>
      <c r="R142" s="30">
        <f>IFERROR(__xludf.DUMMYFUNCTION("""COMPUTED_VALUE"""),1.3333333333333333)</f>
        <v>1.333333333</v>
      </c>
      <c r="S142" s="30">
        <f>IFERROR(__xludf.DUMMYFUNCTION("""COMPUTED_VALUE"""),2.7222222222222228)</f>
        <v>2.722222222</v>
      </c>
      <c r="T142" s="30">
        <f>IFERROR(__xludf.DUMMYFUNCTION("""COMPUTED_VALUE"""),370.4244977639599)</f>
        <v>370.4244978</v>
      </c>
      <c r="U142" s="30">
        <f>IFERROR(__xludf.DUMMYFUNCTION("""COMPUTED_VALUE"""),0.8078059708956783)</f>
        <v>0.8078059709</v>
      </c>
      <c r="V142" s="30">
        <f>IFERROR(__xludf.DUMMYFUNCTION("""COMPUTED_VALUE"""),0.5706867250445081)</f>
        <v>0.570686725</v>
      </c>
      <c r="W142" s="30">
        <f>IFERROR(__xludf.DUMMYFUNCTION("""COMPUTED_VALUE"""),1.430294489604398)</f>
        <v>1.43029449</v>
      </c>
      <c r="X142" s="30">
        <f>IFERROR(__xludf.DUMMYFUNCTION("""COMPUTED_VALUE"""),2.8086431099070417)</f>
        <v>2.80864311</v>
      </c>
      <c r="Y142" s="30">
        <f>IFERROR(__xludf.DUMMYFUNCTION("""COMPUTED_VALUE"""),345.69870586874276)</f>
        <v>345.6987059</v>
      </c>
      <c r="Z142" s="30">
        <f>IFERROR(__xludf.DUMMYFUNCTION("""COMPUTED_VALUE"""),0.6401393974692555)</f>
        <v>0.6401393975</v>
      </c>
      <c r="AA142" s="30">
        <f>IFERROR(__xludf.DUMMYFUNCTION("""COMPUTED_VALUE"""),0.4880959135388531)</f>
        <v>0.4880959135</v>
      </c>
      <c r="AB142" s="30">
        <f>IFERROR(__xludf.DUMMYFUNCTION("""COMPUTED_VALUE"""),1.5009747069254)</f>
        <v>1.500974707</v>
      </c>
      <c r="AC142" s="30">
        <f>IFERROR(__xludf.DUMMYFUNCTION("""COMPUTED_VALUE"""),2.455379363562021)</f>
        <v>2.455379364</v>
      </c>
      <c r="AD142" s="30">
        <f>IFERROR(__xludf.DUMMYFUNCTION("""COMPUTED_VALUE"""),0.6653192392549134)</f>
        <v>0.6653192393</v>
      </c>
      <c r="AE142" s="30">
        <f>IFERROR(__xludf.DUMMYFUNCTION("""COMPUTED_VALUE"""),0.2603599580428438)</f>
        <v>0.260359958</v>
      </c>
      <c r="AF142" s="30">
        <f>IFERROR(__xludf.DUMMYFUNCTION("""COMPUTED_VALUE"""),0.6829258842110743)</f>
        <v>0.6829258842</v>
      </c>
      <c r="AG142" s="30">
        <f>IFERROR(__xludf.DUMMYFUNCTION("""COMPUTED_VALUE"""),0.7772727023871504)</f>
        <v>0.7772727024</v>
      </c>
      <c r="AH142" s="30">
        <f>IFERROR(__xludf.DUMMYFUNCTION("""COMPUTED_VALUE"""),0.6109035623008368)</f>
        <v>0.6109035623</v>
      </c>
      <c r="AI142" s="30">
        <f>IFERROR(__xludf.DUMMYFUNCTION("""COMPUTED_VALUE"""),0.9796568290689219)</f>
        <v>0.9796568291</v>
      </c>
      <c r="AJ142" s="30">
        <f>IFERROR(__xludf.DUMMYFUNCTION("""COMPUTED_VALUE"""),0.8252806870534525)</f>
        <v>0.8252806871</v>
      </c>
      <c r="AK142" s="30">
        <f>IFERROR(__xludf.DUMMYFUNCTION("""COMPUTED_VALUE"""),1.1681832385617048)</f>
        <v>1.168183239</v>
      </c>
      <c r="AL142" s="30">
        <f>IFERROR(__xludf.DUMMYFUNCTION("""COMPUTED_VALUE"""),0.9322089562843222)</f>
        <v>0.9322089563</v>
      </c>
      <c r="AM142" s="30">
        <f>IFERROR(__xludf.DUMMYFUNCTION("""COMPUTED_VALUE"""),0.9692303776937757)</f>
        <v>0.9692303777</v>
      </c>
      <c r="AN142" s="30">
        <f>IFERROR(__xludf.DUMMYFUNCTION("""COMPUTED_VALUE"""),0.6520959835857516)</f>
        <v>0.6520959836</v>
      </c>
      <c r="AO142" s="30">
        <f>IFERROR(__xludf.DUMMYFUNCTION("""COMPUTED_VALUE"""),0.2336928987524352)</f>
        <v>0.2336928988</v>
      </c>
      <c r="AP142" s="30">
        <f>IFERROR(__xludf.DUMMYFUNCTION("""COMPUTED_VALUE"""),0.5796330895892619)</f>
        <v>0.5796330896</v>
      </c>
      <c r="AQ142" s="30">
        <f>IFERROR(__xludf.DUMMYFUNCTION("""COMPUTED_VALUE"""),0.817842276900335)</f>
        <v>0.8178422769</v>
      </c>
      <c r="AR142" s="30">
        <f>IFERROR(__xludf.DUMMYFUNCTION("""COMPUTED_VALUE"""),0.5954482943006657)</f>
        <v>0.5954482943</v>
      </c>
      <c r="AS142" s="30">
        <f>IFERROR(__xludf.DUMMYFUNCTION("""COMPUTED_VALUE"""),7.0)</f>
        <v>7</v>
      </c>
      <c r="AT142" s="30">
        <f>IFERROR(__xludf.DUMMYFUNCTION("""COMPUTED_VALUE"""),0.3207469495151578)</f>
        <v>0.3207469495</v>
      </c>
      <c r="AU142" s="30">
        <f>IFERROR(__xludf.DUMMYFUNCTION("""COMPUTED_VALUE"""),0.6318398406374481)</f>
        <v>0.6318398406</v>
      </c>
      <c r="AV142" s="32">
        <f>IFERROR(__xludf.DUMMYFUNCTION("""COMPUTED_VALUE"""),2.431555722372657)</f>
        <v>2.431555722</v>
      </c>
      <c r="AW142" s="32">
        <f>IFERROR(__xludf.DUMMYFUNCTION("""COMPUTED_VALUE"""),-35.041752665539306)</f>
        <v>-35.04175267</v>
      </c>
      <c r="AX142" s="32">
        <f>IFERROR(__xludf.DUMMYFUNCTION("""COMPUTED_VALUE"""),8.646205847232288)</f>
        <v>8.646205847</v>
      </c>
      <c r="AY142" s="32">
        <f>IFERROR(__xludf.DUMMYFUNCTION("""COMPUTED_VALUE"""),-20.38804976414448)</f>
        <v>-20.38804976</v>
      </c>
      <c r="AZ142" s="30">
        <f>IFERROR(__xludf.DUMMYFUNCTION("""COMPUTED_VALUE"""),14.653702901394826)</f>
        <v>14.6537029</v>
      </c>
      <c r="BA142" s="30">
        <f>IFERROR(__xludf.DUMMYFUNCTION("""COMPUTED_VALUE"""),800.0)</f>
        <v>800</v>
      </c>
    </row>
    <row r="143">
      <c r="A143" s="30" t="str">
        <f>IFERROR(__xludf.DUMMYFUNCTION("""COMPUTED_VALUE"""),"Elite")</f>
        <v>Elite</v>
      </c>
      <c r="B143" s="30" t="str">
        <f>IFERROR(__xludf.DUMMYFUNCTION("""COMPUTED_VALUE"""),"RSC007470")</f>
        <v>RSC007470</v>
      </c>
      <c r="C143" s="30" t="str">
        <f>IFERROR(__xludf.DUMMYFUNCTION("""COMPUTED_VALUE"""),"Fused Gavin")</f>
        <v>Fused Gavin</v>
      </c>
      <c r="D143" s="30" t="str">
        <f>IFERROR(__xludf.DUMMYFUNCTION("""COMPUTED_VALUE"""),"Loonie")</f>
        <v>Loonie</v>
      </c>
      <c r="E143" s="30">
        <f>IFERROR(__xludf.DUMMYFUNCTION("""COMPUTED_VALUE"""),28.0)</f>
        <v>28</v>
      </c>
      <c r="F143" s="30">
        <f>IFERROR(__xludf.DUMMYFUNCTION("""COMPUTED_VALUE"""),7.0)</f>
        <v>7</v>
      </c>
      <c r="G143" s="30">
        <f>IFERROR(__xludf.DUMMYFUNCTION("""COMPUTED_VALUE"""),21.0)</f>
        <v>21</v>
      </c>
      <c r="H143" s="42">
        <f>IFERROR(__xludf.DUMMYFUNCTION("""COMPUTED_VALUE"""),0.25)</f>
        <v>0.25</v>
      </c>
      <c r="I143" s="42">
        <f>IFERROR(__xludf.DUMMYFUNCTION("""COMPUTED_VALUE"""),0.21951219512195125)</f>
        <v>0.2195121951</v>
      </c>
      <c r="J143" s="30">
        <f>IFERROR(__xludf.DUMMYFUNCTION("""COMPUTED_VALUE"""),284.7857142857143)</f>
        <v>284.7857143</v>
      </c>
      <c r="K143" s="30">
        <f>IFERROR(__xludf.DUMMYFUNCTION("""COMPUTED_VALUE"""),0.32142857142857145)</f>
        <v>0.3214285714</v>
      </c>
      <c r="L143" s="30">
        <f>IFERROR(__xludf.DUMMYFUNCTION("""COMPUTED_VALUE"""),0.25)</f>
        <v>0.25</v>
      </c>
      <c r="M143" s="30">
        <f>IFERROR(__xludf.DUMMYFUNCTION("""COMPUTED_VALUE"""),1.5714285714285714)</f>
        <v>1.571428571</v>
      </c>
      <c r="N143" s="30">
        <f>IFERROR(__xludf.DUMMYFUNCTION("""COMPUTED_VALUE"""),1.4642857142857142)</f>
        <v>1.464285714</v>
      </c>
      <c r="O143" s="30">
        <f>IFERROR(__xludf.DUMMYFUNCTION("""COMPUTED_VALUE"""),401.9523809523811)</f>
        <v>401.952381</v>
      </c>
      <c r="P143" s="30">
        <f>IFERROR(__xludf.DUMMYFUNCTION("""COMPUTED_VALUE"""),1.0476190476190474)</f>
        <v>1.047619048</v>
      </c>
      <c r="Q143" s="30">
        <f>IFERROR(__xludf.DUMMYFUNCTION("""COMPUTED_VALUE"""),0.8928571428571426)</f>
        <v>0.8928571429</v>
      </c>
      <c r="R143" s="30">
        <f>IFERROR(__xludf.DUMMYFUNCTION("""COMPUTED_VALUE"""),1.2976190476190477)</f>
        <v>1.297619048</v>
      </c>
      <c r="S143" s="30">
        <f>IFERROR(__xludf.DUMMYFUNCTION("""COMPUTED_VALUE"""),3.130952380952381)</f>
        <v>3.130952381</v>
      </c>
      <c r="T143" s="30">
        <f>IFERROR(__xludf.DUMMYFUNCTION("""COMPUTED_VALUE"""),388.5284159967132)</f>
        <v>388.528416</v>
      </c>
      <c r="U143" s="30">
        <f>IFERROR(__xludf.DUMMYFUNCTION("""COMPUTED_VALUE"""),0.931296367024575)</f>
        <v>0.931296367</v>
      </c>
      <c r="V143" s="30">
        <f>IFERROR(__xludf.DUMMYFUNCTION("""COMPUTED_VALUE"""),0.6516922984644294)</f>
        <v>0.6516922985</v>
      </c>
      <c r="W143" s="30">
        <f>IFERROR(__xludf.DUMMYFUNCTION("""COMPUTED_VALUE"""),1.3780386126641004)</f>
        <v>1.378038613</v>
      </c>
      <c r="X143" s="30">
        <f>IFERROR(__xludf.DUMMYFUNCTION("""COMPUTED_VALUE"""),2.8832872909672176)</f>
        <v>2.883287291</v>
      </c>
      <c r="Y143" s="30">
        <f>IFERROR(__xludf.DUMMYFUNCTION("""COMPUTED_VALUE"""),346.9242685000603)</f>
        <v>346.9242685</v>
      </c>
      <c r="Z143" s="30">
        <f>IFERROR(__xludf.DUMMYFUNCTION("""COMPUTED_VALUE"""),0.6838164516471255)</f>
        <v>0.6838164516</v>
      </c>
      <c r="AA143" s="30">
        <f>IFERROR(__xludf.DUMMYFUNCTION("""COMPUTED_VALUE"""),0.4822816199406318)</f>
        <v>0.4822816199</v>
      </c>
      <c r="AB143" s="30">
        <f>IFERROR(__xludf.DUMMYFUNCTION("""COMPUTED_VALUE"""),1.4598144850329664)</f>
        <v>1.459814485</v>
      </c>
      <c r="AC143" s="30">
        <f>IFERROR(__xludf.DUMMYFUNCTION("""COMPUTED_VALUE"""),2.4375868218495986)</f>
        <v>2.437586822</v>
      </c>
      <c r="AD143" s="30">
        <f>IFERROR(__xludf.DUMMYFUNCTION("""COMPUTED_VALUE"""),0.8208872660220505)</f>
        <v>0.820887266</v>
      </c>
      <c r="AE143" s="30">
        <f>IFERROR(__xludf.DUMMYFUNCTION("""COMPUTED_VALUE"""),0.470050948107988)</f>
        <v>0.4700509481</v>
      </c>
      <c r="AF143" s="30">
        <f>IFERROR(__xludf.DUMMYFUNCTION("""COMPUTED_VALUE"""),0.518369329585429)</f>
        <v>0.5183693296</v>
      </c>
      <c r="AG143" s="30">
        <f>IFERROR(__xludf.DUMMYFUNCTION("""COMPUTED_VALUE"""),1.076457719484188)</f>
        <v>1.076457719</v>
      </c>
      <c r="AH143" s="30">
        <f>IFERROR(__xludf.DUMMYFUNCTION("""COMPUTED_VALUE"""),0.6007112038678645)</f>
        <v>0.6007112039</v>
      </c>
      <c r="AI143" s="30">
        <f>IFERROR(__xludf.DUMMYFUNCTION("""COMPUTED_VALUE"""),1.0345507932057703)</f>
        <v>1.034550793</v>
      </c>
      <c r="AJ143" s="30">
        <f>IFERROR(__xludf.DUMMYFUNCTION("""COMPUTED_VALUE"""),1.1249040420571113)</f>
        <v>1.124904042</v>
      </c>
      <c r="AK143" s="30">
        <f>IFERROR(__xludf.DUMMYFUNCTION("""COMPUTED_VALUE"""),1.370059374586696)</f>
        <v>1.370059375</v>
      </c>
      <c r="AL143" s="30">
        <f>IFERROR(__xludf.DUMMYFUNCTION("""COMPUTED_VALUE"""),0.9416420089350173)</f>
        <v>0.9416420089</v>
      </c>
      <c r="AM143" s="30">
        <f>IFERROR(__xludf.DUMMYFUNCTION("""COMPUTED_VALUE"""),1.0858967785697424)</f>
        <v>1.085896779</v>
      </c>
      <c r="AN143" s="30">
        <f>IFERROR(__xludf.DUMMYFUNCTION("""COMPUTED_VALUE"""),0.8074244368187551)</f>
        <v>0.8074244368</v>
      </c>
      <c r="AO143" s="30">
        <f>IFERROR(__xludf.DUMMYFUNCTION("""COMPUTED_VALUE"""),0.4506934475939822)</f>
        <v>0.4506934476</v>
      </c>
      <c r="AP143" s="30">
        <f>IFERROR(__xludf.DUMMYFUNCTION("""COMPUTED_VALUE"""),0.4347248171919464)</f>
        <v>0.4347248172</v>
      </c>
      <c r="AQ143" s="30">
        <f>IFERROR(__xludf.DUMMYFUNCTION("""COMPUTED_VALUE"""),1.1015834750086144)</f>
        <v>1.101583475</v>
      </c>
      <c r="AR143" s="30">
        <f>IFERROR(__xludf.DUMMYFUNCTION("""COMPUTED_VALUE"""),0.5812709539601737)</f>
        <v>0.581270954</v>
      </c>
      <c r="AS143" s="30">
        <f>IFERROR(__xludf.DUMMYFUNCTION("""COMPUTED_VALUE"""),40.0)</f>
        <v>40</v>
      </c>
      <c r="AT143" s="30">
        <f>IFERROR(__xludf.DUMMYFUNCTION("""COMPUTED_VALUE"""),0.2280089751566774)</f>
        <v>0.2280089752</v>
      </c>
      <c r="AU143" s="30">
        <f>IFERROR(__xludf.DUMMYFUNCTION("""COMPUTED_VALUE"""),0.6893152067719236)</f>
        <v>0.6893152068</v>
      </c>
      <c r="AV143" s="32">
        <f>IFERROR(__xludf.DUMMYFUNCTION("""COMPUTED_VALUE"""),4.046582423371383)</f>
        <v>4.046582423</v>
      </c>
      <c r="AW143" s="32">
        <f>IFERROR(__xludf.DUMMYFUNCTION("""COMPUTED_VALUE"""),-30.283637755798537)</f>
        <v>-30.28363776</v>
      </c>
      <c r="AX143" s="32">
        <f>IFERROR(__xludf.DUMMYFUNCTION("""COMPUTED_VALUE"""),10.685966918323402)</f>
        <v>10.68596692</v>
      </c>
      <c r="AY143" s="32">
        <f>IFERROR(__xludf.DUMMYFUNCTION("""COMPUTED_VALUE"""),-17.268110758777688)</f>
        <v>-17.26811076</v>
      </c>
      <c r="AZ143" s="30">
        <f>IFERROR(__xludf.DUMMYFUNCTION("""COMPUTED_VALUE"""),13.01552699702085)</f>
        <v>13.015527</v>
      </c>
      <c r="BA143" s="30">
        <f>IFERROR(__xludf.DUMMYFUNCTION("""COMPUTED_VALUE"""),800.0)</f>
        <v>800</v>
      </c>
    </row>
    <row r="144">
      <c r="A144" s="30" t="str">
        <f>IFERROR(__xludf.DUMMYFUNCTION("""COMPUTED_VALUE"""),"Elite")</f>
        <v>Elite</v>
      </c>
      <c r="B144" s="30" t="str">
        <f>IFERROR(__xludf.DUMMYFUNCTION("""COMPUTED_VALUE"""),"RSC006838")</f>
        <v>RSC006838</v>
      </c>
      <c r="C144" s="30" t="str">
        <f>IFERROR(__xludf.DUMMYFUNCTION("""COMPUTED_VALUE"""),"ZachOff")</f>
        <v>ZachOff</v>
      </c>
      <c r="D144" s="30" t="str">
        <f>IFERROR(__xludf.DUMMYFUNCTION("""COMPUTED_VALUE"""),"Great Whites")</f>
        <v>Great Whites</v>
      </c>
      <c r="E144" s="30">
        <f>IFERROR(__xludf.DUMMYFUNCTION("""COMPUTED_VALUE"""),32.0)</f>
        <v>32</v>
      </c>
      <c r="F144" s="30">
        <f>IFERROR(__xludf.DUMMYFUNCTION("""COMPUTED_VALUE"""),25.0)</f>
        <v>25</v>
      </c>
      <c r="G144" s="30">
        <f>IFERROR(__xludf.DUMMYFUNCTION("""COMPUTED_VALUE"""),7.0)</f>
        <v>7</v>
      </c>
      <c r="H144" s="42">
        <f>IFERROR(__xludf.DUMMYFUNCTION("""COMPUTED_VALUE"""),0.78125)</f>
        <v>0.78125</v>
      </c>
      <c r="I144" s="42">
        <f>IFERROR(__xludf.DUMMYFUNCTION("""COMPUTED_VALUE"""),0.33636363636363636)</f>
        <v>0.3363636364</v>
      </c>
      <c r="J144" s="30">
        <f>IFERROR(__xludf.DUMMYFUNCTION("""COMPUTED_VALUE"""),408.21875)</f>
        <v>408.21875</v>
      </c>
      <c r="K144" s="30">
        <f>IFERROR(__xludf.DUMMYFUNCTION("""COMPUTED_VALUE"""),1.15625)</f>
        <v>1.15625</v>
      </c>
      <c r="L144" s="30">
        <f>IFERROR(__xludf.DUMMYFUNCTION("""COMPUTED_VALUE"""),0.71875)</f>
        <v>0.71875</v>
      </c>
      <c r="M144" s="30">
        <f>IFERROR(__xludf.DUMMYFUNCTION("""COMPUTED_VALUE"""),1.28125)</f>
        <v>1.28125</v>
      </c>
      <c r="N144" s="30">
        <f>IFERROR(__xludf.DUMMYFUNCTION("""COMPUTED_VALUE"""),3.4375)</f>
        <v>3.4375</v>
      </c>
      <c r="O144" s="30">
        <f>IFERROR(__xludf.DUMMYFUNCTION("""COMPUTED_VALUE"""),304.375)</f>
        <v>304.375</v>
      </c>
      <c r="P144" s="30">
        <f>IFERROR(__xludf.DUMMYFUNCTION("""COMPUTED_VALUE"""),0.4583333333333333)</f>
        <v>0.4583333333</v>
      </c>
      <c r="Q144" s="30">
        <f>IFERROR(__xludf.DUMMYFUNCTION("""COMPUTED_VALUE"""),0.3541666666666667)</f>
        <v>0.3541666667</v>
      </c>
      <c r="R144" s="30">
        <f>IFERROR(__xludf.DUMMYFUNCTION("""COMPUTED_VALUE"""),1.458333333333333)</f>
        <v>1.458333333</v>
      </c>
      <c r="S144" s="30">
        <f>IFERROR(__xludf.DUMMYFUNCTION("""COMPUTED_VALUE"""),2.09375)</f>
        <v>2.09375</v>
      </c>
      <c r="T144" s="30">
        <f>IFERROR(__xludf.DUMMYFUNCTION("""COMPUTED_VALUE"""),355.5493089746832)</f>
        <v>355.549309</v>
      </c>
      <c r="U144" s="30">
        <f>IFERROR(__xludf.DUMMYFUNCTION("""COMPUTED_VALUE"""),0.7046543598523222)</f>
        <v>0.7046543599</v>
      </c>
      <c r="V144" s="30">
        <f>IFERROR(__xludf.DUMMYFUNCTION("""COMPUTED_VALUE"""),0.5039786090206272)</f>
        <v>0.503978609</v>
      </c>
      <c r="W144" s="30">
        <f>IFERROR(__xludf.DUMMYFUNCTION("""COMPUTED_VALUE"""),1.5120499910012872)</f>
        <v>1.512049991</v>
      </c>
      <c r="X144" s="30">
        <f>IFERROR(__xludf.DUMMYFUNCTION("""COMPUTED_VALUE"""),2.603919035545697)</f>
        <v>2.603919036</v>
      </c>
      <c r="Y144" s="30">
        <f>IFERROR(__xludf.DUMMYFUNCTION("""COMPUTED_VALUE"""),378.7951155114175)</f>
        <v>378.7951155</v>
      </c>
      <c r="Z144" s="30">
        <f>IFERROR(__xludf.DUMMYFUNCTION("""COMPUTED_VALUE"""),0.8431964259840503)</f>
        <v>0.843196426</v>
      </c>
      <c r="AA144" s="30">
        <f>IFERROR(__xludf.DUMMYFUNCTION("""COMPUTED_VALUE"""),0.6656267267566366)</f>
        <v>0.6656267268</v>
      </c>
      <c r="AB144" s="30">
        <f>IFERROR(__xludf.DUMMYFUNCTION("""COMPUTED_VALUE"""),1.466986288256997)</f>
        <v>1.466986288</v>
      </c>
      <c r="AC144" s="30">
        <f>IFERROR(__xludf.DUMMYFUNCTION("""COMPUTED_VALUE"""),2.8487199316128833)</f>
        <v>2.848719932</v>
      </c>
      <c r="AD144" s="30">
        <f>IFERROR(__xludf.DUMMYFUNCTION("""COMPUTED_VALUE"""),1.077676911036345)</f>
        <v>1.077676911</v>
      </c>
      <c r="AE144" s="30">
        <f>IFERROR(__xludf.DUMMYFUNCTION("""COMPUTED_VALUE"""),1.3712700438104932)</f>
        <v>1.371270044</v>
      </c>
      <c r="AF144" s="30">
        <f>IFERROR(__xludf.DUMMYFUNCTION("""COMPUTED_VALUE"""),1.0798094053437644)</f>
        <v>1.079809405</v>
      </c>
      <c r="AG144" s="30">
        <f>IFERROR(__xludf.DUMMYFUNCTION("""COMPUTED_VALUE"""),0.8733892131482156)</f>
        <v>0.8733892131</v>
      </c>
      <c r="AH144" s="30">
        <f>IFERROR(__xludf.DUMMYFUNCTION("""COMPUTED_VALUE"""),1.2066823283866175)</f>
        <v>1.206682328</v>
      </c>
      <c r="AI144" s="30">
        <f>IFERROR(__xludf.DUMMYFUNCTION("""COMPUTED_VALUE"""),0.8560697273684561)</f>
        <v>0.8560697274</v>
      </c>
      <c r="AJ144" s="30">
        <f>IFERROR(__xludf.DUMMYFUNCTION("""COMPUTED_VALUE"""),0.6504370929165733)</f>
        <v>0.6504370929</v>
      </c>
      <c r="AK144" s="30">
        <f>IFERROR(__xludf.DUMMYFUNCTION("""COMPUTED_VALUE"""),0.7027414662596744)</f>
        <v>0.7027414663</v>
      </c>
      <c r="AL144" s="30">
        <f>IFERROR(__xludf.DUMMYFUNCTION("""COMPUTED_VALUE"""),0.9644742845887108)</f>
        <v>0.9644742846</v>
      </c>
      <c r="AM144" s="30">
        <f>IFERROR(__xludf.DUMMYFUNCTION("""COMPUTED_VALUE"""),0.8040764599123635)</f>
        <v>0.8040764599</v>
      </c>
      <c r="AN144" s="30">
        <f>IFERROR(__xludf.DUMMYFUNCTION("""COMPUTED_VALUE"""),1.1573817708669394)</f>
        <v>1.157381771</v>
      </c>
      <c r="AO144" s="30">
        <f>IFERROR(__xludf.DUMMYFUNCTION("""COMPUTED_VALUE"""),1.6212444850950194)</f>
        <v>1.621244485</v>
      </c>
      <c r="AP144" s="30">
        <f>IFERROR(__xludf.DUMMYFUNCTION("""COMPUTED_VALUE"""),1.2498338494268457)</f>
        <v>1.249833849</v>
      </c>
      <c r="AQ144" s="30">
        <f>IFERROR(__xludf.DUMMYFUNCTION("""COMPUTED_VALUE"""),0.8981660719530463)</f>
        <v>0.898166072</v>
      </c>
      <c r="AR144" s="30">
        <f>IFERROR(__xludf.DUMMYFUNCTION("""COMPUTED_VALUE"""),1.364569007772359)</f>
        <v>1.364569008</v>
      </c>
      <c r="AS144" s="30">
        <f>IFERROR(__xludf.DUMMYFUNCTION("""COMPUTED_VALUE"""),91.0)</f>
        <v>91</v>
      </c>
      <c r="AT144" s="30">
        <f>IFERROR(__xludf.DUMMYFUNCTION("""COMPUTED_VALUE"""),0.7499622703326008)</f>
        <v>0.7499622703</v>
      </c>
      <c r="AU144" s="30">
        <f>IFERROR(__xludf.DUMMYFUNCTION("""COMPUTED_VALUE"""),3.8710799980837796)</f>
        <v>3.871079998</v>
      </c>
      <c r="AV144" s="32">
        <f>IFERROR(__xludf.DUMMYFUNCTION("""COMPUTED_VALUE"""),93.45245210053692)</f>
        <v>93.4524521</v>
      </c>
      <c r="AW144" s="32">
        <f>IFERROR(__xludf.DUMMYFUNCTION("""COMPUTED_VALUE"""),24.332814762203647)</f>
        <v>24.33281476</v>
      </c>
      <c r="AX144" s="32">
        <f>IFERROR(__xludf.DUMMYFUNCTION("""COMPUTED_VALUE"""),84.29593222873837)</f>
        <v>84.29593223</v>
      </c>
      <c r="AY144" s="32">
        <f>IFERROR(__xludf.DUMMYFUNCTION("""COMPUTED_VALUE"""),11.75681525381427)</f>
        <v>11.75681525</v>
      </c>
      <c r="AZ144" s="30">
        <f>IFERROR(__xludf.DUMMYFUNCTION("""COMPUTED_VALUE"""),12.575999508389376)</f>
        <v>12.57599951</v>
      </c>
      <c r="BA144" s="30">
        <f>IFERROR(__xludf.DUMMYFUNCTION("""COMPUTED_VALUE"""),800.0)</f>
        <v>800</v>
      </c>
    </row>
    <row r="145">
      <c r="A145" s="30" t="str">
        <f>IFERROR(__xludf.DUMMYFUNCTION("""COMPUTED_VALUE"""),"Elite")</f>
        <v>Elite</v>
      </c>
      <c r="B145" s="30" t="str">
        <f>IFERROR(__xludf.DUMMYFUNCTION("""COMPUTED_VALUE"""),"RSC007882")</f>
        <v>RSC007882</v>
      </c>
      <c r="C145" s="30" t="str">
        <f>IFERROR(__xludf.DUMMYFUNCTION("""COMPUTED_VALUE"""),"mirage")</f>
        <v>mirage</v>
      </c>
      <c r="D145" s="30"/>
      <c r="E145" s="30">
        <f>IFERROR(__xludf.DUMMYFUNCTION("""COMPUTED_VALUE"""),8.0)</f>
        <v>8</v>
      </c>
      <c r="F145" s="30">
        <f>IFERROR(__xludf.DUMMYFUNCTION("""COMPUTED_VALUE"""),6.0)</f>
        <v>6</v>
      </c>
      <c r="G145" s="30">
        <f>IFERROR(__xludf.DUMMYFUNCTION("""COMPUTED_VALUE"""),2.0)</f>
        <v>2</v>
      </c>
      <c r="H145" s="42">
        <f>IFERROR(__xludf.DUMMYFUNCTION("""COMPUTED_VALUE"""),0.75)</f>
        <v>0.75</v>
      </c>
      <c r="I145" s="42">
        <f>IFERROR(__xludf.DUMMYFUNCTION("""COMPUTED_VALUE"""),0.4166666666666667)</f>
        <v>0.4166666667</v>
      </c>
      <c r="J145" s="30">
        <f>IFERROR(__xludf.DUMMYFUNCTION("""COMPUTED_VALUE"""),471.5)</f>
        <v>471.5</v>
      </c>
      <c r="K145" s="30">
        <f>IFERROR(__xludf.DUMMYFUNCTION("""COMPUTED_VALUE"""),1.25)</f>
        <v>1.25</v>
      </c>
      <c r="L145" s="30">
        <f>IFERROR(__xludf.DUMMYFUNCTION("""COMPUTED_VALUE"""),0.5)</f>
        <v>0.5</v>
      </c>
      <c r="M145" s="30">
        <f>IFERROR(__xludf.DUMMYFUNCTION("""COMPUTED_VALUE"""),1.625)</f>
        <v>1.625</v>
      </c>
      <c r="N145" s="30">
        <f>IFERROR(__xludf.DUMMYFUNCTION("""COMPUTED_VALUE"""),3.0)</f>
        <v>3</v>
      </c>
      <c r="O145" s="30">
        <f>IFERROR(__xludf.DUMMYFUNCTION("""COMPUTED_VALUE"""),324.5)</f>
        <v>324.5</v>
      </c>
      <c r="P145" s="30">
        <f>IFERROR(__xludf.DUMMYFUNCTION("""COMPUTED_VALUE"""),0.5)</f>
        <v>0.5</v>
      </c>
      <c r="Q145" s="30">
        <f>IFERROR(__xludf.DUMMYFUNCTION("""COMPUTED_VALUE"""),0.3333333333333333)</f>
        <v>0.3333333333</v>
      </c>
      <c r="R145" s="30">
        <f>IFERROR(__xludf.DUMMYFUNCTION("""COMPUTED_VALUE"""),1.3333333333333335)</f>
        <v>1.333333333</v>
      </c>
      <c r="S145" s="30">
        <f>IFERROR(__xludf.DUMMYFUNCTION("""COMPUTED_VALUE"""),2.2916666666666665)</f>
        <v>2.291666667</v>
      </c>
      <c r="T145" s="30">
        <f>IFERROR(__xludf.DUMMYFUNCTION("""COMPUTED_VALUE"""),335.6006783460511)</f>
        <v>335.6006783</v>
      </c>
      <c r="U145" s="30">
        <f>IFERROR(__xludf.DUMMYFUNCTION("""COMPUTED_VALUE"""),0.6167304565504362)</f>
        <v>0.6167304566</v>
      </c>
      <c r="V145" s="30">
        <f>IFERROR(__xludf.DUMMYFUNCTION("""COMPUTED_VALUE"""),0.40424575002414753)</f>
        <v>0.40424575</v>
      </c>
      <c r="W145" s="30">
        <f>IFERROR(__xludf.DUMMYFUNCTION("""COMPUTED_VALUE"""),1.5044793779580798)</f>
        <v>1.504479378</v>
      </c>
      <c r="X145" s="30">
        <f>IFERROR(__xludf.DUMMYFUNCTION("""COMPUTED_VALUE"""),2.433722914453138)</f>
        <v>2.433722914</v>
      </c>
      <c r="Y145" s="30">
        <f>IFERROR(__xludf.DUMMYFUNCTION("""COMPUTED_VALUE"""),379.6929979367226)</f>
        <v>379.6929979</v>
      </c>
      <c r="Z145" s="30">
        <f>IFERROR(__xludf.DUMMYFUNCTION("""COMPUTED_VALUE"""),0.8978945984524076)</f>
        <v>0.8978945985</v>
      </c>
      <c r="AA145" s="30">
        <f>IFERROR(__xludf.DUMMYFUNCTION("""COMPUTED_VALUE"""),0.7080415499533145)</f>
        <v>0.70804155</v>
      </c>
      <c r="AB145" s="30">
        <f>IFERROR(__xludf.DUMMYFUNCTION("""COMPUTED_VALUE"""),1.4086949434946392)</f>
        <v>1.408694943</v>
      </c>
      <c r="AC145" s="30">
        <f>IFERROR(__xludf.DUMMYFUNCTION("""COMPUTED_VALUE"""),2.843861682604076)</f>
        <v>2.843861683</v>
      </c>
      <c r="AD145" s="30">
        <f>IFERROR(__xludf.DUMMYFUNCTION("""COMPUTED_VALUE"""),1.2417927182280497)</f>
        <v>1.241792718</v>
      </c>
      <c r="AE145" s="30">
        <f>IFERROR(__xludf.DUMMYFUNCTION("""COMPUTED_VALUE"""),1.3921455838519063)</f>
        <v>1.392145584</v>
      </c>
      <c r="AF145" s="30">
        <f>IFERROR(__xludf.DUMMYFUNCTION("""COMPUTED_VALUE"""),0.7061732465177617)</f>
        <v>0.7061732465</v>
      </c>
      <c r="AG145" s="30">
        <f>IFERROR(__xludf.DUMMYFUNCTION("""COMPUTED_VALUE"""),1.1535499630379584)</f>
        <v>1.153549963</v>
      </c>
      <c r="AH145" s="30">
        <f>IFERROR(__xludf.DUMMYFUNCTION("""COMPUTED_VALUE"""),1.054903625711132)</f>
        <v>1.054903626</v>
      </c>
      <c r="AI145" s="30">
        <f>IFERROR(__xludf.DUMMYFUNCTION("""COMPUTED_VALUE"""),0.966922956172917)</f>
        <v>0.9669229562</v>
      </c>
      <c r="AJ145" s="30">
        <f>IFERROR(__xludf.DUMMYFUNCTION("""COMPUTED_VALUE"""),0.8107269467388627)</f>
        <v>0.8107269467</v>
      </c>
      <c r="AK145" s="30">
        <f>IFERROR(__xludf.DUMMYFUNCTION("""COMPUTED_VALUE"""),0.8245809221579243)</f>
        <v>0.8245809222</v>
      </c>
      <c r="AL145" s="30">
        <f>IFERROR(__xludf.DUMMYFUNCTION("""COMPUTED_VALUE"""),0.8862423459356217)</f>
        <v>0.8862423459</v>
      </c>
      <c r="AM145" s="30">
        <f>IFERROR(__xludf.DUMMYFUNCTION("""COMPUTED_VALUE"""),0.9416300652211298)</f>
        <v>0.9416300652</v>
      </c>
      <c r="AN145" s="30">
        <f>IFERROR(__xludf.DUMMYFUNCTION("""COMPUTED_VALUE"""),1.3367967663507907)</f>
        <v>1.336796766</v>
      </c>
      <c r="AO145" s="30">
        <f>IFERROR(__xludf.DUMMYFUNCTION("""COMPUTED_VALUE"""),1.752696740643264)</f>
        <v>1.752696741</v>
      </c>
      <c r="AP145" s="30">
        <f>IFERROR(__xludf.DUMMYFUNCTION("""COMPUTED_VALUE"""),0.8694496343838928)</f>
        <v>0.8694496344</v>
      </c>
      <c r="AQ145" s="30">
        <f>IFERROR(__xludf.DUMMYFUNCTION("""COMPUTED_VALUE"""),1.1391374571111808)</f>
        <v>1.139137457</v>
      </c>
      <c r="AR145" s="30">
        <f>IFERROR(__xludf.DUMMYFUNCTION("""COMPUTED_VALUE"""),1.1908965886013314)</f>
        <v>1.190896589</v>
      </c>
      <c r="AS145" s="30">
        <f>IFERROR(__xludf.DUMMYFUNCTION("""COMPUTED_VALUE"""),21.0)</f>
        <v>21</v>
      </c>
      <c r="AT145" s="30">
        <f>IFERROR(__xludf.DUMMYFUNCTION("""COMPUTED_VALUE"""),0.6985619189231526)</f>
        <v>0.6985619189</v>
      </c>
      <c r="AU145" s="30">
        <f>IFERROR(__xludf.DUMMYFUNCTION("""COMPUTED_VALUE"""),3.5445620204095953)</f>
        <v>3.54456202</v>
      </c>
      <c r="AV145" s="32">
        <f>IFERROR(__xludf.DUMMYFUNCTION("""COMPUTED_VALUE"""),84.27747353552692)</f>
        <v>84.27747354</v>
      </c>
      <c r="AW145" s="32">
        <f>IFERROR(__xludf.DUMMYFUNCTION("""COMPUTED_VALUE"""),11.740939807485356)</f>
        <v>11.74093981</v>
      </c>
      <c r="AX145" s="32">
        <f>IFERROR(__xludf.DUMMYFUNCTION("""COMPUTED_VALUE"""),92.8223266032814)</f>
        <v>92.8223266</v>
      </c>
      <c r="AY145" s="32">
        <f>IFERROR(__xludf.DUMMYFUNCTION("""COMPUTED_VALUE"""),23.059482697415383)</f>
        <v>23.0594827</v>
      </c>
      <c r="AZ145" s="30">
        <f>IFERROR(__xludf.DUMMYFUNCTION("""COMPUTED_VALUE"""),11.318542889930027)</f>
        <v>11.31854289</v>
      </c>
      <c r="BA145" s="30">
        <f>IFERROR(__xludf.DUMMYFUNCTION("""COMPUTED_VALUE"""),800.0)</f>
        <v>800</v>
      </c>
    </row>
    <row r="146">
      <c r="A146" s="30" t="str">
        <f>IFERROR(__xludf.DUMMYFUNCTION("""COMPUTED_VALUE"""),"Elite")</f>
        <v>Elite</v>
      </c>
      <c r="B146" s="30" t="str">
        <f>IFERROR(__xludf.DUMMYFUNCTION("""COMPUTED_VALUE"""),"RSC002890")</f>
        <v>RSC002890</v>
      </c>
      <c r="C146" s="30" t="str">
        <f>IFERROR(__xludf.DUMMYFUNCTION("""COMPUTED_VALUE"""),"Myth1ck")</f>
        <v>Myth1ck</v>
      </c>
      <c r="D146" s="30" t="str">
        <f>IFERROR(__xludf.DUMMYFUNCTION("""COMPUTED_VALUE"""),"Black-Holes")</f>
        <v>Black-Holes</v>
      </c>
      <c r="E146" s="30">
        <f>IFERROR(__xludf.DUMMYFUNCTION("""COMPUTED_VALUE"""),36.0)</f>
        <v>36</v>
      </c>
      <c r="F146" s="30">
        <f>IFERROR(__xludf.DUMMYFUNCTION("""COMPUTED_VALUE"""),25.0)</f>
        <v>25</v>
      </c>
      <c r="G146" s="30">
        <f>IFERROR(__xludf.DUMMYFUNCTION("""COMPUTED_VALUE"""),11.0)</f>
        <v>11</v>
      </c>
      <c r="H146" s="42">
        <f>IFERROR(__xludf.DUMMYFUNCTION("""COMPUTED_VALUE"""),0.6944444444444444)</f>
        <v>0.6944444444</v>
      </c>
      <c r="I146" s="42">
        <f>IFERROR(__xludf.DUMMYFUNCTION("""COMPUTED_VALUE"""),0.3333333333333333)</f>
        <v>0.3333333333</v>
      </c>
      <c r="J146" s="30">
        <f>IFERROR(__xludf.DUMMYFUNCTION("""COMPUTED_VALUE"""),398.72222222222223)</f>
        <v>398.7222222</v>
      </c>
      <c r="K146" s="30">
        <f>IFERROR(__xludf.DUMMYFUNCTION("""COMPUTED_VALUE"""),1.1944444444444444)</f>
        <v>1.194444444</v>
      </c>
      <c r="L146" s="30">
        <f>IFERROR(__xludf.DUMMYFUNCTION("""COMPUTED_VALUE"""),0.8055555555555556)</f>
        <v>0.8055555556</v>
      </c>
      <c r="M146" s="30">
        <f>IFERROR(__xludf.DUMMYFUNCTION("""COMPUTED_VALUE"""),1.1111111111111112)</f>
        <v>1.111111111</v>
      </c>
      <c r="N146" s="30">
        <f>IFERROR(__xludf.DUMMYFUNCTION("""COMPUTED_VALUE"""),3.5833333333333335)</f>
        <v>3.583333333</v>
      </c>
      <c r="O146" s="30">
        <f>IFERROR(__xludf.DUMMYFUNCTION("""COMPUTED_VALUE"""),372.1388888888888)</f>
        <v>372.1388889</v>
      </c>
      <c r="P146" s="30">
        <f>IFERROR(__xludf.DUMMYFUNCTION("""COMPUTED_VALUE"""),0.7592592592592592)</f>
        <v>0.7592592593</v>
      </c>
      <c r="Q146" s="30">
        <f>IFERROR(__xludf.DUMMYFUNCTION("""COMPUTED_VALUE"""),0.5277777777777778)</f>
        <v>0.5277777778</v>
      </c>
      <c r="R146" s="30">
        <f>IFERROR(__xludf.DUMMYFUNCTION("""COMPUTED_VALUE"""),1.7222222222222228)</f>
        <v>1.722222222</v>
      </c>
      <c r="S146" s="30">
        <f>IFERROR(__xludf.DUMMYFUNCTION("""COMPUTED_VALUE"""),2.388888888888889)</f>
        <v>2.388888889</v>
      </c>
      <c r="T146" s="30">
        <f>IFERROR(__xludf.DUMMYFUNCTION("""COMPUTED_VALUE"""),346.1856467215035)</f>
        <v>346.1856467</v>
      </c>
      <c r="U146" s="30">
        <f>IFERROR(__xludf.DUMMYFUNCTION("""COMPUTED_VALUE"""),0.7012861413422359)</f>
        <v>0.7012861413</v>
      </c>
      <c r="V146" s="30">
        <f>IFERROR(__xludf.DUMMYFUNCTION("""COMPUTED_VALUE"""),0.5017595238906426)</f>
        <v>0.5017595239</v>
      </c>
      <c r="W146" s="30">
        <f>IFERROR(__xludf.DUMMYFUNCTION("""COMPUTED_VALUE"""),1.45747000952258)</f>
        <v>1.45747001</v>
      </c>
      <c r="X146" s="30">
        <f>IFERROR(__xludf.DUMMYFUNCTION("""COMPUTED_VALUE"""),2.5086663713977146)</f>
        <v>2.508666371</v>
      </c>
      <c r="Y146" s="30">
        <f>IFERROR(__xludf.DUMMYFUNCTION("""COMPUTED_VALUE"""),376.0417835165731)</f>
        <v>376.0417835</v>
      </c>
      <c r="Z146" s="30">
        <f>IFERROR(__xludf.DUMMYFUNCTION("""COMPUTED_VALUE"""),0.8711587579312835)</f>
        <v>0.8711587579</v>
      </c>
      <c r="AA146" s="30">
        <f>IFERROR(__xludf.DUMMYFUNCTION("""COMPUTED_VALUE"""),0.6726654191154672)</f>
        <v>0.6726654191</v>
      </c>
      <c r="AB146" s="30">
        <f>IFERROR(__xludf.DUMMYFUNCTION("""COMPUTED_VALUE"""),1.3685846266681432)</f>
        <v>1.368584627</v>
      </c>
      <c r="AC146" s="30">
        <f>IFERROR(__xludf.DUMMYFUNCTION("""COMPUTED_VALUE"""),2.877565567595406)</f>
        <v>2.877565568</v>
      </c>
      <c r="AD146" s="30">
        <f>IFERROR(__xludf.DUMMYFUNCTION("""COMPUTED_VALUE"""),1.060313613273376)</f>
        <v>1.060313613</v>
      </c>
      <c r="AE146" s="30">
        <f>IFERROR(__xludf.DUMMYFUNCTION("""COMPUTED_VALUE"""),1.3710984749563426)</f>
        <v>1.371098475</v>
      </c>
      <c r="AF146" s="30">
        <f>IFERROR(__xludf.DUMMYFUNCTION("""COMPUTED_VALUE"""),1.1975575563477525)</f>
        <v>1.197557556</v>
      </c>
      <c r="AG146" s="30">
        <f>IFERROR(__xludf.DUMMYFUNCTION("""COMPUTED_VALUE"""),0.8118687653361573)</f>
        <v>0.8118687653</v>
      </c>
      <c r="AH146" s="30">
        <f>IFERROR(__xludf.DUMMYFUNCTION("""COMPUTED_VALUE"""),1.2452655722898756)</f>
        <v>1.245265572</v>
      </c>
      <c r="AI146" s="30">
        <f>IFERROR(__xludf.DUMMYFUNCTION("""COMPUTED_VALUE"""),1.0749691456395474)</f>
        <v>1.074969146</v>
      </c>
      <c r="AJ146" s="30">
        <f>IFERROR(__xludf.DUMMYFUNCTION("""COMPUTED_VALUE"""),1.0826668523722212)</f>
        <v>1.082666852</v>
      </c>
      <c r="AK146" s="30">
        <f>IFERROR(__xludf.DUMMYFUNCTION("""COMPUTED_VALUE"""),1.051854030961664)</f>
        <v>1.051854031</v>
      </c>
      <c r="AL146" s="30">
        <f>IFERROR(__xludf.DUMMYFUNCTION("""COMPUTED_VALUE"""),1.1816519111678785)</f>
        <v>1.181651911</v>
      </c>
      <c r="AM146" s="30">
        <f>IFERROR(__xludf.DUMMYFUNCTION("""COMPUTED_VALUE"""),0.9522545190247473)</f>
        <v>0.952254519</v>
      </c>
      <c r="AN146" s="30">
        <f>IFERROR(__xludf.DUMMYFUNCTION("""COMPUTED_VALUE"""),1.1304572159891157)</f>
        <v>1.130457216</v>
      </c>
      <c r="AO146" s="30">
        <f>IFERROR(__xludf.DUMMYFUNCTION("""COMPUTED_VALUE"""),1.6747991077257858)</f>
        <v>1.674799108</v>
      </c>
      <c r="AP146" s="30">
        <f>IFERROR(__xludf.DUMMYFUNCTION("""COMPUTED_VALUE"""),1.4007799665073828)</f>
        <v>1.400779967</v>
      </c>
      <c r="AQ146" s="30">
        <f>IFERROR(__xludf.DUMMYFUNCTION("""COMPUTED_VALUE"""),0.7788974065717476)</f>
        <v>0.7788974066</v>
      </c>
      <c r="AR146" s="30">
        <f>IFERROR(__xludf.DUMMYFUNCTION("""COMPUTED_VALUE"""),1.4224598141627016)</f>
        <v>1.422459814</v>
      </c>
      <c r="AS146" s="30">
        <f>IFERROR(__xludf.DUMMYFUNCTION("""COMPUTED_VALUE"""),127.0)</f>
        <v>127</v>
      </c>
      <c r="AT146" s="30">
        <f>IFERROR(__xludf.DUMMYFUNCTION("""COMPUTED_VALUE"""),0.6736451969824033)</f>
        <v>0.673645197</v>
      </c>
      <c r="AU146" s="30">
        <f>IFERROR(__xludf.DUMMYFUNCTION("""COMPUTED_VALUE"""),3.6500074935892477)</f>
        <v>3.650007494</v>
      </c>
      <c r="AV146" s="32">
        <f>IFERROR(__xludf.DUMMYFUNCTION("""COMPUTED_VALUE"""),87.24043429833682)</f>
        <v>87.2404343</v>
      </c>
      <c r="AW146" s="32">
        <f>IFERROR(__xludf.DUMMYFUNCTION("""COMPUTED_VALUE"""),14.670837213899294)</f>
        <v>14.67083721</v>
      </c>
      <c r="AX146" s="32">
        <f>IFERROR(__xludf.DUMMYFUNCTION("""COMPUTED_VALUE"""),63.62506194807355)</f>
        <v>63.62506195</v>
      </c>
      <c r="AY146" s="32">
        <f>IFERROR(__xludf.DUMMYFUNCTION("""COMPUTED_VALUE"""),3.4144153792198284)</f>
        <v>3.414415379</v>
      </c>
      <c r="AZ146" s="30">
        <f>IFERROR(__xludf.DUMMYFUNCTION("""COMPUTED_VALUE"""),11.256421834679465)</f>
        <v>11.25642183</v>
      </c>
      <c r="BA146" s="30">
        <f>IFERROR(__xludf.DUMMYFUNCTION("""COMPUTED_VALUE"""),800.0)</f>
        <v>800</v>
      </c>
    </row>
    <row r="147">
      <c r="A147" s="30" t="str">
        <f>IFERROR(__xludf.DUMMYFUNCTION("""COMPUTED_VALUE"""),"Elite")</f>
        <v>Elite</v>
      </c>
      <c r="B147" s="30" t="str">
        <f>IFERROR(__xludf.DUMMYFUNCTION("""COMPUTED_VALUE"""),"RSC006438")</f>
        <v>RSC006438</v>
      </c>
      <c r="C147" s="30" t="str">
        <f>IFERROR(__xludf.DUMMYFUNCTION("""COMPUTED_VALUE"""),"WestyzWorld")</f>
        <v>WestyzWorld</v>
      </c>
      <c r="D147" s="30"/>
      <c r="E147" s="30">
        <f>IFERROR(__xludf.DUMMYFUNCTION("""COMPUTED_VALUE"""),3.0)</f>
        <v>3</v>
      </c>
      <c r="F147" s="30">
        <f>IFERROR(__xludf.DUMMYFUNCTION("""COMPUTED_VALUE"""),0.0)</f>
        <v>0</v>
      </c>
      <c r="G147" s="30">
        <f>IFERROR(__xludf.DUMMYFUNCTION("""COMPUTED_VALUE"""),3.0)</f>
        <v>3</v>
      </c>
      <c r="H147" s="42">
        <f>IFERROR(__xludf.DUMMYFUNCTION("""COMPUTED_VALUE"""),0.0)</f>
        <v>0</v>
      </c>
      <c r="I147" s="42">
        <f>IFERROR(__xludf.DUMMYFUNCTION("""COMPUTED_VALUE"""),0.0)</f>
        <v>0</v>
      </c>
      <c r="J147" s="30">
        <f>IFERROR(__xludf.DUMMYFUNCTION("""COMPUTED_VALUE"""),234.0)</f>
        <v>234</v>
      </c>
      <c r="K147" s="30">
        <f>IFERROR(__xludf.DUMMYFUNCTION("""COMPUTED_VALUE"""),0.0)</f>
        <v>0</v>
      </c>
      <c r="L147" s="30">
        <f>IFERROR(__xludf.DUMMYFUNCTION("""COMPUTED_VALUE"""),1.0)</f>
        <v>1</v>
      </c>
      <c r="M147" s="30">
        <f>IFERROR(__xludf.DUMMYFUNCTION("""COMPUTED_VALUE"""),0.6666666666666666)</f>
        <v>0.6666666667</v>
      </c>
      <c r="N147" s="30">
        <f>IFERROR(__xludf.DUMMYFUNCTION("""COMPUTED_VALUE"""),2.0)</f>
        <v>2</v>
      </c>
      <c r="O147" s="30">
        <f>IFERROR(__xludf.DUMMYFUNCTION("""COMPUTED_VALUE"""),368.5555555555556)</f>
        <v>368.5555556</v>
      </c>
      <c r="P147" s="30">
        <f>IFERROR(__xludf.DUMMYFUNCTION("""COMPUTED_VALUE"""),1.111111111111111)</f>
        <v>1.111111111</v>
      </c>
      <c r="Q147" s="30">
        <f>IFERROR(__xludf.DUMMYFUNCTION("""COMPUTED_VALUE"""),0.8888888888888888)</f>
        <v>0.8888888889</v>
      </c>
      <c r="R147" s="30">
        <f>IFERROR(__xludf.DUMMYFUNCTION("""COMPUTED_VALUE"""),0.6666666666666666)</f>
        <v>0.6666666667</v>
      </c>
      <c r="S147" s="30">
        <f>IFERROR(__xludf.DUMMYFUNCTION("""COMPUTED_VALUE"""),2.777777777777778)</f>
        <v>2.777777778</v>
      </c>
      <c r="T147" s="30">
        <f>IFERROR(__xludf.DUMMYFUNCTION("""COMPUTED_VALUE"""),360.85376756066415)</f>
        <v>360.8537676</v>
      </c>
      <c r="U147" s="30">
        <f>IFERROR(__xludf.DUMMYFUNCTION("""COMPUTED_VALUE"""),0.8652618135376756)</f>
        <v>0.8652618135</v>
      </c>
      <c r="V147" s="30">
        <f>IFERROR(__xludf.DUMMYFUNCTION("""COMPUTED_VALUE"""),0.7602171136653895)</f>
        <v>0.7602171137</v>
      </c>
      <c r="W147" s="30">
        <f>IFERROR(__xludf.DUMMYFUNCTION("""COMPUTED_VALUE"""),1.0440613026819925)</f>
        <v>1.044061303</v>
      </c>
      <c r="X147" s="30">
        <f>IFERROR(__xludf.DUMMYFUNCTION("""COMPUTED_VALUE"""),2.7999680715197957)</f>
        <v>2.799968072</v>
      </c>
      <c r="Y147" s="30">
        <f>IFERROR(__xludf.DUMMYFUNCTION("""COMPUTED_VALUE"""),367.33216262239256)</f>
        <v>367.3321626</v>
      </c>
      <c r="Z147" s="30">
        <f>IFERROR(__xludf.DUMMYFUNCTION("""COMPUTED_VALUE"""),0.8171030225627928)</f>
        <v>0.8171030226</v>
      </c>
      <c r="AA147" s="30">
        <f>IFERROR(__xludf.DUMMYFUNCTION("""COMPUTED_VALUE"""),0.6469774372073224)</f>
        <v>0.6469774372</v>
      </c>
      <c r="AB147" s="30">
        <f>IFERROR(__xludf.DUMMYFUNCTION("""COMPUTED_VALUE"""),1.482758620689655)</f>
        <v>1.482758621</v>
      </c>
      <c r="AC147" s="30">
        <f>IFERROR(__xludf.DUMMYFUNCTION("""COMPUTED_VALUE"""),2.4863239676458067)</f>
        <v>2.486323968</v>
      </c>
      <c r="AD147" s="30">
        <f>IFERROR(__xludf.DUMMYFUNCTION("""COMPUTED_VALUE"""),0.6370256237010904)</f>
        <v>0.6370256237</v>
      </c>
      <c r="AE147" s="30">
        <f>IFERROR(__xludf.DUMMYFUNCTION("""COMPUTED_VALUE"""),0.0)</f>
        <v>0</v>
      </c>
      <c r="AF147" s="30">
        <f>IFERROR(__xludf.DUMMYFUNCTION("""COMPUTED_VALUE"""),1.5456489554202992)</f>
        <v>1.545648955</v>
      </c>
      <c r="AG147" s="30">
        <f>IFERROR(__xludf.DUMMYFUNCTION("""COMPUTED_VALUE"""),0.4496124031007752)</f>
        <v>0.4496124031</v>
      </c>
      <c r="AH147" s="30">
        <f>IFERROR(__xludf.DUMMYFUNCTION("""COMPUTED_VALUE"""),0.8044004023714231)</f>
        <v>0.8044004024</v>
      </c>
      <c r="AI147" s="30">
        <f>IFERROR(__xludf.DUMMYFUNCTION("""COMPUTED_VALUE"""),1.0213432384174752)</f>
        <v>1.021343238</v>
      </c>
      <c r="AJ147" s="30">
        <f>IFERROR(__xludf.DUMMYFUNCTION("""COMPUTED_VALUE"""),1.284132841328413)</f>
        <v>1.284132841</v>
      </c>
      <c r="AK147" s="30">
        <f>IFERROR(__xludf.DUMMYFUNCTION("""COMPUTED_VALUE"""),1.1692566148677026)</f>
        <v>1.169256615</v>
      </c>
      <c r="AL147" s="30">
        <f>IFERROR(__xludf.DUMMYFUNCTION("""COMPUTED_VALUE"""),0.638532110091743)</f>
        <v>0.6385321101</v>
      </c>
      <c r="AM147" s="30">
        <f>IFERROR(__xludf.DUMMYFUNCTION("""COMPUTED_VALUE"""),0.9920748047209078)</f>
        <v>0.9920748047</v>
      </c>
      <c r="AN147" s="30">
        <f>IFERROR(__xludf.DUMMYFUNCTION("""COMPUTED_VALUE"""),0.6634367833002864)</f>
        <v>0.6634367833</v>
      </c>
      <c r="AO147" s="30">
        <f>IFERROR(__xludf.DUMMYFUNCTION("""COMPUTED_VALUE"""),0.0)</f>
        <v>0</v>
      </c>
      <c r="AP147" s="30">
        <f>IFERROR(__xludf.DUMMYFUNCTION("""COMPUTED_VALUE"""),1.7388992687677856)</f>
        <v>1.738899269</v>
      </c>
      <c r="AQ147" s="30">
        <f>IFERROR(__xludf.DUMMYFUNCTION("""COMPUTED_VALUE"""),0.46733844394304846)</f>
        <v>0.4673384439</v>
      </c>
      <c r="AR147" s="30">
        <f>IFERROR(__xludf.DUMMYFUNCTION("""COMPUTED_VALUE"""),0.7939310590675543)</f>
        <v>0.7939310591</v>
      </c>
      <c r="AS147" s="30">
        <f>IFERROR(__xludf.DUMMYFUNCTION("""COMPUTED_VALUE"""),7.0)</f>
        <v>7</v>
      </c>
      <c r="AT147" s="30">
        <f>IFERROR(__xludf.DUMMYFUNCTION("""COMPUTED_VALUE"""),0.3573732865716632)</f>
        <v>0.3573732866</v>
      </c>
      <c r="AU147" s="30">
        <f>IFERROR(__xludf.DUMMYFUNCTION("""COMPUTED_VALUE"""),1.0082974074720619)</f>
        <v>1.008297407</v>
      </c>
      <c r="AV147" s="32">
        <f>IFERROR(__xludf.DUMMYFUNCTION("""COMPUTED_VALUE"""),13.009809731375363)</f>
        <v>13.00980973</v>
      </c>
      <c r="AW147" s="32">
        <f>IFERROR(__xludf.DUMMYFUNCTION("""COMPUTED_VALUE"""),-14.390767480874914)</f>
        <v>-14.39076748</v>
      </c>
      <c r="AX147" s="32">
        <f>IFERROR(__xludf.DUMMYFUNCTION("""COMPUTED_VALUE"""),36.75508832012406)</f>
        <v>36.75508832</v>
      </c>
      <c r="AY147" s="32">
        <f>IFERROR(__xludf.DUMMYFUNCTION("""COMPUTED_VALUE"""),-3.3542805081466254)</f>
        <v>-3.354280508</v>
      </c>
      <c r="AZ147" s="30">
        <f>IFERROR(__xludf.DUMMYFUNCTION("""COMPUTED_VALUE"""),11.036486972728287)</f>
        <v>11.03648697</v>
      </c>
      <c r="BA147" s="30">
        <f>IFERROR(__xludf.DUMMYFUNCTION("""COMPUTED_VALUE"""),800.0)</f>
        <v>800</v>
      </c>
    </row>
    <row r="148">
      <c r="A148" s="30" t="str">
        <f>IFERROR(__xludf.DUMMYFUNCTION("""COMPUTED_VALUE"""),"Elite")</f>
        <v>Elite</v>
      </c>
      <c r="B148" s="30" t="str">
        <f>IFERROR(__xludf.DUMMYFUNCTION("""COMPUTED_VALUE"""),"RSC007907")</f>
        <v>RSC007907</v>
      </c>
      <c r="C148" s="30" t="str">
        <f>IFERROR(__xludf.DUMMYFUNCTION("""COMPUTED_VALUE"""),"Chazie.")</f>
        <v>Chazie.</v>
      </c>
      <c r="D148" s="30"/>
      <c r="E148" s="30">
        <f>IFERROR(__xludf.DUMMYFUNCTION("""COMPUTED_VALUE"""),4.0)</f>
        <v>4</v>
      </c>
      <c r="F148" s="30">
        <f>IFERROR(__xludf.DUMMYFUNCTION("""COMPUTED_VALUE"""),0.0)</f>
        <v>0</v>
      </c>
      <c r="G148" s="30">
        <f>IFERROR(__xludf.DUMMYFUNCTION("""COMPUTED_VALUE"""),4.0)</f>
        <v>4</v>
      </c>
      <c r="H148" s="42">
        <f>IFERROR(__xludf.DUMMYFUNCTION("""COMPUTED_VALUE"""),0.0)</f>
        <v>0</v>
      </c>
      <c r="I148" s="42">
        <f>IFERROR(__xludf.DUMMYFUNCTION("""COMPUTED_VALUE"""),0.0)</f>
        <v>0</v>
      </c>
      <c r="J148" s="30">
        <f>IFERROR(__xludf.DUMMYFUNCTION("""COMPUTED_VALUE"""),318.75)</f>
        <v>318.75</v>
      </c>
      <c r="K148" s="30">
        <f>IFERROR(__xludf.DUMMYFUNCTION("""COMPUTED_VALUE"""),0.0)</f>
        <v>0</v>
      </c>
      <c r="L148" s="30">
        <f>IFERROR(__xludf.DUMMYFUNCTION("""COMPUTED_VALUE"""),1.0)</f>
        <v>1</v>
      </c>
      <c r="M148" s="30">
        <f>IFERROR(__xludf.DUMMYFUNCTION("""COMPUTED_VALUE"""),1.75)</f>
        <v>1.75</v>
      </c>
      <c r="N148" s="30">
        <f>IFERROR(__xludf.DUMMYFUNCTION("""COMPUTED_VALUE"""),1.0)</f>
        <v>1</v>
      </c>
      <c r="O148" s="30">
        <f>IFERROR(__xludf.DUMMYFUNCTION("""COMPUTED_VALUE"""),460.75)</f>
        <v>460.75</v>
      </c>
      <c r="P148" s="30">
        <f>IFERROR(__xludf.DUMMYFUNCTION("""COMPUTED_VALUE"""),1.1666666666666665)</f>
        <v>1.166666667</v>
      </c>
      <c r="Q148" s="30">
        <f>IFERROR(__xludf.DUMMYFUNCTION("""COMPUTED_VALUE"""),0.8333333333333333)</f>
        <v>0.8333333333</v>
      </c>
      <c r="R148" s="30">
        <f>IFERROR(__xludf.DUMMYFUNCTION("""COMPUTED_VALUE"""),1.9166666666666667)</f>
        <v>1.916666667</v>
      </c>
      <c r="S148" s="30">
        <f>IFERROR(__xludf.DUMMYFUNCTION("""COMPUTED_VALUE"""),3.583333333333333)</f>
        <v>3.583333333</v>
      </c>
      <c r="T148" s="30">
        <f>IFERROR(__xludf.DUMMYFUNCTION("""COMPUTED_VALUE"""),393.34284790305014)</f>
        <v>393.3428479</v>
      </c>
      <c r="U148" s="30">
        <f>IFERROR(__xludf.DUMMYFUNCTION("""COMPUTED_VALUE"""),0.9615162037037037)</f>
        <v>0.9615162037</v>
      </c>
      <c r="V148" s="30">
        <f>IFERROR(__xludf.DUMMYFUNCTION("""COMPUTED_VALUE"""),0.6964018246187363)</f>
        <v>0.6964018246</v>
      </c>
      <c r="W148" s="30">
        <f>IFERROR(__xludf.DUMMYFUNCTION("""COMPUTED_VALUE"""),1.2858285675381262)</f>
        <v>1.285828568</v>
      </c>
      <c r="X148" s="30">
        <f>IFERROR(__xludf.DUMMYFUNCTION("""COMPUTED_VALUE"""),3.1505991285403048)</f>
        <v>3.150599129</v>
      </c>
      <c r="Y148" s="30">
        <f>IFERROR(__xludf.DUMMYFUNCTION("""COMPUTED_VALUE"""),373.0205610021787)</f>
        <v>373.020561</v>
      </c>
      <c r="Z148" s="30">
        <f>IFERROR(__xludf.DUMMYFUNCTION("""COMPUTED_VALUE"""),0.7123502178649237)</f>
        <v>0.7123502179</v>
      </c>
      <c r="AA148" s="30">
        <f>IFERROR(__xludf.DUMMYFUNCTION("""COMPUTED_VALUE"""),0.5140250544662309)</f>
        <v>0.5140250545</v>
      </c>
      <c r="AB148" s="30">
        <f>IFERROR(__xludf.DUMMYFUNCTION("""COMPUTED_VALUE"""),1.7965345860566448)</f>
        <v>1.796534586</v>
      </c>
      <c r="AC148" s="30">
        <f>IFERROR(__xludf.DUMMYFUNCTION("""COMPUTED_VALUE"""),2.3117851307189543)</f>
        <v>2.311785131</v>
      </c>
      <c r="AD148" s="30">
        <f>IFERROR(__xludf.DUMMYFUNCTION("""COMPUTED_VALUE"""),0.8545105372841318)</f>
        <v>0.8545105373</v>
      </c>
      <c r="AE148" s="30">
        <f>IFERROR(__xludf.DUMMYFUNCTION("""COMPUTED_VALUE"""),0.0)</f>
        <v>0</v>
      </c>
      <c r="AF148" s="30">
        <f>IFERROR(__xludf.DUMMYFUNCTION("""COMPUTED_VALUE"""),1.945430463576159)</f>
        <v>1.945430464</v>
      </c>
      <c r="AG148" s="30">
        <f>IFERROR(__xludf.DUMMYFUNCTION("""COMPUTED_VALUE"""),0.9740975840833729)</f>
        <v>0.9740975841</v>
      </c>
      <c r="AH148" s="30">
        <f>IFERROR(__xludf.DUMMYFUNCTION("""COMPUTED_VALUE"""),0.43256615275875776)</f>
        <v>0.4325661528</v>
      </c>
      <c r="AI148" s="30">
        <f>IFERROR(__xludf.DUMMYFUNCTION("""COMPUTED_VALUE"""),1.171369970132428)</f>
        <v>1.17136997</v>
      </c>
      <c r="AJ148" s="30">
        <f>IFERROR(__xludf.DUMMYFUNCTION("""COMPUTED_VALUE"""),1.21336142040325)</f>
        <v>1.21336142</v>
      </c>
      <c r="AK148" s="30">
        <f>IFERROR(__xludf.DUMMYFUNCTION("""COMPUTED_VALUE"""),1.1966271538555542)</f>
        <v>1.196627154</v>
      </c>
      <c r="AL148" s="30">
        <f>IFERROR(__xludf.DUMMYFUNCTION("""COMPUTED_VALUE"""),1.4906082467403536)</f>
        <v>1.490608247</v>
      </c>
      <c r="AM148" s="30">
        <f>IFERROR(__xludf.DUMMYFUNCTION("""COMPUTED_VALUE"""),1.137349814158527)</f>
        <v>1.137349814</v>
      </c>
      <c r="AN148" s="30">
        <f>IFERROR(__xludf.DUMMYFUNCTION("""COMPUTED_VALUE"""),0.9037199772519927)</f>
        <v>0.9037199773</v>
      </c>
      <c r="AO148" s="30">
        <f>IFERROR(__xludf.DUMMYFUNCTION("""COMPUTED_VALUE"""),0.0)</f>
        <v>0</v>
      </c>
      <c r="AP148" s="30">
        <f>IFERROR(__xludf.DUMMYFUNCTION("""COMPUTED_VALUE"""),1.7388992687677856)</f>
        <v>1.738899269</v>
      </c>
      <c r="AQ148" s="30">
        <f>IFERROR(__xludf.DUMMYFUNCTION("""COMPUTED_VALUE"""),1.2267634153505023)</f>
        <v>1.226763415</v>
      </c>
      <c r="AR148" s="30">
        <f>IFERROR(__xludf.DUMMYFUNCTION("""COMPUTED_VALUE"""),0.3969655295337772)</f>
        <v>0.3969655295</v>
      </c>
      <c r="AS148" s="30">
        <f>IFERROR(__xludf.DUMMYFUNCTION("""COMPUTED_VALUE"""),6.0)</f>
        <v>6</v>
      </c>
      <c r="AT148" s="30">
        <f>IFERROR(__xludf.DUMMYFUNCTION("""COMPUTED_VALUE"""),0.2067305421964463)</f>
        <v>0.2067305422</v>
      </c>
      <c r="AU148" s="30">
        <f>IFERROR(__xludf.DUMMYFUNCTION("""COMPUTED_VALUE"""),0.8159508973758884)</f>
        <v>0.8159508974</v>
      </c>
      <c r="AV148" s="32">
        <f>IFERROR(__xludf.DUMMYFUNCTION("""COMPUTED_VALUE"""),7.60497683440132)</f>
        <v>7.604976834</v>
      </c>
      <c r="AW148" s="32">
        <f>IFERROR(__xludf.DUMMYFUNCTION("""COMPUTED_VALUE"""),-22.241105673033708)</f>
        <v>-22.24110567</v>
      </c>
      <c r="AX148" s="32">
        <f>IFERROR(__xludf.DUMMYFUNCTION("""COMPUTED_VALUE"""),14.370666092974787)</f>
        <v>14.37066609</v>
      </c>
      <c r="AY148" s="32">
        <f>IFERROR(__xludf.DUMMYFUNCTION("""COMPUTED_VALUE"""),-12.977987717858689)</f>
        <v>-12.97798772</v>
      </c>
      <c r="AZ148" s="30">
        <f>IFERROR(__xludf.DUMMYFUNCTION("""COMPUTED_VALUE"""),9.26311795517502)</f>
        <v>9.263117955</v>
      </c>
      <c r="BA148" s="30">
        <f>IFERROR(__xludf.DUMMYFUNCTION("""COMPUTED_VALUE"""),800.0)</f>
        <v>800</v>
      </c>
    </row>
    <row r="149">
      <c r="A149" s="30" t="str">
        <f>IFERROR(__xludf.DUMMYFUNCTION("""COMPUTED_VALUE"""),"Elite")</f>
        <v>Elite</v>
      </c>
      <c r="B149" s="30" t="str">
        <f>IFERROR(__xludf.DUMMYFUNCTION("""COMPUTED_VALUE"""),"RSC002178")</f>
        <v>RSC002178</v>
      </c>
      <c r="C149" s="30" t="str">
        <f>IFERROR(__xludf.DUMMYFUNCTION("""COMPUTED_VALUE"""),"bird")</f>
        <v>bird</v>
      </c>
      <c r="D149" s="30" t="str">
        <f>IFERROR(__xludf.DUMMYFUNCTION("""COMPUTED_VALUE"""),"Afterburners")</f>
        <v>Afterburners</v>
      </c>
      <c r="E149" s="30">
        <f>IFERROR(__xludf.DUMMYFUNCTION("""COMPUTED_VALUE"""),10.0)</f>
        <v>10</v>
      </c>
      <c r="F149" s="30">
        <f>IFERROR(__xludf.DUMMYFUNCTION("""COMPUTED_VALUE"""),5.0)</f>
        <v>5</v>
      </c>
      <c r="G149" s="30">
        <f>IFERROR(__xludf.DUMMYFUNCTION("""COMPUTED_VALUE"""),5.0)</f>
        <v>5</v>
      </c>
      <c r="H149" s="42">
        <f>IFERROR(__xludf.DUMMYFUNCTION("""COMPUTED_VALUE"""),0.5)</f>
        <v>0.5</v>
      </c>
      <c r="I149" s="42">
        <f>IFERROR(__xludf.DUMMYFUNCTION("""COMPUTED_VALUE"""),0.34375)</f>
        <v>0.34375</v>
      </c>
      <c r="J149" s="30">
        <f>IFERROR(__xludf.DUMMYFUNCTION("""COMPUTED_VALUE"""),372.3)</f>
        <v>372.3</v>
      </c>
      <c r="K149" s="30">
        <f>IFERROR(__xludf.DUMMYFUNCTION("""COMPUTED_VALUE"""),1.1)</f>
        <v>1.1</v>
      </c>
      <c r="L149" s="30">
        <f>IFERROR(__xludf.DUMMYFUNCTION("""COMPUTED_VALUE"""),0.5)</f>
        <v>0.5</v>
      </c>
      <c r="M149" s="30">
        <f>IFERROR(__xludf.DUMMYFUNCTION("""COMPUTED_VALUE"""),1.5)</f>
        <v>1.5</v>
      </c>
      <c r="N149" s="30">
        <f>IFERROR(__xludf.DUMMYFUNCTION("""COMPUTED_VALUE"""),3.2)</f>
        <v>3.2</v>
      </c>
      <c r="O149" s="30">
        <f>IFERROR(__xludf.DUMMYFUNCTION("""COMPUTED_VALUE"""),365.2)</f>
        <v>365.2</v>
      </c>
      <c r="P149" s="30">
        <f>IFERROR(__xludf.DUMMYFUNCTION("""COMPUTED_VALUE"""),0.8)</f>
        <v>0.8</v>
      </c>
      <c r="Q149" s="30">
        <f>IFERROR(__xludf.DUMMYFUNCTION("""COMPUTED_VALUE"""),0.4999999999999999)</f>
        <v>0.5</v>
      </c>
      <c r="R149" s="30">
        <f>IFERROR(__xludf.DUMMYFUNCTION("""COMPUTED_VALUE"""),1.5666666666666669)</f>
        <v>1.566666667</v>
      </c>
      <c r="S149" s="30">
        <f>IFERROR(__xludf.DUMMYFUNCTION("""COMPUTED_VALUE"""),2.9)</f>
        <v>2.9</v>
      </c>
      <c r="T149" s="30">
        <f>IFERROR(__xludf.DUMMYFUNCTION("""COMPUTED_VALUE"""),364.8414113756614)</f>
        <v>364.8414114</v>
      </c>
      <c r="U149" s="30">
        <f>IFERROR(__xludf.DUMMYFUNCTION("""COMPUTED_VALUE"""),0.8308597883597884)</f>
        <v>0.8308597884</v>
      </c>
      <c r="V149" s="30">
        <f>IFERROR(__xludf.DUMMYFUNCTION("""COMPUTED_VALUE"""),0.651577380952381)</f>
        <v>0.651577381</v>
      </c>
      <c r="W149" s="30">
        <f>IFERROR(__xludf.DUMMYFUNCTION("""COMPUTED_VALUE"""),1.452864417989418)</f>
        <v>1.452864418</v>
      </c>
      <c r="X149" s="30">
        <f>IFERROR(__xludf.DUMMYFUNCTION("""COMPUTED_VALUE"""),2.6848379629629626)</f>
        <v>2.684837963</v>
      </c>
      <c r="Y149" s="30">
        <f>IFERROR(__xludf.DUMMYFUNCTION("""COMPUTED_VALUE"""),375.73630665784833)</f>
        <v>375.7363067</v>
      </c>
      <c r="Z149" s="30">
        <f>IFERROR(__xludf.DUMMYFUNCTION("""COMPUTED_VALUE"""),0.8854863315696647)</f>
        <v>0.8854863316</v>
      </c>
      <c r="AA149" s="30">
        <f>IFERROR(__xludf.DUMMYFUNCTION("""COMPUTED_VALUE"""),0.6573891093474427)</f>
        <v>0.6573891093</v>
      </c>
      <c r="AB149" s="30">
        <f>IFERROR(__xludf.DUMMYFUNCTION("""COMPUTED_VALUE"""),1.4477517636684303)</f>
        <v>1.447751764</v>
      </c>
      <c r="AC149" s="30">
        <f>IFERROR(__xludf.DUMMYFUNCTION("""COMPUTED_VALUE"""),2.7132385361552034)</f>
        <v>2.713238536</v>
      </c>
      <c r="AD149" s="30">
        <f>IFERROR(__xludf.DUMMYFUNCTION("""COMPUTED_VALUE"""),0.9908544726794861)</f>
        <v>0.9908544727</v>
      </c>
      <c r="AE149" s="30">
        <f>IFERROR(__xludf.DUMMYFUNCTION("""COMPUTED_VALUE"""),1.2422552000888325)</f>
        <v>1.2422552</v>
      </c>
      <c r="AF149" s="30">
        <f>IFERROR(__xludf.DUMMYFUNCTION("""COMPUTED_VALUE"""),0.760584550140061)</f>
        <v>0.7605845501</v>
      </c>
      <c r="AG149" s="30">
        <f>IFERROR(__xludf.DUMMYFUNCTION("""COMPUTED_VALUE"""),1.0360892230579495)</f>
        <v>1.036089223</v>
      </c>
      <c r="AH149" s="30">
        <f>IFERROR(__xludf.DUMMYFUNCTION("""COMPUTED_VALUE"""),1.1794023847732027)</f>
        <v>1.179402385</v>
      </c>
      <c r="AI149" s="30">
        <f>IFERROR(__xludf.DUMMYFUNCTION("""COMPUTED_VALUE"""),1.000982861630171)</f>
        <v>1.000982862</v>
      </c>
      <c r="AJ149" s="30">
        <f>IFERROR(__xludf.DUMMYFUNCTION("""COMPUTED_VALUE"""),0.962858007100441)</f>
        <v>0.9628580071</v>
      </c>
      <c r="AK149" s="30">
        <f>IFERROR(__xludf.DUMMYFUNCTION("""COMPUTED_VALUE"""),0.7673685652948428)</f>
        <v>0.7673685653</v>
      </c>
      <c r="AL149" s="30">
        <f>IFERROR(__xludf.DUMMYFUNCTION("""COMPUTED_VALUE"""),1.0783295724419606)</f>
        <v>1.078329572</v>
      </c>
      <c r="AM149" s="30">
        <f>IFERROR(__xludf.DUMMYFUNCTION("""COMPUTED_VALUE"""),1.080139673233608)</f>
        <v>1.080139673</v>
      </c>
      <c r="AN149" s="30">
        <f>IFERROR(__xludf.DUMMYFUNCTION("""COMPUTED_VALUE"""),1.0555449334303275)</f>
        <v>1.055544933</v>
      </c>
      <c r="AO149" s="30">
        <f>IFERROR(__xludf.DUMMYFUNCTION("""COMPUTED_VALUE"""),1.5423731317660725)</f>
        <v>1.542373132</v>
      </c>
      <c r="AP149" s="30">
        <f>IFERROR(__xludf.DUMMYFUNCTION("""COMPUTED_VALUE"""),0.8694496343838928)</f>
        <v>0.8694496344</v>
      </c>
      <c r="AQ149" s="30">
        <f>IFERROR(__xludf.DUMMYFUNCTION("""COMPUTED_VALUE"""),1.0515114988718592)</f>
        <v>1.051511499</v>
      </c>
      <c r="AR149" s="30">
        <f>IFERROR(__xludf.DUMMYFUNCTION("""COMPUTED_VALUE"""),1.270289694508087)</f>
        <v>1.270289695</v>
      </c>
      <c r="AS149" s="30">
        <f>IFERROR(__xludf.DUMMYFUNCTION("""COMPUTED_VALUE"""),26.0)</f>
        <v>26</v>
      </c>
      <c r="AT149" s="30">
        <f>IFERROR(__xludf.DUMMYFUNCTION("""COMPUTED_VALUE"""),0.5317163106801142)</f>
        <v>0.5317163107</v>
      </c>
      <c r="AU149" s="30">
        <f>IFERROR(__xludf.DUMMYFUNCTION("""COMPUTED_VALUE"""),3.135500966228687)</f>
        <v>3.135500966</v>
      </c>
      <c r="AV149" s="32">
        <f>IFERROR(__xludf.DUMMYFUNCTION("""COMPUTED_VALUE"""),72.78307916672657)</f>
        <v>72.78307917</v>
      </c>
      <c r="AW149" s="32">
        <f>IFERROR(__xludf.DUMMYFUNCTION("""COMPUTED_VALUE"""),5.522952897707909)</f>
        <v>5.522952898</v>
      </c>
      <c r="AX149" s="32">
        <f>IFERROR(__xludf.DUMMYFUNCTION("""COMPUTED_VALUE"""),42.085095793039535)</f>
        <v>42.08509579</v>
      </c>
      <c r="AY149" s="32">
        <f>IFERROR(__xludf.DUMMYFUNCTION("""COMPUTED_VALUE"""),-2.6611667672920114)</f>
        <v>-2.661166767</v>
      </c>
      <c r="AZ149" s="30">
        <f>IFERROR(__xludf.DUMMYFUNCTION("""COMPUTED_VALUE"""),8.18411966499992)</f>
        <v>8.184119665</v>
      </c>
      <c r="BA149" s="30">
        <f>IFERROR(__xludf.DUMMYFUNCTION("""COMPUTED_VALUE"""),800.0)</f>
        <v>800</v>
      </c>
    </row>
    <row r="150">
      <c r="A150" s="30" t="str">
        <f>IFERROR(__xludf.DUMMYFUNCTION("""COMPUTED_VALUE"""),"Elite")</f>
        <v>Elite</v>
      </c>
      <c r="B150" s="30" t="str">
        <f>IFERROR(__xludf.DUMMYFUNCTION("""COMPUTED_VALUE"""),"RSC007877")</f>
        <v>RSC007877</v>
      </c>
      <c r="C150" s="30" t="str">
        <f>IFERROR(__xludf.DUMMYFUNCTION("""COMPUTED_VALUE"""),"Torro")</f>
        <v>Torro</v>
      </c>
      <c r="D150" s="30" t="str">
        <f>IFERROR(__xludf.DUMMYFUNCTION("""COMPUTED_VALUE"""),"Wyverns")</f>
        <v>Wyverns</v>
      </c>
      <c r="E150" s="30">
        <f>IFERROR(__xludf.DUMMYFUNCTION("""COMPUTED_VALUE"""),14.0)</f>
        <v>14</v>
      </c>
      <c r="F150" s="30">
        <f>IFERROR(__xludf.DUMMYFUNCTION("""COMPUTED_VALUE"""),5.0)</f>
        <v>5</v>
      </c>
      <c r="G150" s="30">
        <f>IFERROR(__xludf.DUMMYFUNCTION("""COMPUTED_VALUE"""),9.0)</f>
        <v>9</v>
      </c>
      <c r="H150" s="42">
        <f>IFERROR(__xludf.DUMMYFUNCTION("""COMPUTED_VALUE"""),0.35714285714285715)</f>
        <v>0.3571428571</v>
      </c>
      <c r="I150" s="42">
        <f>IFERROR(__xludf.DUMMYFUNCTION("""COMPUTED_VALUE"""),0.15384615384615383)</f>
        <v>0.1538461538</v>
      </c>
      <c r="J150" s="30">
        <f>IFERROR(__xludf.DUMMYFUNCTION("""COMPUTED_VALUE"""),274.5)</f>
        <v>274.5</v>
      </c>
      <c r="K150" s="30">
        <f>IFERROR(__xludf.DUMMYFUNCTION("""COMPUTED_VALUE"""),0.2857142857142857)</f>
        <v>0.2857142857</v>
      </c>
      <c r="L150" s="30">
        <f>IFERROR(__xludf.DUMMYFUNCTION("""COMPUTED_VALUE"""),0.35714285714285715)</f>
        <v>0.3571428571</v>
      </c>
      <c r="M150" s="30">
        <f>IFERROR(__xludf.DUMMYFUNCTION("""COMPUTED_VALUE"""),1.2142857142857142)</f>
        <v>1.214285714</v>
      </c>
      <c r="N150" s="30">
        <f>IFERROR(__xludf.DUMMYFUNCTION("""COMPUTED_VALUE"""),1.8571428571428572)</f>
        <v>1.857142857</v>
      </c>
      <c r="O150" s="30">
        <f>IFERROR(__xludf.DUMMYFUNCTION("""COMPUTED_VALUE"""),348.8333333333333)</f>
        <v>348.8333333</v>
      </c>
      <c r="P150" s="30">
        <f>IFERROR(__xludf.DUMMYFUNCTION("""COMPUTED_VALUE"""),0.880952380952381)</f>
        <v>0.880952381</v>
      </c>
      <c r="Q150" s="30">
        <f>IFERROR(__xludf.DUMMYFUNCTION("""COMPUTED_VALUE"""),0.6904761904761905)</f>
        <v>0.6904761905</v>
      </c>
      <c r="R150" s="30">
        <f>IFERROR(__xludf.DUMMYFUNCTION("""COMPUTED_VALUE"""),1.1190476190476188)</f>
        <v>1.119047619</v>
      </c>
      <c r="S150" s="30">
        <f>IFERROR(__xludf.DUMMYFUNCTION("""COMPUTED_VALUE"""),2.5476190476190474)</f>
        <v>2.547619048</v>
      </c>
      <c r="T150" s="30">
        <f>IFERROR(__xludf.DUMMYFUNCTION("""COMPUTED_VALUE"""),385.31871334110053)</f>
        <v>385.3187133</v>
      </c>
      <c r="U150" s="30">
        <f>IFERROR(__xludf.DUMMYFUNCTION("""COMPUTED_VALUE"""),0.9287012610644146)</f>
        <v>0.9287012611</v>
      </c>
      <c r="V150" s="30">
        <f>IFERROR(__xludf.DUMMYFUNCTION("""COMPUTED_VALUE"""),0.641021784978083)</f>
        <v>0.641021785</v>
      </c>
      <c r="W150" s="30">
        <f>IFERROR(__xludf.DUMMYFUNCTION("""COMPUTED_VALUE"""),1.3676762431598328)</f>
        <v>1.367676243</v>
      </c>
      <c r="X150" s="30">
        <f>IFERROR(__xludf.DUMMYFUNCTION("""COMPUTED_VALUE"""),2.9266529107457626)</f>
        <v>2.926652911</v>
      </c>
      <c r="Y150" s="30">
        <f>IFERROR(__xludf.DUMMYFUNCTION("""COMPUTED_VALUE"""),355.3868639121534)</f>
        <v>355.3868639</v>
      </c>
      <c r="Z150" s="30">
        <f>IFERROR(__xludf.DUMMYFUNCTION("""COMPUTED_VALUE"""),0.714638622417959)</f>
        <v>0.7146386224</v>
      </c>
      <c r="AA150" s="30">
        <f>IFERROR(__xludf.DUMMYFUNCTION("""COMPUTED_VALUE"""),0.5209539285906116)</f>
        <v>0.5209539286</v>
      </c>
      <c r="AB150" s="30">
        <f>IFERROR(__xludf.DUMMYFUNCTION("""COMPUTED_VALUE"""),1.4809780619699793)</f>
        <v>1.480978062</v>
      </c>
      <c r="AC150" s="30">
        <f>IFERROR(__xludf.DUMMYFUNCTION("""COMPUTED_VALUE"""),2.490206563393852)</f>
        <v>2.490206563</v>
      </c>
      <c r="AD150" s="30">
        <f>IFERROR(__xludf.DUMMYFUNCTION("""COMPUTED_VALUE"""),0.7723977104225567)</f>
        <v>0.7723977104</v>
      </c>
      <c r="AE150" s="30">
        <f>IFERROR(__xludf.DUMMYFUNCTION("""COMPUTED_VALUE"""),0.39980246904033784)</f>
        <v>0.399802469</v>
      </c>
      <c r="AF150" s="30">
        <f>IFERROR(__xludf.DUMMYFUNCTION("""COMPUTED_VALUE"""),0.6855555501982127)</f>
        <v>0.6855555502</v>
      </c>
      <c r="AG150" s="30">
        <f>IFERROR(__xludf.DUMMYFUNCTION("""COMPUTED_VALUE"""),0.8199214731584112)</f>
        <v>0.8199214732</v>
      </c>
      <c r="AH150" s="30">
        <f>IFERROR(__xludf.DUMMYFUNCTION("""COMPUTED_VALUE"""),0.7457786371793169)</f>
        <v>0.7457786372</v>
      </c>
      <c r="AI150" s="30">
        <f>IFERROR(__xludf.DUMMYFUNCTION("""COMPUTED_VALUE"""),0.9053111651614262)</f>
        <v>0.9053111652</v>
      </c>
      <c r="AJ150" s="30">
        <f>IFERROR(__xludf.DUMMYFUNCTION("""COMPUTED_VALUE"""),0.9485853178908069)</f>
        <v>0.9485853179</v>
      </c>
      <c r="AK150" s="30">
        <f>IFERROR(__xludf.DUMMYFUNCTION("""COMPUTED_VALUE"""),1.0771493366638052)</f>
        <v>1.077149337</v>
      </c>
      <c r="AL150" s="30">
        <f>IFERROR(__xludf.DUMMYFUNCTION("""COMPUTED_VALUE"""),0.8182109067436962)</f>
        <v>0.8182109067</v>
      </c>
      <c r="AM150" s="30">
        <f>IFERROR(__xludf.DUMMYFUNCTION("""COMPUTED_VALUE"""),0.8704889596798376)</f>
        <v>0.8704889597</v>
      </c>
      <c r="AN150" s="30">
        <f>IFERROR(__xludf.DUMMYFUNCTION("""COMPUTED_VALUE"""),0.7782623804099513)</f>
        <v>0.7782623804</v>
      </c>
      <c r="AO150" s="30">
        <f>IFERROR(__xludf.DUMMYFUNCTION("""COMPUTED_VALUE"""),0.4006163978613175)</f>
        <v>0.4006163979</v>
      </c>
      <c r="AP150" s="30">
        <f>IFERROR(__xludf.DUMMYFUNCTION("""COMPUTED_VALUE"""),0.621035453131352)</f>
        <v>0.6210354531</v>
      </c>
      <c r="AQ150" s="30">
        <f>IFERROR(__xludf.DUMMYFUNCTION("""COMPUTED_VALUE"""),0.8512235943248383)</f>
        <v>0.8512235943</v>
      </c>
      <c r="AR150" s="30">
        <f>IFERROR(__xludf.DUMMYFUNCTION("""COMPUTED_VALUE"""),0.7372216977055862)</f>
        <v>0.7372216977</v>
      </c>
      <c r="AS150" s="30">
        <f>IFERROR(__xludf.DUMMYFUNCTION("""COMPUTED_VALUE"""),19.0)</f>
        <v>19</v>
      </c>
      <c r="AT150" s="30">
        <f>IFERROR(__xludf.DUMMYFUNCTION("""COMPUTED_VALUE"""),0.27048748309958676)</f>
        <v>0.2704874831</v>
      </c>
      <c r="AU150" s="30">
        <f>IFERROR(__xludf.DUMMYFUNCTION("""COMPUTED_VALUE"""),1.118904930245959)</f>
        <v>1.11890493</v>
      </c>
      <c r="AV150" s="32">
        <f>IFERROR(__xludf.DUMMYFUNCTION("""COMPUTED_VALUE"""),16.117821295724816)</f>
        <v>16.1178213</v>
      </c>
      <c r="AW150" s="32">
        <f>IFERROR(__xludf.DUMMYFUNCTION("""COMPUTED_VALUE"""),-11.407315490323711)</f>
        <v>-11.40731549</v>
      </c>
      <c r="AX150" s="32">
        <f>IFERROR(__xludf.DUMMYFUNCTION("""COMPUTED_VALUE"""),33.35838436625781)</f>
        <v>33.35838437</v>
      </c>
      <c r="AY150" s="32">
        <f>IFERROR(__xludf.DUMMYFUNCTION("""COMPUTED_VALUE"""),-3.9554967920574766)</f>
        <v>-3.955496792</v>
      </c>
      <c r="AZ150" s="30">
        <f>IFERROR(__xludf.DUMMYFUNCTION("""COMPUTED_VALUE"""),7.451818698266234)</f>
        <v>7.451818698</v>
      </c>
      <c r="BA150" s="30">
        <f>IFERROR(__xludf.DUMMYFUNCTION("""COMPUTED_VALUE"""),800.0)</f>
        <v>800</v>
      </c>
    </row>
    <row r="151">
      <c r="A151" s="30" t="str">
        <f>IFERROR(__xludf.DUMMYFUNCTION("""COMPUTED_VALUE"""),"Elite")</f>
        <v>Elite</v>
      </c>
      <c r="B151" s="30" t="str">
        <f>IFERROR(__xludf.DUMMYFUNCTION("""COMPUTED_VALUE"""),"RSC005274")</f>
        <v>RSC005274</v>
      </c>
      <c r="C151" s="30" t="str">
        <f>IFERROR(__xludf.DUMMYFUNCTION("""COMPUTED_VALUE"""),"KING.")</f>
        <v>KING.</v>
      </c>
      <c r="D151" s="30" t="str">
        <f>IFERROR(__xludf.DUMMYFUNCTION("""COMPUTED_VALUE"""),"Cotija Cartel")</f>
        <v>Cotija Cartel</v>
      </c>
      <c r="E151" s="30">
        <f>IFERROR(__xludf.DUMMYFUNCTION("""COMPUTED_VALUE"""),13.0)</f>
        <v>13</v>
      </c>
      <c r="F151" s="30">
        <f>IFERROR(__xludf.DUMMYFUNCTION("""COMPUTED_VALUE"""),7.0)</f>
        <v>7</v>
      </c>
      <c r="G151" s="30">
        <f>IFERROR(__xludf.DUMMYFUNCTION("""COMPUTED_VALUE"""),6.0)</f>
        <v>6</v>
      </c>
      <c r="H151" s="42">
        <f>IFERROR(__xludf.DUMMYFUNCTION("""COMPUTED_VALUE"""),0.5384615384615384)</f>
        <v>0.5384615385</v>
      </c>
      <c r="I151" s="42">
        <f>IFERROR(__xludf.DUMMYFUNCTION("""COMPUTED_VALUE"""),0.3611111111111111)</f>
        <v>0.3611111111</v>
      </c>
      <c r="J151" s="30">
        <f>IFERROR(__xludf.DUMMYFUNCTION("""COMPUTED_VALUE"""),351.6923076923077)</f>
        <v>351.6923077</v>
      </c>
      <c r="K151" s="30">
        <f>IFERROR(__xludf.DUMMYFUNCTION("""COMPUTED_VALUE"""),1.0)</f>
        <v>1</v>
      </c>
      <c r="L151" s="30">
        <f>IFERROR(__xludf.DUMMYFUNCTION("""COMPUTED_VALUE"""),0.8461538461538461)</f>
        <v>0.8461538462</v>
      </c>
      <c r="M151" s="30">
        <f>IFERROR(__xludf.DUMMYFUNCTION("""COMPUTED_VALUE"""),1.0769230769230769)</f>
        <v>1.076923077</v>
      </c>
      <c r="N151" s="30">
        <f>IFERROR(__xludf.DUMMYFUNCTION("""COMPUTED_VALUE"""),2.769230769230769)</f>
        <v>2.769230769</v>
      </c>
      <c r="O151" s="30">
        <f>IFERROR(__xludf.DUMMYFUNCTION("""COMPUTED_VALUE"""),349.84615384615387)</f>
        <v>349.8461538</v>
      </c>
      <c r="P151" s="30">
        <f>IFERROR(__xludf.DUMMYFUNCTION("""COMPUTED_VALUE"""),0.6923076923076923)</f>
        <v>0.6923076923</v>
      </c>
      <c r="Q151" s="30">
        <f>IFERROR(__xludf.DUMMYFUNCTION("""COMPUTED_VALUE"""),0.5128205128205127)</f>
        <v>0.5128205128</v>
      </c>
      <c r="R151" s="30">
        <f>IFERROR(__xludf.DUMMYFUNCTION("""COMPUTED_VALUE"""),1.666666666666667)</f>
        <v>1.666666667</v>
      </c>
      <c r="S151" s="30">
        <f>IFERROR(__xludf.DUMMYFUNCTION("""COMPUTED_VALUE"""),2.2564102564102564)</f>
        <v>2.256410256</v>
      </c>
      <c r="T151" s="30">
        <f>IFERROR(__xludf.DUMMYFUNCTION("""COMPUTED_VALUE"""),355.7989796717681)</f>
        <v>355.7989797</v>
      </c>
      <c r="U151" s="30">
        <f>IFERROR(__xludf.DUMMYFUNCTION("""COMPUTED_VALUE"""),0.7278181203181203)</f>
        <v>0.7278181203</v>
      </c>
      <c r="V151" s="30">
        <f>IFERROR(__xludf.DUMMYFUNCTION("""COMPUTED_VALUE"""),0.5573186193378501)</f>
        <v>0.5573186193</v>
      </c>
      <c r="W151" s="30">
        <f>IFERROR(__xludf.DUMMYFUNCTION("""COMPUTED_VALUE"""),1.5460258832374218)</f>
        <v>1.546025883</v>
      </c>
      <c r="X151" s="30">
        <f>IFERROR(__xludf.DUMMYFUNCTION("""COMPUTED_VALUE"""),2.5407916549262706)</f>
        <v>2.540791655</v>
      </c>
      <c r="Y151" s="30">
        <f>IFERROR(__xludf.DUMMYFUNCTION("""COMPUTED_VALUE"""),372.5895216275024)</f>
        <v>372.5895216</v>
      </c>
      <c r="Z151" s="30">
        <f>IFERROR(__xludf.DUMMYFUNCTION("""COMPUTED_VALUE"""),0.8540898943463046)</f>
        <v>0.8540898943</v>
      </c>
      <c r="AA151" s="30">
        <f>IFERROR(__xludf.DUMMYFUNCTION("""COMPUTED_VALUE"""),0.6344052607834659)</f>
        <v>0.6344052608</v>
      </c>
      <c r="AB151" s="30">
        <f>IFERROR(__xludf.DUMMYFUNCTION("""COMPUTED_VALUE"""),1.3319535324984044)</f>
        <v>1.331953532</v>
      </c>
      <c r="AC151" s="30">
        <f>IFERROR(__xludf.DUMMYFUNCTION("""COMPUTED_VALUE"""),2.9234608040697787)</f>
        <v>2.923460804</v>
      </c>
      <c r="AD151" s="30">
        <f>IFERROR(__xludf.DUMMYFUNCTION("""COMPUTED_VALUE"""),0.9439135758732186)</f>
        <v>0.9439135759</v>
      </c>
      <c r="AE151" s="30">
        <f>IFERROR(__xludf.DUMMYFUNCTION("""COMPUTED_VALUE"""),1.1708369418951745)</f>
        <v>1.170836942</v>
      </c>
      <c r="AF151" s="30">
        <f>IFERROR(__xludf.DUMMYFUNCTION("""COMPUTED_VALUE"""),1.3337749518484114)</f>
        <v>1.333774952</v>
      </c>
      <c r="AG151" s="30">
        <f>IFERROR(__xludf.DUMMYFUNCTION("""COMPUTED_VALUE"""),0.8085290144492085)</f>
        <v>0.8085290144</v>
      </c>
      <c r="AH151" s="30">
        <f>IFERROR(__xludf.DUMMYFUNCTION("""COMPUTED_VALUE"""),0.9472440216662715)</f>
        <v>0.9472440217</v>
      </c>
      <c r="AI151" s="30">
        <f>IFERROR(__xludf.DUMMYFUNCTION("""COMPUTED_VALUE"""),0.9832691318252069)</f>
        <v>0.9832691318</v>
      </c>
      <c r="AJ151" s="30">
        <f>IFERROR(__xludf.DUMMYFUNCTION("""COMPUTED_VALUE"""),0.9512097500472964)</f>
        <v>0.95120975</v>
      </c>
      <c r="AK151" s="30">
        <f>IFERROR(__xludf.DUMMYFUNCTION("""COMPUTED_VALUE"""),0.9201567918721151)</f>
        <v>0.9201567919</v>
      </c>
      <c r="AL151" s="30">
        <f>IFERROR(__xludf.DUMMYFUNCTION("""COMPUTED_VALUE"""),1.078032835502482)</f>
        <v>1.078032836</v>
      </c>
      <c r="AM151" s="30">
        <f>IFERROR(__xludf.DUMMYFUNCTION("""COMPUTED_VALUE"""),0.8880737041289336)</f>
        <v>0.8880737041</v>
      </c>
      <c r="AN151" s="30">
        <f>IFERROR(__xludf.DUMMYFUNCTION("""COMPUTED_VALUE"""),0.9971180056702529)</f>
        <v>0.9971180057</v>
      </c>
      <c r="AO151" s="30">
        <f>IFERROR(__xludf.DUMMYFUNCTION("""COMPUTED_VALUE"""),1.4021573925146114)</f>
        <v>1.402157393</v>
      </c>
      <c r="AP151" s="30">
        <f>IFERROR(__xludf.DUMMYFUNCTION("""COMPUTED_VALUE"""),1.4713763043419723)</f>
        <v>1.471376304</v>
      </c>
      <c r="AQ151" s="30">
        <f>IFERROR(__xludf.DUMMYFUNCTION("""COMPUTED_VALUE"""),0.7549313325233861)</f>
        <v>0.7549313325</v>
      </c>
      <c r="AR151" s="30">
        <f>IFERROR(__xludf.DUMMYFUNCTION("""COMPUTED_VALUE"""),1.0992891587089213)</f>
        <v>1.099289159</v>
      </c>
      <c r="AS151" s="30">
        <f>IFERROR(__xludf.DUMMYFUNCTION("""COMPUTED_VALUE"""),38.0)</f>
        <v>38</v>
      </c>
      <c r="AT151" s="30">
        <f>IFERROR(__xludf.DUMMYFUNCTION("""COMPUTED_VALUE"""),0.6323683168968798)</f>
        <v>0.6323683169</v>
      </c>
      <c r="AU151" s="30">
        <f>IFERROR(__xludf.DUMMYFUNCTION("""COMPUTED_VALUE"""),3.1212278672381046)</f>
        <v>3.121227867</v>
      </c>
      <c r="AV151" s="32">
        <f>IFERROR(__xludf.DUMMYFUNCTION("""COMPUTED_VALUE"""),72.38201280515082)</f>
        <v>72.38201281</v>
      </c>
      <c r="AW151" s="32">
        <f>IFERROR(__xludf.DUMMYFUNCTION("""COMPUTED_VALUE"""),5.396113078772478)</f>
        <v>5.396113079</v>
      </c>
      <c r="AX151" s="32">
        <f>IFERROR(__xludf.DUMMYFUNCTION("""COMPUTED_VALUE"""),49.40313662201046)</f>
        <v>49.40313662</v>
      </c>
      <c r="AY151" s="32">
        <f>IFERROR(__xludf.DUMMYFUNCTION("""COMPUTED_VALUE"""),-2.0388343163515352)</f>
        <v>-2.038834316</v>
      </c>
      <c r="AZ151" s="30">
        <f>IFERROR(__xludf.DUMMYFUNCTION("""COMPUTED_VALUE"""),7.434947395124013)</f>
        <v>7.434947395</v>
      </c>
      <c r="BA151" s="30">
        <f>IFERROR(__xludf.DUMMYFUNCTION("""COMPUTED_VALUE"""),800.0)</f>
        <v>800</v>
      </c>
    </row>
    <row r="152">
      <c r="A152" s="30" t="str">
        <f>IFERROR(__xludf.DUMMYFUNCTION("""COMPUTED_VALUE"""),"Elite")</f>
        <v>Elite</v>
      </c>
      <c r="B152" s="30" t="str">
        <f>IFERROR(__xludf.DUMMYFUNCTION("""COMPUTED_VALUE"""),"RSC007049")</f>
        <v>RSC007049</v>
      </c>
      <c r="C152" s="30" t="str">
        <f>IFERROR(__xludf.DUMMYFUNCTION("""COMPUTED_VALUE"""),"dillyn.")</f>
        <v>dillyn.</v>
      </c>
      <c r="D152" s="30"/>
      <c r="E152" s="30">
        <f>IFERROR(__xludf.DUMMYFUNCTION("""COMPUTED_VALUE"""),8.0)</f>
        <v>8</v>
      </c>
      <c r="F152" s="30">
        <f>IFERROR(__xludf.DUMMYFUNCTION("""COMPUTED_VALUE"""),4.0)</f>
        <v>4</v>
      </c>
      <c r="G152" s="30">
        <f>IFERROR(__xludf.DUMMYFUNCTION("""COMPUTED_VALUE"""),4.0)</f>
        <v>4</v>
      </c>
      <c r="H152" s="42">
        <f>IFERROR(__xludf.DUMMYFUNCTION("""COMPUTED_VALUE"""),0.5)</f>
        <v>0.5</v>
      </c>
      <c r="I152" s="42">
        <f>IFERROR(__xludf.DUMMYFUNCTION("""COMPUTED_VALUE"""),0.3333333333333333)</f>
        <v>0.3333333333</v>
      </c>
      <c r="J152" s="30">
        <f>IFERROR(__xludf.DUMMYFUNCTION("""COMPUTED_VALUE"""),455.875)</f>
        <v>455.875</v>
      </c>
      <c r="K152" s="30">
        <f>IFERROR(__xludf.DUMMYFUNCTION("""COMPUTED_VALUE"""),1.0)</f>
        <v>1</v>
      </c>
      <c r="L152" s="30">
        <f>IFERROR(__xludf.DUMMYFUNCTION("""COMPUTED_VALUE"""),0.375)</f>
        <v>0.375</v>
      </c>
      <c r="M152" s="30">
        <f>IFERROR(__xludf.DUMMYFUNCTION("""COMPUTED_VALUE"""),2.375)</f>
        <v>2.375</v>
      </c>
      <c r="N152" s="30">
        <f>IFERROR(__xludf.DUMMYFUNCTION("""COMPUTED_VALUE"""),3.0)</f>
        <v>3</v>
      </c>
      <c r="O152" s="30">
        <f>IFERROR(__xludf.DUMMYFUNCTION("""COMPUTED_VALUE"""),348.375)</f>
        <v>348.375</v>
      </c>
      <c r="P152" s="30">
        <f>IFERROR(__xludf.DUMMYFUNCTION("""COMPUTED_VALUE"""),0.7499999999999999)</f>
        <v>0.75</v>
      </c>
      <c r="Q152" s="30">
        <f>IFERROR(__xludf.DUMMYFUNCTION("""COMPUTED_VALUE"""),0.5416666666666667)</f>
        <v>0.5416666667</v>
      </c>
      <c r="R152" s="30">
        <f>IFERROR(__xludf.DUMMYFUNCTION("""COMPUTED_VALUE"""),1.2083333333333333)</f>
        <v>1.208333333</v>
      </c>
      <c r="S152" s="30">
        <f>IFERROR(__xludf.DUMMYFUNCTION("""COMPUTED_VALUE"""),3.2916666666666665)</f>
        <v>3.291666667</v>
      </c>
      <c r="T152" s="30">
        <f>IFERROR(__xludf.DUMMYFUNCTION("""COMPUTED_VALUE"""),377.56845724400875)</f>
        <v>377.5684572</v>
      </c>
      <c r="U152" s="30">
        <f>IFERROR(__xludf.DUMMYFUNCTION("""COMPUTED_VALUE"""),0.8802083333333335)</f>
        <v>0.8802083333</v>
      </c>
      <c r="V152" s="30">
        <f>IFERROR(__xludf.DUMMYFUNCTION("""COMPUTED_VALUE"""),0.7514978213507624)</f>
        <v>0.7514978214</v>
      </c>
      <c r="W152" s="30">
        <f>IFERROR(__xludf.DUMMYFUNCTION("""COMPUTED_VALUE"""),1.1978826252723311)</f>
        <v>1.197882625</v>
      </c>
      <c r="X152" s="30">
        <f>IFERROR(__xludf.DUMMYFUNCTION("""COMPUTED_VALUE"""),3.0311478758169934)</f>
        <v>3.031147876</v>
      </c>
      <c r="Y152" s="30">
        <f>IFERROR(__xludf.DUMMYFUNCTION("""COMPUTED_VALUE"""),354.19696350762524)</f>
        <v>354.1969635</v>
      </c>
      <c r="Z152" s="30">
        <f>IFERROR(__xludf.DUMMYFUNCTION("""COMPUTED_VALUE"""),0.6334649600580973)</f>
        <v>0.6334649601</v>
      </c>
      <c r="AA152" s="30">
        <f>IFERROR(__xludf.DUMMYFUNCTION("""COMPUTED_VALUE"""),0.4709626906318083)</f>
        <v>0.4709626906</v>
      </c>
      <c r="AB152" s="30">
        <f>IFERROR(__xludf.DUMMYFUNCTION("""COMPUTED_VALUE"""),1.7513162672476394)</f>
        <v>1.751316267</v>
      </c>
      <c r="AC152" s="30">
        <f>IFERROR(__xludf.DUMMYFUNCTION("""COMPUTED_VALUE"""),2.192617556281772)</f>
        <v>2.192617556</v>
      </c>
      <c r="AD152" s="30">
        <f>IFERROR(__xludf.DUMMYFUNCTION("""COMPUTED_VALUE"""),1.2870663697549902)</f>
        <v>1.28706637</v>
      </c>
      <c r="AE152" s="30">
        <f>IFERROR(__xludf.DUMMYFUNCTION("""COMPUTED_VALUE"""),1.5786192813384445)</f>
        <v>1.578619281</v>
      </c>
      <c r="AF152" s="30">
        <f>IFERROR(__xludf.DUMMYFUNCTION("""COMPUTED_VALUE"""),0.7962414166967835)</f>
        <v>0.7962414167</v>
      </c>
      <c r="AG152" s="30">
        <f>IFERROR(__xludf.DUMMYFUNCTION("""COMPUTED_VALUE"""),1.3561228456654142)</f>
        <v>1.356122846</v>
      </c>
      <c r="AH152" s="30">
        <f>IFERROR(__xludf.DUMMYFUNCTION("""COMPUTED_VALUE"""),1.3682276653332022)</f>
        <v>1.368227665</v>
      </c>
      <c r="AI152" s="30">
        <f>IFERROR(__xludf.DUMMYFUNCTION("""COMPUTED_VALUE"""),0.9226803598555319)</f>
        <v>0.9226803599</v>
      </c>
      <c r="AJ152" s="30">
        <f>IFERROR(__xludf.DUMMYFUNCTION("""COMPUTED_VALUE"""),0.8520710059171595)</f>
        <v>0.8520710059</v>
      </c>
      <c r="AK152" s="30">
        <f>IFERROR(__xludf.DUMMYFUNCTION("""COMPUTED_VALUE"""),0.7207827504982789)</f>
        <v>0.7207827505</v>
      </c>
      <c r="AL152" s="30">
        <f>IFERROR(__xludf.DUMMYFUNCTION("""COMPUTED_VALUE"""),1.008724317258234)</f>
        <v>1.008724317</v>
      </c>
      <c r="AM152" s="30">
        <f>IFERROR(__xludf.DUMMYFUNCTION("""COMPUTED_VALUE"""),1.085947238974428)</f>
        <v>1.085947239</v>
      </c>
      <c r="AN152" s="30">
        <f>IFERROR(__xludf.DUMMYFUNCTION("""COMPUTED_VALUE"""),1.2924967674658892)</f>
        <v>1.292496767</v>
      </c>
      <c r="AO152" s="30">
        <f>IFERROR(__xludf.DUMMYFUNCTION("""COMPUTED_VALUE"""),1.4021573925146114)</f>
        <v>1.402157393</v>
      </c>
      <c r="AP152" s="30">
        <f>IFERROR(__xludf.DUMMYFUNCTION("""COMPUTED_VALUE"""),0.6520872257879196)</f>
        <v>0.6520872258</v>
      </c>
      <c r="AQ152" s="30">
        <f>IFERROR(__xludf.DUMMYFUNCTION("""COMPUTED_VALUE"""),1.6648932065471103)</f>
        <v>1.664893207</v>
      </c>
      <c r="AR152" s="30">
        <f>IFERROR(__xludf.DUMMYFUNCTION("""COMPUTED_VALUE"""),1.1908965886013314)</f>
        <v>1.190896589</v>
      </c>
      <c r="AS152" s="30">
        <f>IFERROR(__xludf.DUMMYFUNCTION("""COMPUTED_VALUE"""),16.0)</f>
        <v>16</v>
      </c>
      <c r="AT152" s="30">
        <f>IFERROR(__xludf.DUMMYFUNCTION("""COMPUTED_VALUE"""),0.45551429482502853)</f>
        <v>0.4555142948</v>
      </c>
      <c r="AU152" s="30">
        <f>IFERROR(__xludf.DUMMYFUNCTION("""COMPUTED_VALUE"""),3.504456716422287)</f>
        <v>3.504456716</v>
      </c>
      <c r="AV152" s="32">
        <f>IFERROR(__xludf.DUMMYFUNCTION("""COMPUTED_VALUE"""),83.15053618571295)</f>
        <v>83.15053619</v>
      </c>
      <c r="AW152" s="32">
        <f>IFERROR(__xludf.DUMMYFUNCTION("""COMPUTED_VALUE"""),10.820602382176475)</f>
        <v>10.82060238</v>
      </c>
      <c r="AX152" s="32">
        <f>IFERROR(__xludf.DUMMYFUNCTION("""COMPUTED_VALUE"""),64.85227386001885)</f>
        <v>64.85227386</v>
      </c>
      <c r="AY152" s="32">
        <f>IFERROR(__xludf.DUMMYFUNCTION("""COMPUTED_VALUE"""),3.62022873362617)</f>
        <v>3.620228734</v>
      </c>
      <c r="AZ152" s="30">
        <f>IFERROR(__xludf.DUMMYFUNCTION("""COMPUTED_VALUE"""),7.200373648550304)</f>
        <v>7.200373649</v>
      </c>
      <c r="BA152" s="30">
        <f>IFERROR(__xludf.DUMMYFUNCTION("""COMPUTED_VALUE"""),800.0)</f>
        <v>800</v>
      </c>
    </row>
    <row r="153">
      <c r="A153" s="30" t="str">
        <f>IFERROR(__xludf.DUMMYFUNCTION("""COMPUTED_VALUE"""),"Elite")</f>
        <v>Elite</v>
      </c>
      <c r="B153" s="30" t="str">
        <f>IFERROR(__xludf.DUMMYFUNCTION("""COMPUTED_VALUE"""),"RSC004966")</f>
        <v>RSC004966</v>
      </c>
      <c r="C153" s="30" t="str">
        <f>IFERROR(__xludf.DUMMYFUNCTION("""COMPUTED_VALUE"""),"Buck")</f>
        <v>Buck</v>
      </c>
      <c r="D153" s="30" t="str">
        <f>IFERROR(__xludf.DUMMYFUNCTION("""COMPUTED_VALUE"""),"Thrashers")</f>
        <v>Thrashers</v>
      </c>
      <c r="E153" s="30">
        <f>IFERROR(__xludf.DUMMYFUNCTION("""COMPUTED_VALUE"""),32.0)</f>
        <v>32</v>
      </c>
      <c r="F153" s="30">
        <f>IFERROR(__xludf.DUMMYFUNCTION("""COMPUTED_VALUE"""),19.0)</f>
        <v>19</v>
      </c>
      <c r="G153" s="30">
        <f>IFERROR(__xludf.DUMMYFUNCTION("""COMPUTED_VALUE"""),13.0)</f>
        <v>13</v>
      </c>
      <c r="H153" s="42">
        <f>IFERROR(__xludf.DUMMYFUNCTION("""COMPUTED_VALUE"""),0.59375)</f>
        <v>0.59375</v>
      </c>
      <c r="I153" s="42">
        <f>IFERROR(__xludf.DUMMYFUNCTION("""COMPUTED_VALUE"""),0.25263157894736843)</f>
        <v>0.2526315789</v>
      </c>
      <c r="J153" s="30">
        <f>IFERROR(__xludf.DUMMYFUNCTION("""COMPUTED_VALUE"""),302.96875)</f>
        <v>302.96875</v>
      </c>
      <c r="K153" s="30">
        <f>IFERROR(__xludf.DUMMYFUNCTION("""COMPUTED_VALUE"""),0.75)</f>
        <v>0.75</v>
      </c>
      <c r="L153" s="30">
        <f>IFERROR(__xludf.DUMMYFUNCTION("""COMPUTED_VALUE"""),0.46875)</f>
        <v>0.46875</v>
      </c>
      <c r="M153" s="30">
        <f>IFERROR(__xludf.DUMMYFUNCTION("""COMPUTED_VALUE"""),1.03125)</f>
        <v>1.03125</v>
      </c>
      <c r="N153" s="30">
        <f>IFERROR(__xludf.DUMMYFUNCTION("""COMPUTED_VALUE"""),2.96875)</f>
        <v>2.96875</v>
      </c>
      <c r="O153" s="30">
        <f>IFERROR(__xludf.DUMMYFUNCTION("""COMPUTED_VALUE"""),375.96875000000006)</f>
        <v>375.96875</v>
      </c>
      <c r="P153" s="30">
        <f>IFERROR(__xludf.DUMMYFUNCTION("""COMPUTED_VALUE"""),0.8541666666666666)</f>
        <v>0.8541666667</v>
      </c>
      <c r="Q153" s="30">
        <f>IFERROR(__xludf.DUMMYFUNCTION("""COMPUTED_VALUE"""),0.6145833333333335)</f>
        <v>0.6145833333</v>
      </c>
      <c r="R153" s="30">
        <f>IFERROR(__xludf.DUMMYFUNCTION("""COMPUTED_VALUE"""),1.6145833333333333)</f>
        <v>1.614583333</v>
      </c>
      <c r="S153" s="30">
        <f>IFERROR(__xludf.DUMMYFUNCTION("""COMPUTED_VALUE"""),2.427083333333334)</f>
        <v>2.427083333</v>
      </c>
      <c r="T153" s="30">
        <f>IFERROR(__xludf.DUMMYFUNCTION("""COMPUTED_VALUE"""),368.0494558499338)</f>
        <v>368.0494558</v>
      </c>
      <c r="U153" s="30">
        <f>IFERROR(__xludf.DUMMYFUNCTION("""COMPUTED_VALUE"""),0.8102805404008643)</f>
        <v>0.8102805404</v>
      </c>
      <c r="V153" s="30">
        <f>IFERROR(__xludf.DUMMYFUNCTION("""COMPUTED_VALUE"""),0.6063816325493411)</f>
        <v>0.6063816325</v>
      </c>
      <c r="W153" s="30">
        <f>IFERROR(__xludf.DUMMYFUNCTION("""COMPUTED_VALUE"""),1.4371897566237277)</f>
        <v>1.437189757</v>
      </c>
      <c r="X153" s="30">
        <f>IFERROR(__xludf.DUMMYFUNCTION("""COMPUTED_VALUE"""),2.6749508334893237)</f>
        <v>2.674950833</v>
      </c>
      <c r="Y153" s="30">
        <f>IFERROR(__xludf.DUMMYFUNCTION("""COMPUTED_VALUE"""),344.216944167674)</f>
        <v>344.2169442</v>
      </c>
      <c r="Z153" s="30">
        <f>IFERROR(__xludf.DUMMYFUNCTION("""COMPUTED_VALUE"""),0.7027381324164992)</f>
        <v>0.7027381324</v>
      </c>
      <c r="AA153" s="30">
        <f>IFERROR(__xludf.DUMMYFUNCTION("""COMPUTED_VALUE"""),0.49983318455499237)</f>
        <v>0.4998331846</v>
      </c>
      <c r="AB153" s="30">
        <f>IFERROR(__xludf.DUMMYFUNCTION("""COMPUTED_VALUE"""),1.3952318575792508)</f>
        <v>1.395231858</v>
      </c>
      <c r="AC153" s="30">
        <f>IFERROR(__xludf.DUMMYFUNCTION("""COMPUTED_VALUE"""),2.536524749347071)</f>
        <v>2.536524749</v>
      </c>
      <c r="AD153" s="30">
        <f>IFERROR(__xludf.DUMMYFUNCTION("""COMPUTED_VALUE"""),0.8801680310438719)</f>
        <v>0.880168031</v>
      </c>
      <c r="AE153" s="30">
        <f>IFERROR(__xludf.DUMMYFUNCTION("""COMPUTED_VALUE"""),1.067253882212115)</f>
        <v>1.067253882</v>
      </c>
      <c r="AF153" s="30">
        <f>IFERROR(__xludf.DUMMYFUNCTION("""COMPUTED_VALUE"""),0.9378128833469388)</f>
        <v>0.9378128833</v>
      </c>
      <c r="AG153" s="30">
        <f>IFERROR(__xludf.DUMMYFUNCTION("""COMPUTED_VALUE"""),0.7391244647962919)</f>
        <v>0.7391244648</v>
      </c>
      <c r="AH153" s="30">
        <f>IFERROR(__xludf.DUMMYFUNCTION("""COMPUTED_VALUE"""),1.1704005650897704)</f>
        <v>1.170400565</v>
      </c>
      <c r="AI153" s="30">
        <f>IFERROR(__xludf.DUMMYFUNCTION("""COMPUTED_VALUE"""),1.021516929380532)</f>
        <v>1.021516929</v>
      </c>
      <c r="AJ153" s="30">
        <f>IFERROR(__xludf.DUMMYFUNCTION("""COMPUTED_VALUE"""),1.0541616441190738)</f>
        <v>1.054161644</v>
      </c>
      <c r="AK153" s="30">
        <f>IFERROR(__xludf.DUMMYFUNCTION("""COMPUTED_VALUE"""),1.0135256418462264)</f>
        <v>1.013525642</v>
      </c>
      <c r="AL153" s="30">
        <f>IFERROR(__xludf.DUMMYFUNCTION("""COMPUTED_VALUE"""),1.1234308663083863)</f>
        <v>1.123430866</v>
      </c>
      <c r="AM153" s="30">
        <f>IFERROR(__xludf.DUMMYFUNCTION("""COMPUTED_VALUE"""),0.9073375491419181)</f>
        <v>0.9073375491</v>
      </c>
      <c r="AN153" s="30">
        <f>IFERROR(__xludf.DUMMYFUNCTION("""COMPUTED_VALUE"""),0.858976978378242)</f>
        <v>0.8589769784</v>
      </c>
      <c r="AO153" s="30">
        <f>IFERROR(__xludf.DUMMYFUNCTION("""COMPUTED_VALUE"""),1.0516180443859584)</f>
        <v>1.051618044</v>
      </c>
      <c r="AP153" s="30">
        <f>IFERROR(__xludf.DUMMYFUNCTION("""COMPUTED_VALUE"""),0.8151090322348995)</f>
        <v>0.8151090322</v>
      </c>
      <c r="AQ153" s="30">
        <f>IFERROR(__xludf.DUMMYFUNCTION("""COMPUTED_VALUE"""),0.7229141554744032)</f>
        <v>0.7229141555</v>
      </c>
      <c r="AR153" s="30">
        <f>IFERROR(__xludf.DUMMYFUNCTION("""COMPUTED_VALUE"""),1.178491415803401)</f>
        <v>1.178491416</v>
      </c>
      <c r="AS153" s="30">
        <f>IFERROR(__xludf.DUMMYFUNCTION("""COMPUTED_VALUE"""),89.0)</f>
        <v>89</v>
      </c>
      <c r="AT153" s="30">
        <f>IFERROR(__xludf.DUMMYFUNCTION("""COMPUTED_VALUE"""),0.5330804689094955)</f>
        <v>0.5330804689</v>
      </c>
      <c r="AU153" s="30">
        <f>IFERROR(__xludf.DUMMYFUNCTION("""COMPUTED_VALUE"""),2.496484019230735)</f>
        <v>2.496484019</v>
      </c>
      <c r="AV153" s="32">
        <f>IFERROR(__xludf.DUMMYFUNCTION("""COMPUTED_VALUE"""),54.82704858872669)</f>
        <v>54.82704859</v>
      </c>
      <c r="AW153" s="32">
        <f>IFERROR(__xludf.DUMMYFUNCTION("""COMPUTED_VALUE"""),2.3615684206285366)</f>
        <v>2.361568421</v>
      </c>
      <c r="AX153" s="32">
        <f>IFERROR(__xludf.DUMMYFUNCTION("""COMPUTED_VALUE"""),29.878499716916743)</f>
        <v>29.87849972</v>
      </c>
      <c r="AY153" s="32">
        <f>IFERROR(__xludf.DUMMYFUNCTION("""COMPUTED_VALUE"""),-4.751717231503908)</f>
        <v>-4.751717232</v>
      </c>
      <c r="AZ153" s="30">
        <f>IFERROR(__xludf.DUMMYFUNCTION("""COMPUTED_VALUE"""),7.113285652132444)</f>
        <v>7.113285652</v>
      </c>
      <c r="BA153" s="30">
        <f>IFERROR(__xludf.DUMMYFUNCTION("""COMPUTED_VALUE"""),800.0)</f>
        <v>800</v>
      </c>
    </row>
    <row r="154">
      <c r="A154" s="30" t="str">
        <f>IFERROR(__xludf.DUMMYFUNCTION("""COMPUTED_VALUE"""),"Elite")</f>
        <v>Elite</v>
      </c>
      <c r="B154" s="30" t="str">
        <f>IFERROR(__xludf.DUMMYFUNCTION("""COMPUTED_VALUE"""),"RSC006668")</f>
        <v>RSC006668</v>
      </c>
      <c r="C154" s="30" t="str">
        <f>IFERROR(__xludf.DUMMYFUNCTION("""COMPUTED_VALUE"""),"anubis")</f>
        <v>anubis</v>
      </c>
      <c r="D154" s="30" t="str">
        <f>IFERROR(__xludf.DUMMYFUNCTION("""COMPUTED_VALUE"""),"Thrashers")</f>
        <v>Thrashers</v>
      </c>
      <c r="E154" s="30">
        <f>IFERROR(__xludf.DUMMYFUNCTION("""COMPUTED_VALUE"""),6.0)</f>
        <v>6</v>
      </c>
      <c r="F154" s="30">
        <f>IFERROR(__xludf.DUMMYFUNCTION("""COMPUTED_VALUE"""),1.0)</f>
        <v>1</v>
      </c>
      <c r="G154" s="30">
        <f>IFERROR(__xludf.DUMMYFUNCTION("""COMPUTED_VALUE"""),5.0)</f>
        <v>5</v>
      </c>
      <c r="H154" s="42">
        <f>IFERROR(__xludf.DUMMYFUNCTION("""COMPUTED_VALUE"""),0.16666666666666666)</f>
        <v>0.1666666667</v>
      </c>
      <c r="I154" s="42">
        <f>IFERROR(__xludf.DUMMYFUNCTION("""COMPUTED_VALUE"""),0.14285714285714285)</f>
        <v>0.1428571429</v>
      </c>
      <c r="J154" s="30">
        <f>IFERROR(__xludf.DUMMYFUNCTION("""COMPUTED_VALUE"""),273.5)</f>
        <v>273.5</v>
      </c>
      <c r="K154" s="30">
        <f>IFERROR(__xludf.DUMMYFUNCTION("""COMPUTED_VALUE"""),0.3333333333333333)</f>
        <v>0.3333333333</v>
      </c>
      <c r="L154" s="30">
        <f>IFERROR(__xludf.DUMMYFUNCTION("""COMPUTED_VALUE"""),0.6666666666666666)</f>
        <v>0.6666666667</v>
      </c>
      <c r="M154" s="30">
        <f>IFERROR(__xludf.DUMMYFUNCTION("""COMPUTED_VALUE"""),0.6666666666666666)</f>
        <v>0.6666666667</v>
      </c>
      <c r="N154" s="30">
        <f>IFERROR(__xludf.DUMMYFUNCTION("""COMPUTED_VALUE"""),2.3333333333333335)</f>
        <v>2.333333333</v>
      </c>
      <c r="O154" s="30">
        <f>IFERROR(__xludf.DUMMYFUNCTION("""COMPUTED_VALUE"""),348.6111111111111)</f>
        <v>348.6111111</v>
      </c>
      <c r="P154" s="30">
        <f>IFERROR(__xludf.DUMMYFUNCTION("""COMPUTED_VALUE"""),0.8333333333333331)</f>
        <v>0.8333333333</v>
      </c>
      <c r="Q154" s="30">
        <f>IFERROR(__xludf.DUMMYFUNCTION("""COMPUTED_VALUE"""),0.7222222222222222)</f>
        <v>0.7222222222</v>
      </c>
      <c r="R154" s="30">
        <f>IFERROR(__xludf.DUMMYFUNCTION("""COMPUTED_VALUE"""),1.1111111111111112)</f>
        <v>1.111111111</v>
      </c>
      <c r="S154" s="30">
        <f>IFERROR(__xludf.DUMMYFUNCTION("""COMPUTED_VALUE"""),2.111111111111111)</f>
        <v>2.111111111</v>
      </c>
      <c r="T154" s="30">
        <f>IFERROR(__xludf.DUMMYFUNCTION("""COMPUTED_VALUE"""),356.24376882961656)</f>
        <v>356.2437688</v>
      </c>
      <c r="U154" s="30">
        <f>IFERROR(__xludf.DUMMYFUNCTION("""COMPUTED_VALUE"""),0.8334888823394571)</f>
        <v>0.8334888823</v>
      </c>
      <c r="V154" s="30">
        <f>IFERROR(__xludf.DUMMYFUNCTION("""COMPUTED_VALUE"""),0.7163021498510004)</f>
        <v>0.7163021499</v>
      </c>
      <c r="W154" s="30">
        <f>IFERROR(__xludf.DUMMYFUNCTION("""COMPUTED_VALUE"""),1.1551161296132562)</f>
        <v>1.15511613</v>
      </c>
      <c r="X154" s="30">
        <f>IFERROR(__xludf.DUMMYFUNCTION("""COMPUTED_VALUE"""),2.8353953810131967)</f>
        <v>2.835395381</v>
      </c>
      <c r="Y154" s="30">
        <f>IFERROR(__xludf.DUMMYFUNCTION("""COMPUTED_VALUE"""),355.64975173559947)</f>
        <v>355.6497517</v>
      </c>
      <c r="Z154" s="30">
        <f>IFERROR(__xludf.DUMMYFUNCTION("""COMPUTED_VALUE"""),0.7729919169095414)</f>
        <v>0.7729919169</v>
      </c>
      <c r="AA154" s="30">
        <f>IFERROR(__xludf.DUMMYFUNCTION("""COMPUTED_VALUE"""),0.5424986491796837)</f>
        <v>0.5424986492</v>
      </c>
      <c r="AB154" s="30">
        <f>IFERROR(__xludf.DUMMYFUNCTION("""COMPUTED_VALUE"""),1.4668909164838284)</f>
        <v>1.466890916</v>
      </c>
      <c r="AC154" s="30">
        <f>IFERROR(__xludf.DUMMYFUNCTION("""COMPUTED_VALUE"""),2.478111594131709)</f>
        <v>2.478111594</v>
      </c>
      <c r="AD154" s="30">
        <f>IFERROR(__xludf.DUMMYFUNCTION("""COMPUTED_VALUE"""),0.7690150173458521)</f>
        <v>0.7690150173</v>
      </c>
      <c r="AE154" s="30">
        <f>IFERROR(__xludf.DUMMYFUNCTION("""COMPUTED_VALUE"""),0.43122486282394246)</f>
        <v>0.4312248628</v>
      </c>
      <c r="AF154" s="30">
        <f>IFERROR(__xludf.DUMMYFUNCTION("""COMPUTED_VALUE"""),1.2288817081383305)</f>
        <v>1.228881708</v>
      </c>
      <c r="AG154" s="30">
        <f>IFERROR(__xludf.DUMMYFUNCTION("""COMPUTED_VALUE"""),0.45447596625976944)</f>
        <v>0.4544759663</v>
      </c>
      <c r="AH154" s="30">
        <f>IFERROR(__xludf.DUMMYFUNCTION("""COMPUTED_VALUE"""),0.9415771827462421)</f>
        <v>0.9415771827</v>
      </c>
      <c r="AI154" s="30">
        <f>IFERROR(__xludf.DUMMYFUNCTION("""COMPUTED_VALUE"""),0.9785746211264793)</f>
        <v>0.9785746211</v>
      </c>
      <c r="AJ154" s="30">
        <f>IFERROR(__xludf.DUMMYFUNCTION("""COMPUTED_VALUE"""),0.9998133760276594)</f>
        <v>0.999813376</v>
      </c>
      <c r="AK154" s="30">
        <f>IFERROR(__xludf.DUMMYFUNCTION("""COMPUTED_VALUE"""),1.0082647697936593)</f>
        <v>1.00826477</v>
      </c>
      <c r="AL154" s="30">
        <f>IFERROR(__xludf.DUMMYFUNCTION("""COMPUTED_VALUE"""),0.9619042472232828)</f>
        <v>0.9619042472</v>
      </c>
      <c r="AM154" s="30">
        <f>IFERROR(__xludf.DUMMYFUNCTION("""COMPUTED_VALUE"""),0.7445561649877307)</f>
        <v>0.744556165</v>
      </c>
      <c r="AN154" s="30">
        <f>IFERROR(__xludf.DUMMYFUNCTION("""COMPUTED_VALUE"""),0.7754271804813176)</f>
        <v>0.7754271805</v>
      </c>
      <c r="AO154" s="30">
        <f>IFERROR(__xludf.DUMMYFUNCTION("""COMPUTED_VALUE"""),0.4673857975048704)</f>
        <v>0.4673857975</v>
      </c>
      <c r="AP154" s="30">
        <f>IFERROR(__xludf.DUMMYFUNCTION("""COMPUTED_VALUE"""),1.1592661791785237)</f>
        <v>1.159266179</v>
      </c>
      <c r="AQ154" s="30">
        <f>IFERROR(__xludf.DUMMYFUNCTION("""COMPUTED_VALUE"""),0.46733844394304846)</f>
        <v>0.4673384439</v>
      </c>
      <c r="AR154" s="30">
        <f>IFERROR(__xludf.DUMMYFUNCTION("""COMPUTED_VALUE"""),0.9262529022454801)</f>
        <v>0.9262529022</v>
      </c>
      <c r="AS154" s="30">
        <f>IFERROR(__xludf.DUMMYFUNCTION("""COMPUTED_VALUE"""),10.0)</f>
        <v>10</v>
      </c>
      <c r="AT154" s="30">
        <f>IFERROR(__xludf.DUMMYFUNCTION("""COMPUTED_VALUE"""),0.35189795038587734)</f>
        <v>0.3518979504</v>
      </c>
      <c r="AU154" s="30">
        <f>IFERROR(__xludf.DUMMYFUNCTION("""COMPUTED_VALUE"""),1.729707715144186)</f>
        <v>1.729707715</v>
      </c>
      <c r="AV154" s="32">
        <f>IFERROR(__xludf.DUMMYFUNCTION("""COMPUTED_VALUE"""),33.28104917924947)</f>
        <v>33.28104918</v>
      </c>
      <c r="AW154" s="32">
        <f>IFERROR(__xludf.DUMMYFUNCTION("""COMPUTED_VALUE"""),-3.9710128640683626)</f>
        <v>-3.971012864</v>
      </c>
      <c r="AX154" s="32">
        <f>IFERROR(__xludf.DUMMYFUNCTION("""COMPUTED_VALUE"""),57.66430919551539)</f>
        <v>57.6643092</v>
      </c>
      <c r="AY154" s="32">
        <f>IFERROR(__xludf.DUMMYFUNCTION("""COMPUTED_VALUE"""),2.6344599069869035)</f>
        <v>2.634459907</v>
      </c>
      <c r="AZ154" s="30">
        <f>IFERROR(__xludf.DUMMYFUNCTION("""COMPUTED_VALUE"""),6.6054727710552665)</f>
        <v>6.605472771</v>
      </c>
      <c r="BA154" s="30">
        <f>IFERROR(__xludf.DUMMYFUNCTION("""COMPUTED_VALUE"""),800.0)</f>
        <v>800</v>
      </c>
    </row>
    <row r="155">
      <c r="A155" s="30" t="str">
        <f>IFERROR(__xludf.DUMMYFUNCTION("""COMPUTED_VALUE"""),"Elite")</f>
        <v>Elite</v>
      </c>
      <c r="B155" s="30" t="str">
        <f>IFERROR(__xludf.DUMMYFUNCTION("""COMPUTED_VALUE"""),"RSC007964")</f>
        <v>RSC007964</v>
      </c>
      <c r="C155" s="30" t="str">
        <f>IFERROR(__xludf.DUMMYFUNCTION("""COMPUTED_VALUE"""),"Buxter")</f>
        <v>Buxter</v>
      </c>
      <c r="D155" s="30" t="str">
        <f>IFERROR(__xludf.DUMMYFUNCTION("""COMPUTED_VALUE"""),"Afterburners")</f>
        <v>Afterburners</v>
      </c>
      <c r="E155" s="30">
        <f>IFERROR(__xludf.DUMMYFUNCTION("""COMPUTED_VALUE"""),25.0)</f>
        <v>25</v>
      </c>
      <c r="F155" s="30">
        <f>IFERROR(__xludf.DUMMYFUNCTION("""COMPUTED_VALUE"""),14.0)</f>
        <v>14</v>
      </c>
      <c r="G155" s="30">
        <f>IFERROR(__xludf.DUMMYFUNCTION("""COMPUTED_VALUE"""),11.0)</f>
        <v>11</v>
      </c>
      <c r="H155" s="42">
        <f>IFERROR(__xludf.DUMMYFUNCTION("""COMPUTED_VALUE"""),0.56)</f>
        <v>0.56</v>
      </c>
      <c r="I155" s="42">
        <f>IFERROR(__xludf.DUMMYFUNCTION("""COMPUTED_VALUE"""),0.2465753424657534)</f>
        <v>0.2465753425</v>
      </c>
      <c r="J155" s="30">
        <f>IFERROR(__xludf.DUMMYFUNCTION("""COMPUTED_VALUE"""),292.96)</f>
        <v>292.96</v>
      </c>
      <c r="K155" s="30">
        <f>IFERROR(__xludf.DUMMYFUNCTION("""COMPUTED_VALUE"""),0.72)</f>
        <v>0.72</v>
      </c>
      <c r="L155" s="30">
        <f>IFERROR(__xludf.DUMMYFUNCTION("""COMPUTED_VALUE"""),0.6)</f>
        <v>0.6</v>
      </c>
      <c r="M155" s="30">
        <f>IFERROR(__xludf.DUMMYFUNCTION("""COMPUTED_VALUE"""),0.88)</f>
        <v>0.88</v>
      </c>
      <c r="N155" s="30">
        <f>IFERROR(__xludf.DUMMYFUNCTION("""COMPUTED_VALUE"""),2.92)</f>
        <v>2.92</v>
      </c>
      <c r="O155" s="30">
        <f>IFERROR(__xludf.DUMMYFUNCTION("""COMPUTED_VALUE"""),358.3733333333333)</f>
        <v>358.3733333</v>
      </c>
      <c r="P155" s="30">
        <f>IFERROR(__xludf.DUMMYFUNCTION("""COMPUTED_VALUE"""),0.7066666666666666)</f>
        <v>0.7066666667</v>
      </c>
      <c r="Q155" s="30">
        <f>IFERROR(__xludf.DUMMYFUNCTION("""COMPUTED_VALUE"""),0.5333333333333332)</f>
        <v>0.5333333333</v>
      </c>
      <c r="R155" s="30">
        <f>IFERROR(__xludf.DUMMYFUNCTION("""COMPUTED_VALUE"""),1.5466666666666669)</f>
        <v>1.546666667</v>
      </c>
      <c r="S155" s="30">
        <f>IFERROR(__xludf.DUMMYFUNCTION("""COMPUTED_VALUE"""),2.5333333333333328)</f>
        <v>2.533333333</v>
      </c>
      <c r="T155" s="30">
        <f>IFERROR(__xludf.DUMMYFUNCTION("""COMPUTED_VALUE"""),356.5527339655927)</f>
        <v>356.552734</v>
      </c>
      <c r="U155" s="30">
        <f>IFERROR(__xludf.DUMMYFUNCTION("""COMPUTED_VALUE"""),0.754416831770929)</f>
        <v>0.7544168318</v>
      </c>
      <c r="V155" s="30">
        <f>IFERROR(__xludf.DUMMYFUNCTION("""COMPUTED_VALUE"""),0.5709695955052723)</f>
        <v>0.5709695955</v>
      </c>
      <c r="W155" s="30">
        <f>IFERROR(__xludf.DUMMYFUNCTION("""COMPUTED_VALUE"""),1.4178722677643298)</f>
        <v>1.417872268</v>
      </c>
      <c r="X155" s="30">
        <f>IFERROR(__xludf.DUMMYFUNCTION("""COMPUTED_VALUE"""),2.6069536742555517)</f>
        <v>2.606953674</v>
      </c>
      <c r="Y155" s="30">
        <f>IFERROR(__xludf.DUMMYFUNCTION("""COMPUTED_VALUE"""),367.1348136201019)</f>
        <v>367.1348136</v>
      </c>
      <c r="Z155" s="30">
        <f>IFERROR(__xludf.DUMMYFUNCTION("""COMPUTED_VALUE"""),0.8182279665027009)</f>
        <v>0.8182279665</v>
      </c>
      <c r="AA155" s="30">
        <f>IFERROR(__xludf.DUMMYFUNCTION("""COMPUTED_VALUE"""),0.6242898387875888)</f>
        <v>0.6242898388</v>
      </c>
      <c r="AB155" s="30">
        <f>IFERROR(__xludf.DUMMYFUNCTION("""COMPUTED_VALUE"""),1.4272568067919136)</f>
        <v>1.427256807</v>
      </c>
      <c r="AC155" s="30">
        <f>IFERROR(__xludf.DUMMYFUNCTION("""COMPUTED_VALUE"""),2.688320901211553)</f>
        <v>2.688320901</v>
      </c>
      <c r="AD155" s="30">
        <f>IFERROR(__xludf.DUMMYFUNCTION("""COMPUTED_VALUE"""),0.7979630074067141)</f>
        <v>0.7979630074</v>
      </c>
      <c r="AE155" s="30">
        <f>IFERROR(__xludf.DUMMYFUNCTION("""COMPUTED_VALUE"""),0.8799503677165297)</f>
        <v>0.8799503677</v>
      </c>
      <c r="AF155" s="30">
        <f>IFERROR(__xludf.DUMMYFUNCTION("""COMPUTED_VALUE"""),0.9610920484710095)</f>
        <v>0.9610920485</v>
      </c>
      <c r="AG155" s="30">
        <f>IFERROR(__xludf.DUMMYFUNCTION("""COMPUTED_VALUE"""),0.6165673870408798)</f>
        <v>0.616567387</v>
      </c>
      <c r="AH155" s="30">
        <f>IFERROR(__xludf.DUMMYFUNCTION("""COMPUTED_VALUE"""),1.086179852518364)</f>
        <v>1.086179853</v>
      </c>
      <c r="AI155" s="30">
        <f>IFERROR(__xludf.DUMMYFUNCTION("""COMPUTED_VALUE"""),1.0051061152932184)</f>
        <v>1.005106115</v>
      </c>
      <c r="AJ155" s="30">
        <f>IFERROR(__xludf.DUMMYFUNCTION("""COMPUTED_VALUE"""),0.9367058592897868)</f>
        <v>0.9367058593</v>
      </c>
      <c r="AK155" s="30">
        <f>IFERROR(__xludf.DUMMYFUNCTION("""COMPUTED_VALUE"""),0.9340835966254327)</f>
        <v>0.9340835966</v>
      </c>
      <c r="AL155" s="30">
        <f>IFERROR(__xludf.DUMMYFUNCTION("""COMPUTED_VALUE"""),1.09083639043552)</f>
        <v>1.09083639</v>
      </c>
      <c r="AM155" s="30">
        <f>IFERROR(__xludf.DUMMYFUNCTION("""COMPUTED_VALUE"""),0.9717600118294231)</f>
        <v>0.9717600118</v>
      </c>
      <c r="AN155" s="30">
        <f>IFERROR(__xludf.DUMMYFUNCTION("""COMPUTED_VALUE"""),0.8306001710925295)</f>
        <v>0.8306001711</v>
      </c>
      <c r="AO155" s="30">
        <f>IFERROR(__xludf.DUMMYFUNCTION("""COMPUTED_VALUE"""),1.00955332261052)</f>
        <v>1.009553323</v>
      </c>
      <c r="AP155" s="30">
        <f>IFERROR(__xludf.DUMMYFUNCTION("""COMPUTED_VALUE"""),1.0433395612606713)</f>
        <v>1.043339561</v>
      </c>
      <c r="AQ155" s="30">
        <f>IFERROR(__xludf.DUMMYFUNCTION("""COMPUTED_VALUE"""),0.6168867460048241)</f>
        <v>0.616886746</v>
      </c>
      <c r="AR155" s="30">
        <f>IFERROR(__xludf.DUMMYFUNCTION("""COMPUTED_VALUE"""),1.1591393462386292)</f>
        <v>1.159139346</v>
      </c>
      <c r="AS155" s="30">
        <f>IFERROR(__xludf.DUMMYFUNCTION("""COMPUTED_VALUE"""),63.0)</f>
        <v>63</v>
      </c>
      <c r="AT155" s="30">
        <f>IFERROR(__xludf.DUMMYFUNCTION("""COMPUTED_VALUE"""),0.5667242703577406)</f>
        <v>0.5667242704</v>
      </c>
      <c r="AU155" s="30">
        <f>IFERROR(__xludf.DUMMYFUNCTION("""COMPUTED_VALUE"""),2.412305058192627)</f>
        <v>2.412305058</v>
      </c>
      <c r="AV155" s="32">
        <f>IFERROR(__xludf.DUMMYFUNCTION("""COMPUTED_VALUE"""),52.46166531442462)</f>
        <v>52.46166531</v>
      </c>
      <c r="AW155" s="32">
        <f>IFERROR(__xludf.DUMMYFUNCTION("""COMPUTED_VALUE"""),2.1702288855778606)</f>
        <v>2.170228886</v>
      </c>
      <c r="AX155" s="32">
        <f>IFERROR(__xludf.DUMMYFUNCTION("""COMPUTED_VALUE"""),32.68160786852986)</f>
        <v>32.68160787</v>
      </c>
      <c r="AY155" s="32">
        <f>IFERROR(__xludf.DUMMYFUNCTION("""COMPUTED_VALUE"""),-4.094371663141079)</f>
        <v>-4.094371663</v>
      </c>
      <c r="AZ155" s="30">
        <f>IFERROR(__xludf.DUMMYFUNCTION("""COMPUTED_VALUE"""),6.264600548718939)</f>
        <v>6.264600549</v>
      </c>
      <c r="BA155" s="30">
        <f>IFERROR(__xludf.DUMMYFUNCTION("""COMPUTED_VALUE"""),800.0)</f>
        <v>800</v>
      </c>
    </row>
    <row r="156">
      <c r="A156" s="30" t="str">
        <f>IFERROR(__xludf.DUMMYFUNCTION("""COMPUTED_VALUE"""),"Elite")</f>
        <v>Elite</v>
      </c>
      <c r="B156" s="30" t="str">
        <f>IFERROR(__xludf.DUMMYFUNCTION("""COMPUTED_VALUE"""),"RSC002498")</f>
        <v>RSC002498</v>
      </c>
      <c r="C156" s="30" t="str">
        <f>IFERROR(__xludf.DUMMYFUNCTION("""COMPUTED_VALUE"""),"Justin")</f>
        <v>Justin</v>
      </c>
      <c r="D156" s="30" t="str">
        <f>IFERROR(__xludf.DUMMYFUNCTION("""COMPUTED_VALUE"""),"Nightshade")</f>
        <v>Nightshade</v>
      </c>
      <c r="E156" s="30">
        <f>IFERROR(__xludf.DUMMYFUNCTION("""COMPUTED_VALUE"""),29.0)</f>
        <v>29</v>
      </c>
      <c r="F156" s="30">
        <f>IFERROR(__xludf.DUMMYFUNCTION("""COMPUTED_VALUE"""),18.0)</f>
        <v>18</v>
      </c>
      <c r="G156" s="30">
        <f>IFERROR(__xludf.DUMMYFUNCTION("""COMPUTED_VALUE"""),11.0)</f>
        <v>11</v>
      </c>
      <c r="H156" s="42">
        <f>IFERROR(__xludf.DUMMYFUNCTION("""COMPUTED_VALUE"""),0.6206896551724138)</f>
        <v>0.6206896552</v>
      </c>
      <c r="I156" s="42">
        <f>IFERROR(__xludf.DUMMYFUNCTION("""COMPUTED_VALUE"""),0.35353535353535354)</f>
        <v>0.3535353535</v>
      </c>
      <c r="J156" s="30">
        <f>IFERROR(__xludf.DUMMYFUNCTION("""COMPUTED_VALUE"""),381.17241379310343)</f>
        <v>381.1724138</v>
      </c>
      <c r="K156" s="30">
        <f>IFERROR(__xludf.DUMMYFUNCTION("""COMPUTED_VALUE"""),1.206896551724138)</f>
        <v>1.206896552</v>
      </c>
      <c r="L156" s="30">
        <f>IFERROR(__xludf.DUMMYFUNCTION("""COMPUTED_VALUE"""),0.5862068965517241)</f>
        <v>0.5862068966</v>
      </c>
      <c r="M156" s="30">
        <f>IFERROR(__xludf.DUMMYFUNCTION("""COMPUTED_VALUE"""),0.9655172413793104)</f>
        <v>0.9655172414</v>
      </c>
      <c r="N156" s="30">
        <f>IFERROR(__xludf.DUMMYFUNCTION("""COMPUTED_VALUE"""),3.413793103448276)</f>
        <v>3.413793103</v>
      </c>
      <c r="O156" s="30">
        <f>IFERROR(__xludf.DUMMYFUNCTION("""COMPUTED_VALUE"""),343.1724137931035)</f>
        <v>343.1724138</v>
      </c>
      <c r="P156" s="30">
        <f>IFERROR(__xludf.DUMMYFUNCTION("""COMPUTED_VALUE"""),0.67816091954023)</f>
        <v>0.6781609195</v>
      </c>
      <c r="Q156" s="30">
        <f>IFERROR(__xludf.DUMMYFUNCTION("""COMPUTED_VALUE"""),0.5057471264367814)</f>
        <v>0.5057471264</v>
      </c>
      <c r="R156" s="30">
        <f>IFERROR(__xludf.DUMMYFUNCTION("""COMPUTED_VALUE"""),1.4482758620689655)</f>
        <v>1.448275862</v>
      </c>
      <c r="S156" s="30">
        <f>IFERROR(__xludf.DUMMYFUNCTION("""COMPUTED_VALUE"""),2.5747126436781604)</f>
        <v>2.574712644</v>
      </c>
      <c r="T156" s="30">
        <f>IFERROR(__xludf.DUMMYFUNCTION("""COMPUTED_VALUE"""),338.9490599887698)</f>
        <v>338.94906</v>
      </c>
      <c r="U156" s="30">
        <f>IFERROR(__xludf.DUMMYFUNCTION("""COMPUTED_VALUE"""),0.6661619947299183)</f>
        <v>0.6661619947</v>
      </c>
      <c r="V156" s="30">
        <f>IFERROR(__xludf.DUMMYFUNCTION("""COMPUTED_VALUE"""),0.5371047872028802)</f>
        <v>0.5371047872</v>
      </c>
      <c r="W156" s="30">
        <f>IFERROR(__xludf.DUMMYFUNCTION("""COMPUTED_VALUE"""),1.3693761919137082)</f>
        <v>1.369376192</v>
      </c>
      <c r="X156" s="30">
        <f>IFERROR(__xludf.DUMMYFUNCTION("""COMPUTED_VALUE"""),2.4466240352871673)</f>
        <v>2.446624035</v>
      </c>
      <c r="Y156" s="30">
        <f>IFERROR(__xludf.DUMMYFUNCTION("""COMPUTED_VALUE"""),368.67922895307544)</f>
        <v>368.679229</v>
      </c>
      <c r="Z156" s="30">
        <f>IFERROR(__xludf.DUMMYFUNCTION("""COMPUTED_VALUE"""),0.8469808273638667)</f>
        <v>0.8469808274</v>
      </c>
      <c r="AA156" s="30">
        <f>IFERROR(__xludf.DUMMYFUNCTION("""COMPUTED_VALUE"""),0.6525368414383131)</f>
        <v>0.6525368414</v>
      </c>
      <c r="AB156" s="30">
        <f>IFERROR(__xludf.DUMMYFUNCTION("""COMPUTED_VALUE"""),1.3237814461261481)</f>
        <v>1.323781446</v>
      </c>
      <c r="AC156" s="30">
        <f>IFERROR(__xludf.DUMMYFUNCTION("""COMPUTED_VALUE"""),2.768379829652534)</f>
        <v>2.76837983</v>
      </c>
      <c r="AD156" s="30">
        <f>IFERROR(__xludf.DUMMYFUNCTION("""COMPUTED_VALUE"""),1.033886326809092)</f>
        <v>1.033886327</v>
      </c>
      <c r="AE156" s="30">
        <f>IFERROR(__xludf.DUMMYFUNCTION("""COMPUTED_VALUE"""),1.4249396358598443)</f>
        <v>1.424939636</v>
      </c>
      <c r="AF156" s="30">
        <f>IFERROR(__xludf.DUMMYFUNCTION("""COMPUTED_VALUE"""),0.8983506513741271)</f>
        <v>0.8983506514</v>
      </c>
      <c r="AG156" s="30">
        <f>IFERROR(__xludf.DUMMYFUNCTION("""COMPUTED_VALUE"""),0.7293630260529446)</f>
        <v>0.7293630261</v>
      </c>
      <c r="AH156" s="30">
        <f>IFERROR(__xludf.DUMMYFUNCTION("""COMPUTED_VALUE"""),1.2331375438018377)</f>
        <v>1.233137544</v>
      </c>
      <c r="AI156" s="30">
        <f>IFERROR(__xludf.DUMMYFUNCTION("""COMPUTED_VALUE"""),1.01246014313913)</f>
        <v>1.012460143</v>
      </c>
      <c r="AJ156" s="30">
        <f>IFERROR(__xludf.DUMMYFUNCTION("""COMPUTED_VALUE"""),1.018012022458856)</f>
        <v>1.018012022</v>
      </c>
      <c r="AK156" s="30">
        <f>IFERROR(__xludf.DUMMYFUNCTION("""COMPUTED_VALUE"""),0.9416172383616196)</f>
        <v>0.9416172384</v>
      </c>
      <c r="AL156" s="30">
        <f>IFERROR(__xludf.DUMMYFUNCTION("""COMPUTED_VALUE"""),1.0576172352208013)</f>
        <v>1.057617235</v>
      </c>
      <c r="AM156" s="30">
        <f>IFERROR(__xludf.DUMMYFUNCTION("""COMPUTED_VALUE"""),1.0523532044742456)</f>
        <v>1.052353204</v>
      </c>
      <c r="AN156" s="30">
        <f>IFERROR(__xludf.DUMMYFUNCTION("""COMPUTED_VALUE"""),1.080700000383343)</f>
        <v>1.0807</v>
      </c>
      <c r="AO156" s="30">
        <f>IFERROR(__xludf.DUMMYFUNCTION("""COMPUTED_VALUE"""),1.692258922000393)</f>
        <v>1.692258922</v>
      </c>
      <c r="AP156" s="30">
        <f>IFERROR(__xludf.DUMMYFUNCTION("""COMPUTED_VALUE"""),1.019354743760426)</f>
        <v>1.019354744</v>
      </c>
      <c r="AQ156" s="30">
        <f>IFERROR(__xludf.DUMMYFUNCTION("""COMPUTED_VALUE"""),0.6768349877795875)</f>
        <v>0.6768349878</v>
      </c>
      <c r="AR156" s="30">
        <f>IFERROR(__xludf.DUMMYFUNCTION("""COMPUTED_VALUE"""),1.3551581870291014)</f>
        <v>1.355158187</v>
      </c>
      <c r="AS156" s="30">
        <f>IFERROR(__xludf.DUMMYFUNCTION("""COMPUTED_VALUE"""),75.0)</f>
        <v>75</v>
      </c>
      <c r="AT156" s="30">
        <f>IFERROR(__xludf.DUMMYFUNCTION("""COMPUTED_VALUE"""),0.5920145772068025)</f>
        <v>0.5920145772</v>
      </c>
      <c r="AU156" s="30">
        <f>IFERROR(__xludf.DUMMYFUNCTION("""COMPUTED_VALUE"""),3.445090072400507)</f>
        <v>3.445090072</v>
      </c>
      <c r="AV156" s="32">
        <f>IFERROR(__xludf.DUMMYFUNCTION("""COMPUTED_VALUE"""),81.48236559903877)</f>
        <v>81.4823656</v>
      </c>
      <c r="AW156" s="32">
        <f>IFERROR(__xludf.DUMMYFUNCTION("""COMPUTED_VALUE"""),9.618902251342806)</f>
        <v>9.618902251</v>
      </c>
      <c r="AX156" s="32">
        <f>IFERROR(__xludf.DUMMYFUNCTION("""COMPUTED_VALUE"""),63.392602328133385)</f>
        <v>63.39260233</v>
      </c>
      <c r="AY156" s="32">
        <f>IFERROR(__xludf.DUMMYFUNCTION("""COMPUTED_VALUE"""),3.3774480151029347)</f>
        <v>3.377448015</v>
      </c>
      <c r="AZ156" s="30">
        <f>IFERROR(__xludf.DUMMYFUNCTION("""COMPUTED_VALUE"""),6.241454236239871)</f>
        <v>6.241454236</v>
      </c>
      <c r="BA156" s="30">
        <f>IFERROR(__xludf.DUMMYFUNCTION("""COMPUTED_VALUE"""),800.0)</f>
        <v>800</v>
      </c>
    </row>
    <row r="157">
      <c r="A157" s="30" t="str">
        <f>IFERROR(__xludf.DUMMYFUNCTION("""COMPUTED_VALUE"""),"Elite")</f>
        <v>Elite</v>
      </c>
      <c r="B157" s="30" t="str">
        <f>IFERROR(__xludf.DUMMYFUNCTION("""COMPUTED_VALUE"""),"RSC000867")</f>
        <v>RSC000867</v>
      </c>
      <c r="C157" s="30" t="str">
        <f>IFERROR(__xludf.DUMMYFUNCTION("""COMPUTED_VALUE"""),"Ritter")</f>
        <v>Ritter</v>
      </c>
      <c r="D157" s="30" t="str">
        <f>IFERROR(__xludf.DUMMYFUNCTION("""COMPUTED_VALUE"""),"Pylons")</f>
        <v>Pylons</v>
      </c>
      <c r="E157" s="30">
        <f>IFERROR(__xludf.DUMMYFUNCTION("""COMPUTED_VALUE"""),12.0)</f>
        <v>12</v>
      </c>
      <c r="F157" s="30">
        <f>IFERROR(__xludf.DUMMYFUNCTION("""COMPUTED_VALUE"""),7.0)</f>
        <v>7</v>
      </c>
      <c r="G157" s="30">
        <f>IFERROR(__xludf.DUMMYFUNCTION("""COMPUTED_VALUE"""),5.0)</f>
        <v>5</v>
      </c>
      <c r="H157" s="42">
        <f>IFERROR(__xludf.DUMMYFUNCTION("""COMPUTED_VALUE"""),0.5833333333333334)</f>
        <v>0.5833333333</v>
      </c>
      <c r="I157" s="42">
        <f>IFERROR(__xludf.DUMMYFUNCTION("""COMPUTED_VALUE"""),0.39999999999999997)</f>
        <v>0.4</v>
      </c>
      <c r="J157" s="30">
        <f>IFERROR(__xludf.DUMMYFUNCTION("""COMPUTED_VALUE"""),349.75)</f>
        <v>349.75</v>
      </c>
      <c r="K157" s="30">
        <f>IFERROR(__xludf.DUMMYFUNCTION("""COMPUTED_VALUE"""),0.8333333333333334)</f>
        <v>0.8333333333</v>
      </c>
      <c r="L157" s="30">
        <f>IFERROR(__xludf.DUMMYFUNCTION("""COMPUTED_VALUE"""),0.75)</f>
        <v>0.75</v>
      </c>
      <c r="M157" s="30">
        <f>IFERROR(__xludf.DUMMYFUNCTION("""COMPUTED_VALUE"""),1.5)</f>
        <v>1.5</v>
      </c>
      <c r="N157" s="30">
        <f>IFERROR(__xludf.DUMMYFUNCTION("""COMPUTED_VALUE"""),2.0833333333333335)</f>
        <v>2.083333333</v>
      </c>
      <c r="O157" s="30">
        <f>IFERROR(__xludf.DUMMYFUNCTION("""COMPUTED_VALUE"""),363.47222222222223)</f>
        <v>363.4722222</v>
      </c>
      <c r="P157" s="30">
        <f>IFERROR(__xludf.DUMMYFUNCTION("""COMPUTED_VALUE"""),0.8888888888888888)</f>
        <v>0.8888888889</v>
      </c>
      <c r="Q157" s="30">
        <f>IFERROR(__xludf.DUMMYFUNCTION("""COMPUTED_VALUE"""),0.5555555555555555)</f>
        <v>0.5555555556</v>
      </c>
      <c r="R157" s="30">
        <f>IFERROR(__xludf.DUMMYFUNCTION("""COMPUTED_VALUE"""),1.4166666666666667)</f>
        <v>1.416666667</v>
      </c>
      <c r="S157" s="30">
        <f>IFERROR(__xludf.DUMMYFUNCTION("""COMPUTED_VALUE"""),2.9722222222222228)</f>
        <v>2.972222222</v>
      </c>
      <c r="T157" s="30">
        <f>IFERROR(__xludf.DUMMYFUNCTION("""COMPUTED_VALUE"""),363.2304106771498)</f>
        <v>363.2304107</v>
      </c>
      <c r="U157" s="30">
        <f>IFERROR(__xludf.DUMMYFUNCTION("""COMPUTED_VALUE"""),0.7804886571832143)</f>
        <v>0.7804886572</v>
      </c>
      <c r="V157" s="30">
        <f>IFERROR(__xludf.DUMMYFUNCTION("""COMPUTED_VALUE"""),0.5437047005783512)</f>
        <v>0.5437047006</v>
      </c>
      <c r="W157" s="30">
        <f>IFERROR(__xludf.DUMMYFUNCTION("""COMPUTED_VALUE"""),1.4570450038470062)</f>
        <v>1.457045004</v>
      </c>
      <c r="X157" s="30">
        <f>IFERROR(__xludf.DUMMYFUNCTION("""COMPUTED_VALUE"""),2.7615948296057184)</f>
        <v>2.76159483</v>
      </c>
      <c r="Y157" s="30">
        <f>IFERROR(__xludf.DUMMYFUNCTION("""COMPUTED_VALUE"""),362.3526226139624)</f>
        <v>362.3526226</v>
      </c>
      <c r="Z157" s="30">
        <f>IFERROR(__xludf.DUMMYFUNCTION("""COMPUTED_VALUE"""),0.7332282501790471)</f>
        <v>0.7332282502</v>
      </c>
      <c r="AA157" s="30">
        <f>IFERROR(__xludf.DUMMYFUNCTION("""COMPUTED_VALUE"""),0.5560319377190157)</f>
        <v>0.5560319377</v>
      </c>
      <c r="AB157" s="30">
        <f>IFERROR(__xludf.DUMMYFUNCTION("""COMPUTED_VALUE"""),1.5521481681194818)</f>
        <v>1.552148168</v>
      </c>
      <c r="AC157" s="30">
        <f>IFERROR(__xludf.DUMMYFUNCTION("""COMPUTED_VALUE"""),2.6135453819086956)</f>
        <v>2.613545382</v>
      </c>
      <c r="AD157" s="30">
        <f>IFERROR(__xludf.DUMMYFUNCTION("""COMPUTED_VALUE"""),0.9652200044171094)</f>
        <v>0.9652200044</v>
      </c>
      <c r="AE157" s="30">
        <f>IFERROR(__xludf.DUMMYFUNCTION("""COMPUTED_VALUE"""),1.1365264951668754)</f>
        <v>1.136526495</v>
      </c>
      <c r="AF157" s="30">
        <f>IFERROR(__xludf.DUMMYFUNCTION("""COMPUTED_VALUE"""),1.348843383127758)</f>
        <v>1.348843383</v>
      </c>
      <c r="AG157" s="30">
        <f>IFERROR(__xludf.DUMMYFUNCTION("""COMPUTED_VALUE"""),0.9664025837284193)</f>
        <v>0.9664025837</v>
      </c>
      <c r="AH157" s="30">
        <f>IFERROR(__xludf.DUMMYFUNCTION("""COMPUTED_VALUE"""),0.7971291976617052)</f>
        <v>0.7971291977</v>
      </c>
      <c r="AI157" s="30">
        <f>IFERROR(__xludf.DUMMYFUNCTION("""COMPUTED_VALUE"""),1.0006657249447304)</f>
        <v>1.000665725</v>
      </c>
      <c r="AJ157" s="30">
        <f>IFERROR(__xludf.DUMMYFUNCTION("""COMPUTED_VALUE"""),1.1388876452053658)</f>
        <v>1.138887645</v>
      </c>
      <c r="AK157" s="30">
        <f>IFERROR(__xludf.DUMMYFUNCTION("""COMPUTED_VALUE"""),1.0217964916701994)</f>
        <v>1.021796492</v>
      </c>
      <c r="AL157" s="30">
        <f>IFERROR(__xludf.DUMMYFUNCTION("""COMPUTED_VALUE"""),0.9722875154345065)</f>
        <v>0.9722875154</v>
      </c>
      <c r="AM157" s="30">
        <f>IFERROR(__xludf.DUMMYFUNCTION("""COMPUTED_VALUE"""),1.0762702009572405)</f>
        <v>1.076270201</v>
      </c>
      <c r="AN157" s="30">
        <f>IFERROR(__xludf.DUMMYFUNCTION("""COMPUTED_VALUE"""),0.9916111750396375)</f>
        <v>0.991611175</v>
      </c>
      <c r="AO157" s="30">
        <f>IFERROR(__xludf.DUMMYFUNCTION("""COMPUTED_VALUE"""),1.1684644937621762)</f>
        <v>1.168464494</v>
      </c>
      <c r="AP157" s="30">
        <f>IFERROR(__xludf.DUMMYFUNCTION("""COMPUTED_VALUE"""),1.304174451575839)</f>
        <v>1.304174452</v>
      </c>
      <c r="AQ157" s="30">
        <f>IFERROR(__xludf.DUMMYFUNCTION("""COMPUTED_VALUE"""),1.0515114988718592)</f>
        <v>1.051511499</v>
      </c>
      <c r="AR157" s="30">
        <f>IFERROR(__xludf.DUMMYFUNCTION("""COMPUTED_VALUE"""),0.8270115198620358)</f>
        <v>0.8270115199</v>
      </c>
      <c r="AS157" s="30">
        <f>IFERROR(__xludf.DUMMYFUNCTION("""COMPUTED_VALUE"""),33.0)</f>
        <v>33</v>
      </c>
      <c r="AT157" s="30">
        <f>IFERROR(__xludf.DUMMYFUNCTION("""COMPUTED_VALUE"""),0.5124905529581639)</f>
        <v>0.512490553</v>
      </c>
      <c r="AU157" s="30">
        <f>IFERROR(__xludf.DUMMYFUNCTION("""COMPUTED_VALUE"""),2.5120428615301247)</f>
        <v>2.512042862</v>
      </c>
      <c r="AV157" s="32">
        <f>IFERROR(__xludf.DUMMYFUNCTION("""COMPUTED_VALUE"""),55.264243641844764)</f>
        <v>55.26424364</v>
      </c>
      <c r="AW157" s="32">
        <f>IFERROR(__xludf.DUMMYFUNCTION("""COMPUTED_VALUE"""),2.4003177374983227)</f>
        <v>2.400317737</v>
      </c>
      <c r="AX157" s="32">
        <f>IFERROR(__xludf.DUMMYFUNCTION("""COMPUTED_VALUE"""),34.946039919402835)</f>
        <v>34.94603992</v>
      </c>
      <c r="AY157" s="32">
        <f>IFERROR(__xludf.DUMMYFUNCTION("""COMPUTED_VALUE"""),-3.6558479664111965)</f>
        <v>-3.655847966</v>
      </c>
      <c r="AZ157" s="30">
        <f>IFERROR(__xludf.DUMMYFUNCTION("""COMPUTED_VALUE"""),6.056165703909519)</f>
        <v>6.056165704</v>
      </c>
      <c r="BA157" s="30">
        <f>IFERROR(__xludf.DUMMYFUNCTION("""COMPUTED_VALUE"""),800.0)</f>
        <v>800</v>
      </c>
    </row>
    <row r="158">
      <c r="A158" s="30" t="str">
        <f>IFERROR(__xludf.DUMMYFUNCTION("""COMPUTED_VALUE"""),"Elite")</f>
        <v>Elite</v>
      </c>
      <c r="B158" s="30" t="str">
        <f>IFERROR(__xludf.DUMMYFUNCTION("""COMPUTED_VALUE"""),"RSC000508")</f>
        <v>RSC000508</v>
      </c>
      <c r="C158" s="30" t="str">
        <f>IFERROR(__xludf.DUMMYFUNCTION("""COMPUTED_VALUE"""),"Bender_Escobar")</f>
        <v>Bender_Escobar</v>
      </c>
      <c r="D158" s="30" t="str">
        <f>IFERROR(__xludf.DUMMYFUNCTION("""COMPUTED_VALUE"""),"Demons")</f>
        <v>Demons</v>
      </c>
      <c r="E158" s="30">
        <f>IFERROR(__xludf.DUMMYFUNCTION("""COMPUTED_VALUE"""),32.0)</f>
        <v>32</v>
      </c>
      <c r="F158" s="30">
        <f>IFERROR(__xludf.DUMMYFUNCTION("""COMPUTED_VALUE"""),11.0)</f>
        <v>11</v>
      </c>
      <c r="G158" s="30">
        <f>IFERROR(__xludf.DUMMYFUNCTION("""COMPUTED_VALUE"""),21.0)</f>
        <v>21</v>
      </c>
      <c r="H158" s="42">
        <f>IFERROR(__xludf.DUMMYFUNCTION("""COMPUTED_VALUE"""),0.34375)</f>
        <v>0.34375</v>
      </c>
      <c r="I158" s="42">
        <f>IFERROR(__xludf.DUMMYFUNCTION("""COMPUTED_VALUE"""),0.3373493975903614)</f>
        <v>0.3373493976</v>
      </c>
      <c r="J158" s="30">
        <f>IFERROR(__xludf.DUMMYFUNCTION("""COMPUTED_VALUE"""),344.5625)</f>
        <v>344.5625</v>
      </c>
      <c r="K158" s="30">
        <f>IFERROR(__xludf.DUMMYFUNCTION("""COMPUTED_VALUE"""),0.875)</f>
        <v>0.875</v>
      </c>
      <c r="L158" s="30">
        <f>IFERROR(__xludf.DUMMYFUNCTION("""COMPUTED_VALUE"""),0.53125)</f>
        <v>0.53125</v>
      </c>
      <c r="M158" s="30">
        <f>IFERROR(__xludf.DUMMYFUNCTION("""COMPUTED_VALUE"""),1.34375)</f>
        <v>1.34375</v>
      </c>
      <c r="N158" s="30">
        <f>IFERROR(__xludf.DUMMYFUNCTION("""COMPUTED_VALUE"""),2.59375)</f>
        <v>2.59375</v>
      </c>
      <c r="O158" s="30">
        <f>IFERROR(__xludf.DUMMYFUNCTION("""COMPUTED_VALUE"""),398.82291666666663)</f>
        <v>398.8229167</v>
      </c>
      <c r="P158" s="30">
        <f>IFERROR(__xludf.DUMMYFUNCTION("""COMPUTED_VALUE"""),0.9791666666666667)</f>
        <v>0.9791666667</v>
      </c>
      <c r="Q158" s="30">
        <f>IFERROR(__xludf.DUMMYFUNCTION("""COMPUTED_VALUE"""),0.8020833333333336)</f>
        <v>0.8020833333</v>
      </c>
      <c r="R158" s="30">
        <f>IFERROR(__xludf.DUMMYFUNCTION("""COMPUTED_VALUE"""),1.3125000000000002)</f>
        <v>1.3125</v>
      </c>
      <c r="S158" s="30">
        <f>IFERROR(__xludf.DUMMYFUNCTION("""COMPUTED_VALUE"""),3.0625000000000004)</f>
        <v>3.0625</v>
      </c>
      <c r="T158" s="30">
        <f>IFERROR(__xludf.DUMMYFUNCTION("""COMPUTED_VALUE"""),376.23308069812845)</f>
        <v>376.2330807</v>
      </c>
      <c r="U158" s="30">
        <f>IFERROR(__xludf.DUMMYFUNCTION("""COMPUTED_VALUE"""),0.905795881563902)</f>
        <v>0.9057958816</v>
      </c>
      <c r="V158" s="30">
        <f>IFERROR(__xludf.DUMMYFUNCTION("""COMPUTED_VALUE"""),0.652426127137152)</f>
        <v>0.6524261271</v>
      </c>
      <c r="W158" s="30">
        <f>IFERROR(__xludf.DUMMYFUNCTION("""COMPUTED_VALUE"""),1.3402744439672631)</f>
        <v>1.340274444</v>
      </c>
      <c r="X158" s="30">
        <f>IFERROR(__xludf.DUMMYFUNCTION("""COMPUTED_VALUE"""),2.809388539777452)</f>
        <v>2.80938854</v>
      </c>
      <c r="Y158" s="30">
        <f>IFERROR(__xludf.DUMMYFUNCTION("""COMPUTED_VALUE"""),352.5072028083147)</f>
        <v>352.5072028</v>
      </c>
      <c r="Z158" s="30">
        <f>IFERROR(__xludf.DUMMYFUNCTION("""COMPUTED_VALUE"""),0.7046105261464748)</f>
        <v>0.7046105261</v>
      </c>
      <c r="AA158" s="30">
        <f>IFERROR(__xludf.DUMMYFUNCTION("""COMPUTED_VALUE"""),0.5117017953830609)</f>
        <v>0.5117017954</v>
      </c>
      <c r="AB158" s="30">
        <f>IFERROR(__xludf.DUMMYFUNCTION("""COMPUTED_VALUE"""),1.530460100988688)</f>
        <v>1.530460101</v>
      </c>
      <c r="AC158" s="30">
        <f>IFERROR(__xludf.DUMMYFUNCTION("""COMPUTED_VALUE"""),2.433001826763124)</f>
        <v>2.433001827</v>
      </c>
      <c r="AD158" s="30">
        <f>IFERROR(__xludf.DUMMYFUNCTION("""COMPUTED_VALUE"""),0.9774622965289171)</f>
        <v>0.9774622965</v>
      </c>
      <c r="AE158" s="30">
        <f>IFERROR(__xludf.DUMMYFUNCTION("""COMPUTED_VALUE"""),1.241820789685598)</f>
        <v>1.24182079</v>
      </c>
      <c r="AF158" s="30">
        <f>IFERROR(__xludf.DUMMYFUNCTION("""COMPUTED_VALUE"""),1.038202337363904)</f>
        <v>1.038202337</v>
      </c>
      <c r="AG158" s="30">
        <f>IFERROR(__xludf.DUMMYFUNCTION("""COMPUTED_VALUE"""),0.8780039408619199)</f>
        <v>0.8780039409</v>
      </c>
      <c r="AH158" s="30">
        <f>IFERROR(__xludf.DUMMYFUNCTION("""COMPUTED_VALUE"""),1.0660698941811877)</f>
        <v>1.066069894</v>
      </c>
      <c r="AI158" s="30">
        <f>IFERROR(__xludf.DUMMYFUNCTION("""COMPUTED_VALUE"""),1.0600421311348303)</f>
        <v>1.060042131</v>
      </c>
      <c r="AJ158" s="30">
        <f>IFERROR(__xludf.DUMMYFUNCTION("""COMPUTED_VALUE"""),1.0810014558424426)</f>
        <v>1.081001456</v>
      </c>
      <c r="AK158" s="30">
        <f>IFERROR(__xludf.DUMMYFUNCTION("""COMPUTED_VALUE"""),1.2293856729081005)</f>
        <v>1.229385673</v>
      </c>
      <c r="AL158" s="30">
        <f>IFERROR(__xludf.DUMMYFUNCTION("""COMPUTED_VALUE"""),0.9792770472552998)</f>
        <v>0.9792770473</v>
      </c>
      <c r="AM158" s="30">
        <f>IFERROR(__xludf.DUMMYFUNCTION("""COMPUTED_VALUE"""),1.0900948575246197)</f>
        <v>1.090094858</v>
      </c>
      <c r="AN158" s="30">
        <f>IFERROR(__xludf.DUMMYFUNCTION("""COMPUTED_VALUE"""),0.9769035754098502)</f>
        <v>0.9769035754</v>
      </c>
      <c r="AO158" s="30">
        <f>IFERROR(__xludf.DUMMYFUNCTION("""COMPUTED_VALUE"""),1.2268877184502849)</f>
        <v>1.226887718</v>
      </c>
      <c r="AP158" s="30">
        <f>IFERROR(__xludf.DUMMYFUNCTION("""COMPUTED_VALUE"""),0.923790236532886)</f>
        <v>0.9237902365</v>
      </c>
      <c r="AQ158" s="30">
        <f>IFERROR(__xludf.DUMMYFUNCTION("""COMPUTED_VALUE"""),0.9419790510727072)</f>
        <v>0.9419790511</v>
      </c>
      <c r="AR158" s="30">
        <f>IFERROR(__xludf.DUMMYFUNCTION("""COMPUTED_VALUE"""),1.0296293422282345)</f>
        <v>1.029629342</v>
      </c>
      <c r="AS158" s="30">
        <f>IFERROR(__xludf.DUMMYFUNCTION("""COMPUTED_VALUE"""),76.0)</f>
        <v>76</v>
      </c>
      <c r="AT158" s="30">
        <f>IFERROR(__xludf.DUMMYFUNCTION("""COMPUTED_VALUE"""),0.4150135639089795)</f>
        <v>0.4150135639</v>
      </c>
      <c r="AU158" s="30">
        <f>IFERROR(__xludf.DUMMYFUNCTION("""COMPUTED_VALUE"""),2.56712840525215)</f>
        <v>2.567128405</v>
      </c>
      <c r="AV158" s="32">
        <f>IFERROR(__xludf.DUMMYFUNCTION("""COMPUTED_VALUE"""),56.81211762566511)</f>
        <v>56.81211763</v>
      </c>
      <c r="AW158" s="32">
        <f>IFERROR(__xludf.DUMMYFUNCTION("""COMPUTED_VALUE"""),2.5469616748721084)</f>
        <v>2.546961675</v>
      </c>
      <c r="AX158" s="32">
        <f>IFERROR(__xludf.DUMMYFUNCTION("""COMPUTED_VALUE"""),36.52619534471858)</f>
        <v>36.52619534</v>
      </c>
      <c r="AY158" s="32">
        <f>IFERROR(__xludf.DUMMYFUNCTION("""COMPUTED_VALUE"""),-3.3902910888041777)</f>
        <v>-3.390291089</v>
      </c>
      <c r="AZ158" s="30">
        <f>IFERROR(__xludf.DUMMYFUNCTION("""COMPUTED_VALUE"""),5.937252763676286)</f>
        <v>5.937252764</v>
      </c>
      <c r="BA158" s="30">
        <f>IFERROR(__xludf.DUMMYFUNCTION("""COMPUTED_VALUE"""),800.0)</f>
        <v>800</v>
      </c>
    </row>
    <row r="159">
      <c r="A159" s="30" t="str">
        <f>IFERROR(__xludf.DUMMYFUNCTION("""COMPUTED_VALUE"""),"Elite")</f>
        <v>Elite</v>
      </c>
      <c r="B159" s="30" t="str">
        <f>IFERROR(__xludf.DUMMYFUNCTION("""COMPUTED_VALUE"""),"RSC001889")</f>
        <v>RSC001889</v>
      </c>
      <c r="C159" s="30" t="str">
        <f>IFERROR(__xludf.DUMMYFUNCTION("""COMPUTED_VALUE"""),"Phelpsy")</f>
        <v>Phelpsy</v>
      </c>
      <c r="D159" s="30" t="str">
        <f>IFERROR(__xludf.DUMMYFUNCTION("""COMPUTED_VALUE"""),"Forge Defenders")</f>
        <v>Forge Defenders</v>
      </c>
      <c r="E159" s="30">
        <f>IFERROR(__xludf.DUMMYFUNCTION("""COMPUTED_VALUE"""),23.0)</f>
        <v>23</v>
      </c>
      <c r="F159" s="30">
        <f>IFERROR(__xludf.DUMMYFUNCTION("""COMPUTED_VALUE"""),13.0)</f>
        <v>13</v>
      </c>
      <c r="G159" s="30">
        <f>IFERROR(__xludf.DUMMYFUNCTION("""COMPUTED_VALUE"""),10.0)</f>
        <v>10</v>
      </c>
      <c r="H159" s="42">
        <f>IFERROR(__xludf.DUMMYFUNCTION("""COMPUTED_VALUE"""),0.5652173913043478)</f>
        <v>0.5652173913</v>
      </c>
      <c r="I159" s="42">
        <f>IFERROR(__xludf.DUMMYFUNCTION("""COMPUTED_VALUE"""),0.3333333333333333)</f>
        <v>0.3333333333</v>
      </c>
      <c r="J159" s="30">
        <f>IFERROR(__xludf.DUMMYFUNCTION("""COMPUTED_VALUE"""),325.04347826086956)</f>
        <v>325.0434783</v>
      </c>
      <c r="K159" s="30">
        <f>IFERROR(__xludf.DUMMYFUNCTION("""COMPUTED_VALUE"""),0.7391304347826086)</f>
        <v>0.7391304348</v>
      </c>
      <c r="L159" s="30">
        <f>IFERROR(__xludf.DUMMYFUNCTION("""COMPUTED_VALUE"""),0.6086956521739131)</f>
        <v>0.6086956522</v>
      </c>
      <c r="M159" s="30">
        <f>IFERROR(__xludf.DUMMYFUNCTION("""COMPUTED_VALUE"""),1.2608695652173914)</f>
        <v>1.260869565</v>
      </c>
      <c r="N159" s="30">
        <f>IFERROR(__xludf.DUMMYFUNCTION("""COMPUTED_VALUE"""),2.217391304347826)</f>
        <v>2.217391304</v>
      </c>
      <c r="O159" s="30">
        <f>IFERROR(__xludf.DUMMYFUNCTION("""COMPUTED_VALUE"""),337.4347826086957)</f>
        <v>337.4347826</v>
      </c>
      <c r="P159" s="30">
        <f>IFERROR(__xludf.DUMMYFUNCTION("""COMPUTED_VALUE"""),0.6521739130434783)</f>
        <v>0.652173913</v>
      </c>
      <c r="Q159" s="30">
        <f>IFERROR(__xludf.DUMMYFUNCTION("""COMPUTED_VALUE"""),0.5652173913043479)</f>
        <v>0.5652173913</v>
      </c>
      <c r="R159" s="30">
        <f>IFERROR(__xludf.DUMMYFUNCTION("""COMPUTED_VALUE"""),1.3188405797101452)</f>
        <v>1.31884058</v>
      </c>
      <c r="S159" s="30">
        <f>IFERROR(__xludf.DUMMYFUNCTION("""COMPUTED_VALUE"""),2.8405797101449273)</f>
        <v>2.84057971</v>
      </c>
      <c r="T159" s="30">
        <f>IFERROR(__xludf.DUMMYFUNCTION("""COMPUTED_VALUE"""),375.0750606849789)</f>
        <v>375.0750607</v>
      </c>
      <c r="U159" s="30">
        <f>IFERROR(__xludf.DUMMYFUNCTION("""COMPUTED_VALUE"""),0.8576095799425446)</f>
        <v>0.8576095799</v>
      </c>
      <c r="V159" s="30">
        <f>IFERROR(__xludf.DUMMYFUNCTION("""COMPUTED_VALUE"""),0.6148747772166995)</f>
        <v>0.6148747772</v>
      </c>
      <c r="W159" s="30">
        <f>IFERROR(__xludf.DUMMYFUNCTION("""COMPUTED_VALUE"""),1.4374554856750592)</f>
        <v>1.437455486</v>
      </c>
      <c r="X159" s="30">
        <f>IFERROR(__xludf.DUMMYFUNCTION("""COMPUTED_VALUE"""),2.8595953441486883)</f>
        <v>2.859595344</v>
      </c>
      <c r="Y159" s="30">
        <f>IFERROR(__xludf.DUMMYFUNCTION("""COMPUTED_VALUE"""),359.4673129840663)</f>
        <v>359.467313</v>
      </c>
      <c r="Z159" s="30">
        <f>IFERROR(__xludf.DUMMYFUNCTION("""COMPUTED_VALUE"""),0.7319796038546116)</f>
        <v>0.7319796039</v>
      </c>
      <c r="AA159" s="30">
        <f>IFERROR(__xludf.DUMMYFUNCTION("""COMPUTED_VALUE"""),0.5438836862069101)</f>
        <v>0.5438836862</v>
      </c>
      <c r="AB159" s="30">
        <f>IFERROR(__xludf.DUMMYFUNCTION("""COMPUTED_VALUE"""),1.5048710638752765)</f>
        <v>1.504871064</v>
      </c>
      <c r="AC159" s="30">
        <f>IFERROR(__xludf.DUMMYFUNCTION("""COMPUTED_VALUE"""),2.5982359047916264)</f>
        <v>2.598235905</v>
      </c>
      <c r="AD159" s="30">
        <f>IFERROR(__xludf.DUMMYFUNCTION("""COMPUTED_VALUE"""),0.9042365370096317)</f>
        <v>0.904236537</v>
      </c>
      <c r="AE159" s="30">
        <f>IFERROR(__xludf.DUMMYFUNCTION("""COMPUTED_VALUE"""),1.0097691669144069)</f>
        <v>1.009769167</v>
      </c>
      <c r="AF159" s="30">
        <f>IFERROR(__xludf.DUMMYFUNCTION("""COMPUTED_VALUE"""),1.1191651222690775)</f>
        <v>1.119165122</v>
      </c>
      <c r="AG159" s="30">
        <f>IFERROR(__xludf.DUMMYFUNCTION("""COMPUTED_VALUE"""),0.8378588674370924)</f>
        <v>0.8378588674</v>
      </c>
      <c r="AH159" s="30">
        <f>IFERROR(__xludf.DUMMYFUNCTION("""COMPUTED_VALUE"""),0.8534218545200409)</f>
        <v>0.8534218545</v>
      </c>
      <c r="AI159" s="30">
        <f>IFERROR(__xludf.DUMMYFUNCTION("""COMPUTED_VALUE"""),0.8996460121674237)</f>
        <v>0.8996460122</v>
      </c>
      <c r="AJ159" s="30">
        <f>IFERROR(__xludf.DUMMYFUNCTION("""COMPUTED_VALUE"""),0.7604554896496964)</f>
        <v>0.7604554896</v>
      </c>
      <c r="AK159" s="30">
        <f>IFERROR(__xludf.DUMMYFUNCTION("""COMPUTED_VALUE"""),0.9192398391471978)</f>
        <v>0.9192398391</v>
      </c>
      <c r="AL159" s="30">
        <f>IFERROR(__xludf.DUMMYFUNCTION("""COMPUTED_VALUE"""),0.9174827275369783)</f>
        <v>0.9174827275</v>
      </c>
      <c r="AM159" s="30">
        <f>IFERROR(__xludf.DUMMYFUNCTION("""COMPUTED_VALUE"""),0.9933502360595632)</f>
        <v>0.9933502361</v>
      </c>
      <c r="AN159" s="30">
        <f>IFERROR(__xludf.DUMMYFUNCTION("""COMPUTED_VALUE"""),0.9215632463680679)</f>
        <v>0.9215632464</v>
      </c>
      <c r="AO159" s="30">
        <f>IFERROR(__xludf.DUMMYFUNCTION("""COMPUTED_VALUE"""),1.0363772031629734)</f>
        <v>1.036377203</v>
      </c>
      <c r="AP159" s="30">
        <f>IFERROR(__xludf.DUMMYFUNCTION("""COMPUTED_VALUE"""),1.0584604244673477)</f>
        <v>1.058460424</v>
      </c>
      <c r="AQ159" s="30">
        <f>IFERROR(__xludf.DUMMYFUNCTION("""COMPUTED_VALUE"""),0.8838792309357657)</f>
        <v>0.8838792309</v>
      </c>
      <c r="AR159" s="30">
        <f>IFERROR(__xludf.DUMMYFUNCTION("""COMPUTED_VALUE"""),0.8802279133140276)</f>
        <v>0.8802279133</v>
      </c>
      <c r="AS159" s="30">
        <f>IFERROR(__xludf.DUMMYFUNCTION("""COMPUTED_VALUE"""),52.0)</f>
        <v>52</v>
      </c>
      <c r="AT159" s="30">
        <f>IFERROR(__xludf.DUMMYFUNCTION("""COMPUTED_VALUE"""),0.5544146806685081)</f>
        <v>0.5544146807</v>
      </c>
      <c r="AU159" s="30">
        <f>IFERROR(__xludf.DUMMYFUNCTION("""COMPUTED_VALUE"""),2.434759617870392)</f>
        <v>2.434759618</v>
      </c>
      <c r="AV159" s="32">
        <f>IFERROR(__xludf.DUMMYFUNCTION("""COMPUTED_VALUE"""),53.09262629610694)</f>
        <v>53.0926263</v>
      </c>
      <c r="AW159" s="32">
        <f>IFERROR(__xludf.DUMMYFUNCTION("""COMPUTED_VALUE"""),2.218404565873022)</f>
        <v>2.218404566</v>
      </c>
      <c r="AX159" s="32">
        <f>IFERROR(__xludf.DUMMYFUNCTION("""COMPUTED_VALUE"""),35.26763704189133)</f>
        <v>35.26763704</v>
      </c>
      <c r="AY159" s="32">
        <f>IFERROR(__xludf.DUMMYFUNCTION("""COMPUTED_VALUE"""),-3.5992992214149964)</f>
        <v>-3.599299221</v>
      </c>
      <c r="AZ159" s="30">
        <f>IFERROR(__xludf.DUMMYFUNCTION("""COMPUTED_VALUE"""),5.817703787288018)</f>
        <v>5.817703787</v>
      </c>
      <c r="BA159" s="30">
        <f>IFERROR(__xludf.DUMMYFUNCTION("""COMPUTED_VALUE"""),800.0)</f>
        <v>800</v>
      </c>
    </row>
    <row r="160">
      <c r="A160" s="30" t="str">
        <f>IFERROR(__xludf.DUMMYFUNCTION("""COMPUTED_VALUE"""),"Elite")</f>
        <v>Elite</v>
      </c>
      <c r="B160" s="30" t="str">
        <f>IFERROR(__xludf.DUMMYFUNCTION("""COMPUTED_VALUE"""),"RSC000438")</f>
        <v>RSC000438</v>
      </c>
      <c r="C160" s="30" t="str">
        <f>IFERROR(__xludf.DUMMYFUNCTION("""COMPUTED_VALUE"""),"Limon")</f>
        <v>Limon</v>
      </c>
      <c r="D160" s="30" t="str">
        <f>IFERROR(__xludf.DUMMYFUNCTION("""COMPUTED_VALUE"""),"Menthol")</f>
        <v>Menthol</v>
      </c>
      <c r="E160" s="30">
        <f>IFERROR(__xludf.DUMMYFUNCTION("""COMPUTED_VALUE"""),17.0)</f>
        <v>17</v>
      </c>
      <c r="F160" s="30">
        <f>IFERROR(__xludf.DUMMYFUNCTION("""COMPUTED_VALUE"""),11.0)</f>
        <v>11</v>
      </c>
      <c r="G160" s="30">
        <f>IFERROR(__xludf.DUMMYFUNCTION("""COMPUTED_VALUE"""),6.0)</f>
        <v>6</v>
      </c>
      <c r="H160" s="42">
        <f>IFERROR(__xludf.DUMMYFUNCTION("""COMPUTED_VALUE"""),0.6470588235294118)</f>
        <v>0.6470588235</v>
      </c>
      <c r="I160" s="42">
        <f>IFERROR(__xludf.DUMMYFUNCTION("""COMPUTED_VALUE"""),0.3148148148148148)</f>
        <v>0.3148148148</v>
      </c>
      <c r="J160" s="30">
        <f>IFERROR(__xludf.DUMMYFUNCTION("""COMPUTED_VALUE"""),349.70588235294116)</f>
        <v>349.7058824</v>
      </c>
      <c r="K160" s="30">
        <f>IFERROR(__xludf.DUMMYFUNCTION("""COMPUTED_VALUE"""),1.0)</f>
        <v>1</v>
      </c>
      <c r="L160" s="30">
        <f>IFERROR(__xludf.DUMMYFUNCTION("""COMPUTED_VALUE"""),0.4117647058823529)</f>
        <v>0.4117647059</v>
      </c>
      <c r="M160" s="30">
        <f>IFERROR(__xludf.DUMMYFUNCTION("""COMPUTED_VALUE"""),1.0588235294117647)</f>
        <v>1.058823529</v>
      </c>
      <c r="N160" s="30">
        <f>IFERROR(__xludf.DUMMYFUNCTION("""COMPUTED_VALUE"""),3.176470588235294)</f>
        <v>3.176470588</v>
      </c>
      <c r="O160" s="30">
        <f>IFERROR(__xludf.DUMMYFUNCTION("""COMPUTED_VALUE"""),387.3137254901961)</f>
        <v>387.3137255</v>
      </c>
      <c r="P160" s="30">
        <f>IFERROR(__xludf.DUMMYFUNCTION("""COMPUTED_VALUE"""),0.7058823529411765)</f>
        <v>0.7058823529</v>
      </c>
      <c r="Q160" s="30">
        <f>IFERROR(__xludf.DUMMYFUNCTION("""COMPUTED_VALUE"""),0.5098039215686273)</f>
        <v>0.5098039216</v>
      </c>
      <c r="R160" s="30">
        <f>IFERROR(__xludf.DUMMYFUNCTION("""COMPUTED_VALUE"""),2.0588235294117645)</f>
        <v>2.058823529</v>
      </c>
      <c r="S160" s="30">
        <f>IFERROR(__xludf.DUMMYFUNCTION("""COMPUTED_VALUE"""),2.1568627450980395)</f>
        <v>2.156862745</v>
      </c>
      <c r="T160" s="30">
        <f>IFERROR(__xludf.DUMMYFUNCTION("""COMPUTED_VALUE"""),353.4957094487795)</f>
        <v>353.4957094</v>
      </c>
      <c r="U160" s="30">
        <f>IFERROR(__xludf.DUMMYFUNCTION("""COMPUTED_VALUE"""),0.6608577335907011)</f>
        <v>0.6608577336</v>
      </c>
      <c r="V160" s="30">
        <f>IFERROR(__xludf.DUMMYFUNCTION("""COMPUTED_VALUE"""),0.5284515251195838)</f>
        <v>0.5284515251</v>
      </c>
      <c r="W160" s="30">
        <f>IFERROR(__xludf.DUMMYFUNCTION("""COMPUTED_VALUE"""),1.6439066670954277)</f>
        <v>1.643906667</v>
      </c>
      <c r="X160" s="30">
        <f>IFERROR(__xludf.DUMMYFUNCTION("""COMPUTED_VALUE"""),2.3368738640484246)</f>
        <v>2.336873864</v>
      </c>
      <c r="Y160" s="30">
        <f>IFERROR(__xludf.DUMMYFUNCTION("""COMPUTED_VALUE"""),386.7617876639101)</f>
        <v>386.7617877</v>
      </c>
      <c r="Z160" s="30">
        <f>IFERROR(__xludf.DUMMYFUNCTION("""COMPUTED_VALUE"""),0.927590025561429)</f>
        <v>0.9275900256</v>
      </c>
      <c r="AA160" s="30">
        <f>IFERROR(__xludf.DUMMYFUNCTION("""COMPUTED_VALUE"""),0.7289221625881929)</f>
        <v>0.7289221626</v>
      </c>
      <c r="AB160" s="30">
        <f>IFERROR(__xludf.DUMMYFUNCTION("""COMPUTED_VALUE"""),1.3325874071057617)</f>
        <v>1.332587407</v>
      </c>
      <c r="AC160" s="30">
        <f>IFERROR(__xludf.DUMMYFUNCTION("""COMPUTED_VALUE"""),3.0895700682818372)</f>
        <v>3.089570068</v>
      </c>
      <c r="AD160" s="30">
        <f>IFERROR(__xludf.DUMMYFUNCTION("""COMPUTED_VALUE"""),0.9041893317982852)</f>
        <v>0.9041893318</v>
      </c>
      <c r="AE160" s="30">
        <f>IFERROR(__xludf.DUMMYFUNCTION("""COMPUTED_VALUE"""),1.07806247635613)</f>
        <v>1.078062476</v>
      </c>
      <c r="AF160" s="30">
        <f>IFERROR(__xludf.DUMMYFUNCTION("""COMPUTED_VALUE"""),0.5648953029776114)</f>
        <v>0.564895303</v>
      </c>
      <c r="AG160" s="30">
        <f>IFERROR(__xludf.DUMMYFUNCTION("""COMPUTED_VALUE"""),0.7945621606251082)</f>
        <v>0.7945621606</v>
      </c>
      <c r="AH160" s="30">
        <f>IFERROR(__xludf.DUMMYFUNCTION("""COMPUTED_VALUE"""),1.0281270591159577)</f>
        <v>1.028127059</v>
      </c>
      <c r="AI160" s="30">
        <f>IFERROR(__xludf.DUMMYFUNCTION("""COMPUTED_VALUE"""),1.095667401717974)</f>
        <v>1.095667402</v>
      </c>
      <c r="AJ160" s="30">
        <f>IFERROR(__xludf.DUMMYFUNCTION("""COMPUTED_VALUE"""),1.068130577977561)</f>
        <v>1.068130578</v>
      </c>
      <c r="AK160" s="30">
        <f>IFERROR(__xludf.DUMMYFUNCTION("""COMPUTED_VALUE"""),0.9647127453237329)</f>
        <v>0.9647127453</v>
      </c>
      <c r="AL160" s="30">
        <f>IFERROR(__xludf.DUMMYFUNCTION("""COMPUTED_VALUE"""),1.25239684869059)</f>
        <v>1.252396849</v>
      </c>
      <c r="AM160" s="30">
        <f>IFERROR(__xludf.DUMMYFUNCTION("""COMPUTED_VALUE"""),0.9229692617476016)</f>
        <v>0.9229692617</v>
      </c>
      <c r="AN160" s="30">
        <f>IFERROR(__xludf.DUMMYFUNCTION("""COMPUTED_VALUE"""),0.9914860926898448)</f>
        <v>0.9914860927</v>
      </c>
      <c r="AO160" s="30">
        <f>IFERROR(__xludf.DUMMYFUNCTION("""COMPUTED_VALUE"""),1.4021573925146114)</f>
        <v>1.402157393</v>
      </c>
      <c r="AP160" s="30">
        <f>IFERROR(__xludf.DUMMYFUNCTION("""COMPUTED_VALUE"""),0.7160173459632058)</f>
        <v>0.716017346</v>
      </c>
      <c r="AQ160" s="30">
        <f>IFERROR(__xludf.DUMMYFUNCTION("""COMPUTED_VALUE"""),0.7422434109683712)</f>
        <v>0.742243411</v>
      </c>
      <c r="AR160" s="30">
        <f>IFERROR(__xludf.DUMMYFUNCTION("""COMPUTED_VALUE"""),1.260949329107292)</f>
        <v>1.260949329</v>
      </c>
      <c r="AS160" s="30">
        <f>IFERROR(__xludf.DUMMYFUNCTION("""COMPUTED_VALUE"""),48.0)</f>
        <v>48</v>
      </c>
      <c r="AT160" s="30">
        <f>IFERROR(__xludf.DUMMYFUNCTION("""COMPUTED_VALUE"""),0.6118350121000697)</f>
        <v>0.6118350121</v>
      </c>
      <c r="AU160" s="30">
        <f>IFERROR(__xludf.DUMMYFUNCTION("""COMPUTED_VALUE"""),2.6364256474272514)</f>
        <v>2.636425647</v>
      </c>
      <c r="AV160" s="32">
        <f>IFERROR(__xludf.DUMMYFUNCTION("""COMPUTED_VALUE"""),58.75933264916772)</f>
        <v>58.75933265</v>
      </c>
      <c r="AW160" s="32">
        <f>IFERROR(__xludf.DUMMYFUNCTION("""COMPUTED_VALUE"""),2.7545987587623815)</f>
        <v>2.754598759</v>
      </c>
      <c r="AX160" s="32">
        <f>IFERROR(__xludf.DUMMYFUNCTION("""COMPUTED_VALUE"""),39.34799525564256)</f>
        <v>39.34799526</v>
      </c>
      <c r="AY160" s="32">
        <f>IFERROR(__xludf.DUMMYFUNCTION("""COMPUTED_VALUE"""),-2.984854483448174)</f>
        <v>-2.984854483</v>
      </c>
      <c r="AZ160" s="30">
        <f>IFERROR(__xludf.DUMMYFUNCTION("""COMPUTED_VALUE"""),5.739453242210555)</f>
        <v>5.739453242</v>
      </c>
      <c r="BA160" s="30">
        <f>IFERROR(__xludf.DUMMYFUNCTION("""COMPUTED_VALUE"""),800.0)</f>
        <v>800</v>
      </c>
    </row>
    <row r="161">
      <c r="A161" s="30" t="str">
        <f>IFERROR(__xludf.DUMMYFUNCTION("""COMPUTED_VALUE"""),"Elite")</f>
        <v>Elite</v>
      </c>
      <c r="B161" s="30" t="str">
        <f>IFERROR(__xludf.DUMMYFUNCTION("""COMPUTED_VALUE"""),"RSC005373")</f>
        <v>RSC005373</v>
      </c>
      <c r="C161" s="30" t="str">
        <f>IFERROR(__xludf.DUMMYFUNCTION("""COMPUTED_VALUE"""),"dvorl.ttv")</f>
        <v>dvorl.ttv</v>
      </c>
      <c r="D161" s="30" t="str">
        <f>IFERROR(__xludf.DUMMYFUNCTION("""COMPUTED_VALUE"""),"Despair")</f>
        <v>Despair</v>
      </c>
      <c r="E161" s="30">
        <f>IFERROR(__xludf.DUMMYFUNCTION("""COMPUTED_VALUE"""),31.0)</f>
        <v>31</v>
      </c>
      <c r="F161" s="30">
        <f>IFERROR(__xludf.DUMMYFUNCTION("""COMPUTED_VALUE"""),20.0)</f>
        <v>20</v>
      </c>
      <c r="G161" s="30">
        <f>IFERROR(__xludf.DUMMYFUNCTION("""COMPUTED_VALUE"""),11.0)</f>
        <v>11</v>
      </c>
      <c r="H161" s="42">
        <f>IFERROR(__xludf.DUMMYFUNCTION("""COMPUTED_VALUE"""),0.6451612903225806)</f>
        <v>0.6451612903</v>
      </c>
      <c r="I161" s="42">
        <f>IFERROR(__xludf.DUMMYFUNCTION("""COMPUTED_VALUE"""),0.28735632183908044)</f>
        <v>0.2873563218</v>
      </c>
      <c r="J161" s="30">
        <f>IFERROR(__xludf.DUMMYFUNCTION("""COMPUTED_VALUE"""),327.38709677419354)</f>
        <v>327.3870968</v>
      </c>
      <c r="K161" s="30">
        <f>IFERROR(__xludf.DUMMYFUNCTION("""COMPUTED_VALUE"""),0.8064516129032258)</f>
        <v>0.8064516129</v>
      </c>
      <c r="L161" s="30">
        <f>IFERROR(__xludf.DUMMYFUNCTION("""COMPUTED_VALUE"""),0.5483870967741935)</f>
        <v>0.5483870968</v>
      </c>
      <c r="M161" s="30">
        <f>IFERROR(__xludf.DUMMYFUNCTION("""COMPUTED_VALUE"""),1.032258064516129)</f>
        <v>1.032258065</v>
      </c>
      <c r="N161" s="30">
        <f>IFERROR(__xludf.DUMMYFUNCTION("""COMPUTED_VALUE"""),2.806451612903226)</f>
        <v>2.806451613</v>
      </c>
      <c r="O161" s="30">
        <f>IFERROR(__xludf.DUMMYFUNCTION("""COMPUTED_VALUE"""),350.81720430107526)</f>
        <v>350.8172043</v>
      </c>
      <c r="P161" s="30">
        <f>IFERROR(__xludf.DUMMYFUNCTION("""COMPUTED_VALUE"""),0.6236559139784947)</f>
        <v>0.623655914</v>
      </c>
      <c r="Q161" s="30">
        <f>IFERROR(__xludf.DUMMYFUNCTION("""COMPUTED_VALUE"""),0.4946236559139785)</f>
        <v>0.4946236559</v>
      </c>
      <c r="R161" s="30">
        <f>IFERROR(__xludf.DUMMYFUNCTION("""COMPUTED_VALUE"""),1.655913978494624)</f>
        <v>1.655913978</v>
      </c>
      <c r="S161" s="30">
        <f>IFERROR(__xludf.DUMMYFUNCTION("""COMPUTED_VALUE"""),2.440860215053763)</f>
        <v>2.440860215</v>
      </c>
      <c r="T161" s="30">
        <f>IFERROR(__xludf.DUMMYFUNCTION("""COMPUTED_VALUE"""),361.8835078396548)</f>
        <v>361.8835078</v>
      </c>
      <c r="U161" s="30">
        <f>IFERROR(__xludf.DUMMYFUNCTION("""COMPUTED_VALUE"""),0.7104947682553309)</f>
        <v>0.7104947683</v>
      </c>
      <c r="V161" s="30">
        <f>IFERROR(__xludf.DUMMYFUNCTION("""COMPUTED_VALUE"""),0.586105709566787)</f>
        <v>0.5861057096</v>
      </c>
      <c r="W161" s="30">
        <f>IFERROR(__xludf.DUMMYFUNCTION("""COMPUTED_VALUE"""),1.5680577073853603)</f>
        <v>1.568057707</v>
      </c>
      <c r="X161" s="30">
        <f>IFERROR(__xludf.DUMMYFUNCTION("""COMPUTED_VALUE"""),2.598495945980068)</f>
        <v>2.598495946</v>
      </c>
      <c r="Y161" s="30">
        <f>IFERROR(__xludf.DUMMYFUNCTION("""COMPUTED_VALUE"""),365.40827659381785)</f>
        <v>365.4082766</v>
      </c>
      <c r="Z161" s="30">
        <f>IFERROR(__xludf.DUMMYFUNCTION("""COMPUTED_VALUE"""),0.8015396448710821)</f>
        <v>0.8015396449</v>
      </c>
      <c r="AA161" s="30">
        <f>IFERROR(__xludf.DUMMYFUNCTION("""COMPUTED_VALUE"""),0.5869097049735772)</f>
        <v>0.586909705</v>
      </c>
      <c r="AB161" s="30">
        <f>IFERROR(__xludf.DUMMYFUNCTION("""COMPUTED_VALUE"""),1.396334486434292)</f>
        <v>1.396334486</v>
      </c>
      <c r="AC161" s="30">
        <f>IFERROR(__xludf.DUMMYFUNCTION("""COMPUTED_VALUE"""),2.7890000389595664)</f>
        <v>2.789000039</v>
      </c>
      <c r="AD161" s="30">
        <f>IFERROR(__xludf.DUMMYFUNCTION("""COMPUTED_VALUE"""),0.8959487722225623)</f>
        <v>0.8959487722</v>
      </c>
      <c r="AE161" s="30">
        <f>IFERROR(__xludf.DUMMYFUNCTION("""COMPUTED_VALUE"""),1.006128166040912)</f>
        <v>1.006128166</v>
      </c>
      <c r="AF161" s="30">
        <f>IFERROR(__xludf.DUMMYFUNCTION("""COMPUTED_VALUE"""),0.9343636544549592)</f>
        <v>0.9343636545</v>
      </c>
      <c r="AG161" s="30">
        <f>IFERROR(__xludf.DUMMYFUNCTION("""COMPUTED_VALUE"""),0.7392627443816303)</f>
        <v>0.7392627444</v>
      </c>
      <c r="AH161" s="30">
        <f>IFERROR(__xludf.DUMMYFUNCTION("""COMPUTED_VALUE"""),1.006257287092104)</f>
        <v>1.006257287</v>
      </c>
      <c r="AI161" s="30">
        <f>IFERROR(__xludf.DUMMYFUNCTION("""COMPUTED_VALUE"""),0.9694202601145261)</f>
        <v>0.9694202601</v>
      </c>
      <c r="AJ161" s="30">
        <f>IFERROR(__xludf.DUMMYFUNCTION("""COMPUTED_VALUE"""),0.8777769265070382)</f>
        <v>0.8777769265</v>
      </c>
      <c r="AK161" s="30">
        <f>IFERROR(__xludf.DUMMYFUNCTION("""COMPUTED_VALUE"""),0.8439154368238003)</f>
        <v>0.8439154368</v>
      </c>
      <c r="AL161" s="30">
        <f>IFERROR(__xludf.DUMMYFUNCTION("""COMPUTED_VALUE"""),1.0560287231110637)</f>
        <v>1.056028723</v>
      </c>
      <c r="AM161" s="30">
        <f>IFERROR(__xludf.DUMMYFUNCTION("""COMPUTED_VALUE"""),0.939335779541942)</f>
        <v>0.9393357795</v>
      </c>
      <c r="AN161" s="30">
        <f>IFERROR(__xludf.DUMMYFUNCTION("""COMPUTED_VALUE"""),0.9282078734097886)</f>
        <v>0.9282078734</v>
      </c>
      <c r="AO161" s="30">
        <f>IFERROR(__xludf.DUMMYFUNCTION("""COMPUTED_VALUE"""),1.1307720907375898)</f>
        <v>1.130772091</v>
      </c>
      <c r="AP161" s="30">
        <f>IFERROR(__xludf.DUMMYFUNCTION("""COMPUTED_VALUE"""),0.9535899215823339)</f>
        <v>0.9535899216</v>
      </c>
      <c r="AQ161" s="30">
        <f>IFERROR(__xludf.DUMMYFUNCTION("""COMPUTED_VALUE"""),0.7236208164279461)</f>
        <v>0.7236208164</v>
      </c>
      <c r="AR161" s="30">
        <f>IFERROR(__xludf.DUMMYFUNCTION("""COMPUTED_VALUE"""),1.1140645506270521)</f>
        <v>1.114064551</v>
      </c>
      <c r="AS161" s="30">
        <f>IFERROR(__xludf.DUMMYFUNCTION("""COMPUTED_VALUE"""),87.0)</f>
        <v>87</v>
      </c>
      <c r="AT161" s="30">
        <f>IFERROR(__xludf.DUMMYFUNCTION("""COMPUTED_VALUE"""),0.6527873076300471)</f>
        <v>0.6527873076</v>
      </c>
      <c r="AU161" s="30">
        <f>IFERROR(__xludf.DUMMYFUNCTION("""COMPUTED_VALUE"""),2.606386076811514)</f>
        <v>2.606386077</v>
      </c>
      <c r="AV161" s="32">
        <f>IFERROR(__xludf.DUMMYFUNCTION("""COMPUTED_VALUE"""),57.915236962722815)</f>
        <v>57.91523696</v>
      </c>
      <c r="AW161" s="32">
        <f>IFERROR(__xludf.DUMMYFUNCTION("""COMPUTED_VALUE"""),2.661202534035348)</f>
        <v>2.661202534</v>
      </c>
      <c r="AX161" s="32">
        <f>IFERROR(__xludf.DUMMYFUNCTION("""COMPUTED_VALUE"""),40.06951442595976)</f>
        <v>40.06951443</v>
      </c>
      <c r="AY161" s="32">
        <f>IFERROR(__xludf.DUMMYFUNCTION("""COMPUTED_VALUE"""),-2.893494822667972)</f>
        <v>-2.893494823</v>
      </c>
      <c r="AZ161" s="30">
        <f>IFERROR(__xludf.DUMMYFUNCTION("""COMPUTED_VALUE"""),5.55469735670332)</f>
        <v>5.554697357</v>
      </c>
      <c r="BA161" s="30">
        <f>IFERROR(__xludf.DUMMYFUNCTION("""COMPUTED_VALUE"""),800.0)</f>
        <v>800</v>
      </c>
    </row>
    <row r="162">
      <c r="A162" s="30" t="str">
        <f>IFERROR(__xludf.DUMMYFUNCTION("""COMPUTED_VALUE"""),"Elite")</f>
        <v>Elite</v>
      </c>
      <c r="B162" s="30" t="str">
        <f>IFERROR(__xludf.DUMMYFUNCTION("""COMPUTED_VALUE"""),"RSC002097")</f>
        <v>RSC002097</v>
      </c>
      <c r="C162" s="30" t="str">
        <f>IFERROR(__xludf.DUMMYFUNCTION("""COMPUTED_VALUE"""),"NoobZ")</f>
        <v>NoobZ</v>
      </c>
      <c r="D162" s="30" t="str">
        <f>IFERROR(__xludf.DUMMYFUNCTION("""COMPUTED_VALUE"""),"Thrashers")</f>
        <v>Thrashers</v>
      </c>
      <c r="E162" s="30">
        <f>IFERROR(__xludf.DUMMYFUNCTION("""COMPUTED_VALUE"""),36.0)</f>
        <v>36</v>
      </c>
      <c r="F162" s="30">
        <f>IFERROR(__xludf.DUMMYFUNCTION("""COMPUTED_VALUE"""),19.0)</f>
        <v>19</v>
      </c>
      <c r="G162" s="30">
        <f>IFERROR(__xludf.DUMMYFUNCTION("""COMPUTED_VALUE"""),17.0)</f>
        <v>17</v>
      </c>
      <c r="H162" s="42">
        <f>IFERROR(__xludf.DUMMYFUNCTION("""COMPUTED_VALUE"""),0.5277777777777778)</f>
        <v>0.5277777778</v>
      </c>
      <c r="I162" s="42">
        <f>IFERROR(__xludf.DUMMYFUNCTION("""COMPUTED_VALUE"""),0.30303030303030304)</f>
        <v>0.303030303</v>
      </c>
      <c r="J162" s="30">
        <f>IFERROR(__xludf.DUMMYFUNCTION("""COMPUTED_VALUE"""),352.69444444444446)</f>
        <v>352.6944444</v>
      </c>
      <c r="K162" s="30">
        <f>IFERROR(__xludf.DUMMYFUNCTION("""COMPUTED_VALUE"""),0.8333333333333334)</f>
        <v>0.8333333333</v>
      </c>
      <c r="L162" s="30">
        <f>IFERROR(__xludf.DUMMYFUNCTION("""COMPUTED_VALUE"""),0.6111111111111112)</f>
        <v>0.6111111111</v>
      </c>
      <c r="M162" s="30">
        <f>IFERROR(__xludf.DUMMYFUNCTION("""COMPUTED_VALUE"""),1.1388888888888888)</f>
        <v>1.138888889</v>
      </c>
      <c r="N162" s="30">
        <f>IFERROR(__xludf.DUMMYFUNCTION("""COMPUTED_VALUE"""),2.75)</f>
        <v>2.75</v>
      </c>
      <c r="O162" s="30">
        <f>IFERROR(__xludf.DUMMYFUNCTION("""COMPUTED_VALUE"""),376.5648148148148)</f>
        <v>376.5648148</v>
      </c>
      <c r="P162" s="30">
        <f>IFERROR(__xludf.DUMMYFUNCTION("""COMPUTED_VALUE"""),0.898148148148148)</f>
        <v>0.8981481481</v>
      </c>
      <c r="Q162" s="30">
        <f>IFERROR(__xludf.DUMMYFUNCTION("""COMPUTED_VALUE"""),0.6481481481481483)</f>
        <v>0.6481481481</v>
      </c>
      <c r="R162" s="30">
        <f>IFERROR(__xludf.DUMMYFUNCTION("""COMPUTED_VALUE"""),1.5185185185185184)</f>
        <v>1.518518519</v>
      </c>
      <c r="S162" s="30">
        <f>IFERROR(__xludf.DUMMYFUNCTION("""COMPUTED_VALUE"""),2.5462962962962963)</f>
        <v>2.546296296</v>
      </c>
      <c r="T162" s="30">
        <f>IFERROR(__xludf.DUMMYFUNCTION("""COMPUTED_VALUE"""),368.4035286567312)</f>
        <v>368.4035287</v>
      </c>
      <c r="U162" s="30">
        <f>IFERROR(__xludf.DUMMYFUNCTION("""COMPUTED_VALUE"""),0.8051259124550891)</f>
        <v>0.8051259125</v>
      </c>
      <c r="V162" s="30">
        <f>IFERROR(__xludf.DUMMYFUNCTION("""COMPUTED_VALUE"""),0.6141087762578504)</f>
        <v>0.6141087763</v>
      </c>
      <c r="W162" s="30">
        <f>IFERROR(__xludf.DUMMYFUNCTION("""COMPUTED_VALUE"""),1.4282221704968117)</f>
        <v>1.42822217</v>
      </c>
      <c r="X162" s="30">
        <f>IFERROR(__xludf.DUMMYFUNCTION("""COMPUTED_VALUE"""),2.6976929219493577)</f>
        <v>2.697692922</v>
      </c>
      <c r="Y162" s="30">
        <f>IFERROR(__xludf.DUMMYFUNCTION("""COMPUTED_VALUE"""),344.9032302066567)</f>
        <v>344.9032302</v>
      </c>
      <c r="Z162" s="30">
        <f>IFERROR(__xludf.DUMMYFUNCTION("""COMPUTED_VALUE"""),0.6990731273057497)</f>
        <v>0.6990731273</v>
      </c>
      <c r="AA162" s="30">
        <f>IFERROR(__xludf.DUMMYFUNCTION("""COMPUTED_VALUE"""),0.5056816235824899)</f>
        <v>0.5056816236</v>
      </c>
      <c r="AB162" s="30">
        <f>IFERROR(__xludf.DUMMYFUNCTION("""COMPUTED_VALUE"""),1.404643681359883)</f>
        <v>1.404643681</v>
      </c>
      <c r="AC162" s="30">
        <f>IFERROR(__xludf.DUMMYFUNCTION("""COMPUTED_VALUE"""),2.514119393109605)</f>
        <v>2.514119393</v>
      </c>
      <c r="AD162" s="30">
        <f>IFERROR(__xludf.DUMMYFUNCTION("""COMPUTED_VALUE"""),1.02258956587075)</f>
        <v>1.022589566</v>
      </c>
      <c r="AE162" s="30">
        <f>IFERROR(__xludf.DUMMYFUNCTION("""COMPUTED_VALUE"""),1.1920545945529717)</f>
        <v>1.192054595</v>
      </c>
      <c r="AF162" s="30">
        <f>IFERROR(__xludf.DUMMYFUNCTION("""COMPUTED_VALUE"""),1.2084898533225479)</f>
        <v>1.208489853</v>
      </c>
      <c r="AG162" s="30">
        <f>IFERROR(__xludf.DUMMYFUNCTION("""COMPUTED_VALUE"""),0.810802699647139)</f>
        <v>0.8108026996</v>
      </c>
      <c r="AH162" s="30">
        <f>IFERROR(__xludf.DUMMYFUNCTION("""COMPUTED_VALUE"""),1.0938223568605645)</f>
        <v>1.093822357</v>
      </c>
      <c r="AI162" s="30">
        <f>IFERROR(__xludf.DUMMYFUNCTION("""COMPUTED_VALUE"""),1.0221531161437056)</f>
        <v>1.022153116</v>
      </c>
      <c r="AJ162" s="30">
        <f>IFERROR(__xludf.DUMMYFUNCTION("""COMPUTED_VALUE"""),1.115537500723836)</f>
        <v>1.115537501</v>
      </c>
      <c r="AK162" s="30">
        <f>IFERROR(__xludf.DUMMYFUNCTION("""COMPUTED_VALUE"""),1.0554288966487682)</f>
        <v>1.055428897</v>
      </c>
      <c r="AL162" s="30">
        <f>IFERROR(__xludf.DUMMYFUNCTION("""COMPUTED_VALUE"""),1.0632229003911182)</f>
        <v>1.0632229</v>
      </c>
      <c r="AM162" s="30">
        <f>IFERROR(__xludf.DUMMYFUNCTION("""COMPUTED_VALUE"""),0.9438792219747302)</f>
        <v>0.943879222</v>
      </c>
      <c r="AN162" s="30">
        <f>IFERROR(__xludf.DUMMYFUNCTION("""COMPUTED_VALUE"""),0.9999592637183923)</f>
        <v>0.9999592637</v>
      </c>
      <c r="AO162" s="30">
        <f>IFERROR(__xludf.DUMMYFUNCTION("""COMPUTED_VALUE"""),1.1684644937621762)</f>
        <v>1.168464494</v>
      </c>
      <c r="AP162" s="30">
        <f>IFERROR(__xludf.DUMMYFUNCTION("""COMPUTED_VALUE"""),1.06266066424698)</f>
        <v>1.062660664</v>
      </c>
      <c r="AQ162" s="30">
        <f>IFERROR(__xludf.DUMMYFUNCTION("""COMPUTED_VALUE"""),0.7983698417360412)</f>
        <v>0.7983698417</v>
      </c>
      <c r="AR162" s="30">
        <f>IFERROR(__xludf.DUMMYFUNCTION("""COMPUTED_VALUE"""),1.0916552062178873)</f>
        <v>1.091655206</v>
      </c>
      <c r="AS162" s="30">
        <f>IFERROR(__xludf.DUMMYFUNCTION("""COMPUTED_VALUE"""),96.0)</f>
        <v>96</v>
      </c>
      <c r="AT162" s="30">
        <f>IFERROR(__xludf.DUMMYFUNCTION("""COMPUTED_VALUE"""),0.4958052843870312)</f>
        <v>0.4958052844</v>
      </c>
      <c r="AU162" s="30">
        <f>IFERROR(__xludf.DUMMYFUNCTION("""COMPUTED_VALUE"""),2.7786400242357963)</f>
        <v>2.778640024</v>
      </c>
      <c r="AV162" s="32">
        <f>IFERROR(__xludf.DUMMYFUNCTION("""COMPUTED_VALUE"""),62.75547971631837)</f>
        <v>62.75547972</v>
      </c>
      <c r="AW162" s="32">
        <f>IFERROR(__xludf.DUMMYFUNCTION("""COMPUTED_VALUE"""),3.2792373379175235)</f>
        <v>3.279237338</v>
      </c>
      <c r="AX162" s="32">
        <f>IFERROR(__xludf.DUMMYFUNCTION("""COMPUTED_VALUE"""),46.57500919395238)</f>
        <v>46.57500919</v>
      </c>
      <c r="AY162" s="32">
        <f>IFERROR(__xludf.DUMMYFUNCTION("""COMPUTED_VALUE"""),-2.2445906005693246)</f>
        <v>-2.244590601</v>
      </c>
      <c r="AZ162" s="30">
        <f>IFERROR(__xludf.DUMMYFUNCTION("""COMPUTED_VALUE"""),5.523827938486848)</f>
        <v>5.523827938</v>
      </c>
      <c r="BA162" s="30">
        <f>IFERROR(__xludf.DUMMYFUNCTION("""COMPUTED_VALUE"""),800.0)</f>
        <v>800</v>
      </c>
    </row>
    <row r="163">
      <c r="A163" s="30" t="str">
        <f>IFERROR(__xludf.DUMMYFUNCTION("""COMPUTED_VALUE"""),"Elite")</f>
        <v>Elite</v>
      </c>
      <c r="B163" s="30" t="str">
        <f>IFERROR(__xludf.DUMMYFUNCTION("""COMPUTED_VALUE"""),"RSC003360")</f>
        <v>RSC003360</v>
      </c>
      <c r="C163" s="30" t="str">
        <f>IFERROR(__xludf.DUMMYFUNCTION("""COMPUTED_VALUE"""),"flossy")</f>
        <v>flossy</v>
      </c>
      <c r="D163" s="30" t="str">
        <f>IFERROR(__xludf.DUMMYFUNCTION("""COMPUTED_VALUE"""),"Geeky Ghouls")</f>
        <v>Geeky Ghouls</v>
      </c>
      <c r="E163" s="30">
        <f>IFERROR(__xludf.DUMMYFUNCTION("""COMPUTED_VALUE"""),36.0)</f>
        <v>36</v>
      </c>
      <c r="F163" s="30">
        <f>IFERROR(__xludf.DUMMYFUNCTION("""COMPUTED_VALUE"""),17.0)</f>
        <v>17</v>
      </c>
      <c r="G163" s="30">
        <f>IFERROR(__xludf.DUMMYFUNCTION("""COMPUTED_VALUE"""),19.0)</f>
        <v>19</v>
      </c>
      <c r="H163" s="42">
        <f>IFERROR(__xludf.DUMMYFUNCTION("""COMPUTED_VALUE"""),0.4722222222222222)</f>
        <v>0.4722222222</v>
      </c>
      <c r="I163" s="42">
        <f>IFERROR(__xludf.DUMMYFUNCTION("""COMPUTED_VALUE"""),0.26804123711340205)</f>
        <v>0.2680412371</v>
      </c>
      <c r="J163" s="30">
        <f>IFERROR(__xludf.DUMMYFUNCTION("""COMPUTED_VALUE"""),339.1111111111111)</f>
        <v>339.1111111</v>
      </c>
      <c r="K163" s="30">
        <f>IFERROR(__xludf.DUMMYFUNCTION("""COMPUTED_VALUE"""),0.7222222222222222)</f>
        <v>0.7222222222</v>
      </c>
      <c r="L163" s="30">
        <f>IFERROR(__xludf.DUMMYFUNCTION("""COMPUTED_VALUE"""),0.4722222222222222)</f>
        <v>0.4722222222</v>
      </c>
      <c r="M163" s="30">
        <f>IFERROR(__xludf.DUMMYFUNCTION("""COMPUTED_VALUE"""),1.5)</f>
        <v>1.5</v>
      </c>
      <c r="N163" s="30">
        <f>IFERROR(__xludf.DUMMYFUNCTION("""COMPUTED_VALUE"""),2.6944444444444446)</f>
        <v>2.694444444</v>
      </c>
      <c r="O163" s="30">
        <f>IFERROR(__xludf.DUMMYFUNCTION("""COMPUTED_VALUE"""),385.05555555555554)</f>
        <v>385.0555556</v>
      </c>
      <c r="P163" s="30">
        <f>IFERROR(__xludf.DUMMYFUNCTION("""COMPUTED_VALUE"""),0.824074074074074)</f>
        <v>0.8240740741</v>
      </c>
      <c r="Q163" s="30">
        <f>IFERROR(__xludf.DUMMYFUNCTION("""COMPUTED_VALUE"""),0.6388888888888888)</f>
        <v>0.6388888889</v>
      </c>
      <c r="R163" s="30">
        <f>IFERROR(__xludf.DUMMYFUNCTION("""COMPUTED_VALUE"""),1.6018518518518516)</f>
        <v>1.601851852</v>
      </c>
      <c r="S163" s="30">
        <f>IFERROR(__xludf.DUMMYFUNCTION("""COMPUTED_VALUE"""),2.7685185185185186)</f>
        <v>2.768518519</v>
      </c>
      <c r="T163" s="30">
        <f>IFERROR(__xludf.DUMMYFUNCTION("""COMPUTED_VALUE"""),372.251067842272)</f>
        <v>372.2510678</v>
      </c>
      <c r="U163" s="30">
        <f>IFERROR(__xludf.DUMMYFUNCTION("""COMPUTED_VALUE"""),0.8371154636865534)</f>
        <v>0.8371154637</v>
      </c>
      <c r="V163" s="30">
        <f>IFERROR(__xludf.DUMMYFUNCTION("""COMPUTED_VALUE"""),0.65796833539047)</f>
        <v>0.6579683354</v>
      </c>
      <c r="W163" s="30">
        <f>IFERROR(__xludf.DUMMYFUNCTION("""COMPUTED_VALUE"""),1.3613674152363757)</f>
        <v>1.361367415</v>
      </c>
      <c r="X163" s="30">
        <f>IFERROR(__xludf.DUMMYFUNCTION("""COMPUTED_VALUE"""),2.8449118147239676)</f>
        <v>2.844911815</v>
      </c>
      <c r="Y163" s="30">
        <f>IFERROR(__xludf.DUMMYFUNCTION("""COMPUTED_VALUE"""),354.08282054014643)</f>
        <v>354.0828205</v>
      </c>
      <c r="Z163" s="30">
        <f>IFERROR(__xludf.DUMMYFUNCTION("""COMPUTED_VALUE"""),0.707432556768346)</f>
        <v>0.7074325568</v>
      </c>
      <c r="AA163" s="30">
        <f>IFERROR(__xludf.DUMMYFUNCTION("""COMPUTED_VALUE"""),0.5200300434945367)</f>
        <v>0.5200300435</v>
      </c>
      <c r="AB163" s="30">
        <f>IFERROR(__xludf.DUMMYFUNCTION("""COMPUTED_VALUE"""),1.5314076318383805)</f>
        <v>1.531407632</v>
      </c>
      <c r="AC163" s="30">
        <f>IFERROR(__xludf.DUMMYFUNCTION("""COMPUTED_VALUE"""),2.502540529034737)</f>
        <v>2.502540529</v>
      </c>
      <c r="AD163" s="30">
        <f>IFERROR(__xludf.DUMMYFUNCTION("""COMPUTED_VALUE"""),0.957716927903488)</f>
        <v>0.9577169279</v>
      </c>
      <c r="AE163" s="30">
        <f>IFERROR(__xludf.DUMMYFUNCTION("""COMPUTED_VALUE"""),1.0209061136816173)</f>
        <v>1.020906114</v>
      </c>
      <c r="AF163" s="30">
        <f>IFERROR(__xludf.DUMMYFUNCTION("""COMPUTED_VALUE"""),0.9080671936739424)</f>
        <v>0.9080671937</v>
      </c>
      <c r="AG163" s="30">
        <f>IFERROR(__xludf.DUMMYFUNCTION("""COMPUTED_VALUE"""),0.9794910047557507)</f>
        <v>0.9794910048</v>
      </c>
      <c r="AH163" s="30">
        <f>IFERROR(__xludf.DUMMYFUNCTION("""COMPUTED_VALUE"""),1.0766836393589707)</f>
        <v>1.076683639</v>
      </c>
      <c r="AI163" s="30">
        <f>IFERROR(__xludf.DUMMYFUNCTION("""COMPUTED_VALUE"""),1.03439745059028)</f>
        <v>1.034397451</v>
      </c>
      <c r="AJ163" s="30">
        <f>IFERROR(__xludf.DUMMYFUNCTION("""COMPUTED_VALUE"""),0.9844210384609946)</f>
        <v>0.9844210385</v>
      </c>
      <c r="AK163" s="30">
        <f>IFERROR(__xludf.DUMMYFUNCTION("""COMPUTED_VALUE"""),0.9710024852635827)</f>
        <v>0.9710024853</v>
      </c>
      <c r="AL163" s="30">
        <f>IFERROR(__xludf.DUMMYFUNCTION("""COMPUTED_VALUE"""),1.176649179291338)</f>
        <v>1.176649179</v>
      </c>
      <c r="AM163" s="30">
        <f>IFERROR(__xludf.DUMMYFUNCTION("""COMPUTED_VALUE"""),0.973147393950817)</f>
        <v>0.973147394</v>
      </c>
      <c r="AN163" s="30">
        <f>IFERROR(__xludf.DUMMYFUNCTION("""COMPUTED_VALUE"""),0.9614477980211178)</f>
        <v>0.961447798</v>
      </c>
      <c r="AO163" s="30">
        <f>IFERROR(__xludf.DUMMYFUNCTION("""COMPUTED_VALUE"""),1.0126692279272191)</f>
        <v>1.012669228</v>
      </c>
      <c r="AP163" s="30">
        <f>IFERROR(__xludf.DUMMYFUNCTION("""COMPUTED_VALUE"""),0.8211468769181209)</f>
        <v>0.8211468769</v>
      </c>
      <c r="AQ163" s="30">
        <f>IFERROR(__xludf.DUMMYFUNCTION("""COMPUTED_VALUE"""),1.0515114988718592)</f>
        <v>1.051511499</v>
      </c>
      <c r="AR163" s="30">
        <f>IFERROR(__xludf.DUMMYFUNCTION("""COMPUTED_VALUE"""),1.069601565688233)</f>
        <v>1.069601566</v>
      </c>
      <c r="AS163" s="30">
        <f>IFERROR(__xludf.DUMMYFUNCTION("""COMPUTED_VALUE"""),75.0)</f>
        <v>75</v>
      </c>
      <c r="AT163" s="30">
        <f>IFERROR(__xludf.DUMMYFUNCTION("""COMPUTED_VALUE"""),0.43426558690057926)</f>
        <v>0.4342655869</v>
      </c>
      <c r="AU163" s="30">
        <f>IFERROR(__xludf.DUMMYFUNCTION("""COMPUTED_VALUE"""),2.4272751044137477)</f>
        <v>2.427275104</v>
      </c>
      <c r="AV163" s="32">
        <f>IFERROR(__xludf.DUMMYFUNCTION("""COMPUTED_VALUE"""),52.88231551621242)</f>
        <v>52.88231552</v>
      </c>
      <c r="AW163" s="32">
        <f>IFERROR(__xludf.DUMMYFUNCTION("""COMPUTED_VALUE"""),2.2021261396802236)</f>
        <v>2.20212614</v>
      </c>
      <c r="AX163" s="32">
        <f>IFERROR(__xludf.DUMMYFUNCTION("""COMPUTED_VALUE"""),37.21307492934123)</f>
        <v>37.21307493</v>
      </c>
      <c r="AY163" s="32">
        <f>IFERROR(__xludf.DUMMYFUNCTION("""COMPUTED_VALUE"""),-3.2839801061068927)</f>
        <v>-3.283980106</v>
      </c>
      <c r="AZ163" s="30">
        <f>IFERROR(__xludf.DUMMYFUNCTION("""COMPUTED_VALUE"""),5.486106245787116)</f>
        <v>5.486106246</v>
      </c>
      <c r="BA163" s="30">
        <f>IFERROR(__xludf.DUMMYFUNCTION("""COMPUTED_VALUE"""),800.0)</f>
        <v>800</v>
      </c>
    </row>
    <row r="164">
      <c r="A164" s="30" t="str">
        <f>IFERROR(__xludf.DUMMYFUNCTION("""COMPUTED_VALUE"""),"Elite")</f>
        <v>Elite</v>
      </c>
      <c r="B164" s="30" t="str">
        <f>IFERROR(__xludf.DUMMYFUNCTION("""COMPUTED_VALUE"""),"RSC004863")</f>
        <v>RSC004863</v>
      </c>
      <c r="C164" s="30" t="str">
        <f>IFERROR(__xludf.DUMMYFUNCTION("""COMPUTED_VALUE"""),"wicked")</f>
        <v>wicked</v>
      </c>
      <c r="D164" s="30" t="str">
        <f>IFERROR(__xludf.DUMMYFUNCTION("""COMPUTED_VALUE"""),"Forge Defenders")</f>
        <v>Forge Defenders</v>
      </c>
      <c r="E164" s="30">
        <f>IFERROR(__xludf.DUMMYFUNCTION("""COMPUTED_VALUE"""),29.0)</f>
        <v>29</v>
      </c>
      <c r="F164" s="30">
        <f>IFERROR(__xludf.DUMMYFUNCTION("""COMPUTED_VALUE"""),17.0)</f>
        <v>17</v>
      </c>
      <c r="G164" s="30">
        <f>IFERROR(__xludf.DUMMYFUNCTION("""COMPUTED_VALUE"""),12.0)</f>
        <v>12</v>
      </c>
      <c r="H164" s="42">
        <f>IFERROR(__xludf.DUMMYFUNCTION("""COMPUTED_VALUE"""),0.5862068965517241)</f>
        <v>0.5862068966</v>
      </c>
      <c r="I164" s="42">
        <f>IFERROR(__xludf.DUMMYFUNCTION("""COMPUTED_VALUE"""),0.22340425531914895)</f>
        <v>0.2234042553</v>
      </c>
      <c r="J164" s="30">
        <f>IFERROR(__xludf.DUMMYFUNCTION("""COMPUTED_VALUE"""),346.44827586206895)</f>
        <v>346.4482759</v>
      </c>
      <c r="K164" s="30">
        <f>IFERROR(__xludf.DUMMYFUNCTION("""COMPUTED_VALUE"""),0.7241379310344828)</f>
        <v>0.724137931</v>
      </c>
      <c r="L164" s="30">
        <f>IFERROR(__xludf.DUMMYFUNCTION("""COMPUTED_VALUE"""),0.4482758620689655)</f>
        <v>0.4482758621</v>
      </c>
      <c r="M164" s="30">
        <f>IFERROR(__xludf.DUMMYFUNCTION("""COMPUTED_VALUE"""),1.3448275862068966)</f>
        <v>1.344827586</v>
      </c>
      <c r="N164" s="30">
        <f>IFERROR(__xludf.DUMMYFUNCTION("""COMPUTED_VALUE"""),3.2413793103448274)</f>
        <v>3.24137931</v>
      </c>
      <c r="O164" s="30">
        <f>IFERROR(__xludf.DUMMYFUNCTION("""COMPUTED_VALUE"""),341.72413793103453)</f>
        <v>341.7241379</v>
      </c>
      <c r="P164" s="30">
        <f>IFERROR(__xludf.DUMMYFUNCTION("""COMPUTED_VALUE"""),0.6091954022988505)</f>
        <v>0.6091954023</v>
      </c>
      <c r="Q164" s="30">
        <f>IFERROR(__xludf.DUMMYFUNCTION("""COMPUTED_VALUE"""),0.45977011494252884)</f>
        <v>0.4597701149</v>
      </c>
      <c r="R164" s="30">
        <f>IFERROR(__xludf.DUMMYFUNCTION("""COMPUTED_VALUE"""),1.5402298850574714)</f>
        <v>1.540229885</v>
      </c>
      <c r="S164" s="30">
        <f>IFERROR(__xludf.DUMMYFUNCTION("""COMPUTED_VALUE"""),2.5172413793103443)</f>
        <v>2.517241379</v>
      </c>
      <c r="T164" s="30">
        <f>IFERROR(__xludf.DUMMYFUNCTION("""COMPUTED_VALUE"""),372.7168960370253)</f>
        <v>372.716896</v>
      </c>
      <c r="U164" s="30">
        <f>IFERROR(__xludf.DUMMYFUNCTION("""COMPUTED_VALUE"""),0.8347411843967965)</f>
        <v>0.8347411844</v>
      </c>
      <c r="V164" s="30">
        <f>IFERROR(__xludf.DUMMYFUNCTION("""COMPUTED_VALUE"""),0.580018691835795)</f>
        <v>0.5800186918</v>
      </c>
      <c r="W164" s="30">
        <f>IFERROR(__xludf.DUMMYFUNCTION("""COMPUTED_VALUE"""),1.457687864084172)</f>
        <v>1.457687864</v>
      </c>
      <c r="X164" s="30">
        <f>IFERROR(__xludf.DUMMYFUNCTION("""COMPUTED_VALUE"""),2.7887961142573854)</f>
        <v>2.788796114</v>
      </c>
      <c r="Y164" s="30">
        <f>IFERROR(__xludf.DUMMYFUNCTION("""COMPUTED_VALUE"""),359.45564070744365)</f>
        <v>359.4556407</v>
      </c>
      <c r="Z164" s="30">
        <f>IFERROR(__xludf.DUMMYFUNCTION("""COMPUTED_VALUE"""),0.7346723125120842)</f>
        <v>0.7346723125</v>
      </c>
      <c r="AA164" s="30">
        <f>IFERROR(__xludf.DUMMYFUNCTION("""COMPUTED_VALUE"""),0.5406072825292341)</f>
        <v>0.5406072825</v>
      </c>
      <c r="AB164" s="30">
        <f>IFERROR(__xludf.DUMMYFUNCTION("""COMPUTED_VALUE"""),1.4713687644038305)</f>
        <v>1.471368764</v>
      </c>
      <c r="AC164" s="30">
        <f>IFERROR(__xludf.DUMMYFUNCTION("""COMPUTED_VALUE"""),2.6360995742259288)</f>
        <v>2.636099574</v>
      </c>
      <c r="AD164" s="30">
        <f>IFERROR(__xludf.DUMMYFUNCTION("""COMPUTED_VALUE"""),0.9638137133700978)</f>
        <v>0.9638137134</v>
      </c>
      <c r="AE164" s="30">
        <f>IFERROR(__xludf.DUMMYFUNCTION("""COMPUTED_VALUE"""),0.9856611154412762)</f>
        <v>0.9856611154</v>
      </c>
      <c r="AF164" s="30">
        <f>IFERROR(__xludf.DUMMYFUNCTION("""COMPUTED_VALUE"""),0.8292079602992111)</f>
        <v>0.8292079603</v>
      </c>
      <c r="AG164" s="30">
        <f>IFERROR(__xludf.DUMMYFUNCTION("""COMPUTED_VALUE"""),0.9139976454181383)</f>
        <v>0.9139976454</v>
      </c>
      <c r="AH164" s="30">
        <f>IFERROR(__xludf.DUMMYFUNCTION("""COMPUTED_VALUE"""),1.2296118636932123)</f>
        <v>1.229611864</v>
      </c>
      <c r="AI164" s="30">
        <f>IFERROR(__xludf.DUMMYFUNCTION("""COMPUTED_VALUE"""),0.9168463827759716)</f>
        <v>0.9168463828</v>
      </c>
      <c r="AJ164" s="30">
        <f>IFERROR(__xludf.DUMMYFUNCTION("""COMPUTED_VALUE"""),0.7298015405087139)</f>
        <v>0.7298015405</v>
      </c>
      <c r="AK164" s="30">
        <f>IFERROR(__xludf.DUMMYFUNCTION("""COMPUTED_VALUE"""),0.7926815487399691)</f>
        <v>0.7926815487</v>
      </c>
      <c r="AL164" s="30">
        <f>IFERROR(__xludf.DUMMYFUNCTION("""COMPUTED_VALUE"""),1.0566253057372872)</f>
        <v>1.056625306</v>
      </c>
      <c r="AM164" s="30">
        <f>IFERROR(__xludf.DUMMYFUNCTION("""COMPUTED_VALUE"""),0.9026265371072665)</f>
        <v>0.9026265371</v>
      </c>
      <c r="AN164" s="30">
        <f>IFERROR(__xludf.DUMMYFUNCTION("""COMPUTED_VALUE"""),0.9822501269994072)</f>
        <v>0.982250127</v>
      </c>
      <c r="AO164" s="30">
        <f>IFERROR(__xludf.DUMMYFUNCTION("""COMPUTED_VALUE"""),1.0153553532002357)</f>
        <v>1.015355353</v>
      </c>
      <c r="AP164" s="30">
        <f>IFERROR(__xludf.DUMMYFUNCTION("""COMPUTED_VALUE"""),0.7795065687579729)</f>
        <v>0.7795065688</v>
      </c>
      <c r="AQ164" s="30">
        <f>IFERROR(__xludf.DUMMYFUNCTION("""COMPUTED_VALUE"""),0.9427344472644255)</f>
        <v>0.9427344473</v>
      </c>
      <c r="AR164" s="30">
        <f>IFERROR(__xludf.DUMMYFUNCTION("""COMPUTED_VALUE"""),1.2867158543508639)</f>
        <v>1.286715854</v>
      </c>
      <c r="AS164" s="30">
        <f>IFERROR(__xludf.DUMMYFUNCTION("""COMPUTED_VALUE"""),67.0)</f>
        <v>67</v>
      </c>
      <c r="AT164" s="30">
        <f>IFERROR(__xludf.DUMMYFUNCTION("""COMPUTED_VALUE"""),0.5871876130815263)</f>
        <v>0.5871876131</v>
      </c>
      <c r="AU164" s="30">
        <f>IFERROR(__xludf.DUMMYFUNCTION("""COMPUTED_VALUE"""),2.791342862403015)</f>
        <v>2.791342862</v>
      </c>
      <c r="AV164" s="32">
        <f>IFERROR(__xludf.DUMMYFUNCTION("""COMPUTED_VALUE"""),63.11242259808313)</f>
        <v>63.1124226</v>
      </c>
      <c r="AW164" s="32">
        <f>IFERROR(__xludf.DUMMYFUNCTION("""COMPUTED_VALUE"""),3.3337057490095097)</f>
        <v>3.333705749</v>
      </c>
      <c r="AX164" s="32">
        <f>IFERROR(__xludf.DUMMYFUNCTION("""COMPUTED_VALUE"""),47.7910680872997)</f>
        <v>47.79106809</v>
      </c>
      <c r="AY164" s="32">
        <f>IFERROR(__xludf.DUMMYFUNCTION("""COMPUTED_VALUE"""),-2.1514798510817066)</f>
        <v>-2.151479851</v>
      </c>
      <c r="AZ164" s="30">
        <f>IFERROR(__xludf.DUMMYFUNCTION("""COMPUTED_VALUE"""),5.485185600091216)</f>
        <v>5.4851856</v>
      </c>
      <c r="BA164" s="30">
        <f>IFERROR(__xludf.DUMMYFUNCTION("""COMPUTED_VALUE"""),800.0)</f>
        <v>800</v>
      </c>
    </row>
    <row r="165">
      <c r="A165" s="30" t="str">
        <f>IFERROR(__xludf.DUMMYFUNCTION("""COMPUTED_VALUE"""),"Elite")</f>
        <v>Elite</v>
      </c>
      <c r="B165" s="30" t="str">
        <f>IFERROR(__xludf.DUMMYFUNCTION("""COMPUTED_VALUE"""),"RSC005709")</f>
        <v>RSC005709</v>
      </c>
      <c r="C165" s="30" t="str">
        <f>IFERROR(__xludf.DUMMYFUNCTION("""COMPUTED_VALUE"""),"ZavaRL")</f>
        <v>ZavaRL</v>
      </c>
      <c r="D165" s="30" t="str">
        <f>IFERROR(__xludf.DUMMYFUNCTION("""COMPUTED_VALUE"""),"Orochi")</f>
        <v>Orochi</v>
      </c>
      <c r="E165" s="30">
        <f>IFERROR(__xludf.DUMMYFUNCTION("""COMPUTED_VALUE"""),13.0)</f>
        <v>13</v>
      </c>
      <c r="F165" s="30">
        <f>IFERROR(__xludf.DUMMYFUNCTION("""COMPUTED_VALUE"""),6.0)</f>
        <v>6</v>
      </c>
      <c r="G165" s="30">
        <f>IFERROR(__xludf.DUMMYFUNCTION("""COMPUTED_VALUE"""),7.0)</f>
        <v>7</v>
      </c>
      <c r="H165" s="42">
        <f>IFERROR(__xludf.DUMMYFUNCTION("""COMPUTED_VALUE"""),0.46153846153846156)</f>
        <v>0.4615384615</v>
      </c>
      <c r="I165" s="42">
        <f>IFERROR(__xludf.DUMMYFUNCTION("""COMPUTED_VALUE"""),0.15384615384615385)</f>
        <v>0.1538461538</v>
      </c>
      <c r="J165" s="30">
        <f>IFERROR(__xludf.DUMMYFUNCTION("""COMPUTED_VALUE"""),300.38461538461536)</f>
        <v>300.3846154</v>
      </c>
      <c r="K165" s="30">
        <f>IFERROR(__xludf.DUMMYFUNCTION("""COMPUTED_VALUE"""),0.3076923076923077)</f>
        <v>0.3076923077</v>
      </c>
      <c r="L165" s="30">
        <f>IFERROR(__xludf.DUMMYFUNCTION("""COMPUTED_VALUE"""),1.0)</f>
        <v>1</v>
      </c>
      <c r="M165" s="30">
        <f>IFERROR(__xludf.DUMMYFUNCTION("""COMPUTED_VALUE"""),1.2307692307692308)</f>
        <v>1.230769231</v>
      </c>
      <c r="N165" s="30">
        <f>IFERROR(__xludf.DUMMYFUNCTION("""COMPUTED_VALUE"""),2.0)</f>
        <v>2</v>
      </c>
      <c r="O165" s="30">
        <f>IFERROR(__xludf.DUMMYFUNCTION("""COMPUTED_VALUE"""),345.1282051282051)</f>
        <v>345.1282051</v>
      </c>
      <c r="P165" s="30">
        <f>IFERROR(__xludf.DUMMYFUNCTION("""COMPUTED_VALUE"""),0.7435897435897435)</f>
        <v>0.7435897436</v>
      </c>
      <c r="Q165" s="30">
        <f>IFERROR(__xludf.DUMMYFUNCTION("""COMPUTED_VALUE"""),0.46153846153846156)</f>
        <v>0.4615384615</v>
      </c>
      <c r="R165" s="30">
        <f>IFERROR(__xludf.DUMMYFUNCTION("""COMPUTED_VALUE"""),1.4102564102564101)</f>
        <v>1.41025641</v>
      </c>
      <c r="S165" s="30">
        <f>IFERROR(__xludf.DUMMYFUNCTION("""COMPUTED_VALUE"""),2.3076923076923075)</f>
        <v>2.307692308</v>
      </c>
      <c r="T165" s="30">
        <f>IFERROR(__xludf.DUMMYFUNCTION("""COMPUTED_VALUE"""),345.54753179185843)</f>
        <v>345.5475318</v>
      </c>
      <c r="U165" s="30">
        <f>IFERROR(__xludf.DUMMYFUNCTION("""COMPUTED_VALUE"""),0.7118214836774673)</f>
        <v>0.7118214837</v>
      </c>
      <c r="V165" s="30">
        <f>IFERROR(__xludf.DUMMYFUNCTION("""COMPUTED_VALUE"""),0.5374548461677701)</f>
        <v>0.5374548462</v>
      </c>
      <c r="W165" s="30">
        <f>IFERROR(__xludf.DUMMYFUNCTION("""COMPUTED_VALUE"""),1.3584014807404043)</f>
        <v>1.358401481</v>
      </c>
      <c r="X165" s="30">
        <f>IFERROR(__xludf.DUMMYFUNCTION("""COMPUTED_VALUE"""),2.454486409802271)</f>
        <v>2.45448641</v>
      </c>
      <c r="Y165" s="30">
        <f>IFERROR(__xludf.DUMMYFUNCTION("""COMPUTED_VALUE"""),356.1561362427274)</f>
        <v>356.1561362</v>
      </c>
      <c r="Z165" s="30">
        <f>IFERROR(__xludf.DUMMYFUNCTION("""COMPUTED_VALUE"""),0.7833115578586496)</f>
        <v>0.7833115579</v>
      </c>
      <c r="AA165" s="30">
        <f>IFERROR(__xludf.DUMMYFUNCTION("""COMPUTED_VALUE"""),0.5966363119238278)</f>
        <v>0.5966363119</v>
      </c>
      <c r="AB165" s="30">
        <f>IFERROR(__xludf.DUMMYFUNCTION("""COMPUTED_VALUE"""),1.3416229595337603)</f>
        <v>1.34162296</v>
      </c>
      <c r="AC165" s="30">
        <f>IFERROR(__xludf.DUMMYFUNCTION("""COMPUTED_VALUE"""),2.6099556502321772)</f>
        <v>2.60995565</v>
      </c>
      <c r="AD165" s="30">
        <f>IFERROR(__xludf.DUMMYFUNCTION("""COMPUTED_VALUE"""),0.843407103843628)</f>
        <v>0.8434071038</v>
      </c>
      <c r="AE165" s="30">
        <f>IFERROR(__xludf.DUMMYFUNCTION("""COMPUTED_VALUE"""),0.39280961018046345)</f>
        <v>0.3928096102</v>
      </c>
      <c r="AF165" s="30">
        <f>IFERROR(__xludf.DUMMYFUNCTION("""COMPUTED_VALUE"""),1.6760629214396012)</f>
        <v>1.676062921</v>
      </c>
      <c r="AG165" s="30">
        <f>IFERROR(__xludf.DUMMYFUNCTION("""COMPUTED_VALUE"""),0.9173734110788822)</f>
        <v>0.9173734111</v>
      </c>
      <c r="AH165" s="30">
        <f>IFERROR(__xludf.DUMMYFUNCTION("""COMPUTED_VALUE"""),0.7662965460053252)</f>
        <v>0.766296546</v>
      </c>
      <c r="AI165" s="30">
        <f>IFERROR(__xludf.DUMMYFUNCTION("""COMPUTED_VALUE"""),0.9987864863005129)</f>
        <v>0.9987864863</v>
      </c>
      <c r="AJ165" s="30">
        <f>IFERROR(__xludf.DUMMYFUNCTION("""COMPUTED_VALUE"""),1.0446295323205932)</f>
        <v>1.044629532</v>
      </c>
      <c r="AK165" s="30">
        <f>IFERROR(__xludf.DUMMYFUNCTION("""COMPUTED_VALUE"""),0.8587483484973346)</f>
        <v>0.8587483485</v>
      </c>
      <c r="AL165" s="30">
        <f>IFERROR(__xludf.DUMMYFUNCTION("""COMPUTED_VALUE"""),1.0381734930734483)</f>
        <v>1.038173493</v>
      </c>
      <c r="AM165" s="30">
        <f>IFERROR(__xludf.DUMMYFUNCTION("""COMPUTED_VALUE"""),0.9401935567767967)</f>
        <v>0.9401935568</v>
      </c>
      <c r="AN165" s="30">
        <f>IFERROR(__xludf.DUMMYFUNCTION("""COMPUTED_VALUE"""),0.8516504401011237)</f>
        <v>0.8516504401</v>
      </c>
      <c r="AO165" s="30">
        <f>IFERROR(__xludf.DUMMYFUNCTION("""COMPUTED_VALUE"""),0.4314330438506496)</f>
        <v>0.4314330439</v>
      </c>
      <c r="AP165" s="30">
        <f>IFERROR(__xludf.DUMMYFUNCTION("""COMPUTED_VALUE"""),1.7388992687677856)</f>
        <v>1.738899269</v>
      </c>
      <c r="AQ165" s="30">
        <f>IFERROR(__xludf.DUMMYFUNCTION("""COMPUTED_VALUE"""),0.8627786657410127)</f>
        <v>0.8627786657</v>
      </c>
      <c r="AR165" s="30">
        <f>IFERROR(__xludf.DUMMYFUNCTION("""COMPUTED_VALUE"""),0.7939310590675543)</f>
        <v>0.7939310591</v>
      </c>
      <c r="AS165" s="30">
        <f>IFERROR(__xludf.DUMMYFUNCTION("""COMPUTED_VALUE"""),28.0)</f>
        <v>28</v>
      </c>
      <c r="AT165" s="30">
        <f>IFERROR(__xludf.DUMMYFUNCTION("""COMPUTED_VALUE"""),0.48659490286209783)</f>
        <v>0.4865949029</v>
      </c>
      <c r="AU165" s="30">
        <f>IFERROR(__xludf.DUMMYFUNCTION("""COMPUTED_VALUE"""),1.8768483564097067)</f>
        <v>1.876848356</v>
      </c>
      <c r="AV165" s="32">
        <f>IFERROR(__xludf.DUMMYFUNCTION("""COMPUTED_VALUE"""),37.41562161311431)</f>
        <v>37.41562161</v>
      </c>
      <c r="AW165" s="32">
        <f>IFERROR(__xludf.DUMMYFUNCTION("""COMPUTED_VALUE"""),-3.253616741943908)</f>
        <v>-3.253616742</v>
      </c>
      <c r="AX165" s="32">
        <f>IFERROR(__xludf.DUMMYFUNCTION("""COMPUTED_VALUE"""),51.408354549383475)</f>
        <v>51.40835455</v>
      </c>
      <c r="AY165" s="32">
        <f>IFERROR(__xludf.DUMMYFUNCTION("""COMPUTED_VALUE"""),2.094075090486494)</f>
        <v>2.09407509</v>
      </c>
      <c r="AZ165" s="30">
        <f>IFERROR(__xludf.DUMMYFUNCTION("""COMPUTED_VALUE"""),5.347691832430402)</f>
        <v>5.347691832</v>
      </c>
      <c r="BA165" s="30">
        <f>IFERROR(__xludf.DUMMYFUNCTION("""COMPUTED_VALUE"""),800.0)</f>
        <v>800</v>
      </c>
    </row>
    <row r="166">
      <c r="A166" s="30" t="str">
        <f>IFERROR(__xludf.DUMMYFUNCTION("""COMPUTED_VALUE"""),"Elite")</f>
        <v>Elite</v>
      </c>
      <c r="B166" s="30" t="str">
        <f>IFERROR(__xludf.DUMMYFUNCTION("""COMPUTED_VALUE"""),"RSC003427")</f>
        <v>RSC003427</v>
      </c>
      <c r="C166" s="30" t="str">
        <f>IFERROR(__xludf.DUMMYFUNCTION("""COMPUTED_VALUE"""),"(P|F)ineapple")</f>
        <v>(P|F)ineapple</v>
      </c>
      <c r="D166" s="30" t="str">
        <f>IFERROR(__xludf.DUMMYFUNCTION("""COMPUTED_VALUE"""),"Orochi")</f>
        <v>Orochi</v>
      </c>
      <c r="E166" s="30">
        <f>IFERROR(__xludf.DUMMYFUNCTION("""COMPUTED_VALUE"""),33.0)</f>
        <v>33</v>
      </c>
      <c r="F166" s="30">
        <f>IFERROR(__xludf.DUMMYFUNCTION("""COMPUTED_VALUE"""),15.0)</f>
        <v>15</v>
      </c>
      <c r="G166" s="30">
        <f>IFERROR(__xludf.DUMMYFUNCTION("""COMPUTED_VALUE"""),18.0)</f>
        <v>18</v>
      </c>
      <c r="H166" s="42">
        <f>IFERROR(__xludf.DUMMYFUNCTION("""COMPUTED_VALUE"""),0.45454545454545453)</f>
        <v>0.4545454545</v>
      </c>
      <c r="I166" s="42">
        <f>IFERROR(__xludf.DUMMYFUNCTION("""COMPUTED_VALUE"""),0.4)</f>
        <v>0.4</v>
      </c>
      <c r="J166" s="30">
        <f>IFERROR(__xludf.DUMMYFUNCTION("""COMPUTED_VALUE"""),351.8787878787879)</f>
        <v>351.8787879</v>
      </c>
      <c r="K166" s="30">
        <f>IFERROR(__xludf.DUMMYFUNCTION("""COMPUTED_VALUE"""),0.8484848484848485)</f>
        <v>0.8484848485</v>
      </c>
      <c r="L166" s="30">
        <f>IFERROR(__xludf.DUMMYFUNCTION("""COMPUTED_VALUE"""),0.48484848484848486)</f>
        <v>0.4848484848</v>
      </c>
      <c r="M166" s="30">
        <f>IFERROR(__xludf.DUMMYFUNCTION("""COMPUTED_VALUE"""),1.5757575757575757)</f>
        <v>1.575757576</v>
      </c>
      <c r="N166" s="30">
        <f>IFERROR(__xludf.DUMMYFUNCTION("""COMPUTED_VALUE"""),2.121212121212121)</f>
        <v>2.121212121</v>
      </c>
      <c r="O166" s="30">
        <f>IFERROR(__xludf.DUMMYFUNCTION("""COMPUTED_VALUE"""),362.4343434343434)</f>
        <v>362.4343434</v>
      </c>
      <c r="P166" s="30">
        <f>IFERROR(__xludf.DUMMYFUNCTION("""COMPUTED_VALUE"""),0.828282828282828)</f>
        <v>0.8282828283</v>
      </c>
      <c r="Q166" s="30">
        <f>IFERROR(__xludf.DUMMYFUNCTION("""COMPUTED_VALUE"""),0.616161616161616)</f>
        <v>0.6161616162</v>
      </c>
      <c r="R166" s="30">
        <f>IFERROR(__xludf.DUMMYFUNCTION("""COMPUTED_VALUE"""),1.3030303030303028)</f>
        <v>1.303030303</v>
      </c>
      <c r="S166" s="30">
        <f>IFERROR(__xludf.DUMMYFUNCTION("""COMPUTED_VALUE"""),2.86868686868687)</f>
        <v>2.868686869</v>
      </c>
      <c r="T166" s="30">
        <f>IFERROR(__xludf.DUMMYFUNCTION("""COMPUTED_VALUE"""),372.13984923697296)</f>
        <v>372.1398492</v>
      </c>
      <c r="U166" s="30">
        <f>IFERROR(__xludf.DUMMYFUNCTION("""COMPUTED_VALUE"""),0.8144821635563396)</f>
        <v>0.8144821636</v>
      </c>
      <c r="V166" s="30">
        <f>IFERROR(__xludf.DUMMYFUNCTION("""COMPUTED_VALUE"""),0.6354636641480353)</f>
        <v>0.6354636641</v>
      </c>
      <c r="W166" s="30">
        <f>IFERROR(__xludf.DUMMYFUNCTION("""COMPUTED_VALUE"""),1.390831997403528)</f>
        <v>1.390831997</v>
      </c>
      <c r="X166" s="30">
        <f>IFERROR(__xludf.DUMMYFUNCTION("""COMPUTED_VALUE"""),2.847924338060154)</f>
        <v>2.847924338</v>
      </c>
      <c r="Y166" s="30">
        <f>IFERROR(__xludf.DUMMYFUNCTION("""COMPUTED_VALUE"""),353.41773016527696)</f>
        <v>353.4177302</v>
      </c>
      <c r="Z166" s="30">
        <f>IFERROR(__xludf.DUMMYFUNCTION("""COMPUTED_VALUE"""),0.6863507631870998)</f>
        <v>0.6863507632</v>
      </c>
      <c r="AA166" s="30">
        <f>IFERROR(__xludf.DUMMYFUNCTION("""COMPUTED_VALUE"""),0.5170382314195212)</f>
        <v>0.5170382314</v>
      </c>
      <c r="AB166" s="30">
        <f>IFERROR(__xludf.DUMMYFUNCTION("""COMPUTED_VALUE"""),1.5481932874563766)</f>
        <v>1.548193287</v>
      </c>
      <c r="AC166" s="30">
        <f>IFERROR(__xludf.DUMMYFUNCTION("""COMPUTED_VALUE"""),2.495741411177198)</f>
        <v>2.495741411</v>
      </c>
      <c r="AD166" s="30">
        <f>IFERROR(__xludf.DUMMYFUNCTION("""COMPUTED_VALUE"""),0.9956455430638146)</f>
        <v>0.9956455431</v>
      </c>
      <c r="AE166" s="30">
        <f>IFERROR(__xludf.DUMMYFUNCTION("""COMPUTED_VALUE"""),1.2362262766997913)</f>
        <v>1.236226277</v>
      </c>
      <c r="AF166" s="30">
        <f>IFERROR(__xludf.DUMMYFUNCTION("""COMPUTED_VALUE"""),0.9377420379869011)</f>
        <v>0.937742038</v>
      </c>
      <c r="AG166" s="30">
        <f>IFERROR(__xludf.DUMMYFUNCTION("""COMPUTED_VALUE"""),1.0178041647154317)</f>
        <v>1.017804165</v>
      </c>
      <c r="AH166" s="30">
        <f>IFERROR(__xludf.DUMMYFUNCTION("""COMPUTED_VALUE"""),0.8499326539649724)</f>
        <v>0.849932654</v>
      </c>
      <c r="AI166" s="30">
        <f>IFERROR(__xludf.DUMMYFUNCTION("""COMPUTED_VALUE"""),0.9739197352217736)</f>
        <v>0.9739197352</v>
      </c>
      <c r="AJ166" s="30">
        <f>IFERROR(__xludf.DUMMYFUNCTION("""COMPUTED_VALUE"""),1.0169440969293047)</f>
        <v>1.016944097</v>
      </c>
      <c r="AK166" s="30">
        <f>IFERROR(__xludf.DUMMYFUNCTION("""COMPUTED_VALUE"""),0.9696252530625846)</f>
        <v>0.9696252531</v>
      </c>
      <c r="AL166" s="30">
        <f>IFERROR(__xludf.DUMMYFUNCTION("""COMPUTED_VALUE"""),0.936871099789811)</f>
        <v>0.9368710998</v>
      </c>
      <c r="AM166" s="30">
        <f>IFERROR(__xludf.DUMMYFUNCTION("""COMPUTED_VALUE"""),1.007290408087477)</f>
        <v>1.007290408</v>
      </c>
      <c r="AN166" s="30">
        <f>IFERROR(__xludf.DUMMYFUNCTION("""COMPUTED_VALUE"""),0.9976467142816532)</f>
        <v>0.9976467143</v>
      </c>
      <c r="AO166" s="30">
        <f>IFERROR(__xludf.DUMMYFUNCTION("""COMPUTED_VALUE"""),1.1897093027396701)</f>
        <v>1.189709303</v>
      </c>
      <c r="AP166" s="30">
        <f>IFERROR(__xludf.DUMMYFUNCTION("""COMPUTED_VALUE"""),0.843102675766199)</f>
        <v>0.8431026758</v>
      </c>
      <c r="AQ166" s="30">
        <f>IFERROR(__xludf.DUMMYFUNCTION("""COMPUTED_VALUE"""),1.1046181402290236)</f>
        <v>1.10461814</v>
      </c>
      <c r="AR166" s="30">
        <f>IFERROR(__xludf.DUMMYFUNCTION("""COMPUTED_VALUE"""),0.8420480929504364)</f>
        <v>0.842048093</v>
      </c>
      <c r="AS166" s="30">
        <f>IFERROR(__xludf.DUMMYFUNCTION("""COMPUTED_VALUE"""),67.0)</f>
        <v>67</v>
      </c>
      <c r="AT166" s="30">
        <f>IFERROR(__xludf.DUMMYFUNCTION("""COMPUTED_VALUE"""),0.422776382268689)</f>
        <v>0.4227763823</v>
      </c>
      <c r="AU166" s="30">
        <f>IFERROR(__xludf.DUMMYFUNCTION("""COMPUTED_VALUE"""),2.4503391631298883)</f>
        <v>2.450339163</v>
      </c>
      <c r="AV166" s="32">
        <f>IFERROR(__xludf.DUMMYFUNCTION("""COMPUTED_VALUE"""),53.53040309120616)</f>
        <v>53.53040309</v>
      </c>
      <c r="AW166" s="32">
        <f>IFERROR(__xludf.DUMMYFUNCTION("""COMPUTED_VALUE"""),2.253015413299329)</f>
        <v>2.253015413</v>
      </c>
      <c r="AX166" s="32">
        <f>IFERROR(__xludf.DUMMYFUNCTION("""COMPUTED_VALUE"""),40.010924203752545)</f>
        <v>40.0109242</v>
      </c>
      <c r="AY166" s="32">
        <f>IFERROR(__xludf.DUMMYFUNCTION("""COMPUTED_VALUE"""),-2.900743562577921)</f>
        <v>-2.900743563</v>
      </c>
      <c r="AZ166" s="30">
        <f>IFERROR(__xludf.DUMMYFUNCTION("""COMPUTED_VALUE"""),5.15375897587725)</f>
        <v>5.153758976</v>
      </c>
      <c r="BA166" s="30">
        <f>IFERROR(__xludf.DUMMYFUNCTION("""COMPUTED_VALUE"""),800.0)</f>
        <v>800</v>
      </c>
    </row>
    <row r="167">
      <c r="A167" s="30" t="str">
        <f>IFERROR(__xludf.DUMMYFUNCTION("""COMPUTED_VALUE"""),"Elite")</f>
        <v>Elite</v>
      </c>
      <c r="B167" s="30" t="str">
        <f>IFERROR(__xludf.DUMMYFUNCTION("""COMPUTED_VALUE"""),"RSC005464")</f>
        <v>RSC005464</v>
      </c>
      <c r="C167" s="30" t="str">
        <f>IFERROR(__xludf.DUMMYFUNCTION("""COMPUTED_VALUE"""),"taz.rm")</f>
        <v>taz.rm</v>
      </c>
      <c r="D167" s="30" t="str">
        <f>IFERROR(__xludf.DUMMYFUNCTION("""COMPUTED_VALUE"""),"Sloths")</f>
        <v>Sloths</v>
      </c>
      <c r="E167" s="30">
        <f>IFERROR(__xludf.DUMMYFUNCTION("""COMPUTED_VALUE"""),36.0)</f>
        <v>36</v>
      </c>
      <c r="F167" s="30">
        <f>IFERROR(__xludf.DUMMYFUNCTION("""COMPUTED_VALUE"""),20.0)</f>
        <v>20</v>
      </c>
      <c r="G167" s="30">
        <f>IFERROR(__xludf.DUMMYFUNCTION("""COMPUTED_VALUE"""),16.0)</f>
        <v>16</v>
      </c>
      <c r="H167" s="42">
        <f>IFERROR(__xludf.DUMMYFUNCTION("""COMPUTED_VALUE"""),0.5555555555555556)</f>
        <v>0.5555555556</v>
      </c>
      <c r="I167" s="42">
        <f>IFERROR(__xludf.DUMMYFUNCTION("""COMPUTED_VALUE"""),0.2761904761904762)</f>
        <v>0.2761904762</v>
      </c>
      <c r="J167" s="30">
        <f>IFERROR(__xludf.DUMMYFUNCTION("""COMPUTED_VALUE"""),352.52777777777777)</f>
        <v>352.5277778</v>
      </c>
      <c r="K167" s="30">
        <f>IFERROR(__xludf.DUMMYFUNCTION("""COMPUTED_VALUE"""),0.8055555555555556)</f>
        <v>0.8055555556</v>
      </c>
      <c r="L167" s="30">
        <f>IFERROR(__xludf.DUMMYFUNCTION("""COMPUTED_VALUE"""),0.5277777777777778)</f>
        <v>0.5277777778</v>
      </c>
      <c r="M167" s="30">
        <f>IFERROR(__xludf.DUMMYFUNCTION("""COMPUTED_VALUE"""),1.3333333333333333)</f>
        <v>1.333333333</v>
      </c>
      <c r="N167" s="30">
        <f>IFERROR(__xludf.DUMMYFUNCTION("""COMPUTED_VALUE"""),2.9166666666666665)</f>
        <v>2.916666667</v>
      </c>
      <c r="O167" s="30">
        <f>IFERROR(__xludf.DUMMYFUNCTION("""COMPUTED_VALUE"""),360.9351851851853)</f>
        <v>360.9351852</v>
      </c>
      <c r="P167" s="30">
        <f>IFERROR(__xludf.DUMMYFUNCTION("""COMPUTED_VALUE"""),0.685185185185185)</f>
        <v>0.6851851852</v>
      </c>
      <c r="Q167" s="30">
        <f>IFERROR(__xludf.DUMMYFUNCTION("""COMPUTED_VALUE"""),0.5462962962962964)</f>
        <v>0.5462962963</v>
      </c>
      <c r="R167" s="30">
        <f>IFERROR(__xludf.DUMMYFUNCTION("""COMPUTED_VALUE"""),1.5648148148148149)</f>
        <v>1.564814815</v>
      </c>
      <c r="S167" s="30">
        <f>IFERROR(__xludf.DUMMYFUNCTION("""COMPUTED_VALUE"""),2.611111111111111)</f>
        <v>2.611111111</v>
      </c>
      <c r="T167" s="30">
        <f>IFERROR(__xludf.DUMMYFUNCTION("""COMPUTED_VALUE"""),360.4181224194023)</f>
        <v>360.4181224</v>
      </c>
      <c r="U167" s="30">
        <f>IFERROR(__xludf.DUMMYFUNCTION("""COMPUTED_VALUE"""),0.7406160470012418)</f>
        <v>0.740616047</v>
      </c>
      <c r="V167" s="30">
        <f>IFERROR(__xludf.DUMMYFUNCTION("""COMPUTED_VALUE"""),0.5597078584627698)</f>
        <v>0.5597078585</v>
      </c>
      <c r="W167" s="30">
        <f>IFERROR(__xludf.DUMMYFUNCTION("""COMPUTED_VALUE"""),1.4781881534079468)</f>
        <v>1.478188153</v>
      </c>
      <c r="X167" s="30">
        <f>IFERROR(__xludf.DUMMYFUNCTION("""COMPUTED_VALUE"""),2.53481197097043)</f>
        <v>2.534811971</v>
      </c>
      <c r="Y167" s="30">
        <f>IFERROR(__xludf.DUMMYFUNCTION("""COMPUTED_VALUE"""),372.2010010490547)</f>
        <v>372.201001</v>
      </c>
      <c r="Z167" s="30">
        <f>IFERROR(__xludf.DUMMYFUNCTION("""COMPUTED_VALUE"""),0.8244855945955659)</f>
        <v>0.8244855946</v>
      </c>
      <c r="AA167" s="30">
        <f>IFERROR(__xludf.DUMMYFUNCTION("""COMPUTED_VALUE"""),0.6064958364779425)</f>
        <v>0.6064958365</v>
      </c>
      <c r="AB167" s="30">
        <f>IFERROR(__xludf.DUMMYFUNCTION("""COMPUTED_VALUE"""),1.442983676061934)</f>
        <v>1.442983676</v>
      </c>
      <c r="AC167" s="30">
        <f>IFERROR(__xludf.DUMMYFUNCTION("""COMPUTED_VALUE"""),2.7763475920960845)</f>
        <v>2.776347592</v>
      </c>
      <c r="AD167" s="30">
        <f>IFERROR(__xludf.DUMMYFUNCTION("""COMPUTED_VALUE"""),0.9471435508882898)</f>
        <v>0.9471435509</v>
      </c>
      <c r="AE167" s="30">
        <f>IFERROR(__xludf.DUMMYFUNCTION("""COMPUTED_VALUE"""),0.9770401821886335)</f>
        <v>0.9770401822</v>
      </c>
      <c r="AF167" s="30">
        <f>IFERROR(__xludf.DUMMYFUNCTION("""COMPUTED_VALUE"""),0.8702084104034447)</f>
        <v>0.8702084104</v>
      </c>
      <c r="AG167" s="30">
        <f>IFERROR(__xludf.DUMMYFUNCTION("""COMPUTED_VALUE"""),0.9240113768799874)</f>
        <v>0.9240113769</v>
      </c>
      <c r="AH167" s="30">
        <f>IFERROR(__xludf.DUMMYFUNCTION("""COMPUTED_VALUE"""),1.050540888673325)</f>
        <v>1.050540889</v>
      </c>
      <c r="AI167" s="30">
        <f>IFERROR(__xludf.DUMMYFUNCTION("""COMPUTED_VALUE"""),1.0014346192203434)</f>
        <v>1.001434619</v>
      </c>
      <c r="AJ167" s="30">
        <f>IFERROR(__xludf.DUMMYFUNCTION("""COMPUTED_VALUE"""),0.9251557375235162)</f>
        <v>0.9251557375</v>
      </c>
      <c r="AK167" s="30">
        <f>IFERROR(__xludf.DUMMYFUNCTION("""COMPUTED_VALUE"""),0.9760382814647125)</f>
        <v>0.9760382815</v>
      </c>
      <c r="AL167" s="30">
        <f>IFERROR(__xludf.DUMMYFUNCTION("""COMPUTED_VALUE"""),1.0586032713137032)</f>
        <v>1.058603271</v>
      </c>
      <c r="AM167" s="30">
        <f>IFERROR(__xludf.DUMMYFUNCTION("""COMPUTED_VALUE"""),1.0301005127853609)</f>
        <v>1.030100513</v>
      </c>
      <c r="AN167" s="30">
        <f>IFERROR(__xludf.DUMMYFUNCTION("""COMPUTED_VALUE"""),0.9994867303969533)</f>
        <v>0.9994867304</v>
      </c>
      <c r="AO167" s="30">
        <f>IFERROR(__xludf.DUMMYFUNCTION("""COMPUTED_VALUE"""),1.129515677303437)</f>
        <v>1.129515677</v>
      </c>
      <c r="AP167" s="30">
        <f>IFERROR(__xludf.DUMMYFUNCTION("""COMPUTED_VALUE"""),0.9177523918496646)</f>
        <v>0.9177523918</v>
      </c>
      <c r="AQ167" s="30">
        <f>IFERROR(__xludf.DUMMYFUNCTION("""COMPUTED_VALUE"""),0.9346768878860969)</f>
        <v>0.9346768879</v>
      </c>
      <c r="AR167" s="30">
        <f>IFERROR(__xludf.DUMMYFUNCTION("""COMPUTED_VALUE"""),1.15781612780685)</f>
        <v>1.157816128</v>
      </c>
      <c r="AS167" s="30">
        <f>IFERROR(__xludf.DUMMYFUNCTION("""COMPUTED_VALUE"""),88.0)</f>
        <v>88</v>
      </c>
      <c r="AT167" s="30">
        <f>IFERROR(__xludf.DUMMYFUNCTION("""COMPUTED_VALUE"""),0.5663092322286509)</f>
        <v>0.5663092322</v>
      </c>
      <c r="AU167" s="30">
        <f>IFERROR(__xludf.DUMMYFUNCTION("""COMPUTED_VALUE"""),2.565773793868504)</f>
        <v>2.565773794</v>
      </c>
      <c r="AV167" s="32">
        <f>IFERROR(__xludf.DUMMYFUNCTION("""COMPUTED_VALUE"""),56.77405377846931)</f>
        <v>56.77405378</v>
      </c>
      <c r="AW167" s="32">
        <f>IFERROR(__xludf.DUMMYFUNCTION("""COMPUTED_VALUE"""),2.543169854902174)</f>
        <v>2.543169855</v>
      </c>
      <c r="AX167" s="32">
        <f>IFERROR(__xludf.DUMMYFUNCTION("""COMPUTED_VALUE"""),43.2312648701505)</f>
        <v>43.23126487</v>
      </c>
      <c r="AY167" s="32">
        <f>IFERROR(__xludf.DUMMYFUNCTION("""COMPUTED_VALUE"""),-2.5426407994514153)</f>
        <v>-2.542640799</v>
      </c>
      <c r="AZ167" s="30">
        <f>IFERROR(__xludf.DUMMYFUNCTION("""COMPUTED_VALUE"""),5.0858106543535895)</f>
        <v>5.085810654</v>
      </c>
      <c r="BA167" s="30">
        <f>IFERROR(__xludf.DUMMYFUNCTION("""COMPUTED_VALUE"""),800.0)</f>
        <v>800</v>
      </c>
    </row>
    <row r="168">
      <c r="A168" s="30" t="str">
        <f>IFERROR(__xludf.DUMMYFUNCTION("""COMPUTED_VALUE"""),"Elite")</f>
        <v>Elite</v>
      </c>
      <c r="B168" s="30" t="str">
        <f>IFERROR(__xludf.DUMMYFUNCTION("""COMPUTED_VALUE"""),"RSC007494")</f>
        <v>RSC007494</v>
      </c>
      <c r="C168" s="30" t="str">
        <f>IFERROR(__xludf.DUMMYFUNCTION("""COMPUTED_VALUE"""),"CantaloupeLover-")</f>
        <v>CantaloupeLover-</v>
      </c>
      <c r="D168" s="30"/>
      <c r="E168" s="30">
        <f>IFERROR(__xludf.DUMMYFUNCTION("""COMPUTED_VALUE"""),4.0)</f>
        <v>4</v>
      </c>
      <c r="F168" s="30">
        <f>IFERROR(__xludf.DUMMYFUNCTION("""COMPUTED_VALUE"""),1.0)</f>
        <v>1</v>
      </c>
      <c r="G168" s="30">
        <f>IFERROR(__xludf.DUMMYFUNCTION("""COMPUTED_VALUE"""),3.0)</f>
        <v>3</v>
      </c>
      <c r="H168" s="42">
        <f>IFERROR(__xludf.DUMMYFUNCTION("""COMPUTED_VALUE"""),0.25)</f>
        <v>0.25</v>
      </c>
      <c r="I168" s="42">
        <f>IFERROR(__xludf.DUMMYFUNCTION("""COMPUTED_VALUE"""),0.25)</f>
        <v>0.25</v>
      </c>
      <c r="J168" s="30">
        <f>IFERROR(__xludf.DUMMYFUNCTION("""COMPUTED_VALUE"""),318.75)</f>
        <v>318.75</v>
      </c>
      <c r="K168" s="30">
        <f>IFERROR(__xludf.DUMMYFUNCTION("""COMPUTED_VALUE"""),0.25)</f>
        <v>0.25</v>
      </c>
      <c r="L168" s="30">
        <f>IFERROR(__xludf.DUMMYFUNCTION("""COMPUTED_VALUE"""),0.5)</f>
        <v>0.5</v>
      </c>
      <c r="M168" s="30">
        <f>IFERROR(__xludf.DUMMYFUNCTION("""COMPUTED_VALUE"""),2.0)</f>
        <v>2</v>
      </c>
      <c r="N168" s="30">
        <f>IFERROR(__xludf.DUMMYFUNCTION("""COMPUTED_VALUE"""),1.0)</f>
        <v>1</v>
      </c>
      <c r="O168" s="30">
        <f>IFERROR(__xludf.DUMMYFUNCTION("""COMPUTED_VALUE"""),389.08333333333337)</f>
        <v>389.0833333</v>
      </c>
      <c r="P168" s="30">
        <f>IFERROR(__xludf.DUMMYFUNCTION("""COMPUTED_VALUE"""),1.0)</f>
        <v>1</v>
      </c>
      <c r="Q168" s="30">
        <f>IFERROR(__xludf.DUMMYFUNCTION("""COMPUTED_VALUE"""),0.5833333333333333)</f>
        <v>0.5833333333</v>
      </c>
      <c r="R168" s="30">
        <f>IFERROR(__xludf.DUMMYFUNCTION("""COMPUTED_VALUE"""),1.3333333333333335)</f>
        <v>1.333333333</v>
      </c>
      <c r="S168" s="30">
        <f>IFERROR(__xludf.DUMMYFUNCTION("""COMPUTED_VALUE"""),3.333333333333333)</f>
        <v>3.333333333</v>
      </c>
      <c r="T168" s="30">
        <f>IFERROR(__xludf.DUMMYFUNCTION("""COMPUTED_VALUE"""),378.76712749615973)</f>
        <v>378.7671275</v>
      </c>
      <c r="U168" s="30">
        <f>IFERROR(__xludf.DUMMYFUNCTION("""COMPUTED_VALUE"""),0.8688172043010752)</f>
        <v>0.8688172043</v>
      </c>
      <c r="V168" s="30">
        <f>IFERROR(__xludf.DUMMYFUNCTION("""COMPUTED_VALUE"""),0.6018433179723502)</f>
        <v>0.601843318</v>
      </c>
      <c r="W168" s="30">
        <f>IFERROR(__xludf.DUMMYFUNCTION("""COMPUTED_VALUE"""),1.4202764976958526)</f>
        <v>1.420276498</v>
      </c>
      <c r="X168" s="30">
        <f>IFERROR(__xludf.DUMMYFUNCTION("""COMPUTED_VALUE"""),2.97357910906298)</f>
        <v>2.973579109</v>
      </c>
      <c r="Y168" s="30">
        <f>IFERROR(__xludf.DUMMYFUNCTION("""COMPUTED_VALUE"""),351.02478238607273)</f>
        <v>351.0247824</v>
      </c>
      <c r="Z168" s="30">
        <f>IFERROR(__xludf.DUMMYFUNCTION("""COMPUTED_VALUE"""),0.5983614951356886)</f>
        <v>0.5983614951</v>
      </c>
      <c r="AA168" s="30">
        <f>IFERROR(__xludf.DUMMYFUNCTION("""COMPUTED_VALUE"""),0.46646185355862774)</f>
        <v>0.4664618536</v>
      </c>
      <c r="AB168" s="30">
        <f>IFERROR(__xludf.DUMMYFUNCTION("""COMPUTED_VALUE"""),1.6535586277521765)</f>
        <v>1.653558628</v>
      </c>
      <c r="AC168" s="30">
        <f>IFERROR(__xludf.DUMMYFUNCTION("""COMPUTED_VALUE"""),2.4961597542242706)</f>
        <v>2.496159754</v>
      </c>
      <c r="AD168" s="30">
        <f>IFERROR(__xludf.DUMMYFUNCTION("""COMPUTED_VALUE"""),0.9080555447775324)</f>
        <v>0.9080555448</v>
      </c>
      <c r="AE168" s="30">
        <f>IFERROR(__xludf.DUMMYFUNCTION("""COMPUTED_VALUE"""),0.4178076330652063)</f>
        <v>0.4178076331</v>
      </c>
      <c r="AF168" s="30">
        <f>IFERROR(__xludf.DUMMYFUNCTION("""COMPUTED_VALUE"""),1.0718990120746432)</f>
        <v>1.071899012</v>
      </c>
      <c r="AG168" s="30">
        <f>IFERROR(__xludf.DUMMYFUNCTION("""COMPUTED_VALUE"""),1.2095126029603018)</f>
        <v>1.209512603</v>
      </c>
      <c r="AH168" s="30">
        <f>IFERROR(__xludf.DUMMYFUNCTION("""COMPUTED_VALUE"""),0.4006153846153846)</f>
        <v>0.4006153846</v>
      </c>
      <c r="AI168" s="30">
        <f>IFERROR(__xludf.DUMMYFUNCTION("""COMPUTED_VALUE"""),1.0272362755061901)</f>
        <v>1.027236276</v>
      </c>
      <c r="AJ168" s="30">
        <f>IFERROR(__xludf.DUMMYFUNCTION("""COMPUTED_VALUE"""),1.1509900990099011)</f>
        <v>1.150990099</v>
      </c>
      <c r="AK168" s="30">
        <f>IFERROR(__xludf.DUMMYFUNCTION("""COMPUTED_VALUE"""),0.9692445125063807)</f>
        <v>0.9692445125</v>
      </c>
      <c r="AL168" s="30">
        <f>IFERROR(__xludf.DUMMYFUNCTION("""COMPUTED_VALUE"""),0.9387843391736967)</f>
        <v>0.9387843392</v>
      </c>
      <c r="AM168" s="30">
        <f>IFERROR(__xludf.DUMMYFUNCTION("""COMPUTED_VALUE"""),1.1209835726831283)</f>
        <v>1.120983573</v>
      </c>
      <c r="AN168" s="30">
        <f>IFERROR(__xludf.DUMMYFUNCTION("""COMPUTED_VALUE"""),0.9037199772519927)</f>
        <v>0.9037199773</v>
      </c>
      <c r="AO168" s="30">
        <f>IFERROR(__xludf.DUMMYFUNCTION("""COMPUTED_VALUE"""),0.35053934812865284)</f>
        <v>0.3505393481</v>
      </c>
      <c r="AP168" s="30">
        <f>IFERROR(__xludf.DUMMYFUNCTION("""COMPUTED_VALUE"""),0.8694496343838928)</f>
        <v>0.8694496344</v>
      </c>
      <c r="AQ168" s="30">
        <f>IFERROR(__xludf.DUMMYFUNCTION("""COMPUTED_VALUE"""),1.4020153318291455)</f>
        <v>1.402015332</v>
      </c>
      <c r="AR168" s="30">
        <f>IFERROR(__xludf.DUMMYFUNCTION("""COMPUTED_VALUE"""),0.3969655295337772)</f>
        <v>0.3969655295</v>
      </c>
      <c r="AS168" s="30">
        <f>IFERROR(__xludf.DUMMYFUNCTION("""COMPUTED_VALUE"""),8.0)</f>
        <v>8</v>
      </c>
      <c r="AT168" s="30">
        <f>IFERROR(__xludf.DUMMYFUNCTION("""COMPUTED_VALUE"""),0.34445266793706497)</f>
        <v>0.3444526679</v>
      </c>
      <c r="AU168" s="30">
        <f>IFERROR(__xludf.DUMMYFUNCTION("""COMPUTED_VALUE"""),0.8827571358902074)</f>
        <v>0.8827571359</v>
      </c>
      <c r="AV168" s="32">
        <f>IFERROR(__xludf.DUMMYFUNCTION("""COMPUTED_VALUE"""),9.482196002374508)</f>
        <v>9.482196002</v>
      </c>
      <c r="AW168" s="32">
        <f>IFERROR(__xludf.DUMMYFUNCTION("""COMPUTED_VALUE"""),-19.033229104582688)</f>
        <v>-19.0332291</v>
      </c>
      <c r="AX168" s="32">
        <f>IFERROR(__xludf.DUMMYFUNCTION("""COMPUTED_VALUE"""),13.405657185159761)</f>
        <v>13.40565719</v>
      </c>
      <c r="AY168" s="32">
        <f>IFERROR(__xludf.DUMMYFUNCTION("""COMPUTED_VALUE"""),-13.961041566332561)</f>
        <v>-13.96104157</v>
      </c>
      <c r="AZ168" s="30">
        <f>IFERROR(__xludf.DUMMYFUNCTION("""COMPUTED_VALUE"""),5.072187538250127)</f>
        <v>5.072187538</v>
      </c>
      <c r="BA168" s="30">
        <f>IFERROR(__xludf.DUMMYFUNCTION("""COMPUTED_VALUE"""),800.0)</f>
        <v>800</v>
      </c>
    </row>
    <row r="169">
      <c r="A169" s="30" t="str">
        <f>IFERROR(__xludf.DUMMYFUNCTION("""COMPUTED_VALUE"""),"Elite")</f>
        <v>Elite</v>
      </c>
      <c r="B169" s="30" t="str">
        <f>IFERROR(__xludf.DUMMYFUNCTION("""COMPUTED_VALUE"""),"RSC006185")</f>
        <v>RSC006185</v>
      </c>
      <c r="C169" s="30" t="str">
        <f>IFERROR(__xludf.DUMMYFUNCTION("""COMPUTED_VALUE"""),"sandro")</f>
        <v>sandro</v>
      </c>
      <c r="D169" s="30" t="str">
        <f>IFERROR(__xludf.DUMMYFUNCTION("""COMPUTED_VALUE"""),"Summoned")</f>
        <v>Summoned</v>
      </c>
      <c r="E169" s="30">
        <f>IFERROR(__xludf.DUMMYFUNCTION("""COMPUTED_VALUE"""),16.0)</f>
        <v>16</v>
      </c>
      <c r="F169" s="30">
        <f>IFERROR(__xludf.DUMMYFUNCTION("""COMPUTED_VALUE"""),6.0)</f>
        <v>6</v>
      </c>
      <c r="G169" s="30">
        <f>IFERROR(__xludf.DUMMYFUNCTION("""COMPUTED_VALUE"""),10.0)</f>
        <v>10</v>
      </c>
      <c r="H169" s="42">
        <f>IFERROR(__xludf.DUMMYFUNCTION("""COMPUTED_VALUE"""),0.375)</f>
        <v>0.375</v>
      </c>
      <c r="I169" s="42">
        <f>IFERROR(__xludf.DUMMYFUNCTION("""COMPUTED_VALUE"""),0.2926829268292683)</f>
        <v>0.2926829268</v>
      </c>
      <c r="J169" s="30">
        <f>IFERROR(__xludf.DUMMYFUNCTION("""COMPUTED_VALUE"""),356.4375)</f>
        <v>356.4375</v>
      </c>
      <c r="K169" s="30">
        <f>IFERROR(__xludf.DUMMYFUNCTION("""COMPUTED_VALUE"""),0.75)</f>
        <v>0.75</v>
      </c>
      <c r="L169" s="30">
        <f>IFERROR(__xludf.DUMMYFUNCTION("""COMPUTED_VALUE"""),0.5)</f>
        <v>0.5</v>
      </c>
      <c r="M169" s="30">
        <f>IFERROR(__xludf.DUMMYFUNCTION("""COMPUTED_VALUE"""),1.1875)</f>
        <v>1.1875</v>
      </c>
      <c r="N169" s="30">
        <f>IFERROR(__xludf.DUMMYFUNCTION("""COMPUTED_VALUE"""),2.5625)</f>
        <v>2.5625</v>
      </c>
      <c r="O169" s="30">
        <f>IFERROR(__xludf.DUMMYFUNCTION("""COMPUTED_VALUE"""),355.4166666666667)</f>
        <v>355.4166667</v>
      </c>
      <c r="P169" s="30">
        <f>IFERROR(__xludf.DUMMYFUNCTION("""COMPUTED_VALUE"""),0.8541666666666666)</f>
        <v>0.8541666667</v>
      </c>
      <c r="Q169" s="30">
        <f>IFERROR(__xludf.DUMMYFUNCTION("""COMPUTED_VALUE"""),0.6666666666666666)</f>
        <v>0.6666666667</v>
      </c>
      <c r="R169" s="30">
        <f>IFERROR(__xludf.DUMMYFUNCTION("""COMPUTED_VALUE"""),1.1458333333333333)</f>
        <v>1.145833333</v>
      </c>
      <c r="S169" s="30">
        <f>IFERROR(__xludf.DUMMYFUNCTION("""COMPUTED_VALUE"""),2.645833333333333)</f>
        <v>2.645833333</v>
      </c>
      <c r="T169" s="30">
        <f>IFERROR(__xludf.DUMMYFUNCTION("""COMPUTED_VALUE"""),355.4363522091468)</f>
        <v>355.4363522</v>
      </c>
      <c r="U169" s="30">
        <f>IFERROR(__xludf.DUMMYFUNCTION("""COMPUTED_VALUE"""),0.7482817536337649)</f>
        <v>0.7482817536</v>
      </c>
      <c r="V169" s="30">
        <f>IFERROR(__xludf.DUMMYFUNCTION("""COMPUTED_VALUE"""),0.587725209815727)</f>
        <v>0.5877252098</v>
      </c>
      <c r="W169" s="30">
        <f>IFERROR(__xludf.DUMMYFUNCTION("""COMPUTED_VALUE"""),1.40290746822356)</f>
        <v>1.402907468</v>
      </c>
      <c r="X169" s="30">
        <f>IFERROR(__xludf.DUMMYFUNCTION("""COMPUTED_VALUE"""),2.57135825275193)</f>
        <v>2.571358253</v>
      </c>
      <c r="Y169" s="30">
        <f>IFERROR(__xludf.DUMMYFUNCTION("""COMPUTED_VALUE"""),373.87023795586776)</f>
        <v>373.870238</v>
      </c>
      <c r="Z169" s="30">
        <f>IFERROR(__xludf.DUMMYFUNCTION("""COMPUTED_VALUE"""),0.8826245970929877)</f>
        <v>0.8826245971</v>
      </c>
      <c r="AA169" s="30">
        <f>IFERROR(__xludf.DUMMYFUNCTION("""COMPUTED_VALUE"""),0.7007285775101867)</f>
        <v>0.7007285775</v>
      </c>
      <c r="AB169" s="30">
        <f>IFERROR(__xludf.DUMMYFUNCTION("""COMPUTED_VALUE"""),1.3674832375478927)</f>
        <v>1.367483238</v>
      </c>
      <c r="AC169" s="30">
        <f>IFERROR(__xludf.DUMMYFUNCTION("""COMPUTED_VALUE"""),2.743639010521195)</f>
        <v>2.743639011</v>
      </c>
      <c r="AD169" s="30">
        <f>IFERROR(__xludf.DUMMYFUNCTION("""COMPUTED_VALUE"""),0.9533722233382869)</f>
        <v>0.9533722233</v>
      </c>
      <c r="AE169" s="30">
        <f>IFERROR(__xludf.DUMMYFUNCTION("""COMPUTED_VALUE"""),0.8497383853454797)</f>
        <v>0.8497383853</v>
      </c>
      <c r="AF169" s="30">
        <f>IFERROR(__xludf.DUMMYFUNCTION("""COMPUTED_VALUE"""),0.7135430408398484)</f>
        <v>0.7135430408</v>
      </c>
      <c r="AG169" s="30">
        <f>IFERROR(__xludf.DUMMYFUNCTION("""COMPUTED_VALUE"""),0.8683835877428155)</f>
        <v>0.8683835877</v>
      </c>
      <c r="AH169" s="30">
        <f>IFERROR(__xludf.DUMMYFUNCTION("""COMPUTED_VALUE"""),0.9339785555510144)</f>
        <v>0.9339785556</v>
      </c>
      <c r="AI169" s="30">
        <f>IFERROR(__xludf.DUMMYFUNCTION("""COMPUTED_VALUE"""),0.9999446158437151)</f>
        <v>0.9999446158</v>
      </c>
      <c r="AJ169" s="30">
        <f>IFERROR(__xludf.DUMMYFUNCTION("""COMPUTED_VALUE"""),1.141504069180772)</f>
        <v>1.141504069</v>
      </c>
      <c r="AK169" s="30">
        <f>IFERROR(__xludf.DUMMYFUNCTION("""COMPUTED_VALUE"""),1.1343169486905125)</f>
        <v>1.134316949</v>
      </c>
      <c r="AL169" s="30">
        <f>IFERROR(__xludf.DUMMYFUNCTION("""COMPUTED_VALUE"""),0.8167561719407279)</f>
        <v>0.8167561719</v>
      </c>
      <c r="AM169" s="30">
        <f>IFERROR(__xludf.DUMMYFUNCTION("""COMPUTED_VALUE"""),1.0289633233726565)</f>
        <v>1.028963323</v>
      </c>
      <c r="AN169" s="30">
        <f>IFERROR(__xludf.DUMMYFUNCTION("""COMPUTED_VALUE"""),1.0105715745623753)</f>
        <v>1.010571575</v>
      </c>
      <c r="AO169" s="30">
        <f>IFERROR(__xludf.DUMMYFUNCTION("""COMPUTED_VALUE"""),1.0516180443859584)</f>
        <v>1.051618044</v>
      </c>
      <c r="AP169" s="30">
        <f>IFERROR(__xludf.DUMMYFUNCTION("""COMPUTED_VALUE"""),0.8694496343838928)</f>
        <v>0.8694496344</v>
      </c>
      <c r="AQ169" s="30">
        <f>IFERROR(__xludf.DUMMYFUNCTION("""COMPUTED_VALUE"""),0.8324466032735551)</f>
        <v>0.8324466033</v>
      </c>
      <c r="AR169" s="30">
        <f>IFERROR(__xludf.DUMMYFUNCTION("""COMPUTED_VALUE"""),1.017224169430304)</f>
        <v>1.017224169</v>
      </c>
      <c r="AS169" s="30">
        <f>IFERROR(__xludf.DUMMYFUNCTION("""COMPUTED_VALUE"""),34.0)</f>
        <v>34</v>
      </c>
      <c r="AT169" s="30">
        <f>IFERROR(__xludf.DUMMYFUNCTION("""COMPUTED_VALUE"""),0.42759490720699894)</f>
        <v>0.4275949072</v>
      </c>
      <c r="AU169" s="30">
        <f>IFERROR(__xludf.DUMMYFUNCTION("""COMPUTED_VALUE"""),2.1392635394008575)</f>
        <v>2.139263539</v>
      </c>
      <c r="AV169" s="32">
        <f>IFERROR(__xludf.DUMMYFUNCTION("""COMPUTED_VALUE"""),44.78934631956664)</f>
        <v>44.78934632</v>
      </c>
      <c r="AW169" s="32">
        <f>IFERROR(__xludf.DUMMYFUNCTION("""COMPUTED_VALUE"""),-2.395507248940935)</f>
        <v>-2.395507249</v>
      </c>
      <c r="AX169" s="32">
        <f>IFERROR(__xludf.DUMMYFUNCTION("""COMPUTED_VALUE"""),57.30800501419863)</f>
        <v>57.30800501</v>
      </c>
      <c r="AY169" s="32">
        <f>IFERROR(__xludf.DUMMYFUNCTION("""COMPUTED_VALUE"""),2.597261551998821)</f>
        <v>2.597261552</v>
      </c>
      <c r="AZ169" s="30">
        <f>IFERROR(__xludf.DUMMYFUNCTION("""COMPUTED_VALUE"""),4.992768800939755)</f>
        <v>4.992768801</v>
      </c>
      <c r="BA169" s="30">
        <f>IFERROR(__xludf.DUMMYFUNCTION("""COMPUTED_VALUE"""),800.0)</f>
        <v>800</v>
      </c>
    </row>
    <row r="170">
      <c r="A170" s="30" t="str">
        <f>IFERROR(__xludf.DUMMYFUNCTION("""COMPUTED_VALUE"""),"Elite")</f>
        <v>Elite</v>
      </c>
      <c r="B170" s="30" t="str">
        <f>IFERROR(__xludf.DUMMYFUNCTION("""COMPUTED_VALUE"""),"RSC007077")</f>
        <v>RSC007077</v>
      </c>
      <c r="C170" s="30" t="str">
        <f>IFERROR(__xludf.DUMMYFUNCTION("""COMPUTED_VALUE"""),"higsn")</f>
        <v>higsn</v>
      </c>
      <c r="D170" s="30" t="str">
        <f>IFERROR(__xludf.DUMMYFUNCTION("""COMPUTED_VALUE"""),"Stoked Blokes")</f>
        <v>Stoked Blokes</v>
      </c>
      <c r="E170" s="30">
        <f>IFERROR(__xludf.DUMMYFUNCTION("""COMPUTED_VALUE"""),32.0)</f>
        <v>32</v>
      </c>
      <c r="F170" s="30">
        <f>IFERROR(__xludf.DUMMYFUNCTION("""COMPUTED_VALUE"""),15.0)</f>
        <v>15</v>
      </c>
      <c r="G170" s="30">
        <f>IFERROR(__xludf.DUMMYFUNCTION("""COMPUTED_VALUE"""),17.0)</f>
        <v>17</v>
      </c>
      <c r="H170" s="42">
        <f>IFERROR(__xludf.DUMMYFUNCTION("""COMPUTED_VALUE"""),0.46875)</f>
        <v>0.46875</v>
      </c>
      <c r="I170" s="42">
        <f>IFERROR(__xludf.DUMMYFUNCTION("""COMPUTED_VALUE"""),0.2537313432835821)</f>
        <v>0.2537313433</v>
      </c>
      <c r="J170" s="30">
        <f>IFERROR(__xludf.DUMMYFUNCTION("""COMPUTED_VALUE"""),347.9375)</f>
        <v>347.9375</v>
      </c>
      <c r="K170" s="30">
        <f>IFERROR(__xludf.DUMMYFUNCTION("""COMPUTED_VALUE"""),0.53125)</f>
        <v>0.53125</v>
      </c>
      <c r="L170" s="30">
        <f>IFERROR(__xludf.DUMMYFUNCTION("""COMPUTED_VALUE"""),0.625)</f>
        <v>0.625</v>
      </c>
      <c r="M170" s="30">
        <f>IFERROR(__xludf.DUMMYFUNCTION("""COMPUTED_VALUE"""),1.5)</f>
        <v>1.5</v>
      </c>
      <c r="N170" s="30">
        <f>IFERROR(__xludf.DUMMYFUNCTION("""COMPUTED_VALUE"""),2.09375)</f>
        <v>2.09375</v>
      </c>
      <c r="O170" s="30">
        <f>IFERROR(__xludf.DUMMYFUNCTION("""COMPUTED_VALUE"""),333.7083333333335)</f>
        <v>333.7083333</v>
      </c>
      <c r="P170" s="30">
        <f>IFERROR(__xludf.DUMMYFUNCTION("""COMPUTED_VALUE"""),0.6979166666666667)</f>
        <v>0.6979166667</v>
      </c>
      <c r="Q170" s="30">
        <f>IFERROR(__xludf.DUMMYFUNCTION("""COMPUTED_VALUE"""),0.5208333333333333)</f>
        <v>0.5208333333</v>
      </c>
      <c r="R170" s="30">
        <f>IFERROR(__xludf.DUMMYFUNCTION("""COMPUTED_VALUE"""),1.1979166666666667)</f>
        <v>1.197916667</v>
      </c>
      <c r="S170" s="30">
        <f>IFERROR(__xludf.DUMMYFUNCTION("""COMPUTED_VALUE"""),2.6770833333333335)</f>
        <v>2.677083333</v>
      </c>
      <c r="T170" s="30">
        <f>IFERROR(__xludf.DUMMYFUNCTION("""COMPUTED_VALUE"""),361.94887769285174)</f>
        <v>361.9488777</v>
      </c>
      <c r="U170" s="30">
        <f>IFERROR(__xludf.DUMMYFUNCTION("""COMPUTED_VALUE"""),0.7582664635622357)</f>
        <v>0.7582664636</v>
      </c>
      <c r="V170" s="30">
        <f>IFERROR(__xludf.DUMMYFUNCTION("""COMPUTED_VALUE"""),0.5952459086980911)</f>
        <v>0.5952459087</v>
      </c>
      <c r="W170" s="30">
        <f>IFERROR(__xludf.DUMMYFUNCTION("""COMPUTED_VALUE"""),1.5056920517994616)</f>
        <v>1.505692052</v>
      </c>
      <c r="X170" s="30">
        <f>IFERROR(__xludf.DUMMYFUNCTION("""COMPUTED_VALUE"""),2.5865344094727716)</f>
        <v>2.586534409</v>
      </c>
      <c r="Y170" s="30">
        <f>IFERROR(__xludf.DUMMYFUNCTION("""COMPUTED_VALUE"""),363.5994567635327)</f>
        <v>363.5994568</v>
      </c>
      <c r="Z170" s="30">
        <f>IFERROR(__xludf.DUMMYFUNCTION("""COMPUTED_VALUE"""),0.7965117890022195)</f>
        <v>0.796511789</v>
      </c>
      <c r="AA170" s="30">
        <f>IFERROR(__xludf.DUMMYFUNCTION("""COMPUTED_VALUE"""),0.5874930049972417)</f>
        <v>0.587493005</v>
      </c>
      <c r="AB170" s="30">
        <f>IFERROR(__xludf.DUMMYFUNCTION("""COMPUTED_VALUE"""),1.3927403259570745)</f>
        <v>1.392740326</v>
      </c>
      <c r="AC170" s="30">
        <f>IFERROR(__xludf.DUMMYFUNCTION("""COMPUTED_VALUE"""),2.7481480917932677)</f>
        <v>2.748148092</v>
      </c>
      <c r="AD170" s="30">
        <f>IFERROR(__xludf.DUMMYFUNCTION("""COMPUTED_VALUE"""),0.9569252470756069)</f>
        <v>0.9569252471</v>
      </c>
      <c r="AE170" s="30">
        <f>IFERROR(__xludf.DUMMYFUNCTION("""COMPUTED_VALUE"""),0.666970668024249)</f>
        <v>0.666970668</v>
      </c>
      <c r="AF170" s="30">
        <f>IFERROR(__xludf.DUMMYFUNCTION("""COMPUTED_VALUE"""),1.0638424537547209)</f>
        <v>1.063842454</v>
      </c>
      <c r="AG170" s="30">
        <f>IFERROR(__xludf.DUMMYFUNCTION("""COMPUTED_VALUE"""),1.0770134044687891)</f>
        <v>1.077013404</v>
      </c>
      <c r="AH170" s="30">
        <f>IFERROR(__xludf.DUMMYFUNCTION("""COMPUTED_VALUE"""),0.7618767002595377)</f>
        <v>0.7618767003</v>
      </c>
      <c r="AI170" s="30">
        <f>IFERROR(__xludf.DUMMYFUNCTION("""COMPUTED_VALUE"""),0.9219764278880206)</f>
        <v>0.9219764279</v>
      </c>
      <c r="AJ170" s="30">
        <f>IFERROR(__xludf.DUMMYFUNCTION("""COMPUTED_VALUE"""),0.9204108320813061)</f>
        <v>0.9204108321</v>
      </c>
      <c r="AK170" s="30">
        <f>IFERROR(__xludf.DUMMYFUNCTION("""COMPUTED_VALUE"""),0.8749885143645734)</f>
        <v>0.8749885144</v>
      </c>
      <c r="AL170" s="30">
        <f>IFERROR(__xludf.DUMMYFUNCTION("""COMPUTED_VALUE"""),0.7955920769024645)</f>
        <v>0.7955920769</v>
      </c>
      <c r="AM170" s="30">
        <f>IFERROR(__xludf.DUMMYFUNCTION("""COMPUTED_VALUE"""),1.0350078172279251)</f>
        <v>1.035007817</v>
      </c>
      <c r="AN170" s="30">
        <f>IFERROR(__xludf.DUMMYFUNCTION("""COMPUTED_VALUE"""),0.9864723751689889)</f>
        <v>0.9864723752</v>
      </c>
      <c r="AO170" s="30">
        <f>IFERROR(__xludf.DUMMYFUNCTION("""COMPUTED_VALUE"""),0.7448961147733872)</f>
        <v>0.7448961148</v>
      </c>
      <c r="AP170" s="30">
        <f>IFERROR(__xludf.DUMMYFUNCTION("""COMPUTED_VALUE"""),1.086812042979866)</f>
        <v>1.086812043</v>
      </c>
      <c r="AQ170" s="30">
        <f>IFERROR(__xludf.DUMMYFUNCTION("""COMPUTED_VALUE"""),1.0515114988718592)</f>
        <v>1.051511499</v>
      </c>
      <c r="AR170" s="30">
        <f>IFERROR(__xludf.DUMMYFUNCTION("""COMPUTED_VALUE"""),0.8311465774613459)</f>
        <v>0.8311465775</v>
      </c>
      <c r="AS170" s="30">
        <f>IFERROR(__xludf.DUMMYFUNCTION("""COMPUTED_VALUE"""),64.0)</f>
        <v>64</v>
      </c>
      <c r="AT170" s="30">
        <f>IFERROR(__xludf.DUMMYFUNCTION("""COMPUTED_VALUE"""),0.48284446727363667)</f>
        <v>0.4828444673</v>
      </c>
      <c r="AU170" s="30">
        <f>IFERROR(__xludf.DUMMYFUNCTION("""COMPUTED_VALUE"""),1.9921036689106753)</f>
        <v>1.992103669</v>
      </c>
      <c r="AV170" s="32">
        <f>IFERROR(__xludf.DUMMYFUNCTION("""COMPUTED_VALUE"""),40.65423355488955)</f>
        <v>40.65423355</v>
      </c>
      <c r="AW170" s="32">
        <f>IFERROR(__xludf.DUMMYFUNCTION("""COMPUTED_VALUE"""),-2.822744454244086)</f>
        <v>-2.822744454</v>
      </c>
      <c r="AX170" s="32">
        <f>IFERROR(__xludf.DUMMYFUNCTION("""COMPUTED_VALUE"""),52.39678789040629)</f>
        <v>52.39678789</v>
      </c>
      <c r="AY170" s="32">
        <f>IFERROR(__xludf.DUMMYFUNCTION("""COMPUTED_VALUE"""),2.1653865571327007)</f>
        <v>2.165386557</v>
      </c>
      <c r="AZ170" s="30">
        <f>IFERROR(__xludf.DUMMYFUNCTION("""COMPUTED_VALUE"""),4.988131011376787)</f>
        <v>4.988131011</v>
      </c>
      <c r="BA170" s="30">
        <f>IFERROR(__xludf.DUMMYFUNCTION("""COMPUTED_VALUE"""),800.0)</f>
        <v>800</v>
      </c>
    </row>
    <row r="171">
      <c r="A171" s="30" t="str">
        <f>IFERROR(__xludf.DUMMYFUNCTION("""COMPUTED_VALUE"""),"Elite")</f>
        <v>Elite</v>
      </c>
      <c r="B171" s="30" t="str">
        <f>IFERROR(__xludf.DUMMYFUNCTION("""COMPUTED_VALUE"""),"RSC007925")</f>
        <v>RSC007925</v>
      </c>
      <c r="C171" s="30" t="str">
        <f>IFERROR(__xludf.DUMMYFUNCTION("""COMPUTED_VALUE"""),"Monkey")</f>
        <v>Monkey</v>
      </c>
      <c r="D171" s="30" t="str">
        <f>IFERROR(__xludf.DUMMYFUNCTION("""COMPUTED_VALUE"""),"Fire")</f>
        <v>Fire</v>
      </c>
      <c r="E171" s="30">
        <f>IFERROR(__xludf.DUMMYFUNCTION("""COMPUTED_VALUE"""),28.0)</f>
        <v>28</v>
      </c>
      <c r="F171" s="30">
        <f>IFERROR(__xludf.DUMMYFUNCTION("""COMPUTED_VALUE"""),17.0)</f>
        <v>17</v>
      </c>
      <c r="G171" s="30">
        <f>IFERROR(__xludf.DUMMYFUNCTION("""COMPUTED_VALUE"""),11.0)</f>
        <v>11</v>
      </c>
      <c r="H171" s="42">
        <f>IFERROR(__xludf.DUMMYFUNCTION("""COMPUTED_VALUE"""),0.6071428571428571)</f>
        <v>0.6071428571</v>
      </c>
      <c r="I171" s="42">
        <f>IFERROR(__xludf.DUMMYFUNCTION("""COMPUTED_VALUE"""),0.29577464788732394)</f>
        <v>0.2957746479</v>
      </c>
      <c r="J171" s="30">
        <f>IFERROR(__xludf.DUMMYFUNCTION("""COMPUTED_VALUE"""),357.89285714285717)</f>
        <v>357.8928571</v>
      </c>
      <c r="K171" s="30">
        <f>IFERROR(__xludf.DUMMYFUNCTION("""COMPUTED_VALUE"""),0.75)</f>
        <v>0.75</v>
      </c>
      <c r="L171" s="30">
        <f>IFERROR(__xludf.DUMMYFUNCTION("""COMPUTED_VALUE"""),0.42857142857142855)</f>
        <v>0.4285714286</v>
      </c>
      <c r="M171" s="30">
        <f>IFERROR(__xludf.DUMMYFUNCTION("""COMPUTED_VALUE"""),1.5714285714285714)</f>
        <v>1.571428571</v>
      </c>
      <c r="N171" s="30">
        <f>IFERROR(__xludf.DUMMYFUNCTION("""COMPUTED_VALUE"""),2.5357142857142856)</f>
        <v>2.535714286</v>
      </c>
      <c r="O171" s="30">
        <f>IFERROR(__xludf.DUMMYFUNCTION("""COMPUTED_VALUE"""),355.7857142857143)</f>
        <v>355.7857143</v>
      </c>
      <c r="P171" s="30">
        <f>IFERROR(__xludf.DUMMYFUNCTION("""COMPUTED_VALUE"""),0.6785714285714286)</f>
        <v>0.6785714286</v>
      </c>
      <c r="Q171" s="30">
        <f>IFERROR(__xludf.DUMMYFUNCTION("""COMPUTED_VALUE"""),0.4880952380952381)</f>
        <v>0.4880952381</v>
      </c>
      <c r="R171" s="30">
        <f>IFERROR(__xludf.DUMMYFUNCTION("""COMPUTED_VALUE"""),1.5952380952380951)</f>
        <v>1.595238095</v>
      </c>
      <c r="S171" s="30">
        <f>IFERROR(__xludf.DUMMYFUNCTION("""COMPUTED_VALUE"""),2.5595238095238098)</f>
        <v>2.55952381</v>
      </c>
      <c r="T171" s="30">
        <f>IFERROR(__xludf.DUMMYFUNCTION("""COMPUTED_VALUE"""),366.47312564326995)</f>
        <v>366.4731256</v>
      </c>
      <c r="U171" s="30">
        <f>IFERROR(__xludf.DUMMYFUNCTION("""COMPUTED_VALUE"""),0.7859264170979747)</f>
        <v>0.7859264171</v>
      </c>
      <c r="V171" s="30">
        <f>IFERROR(__xludf.DUMMYFUNCTION("""COMPUTED_VALUE"""),0.574697492520898)</f>
        <v>0.5746974925</v>
      </c>
      <c r="W171" s="30">
        <f>IFERROR(__xludf.DUMMYFUNCTION("""COMPUTED_VALUE"""),1.5008337643316563)</f>
        <v>1.500833764</v>
      </c>
      <c r="X171" s="30">
        <f>IFERROR(__xludf.DUMMYFUNCTION("""COMPUTED_VALUE"""),2.6049624464339396)</f>
        <v>2.604962446</v>
      </c>
      <c r="Y171" s="30">
        <f>IFERROR(__xludf.DUMMYFUNCTION("""COMPUTED_VALUE"""),356.3568022975548)</f>
        <v>356.3568023</v>
      </c>
      <c r="Z171" s="30">
        <f>IFERROR(__xludf.DUMMYFUNCTION("""COMPUTED_VALUE"""),0.7457883192204625)</f>
        <v>0.7457883192</v>
      </c>
      <c r="AA171" s="30">
        <f>IFERROR(__xludf.DUMMYFUNCTION("""COMPUTED_VALUE"""),0.5495146523667348)</f>
        <v>0.5495146524</v>
      </c>
      <c r="AB171" s="30">
        <f>IFERROR(__xludf.DUMMYFUNCTION("""COMPUTED_VALUE"""),1.3772688706258893)</f>
        <v>1.377268871</v>
      </c>
      <c r="AC171" s="30">
        <f>IFERROR(__xludf.DUMMYFUNCTION("""COMPUTED_VALUE"""),2.6899969050674137)</f>
        <v>2.689996905</v>
      </c>
      <c r="AD171" s="30">
        <f>IFERROR(__xludf.DUMMYFUNCTION("""COMPUTED_VALUE"""),1.0043104406465624)</f>
        <v>1.004310441</v>
      </c>
      <c r="AE171" s="30">
        <f>IFERROR(__xludf.DUMMYFUNCTION("""COMPUTED_VALUE"""),1.0056472871336195)</f>
        <v>1.005647287</v>
      </c>
      <c r="AF171" s="30">
        <f>IFERROR(__xludf.DUMMYFUNCTION("""COMPUTED_VALUE"""),0.779909010115728)</f>
        <v>0.7799090101</v>
      </c>
      <c r="AG171" s="30">
        <f>IFERROR(__xludf.DUMMYFUNCTION("""COMPUTED_VALUE"""),1.1409744349441715)</f>
        <v>1.140974435</v>
      </c>
      <c r="AH171" s="30">
        <f>IFERROR(__xludf.DUMMYFUNCTION("""COMPUTED_VALUE"""),0.9426458004236025)</f>
        <v>0.9426458004</v>
      </c>
      <c r="AI171" s="30">
        <f>IFERROR(__xludf.DUMMYFUNCTION("""COMPUTED_VALUE"""),0.9708371211700829)</f>
        <v>0.9708371212</v>
      </c>
      <c r="AJ171" s="30">
        <f>IFERROR(__xludf.DUMMYFUNCTION("""COMPUTED_VALUE"""),0.8634032573647883)</f>
        <v>0.8634032574</v>
      </c>
      <c r="AK171" s="30">
        <f>IFERROR(__xludf.DUMMYFUNCTION("""COMPUTED_VALUE"""),0.8493081046068585)</f>
        <v>0.8493081046</v>
      </c>
      <c r="AL171" s="30">
        <f>IFERROR(__xludf.DUMMYFUNCTION("""COMPUTED_VALUE"""),1.0629012573877417)</f>
        <v>1.062901257</v>
      </c>
      <c r="AM171" s="30">
        <f>IFERROR(__xludf.DUMMYFUNCTION("""COMPUTED_VALUE"""),0.9825568936810075)</f>
        <v>0.9825568937</v>
      </c>
      <c r="AN171" s="30">
        <f>IFERROR(__xludf.DUMMYFUNCTION("""COMPUTED_VALUE"""),1.0146978030299405)</f>
        <v>1.014697803</v>
      </c>
      <c r="AO171" s="30">
        <f>IFERROR(__xludf.DUMMYFUNCTION("""COMPUTED_VALUE"""),1.0516180443859584)</f>
        <v>1.051618044</v>
      </c>
      <c r="AP171" s="30">
        <f>IFERROR(__xludf.DUMMYFUNCTION("""COMPUTED_VALUE"""),0.7452425437576223)</f>
        <v>0.7452425438</v>
      </c>
      <c r="AQ171" s="30">
        <f>IFERROR(__xludf.DUMMYFUNCTION("""COMPUTED_VALUE"""),1.1015834750086144)</f>
        <v>1.101583475</v>
      </c>
      <c r="AR171" s="30">
        <f>IFERROR(__xludf.DUMMYFUNCTION("""COMPUTED_VALUE"""),1.0065911641749348)</f>
        <v>1.006591164</v>
      </c>
      <c r="AS171" s="30">
        <f>IFERROR(__xludf.DUMMYFUNCTION("""COMPUTED_VALUE"""),63.0)</f>
        <v>63</v>
      </c>
      <c r="AT171" s="30">
        <f>IFERROR(__xludf.DUMMYFUNCTION("""COMPUTED_VALUE"""),0.5379191232690701)</f>
        <v>0.5379191233</v>
      </c>
      <c r="AU171" s="30">
        <f>IFERROR(__xludf.DUMMYFUNCTION("""COMPUTED_VALUE"""),2.4245416265098454)</f>
        <v>2.424541627</v>
      </c>
      <c r="AV171" s="32">
        <f>IFERROR(__xludf.DUMMYFUNCTION("""COMPUTED_VALUE"""),52.805506265601245)</f>
        <v>52.80550627</v>
      </c>
      <c r="AW171" s="32">
        <f>IFERROR(__xludf.DUMMYFUNCTION("""COMPUTED_VALUE"""),2.196236419013504)</f>
        <v>2.196236419</v>
      </c>
      <c r="AX171" s="32">
        <f>IFERROR(__xludf.DUMMYFUNCTION("""COMPUTED_VALUE"""),41.291288106818996)</f>
        <v>41.29128811</v>
      </c>
      <c r="AY171" s="32">
        <f>IFERROR(__xludf.DUMMYFUNCTION("""COMPUTED_VALUE"""),-2.7488443112900858)</f>
        <v>-2.748844311</v>
      </c>
      <c r="AZ171" s="30">
        <f>IFERROR(__xludf.DUMMYFUNCTION("""COMPUTED_VALUE"""),4.94508073030359)</f>
        <v>4.94508073</v>
      </c>
      <c r="BA171" s="30">
        <f>IFERROR(__xludf.DUMMYFUNCTION("""COMPUTED_VALUE"""),800.0)</f>
        <v>800</v>
      </c>
    </row>
    <row r="172">
      <c r="A172" s="30" t="str">
        <f>IFERROR(__xludf.DUMMYFUNCTION("""COMPUTED_VALUE"""),"Elite")</f>
        <v>Elite</v>
      </c>
      <c r="B172" s="30" t="str">
        <f>IFERROR(__xludf.DUMMYFUNCTION("""COMPUTED_VALUE"""),"RSC007895")</f>
        <v>RSC007895</v>
      </c>
      <c r="C172" s="30" t="str">
        <f>IFERROR(__xludf.DUMMYFUNCTION("""COMPUTED_VALUE"""),"Lup")</f>
        <v>Lup</v>
      </c>
      <c r="D172" s="30" t="str">
        <f>IFERROR(__xludf.DUMMYFUNCTION("""COMPUTED_VALUE"""),"Wyverns")</f>
        <v>Wyverns</v>
      </c>
      <c r="E172" s="30">
        <f>IFERROR(__xludf.DUMMYFUNCTION("""COMPUTED_VALUE"""),34.0)</f>
        <v>34</v>
      </c>
      <c r="F172" s="30">
        <f>IFERROR(__xludf.DUMMYFUNCTION("""COMPUTED_VALUE"""),18.0)</f>
        <v>18</v>
      </c>
      <c r="G172" s="30">
        <f>IFERROR(__xludf.DUMMYFUNCTION("""COMPUTED_VALUE"""),16.0)</f>
        <v>16</v>
      </c>
      <c r="H172" s="42">
        <f>IFERROR(__xludf.DUMMYFUNCTION("""COMPUTED_VALUE"""),0.5294117647058824)</f>
        <v>0.5294117647</v>
      </c>
      <c r="I172" s="42">
        <f>IFERROR(__xludf.DUMMYFUNCTION("""COMPUTED_VALUE"""),0.33333333333333326)</f>
        <v>0.3333333333</v>
      </c>
      <c r="J172" s="30">
        <f>IFERROR(__xludf.DUMMYFUNCTION("""COMPUTED_VALUE"""),391.29411764705884)</f>
        <v>391.2941176</v>
      </c>
      <c r="K172" s="30">
        <f>IFERROR(__xludf.DUMMYFUNCTION("""COMPUTED_VALUE"""),1.0294117647058822)</f>
        <v>1.029411765</v>
      </c>
      <c r="L172" s="30">
        <f>IFERROR(__xludf.DUMMYFUNCTION("""COMPUTED_VALUE"""),0.5294117647058824)</f>
        <v>0.5294117647</v>
      </c>
      <c r="M172" s="30">
        <f>IFERROR(__xludf.DUMMYFUNCTION("""COMPUTED_VALUE"""),1.588235294117647)</f>
        <v>1.588235294</v>
      </c>
      <c r="N172" s="30">
        <f>IFERROR(__xludf.DUMMYFUNCTION("""COMPUTED_VALUE"""),3.088235294117647)</f>
        <v>3.088235294</v>
      </c>
      <c r="O172" s="30">
        <f>IFERROR(__xludf.DUMMYFUNCTION("""COMPUTED_VALUE"""),353.89215686274514)</f>
        <v>353.8921569</v>
      </c>
      <c r="P172" s="30">
        <f>IFERROR(__xludf.DUMMYFUNCTION("""COMPUTED_VALUE"""),0.6862745098039215)</f>
        <v>0.6862745098</v>
      </c>
      <c r="Q172" s="30">
        <f>IFERROR(__xludf.DUMMYFUNCTION("""COMPUTED_VALUE"""),0.5294117647058824)</f>
        <v>0.5294117647</v>
      </c>
      <c r="R172" s="30">
        <f>IFERROR(__xludf.DUMMYFUNCTION("""COMPUTED_VALUE"""),1.4901960784313724)</f>
        <v>1.490196078</v>
      </c>
      <c r="S172" s="30">
        <f>IFERROR(__xludf.DUMMYFUNCTION("""COMPUTED_VALUE"""),2.519607843137255)</f>
        <v>2.519607843</v>
      </c>
      <c r="T172" s="30">
        <f>IFERROR(__xludf.DUMMYFUNCTION("""COMPUTED_VALUE"""),358.52990525109334)</f>
        <v>358.5299053</v>
      </c>
      <c r="U172" s="30">
        <f>IFERROR(__xludf.DUMMYFUNCTION("""COMPUTED_VALUE"""),0.7970607979710405)</f>
        <v>0.797060798</v>
      </c>
      <c r="V172" s="30">
        <f>IFERROR(__xludf.DUMMYFUNCTION("""COMPUTED_VALUE"""),0.5997481218608871)</f>
        <v>0.5997481219</v>
      </c>
      <c r="W172" s="30">
        <f>IFERROR(__xludf.DUMMYFUNCTION("""COMPUTED_VALUE"""),1.3228642265133563)</f>
        <v>1.322864227</v>
      </c>
      <c r="X172" s="30">
        <f>IFERROR(__xludf.DUMMYFUNCTION("""COMPUTED_VALUE"""),2.737382727664263)</f>
        <v>2.737382728</v>
      </c>
      <c r="Y172" s="30">
        <f>IFERROR(__xludf.DUMMYFUNCTION("""COMPUTED_VALUE"""),356.05788380660266)</f>
        <v>356.0578838</v>
      </c>
      <c r="Z172" s="30">
        <f>IFERROR(__xludf.DUMMYFUNCTION("""COMPUTED_VALUE"""),0.7194435037394942)</f>
        <v>0.7194435037</v>
      </c>
      <c r="AA172" s="30">
        <f>IFERROR(__xludf.DUMMYFUNCTION("""COMPUTED_VALUE"""),0.5387149949105149)</f>
        <v>0.5387149949</v>
      </c>
      <c r="AB172" s="30">
        <f>IFERROR(__xludf.DUMMYFUNCTION("""COMPUTED_VALUE"""),1.508404613121169)</f>
        <v>1.508404613</v>
      </c>
      <c r="AC172" s="30">
        <f>IFERROR(__xludf.DUMMYFUNCTION("""COMPUTED_VALUE"""),2.498679534333938)</f>
        <v>2.498679534</v>
      </c>
      <c r="AD172" s="30">
        <f>IFERROR(__xludf.DUMMYFUNCTION("""COMPUTED_VALUE"""),1.0989620942071183)</f>
        <v>1.098962094</v>
      </c>
      <c r="AE172" s="30">
        <f>IFERROR(__xludf.DUMMYFUNCTION("""COMPUTED_VALUE"""),1.4308444782046785)</f>
        <v>1.430844478</v>
      </c>
      <c r="AF172" s="30">
        <f>IFERROR(__xludf.DUMMYFUNCTION("""COMPUTED_VALUE"""),0.9827307012195236)</f>
        <v>0.9827307012</v>
      </c>
      <c r="AG172" s="30">
        <f>IFERROR(__xludf.DUMMYFUNCTION("""COMPUTED_VALUE"""),1.052923917297822)</f>
        <v>1.052923917</v>
      </c>
      <c r="AH172" s="30">
        <f>IFERROR(__xludf.DUMMYFUNCTION("""COMPUTED_VALUE"""),1.235946927840374)</f>
        <v>1.235946928</v>
      </c>
      <c r="AI172" s="30">
        <f>IFERROR(__xludf.DUMMYFUNCTION("""COMPUTED_VALUE"""),0.9870645423982131)</f>
        <v>0.9870645424</v>
      </c>
      <c r="AJ172" s="30">
        <f>IFERROR(__xludf.DUMMYFUNCTION("""COMPUTED_VALUE"""),0.8610064772359508)</f>
        <v>0.8610064772</v>
      </c>
      <c r="AK172" s="30">
        <f>IFERROR(__xludf.DUMMYFUNCTION("""COMPUTED_VALUE"""),0.8827235057664433)</f>
        <v>0.8827235058</v>
      </c>
      <c r="AL172" s="30">
        <f>IFERROR(__xludf.DUMMYFUNCTION("""COMPUTED_VALUE"""),1.1264920832873748)</f>
        <v>1.126492083</v>
      </c>
      <c r="AM172" s="30">
        <f>IFERROR(__xludf.DUMMYFUNCTION("""COMPUTED_VALUE"""),0.9204441226555011)</f>
        <v>0.9204441227</v>
      </c>
      <c r="AN172" s="30">
        <f>IFERROR(__xludf.DUMMYFUNCTION("""COMPUTED_VALUE"""),1.109397054427729)</f>
        <v>1.109397054</v>
      </c>
      <c r="AO172" s="30">
        <f>IFERROR(__xludf.DUMMYFUNCTION("""COMPUTED_VALUE"""),1.4433973158238644)</f>
        <v>1.443397316</v>
      </c>
      <c r="AP172" s="30">
        <f>IFERROR(__xludf.DUMMYFUNCTION("""COMPUTED_VALUE"""),0.9205937305241217)</f>
        <v>0.9205937305</v>
      </c>
      <c r="AQ172" s="30">
        <f>IFERROR(__xludf.DUMMYFUNCTION("""COMPUTED_VALUE"""),1.1133651164525566)</f>
        <v>1.113365116</v>
      </c>
      <c r="AR172" s="30">
        <f>IFERROR(__xludf.DUMMYFUNCTION("""COMPUTED_VALUE"""),1.225922958854312)</f>
        <v>1.225922959</v>
      </c>
      <c r="AS172" s="30">
        <f>IFERROR(__xludf.DUMMYFUNCTION("""COMPUTED_VALUE"""),82.0)</f>
        <v>82</v>
      </c>
      <c r="AT172" s="30">
        <f>IFERROR(__xludf.DUMMYFUNCTION("""COMPUTED_VALUE"""),0.5604970477686955)</f>
        <v>0.5604970478</v>
      </c>
      <c r="AU172" s="30">
        <f>IFERROR(__xludf.DUMMYFUNCTION("""COMPUTED_VALUE"""),3.362726880170613)</f>
        <v>3.36272688</v>
      </c>
      <c r="AV172" s="32">
        <f>IFERROR(__xludf.DUMMYFUNCTION("""COMPUTED_VALUE"""),79.1680044461312)</f>
        <v>79.16800445</v>
      </c>
      <c r="AW172" s="32">
        <f>IFERROR(__xludf.DUMMYFUNCTION("""COMPUTED_VALUE"""),8.219513907386018)</f>
        <v>8.219513907</v>
      </c>
      <c r="AX172" s="32">
        <f>IFERROR(__xludf.DUMMYFUNCTION("""COMPUTED_VALUE"""),62.90535570486708)</f>
        <v>62.9053557</v>
      </c>
      <c r="AY172" s="32">
        <f>IFERROR(__xludf.DUMMYFUNCTION("""COMPUTED_VALUE"""),3.3019385350538992)</f>
        <v>3.301938535</v>
      </c>
      <c r="AZ172" s="30">
        <f>IFERROR(__xludf.DUMMYFUNCTION("""COMPUTED_VALUE"""),4.917575372332118)</f>
        <v>4.917575372</v>
      </c>
      <c r="BA172" s="30">
        <f>IFERROR(__xludf.DUMMYFUNCTION("""COMPUTED_VALUE"""),800.0)</f>
        <v>800</v>
      </c>
    </row>
    <row r="173">
      <c r="A173" s="30" t="str">
        <f>IFERROR(__xludf.DUMMYFUNCTION("""COMPUTED_VALUE"""),"Elite")</f>
        <v>Elite</v>
      </c>
      <c r="B173" s="30" t="str">
        <f>IFERROR(__xludf.DUMMYFUNCTION("""COMPUTED_VALUE"""),"RSC005899")</f>
        <v>RSC005899</v>
      </c>
      <c r="C173" s="30" t="str">
        <f>IFERROR(__xludf.DUMMYFUNCTION("""COMPUTED_VALUE"""),"DJDancingDuckGif")</f>
        <v>DJDancingDuckGif</v>
      </c>
      <c r="D173" s="30" t="str">
        <f>IFERROR(__xludf.DUMMYFUNCTION("""COMPUTED_VALUE"""),"Black-Holes")</f>
        <v>Black-Holes</v>
      </c>
      <c r="E173" s="30">
        <f>IFERROR(__xludf.DUMMYFUNCTION("""COMPUTED_VALUE"""),24.0)</f>
        <v>24</v>
      </c>
      <c r="F173" s="30">
        <f>IFERROR(__xludf.DUMMYFUNCTION("""COMPUTED_VALUE"""),16.0)</f>
        <v>16</v>
      </c>
      <c r="G173" s="30">
        <f>IFERROR(__xludf.DUMMYFUNCTION("""COMPUTED_VALUE"""),8.0)</f>
        <v>8</v>
      </c>
      <c r="H173" s="42">
        <f>IFERROR(__xludf.DUMMYFUNCTION("""COMPUTED_VALUE"""),0.6666666666666666)</f>
        <v>0.6666666667</v>
      </c>
      <c r="I173" s="42">
        <f>IFERROR(__xludf.DUMMYFUNCTION("""COMPUTED_VALUE"""),0.29824561403508776)</f>
        <v>0.298245614</v>
      </c>
      <c r="J173" s="30">
        <f>IFERROR(__xludf.DUMMYFUNCTION("""COMPUTED_VALUE"""),370.8333333333333)</f>
        <v>370.8333333</v>
      </c>
      <c r="K173" s="30">
        <f>IFERROR(__xludf.DUMMYFUNCTION("""COMPUTED_VALUE"""),0.7083333333333334)</f>
        <v>0.7083333333</v>
      </c>
      <c r="L173" s="30">
        <f>IFERROR(__xludf.DUMMYFUNCTION("""COMPUTED_VALUE"""),0.6666666666666666)</f>
        <v>0.6666666667</v>
      </c>
      <c r="M173" s="30">
        <f>IFERROR(__xludf.DUMMYFUNCTION("""COMPUTED_VALUE"""),1.75)</f>
        <v>1.75</v>
      </c>
      <c r="N173" s="30">
        <f>IFERROR(__xludf.DUMMYFUNCTION("""COMPUTED_VALUE"""),2.375)</f>
        <v>2.375</v>
      </c>
      <c r="O173" s="30">
        <f>IFERROR(__xludf.DUMMYFUNCTION("""COMPUTED_VALUE"""),367.1805555555556)</f>
        <v>367.1805556</v>
      </c>
      <c r="P173" s="30">
        <f>IFERROR(__xludf.DUMMYFUNCTION("""COMPUTED_VALUE"""),0.7083333333333334)</f>
        <v>0.7083333333</v>
      </c>
      <c r="Q173" s="30">
        <f>IFERROR(__xludf.DUMMYFUNCTION("""COMPUTED_VALUE"""),0.4722222222222223)</f>
        <v>0.4722222222</v>
      </c>
      <c r="R173" s="30">
        <f>IFERROR(__xludf.DUMMYFUNCTION("""COMPUTED_VALUE"""),1.763888888888889)</f>
        <v>1.763888889</v>
      </c>
      <c r="S173" s="30">
        <f>IFERROR(__xludf.DUMMYFUNCTION("""COMPUTED_VALUE"""),2.4444444444444446)</f>
        <v>2.444444444</v>
      </c>
      <c r="T173" s="30">
        <f>IFERROR(__xludf.DUMMYFUNCTION("""COMPUTED_VALUE"""),348.10288054567405)</f>
        <v>348.1028805</v>
      </c>
      <c r="U173" s="30">
        <f>IFERROR(__xludf.DUMMYFUNCTION("""COMPUTED_VALUE"""),0.7205286920352477)</f>
        <v>0.720528692</v>
      </c>
      <c r="V173" s="30">
        <f>IFERROR(__xludf.DUMMYFUNCTION("""COMPUTED_VALUE"""),0.5305092380952844)</f>
        <v>0.5305092381</v>
      </c>
      <c r="W173" s="30">
        <f>IFERROR(__xludf.DUMMYFUNCTION("""COMPUTED_VALUE"""),1.4317891914413232)</f>
        <v>1.431789191</v>
      </c>
      <c r="X173" s="30">
        <f>IFERROR(__xludf.DUMMYFUNCTION("""COMPUTED_VALUE"""),2.544917584524658)</f>
        <v>2.544917585</v>
      </c>
      <c r="Y173" s="30">
        <f>IFERROR(__xludf.DUMMYFUNCTION("""COMPUTED_VALUE"""),369.97229518657474)</f>
        <v>369.9722952</v>
      </c>
      <c r="Z173" s="30">
        <f>IFERROR(__xludf.DUMMYFUNCTION("""COMPUTED_VALUE"""),0.8285087358346696)</f>
        <v>0.8285087358</v>
      </c>
      <c r="AA173" s="30">
        <f>IFERROR(__xludf.DUMMYFUNCTION("""COMPUTED_VALUE"""),0.6417347668576362)</f>
        <v>0.6417347669</v>
      </c>
      <c r="AB173" s="30">
        <f>IFERROR(__xludf.DUMMYFUNCTION("""COMPUTED_VALUE"""),1.3797349368195027)</f>
        <v>1.379734937</v>
      </c>
      <c r="AC173" s="30">
        <f>IFERROR(__xludf.DUMMYFUNCTION("""COMPUTED_VALUE"""),2.804090095600369)</f>
        <v>2.804090096</v>
      </c>
      <c r="AD173" s="30">
        <f>IFERROR(__xludf.DUMMYFUNCTION("""COMPUTED_VALUE"""),1.0023273043899796)</f>
        <v>1.002327304</v>
      </c>
      <c r="AE173" s="30">
        <f>IFERROR(__xludf.DUMMYFUNCTION("""COMPUTED_VALUE"""),0.8549497460877499)</f>
        <v>0.8549497461</v>
      </c>
      <c r="AF173" s="30">
        <f>IFERROR(__xludf.DUMMYFUNCTION("""COMPUTED_VALUE"""),1.0388507855529063)</f>
        <v>1.038850786</v>
      </c>
      <c r="AG173" s="30">
        <f>IFERROR(__xludf.DUMMYFUNCTION("""COMPUTED_VALUE"""),1.2683595618981818)</f>
        <v>1.268359562</v>
      </c>
      <c r="AH173" s="30">
        <f>IFERROR(__xludf.DUMMYFUNCTION("""COMPUTED_VALUE"""),0.8469770652970054)</f>
        <v>0.8469770653</v>
      </c>
      <c r="AI173" s="30">
        <f>IFERROR(__xludf.DUMMYFUNCTION("""COMPUTED_VALUE"""),1.0548047030808134)</f>
        <v>1.054804703</v>
      </c>
      <c r="AJ173" s="30">
        <f>IFERROR(__xludf.DUMMYFUNCTION("""COMPUTED_VALUE"""),0.9830744301556311)</f>
        <v>0.9830744302</v>
      </c>
      <c r="AK173" s="30">
        <f>IFERROR(__xludf.DUMMYFUNCTION("""COMPUTED_VALUE"""),0.8901300643089024)</f>
        <v>0.8901300643</v>
      </c>
      <c r="AL173" s="30">
        <f>IFERROR(__xludf.DUMMYFUNCTION("""COMPUTED_VALUE"""),1.2319473421315987)</f>
        <v>1.231947342</v>
      </c>
      <c r="AM173" s="30">
        <f>IFERROR(__xludf.DUMMYFUNCTION("""COMPUTED_VALUE"""),0.9605200810072678)</f>
        <v>0.960520081</v>
      </c>
      <c r="AN173" s="30">
        <f>IFERROR(__xludf.DUMMYFUNCTION("""COMPUTED_VALUE"""),1.0513866402016647)</f>
        <v>1.05138664</v>
      </c>
      <c r="AO173" s="30">
        <f>IFERROR(__xludf.DUMMYFUNCTION("""COMPUTED_VALUE"""),0.9931948196978497)</f>
        <v>0.9931948197</v>
      </c>
      <c r="AP173" s="30">
        <f>IFERROR(__xludf.DUMMYFUNCTION("""COMPUTED_VALUE"""),1.1592661791785237)</f>
        <v>1.159266179</v>
      </c>
      <c r="AQ173" s="30">
        <f>IFERROR(__xludf.DUMMYFUNCTION("""COMPUTED_VALUE"""),1.2267634153505023)</f>
        <v>1.226763415</v>
      </c>
      <c r="AR173" s="30">
        <f>IFERROR(__xludf.DUMMYFUNCTION("""COMPUTED_VALUE"""),0.9427931326427208)</f>
        <v>0.9427931326</v>
      </c>
      <c r="AS173" s="30">
        <f>IFERROR(__xludf.DUMMYFUNCTION("""COMPUTED_VALUE"""),79.0)</f>
        <v>79</v>
      </c>
      <c r="AT173" s="30">
        <f>IFERROR(__xludf.DUMMYFUNCTION("""COMPUTED_VALUE"""),0.6705537063608386)</f>
        <v>0.6705537064</v>
      </c>
      <c r="AU173" s="30">
        <f>IFERROR(__xludf.DUMMYFUNCTION("""COMPUTED_VALUE"""),2.3834516810596966)</f>
        <v>2.383451681</v>
      </c>
      <c r="AV173" s="32">
        <f>IFERROR(__xludf.DUMMYFUNCTION("""COMPUTED_VALUE"""),51.65090102325611)</f>
        <v>51.65090102</v>
      </c>
      <c r="AW173" s="32">
        <f>IFERROR(__xludf.DUMMYFUNCTION("""COMPUTED_VALUE"""),2.1111540966143107)</f>
        <v>2.111154097</v>
      </c>
      <c r="AX173" s="32">
        <f>IFERROR(__xludf.DUMMYFUNCTION("""COMPUTED_VALUE"""),40.841921373090585)</f>
        <v>40.84192137</v>
      </c>
      <c r="AY173" s="32">
        <f>IFERROR(__xludf.DUMMYFUNCTION("""COMPUTED_VALUE"""),-2.800634217114525)</f>
        <v>-2.800634217</v>
      </c>
      <c r="AZ173" s="30">
        <f>IFERROR(__xludf.DUMMYFUNCTION("""COMPUTED_VALUE"""),4.911788313728836)</f>
        <v>4.911788314</v>
      </c>
      <c r="BA173" s="30">
        <f>IFERROR(__xludf.DUMMYFUNCTION("""COMPUTED_VALUE"""),800.0)</f>
        <v>800</v>
      </c>
    </row>
    <row r="174">
      <c r="A174" s="30" t="str">
        <f>IFERROR(__xludf.DUMMYFUNCTION("""COMPUTED_VALUE"""),"Elite")</f>
        <v>Elite</v>
      </c>
      <c r="B174" s="30" t="str">
        <f>IFERROR(__xludf.DUMMYFUNCTION("""COMPUTED_VALUE"""),"RSC006637")</f>
        <v>RSC006637</v>
      </c>
      <c r="C174" s="30" t="str">
        <f>IFERROR(__xludf.DUMMYFUNCTION("""COMPUTED_VALUE"""),"nekodah")</f>
        <v>nekodah</v>
      </c>
      <c r="D174" s="30" t="str">
        <f>IFERROR(__xludf.DUMMYFUNCTION("""COMPUTED_VALUE"""),"Stoked Blokes")</f>
        <v>Stoked Blokes</v>
      </c>
      <c r="E174" s="30">
        <f>IFERROR(__xludf.DUMMYFUNCTION("""COMPUTED_VALUE"""),12.0)</f>
        <v>12</v>
      </c>
      <c r="F174" s="30">
        <f>IFERROR(__xludf.DUMMYFUNCTION("""COMPUTED_VALUE"""),8.0)</f>
        <v>8</v>
      </c>
      <c r="G174" s="30">
        <f>IFERROR(__xludf.DUMMYFUNCTION("""COMPUTED_VALUE"""),4.0)</f>
        <v>4</v>
      </c>
      <c r="H174" s="42">
        <f>IFERROR(__xludf.DUMMYFUNCTION("""COMPUTED_VALUE"""),0.6666666666666666)</f>
        <v>0.6666666667</v>
      </c>
      <c r="I174" s="42">
        <f>IFERROR(__xludf.DUMMYFUNCTION("""COMPUTED_VALUE"""),0.29729729729729726)</f>
        <v>0.2972972973</v>
      </c>
      <c r="J174" s="30">
        <f>IFERROR(__xludf.DUMMYFUNCTION("""COMPUTED_VALUE"""),348.5)</f>
        <v>348.5</v>
      </c>
      <c r="K174" s="30">
        <f>IFERROR(__xludf.DUMMYFUNCTION("""COMPUTED_VALUE"""),0.9166666666666666)</f>
        <v>0.9166666667</v>
      </c>
      <c r="L174" s="30">
        <f>IFERROR(__xludf.DUMMYFUNCTION("""COMPUTED_VALUE"""),0.16666666666666666)</f>
        <v>0.1666666667</v>
      </c>
      <c r="M174" s="30">
        <f>IFERROR(__xludf.DUMMYFUNCTION("""COMPUTED_VALUE"""),1.1666666666666667)</f>
        <v>1.166666667</v>
      </c>
      <c r="N174" s="30">
        <f>IFERROR(__xludf.DUMMYFUNCTION("""COMPUTED_VALUE"""),3.0833333333333335)</f>
        <v>3.083333333</v>
      </c>
      <c r="O174" s="30">
        <f>IFERROR(__xludf.DUMMYFUNCTION("""COMPUTED_VALUE"""),330.1666666666667)</f>
        <v>330.1666667</v>
      </c>
      <c r="P174" s="30">
        <f>IFERROR(__xludf.DUMMYFUNCTION("""COMPUTED_VALUE"""),0.5277777777777778)</f>
        <v>0.5277777778</v>
      </c>
      <c r="Q174" s="30">
        <f>IFERROR(__xludf.DUMMYFUNCTION("""COMPUTED_VALUE"""),0.49999999999999994)</f>
        <v>0.5</v>
      </c>
      <c r="R174" s="30">
        <f>IFERROR(__xludf.DUMMYFUNCTION("""COMPUTED_VALUE"""),1.7777777777777777)</f>
        <v>1.777777778</v>
      </c>
      <c r="S174" s="30">
        <f>IFERROR(__xludf.DUMMYFUNCTION("""COMPUTED_VALUE"""),2.1111111111111107)</f>
        <v>2.111111111</v>
      </c>
      <c r="T174" s="30">
        <f>IFERROR(__xludf.DUMMYFUNCTION("""COMPUTED_VALUE"""),361.6061542418486)</f>
        <v>361.6061542</v>
      </c>
      <c r="U174" s="30">
        <f>IFERROR(__xludf.DUMMYFUNCTION("""COMPUTED_VALUE"""),0.7474497467553024)</f>
        <v>0.7474497468</v>
      </c>
      <c r="V174" s="30">
        <f>IFERROR(__xludf.DUMMYFUNCTION("""COMPUTED_VALUE"""),0.6288639601139603)</f>
        <v>0.6288639601</v>
      </c>
      <c r="W174" s="30">
        <f>IFERROR(__xludf.DUMMYFUNCTION("""COMPUTED_VALUE"""),1.5597962171573287)</f>
        <v>1.559796217</v>
      </c>
      <c r="X174" s="30">
        <f>IFERROR(__xludf.DUMMYFUNCTION("""COMPUTED_VALUE"""),2.3342869578980694)</f>
        <v>2.334286958</v>
      </c>
      <c r="Y174" s="30">
        <f>IFERROR(__xludf.DUMMYFUNCTION("""COMPUTED_VALUE"""),357.3669164820091)</f>
        <v>357.3669165</v>
      </c>
      <c r="Z174" s="30">
        <f>IFERROR(__xludf.DUMMYFUNCTION("""COMPUTED_VALUE"""),0.79602287116176)</f>
        <v>0.7960228712</v>
      </c>
      <c r="AA174" s="30">
        <f>IFERROR(__xludf.DUMMYFUNCTION("""COMPUTED_VALUE"""),0.5935849952516619)</f>
        <v>0.5935849953</v>
      </c>
      <c r="AB174" s="30">
        <f>IFERROR(__xludf.DUMMYFUNCTION("""COMPUTED_VALUE"""),1.283603592909149)</f>
        <v>1.283603593</v>
      </c>
      <c r="AC174" s="30">
        <f>IFERROR(__xludf.DUMMYFUNCTION("""COMPUTED_VALUE"""),2.8034009971509968)</f>
        <v>2.803400997</v>
      </c>
      <c r="AD174" s="30">
        <f>IFERROR(__xludf.DUMMYFUNCTION("""COMPUTED_VALUE"""),0.9751881999338472)</f>
        <v>0.9751881999</v>
      </c>
      <c r="AE174" s="30">
        <f>IFERROR(__xludf.DUMMYFUNCTION("""COMPUTED_VALUE"""),1.1515582025034437)</f>
        <v>1.151558203</v>
      </c>
      <c r="AF174" s="30">
        <f>IFERROR(__xludf.DUMMYFUNCTION("""COMPUTED_VALUE"""),0.2807797838555624)</f>
        <v>0.2807797839</v>
      </c>
      <c r="AG174" s="30">
        <f>IFERROR(__xludf.DUMMYFUNCTION("""COMPUTED_VALUE"""),0.908899502238493)</f>
        <v>0.9088995022</v>
      </c>
      <c r="AH174" s="30">
        <f>IFERROR(__xludf.DUMMYFUNCTION("""COMPUTED_VALUE"""),1.0998545468403638)</f>
        <v>1.099854547</v>
      </c>
      <c r="AI174" s="30">
        <f>IFERROR(__xludf.DUMMYFUNCTION("""COMPUTED_VALUE"""),0.9130559941904234)</f>
        <v>0.9130559942</v>
      </c>
      <c r="AJ174" s="30">
        <f>IFERROR(__xludf.DUMMYFUNCTION("""COMPUTED_VALUE"""),0.7061046981002723)</f>
        <v>0.7061046981</v>
      </c>
      <c r="AK174" s="30">
        <f>IFERROR(__xludf.DUMMYFUNCTION("""COMPUTED_VALUE"""),0.7950845202027349)</f>
        <v>0.7950845202</v>
      </c>
      <c r="AL174" s="30">
        <f>IFERROR(__xludf.DUMMYFUNCTION("""COMPUTED_VALUE"""),1.1397500251781045)</f>
        <v>1.139750025</v>
      </c>
      <c r="AM174" s="30">
        <f>IFERROR(__xludf.DUMMYFUNCTION("""COMPUTED_VALUE"""),0.9043922830345077)</f>
        <v>0.904392283</v>
      </c>
      <c r="AN174" s="30">
        <f>IFERROR(__xludf.DUMMYFUNCTION("""COMPUTED_VALUE"""),0.9880671751288453)</f>
        <v>0.9880671751</v>
      </c>
      <c r="AO174" s="30">
        <f>IFERROR(__xludf.DUMMYFUNCTION("""COMPUTED_VALUE"""),1.2853109431383936)</f>
        <v>1.285310943</v>
      </c>
      <c r="AP174" s="30">
        <f>IFERROR(__xludf.DUMMYFUNCTION("""COMPUTED_VALUE"""),0.2898165447946309)</f>
        <v>0.2898165448</v>
      </c>
      <c r="AQ174" s="30">
        <f>IFERROR(__xludf.DUMMYFUNCTION("""COMPUTED_VALUE"""),0.817842276900335)</f>
        <v>0.8178422769</v>
      </c>
      <c r="AR174" s="30">
        <f>IFERROR(__xludf.DUMMYFUNCTION("""COMPUTED_VALUE"""),1.2239770493958129)</f>
        <v>1.223977049</v>
      </c>
      <c r="AS174" s="30">
        <f>IFERROR(__xludf.DUMMYFUNCTION("""COMPUTED_VALUE"""),27.0)</f>
        <v>27</v>
      </c>
      <c r="AT174" s="30">
        <f>IFERROR(__xludf.DUMMYFUNCTION("""COMPUTED_VALUE"""),0.6263889254786668)</f>
        <v>0.6263889255</v>
      </c>
      <c r="AU174" s="30">
        <f>IFERROR(__xludf.DUMMYFUNCTION("""COMPUTED_VALUE"""),2.6548907617212834)</f>
        <v>2.654890762</v>
      </c>
      <c r="AV174" s="32">
        <f>IFERROR(__xludf.DUMMYFUNCTION("""COMPUTED_VALUE"""),59.278192373385586)</f>
        <v>59.27819237</v>
      </c>
      <c r="AW174" s="32">
        <f>IFERROR(__xludf.DUMMYFUNCTION("""COMPUTED_VALUE"""),2.814751001557847)</f>
        <v>2.814751002</v>
      </c>
      <c r="AX174" s="32">
        <f>IFERROR(__xludf.DUMMYFUNCTION("""COMPUTED_VALUE"""),49.208780208458414)</f>
        <v>49.20878021</v>
      </c>
      <c r="AY174" s="32">
        <f>IFERROR(__xludf.DUMMYFUNCTION("""COMPUTED_VALUE"""),-2.0518036666189854)</f>
        <v>-2.051803667</v>
      </c>
      <c r="AZ174" s="30">
        <f>IFERROR(__xludf.DUMMYFUNCTION("""COMPUTED_VALUE"""),4.866554668176832)</f>
        <v>4.866554668</v>
      </c>
      <c r="BA174" s="30">
        <f>IFERROR(__xludf.DUMMYFUNCTION("""COMPUTED_VALUE"""),800.0)</f>
        <v>800</v>
      </c>
    </row>
    <row r="175">
      <c r="A175" s="30" t="str">
        <f>IFERROR(__xludf.DUMMYFUNCTION("""COMPUTED_VALUE"""),"Elite")</f>
        <v>Elite</v>
      </c>
      <c r="B175" s="30" t="str">
        <f>IFERROR(__xludf.DUMMYFUNCTION("""COMPUTED_VALUE"""),"RSC003445")</f>
        <v>RSC003445</v>
      </c>
      <c r="C175" s="30" t="str">
        <f>IFERROR(__xludf.DUMMYFUNCTION("""COMPUTED_VALUE"""),"bosco")</f>
        <v>bosco</v>
      </c>
      <c r="D175" s="30"/>
      <c r="E175" s="30">
        <f>IFERROR(__xludf.DUMMYFUNCTION("""COMPUTED_VALUE"""),4.0)</f>
        <v>4</v>
      </c>
      <c r="F175" s="30">
        <f>IFERROR(__xludf.DUMMYFUNCTION("""COMPUTED_VALUE"""),1.0)</f>
        <v>1</v>
      </c>
      <c r="G175" s="30">
        <f>IFERROR(__xludf.DUMMYFUNCTION("""COMPUTED_VALUE"""),3.0)</f>
        <v>3</v>
      </c>
      <c r="H175" s="42">
        <f>IFERROR(__xludf.DUMMYFUNCTION("""COMPUTED_VALUE"""),0.25)</f>
        <v>0.25</v>
      </c>
      <c r="I175" s="42">
        <f>IFERROR(__xludf.DUMMYFUNCTION("""COMPUTED_VALUE"""),0.18181818181818182)</f>
        <v>0.1818181818</v>
      </c>
      <c r="J175" s="30">
        <f>IFERROR(__xludf.DUMMYFUNCTION("""COMPUTED_VALUE"""),280.75)</f>
        <v>280.75</v>
      </c>
      <c r="K175" s="30">
        <f>IFERROR(__xludf.DUMMYFUNCTION("""COMPUTED_VALUE"""),0.5)</f>
        <v>0.5</v>
      </c>
      <c r="L175" s="30">
        <f>IFERROR(__xludf.DUMMYFUNCTION("""COMPUTED_VALUE"""),0.0)</f>
        <v>0</v>
      </c>
      <c r="M175" s="30">
        <f>IFERROR(__xludf.DUMMYFUNCTION("""COMPUTED_VALUE"""),1.0)</f>
        <v>1</v>
      </c>
      <c r="N175" s="30">
        <f>IFERROR(__xludf.DUMMYFUNCTION("""COMPUTED_VALUE"""),2.75)</f>
        <v>2.75</v>
      </c>
      <c r="O175" s="30">
        <f>IFERROR(__xludf.DUMMYFUNCTION("""COMPUTED_VALUE"""),473.91666666666663)</f>
        <v>473.9166667</v>
      </c>
      <c r="P175" s="30">
        <f>IFERROR(__xludf.DUMMYFUNCTION("""COMPUTED_VALUE"""),1.0833333333333333)</f>
        <v>1.083333333</v>
      </c>
      <c r="Q175" s="30">
        <f>IFERROR(__xludf.DUMMYFUNCTION("""COMPUTED_VALUE"""),0.9166666666666666)</f>
        <v>0.9166666667</v>
      </c>
      <c r="R175" s="30">
        <f>IFERROR(__xludf.DUMMYFUNCTION("""COMPUTED_VALUE"""),2.0833333333333335)</f>
        <v>2.083333333</v>
      </c>
      <c r="S175" s="30">
        <f>IFERROR(__xludf.DUMMYFUNCTION("""COMPUTED_VALUE"""),2.3333333333333335)</f>
        <v>2.333333333</v>
      </c>
      <c r="T175" s="30">
        <f>IFERROR(__xludf.DUMMYFUNCTION("""COMPUTED_VALUE"""),387.2916666666667)</f>
        <v>387.2916667</v>
      </c>
      <c r="U175" s="30">
        <f>IFERROR(__xludf.DUMMYFUNCTION("""COMPUTED_VALUE"""),0.8472222222222223)</f>
        <v>0.8472222222</v>
      </c>
      <c r="V175" s="30">
        <f>IFERROR(__xludf.DUMMYFUNCTION("""COMPUTED_VALUE"""),0.6064814814814815)</f>
        <v>0.6064814815</v>
      </c>
      <c r="W175" s="30">
        <f>IFERROR(__xludf.DUMMYFUNCTION("""COMPUTED_VALUE"""),1.5509259259259263)</f>
        <v>1.550925926</v>
      </c>
      <c r="X175" s="30">
        <f>IFERROR(__xludf.DUMMYFUNCTION("""COMPUTED_VALUE"""),2.7962962962962963)</f>
        <v>2.796296296</v>
      </c>
      <c r="Y175" s="30">
        <f>IFERROR(__xludf.DUMMYFUNCTION("""COMPUTED_VALUE"""),353.1111111111111)</f>
        <v>353.1111111</v>
      </c>
      <c r="Z175" s="30">
        <f>IFERROR(__xludf.DUMMYFUNCTION("""COMPUTED_VALUE"""),0.6882716049382717)</f>
        <v>0.6882716049</v>
      </c>
      <c r="AA175" s="30">
        <f>IFERROR(__xludf.DUMMYFUNCTION("""COMPUTED_VALUE"""),0.5524691358024691)</f>
        <v>0.5524691358</v>
      </c>
      <c r="AB175" s="30">
        <f>IFERROR(__xludf.DUMMYFUNCTION("""COMPUTED_VALUE"""),1.405864197530864)</f>
        <v>1.405864198</v>
      </c>
      <c r="AC175" s="30">
        <f>IFERROR(__xludf.DUMMYFUNCTION("""COMPUTED_VALUE"""),2.4645061728395063)</f>
        <v>2.464506173</v>
      </c>
      <c r="AD175" s="30">
        <f>IFERROR(__xludf.DUMMYFUNCTION("""COMPUTED_VALUE"""),0.795075519194462)</f>
        <v>0.7950755192</v>
      </c>
      <c r="AE175" s="30">
        <f>IFERROR(__xludf.DUMMYFUNCTION("""COMPUTED_VALUE"""),0.726457399103139)</f>
        <v>0.7264573991</v>
      </c>
      <c r="AF175" s="30">
        <f>IFERROR(__xludf.DUMMYFUNCTION("""COMPUTED_VALUE"""),0.0)</f>
        <v>0</v>
      </c>
      <c r="AG175" s="30">
        <f>IFERROR(__xludf.DUMMYFUNCTION("""COMPUTED_VALUE"""),0.7113062568605929)</f>
        <v>0.7113062569</v>
      </c>
      <c r="AH175" s="30">
        <f>IFERROR(__xludf.DUMMYFUNCTION("""COMPUTED_VALUE"""),1.115842204132749)</f>
        <v>1.115842204</v>
      </c>
      <c r="AI175" s="30">
        <f>IFERROR(__xludf.DUMMYFUNCTION("""COMPUTED_VALUE"""),1.2236686390532543)</f>
        <v>1.223668639</v>
      </c>
      <c r="AJ175" s="30">
        <f>IFERROR(__xludf.DUMMYFUNCTION("""COMPUTED_VALUE"""),1.2786885245901638)</f>
        <v>1.278688525</v>
      </c>
      <c r="AK175" s="30">
        <f>IFERROR(__xludf.DUMMYFUNCTION("""COMPUTED_VALUE"""),1.5114503816793892)</f>
        <v>1.511450382</v>
      </c>
      <c r="AL175" s="30">
        <f>IFERROR(__xludf.DUMMYFUNCTION("""COMPUTED_VALUE"""),1.3432835820895521)</f>
        <v>1.343283582</v>
      </c>
      <c r="AM175" s="30">
        <f>IFERROR(__xludf.DUMMYFUNCTION("""COMPUTED_VALUE"""),0.8344370860927153)</f>
        <v>0.8344370861</v>
      </c>
      <c r="AN175" s="30">
        <f>IFERROR(__xludf.DUMMYFUNCTION("""COMPUTED_VALUE"""),0.795982379963912)</f>
        <v>0.79598238</v>
      </c>
      <c r="AO175" s="30">
        <f>IFERROR(__xludf.DUMMYFUNCTION("""COMPUTED_VALUE"""),0.7010786962573057)</f>
        <v>0.7010786963</v>
      </c>
      <c r="AP175" s="30">
        <f>IFERROR(__xludf.DUMMYFUNCTION("""COMPUTED_VALUE"""),0.0)</f>
        <v>0</v>
      </c>
      <c r="AQ175" s="30">
        <f>IFERROR(__xludf.DUMMYFUNCTION("""COMPUTED_VALUE"""),0.7010076659145728)</f>
        <v>0.7010076659</v>
      </c>
      <c r="AR175" s="30">
        <f>IFERROR(__xludf.DUMMYFUNCTION("""COMPUTED_VALUE"""),1.0916552062178873)</f>
        <v>1.091655206</v>
      </c>
      <c r="AS175" s="30">
        <f>IFERROR(__xludf.DUMMYFUNCTION("""COMPUTED_VALUE"""),7.0)</f>
        <v>7</v>
      </c>
      <c r="AT175" s="30">
        <f>IFERROR(__xludf.DUMMYFUNCTION("""COMPUTED_VALUE"""),0.2724004993386534)</f>
        <v>0.2724004993</v>
      </c>
      <c r="AU175" s="30">
        <f>IFERROR(__xludf.DUMMYFUNCTION("""COMPUTED_VALUE"""),1.162069161260008)</f>
        <v>1.162069161</v>
      </c>
      <c r="AV175" s="32">
        <f>IFERROR(__xludf.DUMMYFUNCTION("""COMPUTED_VALUE"""),17.330712840472216)</f>
        <v>17.33071284</v>
      </c>
      <c r="AW175" s="32">
        <f>IFERROR(__xludf.DUMMYFUNCTION("""COMPUTED_VALUE"""),-10.455311468719279)</f>
        <v>-10.45531147</v>
      </c>
      <c r="AX175" s="32">
        <f>IFERROR(__xludf.DUMMYFUNCTION("""COMPUTED_VALUE"""),12.217924731114906)</f>
        <v>12.21792473</v>
      </c>
      <c r="AY175" s="32">
        <f>IFERROR(__xludf.DUMMYFUNCTION("""COMPUTED_VALUE"""),-15.300303580529546)</f>
        <v>-15.30030358</v>
      </c>
      <c r="AZ175" s="30">
        <f>IFERROR(__xludf.DUMMYFUNCTION("""COMPUTED_VALUE"""),4.844992111810267)</f>
        <v>4.844992112</v>
      </c>
      <c r="BA175" s="30">
        <f>IFERROR(__xludf.DUMMYFUNCTION("""COMPUTED_VALUE"""),800.0)</f>
        <v>800</v>
      </c>
    </row>
    <row r="176">
      <c r="A176" s="30" t="str">
        <f>IFERROR(__xludf.DUMMYFUNCTION("""COMPUTED_VALUE"""),"Elite")</f>
        <v>Elite</v>
      </c>
      <c r="B176" s="30" t="str">
        <f>IFERROR(__xludf.DUMMYFUNCTION("""COMPUTED_VALUE"""),"RSC006193")</f>
        <v>RSC006193</v>
      </c>
      <c r="C176" s="30" t="str">
        <f>IFERROR(__xludf.DUMMYFUNCTION("""COMPUTED_VALUE"""),"Saucy Rexy")</f>
        <v>Saucy Rexy</v>
      </c>
      <c r="D176" s="30" t="str">
        <f>IFERROR(__xludf.DUMMYFUNCTION("""COMPUTED_VALUE"""),"Keno")</f>
        <v>Keno</v>
      </c>
      <c r="E176" s="30">
        <f>IFERROR(__xludf.DUMMYFUNCTION("""COMPUTED_VALUE"""),30.0)</f>
        <v>30</v>
      </c>
      <c r="F176" s="30">
        <f>IFERROR(__xludf.DUMMYFUNCTION("""COMPUTED_VALUE"""),13.0)</f>
        <v>13</v>
      </c>
      <c r="G176" s="30">
        <f>IFERROR(__xludf.DUMMYFUNCTION("""COMPUTED_VALUE"""),17.0)</f>
        <v>17</v>
      </c>
      <c r="H176" s="42">
        <f>IFERROR(__xludf.DUMMYFUNCTION("""COMPUTED_VALUE"""),0.43333333333333335)</f>
        <v>0.4333333333</v>
      </c>
      <c r="I176" s="42">
        <f>IFERROR(__xludf.DUMMYFUNCTION("""COMPUTED_VALUE"""),0.4642857142857143)</f>
        <v>0.4642857143</v>
      </c>
      <c r="J176" s="30">
        <f>IFERROR(__xludf.DUMMYFUNCTION("""COMPUTED_VALUE"""),354.03333333333336)</f>
        <v>354.0333333</v>
      </c>
      <c r="K176" s="30">
        <f>IFERROR(__xludf.DUMMYFUNCTION("""COMPUTED_VALUE"""),0.8666666666666667)</f>
        <v>0.8666666667</v>
      </c>
      <c r="L176" s="30">
        <f>IFERROR(__xludf.DUMMYFUNCTION("""COMPUTED_VALUE"""),0.4)</f>
        <v>0.4</v>
      </c>
      <c r="M176" s="30">
        <f>IFERROR(__xludf.DUMMYFUNCTION("""COMPUTED_VALUE"""),1.6333333333333333)</f>
        <v>1.633333333</v>
      </c>
      <c r="N176" s="30">
        <f>IFERROR(__xludf.DUMMYFUNCTION("""COMPUTED_VALUE"""),1.8666666666666667)</f>
        <v>1.866666667</v>
      </c>
      <c r="O176" s="30">
        <f>IFERROR(__xludf.DUMMYFUNCTION("""COMPUTED_VALUE"""),341.23333333333335)</f>
        <v>341.2333333</v>
      </c>
      <c r="P176" s="30">
        <f>IFERROR(__xludf.DUMMYFUNCTION("""COMPUTED_VALUE"""),0.6999999999999998)</f>
        <v>0.7</v>
      </c>
      <c r="Q176" s="30">
        <f>IFERROR(__xludf.DUMMYFUNCTION("""COMPUTED_VALUE"""),0.5111111111111112)</f>
        <v>0.5111111111</v>
      </c>
      <c r="R176" s="30">
        <f>IFERROR(__xludf.DUMMYFUNCTION("""COMPUTED_VALUE"""),1.1777777777777783)</f>
        <v>1.177777778</v>
      </c>
      <c r="S176" s="30">
        <f>IFERROR(__xludf.DUMMYFUNCTION("""COMPUTED_VALUE"""),2.9333333333333327)</f>
        <v>2.933333333</v>
      </c>
      <c r="T176" s="30">
        <f>IFERROR(__xludf.DUMMYFUNCTION("""COMPUTED_VALUE"""),365.8182191324647)</f>
        <v>365.8182191</v>
      </c>
      <c r="U176" s="30">
        <f>IFERROR(__xludf.DUMMYFUNCTION("""COMPUTED_VALUE"""),0.8221058014996814)</f>
        <v>0.8221058015</v>
      </c>
      <c r="V176" s="30">
        <f>IFERROR(__xludf.DUMMYFUNCTION("""COMPUTED_VALUE"""),0.6118727671912311)</f>
        <v>0.6118727672</v>
      </c>
      <c r="W176" s="30">
        <f>IFERROR(__xludf.DUMMYFUNCTION("""COMPUTED_VALUE"""),1.3457461580143373)</f>
        <v>1.345746158</v>
      </c>
      <c r="X176" s="30">
        <f>IFERROR(__xludf.DUMMYFUNCTION("""COMPUTED_VALUE"""),2.8754739254162645)</f>
        <v>2.875473925</v>
      </c>
      <c r="Y176" s="30">
        <f>IFERROR(__xludf.DUMMYFUNCTION("""COMPUTED_VALUE"""),349.9520455819426)</f>
        <v>349.9520456</v>
      </c>
      <c r="Z176" s="30">
        <f>IFERROR(__xludf.DUMMYFUNCTION("""COMPUTED_VALUE"""),0.6968658005009033)</f>
        <v>0.6968658005</v>
      </c>
      <c r="AA176" s="30">
        <f>IFERROR(__xludf.DUMMYFUNCTION("""COMPUTED_VALUE"""),0.5161758818191983)</f>
        <v>0.5161758818</v>
      </c>
      <c r="AB176" s="30">
        <f>IFERROR(__xludf.DUMMYFUNCTION("""COMPUTED_VALUE"""),1.5078299749171615)</f>
        <v>1.507829975</v>
      </c>
      <c r="AC176" s="30">
        <f>IFERROR(__xludf.DUMMYFUNCTION("""COMPUTED_VALUE"""),2.443698708086399)</f>
        <v>2.443698708</v>
      </c>
      <c r="AD176" s="30">
        <f>IFERROR(__xludf.DUMMYFUNCTION("""COMPUTED_VALUE"""),1.011662420045592)</f>
        <v>1.01166242</v>
      </c>
      <c r="AE176" s="30">
        <f>IFERROR(__xludf.DUMMYFUNCTION("""COMPUTED_VALUE"""),1.2436636523756963)</f>
        <v>1.243663652</v>
      </c>
      <c r="AF176" s="30">
        <f>IFERROR(__xludf.DUMMYFUNCTION("""COMPUTED_VALUE"""),0.7749296588407992)</f>
        <v>0.7749296588</v>
      </c>
      <c r="AG176" s="30">
        <f>IFERROR(__xludf.DUMMYFUNCTION("""COMPUTED_VALUE"""),1.0832344233129247)</f>
        <v>1.083234423</v>
      </c>
      <c r="AH176" s="30">
        <f>IFERROR(__xludf.DUMMYFUNCTION("""COMPUTED_VALUE"""),0.7638694003027926)</f>
        <v>0.7638694003</v>
      </c>
      <c r="AI176" s="30">
        <f>IFERROR(__xludf.DUMMYFUNCTION("""COMPUTED_VALUE"""),0.9327948021357869)</f>
        <v>0.9327948021</v>
      </c>
      <c r="AJ176" s="30">
        <f>IFERROR(__xludf.DUMMYFUNCTION("""COMPUTED_VALUE"""),0.8514719136187378)</f>
        <v>0.8514719136</v>
      </c>
      <c r="AK176" s="30">
        <f>IFERROR(__xludf.DUMMYFUNCTION("""COMPUTED_VALUE"""),0.8353225352017858)</f>
        <v>0.8353225352</v>
      </c>
      <c r="AL176" s="30">
        <f>IFERROR(__xludf.DUMMYFUNCTION("""COMPUTED_VALUE"""),0.8751856884478139)</f>
        <v>0.8751856884</v>
      </c>
      <c r="AM176" s="30">
        <f>IFERROR(__xludf.DUMMYFUNCTION("""COMPUTED_VALUE"""),1.0201216945163891)</f>
        <v>1.020121695</v>
      </c>
      <c r="AN176" s="30">
        <f>IFERROR(__xludf.DUMMYFUNCTION("""COMPUTED_VALUE"""),1.0037552814006185)</f>
        <v>1.003755281</v>
      </c>
      <c r="AO176" s="30">
        <f>IFERROR(__xludf.DUMMYFUNCTION("""COMPUTED_VALUE"""),1.215203073512663)</f>
        <v>1.215203074</v>
      </c>
      <c r="AP176" s="30">
        <f>IFERROR(__xludf.DUMMYFUNCTION("""COMPUTED_VALUE"""),0.6955597075071143)</f>
        <v>0.6955597075</v>
      </c>
      <c r="AQ176" s="30">
        <f>IFERROR(__xludf.DUMMYFUNCTION("""COMPUTED_VALUE"""),1.144979187660469)</f>
        <v>1.144979188</v>
      </c>
      <c r="AR176" s="30">
        <f>IFERROR(__xludf.DUMMYFUNCTION("""COMPUTED_VALUE"""),0.741002321796384)</f>
        <v>0.7410023218</v>
      </c>
      <c r="AS176" s="30">
        <f>IFERROR(__xludf.DUMMYFUNCTION("""COMPUTED_VALUE"""),57.0)</f>
        <v>57</v>
      </c>
      <c r="AT176" s="30">
        <f>IFERROR(__xludf.DUMMYFUNCTION("""COMPUTED_VALUE"""),0.46282155599257707)</f>
        <v>0.462821556</v>
      </c>
      <c r="AU176" s="30">
        <f>IFERROR(__xludf.DUMMYFUNCTION("""COMPUTED_VALUE"""),2.3946168560924956)</f>
        <v>2.394616856</v>
      </c>
      <c r="AV176" s="32">
        <f>IFERROR(__xludf.DUMMYFUNCTION("""COMPUTED_VALUE"""),51.96463640263769)</f>
        <v>51.9646364</v>
      </c>
      <c r="AW176" s="32">
        <f>IFERROR(__xludf.DUMMYFUNCTION("""COMPUTED_VALUE"""),2.1336465956553643)</f>
        <v>2.133646596</v>
      </c>
      <c r="AX176" s="32">
        <f>IFERROR(__xludf.DUMMYFUNCTION("""COMPUTED_VALUE"""),42.45142779932048)</f>
        <v>42.4514278</v>
      </c>
      <c r="AY176" s="32">
        <f>IFERROR(__xludf.DUMMYFUNCTION("""COMPUTED_VALUE"""),-2.6222781383375033)</f>
        <v>-2.622278138</v>
      </c>
      <c r="AZ176" s="30">
        <f>IFERROR(__xludf.DUMMYFUNCTION("""COMPUTED_VALUE"""),4.755924733992868)</f>
        <v>4.755924734</v>
      </c>
      <c r="BA176" s="30">
        <f>IFERROR(__xludf.DUMMYFUNCTION("""COMPUTED_VALUE"""),800.0)</f>
        <v>800</v>
      </c>
    </row>
    <row r="177">
      <c r="A177" s="30" t="str">
        <f>IFERROR(__xludf.DUMMYFUNCTION("""COMPUTED_VALUE"""),"Elite")</f>
        <v>Elite</v>
      </c>
      <c r="B177" s="30" t="str">
        <f>IFERROR(__xludf.DUMMYFUNCTION("""COMPUTED_VALUE"""),"RSC002161")</f>
        <v>RSC002161</v>
      </c>
      <c r="C177" s="30" t="str">
        <f>IFERROR(__xludf.DUMMYFUNCTION("""COMPUTED_VALUE"""),"TheAngryTryhard")</f>
        <v>TheAngryTryhard</v>
      </c>
      <c r="D177" s="30" t="str">
        <f>IFERROR(__xludf.DUMMYFUNCTION("""COMPUTED_VALUE"""),"Loonie")</f>
        <v>Loonie</v>
      </c>
      <c r="E177" s="30">
        <f>IFERROR(__xludf.DUMMYFUNCTION("""COMPUTED_VALUE"""),24.0)</f>
        <v>24</v>
      </c>
      <c r="F177" s="30">
        <f>IFERROR(__xludf.DUMMYFUNCTION("""COMPUTED_VALUE"""),7.0)</f>
        <v>7</v>
      </c>
      <c r="G177" s="30">
        <f>IFERROR(__xludf.DUMMYFUNCTION("""COMPUTED_VALUE"""),17.0)</f>
        <v>17</v>
      </c>
      <c r="H177" s="42">
        <f>IFERROR(__xludf.DUMMYFUNCTION("""COMPUTED_VALUE"""),0.2916666666666667)</f>
        <v>0.2916666667</v>
      </c>
      <c r="I177" s="42">
        <f>IFERROR(__xludf.DUMMYFUNCTION("""COMPUTED_VALUE"""),0.2794117647058823)</f>
        <v>0.2794117647</v>
      </c>
      <c r="J177" s="30">
        <f>IFERROR(__xludf.DUMMYFUNCTION("""COMPUTED_VALUE"""),349.5416666666667)</f>
        <v>349.5416667</v>
      </c>
      <c r="K177" s="30">
        <f>IFERROR(__xludf.DUMMYFUNCTION("""COMPUTED_VALUE"""),0.7916666666666666)</f>
        <v>0.7916666667</v>
      </c>
      <c r="L177" s="30">
        <f>IFERROR(__xludf.DUMMYFUNCTION("""COMPUTED_VALUE"""),0.375)</f>
        <v>0.375</v>
      </c>
      <c r="M177" s="30">
        <f>IFERROR(__xludf.DUMMYFUNCTION("""COMPUTED_VALUE"""),1.5)</f>
        <v>1.5</v>
      </c>
      <c r="N177" s="30">
        <f>IFERROR(__xludf.DUMMYFUNCTION("""COMPUTED_VALUE"""),2.8333333333333335)</f>
        <v>2.833333333</v>
      </c>
      <c r="O177" s="30">
        <f>IFERROR(__xludf.DUMMYFUNCTION("""COMPUTED_VALUE"""),410.5138888888889)</f>
        <v>410.5138889</v>
      </c>
      <c r="P177" s="30">
        <f>IFERROR(__xludf.DUMMYFUNCTION("""COMPUTED_VALUE"""),1.111111111111111)</f>
        <v>1.111111111</v>
      </c>
      <c r="Q177" s="30">
        <f>IFERROR(__xludf.DUMMYFUNCTION("""COMPUTED_VALUE"""),0.9166666666666665)</f>
        <v>0.9166666667</v>
      </c>
      <c r="R177" s="30">
        <f>IFERROR(__xludf.DUMMYFUNCTION("""COMPUTED_VALUE"""),1.2916666666666667)</f>
        <v>1.291666667</v>
      </c>
      <c r="S177" s="30">
        <f>IFERROR(__xludf.DUMMYFUNCTION("""COMPUTED_VALUE"""),3.166666666666666)</f>
        <v>3.166666667</v>
      </c>
      <c r="T177" s="30">
        <f>IFERROR(__xludf.DUMMYFUNCTION("""COMPUTED_VALUE"""),388.8123946595501)</f>
        <v>388.8123947</v>
      </c>
      <c r="U177" s="30">
        <f>IFERROR(__xludf.DUMMYFUNCTION("""COMPUTED_VALUE"""),0.9397137374175418)</f>
        <v>0.9397137374</v>
      </c>
      <c r="V177" s="30">
        <f>IFERROR(__xludf.DUMMYFUNCTION("""COMPUTED_VALUE"""),0.6767652112121421)</f>
        <v>0.6767652112</v>
      </c>
      <c r="W177" s="30">
        <f>IFERROR(__xludf.DUMMYFUNCTION("""COMPUTED_VALUE"""),1.3820653405409369)</f>
        <v>1.382065341</v>
      </c>
      <c r="X177" s="30">
        <f>IFERROR(__xludf.DUMMYFUNCTION("""COMPUTED_VALUE"""),2.9642032397976017)</f>
        <v>2.96420324</v>
      </c>
      <c r="Y177" s="30">
        <f>IFERROR(__xludf.DUMMYFUNCTION("""COMPUTED_VALUE"""),351.0237695590406)</f>
        <v>351.0237696</v>
      </c>
      <c r="Z177" s="30">
        <f>IFERROR(__xludf.DUMMYFUNCTION("""COMPUTED_VALUE"""),0.6809393279755954)</f>
        <v>0.680939328</v>
      </c>
      <c r="AA177" s="30">
        <f>IFERROR(__xludf.DUMMYFUNCTION("""COMPUTED_VALUE"""),0.49662660896010236)</f>
        <v>0.496626609</v>
      </c>
      <c r="AB177" s="30">
        <f>IFERROR(__xludf.DUMMYFUNCTION("""COMPUTED_VALUE"""),1.5243534109691053)</f>
        <v>1.524353411</v>
      </c>
      <c r="AC177" s="30">
        <f>IFERROR(__xludf.DUMMYFUNCTION("""COMPUTED_VALUE"""),2.4263060825187854)</f>
        <v>2.426306083</v>
      </c>
      <c r="AD177" s="30">
        <f>IFERROR(__xludf.DUMMYFUNCTION("""COMPUTED_VALUE"""),0.9957777705645525)</f>
        <v>0.9957777706</v>
      </c>
      <c r="AE177" s="30">
        <f>IFERROR(__xludf.DUMMYFUNCTION("""COMPUTED_VALUE"""),1.1626096983122696)</f>
        <v>1.162609698</v>
      </c>
      <c r="AF177" s="30">
        <f>IFERROR(__xludf.DUMMYFUNCTION("""COMPUTED_VALUE"""),0.7550944577561419)</f>
        <v>0.7550944578</v>
      </c>
      <c r="AG177" s="30">
        <f>IFERROR(__xludf.DUMMYFUNCTION("""COMPUTED_VALUE"""),0.9840237763802931)</f>
        <v>0.9840237764</v>
      </c>
      <c r="AH177" s="30">
        <f>IFERROR(__xludf.DUMMYFUNCTION("""COMPUTED_VALUE"""),1.1677559372031112)</f>
        <v>1.167755937</v>
      </c>
      <c r="AI177" s="30">
        <f>IFERROR(__xludf.DUMMYFUNCTION("""COMPUTED_VALUE"""),1.0558148210484415)</f>
        <v>1.055814821</v>
      </c>
      <c r="AJ177" s="30">
        <f>IFERROR(__xludf.DUMMYFUNCTION("""COMPUTED_VALUE"""),1.182393176633335)</f>
        <v>1.182393177</v>
      </c>
      <c r="AK177" s="30">
        <f>IFERROR(__xludf.DUMMYFUNCTION("""COMPUTED_VALUE"""),1.3544825465021189)</f>
        <v>1.354482547</v>
      </c>
      <c r="AL177" s="30">
        <f>IFERROR(__xludf.DUMMYFUNCTION("""COMPUTED_VALUE"""),0.9345916063281868)</f>
        <v>0.9345916063</v>
      </c>
      <c r="AM177" s="30">
        <f>IFERROR(__xludf.DUMMYFUNCTION("""COMPUTED_VALUE"""),1.0683028154583925)</f>
        <v>1.068302815</v>
      </c>
      <c r="AN177" s="30">
        <f>IFERROR(__xludf.DUMMYFUNCTION("""COMPUTED_VALUE"""),0.9910205083878388)</f>
        <v>0.9910205084</v>
      </c>
      <c r="AO177" s="30">
        <f>IFERROR(__xludf.DUMMYFUNCTION("""COMPUTED_VALUE"""),1.1100412690740673)</f>
        <v>1.110041269</v>
      </c>
      <c r="AP177" s="30">
        <f>IFERROR(__xludf.DUMMYFUNCTION("""COMPUTED_VALUE"""),0.6520872257879196)</f>
        <v>0.6520872258</v>
      </c>
      <c r="AQ177" s="30">
        <f>IFERROR(__xludf.DUMMYFUNCTION("""COMPUTED_VALUE"""),1.0515114988718592)</f>
        <v>1.051511499</v>
      </c>
      <c r="AR177" s="30">
        <f>IFERROR(__xludf.DUMMYFUNCTION("""COMPUTED_VALUE"""),1.1247356670123687)</f>
        <v>1.124735667</v>
      </c>
      <c r="AS177" s="30">
        <f>IFERROR(__xludf.DUMMYFUNCTION("""COMPUTED_VALUE"""),43.0)</f>
        <v>43</v>
      </c>
      <c r="AT177" s="30">
        <f>IFERROR(__xludf.DUMMYFUNCTION("""COMPUTED_VALUE"""),0.27045378215774074)</f>
        <v>0.2704537822</v>
      </c>
      <c r="AU177" s="30">
        <f>IFERROR(__xludf.DUMMYFUNCTION("""COMPUTED_VALUE"""),2.338278989063717)</f>
        <v>2.338278989</v>
      </c>
      <c r="AV177" s="32">
        <f>IFERROR(__xludf.DUMMYFUNCTION("""COMPUTED_VALUE"""),50.38157281125647)</f>
        <v>50.38157281</v>
      </c>
      <c r="AW177" s="32">
        <f>IFERROR(__xludf.DUMMYFUNCTION("""COMPUTED_VALUE"""),2.0246553813932895)</f>
        <v>2.024655381</v>
      </c>
      <c r="AX177" s="32">
        <f>IFERROR(__xludf.DUMMYFUNCTION("""COMPUTED_VALUE"""),41.528138236676185)</f>
        <v>41.52813824</v>
      </c>
      <c r="AY177" s="32">
        <f>IFERROR(__xludf.DUMMYFUNCTION("""COMPUTED_VALUE"""),-2.722183615053022)</f>
        <v>-2.722183615</v>
      </c>
      <c r="AZ177" s="30">
        <f>IFERROR(__xludf.DUMMYFUNCTION("""COMPUTED_VALUE"""),4.746838996446312)</f>
        <v>4.746838996</v>
      </c>
      <c r="BA177" s="30">
        <f>IFERROR(__xludf.DUMMYFUNCTION("""COMPUTED_VALUE"""),800.0)</f>
        <v>800</v>
      </c>
    </row>
    <row r="178">
      <c r="A178" s="30" t="str">
        <f>IFERROR(__xludf.DUMMYFUNCTION("""COMPUTED_VALUE"""),"Elite")</f>
        <v>Elite</v>
      </c>
      <c r="B178" s="30" t="str">
        <f>IFERROR(__xludf.DUMMYFUNCTION("""COMPUTED_VALUE"""),"RSC005290")</f>
        <v>RSC005290</v>
      </c>
      <c r="C178" s="30" t="str">
        <f>IFERROR(__xludf.DUMMYFUNCTION("""COMPUTED_VALUE"""),"IMWASHEDGREG")</f>
        <v>IMWASHEDGREG</v>
      </c>
      <c r="D178" s="30" t="str">
        <f>IFERROR(__xludf.DUMMYFUNCTION("""COMPUTED_VALUE"""),"Geeky Ghouls")</f>
        <v>Geeky Ghouls</v>
      </c>
      <c r="E178" s="30">
        <f>IFERROR(__xludf.DUMMYFUNCTION("""COMPUTED_VALUE"""),31.0)</f>
        <v>31</v>
      </c>
      <c r="F178" s="30">
        <f>IFERROR(__xludf.DUMMYFUNCTION("""COMPUTED_VALUE"""),16.0)</f>
        <v>16</v>
      </c>
      <c r="G178" s="30">
        <f>IFERROR(__xludf.DUMMYFUNCTION("""COMPUTED_VALUE"""),15.0)</f>
        <v>15</v>
      </c>
      <c r="H178" s="42">
        <f>IFERROR(__xludf.DUMMYFUNCTION("""COMPUTED_VALUE"""),0.5161290322580645)</f>
        <v>0.5161290323</v>
      </c>
      <c r="I178" s="42">
        <f>IFERROR(__xludf.DUMMYFUNCTION("""COMPUTED_VALUE"""),0.27927927927927926)</f>
        <v>0.2792792793</v>
      </c>
      <c r="J178" s="30">
        <f>IFERROR(__xludf.DUMMYFUNCTION("""COMPUTED_VALUE"""),402.93548387096774)</f>
        <v>402.9354839</v>
      </c>
      <c r="K178" s="30">
        <f>IFERROR(__xludf.DUMMYFUNCTION("""COMPUTED_VALUE"""),1.0)</f>
        <v>1</v>
      </c>
      <c r="L178" s="30">
        <f>IFERROR(__xludf.DUMMYFUNCTION("""COMPUTED_VALUE"""),0.4838709677419355)</f>
        <v>0.4838709677</v>
      </c>
      <c r="M178" s="30">
        <f>IFERROR(__xludf.DUMMYFUNCTION("""COMPUTED_VALUE"""),1.3548387096774193)</f>
        <v>1.35483871</v>
      </c>
      <c r="N178" s="30">
        <f>IFERROR(__xludf.DUMMYFUNCTION("""COMPUTED_VALUE"""),3.5806451612903225)</f>
        <v>3.580645161</v>
      </c>
      <c r="O178" s="30">
        <f>IFERROR(__xludf.DUMMYFUNCTION("""COMPUTED_VALUE"""),381.9784946236558)</f>
        <v>381.9784946</v>
      </c>
      <c r="P178" s="30">
        <f>IFERROR(__xludf.DUMMYFUNCTION("""COMPUTED_VALUE"""),0.752688172043011)</f>
        <v>0.752688172</v>
      </c>
      <c r="Q178" s="30">
        <f>IFERROR(__xludf.DUMMYFUNCTION("""COMPUTED_VALUE"""),0.5806451612903226)</f>
        <v>0.5806451613</v>
      </c>
      <c r="R178" s="30">
        <f>IFERROR(__xludf.DUMMYFUNCTION("""COMPUTED_VALUE"""),1.7096774193548385)</f>
        <v>1.709677419</v>
      </c>
      <c r="S178" s="30">
        <f>IFERROR(__xludf.DUMMYFUNCTION("""COMPUTED_VALUE"""),2.634408602150538)</f>
        <v>2.634408602</v>
      </c>
      <c r="T178" s="30">
        <f>IFERROR(__xludf.DUMMYFUNCTION("""COMPUTED_VALUE"""),365.19229741953745)</f>
        <v>365.1922974</v>
      </c>
      <c r="U178" s="30">
        <f>IFERROR(__xludf.DUMMYFUNCTION("""COMPUTED_VALUE"""),0.8046711317749363)</f>
        <v>0.8046711318</v>
      </c>
      <c r="V178" s="30">
        <f>IFERROR(__xludf.DUMMYFUNCTION("""COMPUTED_VALUE"""),0.6165130541942552)</f>
        <v>0.6165130542</v>
      </c>
      <c r="W178" s="30">
        <f>IFERROR(__xludf.DUMMYFUNCTION("""COMPUTED_VALUE"""),1.4024169948250664)</f>
        <v>1.402416995</v>
      </c>
      <c r="X178" s="30">
        <f>IFERROR(__xludf.DUMMYFUNCTION("""COMPUTED_VALUE"""),2.7556430698075722)</f>
        <v>2.75564307</v>
      </c>
      <c r="Y178" s="30">
        <f>IFERROR(__xludf.DUMMYFUNCTION("""COMPUTED_VALUE"""),358.3397025822027)</f>
        <v>358.3397026</v>
      </c>
      <c r="Z178" s="30">
        <f>IFERROR(__xludf.DUMMYFUNCTION("""COMPUTED_VALUE"""),0.7666608540430164)</f>
        <v>0.766660854</v>
      </c>
      <c r="AA178" s="30">
        <f>IFERROR(__xludf.DUMMYFUNCTION("""COMPUTED_VALUE"""),0.5583508426349815)</f>
        <v>0.5583508426</v>
      </c>
      <c r="AB178" s="30">
        <f>IFERROR(__xludf.DUMMYFUNCTION("""COMPUTED_VALUE"""),1.4545301865619056)</f>
        <v>1.454530187</v>
      </c>
      <c r="AC178" s="30">
        <f>IFERROR(__xludf.DUMMYFUNCTION("""COMPUTED_VALUE"""),2.646361826667725)</f>
        <v>2.646361827</v>
      </c>
      <c r="AD178" s="30">
        <f>IFERROR(__xludf.DUMMYFUNCTION("""COMPUTED_VALUE"""),1.1244511310563887)</f>
        <v>1.124451131</v>
      </c>
      <c r="AE178" s="30">
        <f>IFERROR(__xludf.DUMMYFUNCTION("""COMPUTED_VALUE"""),1.3043577153137014)</f>
        <v>1.304357715</v>
      </c>
      <c r="AF178" s="30">
        <f>IFERROR(__xludf.DUMMYFUNCTION("""COMPUTED_VALUE"""),0.8666073923313898)</f>
        <v>0.8666073923</v>
      </c>
      <c r="AG178" s="30">
        <f>IFERROR(__xludf.DUMMYFUNCTION("""COMPUTED_VALUE"""),0.9314613902100385)</f>
        <v>0.9314613902</v>
      </c>
      <c r="AH178" s="30">
        <f>IFERROR(__xludf.DUMMYFUNCTION("""COMPUTED_VALUE"""),1.3530444420742869)</f>
        <v>1.353044442</v>
      </c>
      <c r="AI178" s="30">
        <f>IFERROR(__xludf.DUMMYFUNCTION("""COMPUTED_VALUE"""),1.0459653648851037)</f>
        <v>1.045965365</v>
      </c>
      <c r="AJ178" s="30">
        <f>IFERROR(__xludf.DUMMYFUNCTION("""COMPUTED_VALUE"""),0.9353985029669676)</f>
        <v>0.935398503</v>
      </c>
      <c r="AK178" s="30">
        <f>IFERROR(__xludf.DUMMYFUNCTION("""COMPUTED_VALUE"""),0.9418213569689782)</f>
        <v>0.941821357</v>
      </c>
      <c r="AL178" s="30">
        <f>IFERROR(__xludf.DUMMYFUNCTION("""COMPUTED_VALUE"""),1.219093483367334)</f>
        <v>1.219093483</v>
      </c>
      <c r="AM178" s="30">
        <f>IFERROR(__xludf.DUMMYFUNCTION("""COMPUTED_VALUE"""),0.9560050178539632)</f>
        <v>0.9560050179</v>
      </c>
      <c r="AN178" s="30">
        <f>IFERROR(__xludf.DUMMYFUNCTION("""COMPUTED_VALUE"""),1.1424026551149542)</f>
        <v>1.142402655</v>
      </c>
      <c r="AO178" s="30">
        <f>IFERROR(__xludf.DUMMYFUNCTION("""COMPUTED_VALUE"""),1.4021573925146114)</f>
        <v>1.402157393</v>
      </c>
      <c r="AP178" s="30">
        <f>IFERROR(__xludf.DUMMYFUNCTION("""COMPUTED_VALUE"""),0.8414028719844123)</f>
        <v>0.841402872</v>
      </c>
      <c r="AQ178" s="30">
        <f>IFERROR(__xludf.DUMMYFUNCTION("""COMPUTED_VALUE"""),0.9497523215616792)</f>
        <v>0.9497523216</v>
      </c>
      <c r="AR178" s="30">
        <f>IFERROR(__xludf.DUMMYFUNCTION("""COMPUTED_VALUE"""),1.4213927025241697)</f>
        <v>1.421392703</v>
      </c>
      <c r="AS178" s="30">
        <f>IFERROR(__xludf.DUMMYFUNCTION("""COMPUTED_VALUE"""),69.0)</f>
        <v>69</v>
      </c>
      <c r="AT178" s="30">
        <f>IFERROR(__xludf.DUMMYFUNCTION("""COMPUTED_VALUE"""),0.49446688866012223)</f>
        <v>0.4944668887</v>
      </c>
      <c r="AU178" s="30">
        <f>IFERROR(__xludf.DUMMYFUNCTION("""COMPUTED_VALUE"""),3.3399072398260468)</f>
        <v>3.33990724</v>
      </c>
      <c r="AV178" s="32">
        <f>IFERROR(__xludf.DUMMYFUNCTION("""COMPUTED_VALUE"""),78.52678489517724)</f>
        <v>78.5267849</v>
      </c>
      <c r="AW178" s="32">
        <f>IFERROR(__xludf.DUMMYFUNCTION("""COMPUTED_VALUE"""),7.878972257343314)</f>
        <v>7.878972257</v>
      </c>
      <c r="AX178" s="32">
        <f>IFERROR(__xludf.DUMMYFUNCTION("""COMPUTED_VALUE"""),62.425799580896054)</f>
        <v>62.42579958</v>
      </c>
      <c r="AY178" s="32">
        <f>IFERROR(__xludf.DUMMYFUNCTION("""COMPUTED_VALUE"""),3.2301489313745693)</f>
        <v>3.230148931</v>
      </c>
      <c r="AZ178" s="30">
        <f>IFERROR(__xludf.DUMMYFUNCTION("""COMPUTED_VALUE"""),4.648823325968745)</f>
        <v>4.648823326</v>
      </c>
      <c r="BA178" s="30">
        <f>IFERROR(__xludf.DUMMYFUNCTION("""COMPUTED_VALUE"""),800.0)</f>
        <v>800</v>
      </c>
    </row>
    <row r="179">
      <c r="A179" s="30" t="str">
        <f>IFERROR(__xludf.DUMMYFUNCTION("""COMPUTED_VALUE"""),"Elite")</f>
        <v>Elite</v>
      </c>
      <c r="B179" s="30" t="str">
        <f>IFERROR(__xludf.DUMMYFUNCTION("""COMPUTED_VALUE"""),"RSC007884")</f>
        <v>RSC007884</v>
      </c>
      <c r="C179" s="30" t="str">
        <f>IFERROR(__xludf.DUMMYFUNCTION("""COMPUTED_VALUE"""),"Luis.")</f>
        <v>Luis.</v>
      </c>
      <c r="D179" s="30" t="str">
        <f>IFERROR(__xludf.DUMMYFUNCTION("""COMPUTED_VALUE"""),"Fire")</f>
        <v>Fire</v>
      </c>
      <c r="E179" s="30">
        <f>IFERROR(__xludf.DUMMYFUNCTION("""COMPUTED_VALUE"""),29.0)</f>
        <v>29</v>
      </c>
      <c r="F179" s="30">
        <f>IFERROR(__xludf.DUMMYFUNCTION("""COMPUTED_VALUE"""),15.0)</f>
        <v>15</v>
      </c>
      <c r="G179" s="30">
        <f>IFERROR(__xludf.DUMMYFUNCTION("""COMPUTED_VALUE"""),14.0)</f>
        <v>14</v>
      </c>
      <c r="H179" s="42">
        <f>IFERROR(__xludf.DUMMYFUNCTION("""COMPUTED_VALUE"""),0.5172413793103449)</f>
        <v>0.5172413793</v>
      </c>
      <c r="I179" s="42">
        <f>IFERROR(__xludf.DUMMYFUNCTION("""COMPUTED_VALUE"""),0.27848101265822783)</f>
        <v>0.2784810127</v>
      </c>
      <c r="J179" s="30">
        <f>IFERROR(__xludf.DUMMYFUNCTION("""COMPUTED_VALUE"""),337.86206896551727)</f>
        <v>337.862069</v>
      </c>
      <c r="K179" s="30">
        <f>IFERROR(__xludf.DUMMYFUNCTION("""COMPUTED_VALUE"""),0.7586206896551724)</f>
        <v>0.7586206897</v>
      </c>
      <c r="L179" s="30">
        <f>IFERROR(__xludf.DUMMYFUNCTION("""COMPUTED_VALUE"""),0.5172413793103449)</f>
        <v>0.5172413793</v>
      </c>
      <c r="M179" s="30">
        <f>IFERROR(__xludf.DUMMYFUNCTION("""COMPUTED_VALUE"""),1.0)</f>
        <v>1</v>
      </c>
      <c r="N179" s="30">
        <f>IFERROR(__xludf.DUMMYFUNCTION("""COMPUTED_VALUE"""),2.7241379310344827)</f>
        <v>2.724137931</v>
      </c>
      <c r="O179" s="30">
        <f>IFERROR(__xludf.DUMMYFUNCTION("""COMPUTED_VALUE"""),359.264367816092)</f>
        <v>359.2643678</v>
      </c>
      <c r="P179" s="30">
        <f>IFERROR(__xludf.DUMMYFUNCTION("""COMPUTED_VALUE"""),0.850574712643678)</f>
        <v>0.8505747126</v>
      </c>
      <c r="Q179" s="30">
        <f>IFERROR(__xludf.DUMMYFUNCTION("""COMPUTED_VALUE"""),0.6436781609195402)</f>
        <v>0.6436781609</v>
      </c>
      <c r="R179" s="30">
        <f>IFERROR(__xludf.DUMMYFUNCTION("""COMPUTED_VALUE"""),1.3448275862068964)</f>
        <v>1.344827586</v>
      </c>
      <c r="S179" s="30">
        <f>IFERROR(__xludf.DUMMYFUNCTION("""COMPUTED_VALUE"""),2.7356321839080464)</f>
        <v>2.735632184</v>
      </c>
      <c r="T179" s="30">
        <f>IFERROR(__xludf.DUMMYFUNCTION("""COMPUTED_VALUE"""),360.365518797554)</f>
        <v>360.3655188</v>
      </c>
      <c r="U179" s="30">
        <f>IFERROR(__xludf.DUMMYFUNCTION("""COMPUTED_VALUE"""),0.7613221507247775)</f>
        <v>0.7613221507</v>
      </c>
      <c r="V179" s="30">
        <f>IFERROR(__xludf.DUMMYFUNCTION("""COMPUTED_VALUE"""),0.5780208882901033)</f>
        <v>0.5780208883</v>
      </c>
      <c r="W179" s="30">
        <f>IFERROR(__xludf.DUMMYFUNCTION("""COMPUTED_VALUE"""),1.4482299790428175)</f>
        <v>1.448229979</v>
      </c>
      <c r="X179" s="30">
        <f>IFERROR(__xludf.DUMMYFUNCTION("""COMPUTED_VALUE"""),2.6776514324212632)</f>
        <v>2.677651432</v>
      </c>
      <c r="Y179" s="30">
        <f>IFERROR(__xludf.DUMMYFUNCTION("""COMPUTED_VALUE"""),359.6465938714841)</f>
        <v>359.6465939</v>
      </c>
      <c r="Z179" s="30">
        <f>IFERROR(__xludf.DUMMYFUNCTION("""COMPUTED_VALUE"""),0.7525874601806846)</f>
        <v>0.7525874602</v>
      </c>
      <c r="AA179" s="30">
        <f>IFERROR(__xludf.DUMMYFUNCTION("""COMPUTED_VALUE"""),0.5607005264974423)</f>
        <v>0.5607005265</v>
      </c>
      <c r="AB179" s="30">
        <f>IFERROR(__xludf.DUMMYFUNCTION("""COMPUTED_VALUE"""),1.4330806731072918)</f>
        <v>1.433080673</v>
      </c>
      <c r="AC179" s="30">
        <f>IFERROR(__xludf.DUMMYFUNCTION("""COMPUTED_VALUE"""),2.653118080277908)</f>
        <v>2.65311808</v>
      </c>
      <c r="AD179" s="30">
        <f>IFERROR(__xludf.DUMMYFUNCTION("""COMPUTED_VALUE"""),0.9394279682410915)</f>
        <v>0.9394279682</v>
      </c>
      <c r="AE179" s="30">
        <f>IFERROR(__xludf.DUMMYFUNCTION("""COMPUTED_VALUE"""),1.0080166489527203)</f>
        <v>1.008016649</v>
      </c>
      <c r="AF179" s="30">
        <f>IFERROR(__xludf.DUMMYFUNCTION("""COMPUTED_VALUE"""),0.9224913387212672)</f>
        <v>0.9224913387</v>
      </c>
      <c r="AG179" s="30">
        <f>IFERROR(__xludf.DUMMYFUNCTION("""COMPUTED_VALUE"""),0.6977974225496599)</f>
        <v>0.6977974225</v>
      </c>
      <c r="AH179" s="30">
        <f>IFERROR(__xludf.DUMMYFUNCTION("""COMPUTED_VALUE"""),1.026768447015044)</f>
        <v>1.026768447</v>
      </c>
      <c r="AI179" s="30">
        <f>IFERROR(__xludf.DUMMYFUNCTION("""COMPUTED_VALUE"""),0.9969443497670469)</f>
        <v>0.9969443498</v>
      </c>
      <c r="AJ179" s="30">
        <f>IFERROR(__xludf.DUMMYFUNCTION("""COMPUTED_VALUE"""),1.1172336334020128)</f>
        <v>1.117233633</v>
      </c>
      <c r="AK179" s="30">
        <f>IFERROR(__xludf.DUMMYFUNCTION("""COMPUTED_VALUE"""),1.1135897922714588)</f>
        <v>1.113589792</v>
      </c>
      <c r="AL179" s="30">
        <f>IFERROR(__xludf.DUMMYFUNCTION("""COMPUTED_VALUE"""),0.9286008477021978)</f>
        <v>0.9286008477</v>
      </c>
      <c r="AM179" s="30">
        <f>IFERROR(__xludf.DUMMYFUNCTION("""COMPUTED_VALUE"""),1.0216535844750914)</f>
        <v>1.021653584</v>
      </c>
      <c r="AN179" s="30">
        <f>IFERROR(__xludf.DUMMYFUNCTION("""COMPUTED_VALUE"""),0.9579065138190697)</f>
        <v>0.9579065138</v>
      </c>
      <c r="AO179" s="30">
        <f>IFERROR(__xludf.DUMMYFUNCTION("""COMPUTED_VALUE"""),1.0637056081145326)</f>
        <v>1.063705608</v>
      </c>
      <c r="AP179" s="30">
        <f>IFERROR(__xludf.DUMMYFUNCTION("""COMPUTED_VALUE"""),0.8994306562591995)</f>
        <v>0.8994306563</v>
      </c>
      <c r="AQ179" s="30">
        <f>IFERROR(__xludf.DUMMYFUNCTION("""COMPUTED_VALUE"""),0.7010076659145728)</f>
        <v>0.7010076659</v>
      </c>
      <c r="AR179" s="30">
        <f>IFERROR(__xludf.DUMMYFUNCTION("""COMPUTED_VALUE"""),1.0813888563161516)</f>
        <v>1.081388856</v>
      </c>
      <c r="AS179" s="30">
        <f>IFERROR(__xludf.DUMMYFUNCTION("""COMPUTED_VALUE"""),64.0)</f>
        <v>64</v>
      </c>
      <c r="AT179" s="30">
        <f>IFERROR(__xludf.DUMMYFUNCTION("""COMPUTED_VALUE"""),0.44345062544335806)</f>
        <v>0.4434506254</v>
      </c>
      <c r="AU179" s="30">
        <f>IFERROR(__xludf.DUMMYFUNCTION("""COMPUTED_VALUE"""),2.3601784544046316)</f>
        <v>2.360178454</v>
      </c>
      <c r="AV179" s="32">
        <f>IFERROR(__xludf.DUMMYFUNCTION("""COMPUTED_VALUE"""),50.996935942313726)</f>
        <v>50.99693594</v>
      </c>
      <c r="AW179" s="32">
        <f>IFERROR(__xludf.DUMMYFUNCTION("""COMPUTED_VALUE"""),2.0657084529547434)</f>
        <v>2.065708453</v>
      </c>
      <c r="AX179" s="32">
        <f>IFERROR(__xludf.DUMMYFUNCTION("""COMPUTED_VALUE"""),43.37901522762196)</f>
        <v>43.37901523</v>
      </c>
      <c r="AY179" s="32">
        <f>IFERROR(__xludf.DUMMYFUNCTION("""COMPUTED_VALUE"""),-2.528019332379974)</f>
        <v>-2.528019332</v>
      </c>
      <c r="AZ179" s="30">
        <f>IFERROR(__xludf.DUMMYFUNCTION("""COMPUTED_VALUE"""),4.593727785334718)</f>
        <v>4.593727785</v>
      </c>
      <c r="BA179" s="30">
        <f>IFERROR(__xludf.DUMMYFUNCTION("""COMPUTED_VALUE"""),800.0)</f>
        <v>800</v>
      </c>
    </row>
    <row r="180">
      <c r="A180" s="30" t="str">
        <f>IFERROR(__xludf.DUMMYFUNCTION("""COMPUTED_VALUE"""),"Elite")</f>
        <v>Elite</v>
      </c>
      <c r="B180" s="30" t="str">
        <f>IFERROR(__xludf.DUMMYFUNCTION("""COMPUTED_VALUE"""),"RSC005705")</f>
        <v>RSC005705</v>
      </c>
      <c r="C180" s="30" t="str">
        <f>IFERROR(__xludf.DUMMYFUNCTION("""COMPUTED_VALUE"""),"Rapidz (Goofy and Silly)")</f>
        <v>Rapidz (Goofy and Silly)</v>
      </c>
      <c r="D180" s="30" t="str">
        <f>IFERROR(__xludf.DUMMYFUNCTION("""COMPUTED_VALUE"""),"Keno")</f>
        <v>Keno</v>
      </c>
      <c r="E180" s="30">
        <f>IFERROR(__xludf.DUMMYFUNCTION("""COMPUTED_VALUE"""),24.0)</f>
        <v>24</v>
      </c>
      <c r="F180" s="30">
        <f>IFERROR(__xludf.DUMMYFUNCTION("""COMPUTED_VALUE"""),12.0)</f>
        <v>12</v>
      </c>
      <c r="G180" s="30">
        <f>IFERROR(__xludf.DUMMYFUNCTION("""COMPUTED_VALUE"""),12.0)</f>
        <v>12</v>
      </c>
      <c r="H180" s="42">
        <f>IFERROR(__xludf.DUMMYFUNCTION("""COMPUTED_VALUE"""),0.5)</f>
        <v>0.5</v>
      </c>
      <c r="I180" s="42">
        <f>IFERROR(__xludf.DUMMYFUNCTION("""COMPUTED_VALUE"""),0.2463768115942029)</f>
        <v>0.2463768116</v>
      </c>
      <c r="J180" s="30">
        <f>IFERROR(__xludf.DUMMYFUNCTION("""COMPUTED_VALUE"""),359.8333333333333)</f>
        <v>359.8333333</v>
      </c>
      <c r="K180" s="30">
        <f>IFERROR(__xludf.DUMMYFUNCTION("""COMPUTED_VALUE"""),0.7083333333333334)</f>
        <v>0.7083333333</v>
      </c>
      <c r="L180" s="30">
        <f>IFERROR(__xludf.DUMMYFUNCTION("""COMPUTED_VALUE"""),0.5416666666666666)</f>
        <v>0.5416666667</v>
      </c>
      <c r="M180" s="30">
        <f>IFERROR(__xludf.DUMMYFUNCTION("""COMPUTED_VALUE"""),1.5416666666666667)</f>
        <v>1.541666667</v>
      </c>
      <c r="N180" s="30">
        <f>IFERROR(__xludf.DUMMYFUNCTION("""COMPUTED_VALUE"""),2.875)</f>
        <v>2.875</v>
      </c>
      <c r="O180" s="30">
        <f>IFERROR(__xludf.DUMMYFUNCTION("""COMPUTED_VALUE"""),342.9861111111111)</f>
        <v>342.9861111</v>
      </c>
      <c r="P180" s="30">
        <f>IFERROR(__xludf.DUMMYFUNCTION("""COMPUTED_VALUE"""),0.6527777777777778)</f>
        <v>0.6527777778</v>
      </c>
      <c r="Q180" s="30">
        <f>IFERROR(__xludf.DUMMYFUNCTION("""COMPUTED_VALUE"""),0.4444444444444444)</f>
        <v>0.4444444444</v>
      </c>
      <c r="R180" s="30">
        <f>IFERROR(__xludf.DUMMYFUNCTION("""COMPUTED_VALUE"""),1.486111111111111)</f>
        <v>1.486111111</v>
      </c>
      <c r="S180" s="30">
        <f>IFERROR(__xludf.DUMMYFUNCTION("""COMPUTED_VALUE"""),2.5833333333333335)</f>
        <v>2.583333333</v>
      </c>
      <c r="T180" s="30">
        <f>IFERROR(__xludf.DUMMYFUNCTION("""COMPUTED_VALUE"""),350.4861431291422)</f>
        <v>350.4861431</v>
      </c>
      <c r="U180" s="30">
        <f>IFERROR(__xludf.DUMMYFUNCTION("""COMPUTED_VALUE"""),0.7533034596364429)</f>
        <v>0.7533034596</v>
      </c>
      <c r="V180" s="30">
        <f>IFERROR(__xludf.DUMMYFUNCTION("""COMPUTED_VALUE"""),0.5664199596423957)</f>
        <v>0.5664199596</v>
      </c>
      <c r="W180" s="30">
        <f>IFERROR(__xludf.DUMMYFUNCTION("""COMPUTED_VALUE"""),1.3322442049795875)</f>
        <v>1.332244205</v>
      </c>
      <c r="X180" s="30">
        <f>IFERROR(__xludf.DUMMYFUNCTION("""COMPUTED_VALUE"""),2.635948660603387)</f>
        <v>2.635948661</v>
      </c>
      <c r="Y180" s="30">
        <f>IFERROR(__xludf.DUMMYFUNCTION("""COMPUTED_VALUE"""),368.4049546025904)</f>
        <v>368.4049546</v>
      </c>
      <c r="Z180" s="30">
        <f>IFERROR(__xludf.DUMMYFUNCTION("""COMPUTED_VALUE"""),0.8467542312946291)</f>
        <v>0.8467542313</v>
      </c>
      <c r="AA180" s="30">
        <f>IFERROR(__xludf.DUMMYFUNCTION("""COMPUTED_VALUE"""),0.6364672227926187)</f>
        <v>0.6364672228</v>
      </c>
      <c r="AB180" s="30">
        <f>IFERROR(__xludf.DUMMYFUNCTION("""COMPUTED_VALUE"""),1.407167854387379)</f>
        <v>1.407167854</v>
      </c>
      <c r="AC180" s="30">
        <f>IFERROR(__xludf.DUMMYFUNCTION("""COMPUTED_VALUE"""),2.6726870857124463)</f>
        <v>2.672687086</v>
      </c>
      <c r="AD180" s="30">
        <f>IFERROR(__xludf.DUMMYFUNCTION("""COMPUTED_VALUE"""),0.9767331542039016)</f>
        <v>0.9767331542</v>
      </c>
      <c r="AE180" s="30">
        <f>IFERROR(__xludf.DUMMYFUNCTION("""COMPUTED_VALUE"""),0.8365276572050195)</f>
        <v>0.8365276572</v>
      </c>
      <c r="AF180" s="30">
        <f>IFERROR(__xludf.DUMMYFUNCTION("""COMPUTED_VALUE"""),0.8510519430835779)</f>
        <v>0.8510519431</v>
      </c>
      <c r="AG180" s="30">
        <f>IFERROR(__xludf.DUMMYFUNCTION("""COMPUTED_VALUE"""),1.0955812143234631)</f>
        <v>1.095581214</v>
      </c>
      <c r="AH180" s="30">
        <f>IFERROR(__xludf.DUMMYFUNCTION("""COMPUTED_VALUE"""),1.0756964462353527)</f>
        <v>1.075696446</v>
      </c>
      <c r="AI180" s="30">
        <f>IFERROR(__xludf.DUMMYFUNCTION("""COMPUTED_VALUE"""),0.9786010597991955)</f>
        <v>0.9786010598</v>
      </c>
      <c r="AJ180" s="30">
        <f>IFERROR(__xludf.DUMMYFUNCTION("""COMPUTED_VALUE"""),0.8665535375249963)</f>
        <v>0.8665535375</v>
      </c>
      <c r="AK180" s="30">
        <f>IFERROR(__xludf.DUMMYFUNCTION("""COMPUTED_VALUE"""),0.7846553372254759)</f>
        <v>0.7846553372</v>
      </c>
      <c r="AL180" s="30">
        <f>IFERROR(__xludf.DUMMYFUNCTION("""COMPUTED_VALUE"""),1.1154945208666762)</f>
        <v>1.115494521</v>
      </c>
      <c r="AM180" s="30">
        <f>IFERROR(__xludf.DUMMYFUNCTION("""COMPUTED_VALUE"""),0.9800393201671805)</f>
        <v>0.9800393202</v>
      </c>
      <c r="AN180" s="30">
        <f>IFERROR(__xludf.DUMMYFUNCTION("""COMPUTED_VALUE"""),1.020199440986694)</f>
        <v>1.020199441</v>
      </c>
      <c r="AO180" s="30">
        <f>IFERROR(__xludf.DUMMYFUNCTION("""COMPUTED_VALUE"""),0.9931948196978497)</f>
        <v>0.9931948197</v>
      </c>
      <c r="AP180" s="30">
        <f>IFERROR(__xludf.DUMMYFUNCTION("""COMPUTED_VALUE"""),0.9419037705825504)</f>
        <v>0.9419037706</v>
      </c>
      <c r="AQ180" s="30">
        <f>IFERROR(__xludf.DUMMYFUNCTION("""COMPUTED_VALUE"""),1.0807201516182998)</f>
        <v>1.080720152</v>
      </c>
      <c r="AR180" s="30">
        <f>IFERROR(__xludf.DUMMYFUNCTION("""COMPUTED_VALUE"""),1.1412758974096093)</f>
        <v>1.141275897</v>
      </c>
      <c r="AS180" s="30">
        <f>IFERROR(__xludf.DUMMYFUNCTION("""COMPUTED_VALUE"""),51.0)</f>
        <v>51</v>
      </c>
      <c r="AT180" s="30">
        <f>IFERROR(__xludf.DUMMYFUNCTION("""COMPUTED_VALUE"""),0.5305397568908621)</f>
        <v>0.5305397569</v>
      </c>
      <c r="AU180" s="30">
        <f>IFERROR(__xludf.DUMMYFUNCTION("""COMPUTED_VALUE"""),2.5425523164074924)</f>
        <v>2.542552316</v>
      </c>
      <c r="AV180" s="32">
        <f>IFERROR(__xludf.DUMMYFUNCTION("""COMPUTED_VALUE"""),56.12154282188963)</f>
        <v>56.12154282</v>
      </c>
      <c r="AW180" s="32">
        <f>IFERROR(__xludf.DUMMYFUNCTION("""COMPUTED_VALUE"""),2.4796559478137215)</f>
        <v>2.479655948</v>
      </c>
      <c r="AX180" s="32">
        <f>IFERROR(__xludf.DUMMYFUNCTION("""COMPUTED_VALUE"""),48.630921866528006)</f>
        <v>48.63092187</v>
      </c>
      <c r="AY180" s="32">
        <f>IFERROR(__xludf.DUMMYFUNCTION("""COMPUTED_VALUE"""),-2.091334478391159)</f>
        <v>-2.091334478</v>
      </c>
      <c r="AZ180" s="30">
        <f>IFERROR(__xludf.DUMMYFUNCTION("""COMPUTED_VALUE"""),4.57099042620488)</f>
        <v>4.570990426</v>
      </c>
      <c r="BA180" s="30">
        <f>IFERROR(__xludf.DUMMYFUNCTION("""COMPUTED_VALUE"""),800.0)</f>
        <v>800</v>
      </c>
    </row>
    <row r="181">
      <c r="A181" s="30" t="str">
        <f>IFERROR(__xludf.DUMMYFUNCTION("""COMPUTED_VALUE"""),"Elite")</f>
        <v>Elite</v>
      </c>
      <c r="B181" s="30" t="str">
        <f>IFERROR(__xludf.DUMMYFUNCTION("""COMPUTED_VALUE"""),"RSC005193")</f>
        <v>RSC005193</v>
      </c>
      <c r="C181" s="30" t="str">
        <f>IFERROR(__xludf.DUMMYFUNCTION("""COMPUTED_VALUE"""),"RegularlyJones")</f>
        <v>RegularlyJones</v>
      </c>
      <c r="D181" s="30" t="str">
        <f>IFERROR(__xludf.DUMMYFUNCTION("""COMPUTED_VALUE"""),"Sloths")</f>
        <v>Sloths</v>
      </c>
      <c r="E181" s="30">
        <f>IFERROR(__xludf.DUMMYFUNCTION("""COMPUTED_VALUE"""),36.0)</f>
        <v>36</v>
      </c>
      <c r="F181" s="30">
        <f>IFERROR(__xludf.DUMMYFUNCTION("""COMPUTED_VALUE"""),20.0)</f>
        <v>20</v>
      </c>
      <c r="G181" s="30">
        <f>IFERROR(__xludf.DUMMYFUNCTION("""COMPUTED_VALUE"""),16.0)</f>
        <v>16</v>
      </c>
      <c r="H181" s="42">
        <f>IFERROR(__xludf.DUMMYFUNCTION("""COMPUTED_VALUE"""),0.5555555555555556)</f>
        <v>0.5555555556</v>
      </c>
      <c r="I181" s="42">
        <f>IFERROR(__xludf.DUMMYFUNCTION("""COMPUTED_VALUE"""),0.21698113207547168)</f>
        <v>0.2169811321</v>
      </c>
      <c r="J181" s="30">
        <f>IFERROR(__xludf.DUMMYFUNCTION("""COMPUTED_VALUE"""),349.0)</f>
        <v>349</v>
      </c>
      <c r="K181" s="30">
        <f>IFERROR(__xludf.DUMMYFUNCTION("""COMPUTED_VALUE"""),0.6388888888888888)</f>
        <v>0.6388888889</v>
      </c>
      <c r="L181" s="30">
        <f>IFERROR(__xludf.DUMMYFUNCTION("""COMPUTED_VALUE"""),0.7222222222222222)</f>
        <v>0.7222222222</v>
      </c>
      <c r="M181" s="30">
        <f>IFERROR(__xludf.DUMMYFUNCTION("""COMPUTED_VALUE"""),1.2777777777777777)</f>
        <v>1.277777778</v>
      </c>
      <c r="N181" s="30">
        <f>IFERROR(__xludf.DUMMYFUNCTION("""COMPUTED_VALUE"""),2.9444444444444446)</f>
        <v>2.944444444</v>
      </c>
      <c r="O181" s="30">
        <f>IFERROR(__xludf.DUMMYFUNCTION("""COMPUTED_VALUE"""),360.9351851851853)</f>
        <v>360.9351852</v>
      </c>
      <c r="P181" s="30">
        <f>IFERROR(__xludf.DUMMYFUNCTION("""COMPUTED_VALUE"""),0.685185185185185)</f>
        <v>0.6851851852</v>
      </c>
      <c r="Q181" s="30">
        <f>IFERROR(__xludf.DUMMYFUNCTION("""COMPUTED_VALUE"""),0.5462962962962964)</f>
        <v>0.5462962963</v>
      </c>
      <c r="R181" s="30">
        <f>IFERROR(__xludf.DUMMYFUNCTION("""COMPUTED_VALUE"""),1.5648148148148149)</f>
        <v>1.564814815</v>
      </c>
      <c r="S181" s="30">
        <f>IFERROR(__xludf.DUMMYFUNCTION("""COMPUTED_VALUE"""),2.611111111111111)</f>
        <v>2.611111111</v>
      </c>
      <c r="T181" s="30">
        <f>IFERROR(__xludf.DUMMYFUNCTION("""COMPUTED_VALUE"""),360.4181224194023)</f>
        <v>360.4181224</v>
      </c>
      <c r="U181" s="30">
        <f>IFERROR(__xludf.DUMMYFUNCTION("""COMPUTED_VALUE"""),0.7406160470012418)</f>
        <v>0.740616047</v>
      </c>
      <c r="V181" s="30">
        <f>IFERROR(__xludf.DUMMYFUNCTION("""COMPUTED_VALUE"""),0.5597078584627698)</f>
        <v>0.5597078585</v>
      </c>
      <c r="W181" s="30">
        <f>IFERROR(__xludf.DUMMYFUNCTION("""COMPUTED_VALUE"""),1.4781881534079468)</f>
        <v>1.478188153</v>
      </c>
      <c r="X181" s="30">
        <f>IFERROR(__xludf.DUMMYFUNCTION("""COMPUTED_VALUE"""),2.53481197097043)</f>
        <v>2.534811971</v>
      </c>
      <c r="Y181" s="30">
        <f>IFERROR(__xludf.DUMMYFUNCTION("""COMPUTED_VALUE"""),372.2010010490547)</f>
        <v>372.201001</v>
      </c>
      <c r="Z181" s="30">
        <f>IFERROR(__xludf.DUMMYFUNCTION("""COMPUTED_VALUE"""),0.8244855945955659)</f>
        <v>0.8244855946</v>
      </c>
      <c r="AA181" s="30">
        <f>IFERROR(__xludf.DUMMYFUNCTION("""COMPUTED_VALUE"""),0.6064958364779425)</f>
        <v>0.6064958365</v>
      </c>
      <c r="AB181" s="30">
        <f>IFERROR(__xludf.DUMMYFUNCTION("""COMPUTED_VALUE"""),1.442983676061934)</f>
        <v>1.442983676</v>
      </c>
      <c r="AC181" s="30">
        <f>IFERROR(__xludf.DUMMYFUNCTION("""COMPUTED_VALUE"""),2.7763475920960845)</f>
        <v>2.776347592</v>
      </c>
      <c r="AD181" s="30">
        <f>IFERROR(__xludf.DUMMYFUNCTION("""COMPUTED_VALUE"""),0.9376653985785576)</f>
        <v>0.9376653986</v>
      </c>
      <c r="AE181" s="30">
        <f>IFERROR(__xludf.DUMMYFUNCTION("""COMPUTED_VALUE"""),0.7748939375978817)</f>
        <v>0.7748939376</v>
      </c>
      <c r="AF181" s="30">
        <f>IFERROR(__xludf.DUMMYFUNCTION("""COMPUTED_VALUE"""),1.1908115089731346)</f>
        <v>1.190811509</v>
      </c>
      <c r="AG181" s="30">
        <f>IFERROR(__xludf.DUMMYFUNCTION("""COMPUTED_VALUE"""),0.8855109028433212)</f>
        <v>0.8855109028</v>
      </c>
      <c r="AH181" s="30">
        <f>IFERROR(__xludf.DUMMYFUNCTION("""COMPUTED_VALUE"""),1.0605460399940234)</f>
        <v>1.06054604</v>
      </c>
      <c r="AI181" s="30">
        <f>IFERROR(__xludf.DUMMYFUNCTION("""COMPUTED_VALUE"""),1.0014346192203434)</f>
        <v>1.001434619</v>
      </c>
      <c r="AJ181" s="30">
        <f>IFERROR(__xludf.DUMMYFUNCTION("""COMPUTED_VALUE"""),0.9251557375235162)</f>
        <v>0.9251557375</v>
      </c>
      <c r="AK181" s="30">
        <f>IFERROR(__xludf.DUMMYFUNCTION("""COMPUTED_VALUE"""),0.9760382814647125)</f>
        <v>0.9760382815</v>
      </c>
      <c r="AL181" s="30">
        <f>IFERROR(__xludf.DUMMYFUNCTION("""COMPUTED_VALUE"""),1.0586032713137032)</f>
        <v>1.058603271</v>
      </c>
      <c r="AM181" s="30">
        <f>IFERROR(__xludf.DUMMYFUNCTION("""COMPUTED_VALUE"""),1.0301005127853609)</f>
        <v>1.030100513</v>
      </c>
      <c r="AN181" s="30">
        <f>IFERROR(__xludf.DUMMYFUNCTION("""COMPUTED_VALUE"""),0.9894847750931622)</f>
        <v>0.9894847751</v>
      </c>
      <c r="AO181" s="30">
        <f>IFERROR(__xludf.DUMMYFUNCTION("""COMPUTED_VALUE"""),0.8958227785510016)</f>
        <v>0.8958227786</v>
      </c>
      <c r="AP181" s="30">
        <f>IFERROR(__xludf.DUMMYFUNCTION("""COMPUTED_VALUE"""),1.2558716941100674)</f>
        <v>1.255871694</v>
      </c>
      <c r="AQ181" s="30">
        <f>IFERROR(__xludf.DUMMYFUNCTION("""COMPUTED_VALUE"""),0.8957320175575095)</f>
        <v>0.8957320176</v>
      </c>
      <c r="AR181" s="30">
        <f>IFERROR(__xludf.DUMMYFUNCTION("""COMPUTED_VALUE"""),1.1688429480716773)</f>
        <v>1.168842948</v>
      </c>
      <c r="AS181" s="30">
        <f>IFERROR(__xludf.DUMMYFUNCTION("""COMPUTED_VALUE"""),88.0)</f>
        <v>88</v>
      </c>
      <c r="AT181" s="30">
        <f>IFERROR(__xludf.DUMMYFUNCTION("""COMPUTED_VALUE"""),0.5663092322286509)</f>
        <v>0.5663092322</v>
      </c>
      <c r="AU181" s="30">
        <f>IFERROR(__xludf.DUMMYFUNCTION("""COMPUTED_VALUE"""),2.5150749592918387)</f>
        <v>2.515074959</v>
      </c>
      <c r="AV181" s="32">
        <f>IFERROR(__xludf.DUMMYFUNCTION("""COMPUTED_VALUE"""),55.3494439489424)</f>
        <v>55.34944395</v>
      </c>
      <c r="AW181" s="32">
        <f>IFERROR(__xludf.DUMMYFUNCTION("""COMPUTED_VALUE"""),2.40800110748899)</f>
        <v>2.408001107</v>
      </c>
      <c r="AX181" s="32">
        <f>IFERROR(__xludf.DUMMYFUNCTION("""COMPUTED_VALUE"""),47.67505875350116)</f>
        <v>47.67505875</v>
      </c>
      <c r="AY181" s="32">
        <f>IFERROR(__xludf.DUMMYFUNCTION("""COMPUTED_VALUE"""),-2.160047817983898)</f>
        <v>-2.160047818</v>
      </c>
      <c r="AZ181" s="30">
        <f>IFERROR(__xludf.DUMMYFUNCTION("""COMPUTED_VALUE"""),4.568048925472889)</f>
        <v>4.568048925</v>
      </c>
      <c r="BA181" s="30">
        <f>IFERROR(__xludf.DUMMYFUNCTION("""COMPUTED_VALUE"""),800.0)</f>
        <v>800</v>
      </c>
    </row>
    <row r="182">
      <c r="A182" s="30" t="str">
        <f>IFERROR(__xludf.DUMMYFUNCTION("""COMPUTED_VALUE"""),"Elite")</f>
        <v>Elite</v>
      </c>
      <c r="B182" s="30" t="str">
        <f>IFERROR(__xludf.DUMMYFUNCTION("""COMPUTED_VALUE"""),"RSC005845")</f>
        <v>RSC005845</v>
      </c>
      <c r="C182" s="30" t="str">
        <f>IFERROR(__xludf.DUMMYFUNCTION("""COMPUTED_VALUE"""),"Milk_shakes.")</f>
        <v>Milk_shakes.</v>
      </c>
      <c r="D182" s="30"/>
      <c r="E182" s="30">
        <f>IFERROR(__xludf.DUMMYFUNCTION("""COMPUTED_VALUE"""),24.0)</f>
        <v>24</v>
      </c>
      <c r="F182" s="30">
        <f>IFERROR(__xludf.DUMMYFUNCTION("""COMPUTED_VALUE"""),10.0)</f>
        <v>10</v>
      </c>
      <c r="G182" s="30">
        <f>IFERROR(__xludf.DUMMYFUNCTION("""COMPUTED_VALUE"""),14.0)</f>
        <v>14</v>
      </c>
      <c r="H182" s="42">
        <f>IFERROR(__xludf.DUMMYFUNCTION("""COMPUTED_VALUE"""),0.4166666666666667)</f>
        <v>0.4166666667</v>
      </c>
      <c r="I182" s="42">
        <f>IFERROR(__xludf.DUMMYFUNCTION("""COMPUTED_VALUE"""),0.28571428571428575)</f>
        <v>0.2857142857</v>
      </c>
      <c r="J182" s="30">
        <f>IFERROR(__xludf.DUMMYFUNCTION("""COMPUTED_VALUE"""),332.375)</f>
        <v>332.375</v>
      </c>
      <c r="K182" s="30">
        <f>IFERROR(__xludf.DUMMYFUNCTION("""COMPUTED_VALUE"""),0.5833333333333334)</f>
        <v>0.5833333333</v>
      </c>
      <c r="L182" s="30">
        <f>IFERROR(__xludf.DUMMYFUNCTION("""COMPUTED_VALUE"""),0.5833333333333334)</f>
        <v>0.5833333333</v>
      </c>
      <c r="M182" s="30">
        <f>IFERROR(__xludf.DUMMYFUNCTION("""COMPUTED_VALUE"""),1.4583333333333333)</f>
        <v>1.458333333</v>
      </c>
      <c r="N182" s="30">
        <f>IFERROR(__xludf.DUMMYFUNCTION("""COMPUTED_VALUE"""),2.0416666666666665)</f>
        <v>2.041666667</v>
      </c>
      <c r="O182" s="30">
        <f>IFERROR(__xludf.DUMMYFUNCTION("""COMPUTED_VALUE"""),329.15277777777777)</f>
        <v>329.1527778</v>
      </c>
      <c r="P182" s="30">
        <f>IFERROR(__xludf.DUMMYFUNCTION("""COMPUTED_VALUE"""),0.6805555555555555)</f>
        <v>0.6805555556</v>
      </c>
      <c r="Q182" s="30">
        <f>IFERROR(__xludf.DUMMYFUNCTION("""COMPUTED_VALUE"""),0.513888888888889)</f>
        <v>0.5138888889</v>
      </c>
      <c r="R182" s="30">
        <f>IFERROR(__xludf.DUMMYFUNCTION("""COMPUTED_VALUE"""),1.1250000000000002)</f>
        <v>1.125</v>
      </c>
      <c r="S182" s="30">
        <f>IFERROR(__xludf.DUMMYFUNCTION("""COMPUTED_VALUE"""),2.6527777777777772)</f>
        <v>2.652777778</v>
      </c>
      <c r="T182" s="30">
        <f>IFERROR(__xludf.DUMMYFUNCTION("""COMPUTED_VALUE"""),365.72490411655207)</f>
        <v>365.7249041</v>
      </c>
      <c r="U182" s="30">
        <f>IFERROR(__xludf.DUMMYFUNCTION("""COMPUTED_VALUE"""),0.8401125212451525)</f>
        <v>0.8401125212</v>
      </c>
      <c r="V182" s="30">
        <f>IFERROR(__xludf.DUMMYFUNCTION("""COMPUTED_VALUE"""),0.6336254109573186)</f>
        <v>0.633625411</v>
      </c>
      <c r="W182" s="30">
        <f>IFERROR(__xludf.DUMMYFUNCTION("""COMPUTED_VALUE"""),1.2909990160106712)</f>
        <v>1.290999016</v>
      </c>
      <c r="X182" s="30">
        <f>IFERROR(__xludf.DUMMYFUNCTION("""COMPUTED_VALUE"""),2.8881238164884615)</f>
        <v>2.888123816</v>
      </c>
      <c r="Y182" s="30">
        <f>IFERROR(__xludf.DUMMYFUNCTION("""COMPUTED_VALUE"""),348.7568051879509)</f>
        <v>348.7568052</v>
      </c>
      <c r="Z182" s="30">
        <f>IFERROR(__xludf.DUMMYFUNCTION("""COMPUTED_VALUE"""),0.7134956780296645)</f>
        <v>0.713495678</v>
      </c>
      <c r="AA182" s="30">
        <f>IFERROR(__xludf.DUMMYFUNCTION("""COMPUTED_VALUE"""),0.5254039625860939)</f>
        <v>0.5254039626</v>
      </c>
      <c r="AB182" s="30">
        <f>IFERROR(__xludf.DUMMYFUNCTION("""COMPUTED_VALUE"""),1.4794150882729011)</f>
        <v>1.479415088</v>
      </c>
      <c r="AC182" s="30">
        <f>IFERROR(__xludf.DUMMYFUNCTION("""COMPUTED_VALUE"""),2.3982228067684095)</f>
        <v>2.398222807</v>
      </c>
      <c r="AD182" s="30">
        <f>IFERROR(__xludf.DUMMYFUNCTION("""COMPUTED_VALUE"""),0.9530279984669476)</f>
        <v>0.9530279985</v>
      </c>
      <c r="AE182" s="30">
        <f>IFERROR(__xludf.DUMMYFUNCTION("""COMPUTED_VALUE"""),0.8175709416267558)</f>
        <v>0.8175709416</v>
      </c>
      <c r="AF182" s="30">
        <f>IFERROR(__xludf.DUMMYFUNCTION("""COMPUTED_VALUE"""),1.1102568211745205)</f>
        <v>1.110256821</v>
      </c>
      <c r="AG182" s="30">
        <f>IFERROR(__xludf.DUMMYFUNCTION("""COMPUTED_VALUE"""),0.9857499392113277)</f>
        <v>0.9857499392</v>
      </c>
      <c r="AH182" s="30">
        <f>IFERROR(__xludf.DUMMYFUNCTION("""COMPUTED_VALUE"""),0.8513248480935763)</f>
        <v>0.8513248481</v>
      </c>
      <c r="AI182" s="30">
        <f>IFERROR(__xludf.DUMMYFUNCTION("""COMPUTED_VALUE"""),0.9000009954828802)</f>
        <v>0.9000009955</v>
      </c>
      <c r="AJ182" s="30">
        <f>IFERROR(__xludf.DUMMYFUNCTION("""COMPUTED_VALUE"""),0.810076672285382)</f>
        <v>0.8100766723</v>
      </c>
      <c r="AK182" s="30">
        <f>IFERROR(__xludf.DUMMYFUNCTION("""COMPUTED_VALUE"""),0.8110294820917541)</f>
        <v>0.8110294821</v>
      </c>
      <c r="AL182" s="30">
        <f>IFERROR(__xludf.DUMMYFUNCTION("""COMPUTED_VALUE"""),0.8714181699970414)</f>
        <v>0.87141817</v>
      </c>
      <c r="AM182" s="30">
        <f>IFERROR(__xludf.DUMMYFUNCTION("""COMPUTED_VALUE"""),0.9185124829596707)</f>
        <v>0.918512483</v>
      </c>
      <c r="AN182" s="30">
        <f>IFERROR(__xludf.DUMMYFUNCTION("""COMPUTED_VALUE"""),0.9423495762796269)</f>
        <v>0.9423495763</v>
      </c>
      <c r="AO182" s="30">
        <f>IFERROR(__xludf.DUMMYFUNCTION("""COMPUTED_VALUE"""),0.8179251456335233)</f>
        <v>0.8179251456</v>
      </c>
      <c r="AP182" s="30">
        <f>IFERROR(__xludf.DUMMYFUNCTION("""COMPUTED_VALUE"""),1.0143579067812083)</f>
        <v>1.014357907</v>
      </c>
      <c r="AQ182" s="30">
        <f>IFERROR(__xludf.DUMMYFUNCTION("""COMPUTED_VALUE"""),1.0223028461254187)</f>
        <v>1.022302846</v>
      </c>
      <c r="AR182" s="30">
        <f>IFERROR(__xludf.DUMMYFUNCTION("""COMPUTED_VALUE"""),0.810471289464795)</f>
        <v>0.8104712895</v>
      </c>
      <c r="AS182" s="30">
        <f>IFERROR(__xludf.DUMMYFUNCTION("""COMPUTED_VALUE"""),50.0)</f>
        <v>50</v>
      </c>
      <c r="AT182" s="30">
        <f>IFERROR(__xludf.DUMMYFUNCTION("""COMPUTED_VALUE"""),0.5075847791430991)</f>
        <v>0.5075847791</v>
      </c>
      <c r="AU182" s="30">
        <f>IFERROR(__xludf.DUMMYFUNCTION("""COMPUTED_VALUE"""),2.2106132280197794)</f>
        <v>2.210613228</v>
      </c>
      <c r="AV182" s="32">
        <f>IFERROR(__xludf.DUMMYFUNCTION("""COMPUTED_VALUE"""),46.794233978009665)</f>
        <v>46.79423398</v>
      </c>
      <c r="AW182" s="32">
        <f>IFERROR(__xludf.DUMMYFUNCTION("""COMPUTED_VALUE"""),-2.2272546984884674)</f>
        <v>-2.227254698</v>
      </c>
      <c r="AX182" s="32">
        <f>IFERROR(__xludf.DUMMYFUNCTION("""COMPUTED_VALUE"""),50.32380617955794)</f>
        <v>50.32380618</v>
      </c>
      <c r="AY182" s="32">
        <f>IFERROR(__xludf.DUMMYFUNCTION("""COMPUTED_VALUE"""),2.02088403612955)</f>
        <v>2.020884036</v>
      </c>
      <c r="AZ182" s="30">
        <f>IFERROR(__xludf.DUMMYFUNCTION("""COMPUTED_VALUE"""),4.248138734618017)</f>
        <v>4.248138735</v>
      </c>
      <c r="BA182" s="30">
        <f>IFERROR(__xludf.DUMMYFUNCTION("""COMPUTED_VALUE"""),800.0)</f>
        <v>800</v>
      </c>
    </row>
    <row r="183">
      <c r="A183" s="30" t="str">
        <f>IFERROR(__xludf.DUMMYFUNCTION("""COMPUTED_VALUE"""),"Elite")</f>
        <v>Elite</v>
      </c>
      <c r="B183" s="30" t="str">
        <f>IFERROR(__xludf.DUMMYFUNCTION("""COMPUTED_VALUE"""),"RSC000009")</f>
        <v>RSC000009</v>
      </c>
      <c r="C183" s="30" t="str">
        <f>IFERROR(__xludf.DUMMYFUNCTION("""COMPUTED_VALUE"""),"Timbo")</f>
        <v>Timbo</v>
      </c>
      <c r="D183" s="30" t="str">
        <f>IFERROR(__xludf.DUMMYFUNCTION("""COMPUTED_VALUE"""),"Menthol")</f>
        <v>Menthol</v>
      </c>
      <c r="E183" s="30">
        <f>IFERROR(__xludf.DUMMYFUNCTION("""COMPUTED_VALUE"""),36.0)</f>
        <v>36</v>
      </c>
      <c r="F183" s="30">
        <f>IFERROR(__xludf.DUMMYFUNCTION("""COMPUTED_VALUE"""),22.0)</f>
        <v>22</v>
      </c>
      <c r="G183" s="30">
        <f>IFERROR(__xludf.DUMMYFUNCTION("""COMPUTED_VALUE"""),14.0)</f>
        <v>14</v>
      </c>
      <c r="H183" s="42">
        <f>IFERROR(__xludf.DUMMYFUNCTION("""COMPUTED_VALUE"""),0.6111111111111112)</f>
        <v>0.6111111111</v>
      </c>
      <c r="I183" s="42">
        <f>IFERROR(__xludf.DUMMYFUNCTION("""COMPUTED_VALUE"""),0.3486238532110092)</f>
        <v>0.3486238532</v>
      </c>
      <c r="J183" s="30">
        <f>IFERROR(__xludf.DUMMYFUNCTION("""COMPUTED_VALUE"""),432.78125)</f>
        <v>432.78125</v>
      </c>
      <c r="K183" s="30">
        <f>IFERROR(__xludf.DUMMYFUNCTION("""COMPUTED_VALUE"""),1.1875)</f>
        <v>1.1875</v>
      </c>
      <c r="L183" s="30">
        <f>IFERROR(__xludf.DUMMYFUNCTION("""COMPUTED_VALUE"""),0.75)</f>
        <v>0.75</v>
      </c>
      <c r="M183" s="30">
        <f>IFERROR(__xludf.DUMMYFUNCTION("""COMPUTED_VALUE"""),1.09375)</f>
        <v>1.09375</v>
      </c>
      <c r="N183" s="30">
        <f>IFERROR(__xludf.DUMMYFUNCTION("""COMPUTED_VALUE"""),3.40625)</f>
        <v>3.40625</v>
      </c>
      <c r="O183" s="30">
        <f>IFERROR(__xludf.DUMMYFUNCTION("""COMPUTED_VALUE"""),371.9166666666667)</f>
        <v>371.9166667</v>
      </c>
      <c r="P183" s="30">
        <f>IFERROR(__xludf.DUMMYFUNCTION("""COMPUTED_VALUE"""),0.7291666666666666)</f>
        <v>0.7291666667</v>
      </c>
      <c r="Q183" s="30">
        <f>IFERROR(__xludf.DUMMYFUNCTION("""COMPUTED_VALUE"""),0.5000000000000001)</f>
        <v>0.5</v>
      </c>
      <c r="R183" s="30">
        <f>IFERROR(__xludf.DUMMYFUNCTION("""COMPUTED_VALUE"""),1.78125)</f>
        <v>1.78125</v>
      </c>
      <c r="S183" s="30">
        <f>IFERROR(__xludf.DUMMYFUNCTION("""COMPUTED_VALUE"""),2.239583333333334)</f>
        <v>2.239583333</v>
      </c>
      <c r="T183" s="30">
        <f>IFERROR(__xludf.DUMMYFUNCTION("""COMPUTED_VALUE"""),350.73561926183766)</f>
        <v>350.7356193</v>
      </c>
      <c r="U183" s="30">
        <f>IFERROR(__xludf.DUMMYFUNCTION("""COMPUTED_VALUE"""),0.6926458019624947)</f>
        <v>0.692645802</v>
      </c>
      <c r="V183" s="30">
        <f>IFERROR(__xludf.DUMMYFUNCTION("""COMPUTED_VALUE"""),0.5554266735652322)</f>
        <v>0.5554266736</v>
      </c>
      <c r="W183" s="30">
        <f>IFERROR(__xludf.DUMMYFUNCTION("""COMPUTED_VALUE"""),1.5450754352572402)</f>
        <v>1.545075435</v>
      </c>
      <c r="X183" s="30">
        <f>IFERROR(__xludf.DUMMYFUNCTION("""COMPUTED_VALUE"""),2.3444456259966584)</f>
        <v>2.344445626</v>
      </c>
      <c r="Y183" s="30">
        <f>IFERROR(__xludf.DUMMYFUNCTION("""COMPUTED_VALUE"""),382.53921131328417)</f>
        <v>382.5392113</v>
      </c>
      <c r="Z183" s="30">
        <f>IFERROR(__xludf.DUMMYFUNCTION("""COMPUTED_VALUE"""),0.91967600380362)</f>
        <v>0.9196760038</v>
      </c>
      <c r="AA183" s="30">
        <f>IFERROR(__xludf.DUMMYFUNCTION("""COMPUTED_VALUE"""),0.6988397463923103)</f>
        <v>0.6988397464</v>
      </c>
      <c r="AB183" s="30">
        <f>IFERROR(__xludf.DUMMYFUNCTION("""COMPUTED_VALUE"""),1.3247631064041512)</f>
        <v>1.324763106</v>
      </c>
      <c r="AC183" s="30">
        <f>IFERROR(__xludf.DUMMYFUNCTION("""COMPUTED_VALUE"""),2.948102055078348)</f>
        <v>2.948102055</v>
      </c>
      <c r="AD183" s="30">
        <f>IFERROR(__xludf.DUMMYFUNCTION("""COMPUTED_VALUE"""),1.1313382712172992)</f>
        <v>1.131338271</v>
      </c>
      <c r="AE183" s="30">
        <f>IFERROR(__xludf.DUMMYFUNCTION("""COMPUTED_VALUE"""),1.2912155966761192)</f>
        <v>1.291215597</v>
      </c>
      <c r="AF183" s="30">
        <f>IFERROR(__xludf.DUMMYFUNCTION("""COMPUTED_VALUE"""),1.0732074182554718)</f>
        <v>1.073207418</v>
      </c>
      <c r="AG183" s="30">
        <f>IFERROR(__xludf.DUMMYFUNCTION("""COMPUTED_VALUE"""),0.8256193086240168)</f>
        <v>0.8256193086</v>
      </c>
      <c r="AH183" s="30">
        <f>IFERROR(__xludf.DUMMYFUNCTION("""COMPUTED_VALUE"""),1.1554043707993265)</f>
        <v>1.155404371</v>
      </c>
      <c r="AI183" s="30">
        <f>IFERROR(__xludf.DUMMYFUNCTION("""COMPUTED_VALUE"""),1.060390351711089)</f>
        <v>1.060390352</v>
      </c>
      <c r="AJ183" s="30">
        <f>IFERROR(__xludf.DUMMYFUNCTION("""COMPUTED_VALUE"""),1.0527266094744185)</f>
        <v>1.052726609</v>
      </c>
      <c r="AK183" s="30">
        <f>IFERROR(__xludf.DUMMYFUNCTION("""COMPUTED_VALUE"""),0.9002088372719779)</f>
        <v>0.9002088373</v>
      </c>
      <c r="AL183" s="30">
        <f>IFERROR(__xludf.DUMMYFUNCTION("""COMPUTED_VALUE"""),1.152856332677012)</f>
        <v>1.152856333</v>
      </c>
      <c r="AM183" s="30">
        <f>IFERROR(__xludf.DUMMYFUNCTION("""COMPUTED_VALUE"""),0.9552720304107092)</f>
        <v>0.9552720304</v>
      </c>
      <c r="AN183" s="30">
        <f>IFERROR(__xludf.DUMMYFUNCTION("""COMPUTED_VALUE"""),1.2270213691140046)</f>
        <v>1.227021369</v>
      </c>
      <c r="AO183" s="30">
        <f>IFERROR(__xludf.DUMMYFUNCTION("""COMPUTED_VALUE"""),1.665061903611101)</f>
        <v>1.665061904</v>
      </c>
      <c r="AP183" s="30">
        <f>IFERROR(__xludf.DUMMYFUNCTION("""COMPUTED_VALUE"""),1.304174451575839)</f>
        <v>1.304174452</v>
      </c>
      <c r="AQ183" s="30">
        <f>IFERROR(__xludf.DUMMYFUNCTION("""COMPUTED_VALUE"""),0.7667271345940639)</f>
        <v>0.7667271346</v>
      </c>
      <c r="AR183" s="30">
        <f>IFERROR(__xludf.DUMMYFUNCTION("""COMPUTED_VALUE"""),1.3521638349744285)</f>
        <v>1.352163835</v>
      </c>
      <c r="AS183" s="30">
        <f>IFERROR(__xludf.DUMMYFUNCTION("""COMPUTED_VALUE"""),93.0)</f>
        <v>93</v>
      </c>
      <c r="AT183" s="30">
        <f>IFERROR(__xludf.DUMMYFUNCTION("""COMPUTED_VALUE"""),0.5647439362738392)</f>
        <v>0.5647439363</v>
      </c>
      <c r="AU183" s="30">
        <f>IFERROR(__xludf.DUMMYFUNCTION("""COMPUTED_VALUE"""),3.5921457859895076)</f>
        <v>3.592145786</v>
      </c>
      <c r="AV183" s="32">
        <f>IFERROR(__xludf.DUMMYFUNCTION("""COMPUTED_VALUE"""),85.61455161112923)</f>
        <v>85.61455161</v>
      </c>
      <c r="AW183" s="32">
        <f>IFERROR(__xludf.DUMMYFUNCTION("""COMPUTED_VALUE"""),12.963607143332359)</f>
        <v>12.96360714</v>
      </c>
      <c r="AX183" s="32">
        <f>IFERROR(__xludf.DUMMYFUNCTION("""COMPUTED_VALUE"""),80.2869032815318)</f>
        <v>80.28690328</v>
      </c>
      <c r="AY183" s="32">
        <f>IFERROR(__xludf.DUMMYFUNCTION("""COMPUTED_VALUE"""),8.860810865776667)</f>
        <v>8.860810866</v>
      </c>
      <c r="AZ183" s="30">
        <f>IFERROR(__xludf.DUMMYFUNCTION("""COMPUTED_VALUE"""),4.102796277555692)</f>
        <v>4.102796278</v>
      </c>
      <c r="BA183" s="30">
        <f>IFERROR(__xludf.DUMMYFUNCTION("""COMPUTED_VALUE"""),800.0)</f>
        <v>800</v>
      </c>
    </row>
    <row r="184">
      <c r="A184" s="30" t="str">
        <f>IFERROR(__xludf.DUMMYFUNCTION("""COMPUTED_VALUE"""),"Elite")</f>
        <v>Elite</v>
      </c>
      <c r="B184" s="30" t="str">
        <f>IFERROR(__xludf.DUMMYFUNCTION("""COMPUTED_VALUE"""),"RSC004889")</f>
        <v>RSC004889</v>
      </c>
      <c r="C184" s="30" t="str">
        <f>IFERROR(__xludf.DUMMYFUNCTION("""COMPUTED_VALUE"""),"Steeltoehammer")</f>
        <v>Steeltoehammer</v>
      </c>
      <c r="D184" s="30" t="str">
        <f>IFERROR(__xludf.DUMMYFUNCTION("""COMPUTED_VALUE"""),"Despair")</f>
        <v>Despair</v>
      </c>
      <c r="E184" s="30">
        <f>IFERROR(__xludf.DUMMYFUNCTION("""COMPUTED_VALUE"""),7.0)</f>
        <v>7</v>
      </c>
      <c r="F184" s="30">
        <f>IFERROR(__xludf.DUMMYFUNCTION("""COMPUTED_VALUE"""),3.0)</f>
        <v>3</v>
      </c>
      <c r="G184" s="30">
        <f>IFERROR(__xludf.DUMMYFUNCTION("""COMPUTED_VALUE"""),4.0)</f>
        <v>4</v>
      </c>
      <c r="H184" s="42">
        <f>IFERROR(__xludf.DUMMYFUNCTION("""COMPUTED_VALUE"""),0.42857142857142855)</f>
        <v>0.4285714286</v>
      </c>
      <c r="I184" s="42">
        <f>IFERROR(__xludf.DUMMYFUNCTION("""COMPUTED_VALUE"""),0.375)</f>
        <v>0.375</v>
      </c>
      <c r="J184" s="30">
        <f>IFERROR(__xludf.DUMMYFUNCTION("""COMPUTED_VALUE"""),301.7142857142857)</f>
        <v>301.7142857</v>
      </c>
      <c r="K184" s="30">
        <f>IFERROR(__xludf.DUMMYFUNCTION("""COMPUTED_VALUE"""),0.42857142857142855)</f>
        <v>0.4285714286</v>
      </c>
      <c r="L184" s="30">
        <f>IFERROR(__xludf.DUMMYFUNCTION("""COMPUTED_VALUE"""),0.14285714285714285)</f>
        <v>0.1428571429</v>
      </c>
      <c r="M184" s="30">
        <f>IFERROR(__xludf.DUMMYFUNCTION("""COMPUTED_VALUE"""),1.2857142857142858)</f>
        <v>1.285714286</v>
      </c>
      <c r="N184" s="30">
        <f>IFERROR(__xludf.DUMMYFUNCTION("""COMPUTED_VALUE"""),1.1428571428571428)</f>
        <v>1.142857143</v>
      </c>
      <c r="O184" s="30">
        <f>IFERROR(__xludf.DUMMYFUNCTION("""COMPUTED_VALUE"""),355.66666666666663)</f>
        <v>355.6666667</v>
      </c>
      <c r="P184" s="30">
        <f>IFERROR(__xludf.DUMMYFUNCTION("""COMPUTED_VALUE"""),0.5238095238095237)</f>
        <v>0.5238095238</v>
      </c>
      <c r="Q184" s="30">
        <f>IFERROR(__xludf.DUMMYFUNCTION("""COMPUTED_VALUE"""),0.42857142857142855)</f>
        <v>0.4285714286</v>
      </c>
      <c r="R184" s="30">
        <f>IFERROR(__xludf.DUMMYFUNCTION("""COMPUTED_VALUE"""),1.2857142857142858)</f>
        <v>1.285714286</v>
      </c>
      <c r="S184" s="30">
        <f>IFERROR(__xludf.DUMMYFUNCTION("""COMPUTED_VALUE"""),2.9523809523809526)</f>
        <v>2.952380952</v>
      </c>
      <c r="T184" s="30">
        <f>IFERROR(__xludf.DUMMYFUNCTION("""COMPUTED_VALUE"""),379.43448590905894)</f>
        <v>379.4344859</v>
      </c>
      <c r="U184" s="30">
        <f>IFERROR(__xludf.DUMMYFUNCTION("""COMPUTED_VALUE"""),0.8640558015320823)</f>
        <v>0.8640558015</v>
      </c>
      <c r="V184" s="30">
        <f>IFERROR(__xludf.DUMMYFUNCTION("""COMPUTED_VALUE"""),0.6316965854442136)</f>
        <v>0.6316965854</v>
      </c>
      <c r="W184" s="30">
        <f>IFERROR(__xludf.DUMMYFUNCTION("""COMPUTED_VALUE"""),1.417059727116653)</f>
        <v>1.417059727</v>
      </c>
      <c r="X184" s="30">
        <f>IFERROR(__xludf.DUMMYFUNCTION("""COMPUTED_VALUE"""),2.987390440046986)</f>
        <v>2.98739044</v>
      </c>
      <c r="Y184" s="30">
        <f>IFERROR(__xludf.DUMMYFUNCTION("""COMPUTED_VALUE"""),345.3308221137918)</f>
        <v>345.3308221</v>
      </c>
      <c r="Z184" s="30">
        <f>IFERROR(__xludf.DUMMYFUNCTION("""COMPUTED_VALUE"""),0.637638591876416)</f>
        <v>0.6376385919</v>
      </c>
      <c r="AA184" s="30">
        <f>IFERROR(__xludf.DUMMYFUNCTION("""COMPUTED_VALUE"""),0.48560970385764823)</f>
        <v>0.4856097039</v>
      </c>
      <c r="AB184" s="30">
        <f>IFERROR(__xludf.DUMMYFUNCTION("""COMPUTED_VALUE"""),1.4968401219508114)</f>
        <v>1.496840122</v>
      </c>
      <c r="AC184" s="30">
        <f>IFERROR(__xludf.DUMMYFUNCTION("""COMPUTED_VALUE"""),2.4533415994832817)</f>
        <v>2.453341599</v>
      </c>
      <c r="AD184" s="30">
        <f>IFERROR(__xludf.DUMMYFUNCTION("""COMPUTED_VALUE"""),0.8736963699546815)</f>
        <v>0.87369637</v>
      </c>
      <c r="AE184" s="30">
        <f>IFERROR(__xludf.DUMMYFUNCTION("""COMPUTED_VALUE"""),0.6721227887262071)</f>
        <v>0.6721227887</v>
      </c>
      <c r="AF184" s="30">
        <f>IFERROR(__xludf.DUMMYFUNCTION("""COMPUTED_VALUE"""),0.29418098881117094)</f>
        <v>0.2941809888</v>
      </c>
      <c r="AG184" s="30">
        <f>IFERROR(__xludf.DUMMYFUNCTION("""COMPUTED_VALUE"""),0.8589523135167113)</f>
        <v>0.8589523135</v>
      </c>
      <c r="AH184" s="30">
        <f>IFERROR(__xludf.DUMMYFUNCTION("""COMPUTED_VALUE"""),0.4658369397469351)</f>
        <v>0.4658369397</v>
      </c>
      <c r="AI184" s="30">
        <f>IFERROR(__xludf.DUMMYFUNCTION("""COMPUTED_VALUE"""),0.9373598865547269)</f>
        <v>0.9373598866</v>
      </c>
      <c r="AJ184" s="30">
        <f>IFERROR(__xludf.DUMMYFUNCTION("""COMPUTED_VALUE"""),0.6062218700236048)</f>
        <v>0.60622187</v>
      </c>
      <c r="AK184" s="30">
        <f>IFERROR(__xludf.DUMMYFUNCTION("""COMPUTED_VALUE"""),0.6784450611998386)</f>
        <v>0.6784450612</v>
      </c>
      <c r="AL184" s="30">
        <f>IFERROR(__xludf.DUMMYFUNCTION("""COMPUTED_VALUE"""),0.9073112876691367)</f>
        <v>0.9073112877</v>
      </c>
      <c r="AM184" s="30">
        <f>IFERROR(__xludf.DUMMYFUNCTION("""COMPUTED_VALUE"""),0.9882809132690795)</f>
        <v>0.9882809133</v>
      </c>
      <c r="AN184" s="30">
        <f>IFERROR(__xludf.DUMMYFUNCTION("""COMPUTED_VALUE"""),0.8554203213249114)</f>
        <v>0.8554203213</v>
      </c>
      <c r="AO184" s="30">
        <f>IFERROR(__xludf.DUMMYFUNCTION("""COMPUTED_VALUE"""),0.6009245967919762)</f>
        <v>0.6009245968</v>
      </c>
      <c r="AP184" s="30">
        <f>IFERROR(__xludf.DUMMYFUNCTION("""COMPUTED_VALUE"""),0.24841418125254078)</f>
        <v>0.2484141813</v>
      </c>
      <c r="AQ184" s="30">
        <f>IFERROR(__xludf.DUMMYFUNCTION("""COMPUTED_VALUE"""),0.9012955704615936)</f>
        <v>0.9012955705</v>
      </c>
      <c r="AR184" s="30">
        <f>IFERROR(__xludf.DUMMYFUNCTION("""COMPUTED_VALUE"""),0.4536748908957453)</f>
        <v>0.4536748909</v>
      </c>
      <c r="AS184" s="30">
        <f>IFERROR(__xludf.DUMMYFUNCTION("""COMPUTED_VALUE"""),10.0)</f>
        <v>10</v>
      </c>
      <c r="AT184" s="30">
        <f>IFERROR(__xludf.DUMMYFUNCTION("""COMPUTED_VALUE"""),0.4673866018726564)</f>
        <v>0.4673866019</v>
      </c>
      <c r="AU184" s="30">
        <f>IFERROR(__xludf.DUMMYFUNCTION("""COMPUTED_VALUE"""),1.1395593698907873)</f>
        <v>1.13955937</v>
      </c>
      <c r="AV184" s="32">
        <f>IFERROR(__xludf.DUMMYFUNCTION("""COMPUTED_VALUE"""),16.6981998781338)</f>
        <v>16.69819988</v>
      </c>
      <c r="AW184" s="32">
        <f>IFERROR(__xludf.DUMMYFUNCTION("""COMPUTED_VALUE"""),-10.938733169813338)</f>
        <v>-10.93873317</v>
      </c>
      <c r="AX184" s="32">
        <f>IFERROR(__xludf.DUMMYFUNCTION("""COMPUTED_VALUE"""),12.628108808213526)</f>
        <v>12.62810881</v>
      </c>
      <c r="AY184" s="32">
        <f>IFERROR(__xludf.DUMMYFUNCTION("""COMPUTED_VALUE"""),-14.820644391444594)</f>
        <v>-14.82064439</v>
      </c>
      <c r="AZ184" s="30">
        <f>IFERROR(__xludf.DUMMYFUNCTION("""COMPUTED_VALUE"""),3.881911221631256)</f>
        <v>3.881911222</v>
      </c>
      <c r="BA184" s="30">
        <f>IFERROR(__xludf.DUMMYFUNCTION("""COMPUTED_VALUE"""),800.0)</f>
        <v>800</v>
      </c>
    </row>
    <row r="185">
      <c r="A185" s="30" t="str">
        <f>IFERROR(__xludf.DUMMYFUNCTION("""COMPUTED_VALUE"""),"Elite")</f>
        <v>Elite</v>
      </c>
      <c r="B185" s="30" t="str">
        <f>IFERROR(__xludf.DUMMYFUNCTION("""COMPUTED_VALUE"""),"RSC005754")</f>
        <v>RSC005754</v>
      </c>
      <c r="C185" s="30" t="str">
        <f>IFERROR(__xludf.DUMMYFUNCTION("""COMPUTED_VALUE"""),"Monty.")</f>
        <v>Monty.</v>
      </c>
      <c r="D185" s="30" t="str">
        <f>IFERROR(__xludf.DUMMYFUNCTION("""COMPUTED_VALUE"""),"Fire")</f>
        <v>Fire</v>
      </c>
      <c r="E185" s="30">
        <f>IFERROR(__xludf.DUMMYFUNCTION("""COMPUTED_VALUE"""),17.0)</f>
        <v>17</v>
      </c>
      <c r="F185" s="30">
        <f>IFERROR(__xludf.DUMMYFUNCTION("""COMPUTED_VALUE"""),7.0)</f>
        <v>7</v>
      </c>
      <c r="G185" s="30">
        <f>IFERROR(__xludf.DUMMYFUNCTION("""COMPUTED_VALUE"""),10.0)</f>
        <v>10</v>
      </c>
      <c r="H185" s="42">
        <f>IFERROR(__xludf.DUMMYFUNCTION("""COMPUTED_VALUE"""),0.4117647058823529)</f>
        <v>0.4117647059</v>
      </c>
      <c r="I185" s="42">
        <f>IFERROR(__xludf.DUMMYFUNCTION("""COMPUTED_VALUE"""),0.14285714285714285)</f>
        <v>0.1428571429</v>
      </c>
      <c r="J185" s="30">
        <f>IFERROR(__xludf.DUMMYFUNCTION("""COMPUTED_VALUE"""),294.2352941176471)</f>
        <v>294.2352941</v>
      </c>
      <c r="K185" s="30">
        <f>IFERROR(__xludf.DUMMYFUNCTION("""COMPUTED_VALUE"""),0.35294117647058826)</f>
        <v>0.3529411765</v>
      </c>
      <c r="L185" s="30">
        <f>IFERROR(__xludf.DUMMYFUNCTION("""COMPUTED_VALUE"""),0.7058823529411765)</f>
        <v>0.7058823529</v>
      </c>
      <c r="M185" s="30">
        <f>IFERROR(__xludf.DUMMYFUNCTION("""COMPUTED_VALUE"""),1.2941176470588236)</f>
        <v>1.294117647</v>
      </c>
      <c r="N185" s="30">
        <f>IFERROR(__xludf.DUMMYFUNCTION("""COMPUTED_VALUE"""),2.4705882352941178)</f>
        <v>2.470588235</v>
      </c>
      <c r="O185" s="30">
        <f>IFERROR(__xludf.DUMMYFUNCTION("""COMPUTED_VALUE"""),394.1764705882353)</f>
        <v>394.1764706</v>
      </c>
      <c r="P185" s="30">
        <f>IFERROR(__xludf.DUMMYFUNCTION("""COMPUTED_VALUE"""),0.9215686274509803)</f>
        <v>0.9215686275</v>
      </c>
      <c r="Q185" s="30">
        <f>IFERROR(__xludf.DUMMYFUNCTION("""COMPUTED_VALUE"""),0.6470588235294118)</f>
        <v>0.6470588235</v>
      </c>
      <c r="R185" s="30">
        <f>IFERROR(__xludf.DUMMYFUNCTION("""COMPUTED_VALUE"""),1.5882352941176472)</f>
        <v>1.588235294</v>
      </c>
      <c r="S185" s="30">
        <f>IFERROR(__xludf.DUMMYFUNCTION("""COMPUTED_VALUE"""),2.9019607843137254)</f>
        <v>2.901960784</v>
      </c>
      <c r="T185" s="30">
        <f>IFERROR(__xludf.DUMMYFUNCTION("""COMPUTED_VALUE"""),382.7118507556999)</f>
        <v>382.7118508</v>
      </c>
      <c r="U185" s="30">
        <f>IFERROR(__xludf.DUMMYFUNCTION("""COMPUTED_VALUE"""),0.8655273590671341)</f>
        <v>0.8655273591</v>
      </c>
      <c r="V185" s="30">
        <f>IFERROR(__xludf.DUMMYFUNCTION("""COMPUTED_VALUE"""),0.5855341898809072)</f>
        <v>0.5855341899</v>
      </c>
      <c r="W185" s="30">
        <f>IFERROR(__xludf.DUMMYFUNCTION("""COMPUTED_VALUE"""),1.4843842427529463)</f>
        <v>1.484384243</v>
      </c>
      <c r="X185" s="30">
        <f>IFERROR(__xludf.DUMMYFUNCTION("""COMPUTED_VALUE"""),2.7924727610762843)</f>
        <v>2.792472761</v>
      </c>
      <c r="Y185" s="30">
        <f>IFERROR(__xludf.DUMMYFUNCTION("""COMPUTED_VALUE"""),344.42076967181214)</f>
        <v>344.4207697</v>
      </c>
      <c r="Z185" s="30">
        <f>IFERROR(__xludf.DUMMYFUNCTION("""COMPUTED_VALUE"""),0.656161109644948)</f>
        <v>0.6561611096</v>
      </c>
      <c r="AA185" s="30">
        <f>IFERROR(__xludf.DUMMYFUNCTION("""COMPUTED_VALUE"""),0.4845843690661495)</f>
        <v>0.4845843691</v>
      </c>
      <c r="AB185" s="30">
        <f>IFERROR(__xludf.DUMMYFUNCTION("""COMPUTED_VALUE"""),1.4396635487136447)</f>
        <v>1.439663549</v>
      </c>
      <c r="AC185" s="30">
        <f>IFERROR(__xludf.DUMMYFUNCTION("""COMPUTED_VALUE"""),2.4881895327200683)</f>
        <v>2.488189533</v>
      </c>
      <c r="AD185" s="30">
        <f>IFERROR(__xludf.DUMMYFUNCTION("""COMPUTED_VALUE"""),0.8542902171608721)</f>
        <v>0.8542902172</v>
      </c>
      <c r="AE185" s="30">
        <f>IFERROR(__xludf.DUMMYFUNCTION("""COMPUTED_VALUE"""),0.5378879840372839)</f>
        <v>0.537887984</v>
      </c>
      <c r="AF185" s="30">
        <f>IFERROR(__xludf.DUMMYFUNCTION("""COMPUTED_VALUE"""),1.4566758608031332)</f>
        <v>1.456675861</v>
      </c>
      <c r="AG185" s="30">
        <f>IFERROR(__xludf.DUMMYFUNCTION("""COMPUTED_VALUE"""),0.8989028361627494)</f>
        <v>0.8989028362</v>
      </c>
      <c r="AH185" s="30">
        <f>IFERROR(__xludf.DUMMYFUNCTION("""COMPUTED_VALUE"""),0.9929260624263181)</f>
        <v>0.9929260624</v>
      </c>
      <c r="AI185" s="30">
        <f>IFERROR(__xludf.DUMMYFUNCTION("""COMPUTED_VALUE"""),1.0299562707815226)</f>
        <v>1.029956271</v>
      </c>
      <c r="AJ185" s="30">
        <f>IFERROR(__xludf.DUMMYFUNCTION("""COMPUTED_VALUE"""),1.0647481189320782)</f>
        <v>1.064748119</v>
      </c>
      <c r="AK185" s="30">
        <f>IFERROR(__xludf.DUMMYFUNCTION("""COMPUTED_VALUE"""),1.105074365787279)</f>
        <v>1.105074366</v>
      </c>
      <c r="AL185" s="30">
        <f>IFERROR(__xludf.DUMMYFUNCTION("""COMPUTED_VALUE"""),1.069962377916447)</f>
        <v>1.069962378</v>
      </c>
      <c r="AM185" s="30">
        <f>IFERROR(__xludf.DUMMYFUNCTION("""COMPUTED_VALUE"""),1.039208269016469)</f>
        <v>1.039208269</v>
      </c>
      <c r="AN185" s="30">
        <f>IFERROR(__xludf.DUMMYFUNCTION("""COMPUTED_VALUE"""),0.8342158848838694)</f>
        <v>0.8342158849</v>
      </c>
      <c r="AO185" s="30">
        <f>IFERROR(__xludf.DUMMYFUNCTION("""COMPUTED_VALUE"""),0.4948790797110393)</f>
        <v>0.4948790797</v>
      </c>
      <c r="AP185" s="30">
        <f>IFERROR(__xludf.DUMMYFUNCTION("""COMPUTED_VALUE"""),1.2274583073654957)</f>
        <v>1.227458307</v>
      </c>
      <c r="AQ185" s="30">
        <f>IFERROR(__xludf.DUMMYFUNCTION("""COMPUTED_VALUE"""),0.9071863911835648)</f>
        <v>0.9071863912</v>
      </c>
      <c r="AR185" s="30">
        <f>IFERROR(__xludf.DUMMYFUNCTION("""COMPUTED_VALUE"""),0.9807383670834495)</f>
        <v>0.9807383671</v>
      </c>
      <c r="AS185" s="30">
        <f>IFERROR(__xludf.DUMMYFUNCTION("""COMPUTED_VALUE"""),36.0)</f>
        <v>36</v>
      </c>
      <c r="AT185" s="30">
        <f>IFERROR(__xludf.DUMMYFUNCTION("""COMPUTED_VALUE"""),0.3964486659619166)</f>
        <v>0.396448666</v>
      </c>
      <c r="AU185" s="30">
        <f>IFERROR(__xludf.DUMMYFUNCTION("""COMPUTED_VALUE"""),1.8392547832694643)</f>
        <v>1.839254783</v>
      </c>
      <c r="AV185" s="32">
        <f>IFERROR(__xludf.DUMMYFUNCTION("""COMPUTED_VALUE"""),36.35926254155336)</f>
        <v>36.35926254</v>
      </c>
      <c r="AW185" s="32">
        <f>IFERROR(__xludf.DUMMYFUNCTION("""COMPUTED_VALUE"""),-3.416930572001823)</f>
        <v>-3.416930572</v>
      </c>
      <c r="AX185" s="32">
        <f>IFERROR(__xludf.DUMMYFUNCTION("""COMPUTED_VALUE"""),22.966724772368174)</f>
        <v>22.96672477</v>
      </c>
      <c r="AY185" s="32">
        <f>IFERROR(__xludf.DUMMYFUNCTION("""COMPUTED_VALUE"""),-7.154357811734188)</f>
        <v>-7.154357812</v>
      </c>
      <c r="AZ185" s="30">
        <f>IFERROR(__xludf.DUMMYFUNCTION("""COMPUTED_VALUE"""),3.7374272397323653)</f>
        <v>3.73742724</v>
      </c>
      <c r="BA185" s="30">
        <f>IFERROR(__xludf.DUMMYFUNCTION("""COMPUTED_VALUE"""),800.0)</f>
        <v>800</v>
      </c>
    </row>
    <row r="186">
      <c r="A186" s="30" t="str">
        <f>IFERROR(__xludf.DUMMYFUNCTION("""COMPUTED_VALUE"""),"Elite")</f>
        <v>Elite</v>
      </c>
      <c r="B186" s="30" t="str">
        <f>IFERROR(__xludf.DUMMYFUNCTION("""COMPUTED_VALUE"""),"RSC007876")</f>
        <v>RSC007876</v>
      </c>
      <c r="C186" s="30" t="str">
        <f>IFERROR(__xludf.DUMMYFUNCTION("""COMPUTED_VALUE"""),"dwsn.")</f>
        <v>dwsn.</v>
      </c>
      <c r="D186" s="30" t="str">
        <f>IFERROR(__xludf.DUMMYFUNCTION("""COMPUTED_VALUE"""),"Great Whites")</f>
        <v>Great Whites</v>
      </c>
      <c r="E186" s="30">
        <f>IFERROR(__xludf.DUMMYFUNCTION("""COMPUTED_VALUE"""),32.0)</f>
        <v>32</v>
      </c>
      <c r="F186" s="30">
        <f>IFERROR(__xludf.DUMMYFUNCTION("""COMPUTED_VALUE"""),23.0)</f>
        <v>23</v>
      </c>
      <c r="G186" s="30">
        <f>IFERROR(__xludf.DUMMYFUNCTION("""COMPUTED_VALUE"""),9.0)</f>
        <v>9</v>
      </c>
      <c r="H186" s="42">
        <f>IFERROR(__xludf.DUMMYFUNCTION("""COMPUTED_VALUE"""),0.71875)</f>
        <v>0.71875</v>
      </c>
      <c r="I186" s="42">
        <f>IFERROR(__xludf.DUMMYFUNCTION("""COMPUTED_VALUE"""),0.32323232323232326)</f>
        <v>0.3232323232</v>
      </c>
      <c r="J186" s="30">
        <f>IFERROR(__xludf.DUMMYFUNCTION("""COMPUTED_VALUE"""),414.3125)</f>
        <v>414.3125</v>
      </c>
      <c r="K186" s="30">
        <f>IFERROR(__xludf.DUMMYFUNCTION("""COMPUTED_VALUE"""),1.0)</f>
        <v>1</v>
      </c>
      <c r="L186" s="30">
        <f>IFERROR(__xludf.DUMMYFUNCTION("""COMPUTED_VALUE"""),0.84375)</f>
        <v>0.84375</v>
      </c>
      <c r="M186" s="30">
        <f>IFERROR(__xludf.DUMMYFUNCTION("""COMPUTED_VALUE"""),1.5625)</f>
        <v>1.5625</v>
      </c>
      <c r="N186" s="30">
        <f>IFERROR(__xludf.DUMMYFUNCTION("""COMPUTED_VALUE"""),3.09375)</f>
        <v>3.09375</v>
      </c>
      <c r="O186" s="30">
        <f>IFERROR(__xludf.DUMMYFUNCTION("""COMPUTED_VALUE"""),298.5625)</f>
        <v>298.5625</v>
      </c>
      <c r="P186" s="30">
        <f>IFERROR(__xludf.DUMMYFUNCTION("""COMPUTED_VALUE"""),0.47916666666666663)</f>
        <v>0.4791666667</v>
      </c>
      <c r="Q186" s="30">
        <f>IFERROR(__xludf.DUMMYFUNCTION("""COMPUTED_VALUE"""),0.3854166666666667)</f>
        <v>0.3854166667</v>
      </c>
      <c r="R186" s="30">
        <f>IFERROR(__xludf.DUMMYFUNCTION("""COMPUTED_VALUE"""),1.395833333333333)</f>
        <v>1.395833333</v>
      </c>
      <c r="S186" s="30">
        <f>IFERROR(__xludf.DUMMYFUNCTION("""COMPUTED_VALUE"""),2.0104166666666665)</f>
        <v>2.010416667</v>
      </c>
      <c r="T186" s="30">
        <f>IFERROR(__xludf.DUMMYFUNCTION("""COMPUTED_VALUE"""),355.46412867465915)</f>
        <v>355.4641287</v>
      </c>
      <c r="U186" s="30">
        <f>IFERROR(__xludf.DUMMYFUNCTION("""COMPUTED_VALUE"""),0.727379753671466)</f>
        <v>0.7273797537</v>
      </c>
      <c r="V186" s="30">
        <f>IFERROR(__xludf.DUMMYFUNCTION("""COMPUTED_VALUE"""),0.5145906821327002)</f>
        <v>0.5145906821</v>
      </c>
      <c r="W186" s="30">
        <f>IFERROR(__xludf.DUMMYFUNCTION("""COMPUTED_VALUE"""),1.4913970328483293)</f>
        <v>1.491397033</v>
      </c>
      <c r="X186" s="30">
        <f>IFERROR(__xludf.DUMMYFUNCTION("""COMPUTED_VALUE"""),2.630154229749641)</f>
        <v>2.63015423</v>
      </c>
      <c r="Y186" s="30">
        <f>IFERROR(__xludf.DUMMYFUNCTION("""COMPUTED_VALUE"""),373.4395772418167)</f>
        <v>373.4395772</v>
      </c>
      <c r="Z186" s="30">
        <f>IFERROR(__xludf.DUMMYFUNCTION("""COMPUTED_VALUE"""),0.8211674807780218)</f>
        <v>0.8211674808</v>
      </c>
      <c r="AA186" s="30">
        <f>IFERROR(__xludf.DUMMYFUNCTION("""COMPUTED_VALUE"""),0.64717397002263)</f>
        <v>0.64717397</v>
      </c>
      <c r="AB186" s="30">
        <f>IFERROR(__xludf.DUMMYFUNCTION("""COMPUTED_VALUE"""),1.4659578992077746)</f>
        <v>1.465957899</v>
      </c>
      <c r="AC186" s="30">
        <f>IFERROR(__xludf.DUMMYFUNCTION("""COMPUTED_VALUE"""),2.78619112168824)</f>
        <v>2.786191122</v>
      </c>
      <c r="AD186" s="30">
        <f>IFERROR(__xludf.DUMMYFUNCTION("""COMPUTED_VALUE"""),1.1094498956432688)</f>
        <v>1.109449896</v>
      </c>
      <c r="AE186" s="30">
        <f>IFERROR(__xludf.DUMMYFUNCTION("""COMPUTED_VALUE"""),1.217778374580228)</f>
        <v>1.217778375</v>
      </c>
      <c r="AF186" s="30">
        <f>IFERROR(__xludf.DUMMYFUNCTION("""COMPUTED_VALUE"""),1.3037452664706157)</f>
        <v>1.303745266</v>
      </c>
      <c r="AG186" s="30">
        <f>IFERROR(__xludf.DUMMYFUNCTION("""COMPUTED_VALUE"""),1.065855984571179)</f>
        <v>1.065855985</v>
      </c>
      <c r="AH186" s="30">
        <f>IFERROR(__xludf.DUMMYFUNCTION("""COMPUTED_VALUE"""),1.110386856062265)</f>
        <v>1.110386856</v>
      </c>
      <c r="AI186" s="30">
        <f>IFERROR(__xludf.DUMMYFUNCTION("""COMPUTED_VALUE"""),0.8399230074584016)</f>
        <v>0.8399230075</v>
      </c>
      <c r="AJ186" s="30">
        <f>IFERROR(__xludf.DUMMYFUNCTION("""COMPUTED_VALUE"""),0.6587572230984735)</f>
        <v>0.6587572231</v>
      </c>
      <c r="AK186" s="30">
        <f>IFERROR(__xludf.DUMMYFUNCTION("""COMPUTED_VALUE"""),0.7489771580575905)</f>
        <v>0.7489771581</v>
      </c>
      <c r="AL186" s="30">
        <f>IFERROR(__xludf.DUMMYFUNCTION("""COMPUTED_VALUE"""),0.9359233675472152)</f>
        <v>0.9359233675</v>
      </c>
      <c r="AM186" s="30">
        <f>IFERROR(__xludf.DUMMYFUNCTION("""COMPUTED_VALUE"""),0.7643721588364929)</f>
        <v>0.7643721588</v>
      </c>
      <c r="AN186" s="30">
        <f>IFERROR(__xludf.DUMMYFUNCTION("""COMPUTED_VALUE"""),1.1746587704320508)</f>
        <v>1.17465877</v>
      </c>
      <c r="AO186" s="30">
        <f>IFERROR(__xludf.DUMMYFUNCTION("""COMPUTED_VALUE"""),1.4021573925146114)</f>
        <v>1.402157393</v>
      </c>
      <c r="AP186" s="30">
        <f>IFERROR(__xludf.DUMMYFUNCTION("""COMPUTED_VALUE"""),1.467196258022819)</f>
        <v>1.467196258</v>
      </c>
      <c r="AQ186" s="30">
        <f>IFERROR(__xludf.DUMMYFUNCTION("""COMPUTED_VALUE"""),1.0953244779915199)</f>
        <v>1.095324478</v>
      </c>
      <c r="AR186" s="30">
        <f>IFERROR(__xludf.DUMMYFUNCTION("""COMPUTED_VALUE"""),1.228112106995123)</f>
        <v>1.228112107</v>
      </c>
      <c r="AS186" s="30">
        <f>IFERROR(__xludf.DUMMYFUNCTION("""COMPUTED_VALUE"""),89.0)</f>
        <v>89</v>
      </c>
      <c r="AT186" s="30">
        <f>IFERROR(__xludf.DUMMYFUNCTION("""COMPUTED_VALUE"""),0.7305918446667039)</f>
        <v>0.7305918447</v>
      </c>
      <c r="AU186" s="30">
        <f>IFERROR(__xludf.DUMMYFUNCTION("""COMPUTED_VALUE"""),3.677917479656208)</f>
        <v>3.67791748</v>
      </c>
      <c r="AV186" s="32">
        <f>IFERROR(__xludf.DUMMYFUNCTION("""COMPUTED_VALUE"""),88.02468981081464)</f>
        <v>88.02468981</v>
      </c>
      <c r="AW186" s="32">
        <f>IFERROR(__xludf.DUMMYFUNCTION("""COMPUTED_VALUE"""),15.592967294678846)</f>
        <v>15.59296729</v>
      </c>
      <c r="AX186" s="32">
        <f>IFERROR(__xludf.DUMMYFUNCTION("""COMPUTED_VALUE"""),90.65367769913456)</f>
        <v>90.6536777</v>
      </c>
      <c r="AY186" s="32">
        <f>IFERROR(__xludf.DUMMYFUNCTION("""COMPUTED_VALUE"""),19.24587636325639)</f>
        <v>19.24587636</v>
      </c>
      <c r="AZ186" s="30">
        <f>IFERROR(__xludf.DUMMYFUNCTION("""COMPUTED_VALUE"""),3.652909068577543)</f>
        <v>3.652909069</v>
      </c>
      <c r="BA186" s="30">
        <f>IFERROR(__xludf.DUMMYFUNCTION("""COMPUTED_VALUE"""),800.0)</f>
        <v>800</v>
      </c>
    </row>
    <row r="187">
      <c r="A187" s="30" t="str">
        <f>IFERROR(__xludf.DUMMYFUNCTION("""COMPUTED_VALUE"""),"Elite")</f>
        <v>Elite</v>
      </c>
      <c r="B187" s="30" t="str">
        <f>IFERROR(__xludf.DUMMYFUNCTION("""COMPUTED_VALUE"""),"RSC006188")</f>
        <v>RSC006188</v>
      </c>
      <c r="C187" s="30" t="str">
        <f>IFERROR(__xludf.DUMMYFUNCTION("""COMPUTED_VALUE"""),"Billy_Man_Fi3h")</f>
        <v>Billy_Man_Fi3h</v>
      </c>
      <c r="D187" s="30" t="str">
        <f>IFERROR(__xludf.DUMMYFUNCTION("""COMPUTED_VALUE"""),"Pixel Picassos")</f>
        <v>Pixel Picassos</v>
      </c>
      <c r="E187" s="30">
        <f>IFERROR(__xludf.DUMMYFUNCTION("""COMPUTED_VALUE"""),24.0)</f>
        <v>24</v>
      </c>
      <c r="F187" s="30">
        <f>IFERROR(__xludf.DUMMYFUNCTION("""COMPUTED_VALUE"""),5.0)</f>
        <v>5</v>
      </c>
      <c r="G187" s="30">
        <f>IFERROR(__xludf.DUMMYFUNCTION("""COMPUTED_VALUE"""),19.0)</f>
        <v>19</v>
      </c>
      <c r="H187" s="42">
        <f>IFERROR(__xludf.DUMMYFUNCTION("""COMPUTED_VALUE"""),0.20833333333333334)</f>
        <v>0.2083333333</v>
      </c>
      <c r="I187" s="42">
        <f>IFERROR(__xludf.DUMMYFUNCTION("""COMPUTED_VALUE"""),0.23809523809523808)</f>
        <v>0.2380952381</v>
      </c>
      <c r="J187" s="30">
        <f>IFERROR(__xludf.DUMMYFUNCTION("""COMPUTED_VALUE"""),335.7916666666667)</f>
        <v>335.7916667</v>
      </c>
      <c r="K187" s="30">
        <f>IFERROR(__xludf.DUMMYFUNCTION("""COMPUTED_VALUE"""),0.625)</f>
        <v>0.625</v>
      </c>
      <c r="L187" s="30">
        <f>IFERROR(__xludf.DUMMYFUNCTION("""COMPUTED_VALUE"""),0.3333333333333333)</f>
        <v>0.3333333333</v>
      </c>
      <c r="M187" s="30">
        <f>IFERROR(__xludf.DUMMYFUNCTION("""COMPUTED_VALUE"""),1.4166666666666667)</f>
        <v>1.416666667</v>
      </c>
      <c r="N187" s="30">
        <f>IFERROR(__xludf.DUMMYFUNCTION("""COMPUTED_VALUE"""),2.625)</f>
        <v>2.625</v>
      </c>
      <c r="O187" s="30">
        <f>IFERROR(__xludf.DUMMYFUNCTION("""COMPUTED_VALUE"""),409.9166666666666)</f>
        <v>409.9166667</v>
      </c>
      <c r="P187" s="30">
        <f>IFERROR(__xludf.DUMMYFUNCTION("""COMPUTED_VALUE"""),1.0138888888888888)</f>
        <v>1.013888889</v>
      </c>
      <c r="Q187" s="30">
        <f>IFERROR(__xludf.DUMMYFUNCTION("""COMPUTED_VALUE"""),0.7083333333333331)</f>
        <v>0.7083333333</v>
      </c>
      <c r="R187" s="30">
        <f>IFERROR(__xludf.DUMMYFUNCTION("""COMPUTED_VALUE"""),1.4444444444444446)</f>
        <v>1.444444444</v>
      </c>
      <c r="S187" s="30">
        <f>IFERROR(__xludf.DUMMYFUNCTION("""COMPUTED_VALUE"""),3.3055555555555554)</f>
        <v>3.305555556</v>
      </c>
      <c r="T187" s="30">
        <f>IFERROR(__xludf.DUMMYFUNCTION("""COMPUTED_VALUE"""),375.1480814933919)</f>
        <v>375.1480815</v>
      </c>
      <c r="U187" s="30">
        <f>IFERROR(__xludf.DUMMYFUNCTION("""COMPUTED_VALUE"""),0.8958408693347559)</f>
        <v>0.8958408693</v>
      </c>
      <c r="V187" s="30">
        <f>IFERROR(__xludf.DUMMYFUNCTION("""COMPUTED_VALUE"""),0.6756422072246452)</f>
        <v>0.6756422072</v>
      </c>
      <c r="W187" s="30">
        <f>IFERROR(__xludf.DUMMYFUNCTION("""COMPUTED_VALUE"""),1.298177965703564)</f>
        <v>1.298177966</v>
      </c>
      <c r="X187" s="30">
        <f>IFERROR(__xludf.DUMMYFUNCTION("""COMPUTED_VALUE"""),2.976869264311064)</f>
        <v>2.976869264</v>
      </c>
      <c r="Y187" s="30">
        <f>IFERROR(__xludf.DUMMYFUNCTION("""COMPUTED_VALUE"""),356.3987422315568)</f>
        <v>356.3987422</v>
      </c>
      <c r="Z187" s="30">
        <f>IFERROR(__xludf.DUMMYFUNCTION("""COMPUTED_VALUE"""),0.6959301888053034)</f>
        <v>0.6959301888</v>
      </c>
      <c r="AA187" s="30">
        <f>IFERROR(__xludf.DUMMYFUNCTION("""COMPUTED_VALUE"""),0.5153108199074911)</f>
        <v>0.5153108199</v>
      </c>
      <c r="AB187" s="30">
        <f>IFERROR(__xludf.DUMMYFUNCTION("""COMPUTED_VALUE"""),1.5806361120359558)</f>
        <v>1.580636112</v>
      </c>
      <c r="AC187" s="30">
        <f>IFERROR(__xludf.DUMMYFUNCTION("""COMPUTED_VALUE"""),2.4664998438313237)</f>
        <v>2.466499844</v>
      </c>
      <c r="AD187" s="30">
        <f>IFERROR(__xludf.DUMMYFUNCTION("""COMPUTED_VALUE"""),0.9421797186043338)</f>
        <v>0.9421797186</v>
      </c>
      <c r="AE187" s="30">
        <f>IFERROR(__xludf.DUMMYFUNCTION("""COMPUTED_VALUE"""),0.8980785861192937)</f>
        <v>0.8980785861</v>
      </c>
      <c r="AF187" s="30">
        <f>IFERROR(__xludf.DUMMYFUNCTION("""COMPUTED_VALUE"""),0.6468587897944265)</f>
        <v>0.6468587898</v>
      </c>
      <c r="AG187" s="30">
        <f>IFERROR(__xludf.DUMMYFUNCTION("""COMPUTED_VALUE"""),0.8962636345451539)</f>
        <v>0.8962636345</v>
      </c>
      <c r="AH187" s="30">
        <f>IFERROR(__xludf.DUMMYFUNCTION("""COMPUTED_VALUE"""),1.064261166107544)</f>
        <v>1.064261166</v>
      </c>
      <c r="AI187" s="30">
        <f>IFERROR(__xludf.DUMMYFUNCTION("""COMPUTED_VALUE"""),1.0926796294275787)</f>
        <v>1.092679629</v>
      </c>
      <c r="AJ187" s="30">
        <f>IFERROR(__xludf.DUMMYFUNCTION("""COMPUTED_VALUE"""),1.1317734249407425)</f>
        <v>1.131773425</v>
      </c>
      <c r="AK187" s="30">
        <f>IFERROR(__xludf.DUMMYFUNCTION("""COMPUTED_VALUE"""),1.048385263322986)</f>
        <v>1.048385263</v>
      </c>
      <c r="AL187" s="30">
        <f>IFERROR(__xludf.DUMMYFUNCTION("""COMPUTED_VALUE"""),1.1126705910938872)</f>
        <v>1.112670591</v>
      </c>
      <c r="AM187" s="30">
        <f>IFERROR(__xludf.DUMMYFUNCTION("""COMPUTED_VALUE"""),1.1104134115612763)</f>
        <v>1.110413412</v>
      </c>
      <c r="AN187" s="30">
        <f>IFERROR(__xludf.DUMMYFUNCTION("""COMPUTED_VALUE"""),0.9520365093691254)</f>
        <v>0.9520365094</v>
      </c>
      <c r="AO187" s="30">
        <f>IFERROR(__xludf.DUMMYFUNCTION("""COMPUTED_VALUE"""),0.876348370321632)</f>
        <v>0.8763483703</v>
      </c>
      <c r="AP187" s="30">
        <f>IFERROR(__xludf.DUMMYFUNCTION("""COMPUTED_VALUE"""),0.5796330895892619)</f>
        <v>0.5796330896</v>
      </c>
      <c r="AQ187" s="30">
        <f>IFERROR(__xludf.DUMMYFUNCTION("""COMPUTED_VALUE"""),0.9930941933789781)</f>
        <v>0.9930941934</v>
      </c>
      <c r="AR187" s="30">
        <f>IFERROR(__xludf.DUMMYFUNCTION("""COMPUTED_VALUE"""),1.042034515026165)</f>
        <v>1.042034515</v>
      </c>
      <c r="AS187" s="30">
        <f>IFERROR(__xludf.DUMMYFUNCTION("""COMPUTED_VALUE"""),43.0)</f>
        <v>43</v>
      </c>
      <c r="AT187" s="30">
        <f>IFERROR(__xludf.DUMMYFUNCTION("""COMPUTED_VALUE"""),0.3032531028461348)</f>
        <v>0.3032531028</v>
      </c>
      <c r="AU187" s="30">
        <f>IFERROR(__xludf.DUMMYFUNCTION("""COMPUTED_VALUE"""),1.9610631947870774)</f>
        <v>1.961063195</v>
      </c>
      <c r="AV187" s="32">
        <f>IFERROR(__xludf.DUMMYFUNCTION("""COMPUTED_VALUE"""),39.78201302124426)</f>
        <v>39.78201302</v>
      </c>
      <c r="AW187" s="32">
        <f>IFERROR(__xludf.DUMMYFUNCTION("""COMPUTED_VALUE"""),-2.9293490641479774)</f>
        <v>-2.929349064</v>
      </c>
      <c r="AX187" s="32">
        <f>IFERROR(__xludf.DUMMYFUNCTION("""COMPUTED_VALUE"""),24.389251825725506)</f>
        <v>24.38925183</v>
      </c>
      <c r="AY187" s="32">
        <f>IFERROR(__xludf.DUMMYFUNCTION("""COMPUTED_VALUE"""),-6.543811992941905)</f>
        <v>-6.543811993</v>
      </c>
      <c r="AZ187" s="30">
        <f>IFERROR(__xludf.DUMMYFUNCTION("""COMPUTED_VALUE"""),3.614462928793928)</f>
        <v>3.614462929</v>
      </c>
      <c r="BA187" s="30">
        <f>IFERROR(__xludf.DUMMYFUNCTION("""COMPUTED_VALUE"""),800.0)</f>
        <v>800</v>
      </c>
    </row>
    <row r="188">
      <c r="A188" s="30" t="str">
        <f>IFERROR(__xludf.DUMMYFUNCTION("""COMPUTED_VALUE"""),"Elite")</f>
        <v>Elite</v>
      </c>
      <c r="B188" s="30" t="str">
        <f>IFERROR(__xludf.DUMMYFUNCTION("""COMPUTED_VALUE"""),"RSC006972")</f>
        <v>RSC006972</v>
      </c>
      <c r="C188" s="30" t="str">
        <f>IFERROR(__xludf.DUMMYFUNCTION("""COMPUTED_VALUE"""),"galaxiezz.")</f>
        <v>galaxiezz.</v>
      </c>
      <c r="D188" s="30" t="str">
        <f>IFERROR(__xludf.DUMMYFUNCTION("""COMPUTED_VALUE"""),"Cotija Cartel")</f>
        <v>Cotija Cartel</v>
      </c>
      <c r="E188" s="30">
        <f>IFERROR(__xludf.DUMMYFUNCTION("""COMPUTED_VALUE"""),30.0)</f>
        <v>30</v>
      </c>
      <c r="F188" s="30">
        <f>IFERROR(__xludf.DUMMYFUNCTION("""COMPUTED_VALUE"""),24.0)</f>
        <v>24</v>
      </c>
      <c r="G188" s="30">
        <f>IFERROR(__xludf.DUMMYFUNCTION("""COMPUTED_VALUE"""),6.0)</f>
        <v>6</v>
      </c>
      <c r="H188" s="42">
        <f>IFERROR(__xludf.DUMMYFUNCTION("""COMPUTED_VALUE"""),0.8)</f>
        <v>0.8</v>
      </c>
      <c r="I188" s="42">
        <f>IFERROR(__xludf.DUMMYFUNCTION("""COMPUTED_VALUE"""),0.3670886075949367)</f>
        <v>0.3670886076</v>
      </c>
      <c r="J188" s="30">
        <f>IFERROR(__xludf.DUMMYFUNCTION("""COMPUTED_VALUE"""),383.43333333333334)</f>
        <v>383.4333333</v>
      </c>
      <c r="K188" s="30">
        <f>IFERROR(__xludf.DUMMYFUNCTION("""COMPUTED_VALUE"""),0.9666666666666667)</f>
        <v>0.9666666667</v>
      </c>
      <c r="L188" s="30">
        <f>IFERROR(__xludf.DUMMYFUNCTION("""COMPUTED_VALUE"""),0.6666666666666666)</f>
        <v>0.6666666667</v>
      </c>
      <c r="M188" s="30">
        <f>IFERROR(__xludf.DUMMYFUNCTION("""COMPUTED_VALUE"""),1.4)</f>
        <v>1.4</v>
      </c>
      <c r="N188" s="30">
        <f>IFERROR(__xludf.DUMMYFUNCTION("""COMPUTED_VALUE"""),2.6333333333333333)</f>
        <v>2.633333333</v>
      </c>
      <c r="O188" s="30">
        <f>IFERROR(__xludf.DUMMYFUNCTION("""COMPUTED_VALUE"""),309.6666666666667)</f>
        <v>309.6666667</v>
      </c>
      <c r="P188" s="30">
        <f>IFERROR(__xludf.DUMMYFUNCTION("""COMPUTED_VALUE"""),0.5222222222222224)</f>
        <v>0.5222222222</v>
      </c>
      <c r="Q188" s="30">
        <f>IFERROR(__xludf.DUMMYFUNCTION("""COMPUTED_VALUE"""),0.3222222222222223)</f>
        <v>0.3222222222</v>
      </c>
      <c r="R188" s="30">
        <f>IFERROR(__xludf.DUMMYFUNCTION("""COMPUTED_VALUE"""),1.377777777777778)</f>
        <v>1.377777778</v>
      </c>
      <c r="S188" s="30">
        <f>IFERROR(__xludf.DUMMYFUNCTION("""COMPUTED_VALUE"""),2.1555555555555554)</f>
        <v>2.155555556</v>
      </c>
      <c r="T188" s="30">
        <f>IFERROR(__xludf.DUMMYFUNCTION("""COMPUTED_VALUE"""),353.24362970346)</f>
        <v>353.2436297</v>
      </c>
      <c r="U188" s="30">
        <f>IFERROR(__xludf.DUMMYFUNCTION("""COMPUTED_VALUE"""),0.7629245409743516)</f>
        <v>0.762924541</v>
      </c>
      <c r="V188" s="30">
        <f>IFERROR(__xludf.DUMMYFUNCTION("""COMPUTED_VALUE"""),0.5438825072320487)</f>
        <v>0.5438825072</v>
      </c>
      <c r="W188" s="30">
        <f>IFERROR(__xludf.DUMMYFUNCTION("""COMPUTED_VALUE"""),1.3962517872694977)</f>
        <v>1.396251787</v>
      </c>
      <c r="X188" s="30">
        <f>IFERROR(__xludf.DUMMYFUNCTION("""COMPUTED_VALUE"""),2.6117459219921284)</f>
        <v>2.611745922</v>
      </c>
      <c r="Y188" s="30">
        <f>IFERROR(__xludf.DUMMYFUNCTION("""COMPUTED_VALUE"""),366.4063595313148)</f>
        <v>366.4063595</v>
      </c>
      <c r="Z188" s="30">
        <f>IFERROR(__xludf.DUMMYFUNCTION("""COMPUTED_VALUE"""),0.8057739581996384)</f>
        <v>0.8057739582</v>
      </c>
      <c r="AA188" s="30">
        <f>IFERROR(__xludf.DUMMYFUNCTION("""COMPUTED_VALUE"""),0.5939574019668895)</f>
        <v>0.593957402</v>
      </c>
      <c r="AB188" s="30">
        <f>IFERROR(__xludf.DUMMYFUNCTION("""COMPUTED_VALUE"""),1.4181554824780362)</f>
        <v>1.418155482</v>
      </c>
      <c r="AC188" s="30">
        <f>IFERROR(__xludf.DUMMYFUNCTION("""COMPUTED_VALUE"""),2.7218462005823643)</f>
        <v>2.721846201</v>
      </c>
      <c r="AD188" s="30">
        <f>IFERROR(__xludf.DUMMYFUNCTION("""COMPUTED_VALUE"""),1.0464701917941555)</f>
        <v>1.046470192</v>
      </c>
      <c r="AE188" s="30">
        <f>IFERROR(__xludf.DUMMYFUNCTION("""COMPUTED_VALUE"""),1.1996747435552708)</f>
        <v>1.199674744</v>
      </c>
      <c r="AF188" s="30">
        <f>IFERROR(__xludf.DUMMYFUNCTION("""COMPUTED_VALUE"""),1.1224149483767698)</f>
        <v>1.122414948</v>
      </c>
      <c r="AG188" s="30">
        <f>IFERROR(__xludf.DUMMYFUNCTION("""COMPUTED_VALUE"""),0.987197819489925)</f>
        <v>0.9871978195</v>
      </c>
      <c r="AH188" s="30">
        <f>IFERROR(__xludf.DUMMYFUNCTION("""COMPUTED_VALUE"""),0.9674805772530083)</f>
        <v>0.9674805773</v>
      </c>
      <c r="AI188" s="30">
        <f>IFERROR(__xludf.DUMMYFUNCTION("""COMPUTED_VALUE"""),0.8766376535271841)</f>
        <v>0.8766376535</v>
      </c>
      <c r="AJ188" s="30">
        <f>IFERROR(__xludf.DUMMYFUNCTION("""COMPUTED_VALUE"""),0.6845004901209211)</f>
        <v>0.6845004901</v>
      </c>
      <c r="AK188" s="30">
        <f>IFERROR(__xludf.DUMMYFUNCTION("""COMPUTED_VALUE"""),0.5924482180206349)</f>
        <v>0.592448218</v>
      </c>
      <c r="AL188" s="30">
        <f>IFERROR(__xludf.DUMMYFUNCTION("""COMPUTED_VALUE"""),0.9867688552593745)</f>
        <v>0.9867688553</v>
      </c>
      <c r="AM188" s="30">
        <f>IFERROR(__xludf.DUMMYFUNCTION("""COMPUTED_VALUE"""),0.8253312611325491)</f>
        <v>0.8253312611</v>
      </c>
      <c r="AN188" s="30">
        <f>IFERROR(__xludf.DUMMYFUNCTION("""COMPUTED_VALUE"""),1.0871101593024495)</f>
        <v>1.087110159</v>
      </c>
      <c r="AO188" s="30">
        <f>IFERROR(__xludf.DUMMYFUNCTION("""COMPUTED_VALUE"""),1.3554188127641242)</f>
        <v>1.355418813</v>
      </c>
      <c r="AP188" s="30">
        <f>IFERROR(__xludf.DUMMYFUNCTION("""COMPUTED_VALUE"""),1.1592661791785237)</f>
        <v>1.159266179</v>
      </c>
      <c r="AQ188" s="30">
        <f>IFERROR(__xludf.DUMMYFUNCTION("""COMPUTED_VALUE"""),0.9814107322804018)</f>
        <v>0.9814107323</v>
      </c>
      <c r="AR188" s="30">
        <f>IFERROR(__xludf.DUMMYFUNCTION("""COMPUTED_VALUE"""),1.045342561105613)</f>
        <v>1.045342561</v>
      </c>
      <c r="AS188" s="30">
        <f>IFERROR(__xludf.DUMMYFUNCTION("""COMPUTED_VALUE"""),90.0)</f>
        <v>90</v>
      </c>
      <c r="AT188" s="30">
        <f>IFERROR(__xludf.DUMMYFUNCTION("""COMPUTED_VALUE"""),0.7319617319191388)</f>
        <v>0.7319617319</v>
      </c>
      <c r="AU188" s="30">
        <f>IFERROR(__xludf.DUMMYFUNCTION("""COMPUTED_VALUE"""),3.2559968857626025)</f>
        <v>3.255996886</v>
      </c>
      <c r="AV188" s="32">
        <f>IFERROR(__xludf.DUMMYFUNCTION("""COMPUTED_VALUE"""),76.1689493315786)</f>
        <v>76.16894933</v>
      </c>
      <c r="AW188" s="32">
        <f>IFERROR(__xludf.DUMMYFUNCTION("""COMPUTED_VALUE"""),6.774810295254454)</f>
        <v>6.774810295</v>
      </c>
      <c r="AX188" s="32">
        <f>IFERROR(__xludf.DUMMYFUNCTION("""COMPUTED_VALUE"""),62.40350327448823)</f>
        <v>62.40350327</v>
      </c>
      <c r="AY188" s="32">
        <f>IFERROR(__xludf.DUMMYFUNCTION("""COMPUTED_VALUE"""),3.2268705532126742)</f>
        <v>3.226870553</v>
      </c>
      <c r="AZ188" s="30">
        <f>IFERROR(__xludf.DUMMYFUNCTION("""COMPUTED_VALUE"""),3.54793974204178)</f>
        <v>3.547939742</v>
      </c>
      <c r="BA188" s="30">
        <f>IFERROR(__xludf.DUMMYFUNCTION("""COMPUTED_VALUE"""),800.0)</f>
        <v>800</v>
      </c>
    </row>
    <row r="189">
      <c r="A189" s="30" t="str">
        <f>IFERROR(__xludf.DUMMYFUNCTION("""COMPUTED_VALUE"""),"Elite")</f>
        <v>Elite</v>
      </c>
      <c r="B189" s="30" t="str">
        <f>IFERROR(__xludf.DUMMYFUNCTION("""COMPUTED_VALUE"""),"RSC007901")</f>
        <v>RSC007901</v>
      </c>
      <c r="C189" s="30" t="str">
        <f>IFERROR(__xludf.DUMMYFUNCTION("""COMPUTED_VALUE"""),"JUICY")</f>
        <v>JUICY</v>
      </c>
      <c r="D189" s="30" t="str">
        <f>IFERROR(__xludf.DUMMYFUNCTION("""COMPUTED_VALUE"""),"Despair")</f>
        <v>Despair</v>
      </c>
      <c r="E189" s="30">
        <f>IFERROR(__xludf.DUMMYFUNCTION("""COMPUTED_VALUE"""),35.0)</f>
        <v>35</v>
      </c>
      <c r="F189" s="30">
        <f>IFERROR(__xludf.DUMMYFUNCTION("""COMPUTED_VALUE"""),21.0)</f>
        <v>21</v>
      </c>
      <c r="G189" s="30">
        <f>IFERROR(__xludf.DUMMYFUNCTION("""COMPUTED_VALUE"""),14.0)</f>
        <v>14</v>
      </c>
      <c r="H189" s="42">
        <f>IFERROR(__xludf.DUMMYFUNCTION("""COMPUTED_VALUE"""),0.6)</f>
        <v>0.6</v>
      </c>
      <c r="I189" s="42">
        <f>IFERROR(__xludf.DUMMYFUNCTION("""COMPUTED_VALUE"""),0.2773109243697479)</f>
        <v>0.2773109244</v>
      </c>
      <c r="J189" s="30">
        <f>IFERROR(__xludf.DUMMYFUNCTION("""COMPUTED_VALUE"""),404.22857142857146)</f>
        <v>404.2285714</v>
      </c>
      <c r="K189" s="30">
        <f>IFERROR(__xludf.DUMMYFUNCTION("""COMPUTED_VALUE"""),0.9428571428571428)</f>
        <v>0.9428571429</v>
      </c>
      <c r="L189" s="30">
        <f>IFERROR(__xludf.DUMMYFUNCTION("""COMPUTED_VALUE"""),0.5428571428571428)</f>
        <v>0.5428571429</v>
      </c>
      <c r="M189" s="30">
        <f>IFERROR(__xludf.DUMMYFUNCTION("""COMPUTED_VALUE"""),1.5714285714285714)</f>
        <v>1.571428571</v>
      </c>
      <c r="N189" s="30">
        <f>IFERROR(__xludf.DUMMYFUNCTION("""COMPUTED_VALUE"""),3.4)</f>
        <v>3.4</v>
      </c>
      <c r="O189" s="30">
        <f>IFERROR(__xludf.DUMMYFUNCTION("""COMPUTED_VALUE"""),352.50476190476195)</f>
        <v>352.5047619</v>
      </c>
      <c r="P189" s="30">
        <f>IFERROR(__xludf.DUMMYFUNCTION("""COMPUTED_VALUE"""),0.5904761904761903)</f>
        <v>0.5904761905</v>
      </c>
      <c r="Q189" s="30">
        <f>IFERROR(__xludf.DUMMYFUNCTION("""COMPUTED_VALUE"""),0.4571428571428571)</f>
        <v>0.4571428571</v>
      </c>
      <c r="R189" s="30">
        <f>IFERROR(__xludf.DUMMYFUNCTION("""COMPUTED_VALUE"""),1.6571428571428573)</f>
        <v>1.657142857</v>
      </c>
      <c r="S189" s="30">
        <f>IFERROR(__xludf.DUMMYFUNCTION("""COMPUTED_VALUE"""),2.542857142857143)</f>
        <v>2.542857143</v>
      </c>
      <c r="T189" s="30">
        <f>IFERROR(__xludf.DUMMYFUNCTION("""COMPUTED_VALUE"""),362.5382932734232)</f>
        <v>362.5382933</v>
      </c>
      <c r="U189" s="30">
        <f>IFERROR(__xludf.DUMMYFUNCTION("""COMPUTED_VALUE"""),0.7147151828411962)</f>
        <v>0.7147151828</v>
      </c>
      <c r="V189" s="30">
        <f>IFERROR(__xludf.DUMMYFUNCTION("""COMPUTED_VALUE"""),0.5847223826274309)</f>
        <v>0.5847223826</v>
      </c>
      <c r="W189" s="30">
        <f>IFERROR(__xludf.DUMMYFUNCTION("""COMPUTED_VALUE"""),1.561430853829654)</f>
        <v>1.561430854</v>
      </c>
      <c r="X189" s="30">
        <f>IFERROR(__xludf.DUMMYFUNCTION("""COMPUTED_VALUE"""),2.6325478414824093)</f>
        <v>2.632547841</v>
      </c>
      <c r="Y189" s="30">
        <f>IFERROR(__xludf.DUMMYFUNCTION("""COMPUTED_VALUE"""),366.0636532479072)</f>
        <v>366.0636532</v>
      </c>
      <c r="Z189" s="30">
        <f>IFERROR(__xludf.DUMMYFUNCTION("""COMPUTED_VALUE"""),0.792335276005052)</f>
        <v>0.792335276</v>
      </c>
      <c r="AA189" s="30">
        <f>IFERROR(__xludf.DUMMYFUNCTION("""COMPUTED_VALUE"""),0.5878077312680805)</f>
        <v>0.5878077313</v>
      </c>
      <c r="AB189" s="30">
        <f>IFERROR(__xludf.DUMMYFUNCTION("""COMPUTED_VALUE"""),1.4185508715567736)</f>
        <v>1.418550872</v>
      </c>
      <c r="AC189" s="30">
        <f>IFERROR(__xludf.DUMMYFUNCTION("""COMPUTED_VALUE"""),2.7763780438708854)</f>
        <v>2.776378044</v>
      </c>
      <c r="AD189" s="30">
        <f>IFERROR(__xludf.DUMMYFUNCTION("""COMPUTED_VALUE"""),1.1042576006714822)</f>
        <v>1.104257601</v>
      </c>
      <c r="AE189" s="30">
        <f>IFERROR(__xludf.DUMMYFUNCTION("""COMPUTED_VALUE"""),1.1899724414783357)</f>
        <v>1.189972441</v>
      </c>
      <c r="AF189" s="30">
        <f>IFERROR(__xludf.DUMMYFUNCTION("""COMPUTED_VALUE"""),0.9235284158070436)</f>
        <v>0.9235284158</v>
      </c>
      <c r="AG189" s="30">
        <f>IFERROR(__xludf.DUMMYFUNCTION("""COMPUTED_VALUE"""),1.1077703330470086)</f>
        <v>1.107770333</v>
      </c>
      <c r="AH189" s="30">
        <f>IFERROR(__xludf.DUMMYFUNCTION("""COMPUTED_VALUE"""),1.2246170897028301)</f>
        <v>1.22461709</v>
      </c>
      <c r="AI189" s="30">
        <f>IFERROR(__xludf.DUMMYFUNCTION("""COMPUTED_VALUE"""),0.972324216352246)</f>
        <v>0.9723242164</v>
      </c>
      <c r="AJ189" s="30">
        <f>IFERROR(__xludf.DUMMYFUNCTION("""COMPUTED_VALUE"""),0.8261699270594468)</f>
        <v>0.8261699271</v>
      </c>
      <c r="AK189" s="30">
        <f>IFERROR(__xludf.DUMMYFUNCTION("""COMPUTED_VALUE"""),0.7818117977435729)</f>
        <v>0.7818117977</v>
      </c>
      <c r="AL189" s="30">
        <f>IFERROR(__xludf.DUMMYFUNCTION("""COMPUTED_VALUE"""),1.061297625238066)</f>
        <v>1.061297625</v>
      </c>
      <c r="AM189" s="30">
        <f>IFERROR(__xludf.DUMMYFUNCTION("""COMPUTED_VALUE"""),0.9659300783780778)</f>
        <v>0.9659300784</v>
      </c>
      <c r="AN189" s="30">
        <f>IFERROR(__xludf.DUMMYFUNCTION("""COMPUTED_VALUE"""),1.1460688168659894)</f>
        <v>1.146068817</v>
      </c>
      <c r="AO189" s="30">
        <f>IFERROR(__xludf.DUMMYFUNCTION("""COMPUTED_VALUE"""),1.3220341129423478)</f>
        <v>1.322034113</v>
      </c>
      <c r="AP189" s="30">
        <f>IFERROR(__xludf.DUMMYFUNCTION("""COMPUTED_VALUE"""),0.9439738887596549)</f>
        <v>0.9439738888</v>
      </c>
      <c r="AQ189" s="30">
        <f>IFERROR(__xludf.DUMMYFUNCTION("""COMPUTED_VALUE"""),1.1015834750086144)</f>
        <v>1.101583475</v>
      </c>
      <c r="AR189" s="30">
        <f>IFERROR(__xludf.DUMMYFUNCTION("""COMPUTED_VALUE"""),1.3496828004148422)</f>
        <v>1.3496828</v>
      </c>
      <c r="AS189" s="30">
        <f>IFERROR(__xludf.DUMMYFUNCTION("""COMPUTED_VALUE"""),86.0)</f>
        <v>86</v>
      </c>
      <c r="AT189" s="30">
        <f>IFERROR(__xludf.DUMMYFUNCTION("""COMPUTED_VALUE"""),0.6212682606451402)</f>
        <v>0.6212682606</v>
      </c>
      <c r="AU189" s="30">
        <f>IFERROR(__xludf.DUMMYFUNCTION("""COMPUTED_VALUE"""),3.2780930152159296)</f>
        <v>3.278093015</v>
      </c>
      <c r="AV189" s="32">
        <f>IFERROR(__xludf.DUMMYFUNCTION("""COMPUTED_VALUE"""),76.78983861782261)</f>
        <v>76.78983862</v>
      </c>
      <c r="AW189" s="32">
        <f>IFERROR(__xludf.DUMMYFUNCTION("""COMPUTED_VALUE"""),7.04466870027579)</f>
        <v>7.0446687</v>
      </c>
      <c r="AX189" s="32">
        <f>IFERROR(__xludf.DUMMYFUNCTION("""COMPUTED_VALUE"""),64.63364151399581)</f>
        <v>64.63364151</v>
      </c>
      <c r="AY189" s="32">
        <f>IFERROR(__xludf.DUMMYFUNCTION("""COMPUTED_VALUE"""),3.582205133008191)</f>
        <v>3.582205133</v>
      </c>
      <c r="AZ189" s="30">
        <f>IFERROR(__xludf.DUMMYFUNCTION("""COMPUTED_VALUE"""),3.4624635672675987)</f>
        <v>3.462463567</v>
      </c>
      <c r="BA189" s="30">
        <f>IFERROR(__xludf.DUMMYFUNCTION("""COMPUTED_VALUE"""),800.0)</f>
        <v>800</v>
      </c>
    </row>
    <row r="190">
      <c r="A190" s="30" t="str">
        <f>IFERROR(__xludf.DUMMYFUNCTION("""COMPUTED_VALUE"""),"Elite")</f>
        <v>Elite</v>
      </c>
      <c r="B190" s="30" t="str">
        <f>IFERROR(__xludf.DUMMYFUNCTION("""COMPUTED_VALUE"""),"RSC006056")</f>
        <v>RSC006056</v>
      </c>
      <c r="C190" s="30" t="str">
        <f>IFERROR(__xludf.DUMMYFUNCTION("""COMPUTED_VALUE"""),"redsteel43br")</f>
        <v>redsteel43br</v>
      </c>
      <c r="D190" s="30" t="str">
        <f>IFERROR(__xludf.DUMMYFUNCTION("""COMPUTED_VALUE"""),"Great Whites")</f>
        <v>Great Whites</v>
      </c>
      <c r="E190" s="30">
        <f>IFERROR(__xludf.DUMMYFUNCTION("""COMPUTED_VALUE"""),8.0)</f>
        <v>8</v>
      </c>
      <c r="F190" s="30">
        <f>IFERROR(__xludf.DUMMYFUNCTION("""COMPUTED_VALUE"""),4.0)</f>
        <v>4</v>
      </c>
      <c r="G190" s="30">
        <f>IFERROR(__xludf.DUMMYFUNCTION("""COMPUTED_VALUE"""),4.0)</f>
        <v>4</v>
      </c>
      <c r="H190" s="42">
        <f>IFERROR(__xludf.DUMMYFUNCTION("""COMPUTED_VALUE"""),0.5)</f>
        <v>0.5</v>
      </c>
      <c r="I190" s="42">
        <f>IFERROR(__xludf.DUMMYFUNCTION("""COMPUTED_VALUE"""),0.16666666666666666)</f>
        <v>0.1666666667</v>
      </c>
      <c r="J190" s="30">
        <f>IFERROR(__xludf.DUMMYFUNCTION("""COMPUTED_VALUE"""),300.375)</f>
        <v>300.375</v>
      </c>
      <c r="K190" s="30">
        <f>IFERROR(__xludf.DUMMYFUNCTION("""COMPUTED_VALUE"""),0.5)</f>
        <v>0.5</v>
      </c>
      <c r="L190" s="30">
        <f>IFERROR(__xludf.DUMMYFUNCTION("""COMPUTED_VALUE"""),0.75)</f>
        <v>0.75</v>
      </c>
      <c r="M190" s="30">
        <f>IFERROR(__xludf.DUMMYFUNCTION("""COMPUTED_VALUE"""),0.75)</f>
        <v>0.75</v>
      </c>
      <c r="N190" s="30">
        <f>IFERROR(__xludf.DUMMYFUNCTION("""COMPUTED_VALUE"""),3.0)</f>
        <v>3</v>
      </c>
      <c r="O190" s="30">
        <f>IFERROR(__xludf.DUMMYFUNCTION("""COMPUTED_VALUE"""),384.75)</f>
        <v>384.75</v>
      </c>
      <c r="P190" s="30">
        <f>IFERROR(__xludf.DUMMYFUNCTION("""COMPUTED_VALUE"""),0.6666666666666666)</f>
        <v>0.6666666667</v>
      </c>
      <c r="Q190" s="30">
        <f>IFERROR(__xludf.DUMMYFUNCTION("""COMPUTED_VALUE"""),0.5416666666666666)</f>
        <v>0.5416666667</v>
      </c>
      <c r="R190" s="30">
        <f>IFERROR(__xludf.DUMMYFUNCTION("""COMPUTED_VALUE"""),2.0)</f>
        <v>2</v>
      </c>
      <c r="S190" s="30">
        <f>IFERROR(__xludf.DUMMYFUNCTION("""COMPUTED_VALUE"""),2.4166666666666665)</f>
        <v>2.416666667</v>
      </c>
      <c r="T190" s="30">
        <f>IFERROR(__xludf.DUMMYFUNCTION("""COMPUTED_VALUE"""),382.62902086339585)</f>
        <v>382.6290209</v>
      </c>
      <c r="U190" s="30">
        <f>IFERROR(__xludf.DUMMYFUNCTION("""COMPUTED_VALUE"""),0.7660007816257817)</f>
        <v>0.7660007816</v>
      </c>
      <c r="V190" s="30">
        <f>IFERROR(__xludf.DUMMYFUNCTION("""COMPUTED_VALUE"""),0.40157527657527664)</f>
        <v>0.4015752766</v>
      </c>
      <c r="W190" s="30">
        <f>IFERROR(__xludf.DUMMYFUNCTION("""COMPUTED_VALUE"""),1.8995310245310248)</f>
        <v>1.899531025</v>
      </c>
      <c r="X190" s="30">
        <f>IFERROR(__xludf.DUMMYFUNCTION("""COMPUTED_VALUE"""),2.5002780784030785)</f>
        <v>2.500278078</v>
      </c>
      <c r="Y190" s="30">
        <f>IFERROR(__xludf.DUMMYFUNCTION("""COMPUTED_VALUE"""),386.71045274170274)</f>
        <v>386.7104527</v>
      </c>
      <c r="Z190" s="30">
        <f>IFERROR(__xludf.DUMMYFUNCTION("""COMPUTED_VALUE"""),0.8889014149430816)</f>
        <v>0.8889014149</v>
      </c>
      <c r="AA190" s="30">
        <f>IFERROR(__xludf.DUMMYFUNCTION("""COMPUTED_VALUE"""),0.6727167508417508)</f>
        <v>0.6727167508</v>
      </c>
      <c r="AB190" s="30">
        <f>IFERROR(__xludf.DUMMYFUNCTION("""COMPUTED_VALUE"""),1.3751853856020526)</f>
        <v>1.375185386</v>
      </c>
      <c r="AC190" s="30">
        <f>IFERROR(__xludf.DUMMYFUNCTION("""COMPUTED_VALUE"""),3.2264059243225915)</f>
        <v>3.226405924</v>
      </c>
      <c r="AD190" s="30">
        <f>IFERROR(__xludf.DUMMYFUNCTION("""COMPUTED_VALUE"""),0.7767439381852728)</f>
        <v>0.7767439382</v>
      </c>
      <c r="AE190" s="30">
        <f>IFERROR(__xludf.DUMMYFUNCTION("""COMPUTED_VALUE"""),0.5624920734680303)</f>
        <v>0.5624920735</v>
      </c>
      <c r="AF190" s="30">
        <f>IFERROR(__xludf.DUMMYFUNCTION("""COMPUTED_VALUE"""),1.1148823023383125)</f>
        <v>1.114882302</v>
      </c>
      <c r="AG190" s="30">
        <f>IFERROR(__xludf.DUMMYFUNCTION("""COMPUTED_VALUE"""),0.5453810139726375)</f>
        <v>0.545381014</v>
      </c>
      <c r="AH190" s="30">
        <f>IFERROR(__xludf.DUMMYFUNCTION("""COMPUTED_VALUE"""),0.9298272041295835)</f>
        <v>0.9298272041</v>
      </c>
      <c r="AI190" s="30">
        <f>IFERROR(__xludf.DUMMYFUNCTION("""COMPUTED_VALUE"""),1.0055431737295257)</f>
        <v>1.005543174</v>
      </c>
      <c r="AJ190" s="30">
        <f>IFERROR(__xludf.DUMMYFUNCTION("""COMPUTED_VALUE"""),0.8703211310721047)</f>
        <v>0.8703211311</v>
      </c>
      <c r="AK190" s="30">
        <f>IFERROR(__xludf.DUMMYFUNCTION("""COMPUTED_VALUE"""),1.348854618954933)</f>
        <v>1.348854619</v>
      </c>
      <c r="AL190" s="30">
        <f>IFERROR(__xludf.DUMMYFUNCTION("""COMPUTED_VALUE"""),1.0528914632988318)</f>
        <v>1.052891463</v>
      </c>
      <c r="AM190" s="30">
        <f>IFERROR(__xludf.DUMMYFUNCTION("""COMPUTED_VALUE"""),0.966559154976148)</f>
        <v>0.966559155</v>
      </c>
      <c r="AN190" s="30">
        <f>IFERROR(__xludf.DUMMYFUNCTION("""COMPUTED_VALUE"""),0.8516231785633485)</f>
        <v>0.8516231786</v>
      </c>
      <c r="AO190" s="30">
        <f>IFERROR(__xludf.DUMMYFUNCTION("""COMPUTED_VALUE"""),0.7010786962573057)</f>
        <v>0.7010786963</v>
      </c>
      <c r="AP190" s="30">
        <f>IFERROR(__xludf.DUMMYFUNCTION("""COMPUTED_VALUE"""),1.304174451575839)</f>
        <v>1.304174452</v>
      </c>
      <c r="AQ190" s="30">
        <f>IFERROR(__xludf.DUMMYFUNCTION("""COMPUTED_VALUE"""),0.5257557494359296)</f>
        <v>0.5257557494</v>
      </c>
      <c r="AR190" s="30">
        <f>IFERROR(__xludf.DUMMYFUNCTION("""COMPUTED_VALUE"""),1.1908965886013314)</f>
        <v>1.190896589</v>
      </c>
      <c r="AS190" s="30">
        <f>IFERROR(__xludf.DUMMYFUNCTION("""COMPUTED_VALUE"""),20.0)</f>
        <v>20</v>
      </c>
      <c r="AT190" s="30">
        <f>IFERROR(__xludf.DUMMYFUNCTION("""COMPUTED_VALUE"""),0.585065350241743)</f>
        <v>0.5850653502</v>
      </c>
      <c r="AU190" s="30">
        <f>IFERROR(__xludf.DUMMYFUNCTION("""COMPUTED_VALUE"""),2.010536828158856)</f>
        <v>2.010536828</v>
      </c>
      <c r="AV190" s="32">
        <f>IFERROR(__xludf.DUMMYFUNCTION("""COMPUTED_VALUE"""),41.172195359602895)</f>
        <v>41.17219536</v>
      </c>
      <c r="AW190" s="32">
        <f>IFERROR(__xludf.DUMMYFUNCTION("""COMPUTED_VALUE"""),-2.762414388408551)</f>
        <v>-2.762414388</v>
      </c>
      <c r="AX190" s="32">
        <f>IFERROR(__xludf.DUMMYFUNCTION("""COMPUTED_VALUE"""),25.53222979959317)</f>
        <v>25.5322298</v>
      </c>
      <c r="AY190" s="32">
        <f>IFERROR(__xludf.DUMMYFUNCTION("""COMPUTED_VALUE"""),-6.102716835851466)</f>
        <v>-6.102716836</v>
      </c>
      <c r="AZ190" s="30">
        <f>IFERROR(__xludf.DUMMYFUNCTION("""COMPUTED_VALUE"""),3.3403024474429155)</f>
        <v>3.340302447</v>
      </c>
      <c r="BA190" s="30">
        <f>IFERROR(__xludf.DUMMYFUNCTION("""COMPUTED_VALUE"""),800.0)</f>
        <v>800</v>
      </c>
    </row>
    <row r="191">
      <c r="A191" s="30" t="str">
        <f>IFERROR(__xludf.DUMMYFUNCTION("""COMPUTED_VALUE"""),"Elite")</f>
        <v>Elite</v>
      </c>
      <c r="B191" s="30" t="str">
        <f>IFERROR(__xludf.DUMMYFUNCTION("""COMPUTED_VALUE"""),"RSC003277")</f>
        <v>RSC003277</v>
      </c>
      <c r="C191" s="30" t="str">
        <f>IFERROR(__xludf.DUMMYFUNCTION("""COMPUTED_VALUE"""),"Miikey.RL")</f>
        <v>Miikey.RL</v>
      </c>
      <c r="D191" s="30" t="str">
        <f>IFERROR(__xludf.DUMMYFUNCTION("""COMPUTED_VALUE"""),"Orochi")</f>
        <v>Orochi</v>
      </c>
      <c r="E191" s="30">
        <f>IFERROR(__xludf.DUMMYFUNCTION("""COMPUTED_VALUE"""),23.0)</f>
        <v>23</v>
      </c>
      <c r="F191" s="30">
        <f>IFERROR(__xludf.DUMMYFUNCTION("""COMPUTED_VALUE"""),10.0)</f>
        <v>10</v>
      </c>
      <c r="G191" s="30">
        <f>IFERROR(__xludf.DUMMYFUNCTION("""COMPUTED_VALUE"""),13.0)</f>
        <v>13</v>
      </c>
      <c r="H191" s="42">
        <f>IFERROR(__xludf.DUMMYFUNCTION("""COMPUTED_VALUE"""),0.43478260869565216)</f>
        <v>0.4347826087</v>
      </c>
      <c r="I191" s="42">
        <f>IFERROR(__xludf.DUMMYFUNCTION("""COMPUTED_VALUE"""),0.2040816326530612)</f>
        <v>0.2040816327</v>
      </c>
      <c r="J191" s="30">
        <f>IFERROR(__xludf.DUMMYFUNCTION("""COMPUTED_VALUE"""),291.4782608695652)</f>
        <v>291.4782609</v>
      </c>
      <c r="K191" s="30">
        <f>IFERROR(__xludf.DUMMYFUNCTION("""COMPUTED_VALUE"""),0.43478260869565216)</f>
        <v>0.4347826087</v>
      </c>
      <c r="L191" s="30">
        <f>IFERROR(__xludf.DUMMYFUNCTION("""COMPUTED_VALUE"""),0.391304347826087)</f>
        <v>0.3913043478</v>
      </c>
      <c r="M191" s="30">
        <f>IFERROR(__xludf.DUMMYFUNCTION("""COMPUTED_VALUE"""),1.3043478260869565)</f>
        <v>1.304347826</v>
      </c>
      <c r="N191" s="30">
        <f>IFERROR(__xludf.DUMMYFUNCTION("""COMPUTED_VALUE"""),2.130434782608696)</f>
        <v>2.130434783</v>
      </c>
      <c r="O191" s="30">
        <f>IFERROR(__xludf.DUMMYFUNCTION("""COMPUTED_VALUE"""),355.04347826086956)</f>
        <v>355.0434783</v>
      </c>
      <c r="P191" s="30">
        <f>IFERROR(__xludf.DUMMYFUNCTION("""COMPUTED_VALUE"""),0.710144927536232)</f>
        <v>0.7101449275</v>
      </c>
      <c r="Q191" s="30">
        <f>IFERROR(__xludf.DUMMYFUNCTION("""COMPUTED_VALUE"""),0.5507246376811594)</f>
        <v>0.5507246377</v>
      </c>
      <c r="R191" s="30">
        <f>IFERROR(__xludf.DUMMYFUNCTION("""COMPUTED_VALUE"""),1.420289855072464)</f>
        <v>1.420289855</v>
      </c>
      <c r="S191" s="30">
        <f>IFERROR(__xludf.DUMMYFUNCTION("""COMPUTED_VALUE"""),2.7536231884057965)</f>
        <v>2.753623188</v>
      </c>
      <c r="T191" s="30">
        <f>IFERROR(__xludf.DUMMYFUNCTION("""COMPUTED_VALUE"""),371.23410262313433)</f>
        <v>371.2341026</v>
      </c>
      <c r="U191" s="30">
        <f>IFERROR(__xludf.DUMMYFUNCTION("""COMPUTED_VALUE"""),0.8009518642974215)</f>
        <v>0.8009518643</v>
      </c>
      <c r="V191" s="30">
        <f>IFERROR(__xludf.DUMMYFUNCTION("""COMPUTED_VALUE"""),0.6050096496021871)</f>
        <v>0.6050096496</v>
      </c>
      <c r="W191" s="30">
        <f>IFERROR(__xludf.DUMMYFUNCTION("""COMPUTED_VALUE"""),1.421571091661574)</f>
        <v>1.421571092</v>
      </c>
      <c r="X191" s="30">
        <f>IFERROR(__xludf.DUMMYFUNCTION("""COMPUTED_VALUE"""),2.79892286621172)</f>
        <v>2.798922866</v>
      </c>
      <c r="Y191" s="30">
        <f>IFERROR(__xludf.DUMMYFUNCTION("""COMPUTED_VALUE"""),354.2212645698068)</f>
        <v>354.2212646</v>
      </c>
      <c r="Z191" s="30">
        <f>IFERROR(__xludf.DUMMYFUNCTION("""COMPUTED_VALUE"""),0.7075251027749365)</f>
        <v>0.7075251028</v>
      </c>
      <c r="AA191" s="30">
        <f>IFERROR(__xludf.DUMMYFUNCTION("""COMPUTED_VALUE"""),0.5264679209350654)</f>
        <v>0.5264679209</v>
      </c>
      <c r="AB191" s="30">
        <f>IFERROR(__xludf.DUMMYFUNCTION("""COMPUTED_VALUE"""),1.508243382757261)</f>
        <v>1.508243383</v>
      </c>
      <c r="AC191" s="30">
        <f>IFERROR(__xludf.DUMMYFUNCTION("""COMPUTED_VALUE"""),2.549050723542139)</f>
        <v>2.549050724</v>
      </c>
      <c r="AD191" s="30">
        <f>IFERROR(__xludf.DUMMYFUNCTION("""COMPUTED_VALUE"""),0.8228705897246416)</f>
        <v>0.8228705897</v>
      </c>
      <c r="AE191" s="30">
        <f>IFERROR(__xludf.DUMMYFUNCTION("""COMPUTED_VALUE"""),0.6145119190689073)</f>
        <v>0.6145119191</v>
      </c>
      <c r="AF191" s="30">
        <f>IFERROR(__xludf.DUMMYFUNCTION("""COMPUTED_VALUE"""),0.7432634207438262)</f>
        <v>0.7432634207</v>
      </c>
      <c r="AG191" s="30">
        <f>IFERROR(__xludf.DUMMYFUNCTION("""COMPUTED_VALUE"""),0.8648125634089922)</f>
        <v>0.8648125634</v>
      </c>
      <c r="AH191" s="30">
        <f>IFERROR(__xludf.DUMMYFUNCTION("""COMPUTED_VALUE"""),0.8357757509227836)</f>
        <v>0.8357757509</v>
      </c>
      <c r="AI191" s="30">
        <f>IFERROR(__xludf.DUMMYFUNCTION("""COMPUTED_VALUE"""),0.9563870230459377)</f>
        <v>0.956387023</v>
      </c>
      <c r="AJ191" s="30">
        <f>IFERROR(__xludf.DUMMYFUNCTION("""COMPUTED_VALUE"""),0.8866262246098354)</f>
        <v>0.8866262246</v>
      </c>
      <c r="AK191" s="30">
        <f>IFERROR(__xludf.DUMMYFUNCTION("""COMPUTED_VALUE"""),0.9102741386741158)</f>
        <v>0.9102741387</v>
      </c>
      <c r="AL191" s="30">
        <f>IFERROR(__xludf.DUMMYFUNCTION("""COMPUTED_VALUE"""),0.9990987178927418)</f>
        <v>0.9990987179</v>
      </c>
      <c r="AM191" s="30">
        <f>IFERROR(__xludf.DUMMYFUNCTION("""COMPUTED_VALUE"""),0.9838153175449114)</f>
        <v>0.9838153175</v>
      </c>
      <c r="AN191" s="30">
        <f>IFERROR(__xludf.DUMMYFUNCTION("""COMPUTED_VALUE"""),0.826399144415667)</f>
        <v>0.8263991444</v>
      </c>
      <c r="AO191" s="30">
        <f>IFERROR(__xludf.DUMMYFUNCTION("""COMPUTED_VALUE"""),0.6096336489193962)</f>
        <v>0.6096336489</v>
      </c>
      <c r="AP191" s="30">
        <f>IFERROR(__xludf.DUMMYFUNCTION("""COMPUTED_VALUE"""),0.6804388443004379)</f>
        <v>0.6804388443</v>
      </c>
      <c r="AQ191" s="30">
        <f>IFERROR(__xludf.DUMMYFUNCTION("""COMPUTED_VALUE"""),0.9143578251059645)</f>
        <v>0.9143578251</v>
      </c>
      <c r="AR191" s="30">
        <f>IFERROR(__xludf.DUMMYFUNCTION("""COMPUTED_VALUE"""),0.8457091716154383)</f>
        <v>0.8457091716</v>
      </c>
      <c r="AS191" s="30">
        <f>IFERROR(__xludf.DUMMYFUNCTION("""COMPUTED_VALUE"""),48.0)</f>
        <v>48</v>
      </c>
      <c r="AT191" s="30">
        <f>IFERROR(__xludf.DUMMYFUNCTION("""COMPUTED_VALUE"""),0.49220948609017595)</f>
        <v>0.4922094861</v>
      </c>
      <c r="AU191" s="30">
        <f>IFERROR(__xludf.DUMMYFUNCTION("""COMPUTED_VALUE"""),1.576486278470812)</f>
        <v>1.576486278</v>
      </c>
      <c r="AV191" s="32">
        <f>IFERROR(__xludf.DUMMYFUNCTION("""COMPUTED_VALUE"""),28.97560968341558)</f>
        <v>28.97560968</v>
      </c>
      <c r="AW191" s="32">
        <f>IFERROR(__xludf.DUMMYFUNCTION("""COMPUTED_VALUE"""),-4.995484122997773)</f>
        <v>-4.995484123</v>
      </c>
      <c r="AX191" s="32">
        <f>IFERROR(__xludf.DUMMYFUNCTION("""COMPUTED_VALUE"""),21.31106208152662)</f>
        <v>21.31106208</v>
      </c>
      <c r="AY191" s="32">
        <f>IFERROR(__xludf.DUMMYFUNCTION("""COMPUTED_VALUE"""),-7.963328039281297)</f>
        <v>-7.963328039</v>
      </c>
      <c r="AZ191" s="30">
        <f>IFERROR(__xludf.DUMMYFUNCTION("""COMPUTED_VALUE"""),2.967843916283524)</f>
        <v>2.967843916</v>
      </c>
      <c r="BA191" s="30">
        <f>IFERROR(__xludf.DUMMYFUNCTION("""COMPUTED_VALUE"""),800.0)</f>
        <v>800</v>
      </c>
    </row>
    <row r="192">
      <c r="A192" s="30" t="str">
        <f>IFERROR(__xludf.DUMMYFUNCTION("""COMPUTED_VALUE"""),"Elite")</f>
        <v>Elite</v>
      </c>
      <c r="B192" s="30" t="str">
        <f>IFERROR(__xludf.DUMMYFUNCTION("""COMPUTED_VALUE"""),"RSC004990")</f>
        <v>RSC004990</v>
      </c>
      <c r="C192" s="30" t="str">
        <f>IFERROR(__xludf.DUMMYFUNCTION("""COMPUTED_VALUE"""),"Legend")</f>
        <v>Legend</v>
      </c>
      <c r="D192" s="30" t="str">
        <f>IFERROR(__xludf.DUMMYFUNCTION("""COMPUTED_VALUE"""),"Majesties")</f>
        <v>Majesties</v>
      </c>
      <c r="E192" s="30">
        <f>IFERROR(__xludf.DUMMYFUNCTION("""COMPUTED_VALUE"""),18.0)</f>
        <v>18</v>
      </c>
      <c r="F192" s="30">
        <f>IFERROR(__xludf.DUMMYFUNCTION("""COMPUTED_VALUE"""),5.0)</f>
        <v>5</v>
      </c>
      <c r="G192" s="30">
        <f>IFERROR(__xludf.DUMMYFUNCTION("""COMPUTED_VALUE"""),13.0)</f>
        <v>13</v>
      </c>
      <c r="H192" s="42">
        <f>IFERROR(__xludf.DUMMYFUNCTION("""COMPUTED_VALUE"""),0.2777777777777778)</f>
        <v>0.2777777778</v>
      </c>
      <c r="I192" s="42">
        <f>IFERROR(__xludf.DUMMYFUNCTION("""COMPUTED_VALUE"""),0.3)</f>
        <v>0.3</v>
      </c>
      <c r="J192" s="30">
        <f>IFERROR(__xludf.DUMMYFUNCTION("""COMPUTED_VALUE"""),346.22222222222223)</f>
        <v>346.2222222</v>
      </c>
      <c r="K192" s="30">
        <f>IFERROR(__xludf.DUMMYFUNCTION("""COMPUTED_VALUE"""),0.5)</f>
        <v>0.5</v>
      </c>
      <c r="L192" s="30">
        <f>IFERROR(__xludf.DUMMYFUNCTION("""COMPUTED_VALUE"""),0.5)</f>
        <v>0.5</v>
      </c>
      <c r="M192" s="30">
        <f>IFERROR(__xludf.DUMMYFUNCTION("""COMPUTED_VALUE"""),1.5555555555555556)</f>
        <v>1.555555556</v>
      </c>
      <c r="N192" s="30">
        <f>IFERROR(__xludf.DUMMYFUNCTION("""COMPUTED_VALUE"""),1.6666666666666667)</f>
        <v>1.666666667</v>
      </c>
      <c r="O192" s="30">
        <f>IFERROR(__xludf.DUMMYFUNCTION("""COMPUTED_VALUE"""),387.9074074074074)</f>
        <v>387.9074074</v>
      </c>
      <c r="P192" s="30">
        <f>IFERROR(__xludf.DUMMYFUNCTION("""COMPUTED_VALUE"""),1.0925925925925926)</f>
        <v>1.092592593</v>
      </c>
      <c r="Q192" s="30">
        <f>IFERROR(__xludf.DUMMYFUNCTION("""COMPUTED_VALUE"""),0.7407407407407407)</f>
        <v>0.7407407407</v>
      </c>
      <c r="R192" s="30">
        <f>IFERROR(__xludf.DUMMYFUNCTION("""COMPUTED_VALUE"""),1.1851851851851853)</f>
        <v>1.185185185</v>
      </c>
      <c r="S192" s="30">
        <f>IFERROR(__xludf.DUMMYFUNCTION("""COMPUTED_VALUE"""),3.0740740740740744)</f>
        <v>3.074074074</v>
      </c>
      <c r="T192" s="30">
        <f>IFERROR(__xludf.DUMMYFUNCTION("""COMPUTED_VALUE"""),370.45723377543084)</f>
        <v>370.4572338</v>
      </c>
      <c r="U192" s="30">
        <f>IFERROR(__xludf.DUMMYFUNCTION("""COMPUTED_VALUE"""),0.8513608079990254)</f>
        <v>0.851360808</v>
      </c>
      <c r="V192" s="30">
        <f>IFERROR(__xludf.DUMMYFUNCTION("""COMPUTED_VALUE"""),0.6432962342547793)</f>
        <v>0.6432962343</v>
      </c>
      <c r="W192" s="30">
        <f>IFERROR(__xludf.DUMMYFUNCTION("""COMPUTED_VALUE"""),1.3563345465965935)</f>
        <v>1.356334547</v>
      </c>
      <c r="X192" s="30">
        <f>IFERROR(__xludf.DUMMYFUNCTION("""COMPUTED_VALUE"""),2.8317106778701593)</f>
        <v>2.831710678</v>
      </c>
      <c r="Y192" s="30">
        <f>IFERROR(__xludf.DUMMYFUNCTION("""COMPUTED_VALUE"""),356.48422124855017)</f>
        <v>356.4842212</v>
      </c>
      <c r="Z192" s="30">
        <f>IFERROR(__xludf.DUMMYFUNCTION("""COMPUTED_VALUE"""),0.7331614777397736)</f>
        <v>0.7331614777</v>
      </c>
      <c r="AA192" s="30">
        <f>IFERROR(__xludf.DUMMYFUNCTION("""COMPUTED_VALUE"""),0.5466128926964209)</f>
        <v>0.5466128927</v>
      </c>
      <c r="AB192" s="30">
        <f>IFERROR(__xludf.DUMMYFUNCTION("""COMPUTED_VALUE"""),1.4747007837364288)</f>
        <v>1.474700784</v>
      </c>
      <c r="AC192" s="30">
        <f>IFERROR(__xludf.DUMMYFUNCTION("""COMPUTED_VALUE"""),2.5273660102541164)</f>
        <v>2.52736601</v>
      </c>
      <c r="AD192" s="30">
        <f>IFERROR(__xludf.DUMMYFUNCTION("""COMPUTED_VALUE"""),0.9712133148828122)</f>
        <v>0.9712133149</v>
      </c>
      <c r="AE192" s="30">
        <f>IFERROR(__xludf.DUMMYFUNCTION("""COMPUTED_VALUE"""),0.6819780023650789)</f>
        <v>0.6819780024</v>
      </c>
      <c r="AF192" s="30">
        <f>IFERROR(__xludf.DUMMYFUNCTION("""COMPUTED_VALUE"""),0.9147241250266139)</f>
        <v>0.914724125</v>
      </c>
      <c r="AG192" s="30">
        <f>IFERROR(__xludf.DUMMYFUNCTION("""COMPUTED_VALUE"""),1.0548279167617083)</f>
        <v>1.054827917</v>
      </c>
      <c r="AH192" s="30">
        <f>IFERROR(__xludf.DUMMYFUNCTION("""COMPUTED_VALUE"""),0.6594480814827015)</f>
        <v>0.6594480815</v>
      </c>
      <c r="AI192" s="30">
        <f>IFERROR(__xludf.DUMMYFUNCTION("""COMPUTED_VALUE"""),1.0471044213501706)</f>
        <v>1.047104421</v>
      </c>
      <c r="AJ192" s="30">
        <f>IFERROR(__xludf.DUMMYFUNCTION("""COMPUTED_VALUE"""),1.283348472618255)</f>
        <v>1.283348473</v>
      </c>
      <c r="AK192" s="30">
        <f>IFERROR(__xludf.DUMMYFUNCTION("""COMPUTED_VALUE"""),1.1514768800082362)</f>
        <v>1.15147688</v>
      </c>
      <c r="AL192" s="30">
        <f>IFERROR(__xludf.DUMMYFUNCTION("""COMPUTED_VALUE"""),0.8738147886589871)</f>
        <v>0.8738147887</v>
      </c>
      <c r="AM192" s="30">
        <f>IFERROR(__xludf.DUMMYFUNCTION("""COMPUTED_VALUE"""),1.0855890391973964)</f>
        <v>1.085589039</v>
      </c>
      <c r="AN192" s="30">
        <f>IFERROR(__xludf.DUMMYFUNCTION("""COMPUTED_VALUE"""),0.9816092197358464)</f>
        <v>0.9816092197</v>
      </c>
      <c r="AO192" s="30">
        <f>IFERROR(__xludf.DUMMYFUNCTION("""COMPUTED_VALUE"""),0.7010786962573057)</f>
        <v>0.7010786963</v>
      </c>
      <c r="AP192" s="30">
        <f>IFERROR(__xludf.DUMMYFUNCTION("""COMPUTED_VALUE"""),0.8694496343838928)</f>
        <v>0.8694496344</v>
      </c>
      <c r="AQ192" s="30">
        <f>IFERROR(__xludf.DUMMYFUNCTION("""COMPUTED_VALUE"""),1.0904563692004465)</f>
        <v>1.090456369</v>
      </c>
      <c r="AR192" s="30">
        <f>IFERROR(__xludf.DUMMYFUNCTION("""COMPUTED_VALUE"""),0.6616092158896286)</f>
        <v>0.6616092159</v>
      </c>
      <c r="AS192" s="30">
        <f>IFERROR(__xludf.DUMMYFUNCTION("""COMPUTED_VALUE"""),31.0)</f>
        <v>31</v>
      </c>
      <c r="AT192" s="30">
        <f>IFERROR(__xludf.DUMMYFUNCTION("""COMPUTED_VALUE"""),0.26475891029255466)</f>
        <v>0.2647589103</v>
      </c>
      <c r="AU192" s="30">
        <f>IFERROR(__xludf.DUMMYFUNCTION("""COMPUTED_VALUE"""),1.4467420905154307)</f>
        <v>1.446742091</v>
      </c>
      <c r="AV192" s="32">
        <f>IFERROR(__xludf.DUMMYFUNCTION("""COMPUTED_VALUE"""),25.329868178140515)</f>
        <v>25.32986818</v>
      </c>
      <c r="AW192" s="32">
        <f>IFERROR(__xludf.DUMMYFUNCTION("""COMPUTED_VALUE"""),-6.177833077161512)</f>
        <v>-6.177833077</v>
      </c>
      <c r="AX192" s="32">
        <f>IFERROR(__xludf.DUMMYFUNCTION("""COMPUTED_VALUE"""),37.152807848194826)</f>
        <v>37.15280785</v>
      </c>
      <c r="AY192" s="32">
        <f>IFERROR(__xludf.DUMMYFUNCTION("""COMPUTED_VALUE"""),-3.2930997918718674)</f>
        <v>-3.293099792</v>
      </c>
      <c r="AZ192" s="30">
        <f>IFERROR(__xludf.DUMMYFUNCTION("""COMPUTED_VALUE"""),2.884733285289645)</f>
        <v>2.884733285</v>
      </c>
      <c r="BA192" s="30">
        <f>IFERROR(__xludf.DUMMYFUNCTION("""COMPUTED_VALUE"""),800.0)</f>
        <v>800</v>
      </c>
    </row>
    <row r="193">
      <c r="A193" s="30" t="str">
        <f>IFERROR(__xludf.DUMMYFUNCTION("""COMPUTED_VALUE"""),"Elite")</f>
        <v>Elite</v>
      </c>
      <c r="B193" s="30" t="str">
        <f>IFERROR(__xludf.DUMMYFUNCTION("""COMPUTED_VALUE"""),"RSC004239")</f>
        <v>RSC004239</v>
      </c>
      <c r="C193" s="30" t="str">
        <f>IFERROR(__xludf.DUMMYFUNCTION("""COMPUTED_VALUE"""),"Nitro")</f>
        <v>Nitro</v>
      </c>
      <c r="D193" s="30" t="str">
        <f>IFERROR(__xludf.DUMMYFUNCTION("""COMPUTED_VALUE"""),"Slots")</f>
        <v>Slots</v>
      </c>
      <c r="E193" s="30">
        <f>IFERROR(__xludf.DUMMYFUNCTION("""COMPUTED_VALUE"""),4.0)</f>
        <v>4</v>
      </c>
      <c r="F193" s="30">
        <f>IFERROR(__xludf.DUMMYFUNCTION("""COMPUTED_VALUE"""),0.0)</f>
        <v>0</v>
      </c>
      <c r="G193" s="30">
        <f>IFERROR(__xludf.DUMMYFUNCTION("""COMPUTED_VALUE"""),4.0)</f>
        <v>4</v>
      </c>
      <c r="H193" s="42">
        <f>IFERROR(__xludf.DUMMYFUNCTION("""COMPUTED_VALUE"""),0.0)</f>
        <v>0</v>
      </c>
      <c r="I193" s="42">
        <f>IFERROR(__xludf.DUMMYFUNCTION("""COMPUTED_VALUE"""),0.1)</f>
        <v>0.1</v>
      </c>
      <c r="J193" s="30">
        <f>IFERROR(__xludf.DUMMYFUNCTION("""COMPUTED_VALUE"""),390.25)</f>
        <v>390.25</v>
      </c>
      <c r="K193" s="30">
        <f>IFERROR(__xludf.DUMMYFUNCTION("""COMPUTED_VALUE"""),0.25)</f>
        <v>0.25</v>
      </c>
      <c r="L193" s="30">
        <f>IFERROR(__xludf.DUMMYFUNCTION("""COMPUTED_VALUE"""),0.75)</f>
        <v>0.75</v>
      </c>
      <c r="M193" s="30">
        <f>IFERROR(__xludf.DUMMYFUNCTION("""COMPUTED_VALUE"""),2.5)</f>
        <v>2.5</v>
      </c>
      <c r="N193" s="30">
        <f>IFERROR(__xludf.DUMMYFUNCTION("""COMPUTED_VALUE"""),2.5)</f>
        <v>2.5</v>
      </c>
      <c r="O193" s="30">
        <f>IFERROR(__xludf.DUMMYFUNCTION("""COMPUTED_VALUE"""),443.5)</f>
        <v>443.5</v>
      </c>
      <c r="P193" s="30">
        <f>IFERROR(__xludf.DUMMYFUNCTION("""COMPUTED_VALUE"""),1.3333333333333333)</f>
        <v>1.333333333</v>
      </c>
      <c r="Q193" s="30">
        <f>IFERROR(__xludf.DUMMYFUNCTION("""COMPUTED_VALUE"""),0.9166666666666666)</f>
        <v>0.9166666667</v>
      </c>
      <c r="R193" s="30">
        <f>IFERROR(__xludf.DUMMYFUNCTION("""COMPUTED_VALUE"""),1.0833333333333335)</f>
        <v>1.083333333</v>
      </c>
      <c r="S193" s="30">
        <f>IFERROR(__xludf.DUMMYFUNCTION("""COMPUTED_VALUE"""),4.166666666666667)</f>
        <v>4.166666667</v>
      </c>
      <c r="T193" s="30">
        <f>IFERROR(__xludf.DUMMYFUNCTION("""COMPUTED_VALUE"""),378.76712749615973)</f>
        <v>378.7671275</v>
      </c>
      <c r="U193" s="30">
        <f>IFERROR(__xludf.DUMMYFUNCTION("""COMPUTED_VALUE"""),0.8688172043010752)</f>
        <v>0.8688172043</v>
      </c>
      <c r="V193" s="30">
        <f>IFERROR(__xludf.DUMMYFUNCTION("""COMPUTED_VALUE"""),0.6018433179723502)</f>
        <v>0.601843318</v>
      </c>
      <c r="W193" s="30">
        <f>IFERROR(__xludf.DUMMYFUNCTION("""COMPUTED_VALUE"""),1.4202764976958526)</f>
        <v>1.420276498</v>
      </c>
      <c r="X193" s="30">
        <f>IFERROR(__xludf.DUMMYFUNCTION("""COMPUTED_VALUE"""),2.97357910906298)</f>
        <v>2.973579109</v>
      </c>
      <c r="Y193" s="30">
        <f>IFERROR(__xludf.DUMMYFUNCTION("""COMPUTED_VALUE"""),351.02478238607273)</f>
        <v>351.0247824</v>
      </c>
      <c r="Z193" s="30">
        <f>IFERROR(__xludf.DUMMYFUNCTION("""COMPUTED_VALUE"""),0.5983614951356886)</f>
        <v>0.5983614951</v>
      </c>
      <c r="AA193" s="30">
        <f>IFERROR(__xludf.DUMMYFUNCTION("""COMPUTED_VALUE"""),0.46646185355862774)</f>
        <v>0.4664618536</v>
      </c>
      <c r="AB193" s="30">
        <f>IFERROR(__xludf.DUMMYFUNCTION("""COMPUTED_VALUE"""),1.6535586277521765)</f>
        <v>1.653558628</v>
      </c>
      <c r="AC193" s="30">
        <f>IFERROR(__xludf.DUMMYFUNCTION("""COMPUTED_VALUE"""),2.49615975422427)</f>
        <v>2.496159754</v>
      </c>
      <c r="AD193" s="30">
        <f>IFERROR(__xludf.DUMMYFUNCTION("""COMPUTED_VALUE"""),1.11174486697861)</f>
        <v>1.111744867</v>
      </c>
      <c r="AE193" s="30">
        <f>IFERROR(__xludf.DUMMYFUNCTION("""COMPUTED_VALUE"""),0.4178076330652063)</f>
        <v>0.4178076331</v>
      </c>
      <c r="AF193" s="30">
        <f>IFERROR(__xludf.DUMMYFUNCTION("""COMPUTED_VALUE"""),1.6078485181119648)</f>
        <v>1.607848518</v>
      </c>
      <c r="AG193" s="30">
        <f>IFERROR(__xludf.DUMMYFUNCTION("""COMPUTED_VALUE"""),1.5118907537003774)</f>
        <v>1.511890754</v>
      </c>
      <c r="AH193" s="30">
        <f>IFERROR(__xludf.DUMMYFUNCTION("""COMPUTED_VALUE"""),1.0015384615384617)</f>
        <v>1.001538462</v>
      </c>
      <c r="AI193" s="30">
        <f>IFERROR(__xludf.DUMMYFUNCTION("""COMPUTED_VALUE"""),1.1709041461220697)</f>
        <v>1.170904146</v>
      </c>
      <c r="AJ193" s="30">
        <f>IFERROR(__xludf.DUMMYFUNCTION("""COMPUTED_VALUE"""),1.5346534653465347)</f>
        <v>1.534653465</v>
      </c>
      <c r="AK193" s="30">
        <f>IFERROR(__xludf.DUMMYFUNCTION("""COMPUTED_VALUE"""),1.5230985196528841)</f>
        <v>1.52309852</v>
      </c>
      <c r="AL193" s="30">
        <f>IFERROR(__xludf.DUMMYFUNCTION("""COMPUTED_VALUE"""),0.7627622755786286)</f>
        <v>0.7627622756</v>
      </c>
      <c r="AM193" s="30">
        <f>IFERROR(__xludf.DUMMYFUNCTION("""COMPUTED_VALUE"""),1.4012294658539106)</f>
        <v>1.401229466</v>
      </c>
      <c r="AN193" s="30">
        <f>IFERROR(__xludf.DUMMYFUNCTION("""COMPUTED_VALUE"""),1.1064367721493025)</f>
        <v>1.106436772</v>
      </c>
      <c r="AO193" s="30">
        <f>IFERROR(__xludf.DUMMYFUNCTION("""COMPUTED_VALUE"""),0.35053934812865284)</f>
        <v>0.3505393481</v>
      </c>
      <c r="AP193" s="30">
        <f>IFERROR(__xludf.DUMMYFUNCTION("""COMPUTED_VALUE"""),1.304174451575839)</f>
        <v>1.304174452</v>
      </c>
      <c r="AQ193" s="30">
        <f>IFERROR(__xludf.DUMMYFUNCTION("""COMPUTED_VALUE"""),1.752519164786432)</f>
        <v>1.752519165</v>
      </c>
      <c r="AR193" s="30">
        <f>IFERROR(__xludf.DUMMYFUNCTION("""COMPUTED_VALUE"""),0.9924138238344429)</f>
        <v>0.9924138238</v>
      </c>
      <c r="AS193" s="30">
        <f>IFERROR(__xludf.DUMMYFUNCTION("""COMPUTED_VALUE"""),5.0)</f>
        <v>5</v>
      </c>
      <c r="AT193" s="30">
        <f>IFERROR(__xludf.DUMMYFUNCTION("""COMPUTED_VALUE"""),0.13330255539805816)</f>
        <v>0.1333025554</v>
      </c>
      <c r="AU193" s="30">
        <f>IFERROR(__xludf.DUMMYFUNCTION("""COMPUTED_VALUE"""),1.542571085088274)</f>
        <v>1.542571085</v>
      </c>
      <c r="AV193" s="32">
        <f>IFERROR(__xludf.DUMMYFUNCTION("""COMPUTED_VALUE"""),28.022611093477423)</f>
        <v>28.02261109</v>
      </c>
      <c r="AW193" s="32">
        <f>IFERROR(__xludf.DUMMYFUNCTION("""COMPUTED_VALUE"""),-5.272183498723538)</f>
        <v>-5.272183499</v>
      </c>
      <c r="AX193" s="32">
        <f>IFERROR(__xludf.DUMMYFUNCTION("""COMPUTED_VALUE"""),44.589912631013554)</f>
        <v>44.58991263</v>
      </c>
      <c r="AY193" s="32">
        <f>IFERROR(__xludf.DUMMYFUNCTION("""COMPUTED_VALUE"""),-2.413496536030735)</f>
        <v>-2.413496536</v>
      </c>
      <c r="AZ193" s="30">
        <f>IFERROR(__xludf.DUMMYFUNCTION("""COMPUTED_VALUE"""),2.858686962692803)</f>
        <v>2.858686963</v>
      </c>
      <c r="BA193" s="30">
        <f>IFERROR(__xludf.DUMMYFUNCTION("""COMPUTED_VALUE"""),800.0)</f>
        <v>800</v>
      </c>
    </row>
    <row r="194">
      <c r="A194" s="30" t="str">
        <f>IFERROR(__xludf.DUMMYFUNCTION("""COMPUTED_VALUE"""),"Elite")</f>
        <v>Elite</v>
      </c>
      <c r="B194" s="30" t="str">
        <f>IFERROR(__xludf.DUMMYFUNCTION("""COMPUTED_VALUE"""),"RSC000344")</f>
        <v>RSC000344</v>
      </c>
      <c r="C194" s="30" t="str">
        <f>IFERROR(__xludf.DUMMYFUNCTION("""COMPUTED_VALUE"""),"Mezmer")</f>
        <v>Mezmer</v>
      </c>
      <c r="D194" s="30" t="str">
        <f>IFERROR(__xludf.DUMMYFUNCTION("""COMPUTED_VALUE"""),"Demons")</f>
        <v>Demons</v>
      </c>
      <c r="E194" s="30">
        <f>IFERROR(__xludf.DUMMYFUNCTION("""COMPUTED_VALUE"""),24.0)</f>
        <v>24</v>
      </c>
      <c r="F194" s="30">
        <f>IFERROR(__xludf.DUMMYFUNCTION("""COMPUTED_VALUE"""),11.0)</f>
        <v>11</v>
      </c>
      <c r="G194" s="30">
        <f>IFERROR(__xludf.DUMMYFUNCTION("""COMPUTED_VALUE"""),13.0)</f>
        <v>13</v>
      </c>
      <c r="H194" s="42">
        <f>IFERROR(__xludf.DUMMYFUNCTION("""COMPUTED_VALUE"""),0.4583333333333333)</f>
        <v>0.4583333333</v>
      </c>
      <c r="I194" s="42">
        <f>IFERROR(__xludf.DUMMYFUNCTION("""COMPUTED_VALUE"""),0.29032258064516125)</f>
        <v>0.2903225806</v>
      </c>
      <c r="J194" s="30">
        <f>IFERROR(__xludf.DUMMYFUNCTION("""COMPUTED_VALUE"""),308.5416666666667)</f>
        <v>308.5416667</v>
      </c>
      <c r="K194" s="30">
        <f>IFERROR(__xludf.DUMMYFUNCTION("""COMPUTED_VALUE"""),0.75)</f>
        <v>0.75</v>
      </c>
      <c r="L194" s="30">
        <f>IFERROR(__xludf.DUMMYFUNCTION("""COMPUTED_VALUE"""),0.4583333333333333)</f>
        <v>0.4583333333</v>
      </c>
      <c r="M194" s="30">
        <f>IFERROR(__xludf.DUMMYFUNCTION("""COMPUTED_VALUE"""),1.0416666666666667)</f>
        <v>1.041666667</v>
      </c>
      <c r="N194" s="30">
        <f>IFERROR(__xludf.DUMMYFUNCTION("""COMPUTED_VALUE"""),2.5833333333333335)</f>
        <v>2.583333333</v>
      </c>
      <c r="O194" s="30">
        <f>IFERROR(__xludf.DUMMYFUNCTION("""COMPUTED_VALUE"""),374.2083333333334)</f>
        <v>374.2083333</v>
      </c>
      <c r="P194" s="30">
        <f>IFERROR(__xludf.DUMMYFUNCTION("""COMPUTED_VALUE"""),0.9305555555555555)</f>
        <v>0.9305555556</v>
      </c>
      <c r="Q194" s="30">
        <f>IFERROR(__xludf.DUMMYFUNCTION("""COMPUTED_VALUE"""),0.722222222222222)</f>
        <v>0.7222222222</v>
      </c>
      <c r="R194" s="30">
        <f>IFERROR(__xludf.DUMMYFUNCTION("""COMPUTED_VALUE"""),1.2083333333333333)</f>
        <v>1.208333333</v>
      </c>
      <c r="S194" s="30">
        <f>IFERROR(__xludf.DUMMYFUNCTION("""COMPUTED_VALUE"""),2.9166666666666674)</f>
        <v>2.916666667</v>
      </c>
      <c r="T194" s="30">
        <f>IFERROR(__xludf.DUMMYFUNCTION("""COMPUTED_VALUE"""),376.37619896571294)</f>
        <v>376.376199</v>
      </c>
      <c r="U194" s="30">
        <f>IFERROR(__xludf.DUMMYFUNCTION("""COMPUTED_VALUE"""),0.9153937284450967)</f>
        <v>0.9153937284</v>
      </c>
      <c r="V194" s="30">
        <f>IFERROR(__xludf.DUMMYFUNCTION("""COMPUTED_VALUE"""),0.671277059198892)</f>
        <v>0.6712770592</v>
      </c>
      <c r="W194" s="30">
        <f>IFERROR(__xludf.DUMMYFUNCTION("""COMPUTED_VALUE"""),1.293916811972754)</f>
        <v>1.293916812</v>
      </c>
      <c r="X194" s="30">
        <f>IFERROR(__xludf.DUMMYFUNCTION("""COMPUTED_VALUE"""),2.8462917255004805)</f>
        <v>2.846291726</v>
      </c>
      <c r="Y194" s="30">
        <f>IFERROR(__xludf.DUMMYFUNCTION("""COMPUTED_VALUE"""),353.76935803688957)</f>
        <v>353.769358</v>
      </c>
      <c r="Z194" s="30">
        <f>IFERROR(__xludf.DUMMYFUNCTION("""COMPUTED_VALUE"""),0.7220911321059477)</f>
        <v>0.7220911321</v>
      </c>
      <c r="AA194" s="30">
        <f>IFERROR(__xludf.DUMMYFUNCTION("""COMPUTED_VALUE"""),0.515512548714654)</f>
        <v>0.5155125487</v>
      </c>
      <c r="AB194" s="30">
        <f>IFERROR(__xludf.DUMMYFUNCTION("""COMPUTED_VALUE"""),1.5381233334377196)</f>
        <v>1.538123333</v>
      </c>
      <c r="AC194" s="30">
        <f>IFERROR(__xludf.DUMMYFUNCTION("""COMPUTED_VALUE"""),2.4004569004378045)</f>
        <v>2.4004569</v>
      </c>
      <c r="AD194" s="30">
        <f>IFERROR(__xludf.DUMMYFUNCTION("""COMPUTED_VALUE"""),0.8721548649063418)</f>
        <v>0.8721548649</v>
      </c>
      <c r="AE194" s="30">
        <f>IFERROR(__xludf.DUMMYFUNCTION("""COMPUTED_VALUE"""),1.0386500632027669)</f>
        <v>1.038650063</v>
      </c>
      <c r="AF194" s="30">
        <f>IFERROR(__xludf.DUMMYFUNCTION("""COMPUTED_VALUE"""),0.8890827865899915)</f>
        <v>0.8890827866</v>
      </c>
      <c r="AG194" s="30">
        <f>IFERROR(__xludf.DUMMYFUNCTION("""COMPUTED_VALUE"""),0.6772322115018776)</f>
        <v>0.6772322115</v>
      </c>
      <c r="AH194" s="30">
        <f>IFERROR(__xludf.DUMMYFUNCTION("""COMPUTED_VALUE"""),1.0761840101616384)</f>
        <v>1.07618401</v>
      </c>
      <c r="AI194" s="30">
        <f>IFERROR(__xludf.DUMMYFUNCTION("""COMPUTED_VALUE"""),0.9942401627989845)</f>
        <v>0.9942401628</v>
      </c>
      <c r="AJ194" s="30">
        <f>IFERROR(__xludf.DUMMYFUNCTION("""COMPUTED_VALUE"""),1.0165631756470659)</f>
        <v>1.016563176</v>
      </c>
      <c r="AK194" s="30">
        <f>IFERROR(__xludf.DUMMYFUNCTION("""COMPUTED_VALUE"""),1.0758929004428193)</f>
        <v>1.0758929</v>
      </c>
      <c r="AL194" s="30">
        <f>IFERROR(__xludf.DUMMYFUNCTION("""COMPUTED_VALUE"""),0.933857047186104)</f>
        <v>0.9338570472</v>
      </c>
      <c r="AM194" s="30">
        <f>IFERROR(__xludf.DUMMYFUNCTION("""COMPUTED_VALUE"""),1.0247251328933307)</f>
        <v>1.024725133</v>
      </c>
      <c r="AN194" s="30">
        <f>IFERROR(__xludf.DUMMYFUNCTION("""COMPUTED_VALUE"""),0.874777311313857)</f>
        <v>0.8747773113</v>
      </c>
      <c r="AO194" s="30">
        <f>IFERROR(__xludf.DUMMYFUNCTION("""COMPUTED_VALUE"""),1.0516180443859584)</f>
        <v>1.051618044</v>
      </c>
      <c r="AP194" s="30">
        <f>IFERROR(__xludf.DUMMYFUNCTION("""COMPUTED_VALUE"""),0.796995498185235)</f>
        <v>0.7969954982</v>
      </c>
      <c r="AQ194" s="30">
        <f>IFERROR(__xludf.DUMMYFUNCTION("""COMPUTED_VALUE"""),0.7302163186610133)</f>
        <v>0.7302163187</v>
      </c>
      <c r="AR194" s="30">
        <f>IFERROR(__xludf.DUMMYFUNCTION("""COMPUTED_VALUE"""),1.0254942846289243)</f>
        <v>1.025494285</v>
      </c>
      <c r="AS194" s="30">
        <f>IFERROR(__xludf.DUMMYFUNCTION("""COMPUTED_VALUE"""),61.0)</f>
        <v>61</v>
      </c>
      <c r="AT194" s="30">
        <f>IFERROR(__xludf.DUMMYFUNCTION("""COMPUTED_VALUE"""),0.46215166815360414)</f>
        <v>0.4621516682</v>
      </c>
      <c r="AU194" s="30">
        <f>IFERROR(__xludf.DUMMYFUNCTION("""COMPUTED_VALUE"""),2.2936628388782285)</f>
        <v>2.293662839</v>
      </c>
      <c r="AV194" s="32">
        <f>IFERROR(__xludf.DUMMYFUNCTION("""COMPUTED_VALUE"""),49.12788312310828)</f>
        <v>49.12788312</v>
      </c>
      <c r="AW194" s="32">
        <f>IFERROR(__xludf.DUMMYFUNCTION("""COMPUTED_VALUE"""),-2.057249762127809)</f>
        <v>-2.057249762</v>
      </c>
      <c r="AX194" s="32">
        <f>IFERROR(__xludf.DUMMYFUNCTION("""COMPUTED_VALUE"""),30.33060737409049)</f>
        <v>30.33060737</v>
      </c>
      <c r="AY194" s="32">
        <f>IFERROR(__xludf.DUMMYFUNCTION("""COMPUTED_VALUE"""),-4.6359270006927655)</f>
        <v>-4.635927001</v>
      </c>
      <c r="AZ194" s="30">
        <f>IFERROR(__xludf.DUMMYFUNCTION("""COMPUTED_VALUE"""),2.5786772385649566)</f>
        <v>2.578677239</v>
      </c>
      <c r="BA194" s="30">
        <f>IFERROR(__xludf.DUMMYFUNCTION("""COMPUTED_VALUE"""),800.0)</f>
        <v>800</v>
      </c>
    </row>
    <row r="195">
      <c r="A195" s="30" t="str">
        <f>IFERROR(__xludf.DUMMYFUNCTION("""COMPUTED_VALUE"""),"Elite")</f>
        <v>Elite</v>
      </c>
      <c r="B195" s="30" t="str">
        <f>IFERROR(__xludf.DUMMYFUNCTION("""COMPUTED_VALUE"""),"RSC003082")</f>
        <v>RSC003082</v>
      </c>
      <c r="C195" s="30" t="str">
        <f>IFERROR(__xludf.DUMMYFUNCTION("""COMPUTED_VALUE"""),"Skulzy9")</f>
        <v>Skulzy9</v>
      </c>
      <c r="D195" s="30" t="str">
        <f>IFERROR(__xludf.DUMMYFUNCTION("""COMPUTED_VALUE"""),"Drive Bye")</f>
        <v>Drive Bye</v>
      </c>
      <c r="E195" s="30">
        <f>IFERROR(__xludf.DUMMYFUNCTION("""COMPUTED_VALUE"""),16.0)</f>
        <v>16</v>
      </c>
      <c r="F195" s="30">
        <f>IFERROR(__xludf.DUMMYFUNCTION("""COMPUTED_VALUE"""),4.0)</f>
        <v>4</v>
      </c>
      <c r="G195" s="30">
        <f>IFERROR(__xludf.DUMMYFUNCTION("""COMPUTED_VALUE"""),12.0)</f>
        <v>12</v>
      </c>
      <c r="H195" s="42">
        <f>IFERROR(__xludf.DUMMYFUNCTION("""COMPUTED_VALUE"""),0.25)</f>
        <v>0.25</v>
      </c>
      <c r="I195" s="42">
        <f>IFERROR(__xludf.DUMMYFUNCTION("""COMPUTED_VALUE"""),0.18421052631578946)</f>
        <v>0.1842105263</v>
      </c>
      <c r="J195" s="30">
        <f>IFERROR(__xludf.DUMMYFUNCTION("""COMPUTED_VALUE"""),352.25)</f>
        <v>352.25</v>
      </c>
      <c r="K195" s="30">
        <f>IFERROR(__xludf.DUMMYFUNCTION("""COMPUTED_VALUE"""),0.4375)</f>
        <v>0.4375</v>
      </c>
      <c r="L195" s="30">
        <f>IFERROR(__xludf.DUMMYFUNCTION("""COMPUTED_VALUE"""),0.5)</f>
        <v>0.5</v>
      </c>
      <c r="M195" s="30">
        <f>IFERROR(__xludf.DUMMYFUNCTION("""COMPUTED_VALUE"""),1.625)</f>
        <v>1.625</v>
      </c>
      <c r="N195" s="30">
        <f>IFERROR(__xludf.DUMMYFUNCTION("""COMPUTED_VALUE"""),2.375)</f>
        <v>2.375</v>
      </c>
      <c r="O195" s="30">
        <f>IFERROR(__xludf.DUMMYFUNCTION("""COMPUTED_VALUE"""),389.72916666666663)</f>
        <v>389.7291667</v>
      </c>
      <c r="P195" s="30">
        <f>IFERROR(__xludf.DUMMYFUNCTION("""COMPUTED_VALUE"""),0.9375000000000001)</f>
        <v>0.9375</v>
      </c>
      <c r="Q195" s="30">
        <f>IFERROR(__xludf.DUMMYFUNCTION("""COMPUTED_VALUE"""),0.8125000000000001)</f>
        <v>0.8125</v>
      </c>
      <c r="R195" s="30">
        <f>IFERROR(__xludf.DUMMYFUNCTION("""COMPUTED_VALUE"""),1.3125)</f>
        <v>1.3125</v>
      </c>
      <c r="S195" s="30">
        <f>IFERROR(__xludf.DUMMYFUNCTION("""COMPUTED_VALUE"""),3.1249999999999996)</f>
        <v>3.125</v>
      </c>
      <c r="T195" s="30">
        <f>IFERROR(__xludf.DUMMYFUNCTION("""COMPUTED_VALUE"""),361.9531856419384)</f>
        <v>361.9531856</v>
      </c>
      <c r="U195" s="30">
        <f>IFERROR(__xludf.DUMMYFUNCTION("""COMPUTED_VALUE"""),0.7828308988550352)</f>
        <v>0.7828308989</v>
      </c>
      <c r="V195" s="30">
        <f>IFERROR(__xludf.DUMMYFUNCTION("""COMPUTED_VALUE"""),0.611565203668971)</f>
        <v>0.6115652037</v>
      </c>
      <c r="W195" s="30">
        <f>IFERROR(__xludf.DUMMYFUNCTION("""COMPUTED_VALUE"""),1.3905737171744539)</f>
        <v>1.390573717</v>
      </c>
      <c r="X195" s="30">
        <f>IFERROR(__xludf.DUMMYFUNCTION("""COMPUTED_VALUE"""),2.608282630914394)</f>
        <v>2.608282631</v>
      </c>
      <c r="Y195" s="30">
        <f>IFERROR(__xludf.DUMMYFUNCTION("""COMPUTED_VALUE"""),349.1473137369076)</f>
        <v>349.1473137</v>
      </c>
      <c r="Z195" s="30">
        <f>IFERROR(__xludf.DUMMYFUNCTION("""COMPUTED_VALUE"""),0.7485734785783249)</f>
        <v>0.7485734786</v>
      </c>
      <c r="AA195" s="30">
        <f>IFERROR(__xludf.DUMMYFUNCTION("""COMPUTED_VALUE"""),0.5507258756463687)</f>
        <v>0.5507258756</v>
      </c>
      <c r="AB195" s="30">
        <f>IFERROR(__xludf.DUMMYFUNCTION("""COMPUTED_VALUE"""),1.3787450959000163)</f>
        <v>1.378745096</v>
      </c>
      <c r="AC195" s="30">
        <f>IFERROR(__xludf.DUMMYFUNCTION("""COMPUTED_VALUE"""),2.5848863978886243)</f>
        <v>2.584886398</v>
      </c>
      <c r="AD195" s="30">
        <f>IFERROR(__xludf.DUMMYFUNCTION("""COMPUTED_VALUE"""),1.0088864675196394)</f>
        <v>1.008886468</v>
      </c>
      <c r="AE195" s="30">
        <f>IFERROR(__xludf.DUMMYFUNCTION("""COMPUTED_VALUE"""),0.5844449643485778)</f>
        <v>0.5844449643</v>
      </c>
      <c r="AF195" s="30">
        <f>IFERROR(__xludf.DUMMYFUNCTION("""COMPUTED_VALUE"""),0.9078926960044625)</f>
        <v>0.907892696</v>
      </c>
      <c r="AG195" s="30">
        <f>IFERROR(__xludf.DUMMYFUNCTION("""COMPUTED_VALUE"""),1.1786080000083219)</f>
        <v>1.178608</v>
      </c>
      <c r="AH195" s="30">
        <f>IFERROR(__xludf.DUMMYFUNCTION("""COMPUTED_VALUE"""),0.9188024672728121)</f>
        <v>0.9188024673</v>
      </c>
      <c r="AI195" s="30">
        <f>IFERROR(__xludf.DUMMYFUNCTION("""COMPUTED_VALUE"""),1.0767391533672137)</f>
        <v>1.076739153</v>
      </c>
      <c r="AJ195" s="30">
        <f>IFERROR(__xludf.DUMMYFUNCTION("""COMPUTED_VALUE"""),1.1975766431437278)</f>
        <v>1.197576643</v>
      </c>
      <c r="AK195" s="30">
        <f>IFERROR(__xludf.DUMMYFUNCTION("""COMPUTED_VALUE"""),1.3285582553185797)</f>
        <v>1.328558255</v>
      </c>
      <c r="AL195" s="30">
        <f>IFERROR(__xludf.DUMMYFUNCTION("""COMPUTED_VALUE"""),0.9438550317684027)</f>
        <v>0.9438550318</v>
      </c>
      <c r="AM195" s="30">
        <f>IFERROR(__xludf.DUMMYFUNCTION("""COMPUTED_VALUE"""),1.1981063566353076)</f>
        <v>1.198106357</v>
      </c>
      <c r="AN195" s="30">
        <f>IFERROR(__xludf.DUMMYFUNCTION("""COMPUTED_VALUE"""),0.9986991748612217)</f>
        <v>0.9986991749</v>
      </c>
      <c r="AO195" s="30">
        <f>IFERROR(__xludf.DUMMYFUNCTION("""COMPUTED_VALUE"""),0.6134438592251424)</f>
        <v>0.6134438592</v>
      </c>
      <c r="AP195" s="30">
        <f>IFERROR(__xludf.DUMMYFUNCTION("""COMPUTED_VALUE"""),0.8694496343838928)</f>
        <v>0.8694496344</v>
      </c>
      <c r="AQ195" s="30">
        <f>IFERROR(__xludf.DUMMYFUNCTION("""COMPUTED_VALUE"""),1.1391374571111808)</f>
        <v>1.139137457</v>
      </c>
      <c r="AR195" s="30">
        <f>IFERROR(__xludf.DUMMYFUNCTION("""COMPUTED_VALUE"""),0.9427931326427208)</f>
        <v>0.9427931326</v>
      </c>
      <c r="AS195" s="30">
        <f>IFERROR(__xludf.DUMMYFUNCTION("""COMPUTED_VALUE"""),24.0)</f>
        <v>24</v>
      </c>
      <c r="AT195" s="30">
        <f>IFERROR(__xludf.DUMMYFUNCTION("""COMPUTED_VALUE"""),0.2776401600859153)</f>
        <v>0.2776401601</v>
      </c>
      <c r="AU195" s="30">
        <f>IFERROR(__xludf.DUMMYFUNCTION("""COMPUTED_VALUE"""),1.578237253084513)</f>
        <v>1.578237253</v>
      </c>
      <c r="AV195" s="32">
        <f>IFERROR(__xludf.DUMMYFUNCTION("""COMPUTED_VALUE"""),29.02481112299026)</f>
        <v>29.02481112</v>
      </c>
      <c r="AW195" s="32">
        <f>IFERROR(__xludf.DUMMYFUNCTION("""COMPUTED_VALUE"""),-4.9817534559172865)</f>
        <v>-4.981753456</v>
      </c>
      <c r="AX195" s="32">
        <f>IFERROR(__xludf.DUMMYFUNCTION("""COMPUTED_VALUE"""),43.897789325893754)</f>
        <v>43.89778933</v>
      </c>
      <c r="AY195" s="32">
        <f>IFERROR(__xludf.DUMMYFUNCTION("""COMPUTED_VALUE"""),-2.4778163104648443)</f>
        <v>-2.47781631</v>
      </c>
      <c r="AZ195" s="30">
        <f>IFERROR(__xludf.DUMMYFUNCTION("""COMPUTED_VALUE"""),2.503937145452442)</f>
        <v>2.503937145</v>
      </c>
      <c r="BA195" s="30">
        <f>IFERROR(__xludf.DUMMYFUNCTION("""COMPUTED_VALUE"""),800.0)</f>
        <v>800</v>
      </c>
    </row>
    <row r="196">
      <c r="A196" s="30" t="str">
        <f>IFERROR(__xludf.DUMMYFUNCTION("""COMPUTED_VALUE"""),"Elite")</f>
        <v>Elite</v>
      </c>
      <c r="B196" s="30" t="str">
        <f>IFERROR(__xludf.DUMMYFUNCTION("""COMPUTED_VALUE"""),"RSC007868")</f>
        <v>RSC007868</v>
      </c>
      <c r="C196" s="30" t="str">
        <f>IFERROR(__xludf.DUMMYFUNCTION("""COMPUTED_VALUE"""),"JayX")</f>
        <v>JayX</v>
      </c>
      <c r="D196" s="30" t="str">
        <f>IFERROR(__xludf.DUMMYFUNCTION("""COMPUTED_VALUE"""),"Afterburners")</f>
        <v>Afterburners</v>
      </c>
      <c r="E196" s="30">
        <f>IFERROR(__xludf.DUMMYFUNCTION("""COMPUTED_VALUE"""),37.0)</f>
        <v>37</v>
      </c>
      <c r="F196" s="30">
        <f>IFERROR(__xludf.DUMMYFUNCTION("""COMPUTED_VALUE"""),19.0)</f>
        <v>19</v>
      </c>
      <c r="G196" s="30">
        <f>IFERROR(__xludf.DUMMYFUNCTION("""COMPUTED_VALUE"""),18.0)</f>
        <v>18</v>
      </c>
      <c r="H196" s="42">
        <f>IFERROR(__xludf.DUMMYFUNCTION("""COMPUTED_VALUE"""),0.5135135135135135)</f>
        <v>0.5135135135</v>
      </c>
      <c r="I196" s="42">
        <f>IFERROR(__xludf.DUMMYFUNCTION("""COMPUTED_VALUE"""),0.3513513513513513)</f>
        <v>0.3513513514</v>
      </c>
      <c r="J196" s="30">
        <f>IFERROR(__xludf.DUMMYFUNCTION("""COMPUTED_VALUE"""),377.2972972972973)</f>
        <v>377.2972973</v>
      </c>
      <c r="K196" s="30">
        <f>IFERROR(__xludf.DUMMYFUNCTION("""COMPUTED_VALUE"""),1.054054054054054)</f>
        <v>1.054054054</v>
      </c>
      <c r="L196" s="30">
        <f>IFERROR(__xludf.DUMMYFUNCTION("""COMPUTED_VALUE"""),0.5135135135135135)</f>
        <v>0.5135135135</v>
      </c>
      <c r="M196" s="30">
        <f>IFERROR(__xludf.DUMMYFUNCTION("""COMPUTED_VALUE"""),1.3243243243243243)</f>
        <v>1.324324324</v>
      </c>
      <c r="N196" s="30">
        <f>IFERROR(__xludf.DUMMYFUNCTION("""COMPUTED_VALUE"""),3.0)</f>
        <v>3</v>
      </c>
      <c r="O196" s="30">
        <f>IFERROR(__xludf.DUMMYFUNCTION("""COMPUTED_VALUE"""),368.036036036036)</f>
        <v>368.036036</v>
      </c>
      <c r="P196" s="30">
        <f>IFERROR(__xludf.DUMMYFUNCTION("""COMPUTED_VALUE"""),0.7657657657657658)</f>
        <v>0.7657657658</v>
      </c>
      <c r="Q196" s="30">
        <f>IFERROR(__xludf.DUMMYFUNCTION("""COMPUTED_VALUE"""),0.5675675675675678)</f>
        <v>0.5675675676</v>
      </c>
      <c r="R196" s="30">
        <f>IFERROR(__xludf.DUMMYFUNCTION("""COMPUTED_VALUE"""),1.5765765765765767)</f>
        <v>1.576576577</v>
      </c>
      <c r="S196" s="30">
        <f>IFERROR(__xludf.DUMMYFUNCTION("""COMPUTED_VALUE"""),2.63963963963964)</f>
        <v>2.63963964</v>
      </c>
      <c r="T196" s="30">
        <f>IFERROR(__xludf.DUMMYFUNCTION("""COMPUTED_VALUE"""),358.29836057306244)</f>
        <v>358.2983606</v>
      </c>
      <c r="U196" s="30">
        <f>IFERROR(__xludf.DUMMYFUNCTION("""COMPUTED_VALUE"""),0.774409342216165)</f>
        <v>0.7744093422</v>
      </c>
      <c r="V196" s="30">
        <f>IFERROR(__xludf.DUMMYFUNCTION("""COMPUTED_VALUE"""),0.5959977961908208)</f>
        <v>0.5959977962</v>
      </c>
      <c r="W196" s="30">
        <f>IFERROR(__xludf.DUMMYFUNCTION("""COMPUTED_VALUE"""),1.432841443613107)</f>
        <v>1.432841444</v>
      </c>
      <c r="X196" s="30">
        <f>IFERROR(__xludf.DUMMYFUNCTION("""COMPUTED_VALUE"""),2.619219199321819)</f>
        <v>2.619219199</v>
      </c>
      <c r="Y196" s="30">
        <f>IFERROR(__xludf.DUMMYFUNCTION("""COMPUTED_VALUE"""),369.48330910982156)</f>
        <v>369.4833091</v>
      </c>
      <c r="Z196" s="30">
        <f>IFERROR(__xludf.DUMMYFUNCTION("""COMPUTED_VALUE"""),0.8396295783962907)</f>
        <v>0.8396295784</v>
      </c>
      <c r="AA196" s="30">
        <f>IFERROR(__xludf.DUMMYFUNCTION("""COMPUTED_VALUE"""),0.6319273900001945)</f>
        <v>0.63192739</v>
      </c>
      <c r="AB196" s="30">
        <f>IFERROR(__xludf.DUMMYFUNCTION("""COMPUTED_VALUE"""),1.433963379392506)</f>
        <v>1.433963379</v>
      </c>
      <c r="AC196" s="30">
        <f>IFERROR(__xludf.DUMMYFUNCTION("""COMPUTED_VALUE"""),2.6953387327648484)</f>
        <v>2.695338733</v>
      </c>
      <c r="AD196" s="30">
        <f>IFERROR(__xludf.DUMMYFUNCTION("""COMPUTED_VALUE"""),1.0211484199551573)</f>
        <v>1.02114842</v>
      </c>
      <c r="AE196" s="30">
        <f>IFERROR(__xludf.DUMMYFUNCTION("""COMPUTED_VALUE"""),1.2553798498467839)</f>
        <v>1.25537985</v>
      </c>
      <c r="AF196" s="30">
        <f>IFERROR(__xludf.DUMMYFUNCTION("""COMPUTED_VALUE"""),0.8126147428320134)</f>
        <v>0.8126147428</v>
      </c>
      <c r="AG196" s="30">
        <f>IFERROR(__xludf.DUMMYFUNCTION("""COMPUTED_VALUE"""),0.9235412447459922)</f>
        <v>0.9235412447</v>
      </c>
      <c r="AH196" s="30">
        <f>IFERROR(__xludf.DUMMYFUNCTION("""COMPUTED_VALUE"""),1.113032645408035)</f>
        <v>1.113032645</v>
      </c>
      <c r="AI196" s="30">
        <f>IFERROR(__xludf.DUMMYFUNCTION("""COMPUTED_VALUE"""),1.0271775607552296)</f>
        <v>1.027177561</v>
      </c>
      <c r="AJ196" s="30">
        <f>IFERROR(__xludf.DUMMYFUNCTION("""COMPUTED_VALUE"""),0.9888384915067483)</f>
        <v>0.9888384915</v>
      </c>
      <c r="AK196" s="30">
        <f>IFERROR(__xludf.DUMMYFUNCTION("""COMPUTED_VALUE"""),0.952298097736337)</f>
        <v>0.9522980977</v>
      </c>
      <c r="AL196" s="30">
        <f>IFERROR(__xludf.DUMMYFUNCTION("""COMPUTED_VALUE"""),1.1003147512267804)</f>
        <v>1.100314751</v>
      </c>
      <c r="AM196" s="30">
        <f>IFERROR(__xludf.DUMMYFUNCTION("""COMPUTED_VALUE"""),1.007796384633676)</f>
        <v>1.007796385</v>
      </c>
      <c r="AN196" s="30">
        <f>IFERROR(__xludf.DUMMYFUNCTION("""COMPUTED_VALUE"""),1.0697132703709862)</f>
        <v>1.06971327</v>
      </c>
      <c r="AO196" s="30">
        <f>IFERROR(__xludf.DUMMYFUNCTION("""COMPUTED_VALUE"""),1.4779496840018873)</f>
        <v>1.477949684</v>
      </c>
      <c r="AP196" s="30">
        <f>IFERROR(__xludf.DUMMYFUNCTION("""COMPUTED_VALUE"""),0.892948273151025)</f>
        <v>0.8929482732</v>
      </c>
      <c r="AQ196" s="30">
        <f>IFERROR(__xludf.DUMMYFUNCTION("""COMPUTED_VALUE"""),0.9283615035084882)</f>
        <v>0.9283615035</v>
      </c>
      <c r="AR196" s="30">
        <f>IFERROR(__xludf.DUMMYFUNCTION("""COMPUTED_VALUE"""),1.1908965886013314)</f>
        <v>1.190896589</v>
      </c>
      <c r="AS196" s="30">
        <f>IFERROR(__xludf.DUMMYFUNCTION("""COMPUTED_VALUE"""),93.0)</f>
        <v>93</v>
      </c>
      <c r="AT196" s="30">
        <f>IFERROR(__xludf.DUMMYFUNCTION("""COMPUTED_VALUE"""),0.5352377959923097)</f>
        <v>0.535237796</v>
      </c>
      <c r="AU196" s="30">
        <f>IFERROR(__xludf.DUMMYFUNCTION("""COMPUTED_VALUE"""),3.006634498925228)</f>
        <v>3.006634499</v>
      </c>
      <c r="AV196" s="32">
        <f>IFERROR(__xludf.DUMMYFUNCTION("""COMPUTED_VALUE"""),69.16200113702737)</f>
        <v>69.16200114</v>
      </c>
      <c r="AW196" s="32">
        <f>IFERROR(__xludf.DUMMYFUNCTION("""COMPUTED_VALUE"""),4.510694308422793)</f>
        <v>4.510694308</v>
      </c>
      <c r="AX196" s="32">
        <f>IFERROR(__xludf.DUMMYFUNCTION("""COMPUTED_VALUE"""),50.4598933382193)</f>
        <v>50.45989334</v>
      </c>
      <c r="AY196" s="32">
        <f>IFERROR(__xludf.DUMMYFUNCTION("""COMPUTED_VALUE"""),2.029790924716549)</f>
        <v>2.029790925</v>
      </c>
      <c r="AZ196" s="30">
        <f>IFERROR(__xludf.DUMMYFUNCTION("""COMPUTED_VALUE"""),2.480903383706244)</f>
        <v>2.480903384</v>
      </c>
      <c r="BA196" s="30">
        <f>IFERROR(__xludf.DUMMYFUNCTION("""COMPUTED_VALUE"""),800.0)</f>
        <v>800</v>
      </c>
    </row>
    <row r="197">
      <c r="A197" s="30" t="str">
        <f>IFERROR(__xludf.DUMMYFUNCTION("""COMPUTED_VALUE"""),"Elite")</f>
        <v>Elite</v>
      </c>
      <c r="B197" s="30" t="str">
        <f>IFERROR(__xludf.DUMMYFUNCTION("""COMPUTED_VALUE"""),"RSC004797")</f>
        <v>RSC004797</v>
      </c>
      <c r="C197" s="30" t="str">
        <f>IFERROR(__xludf.DUMMYFUNCTION("""COMPUTED_VALUE"""),"Tempest")</f>
        <v>Tempest</v>
      </c>
      <c r="D197" s="30" t="str">
        <f>IFERROR(__xludf.DUMMYFUNCTION("""COMPUTED_VALUE"""),"Demons")</f>
        <v>Demons</v>
      </c>
      <c r="E197" s="30">
        <f>IFERROR(__xludf.DUMMYFUNCTION("""COMPUTED_VALUE"""),25.0)</f>
        <v>25</v>
      </c>
      <c r="F197" s="30">
        <f>IFERROR(__xludf.DUMMYFUNCTION("""COMPUTED_VALUE"""),11.0)</f>
        <v>11</v>
      </c>
      <c r="G197" s="30">
        <f>IFERROR(__xludf.DUMMYFUNCTION("""COMPUTED_VALUE"""),14.0)</f>
        <v>14</v>
      </c>
      <c r="H197" s="42">
        <f>IFERROR(__xludf.DUMMYFUNCTION("""COMPUTED_VALUE"""),0.44)</f>
        <v>0.44</v>
      </c>
      <c r="I197" s="42">
        <f>IFERROR(__xludf.DUMMYFUNCTION("""COMPUTED_VALUE"""),0.26666666666666666)</f>
        <v>0.2666666667</v>
      </c>
      <c r="J197" s="30">
        <f>IFERROR(__xludf.DUMMYFUNCTION("""COMPUTED_VALUE"""),400.72)</f>
        <v>400.72</v>
      </c>
      <c r="K197" s="30">
        <f>IFERROR(__xludf.DUMMYFUNCTION("""COMPUTED_VALUE"""),0.8)</f>
        <v>0.8</v>
      </c>
      <c r="L197" s="30">
        <f>IFERROR(__xludf.DUMMYFUNCTION("""COMPUTED_VALUE"""),0.8)</f>
        <v>0.8</v>
      </c>
      <c r="M197" s="30">
        <f>IFERROR(__xludf.DUMMYFUNCTION("""COMPUTED_VALUE"""),1.88)</f>
        <v>1.88</v>
      </c>
      <c r="N197" s="30">
        <f>IFERROR(__xludf.DUMMYFUNCTION("""COMPUTED_VALUE"""),3.0)</f>
        <v>3</v>
      </c>
      <c r="O197" s="30">
        <f>IFERROR(__xludf.DUMMYFUNCTION("""COMPUTED_VALUE"""),382.92)</f>
        <v>382.92</v>
      </c>
      <c r="P197" s="30">
        <f>IFERROR(__xludf.DUMMYFUNCTION("""COMPUTED_VALUE"""),0.8933333333333334)</f>
        <v>0.8933333333</v>
      </c>
      <c r="Q197" s="30">
        <f>IFERROR(__xludf.DUMMYFUNCTION("""COMPUTED_VALUE"""),0.72)</f>
        <v>0.72</v>
      </c>
      <c r="R197" s="30">
        <f>IFERROR(__xludf.DUMMYFUNCTION("""COMPUTED_VALUE"""),1.3200000000000003)</f>
        <v>1.32</v>
      </c>
      <c r="S197" s="30">
        <f>IFERROR(__xludf.DUMMYFUNCTION("""COMPUTED_VALUE"""),3.0000000000000004)</f>
        <v>3</v>
      </c>
      <c r="T197" s="30">
        <f>IFERROR(__xludf.DUMMYFUNCTION("""COMPUTED_VALUE"""),376.6421432605408)</f>
        <v>376.6421433</v>
      </c>
      <c r="U197" s="30">
        <f>IFERROR(__xludf.DUMMYFUNCTION("""COMPUTED_VALUE"""),0.8923780888332644)</f>
        <v>0.8923780888</v>
      </c>
      <c r="V197" s="30">
        <f>IFERROR(__xludf.DUMMYFUNCTION("""COMPUTED_VALUE"""),0.653933821272351)</f>
        <v>0.6539338213</v>
      </c>
      <c r="W197" s="30">
        <f>IFERROR(__xludf.DUMMYFUNCTION("""COMPUTED_VALUE"""),1.3831092455901102)</f>
        <v>1.383109246</v>
      </c>
      <c r="X197" s="30">
        <f>IFERROR(__xludf.DUMMYFUNCTION("""COMPUTED_VALUE"""),2.81856468908623)</f>
        <v>2.818564689</v>
      </c>
      <c r="Y197" s="30">
        <f>IFERROR(__xludf.DUMMYFUNCTION("""COMPUTED_VALUE"""),353.32959274439395)</f>
        <v>353.3295927</v>
      </c>
      <c r="Z197" s="30">
        <f>IFERROR(__xludf.DUMMYFUNCTION("""COMPUTED_VALUE"""),0.7207675280925013)</f>
        <v>0.7207675281</v>
      </c>
      <c r="AA197" s="30">
        <f>IFERROR(__xludf.DUMMYFUNCTION("""COMPUTED_VALUE"""),0.5246991643324824)</f>
        <v>0.5246991643</v>
      </c>
      <c r="AB197" s="30">
        <f>IFERROR(__xludf.DUMMYFUNCTION("""COMPUTED_VALUE"""),1.4995028835455326)</f>
        <v>1.499502884</v>
      </c>
      <c r="AC197" s="30">
        <f>IFERROR(__xludf.DUMMYFUNCTION("""COMPUTED_VALUE"""),2.452617865891961)</f>
        <v>2.452617866</v>
      </c>
      <c r="AD197" s="30">
        <f>IFERROR(__xludf.DUMMYFUNCTION("""COMPUTED_VALUE"""),1.1341252140459384)</f>
        <v>1.134125214</v>
      </c>
      <c r="AE197" s="30">
        <f>IFERROR(__xludf.DUMMYFUNCTION("""COMPUTED_VALUE"""),1.1099279154780821)</f>
        <v>1.109927915</v>
      </c>
      <c r="AF197" s="30">
        <f>IFERROR(__xludf.DUMMYFUNCTION("""COMPUTED_VALUE"""),1.5246831982622897)</f>
        <v>1.524683198</v>
      </c>
      <c r="AG197" s="30">
        <f>IFERROR(__xludf.DUMMYFUNCTION("""COMPUTED_VALUE"""),1.2537488394519072)</f>
        <v>1.253748839</v>
      </c>
      <c r="AH197" s="30">
        <f>IFERROR(__xludf.DUMMYFUNCTION("""COMPUTED_VALUE"""),1.2231828046759208)</f>
        <v>1.223182805</v>
      </c>
      <c r="AI197" s="30">
        <f>IFERROR(__xludf.DUMMYFUNCTION("""COMPUTED_VALUE"""),1.0166679614902163)</f>
        <v>1.016667961</v>
      </c>
      <c r="AJ197" s="30">
        <f>IFERROR(__xludf.DUMMYFUNCTION("""COMPUTED_VALUE"""),1.0010704481788857)</f>
        <v>1.001070448</v>
      </c>
      <c r="AK197" s="30">
        <f>IFERROR(__xludf.DUMMYFUNCTION("""COMPUTED_VALUE"""),1.1010288450887964)</f>
        <v>1.101028845</v>
      </c>
      <c r="AL197" s="30">
        <f>IFERROR(__xludf.DUMMYFUNCTION("""COMPUTED_VALUE"""),0.9543714671915275)</f>
        <v>0.9543714672</v>
      </c>
      <c r="AM197" s="30">
        <f>IFERROR(__xludf.DUMMYFUNCTION("""COMPUTED_VALUE"""),1.0643715262652322)</f>
        <v>1.064371526</v>
      </c>
      <c r="AN197" s="30">
        <f>IFERROR(__xludf.DUMMYFUNCTION("""COMPUTED_VALUE"""),1.1361213154020975)</f>
        <v>1.136121315</v>
      </c>
      <c r="AO197" s="30">
        <f>IFERROR(__xludf.DUMMYFUNCTION("""COMPUTED_VALUE"""),1.121725914011689)</f>
        <v>1.121725914</v>
      </c>
      <c r="AP197" s="30">
        <f>IFERROR(__xludf.DUMMYFUNCTION("""COMPUTED_VALUE"""),1.3911194150142285)</f>
        <v>1.391119415</v>
      </c>
      <c r="AQ197" s="30">
        <f>IFERROR(__xludf.DUMMYFUNCTION("""COMPUTED_VALUE"""),1.3178944119193967)</f>
        <v>1.317894412</v>
      </c>
      <c r="AR197" s="30">
        <f>IFERROR(__xludf.DUMMYFUNCTION("""COMPUTED_VALUE"""),1.1908965886013314)</f>
        <v>1.190896589</v>
      </c>
      <c r="AS197" s="30">
        <f>IFERROR(__xludf.DUMMYFUNCTION("""COMPUTED_VALUE"""),64.0)</f>
        <v>64</v>
      </c>
      <c r="AT197" s="30">
        <f>IFERROR(__xludf.DUMMYFUNCTION("""COMPUTED_VALUE"""),0.4815860261736789)</f>
        <v>0.4815860262</v>
      </c>
      <c r="AU197" s="30">
        <f>IFERROR(__xludf.DUMMYFUNCTION("""COMPUTED_VALUE"""),3.1171255827969246)</f>
        <v>3.117125583</v>
      </c>
      <c r="AV197" s="32">
        <f>IFERROR(__xludf.DUMMYFUNCTION("""COMPUTED_VALUE"""),72.26674083120469)</f>
        <v>72.26674083</v>
      </c>
      <c r="AW197" s="32">
        <f>IFERROR(__xludf.DUMMYFUNCTION("""COMPUTED_VALUE"""),5.360400778043063)</f>
        <v>5.360400778</v>
      </c>
      <c r="AX197" s="32">
        <f>IFERROR(__xludf.DUMMYFUNCTION("""COMPUTED_VALUE"""),60.19761715947194)</f>
        <v>60.19761716</v>
      </c>
      <c r="AY197" s="32">
        <f>IFERROR(__xludf.DUMMYFUNCTION("""COMPUTED_VALUE"""),2.9267850721696176)</f>
        <v>2.926785072</v>
      </c>
      <c r="AZ197" s="30">
        <f>IFERROR(__xludf.DUMMYFUNCTION("""COMPUTED_VALUE"""),2.4336157058734456)</f>
        <v>2.433615706</v>
      </c>
      <c r="BA197" s="30">
        <f>IFERROR(__xludf.DUMMYFUNCTION("""COMPUTED_VALUE"""),800.0)</f>
        <v>800</v>
      </c>
    </row>
    <row r="198">
      <c r="A198" s="30" t="str">
        <f>IFERROR(__xludf.DUMMYFUNCTION("""COMPUTED_VALUE"""),"Elite")</f>
        <v>Elite</v>
      </c>
      <c r="B198" s="30" t="str">
        <f>IFERROR(__xludf.DUMMYFUNCTION("""COMPUTED_VALUE"""),"RSC001986")</f>
        <v>RSC001986</v>
      </c>
      <c r="C198" s="30" t="str">
        <f>IFERROR(__xludf.DUMMYFUNCTION("""COMPUTED_VALUE"""),"Colinn")</f>
        <v>Colinn</v>
      </c>
      <c r="D198" s="30" t="str">
        <f>IFERROR(__xludf.DUMMYFUNCTION("""COMPUTED_VALUE"""),"Desolation")</f>
        <v>Desolation</v>
      </c>
      <c r="E198" s="30">
        <f>IFERROR(__xludf.DUMMYFUNCTION("""COMPUTED_VALUE"""),28.0)</f>
        <v>28</v>
      </c>
      <c r="F198" s="30">
        <f>IFERROR(__xludf.DUMMYFUNCTION("""COMPUTED_VALUE"""),18.0)</f>
        <v>18</v>
      </c>
      <c r="G198" s="30">
        <f>IFERROR(__xludf.DUMMYFUNCTION("""COMPUTED_VALUE"""),10.0)</f>
        <v>10</v>
      </c>
      <c r="H198" s="42">
        <f>IFERROR(__xludf.DUMMYFUNCTION("""COMPUTED_VALUE"""),0.6428571428571429)</f>
        <v>0.6428571429</v>
      </c>
      <c r="I198" s="42">
        <f>IFERROR(__xludf.DUMMYFUNCTION("""COMPUTED_VALUE"""),0.3827160493827161)</f>
        <v>0.3827160494</v>
      </c>
      <c r="J198" s="30">
        <f>IFERROR(__xludf.DUMMYFUNCTION("""COMPUTED_VALUE"""),413.57142857142856)</f>
        <v>413.5714286</v>
      </c>
      <c r="K198" s="30">
        <f>IFERROR(__xludf.DUMMYFUNCTION("""COMPUTED_VALUE"""),1.1071428571428572)</f>
        <v>1.107142857</v>
      </c>
      <c r="L198" s="30">
        <f>IFERROR(__xludf.DUMMYFUNCTION("""COMPUTED_VALUE"""),0.5)</f>
        <v>0.5</v>
      </c>
      <c r="M198" s="30">
        <f>IFERROR(__xludf.DUMMYFUNCTION("""COMPUTED_VALUE"""),1.7857142857142858)</f>
        <v>1.785714286</v>
      </c>
      <c r="N198" s="30">
        <f>IFERROR(__xludf.DUMMYFUNCTION("""COMPUTED_VALUE"""),2.892857142857143)</f>
        <v>2.892857143</v>
      </c>
      <c r="O198" s="30">
        <f>IFERROR(__xludf.DUMMYFUNCTION("""COMPUTED_VALUE"""),334.0357142857143)</f>
        <v>334.0357143</v>
      </c>
      <c r="P198" s="30">
        <f>IFERROR(__xludf.DUMMYFUNCTION("""COMPUTED_VALUE"""),0.6785714285714285)</f>
        <v>0.6785714286</v>
      </c>
      <c r="Q198" s="30">
        <f>IFERROR(__xludf.DUMMYFUNCTION("""COMPUTED_VALUE"""),0.4642857142857143)</f>
        <v>0.4642857143</v>
      </c>
      <c r="R198" s="30">
        <f>IFERROR(__xludf.DUMMYFUNCTION("""COMPUTED_VALUE"""),1.2142857142857142)</f>
        <v>1.214285714</v>
      </c>
      <c r="S198" s="30">
        <f>IFERROR(__xludf.DUMMYFUNCTION("""COMPUTED_VALUE"""),2.6071428571428568)</f>
        <v>2.607142857</v>
      </c>
      <c r="T198" s="30">
        <f>IFERROR(__xludf.DUMMYFUNCTION("""COMPUTED_VALUE"""),354.939648076295)</f>
        <v>354.9396481</v>
      </c>
      <c r="U198" s="30">
        <f>IFERROR(__xludf.DUMMYFUNCTION("""COMPUTED_VALUE"""),0.6754944167469523)</f>
        <v>0.6754944167</v>
      </c>
      <c r="V198" s="30">
        <f>IFERROR(__xludf.DUMMYFUNCTION("""COMPUTED_VALUE"""),0.5246053505398621)</f>
        <v>0.5246053505</v>
      </c>
      <c r="W198" s="30">
        <f>IFERROR(__xludf.DUMMYFUNCTION("""COMPUTED_VALUE"""),1.4724832962952352)</f>
        <v>1.472483296</v>
      </c>
      <c r="X198" s="30">
        <f>IFERROR(__xludf.DUMMYFUNCTION("""COMPUTED_VALUE"""),2.5310083390857088)</f>
        <v>2.531008339</v>
      </c>
      <c r="Y198" s="30">
        <f>IFERROR(__xludf.DUMMYFUNCTION("""COMPUTED_VALUE"""),372.5522002555319)</f>
        <v>372.5522003</v>
      </c>
      <c r="Z198" s="30">
        <f>IFERROR(__xludf.DUMMYFUNCTION("""COMPUTED_VALUE"""),0.8286584085446732)</f>
        <v>0.8286584085</v>
      </c>
      <c r="AA198" s="30">
        <f>IFERROR(__xludf.DUMMYFUNCTION("""COMPUTED_VALUE"""),0.6086944938600256)</f>
        <v>0.6086944939</v>
      </c>
      <c r="AB198" s="30">
        <f>IFERROR(__xludf.DUMMYFUNCTION("""COMPUTED_VALUE"""),1.4499393283199908)</f>
        <v>1.449939328</v>
      </c>
      <c r="AC198" s="30">
        <f>IFERROR(__xludf.DUMMYFUNCTION("""COMPUTED_VALUE"""),2.7887922063903656)</f>
        <v>2.788792206</v>
      </c>
      <c r="AD198" s="30">
        <f>IFERROR(__xludf.DUMMYFUNCTION("""COMPUTED_VALUE"""),1.1101033044168354)</f>
        <v>1.110103304</v>
      </c>
      <c r="AE198" s="30">
        <f>IFERROR(__xludf.DUMMYFUNCTION("""COMPUTED_VALUE"""),1.3360666418473575)</f>
        <v>1.336066642</v>
      </c>
      <c r="AF198" s="30">
        <f>IFERROR(__xludf.DUMMYFUNCTION("""COMPUTED_VALUE"""),0.8214301345643176)</f>
        <v>0.8214301346</v>
      </c>
      <c r="AG198" s="30">
        <f>IFERROR(__xludf.DUMMYFUNCTION("""COMPUTED_VALUE"""),1.2315786259714392)</f>
        <v>1.231578626</v>
      </c>
      <c r="AH198" s="30">
        <f>IFERROR(__xludf.DUMMYFUNCTION("""COMPUTED_VALUE"""),1.0373154142600938)</f>
        <v>1.037315414</v>
      </c>
      <c r="AI198" s="30">
        <f>IFERROR(__xludf.DUMMYFUNCTION("""COMPUTED_VALUE"""),0.9411056671074194)</f>
        <v>0.9411056671</v>
      </c>
      <c r="AJ198" s="30">
        <f>IFERROR(__xludf.DUMMYFUNCTION("""COMPUTED_VALUE"""),1.0045551994926833)</f>
        <v>1.004555199</v>
      </c>
      <c r="AK198" s="30">
        <f>IFERROR(__xludf.DUMMYFUNCTION("""COMPUTED_VALUE"""),0.8850190220285136)</f>
        <v>0.885019022</v>
      </c>
      <c r="AL198" s="30">
        <f>IFERROR(__xludf.DUMMYFUNCTION("""COMPUTED_VALUE"""),0.8246516054483296)</f>
        <v>0.8246516054</v>
      </c>
      <c r="AM198" s="30">
        <f>IFERROR(__xludf.DUMMYFUNCTION("""COMPUTED_VALUE"""),1.0300807061286295)</f>
        <v>1.030080706</v>
      </c>
      <c r="AN198" s="30">
        <f>IFERROR(__xludf.DUMMYFUNCTION("""COMPUTED_VALUE"""),1.1725576847706527)</f>
        <v>1.172557685</v>
      </c>
      <c r="AO198" s="30">
        <f>IFERROR(__xludf.DUMMYFUNCTION("""COMPUTED_VALUE"""),1.5523885417126055)</f>
        <v>1.552388542</v>
      </c>
      <c r="AP198" s="30">
        <f>IFERROR(__xludf.DUMMYFUNCTION("""COMPUTED_VALUE"""),0.8694496343838928)</f>
        <v>0.8694496344</v>
      </c>
      <c r="AQ198" s="30">
        <f>IFERROR(__xludf.DUMMYFUNCTION("""COMPUTED_VALUE"""),1.25179940341888)</f>
        <v>1.251799403</v>
      </c>
      <c r="AR198" s="30">
        <f>IFERROR(__xludf.DUMMYFUNCTION("""COMPUTED_VALUE"""),1.1483645675798553)</f>
        <v>1.148364568</v>
      </c>
      <c r="AS198" s="30">
        <f>IFERROR(__xludf.DUMMYFUNCTION("""COMPUTED_VALUE"""),81.0)</f>
        <v>81</v>
      </c>
      <c r="AT198" s="30">
        <f>IFERROR(__xludf.DUMMYFUNCTION("""COMPUTED_VALUE"""),0.6353887705966632)</f>
        <v>0.6353887706</v>
      </c>
      <c r="AU198" s="30">
        <f>IFERROR(__xludf.DUMMYFUNCTION("""COMPUTED_VALUE"""),3.1467493105918543)</f>
        <v>3.146749311</v>
      </c>
      <c r="AV198" s="32">
        <f>IFERROR(__xludf.DUMMYFUNCTION("""COMPUTED_VALUE"""),73.09915155930672)</f>
        <v>73.09915156</v>
      </c>
      <c r="AW198" s="32">
        <f>IFERROR(__xludf.DUMMYFUNCTION("""COMPUTED_VALUE"""),5.625815970148875)</f>
        <v>5.62581597</v>
      </c>
      <c r="AX198" s="32">
        <f>IFERROR(__xludf.DUMMYFUNCTION("""COMPUTED_VALUE"""),63.91431266794935)</f>
        <v>63.91431267</v>
      </c>
      <c r="AY198" s="32">
        <f>IFERROR(__xludf.DUMMYFUNCTION("""COMPUTED_VALUE"""),3.4612882620257435)</f>
        <v>3.461288262</v>
      </c>
      <c r="AZ198" s="30">
        <f>IFERROR(__xludf.DUMMYFUNCTION("""COMPUTED_VALUE"""),2.1645277081231318)</f>
        <v>2.164527708</v>
      </c>
      <c r="BA198" s="30">
        <f>IFERROR(__xludf.DUMMYFUNCTION("""COMPUTED_VALUE"""),800.0)</f>
        <v>800</v>
      </c>
    </row>
    <row r="199">
      <c r="A199" s="30" t="str">
        <f>IFERROR(__xludf.DUMMYFUNCTION("""COMPUTED_VALUE"""),"Elite")</f>
        <v>Elite</v>
      </c>
      <c r="B199" s="30" t="str">
        <f>IFERROR(__xludf.DUMMYFUNCTION("""COMPUTED_VALUE"""),"RSC000690")</f>
        <v>RSC000690</v>
      </c>
      <c r="C199" s="30" t="str">
        <f>IFERROR(__xludf.DUMMYFUNCTION("""COMPUTED_VALUE"""),"paco")</f>
        <v>paco</v>
      </c>
      <c r="D199" s="30" t="str">
        <f>IFERROR(__xludf.DUMMYFUNCTION("""COMPUTED_VALUE"""),"Drive Bye")</f>
        <v>Drive Bye</v>
      </c>
      <c r="E199" s="30">
        <f>IFERROR(__xludf.DUMMYFUNCTION("""COMPUTED_VALUE"""),17.0)</f>
        <v>17</v>
      </c>
      <c r="F199" s="30">
        <f>IFERROR(__xludf.DUMMYFUNCTION("""COMPUTED_VALUE"""),7.0)</f>
        <v>7</v>
      </c>
      <c r="G199" s="30">
        <f>IFERROR(__xludf.DUMMYFUNCTION("""COMPUTED_VALUE"""),10.0)</f>
        <v>10</v>
      </c>
      <c r="H199" s="42">
        <f>IFERROR(__xludf.DUMMYFUNCTION("""COMPUTED_VALUE"""),0.4117647058823529)</f>
        <v>0.4117647059</v>
      </c>
      <c r="I199" s="42">
        <f>IFERROR(__xludf.DUMMYFUNCTION("""COMPUTED_VALUE"""),0.3225806451612903)</f>
        <v>0.3225806452</v>
      </c>
      <c r="J199" s="30">
        <f>IFERROR(__xludf.DUMMYFUNCTION("""COMPUTED_VALUE"""),323.6470588235294)</f>
        <v>323.6470588</v>
      </c>
      <c r="K199" s="30">
        <f>IFERROR(__xludf.DUMMYFUNCTION("""COMPUTED_VALUE"""),0.5882352941176471)</f>
        <v>0.5882352941</v>
      </c>
      <c r="L199" s="30">
        <f>IFERROR(__xludf.DUMMYFUNCTION("""COMPUTED_VALUE"""),0.47058823529411764)</f>
        <v>0.4705882353</v>
      </c>
      <c r="M199" s="30">
        <f>IFERROR(__xludf.DUMMYFUNCTION("""COMPUTED_VALUE"""),1.5294117647058822)</f>
        <v>1.529411765</v>
      </c>
      <c r="N199" s="30">
        <f>IFERROR(__xludf.DUMMYFUNCTION("""COMPUTED_VALUE"""),1.8235294117647058)</f>
        <v>1.823529412</v>
      </c>
      <c r="O199" s="30">
        <f>IFERROR(__xludf.DUMMYFUNCTION("""COMPUTED_VALUE"""),398.21568627450984)</f>
        <v>398.2156863</v>
      </c>
      <c r="P199" s="30">
        <f>IFERROR(__xludf.DUMMYFUNCTION("""COMPUTED_VALUE"""),0.9411764705882355)</f>
        <v>0.9411764706</v>
      </c>
      <c r="Q199" s="30">
        <f>IFERROR(__xludf.DUMMYFUNCTION("""COMPUTED_VALUE"""),0.7254901960784315)</f>
        <v>0.7254901961</v>
      </c>
      <c r="R199" s="30">
        <f>IFERROR(__xludf.DUMMYFUNCTION("""COMPUTED_VALUE"""),1.3333333333333335)</f>
        <v>1.333333333</v>
      </c>
      <c r="S199" s="30">
        <f>IFERROR(__xludf.DUMMYFUNCTION("""COMPUTED_VALUE"""),3.372549019607843)</f>
        <v>3.37254902</v>
      </c>
      <c r="T199" s="30">
        <f>IFERROR(__xludf.DUMMYFUNCTION("""COMPUTED_VALUE"""),365.1073956148713)</f>
        <v>365.1073956</v>
      </c>
      <c r="U199" s="30">
        <f>IFERROR(__xludf.DUMMYFUNCTION("""COMPUTED_VALUE"""),0.8077079767225682)</f>
        <v>0.8077079767</v>
      </c>
      <c r="V199" s="30">
        <f>IFERROR(__xludf.DUMMYFUNCTION("""COMPUTED_VALUE"""),0.6131960150183011)</f>
        <v>0.613196015</v>
      </c>
      <c r="W199" s="30">
        <f>IFERROR(__xludf.DUMMYFUNCTION("""COMPUTED_VALUE"""),1.3452928588275048)</f>
        <v>1.345292859</v>
      </c>
      <c r="X199" s="30">
        <f>IFERROR(__xludf.DUMMYFUNCTION("""COMPUTED_VALUE"""),2.8323826615294263)</f>
        <v>2.832382662</v>
      </c>
      <c r="Y199" s="30">
        <f>IFERROR(__xludf.DUMMYFUNCTION("""COMPUTED_VALUE"""),358.0671952699641)</f>
        <v>358.0671953</v>
      </c>
      <c r="Z199" s="30">
        <f>IFERROR(__xludf.DUMMYFUNCTION("""COMPUTED_VALUE"""),0.7332584227641916)</f>
        <v>0.7332584228</v>
      </c>
      <c r="AA199" s="30">
        <f>IFERROR(__xludf.DUMMYFUNCTION("""COMPUTED_VALUE"""),0.5563061307090619)</f>
        <v>0.5563061307</v>
      </c>
      <c r="AB199" s="30">
        <f>IFERROR(__xludf.DUMMYFUNCTION("""COMPUTED_VALUE"""),1.4997399660173105)</f>
        <v>1.499739966</v>
      </c>
      <c r="AC199" s="30">
        <f>IFERROR(__xludf.DUMMYFUNCTION("""COMPUTED_VALUE"""),2.504872144600384)</f>
        <v>2.504872145</v>
      </c>
      <c r="AD199" s="30">
        <f>IFERROR(__xludf.DUMMYFUNCTION("""COMPUTED_VALUE"""),0.9038724102595221)</f>
        <v>0.9038724103</v>
      </c>
      <c r="AE199" s="30">
        <f>IFERROR(__xludf.DUMMYFUNCTION("""COMPUTED_VALUE"""),0.8022209849293712)</f>
        <v>0.8022209849</v>
      </c>
      <c r="AF199" s="30">
        <f>IFERROR(__xludf.DUMMYFUNCTION("""COMPUTED_VALUE"""),0.8459159612250019)</f>
        <v>0.8459159612</v>
      </c>
      <c r="AG199" s="30">
        <f>IFERROR(__xludf.DUMMYFUNCTION("""COMPUTED_VALUE"""),1.0197846289096155)</f>
        <v>1.019784629</v>
      </c>
      <c r="AH199" s="30">
        <f>IFERROR(__xludf.DUMMYFUNCTION("""COMPUTED_VALUE"""),0.7279930098211155)</f>
        <v>0.7279930098</v>
      </c>
      <c r="AI199" s="30">
        <f>IFERROR(__xludf.DUMMYFUNCTION("""COMPUTED_VALUE"""),1.0906809641691355)</f>
        <v>1.090680964</v>
      </c>
      <c r="AJ199" s="30">
        <f>IFERROR(__xludf.DUMMYFUNCTION("""COMPUTED_VALUE"""),1.165243501007928)</f>
        <v>1.165243501</v>
      </c>
      <c r="AK199" s="30">
        <f>IFERROR(__xludf.DUMMYFUNCTION("""COMPUTED_VALUE"""),1.1831293392485254)</f>
        <v>1.183129339</v>
      </c>
      <c r="AL199" s="30">
        <f>IFERROR(__xludf.DUMMYFUNCTION("""COMPUTED_VALUE"""),0.9911100951620343)</f>
        <v>0.9911100952</v>
      </c>
      <c r="AM199" s="30">
        <f>IFERROR(__xludf.DUMMYFUNCTION("""COMPUTED_VALUE"""),1.1907109393851247)</f>
        <v>1.190710939</v>
      </c>
      <c r="AN199" s="30">
        <f>IFERROR(__xludf.DUMMYFUNCTION("""COMPUTED_VALUE"""),0.9176041180789782)</f>
        <v>0.9176041181</v>
      </c>
      <c r="AO199" s="30">
        <f>IFERROR(__xludf.DUMMYFUNCTION("""COMPUTED_VALUE"""),0.8247984661850655)</f>
        <v>0.8247984662</v>
      </c>
      <c r="AP199" s="30">
        <f>IFERROR(__xludf.DUMMYFUNCTION("""COMPUTED_VALUE"""),0.8183055382436637)</f>
        <v>0.8183055382</v>
      </c>
      <c r="AQ199" s="30">
        <f>IFERROR(__xludf.DUMMYFUNCTION("""COMPUTED_VALUE"""),1.0721293713987583)</f>
        <v>1.072129371</v>
      </c>
      <c r="AR199" s="30">
        <f>IFERROR(__xludf.DUMMYFUNCTION("""COMPUTED_VALUE"""),0.7238783185615936)</f>
        <v>0.7238783186</v>
      </c>
      <c r="AS199" s="30">
        <f>IFERROR(__xludf.DUMMYFUNCTION("""COMPUTED_VALUE"""),34.0)</f>
        <v>34</v>
      </c>
      <c r="AT199" s="30">
        <f>IFERROR(__xludf.DUMMYFUNCTION("""COMPUTED_VALUE"""),0.36779651489378573)</f>
        <v>0.3677965149</v>
      </c>
      <c r="AU199" s="30">
        <f>IFERROR(__xludf.DUMMYFUNCTION("""COMPUTED_VALUE"""),1.5480328501275329)</f>
        <v>1.54803285</v>
      </c>
      <c r="AV199" s="32">
        <f>IFERROR(__xludf.DUMMYFUNCTION("""COMPUTED_VALUE"""),28.176083736911245)</f>
        <v>28.17608374</v>
      </c>
      <c r="AW199" s="32">
        <f>IFERROR(__xludf.DUMMYFUNCTION("""COMPUTED_VALUE"""),-5.226207148006753)</f>
        <v>-5.226207148</v>
      </c>
      <c r="AX199" s="32">
        <f>IFERROR(__xludf.DUMMYFUNCTION("""COMPUTED_VALUE"""),22.50011430550114)</f>
        <v>22.50011431</v>
      </c>
      <c r="AY199" s="32">
        <f>IFERROR(__xludf.DUMMYFUNCTION("""COMPUTED_VALUE"""),-7.370986162652972)</f>
        <v>-7.370986163</v>
      </c>
      <c r="AZ199" s="30">
        <f>IFERROR(__xludf.DUMMYFUNCTION("""COMPUTED_VALUE"""),2.144779014646219)</f>
        <v>2.144779015</v>
      </c>
      <c r="BA199" s="30">
        <f>IFERROR(__xludf.DUMMYFUNCTION("""COMPUTED_VALUE"""),800.0)</f>
        <v>800</v>
      </c>
    </row>
    <row r="200">
      <c r="A200" s="30" t="str">
        <f>IFERROR(__xludf.DUMMYFUNCTION("""COMPUTED_VALUE"""),"Elite")</f>
        <v>Elite</v>
      </c>
      <c r="B200" s="30" t="str">
        <f>IFERROR(__xludf.DUMMYFUNCTION("""COMPUTED_VALUE"""),"RSC005469")</f>
        <v>RSC005469</v>
      </c>
      <c r="C200" s="30" t="str">
        <f>IFERROR(__xludf.DUMMYFUNCTION("""COMPUTED_VALUE"""),"Axlos (Goofy and Silly)")</f>
        <v>Axlos (Goofy and Silly)</v>
      </c>
      <c r="D200" s="30" t="str">
        <f>IFERROR(__xludf.DUMMYFUNCTION("""COMPUTED_VALUE"""),"Keno")</f>
        <v>Keno</v>
      </c>
      <c r="E200" s="30">
        <f>IFERROR(__xludf.DUMMYFUNCTION("""COMPUTED_VALUE"""),15.0)</f>
        <v>15</v>
      </c>
      <c r="F200" s="30">
        <f>IFERROR(__xludf.DUMMYFUNCTION("""COMPUTED_VALUE"""),5.0)</f>
        <v>5</v>
      </c>
      <c r="G200" s="30">
        <f>IFERROR(__xludf.DUMMYFUNCTION("""COMPUTED_VALUE"""),10.0)</f>
        <v>10</v>
      </c>
      <c r="H200" s="42">
        <f>IFERROR(__xludf.DUMMYFUNCTION("""COMPUTED_VALUE"""),0.3333333333333333)</f>
        <v>0.3333333333</v>
      </c>
      <c r="I200" s="42">
        <f>IFERROR(__xludf.DUMMYFUNCTION("""COMPUTED_VALUE"""),0.21875)</f>
        <v>0.21875</v>
      </c>
      <c r="J200" s="30">
        <f>IFERROR(__xludf.DUMMYFUNCTION("""COMPUTED_VALUE"""),275.8666666666667)</f>
        <v>275.8666667</v>
      </c>
      <c r="K200" s="30">
        <f>IFERROR(__xludf.DUMMYFUNCTION("""COMPUTED_VALUE"""),0.4666666666666667)</f>
        <v>0.4666666667</v>
      </c>
      <c r="L200" s="30">
        <f>IFERROR(__xludf.DUMMYFUNCTION("""COMPUTED_VALUE"""),0.2)</f>
        <v>0.2</v>
      </c>
      <c r="M200" s="30">
        <f>IFERROR(__xludf.DUMMYFUNCTION("""COMPUTED_VALUE"""),1.0666666666666667)</f>
        <v>1.066666667</v>
      </c>
      <c r="N200" s="30">
        <f>IFERROR(__xludf.DUMMYFUNCTION("""COMPUTED_VALUE"""),2.1333333333333333)</f>
        <v>2.133333333</v>
      </c>
      <c r="O200" s="30">
        <f>IFERROR(__xludf.DUMMYFUNCTION("""COMPUTED_VALUE"""),344.44444444444446)</f>
        <v>344.4444444</v>
      </c>
      <c r="P200" s="30">
        <f>IFERROR(__xludf.DUMMYFUNCTION("""COMPUTED_VALUE"""),0.7777777777777778)</f>
        <v>0.7777777778</v>
      </c>
      <c r="Q200" s="30">
        <f>IFERROR(__xludf.DUMMYFUNCTION("""COMPUTED_VALUE"""),0.4666666666666666)</f>
        <v>0.4666666667</v>
      </c>
      <c r="R200" s="30">
        <f>IFERROR(__xludf.DUMMYFUNCTION("""COMPUTED_VALUE"""),1.2666666666666664)</f>
        <v>1.266666667</v>
      </c>
      <c r="S200" s="30">
        <f>IFERROR(__xludf.DUMMYFUNCTION("""COMPUTED_VALUE"""),2.8444444444444446)</f>
        <v>2.844444444</v>
      </c>
      <c r="T200" s="30">
        <f>IFERROR(__xludf.DUMMYFUNCTION("""COMPUTED_VALUE"""),350.1547339340577)</f>
        <v>350.1547339</v>
      </c>
      <c r="U200" s="30">
        <f>IFERROR(__xludf.DUMMYFUNCTION("""COMPUTED_VALUE"""),0.748526484761899)</f>
        <v>0.7485264848</v>
      </c>
      <c r="V200" s="30">
        <f>IFERROR(__xludf.DUMMYFUNCTION("""COMPUTED_VALUE"""),0.5541279634519672)</f>
        <v>0.5541279635</v>
      </c>
      <c r="W200" s="30">
        <f>IFERROR(__xludf.DUMMYFUNCTION("""COMPUTED_VALUE"""),1.347953492565671)</f>
        <v>1.347953493</v>
      </c>
      <c r="X200" s="30">
        <f>IFERROR(__xludf.DUMMYFUNCTION("""COMPUTED_VALUE"""),2.555375310736578)</f>
        <v>2.555375311</v>
      </c>
      <c r="Y200" s="30">
        <f>IFERROR(__xludf.DUMMYFUNCTION("""COMPUTED_VALUE"""),358.89034913577393)</f>
        <v>358.8903491</v>
      </c>
      <c r="Z200" s="30">
        <f>IFERROR(__xludf.DUMMYFUNCTION("""COMPUTED_VALUE"""),0.7985003123171168)</f>
        <v>0.7985003123</v>
      </c>
      <c r="AA200" s="30">
        <f>IFERROR(__xludf.DUMMYFUNCTION("""COMPUTED_VALUE"""),0.6053616234801303)</f>
        <v>0.6053616235</v>
      </c>
      <c r="AB200" s="30">
        <f>IFERROR(__xludf.DUMMYFUNCTION("""COMPUTED_VALUE"""),1.3799854586356923)</f>
        <v>1.379985459</v>
      </c>
      <c r="AC200" s="30">
        <f>IFERROR(__xludf.DUMMYFUNCTION("""COMPUTED_VALUE"""),2.614273521173717)</f>
        <v>2.614273521</v>
      </c>
      <c r="AD200" s="30">
        <f>IFERROR(__xludf.DUMMYFUNCTION("""COMPUTED_VALUE"""),0.7686656031040331)</f>
        <v>0.7686656031</v>
      </c>
      <c r="AE200" s="30">
        <f>IFERROR(__xludf.DUMMYFUNCTION("""COMPUTED_VALUE"""),0.5844289093794799)</f>
        <v>0.5844289094</v>
      </c>
      <c r="AF200" s="30">
        <f>IFERROR(__xludf.DUMMYFUNCTION("""COMPUTED_VALUE"""),0.33038103547137815)</f>
        <v>0.3303810355</v>
      </c>
      <c r="AG200" s="30">
        <f>IFERROR(__xludf.DUMMYFUNCTION("""COMPUTED_VALUE"""),0.7729550047007127)</f>
        <v>0.7729550047</v>
      </c>
      <c r="AH200" s="30">
        <f>IFERROR(__xludf.DUMMYFUNCTION("""COMPUTED_VALUE"""),0.8160329499017156)</f>
        <v>0.8160329499</v>
      </c>
      <c r="AI200" s="30">
        <f>IFERROR(__xludf.DUMMYFUNCTION("""COMPUTED_VALUE"""),0.9836920968468511)</f>
        <v>0.9836920968</v>
      </c>
      <c r="AJ200" s="30">
        <f>IFERROR(__xludf.DUMMYFUNCTION("""COMPUTED_VALUE"""),1.0390785010435315)</f>
        <v>1.039078501</v>
      </c>
      <c r="AK200" s="30">
        <f>IFERROR(__xludf.DUMMYFUNCTION("""COMPUTED_VALUE"""),0.8421640802235351)</f>
        <v>0.8421640802</v>
      </c>
      <c r="AL200" s="30">
        <f>IFERROR(__xludf.DUMMYFUNCTION("""COMPUTED_VALUE"""),0.9396961198236262)</f>
        <v>0.9396961198</v>
      </c>
      <c r="AM200" s="30">
        <f>IFERROR(__xludf.DUMMYFUNCTION("""COMPUTED_VALUE"""),1.1131219874017424)</f>
        <v>1.113121987</v>
      </c>
      <c r="AN200" s="30">
        <f>IFERROR(__xludf.DUMMYFUNCTION("""COMPUTED_VALUE"""),0.7821371536457508)</f>
        <v>0.7821371536</v>
      </c>
      <c r="AO200" s="30">
        <f>IFERROR(__xludf.DUMMYFUNCTION("""COMPUTED_VALUE"""),0.6543401165068186)</f>
        <v>0.6543401165</v>
      </c>
      <c r="AP200" s="30">
        <f>IFERROR(__xludf.DUMMYFUNCTION("""COMPUTED_VALUE"""),0.34777985375355713)</f>
        <v>0.3477798538</v>
      </c>
      <c r="AQ200" s="30">
        <f>IFERROR(__xludf.DUMMYFUNCTION("""COMPUTED_VALUE"""),0.7477415103088776)</f>
        <v>0.7477415103</v>
      </c>
      <c r="AR200" s="30">
        <f>IFERROR(__xludf.DUMMYFUNCTION("""COMPUTED_VALUE"""),0.8468597963387245)</f>
        <v>0.8468597963</v>
      </c>
      <c r="AS200" s="30">
        <f>IFERROR(__xludf.DUMMYFUNCTION("""COMPUTED_VALUE"""),29.0)</f>
        <v>29</v>
      </c>
      <c r="AT200" s="30">
        <f>IFERROR(__xludf.DUMMYFUNCTION("""COMPUTED_VALUE"""),0.4291851126119474)</f>
        <v>0.4291851126</v>
      </c>
      <c r="AU200" s="30">
        <f>IFERROR(__xludf.DUMMYFUNCTION("""COMPUTED_VALUE"""),1.2434695814226264)</f>
        <v>1.243469581</v>
      </c>
      <c r="AV200" s="32">
        <f>IFERROR(__xludf.DUMMYFUNCTION("""COMPUTED_VALUE"""),19.61802061903525)</f>
        <v>19.61802062</v>
      </c>
      <c r="AW200" s="32">
        <f>IFERROR(__xludf.DUMMYFUNCTION("""COMPUTED_VALUE"""),-8.918234569127428)</f>
        <v>-8.918234569</v>
      </c>
      <c r="AX200" s="32">
        <f>IFERROR(__xludf.DUMMYFUNCTION("""COMPUTED_VALUE"""),16.57197778092852)</f>
        <v>16.57197778</v>
      </c>
      <c r="AY200" s="32">
        <f>IFERROR(__xludf.DUMMYFUNCTION("""COMPUTED_VALUE"""),-11.038552270513623)</f>
        <v>-11.03855227</v>
      </c>
      <c r="AZ200" s="30">
        <f>IFERROR(__xludf.DUMMYFUNCTION("""COMPUTED_VALUE"""),2.1203177013861954)</f>
        <v>2.120317701</v>
      </c>
      <c r="BA200" s="30">
        <f>IFERROR(__xludf.DUMMYFUNCTION("""COMPUTED_VALUE"""),800.0)</f>
        <v>800</v>
      </c>
    </row>
    <row r="201">
      <c r="A201" s="30" t="str">
        <f>IFERROR(__xludf.DUMMYFUNCTION("""COMPUTED_VALUE"""),"Elite")</f>
        <v>Elite</v>
      </c>
      <c r="B201" s="30" t="str">
        <f>IFERROR(__xludf.DUMMYFUNCTION("""COMPUTED_VALUE"""),"RSC003709")</f>
        <v>RSC003709</v>
      </c>
      <c r="C201" s="30" t="str">
        <f>IFERROR(__xludf.DUMMYFUNCTION("""COMPUTED_VALUE"""),"donald.")</f>
        <v>donald.</v>
      </c>
      <c r="D201" s="30" t="str">
        <f>IFERROR(__xludf.DUMMYFUNCTION("""COMPUTED_VALUE"""),"Pixel Picassos")</f>
        <v>Pixel Picassos</v>
      </c>
      <c r="E201" s="30">
        <f>IFERROR(__xludf.DUMMYFUNCTION("""COMPUTED_VALUE"""),26.0)</f>
        <v>26</v>
      </c>
      <c r="F201" s="30">
        <f>IFERROR(__xludf.DUMMYFUNCTION("""COMPUTED_VALUE"""),8.0)</f>
        <v>8</v>
      </c>
      <c r="G201" s="30">
        <f>IFERROR(__xludf.DUMMYFUNCTION("""COMPUTED_VALUE"""),18.0)</f>
        <v>18</v>
      </c>
      <c r="H201" s="42">
        <f>IFERROR(__xludf.DUMMYFUNCTION("""COMPUTED_VALUE"""),0.3076923076923077)</f>
        <v>0.3076923077</v>
      </c>
      <c r="I201" s="42">
        <f>IFERROR(__xludf.DUMMYFUNCTION("""COMPUTED_VALUE"""),0.28888888888888886)</f>
        <v>0.2888888889</v>
      </c>
      <c r="J201" s="30">
        <f>IFERROR(__xludf.DUMMYFUNCTION("""COMPUTED_VALUE"""),357.4230769230769)</f>
        <v>357.4230769</v>
      </c>
      <c r="K201" s="30">
        <f>IFERROR(__xludf.DUMMYFUNCTION("""COMPUTED_VALUE"""),0.5)</f>
        <v>0.5</v>
      </c>
      <c r="L201" s="30">
        <f>IFERROR(__xludf.DUMMYFUNCTION("""COMPUTED_VALUE"""),0.46153846153846156)</f>
        <v>0.4615384615</v>
      </c>
      <c r="M201" s="30">
        <f>IFERROR(__xludf.DUMMYFUNCTION("""COMPUTED_VALUE"""),2.076923076923077)</f>
        <v>2.076923077</v>
      </c>
      <c r="N201" s="30">
        <f>IFERROR(__xludf.DUMMYFUNCTION("""COMPUTED_VALUE"""),1.7307692307692308)</f>
        <v>1.730769231</v>
      </c>
      <c r="O201" s="30">
        <f>IFERROR(__xludf.DUMMYFUNCTION("""COMPUTED_VALUE"""),382.53846153846155)</f>
        <v>382.5384615</v>
      </c>
      <c r="P201" s="30">
        <f>IFERROR(__xludf.DUMMYFUNCTION("""COMPUTED_VALUE"""),0.9871794871794871)</f>
        <v>0.9871794872</v>
      </c>
      <c r="Q201" s="30">
        <f>IFERROR(__xludf.DUMMYFUNCTION("""COMPUTED_VALUE"""),0.7435897435897435)</f>
        <v>0.7435897436</v>
      </c>
      <c r="R201" s="30">
        <f>IFERROR(__xludf.DUMMYFUNCTION("""COMPUTED_VALUE"""),0.9102564102564101)</f>
        <v>0.9102564103</v>
      </c>
      <c r="S201" s="30">
        <f>IFERROR(__xludf.DUMMYFUNCTION("""COMPUTED_VALUE"""),3.448717948717949)</f>
        <v>3.448717949</v>
      </c>
      <c r="T201" s="30">
        <f>IFERROR(__xludf.DUMMYFUNCTION("""COMPUTED_VALUE"""),368.0058063141672)</f>
        <v>368.0058063</v>
      </c>
      <c r="U201" s="30">
        <f>IFERROR(__xludf.DUMMYFUNCTION("""COMPUTED_VALUE"""),0.8330850124437111)</f>
        <v>0.8330850124</v>
      </c>
      <c r="V201" s="30">
        <f>IFERROR(__xludf.DUMMYFUNCTION("""COMPUTED_VALUE"""),0.6573926624442155)</f>
        <v>0.6573926624</v>
      </c>
      <c r="W201" s="30">
        <f>IFERROR(__xludf.DUMMYFUNCTION("""COMPUTED_VALUE"""),1.3455260195672936)</f>
        <v>1.34552602</v>
      </c>
      <c r="X201" s="30">
        <f>IFERROR(__xludf.DUMMYFUNCTION("""COMPUTED_VALUE"""),2.8488035115366475)</f>
        <v>2.848803512</v>
      </c>
      <c r="Y201" s="30">
        <f>IFERROR(__xludf.DUMMYFUNCTION("""COMPUTED_VALUE"""),357.6897788002771)</f>
        <v>357.6897788</v>
      </c>
      <c r="Z201" s="30">
        <f>IFERROR(__xludf.DUMMYFUNCTION("""COMPUTED_VALUE"""),0.7362597305850892)</f>
        <v>0.7362597306</v>
      </c>
      <c r="AA201" s="30">
        <f>IFERROR(__xludf.DUMMYFUNCTION("""COMPUTED_VALUE"""),0.5200312165782064)</f>
        <v>0.5200312166</v>
      </c>
      <c r="AB201" s="30">
        <f>IFERROR(__xludf.DUMMYFUNCTION("""COMPUTED_VALUE"""),1.5347947768753256)</f>
        <v>1.534794777</v>
      </c>
      <c r="AC201" s="30">
        <f>IFERROR(__xludf.DUMMYFUNCTION("""COMPUTED_VALUE"""),2.455375917553968)</f>
        <v>2.455375918</v>
      </c>
      <c r="AD201" s="30">
        <f>IFERROR(__xludf.DUMMYFUNCTION("""COMPUTED_VALUE"""),0.9992543765771146)</f>
        <v>0.9992543766</v>
      </c>
      <c r="AE201" s="30">
        <f>IFERROR(__xludf.DUMMYFUNCTION("""COMPUTED_VALUE"""),0.6791081723329635)</f>
        <v>0.6791081723</v>
      </c>
      <c r="AF201" s="30">
        <f>IFERROR(__xludf.DUMMYFUNCTION("""COMPUTED_VALUE"""),0.8875206849607494)</f>
        <v>0.887520685</v>
      </c>
      <c r="AG201" s="30">
        <f>IFERROR(__xludf.DUMMYFUNCTION("""COMPUTED_VALUE"""),1.353225270385312)</f>
        <v>1.35322527</v>
      </c>
      <c r="AH201" s="30">
        <f>IFERROR(__xludf.DUMMYFUNCTION("""COMPUTED_VALUE"""),0.7048897150108948)</f>
        <v>0.704889715</v>
      </c>
      <c r="AI201" s="30">
        <f>IFERROR(__xludf.DUMMYFUNCTION("""COMPUTED_VALUE"""),1.0394902878567296)</f>
        <v>1.039490288</v>
      </c>
      <c r="AJ201" s="30">
        <f>IFERROR(__xludf.DUMMYFUNCTION("""COMPUTED_VALUE"""),1.1849684875301818)</f>
        <v>1.184968488</v>
      </c>
      <c r="AK201" s="30">
        <f>IFERROR(__xludf.DUMMYFUNCTION("""COMPUTED_VALUE"""),1.1311196276895508)</f>
        <v>1.131119628</v>
      </c>
      <c r="AL201" s="30">
        <f>IFERROR(__xludf.DUMMYFUNCTION("""COMPUTED_VALUE"""),0.6765059887501385)</f>
        <v>0.6765059888</v>
      </c>
      <c r="AM201" s="30">
        <f>IFERROR(__xludf.DUMMYFUNCTION("""COMPUTED_VALUE"""),1.2105847015253457)</f>
        <v>1.210584702</v>
      </c>
      <c r="AN201" s="30">
        <f>IFERROR(__xludf.DUMMYFUNCTION("""COMPUTED_VALUE"""),1.013365882184346)</f>
        <v>1.013365882</v>
      </c>
      <c r="AO201" s="30">
        <f>IFERROR(__xludf.DUMMYFUNCTION("""COMPUTED_VALUE"""),0.7010786962573057)</f>
        <v>0.7010786963</v>
      </c>
      <c r="AP201" s="30">
        <f>IFERROR(__xludf.DUMMYFUNCTION("""COMPUTED_VALUE"""),0.8025688932774395)</f>
        <v>0.8025688933</v>
      </c>
      <c r="AQ201" s="30">
        <f>IFERROR(__xludf.DUMMYFUNCTION("""COMPUTED_VALUE"""),1.455938998437959)</f>
        <v>1.455938998</v>
      </c>
      <c r="AR201" s="30">
        <f>IFERROR(__xludf.DUMMYFUNCTION("""COMPUTED_VALUE"""),0.6870557241930759)</f>
        <v>0.6870557242</v>
      </c>
      <c r="AS201" s="30">
        <f>IFERROR(__xludf.DUMMYFUNCTION("""COMPUTED_VALUE"""),44.0)</f>
        <v>44</v>
      </c>
      <c r="AT201" s="30">
        <f>IFERROR(__xludf.DUMMYFUNCTION("""COMPUTED_VALUE"""),0.29524064778034487)</f>
        <v>0.2952406478</v>
      </c>
      <c r="AU201" s="30">
        <f>IFERROR(__xludf.DUMMYFUNCTION("""COMPUTED_VALUE"""),1.4803438096944963)</f>
        <v>1.48034381</v>
      </c>
      <c r="AV201" s="32">
        <f>IFERROR(__xludf.DUMMYFUNCTION("""COMPUTED_VALUE"""),26.27405831251359)</f>
        <v>26.27405831</v>
      </c>
      <c r="AW201" s="32">
        <f>IFERROR(__xludf.DUMMYFUNCTION("""COMPUTED_VALUE"""),-5.837686829884459)</f>
        <v>-5.83768683</v>
      </c>
      <c r="AX201" s="32">
        <f>IFERROR(__xludf.DUMMYFUNCTION("""COMPUTED_VALUE"""),34.51153228020042)</f>
        <v>34.51153228</v>
      </c>
      <c r="AY201" s="32">
        <f>IFERROR(__xludf.DUMMYFUNCTION("""COMPUTED_VALUE"""),-3.7343981766982424)</f>
        <v>-3.734398177</v>
      </c>
      <c r="AZ201" s="30">
        <f>IFERROR(__xludf.DUMMYFUNCTION("""COMPUTED_VALUE"""),2.1032886531862163)</f>
        <v>2.103288653</v>
      </c>
      <c r="BA201" s="30">
        <f>IFERROR(__xludf.DUMMYFUNCTION("""COMPUTED_VALUE"""),800.0)</f>
        <v>800</v>
      </c>
    </row>
    <row r="202">
      <c r="A202" s="30" t="str">
        <f>IFERROR(__xludf.DUMMYFUNCTION("""COMPUTED_VALUE"""),"Elite")</f>
        <v>Elite</v>
      </c>
      <c r="B202" s="30" t="str">
        <f>IFERROR(__xludf.DUMMYFUNCTION("""COMPUTED_VALUE"""),"RSC005308")</f>
        <v>RSC005308</v>
      </c>
      <c r="C202" s="30" t="str">
        <f>IFERROR(__xludf.DUMMYFUNCTION("""COMPUTED_VALUE"""),"6 lbs of Yeet")</f>
        <v>6 lbs of Yeet</v>
      </c>
      <c r="D202" s="30" t="str">
        <f>IFERROR(__xludf.DUMMYFUNCTION("""COMPUTED_VALUE"""),"Pixel Picassos")</f>
        <v>Pixel Picassos</v>
      </c>
      <c r="E202" s="30">
        <f>IFERROR(__xludf.DUMMYFUNCTION("""COMPUTED_VALUE"""),24.0)</f>
        <v>24</v>
      </c>
      <c r="F202" s="30">
        <f>IFERROR(__xludf.DUMMYFUNCTION("""COMPUTED_VALUE"""),6.0)</f>
        <v>6</v>
      </c>
      <c r="G202" s="30">
        <f>IFERROR(__xludf.DUMMYFUNCTION("""COMPUTED_VALUE"""),18.0)</f>
        <v>18</v>
      </c>
      <c r="H202" s="42">
        <f>IFERROR(__xludf.DUMMYFUNCTION("""COMPUTED_VALUE"""),0.25)</f>
        <v>0.25</v>
      </c>
      <c r="I202" s="42">
        <f>IFERROR(__xludf.DUMMYFUNCTION("""COMPUTED_VALUE"""),0.25)</f>
        <v>0.25</v>
      </c>
      <c r="J202" s="30">
        <f>IFERROR(__xludf.DUMMYFUNCTION("""COMPUTED_VALUE"""),329.9166666666667)</f>
        <v>329.9166667</v>
      </c>
      <c r="K202" s="30">
        <f>IFERROR(__xludf.DUMMYFUNCTION("""COMPUTED_VALUE"""),0.5416666666666666)</f>
        <v>0.5416666667</v>
      </c>
      <c r="L202" s="30">
        <f>IFERROR(__xludf.DUMMYFUNCTION("""COMPUTED_VALUE"""),0.4583333333333333)</f>
        <v>0.4583333333</v>
      </c>
      <c r="M202" s="30">
        <f>IFERROR(__xludf.DUMMYFUNCTION("""COMPUTED_VALUE"""),1.75)</f>
        <v>1.75</v>
      </c>
      <c r="N202" s="30">
        <f>IFERROR(__xludf.DUMMYFUNCTION("""COMPUTED_VALUE"""),2.1666666666666665)</f>
        <v>2.166666667</v>
      </c>
      <c r="O202" s="30">
        <f>IFERROR(__xludf.DUMMYFUNCTION("""COMPUTED_VALUE"""),382.5694444444445)</f>
        <v>382.5694444</v>
      </c>
      <c r="P202" s="30">
        <f>IFERROR(__xludf.DUMMYFUNCTION("""COMPUTED_VALUE"""),0.9722222222222223)</f>
        <v>0.9722222222</v>
      </c>
      <c r="Q202" s="30">
        <f>IFERROR(__xludf.DUMMYFUNCTION("""COMPUTED_VALUE"""),0.7083333333333334)</f>
        <v>0.7083333333</v>
      </c>
      <c r="R202" s="30">
        <f>IFERROR(__xludf.DUMMYFUNCTION("""COMPUTED_VALUE"""),1.222222222222222)</f>
        <v>1.222222222</v>
      </c>
      <c r="S202" s="30">
        <f>IFERROR(__xludf.DUMMYFUNCTION("""COMPUTED_VALUE"""),3.1388888888888893)</f>
        <v>3.138888889</v>
      </c>
      <c r="T202" s="30">
        <f>IFERROR(__xludf.DUMMYFUNCTION("""COMPUTED_VALUE"""),374.6384063563835)</f>
        <v>374.6384064</v>
      </c>
      <c r="U202" s="30">
        <f>IFERROR(__xludf.DUMMYFUNCTION("""COMPUTED_VALUE"""),0.8968103493666031)</f>
        <v>0.8968103494</v>
      </c>
      <c r="V202" s="30">
        <f>IFERROR(__xludf.DUMMYFUNCTION("""COMPUTED_VALUE"""),0.6714162065062693)</f>
        <v>0.6714162065</v>
      </c>
      <c r="W202" s="30">
        <f>IFERROR(__xludf.DUMMYFUNCTION("""COMPUTED_VALUE"""),1.2838095314898392)</f>
        <v>1.283809531</v>
      </c>
      <c r="X202" s="30">
        <f>IFERROR(__xludf.DUMMYFUNCTION("""COMPUTED_VALUE"""),2.9889004812984274)</f>
        <v>2.988900481</v>
      </c>
      <c r="Y202" s="30">
        <f>IFERROR(__xludf.DUMMYFUNCTION("""COMPUTED_VALUE"""),360.1488056109406)</f>
        <v>360.1488056</v>
      </c>
      <c r="Z202" s="30">
        <f>IFERROR(__xludf.DUMMYFUNCTION("""COMPUTED_VALUE"""),0.7100380452630136)</f>
        <v>0.7100380453</v>
      </c>
      <c r="AA202" s="30">
        <f>IFERROR(__xludf.DUMMYFUNCTION("""COMPUTED_VALUE"""),0.5260090656037512)</f>
        <v>0.5260090656</v>
      </c>
      <c r="AB202" s="30">
        <f>IFERROR(__xludf.DUMMYFUNCTION("""COMPUTED_VALUE"""),1.6011415160353313)</f>
        <v>1.601141516</v>
      </c>
      <c r="AC202" s="30">
        <f>IFERROR(__xludf.DUMMYFUNCTION("""COMPUTED_VALUE"""),2.451817342983236)</f>
        <v>2.451817343</v>
      </c>
      <c r="AD202" s="30">
        <f>IFERROR(__xludf.DUMMYFUNCTION("""COMPUTED_VALUE"""),0.916056534206772)</f>
        <v>0.9160565342</v>
      </c>
      <c r="AE202" s="30">
        <f>IFERROR(__xludf.DUMMYFUNCTION("""COMPUTED_VALUE"""),0.7628699198308754)</f>
        <v>0.7628699198</v>
      </c>
      <c r="AF202" s="30">
        <f>IFERROR(__xludf.DUMMYFUNCTION("""COMPUTED_VALUE"""),0.8713411294675313)</f>
        <v>0.8713411295</v>
      </c>
      <c r="AG202" s="30">
        <f>IFERROR(__xludf.DUMMYFUNCTION("""COMPUTED_VALUE"""),1.092970223102618)</f>
        <v>1.092970223</v>
      </c>
      <c r="AH202" s="30">
        <f>IFERROR(__xludf.DUMMYFUNCTION("""COMPUTED_VALUE"""),0.8836982383159041)</f>
        <v>0.8836982383</v>
      </c>
      <c r="AI202" s="30">
        <f>IFERROR(__xludf.DUMMYFUNCTION("""COMPUTED_VALUE"""),1.0211698479213487)</f>
        <v>1.021169848</v>
      </c>
      <c r="AJ202" s="30">
        <f>IFERROR(__xludf.DUMMYFUNCTION("""COMPUTED_VALUE"""),1.084088985936526)</f>
        <v>1.084088986</v>
      </c>
      <c r="AK202" s="30">
        <f>IFERROR(__xludf.DUMMYFUNCTION("""COMPUTED_VALUE"""),1.0549839674248604)</f>
        <v>1.054983967</v>
      </c>
      <c r="AL202" s="30">
        <f>IFERROR(__xludf.DUMMYFUNCTION("""COMPUTED_VALUE"""),0.9520276896556874)</f>
        <v>0.9520276897</v>
      </c>
      <c r="AM202" s="30">
        <f>IFERROR(__xludf.DUMMYFUNCTION("""COMPUTED_VALUE"""),1.0501818004744354)</f>
        <v>1.0501818</v>
      </c>
      <c r="AN202" s="30">
        <f>IFERROR(__xludf.DUMMYFUNCTION("""COMPUTED_VALUE"""),0.9353797097884025)</f>
        <v>0.9353797098</v>
      </c>
      <c r="AO202" s="30">
        <f>IFERROR(__xludf.DUMMYFUNCTION("""COMPUTED_VALUE"""),0.7595019209454144)</f>
        <v>0.7595019209</v>
      </c>
      <c r="AP202" s="30">
        <f>IFERROR(__xludf.DUMMYFUNCTION("""COMPUTED_VALUE"""),0.796995498185235)</f>
        <v>0.7969954982</v>
      </c>
      <c r="AQ202" s="30">
        <f>IFERROR(__xludf.DUMMYFUNCTION("""COMPUTED_VALUE"""),1.2267634153505023)</f>
        <v>1.226763415</v>
      </c>
      <c r="AR202" s="30">
        <f>IFERROR(__xludf.DUMMYFUNCTION("""COMPUTED_VALUE"""),0.8600919806565172)</f>
        <v>0.8600919807</v>
      </c>
      <c r="AS202" s="30">
        <f>IFERROR(__xludf.DUMMYFUNCTION("""COMPUTED_VALUE"""),46.0)</f>
        <v>46</v>
      </c>
      <c r="AT202" s="30">
        <f>IFERROR(__xludf.DUMMYFUNCTION("""COMPUTED_VALUE"""),0.3407624770913849)</f>
        <v>0.3407624771</v>
      </c>
      <c r="AU202" s="30">
        <f>IFERROR(__xludf.DUMMYFUNCTION("""COMPUTED_VALUE"""),1.7877854639902289)</f>
        <v>1.787785464</v>
      </c>
      <c r="AV202" s="32">
        <f>IFERROR(__xludf.DUMMYFUNCTION("""COMPUTED_VALUE"""),34.91300250862539)</f>
        <v>34.91300251</v>
      </c>
      <c r="AW202" s="32">
        <f>IFERROR(__xludf.DUMMYFUNCTION("""COMPUTED_VALUE"""),-3.661732898984667)</f>
        <v>-3.661732899</v>
      </c>
      <c r="AX202" s="32">
        <f>IFERROR(__xludf.DUMMYFUNCTION("""COMPUTED_VALUE"""),26.82342029745093)</f>
        <v>26.8234203</v>
      </c>
      <c r="AY202" s="32">
        <f>IFERROR(__xludf.DUMMYFUNCTION("""COMPUTED_VALUE"""),-5.651414093467502)</f>
        <v>-5.651414093</v>
      </c>
      <c r="AZ202" s="30">
        <f>IFERROR(__xludf.DUMMYFUNCTION("""COMPUTED_VALUE"""),1.9896811944828352)</f>
        <v>1.989681194</v>
      </c>
      <c r="BA202" s="30">
        <f>IFERROR(__xludf.DUMMYFUNCTION("""COMPUTED_VALUE"""),800.0)</f>
        <v>800</v>
      </c>
    </row>
    <row r="203">
      <c r="A203" s="30" t="str">
        <f>IFERROR(__xludf.DUMMYFUNCTION("""COMPUTED_VALUE"""),"Elite")</f>
        <v>Elite</v>
      </c>
      <c r="B203" s="30" t="str">
        <f>IFERROR(__xludf.DUMMYFUNCTION("""COMPUTED_VALUE"""),"RSC005030")</f>
        <v>RSC005030</v>
      </c>
      <c r="C203" s="30" t="str">
        <f>IFERROR(__xludf.DUMMYFUNCTION("""COMPUTED_VALUE"""),"Joe")</f>
        <v>Joe</v>
      </c>
      <c r="D203" s="30" t="str">
        <f>IFERROR(__xludf.DUMMYFUNCTION("""COMPUTED_VALUE"""),"Fire")</f>
        <v>Fire</v>
      </c>
      <c r="E203" s="30">
        <f>IFERROR(__xludf.DUMMYFUNCTION("""COMPUTED_VALUE"""),34.0)</f>
        <v>34</v>
      </c>
      <c r="F203" s="30">
        <f>IFERROR(__xludf.DUMMYFUNCTION("""COMPUTED_VALUE"""),18.0)</f>
        <v>18</v>
      </c>
      <c r="G203" s="30">
        <f>IFERROR(__xludf.DUMMYFUNCTION("""COMPUTED_VALUE"""),16.0)</f>
        <v>16</v>
      </c>
      <c r="H203" s="42">
        <f>IFERROR(__xludf.DUMMYFUNCTION("""COMPUTED_VALUE"""),0.5294117647058824)</f>
        <v>0.5294117647</v>
      </c>
      <c r="I203" s="42">
        <f>IFERROR(__xludf.DUMMYFUNCTION("""COMPUTED_VALUE"""),0.2844036697247706)</f>
        <v>0.2844036697</v>
      </c>
      <c r="J203" s="30">
        <f>IFERROR(__xludf.DUMMYFUNCTION("""COMPUTED_VALUE"""),396.1764705882353)</f>
        <v>396.1764706</v>
      </c>
      <c r="K203" s="30">
        <f>IFERROR(__xludf.DUMMYFUNCTION("""COMPUTED_VALUE"""),0.9117647058823529)</f>
        <v>0.9117647059</v>
      </c>
      <c r="L203" s="30">
        <f>IFERROR(__xludf.DUMMYFUNCTION("""COMPUTED_VALUE"""),0.4117647058823529)</f>
        <v>0.4117647059</v>
      </c>
      <c r="M203" s="30">
        <f>IFERROR(__xludf.DUMMYFUNCTION("""COMPUTED_VALUE"""),1.8235294117647058)</f>
        <v>1.823529412</v>
      </c>
      <c r="N203" s="30">
        <f>IFERROR(__xludf.DUMMYFUNCTION("""COMPUTED_VALUE"""),3.2058823529411766)</f>
        <v>3.205882353</v>
      </c>
      <c r="O203" s="30">
        <f>IFERROR(__xludf.DUMMYFUNCTION("""COMPUTED_VALUE"""),366.53921568627453)</f>
        <v>366.5392157</v>
      </c>
      <c r="P203" s="30">
        <f>IFERROR(__xludf.DUMMYFUNCTION("""COMPUTED_VALUE"""),0.784313725490196)</f>
        <v>0.7843137255</v>
      </c>
      <c r="Q203" s="30">
        <f>IFERROR(__xludf.DUMMYFUNCTION("""COMPUTED_VALUE"""),0.5784313725490197)</f>
        <v>0.5784313725</v>
      </c>
      <c r="R203" s="30">
        <f>IFERROR(__xludf.DUMMYFUNCTION("""COMPUTED_VALUE"""),1.5392156862745094)</f>
        <v>1.539215686</v>
      </c>
      <c r="S203" s="30">
        <f>IFERROR(__xludf.DUMMYFUNCTION("""COMPUTED_VALUE"""),2.6666666666666674)</f>
        <v>2.666666667</v>
      </c>
      <c r="T203" s="30">
        <f>IFERROR(__xludf.DUMMYFUNCTION("""COMPUTED_VALUE"""),367.34181600942094)</f>
        <v>367.341816</v>
      </c>
      <c r="U203" s="30">
        <f>IFERROR(__xludf.DUMMYFUNCTION("""COMPUTED_VALUE"""),0.7904725198070075)</f>
        <v>0.7904725198</v>
      </c>
      <c r="V203" s="30">
        <f>IFERROR(__xludf.DUMMYFUNCTION("""COMPUTED_VALUE"""),0.5779947860143425)</f>
        <v>0.577994786</v>
      </c>
      <c r="W203" s="30">
        <f>IFERROR(__xludf.DUMMYFUNCTION("""COMPUTED_VALUE"""),1.480160975328202)</f>
        <v>1.480160975</v>
      </c>
      <c r="X203" s="30">
        <f>IFERROR(__xludf.DUMMYFUNCTION("""COMPUTED_VALUE"""),2.6689349913375926)</f>
        <v>2.668934991</v>
      </c>
      <c r="Y203" s="30">
        <f>IFERROR(__xludf.DUMMYFUNCTION("""COMPUTED_VALUE"""),355.58195806956365)</f>
        <v>355.5819581</v>
      </c>
      <c r="Z203" s="30">
        <f>IFERROR(__xludf.DUMMYFUNCTION("""COMPUTED_VALUE"""),0.7342670491591593)</f>
        <v>0.7342670492</v>
      </c>
      <c r="AA203" s="30">
        <f>IFERROR(__xludf.DUMMYFUNCTION("""COMPUTED_VALUE"""),0.542533932980184)</f>
        <v>0.542533933</v>
      </c>
      <c r="AB203" s="30">
        <f>IFERROR(__xludf.DUMMYFUNCTION("""COMPUTED_VALUE"""),1.407882546410362)</f>
        <v>1.407882546</v>
      </c>
      <c r="AC203" s="30">
        <f>IFERROR(__xludf.DUMMYFUNCTION("""COMPUTED_VALUE"""),2.6449980634547305)</f>
        <v>2.644998063</v>
      </c>
      <c r="AD203" s="30">
        <f>IFERROR(__xludf.DUMMYFUNCTION("""COMPUTED_VALUE"""),1.1141635890050698)</f>
        <v>1.114163589</v>
      </c>
      <c r="AE203" s="30">
        <f>IFERROR(__xludf.DUMMYFUNCTION("""COMPUTED_VALUE"""),1.2417344710299254)</f>
        <v>1.241734471</v>
      </c>
      <c r="AF203" s="30">
        <f>IFERROR(__xludf.DUMMYFUNCTION("""COMPUTED_VALUE"""),0.7589658099733875)</f>
        <v>0.75896581</v>
      </c>
      <c r="AG203" s="30">
        <f>IFERROR(__xludf.DUMMYFUNCTION("""COMPUTED_VALUE"""),1.2952283671774374)</f>
        <v>1.295228367</v>
      </c>
      <c r="AH203" s="30">
        <f>IFERROR(__xludf.DUMMYFUNCTION("""COMPUTED_VALUE"""),1.2120547070472536)</f>
        <v>1.212054707</v>
      </c>
      <c r="AI203" s="30">
        <f>IFERROR(__xludf.DUMMYFUNCTION("""COMPUTED_VALUE"""),0.997815113095848)</f>
        <v>0.9978151131</v>
      </c>
      <c r="AJ203" s="30">
        <f>IFERROR(__xludf.DUMMYFUNCTION("""COMPUTED_VALUE"""),0.992208717997793)</f>
        <v>0.992208718</v>
      </c>
      <c r="AK203" s="30">
        <f>IFERROR(__xludf.DUMMYFUNCTION("""COMPUTED_VALUE"""),1.0007553468391777)</f>
        <v>1.000755347</v>
      </c>
      <c r="AL203" s="30">
        <f>IFERROR(__xludf.DUMMYFUNCTION("""COMPUTED_VALUE"""),1.0398974921854112)</f>
        <v>1.039897492</v>
      </c>
      <c r="AM203" s="30">
        <f>IFERROR(__xludf.DUMMYFUNCTION("""COMPUTED_VALUE"""),0.9991501011908168)</f>
        <v>0.9991501012</v>
      </c>
      <c r="AN203" s="30">
        <f>IFERROR(__xludf.DUMMYFUNCTION("""COMPUTED_VALUE"""),1.1232395011381169)</f>
        <v>1.123239501</v>
      </c>
      <c r="AO203" s="30">
        <f>IFERROR(__xludf.DUMMYFUNCTION("""COMPUTED_VALUE"""),1.2784376225868515)</f>
        <v>1.278437623</v>
      </c>
      <c r="AP203" s="30">
        <f>IFERROR(__xludf.DUMMYFUNCTION("""COMPUTED_VALUE"""),0.7160173459632058)</f>
        <v>0.716017346</v>
      </c>
      <c r="AQ203" s="30">
        <f>IFERROR(__xludf.DUMMYFUNCTION("""COMPUTED_VALUE"""),1.2783080966677502)</f>
        <v>1.278308097</v>
      </c>
      <c r="AR203" s="30">
        <f>IFERROR(__xludf.DUMMYFUNCTION("""COMPUTED_VALUE"""),1.2726247858582858)</f>
        <v>1.272624786</v>
      </c>
      <c r="AS203" s="30">
        <f>IFERROR(__xludf.DUMMYFUNCTION("""COMPUTED_VALUE"""),77.0)</f>
        <v>77</v>
      </c>
      <c r="AT203" s="30">
        <f>IFERROR(__xludf.DUMMYFUNCTION("""COMPUTED_VALUE"""),0.48518143943108255)</f>
        <v>0.4851814394</v>
      </c>
      <c r="AU203" s="30">
        <f>IFERROR(__xludf.DUMMYFUNCTION("""COMPUTED_VALUE"""),2.950578917918764)</f>
        <v>2.950578918</v>
      </c>
      <c r="AV203" s="32">
        <f>IFERROR(__xludf.DUMMYFUNCTION("""COMPUTED_VALUE"""),67.58686963018982)</f>
        <v>67.58686963</v>
      </c>
      <c r="AW203" s="32">
        <f>IFERROR(__xludf.DUMMYFUNCTION("""COMPUTED_VALUE"""),4.1514454343097995)</f>
        <v>4.151445434</v>
      </c>
      <c r="AX203" s="32">
        <f>IFERROR(__xludf.DUMMYFUNCTION("""COMPUTED_VALUE"""),53.88681021281221)</f>
        <v>53.88681021</v>
      </c>
      <c r="AY203" s="32">
        <f>IFERROR(__xludf.DUMMYFUNCTION("""COMPUTED_VALUE"""),2.281935649986874)</f>
        <v>2.28193565</v>
      </c>
      <c r="AZ203" s="30">
        <f>IFERROR(__xludf.DUMMYFUNCTION("""COMPUTED_VALUE"""),1.8695097843229256)</f>
        <v>1.869509784</v>
      </c>
      <c r="BA203" s="30">
        <f>IFERROR(__xludf.DUMMYFUNCTION("""COMPUTED_VALUE"""),800.0)</f>
        <v>800</v>
      </c>
    </row>
    <row r="204">
      <c r="A204" s="30" t="str">
        <f>IFERROR(__xludf.DUMMYFUNCTION("""COMPUTED_VALUE"""),"Elite")</f>
        <v>Elite</v>
      </c>
      <c r="B204" s="30" t="str">
        <f>IFERROR(__xludf.DUMMYFUNCTION("""COMPUTED_VALUE"""),"RSC004630")</f>
        <v>RSC004630</v>
      </c>
      <c r="C204" s="30" t="str">
        <f>IFERROR(__xludf.DUMMYFUNCTION("""COMPUTED_VALUE"""),"Supe")</f>
        <v>Supe</v>
      </c>
      <c r="D204" s="30" t="str">
        <f>IFERROR(__xludf.DUMMYFUNCTION("""COMPUTED_VALUE"""),"Pylons")</f>
        <v>Pylons</v>
      </c>
      <c r="E204" s="30">
        <f>IFERROR(__xludf.DUMMYFUNCTION("""COMPUTED_VALUE"""),24.0)</f>
        <v>24</v>
      </c>
      <c r="F204" s="30">
        <f>IFERROR(__xludf.DUMMYFUNCTION("""COMPUTED_VALUE"""),13.0)</f>
        <v>13</v>
      </c>
      <c r="G204" s="30">
        <f>IFERROR(__xludf.DUMMYFUNCTION("""COMPUTED_VALUE"""),11.0)</f>
        <v>11</v>
      </c>
      <c r="H204" s="42">
        <f>IFERROR(__xludf.DUMMYFUNCTION("""COMPUTED_VALUE"""),0.5416666666666666)</f>
        <v>0.5416666667</v>
      </c>
      <c r="I204" s="42">
        <f>IFERROR(__xludf.DUMMYFUNCTION("""COMPUTED_VALUE"""),0.3125)</f>
        <v>0.3125</v>
      </c>
      <c r="J204" s="30">
        <f>IFERROR(__xludf.DUMMYFUNCTION("""COMPUTED_VALUE"""),426.0416666666667)</f>
        <v>426.0416667</v>
      </c>
      <c r="K204" s="30">
        <f>IFERROR(__xludf.DUMMYFUNCTION("""COMPUTED_VALUE"""),1.0416666666666667)</f>
        <v>1.041666667</v>
      </c>
      <c r="L204" s="30">
        <f>IFERROR(__xludf.DUMMYFUNCTION("""COMPUTED_VALUE"""),0.6666666666666666)</f>
        <v>0.6666666667</v>
      </c>
      <c r="M204" s="30">
        <f>IFERROR(__xludf.DUMMYFUNCTION("""COMPUTED_VALUE"""),1.4583333333333333)</f>
        <v>1.458333333</v>
      </c>
      <c r="N204" s="30">
        <f>IFERROR(__xludf.DUMMYFUNCTION("""COMPUTED_VALUE"""),3.3333333333333335)</f>
        <v>3.333333333</v>
      </c>
      <c r="O204" s="30">
        <f>IFERROR(__xludf.DUMMYFUNCTION("""COMPUTED_VALUE"""),350.25)</f>
        <v>350.25</v>
      </c>
      <c r="P204" s="30">
        <f>IFERROR(__xludf.DUMMYFUNCTION("""COMPUTED_VALUE"""),0.7361111111111112)</f>
        <v>0.7361111111</v>
      </c>
      <c r="Q204" s="30">
        <f>IFERROR(__xludf.DUMMYFUNCTION("""COMPUTED_VALUE"""),0.5416666666666666)</f>
        <v>0.5416666667</v>
      </c>
      <c r="R204" s="30">
        <f>IFERROR(__xludf.DUMMYFUNCTION("""COMPUTED_VALUE"""),1.4166666666666667)</f>
        <v>1.416666667</v>
      </c>
      <c r="S204" s="30">
        <f>IFERROR(__xludf.DUMMYFUNCTION("""COMPUTED_VALUE"""),2.4999999999999996)</f>
        <v>2.5</v>
      </c>
      <c r="T204" s="30">
        <f>IFERROR(__xludf.DUMMYFUNCTION("""COMPUTED_VALUE"""),355.2655648306195)</f>
        <v>355.2655648</v>
      </c>
      <c r="U204" s="30">
        <f>IFERROR(__xludf.DUMMYFUNCTION("""COMPUTED_VALUE"""),0.7256045526454439)</f>
        <v>0.7256045526</v>
      </c>
      <c r="V204" s="30">
        <f>IFERROR(__xludf.DUMMYFUNCTION("""COMPUTED_VALUE"""),0.5140116273751067)</f>
        <v>0.5140116274</v>
      </c>
      <c r="W204" s="30">
        <f>IFERROR(__xludf.DUMMYFUNCTION("""COMPUTED_VALUE"""),1.5018645402170725)</f>
        <v>1.50186454</v>
      </c>
      <c r="X204" s="30">
        <f>IFERROR(__xludf.DUMMYFUNCTION("""COMPUTED_VALUE"""),2.4018245337191764)</f>
        <v>2.401824534</v>
      </c>
      <c r="Y204" s="30">
        <f>IFERROR(__xludf.DUMMYFUNCTION("""COMPUTED_VALUE"""),358.7389276956648)</f>
        <v>358.7389277</v>
      </c>
      <c r="Z204" s="30">
        <f>IFERROR(__xludf.DUMMYFUNCTION("""COMPUTED_VALUE"""),0.7798483284559586)</f>
        <v>0.7798483285</v>
      </c>
      <c r="AA204" s="30">
        <f>IFERROR(__xludf.DUMMYFUNCTION("""COMPUTED_VALUE"""),0.5928142319823524)</f>
        <v>0.592814232</v>
      </c>
      <c r="AB204" s="30">
        <f>IFERROR(__xludf.DUMMYFUNCTION("""COMPUTED_VALUE"""),1.322858511572033)</f>
        <v>1.322858512</v>
      </c>
      <c r="AC204" s="30">
        <f>IFERROR(__xludf.DUMMYFUNCTION("""COMPUTED_VALUE"""),2.75839545143521)</f>
        <v>2.758395451</v>
      </c>
      <c r="AD204" s="30">
        <f>IFERROR(__xludf.DUMMYFUNCTION("""COMPUTED_VALUE"""),1.187609243868003)</f>
        <v>1.187609244</v>
      </c>
      <c r="AE204" s="30">
        <f>IFERROR(__xludf.DUMMYFUNCTION("""COMPUTED_VALUE"""),1.3357298190650595)</f>
        <v>1.335729819</v>
      </c>
      <c r="AF204" s="30">
        <f>IFERROR(__xludf.DUMMYFUNCTION("""COMPUTED_VALUE"""),1.1245793887865243)</f>
        <v>1.124579389</v>
      </c>
      <c r="AG204" s="30">
        <f>IFERROR(__xludf.DUMMYFUNCTION("""COMPUTED_VALUE"""),1.1024106664289495)</f>
        <v>1.102410666</v>
      </c>
      <c r="AH204" s="30">
        <f>IFERROR(__xludf.DUMMYFUNCTION("""COMPUTED_VALUE"""),1.2084320004221947)</f>
        <v>1.208432</v>
      </c>
      <c r="AI204" s="30">
        <f>IFERROR(__xludf.DUMMYFUNCTION("""COMPUTED_VALUE"""),0.9858822094592512)</f>
        <v>0.9858822095</v>
      </c>
      <c r="AJ204" s="30">
        <f>IFERROR(__xludf.DUMMYFUNCTION("""COMPUTED_VALUE"""),1.0144797306292552)</f>
        <v>1.014479731</v>
      </c>
      <c r="AK204" s="30">
        <f>IFERROR(__xludf.DUMMYFUNCTION("""COMPUTED_VALUE"""),1.0538023613060765)</f>
        <v>1.053802361</v>
      </c>
      <c r="AL204" s="30">
        <f>IFERROR(__xludf.DUMMYFUNCTION("""COMPUTED_VALUE"""),0.9432719321423677)</f>
        <v>0.9432719321</v>
      </c>
      <c r="AM204" s="30">
        <f>IFERROR(__xludf.DUMMYFUNCTION("""COMPUTED_VALUE"""),1.0408753699125557)</f>
        <v>1.04087537</v>
      </c>
      <c r="AN204" s="30">
        <f>IFERROR(__xludf.DUMMYFUNCTION("""COMPUTED_VALUE"""),1.2079133029283171)</f>
        <v>1.207913303</v>
      </c>
      <c r="AO204" s="30">
        <f>IFERROR(__xludf.DUMMYFUNCTION("""COMPUTED_VALUE"""),1.4605806172027203)</f>
        <v>1.460580617</v>
      </c>
      <c r="AP204" s="30">
        <f>IFERROR(__xludf.DUMMYFUNCTION("""COMPUTED_VALUE"""),1.1592661791785237)</f>
        <v>1.159266179</v>
      </c>
      <c r="AQ204" s="30">
        <f>IFERROR(__xludf.DUMMYFUNCTION("""COMPUTED_VALUE"""),1.0223028461254187)</f>
        <v>1.022302846</v>
      </c>
      <c r="AR204" s="30">
        <f>IFERROR(__xludf.DUMMYFUNCTION("""COMPUTED_VALUE"""),1.3232184317792572)</f>
        <v>1.323218432</v>
      </c>
      <c r="AS204" s="30">
        <f>IFERROR(__xludf.DUMMYFUNCTION("""COMPUTED_VALUE"""),62.0)</f>
        <v>62</v>
      </c>
      <c r="AT204" s="30">
        <f>IFERROR(__xludf.DUMMYFUNCTION("""COMPUTED_VALUE"""),0.5611677648392986)</f>
        <v>0.5611677648</v>
      </c>
      <c r="AU204" s="30">
        <f>IFERROR(__xludf.DUMMYFUNCTION("""COMPUTED_VALUE"""),3.4235355547786535)</f>
        <v>3.423535555</v>
      </c>
      <c r="AV204" s="32">
        <f>IFERROR(__xludf.DUMMYFUNCTION("""COMPUTED_VALUE"""),80.87669531231118)</f>
        <v>80.87669531</v>
      </c>
      <c r="AW204" s="32">
        <f>IFERROR(__xludf.DUMMYFUNCTION("""COMPUTED_VALUE"""),9.224868122209564)</f>
        <v>9.224868122</v>
      </c>
      <c r="AX204" s="32">
        <f>IFERROR(__xludf.DUMMYFUNCTION("""COMPUTED_VALUE"""),77.53545533763443)</f>
        <v>77.53545534</v>
      </c>
      <c r="AY204" s="32">
        <f>IFERROR(__xludf.DUMMYFUNCTION("""COMPUTED_VALUE"""),7.3878519810292005)</f>
        <v>7.387851981</v>
      </c>
      <c r="AZ204" s="30">
        <f>IFERROR(__xludf.DUMMYFUNCTION("""COMPUTED_VALUE"""),1.8370161411803636)</f>
        <v>1.837016141</v>
      </c>
      <c r="BA204" s="30">
        <f>IFERROR(__xludf.DUMMYFUNCTION("""COMPUTED_VALUE"""),800.0)</f>
        <v>800</v>
      </c>
    </row>
    <row r="205">
      <c r="A205" s="30" t="str">
        <f>IFERROR(__xludf.DUMMYFUNCTION("""COMPUTED_VALUE"""),"Elite")</f>
        <v>Elite</v>
      </c>
      <c r="B205" s="30" t="str">
        <f>IFERROR(__xludf.DUMMYFUNCTION("""COMPUTED_VALUE"""),"RSC006783")</f>
        <v>RSC006783</v>
      </c>
      <c r="C205" s="30" t="str">
        <f>IFERROR(__xludf.DUMMYFUNCTION("""COMPUTED_VALUE"""),"ImSouperGreat")</f>
        <v>ImSouperGreat</v>
      </c>
      <c r="D205" s="30" t="str">
        <f>IFERROR(__xludf.DUMMYFUNCTION("""COMPUTED_VALUE"""),"Sloths")</f>
        <v>Sloths</v>
      </c>
      <c r="E205" s="30">
        <f>IFERROR(__xludf.DUMMYFUNCTION("""COMPUTED_VALUE"""),36.0)</f>
        <v>36</v>
      </c>
      <c r="F205" s="30">
        <f>IFERROR(__xludf.DUMMYFUNCTION("""COMPUTED_VALUE"""),20.0)</f>
        <v>20</v>
      </c>
      <c r="G205" s="30">
        <f>IFERROR(__xludf.DUMMYFUNCTION("""COMPUTED_VALUE"""),16.0)</f>
        <v>16</v>
      </c>
      <c r="H205" s="42">
        <f>IFERROR(__xludf.DUMMYFUNCTION("""COMPUTED_VALUE"""),0.5555555555555556)</f>
        <v>0.5555555556</v>
      </c>
      <c r="I205" s="42">
        <f>IFERROR(__xludf.DUMMYFUNCTION("""COMPUTED_VALUE"""),0.34285714285714286)</f>
        <v>0.3428571429</v>
      </c>
      <c r="J205" s="30">
        <f>IFERROR(__xludf.DUMMYFUNCTION("""COMPUTED_VALUE"""),419.75)</f>
        <v>419.75</v>
      </c>
      <c r="K205" s="30">
        <f>IFERROR(__xludf.DUMMYFUNCTION("""COMPUTED_VALUE"""),1.0)</f>
        <v>1</v>
      </c>
      <c r="L205" s="30">
        <f>IFERROR(__xludf.DUMMYFUNCTION("""COMPUTED_VALUE"""),0.5277777777777778)</f>
        <v>0.5277777778</v>
      </c>
      <c r="M205" s="30">
        <f>IFERROR(__xludf.DUMMYFUNCTION("""COMPUTED_VALUE"""),1.8611111111111112)</f>
        <v>1.861111111</v>
      </c>
      <c r="N205" s="30">
        <f>IFERROR(__xludf.DUMMYFUNCTION("""COMPUTED_VALUE"""),2.9166666666666665)</f>
        <v>2.916666667</v>
      </c>
      <c r="O205" s="30">
        <f>IFERROR(__xludf.DUMMYFUNCTION("""COMPUTED_VALUE"""),360.9351851851853)</f>
        <v>360.9351852</v>
      </c>
      <c r="P205" s="30">
        <f>IFERROR(__xludf.DUMMYFUNCTION("""COMPUTED_VALUE"""),0.685185185185185)</f>
        <v>0.6851851852</v>
      </c>
      <c r="Q205" s="30">
        <f>IFERROR(__xludf.DUMMYFUNCTION("""COMPUTED_VALUE"""),0.5462962962962964)</f>
        <v>0.5462962963</v>
      </c>
      <c r="R205" s="30">
        <f>IFERROR(__xludf.DUMMYFUNCTION("""COMPUTED_VALUE"""),1.5648148148148149)</f>
        <v>1.564814815</v>
      </c>
      <c r="S205" s="30">
        <f>IFERROR(__xludf.DUMMYFUNCTION("""COMPUTED_VALUE"""),2.611111111111111)</f>
        <v>2.611111111</v>
      </c>
      <c r="T205" s="30">
        <f>IFERROR(__xludf.DUMMYFUNCTION("""COMPUTED_VALUE"""),360.4181224194023)</f>
        <v>360.4181224</v>
      </c>
      <c r="U205" s="30">
        <f>IFERROR(__xludf.DUMMYFUNCTION("""COMPUTED_VALUE"""),0.7406160470012418)</f>
        <v>0.740616047</v>
      </c>
      <c r="V205" s="30">
        <f>IFERROR(__xludf.DUMMYFUNCTION("""COMPUTED_VALUE"""),0.5597078584627698)</f>
        <v>0.5597078585</v>
      </c>
      <c r="W205" s="30">
        <f>IFERROR(__xludf.DUMMYFUNCTION("""COMPUTED_VALUE"""),1.4781881534079468)</f>
        <v>1.478188153</v>
      </c>
      <c r="X205" s="30">
        <f>IFERROR(__xludf.DUMMYFUNCTION("""COMPUTED_VALUE"""),2.53481197097043)</f>
        <v>2.534811971</v>
      </c>
      <c r="Y205" s="30">
        <f>IFERROR(__xludf.DUMMYFUNCTION("""COMPUTED_VALUE"""),372.2010010490547)</f>
        <v>372.201001</v>
      </c>
      <c r="Z205" s="30">
        <f>IFERROR(__xludf.DUMMYFUNCTION("""COMPUTED_VALUE"""),0.8244855945955659)</f>
        <v>0.8244855946</v>
      </c>
      <c r="AA205" s="30">
        <f>IFERROR(__xludf.DUMMYFUNCTION("""COMPUTED_VALUE"""),0.6064958364779425)</f>
        <v>0.6064958365</v>
      </c>
      <c r="AB205" s="30">
        <f>IFERROR(__xludf.DUMMYFUNCTION("""COMPUTED_VALUE"""),1.442983676061934)</f>
        <v>1.442983676</v>
      </c>
      <c r="AC205" s="30">
        <f>IFERROR(__xludf.DUMMYFUNCTION("""COMPUTED_VALUE"""),2.7763475920960845)</f>
        <v>2.776347592</v>
      </c>
      <c r="AD205" s="30">
        <f>IFERROR(__xludf.DUMMYFUNCTION("""COMPUTED_VALUE"""),1.1277508626170474)</f>
        <v>1.127750863</v>
      </c>
      <c r="AE205" s="30">
        <f>IFERROR(__xludf.DUMMYFUNCTION("""COMPUTED_VALUE"""),1.2128774675445106)</f>
        <v>1.212877468</v>
      </c>
      <c r="AF205" s="30">
        <f>IFERROR(__xludf.DUMMYFUNCTION("""COMPUTED_VALUE"""),0.8702084104034447)</f>
        <v>0.8702084104</v>
      </c>
      <c r="AG205" s="30">
        <f>IFERROR(__xludf.DUMMYFUNCTION("""COMPUTED_VALUE"""),1.2897658802283158)</f>
        <v>1.28976588</v>
      </c>
      <c r="AH205" s="30">
        <f>IFERROR(__xludf.DUMMYFUNCTION("""COMPUTED_VALUE"""),1.050540888673325)</f>
        <v>1.050540889</v>
      </c>
      <c r="AI205" s="30">
        <f>IFERROR(__xludf.DUMMYFUNCTION("""COMPUTED_VALUE"""),1.0014346192203434)</f>
        <v>1.001434619</v>
      </c>
      <c r="AJ205" s="30">
        <f>IFERROR(__xludf.DUMMYFUNCTION("""COMPUTED_VALUE"""),0.9251557375235162)</f>
        <v>0.9251557375</v>
      </c>
      <c r="AK205" s="30">
        <f>IFERROR(__xludf.DUMMYFUNCTION("""COMPUTED_VALUE"""),0.9760382814647125)</f>
        <v>0.9760382815</v>
      </c>
      <c r="AL205" s="30">
        <f>IFERROR(__xludf.DUMMYFUNCTION("""COMPUTED_VALUE"""),1.0586032713137032)</f>
        <v>1.058603271</v>
      </c>
      <c r="AM205" s="30">
        <f>IFERROR(__xludf.DUMMYFUNCTION("""COMPUTED_VALUE"""),1.0301005127853609)</f>
        <v>1.030100513</v>
      </c>
      <c r="AN205" s="30">
        <f>IFERROR(__xludf.DUMMYFUNCTION("""COMPUTED_VALUE"""),1.1900751700439967)</f>
        <v>1.19007517</v>
      </c>
      <c r="AO205" s="30">
        <f>IFERROR(__xludf.DUMMYFUNCTION("""COMPUTED_VALUE"""),1.4021573925146114)</f>
        <v>1.402157393</v>
      </c>
      <c r="AP205" s="30">
        <f>IFERROR(__xludf.DUMMYFUNCTION("""COMPUTED_VALUE"""),0.9177523918496646)</f>
        <v>0.9177523918</v>
      </c>
      <c r="AQ205" s="30">
        <f>IFERROR(__xludf.DUMMYFUNCTION("""COMPUTED_VALUE"""),1.304653156007677)</f>
        <v>1.304653156</v>
      </c>
      <c r="AR205" s="30">
        <f>IFERROR(__xludf.DUMMYFUNCTION("""COMPUTED_VALUE"""),1.15781612780685)</f>
        <v>1.157816128</v>
      </c>
      <c r="AS205" s="30">
        <f>IFERROR(__xludf.DUMMYFUNCTION("""COMPUTED_VALUE"""),88.0)</f>
        <v>88</v>
      </c>
      <c r="AT205" s="30">
        <f>IFERROR(__xludf.DUMMYFUNCTION("""COMPUTED_VALUE"""),0.5663092322286509)</f>
        <v>0.5663092322</v>
      </c>
      <c r="AU205" s="30">
        <f>IFERROR(__xludf.DUMMYFUNCTION("""COMPUTED_VALUE"""),3.023367800419325)</f>
        <v>3.0233678</v>
      </c>
      <c r="AV205" s="32">
        <f>IFERROR(__xludf.DUMMYFUNCTION("""COMPUTED_VALUE"""),69.63219785827312)</f>
        <v>69.63219786</v>
      </c>
      <c r="AW205" s="32">
        <f>IFERROR(__xludf.DUMMYFUNCTION("""COMPUTED_VALUE"""),4.6265797266501485)</f>
        <v>4.626579727</v>
      </c>
      <c r="AX205" s="32">
        <f>IFERROR(__xludf.DUMMYFUNCTION("""COMPUTED_VALUE"""),59.64036296654259)</f>
        <v>59.64036297</v>
      </c>
      <c r="AY205" s="32">
        <f>IFERROR(__xludf.DUMMYFUNCTION("""COMPUTED_VALUE"""),2.858032199110248)</f>
        <v>2.858032199</v>
      </c>
      <c r="AZ205" s="30">
        <f>IFERROR(__xludf.DUMMYFUNCTION("""COMPUTED_VALUE"""),1.7685475275399005)</f>
        <v>1.768547528</v>
      </c>
      <c r="BA205" s="30">
        <f>IFERROR(__xludf.DUMMYFUNCTION("""COMPUTED_VALUE"""),800.0)</f>
        <v>800</v>
      </c>
    </row>
    <row r="206">
      <c r="A206" s="30" t="str">
        <f>IFERROR(__xludf.DUMMYFUNCTION("""COMPUTED_VALUE"""),"Elite")</f>
        <v>Elite</v>
      </c>
      <c r="B206" s="30" t="str">
        <f>IFERROR(__xludf.DUMMYFUNCTION("""COMPUTED_VALUE"""),"RSC002892")</f>
        <v>RSC002892</v>
      </c>
      <c r="C206" s="30" t="str">
        <f>IFERROR(__xludf.DUMMYFUNCTION("""COMPUTED_VALUE"""),"nickm")</f>
        <v>nickm</v>
      </c>
      <c r="D206" s="30" t="str">
        <f>IFERROR(__xludf.DUMMYFUNCTION("""COMPUTED_VALUE"""),"Cyclones")</f>
        <v>Cyclones</v>
      </c>
      <c r="E206" s="30">
        <f>IFERROR(__xludf.DUMMYFUNCTION("""COMPUTED_VALUE"""),8.0)</f>
        <v>8</v>
      </c>
      <c r="F206" s="30">
        <f>IFERROR(__xludf.DUMMYFUNCTION("""COMPUTED_VALUE"""),3.0)</f>
        <v>3</v>
      </c>
      <c r="G206" s="30">
        <f>IFERROR(__xludf.DUMMYFUNCTION("""COMPUTED_VALUE"""),5.0)</f>
        <v>5</v>
      </c>
      <c r="H206" s="42">
        <f>IFERROR(__xludf.DUMMYFUNCTION("""COMPUTED_VALUE"""),0.375)</f>
        <v>0.375</v>
      </c>
      <c r="I206" s="42">
        <f>IFERROR(__xludf.DUMMYFUNCTION("""COMPUTED_VALUE"""),0.2631578947368421)</f>
        <v>0.2631578947</v>
      </c>
      <c r="J206" s="30">
        <f>IFERROR(__xludf.DUMMYFUNCTION("""COMPUTED_VALUE"""),323.5)</f>
        <v>323.5</v>
      </c>
      <c r="K206" s="30">
        <f>IFERROR(__xludf.DUMMYFUNCTION("""COMPUTED_VALUE"""),0.625)</f>
        <v>0.625</v>
      </c>
      <c r="L206" s="30">
        <f>IFERROR(__xludf.DUMMYFUNCTION("""COMPUTED_VALUE"""),0.625)</f>
        <v>0.625</v>
      </c>
      <c r="M206" s="30">
        <f>IFERROR(__xludf.DUMMYFUNCTION("""COMPUTED_VALUE"""),1.375)</f>
        <v>1.375</v>
      </c>
      <c r="N206" s="30">
        <f>IFERROR(__xludf.DUMMYFUNCTION("""COMPUTED_VALUE"""),2.375)</f>
        <v>2.375</v>
      </c>
      <c r="O206" s="30">
        <f>IFERROR(__xludf.DUMMYFUNCTION("""COMPUTED_VALUE"""),397.66666666666663)</f>
        <v>397.6666667</v>
      </c>
      <c r="P206" s="30">
        <f>IFERROR(__xludf.DUMMYFUNCTION("""COMPUTED_VALUE"""),1.0)</f>
        <v>1</v>
      </c>
      <c r="Q206" s="30">
        <f>IFERROR(__xludf.DUMMYFUNCTION("""COMPUTED_VALUE"""),0.7916666666666667)</f>
        <v>0.7916666667</v>
      </c>
      <c r="R206" s="30">
        <f>IFERROR(__xludf.DUMMYFUNCTION("""COMPUTED_VALUE"""),1.375)</f>
        <v>1.375</v>
      </c>
      <c r="S206" s="30">
        <f>IFERROR(__xludf.DUMMYFUNCTION("""COMPUTED_VALUE"""),3.0000000000000004)</f>
        <v>3</v>
      </c>
      <c r="T206" s="30">
        <f>IFERROR(__xludf.DUMMYFUNCTION("""COMPUTED_VALUE"""),381.5730553580282)</f>
        <v>381.5730554</v>
      </c>
      <c r="U206" s="30">
        <f>IFERROR(__xludf.DUMMYFUNCTION("""COMPUTED_VALUE"""),0.9203633092641712)</f>
        <v>0.9203633093</v>
      </c>
      <c r="V206" s="30">
        <f>IFERROR(__xludf.DUMMYFUNCTION("""COMPUTED_VALUE"""),0.7892000961383608)</f>
        <v>0.7892000961</v>
      </c>
      <c r="W206" s="30">
        <f>IFERROR(__xludf.DUMMYFUNCTION("""COMPUTED_VALUE"""),1.1081889079177731)</f>
        <v>1.108188908</v>
      </c>
      <c r="X206" s="30">
        <f>IFERROR(__xludf.DUMMYFUNCTION("""COMPUTED_VALUE"""),3.1769818570534643)</f>
        <v>3.176981857</v>
      </c>
      <c r="Y206" s="30">
        <f>IFERROR(__xludf.DUMMYFUNCTION("""COMPUTED_VALUE"""),380.3280760125066)</f>
        <v>380.328076</v>
      </c>
      <c r="Z206" s="30">
        <f>IFERROR(__xludf.DUMMYFUNCTION("""COMPUTED_VALUE"""),0.8050126663562889)</f>
        <v>0.8050126664</v>
      </c>
      <c r="AA206" s="30">
        <f>IFERROR(__xludf.DUMMYFUNCTION("""COMPUTED_VALUE"""),0.6160741504561025)</f>
        <v>0.6160741505</v>
      </c>
      <c r="AB206" s="30">
        <f>IFERROR(__xludf.DUMMYFUNCTION("""COMPUTED_VALUE"""),1.6708691817493266)</f>
        <v>1.670869182</v>
      </c>
      <c r="AC206" s="30">
        <f>IFERROR(__xludf.DUMMYFUNCTION("""COMPUTED_VALUE"""),2.4506725957991256)</f>
        <v>2.450672596</v>
      </c>
      <c r="AD206" s="30">
        <f>IFERROR(__xludf.DUMMYFUNCTION("""COMPUTED_VALUE"""),0.8505814332501767)</f>
        <v>0.8505814333</v>
      </c>
      <c r="AE206" s="30">
        <f>IFERROR(__xludf.DUMMYFUNCTION("""COMPUTED_VALUE"""),0.7763852994126462)</f>
        <v>0.7763852994</v>
      </c>
      <c r="AF206" s="30">
        <f>IFERROR(__xludf.DUMMYFUNCTION("""COMPUTED_VALUE"""),1.014488271480453)</f>
        <v>1.014488271</v>
      </c>
      <c r="AG206" s="30">
        <f>IFERROR(__xludf.DUMMYFUNCTION("""COMPUTED_VALUE"""),0.8229249871976425)</f>
        <v>0.8229249872</v>
      </c>
      <c r="AH206" s="30">
        <f>IFERROR(__xludf.DUMMYFUNCTION("""COMPUTED_VALUE"""),0.9691217031892219)</f>
        <v>0.9691217032</v>
      </c>
      <c r="AI206" s="30">
        <f>IFERROR(__xludf.DUMMYFUNCTION("""COMPUTED_VALUE"""),1.0421770119316676)</f>
        <v>1.042177012</v>
      </c>
      <c r="AJ206" s="30">
        <f>IFERROR(__xludf.DUMMYFUNCTION("""COMPUTED_VALUE"""),1.0865274505559095)</f>
        <v>1.086527451</v>
      </c>
      <c r="AK206" s="30">
        <f>IFERROR(__xludf.DUMMYFUNCTION("""COMPUTED_VALUE"""),1.003125405762588)</f>
        <v>1.003125406</v>
      </c>
      <c r="AL206" s="30">
        <f>IFERROR(__xludf.DUMMYFUNCTION("""COMPUTED_VALUE"""),1.24076318592969)</f>
        <v>1.240763186</v>
      </c>
      <c r="AM206" s="30">
        <f>IFERROR(__xludf.DUMMYFUNCTION("""COMPUTED_VALUE"""),0.9442924558538058)</f>
        <v>0.9442924559</v>
      </c>
      <c r="AN206" s="30">
        <f>IFERROR(__xludf.DUMMYFUNCTION("""COMPUTED_VALUE"""),0.9171871769130028)</f>
        <v>0.9171871769</v>
      </c>
      <c r="AO206" s="30">
        <f>IFERROR(__xludf.DUMMYFUNCTION("""COMPUTED_VALUE"""),0.876348370321632)</f>
        <v>0.8763483703</v>
      </c>
      <c r="AP206" s="30">
        <f>IFERROR(__xludf.DUMMYFUNCTION("""COMPUTED_VALUE"""),1.086812042979866)</f>
        <v>1.086812043</v>
      </c>
      <c r="AQ206" s="30">
        <f>IFERROR(__xludf.DUMMYFUNCTION("""COMPUTED_VALUE"""),0.9638855406325375)</f>
        <v>0.9638855406</v>
      </c>
      <c r="AR206" s="30">
        <f>IFERROR(__xludf.DUMMYFUNCTION("""COMPUTED_VALUE"""),0.9427931326427208)</f>
        <v>0.9427931326</v>
      </c>
      <c r="AS206" s="30">
        <f>IFERROR(__xludf.DUMMYFUNCTION("""COMPUTED_VALUE"""),20.0)</f>
        <v>20</v>
      </c>
      <c r="AT206" s="30">
        <f>IFERROR(__xludf.DUMMYFUNCTION("""COMPUTED_VALUE"""),0.42619635446806875)</f>
        <v>0.4261963545</v>
      </c>
      <c r="AU206" s="30">
        <f>IFERROR(__xludf.DUMMYFUNCTION("""COMPUTED_VALUE"""),2.1063180278892486)</f>
        <v>2.106318028</v>
      </c>
      <c r="AV206" s="32">
        <f>IFERROR(__xludf.DUMMYFUNCTION("""COMPUTED_VALUE"""),43.86359526571831)</f>
        <v>43.86359527</v>
      </c>
      <c r="AW206" s="32">
        <f>IFERROR(__xludf.DUMMYFUNCTION("""COMPUTED_VALUE"""),-2.481071820909855)</f>
        <v>-2.481071821</v>
      </c>
      <c r="AX206" s="32">
        <f>IFERROR(__xludf.DUMMYFUNCTION("""COMPUTED_VALUE"""),32.406620975871405)</f>
        <v>32.40662098</v>
      </c>
      <c r="AY206" s="32">
        <f>IFERROR(__xludf.DUMMYFUNCTION("""COMPUTED_VALUE"""),-4.152843587042451)</f>
        <v>-4.152843587</v>
      </c>
      <c r="AZ206" s="30">
        <f>IFERROR(__xludf.DUMMYFUNCTION("""COMPUTED_VALUE"""),1.6717717661325961)</f>
        <v>1.671771766</v>
      </c>
      <c r="BA206" s="30">
        <f>IFERROR(__xludf.DUMMYFUNCTION("""COMPUTED_VALUE"""),800.0)</f>
        <v>800</v>
      </c>
    </row>
    <row r="207">
      <c r="A207" s="30" t="str">
        <f>IFERROR(__xludf.DUMMYFUNCTION("""COMPUTED_VALUE"""),"Elite")</f>
        <v>Elite</v>
      </c>
      <c r="B207" s="30" t="str">
        <f>IFERROR(__xludf.DUMMYFUNCTION("""COMPUTED_VALUE"""),"RSC003125")</f>
        <v>RSC003125</v>
      </c>
      <c r="C207" s="30" t="str">
        <f>IFERROR(__xludf.DUMMYFUNCTION("""COMPUTED_VALUE"""),"GrandPlat")</f>
        <v>GrandPlat</v>
      </c>
      <c r="D207" s="30" t="str">
        <f>IFERROR(__xludf.DUMMYFUNCTION("""COMPUTED_VALUE"""),"Despair")</f>
        <v>Despair</v>
      </c>
      <c r="E207" s="30">
        <f>IFERROR(__xludf.DUMMYFUNCTION("""COMPUTED_VALUE"""),35.0)</f>
        <v>35</v>
      </c>
      <c r="F207" s="30">
        <f>IFERROR(__xludf.DUMMYFUNCTION("""COMPUTED_VALUE"""),22.0)</f>
        <v>22</v>
      </c>
      <c r="G207" s="30">
        <f>IFERROR(__xludf.DUMMYFUNCTION("""COMPUTED_VALUE"""),13.0)</f>
        <v>13</v>
      </c>
      <c r="H207" s="42">
        <f>IFERROR(__xludf.DUMMYFUNCTION("""COMPUTED_VALUE"""),0.6285714285714286)</f>
        <v>0.6285714286</v>
      </c>
      <c r="I207" s="42">
        <f>IFERROR(__xludf.DUMMYFUNCTION("""COMPUTED_VALUE"""),0.3157894736842105)</f>
        <v>0.3157894737</v>
      </c>
      <c r="J207" s="30">
        <f>IFERROR(__xludf.DUMMYFUNCTION("""COMPUTED_VALUE"""),404.6857142857143)</f>
        <v>404.6857143</v>
      </c>
      <c r="K207" s="30">
        <f>IFERROR(__xludf.DUMMYFUNCTION("""COMPUTED_VALUE"""),0.8571428571428571)</f>
        <v>0.8571428571</v>
      </c>
      <c r="L207" s="30">
        <f>IFERROR(__xludf.DUMMYFUNCTION("""COMPUTED_VALUE"""),0.7142857142857143)</f>
        <v>0.7142857143</v>
      </c>
      <c r="M207" s="30">
        <f>IFERROR(__xludf.DUMMYFUNCTION("""COMPUTED_VALUE"""),1.6571428571428573)</f>
        <v>1.657142857</v>
      </c>
      <c r="N207" s="30">
        <f>IFERROR(__xludf.DUMMYFUNCTION("""COMPUTED_VALUE"""),2.7142857142857144)</f>
        <v>2.714285714</v>
      </c>
      <c r="O207" s="30">
        <f>IFERROR(__xludf.DUMMYFUNCTION("""COMPUTED_VALUE"""),349.752380952381)</f>
        <v>349.752381</v>
      </c>
      <c r="P207" s="30">
        <f>IFERROR(__xludf.DUMMYFUNCTION("""COMPUTED_VALUE"""),0.5809523809523808)</f>
        <v>0.580952381</v>
      </c>
      <c r="Q207" s="30">
        <f>IFERROR(__xludf.DUMMYFUNCTION("""COMPUTED_VALUE"""),0.4476190476190475)</f>
        <v>0.4476190476</v>
      </c>
      <c r="R207" s="30">
        <f>IFERROR(__xludf.DUMMYFUNCTION("""COMPUTED_VALUE"""),1.6476190476190478)</f>
        <v>1.647619048</v>
      </c>
      <c r="S207" s="30">
        <f>IFERROR(__xludf.DUMMYFUNCTION("""COMPUTED_VALUE"""),2.5047619047619047)</f>
        <v>2.504761905</v>
      </c>
      <c r="T207" s="30">
        <f>IFERROR(__xludf.DUMMYFUNCTION("""COMPUTED_VALUE"""),362.5382932734232)</f>
        <v>362.5382933</v>
      </c>
      <c r="U207" s="30">
        <f>IFERROR(__xludf.DUMMYFUNCTION("""COMPUTED_VALUE"""),0.7147151828411962)</f>
        <v>0.7147151828</v>
      </c>
      <c r="V207" s="30">
        <f>IFERROR(__xludf.DUMMYFUNCTION("""COMPUTED_VALUE"""),0.5847223826274309)</f>
        <v>0.5847223826</v>
      </c>
      <c r="W207" s="30">
        <f>IFERROR(__xludf.DUMMYFUNCTION("""COMPUTED_VALUE"""),1.561430853829654)</f>
        <v>1.561430854</v>
      </c>
      <c r="X207" s="30">
        <f>IFERROR(__xludf.DUMMYFUNCTION("""COMPUTED_VALUE"""),2.6325478414824093)</f>
        <v>2.632547841</v>
      </c>
      <c r="Y207" s="30">
        <f>IFERROR(__xludf.DUMMYFUNCTION("""COMPUTED_VALUE"""),366.0636532479072)</f>
        <v>366.0636532</v>
      </c>
      <c r="Z207" s="30">
        <f>IFERROR(__xludf.DUMMYFUNCTION("""COMPUTED_VALUE"""),0.792335276005052)</f>
        <v>0.792335276</v>
      </c>
      <c r="AA207" s="30">
        <f>IFERROR(__xludf.DUMMYFUNCTION("""COMPUTED_VALUE"""),0.5878077312680805)</f>
        <v>0.5878077313</v>
      </c>
      <c r="AB207" s="30">
        <f>IFERROR(__xludf.DUMMYFUNCTION("""COMPUTED_VALUE"""),1.4185508715567736)</f>
        <v>1.418550872</v>
      </c>
      <c r="AC207" s="30">
        <f>IFERROR(__xludf.DUMMYFUNCTION("""COMPUTED_VALUE"""),2.7763780438708854)</f>
        <v>2.776378044</v>
      </c>
      <c r="AD207" s="30">
        <f>IFERROR(__xludf.DUMMYFUNCTION("""COMPUTED_VALUE"""),1.1055064076838332)</f>
        <v>1.105506408</v>
      </c>
      <c r="AE207" s="30">
        <f>IFERROR(__xludf.DUMMYFUNCTION("""COMPUTED_VALUE"""),1.0817931286166689)</f>
        <v>1.081793129</v>
      </c>
      <c r="AF207" s="30">
        <f>IFERROR(__xludf.DUMMYFUNCTION("""COMPUTED_VALUE"""),1.215168968167163)</f>
        <v>1.215168968</v>
      </c>
      <c r="AG207" s="30">
        <f>IFERROR(__xludf.DUMMYFUNCTION("""COMPUTED_VALUE"""),1.1681941693950273)</f>
        <v>1.168194169</v>
      </c>
      <c r="AH207" s="30">
        <f>IFERROR(__xludf.DUMMYFUNCTION("""COMPUTED_VALUE"""),0.9776354917795703)</f>
        <v>0.9776354918</v>
      </c>
      <c r="AI207" s="30">
        <f>IFERROR(__xludf.DUMMYFUNCTION("""COMPUTED_VALUE"""),0.9647322433015394)</f>
        <v>0.9647322433</v>
      </c>
      <c r="AJ207" s="30">
        <f>IFERROR(__xludf.DUMMYFUNCTION("""COMPUTED_VALUE"""),0.8128446056552623)</f>
        <v>0.8128446057</v>
      </c>
      <c r="AK207" s="30">
        <f>IFERROR(__xludf.DUMMYFUNCTION("""COMPUTED_VALUE"""),0.7655240519572484)</f>
        <v>0.765524052</v>
      </c>
      <c r="AL207" s="30">
        <f>IFERROR(__xludf.DUMMYFUNCTION("""COMPUTED_VALUE"""),1.0551982135987665)</f>
        <v>1.055198214</v>
      </c>
      <c r="AM207" s="30">
        <f>IFERROR(__xludf.DUMMYFUNCTION("""COMPUTED_VALUE"""),0.9514592157806533)</f>
        <v>0.9514592158</v>
      </c>
      <c r="AN207" s="30">
        <f>IFERROR(__xludf.DUMMYFUNCTION("""COMPUTED_VALUE"""),1.1473649082619362)</f>
        <v>1.147364908</v>
      </c>
      <c r="AO207" s="30">
        <f>IFERROR(__xludf.DUMMYFUNCTION("""COMPUTED_VALUE"""),1.2018491935839524)</f>
        <v>1.201849194</v>
      </c>
      <c r="AP207" s="30">
        <f>IFERROR(__xludf.DUMMYFUNCTION("""COMPUTED_VALUE"""),1.242070906262704)</f>
        <v>1.242070906</v>
      </c>
      <c r="AQ207" s="30">
        <f>IFERROR(__xludf.DUMMYFUNCTION("""COMPUTED_VALUE"""),1.1616698463727206)</f>
        <v>1.161669846</v>
      </c>
      <c r="AR207" s="30">
        <f>IFERROR(__xludf.DUMMYFUNCTION("""COMPUTED_VALUE"""),1.0774778658773951)</f>
        <v>1.077477866</v>
      </c>
      <c r="AS207" s="30">
        <f>IFERROR(__xludf.DUMMYFUNCTION("""COMPUTED_VALUE"""),90.0)</f>
        <v>90</v>
      </c>
      <c r="AT207" s="30">
        <f>IFERROR(__xludf.DUMMYFUNCTION("""COMPUTED_VALUE"""),0.6437536137283388)</f>
        <v>0.6437536137</v>
      </c>
      <c r="AU207" s="30">
        <f>IFERROR(__xludf.DUMMYFUNCTION("""COMPUTED_VALUE"""),3.0610200712203803)</f>
        <v>3.061020071</v>
      </c>
      <c r="AV207" s="32">
        <f>IFERROR(__xludf.DUMMYFUNCTION("""COMPUTED_VALUE"""),70.69020630235441)</f>
        <v>70.6902063</v>
      </c>
      <c r="AW207" s="32">
        <f>IFERROR(__xludf.DUMMYFUNCTION("""COMPUTED_VALUE"""),4.903253977263649)</f>
        <v>4.903253977</v>
      </c>
      <c r="AX207" s="32">
        <f>IFERROR(__xludf.DUMMYFUNCTION("""COMPUTED_VALUE"""),62.876754397761815)</f>
        <v>62.8767544</v>
      </c>
      <c r="AY207" s="32">
        <f>IFERROR(__xludf.DUMMYFUNCTION("""COMPUTED_VALUE"""),3.2975875795507084)</f>
        <v>3.29758758</v>
      </c>
      <c r="AZ207" s="30">
        <f>IFERROR(__xludf.DUMMYFUNCTION("""COMPUTED_VALUE"""),1.6056663977129406)</f>
        <v>1.605666398</v>
      </c>
      <c r="BA207" s="30">
        <f>IFERROR(__xludf.DUMMYFUNCTION("""COMPUTED_VALUE"""),800.0)</f>
        <v>800</v>
      </c>
    </row>
    <row r="208">
      <c r="A208" s="30" t="str">
        <f>IFERROR(__xludf.DUMMYFUNCTION("""COMPUTED_VALUE"""),"Elite")</f>
        <v>Elite</v>
      </c>
      <c r="B208" s="30" t="str">
        <f>IFERROR(__xludf.DUMMYFUNCTION("""COMPUTED_VALUE"""),"RSC001055")</f>
        <v>RSC001055</v>
      </c>
      <c r="C208" s="30" t="str">
        <f>IFERROR(__xludf.DUMMYFUNCTION("""COMPUTED_VALUE"""),"Scotti")</f>
        <v>Scotti</v>
      </c>
      <c r="D208" s="30" t="str">
        <f>IFERROR(__xludf.DUMMYFUNCTION("""COMPUTED_VALUE"""),"Menthol")</f>
        <v>Menthol</v>
      </c>
      <c r="E208" s="30">
        <f>IFERROR(__xludf.DUMMYFUNCTION("""COMPUTED_VALUE"""),36.0)</f>
        <v>36</v>
      </c>
      <c r="F208" s="30">
        <f>IFERROR(__xludf.DUMMYFUNCTION("""COMPUTED_VALUE"""),22.0)</f>
        <v>22</v>
      </c>
      <c r="G208" s="30">
        <f>IFERROR(__xludf.DUMMYFUNCTION("""COMPUTED_VALUE"""),14.0)</f>
        <v>14</v>
      </c>
      <c r="H208" s="42">
        <f>IFERROR(__xludf.DUMMYFUNCTION("""COMPUTED_VALUE"""),0.6111111111111112)</f>
        <v>0.6111111111</v>
      </c>
      <c r="I208" s="42">
        <f>IFERROR(__xludf.DUMMYFUNCTION("""COMPUTED_VALUE"""),0.2727272727272727)</f>
        <v>0.2727272727</v>
      </c>
      <c r="J208" s="30">
        <f>IFERROR(__xludf.DUMMYFUNCTION("""COMPUTED_VALUE"""),417.125)</f>
        <v>417.125</v>
      </c>
      <c r="K208" s="30">
        <f>IFERROR(__xludf.DUMMYFUNCTION("""COMPUTED_VALUE"""),0.84375)</f>
        <v>0.84375</v>
      </c>
      <c r="L208" s="30">
        <f>IFERROR(__xludf.DUMMYFUNCTION("""COMPUTED_VALUE"""),1.03125)</f>
        <v>1.03125</v>
      </c>
      <c r="M208" s="30">
        <f>IFERROR(__xludf.DUMMYFUNCTION("""COMPUTED_VALUE"""),1.5)</f>
        <v>1.5</v>
      </c>
      <c r="N208" s="30">
        <f>IFERROR(__xludf.DUMMYFUNCTION("""COMPUTED_VALUE"""),3.09375)</f>
        <v>3.09375</v>
      </c>
      <c r="O208" s="30">
        <f>IFERROR(__xludf.DUMMYFUNCTION("""COMPUTED_VALUE"""),371.9166666666667)</f>
        <v>371.9166667</v>
      </c>
      <c r="P208" s="30">
        <f>IFERROR(__xludf.DUMMYFUNCTION("""COMPUTED_VALUE"""),0.7291666666666666)</f>
        <v>0.7291666667</v>
      </c>
      <c r="Q208" s="30">
        <f>IFERROR(__xludf.DUMMYFUNCTION("""COMPUTED_VALUE"""),0.5000000000000001)</f>
        <v>0.5</v>
      </c>
      <c r="R208" s="30">
        <f>IFERROR(__xludf.DUMMYFUNCTION("""COMPUTED_VALUE"""),1.78125)</f>
        <v>1.78125</v>
      </c>
      <c r="S208" s="30">
        <f>IFERROR(__xludf.DUMMYFUNCTION("""COMPUTED_VALUE"""),2.239583333333334)</f>
        <v>2.239583333</v>
      </c>
      <c r="T208" s="30">
        <f>IFERROR(__xludf.DUMMYFUNCTION("""COMPUTED_VALUE"""),350.73561926183766)</f>
        <v>350.7356193</v>
      </c>
      <c r="U208" s="30">
        <f>IFERROR(__xludf.DUMMYFUNCTION("""COMPUTED_VALUE"""),0.6926458019624947)</f>
        <v>0.692645802</v>
      </c>
      <c r="V208" s="30">
        <f>IFERROR(__xludf.DUMMYFUNCTION("""COMPUTED_VALUE"""),0.5554266735652322)</f>
        <v>0.5554266736</v>
      </c>
      <c r="W208" s="30">
        <f>IFERROR(__xludf.DUMMYFUNCTION("""COMPUTED_VALUE"""),1.5450754352572402)</f>
        <v>1.545075435</v>
      </c>
      <c r="X208" s="30">
        <f>IFERROR(__xludf.DUMMYFUNCTION("""COMPUTED_VALUE"""),2.3444456259966584)</f>
        <v>2.344445626</v>
      </c>
      <c r="Y208" s="30">
        <f>IFERROR(__xludf.DUMMYFUNCTION("""COMPUTED_VALUE"""),382.53921131328417)</f>
        <v>382.5392113</v>
      </c>
      <c r="Z208" s="30">
        <f>IFERROR(__xludf.DUMMYFUNCTION("""COMPUTED_VALUE"""),0.91967600380362)</f>
        <v>0.9196760038</v>
      </c>
      <c r="AA208" s="30">
        <f>IFERROR(__xludf.DUMMYFUNCTION("""COMPUTED_VALUE"""),0.6988397463923103)</f>
        <v>0.6988397464</v>
      </c>
      <c r="AB208" s="30">
        <f>IFERROR(__xludf.DUMMYFUNCTION("""COMPUTED_VALUE"""),1.3247631064041512)</f>
        <v>1.324763106</v>
      </c>
      <c r="AC208" s="30">
        <f>IFERROR(__xludf.DUMMYFUNCTION("""COMPUTED_VALUE"""),2.948102055078348)</f>
        <v>2.948102055</v>
      </c>
      <c r="AD208" s="30">
        <f>IFERROR(__xludf.DUMMYFUNCTION("""COMPUTED_VALUE"""),1.0904110942456862)</f>
        <v>1.090411094</v>
      </c>
      <c r="AE208" s="30">
        <f>IFERROR(__xludf.DUMMYFUNCTION("""COMPUTED_VALUE"""),0.9174426607961899)</f>
        <v>0.9174426608</v>
      </c>
      <c r="AF208" s="30">
        <f>IFERROR(__xludf.DUMMYFUNCTION("""COMPUTED_VALUE"""),1.4756602001012737)</f>
        <v>1.4756602</v>
      </c>
      <c r="AG208" s="30">
        <f>IFERROR(__xludf.DUMMYFUNCTION("""COMPUTED_VALUE"""),1.13227790897008)</f>
        <v>1.132277909</v>
      </c>
      <c r="AH208" s="30">
        <f>IFERROR(__xludf.DUMMYFUNCTION("""COMPUTED_VALUE"""),1.0494039698085627)</f>
        <v>1.04940397</v>
      </c>
      <c r="AI208" s="30">
        <f>IFERROR(__xludf.DUMMYFUNCTION("""COMPUTED_VALUE"""),1.060390351711089)</f>
        <v>1.060390352</v>
      </c>
      <c r="AJ208" s="30">
        <f>IFERROR(__xludf.DUMMYFUNCTION("""COMPUTED_VALUE"""),1.0527266094744185)</f>
        <v>1.052726609</v>
      </c>
      <c r="AK208" s="30">
        <f>IFERROR(__xludf.DUMMYFUNCTION("""COMPUTED_VALUE"""),0.9002088372719779)</f>
        <v>0.9002088373</v>
      </c>
      <c r="AL208" s="30">
        <f>IFERROR(__xludf.DUMMYFUNCTION("""COMPUTED_VALUE"""),1.152856332677012)</f>
        <v>1.152856333</v>
      </c>
      <c r="AM208" s="30">
        <f>IFERROR(__xludf.DUMMYFUNCTION("""COMPUTED_VALUE"""),0.9552720304107092)</f>
        <v>0.9552720304</v>
      </c>
      <c r="AN208" s="30">
        <f>IFERROR(__xludf.DUMMYFUNCTION("""COMPUTED_VALUE"""),1.1826327702313333)</f>
        <v>1.18263277</v>
      </c>
      <c r="AO208" s="30">
        <f>IFERROR(__xludf.DUMMYFUNCTION("""COMPUTED_VALUE"""),1.1830702999342033)</f>
        <v>1.1830703</v>
      </c>
      <c r="AP208" s="30">
        <f>IFERROR(__xludf.DUMMYFUNCTION("""COMPUTED_VALUE"""),1.7932398709167787)</f>
        <v>1.793239871</v>
      </c>
      <c r="AQ208" s="30">
        <f>IFERROR(__xludf.DUMMYFUNCTION("""COMPUTED_VALUE"""),1.0515114988718592)</f>
        <v>1.051511499</v>
      </c>
      <c r="AR208" s="30">
        <f>IFERROR(__xludf.DUMMYFUNCTION("""COMPUTED_VALUE"""),1.228112106995123)</f>
        <v>1.228112107</v>
      </c>
      <c r="AS208" s="30">
        <f>IFERROR(__xludf.DUMMYFUNCTION("""COMPUTED_VALUE"""),93.0)</f>
        <v>93</v>
      </c>
      <c r="AT208" s="30">
        <f>IFERROR(__xludf.DUMMYFUNCTION("""COMPUTED_VALUE"""),0.5647439362738392)</f>
        <v>0.5647439363</v>
      </c>
      <c r="AU208" s="30">
        <f>IFERROR(__xludf.DUMMYFUNCTION("""COMPUTED_VALUE"""),3.2062721144329167)</f>
        <v>3.206272114</v>
      </c>
      <c r="AV208" s="32">
        <f>IFERROR(__xludf.DUMMYFUNCTION("""COMPUTED_VALUE"""),74.77171015243873)</f>
        <v>74.77171015</v>
      </c>
      <c r="AW208" s="32">
        <f>IFERROR(__xludf.DUMMYFUNCTION("""COMPUTED_VALUE"""),6.21600928122328)</f>
        <v>6.216009281</v>
      </c>
      <c r="AX208" s="32">
        <f>IFERROR(__xludf.DUMMYFUNCTION("""COMPUTED_VALUE"""),78.37133895854777)</f>
        <v>78.37133896</v>
      </c>
      <c r="AY208" s="32">
        <f>IFERROR(__xludf.DUMMYFUNCTION("""COMPUTED_VALUE"""),7.799196236614232)</f>
        <v>7.799196237</v>
      </c>
      <c r="AZ208" s="30">
        <f>IFERROR(__xludf.DUMMYFUNCTION("""COMPUTED_VALUE"""),1.5831869553909517)</f>
        <v>1.583186955</v>
      </c>
      <c r="BA208" s="30">
        <f>IFERROR(__xludf.DUMMYFUNCTION("""COMPUTED_VALUE"""),800.0)</f>
        <v>800</v>
      </c>
    </row>
    <row r="209">
      <c r="A209" s="30" t="str">
        <f>IFERROR(__xludf.DUMMYFUNCTION("""COMPUTED_VALUE"""),"Elite")</f>
        <v>Elite</v>
      </c>
      <c r="B209" s="30" t="str">
        <f>IFERROR(__xludf.DUMMYFUNCTION("""COMPUTED_VALUE"""),"RSC006409")</f>
        <v>RSC006409</v>
      </c>
      <c r="C209" s="30" t="str">
        <f>IFERROR(__xludf.DUMMYFUNCTION("""COMPUTED_VALUE"""),"Reported.")</f>
        <v>Reported.</v>
      </c>
      <c r="D209" s="30" t="str">
        <f>IFERROR(__xludf.DUMMYFUNCTION("""COMPUTED_VALUE"""),"Forge Defenders")</f>
        <v>Forge Defenders</v>
      </c>
      <c r="E209" s="30">
        <f>IFERROR(__xludf.DUMMYFUNCTION("""COMPUTED_VALUE"""),20.0)</f>
        <v>20</v>
      </c>
      <c r="F209" s="30">
        <f>IFERROR(__xludf.DUMMYFUNCTION("""COMPUTED_VALUE"""),12.0)</f>
        <v>12</v>
      </c>
      <c r="G209" s="30">
        <f>IFERROR(__xludf.DUMMYFUNCTION("""COMPUTED_VALUE"""),8.0)</f>
        <v>8</v>
      </c>
      <c r="H209" s="42">
        <f>IFERROR(__xludf.DUMMYFUNCTION("""COMPUTED_VALUE"""),0.6)</f>
        <v>0.6</v>
      </c>
      <c r="I209" s="42">
        <f>IFERROR(__xludf.DUMMYFUNCTION("""COMPUTED_VALUE"""),0.2631578947368421)</f>
        <v>0.2631578947</v>
      </c>
      <c r="J209" s="30">
        <f>IFERROR(__xludf.DUMMYFUNCTION("""COMPUTED_VALUE"""),367.25)</f>
        <v>367.25</v>
      </c>
      <c r="K209" s="30">
        <f>IFERROR(__xludf.DUMMYFUNCTION("""COMPUTED_VALUE"""),0.75)</f>
        <v>0.75</v>
      </c>
      <c r="L209" s="30">
        <f>IFERROR(__xludf.DUMMYFUNCTION("""COMPUTED_VALUE"""),0.6)</f>
        <v>0.6</v>
      </c>
      <c r="M209" s="30">
        <f>IFERROR(__xludf.DUMMYFUNCTION("""COMPUTED_VALUE"""),1.45)</f>
        <v>1.45</v>
      </c>
      <c r="N209" s="30">
        <f>IFERROR(__xludf.DUMMYFUNCTION("""COMPUTED_VALUE"""),2.85)</f>
        <v>2.85</v>
      </c>
      <c r="O209" s="30">
        <f>IFERROR(__xludf.DUMMYFUNCTION("""COMPUTED_VALUE"""),344.98333333333323)</f>
        <v>344.9833333</v>
      </c>
      <c r="P209" s="30">
        <f>IFERROR(__xludf.DUMMYFUNCTION("""COMPUTED_VALUE"""),0.6000000000000001)</f>
        <v>0.6</v>
      </c>
      <c r="Q209" s="30">
        <f>IFERROR(__xludf.DUMMYFUNCTION("""COMPUTED_VALUE"""),0.45)</f>
        <v>0.45</v>
      </c>
      <c r="R209" s="30">
        <f>IFERROR(__xludf.DUMMYFUNCTION("""COMPUTED_VALUE"""),1.6166666666666667)</f>
        <v>1.616666667</v>
      </c>
      <c r="S209" s="30">
        <f>IFERROR(__xludf.DUMMYFUNCTION("""COMPUTED_VALUE"""),2.3166666666666664)</f>
        <v>2.316666667</v>
      </c>
      <c r="T209" s="30">
        <f>IFERROR(__xludf.DUMMYFUNCTION("""COMPUTED_VALUE"""),371.0456620574965)</f>
        <v>371.0456621</v>
      </c>
      <c r="U209" s="30">
        <f>IFERROR(__xludf.DUMMYFUNCTION("""COMPUTED_VALUE"""),0.8230501773144967)</f>
        <v>0.8230501773</v>
      </c>
      <c r="V209" s="30">
        <f>IFERROR(__xludf.DUMMYFUNCTION("""COMPUTED_VALUE"""),0.5708767942816289)</f>
        <v>0.5708767943</v>
      </c>
      <c r="W209" s="30">
        <f>IFERROR(__xludf.DUMMYFUNCTION("""COMPUTED_VALUE"""),1.4570743647564353)</f>
        <v>1.457074365</v>
      </c>
      <c r="X209" s="30">
        <f>IFERROR(__xludf.DUMMYFUNCTION("""COMPUTED_VALUE"""),2.7225021291152123)</f>
        <v>2.722502129</v>
      </c>
      <c r="Y209" s="30">
        <f>IFERROR(__xludf.DUMMYFUNCTION("""COMPUTED_VALUE"""),354.0917273971718)</f>
        <v>354.0917274</v>
      </c>
      <c r="Z209" s="30">
        <f>IFERROR(__xludf.DUMMYFUNCTION("""COMPUTED_VALUE"""),0.7016758324876807)</f>
        <v>0.7016758325</v>
      </c>
      <c r="AA209" s="30">
        <f>IFERROR(__xludf.DUMMYFUNCTION("""COMPUTED_VALUE"""),0.5159052285300548)</f>
        <v>0.5159052285</v>
      </c>
      <c r="AB209" s="30">
        <f>IFERROR(__xludf.DUMMYFUNCTION("""COMPUTED_VALUE"""),1.4490225927193445)</f>
        <v>1.449022593</v>
      </c>
      <c r="AC209" s="30">
        <f>IFERROR(__xludf.DUMMYFUNCTION("""COMPUTED_VALUE"""),2.598200967785607)</f>
        <v>2.598200968</v>
      </c>
      <c r="AD209" s="30">
        <f>IFERROR(__xludf.DUMMYFUNCTION("""COMPUTED_VALUE"""),1.0371606326404488)</f>
        <v>1.037160633</v>
      </c>
      <c r="AE209" s="30">
        <f>IFERROR(__xludf.DUMMYFUNCTION("""COMPUTED_VALUE"""),1.0688696478842568)</f>
        <v>1.068869648</v>
      </c>
      <c r="AF209" s="30">
        <f>IFERROR(__xludf.DUMMYFUNCTION("""COMPUTED_VALUE"""),1.1630043016031308)</f>
        <v>1.163004302</v>
      </c>
      <c r="AG209" s="30">
        <f>IFERROR(__xludf.DUMMYFUNCTION("""COMPUTED_VALUE"""),1.0006745286688878)</f>
        <v>1.000674529</v>
      </c>
      <c r="AH209" s="30">
        <f>IFERROR(__xludf.DUMMYFUNCTION("""COMPUTED_VALUE"""),1.096912839051475)</f>
        <v>1.096912839</v>
      </c>
      <c r="AI209" s="30">
        <f>IFERROR(__xludf.DUMMYFUNCTION("""COMPUTED_VALUE"""),0.9297597805627366)</f>
        <v>0.9297597806</v>
      </c>
      <c r="AJ209" s="30">
        <f>IFERROR(__xludf.DUMMYFUNCTION("""COMPUTED_VALUE"""),0.7289956512222867)</f>
        <v>0.7289956512</v>
      </c>
      <c r="AK209" s="30">
        <f>IFERROR(__xludf.DUMMYFUNCTION("""COMPUTED_VALUE"""),0.7882611528574464)</f>
        <v>0.7882611529</v>
      </c>
      <c r="AL209" s="30">
        <f>IFERROR(__xludf.DUMMYFUNCTION("""COMPUTED_VALUE"""),1.1095292771394745)</f>
        <v>1.109529277</v>
      </c>
      <c r="AM209" s="30">
        <f>IFERROR(__xludf.DUMMYFUNCTION("""COMPUTED_VALUE"""),0.8509329127391946)</f>
        <v>0.8509329127</v>
      </c>
      <c r="AN209" s="30">
        <f>IFERROR(__xludf.DUMMYFUNCTION("""COMPUTED_VALUE"""),1.0412271737907273)</f>
        <v>1.041227174</v>
      </c>
      <c r="AO209" s="30">
        <f>IFERROR(__xludf.DUMMYFUNCTION("""COMPUTED_VALUE"""),1.0516180443859584)</f>
        <v>1.051618044</v>
      </c>
      <c r="AP209" s="30">
        <f>IFERROR(__xludf.DUMMYFUNCTION("""COMPUTED_VALUE"""),1.0433395612606713)</f>
        <v>1.043339561</v>
      </c>
      <c r="AQ209" s="30">
        <f>IFERROR(__xludf.DUMMYFUNCTION("""COMPUTED_VALUE"""),1.0164611155761305)</f>
        <v>1.016461116</v>
      </c>
      <c r="AR209" s="30">
        <f>IFERROR(__xludf.DUMMYFUNCTION("""COMPUTED_VALUE"""),1.131351759171265)</f>
        <v>1.131351759</v>
      </c>
      <c r="AS209" s="30">
        <f>IFERROR(__xludf.DUMMYFUNCTION("""COMPUTED_VALUE"""),41.0)</f>
        <v>41</v>
      </c>
      <c r="AT209" s="30">
        <f>IFERROR(__xludf.DUMMYFUNCTION("""COMPUTED_VALUE"""),0.5477269614989981)</f>
        <v>0.5477269615</v>
      </c>
      <c r="AU209" s="30">
        <f>IFERROR(__xludf.DUMMYFUNCTION("""COMPUTED_VALUE"""),2.9483045589052055)</f>
        <v>2.948304559</v>
      </c>
      <c r="AV209" s="32">
        <f>IFERROR(__xludf.DUMMYFUNCTION("""COMPUTED_VALUE"""),67.52296137206827)</f>
        <v>67.52296137</v>
      </c>
      <c r="AW209" s="32">
        <f>IFERROR(__xludf.DUMMYFUNCTION("""COMPUTED_VALUE"""),4.13775490962339)</f>
        <v>4.13775491</v>
      </c>
      <c r="AX209" s="32">
        <f>IFERROR(__xludf.DUMMYFUNCTION("""COMPUTED_VALUE"""),57.05406612630219)</f>
        <v>57.05406613</v>
      </c>
      <c r="AY209" s="32">
        <f>IFERROR(__xludf.DUMMYFUNCTION("""COMPUTED_VALUE"""),2.571292954291581)</f>
        <v>2.571292954</v>
      </c>
      <c r="AZ209" s="30">
        <f>IFERROR(__xludf.DUMMYFUNCTION("""COMPUTED_VALUE"""),1.566461955331809)</f>
        <v>1.566461955</v>
      </c>
      <c r="BA209" s="30">
        <f>IFERROR(__xludf.DUMMYFUNCTION("""COMPUTED_VALUE"""),800.0)</f>
        <v>800</v>
      </c>
    </row>
    <row r="210">
      <c r="A210" s="30" t="str">
        <f>IFERROR(__xludf.DUMMYFUNCTION("""COMPUTED_VALUE"""),"Elite")</f>
        <v>Elite</v>
      </c>
      <c r="B210" s="30" t="str">
        <f>IFERROR(__xludf.DUMMYFUNCTION("""COMPUTED_VALUE"""),"RSC001292")</f>
        <v>RSC001292</v>
      </c>
      <c r="C210" s="30" t="str">
        <f>IFERROR(__xludf.DUMMYFUNCTION("""COMPUTED_VALUE"""),"flamethrowr")</f>
        <v>flamethrowr</v>
      </c>
      <c r="D210" s="30" t="str">
        <f>IFERROR(__xludf.DUMMYFUNCTION("""COMPUTED_VALUE"""),"Black-Holes")</f>
        <v>Black-Holes</v>
      </c>
      <c r="E210" s="30">
        <f>IFERROR(__xludf.DUMMYFUNCTION("""COMPUTED_VALUE"""),11.0)</f>
        <v>11</v>
      </c>
      <c r="F210" s="30">
        <f>IFERROR(__xludf.DUMMYFUNCTION("""COMPUTED_VALUE"""),7.0)</f>
        <v>7</v>
      </c>
      <c r="G210" s="30">
        <f>IFERROR(__xludf.DUMMYFUNCTION("""COMPUTED_VALUE"""),4.0)</f>
        <v>4</v>
      </c>
      <c r="H210" s="42">
        <f>IFERROR(__xludf.DUMMYFUNCTION("""COMPUTED_VALUE"""),0.6363636363636364)</f>
        <v>0.6363636364</v>
      </c>
      <c r="I210" s="42">
        <f>IFERROR(__xludf.DUMMYFUNCTION("""COMPUTED_VALUE"""),0.34375)</f>
        <v>0.34375</v>
      </c>
      <c r="J210" s="30">
        <f>IFERROR(__xludf.DUMMYFUNCTION("""COMPUTED_VALUE"""),389.6363636363636)</f>
        <v>389.6363636</v>
      </c>
      <c r="K210" s="30">
        <f>IFERROR(__xludf.DUMMYFUNCTION("""COMPUTED_VALUE"""),1.0)</f>
        <v>1</v>
      </c>
      <c r="L210" s="30">
        <f>IFERROR(__xludf.DUMMYFUNCTION("""COMPUTED_VALUE"""),0.9090909090909091)</f>
        <v>0.9090909091</v>
      </c>
      <c r="M210" s="30">
        <f>IFERROR(__xludf.DUMMYFUNCTION("""COMPUTED_VALUE"""),1.3636363636363635)</f>
        <v>1.363636364</v>
      </c>
      <c r="N210" s="30">
        <f>IFERROR(__xludf.DUMMYFUNCTION("""COMPUTED_VALUE"""),2.909090909090909)</f>
        <v>2.909090909</v>
      </c>
      <c r="O210" s="30">
        <f>IFERROR(__xludf.DUMMYFUNCTION("""COMPUTED_VALUE"""),375.30303030303037)</f>
        <v>375.3030303</v>
      </c>
      <c r="P210" s="30">
        <f>IFERROR(__xludf.DUMMYFUNCTION("""COMPUTED_VALUE"""),0.8181818181818182)</f>
        <v>0.8181818182</v>
      </c>
      <c r="Q210" s="30">
        <f>IFERROR(__xludf.DUMMYFUNCTION("""COMPUTED_VALUE"""),0.5151515151515151)</f>
        <v>0.5151515152</v>
      </c>
      <c r="R210" s="30">
        <f>IFERROR(__xludf.DUMMYFUNCTION("""COMPUTED_VALUE"""),1.5454545454545454)</f>
        <v>1.545454545</v>
      </c>
      <c r="S210" s="30">
        <f>IFERROR(__xludf.DUMMYFUNCTION("""COMPUTED_VALUE"""),2.5454545454545454)</f>
        <v>2.545454545</v>
      </c>
      <c r="T210" s="30">
        <f>IFERROR(__xludf.DUMMYFUNCTION("""COMPUTED_VALUE"""),341.68478739335546)</f>
        <v>341.6847874</v>
      </c>
      <c r="U210" s="30">
        <f>IFERROR(__xludf.DUMMYFUNCTION("""COMPUTED_VALUE"""),0.6486955528924322)</f>
        <v>0.6486955529</v>
      </c>
      <c r="V210" s="30">
        <f>IFERROR(__xludf.DUMMYFUNCTION("""COMPUTED_VALUE"""),0.42575812426244125)</f>
        <v>0.4257581243</v>
      </c>
      <c r="W210" s="30">
        <f>IFERROR(__xludf.DUMMYFUNCTION("""COMPUTED_VALUE"""),1.5137815103840564)</f>
        <v>1.51378151</v>
      </c>
      <c r="X210" s="30">
        <f>IFERROR(__xludf.DUMMYFUNCTION("""COMPUTED_VALUE"""),2.4209631189763225)</f>
        <v>2.420963119</v>
      </c>
      <c r="Y210" s="30">
        <f>IFERROR(__xludf.DUMMYFUNCTION("""COMPUTED_VALUE"""),383.53322272008097)</f>
        <v>383.5332227</v>
      </c>
      <c r="Z210" s="30">
        <f>IFERROR(__xludf.DUMMYFUNCTION("""COMPUTED_VALUE"""),0.9282292967317448)</f>
        <v>0.9282292967</v>
      </c>
      <c r="AA210" s="30">
        <f>IFERROR(__xludf.DUMMYFUNCTION("""COMPUTED_VALUE"""),0.7184733324982615)</f>
        <v>0.7184733325</v>
      </c>
      <c r="AB210" s="30">
        <f>IFERROR(__xludf.DUMMYFUNCTION("""COMPUTED_VALUE"""),1.3319948945830669)</f>
        <v>1.331994895</v>
      </c>
      <c r="AC210" s="30">
        <f>IFERROR(__xludf.DUMMYFUNCTION("""COMPUTED_VALUE"""),2.986079368535662)</f>
        <v>2.986079369</v>
      </c>
      <c r="AD210" s="30">
        <f>IFERROR(__xludf.DUMMYFUNCTION("""COMPUTED_VALUE"""),1.0159129393615451)</f>
        <v>1.015912939</v>
      </c>
      <c r="AE210" s="30">
        <f>IFERROR(__xludf.DUMMYFUNCTION("""COMPUTED_VALUE"""),1.077320015130913)</f>
        <v>1.077320015</v>
      </c>
      <c r="AF210" s="30">
        <f>IFERROR(__xludf.DUMMYFUNCTION("""COMPUTED_VALUE"""),1.265309188205825)</f>
        <v>1.265309188</v>
      </c>
      <c r="AG210" s="30">
        <f>IFERROR(__xludf.DUMMYFUNCTION("""COMPUTED_VALUE"""),1.0237549476968535)</f>
        <v>1.023754948</v>
      </c>
      <c r="AH210" s="30">
        <f>IFERROR(__xludf.DUMMYFUNCTION("""COMPUTED_VALUE"""),0.9742175441630987)</f>
        <v>0.9742175442</v>
      </c>
      <c r="AI210" s="30">
        <f>IFERROR(__xludf.DUMMYFUNCTION("""COMPUTED_VALUE"""),1.098389639076828)</f>
        <v>1.098389639</v>
      </c>
      <c r="AJ210" s="30">
        <f>IFERROR(__xludf.DUMMYFUNCTION("""COMPUTED_VALUE"""),1.2612724328595644)</f>
        <v>1.261272433</v>
      </c>
      <c r="AK210" s="30">
        <f>IFERROR(__xludf.DUMMYFUNCTION("""COMPUTED_VALUE"""),1.2099628540123193)</f>
        <v>1.209962854</v>
      </c>
      <c r="AL210" s="30">
        <f>IFERROR(__xludf.DUMMYFUNCTION("""COMPUTED_VALUE"""),1.020923121899179)</f>
        <v>1.020923122</v>
      </c>
      <c r="AM210" s="30">
        <f>IFERROR(__xludf.DUMMYFUNCTION("""COMPUTED_VALUE"""),1.0514222730211862)</f>
        <v>1.051422273</v>
      </c>
      <c r="AN210" s="30">
        <f>IFERROR(__xludf.DUMMYFUNCTION("""COMPUTED_VALUE"""),1.1046969903749135)</f>
        <v>1.10469699</v>
      </c>
      <c r="AO210" s="30">
        <f>IFERROR(__xludf.DUMMYFUNCTION("""COMPUTED_VALUE"""),1.4021573925146114)</f>
        <v>1.402157393</v>
      </c>
      <c r="AP210" s="30">
        <f>IFERROR(__xludf.DUMMYFUNCTION("""COMPUTED_VALUE"""),1.5808175170616232)</f>
        <v>1.580817517</v>
      </c>
      <c r="AQ210" s="30">
        <f>IFERROR(__xludf.DUMMYFUNCTION("""COMPUTED_VALUE"""),0.9559195444289628)</f>
        <v>0.9559195444</v>
      </c>
      <c r="AR210" s="30">
        <f>IFERROR(__xludf.DUMMYFUNCTION("""COMPUTED_VALUE"""),1.1548088131891698)</f>
        <v>1.154808813</v>
      </c>
      <c r="AS210" s="30">
        <f>IFERROR(__xludf.DUMMYFUNCTION("""COMPUTED_VALUE"""),39.0)</f>
        <v>39</v>
      </c>
      <c r="AT210" s="30">
        <f>IFERROR(__xludf.DUMMYFUNCTION("""COMPUTED_VALUE"""),0.6490731670542146)</f>
        <v>0.6490731671</v>
      </c>
      <c r="AU210" s="30">
        <f>IFERROR(__xludf.DUMMYFUNCTION("""COMPUTED_VALUE"""),2.9371599224134903)</f>
        <v>2.937159922</v>
      </c>
      <c r="AV210" s="32">
        <f>IFERROR(__xludf.DUMMYFUNCTION("""COMPUTED_VALUE"""),67.20980311458221)</f>
        <v>67.20980311</v>
      </c>
      <c r="AW210" s="32">
        <f>IFERROR(__xludf.DUMMYFUNCTION("""COMPUTED_VALUE"""),4.071612482245041)</f>
        <v>4.071612482</v>
      </c>
      <c r="AX210" s="32">
        <f>IFERROR(__xludf.DUMMYFUNCTION("""COMPUTED_VALUE"""),56.80546284247575)</f>
        <v>56.80546284</v>
      </c>
      <c r="AY210" s="32">
        <f>IFERROR(__xludf.DUMMYFUNCTION("""COMPUTED_VALUE"""),2.5462980408700924)</f>
        <v>2.546298041</v>
      </c>
      <c r="AZ210" s="30">
        <f>IFERROR(__xludf.DUMMYFUNCTION("""COMPUTED_VALUE"""),1.5253144413749489)</f>
        <v>1.525314441</v>
      </c>
      <c r="BA210" s="30">
        <f>IFERROR(__xludf.DUMMYFUNCTION("""COMPUTED_VALUE"""),800.0)</f>
        <v>800</v>
      </c>
    </row>
    <row r="211">
      <c r="A211" s="30" t="str">
        <f>IFERROR(__xludf.DUMMYFUNCTION("""COMPUTED_VALUE"""),"Elite")</f>
        <v>Elite</v>
      </c>
      <c r="B211" s="30" t="str">
        <f>IFERROR(__xludf.DUMMYFUNCTION("""COMPUTED_VALUE"""),"RSC005515")</f>
        <v>RSC005515</v>
      </c>
      <c r="C211" s="30" t="str">
        <f>IFERROR(__xludf.DUMMYFUNCTION("""COMPUTED_VALUE"""),"BaronTac0")</f>
        <v>BaronTac0</v>
      </c>
      <c r="D211" s="30" t="str">
        <f>IFERROR(__xludf.DUMMYFUNCTION("""COMPUTED_VALUE"""),"Nightshade")</f>
        <v>Nightshade</v>
      </c>
      <c r="E211" s="30">
        <f>IFERROR(__xludf.DUMMYFUNCTION("""COMPUTED_VALUE"""),8.0)</f>
        <v>8</v>
      </c>
      <c r="F211" s="30">
        <f>IFERROR(__xludf.DUMMYFUNCTION("""COMPUTED_VALUE"""),4.0)</f>
        <v>4</v>
      </c>
      <c r="G211" s="30">
        <f>IFERROR(__xludf.DUMMYFUNCTION("""COMPUTED_VALUE"""),4.0)</f>
        <v>4</v>
      </c>
      <c r="H211" s="42">
        <f>IFERROR(__xludf.DUMMYFUNCTION("""COMPUTED_VALUE"""),0.5)</f>
        <v>0.5</v>
      </c>
      <c r="I211" s="42">
        <f>IFERROR(__xludf.DUMMYFUNCTION("""COMPUTED_VALUE"""),0.23529411764705882)</f>
        <v>0.2352941176</v>
      </c>
      <c r="J211" s="30">
        <f>IFERROR(__xludf.DUMMYFUNCTION("""COMPUTED_VALUE"""),327.5)</f>
        <v>327.5</v>
      </c>
      <c r="K211" s="30">
        <f>IFERROR(__xludf.DUMMYFUNCTION("""COMPUTED_VALUE"""),0.5)</f>
        <v>0.5</v>
      </c>
      <c r="L211" s="30">
        <f>IFERROR(__xludf.DUMMYFUNCTION("""COMPUTED_VALUE"""),1.0)</f>
        <v>1</v>
      </c>
      <c r="M211" s="30">
        <f>IFERROR(__xludf.DUMMYFUNCTION("""COMPUTED_VALUE"""),1.0)</f>
        <v>1</v>
      </c>
      <c r="N211" s="30">
        <f>IFERROR(__xludf.DUMMYFUNCTION("""COMPUTED_VALUE"""),2.125)</f>
        <v>2.125</v>
      </c>
      <c r="O211" s="30">
        <f>IFERROR(__xludf.DUMMYFUNCTION("""COMPUTED_VALUE"""),411.25000000000006)</f>
        <v>411.25</v>
      </c>
      <c r="P211" s="30">
        <f>IFERROR(__xludf.DUMMYFUNCTION("""COMPUTED_VALUE"""),1.0416666666666667)</f>
        <v>1.041666667</v>
      </c>
      <c r="Q211" s="30">
        <f>IFERROR(__xludf.DUMMYFUNCTION("""COMPUTED_VALUE"""),0.9166666666666669)</f>
        <v>0.9166666667</v>
      </c>
      <c r="R211" s="30">
        <f>IFERROR(__xludf.DUMMYFUNCTION("""COMPUTED_VALUE"""),1.5833333333333333)</f>
        <v>1.583333333</v>
      </c>
      <c r="S211" s="30">
        <f>IFERROR(__xludf.DUMMYFUNCTION("""COMPUTED_VALUE"""),2.375)</f>
        <v>2.375</v>
      </c>
      <c r="T211" s="30">
        <f>IFERROR(__xludf.DUMMYFUNCTION("""COMPUTED_VALUE"""),337.54534866388127)</f>
        <v>337.5453487</v>
      </c>
      <c r="U211" s="30">
        <f>IFERROR(__xludf.DUMMYFUNCTION("""COMPUTED_VALUE"""),0.6441056273664969)</f>
        <v>0.6441056274</v>
      </c>
      <c r="V211" s="30">
        <f>IFERROR(__xludf.DUMMYFUNCTION("""COMPUTED_VALUE"""),0.628822300561431)</f>
        <v>0.6288223006</v>
      </c>
      <c r="W211" s="30">
        <f>IFERROR(__xludf.DUMMYFUNCTION("""COMPUTED_VALUE"""),1.3255697545371459)</f>
        <v>1.325569755</v>
      </c>
      <c r="X211" s="30">
        <f>IFERROR(__xludf.DUMMYFUNCTION("""COMPUTED_VALUE"""),2.5341203703703705)</f>
        <v>2.53412037</v>
      </c>
      <c r="Y211" s="30">
        <f>IFERROR(__xludf.DUMMYFUNCTION("""COMPUTED_VALUE"""),366.55856639247946)</f>
        <v>366.5585664</v>
      </c>
      <c r="Z211" s="30">
        <f>IFERROR(__xludf.DUMMYFUNCTION("""COMPUTED_VALUE"""),0.8630080624102362)</f>
        <v>0.8630080624</v>
      </c>
      <c r="AA211" s="30">
        <f>IFERROR(__xludf.DUMMYFUNCTION("""COMPUTED_VALUE"""),0.6440980835908372)</f>
        <v>0.6440980836</v>
      </c>
      <c r="AB211" s="30">
        <f>IFERROR(__xludf.DUMMYFUNCTION("""COMPUTED_VALUE"""),1.2918267724245984)</f>
        <v>1.291826772</v>
      </c>
      <c r="AC211" s="30">
        <f>IFERROR(__xludf.DUMMYFUNCTION("""COMPUTED_VALUE"""),2.744089832586209)</f>
        <v>2.744089833</v>
      </c>
      <c r="AD211" s="30">
        <f>IFERROR(__xludf.DUMMYFUNCTION("""COMPUTED_VALUE"""),0.8934452227460458)</f>
        <v>0.8934452227</v>
      </c>
      <c r="AE211" s="30">
        <f>IFERROR(__xludf.DUMMYFUNCTION("""COMPUTED_VALUE"""),0.5793688631408427)</f>
        <v>0.5793688631</v>
      </c>
      <c r="AF211" s="30">
        <f>IFERROR(__xludf.DUMMYFUNCTION("""COMPUTED_VALUE"""),1.5525585706217522)</f>
        <v>1.552558571</v>
      </c>
      <c r="AG211" s="30">
        <f>IFERROR(__xludf.DUMMYFUNCTION("""COMPUTED_VALUE"""),0.7740975967877831)</f>
        <v>0.7740975968</v>
      </c>
      <c r="AH211" s="30">
        <f>IFERROR(__xludf.DUMMYFUNCTION("""COMPUTED_VALUE"""),0.7743915577272708)</f>
        <v>0.7743915577</v>
      </c>
      <c r="AI211" s="30">
        <f>IFERROR(__xludf.DUMMYFUNCTION("""COMPUTED_VALUE"""),1.218354812554422)</f>
        <v>1.218354813</v>
      </c>
      <c r="AJ211" s="30">
        <f>IFERROR(__xludf.DUMMYFUNCTION("""COMPUTED_VALUE"""),1.6172295698232693)</f>
        <v>1.61722957</v>
      </c>
      <c r="AK211" s="30">
        <f>IFERROR(__xludf.DUMMYFUNCTION("""COMPUTED_VALUE"""),1.4577515235198244)</f>
        <v>1.457751524</v>
      </c>
      <c r="AL211" s="30">
        <f>IFERROR(__xludf.DUMMYFUNCTION("""COMPUTED_VALUE"""),1.1944549337474826)</f>
        <v>1.194454934</v>
      </c>
      <c r="AM211" s="30">
        <f>IFERROR(__xludf.DUMMYFUNCTION("""COMPUTED_VALUE"""),0.9372088349745145)</f>
        <v>0.937208835</v>
      </c>
      <c r="AN211" s="30">
        <f>IFERROR(__xludf.DUMMYFUNCTION("""COMPUTED_VALUE"""),0.9285279766275376)</f>
        <v>0.9285279766</v>
      </c>
      <c r="AO211" s="30">
        <f>IFERROR(__xludf.DUMMYFUNCTION("""COMPUTED_VALUE"""),0.7010786962573057)</f>
        <v>0.7010786963</v>
      </c>
      <c r="AP211" s="30">
        <f>IFERROR(__xludf.DUMMYFUNCTION("""COMPUTED_VALUE"""),1.7388992687677856)</f>
        <v>1.738899269</v>
      </c>
      <c r="AQ211" s="30">
        <f>IFERROR(__xludf.DUMMYFUNCTION("""COMPUTED_VALUE"""),0.7010076659145728)</f>
        <v>0.7010076659</v>
      </c>
      <c r="AR211" s="30">
        <f>IFERROR(__xludf.DUMMYFUNCTION("""COMPUTED_VALUE"""),0.8435517502592764)</f>
        <v>0.8435517503</v>
      </c>
      <c r="AS211" s="30">
        <f>IFERROR(__xludf.DUMMYFUNCTION("""COMPUTED_VALUE"""),23.0)</f>
        <v>23</v>
      </c>
      <c r="AT211" s="30">
        <f>IFERROR(__xludf.DUMMYFUNCTION("""COMPUTED_VALUE"""),0.4651953908065917)</f>
        <v>0.4651953908</v>
      </c>
      <c r="AU211" s="30">
        <f>IFERROR(__xludf.DUMMYFUNCTION("""COMPUTED_VALUE"""),1.7492685075469177)</f>
        <v>1.749268508</v>
      </c>
      <c r="AV211" s="32">
        <f>IFERROR(__xludf.DUMMYFUNCTION("""COMPUTED_VALUE"""),33.83069686568944)</f>
        <v>33.83069687</v>
      </c>
      <c r="AW211" s="32">
        <f>IFERROR(__xludf.DUMMYFUNCTION("""COMPUTED_VALUE"""),-3.862648578224402)</f>
        <v>-3.862648578</v>
      </c>
      <c r="AX211" s="32">
        <f>IFERROR(__xludf.DUMMYFUNCTION("""COMPUTED_VALUE"""),45.09657300845011)</f>
        <v>45.09657301</v>
      </c>
      <c r="AY211" s="32">
        <f>IFERROR(__xludf.DUMMYFUNCTION("""COMPUTED_VALUE"""),-2.3682571846720823)</f>
        <v>-2.368257185</v>
      </c>
      <c r="AZ211" s="30">
        <f>IFERROR(__xludf.DUMMYFUNCTION("""COMPUTED_VALUE"""),1.4943913935523199)</f>
        <v>1.494391394</v>
      </c>
      <c r="BA211" s="30">
        <f>IFERROR(__xludf.DUMMYFUNCTION("""COMPUTED_VALUE"""),800.0)</f>
        <v>800</v>
      </c>
    </row>
    <row r="212">
      <c r="A212" s="30" t="str">
        <f>IFERROR(__xludf.DUMMYFUNCTION("""COMPUTED_VALUE"""),"Elite")</f>
        <v>Elite</v>
      </c>
      <c r="B212" s="30" t="str">
        <f>IFERROR(__xludf.DUMMYFUNCTION("""COMPUTED_VALUE"""),"RSC007514")</f>
        <v>RSC007514</v>
      </c>
      <c r="C212" s="30" t="str">
        <f>IFERROR(__xludf.DUMMYFUNCTION("""COMPUTED_VALUE"""),"Sauce_Boss_36")</f>
        <v>Sauce_Boss_36</v>
      </c>
      <c r="D212" s="30" t="str">
        <f>IFERROR(__xludf.DUMMYFUNCTION("""COMPUTED_VALUE"""),"Majesties")</f>
        <v>Majesties</v>
      </c>
      <c r="E212" s="30">
        <f>IFERROR(__xludf.DUMMYFUNCTION("""COMPUTED_VALUE"""),33.0)</f>
        <v>33</v>
      </c>
      <c r="F212" s="30">
        <f>IFERROR(__xludf.DUMMYFUNCTION("""COMPUTED_VALUE"""),9.0)</f>
        <v>9</v>
      </c>
      <c r="G212" s="30">
        <f>IFERROR(__xludf.DUMMYFUNCTION("""COMPUTED_VALUE"""),24.0)</f>
        <v>24</v>
      </c>
      <c r="H212" s="42">
        <f>IFERROR(__xludf.DUMMYFUNCTION("""COMPUTED_VALUE"""),0.2727272727272727)</f>
        <v>0.2727272727</v>
      </c>
      <c r="I212" s="42">
        <f>IFERROR(__xludf.DUMMYFUNCTION("""COMPUTED_VALUE"""),0.36)</f>
        <v>0.36</v>
      </c>
      <c r="J212" s="30">
        <f>IFERROR(__xludf.DUMMYFUNCTION("""COMPUTED_VALUE"""),336.42424242424244)</f>
        <v>336.4242424</v>
      </c>
      <c r="K212" s="30">
        <f>IFERROR(__xludf.DUMMYFUNCTION("""COMPUTED_VALUE"""),0.8181818181818182)</f>
        <v>0.8181818182</v>
      </c>
      <c r="L212" s="30">
        <f>IFERROR(__xludf.DUMMYFUNCTION("""COMPUTED_VALUE"""),0.45454545454545453)</f>
        <v>0.4545454545</v>
      </c>
      <c r="M212" s="30">
        <f>IFERROR(__xludf.DUMMYFUNCTION("""COMPUTED_VALUE"""),1.393939393939394)</f>
        <v>1.393939394</v>
      </c>
      <c r="N212" s="30">
        <f>IFERROR(__xludf.DUMMYFUNCTION("""COMPUTED_VALUE"""),2.272727272727273)</f>
        <v>2.272727273</v>
      </c>
      <c r="O212" s="30">
        <f>IFERROR(__xludf.DUMMYFUNCTION("""COMPUTED_VALUE"""),407.1414141414142)</f>
        <v>407.1414141</v>
      </c>
      <c r="P212" s="30">
        <f>IFERROR(__xludf.DUMMYFUNCTION("""COMPUTED_VALUE"""),1.111111111111111)</f>
        <v>1.111111111</v>
      </c>
      <c r="Q212" s="30">
        <f>IFERROR(__xludf.DUMMYFUNCTION("""COMPUTED_VALUE"""),0.8080808080808082)</f>
        <v>0.8080808081</v>
      </c>
      <c r="R212" s="30">
        <f>IFERROR(__xludf.DUMMYFUNCTION("""COMPUTED_VALUE"""),1.3030303030303028)</f>
        <v>1.303030303</v>
      </c>
      <c r="S212" s="30">
        <f>IFERROR(__xludf.DUMMYFUNCTION("""COMPUTED_VALUE"""),3.1616161616161613)</f>
        <v>3.161616162</v>
      </c>
      <c r="T212" s="30">
        <f>IFERROR(__xludf.DUMMYFUNCTION("""COMPUTED_VALUE"""),370.5941280961969)</f>
        <v>370.5941281</v>
      </c>
      <c r="U212" s="30">
        <f>IFERROR(__xludf.DUMMYFUNCTION("""COMPUTED_VALUE"""),0.8165013692363401)</f>
        <v>0.8165013692</v>
      </c>
      <c r="V212" s="30">
        <f>IFERROR(__xludf.DUMMYFUNCTION("""COMPUTED_VALUE"""),0.6199532920682657)</f>
        <v>0.6199532921</v>
      </c>
      <c r="W212" s="30">
        <f>IFERROR(__xludf.DUMMYFUNCTION("""COMPUTED_VALUE"""),1.3841043357208775)</f>
        <v>1.384104336</v>
      </c>
      <c r="X212" s="30">
        <f>IFERROR(__xludf.DUMMYFUNCTION("""COMPUTED_VALUE"""),2.840384536071967)</f>
        <v>2.840384536</v>
      </c>
      <c r="Y212" s="30">
        <f>IFERROR(__xludf.DUMMYFUNCTION("""COMPUTED_VALUE"""),357.6627216449328)</f>
        <v>357.6627216</v>
      </c>
      <c r="Z212" s="30">
        <f>IFERROR(__xludf.DUMMYFUNCTION("""COMPUTED_VALUE"""),0.7222546318054845)</f>
        <v>0.7222546318</v>
      </c>
      <c r="AA212" s="30">
        <f>IFERROR(__xludf.DUMMYFUNCTION("""COMPUTED_VALUE"""),0.5349189817624409)</f>
        <v>0.5349189818</v>
      </c>
      <c r="AB212" s="30">
        <f>IFERROR(__xludf.DUMMYFUNCTION("""COMPUTED_VALUE"""),1.499961808741352)</f>
        <v>1.499961809</v>
      </c>
      <c r="AC212" s="30">
        <f>IFERROR(__xludf.DUMMYFUNCTION("""COMPUTED_VALUE"""),2.5304702820338014)</f>
        <v>2.530470282</v>
      </c>
      <c r="AD212" s="30">
        <f>IFERROR(__xludf.DUMMYFUNCTION("""COMPUTED_VALUE"""),0.9406186948334674)</f>
        <v>0.9406186948</v>
      </c>
      <c r="AE212" s="30">
        <f>IFERROR(__xludf.DUMMYFUNCTION("""COMPUTED_VALUE"""),1.1328162979537229)</f>
        <v>1.132816298</v>
      </c>
      <c r="AF212" s="30">
        <f>IFERROR(__xludf.DUMMYFUNCTION("""COMPUTED_VALUE"""),0.8497463542008302)</f>
        <v>0.8497463542</v>
      </c>
      <c r="AG212" s="30">
        <f>IFERROR(__xludf.DUMMYFUNCTION("""COMPUTED_VALUE"""),0.9293165904731111)</f>
        <v>0.9293165905</v>
      </c>
      <c r="AH212" s="30">
        <f>IFERROR(__xludf.DUMMYFUNCTION("""COMPUTED_VALUE"""),0.8981442259423121)</f>
        <v>0.8981442259</v>
      </c>
      <c r="AI212" s="30">
        <f>IFERROR(__xludf.DUMMYFUNCTION("""COMPUTED_VALUE"""),1.0986180926097417)</f>
        <v>1.098618093</v>
      </c>
      <c r="AJ212" s="30">
        <f>IFERROR(__xludf.DUMMYFUNCTION("""COMPUTED_VALUE"""),1.3608196544119875)</f>
        <v>1.360819654</v>
      </c>
      <c r="AK212" s="30">
        <f>IFERROR(__xludf.DUMMYFUNCTION("""COMPUTED_VALUE"""),1.30345433828558)</f>
        <v>1.303454338</v>
      </c>
      <c r="AL212" s="30">
        <f>IFERROR(__xludf.DUMMYFUNCTION("""COMPUTED_VALUE"""),0.9414249124157614)</f>
        <v>0.9414249124</v>
      </c>
      <c r="AM212" s="30">
        <f>IFERROR(__xludf.DUMMYFUNCTION("""COMPUTED_VALUE"""),1.1130944143177293)</f>
        <v>1.113094414</v>
      </c>
      <c r="AN212" s="30">
        <f>IFERROR(__xludf.DUMMYFUNCTION("""COMPUTED_VALUE"""),0.9538299881118596)</f>
        <v>0.9538299881</v>
      </c>
      <c r="AO212" s="30">
        <f>IFERROR(__xludf.DUMMYFUNCTION("""COMPUTED_VALUE"""),1.147219684784682)</f>
        <v>1.147219685</v>
      </c>
      <c r="AP212" s="30">
        <f>IFERROR(__xludf.DUMMYFUNCTION("""COMPUTED_VALUE"""),0.7904087585308116)</f>
        <v>0.7904087585</v>
      </c>
      <c r="AQ212" s="30">
        <f>IFERROR(__xludf.DUMMYFUNCTION("""COMPUTED_VALUE"""),0.9771622009718288)</f>
        <v>0.977162201</v>
      </c>
      <c r="AR212" s="30">
        <f>IFERROR(__xludf.DUMMYFUNCTION("""COMPUTED_VALUE"""),0.9021943853040391)</f>
        <v>0.9021943853</v>
      </c>
      <c r="AS212" s="30">
        <f>IFERROR(__xludf.DUMMYFUNCTION("""COMPUTED_VALUE"""),64.0)</f>
        <v>64</v>
      </c>
      <c r="AT212" s="30">
        <f>IFERROR(__xludf.DUMMYFUNCTION("""COMPUTED_VALUE"""),0.294677915400397)</f>
        <v>0.2946779154</v>
      </c>
      <c r="AU212" s="30">
        <f>IFERROR(__xludf.DUMMYFUNCTION("""COMPUTED_VALUE"""),2.049118473793521)</f>
        <v>2.049118474</v>
      </c>
      <c r="AV212" s="32">
        <f>IFERROR(__xludf.DUMMYFUNCTION("""COMPUTED_VALUE"""),42.25631873382668)</f>
        <v>42.25631873</v>
      </c>
      <c r="AW212" s="32">
        <f>IFERROR(__xludf.DUMMYFUNCTION("""COMPUTED_VALUE"""),-2.642869676748835)</f>
        <v>-2.642869677</v>
      </c>
      <c r="AX212" s="32">
        <f>IFERROR(__xludf.DUMMYFUNCTION("""COMPUTED_VALUE"""),32.58964384690032)</f>
        <v>32.58964385</v>
      </c>
      <c r="AY212" s="32">
        <f>IFERROR(__xludf.DUMMYFUNCTION("""COMPUTED_VALUE"""),-4.113792063955218)</f>
        <v>-4.113792064</v>
      </c>
      <c r="AZ212" s="30">
        <f>IFERROR(__xludf.DUMMYFUNCTION("""COMPUTED_VALUE"""),1.4709223872063832)</f>
        <v>1.470922387</v>
      </c>
      <c r="BA212" s="30">
        <f>IFERROR(__xludf.DUMMYFUNCTION("""COMPUTED_VALUE"""),800.0)</f>
        <v>800</v>
      </c>
    </row>
    <row r="213">
      <c r="A213" s="30" t="str">
        <f>IFERROR(__xludf.DUMMYFUNCTION("""COMPUTED_VALUE"""),"Elite")</f>
        <v>Elite</v>
      </c>
      <c r="B213" s="30" t="str">
        <f>IFERROR(__xludf.DUMMYFUNCTION("""COMPUTED_VALUE"""),"RSC006218")</f>
        <v>RSC006218</v>
      </c>
      <c r="C213" s="30" t="str">
        <f>IFERROR(__xludf.DUMMYFUNCTION("""COMPUTED_VALUE"""),"Stingray")</f>
        <v>Stingray</v>
      </c>
      <c r="D213" s="30" t="str">
        <f>IFERROR(__xludf.DUMMYFUNCTION("""COMPUTED_VALUE"""),"Keno")</f>
        <v>Keno</v>
      </c>
      <c r="E213" s="30">
        <f>IFERROR(__xludf.DUMMYFUNCTION("""COMPUTED_VALUE"""),32.0)</f>
        <v>32</v>
      </c>
      <c r="F213" s="30">
        <f>IFERROR(__xludf.DUMMYFUNCTION("""COMPUTED_VALUE"""),15.0)</f>
        <v>15</v>
      </c>
      <c r="G213" s="30">
        <f>IFERROR(__xludf.DUMMYFUNCTION("""COMPUTED_VALUE"""),17.0)</f>
        <v>17</v>
      </c>
      <c r="H213" s="42">
        <f>IFERROR(__xludf.DUMMYFUNCTION("""COMPUTED_VALUE"""),0.46875)</f>
        <v>0.46875</v>
      </c>
      <c r="I213" s="42">
        <f>IFERROR(__xludf.DUMMYFUNCTION("""COMPUTED_VALUE"""),0.2676056338028169)</f>
        <v>0.2676056338</v>
      </c>
      <c r="J213" s="30">
        <f>IFERROR(__xludf.DUMMYFUNCTION("""COMPUTED_VALUE"""),390.40625)</f>
        <v>390.40625</v>
      </c>
      <c r="K213" s="30">
        <f>IFERROR(__xludf.DUMMYFUNCTION("""COMPUTED_VALUE"""),0.59375)</f>
        <v>0.59375</v>
      </c>
      <c r="L213" s="30">
        <f>IFERROR(__xludf.DUMMYFUNCTION("""COMPUTED_VALUE"""),0.625)</f>
        <v>0.625</v>
      </c>
      <c r="M213" s="30">
        <f>IFERROR(__xludf.DUMMYFUNCTION("""COMPUTED_VALUE"""),2.0)</f>
        <v>2</v>
      </c>
      <c r="N213" s="30">
        <f>IFERROR(__xludf.DUMMYFUNCTION("""COMPUTED_VALUE"""),2.21875)</f>
        <v>2.21875</v>
      </c>
      <c r="O213" s="30">
        <f>IFERROR(__xludf.DUMMYFUNCTION("""COMPUTED_VALUE"""),335.1770833333333)</f>
        <v>335.1770833</v>
      </c>
      <c r="P213" s="30">
        <f>IFERROR(__xludf.DUMMYFUNCTION("""COMPUTED_VALUE"""),0.6979166666666665)</f>
        <v>0.6979166667</v>
      </c>
      <c r="Q213" s="30">
        <f>IFERROR(__xludf.DUMMYFUNCTION("""COMPUTED_VALUE"""),0.46875000000000006)</f>
        <v>0.46875</v>
      </c>
      <c r="R213" s="30">
        <f>IFERROR(__xludf.DUMMYFUNCTION("""COMPUTED_VALUE"""),1.1145833333333335)</f>
        <v>1.114583333</v>
      </c>
      <c r="S213" s="30">
        <f>IFERROR(__xludf.DUMMYFUNCTION("""COMPUTED_VALUE"""),2.885416666666666)</f>
        <v>2.885416667</v>
      </c>
      <c r="T213" s="30">
        <f>IFERROR(__xludf.DUMMYFUNCTION("""COMPUTED_VALUE"""),357.3327906359492)</f>
        <v>357.3327906</v>
      </c>
      <c r="U213" s="30">
        <f>IFERROR(__xludf.DUMMYFUNCTION("""COMPUTED_VALUE"""),0.7806954795884489)</f>
        <v>0.7806954796</v>
      </c>
      <c r="V213" s="30">
        <f>IFERROR(__xludf.DUMMYFUNCTION("""COMPUTED_VALUE"""),0.5620641284052528)</f>
        <v>0.5620641284</v>
      </c>
      <c r="W213" s="30">
        <f>IFERROR(__xludf.DUMMYFUNCTION("""COMPUTED_VALUE"""),1.3512746688779187)</f>
        <v>1.351274669</v>
      </c>
      <c r="X213" s="30">
        <f>IFERROR(__xludf.DUMMYFUNCTION("""COMPUTED_VALUE"""),2.787048383370941)</f>
        <v>2.787048383</v>
      </c>
      <c r="Y213" s="30">
        <f>IFERROR(__xludf.DUMMYFUNCTION("""COMPUTED_VALUE"""),358.72457739118795)</f>
        <v>358.7245774</v>
      </c>
      <c r="Z213" s="30">
        <f>IFERROR(__xludf.DUMMYFUNCTION("""COMPUTED_VALUE"""),0.7483101551394001)</f>
        <v>0.7483101551</v>
      </c>
      <c r="AA213" s="30">
        <f>IFERROR(__xludf.DUMMYFUNCTION("""COMPUTED_VALUE"""),0.5721748882727892)</f>
        <v>0.5721748883</v>
      </c>
      <c r="AB213" s="30">
        <f>IFERROR(__xludf.DUMMYFUNCTION("""COMPUTED_VALUE"""),1.5129900438036419)</f>
        <v>1.512990044</v>
      </c>
      <c r="AC213" s="30">
        <f>IFERROR(__xludf.DUMMYFUNCTION("""COMPUTED_VALUE"""),2.4953133116259463)</f>
        <v>2.495313312</v>
      </c>
      <c r="AD213" s="30">
        <f>IFERROR(__xludf.DUMMYFUNCTION("""COMPUTED_VALUE"""),1.0883175411041415)</f>
        <v>1.088317541</v>
      </c>
      <c r="AE213" s="30">
        <f>IFERROR(__xludf.DUMMYFUNCTION("""COMPUTED_VALUE"""),0.7934544198312962)</f>
        <v>0.7934544198</v>
      </c>
      <c r="AF213" s="30">
        <f>IFERROR(__xludf.DUMMYFUNCTION("""COMPUTED_VALUE"""),1.0923233661768568)</f>
        <v>1.092323366</v>
      </c>
      <c r="AG213" s="30">
        <f>IFERROR(__xludf.DUMMYFUNCTION("""COMPUTED_VALUE"""),1.3218857640146924)</f>
        <v>1.321885764</v>
      </c>
      <c r="AH213" s="30">
        <f>IFERROR(__xludf.DUMMYFUNCTION("""COMPUTED_VALUE"""),0.8891668992677566)</f>
        <v>0.8891668993</v>
      </c>
      <c r="AI213" s="30">
        <f>IFERROR(__xludf.DUMMYFUNCTION("""COMPUTED_VALUE"""),0.937996993605918)</f>
        <v>0.9379969936</v>
      </c>
      <c r="AJ213" s="30">
        <f>IFERROR(__xludf.DUMMYFUNCTION("""COMPUTED_VALUE"""),0.8939678593176689)</f>
        <v>0.8939678593</v>
      </c>
      <c r="AK213" s="30">
        <f>IFERROR(__xludf.DUMMYFUNCTION("""COMPUTED_VALUE"""),0.8339795697867904)</f>
        <v>0.8339795698</v>
      </c>
      <c r="AL213" s="30">
        <f>IFERROR(__xludf.DUMMYFUNCTION("""COMPUTED_VALUE"""),0.8248384721507948)</f>
        <v>0.8248384722</v>
      </c>
      <c r="AM213" s="30">
        <f>IFERROR(__xludf.DUMMYFUNCTION("""COMPUTED_VALUE"""),1.0352947885234587)</f>
        <v>1.035294789</v>
      </c>
      <c r="AN213" s="30">
        <f>IFERROR(__xludf.DUMMYFUNCTION("""COMPUTED_VALUE"""),1.1068797721381514)</f>
        <v>1.106879772</v>
      </c>
      <c r="AO213" s="30">
        <f>IFERROR(__xludf.DUMMYFUNCTION("""COMPUTED_VALUE"""),0.8325309518055505)</f>
        <v>0.8325309518</v>
      </c>
      <c r="AP213" s="30">
        <f>IFERROR(__xludf.DUMMYFUNCTION("""COMPUTED_VALUE"""),1.086812042979866)</f>
        <v>1.086812043</v>
      </c>
      <c r="AQ213" s="30">
        <f>IFERROR(__xludf.DUMMYFUNCTION("""COMPUTED_VALUE"""),1.4020153318291455)</f>
        <v>1.402015332</v>
      </c>
      <c r="AR213" s="30">
        <f>IFERROR(__xludf.DUMMYFUNCTION("""COMPUTED_VALUE"""),0.8807672686530681)</f>
        <v>0.8807672687</v>
      </c>
      <c r="AS213" s="30">
        <f>IFERROR(__xludf.DUMMYFUNCTION("""COMPUTED_VALUE"""),67.0)</f>
        <v>67</v>
      </c>
      <c r="AT213" s="30">
        <f>IFERROR(__xludf.DUMMYFUNCTION("""COMPUTED_VALUE"""),0.5000000000000001)</f>
        <v>0.5</v>
      </c>
      <c r="AU213" s="30">
        <f>IFERROR(__xludf.DUMMYFUNCTION("""COMPUTED_VALUE"""),2.3395017671579614)</f>
        <v>2.339501767</v>
      </c>
      <c r="AV213" s="32">
        <f>IFERROR(__xludf.DUMMYFUNCTION("""COMPUTED_VALUE"""),50.415932214326304)</f>
        <v>50.41593221</v>
      </c>
      <c r="AW213" s="32">
        <f>IFERROR(__xludf.DUMMYFUNCTION("""COMPUTED_VALUE"""),2.0269051866947065)</f>
        <v>2.026905187</v>
      </c>
      <c r="AX213" s="32">
        <f>IFERROR(__xludf.DUMMYFUNCTION("""COMPUTED_VALUE"""),63.637624987071575)</f>
        <v>63.63762499</v>
      </c>
      <c r="AY213" s="32">
        <f>IFERROR(__xludf.DUMMYFUNCTION("""COMPUTED_VALUE"""),3.4164309382921614)</f>
        <v>3.416430938</v>
      </c>
      <c r="AZ213" s="30">
        <f>IFERROR(__xludf.DUMMYFUNCTION("""COMPUTED_VALUE"""),1.3895257515974548)</f>
        <v>1.389525752</v>
      </c>
      <c r="BA213" s="30">
        <f>IFERROR(__xludf.DUMMYFUNCTION("""COMPUTED_VALUE"""),800.0)</f>
        <v>800</v>
      </c>
    </row>
    <row r="214">
      <c r="A214" s="30" t="str">
        <f>IFERROR(__xludf.DUMMYFUNCTION("""COMPUTED_VALUE"""),"Elite")</f>
        <v>Elite</v>
      </c>
      <c r="B214" s="30" t="str">
        <f>IFERROR(__xludf.DUMMYFUNCTION("""COMPUTED_VALUE"""),"RSC006703")</f>
        <v>RSC006703</v>
      </c>
      <c r="C214" s="30" t="str">
        <f>IFERROR(__xludf.DUMMYFUNCTION("""COMPUTED_VALUE"""),"cav")</f>
        <v>cav</v>
      </c>
      <c r="D214" s="30" t="str">
        <f>IFERROR(__xludf.DUMMYFUNCTION("""COMPUTED_VALUE"""),"Praetorian Guard")</f>
        <v>Praetorian Guard</v>
      </c>
      <c r="E214" s="30">
        <f>IFERROR(__xludf.DUMMYFUNCTION("""COMPUTED_VALUE"""),24.0)</f>
        <v>24</v>
      </c>
      <c r="F214" s="30">
        <f>IFERROR(__xludf.DUMMYFUNCTION("""COMPUTED_VALUE"""),17.0)</f>
        <v>17</v>
      </c>
      <c r="G214" s="30">
        <f>IFERROR(__xludf.DUMMYFUNCTION("""COMPUTED_VALUE"""),7.0)</f>
        <v>7</v>
      </c>
      <c r="H214" s="42">
        <f>IFERROR(__xludf.DUMMYFUNCTION("""COMPUTED_VALUE"""),0.7083333333333334)</f>
        <v>0.7083333333</v>
      </c>
      <c r="I214" s="42">
        <f>IFERROR(__xludf.DUMMYFUNCTION("""COMPUTED_VALUE"""),0.323943661971831)</f>
        <v>0.323943662</v>
      </c>
      <c r="J214" s="30">
        <f>IFERROR(__xludf.DUMMYFUNCTION("""COMPUTED_VALUE"""),405.4583333333333)</f>
        <v>405.4583333</v>
      </c>
      <c r="K214" s="30">
        <f>IFERROR(__xludf.DUMMYFUNCTION("""COMPUTED_VALUE"""),0.9583333333333334)</f>
        <v>0.9583333333</v>
      </c>
      <c r="L214" s="30">
        <f>IFERROR(__xludf.DUMMYFUNCTION("""COMPUTED_VALUE"""),0.5)</f>
        <v>0.5</v>
      </c>
      <c r="M214" s="30">
        <f>IFERROR(__xludf.DUMMYFUNCTION("""COMPUTED_VALUE"""),1.6666666666666667)</f>
        <v>1.666666667</v>
      </c>
      <c r="N214" s="30">
        <f>IFERROR(__xludf.DUMMYFUNCTION("""COMPUTED_VALUE"""),2.9583333333333335)</f>
        <v>2.958333333</v>
      </c>
      <c r="O214" s="30">
        <f>IFERROR(__xludf.DUMMYFUNCTION("""COMPUTED_VALUE"""),355.8194444444444)</f>
        <v>355.8194444</v>
      </c>
      <c r="P214" s="30">
        <f>IFERROR(__xludf.DUMMYFUNCTION("""COMPUTED_VALUE"""),0.6944444444444445)</f>
        <v>0.6944444444</v>
      </c>
      <c r="Q214" s="30">
        <f>IFERROR(__xludf.DUMMYFUNCTION("""COMPUTED_VALUE"""),0.5277777777777778)</f>
        <v>0.5277777778</v>
      </c>
      <c r="R214" s="30">
        <f>IFERROR(__xludf.DUMMYFUNCTION("""COMPUTED_VALUE"""),1.375)</f>
        <v>1.375</v>
      </c>
      <c r="S214" s="30">
        <f>IFERROR(__xludf.DUMMYFUNCTION("""COMPUTED_VALUE"""),2.625)</f>
        <v>2.625</v>
      </c>
      <c r="T214" s="30">
        <f>IFERROR(__xludf.DUMMYFUNCTION("""COMPUTED_VALUE"""),365.7767603139541)</f>
        <v>365.7767603</v>
      </c>
      <c r="U214" s="30">
        <f>IFERROR(__xludf.DUMMYFUNCTION("""COMPUTED_VALUE"""),0.7477622039630184)</f>
        <v>0.747762204</v>
      </c>
      <c r="V214" s="30">
        <f>IFERROR(__xludf.DUMMYFUNCTION("""COMPUTED_VALUE"""),0.5550260284730248)</f>
        <v>0.5550260285</v>
      </c>
      <c r="W214" s="30">
        <f>IFERROR(__xludf.DUMMYFUNCTION("""COMPUTED_VALUE"""),1.5101991566488222)</f>
        <v>1.510199157</v>
      </c>
      <c r="X214" s="30">
        <f>IFERROR(__xludf.DUMMYFUNCTION("""COMPUTED_VALUE"""),2.6478366809883673)</f>
        <v>2.647836681</v>
      </c>
      <c r="Y214" s="30">
        <f>IFERROR(__xludf.DUMMYFUNCTION("""COMPUTED_VALUE"""),374.4118427673802)</f>
        <v>374.4118428</v>
      </c>
      <c r="Z214" s="30">
        <f>IFERROR(__xludf.DUMMYFUNCTION("""COMPUTED_VALUE"""),0.8211060094758666)</f>
        <v>0.8211060095</v>
      </c>
      <c r="AA214" s="30">
        <f>IFERROR(__xludf.DUMMYFUNCTION("""COMPUTED_VALUE"""),0.6162087957350538)</f>
        <v>0.6162087957</v>
      </c>
      <c r="AB214" s="30">
        <f>IFERROR(__xludf.DUMMYFUNCTION("""COMPUTED_VALUE"""),1.4293743704062)</f>
        <v>1.42937437</v>
      </c>
      <c r="AC214" s="30">
        <f>IFERROR(__xludf.DUMMYFUNCTION("""COMPUTED_VALUE"""),2.7957110614763128)</f>
        <v>2.795711061</v>
      </c>
      <c r="AD214" s="30">
        <f>IFERROR(__xludf.DUMMYFUNCTION("""COMPUTED_VALUE"""),1.082920695927992)</f>
        <v>1.082920696</v>
      </c>
      <c r="AE214" s="30">
        <f>IFERROR(__xludf.DUMMYFUNCTION("""COMPUTED_VALUE"""),1.1671249781073487)</f>
        <v>1.167124978</v>
      </c>
      <c r="AF214" s="30">
        <f>IFERROR(__xludf.DUMMYFUNCTION("""COMPUTED_VALUE"""),0.8114132798178701)</f>
        <v>0.8114132798</v>
      </c>
      <c r="AG214" s="30">
        <f>IFERROR(__xludf.DUMMYFUNCTION("""COMPUTED_VALUE"""),1.1660112991903113)</f>
        <v>1.166011299</v>
      </c>
      <c r="AH214" s="30">
        <f>IFERROR(__xludf.DUMMYFUNCTION("""COMPUTED_VALUE"""),1.0581684831804994)</f>
        <v>1.058168483</v>
      </c>
      <c r="AI214" s="30">
        <f>IFERROR(__xludf.DUMMYFUNCTION("""COMPUTED_VALUE"""),0.9727776147917021)</f>
        <v>0.9727776148</v>
      </c>
      <c r="AJ214" s="30">
        <f>IFERROR(__xludf.DUMMYFUNCTION("""COMPUTED_VALUE"""),0.9286969049304734)</f>
        <v>0.9286969049</v>
      </c>
      <c r="AK214" s="30">
        <f>IFERROR(__xludf.DUMMYFUNCTION("""COMPUTED_VALUE"""),0.9509063552024545)</f>
        <v>0.9509063552</v>
      </c>
      <c r="AL214" s="30">
        <f>IFERROR(__xludf.DUMMYFUNCTION("""COMPUTED_VALUE"""),0.9104759421606132)</f>
        <v>0.9104759422</v>
      </c>
      <c r="AM214" s="30">
        <f>IFERROR(__xludf.DUMMYFUNCTION("""COMPUTED_VALUE"""),0.991375343822247)</f>
        <v>0.9913753438</v>
      </c>
      <c r="AN214" s="30">
        <f>IFERROR(__xludf.DUMMYFUNCTION("""COMPUTED_VALUE"""),1.1495554377306065)</f>
        <v>1.149555438</v>
      </c>
      <c r="AO214" s="30">
        <f>IFERROR(__xludf.DUMMYFUNCTION("""COMPUTED_VALUE"""),1.3437341678265025)</f>
        <v>1.343734168</v>
      </c>
      <c r="AP214" s="30">
        <f>IFERROR(__xludf.DUMMYFUNCTION("""COMPUTED_VALUE"""),0.8694496343838928)</f>
        <v>0.8694496344</v>
      </c>
      <c r="AQ214" s="30">
        <f>IFERROR(__xludf.DUMMYFUNCTION("""COMPUTED_VALUE"""),1.1683461098576213)</f>
        <v>1.16834611</v>
      </c>
      <c r="AR214" s="30">
        <f>IFERROR(__xludf.DUMMYFUNCTION("""COMPUTED_VALUE"""),1.1743563582040908)</f>
        <v>1.174356358</v>
      </c>
      <c r="AS214" s="30">
        <f>IFERROR(__xludf.DUMMYFUNCTION("""COMPUTED_VALUE"""),61.0)</f>
        <v>61</v>
      </c>
      <c r="AT214" s="30">
        <f>IFERROR(__xludf.DUMMYFUNCTION("""COMPUTED_VALUE"""),0.5765467301616952)</f>
        <v>0.5765467302</v>
      </c>
      <c r="AU214" s="30">
        <f>IFERROR(__xludf.DUMMYFUNCTION("""COMPUTED_VALUE"""),2.935100888644058)</f>
        <v>2.935100889</v>
      </c>
      <c r="AV214" s="32">
        <f>IFERROR(__xludf.DUMMYFUNCTION("""COMPUTED_VALUE"""),67.15194537935508)</f>
        <v>67.15194538</v>
      </c>
      <c r="AW214" s="32">
        <f>IFERROR(__xludf.DUMMYFUNCTION("""COMPUTED_VALUE"""),4.0595615645323315)</f>
        <v>4.059561565</v>
      </c>
      <c r="AX214" s="32">
        <f>IFERROR(__xludf.DUMMYFUNCTION("""COMPUTED_VALUE"""),58.0226766170405)</f>
        <v>58.02267662</v>
      </c>
      <c r="AY214" s="32">
        <f>IFERROR(__xludf.DUMMYFUNCTION("""COMPUTED_VALUE"""),2.672793350410484)</f>
        <v>2.67279335</v>
      </c>
      <c r="AZ214" s="30">
        <f>IFERROR(__xludf.DUMMYFUNCTION("""COMPUTED_VALUE"""),1.3867682141218474)</f>
        <v>1.386768214</v>
      </c>
      <c r="BA214" s="30">
        <f>IFERROR(__xludf.DUMMYFUNCTION("""COMPUTED_VALUE"""),800.0)</f>
        <v>800</v>
      </c>
    </row>
    <row r="215">
      <c r="A215" s="30" t="str">
        <f>IFERROR(__xludf.DUMMYFUNCTION("""COMPUTED_VALUE"""),"Elite")</f>
        <v>Elite</v>
      </c>
      <c r="B215" s="30" t="str">
        <f>IFERROR(__xludf.DUMMYFUNCTION("""COMPUTED_VALUE"""),"RSC006197")</f>
        <v>RSC006197</v>
      </c>
      <c r="C215" s="30" t="str">
        <f>IFERROR(__xludf.DUMMYFUNCTION("""COMPUTED_VALUE"""),"Bullet")</f>
        <v>Bullet</v>
      </c>
      <c r="D215" s="30"/>
      <c r="E215" s="30">
        <f>IFERROR(__xludf.DUMMYFUNCTION("""COMPUTED_VALUE"""),11.0)</f>
        <v>11</v>
      </c>
      <c r="F215" s="30">
        <f>IFERROR(__xludf.DUMMYFUNCTION("""COMPUTED_VALUE"""),4.0)</f>
        <v>4</v>
      </c>
      <c r="G215" s="30">
        <f>IFERROR(__xludf.DUMMYFUNCTION("""COMPUTED_VALUE"""),7.0)</f>
        <v>7</v>
      </c>
      <c r="H215" s="42">
        <f>IFERROR(__xludf.DUMMYFUNCTION("""COMPUTED_VALUE"""),0.36363636363636365)</f>
        <v>0.3636363636</v>
      </c>
      <c r="I215" s="42">
        <f>IFERROR(__xludf.DUMMYFUNCTION("""COMPUTED_VALUE"""),0.2631578947368421)</f>
        <v>0.2631578947</v>
      </c>
      <c r="J215" s="30">
        <f>IFERROR(__xludf.DUMMYFUNCTION("""COMPUTED_VALUE"""),371.7142857142857)</f>
        <v>371.7142857</v>
      </c>
      <c r="K215" s="30">
        <f>IFERROR(__xludf.DUMMYFUNCTION("""COMPUTED_VALUE"""),0.7142857142857143)</f>
        <v>0.7142857143</v>
      </c>
      <c r="L215" s="30">
        <f>IFERROR(__xludf.DUMMYFUNCTION("""COMPUTED_VALUE"""),1.0)</f>
        <v>1</v>
      </c>
      <c r="M215" s="30">
        <f>IFERROR(__xludf.DUMMYFUNCTION("""COMPUTED_VALUE"""),1.2857142857142858)</f>
        <v>1.285714286</v>
      </c>
      <c r="N215" s="30">
        <f>IFERROR(__xludf.DUMMYFUNCTION("""COMPUTED_VALUE"""),2.7142857142857144)</f>
        <v>2.714285714</v>
      </c>
      <c r="O215" s="30">
        <f>IFERROR(__xludf.DUMMYFUNCTION("""COMPUTED_VALUE"""),393.047619047619)</f>
        <v>393.047619</v>
      </c>
      <c r="P215" s="30">
        <f>IFERROR(__xludf.DUMMYFUNCTION("""COMPUTED_VALUE"""),1.0)</f>
        <v>1</v>
      </c>
      <c r="Q215" s="30">
        <f>IFERROR(__xludf.DUMMYFUNCTION("""COMPUTED_VALUE"""),0.6666666666666666)</f>
        <v>0.6666666667</v>
      </c>
      <c r="R215" s="30">
        <f>IFERROR(__xludf.DUMMYFUNCTION("""COMPUTED_VALUE"""),1.2857142857142854)</f>
        <v>1.285714286</v>
      </c>
      <c r="S215" s="30">
        <f>IFERROR(__xludf.DUMMYFUNCTION("""COMPUTED_VALUE"""),2.9523809523809526)</f>
        <v>2.952380952</v>
      </c>
      <c r="T215" s="30">
        <f>IFERROR(__xludf.DUMMYFUNCTION("""COMPUTED_VALUE"""),378.56112889251835)</f>
        <v>378.5611289</v>
      </c>
      <c r="U215" s="30">
        <f>IFERROR(__xludf.DUMMYFUNCTION("""COMPUTED_VALUE"""),0.8507032802671748)</f>
        <v>0.8507032803</v>
      </c>
      <c r="V215" s="30">
        <f>IFERROR(__xludf.DUMMYFUNCTION("""COMPUTED_VALUE"""),0.6148073754057527)</f>
        <v>0.6148073754</v>
      </c>
      <c r="W215" s="30">
        <f>IFERROR(__xludf.DUMMYFUNCTION("""COMPUTED_VALUE"""),1.3910555131143365)</f>
        <v>1.391055513</v>
      </c>
      <c r="X215" s="30">
        <f>IFERROR(__xludf.DUMMYFUNCTION("""COMPUTED_VALUE"""),2.9433213619826195)</f>
        <v>2.943321362</v>
      </c>
      <c r="Y215" s="30">
        <f>IFERROR(__xludf.DUMMYFUNCTION("""COMPUTED_VALUE"""),362.6658744793633)</f>
        <v>362.6658745</v>
      </c>
      <c r="Z215" s="30">
        <f>IFERROR(__xludf.DUMMYFUNCTION("""COMPUTED_VALUE"""),0.7356382330013161)</f>
        <v>0.735638233</v>
      </c>
      <c r="AA215" s="30">
        <f>IFERROR(__xludf.DUMMYFUNCTION("""COMPUTED_VALUE"""),0.5367588275296186)</f>
        <v>0.5367588275</v>
      </c>
      <c r="AB215" s="30">
        <f>IFERROR(__xludf.DUMMYFUNCTION("""COMPUTED_VALUE"""),1.5793068324508488)</f>
        <v>1.579306832</v>
      </c>
      <c r="AC215" s="30">
        <f>IFERROR(__xludf.DUMMYFUNCTION("""COMPUTED_VALUE"""),2.5029482012240645)</f>
        <v>2.502948201</v>
      </c>
      <c r="AD215" s="30">
        <f>IFERROR(__xludf.DUMMYFUNCTION("""COMPUTED_VALUE"""),1.024949717830254)</f>
        <v>1.024949718</v>
      </c>
      <c r="AE215" s="30">
        <f>IFERROR(__xludf.DUMMYFUNCTION("""COMPUTED_VALUE"""),0.9709741585500714)</f>
        <v>0.9709741586</v>
      </c>
      <c r="AF215" s="30">
        <f>IFERROR(__xludf.DUMMYFUNCTION("""COMPUTED_VALUE"""),1.863034101558059)</f>
        <v>1.863034102</v>
      </c>
      <c r="AG215" s="30">
        <f>IFERROR(__xludf.DUMMYFUNCTION("""COMPUTED_VALUE"""),0.8141003757446227)</f>
        <v>0.8141003757</v>
      </c>
      <c r="AH215" s="30">
        <f>IFERROR(__xludf.DUMMYFUNCTION("""COMPUTED_VALUE"""),1.0844354321668725)</f>
        <v>1.084435432</v>
      </c>
      <c r="AI215" s="30">
        <f>IFERROR(__xludf.DUMMYFUNCTION("""COMPUTED_VALUE"""),1.038267241535022)</f>
        <v>1.038267242</v>
      </c>
      <c r="AJ215" s="30">
        <f>IFERROR(__xludf.DUMMYFUNCTION("""COMPUTED_VALUE"""),1.1754979946544188)</f>
        <v>1.175497995</v>
      </c>
      <c r="AK215" s="30">
        <f>IFERROR(__xludf.DUMMYFUNCTION("""COMPUTED_VALUE"""),1.0843504703024887)</f>
        <v>1.08435047</v>
      </c>
      <c r="AL215" s="30">
        <f>IFERROR(__xludf.DUMMYFUNCTION("""COMPUTED_VALUE"""),0.9242724489375624)</f>
        <v>0.9242724489</v>
      </c>
      <c r="AM215" s="30">
        <f>IFERROR(__xludf.DUMMYFUNCTION("""COMPUTED_VALUE"""),1.003078016051985)</f>
        <v>1.003078016</v>
      </c>
      <c r="AN215" s="30">
        <f>IFERROR(__xludf.DUMMYFUNCTION("""COMPUTED_VALUE"""),1.0538843163292706)</f>
        <v>1.053884316</v>
      </c>
      <c r="AO215" s="30">
        <f>IFERROR(__xludf.DUMMYFUNCTION("""COMPUTED_VALUE"""),1.0015409946532938)</f>
        <v>1.001540995</v>
      </c>
      <c r="AP215" s="30">
        <f>IFERROR(__xludf.DUMMYFUNCTION("""COMPUTED_VALUE"""),1.7388992687677856)</f>
        <v>1.738899269</v>
      </c>
      <c r="AQ215" s="30">
        <f>IFERROR(__xludf.DUMMYFUNCTION("""COMPUTED_VALUE"""),0.9012955704615936)</f>
        <v>0.9012955705</v>
      </c>
      <c r="AR215" s="30">
        <f>IFERROR(__xludf.DUMMYFUNCTION("""COMPUTED_VALUE"""),1.0774778658773951)</f>
        <v>1.077477866</v>
      </c>
      <c r="AS215" s="30">
        <f>IFERROR(__xludf.DUMMYFUNCTION("""COMPUTED_VALUE"""),14.0)</f>
        <v>14</v>
      </c>
      <c r="AT215" s="30">
        <f>IFERROR(__xludf.DUMMYFUNCTION("""COMPUTED_VALUE"""),0.2140249782377047)</f>
        <v>0.2140249782</v>
      </c>
      <c r="AU215" s="30">
        <f>IFERROR(__xludf.DUMMYFUNCTION("""COMPUTED_VALUE"""),2.9189163826966373)</f>
        <v>2.918916383</v>
      </c>
      <c r="AV215" s="32">
        <f>IFERROR(__xludf.DUMMYFUNCTION("""COMPUTED_VALUE"""),66.69716951613742)</f>
        <v>66.69716952</v>
      </c>
      <c r="AW215" s="32">
        <f>IFERROR(__xludf.DUMMYFUNCTION("""COMPUTED_VALUE"""),3.9666337378028804)</f>
        <v>3.966633738</v>
      </c>
      <c r="AX215" s="32">
        <f>IFERROR(__xludf.DUMMYFUNCTION("""COMPUTED_VALUE"""),57.32959432939934)</f>
        <v>57.32959433</v>
      </c>
      <c r="AY215" s="32">
        <f>IFERROR(__xludf.DUMMYFUNCTION("""COMPUTED_VALUE"""),2.5994899995748417)</f>
        <v>2.59949</v>
      </c>
      <c r="AZ215" s="30">
        <f>IFERROR(__xludf.DUMMYFUNCTION("""COMPUTED_VALUE"""),1.3671437382280387)</f>
        <v>1.367143738</v>
      </c>
      <c r="BA215" s="30">
        <f>IFERROR(__xludf.DUMMYFUNCTION("""COMPUTED_VALUE"""),800.0)</f>
        <v>800</v>
      </c>
    </row>
    <row r="216">
      <c r="A216" s="30" t="str">
        <f>IFERROR(__xludf.DUMMYFUNCTION("""COMPUTED_VALUE"""),"Elite")</f>
        <v>Elite</v>
      </c>
      <c r="B216" s="30" t="str">
        <f>IFERROR(__xludf.DUMMYFUNCTION("""COMPUTED_VALUE"""),"RSC006446")</f>
        <v>RSC006446</v>
      </c>
      <c r="C216" s="30" t="str">
        <f>IFERROR(__xludf.DUMMYFUNCTION("""COMPUTED_VALUE"""),"ACE_Cosplays.TTV")</f>
        <v>ACE_Cosplays.TTV</v>
      </c>
      <c r="D216" s="30" t="str">
        <f>IFERROR(__xludf.DUMMYFUNCTION("""COMPUTED_VALUE"""),"Majesties")</f>
        <v>Majesties</v>
      </c>
      <c r="E216" s="30">
        <f>IFERROR(__xludf.DUMMYFUNCTION("""COMPUTED_VALUE"""),7.0)</f>
        <v>7</v>
      </c>
      <c r="F216" s="30">
        <f>IFERROR(__xludf.DUMMYFUNCTION("""COMPUTED_VALUE"""),1.0)</f>
        <v>1</v>
      </c>
      <c r="G216" s="30">
        <f>IFERROR(__xludf.DUMMYFUNCTION("""COMPUTED_VALUE"""),6.0)</f>
        <v>6</v>
      </c>
      <c r="H216" s="42">
        <f>IFERROR(__xludf.DUMMYFUNCTION("""COMPUTED_VALUE"""),0.14285714285714285)</f>
        <v>0.1428571429</v>
      </c>
      <c r="I216" s="42">
        <f>IFERROR(__xludf.DUMMYFUNCTION("""COMPUTED_VALUE"""),0.4166666666666667)</f>
        <v>0.4166666667</v>
      </c>
      <c r="J216" s="30">
        <f>IFERROR(__xludf.DUMMYFUNCTION("""COMPUTED_VALUE"""),343.85714285714283)</f>
        <v>343.8571429</v>
      </c>
      <c r="K216" s="30">
        <f>IFERROR(__xludf.DUMMYFUNCTION("""COMPUTED_VALUE"""),0.7142857142857143)</f>
        <v>0.7142857143</v>
      </c>
      <c r="L216" s="30">
        <f>IFERROR(__xludf.DUMMYFUNCTION("""COMPUTED_VALUE"""),0.42857142857142855)</f>
        <v>0.4285714286</v>
      </c>
      <c r="M216" s="30">
        <f>IFERROR(__xludf.DUMMYFUNCTION("""COMPUTED_VALUE"""),1.5714285714285714)</f>
        <v>1.571428571</v>
      </c>
      <c r="N216" s="30">
        <f>IFERROR(__xludf.DUMMYFUNCTION("""COMPUTED_VALUE"""),1.7142857142857142)</f>
        <v>1.714285714</v>
      </c>
      <c r="O216" s="30">
        <f>IFERROR(__xludf.DUMMYFUNCTION("""COMPUTED_VALUE"""),425.61904761904765)</f>
        <v>425.6190476</v>
      </c>
      <c r="P216" s="30">
        <f>IFERROR(__xludf.DUMMYFUNCTION("""COMPUTED_VALUE"""),1.3809523809523812)</f>
        <v>1.380952381</v>
      </c>
      <c r="Q216" s="30">
        <f>IFERROR(__xludf.DUMMYFUNCTION("""COMPUTED_VALUE"""),1.0)</f>
        <v>1</v>
      </c>
      <c r="R216" s="30">
        <f>IFERROR(__xludf.DUMMYFUNCTION("""COMPUTED_VALUE"""),1.0)</f>
        <v>1</v>
      </c>
      <c r="S216" s="30">
        <f>IFERROR(__xludf.DUMMYFUNCTION("""COMPUTED_VALUE"""),3.142857142857143)</f>
        <v>3.142857143</v>
      </c>
      <c r="T216" s="30">
        <f>IFERROR(__xludf.DUMMYFUNCTION("""COMPUTED_VALUE"""),409.39434523809524)</f>
        <v>409.3943452</v>
      </c>
      <c r="U216" s="30">
        <f>IFERROR(__xludf.DUMMYFUNCTION("""COMPUTED_VALUE"""),1.035019841269841)</f>
        <v>1.035019841</v>
      </c>
      <c r="V216" s="30">
        <f>IFERROR(__xludf.DUMMYFUNCTION("""COMPUTED_VALUE"""),0.8246031746031747)</f>
        <v>0.8246031746</v>
      </c>
      <c r="W216" s="30">
        <f>IFERROR(__xludf.DUMMYFUNCTION("""COMPUTED_VALUE"""),1.2704365079365079)</f>
        <v>1.270436508</v>
      </c>
      <c r="X216" s="30">
        <f>IFERROR(__xludf.DUMMYFUNCTION("""COMPUTED_VALUE"""),3.1858134920634926)</f>
        <v>3.185813492</v>
      </c>
      <c r="Y216" s="30">
        <f>IFERROR(__xludf.DUMMYFUNCTION("""COMPUTED_VALUE"""),367.56855158730156)</f>
        <v>367.5685516</v>
      </c>
      <c r="Z216" s="30">
        <f>IFERROR(__xludf.DUMMYFUNCTION("""COMPUTED_VALUE"""),0.7355158730158731)</f>
        <v>0.735515873</v>
      </c>
      <c r="AA216" s="30">
        <f>IFERROR(__xludf.DUMMYFUNCTION("""COMPUTED_VALUE"""),0.5023478835978837)</f>
        <v>0.5023478836</v>
      </c>
      <c r="AB216" s="30">
        <f>IFERROR(__xludf.DUMMYFUNCTION("""COMPUTED_VALUE"""),1.7089285714285718)</f>
        <v>1.708928571</v>
      </c>
      <c r="AC216" s="30">
        <f>IFERROR(__xludf.DUMMYFUNCTION("""COMPUTED_VALUE"""),2.318452380952382)</f>
        <v>2.318452381</v>
      </c>
      <c r="AD216" s="30">
        <f>IFERROR(__xludf.DUMMYFUNCTION("""COMPUTED_VALUE"""),0.9354911930638141)</f>
        <v>0.9354911931</v>
      </c>
      <c r="AE216" s="30">
        <f>IFERROR(__xludf.DUMMYFUNCTION("""COMPUTED_VALUE"""),0.9711356892365794)</f>
        <v>0.9711356892</v>
      </c>
      <c r="AF216" s="30">
        <f>IFERROR(__xludf.DUMMYFUNCTION("""COMPUTED_VALUE"""),0.8531367256928442)</f>
        <v>0.8531367257</v>
      </c>
      <c r="AG216" s="30">
        <f>IFERROR(__xludf.DUMMYFUNCTION("""COMPUTED_VALUE"""),0.9195402298850572)</f>
        <v>0.9195402299</v>
      </c>
      <c r="AH216" s="30">
        <f>IFERROR(__xludf.DUMMYFUNCTION("""COMPUTED_VALUE"""),0.7394094993581511)</f>
        <v>0.7394094994</v>
      </c>
      <c r="AI216" s="30">
        <f>IFERROR(__xludf.DUMMYFUNCTION("""COMPUTED_VALUE"""),1.0396309879940244)</f>
        <v>1.039630988</v>
      </c>
      <c r="AJ216" s="30">
        <f>IFERROR(__xludf.DUMMYFUNCTION("""COMPUTED_VALUE"""),1.3342279306048122)</f>
        <v>1.334227931</v>
      </c>
      <c r="AK216" s="30">
        <f>IFERROR(__xludf.DUMMYFUNCTION("""COMPUTED_VALUE"""),1.2127045235803657)</f>
        <v>1.212704524</v>
      </c>
      <c r="AL216" s="30">
        <f>IFERROR(__xludf.DUMMYFUNCTION("""COMPUTED_VALUE"""),0.787131032328596)</f>
        <v>0.7871310323</v>
      </c>
      <c r="AM216" s="30">
        <f>IFERROR(__xludf.DUMMYFUNCTION("""COMPUTED_VALUE"""),0.9865163640893094)</f>
        <v>0.9865163641</v>
      </c>
      <c r="AN216" s="30">
        <f>IFERROR(__xludf.DUMMYFUNCTION("""COMPUTED_VALUE"""),0.9749037468887602)</f>
        <v>0.9749037469</v>
      </c>
      <c r="AO216" s="30">
        <f>IFERROR(__xludf.DUMMYFUNCTION("""COMPUTED_VALUE"""),1.0015409946532938)</f>
        <v>1.001540995</v>
      </c>
      <c r="AP216" s="30">
        <f>IFERROR(__xludf.DUMMYFUNCTION("""COMPUTED_VALUE"""),0.7452425437576223)</f>
        <v>0.7452425438</v>
      </c>
      <c r="AQ216" s="30">
        <f>IFERROR(__xludf.DUMMYFUNCTION("""COMPUTED_VALUE"""),1.1015834750086144)</f>
        <v>1.101583475</v>
      </c>
      <c r="AR216" s="30">
        <f>IFERROR(__xludf.DUMMYFUNCTION("""COMPUTED_VALUE"""),0.680512336343618)</f>
        <v>0.6805123363</v>
      </c>
      <c r="AS216" s="30">
        <f>IFERROR(__xludf.DUMMYFUNCTION("""COMPUTED_VALUE"""),11.0)</f>
        <v>11</v>
      </c>
      <c r="AT216" s="30">
        <f>IFERROR(__xludf.DUMMYFUNCTION("""COMPUTED_VALUE"""),0.1681714346259302)</f>
        <v>0.1681714346</v>
      </c>
      <c r="AU216" s="30">
        <f>IFERROR(__xludf.DUMMYFUNCTION("""COMPUTED_VALUE"""),1.7534635914926002)</f>
        <v>1.753463591</v>
      </c>
      <c r="AV216" s="32">
        <f>IFERROR(__xludf.DUMMYFUNCTION("""COMPUTED_VALUE"""),33.94857645551853)</f>
        <v>33.94857646</v>
      </c>
      <c r="AW216" s="32">
        <f>IFERROR(__xludf.DUMMYFUNCTION("""COMPUTED_VALUE"""),-3.8399787773414693)</f>
        <v>-3.839978777</v>
      </c>
      <c r="AX216" s="32">
        <f>IFERROR(__xludf.DUMMYFUNCTION("""COMPUTED_VALUE"""),43.04331999249343)</f>
        <v>43.04331999</v>
      </c>
      <c r="AY216" s="32">
        <f>IFERROR(__xludf.DUMMYFUNCTION("""COMPUTED_VALUE"""),-2.561451617602592)</f>
        <v>-2.561451618</v>
      </c>
      <c r="AZ216" s="30">
        <f>IFERROR(__xludf.DUMMYFUNCTION("""COMPUTED_VALUE"""),1.2785271597388772)</f>
        <v>1.27852716</v>
      </c>
      <c r="BA216" s="30">
        <f>IFERROR(__xludf.DUMMYFUNCTION("""COMPUTED_VALUE"""),800.0)</f>
        <v>800</v>
      </c>
    </row>
    <row r="217">
      <c r="A217" s="30" t="str">
        <f>IFERROR(__xludf.DUMMYFUNCTION("""COMPUTED_VALUE"""),"Elite")</f>
        <v>Elite</v>
      </c>
      <c r="B217" s="30" t="str">
        <f>IFERROR(__xludf.DUMMYFUNCTION("""COMPUTED_VALUE"""),"RSC005872")</f>
        <v>RSC005872</v>
      </c>
      <c r="C217" s="30" t="str">
        <f>IFERROR(__xludf.DUMMYFUNCTION("""COMPUTED_VALUE"""),"Ditto")</f>
        <v>Ditto</v>
      </c>
      <c r="D217" s="30" t="str">
        <f>IFERROR(__xludf.DUMMYFUNCTION("""COMPUTED_VALUE"""),"Pixel Picassos")</f>
        <v>Pixel Picassos</v>
      </c>
      <c r="E217" s="30">
        <f>IFERROR(__xludf.DUMMYFUNCTION("""COMPUTED_VALUE"""),28.0)</f>
        <v>28</v>
      </c>
      <c r="F217" s="30">
        <f>IFERROR(__xludf.DUMMYFUNCTION("""COMPUTED_VALUE"""),5.0)</f>
        <v>5</v>
      </c>
      <c r="G217" s="30">
        <f>IFERROR(__xludf.DUMMYFUNCTION("""COMPUTED_VALUE"""),23.0)</f>
        <v>23</v>
      </c>
      <c r="H217" s="42">
        <f>IFERROR(__xludf.DUMMYFUNCTION("""COMPUTED_VALUE"""),0.17857142857142858)</f>
        <v>0.1785714286</v>
      </c>
      <c r="I217" s="42">
        <f>IFERROR(__xludf.DUMMYFUNCTION("""COMPUTED_VALUE"""),0.2666666666666667)</f>
        <v>0.2666666667</v>
      </c>
      <c r="J217" s="30">
        <f>IFERROR(__xludf.DUMMYFUNCTION("""COMPUTED_VALUE"""),365.14285714285717)</f>
        <v>365.1428571</v>
      </c>
      <c r="K217" s="30">
        <f>IFERROR(__xludf.DUMMYFUNCTION("""COMPUTED_VALUE"""),0.7142857142857143)</f>
        <v>0.7142857143</v>
      </c>
      <c r="L217" s="30">
        <f>IFERROR(__xludf.DUMMYFUNCTION("""COMPUTED_VALUE"""),0.4642857142857143)</f>
        <v>0.4642857143</v>
      </c>
      <c r="M217" s="30">
        <f>IFERROR(__xludf.DUMMYFUNCTION("""COMPUTED_VALUE"""),1.6785714285714286)</f>
        <v>1.678571429</v>
      </c>
      <c r="N217" s="30">
        <f>IFERROR(__xludf.DUMMYFUNCTION("""COMPUTED_VALUE"""),2.6785714285714284)</f>
        <v>2.678571429</v>
      </c>
      <c r="O217" s="30">
        <f>IFERROR(__xludf.DUMMYFUNCTION("""COMPUTED_VALUE"""),397.0119047619047)</f>
        <v>397.0119048</v>
      </c>
      <c r="P217" s="30">
        <f>IFERROR(__xludf.DUMMYFUNCTION("""COMPUTED_VALUE"""),1.0238095238095235)</f>
        <v>1.023809524</v>
      </c>
      <c r="Q217" s="30">
        <f>IFERROR(__xludf.DUMMYFUNCTION("""COMPUTED_VALUE"""),0.75)</f>
        <v>0.75</v>
      </c>
      <c r="R217" s="30">
        <f>IFERROR(__xludf.DUMMYFUNCTION("""COMPUTED_VALUE"""),1.2023809523809523)</f>
        <v>1.202380952</v>
      </c>
      <c r="S217" s="30">
        <f>IFERROR(__xludf.DUMMYFUNCTION("""COMPUTED_VALUE"""),3.452380952380952)</f>
        <v>3.452380952</v>
      </c>
      <c r="T217" s="30">
        <f>IFERROR(__xludf.DUMMYFUNCTION("""COMPUTED_VALUE"""),377.93776278698624)</f>
        <v>377.9377628</v>
      </c>
      <c r="U217" s="30">
        <f>IFERROR(__xludf.DUMMYFUNCTION("""COMPUTED_VALUE"""),0.904821510450199)</f>
        <v>0.9048215105</v>
      </c>
      <c r="V217" s="30">
        <f>IFERROR(__xludf.DUMMYFUNCTION("""COMPUTED_VALUE"""),0.6797003177216089)</f>
        <v>0.6797003177</v>
      </c>
      <c r="W217" s="30">
        <f>IFERROR(__xludf.DUMMYFUNCTION("""COMPUTED_VALUE"""),1.2986754345219558)</f>
        <v>1.298675435</v>
      </c>
      <c r="X217" s="30">
        <f>IFERROR(__xludf.DUMMYFUNCTION("""COMPUTED_VALUE"""),2.994595743403525)</f>
        <v>2.994595743</v>
      </c>
      <c r="Y217" s="30">
        <f>IFERROR(__xludf.DUMMYFUNCTION("""COMPUTED_VALUE"""),358.92377632211935)</f>
        <v>358.9237763</v>
      </c>
      <c r="Z217" s="30">
        <f>IFERROR(__xludf.DUMMYFUNCTION("""COMPUTED_VALUE"""),0.7013721688952013)</f>
        <v>0.7013721689</v>
      </c>
      <c r="AA217" s="30">
        <f>IFERROR(__xludf.DUMMYFUNCTION("""COMPUTED_VALUE"""),0.5148653445975403)</f>
        <v>0.5148653446</v>
      </c>
      <c r="AB217" s="30">
        <f>IFERROR(__xludf.DUMMYFUNCTION("""COMPUTED_VALUE"""),1.6107091146234418)</f>
        <v>1.610709115</v>
      </c>
      <c r="AC217" s="30">
        <f>IFERROR(__xludf.DUMMYFUNCTION("""COMPUTED_VALUE"""),2.4462637661455804)</f>
        <v>2.446263766</v>
      </c>
      <c r="AD217" s="30">
        <f>IFERROR(__xludf.DUMMYFUNCTION("""COMPUTED_VALUE"""),1.0173270238167684)</f>
        <v>1.017327024</v>
      </c>
      <c r="AE217" s="30">
        <f>IFERROR(__xludf.DUMMYFUNCTION("""COMPUTED_VALUE"""),1.018411830356563)</f>
        <v>1.01841183</v>
      </c>
      <c r="AF217" s="30">
        <f>IFERROR(__xludf.DUMMYFUNCTION("""COMPUTED_VALUE"""),0.901761439485963)</f>
        <v>0.9017614395</v>
      </c>
      <c r="AG217" s="30">
        <f>IFERROR(__xludf.DUMMYFUNCTION("""COMPUTED_VALUE"""),1.0421319487993659)</f>
        <v>1.042131949</v>
      </c>
      <c r="AH217" s="30">
        <f>IFERROR(__xludf.DUMMYFUNCTION("""COMPUTED_VALUE"""),1.0949642739433123)</f>
        <v>1.094964274</v>
      </c>
      <c r="AI217" s="30">
        <f>IFERROR(__xludf.DUMMYFUNCTION("""COMPUTED_VALUE"""),1.050469002711616)</f>
        <v>1.050469003</v>
      </c>
      <c r="AJ217" s="30">
        <f>IFERROR(__xludf.DUMMYFUNCTION("""COMPUTED_VALUE"""),1.1315044038907975)</f>
        <v>1.131504404</v>
      </c>
      <c r="AK217" s="30">
        <f>IFERROR(__xludf.DUMMYFUNCTION("""COMPUTED_VALUE"""),1.1034274671432247)</f>
        <v>1.103427467</v>
      </c>
      <c r="AL217" s="30">
        <f>IFERROR(__xludf.DUMMYFUNCTION("""COMPUTED_VALUE"""),0.9258517720584669)</f>
        <v>0.9258517721</v>
      </c>
      <c r="AM217" s="30">
        <f>IFERROR(__xludf.DUMMYFUNCTION("""COMPUTED_VALUE"""),1.1528704533778336)</f>
        <v>1.152870453</v>
      </c>
      <c r="AN217" s="30">
        <f>IFERROR(__xludf.DUMMYFUNCTION("""COMPUTED_VALUE"""),1.0352530025125348)</f>
        <v>1.035253003</v>
      </c>
      <c r="AO217" s="30">
        <f>IFERROR(__xludf.DUMMYFUNCTION("""COMPUTED_VALUE"""),1.0015409946532938)</f>
        <v>1.001540995</v>
      </c>
      <c r="AP217" s="30">
        <f>IFERROR(__xludf.DUMMYFUNCTION("""COMPUTED_VALUE"""),0.8073460890707576)</f>
        <v>0.8073460891</v>
      </c>
      <c r="AQ217" s="30">
        <f>IFERROR(__xludf.DUMMYFUNCTION("""COMPUTED_VALUE"""),1.176691439213747)</f>
        <v>1.176691439</v>
      </c>
      <c r="AR217" s="30">
        <f>IFERROR(__xludf.DUMMYFUNCTION("""COMPUTED_VALUE"""),1.063300525536903)</f>
        <v>1.063300526</v>
      </c>
      <c r="AS217" s="30">
        <f>IFERROR(__xludf.DUMMYFUNCTION("""COMPUTED_VALUE"""),50.0)</f>
        <v>50</v>
      </c>
      <c r="AT217" s="30">
        <f>IFERROR(__xludf.DUMMYFUNCTION("""COMPUTED_VALUE"""),0.29867988341457985)</f>
        <v>0.2986798834</v>
      </c>
      <c r="AU217" s="30">
        <f>IFERROR(__xludf.DUMMYFUNCTION("""COMPUTED_VALUE"""),2.3219534669922686)</f>
        <v>2.321953467</v>
      </c>
      <c r="AV217" s="32">
        <f>IFERROR(__xludf.DUMMYFUNCTION("""COMPUTED_VALUE"""),49.922834471226686)</f>
        <v>49.92283447</v>
      </c>
      <c r="AW217" s="32">
        <f>IFERROR(__xludf.DUMMYFUNCTION("""COMPUTED_VALUE"""),-2.0049376872573563)</f>
        <v>-2.004937687</v>
      </c>
      <c r="AX217" s="32">
        <f>IFERROR(__xludf.DUMMYFUNCTION("""COMPUTED_VALUE"""),37.40918882694653)</f>
        <v>37.40918883</v>
      </c>
      <c r="AY217" s="32">
        <f>IFERROR(__xludf.DUMMYFUNCTION("""COMPUTED_VALUE"""),-3.254574331599381)</f>
        <v>-3.254574332</v>
      </c>
      <c r="AZ217" s="30">
        <f>IFERROR(__xludf.DUMMYFUNCTION("""COMPUTED_VALUE"""),1.2496366443420248)</f>
        <v>1.249636644</v>
      </c>
      <c r="BA217" s="30">
        <f>IFERROR(__xludf.DUMMYFUNCTION("""COMPUTED_VALUE"""),800.0)</f>
        <v>800</v>
      </c>
    </row>
    <row r="218">
      <c r="A218" s="30" t="str">
        <f>IFERROR(__xludf.DUMMYFUNCTION("""COMPUTED_VALUE"""),"Elite")</f>
        <v>Elite</v>
      </c>
      <c r="B218" s="30" t="str">
        <f>IFERROR(__xludf.DUMMYFUNCTION("""COMPUTED_VALUE"""),"RSC000030")</f>
        <v>RSC000030</v>
      </c>
      <c r="C218" s="30" t="str">
        <f>IFERROR(__xludf.DUMMYFUNCTION("""COMPUTED_VALUE"""),"ADeadM0053")</f>
        <v>ADeadM0053</v>
      </c>
      <c r="D218" s="30" t="str">
        <f>IFERROR(__xludf.DUMMYFUNCTION("""COMPUTED_VALUE"""),"Drive Bye")</f>
        <v>Drive Bye</v>
      </c>
      <c r="E218" s="30">
        <f>IFERROR(__xludf.DUMMYFUNCTION("""COMPUTED_VALUE"""),36.0)</f>
        <v>36</v>
      </c>
      <c r="F218" s="30">
        <f>IFERROR(__xludf.DUMMYFUNCTION("""COMPUTED_VALUE"""),11.0)</f>
        <v>11</v>
      </c>
      <c r="G218" s="30">
        <f>IFERROR(__xludf.DUMMYFUNCTION("""COMPUTED_VALUE"""),25.0)</f>
        <v>25</v>
      </c>
      <c r="H218" s="42">
        <f>IFERROR(__xludf.DUMMYFUNCTION("""COMPUTED_VALUE"""),0.3055555555555556)</f>
        <v>0.3055555556</v>
      </c>
      <c r="I218" s="42">
        <f>IFERROR(__xludf.DUMMYFUNCTION("""COMPUTED_VALUE"""),0.21794871794871795)</f>
        <v>0.2179487179</v>
      </c>
      <c r="J218" s="30">
        <f>IFERROR(__xludf.DUMMYFUNCTION("""COMPUTED_VALUE"""),321.52777777777777)</f>
        <v>321.5277778</v>
      </c>
      <c r="K218" s="30">
        <f>IFERROR(__xludf.DUMMYFUNCTION("""COMPUTED_VALUE"""),0.4722222222222222)</f>
        <v>0.4722222222</v>
      </c>
      <c r="L218" s="30">
        <f>IFERROR(__xludf.DUMMYFUNCTION("""COMPUTED_VALUE"""),0.4166666666666667)</f>
        <v>0.4166666667</v>
      </c>
      <c r="M218" s="30">
        <f>IFERROR(__xludf.DUMMYFUNCTION("""COMPUTED_VALUE"""),1.6111111111111112)</f>
        <v>1.611111111</v>
      </c>
      <c r="N218" s="30">
        <f>IFERROR(__xludf.DUMMYFUNCTION("""COMPUTED_VALUE"""),2.1666666666666665)</f>
        <v>2.166666667</v>
      </c>
      <c r="O218" s="30">
        <f>IFERROR(__xludf.DUMMYFUNCTION("""COMPUTED_VALUE"""),399.4444444444445)</f>
        <v>399.4444444</v>
      </c>
      <c r="P218" s="30">
        <f>IFERROR(__xludf.DUMMYFUNCTION("""COMPUTED_VALUE"""),0.9444444444444444)</f>
        <v>0.9444444444</v>
      </c>
      <c r="Q218" s="30">
        <f>IFERROR(__xludf.DUMMYFUNCTION("""COMPUTED_VALUE"""),0.7777777777777777)</f>
        <v>0.7777777778</v>
      </c>
      <c r="R218" s="30">
        <f>IFERROR(__xludf.DUMMYFUNCTION("""COMPUTED_VALUE"""),1.3796296296296293)</f>
        <v>1.37962963</v>
      </c>
      <c r="S218" s="30">
        <f>IFERROR(__xludf.DUMMYFUNCTION("""COMPUTED_VALUE"""),3.2037037037037037)</f>
        <v>3.203703704</v>
      </c>
      <c r="T218" s="30">
        <f>IFERROR(__xludf.DUMMYFUNCTION("""COMPUTED_VALUE"""),366.0991124454237)</f>
        <v>366.0991124</v>
      </c>
      <c r="U218" s="30">
        <f>IFERROR(__xludf.DUMMYFUNCTION("""COMPUTED_VALUE"""),0.7956247181834617)</f>
        <v>0.7956247182</v>
      </c>
      <c r="V218" s="30">
        <f>IFERROR(__xludf.DUMMYFUNCTION("""COMPUTED_VALUE"""),0.6156931521223816)</f>
        <v>0.6156931521</v>
      </c>
      <c r="W218" s="30">
        <f>IFERROR(__xludf.DUMMYFUNCTION("""COMPUTED_VALUE"""),1.3965338322123642)</f>
        <v>1.396533832</v>
      </c>
      <c r="X218" s="30">
        <f>IFERROR(__xludf.DUMMYFUNCTION("""COMPUTED_VALUE"""),2.7438207088516178)</f>
        <v>2.743820709</v>
      </c>
      <c r="Y218" s="30">
        <f>IFERROR(__xludf.DUMMYFUNCTION("""COMPUTED_VALUE"""),354.44518731123725)</f>
        <v>354.4451873</v>
      </c>
      <c r="Z218" s="30">
        <f>IFERROR(__xludf.DUMMYFUNCTION("""COMPUTED_VALUE"""),0.7389445636952546)</f>
        <v>0.7389445637</v>
      </c>
      <c r="AA218" s="30">
        <f>IFERROR(__xludf.DUMMYFUNCTION("""COMPUTED_VALUE"""),0.5491114476344374)</f>
        <v>0.5491114476</v>
      </c>
      <c r="AB218" s="30">
        <f>IFERROR(__xludf.DUMMYFUNCTION("""COMPUTED_VALUE"""),1.458496393018744)</f>
        <v>1.458496393</v>
      </c>
      <c r="AC218" s="30">
        <f>IFERROR(__xludf.DUMMYFUNCTION("""COMPUTED_VALUE"""),2.538954286529494)</f>
        <v>2.538954287</v>
      </c>
      <c r="AD218" s="30">
        <f>IFERROR(__xludf.DUMMYFUNCTION("""COMPUTED_VALUE"""),0.9071297602228273)</f>
        <v>0.9071297602</v>
      </c>
      <c r="AE218" s="30">
        <f>IFERROR(__xludf.DUMMYFUNCTION("""COMPUTED_VALUE"""),0.6390495923818307)</f>
        <v>0.6390495924</v>
      </c>
      <c r="AF218" s="30">
        <f>IFERROR(__xludf.DUMMYFUNCTION("""COMPUTED_VALUE"""),0.7588016393787809)</f>
        <v>0.7588016394</v>
      </c>
      <c r="AG218" s="30">
        <f>IFERROR(__xludf.DUMMYFUNCTION("""COMPUTED_VALUE"""),1.1046383925410268)</f>
        <v>1.104638393</v>
      </c>
      <c r="AH218" s="30">
        <f>IFERROR(__xludf.DUMMYFUNCTION("""COMPUTED_VALUE"""),0.8533697034885537)</f>
        <v>0.8533697035</v>
      </c>
      <c r="AI218" s="30">
        <f>IFERROR(__xludf.DUMMYFUNCTION("""COMPUTED_VALUE"""),1.0910827993443764)</f>
        <v>1.091082799</v>
      </c>
      <c r="AJ218" s="30">
        <f>IFERROR(__xludf.DUMMYFUNCTION("""COMPUTED_VALUE"""),1.1870476405016197)</f>
        <v>1.187047641</v>
      </c>
      <c r="AK218" s="30">
        <f>IFERROR(__xludf.DUMMYFUNCTION("""COMPUTED_VALUE"""),1.2632555276872373)</f>
        <v>1.263255528</v>
      </c>
      <c r="AL218" s="30">
        <f>IFERROR(__xludf.DUMMYFUNCTION("""COMPUTED_VALUE"""),0.9878956010997918)</f>
        <v>0.9878956011</v>
      </c>
      <c r="AM218" s="30">
        <f>IFERROR(__xludf.DUMMYFUNCTION("""COMPUTED_VALUE"""),1.1676067949223121)</f>
        <v>1.167606795</v>
      </c>
      <c r="AN218" s="30">
        <f>IFERROR(__xludf.DUMMYFUNCTION("""COMPUTED_VALUE"""),0.9115955326093085)</f>
        <v>0.9115955326</v>
      </c>
      <c r="AO218" s="30">
        <f>IFERROR(__xludf.DUMMYFUNCTION("""COMPUTED_VALUE"""),0.6621298797985664)</f>
        <v>0.6621298798</v>
      </c>
      <c r="AP218" s="30">
        <f>IFERROR(__xludf.DUMMYFUNCTION("""COMPUTED_VALUE"""),0.7245413619865774)</f>
        <v>0.724541362</v>
      </c>
      <c r="AQ218" s="30">
        <f>IFERROR(__xludf.DUMMYFUNCTION("""COMPUTED_VALUE"""),1.129401239529034)</f>
        <v>1.12940124</v>
      </c>
      <c r="AR218" s="30">
        <f>IFERROR(__xludf.DUMMYFUNCTION("""COMPUTED_VALUE"""),0.8600919806565172)</f>
        <v>0.8600919807</v>
      </c>
      <c r="AS218" s="30">
        <f>IFERROR(__xludf.DUMMYFUNCTION("""COMPUTED_VALUE"""),60.0)</f>
        <v>60</v>
      </c>
      <c r="AT218" s="30">
        <f>IFERROR(__xludf.DUMMYFUNCTION("""COMPUTED_VALUE"""),0.3063847338892743)</f>
        <v>0.3063847339</v>
      </c>
      <c r="AU218" s="30">
        <f>IFERROR(__xludf.DUMMYFUNCTION("""COMPUTED_VALUE"""),1.418031065917058)</f>
        <v>1.418031066</v>
      </c>
      <c r="AV218" s="32">
        <f>IFERROR(__xludf.DUMMYFUNCTION("""COMPUTED_VALUE"""),24.52310391619718)</f>
        <v>24.52310392</v>
      </c>
      <c r="AW218" s="32">
        <f>IFERROR(__xludf.DUMMYFUNCTION("""COMPUTED_VALUE"""),-6.489988383230821)</f>
        <v>-6.489988383</v>
      </c>
      <c r="AX218" s="32">
        <f>IFERROR(__xludf.DUMMYFUNCTION("""COMPUTED_VALUE"""),28.057711614904335)</f>
        <v>28.05771161</v>
      </c>
      <c r="AY218" s="32">
        <f>IFERROR(__xludf.DUMMYFUNCTION("""COMPUTED_VALUE"""),-5.261619019270941)</f>
        <v>-5.261619019</v>
      </c>
      <c r="AZ218" s="30">
        <f>IFERROR(__xludf.DUMMYFUNCTION("""COMPUTED_VALUE"""),1.2283693639598798)</f>
        <v>1.228369364</v>
      </c>
      <c r="BA218" s="30">
        <f>IFERROR(__xludf.DUMMYFUNCTION("""COMPUTED_VALUE"""),800.0)</f>
        <v>800</v>
      </c>
    </row>
    <row r="219">
      <c r="A219" s="30" t="str">
        <f>IFERROR(__xludf.DUMMYFUNCTION("""COMPUTED_VALUE"""),"Elite")</f>
        <v>Elite</v>
      </c>
      <c r="B219" s="30" t="str">
        <f>IFERROR(__xludf.DUMMYFUNCTION("""COMPUTED_VALUE"""),"RSC006751")</f>
        <v>RSC006751</v>
      </c>
      <c r="C219" s="30" t="str">
        <f>IFERROR(__xludf.DUMMYFUNCTION("""COMPUTED_VALUE"""),"cl0wdy.")</f>
        <v>cl0wdy.</v>
      </c>
      <c r="D219" s="30" t="str">
        <f>IFERROR(__xludf.DUMMYFUNCTION("""COMPUTED_VALUE"""),"Cotija Cartel")</f>
        <v>Cotija Cartel</v>
      </c>
      <c r="E219" s="30">
        <f>IFERROR(__xludf.DUMMYFUNCTION("""COMPUTED_VALUE"""),31.0)</f>
        <v>31</v>
      </c>
      <c r="F219" s="30">
        <f>IFERROR(__xludf.DUMMYFUNCTION("""COMPUTED_VALUE"""),25.0)</f>
        <v>25</v>
      </c>
      <c r="G219" s="30">
        <f>IFERROR(__xludf.DUMMYFUNCTION("""COMPUTED_VALUE"""),6.0)</f>
        <v>6</v>
      </c>
      <c r="H219" s="42">
        <f>IFERROR(__xludf.DUMMYFUNCTION("""COMPUTED_VALUE"""),0.8064516129032258)</f>
        <v>0.8064516129</v>
      </c>
      <c r="I219" s="42">
        <f>IFERROR(__xludf.DUMMYFUNCTION("""COMPUTED_VALUE"""),0.28205128205128205)</f>
        <v>0.2820512821</v>
      </c>
      <c r="J219" s="30">
        <f>IFERROR(__xludf.DUMMYFUNCTION("""COMPUTED_VALUE"""),340.7741935483871)</f>
        <v>340.7741935</v>
      </c>
      <c r="K219" s="30">
        <f>IFERROR(__xludf.DUMMYFUNCTION("""COMPUTED_VALUE"""),0.7096774193548387)</f>
        <v>0.7096774194</v>
      </c>
      <c r="L219" s="30">
        <f>IFERROR(__xludf.DUMMYFUNCTION("""COMPUTED_VALUE"""),0.8709677419354839)</f>
        <v>0.8709677419</v>
      </c>
      <c r="M219" s="30">
        <f>IFERROR(__xludf.DUMMYFUNCTION("""COMPUTED_VALUE"""),1.096774193548387)</f>
        <v>1.096774194</v>
      </c>
      <c r="N219" s="30">
        <f>IFERROR(__xludf.DUMMYFUNCTION("""COMPUTED_VALUE"""),2.5161290322580645)</f>
        <v>2.516129032</v>
      </c>
      <c r="O219" s="30">
        <f>IFERROR(__xludf.DUMMYFUNCTION("""COMPUTED_VALUE"""),311.5483870967742)</f>
        <v>311.5483871</v>
      </c>
      <c r="P219" s="30">
        <f>IFERROR(__xludf.DUMMYFUNCTION("""COMPUTED_VALUE"""),0.5376344086021506)</f>
        <v>0.5376344086</v>
      </c>
      <c r="Q219" s="30">
        <f>IFERROR(__xludf.DUMMYFUNCTION("""COMPUTED_VALUE"""),0.3548387096774195)</f>
        <v>0.3548387097</v>
      </c>
      <c r="R219" s="30">
        <f>IFERROR(__xludf.DUMMYFUNCTION("""COMPUTED_VALUE"""),1.3548387096774186)</f>
        <v>1.35483871</v>
      </c>
      <c r="S219" s="30">
        <f>IFERROR(__xludf.DUMMYFUNCTION("""COMPUTED_VALUE"""),2.10752688172043)</f>
        <v>2.107526882</v>
      </c>
      <c r="T219" s="30">
        <f>IFERROR(__xludf.DUMMYFUNCTION("""COMPUTED_VALUE"""),351.77775868481206)</f>
        <v>351.7777587</v>
      </c>
      <c r="U219" s="30">
        <f>IFERROR(__xludf.DUMMYFUNCTION("""COMPUTED_VALUE"""),0.7258675585770525)</f>
        <v>0.7258675586</v>
      </c>
      <c r="V219" s="30">
        <f>IFERROR(__xludf.DUMMYFUNCTION("""COMPUTED_VALUE"""),0.5111597291189628)</f>
        <v>0.5111597291</v>
      </c>
      <c r="W219" s="30">
        <f>IFERROR(__xludf.DUMMYFUNCTION("""COMPUTED_VALUE"""),1.4672254257506292)</f>
        <v>1.467225426</v>
      </c>
      <c r="X219" s="30">
        <f>IFERROR(__xludf.DUMMYFUNCTION("""COMPUTED_VALUE"""),2.48562373678942)</f>
        <v>2.485623737</v>
      </c>
      <c r="Y219" s="30">
        <f>IFERROR(__xludf.DUMMYFUNCTION("""COMPUTED_VALUE"""),367.86981925570336)</f>
        <v>367.8698193</v>
      </c>
      <c r="Z219" s="30">
        <f>IFERROR(__xludf.DUMMYFUNCTION("""COMPUTED_VALUE"""),0.8294910281825466)</f>
        <v>0.8294910282</v>
      </c>
      <c r="AA219" s="30">
        <f>IFERROR(__xludf.DUMMYFUNCTION("""COMPUTED_VALUE"""),0.6097851978454547)</f>
        <v>0.6097851978</v>
      </c>
      <c r="AB219" s="30">
        <f>IFERROR(__xludf.DUMMYFUNCTION("""COMPUTED_VALUE"""),1.3450624657912817)</f>
        <v>1.345062466</v>
      </c>
      <c r="AC219" s="30">
        <f>IFERROR(__xludf.DUMMYFUNCTION("""COMPUTED_VALUE"""),2.8332102078607972)</f>
        <v>2.833210208</v>
      </c>
      <c r="AD219" s="30">
        <f>IFERROR(__xludf.DUMMYFUNCTION("""COMPUTED_VALUE"""),0.9263445265443688)</f>
        <v>0.9263445265</v>
      </c>
      <c r="AE219" s="30">
        <f>IFERROR(__xludf.DUMMYFUNCTION("""COMPUTED_VALUE"""),0.855557679640942)</f>
        <v>0.8555576796</v>
      </c>
      <c r="AF219" s="30">
        <f>IFERROR(__xludf.DUMMYFUNCTION("""COMPUTED_VALUE"""),1.4283189310151536)</f>
        <v>1.428318931</v>
      </c>
      <c r="AG219" s="30">
        <f>IFERROR(__xludf.DUMMYFUNCTION("""COMPUTED_VALUE"""),0.815407627112076)</f>
        <v>0.8154076271</v>
      </c>
      <c r="AH219" s="30">
        <f>IFERROR(__xludf.DUMMYFUNCTION("""COMPUTED_VALUE"""),0.8880841334246979)</f>
        <v>0.8880841334</v>
      </c>
      <c r="AI219" s="30">
        <f>IFERROR(__xludf.DUMMYFUNCTION("""COMPUTED_VALUE"""),0.8856398092408031)</f>
        <v>0.8856398092</v>
      </c>
      <c r="AJ219" s="30">
        <f>IFERROR(__xludf.DUMMYFUNCTION("""COMPUTED_VALUE"""),0.7406783816817727)</f>
        <v>0.7406783817</v>
      </c>
      <c r="AK219" s="30">
        <f>IFERROR(__xludf.DUMMYFUNCTION("""COMPUTED_VALUE"""),0.6941836171034464)</f>
        <v>0.6941836171</v>
      </c>
      <c r="AL219" s="30">
        <f>IFERROR(__xludf.DUMMYFUNCTION("""COMPUTED_VALUE"""),0.9234018753350639)</f>
        <v>0.9234018753</v>
      </c>
      <c r="AM219" s="30">
        <f>IFERROR(__xludf.DUMMYFUNCTION("""COMPUTED_VALUE"""),0.8478865286516122)</f>
        <v>0.8478865287</v>
      </c>
      <c r="AN219" s="30">
        <f>IFERROR(__xludf.DUMMYFUNCTION("""COMPUTED_VALUE"""),0.9661629692285946)</f>
        <v>0.9661629692</v>
      </c>
      <c r="AO219" s="30">
        <f>IFERROR(__xludf.DUMMYFUNCTION("""COMPUTED_VALUE"""),0.995079439849079)</f>
        <v>0.9950794398</v>
      </c>
      <c r="AP219" s="30">
        <f>IFERROR(__xludf.DUMMYFUNCTION("""COMPUTED_VALUE"""),1.5145251695719422)</f>
        <v>1.51452517</v>
      </c>
      <c r="AQ219" s="30">
        <f>IFERROR(__xludf.DUMMYFUNCTION("""COMPUTED_VALUE"""),0.7688471174546927)</f>
        <v>0.7688471175</v>
      </c>
      <c r="AR219" s="30">
        <f>IFERROR(__xludf.DUMMYFUNCTION("""COMPUTED_VALUE"""),0.9988164936656329)</f>
        <v>0.9988164937</v>
      </c>
      <c r="AS219" s="30">
        <f>IFERROR(__xludf.DUMMYFUNCTION("""COMPUTED_VALUE"""),97.0)</f>
        <v>97</v>
      </c>
      <c r="AT219" s="30">
        <f>IFERROR(__xludf.DUMMYFUNCTION("""COMPUTED_VALUE"""),0.7380537645612133)</f>
        <v>0.7380537646</v>
      </c>
      <c r="AU219" s="30">
        <f>IFERROR(__xludf.DUMMYFUNCTION("""COMPUTED_VALUE"""),2.8167607280634357)</f>
        <v>2.816760728</v>
      </c>
      <c r="AV219" s="32">
        <f>IFERROR(__xludf.DUMMYFUNCTION("""COMPUTED_VALUE"""),63.82665087507978)</f>
        <v>63.82665088</v>
      </c>
      <c r="AW219" s="32">
        <f>IFERROR(__xludf.DUMMYFUNCTION("""COMPUTED_VALUE"""),3.4469791247395922)</f>
        <v>3.446979125</v>
      </c>
      <c r="AX219" s="32">
        <f>IFERROR(__xludf.DUMMYFUNCTION("""COMPUTED_VALUE"""),53.72464288402713)</f>
        <v>53.72464288</v>
      </c>
      <c r="AY219" s="32">
        <f>IFERROR(__xludf.DUMMYFUNCTION("""COMPUTED_VALUE"""),2.2686928545450264)</f>
        <v>2.268692855</v>
      </c>
      <c r="AZ219" s="30">
        <f>IFERROR(__xludf.DUMMYFUNCTION("""COMPUTED_VALUE"""),1.1782862701945658)</f>
        <v>1.17828627</v>
      </c>
      <c r="BA219" s="30">
        <f>IFERROR(__xludf.DUMMYFUNCTION("""COMPUTED_VALUE"""),800.0)</f>
        <v>800</v>
      </c>
    </row>
    <row r="220">
      <c r="A220" s="30" t="str">
        <f>IFERROR(__xludf.DUMMYFUNCTION("""COMPUTED_VALUE"""),"Elite")</f>
        <v>Elite</v>
      </c>
      <c r="B220" s="30" t="str">
        <f>IFERROR(__xludf.DUMMYFUNCTION("""COMPUTED_VALUE"""),"RSC006494")</f>
        <v>RSC006494</v>
      </c>
      <c r="C220" s="30" t="str">
        <f>IFERROR(__xludf.DUMMYFUNCTION("""COMPUTED_VALUE"""),"Jimbo")</f>
        <v>Jimbo</v>
      </c>
      <c r="D220" s="30" t="str">
        <f>IFERROR(__xludf.DUMMYFUNCTION("""COMPUTED_VALUE"""),"Desolation")</f>
        <v>Desolation</v>
      </c>
      <c r="E220" s="30">
        <f>IFERROR(__xludf.DUMMYFUNCTION("""COMPUTED_VALUE"""),36.0)</f>
        <v>36</v>
      </c>
      <c r="F220" s="30">
        <f>IFERROR(__xludf.DUMMYFUNCTION("""COMPUTED_VALUE"""),22.0)</f>
        <v>22</v>
      </c>
      <c r="G220" s="30">
        <f>IFERROR(__xludf.DUMMYFUNCTION("""COMPUTED_VALUE"""),14.0)</f>
        <v>14</v>
      </c>
      <c r="H220" s="42">
        <f>IFERROR(__xludf.DUMMYFUNCTION("""COMPUTED_VALUE"""),0.6111111111111112)</f>
        <v>0.6111111111</v>
      </c>
      <c r="I220" s="42">
        <f>IFERROR(__xludf.DUMMYFUNCTION("""COMPUTED_VALUE"""),0.35238095238095235)</f>
        <v>0.3523809524</v>
      </c>
      <c r="J220" s="30">
        <f>IFERROR(__xludf.DUMMYFUNCTION("""COMPUTED_VALUE"""),410.44444444444446)</f>
        <v>410.4444444</v>
      </c>
      <c r="K220" s="30">
        <f>IFERROR(__xludf.DUMMYFUNCTION("""COMPUTED_VALUE"""),1.0277777777777777)</f>
        <v>1.027777778</v>
      </c>
      <c r="L220" s="30">
        <f>IFERROR(__xludf.DUMMYFUNCTION("""COMPUTED_VALUE"""),0.6111111111111112)</f>
        <v>0.6111111111</v>
      </c>
      <c r="M220" s="30">
        <f>IFERROR(__xludf.DUMMYFUNCTION("""COMPUTED_VALUE"""),1.4444444444444444)</f>
        <v>1.444444444</v>
      </c>
      <c r="N220" s="30">
        <f>IFERROR(__xludf.DUMMYFUNCTION("""COMPUTED_VALUE"""),2.9166666666666665)</f>
        <v>2.916666667</v>
      </c>
      <c r="O220" s="30">
        <f>IFERROR(__xludf.DUMMYFUNCTION("""COMPUTED_VALUE"""),351.2777777777777)</f>
        <v>351.2777778</v>
      </c>
      <c r="P220" s="30">
        <f>IFERROR(__xludf.DUMMYFUNCTION("""COMPUTED_VALUE"""),0.7314814814814814)</f>
        <v>0.7314814815</v>
      </c>
      <c r="Q220" s="30">
        <f>IFERROR(__xludf.DUMMYFUNCTION("""COMPUTED_VALUE"""),0.5092592592592592)</f>
        <v>0.5092592593</v>
      </c>
      <c r="R220" s="30">
        <f>IFERROR(__xludf.DUMMYFUNCTION("""COMPUTED_VALUE"""),1.3148148148148144)</f>
        <v>1.314814815</v>
      </c>
      <c r="S220" s="30">
        <f>IFERROR(__xludf.DUMMYFUNCTION("""COMPUTED_VALUE"""),2.546296296296296)</f>
        <v>2.546296296</v>
      </c>
      <c r="T220" s="30">
        <f>IFERROR(__xludf.DUMMYFUNCTION("""COMPUTED_VALUE"""),356.71096068572814)</f>
        <v>356.7109607</v>
      </c>
      <c r="U220" s="30">
        <f>IFERROR(__xludf.DUMMYFUNCTION("""COMPUTED_VALUE"""),0.6849688211729004)</f>
        <v>0.6849688212</v>
      </c>
      <c r="V220" s="30">
        <f>IFERROR(__xludf.DUMMYFUNCTION("""COMPUTED_VALUE"""),0.5332119509886019)</f>
        <v>0.533211951</v>
      </c>
      <c r="W220" s="30">
        <f>IFERROR(__xludf.DUMMYFUNCTION("""COMPUTED_VALUE"""),1.4757553930305791)</f>
        <v>1.475755393</v>
      </c>
      <c r="X220" s="30">
        <f>IFERROR(__xludf.DUMMYFUNCTION("""COMPUTED_VALUE"""),2.5634480268185476)</f>
        <v>2.563448027</v>
      </c>
      <c r="Y220" s="30">
        <f>IFERROR(__xludf.DUMMYFUNCTION("""COMPUTED_VALUE"""),370.82212097681963)</f>
        <v>370.822121</v>
      </c>
      <c r="Z220" s="30">
        <f>IFERROR(__xludf.DUMMYFUNCTION("""COMPUTED_VALUE"""),0.8092959824769981)</f>
        <v>0.8092959825</v>
      </c>
      <c r="AA220" s="30">
        <f>IFERROR(__xludf.DUMMYFUNCTION("""COMPUTED_VALUE"""),0.6009004606907655)</f>
        <v>0.6009004607</v>
      </c>
      <c r="AB220" s="30">
        <f>IFERROR(__xludf.DUMMYFUNCTION("""COMPUTED_VALUE"""),1.459637146493881)</f>
        <v>1.459637146</v>
      </c>
      <c r="AC220" s="30">
        <f>IFERROR(__xludf.DUMMYFUNCTION("""COMPUTED_VALUE"""),2.7325978257552697)</f>
        <v>2.732597826</v>
      </c>
      <c r="AD220" s="30">
        <f>IFERROR(__xludf.DUMMYFUNCTION("""COMPUTED_VALUE"""),1.1068499456376866)</f>
        <v>1.106849946</v>
      </c>
      <c r="AE220" s="30">
        <f>IFERROR(__xludf.DUMMYFUNCTION("""COMPUTED_VALUE"""),1.2699652537901847)</f>
        <v>1.269965254</v>
      </c>
      <c r="AF220" s="30">
        <f>IFERROR(__xludf.DUMMYFUNCTION("""COMPUTED_VALUE"""),1.0169922492797026)</f>
        <v>1.016992249</v>
      </c>
      <c r="AG220" s="30">
        <f>IFERROR(__xludf.DUMMYFUNCTION("""COMPUTED_VALUE"""),0.9895914528580406)</f>
        <v>0.9895914529</v>
      </c>
      <c r="AH220" s="30">
        <f>IFERROR(__xludf.DUMMYFUNCTION("""COMPUTED_VALUE"""),1.067360384750552)</f>
        <v>1.067360385</v>
      </c>
      <c r="AI220" s="30">
        <f>IFERROR(__xludf.DUMMYFUNCTION("""COMPUTED_VALUE"""),0.9847686684549701)</f>
        <v>0.9847686685</v>
      </c>
      <c r="AJ220" s="30">
        <f>IFERROR(__xludf.DUMMYFUNCTION("""COMPUTED_VALUE"""),1.0679047846717102)</f>
        <v>1.067904785</v>
      </c>
      <c r="AK220" s="30">
        <f>IFERROR(__xludf.DUMMYFUNCTION("""COMPUTED_VALUE"""),0.9550784792333833)</f>
        <v>0.9550784792</v>
      </c>
      <c r="AL220" s="30">
        <f>IFERROR(__xludf.DUMMYFUNCTION("""COMPUTED_VALUE"""),0.8909435947340428)</f>
        <v>0.8909435947</v>
      </c>
      <c r="AM220" s="30">
        <f>IFERROR(__xludf.DUMMYFUNCTION("""COMPUTED_VALUE"""),0.9933091171177212)</f>
        <v>0.9933091171</v>
      </c>
      <c r="AN220" s="30">
        <f>IFERROR(__xludf.DUMMYFUNCTION("""COMPUTED_VALUE"""),1.1636920595969886)</f>
        <v>1.16369206</v>
      </c>
      <c r="AO220" s="30">
        <f>IFERROR(__xludf.DUMMYFUNCTION("""COMPUTED_VALUE"""),1.4411062089733504)</f>
        <v>1.441106209</v>
      </c>
      <c r="AP220" s="30">
        <f>IFERROR(__xludf.DUMMYFUNCTION("""COMPUTED_VALUE"""),1.06266066424698)</f>
        <v>1.062660664</v>
      </c>
      <c r="AQ220" s="30">
        <f>IFERROR(__xludf.DUMMYFUNCTION("""COMPUTED_VALUE"""),1.0125666285432717)</f>
        <v>1.012566629</v>
      </c>
      <c r="AR220" s="30">
        <f>IFERROR(__xludf.DUMMYFUNCTION("""COMPUTED_VALUE"""),1.15781612780685)</f>
        <v>1.157816128</v>
      </c>
      <c r="AS220" s="30">
        <f>IFERROR(__xludf.DUMMYFUNCTION("""COMPUTED_VALUE"""),100.0)</f>
        <v>100</v>
      </c>
      <c r="AT220" s="30">
        <f>IFERROR(__xludf.DUMMYFUNCTION("""COMPUTED_VALUE"""),0.5923086104764487)</f>
        <v>0.5923086105</v>
      </c>
      <c r="AU220" s="30">
        <f>IFERROR(__xludf.DUMMYFUNCTION("""COMPUTED_VALUE"""),3.1280046862326074)</f>
        <v>3.128004686</v>
      </c>
      <c r="AV220" s="32">
        <f>IFERROR(__xludf.DUMMYFUNCTION("""COMPUTED_VALUE"""),72.57243775343822)</f>
        <v>72.57243775</v>
      </c>
      <c r="AW220" s="32">
        <f>IFERROR(__xludf.DUMMYFUNCTION("""COMPUTED_VALUE"""),5.455830666351975)</f>
        <v>5.455830666</v>
      </c>
      <c r="AX220" s="32">
        <f>IFERROR(__xludf.DUMMYFUNCTION("""COMPUTED_VALUE"""),68.37069031884725)</f>
        <v>68.37069032</v>
      </c>
      <c r="AY220" s="32">
        <f>IFERROR(__xludf.DUMMYFUNCTION("""COMPUTED_VALUE"""),4.324843416939157)</f>
        <v>4.324843417</v>
      </c>
      <c r="AZ220" s="30">
        <f>IFERROR(__xludf.DUMMYFUNCTION("""COMPUTED_VALUE"""),1.1309872494128177)</f>
        <v>1.130987249</v>
      </c>
      <c r="BA220" s="30">
        <f>IFERROR(__xludf.DUMMYFUNCTION("""COMPUTED_VALUE"""),800.0)</f>
        <v>800</v>
      </c>
    </row>
    <row r="221">
      <c r="A221" s="30" t="str">
        <f>IFERROR(__xludf.DUMMYFUNCTION("""COMPUTED_VALUE"""),"Elite")</f>
        <v>Elite</v>
      </c>
      <c r="B221" s="30" t="str">
        <f>IFERROR(__xludf.DUMMYFUNCTION("""COMPUTED_VALUE"""),"RSC000623")</f>
        <v>RSC000623</v>
      </c>
      <c r="C221" s="30" t="str">
        <f>IFERROR(__xludf.DUMMYFUNCTION("""COMPUTED_VALUE"""),"wall2wall3")</f>
        <v>wall2wall3</v>
      </c>
      <c r="D221" s="30" t="str">
        <f>IFERROR(__xludf.DUMMYFUNCTION("""COMPUTED_VALUE"""),"Cyclones")</f>
        <v>Cyclones</v>
      </c>
      <c r="E221" s="30">
        <f>IFERROR(__xludf.DUMMYFUNCTION("""COMPUTED_VALUE"""),36.0)</f>
        <v>36</v>
      </c>
      <c r="F221" s="30">
        <f>IFERROR(__xludf.DUMMYFUNCTION("""COMPUTED_VALUE"""),18.0)</f>
        <v>18</v>
      </c>
      <c r="G221" s="30">
        <f>IFERROR(__xludf.DUMMYFUNCTION("""COMPUTED_VALUE"""),18.0)</f>
        <v>18</v>
      </c>
      <c r="H221" s="42">
        <f>IFERROR(__xludf.DUMMYFUNCTION("""COMPUTED_VALUE"""),0.5)</f>
        <v>0.5</v>
      </c>
      <c r="I221" s="42">
        <f>IFERROR(__xludf.DUMMYFUNCTION("""COMPUTED_VALUE"""),0.3364485981308411)</f>
        <v>0.3364485981</v>
      </c>
      <c r="J221" s="30">
        <f>IFERROR(__xludf.DUMMYFUNCTION("""COMPUTED_VALUE"""),401.9166666666667)</f>
        <v>401.9166667</v>
      </c>
      <c r="K221" s="30">
        <f>IFERROR(__xludf.DUMMYFUNCTION("""COMPUTED_VALUE"""),1.0)</f>
        <v>1</v>
      </c>
      <c r="L221" s="30">
        <f>IFERROR(__xludf.DUMMYFUNCTION("""COMPUTED_VALUE"""),0.4722222222222222)</f>
        <v>0.4722222222</v>
      </c>
      <c r="M221" s="30">
        <f>IFERROR(__xludf.DUMMYFUNCTION("""COMPUTED_VALUE"""),1.6666666666666667)</f>
        <v>1.666666667</v>
      </c>
      <c r="N221" s="30">
        <f>IFERROR(__xludf.DUMMYFUNCTION("""COMPUTED_VALUE"""),2.9722222222222223)</f>
        <v>2.972222222</v>
      </c>
      <c r="O221" s="30">
        <f>IFERROR(__xludf.DUMMYFUNCTION("""COMPUTED_VALUE"""),367.87962962962973)</f>
        <v>367.8796296</v>
      </c>
      <c r="P221" s="30">
        <f>IFERROR(__xludf.DUMMYFUNCTION("""COMPUTED_VALUE"""),0.7962962962962964)</f>
        <v>0.7962962963</v>
      </c>
      <c r="Q221" s="30">
        <f>IFERROR(__xludf.DUMMYFUNCTION("""COMPUTED_VALUE"""),0.5648148148148151)</f>
        <v>0.5648148148</v>
      </c>
      <c r="R221" s="30">
        <f>IFERROR(__xludf.DUMMYFUNCTION("""COMPUTED_VALUE"""),1.509259259259259)</f>
        <v>1.509259259</v>
      </c>
      <c r="S221" s="30">
        <f>IFERROR(__xludf.DUMMYFUNCTION("""COMPUTED_VALUE"""),2.7222222222222223)</f>
        <v>2.722222222</v>
      </c>
      <c r="T221" s="30">
        <f>IFERROR(__xludf.DUMMYFUNCTION("""COMPUTED_VALUE"""),365.58651854084826)</f>
        <v>365.5865185</v>
      </c>
      <c r="U221" s="30">
        <f>IFERROR(__xludf.DUMMYFUNCTION("""COMPUTED_VALUE"""),0.7858159312661233)</f>
        <v>0.7858159313</v>
      </c>
      <c r="V221" s="30">
        <f>IFERROR(__xludf.DUMMYFUNCTION("""COMPUTED_VALUE"""),0.5635523761751304)</f>
        <v>0.5635523762</v>
      </c>
      <c r="W221" s="30">
        <f>IFERROR(__xludf.DUMMYFUNCTION("""COMPUTED_VALUE"""),1.480659134524002)</f>
        <v>1.480659135</v>
      </c>
      <c r="X221" s="30">
        <f>IFERROR(__xludf.DUMMYFUNCTION("""COMPUTED_VALUE"""),2.691399811125868)</f>
        <v>2.691399811</v>
      </c>
      <c r="Y221" s="30">
        <f>IFERROR(__xludf.DUMMYFUNCTION("""COMPUTED_VALUE"""),376.5087073928382)</f>
        <v>376.5087074</v>
      </c>
      <c r="Z221" s="30">
        <f>IFERROR(__xludf.DUMMYFUNCTION("""COMPUTED_VALUE"""),0.8428390910120696)</f>
        <v>0.842839091</v>
      </c>
      <c r="AA221" s="30">
        <f>IFERROR(__xludf.DUMMYFUNCTION("""COMPUTED_VALUE"""),0.6366927506133773)</f>
        <v>0.6366927506</v>
      </c>
      <c r="AB221" s="30">
        <f>IFERROR(__xludf.DUMMYFUNCTION("""COMPUTED_VALUE"""),1.4547968644207936)</f>
        <v>1.454796864</v>
      </c>
      <c r="AC221" s="30">
        <f>IFERROR(__xludf.DUMMYFUNCTION("""COMPUTED_VALUE"""),2.791720033964337)</f>
        <v>2.791720034</v>
      </c>
      <c r="AD221" s="30">
        <f>IFERROR(__xludf.DUMMYFUNCTION("""COMPUTED_VALUE"""),1.067483058890637)</f>
        <v>1.067483059</v>
      </c>
      <c r="AE221" s="30">
        <f>IFERROR(__xludf.DUMMYFUNCTION("""COMPUTED_VALUE"""),1.1864660890362997)</f>
        <v>1.186466089</v>
      </c>
      <c r="AF221" s="30">
        <f>IFERROR(__xludf.DUMMYFUNCTION("""COMPUTED_VALUE"""),0.7416799103920888)</f>
        <v>0.7416799104</v>
      </c>
      <c r="AG221" s="30">
        <f>IFERROR(__xludf.DUMMYFUNCTION("""COMPUTED_VALUE"""),1.1456353168112072)</f>
        <v>1.145635317</v>
      </c>
      <c r="AH221" s="30">
        <f>IFERROR(__xludf.DUMMYFUNCTION("""COMPUTED_VALUE"""),1.064656264260699)</f>
        <v>1.064656264</v>
      </c>
      <c r="AI221" s="30">
        <f>IFERROR(__xludf.DUMMYFUNCTION("""COMPUTED_VALUE"""),1.006272416986091)</f>
        <v>1.006272417</v>
      </c>
      <c r="AJ221" s="30">
        <f>IFERROR(__xludf.DUMMYFUNCTION("""COMPUTED_VALUE"""),1.013336921043694)</f>
        <v>1.013336921</v>
      </c>
      <c r="AK221" s="30">
        <f>IFERROR(__xludf.DUMMYFUNCTION("""COMPUTED_VALUE"""),1.002240144293691)</f>
        <v>1.002240144</v>
      </c>
      <c r="AL221" s="30">
        <f>IFERROR(__xludf.DUMMYFUNCTION("""COMPUTED_VALUE"""),1.0193158060950005)</f>
        <v>1.019315806</v>
      </c>
      <c r="AM221" s="30">
        <f>IFERROR(__xludf.DUMMYFUNCTION("""COMPUTED_VALUE"""),1.011452185947602)</f>
        <v>1.011452186</v>
      </c>
      <c r="AN221" s="30">
        <f>IFERROR(__xludf.DUMMYFUNCTION("""COMPUTED_VALUE"""),1.139514104650029)</f>
        <v>1.139514105</v>
      </c>
      <c r="AO221" s="30">
        <f>IFERROR(__xludf.DUMMYFUNCTION("""COMPUTED_VALUE"""),1.4021573925146114)</f>
        <v>1.402157393</v>
      </c>
      <c r="AP221" s="30">
        <f>IFERROR(__xludf.DUMMYFUNCTION("""COMPUTED_VALUE"""),0.8211468769181209)</f>
        <v>0.8211468769</v>
      </c>
      <c r="AQ221" s="30">
        <f>IFERROR(__xludf.DUMMYFUNCTION("""COMPUTED_VALUE"""),1.1683461098576213)</f>
        <v>1.16834611</v>
      </c>
      <c r="AR221" s="30">
        <f>IFERROR(__xludf.DUMMYFUNCTION("""COMPUTED_VALUE"""),1.1798697683365043)</f>
        <v>1.179869768</v>
      </c>
      <c r="AS221" s="30">
        <f>IFERROR(__xludf.DUMMYFUNCTION("""COMPUTED_VALUE"""),87.0)</f>
        <v>87</v>
      </c>
      <c r="AT221" s="30">
        <f>IFERROR(__xludf.DUMMYFUNCTION("""COMPUTED_VALUE"""),0.5045349994905725)</f>
        <v>0.5045349995</v>
      </c>
      <c r="AU221" s="30">
        <f>IFERROR(__xludf.DUMMYFUNCTION("""COMPUTED_VALUE"""),2.8818218528886805)</f>
        <v>2.881821853</v>
      </c>
      <c r="AV221" s="32">
        <f>IFERROR(__xludf.DUMMYFUNCTION("""COMPUTED_VALUE"""),65.65483329229023)</f>
        <v>65.65483329</v>
      </c>
      <c r="AW221" s="32">
        <f>IFERROR(__xludf.DUMMYFUNCTION("""COMPUTED_VALUE"""),3.765144300966526)</f>
        <v>3.765144301</v>
      </c>
      <c r="AX221" s="32">
        <f>IFERROR(__xludf.DUMMYFUNCTION("""COMPUTED_VALUE"""),58.05461929498648)</f>
        <v>58.05461929</v>
      </c>
      <c r="AY221" s="32">
        <f>IFERROR(__xludf.DUMMYFUNCTION("""COMPUTED_VALUE"""),2.676255797276205)</f>
        <v>2.676255797</v>
      </c>
      <c r="AZ221" s="30">
        <f>IFERROR(__xludf.DUMMYFUNCTION("""COMPUTED_VALUE"""),1.0888885036903213)</f>
        <v>1.088888504</v>
      </c>
      <c r="BA221" s="30">
        <f>IFERROR(__xludf.DUMMYFUNCTION("""COMPUTED_VALUE"""),800.0)</f>
        <v>800</v>
      </c>
    </row>
    <row r="222">
      <c r="A222" s="30" t="str">
        <f>IFERROR(__xludf.DUMMYFUNCTION("""COMPUTED_VALUE"""),"Elite")</f>
        <v>Elite</v>
      </c>
      <c r="B222" s="30" t="str">
        <f>IFERROR(__xludf.DUMMYFUNCTION("""COMPUTED_VALUE"""),"RSC000371")</f>
        <v>RSC000371</v>
      </c>
      <c r="C222" s="30" t="str">
        <f>IFERROR(__xludf.DUMMYFUNCTION("""COMPUTED_VALUE"""),"Capn' Clutch")</f>
        <v>Capn' Clutch</v>
      </c>
      <c r="D222" s="30" t="str">
        <f>IFERROR(__xludf.DUMMYFUNCTION("""COMPUTED_VALUE"""),"Teddy Bears")</f>
        <v>Teddy Bears</v>
      </c>
      <c r="E222" s="30">
        <f>IFERROR(__xludf.DUMMYFUNCTION("""COMPUTED_VALUE"""),16.0)</f>
        <v>16</v>
      </c>
      <c r="F222" s="30">
        <f>IFERROR(__xludf.DUMMYFUNCTION("""COMPUTED_VALUE"""),8.0)</f>
        <v>8</v>
      </c>
      <c r="G222" s="30">
        <f>IFERROR(__xludf.DUMMYFUNCTION("""COMPUTED_VALUE"""),8.0)</f>
        <v>8</v>
      </c>
      <c r="H222" s="42">
        <f>IFERROR(__xludf.DUMMYFUNCTION("""COMPUTED_VALUE"""),0.5)</f>
        <v>0.5</v>
      </c>
      <c r="I222" s="42">
        <f>IFERROR(__xludf.DUMMYFUNCTION("""COMPUTED_VALUE"""),0.27450980392156865)</f>
        <v>0.2745098039</v>
      </c>
      <c r="J222" s="30">
        <f>IFERROR(__xludf.DUMMYFUNCTION("""COMPUTED_VALUE"""),369.25)</f>
        <v>369.25</v>
      </c>
      <c r="K222" s="30">
        <f>IFERROR(__xludf.DUMMYFUNCTION("""COMPUTED_VALUE"""),0.875)</f>
        <v>0.875</v>
      </c>
      <c r="L222" s="30">
        <f>IFERROR(__xludf.DUMMYFUNCTION("""COMPUTED_VALUE"""),0.6875)</f>
        <v>0.6875</v>
      </c>
      <c r="M222" s="30">
        <f>IFERROR(__xludf.DUMMYFUNCTION("""COMPUTED_VALUE"""),1.25)</f>
        <v>1.25</v>
      </c>
      <c r="N222" s="30">
        <f>IFERROR(__xludf.DUMMYFUNCTION("""COMPUTED_VALUE"""),3.1875)</f>
        <v>3.1875</v>
      </c>
      <c r="O222" s="30">
        <f>IFERROR(__xludf.DUMMYFUNCTION("""COMPUTED_VALUE"""),368.8958333333333)</f>
        <v>368.8958333</v>
      </c>
      <c r="P222" s="30">
        <f>IFERROR(__xludf.DUMMYFUNCTION("""COMPUTED_VALUE"""),0.75)</f>
        <v>0.75</v>
      </c>
      <c r="Q222" s="30">
        <f>IFERROR(__xludf.DUMMYFUNCTION("""COMPUTED_VALUE"""),0.5208333333333333)</f>
        <v>0.5208333333</v>
      </c>
      <c r="R222" s="30">
        <f>IFERROR(__xludf.DUMMYFUNCTION("""COMPUTED_VALUE"""),1.6874999999999998)</f>
        <v>1.6875</v>
      </c>
      <c r="S222" s="30">
        <f>IFERROR(__xludf.DUMMYFUNCTION("""COMPUTED_VALUE"""),2.458333333333333)</f>
        <v>2.458333333</v>
      </c>
      <c r="T222" s="30">
        <f>IFERROR(__xludf.DUMMYFUNCTION("""COMPUTED_VALUE"""),349.90272992143093)</f>
        <v>349.9027299</v>
      </c>
      <c r="U222" s="30">
        <f>IFERROR(__xludf.DUMMYFUNCTION("""COMPUTED_VALUE"""),0.6564611079850644)</f>
        <v>0.656461108</v>
      </c>
      <c r="V222" s="30">
        <f>IFERROR(__xludf.DUMMYFUNCTION("""COMPUTED_VALUE"""),0.4929723062950648)</f>
        <v>0.4929723063</v>
      </c>
      <c r="W222" s="30">
        <f>IFERROR(__xludf.DUMMYFUNCTION("""COMPUTED_VALUE"""),1.6238085256927168)</f>
        <v>1.623808526</v>
      </c>
      <c r="X222" s="30">
        <f>IFERROR(__xludf.DUMMYFUNCTION("""COMPUTED_VALUE"""),2.4289008276867032)</f>
        <v>2.428900828</v>
      </c>
      <c r="Y222" s="30">
        <f>IFERROR(__xludf.DUMMYFUNCTION("""COMPUTED_VALUE"""),375.785746598857)</f>
        <v>375.7857466</v>
      </c>
      <c r="Z222" s="30">
        <f>IFERROR(__xludf.DUMMYFUNCTION("""COMPUTED_VALUE"""),0.8807033918464577)</f>
        <v>0.8807033918</v>
      </c>
      <c r="AA222" s="30">
        <f>IFERROR(__xludf.DUMMYFUNCTION("""COMPUTED_VALUE"""),0.653823214309556)</f>
        <v>0.6538232143</v>
      </c>
      <c r="AB222" s="30">
        <f>IFERROR(__xludf.DUMMYFUNCTION("""COMPUTED_VALUE"""),1.3174100332420813)</f>
        <v>1.317410033</v>
      </c>
      <c r="AC222" s="30">
        <f>IFERROR(__xludf.DUMMYFUNCTION("""COMPUTED_VALUE"""),2.9734739592646973)</f>
        <v>2.973473959</v>
      </c>
      <c r="AD222" s="30">
        <f>IFERROR(__xludf.DUMMYFUNCTION("""COMPUTED_VALUE"""),0.9826077847336936)</f>
        <v>0.9826077847</v>
      </c>
      <c r="AE222" s="30">
        <f>IFERROR(__xludf.DUMMYFUNCTION("""COMPUTED_VALUE"""),0.9935240491869798)</f>
        <v>0.9935240492</v>
      </c>
      <c r="AF222" s="30">
        <f>IFERROR(__xludf.DUMMYFUNCTION("""COMPUTED_VALUE"""),1.0515074793207013)</f>
        <v>1.051507479</v>
      </c>
      <c r="AG222" s="30">
        <f>IFERROR(__xludf.DUMMYFUNCTION("""COMPUTED_VALUE"""),0.9488313952823112)</f>
        <v>0.9488313953</v>
      </c>
      <c r="AH222" s="30">
        <f>IFERROR(__xludf.DUMMYFUNCTION("""COMPUTED_VALUE"""),1.0719784479929424)</f>
        <v>1.071978448</v>
      </c>
      <c r="AI222" s="30">
        <f>IFERROR(__xludf.DUMMYFUNCTION("""COMPUTED_VALUE"""),1.0542810952522925)</f>
        <v>1.054281095</v>
      </c>
      <c r="AJ222" s="30">
        <f>IFERROR(__xludf.DUMMYFUNCTION("""COMPUTED_VALUE"""),1.1424896172479173)</f>
        <v>1.142489617</v>
      </c>
      <c r="AK222" s="30">
        <f>IFERROR(__xludf.DUMMYFUNCTION("""COMPUTED_VALUE"""),1.0565164141727517)</f>
        <v>1.056516414</v>
      </c>
      <c r="AL222" s="30">
        <f>IFERROR(__xludf.DUMMYFUNCTION("""COMPUTED_VALUE"""),1.039223512686086)</f>
        <v>1.039223513</v>
      </c>
      <c r="AM222" s="30">
        <f>IFERROR(__xludf.DUMMYFUNCTION("""COMPUTED_VALUE"""),1.0121176234579579)</f>
        <v>1.012117623</v>
      </c>
      <c r="AN222" s="30">
        <f>IFERROR(__xludf.DUMMYFUNCTION("""COMPUTED_VALUE"""),1.0468975736479946)</f>
        <v>1.046897574</v>
      </c>
      <c r="AO222" s="30">
        <f>IFERROR(__xludf.DUMMYFUNCTION("""COMPUTED_VALUE"""),1.2268877184502849)</f>
        <v>1.226887718</v>
      </c>
      <c r="AP222" s="30">
        <f>IFERROR(__xludf.DUMMYFUNCTION("""COMPUTED_VALUE"""),1.1954932472778526)</f>
        <v>1.195493247</v>
      </c>
      <c r="AQ222" s="30">
        <f>IFERROR(__xludf.DUMMYFUNCTION("""COMPUTED_VALUE"""),0.876259582393216)</f>
        <v>0.8762595824</v>
      </c>
      <c r="AR222" s="30">
        <f>IFERROR(__xludf.DUMMYFUNCTION("""COMPUTED_VALUE"""),1.2653276253889147)</f>
        <v>1.265327625</v>
      </c>
      <c r="AS222" s="30">
        <f>IFERROR(__xludf.DUMMYFUNCTION("""COMPUTED_VALUE"""),41.0)</f>
        <v>41</v>
      </c>
      <c r="AT222" s="30">
        <f>IFERROR(__xludf.DUMMYFUNCTION("""COMPUTED_VALUE"""),0.5508623521502464)</f>
        <v>0.5508623522</v>
      </c>
      <c r="AU222" s="30">
        <f>IFERROR(__xludf.DUMMYFUNCTION("""COMPUTED_VALUE"""),2.7810281188110944)</f>
        <v>2.781028119</v>
      </c>
      <c r="AV222" s="32">
        <f>IFERROR(__xludf.DUMMYFUNCTION("""COMPUTED_VALUE"""),62.82258388220733)</f>
        <v>62.82258388</v>
      </c>
      <c r="AW222" s="32">
        <f>IFERROR(__xludf.DUMMYFUNCTION("""COMPUTED_VALUE"""),3.2893712902710663)</f>
        <v>3.28937129</v>
      </c>
      <c r="AX222" s="32">
        <f>IFERROR(__xludf.DUMMYFUNCTION("""COMPUTED_VALUE"""),54.19276641386365)</f>
        <v>54.19276641</v>
      </c>
      <c r="AY222" s="32">
        <f>IFERROR(__xludf.DUMMYFUNCTION("""COMPUTED_VALUE"""),2.3073082858086598)</f>
        <v>2.307308286</v>
      </c>
      <c r="AZ222" s="30">
        <f>IFERROR(__xludf.DUMMYFUNCTION("""COMPUTED_VALUE"""),0.9820630044624066)</f>
        <v>0.9820630045</v>
      </c>
      <c r="BA222" s="30">
        <f>IFERROR(__xludf.DUMMYFUNCTION("""COMPUTED_VALUE"""),800.0)</f>
        <v>800</v>
      </c>
    </row>
    <row r="223">
      <c r="A223" s="30" t="str">
        <f>IFERROR(__xludf.DUMMYFUNCTION("""COMPUTED_VALUE"""),"Elite")</f>
        <v>Elite</v>
      </c>
      <c r="B223" s="30" t="str">
        <f>IFERROR(__xludf.DUMMYFUNCTION("""COMPUTED_VALUE"""),"RSC003305")</f>
        <v>RSC003305</v>
      </c>
      <c r="C223" s="30" t="str">
        <f>IFERROR(__xludf.DUMMYFUNCTION("""COMPUTED_VALUE"""),"Sobes")</f>
        <v>Sobes</v>
      </c>
      <c r="D223" s="30" t="str">
        <f>IFERROR(__xludf.DUMMYFUNCTION("""COMPUTED_VALUE"""),"Cyclones")</f>
        <v>Cyclones</v>
      </c>
      <c r="E223" s="30">
        <f>IFERROR(__xludf.DUMMYFUNCTION("""COMPUTED_VALUE"""),4.0)</f>
        <v>4</v>
      </c>
      <c r="F223" s="30">
        <f>IFERROR(__xludf.DUMMYFUNCTION("""COMPUTED_VALUE"""),1.0)</f>
        <v>1</v>
      </c>
      <c r="G223" s="30">
        <f>IFERROR(__xludf.DUMMYFUNCTION("""COMPUTED_VALUE"""),3.0)</f>
        <v>3</v>
      </c>
      <c r="H223" s="42">
        <f>IFERROR(__xludf.DUMMYFUNCTION("""COMPUTED_VALUE"""),0.25)</f>
        <v>0.25</v>
      </c>
      <c r="I223" s="42">
        <f>IFERROR(__xludf.DUMMYFUNCTION("""COMPUTED_VALUE"""),0.42857142857142855)</f>
        <v>0.4285714286</v>
      </c>
      <c r="J223" s="30">
        <f>IFERROR(__xludf.DUMMYFUNCTION("""COMPUTED_VALUE"""),357.25)</f>
        <v>357.25</v>
      </c>
      <c r="K223" s="30">
        <f>IFERROR(__xludf.DUMMYFUNCTION("""COMPUTED_VALUE"""),0.75)</f>
        <v>0.75</v>
      </c>
      <c r="L223" s="30">
        <f>IFERROR(__xludf.DUMMYFUNCTION("""COMPUTED_VALUE"""),0.0)</f>
        <v>0</v>
      </c>
      <c r="M223" s="30">
        <f>IFERROR(__xludf.DUMMYFUNCTION("""COMPUTED_VALUE"""),1.75)</f>
        <v>1.75</v>
      </c>
      <c r="N223" s="30">
        <f>IFERROR(__xludf.DUMMYFUNCTION("""COMPUTED_VALUE"""),1.75)</f>
        <v>1.75</v>
      </c>
      <c r="O223" s="30">
        <f>IFERROR(__xludf.DUMMYFUNCTION("""COMPUTED_VALUE"""),365.3333333333333)</f>
        <v>365.3333333</v>
      </c>
      <c r="P223" s="30">
        <f>IFERROR(__xludf.DUMMYFUNCTION("""COMPUTED_VALUE"""),0.9166666666666666)</f>
        <v>0.9166666667</v>
      </c>
      <c r="Q223" s="30">
        <f>IFERROR(__xludf.DUMMYFUNCTION("""COMPUTED_VALUE"""),0.6666666666666666)</f>
        <v>0.6666666667</v>
      </c>
      <c r="R223" s="30">
        <f>IFERROR(__xludf.DUMMYFUNCTION("""COMPUTED_VALUE"""),0.9999999999999999)</f>
        <v>1</v>
      </c>
      <c r="S223" s="30">
        <f>IFERROR(__xludf.DUMMYFUNCTION("""COMPUTED_VALUE"""),3.5)</f>
        <v>3.5</v>
      </c>
      <c r="T223" s="30">
        <f>IFERROR(__xludf.DUMMYFUNCTION("""COMPUTED_VALUE"""),365.1006944444445)</f>
        <v>365.1006944</v>
      </c>
      <c r="U223" s="30">
        <f>IFERROR(__xludf.DUMMYFUNCTION("""COMPUTED_VALUE"""),0.8981481481481483)</f>
        <v>0.8981481481</v>
      </c>
      <c r="V223" s="30">
        <f>IFERROR(__xludf.DUMMYFUNCTION("""COMPUTED_VALUE"""),0.6284722222222222)</f>
        <v>0.6284722222</v>
      </c>
      <c r="W223" s="30">
        <f>IFERROR(__xludf.DUMMYFUNCTION("""COMPUTED_VALUE"""),1.2233796296296295)</f>
        <v>1.22337963</v>
      </c>
      <c r="X223" s="30">
        <f>IFERROR(__xludf.DUMMYFUNCTION("""COMPUTED_VALUE"""),2.9895833333333335)</f>
        <v>2.989583333</v>
      </c>
      <c r="Y223" s="30">
        <f>IFERROR(__xludf.DUMMYFUNCTION("""COMPUTED_VALUE"""),376.3661265432099)</f>
        <v>376.3661265</v>
      </c>
      <c r="Z223" s="30">
        <f>IFERROR(__xludf.DUMMYFUNCTION("""COMPUTED_VALUE"""),0.8834876543209876)</f>
        <v>0.8834876543</v>
      </c>
      <c r="AA223" s="30">
        <f>IFERROR(__xludf.DUMMYFUNCTION("""COMPUTED_VALUE"""),0.6369598765432101)</f>
        <v>0.6369598765</v>
      </c>
      <c r="AB223" s="30">
        <f>IFERROR(__xludf.DUMMYFUNCTION("""COMPUTED_VALUE"""),1.5505401234567902)</f>
        <v>1.550540123</v>
      </c>
      <c r="AC223" s="30">
        <f>IFERROR(__xludf.DUMMYFUNCTION("""COMPUTED_VALUE"""),2.5065586419753085)</f>
        <v>2.506558642</v>
      </c>
      <c r="AD223" s="30">
        <f>IFERROR(__xludf.DUMMYFUNCTION("""COMPUTED_VALUE"""),0.9492086954828142)</f>
        <v>0.9492086955</v>
      </c>
      <c r="AE223" s="30">
        <f>IFERROR(__xludf.DUMMYFUNCTION("""COMPUTED_VALUE"""),0.8489082969432314)</f>
        <v>0.8489082969</v>
      </c>
      <c r="AF223" s="30">
        <f>IFERROR(__xludf.DUMMYFUNCTION("""COMPUTED_VALUE"""),0.0)</f>
        <v>0</v>
      </c>
      <c r="AG223" s="30">
        <f>IFERROR(__xludf.DUMMYFUNCTION("""COMPUTED_VALUE"""),1.128638964916646)</f>
        <v>1.128638965</v>
      </c>
      <c r="AH223" s="30">
        <f>IFERROR(__xludf.DUMMYFUNCTION("""COMPUTED_VALUE"""),0.6981683854086502)</f>
        <v>0.6981683854</v>
      </c>
      <c r="AI223" s="30">
        <f>IFERROR(__xludf.DUMMYFUNCTION("""COMPUTED_VALUE"""),1.0006371910336758)</f>
        <v>1.000637191</v>
      </c>
      <c r="AJ223" s="30">
        <f>IFERROR(__xludf.DUMMYFUNCTION("""COMPUTED_VALUE"""),1.0206185567010309)</f>
        <v>1.020618557</v>
      </c>
      <c r="AK223" s="30">
        <f>IFERROR(__xludf.DUMMYFUNCTION("""COMPUTED_VALUE"""),1.0607734806629834)</f>
        <v>1.060773481</v>
      </c>
      <c r="AL223" s="30">
        <f>IFERROR(__xludf.DUMMYFUNCTION("""COMPUTED_VALUE"""),0.8174077578051088)</f>
        <v>0.8174077578</v>
      </c>
      <c r="AM223" s="30">
        <f>IFERROR(__xludf.DUMMYFUNCTION("""COMPUTED_VALUE"""),1.170731707317073)</f>
        <v>1.170731707</v>
      </c>
      <c r="AN223" s="30">
        <f>IFERROR(__xludf.DUMMYFUNCTION("""COMPUTED_VALUE"""),1.0128751745043902)</f>
        <v>1.012875175</v>
      </c>
      <c r="AO223" s="30">
        <f>IFERROR(__xludf.DUMMYFUNCTION("""COMPUTED_VALUE"""),1.0516180443859584)</f>
        <v>1.051618044</v>
      </c>
      <c r="AP223" s="30">
        <f>IFERROR(__xludf.DUMMYFUNCTION("""COMPUTED_VALUE"""),0.0)</f>
        <v>0</v>
      </c>
      <c r="AQ223" s="30">
        <f>IFERROR(__xludf.DUMMYFUNCTION("""COMPUTED_VALUE"""),1.2267634153505023)</f>
        <v>1.226763415</v>
      </c>
      <c r="AR223" s="30">
        <f>IFERROR(__xludf.DUMMYFUNCTION("""COMPUTED_VALUE"""),0.69468967668411)</f>
        <v>0.6946896767</v>
      </c>
      <c r="AS223" s="30">
        <f>IFERROR(__xludf.DUMMYFUNCTION("""COMPUTED_VALUE"""),8.0)</f>
        <v>8</v>
      </c>
      <c r="AT223" s="30">
        <f>IFERROR(__xludf.DUMMYFUNCTION("""COMPUTED_VALUE"""),0.37800322450909896)</f>
        <v>0.3780032245</v>
      </c>
      <c r="AU223" s="30">
        <f>IFERROR(__xludf.DUMMYFUNCTION("""COMPUTED_VALUE"""),1.3698701749789313)</f>
        <v>1.369870175</v>
      </c>
      <c r="AV223" s="32">
        <f>IFERROR(__xludf.DUMMYFUNCTION("""COMPUTED_VALUE"""),23.169808930185653)</f>
        <v>23.16980893</v>
      </c>
      <c r="AW223" s="32">
        <f>IFERROR(__xludf.DUMMYFUNCTION("""COMPUTED_VALUE"""),-7.062696488142071)</f>
        <v>-7.062696488</v>
      </c>
      <c r="AX223" s="32">
        <f>IFERROR(__xludf.DUMMYFUNCTION("""COMPUTED_VALUE"""),21.20810085884615)</f>
        <v>21.20810086</v>
      </c>
      <c r="AY223" s="32">
        <f>IFERROR(__xludf.DUMMYFUNCTION("""COMPUTED_VALUE"""),-8.017502137903852)</f>
        <v>-8.017502138</v>
      </c>
      <c r="AZ223" s="30">
        <f>IFERROR(__xludf.DUMMYFUNCTION("""COMPUTED_VALUE"""),0.9548056497617816)</f>
        <v>0.9548056498</v>
      </c>
      <c r="BA223" s="30">
        <f>IFERROR(__xludf.DUMMYFUNCTION("""COMPUTED_VALUE"""),800.0)</f>
        <v>800</v>
      </c>
    </row>
    <row r="224">
      <c r="A224" s="30" t="str">
        <f>IFERROR(__xludf.DUMMYFUNCTION("""COMPUTED_VALUE"""),"Elite")</f>
        <v>Elite</v>
      </c>
      <c r="B224" s="30" t="str">
        <f>IFERROR(__xludf.DUMMYFUNCTION("""COMPUTED_VALUE"""),"RSC007580")</f>
        <v>RSC007580</v>
      </c>
      <c r="C224" s="30" t="str">
        <f>IFERROR(__xludf.DUMMYFUNCTION("""COMPUTED_VALUE"""),"M4ttiusM4ximu5")</f>
        <v>M4ttiusM4ximu5</v>
      </c>
      <c r="D224" s="30"/>
      <c r="E224" s="30">
        <f>IFERROR(__xludf.DUMMYFUNCTION("""COMPUTED_VALUE"""),32.0)</f>
        <v>32</v>
      </c>
      <c r="F224" s="30">
        <f>IFERROR(__xludf.DUMMYFUNCTION("""COMPUTED_VALUE"""),17.0)</f>
        <v>17</v>
      </c>
      <c r="G224" s="30">
        <f>IFERROR(__xludf.DUMMYFUNCTION("""COMPUTED_VALUE"""),15.0)</f>
        <v>15</v>
      </c>
      <c r="H224" s="42">
        <f>IFERROR(__xludf.DUMMYFUNCTION("""COMPUTED_VALUE"""),0.53125)</f>
        <v>0.53125</v>
      </c>
      <c r="I224" s="42">
        <f>IFERROR(__xludf.DUMMYFUNCTION("""COMPUTED_VALUE"""),0.3146067415730337)</f>
        <v>0.3146067416</v>
      </c>
      <c r="J224" s="30">
        <f>IFERROR(__xludf.DUMMYFUNCTION("""COMPUTED_VALUE"""),370.5)</f>
        <v>370.5</v>
      </c>
      <c r="K224" s="30">
        <f>IFERROR(__xludf.DUMMYFUNCTION("""COMPUTED_VALUE"""),0.875)</f>
        <v>0.875</v>
      </c>
      <c r="L224" s="30">
        <f>IFERROR(__xludf.DUMMYFUNCTION("""COMPUTED_VALUE"""),0.71875)</f>
        <v>0.71875</v>
      </c>
      <c r="M224" s="30">
        <f>IFERROR(__xludf.DUMMYFUNCTION("""COMPUTED_VALUE"""),1.28125)</f>
        <v>1.28125</v>
      </c>
      <c r="N224" s="30">
        <f>IFERROR(__xludf.DUMMYFUNCTION("""COMPUTED_VALUE"""),2.78125)</f>
        <v>2.78125</v>
      </c>
      <c r="O224" s="30">
        <f>IFERROR(__xludf.DUMMYFUNCTION("""COMPUTED_VALUE"""),368.19791666666674)</f>
        <v>368.1979167</v>
      </c>
      <c r="P224" s="30">
        <f>IFERROR(__xludf.DUMMYFUNCTION("""COMPUTED_VALUE"""),0.7812500000000001)</f>
        <v>0.78125</v>
      </c>
      <c r="Q224" s="30">
        <f>IFERROR(__xludf.DUMMYFUNCTION("""COMPUTED_VALUE"""),0.5520833333333335)</f>
        <v>0.5520833333</v>
      </c>
      <c r="R224" s="30">
        <f>IFERROR(__xludf.DUMMYFUNCTION("""COMPUTED_VALUE"""),1.5729166666666665)</f>
        <v>1.572916667</v>
      </c>
      <c r="S224" s="30">
        <f>IFERROR(__xludf.DUMMYFUNCTION("""COMPUTED_VALUE"""),2.625)</f>
        <v>2.625</v>
      </c>
      <c r="T224" s="30">
        <f>IFERROR(__xludf.DUMMYFUNCTION("""COMPUTED_VALUE"""),365.64724655289865)</f>
        <v>365.6472466</v>
      </c>
      <c r="U224" s="30">
        <f>IFERROR(__xludf.DUMMYFUNCTION("""COMPUTED_VALUE"""),0.7717744041558701)</f>
        <v>0.7717744042</v>
      </c>
      <c r="V224" s="30">
        <f>IFERROR(__xludf.DUMMYFUNCTION("""COMPUTED_VALUE"""),0.5554373954192441)</f>
        <v>0.5554373954</v>
      </c>
      <c r="W224" s="30">
        <f>IFERROR(__xludf.DUMMYFUNCTION("""COMPUTED_VALUE"""),1.512819072635799)</f>
        <v>1.512819073</v>
      </c>
      <c r="X224" s="30">
        <f>IFERROR(__xludf.DUMMYFUNCTION("""COMPUTED_VALUE"""),2.6541268708499355)</f>
        <v>2.654126871</v>
      </c>
      <c r="Y224" s="30">
        <f>IFERROR(__xludf.DUMMYFUNCTION("""COMPUTED_VALUE"""),376.52652999904177)</f>
        <v>376.52653</v>
      </c>
      <c r="Z224" s="30">
        <f>IFERROR(__xludf.DUMMYFUNCTION("""COMPUTED_VALUE"""),0.8377580205984548)</f>
        <v>0.8377580206</v>
      </c>
      <c r="AA224" s="30">
        <f>IFERROR(__xludf.DUMMYFUNCTION("""COMPUTED_VALUE"""),0.6366593598721484)</f>
        <v>0.6366593599</v>
      </c>
      <c r="AB224" s="30">
        <f>IFERROR(__xludf.DUMMYFUNCTION("""COMPUTED_VALUE"""),1.4428289570412938)</f>
        <v>1.442828957</v>
      </c>
      <c r="AC224" s="30">
        <f>IFERROR(__xludf.DUMMYFUNCTION("""COMPUTED_VALUE"""),2.827365207962966)</f>
        <v>2.827365208</v>
      </c>
      <c r="AD224" s="30">
        <f>IFERROR(__xludf.DUMMYFUNCTION("""COMPUTED_VALUE"""),0.9839944080459427)</f>
        <v>0.983994408</v>
      </c>
      <c r="AE224" s="30">
        <f>IFERROR(__xludf.DUMMYFUNCTION("""COMPUTED_VALUE"""),1.044454339422428)</f>
        <v>1.044454339</v>
      </c>
      <c r="AF224" s="30">
        <f>IFERROR(__xludf.DUMMYFUNCTION("""COMPUTED_VALUE"""),1.1289396580053999)</f>
        <v>1.128939658</v>
      </c>
      <c r="AG224" s="30">
        <f>IFERROR(__xludf.DUMMYFUNCTION("""COMPUTED_VALUE"""),0.8880123965818982)</f>
        <v>0.8880123966</v>
      </c>
      <c r="AH224" s="30">
        <f>IFERROR(__xludf.DUMMYFUNCTION("""COMPUTED_VALUE"""),0.9836896882535417)</f>
        <v>0.9836896883</v>
      </c>
      <c r="AI224" s="30">
        <f>IFERROR(__xludf.DUMMYFUNCTION("""COMPUTED_VALUE"""),1.0069757673216857)</f>
        <v>1.006975767</v>
      </c>
      <c r="AJ224" s="30">
        <f>IFERROR(__xludf.DUMMYFUNCTION("""COMPUTED_VALUE"""),1.0122776756952623)</f>
        <v>1.012277676</v>
      </c>
      <c r="AK224" s="30">
        <f>IFERROR(__xludf.DUMMYFUNCTION("""COMPUTED_VALUE"""),0.9939614039069534)</f>
        <v>0.9939614039</v>
      </c>
      <c r="AL224" s="30">
        <f>IFERROR(__xludf.DUMMYFUNCTION("""COMPUTED_VALUE"""),1.0397255660758948)</f>
        <v>1.039725566</v>
      </c>
      <c r="AM224" s="30">
        <f>IFERROR(__xludf.DUMMYFUNCTION("""COMPUTED_VALUE"""),0.9890258181815521)</f>
        <v>0.9890258182</v>
      </c>
      <c r="AN224" s="30">
        <f>IFERROR(__xludf.DUMMYFUNCTION("""COMPUTED_VALUE"""),1.0504415735587869)</f>
        <v>1.050441574</v>
      </c>
      <c r="AO224" s="30">
        <f>IFERROR(__xludf.DUMMYFUNCTION("""COMPUTED_VALUE"""),1.2268877184502849)</f>
        <v>1.226887718</v>
      </c>
      <c r="AP224" s="30">
        <f>IFERROR(__xludf.DUMMYFUNCTION("""COMPUTED_VALUE"""),1.2498338494268457)</f>
        <v>1.249833849</v>
      </c>
      <c r="AQ224" s="30">
        <f>IFERROR(__xludf.DUMMYFUNCTION("""COMPUTED_VALUE"""),0.8981660719530463)</f>
        <v>0.898166072</v>
      </c>
      <c r="AR224" s="30">
        <f>IFERROR(__xludf.DUMMYFUNCTION("""COMPUTED_VALUE"""),1.1040603790158177)</f>
        <v>1.104060379</v>
      </c>
      <c r="AS224" s="30">
        <f>IFERROR(__xludf.DUMMYFUNCTION("""COMPUTED_VALUE"""),79.0)</f>
        <v>79</v>
      </c>
      <c r="AT224" s="30">
        <f>IFERROR(__xludf.DUMMYFUNCTION("""COMPUTED_VALUE"""),0.5203801176581739)</f>
        <v>0.5203801177</v>
      </c>
      <c r="AU224" s="30">
        <f>IFERROR(__xludf.DUMMYFUNCTION("""COMPUTED_VALUE"""),2.795154344498804)</f>
        <v>2.795154344</v>
      </c>
      <c r="AV224" s="32">
        <f>IFERROR(__xludf.DUMMYFUNCTION("""COMPUTED_VALUE"""),63.21952318341346)</f>
        <v>63.21952318</v>
      </c>
      <c r="AW224" s="32">
        <f>IFERROR(__xludf.DUMMYFUNCTION("""COMPUTED_VALUE"""),3.350322652109827)</f>
        <v>3.350322652</v>
      </c>
      <c r="AX224" s="32">
        <f>IFERROR(__xludf.DUMMYFUNCTION("""COMPUTED_VALUE"""),55.277603015482214)</f>
        <v>55.27760302</v>
      </c>
      <c r="AY224" s="32">
        <f>IFERROR(__xludf.DUMMYFUNCTION("""COMPUTED_VALUE"""),2.4015196098512743)</f>
        <v>2.40151961</v>
      </c>
      <c r="AZ224" s="30">
        <f>IFERROR(__xludf.DUMMYFUNCTION("""COMPUTED_VALUE"""),0.9488030422585525)</f>
        <v>0.9488030423</v>
      </c>
      <c r="BA224" s="30">
        <f>IFERROR(__xludf.DUMMYFUNCTION("""COMPUTED_VALUE"""),800.0)</f>
        <v>800</v>
      </c>
    </row>
    <row r="225">
      <c r="A225" s="30" t="str">
        <f>IFERROR(__xludf.DUMMYFUNCTION("""COMPUTED_VALUE"""),"Elite")</f>
        <v>Elite</v>
      </c>
      <c r="B225" s="30" t="str">
        <f>IFERROR(__xludf.DUMMYFUNCTION("""COMPUTED_VALUE"""),"RSC006395")</f>
        <v>RSC006395</v>
      </c>
      <c r="C225" s="30" t="str">
        <f>IFERROR(__xludf.DUMMYFUNCTION("""COMPUTED_VALUE"""),"Gizmo")</f>
        <v>Gizmo</v>
      </c>
      <c r="D225" s="30" t="str">
        <f>IFERROR(__xludf.DUMMYFUNCTION("""COMPUTED_VALUE"""),"Forge Defenders")</f>
        <v>Forge Defenders</v>
      </c>
      <c r="E225" s="30">
        <f>IFERROR(__xludf.DUMMYFUNCTION("""COMPUTED_VALUE"""),36.0)</f>
        <v>36</v>
      </c>
      <c r="F225" s="30">
        <f>IFERROR(__xludf.DUMMYFUNCTION("""COMPUTED_VALUE"""),21.0)</f>
        <v>21</v>
      </c>
      <c r="G225" s="30">
        <f>IFERROR(__xludf.DUMMYFUNCTION("""COMPUTED_VALUE"""),15.0)</f>
        <v>15</v>
      </c>
      <c r="H225" s="42">
        <f>IFERROR(__xludf.DUMMYFUNCTION("""COMPUTED_VALUE"""),0.5833333333333334)</f>
        <v>0.5833333333</v>
      </c>
      <c r="I225" s="42">
        <f>IFERROR(__xludf.DUMMYFUNCTION("""COMPUTED_VALUE"""),0.28723404255319146)</f>
        <v>0.2872340426</v>
      </c>
      <c r="J225" s="30">
        <f>IFERROR(__xludf.DUMMYFUNCTION("""COMPUTED_VALUE"""),381.4166666666667)</f>
        <v>381.4166667</v>
      </c>
      <c r="K225" s="30">
        <f>IFERROR(__xludf.DUMMYFUNCTION("""COMPUTED_VALUE"""),0.75)</f>
        <v>0.75</v>
      </c>
      <c r="L225" s="30">
        <f>IFERROR(__xludf.DUMMYFUNCTION("""COMPUTED_VALUE"""),0.5833333333333334)</f>
        <v>0.5833333333</v>
      </c>
      <c r="M225" s="30">
        <f>IFERROR(__xludf.DUMMYFUNCTION("""COMPUTED_VALUE"""),1.4722222222222223)</f>
        <v>1.472222222</v>
      </c>
      <c r="N225" s="30">
        <f>IFERROR(__xludf.DUMMYFUNCTION("""COMPUTED_VALUE"""),2.611111111111111)</f>
        <v>2.611111111</v>
      </c>
      <c r="O225" s="30">
        <f>IFERROR(__xludf.DUMMYFUNCTION("""COMPUTED_VALUE"""),341.25925925925935)</f>
        <v>341.2592593</v>
      </c>
      <c r="P225" s="30">
        <f>IFERROR(__xludf.DUMMYFUNCTION("""COMPUTED_VALUE"""),0.6203703703703703)</f>
        <v>0.6203703704</v>
      </c>
      <c r="Q225" s="30">
        <f>IFERROR(__xludf.DUMMYFUNCTION("""COMPUTED_VALUE"""),0.49074074074074076)</f>
        <v>0.4907407407</v>
      </c>
      <c r="R225" s="30">
        <f>IFERROR(__xludf.DUMMYFUNCTION("""COMPUTED_VALUE"""),1.4907407407407405)</f>
        <v>1.490740741</v>
      </c>
      <c r="S225" s="30">
        <f>IFERROR(__xludf.DUMMYFUNCTION("""COMPUTED_VALUE"""),2.564814814814815)</f>
        <v>2.564814815</v>
      </c>
      <c r="T225" s="30">
        <f>IFERROR(__xludf.DUMMYFUNCTION("""COMPUTED_VALUE"""),373.0059669719192)</f>
        <v>373.005967</v>
      </c>
      <c r="U225" s="30">
        <f>IFERROR(__xludf.DUMMYFUNCTION("""COMPUTED_VALUE"""),0.8387988643399383)</f>
        <v>0.8387988643</v>
      </c>
      <c r="V225" s="30">
        <f>IFERROR(__xludf.DUMMYFUNCTION("""COMPUTED_VALUE"""),0.5886138586785374)</f>
        <v>0.5886138587</v>
      </c>
      <c r="W225" s="30">
        <f>IFERROR(__xludf.DUMMYFUNCTION("""COMPUTED_VALUE"""),1.451054326723556)</f>
        <v>1.451054327</v>
      </c>
      <c r="X225" s="30">
        <f>IFERROR(__xludf.DUMMYFUNCTION("""COMPUTED_VALUE"""),2.792997539044281)</f>
        <v>2.792997539</v>
      </c>
      <c r="Y225" s="30">
        <f>IFERROR(__xludf.DUMMYFUNCTION("""COMPUTED_VALUE"""),357.9693934318449)</f>
        <v>357.9693934</v>
      </c>
      <c r="Z225" s="30">
        <f>IFERROR(__xludf.DUMMYFUNCTION("""COMPUTED_VALUE"""),0.7246464527952796)</f>
        <v>0.7246464528</v>
      </c>
      <c r="AA225" s="30">
        <f>IFERROR(__xludf.DUMMYFUNCTION("""COMPUTED_VALUE"""),0.5347922298153863)</f>
        <v>0.5347922298</v>
      </c>
      <c r="AB225" s="30">
        <f>IFERROR(__xludf.DUMMYFUNCTION("""COMPUTED_VALUE"""),1.4758636179337405)</f>
        <v>1.475863618</v>
      </c>
      <c r="AC225" s="30">
        <f>IFERROR(__xludf.DUMMYFUNCTION("""COMPUTED_VALUE"""),2.6134768447009926)</f>
        <v>2.613476845</v>
      </c>
      <c r="AD225" s="30">
        <f>IFERROR(__xludf.DUMMYFUNCTION("""COMPUTED_VALUE"""),1.065500776505034)</f>
        <v>1.065500777</v>
      </c>
      <c r="AE225" s="30">
        <f>IFERROR(__xludf.DUMMYFUNCTION("""COMPUTED_VALUE"""),1.0349874716241563)</f>
        <v>1.034987472</v>
      </c>
      <c r="AF225" s="30">
        <f>IFERROR(__xludf.DUMMYFUNCTION("""COMPUTED_VALUE"""),1.0907662841973298)</f>
        <v>1.090766284</v>
      </c>
      <c r="AG225" s="30">
        <f>IFERROR(__xludf.DUMMYFUNCTION("""COMPUTED_VALUE"""),0.997532701756944)</f>
        <v>0.9975327018</v>
      </c>
      <c r="AH225" s="30">
        <f>IFERROR(__xludf.DUMMYFUNCTION("""COMPUTED_VALUE"""),0.9990947945092079)</f>
        <v>0.9990947945</v>
      </c>
      <c r="AI225" s="30">
        <f>IFERROR(__xludf.DUMMYFUNCTION("""COMPUTED_VALUE"""),0.9148895446086797)</f>
        <v>0.9148895446</v>
      </c>
      <c r="AJ225" s="30">
        <f>IFERROR(__xludf.DUMMYFUNCTION("""COMPUTED_VALUE"""),0.7395937175696439)</f>
        <v>0.7395937176</v>
      </c>
      <c r="AK225" s="30">
        <f>IFERROR(__xludf.DUMMYFUNCTION("""COMPUTED_VALUE"""),0.8337227088782349)</f>
        <v>0.8337227089</v>
      </c>
      <c r="AL225" s="30">
        <f>IFERROR(__xludf.DUMMYFUNCTION("""COMPUTED_VALUE"""),1.027350053878958)</f>
        <v>1.027350054</v>
      </c>
      <c r="AM225" s="30">
        <f>IFERROR(__xludf.DUMMYFUNCTION("""COMPUTED_VALUE"""),0.9183018527443649)</f>
        <v>0.9183018527</v>
      </c>
      <c r="AN225" s="30">
        <f>IFERROR(__xludf.DUMMYFUNCTION("""COMPUTED_VALUE"""),1.081392506113038)</f>
        <v>1.081392506</v>
      </c>
      <c r="AO225" s="30">
        <f>IFERROR(__xludf.DUMMYFUNCTION("""COMPUTED_VALUE"""),1.0516180443859584)</f>
        <v>1.051618044</v>
      </c>
      <c r="AP225" s="30">
        <f>IFERROR(__xludf.DUMMYFUNCTION("""COMPUTED_VALUE"""),1.0143579067812083)</f>
        <v>1.014357907</v>
      </c>
      <c r="AQ225" s="30">
        <f>IFERROR(__xludf.DUMMYFUNCTION("""COMPUTED_VALUE"""),1.0320390637075656)</f>
        <v>1.032039064</v>
      </c>
      <c r="AR225" s="30">
        <f>IFERROR(__xludf.DUMMYFUNCTION("""COMPUTED_VALUE"""),1.0365211048937515)</f>
        <v>1.036521105</v>
      </c>
      <c r="AS225" s="30">
        <f>IFERROR(__xludf.DUMMYFUNCTION("""COMPUTED_VALUE"""),80.0)</f>
        <v>80</v>
      </c>
      <c r="AT225" s="30">
        <f>IFERROR(__xludf.DUMMYFUNCTION("""COMPUTED_VALUE"""),0.566001163284658)</f>
        <v>0.5660011633</v>
      </c>
      <c r="AU225" s="30">
        <f>IFERROR(__xludf.DUMMYFUNCTION("""COMPUTED_VALUE"""),2.7942421986325234)</f>
        <v>2.794242199</v>
      </c>
      <c r="AV225" s="32">
        <f>IFERROR(__xludf.DUMMYFUNCTION("""COMPUTED_VALUE"""),63.193892377934084)</f>
        <v>63.19389238</v>
      </c>
      <c r="AW225" s="32">
        <f>IFERROR(__xludf.DUMMYFUNCTION("""COMPUTED_VALUE"""),3.3463343362675166)</f>
        <v>3.346334336</v>
      </c>
      <c r="AX225" s="32">
        <f>IFERROR(__xludf.DUMMYFUNCTION("""COMPUTED_VALUE"""),55.765526120896524)</f>
        <v>55.76552612</v>
      </c>
      <c r="AY225" s="32">
        <f>IFERROR(__xludf.DUMMYFUNCTION("""COMPUTED_VALUE"""),2.4461563773208277)</f>
        <v>2.446156377</v>
      </c>
      <c r="AZ225" s="30">
        <f>IFERROR(__xludf.DUMMYFUNCTION("""COMPUTED_VALUE"""),0.900177958946689)</f>
        <v>0.9001779589</v>
      </c>
      <c r="BA225" s="30">
        <f>IFERROR(__xludf.DUMMYFUNCTION("""COMPUTED_VALUE"""),800.0)</f>
        <v>800</v>
      </c>
    </row>
    <row r="226">
      <c r="A226" s="30" t="str">
        <f>IFERROR(__xludf.DUMMYFUNCTION("""COMPUTED_VALUE"""),"Elite")</f>
        <v>Elite</v>
      </c>
      <c r="B226" s="30" t="str">
        <f>IFERROR(__xludf.DUMMYFUNCTION("""COMPUTED_VALUE"""),"RSC005024")</f>
        <v>RSC005024</v>
      </c>
      <c r="C226" s="30" t="str">
        <f>IFERROR(__xludf.DUMMYFUNCTION("""COMPUTED_VALUE"""),"SSpekky")</f>
        <v>SSpekky</v>
      </c>
      <c r="D226" s="30" t="str">
        <f>IFERROR(__xludf.DUMMYFUNCTION("""COMPUTED_VALUE"""),"Wyverns")</f>
        <v>Wyverns</v>
      </c>
      <c r="E226" s="30">
        <f>IFERROR(__xludf.DUMMYFUNCTION("""COMPUTED_VALUE"""),33.0)</f>
        <v>33</v>
      </c>
      <c r="F226" s="30">
        <f>IFERROR(__xludf.DUMMYFUNCTION("""COMPUTED_VALUE"""),18.0)</f>
        <v>18</v>
      </c>
      <c r="G226" s="30">
        <f>IFERROR(__xludf.DUMMYFUNCTION("""COMPUTED_VALUE"""),15.0)</f>
        <v>15</v>
      </c>
      <c r="H226" s="42">
        <f>IFERROR(__xludf.DUMMYFUNCTION("""COMPUTED_VALUE"""),0.5454545454545454)</f>
        <v>0.5454545455</v>
      </c>
      <c r="I226" s="42">
        <f>IFERROR(__xludf.DUMMYFUNCTION("""COMPUTED_VALUE"""),0.2916666666666667)</f>
        <v>0.2916666667</v>
      </c>
      <c r="J226" s="30">
        <f>IFERROR(__xludf.DUMMYFUNCTION("""COMPUTED_VALUE"""),386.09090909090907)</f>
        <v>386.0909091</v>
      </c>
      <c r="K226" s="30">
        <f>IFERROR(__xludf.DUMMYFUNCTION("""COMPUTED_VALUE"""),0.8484848484848485)</f>
        <v>0.8484848485</v>
      </c>
      <c r="L226" s="30">
        <f>IFERROR(__xludf.DUMMYFUNCTION("""COMPUTED_VALUE"""),0.5454545454545454)</f>
        <v>0.5454545455</v>
      </c>
      <c r="M226" s="30">
        <f>IFERROR(__xludf.DUMMYFUNCTION("""COMPUTED_VALUE"""),1.4242424242424243)</f>
        <v>1.424242424</v>
      </c>
      <c r="N226" s="30">
        <f>IFERROR(__xludf.DUMMYFUNCTION("""COMPUTED_VALUE"""),2.909090909090909)</f>
        <v>2.909090909</v>
      </c>
      <c r="O226" s="30">
        <f>IFERROR(__xludf.DUMMYFUNCTION("""COMPUTED_VALUE"""),345.5858585858586)</f>
        <v>345.5858586</v>
      </c>
      <c r="P226" s="30">
        <f>IFERROR(__xludf.DUMMYFUNCTION("""COMPUTED_VALUE"""),0.6666666666666664)</f>
        <v>0.6666666667</v>
      </c>
      <c r="Q226" s="30">
        <f>IFERROR(__xludf.DUMMYFUNCTION("""COMPUTED_VALUE"""),0.5151515151515151)</f>
        <v>0.5151515152</v>
      </c>
      <c r="R226" s="30">
        <f>IFERROR(__xludf.DUMMYFUNCTION("""COMPUTED_VALUE"""),1.424242424242424)</f>
        <v>1.424242424</v>
      </c>
      <c r="S226" s="30">
        <f>IFERROR(__xludf.DUMMYFUNCTION("""COMPUTED_VALUE"""),2.464646464646465)</f>
        <v>2.464646465</v>
      </c>
      <c r="T226" s="30">
        <f>IFERROR(__xludf.DUMMYFUNCTION("""COMPUTED_VALUE"""),358.4766628530838)</f>
        <v>358.4766629</v>
      </c>
      <c r="U226" s="30">
        <f>IFERROR(__xludf.DUMMYFUNCTION("""COMPUTED_VALUE"""),0.7996476310803966)</f>
        <v>0.7996476311</v>
      </c>
      <c r="V226" s="30">
        <f>IFERROR(__xludf.DUMMYFUNCTION("""COMPUTED_VALUE"""),0.6066901779391877)</f>
        <v>0.6066901779</v>
      </c>
      <c r="W226" s="30">
        <f>IFERROR(__xludf.DUMMYFUNCTION("""COMPUTED_VALUE"""),1.3155608481781564)</f>
        <v>1.315560848</v>
      </c>
      <c r="X226" s="30">
        <f>IFERROR(__xludf.DUMMYFUNCTION("""COMPUTED_VALUE"""),2.7295695257142008)</f>
        <v>2.729569526</v>
      </c>
      <c r="Y226" s="30">
        <f>IFERROR(__xludf.DUMMYFUNCTION("""COMPUTED_VALUE"""),354.00876783917835)</f>
        <v>354.0087678</v>
      </c>
      <c r="Z226" s="30">
        <f>IFERROR(__xludf.DUMMYFUNCTION("""COMPUTED_VALUE"""),0.712617608867042)</f>
        <v>0.7126176089</v>
      </c>
      <c r="AA226" s="30">
        <f>IFERROR(__xludf.DUMMYFUNCTION("""COMPUTED_VALUE"""),0.534423211724622)</f>
        <v>0.5344232117</v>
      </c>
      <c r="AB226" s="30">
        <f>IFERROR(__xludf.DUMMYFUNCTION("""COMPUTED_VALUE"""),1.505487141774278)</f>
        <v>1.505487142</v>
      </c>
      <c r="AC226" s="30">
        <f>IFERROR(__xludf.DUMMYFUNCTION("""COMPUTED_VALUE"""),2.476090944295606)</f>
        <v>2.476090944</v>
      </c>
      <c r="AD226" s="30">
        <f>IFERROR(__xludf.DUMMYFUNCTION("""COMPUTED_VALUE"""),1.0906252730618955)</f>
        <v>1.090625273</v>
      </c>
      <c r="AE226" s="30">
        <f>IFERROR(__xludf.DUMMYFUNCTION("""COMPUTED_VALUE"""),1.190659391414444)</f>
        <v>1.190659391</v>
      </c>
      <c r="AF226" s="30">
        <f>IFERROR(__xludf.DUMMYFUNCTION("""COMPUTED_VALUE"""),1.0206415692430808)</f>
        <v>1.020641569</v>
      </c>
      <c r="AG226" s="30">
        <f>IFERROR(__xludf.DUMMYFUNCTION("""COMPUTED_VALUE"""),0.946034266731695)</f>
        <v>0.9460342667</v>
      </c>
      <c r="AH226" s="30">
        <f>IFERROR(__xludf.DUMMYFUNCTION("""COMPUTED_VALUE"""),1.1748723994943904)</f>
        <v>1.174872399</v>
      </c>
      <c r="AI226" s="30">
        <f>IFERROR(__xludf.DUMMYFUNCTION("""COMPUTED_VALUE"""),0.9640400461089198)</f>
        <v>0.9640400461</v>
      </c>
      <c r="AJ226" s="30">
        <f>IFERROR(__xludf.DUMMYFUNCTION("""COMPUTED_VALUE"""),0.8337005460341815)</f>
        <v>0.833700546</v>
      </c>
      <c r="AK226" s="30">
        <f>IFERROR(__xludf.DUMMYFUNCTION("""COMPUTED_VALUE"""),0.8491179417167884)</f>
        <v>0.8491179417</v>
      </c>
      <c r="AL226" s="30">
        <f>IFERROR(__xludf.DUMMYFUNCTION("""COMPUTED_VALUE"""),1.082612352149864)</f>
        <v>1.082612352</v>
      </c>
      <c r="AM226" s="30">
        <f>IFERROR(__xludf.DUMMYFUNCTION("""COMPUTED_VALUE"""),0.9029432815057467)</f>
        <v>0.9029432815</v>
      </c>
      <c r="AN226" s="30">
        <f>IFERROR(__xludf.DUMMYFUNCTION("""COMPUTED_VALUE"""),1.0946449179006668)</f>
        <v>1.094644918</v>
      </c>
      <c r="AO226" s="30">
        <f>IFERROR(__xludf.DUMMYFUNCTION("""COMPUTED_VALUE"""),1.1897093027396701)</f>
        <v>1.189709303</v>
      </c>
      <c r="AP226" s="30">
        <f>IFERROR(__xludf.DUMMYFUNCTION("""COMPUTED_VALUE"""),0.9484905102369738)</f>
        <v>0.9484905102</v>
      </c>
      <c r="AQ226" s="30">
        <f>IFERROR(__xludf.DUMMYFUNCTION("""COMPUTED_VALUE"""),0.9984048575146945)</f>
        <v>0.9984048575</v>
      </c>
      <c r="AR226" s="30">
        <f>IFERROR(__xludf.DUMMYFUNCTION("""COMPUTED_VALUE"""),1.1548088131891698)</f>
        <v>1.154808813</v>
      </c>
      <c r="AS226" s="30">
        <f>IFERROR(__xludf.DUMMYFUNCTION("""COMPUTED_VALUE"""),78.0)</f>
        <v>78</v>
      </c>
      <c r="AT226" s="30">
        <f>IFERROR(__xludf.DUMMYFUNCTION("""COMPUTED_VALUE"""),0.5634000638881176)</f>
        <v>0.5634000639</v>
      </c>
      <c r="AU226" s="30">
        <f>IFERROR(__xludf.DUMMYFUNCTION("""COMPUTED_VALUE"""),3.0478090587565845)</f>
        <v>3.047809059</v>
      </c>
      <c r="AV226" s="32">
        <f>IFERROR(__xludf.DUMMYFUNCTION("""COMPUTED_VALUE"""),70.31898399771808)</f>
        <v>70.318984</v>
      </c>
      <c r="AW226" s="32">
        <f>IFERROR(__xludf.DUMMYFUNCTION("""COMPUTED_VALUE"""),4.803581085186905)</f>
        <v>4.803581085</v>
      </c>
      <c r="AX226" s="32">
        <f>IFERROR(__xludf.DUMMYFUNCTION("""COMPUTED_VALUE"""),66.72553213932484)</f>
        <v>66.72553214</v>
      </c>
      <c r="AY226" s="32">
        <f>IFERROR(__xludf.DUMMYFUNCTION("""COMPUTED_VALUE"""),3.9723374368213156)</f>
        <v>3.972337437</v>
      </c>
      <c r="AZ226" s="30">
        <f>IFERROR(__xludf.DUMMYFUNCTION("""COMPUTED_VALUE"""),0.8312436483655894)</f>
        <v>0.8312436484</v>
      </c>
      <c r="BA226" s="30">
        <f>IFERROR(__xludf.DUMMYFUNCTION("""COMPUTED_VALUE"""),800.0)</f>
        <v>800</v>
      </c>
    </row>
    <row r="227">
      <c r="A227" s="30" t="str">
        <f>IFERROR(__xludf.DUMMYFUNCTION("""COMPUTED_VALUE"""),"Elite")</f>
        <v>Elite</v>
      </c>
      <c r="B227" s="30" t="str">
        <f>IFERROR(__xludf.DUMMYFUNCTION("""COMPUTED_VALUE"""),"RSC004214")</f>
        <v>RSC004214</v>
      </c>
      <c r="C227" s="30" t="str">
        <f>IFERROR(__xludf.DUMMYFUNCTION("""COMPUTED_VALUE"""),"Miserable")</f>
        <v>Miserable</v>
      </c>
      <c r="D227" s="30" t="str">
        <f>IFERROR(__xludf.DUMMYFUNCTION("""COMPUTED_VALUE"""),"Summoned")</f>
        <v>Summoned</v>
      </c>
      <c r="E227" s="30">
        <f>IFERROR(__xludf.DUMMYFUNCTION("""COMPUTED_VALUE"""),22.0)</f>
        <v>22</v>
      </c>
      <c r="F227" s="30">
        <f>IFERROR(__xludf.DUMMYFUNCTION("""COMPUTED_VALUE"""),5.0)</f>
        <v>5</v>
      </c>
      <c r="G227" s="30">
        <f>IFERROR(__xludf.DUMMYFUNCTION("""COMPUTED_VALUE"""),17.0)</f>
        <v>17</v>
      </c>
      <c r="H227" s="42">
        <f>IFERROR(__xludf.DUMMYFUNCTION("""COMPUTED_VALUE"""),0.22727272727272727)</f>
        <v>0.2272727273</v>
      </c>
      <c r="I227" s="42">
        <f>IFERROR(__xludf.DUMMYFUNCTION("""COMPUTED_VALUE"""),0.2631578947368421)</f>
        <v>0.2631578947</v>
      </c>
      <c r="J227" s="30">
        <f>IFERROR(__xludf.DUMMYFUNCTION("""COMPUTED_VALUE"""),357.0)</f>
        <v>357</v>
      </c>
      <c r="K227" s="30">
        <f>IFERROR(__xludf.DUMMYFUNCTION("""COMPUTED_VALUE"""),0.5555555555555556)</f>
        <v>0.5555555556</v>
      </c>
      <c r="L227" s="30">
        <f>IFERROR(__xludf.DUMMYFUNCTION("""COMPUTED_VALUE"""),0.4444444444444444)</f>
        <v>0.4444444444</v>
      </c>
      <c r="M227" s="30">
        <f>IFERROR(__xludf.DUMMYFUNCTION("""COMPUTED_VALUE"""),2.1666666666666665)</f>
        <v>2.166666667</v>
      </c>
      <c r="N227" s="30">
        <f>IFERROR(__xludf.DUMMYFUNCTION("""COMPUTED_VALUE"""),2.111111111111111)</f>
        <v>2.111111111</v>
      </c>
      <c r="O227" s="30">
        <f>IFERROR(__xludf.DUMMYFUNCTION("""COMPUTED_VALUE"""),419.9259259259259)</f>
        <v>419.9259259</v>
      </c>
      <c r="P227" s="30">
        <f>IFERROR(__xludf.DUMMYFUNCTION("""COMPUTED_VALUE"""),1.1666666666666665)</f>
        <v>1.166666667</v>
      </c>
      <c r="Q227" s="30">
        <f>IFERROR(__xludf.DUMMYFUNCTION("""COMPUTED_VALUE"""),0.8333333333333335)</f>
        <v>0.8333333333</v>
      </c>
      <c r="R227" s="30">
        <f>IFERROR(__xludf.DUMMYFUNCTION("""COMPUTED_VALUE"""),1.2037037037037035)</f>
        <v>1.203703704</v>
      </c>
      <c r="S227" s="30">
        <f>IFERROR(__xludf.DUMMYFUNCTION("""COMPUTED_VALUE"""),3.6296296296296293)</f>
        <v>3.62962963</v>
      </c>
      <c r="T227" s="30">
        <f>IFERROR(__xludf.DUMMYFUNCTION("""COMPUTED_VALUE"""),381.1223691932364)</f>
        <v>381.1223692</v>
      </c>
      <c r="U227" s="30">
        <f>IFERROR(__xludf.DUMMYFUNCTION("""COMPUTED_VALUE"""),0.867678231167075)</f>
        <v>0.8676782312</v>
      </c>
      <c r="V227" s="30">
        <f>IFERROR(__xludf.DUMMYFUNCTION("""COMPUTED_VALUE"""),0.6238688317542272)</f>
        <v>0.6238688318</v>
      </c>
      <c r="W227" s="30">
        <f>IFERROR(__xludf.DUMMYFUNCTION("""COMPUTED_VALUE"""),1.4217555517504807)</f>
        <v>1.421755552</v>
      </c>
      <c r="X227" s="30">
        <f>IFERROR(__xludf.DUMMYFUNCTION("""COMPUTED_VALUE"""),2.8662645605089825)</f>
        <v>2.866264561</v>
      </c>
      <c r="Y227" s="30">
        <f>IFERROR(__xludf.DUMMYFUNCTION("""COMPUTED_VALUE"""),360.0760767629935)</f>
        <v>360.0760768</v>
      </c>
      <c r="Z227" s="30">
        <f>IFERROR(__xludf.DUMMYFUNCTION("""COMPUTED_VALUE"""),0.74008100744071)</f>
        <v>0.7400810074</v>
      </c>
      <c r="AA227" s="30">
        <f>IFERROR(__xludf.DUMMYFUNCTION("""COMPUTED_VALUE"""),0.5361702117280212)</f>
        <v>0.5361702117</v>
      </c>
      <c r="AB227" s="30">
        <f>IFERROR(__xludf.DUMMYFUNCTION("""COMPUTED_VALUE"""),1.5146773280309453)</f>
        <v>1.514677328</v>
      </c>
      <c r="AC227" s="30">
        <f>IFERROR(__xludf.DUMMYFUNCTION("""COMPUTED_VALUE"""),2.5442824523284298)</f>
        <v>2.544282452</v>
      </c>
      <c r="AD227" s="30">
        <f>IFERROR(__xludf.DUMMYFUNCTION("""COMPUTED_VALUE"""),0.9914571476376692)</f>
        <v>0.9914571476</v>
      </c>
      <c r="AE227" s="30">
        <f>IFERROR(__xludf.DUMMYFUNCTION("""COMPUTED_VALUE"""),0.7506685754262687)</f>
        <v>0.7506685754</v>
      </c>
      <c r="AF227" s="30">
        <f>IFERROR(__xludf.DUMMYFUNCTION("""COMPUTED_VALUE"""),0.8289241638621547)</f>
        <v>0.8289241639</v>
      </c>
      <c r="AG227" s="30">
        <f>IFERROR(__xludf.DUMMYFUNCTION("""COMPUTED_VALUE"""),1.4304476779112394)</f>
        <v>1.430447678</v>
      </c>
      <c r="AH227" s="30">
        <f>IFERROR(__xludf.DUMMYFUNCTION("""COMPUTED_VALUE"""),0.8297471490160627)</f>
        <v>0.829747149</v>
      </c>
      <c r="AI227" s="30">
        <f>IFERROR(__xludf.DUMMYFUNCTION("""COMPUTED_VALUE"""),1.1018139051109208)</f>
        <v>1.101813905</v>
      </c>
      <c r="AJ227" s="30">
        <f>IFERROR(__xludf.DUMMYFUNCTION("""COMPUTED_VALUE"""),1.3445844608748978)</f>
        <v>1.344584461</v>
      </c>
      <c r="AK227" s="30">
        <f>IFERROR(__xludf.DUMMYFUNCTION("""COMPUTED_VALUE"""),1.3357508676785839)</f>
        <v>1.335750868</v>
      </c>
      <c r="AL227" s="30">
        <f>IFERROR(__xludf.DUMMYFUNCTION("""COMPUTED_VALUE"""),0.8466319700469539)</f>
        <v>0.84663197</v>
      </c>
      <c r="AM227" s="30">
        <f>IFERROR(__xludf.DUMMYFUNCTION("""COMPUTED_VALUE"""),1.2663274980398498)</f>
        <v>1.266327498</v>
      </c>
      <c r="AN227" s="30">
        <f>IFERROR(__xludf.DUMMYFUNCTION("""COMPUTED_VALUE"""),1.0121663745222318)</f>
        <v>1.012166375</v>
      </c>
      <c r="AO227" s="30">
        <f>IFERROR(__xludf.DUMMYFUNCTION("""COMPUTED_VALUE"""),0.7789763291747841)</f>
        <v>0.7789763292</v>
      </c>
      <c r="AP227" s="30">
        <f>IFERROR(__xludf.DUMMYFUNCTION("""COMPUTED_VALUE"""),0.7728441194523491)</f>
        <v>0.7728441195</v>
      </c>
      <c r="AQ227" s="30">
        <f>IFERROR(__xludf.DUMMYFUNCTION("""COMPUTED_VALUE"""),1.5188499428149076)</f>
        <v>1.518849943</v>
      </c>
      <c r="AR227" s="30">
        <f>IFERROR(__xludf.DUMMYFUNCTION("""COMPUTED_VALUE"""),0.838038340126863)</f>
        <v>0.8380383401</v>
      </c>
      <c r="AS227" s="30">
        <f>IFERROR(__xludf.DUMMYFUNCTION("""COMPUTED_VALUE"""),30.0)</f>
        <v>30</v>
      </c>
      <c r="AT227" s="30">
        <f>IFERROR(__xludf.DUMMYFUNCTION("""COMPUTED_VALUE"""),0.18479564958407335)</f>
        <v>0.1847956496</v>
      </c>
      <c r="AU227" s="30">
        <f>IFERROR(__xludf.DUMMYFUNCTION("""COMPUTED_VALUE"""),1.5300617904068838)</f>
        <v>1.53006179</v>
      </c>
      <c r="AV227" s="32">
        <f>IFERROR(__xludf.DUMMYFUNCTION("""COMPUTED_VALUE"""),27.671106678980305)</f>
        <v>27.67110668</v>
      </c>
      <c r="AW227" s="32">
        <f>IFERROR(__xludf.DUMMYFUNCTION("""COMPUTED_VALUE"""),-5.379615523997228)</f>
        <v>-5.379615524</v>
      </c>
      <c r="AX227" s="32">
        <f>IFERROR(__xludf.DUMMYFUNCTION("""COMPUTED_VALUE"""),25.36638628818143)</f>
        <v>25.36638629</v>
      </c>
      <c r="AY227" s="32">
        <f>IFERROR(__xludf.DUMMYFUNCTION("""COMPUTED_VALUE"""),-6.164185722567559)</f>
        <v>-6.164185723</v>
      </c>
      <c r="AZ227" s="30">
        <f>IFERROR(__xludf.DUMMYFUNCTION("""COMPUTED_VALUE"""),0.7845701985703313)</f>
        <v>0.7845701986</v>
      </c>
      <c r="BA227" s="30">
        <f>IFERROR(__xludf.DUMMYFUNCTION("""COMPUTED_VALUE"""),800.0)</f>
        <v>800</v>
      </c>
    </row>
    <row r="228">
      <c r="A228" s="30" t="str">
        <f>IFERROR(__xludf.DUMMYFUNCTION("""COMPUTED_VALUE"""),"Elite")</f>
        <v>Elite</v>
      </c>
      <c r="B228" s="30" t="str">
        <f>IFERROR(__xludf.DUMMYFUNCTION("""COMPUTED_VALUE"""),"RSC002102")</f>
        <v>RSC002102</v>
      </c>
      <c r="C228" s="30" t="str">
        <f>IFERROR(__xludf.DUMMYFUNCTION("""COMPUTED_VALUE"""),"Cable")</f>
        <v>Cable</v>
      </c>
      <c r="D228" s="30" t="str">
        <f>IFERROR(__xludf.DUMMYFUNCTION("""COMPUTED_VALUE"""),"Teddy Bears")</f>
        <v>Teddy Bears</v>
      </c>
      <c r="E228" s="30">
        <f>IFERROR(__xludf.DUMMYFUNCTION("""COMPUTED_VALUE"""),30.0)</f>
        <v>30</v>
      </c>
      <c r="F228" s="30">
        <f>IFERROR(__xludf.DUMMYFUNCTION("""COMPUTED_VALUE"""),14.0)</f>
        <v>14</v>
      </c>
      <c r="G228" s="30">
        <f>IFERROR(__xludf.DUMMYFUNCTION("""COMPUTED_VALUE"""),16.0)</f>
        <v>16</v>
      </c>
      <c r="H228" s="42">
        <f>IFERROR(__xludf.DUMMYFUNCTION("""COMPUTED_VALUE"""),0.4666666666666667)</f>
        <v>0.4666666667</v>
      </c>
      <c r="I228" s="42">
        <f>IFERROR(__xludf.DUMMYFUNCTION("""COMPUTED_VALUE"""),0.24050632911392406)</f>
        <v>0.2405063291</v>
      </c>
      <c r="J228" s="30">
        <f>IFERROR(__xludf.DUMMYFUNCTION("""COMPUTED_VALUE"""),324.6333333333333)</f>
        <v>324.6333333</v>
      </c>
      <c r="K228" s="30">
        <f>IFERROR(__xludf.DUMMYFUNCTION("""COMPUTED_VALUE"""),0.6333333333333333)</f>
        <v>0.6333333333</v>
      </c>
      <c r="L228" s="30">
        <f>IFERROR(__xludf.DUMMYFUNCTION("""COMPUTED_VALUE"""),0.5333333333333333)</f>
        <v>0.5333333333</v>
      </c>
      <c r="M228" s="30">
        <f>IFERROR(__xludf.DUMMYFUNCTION("""COMPUTED_VALUE"""),1.2333333333333334)</f>
        <v>1.233333333</v>
      </c>
      <c r="N228" s="30">
        <f>IFERROR(__xludf.DUMMYFUNCTION("""COMPUTED_VALUE"""),2.6333333333333333)</f>
        <v>2.633333333</v>
      </c>
      <c r="O228" s="30">
        <f>IFERROR(__xludf.DUMMYFUNCTION("""COMPUTED_VALUE"""),364.3777777777778)</f>
        <v>364.3777778</v>
      </c>
      <c r="P228" s="30">
        <f>IFERROR(__xludf.DUMMYFUNCTION("""COMPUTED_VALUE"""),0.8333333333333335)</f>
        <v>0.8333333333</v>
      </c>
      <c r="Q228" s="30">
        <f>IFERROR(__xludf.DUMMYFUNCTION("""COMPUTED_VALUE"""),0.6444444444444444)</f>
        <v>0.6444444444</v>
      </c>
      <c r="R228" s="30">
        <f>IFERROR(__xludf.DUMMYFUNCTION("""COMPUTED_VALUE"""),1.3333333333333333)</f>
        <v>1.333333333</v>
      </c>
      <c r="S228" s="30">
        <f>IFERROR(__xludf.DUMMYFUNCTION("""COMPUTED_VALUE"""),2.4888888888888885)</f>
        <v>2.488888889</v>
      </c>
      <c r="T228" s="30">
        <f>IFERROR(__xludf.DUMMYFUNCTION("""COMPUTED_VALUE"""),354.9135196718262)</f>
        <v>354.9135197</v>
      </c>
      <c r="U228" s="30">
        <f>IFERROR(__xludf.DUMMYFUNCTION("""COMPUTED_VALUE"""),0.716710195819337)</f>
        <v>0.7167101958</v>
      </c>
      <c r="V228" s="30">
        <f>IFERROR(__xludf.DUMMYFUNCTION("""COMPUTED_VALUE"""),0.5269207809692608)</f>
        <v>0.526920781</v>
      </c>
      <c r="W228" s="30">
        <f>IFERROR(__xludf.DUMMYFUNCTION("""COMPUTED_VALUE"""),1.5294408143781901)</f>
        <v>1.529440814</v>
      </c>
      <c r="X228" s="30">
        <f>IFERROR(__xludf.DUMMYFUNCTION("""COMPUTED_VALUE"""),2.518381942638334)</f>
        <v>2.518381943</v>
      </c>
      <c r="Y228" s="30">
        <f>IFERROR(__xludf.DUMMYFUNCTION("""COMPUTED_VALUE"""),372.12987134583904)</f>
        <v>372.1298713</v>
      </c>
      <c r="Z228" s="30">
        <f>IFERROR(__xludf.DUMMYFUNCTION("""COMPUTED_VALUE"""),0.8723449152018112)</f>
        <v>0.8723449152</v>
      </c>
      <c r="AA228" s="30">
        <f>IFERROR(__xludf.DUMMYFUNCTION("""COMPUTED_VALUE"""),0.6397534313510762)</f>
        <v>0.6397534314</v>
      </c>
      <c r="AB228" s="30">
        <f>IFERROR(__xludf.DUMMYFUNCTION("""COMPUTED_VALUE"""),1.3492217658665764)</f>
        <v>1.349221766</v>
      </c>
      <c r="AC228" s="30">
        <f>IFERROR(__xludf.DUMMYFUNCTION("""COMPUTED_VALUE"""),2.8479465576122083)</f>
        <v>2.847946558</v>
      </c>
      <c r="AD228" s="30">
        <f>IFERROR(__xludf.DUMMYFUNCTION("""COMPUTED_VALUE"""),0.8723656936199976)</f>
        <v>0.8723656936</v>
      </c>
      <c r="AE228" s="30">
        <f>IFERROR(__xludf.DUMMYFUNCTION("""COMPUTED_VALUE"""),0.7260125235977513)</f>
        <v>0.7260125236</v>
      </c>
      <c r="AF228" s="30">
        <f>IFERROR(__xludf.DUMMYFUNCTION("""COMPUTED_VALUE"""),0.8336545099992704)</f>
        <v>0.83365451</v>
      </c>
      <c r="AG228" s="30">
        <f>IFERROR(__xludf.DUMMYFUNCTION("""COMPUTED_VALUE"""),0.9141072020441278)</f>
        <v>0.914107202</v>
      </c>
      <c r="AH228" s="30">
        <f>IFERROR(__xludf.DUMMYFUNCTION("""COMPUTED_VALUE"""),0.9246428189794361)</f>
        <v>0.924642819</v>
      </c>
      <c r="AI228" s="30">
        <f>IFERROR(__xludf.DUMMYFUNCTION("""COMPUTED_VALUE"""),1.026666378093184)</f>
        <v>1.026666378</v>
      </c>
      <c r="AJ228" s="30">
        <f>IFERROR(__xludf.DUMMYFUNCTION("""COMPUTED_VALUE"""),1.162720075972512)</f>
        <v>1.162720076</v>
      </c>
      <c r="AK228" s="30">
        <f>IFERROR(__xludf.DUMMYFUNCTION("""COMPUTED_VALUE"""),1.223038581357526)</f>
        <v>1.223038581</v>
      </c>
      <c r="AL228" s="30">
        <f>IFERROR(__xludf.DUMMYFUNCTION("""COMPUTED_VALUE"""),0.8717783132231982)</f>
        <v>0.8717783132</v>
      </c>
      <c r="AM228" s="30">
        <f>IFERROR(__xludf.DUMMYFUNCTION("""COMPUTED_VALUE"""),0.9882888876980481)</f>
        <v>0.9882888877</v>
      </c>
      <c r="AN228" s="30">
        <f>IFERROR(__xludf.DUMMYFUNCTION("""COMPUTED_VALUE"""),0.9204004034987876)</f>
        <v>0.9204004035</v>
      </c>
      <c r="AO228" s="30">
        <f>IFERROR(__xludf.DUMMYFUNCTION("""COMPUTED_VALUE"""),0.8880330152592538)</f>
        <v>0.8880330153</v>
      </c>
      <c r="AP228" s="30">
        <f>IFERROR(__xludf.DUMMYFUNCTION("""COMPUTED_VALUE"""),0.9274129433428189)</f>
        <v>0.9274129433</v>
      </c>
      <c r="AQ228" s="30">
        <f>IFERROR(__xludf.DUMMYFUNCTION("""COMPUTED_VALUE"""),0.8645761212946398)</f>
        <v>0.8645761213</v>
      </c>
      <c r="AR228" s="30">
        <f>IFERROR(__xludf.DUMMYFUNCTION("""COMPUTED_VALUE"""),1.045342561105613)</f>
        <v>1.045342561</v>
      </c>
      <c r="AS228" s="30">
        <f>IFERROR(__xludf.DUMMYFUNCTION("""COMPUTED_VALUE"""),67.0)</f>
        <v>67</v>
      </c>
      <c r="AT228" s="30">
        <f>IFERROR(__xludf.DUMMYFUNCTION("""COMPUTED_VALUE"""),0.45605769504468924)</f>
        <v>0.456057695</v>
      </c>
      <c r="AU228" s="30">
        <f>IFERROR(__xludf.DUMMYFUNCTION("""COMPUTED_VALUE"""),1.9257510253506294)</f>
        <v>1.925751025</v>
      </c>
      <c r="AV228" s="32">
        <f>IFERROR(__xludf.DUMMYFUNCTION("""COMPUTED_VALUE"""),38.78976015979017)</f>
        <v>38.78976016</v>
      </c>
      <c r="AW228" s="32">
        <f>IFERROR(__xludf.DUMMYFUNCTION("""COMPUTED_VALUE"""),-3.0587698925537112)</f>
        <v>-3.058769893</v>
      </c>
      <c r="AX228" s="32">
        <f>IFERROR(__xludf.DUMMYFUNCTION("""COMPUTED_VALUE"""),45.98888863280782)</f>
        <v>45.98888863</v>
      </c>
      <c r="AY228" s="32">
        <f>IFERROR(__xludf.DUMMYFUNCTION("""COMPUTED_VALUE"""),-2.292182238770824)</f>
        <v>-2.292182239</v>
      </c>
      <c r="AZ228" s="30">
        <f>IFERROR(__xludf.DUMMYFUNCTION("""COMPUTED_VALUE"""),0.7665876537828873)</f>
        <v>0.7665876538</v>
      </c>
      <c r="BA228" s="30">
        <f>IFERROR(__xludf.DUMMYFUNCTION("""COMPUTED_VALUE"""),800.0)</f>
        <v>800</v>
      </c>
    </row>
    <row r="229">
      <c r="A229" s="30" t="str">
        <f>IFERROR(__xludf.DUMMYFUNCTION("""COMPUTED_VALUE"""),"Elite")</f>
        <v>Elite</v>
      </c>
      <c r="B229" s="30" t="str">
        <f>IFERROR(__xludf.DUMMYFUNCTION("""COMPUTED_VALUE"""),"RSC000016")</f>
        <v>RSC000016</v>
      </c>
      <c r="C229" s="30" t="str">
        <f>IFERROR(__xludf.DUMMYFUNCTION("""COMPUTED_VALUE"""),"Beans")</f>
        <v>Beans</v>
      </c>
      <c r="D229" s="30" t="str">
        <f>IFERROR(__xludf.DUMMYFUNCTION("""COMPUTED_VALUE"""),"Nightshade")</f>
        <v>Nightshade</v>
      </c>
      <c r="E229" s="30">
        <f>IFERROR(__xludf.DUMMYFUNCTION("""COMPUTED_VALUE"""),26.0)</f>
        <v>26</v>
      </c>
      <c r="F229" s="30">
        <f>IFERROR(__xludf.DUMMYFUNCTION("""COMPUTED_VALUE"""),12.0)</f>
        <v>12</v>
      </c>
      <c r="G229" s="30">
        <f>IFERROR(__xludf.DUMMYFUNCTION("""COMPUTED_VALUE"""),14.0)</f>
        <v>14</v>
      </c>
      <c r="H229" s="42">
        <f>IFERROR(__xludf.DUMMYFUNCTION("""COMPUTED_VALUE"""),0.46153846153846156)</f>
        <v>0.4615384615</v>
      </c>
      <c r="I229" s="42">
        <f>IFERROR(__xludf.DUMMYFUNCTION("""COMPUTED_VALUE"""),0.30188679245283023)</f>
        <v>0.3018867925</v>
      </c>
      <c r="J229" s="30">
        <f>IFERROR(__xludf.DUMMYFUNCTION("""COMPUTED_VALUE"""),361.15384615384613)</f>
        <v>361.1538462</v>
      </c>
      <c r="K229" s="30">
        <f>IFERROR(__xludf.DUMMYFUNCTION("""COMPUTED_VALUE"""),0.6153846153846154)</f>
        <v>0.6153846154</v>
      </c>
      <c r="L229" s="30">
        <f>IFERROR(__xludf.DUMMYFUNCTION("""COMPUTED_VALUE"""),0.6153846153846154)</f>
        <v>0.6153846154</v>
      </c>
      <c r="M229" s="30">
        <f>IFERROR(__xludf.DUMMYFUNCTION("""COMPUTED_VALUE"""),1.8076923076923077)</f>
        <v>1.807692308</v>
      </c>
      <c r="N229" s="30">
        <f>IFERROR(__xludf.DUMMYFUNCTION("""COMPUTED_VALUE"""),2.0384615384615383)</f>
        <v>2.038461538</v>
      </c>
      <c r="O229" s="30">
        <f>IFERROR(__xludf.DUMMYFUNCTION("""COMPUTED_VALUE"""),358.96153846153845)</f>
        <v>358.9615385</v>
      </c>
      <c r="P229" s="30">
        <f>IFERROR(__xludf.DUMMYFUNCTION("""COMPUTED_VALUE"""),0.8076923076923076)</f>
        <v>0.8076923077</v>
      </c>
      <c r="Q229" s="30">
        <f>IFERROR(__xludf.DUMMYFUNCTION("""COMPUTED_VALUE"""),0.564102564102564)</f>
        <v>0.5641025641</v>
      </c>
      <c r="R229" s="30">
        <f>IFERROR(__xludf.DUMMYFUNCTION("""COMPUTED_VALUE"""),1.4102564102564101)</f>
        <v>1.41025641</v>
      </c>
      <c r="S229" s="30">
        <f>IFERROR(__xludf.DUMMYFUNCTION("""COMPUTED_VALUE"""),2.6410256410256414)</f>
        <v>2.641025641</v>
      </c>
      <c r="T229" s="30">
        <f>IFERROR(__xludf.DUMMYFUNCTION("""COMPUTED_VALUE"""),347.8283333638938)</f>
        <v>347.8283334</v>
      </c>
      <c r="U229" s="30">
        <f>IFERROR(__xludf.DUMMYFUNCTION("""COMPUTED_VALUE"""),0.7034092778904554)</f>
        <v>0.7034092779</v>
      </c>
      <c r="V229" s="30">
        <f>IFERROR(__xludf.DUMMYFUNCTION("""COMPUTED_VALUE"""),0.5096660526352703)</f>
        <v>0.5096660526</v>
      </c>
      <c r="W229" s="30">
        <f>IFERROR(__xludf.DUMMYFUNCTION("""COMPUTED_VALUE"""),1.4406383001481016)</f>
        <v>1.4406383</v>
      </c>
      <c r="X229" s="30">
        <f>IFERROR(__xludf.DUMMYFUNCTION("""COMPUTED_VALUE"""),2.516675711496366)</f>
        <v>2.516675711</v>
      </c>
      <c r="Y229" s="30">
        <f>IFERROR(__xludf.DUMMYFUNCTION("""COMPUTED_VALUE"""),370.0280893370994)</f>
        <v>370.0280893</v>
      </c>
      <c r="Z229" s="30">
        <f>IFERROR(__xludf.DUMMYFUNCTION("""COMPUTED_VALUE"""),0.8218084103341645)</f>
        <v>0.8218084103</v>
      </c>
      <c r="AA229" s="30">
        <f>IFERROR(__xludf.DUMMYFUNCTION("""COMPUTED_VALUE"""),0.6352392289291655)</f>
        <v>0.6352392289</v>
      </c>
      <c r="AB229" s="30">
        <f>IFERROR(__xludf.DUMMYFUNCTION("""COMPUTED_VALUE"""),1.4015779273877027)</f>
        <v>1.401577927</v>
      </c>
      <c r="AC229" s="30">
        <f>IFERROR(__xludf.DUMMYFUNCTION("""COMPUTED_VALUE"""),2.7739759682400305)</f>
        <v>2.773975968</v>
      </c>
      <c r="AD229" s="30">
        <f>IFERROR(__xludf.DUMMYFUNCTION("""COMPUTED_VALUE"""),0.9760173796558219)</f>
        <v>0.9760173797</v>
      </c>
      <c r="AE229" s="30">
        <f>IFERROR(__xludf.DUMMYFUNCTION("""COMPUTED_VALUE"""),0.7488176169119359)</f>
        <v>0.7488176169</v>
      </c>
      <c r="AF229" s="30">
        <f>IFERROR(__xludf.DUMMYFUNCTION("""COMPUTED_VALUE"""),0.968744667142142)</f>
        <v>0.9687446671</v>
      </c>
      <c r="AG229" s="30">
        <f>IFERROR(__xludf.DUMMYFUNCTION("""COMPUTED_VALUE"""),1.2897551198323531)</f>
        <v>1.28975512</v>
      </c>
      <c r="AH229" s="30">
        <f>IFERROR(__xludf.DUMMYFUNCTION("""COMPUTED_VALUE"""),0.7348519099662046)</f>
        <v>0.73485191</v>
      </c>
      <c r="AI229" s="30">
        <f>IFERROR(__xludf.DUMMYFUNCTION("""COMPUTED_VALUE"""),1.032007757936146)</f>
        <v>1.032007758</v>
      </c>
      <c r="AJ229" s="30">
        <f>IFERROR(__xludf.DUMMYFUNCTION("""COMPUTED_VALUE"""),1.1482537024740418)</f>
        <v>1.148253702</v>
      </c>
      <c r="AK229" s="30">
        <f>IFERROR(__xludf.DUMMYFUNCTION("""COMPUTED_VALUE"""),1.1068081956524771)</f>
        <v>1.106808196</v>
      </c>
      <c r="AL229" s="30">
        <f>IFERROR(__xludf.DUMMYFUNCTION("""COMPUTED_VALUE"""),0.9789108134300135)</f>
        <v>0.9789108134</v>
      </c>
      <c r="AM229" s="30">
        <f>IFERROR(__xludf.DUMMYFUNCTION("""COMPUTED_VALUE"""),1.0494103904453147)</f>
        <v>1.04941039</v>
      </c>
      <c r="AN229" s="30">
        <f>IFERROR(__xludf.DUMMYFUNCTION("""COMPUTED_VALUE"""),1.0239433588411717)</f>
        <v>1.023943359</v>
      </c>
      <c r="AO229" s="30">
        <f>IFERROR(__xludf.DUMMYFUNCTION("""COMPUTED_VALUE"""),0.8628660877012992)</f>
        <v>0.8628660877</v>
      </c>
      <c r="AP229" s="30">
        <f>IFERROR(__xludf.DUMMYFUNCTION("""COMPUTED_VALUE"""),1.0700918577032528)</f>
        <v>1.070091858</v>
      </c>
      <c r="AQ229" s="30">
        <f>IFERROR(__xludf.DUMMYFUNCTION("""COMPUTED_VALUE"""),1.2672061653071123)</f>
        <v>1.267206165</v>
      </c>
      <c r="AR229" s="30">
        <f>IFERROR(__xludf.DUMMYFUNCTION("""COMPUTED_VALUE"""),0.8091989640496227)</f>
        <v>0.809198964</v>
      </c>
      <c r="AS229" s="30">
        <f>IFERROR(__xludf.DUMMYFUNCTION("""COMPUTED_VALUE"""),62.0)</f>
        <v>62</v>
      </c>
      <c r="AT229" s="30">
        <f>IFERROR(__xludf.DUMMYFUNCTION("""COMPUTED_VALUE"""),0.49372285354610324)</f>
        <v>0.4937228535</v>
      </c>
      <c r="AU229" s="30">
        <f>IFERROR(__xludf.DUMMYFUNCTION("""COMPUTED_VALUE"""),1.8900525949273557)</f>
        <v>1.890052595</v>
      </c>
      <c r="AV229" s="32">
        <f>IFERROR(__xludf.DUMMYFUNCTION("""COMPUTED_VALUE"""),37.78665357352782)</f>
        <v>37.78665357</v>
      </c>
      <c r="AW229" s="32">
        <f>IFERROR(__xludf.DUMMYFUNCTION("""COMPUTED_VALUE"""),-3.1991208803598097)</f>
        <v>-3.19912088</v>
      </c>
      <c r="AX229" s="32">
        <f>IFERROR(__xludf.DUMMYFUNCTION("""COMPUTED_VALUE"""),44.01428955328286)</f>
        <v>44.01428955</v>
      </c>
      <c r="AY229" s="32">
        <f>IFERROR(__xludf.DUMMYFUNCTION("""COMPUTED_VALUE"""),-2.466780494760173)</f>
        <v>-2.466780495</v>
      </c>
      <c r="AZ229" s="30">
        <f>IFERROR(__xludf.DUMMYFUNCTION("""COMPUTED_VALUE"""),0.7323403855996369)</f>
        <v>0.7323403856</v>
      </c>
      <c r="BA229" s="30">
        <f>IFERROR(__xludf.DUMMYFUNCTION("""COMPUTED_VALUE"""),800.0)</f>
        <v>800</v>
      </c>
    </row>
    <row r="230">
      <c r="A230" s="30" t="str">
        <f>IFERROR(__xludf.DUMMYFUNCTION("""COMPUTED_VALUE"""),"Elite")</f>
        <v>Elite</v>
      </c>
      <c r="B230" s="30" t="str">
        <f>IFERROR(__xludf.DUMMYFUNCTION("""COMPUTED_VALUE"""),"RSC006877")</f>
        <v>RSC006877</v>
      </c>
      <c r="C230" s="30" t="str">
        <f>IFERROR(__xludf.DUMMYFUNCTION("""COMPUTED_VALUE"""),"Jolt")</f>
        <v>Jolt</v>
      </c>
      <c r="D230" s="30" t="str">
        <f>IFERROR(__xludf.DUMMYFUNCTION("""COMPUTED_VALUE"""),"Desolation")</f>
        <v>Desolation</v>
      </c>
      <c r="E230" s="30">
        <f>IFERROR(__xludf.DUMMYFUNCTION("""COMPUTED_VALUE"""),7.0)</f>
        <v>7</v>
      </c>
      <c r="F230" s="30">
        <f>IFERROR(__xludf.DUMMYFUNCTION("""COMPUTED_VALUE"""),4.0)</f>
        <v>4</v>
      </c>
      <c r="G230" s="30">
        <f>IFERROR(__xludf.DUMMYFUNCTION("""COMPUTED_VALUE"""),3.0)</f>
        <v>3</v>
      </c>
      <c r="H230" s="42">
        <f>IFERROR(__xludf.DUMMYFUNCTION("""COMPUTED_VALUE"""),0.5714285714285714)</f>
        <v>0.5714285714</v>
      </c>
      <c r="I230" s="42">
        <f>IFERROR(__xludf.DUMMYFUNCTION("""COMPUTED_VALUE"""),0.09090909090909091)</f>
        <v>0.09090909091</v>
      </c>
      <c r="J230" s="30">
        <f>IFERROR(__xludf.DUMMYFUNCTION("""COMPUTED_VALUE"""),331.14285714285717)</f>
        <v>331.1428571</v>
      </c>
      <c r="K230" s="30">
        <f>IFERROR(__xludf.DUMMYFUNCTION("""COMPUTED_VALUE"""),0.14285714285714285)</f>
        <v>0.1428571429</v>
      </c>
      <c r="L230" s="30">
        <f>IFERROR(__xludf.DUMMYFUNCTION("""COMPUTED_VALUE"""),1.2857142857142858)</f>
        <v>1.285714286</v>
      </c>
      <c r="M230" s="30">
        <f>IFERROR(__xludf.DUMMYFUNCTION("""COMPUTED_VALUE"""),1.7142857142857142)</f>
        <v>1.714285714</v>
      </c>
      <c r="N230" s="30">
        <f>IFERROR(__xludf.DUMMYFUNCTION("""COMPUTED_VALUE"""),1.5714285714285714)</f>
        <v>1.571428571</v>
      </c>
      <c r="O230" s="30">
        <f>IFERROR(__xludf.DUMMYFUNCTION("""COMPUTED_VALUE"""),415.2857142857143)</f>
        <v>415.2857143</v>
      </c>
      <c r="P230" s="30">
        <f>IFERROR(__xludf.DUMMYFUNCTION("""COMPUTED_VALUE"""),0.8571428571428571)</f>
        <v>0.8571428571</v>
      </c>
      <c r="Q230" s="30">
        <f>IFERROR(__xludf.DUMMYFUNCTION("""COMPUTED_VALUE"""),0.8571428571428571)</f>
        <v>0.8571428571</v>
      </c>
      <c r="R230" s="30">
        <f>IFERROR(__xludf.DUMMYFUNCTION("""COMPUTED_VALUE"""),1.7619047619047616)</f>
        <v>1.761904762</v>
      </c>
      <c r="S230" s="30">
        <f>IFERROR(__xludf.DUMMYFUNCTION("""COMPUTED_VALUE"""),3.095238095238095)</f>
        <v>3.095238095</v>
      </c>
      <c r="T230" s="30">
        <f>IFERROR(__xludf.DUMMYFUNCTION("""COMPUTED_VALUE"""),389.4906726579521)</f>
        <v>389.4906727</v>
      </c>
      <c r="U230" s="30">
        <f>IFERROR(__xludf.DUMMYFUNCTION("""COMPUTED_VALUE"""),0.9299272486772487)</f>
        <v>0.9299272487</v>
      </c>
      <c r="V230" s="30">
        <f>IFERROR(__xludf.DUMMYFUNCTION("""COMPUTED_VALUE"""),0.7091561624649861)</f>
        <v>0.7091561625</v>
      </c>
      <c r="W230" s="30">
        <f>IFERROR(__xludf.DUMMYFUNCTION("""COMPUTED_VALUE"""),1.3385056800497976)</f>
        <v>1.33850568</v>
      </c>
      <c r="X230" s="30">
        <f>IFERROR(__xludf.DUMMYFUNCTION("""COMPUTED_VALUE"""),3.049412542794896)</f>
        <v>3.049412543</v>
      </c>
      <c r="Y230" s="30">
        <f>IFERROR(__xludf.DUMMYFUNCTION("""COMPUTED_VALUE"""),350.1678415810769)</f>
        <v>350.1678416</v>
      </c>
      <c r="Z230" s="30">
        <f>IFERROR(__xludf.DUMMYFUNCTION("""COMPUTED_VALUE"""),0.6433291835252619)</f>
        <v>0.6433291835</v>
      </c>
      <c r="AA230" s="30">
        <f>IFERROR(__xludf.DUMMYFUNCTION("""COMPUTED_VALUE"""),0.4782485216308746)</f>
        <v>0.4782485216</v>
      </c>
      <c r="AB230" s="30">
        <f>IFERROR(__xludf.DUMMYFUNCTION("""COMPUTED_VALUE"""),1.6357389251997094)</f>
        <v>1.635738925</v>
      </c>
      <c r="AC230" s="30">
        <f>IFERROR(__xludf.DUMMYFUNCTION("""COMPUTED_VALUE"""),2.292606857557838)</f>
        <v>2.292606858</v>
      </c>
      <c r="AD230" s="30">
        <f>IFERROR(__xludf.DUMMYFUNCTION("""COMPUTED_VALUE"""),0.9456689559146317)</f>
        <v>0.9456689559</v>
      </c>
      <c r="AE230" s="30">
        <f>IFERROR(__xludf.DUMMYFUNCTION("""COMPUTED_VALUE"""),0.2220591673990695)</f>
        <v>0.2220591674</v>
      </c>
      <c r="AF230" s="30">
        <f>IFERROR(__xludf.DUMMYFUNCTION("""COMPUTED_VALUE"""),2.6883810980321976)</f>
        <v>2.688381098</v>
      </c>
      <c r="AG230" s="30">
        <f>IFERROR(__xludf.DUMMYFUNCTION("""COMPUTED_VALUE"""),1.0480191477233538)</f>
        <v>1.048019148</v>
      </c>
      <c r="AH230" s="30">
        <f>IFERROR(__xludf.DUMMYFUNCTION("""COMPUTED_VALUE"""),0.6854330764335713)</f>
        <v>0.6854330764</v>
      </c>
      <c r="AI230" s="30">
        <f>IFERROR(__xludf.DUMMYFUNCTION("""COMPUTED_VALUE"""),1.0662276235056731)</f>
        <v>1.066227624</v>
      </c>
      <c r="AJ230" s="30">
        <f>IFERROR(__xludf.DUMMYFUNCTION("""COMPUTED_VALUE"""),0.9217310906440026)</f>
        <v>0.9217310906</v>
      </c>
      <c r="AK230" s="30">
        <f>IFERROR(__xludf.DUMMYFUNCTION("""COMPUTED_VALUE"""),1.2086799812378104)</f>
        <v>1.208679981</v>
      </c>
      <c r="AL230" s="30">
        <f>IFERROR(__xludf.DUMMYFUNCTION("""COMPUTED_VALUE"""),1.3163222152626293)</f>
        <v>1.316322215</v>
      </c>
      <c r="AM230" s="30">
        <f>IFERROR(__xludf.DUMMYFUNCTION("""COMPUTED_VALUE"""),1.015027665755319)</f>
        <v>1.015027666</v>
      </c>
      <c r="AN230" s="30">
        <f>IFERROR(__xludf.DUMMYFUNCTION("""COMPUTED_VALUE"""),0.938856204938989)</f>
        <v>0.9388562049</v>
      </c>
      <c r="AO230" s="30">
        <f>IFERROR(__xludf.DUMMYFUNCTION("""COMPUTED_VALUE"""),0.20030819893065874)</f>
        <v>0.2003081989</v>
      </c>
      <c r="AP230" s="30">
        <f>IFERROR(__xludf.DUMMYFUNCTION("""COMPUTED_VALUE"""),2.235727631272867)</f>
        <v>2.235727631</v>
      </c>
      <c r="AQ230" s="30">
        <f>IFERROR(__xludf.DUMMYFUNCTION("""COMPUTED_VALUE"""),1.2017274272821248)</f>
        <v>1.201727427</v>
      </c>
      <c r="AR230" s="30">
        <f>IFERROR(__xludf.DUMMYFUNCTION("""COMPUTED_VALUE"""),0.6238029749816498)</f>
        <v>0.623802975</v>
      </c>
      <c r="AS230" s="30">
        <f>IFERROR(__xludf.DUMMYFUNCTION("""COMPUTED_VALUE"""),17.0)</f>
        <v>17</v>
      </c>
      <c r="AT230" s="30">
        <f>IFERROR(__xludf.DUMMYFUNCTION("""COMPUTED_VALUE"""),0.4773365052970361)</f>
        <v>0.4773365053</v>
      </c>
      <c r="AU230" s="30">
        <f>IFERROR(__xludf.DUMMYFUNCTION("""COMPUTED_VALUE"""),1.881543950034994)</f>
        <v>1.88154395</v>
      </c>
      <c r="AV230" s="32">
        <f>IFERROR(__xludf.DUMMYFUNCTION("""COMPUTED_VALUE"""),37.547565254223706)</f>
        <v>37.54756525</v>
      </c>
      <c r="AW230" s="32">
        <f>IFERROR(__xludf.DUMMYFUNCTION("""COMPUTED_VALUE"""),-3.234072112877921)</f>
        <v>-3.234072113</v>
      </c>
      <c r="AX230" s="32">
        <f>IFERROR(__xludf.DUMMYFUNCTION("""COMPUTED_VALUE"""),33.31295590921844)</f>
        <v>33.31295591</v>
      </c>
      <c r="AY230" s="32">
        <f>IFERROR(__xludf.DUMMYFUNCTION("""COMPUTED_VALUE"""),-3.964600444070632)</f>
        <v>-3.964600444</v>
      </c>
      <c r="AZ230" s="30">
        <f>IFERROR(__xludf.DUMMYFUNCTION("""COMPUTED_VALUE"""),0.7305283311927111)</f>
        <v>0.7305283312</v>
      </c>
      <c r="BA230" s="30">
        <f>IFERROR(__xludf.DUMMYFUNCTION("""COMPUTED_VALUE"""),800.0)</f>
        <v>800</v>
      </c>
    </row>
    <row r="231">
      <c r="A231" s="30" t="str">
        <f>IFERROR(__xludf.DUMMYFUNCTION("""COMPUTED_VALUE"""),"Elite")</f>
        <v>Elite</v>
      </c>
      <c r="B231" s="30" t="str">
        <f>IFERROR(__xludf.DUMMYFUNCTION("""COMPUTED_VALUE"""),"RSC007295")</f>
        <v>RSC007295</v>
      </c>
      <c r="C231" s="30" t="str">
        <f>IFERROR(__xludf.DUMMYFUNCTION("""COMPUTED_VALUE"""),"TheLegendaryChance")</f>
        <v>TheLegendaryChance</v>
      </c>
      <c r="D231" s="30" t="str">
        <f>IFERROR(__xludf.DUMMYFUNCTION("""COMPUTED_VALUE"""),"Geeky Ghouls")</f>
        <v>Geeky Ghouls</v>
      </c>
      <c r="E231" s="30">
        <f>IFERROR(__xludf.DUMMYFUNCTION("""COMPUTED_VALUE"""),29.0)</f>
        <v>29</v>
      </c>
      <c r="F231" s="30">
        <f>IFERROR(__xludf.DUMMYFUNCTION("""COMPUTED_VALUE"""),16.0)</f>
        <v>16</v>
      </c>
      <c r="G231" s="30">
        <f>IFERROR(__xludf.DUMMYFUNCTION("""COMPUTED_VALUE"""),13.0)</f>
        <v>13</v>
      </c>
      <c r="H231" s="42">
        <f>IFERROR(__xludf.DUMMYFUNCTION("""COMPUTED_VALUE"""),0.5517241379310345)</f>
        <v>0.5517241379</v>
      </c>
      <c r="I231" s="42">
        <f>IFERROR(__xludf.DUMMYFUNCTION("""COMPUTED_VALUE"""),0.23529411764705885)</f>
        <v>0.2352941176</v>
      </c>
      <c r="J231" s="30">
        <f>IFERROR(__xludf.DUMMYFUNCTION("""COMPUTED_VALUE"""),331.0344827586207)</f>
        <v>331.0344828</v>
      </c>
      <c r="K231" s="30">
        <f>IFERROR(__xludf.DUMMYFUNCTION("""COMPUTED_VALUE"""),0.5517241379310345)</f>
        <v>0.5517241379</v>
      </c>
      <c r="L231" s="30">
        <f>IFERROR(__xludf.DUMMYFUNCTION("""COMPUTED_VALUE"""),0.5862068965517241)</f>
        <v>0.5862068966</v>
      </c>
      <c r="M231" s="30">
        <f>IFERROR(__xludf.DUMMYFUNCTION("""COMPUTED_VALUE"""),1.3448275862068966)</f>
        <v>1.344827586</v>
      </c>
      <c r="N231" s="30">
        <f>IFERROR(__xludf.DUMMYFUNCTION("""COMPUTED_VALUE"""),2.3448275862068964)</f>
        <v>2.344827586</v>
      </c>
      <c r="O231" s="30">
        <f>IFERROR(__xludf.DUMMYFUNCTION("""COMPUTED_VALUE"""),380.3908045977011)</f>
        <v>380.3908046</v>
      </c>
      <c r="P231" s="30">
        <f>IFERROR(__xludf.DUMMYFUNCTION("""COMPUTED_VALUE"""),0.7356321839080461)</f>
        <v>0.7356321839</v>
      </c>
      <c r="Q231" s="30">
        <f>IFERROR(__xludf.DUMMYFUNCTION("""COMPUTED_VALUE"""),0.632183908045977)</f>
        <v>0.632183908</v>
      </c>
      <c r="R231" s="30">
        <f>IFERROR(__xludf.DUMMYFUNCTION("""COMPUTED_VALUE"""),1.7011494252873562)</f>
        <v>1.701149425</v>
      </c>
      <c r="S231" s="30">
        <f>IFERROR(__xludf.DUMMYFUNCTION("""COMPUTED_VALUE"""),2.5057471264367814)</f>
        <v>2.505747126</v>
      </c>
      <c r="T231" s="30">
        <f>IFERROR(__xludf.DUMMYFUNCTION("""COMPUTED_VALUE"""),368.7643082918601)</f>
        <v>368.7643083</v>
      </c>
      <c r="U231" s="30">
        <f>IFERROR(__xludf.DUMMYFUNCTION("""COMPUTED_VALUE"""),0.8242257571368118)</f>
        <v>0.8242257571</v>
      </c>
      <c r="V231" s="30">
        <f>IFERROR(__xludf.DUMMYFUNCTION("""COMPUTED_VALUE"""),0.6555081479515117)</f>
        <v>0.655508148</v>
      </c>
      <c r="W231" s="30">
        <f>IFERROR(__xludf.DUMMYFUNCTION("""COMPUTED_VALUE"""),1.3779046775192405)</f>
        <v>1.377904678</v>
      </c>
      <c r="X231" s="30">
        <f>IFERROR(__xludf.DUMMYFUNCTION("""COMPUTED_VALUE"""),2.7268334041980116)</f>
        <v>2.726833404</v>
      </c>
      <c r="Y231" s="30">
        <f>IFERROR(__xludf.DUMMYFUNCTION("""COMPUTED_VALUE"""),355.91984330134323)</f>
        <v>355.9198433</v>
      </c>
      <c r="Z231" s="30">
        <f>IFERROR(__xludf.DUMMYFUNCTION("""COMPUTED_VALUE"""),0.7581680851504039)</f>
        <v>0.7581680852</v>
      </c>
      <c r="AA231" s="30">
        <f>IFERROR(__xludf.DUMMYFUNCTION("""COMPUTED_VALUE"""),0.5444064510865353)</f>
        <v>0.5444064511</v>
      </c>
      <c r="AB231" s="30">
        <f>IFERROR(__xludf.DUMMYFUNCTION("""COMPUTED_VALUE"""),1.4299852676673839)</f>
        <v>1.429985268</v>
      </c>
      <c r="AC231" s="30">
        <f>IFERROR(__xludf.DUMMYFUNCTION("""COMPUTED_VALUE"""),2.5816923762417296)</f>
        <v>2.581692376</v>
      </c>
      <c r="AD231" s="30">
        <f>IFERROR(__xludf.DUMMYFUNCTION("""COMPUTED_VALUE"""),0.9300815590614512)</f>
        <v>0.9300815591</v>
      </c>
      <c r="AE231" s="30">
        <f>IFERROR(__xludf.DUMMYFUNCTION("""COMPUTED_VALUE"""),0.7277068881389073)</f>
        <v>0.7277068881</v>
      </c>
      <c r="AF231" s="30">
        <f>IFERROR(__xludf.DUMMYFUNCTION("""COMPUTED_VALUE"""),1.076781686517055)</f>
        <v>1.076781687</v>
      </c>
      <c r="AG231" s="30">
        <f>IFERROR(__xludf.DUMMYFUNCTION("""COMPUTED_VALUE"""),0.9404485602852413)</f>
        <v>0.9404485603</v>
      </c>
      <c r="AH231" s="30">
        <f>IFERROR(__xludf.DUMMYFUNCTION("""COMPUTED_VALUE"""),0.9082521247633513)</f>
        <v>0.9082521248</v>
      </c>
      <c r="AI231" s="30">
        <f>IFERROR(__xludf.DUMMYFUNCTION("""COMPUTED_VALUE"""),1.031528258143245)</f>
        <v>1.031528258</v>
      </c>
      <c r="AJ231" s="30">
        <f>IFERROR(__xludf.DUMMYFUNCTION("""COMPUTED_VALUE"""),0.892512976618783)</f>
        <v>0.8925129766</v>
      </c>
      <c r="AK231" s="30">
        <f>IFERROR(__xludf.DUMMYFUNCTION("""COMPUTED_VALUE"""),0.9644180778249304)</f>
        <v>0.9644180778</v>
      </c>
      <c r="AL231" s="30">
        <f>IFERROR(__xludf.DUMMYFUNCTION("""COMPUTED_VALUE"""),1.234591516410323)</f>
        <v>1.234591516</v>
      </c>
      <c r="AM231" s="30">
        <f>IFERROR(__xludf.DUMMYFUNCTION("""COMPUTED_VALUE"""),0.9189219710229222)</f>
        <v>0.918921971</v>
      </c>
      <c r="AN231" s="30">
        <f>IFERROR(__xludf.DUMMYFUNCTION("""COMPUTED_VALUE"""),0.938548941892536)</f>
        <v>0.9385489419</v>
      </c>
      <c r="AO231" s="30">
        <f>IFERROR(__xludf.DUMMYFUNCTION("""COMPUTED_VALUE"""),0.773604078628751)</f>
        <v>0.7736040786</v>
      </c>
      <c r="AP231" s="30">
        <f>IFERROR(__xludf.DUMMYFUNCTION("""COMPUTED_VALUE"""),1.019354743760426)</f>
        <v>1.019354744</v>
      </c>
      <c r="AQ231" s="30">
        <f>IFERROR(__xludf.DUMMYFUNCTION("""COMPUTED_VALUE"""),0.9427344472644255)</f>
        <v>0.9427344473</v>
      </c>
      <c r="AR231" s="30">
        <f>IFERROR(__xludf.DUMMYFUNCTION("""COMPUTED_VALUE"""),0.9308157244240292)</f>
        <v>0.9308157244</v>
      </c>
      <c r="AS231" s="30">
        <f>IFERROR(__xludf.DUMMYFUNCTION("""COMPUTED_VALUE"""),66.0)</f>
        <v>66</v>
      </c>
      <c r="AT231" s="30">
        <f>IFERROR(__xludf.DUMMYFUNCTION("""COMPUTED_VALUE"""),0.5118305072616764)</f>
        <v>0.5118305073</v>
      </c>
      <c r="AU231" s="30">
        <f>IFERROR(__xludf.DUMMYFUNCTION("""COMPUTED_VALUE"""),2.1008005464614135)</f>
        <v>2.100800546</v>
      </c>
      <c r="AV231" s="32">
        <f>IFERROR(__xludf.DUMMYFUNCTION("""COMPUTED_VALUE"""),43.708557021901484)</f>
        <v>43.70855702</v>
      </c>
      <c r="AW231" s="32">
        <f>IFERROR(__xludf.DUMMYFUNCTION("""COMPUTED_VALUE"""),-2.4959265213583803)</f>
        <v>-2.495926521</v>
      </c>
      <c r="AX231" s="32">
        <f>IFERROR(__xludf.DUMMYFUNCTION("""COMPUTED_VALUE"""),37.841084931455015)</f>
        <v>37.84108493</v>
      </c>
      <c r="AY231" s="32">
        <f>IFERROR(__xludf.DUMMYFUNCTION("""COMPUTED_VALUE"""),-3.1912465186289842)</f>
        <v>-3.191246519</v>
      </c>
      <c r="AZ231" s="30">
        <f>IFERROR(__xludf.DUMMYFUNCTION("""COMPUTED_VALUE"""),0.6953199972706039)</f>
        <v>0.6953199973</v>
      </c>
      <c r="BA231" s="30">
        <f>IFERROR(__xludf.DUMMYFUNCTION("""COMPUTED_VALUE"""),800.0)</f>
        <v>800</v>
      </c>
    </row>
    <row r="232">
      <c r="A232" s="30" t="str">
        <f>IFERROR(__xludf.DUMMYFUNCTION("""COMPUTED_VALUE"""),"Elite")</f>
        <v>Elite</v>
      </c>
      <c r="B232" s="30" t="str">
        <f>IFERROR(__xludf.DUMMYFUNCTION("""COMPUTED_VALUE"""),"RSC006745")</f>
        <v>RSC006745</v>
      </c>
      <c r="C232" s="30" t="str">
        <f>IFERROR(__xludf.DUMMYFUNCTION("""COMPUTED_VALUE"""),"Angel &lt;3")</f>
        <v>Angel &lt;3</v>
      </c>
      <c r="D232" s="30" t="str">
        <f>IFERROR(__xludf.DUMMYFUNCTION("""COMPUTED_VALUE"""),"Majesties")</f>
        <v>Majesties</v>
      </c>
      <c r="E232" s="30">
        <f>IFERROR(__xludf.DUMMYFUNCTION("""COMPUTED_VALUE"""),31.0)</f>
        <v>31</v>
      </c>
      <c r="F232" s="30">
        <f>IFERROR(__xludf.DUMMYFUNCTION("""COMPUTED_VALUE"""),9.0)</f>
        <v>9</v>
      </c>
      <c r="G232" s="30">
        <f>IFERROR(__xludf.DUMMYFUNCTION("""COMPUTED_VALUE"""),22.0)</f>
        <v>22</v>
      </c>
      <c r="H232" s="42">
        <f>IFERROR(__xludf.DUMMYFUNCTION("""COMPUTED_VALUE"""),0.2903225806451613)</f>
        <v>0.2903225806</v>
      </c>
      <c r="I232" s="42">
        <f>IFERROR(__xludf.DUMMYFUNCTION("""COMPUTED_VALUE"""),0.23170731707317074)</f>
        <v>0.2317073171</v>
      </c>
      <c r="J232" s="30">
        <f>IFERROR(__xludf.DUMMYFUNCTION("""COMPUTED_VALUE"""),326.5483870967742)</f>
        <v>326.5483871</v>
      </c>
      <c r="K232" s="30">
        <f>IFERROR(__xludf.DUMMYFUNCTION("""COMPUTED_VALUE"""),0.6129032258064516)</f>
        <v>0.6129032258</v>
      </c>
      <c r="L232" s="30">
        <f>IFERROR(__xludf.DUMMYFUNCTION("""COMPUTED_VALUE"""),0.4838709677419355)</f>
        <v>0.4838709677</v>
      </c>
      <c r="M232" s="30">
        <f>IFERROR(__xludf.DUMMYFUNCTION("""COMPUTED_VALUE"""),1.3870967741935485)</f>
        <v>1.387096774</v>
      </c>
      <c r="N232" s="30">
        <f>IFERROR(__xludf.DUMMYFUNCTION("""COMPUTED_VALUE"""),2.6451612903225805)</f>
        <v>2.64516129</v>
      </c>
      <c r="O232" s="30">
        <f>IFERROR(__xludf.DUMMYFUNCTION("""COMPUTED_VALUE"""),406.74193548387103)</f>
        <v>406.7419355</v>
      </c>
      <c r="P232" s="30">
        <f>IFERROR(__xludf.DUMMYFUNCTION("""COMPUTED_VALUE"""),1.1075268817204302)</f>
        <v>1.107526882</v>
      </c>
      <c r="Q232" s="30">
        <f>IFERROR(__xludf.DUMMYFUNCTION("""COMPUTED_VALUE"""),0.817204301075269)</f>
        <v>0.8172043011</v>
      </c>
      <c r="R232" s="30">
        <f>IFERROR(__xludf.DUMMYFUNCTION("""COMPUTED_VALUE"""),1.32258064516129)</f>
        <v>1.322580645</v>
      </c>
      <c r="S232" s="30">
        <f>IFERROR(__xludf.DUMMYFUNCTION("""COMPUTED_VALUE"""),3.10752688172043)</f>
        <v>3.107526882</v>
      </c>
      <c r="T232" s="30">
        <f>IFERROR(__xludf.DUMMYFUNCTION("""COMPUTED_VALUE"""),370.48804815936336)</f>
        <v>370.4880482</v>
      </c>
      <c r="U232" s="30">
        <f>IFERROR(__xludf.DUMMYFUNCTION("""COMPUTED_VALUE"""),0.8285623733286324)</f>
        <v>0.8285623733</v>
      </c>
      <c r="V232" s="30">
        <f>IFERROR(__xludf.DUMMYFUNCTION("""COMPUTED_VALUE"""),0.6141577118930065)</f>
        <v>0.6141577119</v>
      </c>
      <c r="W232" s="30">
        <f>IFERROR(__xludf.DUMMYFUNCTION("""COMPUTED_VALUE"""),1.3984777563276238)</f>
        <v>1.398477756</v>
      </c>
      <c r="X232" s="30">
        <f>IFERROR(__xludf.DUMMYFUNCTION("""COMPUTED_VALUE"""),2.837186525257015)</f>
        <v>2.837186525</v>
      </c>
      <c r="Y232" s="30">
        <f>IFERROR(__xludf.DUMMYFUNCTION("""COMPUTED_VALUE"""),357.7207468856544)</f>
        <v>357.7207469</v>
      </c>
      <c r="Z232" s="30">
        <f>IFERROR(__xludf.DUMMYFUNCTION("""COMPUTED_VALUE"""),0.7231649966116033)</f>
        <v>0.7231649966</v>
      </c>
      <c r="AA232" s="30">
        <f>IFERROR(__xludf.DUMMYFUNCTION("""COMPUTED_VALUE"""),0.538809343916897)</f>
        <v>0.5388093439</v>
      </c>
      <c r="AB232" s="30">
        <f>IFERROR(__xludf.DUMMYFUNCTION("""COMPUTED_VALUE"""),1.4962964883843894)</f>
        <v>1.496296488</v>
      </c>
      <c r="AC232" s="30">
        <f>IFERROR(__xludf.DUMMYFUNCTION("""COMPUTED_VALUE"""),2.5602319132403912)</f>
        <v>2.560231913</v>
      </c>
      <c r="AD232" s="30">
        <f>IFERROR(__xludf.DUMMYFUNCTION("""COMPUTED_VALUE"""),0.9128583956612266)</f>
        <v>0.9128583957</v>
      </c>
      <c r="AE232" s="30">
        <f>IFERROR(__xludf.DUMMYFUNCTION("""COMPUTED_VALUE"""),0.8475288885361096)</f>
        <v>0.8475288885</v>
      </c>
      <c r="AF232" s="30">
        <f>IFERROR(__xludf.DUMMYFUNCTION("""COMPUTED_VALUE"""),0.8980374472061217)</f>
        <v>0.8980374472</v>
      </c>
      <c r="AG232" s="30">
        <f>IFERROR(__xludf.DUMMYFUNCTION("""COMPUTED_VALUE"""),0.9270200023601284)</f>
        <v>0.9270200024</v>
      </c>
      <c r="AH232" s="30">
        <f>IFERROR(__xludf.DUMMYFUNCTION("""COMPUTED_VALUE"""),1.0331725327861792)</f>
        <v>1.033172533</v>
      </c>
      <c r="AI232" s="30">
        <f>IFERROR(__xludf.DUMMYFUNCTION("""COMPUTED_VALUE"""),1.0978544044932679)</f>
        <v>1.097854404</v>
      </c>
      <c r="AJ232" s="30">
        <f>IFERROR(__xludf.DUMMYFUNCTION("""COMPUTED_VALUE"""),1.3366849827745584)</f>
        <v>1.336684983</v>
      </c>
      <c r="AK232" s="30">
        <f>IFERROR(__xludf.DUMMYFUNCTION("""COMPUTED_VALUE"""),1.3306098502881547)</f>
        <v>1.33060985</v>
      </c>
      <c r="AL232" s="30">
        <f>IFERROR(__xludf.DUMMYFUNCTION("""COMPUTED_VALUE"""),0.9457287677098003)</f>
        <v>0.9457287677</v>
      </c>
      <c r="AM232" s="30">
        <f>IFERROR(__xludf.DUMMYFUNCTION("""COMPUTED_VALUE"""),1.0952846610742046)</f>
        <v>1.095284661</v>
      </c>
      <c r="AN232" s="30">
        <f>IFERROR(__xludf.DUMMYFUNCTION("""COMPUTED_VALUE"""),0.9258299637922249)</f>
        <v>0.9258299638</v>
      </c>
      <c r="AO232" s="30">
        <f>IFERROR(__xludf.DUMMYFUNCTION("""COMPUTED_VALUE"""),0.8593867889605682)</f>
        <v>0.859386789</v>
      </c>
      <c r="AP232" s="30">
        <f>IFERROR(__xludf.DUMMYFUNCTION("""COMPUTED_VALUE"""),0.8414028719844123)</f>
        <v>0.841402872</v>
      </c>
      <c r="AQ232" s="30">
        <f>IFERROR(__xludf.DUMMYFUNCTION("""COMPUTED_VALUE"""),0.9723654720750526)</f>
        <v>0.9723654721</v>
      </c>
      <c r="AR232" s="30">
        <f>IFERROR(__xludf.DUMMYFUNCTION("""COMPUTED_VALUE"""),1.0500378523151523)</f>
        <v>1.050037852</v>
      </c>
      <c r="AS232" s="30">
        <f>IFERROR(__xludf.DUMMYFUNCTION("""COMPUTED_VALUE"""),59.0)</f>
        <v>59</v>
      </c>
      <c r="AT232" s="30">
        <f>IFERROR(__xludf.DUMMYFUNCTION("""COMPUTED_VALUE"""),0.28995535249511195)</f>
        <v>0.2899553525</v>
      </c>
      <c r="AU232" s="30">
        <f>IFERROR(__xludf.DUMMYFUNCTION("""COMPUTED_VALUE"""),1.8819907810688616)</f>
        <v>1.881990781</v>
      </c>
      <c r="AV232" s="32">
        <f>IFERROR(__xludf.DUMMYFUNCTION("""COMPUTED_VALUE"""),37.56012096459261)</f>
        <v>37.56012096</v>
      </c>
      <c r="AW232" s="32">
        <f>IFERROR(__xludf.DUMMYFUNCTION("""COMPUTED_VALUE"""),-3.2322218132696006)</f>
        <v>-3.232221813</v>
      </c>
      <c r="AX232" s="32">
        <f>IFERROR(__xludf.DUMMYFUNCTION("""COMPUTED_VALUE"""),34.02666027943197)</f>
        <v>34.02666028</v>
      </c>
      <c r="AY232" s="32">
        <f>IFERROR(__xludf.DUMMYFUNCTION("""COMPUTED_VALUE"""),-3.8250708210869715)</f>
        <v>-3.825070821</v>
      </c>
      <c r="AZ232" s="30">
        <f>IFERROR(__xludf.DUMMYFUNCTION("""COMPUTED_VALUE"""),0.5928490078173709)</f>
        <v>0.5928490078</v>
      </c>
      <c r="BA232" s="30">
        <f>IFERROR(__xludf.DUMMYFUNCTION("""COMPUTED_VALUE"""),800.0)</f>
        <v>800</v>
      </c>
    </row>
    <row r="233">
      <c r="A233" s="30" t="str">
        <f>IFERROR(__xludf.DUMMYFUNCTION("""COMPUTED_VALUE"""),"Elite")</f>
        <v>Elite</v>
      </c>
      <c r="B233" s="30" t="str">
        <f>IFERROR(__xludf.DUMMYFUNCTION("""COMPUTED_VALUE"""),"RSC006468")</f>
        <v>RSC006468</v>
      </c>
      <c r="C233" s="30" t="str">
        <f>IFERROR(__xludf.DUMMYFUNCTION("""COMPUTED_VALUE"""),"AlphaChuck")</f>
        <v>AlphaChuck</v>
      </c>
      <c r="D233" s="30" t="str">
        <f>IFERROR(__xludf.DUMMYFUNCTION("""COMPUTED_VALUE"""),"Teddy Bears")</f>
        <v>Teddy Bears</v>
      </c>
      <c r="E233" s="30">
        <f>IFERROR(__xludf.DUMMYFUNCTION("""COMPUTED_VALUE"""),29.0)</f>
        <v>29</v>
      </c>
      <c r="F233" s="30">
        <f>IFERROR(__xludf.DUMMYFUNCTION("""COMPUTED_VALUE"""),15.0)</f>
        <v>15</v>
      </c>
      <c r="G233" s="30">
        <f>IFERROR(__xludf.DUMMYFUNCTION("""COMPUTED_VALUE"""),14.0)</f>
        <v>14</v>
      </c>
      <c r="H233" s="42">
        <f>IFERROR(__xludf.DUMMYFUNCTION("""COMPUTED_VALUE"""),0.5172413793103449)</f>
        <v>0.5172413793</v>
      </c>
      <c r="I233" s="42">
        <f>IFERROR(__xludf.DUMMYFUNCTION("""COMPUTED_VALUE"""),0.28787878787878785)</f>
        <v>0.2878787879</v>
      </c>
      <c r="J233" s="30">
        <f>IFERROR(__xludf.DUMMYFUNCTION("""COMPUTED_VALUE"""),332.2068965517241)</f>
        <v>332.2068966</v>
      </c>
      <c r="K233" s="30">
        <f>IFERROR(__xludf.DUMMYFUNCTION("""COMPUTED_VALUE"""),0.6551724137931034)</f>
        <v>0.6551724138</v>
      </c>
      <c r="L233" s="30">
        <f>IFERROR(__xludf.DUMMYFUNCTION("""COMPUTED_VALUE"""),0.5517241379310345)</f>
        <v>0.5517241379</v>
      </c>
      <c r="M233" s="30">
        <f>IFERROR(__xludf.DUMMYFUNCTION("""COMPUTED_VALUE"""),1.4137931034482758)</f>
        <v>1.413793103</v>
      </c>
      <c r="N233" s="30">
        <f>IFERROR(__xludf.DUMMYFUNCTION("""COMPUTED_VALUE"""),2.2758620689655173)</f>
        <v>2.275862069</v>
      </c>
      <c r="O233" s="30">
        <f>IFERROR(__xludf.DUMMYFUNCTION("""COMPUTED_VALUE"""),352.4137931034483)</f>
        <v>352.4137931</v>
      </c>
      <c r="P233" s="30">
        <f>IFERROR(__xludf.DUMMYFUNCTION("""COMPUTED_VALUE"""),0.7586206896551727)</f>
        <v>0.7586206897</v>
      </c>
      <c r="Q233" s="30">
        <f>IFERROR(__xludf.DUMMYFUNCTION("""COMPUTED_VALUE"""),0.574712643678161)</f>
        <v>0.5747126437</v>
      </c>
      <c r="R233" s="30">
        <f>IFERROR(__xludf.DUMMYFUNCTION("""COMPUTED_VALUE"""),1.4022988505747125)</f>
        <v>1.402298851</v>
      </c>
      <c r="S233" s="30">
        <f>IFERROR(__xludf.DUMMYFUNCTION("""COMPUTED_VALUE"""),2.4597701149425286)</f>
        <v>2.459770115</v>
      </c>
      <c r="T233" s="30">
        <f>IFERROR(__xludf.DUMMYFUNCTION("""COMPUTED_VALUE"""),359.23448633086605)</f>
        <v>359.2344863</v>
      </c>
      <c r="U233" s="30">
        <f>IFERROR(__xludf.DUMMYFUNCTION("""COMPUTED_VALUE"""),0.7698938120582336)</f>
        <v>0.7698938121</v>
      </c>
      <c r="V233" s="30">
        <f>IFERROR(__xludf.DUMMYFUNCTION("""COMPUTED_VALUE"""),0.561208752445353)</f>
        <v>0.5612087524</v>
      </c>
      <c r="W233" s="30">
        <f>IFERROR(__xludf.DUMMYFUNCTION("""COMPUTED_VALUE"""),1.47230467094035)</f>
        <v>1.472304671</v>
      </c>
      <c r="X233" s="30">
        <f>IFERROR(__xludf.DUMMYFUNCTION("""COMPUTED_VALUE"""),2.5753884297755074)</f>
        <v>2.57538843</v>
      </c>
      <c r="Y233" s="30">
        <f>IFERROR(__xludf.DUMMYFUNCTION("""COMPUTED_VALUE"""),373.6671107609873)</f>
        <v>373.6671108</v>
      </c>
      <c r="Z233" s="30">
        <f>IFERROR(__xludf.DUMMYFUNCTION("""COMPUTED_VALUE"""),0.8804665700255045)</f>
        <v>0.88046657</v>
      </c>
      <c r="AA233" s="30">
        <f>IFERROR(__xludf.DUMMYFUNCTION("""COMPUTED_VALUE"""),0.6548497128179084)</f>
        <v>0.6548497128</v>
      </c>
      <c r="AB233" s="30">
        <f>IFERROR(__xludf.DUMMYFUNCTION("""COMPUTED_VALUE"""),1.364103804514083)</f>
        <v>1.364103805</v>
      </c>
      <c r="AC233" s="30">
        <f>IFERROR(__xludf.DUMMYFUNCTION("""COMPUTED_VALUE"""),2.8056116935809907)</f>
        <v>2.805611694</v>
      </c>
      <c r="AD233" s="30">
        <f>IFERROR(__xludf.DUMMYFUNCTION("""COMPUTED_VALUE"""),0.8890450536981221)</f>
        <v>0.8890450537</v>
      </c>
      <c r="AE233" s="30">
        <f>IFERROR(__xludf.DUMMYFUNCTION("""COMPUTED_VALUE"""),0.7441195794340323)</f>
        <v>0.7441195794</v>
      </c>
      <c r="AF233" s="30">
        <f>IFERROR(__xludf.DUMMYFUNCTION("""COMPUTED_VALUE"""),0.8425202411052295)</f>
        <v>0.8425202411</v>
      </c>
      <c r="AG233" s="30">
        <f>IFERROR(__xludf.DUMMYFUNCTION("""COMPUTED_VALUE"""),1.0364263326366816)</f>
        <v>1.036426333</v>
      </c>
      <c r="AH233" s="30">
        <f>IFERROR(__xludf.DUMMYFUNCTION("""COMPUTED_VALUE"""),0.8111821297909839)</f>
        <v>0.8111821298</v>
      </c>
      <c r="AI233" s="30">
        <f>IFERROR(__xludf.DUMMYFUNCTION("""COMPUTED_VALUE"""),0.9810132560014417)</f>
        <v>0.981013256</v>
      </c>
      <c r="AJ233" s="30">
        <f>IFERROR(__xludf.DUMMYFUNCTION("""COMPUTED_VALUE"""),0.9853575620085537)</f>
        <v>0.985357562</v>
      </c>
      <c r="AK233" s="30">
        <f>IFERROR(__xludf.DUMMYFUNCTION("""COMPUTED_VALUE"""),1.024062153653106)</f>
        <v>1.024062154</v>
      </c>
      <c r="AL233" s="30">
        <f>IFERROR(__xludf.DUMMYFUNCTION("""COMPUTED_VALUE"""),0.9524515395845852)</f>
        <v>0.9524515396</v>
      </c>
      <c r="AM233" s="30">
        <f>IFERROR(__xludf.DUMMYFUNCTION("""COMPUTED_VALUE"""),0.955106455594717)</f>
        <v>0.9551064556</v>
      </c>
      <c r="AN233" s="30">
        <f>IFERROR(__xludf.DUMMYFUNCTION("""COMPUTED_VALUE"""),0.941872969395072)</f>
        <v>0.9418729694</v>
      </c>
      <c r="AO233" s="30">
        <f>IFERROR(__xludf.DUMMYFUNCTION("""COMPUTED_VALUE"""),0.9186548433716418)</f>
        <v>0.9186548434</v>
      </c>
      <c r="AP233" s="30">
        <f>IFERROR(__xludf.DUMMYFUNCTION("""COMPUTED_VALUE"""),0.9593927000098127)</f>
        <v>0.9593927</v>
      </c>
      <c r="AQ233" s="30">
        <f>IFERROR(__xludf.DUMMYFUNCTION("""COMPUTED_VALUE"""),0.991079803534396)</f>
        <v>0.9910798035</v>
      </c>
      <c r="AR233" s="30">
        <f>IFERROR(__xludf.DUMMYFUNCTION("""COMPUTED_VALUE"""),0.9034387913527343)</f>
        <v>0.9034387914</v>
      </c>
      <c r="AS233" s="30">
        <f>IFERROR(__xludf.DUMMYFUNCTION("""COMPUTED_VALUE"""),61.0)</f>
        <v>61</v>
      </c>
      <c r="AT233" s="30">
        <f>IFERROR(__xludf.DUMMYFUNCTION("""COMPUTED_VALUE"""),0.469944748157903)</f>
        <v>0.4699447482</v>
      </c>
      <c r="AU233" s="30">
        <f>IFERROR(__xludf.DUMMYFUNCTION("""COMPUTED_VALUE"""),1.996540082910564)</f>
        <v>1.996540083</v>
      </c>
      <c r="AV233" s="32">
        <f>IFERROR(__xludf.DUMMYFUNCTION("""COMPUTED_VALUE"""),40.77889438871079)</f>
        <v>40.77889439</v>
      </c>
      <c r="AW233" s="32">
        <f>IFERROR(__xludf.DUMMYFUNCTION("""COMPUTED_VALUE"""),-2.808027098206115)</f>
        <v>-2.808027098</v>
      </c>
      <c r="AX233" s="32">
        <f>IFERROR(__xludf.DUMMYFUNCTION("""COMPUTED_VALUE"""),46.443127786407416)</f>
        <v>46.44312779</v>
      </c>
      <c r="AY233" s="32">
        <f>IFERROR(__xludf.DUMMYFUNCTION("""COMPUTED_VALUE"""),-2.255140048552433)</f>
        <v>-2.255140049</v>
      </c>
      <c r="AZ233" s="30">
        <f>IFERROR(__xludf.DUMMYFUNCTION("""COMPUTED_VALUE"""),0.5528870496536817)</f>
        <v>0.5528870497</v>
      </c>
      <c r="BA233" s="30">
        <f>IFERROR(__xludf.DUMMYFUNCTION("""COMPUTED_VALUE"""),800.0)</f>
        <v>800</v>
      </c>
    </row>
    <row r="234">
      <c r="A234" s="30" t="str">
        <f>IFERROR(__xludf.DUMMYFUNCTION("""COMPUTED_VALUE"""),"Elite")</f>
        <v>Elite</v>
      </c>
      <c r="B234" s="30" t="str">
        <f>IFERROR(__xludf.DUMMYFUNCTION("""COMPUTED_VALUE"""),"RSC007642")</f>
        <v>RSC007642</v>
      </c>
      <c r="C234" s="30" t="str">
        <f>IFERROR(__xludf.DUMMYFUNCTION("""COMPUTED_VALUE"""),"Luminati7")</f>
        <v>Luminati7</v>
      </c>
      <c r="D234" s="30"/>
      <c r="E234" s="30">
        <f>IFERROR(__xludf.DUMMYFUNCTION("""COMPUTED_VALUE"""),8.0)</f>
        <v>8</v>
      </c>
      <c r="F234" s="30">
        <f>IFERROR(__xludf.DUMMYFUNCTION("""COMPUTED_VALUE"""),2.0)</f>
        <v>2</v>
      </c>
      <c r="G234" s="30">
        <f>IFERROR(__xludf.DUMMYFUNCTION("""COMPUTED_VALUE"""),6.0)</f>
        <v>6</v>
      </c>
      <c r="H234" s="42">
        <f>IFERROR(__xludf.DUMMYFUNCTION("""COMPUTED_VALUE"""),0.25)</f>
        <v>0.25</v>
      </c>
      <c r="I234" s="42">
        <f>IFERROR(__xludf.DUMMYFUNCTION("""COMPUTED_VALUE"""),0.35294117647058826)</f>
        <v>0.3529411765</v>
      </c>
      <c r="J234" s="30">
        <f>IFERROR(__xludf.DUMMYFUNCTION("""COMPUTED_VALUE"""),458.25)</f>
        <v>458.25</v>
      </c>
      <c r="K234" s="30">
        <f>IFERROR(__xludf.DUMMYFUNCTION("""COMPUTED_VALUE"""),0.75)</f>
        <v>0.75</v>
      </c>
      <c r="L234" s="30">
        <f>IFERROR(__xludf.DUMMYFUNCTION("""COMPUTED_VALUE"""),0.25)</f>
        <v>0.25</v>
      </c>
      <c r="M234" s="30">
        <f>IFERROR(__xludf.DUMMYFUNCTION("""COMPUTED_VALUE"""),2.75)</f>
        <v>2.75</v>
      </c>
      <c r="N234" s="30">
        <f>IFERROR(__xludf.DUMMYFUNCTION("""COMPUTED_VALUE"""),2.125)</f>
        <v>2.125</v>
      </c>
      <c r="O234" s="30">
        <f>IFERROR(__xludf.DUMMYFUNCTION("""COMPUTED_VALUE"""),427.9166666666667)</f>
        <v>427.9166667</v>
      </c>
      <c r="P234" s="30">
        <f>IFERROR(__xludf.DUMMYFUNCTION("""COMPUTED_VALUE"""),0.9166666666666666)</f>
        <v>0.9166666667</v>
      </c>
      <c r="Q234" s="30">
        <f>IFERROR(__xludf.DUMMYFUNCTION("""COMPUTED_VALUE"""),0.7916666666666666)</f>
        <v>0.7916666667</v>
      </c>
      <c r="R234" s="30">
        <f>IFERROR(__xludf.DUMMYFUNCTION("""COMPUTED_VALUE"""),1.5416666666666667)</f>
        <v>1.541666667</v>
      </c>
      <c r="S234" s="30">
        <f>IFERROR(__xludf.DUMMYFUNCTION("""COMPUTED_VALUE"""),3.791666666666667)</f>
        <v>3.791666667</v>
      </c>
      <c r="T234" s="30">
        <f>IFERROR(__xludf.DUMMYFUNCTION("""COMPUTED_VALUE"""),366.1631117724868)</f>
        <v>366.1631118</v>
      </c>
      <c r="U234" s="30">
        <f>IFERROR(__xludf.DUMMYFUNCTION("""COMPUTED_VALUE"""),0.802827380952381)</f>
        <v>0.802827381</v>
      </c>
      <c r="V234" s="30">
        <f>IFERROR(__xludf.DUMMYFUNCTION("""COMPUTED_VALUE"""),0.6767526455026455)</f>
        <v>0.6767526455</v>
      </c>
      <c r="W234" s="30">
        <f>IFERROR(__xludf.DUMMYFUNCTION("""COMPUTED_VALUE"""),1.3192791005291007)</f>
        <v>1.319279101</v>
      </c>
      <c r="X234" s="30">
        <f>IFERROR(__xludf.DUMMYFUNCTION("""COMPUTED_VALUE"""),2.839368386243386)</f>
        <v>2.839368386</v>
      </c>
      <c r="Y234" s="30">
        <f>IFERROR(__xludf.DUMMYFUNCTION("""COMPUTED_VALUE"""),349.21563602292775)</f>
        <v>349.215636</v>
      </c>
      <c r="Z234" s="30">
        <f>IFERROR(__xludf.DUMMYFUNCTION("""COMPUTED_VALUE"""),0.6552303791887125)</f>
        <v>0.6552303792</v>
      </c>
      <c r="AA234" s="30">
        <f>IFERROR(__xludf.DUMMYFUNCTION("""COMPUTED_VALUE"""),0.48360339506172845)</f>
        <v>0.4836033951</v>
      </c>
      <c r="AB234" s="30">
        <f>IFERROR(__xludf.DUMMYFUNCTION("""COMPUTED_VALUE"""),1.5964781746031746)</f>
        <v>1.596478175</v>
      </c>
      <c r="AC234" s="30">
        <f>IFERROR(__xludf.DUMMYFUNCTION("""COMPUTED_VALUE"""),2.4321814373897706)</f>
        <v>2.432181437</v>
      </c>
      <c r="AD234" s="30">
        <f>IFERROR(__xludf.DUMMYFUNCTION("""COMPUTED_VALUE"""),1.312226466199565)</f>
        <v>1.312226466</v>
      </c>
      <c r="AE234" s="30">
        <f>IFERROR(__xludf.DUMMYFUNCTION("""COMPUTED_VALUE"""),1.1446355721916137)</f>
        <v>1.144635572</v>
      </c>
      <c r="AF234" s="30">
        <f>IFERROR(__xludf.DUMMYFUNCTION("""COMPUTED_VALUE"""),0.5169525329078579)</f>
        <v>0.5169525329</v>
      </c>
      <c r="AG234" s="30">
        <f>IFERROR(__xludf.DUMMYFUNCTION("""COMPUTED_VALUE"""),1.7225415566257574)</f>
        <v>1.722541557</v>
      </c>
      <c r="AH234" s="30">
        <f>IFERROR(__xludf.DUMMYFUNCTION("""COMPUTED_VALUE"""),0.8737012655933106)</f>
        <v>0.8737012656</v>
      </c>
      <c r="AI234" s="30">
        <f>IFERROR(__xludf.DUMMYFUNCTION("""COMPUTED_VALUE"""),1.1686503989854393)</f>
        <v>1.168650399</v>
      </c>
      <c r="AJ234" s="30">
        <f>IFERROR(__xludf.DUMMYFUNCTION("""COMPUTED_VALUE"""),1.1417979610750693)</f>
        <v>1.141797961</v>
      </c>
      <c r="AK234" s="30">
        <f>IFERROR(__xludf.DUMMYFUNCTION("""COMPUTED_VALUE"""),1.169802101148302)</f>
        <v>1.169802101</v>
      </c>
      <c r="AL234" s="30">
        <f>IFERROR(__xludf.DUMMYFUNCTION("""COMPUTED_VALUE"""),1.1685674896603584)</f>
        <v>1.16856749</v>
      </c>
      <c r="AM234" s="30">
        <f>IFERROR(__xludf.DUMMYFUNCTION("""COMPUTED_VALUE"""),1.335390886591935)</f>
        <v>1.335390887</v>
      </c>
      <c r="AN234" s="30">
        <f>IFERROR(__xludf.DUMMYFUNCTION("""COMPUTED_VALUE"""),1.2992303672963943)</f>
        <v>1.299230367</v>
      </c>
      <c r="AO234" s="30">
        <f>IFERROR(__xludf.DUMMYFUNCTION("""COMPUTED_VALUE"""),1.0516180443859584)</f>
        <v>1.051618044</v>
      </c>
      <c r="AP234" s="30">
        <f>IFERROR(__xludf.DUMMYFUNCTION("""COMPUTED_VALUE"""),0.4347248171919464)</f>
        <v>0.4347248172</v>
      </c>
      <c r="AQ234" s="30">
        <f>IFERROR(__xludf.DUMMYFUNCTION("""COMPUTED_VALUE"""),1.927771081265075)</f>
        <v>1.927771081</v>
      </c>
      <c r="AR234" s="30">
        <f>IFERROR(__xludf.DUMMYFUNCTION("""COMPUTED_VALUE"""),0.8435517502592764)</f>
        <v>0.8435517503</v>
      </c>
      <c r="AS234" s="30">
        <f>IFERROR(__xludf.DUMMYFUNCTION("""COMPUTED_VALUE"""),13.0)</f>
        <v>13</v>
      </c>
      <c r="AT234" s="30">
        <f>IFERROR(__xludf.DUMMYFUNCTION("""COMPUTED_VALUE"""),0.3092625416068513)</f>
        <v>0.3092625416</v>
      </c>
      <c r="AU234" s="30">
        <f>IFERROR(__xludf.DUMMYFUNCTION("""COMPUTED_VALUE"""),2.0862951947209365)</f>
        <v>2.086295195</v>
      </c>
      <c r="AV234" s="32">
        <f>IFERROR(__xludf.DUMMYFUNCTION("""COMPUTED_VALUE"""),43.300964483674974)</f>
        <v>43.30096448</v>
      </c>
      <c r="AW234" s="32">
        <f>IFERROR(__xludf.DUMMYFUNCTION("""COMPUTED_VALUE"""),-2.5357251503971163)</f>
        <v>-2.53572515</v>
      </c>
      <c r="AX234" s="32">
        <f>IFERROR(__xludf.DUMMYFUNCTION("""COMPUTED_VALUE"""),38.65822490672755)</f>
        <v>38.65822491</v>
      </c>
      <c r="AY234" s="32">
        <f>IFERROR(__xludf.DUMMYFUNCTION("""COMPUTED_VALUE"""),-3.076612386343558)</f>
        <v>-3.076612386</v>
      </c>
      <c r="AZ234" s="30">
        <f>IFERROR(__xludf.DUMMYFUNCTION("""COMPUTED_VALUE"""),0.5408872359464416)</f>
        <v>0.5408872359</v>
      </c>
      <c r="BA234" s="30">
        <f>IFERROR(__xludf.DUMMYFUNCTION("""COMPUTED_VALUE"""),800.0)</f>
        <v>800</v>
      </c>
    </row>
    <row r="235">
      <c r="A235" s="30" t="str">
        <f>IFERROR(__xludf.DUMMYFUNCTION("""COMPUTED_VALUE"""),"Elite")</f>
        <v>Elite</v>
      </c>
      <c r="B235" s="30" t="str">
        <f>IFERROR(__xludf.DUMMYFUNCTION("""COMPUTED_VALUE"""),"RSC005508")</f>
        <v>RSC005508</v>
      </c>
      <c r="C235" s="30" t="str">
        <f>IFERROR(__xludf.DUMMYFUNCTION("""COMPUTED_VALUE"""),"Lil Windex")</f>
        <v>Lil Windex</v>
      </c>
      <c r="D235" s="30" t="str">
        <f>IFERROR(__xludf.DUMMYFUNCTION("""COMPUTED_VALUE"""),"Cyclones")</f>
        <v>Cyclones</v>
      </c>
      <c r="E235" s="30">
        <f>IFERROR(__xludf.DUMMYFUNCTION("""COMPUTED_VALUE"""),28.0)</f>
        <v>28</v>
      </c>
      <c r="F235" s="30">
        <f>IFERROR(__xludf.DUMMYFUNCTION("""COMPUTED_VALUE"""),15.0)</f>
        <v>15</v>
      </c>
      <c r="G235" s="30">
        <f>IFERROR(__xludf.DUMMYFUNCTION("""COMPUTED_VALUE"""),13.0)</f>
        <v>13</v>
      </c>
      <c r="H235" s="42">
        <f>IFERROR(__xludf.DUMMYFUNCTION("""COMPUTED_VALUE"""),0.5357142857142857)</f>
        <v>0.5357142857</v>
      </c>
      <c r="I235" s="42">
        <f>IFERROR(__xludf.DUMMYFUNCTION("""COMPUTED_VALUE"""),0.22058823529411767)</f>
        <v>0.2205882353</v>
      </c>
      <c r="J235" s="30">
        <f>IFERROR(__xludf.DUMMYFUNCTION("""COMPUTED_VALUE"""),364.85714285714283)</f>
        <v>364.8571429</v>
      </c>
      <c r="K235" s="30">
        <f>IFERROR(__xludf.DUMMYFUNCTION("""COMPUTED_VALUE"""),0.5357142857142857)</f>
        <v>0.5357142857</v>
      </c>
      <c r="L235" s="30">
        <f>IFERROR(__xludf.DUMMYFUNCTION("""COMPUTED_VALUE"""),0.6785714285714286)</f>
        <v>0.6785714286</v>
      </c>
      <c r="M235" s="30">
        <f>IFERROR(__xludf.DUMMYFUNCTION("""COMPUTED_VALUE"""),1.7142857142857142)</f>
        <v>1.714285714</v>
      </c>
      <c r="N235" s="30">
        <f>IFERROR(__xludf.DUMMYFUNCTION("""COMPUTED_VALUE"""),2.4285714285714284)</f>
        <v>2.428571429</v>
      </c>
      <c r="O235" s="30">
        <f>IFERROR(__xludf.DUMMYFUNCTION("""COMPUTED_VALUE"""),359.3690476190476)</f>
        <v>359.3690476</v>
      </c>
      <c r="P235" s="30">
        <f>IFERROR(__xludf.DUMMYFUNCTION("""COMPUTED_VALUE"""),0.7380952380952381)</f>
        <v>0.7380952381</v>
      </c>
      <c r="Q235" s="30">
        <f>IFERROR(__xludf.DUMMYFUNCTION("""COMPUTED_VALUE"""),0.4999999999999999)</f>
        <v>0.5</v>
      </c>
      <c r="R235" s="30">
        <f>IFERROR(__xludf.DUMMYFUNCTION("""COMPUTED_VALUE"""),1.5476190476190474)</f>
        <v>1.547619048</v>
      </c>
      <c r="S235" s="30">
        <f>IFERROR(__xludf.DUMMYFUNCTION("""COMPUTED_VALUE"""),2.6428571428571432)</f>
        <v>2.642857143</v>
      </c>
      <c r="T235" s="30">
        <f>IFERROR(__xludf.DUMMYFUNCTION("""COMPUTED_VALUE"""),361.0189365930826)</f>
        <v>361.0189366</v>
      </c>
      <c r="U235" s="30">
        <f>IFERROR(__xludf.DUMMYFUNCTION("""COMPUTED_VALUE"""),0.7473738232666809)</f>
        <v>0.7473738233</v>
      </c>
      <c r="V235" s="30">
        <f>IFERROR(__xludf.DUMMYFUNCTION("""COMPUTED_VALUE"""),0.499081599042779)</f>
        <v>0.499081599</v>
      </c>
      <c r="W235" s="30">
        <f>IFERROR(__xludf.DUMMYFUNCTION("""COMPUTED_VALUE"""),1.5870791992686395)</f>
        <v>1.587079199</v>
      </c>
      <c r="X235" s="30">
        <f>IFERROR(__xludf.DUMMYFUNCTION("""COMPUTED_VALUE"""),2.5526620837179834)</f>
        <v>2.552662084</v>
      </c>
      <c r="Y235" s="30">
        <f>IFERROR(__xludf.DUMMYFUNCTION("""COMPUTED_VALUE"""),375.41745921578985)</f>
        <v>375.4174592</v>
      </c>
      <c r="Z235" s="30">
        <f>IFERROR(__xludf.DUMMYFUNCTION("""COMPUTED_VALUE"""),0.8536466409137216)</f>
        <v>0.8536466409</v>
      </c>
      <c r="AA235" s="30">
        <f>IFERROR(__xludf.DUMMYFUNCTION("""COMPUTED_VALUE"""),0.6425837792297419)</f>
        <v>0.6425837792</v>
      </c>
      <c r="AB235" s="30">
        <f>IFERROR(__xludf.DUMMYFUNCTION("""COMPUTED_VALUE"""),1.3930619166126417)</f>
        <v>1.393061917</v>
      </c>
      <c r="AC235" s="30">
        <f>IFERROR(__xludf.DUMMYFUNCTION("""COMPUTED_VALUE"""),2.8891621591543943)</f>
        <v>2.889162159</v>
      </c>
      <c r="AD235" s="30">
        <f>IFERROR(__xludf.DUMMYFUNCTION("""COMPUTED_VALUE"""),0.9718704708600754)</f>
        <v>0.9718704709</v>
      </c>
      <c r="AE235" s="30">
        <f>IFERROR(__xludf.DUMMYFUNCTION("""COMPUTED_VALUE"""),0.6275597654093394)</f>
        <v>0.6275597654</v>
      </c>
      <c r="AF235" s="30">
        <f>IFERROR(__xludf.DUMMYFUNCTION("""COMPUTED_VALUE"""),1.056004602831439)</f>
        <v>1.056004603</v>
      </c>
      <c r="AG235" s="30">
        <f>IFERROR(__xludf.DUMMYFUNCTION("""COMPUTED_VALUE"""),1.230588313299209)</f>
        <v>1.230588313</v>
      </c>
      <c r="AH235" s="30">
        <f>IFERROR(__xludf.DUMMYFUNCTION("""COMPUTED_VALUE"""),0.8405798272265297)</f>
        <v>0.8405798272</v>
      </c>
      <c r="AI235" s="30">
        <f>IFERROR(__xludf.DUMMYFUNCTION("""COMPUTED_VALUE"""),0.9954299101603784)</f>
        <v>0.9954299102</v>
      </c>
      <c r="AJ235" s="30">
        <f>IFERROR(__xludf.DUMMYFUNCTION("""COMPUTED_VALUE"""),0.9875850814109501)</f>
        <v>0.9875850814</v>
      </c>
      <c r="AK235" s="30">
        <f>IFERROR(__xludf.DUMMYFUNCTION("""COMPUTED_VALUE"""),1.0018401819641967)</f>
        <v>1.001840182</v>
      </c>
      <c r="AL235" s="30">
        <f>IFERROR(__xludf.DUMMYFUNCTION("""COMPUTED_VALUE"""),0.9751366209904483)</f>
        <v>0.975136621</v>
      </c>
      <c r="AM235" s="30">
        <f>IFERROR(__xludf.DUMMYFUNCTION("""COMPUTED_VALUE"""),1.0353337246298537)</f>
        <v>1.035333725</v>
      </c>
      <c r="AN235" s="30">
        <f>IFERROR(__xludf.DUMMYFUNCTION("""COMPUTED_VALUE"""),1.034442945390068)</f>
        <v>1.034442945</v>
      </c>
      <c r="AO235" s="30">
        <f>IFERROR(__xludf.DUMMYFUNCTION("""COMPUTED_VALUE"""),0.7511557459899703)</f>
        <v>0.751155746</v>
      </c>
      <c r="AP235" s="30">
        <f>IFERROR(__xludf.DUMMYFUNCTION("""COMPUTED_VALUE"""),1.1799673609495689)</f>
        <v>1.179967361</v>
      </c>
      <c r="AQ235" s="30">
        <f>IFERROR(__xludf.DUMMYFUNCTION("""COMPUTED_VALUE"""),1.2017274272821248)</f>
        <v>1.201727427</v>
      </c>
      <c r="AR235" s="30">
        <f>IFERROR(__xludf.DUMMYFUNCTION("""COMPUTED_VALUE"""),0.9640591431534588)</f>
        <v>0.9640591432</v>
      </c>
      <c r="AS235" s="30">
        <f>IFERROR(__xludf.DUMMYFUNCTION("""COMPUTED_VALUE"""),67.0)</f>
        <v>67</v>
      </c>
      <c r="AT235" s="30">
        <f>IFERROR(__xludf.DUMMYFUNCTION("""COMPUTED_VALUE"""),0.5300227212318195)</f>
        <v>0.5300227212</v>
      </c>
      <c r="AU235" s="30">
        <f>IFERROR(__xludf.DUMMYFUNCTION("""COMPUTED_VALUE"""),2.0668415178967035)</f>
        <v>2.066841518</v>
      </c>
      <c r="AV235" s="32">
        <f>IFERROR(__xludf.DUMMYFUNCTION("""COMPUTED_VALUE"""),42.75432668705395)</f>
        <v>42.75432669</v>
      </c>
      <c r="AW235" s="32">
        <f>IFERROR(__xludf.DUMMYFUNCTION("""COMPUTED_VALUE"""),-2.590845931519263)</f>
        <v>-2.590845932</v>
      </c>
      <c r="AX235" s="32">
        <f>IFERROR(__xludf.DUMMYFUNCTION("""COMPUTED_VALUE"""),49.11435474577822)</f>
        <v>49.11435475</v>
      </c>
      <c r="AY235" s="32">
        <f>IFERROR(__xludf.DUMMYFUNCTION("""COMPUTED_VALUE"""),-2.058163274081514)</f>
        <v>-2.058163274</v>
      </c>
      <c r="AZ235" s="30">
        <f>IFERROR(__xludf.DUMMYFUNCTION("""COMPUTED_VALUE"""),0.532682657437749)</f>
        <v>0.5326826574</v>
      </c>
      <c r="BA235" s="30">
        <f>IFERROR(__xludf.DUMMYFUNCTION("""COMPUTED_VALUE"""),800.0)</f>
        <v>800</v>
      </c>
    </row>
    <row r="236">
      <c r="A236" s="30" t="str">
        <f>IFERROR(__xludf.DUMMYFUNCTION("""COMPUTED_VALUE"""),"Elite")</f>
        <v>Elite</v>
      </c>
      <c r="B236" s="30" t="str">
        <f>IFERROR(__xludf.DUMMYFUNCTION("""COMPUTED_VALUE"""),"RSC002164")</f>
        <v>RSC002164</v>
      </c>
      <c r="C236" s="30" t="str">
        <f>IFERROR(__xludf.DUMMYFUNCTION("""COMPUTED_VALUE"""),"Dosia")</f>
        <v>Dosia</v>
      </c>
      <c r="D236" s="30" t="str">
        <f>IFERROR(__xludf.DUMMYFUNCTION("""COMPUTED_VALUE"""),"Wyverns")</f>
        <v>Wyverns</v>
      </c>
      <c r="E236" s="30">
        <f>IFERROR(__xludf.DUMMYFUNCTION("""COMPUTED_VALUE"""),31.0)</f>
        <v>31</v>
      </c>
      <c r="F236" s="30">
        <f>IFERROR(__xludf.DUMMYFUNCTION("""COMPUTED_VALUE"""),16.0)</f>
        <v>16</v>
      </c>
      <c r="G236" s="30">
        <f>IFERROR(__xludf.DUMMYFUNCTION("""COMPUTED_VALUE"""),15.0)</f>
        <v>15</v>
      </c>
      <c r="H236" s="42">
        <f>IFERROR(__xludf.DUMMYFUNCTION("""COMPUTED_VALUE"""),0.5161290322580645)</f>
        <v>0.5161290323</v>
      </c>
      <c r="I236" s="42">
        <f>IFERROR(__xludf.DUMMYFUNCTION("""COMPUTED_VALUE"""),0.2816901408450704)</f>
        <v>0.2816901408</v>
      </c>
      <c r="J236" s="30">
        <f>IFERROR(__xludf.DUMMYFUNCTION("""COMPUTED_VALUE"""),341.96774193548384)</f>
        <v>341.9677419</v>
      </c>
      <c r="K236" s="30">
        <f>IFERROR(__xludf.DUMMYFUNCTION("""COMPUTED_VALUE"""),0.6451612903225806)</f>
        <v>0.6451612903</v>
      </c>
      <c r="L236" s="30">
        <f>IFERROR(__xludf.DUMMYFUNCTION("""COMPUTED_VALUE"""),0.6774193548387096)</f>
        <v>0.6774193548</v>
      </c>
      <c r="M236" s="30">
        <f>IFERROR(__xludf.DUMMYFUNCTION("""COMPUTED_VALUE"""),1.2903225806451613)</f>
        <v>1.290322581</v>
      </c>
      <c r="N236" s="30">
        <f>IFERROR(__xludf.DUMMYFUNCTION("""COMPUTED_VALUE"""),2.2903225806451615)</f>
        <v>2.290322581</v>
      </c>
      <c r="O236" s="30">
        <f>IFERROR(__xludf.DUMMYFUNCTION("""COMPUTED_VALUE"""),342.1827956989248)</f>
        <v>342.1827957</v>
      </c>
      <c r="P236" s="30">
        <f>IFERROR(__xludf.DUMMYFUNCTION("""COMPUTED_VALUE"""),0.6129032258064516)</f>
        <v>0.6129032258</v>
      </c>
      <c r="Q236" s="30">
        <f>IFERROR(__xludf.DUMMYFUNCTION("""COMPUTED_VALUE"""),0.45161290322580655)</f>
        <v>0.4516129032</v>
      </c>
      <c r="R236" s="30">
        <f>IFERROR(__xludf.DUMMYFUNCTION("""COMPUTED_VALUE"""),1.5161290322580645)</f>
        <v>1.516129032</v>
      </c>
      <c r="S236" s="30">
        <f>IFERROR(__xludf.DUMMYFUNCTION("""COMPUTED_VALUE"""),2.3655913978494625)</f>
        <v>2.365591398</v>
      </c>
      <c r="T236" s="30">
        <f>IFERROR(__xludf.DUMMYFUNCTION("""COMPUTED_VALUE"""),358.06721607367746)</f>
        <v>358.0672161</v>
      </c>
      <c r="U236" s="30">
        <f>IFERROR(__xludf.DUMMYFUNCTION("""COMPUTED_VALUE"""),0.7950220950679784)</f>
        <v>0.7950220951</v>
      </c>
      <c r="V236" s="30">
        <f>IFERROR(__xludf.DUMMYFUNCTION("""COMPUTED_VALUE"""),0.5974960686239835)</f>
        <v>0.5974960686</v>
      </c>
      <c r="W236" s="30">
        <f>IFERROR(__xludf.DUMMYFUNCTION("""COMPUTED_VALUE"""),1.339688823214503)</f>
        <v>1.339688823</v>
      </c>
      <c r="X236" s="30">
        <f>IFERROR(__xludf.DUMMYFUNCTION("""COMPUTED_VALUE"""),2.71782887689281)</f>
        <v>2.717828877</v>
      </c>
      <c r="Y236" s="30">
        <f>IFERROR(__xludf.DUMMYFUNCTION("""COMPUTED_VALUE"""),350.780508404132)</f>
        <v>350.7805084</v>
      </c>
      <c r="Z236" s="30">
        <f>IFERROR(__xludf.DUMMYFUNCTION("""COMPUTED_VALUE"""),0.6986063129808506)</f>
        <v>0.698606313</v>
      </c>
      <c r="AA236" s="30">
        <f>IFERROR(__xludf.DUMMYFUNCTION("""COMPUTED_VALUE"""),0.5283927799385698)</f>
        <v>0.5283927799</v>
      </c>
      <c r="AB236" s="30">
        <f>IFERROR(__xludf.DUMMYFUNCTION("""COMPUTED_VALUE"""),1.4803035634171915)</f>
        <v>1.480303563</v>
      </c>
      <c r="AC236" s="30">
        <f>IFERROR(__xludf.DUMMYFUNCTION("""COMPUTED_VALUE"""),2.4979878895657825)</f>
        <v>2.49798789</v>
      </c>
      <c r="AD236" s="30">
        <f>IFERROR(__xludf.DUMMYFUNCTION("""COMPUTED_VALUE"""),0.974876692810722)</f>
        <v>0.9748766928</v>
      </c>
      <c r="AE236" s="30">
        <f>IFERROR(__xludf.DUMMYFUNCTION("""COMPUTED_VALUE"""),0.9234976528765851)</f>
        <v>0.9234976529</v>
      </c>
      <c r="AF236" s="30">
        <f>IFERROR(__xludf.DUMMYFUNCTION("""COMPUTED_VALUE"""),1.2820374928617788)</f>
        <v>1.282037493</v>
      </c>
      <c r="AG236" s="30">
        <f>IFERROR(__xludf.DUMMYFUNCTION("""COMPUTED_VALUE"""),0.8716607948078767)</f>
        <v>0.8716607948</v>
      </c>
      <c r="AH236" s="30">
        <f>IFERROR(__xludf.DUMMYFUNCTION("""COMPUTED_VALUE"""),0.9168669672947378)</f>
        <v>0.9168669673</v>
      </c>
      <c r="AI236" s="30">
        <f>IFERROR(__xludf.DUMMYFUNCTION("""COMPUTED_VALUE"""),0.9556384397629851)</f>
        <v>0.9556384398</v>
      </c>
      <c r="AJ236" s="30">
        <f>IFERROR(__xludf.DUMMYFUNCTION("""COMPUTED_VALUE"""),0.7709260278534087)</f>
        <v>0.7709260279</v>
      </c>
      <c r="AK236" s="30">
        <f>IFERROR(__xludf.DUMMYFUNCTION("""COMPUTED_VALUE"""),0.7558424681619382)</f>
        <v>0.7558424682</v>
      </c>
      <c r="AL236" s="30">
        <f>IFERROR(__xludf.DUMMYFUNCTION("""COMPUTED_VALUE"""),1.1317023819159764)</f>
        <v>1.131702382</v>
      </c>
      <c r="AM236" s="30">
        <f>IFERROR(__xludf.DUMMYFUNCTION("""COMPUTED_VALUE"""),0.8703974771781633)</f>
        <v>0.8703974772</v>
      </c>
      <c r="AN236" s="30">
        <f>IFERROR(__xludf.DUMMYFUNCTION("""COMPUTED_VALUE"""),0.9695469175305123)</f>
        <v>0.9695469175</v>
      </c>
      <c r="AO236" s="30">
        <f>IFERROR(__xludf.DUMMYFUNCTION("""COMPUTED_VALUE"""),0.9046176725900718)</f>
        <v>0.9046176726</v>
      </c>
      <c r="AP236" s="30">
        <f>IFERROR(__xludf.DUMMYFUNCTION("""COMPUTED_VALUE"""),1.1779640207781772)</f>
        <v>1.177964021</v>
      </c>
      <c r="AQ236" s="30">
        <f>IFERROR(__xludf.DUMMYFUNCTION("""COMPUTED_VALUE"""),0.9045260205349326)</f>
        <v>0.9045260205</v>
      </c>
      <c r="AR236" s="30">
        <f>IFERROR(__xludf.DUMMYFUNCTION("""COMPUTED_VALUE"""),0.9091791160289736)</f>
        <v>0.909179116</v>
      </c>
      <c r="AS236" s="30">
        <f>IFERROR(__xludf.DUMMYFUNCTION("""COMPUTED_VALUE"""),74.0)</f>
        <v>74</v>
      </c>
      <c r="AT236" s="30">
        <f>IFERROR(__xludf.DUMMYFUNCTION("""COMPUTED_VALUE"""),0.5974207060585326)</f>
        <v>0.5974207061</v>
      </c>
      <c r="AU236" s="30">
        <f>IFERROR(__xludf.DUMMYFUNCTION("""COMPUTED_VALUE"""),2.5637071705979064)</f>
        <v>2.563707171</v>
      </c>
      <c r="AV236" s="32">
        <f>IFERROR(__xludf.DUMMYFUNCTION("""COMPUTED_VALUE"""),56.715982782364456)</f>
        <v>56.71598278</v>
      </c>
      <c r="AW236" s="32">
        <f>IFERROR(__xludf.DUMMYFUNCTION("""COMPUTED_VALUE"""),2.5374036841469194)</f>
        <v>2.537403684</v>
      </c>
      <c r="AX236" s="32">
        <f>IFERROR(__xludf.DUMMYFUNCTION("""COMPUTED_VALUE"""),50.27418143372623)</f>
        <v>50.27418143</v>
      </c>
      <c r="AY236" s="32">
        <f>IFERROR(__xludf.DUMMYFUNCTION("""COMPUTED_VALUE"""),2.0176553517069493)</f>
        <v>2.017655352</v>
      </c>
      <c r="AZ236" s="30">
        <f>IFERROR(__xludf.DUMMYFUNCTION("""COMPUTED_VALUE"""),0.5197483324399701)</f>
        <v>0.5197483324</v>
      </c>
      <c r="BA236" s="30">
        <f>IFERROR(__xludf.DUMMYFUNCTION("""COMPUTED_VALUE"""),800.0)</f>
        <v>800</v>
      </c>
    </row>
    <row r="237">
      <c r="A237" s="30" t="str">
        <f>IFERROR(__xludf.DUMMYFUNCTION("""COMPUTED_VALUE"""),"Elite")</f>
        <v>Elite</v>
      </c>
      <c r="B237" s="30" t="str">
        <f>IFERROR(__xludf.DUMMYFUNCTION("""COMPUTED_VALUE"""),"RSC003561")</f>
        <v>RSC003561</v>
      </c>
      <c r="C237" s="30" t="str">
        <f>IFERROR(__xludf.DUMMYFUNCTION("""COMPUTED_VALUE"""),"Dooober")</f>
        <v>Dooober</v>
      </c>
      <c r="D237" s="30" t="str">
        <f>IFERROR(__xludf.DUMMYFUNCTION("""COMPUTED_VALUE"""),"Drive Bye")</f>
        <v>Drive Bye</v>
      </c>
      <c r="E237" s="30">
        <f>IFERROR(__xludf.DUMMYFUNCTION("""COMPUTED_VALUE"""),33.0)</f>
        <v>33</v>
      </c>
      <c r="F237" s="30">
        <f>IFERROR(__xludf.DUMMYFUNCTION("""COMPUTED_VALUE"""),11.0)</f>
        <v>11</v>
      </c>
      <c r="G237" s="30">
        <f>IFERROR(__xludf.DUMMYFUNCTION("""COMPUTED_VALUE"""),22.0)</f>
        <v>22</v>
      </c>
      <c r="H237" s="42">
        <f>IFERROR(__xludf.DUMMYFUNCTION("""COMPUTED_VALUE"""),0.3333333333333333)</f>
        <v>0.3333333333</v>
      </c>
      <c r="I237" s="42">
        <f>IFERROR(__xludf.DUMMYFUNCTION("""COMPUTED_VALUE"""),0.3164556962025316)</f>
        <v>0.3164556962</v>
      </c>
      <c r="J237" s="30">
        <f>IFERROR(__xludf.DUMMYFUNCTION("""COMPUTED_VALUE"""),358.8181818181818)</f>
        <v>358.8181818</v>
      </c>
      <c r="K237" s="30">
        <f>IFERROR(__xludf.DUMMYFUNCTION("""COMPUTED_VALUE"""),0.7575757575757576)</f>
        <v>0.7575757576</v>
      </c>
      <c r="L237" s="30">
        <f>IFERROR(__xludf.DUMMYFUNCTION("""COMPUTED_VALUE"""),0.42424242424242425)</f>
        <v>0.4242424242</v>
      </c>
      <c r="M237" s="30">
        <f>IFERROR(__xludf.DUMMYFUNCTION("""COMPUTED_VALUE"""),1.9090909090909092)</f>
        <v>1.909090909</v>
      </c>
      <c r="N237" s="30">
        <f>IFERROR(__xludf.DUMMYFUNCTION("""COMPUTED_VALUE"""),2.393939393939394)</f>
        <v>2.393939394</v>
      </c>
      <c r="O237" s="30">
        <f>IFERROR(__xludf.DUMMYFUNCTION("""COMPUTED_VALUE"""),397.4747474747475)</f>
        <v>397.4747475</v>
      </c>
      <c r="P237" s="30">
        <f>IFERROR(__xludf.DUMMYFUNCTION("""COMPUTED_VALUE"""),0.9393939393939393)</f>
        <v>0.9393939394</v>
      </c>
      <c r="Q237" s="30">
        <f>IFERROR(__xludf.DUMMYFUNCTION("""COMPUTED_VALUE"""),0.7676767676767676)</f>
        <v>0.7676767677</v>
      </c>
      <c r="R237" s="30">
        <f>IFERROR(__xludf.DUMMYFUNCTION("""COMPUTED_VALUE"""),1.3838383838383836)</f>
        <v>1.383838384</v>
      </c>
      <c r="S237" s="30">
        <f>IFERROR(__xludf.DUMMYFUNCTION("""COMPUTED_VALUE"""),3.1616161616161613)</f>
        <v>3.161616162</v>
      </c>
      <c r="T237" s="30">
        <f>IFERROR(__xludf.DUMMYFUNCTION("""COMPUTED_VALUE"""),366.6371615625338)</f>
        <v>366.6371616</v>
      </c>
      <c r="U237" s="30">
        <f>IFERROR(__xludf.DUMMYFUNCTION("""COMPUTED_VALUE"""),0.7936772162407103)</f>
        <v>0.7936772162</v>
      </c>
      <c r="V237" s="30">
        <f>IFERROR(__xludf.DUMMYFUNCTION("""COMPUTED_VALUE"""),0.6188320413552348)</f>
        <v>0.6188320414</v>
      </c>
      <c r="W237" s="30">
        <f>IFERROR(__xludf.DUMMYFUNCTION("""COMPUTED_VALUE"""),1.400094037613841)</f>
        <v>1.400094038</v>
      </c>
      <c r="X237" s="30">
        <f>IFERROR(__xludf.DUMMYFUNCTION("""COMPUTED_VALUE"""),2.7588015133355186)</f>
        <v>2.758801513</v>
      </c>
      <c r="Y237" s="30">
        <f>IFERROR(__xludf.DUMMYFUNCTION("""COMPUTED_VALUE"""),353.321953736601)</f>
        <v>353.3219537</v>
      </c>
      <c r="Z237" s="30">
        <f>IFERROR(__xludf.DUMMYFUNCTION("""COMPUTED_VALUE"""),0.7278799280427811)</f>
        <v>0.727879928</v>
      </c>
      <c r="AA237" s="30">
        <f>IFERROR(__xludf.DUMMYFUNCTION("""COMPUTED_VALUE"""),0.5430431724899665)</f>
        <v>0.5430431725</v>
      </c>
      <c r="AB237" s="30">
        <f>IFERROR(__xludf.DUMMYFUNCTION("""COMPUTED_VALUE"""),1.4662264286329645)</f>
        <v>1.466226429</v>
      </c>
      <c r="AC237" s="30">
        <f>IFERROR(__xludf.DUMMYFUNCTION("""COMPUTED_VALUE"""),2.519331825655037)</f>
        <v>2.519331826</v>
      </c>
      <c r="AD237" s="30">
        <f>IFERROR(__xludf.DUMMYFUNCTION("""COMPUTED_VALUE"""),1.015555863493493)</f>
        <v>1.015555863</v>
      </c>
      <c r="AE237" s="30">
        <f>IFERROR(__xludf.DUMMYFUNCTION("""COMPUTED_VALUE"""),1.0407977035619411)</f>
        <v>1.040797704</v>
      </c>
      <c r="AF237" s="30">
        <f>IFERROR(__xludf.DUMMYFUNCTION("""COMPUTED_VALUE"""),0.7812314853295808)</f>
        <v>0.7812314853</v>
      </c>
      <c r="AG237" s="30">
        <f>IFERROR(__xludf.DUMMYFUNCTION("""COMPUTED_VALUE"""),1.3020437169931858)</f>
        <v>1.302043717</v>
      </c>
      <c r="AH237" s="30">
        <f>IFERROR(__xludf.DUMMYFUNCTION("""COMPUTED_VALUE"""),0.9502279015258182)</f>
        <v>0.9502279015</v>
      </c>
      <c r="AI237" s="30">
        <f>IFERROR(__xludf.DUMMYFUNCTION("""COMPUTED_VALUE"""),1.0841092751776447)</f>
        <v>1.084109275</v>
      </c>
      <c r="AJ237" s="30">
        <f>IFERROR(__xludf.DUMMYFUNCTION("""COMPUTED_VALUE"""),1.1835969587780575)</f>
        <v>1.183596959</v>
      </c>
      <c r="AK237" s="30">
        <f>IFERROR(__xludf.DUMMYFUNCTION("""COMPUTED_VALUE"""),1.2405252417046224)</f>
        <v>1.240525242</v>
      </c>
      <c r="AL237" s="30">
        <f>IFERROR(__xludf.DUMMYFUNCTION("""COMPUTED_VALUE"""),0.9883895985992757)</f>
        <v>0.9883895986</v>
      </c>
      <c r="AM237" s="30">
        <f>IFERROR(__xludf.DUMMYFUNCTION("""COMPUTED_VALUE"""),1.146010739204511)</f>
        <v>1.146010739</v>
      </c>
      <c r="AN237" s="30">
        <f>IFERROR(__xludf.DUMMYFUNCTION("""COMPUTED_VALUE"""),1.017321283483384)</f>
        <v>1.017321283</v>
      </c>
      <c r="AO237" s="30">
        <f>IFERROR(__xludf.DUMMYFUNCTION("""COMPUTED_VALUE"""),1.0622404488747055)</f>
        <v>1.062240449</v>
      </c>
      <c r="AP237" s="30">
        <f>IFERROR(__xludf.DUMMYFUNCTION("""COMPUTED_VALUE"""),0.7377148412954242)</f>
        <v>0.7377148413</v>
      </c>
      <c r="AQ237" s="30">
        <f>IFERROR(__xludf.DUMMYFUNCTION("""COMPUTED_VALUE"""),1.338287362200548)</f>
        <v>1.338287362</v>
      </c>
      <c r="AR237" s="30">
        <f>IFERROR(__xludf.DUMMYFUNCTION("""COMPUTED_VALUE"""),0.9503114191869211)</f>
        <v>0.9503114192</v>
      </c>
      <c r="AS237" s="30">
        <f>IFERROR(__xludf.DUMMYFUNCTION("""COMPUTED_VALUE"""),58.0)</f>
        <v>58</v>
      </c>
      <c r="AT237" s="30">
        <f>IFERROR(__xludf.DUMMYFUNCTION("""COMPUTED_VALUE"""),0.32507814379611116)</f>
        <v>0.3250781438</v>
      </c>
      <c r="AU237" s="30">
        <f>IFERROR(__xludf.DUMMYFUNCTION("""COMPUTED_VALUE"""),2.1006740381964004)</f>
        <v>2.100674038</v>
      </c>
      <c r="AV237" s="32">
        <f>IFERROR(__xludf.DUMMYFUNCTION("""COMPUTED_VALUE"""),43.705002208080636)</f>
        <v>43.70500221</v>
      </c>
      <c r="AW237" s="32">
        <f>IFERROR(__xludf.DUMMYFUNCTION("""COMPUTED_VALUE"""),-2.4962689341885897)</f>
        <v>-2.496268934</v>
      </c>
      <c r="AX237" s="32">
        <f>IFERROR(__xludf.DUMMYFUNCTION("""COMPUTED_VALUE"""),39.163974437250246)</f>
        <v>39.16397444</v>
      </c>
      <c r="AY237" s="32">
        <f>IFERROR(__xludf.DUMMYFUNCTION("""COMPUTED_VALUE"""),-3.0089015176492357)</f>
        <v>-3.008901518</v>
      </c>
      <c r="AZ237" s="30">
        <f>IFERROR(__xludf.DUMMYFUNCTION("""COMPUTED_VALUE"""),0.512632583460646)</f>
        <v>0.5126325835</v>
      </c>
      <c r="BA237" s="30">
        <f>IFERROR(__xludf.DUMMYFUNCTION("""COMPUTED_VALUE"""),800.0)</f>
        <v>800</v>
      </c>
    </row>
    <row r="238">
      <c r="A238" s="30" t="str">
        <f>IFERROR(__xludf.DUMMYFUNCTION("""COMPUTED_VALUE"""),"Elite")</f>
        <v>Elite</v>
      </c>
      <c r="B238" s="30" t="str">
        <f>IFERROR(__xludf.DUMMYFUNCTION("""COMPUTED_VALUE"""),"RSC001019")</f>
        <v>RSC001019</v>
      </c>
      <c r="C238" s="30" t="str">
        <f>IFERROR(__xludf.DUMMYFUNCTION("""COMPUTED_VALUE"""),"Surge")</f>
        <v>Surge</v>
      </c>
      <c r="D238" s="30"/>
      <c r="E238" s="30">
        <f>IFERROR(__xludf.DUMMYFUNCTION("""COMPUTED_VALUE"""),8.0)</f>
        <v>8</v>
      </c>
      <c r="F238" s="30">
        <f>IFERROR(__xludf.DUMMYFUNCTION("""COMPUTED_VALUE"""),4.0)</f>
        <v>4</v>
      </c>
      <c r="G238" s="30">
        <f>IFERROR(__xludf.DUMMYFUNCTION("""COMPUTED_VALUE"""),4.0)</f>
        <v>4</v>
      </c>
      <c r="H238" s="42">
        <f>IFERROR(__xludf.DUMMYFUNCTION("""COMPUTED_VALUE"""),0.5)</f>
        <v>0.5</v>
      </c>
      <c r="I238" s="42">
        <f>IFERROR(__xludf.DUMMYFUNCTION("""COMPUTED_VALUE"""),0.5)</f>
        <v>0.5</v>
      </c>
      <c r="J238" s="30">
        <f>IFERROR(__xludf.DUMMYFUNCTION("""COMPUTED_VALUE"""),287.25)</f>
        <v>287.25</v>
      </c>
      <c r="K238" s="30">
        <f>IFERROR(__xludf.DUMMYFUNCTION("""COMPUTED_VALUE"""),0.625)</f>
        <v>0.625</v>
      </c>
      <c r="L238" s="30">
        <f>IFERROR(__xludf.DUMMYFUNCTION("""COMPUTED_VALUE"""),0.75)</f>
        <v>0.75</v>
      </c>
      <c r="M238" s="30">
        <f>IFERROR(__xludf.DUMMYFUNCTION("""COMPUTED_VALUE"""),1.125)</f>
        <v>1.125</v>
      </c>
      <c r="N238" s="30">
        <f>IFERROR(__xludf.DUMMYFUNCTION("""COMPUTED_VALUE"""),1.25)</f>
        <v>1.25</v>
      </c>
      <c r="O238" s="30">
        <f>IFERROR(__xludf.DUMMYFUNCTION("""COMPUTED_VALUE"""),352.0)</f>
        <v>352</v>
      </c>
      <c r="P238" s="30">
        <f>IFERROR(__xludf.DUMMYFUNCTION("""COMPUTED_VALUE"""),0.875)</f>
        <v>0.875</v>
      </c>
      <c r="Q238" s="30">
        <f>IFERROR(__xludf.DUMMYFUNCTION("""COMPUTED_VALUE"""),0.5833333333333333)</f>
        <v>0.5833333333</v>
      </c>
      <c r="R238" s="30">
        <f>IFERROR(__xludf.DUMMYFUNCTION("""COMPUTED_VALUE"""),1.25)</f>
        <v>1.25</v>
      </c>
      <c r="S238" s="30">
        <f>IFERROR(__xludf.DUMMYFUNCTION("""COMPUTED_VALUE"""),2.583333333333333)</f>
        <v>2.583333333</v>
      </c>
      <c r="T238" s="30">
        <f>IFERROR(__xludf.DUMMYFUNCTION("""COMPUTED_VALUE"""),381.6585725308642)</f>
        <v>381.6585725</v>
      </c>
      <c r="U238" s="30">
        <f>IFERROR(__xludf.DUMMYFUNCTION("""COMPUTED_VALUE"""),0.8715663580246913)</f>
        <v>0.871566358</v>
      </c>
      <c r="V238" s="30">
        <f>IFERROR(__xludf.DUMMYFUNCTION("""COMPUTED_VALUE"""),0.7199074074074074)</f>
        <v>0.7199074074</v>
      </c>
      <c r="W238" s="30">
        <f>IFERROR(__xludf.DUMMYFUNCTION("""COMPUTED_VALUE"""),1.397253086419753)</f>
        <v>1.397253086</v>
      </c>
      <c r="X238" s="30">
        <f>IFERROR(__xludf.DUMMYFUNCTION("""COMPUTED_VALUE"""),2.763618827160494)</f>
        <v>2.763618827</v>
      </c>
      <c r="Y238" s="30">
        <f>IFERROR(__xludf.DUMMYFUNCTION("""COMPUTED_VALUE"""),373.85319701646085)</f>
        <v>373.853197</v>
      </c>
      <c r="Z238" s="30">
        <f>IFERROR(__xludf.DUMMYFUNCTION("""COMPUTED_VALUE"""),0.8199691358024692)</f>
        <v>0.8199691358</v>
      </c>
      <c r="AA238" s="30">
        <f>IFERROR(__xludf.DUMMYFUNCTION("""COMPUTED_VALUE"""),0.6192978395061728)</f>
        <v>0.6192978395</v>
      </c>
      <c r="AB238" s="30">
        <f>IFERROR(__xludf.DUMMYFUNCTION("""COMPUTED_VALUE"""),1.4836882716049384)</f>
        <v>1.483688272</v>
      </c>
      <c r="AC238" s="30">
        <f>IFERROR(__xludf.DUMMYFUNCTION("""COMPUTED_VALUE"""),2.632716049382717)</f>
        <v>2.632716049</v>
      </c>
      <c r="AD238" s="30">
        <f>IFERROR(__xludf.DUMMYFUNCTION("""COMPUTED_VALUE"""),0.7683497220096056)</f>
        <v>0.768349722</v>
      </c>
      <c r="AE238" s="30">
        <f>IFERROR(__xludf.DUMMYFUNCTION("""COMPUTED_VALUE"""),0.7622238114954643)</f>
        <v>0.7622238115</v>
      </c>
      <c r="AF238" s="30">
        <f>IFERROR(__xludf.DUMMYFUNCTION("""COMPUTED_VALUE"""),1.2110489527915178)</f>
        <v>1.211048953</v>
      </c>
      <c r="AG238" s="30">
        <f>IFERROR(__xludf.DUMMYFUNCTION("""COMPUTED_VALUE"""),0.7582455300957948)</f>
        <v>0.7582455301</v>
      </c>
      <c r="AH238" s="30">
        <f>IFERROR(__xludf.DUMMYFUNCTION("""COMPUTED_VALUE"""),0.4747948417350526)</f>
        <v>0.4747948417</v>
      </c>
      <c r="AI238" s="30">
        <f>IFERROR(__xludf.DUMMYFUNCTION("""COMPUTED_VALUE"""),0.9222903016845881)</f>
        <v>0.9222903017</v>
      </c>
      <c r="AJ238" s="30">
        <f>IFERROR(__xludf.DUMMYFUNCTION("""COMPUTED_VALUE"""),1.0039396219733523)</f>
        <v>1.003939622</v>
      </c>
      <c r="AK238" s="30">
        <f>IFERROR(__xludf.DUMMYFUNCTION("""COMPUTED_VALUE"""),0.810289389067524)</f>
        <v>0.8102893891</v>
      </c>
      <c r="AL238" s="30">
        <f>IFERROR(__xludf.DUMMYFUNCTION("""COMPUTED_VALUE"""),0.8946124450531245)</f>
        <v>0.8946124451</v>
      </c>
      <c r="AM238" s="30">
        <f>IFERROR(__xludf.DUMMYFUNCTION("""COMPUTED_VALUE"""),0.9347647034188152)</f>
        <v>0.9347647034</v>
      </c>
      <c r="AN238" s="30">
        <f>IFERROR(__xludf.DUMMYFUNCTION("""COMPUTED_VALUE"""),0.8144111795000311)</f>
        <v>0.8144111795</v>
      </c>
      <c r="AO238" s="30">
        <f>IFERROR(__xludf.DUMMYFUNCTION("""COMPUTED_VALUE"""),0.876348370321632)</f>
        <v>0.8763483703</v>
      </c>
      <c r="AP238" s="30">
        <f>IFERROR(__xludf.DUMMYFUNCTION("""COMPUTED_VALUE"""),1.304174451575839)</f>
        <v>1.304174452</v>
      </c>
      <c r="AQ238" s="30">
        <f>IFERROR(__xludf.DUMMYFUNCTION("""COMPUTED_VALUE"""),0.7886336241538944)</f>
        <v>0.7886336242</v>
      </c>
      <c r="AR238" s="30">
        <f>IFERROR(__xludf.DUMMYFUNCTION("""COMPUTED_VALUE"""),0.49620691191722144)</f>
        <v>0.4962069119</v>
      </c>
      <c r="AS238" s="30">
        <f>IFERROR(__xludf.DUMMYFUNCTION("""COMPUTED_VALUE"""),20.0)</f>
        <v>20</v>
      </c>
      <c r="AT238" s="30">
        <f>IFERROR(__xludf.DUMMYFUNCTION("""COMPUTED_VALUE"""),0.480513474921211)</f>
        <v>0.4805134749</v>
      </c>
      <c r="AU238" s="30">
        <f>IFERROR(__xludf.DUMMYFUNCTION("""COMPUTED_VALUE"""),1.7691297961489054)</f>
        <v>1.769129796</v>
      </c>
      <c r="AV238" s="32">
        <f>IFERROR(__xludf.DUMMYFUNCTION("""COMPUTED_VALUE"""),34.388788332795585)</f>
        <v>34.38878833</v>
      </c>
      <c r="AW238" s="32">
        <f>IFERROR(__xludf.DUMMYFUNCTION("""COMPUTED_VALUE"""),-3.757046077720493)</f>
        <v>-3.757046078</v>
      </c>
      <c r="AX238" s="32">
        <f>IFERROR(__xludf.DUMMYFUNCTION("""COMPUTED_VALUE"""),32.170473158667264)</f>
        <v>32.17047316</v>
      </c>
      <c r="AY238" s="32">
        <f>IFERROR(__xludf.DUMMYFUNCTION("""COMPUTED_VALUE"""),-4.204032490228949)</f>
        <v>-4.20403249</v>
      </c>
      <c r="AZ238" s="30">
        <f>IFERROR(__xludf.DUMMYFUNCTION("""COMPUTED_VALUE"""),0.4469864125084557)</f>
        <v>0.4469864125</v>
      </c>
      <c r="BA238" s="30">
        <f>IFERROR(__xludf.DUMMYFUNCTION("""COMPUTED_VALUE"""),800.0)</f>
        <v>800</v>
      </c>
    </row>
    <row r="239">
      <c r="A239" s="30" t="str">
        <f>IFERROR(__xludf.DUMMYFUNCTION("""COMPUTED_VALUE"""),"Elite")</f>
        <v>Elite</v>
      </c>
      <c r="B239" s="30" t="str">
        <f>IFERROR(__xludf.DUMMYFUNCTION("""COMPUTED_VALUE"""),"RSC005008")</f>
        <v>RSC005008</v>
      </c>
      <c r="C239" s="30" t="str">
        <f>IFERROR(__xludf.DUMMYFUNCTION("""COMPUTED_VALUE"""),"W0NDER")</f>
        <v>W0NDER</v>
      </c>
      <c r="D239" s="30" t="str">
        <f>IFERROR(__xludf.DUMMYFUNCTION("""COMPUTED_VALUE"""),"Ghastly Goombahs")</f>
        <v>Ghastly Goombahs</v>
      </c>
      <c r="E239" s="30">
        <f>IFERROR(__xludf.DUMMYFUNCTION("""COMPUTED_VALUE"""),31.0)</f>
        <v>31</v>
      </c>
      <c r="F239" s="30">
        <f>IFERROR(__xludf.DUMMYFUNCTION("""COMPUTED_VALUE"""),10.0)</f>
        <v>10</v>
      </c>
      <c r="G239" s="30">
        <f>IFERROR(__xludf.DUMMYFUNCTION("""COMPUTED_VALUE"""),21.0)</f>
        <v>21</v>
      </c>
      <c r="H239" s="42">
        <f>IFERROR(__xludf.DUMMYFUNCTION("""COMPUTED_VALUE"""),0.3225806451612903)</f>
        <v>0.3225806452</v>
      </c>
      <c r="I239" s="42">
        <f>IFERROR(__xludf.DUMMYFUNCTION("""COMPUTED_VALUE"""),0.3108108108108108)</f>
        <v>0.3108108108</v>
      </c>
      <c r="J239" s="30">
        <f>IFERROR(__xludf.DUMMYFUNCTION("""COMPUTED_VALUE"""),349.2903225806452)</f>
        <v>349.2903226</v>
      </c>
      <c r="K239" s="30">
        <f>IFERROR(__xludf.DUMMYFUNCTION("""COMPUTED_VALUE"""),0.7419354838709677)</f>
        <v>0.7419354839</v>
      </c>
      <c r="L239" s="30">
        <f>IFERROR(__xludf.DUMMYFUNCTION("""COMPUTED_VALUE"""),0.3225806451612903)</f>
        <v>0.3225806452</v>
      </c>
      <c r="M239" s="30">
        <f>IFERROR(__xludf.DUMMYFUNCTION("""COMPUTED_VALUE"""),1.3548387096774193)</f>
        <v>1.35483871</v>
      </c>
      <c r="N239" s="30">
        <f>IFERROR(__xludf.DUMMYFUNCTION("""COMPUTED_VALUE"""),2.3870967741935485)</f>
        <v>2.387096774</v>
      </c>
      <c r="O239" s="30">
        <f>IFERROR(__xludf.DUMMYFUNCTION("""COMPUTED_VALUE"""),372.3870967741936)</f>
        <v>372.3870968</v>
      </c>
      <c r="P239" s="30">
        <f>IFERROR(__xludf.DUMMYFUNCTION("""COMPUTED_VALUE"""),0.8494623655913978)</f>
        <v>0.8494623656</v>
      </c>
      <c r="Q239" s="30">
        <f>IFERROR(__xludf.DUMMYFUNCTION("""COMPUTED_VALUE"""),0.5806451612903225)</f>
        <v>0.5806451613</v>
      </c>
      <c r="R239" s="30">
        <f>IFERROR(__xludf.DUMMYFUNCTION("""COMPUTED_VALUE"""),1.3440860215053763)</f>
        <v>1.344086022</v>
      </c>
      <c r="S239" s="30">
        <f>IFERROR(__xludf.DUMMYFUNCTION("""COMPUTED_VALUE"""),2.806451612903225)</f>
        <v>2.806451613</v>
      </c>
      <c r="T239" s="30">
        <f>IFERROR(__xludf.DUMMYFUNCTION("""COMPUTED_VALUE"""),368.6381545349374)</f>
        <v>368.6381545</v>
      </c>
      <c r="U239" s="30">
        <f>IFERROR(__xludf.DUMMYFUNCTION("""COMPUTED_VALUE"""),0.7976419908294987)</f>
        <v>0.7976419908</v>
      </c>
      <c r="V239" s="30">
        <f>IFERROR(__xludf.DUMMYFUNCTION("""COMPUTED_VALUE"""),0.592615121377841)</f>
        <v>0.5926151214</v>
      </c>
      <c r="W239" s="30">
        <f>IFERROR(__xludf.DUMMYFUNCTION("""COMPUTED_VALUE"""),1.4397499638610358)</f>
        <v>1.439749964</v>
      </c>
      <c r="X239" s="30">
        <f>IFERROR(__xludf.DUMMYFUNCTION("""COMPUTED_VALUE"""),2.769209471272536)</f>
        <v>2.769209471</v>
      </c>
      <c r="Y239" s="30">
        <f>IFERROR(__xludf.DUMMYFUNCTION("""COMPUTED_VALUE"""),357.0925508893889)</f>
        <v>357.0925509</v>
      </c>
      <c r="Z239" s="30">
        <f>IFERROR(__xludf.DUMMYFUNCTION("""COMPUTED_VALUE"""),0.7510017340860557)</f>
        <v>0.7510017341</v>
      </c>
      <c r="AA239" s="30">
        <f>IFERROR(__xludf.DUMMYFUNCTION("""COMPUTED_VALUE"""),0.5609430668534573)</f>
        <v>0.5609430669</v>
      </c>
      <c r="AB239" s="30">
        <f>IFERROR(__xludf.DUMMYFUNCTION("""COMPUTED_VALUE"""),1.4202264615555193)</f>
        <v>1.420226462</v>
      </c>
      <c r="AC239" s="30">
        <f>IFERROR(__xludf.DUMMYFUNCTION("""COMPUTED_VALUE"""),2.6032004367468478)</f>
        <v>2.603200437</v>
      </c>
      <c r="AD239" s="30">
        <f>IFERROR(__xludf.DUMMYFUNCTION("""COMPUTED_VALUE"""),0.9781506830951494)</f>
        <v>0.9781506831</v>
      </c>
      <c r="AE239" s="30">
        <f>IFERROR(__xludf.DUMMYFUNCTION("""COMPUTED_VALUE"""),0.9879277905714541)</f>
        <v>0.9879277906</v>
      </c>
      <c r="AF239" s="30">
        <f>IFERROR(__xludf.DUMMYFUNCTION("""COMPUTED_VALUE"""),0.5750684235581477)</f>
        <v>0.5750684236</v>
      </c>
      <c r="AG239" s="30">
        <f>IFERROR(__xludf.DUMMYFUNCTION("""COMPUTED_VALUE"""),0.9539596299265658)</f>
        <v>0.9539596299</v>
      </c>
      <c r="AH239" s="30">
        <f>IFERROR(__xludf.DUMMYFUNCTION("""COMPUTED_VALUE"""),0.9169853924796669)</f>
        <v>0.9169853925</v>
      </c>
      <c r="AI239" s="30">
        <f>IFERROR(__xludf.DUMMYFUNCTION("""COMPUTED_VALUE"""),1.0101697075930345)</f>
        <v>1.010169708</v>
      </c>
      <c r="AJ239" s="30">
        <f>IFERROR(__xludf.DUMMYFUNCTION("""COMPUTED_VALUE"""),1.0649669593096636)</f>
        <v>1.064966959</v>
      </c>
      <c r="AK239" s="30">
        <f>IFERROR(__xludf.DUMMYFUNCTION("""COMPUTED_VALUE"""),0.9798014602467651)</f>
        <v>0.9798014602</v>
      </c>
      <c r="AL239" s="30">
        <f>IFERROR(__xludf.DUMMYFUNCTION("""COMPUTED_VALUE"""),0.9335551694690697)</f>
        <v>0.9335551695</v>
      </c>
      <c r="AM239" s="30">
        <f>IFERROR(__xludf.DUMMYFUNCTION("""COMPUTED_VALUE"""),1.0134486545770678)</f>
        <v>1.013448655</v>
      </c>
      <c r="AN239" s="30">
        <f>IFERROR(__xludf.DUMMYFUNCTION("""COMPUTED_VALUE"""),0.9903078976530881)</f>
        <v>0.9903078977</v>
      </c>
      <c r="AO239" s="30">
        <f>IFERROR(__xludf.DUMMYFUNCTION("""COMPUTED_VALUE"""),1.0403103234785827)</f>
        <v>1.040310323</v>
      </c>
      <c r="AP239" s="30">
        <f>IFERROR(__xludf.DUMMYFUNCTION("""COMPUTED_VALUE"""),0.5609352479896083)</f>
        <v>0.560935248</v>
      </c>
      <c r="AQ239" s="30">
        <f>IFERROR(__xludf.DUMMYFUNCTION("""COMPUTED_VALUE"""),0.9497523215616792)</f>
        <v>0.9497523216</v>
      </c>
      <c r="AR239" s="30">
        <f>IFERROR(__xludf.DUMMYFUNCTION("""COMPUTED_VALUE"""),0.9475951350161133)</f>
        <v>0.947595135</v>
      </c>
      <c r="AS239" s="30">
        <f>IFERROR(__xludf.DUMMYFUNCTION("""COMPUTED_VALUE"""),56.0)</f>
        <v>56</v>
      </c>
      <c r="AT239" s="30">
        <f>IFERROR(__xludf.DUMMYFUNCTION("""COMPUTED_VALUE"""),0.37171048462739065)</f>
        <v>0.3717104846</v>
      </c>
      <c r="AU239" s="30">
        <f>IFERROR(__xludf.DUMMYFUNCTION("""COMPUTED_VALUE"""),2.0914499141735523)</f>
        <v>2.091449914</v>
      </c>
      <c r="AV239" s="32">
        <f>IFERROR(__xludf.DUMMYFUNCTION("""COMPUTED_VALUE"""),43.44580931219949)</f>
        <v>43.44580931</v>
      </c>
      <c r="AW239" s="32">
        <f>IFERROR(__xludf.DUMMYFUNCTION("""COMPUTED_VALUE"""),-2.5214569359541237)</f>
        <v>-2.521456936</v>
      </c>
      <c r="AX239" s="32">
        <f>IFERROR(__xludf.DUMMYFUNCTION("""COMPUTED_VALUE"""),39.51502157301857)</f>
        <v>39.51502157</v>
      </c>
      <c r="AY239" s="32">
        <f>IFERROR(__xludf.DUMMYFUNCTION("""COMPUTED_VALUE"""),-2.9632946120246246)</f>
        <v>-2.963294612</v>
      </c>
      <c r="AZ239" s="30">
        <f>IFERROR(__xludf.DUMMYFUNCTION("""COMPUTED_VALUE"""),0.44183767607050095)</f>
        <v>0.4418376761</v>
      </c>
      <c r="BA239" s="30">
        <f>IFERROR(__xludf.DUMMYFUNCTION("""COMPUTED_VALUE"""),800.0)</f>
        <v>800</v>
      </c>
    </row>
    <row r="240">
      <c r="A240" s="30" t="str">
        <f>IFERROR(__xludf.DUMMYFUNCTION("""COMPUTED_VALUE"""),"Elite")</f>
        <v>Elite</v>
      </c>
      <c r="B240" s="30" t="str">
        <f>IFERROR(__xludf.DUMMYFUNCTION("""COMPUTED_VALUE"""),"RSC003113")</f>
        <v>RSC003113</v>
      </c>
      <c r="C240" s="30" t="str">
        <f>IFERROR(__xludf.DUMMYFUNCTION("""COMPUTED_VALUE"""),"Nebulade")</f>
        <v>Nebulade</v>
      </c>
      <c r="D240" s="30" t="str">
        <f>IFERROR(__xludf.DUMMYFUNCTION("""COMPUTED_VALUE"""),"Pylons")</f>
        <v>Pylons</v>
      </c>
      <c r="E240" s="30">
        <f>IFERROR(__xludf.DUMMYFUNCTION("""COMPUTED_VALUE"""),36.0)</f>
        <v>36</v>
      </c>
      <c r="F240" s="30">
        <f>IFERROR(__xludf.DUMMYFUNCTION("""COMPUTED_VALUE"""),15.0)</f>
        <v>15</v>
      </c>
      <c r="G240" s="30">
        <f>IFERROR(__xludf.DUMMYFUNCTION("""COMPUTED_VALUE"""),21.0)</f>
        <v>21</v>
      </c>
      <c r="H240" s="42">
        <f>IFERROR(__xludf.DUMMYFUNCTION("""COMPUTED_VALUE"""),0.4166666666666667)</f>
        <v>0.4166666667</v>
      </c>
      <c r="I240" s="42">
        <f>IFERROR(__xludf.DUMMYFUNCTION("""COMPUTED_VALUE"""),0.2727272727272727)</f>
        <v>0.2727272727</v>
      </c>
      <c r="J240" s="30">
        <f>IFERROR(__xludf.DUMMYFUNCTION("""COMPUTED_VALUE"""),344.6388888888889)</f>
        <v>344.6388889</v>
      </c>
      <c r="K240" s="30">
        <f>IFERROR(__xludf.DUMMYFUNCTION("""COMPUTED_VALUE"""),0.75)</f>
        <v>0.75</v>
      </c>
      <c r="L240" s="30">
        <f>IFERROR(__xludf.DUMMYFUNCTION("""COMPUTED_VALUE"""),0.5)</f>
        <v>0.5</v>
      </c>
      <c r="M240" s="30">
        <f>IFERROR(__xludf.DUMMYFUNCTION("""COMPUTED_VALUE"""),1.4166666666666667)</f>
        <v>1.416666667</v>
      </c>
      <c r="N240" s="30">
        <f>IFERROR(__xludf.DUMMYFUNCTION("""COMPUTED_VALUE"""),2.75)</f>
        <v>2.75</v>
      </c>
      <c r="O240" s="30">
        <f>IFERROR(__xludf.DUMMYFUNCTION("""COMPUTED_VALUE"""),366.45370370370364)</f>
        <v>366.4537037</v>
      </c>
      <c r="P240" s="30">
        <f>IFERROR(__xludf.DUMMYFUNCTION("""COMPUTED_VALUE"""),0.8518518518518519)</f>
        <v>0.8518518519</v>
      </c>
      <c r="Q240" s="30">
        <f>IFERROR(__xludf.DUMMYFUNCTION("""COMPUTED_VALUE"""),0.6018518518518519)</f>
        <v>0.6018518519</v>
      </c>
      <c r="R240" s="30">
        <f>IFERROR(__xludf.DUMMYFUNCTION("""COMPUTED_VALUE"""),1.4537037037037033)</f>
        <v>1.453703704</v>
      </c>
      <c r="S240" s="30">
        <f>IFERROR(__xludf.DUMMYFUNCTION("""COMPUTED_VALUE"""),2.620370370370371)</f>
        <v>2.62037037</v>
      </c>
      <c r="T240" s="30">
        <f>IFERROR(__xludf.DUMMYFUNCTION("""COMPUTED_VALUE"""),363.0838485852589)</f>
        <v>363.0838486</v>
      </c>
      <c r="U240" s="30">
        <f>IFERROR(__xludf.DUMMYFUNCTION("""COMPUTED_VALUE"""),0.7708742530293515)</f>
        <v>0.770874253</v>
      </c>
      <c r="V240" s="30">
        <f>IFERROR(__xludf.DUMMYFUNCTION("""COMPUTED_VALUE"""),0.5545130874364107)</f>
        <v>0.5545130874</v>
      </c>
      <c r="W240" s="30">
        <f>IFERROR(__xludf.DUMMYFUNCTION("""COMPUTED_VALUE"""),1.5129005607747694)</f>
        <v>1.512900561</v>
      </c>
      <c r="X240" s="30">
        <f>IFERROR(__xludf.DUMMYFUNCTION("""COMPUTED_VALUE"""),2.5376496998924845)</f>
        <v>2.5376497</v>
      </c>
      <c r="Y240" s="30">
        <f>IFERROR(__xludf.DUMMYFUNCTION("""COMPUTED_VALUE"""),360.48768740226046)</f>
        <v>360.4876874</v>
      </c>
      <c r="Z240" s="30">
        <f>IFERROR(__xludf.DUMMYFUNCTION("""COMPUTED_VALUE"""),0.7695653817972308)</f>
        <v>0.7695653818</v>
      </c>
      <c r="AA240" s="30">
        <f>IFERROR(__xludf.DUMMYFUNCTION("""COMPUTED_VALUE"""),0.586915682149626)</f>
        <v>0.5869156821</v>
      </c>
      <c r="AB240" s="30">
        <f>IFERROR(__xludf.DUMMYFUNCTION("""COMPUTED_VALUE"""),1.3817516391377143)</f>
        <v>1.381751639</v>
      </c>
      <c r="AC240" s="30">
        <f>IFERROR(__xludf.DUMMYFUNCTION("""COMPUTED_VALUE"""),2.7456542761694327)</f>
        <v>2.745654276</v>
      </c>
      <c r="AD240" s="30">
        <f>IFERROR(__xludf.DUMMYFUNCTION("""COMPUTED_VALUE"""),0.9560351183487545)</f>
        <v>0.9560351183</v>
      </c>
      <c r="AE240" s="30">
        <f>IFERROR(__xludf.DUMMYFUNCTION("""COMPUTED_VALUE"""),0.9745760629830592)</f>
        <v>0.974576063</v>
      </c>
      <c r="AF240" s="30">
        <f>IFERROR(__xludf.DUMMYFUNCTION("""COMPUTED_VALUE"""),0.8519111266012006)</f>
        <v>0.8519111266</v>
      </c>
      <c r="AG240" s="30">
        <f>IFERROR(__xludf.DUMMYFUNCTION("""COMPUTED_VALUE"""),1.025268670968063)</f>
        <v>1.025268671</v>
      </c>
      <c r="AH240" s="30">
        <f>IFERROR(__xludf.DUMMYFUNCTION("""COMPUTED_VALUE"""),1.0015827643954613)</f>
        <v>1.001582764</v>
      </c>
      <c r="AI240" s="30">
        <f>IFERROR(__xludf.DUMMYFUNCTION("""COMPUTED_VALUE"""),1.0092812035885794)</f>
        <v>1.009281204</v>
      </c>
      <c r="AJ240" s="30">
        <f>IFERROR(__xludf.DUMMYFUNCTION("""COMPUTED_VALUE"""),1.1050464437024297)</f>
        <v>1.105046444</v>
      </c>
      <c r="AK240" s="30">
        <f>IFERROR(__xludf.DUMMYFUNCTION("""COMPUTED_VALUE"""),1.0853699677933566)</f>
        <v>1.085369968</v>
      </c>
      <c r="AL240" s="30">
        <f>IFERROR(__xludf.DUMMYFUNCTION("""COMPUTED_VALUE"""),0.960871944524397)</f>
        <v>0.9608719445</v>
      </c>
      <c r="AM240" s="30">
        <f>IFERROR(__xludf.DUMMYFUNCTION("""COMPUTED_VALUE"""),1.0325973559240236)</f>
        <v>1.032597356</v>
      </c>
      <c r="AN240" s="30">
        <f>IFERROR(__xludf.DUMMYFUNCTION("""COMPUTED_VALUE"""),0.9771201531821764)</f>
        <v>0.9771201532</v>
      </c>
      <c r="AO240" s="30">
        <f>IFERROR(__xludf.DUMMYFUNCTION("""COMPUTED_VALUE"""),1.0516180443859584)</f>
        <v>1.051618044</v>
      </c>
      <c r="AP240" s="30">
        <f>IFERROR(__xludf.DUMMYFUNCTION("""COMPUTED_VALUE"""),0.8694496343838928)</f>
        <v>0.8694496344</v>
      </c>
      <c r="AQ240" s="30">
        <f>IFERROR(__xludf.DUMMYFUNCTION("""COMPUTED_VALUE"""),0.9930941933789781)</f>
        <v>0.9930941934</v>
      </c>
      <c r="AR240" s="30">
        <f>IFERROR(__xludf.DUMMYFUNCTION("""COMPUTED_VALUE"""),1.0916552062178873)</f>
        <v>1.091655206</v>
      </c>
      <c r="AS240" s="30">
        <f>IFERROR(__xludf.DUMMYFUNCTION("""COMPUTED_VALUE"""),83.0)</f>
        <v>83</v>
      </c>
      <c r="AT240" s="30">
        <f>IFERROR(__xludf.DUMMYFUNCTION("""COMPUTED_VALUE"""),0.45957019097297414)</f>
        <v>0.459570191</v>
      </c>
      <c r="AU240" s="30">
        <f>IFERROR(__xludf.DUMMYFUNCTION("""COMPUTED_VALUE"""),2.3243222129435654)</f>
        <v>2.324322213</v>
      </c>
      <c r="AV240" s="32">
        <f>IFERROR(__xludf.DUMMYFUNCTION("""COMPUTED_VALUE"""),49.98939495124653)</f>
        <v>49.98939495</v>
      </c>
      <c r="AW240" s="32">
        <f>IFERROR(__xludf.DUMMYFUNCTION("""COMPUTED_VALUE"""),-2.000677157546626)</f>
        <v>-2.000677158</v>
      </c>
      <c r="AX240" s="32">
        <f>IFERROR(__xludf.DUMMYFUNCTION("""COMPUTED_VALUE"""),44.366904503622706)</f>
        <v>44.3669045</v>
      </c>
      <c r="AY240" s="32">
        <f>IFERROR(__xludf.DUMMYFUNCTION("""COMPUTED_VALUE"""),-2.4338972653978312)</f>
        <v>-2.433897265</v>
      </c>
      <c r="AZ240" s="30">
        <f>IFERROR(__xludf.DUMMYFUNCTION("""COMPUTED_VALUE"""),0.43322010785120524)</f>
        <v>0.4332201079</v>
      </c>
      <c r="BA240" s="30">
        <f>IFERROR(__xludf.DUMMYFUNCTION("""COMPUTED_VALUE"""),800.0)</f>
        <v>800</v>
      </c>
    </row>
    <row r="241">
      <c r="A241" s="30" t="str">
        <f>IFERROR(__xludf.DUMMYFUNCTION("""COMPUTED_VALUE"""),"Elite")</f>
        <v>Elite</v>
      </c>
      <c r="B241" s="30" t="str">
        <f>IFERROR(__xludf.DUMMYFUNCTION("""COMPUTED_VALUE"""),"RSC007836")</f>
        <v>RSC007836</v>
      </c>
      <c r="C241" s="30" t="str">
        <f>IFERROR(__xludf.DUMMYFUNCTION("""COMPUTED_VALUE"""),"Eclipse")</f>
        <v>Eclipse</v>
      </c>
      <c r="D241" s="30" t="str">
        <f>IFERROR(__xludf.DUMMYFUNCTION("""COMPUTED_VALUE"""),"Great Whites")</f>
        <v>Great Whites</v>
      </c>
      <c r="E241" s="30">
        <f>IFERROR(__xludf.DUMMYFUNCTION("""COMPUTED_VALUE"""),36.0)</f>
        <v>36</v>
      </c>
      <c r="F241" s="30">
        <f>IFERROR(__xludf.DUMMYFUNCTION("""COMPUTED_VALUE"""),26.0)</f>
        <v>26</v>
      </c>
      <c r="G241" s="30">
        <f>IFERROR(__xludf.DUMMYFUNCTION("""COMPUTED_VALUE"""),10.0)</f>
        <v>10</v>
      </c>
      <c r="H241" s="42">
        <f>IFERROR(__xludf.DUMMYFUNCTION("""COMPUTED_VALUE"""),0.7222222222222222)</f>
        <v>0.7222222222</v>
      </c>
      <c r="I241" s="42">
        <f>IFERROR(__xludf.DUMMYFUNCTION("""COMPUTED_VALUE"""),0.3103448275862069)</f>
        <v>0.3103448276</v>
      </c>
      <c r="J241" s="30">
        <f>IFERROR(__xludf.DUMMYFUNCTION("""COMPUTED_VALUE"""),351.1111111111111)</f>
        <v>351.1111111</v>
      </c>
      <c r="K241" s="30">
        <f>IFERROR(__xludf.DUMMYFUNCTION("""COMPUTED_VALUE"""),0.75)</f>
        <v>0.75</v>
      </c>
      <c r="L241" s="30">
        <f>IFERROR(__xludf.DUMMYFUNCTION("""COMPUTED_VALUE"""),0.7222222222222222)</f>
        <v>0.7222222222</v>
      </c>
      <c r="M241" s="30">
        <f>IFERROR(__xludf.DUMMYFUNCTION("""COMPUTED_VALUE"""),1.2222222222222223)</f>
        <v>1.222222222</v>
      </c>
      <c r="N241" s="30">
        <f>IFERROR(__xludf.DUMMYFUNCTION("""COMPUTED_VALUE"""),2.4166666666666665)</f>
        <v>2.416666667</v>
      </c>
      <c r="O241" s="30">
        <f>IFERROR(__xludf.DUMMYFUNCTION("""COMPUTED_VALUE"""),310.72222222222223)</f>
        <v>310.7222222</v>
      </c>
      <c r="P241" s="30">
        <f>IFERROR(__xludf.DUMMYFUNCTION("""COMPUTED_VALUE"""),0.4907407407407407)</f>
        <v>0.4907407407</v>
      </c>
      <c r="Q241" s="30">
        <f>IFERROR(__xludf.DUMMYFUNCTION("""COMPUTED_VALUE"""),0.38888888888888895)</f>
        <v>0.3888888889</v>
      </c>
      <c r="R241" s="30">
        <f>IFERROR(__xludf.DUMMYFUNCTION("""COMPUTED_VALUE"""),1.4907407407407405)</f>
        <v>1.490740741</v>
      </c>
      <c r="S241" s="30">
        <f>IFERROR(__xludf.DUMMYFUNCTION("""COMPUTED_VALUE"""),2.092592592592593)</f>
        <v>2.092592593</v>
      </c>
      <c r="T241" s="30">
        <f>IFERROR(__xludf.DUMMYFUNCTION("""COMPUTED_VALUE"""),358.52030794008505)</f>
        <v>358.5203079</v>
      </c>
      <c r="U241" s="30">
        <f>IFERROR(__xludf.DUMMYFUNCTION("""COMPUTED_VALUE"""),0.7215708039689926)</f>
        <v>0.721570804</v>
      </c>
      <c r="V241" s="30">
        <f>IFERROR(__xludf.DUMMYFUNCTION("""COMPUTED_VALUE"""),0.49731693790984277)</f>
        <v>0.4973169379</v>
      </c>
      <c r="W241" s="30">
        <f>IFERROR(__xludf.DUMMYFUNCTION("""COMPUTED_VALUE"""),1.5459243466588326)</f>
        <v>1.545924347</v>
      </c>
      <c r="X241" s="30">
        <f>IFERROR(__xludf.DUMMYFUNCTION("""COMPUTED_VALUE"""),2.604063459953826)</f>
        <v>2.60406346</v>
      </c>
      <c r="Y241" s="30">
        <f>IFERROR(__xludf.DUMMYFUNCTION("""COMPUTED_VALUE"""),377.29435819496007)</f>
        <v>377.2943582</v>
      </c>
      <c r="Z241" s="30">
        <f>IFERROR(__xludf.DUMMYFUNCTION("""COMPUTED_VALUE"""),0.8384841157768189)</f>
        <v>0.8384841158</v>
      </c>
      <c r="AA241" s="30">
        <f>IFERROR(__xludf.DUMMYFUNCTION("""COMPUTED_VALUE"""),0.6582132819954238)</f>
        <v>0.658213282</v>
      </c>
      <c r="AB241" s="30">
        <f>IFERROR(__xludf.DUMMYFUNCTION("""COMPUTED_VALUE"""),1.456329126162349)</f>
        <v>1.456329126</v>
      </c>
      <c r="AC241" s="30">
        <f>IFERROR(__xludf.DUMMYFUNCTION("""COMPUTED_VALUE"""),2.862894459725231)</f>
        <v>2.86289446</v>
      </c>
      <c r="AD241" s="30">
        <f>IFERROR(__xludf.DUMMYFUNCTION("""COMPUTED_VALUE"""),0.9306026010854919)</f>
        <v>0.9306026011</v>
      </c>
      <c r="AE241" s="30">
        <f>IFERROR(__xludf.DUMMYFUNCTION("""COMPUTED_VALUE"""),0.894471327349067)</f>
        <v>0.8944713273</v>
      </c>
      <c r="AF241" s="30">
        <f>IFERROR(__xludf.DUMMYFUNCTION("""COMPUTED_VALUE"""),1.097246503493139)</f>
        <v>1.097246503</v>
      </c>
      <c r="AG241" s="30">
        <f>IFERROR(__xludf.DUMMYFUNCTION("""COMPUTED_VALUE"""),0.8392486288061585)</f>
        <v>0.8392486288</v>
      </c>
      <c r="AH241" s="30">
        <f>IFERROR(__xludf.DUMMYFUNCTION("""COMPUTED_VALUE"""),0.8441340400996159)</f>
        <v>0.8441340401</v>
      </c>
      <c r="AI241" s="30">
        <f>IFERROR(__xludf.DUMMYFUNCTION("""COMPUTED_VALUE"""),0.8666795585653387)</f>
        <v>0.8666795586</v>
      </c>
      <c r="AJ241" s="30">
        <f>IFERROR(__xludf.DUMMYFUNCTION("""COMPUTED_VALUE"""),0.6801006055697187)</f>
        <v>0.6801006056</v>
      </c>
      <c r="AK241" s="30">
        <f>IFERROR(__xludf.DUMMYFUNCTION("""COMPUTED_VALUE"""),0.7819739470835991)</f>
        <v>0.7819739471</v>
      </c>
      <c r="AL241" s="30">
        <f>IFERROR(__xludf.DUMMYFUNCTION("""COMPUTED_VALUE"""),0.9643038121255034)</f>
        <v>0.9643038121</v>
      </c>
      <c r="AM241" s="30">
        <f>IFERROR(__xludf.DUMMYFUNCTION("""COMPUTED_VALUE"""),0.803587402831457)</f>
        <v>0.8035874028</v>
      </c>
      <c r="AN241" s="30">
        <f>IFERROR(__xludf.DUMMYFUNCTION("""COMPUTED_VALUE"""),0.9954701971647222)</f>
        <v>0.9954701972</v>
      </c>
      <c r="AO241" s="30">
        <f>IFERROR(__xludf.DUMMYFUNCTION("""COMPUTED_VALUE"""),1.0516180443859584)</f>
        <v>1.051618044</v>
      </c>
      <c r="AP241" s="30">
        <f>IFERROR(__xludf.DUMMYFUNCTION("""COMPUTED_VALUE"""),1.2558716941100674)</f>
        <v>1.255871694</v>
      </c>
      <c r="AQ241" s="30">
        <f>IFERROR(__xludf.DUMMYFUNCTION("""COMPUTED_VALUE"""),0.8567871472289224)</f>
        <v>0.8567871472</v>
      </c>
      <c r="AR241" s="30">
        <f>IFERROR(__xludf.DUMMYFUNCTION("""COMPUTED_VALUE"""),0.9593333630399614)</f>
        <v>0.959333363</v>
      </c>
      <c r="AS241" s="30">
        <f>IFERROR(__xludf.DUMMYFUNCTION("""COMPUTED_VALUE"""),100.0)</f>
        <v>100</v>
      </c>
      <c r="AT241" s="30">
        <f>IFERROR(__xludf.DUMMYFUNCTION("""COMPUTED_VALUE"""),0.7234613670445539)</f>
        <v>0.723461367</v>
      </c>
      <c r="AU241" s="30">
        <f>IFERROR(__xludf.DUMMYFUNCTION("""COMPUTED_VALUE"""),2.6810233934095287)</f>
        <v>2.681023393</v>
      </c>
      <c r="AV241" s="32">
        <f>IFERROR(__xludf.DUMMYFUNCTION("""COMPUTED_VALUE"""),60.012505189160166)</f>
        <v>60.01250519</v>
      </c>
      <c r="AW241" s="32">
        <f>IFERROR(__xludf.DUMMYFUNCTION("""COMPUTED_VALUE"""),2.9036505001544834)</f>
        <v>2.9036505</v>
      </c>
      <c r="AX241" s="32">
        <f>IFERROR(__xludf.DUMMYFUNCTION("""COMPUTED_VALUE"""),56.05936453270581)</f>
        <v>56.05936453</v>
      </c>
      <c r="AY241" s="32">
        <f>IFERROR(__xludf.DUMMYFUNCTION("""COMPUTED_VALUE"""),2.473747575114349)</f>
        <v>2.473747575</v>
      </c>
      <c r="AZ241" s="30">
        <f>IFERROR(__xludf.DUMMYFUNCTION("""COMPUTED_VALUE"""),0.4299029250401345)</f>
        <v>0.429902925</v>
      </c>
      <c r="BA241" s="30">
        <f>IFERROR(__xludf.DUMMYFUNCTION("""COMPUTED_VALUE"""),800.0)</f>
        <v>800</v>
      </c>
    </row>
    <row r="242">
      <c r="A242" s="30" t="str">
        <f>IFERROR(__xludf.DUMMYFUNCTION("""COMPUTED_VALUE"""),"Elite")</f>
        <v>Elite</v>
      </c>
      <c r="B242" s="30" t="str">
        <f>IFERROR(__xludf.DUMMYFUNCTION("""COMPUTED_VALUE"""),"RSC007629")</f>
        <v>RSC007629</v>
      </c>
      <c r="C242" s="30" t="str">
        <f>IFERROR(__xludf.DUMMYFUNCTION("""COMPUTED_VALUE"""),"Mochi")</f>
        <v>Mochi</v>
      </c>
      <c r="D242" s="30" t="str">
        <f>IFERROR(__xludf.DUMMYFUNCTION("""COMPUTED_VALUE"""),"Desolation")</f>
        <v>Desolation</v>
      </c>
      <c r="E242" s="30">
        <f>IFERROR(__xludf.DUMMYFUNCTION("""COMPUTED_VALUE"""),8.0)</f>
        <v>8</v>
      </c>
      <c r="F242" s="30">
        <f>IFERROR(__xludf.DUMMYFUNCTION("""COMPUTED_VALUE"""),5.0)</f>
        <v>5</v>
      </c>
      <c r="G242" s="30">
        <f>IFERROR(__xludf.DUMMYFUNCTION("""COMPUTED_VALUE"""),3.0)</f>
        <v>3</v>
      </c>
      <c r="H242" s="42">
        <f>IFERROR(__xludf.DUMMYFUNCTION("""COMPUTED_VALUE"""),0.625)</f>
        <v>0.625</v>
      </c>
      <c r="I242" s="42">
        <f>IFERROR(__xludf.DUMMYFUNCTION("""COMPUTED_VALUE"""),0.23076923076923078)</f>
        <v>0.2307692308</v>
      </c>
      <c r="J242" s="30">
        <f>IFERROR(__xludf.DUMMYFUNCTION("""COMPUTED_VALUE"""),268.75)</f>
        <v>268.75</v>
      </c>
      <c r="K242" s="30">
        <f>IFERROR(__xludf.DUMMYFUNCTION("""COMPUTED_VALUE"""),0.375)</f>
        <v>0.375</v>
      </c>
      <c r="L242" s="30">
        <f>IFERROR(__xludf.DUMMYFUNCTION("""COMPUTED_VALUE"""),0.875)</f>
        <v>0.875</v>
      </c>
      <c r="M242" s="30">
        <f>IFERROR(__xludf.DUMMYFUNCTION("""COMPUTED_VALUE"""),1.0)</f>
        <v>1</v>
      </c>
      <c r="N242" s="30">
        <f>IFERROR(__xludf.DUMMYFUNCTION("""COMPUTED_VALUE"""),1.625)</f>
        <v>1.625</v>
      </c>
      <c r="O242" s="30">
        <f>IFERROR(__xludf.DUMMYFUNCTION("""COMPUTED_VALUE"""),368.20833333333337)</f>
        <v>368.2083333</v>
      </c>
      <c r="P242" s="30">
        <f>IFERROR(__xludf.DUMMYFUNCTION("""COMPUTED_VALUE"""),0.9583333333333333)</f>
        <v>0.9583333333</v>
      </c>
      <c r="Q242" s="30">
        <f>IFERROR(__xludf.DUMMYFUNCTION("""COMPUTED_VALUE"""),0.7083333333333333)</f>
        <v>0.7083333333</v>
      </c>
      <c r="R242" s="30">
        <f>IFERROR(__xludf.DUMMYFUNCTION("""COMPUTED_VALUE"""),0.9166666666666666)</f>
        <v>0.9166666667</v>
      </c>
      <c r="S242" s="30">
        <f>IFERROR(__xludf.DUMMYFUNCTION("""COMPUTED_VALUE"""),2.625)</f>
        <v>2.625</v>
      </c>
      <c r="T242" s="30">
        <f>IFERROR(__xludf.DUMMYFUNCTION("""COMPUTED_VALUE"""),367.6379853743)</f>
        <v>367.6379854</v>
      </c>
      <c r="U242" s="30">
        <f>IFERROR(__xludf.DUMMYFUNCTION("""COMPUTED_VALUE"""),0.7552820144414971)</f>
        <v>0.7552820144</v>
      </c>
      <c r="V242" s="30">
        <f>IFERROR(__xludf.DUMMYFUNCTION("""COMPUTED_VALUE"""),0.6569693118184498)</f>
        <v>0.6569693118</v>
      </c>
      <c r="W242" s="30">
        <f>IFERROR(__xludf.DUMMYFUNCTION("""COMPUTED_VALUE"""),1.3329253241968757)</f>
        <v>1.332925324</v>
      </c>
      <c r="X242" s="30">
        <f>IFERROR(__xludf.DUMMYFUNCTION("""COMPUTED_VALUE"""),2.817727674624227)</f>
        <v>2.817727675</v>
      </c>
      <c r="Y242" s="30">
        <f>IFERROR(__xludf.DUMMYFUNCTION("""COMPUTED_VALUE"""),371.2612879457707)</f>
        <v>371.2612879</v>
      </c>
      <c r="Z242" s="30">
        <f>IFERROR(__xludf.DUMMYFUNCTION("""COMPUTED_VALUE"""),0.7663731702524808)</f>
        <v>0.7663731703</v>
      </c>
      <c r="AA242" s="30">
        <f>IFERROR(__xludf.DUMMYFUNCTION("""COMPUTED_VALUE"""),0.5455349248452697)</f>
        <v>0.5455349248</v>
      </c>
      <c r="AB242" s="30">
        <f>IFERROR(__xludf.DUMMYFUNCTION("""COMPUTED_VALUE"""),1.628841855781511)</f>
        <v>1.628841856</v>
      </c>
      <c r="AC242" s="30">
        <f>IFERROR(__xludf.DUMMYFUNCTION("""COMPUTED_VALUE"""),2.4390810737793505)</f>
        <v>2.439081074</v>
      </c>
      <c r="AD242" s="30">
        <f>IFERROR(__xludf.DUMMYFUNCTION("""COMPUTED_VALUE"""),0.7238837140468459)</f>
        <v>0.723883714</v>
      </c>
      <c r="AE242" s="30">
        <f>IFERROR(__xludf.DUMMYFUNCTION("""COMPUTED_VALUE"""),0.48931775609584127)</f>
        <v>0.4893177561</v>
      </c>
      <c r="AF242" s="30">
        <f>IFERROR(__xludf.DUMMYFUNCTION("""COMPUTED_VALUE"""),1.6039303079416531)</f>
        <v>1.603930308</v>
      </c>
      <c r="AG242" s="30">
        <f>IFERROR(__xludf.DUMMYFUNCTION("""COMPUTED_VALUE"""),0.613933143018482)</f>
        <v>0.613933143</v>
      </c>
      <c r="AH242" s="30">
        <f>IFERROR(__xludf.DUMMYFUNCTION("""COMPUTED_VALUE"""),0.6662345165435876)</f>
        <v>0.6662345165</v>
      </c>
      <c r="AI242" s="30">
        <f>IFERROR(__xludf.DUMMYFUNCTION("""COMPUTED_VALUE"""),1.0015513847364077)</f>
        <v>1.001551385</v>
      </c>
      <c r="AJ242" s="30">
        <f>IFERROR(__xludf.DUMMYFUNCTION("""COMPUTED_VALUE"""),1.2688417240307053)</f>
        <v>1.268841724</v>
      </c>
      <c r="AK242" s="30">
        <f>IFERROR(__xludf.DUMMYFUNCTION("""COMPUTED_VALUE"""),1.0781832889160547)</f>
        <v>1.078183289</v>
      </c>
      <c r="AL242" s="30">
        <f>IFERROR(__xludf.DUMMYFUNCTION("""COMPUTED_VALUE"""),0.6877104441083252)</f>
        <v>0.6877104441</v>
      </c>
      <c r="AM242" s="30">
        <f>IFERROR(__xludf.DUMMYFUNCTION("""COMPUTED_VALUE"""),0.9316017383937115)</f>
        <v>0.9316017384</v>
      </c>
      <c r="AN242" s="30">
        <f>IFERROR(__xludf.DUMMYFUNCTION("""COMPUTED_VALUE"""),0.7619599808203076)</f>
        <v>0.7619599808</v>
      </c>
      <c r="AO242" s="30">
        <f>IFERROR(__xludf.DUMMYFUNCTION("""COMPUTED_VALUE"""),0.5258090221929792)</f>
        <v>0.5258090222</v>
      </c>
      <c r="AP242" s="30">
        <f>IFERROR(__xludf.DUMMYFUNCTION("""COMPUTED_VALUE"""),1.5215368601718122)</f>
        <v>1.52153686</v>
      </c>
      <c r="AQ242" s="30">
        <f>IFERROR(__xludf.DUMMYFUNCTION("""COMPUTED_VALUE"""),0.7010076659145728)</f>
        <v>0.7010076659</v>
      </c>
      <c r="AR242" s="30">
        <f>IFERROR(__xludf.DUMMYFUNCTION("""COMPUTED_VALUE"""),0.6450689854923879)</f>
        <v>0.6450689855</v>
      </c>
      <c r="AS242" s="30">
        <f>IFERROR(__xludf.DUMMYFUNCTION("""COMPUTED_VALUE"""),26.0)</f>
        <v>26</v>
      </c>
      <c r="AT242" s="30">
        <f>IFERROR(__xludf.DUMMYFUNCTION("""COMPUTED_VALUE"""),0.5513809810810274)</f>
        <v>0.5513809811</v>
      </c>
      <c r="AU242" s="30">
        <f>IFERROR(__xludf.DUMMYFUNCTION("""COMPUTED_VALUE"""),1.5147567620369795)</f>
        <v>1.514756762</v>
      </c>
      <c r="AV242" s="32">
        <f>IFERROR(__xludf.DUMMYFUNCTION("""COMPUTED_VALUE"""),27.241043659997434)</f>
        <v>27.24104366</v>
      </c>
      <c r="AW242" s="32">
        <f>IFERROR(__xludf.DUMMYFUNCTION("""COMPUTED_VALUE"""),-5.515208645313453)</f>
        <v>-5.515208645</v>
      </c>
      <c r="AX242" s="32">
        <f>IFERROR(__xludf.DUMMYFUNCTION("""COMPUTED_VALUE"""),28.619920189021254)</f>
        <v>28.61992019</v>
      </c>
      <c r="AY242" s="32">
        <f>IFERROR(__xludf.DUMMYFUNCTION("""COMPUTED_VALUE"""),-5.0963377391501234)</f>
        <v>-5.096337739</v>
      </c>
      <c r="AZ242" s="30">
        <f>IFERROR(__xludf.DUMMYFUNCTION("""COMPUTED_VALUE"""),0.41887090616332934)</f>
        <v>0.4188709062</v>
      </c>
      <c r="BA242" s="30">
        <f>IFERROR(__xludf.DUMMYFUNCTION("""COMPUTED_VALUE"""),800.0)</f>
        <v>800</v>
      </c>
    </row>
    <row r="243">
      <c r="A243" s="30" t="str">
        <f>IFERROR(__xludf.DUMMYFUNCTION("""COMPUTED_VALUE"""),"Elite")</f>
        <v>Elite</v>
      </c>
      <c r="B243" s="30" t="str">
        <f>IFERROR(__xludf.DUMMYFUNCTION("""COMPUTED_VALUE"""),"RSC007166")</f>
        <v>RSC007166</v>
      </c>
      <c r="C243" s="30" t="str">
        <f>IFERROR(__xludf.DUMMYFUNCTION("""COMPUTED_VALUE"""),"nelz")</f>
        <v>nelz</v>
      </c>
      <c r="D243" s="30" t="str">
        <f>IFERROR(__xludf.DUMMYFUNCTION("""COMPUTED_VALUE"""),"Ghastly Goombahs")</f>
        <v>Ghastly Goombahs</v>
      </c>
      <c r="E243" s="30">
        <f>IFERROR(__xludf.DUMMYFUNCTION("""COMPUTED_VALUE"""),32.0)</f>
        <v>32</v>
      </c>
      <c r="F243" s="30">
        <f>IFERROR(__xludf.DUMMYFUNCTION("""COMPUTED_VALUE"""),13.0)</f>
        <v>13</v>
      </c>
      <c r="G243" s="30">
        <f>IFERROR(__xludf.DUMMYFUNCTION("""COMPUTED_VALUE"""),19.0)</f>
        <v>19</v>
      </c>
      <c r="H243" s="42">
        <f>IFERROR(__xludf.DUMMYFUNCTION("""COMPUTED_VALUE"""),0.40625)</f>
        <v>0.40625</v>
      </c>
      <c r="I243" s="42">
        <f>IFERROR(__xludf.DUMMYFUNCTION("""COMPUTED_VALUE"""),0.2608695652173913)</f>
        <v>0.2608695652</v>
      </c>
      <c r="J243" s="30">
        <f>IFERROR(__xludf.DUMMYFUNCTION("""COMPUTED_VALUE"""),392.09375)</f>
        <v>392.09375</v>
      </c>
      <c r="K243" s="30">
        <f>IFERROR(__xludf.DUMMYFUNCTION("""COMPUTED_VALUE"""),0.75)</f>
        <v>0.75</v>
      </c>
      <c r="L243" s="30">
        <f>IFERROR(__xludf.DUMMYFUNCTION("""COMPUTED_VALUE"""),0.59375)</f>
        <v>0.59375</v>
      </c>
      <c r="M243" s="30">
        <f>IFERROR(__xludf.DUMMYFUNCTION("""COMPUTED_VALUE"""),1.875)</f>
        <v>1.875</v>
      </c>
      <c r="N243" s="30">
        <f>IFERROR(__xludf.DUMMYFUNCTION("""COMPUTED_VALUE"""),2.875)</f>
        <v>2.875</v>
      </c>
      <c r="O243" s="30">
        <f>IFERROR(__xludf.DUMMYFUNCTION("""COMPUTED_VALUE"""),367.75000000000006)</f>
        <v>367.75</v>
      </c>
      <c r="P243" s="30">
        <f>IFERROR(__xludf.DUMMYFUNCTION("""COMPUTED_VALUE"""),0.8125000000000001)</f>
        <v>0.8125</v>
      </c>
      <c r="Q243" s="30">
        <f>IFERROR(__xludf.DUMMYFUNCTION("""COMPUTED_VALUE"""),0.5624999999999999)</f>
        <v>0.5625</v>
      </c>
      <c r="R243" s="30">
        <f>IFERROR(__xludf.DUMMYFUNCTION("""COMPUTED_VALUE"""),1.40625)</f>
        <v>1.40625</v>
      </c>
      <c r="S243" s="30">
        <f>IFERROR(__xludf.DUMMYFUNCTION("""COMPUTED_VALUE"""),2.760416666666666)</f>
        <v>2.760416667</v>
      </c>
      <c r="T243" s="30">
        <f>IFERROR(__xludf.DUMMYFUNCTION("""COMPUTED_VALUE"""),365.46733534317866)</f>
        <v>365.4673353</v>
      </c>
      <c r="U243" s="30">
        <f>IFERROR(__xludf.DUMMYFUNCTION("""COMPUTED_VALUE"""),0.7914945413662844)</f>
        <v>0.7914945414</v>
      </c>
      <c r="V243" s="30">
        <f>IFERROR(__xludf.DUMMYFUNCTION("""COMPUTED_VALUE"""),0.5857333705142032)</f>
        <v>0.5857333705</v>
      </c>
      <c r="W243" s="30">
        <f>IFERROR(__xludf.DUMMYFUNCTION("""COMPUTED_VALUE"""),1.4172679982179812)</f>
        <v>1.417267998</v>
      </c>
      <c r="X243" s="30">
        <f>IFERROR(__xludf.DUMMYFUNCTION("""COMPUTED_VALUE"""),2.7479840143283583)</f>
        <v>2.747984014</v>
      </c>
      <c r="Y243" s="30">
        <f>IFERROR(__xludf.DUMMYFUNCTION("""COMPUTED_VALUE"""),359.7567060421768)</f>
        <v>359.756706</v>
      </c>
      <c r="Z243" s="30">
        <f>IFERROR(__xludf.DUMMYFUNCTION("""COMPUTED_VALUE"""),0.7636794767382231)</f>
        <v>0.7636794767</v>
      </c>
      <c r="AA243" s="30">
        <f>IFERROR(__xludf.DUMMYFUNCTION("""COMPUTED_VALUE"""),0.5730972132691127)</f>
        <v>0.5730972133</v>
      </c>
      <c r="AB243" s="30">
        <f>IFERROR(__xludf.DUMMYFUNCTION("""COMPUTED_VALUE"""),1.432718995469001)</f>
        <v>1.432718995</v>
      </c>
      <c r="AC243" s="30">
        <f>IFERROR(__xludf.DUMMYFUNCTION("""COMPUTED_VALUE"""),2.6171151813384683)</f>
        <v>2.617115181</v>
      </c>
      <c r="AD243" s="30">
        <f>IFERROR(__xludf.DUMMYFUNCTION("""COMPUTED_VALUE"""),1.0898858684625383)</f>
        <v>1.089885868</v>
      </c>
      <c r="AE243" s="30">
        <f>IFERROR(__xludf.DUMMYFUNCTION("""COMPUTED_VALUE"""),0.9820874108118631)</f>
        <v>0.9820874108</v>
      </c>
      <c r="AF243" s="30">
        <f>IFERROR(__xludf.DUMMYFUNCTION("""COMPUTED_VALUE"""),1.0360371438783968)</f>
        <v>1.036037144</v>
      </c>
      <c r="AG243" s="30">
        <f>IFERROR(__xludf.DUMMYFUNCTION("""COMPUTED_VALUE"""),1.308700454122351)</f>
        <v>1.308700454</v>
      </c>
      <c r="AH243" s="30">
        <f>IFERROR(__xludf.DUMMYFUNCTION("""COMPUTED_VALUE"""),1.0985378177087497)</f>
        <v>1.098537818</v>
      </c>
      <c r="AI243" s="30">
        <f>IFERROR(__xludf.DUMMYFUNCTION("""COMPUTED_VALUE"""),1.0062458787313453)</f>
        <v>1.006245879</v>
      </c>
      <c r="AJ243" s="30">
        <f>IFERROR(__xludf.DUMMYFUNCTION("""COMPUTED_VALUE"""),1.0265389810490113)</f>
        <v>1.026538981</v>
      </c>
      <c r="AK243" s="30">
        <f>IFERROR(__xludf.DUMMYFUNCTION("""COMPUTED_VALUE"""),0.960334562304676)</f>
        <v>0.9603345623</v>
      </c>
      <c r="AL243" s="30">
        <f>IFERROR(__xludf.DUMMYFUNCTION("""COMPUTED_VALUE"""),0.9922258893647251)</f>
        <v>0.9922258894</v>
      </c>
      <c r="AM243" s="30">
        <f>IFERROR(__xludf.DUMMYFUNCTION("""COMPUTED_VALUE"""),1.0045242811724822)</f>
        <v>1.004524281</v>
      </c>
      <c r="AN243" s="30">
        <f>IFERROR(__xludf.DUMMYFUNCTION("""COMPUTED_VALUE"""),1.1116641720177207)</f>
        <v>1.111664172</v>
      </c>
      <c r="AO243" s="30">
        <f>IFERROR(__xludf.DUMMYFUNCTION("""COMPUTED_VALUE"""),1.0516180443859584)</f>
        <v>1.051618044</v>
      </c>
      <c r="AP243" s="30">
        <f>IFERROR(__xludf.DUMMYFUNCTION("""COMPUTED_VALUE"""),1.0324714408308726)</f>
        <v>1.032471441</v>
      </c>
      <c r="AQ243" s="30">
        <f>IFERROR(__xludf.DUMMYFUNCTION("""COMPUTED_VALUE"""),1.314389373589824)</f>
        <v>1.314389374</v>
      </c>
      <c r="AR243" s="30">
        <f>IFERROR(__xludf.DUMMYFUNCTION("""COMPUTED_VALUE"""),1.1412758974096093)</f>
        <v>1.141275897</v>
      </c>
      <c r="AS243" s="30">
        <f>IFERROR(__xludf.DUMMYFUNCTION("""COMPUTED_VALUE"""),64.0)</f>
        <v>64</v>
      </c>
      <c r="AT243" s="30">
        <f>IFERROR(__xludf.DUMMYFUNCTION("""COMPUTED_VALUE"""),0.4247272289059478)</f>
        <v>0.4247272289</v>
      </c>
      <c r="AU243" s="30">
        <f>IFERROR(__xludf.DUMMYFUNCTION("""COMPUTED_VALUE"""),2.703597271244097)</f>
        <v>2.703597271</v>
      </c>
      <c r="AV243" s="32">
        <f>IFERROR(__xludf.DUMMYFUNCTION("""COMPUTED_VALUE"""),60.64681894651165)</f>
        <v>60.64681895</v>
      </c>
      <c r="AW243" s="32">
        <f>IFERROR(__xludf.DUMMYFUNCTION("""COMPUTED_VALUE"""),2.984181303226538)</f>
        <v>2.984181303</v>
      </c>
      <c r="AX243" s="32">
        <f>IFERROR(__xludf.DUMMYFUNCTION("""COMPUTED_VALUE"""),57.16099102025201)</f>
        <v>57.16099102</v>
      </c>
      <c r="AY243" s="32">
        <f>IFERROR(__xludf.DUMMYFUNCTION("""COMPUTED_VALUE"""),2.5821730846894018)</f>
        <v>2.582173085</v>
      </c>
      <c r="AZ243" s="30">
        <f>IFERROR(__xludf.DUMMYFUNCTION("""COMPUTED_VALUE"""),0.4020082185371363)</f>
        <v>0.4020082185</v>
      </c>
      <c r="BA243" s="30">
        <f>IFERROR(__xludf.DUMMYFUNCTION("""COMPUTED_VALUE"""),800.0)</f>
        <v>800</v>
      </c>
    </row>
    <row r="244">
      <c r="A244" s="30" t="str">
        <f>IFERROR(__xludf.DUMMYFUNCTION("""COMPUTED_VALUE"""),"Elite")</f>
        <v>Elite</v>
      </c>
      <c r="B244" s="30" t="str">
        <f>IFERROR(__xludf.DUMMYFUNCTION("""COMPUTED_VALUE"""),"RSC007382")</f>
        <v>RSC007382</v>
      </c>
      <c r="C244" s="30" t="str">
        <f>IFERROR(__xludf.DUMMYFUNCTION("""COMPUTED_VALUE"""),"takeeover")</f>
        <v>takeeover</v>
      </c>
      <c r="D244" s="30" t="str">
        <f>IFERROR(__xludf.DUMMYFUNCTION("""COMPUTED_VALUE"""),"Afterburners")</f>
        <v>Afterburners</v>
      </c>
      <c r="E244" s="30">
        <f>IFERROR(__xludf.DUMMYFUNCTION("""COMPUTED_VALUE"""),36.0)</f>
        <v>36</v>
      </c>
      <c r="F244" s="30">
        <f>IFERROR(__xludf.DUMMYFUNCTION("""COMPUTED_VALUE"""),19.0)</f>
        <v>19</v>
      </c>
      <c r="G244" s="30">
        <f>IFERROR(__xludf.DUMMYFUNCTION("""COMPUTED_VALUE"""),17.0)</f>
        <v>17</v>
      </c>
      <c r="H244" s="42">
        <f>IFERROR(__xludf.DUMMYFUNCTION("""COMPUTED_VALUE"""),0.5277777777777778)</f>
        <v>0.5277777778</v>
      </c>
      <c r="I244" s="42">
        <f>IFERROR(__xludf.DUMMYFUNCTION("""COMPUTED_VALUE"""),0.23958333333333331)</f>
        <v>0.2395833333</v>
      </c>
      <c r="J244" s="30">
        <f>IFERROR(__xludf.DUMMYFUNCTION("""COMPUTED_VALUE"""),411.55555555555554)</f>
        <v>411.5555556</v>
      </c>
      <c r="K244" s="30">
        <f>IFERROR(__xludf.DUMMYFUNCTION("""COMPUTED_VALUE"""),0.6388888888888888)</f>
        <v>0.6388888889</v>
      </c>
      <c r="L244" s="30">
        <f>IFERROR(__xludf.DUMMYFUNCTION("""COMPUTED_VALUE"""),0.8611111111111112)</f>
        <v>0.8611111111</v>
      </c>
      <c r="M244" s="30">
        <f>IFERROR(__xludf.DUMMYFUNCTION("""COMPUTED_VALUE"""),2.0)</f>
        <v>2</v>
      </c>
      <c r="N244" s="30">
        <f>IFERROR(__xludf.DUMMYFUNCTION("""COMPUTED_VALUE"""),2.6666666666666665)</f>
        <v>2.666666667</v>
      </c>
      <c r="O244" s="30">
        <f>IFERROR(__xludf.DUMMYFUNCTION("""COMPUTED_VALUE"""),364.287037037037)</f>
        <v>364.287037</v>
      </c>
      <c r="P244" s="30">
        <f>IFERROR(__xludf.DUMMYFUNCTION("""COMPUTED_VALUE"""),0.7500000000000001)</f>
        <v>0.75</v>
      </c>
      <c r="Q244" s="30">
        <f>IFERROR(__xludf.DUMMYFUNCTION("""COMPUTED_VALUE"""),0.5462962962962964)</f>
        <v>0.5462962963</v>
      </c>
      <c r="R244" s="30">
        <f>IFERROR(__xludf.DUMMYFUNCTION("""COMPUTED_VALUE"""),1.5648148148148149)</f>
        <v>1.564814815</v>
      </c>
      <c r="S244" s="30">
        <f>IFERROR(__xludf.DUMMYFUNCTION("""COMPUTED_VALUE"""),2.6388888888888893)</f>
        <v>2.638888889</v>
      </c>
      <c r="T244" s="30">
        <f>IFERROR(__xludf.DUMMYFUNCTION("""COMPUTED_VALUE"""),358.6009972791631)</f>
        <v>358.6009973</v>
      </c>
      <c r="U244" s="30">
        <f>IFERROR(__xludf.DUMMYFUNCTION("""COMPUTED_VALUE"""),0.7753078380537392)</f>
        <v>0.7753078381</v>
      </c>
      <c r="V244" s="30">
        <f>IFERROR(__xludf.DUMMYFUNCTION("""COMPUTED_VALUE"""),0.5950268355029997)</f>
        <v>0.5950268355</v>
      </c>
      <c r="W244" s="30">
        <f>IFERROR(__xludf.DUMMYFUNCTION("""COMPUTED_VALUE"""),1.4304247817734357)</f>
        <v>1.430424782</v>
      </c>
      <c r="X244" s="30">
        <f>IFERROR(__xludf.DUMMYFUNCTION("""COMPUTED_VALUE"""),2.624074053623968)</f>
        <v>2.624074054</v>
      </c>
      <c r="Y244" s="30">
        <f>IFERROR(__xludf.DUMMYFUNCTION("""COMPUTED_VALUE"""),369.53633116867263)</f>
        <v>369.5363312</v>
      </c>
      <c r="Z244" s="30">
        <f>IFERROR(__xludf.DUMMYFUNCTION("""COMPUTED_VALUE"""),0.8385674566517628)</f>
        <v>0.8385674567</v>
      </c>
      <c r="AA244" s="30">
        <f>IFERROR(__xludf.DUMMYFUNCTION("""COMPUTED_VALUE"""),0.6328118124051578)</f>
        <v>0.6328118124</v>
      </c>
      <c r="AB244" s="30">
        <f>IFERROR(__xludf.DUMMYFUNCTION("""COMPUTED_VALUE"""),1.4335497617222899)</f>
        <v>1.433549762</v>
      </c>
      <c r="AC244" s="30">
        <f>IFERROR(__xludf.DUMMYFUNCTION("""COMPUTED_VALUE"""),2.695388069501947)</f>
        <v>2.69538807</v>
      </c>
      <c r="AD244" s="30">
        <f>IFERROR(__xludf.DUMMYFUNCTION("""COMPUTED_VALUE"""),1.1137079654766164)</f>
        <v>1.113707965</v>
      </c>
      <c r="AE244" s="30">
        <f>IFERROR(__xludf.DUMMYFUNCTION("""COMPUTED_VALUE"""),0.7618813296664865)</f>
        <v>0.7618813297</v>
      </c>
      <c r="AF244" s="30">
        <f>IFERROR(__xludf.DUMMYFUNCTION("""COMPUTED_VALUE"""),1.3607696541539662)</f>
        <v>1.360769654</v>
      </c>
      <c r="AG244" s="30">
        <f>IFERROR(__xludf.DUMMYFUNCTION("""COMPUTED_VALUE"""),1.3951381761573227)</f>
        <v>1.395138176</v>
      </c>
      <c r="AH244" s="30">
        <f>IFERROR(__xludf.DUMMYFUNCTION("""COMPUTED_VALUE"""),0.9893442420554351)</f>
        <v>0.9893442421</v>
      </c>
      <c r="AI244" s="30">
        <f>IFERROR(__xludf.DUMMYFUNCTION("""COMPUTED_VALUE"""),1.0158561738562246)</f>
        <v>1.015856174</v>
      </c>
      <c r="AJ244" s="30">
        <f>IFERROR(__xludf.DUMMYFUNCTION("""COMPUTED_VALUE"""),0.9673576909563181)</f>
        <v>0.967357691</v>
      </c>
      <c r="AK244" s="30">
        <f>IFERROR(__xludf.DUMMYFUNCTION("""COMPUTED_VALUE"""),0.9181036277708223)</f>
        <v>0.9181036278</v>
      </c>
      <c r="AL244" s="30">
        <f>IFERROR(__xludf.DUMMYFUNCTION("""COMPUTED_VALUE"""),1.093951135882002)</f>
        <v>1.093951136</v>
      </c>
      <c r="AM244" s="30">
        <f>IFERROR(__xludf.DUMMYFUNCTION("""COMPUTED_VALUE"""),1.005645738253637)</f>
        <v>1.005645738</v>
      </c>
      <c r="AN244" s="30">
        <f>IFERROR(__xludf.DUMMYFUNCTION("""COMPUTED_VALUE"""),1.1668422817399149)</f>
        <v>1.166842282</v>
      </c>
      <c r="AO244" s="30">
        <f>IFERROR(__xludf.DUMMYFUNCTION("""COMPUTED_VALUE"""),0.8958227785510016)</f>
        <v>0.8958227786</v>
      </c>
      <c r="AP244" s="30">
        <f>IFERROR(__xludf.DUMMYFUNCTION("""COMPUTED_VALUE"""),1.4973854814389265)</f>
        <v>1.497385481</v>
      </c>
      <c r="AQ244" s="30">
        <f>IFERROR(__xludf.DUMMYFUNCTION("""COMPUTED_VALUE"""),1.4020153318291455)</f>
        <v>1.402015332</v>
      </c>
      <c r="AR244" s="30">
        <f>IFERROR(__xludf.DUMMYFUNCTION("""COMPUTED_VALUE"""),1.0585747454234058)</f>
        <v>1.058574745</v>
      </c>
      <c r="AS244" s="30">
        <f>IFERROR(__xludf.DUMMYFUNCTION("""COMPUTED_VALUE"""),91.0)</f>
        <v>91</v>
      </c>
      <c r="AT244" s="30">
        <f>IFERROR(__xludf.DUMMYFUNCTION("""COMPUTED_VALUE"""),0.545464062744491)</f>
        <v>0.5454640627</v>
      </c>
      <c r="AU244" s="30">
        <f>IFERROR(__xludf.DUMMYFUNCTION("""COMPUTED_VALUE"""),2.7018894597906615)</f>
        <v>2.70188946</v>
      </c>
      <c r="AV244" s="32">
        <f>IFERROR(__xludf.DUMMYFUNCTION("""COMPUTED_VALUE"""),60.59883036839426)</f>
        <v>60.59883037</v>
      </c>
      <c r="AW244" s="32">
        <f>IFERROR(__xludf.DUMMYFUNCTION("""COMPUTED_VALUE"""),2.977963366773701)</f>
        <v>2.977963367</v>
      </c>
      <c r="AX244" s="32">
        <f>IFERROR(__xludf.DUMMYFUNCTION("""COMPUTED_VALUE"""),63.33203293232782)</f>
        <v>63.33203293</v>
      </c>
      <c r="AY244" s="32">
        <f>IFERROR(__xludf.DUMMYFUNCTION("""COMPUTED_VALUE"""),3.367917022714173)</f>
        <v>3.367917023</v>
      </c>
      <c r="AZ244" s="30">
        <f>IFERROR(__xludf.DUMMYFUNCTION("""COMPUTED_VALUE"""),0.38995365594047193)</f>
        <v>0.3899536559</v>
      </c>
      <c r="BA244" s="30">
        <f>IFERROR(__xludf.DUMMYFUNCTION("""COMPUTED_VALUE"""),800.0)</f>
        <v>800</v>
      </c>
    </row>
    <row r="245">
      <c r="A245" s="30" t="str">
        <f>IFERROR(__xludf.DUMMYFUNCTION("""COMPUTED_VALUE"""),"Elite")</f>
        <v>Elite</v>
      </c>
      <c r="B245" s="30" t="str">
        <f>IFERROR(__xludf.DUMMYFUNCTION("""COMPUTED_VALUE"""),"RSC000666")</f>
        <v>RSC000666</v>
      </c>
      <c r="C245" s="30" t="str">
        <f>IFERROR(__xludf.DUMMYFUNCTION("""COMPUTED_VALUE"""),"AEB311")</f>
        <v>AEB311</v>
      </c>
      <c r="D245" s="30" t="str">
        <f>IFERROR(__xludf.DUMMYFUNCTION("""COMPUTED_VALUE"""),"Teddy Bears")</f>
        <v>Teddy Bears</v>
      </c>
      <c r="E245" s="30">
        <f>IFERROR(__xludf.DUMMYFUNCTION("""COMPUTED_VALUE"""),29.0)</f>
        <v>29</v>
      </c>
      <c r="F245" s="30">
        <f>IFERROR(__xludf.DUMMYFUNCTION("""COMPUTED_VALUE"""),14.0)</f>
        <v>14</v>
      </c>
      <c r="G245" s="30">
        <f>IFERROR(__xludf.DUMMYFUNCTION("""COMPUTED_VALUE"""),15.0)</f>
        <v>15</v>
      </c>
      <c r="H245" s="42">
        <f>IFERROR(__xludf.DUMMYFUNCTION("""COMPUTED_VALUE"""),0.4827586206896552)</f>
        <v>0.4827586207</v>
      </c>
      <c r="I245" s="42">
        <f>IFERROR(__xludf.DUMMYFUNCTION("""COMPUTED_VALUE"""),0.325)</f>
        <v>0.325</v>
      </c>
      <c r="J245" s="30">
        <f>IFERROR(__xludf.DUMMYFUNCTION("""COMPUTED_VALUE"""),344.6896551724138)</f>
        <v>344.6896552</v>
      </c>
      <c r="K245" s="30">
        <f>IFERROR(__xludf.DUMMYFUNCTION("""COMPUTED_VALUE"""),0.896551724137931)</f>
        <v>0.8965517241</v>
      </c>
      <c r="L245" s="30">
        <f>IFERROR(__xludf.DUMMYFUNCTION("""COMPUTED_VALUE"""),0.5517241379310345)</f>
        <v>0.5517241379</v>
      </c>
      <c r="M245" s="30">
        <f>IFERROR(__xludf.DUMMYFUNCTION("""COMPUTED_VALUE"""),0.896551724137931)</f>
        <v>0.8965517241</v>
      </c>
      <c r="N245" s="30">
        <f>IFERROR(__xludf.DUMMYFUNCTION("""COMPUTED_VALUE"""),2.7586206896551726)</f>
        <v>2.75862069</v>
      </c>
      <c r="O245" s="30">
        <f>IFERROR(__xludf.DUMMYFUNCTION("""COMPUTED_VALUE"""),359.5632183908046)</f>
        <v>359.5632184</v>
      </c>
      <c r="P245" s="30">
        <f>IFERROR(__xludf.DUMMYFUNCTION("""COMPUTED_VALUE"""),0.793103448275862)</f>
        <v>0.7931034483</v>
      </c>
      <c r="Q245" s="30">
        <f>IFERROR(__xludf.DUMMYFUNCTION("""COMPUTED_VALUE"""),0.5977011494252874)</f>
        <v>0.5977011494</v>
      </c>
      <c r="R245" s="30">
        <f>IFERROR(__xludf.DUMMYFUNCTION("""COMPUTED_VALUE"""),1.4482758620689653)</f>
        <v>1.448275862</v>
      </c>
      <c r="S245" s="30">
        <f>IFERROR(__xludf.DUMMYFUNCTION("""COMPUTED_VALUE"""),2.505747126436782)</f>
        <v>2.505747126</v>
      </c>
      <c r="T245" s="30">
        <f>IFERROR(__xludf.DUMMYFUNCTION("""COMPUTED_VALUE"""),358.6805690658563)</f>
        <v>358.6805691</v>
      </c>
      <c r="U245" s="30">
        <f>IFERROR(__xludf.DUMMYFUNCTION("""COMPUTED_VALUE"""),0.7632428229921429)</f>
        <v>0.763242823</v>
      </c>
      <c r="V245" s="30">
        <f>IFERROR(__xludf.DUMMYFUNCTION("""COMPUTED_VALUE"""),0.5652409651162491)</f>
        <v>0.5652409651</v>
      </c>
      <c r="W245" s="30">
        <f>IFERROR(__xludf.DUMMYFUNCTION("""COMPUTED_VALUE"""),1.4774522505497492)</f>
        <v>1.477452251</v>
      </c>
      <c r="X245" s="30">
        <f>IFERROR(__xludf.DUMMYFUNCTION("""COMPUTED_VALUE"""),2.5892213056609905)</f>
        <v>2.589221306</v>
      </c>
      <c r="Y245" s="30">
        <f>IFERROR(__xludf.DUMMYFUNCTION("""COMPUTED_VALUE"""),372.0662770559528)</f>
        <v>372.0662771</v>
      </c>
      <c r="Z245" s="30">
        <f>IFERROR(__xludf.DUMMYFUNCTION("""COMPUTED_VALUE"""),0.8700909829961189)</f>
        <v>0.870090983</v>
      </c>
      <c r="AA245" s="30">
        <f>IFERROR(__xludf.DUMMYFUNCTION("""COMPUTED_VALUE"""),0.644605072461379)</f>
        <v>0.6446050725</v>
      </c>
      <c r="AB245" s="30">
        <f>IFERROR(__xludf.DUMMYFUNCTION("""COMPUTED_VALUE"""),1.3774785194662584)</f>
        <v>1.377478519</v>
      </c>
      <c r="AC245" s="30">
        <f>IFERROR(__xludf.DUMMYFUNCTION("""COMPUTED_VALUE"""),2.7908487231019743)</f>
        <v>2.790848723</v>
      </c>
      <c r="AD245" s="30">
        <f>IFERROR(__xludf.DUMMYFUNCTION("""COMPUTED_VALUE"""),0.9264200397301203)</f>
        <v>0.9264200397</v>
      </c>
      <c r="AE245" s="30">
        <f>IFERROR(__xludf.DUMMYFUNCTION("""COMPUTED_VALUE"""),1.0304114646156841)</f>
        <v>1.030411465</v>
      </c>
      <c r="AF245" s="30">
        <f>IFERROR(__xludf.DUMMYFUNCTION("""COMPUTED_VALUE"""),0.8559103263403044)</f>
        <v>0.8559103263</v>
      </c>
      <c r="AG245" s="30">
        <f>IFERROR(__xludf.DUMMYFUNCTION("""COMPUTED_VALUE"""),0.6508643956824274)</f>
        <v>0.6508643957</v>
      </c>
      <c r="AH245" s="30">
        <f>IFERROR(__xludf.DUMMYFUNCTION("""COMPUTED_VALUE"""),0.9884522463793807)</f>
        <v>0.9884522464</v>
      </c>
      <c r="AI245" s="30">
        <f>IFERROR(__xludf.DUMMYFUNCTION("""COMPUTED_VALUE"""),1.0024608228074554)</f>
        <v>1.002460823</v>
      </c>
      <c r="AJ245" s="30">
        <f>IFERROR(__xludf.DUMMYFUNCTION("""COMPUTED_VALUE"""),1.0391233620339284)</f>
        <v>1.039123362</v>
      </c>
      <c r="AK245" s="30">
        <f>IFERROR(__xludf.DUMMYFUNCTION("""COMPUTED_VALUE"""),1.057427161710338)</f>
        <v>1.057427162</v>
      </c>
      <c r="AL245" s="30">
        <f>IFERROR(__xludf.DUMMYFUNCTION("""COMPUTED_VALUE"""),0.9802522291533093)</f>
        <v>0.9802522292</v>
      </c>
      <c r="AM245" s="30">
        <f>IFERROR(__xludf.DUMMYFUNCTION("""COMPUTED_VALUE"""),0.9677608943500877)</f>
        <v>0.9677608944</v>
      </c>
      <c r="AN245" s="30">
        <f>IFERROR(__xludf.DUMMYFUNCTION("""COMPUTED_VALUE"""),0.9772640857456031)</f>
        <v>0.9772640857</v>
      </c>
      <c r="AO245" s="30">
        <f>IFERROR(__xludf.DUMMYFUNCTION("""COMPUTED_VALUE"""),1.2571066277717204)</f>
        <v>1.257106628</v>
      </c>
      <c r="AP245" s="30">
        <f>IFERROR(__xludf.DUMMYFUNCTION("""COMPUTED_VALUE"""),0.9593927000098127)</f>
        <v>0.9593927</v>
      </c>
      <c r="AQ245" s="30">
        <f>IFERROR(__xludf.DUMMYFUNCTION("""COMPUTED_VALUE"""),0.628489631509617)</f>
        <v>0.6284896315</v>
      </c>
      <c r="AR245" s="30">
        <f>IFERROR(__xludf.DUMMYFUNCTION("""COMPUTED_VALUE"""),1.0950773228517992)</f>
        <v>1.095077323</v>
      </c>
      <c r="AS245" s="30">
        <f>IFERROR(__xludf.DUMMYFUNCTION("""COMPUTED_VALUE"""),66.0)</f>
        <v>66</v>
      </c>
      <c r="AT245" s="30">
        <f>IFERROR(__xludf.DUMMYFUNCTION("""COMPUTED_VALUE"""),0.4827275590552719)</f>
        <v>0.4827275591</v>
      </c>
      <c r="AU245" s="30">
        <f>IFERROR(__xludf.DUMMYFUNCTION("""COMPUTED_VALUE"""),2.552606419816155)</f>
        <v>2.55260642</v>
      </c>
      <c r="AV245" s="32">
        <f>IFERROR(__xludf.DUMMYFUNCTION("""COMPUTED_VALUE"""),56.40405768959141)</f>
        <v>56.40405769</v>
      </c>
      <c r="AW245" s="32">
        <f>IFERROR(__xludf.DUMMYFUNCTION("""COMPUTED_VALUE"""),2.5068137957215706)</f>
        <v>2.506813796</v>
      </c>
      <c r="AX245" s="32">
        <f>IFERROR(__xludf.DUMMYFUNCTION("""COMPUTED_VALUE"""),52.36831852681541)</f>
        <v>52.36831853</v>
      </c>
      <c r="AY245" s="32">
        <f>IFERROR(__xludf.DUMMYFUNCTION("""COMPUTED_VALUE"""),2.1632680919299276)</f>
        <v>2.163268092</v>
      </c>
      <c r="AZ245" s="30">
        <f>IFERROR(__xludf.DUMMYFUNCTION("""COMPUTED_VALUE"""),0.34354570379164295)</f>
        <v>0.3435457038</v>
      </c>
      <c r="BA245" s="30">
        <f>IFERROR(__xludf.DUMMYFUNCTION("""COMPUTED_VALUE"""),800.0)</f>
        <v>800</v>
      </c>
    </row>
    <row r="246">
      <c r="A246" s="30" t="str">
        <f>IFERROR(__xludf.DUMMYFUNCTION("""COMPUTED_VALUE"""),"Elite")</f>
        <v>Elite</v>
      </c>
      <c r="B246" s="30" t="str">
        <f>IFERROR(__xludf.DUMMYFUNCTION("""COMPUTED_VALUE"""),"RSC003986")</f>
        <v>RSC003986</v>
      </c>
      <c r="C246" s="30" t="str">
        <f>IFERROR(__xludf.DUMMYFUNCTION("""COMPUTED_VALUE"""),"Reprise")</f>
        <v>Reprise</v>
      </c>
      <c r="D246" s="30"/>
      <c r="E246" s="30">
        <f>IFERROR(__xludf.DUMMYFUNCTION("""COMPUTED_VALUE"""),4.0)</f>
        <v>4</v>
      </c>
      <c r="F246" s="30">
        <f>IFERROR(__xludf.DUMMYFUNCTION("""COMPUTED_VALUE"""),2.0)</f>
        <v>2</v>
      </c>
      <c r="G246" s="30">
        <f>IFERROR(__xludf.DUMMYFUNCTION("""COMPUTED_VALUE"""),2.0)</f>
        <v>2</v>
      </c>
      <c r="H246" s="42">
        <f>IFERROR(__xludf.DUMMYFUNCTION("""COMPUTED_VALUE"""),0.5)</f>
        <v>0.5</v>
      </c>
      <c r="I246" s="42">
        <f>IFERROR(__xludf.DUMMYFUNCTION("""COMPUTED_VALUE"""),0.2)</f>
        <v>0.2</v>
      </c>
      <c r="J246" s="30">
        <f>IFERROR(__xludf.DUMMYFUNCTION("""COMPUTED_VALUE"""),369.75)</f>
        <v>369.75</v>
      </c>
      <c r="K246" s="30">
        <f>IFERROR(__xludf.DUMMYFUNCTION("""COMPUTED_VALUE"""),0.5)</f>
        <v>0.5</v>
      </c>
      <c r="L246" s="30">
        <f>IFERROR(__xludf.DUMMYFUNCTION("""COMPUTED_VALUE"""),0.5)</f>
        <v>0.5</v>
      </c>
      <c r="M246" s="30">
        <f>IFERROR(__xludf.DUMMYFUNCTION("""COMPUTED_VALUE"""),1.5)</f>
        <v>1.5</v>
      </c>
      <c r="N246" s="30">
        <f>IFERROR(__xludf.DUMMYFUNCTION("""COMPUTED_VALUE"""),2.5)</f>
        <v>2.5</v>
      </c>
      <c r="O246" s="30">
        <f>IFERROR(__xludf.DUMMYFUNCTION("""COMPUTED_VALUE"""),362.5833333333333)</f>
        <v>362.5833333</v>
      </c>
      <c r="P246" s="30">
        <f>IFERROR(__xludf.DUMMYFUNCTION("""COMPUTED_VALUE"""),0.8333333333333333)</f>
        <v>0.8333333333</v>
      </c>
      <c r="Q246" s="30">
        <f>IFERROR(__xludf.DUMMYFUNCTION("""COMPUTED_VALUE"""),0.49999999999999994)</f>
        <v>0.5</v>
      </c>
      <c r="R246" s="30">
        <f>IFERROR(__xludf.DUMMYFUNCTION("""COMPUTED_VALUE"""),1.25)</f>
        <v>1.25</v>
      </c>
      <c r="S246" s="30">
        <f>IFERROR(__xludf.DUMMYFUNCTION("""COMPUTED_VALUE"""),3.0000000000000004)</f>
        <v>3</v>
      </c>
      <c r="T246" s="30">
        <f>IFERROR(__xludf.DUMMYFUNCTION("""COMPUTED_VALUE"""),387.2916666666667)</f>
        <v>387.2916667</v>
      </c>
      <c r="U246" s="30">
        <f>IFERROR(__xludf.DUMMYFUNCTION("""COMPUTED_VALUE"""),0.8472222222222223)</f>
        <v>0.8472222222</v>
      </c>
      <c r="V246" s="30">
        <f>IFERROR(__xludf.DUMMYFUNCTION("""COMPUTED_VALUE"""),0.6064814814814815)</f>
        <v>0.6064814815</v>
      </c>
      <c r="W246" s="30">
        <f>IFERROR(__xludf.DUMMYFUNCTION("""COMPUTED_VALUE"""),1.5509259259259263)</f>
        <v>1.550925926</v>
      </c>
      <c r="X246" s="30">
        <f>IFERROR(__xludf.DUMMYFUNCTION("""COMPUTED_VALUE"""),2.7962962962962963)</f>
        <v>2.796296296</v>
      </c>
      <c r="Y246" s="30">
        <f>IFERROR(__xludf.DUMMYFUNCTION("""COMPUTED_VALUE"""),353.1111111111111)</f>
        <v>353.1111111</v>
      </c>
      <c r="Z246" s="30">
        <f>IFERROR(__xludf.DUMMYFUNCTION("""COMPUTED_VALUE"""),0.6882716049382717)</f>
        <v>0.6882716049</v>
      </c>
      <c r="AA246" s="30">
        <f>IFERROR(__xludf.DUMMYFUNCTION("""COMPUTED_VALUE"""),0.5524691358024691)</f>
        <v>0.5524691358</v>
      </c>
      <c r="AB246" s="30">
        <f>IFERROR(__xludf.DUMMYFUNCTION("""COMPUTED_VALUE"""),1.405864197530864)</f>
        <v>1.405864198</v>
      </c>
      <c r="AC246" s="30">
        <f>IFERROR(__xludf.DUMMYFUNCTION("""COMPUTED_VALUE"""),2.4645061728395063)</f>
        <v>2.464506173</v>
      </c>
      <c r="AD246" s="30">
        <f>IFERROR(__xludf.DUMMYFUNCTION("""COMPUTED_VALUE"""),1.0471208307111393)</f>
        <v>1.047120831</v>
      </c>
      <c r="AE246" s="30">
        <f>IFERROR(__xludf.DUMMYFUNCTION("""COMPUTED_VALUE"""),0.726457399103139)</f>
        <v>0.7264573991</v>
      </c>
      <c r="AF246" s="30">
        <f>IFERROR(__xludf.DUMMYFUNCTION("""COMPUTED_VALUE"""),0.9050279329608938)</f>
        <v>0.905027933</v>
      </c>
      <c r="AG246" s="30">
        <f>IFERROR(__xludf.DUMMYFUNCTION("""COMPUTED_VALUE"""),1.0669593852908894)</f>
        <v>1.066959385</v>
      </c>
      <c r="AH246" s="30">
        <f>IFERROR(__xludf.DUMMYFUNCTION("""COMPUTED_VALUE"""),1.0144020037570445)</f>
        <v>1.014402004</v>
      </c>
      <c r="AI246" s="30">
        <f>IFERROR(__xludf.DUMMYFUNCTION("""COMPUTED_VALUE"""),0.9362022592791822)</f>
        <v>0.9362022593</v>
      </c>
      <c r="AJ246" s="30">
        <f>IFERROR(__xludf.DUMMYFUNCTION("""COMPUTED_VALUE"""),0.9836065573770489)</f>
        <v>0.9836065574</v>
      </c>
      <c r="AK246" s="30">
        <f>IFERROR(__xludf.DUMMYFUNCTION("""COMPUTED_VALUE"""),0.8244274809160304)</f>
        <v>0.8244274809</v>
      </c>
      <c r="AL246" s="30">
        <f>IFERROR(__xludf.DUMMYFUNCTION("""COMPUTED_VALUE"""),0.8059701492537311)</f>
        <v>0.8059701493</v>
      </c>
      <c r="AM246" s="30">
        <f>IFERROR(__xludf.DUMMYFUNCTION("""COMPUTED_VALUE"""),1.0728476821192054)</f>
        <v>1.072847682</v>
      </c>
      <c r="AN246" s="30">
        <f>IFERROR(__xludf.DUMMYFUNCTION("""COMPUTED_VALUE"""),1.0483151736123115)</f>
        <v>1.048315174</v>
      </c>
      <c r="AO246" s="30">
        <f>IFERROR(__xludf.DUMMYFUNCTION("""COMPUTED_VALUE"""),0.7010786962573057)</f>
        <v>0.7010786963</v>
      </c>
      <c r="AP246" s="30">
        <f>IFERROR(__xludf.DUMMYFUNCTION("""COMPUTED_VALUE"""),0.8694496343838928)</f>
        <v>0.8694496344</v>
      </c>
      <c r="AQ246" s="30">
        <f>IFERROR(__xludf.DUMMYFUNCTION("""COMPUTED_VALUE"""),1.0515114988718592)</f>
        <v>1.051511499</v>
      </c>
      <c r="AR246" s="30">
        <f>IFERROR(__xludf.DUMMYFUNCTION("""COMPUTED_VALUE"""),0.9924138238344429)</f>
        <v>0.9924138238</v>
      </c>
      <c r="AS246" s="30">
        <f>IFERROR(__xludf.DUMMYFUNCTION("""COMPUTED_VALUE"""),10.0)</f>
        <v>10</v>
      </c>
      <c r="AT246" s="30">
        <f>IFERROR(__xludf.DUMMYFUNCTION("""COMPUTED_VALUE"""),0.5)</f>
        <v>0.5</v>
      </c>
      <c r="AU246" s="30">
        <f>IFERROR(__xludf.DUMMYFUNCTION("""COMPUTED_VALUE"""),2.1435211726773575)</f>
        <v>2.143521173</v>
      </c>
      <c r="AV246" s="32">
        <f>IFERROR(__xludf.DUMMYFUNCTION("""COMPUTED_VALUE"""),44.9089835117599)</f>
        <v>44.90898351</v>
      </c>
      <c r="AW246" s="32">
        <f>IFERROR(__xludf.DUMMYFUNCTION("""COMPUTED_VALUE"""),-2.3848296678489325)</f>
        <v>-2.384829668</v>
      </c>
      <c r="AX246" s="32">
        <f>IFERROR(__xludf.DUMMYFUNCTION("""COMPUTED_VALUE"""),49.24658963815844)</f>
        <v>49.24658964</v>
      </c>
      <c r="AY246" s="32">
        <f>IFERROR(__xludf.DUMMYFUNCTION("""COMPUTED_VALUE"""),-2.049267969011491)</f>
        <v>-2.049267969</v>
      </c>
      <c r="AZ246" s="30">
        <f>IFERROR(__xludf.DUMMYFUNCTION("""COMPUTED_VALUE"""),0.33556169883744147)</f>
        <v>0.3355616988</v>
      </c>
      <c r="BA246" s="30">
        <f>IFERROR(__xludf.DUMMYFUNCTION("""COMPUTED_VALUE"""),800.0)</f>
        <v>800</v>
      </c>
    </row>
    <row r="247">
      <c r="A247" s="30" t="str">
        <f>IFERROR(__xludf.DUMMYFUNCTION("""COMPUTED_VALUE"""),"Elite")</f>
        <v>Elite</v>
      </c>
      <c r="B247" s="30" t="str">
        <f>IFERROR(__xludf.DUMMYFUNCTION("""COMPUTED_VALUE"""),"RSC007941")</f>
        <v>RSC007941</v>
      </c>
      <c r="C247" s="30" t="str">
        <f>IFERROR(__xludf.DUMMYFUNCTION("""COMPUTED_VALUE"""),"Shepherd")</f>
        <v>Shepherd</v>
      </c>
      <c r="D247" s="30" t="str">
        <f>IFERROR(__xludf.DUMMYFUNCTION("""COMPUTED_VALUE"""),"Demons")</f>
        <v>Demons</v>
      </c>
      <c r="E247" s="30">
        <f>IFERROR(__xludf.DUMMYFUNCTION("""COMPUTED_VALUE"""),27.0)</f>
        <v>27</v>
      </c>
      <c r="F247" s="30">
        <f>IFERROR(__xludf.DUMMYFUNCTION("""COMPUTED_VALUE"""),12.0)</f>
        <v>12</v>
      </c>
      <c r="G247" s="30">
        <f>IFERROR(__xludf.DUMMYFUNCTION("""COMPUTED_VALUE"""),15.0)</f>
        <v>15</v>
      </c>
      <c r="H247" s="42">
        <f>IFERROR(__xludf.DUMMYFUNCTION("""COMPUTED_VALUE"""),0.4444444444444444)</f>
        <v>0.4444444444</v>
      </c>
      <c r="I247" s="42">
        <f>IFERROR(__xludf.DUMMYFUNCTION("""COMPUTED_VALUE"""),0.4150943396226415)</f>
        <v>0.4150943396</v>
      </c>
      <c r="J247" s="30">
        <f>IFERROR(__xludf.DUMMYFUNCTION("""COMPUTED_VALUE"""),400.51851851851853)</f>
        <v>400.5185185</v>
      </c>
      <c r="K247" s="30">
        <f>IFERROR(__xludf.DUMMYFUNCTION("""COMPUTED_VALUE"""),0.8148148148148148)</f>
        <v>0.8148148148</v>
      </c>
      <c r="L247" s="30">
        <f>IFERROR(__xludf.DUMMYFUNCTION("""COMPUTED_VALUE"""),0.7777777777777778)</f>
        <v>0.7777777778</v>
      </c>
      <c r="M247" s="30">
        <f>IFERROR(__xludf.DUMMYFUNCTION("""COMPUTED_VALUE"""),1.8518518518518519)</f>
        <v>1.851851852</v>
      </c>
      <c r="N247" s="30">
        <f>IFERROR(__xludf.DUMMYFUNCTION("""COMPUTED_VALUE"""),1.962962962962963)</f>
        <v>1.962962963</v>
      </c>
      <c r="O247" s="30">
        <f>IFERROR(__xludf.DUMMYFUNCTION("""COMPUTED_VALUE"""),367.4320987654321)</f>
        <v>367.4320988</v>
      </c>
      <c r="P247" s="30">
        <f>IFERROR(__xludf.DUMMYFUNCTION("""COMPUTED_VALUE"""),0.8148148148148148)</f>
        <v>0.8148148148</v>
      </c>
      <c r="Q247" s="30">
        <f>IFERROR(__xludf.DUMMYFUNCTION("""COMPUTED_VALUE"""),0.7037037037037037)</f>
        <v>0.7037037037</v>
      </c>
      <c r="R247" s="30">
        <f>IFERROR(__xludf.DUMMYFUNCTION("""COMPUTED_VALUE"""),1.2962962962962963)</f>
        <v>1.296296296</v>
      </c>
      <c r="S247" s="30">
        <f>IFERROR(__xludf.DUMMYFUNCTION("""COMPUTED_VALUE"""),2.9629629629629637)</f>
        <v>2.962962963</v>
      </c>
      <c r="T247" s="30">
        <f>IFERROR(__xludf.DUMMYFUNCTION("""COMPUTED_VALUE"""),363.90466954929116)</f>
        <v>363.9046695</v>
      </c>
      <c r="U247" s="30">
        <f>IFERROR(__xludf.DUMMYFUNCTION("""COMPUTED_VALUE"""),0.8245727143705321)</f>
        <v>0.8245727144</v>
      </c>
      <c r="V247" s="30">
        <f>IFERROR(__xludf.DUMMYFUNCTION("""COMPUTED_VALUE"""),0.5876928057638559)</f>
        <v>0.5876928058</v>
      </c>
      <c r="W247" s="30">
        <f>IFERROR(__xludf.DUMMYFUNCTION("""COMPUTED_VALUE"""),1.3753305564778222)</f>
        <v>1.375330556</v>
      </c>
      <c r="X247" s="30">
        <f>IFERROR(__xludf.DUMMYFUNCTION("""COMPUTED_VALUE"""),2.676879552095914)</f>
        <v>2.676879552</v>
      </c>
      <c r="Y247" s="30">
        <f>IFERROR(__xludf.DUMMYFUNCTION("""COMPUTED_VALUE"""),356.1269824410705)</f>
        <v>356.1269824</v>
      </c>
      <c r="Z247" s="30">
        <f>IFERROR(__xludf.DUMMYFUNCTION("""COMPUTED_VALUE"""),0.7459704054082137)</f>
        <v>0.7459704054</v>
      </c>
      <c r="AA247" s="30">
        <f>IFERROR(__xludf.DUMMYFUNCTION("""COMPUTED_VALUE"""),0.5520236026872144)</f>
        <v>0.5520236027</v>
      </c>
      <c r="AB247" s="30">
        <f>IFERROR(__xludf.DUMMYFUNCTION("""COMPUTED_VALUE"""),1.4759194231497217)</f>
        <v>1.475919423</v>
      </c>
      <c r="AC247" s="30">
        <f>IFERROR(__xludf.DUMMYFUNCTION("""COMPUTED_VALUE"""),2.5112185341566433)</f>
        <v>2.511218534</v>
      </c>
      <c r="AD247" s="30">
        <f>IFERROR(__xludf.DUMMYFUNCTION("""COMPUTED_VALUE"""),1.1246508640630555)</f>
        <v>1.124650864</v>
      </c>
      <c r="AE247" s="30">
        <f>IFERROR(__xludf.DUMMYFUNCTION("""COMPUTED_VALUE"""),1.0922883922840447)</f>
        <v>1.092288392</v>
      </c>
      <c r="AF247" s="30">
        <f>IFERROR(__xludf.DUMMYFUNCTION("""COMPUTED_VALUE"""),1.408957468469839)</f>
        <v>1.408957468</v>
      </c>
      <c r="AG247" s="30">
        <f>IFERROR(__xludf.DUMMYFUNCTION("""COMPUTED_VALUE"""),1.2547106724158845)</f>
        <v>1.254710672</v>
      </c>
      <c r="AH247" s="30">
        <f>IFERROR(__xludf.DUMMYFUNCTION("""COMPUTED_VALUE"""),0.7816774750040605)</f>
        <v>0.781677475</v>
      </c>
      <c r="AI247" s="30">
        <f>IFERROR(__xludf.DUMMYFUNCTION("""COMPUTED_VALUE"""),1.0096932782437493)</f>
        <v>1.009693278</v>
      </c>
      <c r="AJ247" s="30">
        <f>IFERROR(__xludf.DUMMYFUNCTION("""COMPUTED_VALUE"""),0.9881661139331218)</f>
        <v>0.9881661139</v>
      </c>
      <c r="AK247" s="30">
        <f>IFERROR(__xludf.DUMMYFUNCTION("""COMPUTED_VALUE"""),1.197400575270038)</f>
        <v>1.197400575</v>
      </c>
      <c r="AL247" s="30">
        <f>IFERROR(__xludf.DUMMYFUNCTION("""COMPUTED_VALUE"""),0.9425343530620521)</f>
        <v>0.9425343531</v>
      </c>
      <c r="AM247" s="30">
        <f>IFERROR(__xludf.DUMMYFUNCTION("""COMPUTED_VALUE"""),1.1068719773525317)</f>
        <v>1.106871977</v>
      </c>
      <c r="AN247" s="30">
        <f>IFERROR(__xludf.DUMMYFUNCTION("""COMPUTED_VALUE"""),1.1355500751201801)</f>
        <v>1.135550075</v>
      </c>
      <c r="AO247" s="30">
        <f>IFERROR(__xludf.DUMMYFUNCTION("""COMPUTED_VALUE"""),1.1424986161230166)</f>
        <v>1.142498616</v>
      </c>
      <c r="AP247" s="30">
        <f>IFERROR(__xludf.DUMMYFUNCTION("""COMPUTED_VALUE"""),1.352477209041611)</f>
        <v>1.352477209</v>
      </c>
      <c r="AQ247" s="30">
        <f>IFERROR(__xludf.DUMMYFUNCTION("""COMPUTED_VALUE"""),1.2981623442862458)</f>
        <v>1.298162344</v>
      </c>
      <c r="AR247" s="30">
        <f>IFERROR(__xludf.DUMMYFUNCTION("""COMPUTED_VALUE"""),0.7792286320477848)</f>
        <v>0.779228632</v>
      </c>
      <c r="AS247" s="30">
        <f>IFERROR(__xludf.DUMMYFUNCTION("""COMPUTED_VALUE"""),63.0)</f>
        <v>63</v>
      </c>
      <c r="AT247" s="30">
        <f>IFERROR(__xludf.DUMMYFUNCTION("""COMPUTED_VALUE"""),0.4817893450945216)</f>
        <v>0.4817893451</v>
      </c>
      <c r="AU247" s="30">
        <f>IFERROR(__xludf.DUMMYFUNCTION("""COMPUTED_VALUE"""),2.5791256810828345)</f>
        <v>2.579125681</v>
      </c>
      <c r="AV247" s="32">
        <f>IFERROR(__xludf.DUMMYFUNCTION("""COMPUTED_VALUE"""),57.149234587399086)</f>
        <v>57.14923459</v>
      </c>
      <c r="AW247" s="32">
        <f>IFERROR(__xludf.DUMMYFUNCTION("""COMPUTED_VALUE"""),2.580972957600988)</f>
        <v>2.580972958</v>
      </c>
      <c r="AX247" s="32">
        <f>IFERROR(__xludf.DUMMYFUNCTION("""COMPUTED_VALUE"""),53.57083672305354)</f>
        <v>53.57083672</v>
      </c>
      <c r="AY247" s="32">
        <f>IFERROR(__xludf.DUMMYFUNCTION("""COMPUTED_VALUE"""),2.25626244444485)</f>
        <v>2.256262444</v>
      </c>
      <c r="AZ247" s="30">
        <f>IFERROR(__xludf.DUMMYFUNCTION("""COMPUTED_VALUE"""),0.3247105131561381)</f>
        <v>0.3247105132</v>
      </c>
      <c r="BA247" s="30">
        <f>IFERROR(__xludf.DUMMYFUNCTION("""COMPUTED_VALUE"""),800.0)</f>
        <v>800</v>
      </c>
    </row>
    <row r="248">
      <c r="A248" s="30" t="str">
        <f>IFERROR(__xludf.DUMMYFUNCTION("""COMPUTED_VALUE"""),"Elite")</f>
        <v>Elite</v>
      </c>
      <c r="B248" s="30" t="str">
        <f>IFERROR(__xludf.DUMMYFUNCTION("""COMPUTED_VALUE"""),"RSC005298")</f>
        <v>RSC005298</v>
      </c>
      <c r="C248" s="30" t="str">
        <f>IFERROR(__xludf.DUMMYFUNCTION("""COMPUTED_VALUE"""),"Kaisaroh")</f>
        <v>Kaisaroh</v>
      </c>
      <c r="D248" s="30" t="str">
        <f>IFERROR(__xludf.DUMMYFUNCTION("""COMPUTED_VALUE"""),"Nightshade")</f>
        <v>Nightshade</v>
      </c>
      <c r="E248" s="30">
        <f>IFERROR(__xludf.DUMMYFUNCTION("""COMPUTED_VALUE"""),36.0)</f>
        <v>36</v>
      </c>
      <c r="F248" s="30">
        <f>IFERROR(__xludf.DUMMYFUNCTION("""COMPUTED_VALUE"""),20.0)</f>
        <v>20</v>
      </c>
      <c r="G248" s="30">
        <f>IFERROR(__xludf.DUMMYFUNCTION("""COMPUTED_VALUE"""),16.0)</f>
        <v>16</v>
      </c>
      <c r="H248" s="42">
        <f>IFERROR(__xludf.DUMMYFUNCTION("""COMPUTED_VALUE"""),0.5555555555555556)</f>
        <v>0.5555555556</v>
      </c>
      <c r="I248" s="42">
        <f>IFERROR(__xludf.DUMMYFUNCTION("""COMPUTED_VALUE"""),0.3106796116504854)</f>
        <v>0.3106796117</v>
      </c>
      <c r="J248" s="30">
        <f>IFERROR(__xludf.DUMMYFUNCTION("""COMPUTED_VALUE"""),373.8888888888889)</f>
        <v>373.8888889</v>
      </c>
      <c r="K248" s="30">
        <f>IFERROR(__xludf.DUMMYFUNCTION("""COMPUTED_VALUE"""),0.8888888888888888)</f>
        <v>0.8888888889</v>
      </c>
      <c r="L248" s="30">
        <f>IFERROR(__xludf.DUMMYFUNCTION("""COMPUTED_VALUE"""),0.6944444444444444)</f>
        <v>0.6944444444</v>
      </c>
      <c r="M248" s="30">
        <f>IFERROR(__xludf.DUMMYFUNCTION("""COMPUTED_VALUE"""),1.1666666666666667)</f>
        <v>1.166666667</v>
      </c>
      <c r="N248" s="30">
        <f>IFERROR(__xludf.DUMMYFUNCTION("""COMPUTED_VALUE"""),2.861111111111111)</f>
        <v>2.861111111</v>
      </c>
      <c r="O248" s="30">
        <f>IFERROR(__xludf.DUMMYFUNCTION("""COMPUTED_VALUE"""),347.57407407407413)</f>
        <v>347.5740741</v>
      </c>
      <c r="P248" s="30">
        <f>IFERROR(__xludf.DUMMYFUNCTION("""COMPUTED_VALUE"""),0.7314814814814815)</f>
        <v>0.7314814815</v>
      </c>
      <c r="Q248" s="30">
        <f>IFERROR(__xludf.DUMMYFUNCTION("""COMPUTED_VALUE"""),0.5185185185185186)</f>
        <v>0.5185185185</v>
      </c>
      <c r="R248" s="30">
        <f>IFERROR(__xludf.DUMMYFUNCTION("""COMPUTED_VALUE"""),1.416666666666667)</f>
        <v>1.416666667</v>
      </c>
      <c r="S248" s="30">
        <f>IFERROR(__xludf.DUMMYFUNCTION("""COMPUTED_VALUE"""),2.5092592592592595)</f>
        <v>2.509259259</v>
      </c>
      <c r="T248" s="30">
        <f>IFERROR(__xludf.DUMMYFUNCTION("""COMPUTED_VALUE"""),341.98781906393947)</f>
        <v>341.9878191</v>
      </c>
      <c r="U248" s="30">
        <f>IFERROR(__xludf.DUMMYFUNCTION("""COMPUTED_VALUE"""),0.6777306405805732)</f>
        <v>0.6777306406</v>
      </c>
      <c r="V248" s="30">
        <f>IFERROR(__xludf.DUMMYFUNCTION("""COMPUTED_VALUE"""),0.530722427350558)</f>
        <v>0.5307224274</v>
      </c>
      <c r="W248" s="30">
        <f>IFERROR(__xludf.DUMMYFUNCTION("""COMPUTED_VALUE"""),1.3864794012431219)</f>
        <v>1.386479401</v>
      </c>
      <c r="X248" s="30">
        <f>IFERROR(__xludf.DUMMYFUNCTION("""COMPUTED_VALUE"""),2.4599730961630133)</f>
        <v>2.459973096</v>
      </c>
      <c r="Y248" s="30">
        <f>IFERROR(__xludf.DUMMYFUNCTION("""COMPUTED_VALUE"""),366.9536720762573)</f>
        <v>366.9536721</v>
      </c>
      <c r="Z248" s="30">
        <f>IFERROR(__xludf.DUMMYFUNCTION("""COMPUTED_VALUE"""),0.8340740857005766)</f>
        <v>0.8340740857</v>
      </c>
      <c r="AA248" s="30">
        <f>IFERROR(__xludf.DUMMYFUNCTION("""COMPUTED_VALUE"""),0.6410080853890217)</f>
        <v>0.6410080854</v>
      </c>
      <c r="AB248" s="30">
        <f>IFERROR(__xludf.DUMMYFUNCTION("""COMPUTED_VALUE"""),1.3382730086897707)</f>
        <v>1.338273009</v>
      </c>
      <c r="AC248" s="30">
        <f>IFERROR(__xludf.DUMMYFUNCTION("""COMPUTED_VALUE"""),2.7482321740563385)</f>
        <v>2.748232174</v>
      </c>
      <c r="AD248" s="30">
        <f>IFERROR(__xludf.DUMMYFUNCTION("""COMPUTED_VALUE"""),1.0188994342893247)</f>
        <v>1.018899434</v>
      </c>
      <c r="AE248" s="30">
        <f>IFERROR(__xludf.DUMMYFUNCTION("""COMPUTED_VALUE"""),1.065719345712882)</f>
        <v>1.065719346</v>
      </c>
      <c r="AF248" s="30">
        <f>IFERROR(__xludf.DUMMYFUNCTION("""COMPUTED_VALUE"""),1.0833630031717818)</f>
        <v>1.083363003</v>
      </c>
      <c r="AG248" s="30">
        <f>IFERROR(__xludf.DUMMYFUNCTION("""COMPUTED_VALUE"""),0.8717703032872834)</f>
        <v>0.8717703033</v>
      </c>
      <c r="AH248" s="30">
        <f>IFERROR(__xludf.DUMMYFUNCTION("""COMPUTED_VALUE"""),1.0410732899936055)</f>
        <v>1.04107329</v>
      </c>
      <c r="AI248" s="30">
        <f>IFERROR(__xludf.DUMMYFUNCTION("""COMPUTED_VALUE"""),1.0163346607648918)</f>
        <v>1.016334661</v>
      </c>
      <c r="AJ248" s="30">
        <f>IFERROR(__xludf.DUMMYFUNCTION("""COMPUTED_VALUE"""),1.0793100351119775)</f>
        <v>1.079310035</v>
      </c>
      <c r="AK248" s="30">
        <f>IFERROR(__xludf.DUMMYFUNCTION("""COMPUTED_VALUE"""),0.9770051005890913)</f>
        <v>0.9770051006</v>
      </c>
      <c r="AL248" s="30">
        <f>IFERROR(__xludf.DUMMYFUNCTION("""COMPUTED_VALUE"""),1.0217726028936882)</f>
        <v>1.021772603</v>
      </c>
      <c r="AM248" s="30">
        <f>IFERROR(__xludf.DUMMYFUNCTION("""COMPUTED_VALUE"""),1.0200352447647176)</f>
        <v>1.020035245</v>
      </c>
      <c r="AN248" s="30">
        <f>IFERROR(__xludf.DUMMYFUNCTION("""COMPUTED_VALUE"""),1.0600497510947122)</f>
        <v>1.060049751</v>
      </c>
      <c r="AO248" s="30">
        <f>IFERROR(__xludf.DUMMYFUNCTION("""COMPUTED_VALUE"""),1.2463621266796545)</f>
        <v>1.246362127</v>
      </c>
      <c r="AP248" s="30">
        <f>IFERROR(__xludf.DUMMYFUNCTION("""COMPUTED_VALUE"""),1.2075689366442954)</f>
        <v>1.207568937</v>
      </c>
      <c r="AQ248" s="30">
        <f>IFERROR(__xludf.DUMMYFUNCTION("""COMPUTED_VALUE"""),0.817842276900335)</f>
        <v>0.8178422769</v>
      </c>
      <c r="AR248" s="30">
        <f>IFERROR(__xludf.DUMMYFUNCTION("""COMPUTED_VALUE"""),1.1357624872771959)</f>
        <v>1.135762487</v>
      </c>
      <c r="AS248" s="30">
        <f>IFERROR(__xludf.DUMMYFUNCTION("""COMPUTED_VALUE"""),90.0)</f>
        <v>90</v>
      </c>
      <c r="AT248" s="30">
        <f>IFERROR(__xludf.DUMMYFUNCTION("""COMPUTED_VALUE"""),0.5506226090316437)</f>
        <v>0.550622609</v>
      </c>
      <c r="AU248" s="30">
        <f>IFERROR(__xludf.DUMMYFUNCTION("""COMPUTED_VALUE"""),2.828813944350198)</f>
        <v>2.828813944</v>
      </c>
      <c r="AV248" s="32">
        <f>IFERROR(__xludf.DUMMYFUNCTION("""COMPUTED_VALUE"""),64.16533973337235)</f>
        <v>64.16533973</v>
      </c>
      <c r="AW248" s="32">
        <f>IFERROR(__xludf.DUMMYFUNCTION("""COMPUTED_VALUE"""),3.502769656030615)</f>
        <v>3.502769656</v>
      </c>
      <c r="AX248" s="32">
        <f>IFERROR(__xludf.DUMMYFUNCTION("""COMPUTED_VALUE"""),62.1051759388665)</f>
        <v>62.10517594</v>
      </c>
      <c r="AY248" s="32">
        <f>IFERROR(__xludf.DUMMYFUNCTION("""COMPUTED_VALUE"""),3.1835021096411733)</f>
        <v>3.18350211</v>
      </c>
      <c r="AZ248" s="30">
        <f>IFERROR(__xludf.DUMMYFUNCTION("""COMPUTED_VALUE"""),0.31926754638944166)</f>
        <v>0.3192675464</v>
      </c>
      <c r="BA248" s="30">
        <f>IFERROR(__xludf.DUMMYFUNCTION("""COMPUTED_VALUE"""),800.0)</f>
        <v>800</v>
      </c>
    </row>
    <row r="249">
      <c r="A249" s="30" t="str">
        <f>IFERROR(__xludf.DUMMYFUNCTION("""COMPUTED_VALUE"""),"Elite")</f>
        <v>Elite</v>
      </c>
      <c r="B249" s="30" t="str">
        <f>IFERROR(__xludf.DUMMYFUNCTION("""COMPUTED_VALUE"""),"RSC000787")</f>
        <v>RSC000787</v>
      </c>
      <c r="C249" s="30" t="str">
        <f>IFERROR(__xludf.DUMMYFUNCTION("""COMPUTED_VALUE"""),"buckle")</f>
        <v>buckle</v>
      </c>
      <c r="D249" s="30" t="str">
        <f>IFERROR(__xludf.DUMMYFUNCTION("""COMPUTED_VALUE"""),"Praetorian Guard")</f>
        <v>Praetorian Guard</v>
      </c>
      <c r="E249" s="30">
        <f>IFERROR(__xludf.DUMMYFUNCTION("""COMPUTED_VALUE"""),24.0)</f>
        <v>24</v>
      </c>
      <c r="F249" s="30">
        <f>IFERROR(__xludf.DUMMYFUNCTION("""COMPUTED_VALUE"""),15.0)</f>
        <v>15</v>
      </c>
      <c r="G249" s="30">
        <f>IFERROR(__xludf.DUMMYFUNCTION("""COMPUTED_VALUE"""),9.0)</f>
        <v>9</v>
      </c>
      <c r="H249" s="42">
        <f>IFERROR(__xludf.DUMMYFUNCTION("""COMPUTED_VALUE"""),0.625)</f>
        <v>0.625</v>
      </c>
      <c r="I249" s="42">
        <f>IFERROR(__xludf.DUMMYFUNCTION("""COMPUTED_VALUE"""),0.38095238095238093)</f>
        <v>0.380952381</v>
      </c>
      <c r="J249" s="30">
        <f>IFERROR(__xludf.DUMMYFUNCTION("""COMPUTED_VALUE"""),407.3333333333333)</f>
        <v>407.3333333</v>
      </c>
      <c r="K249" s="30">
        <f>IFERROR(__xludf.DUMMYFUNCTION("""COMPUTED_VALUE"""),1.0)</f>
        <v>1</v>
      </c>
      <c r="L249" s="30">
        <f>IFERROR(__xludf.DUMMYFUNCTION("""COMPUTED_VALUE"""),0.625)</f>
        <v>0.625</v>
      </c>
      <c r="M249" s="30">
        <f>IFERROR(__xludf.DUMMYFUNCTION("""COMPUTED_VALUE"""),1.625)</f>
        <v>1.625</v>
      </c>
      <c r="N249" s="30">
        <f>IFERROR(__xludf.DUMMYFUNCTION("""COMPUTED_VALUE"""),2.625)</f>
        <v>2.625</v>
      </c>
      <c r="O249" s="30">
        <f>IFERROR(__xludf.DUMMYFUNCTION("""COMPUTED_VALUE"""),351.7638888888889)</f>
        <v>351.7638889</v>
      </c>
      <c r="P249" s="30">
        <f>IFERROR(__xludf.DUMMYFUNCTION("""COMPUTED_VALUE"""),0.6944444444444443)</f>
        <v>0.6944444444</v>
      </c>
      <c r="Q249" s="30">
        <f>IFERROR(__xludf.DUMMYFUNCTION("""COMPUTED_VALUE"""),0.5833333333333334)</f>
        <v>0.5833333333</v>
      </c>
      <c r="R249" s="30">
        <f>IFERROR(__xludf.DUMMYFUNCTION("""COMPUTED_VALUE"""),1.3888888888888886)</f>
        <v>1.388888889</v>
      </c>
      <c r="S249" s="30">
        <f>IFERROR(__xludf.DUMMYFUNCTION("""COMPUTED_VALUE"""),2.3611111111111116)</f>
        <v>2.361111111</v>
      </c>
      <c r="T249" s="30">
        <f>IFERROR(__xludf.DUMMYFUNCTION("""COMPUTED_VALUE"""),356.69558170165345)</f>
        <v>356.6955817</v>
      </c>
      <c r="U249" s="30">
        <f>IFERROR(__xludf.DUMMYFUNCTION("""COMPUTED_VALUE"""),0.7310836552679797)</f>
        <v>0.7310836553</v>
      </c>
      <c r="V249" s="30">
        <f>IFERROR(__xludf.DUMMYFUNCTION("""COMPUTED_VALUE"""),0.5210676033474106)</f>
        <v>0.5210676033</v>
      </c>
      <c r="W249" s="30">
        <f>IFERROR(__xludf.DUMMYFUNCTION("""COMPUTED_VALUE"""),1.5103502414687322)</f>
        <v>1.510350241</v>
      </c>
      <c r="X249" s="30">
        <f>IFERROR(__xludf.DUMMYFUNCTION("""COMPUTED_VALUE"""),2.3817608449737375)</f>
        <v>2.381760845</v>
      </c>
      <c r="Y249" s="30">
        <f>IFERROR(__xludf.DUMMYFUNCTION("""COMPUTED_VALUE"""),375.50294493991737)</f>
        <v>375.5029449</v>
      </c>
      <c r="Z249" s="30">
        <f>IFERROR(__xludf.DUMMYFUNCTION("""COMPUTED_VALUE"""),0.8680162241573797)</f>
        <v>0.8680162242</v>
      </c>
      <c r="AA249" s="30">
        <f>IFERROR(__xludf.DUMMYFUNCTION("""COMPUTED_VALUE"""),0.651135138634216)</f>
        <v>0.6511351386</v>
      </c>
      <c r="AB249" s="30">
        <f>IFERROR(__xludf.DUMMYFUNCTION("""COMPUTED_VALUE"""),1.3352627756055178)</f>
        <v>1.335262776</v>
      </c>
      <c r="AC249" s="30">
        <f>IFERROR(__xludf.DUMMYFUNCTION("""COMPUTED_VALUE"""),2.8763305626366975)</f>
        <v>2.876330563</v>
      </c>
      <c r="AD249" s="30">
        <f>IFERROR(__xludf.DUMMYFUNCTION("""COMPUTED_VALUE"""),1.0847673468939345)</f>
        <v>1.084767347</v>
      </c>
      <c r="AE249" s="30">
        <f>IFERROR(__xludf.DUMMYFUNCTION("""COMPUTED_VALUE"""),1.1520521992209796)</f>
        <v>1.152052199</v>
      </c>
      <c r="AF249" s="30">
        <f>IFERROR(__xludf.DUMMYFUNCTION("""COMPUTED_VALUE"""),0.9598621897613518)</f>
        <v>0.9598621898</v>
      </c>
      <c r="AG249" s="30">
        <f>IFERROR(__xludf.DUMMYFUNCTION("""COMPUTED_VALUE"""),1.2169889176031974)</f>
        <v>1.216988918</v>
      </c>
      <c r="AH249" s="30">
        <f>IFERROR(__xludf.DUMMYFUNCTION("""COMPUTED_VALUE"""),0.9126211131983711)</f>
        <v>0.9126211132</v>
      </c>
      <c r="AI249" s="30">
        <f>IFERROR(__xludf.DUMMYFUNCTION("""COMPUTED_VALUE"""),0.9861739447703911)</f>
        <v>0.9861739448</v>
      </c>
      <c r="AJ249" s="30">
        <f>IFERROR(__xludf.DUMMYFUNCTION("""COMPUTED_VALUE"""),0.9498836958540603)</f>
        <v>0.9498836959</v>
      </c>
      <c r="AK249" s="30">
        <f>IFERROR(__xludf.DUMMYFUNCTION("""COMPUTED_VALUE"""),1.119496452256711)</f>
        <v>1.119496452</v>
      </c>
      <c r="AL249" s="30">
        <f>IFERROR(__xludf.DUMMYFUNCTION("""COMPUTED_VALUE"""),0.9195806712609063)</f>
        <v>0.9195806713</v>
      </c>
      <c r="AM249" s="30">
        <f>IFERROR(__xludf.DUMMYFUNCTION("""COMPUTED_VALUE"""),0.9913300556996714)</f>
        <v>0.9913300557</v>
      </c>
      <c r="AN249" s="30">
        <f>IFERROR(__xludf.DUMMYFUNCTION("""COMPUTED_VALUE"""),1.1548714375967948)</f>
        <v>1.154871438</v>
      </c>
      <c r="AO249" s="30">
        <f>IFERROR(__xludf.DUMMYFUNCTION("""COMPUTED_VALUE"""),1.4021573925146114)</f>
        <v>1.402157393</v>
      </c>
      <c r="AP249" s="30">
        <f>IFERROR(__xludf.DUMMYFUNCTION("""COMPUTED_VALUE"""),1.086812042979866)</f>
        <v>1.086812043</v>
      </c>
      <c r="AQ249" s="30">
        <f>IFERROR(__xludf.DUMMYFUNCTION("""COMPUTED_VALUE"""),1.1391374571111808)</f>
        <v>1.139137457</v>
      </c>
      <c r="AR249" s="30">
        <f>IFERROR(__xludf.DUMMYFUNCTION("""COMPUTED_VALUE"""),1.042034515026165)</f>
        <v>1.042034515</v>
      </c>
      <c r="AS249" s="30">
        <f>IFERROR(__xludf.DUMMYFUNCTION("""COMPUTED_VALUE"""),59.0)</f>
        <v>59</v>
      </c>
      <c r="AT249" s="30">
        <f>IFERROR(__xludf.DUMMYFUNCTION("""COMPUTED_VALUE"""),0.563539288391552)</f>
        <v>0.5635392884</v>
      </c>
      <c r="AU249" s="30">
        <f>IFERROR(__xludf.DUMMYFUNCTION("""COMPUTED_VALUE"""),2.8638601385617934)</f>
        <v>2.863860139</v>
      </c>
      <c r="AV249" s="32">
        <f>IFERROR(__xludf.DUMMYFUNCTION("""COMPUTED_VALUE"""),65.15011883486926)</f>
        <v>65.15011883</v>
      </c>
      <c r="AW249" s="32">
        <f>IFERROR(__xludf.DUMMYFUNCTION("""COMPUTED_VALUE"""),3.673016354263435)</f>
        <v>3.673016354</v>
      </c>
      <c r="AX249" s="32">
        <f>IFERROR(__xludf.DUMMYFUNCTION("""COMPUTED_VALUE"""),66.76343051211845)</f>
        <v>66.76343051</v>
      </c>
      <c r="AY249" s="32">
        <f>IFERROR(__xludf.DUMMYFUNCTION("""COMPUTED_VALUE"""),3.979977627315465)</f>
        <v>3.979977627</v>
      </c>
      <c r="AZ249" s="30">
        <f>IFERROR(__xludf.DUMMYFUNCTION("""COMPUTED_VALUE"""),0.3069612730520297)</f>
        <v>0.3069612731</v>
      </c>
      <c r="BA249" s="30">
        <f>IFERROR(__xludf.DUMMYFUNCTION("""COMPUTED_VALUE"""),800.0)</f>
        <v>800</v>
      </c>
    </row>
    <row r="250">
      <c r="A250" s="30" t="str">
        <f>IFERROR(__xludf.DUMMYFUNCTION("""COMPUTED_VALUE"""),"Elite")</f>
        <v>Elite</v>
      </c>
      <c r="B250" s="30" t="str">
        <f>IFERROR(__xludf.DUMMYFUNCTION("""COMPUTED_VALUE"""),"RSC007839")</f>
        <v>RSC007839</v>
      </c>
      <c r="C250" s="30" t="str">
        <f>IFERROR(__xludf.DUMMYFUNCTION("""COMPUTED_VALUE"""),"DoxxyWoxxyy")</f>
        <v>DoxxyWoxxyy</v>
      </c>
      <c r="D250" s="30" t="str">
        <f>IFERROR(__xludf.DUMMYFUNCTION("""COMPUTED_VALUE"""),"Pylons")</f>
        <v>Pylons</v>
      </c>
      <c r="E250" s="30">
        <f>IFERROR(__xludf.DUMMYFUNCTION("""COMPUTED_VALUE"""),28.0)</f>
        <v>28</v>
      </c>
      <c r="F250" s="30">
        <f>IFERROR(__xludf.DUMMYFUNCTION("""COMPUTED_VALUE"""),9.0)</f>
        <v>9</v>
      </c>
      <c r="G250" s="30">
        <f>IFERROR(__xludf.DUMMYFUNCTION("""COMPUTED_VALUE"""),19.0)</f>
        <v>19</v>
      </c>
      <c r="H250" s="42">
        <f>IFERROR(__xludf.DUMMYFUNCTION("""COMPUTED_VALUE"""),0.32142857142857145)</f>
        <v>0.3214285714</v>
      </c>
      <c r="I250" s="42">
        <f>IFERROR(__xludf.DUMMYFUNCTION("""COMPUTED_VALUE"""),0.2571428571428572)</f>
        <v>0.2571428571</v>
      </c>
      <c r="J250" s="30">
        <f>IFERROR(__xludf.DUMMYFUNCTION("""COMPUTED_VALUE"""),347.82142857142856)</f>
        <v>347.8214286</v>
      </c>
      <c r="K250" s="30">
        <f>IFERROR(__xludf.DUMMYFUNCTION("""COMPUTED_VALUE"""),0.6428571428571429)</f>
        <v>0.6428571429</v>
      </c>
      <c r="L250" s="30">
        <f>IFERROR(__xludf.DUMMYFUNCTION("""COMPUTED_VALUE"""),0.6428571428571429)</f>
        <v>0.6428571429</v>
      </c>
      <c r="M250" s="30">
        <f>IFERROR(__xludf.DUMMYFUNCTION("""COMPUTED_VALUE"""),1.6428571428571428)</f>
        <v>1.642857143</v>
      </c>
      <c r="N250" s="30">
        <f>IFERROR(__xludf.DUMMYFUNCTION("""COMPUTED_VALUE"""),2.5)</f>
        <v>2.5</v>
      </c>
      <c r="O250" s="30">
        <f>IFERROR(__xludf.DUMMYFUNCTION("""COMPUTED_VALUE"""),372.797619047619)</f>
        <v>372.797619</v>
      </c>
      <c r="P250" s="30">
        <f>IFERROR(__xludf.DUMMYFUNCTION("""COMPUTED_VALUE"""),0.892857142857143)</f>
        <v>0.8928571429</v>
      </c>
      <c r="Q250" s="30">
        <f>IFERROR(__xludf.DUMMYFUNCTION("""COMPUTED_VALUE"""),0.6428571428571429)</f>
        <v>0.6428571429</v>
      </c>
      <c r="R250" s="30">
        <f>IFERROR(__xludf.DUMMYFUNCTION("""COMPUTED_VALUE"""),1.476190476190476)</f>
        <v>1.476190476</v>
      </c>
      <c r="S250" s="30">
        <f>IFERROR(__xludf.DUMMYFUNCTION("""COMPUTED_VALUE"""),2.488095238095238)</f>
        <v>2.488095238</v>
      </c>
      <c r="T250" s="30">
        <f>IFERROR(__xludf.DUMMYFUNCTION("""COMPUTED_VALUE"""),366.5043996611821)</f>
        <v>366.5043997</v>
      </c>
      <c r="U250" s="30">
        <f>IFERROR(__xludf.DUMMYFUNCTION("""COMPUTED_VALUE"""),0.7890792082666673)</f>
        <v>0.7890792083</v>
      </c>
      <c r="V250" s="30">
        <f>IFERROR(__xludf.DUMMYFUNCTION("""COMPUTED_VALUE"""),0.5693578123133779)</f>
        <v>0.5693578123</v>
      </c>
      <c r="W250" s="30">
        <f>IFERROR(__xludf.DUMMYFUNCTION("""COMPUTED_VALUE"""),1.548348357700054)</f>
        <v>1.548348358</v>
      </c>
      <c r="X250" s="30">
        <f>IFERROR(__xludf.DUMMYFUNCTION("""COMPUTED_VALUE"""),2.4989930998720133)</f>
        <v>2.4989931</v>
      </c>
      <c r="Y250" s="30">
        <f>IFERROR(__xludf.DUMMYFUNCTION("""COMPUTED_VALUE"""),360.48695421035484)</f>
        <v>360.4869542</v>
      </c>
      <c r="Z250" s="30">
        <f>IFERROR(__xludf.DUMMYFUNCTION("""COMPUTED_VALUE"""),0.7850675363867149)</f>
        <v>0.7850675364</v>
      </c>
      <c r="AA250" s="30">
        <f>IFERROR(__xludf.DUMMYFUNCTION("""COMPUTED_VALUE"""),0.5939615111583106)</f>
        <v>0.5939615112</v>
      </c>
      <c r="AB250" s="30">
        <f>IFERROR(__xludf.DUMMYFUNCTION("""COMPUTED_VALUE"""),1.335642679960881)</f>
        <v>1.33564268</v>
      </c>
      <c r="AC250" s="30">
        <f>IFERROR(__xludf.DUMMYFUNCTION("""COMPUTED_VALUE"""),2.796390259896898)</f>
        <v>2.79639026</v>
      </c>
      <c r="AD250" s="30">
        <f>IFERROR(__xludf.DUMMYFUNCTION("""COMPUTED_VALUE"""),0.9648655090260615)</f>
        <v>0.964865509</v>
      </c>
      <c r="AE250" s="30">
        <f>IFERROR(__xludf.DUMMYFUNCTION("""COMPUTED_VALUE"""),0.8188558475056841)</f>
        <v>0.8188558475</v>
      </c>
      <c r="AF250" s="30">
        <f>IFERROR(__xludf.DUMMYFUNCTION("""COMPUTED_VALUE"""),1.0823212123685906)</f>
        <v>1.082321212</v>
      </c>
      <c r="AG250" s="30">
        <f>IFERROR(__xludf.DUMMYFUNCTION("""COMPUTED_VALUE"""),1.2300124632923977)</f>
        <v>1.230012463</v>
      </c>
      <c r="AH250" s="30">
        <f>IFERROR(__xludf.DUMMYFUNCTION("""COMPUTED_VALUE"""),0.8940096938015276)</f>
        <v>0.8940096938</v>
      </c>
      <c r="AI250" s="30">
        <f>IFERROR(__xludf.DUMMYFUNCTION("""COMPUTED_VALUE"""),1.017170924529841)</f>
        <v>1.017170925</v>
      </c>
      <c r="AJ250" s="30">
        <f>IFERROR(__xludf.DUMMYFUNCTION("""COMPUTED_VALUE"""),1.1315177659013975)</f>
        <v>1.131517766</v>
      </c>
      <c r="AK250" s="30">
        <f>IFERROR(__xludf.DUMMYFUNCTION("""COMPUTED_VALUE"""),1.1290916343891502)</f>
        <v>1.129091634</v>
      </c>
      <c r="AL250" s="30">
        <f>IFERROR(__xludf.DUMMYFUNCTION("""COMPUTED_VALUE"""),0.9533968688953417)</f>
        <v>0.9533968689</v>
      </c>
      <c r="AM250" s="30">
        <f>IFERROR(__xludf.DUMMYFUNCTION("""COMPUTED_VALUE"""),0.9956390988925367)</f>
        <v>0.9956390989</v>
      </c>
      <c r="AN250" s="30">
        <f>IFERROR(__xludf.DUMMYFUNCTION("""COMPUTED_VALUE"""),0.9861432894629867)</f>
        <v>0.9861432895</v>
      </c>
      <c r="AO250" s="30">
        <f>IFERROR(__xludf.DUMMYFUNCTION("""COMPUTED_VALUE"""),0.9013868951879644)</f>
        <v>0.9013868952</v>
      </c>
      <c r="AP250" s="30">
        <f>IFERROR(__xludf.DUMMYFUNCTION("""COMPUTED_VALUE"""),1.1178638156364336)</f>
        <v>1.117863816</v>
      </c>
      <c r="AQ250" s="30">
        <f>IFERROR(__xludf.DUMMYFUNCTION("""COMPUTED_VALUE"""),1.1516554511453696)</f>
        <v>1.151655451</v>
      </c>
      <c r="AR250" s="30">
        <f>IFERROR(__xludf.DUMMYFUNCTION("""COMPUTED_VALUE"""),0.9924138238344429)</f>
        <v>0.9924138238</v>
      </c>
      <c r="AS250" s="30">
        <f>IFERROR(__xludf.DUMMYFUNCTION("""COMPUTED_VALUE"""),59.0)</f>
        <v>59</v>
      </c>
      <c r="AT250" s="30">
        <f>IFERROR(__xludf.DUMMYFUNCTION("""COMPUTED_VALUE"""),0.40707553224384996)</f>
        <v>0.4070755322</v>
      </c>
      <c r="AU250" s="30">
        <f>IFERROR(__xludf.DUMMYFUNCTION("""COMPUTED_VALUE"""),2.1762436092119017)</f>
        <v>2.176243609</v>
      </c>
      <c r="AV250" s="32">
        <f>IFERROR(__xludf.DUMMYFUNCTION("""COMPUTED_VALUE"""),45.82846627940991)</f>
        <v>45.82846628</v>
      </c>
      <c r="AW250" s="32">
        <f>IFERROR(__xludf.DUMMYFUNCTION("""COMPUTED_VALUE"""),-2.305530927746613)</f>
        <v>-2.305530928</v>
      </c>
      <c r="AX250" s="32">
        <f>IFERROR(__xludf.DUMMYFUNCTION("""COMPUTED_VALUE"""),49.91307194210584)</f>
        <v>49.91307194</v>
      </c>
      <c r="AY250" s="32">
        <f>IFERROR(__xludf.DUMMYFUNCTION("""COMPUTED_VALUE"""),-2.005564109956634)</f>
        <v>-2.00556411</v>
      </c>
      <c r="AZ250" s="30">
        <f>IFERROR(__xludf.DUMMYFUNCTION("""COMPUTED_VALUE"""),0.2999668177899788)</f>
        <v>0.2999668178</v>
      </c>
      <c r="BA250" s="30">
        <f>IFERROR(__xludf.DUMMYFUNCTION("""COMPUTED_VALUE"""),800.0)</f>
        <v>800</v>
      </c>
    </row>
    <row r="251">
      <c r="A251" s="30" t="str">
        <f>IFERROR(__xludf.DUMMYFUNCTION("""COMPUTED_VALUE"""),"Elite")</f>
        <v>Elite</v>
      </c>
      <c r="B251" s="30" t="str">
        <f>IFERROR(__xludf.DUMMYFUNCTION("""COMPUTED_VALUE"""),"RSC007354")</f>
        <v>RSC007354</v>
      </c>
      <c r="C251" s="30" t="str">
        <f>IFERROR(__xludf.DUMMYFUNCTION("""COMPUTED_VALUE"""),"Fanatic")</f>
        <v>Fanatic</v>
      </c>
      <c r="D251" s="30" t="str">
        <f>IFERROR(__xludf.DUMMYFUNCTION("""COMPUTED_VALUE"""),"Desolation")</f>
        <v>Desolation</v>
      </c>
      <c r="E251" s="30">
        <f>IFERROR(__xludf.DUMMYFUNCTION("""COMPUTED_VALUE"""),32.0)</f>
        <v>32</v>
      </c>
      <c r="F251" s="30">
        <f>IFERROR(__xludf.DUMMYFUNCTION("""COMPUTED_VALUE"""),20.0)</f>
        <v>20</v>
      </c>
      <c r="G251" s="30">
        <f>IFERROR(__xludf.DUMMYFUNCTION("""COMPUTED_VALUE"""),12.0)</f>
        <v>12</v>
      </c>
      <c r="H251" s="42">
        <f>IFERROR(__xludf.DUMMYFUNCTION("""COMPUTED_VALUE"""),0.625)</f>
        <v>0.625</v>
      </c>
      <c r="I251" s="42">
        <f>IFERROR(__xludf.DUMMYFUNCTION("""COMPUTED_VALUE"""),0.32142857142857145)</f>
        <v>0.3214285714</v>
      </c>
      <c r="J251" s="30">
        <f>IFERROR(__xludf.DUMMYFUNCTION("""COMPUTED_VALUE"""),382.5)</f>
        <v>382.5</v>
      </c>
      <c r="K251" s="30">
        <f>IFERROR(__xludf.DUMMYFUNCTION("""COMPUTED_VALUE"""),0.84375)</f>
        <v>0.84375</v>
      </c>
      <c r="L251" s="30">
        <f>IFERROR(__xludf.DUMMYFUNCTION("""COMPUTED_VALUE"""),0.65625)</f>
        <v>0.65625</v>
      </c>
      <c r="M251" s="30">
        <f>IFERROR(__xludf.DUMMYFUNCTION("""COMPUTED_VALUE"""),1.40625)</f>
        <v>1.40625</v>
      </c>
      <c r="N251" s="30">
        <f>IFERROR(__xludf.DUMMYFUNCTION("""COMPUTED_VALUE"""),2.625)</f>
        <v>2.625</v>
      </c>
      <c r="O251" s="30">
        <f>IFERROR(__xludf.DUMMYFUNCTION("""COMPUTED_VALUE"""),346.8020833333333)</f>
        <v>346.8020833</v>
      </c>
      <c r="P251" s="30">
        <f>IFERROR(__xludf.DUMMYFUNCTION("""COMPUTED_VALUE"""),0.6770833333333334)</f>
        <v>0.6770833333</v>
      </c>
      <c r="Q251" s="30">
        <f>IFERROR(__xludf.DUMMYFUNCTION("""COMPUTED_VALUE"""),0.44791666666666674)</f>
        <v>0.4479166667</v>
      </c>
      <c r="R251" s="30">
        <f>IFERROR(__xludf.DUMMYFUNCTION("""COMPUTED_VALUE"""),1.4062499999999998)</f>
        <v>1.40625</v>
      </c>
      <c r="S251" s="30">
        <f>IFERROR(__xludf.DUMMYFUNCTION("""COMPUTED_VALUE"""),2.4999999999999996)</f>
        <v>2.5</v>
      </c>
      <c r="T251" s="30">
        <f>IFERROR(__xludf.DUMMYFUNCTION("""COMPUTED_VALUE"""),351.70651479922196)</f>
        <v>351.7065148</v>
      </c>
      <c r="U251" s="30">
        <f>IFERROR(__xludf.DUMMYFUNCTION("""COMPUTED_VALUE"""),0.6553989515972909)</f>
        <v>0.6553989516</v>
      </c>
      <c r="V251" s="30">
        <f>IFERROR(__xludf.DUMMYFUNCTION("""COMPUTED_VALUE"""),0.500644694862177)</f>
        <v>0.5006446949</v>
      </c>
      <c r="W251" s="30">
        <f>IFERROR(__xludf.DUMMYFUNCTION("""COMPUTED_VALUE"""),1.5049296782705126)</f>
        <v>1.504929678</v>
      </c>
      <c r="X251" s="30">
        <f>IFERROR(__xludf.DUMMYFUNCTION("""COMPUTED_VALUE"""),2.4991568079486437)</f>
        <v>2.499156808</v>
      </c>
      <c r="Y251" s="30">
        <f>IFERROR(__xludf.DUMMYFUNCTION("""COMPUTED_VALUE"""),371.412386098922)</f>
        <v>371.4123861</v>
      </c>
      <c r="Z251" s="30">
        <f>IFERROR(__xludf.DUMMYFUNCTION("""COMPUTED_VALUE"""),0.8182126099162524)</f>
        <v>0.8182126099</v>
      </c>
      <c r="AA251" s="30">
        <f>IFERROR(__xludf.DUMMYFUNCTION("""COMPUTED_VALUE"""),0.6139759812400744)</f>
        <v>0.6139759812</v>
      </c>
      <c r="AB251" s="30">
        <f>IFERROR(__xludf.DUMMYFUNCTION("""COMPUTED_VALUE"""),1.4325431786945053)</f>
        <v>1.432543179</v>
      </c>
      <c r="AC251" s="30">
        <f>IFERROR(__xludf.DUMMYFUNCTION("""COMPUTED_VALUE"""),2.7903183873080115)</f>
        <v>2.790318387</v>
      </c>
      <c r="AD251" s="30">
        <f>IFERROR(__xludf.DUMMYFUNCTION("""COMPUTED_VALUE"""),1.029852569047401)</f>
        <v>1.029852569</v>
      </c>
      <c r="AE251" s="30">
        <f>IFERROR(__xludf.DUMMYFUNCTION("""COMPUTED_VALUE"""),1.031211191045273)</f>
        <v>1.031211191</v>
      </c>
      <c r="AF251" s="30">
        <f>IFERROR(__xludf.DUMMYFUNCTION("""COMPUTED_VALUE"""),1.068852886841832)</f>
        <v>1.068852887</v>
      </c>
      <c r="AG251" s="30">
        <f>IFERROR(__xludf.DUMMYFUNCTION("""COMPUTED_VALUE"""),0.9816458037108057)</f>
        <v>0.9816458037</v>
      </c>
      <c r="AH251" s="30">
        <f>IFERROR(__xludf.DUMMYFUNCTION("""COMPUTED_VALUE"""),0.9407528588637141)</f>
        <v>0.9407528589</v>
      </c>
      <c r="AI251" s="30">
        <f>IFERROR(__xludf.DUMMYFUNCTION("""COMPUTED_VALUE"""),0.9860553294877451)</f>
        <v>0.9860553295</v>
      </c>
      <c r="AJ251" s="30">
        <f>IFERROR(__xludf.DUMMYFUNCTION("""COMPUTED_VALUE"""),1.033085774219191)</f>
        <v>1.033085774</v>
      </c>
      <c r="AK251" s="30">
        <f>IFERROR(__xludf.DUMMYFUNCTION("""COMPUTED_VALUE"""),0.8946797424668091)</f>
        <v>0.8946797425</v>
      </c>
      <c r="AL251" s="30">
        <f>IFERROR(__xludf.DUMMYFUNCTION("""COMPUTED_VALUE"""),0.9344290436321803)</f>
        <v>0.9344290436</v>
      </c>
      <c r="AM251" s="30">
        <f>IFERROR(__xludf.DUMMYFUNCTION("""COMPUTED_VALUE"""),1.000337390614576)</f>
        <v>1.000337391</v>
      </c>
      <c r="AN251" s="30">
        <f>IFERROR(__xludf.DUMMYFUNCTION("""COMPUTED_VALUE"""),1.0844639727023913)</f>
        <v>1.084463973</v>
      </c>
      <c r="AO251" s="30">
        <f>IFERROR(__xludf.DUMMYFUNCTION("""COMPUTED_VALUE"""),1.1830702999342033)</f>
        <v>1.1830703</v>
      </c>
      <c r="AP251" s="30">
        <f>IFERROR(__xludf.DUMMYFUNCTION("""COMPUTED_VALUE"""),1.1411526451288592)</f>
        <v>1.141152645</v>
      </c>
      <c r="AQ251" s="30">
        <f>IFERROR(__xludf.DUMMYFUNCTION("""COMPUTED_VALUE"""),0.9857920301923679)</f>
        <v>0.9857920302</v>
      </c>
      <c r="AR251" s="30">
        <f>IFERROR(__xludf.DUMMYFUNCTION("""COMPUTED_VALUE"""),1.042034515026165)</f>
        <v>1.042034515</v>
      </c>
      <c r="AS251" s="30">
        <f>IFERROR(__xludf.DUMMYFUNCTION("""COMPUTED_VALUE"""),86.0)</f>
        <v>86</v>
      </c>
      <c r="AT251" s="30">
        <f>IFERROR(__xludf.DUMMYFUNCTION("""COMPUTED_VALUE"""),0.6075446617890964)</f>
        <v>0.6075446618</v>
      </c>
      <c r="AU251" s="30">
        <f>IFERROR(__xludf.DUMMYFUNCTION("""COMPUTED_VALUE"""),2.713849577721758)</f>
        <v>2.713849578</v>
      </c>
      <c r="AV251" s="32">
        <f>IFERROR(__xludf.DUMMYFUNCTION("""COMPUTED_VALUE"""),60.93490321324785)</f>
        <v>60.93490321</v>
      </c>
      <c r="AW251" s="32">
        <f>IFERROR(__xludf.DUMMYFUNCTION("""COMPUTED_VALUE"""),3.021951038385264)</f>
        <v>3.021951038</v>
      </c>
      <c r="AX251" s="32">
        <f>IFERROR(__xludf.DUMMYFUNCTION("""COMPUTED_VALUE"""),58.61536739614877)</f>
        <v>58.6153674</v>
      </c>
      <c r="AY251" s="32">
        <f>IFERROR(__xludf.DUMMYFUNCTION("""COMPUTED_VALUE"""),2.738285403574941)</f>
        <v>2.738285404</v>
      </c>
      <c r="AZ251" s="30">
        <f>IFERROR(__xludf.DUMMYFUNCTION("""COMPUTED_VALUE"""),0.28366563481032303)</f>
        <v>0.2836656348</v>
      </c>
      <c r="BA251" s="30">
        <f>IFERROR(__xludf.DUMMYFUNCTION("""COMPUTED_VALUE"""),800.0)</f>
        <v>800</v>
      </c>
    </row>
    <row r="252">
      <c r="A252" s="30" t="str">
        <f>IFERROR(__xludf.DUMMYFUNCTION("""COMPUTED_VALUE"""),"Elite")</f>
        <v>Elite</v>
      </c>
      <c r="B252" s="30" t="str">
        <f>IFERROR(__xludf.DUMMYFUNCTION("""COMPUTED_VALUE"""),"RSC003815")</f>
        <v>RSC003815</v>
      </c>
      <c r="C252" s="30" t="str">
        <f>IFERROR(__xludf.DUMMYFUNCTION("""COMPUTED_VALUE"""),"WashedDonk")</f>
        <v>WashedDonk</v>
      </c>
      <c r="D252" s="30" t="str">
        <f>IFERROR(__xludf.DUMMYFUNCTION("""COMPUTED_VALUE"""),"Geeky Ghouls")</f>
        <v>Geeky Ghouls</v>
      </c>
      <c r="E252" s="30">
        <f>IFERROR(__xludf.DUMMYFUNCTION("""COMPUTED_VALUE"""),13.0)</f>
        <v>13</v>
      </c>
      <c r="F252" s="30">
        <f>IFERROR(__xludf.DUMMYFUNCTION("""COMPUTED_VALUE"""),3.0)</f>
        <v>3</v>
      </c>
      <c r="G252" s="30">
        <f>IFERROR(__xludf.DUMMYFUNCTION("""COMPUTED_VALUE"""),10.0)</f>
        <v>10</v>
      </c>
      <c r="H252" s="42">
        <f>IFERROR(__xludf.DUMMYFUNCTION("""COMPUTED_VALUE"""),0.23076923076923078)</f>
        <v>0.2307692308</v>
      </c>
      <c r="I252" s="42">
        <f>IFERROR(__xludf.DUMMYFUNCTION("""COMPUTED_VALUE"""),0.25)</f>
        <v>0.25</v>
      </c>
      <c r="J252" s="30">
        <f>IFERROR(__xludf.DUMMYFUNCTION("""COMPUTED_VALUE"""),343.15384615384613)</f>
        <v>343.1538462</v>
      </c>
      <c r="K252" s="30">
        <f>IFERROR(__xludf.DUMMYFUNCTION("""COMPUTED_VALUE"""),0.6153846153846154)</f>
        <v>0.6153846154</v>
      </c>
      <c r="L252" s="30">
        <f>IFERROR(__xludf.DUMMYFUNCTION("""COMPUTED_VALUE"""),0.3076923076923077)</f>
        <v>0.3076923077</v>
      </c>
      <c r="M252" s="30">
        <f>IFERROR(__xludf.DUMMYFUNCTION("""COMPUTED_VALUE"""),1.6923076923076923)</f>
        <v>1.692307692</v>
      </c>
      <c r="N252" s="30">
        <f>IFERROR(__xludf.DUMMYFUNCTION("""COMPUTED_VALUE"""),2.4615384615384617)</f>
        <v>2.461538462</v>
      </c>
      <c r="O252" s="30">
        <f>IFERROR(__xludf.DUMMYFUNCTION("""COMPUTED_VALUE"""),395.7435897435897)</f>
        <v>395.7435897</v>
      </c>
      <c r="P252" s="30">
        <f>IFERROR(__xludf.DUMMYFUNCTION("""COMPUTED_VALUE"""),0.9487179487179488)</f>
        <v>0.9487179487</v>
      </c>
      <c r="Q252" s="30">
        <f>IFERROR(__xludf.DUMMYFUNCTION("""COMPUTED_VALUE"""),0.641025641025641)</f>
        <v>0.641025641</v>
      </c>
      <c r="R252" s="30">
        <f>IFERROR(__xludf.DUMMYFUNCTION("""COMPUTED_VALUE"""),1.487179487179487)</f>
        <v>1.487179487</v>
      </c>
      <c r="S252" s="30">
        <f>IFERROR(__xludf.DUMMYFUNCTION("""COMPUTED_VALUE"""),2.871794871794872)</f>
        <v>2.871794872</v>
      </c>
      <c r="T252" s="30">
        <f>IFERROR(__xludf.DUMMYFUNCTION("""COMPUTED_VALUE"""),355.1369289106165)</f>
        <v>355.1369289</v>
      </c>
      <c r="U252" s="30">
        <f>IFERROR(__xludf.DUMMYFUNCTION("""COMPUTED_VALUE"""),0.7468759813603936)</f>
        <v>0.7468759814</v>
      </c>
      <c r="V252" s="30">
        <f>IFERROR(__xludf.DUMMYFUNCTION("""COMPUTED_VALUE"""),0.6159965712665465)</f>
        <v>0.6159965713</v>
      </c>
      <c r="W252" s="30">
        <f>IFERROR(__xludf.DUMMYFUNCTION("""COMPUTED_VALUE"""),1.3623003195755423)</f>
        <v>1.36230032</v>
      </c>
      <c r="X252" s="30">
        <f>IFERROR(__xludf.DUMMYFUNCTION("""COMPUTED_VALUE"""),2.640224911515369)</f>
        <v>2.640224912</v>
      </c>
      <c r="Y252" s="30">
        <f>IFERROR(__xludf.DUMMYFUNCTION("""COMPUTED_VALUE"""),364.64655747298735)</f>
        <v>364.6465575</v>
      </c>
      <c r="Z252" s="30">
        <f>IFERROR(__xludf.DUMMYFUNCTION("""COMPUTED_VALUE"""),0.80203449428653)</f>
        <v>0.8020344943</v>
      </c>
      <c r="AA252" s="30">
        <f>IFERROR(__xludf.DUMMYFUNCTION("""COMPUTED_VALUE"""),0.5839406099279838)</f>
        <v>0.5839406099</v>
      </c>
      <c r="AB252" s="30">
        <f>IFERROR(__xludf.DUMMYFUNCTION("""COMPUTED_VALUE"""),1.3969217993411784)</f>
        <v>1.396921799</v>
      </c>
      <c r="AC252" s="30">
        <f>IFERROR(__xludf.DUMMYFUNCTION("""COMPUTED_VALUE"""),2.688384762555398)</f>
        <v>2.688384763</v>
      </c>
      <c r="AD252" s="30">
        <f>IFERROR(__xludf.DUMMYFUNCTION("""COMPUTED_VALUE"""),0.9410587845170226)</f>
        <v>0.9410587845</v>
      </c>
      <c r="AE252" s="30">
        <f>IFERROR(__xludf.DUMMYFUNCTION("""COMPUTED_VALUE"""),0.7672794870650125)</f>
        <v>0.7672794871</v>
      </c>
      <c r="AF252" s="30">
        <f>IFERROR(__xludf.DUMMYFUNCTION("""COMPUTED_VALUE"""),0.5269239755910362)</f>
        <v>0.5269239756</v>
      </c>
      <c r="AG252" s="30">
        <f>IFERROR(__xludf.DUMMYFUNCTION("""COMPUTED_VALUE"""),1.2114548524518873)</f>
        <v>1.211454852</v>
      </c>
      <c r="AH252" s="30">
        <f>IFERROR(__xludf.DUMMYFUNCTION("""COMPUTED_VALUE"""),0.915619853163685)</f>
        <v>0.9156198532</v>
      </c>
      <c r="AI252" s="30">
        <f>IFERROR(__xludf.DUMMYFUNCTION("""COMPUTED_VALUE"""),1.1143408570816171)</f>
        <v>1.114340857</v>
      </c>
      <c r="AJ252" s="30">
        <f>IFERROR(__xludf.DUMMYFUNCTION("""COMPUTED_VALUE"""),1.270248304129303)</f>
        <v>1.270248304</v>
      </c>
      <c r="AK252" s="30">
        <f>IFERROR(__xludf.DUMMYFUNCTION("""COMPUTED_VALUE"""),1.0406318329136677)</f>
        <v>1.040631833</v>
      </c>
      <c r="AL252" s="30">
        <f>IFERROR(__xludf.DUMMYFUNCTION("""COMPUTED_VALUE"""),1.0916678692719193)</f>
        <v>1.091667869</v>
      </c>
      <c r="AM252" s="30">
        <f>IFERROR(__xludf.DUMMYFUNCTION("""COMPUTED_VALUE"""),1.087708421835393)</f>
        <v>1.087708422</v>
      </c>
      <c r="AN252" s="30">
        <f>IFERROR(__xludf.DUMMYFUNCTION("""COMPUTED_VALUE"""),0.9729097601257651)</f>
        <v>0.9729097601</v>
      </c>
      <c r="AO252" s="30">
        <f>IFERROR(__xludf.DUMMYFUNCTION("""COMPUTED_VALUE"""),0.8628660877012992)</f>
        <v>0.8628660877</v>
      </c>
      <c r="AP252" s="30">
        <f>IFERROR(__xludf.DUMMYFUNCTION("""COMPUTED_VALUE"""),0.5350459288516264)</f>
        <v>0.5350459289</v>
      </c>
      <c r="AQ252" s="30">
        <f>IFERROR(__xludf.DUMMYFUNCTION("""COMPUTED_VALUE"""),1.1863206653938925)</f>
        <v>1.186320665</v>
      </c>
      <c r="AR252" s="30">
        <f>IFERROR(__xludf.DUMMYFUNCTION("""COMPUTED_VALUE"""),0.9771459188523746)</f>
        <v>0.9771459189</v>
      </c>
      <c r="AS252" s="30">
        <f>IFERROR(__xludf.DUMMYFUNCTION("""COMPUTED_VALUE"""),25.0)</f>
        <v>25</v>
      </c>
      <c r="AT252" s="30">
        <f>IFERROR(__xludf.DUMMYFUNCTION("""COMPUTED_VALUE"""),0.3511862585679025)</f>
        <v>0.3511862586</v>
      </c>
      <c r="AU252" s="30">
        <f>IFERROR(__xludf.DUMMYFUNCTION("""COMPUTED_VALUE"""),1.696529075637258)</f>
        <v>1.696529076</v>
      </c>
      <c r="AV252" s="32">
        <f>IFERROR(__xludf.DUMMYFUNCTION("""COMPUTED_VALUE"""),32.34874735482737)</f>
        <v>32.34874735</v>
      </c>
      <c r="AW252" s="32">
        <f>IFERROR(__xludf.DUMMYFUNCTION("""COMPUTED_VALUE"""),-4.165304453815011)</f>
        <v>-4.165304454</v>
      </c>
      <c r="AX252" s="32">
        <f>IFERROR(__xludf.DUMMYFUNCTION("""COMPUTED_VALUE"""),33.720280321032504)</f>
        <v>33.72028032</v>
      </c>
      <c r="AY252" s="32">
        <f>IFERROR(__xludf.DUMMYFUNCTION("""COMPUTED_VALUE"""),-3.8840635944958803)</f>
        <v>-3.884063594</v>
      </c>
      <c r="AZ252" s="30">
        <f>IFERROR(__xludf.DUMMYFUNCTION("""COMPUTED_VALUE"""),0.2812408593191309)</f>
        <v>0.2812408593</v>
      </c>
      <c r="BA252" s="30">
        <f>IFERROR(__xludf.DUMMYFUNCTION("""COMPUTED_VALUE"""),800.0)</f>
        <v>800</v>
      </c>
    </row>
    <row r="253">
      <c r="A253" s="30" t="str">
        <f>IFERROR(__xludf.DUMMYFUNCTION("""COMPUTED_VALUE"""),"Elite")</f>
        <v>Elite</v>
      </c>
      <c r="B253" s="30" t="str">
        <f>IFERROR(__xludf.DUMMYFUNCTION("""COMPUTED_VALUE"""),"RSC003399")</f>
        <v>RSC003399</v>
      </c>
      <c r="C253" s="30" t="str">
        <f>IFERROR(__xludf.DUMMYFUNCTION("""COMPUTED_VALUE"""),"josan")</f>
        <v>josan</v>
      </c>
      <c r="D253" s="30"/>
      <c r="E253" s="30">
        <f>IFERROR(__xludf.DUMMYFUNCTION("""COMPUTED_VALUE"""),3.0)</f>
        <v>3</v>
      </c>
      <c r="F253" s="30">
        <f>IFERROR(__xludf.DUMMYFUNCTION("""COMPUTED_VALUE"""),2.0)</f>
        <v>2</v>
      </c>
      <c r="G253" s="30">
        <f>IFERROR(__xludf.DUMMYFUNCTION("""COMPUTED_VALUE"""),1.0)</f>
        <v>1</v>
      </c>
      <c r="H253" s="42">
        <f>IFERROR(__xludf.DUMMYFUNCTION("""COMPUTED_VALUE"""),0.6666666666666666)</f>
        <v>0.6666666667</v>
      </c>
      <c r="I253" s="42">
        <f>IFERROR(__xludf.DUMMYFUNCTION("""COMPUTED_VALUE"""),0.125)</f>
        <v>0.125</v>
      </c>
      <c r="J253" s="30">
        <f>IFERROR(__xludf.DUMMYFUNCTION("""COMPUTED_VALUE"""),273.6666666666667)</f>
        <v>273.6666667</v>
      </c>
      <c r="K253" s="30">
        <f>IFERROR(__xludf.DUMMYFUNCTION("""COMPUTED_VALUE"""),0.3333333333333333)</f>
        <v>0.3333333333</v>
      </c>
      <c r="L253" s="30">
        <f>IFERROR(__xludf.DUMMYFUNCTION("""COMPUTED_VALUE"""),1.3333333333333333)</f>
        <v>1.333333333</v>
      </c>
      <c r="M253" s="30">
        <f>IFERROR(__xludf.DUMMYFUNCTION("""COMPUTED_VALUE"""),0.0)</f>
        <v>0</v>
      </c>
      <c r="N253" s="30">
        <f>IFERROR(__xludf.DUMMYFUNCTION("""COMPUTED_VALUE"""),2.6666666666666665)</f>
        <v>2.666666667</v>
      </c>
      <c r="O253" s="30">
        <f>IFERROR(__xludf.DUMMYFUNCTION("""COMPUTED_VALUE"""),422.3333333333333)</f>
        <v>422.3333333</v>
      </c>
      <c r="P253" s="30">
        <f>IFERROR(__xludf.DUMMYFUNCTION("""COMPUTED_VALUE"""),1.111111111111111)</f>
        <v>1.111111111</v>
      </c>
      <c r="Q253" s="30">
        <f>IFERROR(__xludf.DUMMYFUNCTION("""COMPUTED_VALUE"""),1.0)</f>
        <v>1</v>
      </c>
      <c r="R253" s="30">
        <f>IFERROR(__xludf.DUMMYFUNCTION("""COMPUTED_VALUE"""),1.6666666666666667)</f>
        <v>1.666666667</v>
      </c>
      <c r="S253" s="30">
        <f>IFERROR(__xludf.DUMMYFUNCTION("""COMPUTED_VALUE"""),2.111111111111111)</f>
        <v>2.111111111</v>
      </c>
      <c r="T253" s="30">
        <f>IFERROR(__xludf.DUMMYFUNCTION("""COMPUTED_VALUE"""),365.3055555555556)</f>
        <v>365.3055556</v>
      </c>
      <c r="U253" s="30">
        <f>IFERROR(__xludf.DUMMYFUNCTION("""COMPUTED_VALUE"""),0.8333333333333334)</f>
        <v>0.8333333333</v>
      </c>
      <c r="V253" s="30">
        <f>IFERROR(__xludf.DUMMYFUNCTION("""COMPUTED_VALUE"""),0.6053240740740741)</f>
        <v>0.6053240741</v>
      </c>
      <c r="W253" s="30">
        <f>IFERROR(__xludf.DUMMYFUNCTION("""COMPUTED_VALUE"""),1.4409722222222223)</f>
        <v>1.440972222</v>
      </c>
      <c r="X253" s="30">
        <f>IFERROR(__xludf.DUMMYFUNCTION("""COMPUTED_VALUE"""),2.7094907407407405)</f>
        <v>2.709490741</v>
      </c>
      <c r="Y253" s="30">
        <f>IFERROR(__xludf.DUMMYFUNCTION("""COMPUTED_VALUE"""),377.914737654321)</f>
        <v>377.9147377</v>
      </c>
      <c r="Z253" s="30">
        <f>IFERROR(__xludf.DUMMYFUNCTION("""COMPUTED_VALUE"""),0.8591820987654321)</f>
        <v>0.8591820988</v>
      </c>
      <c r="AA253" s="30">
        <f>IFERROR(__xludf.DUMMYFUNCTION("""COMPUTED_VALUE"""),0.6361882716049384)</f>
        <v>0.6361882716</v>
      </c>
      <c r="AB253" s="30">
        <f>IFERROR(__xludf.DUMMYFUNCTION("""COMPUTED_VALUE"""),1.4857253086419753)</f>
        <v>1.485725309</v>
      </c>
      <c r="AC253" s="30">
        <f>IFERROR(__xludf.DUMMYFUNCTION("""COMPUTED_VALUE"""),2.782407407407407)</f>
        <v>2.782407407</v>
      </c>
      <c r="AD253" s="30">
        <f>IFERROR(__xludf.DUMMYFUNCTION("""COMPUTED_VALUE"""),0.7241492310283751)</f>
        <v>0.724149231</v>
      </c>
      <c r="AE253" s="30">
        <f>IFERROR(__xludf.DUMMYFUNCTION("""COMPUTED_VALUE"""),0.38796587337224964)</f>
        <v>0.3879658734</v>
      </c>
      <c r="AF253" s="30">
        <f>IFERROR(__xludf.DUMMYFUNCTION("""COMPUTED_VALUE"""),2.095815645845967)</f>
        <v>2.095815646</v>
      </c>
      <c r="AG253" s="30">
        <f>IFERROR(__xludf.DUMMYFUNCTION("""COMPUTED_VALUE"""),0.0)</f>
        <v>0</v>
      </c>
      <c r="AH253" s="30">
        <f>IFERROR(__xludf.DUMMYFUNCTION("""COMPUTED_VALUE"""),0.9584026622296173)</f>
        <v>0.9584026622</v>
      </c>
      <c r="AI253" s="30">
        <f>IFERROR(__xludf.DUMMYFUNCTION("""COMPUTED_VALUE"""),1.1561098015360047)</f>
        <v>1.156109802</v>
      </c>
      <c r="AJ253" s="30">
        <f>IFERROR(__xludf.DUMMYFUNCTION("""COMPUTED_VALUE"""),1.333333333333333)</f>
        <v>1.333333333</v>
      </c>
      <c r="AK253" s="30">
        <f>IFERROR(__xludf.DUMMYFUNCTION("""COMPUTED_VALUE"""),1.6520076481835564)</f>
        <v>1.652007648</v>
      </c>
      <c r="AL253" s="30">
        <f>IFERROR(__xludf.DUMMYFUNCTION("""COMPUTED_VALUE"""),1.1566265060240963)</f>
        <v>1.156626506</v>
      </c>
      <c r="AM253" s="30">
        <f>IFERROR(__xludf.DUMMYFUNCTION("""COMPUTED_VALUE"""),0.7791542076035883)</f>
        <v>0.7791542076</v>
      </c>
      <c r="AN253" s="30">
        <f>IFERROR(__xludf.DUMMYFUNCTION("""COMPUTED_VALUE"""),0.7758997138027567)</f>
        <v>0.7758997138</v>
      </c>
      <c r="AO253" s="30">
        <f>IFERROR(__xludf.DUMMYFUNCTION("""COMPUTED_VALUE"""),0.4673857975048704)</f>
        <v>0.4673857975</v>
      </c>
      <c r="AP253" s="30">
        <f>IFERROR(__xludf.DUMMYFUNCTION("""COMPUTED_VALUE"""),2.3185323583570474)</f>
        <v>2.318532358</v>
      </c>
      <c r="AQ253" s="30">
        <f>IFERROR(__xludf.DUMMYFUNCTION("""COMPUTED_VALUE"""),0.0)</f>
        <v>0</v>
      </c>
      <c r="AR253" s="30">
        <f>IFERROR(__xludf.DUMMYFUNCTION("""COMPUTED_VALUE"""),1.0585747454234058)</f>
        <v>1.058574745</v>
      </c>
      <c r="AS253" s="30">
        <f>IFERROR(__xludf.DUMMYFUNCTION("""COMPUTED_VALUE"""),12.0)</f>
        <v>12</v>
      </c>
      <c r="AT253" s="30">
        <f>IFERROR(__xludf.DUMMYFUNCTION("""COMPUTED_VALUE"""),0.5800510352544836)</f>
        <v>0.5800510353</v>
      </c>
      <c r="AU253" s="30">
        <f>IFERROR(__xludf.DUMMYFUNCTION("""COMPUTED_VALUE"""),2.010788494952507)</f>
        <v>2.010788495</v>
      </c>
      <c r="AV253" s="32">
        <f>IFERROR(__xludf.DUMMYFUNCTION("""COMPUTED_VALUE"""),41.179267060382514)</f>
        <v>41.17926706</v>
      </c>
      <c r="AW253" s="32">
        <f>IFERROR(__xludf.DUMMYFUNCTION("""COMPUTED_VALUE"""),-2.7616054967044708)</f>
        <v>-2.761605497</v>
      </c>
      <c r="AX253" s="32">
        <f>IFERROR(__xludf.DUMMYFUNCTION("""COMPUTED_VALUE"""),43.83837594001865)</f>
        <v>43.83837594</v>
      </c>
      <c r="AY253" s="32">
        <f>IFERROR(__xludf.DUMMYFUNCTION("""COMPUTED_VALUE"""),-2.4834776592033125)</f>
        <v>-2.483477659</v>
      </c>
      <c r="AZ253" s="30">
        <f>IFERROR(__xludf.DUMMYFUNCTION("""COMPUTED_VALUE"""),0.2781278375011582)</f>
        <v>0.2781278375</v>
      </c>
      <c r="BA253" s="30">
        <f>IFERROR(__xludf.DUMMYFUNCTION("""COMPUTED_VALUE"""),800.0)</f>
        <v>800</v>
      </c>
    </row>
    <row r="254">
      <c r="A254" s="30" t="str">
        <f>IFERROR(__xludf.DUMMYFUNCTION("""COMPUTED_VALUE"""),"Elite")</f>
        <v>Elite</v>
      </c>
      <c r="B254" s="30" t="str">
        <f>IFERROR(__xludf.DUMMYFUNCTION("""COMPUTED_VALUE"""),"RSC005374")</f>
        <v>RSC005374</v>
      </c>
      <c r="C254" s="30" t="str">
        <f>IFERROR(__xludf.DUMMYFUNCTION("""COMPUTED_VALUE"""),"A Yapping Panda")</f>
        <v>A Yapping Panda</v>
      </c>
      <c r="D254" s="30" t="str">
        <f>IFERROR(__xludf.DUMMYFUNCTION("""COMPUTED_VALUE"""),"Loonie")</f>
        <v>Loonie</v>
      </c>
      <c r="E254" s="30">
        <f>IFERROR(__xludf.DUMMYFUNCTION("""COMPUTED_VALUE"""),29.0)</f>
        <v>29</v>
      </c>
      <c r="F254" s="30">
        <f>IFERROR(__xludf.DUMMYFUNCTION("""COMPUTED_VALUE"""),10.0)</f>
        <v>10</v>
      </c>
      <c r="G254" s="30">
        <f>IFERROR(__xludf.DUMMYFUNCTION("""COMPUTED_VALUE"""),19.0)</f>
        <v>19</v>
      </c>
      <c r="H254" s="42">
        <f>IFERROR(__xludf.DUMMYFUNCTION("""COMPUTED_VALUE"""),0.3448275862068966)</f>
        <v>0.3448275862</v>
      </c>
      <c r="I254" s="42">
        <f>IFERROR(__xludf.DUMMYFUNCTION("""COMPUTED_VALUE"""),0.2876712328767123)</f>
        <v>0.2876712329</v>
      </c>
      <c r="J254" s="30">
        <f>IFERROR(__xludf.DUMMYFUNCTION("""COMPUTED_VALUE"""),357.58620689655174)</f>
        <v>357.5862069</v>
      </c>
      <c r="K254" s="30">
        <f>IFERROR(__xludf.DUMMYFUNCTION("""COMPUTED_VALUE"""),0.7241379310344828)</f>
        <v>0.724137931</v>
      </c>
      <c r="L254" s="30">
        <f>IFERROR(__xludf.DUMMYFUNCTION("""COMPUTED_VALUE"""),0.3103448275862069)</f>
        <v>0.3103448276</v>
      </c>
      <c r="M254" s="30">
        <f>IFERROR(__xludf.DUMMYFUNCTION("""COMPUTED_VALUE"""),1.4827586206896552)</f>
        <v>1.482758621</v>
      </c>
      <c r="N254" s="30">
        <f>IFERROR(__xludf.DUMMYFUNCTION("""COMPUTED_VALUE"""),2.5172413793103448)</f>
        <v>2.517241379</v>
      </c>
      <c r="O254" s="30">
        <f>IFERROR(__xludf.DUMMYFUNCTION("""COMPUTED_VALUE"""),388.75862068965523)</f>
        <v>388.7586207</v>
      </c>
      <c r="P254" s="30">
        <f>IFERROR(__xludf.DUMMYFUNCTION("""COMPUTED_VALUE"""),0.9770114942528734)</f>
        <v>0.9770114943</v>
      </c>
      <c r="Q254" s="30">
        <f>IFERROR(__xludf.DUMMYFUNCTION("""COMPUTED_VALUE"""),0.8390804597701148)</f>
        <v>0.8390804598</v>
      </c>
      <c r="R254" s="30">
        <f>IFERROR(__xludf.DUMMYFUNCTION("""COMPUTED_VALUE"""),1.2873563218390804)</f>
        <v>1.287356322</v>
      </c>
      <c r="S254" s="30">
        <f>IFERROR(__xludf.DUMMYFUNCTION("""COMPUTED_VALUE"""),2.9885057471264362)</f>
        <v>2.988505747</v>
      </c>
      <c r="T254" s="30">
        <f>IFERROR(__xludf.DUMMYFUNCTION("""COMPUTED_VALUE"""),385.15924340747506)</f>
        <v>385.1592434</v>
      </c>
      <c r="U254" s="30">
        <f>IFERROR(__xludf.DUMMYFUNCTION("""COMPUTED_VALUE"""),0.9082538084827679)</f>
        <v>0.9082538085</v>
      </c>
      <c r="V254" s="30">
        <f>IFERROR(__xludf.DUMMYFUNCTION("""COMPUTED_VALUE"""),0.645121002919754)</f>
        <v>0.6451210029</v>
      </c>
      <c r="W254" s="30">
        <f>IFERROR(__xludf.DUMMYFUNCTION("""COMPUTED_VALUE"""),1.3875717398039553)</f>
        <v>1.38757174</v>
      </c>
      <c r="X254" s="30">
        <f>IFERROR(__xludf.DUMMYFUNCTION("""COMPUTED_VALUE"""),2.882318682127292)</f>
        <v>2.882318682</v>
      </c>
      <c r="Y254" s="30">
        <f>IFERROR(__xludf.DUMMYFUNCTION("""COMPUTED_VALUE"""),348.0170409955184)</f>
        <v>348.017041</v>
      </c>
      <c r="Z254" s="30">
        <f>IFERROR(__xludf.DUMMYFUNCTION("""COMPUTED_VALUE"""),0.6818886895118822)</f>
        <v>0.6818886895</v>
      </c>
      <c r="AA254" s="30">
        <f>IFERROR(__xludf.DUMMYFUNCTION("""COMPUTED_VALUE"""),0.4909710853859394)</f>
        <v>0.4909710854</v>
      </c>
      <c r="AB254" s="30">
        <f>IFERROR(__xludf.DUMMYFUNCTION("""COMPUTED_VALUE"""),1.4702318383095878)</f>
        <v>1.470231838</v>
      </c>
      <c r="AC254" s="30">
        <f>IFERROR(__xludf.DUMMYFUNCTION("""COMPUTED_VALUE"""),2.461468030460421)</f>
        <v>2.46146803</v>
      </c>
      <c r="AD254" s="30">
        <f>IFERROR(__xludf.DUMMYFUNCTION("""COMPUTED_VALUE"""),1.0274962567167985)</f>
        <v>1.027496257</v>
      </c>
      <c r="AE254" s="30">
        <f>IFERROR(__xludf.DUMMYFUNCTION("""COMPUTED_VALUE"""),1.0619591469581993)</f>
        <v>1.061959147</v>
      </c>
      <c r="AF254" s="30">
        <f>IFERROR(__xludf.DUMMYFUNCTION("""COMPUTED_VALUE"""),0.6321040827531687)</f>
        <v>0.6321040828</v>
      </c>
      <c r="AG254" s="30">
        <f>IFERROR(__xludf.DUMMYFUNCTION("""COMPUTED_VALUE"""),1.0085202769071238)</f>
        <v>1.008520277</v>
      </c>
      <c r="AH254" s="30">
        <f>IFERROR(__xludf.DUMMYFUNCTION("""COMPUTED_VALUE"""),1.0226585712914953)</f>
        <v>1.022658571</v>
      </c>
      <c r="AI254" s="30">
        <f>IFERROR(__xludf.DUMMYFUNCTION("""COMPUTED_VALUE"""),1.0093451665610742)</f>
        <v>1.009345167</v>
      </c>
      <c r="AJ254" s="30">
        <f>IFERROR(__xludf.DUMMYFUNCTION("""COMPUTED_VALUE"""),1.0757031626269364)</f>
        <v>1.075703163</v>
      </c>
      <c r="AK254" s="30">
        <f>IFERROR(__xludf.DUMMYFUNCTION("""COMPUTED_VALUE"""),1.3006559327204035)</f>
        <v>1.300655933</v>
      </c>
      <c r="AL254" s="30">
        <f>IFERROR(__xludf.DUMMYFUNCTION("""COMPUTED_VALUE"""),0.9277764060119631)</f>
        <v>0.927776406</v>
      </c>
      <c r="AM254" s="30">
        <f>IFERROR(__xludf.DUMMYFUNCTION("""COMPUTED_VALUE"""),1.0368408481885052)</f>
        <v>1.036840848</v>
      </c>
      <c r="AN254" s="30">
        <f>IFERROR(__xludf.DUMMYFUNCTION("""COMPUTED_VALUE"""),1.0138283882735)</f>
        <v>1.013828388</v>
      </c>
      <c r="AO254" s="30">
        <f>IFERROR(__xludf.DUMMYFUNCTION("""COMPUTED_VALUE"""),1.0153553532002357)</f>
        <v>1.015355353</v>
      </c>
      <c r="AP254" s="30">
        <f>IFERROR(__xludf.DUMMYFUNCTION("""COMPUTED_VALUE"""),0.5396583937555196)</f>
        <v>0.5396583938</v>
      </c>
      <c r="AQ254" s="30">
        <f>IFERROR(__xludf.DUMMYFUNCTION("""COMPUTED_VALUE"""),1.0394251598043667)</f>
        <v>1.03942516</v>
      </c>
      <c r="AR254" s="30">
        <f>IFERROR(__xludf.DUMMYFUNCTION("""COMPUTED_VALUE"""),0.9992580571022666)</f>
        <v>0.9992580571</v>
      </c>
      <c r="AS254" s="30">
        <f>IFERROR(__xludf.DUMMYFUNCTION("""COMPUTED_VALUE"""),46.0)</f>
        <v>46</v>
      </c>
      <c r="AT254" s="30">
        <f>IFERROR(__xludf.DUMMYFUNCTION("""COMPUTED_VALUE"""),0.2795877682361718)</f>
        <v>0.2795877682</v>
      </c>
      <c r="AU254" s="30">
        <f>IFERROR(__xludf.DUMMYFUNCTION("""COMPUTED_VALUE"""),2.112539792259843)</f>
        <v>2.112539792</v>
      </c>
      <c r="AV254" s="32">
        <f>IFERROR(__xludf.DUMMYFUNCTION("""COMPUTED_VALUE"""),44.038423479292845)</f>
        <v>44.03842348</v>
      </c>
      <c r="AW254" s="32">
        <f>IFERROR(__xludf.DUMMYFUNCTION("""COMPUTED_VALUE"""),-2.4645050819130674)</f>
        <v>-2.464505082</v>
      </c>
      <c r="AX254" s="32">
        <f>IFERROR(__xludf.DUMMYFUNCTION("""COMPUTED_VALUE"""),46.67317552615924)</f>
        <v>46.67317553</v>
      </c>
      <c r="AY254" s="32">
        <f>IFERROR(__xludf.DUMMYFUNCTION("""COMPUTED_VALUE"""),-2.236797030791218)</f>
        <v>-2.236797031</v>
      </c>
      <c r="AZ254" s="30">
        <f>IFERROR(__xludf.DUMMYFUNCTION("""COMPUTED_VALUE"""),0.22770805112184922)</f>
        <v>0.2277080511</v>
      </c>
      <c r="BA254" s="30">
        <f>IFERROR(__xludf.DUMMYFUNCTION("""COMPUTED_VALUE"""),800.0)</f>
        <v>800</v>
      </c>
    </row>
    <row r="255">
      <c r="A255" s="30" t="str">
        <f>IFERROR(__xludf.DUMMYFUNCTION("""COMPUTED_VALUE"""),"Elite")</f>
        <v>Elite</v>
      </c>
      <c r="B255" s="30" t="str">
        <f>IFERROR(__xludf.DUMMYFUNCTION("""COMPUTED_VALUE"""),"RSC000488")</f>
        <v>RSC000488</v>
      </c>
      <c r="C255" s="30" t="str">
        <f>IFERROR(__xludf.DUMMYFUNCTION("""COMPUTED_VALUE"""),"theblobofglob22")</f>
        <v>theblobofglob22</v>
      </c>
      <c r="D255" s="30"/>
      <c r="E255" s="30">
        <f>IFERROR(__xludf.DUMMYFUNCTION("""COMPUTED_VALUE"""),4.0)</f>
        <v>4</v>
      </c>
      <c r="F255" s="30">
        <f>IFERROR(__xludf.DUMMYFUNCTION("""COMPUTED_VALUE"""),1.0)</f>
        <v>1</v>
      </c>
      <c r="G255" s="30">
        <f>IFERROR(__xludf.DUMMYFUNCTION("""COMPUTED_VALUE"""),3.0)</f>
        <v>3</v>
      </c>
      <c r="H255" s="42">
        <f>IFERROR(__xludf.DUMMYFUNCTION("""COMPUTED_VALUE"""),0.25)</f>
        <v>0.25</v>
      </c>
      <c r="I255" s="42">
        <f>IFERROR(__xludf.DUMMYFUNCTION("""COMPUTED_VALUE"""),0.4444444444444444)</f>
        <v>0.4444444444</v>
      </c>
      <c r="J255" s="30">
        <f>IFERROR(__xludf.DUMMYFUNCTION("""COMPUTED_VALUE"""),368.5)</f>
        <v>368.5</v>
      </c>
      <c r="K255" s="30">
        <f>IFERROR(__xludf.DUMMYFUNCTION("""COMPUTED_VALUE"""),1.0)</f>
        <v>1</v>
      </c>
      <c r="L255" s="30">
        <f>IFERROR(__xludf.DUMMYFUNCTION("""COMPUTED_VALUE"""),0.25)</f>
        <v>0.25</v>
      </c>
      <c r="M255" s="30">
        <f>IFERROR(__xludf.DUMMYFUNCTION("""COMPUTED_VALUE"""),1.75)</f>
        <v>1.75</v>
      </c>
      <c r="N255" s="30">
        <f>IFERROR(__xludf.DUMMYFUNCTION("""COMPUTED_VALUE"""),2.25)</f>
        <v>2.25</v>
      </c>
      <c r="O255" s="30">
        <f>IFERROR(__xludf.DUMMYFUNCTION("""COMPUTED_VALUE"""),339.5833333333333)</f>
        <v>339.5833333</v>
      </c>
      <c r="P255" s="30">
        <f>IFERROR(__xludf.DUMMYFUNCTION("""COMPUTED_VALUE"""),0.9999999999999999)</f>
        <v>1</v>
      </c>
      <c r="Q255" s="30">
        <f>IFERROR(__xludf.DUMMYFUNCTION("""COMPUTED_VALUE"""),0.6666666666666666)</f>
        <v>0.6666666667</v>
      </c>
      <c r="R255" s="30">
        <f>IFERROR(__xludf.DUMMYFUNCTION("""COMPUTED_VALUE"""),0.9166666666666666)</f>
        <v>0.9166666667</v>
      </c>
      <c r="S255" s="30">
        <f>IFERROR(__xludf.DUMMYFUNCTION("""COMPUTED_VALUE"""),3.0833333333333335)</f>
        <v>3.083333333</v>
      </c>
      <c r="T255" s="30">
        <f>IFERROR(__xludf.DUMMYFUNCTION("""COMPUTED_VALUE"""),379.0912698412699)</f>
        <v>379.0912698</v>
      </c>
      <c r="U255" s="30">
        <f>IFERROR(__xludf.DUMMYFUNCTION("""COMPUTED_VALUE"""),0.8035714285714285)</f>
        <v>0.8035714286</v>
      </c>
      <c r="V255" s="30">
        <f>IFERROR(__xludf.DUMMYFUNCTION("""COMPUTED_VALUE"""),0.6231812169312169)</f>
        <v>0.6231812169</v>
      </c>
      <c r="W255" s="30">
        <f>IFERROR(__xludf.DUMMYFUNCTION("""COMPUTED_VALUE"""),1.5540674603174605)</f>
        <v>1.55406746</v>
      </c>
      <c r="X255" s="30">
        <f>IFERROR(__xludf.DUMMYFUNCTION("""COMPUTED_VALUE"""),2.7273478835978837)</f>
        <v>2.727347884</v>
      </c>
      <c r="Y255" s="30">
        <f>IFERROR(__xludf.DUMMYFUNCTION("""COMPUTED_VALUE"""),365.148864638448)</f>
        <v>365.1488646</v>
      </c>
      <c r="Z255" s="30">
        <f>IFERROR(__xludf.DUMMYFUNCTION("""COMPUTED_VALUE"""),0.771880511463845)</f>
        <v>0.7718805115</v>
      </c>
      <c r="AA255" s="30">
        <f>IFERROR(__xludf.DUMMYFUNCTION("""COMPUTED_VALUE"""),0.5389660493827162)</f>
        <v>0.5389660494</v>
      </c>
      <c r="AB255" s="30">
        <f>IFERROR(__xludf.DUMMYFUNCTION("""COMPUTED_VALUE"""),1.5432649911816576)</f>
        <v>1.543264991</v>
      </c>
      <c r="AC255" s="30">
        <f>IFERROR(__xludf.DUMMYFUNCTION("""COMPUTED_VALUE"""),2.6633597883597884)</f>
        <v>2.663359788</v>
      </c>
      <c r="AD255" s="30">
        <f>IFERROR(__xludf.DUMMYFUNCTION("""COMPUTED_VALUE"""),1.009177449763866)</f>
        <v>1.00917745</v>
      </c>
      <c r="AE255" s="30">
        <f>IFERROR(__xludf.DUMMYFUNCTION("""COMPUTED_VALUE"""),1.2955373081042483)</f>
        <v>1.295537308</v>
      </c>
      <c r="AF255" s="30">
        <f>IFERROR(__xludf.DUMMYFUNCTION("""COMPUTED_VALUE"""),0.4638511095204007)</f>
        <v>0.4638511095</v>
      </c>
      <c r="AG255" s="30">
        <f>IFERROR(__xludf.DUMMYFUNCTION("""COMPUTED_VALUE"""),1.133959501446377)</f>
        <v>1.133959501</v>
      </c>
      <c r="AH255" s="30">
        <f>IFERROR(__xludf.DUMMYFUNCTION("""COMPUTED_VALUE"""),0.8447976160913832)</f>
        <v>0.8447976161</v>
      </c>
      <c r="AI255" s="30">
        <f>IFERROR(__xludf.DUMMYFUNCTION("""COMPUTED_VALUE"""),0.8957825208571039)</f>
        <v>0.8957825209</v>
      </c>
      <c r="AJ255" s="30">
        <f>IFERROR(__xludf.DUMMYFUNCTION("""COMPUTED_VALUE"""),1.2444444444444445)</f>
        <v>1.244444444</v>
      </c>
      <c r="AK255" s="30">
        <f>IFERROR(__xludf.DUMMYFUNCTION("""COMPUTED_VALUE"""),1.0697797824356594)</f>
        <v>1.069779782</v>
      </c>
      <c r="AL255" s="30">
        <f>IFERROR(__xludf.DUMMYFUNCTION("""COMPUTED_VALUE"""),0.5898499840408553)</f>
        <v>0.589849984</v>
      </c>
      <c r="AM255" s="30">
        <f>IFERROR(__xludf.DUMMYFUNCTION("""COMPUTED_VALUE"""),1.1305244013337374)</f>
        <v>1.130524401</v>
      </c>
      <c r="AN255" s="30">
        <f>IFERROR(__xludf.DUMMYFUNCTION("""COMPUTED_VALUE"""),1.0447711737015195)</f>
        <v>1.044771174</v>
      </c>
      <c r="AO255" s="30">
        <f>IFERROR(__xludf.DUMMYFUNCTION("""COMPUTED_VALUE"""),1.4021573925146114)</f>
        <v>1.402157393</v>
      </c>
      <c r="AP255" s="30">
        <f>IFERROR(__xludf.DUMMYFUNCTION("""COMPUTED_VALUE"""),0.4347248171919464)</f>
        <v>0.4347248172</v>
      </c>
      <c r="AQ255" s="30">
        <f>IFERROR(__xludf.DUMMYFUNCTION("""COMPUTED_VALUE"""),1.2267634153505023)</f>
        <v>1.226763415</v>
      </c>
      <c r="AR255" s="30">
        <f>IFERROR(__xludf.DUMMYFUNCTION("""COMPUTED_VALUE"""),0.8931724414509986)</f>
        <v>0.8931724415</v>
      </c>
      <c r="AS255" s="30">
        <f>IFERROR(__xludf.DUMMYFUNCTION("""COMPUTED_VALUE"""),7.0)</f>
        <v>7</v>
      </c>
      <c r="AT255" s="30">
        <f>IFERROR(__xludf.DUMMYFUNCTION("""COMPUTED_VALUE"""),0.3009158051485651)</f>
        <v>0.3009158051</v>
      </c>
      <c r="AU255" s="30">
        <f>IFERROR(__xludf.DUMMYFUNCTION("""COMPUTED_VALUE"""),2.2824521526897024)</f>
        <v>2.282452153</v>
      </c>
      <c r="AV255" s="32">
        <f>IFERROR(__xludf.DUMMYFUNCTION("""COMPUTED_VALUE"""),48.81286890486693)</f>
        <v>48.8128689</v>
      </c>
      <c r="AW255" s="32">
        <f>IFERROR(__xludf.DUMMYFUNCTION("""COMPUTED_VALUE"""),-2.078728752519359)</f>
        <v>-2.078728753</v>
      </c>
      <c r="AX255" s="32">
        <f>IFERROR(__xludf.DUMMYFUNCTION("""COMPUTED_VALUE"""),46.03386059625161)</f>
        <v>46.0338606</v>
      </c>
      <c r="AY255" s="32">
        <f>IFERROR(__xludf.DUMMYFUNCTION("""COMPUTED_VALUE"""),-2.2884653639315453)</f>
        <v>-2.288465364</v>
      </c>
      <c r="AZ255" s="30">
        <f>IFERROR(__xludf.DUMMYFUNCTION("""COMPUTED_VALUE"""),0.20973661141218614)</f>
        <v>0.2097366114</v>
      </c>
      <c r="BA255" s="30">
        <f>IFERROR(__xludf.DUMMYFUNCTION("""COMPUTED_VALUE"""),800.0)</f>
        <v>800</v>
      </c>
    </row>
    <row r="256">
      <c r="A256" s="30" t="str">
        <f>IFERROR(__xludf.DUMMYFUNCTION("""COMPUTED_VALUE"""),"Elite")</f>
        <v>Elite</v>
      </c>
      <c r="B256" s="30" t="str">
        <f>IFERROR(__xludf.DUMMYFUNCTION("""COMPUTED_VALUE"""),"RSC007263")</f>
        <v>RSC007263</v>
      </c>
      <c r="C256" s="30" t="str">
        <f>IFERROR(__xludf.DUMMYFUNCTION("""COMPUTED_VALUE"""),"HardPointy")</f>
        <v>HardPointy</v>
      </c>
      <c r="D256" s="30"/>
      <c r="E256" s="30">
        <f>IFERROR(__xludf.DUMMYFUNCTION("""COMPUTED_VALUE"""),15.0)</f>
        <v>15</v>
      </c>
      <c r="F256" s="30">
        <f>IFERROR(__xludf.DUMMYFUNCTION("""COMPUTED_VALUE"""),5.0)</f>
        <v>5</v>
      </c>
      <c r="G256" s="30">
        <f>IFERROR(__xludf.DUMMYFUNCTION("""COMPUTED_VALUE"""),10.0)</f>
        <v>10</v>
      </c>
      <c r="H256" s="42">
        <f>IFERROR(__xludf.DUMMYFUNCTION("""COMPUTED_VALUE"""),0.3333333333333333)</f>
        <v>0.3333333333</v>
      </c>
      <c r="I256" s="42">
        <f>IFERROR(__xludf.DUMMYFUNCTION("""COMPUTED_VALUE"""),0.18181818181818182)</f>
        <v>0.1818181818</v>
      </c>
      <c r="J256" s="30">
        <f>IFERROR(__xludf.DUMMYFUNCTION("""COMPUTED_VALUE"""),404.53333333333336)</f>
        <v>404.5333333</v>
      </c>
      <c r="K256" s="30">
        <f>IFERROR(__xludf.DUMMYFUNCTION("""COMPUTED_VALUE"""),0.5333333333333333)</f>
        <v>0.5333333333</v>
      </c>
      <c r="L256" s="30">
        <f>IFERROR(__xludf.DUMMYFUNCTION("""COMPUTED_VALUE"""),0.8)</f>
        <v>0.8</v>
      </c>
      <c r="M256" s="30">
        <f>IFERROR(__xludf.DUMMYFUNCTION("""COMPUTED_VALUE"""),2.0)</f>
        <v>2</v>
      </c>
      <c r="N256" s="30">
        <f>IFERROR(__xludf.DUMMYFUNCTION("""COMPUTED_VALUE"""),2.933333333333333)</f>
        <v>2.933333333</v>
      </c>
      <c r="O256" s="30">
        <f>IFERROR(__xludf.DUMMYFUNCTION("""COMPUTED_VALUE"""),395.64444444444445)</f>
        <v>395.6444444</v>
      </c>
      <c r="P256" s="30">
        <f>IFERROR(__xludf.DUMMYFUNCTION("""COMPUTED_VALUE"""),0.977777777777778)</f>
        <v>0.9777777778</v>
      </c>
      <c r="Q256" s="30">
        <f>IFERROR(__xludf.DUMMYFUNCTION("""COMPUTED_VALUE"""),0.7555555555555554)</f>
        <v>0.7555555556</v>
      </c>
      <c r="R256" s="30">
        <f>IFERROR(__xludf.DUMMYFUNCTION("""COMPUTED_VALUE"""),1.333333333333333)</f>
        <v>1.333333333</v>
      </c>
      <c r="S256" s="30">
        <f>IFERROR(__xludf.DUMMYFUNCTION("""COMPUTED_VALUE"""),3.2888888888888888)</f>
        <v>3.288888889</v>
      </c>
      <c r="T256" s="30">
        <f>IFERROR(__xludf.DUMMYFUNCTION("""COMPUTED_VALUE"""),366.16451264247763)</f>
        <v>366.1645126</v>
      </c>
      <c r="U256" s="30">
        <f>IFERROR(__xludf.DUMMYFUNCTION("""COMPUTED_VALUE"""),0.7652607167284589)</f>
        <v>0.7652607167</v>
      </c>
      <c r="V256" s="30">
        <f>IFERROR(__xludf.DUMMYFUNCTION("""COMPUTED_VALUE"""),0.5680361892055441)</f>
        <v>0.5680361892</v>
      </c>
      <c r="W256" s="30">
        <f>IFERROR(__xludf.DUMMYFUNCTION("""COMPUTED_VALUE"""),1.4515400279486301)</f>
        <v>1.451540028</v>
      </c>
      <c r="X256" s="30">
        <f>IFERROR(__xludf.DUMMYFUNCTION("""COMPUTED_VALUE"""),2.8330555115931464)</f>
        <v>2.833055512</v>
      </c>
      <c r="Y256" s="30">
        <f>IFERROR(__xludf.DUMMYFUNCTION("""COMPUTED_VALUE"""),358.01045067692564)</f>
        <v>358.0104507</v>
      </c>
      <c r="Z256" s="30">
        <f>IFERROR(__xludf.DUMMYFUNCTION("""COMPUTED_VALUE"""),0.7046181461916227)</f>
        <v>0.7046181462</v>
      </c>
      <c r="AA256" s="30">
        <f>IFERROR(__xludf.DUMMYFUNCTION("""COMPUTED_VALUE"""),0.5313738595459027)</f>
        <v>0.5313738595</v>
      </c>
      <c r="AB256" s="30">
        <f>IFERROR(__xludf.DUMMYFUNCTION("""COMPUTED_VALUE"""),1.5067710347432568)</f>
        <v>1.506771035</v>
      </c>
      <c r="AC256" s="30">
        <f>IFERROR(__xludf.DUMMYFUNCTION("""COMPUTED_VALUE"""),2.5961526431822133)</f>
        <v>2.596152643</v>
      </c>
      <c r="AD256" s="30">
        <f>IFERROR(__xludf.DUMMYFUNCTION("""COMPUTED_VALUE"""),1.1299483927590446)</f>
        <v>1.129948393</v>
      </c>
      <c r="AE256" s="30">
        <f>IFERROR(__xludf.DUMMYFUNCTION("""COMPUTED_VALUE"""),0.7569111528221869)</f>
        <v>0.7569111528</v>
      </c>
      <c r="AF256" s="30">
        <f>IFERROR(__xludf.DUMMYFUNCTION("""COMPUTED_VALUE"""),1.5055313422524357)</f>
        <v>1.505531342</v>
      </c>
      <c r="AG256" s="30">
        <f>IFERROR(__xludf.DUMMYFUNCTION("""COMPUTED_VALUE"""),1.3273416822356066)</f>
        <v>1.327341682</v>
      </c>
      <c r="AH256" s="30">
        <f>IFERROR(__xludf.DUMMYFUNCTION("""COMPUTED_VALUE"""),1.1298770667574551)</f>
        <v>1.129877067</v>
      </c>
      <c r="AI256" s="30">
        <f>IFERROR(__xludf.DUMMYFUNCTION("""COMPUTED_VALUE"""),1.0805100734345356)</f>
        <v>1.080510073</v>
      </c>
      <c r="AJ256" s="30">
        <f>IFERROR(__xludf.DUMMYFUNCTION("""COMPUTED_VALUE"""),1.2777054360739224)</f>
        <v>1.277705436</v>
      </c>
      <c r="AK256" s="30">
        <f>IFERROR(__xludf.DUMMYFUNCTION("""COMPUTED_VALUE"""),1.3301186965081857)</f>
        <v>1.330118697</v>
      </c>
      <c r="AL256" s="30">
        <f>IFERROR(__xludf.DUMMYFUNCTION("""COMPUTED_VALUE"""),0.918564633190067)</f>
        <v>0.9185646332</v>
      </c>
      <c r="AM256" s="30">
        <f>IFERROR(__xludf.DUMMYFUNCTION("""COMPUTED_VALUE"""),1.1608981452818086)</f>
        <v>1.160898145</v>
      </c>
      <c r="AN256" s="30">
        <f>IFERROR(__xludf.DUMMYFUNCTION("""COMPUTED_VALUE"""),1.1469328777966206)</f>
        <v>1.146932878</v>
      </c>
      <c r="AO256" s="30">
        <f>IFERROR(__xludf.DUMMYFUNCTION("""COMPUTED_VALUE"""),0.7478172760077927)</f>
        <v>0.747817276</v>
      </c>
      <c r="AP256" s="30">
        <f>IFERROR(__xludf.DUMMYFUNCTION("""COMPUTED_VALUE"""),1.3911194150142285)</f>
        <v>1.391119415</v>
      </c>
      <c r="AQ256" s="30">
        <f>IFERROR(__xludf.DUMMYFUNCTION("""COMPUTED_VALUE"""),1.4020153318291455)</f>
        <v>1.402015332</v>
      </c>
      <c r="AR256" s="30">
        <f>IFERROR(__xludf.DUMMYFUNCTION("""COMPUTED_VALUE"""),1.1644322199657462)</f>
        <v>1.16443222</v>
      </c>
      <c r="AS256" s="30">
        <f>IFERROR(__xludf.DUMMYFUNCTION("""COMPUTED_VALUE"""),33.0)</f>
        <v>33</v>
      </c>
      <c r="AT256" s="30">
        <f>IFERROR(__xludf.DUMMYFUNCTION("""COMPUTED_VALUE"""),0.38697586972956277)</f>
        <v>0.3869758697</v>
      </c>
      <c r="AU256" s="30">
        <f>IFERROR(__xludf.DUMMYFUNCTION("""COMPUTED_VALUE"""),2.41862397647021)</f>
        <v>2.418623976</v>
      </c>
      <c r="AV256" s="32">
        <f>IFERROR(__xludf.DUMMYFUNCTION("""COMPUTED_VALUE"""),52.63922350023675)</f>
        <v>52.6392235</v>
      </c>
      <c r="AW256" s="32">
        <f>IFERROR(__xludf.DUMMYFUNCTION("""COMPUTED_VALUE"""),2.1835864041472544)</f>
        <v>2.183586404</v>
      </c>
      <c r="AX256" s="32">
        <f>IFERROR(__xludf.DUMMYFUNCTION("""COMPUTED_VALUE"""),54.99199766062543)</f>
        <v>54.99199766</v>
      </c>
      <c r="AY256" s="32">
        <f>IFERROR(__xludf.DUMMYFUNCTION("""COMPUTED_VALUE"""),2.376056207009608)</f>
        <v>2.376056207</v>
      </c>
      <c r="AZ256" s="30">
        <f>IFERROR(__xludf.DUMMYFUNCTION("""COMPUTED_VALUE"""),0.1924698028623535)</f>
        <v>0.1924698029</v>
      </c>
      <c r="BA256" s="30">
        <f>IFERROR(__xludf.DUMMYFUNCTION("""COMPUTED_VALUE"""),800.0)</f>
        <v>800</v>
      </c>
    </row>
    <row r="257">
      <c r="A257" s="30" t="str">
        <f>IFERROR(__xludf.DUMMYFUNCTION("""COMPUTED_VALUE"""),"Elite")</f>
        <v>Elite</v>
      </c>
      <c r="B257" s="30" t="str">
        <f>IFERROR(__xludf.DUMMYFUNCTION("""COMPUTED_VALUE"""),"RSC003831")</f>
        <v>RSC003831</v>
      </c>
      <c r="C257" s="30" t="str">
        <f>IFERROR(__xludf.DUMMYFUNCTION("""COMPUTED_VALUE"""),"Aki")</f>
        <v>Aki</v>
      </c>
      <c r="D257" s="30" t="str">
        <f>IFERROR(__xludf.DUMMYFUNCTION("""COMPUTED_VALUE"""),"Stoked Blokes")</f>
        <v>Stoked Blokes</v>
      </c>
      <c r="E257" s="30">
        <f>IFERROR(__xludf.DUMMYFUNCTION("""COMPUTED_VALUE"""),30.0)</f>
        <v>30</v>
      </c>
      <c r="F257" s="30">
        <f>IFERROR(__xludf.DUMMYFUNCTION("""COMPUTED_VALUE"""),14.0)</f>
        <v>14</v>
      </c>
      <c r="G257" s="30">
        <f>IFERROR(__xludf.DUMMYFUNCTION("""COMPUTED_VALUE"""),16.0)</f>
        <v>16</v>
      </c>
      <c r="H257" s="42">
        <f>IFERROR(__xludf.DUMMYFUNCTION("""COMPUTED_VALUE"""),0.4666666666666667)</f>
        <v>0.4666666667</v>
      </c>
      <c r="I257" s="42">
        <f>IFERROR(__xludf.DUMMYFUNCTION("""COMPUTED_VALUE"""),0.20930232558139533)</f>
        <v>0.2093023256</v>
      </c>
      <c r="J257" s="30">
        <f>IFERROR(__xludf.DUMMYFUNCTION("""COMPUTED_VALUE"""),341.4)</f>
        <v>341.4</v>
      </c>
      <c r="K257" s="30">
        <f>IFERROR(__xludf.DUMMYFUNCTION("""COMPUTED_VALUE"""),0.6)</f>
        <v>0.6</v>
      </c>
      <c r="L257" s="30">
        <f>IFERROR(__xludf.DUMMYFUNCTION("""COMPUTED_VALUE"""),0.6666666666666666)</f>
        <v>0.6666666667</v>
      </c>
      <c r="M257" s="30">
        <f>IFERROR(__xludf.DUMMYFUNCTION("""COMPUTED_VALUE"""),1.2333333333333334)</f>
        <v>1.233333333</v>
      </c>
      <c r="N257" s="30">
        <f>IFERROR(__xludf.DUMMYFUNCTION("""COMPUTED_VALUE"""),2.8666666666666667)</f>
        <v>2.866666667</v>
      </c>
      <c r="O257" s="30">
        <f>IFERROR(__xludf.DUMMYFUNCTION("""COMPUTED_VALUE"""),353.13333333333344)</f>
        <v>353.1333333</v>
      </c>
      <c r="P257" s="30">
        <f>IFERROR(__xludf.DUMMYFUNCTION("""COMPUTED_VALUE"""),0.7000000000000003)</f>
        <v>0.7</v>
      </c>
      <c r="Q257" s="30">
        <f>IFERROR(__xludf.DUMMYFUNCTION("""COMPUTED_VALUE"""),0.511111111111111)</f>
        <v>0.5111111111</v>
      </c>
      <c r="R257" s="30">
        <f>IFERROR(__xludf.DUMMYFUNCTION("""COMPUTED_VALUE"""),1.5555555555555558)</f>
        <v>1.555555556</v>
      </c>
      <c r="S257" s="30">
        <f>IFERROR(__xludf.DUMMYFUNCTION("""COMPUTED_VALUE"""),2.4444444444444446)</f>
        <v>2.444444444</v>
      </c>
      <c r="T257" s="30">
        <f>IFERROR(__xludf.DUMMYFUNCTION("""COMPUTED_VALUE"""),360.85331819893474)</f>
        <v>360.8533182</v>
      </c>
      <c r="U257" s="30">
        <f>IFERROR(__xludf.DUMMYFUNCTION("""COMPUTED_VALUE"""),0.7538484631860005)</f>
        <v>0.7538484632</v>
      </c>
      <c r="V257" s="30">
        <f>IFERROR(__xludf.DUMMYFUNCTION("""COMPUTED_VALUE"""),0.5797548926195447)</f>
        <v>0.5797548926</v>
      </c>
      <c r="W257" s="30">
        <f>IFERROR(__xludf.DUMMYFUNCTION("""COMPUTED_VALUE"""),1.4997849698728853)</f>
        <v>1.49978497</v>
      </c>
      <c r="X257" s="30">
        <f>IFERROR(__xludf.DUMMYFUNCTION("""COMPUTED_VALUE"""),2.5433328648838724)</f>
        <v>2.543332865</v>
      </c>
      <c r="Y257" s="30">
        <f>IFERROR(__xludf.DUMMYFUNCTION("""COMPUTED_VALUE"""),361.22003568106913)</f>
        <v>361.2200357</v>
      </c>
      <c r="Z257" s="30">
        <f>IFERROR(__xludf.DUMMYFUNCTION("""COMPUTED_VALUE"""),0.7930531154122973)</f>
        <v>0.7930531154</v>
      </c>
      <c r="AA257" s="30">
        <f>IFERROR(__xludf.DUMMYFUNCTION("""COMPUTED_VALUE"""),0.5830204098859046)</f>
        <v>0.5830204099</v>
      </c>
      <c r="AB257" s="30">
        <f>IFERROR(__xludf.DUMMYFUNCTION("""COMPUTED_VALUE"""),1.346637166611193)</f>
        <v>1.346637167</v>
      </c>
      <c r="AC257" s="30">
        <f>IFERROR(__xludf.DUMMYFUNCTION("""COMPUTED_VALUE"""),2.760245062041124)</f>
        <v>2.760245062</v>
      </c>
      <c r="AD257" s="30">
        <f>IFERROR(__xludf.DUMMYFUNCTION("""COMPUTED_VALUE"""),0.9451302980918567)</f>
        <v>0.9451302981</v>
      </c>
      <c r="AE257" s="30">
        <f>IFERROR(__xludf.DUMMYFUNCTION("""COMPUTED_VALUE"""),0.7565697534497022)</f>
        <v>0.7565697534</v>
      </c>
      <c r="AF257" s="30">
        <f>IFERROR(__xludf.DUMMYFUNCTION("""COMPUTED_VALUE"""),1.1434705464207184)</f>
        <v>1.143470546</v>
      </c>
      <c r="AG257" s="30">
        <f>IFERROR(__xludf.DUMMYFUNCTION("""COMPUTED_VALUE"""),0.915861647006975)</f>
        <v>0.915861647</v>
      </c>
      <c r="AH257" s="30">
        <f>IFERROR(__xludf.DUMMYFUNCTION("""COMPUTED_VALUE"""),1.0385551290677237)</f>
        <v>1.038555129</v>
      </c>
      <c r="AI257" s="30">
        <f>IFERROR(__xludf.DUMMYFUNCTION("""COMPUTED_VALUE"""),0.9786063076705717)</f>
        <v>0.9786063077</v>
      </c>
      <c r="AJ257" s="30">
        <f>IFERROR(__xludf.DUMMYFUNCTION("""COMPUTED_VALUE"""),0.9285685839851424)</f>
        <v>0.928568584</v>
      </c>
      <c r="AK257" s="30">
        <f>IFERROR(__xludf.DUMMYFUNCTION("""COMPUTED_VALUE"""),0.8815986162733771)</f>
        <v>0.8815986163</v>
      </c>
      <c r="AL257" s="30">
        <f>IFERROR(__xludf.DUMMYFUNCTION("""COMPUTED_VALUE"""),1.0371857211553448)</f>
        <v>1.037185721</v>
      </c>
      <c r="AM257" s="30">
        <f>IFERROR(__xludf.DUMMYFUNCTION("""COMPUTED_VALUE"""),0.961118569336797)</f>
        <v>0.9611185693</v>
      </c>
      <c r="AN257" s="30">
        <f>IFERROR(__xludf.DUMMYFUNCTION("""COMPUTED_VALUE"""),0.967937255635546)</f>
        <v>0.9679372556</v>
      </c>
      <c r="AO257" s="30">
        <f>IFERROR(__xludf.DUMMYFUNCTION("""COMPUTED_VALUE"""),0.8412944355087667)</f>
        <v>0.8412944355</v>
      </c>
      <c r="AP257" s="30">
        <f>IFERROR(__xludf.DUMMYFUNCTION("""COMPUTED_VALUE"""),1.1592661791785237)</f>
        <v>1.159266179</v>
      </c>
      <c r="AQ257" s="30">
        <f>IFERROR(__xludf.DUMMYFUNCTION("""COMPUTED_VALUE"""),0.8645761212946398)</f>
        <v>0.8645761213</v>
      </c>
      <c r="AR257" s="30">
        <f>IFERROR(__xludf.DUMMYFUNCTION("""COMPUTED_VALUE"""),1.1379678513301612)</f>
        <v>1.137967851</v>
      </c>
      <c r="AS257" s="30">
        <f>IFERROR(__xludf.DUMMYFUNCTION("""COMPUTED_VALUE"""),63.0)</f>
        <v>63</v>
      </c>
      <c r="AT257" s="30">
        <f>IFERROR(__xludf.DUMMYFUNCTION("""COMPUTED_VALUE"""),0.4999999999999998)</f>
        <v>0.5</v>
      </c>
      <c r="AU257" s="30">
        <f>IFERROR(__xludf.DUMMYFUNCTION("""COMPUTED_VALUE"""),2.448143483118716)</f>
        <v>2.448143483</v>
      </c>
      <c r="AV257" s="32">
        <f>IFERROR(__xludf.DUMMYFUNCTION("""COMPUTED_VALUE"""),53.4687056704956)</f>
        <v>53.46870567</v>
      </c>
      <c r="AW257" s="32">
        <f>IFERROR(__xludf.DUMMYFUNCTION("""COMPUTED_VALUE"""),2.248077341882077)</f>
        <v>2.248077342</v>
      </c>
      <c r="AX257" s="32">
        <f>IFERROR(__xludf.DUMMYFUNCTION("""COMPUTED_VALUE"""),55.205435234809634)</f>
        <v>55.20543523</v>
      </c>
      <c r="AY257" s="32">
        <f>IFERROR(__xludf.DUMMYFUNCTION("""COMPUTED_VALUE"""),2.3950397316446836)</f>
        <v>2.395039732</v>
      </c>
      <c r="AZ257" s="30">
        <f>IFERROR(__xludf.DUMMYFUNCTION("""COMPUTED_VALUE"""),0.14696238976260645)</f>
        <v>0.1469623898</v>
      </c>
      <c r="BA257" s="30">
        <f>IFERROR(__xludf.DUMMYFUNCTION("""COMPUTED_VALUE"""),800.0)</f>
        <v>800</v>
      </c>
    </row>
    <row r="258">
      <c r="A258" s="30" t="str">
        <f>IFERROR(__xludf.DUMMYFUNCTION("""COMPUTED_VALUE"""),"Elite")</f>
        <v>Elite</v>
      </c>
      <c r="B258" s="30" t="str">
        <f>IFERROR(__xludf.DUMMYFUNCTION("""COMPUTED_VALUE"""),"RSC000626")</f>
        <v>RSC000626</v>
      </c>
      <c r="C258" s="30" t="str">
        <f>IFERROR(__xludf.DUMMYFUNCTION("""COMPUTED_VALUE"""),"Canadian Things")</f>
        <v>Canadian Things</v>
      </c>
      <c r="D258" s="30" t="str">
        <f>IFERROR(__xludf.DUMMYFUNCTION("""COMPUTED_VALUE"""),"Menthol")</f>
        <v>Menthol</v>
      </c>
      <c r="E258" s="30">
        <f>IFERROR(__xludf.DUMMYFUNCTION("""COMPUTED_VALUE"""),19.0)</f>
        <v>19</v>
      </c>
      <c r="F258" s="30">
        <f>IFERROR(__xludf.DUMMYFUNCTION("""COMPUTED_VALUE"""),11.0)</f>
        <v>11</v>
      </c>
      <c r="G258" s="30">
        <f>IFERROR(__xludf.DUMMYFUNCTION("""COMPUTED_VALUE"""),8.0)</f>
        <v>8</v>
      </c>
      <c r="H258" s="42">
        <f>IFERROR(__xludf.DUMMYFUNCTION("""COMPUTED_VALUE"""),0.5789473684210527)</f>
        <v>0.5789473684</v>
      </c>
      <c r="I258" s="42">
        <f>IFERROR(__xludf.DUMMYFUNCTION("""COMPUTED_VALUE"""),0.26829268292682923)</f>
        <v>0.2682926829</v>
      </c>
      <c r="J258" s="30">
        <f>IFERROR(__xludf.DUMMYFUNCTION("""COMPUTED_VALUE"""),340.3333333333333)</f>
        <v>340.3333333</v>
      </c>
      <c r="K258" s="30">
        <f>IFERROR(__xludf.DUMMYFUNCTION("""COMPUTED_VALUE"""),0.7333333333333333)</f>
        <v>0.7333333333</v>
      </c>
      <c r="L258" s="30">
        <f>IFERROR(__xludf.DUMMYFUNCTION("""COMPUTED_VALUE"""),0.6)</f>
        <v>0.6</v>
      </c>
      <c r="M258" s="30">
        <f>IFERROR(__xludf.DUMMYFUNCTION("""COMPUTED_VALUE"""),1.1333333333333333)</f>
        <v>1.133333333</v>
      </c>
      <c r="N258" s="30">
        <f>IFERROR(__xludf.DUMMYFUNCTION("""COMPUTED_VALUE"""),2.7333333333333334)</f>
        <v>2.733333333</v>
      </c>
      <c r="O258" s="30">
        <f>IFERROR(__xludf.DUMMYFUNCTION("""COMPUTED_VALUE"""),354.46666666666664)</f>
        <v>354.4666667</v>
      </c>
      <c r="P258" s="30">
        <f>IFERROR(__xludf.DUMMYFUNCTION("""COMPUTED_VALUE"""),0.7555555555555558)</f>
        <v>0.7555555556</v>
      </c>
      <c r="Q258" s="30">
        <f>IFERROR(__xludf.DUMMYFUNCTION("""COMPUTED_VALUE"""),0.4888888888888889)</f>
        <v>0.4888888889</v>
      </c>
      <c r="R258" s="30">
        <f>IFERROR(__xludf.DUMMYFUNCTION("""COMPUTED_VALUE"""),1.466666666666667)</f>
        <v>1.466666667</v>
      </c>
      <c r="S258" s="30">
        <f>IFERROR(__xludf.DUMMYFUNCTION("""COMPUTED_VALUE"""),2.3333333333333335)</f>
        <v>2.333333333</v>
      </c>
      <c r="T258" s="30">
        <f>IFERROR(__xludf.DUMMYFUNCTION("""COMPUTED_VALUE"""),348.2660648840476)</f>
        <v>348.2660649</v>
      </c>
      <c r="U258" s="30">
        <f>IFERROR(__xludf.DUMMYFUNCTION("""COMPUTED_VALUE"""),0.7210877578740998)</f>
        <v>0.7210877579</v>
      </c>
      <c r="V258" s="30">
        <f>IFERROR(__xludf.DUMMYFUNCTION("""COMPUTED_VALUE"""),0.5795623327008128)</f>
        <v>0.5795623327</v>
      </c>
      <c r="W258" s="30">
        <f>IFERROR(__xludf.DUMMYFUNCTION("""COMPUTED_VALUE"""),1.4566474909809686)</f>
        <v>1.456647491</v>
      </c>
      <c r="X258" s="30">
        <f>IFERROR(__xludf.DUMMYFUNCTION("""COMPUTED_VALUE"""),2.3512203603713955)</f>
        <v>2.35122036</v>
      </c>
      <c r="Y258" s="30">
        <f>IFERROR(__xludf.DUMMYFUNCTION("""COMPUTED_VALUE"""),378.7611166837769)</f>
        <v>378.7611167</v>
      </c>
      <c r="Z258" s="30">
        <f>IFERROR(__xludf.DUMMYFUNCTION("""COMPUTED_VALUE"""),0.9125950369676853)</f>
        <v>0.912595037</v>
      </c>
      <c r="AA258" s="30">
        <f>IFERROR(__xludf.DUMMYFUNCTION("""COMPUTED_VALUE"""),0.6719239003223096)</f>
        <v>0.6719239003</v>
      </c>
      <c r="AB258" s="30">
        <f>IFERROR(__xludf.DUMMYFUNCTION("""COMPUTED_VALUE"""),1.3177624163027104)</f>
        <v>1.317762416</v>
      </c>
      <c r="AC258" s="30">
        <f>IFERROR(__xludf.DUMMYFUNCTION("""COMPUTED_VALUE"""),2.821525411685752)</f>
        <v>2.821525412</v>
      </c>
      <c r="AD258" s="30">
        <f>IFERROR(__xludf.DUMMYFUNCTION("""COMPUTED_VALUE"""),0.898543483853633)</f>
        <v>0.8985434839</v>
      </c>
      <c r="AE258" s="30">
        <f>IFERROR(__xludf.DUMMYFUNCTION("""COMPUTED_VALUE"""),0.803569276214791)</f>
        <v>0.8035692762</v>
      </c>
      <c r="AF258" s="30">
        <f>IFERROR(__xludf.DUMMYFUNCTION("""COMPUTED_VALUE"""),0.8929582646370979)</f>
        <v>0.8929582646</v>
      </c>
      <c r="AG258" s="30">
        <f>IFERROR(__xludf.DUMMYFUNCTION("""COMPUTED_VALUE"""),0.8600437524338903)</f>
        <v>0.8600437524</v>
      </c>
      <c r="AH258" s="30">
        <f>IFERROR(__xludf.DUMMYFUNCTION("""COMPUTED_VALUE"""),0.9687431210127833)</f>
        <v>0.968743121</v>
      </c>
      <c r="AI258" s="30">
        <f>IFERROR(__xludf.DUMMYFUNCTION("""COMPUTED_VALUE"""),1.0178042089305586)</f>
        <v>1.017804209</v>
      </c>
      <c r="AJ258" s="30">
        <f>IFERROR(__xludf.DUMMYFUNCTION("""COMPUTED_VALUE"""),1.0477997266006476)</f>
        <v>1.047799727</v>
      </c>
      <c r="AK258" s="30">
        <f>IFERROR(__xludf.DUMMYFUNCTION("""COMPUTED_VALUE"""),0.8435484180116097)</f>
        <v>0.843548418</v>
      </c>
      <c r="AL258" s="30">
        <f>IFERROR(__xludf.DUMMYFUNCTION("""COMPUTED_VALUE"""),1.006878243190431)</f>
        <v>1.006878243</v>
      </c>
      <c r="AM258" s="30">
        <f>IFERROR(__xludf.DUMMYFUNCTION("""COMPUTED_VALUE"""),0.9923924497509725)</f>
        <v>0.9923924498</v>
      </c>
      <c r="AN258" s="30">
        <f>IFERROR(__xludf.DUMMYFUNCTION("""COMPUTED_VALUE"""),0.9649130423783367)</f>
        <v>0.9649130424</v>
      </c>
      <c r="AO258" s="30">
        <f>IFERROR(__xludf.DUMMYFUNCTION("""COMPUTED_VALUE"""),1.0282487545107148)</f>
        <v>1.028248755</v>
      </c>
      <c r="AP258" s="30">
        <f>IFERROR(__xludf.DUMMYFUNCTION("""COMPUTED_VALUE"""),1.0433395612606713)</f>
        <v>1.043339561</v>
      </c>
      <c r="AQ258" s="30">
        <f>IFERROR(__xludf.DUMMYFUNCTION("""COMPUTED_VALUE"""),0.7944753547031824)</f>
        <v>0.7944753547</v>
      </c>
      <c r="AR258" s="30">
        <f>IFERROR(__xludf.DUMMYFUNCTION("""COMPUTED_VALUE"""),1.085039114058991)</f>
        <v>1.085039114</v>
      </c>
      <c r="AS258" s="30">
        <f>IFERROR(__xludf.DUMMYFUNCTION("""COMPUTED_VALUE"""),45.0)</f>
        <v>45</v>
      </c>
      <c r="AT258" s="30">
        <f>IFERROR(__xludf.DUMMYFUNCTION("""COMPUTED_VALUE"""),0.5170421873797165)</f>
        <v>0.5170421874</v>
      </c>
      <c r="AU258" s="30">
        <f>IFERROR(__xludf.DUMMYFUNCTION("""COMPUTED_VALUE"""),2.3560169285620174)</f>
        <v>2.356016929</v>
      </c>
      <c r="AV258" s="32">
        <f>IFERROR(__xludf.DUMMYFUNCTION("""COMPUTED_VALUE"""),50.8799993170299)</f>
        <v>50.87999932</v>
      </c>
      <c r="AW258" s="32">
        <f>IFERROR(__xludf.DUMMYFUNCTION("""COMPUTED_VALUE"""),2.057781932213043)</f>
        <v>2.057781932</v>
      </c>
      <c r="AX258" s="32">
        <f>IFERROR(__xludf.DUMMYFUNCTION("""COMPUTED_VALUE"""),52.90977550326427)</f>
        <v>52.9097755</v>
      </c>
      <c r="AY258" s="32">
        <f>IFERROR(__xludf.DUMMYFUNCTION("""COMPUTED_VALUE"""),2.204238934167969)</f>
        <v>2.204238934</v>
      </c>
      <c r="AZ258" s="30">
        <f>IFERROR(__xludf.DUMMYFUNCTION("""COMPUTED_VALUE"""),0.14645700195492584)</f>
        <v>0.146457002</v>
      </c>
      <c r="BA258" s="30">
        <f>IFERROR(__xludf.DUMMYFUNCTION("""COMPUTED_VALUE"""),800.0)</f>
        <v>800</v>
      </c>
    </row>
    <row r="259">
      <c r="A259" s="30" t="str">
        <f>IFERROR(__xludf.DUMMYFUNCTION("""COMPUTED_VALUE"""),"Elite")</f>
        <v>Elite</v>
      </c>
      <c r="B259" s="30" t="str">
        <f>IFERROR(__xludf.DUMMYFUNCTION("""COMPUTED_VALUE"""),"RSC007843")</f>
        <v>RSC007843</v>
      </c>
      <c r="C259" s="30" t="str">
        <f>IFERROR(__xludf.DUMMYFUNCTION("""COMPUTED_VALUE"""),"BLOO")</f>
        <v>BLOO</v>
      </c>
      <c r="D259" s="30" t="str">
        <f>IFERROR(__xludf.DUMMYFUNCTION("""COMPUTED_VALUE"""),"Praetorian Guard")</f>
        <v>Praetorian Guard</v>
      </c>
      <c r="E259" s="30">
        <f>IFERROR(__xludf.DUMMYFUNCTION("""COMPUTED_VALUE"""),24.0)</f>
        <v>24</v>
      </c>
      <c r="F259" s="30">
        <f>IFERROR(__xludf.DUMMYFUNCTION("""COMPUTED_VALUE"""),16.0)</f>
        <v>16</v>
      </c>
      <c r="G259" s="30">
        <f>IFERROR(__xludf.DUMMYFUNCTION("""COMPUTED_VALUE"""),8.0)</f>
        <v>8</v>
      </c>
      <c r="H259" s="42">
        <f>IFERROR(__xludf.DUMMYFUNCTION("""COMPUTED_VALUE"""),0.6666666666666666)</f>
        <v>0.6666666667</v>
      </c>
      <c r="I259" s="42">
        <f>IFERROR(__xludf.DUMMYFUNCTION("""COMPUTED_VALUE"""),0.22077922077922077)</f>
        <v>0.2207792208</v>
      </c>
      <c r="J259" s="30">
        <f>IFERROR(__xludf.DUMMYFUNCTION("""COMPUTED_VALUE"""),357.2916666666667)</f>
        <v>357.2916667</v>
      </c>
      <c r="K259" s="30">
        <f>IFERROR(__xludf.DUMMYFUNCTION("""COMPUTED_VALUE"""),0.7083333333333334)</f>
        <v>0.7083333333</v>
      </c>
      <c r="L259" s="30">
        <f>IFERROR(__xludf.DUMMYFUNCTION("""COMPUTED_VALUE"""),0.7083333333333334)</f>
        <v>0.7083333333</v>
      </c>
      <c r="M259" s="30">
        <f>IFERROR(__xludf.DUMMYFUNCTION("""COMPUTED_VALUE"""),1.0833333333333333)</f>
        <v>1.083333333</v>
      </c>
      <c r="N259" s="30">
        <f>IFERROR(__xludf.DUMMYFUNCTION("""COMPUTED_VALUE"""),3.2083333333333335)</f>
        <v>3.208333333</v>
      </c>
      <c r="O259" s="30">
        <f>IFERROR(__xludf.DUMMYFUNCTION("""COMPUTED_VALUE"""),347.6666666666667)</f>
        <v>347.6666667</v>
      </c>
      <c r="P259" s="30">
        <f>IFERROR(__xludf.DUMMYFUNCTION("""COMPUTED_VALUE"""),0.6388888888888888)</f>
        <v>0.6388888889</v>
      </c>
      <c r="Q259" s="30">
        <f>IFERROR(__xludf.DUMMYFUNCTION("""COMPUTED_VALUE"""),0.5277777777777778)</f>
        <v>0.5277777778</v>
      </c>
      <c r="R259" s="30">
        <f>IFERROR(__xludf.DUMMYFUNCTION("""COMPUTED_VALUE"""),1.597222222222222)</f>
        <v>1.597222222</v>
      </c>
      <c r="S259" s="30">
        <f>IFERROR(__xludf.DUMMYFUNCTION("""COMPUTED_VALUE"""),2.236111111111111)</f>
        <v>2.236111111</v>
      </c>
      <c r="T259" s="30">
        <f>IFERROR(__xludf.DUMMYFUNCTION("""COMPUTED_VALUE"""),352.40239362187344)</f>
        <v>352.4023936</v>
      </c>
      <c r="U259" s="30">
        <f>IFERROR(__xludf.DUMMYFUNCTION("""COMPUTED_VALUE"""),0.7173705174017136)</f>
        <v>0.7173705174</v>
      </c>
      <c r="V259" s="30">
        <f>IFERROR(__xludf.DUMMYFUNCTION("""COMPUTED_VALUE"""),0.5435692391481932)</f>
        <v>0.5435692391</v>
      </c>
      <c r="W259" s="30">
        <f>IFERROR(__xludf.DUMMYFUNCTION("""COMPUTED_VALUE"""),1.5032010641204734)</f>
        <v>1.503201064</v>
      </c>
      <c r="X259" s="30">
        <f>IFERROR(__xludf.DUMMYFUNCTION("""COMPUTED_VALUE"""),2.4062112588706417)</f>
        <v>2.406211259</v>
      </c>
      <c r="Y259" s="30">
        <f>IFERROR(__xludf.DUMMYFUNCTION("""COMPUTED_VALUE"""),369.4823462275862)</f>
        <v>369.4823462</v>
      </c>
      <c r="Z259" s="30">
        <f>IFERROR(__xludf.DUMMYFUNCTION("""COMPUTED_VALUE"""),0.8363990489790579)</f>
        <v>0.836399049</v>
      </c>
      <c r="AA259" s="30">
        <f>IFERROR(__xludf.DUMMYFUNCTION("""COMPUTED_VALUE"""),0.6292578464892756)</f>
        <v>0.6292578465</v>
      </c>
      <c r="AB259" s="30">
        <f>IFERROR(__xludf.DUMMYFUNCTION("""COMPUTED_VALUE"""),1.3498004275728486)</f>
        <v>1.349800428</v>
      </c>
      <c r="AC259" s="30">
        <f>IFERROR(__xludf.DUMMYFUNCTION("""COMPUTED_VALUE"""),2.897379304983847)</f>
        <v>2.897379305</v>
      </c>
      <c r="AD259" s="30">
        <f>IFERROR(__xludf.DUMMYFUNCTION("""COMPUTED_VALUE"""),0.9670060567564693)</f>
        <v>0.9670060568</v>
      </c>
      <c r="AE259" s="30">
        <f>IFERROR(__xludf.DUMMYFUNCTION("""COMPUTED_VALUE"""),0.8468844317768573)</f>
        <v>0.8468844318</v>
      </c>
      <c r="AF259" s="30">
        <f>IFERROR(__xludf.DUMMYFUNCTION("""COMPUTED_VALUE"""),1.1256646814739488)</f>
        <v>1.125664681</v>
      </c>
      <c r="AG259" s="30">
        <f>IFERROR(__xludf.DUMMYFUNCTION("""COMPUTED_VALUE"""),0.8025877835002136)</f>
        <v>0.8025877835</v>
      </c>
      <c r="AH259" s="30">
        <f>IFERROR(__xludf.DUMMYFUNCTION("""COMPUTED_VALUE"""),1.1073225130774584)</f>
        <v>1.107322513</v>
      </c>
      <c r="AI259" s="30">
        <f>IFERROR(__xludf.DUMMYFUNCTION("""COMPUTED_VALUE"""),0.9865615925404634)</f>
        <v>0.9865615925</v>
      </c>
      <c r="AJ259" s="30">
        <f>IFERROR(__xludf.DUMMYFUNCTION("""COMPUTED_VALUE"""),0.8905981963169018)</f>
        <v>0.8905981963</v>
      </c>
      <c r="AK259" s="30">
        <f>IFERROR(__xludf.DUMMYFUNCTION("""COMPUTED_VALUE"""),0.970948574288049)</f>
        <v>0.9709485743</v>
      </c>
      <c r="AL259" s="30">
        <f>IFERROR(__xludf.DUMMYFUNCTION("""COMPUTED_VALUE"""),1.0625472934698597)</f>
        <v>1.062547293</v>
      </c>
      <c r="AM259" s="30">
        <f>IFERROR(__xludf.DUMMYFUNCTION("""COMPUTED_VALUE"""),0.9293078913447661)</f>
        <v>0.9293078913</v>
      </c>
      <c r="AN259" s="30">
        <f>IFERROR(__xludf.DUMMYFUNCTION("""COMPUTED_VALUE"""),1.01299330783475)</f>
        <v>1.012993308</v>
      </c>
      <c r="AO259" s="30">
        <f>IFERROR(__xludf.DUMMYFUNCTION("""COMPUTED_VALUE"""),0.9931948196978497)</f>
        <v>0.9931948197</v>
      </c>
      <c r="AP259" s="30">
        <f>IFERROR(__xludf.DUMMYFUNCTION("""COMPUTED_VALUE"""),1.2317203153771814)</f>
        <v>1.231720315</v>
      </c>
      <c r="AQ259" s="30">
        <f>IFERROR(__xludf.DUMMYFUNCTION("""COMPUTED_VALUE"""),0.7594249714074538)</f>
        <v>0.7594249714</v>
      </c>
      <c r="AR259" s="30">
        <f>IFERROR(__xludf.DUMMYFUNCTION("""COMPUTED_VALUE"""),1.2735977405875352)</f>
        <v>1.273597741</v>
      </c>
      <c r="AS259" s="30">
        <f>IFERROR(__xludf.DUMMYFUNCTION("""COMPUTED_VALUE"""),50.0)</f>
        <v>50</v>
      </c>
      <c r="AT259" s="30">
        <f>IFERROR(__xludf.DUMMYFUNCTION("""COMPUTED_VALUE"""),0.5309916282264247)</f>
        <v>0.5309916282</v>
      </c>
      <c r="AU259" s="30">
        <f>IFERROR(__xludf.DUMMYFUNCTION("""COMPUTED_VALUE"""),2.746023061581479)</f>
        <v>2.746023062</v>
      </c>
      <c r="AV259" s="32">
        <f>IFERROR(__xludf.DUMMYFUNCTION("""COMPUTED_VALUE"""),61.83896070765384)</f>
        <v>61.83896071</v>
      </c>
      <c r="AW259" s="32">
        <f>IFERROR(__xludf.DUMMYFUNCTION("""COMPUTED_VALUE"""),3.145569932170053)</f>
        <v>3.145569932</v>
      </c>
      <c r="AX259" s="32">
        <f>IFERROR(__xludf.DUMMYFUNCTION("""COMPUTED_VALUE"""),60.99373761572494)</f>
        <v>60.99373762</v>
      </c>
      <c r="AY259" s="32">
        <f>IFERROR(__xludf.DUMMYFUNCTION("""COMPUTED_VALUE"""),3.0297588509946443)</f>
        <v>3.029758851</v>
      </c>
      <c r="AZ259" s="30">
        <f>IFERROR(__xludf.DUMMYFUNCTION("""COMPUTED_VALUE"""),0.11581108117540895)</f>
        <v>0.1158110812</v>
      </c>
      <c r="BA259" s="30">
        <f>IFERROR(__xludf.DUMMYFUNCTION("""COMPUTED_VALUE"""),800.0)</f>
        <v>800</v>
      </c>
    </row>
    <row r="260">
      <c r="A260" s="30" t="str">
        <f>IFERROR(__xludf.DUMMYFUNCTION("""COMPUTED_VALUE"""),"Elite")</f>
        <v>Elite</v>
      </c>
      <c r="B260" s="30" t="str">
        <f>IFERROR(__xludf.DUMMYFUNCTION("""COMPUTED_VALUE"""),"RSC005236")</f>
        <v>RSC005236</v>
      </c>
      <c r="C260" s="30" t="str">
        <f>IFERROR(__xludf.DUMMYFUNCTION("""COMPUTED_VALUE"""),"Rozi-")</f>
        <v>Rozi-</v>
      </c>
      <c r="D260" s="30" t="str">
        <f>IFERROR(__xludf.DUMMYFUNCTION("""COMPUTED_VALUE"""),"Praetorian Guard")</f>
        <v>Praetorian Guard</v>
      </c>
      <c r="E260" s="30">
        <f>IFERROR(__xludf.DUMMYFUNCTION("""COMPUTED_VALUE"""),36.0)</f>
        <v>36</v>
      </c>
      <c r="F260" s="30">
        <f>IFERROR(__xludf.DUMMYFUNCTION("""COMPUTED_VALUE"""),24.0)</f>
        <v>24</v>
      </c>
      <c r="G260" s="30">
        <f>IFERROR(__xludf.DUMMYFUNCTION("""COMPUTED_VALUE"""),12.0)</f>
        <v>12</v>
      </c>
      <c r="H260" s="42">
        <f>IFERROR(__xludf.DUMMYFUNCTION("""COMPUTED_VALUE"""),0.6666666666666666)</f>
        <v>0.6666666667</v>
      </c>
      <c r="I260" s="42">
        <f>IFERROR(__xludf.DUMMYFUNCTION("""COMPUTED_VALUE"""),0.20792079207920794)</f>
        <v>0.2079207921</v>
      </c>
      <c r="J260" s="30">
        <f>IFERROR(__xludf.DUMMYFUNCTION("""COMPUTED_VALUE"""),349.0833333333333)</f>
        <v>349.0833333</v>
      </c>
      <c r="K260" s="30">
        <f>IFERROR(__xludf.DUMMYFUNCTION("""COMPUTED_VALUE"""),0.5833333333333334)</f>
        <v>0.5833333333</v>
      </c>
      <c r="L260" s="30">
        <f>IFERROR(__xludf.DUMMYFUNCTION("""COMPUTED_VALUE"""),0.6944444444444444)</f>
        <v>0.6944444444</v>
      </c>
      <c r="M260" s="30">
        <f>IFERROR(__xludf.DUMMYFUNCTION("""COMPUTED_VALUE"""),1.3611111111111112)</f>
        <v>1.361111111</v>
      </c>
      <c r="N260" s="30">
        <f>IFERROR(__xludf.DUMMYFUNCTION("""COMPUTED_VALUE"""),2.8055555555555554)</f>
        <v>2.805555556</v>
      </c>
      <c r="O260" s="30">
        <f>IFERROR(__xludf.DUMMYFUNCTION("""COMPUTED_VALUE"""),351.75)</f>
        <v>351.75</v>
      </c>
      <c r="P260" s="30">
        <f>IFERROR(__xludf.DUMMYFUNCTION("""COMPUTED_VALUE"""),0.6759259259259258)</f>
        <v>0.6759259259</v>
      </c>
      <c r="Q260" s="30">
        <f>IFERROR(__xludf.DUMMYFUNCTION("""COMPUTED_VALUE"""),0.5462962962962963)</f>
        <v>0.5462962963</v>
      </c>
      <c r="R260" s="30">
        <f>IFERROR(__xludf.DUMMYFUNCTION("""COMPUTED_VALUE"""),1.4537037037037033)</f>
        <v>1.453703704</v>
      </c>
      <c r="S260" s="30">
        <f>IFERROR(__xludf.DUMMYFUNCTION("""COMPUTED_VALUE"""),2.4074074074074074)</f>
        <v>2.407407407</v>
      </c>
      <c r="T260" s="30">
        <f>IFERROR(__xludf.DUMMYFUNCTION("""COMPUTED_VALUE"""),358.2915785458271)</f>
        <v>358.2915785</v>
      </c>
      <c r="U260" s="30">
        <f>IFERROR(__xludf.DUMMYFUNCTION("""COMPUTED_VALUE"""),0.7320721255442373)</f>
        <v>0.7320721255</v>
      </c>
      <c r="V260" s="30">
        <f>IFERROR(__xludf.DUMMYFUNCTION("""COMPUTED_VALUE"""),0.5398876236562093)</f>
        <v>0.5398876237</v>
      </c>
      <c r="W260" s="30">
        <f>IFERROR(__xludf.DUMMYFUNCTION("""COMPUTED_VALUE"""),1.5079168207460094)</f>
        <v>1.507916821</v>
      </c>
      <c r="X260" s="30">
        <f>IFERROR(__xludf.DUMMYFUNCTION("""COMPUTED_VALUE"""),2.478602928277583)</f>
        <v>2.478602928</v>
      </c>
      <c r="Y260" s="30">
        <f>IFERROR(__xludf.DUMMYFUNCTION("""COMPUTED_VALUE"""),373.13237797829464)</f>
        <v>373.132378</v>
      </c>
      <c r="Z260" s="30">
        <f>IFERROR(__xludf.DUMMYFUNCTION("""COMPUTED_VALUE"""),0.8418404275374347)</f>
        <v>0.8418404275</v>
      </c>
      <c r="AA260" s="30">
        <f>IFERROR(__xludf.DUMMYFUNCTION("""COMPUTED_VALUE"""),0.6322005936195152)</f>
        <v>0.6322005936</v>
      </c>
      <c r="AB260" s="30">
        <f>IFERROR(__xludf.DUMMYFUNCTION("""COMPUTED_VALUE"""),1.371479191194855)</f>
        <v>1.371479191</v>
      </c>
      <c r="AC260" s="30">
        <f>IFERROR(__xludf.DUMMYFUNCTION("""COMPUTED_VALUE"""),2.856473643032285)</f>
        <v>2.856473643</v>
      </c>
      <c r="AD260" s="30">
        <f>IFERROR(__xludf.DUMMYFUNCTION("""COMPUTED_VALUE"""),0.9355482234608966)</f>
        <v>0.9355482235</v>
      </c>
      <c r="AE260" s="30">
        <f>IFERROR(__xludf.DUMMYFUNCTION("""COMPUTED_VALUE"""),0.6929262533039777)</f>
        <v>0.6929262533</v>
      </c>
      <c r="AF260" s="30">
        <f>IFERROR(__xludf.DUMMYFUNCTION("""COMPUTED_VALUE"""),1.098455856342315)</f>
        <v>1.098455856</v>
      </c>
      <c r="AG260" s="30">
        <f>IFERROR(__xludf.DUMMYFUNCTION("""COMPUTED_VALUE"""),0.9924402206389212)</f>
        <v>0.9924402206</v>
      </c>
      <c r="AH260" s="30">
        <f>IFERROR(__xludf.DUMMYFUNCTION("""COMPUTED_VALUE"""),0.9821744942051425)</f>
        <v>0.9821744942</v>
      </c>
      <c r="AI260" s="30">
        <f>IFERROR(__xludf.DUMMYFUNCTION("""COMPUTED_VALUE"""),0.981742304487376)</f>
        <v>0.9817423045</v>
      </c>
      <c r="AJ260" s="30">
        <f>IFERROR(__xludf.DUMMYFUNCTION("""COMPUTED_VALUE"""),0.9233050984196793)</f>
        <v>0.9233050984</v>
      </c>
      <c r="AK260" s="30">
        <f>IFERROR(__xludf.DUMMYFUNCTION("""COMPUTED_VALUE"""),1.0118703825745927)</f>
        <v>1.011870383</v>
      </c>
      <c r="AL260" s="30">
        <f>IFERROR(__xludf.DUMMYFUNCTION("""COMPUTED_VALUE"""),0.9640476740517522)</f>
        <v>0.9640476741</v>
      </c>
      <c r="AM260" s="30">
        <f>IFERROR(__xludf.DUMMYFUNCTION("""COMPUTED_VALUE"""),0.9712759474065293)</f>
        <v>0.9712759474</v>
      </c>
      <c r="AN260" s="30">
        <f>IFERROR(__xludf.DUMMYFUNCTION("""COMPUTED_VALUE"""),0.9897210417538816)</f>
        <v>0.9897210418</v>
      </c>
      <c r="AO260" s="30">
        <f>IFERROR(__xludf.DUMMYFUNCTION("""COMPUTED_VALUE"""),0.8179251456335233)</f>
        <v>0.8179251456</v>
      </c>
      <c r="AP260" s="30">
        <f>IFERROR(__xludf.DUMMYFUNCTION("""COMPUTED_VALUE"""),1.2075689366442954)</f>
        <v>1.207568937</v>
      </c>
      <c r="AQ260" s="30">
        <f>IFERROR(__xludf.DUMMYFUNCTION("""COMPUTED_VALUE"""),0.9541493230503908)</f>
        <v>0.9541493231</v>
      </c>
      <c r="AR260" s="30">
        <f>IFERROR(__xludf.DUMMYFUNCTION("""COMPUTED_VALUE"""),1.1137088467475413)</f>
        <v>1.113708847</v>
      </c>
      <c r="AS260" s="30">
        <f>IFERROR(__xludf.DUMMYFUNCTION("""COMPUTED_VALUE"""),85.0)</f>
        <v>85</v>
      </c>
      <c r="AT260" s="30">
        <f>IFERROR(__xludf.DUMMYFUNCTION("""COMPUTED_VALUE"""),0.5579073849621315)</f>
        <v>0.557907385</v>
      </c>
      <c r="AU260" s="30">
        <f>IFERROR(__xludf.DUMMYFUNCTION("""COMPUTED_VALUE"""),2.325311455238942)</f>
        <v>2.325311455</v>
      </c>
      <c r="AV260" s="32">
        <f>IFERROR(__xludf.DUMMYFUNCTION("""COMPUTED_VALUE"""),50.01719212468344)</f>
        <v>50.01719212</v>
      </c>
      <c r="AW260" s="32">
        <f>IFERROR(__xludf.DUMMYFUNCTION("""COMPUTED_VALUE"""),2.0010979888406917)</f>
        <v>2.001097989</v>
      </c>
      <c r="AX260" s="32">
        <f>IFERROR(__xludf.DUMMYFUNCTION("""COMPUTED_VALUE"""),51.71443434576381)</f>
        <v>51.71443435</v>
      </c>
      <c r="AY260" s="32">
        <f>IFERROR(__xludf.DUMMYFUNCTION("""COMPUTED_VALUE"""),2.1156721993623386)</f>
        <v>2.115672199</v>
      </c>
      <c r="AZ260" s="30">
        <f>IFERROR(__xludf.DUMMYFUNCTION("""COMPUTED_VALUE"""),0.11457421052164696)</f>
        <v>0.1145742105</v>
      </c>
      <c r="BA260" s="30">
        <f>IFERROR(__xludf.DUMMYFUNCTION("""COMPUTED_VALUE"""),800.0)</f>
        <v>800</v>
      </c>
    </row>
    <row r="261">
      <c r="A261" s="30" t="str">
        <f>IFERROR(__xludf.DUMMYFUNCTION("""COMPUTED_VALUE"""),"Elite")</f>
        <v>Elite</v>
      </c>
      <c r="B261" s="30" t="str">
        <f>IFERROR(__xludf.DUMMYFUNCTION("""COMPUTED_VALUE"""),"RSC007269")</f>
        <v>RSC007269</v>
      </c>
      <c r="C261" s="30" t="str">
        <f>IFERROR(__xludf.DUMMYFUNCTION("""COMPUTED_VALUE"""),"Navik")</f>
        <v>Navik</v>
      </c>
      <c r="D261" s="30" t="str">
        <f>IFERROR(__xludf.DUMMYFUNCTION("""COMPUTED_VALUE"""),"Stoked Blokes")</f>
        <v>Stoked Blokes</v>
      </c>
      <c r="E261" s="30">
        <f>IFERROR(__xludf.DUMMYFUNCTION("""COMPUTED_VALUE"""),34.0)</f>
        <v>34</v>
      </c>
      <c r="F261" s="30">
        <f>IFERROR(__xludf.DUMMYFUNCTION("""COMPUTED_VALUE"""),16.0)</f>
        <v>16</v>
      </c>
      <c r="G261" s="30">
        <f>IFERROR(__xludf.DUMMYFUNCTION("""COMPUTED_VALUE"""),18.0)</f>
        <v>18</v>
      </c>
      <c r="H261" s="42">
        <f>IFERROR(__xludf.DUMMYFUNCTION("""COMPUTED_VALUE"""),0.47058823529411764)</f>
        <v>0.4705882353</v>
      </c>
      <c r="I261" s="42">
        <f>IFERROR(__xludf.DUMMYFUNCTION("""COMPUTED_VALUE"""),0.3243243243243244)</f>
        <v>0.3243243243</v>
      </c>
      <c r="J261" s="30">
        <f>IFERROR(__xludf.DUMMYFUNCTION("""COMPUTED_VALUE"""),340.47058823529414)</f>
        <v>340.4705882</v>
      </c>
      <c r="K261" s="30">
        <f>IFERROR(__xludf.DUMMYFUNCTION("""COMPUTED_VALUE"""),0.7058823529411765)</f>
        <v>0.7058823529</v>
      </c>
      <c r="L261" s="30">
        <f>IFERROR(__xludf.DUMMYFUNCTION("""COMPUTED_VALUE"""),0.35294117647058826)</f>
        <v>0.3529411765</v>
      </c>
      <c r="M261" s="30">
        <f>IFERROR(__xludf.DUMMYFUNCTION("""COMPUTED_VALUE"""),1.5)</f>
        <v>1.5</v>
      </c>
      <c r="N261" s="30">
        <f>IFERROR(__xludf.DUMMYFUNCTION("""COMPUTED_VALUE"""),2.176470588235294)</f>
        <v>2.176470588</v>
      </c>
      <c r="O261" s="30">
        <f>IFERROR(__xludf.DUMMYFUNCTION("""COMPUTED_VALUE"""),335.8333333333334)</f>
        <v>335.8333333</v>
      </c>
      <c r="P261" s="30">
        <f>IFERROR(__xludf.DUMMYFUNCTION("""COMPUTED_VALUE"""),0.6568627450980394)</f>
        <v>0.6568627451</v>
      </c>
      <c r="Q261" s="30">
        <f>IFERROR(__xludf.DUMMYFUNCTION("""COMPUTED_VALUE"""),0.4901960784313726)</f>
        <v>0.4901960784</v>
      </c>
      <c r="R261" s="30">
        <f>IFERROR(__xludf.DUMMYFUNCTION("""COMPUTED_VALUE"""),1.3235294117647058)</f>
        <v>1.323529412</v>
      </c>
      <c r="S261" s="30">
        <f>IFERROR(__xludf.DUMMYFUNCTION("""COMPUTED_VALUE"""),2.5784313725490198)</f>
        <v>2.578431373</v>
      </c>
      <c r="T261" s="30">
        <f>IFERROR(__xludf.DUMMYFUNCTION("""COMPUTED_VALUE"""),361.7499282927862)</f>
        <v>361.7499283</v>
      </c>
      <c r="U261" s="30">
        <f>IFERROR(__xludf.DUMMYFUNCTION("""COMPUTED_VALUE"""),0.7503099479412629)</f>
        <v>0.7503099479</v>
      </c>
      <c r="V261" s="30">
        <f>IFERROR(__xludf.DUMMYFUNCTION("""COMPUTED_VALUE"""),0.5818671062926898)</f>
        <v>0.5818671063</v>
      </c>
      <c r="W261" s="30">
        <f>IFERROR(__xludf.DUMMYFUNCTION("""COMPUTED_VALUE"""),1.5326762297479097)</f>
        <v>1.53267623</v>
      </c>
      <c r="X261" s="30">
        <f>IFERROR(__xludf.DUMMYFUNCTION("""COMPUTED_VALUE"""),2.526954875749805)</f>
        <v>2.526954876</v>
      </c>
      <c r="Y261" s="30">
        <f>IFERROR(__xludf.DUMMYFUNCTION("""COMPUTED_VALUE"""),360.74471454399185)</f>
        <v>360.7447145</v>
      </c>
      <c r="Z261" s="30">
        <f>IFERROR(__xludf.DUMMYFUNCTION("""COMPUTED_VALUE"""),0.7845039730243782)</f>
        <v>0.784503973</v>
      </c>
      <c r="AA261" s="30">
        <f>IFERROR(__xludf.DUMMYFUNCTION("""COMPUTED_VALUE"""),0.5797166162892312)</f>
        <v>0.5797166163</v>
      </c>
      <c r="AB261" s="30">
        <f>IFERROR(__xludf.DUMMYFUNCTION("""COMPUTED_VALUE"""),1.3612578354128146)</f>
        <v>1.361257835</v>
      </c>
      <c r="AC261" s="30">
        <f>IFERROR(__xludf.DUMMYFUNCTION("""COMPUTED_VALUE"""),2.7662525306146573)</f>
        <v>2.766252531</v>
      </c>
      <c r="AD261" s="30">
        <f>IFERROR(__xludf.DUMMYFUNCTION("""COMPUTED_VALUE"""),0.9437992422582665)</f>
        <v>0.9437992423</v>
      </c>
      <c r="AE261" s="30">
        <f>IFERROR(__xludf.DUMMYFUNCTION("""COMPUTED_VALUE"""),0.8997817438959502)</f>
        <v>0.8997817439</v>
      </c>
      <c r="AF261" s="30">
        <f>IFERROR(__xludf.DUMMYFUNCTION("""COMPUTED_VALUE"""),0.6088167331303463)</f>
        <v>0.6088167331</v>
      </c>
      <c r="AG261" s="30">
        <f>IFERROR(__xludf.DUMMYFUNCTION("""COMPUTED_VALUE"""),1.1019220319456309)</f>
        <v>1.101922032</v>
      </c>
      <c r="AH261" s="30">
        <f>IFERROR(__xludf.DUMMYFUNCTION("""COMPUTED_VALUE"""),0.7867938896206578)</f>
        <v>0.7867938896</v>
      </c>
      <c r="AI261" s="30">
        <f>IFERROR(__xludf.DUMMYFUNCTION("""COMPUTED_VALUE"""),0.9283577053304157)</f>
        <v>0.9283577053</v>
      </c>
      <c r="AJ261" s="30">
        <f>IFERROR(__xludf.DUMMYFUNCTION("""COMPUTED_VALUE"""),0.8754551994150838)</f>
        <v>0.8754551994</v>
      </c>
      <c r="AK261" s="30">
        <f>IFERROR(__xludf.DUMMYFUNCTION("""COMPUTED_VALUE"""),0.8424536687674437)</f>
        <v>0.8424536688</v>
      </c>
      <c r="AL261" s="30">
        <f>IFERROR(__xludf.DUMMYFUNCTION("""COMPUTED_VALUE"""),0.8635414225628045)</f>
        <v>0.8635414226</v>
      </c>
      <c r="AM261" s="30">
        <f>IFERROR(__xludf.DUMMYFUNCTION("""COMPUTED_VALUE"""),1.0203709600409625)</f>
        <v>1.02037096</v>
      </c>
      <c r="AN261" s="30">
        <f>IFERROR(__xludf.DUMMYFUNCTION("""COMPUTED_VALUE"""),0.9653021874665807)</f>
        <v>0.9653021875</v>
      </c>
      <c r="AO261" s="30">
        <f>IFERROR(__xludf.DUMMYFUNCTION("""COMPUTED_VALUE"""),0.9897581594220786)</f>
        <v>0.9897581594</v>
      </c>
      <c r="AP261" s="30">
        <f>IFERROR(__xludf.DUMMYFUNCTION("""COMPUTED_VALUE"""),0.6137291536827478)</f>
        <v>0.6137291537</v>
      </c>
      <c r="AQ261" s="30">
        <f>IFERROR(__xludf.DUMMYFUNCTION("""COMPUTED_VALUE"""),1.0515114988718592)</f>
        <v>1.051511499</v>
      </c>
      <c r="AR261" s="30">
        <f>IFERROR(__xludf.DUMMYFUNCTION("""COMPUTED_VALUE"""),0.8639837995735149)</f>
        <v>0.8639837996</v>
      </c>
      <c r="AS261" s="30">
        <f>IFERROR(__xludf.DUMMYFUNCTION("""COMPUTED_VALUE"""),66.0)</f>
        <v>66</v>
      </c>
      <c r="AT261" s="30">
        <f>IFERROR(__xludf.DUMMYFUNCTION("""COMPUTED_VALUE"""),0.49443942614010533)</f>
        <v>0.4944394261</v>
      </c>
      <c r="AU261" s="30">
        <f>IFERROR(__xludf.DUMMYFUNCTION("""COMPUTED_VALUE"""),2.0329874614767567)</f>
        <v>2.032987461</v>
      </c>
      <c r="AV261" s="32">
        <f>IFERROR(__xludf.DUMMYFUNCTION("""COMPUTED_VALUE"""),41.80304601269674)</f>
        <v>41.80304601</v>
      </c>
      <c r="AW261" s="32">
        <f>IFERROR(__xludf.DUMMYFUNCTION("""COMPUTED_VALUE"""),-2.6917763173390363)</f>
        <v>-2.691776317</v>
      </c>
      <c r="AX261" s="32">
        <f>IFERROR(__xludf.DUMMYFUNCTION("""COMPUTED_VALUE"""),42.56641809722177)</f>
        <v>42.5664181</v>
      </c>
      <c r="AY261" s="32">
        <f>IFERROR(__xludf.DUMMYFUNCTION("""COMPUTED_VALUE"""),-2.6102693770104866)</f>
        <v>-2.610269377</v>
      </c>
      <c r="AZ261" s="30">
        <f>IFERROR(__xludf.DUMMYFUNCTION("""COMPUTED_VALUE"""),0.08150694032854977)</f>
        <v>0.08150694033</v>
      </c>
      <c r="BA261" s="30">
        <f>IFERROR(__xludf.DUMMYFUNCTION("""COMPUTED_VALUE"""),800.0)</f>
        <v>800</v>
      </c>
    </row>
    <row r="262">
      <c r="A262" s="30" t="str">
        <f>IFERROR(__xludf.DUMMYFUNCTION("""COMPUTED_VALUE"""),"Elite")</f>
        <v>Elite</v>
      </c>
      <c r="B262" s="30" t="str">
        <f>IFERROR(__xludf.DUMMYFUNCTION("""COMPUTED_VALUE"""),"RSC004820")</f>
        <v>RSC004820</v>
      </c>
      <c r="C262" s="30" t="str">
        <f>IFERROR(__xludf.DUMMYFUNCTION("""COMPUTED_VALUE"""),"AoS Arctic")</f>
        <v>AoS Arctic</v>
      </c>
      <c r="D262" s="30" t="str">
        <f>IFERROR(__xludf.DUMMYFUNCTION("""COMPUTED_VALUE"""),"Summoned")</f>
        <v>Summoned</v>
      </c>
      <c r="E262" s="30">
        <f>IFERROR(__xludf.DUMMYFUNCTION("""COMPUTED_VALUE"""),27.0)</f>
        <v>27</v>
      </c>
      <c r="F262" s="30">
        <f>IFERROR(__xludf.DUMMYFUNCTION("""COMPUTED_VALUE"""),11.0)</f>
        <v>11</v>
      </c>
      <c r="G262" s="30">
        <f>IFERROR(__xludf.DUMMYFUNCTION("""COMPUTED_VALUE"""),16.0)</f>
        <v>16</v>
      </c>
      <c r="H262" s="42">
        <f>IFERROR(__xludf.DUMMYFUNCTION("""COMPUTED_VALUE"""),0.4074074074074074)</f>
        <v>0.4074074074</v>
      </c>
      <c r="I262" s="42">
        <f>IFERROR(__xludf.DUMMYFUNCTION("""COMPUTED_VALUE"""),0.2826086956521739)</f>
        <v>0.2826086957</v>
      </c>
      <c r="J262" s="30">
        <f>IFERROR(__xludf.DUMMYFUNCTION("""COMPUTED_VALUE"""),310.69565217391306)</f>
        <v>310.6956522</v>
      </c>
      <c r="K262" s="30">
        <f>IFERROR(__xludf.DUMMYFUNCTION("""COMPUTED_VALUE"""),0.5652173913043478)</f>
        <v>0.5652173913</v>
      </c>
      <c r="L262" s="30">
        <f>IFERROR(__xludf.DUMMYFUNCTION("""COMPUTED_VALUE"""),0.43478260869565216)</f>
        <v>0.4347826087</v>
      </c>
      <c r="M262" s="30">
        <f>IFERROR(__xludf.DUMMYFUNCTION("""COMPUTED_VALUE"""),1.3043478260869565)</f>
        <v>1.304347826</v>
      </c>
      <c r="N262" s="30">
        <f>IFERROR(__xludf.DUMMYFUNCTION("""COMPUTED_VALUE"""),2.0)</f>
        <v>2</v>
      </c>
      <c r="O262" s="30">
        <f>IFERROR(__xludf.DUMMYFUNCTION("""COMPUTED_VALUE"""),355.8115942028986)</f>
        <v>355.8115942</v>
      </c>
      <c r="P262" s="30">
        <f>IFERROR(__xludf.DUMMYFUNCTION("""COMPUTED_VALUE"""),0.9130434782608695)</f>
        <v>0.9130434783</v>
      </c>
      <c r="Q262" s="30">
        <f>IFERROR(__xludf.DUMMYFUNCTION("""COMPUTED_VALUE"""),0.6231884057971014)</f>
        <v>0.6231884058</v>
      </c>
      <c r="R262" s="30">
        <f>IFERROR(__xludf.DUMMYFUNCTION("""COMPUTED_VALUE"""),1.0869565217391308)</f>
        <v>1.086956522</v>
      </c>
      <c r="S262" s="30">
        <f>IFERROR(__xludf.DUMMYFUNCTION("""COMPUTED_VALUE"""),2.8115942028985508)</f>
        <v>2.811594203</v>
      </c>
      <c r="T262" s="30">
        <f>IFERROR(__xludf.DUMMYFUNCTION("""COMPUTED_VALUE"""),366.69324854249913)</f>
        <v>366.6932485</v>
      </c>
      <c r="U262" s="30">
        <f>IFERROR(__xludf.DUMMYFUNCTION("""COMPUTED_VALUE"""),0.7904072754403308)</f>
        <v>0.7904072754</v>
      </c>
      <c r="V262" s="30">
        <f>IFERROR(__xludf.DUMMYFUNCTION("""COMPUTED_VALUE"""),0.5843248154945246)</f>
        <v>0.5843248155</v>
      </c>
      <c r="W262" s="30">
        <f>IFERROR(__xludf.DUMMYFUNCTION("""COMPUTED_VALUE"""),1.4091254835977243)</f>
        <v>1.409125484</v>
      </c>
      <c r="X262" s="30">
        <f>IFERROR(__xludf.DUMMYFUNCTION("""COMPUTED_VALUE"""),2.75895881553984)</f>
        <v>2.758958816</v>
      </c>
      <c r="Y262" s="30">
        <f>IFERROR(__xludf.DUMMYFUNCTION("""COMPUTED_VALUE"""),367.63085178586834)</f>
        <v>367.6308518</v>
      </c>
      <c r="Z262" s="30">
        <f>IFERROR(__xludf.DUMMYFUNCTION("""COMPUTED_VALUE"""),0.8019017303719179)</f>
        <v>0.8019017304</v>
      </c>
      <c r="AA262" s="30">
        <f>IFERROR(__xludf.DUMMYFUNCTION("""COMPUTED_VALUE"""),0.604072327100274)</f>
        <v>0.6040723271</v>
      </c>
      <c r="AB262" s="30">
        <f>IFERROR(__xludf.DUMMYFUNCTION("""COMPUTED_VALUE"""),1.49658210902733)</f>
        <v>1.496582109</v>
      </c>
      <c r="AC262" s="30">
        <f>IFERROR(__xludf.DUMMYFUNCTION("""COMPUTED_VALUE"""),2.606273129846991)</f>
        <v>2.60627313</v>
      </c>
      <c r="AD262" s="30">
        <f>IFERROR(__xludf.DUMMYFUNCTION("""COMPUTED_VALUE"""),0.8451294298740794)</f>
        <v>0.8451294299</v>
      </c>
      <c r="AE262" s="30">
        <f>IFERROR(__xludf.DUMMYFUNCTION("""COMPUTED_VALUE"""),0.7048462048363493)</f>
        <v>0.7048462048</v>
      </c>
      <c r="AF262" s="30">
        <f>IFERROR(__xludf.DUMMYFUNCTION("""COMPUTED_VALUE"""),0.7197525680124057)</f>
        <v>0.719752568</v>
      </c>
      <c r="AG262" s="30">
        <f>IFERROR(__xludf.DUMMYFUNCTION("""COMPUTED_VALUE"""),0.8715511285476266)</f>
        <v>0.8715511285</v>
      </c>
      <c r="AH262" s="30">
        <f>IFERROR(__xludf.DUMMYFUNCTION("""COMPUTED_VALUE"""),0.7673792808190505)</f>
        <v>0.7673792808</v>
      </c>
      <c r="AI262" s="30">
        <f>IFERROR(__xludf.DUMMYFUNCTION("""COMPUTED_VALUE"""),0.9703249122179043)</f>
        <v>0.9703249122</v>
      </c>
      <c r="AJ262" s="30">
        <f>IFERROR(__xludf.DUMMYFUNCTION("""COMPUTED_VALUE"""),1.1551557110253303)</f>
        <v>1.155155711</v>
      </c>
      <c r="AK262" s="30">
        <f>IFERROR(__xludf.DUMMYFUNCTION("""COMPUTED_VALUE"""),1.0665102512712656)</f>
        <v>1.066510251</v>
      </c>
      <c r="AL262" s="30">
        <f>IFERROR(__xludf.DUMMYFUNCTION("""COMPUTED_VALUE"""),0.7713695723988724)</f>
        <v>0.7713695724</v>
      </c>
      <c r="AM262" s="30">
        <f>IFERROR(__xludf.DUMMYFUNCTION("""COMPUTED_VALUE"""),1.0190779895162776)</f>
        <v>1.01907799</v>
      </c>
      <c r="AN262" s="30">
        <f>IFERROR(__xludf.DUMMYFUNCTION("""COMPUTED_VALUE"""),0.88088429087028)</f>
        <v>0.8808842909</v>
      </c>
      <c r="AO262" s="30">
        <f>IFERROR(__xludf.DUMMYFUNCTION("""COMPUTED_VALUE"""),0.792523743595215)</f>
        <v>0.7925237436</v>
      </c>
      <c r="AP262" s="30">
        <f>IFERROR(__xludf.DUMMYFUNCTION("""COMPUTED_VALUE"""),0.7560431603338198)</f>
        <v>0.7560431603</v>
      </c>
      <c r="AQ262" s="30">
        <f>IFERROR(__xludf.DUMMYFUNCTION("""COMPUTED_VALUE"""),0.9143578251059645)</f>
        <v>0.9143578251</v>
      </c>
      <c r="AR262" s="30">
        <f>IFERROR(__xludf.DUMMYFUNCTION("""COMPUTED_VALUE"""),0.7939310590675543)</f>
        <v>0.7939310591</v>
      </c>
      <c r="AS262" s="30">
        <f>IFERROR(__xludf.DUMMYFUNCTION("""COMPUTED_VALUE"""),51.0)</f>
        <v>51</v>
      </c>
      <c r="AT262" s="30">
        <f>IFERROR(__xludf.DUMMYFUNCTION("""COMPUTED_VALUE"""),0.35964497680758206)</f>
        <v>0.3596449768</v>
      </c>
      <c r="AU262" s="30">
        <f>IFERROR(__xludf.DUMMYFUNCTION("""COMPUTED_VALUE"""),1.5738077651839257)</f>
        <v>1.573807765</v>
      </c>
      <c r="AV262" s="32">
        <f>IFERROR(__xludf.DUMMYFUNCTION("""COMPUTED_VALUE"""),28.90034490881319)</f>
        <v>28.90034491</v>
      </c>
      <c r="AW262" s="32">
        <f>IFERROR(__xludf.DUMMYFUNCTION("""COMPUTED_VALUE"""),-5.016590931181441)</f>
        <v>-5.016590931</v>
      </c>
      <c r="AX262" s="32">
        <f>IFERROR(__xludf.DUMMYFUNCTION("""COMPUTED_VALUE"""),29.09981212404066)</f>
        <v>29.09981212</v>
      </c>
      <c r="AY262" s="32">
        <f>IFERROR(__xludf.DUMMYFUNCTION("""COMPUTED_VALUE"""),-4.960924345094627)</f>
        <v>-4.960924345</v>
      </c>
      <c r="AZ262" s="30">
        <f>IFERROR(__xludf.DUMMYFUNCTION("""COMPUTED_VALUE"""),0.055666586086814185)</f>
        <v>0.05566658609</v>
      </c>
      <c r="BA262" s="30">
        <f>IFERROR(__xludf.DUMMYFUNCTION("""COMPUTED_VALUE"""),800.0)</f>
        <v>800</v>
      </c>
    </row>
    <row r="263">
      <c r="A263" s="71" t="str">
        <f>IFERROR(__xludf.DUMMYFUNCTION("""COMPUTED_VALUE"""),"Veteran")</f>
        <v>Veteran</v>
      </c>
      <c r="B263" s="71" t="str">
        <f>IFERROR(__xludf.DUMMYFUNCTION("""COMPUTED_VALUE"""),"RSC007505")</f>
        <v>RSC007505</v>
      </c>
      <c r="C263" s="30" t="str">
        <f>IFERROR(__xludf.DUMMYFUNCTION("""COMPUTED_VALUE"""),"Detroeux_RL")</f>
        <v>Detroeux_RL</v>
      </c>
      <c r="D263" s="30"/>
      <c r="E263" s="30">
        <f>IFERROR(__xludf.DUMMYFUNCTION("""COMPUTED_VALUE"""),4.0)</f>
        <v>4</v>
      </c>
      <c r="F263" s="30">
        <f>IFERROR(__xludf.DUMMYFUNCTION("""COMPUTED_VALUE"""),0.0)</f>
        <v>0</v>
      </c>
      <c r="G263" s="42">
        <f>IFERROR(__xludf.DUMMYFUNCTION("""COMPUTED_VALUE"""),4.0)</f>
        <v>4</v>
      </c>
      <c r="H263" s="42">
        <f>IFERROR(__xludf.DUMMYFUNCTION("""COMPUTED_VALUE"""),0.0)</f>
        <v>0</v>
      </c>
      <c r="I263" s="42">
        <f>IFERROR(__xludf.DUMMYFUNCTION("""COMPUTED_VALUE"""),0.3333333333333333)</f>
        <v>0.3333333333</v>
      </c>
      <c r="J263" s="30">
        <f>IFERROR(__xludf.DUMMYFUNCTION("""COMPUTED_VALUE"""),189.0)</f>
        <v>189</v>
      </c>
      <c r="K263" s="30">
        <f>IFERROR(__xludf.DUMMYFUNCTION("""COMPUTED_VALUE"""),0.25)</f>
        <v>0.25</v>
      </c>
      <c r="L263" s="30">
        <f>IFERROR(__xludf.DUMMYFUNCTION("""COMPUTED_VALUE"""),0.25)</f>
        <v>0.25</v>
      </c>
      <c r="M263" s="30">
        <f>IFERROR(__xludf.DUMMYFUNCTION("""COMPUTED_VALUE"""),0.75)</f>
        <v>0.75</v>
      </c>
      <c r="N263" s="30">
        <f>IFERROR(__xludf.DUMMYFUNCTION("""COMPUTED_VALUE"""),0.75)</f>
        <v>0.75</v>
      </c>
      <c r="O263" s="30">
        <f>IFERROR(__xludf.DUMMYFUNCTION("""COMPUTED_VALUE"""),531.6666666666666)</f>
        <v>531.6666667</v>
      </c>
      <c r="P263" s="30">
        <f>IFERROR(__xludf.DUMMYFUNCTION("""COMPUTED_VALUE"""),1.9166666666666665)</f>
        <v>1.916666667</v>
      </c>
      <c r="Q263" s="30">
        <f>IFERROR(__xludf.DUMMYFUNCTION("""COMPUTED_VALUE"""),1.3333333333333335)</f>
        <v>1.333333333</v>
      </c>
      <c r="R263" s="30">
        <f>IFERROR(__xludf.DUMMYFUNCTION("""COMPUTED_VALUE"""),1.1666666666666667)</f>
        <v>1.166666667</v>
      </c>
      <c r="S263" s="30">
        <f>IFERROR(__xludf.DUMMYFUNCTION("""COMPUTED_VALUE"""),4.583333333333333)</f>
        <v>4.583333333</v>
      </c>
      <c r="T263" s="30">
        <f>IFERROR(__xludf.DUMMYFUNCTION("""COMPUTED_VALUE"""),379.0114814814815)</f>
        <v>379.0114815</v>
      </c>
      <c r="U263" s="30">
        <f>IFERROR(__xludf.DUMMYFUNCTION("""COMPUTED_VALUE"""),0.9646296296296296)</f>
        <v>0.9646296296</v>
      </c>
      <c r="V263" s="30">
        <f>IFERROR(__xludf.DUMMYFUNCTION("""COMPUTED_VALUE"""),0.7642592592592593)</f>
        <v>0.7642592593</v>
      </c>
      <c r="W263" s="30">
        <f>IFERROR(__xludf.DUMMYFUNCTION("""COMPUTED_VALUE"""),1.221851851851852)</f>
        <v>1.221851852</v>
      </c>
      <c r="X263" s="30">
        <f>IFERROR(__xludf.DUMMYFUNCTION("""COMPUTED_VALUE"""),2.7750000000000004)</f>
        <v>2.775</v>
      </c>
      <c r="Y263" s="30">
        <f>IFERROR(__xludf.DUMMYFUNCTION("""COMPUTED_VALUE"""),375.5833333333333)</f>
        <v>375.5833333</v>
      </c>
      <c r="Z263" s="30">
        <f>IFERROR(__xludf.DUMMYFUNCTION("""COMPUTED_VALUE"""),0.8909876543209876)</f>
        <v>0.8909876543</v>
      </c>
      <c r="AA263" s="30">
        <f>IFERROR(__xludf.DUMMYFUNCTION("""COMPUTED_VALUE"""),0.6279012345679013)</f>
        <v>0.6279012346</v>
      </c>
      <c r="AB263" s="30">
        <f>IFERROR(__xludf.DUMMYFUNCTION("""COMPUTED_VALUE"""),1.4093827160493826)</f>
        <v>1.409382716</v>
      </c>
      <c r="AC263" s="30">
        <f>IFERROR(__xludf.DUMMYFUNCTION("""COMPUTED_VALUE"""),2.7846913580246913)</f>
        <v>2.784691358</v>
      </c>
      <c r="AD263" s="30">
        <f>IFERROR(__xludf.DUMMYFUNCTION("""COMPUTED_VALUE"""),0.5032172176614156)</f>
        <v>0.5032172177</v>
      </c>
      <c r="AE263" s="30">
        <f>IFERROR(__xludf.DUMMYFUNCTION("""COMPUTED_VALUE"""),0.2805875017320216)</f>
        <v>0.2805875017</v>
      </c>
      <c r="AF263" s="30">
        <f>IFERROR(__xludf.DUMMYFUNCTION("""COMPUTED_VALUE"""),0.3981517892253244)</f>
        <v>0.3981517892</v>
      </c>
      <c r="AG263" s="30">
        <f>IFERROR(__xludf.DUMMYFUNCTION("""COMPUTED_VALUE"""),0.5321478626489139)</f>
        <v>0.5321478626</v>
      </c>
      <c r="AH263" s="30">
        <f>IFERROR(__xludf.DUMMYFUNCTION("""COMPUTED_VALUE"""),0.2693296683809186)</f>
        <v>0.2693296684</v>
      </c>
      <c r="AI263" s="30">
        <f>IFERROR(__xludf.DUMMYFUNCTION("""COMPUTED_VALUE"""),1.4027719281444615)</f>
        <v>1.402771928</v>
      </c>
      <c r="AJ263" s="30">
        <f>IFERROR(__xludf.DUMMYFUNCTION("""COMPUTED_VALUE"""),1.9869456709541178)</f>
        <v>1.986945671</v>
      </c>
      <c r="AK263" s="30">
        <f>IFERROR(__xludf.DUMMYFUNCTION("""COMPUTED_VALUE"""),1.7446086745820208)</f>
        <v>1.744608675</v>
      </c>
      <c r="AL263" s="30">
        <f>IFERROR(__xludf.DUMMYFUNCTION("""COMPUTED_VALUE"""),0.9548347984237647)</f>
        <v>0.9548347984</v>
      </c>
      <c r="AM263" s="30">
        <f>IFERROR(__xludf.DUMMYFUNCTION("""COMPUTED_VALUE"""),1.6516516516516513)</f>
        <v>1.651651652</v>
      </c>
      <c r="AN263" s="30">
        <f>IFERROR(__xludf.DUMMYFUNCTION("""COMPUTED_VALUE"""),0.5473861189420322)</f>
        <v>0.5473861189</v>
      </c>
      <c r="AO263" s="30">
        <f>IFERROR(__xludf.DUMMYFUNCTION("""COMPUTED_VALUE"""),0.33141256391418544)</f>
        <v>0.3314125639</v>
      </c>
      <c r="AP263" s="30">
        <f>IFERROR(__xludf.DUMMYFUNCTION("""COMPUTED_VALUE"""),0.4636278305750496)</f>
        <v>0.4636278306</v>
      </c>
      <c r="AQ263" s="30">
        <f>IFERROR(__xludf.DUMMYFUNCTION("""COMPUTED_VALUE"""),0.555290822509801)</f>
        <v>0.5552908225</v>
      </c>
      <c r="AR263" s="30">
        <f>IFERROR(__xludf.DUMMYFUNCTION("""COMPUTED_VALUE"""),0.2928907539054352)</f>
        <v>0.2928907539</v>
      </c>
      <c r="AS263" s="30">
        <f>IFERROR(__xludf.DUMMYFUNCTION("""COMPUTED_VALUE"""),5.0)</f>
        <v>5</v>
      </c>
      <c r="AT263" s="30">
        <f>IFERROR(__xludf.DUMMYFUNCTION("""COMPUTED_VALUE"""),0.06491510899821656)</f>
        <v>0.064915109</v>
      </c>
      <c r="AU263" s="30">
        <f>IFERROR(__xludf.DUMMYFUNCTION("""COMPUTED_VALUE"""),-0.532026530885988)</f>
        <v>-0.5320265309</v>
      </c>
      <c r="AV263" s="32">
        <f>IFERROR(__xludf.DUMMYFUNCTION("""COMPUTED_VALUE"""),-39.89128919466863)</f>
        <v>-39.89128919</v>
      </c>
      <c r="AW263" s="32">
        <f>IFERROR(__xludf.DUMMYFUNCTION("""COMPUTED_VALUE"""),-6180.839056925713)</f>
        <v>-6180.839057</v>
      </c>
      <c r="AX263" s="32">
        <f>IFERROR(__xludf.DUMMYFUNCTION("""COMPUTED_VALUE"""),-38.85610369911531)</f>
        <v>-38.8561037</v>
      </c>
      <c r="AY263" s="32">
        <f>IFERROR(__xludf.DUMMYFUNCTION("""COMPUTED_VALUE"""),-5276.110221617393)</f>
        <v>-5276.110222</v>
      </c>
      <c r="AZ263" s="30">
        <f>IFERROR(__xludf.DUMMYFUNCTION("""COMPUTED_VALUE"""),904.7288353083195)</f>
        <v>904.7288353</v>
      </c>
      <c r="BA263" s="30">
        <f>IFERROR(__xludf.DUMMYFUNCTION("""COMPUTED_VALUE"""),1200.0)</f>
        <v>1200</v>
      </c>
    </row>
    <row r="264">
      <c r="A264" s="71" t="str">
        <f>IFERROR(__xludf.DUMMYFUNCTION("""COMPUTED_VALUE"""),"Veteran")</f>
        <v>Veteran</v>
      </c>
      <c r="B264" s="71" t="str">
        <f>IFERROR(__xludf.DUMMYFUNCTION("""COMPUTED_VALUE"""),"RSC004198")</f>
        <v>RSC004198</v>
      </c>
      <c r="C264" s="30" t="str">
        <f>IFERROR(__xludf.DUMMYFUNCTION("""COMPUTED_VALUE"""),"Dr. Cereal")</f>
        <v>Dr. Cereal</v>
      </c>
      <c r="D264" s="30" t="str">
        <f>IFERROR(__xludf.DUMMYFUNCTION("""COMPUTED_VALUE"""),"Giraffes")</f>
        <v>Giraffes</v>
      </c>
      <c r="E264" s="30">
        <f>IFERROR(__xludf.DUMMYFUNCTION("""COMPUTED_VALUE"""),6.0)</f>
        <v>6</v>
      </c>
      <c r="F264" s="30">
        <f>IFERROR(__xludf.DUMMYFUNCTION("""COMPUTED_VALUE"""),1.0)</f>
        <v>1</v>
      </c>
      <c r="G264" s="42">
        <f>IFERROR(__xludf.DUMMYFUNCTION("""COMPUTED_VALUE"""),5.0)</f>
        <v>5</v>
      </c>
      <c r="H264" s="42">
        <f>IFERROR(__xludf.DUMMYFUNCTION("""COMPUTED_VALUE"""),0.16666666666666666)</f>
        <v>0.1666666667</v>
      </c>
      <c r="I264" s="42">
        <f>IFERROR(__xludf.DUMMYFUNCTION("""COMPUTED_VALUE"""),0.27272727272727276)</f>
        <v>0.2727272727</v>
      </c>
      <c r="J264" s="30">
        <f>IFERROR(__xludf.DUMMYFUNCTION("""COMPUTED_VALUE"""),208.0)</f>
        <v>208</v>
      </c>
      <c r="K264" s="30">
        <f>IFERROR(__xludf.DUMMYFUNCTION("""COMPUTED_VALUE"""),0.5)</f>
        <v>0.5</v>
      </c>
      <c r="L264" s="30">
        <f>IFERROR(__xludf.DUMMYFUNCTION("""COMPUTED_VALUE"""),0.0)</f>
        <v>0</v>
      </c>
      <c r="M264" s="30">
        <f>IFERROR(__xludf.DUMMYFUNCTION("""COMPUTED_VALUE"""),0.5)</f>
        <v>0.5</v>
      </c>
      <c r="N264" s="30">
        <f>IFERROR(__xludf.DUMMYFUNCTION("""COMPUTED_VALUE"""),1.8333333333333333)</f>
        <v>1.833333333</v>
      </c>
      <c r="O264" s="30">
        <f>IFERROR(__xludf.DUMMYFUNCTION("""COMPUTED_VALUE"""),370.8333333333333)</f>
        <v>370.8333333</v>
      </c>
      <c r="P264" s="30">
        <f>IFERROR(__xludf.DUMMYFUNCTION("""COMPUTED_VALUE"""),1.0555555555555556)</f>
        <v>1.055555556</v>
      </c>
      <c r="Q264" s="30">
        <f>IFERROR(__xludf.DUMMYFUNCTION("""COMPUTED_VALUE"""),0.8888888888888888)</f>
        <v>0.8888888889</v>
      </c>
      <c r="R264" s="30">
        <f>IFERROR(__xludf.DUMMYFUNCTION("""COMPUTED_VALUE"""),0.9444444444444443)</f>
        <v>0.9444444444</v>
      </c>
      <c r="S264" s="30">
        <f>IFERROR(__xludf.DUMMYFUNCTION("""COMPUTED_VALUE"""),2.7222222222222228)</f>
        <v>2.722222222</v>
      </c>
      <c r="T264" s="30">
        <f>IFERROR(__xludf.DUMMYFUNCTION("""COMPUTED_VALUE"""),340.4308831423068)</f>
        <v>340.4308831</v>
      </c>
      <c r="U264" s="30">
        <f>IFERROR(__xludf.DUMMYFUNCTION("""COMPUTED_VALUE"""),0.7700084462126234)</f>
        <v>0.7700084462</v>
      </c>
      <c r="V264" s="30">
        <f>IFERROR(__xludf.DUMMYFUNCTION("""COMPUTED_VALUE"""),0.503312234716753)</f>
        <v>0.5033122347</v>
      </c>
      <c r="W264" s="30">
        <f>IFERROR(__xludf.DUMMYFUNCTION("""COMPUTED_VALUE"""),1.278682165297681)</f>
        <v>1.278682165</v>
      </c>
      <c r="X264" s="30">
        <f>IFERROR(__xludf.DUMMYFUNCTION("""COMPUTED_VALUE"""),2.4510314190088276)</f>
        <v>2.451031419</v>
      </c>
      <c r="Y264" s="30">
        <f>IFERROR(__xludf.DUMMYFUNCTION("""COMPUTED_VALUE"""),343.8267193887753)</f>
        <v>343.8267194</v>
      </c>
      <c r="Z264" s="30">
        <f>IFERROR(__xludf.DUMMYFUNCTION("""COMPUTED_VALUE"""),0.7887234603986523)</f>
        <v>0.7887234604</v>
      </c>
      <c r="AA264" s="30">
        <f>IFERROR(__xludf.DUMMYFUNCTION("""COMPUTED_VALUE"""),0.6007575467116532)</f>
        <v>0.6007575467</v>
      </c>
      <c r="AB264" s="30">
        <f>IFERROR(__xludf.DUMMYFUNCTION("""COMPUTED_VALUE"""),1.2221601066620957)</f>
        <v>1.222160107</v>
      </c>
      <c r="AC264" s="30">
        <f>IFERROR(__xludf.DUMMYFUNCTION("""COMPUTED_VALUE"""),2.5684031395703744)</f>
        <v>2.56840314</v>
      </c>
      <c r="AD264" s="30">
        <f>IFERROR(__xludf.DUMMYFUNCTION("""COMPUTED_VALUE"""),0.6049558928106692)</f>
        <v>0.6049558928</v>
      </c>
      <c r="AE264" s="30">
        <f>IFERROR(__xludf.DUMMYFUNCTION("""COMPUTED_VALUE"""),0.6339357520153897)</f>
        <v>0.633935752</v>
      </c>
      <c r="AF264" s="30">
        <f>IFERROR(__xludf.DUMMYFUNCTION("""COMPUTED_VALUE"""),0.0)</f>
        <v>0</v>
      </c>
      <c r="AG264" s="30">
        <f>IFERROR(__xludf.DUMMYFUNCTION("""COMPUTED_VALUE"""),0.40911170089291793)</f>
        <v>0.4091117009</v>
      </c>
      <c r="AH264" s="30">
        <f>IFERROR(__xludf.DUMMYFUNCTION("""COMPUTED_VALUE"""),0.7138027925164432)</f>
        <v>0.7138027925</v>
      </c>
      <c r="AI264" s="30">
        <f>IFERROR(__xludf.DUMMYFUNCTION("""COMPUTED_VALUE"""),1.0893057936177832)</f>
        <v>1.089305794</v>
      </c>
      <c r="AJ264" s="30">
        <f>IFERROR(__xludf.DUMMYFUNCTION("""COMPUTED_VALUE"""),1.370836334000528)</f>
        <v>1.370836334</v>
      </c>
      <c r="AK264" s="30">
        <f>IFERROR(__xludf.DUMMYFUNCTION("""COMPUTED_VALUE"""),1.766078445101032)</f>
        <v>1.766078445</v>
      </c>
      <c r="AL264" s="30">
        <f>IFERROR(__xludf.DUMMYFUNCTION("""COMPUTED_VALUE"""),0.7386076619161845)</f>
        <v>0.7386076619</v>
      </c>
      <c r="AM264" s="30">
        <f>IFERROR(__xludf.DUMMYFUNCTION("""COMPUTED_VALUE"""),1.1106435442280302)</f>
        <v>1.110643544</v>
      </c>
      <c r="AN264" s="30">
        <f>IFERROR(__xludf.DUMMYFUNCTION("""COMPUTED_VALUE"""),0.6024143531213899)</f>
        <v>0.6024143531</v>
      </c>
      <c r="AO264" s="30">
        <f>IFERROR(__xludf.DUMMYFUNCTION("""COMPUTED_VALUE"""),0.6628251278283709)</f>
        <v>0.6628251278</v>
      </c>
      <c r="AP264" s="30">
        <f>IFERROR(__xludf.DUMMYFUNCTION("""COMPUTED_VALUE"""),0.0)</f>
        <v>0</v>
      </c>
      <c r="AQ264" s="30">
        <f>IFERROR(__xludf.DUMMYFUNCTION("""COMPUTED_VALUE"""),0.37019388167320066)</f>
        <v>0.3701938817</v>
      </c>
      <c r="AR264" s="30">
        <f>IFERROR(__xludf.DUMMYFUNCTION("""COMPUTED_VALUE"""),0.715955176213286)</f>
        <v>0.7159551762</v>
      </c>
      <c r="AS264" s="30">
        <f>IFERROR(__xludf.DUMMYFUNCTION("""COMPUTED_VALUE"""),8.0)</f>
        <v>8</v>
      </c>
      <c r="AT264" s="30">
        <f>IFERROR(__xludf.DUMMYFUNCTION("""COMPUTED_VALUE"""),0.2088375576689729)</f>
        <v>0.2088375577</v>
      </c>
      <c r="AU264" s="30">
        <f>IFERROR(__xludf.DUMMYFUNCTION("""COMPUTED_VALUE"""),0.2441401113364836)</f>
        <v>0.2441401113</v>
      </c>
      <c r="AV264" s="32">
        <f>IFERROR(__xludf.DUMMYFUNCTION("""COMPUTED_VALUE"""),-15.848679782690311)</f>
        <v>-15.84867978</v>
      </c>
      <c r="AW264" s="32">
        <f>IFERROR(__xludf.DUMMYFUNCTION("""COMPUTED_VALUE"""),-236.97071755791643)</f>
        <v>-236.9707176</v>
      </c>
      <c r="AX264" s="32">
        <f>IFERROR(__xludf.DUMMYFUNCTION("""COMPUTED_VALUE"""),-0.02553420055934197)</f>
        <v>-0.02553420056</v>
      </c>
      <c r="AY264" s="32">
        <f>IFERROR(__xludf.DUMMYFUNCTION("""COMPUTED_VALUE"""),-44.0624842064285)</f>
        <v>-44.06248421</v>
      </c>
      <c r="AZ264" s="30">
        <f>IFERROR(__xludf.DUMMYFUNCTION("""COMPUTED_VALUE"""),192.90823335148792)</f>
        <v>192.9082334</v>
      </c>
      <c r="BA264" s="30">
        <f>IFERROR(__xludf.DUMMYFUNCTION("""COMPUTED_VALUE"""),1200.0)</f>
        <v>1200</v>
      </c>
    </row>
    <row r="265">
      <c r="A265" s="71" t="str">
        <f>IFERROR(__xludf.DUMMYFUNCTION("""COMPUTED_VALUE"""),"Veteran")</f>
        <v>Veteran</v>
      </c>
      <c r="B265" s="71" t="str">
        <f>IFERROR(__xludf.DUMMYFUNCTION("""COMPUTED_VALUE"""),"RSC007062")</f>
        <v>RSC007062</v>
      </c>
      <c r="C265" s="30" t="str">
        <f>IFERROR(__xludf.DUMMYFUNCTION("""COMPUTED_VALUE"""),"Ice Phoenix")</f>
        <v>Ice Phoenix</v>
      </c>
      <c r="D265" s="30" t="str">
        <f>IFERROR(__xludf.DUMMYFUNCTION("""COMPUTED_VALUE"""),"Mellow Fellows")</f>
        <v>Mellow Fellows</v>
      </c>
      <c r="E265" s="30">
        <f>IFERROR(__xludf.DUMMYFUNCTION("""COMPUTED_VALUE"""),4.0)</f>
        <v>4</v>
      </c>
      <c r="F265" s="30">
        <f>IFERROR(__xludf.DUMMYFUNCTION("""COMPUTED_VALUE"""),0.0)</f>
        <v>0</v>
      </c>
      <c r="G265" s="42">
        <f>IFERROR(__xludf.DUMMYFUNCTION("""COMPUTED_VALUE"""),4.0)</f>
        <v>4</v>
      </c>
      <c r="H265" s="42">
        <f>IFERROR(__xludf.DUMMYFUNCTION("""COMPUTED_VALUE"""),0.0)</f>
        <v>0</v>
      </c>
      <c r="I265" s="42">
        <f>IFERROR(__xludf.DUMMYFUNCTION("""COMPUTED_VALUE"""),0.0)</f>
        <v>0</v>
      </c>
      <c r="J265" s="30">
        <f>IFERROR(__xludf.DUMMYFUNCTION("""COMPUTED_VALUE"""),180.75)</f>
        <v>180.75</v>
      </c>
      <c r="K265" s="30">
        <f>IFERROR(__xludf.DUMMYFUNCTION("""COMPUTED_VALUE"""),0.0)</f>
        <v>0</v>
      </c>
      <c r="L265" s="30">
        <f>IFERROR(__xludf.DUMMYFUNCTION("""COMPUTED_VALUE"""),0.25)</f>
        <v>0.25</v>
      </c>
      <c r="M265" s="30">
        <f>IFERROR(__xludf.DUMMYFUNCTION("""COMPUTED_VALUE"""),0.75)</f>
        <v>0.75</v>
      </c>
      <c r="N265" s="30">
        <f>IFERROR(__xludf.DUMMYFUNCTION("""COMPUTED_VALUE"""),1.0)</f>
        <v>1</v>
      </c>
      <c r="O265" s="30">
        <f>IFERROR(__xludf.DUMMYFUNCTION("""COMPUTED_VALUE"""),349.0833333333333)</f>
        <v>349.0833333</v>
      </c>
      <c r="P265" s="30">
        <f>IFERROR(__xludf.DUMMYFUNCTION("""COMPUTED_VALUE"""),0.8333333333333333)</f>
        <v>0.8333333333</v>
      </c>
      <c r="Q265" s="30">
        <f>IFERROR(__xludf.DUMMYFUNCTION("""COMPUTED_VALUE"""),0.6666666666666666)</f>
        <v>0.6666666667</v>
      </c>
      <c r="R265" s="30">
        <f>IFERROR(__xludf.DUMMYFUNCTION("""COMPUTED_VALUE"""),0.8333333333333334)</f>
        <v>0.8333333333</v>
      </c>
      <c r="S265" s="30">
        <f>IFERROR(__xludf.DUMMYFUNCTION("""COMPUTED_VALUE"""),3.0833333333333335)</f>
        <v>3.083333333</v>
      </c>
      <c r="T265" s="30">
        <f>IFERROR(__xludf.DUMMYFUNCTION("""COMPUTED_VALUE"""),373.7903361344538)</f>
        <v>373.7903361</v>
      </c>
      <c r="U265" s="30">
        <f>IFERROR(__xludf.DUMMYFUNCTION("""COMPUTED_VALUE"""),0.913056333644569)</f>
        <v>0.9130563336</v>
      </c>
      <c r="V265" s="30">
        <f>IFERROR(__xludf.DUMMYFUNCTION("""COMPUTED_VALUE"""),0.7506224712107065)</f>
        <v>0.7506224712</v>
      </c>
      <c r="W265" s="30">
        <f>IFERROR(__xludf.DUMMYFUNCTION("""COMPUTED_VALUE"""),1.237877373171491)</f>
        <v>1.237877373</v>
      </c>
      <c r="X265" s="30">
        <f>IFERROR(__xludf.DUMMYFUNCTION("""COMPUTED_VALUE"""),2.99853719265484)</f>
        <v>2.998537193</v>
      </c>
      <c r="Y265" s="30">
        <f>IFERROR(__xludf.DUMMYFUNCTION("""COMPUTED_VALUE"""),352.3459954352111)</f>
        <v>352.3459954</v>
      </c>
      <c r="Z265" s="30">
        <f>IFERROR(__xludf.DUMMYFUNCTION("""COMPUTED_VALUE"""),0.7173980703392467)</f>
        <v>0.7173980703</v>
      </c>
      <c r="AA265" s="30">
        <f>IFERROR(__xludf.DUMMYFUNCTION("""COMPUTED_VALUE"""),0.48906525573192233)</f>
        <v>0.4890652557</v>
      </c>
      <c r="AB265" s="30">
        <f>IFERROR(__xludf.DUMMYFUNCTION("""COMPUTED_VALUE"""),1.5810872497147008)</f>
        <v>1.58108725</v>
      </c>
      <c r="AC265" s="30">
        <f>IFERROR(__xludf.DUMMYFUNCTION("""COMPUTED_VALUE"""),2.4663761801016704)</f>
        <v>2.46637618</v>
      </c>
      <c r="AD265" s="30">
        <f>IFERROR(__xludf.DUMMYFUNCTION("""COMPUTED_VALUE"""),0.5129900789045184)</f>
        <v>0.5129900789</v>
      </c>
      <c r="AE265" s="30">
        <f>IFERROR(__xludf.DUMMYFUNCTION("""COMPUTED_VALUE"""),0.0)</f>
        <v>0</v>
      </c>
      <c r="AF265" s="30">
        <f>IFERROR(__xludf.DUMMYFUNCTION("""COMPUTED_VALUE"""),0.511179228272629)</f>
        <v>0.5111792283</v>
      </c>
      <c r="AG265" s="30">
        <f>IFERROR(__xludf.DUMMYFUNCTION("""COMPUTED_VALUE"""),0.474357123640921)</f>
        <v>0.4743571236</v>
      </c>
      <c r="AH265" s="30">
        <f>IFERROR(__xludf.DUMMYFUNCTION("""COMPUTED_VALUE"""),0.4054531535245274)</f>
        <v>0.4054531535</v>
      </c>
      <c r="AI265" s="30">
        <f>IFERROR(__xludf.DUMMYFUNCTION("""COMPUTED_VALUE"""),0.9339014404261289)</f>
        <v>0.9339014404</v>
      </c>
      <c r="AJ265" s="30">
        <f>IFERROR(__xludf.DUMMYFUNCTION("""COMPUTED_VALUE"""),0.912685562354064)</f>
        <v>0.9126855624</v>
      </c>
      <c r="AK265" s="30">
        <f>IFERROR(__xludf.DUMMYFUNCTION("""COMPUTED_VALUE"""),0.8881517570229087)</f>
        <v>0.888151757</v>
      </c>
      <c r="AL265" s="30">
        <f>IFERROR(__xludf.DUMMYFUNCTION("""COMPUTED_VALUE"""),0.6731953838030824)</f>
        <v>0.6731953838</v>
      </c>
      <c r="AM265" s="30">
        <f>IFERROR(__xludf.DUMMYFUNCTION("""COMPUTED_VALUE"""),1.0282791692183137)</f>
        <v>1.028279169</v>
      </c>
      <c r="AN265" s="30">
        <f>IFERROR(__xludf.DUMMYFUNCTION("""COMPUTED_VALUE"""),0.5234922804167847)</f>
        <v>0.5234922804</v>
      </c>
      <c r="AO265" s="30">
        <f>IFERROR(__xludf.DUMMYFUNCTION("""COMPUTED_VALUE"""),0.0)</f>
        <v>0</v>
      </c>
      <c r="AP265" s="30">
        <f>IFERROR(__xludf.DUMMYFUNCTION("""COMPUTED_VALUE"""),0.4636278305750496)</f>
        <v>0.4636278306</v>
      </c>
      <c r="AQ265" s="30">
        <f>IFERROR(__xludf.DUMMYFUNCTION("""COMPUTED_VALUE"""),0.555290822509801)</f>
        <v>0.5552908225</v>
      </c>
      <c r="AR265" s="30">
        <f>IFERROR(__xludf.DUMMYFUNCTION("""COMPUTED_VALUE"""),0.3905210052072469)</f>
        <v>0.3905210052</v>
      </c>
      <c r="AS265" s="30">
        <f>IFERROR(__xludf.DUMMYFUNCTION("""COMPUTED_VALUE"""),1.0)</f>
        <v>1</v>
      </c>
      <c r="AT265" s="30">
        <f>IFERROR(__xludf.DUMMYFUNCTION("""COMPUTED_VALUE"""),0.04401330543243437)</f>
        <v>0.04401330543</v>
      </c>
      <c r="AU265" s="30">
        <f>IFERROR(__xludf.DUMMYFUNCTION("""COMPUTED_VALUE"""),0.12144625195820702)</f>
        <v>0.121446252</v>
      </c>
      <c r="AV265" s="32">
        <f>IFERROR(__xludf.DUMMYFUNCTION("""COMPUTED_VALUE"""),-19.649256073670088)</f>
        <v>-19.64925607</v>
      </c>
      <c r="AW265" s="32">
        <f>IFERROR(__xludf.DUMMYFUNCTION("""COMPUTED_VALUE"""),-374.7580193792522)</f>
        <v>-374.7580194</v>
      </c>
      <c r="AX265" s="32">
        <f>IFERROR(__xludf.DUMMYFUNCTION("""COMPUTED_VALUE"""),-16.322547989252143)</f>
        <v>-16.32254799</v>
      </c>
      <c r="AY265" s="32">
        <f>IFERROR(__xludf.DUMMYFUNCTION("""COMPUTED_VALUE"""),-250.61696916903364)</f>
        <v>-250.6169692</v>
      </c>
      <c r="AZ265" s="30">
        <f>IFERROR(__xludf.DUMMYFUNCTION("""COMPUTED_VALUE"""),124.14105021021854)</f>
        <v>124.1410502</v>
      </c>
      <c r="BA265" s="30">
        <f>IFERROR(__xludf.DUMMYFUNCTION("""COMPUTED_VALUE"""),1200.0)</f>
        <v>1200</v>
      </c>
    </row>
    <row r="266">
      <c r="A266" s="71" t="str">
        <f>IFERROR(__xludf.DUMMYFUNCTION("""COMPUTED_VALUE"""),"Veteran")</f>
        <v>Veteran</v>
      </c>
      <c r="B266" s="71" t="str">
        <f>IFERROR(__xludf.DUMMYFUNCTION("""COMPUTED_VALUE"""),"RSC003027")</f>
        <v>RSC003027</v>
      </c>
      <c r="C266" s="30" t="str">
        <f>IFERROR(__xludf.DUMMYFUNCTION("""COMPUTED_VALUE"""),"Defiance")</f>
        <v>Defiance</v>
      </c>
      <c r="D266" s="30" t="str">
        <f>IFERROR(__xludf.DUMMYFUNCTION("""COMPUTED_VALUE"""),"Paradox Paloma")</f>
        <v>Paradox Paloma</v>
      </c>
      <c r="E266" s="30">
        <f>IFERROR(__xludf.DUMMYFUNCTION("""COMPUTED_VALUE"""),3.0)</f>
        <v>3</v>
      </c>
      <c r="F266" s="30">
        <f>IFERROR(__xludf.DUMMYFUNCTION("""COMPUTED_VALUE"""),0.0)</f>
        <v>0</v>
      </c>
      <c r="G266" s="42">
        <f>IFERROR(__xludf.DUMMYFUNCTION("""COMPUTED_VALUE"""),3.0)</f>
        <v>3</v>
      </c>
      <c r="H266" s="42">
        <f>IFERROR(__xludf.DUMMYFUNCTION("""COMPUTED_VALUE"""),0.0)</f>
        <v>0</v>
      </c>
      <c r="I266" s="42">
        <f>IFERROR(__xludf.DUMMYFUNCTION("""COMPUTED_VALUE"""),0.0)</f>
        <v>0</v>
      </c>
      <c r="J266" s="30">
        <f>IFERROR(__xludf.DUMMYFUNCTION("""COMPUTED_VALUE"""),282.3333333333333)</f>
        <v>282.3333333</v>
      </c>
      <c r="K266" s="30">
        <f>IFERROR(__xludf.DUMMYFUNCTION("""COMPUTED_VALUE"""),0.0)</f>
        <v>0</v>
      </c>
      <c r="L266" s="30">
        <f>IFERROR(__xludf.DUMMYFUNCTION("""COMPUTED_VALUE"""),0.3333333333333333)</f>
        <v>0.3333333333</v>
      </c>
      <c r="M266" s="30">
        <f>IFERROR(__xludf.DUMMYFUNCTION("""COMPUTED_VALUE"""),1.6666666666666667)</f>
        <v>1.666666667</v>
      </c>
      <c r="N266" s="30">
        <f>IFERROR(__xludf.DUMMYFUNCTION("""COMPUTED_VALUE"""),1.3333333333333333)</f>
        <v>1.333333333</v>
      </c>
      <c r="O266" s="30">
        <f>IFERROR(__xludf.DUMMYFUNCTION("""COMPUTED_VALUE"""),433.0)</f>
        <v>433</v>
      </c>
      <c r="P266" s="30">
        <f>IFERROR(__xludf.DUMMYFUNCTION("""COMPUTED_VALUE"""),0.9999999999999999)</f>
        <v>1</v>
      </c>
      <c r="Q266" s="30">
        <f>IFERROR(__xludf.DUMMYFUNCTION("""COMPUTED_VALUE"""),0.3333333333333333)</f>
        <v>0.3333333333</v>
      </c>
      <c r="R266" s="30">
        <f>IFERROR(__xludf.DUMMYFUNCTION("""COMPUTED_VALUE"""),1.888888888888889)</f>
        <v>1.888888889</v>
      </c>
      <c r="S266" s="30">
        <f>IFERROR(__xludf.DUMMYFUNCTION("""COMPUTED_VALUE"""),2.6666666666666665)</f>
        <v>2.666666667</v>
      </c>
      <c r="T266" s="30">
        <f>IFERROR(__xludf.DUMMYFUNCTION("""COMPUTED_VALUE"""),351.68666666666667)</f>
        <v>351.6866667</v>
      </c>
      <c r="U266" s="30">
        <f>IFERROR(__xludf.DUMMYFUNCTION("""COMPUTED_VALUE"""),0.7529166666666667)</f>
        <v>0.7529166667</v>
      </c>
      <c r="V266" s="30">
        <f>IFERROR(__xludf.DUMMYFUNCTION("""COMPUTED_VALUE"""),0.5779166666666667)</f>
        <v>0.5779166667</v>
      </c>
      <c r="W266" s="30">
        <f>IFERROR(__xludf.DUMMYFUNCTION("""COMPUTED_VALUE"""),1.3695833333333332)</f>
        <v>1.369583333</v>
      </c>
      <c r="X266" s="30">
        <f>IFERROR(__xludf.DUMMYFUNCTION("""COMPUTED_VALUE"""),2.5420833333333337)</f>
        <v>2.542083333</v>
      </c>
      <c r="Y266" s="30">
        <f>IFERROR(__xludf.DUMMYFUNCTION("""COMPUTED_VALUE"""),332.16569444444445)</f>
        <v>332.1656944</v>
      </c>
      <c r="Z266" s="30">
        <f>IFERROR(__xludf.DUMMYFUNCTION("""COMPUTED_VALUE"""),0.5481944444444444)</f>
        <v>0.5481944444</v>
      </c>
      <c r="AA266" s="30">
        <f>IFERROR(__xludf.DUMMYFUNCTION("""COMPUTED_VALUE"""),0.4358333333333333)</f>
        <v>0.4358333333</v>
      </c>
      <c r="AB266" s="30">
        <f>IFERROR(__xludf.DUMMYFUNCTION("""COMPUTED_VALUE"""),1.427361111111111)</f>
        <v>1.427361111</v>
      </c>
      <c r="AC266" s="30">
        <f>IFERROR(__xludf.DUMMYFUNCTION("""COMPUTED_VALUE"""),2.497777777777778)</f>
        <v>2.497777778</v>
      </c>
      <c r="AD266" s="30">
        <f>IFERROR(__xludf.DUMMYFUNCTION("""COMPUTED_VALUE"""),0.8499774000007525)</f>
        <v>0.8499774</v>
      </c>
      <c r="AE266" s="30">
        <f>IFERROR(__xludf.DUMMYFUNCTION("""COMPUTED_VALUE"""),0.0)</f>
        <v>0</v>
      </c>
      <c r="AF266" s="30">
        <f>IFERROR(__xludf.DUMMYFUNCTION("""COMPUTED_VALUE"""),0.7648183556405354)</f>
        <v>0.7648183556</v>
      </c>
      <c r="AG266" s="30">
        <f>IFERROR(__xludf.DUMMYFUNCTION("""COMPUTED_VALUE"""),1.1676559307190815)</f>
        <v>1.167655931</v>
      </c>
      <c r="AH266" s="30">
        <f>IFERROR(__xludf.DUMMYFUNCTION("""COMPUTED_VALUE"""),0.5338078291814946)</f>
        <v>0.5338078292</v>
      </c>
      <c r="AI266" s="30">
        <f>IFERROR(__xludf.DUMMYFUNCTION("""COMPUTED_VALUE"""),1.2312095994540595)</f>
        <v>1.231209599</v>
      </c>
      <c r="AJ266" s="30">
        <f>IFERROR(__xludf.DUMMYFUNCTION("""COMPUTED_VALUE"""),1.3281682346430546)</f>
        <v>1.328168235</v>
      </c>
      <c r="AK266" s="30">
        <f>IFERROR(__xludf.DUMMYFUNCTION("""COMPUTED_VALUE"""),0.5767844268204757)</f>
        <v>0.5767844268</v>
      </c>
      <c r="AL266" s="30">
        <f>IFERROR(__xludf.DUMMYFUNCTION("""COMPUTED_VALUE"""),1.3791704695264175)</f>
        <v>1.37917047</v>
      </c>
      <c r="AM266" s="30">
        <f>IFERROR(__xludf.DUMMYFUNCTION("""COMPUTED_VALUE"""),1.049008359285363)</f>
        <v>1.049008359</v>
      </c>
      <c r="AN266" s="30">
        <f>IFERROR(__xludf.DUMMYFUNCTION("""COMPUTED_VALUE"""),0.8177002517529123)</f>
        <v>0.8177002518</v>
      </c>
      <c r="AO266" s="30">
        <f>IFERROR(__xludf.DUMMYFUNCTION("""COMPUTED_VALUE"""),0.0)</f>
        <v>0</v>
      </c>
      <c r="AP266" s="30">
        <f>IFERROR(__xludf.DUMMYFUNCTION("""COMPUTED_VALUE"""),0.6181704407667327)</f>
        <v>0.6181704408</v>
      </c>
      <c r="AQ266" s="30">
        <f>IFERROR(__xludf.DUMMYFUNCTION("""COMPUTED_VALUE"""),1.2339796055773358)</f>
        <v>1.233979606</v>
      </c>
      <c r="AR266" s="30">
        <f>IFERROR(__xludf.DUMMYFUNCTION("""COMPUTED_VALUE"""),0.5206946736096625)</f>
        <v>0.5206946736</v>
      </c>
      <c r="AS266" s="30">
        <f>IFERROR(__xludf.DUMMYFUNCTION("""COMPUTED_VALUE"""),2.0)</f>
        <v>2</v>
      </c>
      <c r="AT266" s="30">
        <f>IFERROR(__xludf.DUMMYFUNCTION("""COMPUTED_VALUE"""),0.10121324194858082)</f>
        <v>0.1012132419</v>
      </c>
      <c r="AU266" s="30">
        <f>IFERROR(__xludf.DUMMYFUNCTION("""COMPUTED_VALUE"""),0.5469146662598892)</f>
        <v>0.5469146663</v>
      </c>
      <c r="AV266" s="32">
        <f>IFERROR(__xludf.DUMMYFUNCTION("""COMPUTED_VALUE"""),-6.469907277001376)</f>
        <v>-6.469907277</v>
      </c>
      <c r="AW266" s="32">
        <f>IFERROR(__xludf.DUMMYFUNCTION("""COMPUTED_VALUE"""),-83.69580818206529)</f>
        <v>-83.69580818</v>
      </c>
      <c r="AX266" s="32">
        <f>IFERROR(__xludf.DUMMYFUNCTION("""COMPUTED_VALUE"""),6.362930687640009)</f>
        <v>6.362930688</v>
      </c>
      <c r="AY266" s="32">
        <f>IFERROR(__xludf.DUMMYFUNCTION("""COMPUTED_VALUE"""),-24.721613416219235)</f>
        <v>-24.72161342</v>
      </c>
      <c r="AZ266" s="30">
        <f>IFERROR(__xludf.DUMMYFUNCTION("""COMPUTED_VALUE"""),58.97419476584606)</f>
        <v>58.97419477</v>
      </c>
      <c r="BA266" s="30">
        <f>IFERROR(__xludf.DUMMYFUNCTION("""COMPUTED_VALUE"""),1200.0)</f>
        <v>1200</v>
      </c>
    </row>
    <row r="267">
      <c r="A267" s="71" t="str">
        <f>IFERROR(__xludf.DUMMYFUNCTION("""COMPUTED_VALUE"""),"Veteran")</f>
        <v>Veteran</v>
      </c>
      <c r="B267" s="71" t="str">
        <f>IFERROR(__xludf.DUMMYFUNCTION("""COMPUTED_VALUE"""),"RSC004188")</f>
        <v>RSC004188</v>
      </c>
      <c r="C267" s="30" t="str">
        <f>IFERROR(__xludf.DUMMYFUNCTION("""COMPUTED_VALUE"""),"wntr")</f>
        <v>wntr</v>
      </c>
      <c r="D267" s="30" t="str">
        <f>IFERROR(__xludf.DUMMYFUNCTION("""COMPUTED_VALUE"""),"Azalea")</f>
        <v>Azalea</v>
      </c>
      <c r="E267" s="30">
        <f>IFERROR(__xludf.DUMMYFUNCTION("""COMPUTED_VALUE"""),9.0)</f>
        <v>9</v>
      </c>
      <c r="F267" s="30">
        <f>IFERROR(__xludf.DUMMYFUNCTION("""COMPUTED_VALUE"""),3.0)</f>
        <v>3</v>
      </c>
      <c r="G267" s="42">
        <f>IFERROR(__xludf.DUMMYFUNCTION("""COMPUTED_VALUE"""),6.0)</f>
        <v>6</v>
      </c>
      <c r="H267" s="42">
        <f>IFERROR(__xludf.DUMMYFUNCTION("""COMPUTED_VALUE"""),0.3333333333333333)</f>
        <v>0.3333333333</v>
      </c>
      <c r="I267" s="42">
        <f>IFERROR(__xludf.DUMMYFUNCTION("""COMPUTED_VALUE"""),0.14285714285714285)</f>
        <v>0.1428571429</v>
      </c>
      <c r="J267" s="30">
        <f>IFERROR(__xludf.DUMMYFUNCTION("""COMPUTED_VALUE"""),238.55555555555554)</f>
        <v>238.5555556</v>
      </c>
      <c r="K267" s="30">
        <f>IFERROR(__xludf.DUMMYFUNCTION("""COMPUTED_VALUE"""),0.1111111111111111)</f>
        <v>0.1111111111</v>
      </c>
      <c r="L267" s="30">
        <f>IFERROR(__xludf.DUMMYFUNCTION("""COMPUTED_VALUE"""),0.5555555555555556)</f>
        <v>0.5555555556</v>
      </c>
      <c r="M267" s="30">
        <f>IFERROR(__xludf.DUMMYFUNCTION("""COMPUTED_VALUE"""),1.2222222222222223)</f>
        <v>1.222222222</v>
      </c>
      <c r="N267" s="30">
        <f>IFERROR(__xludf.DUMMYFUNCTION("""COMPUTED_VALUE"""),0.7777777777777778)</f>
        <v>0.7777777778</v>
      </c>
      <c r="O267" s="30">
        <f>IFERROR(__xludf.DUMMYFUNCTION("""COMPUTED_VALUE"""),350.55555555555554)</f>
        <v>350.5555556</v>
      </c>
      <c r="P267" s="30">
        <f>IFERROR(__xludf.DUMMYFUNCTION("""COMPUTED_VALUE"""),0.9629629629629631)</f>
        <v>0.962962963</v>
      </c>
      <c r="Q267" s="30">
        <f>IFERROR(__xludf.DUMMYFUNCTION("""COMPUTED_VALUE"""),0.5185185185185185)</f>
        <v>0.5185185185</v>
      </c>
      <c r="R267" s="30">
        <f>IFERROR(__xludf.DUMMYFUNCTION("""COMPUTED_VALUE"""),0.9629629629629629)</f>
        <v>0.962962963</v>
      </c>
      <c r="S267" s="30">
        <f>IFERROR(__xludf.DUMMYFUNCTION("""COMPUTED_VALUE"""),2.6666666666666665)</f>
        <v>2.666666667</v>
      </c>
      <c r="T267" s="30">
        <f>IFERROR(__xludf.DUMMYFUNCTION("""COMPUTED_VALUE"""),343.24963645271714)</f>
        <v>343.2496365</v>
      </c>
      <c r="U267" s="30">
        <f>IFERROR(__xludf.DUMMYFUNCTION("""COMPUTED_VALUE"""),0.7673773250793768)</f>
        <v>0.7673773251</v>
      </c>
      <c r="V267" s="30">
        <f>IFERROR(__xludf.DUMMYFUNCTION("""COMPUTED_VALUE"""),0.544703882626588)</f>
        <v>0.5447038826</v>
      </c>
      <c r="W267" s="30">
        <f>IFERROR(__xludf.DUMMYFUNCTION("""COMPUTED_VALUE"""),1.3392838376520146)</f>
        <v>1.339283838</v>
      </c>
      <c r="X267" s="30">
        <f>IFERROR(__xludf.DUMMYFUNCTION("""COMPUTED_VALUE"""),2.46072709346385)</f>
        <v>2.460727093</v>
      </c>
      <c r="Y267" s="30">
        <f>IFERROR(__xludf.DUMMYFUNCTION("""COMPUTED_VALUE"""),358.6460656380608)</f>
        <v>358.6460656</v>
      </c>
      <c r="Z267" s="30">
        <f>IFERROR(__xludf.DUMMYFUNCTION("""COMPUTED_VALUE"""),0.8782715564616281)</f>
        <v>0.8782715565</v>
      </c>
      <c r="AA267" s="30">
        <f>IFERROR(__xludf.DUMMYFUNCTION("""COMPUTED_VALUE"""),0.6150312642522556)</f>
        <v>0.6150312643</v>
      </c>
      <c r="AB267" s="30">
        <f>IFERROR(__xludf.DUMMYFUNCTION("""COMPUTED_VALUE"""),1.2734299210868796)</f>
        <v>1.273429921</v>
      </c>
      <c r="AC267" s="30">
        <f>IFERROR(__xludf.DUMMYFUNCTION("""COMPUTED_VALUE"""),2.626183380972653)</f>
        <v>2.626183381</v>
      </c>
      <c r="AD267" s="30">
        <f>IFERROR(__xludf.DUMMYFUNCTION("""COMPUTED_VALUE"""),0.6651559250514727)</f>
        <v>0.6651559251</v>
      </c>
      <c r="AE267" s="30">
        <f>IFERROR(__xludf.DUMMYFUNCTION("""COMPUTED_VALUE"""),0.12651111184649366)</f>
        <v>0.1265111118</v>
      </c>
      <c r="AF267" s="30">
        <f>IFERROR(__xludf.DUMMYFUNCTION("""COMPUTED_VALUE"""),0.9032964466139627)</f>
        <v>0.9032964466</v>
      </c>
      <c r="AG267" s="30">
        <f>IFERROR(__xludf.DUMMYFUNCTION("""COMPUTED_VALUE"""),0.9597875799706739)</f>
        <v>0.95978758</v>
      </c>
      <c r="AH267" s="30">
        <f>IFERROR(__xludf.DUMMYFUNCTION("""COMPUTED_VALUE"""),0.2961627826194354)</f>
        <v>0.2961627826</v>
      </c>
      <c r="AI267" s="30">
        <f>IFERROR(__xludf.DUMMYFUNCTION("""COMPUTED_VALUE"""),1.0212845647218765)</f>
        <v>1.021284565</v>
      </c>
      <c r="AJ267" s="30">
        <f>IFERROR(__xludf.DUMMYFUNCTION("""COMPUTED_VALUE"""),1.2548754458744986)</f>
        <v>1.254875446</v>
      </c>
      <c r="AK267" s="30">
        <f>IFERROR(__xludf.DUMMYFUNCTION("""COMPUTED_VALUE"""),0.9519273408116674)</f>
        <v>0.9519273408</v>
      </c>
      <c r="AL267" s="30">
        <f>IFERROR(__xludf.DUMMYFUNCTION("""COMPUTED_VALUE"""),0.7190133531747801)</f>
        <v>0.7190133532</v>
      </c>
      <c r="AM267" s="30">
        <f>IFERROR(__xludf.DUMMYFUNCTION("""COMPUTED_VALUE"""),1.0836905375447081)</f>
        <v>1.083690538</v>
      </c>
      <c r="AN267" s="30">
        <f>IFERROR(__xludf.DUMMYFUNCTION("""COMPUTED_VALUE"""),0.6909100513630471)</f>
        <v>0.6909100514</v>
      </c>
      <c r="AO267" s="30">
        <f>IFERROR(__xludf.DUMMYFUNCTION("""COMPUTED_VALUE"""),0.14729447285074906)</f>
        <v>0.1472944729</v>
      </c>
      <c r="AP267" s="30">
        <f>IFERROR(__xludf.DUMMYFUNCTION("""COMPUTED_VALUE"""),1.0302840679445546)</f>
        <v>1.030284068</v>
      </c>
      <c r="AQ267" s="30">
        <f>IFERROR(__xludf.DUMMYFUNCTION("""COMPUTED_VALUE"""),0.9049183774233795)</f>
        <v>0.9049183774</v>
      </c>
      <c r="AR267" s="30">
        <f>IFERROR(__xludf.DUMMYFUNCTION("""COMPUTED_VALUE"""),0.3037385596056365)</f>
        <v>0.3037385596</v>
      </c>
      <c r="AS267" s="30">
        <f>IFERROR(__xludf.DUMMYFUNCTION("""COMPUTED_VALUE"""),16.0)</f>
        <v>16</v>
      </c>
      <c r="AT267" s="30">
        <f>IFERROR(__xludf.DUMMYFUNCTION("""COMPUTED_VALUE"""),0.3196366571660155)</f>
        <v>0.3196366572</v>
      </c>
      <c r="AU267" s="30">
        <f>IFERROR(__xludf.DUMMYFUNCTION("""COMPUTED_VALUE"""),0.626509626097013)</f>
        <v>0.6265096261</v>
      </c>
      <c r="AV267" s="32">
        <f>IFERROR(__xludf.DUMMYFUNCTION("""COMPUTED_VALUE"""),-4.004366468591378)</f>
        <v>-4.004366469</v>
      </c>
      <c r="AW267" s="32">
        <f>IFERROR(__xludf.DUMMYFUNCTION("""COMPUTED_VALUE"""),-65.02130020215253)</f>
        <v>-65.0213002</v>
      </c>
      <c r="AX267" s="32">
        <f>IFERROR(__xludf.DUMMYFUNCTION("""COMPUTED_VALUE"""),6.362832855768467)</f>
        <v>6.362832856</v>
      </c>
      <c r="AY267" s="32">
        <f>IFERROR(__xludf.DUMMYFUNCTION("""COMPUTED_VALUE"""),-24.721821396191935)</f>
        <v>-24.7218214</v>
      </c>
      <c r="AZ267" s="30">
        <f>IFERROR(__xludf.DUMMYFUNCTION("""COMPUTED_VALUE"""),40.2994788059606)</f>
        <v>40.29947881</v>
      </c>
      <c r="BA267" s="30">
        <f>IFERROR(__xludf.DUMMYFUNCTION("""COMPUTED_VALUE"""),1200.0)</f>
        <v>1200</v>
      </c>
    </row>
    <row r="268">
      <c r="A268" s="71" t="str">
        <f>IFERROR(__xludf.DUMMYFUNCTION("""COMPUTED_VALUE"""),"Veteran")</f>
        <v>Veteran</v>
      </c>
      <c r="B268" s="71" t="str">
        <f>IFERROR(__xludf.DUMMYFUNCTION("""COMPUTED_VALUE"""),"RSC006174")</f>
        <v>RSC006174</v>
      </c>
      <c r="C268" s="30" t="str">
        <f>IFERROR(__xludf.DUMMYFUNCTION("""COMPUTED_VALUE"""),"I like bananas")</f>
        <v>I like bananas</v>
      </c>
      <c r="D268" s="30"/>
      <c r="E268" s="30">
        <f>IFERROR(__xludf.DUMMYFUNCTION("""COMPUTED_VALUE"""),5.0)</f>
        <v>5</v>
      </c>
      <c r="F268" s="30">
        <f>IFERROR(__xludf.DUMMYFUNCTION("""COMPUTED_VALUE"""),1.0)</f>
        <v>1</v>
      </c>
      <c r="G268" s="42">
        <f>IFERROR(__xludf.DUMMYFUNCTION("""COMPUTED_VALUE"""),4.0)</f>
        <v>4</v>
      </c>
      <c r="H268" s="42">
        <f>IFERROR(__xludf.DUMMYFUNCTION("""COMPUTED_VALUE"""),0.2)</f>
        <v>0.2</v>
      </c>
      <c r="I268" s="42">
        <f>IFERROR(__xludf.DUMMYFUNCTION("""COMPUTED_VALUE"""),0.125)</f>
        <v>0.125</v>
      </c>
      <c r="J268" s="30">
        <f>IFERROR(__xludf.DUMMYFUNCTION("""COMPUTED_VALUE"""),405.6)</f>
        <v>405.6</v>
      </c>
      <c r="K268" s="30">
        <f>IFERROR(__xludf.DUMMYFUNCTION("""COMPUTED_VALUE"""),0.2)</f>
        <v>0.2</v>
      </c>
      <c r="L268" s="30">
        <f>IFERROR(__xludf.DUMMYFUNCTION("""COMPUTED_VALUE"""),0.2)</f>
        <v>0.2</v>
      </c>
      <c r="M268" s="30">
        <f>IFERROR(__xludf.DUMMYFUNCTION("""COMPUTED_VALUE"""),3.6)</f>
        <v>3.6</v>
      </c>
      <c r="N268" s="30">
        <f>IFERROR(__xludf.DUMMYFUNCTION("""COMPUTED_VALUE"""),1.6)</f>
        <v>1.6</v>
      </c>
      <c r="O268" s="30">
        <f>IFERROR(__xludf.DUMMYFUNCTION("""COMPUTED_VALUE"""),431.5333333333333)</f>
        <v>431.5333333</v>
      </c>
      <c r="P268" s="30">
        <f>IFERROR(__xludf.DUMMYFUNCTION("""COMPUTED_VALUE"""),1.2)</f>
        <v>1.2</v>
      </c>
      <c r="Q268" s="30">
        <f>IFERROR(__xludf.DUMMYFUNCTION("""COMPUTED_VALUE"""),0.7333333333333332)</f>
        <v>0.7333333333</v>
      </c>
      <c r="R268" s="30">
        <f>IFERROR(__xludf.DUMMYFUNCTION("""COMPUTED_VALUE"""),1.0666666666666667)</f>
        <v>1.066666667</v>
      </c>
      <c r="S268" s="30">
        <f>IFERROR(__xludf.DUMMYFUNCTION("""COMPUTED_VALUE"""),4.466666666666667)</f>
        <v>4.466666667</v>
      </c>
      <c r="T268" s="30">
        <f>IFERROR(__xludf.DUMMYFUNCTION("""COMPUTED_VALUE"""),374.64695611577963)</f>
        <v>374.6469561</v>
      </c>
      <c r="U268" s="30">
        <f>IFERROR(__xludf.DUMMYFUNCTION("""COMPUTED_VALUE"""),0.8889604730781201)</f>
        <v>0.8889604731</v>
      </c>
      <c r="V268" s="30">
        <f>IFERROR(__xludf.DUMMYFUNCTION("""COMPUTED_VALUE"""),0.6564737005913476)</f>
        <v>0.6564737006</v>
      </c>
      <c r="W268" s="30">
        <f>IFERROR(__xludf.DUMMYFUNCTION("""COMPUTED_VALUE"""),1.3237659508247746)</f>
        <v>1.323765951</v>
      </c>
      <c r="X268" s="30">
        <f>IFERROR(__xludf.DUMMYFUNCTION("""COMPUTED_VALUE"""),2.9219296607531904)</f>
        <v>2.921929661</v>
      </c>
      <c r="Y268" s="30">
        <f>IFERROR(__xludf.DUMMYFUNCTION("""COMPUTED_VALUE"""),350.80464882249197)</f>
        <v>350.8046488</v>
      </c>
      <c r="Z268" s="30">
        <f>IFERROR(__xludf.DUMMYFUNCTION("""COMPUTED_VALUE"""),0.7159663865546217)</f>
        <v>0.7159663866</v>
      </c>
      <c r="AA268" s="30">
        <f>IFERROR(__xludf.DUMMYFUNCTION("""COMPUTED_VALUE"""),0.47135802469135796)</f>
        <v>0.4713580247</v>
      </c>
      <c r="AB268" s="30">
        <f>IFERROR(__xludf.DUMMYFUNCTION("""COMPUTED_VALUE"""),1.5262703599958503)</f>
        <v>1.52627036</v>
      </c>
      <c r="AC268" s="30">
        <f>IFERROR(__xludf.DUMMYFUNCTION("""COMPUTED_VALUE"""),2.464703807448906)</f>
        <v>2.464703807</v>
      </c>
      <c r="AD268" s="30">
        <f>IFERROR(__xludf.DUMMYFUNCTION("""COMPUTED_VALUE"""),1.1561990451421715)</f>
        <v>1.156199045</v>
      </c>
      <c r="AE268" s="30">
        <f>IFERROR(__xludf.DUMMYFUNCTION("""COMPUTED_VALUE"""),0.27934272300469487)</f>
        <v>0.279342723</v>
      </c>
      <c r="AF268" s="30">
        <f>IFERROR(__xludf.DUMMYFUNCTION("""COMPUTED_VALUE"""),0.42430591932949197)</f>
        <v>0.4243059193</v>
      </c>
      <c r="AG268" s="30">
        <f>IFERROR(__xludf.DUMMYFUNCTION("""COMPUTED_VALUE"""),2.358690894062693)</f>
        <v>2.358690894</v>
      </c>
      <c r="AH268" s="30">
        <f>IFERROR(__xludf.DUMMYFUNCTION("""COMPUTED_VALUE"""),0.6491652243017718)</f>
        <v>0.6491652243</v>
      </c>
      <c r="AI268" s="30">
        <f>IFERROR(__xludf.DUMMYFUNCTION("""COMPUTED_VALUE"""),1.1518399556941115)</f>
        <v>1.151839956</v>
      </c>
      <c r="AJ268" s="30">
        <f>IFERROR(__xludf.DUMMYFUNCTION("""COMPUTED_VALUE"""),1.3498912902672404)</f>
        <v>1.34989129</v>
      </c>
      <c r="AK268" s="30">
        <f>IFERROR(__xludf.DUMMYFUNCTION("""COMPUTED_VALUE"""),1.1170795306388526)</f>
        <v>1.117079531</v>
      </c>
      <c r="AL268" s="30">
        <f>IFERROR(__xludf.DUMMYFUNCTION("""COMPUTED_VALUE"""),0.8057819178700572)</f>
        <v>0.8057819179</v>
      </c>
      <c r="AM268" s="30">
        <f>IFERROR(__xludf.DUMMYFUNCTION("""COMPUTED_VALUE"""),1.528670154748108)</f>
        <v>1.528670155</v>
      </c>
      <c r="AN268" s="30">
        <f>IFERROR(__xludf.DUMMYFUNCTION("""COMPUTED_VALUE"""),1.1747079885867104)</f>
        <v>1.174707989</v>
      </c>
      <c r="AO268" s="30">
        <f>IFERROR(__xludf.DUMMYFUNCTION("""COMPUTED_VALUE"""),0.26513005113134835)</f>
        <v>0.2651300511</v>
      </c>
      <c r="AP268" s="30">
        <f>IFERROR(__xludf.DUMMYFUNCTION("""COMPUTED_VALUE"""),0.37090226446003965)</f>
        <v>0.3709022645</v>
      </c>
      <c r="AQ268" s="30">
        <f>IFERROR(__xludf.DUMMYFUNCTION("""COMPUTED_VALUE"""),2.665395948047045)</f>
        <v>2.665395948</v>
      </c>
      <c r="AR268" s="30">
        <f>IFERROR(__xludf.DUMMYFUNCTION("""COMPUTED_VALUE"""),0.6248336083315951)</f>
        <v>0.6248336083</v>
      </c>
      <c r="AS268" s="30">
        <f>IFERROR(__xludf.DUMMYFUNCTION("""COMPUTED_VALUE"""),6.0)</f>
        <v>6</v>
      </c>
      <c r="AT268" s="30">
        <f>IFERROR(__xludf.DUMMYFUNCTION("""COMPUTED_VALUE"""),0.15144669311670023)</f>
        <v>0.1514466931</v>
      </c>
      <c r="AU268" s="30">
        <f>IFERROR(__xludf.DUMMYFUNCTION("""COMPUTED_VALUE"""),0.7281967243236597)</f>
        <v>0.7281967243</v>
      </c>
      <c r="AV268" s="32">
        <f>IFERROR(__xludf.DUMMYFUNCTION("""COMPUTED_VALUE"""),-0.8544975462421078)</f>
        <v>-0.8544975462</v>
      </c>
      <c r="AW268" s="32">
        <f>IFERROR(__xludf.DUMMYFUNCTION("""COMPUTED_VALUE"""),-47.69460930937334)</f>
        <v>-47.69460931</v>
      </c>
      <c r="AX268" s="32">
        <f>IFERROR(__xludf.DUMMYFUNCTION("""COMPUTED_VALUE"""),19.18340175385603)</f>
        <v>19.18340175</v>
      </c>
      <c r="AY268" s="32">
        <f>IFERROR(__xludf.DUMMYFUNCTION("""COMPUTED_VALUE"""),-9.186904959451653)</f>
        <v>-9.186904959</v>
      </c>
      <c r="AZ268" s="30">
        <f>IFERROR(__xludf.DUMMYFUNCTION("""COMPUTED_VALUE"""),38.50770434992169)</f>
        <v>38.50770435</v>
      </c>
      <c r="BA268" s="30">
        <f>IFERROR(__xludf.DUMMYFUNCTION("""COMPUTED_VALUE"""),1200.0)</f>
        <v>1200</v>
      </c>
    </row>
    <row r="269">
      <c r="A269" s="71" t="str">
        <f>IFERROR(__xludf.DUMMYFUNCTION("""COMPUTED_VALUE"""),"Veteran")</f>
        <v>Veteran</v>
      </c>
      <c r="B269" s="71" t="str">
        <f>IFERROR(__xludf.DUMMYFUNCTION("""COMPUTED_VALUE"""),"RSC004313")</f>
        <v>RSC004313</v>
      </c>
      <c r="C269" s="30" t="str">
        <f>IFERROR(__xludf.DUMMYFUNCTION("""COMPUTED_VALUE"""),"Causing .")</f>
        <v>Causing .</v>
      </c>
      <c r="D269" s="30" t="str">
        <f>IFERROR(__xludf.DUMMYFUNCTION("""COMPUTED_VALUE"""),"Dog Fighters")</f>
        <v>Dog Fighters</v>
      </c>
      <c r="E269" s="30">
        <f>IFERROR(__xludf.DUMMYFUNCTION("""COMPUTED_VALUE"""),8.0)</f>
        <v>8</v>
      </c>
      <c r="F269" s="30">
        <f>IFERROR(__xludf.DUMMYFUNCTION("""COMPUTED_VALUE"""),4.0)</f>
        <v>4</v>
      </c>
      <c r="G269" s="42">
        <f>IFERROR(__xludf.DUMMYFUNCTION("""COMPUTED_VALUE"""),4.0)</f>
        <v>4</v>
      </c>
      <c r="H269" s="42">
        <f>IFERROR(__xludf.DUMMYFUNCTION("""COMPUTED_VALUE"""),0.5)</f>
        <v>0.5</v>
      </c>
      <c r="I269" s="42">
        <f>IFERROR(__xludf.DUMMYFUNCTION("""COMPUTED_VALUE"""),0.45161290322580644)</f>
        <v>0.4516129032</v>
      </c>
      <c r="J269" s="30">
        <f>IFERROR(__xludf.DUMMYFUNCTION("""COMPUTED_VALUE"""),491.375)</f>
        <v>491.375</v>
      </c>
      <c r="K269" s="30">
        <f>IFERROR(__xludf.DUMMYFUNCTION("""COMPUTED_VALUE"""),1.75)</f>
        <v>1.75</v>
      </c>
      <c r="L269" s="30">
        <f>IFERROR(__xludf.DUMMYFUNCTION("""COMPUTED_VALUE"""),0.25)</f>
        <v>0.25</v>
      </c>
      <c r="M269" s="30">
        <f>IFERROR(__xludf.DUMMYFUNCTION("""COMPUTED_VALUE"""),1.75)</f>
        <v>1.75</v>
      </c>
      <c r="N269" s="30">
        <f>IFERROR(__xludf.DUMMYFUNCTION("""COMPUTED_VALUE"""),3.875)</f>
        <v>3.875</v>
      </c>
      <c r="O269" s="30">
        <f>IFERROR(__xludf.DUMMYFUNCTION("""COMPUTED_VALUE"""),346.99999999999994)</f>
        <v>347</v>
      </c>
      <c r="P269" s="30">
        <f>IFERROR(__xludf.DUMMYFUNCTION("""COMPUTED_VALUE"""),0.6666666666666667)</f>
        <v>0.6666666667</v>
      </c>
      <c r="Q269" s="30">
        <f>IFERROR(__xludf.DUMMYFUNCTION("""COMPUTED_VALUE"""),0.5833333333333334)</f>
        <v>0.5833333333</v>
      </c>
      <c r="R269" s="30">
        <f>IFERROR(__xludf.DUMMYFUNCTION("""COMPUTED_VALUE"""),1.4583333333333335)</f>
        <v>1.458333333</v>
      </c>
      <c r="S269" s="30">
        <f>IFERROR(__xludf.DUMMYFUNCTION("""COMPUTED_VALUE"""),2.833333333333333)</f>
        <v>2.833333333</v>
      </c>
      <c r="T269" s="30">
        <f>IFERROR(__xludf.DUMMYFUNCTION("""COMPUTED_VALUE"""),350.3542008757526)</f>
        <v>350.3542009</v>
      </c>
      <c r="U269" s="30">
        <f>IFERROR(__xludf.DUMMYFUNCTION("""COMPUTED_VALUE"""),0.6596538040503558)</f>
        <v>0.6596538041</v>
      </c>
      <c r="V269" s="30">
        <f>IFERROR(__xludf.DUMMYFUNCTION("""COMPUTED_VALUE"""),0.6185772441160372)</f>
        <v>0.6185772441</v>
      </c>
      <c r="W269" s="30">
        <f>IFERROR(__xludf.DUMMYFUNCTION("""COMPUTED_VALUE"""),1.4575037629994525)</f>
        <v>1.457503763</v>
      </c>
      <c r="X269" s="30">
        <f>IFERROR(__xludf.DUMMYFUNCTION("""COMPUTED_VALUE"""),2.522492474001094)</f>
        <v>2.522492474</v>
      </c>
      <c r="Y269" s="30">
        <f>IFERROR(__xludf.DUMMYFUNCTION("""COMPUTED_VALUE"""),363.8947044334975)</f>
        <v>363.8947044</v>
      </c>
      <c r="Z269" s="30">
        <f>IFERROR(__xludf.DUMMYFUNCTION("""COMPUTED_VALUE"""),0.8325208675424193)</f>
        <v>0.8325208675</v>
      </c>
      <c r="AA269" s="30">
        <f>IFERROR(__xludf.DUMMYFUNCTION("""COMPUTED_VALUE"""),0.6376402572523262)</f>
        <v>0.6376402573</v>
      </c>
      <c r="AB269" s="30">
        <f>IFERROR(__xludf.DUMMYFUNCTION("""COMPUTED_VALUE"""),1.3639105546433135)</f>
        <v>1.363910555</v>
      </c>
      <c r="AC269" s="30">
        <f>IFERROR(__xludf.DUMMYFUNCTION("""COMPUTED_VALUE"""),2.83932562488597)</f>
        <v>2.839325625</v>
      </c>
      <c r="AD269" s="30">
        <f>IFERROR(__xludf.DUMMYFUNCTION("""COMPUTED_VALUE"""),1.3503219310788288)</f>
        <v>1.350321931</v>
      </c>
      <c r="AE269" s="30">
        <f>IFERROR(__xludf.DUMMYFUNCTION("""COMPUTED_VALUE"""),2.1020494118855617)</f>
        <v>2.102049412</v>
      </c>
      <c r="AF269" s="30">
        <f>IFERROR(__xludf.DUMMYFUNCTION("""COMPUTED_VALUE"""),0.3920706027522198)</f>
        <v>0.3920706028</v>
      </c>
      <c r="AG269" s="30">
        <f>IFERROR(__xludf.DUMMYFUNCTION("""COMPUTED_VALUE"""),1.283075341005522)</f>
        <v>1.283075341</v>
      </c>
      <c r="AH269" s="30">
        <f>IFERROR(__xludf.DUMMYFUNCTION("""COMPUTED_VALUE"""),1.3647606903683769)</f>
        <v>1.36476069</v>
      </c>
      <c r="AI269" s="30">
        <f>IFERROR(__xludf.DUMMYFUNCTION("""COMPUTED_VALUE"""),0.9904262575777073)</f>
        <v>0.9904262576</v>
      </c>
      <c r="AJ269" s="30">
        <f>IFERROR(__xludf.DUMMYFUNCTION("""COMPUTED_VALUE"""),1.0106311258621585)</f>
        <v>1.010631126</v>
      </c>
      <c r="AK269" s="30">
        <f>IFERROR(__xludf.DUMMYFUNCTION("""COMPUTED_VALUE"""),0.9430242364749962)</f>
        <v>0.9430242365</v>
      </c>
      <c r="AL269" s="30">
        <f>IFERROR(__xludf.DUMMYFUNCTION("""COMPUTED_VALUE"""),1.000569172001432)</f>
        <v>1.000569172</v>
      </c>
      <c r="AM269" s="30">
        <f>IFERROR(__xludf.DUMMYFUNCTION("""COMPUTED_VALUE"""),1.123227665706052)</f>
        <v>1.123227666</v>
      </c>
      <c r="AN269" s="30">
        <f>IFERROR(__xludf.DUMMYFUNCTION("""COMPUTED_VALUE"""),1.423131503677995)</f>
        <v>1.423131504</v>
      </c>
      <c r="AO269" s="30">
        <f>IFERROR(__xludf.DUMMYFUNCTION("""COMPUTED_VALUE"""),2.319887947399298)</f>
        <v>2.319887947</v>
      </c>
      <c r="AP269" s="30">
        <f>IFERROR(__xludf.DUMMYFUNCTION("""COMPUTED_VALUE"""),0.4636278305750496)</f>
        <v>0.4636278306</v>
      </c>
      <c r="AQ269" s="30">
        <f>IFERROR(__xludf.DUMMYFUNCTION("""COMPUTED_VALUE"""),1.2956785858562023)</f>
        <v>1.295678586</v>
      </c>
      <c r="AR269" s="30">
        <f>IFERROR(__xludf.DUMMYFUNCTION("""COMPUTED_VALUE"""),1.5132688951780817)</f>
        <v>1.513268895</v>
      </c>
      <c r="AS269" s="30">
        <f>IFERROR(__xludf.DUMMYFUNCTION("""COMPUTED_VALUE"""),22.0)</f>
        <v>22</v>
      </c>
      <c r="AT269" s="30">
        <f>IFERROR(__xludf.DUMMYFUNCTION("""COMPUTED_VALUE"""),0.621996775490901)</f>
        <v>0.6219967755</v>
      </c>
      <c r="AU269" s="30">
        <f>IFERROR(__xludf.DUMMYFUNCTION("""COMPUTED_VALUE"""),3.9502699641570156)</f>
        <v>3.950269964</v>
      </c>
      <c r="AV269" s="32">
        <f>IFERROR(__xludf.DUMMYFUNCTION("""COMPUTED_VALUE"""),98.95273995662478)</f>
        <v>98.95273996</v>
      </c>
      <c r="AW269" s="32">
        <f>IFERROR(__xludf.DUMMYFUNCTION("""COMPUTED_VALUE"""),39.82702824277121)</f>
        <v>39.82702824</v>
      </c>
      <c r="AX269" s="32">
        <f>IFERROR(__xludf.DUMMYFUNCTION("""COMPUTED_VALUE"""),79.2399945432154)</f>
        <v>79.23999454</v>
      </c>
      <c r="AY269" s="32">
        <f>IFERROR(__xludf.DUMMYFUNCTION("""COMPUTED_VALUE"""),8.258931877486752)</f>
        <v>8.258931877</v>
      </c>
      <c r="AZ269" s="30">
        <f>IFERROR(__xludf.DUMMYFUNCTION("""COMPUTED_VALUE"""),31.56809636528446)</f>
        <v>31.56809637</v>
      </c>
      <c r="BA269" s="30">
        <f>IFERROR(__xludf.DUMMYFUNCTION("""COMPUTED_VALUE"""),1200.0)</f>
        <v>1200</v>
      </c>
    </row>
    <row r="270">
      <c r="A270" s="71" t="str">
        <f>IFERROR(__xludf.DUMMYFUNCTION("""COMPUTED_VALUE"""),"Veteran")</f>
        <v>Veteran</v>
      </c>
      <c r="B270" s="71" t="str">
        <f>IFERROR(__xludf.DUMMYFUNCTION("""COMPUTED_VALUE"""),"RSC006319")</f>
        <v>RSC006319</v>
      </c>
      <c r="C270" s="30" t="str">
        <f>IFERROR(__xludf.DUMMYFUNCTION("""COMPUTED_VALUE"""),"red crayon chewer 14")</f>
        <v>red crayon chewer 14</v>
      </c>
      <c r="D270" s="30" t="str">
        <f>IFERROR(__xludf.DUMMYFUNCTION("""COMPUTED_VALUE"""),"Mosaic Maestros")</f>
        <v>Mosaic Maestros</v>
      </c>
      <c r="E270" s="30">
        <f>IFERROR(__xludf.DUMMYFUNCTION("""COMPUTED_VALUE"""),2.0)</f>
        <v>2</v>
      </c>
      <c r="F270" s="30">
        <f>IFERROR(__xludf.DUMMYFUNCTION("""COMPUTED_VALUE"""),1.0)</f>
        <v>1</v>
      </c>
      <c r="G270" s="42">
        <f>IFERROR(__xludf.DUMMYFUNCTION("""COMPUTED_VALUE"""),1.0)</f>
        <v>1</v>
      </c>
      <c r="H270" s="42">
        <f>IFERROR(__xludf.DUMMYFUNCTION("""COMPUTED_VALUE"""),0.5)</f>
        <v>0.5</v>
      </c>
      <c r="I270" s="42">
        <f>IFERROR(__xludf.DUMMYFUNCTION("""COMPUTED_VALUE"""),0.5)</f>
        <v>0.5</v>
      </c>
      <c r="J270" s="30">
        <f>IFERROR(__xludf.DUMMYFUNCTION("""COMPUTED_VALUE"""),272.0)</f>
        <v>272</v>
      </c>
      <c r="K270" s="30">
        <f>IFERROR(__xludf.DUMMYFUNCTION("""COMPUTED_VALUE"""),1.0)</f>
        <v>1</v>
      </c>
      <c r="L270" s="30">
        <f>IFERROR(__xludf.DUMMYFUNCTION("""COMPUTED_VALUE"""),0.0)</f>
        <v>0</v>
      </c>
      <c r="M270" s="30">
        <f>IFERROR(__xludf.DUMMYFUNCTION("""COMPUTED_VALUE"""),0.5)</f>
        <v>0.5</v>
      </c>
      <c r="N270" s="30">
        <f>IFERROR(__xludf.DUMMYFUNCTION("""COMPUTED_VALUE"""),2.0)</f>
        <v>2</v>
      </c>
      <c r="O270" s="30">
        <f>IFERROR(__xludf.DUMMYFUNCTION("""COMPUTED_VALUE"""),408.3333333333333)</f>
        <v>408.3333333</v>
      </c>
      <c r="P270" s="30">
        <f>IFERROR(__xludf.DUMMYFUNCTION("""COMPUTED_VALUE"""),0.8333333333333334)</f>
        <v>0.8333333333</v>
      </c>
      <c r="Q270" s="30">
        <f>IFERROR(__xludf.DUMMYFUNCTION("""COMPUTED_VALUE"""),0.6666666666666666)</f>
        <v>0.6666666667</v>
      </c>
      <c r="R270" s="30">
        <f>IFERROR(__xludf.DUMMYFUNCTION("""COMPUTED_VALUE"""),1.5)</f>
        <v>1.5</v>
      </c>
      <c r="S270" s="30">
        <f>IFERROR(__xludf.DUMMYFUNCTION("""COMPUTED_VALUE"""),2.6666666666666665)</f>
        <v>2.666666667</v>
      </c>
      <c r="T270" s="30">
        <f>IFERROR(__xludf.DUMMYFUNCTION("""COMPUTED_VALUE"""),383.52645502645504)</f>
        <v>383.526455</v>
      </c>
      <c r="U270" s="30">
        <f>IFERROR(__xludf.DUMMYFUNCTION("""COMPUTED_VALUE"""),0.776984126984127)</f>
        <v>0.776984127</v>
      </c>
      <c r="V270" s="30">
        <f>IFERROR(__xludf.DUMMYFUNCTION("""COMPUTED_VALUE"""),0.5211640211640212)</f>
        <v>0.5211640212</v>
      </c>
      <c r="W270" s="30">
        <f>IFERROR(__xludf.DUMMYFUNCTION("""COMPUTED_VALUE"""),1.7727513227513227)</f>
        <v>1.772751323</v>
      </c>
      <c r="X270" s="30">
        <f>IFERROR(__xludf.DUMMYFUNCTION("""COMPUTED_VALUE"""),2.4365079365079367)</f>
        <v>2.436507937</v>
      </c>
      <c r="Y270" s="30">
        <f>IFERROR(__xludf.DUMMYFUNCTION("""COMPUTED_VALUE"""),325.6910052910053)</f>
        <v>325.6910053</v>
      </c>
      <c r="Z270" s="30">
        <f>IFERROR(__xludf.DUMMYFUNCTION("""COMPUTED_VALUE"""),0.6299823633156966)</f>
        <v>0.6299823633</v>
      </c>
      <c r="AA270" s="30">
        <f>IFERROR(__xludf.DUMMYFUNCTION("""COMPUTED_VALUE"""),0.43959435626102294)</f>
        <v>0.4395943563</v>
      </c>
      <c r="AB270" s="30">
        <f>IFERROR(__xludf.DUMMYFUNCTION("""COMPUTED_VALUE"""),1.2741622574955906)</f>
        <v>1.274162257</v>
      </c>
      <c r="AC270" s="30">
        <f>IFERROR(__xludf.DUMMYFUNCTION("""COMPUTED_VALUE"""),2.847354497354498)</f>
        <v>2.847354497</v>
      </c>
      <c r="AD270" s="30">
        <f>IFERROR(__xludf.DUMMYFUNCTION("""COMPUTED_VALUE"""),0.8351474114459123)</f>
        <v>0.8351474114</v>
      </c>
      <c r="AE270" s="30">
        <f>IFERROR(__xludf.DUMMYFUNCTION("""COMPUTED_VALUE"""),1.5873460246360585)</f>
        <v>1.587346025</v>
      </c>
      <c r="AF270" s="30">
        <f>IFERROR(__xludf.DUMMYFUNCTION("""COMPUTED_VALUE"""),0.0)</f>
        <v>0</v>
      </c>
      <c r="AG270" s="30">
        <f>IFERROR(__xludf.DUMMYFUNCTION("""COMPUTED_VALUE"""),0.3924146999792374)</f>
        <v>0.3924147</v>
      </c>
      <c r="AH270" s="30">
        <f>IFERROR(__xludf.DUMMYFUNCTION("""COMPUTED_VALUE"""),0.702406392269813)</f>
        <v>0.7024063923</v>
      </c>
      <c r="AI270" s="30">
        <f>IFERROR(__xludf.DUMMYFUNCTION("""COMPUTED_VALUE"""),1.0646810095672987)</f>
        <v>1.06468101</v>
      </c>
      <c r="AJ270" s="30">
        <f>IFERROR(__xludf.DUMMYFUNCTION("""COMPUTED_VALUE"""),1.0725229826353422)</f>
        <v>1.072522983</v>
      </c>
      <c r="AK270" s="30">
        <f>IFERROR(__xludf.DUMMYFUNCTION("""COMPUTED_VALUE"""),1.279187817258883)</f>
        <v>1.279187817</v>
      </c>
      <c r="AL270" s="30">
        <f>IFERROR(__xludf.DUMMYFUNCTION("""COMPUTED_VALUE"""),0.8461423668109237)</f>
        <v>0.8461423668</v>
      </c>
      <c r="AM270" s="30">
        <f>IFERROR(__xludf.DUMMYFUNCTION("""COMPUTED_VALUE"""),1.0944625407166122)</f>
        <v>1.094462541</v>
      </c>
      <c r="AN270" s="30">
        <f>IFERROR(__xludf.DUMMYFUNCTION("""COMPUTED_VALUE"""),0.7877726156202791)</f>
        <v>0.7877726156</v>
      </c>
      <c r="AO270" s="30">
        <f>IFERROR(__xludf.DUMMYFUNCTION("""COMPUTED_VALUE"""),1.3256502556567418)</f>
        <v>1.325650256</v>
      </c>
      <c r="AP270" s="30">
        <f>IFERROR(__xludf.DUMMYFUNCTION("""COMPUTED_VALUE"""),0.0)</f>
        <v>0</v>
      </c>
      <c r="AQ270" s="30">
        <f>IFERROR(__xludf.DUMMYFUNCTION("""COMPUTED_VALUE"""),0.37019388167320066)</f>
        <v>0.3701938817</v>
      </c>
      <c r="AR270" s="30">
        <f>IFERROR(__xludf.DUMMYFUNCTION("""COMPUTED_VALUE"""),0.7810420104144938)</f>
        <v>0.7810420104</v>
      </c>
      <c r="AS270" s="30">
        <f>IFERROR(__xludf.DUMMYFUNCTION("""COMPUTED_VALUE"""),5.0)</f>
        <v>5</v>
      </c>
      <c r="AT270" s="30">
        <f>IFERROR(__xludf.DUMMYFUNCTION("""COMPUTED_VALUE"""),0.5)</f>
        <v>0.5</v>
      </c>
      <c r="AU270" s="30">
        <f>IFERROR(__xludf.DUMMYFUNCTION("""COMPUTED_VALUE"""),1.5991364314940713)</f>
        <v>1.599136431</v>
      </c>
      <c r="AV270" s="32">
        <f>IFERROR(__xludf.DUMMYFUNCTION("""COMPUTED_VALUE"""),26.123811056305478)</f>
        <v>26.12381106</v>
      </c>
      <c r="AW270" s="32">
        <f>IFERROR(__xludf.DUMMYFUNCTION("""COMPUTED_VALUE"""),-5.890085456352024)</f>
        <v>-5.890085456</v>
      </c>
      <c r="AX270" s="32">
        <f>IFERROR(__xludf.DUMMYFUNCTION("""COMPUTED_VALUE"""),2.10237066864039)</f>
        <v>2.102370669</v>
      </c>
      <c r="AY270" s="32">
        <f>IFERROR(__xludf.DUMMYFUNCTION("""COMPUTED_VALUE"""),-36.115968224576)</f>
        <v>-36.11596822</v>
      </c>
      <c r="AZ270" s="30">
        <f>IFERROR(__xludf.DUMMYFUNCTION("""COMPUTED_VALUE"""),30.225882768223975)</f>
        <v>30.22588277</v>
      </c>
      <c r="BA270" s="30">
        <f>IFERROR(__xludf.DUMMYFUNCTION("""COMPUTED_VALUE"""),1200.0)</f>
        <v>1200</v>
      </c>
    </row>
    <row r="271">
      <c r="A271" s="71" t="str">
        <f>IFERROR(__xludf.DUMMYFUNCTION("""COMPUTED_VALUE"""),"Veteran")</f>
        <v>Veteran</v>
      </c>
      <c r="B271" s="71" t="str">
        <f>IFERROR(__xludf.DUMMYFUNCTION("""COMPUTED_VALUE"""),"RSC006945")</f>
        <v>RSC006945</v>
      </c>
      <c r="C271" s="30" t="str">
        <f>IFERROR(__xludf.DUMMYFUNCTION("""COMPUTED_VALUE"""),"nuummite")</f>
        <v>nuummite</v>
      </c>
      <c r="D271" s="30" t="str">
        <f>IFERROR(__xludf.DUMMYFUNCTION("""COMPUTED_VALUE"""),"Paradox Paloma")</f>
        <v>Paradox Paloma</v>
      </c>
      <c r="E271" s="30">
        <f>IFERROR(__xludf.DUMMYFUNCTION("""COMPUTED_VALUE"""),36.0)</f>
        <v>36</v>
      </c>
      <c r="F271" s="30">
        <f>IFERROR(__xludf.DUMMYFUNCTION("""COMPUTED_VALUE"""),25.0)</f>
        <v>25</v>
      </c>
      <c r="G271" s="42">
        <f>IFERROR(__xludf.DUMMYFUNCTION("""COMPUTED_VALUE"""),11.0)</f>
        <v>11</v>
      </c>
      <c r="H271" s="42">
        <f>IFERROR(__xludf.DUMMYFUNCTION("""COMPUTED_VALUE"""),0.6944444444444444)</f>
        <v>0.6944444444</v>
      </c>
      <c r="I271" s="42">
        <f>IFERROR(__xludf.DUMMYFUNCTION("""COMPUTED_VALUE"""),0.33587786259541985)</f>
        <v>0.3358778626</v>
      </c>
      <c r="J271" s="30">
        <f>IFERROR(__xludf.DUMMYFUNCTION("""COMPUTED_VALUE"""),414.77777777777777)</f>
        <v>414.7777778</v>
      </c>
      <c r="K271" s="30">
        <f>IFERROR(__xludf.DUMMYFUNCTION("""COMPUTED_VALUE"""),1.2222222222222223)</f>
        <v>1.222222222</v>
      </c>
      <c r="L271" s="30">
        <f>IFERROR(__xludf.DUMMYFUNCTION("""COMPUTED_VALUE"""),0.7777777777777778)</f>
        <v>0.7777777778</v>
      </c>
      <c r="M271" s="30">
        <f>IFERROR(__xludf.DUMMYFUNCTION("""COMPUTED_VALUE"""),1.0277777777777777)</f>
        <v>1.027777778</v>
      </c>
      <c r="N271" s="30">
        <f>IFERROR(__xludf.DUMMYFUNCTION("""COMPUTED_VALUE"""),3.638888888888889)</f>
        <v>3.638888889</v>
      </c>
      <c r="O271" s="30">
        <f>IFERROR(__xludf.DUMMYFUNCTION("""COMPUTED_VALUE"""),353.55555555555543)</f>
        <v>353.5555556</v>
      </c>
      <c r="P271" s="30">
        <f>IFERROR(__xludf.DUMMYFUNCTION("""COMPUTED_VALUE"""),0.6666666666666666)</f>
        <v>0.6666666667</v>
      </c>
      <c r="Q271" s="30">
        <f>IFERROR(__xludf.DUMMYFUNCTION("""COMPUTED_VALUE"""),0.537037037037037)</f>
        <v>0.537037037</v>
      </c>
      <c r="R271" s="30">
        <f>IFERROR(__xludf.DUMMYFUNCTION("""COMPUTED_VALUE"""),1.6388888888888888)</f>
        <v>1.638888889</v>
      </c>
      <c r="S271" s="30">
        <f>IFERROR(__xludf.DUMMYFUNCTION("""COMPUTED_VALUE"""),2.314814814814815)</f>
        <v>2.314814815</v>
      </c>
      <c r="T271" s="30">
        <f>IFERROR(__xludf.DUMMYFUNCTION("""COMPUTED_VALUE"""),356.6773735992172)</f>
        <v>356.6773736</v>
      </c>
      <c r="U271" s="30">
        <f>IFERROR(__xludf.DUMMYFUNCTION("""COMPUTED_VALUE"""),0.7834444227796006)</f>
        <v>0.7834444228</v>
      </c>
      <c r="V271" s="30">
        <f>IFERROR(__xludf.DUMMYFUNCTION("""COMPUTED_VALUE"""),0.5909854956669809)</f>
        <v>0.5909854957</v>
      </c>
      <c r="W271" s="30">
        <f>IFERROR(__xludf.DUMMYFUNCTION("""COMPUTED_VALUE"""),1.3816257503361167)</f>
        <v>1.38162575</v>
      </c>
      <c r="X271" s="30">
        <f>IFERROR(__xludf.DUMMYFUNCTION("""COMPUTED_VALUE"""),2.5680574072793028)</f>
        <v>2.568057407</v>
      </c>
      <c r="Y271" s="30">
        <f>IFERROR(__xludf.DUMMYFUNCTION("""COMPUTED_VALUE"""),359.8913447731154)</f>
        <v>359.8913448</v>
      </c>
      <c r="Z271" s="30">
        <f>IFERROR(__xludf.DUMMYFUNCTION("""COMPUTED_VALUE"""),0.8442700498792658)</f>
        <v>0.8442700499</v>
      </c>
      <c r="AA271" s="30">
        <f>IFERROR(__xludf.DUMMYFUNCTION("""COMPUTED_VALUE"""),0.6191970952244515)</f>
        <v>0.6191970952</v>
      </c>
      <c r="AB271" s="30">
        <f>IFERROR(__xludf.DUMMYFUNCTION("""COMPUTED_VALUE"""),1.3137622281200854)</f>
        <v>1.313762228</v>
      </c>
      <c r="AC271" s="30">
        <f>IFERROR(__xludf.DUMMYFUNCTION("""COMPUTED_VALUE"""),2.6831236444351174)</f>
        <v>2.683123644</v>
      </c>
      <c r="AD271" s="30">
        <f>IFERROR(__xludf.DUMMYFUNCTION("""COMPUTED_VALUE"""),1.1525083439816097)</f>
        <v>1.152508344</v>
      </c>
      <c r="AE271" s="30">
        <f>IFERROR(__xludf.DUMMYFUNCTION("""COMPUTED_VALUE"""),1.4476673931486794)</f>
        <v>1.447667393</v>
      </c>
      <c r="AF271" s="30">
        <f>IFERROR(__xludf.DUMMYFUNCTION("""COMPUTED_VALUE"""),1.2561069549201336)</f>
        <v>1.256106955</v>
      </c>
      <c r="AG271" s="30">
        <f>IFERROR(__xludf.DUMMYFUNCTION("""COMPUTED_VALUE"""),0.7823164312224639)</f>
        <v>0.7823164312</v>
      </c>
      <c r="AH271" s="30">
        <f>IFERROR(__xludf.DUMMYFUNCTION("""COMPUTED_VALUE"""),1.356213641676953)</f>
        <v>1.356213642</v>
      </c>
      <c r="AI271" s="30">
        <f>IFERROR(__xludf.DUMMYFUNCTION("""COMPUTED_VALUE"""),0.9912475018749868)</f>
        <v>0.9912475019</v>
      </c>
      <c r="AJ271" s="30">
        <f>IFERROR(__xludf.DUMMYFUNCTION("""COMPUTED_VALUE"""),0.8509431521656438)</f>
        <v>0.8509431522</v>
      </c>
      <c r="AK271" s="30">
        <f>IFERROR(__xludf.DUMMYFUNCTION("""COMPUTED_VALUE"""),0.9087144117317835)</f>
        <v>0.9087144117</v>
      </c>
      <c r="AL271" s="30">
        <f>IFERROR(__xludf.DUMMYFUNCTION("""COMPUTED_VALUE"""),1.1862032019091902)</f>
        <v>1.186203202</v>
      </c>
      <c r="AM271" s="30">
        <f>IFERROR(__xludf.DUMMYFUNCTION("""COMPUTED_VALUE"""),0.901387487777081)</f>
        <v>0.9013874878</v>
      </c>
      <c r="AN271" s="30">
        <f>IFERROR(__xludf.DUMMYFUNCTION("""COMPUTED_VALUE"""),1.2012888783131135)</f>
        <v>1.201288878</v>
      </c>
      <c r="AO271" s="30">
        <f>IFERROR(__xludf.DUMMYFUNCTION("""COMPUTED_VALUE"""),1.62023920135824)</f>
        <v>1.620239201</v>
      </c>
      <c r="AP271" s="30">
        <f>IFERROR(__xludf.DUMMYFUNCTION("""COMPUTED_VALUE"""),1.4423976951223765)</f>
        <v>1.442397695</v>
      </c>
      <c r="AQ271" s="30">
        <f>IFERROR(__xludf.DUMMYFUNCTION("""COMPUTED_VALUE"""),0.7609540901060236)</f>
        <v>0.7609540901</v>
      </c>
      <c r="AR271" s="30">
        <f>IFERROR(__xludf.DUMMYFUNCTION("""COMPUTED_VALUE"""),1.4210625467263707)</f>
        <v>1.421062547</v>
      </c>
      <c r="AS271" s="30">
        <f>IFERROR(__xludf.DUMMYFUNCTION("""COMPUTED_VALUE"""),100.0)</f>
        <v>100</v>
      </c>
      <c r="AT271" s="30">
        <f>IFERROR(__xludf.DUMMYFUNCTION("""COMPUTED_VALUE"""),0.6258866470431661)</f>
        <v>0.625886647</v>
      </c>
      <c r="AU271" s="30">
        <f>IFERROR(__xludf.DUMMYFUNCTION("""COMPUTED_VALUE"""),3.8977935420341243)</f>
        <v>3.897793542</v>
      </c>
      <c r="AV271" s="32">
        <f>IFERROR(__xludf.DUMMYFUNCTION("""COMPUTED_VALUE"""),97.32722547068127)</f>
        <v>97.32722547</v>
      </c>
      <c r="AW271" s="32">
        <f>IFERROR(__xludf.DUMMYFUNCTION("""COMPUTED_VALUE"""),34.278252051945586)</f>
        <v>34.27825205</v>
      </c>
      <c r="AX271" s="32">
        <f>IFERROR(__xludf.DUMMYFUNCTION("""COMPUTED_VALUE"""),79.9088831049529)</f>
        <v>79.9088831</v>
      </c>
      <c r="AY271" s="32">
        <f>IFERROR(__xludf.DUMMYFUNCTION("""COMPUTED_VALUE"""),8.637147604027199)</f>
        <v>8.637147604</v>
      </c>
      <c r="AZ271" s="30">
        <f>IFERROR(__xludf.DUMMYFUNCTION("""COMPUTED_VALUE"""),25.641104447918387)</f>
        <v>25.64110445</v>
      </c>
      <c r="BA271" s="30">
        <f>IFERROR(__xludf.DUMMYFUNCTION("""COMPUTED_VALUE"""),1200.0)</f>
        <v>1200</v>
      </c>
    </row>
    <row r="272">
      <c r="A272" s="71" t="str">
        <f>IFERROR(__xludf.DUMMYFUNCTION("""COMPUTED_VALUE"""),"Veteran")</f>
        <v>Veteran</v>
      </c>
      <c r="B272" s="71" t="str">
        <f>IFERROR(__xludf.DUMMYFUNCTION("""COMPUTED_VALUE"""),"RSC004872")</f>
        <v>RSC004872</v>
      </c>
      <c r="C272" s="30" t="str">
        <f>IFERROR(__xludf.DUMMYFUNCTION("""COMPUTED_VALUE"""),"JustLaben")</f>
        <v>JustLaben</v>
      </c>
      <c r="D272" s="30" t="str">
        <f>IFERROR(__xludf.DUMMYFUNCTION("""COMPUTED_VALUE"""),"Cannoli")</f>
        <v>Cannoli</v>
      </c>
      <c r="E272" s="30">
        <f>IFERROR(__xludf.DUMMYFUNCTION("""COMPUTED_VALUE"""),35.0)</f>
        <v>35</v>
      </c>
      <c r="F272" s="30">
        <f>IFERROR(__xludf.DUMMYFUNCTION("""COMPUTED_VALUE"""),20.0)</f>
        <v>20</v>
      </c>
      <c r="G272" s="42">
        <f>IFERROR(__xludf.DUMMYFUNCTION("""COMPUTED_VALUE"""),15.0)</f>
        <v>15</v>
      </c>
      <c r="H272" s="42">
        <f>IFERROR(__xludf.DUMMYFUNCTION("""COMPUTED_VALUE"""),0.5714285714285714)</f>
        <v>0.5714285714</v>
      </c>
      <c r="I272" s="42">
        <f>IFERROR(__xludf.DUMMYFUNCTION("""COMPUTED_VALUE"""),0.3728813559322034)</f>
        <v>0.3728813559</v>
      </c>
      <c r="J272" s="30">
        <f>IFERROR(__xludf.DUMMYFUNCTION("""COMPUTED_VALUE"""),428.8857142857143)</f>
        <v>428.8857143</v>
      </c>
      <c r="K272" s="30">
        <f>IFERROR(__xludf.DUMMYFUNCTION("""COMPUTED_VALUE"""),1.2571428571428571)</f>
        <v>1.257142857</v>
      </c>
      <c r="L272" s="30">
        <f>IFERROR(__xludf.DUMMYFUNCTION("""COMPUTED_VALUE"""),0.7142857142857143)</f>
        <v>0.7142857143</v>
      </c>
      <c r="M272" s="30">
        <f>IFERROR(__xludf.DUMMYFUNCTION("""COMPUTED_VALUE"""),1.5142857142857142)</f>
        <v>1.514285714</v>
      </c>
      <c r="N272" s="30">
        <f>IFERROR(__xludf.DUMMYFUNCTION("""COMPUTED_VALUE"""),3.3714285714285714)</f>
        <v>3.371428571</v>
      </c>
      <c r="O272" s="30">
        <f>IFERROR(__xludf.DUMMYFUNCTION("""COMPUTED_VALUE"""),351.5047619047619)</f>
        <v>351.5047619</v>
      </c>
      <c r="P272" s="30">
        <f>IFERROR(__xludf.DUMMYFUNCTION("""COMPUTED_VALUE"""),0.7142857142857143)</f>
        <v>0.7142857143</v>
      </c>
      <c r="Q272" s="30">
        <f>IFERROR(__xludf.DUMMYFUNCTION("""COMPUTED_VALUE"""),0.4857142857142856)</f>
        <v>0.4857142857</v>
      </c>
      <c r="R272" s="30">
        <f>IFERROR(__xludf.DUMMYFUNCTION("""COMPUTED_VALUE"""),1.5809523809523813)</f>
        <v>1.580952381</v>
      </c>
      <c r="S272" s="30">
        <f>IFERROR(__xludf.DUMMYFUNCTION("""COMPUTED_VALUE"""),2.466666666666667)</f>
        <v>2.466666667</v>
      </c>
      <c r="T272" s="30">
        <f>IFERROR(__xludf.DUMMYFUNCTION("""COMPUTED_VALUE"""),355.31076566201585)</f>
        <v>355.3107657</v>
      </c>
      <c r="U272" s="30">
        <f>IFERROR(__xludf.DUMMYFUNCTION("""COMPUTED_VALUE"""),0.7664847939827609)</f>
        <v>0.766484794</v>
      </c>
      <c r="V272" s="30">
        <f>IFERROR(__xludf.DUMMYFUNCTION("""COMPUTED_VALUE"""),0.5587900780383838)</f>
        <v>0.558790078</v>
      </c>
      <c r="W272" s="30">
        <f>IFERROR(__xludf.DUMMYFUNCTION("""COMPUTED_VALUE"""),1.391754753514308)</f>
        <v>1.391754754</v>
      </c>
      <c r="X272" s="30">
        <f>IFERROR(__xludf.DUMMYFUNCTION("""COMPUTED_VALUE"""),2.578811598670098)</f>
        <v>2.578811599</v>
      </c>
      <c r="Y272" s="30">
        <f>IFERROR(__xludf.DUMMYFUNCTION("""COMPUTED_VALUE"""),356.8651503637406)</f>
        <v>356.8651504</v>
      </c>
      <c r="Z272" s="30">
        <f>IFERROR(__xludf.DUMMYFUNCTION("""COMPUTED_VALUE"""),0.7905413359435225)</f>
        <v>0.7905413359</v>
      </c>
      <c r="AA272" s="30">
        <f>IFERROR(__xludf.DUMMYFUNCTION("""COMPUTED_VALUE"""),0.5954123044677847)</f>
        <v>0.5954123045</v>
      </c>
      <c r="AB272" s="30">
        <f>IFERROR(__xludf.DUMMYFUNCTION("""COMPUTED_VALUE"""),1.3076322169141368)</f>
        <v>1.307632217</v>
      </c>
      <c r="AC272" s="30">
        <f>IFERROR(__xludf.DUMMYFUNCTION("""COMPUTED_VALUE"""),2.7209954222592683)</f>
        <v>2.720995422</v>
      </c>
      <c r="AD272" s="30">
        <f>IFERROR(__xludf.DUMMYFUNCTION("""COMPUTED_VALUE"""),1.2018145056993252)</f>
        <v>1.201814506</v>
      </c>
      <c r="AE272" s="30">
        <f>IFERROR(__xludf.DUMMYFUNCTION("""COMPUTED_VALUE"""),1.5902303902204418)</f>
        <v>1.59023039</v>
      </c>
      <c r="AF272" s="30">
        <f>IFERROR(__xludf.DUMMYFUNCTION("""COMPUTED_VALUE"""),1.1996488969508041)</f>
        <v>1.199648897</v>
      </c>
      <c r="AG272" s="30">
        <f>IFERROR(__xludf.DUMMYFUNCTION("""COMPUTED_VALUE"""),1.158036407101728)</f>
        <v>1.158036407</v>
      </c>
      <c r="AH272" s="30">
        <f>IFERROR(__xludf.DUMMYFUNCTION("""COMPUTED_VALUE"""),1.2390423533418673)</f>
        <v>1.239042353</v>
      </c>
      <c r="AI272" s="30">
        <f>IFERROR(__xludf.DUMMYFUNCTION("""COMPUTED_VALUE"""),0.9892882396902255)</f>
        <v>0.9892882397</v>
      </c>
      <c r="AJ272" s="30">
        <f>IFERROR(__xludf.DUMMYFUNCTION("""COMPUTED_VALUE"""),0.9318980883810976)</f>
        <v>0.9318980884</v>
      </c>
      <c r="AK272" s="30">
        <f>IFERROR(__xludf.DUMMYFUNCTION("""COMPUTED_VALUE"""),0.8692249644434836)</f>
        <v>0.8692249644</v>
      </c>
      <c r="AL272" s="30">
        <f>IFERROR(__xludf.DUMMYFUNCTION("""COMPUTED_VALUE"""),1.135941786410524)</f>
        <v>1.135941786</v>
      </c>
      <c r="AM272" s="30">
        <f>IFERROR(__xludf.DUMMYFUNCTION("""COMPUTED_VALUE"""),0.9565129410534431)</f>
        <v>0.9565129411</v>
      </c>
      <c r="AN272" s="30">
        <f>IFERROR(__xludf.DUMMYFUNCTION("""COMPUTED_VALUE"""),1.2421486064155474)</f>
        <v>1.242148606</v>
      </c>
      <c r="AO272" s="30">
        <f>IFERROR(__xludf.DUMMYFUNCTION("""COMPUTED_VALUE"""),1.6665317499684753)</f>
        <v>1.66653175</v>
      </c>
      <c r="AP272" s="30">
        <f>IFERROR(__xludf.DUMMYFUNCTION("""COMPUTED_VALUE"""),1.3246509445001415)</f>
        <v>1.324650945</v>
      </c>
      <c r="AQ272" s="30">
        <f>IFERROR(__xludf.DUMMYFUNCTION("""COMPUTED_VALUE"""),1.1211586130674078)</f>
        <v>1.121158613</v>
      </c>
      <c r="AR272" s="30">
        <f>IFERROR(__xludf.DUMMYFUNCTION("""COMPUTED_VALUE"""),1.316613674698718)</f>
        <v>1.316613675</v>
      </c>
      <c r="AS272" s="30">
        <f>IFERROR(__xludf.DUMMYFUNCTION("""COMPUTED_VALUE"""),96.0)</f>
        <v>96</v>
      </c>
      <c r="AT272" s="30">
        <f>IFERROR(__xludf.DUMMYFUNCTION("""COMPUTED_VALUE"""),0.5960901838539621)</f>
        <v>0.5960901839</v>
      </c>
      <c r="AU272" s="30">
        <f>IFERROR(__xludf.DUMMYFUNCTION("""COMPUTED_VALUE"""),3.866216725373974)</f>
        <v>3.866216725</v>
      </c>
      <c r="AV272" s="32">
        <f>IFERROR(__xludf.DUMMYFUNCTION("""COMPUTED_VALUE"""),96.34909908887775)</f>
        <v>96.34909909</v>
      </c>
      <c r="AW272" s="32">
        <f>IFERROR(__xludf.DUMMYFUNCTION("""COMPUTED_VALUE"""),31.375346590566295)</f>
        <v>31.37534659</v>
      </c>
      <c r="AX272" s="32">
        <f>IFERROR(__xludf.DUMMYFUNCTION("""COMPUTED_VALUE"""),76.74906518782862)</f>
        <v>76.74906519</v>
      </c>
      <c r="AY272" s="32">
        <f>IFERROR(__xludf.DUMMYFUNCTION("""COMPUTED_VALUE"""),7.026514619494652)</f>
        <v>7.026514619</v>
      </c>
      <c r="AZ272" s="30">
        <f>IFERROR(__xludf.DUMMYFUNCTION("""COMPUTED_VALUE"""),24.348831971071643)</f>
        <v>24.34883197</v>
      </c>
      <c r="BA272" s="30">
        <f>IFERROR(__xludf.DUMMYFUNCTION("""COMPUTED_VALUE"""),1200.0)</f>
        <v>1200</v>
      </c>
    </row>
    <row r="273">
      <c r="A273" s="71" t="str">
        <f>IFERROR(__xludf.DUMMYFUNCTION("""COMPUTED_VALUE"""),"Veteran")</f>
        <v>Veteran</v>
      </c>
      <c r="B273" s="71" t="str">
        <f>IFERROR(__xludf.DUMMYFUNCTION("""COMPUTED_VALUE"""),"RSC003694")</f>
        <v>RSC003694</v>
      </c>
      <c r="C273" s="30" t="str">
        <f>IFERROR(__xludf.DUMMYFUNCTION("""COMPUTED_VALUE"""),"TheCroctopusTV")</f>
        <v>TheCroctopusTV</v>
      </c>
      <c r="D273" s="30"/>
      <c r="E273" s="30">
        <f>IFERROR(__xludf.DUMMYFUNCTION("""COMPUTED_VALUE"""),4.0)</f>
        <v>4</v>
      </c>
      <c r="F273" s="30">
        <f>IFERROR(__xludf.DUMMYFUNCTION("""COMPUTED_VALUE"""),1.0)</f>
        <v>1</v>
      </c>
      <c r="G273" s="42">
        <f>IFERROR(__xludf.DUMMYFUNCTION("""COMPUTED_VALUE"""),3.0)</f>
        <v>3</v>
      </c>
      <c r="H273" s="42">
        <f>IFERROR(__xludf.DUMMYFUNCTION("""COMPUTED_VALUE"""),0.25)</f>
        <v>0.25</v>
      </c>
      <c r="I273" s="42">
        <f>IFERROR(__xludf.DUMMYFUNCTION("""COMPUTED_VALUE"""),0.5)</f>
        <v>0.5</v>
      </c>
      <c r="J273" s="30">
        <f>IFERROR(__xludf.DUMMYFUNCTION("""COMPUTED_VALUE"""),227.5)</f>
        <v>227.5</v>
      </c>
      <c r="K273" s="30">
        <f>IFERROR(__xludf.DUMMYFUNCTION("""COMPUTED_VALUE"""),0.25)</f>
        <v>0.25</v>
      </c>
      <c r="L273" s="30">
        <f>IFERROR(__xludf.DUMMYFUNCTION("""COMPUTED_VALUE"""),0.0)</f>
        <v>0</v>
      </c>
      <c r="M273" s="30">
        <f>IFERROR(__xludf.DUMMYFUNCTION("""COMPUTED_VALUE"""),1.25)</f>
        <v>1.25</v>
      </c>
      <c r="N273" s="30">
        <f>IFERROR(__xludf.DUMMYFUNCTION("""COMPUTED_VALUE"""),0.5)</f>
        <v>0.5</v>
      </c>
      <c r="O273" s="30">
        <f>IFERROR(__xludf.DUMMYFUNCTION("""COMPUTED_VALUE"""),380.1666666666667)</f>
        <v>380.1666667</v>
      </c>
      <c r="P273" s="30">
        <f>IFERROR(__xludf.DUMMYFUNCTION("""COMPUTED_VALUE"""),1.0)</f>
        <v>1</v>
      </c>
      <c r="Q273" s="30">
        <f>IFERROR(__xludf.DUMMYFUNCTION("""COMPUTED_VALUE"""),0.5833333333333334)</f>
        <v>0.5833333333</v>
      </c>
      <c r="R273" s="30">
        <f>IFERROR(__xludf.DUMMYFUNCTION("""COMPUTED_VALUE"""),1.0)</f>
        <v>1</v>
      </c>
      <c r="S273" s="30">
        <f>IFERROR(__xludf.DUMMYFUNCTION("""COMPUTED_VALUE"""),3.4166666666666665)</f>
        <v>3.416666667</v>
      </c>
      <c r="T273" s="30">
        <f>IFERROR(__xludf.DUMMYFUNCTION("""COMPUTED_VALUE"""),365.6980494015788)</f>
        <v>365.6980494</v>
      </c>
      <c r="U273" s="30">
        <f>IFERROR(__xludf.DUMMYFUNCTION("""COMPUTED_VALUE"""),0.8678278584160939)</f>
        <v>0.8678278584</v>
      </c>
      <c r="V273" s="30">
        <f>IFERROR(__xludf.DUMMYFUNCTION("""COMPUTED_VALUE"""),0.5793837535014006)</f>
        <v>0.5793837535</v>
      </c>
      <c r="W273" s="30">
        <f>IFERROR(__xludf.DUMMYFUNCTION("""COMPUTED_VALUE"""),1.2781512605042016)</f>
        <v>1.278151261</v>
      </c>
      <c r="X273" s="30">
        <f>IFERROR(__xludf.DUMMYFUNCTION("""COMPUTED_VALUE"""),2.746228673287497)</f>
        <v>2.746228673</v>
      </c>
      <c r="Y273" s="30">
        <f>IFERROR(__xludf.DUMMYFUNCTION("""COMPUTED_VALUE"""),319.2554316271963)</f>
        <v>319.2554316</v>
      </c>
      <c r="Z273" s="30">
        <f>IFERROR(__xludf.DUMMYFUNCTION("""COMPUTED_VALUE"""),0.6737874543756895)</f>
        <v>0.6737874544</v>
      </c>
      <c r="AA273" s="30">
        <f>IFERROR(__xludf.DUMMYFUNCTION("""COMPUTED_VALUE"""),0.466797385620915)</f>
        <v>0.4667973856</v>
      </c>
      <c r="AB273" s="30">
        <f>IFERROR(__xludf.DUMMYFUNCTION("""COMPUTED_VALUE"""),1.1688074017485781)</f>
        <v>1.168807402</v>
      </c>
      <c r="AC273" s="30">
        <f>IFERROR(__xludf.DUMMYFUNCTION("""COMPUTED_VALUE"""),2.3460606060606066)</f>
        <v>2.346060606</v>
      </c>
      <c r="AD273" s="30">
        <f>IFERROR(__xludf.DUMMYFUNCTION("""COMPUTED_VALUE"""),0.7125955503418286)</f>
        <v>0.7125955503</v>
      </c>
      <c r="AE273" s="30">
        <f>IFERROR(__xludf.DUMMYFUNCTION("""COMPUTED_VALUE"""),0.3710368876363871)</f>
        <v>0.3710368876</v>
      </c>
      <c r="AF273" s="30">
        <f>IFERROR(__xludf.DUMMYFUNCTION("""COMPUTED_VALUE"""),0.0)</f>
        <v>0</v>
      </c>
      <c r="AG273" s="30">
        <f>IFERROR(__xludf.DUMMYFUNCTION("""COMPUTED_VALUE"""),1.0694661910336594)</f>
        <v>1.069466191</v>
      </c>
      <c r="AH273" s="30">
        <f>IFERROR(__xludf.DUMMYFUNCTION("""COMPUTED_VALUE"""),0.21312322397313352)</f>
        <v>0.213123224</v>
      </c>
      <c r="AI273" s="30">
        <f>IFERROR(__xludf.DUMMYFUNCTION("""COMPUTED_VALUE"""),1.0395643818411502)</f>
        <v>1.039564382</v>
      </c>
      <c r="AJ273" s="30">
        <f>IFERROR(__xludf.DUMMYFUNCTION("""COMPUTED_VALUE"""),1.1523022570687447)</f>
        <v>1.152302257</v>
      </c>
      <c r="AK273" s="30">
        <f>IFERROR(__xludf.DUMMYFUNCTION("""COMPUTED_VALUE"""),1.0068168632759622)</f>
        <v>1.006816863</v>
      </c>
      <c r="AL273" s="30">
        <f>IFERROR(__xludf.DUMMYFUNCTION("""COMPUTED_VALUE"""),0.782380013149244)</f>
        <v>0.7823800131</v>
      </c>
      <c r="AM273" s="30">
        <f>IFERROR(__xludf.DUMMYFUNCTION("""COMPUTED_VALUE"""),1.2441304323636644)</f>
        <v>1.244130432</v>
      </c>
      <c r="AN273" s="30">
        <f>IFERROR(__xludf.DUMMYFUNCTION("""COMPUTED_VALUE"""),0.6588906987265203)</f>
        <v>0.6588906987</v>
      </c>
      <c r="AO273" s="30">
        <f>IFERROR(__xludf.DUMMYFUNCTION("""COMPUTED_VALUE"""),0.33141256391418544)</f>
        <v>0.3314125639</v>
      </c>
      <c r="AP273" s="30">
        <f>IFERROR(__xludf.DUMMYFUNCTION("""COMPUTED_VALUE"""),0.0)</f>
        <v>0</v>
      </c>
      <c r="AQ273" s="30">
        <f>IFERROR(__xludf.DUMMYFUNCTION("""COMPUTED_VALUE"""),0.9254847041830017)</f>
        <v>0.9254847042</v>
      </c>
      <c r="AR273" s="30">
        <f>IFERROR(__xludf.DUMMYFUNCTION("""COMPUTED_VALUE"""),0.19526050260362346)</f>
        <v>0.1952605026</v>
      </c>
      <c r="AS273" s="30">
        <f>IFERROR(__xludf.DUMMYFUNCTION("""COMPUTED_VALUE"""),4.0)</f>
        <v>4</v>
      </c>
      <c r="AT273" s="30">
        <f>IFERROR(__xludf.DUMMYFUNCTION("""COMPUTED_VALUE"""),0.1630859559789061)</f>
        <v>0.163085956</v>
      </c>
      <c r="AU273" s="30">
        <f>IFERROR(__xludf.DUMMYFUNCTION("""COMPUTED_VALUE"""),-0.0762816651838445)</f>
        <v>-0.07628166518</v>
      </c>
      <c r="AV273" s="32">
        <f>IFERROR(__xludf.DUMMYFUNCTION("""COMPUTED_VALUE"""),-25.774094250273606)</f>
        <v>-25.77409425</v>
      </c>
      <c r="AW273" s="32">
        <f>IFERROR(__xludf.DUMMYFUNCTION("""COMPUTED_VALUE"""),-820.430367678598)</f>
        <v>-820.4303677</v>
      </c>
      <c r="AX273" s="32">
        <f>IFERROR(__xludf.DUMMYFUNCTION("""COMPUTED_VALUE"""),-25.65005813151329)</f>
        <v>-25.65005813</v>
      </c>
      <c r="AY273" s="32">
        <f>IFERROR(__xludf.DUMMYFUNCTION("""COMPUTED_VALUE"""),-807.0686393747033)</f>
        <v>-807.0686394</v>
      </c>
      <c r="AZ273" s="30">
        <f>IFERROR(__xludf.DUMMYFUNCTION("""COMPUTED_VALUE"""),13.361728303894779)</f>
        <v>13.3617283</v>
      </c>
      <c r="BA273" s="30">
        <f>IFERROR(__xludf.DUMMYFUNCTION("""COMPUTED_VALUE"""),1200.0)</f>
        <v>1200</v>
      </c>
    </row>
    <row r="274">
      <c r="A274" s="71" t="str">
        <f>IFERROR(__xludf.DUMMYFUNCTION("""COMPUTED_VALUE"""),"Veteran")</f>
        <v>Veteran</v>
      </c>
      <c r="B274" s="71" t="str">
        <f>IFERROR(__xludf.DUMMYFUNCTION("""COMPUTED_VALUE"""),"RSC000625")</f>
        <v>RSC000625</v>
      </c>
      <c r="C274" s="30" t="str">
        <f>IFERROR(__xludf.DUMMYFUNCTION("""COMPUTED_VALUE"""),"Sly")</f>
        <v>Sly</v>
      </c>
      <c r="D274" s="30" t="str">
        <f>IFERROR(__xludf.DUMMYFUNCTION("""COMPUTED_VALUE"""),"Rulers")</f>
        <v>Rulers</v>
      </c>
      <c r="E274" s="30">
        <f>IFERROR(__xludf.DUMMYFUNCTION("""COMPUTED_VALUE"""),21.0)</f>
        <v>21</v>
      </c>
      <c r="F274" s="30">
        <f>IFERROR(__xludf.DUMMYFUNCTION("""COMPUTED_VALUE"""),10.0)</f>
        <v>10</v>
      </c>
      <c r="G274" s="42">
        <f>IFERROR(__xludf.DUMMYFUNCTION("""COMPUTED_VALUE"""),11.0)</f>
        <v>11</v>
      </c>
      <c r="H274" s="42">
        <f>IFERROR(__xludf.DUMMYFUNCTION("""COMPUTED_VALUE"""),0.47619047619047616)</f>
        <v>0.4761904762</v>
      </c>
      <c r="I274" s="42">
        <f>IFERROR(__xludf.DUMMYFUNCTION("""COMPUTED_VALUE"""),0.1875)</f>
        <v>0.1875</v>
      </c>
      <c r="J274" s="30">
        <f>IFERROR(__xludf.DUMMYFUNCTION("""COMPUTED_VALUE"""),247.42857142857142)</f>
        <v>247.4285714</v>
      </c>
      <c r="K274" s="30">
        <f>IFERROR(__xludf.DUMMYFUNCTION("""COMPUTED_VALUE"""),0.2857142857142857)</f>
        <v>0.2857142857</v>
      </c>
      <c r="L274" s="30">
        <f>IFERROR(__xludf.DUMMYFUNCTION("""COMPUTED_VALUE"""),0.6190476190476191)</f>
        <v>0.619047619</v>
      </c>
      <c r="M274" s="30">
        <f>IFERROR(__xludf.DUMMYFUNCTION("""COMPUTED_VALUE"""),0.9047619047619048)</f>
        <v>0.9047619048</v>
      </c>
      <c r="N274" s="30">
        <f>IFERROR(__xludf.DUMMYFUNCTION("""COMPUTED_VALUE"""),1.5238095238095237)</f>
        <v>1.523809524</v>
      </c>
      <c r="O274" s="30">
        <f>IFERROR(__xludf.DUMMYFUNCTION("""COMPUTED_VALUE"""),324.3333333333333)</f>
        <v>324.3333333</v>
      </c>
      <c r="P274" s="30">
        <f>IFERROR(__xludf.DUMMYFUNCTION("""COMPUTED_VALUE"""),0.6031746031746031)</f>
        <v>0.6031746032</v>
      </c>
      <c r="Q274" s="30">
        <f>IFERROR(__xludf.DUMMYFUNCTION("""COMPUTED_VALUE"""),0.47619047619047616)</f>
        <v>0.4761904762</v>
      </c>
      <c r="R274" s="30">
        <f>IFERROR(__xludf.DUMMYFUNCTION("""COMPUTED_VALUE"""),1.2857142857142858)</f>
        <v>1.285714286</v>
      </c>
      <c r="S274" s="30">
        <f>IFERROR(__xludf.DUMMYFUNCTION("""COMPUTED_VALUE"""),2.9047619047619047)</f>
        <v>2.904761905</v>
      </c>
      <c r="T274" s="30">
        <f>IFERROR(__xludf.DUMMYFUNCTION("""COMPUTED_VALUE"""),353.998355292253)</f>
        <v>353.9983553</v>
      </c>
      <c r="U274" s="30">
        <f>IFERROR(__xludf.DUMMYFUNCTION("""COMPUTED_VALUE"""),0.8436365829764263)</f>
        <v>0.843636583</v>
      </c>
      <c r="V274" s="30">
        <f>IFERROR(__xludf.DUMMYFUNCTION("""COMPUTED_VALUE"""),0.5691467465065504)</f>
        <v>0.5691467465</v>
      </c>
      <c r="W274" s="30">
        <f>IFERROR(__xludf.DUMMYFUNCTION("""COMPUTED_VALUE"""),1.2928650379395836)</f>
        <v>1.292865038</v>
      </c>
      <c r="X274" s="30">
        <f>IFERROR(__xludf.DUMMYFUNCTION("""COMPUTED_VALUE"""),2.6967608223625215)</f>
        <v>2.696760822</v>
      </c>
      <c r="Y274" s="30">
        <f>IFERROR(__xludf.DUMMYFUNCTION("""COMPUTED_VALUE"""),343.2854764300265)</f>
        <v>343.2854764</v>
      </c>
      <c r="Z274" s="30">
        <f>IFERROR(__xludf.DUMMYFUNCTION("""COMPUTED_VALUE"""),0.7200198670604774)</f>
        <v>0.7200198671</v>
      </c>
      <c r="AA274" s="30">
        <f>IFERROR(__xludf.DUMMYFUNCTION("""COMPUTED_VALUE"""),0.516214010101051)</f>
        <v>0.5162140101</v>
      </c>
      <c r="AB274" s="30">
        <f>IFERROR(__xludf.DUMMYFUNCTION("""COMPUTED_VALUE"""),1.4185527921782544)</f>
        <v>1.418552792</v>
      </c>
      <c r="AC274" s="30">
        <f>IFERROR(__xludf.DUMMYFUNCTION("""COMPUTED_VALUE"""),2.4302582633981524)</f>
        <v>2.430258263</v>
      </c>
      <c r="AD274" s="30">
        <f>IFERROR(__xludf.DUMMYFUNCTION("""COMPUTED_VALUE"""),0.7207662089339977)</f>
        <v>0.7207662089</v>
      </c>
      <c r="AE274" s="30">
        <f>IFERROR(__xludf.DUMMYFUNCTION("""COMPUTED_VALUE"""),0.3968144474689716)</f>
        <v>0.3968144475</v>
      </c>
      <c r="AF274" s="30">
        <f>IFERROR(__xludf.DUMMYFUNCTION("""COMPUTED_VALUE"""),1.199207318930453)</f>
        <v>1.199207319</v>
      </c>
      <c r="AG274" s="30">
        <f>IFERROR(__xludf.DUMMYFUNCTION("""COMPUTED_VALUE"""),0.6378062979049235)</f>
        <v>0.6378062979</v>
      </c>
      <c r="AH274" s="30">
        <f>IFERROR(__xludf.DUMMYFUNCTION("""COMPUTED_VALUE"""),0.6270154685859722)</f>
        <v>0.6270154686</v>
      </c>
      <c r="AI274" s="30">
        <f>IFERROR(__xludf.DUMMYFUNCTION("""COMPUTED_VALUE"""),0.9162001136010112)</f>
        <v>0.9162001136</v>
      </c>
      <c r="AJ274" s="30">
        <f>IFERROR(__xludf.DUMMYFUNCTION("""COMPUTED_VALUE"""),0.7149697101168236)</f>
        <v>0.7149697101</v>
      </c>
      <c r="AK274" s="30">
        <f>IFERROR(__xludf.DUMMYFUNCTION("""COMPUTED_VALUE"""),0.836674335948252)</f>
        <v>0.8366743359</v>
      </c>
      <c r="AL274" s="30">
        <f>IFERROR(__xludf.DUMMYFUNCTION("""COMPUTED_VALUE"""),0.9944690652036705)</f>
        <v>0.9944690652</v>
      </c>
      <c r="AM274" s="30">
        <f>IFERROR(__xludf.DUMMYFUNCTION("""COMPUTED_VALUE"""),1.0771299703980282)</f>
        <v>1.07712997</v>
      </c>
      <c r="AN274" s="30">
        <f>IFERROR(__xludf.DUMMYFUNCTION("""COMPUTED_VALUE"""),0.7166082826965984)</f>
        <v>0.7166082827</v>
      </c>
      <c r="AO274" s="30">
        <f>IFERROR(__xludf.DUMMYFUNCTION("""COMPUTED_VALUE"""),0.3787572159019262)</f>
        <v>0.3787572159</v>
      </c>
      <c r="AP274" s="30">
        <f>IFERROR(__xludf.DUMMYFUNCTION("""COMPUTED_VALUE"""),1.1480308185667893)</f>
        <v>1.148030819</v>
      </c>
      <c r="AQ274" s="30">
        <f>IFERROR(__xludf.DUMMYFUNCTION("""COMPUTED_VALUE"""),0.6698746430276965)</f>
        <v>0.669874643</v>
      </c>
      <c r="AR274" s="30">
        <f>IFERROR(__xludf.DUMMYFUNCTION("""COMPUTED_VALUE"""),0.5950796269824714)</f>
        <v>0.595079627</v>
      </c>
      <c r="AS274" s="30">
        <f>IFERROR(__xludf.DUMMYFUNCTION("""COMPUTED_VALUE"""),40.0)</f>
        <v>40</v>
      </c>
      <c r="AT274" s="30">
        <f>IFERROR(__xludf.DUMMYFUNCTION("""COMPUTED_VALUE"""),0.51867895849608)</f>
        <v>0.5186789585</v>
      </c>
      <c r="AU274" s="30">
        <f>IFERROR(__xludf.DUMMYFUNCTION("""COMPUTED_VALUE"""),1.5589352641092575)</f>
        <v>1.558935264</v>
      </c>
      <c r="AV274" s="32">
        <f>IFERROR(__xludf.DUMMYFUNCTION("""COMPUTED_VALUE"""),24.87853599195712)</f>
        <v>24.87853599</v>
      </c>
      <c r="AW274" s="32">
        <f>IFERROR(__xludf.DUMMYFUNCTION("""COMPUTED_VALUE"""),-6.349912681555999)</f>
        <v>-6.349912682</v>
      </c>
      <c r="AX274" s="32">
        <f>IFERROR(__xludf.DUMMYFUNCTION("""COMPUTED_VALUE"""),9.777666202292977)</f>
        <v>9.777666202</v>
      </c>
      <c r="AY274" s="32">
        <f>IFERROR(__xludf.DUMMYFUNCTION("""COMPUTED_VALUE"""),-18.580511461857157)</f>
        <v>-18.58051146</v>
      </c>
      <c r="AZ274" s="30">
        <f>IFERROR(__xludf.DUMMYFUNCTION("""COMPUTED_VALUE"""),12.230598780301158)</f>
        <v>12.23059878</v>
      </c>
      <c r="BA274" s="30">
        <f>IFERROR(__xludf.DUMMYFUNCTION("""COMPUTED_VALUE"""),1200.0)</f>
        <v>1200</v>
      </c>
    </row>
    <row r="275">
      <c r="A275" s="71" t="str">
        <f>IFERROR(__xludf.DUMMYFUNCTION("""COMPUTED_VALUE"""),"Veteran")</f>
        <v>Veteran</v>
      </c>
      <c r="B275" s="71" t="str">
        <f>IFERROR(__xludf.DUMMYFUNCTION("""COMPUTED_VALUE"""),"RSC006860")</f>
        <v>RSC006860</v>
      </c>
      <c r="C275" s="30" t="str">
        <f>IFERROR(__xludf.DUMMYFUNCTION("""COMPUTED_VALUE"""),"RyAndGav")</f>
        <v>RyAndGav</v>
      </c>
      <c r="D275" s="30" t="str">
        <f>IFERROR(__xludf.DUMMYFUNCTION("""COMPUTED_VALUE"""),"Water")</f>
        <v>Water</v>
      </c>
      <c r="E275" s="30">
        <f>IFERROR(__xludf.DUMMYFUNCTION("""COMPUTED_VALUE"""),11.0)</f>
        <v>11</v>
      </c>
      <c r="F275" s="30">
        <f>IFERROR(__xludf.DUMMYFUNCTION("""COMPUTED_VALUE"""),6.0)</f>
        <v>6</v>
      </c>
      <c r="G275" s="42">
        <f>IFERROR(__xludf.DUMMYFUNCTION("""COMPUTED_VALUE"""),5.0)</f>
        <v>5</v>
      </c>
      <c r="H275" s="42">
        <f>IFERROR(__xludf.DUMMYFUNCTION("""COMPUTED_VALUE"""),0.5454545454545454)</f>
        <v>0.5454545455</v>
      </c>
      <c r="I275" s="42">
        <f>IFERROR(__xludf.DUMMYFUNCTION("""COMPUTED_VALUE"""),0.4799999999999999)</f>
        <v>0.48</v>
      </c>
      <c r="J275" s="30">
        <f>IFERROR(__xludf.DUMMYFUNCTION("""COMPUTED_VALUE"""),391.27272727272725)</f>
        <v>391.2727273</v>
      </c>
      <c r="K275" s="30">
        <f>IFERROR(__xludf.DUMMYFUNCTION("""COMPUTED_VALUE"""),1.0909090909090908)</f>
        <v>1.090909091</v>
      </c>
      <c r="L275" s="30">
        <f>IFERROR(__xludf.DUMMYFUNCTION("""COMPUTED_VALUE"""),1.0)</f>
        <v>1</v>
      </c>
      <c r="M275" s="30">
        <f>IFERROR(__xludf.DUMMYFUNCTION("""COMPUTED_VALUE"""),1.0)</f>
        <v>1</v>
      </c>
      <c r="N275" s="30">
        <f>IFERROR(__xludf.DUMMYFUNCTION("""COMPUTED_VALUE"""),2.272727272727273)</f>
        <v>2.272727273</v>
      </c>
      <c r="O275" s="30">
        <f>IFERROR(__xludf.DUMMYFUNCTION("""COMPUTED_VALUE"""),300.5151515151515)</f>
        <v>300.5151515</v>
      </c>
      <c r="P275" s="30">
        <f>IFERROR(__xludf.DUMMYFUNCTION("""COMPUTED_VALUE"""),0.5757575757575757)</f>
        <v>0.5757575758</v>
      </c>
      <c r="Q275" s="30">
        <f>IFERROR(__xludf.DUMMYFUNCTION("""COMPUTED_VALUE"""),0.3333333333333334)</f>
        <v>0.3333333333</v>
      </c>
      <c r="R275" s="30">
        <f>IFERROR(__xludf.DUMMYFUNCTION("""COMPUTED_VALUE"""),1.1515151515151514)</f>
        <v>1.151515152</v>
      </c>
      <c r="S275" s="30">
        <f>IFERROR(__xludf.DUMMYFUNCTION("""COMPUTED_VALUE"""),1.9393939393939392)</f>
        <v>1.939393939</v>
      </c>
      <c r="T275" s="30">
        <f>IFERROR(__xludf.DUMMYFUNCTION("""COMPUTED_VALUE"""),350.9828939948414)</f>
        <v>350.982894</v>
      </c>
      <c r="U275" s="30">
        <f>IFERROR(__xludf.DUMMYFUNCTION("""COMPUTED_VALUE"""),0.7481414043297346)</f>
        <v>0.7481414043</v>
      </c>
      <c r="V275" s="30">
        <f>IFERROR(__xludf.DUMMYFUNCTION("""COMPUTED_VALUE"""),0.5187688840606298)</f>
        <v>0.5187688841</v>
      </c>
      <c r="W275" s="30">
        <f>IFERROR(__xludf.DUMMYFUNCTION("""COMPUTED_VALUE"""),1.4231288191392557)</f>
        <v>1.423128819</v>
      </c>
      <c r="X275" s="30">
        <f>IFERROR(__xludf.DUMMYFUNCTION("""COMPUTED_VALUE"""),2.5105666769803388)</f>
        <v>2.510566677</v>
      </c>
      <c r="Y275" s="30">
        <f>IFERROR(__xludf.DUMMYFUNCTION("""COMPUTED_VALUE"""),366.10106584504115)</f>
        <v>366.1010658</v>
      </c>
      <c r="Z275" s="30">
        <f>IFERROR(__xludf.DUMMYFUNCTION("""COMPUTED_VALUE"""),0.8391336594918187)</f>
        <v>0.8391336595</v>
      </c>
      <c r="AA275" s="30">
        <f>IFERROR(__xludf.DUMMYFUNCTION("""COMPUTED_VALUE"""),0.6430034384232677)</f>
        <v>0.6430034384</v>
      </c>
      <c r="AB275" s="30">
        <f>IFERROR(__xludf.DUMMYFUNCTION("""COMPUTED_VALUE"""),1.3200781485071493)</f>
        <v>1.320078149</v>
      </c>
      <c r="AC275" s="30">
        <f>IFERROR(__xludf.DUMMYFUNCTION("""COMPUTED_VALUE"""),2.807848616203297)</f>
        <v>2.807848616</v>
      </c>
      <c r="AD275" s="30">
        <f>IFERROR(__xludf.DUMMYFUNCTION("""COMPUTED_VALUE"""),1.0687560451909213)</f>
        <v>1.068756045</v>
      </c>
      <c r="AE275" s="30">
        <f>IFERROR(__xludf.DUMMYFUNCTION("""COMPUTED_VALUE"""),1.300042107201072)</f>
        <v>1.300042107</v>
      </c>
      <c r="AF275" s="30">
        <f>IFERROR(__xludf.DUMMYFUNCTION("""COMPUTED_VALUE"""),1.5552016369494643)</f>
        <v>1.555201637</v>
      </c>
      <c r="AG275" s="30">
        <f>IFERROR(__xludf.DUMMYFUNCTION("""COMPUTED_VALUE"""),0.7575309091593407)</f>
        <v>0.7575309092</v>
      </c>
      <c r="AH275" s="30">
        <f>IFERROR(__xludf.DUMMYFUNCTION("""COMPUTED_VALUE"""),0.8094194464801304)</f>
        <v>0.8094194465</v>
      </c>
      <c r="AI275" s="30">
        <f>IFERROR(__xludf.DUMMYFUNCTION("""COMPUTED_VALUE"""),0.8562102502909112)</f>
        <v>0.8562102503</v>
      </c>
      <c r="AJ275" s="30">
        <f>IFERROR(__xludf.DUMMYFUNCTION("""COMPUTED_VALUE"""),0.769583894736318)</f>
        <v>0.7695838947</v>
      </c>
      <c r="AK275" s="30">
        <f>IFERROR(__xludf.DUMMYFUNCTION("""COMPUTED_VALUE"""),0.6425468904846188)</f>
        <v>0.6425468905</v>
      </c>
      <c r="AL275" s="30">
        <f>IFERROR(__xludf.DUMMYFUNCTION("""COMPUTED_VALUE"""),0.8091433017368146)</f>
        <v>0.8091433017</v>
      </c>
      <c r="AM275" s="30">
        <f>IFERROR(__xludf.DUMMYFUNCTION("""COMPUTED_VALUE"""),0.7724925042527072)</f>
        <v>0.7724925043</v>
      </c>
      <c r="AN275" s="30">
        <f>IFERROR(__xludf.DUMMYFUNCTION("""COMPUTED_VALUE"""),1.1332130139136636)</f>
        <v>1.133213014</v>
      </c>
      <c r="AO275" s="30">
        <f>IFERROR(__xludf.DUMMYFUNCTION("""COMPUTED_VALUE"""),1.4461639152619)</f>
        <v>1.446163915</v>
      </c>
      <c r="AP275" s="30">
        <f>IFERROR(__xludf.DUMMYFUNCTION("""COMPUTED_VALUE"""),1.8545113223001983)</f>
        <v>1.854511322</v>
      </c>
      <c r="AQ275" s="30">
        <f>IFERROR(__xludf.DUMMYFUNCTION("""COMPUTED_VALUE"""),0.7403877633464013)</f>
        <v>0.7403877633</v>
      </c>
      <c r="AR275" s="30">
        <f>IFERROR(__xludf.DUMMYFUNCTION("""COMPUTED_VALUE"""),0.8875477391073794)</f>
        <v>0.8875477391</v>
      </c>
      <c r="AS275" s="30">
        <f>IFERROR(__xludf.DUMMYFUNCTION("""COMPUTED_VALUE"""),35.0)</f>
        <v>35</v>
      </c>
      <c r="AT275" s="30">
        <f>IFERROR(__xludf.DUMMYFUNCTION("""COMPUTED_VALUE"""),0.7240181731766973)</f>
        <v>0.7240181732</v>
      </c>
      <c r="AU275" s="30">
        <f>IFERROR(__xludf.DUMMYFUNCTION("""COMPUTED_VALUE"""),3.7905179332521888)</f>
        <v>3.790517933</v>
      </c>
      <c r="AV275" s="32">
        <f>IFERROR(__xludf.DUMMYFUNCTION("""COMPUTED_VALUE"""),94.00424633054321)</f>
        <v>94.00424633</v>
      </c>
      <c r="AW275" s="32">
        <f>IFERROR(__xludf.DUMMYFUNCTION("""COMPUTED_VALUE"""),25.517035160179134)</f>
        <v>25.51703516</v>
      </c>
      <c r="AX275" s="32">
        <f>IFERROR(__xludf.DUMMYFUNCTION("""COMPUTED_VALUE"""),86.98651889757949)</f>
        <v>86.9865189</v>
      </c>
      <c r="AY275" s="32">
        <f>IFERROR(__xludf.DUMMYFUNCTION("""COMPUTED_VALUE"""),14.386707689145128)</f>
        <v>14.38670769</v>
      </c>
      <c r="AZ275" s="30">
        <f>IFERROR(__xludf.DUMMYFUNCTION("""COMPUTED_VALUE"""),11.130327471034006)</f>
        <v>11.13032747</v>
      </c>
      <c r="BA275" s="30">
        <f>IFERROR(__xludf.DUMMYFUNCTION("""COMPUTED_VALUE"""),1200.0)</f>
        <v>1200</v>
      </c>
    </row>
    <row r="276">
      <c r="A276" s="71" t="str">
        <f>IFERROR(__xludf.DUMMYFUNCTION("""COMPUTED_VALUE"""),"Veteran")</f>
        <v>Veteran</v>
      </c>
      <c r="B276" s="71" t="str">
        <f>IFERROR(__xludf.DUMMYFUNCTION("""COMPUTED_VALUE"""),"RSC007825")</f>
        <v>RSC007825</v>
      </c>
      <c r="C276" s="30" t="str">
        <f>IFERROR(__xludf.DUMMYFUNCTION("""COMPUTED_VALUE"""),"Acryonix")</f>
        <v>Acryonix</v>
      </c>
      <c r="D276" s="30" t="str">
        <f>IFERROR(__xludf.DUMMYFUNCTION("""COMPUTED_VALUE"""),"Slots")</f>
        <v>Slots</v>
      </c>
      <c r="E276" s="30">
        <f>IFERROR(__xludf.DUMMYFUNCTION("""COMPUTED_VALUE"""),8.0)</f>
        <v>8</v>
      </c>
      <c r="F276" s="30">
        <f>IFERROR(__xludf.DUMMYFUNCTION("""COMPUTED_VALUE"""),4.0)</f>
        <v>4</v>
      </c>
      <c r="G276" s="42">
        <f>IFERROR(__xludf.DUMMYFUNCTION("""COMPUTED_VALUE"""),4.0)</f>
        <v>4</v>
      </c>
      <c r="H276" s="42">
        <f>IFERROR(__xludf.DUMMYFUNCTION("""COMPUTED_VALUE"""),0.5)</f>
        <v>0.5</v>
      </c>
      <c r="I276" s="42">
        <f>IFERROR(__xludf.DUMMYFUNCTION("""COMPUTED_VALUE"""),0.4444444444444444)</f>
        <v>0.4444444444</v>
      </c>
      <c r="J276" s="30">
        <f>IFERROR(__xludf.DUMMYFUNCTION("""COMPUTED_VALUE"""),339.5)</f>
        <v>339.5</v>
      </c>
      <c r="K276" s="30">
        <f>IFERROR(__xludf.DUMMYFUNCTION("""COMPUTED_VALUE"""),1.0)</f>
        <v>1</v>
      </c>
      <c r="L276" s="30">
        <f>IFERROR(__xludf.DUMMYFUNCTION("""COMPUTED_VALUE"""),0.125)</f>
        <v>0.125</v>
      </c>
      <c r="M276" s="30">
        <f>IFERROR(__xludf.DUMMYFUNCTION("""COMPUTED_VALUE"""),1.375)</f>
        <v>1.375</v>
      </c>
      <c r="N276" s="30">
        <f>IFERROR(__xludf.DUMMYFUNCTION("""COMPUTED_VALUE"""),2.25)</f>
        <v>2.25</v>
      </c>
      <c r="O276" s="30">
        <f>IFERROR(__xludf.DUMMYFUNCTION("""COMPUTED_VALUE"""),394.79166666666663)</f>
        <v>394.7916667</v>
      </c>
      <c r="P276" s="30">
        <f>IFERROR(__xludf.DUMMYFUNCTION("""COMPUTED_VALUE"""),0.9583333333333333)</f>
        <v>0.9583333333</v>
      </c>
      <c r="Q276" s="30">
        <f>IFERROR(__xludf.DUMMYFUNCTION("""COMPUTED_VALUE"""),0.75)</f>
        <v>0.75</v>
      </c>
      <c r="R276" s="30">
        <f>IFERROR(__xludf.DUMMYFUNCTION("""COMPUTED_VALUE"""),1.4166666666666667)</f>
        <v>1.416666667</v>
      </c>
      <c r="S276" s="30">
        <f>IFERROR(__xludf.DUMMYFUNCTION("""COMPUTED_VALUE"""),3.4999999999999996)</f>
        <v>3.5</v>
      </c>
      <c r="T276" s="30">
        <f>IFERROR(__xludf.DUMMYFUNCTION("""COMPUTED_VALUE"""),362.65815615892825)</f>
        <v>362.6581562</v>
      </c>
      <c r="U276" s="30">
        <f>IFERROR(__xludf.DUMMYFUNCTION("""COMPUTED_VALUE"""),0.8668338054918938)</f>
        <v>0.8668338055</v>
      </c>
      <c r="V276" s="30">
        <f>IFERROR(__xludf.DUMMYFUNCTION("""COMPUTED_VALUE"""),0.7245484165888577)</f>
        <v>0.7245484166</v>
      </c>
      <c r="W276" s="30">
        <f>IFERROR(__xludf.DUMMYFUNCTION("""COMPUTED_VALUE"""),1.1493551587301587)</f>
        <v>1.149355159</v>
      </c>
      <c r="X276" s="30">
        <f>IFERROR(__xludf.DUMMYFUNCTION("""COMPUTED_VALUE"""),2.9213046474903095)</f>
        <v>2.921304647</v>
      </c>
      <c r="Y276" s="30">
        <f>IFERROR(__xludf.DUMMYFUNCTION("""COMPUTED_VALUE"""),349.00806480273087)</f>
        <v>349.0080648</v>
      </c>
      <c r="Z276" s="30">
        <f>IFERROR(__xludf.DUMMYFUNCTION("""COMPUTED_VALUE"""),0.7536921340505899)</f>
        <v>0.7536921341</v>
      </c>
      <c r="AA276" s="30">
        <f>IFERROR(__xludf.DUMMYFUNCTION("""COMPUTED_VALUE"""),0.5465794720666044)</f>
        <v>0.5465794721</v>
      </c>
      <c r="AB276" s="30">
        <f>IFERROR(__xludf.DUMMYFUNCTION("""COMPUTED_VALUE"""),1.3882398580223334)</f>
        <v>1.388239858</v>
      </c>
      <c r="AC276" s="30">
        <f>IFERROR(__xludf.DUMMYFUNCTION("""COMPUTED_VALUE"""),2.4428603392114425)</f>
        <v>2.442860339</v>
      </c>
      <c r="AD276" s="30">
        <f>IFERROR(__xludf.DUMMYFUNCTION("""COMPUTED_VALUE"""),0.9727568908526366)</f>
        <v>0.9727568909</v>
      </c>
      <c r="AE276" s="30">
        <f>IFERROR(__xludf.DUMMYFUNCTION("""COMPUTED_VALUE"""),1.3268016937176597)</f>
        <v>1.326801694</v>
      </c>
      <c r="AF276" s="30">
        <f>IFERROR(__xludf.DUMMYFUNCTION("""COMPUTED_VALUE"""),0.2286950139700232)</f>
        <v>0.228695014</v>
      </c>
      <c r="AG276" s="30">
        <f>IFERROR(__xludf.DUMMYFUNCTION("""COMPUTED_VALUE"""),0.9904628454904078)</f>
        <v>0.9904628455</v>
      </c>
      <c r="AH276" s="30">
        <f>IFERROR(__xludf.DUMMYFUNCTION("""COMPUTED_VALUE"""),0.9210514264300111)</f>
        <v>0.9210514264</v>
      </c>
      <c r="AI276" s="30">
        <f>IFERROR(__xludf.DUMMYFUNCTION("""COMPUTED_VALUE"""),1.0886055089676694)</f>
        <v>1.088605509</v>
      </c>
      <c r="AJ276" s="30">
        <f>IFERROR(__xludf.DUMMYFUNCTION("""COMPUTED_VALUE"""),1.1055560215369278)</f>
        <v>1.105556022</v>
      </c>
      <c r="AK276" s="30">
        <f>IFERROR(__xludf.DUMMYFUNCTION("""COMPUTED_VALUE"""),1.0351275122937502)</f>
        <v>1.035127512</v>
      </c>
      <c r="AL276" s="30">
        <f>IFERROR(__xludf.DUMMYFUNCTION("""COMPUTED_VALUE"""),1.2325752017608218)</f>
        <v>1.232575202</v>
      </c>
      <c r="AM276" s="30">
        <f>IFERROR(__xludf.DUMMYFUNCTION("""COMPUTED_VALUE"""),1.1980948317070754)</f>
        <v>1.198094832</v>
      </c>
      <c r="AN276" s="30">
        <f>IFERROR(__xludf.DUMMYFUNCTION("""COMPUTED_VALUE"""),0.9832676580995764)</f>
        <v>0.9832676581</v>
      </c>
      <c r="AO276" s="30">
        <f>IFERROR(__xludf.DUMMYFUNCTION("""COMPUTED_VALUE"""),1.3256502556567418)</f>
        <v>1.325650256</v>
      </c>
      <c r="AP276" s="30">
        <f>IFERROR(__xludf.DUMMYFUNCTION("""COMPUTED_VALUE"""),0.2318139152875248)</f>
        <v>0.2318139153</v>
      </c>
      <c r="AQ276" s="30">
        <f>IFERROR(__xludf.DUMMYFUNCTION("""COMPUTED_VALUE"""),1.0180331746013018)</f>
        <v>1.018033175</v>
      </c>
      <c r="AR276" s="30">
        <f>IFERROR(__xludf.DUMMYFUNCTION("""COMPUTED_VALUE"""),0.8786722617163055)</f>
        <v>0.8786722617</v>
      </c>
      <c r="AS276" s="30">
        <f>IFERROR(__xludf.DUMMYFUNCTION("""COMPUTED_VALUE"""),20.0)</f>
        <v>20</v>
      </c>
      <c r="AT276" s="30">
        <f>IFERROR(__xludf.DUMMYFUNCTION("""COMPUTED_VALUE"""),0.44362365470593096)</f>
        <v>0.4436236547</v>
      </c>
      <c r="AU276" s="30">
        <f>IFERROR(__xludf.DUMMYFUNCTION("""COMPUTED_VALUE"""),1.9403545002959772)</f>
        <v>1.9403545</v>
      </c>
      <c r="AV276" s="32">
        <f>IFERROR(__xludf.DUMMYFUNCTION("""COMPUTED_VALUE"""),36.69341338941159)</f>
        <v>36.69341339</v>
      </c>
      <c r="AW276" s="32">
        <f>IFERROR(__xludf.DUMMYFUNCTION("""COMPUTED_VALUE"""),-3.3639252453617234)</f>
        <v>-3.363925245</v>
      </c>
      <c r="AX276" s="32">
        <f>IFERROR(__xludf.DUMMYFUNCTION("""COMPUTED_VALUE"""),12.924345632644638)</f>
        <v>12.92434563</v>
      </c>
      <c r="AY276" s="32">
        <f>IFERROR(__xludf.DUMMYFUNCTION("""COMPUTED_VALUE"""),-14.4856727926614)</f>
        <v>-14.48567279</v>
      </c>
      <c r="AZ276" s="30">
        <f>IFERROR(__xludf.DUMMYFUNCTION("""COMPUTED_VALUE"""),11.121747547299677)</f>
        <v>11.12174755</v>
      </c>
      <c r="BA276" s="30">
        <f>IFERROR(__xludf.DUMMYFUNCTION("""COMPUTED_VALUE"""),1200.0)</f>
        <v>1200</v>
      </c>
    </row>
    <row r="277">
      <c r="A277" s="71" t="str">
        <f>IFERROR(__xludf.DUMMYFUNCTION("""COMPUTED_VALUE"""),"Veteran")</f>
        <v>Veteran</v>
      </c>
      <c r="B277" s="71" t="str">
        <f>IFERROR(__xludf.DUMMYFUNCTION("""COMPUTED_VALUE"""),"RSC000367")</f>
        <v>RSC000367</v>
      </c>
      <c r="C277" s="30" t="str">
        <f>IFERROR(__xludf.DUMMYFUNCTION("""COMPUTED_VALUE"""),"Pana")</f>
        <v>Pana</v>
      </c>
      <c r="D277" s="30" t="str">
        <f>IFERROR(__xludf.DUMMYFUNCTION("""COMPUTED_VALUE"""),"Supernova")</f>
        <v>Supernova</v>
      </c>
      <c r="E277" s="30">
        <f>IFERROR(__xludf.DUMMYFUNCTION("""COMPUTED_VALUE"""),20.0)</f>
        <v>20</v>
      </c>
      <c r="F277" s="30">
        <f>IFERROR(__xludf.DUMMYFUNCTION("""COMPUTED_VALUE"""),5.0)</f>
        <v>5</v>
      </c>
      <c r="G277" s="42">
        <f>IFERROR(__xludf.DUMMYFUNCTION("""COMPUTED_VALUE"""),15.0)</f>
        <v>15</v>
      </c>
      <c r="H277" s="42">
        <f>IFERROR(__xludf.DUMMYFUNCTION("""COMPUTED_VALUE"""),0.25)</f>
        <v>0.25</v>
      </c>
      <c r="I277" s="42">
        <f>IFERROR(__xludf.DUMMYFUNCTION("""COMPUTED_VALUE"""),0.15555555555555556)</f>
        <v>0.1555555556</v>
      </c>
      <c r="J277" s="30">
        <f>IFERROR(__xludf.DUMMYFUNCTION("""COMPUTED_VALUE"""),290.05)</f>
        <v>290.05</v>
      </c>
      <c r="K277" s="30">
        <f>IFERROR(__xludf.DUMMYFUNCTION("""COMPUTED_VALUE"""),0.35)</f>
        <v>0.35</v>
      </c>
      <c r="L277" s="30">
        <f>IFERROR(__xludf.DUMMYFUNCTION("""COMPUTED_VALUE"""),0.35)</f>
        <v>0.35</v>
      </c>
      <c r="M277" s="30">
        <f>IFERROR(__xludf.DUMMYFUNCTION("""COMPUTED_VALUE"""),1.65)</f>
        <v>1.65</v>
      </c>
      <c r="N277" s="30">
        <f>IFERROR(__xludf.DUMMYFUNCTION("""COMPUTED_VALUE"""),2.25)</f>
        <v>2.25</v>
      </c>
      <c r="O277" s="30">
        <f>IFERROR(__xludf.DUMMYFUNCTION("""COMPUTED_VALUE"""),397.34999999999997)</f>
        <v>397.35</v>
      </c>
      <c r="P277" s="30">
        <f>IFERROR(__xludf.DUMMYFUNCTION("""COMPUTED_VALUE"""),1.1833333333333331)</f>
        <v>1.183333333</v>
      </c>
      <c r="Q277" s="30">
        <f>IFERROR(__xludf.DUMMYFUNCTION("""COMPUTED_VALUE"""),0.7833333333333333)</f>
        <v>0.7833333333</v>
      </c>
      <c r="R277" s="30">
        <f>IFERROR(__xludf.DUMMYFUNCTION("""COMPUTED_VALUE"""),1.1833333333333333)</f>
        <v>1.183333333</v>
      </c>
      <c r="S277" s="30">
        <f>IFERROR(__xludf.DUMMYFUNCTION("""COMPUTED_VALUE"""),3.1333333333333333)</f>
        <v>3.133333333</v>
      </c>
      <c r="T277" s="30">
        <f>IFERROR(__xludf.DUMMYFUNCTION("""COMPUTED_VALUE"""),348.6781970496428)</f>
        <v>348.678197</v>
      </c>
      <c r="U277" s="30">
        <f>IFERROR(__xludf.DUMMYFUNCTION("""COMPUTED_VALUE"""),0.8011054867349238)</f>
        <v>0.8011054867</v>
      </c>
      <c r="V277" s="30">
        <f>IFERROR(__xludf.DUMMYFUNCTION("""COMPUTED_VALUE"""),0.589006365991063)</f>
        <v>0.589006366</v>
      </c>
      <c r="W277" s="30">
        <f>IFERROR(__xludf.DUMMYFUNCTION("""COMPUTED_VALUE"""),1.257087708868877)</f>
        <v>1.257087709</v>
      </c>
      <c r="X277" s="30">
        <f>IFERROR(__xludf.DUMMYFUNCTION("""COMPUTED_VALUE"""),2.6616965034250697)</f>
        <v>2.661696503</v>
      </c>
      <c r="Y277" s="30">
        <f>IFERROR(__xludf.DUMMYFUNCTION("""COMPUTED_VALUE"""),345.081661689013)</f>
        <v>345.0816617</v>
      </c>
      <c r="Z277" s="30">
        <f>IFERROR(__xludf.DUMMYFUNCTION("""COMPUTED_VALUE"""),0.7237936201652259)</f>
        <v>0.7237936202</v>
      </c>
      <c r="AA277" s="30">
        <f>IFERROR(__xludf.DUMMYFUNCTION("""COMPUTED_VALUE"""),0.49425899817883356)</f>
        <v>0.4942589982</v>
      </c>
      <c r="AB277" s="30">
        <f>IFERROR(__xludf.DUMMYFUNCTION("""COMPUTED_VALUE"""),1.4249446333380935)</f>
        <v>1.424944633</v>
      </c>
      <c r="AC277" s="30">
        <f>IFERROR(__xludf.DUMMYFUNCTION("""COMPUTED_VALUE"""),2.4211221743657942)</f>
        <v>2.421122174</v>
      </c>
      <c r="AD277" s="30">
        <f>IFERROR(__xludf.DUMMYFUNCTION("""COMPUTED_VALUE"""),0.8405256847910758)</f>
        <v>0.8405256848</v>
      </c>
      <c r="AE277" s="30">
        <f>IFERROR(__xludf.DUMMYFUNCTION("""COMPUTED_VALUE"""),0.4835632564985898)</f>
        <v>0.4835632565</v>
      </c>
      <c r="AF277" s="30">
        <f>IFERROR(__xludf.DUMMYFUNCTION("""COMPUTED_VALUE"""),0.7081307599651679)</f>
        <v>0.70813076</v>
      </c>
      <c r="AG277" s="30">
        <f>IFERROR(__xludf.DUMMYFUNCTION("""COMPUTED_VALUE"""),1.157939727198164)</f>
        <v>1.157939727</v>
      </c>
      <c r="AH277" s="30">
        <f>IFERROR(__xludf.DUMMYFUNCTION("""COMPUTED_VALUE"""),0.9293211320859431)</f>
        <v>0.9293211321</v>
      </c>
      <c r="AI277" s="30">
        <f>IFERROR(__xludf.DUMMYFUNCTION("""COMPUTED_VALUE"""),1.1395894649054514)</f>
        <v>1.139589465</v>
      </c>
      <c r="AJ277" s="30">
        <f>IFERROR(__xludf.DUMMYFUNCTION("""COMPUTED_VALUE"""),1.4771254883751457)</f>
        <v>1.477125488</v>
      </c>
      <c r="AK277" s="30">
        <f>IFERROR(__xludf.DUMMYFUNCTION("""COMPUTED_VALUE"""),1.3299233736044525)</f>
        <v>1.329923374</v>
      </c>
      <c r="AL277" s="30">
        <f>IFERROR(__xludf.DUMMYFUNCTION("""COMPUTED_VALUE"""),0.9413291729644644)</f>
        <v>0.941329173</v>
      </c>
      <c r="AM277" s="30">
        <f>IFERROR(__xludf.DUMMYFUNCTION("""COMPUTED_VALUE"""),1.177194067505954)</f>
        <v>1.177194068</v>
      </c>
      <c r="AN277" s="30">
        <f>IFERROR(__xludf.DUMMYFUNCTION("""COMPUTED_VALUE"""),0.840049438090669)</f>
        <v>0.8400494381</v>
      </c>
      <c r="AO277" s="30">
        <f>IFERROR(__xludf.DUMMYFUNCTION("""COMPUTED_VALUE"""),0.46397758947985956)</f>
        <v>0.4639775895</v>
      </c>
      <c r="AP277" s="30">
        <f>IFERROR(__xludf.DUMMYFUNCTION("""COMPUTED_VALUE"""),0.6490789628050694)</f>
        <v>0.6490789628</v>
      </c>
      <c r="AQ277" s="30">
        <f>IFERROR(__xludf.DUMMYFUNCTION("""COMPUTED_VALUE"""),1.2216398095215621)</f>
        <v>1.22163981</v>
      </c>
      <c r="AR277" s="30">
        <f>IFERROR(__xludf.DUMMYFUNCTION("""COMPUTED_VALUE"""),0.8786722617163055)</f>
        <v>0.8786722617</v>
      </c>
      <c r="AS277" s="30">
        <f>IFERROR(__xludf.DUMMYFUNCTION("""COMPUTED_VALUE"""),40.0)</f>
        <v>40</v>
      </c>
      <c r="AT277" s="30">
        <f>IFERROR(__xludf.DUMMYFUNCTION("""COMPUTED_VALUE"""),0.2812302212016141)</f>
        <v>0.2812302212</v>
      </c>
      <c r="AU277" s="30">
        <f>IFERROR(__xludf.DUMMYFUNCTION("""COMPUTED_VALUE"""),1.0453427040870298)</f>
        <v>1.045342704</v>
      </c>
      <c r="AV277" s="32">
        <f>IFERROR(__xludf.DUMMYFUNCTION("""COMPUTED_VALUE"""),8.969445539222697)</f>
        <v>8.969445539</v>
      </c>
      <c r="AW277" s="32">
        <f>IFERROR(__xludf.DUMMYFUNCTION("""COMPUTED_VALUE"""),-19.850859795942462)</f>
        <v>-19.8508598</v>
      </c>
      <c r="AX277" s="32">
        <f>IFERROR(__xludf.DUMMYFUNCTION("""COMPUTED_VALUE"""),19.59498704387792)</f>
        <v>19.59498704</v>
      </c>
      <c r="AY277" s="32">
        <f>IFERROR(__xludf.DUMMYFUNCTION("""COMPUTED_VALUE"""),-8.93221823167457)</f>
        <v>-8.932218232</v>
      </c>
      <c r="AZ277" s="30">
        <f>IFERROR(__xludf.DUMMYFUNCTION("""COMPUTED_VALUE"""),10.918641564267892)</f>
        <v>10.91864156</v>
      </c>
      <c r="BA277" s="30">
        <f>IFERROR(__xludf.DUMMYFUNCTION("""COMPUTED_VALUE"""),1200.0)</f>
        <v>1200</v>
      </c>
    </row>
    <row r="278">
      <c r="A278" s="71" t="str">
        <f>IFERROR(__xludf.DUMMYFUNCTION("""COMPUTED_VALUE"""),"Veteran")</f>
        <v>Veteran</v>
      </c>
      <c r="B278" s="71" t="str">
        <f>IFERROR(__xludf.DUMMYFUNCTION("""COMPUTED_VALUE"""),"RSC001074")</f>
        <v>RSC001074</v>
      </c>
      <c r="C278" s="30" t="str">
        <f>IFERROR(__xludf.DUMMYFUNCTION("""COMPUTED_VALUE"""),"Sabre")</f>
        <v>Sabre</v>
      </c>
      <c r="D278" s="30"/>
      <c r="E278" s="30">
        <f>IFERROR(__xludf.DUMMYFUNCTION("""COMPUTED_VALUE"""),4.0)</f>
        <v>4</v>
      </c>
      <c r="F278" s="30">
        <f>IFERROR(__xludf.DUMMYFUNCTION("""COMPUTED_VALUE"""),2.0)</f>
        <v>2</v>
      </c>
      <c r="G278" s="42">
        <f>IFERROR(__xludf.DUMMYFUNCTION("""COMPUTED_VALUE"""),2.0)</f>
        <v>2</v>
      </c>
      <c r="H278" s="42">
        <f>IFERROR(__xludf.DUMMYFUNCTION("""COMPUTED_VALUE"""),0.5)</f>
        <v>0.5</v>
      </c>
      <c r="I278" s="42">
        <f>IFERROR(__xludf.DUMMYFUNCTION("""COMPUTED_VALUE"""),0.5555555555555556)</f>
        <v>0.5555555556</v>
      </c>
      <c r="J278" s="30">
        <f>IFERROR(__xludf.DUMMYFUNCTION("""COMPUTED_VALUE"""),397.75)</f>
        <v>397.75</v>
      </c>
      <c r="K278" s="30">
        <f>IFERROR(__xludf.DUMMYFUNCTION("""COMPUTED_VALUE"""),1.25)</f>
        <v>1.25</v>
      </c>
      <c r="L278" s="30">
        <f>IFERROR(__xludf.DUMMYFUNCTION("""COMPUTED_VALUE"""),1.0)</f>
        <v>1</v>
      </c>
      <c r="M278" s="30">
        <f>IFERROR(__xludf.DUMMYFUNCTION("""COMPUTED_VALUE"""),1.75)</f>
        <v>1.75</v>
      </c>
      <c r="N278" s="30">
        <f>IFERROR(__xludf.DUMMYFUNCTION("""COMPUTED_VALUE"""),2.25)</f>
        <v>2.25</v>
      </c>
      <c r="O278" s="30">
        <f>IFERROR(__xludf.DUMMYFUNCTION("""COMPUTED_VALUE"""),381.41666666666663)</f>
        <v>381.4166667</v>
      </c>
      <c r="P278" s="30">
        <f>IFERROR(__xludf.DUMMYFUNCTION("""COMPUTED_VALUE"""),1.1666666666666665)</f>
        <v>1.166666667</v>
      </c>
      <c r="Q278" s="30">
        <f>IFERROR(__xludf.DUMMYFUNCTION("""COMPUTED_VALUE"""),0.5833333333333333)</f>
        <v>0.5833333333</v>
      </c>
      <c r="R278" s="30">
        <f>IFERROR(__xludf.DUMMYFUNCTION("""COMPUTED_VALUE"""),1.3333333333333333)</f>
        <v>1.333333333</v>
      </c>
      <c r="S278" s="30">
        <f>IFERROR(__xludf.DUMMYFUNCTION("""COMPUTED_VALUE"""),3.083333333333333)</f>
        <v>3.083333333</v>
      </c>
      <c r="T278" s="30">
        <f>IFERROR(__xludf.DUMMYFUNCTION("""COMPUTED_VALUE"""),356.433544546851)</f>
        <v>356.4335445</v>
      </c>
      <c r="U278" s="30">
        <f>IFERROR(__xludf.DUMMYFUNCTION("""COMPUTED_VALUE"""),0.8506336405529954)</f>
        <v>0.8506336406</v>
      </c>
      <c r="V278" s="30">
        <f>IFERROR(__xludf.DUMMYFUNCTION("""COMPUTED_VALUE"""),0.4709293394777266)</f>
        <v>0.4709293395</v>
      </c>
      <c r="W278" s="30">
        <f>IFERROR(__xludf.DUMMYFUNCTION("""COMPUTED_VALUE"""),1.4190668202764976)</f>
        <v>1.41906682</v>
      </c>
      <c r="X278" s="30">
        <f>IFERROR(__xludf.DUMMYFUNCTION("""COMPUTED_VALUE"""),2.7075652841781874)</f>
        <v>2.707565284</v>
      </c>
      <c r="Y278" s="30">
        <f>IFERROR(__xludf.DUMMYFUNCTION("""COMPUTED_VALUE"""),403.26651945724524)</f>
        <v>403.2665195</v>
      </c>
      <c r="Z278" s="30">
        <f>IFERROR(__xludf.DUMMYFUNCTION("""COMPUTED_VALUE"""),1.0330133128520225)</f>
        <v>1.033013313</v>
      </c>
      <c r="AA278" s="30">
        <f>IFERROR(__xludf.DUMMYFUNCTION("""COMPUTED_VALUE"""),0.7519137224782387)</f>
        <v>0.7519137225</v>
      </c>
      <c r="AB278" s="30">
        <f>IFERROR(__xludf.DUMMYFUNCTION("""COMPUTED_VALUE"""),1.5206669226830514)</f>
        <v>1.520666923</v>
      </c>
      <c r="AC278" s="30">
        <f>IFERROR(__xludf.DUMMYFUNCTION("""COMPUTED_VALUE"""),2.820410906298003)</f>
        <v>2.820410906</v>
      </c>
      <c r="AD278" s="30">
        <f>IFERROR(__xludf.DUMMYFUNCTION("""COMPUTED_VALUE"""),0.9863204129500512)</f>
        <v>0.986320413</v>
      </c>
      <c r="AE278" s="30">
        <f>IFERROR(__xludf.DUMMYFUNCTION("""COMPUTED_VALUE"""),1.2100521691718609)</f>
        <v>1.210052169</v>
      </c>
      <c r="AF278" s="30">
        <f>IFERROR(__xludf.DUMMYFUNCTION("""COMPUTED_VALUE"""),1.3299398190314862)</f>
        <v>1.329939819</v>
      </c>
      <c r="AG278" s="30">
        <f>IFERROR(__xludf.DUMMYFUNCTION("""COMPUTED_VALUE"""),1.1508108540378557)</f>
        <v>1.150810854</v>
      </c>
      <c r="AH278" s="30">
        <f>IFERROR(__xludf.DUMMYFUNCTION("""COMPUTED_VALUE"""),0.7977560982251662)</f>
        <v>0.7977560982</v>
      </c>
      <c r="AI278" s="30">
        <f>IFERROR(__xludf.DUMMYFUNCTION("""COMPUTED_VALUE"""),1.0700919498235715)</f>
        <v>1.07009195</v>
      </c>
      <c r="AJ278" s="30">
        <f>IFERROR(__xludf.DUMMYFUNCTION("""COMPUTED_VALUE"""),1.3715266021083043)</f>
        <v>1.371526602</v>
      </c>
      <c r="AK278" s="30">
        <f>IFERROR(__xludf.DUMMYFUNCTION("""COMPUTED_VALUE"""),1.238685476637038)</f>
        <v>1.238685477</v>
      </c>
      <c r="AL278" s="30">
        <f>IFERROR(__xludf.DUMMYFUNCTION("""COMPUTED_VALUE"""),0.9395846018537312)</f>
        <v>0.9395846019</v>
      </c>
      <c r="AM278" s="30">
        <f>IFERROR(__xludf.DUMMYFUNCTION("""COMPUTED_VALUE"""),1.1387844833699736)</f>
        <v>1.138784483</v>
      </c>
      <c r="AN278" s="30">
        <f>IFERROR(__xludf.DUMMYFUNCTION("""COMPUTED_VALUE"""),1.151972639202081)</f>
        <v>1.151972639</v>
      </c>
      <c r="AO278" s="30">
        <f>IFERROR(__xludf.DUMMYFUNCTION("""COMPUTED_VALUE"""),1.6570628195709272)</f>
        <v>1.65706282</v>
      </c>
      <c r="AP278" s="30">
        <f>IFERROR(__xludf.DUMMYFUNCTION("""COMPUTED_VALUE"""),1.8545113223001983)</f>
        <v>1.854511322</v>
      </c>
      <c r="AQ278" s="30">
        <f>IFERROR(__xludf.DUMMYFUNCTION("""COMPUTED_VALUE"""),1.2956785858562023)</f>
        <v>1.295678586</v>
      </c>
      <c r="AR278" s="30">
        <f>IFERROR(__xludf.DUMMYFUNCTION("""COMPUTED_VALUE"""),0.8786722617163055)</f>
        <v>0.8786722617</v>
      </c>
      <c r="AS278" s="30">
        <f>IFERROR(__xludf.DUMMYFUNCTION("""COMPUTED_VALUE"""),14.0)</f>
        <v>14</v>
      </c>
      <c r="AT278" s="30">
        <f>IFERROR(__xludf.DUMMYFUNCTION("""COMPUTED_VALUE"""),0.5000000000000001)</f>
        <v>0.5</v>
      </c>
      <c r="AU278" s="30">
        <f>IFERROR(__xludf.DUMMYFUNCTION("""COMPUTED_VALUE"""),3.2153785544167754)</f>
        <v>3.215378554</v>
      </c>
      <c r="AV278" s="32">
        <f>IFERROR(__xludf.DUMMYFUNCTION("""COMPUTED_VALUE"""),76.18867594839811)</f>
        <v>76.18867595</v>
      </c>
      <c r="AW278" s="32">
        <f>IFERROR(__xludf.DUMMYFUNCTION("""COMPUTED_VALUE"""),6.783171030345029)</f>
        <v>6.78317103</v>
      </c>
      <c r="AX278" s="32">
        <f>IFERROR(__xludf.DUMMYFUNCTION("""COMPUTED_VALUE"""),43.05015386847421)</f>
        <v>43.05015387</v>
      </c>
      <c r="AY278" s="32">
        <f>IFERROR(__xludf.DUMMYFUNCTION("""COMPUTED_VALUE"""),-2.5607634487710924)</f>
        <v>-2.560763449</v>
      </c>
      <c r="AZ278" s="30">
        <f>IFERROR(__xludf.DUMMYFUNCTION("""COMPUTED_VALUE"""),9.343934479116122)</f>
        <v>9.343934479</v>
      </c>
      <c r="BA278" s="30">
        <f>IFERROR(__xludf.DUMMYFUNCTION("""COMPUTED_VALUE"""),1200.0)</f>
        <v>1200</v>
      </c>
    </row>
    <row r="279">
      <c r="A279" s="71" t="str">
        <f>IFERROR(__xludf.DUMMYFUNCTION("""COMPUTED_VALUE"""),"Veteran")</f>
        <v>Veteran</v>
      </c>
      <c r="B279" s="71" t="str">
        <f>IFERROR(__xludf.DUMMYFUNCTION("""COMPUTED_VALUE"""),"RSC002906")</f>
        <v>RSC002906</v>
      </c>
      <c r="C279" s="30" t="str">
        <f>IFERROR(__xludf.DUMMYFUNCTION("""COMPUTED_VALUE"""),"PackRL")</f>
        <v>PackRL</v>
      </c>
      <c r="D279" s="30" t="str">
        <f>IFERROR(__xludf.DUMMYFUNCTION("""COMPUTED_VALUE"""),"Legati")</f>
        <v>Legati</v>
      </c>
      <c r="E279" s="30">
        <f>IFERROR(__xludf.DUMMYFUNCTION("""COMPUTED_VALUE"""),18.0)</f>
        <v>18</v>
      </c>
      <c r="F279" s="30">
        <f>IFERROR(__xludf.DUMMYFUNCTION("""COMPUTED_VALUE"""),12.0)</f>
        <v>12</v>
      </c>
      <c r="G279" s="42">
        <f>IFERROR(__xludf.DUMMYFUNCTION("""COMPUTED_VALUE"""),6.0)</f>
        <v>6</v>
      </c>
      <c r="H279" s="42">
        <f>IFERROR(__xludf.DUMMYFUNCTION("""COMPUTED_VALUE"""),0.6666666666666666)</f>
        <v>0.6666666667</v>
      </c>
      <c r="I279" s="42">
        <f>IFERROR(__xludf.DUMMYFUNCTION("""COMPUTED_VALUE"""),0.33898305084745767)</f>
        <v>0.3389830508</v>
      </c>
      <c r="J279" s="30">
        <f>IFERROR(__xludf.DUMMYFUNCTION("""COMPUTED_VALUE"""),458.44444444444446)</f>
        <v>458.4444444</v>
      </c>
      <c r="K279" s="30">
        <f>IFERROR(__xludf.DUMMYFUNCTION("""COMPUTED_VALUE"""),1.1111111111111112)</f>
        <v>1.111111111</v>
      </c>
      <c r="L279" s="30">
        <f>IFERROR(__xludf.DUMMYFUNCTION("""COMPUTED_VALUE"""),0.6111111111111112)</f>
        <v>0.6111111111</v>
      </c>
      <c r="M279" s="30">
        <f>IFERROR(__xludf.DUMMYFUNCTION("""COMPUTED_VALUE"""),2.1666666666666665)</f>
        <v>2.166666667</v>
      </c>
      <c r="N279" s="30">
        <f>IFERROR(__xludf.DUMMYFUNCTION("""COMPUTED_VALUE"""),3.2777777777777777)</f>
        <v>3.277777778</v>
      </c>
      <c r="O279" s="30">
        <f>IFERROR(__xludf.DUMMYFUNCTION("""COMPUTED_VALUE"""),359.1666666666667)</f>
        <v>359.1666667</v>
      </c>
      <c r="P279" s="30">
        <f>IFERROR(__xludf.DUMMYFUNCTION("""COMPUTED_VALUE"""),0.7407407407407407)</f>
        <v>0.7407407407</v>
      </c>
      <c r="Q279" s="30">
        <f>IFERROR(__xludf.DUMMYFUNCTION("""COMPUTED_VALUE"""),0.5555555555555557)</f>
        <v>0.5555555556</v>
      </c>
      <c r="R279" s="30">
        <f>IFERROR(__xludf.DUMMYFUNCTION("""COMPUTED_VALUE"""),1.5)</f>
        <v>1.5</v>
      </c>
      <c r="S279" s="30">
        <f>IFERROR(__xludf.DUMMYFUNCTION("""COMPUTED_VALUE"""),2.8888888888888884)</f>
        <v>2.888888889</v>
      </c>
      <c r="T279" s="30">
        <f>IFERROR(__xludf.DUMMYFUNCTION("""COMPUTED_VALUE"""),368.12910394968515)</f>
        <v>368.1291039</v>
      </c>
      <c r="U279" s="30">
        <f>IFERROR(__xludf.DUMMYFUNCTION("""COMPUTED_VALUE"""),0.8284684915297307)</f>
        <v>0.8284684915</v>
      </c>
      <c r="V279" s="30">
        <f>IFERROR(__xludf.DUMMYFUNCTION("""COMPUTED_VALUE"""),0.6366850363333739)</f>
        <v>0.6366850363</v>
      </c>
      <c r="W279" s="30">
        <f>IFERROR(__xludf.DUMMYFUNCTION("""COMPUTED_VALUE"""),1.3842471932412257)</f>
        <v>1.384247193</v>
      </c>
      <c r="X279" s="30">
        <f>IFERROR(__xludf.DUMMYFUNCTION("""COMPUTED_VALUE"""),2.674923713446732)</f>
        <v>2.674923713</v>
      </c>
      <c r="Y279" s="30">
        <f>IFERROR(__xludf.DUMMYFUNCTION("""COMPUTED_VALUE"""),354.70091805106375)</f>
        <v>354.7009181</v>
      </c>
      <c r="Z279" s="30">
        <f>IFERROR(__xludf.DUMMYFUNCTION("""COMPUTED_VALUE"""),0.7663450502763283)</f>
        <v>0.7663450503</v>
      </c>
      <c r="AA279" s="30">
        <f>IFERROR(__xludf.DUMMYFUNCTION("""COMPUTED_VALUE"""),0.5986318914755024)</f>
        <v>0.5986318915</v>
      </c>
      <c r="AB279" s="30">
        <f>IFERROR(__xludf.DUMMYFUNCTION("""COMPUTED_VALUE"""),1.326860923292201)</f>
        <v>1.326860923</v>
      </c>
      <c r="AC279" s="30">
        <f>IFERROR(__xludf.DUMMYFUNCTION("""COMPUTED_VALUE"""),2.643316378260018)</f>
        <v>2.643316378</v>
      </c>
      <c r="AD279" s="30">
        <f>IFERROR(__xludf.DUMMYFUNCTION("""COMPUTED_VALUE"""),1.2924816968712933)</f>
        <v>1.292481697</v>
      </c>
      <c r="AE279" s="30">
        <f>IFERROR(__xludf.DUMMYFUNCTION("""COMPUTED_VALUE"""),1.4498835879614116)</f>
        <v>1.449883588</v>
      </c>
      <c r="AF279" s="30">
        <f>IFERROR(__xludf.DUMMYFUNCTION("""COMPUTED_VALUE"""),1.0208462325734937)</f>
        <v>1.020846233</v>
      </c>
      <c r="AG279" s="30">
        <f>IFERROR(__xludf.DUMMYFUNCTION("""COMPUTED_VALUE"""),1.632926728515558)</f>
        <v>1.632926729</v>
      </c>
      <c r="AH279" s="30">
        <f>IFERROR(__xludf.DUMMYFUNCTION("""COMPUTED_VALUE"""),1.2400247676501739)</f>
        <v>1.240024768</v>
      </c>
      <c r="AI279" s="30">
        <f>IFERROR(__xludf.DUMMYFUNCTION("""COMPUTED_VALUE"""),0.975654092037658)</f>
        <v>0.975654092</v>
      </c>
      <c r="AJ279" s="30">
        <f>IFERROR(__xludf.DUMMYFUNCTION("""COMPUTED_VALUE"""),0.894108524722522)</f>
        <v>0.8941085247</v>
      </c>
      <c r="AK279" s="30">
        <f>IFERROR(__xludf.DUMMYFUNCTION("""COMPUTED_VALUE"""),0.8725751727336998)</f>
        <v>0.8725751727</v>
      </c>
      <c r="AL279" s="30">
        <f>IFERROR(__xludf.DUMMYFUNCTION("""COMPUTED_VALUE"""),1.083621485616119)</f>
        <v>1.083621486</v>
      </c>
      <c r="AM279" s="30">
        <f>IFERROR(__xludf.DUMMYFUNCTION("""COMPUTED_VALUE"""),1.0799892626345051)</f>
        <v>1.079989263</v>
      </c>
      <c r="AN279" s="30">
        <f>IFERROR(__xludf.DUMMYFUNCTION("""COMPUTED_VALUE"""),1.3277572761639183)</f>
        <v>1.327757276</v>
      </c>
      <c r="AO279" s="30">
        <f>IFERROR(__xludf.DUMMYFUNCTION("""COMPUTED_VALUE"""),1.4729447285074908)</f>
        <v>1.472944729</v>
      </c>
      <c r="AP279" s="30">
        <f>IFERROR(__xludf.DUMMYFUNCTION("""COMPUTED_VALUE"""),1.1333124747390102)</f>
        <v>1.133312475</v>
      </c>
      <c r="AQ279" s="30">
        <f>IFERROR(__xludf.DUMMYFUNCTION("""COMPUTED_VALUE"""),1.6041734872505362)</f>
        <v>1.604173487</v>
      </c>
      <c r="AR279" s="30">
        <f>IFERROR(__xludf.DUMMYFUNCTION("""COMPUTED_VALUE"""),1.2800410726237537)</f>
        <v>1.280041073</v>
      </c>
      <c r="AS279" s="30">
        <f>IFERROR(__xludf.DUMMYFUNCTION("""COMPUTED_VALUE"""),52.0)</f>
        <v>52</v>
      </c>
      <c r="AT279" s="30">
        <f>IFERROR(__xludf.DUMMYFUNCTION("""COMPUTED_VALUE"""),0.6032519135424991)</f>
        <v>0.6032519135</v>
      </c>
      <c r="AU279" s="30">
        <f>IFERROR(__xludf.DUMMYFUNCTION("""COMPUTED_VALUE"""),3.573055048025812)</f>
        <v>3.573055048</v>
      </c>
      <c r="AV279" s="32">
        <f>IFERROR(__xludf.DUMMYFUNCTION("""COMPUTED_VALUE"""),87.2680959645229)</f>
        <v>87.26809596</v>
      </c>
      <c r="AW279" s="32">
        <f>IFERROR(__xludf.DUMMYFUNCTION("""COMPUTED_VALUE"""),14.702205212099697)</f>
        <v>14.70220521</v>
      </c>
      <c r="AX279" s="32">
        <f>IFERROR(__xludf.DUMMYFUNCTION("""COMPUTED_VALUE"""),73.17185462394431)</f>
        <v>73.17185462</v>
      </c>
      <c r="AY279" s="32">
        <f>IFERROR(__xludf.DUMMYFUNCTION("""COMPUTED_VALUE"""),5.64984739785336)</f>
        <v>5.649847398</v>
      </c>
      <c r="AZ279" s="30">
        <f>IFERROR(__xludf.DUMMYFUNCTION("""COMPUTED_VALUE"""),9.052357814246337)</f>
        <v>9.052357814</v>
      </c>
      <c r="BA279" s="30">
        <f>IFERROR(__xludf.DUMMYFUNCTION("""COMPUTED_VALUE"""),1200.0)</f>
        <v>1200</v>
      </c>
    </row>
    <row r="280">
      <c r="A280" s="71" t="str">
        <f>IFERROR(__xludf.DUMMYFUNCTION("""COMPUTED_VALUE"""),"Veteran")</f>
        <v>Veteran</v>
      </c>
      <c r="B280" s="71" t="str">
        <f>IFERROR(__xludf.DUMMYFUNCTION("""COMPUTED_VALUE"""),"RSC007443")</f>
        <v>RSC007443</v>
      </c>
      <c r="C280" s="30" t="str">
        <f>IFERROR(__xludf.DUMMYFUNCTION("""COMPUTED_VALUE"""),"Allusion.-.")</f>
        <v>Allusion.-.</v>
      </c>
      <c r="D280" s="30" t="str">
        <f>IFERROR(__xludf.DUMMYFUNCTION("""COMPUTED_VALUE"""),"Possessed")</f>
        <v>Possessed</v>
      </c>
      <c r="E280" s="30">
        <f>IFERROR(__xludf.DUMMYFUNCTION("""COMPUTED_VALUE"""),14.0)</f>
        <v>14</v>
      </c>
      <c r="F280" s="30">
        <f>IFERROR(__xludf.DUMMYFUNCTION("""COMPUTED_VALUE"""),4.0)</f>
        <v>4</v>
      </c>
      <c r="G280" s="42">
        <f>IFERROR(__xludf.DUMMYFUNCTION("""COMPUTED_VALUE"""),10.0)</f>
        <v>10</v>
      </c>
      <c r="H280" s="42">
        <f>IFERROR(__xludf.DUMMYFUNCTION("""COMPUTED_VALUE"""),0.2857142857142857)</f>
        <v>0.2857142857</v>
      </c>
      <c r="I280" s="42">
        <f>IFERROR(__xludf.DUMMYFUNCTION("""COMPUTED_VALUE"""),0.3333333333333333)</f>
        <v>0.3333333333</v>
      </c>
      <c r="J280" s="30">
        <f>IFERROR(__xludf.DUMMYFUNCTION("""COMPUTED_VALUE"""),288.07142857142856)</f>
        <v>288.0714286</v>
      </c>
      <c r="K280" s="30">
        <f>IFERROR(__xludf.DUMMYFUNCTION("""COMPUTED_VALUE"""),0.5714285714285714)</f>
        <v>0.5714285714</v>
      </c>
      <c r="L280" s="30">
        <f>IFERROR(__xludf.DUMMYFUNCTION("""COMPUTED_VALUE"""),0.2857142857142857)</f>
        <v>0.2857142857</v>
      </c>
      <c r="M280" s="30">
        <f>IFERROR(__xludf.DUMMYFUNCTION("""COMPUTED_VALUE"""),1.3571428571428572)</f>
        <v>1.357142857</v>
      </c>
      <c r="N280" s="30">
        <f>IFERROR(__xludf.DUMMYFUNCTION("""COMPUTED_VALUE"""),1.7142857142857142)</f>
        <v>1.714285714</v>
      </c>
      <c r="O280" s="30">
        <f>IFERROR(__xludf.DUMMYFUNCTION("""COMPUTED_VALUE"""),361.9047619047618)</f>
        <v>361.9047619</v>
      </c>
      <c r="P280" s="30">
        <f>IFERROR(__xludf.DUMMYFUNCTION("""COMPUTED_VALUE"""),0.9761904761904763)</f>
        <v>0.9761904762</v>
      </c>
      <c r="Q280" s="30">
        <f>IFERROR(__xludf.DUMMYFUNCTION("""COMPUTED_VALUE"""),0.6904761904761905)</f>
        <v>0.6904761905</v>
      </c>
      <c r="R280" s="30">
        <f>IFERROR(__xludf.DUMMYFUNCTION("""COMPUTED_VALUE"""),1.1666666666666665)</f>
        <v>1.166666667</v>
      </c>
      <c r="S280" s="30">
        <f>IFERROR(__xludf.DUMMYFUNCTION("""COMPUTED_VALUE"""),2.2857142857142856)</f>
        <v>2.285714286</v>
      </c>
      <c r="T280" s="30">
        <f>IFERROR(__xludf.DUMMYFUNCTION("""COMPUTED_VALUE"""),344.23829697830377)</f>
        <v>344.238297</v>
      </c>
      <c r="U280" s="30">
        <f>IFERROR(__xludf.DUMMYFUNCTION("""COMPUTED_VALUE"""),0.7432326362007633)</f>
        <v>0.7432326362</v>
      </c>
      <c r="V280" s="30">
        <f>IFERROR(__xludf.DUMMYFUNCTION("""COMPUTED_VALUE"""),0.5071087738744423)</f>
        <v>0.5071087739</v>
      </c>
      <c r="W280" s="30">
        <f>IFERROR(__xludf.DUMMYFUNCTION("""COMPUTED_VALUE"""),1.3500575096987855)</f>
        <v>1.35005751</v>
      </c>
      <c r="X280" s="30">
        <f>IFERROR(__xludf.DUMMYFUNCTION("""COMPUTED_VALUE"""),2.4738966822697934)</f>
        <v>2.473896682</v>
      </c>
      <c r="Y280" s="30">
        <f>IFERROR(__xludf.DUMMYFUNCTION("""COMPUTED_VALUE"""),342.16553358041665)</f>
        <v>342.1655336</v>
      </c>
      <c r="Z280" s="30">
        <f>IFERROR(__xludf.DUMMYFUNCTION("""COMPUTED_VALUE"""),0.7443610054685154)</f>
        <v>0.7443610055</v>
      </c>
      <c r="AA280" s="30">
        <f>IFERROR(__xludf.DUMMYFUNCTION("""COMPUTED_VALUE"""),0.5511312813242562)</f>
        <v>0.5511312813</v>
      </c>
      <c r="AB280" s="30">
        <f>IFERROR(__xludf.DUMMYFUNCTION("""COMPUTED_VALUE"""),1.288450248118697)</f>
        <v>1.288450248</v>
      </c>
      <c r="AC280" s="30">
        <f>IFERROR(__xludf.DUMMYFUNCTION("""COMPUTED_VALUE"""),2.5794835844938446)</f>
        <v>2.579483584</v>
      </c>
      <c r="AD280" s="30">
        <f>IFERROR(__xludf.DUMMYFUNCTION("""COMPUTED_VALUE"""),0.8419066220874208)</f>
        <v>0.8419066221</v>
      </c>
      <c r="AE280" s="30">
        <f>IFERROR(__xludf.DUMMYFUNCTION("""COMPUTED_VALUE"""),0.7676766612309347)</f>
        <v>0.7676766612</v>
      </c>
      <c r="AF280" s="30">
        <f>IFERROR(__xludf.DUMMYFUNCTION("""COMPUTED_VALUE"""),0.5184142061901703)</f>
        <v>0.5184142062</v>
      </c>
      <c r="AG280" s="30">
        <f>IFERROR(__xludf.DUMMYFUNCTION("""COMPUTED_VALUE"""),1.0533141338786347)</f>
        <v>1.053314134</v>
      </c>
      <c r="AH280" s="30">
        <f>IFERROR(__xludf.DUMMYFUNCTION("""COMPUTED_VALUE"""),0.6645848512434311)</f>
        <v>0.6645848512</v>
      </c>
      <c r="AI280" s="30">
        <f>IFERROR(__xludf.DUMMYFUNCTION("""COMPUTED_VALUE"""),1.0513204517961332)</f>
        <v>1.051320452</v>
      </c>
      <c r="AJ280" s="30">
        <f>IFERROR(__xludf.DUMMYFUNCTION("""COMPUTED_VALUE"""),1.3134386578885189)</f>
        <v>1.313438658</v>
      </c>
      <c r="AK280" s="30">
        <f>IFERROR(__xludf.DUMMYFUNCTION("""COMPUTED_VALUE"""),1.3615938553000644)</f>
        <v>1.361593855</v>
      </c>
      <c r="AL280" s="30">
        <f>IFERROR(__xludf.DUMMYFUNCTION("""COMPUTED_VALUE"""),0.8641607178104319)</f>
        <v>0.8641607178</v>
      </c>
      <c r="AM280" s="30">
        <f>IFERROR(__xludf.DUMMYFUNCTION("""COMPUTED_VALUE"""),0.9239327988496063)</f>
        <v>0.9239327988</v>
      </c>
      <c r="AN280" s="30">
        <f>IFERROR(__xludf.DUMMYFUNCTION("""COMPUTED_VALUE"""),0.8343190543058261)</f>
        <v>0.8343190543</v>
      </c>
      <c r="AO280" s="30">
        <f>IFERROR(__xludf.DUMMYFUNCTION("""COMPUTED_VALUE"""),0.7575144318038524)</f>
        <v>0.7575144318</v>
      </c>
      <c r="AP280" s="30">
        <f>IFERROR(__xludf.DUMMYFUNCTION("""COMPUTED_VALUE"""),0.5298603778000566)</f>
        <v>0.5298603778</v>
      </c>
      <c r="AQ280" s="30">
        <f>IFERROR(__xludf.DUMMYFUNCTION("""COMPUTED_VALUE"""),1.0048119645415448)</f>
        <v>1.004811965</v>
      </c>
      <c r="AR280" s="30">
        <f>IFERROR(__xludf.DUMMYFUNCTION("""COMPUTED_VALUE"""),0.6694645803552803)</f>
        <v>0.6694645804</v>
      </c>
      <c r="AS280" s="30">
        <f>IFERROR(__xludf.DUMMYFUNCTION("""COMPUTED_VALUE"""),23.0)</f>
        <v>23</v>
      </c>
      <c r="AT280" s="30">
        <f>IFERROR(__xludf.DUMMYFUNCTION("""COMPUTED_VALUE"""),0.29024955207331116)</f>
        <v>0.2902495521</v>
      </c>
      <c r="AU280" s="30">
        <f>IFERROR(__xludf.DUMMYFUNCTION("""COMPUTED_VALUE"""),1.219637142915038)</f>
        <v>1.219637143</v>
      </c>
      <c r="AV280" s="32">
        <f>IFERROR(__xludf.DUMMYFUNCTION("""COMPUTED_VALUE"""),14.368406132817285)</f>
        <v>14.36840613</v>
      </c>
      <c r="AW280" s="32">
        <f>IFERROR(__xludf.DUMMYFUNCTION("""COMPUTED_VALUE"""),-12.980188004681077)</f>
        <v>-12.980188</v>
      </c>
      <c r="AX280" s="32">
        <f>IFERROR(__xludf.DUMMYFUNCTION("""COMPUTED_VALUE"""),32.32340878794871)</f>
        <v>32.32340879</v>
      </c>
      <c r="AY280" s="32">
        <f>IFERROR(__xludf.DUMMYFUNCTION("""COMPUTED_VALUE"""),-4.170777272121783)</f>
        <v>-4.170777272</v>
      </c>
      <c r="AZ280" s="30">
        <f>IFERROR(__xludf.DUMMYFUNCTION("""COMPUTED_VALUE"""),8.809410732559293)</f>
        <v>8.809410733</v>
      </c>
      <c r="BA280" s="30">
        <f>IFERROR(__xludf.DUMMYFUNCTION("""COMPUTED_VALUE"""),1200.0)</f>
        <v>1200</v>
      </c>
    </row>
    <row r="281">
      <c r="A281" s="71" t="str">
        <f>IFERROR(__xludf.DUMMYFUNCTION("""COMPUTED_VALUE"""),"Veteran")</f>
        <v>Veteran</v>
      </c>
      <c r="B281" s="71" t="str">
        <f>IFERROR(__xludf.DUMMYFUNCTION("""COMPUTED_VALUE"""),"RSC004332")</f>
        <v>RSC004332</v>
      </c>
      <c r="C281" s="30" t="str">
        <f>IFERROR(__xludf.DUMMYFUNCTION("""COMPUTED_VALUE"""),"FriendBrady")</f>
        <v>FriendBrady</v>
      </c>
      <c r="D281" s="30" t="str">
        <f>IFERROR(__xludf.DUMMYFUNCTION("""COMPUTED_VALUE"""),"Makos")</f>
        <v>Makos</v>
      </c>
      <c r="E281" s="30">
        <f>IFERROR(__xludf.DUMMYFUNCTION("""COMPUTED_VALUE"""),5.0)</f>
        <v>5</v>
      </c>
      <c r="F281" s="30">
        <f>IFERROR(__xludf.DUMMYFUNCTION("""COMPUTED_VALUE"""),3.0)</f>
        <v>3</v>
      </c>
      <c r="G281" s="42">
        <f>IFERROR(__xludf.DUMMYFUNCTION("""COMPUTED_VALUE"""),2.0)</f>
        <v>2</v>
      </c>
      <c r="H281" s="42">
        <f>IFERROR(__xludf.DUMMYFUNCTION("""COMPUTED_VALUE"""),0.6)</f>
        <v>0.6</v>
      </c>
      <c r="I281" s="42">
        <f>IFERROR(__xludf.DUMMYFUNCTION("""COMPUTED_VALUE"""),0.23076923076923075)</f>
        <v>0.2307692308</v>
      </c>
      <c r="J281" s="30">
        <f>IFERROR(__xludf.DUMMYFUNCTION("""COMPUTED_VALUE"""),268.6)</f>
        <v>268.6</v>
      </c>
      <c r="K281" s="30">
        <f>IFERROR(__xludf.DUMMYFUNCTION("""COMPUTED_VALUE"""),0.6)</f>
        <v>0.6</v>
      </c>
      <c r="L281" s="30">
        <f>IFERROR(__xludf.DUMMYFUNCTION("""COMPUTED_VALUE"""),0.8)</f>
        <v>0.8</v>
      </c>
      <c r="M281" s="30">
        <f>IFERROR(__xludf.DUMMYFUNCTION("""COMPUTED_VALUE"""),0.8)</f>
        <v>0.8</v>
      </c>
      <c r="N281" s="30">
        <f>IFERROR(__xludf.DUMMYFUNCTION("""COMPUTED_VALUE"""),2.6)</f>
        <v>2.6</v>
      </c>
      <c r="O281" s="30">
        <f>IFERROR(__xludf.DUMMYFUNCTION("""COMPUTED_VALUE"""),389.7333333333333)</f>
        <v>389.7333333</v>
      </c>
      <c r="P281" s="30">
        <f>IFERROR(__xludf.DUMMYFUNCTION("""COMPUTED_VALUE"""),0.8666666666666666)</f>
        <v>0.8666666667</v>
      </c>
      <c r="Q281" s="30">
        <f>IFERROR(__xludf.DUMMYFUNCTION("""COMPUTED_VALUE"""),0.6000000000000001)</f>
        <v>0.6</v>
      </c>
      <c r="R281" s="30">
        <f>IFERROR(__xludf.DUMMYFUNCTION("""COMPUTED_VALUE"""),1.7333333333333336)</f>
        <v>1.733333333</v>
      </c>
      <c r="S281" s="30">
        <f>IFERROR(__xludf.DUMMYFUNCTION("""COMPUTED_VALUE"""),3.0666666666666664)</f>
        <v>3.066666667</v>
      </c>
      <c r="T281" s="30">
        <f>IFERROR(__xludf.DUMMYFUNCTION("""COMPUTED_VALUE"""),363.1684201680672)</f>
        <v>363.1684202</v>
      </c>
      <c r="U281" s="30">
        <f>IFERROR(__xludf.DUMMYFUNCTION("""COMPUTED_VALUE"""),0.6750034235916589)</f>
        <v>0.6750034236</v>
      </c>
      <c r="V281" s="30">
        <f>IFERROR(__xludf.DUMMYFUNCTION("""COMPUTED_VALUE"""),0.8075362589480237)</f>
        <v>0.8075362589</v>
      </c>
      <c r="W281" s="30">
        <f>IFERROR(__xludf.DUMMYFUNCTION("""COMPUTED_VALUE"""),1.4624774354186119)</f>
        <v>1.462477435</v>
      </c>
      <c r="X281" s="30">
        <f>IFERROR(__xludf.DUMMYFUNCTION("""COMPUTED_VALUE"""),2.932413320883909)</f>
        <v>2.932413321</v>
      </c>
      <c r="Y281" s="30">
        <f>IFERROR(__xludf.DUMMYFUNCTION("""COMPUTED_VALUE"""),350.47526444651936)</f>
        <v>350.4752644</v>
      </c>
      <c r="Z281" s="30">
        <f>IFERROR(__xludf.DUMMYFUNCTION("""COMPUTED_VALUE"""),0.8376495487083723)</f>
        <v>0.8376495487</v>
      </c>
      <c r="AA281" s="30">
        <f>IFERROR(__xludf.DUMMYFUNCTION("""COMPUTED_VALUE"""),0.5974731818653388)</f>
        <v>0.5974731819</v>
      </c>
      <c r="AB281" s="30">
        <f>IFERROR(__xludf.DUMMYFUNCTION("""COMPUTED_VALUE"""),1.301733789812221)</f>
        <v>1.30173379</v>
      </c>
      <c r="AC281" s="30">
        <f>IFERROR(__xludf.DUMMYFUNCTION("""COMPUTED_VALUE"""),2.7048307915758896)</f>
        <v>2.704830792</v>
      </c>
      <c r="AD281" s="30">
        <f>IFERROR(__xludf.DUMMYFUNCTION("""COMPUTED_VALUE"""),0.76638789451855)</f>
        <v>0.7663878945</v>
      </c>
      <c r="AE281" s="30">
        <f>IFERROR(__xludf.DUMMYFUNCTION("""COMPUTED_VALUE"""),0.7162900056774101)</f>
        <v>0.7162900057</v>
      </c>
      <c r="AF281" s="30">
        <f>IFERROR(__xludf.DUMMYFUNCTION("""COMPUTED_VALUE"""),1.3389722321968713)</f>
        <v>1.338972232</v>
      </c>
      <c r="AG281" s="30">
        <f>IFERROR(__xludf.DUMMYFUNCTION("""COMPUTED_VALUE"""),0.61456497961492)</f>
        <v>0.6145649796</v>
      </c>
      <c r="AH281" s="30">
        <f>IFERROR(__xludf.DUMMYFUNCTION("""COMPUTED_VALUE"""),0.9612431240052496)</f>
        <v>0.961243124</v>
      </c>
      <c r="AI281" s="30">
        <f>IFERROR(__xludf.DUMMYFUNCTION("""COMPUTED_VALUE"""),1.0731476408465592)</f>
        <v>1.073147641</v>
      </c>
      <c r="AJ281" s="30">
        <f>IFERROR(__xludf.DUMMYFUNCTION("""COMPUTED_VALUE"""),1.2839441051353153)</f>
        <v>1.283944105</v>
      </c>
      <c r="AK281" s="30">
        <f>IFERROR(__xludf.DUMMYFUNCTION("""COMPUTED_VALUE"""),0.7430006929739839)</f>
        <v>0.743000693</v>
      </c>
      <c r="AL281" s="30">
        <f>IFERROR(__xludf.DUMMYFUNCTION("""COMPUTED_VALUE"""),1.1852034714212143)</f>
        <v>1.185203471</v>
      </c>
      <c r="AM281" s="30">
        <f>IFERROR(__xludf.DUMMYFUNCTION("""COMPUTED_VALUE"""),1.0457825453276448)</f>
        <v>1.045782545</v>
      </c>
      <c r="AN281" s="30">
        <f>IFERROR(__xludf.DUMMYFUNCTION("""COMPUTED_VALUE"""),0.7779254579250258)</f>
        <v>0.7779254579</v>
      </c>
      <c r="AO281" s="30">
        <f>IFERROR(__xludf.DUMMYFUNCTION("""COMPUTED_VALUE"""),0.7953901533940451)</f>
        <v>0.7953901534</v>
      </c>
      <c r="AP281" s="30">
        <f>IFERROR(__xludf.DUMMYFUNCTION("""COMPUTED_VALUE"""),1.4836090578401586)</f>
        <v>1.483609058</v>
      </c>
      <c r="AQ281" s="30">
        <f>IFERROR(__xludf.DUMMYFUNCTION("""COMPUTED_VALUE"""),0.5923102106771211)</f>
        <v>0.5923102107</v>
      </c>
      <c r="AR281" s="30">
        <f>IFERROR(__xludf.DUMMYFUNCTION("""COMPUTED_VALUE"""),1.015354613538842)</f>
        <v>1.015354614</v>
      </c>
      <c r="AS281" s="30">
        <f>IFERROR(__xludf.DUMMYFUNCTION("""COMPUTED_VALUE"""),14.0)</f>
        <v>14</v>
      </c>
      <c r="AT281" s="30">
        <f>IFERROR(__xludf.DUMMYFUNCTION("""COMPUTED_VALUE"""),0.5300247304346983)</f>
        <v>0.5300247304</v>
      </c>
      <c r="AU281" s="30">
        <f>IFERROR(__xludf.DUMMYFUNCTION("""COMPUTED_VALUE"""),2.2749990003821305)</f>
        <v>2.274999</v>
      </c>
      <c r="AV281" s="32">
        <f>IFERROR(__xludf.DUMMYFUNCTION("""COMPUTED_VALUE"""),47.05939225240426)</f>
        <v>47.05939225</v>
      </c>
      <c r="AW281" s="32">
        <f>IFERROR(__xludf.DUMMYFUNCTION("""COMPUTED_VALUE"""),-2.2066157067298686)</f>
        <v>-2.206615707</v>
      </c>
      <c r="AX281" s="32">
        <f>IFERROR(__xludf.DUMMYFUNCTION("""COMPUTED_VALUE"""),16.788314279644844)</f>
        <v>16.78831428</v>
      </c>
      <c r="AY281" s="32">
        <f>IFERROR(__xludf.DUMMYFUNCTION("""COMPUTED_VALUE"""),-10.868163179465435)</f>
        <v>-10.86816318</v>
      </c>
      <c r="AZ281" s="30">
        <f>IFERROR(__xludf.DUMMYFUNCTION("""COMPUTED_VALUE"""),8.661547472735567)</f>
        <v>8.661547473</v>
      </c>
      <c r="BA281" s="30">
        <f>IFERROR(__xludf.DUMMYFUNCTION("""COMPUTED_VALUE"""),1200.0)</f>
        <v>1200</v>
      </c>
    </row>
    <row r="282">
      <c r="A282" s="71" t="str">
        <f>IFERROR(__xludf.DUMMYFUNCTION("""COMPUTED_VALUE"""),"Veteran")</f>
        <v>Veteran</v>
      </c>
      <c r="B282" s="71" t="str">
        <f>IFERROR(__xludf.DUMMYFUNCTION("""COMPUTED_VALUE"""),"RSC000923")</f>
        <v>RSC000923</v>
      </c>
      <c r="C282" s="30" t="str">
        <f>IFERROR(__xludf.DUMMYFUNCTION("""COMPUTED_VALUE"""),"Stemantics")</f>
        <v>Stemantics</v>
      </c>
      <c r="D282" s="30" t="str">
        <f>IFERROR(__xludf.DUMMYFUNCTION("""COMPUTED_VALUE"""),"Legati")</f>
        <v>Legati</v>
      </c>
      <c r="E282" s="30">
        <f>IFERROR(__xludf.DUMMYFUNCTION("""COMPUTED_VALUE"""),36.0)</f>
        <v>36</v>
      </c>
      <c r="F282" s="30">
        <f>IFERROR(__xludf.DUMMYFUNCTION("""COMPUTED_VALUE"""),22.0)</f>
        <v>22</v>
      </c>
      <c r="G282" s="42">
        <f>IFERROR(__xludf.DUMMYFUNCTION("""COMPUTED_VALUE"""),14.0)</f>
        <v>14</v>
      </c>
      <c r="H282" s="42">
        <f>IFERROR(__xludf.DUMMYFUNCTION("""COMPUTED_VALUE"""),0.6111111111111112)</f>
        <v>0.6111111111</v>
      </c>
      <c r="I282" s="42">
        <f>IFERROR(__xludf.DUMMYFUNCTION("""COMPUTED_VALUE"""),0.3416666666666666)</f>
        <v>0.3416666667</v>
      </c>
      <c r="J282" s="30">
        <f>IFERROR(__xludf.DUMMYFUNCTION("""COMPUTED_VALUE"""),415.44444444444446)</f>
        <v>415.4444444</v>
      </c>
      <c r="K282" s="30">
        <f>IFERROR(__xludf.DUMMYFUNCTION("""COMPUTED_VALUE"""),1.1388888888888888)</f>
        <v>1.138888889</v>
      </c>
      <c r="L282" s="30">
        <f>IFERROR(__xludf.DUMMYFUNCTION("""COMPUTED_VALUE"""),0.6944444444444444)</f>
        <v>0.6944444444</v>
      </c>
      <c r="M282" s="30">
        <f>IFERROR(__xludf.DUMMYFUNCTION("""COMPUTED_VALUE"""),1.3888888888888888)</f>
        <v>1.388888889</v>
      </c>
      <c r="N282" s="30">
        <f>IFERROR(__xludf.DUMMYFUNCTION("""COMPUTED_VALUE"""),3.3333333333333335)</f>
        <v>3.333333333</v>
      </c>
      <c r="O282" s="30">
        <f>IFERROR(__xludf.DUMMYFUNCTION("""COMPUTED_VALUE"""),373.75)</f>
        <v>373.75</v>
      </c>
      <c r="P282" s="30">
        <f>IFERROR(__xludf.DUMMYFUNCTION("""COMPUTED_VALUE"""),0.8796296296296295)</f>
        <v>0.8796296296</v>
      </c>
      <c r="Q282" s="30">
        <f>IFERROR(__xludf.DUMMYFUNCTION("""COMPUTED_VALUE"""),0.6203703703703705)</f>
        <v>0.6203703704</v>
      </c>
      <c r="R282" s="30">
        <f>IFERROR(__xludf.DUMMYFUNCTION("""COMPUTED_VALUE"""),1.3981481481481481)</f>
        <v>1.398148148</v>
      </c>
      <c r="S282" s="30">
        <f>IFERROR(__xludf.DUMMYFUNCTION("""COMPUTED_VALUE"""),2.8518518518518525)</f>
        <v>2.851851852</v>
      </c>
      <c r="T282" s="30">
        <f>IFERROR(__xludf.DUMMYFUNCTION("""COMPUTED_VALUE"""),359.1697005533851)</f>
        <v>359.1697006</v>
      </c>
      <c r="U282" s="30">
        <f>IFERROR(__xludf.DUMMYFUNCTION("""COMPUTED_VALUE"""),0.8034175690501832)</f>
        <v>0.8034175691</v>
      </c>
      <c r="V282" s="30">
        <f>IFERROR(__xludf.DUMMYFUNCTION("""COMPUTED_VALUE"""),0.5991556227619785)</f>
        <v>0.5991556228</v>
      </c>
      <c r="W282" s="30">
        <f>IFERROR(__xludf.DUMMYFUNCTION("""COMPUTED_VALUE"""),1.358708544600809)</f>
        <v>1.358708545</v>
      </c>
      <c r="X282" s="30">
        <f>IFERROR(__xludf.DUMMYFUNCTION("""COMPUTED_VALUE"""),2.6290904295631186)</f>
        <v>2.62909043</v>
      </c>
      <c r="Y282" s="30">
        <f>IFERROR(__xludf.DUMMYFUNCTION("""COMPUTED_VALUE"""),358.2298594386152)</f>
        <v>358.2298594</v>
      </c>
      <c r="Z282" s="30">
        <f>IFERROR(__xludf.DUMMYFUNCTION("""COMPUTED_VALUE"""),0.7934656215482154)</f>
        <v>0.7934656215</v>
      </c>
      <c r="AA282" s="30">
        <f>IFERROR(__xludf.DUMMYFUNCTION("""COMPUTED_VALUE"""),0.5939453671534929)</f>
        <v>0.5939453672</v>
      </c>
      <c r="AB282" s="30">
        <f>IFERROR(__xludf.DUMMYFUNCTION("""COMPUTED_VALUE"""),1.3536046985503318)</f>
        <v>1.353604699</v>
      </c>
      <c r="AC282" s="30">
        <f>IFERROR(__xludf.DUMMYFUNCTION("""COMPUTED_VALUE"""),2.674423822517202)</f>
        <v>2.674423823</v>
      </c>
      <c r="AD282" s="30">
        <f>IFERROR(__xludf.DUMMYFUNCTION("""COMPUTED_VALUE"""),1.1597147292397418)</f>
        <v>1.159714729</v>
      </c>
      <c r="AE282" s="30">
        <f>IFERROR(__xludf.DUMMYFUNCTION("""COMPUTED_VALUE"""),1.4353348878136412)</f>
        <v>1.435334888</v>
      </c>
      <c r="AF282" s="30">
        <f>IFERROR(__xludf.DUMMYFUNCTION("""COMPUTED_VALUE"""),1.1692059284384984)</f>
        <v>1.169205928</v>
      </c>
      <c r="AG282" s="30">
        <f>IFERROR(__xludf.DUMMYFUNCTION("""COMPUTED_VALUE"""),1.0260668350045956)</f>
        <v>1.026066835</v>
      </c>
      <c r="AH282" s="30">
        <f>IFERROR(__xludf.DUMMYFUNCTION("""COMPUTED_VALUE"""),1.246374379882676)</f>
        <v>1.24637438</v>
      </c>
      <c r="AI282" s="30">
        <f>IFERROR(__xludf.DUMMYFUNCTION("""COMPUTED_VALUE"""),1.0405944583414206)</f>
        <v>1.040594458</v>
      </c>
      <c r="AJ282" s="30">
        <f>IFERROR(__xludf.DUMMYFUNCTION("""COMPUTED_VALUE"""),1.094859838165533)</f>
        <v>1.094859838</v>
      </c>
      <c r="AK282" s="30">
        <f>IFERROR(__xludf.DUMMYFUNCTION("""COMPUTED_VALUE"""),1.035407741832742)</f>
        <v>1.035407742</v>
      </c>
      <c r="AL282" s="30">
        <f>IFERROR(__xludf.DUMMYFUNCTION("""COMPUTED_VALUE"""),1.0290272727760954)</f>
        <v>1.029027273</v>
      </c>
      <c r="AM282" s="30">
        <f>IFERROR(__xludf.DUMMYFUNCTION("""COMPUTED_VALUE"""),1.0847294637658207)</f>
        <v>1.084729464</v>
      </c>
      <c r="AN282" s="30">
        <f>IFERROR(__xludf.DUMMYFUNCTION("""COMPUTED_VALUE"""),1.203219693547477)</f>
        <v>1.203219694</v>
      </c>
      <c r="AO282" s="30">
        <f>IFERROR(__xludf.DUMMYFUNCTION("""COMPUTED_VALUE"""),1.5097683467201781)</f>
        <v>1.509768347</v>
      </c>
      <c r="AP282" s="30">
        <f>IFERROR(__xludf.DUMMYFUNCTION("""COMPUTED_VALUE"""),1.2878550849306931)</f>
        <v>1.287855085</v>
      </c>
      <c r="AQ282" s="30">
        <f>IFERROR(__xludf.DUMMYFUNCTION("""COMPUTED_VALUE"""),1.0283163379811129)</f>
        <v>1.028316338</v>
      </c>
      <c r="AR282" s="30">
        <f>IFERROR(__xludf.DUMMYFUNCTION("""COMPUTED_VALUE"""),1.3017366840241564)</f>
        <v>1.301736684</v>
      </c>
      <c r="AS282" s="30">
        <f>IFERROR(__xludf.DUMMYFUNCTION("""COMPUTED_VALUE"""),105.0)</f>
        <v>105</v>
      </c>
      <c r="AT282" s="30">
        <f>IFERROR(__xludf.DUMMYFUNCTION("""COMPUTED_VALUE"""),0.5408385724404116)</f>
        <v>0.5408385724</v>
      </c>
      <c r="AU282" s="30">
        <f>IFERROR(__xludf.DUMMYFUNCTION("""COMPUTED_VALUE"""),3.4737712719478444)</f>
        <v>3.473771272</v>
      </c>
      <c r="AV282" s="32">
        <f>IFERROR(__xludf.DUMMYFUNCTION("""COMPUTED_VALUE"""),84.19267257045144)</f>
        <v>84.19267257</v>
      </c>
      <c r="AW282" s="32">
        <f>IFERROR(__xludf.DUMMYFUNCTION("""COMPUTED_VALUE"""),11.668350130201222)</f>
        <v>11.66835013</v>
      </c>
      <c r="AX282" s="32">
        <f>IFERROR(__xludf.DUMMYFUNCTION("""COMPUTED_VALUE"""),67.07236101047299)</f>
        <v>67.07236101</v>
      </c>
      <c r="AY282" s="32">
        <f>IFERROR(__xludf.DUMMYFUNCTION("""COMPUTED_VALUE"""),4.043070447331869)</f>
        <v>4.043070447</v>
      </c>
      <c r="AZ282" s="30">
        <f>IFERROR(__xludf.DUMMYFUNCTION("""COMPUTED_VALUE"""),7.625279682869354)</f>
        <v>7.625279683</v>
      </c>
      <c r="BA282" s="30">
        <f>IFERROR(__xludf.DUMMYFUNCTION("""COMPUTED_VALUE"""),1200.0)</f>
        <v>1200</v>
      </c>
    </row>
    <row r="283">
      <c r="A283" s="71" t="str">
        <f>IFERROR(__xludf.DUMMYFUNCTION("""COMPUTED_VALUE"""),"Veteran")</f>
        <v>Veteran</v>
      </c>
      <c r="B283" s="71" t="str">
        <f>IFERROR(__xludf.DUMMYFUNCTION("""COMPUTED_VALUE"""),"RSC002544")</f>
        <v>RSC002544</v>
      </c>
      <c r="C283" s="30" t="str">
        <f>IFERROR(__xludf.DUMMYFUNCTION("""COMPUTED_VALUE"""),"J.")</f>
        <v>J.</v>
      </c>
      <c r="D283" s="30" t="str">
        <f>IFERROR(__xludf.DUMMYFUNCTION("""COMPUTED_VALUE"""),"Makos")</f>
        <v>Makos</v>
      </c>
      <c r="E283" s="30">
        <f>IFERROR(__xludf.DUMMYFUNCTION("""COMPUTED_VALUE"""),35.0)</f>
        <v>35</v>
      </c>
      <c r="F283" s="30">
        <f>IFERROR(__xludf.DUMMYFUNCTION("""COMPUTED_VALUE"""),21.0)</f>
        <v>21</v>
      </c>
      <c r="G283" s="42">
        <f>IFERROR(__xludf.DUMMYFUNCTION("""COMPUTED_VALUE"""),14.0)</f>
        <v>14</v>
      </c>
      <c r="H283" s="42">
        <f>IFERROR(__xludf.DUMMYFUNCTION("""COMPUTED_VALUE"""),0.6)</f>
        <v>0.6</v>
      </c>
      <c r="I283" s="42">
        <f>IFERROR(__xludf.DUMMYFUNCTION("""COMPUTED_VALUE"""),0.32173913043478264)</f>
        <v>0.3217391304</v>
      </c>
      <c r="J283" s="30">
        <f>IFERROR(__xludf.DUMMYFUNCTION("""COMPUTED_VALUE"""),393.74285714285713)</f>
        <v>393.7428571</v>
      </c>
      <c r="K283" s="30">
        <f>IFERROR(__xludf.DUMMYFUNCTION("""COMPUTED_VALUE"""),1.0571428571428572)</f>
        <v>1.057142857</v>
      </c>
      <c r="L283" s="30">
        <f>IFERROR(__xludf.DUMMYFUNCTION("""COMPUTED_VALUE"""),0.6857142857142857)</f>
        <v>0.6857142857</v>
      </c>
      <c r="M283" s="30">
        <f>IFERROR(__xludf.DUMMYFUNCTION("""COMPUTED_VALUE"""),1.5714285714285714)</f>
        <v>1.571428571</v>
      </c>
      <c r="N283" s="30">
        <f>IFERROR(__xludf.DUMMYFUNCTION("""COMPUTED_VALUE"""),3.2857142857142856)</f>
        <v>3.285714286</v>
      </c>
      <c r="O283" s="30">
        <f>IFERROR(__xludf.DUMMYFUNCTION("""COMPUTED_VALUE"""),364.4095238095237)</f>
        <v>364.4095238</v>
      </c>
      <c r="P283" s="30">
        <f>IFERROR(__xludf.DUMMYFUNCTION("""COMPUTED_VALUE"""),0.780952380952381)</f>
        <v>0.780952381</v>
      </c>
      <c r="Q283" s="30">
        <f>IFERROR(__xludf.DUMMYFUNCTION("""COMPUTED_VALUE"""),0.5523809523809523)</f>
        <v>0.5523809524</v>
      </c>
      <c r="R283" s="30">
        <f>IFERROR(__xludf.DUMMYFUNCTION("""COMPUTED_VALUE"""),1.590476190476191)</f>
        <v>1.59047619</v>
      </c>
      <c r="S283" s="30">
        <f>IFERROR(__xludf.DUMMYFUNCTION("""COMPUTED_VALUE"""),2.676190476190476)</f>
        <v>2.676190476</v>
      </c>
      <c r="T283" s="30">
        <f>IFERROR(__xludf.DUMMYFUNCTION("""COMPUTED_VALUE"""),365.50427792192147)</f>
        <v>365.5042779</v>
      </c>
      <c r="U283" s="30">
        <f>IFERROR(__xludf.DUMMYFUNCTION("""COMPUTED_VALUE"""),0.8038583691541132)</f>
        <v>0.8038583692</v>
      </c>
      <c r="V283" s="30">
        <f>IFERROR(__xludf.DUMMYFUNCTION("""COMPUTED_VALUE"""),0.6383422028309531)</f>
        <v>0.6383422028</v>
      </c>
      <c r="W283" s="30">
        <f>IFERROR(__xludf.DUMMYFUNCTION("""COMPUTED_VALUE"""),1.4084863665896468)</f>
        <v>1.408486367</v>
      </c>
      <c r="X283" s="30">
        <f>IFERROR(__xludf.DUMMYFUNCTION("""COMPUTED_VALUE"""),2.7837448585168847)</f>
        <v>2.783744859</v>
      </c>
      <c r="Y283" s="30">
        <f>IFERROR(__xludf.DUMMYFUNCTION("""COMPUTED_VALUE"""),355.78811145342246)</f>
        <v>355.7881115</v>
      </c>
      <c r="Z283" s="30">
        <f>IFERROR(__xludf.DUMMYFUNCTION("""COMPUTED_VALUE"""),0.7822471182021199)</f>
        <v>0.7822471182</v>
      </c>
      <c r="AA283" s="30">
        <f>IFERROR(__xludf.DUMMYFUNCTION("""COMPUTED_VALUE"""),0.5961049466381537)</f>
        <v>0.5961049466</v>
      </c>
      <c r="AB283" s="30">
        <f>IFERROR(__xludf.DUMMYFUNCTION("""COMPUTED_VALUE"""),1.3638846272081118)</f>
        <v>1.363884627</v>
      </c>
      <c r="AC283" s="30">
        <f>IFERROR(__xludf.DUMMYFUNCTION("""COMPUTED_VALUE"""),2.6323207940284834)</f>
        <v>2.632320794</v>
      </c>
      <c r="AD283" s="30">
        <f>IFERROR(__xludf.DUMMYFUNCTION("""COMPUTED_VALUE"""),1.1066779481033995)</f>
        <v>1.106677948</v>
      </c>
      <c r="AE283" s="30">
        <f>IFERROR(__xludf.DUMMYFUNCTION("""COMPUTED_VALUE"""),1.3514180270456537)</f>
        <v>1.351418027</v>
      </c>
      <c r="AF283" s="30">
        <f>IFERROR(__xludf.DUMMYFUNCTION("""COMPUTED_VALUE"""),1.150324770128986)</f>
        <v>1.15032477</v>
      </c>
      <c r="AG283" s="30">
        <f>IFERROR(__xludf.DUMMYFUNCTION("""COMPUTED_VALUE"""),1.1521711881490333)</f>
        <v>1.152171188</v>
      </c>
      <c r="AH283" s="30">
        <f>IFERROR(__xludf.DUMMYFUNCTION("""COMPUTED_VALUE"""),1.2482195533189)</f>
        <v>1.248219553</v>
      </c>
      <c r="AI283" s="30">
        <f>IFERROR(__xludf.DUMMYFUNCTION("""COMPUTED_VALUE"""),0.9970048117668499)</f>
        <v>0.9970048118</v>
      </c>
      <c r="AJ283" s="30">
        <f>IFERROR(__xludf.DUMMYFUNCTION("""COMPUTED_VALUE"""),0.9715049452979685)</f>
        <v>0.9715049453</v>
      </c>
      <c r="AK283" s="30">
        <f>IFERROR(__xludf.DUMMYFUNCTION("""COMPUTED_VALUE"""),0.8653367268076975)</f>
        <v>0.8653367268</v>
      </c>
      <c r="AL283" s="30">
        <f>IFERROR(__xludf.DUMMYFUNCTION("""COMPUTED_VALUE"""),1.1292095033388179)</f>
        <v>1.129209503</v>
      </c>
      <c r="AM283" s="30">
        <f>IFERROR(__xludf.DUMMYFUNCTION("""COMPUTED_VALUE"""),0.9613634194968173)</f>
        <v>0.9613634195</v>
      </c>
      <c r="AN283" s="30">
        <f>IFERROR(__xludf.DUMMYFUNCTION("""COMPUTED_VALUE"""),1.140367060489818)</f>
        <v>1.14036706</v>
      </c>
      <c r="AO283" s="30">
        <f>IFERROR(__xludf.DUMMYFUNCTION("""COMPUTED_VALUE"""),1.401401698837127)</f>
        <v>1.401401699</v>
      </c>
      <c r="AP283" s="30">
        <f>IFERROR(__xludf.DUMMYFUNCTION("""COMPUTED_VALUE"""),1.271664906720136)</f>
        <v>1.271664907</v>
      </c>
      <c r="AQ283" s="30">
        <f>IFERROR(__xludf.DUMMYFUNCTION("""COMPUTED_VALUE"""),1.1634664852586307)</f>
        <v>1.163466485</v>
      </c>
      <c r="AR283" s="30">
        <f>IFERROR(__xludf.DUMMYFUNCTION("""COMPUTED_VALUE"""),1.283140445680954)</f>
        <v>1.283140446</v>
      </c>
      <c r="AS283" s="30">
        <f>IFERROR(__xludf.DUMMYFUNCTION("""COMPUTED_VALUE"""),90.0)</f>
        <v>90</v>
      </c>
      <c r="AT283" s="30">
        <f>IFERROR(__xludf.DUMMYFUNCTION("""COMPUTED_VALUE"""),0.5366870629181193)</f>
        <v>0.5366870629</v>
      </c>
      <c r="AU283" s="30">
        <f>IFERROR(__xludf.DUMMYFUNCTION("""COMPUTED_VALUE"""),3.419861478789083)</f>
        <v>3.419861479</v>
      </c>
      <c r="AV283" s="32">
        <f>IFERROR(__xludf.DUMMYFUNCTION("""COMPUTED_VALUE"""),82.52275785125492)</f>
        <v>82.52275785</v>
      </c>
      <c r="AW283" s="32">
        <f>IFERROR(__xludf.DUMMYFUNCTION("""COMPUTED_VALUE"""),10.347191993896171)</f>
        <v>10.34719199</v>
      </c>
      <c r="AX283" s="32">
        <f>IFERROR(__xludf.DUMMYFUNCTION("""COMPUTED_VALUE"""),60.90816602770775)</f>
        <v>60.90816603</v>
      </c>
      <c r="AY283" s="32">
        <f>IFERROR(__xludf.DUMMYFUNCTION("""COMPUTED_VALUE"""),3.018413429711988)</f>
        <v>3.01841343</v>
      </c>
      <c r="AZ283" s="30">
        <f>IFERROR(__xludf.DUMMYFUNCTION("""COMPUTED_VALUE"""),7.328778564184184)</f>
        <v>7.328778564</v>
      </c>
      <c r="BA283" s="30">
        <f>IFERROR(__xludf.DUMMYFUNCTION("""COMPUTED_VALUE"""),1200.0)</f>
        <v>1200</v>
      </c>
    </row>
    <row r="284">
      <c r="A284" s="71" t="str">
        <f>IFERROR(__xludf.DUMMYFUNCTION("""COMPUTED_VALUE"""),"Veteran")</f>
        <v>Veteran</v>
      </c>
      <c r="B284" s="71" t="str">
        <f>IFERROR(__xludf.DUMMYFUNCTION("""COMPUTED_VALUE"""),"RSC007811")</f>
        <v>RSC007811</v>
      </c>
      <c r="C284" s="30" t="str">
        <f>IFERROR(__xludf.DUMMYFUNCTION("""COMPUTED_VALUE"""),"Gray")</f>
        <v>Gray</v>
      </c>
      <c r="D284" s="30" t="str">
        <f>IFERROR(__xludf.DUMMYFUNCTION("""COMPUTED_VALUE"""),"Gorillas")</f>
        <v>Gorillas</v>
      </c>
      <c r="E284" s="30">
        <f>IFERROR(__xludf.DUMMYFUNCTION("""COMPUTED_VALUE"""),36.0)</f>
        <v>36</v>
      </c>
      <c r="F284" s="30">
        <f>IFERROR(__xludf.DUMMYFUNCTION("""COMPUTED_VALUE"""),22.0)</f>
        <v>22</v>
      </c>
      <c r="G284" s="42">
        <f>IFERROR(__xludf.DUMMYFUNCTION("""COMPUTED_VALUE"""),14.0)</f>
        <v>14</v>
      </c>
      <c r="H284" s="42">
        <f>IFERROR(__xludf.DUMMYFUNCTION("""COMPUTED_VALUE"""),0.6111111111111112)</f>
        <v>0.6111111111</v>
      </c>
      <c r="I284" s="42">
        <f>IFERROR(__xludf.DUMMYFUNCTION("""COMPUTED_VALUE"""),0.3515625)</f>
        <v>0.3515625</v>
      </c>
      <c r="J284" s="30">
        <f>IFERROR(__xludf.DUMMYFUNCTION("""COMPUTED_VALUE"""),423.4166666666667)</f>
        <v>423.4166667</v>
      </c>
      <c r="K284" s="30">
        <f>IFERROR(__xludf.DUMMYFUNCTION("""COMPUTED_VALUE"""),1.25)</f>
        <v>1.25</v>
      </c>
      <c r="L284" s="30">
        <f>IFERROR(__xludf.DUMMYFUNCTION("""COMPUTED_VALUE"""),0.5)</f>
        <v>0.5</v>
      </c>
      <c r="M284" s="30">
        <f>IFERROR(__xludf.DUMMYFUNCTION("""COMPUTED_VALUE"""),1.4166666666666667)</f>
        <v>1.416666667</v>
      </c>
      <c r="N284" s="30">
        <f>IFERROR(__xludf.DUMMYFUNCTION("""COMPUTED_VALUE"""),3.5555555555555554)</f>
        <v>3.555555556</v>
      </c>
      <c r="O284" s="30">
        <f>IFERROR(__xludf.DUMMYFUNCTION("""COMPUTED_VALUE"""),334.34259259259255)</f>
        <v>334.3425926</v>
      </c>
      <c r="P284" s="30">
        <f>IFERROR(__xludf.DUMMYFUNCTION("""COMPUTED_VALUE"""),0.6574074074074074)</f>
        <v>0.6574074074</v>
      </c>
      <c r="Q284" s="30">
        <f>IFERROR(__xludf.DUMMYFUNCTION("""COMPUTED_VALUE"""),0.4629629629629629)</f>
        <v>0.462962963</v>
      </c>
      <c r="R284" s="30">
        <f>IFERROR(__xludf.DUMMYFUNCTION("""COMPUTED_VALUE"""),1.509259259259259)</f>
        <v>1.509259259</v>
      </c>
      <c r="S284" s="30">
        <f>IFERROR(__xludf.DUMMYFUNCTION("""COMPUTED_VALUE"""),2.314814814814815)</f>
        <v>2.314814815</v>
      </c>
      <c r="T284" s="30">
        <f>IFERROR(__xludf.DUMMYFUNCTION("""COMPUTED_VALUE"""),352.50696946791675)</f>
        <v>352.5069695</v>
      </c>
      <c r="U284" s="30">
        <f>IFERROR(__xludf.DUMMYFUNCTION("""COMPUTED_VALUE"""),0.7878414595827143)</f>
        <v>0.7878414596</v>
      </c>
      <c r="V284" s="30">
        <f>IFERROR(__xludf.DUMMYFUNCTION("""COMPUTED_VALUE"""),0.5999832212739934)</f>
        <v>0.5999832213</v>
      </c>
      <c r="W284" s="30">
        <f>IFERROR(__xludf.DUMMYFUNCTION("""COMPUTED_VALUE"""),1.3450636312154491)</f>
        <v>1.345063631</v>
      </c>
      <c r="X284" s="30">
        <f>IFERROR(__xludf.DUMMYFUNCTION("""COMPUTED_VALUE"""),2.673310812442284)</f>
        <v>2.673310812</v>
      </c>
      <c r="Y284" s="30">
        <f>IFERROR(__xludf.DUMMYFUNCTION("""COMPUTED_VALUE"""),367.76490463308437)</f>
        <v>367.7649046</v>
      </c>
      <c r="Z284" s="30">
        <f>IFERROR(__xludf.DUMMYFUNCTION("""COMPUTED_VALUE"""),0.8493216584718114)</f>
        <v>0.8493216585</v>
      </c>
      <c r="AA284" s="30">
        <f>IFERROR(__xludf.DUMMYFUNCTION("""COMPUTED_VALUE"""),0.6383918041393667)</f>
        <v>0.6383918041</v>
      </c>
      <c r="AB284" s="30">
        <f>IFERROR(__xludf.DUMMYFUNCTION("""COMPUTED_VALUE"""),1.4020346380619444)</f>
        <v>1.402034638</v>
      </c>
      <c r="AC284" s="30">
        <f>IFERROR(__xludf.DUMMYFUNCTION("""COMPUTED_VALUE"""),2.658765096993985)</f>
        <v>2.658765097</v>
      </c>
      <c r="AD284" s="30">
        <f>IFERROR(__xludf.DUMMYFUNCTION("""COMPUTED_VALUE"""),1.151324287153244)</f>
        <v>1.151324287</v>
      </c>
      <c r="AE284" s="30">
        <f>IFERROR(__xludf.DUMMYFUNCTION("""COMPUTED_VALUE"""),1.4717627738931456)</f>
        <v>1.471762774</v>
      </c>
      <c r="AF284" s="30">
        <f>IFERROR(__xludf.DUMMYFUNCTION("""COMPUTED_VALUE"""),0.7832180751036796)</f>
        <v>0.7832180751</v>
      </c>
      <c r="AG284" s="30">
        <f>IFERROR(__xludf.DUMMYFUNCTION("""COMPUTED_VALUE"""),1.010436281820361)</f>
        <v>1.010436282</v>
      </c>
      <c r="AH284" s="30">
        <f>IFERROR(__xludf.DUMMYFUNCTION("""COMPUTED_VALUE"""),1.3372958594858517)</f>
        <v>1.337295859</v>
      </c>
      <c r="AI284" s="30">
        <f>IFERROR(__xludf.DUMMYFUNCTION("""COMPUTED_VALUE"""),0.9484708716461919)</f>
        <v>0.9484708716</v>
      </c>
      <c r="AJ284" s="30">
        <f>IFERROR(__xludf.DUMMYFUNCTION("""COMPUTED_VALUE"""),0.834441243744151)</f>
        <v>0.8344412437</v>
      </c>
      <c r="AK284" s="30">
        <f>IFERROR(__xludf.DUMMYFUNCTION("""COMPUTED_VALUE"""),0.7716265164547699)</f>
        <v>0.7716265165</v>
      </c>
      <c r="AL284" s="30">
        <f>IFERROR(__xludf.DUMMYFUNCTION("""COMPUTED_VALUE"""),1.1220727586660244)</f>
        <v>1.122072759</v>
      </c>
      <c r="AM284" s="30">
        <f>IFERROR(__xludf.DUMMYFUNCTION("""COMPUTED_VALUE"""),0.8658981230469216)</f>
        <v>0.865898123</v>
      </c>
      <c r="AN284" s="30">
        <f>IFERROR(__xludf.DUMMYFUNCTION("""COMPUTED_VALUE"""),1.226309025725073)</f>
        <v>1.226309026</v>
      </c>
      <c r="AO284" s="30">
        <f>IFERROR(__xludf.DUMMYFUNCTION("""COMPUTED_VALUE"""),1.6570628195709272)</f>
        <v>1.65706282</v>
      </c>
      <c r="AP284" s="30">
        <f>IFERROR(__xludf.DUMMYFUNCTION("""COMPUTED_VALUE"""),0.9272556611500992)</f>
        <v>0.9272556612</v>
      </c>
      <c r="AQ284" s="30">
        <f>IFERROR(__xludf.DUMMYFUNCTION("""COMPUTED_VALUE"""),1.0488826647407352)</f>
        <v>1.048882665</v>
      </c>
      <c r="AR284" s="30">
        <f>IFERROR(__xludf.DUMMYFUNCTION("""COMPUTED_VALUE"""),1.3885191296257666)</f>
        <v>1.38851913</v>
      </c>
      <c r="AS284" s="30">
        <f>IFERROR(__xludf.DUMMYFUNCTION("""COMPUTED_VALUE"""),102.0)</f>
        <v>102</v>
      </c>
      <c r="AT284" s="30">
        <f>IFERROR(__xludf.DUMMYFUNCTION("""COMPUTED_VALUE"""),0.6384139072661715)</f>
        <v>0.6384139073</v>
      </c>
      <c r="AU284" s="30">
        <f>IFERROR(__xludf.DUMMYFUNCTION("""COMPUTED_VALUE"""),3.5523729473750953)</f>
        <v>3.552372947</v>
      </c>
      <c r="AV284" s="32">
        <f>IFERROR(__xludf.DUMMYFUNCTION("""COMPUTED_VALUE"""),86.62744530947727)</f>
        <v>86.62744531</v>
      </c>
      <c r="AW284" s="32">
        <f>IFERROR(__xludf.DUMMYFUNCTION("""COMPUTED_VALUE"""),13.996366065656048)</f>
        <v>13.99636607</v>
      </c>
      <c r="AX284" s="32">
        <f>IFERROR(__xludf.DUMMYFUNCTION("""COMPUTED_VALUE"""),76.05242330998031)</f>
        <v>76.05242331</v>
      </c>
      <c r="AY284" s="32">
        <f>IFERROR(__xludf.DUMMYFUNCTION("""COMPUTED_VALUE"""),6.725701722738085)</f>
        <v>6.725701723</v>
      </c>
      <c r="AZ284" s="30">
        <f>IFERROR(__xludf.DUMMYFUNCTION("""COMPUTED_VALUE"""),7.2706643429179625)</f>
        <v>7.270664343</v>
      </c>
      <c r="BA284" s="30">
        <f>IFERROR(__xludf.DUMMYFUNCTION("""COMPUTED_VALUE"""),1200.0)</f>
        <v>1200</v>
      </c>
    </row>
    <row r="285">
      <c r="A285" s="71" t="str">
        <f>IFERROR(__xludf.DUMMYFUNCTION("""COMPUTED_VALUE"""),"Veteran")</f>
        <v>Veteran</v>
      </c>
      <c r="B285" s="71" t="str">
        <f>IFERROR(__xludf.DUMMYFUNCTION("""COMPUTED_VALUE"""),"RSC001921")</f>
        <v>RSC001921</v>
      </c>
      <c r="C285" s="30" t="str">
        <f>IFERROR(__xludf.DUMMYFUNCTION("""COMPUTED_VALUE"""),"Dom")</f>
        <v>Dom</v>
      </c>
      <c r="D285" s="30" t="str">
        <f>IFERROR(__xludf.DUMMYFUNCTION("""COMPUTED_VALUE"""),"Kirin")</f>
        <v>Kirin</v>
      </c>
      <c r="E285" s="30">
        <f>IFERROR(__xludf.DUMMYFUNCTION("""COMPUTED_VALUE"""),24.0)</f>
        <v>24</v>
      </c>
      <c r="F285" s="30">
        <f>IFERROR(__xludf.DUMMYFUNCTION("""COMPUTED_VALUE"""),11.0)</f>
        <v>11</v>
      </c>
      <c r="G285" s="42">
        <f>IFERROR(__xludf.DUMMYFUNCTION("""COMPUTED_VALUE"""),13.0)</f>
        <v>13</v>
      </c>
      <c r="H285" s="42">
        <f>IFERROR(__xludf.DUMMYFUNCTION("""COMPUTED_VALUE"""),0.4583333333333333)</f>
        <v>0.4583333333</v>
      </c>
      <c r="I285" s="42">
        <f>IFERROR(__xludf.DUMMYFUNCTION("""COMPUTED_VALUE"""),0.4035087719298246)</f>
        <v>0.4035087719</v>
      </c>
      <c r="J285" s="30">
        <f>IFERROR(__xludf.DUMMYFUNCTION("""COMPUTED_VALUE"""),432.0416666666667)</f>
        <v>432.0416667</v>
      </c>
      <c r="K285" s="30">
        <f>IFERROR(__xludf.DUMMYFUNCTION("""COMPUTED_VALUE"""),0.9583333333333334)</f>
        <v>0.9583333333</v>
      </c>
      <c r="L285" s="30">
        <f>IFERROR(__xludf.DUMMYFUNCTION("""COMPUTED_VALUE"""),0.7916666666666666)</f>
        <v>0.7916666667</v>
      </c>
      <c r="M285" s="30">
        <f>IFERROR(__xludf.DUMMYFUNCTION("""COMPUTED_VALUE"""),1.7083333333333333)</f>
        <v>1.708333333</v>
      </c>
      <c r="N285" s="30">
        <f>IFERROR(__xludf.DUMMYFUNCTION("""COMPUTED_VALUE"""),2.375)</f>
        <v>2.375</v>
      </c>
      <c r="O285" s="30">
        <f>IFERROR(__xludf.DUMMYFUNCTION("""COMPUTED_VALUE"""),382.1944444444445)</f>
        <v>382.1944444</v>
      </c>
      <c r="P285" s="30">
        <f>IFERROR(__xludf.DUMMYFUNCTION("""COMPUTED_VALUE"""),0.8194444444444445)</f>
        <v>0.8194444444</v>
      </c>
      <c r="Q285" s="30">
        <f>IFERROR(__xludf.DUMMYFUNCTION("""COMPUTED_VALUE"""),0.638888888888889)</f>
        <v>0.6388888889</v>
      </c>
      <c r="R285" s="30">
        <f>IFERROR(__xludf.DUMMYFUNCTION("""COMPUTED_VALUE"""),1.2638888888888888)</f>
        <v>1.263888889</v>
      </c>
      <c r="S285" s="30">
        <f>IFERROR(__xludf.DUMMYFUNCTION("""COMPUTED_VALUE"""),2.9305555555555554)</f>
        <v>2.930555556</v>
      </c>
      <c r="T285" s="30">
        <f>IFERROR(__xludf.DUMMYFUNCTION("""COMPUTED_VALUE"""),376.17802717888503)</f>
        <v>376.1780272</v>
      </c>
      <c r="U285" s="30">
        <f>IFERROR(__xludf.DUMMYFUNCTION("""COMPUTED_VALUE"""),0.896656905186317)</f>
        <v>0.8966569052</v>
      </c>
      <c r="V285" s="30">
        <f>IFERROR(__xludf.DUMMYFUNCTION("""COMPUTED_VALUE"""),0.6726884272227408)</f>
        <v>0.6726884272</v>
      </c>
      <c r="W285" s="30">
        <f>IFERROR(__xludf.DUMMYFUNCTION("""COMPUTED_VALUE"""),1.3425568004979767)</f>
        <v>1.3425568</v>
      </c>
      <c r="X285" s="30">
        <f>IFERROR(__xludf.DUMMYFUNCTION("""COMPUTED_VALUE"""),2.88990846843788)</f>
        <v>2.889908468</v>
      </c>
      <c r="Y285" s="30">
        <f>IFERROR(__xludf.DUMMYFUNCTION("""COMPUTED_VALUE"""),354.3630125818565)</f>
        <v>354.3630126</v>
      </c>
      <c r="Z285" s="30">
        <f>IFERROR(__xludf.DUMMYFUNCTION("""COMPUTED_VALUE"""),0.7473406784150248)</f>
        <v>0.7473406784</v>
      </c>
      <c r="AA285" s="30">
        <f>IFERROR(__xludf.DUMMYFUNCTION("""COMPUTED_VALUE"""),0.5507019011308226)</f>
        <v>0.5507019011</v>
      </c>
      <c r="AB285" s="30">
        <f>IFERROR(__xludf.DUMMYFUNCTION("""COMPUTED_VALUE"""),1.4471746350055177)</f>
        <v>1.447174635</v>
      </c>
      <c r="AC285" s="30">
        <f>IFERROR(__xludf.DUMMYFUNCTION("""COMPUTED_VALUE"""),2.5527929957055773)</f>
        <v>2.552792996</v>
      </c>
      <c r="AD285" s="30">
        <f>IFERROR(__xludf.DUMMYFUNCTION("""COMPUTED_VALUE"""),1.219206438953238)</f>
        <v>1.219206439</v>
      </c>
      <c r="AE285" s="30">
        <f>IFERROR(__xludf.DUMMYFUNCTION("""COMPUTED_VALUE"""),1.2823245957463283)</f>
        <v>1.282324596</v>
      </c>
      <c r="AF285" s="30">
        <f>IFERROR(__xludf.DUMMYFUNCTION("""COMPUTED_VALUE"""),1.4375593493340808)</f>
        <v>1.437559349</v>
      </c>
      <c r="AG285" s="30">
        <f>IFERROR(__xludf.DUMMYFUNCTION("""COMPUTED_VALUE"""),1.180461080515566)</f>
        <v>1.180461081</v>
      </c>
      <c r="AH285" s="30">
        <f>IFERROR(__xludf.DUMMYFUNCTION("""COMPUTED_VALUE"""),0.9303535398269)</f>
        <v>0.9303535398</v>
      </c>
      <c r="AI285" s="30">
        <f>IFERROR(__xludf.DUMMYFUNCTION("""COMPUTED_VALUE"""),1.0159935371841866)</f>
        <v>1.015993537</v>
      </c>
      <c r="AJ285" s="30">
        <f>IFERROR(__xludf.DUMMYFUNCTION("""COMPUTED_VALUE"""),0.9138885115418495)</f>
        <v>0.9138885115</v>
      </c>
      <c r="AK285" s="30">
        <f>IFERROR(__xludf.DUMMYFUNCTION("""COMPUTED_VALUE"""),0.949754541677792)</f>
        <v>0.9497545417</v>
      </c>
      <c r="AL285" s="30">
        <f>IFERROR(__xludf.DUMMYFUNCTION("""COMPUTED_VALUE"""),0.9414044071879055)</f>
        <v>0.9414044072</v>
      </c>
      <c r="AM285" s="30">
        <f>IFERROR(__xludf.DUMMYFUNCTION("""COMPUTED_VALUE"""),1.0140651814967852)</f>
        <v>1.014065181</v>
      </c>
      <c r="AN285" s="30">
        <f>IFERROR(__xludf.DUMMYFUNCTION("""COMPUTED_VALUE"""),1.2512889478196498)</f>
        <v>1.251288948</v>
      </c>
      <c r="AO285" s="30">
        <f>IFERROR(__xludf.DUMMYFUNCTION("""COMPUTED_VALUE"""),1.2704148283377108)</f>
        <v>1.270414828</v>
      </c>
      <c r="AP285" s="30">
        <f>IFERROR(__xludf.DUMMYFUNCTION("""COMPUTED_VALUE"""),1.4681547968209903)</f>
        <v>1.468154797</v>
      </c>
      <c r="AQ285" s="30">
        <f>IFERROR(__xludf.DUMMYFUNCTION("""COMPUTED_VALUE"""),1.264829095716769)</f>
        <v>1.264829096</v>
      </c>
      <c r="AR285" s="30">
        <f>IFERROR(__xludf.DUMMYFUNCTION("""COMPUTED_VALUE"""),0.9274873873672114)</f>
        <v>0.9274873874</v>
      </c>
      <c r="AS285" s="30">
        <f>IFERROR(__xludf.DUMMYFUNCTION("""COMPUTED_VALUE"""),63.0)</f>
        <v>63</v>
      </c>
      <c r="AT285" s="30">
        <f>IFERROR(__xludf.DUMMYFUNCTION("""COMPUTED_VALUE"""),0.5261273128952229)</f>
        <v>0.5261273129</v>
      </c>
      <c r="AU285" s="30">
        <f>IFERROR(__xludf.DUMMYFUNCTION("""COMPUTED_VALUE"""),3.3937809436551736)</f>
        <v>3.393780944</v>
      </c>
      <c r="AV285" s="32">
        <f>IFERROR(__xludf.DUMMYFUNCTION("""COMPUTED_VALUE"""),81.71488479234003)</f>
        <v>81.71488479</v>
      </c>
      <c r="AW285" s="32">
        <f>IFERROR(__xludf.DUMMYFUNCTION("""COMPUTED_VALUE"""),9.775868240023552)</f>
        <v>9.77586824</v>
      </c>
      <c r="AX285" s="32">
        <f>IFERROR(__xludf.DUMMYFUNCTION("""COMPUTED_VALUE"""),63.18132921364263)</f>
        <v>63.18132921</v>
      </c>
      <c r="AY285" s="32">
        <f>IFERROR(__xludf.DUMMYFUNCTION("""COMPUTED_VALUE"""),3.3443821074388893)</f>
        <v>3.344382107</v>
      </c>
      <c r="AZ285" s="30">
        <f>IFERROR(__xludf.DUMMYFUNCTION("""COMPUTED_VALUE"""),6.431486132584663)</f>
        <v>6.431486133</v>
      </c>
      <c r="BA285" s="30">
        <f>IFERROR(__xludf.DUMMYFUNCTION("""COMPUTED_VALUE"""),1200.0)</f>
        <v>1200</v>
      </c>
    </row>
    <row r="286">
      <c r="A286" s="71" t="str">
        <f>IFERROR(__xludf.DUMMYFUNCTION("""COMPUTED_VALUE"""),"Veteran")</f>
        <v>Veteran</v>
      </c>
      <c r="B286" s="71" t="str">
        <f>IFERROR(__xludf.DUMMYFUNCTION("""COMPUTED_VALUE"""),"RSC003830")</f>
        <v>RSC003830</v>
      </c>
      <c r="C286" s="30" t="str">
        <f>IFERROR(__xludf.DUMMYFUNCTION("""COMPUTED_VALUE"""),"bradyK-")</f>
        <v>bradyK-</v>
      </c>
      <c r="D286" s="30" t="str">
        <f>IFERROR(__xludf.DUMMYFUNCTION("""COMPUTED_VALUE"""),"Makos")</f>
        <v>Makos</v>
      </c>
      <c r="E286" s="30">
        <f>IFERROR(__xludf.DUMMYFUNCTION("""COMPUTED_VALUE"""),36.0)</f>
        <v>36</v>
      </c>
      <c r="F286" s="30">
        <f>IFERROR(__xludf.DUMMYFUNCTION("""COMPUTED_VALUE"""),21.0)</f>
        <v>21</v>
      </c>
      <c r="G286" s="42">
        <f>IFERROR(__xludf.DUMMYFUNCTION("""COMPUTED_VALUE"""),15.0)</f>
        <v>15</v>
      </c>
      <c r="H286" s="42">
        <f>IFERROR(__xludf.DUMMYFUNCTION("""COMPUTED_VALUE"""),0.5833333333333334)</f>
        <v>0.5833333333</v>
      </c>
      <c r="I286" s="42">
        <f>IFERROR(__xludf.DUMMYFUNCTION("""COMPUTED_VALUE"""),0.3111111111111111)</f>
        <v>0.3111111111</v>
      </c>
      <c r="J286" s="30">
        <f>IFERROR(__xludf.DUMMYFUNCTION("""COMPUTED_VALUE"""),345.72222222222223)</f>
        <v>345.7222222</v>
      </c>
      <c r="K286" s="30">
        <f>IFERROR(__xludf.DUMMYFUNCTION("""COMPUTED_VALUE"""),0.7777777777777778)</f>
        <v>0.7777777778</v>
      </c>
      <c r="L286" s="30">
        <f>IFERROR(__xludf.DUMMYFUNCTION("""COMPUTED_VALUE"""),0.7777777777777778)</f>
        <v>0.7777777778</v>
      </c>
      <c r="M286" s="30">
        <f>IFERROR(__xludf.DUMMYFUNCTION("""COMPUTED_VALUE"""),1.0555555555555556)</f>
        <v>1.055555556</v>
      </c>
      <c r="N286" s="30">
        <f>IFERROR(__xludf.DUMMYFUNCTION("""COMPUTED_VALUE"""),2.5)</f>
        <v>2.5</v>
      </c>
      <c r="O286" s="30">
        <f>IFERROR(__xludf.DUMMYFUNCTION("""COMPUTED_VALUE"""),364.12962962962956)</f>
        <v>364.1296296</v>
      </c>
      <c r="P286" s="30">
        <f>IFERROR(__xludf.DUMMYFUNCTION("""COMPUTED_VALUE"""),0.7777777777777778)</f>
        <v>0.7777777778</v>
      </c>
      <c r="Q286" s="30">
        <f>IFERROR(__xludf.DUMMYFUNCTION("""COMPUTED_VALUE"""),0.5462962962962963)</f>
        <v>0.5462962963</v>
      </c>
      <c r="R286" s="30">
        <f>IFERROR(__xludf.DUMMYFUNCTION("""COMPUTED_VALUE"""),1.583333333333334)</f>
        <v>1.583333333</v>
      </c>
      <c r="S286" s="30">
        <f>IFERROR(__xludf.DUMMYFUNCTION("""COMPUTED_VALUE"""),2.685185185185185)</f>
        <v>2.685185185</v>
      </c>
      <c r="T286" s="30">
        <f>IFERROR(__xludf.DUMMYFUNCTION("""COMPUTED_VALUE"""),365.7344462056029)</f>
        <v>365.7344462</v>
      </c>
      <c r="U286" s="30">
        <f>IFERROR(__xludf.DUMMYFUNCTION("""COMPUTED_VALUE"""),0.8068916459455148)</f>
        <v>0.8068916459</v>
      </c>
      <c r="V286" s="30">
        <f>IFERROR(__xludf.DUMMYFUNCTION("""COMPUTED_VALUE"""),0.6414610991748352)</f>
        <v>0.6414610992</v>
      </c>
      <c r="W286" s="30">
        <f>IFERROR(__xludf.DUMMYFUNCTION("""COMPUTED_VALUE"""),1.403747227883587)</f>
        <v>1.403747228</v>
      </c>
      <c r="X286" s="30">
        <f>IFERROR(__xludf.DUMMYFUNCTION("""COMPUTED_VALUE"""),2.7897113122429382)</f>
        <v>2.789711312</v>
      </c>
      <c r="Y286" s="30">
        <f>IFERROR(__xludf.DUMMYFUNCTION("""COMPUTED_VALUE"""),355.69249711958327)</f>
        <v>355.6924971</v>
      </c>
      <c r="Z286" s="30">
        <f>IFERROR(__xludf.DUMMYFUNCTION("""COMPUTED_VALUE"""),0.7804457557614844)</f>
        <v>0.7804457558</v>
      </c>
      <c r="AA286" s="30">
        <f>IFERROR(__xludf.DUMMYFUNCTION("""COMPUTED_VALUE"""),0.5931316218907584)</f>
        <v>0.5931316219</v>
      </c>
      <c r="AB286" s="30">
        <f>IFERROR(__xludf.DUMMYFUNCTION("""COMPUTED_VALUE"""),1.36991803338885)</f>
        <v>1.369918033</v>
      </c>
      <c r="AC286" s="30">
        <f>IFERROR(__xludf.DUMMYFUNCTION("""COMPUTED_VALUE"""),2.627711221419405)</f>
        <v>2.627711221</v>
      </c>
      <c r="AD286" s="30">
        <f>IFERROR(__xludf.DUMMYFUNCTION("""COMPUTED_VALUE"""),0.9719693977857254)</f>
        <v>0.9719693978</v>
      </c>
      <c r="AE286" s="30">
        <f>IFERROR(__xludf.DUMMYFUNCTION("""COMPUTED_VALUE"""),0.996581469033548)</f>
        <v>0.996581469</v>
      </c>
      <c r="AF286" s="30">
        <f>IFERROR(__xludf.DUMMYFUNCTION("""COMPUTED_VALUE"""),1.311307219295462)</f>
        <v>1.311307219</v>
      </c>
      <c r="AG286" s="30">
        <f>IFERROR(__xludf.DUMMYFUNCTION("""COMPUTED_VALUE"""),0.7705246079171344)</f>
        <v>0.7705246079</v>
      </c>
      <c r="AH286" s="30">
        <f>IFERROR(__xludf.DUMMYFUNCTION("""COMPUTED_VALUE"""),0.9513983042054295)</f>
        <v>0.9513983042</v>
      </c>
      <c r="AI286" s="30">
        <f>IFERROR(__xludf.DUMMYFUNCTION("""COMPUTED_VALUE"""),0.9956120715655228)</f>
        <v>0.9956120716</v>
      </c>
      <c r="AJ286" s="30">
        <f>IFERROR(__xludf.DUMMYFUNCTION("""COMPUTED_VALUE"""),0.9639184910216522)</f>
        <v>0.963918491</v>
      </c>
      <c r="AK286" s="30">
        <f>IFERROR(__xludf.DUMMYFUNCTION("""COMPUTED_VALUE"""),0.8516436881348576)</f>
        <v>0.8516436881</v>
      </c>
      <c r="AL286" s="30">
        <f>IFERROR(__xludf.DUMMYFUNCTION("""COMPUTED_VALUE"""),1.127933364271363)</f>
        <v>1.127933364</v>
      </c>
      <c r="AM286" s="30">
        <f>IFERROR(__xludf.DUMMYFUNCTION("""COMPUTED_VALUE"""),0.9625315613844955)</f>
        <v>0.9625315614</v>
      </c>
      <c r="AN286" s="30">
        <f>IFERROR(__xludf.DUMMYFUNCTION("""COMPUTED_VALUE"""),1.0012886002869683)</f>
        <v>1.0012886</v>
      </c>
      <c r="AO286" s="30">
        <f>IFERROR(__xludf.DUMMYFUNCTION("""COMPUTED_VALUE"""),1.0310613099552437)</f>
        <v>1.03106131</v>
      </c>
      <c r="AP286" s="30">
        <f>IFERROR(__xludf.DUMMYFUNCTION("""COMPUTED_VALUE"""),1.4423976951223765)</f>
        <v>1.442397695</v>
      </c>
      <c r="AQ286" s="30">
        <f>IFERROR(__xludf.DUMMYFUNCTION("""COMPUTED_VALUE"""),0.7815204168656459)</f>
        <v>0.7815204169</v>
      </c>
      <c r="AR286" s="30">
        <f>IFERROR(__xludf.DUMMYFUNCTION("""COMPUTED_VALUE"""),0.9763025130181172)</f>
        <v>0.976302513</v>
      </c>
      <c r="AS286" s="30">
        <f>IFERROR(__xludf.DUMMYFUNCTION("""COMPUTED_VALUE"""),90.0)</f>
        <v>90</v>
      </c>
      <c r="AT286" s="30">
        <f>IFERROR(__xludf.DUMMYFUNCTION("""COMPUTED_VALUE"""),0.5270830623394427)</f>
        <v>0.5270830623</v>
      </c>
      <c r="AU286" s="30">
        <f>IFERROR(__xludf.DUMMYFUNCTION("""COMPUTED_VALUE"""),2.846195799135499)</f>
        <v>2.846195799</v>
      </c>
      <c r="AV286" s="32">
        <f>IFERROR(__xludf.DUMMYFUNCTION("""COMPUTED_VALUE"""),64.75283691072717)</f>
        <v>64.75283691</v>
      </c>
      <c r="AW286" s="32">
        <f>IFERROR(__xludf.DUMMYFUNCTION("""COMPUTED_VALUE"""),3.6028598275326305)</f>
        <v>3.602859828</v>
      </c>
      <c r="AX286" s="32">
        <f>IFERROR(__xludf.DUMMYFUNCTION("""COMPUTED_VALUE"""),42.1773433373875)</f>
        <v>42.17734334</v>
      </c>
      <c r="AY286" s="32">
        <f>IFERROR(__xludf.DUMMYFUNCTION("""COMPUTED_VALUE"""),-2.6512825940938995)</f>
        <v>-2.651282594</v>
      </c>
      <c r="AZ286" s="30">
        <f>IFERROR(__xludf.DUMMYFUNCTION("""COMPUTED_VALUE"""),6.25414242162653)</f>
        <v>6.254142422</v>
      </c>
      <c r="BA286" s="30">
        <f>IFERROR(__xludf.DUMMYFUNCTION("""COMPUTED_VALUE"""),1200.0)</f>
        <v>1200</v>
      </c>
    </row>
    <row r="287">
      <c r="A287" s="71" t="str">
        <f>IFERROR(__xludf.DUMMYFUNCTION("""COMPUTED_VALUE"""),"Veteran")</f>
        <v>Veteran</v>
      </c>
      <c r="B287" s="71" t="str">
        <f>IFERROR(__xludf.DUMMYFUNCTION("""COMPUTED_VALUE"""),"RSC007995")</f>
        <v>RSC007995</v>
      </c>
      <c r="C287" s="30" t="str">
        <f>IFERROR(__xludf.DUMMYFUNCTION("""COMPUTED_VALUE"""),"Tylanz")</f>
        <v>Tylanz</v>
      </c>
      <c r="D287" s="30" t="str">
        <f>IFERROR(__xludf.DUMMYFUNCTION("""COMPUTED_VALUE"""),"Cannoli")</f>
        <v>Cannoli</v>
      </c>
      <c r="E287" s="30">
        <f>IFERROR(__xludf.DUMMYFUNCTION("""COMPUTED_VALUE"""),34.0)</f>
        <v>34</v>
      </c>
      <c r="F287" s="30">
        <f>IFERROR(__xludf.DUMMYFUNCTION("""COMPUTED_VALUE"""),20.0)</f>
        <v>20</v>
      </c>
      <c r="G287" s="42">
        <f>IFERROR(__xludf.DUMMYFUNCTION("""COMPUTED_VALUE"""),14.0)</f>
        <v>14</v>
      </c>
      <c r="H287" s="42">
        <f>IFERROR(__xludf.DUMMYFUNCTION("""COMPUTED_VALUE"""),0.5882352941176471)</f>
        <v>0.5882352941</v>
      </c>
      <c r="I287" s="42">
        <f>IFERROR(__xludf.DUMMYFUNCTION("""COMPUTED_VALUE"""),0.3026315789473684)</f>
        <v>0.3026315789</v>
      </c>
      <c r="J287" s="30">
        <f>IFERROR(__xludf.DUMMYFUNCTION("""COMPUTED_VALUE"""),319.2352941176471)</f>
        <v>319.2352941</v>
      </c>
      <c r="K287" s="30">
        <f>IFERROR(__xludf.DUMMYFUNCTION("""COMPUTED_VALUE"""),0.6764705882352942)</f>
        <v>0.6764705882</v>
      </c>
      <c r="L287" s="30">
        <f>IFERROR(__xludf.DUMMYFUNCTION("""COMPUTED_VALUE"""),0.6764705882352942)</f>
        <v>0.6764705882</v>
      </c>
      <c r="M287" s="30">
        <f>IFERROR(__xludf.DUMMYFUNCTION("""COMPUTED_VALUE"""),1.088235294117647)</f>
        <v>1.088235294</v>
      </c>
      <c r="N287" s="30">
        <f>IFERROR(__xludf.DUMMYFUNCTION("""COMPUTED_VALUE"""),2.235294117647059)</f>
        <v>2.235294118</v>
      </c>
      <c r="O287" s="30">
        <f>IFERROR(__xludf.DUMMYFUNCTION("""COMPUTED_VALUE"""),352.9313725490196)</f>
        <v>352.9313725</v>
      </c>
      <c r="P287" s="30">
        <f>IFERROR(__xludf.DUMMYFUNCTION("""COMPUTED_VALUE"""),0.7156862745098039)</f>
        <v>0.7156862745</v>
      </c>
      <c r="Q287" s="30">
        <f>IFERROR(__xludf.DUMMYFUNCTION("""COMPUTED_VALUE"""),0.4999999999999999)</f>
        <v>0.5</v>
      </c>
      <c r="R287" s="30">
        <f>IFERROR(__xludf.DUMMYFUNCTION("""COMPUTED_VALUE"""),1.588235294117647)</f>
        <v>1.588235294</v>
      </c>
      <c r="S287" s="30">
        <f>IFERROR(__xludf.DUMMYFUNCTION("""COMPUTED_VALUE"""),2.450980392156863)</f>
        <v>2.450980392</v>
      </c>
      <c r="T287" s="30">
        <f>IFERROR(__xludf.DUMMYFUNCTION("""COMPUTED_VALUE"""),356.5050845143992)</f>
        <v>356.5050845</v>
      </c>
      <c r="U287" s="30">
        <f>IFERROR(__xludf.DUMMYFUNCTION("""COMPUTED_VALUE"""),0.7713901476294043)</f>
        <v>0.7713901476</v>
      </c>
      <c r="V287" s="30">
        <f>IFERROR(__xludf.DUMMYFUNCTION("""COMPUTED_VALUE"""),0.5712793909467644)</f>
        <v>0.5712793909</v>
      </c>
      <c r="W287" s="30">
        <f>IFERROR(__xludf.DUMMYFUNCTION("""COMPUTED_VALUE"""),1.3860803610923593)</f>
        <v>1.386080361</v>
      </c>
      <c r="X287" s="30">
        <f>IFERROR(__xludf.DUMMYFUNCTION("""COMPUTED_VALUE"""),2.5886960448220084)</f>
        <v>2.588696045</v>
      </c>
      <c r="Y287" s="30">
        <f>IFERROR(__xludf.DUMMYFUNCTION("""COMPUTED_VALUE"""),358.47886100725407)</f>
        <v>358.478861</v>
      </c>
      <c r="Z287" s="30">
        <f>IFERROR(__xludf.DUMMYFUNCTION("""COMPUTED_VALUE"""),0.7993854860480598)</f>
        <v>0.799385486</v>
      </c>
      <c r="AA287" s="30">
        <f>IFERROR(__xludf.DUMMYFUNCTION("""COMPUTED_VALUE"""),0.5966344205121784)</f>
        <v>0.5966344205</v>
      </c>
      <c r="AB287" s="30">
        <f>IFERROR(__xludf.DUMMYFUNCTION("""COMPUTED_VALUE"""),1.3134007764389697)</f>
        <v>1.313400776</v>
      </c>
      <c r="AC287" s="30">
        <f>IFERROR(__xludf.DUMMYFUNCTION("""COMPUTED_VALUE"""),2.727313245303998)</f>
        <v>2.727313245</v>
      </c>
      <c r="AD287" s="30">
        <f>IFERROR(__xludf.DUMMYFUNCTION("""COMPUTED_VALUE"""),0.8905275285149579)</f>
        <v>0.8905275285</v>
      </c>
      <c r="AE287" s="30">
        <f>IFERROR(__xludf.DUMMYFUNCTION("""COMPUTED_VALUE"""),0.8462382668211518)</f>
        <v>0.8462382668</v>
      </c>
      <c r="AF287" s="30">
        <f>IFERROR(__xludf.DUMMYFUNCTION("""COMPUTED_VALUE"""),1.133810864707706)</f>
        <v>1.133810865</v>
      </c>
      <c r="AG287" s="30">
        <f>IFERROR(__xludf.DUMMYFUNCTION("""COMPUTED_VALUE"""),0.8285630050167817)</f>
        <v>0.828563005</v>
      </c>
      <c r="AH287" s="30">
        <f>IFERROR(__xludf.DUMMYFUNCTION("""COMPUTED_VALUE"""),0.8195956667228752)</f>
        <v>0.8195956667</v>
      </c>
      <c r="AI287" s="30">
        <f>IFERROR(__xludf.DUMMYFUNCTION("""COMPUTED_VALUE"""),0.9899757054790751)</f>
        <v>0.9899757055</v>
      </c>
      <c r="AJ287" s="30">
        <f>IFERROR(__xludf.DUMMYFUNCTION("""COMPUTED_VALUE"""),0.9277876787890194)</f>
        <v>0.9277876788</v>
      </c>
      <c r="AK287" s="30">
        <f>IFERROR(__xludf.DUMMYFUNCTION("""COMPUTED_VALUE"""),0.8752284922642924)</f>
        <v>0.8752284923</v>
      </c>
      <c r="AL287" s="30">
        <f>IFERROR(__xludf.DUMMYFUNCTION("""COMPUTED_VALUE"""),1.1458464737686427)</f>
        <v>1.145846474</v>
      </c>
      <c r="AM287" s="30">
        <f>IFERROR(__xludf.DUMMYFUNCTION("""COMPUTED_VALUE"""),0.9468011499686846)</f>
        <v>0.94680115</v>
      </c>
      <c r="AN287" s="30">
        <f>IFERROR(__xludf.DUMMYFUNCTION("""COMPUTED_VALUE"""),0.9245765538432645)</f>
        <v>0.9245765538</v>
      </c>
      <c r="AO287" s="30">
        <f>IFERROR(__xludf.DUMMYFUNCTION("""COMPUTED_VALUE"""),0.8967634082383842)</f>
        <v>0.8967634082</v>
      </c>
      <c r="AP287" s="30">
        <f>IFERROR(__xludf.DUMMYFUNCTION("""COMPUTED_VALUE"""),1.2545223650854282)</f>
        <v>1.254522365</v>
      </c>
      <c r="AQ287" s="30">
        <f>IFERROR(__xludf.DUMMYFUNCTION("""COMPUTED_VALUE"""),0.8057160954063779)</f>
        <v>0.8057160954</v>
      </c>
      <c r="AR287" s="30">
        <f>IFERROR(__xludf.DUMMYFUNCTION("""COMPUTED_VALUE"""),0.8729293057573755)</f>
        <v>0.8729293058</v>
      </c>
      <c r="AS287" s="30">
        <f>IFERROR(__xludf.DUMMYFUNCTION("""COMPUTED_VALUE"""),95.0)</f>
        <v>95</v>
      </c>
      <c r="AT287" s="30">
        <f>IFERROR(__xludf.DUMMYFUNCTION("""COMPUTED_VALUE"""),0.6026819145914007)</f>
        <v>0.6026819146</v>
      </c>
      <c r="AU287" s="30">
        <f>IFERROR(__xludf.DUMMYFUNCTION("""COMPUTED_VALUE"""),2.3883183982430305)</f>
        <v>2.388318398</v>
      </c>
      <c r="AV287" s="32">
        <f>IFERROR(__xludf.DUMMYFUNCTION("""COMPUTED_VALUE"""),50.569584359821924)</f>
        <v>50.56958436</v>
      </c>
      <c r="AW287" s="32">
        <f>IFERROR(__xludf.DUMMYFUNCTION("""COMPUTED_VALUE"""),2.037026895499757)</f>
        <v>2.037026895</v>
      </c>
      <c r="AX287" s="32">
        <f>IFERROR(__xludf.DUMMYFUNCTION("""COMPUTED_VALUE"""),32.7835609514691)</f>
        <v>32.78356095</v>
      </c>
      <c r="AY287" s="32">
        <f>IFERROR(__xludf.DUMMYFUNCTION("""COMPUTED_VALUE"""),-4.072997994975954)</f>
        <v>-4.072997995</v>
      </c>
      <c r="AZ287" s="30">
        <f>IFERROR(__xludf.DUMMYFUNCTION("""COMPUTED_VALUE"""),6.110024890475711)</f>
        <v>6.11002489</v>
      </c>
      <c r="BA287" s="30">
        <f>IFERROR(__xludf.DUMMYFUNCTION("""COMPUTED_VALUE"""),1200.0)</f>
        <v>1200</v>
      </c>
    </row>
    <row r="288">
      <c r="A288" s="71" t="str">
        <f>IFERROR(__xludf.DUMMYFUNCTION("""COMPUTED_VALUE"""),"Veteran")</f>
        <v>Veteran</v>
      </c>
      <c r="B288" s="71" t="str">
        <f>IFERROR(__xludf.DUMMYFUNCTION("""COMPUTED_VALUE"""),"RSC006909")</f>
        <v>RSC006909</v>
      </c>
      <c r="C288" s="30" t="str">
        <f>IFERROR(__xludf.DUMMYFUNCTION("""COMPUTED_VALUE"""),"Dewby")</f>
        <v>Dewby</v>
      </c>
      <c r="D288" s="30" t="str">
        <f>IFERROR(__xludf.DUMMYFUNCTION("""COMPUTED_VALUE"""),"Singularity")</f>
        <v>Singularity</v>
      </c>
      <c r="E288" s="30">
        <f>IFERROR(__xludf.DUMMYFUNCTION("""COMPUTED_VALUE"""),24.0)</f>
        <v>24</v>
      </c>
      <c r="F288" s="30">
        <f>IFERROR(__xludf.DUMMYFUNCTION("""COMPUTED_VALUE"""),12.0)</f>
        <v>12</v>
      </c>
      <c r="G288" s="42">
        <f>IFERROR(__xludf.DUMMYFUNCTION("""COMPUTED_VALUE"""),12.0)</f>
        <v>12</v>
      </c>
      <c r="H288" s="42">
        <f>IFERROR(__xludf.DUMMYFUNCTION("""COMPUTED_VALUE"""),0.5)</f>
        <v>0.5</v>
      </c>
      <c r="I288" s="42">
        <f>IFERROR(__xludf.DUMMYFUNCTION("""COMPUTED_VALUE"""),0.30303030303030304)</f>
        <v>0.303030303</v>
      </c>
      <c r="J288" s="30">
        <f>IFERROR(__xludf.DUMMYFUNCTION("""COMPUTED_VALUE"""),370.4583333333333)</f>
        <v>370.4583333</v>
      </c>
      <c r="K288" s="30">
        <f>IFERROR(__xludf.DUMMYFUNCTION("""COMPUTED_VALUE"""),0.8333333333333334)</f>
        <v>0.8333333333</v>
      </c>
      <c r="L288" s="30">
        <f>IFERROR(__xludf.DUMMYFUNCTION("""COMPUTED_VALUE"""),0.6666666666666666)</f>
        <v>0.6666666667</v>
      </c>
      <c r="M288" s="30">
        <f>IFERROR(__xludf.DUMMYFUNCTION("""COMPUTED_VALUE"""),1.4166666666666667)</f>
        <v>1.416666667</v>
      </c>
      <c r="N288" s="30">
        <f>IFERROR(__xludf.DUMMYFUNCTION("""COMPUTED_VALUE"""),2.75)</f>
        <v>2.75</v>
      </c>
      <c r="O288" s="30">
        <f>IFERROR(__xludf.DUMMYFUNCTION("""COMPUTED_VALUE"""),349.23611111111114)</f>
        <v>349.2361111</v>
      </c>
      <c r="P288" s="30">
        <f>IFERROR(__xludf.DUMMYFUNCTION("""COMPUTED_VALUE"""),0.7222222222222222)</f>
        <v>0.7222222222</v>
      </c>
      <c r="Q288" s="30">
        <f>IFERROR(__xludf.DUMMYFUNCTION("""COMPUTED_VALUE"""),0.5555555555555556)</f>
        <v>0.5555555556</v>
      </c>
      <c r="R288" s="30">
        <f>IFERROR(__xludf.DUMMYFUNCTION("""COMPUTED_VALUE"""),1.3333333333333333)</f>
        <v>1.333333333</v>
      </c>
      <c r="S288" s="30">
        <f>IFERROR(__xludf.DUMMYFUNCTION("""COMPUTED_VALUE"""),2.9166666666666665)</f>
        <v>2.916666667</v>
      </c>
      <c r="T288" s="30">
        <f>IFERROR(__xludf.DUMMYFUNCTION("""COMPUTED_VALUE"""),349.95145526440183)</f>
        <v>349.9514553</v>
      </c>
      <c r="U288" s="30">
        <f>IFERROR(__xludf.DUMMYFUNCTION("""COMPUTED_VALUE"""),0.7782183332105981)</f>
        <v>0.7782183332</v>
      </c>
      <c r="V288" s="30">
        <f>IFERROR(__xludf.DUMMYFUNCTION("""COMPUTED_VALUE"""),0.5248741595205803)</f>
        <v>0.5248741595</v>
      </c>
      <c r="W288" s="30">
        <f>IFERROR(__xludf.DUMMYFUNCTION("""COMPUTED_VALUE"""),1.3541429748236207)</f>
        <v>1.354142975</v>
      </c>
      <c r="X288" s="30">
        <f>IFERROR(__xludf.DUMMYFUNCTION("""COMPUTED_VALUE"""),2.6000086219875893)</f>
        <v>2.600008622</v>
      </c>
      <c r="Y288" s="30">
        <f>IFERROR(__xludf.DUMMYFUNCTION("""COMPUTED_VALUE"""),353.18567409502106)</f>
        <v>353.1856741</v>
      </c>
      <c r="Z288" s="30">
        <f>IFERROR(__xludf.DUMMYFUNCTION("""COMPUTED_VALUE"""),0.7464467361545926)</f>
        <v>0.7464467362</v>
      </c>
      <c r="AA288" s="30">
        <f>IFERROR(__xludf.DUMMYFUNCTION("""COMPUTED_VALUE"""),0.5698636188426014)</f>
        <v>0.5698636188</v>
      </c>
      <c r="AB288" s="30">
        <f>IFERROR(__xludf.DUMMYFUNCTION("""COMPUTED_VALUE"""),1.3987116179684336)</f>
        <v>1.398711618</v>
      </c>
      <c r="AC288" s="30">
        <f>IFERROR(__xludf.DUMMYFUNCTION("""COMPUTED_VALUE"""),2.5479390143600478)</f>
        <v>2.547939014</v>
      </c>
      <c r="AD288" s="30">
        <f>IFERROR(__xludf.DUMMYFUNCTION("""COMPUTED_VALUE"""),1.0489053223423361)</f>
        <v>1.048905322</v>
      </c>
      <c r="AE288" s="30">
        <f>IFERROR(__xludf.DUMMYFUNCTION("""COMPUTED_VALUE"""),1.1164002640380575)</f>
        <v>1.116400264</v>
      </c>
      <c r="AF288" s="30">
        <f>IFERROR(__xludf.DUMMYFUNCTION("""COMPUTED_VALUE"""),1.1698705525730404)</f>
        <v>1.169870553</v>
      </c>
      <c r="AG288" s="30">
        <f>IFERROR(__xludf.DUMMYFUNCTION("""COMPUTED_VALUE"""),1.0128368481877001)</f>
        <v>1.012836848</v>
      </c>
      <c r="AH288" s="30">
        <f>IFERROR(__xludf.DUMMYFUNCTION("""COMPUTED_VALUE"""),1.079303697812682)</f>
        <v>1.079303698</v>
      </c>
      <c r="AI288" s="30">
        <f>IFERROR(__xludf.DUMMYFUNCTION("""COMPUTED_VALUE"""),0.997955876043578)</f>
        <v>0.997955876</v>
      </c>
      <c r="AJ288" s="30">
        <f>IFERROR(__xludf.DUMMYFUNCTION("""COMPUTED_VALUE"""),0.9280457570854702)</f>
        <v>0.9280457571</v>
      </c>
      <c r="AK288" s="30">
        <f>IFERROR(__xludf.DUMMYFUNCTION("""COMPUTED_VALUE"""),1.0584547657347043)</f>
        <v>1.058454766</v>
      </c>
      <c r="AL288" s="30">
        <f>IFERROR(__xludf.DUMMYFUNCTION("""COMPUTED_VALUE"""),0.9846326112698713)</f>
        <v>0.9846326113</v>
      </c>
      <c r="AM288" s="30">
        <f>IFERROR(__xludf.DUMMYFUNCTION("""COMPUTED_VALUE"""),1.121791151768184)</f>
        <v>1.121791152</v>
      </c>
      <c r="AN288" s="30">
        <f>IFERROR(__xludf.DUMMYFUNCTION("""COMPUTED_VALUE"""),1.072929890545328)</f>
        <v>1.072929891</v>
      </c>
      <c r="AO288" s="30">
        <f>IFERROR(__xludf.DUMMYFUNCTION("""COMPUTED_VALUE"""),1.104708546380618)</f>
        <v>1.104708546</v>
      </c>
      <c r="AP288" s="30">
        <f>IFERROR(__xludf.DUMMYFUNCTION("""COMPUTED_VALUE"""),1.2363408815334653)</f>
        <v>1.236340882</v>
      </c>
      <c r="AQ288" s="30">
        <f>IFERROR(__xludf.DUMMYFUNCTION("""COMPUTED_VALUE"""),1.0488826647407352)</f>
        <v>1.048882665</v>
      </c>
      <c r="AR288" s="30">
        <f>IFERROR(__xludf.DUMMYFUNCTION("""COMPUTED_VALUE"""),1.073932764319929)</f>
        <v>1.073932764</v>
      </c>
      <c r="AS288" s="30">
        <f>IFERROR(__xludf.DUMMYFUNCTION("""COMPUTED_VALUE"""),53.0)</f>
        <v>53</v>
      </c>
      <c r="AT288" s="30">
        <f>IFERROR(__xludf.DUMMYFUNCTION("""COMPUTED_VALUE"""),0.5072731727740412)</f>
        <v>0.5072731728</v>
      </c>
      <c r="AU288" s="30">
        <f>IFERROR(__xludf.DUMMYFUNCTION("""COMPUTED_VALUE"""),2.8545808240620247)</f>
        <v>2.854580824</v>
      </c>
      <c r="AV288" s="32">
        <f>IFERROR(__xludf.DUMMYFUNCTION("""COMPUTED_VALUE"""),65.0125722153016)</f>
        <v>65.01257222</v>
      </c>
      <c r="AW288" s="32">
        <f>IFERROR(__xludf.DUMMYFUNCTION("""COMPUTED_VALUE"""),3.6484956382330282)</f>
        <v>3.648495638</v>
      </c>
      <c r="AX288" s="32">
        <f>IFERROR(__xludf.DUMMYFUNCTION("""COMPUTED_VALUE"""),48.848347528456905)</f>
        <v>48.84834753</v>
      </c>
      <c r="AY288" s="32">
        <f>IFERROR(__xludf.DUMMYFUNCTION("""COMPUTED_VALUE"""),-2.0762878689550273)</f>
        <v>-2.076287869</v>
      </c>
      <c r="AZ288" s="30">
        <f>IFERROR(__xludf.DUMMYFUNCTION("""COMPUTED_VALUE"""),5.7247835071880555)</f>
        <v>5.724783507</v>
      </c>
      <c r="BA288" s="30">
        <f>IFERROR(__xludf.DUMMYFUNCTION("""COMPUTED_VALUE"""),1200.0)</f>
        <v>1200</v>
      </c>
    </row>
    <row r="289">
      <c r="A289" s="71" t="str">
        <f>IFERROR(__xludf.DUMMYFUNCTION("""COMPUTED_VALUE"""),"Veteran")</f>
        <v>Veteran</v>
      </c>
      <c r="B289" s="71" t="str">
        <f>IFERROR(__xludf.DUMMYFUNCTION("""COMPUTED_VALUE"""),"RSC000023")</f>
        <v>RSC000023</v>
      </c>
      <c r="C289" s="30" t="str">
        <f>IFERROR(__xludf.DUMMYFUNCTION("""COMPUTED_VALUE"""),"n0maa")</f>
        <v>n0maa</v>
      </c>
      <c r="D289" s="30"/>
      <c r="E289" s="30">
        <f>IFERROR(__xludf.DUMMYFUNCTION("""COMPUTED_VALUE"""),4.0)</f>
        <v>4</v>
      </c>
      <c r="F289" s="30">
        <f>IFERROR(__xludf.DUMMYFUNCTION("""COMPUTED_VALUE"""),1.0)</f>
        <v>1</v>
      </c>
      <c r="G289" s="42">
        <f>IFERROR(__xludf.DUMMYFUNCTION("""COMPUTED_VALUE"""),3.0)</f>
        <v>3</v>
      </c>
      <c r="H289" s="42">
        <f>IFERROR(__xludf.DUMMYFUNCTION("""COMPUTED_VALUE"""),0.25)</f>
        <v>0.25</v>
      </c>
      <c r="I289" s="42">
        <f>IFERROR(__xludf.DUMMYFUNCTION("""COMPUTED_VALUE"""),0.07692307692307693)</f>
        <v>0.07692307692</v>
      </c>
      <c r="J289" s="30">
        <f>IFERROR(__xludf.DUMMYFUNCTION("""COMPUTED_VALUE"""),350.5)</f>
        <v>350.5</v>
      </c>
      <c r="K289" s="30">
        <f>IFERROR(__xludf.DUMMYFUNCTION("""COMPUTED_VALUE"""),0.25)</f>
        <v>0.25</v>
      </c>
      <c r="L289" s="30">
        <f>IFERROR(__xludf.DUMMYFUNCTION("""COMPUTED_VALUE"""),1.25)</f>
        <v>1.25</v>
      </c>
      <c r="M289" s="30">
        <f>IFERROR(__xludf.DUMMYFUNCTION("""COMPUTED_VALUE"""),1.75)</f>
        <v>1.75</v>
      </c>
      <c r="N289" s="30">
        <f>IFERROR(__xludf.DUMMYFUNCTION("""COMPUTED_VALUE"""),3.25)</f>
        <v>3.25</v>
      </c>
      <c r="O289" s="30">
        <f>IFERROR(__xludf.DUMMYFUNCTION("""COMPUTED_VALUE"""),392.50000000000006)</f>
        <v>392.5</v>
      </c>
      <c r="P289" s="30">
        <f>IFERROR(__xludf.DUMMYFUNCTION("""COMPUTED_VALUE"""),1.1666666666666667)</f>
        <v>1.166666667</v>
      </c>
      <c r="Q289" s="30">
        <f>IFERROR(__xludf.DUMMYFUNCTION("""COMPUTED_VALUE"""),0.8333333333333334)</f>
        <v>0.8333333333</v>
      </c>
      <c r="R289" s="30">
        <f>IFERROR(__xludf.DUMMYFUNCTION("""COMPUTED_VALUE"""),1.3333333333333333)</f>
        <v>1.333333333</v>
      </c>
      <c r="S289" s="30">
        <f>IFERROR(__xludf.DUMMYFUNCTION("""COMPUTED_VALUE"""),3.3333333333333335)</f>
        <v>3.333333333</v>
      </c>
      <c r="T289" s="30">
        <f>IFERROR(__xludf.DUMMYFUNCTION("""COMPUTED_VALUE"""),336.0216931216931)</f>
        <v>336.0216931</v>
      </c>
      <c r="U289" s="30">
        <f>IFERROR(__xludf.DUMMYFUNCTION("""COMPUTED_VALUE"""),0.8116402116402116)</f>
        <v>0.8116402116</v>
      </c>
      <c r="V289" s="30">
        <f>IFERROR(__xludf.DUMMYFUNCTION("""COMPUTED_VALUE"""),0.7544973544973544)</f>
        <v>0.7544973545</v>
      </c>
      <c r="W289" s="30">
        <f>IFERROR(__xludf.DUMMYFUNCTION("""COMPUTED_VALUE"""),1.1423280423280424)</f>
        <v>1.142328042</v>
      </c>
      <c r="X289" s="30">
        <f>IFERROR(__xludf.DUMMYFUNCTION("""COMPUTED_VALUE"""),2.7952380952380955)</f>
        <v>2.795238095</v>
      </c>
      <c r="Y289" s="30">
        <f>IFERROR(__xludf.DUMMYFUNCTION("""COMPUTED_VALUE"""),372.7574955908288)</f>
        <v>372.7574956</v>
      </c>
      <c r="Z289" s="30">
        <f>IFERROR(__xludf.DUMMYFUNCTION("""COMPUTED_VALUE"""),0.8084656084656084)</f>
        <v>0.8084656085</v>
      </c>
      <c r="AA289" s="30">
        <f>IFERROR(__xludf.DUMMYFUNCTION("""COMPUTED_VALUE"""),0.5662257495590829)</f>
        <v>0.5662257496</v>
      </c>
      <c r="AB289" s="30">
        <f>IFERROR(__xludf.DUMMYFUNCTION("""COMPUTED_VALUE"""),1.6357142857142861)</f>
        <v>1.635714286</v>
      </c>
      <c r="AC289" s="30">
        <f>IFERROR(__xludf.DUMMYFUNCTION("""COMPUTED_VALUE"""),2.809347442680776)</f>
        <v>2.809347443</v>
      </c>
      <c r="AD289" s="30">
        <f>IFERROR(__xludf.DUMMYFUNCTION("""COMPUTED_VALUE"""),0.9402896095877289)</f>
        <v>0.9402896096</v>
      </c>
      <c r="AE289" s="30">
        <f>IFERROR(__xludf.DUMMYFUNCTION("""COMPUTED_VALUE"""),0.3092277486910995)</f>
        <v>0.3092277487</v>
      </c>
      <c r="AF289" s="30">
        <f>IFERROR(__xludf.DUMMYFUNCTION("""COMPUTED_VALUE"""),2.2076000622955925)</f>
        <v>2.207600062</v>
      </c>
      <c r="AG289" s="30">
        <f>IFERROR(__xludf.DUMMYFUNCTION("""COMPUTED_VALUE"""),1.0698689956331875)</f>
        <v>1.069868996</v>
      </c>
      <c r="AH289" s="30">
        <f>IFERROR(__xludf.DUMMYFUNCTION("""COMPUTED_VALUE"""),1.1568522820013811)</f>
        <v>1.156852282</v>
      </c>
      <c r="AI289" s="30">
        <f>IFERROR(__xludf.DUMMYFUNCTION("""COMPUTED_VALUE"""),1.1680793473588411)</f>
        <v>1.168079347</v>
      </c>
      <c r="AJ289" s="30">
        <f>IFERROR(__xludf.DUMMYFUNCTION("""COMPUTED_VALUE"""),1.4374185136897002)</f>
        <v>1.437418514</v>
      </c>
      <c r="AK289" s="30">
        <f>IFERROR(__xludf.DUMMYFUNCTION("""COMPUTED_VALUE"""),1.1044880785413747)</f>
        <v>1.104488079</v>
      </c>
      <c r="AL289" s="30">
        <f>IFERROR(__xludf.DUMMYFUNCTION("""COMPUTED_VALUE"""),1.1672070402964334)</f>
        <v>1.16720704</v>
      </c>
      <c r="AM289" s="30">
        <f>IFERROR(__xludf.DUMMYFUNCTION("""COMPUTED_VALUE"""),1.192504258943782)</f>
        <v>1.192504259</v>
      </c>
      <c r="AN289" s="30">
        <f>IFERROR(__xludf.DUMMYFUNCTION("""COMPUTED_VALUE"""),1.015126109466573)</f>
        <v>1.015126109</v>
      </c>
      <c r="AO289" s="30">
        <f>IFERROR(__xludf.DUMMYFUNCTION("""COMPUTED_VALUE"""),0.33141256391418544)</f>
        <v>0.3314125639</v>
      </c>
      <c r="AP289" s="30">
        <f>IFERROR(__xludf.DUMMYFUNCTION("""COMPUTED_VALUE"""),2.318139152875248)</f>
        <v>2.318139153</v>
      </c>
      <c r="AQ289" s="30">
        <f>IFERROR(__xludf.DUMMYFUNCTION("""COMPUTED_VALUE"""),1.2956785858562023)</f>
        <v>1.295678586</v>
      </c>
      <c r="AR289" s="30">
        <f>IFERROR(__xludf.DUMMYFUNCTION("""COMPUTED_VALUE"""),1.2691932669235524)</f>
        <v>1.269193267</v>
      </c>
      <c r="AS289" s="30">
        <f>IFERROR(__xludf.DUMMYFUNCTION("""COMPUTED_VALUE"""),11.0)</f>
        <v>11</v>
      </c>
      <c r="AT289" s="30">
        <f>IFERROR(__xludf.DUMMYFUNCTION("""COMPUTED_VALUE"""),0.3993768201200188)</f>
        <v>0.3993768201</v>
      </c>
      <c r="AU289" s="30">
        <f>IFERROR(__xludf.DUMMYFUNCTION("""COMPUTED_VALUE"""),2.6771076557336912)</f>
        <v>2.677107656</v>
      </c>
      <c r="AV289" s="32">
        <f>IFERROR(__xludf.DUMMYFUNCTION("""COMPUTED_VALUE"""),59.51514700387209)</f>
        <v>59.515147</v>
      </c>
      <c r="AW289" s="32">
        <f>IFERROR(__xludf.DUMMYFUNCTION("""COMPUTED_VALUE"""),2.8429455226325904)</f>
        <v>2.842945523</v>
      </c>
      <c r="AX289" s="32">
        <f>IFERROR(__xludf.DUMMYFUNCTION("""COMPUTED_VALUE"""),40.501985441536505)</f>
        <v>40.50198544</v>
      </c>
      <c r="AY289" s="32">
        <f>IFERROR(__xludf.DUMMYFUNCTION("""COMPUTED_VALUE"""),-2.8408914629053563)</f>
        <v>-2.840891463</v>
      </c>
      <c r="AZ289" s="30">
        <f>IFERROR(__xludf.DUMMYFUNCTION("""COMPUTED_VALUE"""),5.683836985537947)</f>
        <v>5.683836986</v>
      </c>
      <c r="BA289" s="30">
        <f>IFERROR(__xludf.DUMMYFUNCTION("""COMPUTED_VALUE"""),1200.0)</f>
        <v>1200</v>
      </c>
    </row>
    <row r="290">
      <c r="A290" s="71" t="str">
        <f>IFERROR(__xludf.DUMMYFUNCTION("""COMPUTED_VALUE"""),"Veteran")</f>
        <v>Veteran</v>
      </c>
      <c r="B290" s="71" t="str">
        <f>IFERROR(__xludf.DUMMYFUNCTION("""COMPUTED_VALUE"""),"RSC004917")</f>
        <v>RSC004917</v>
      </c>
      <c r="C290" s="30" t="str">
        <f>IFERROR(__xludf.DUMMYFUNCTION("""COMPUTED_VALUE"""),"Nahzey")</f>
        <v>Nahzey</v>
      </c>
      <c r="D290" s="30" t="str">
        <f>IFERROR(__xludf.DUMMYFUNCTION("""COMPUTED_VALUE"""),"Dog Fighters")</f>
        <v>Dog Fighters</v>
      </c>
      <c r="E290" s="30">
        <f>IFERROR(__xludf.DUMMYFUNCTION("""COMPUTED_VALUE"""),25.0)</f>
        <v>25</v>
      </c>
      <c r="F290" s="30">
        <f>IFERROR(__xludf.DUMMYFUNCTION("""COMPUTED_VALUE"""),14.0)</f>
        <v>14</v>
      </c>
      <c r="G290" s="42">
        <f>IFERROR(__xludf.DUMMYFUNCTION("""COMPUTED_VALUE"""),11.0)</f>
        <v>11</v>
      </c>
      <c r="H290" s="42">
        <f>IFERROR(__xludf.DUMMYFUNCTION("""COMPUTED_VALUE"""),0.56)</f>
        <v>0.56</v>
      </c>
      <c r="I290" s="42">
        <f>IFERROR(__xludf.DUMMYFUNCTION("""COMPUTED_VALUE"""),0.38235294117647056)</f>
        <v>0.3823529412</v>
      </c>
      <c r="J290" s="30">
        <f>IFERROR(__xludf.DUMMYFUNCTION("""COMPUTED_VALUE"""),407.56)</f>
        <v>407.56</v>
      </c>
      <c r="K290" s="30">
        <f>IFERROR(__xludf.DUMMYFUNCTION("""COMPUTED_VALUE"""),1.04)</f>
        <v>1.04</v>
      </c>
      <c r="L290" s="30">
        <f>IFERROR(__xludf.DUMMYFUNCTION("""COMPUTED_VALUE"""),0.64)</f>
        <v>0.64</v>
      </c>
      <c r="M290" s="30">
        <f>IFERROR(__xludf.DUMMYFUNCTION("""COMPUTED_VALUE"""),1.64)</f>
        <v>1.64</v>
      </c>
      <c r="N290" s="30">
        <f>IFERROR(__xludf.DUMMYFUNCTION("""COMPUTED_VALUE"""),2.72)</f>
        <v>2.72</v>
      </c>
      <c r="O290" s="30">
        <f>IFERROR(__xludf.DUMMYFUNCTION("""COMPUTED_VALUE"""),341.65333333333336)</f>
        <v>341.6533333</v>
      </c>
      <c r="P290" s="30">
        <f>IFERROR(__xludf.DUMMYFUNCTION("""COMPUTED_VALUE"""),0.6133333333333334)</f>
        <v>0.6133333333</v>
      </c>
      <c r="Q290" s="30">
        <f>IFERROR(__xludf.DUMMYFUNCTION("""COMPUTED_VALUE"""),0.4533333333333333)</f>
        <v>0.4533333333</v>
      </c>
      <c r="R290" s="30">
        <f>IFERROR(__xludf.DUMMYFUNCTION("""COMPUTED_VALUE"""),1.48)</f>
        <v>1.48</v>
      </c>
      <c r="S290" s="30">
        <f>IFERROR(__xludf.DUMMYFUNCTION("""COMPUTED_VALUE"""),2.4933333333333336)</f>
        <v>2.493333333</v>
      </c>
      <c r="T290" s="30">
        <f>IFERROR(__xludf.DUMMYFUNCTION("""COMPUTED_VALUE"""),354.35158377897875)</f>
        <v>354.3515838</v>
      </c>
      <c r="U290" s="30">
        <f>IFERROR(__xludf.DUMMYFUNCTION("""COMPUTED_VALUE"""),0.7289697402465901)</f>
        <v>0.7289697402</v>
      </c>
      <c r="V290" s="30">
        <f>IFERROR(__xludf.DUMMYFUNCTION("""COMPUTED_VALUE"""),0.5748674171784323)</f>
        <v>0.5748674172</v>
      </c>
      <c r="W290" s="30">
        <f>IFERROR(__xludf.DUMMYFUNCTION("""COMPUTED_VALUE"""),1.4249906114169806)</f>
        <v>1.424990611</v>
      </c>
      <c r="X290" s="30">
        <f>IFERROR(__xludf.DUMMYFUNCTION("""COMPUTED_VALUE"""),2.549659933338653)</f>
        <v>2.549659933</v>
      </c>
      <c r="Y290" s="30">
        <f>IFERROR(__xludf.DUMMYFUNCTION("""COMPUTED_VALUE"""),349.73969425390004)</f>
        <v>349.7396943</v>
      </c>
      <c r="Z290" s="30">
        <f>IFERROR(__xludf.DUMMYFUNCTION("""COMPUTED_VALUE"""),0.7392722765912406)</f>
        <v>0.7392722766</v>
      </c>
      <c r="AA290" s="30">
        <f>IFERROR(__xludf.DUMMYFUNCTION("""COMPUTED_VALUE"""),0.5318326803607224)</f>
        <v>0.5318326804</v>
      </c>
      <c r="AB290" s="30">
        <f>IFERROR(__xludf.DUMMYFUNCTION("""COMPUTED_VALUE"""),1.3710614185904249)</f>
        <v>1.371061419</v>
      </c>
      <c r="AC290" s="30">
        <f>IFERROR(__xludf.DUMMYFUNCTION("""COMPUTED_VALUE"""),2.6470708448452402)</f>
        <v>2.647070845</v>
      </c>
      <c r="AD290" s="30">
        <f>IFERROR(__xludf.DUMMYFUNCTION("""COMPUTED_VALUE"""),1.1653238299685944)</f>
        <v>1.16532383</v>
      </c>
      <c r="AE290" s="30">
        <f>IFERROR(__xludf.DUMMYFUNCTION("""COMPUTED_VALUE"""),1.406788855650593)</f>
        <v>1.406788856</v>
      </c>
      <c r="AF290" s="30">
        <f>IFERROR(__xludf.DUMMYFUNCTION("""COMPUTED_VALUE"""),1.2033859964489428)</f>
        <v>1.203385996</v>
      </c>
      <c r="AG290" s="30">
        <f>IFERROR(__xludf.DUMMYFUNCTION("""COMPUTED_VALUE"""),1.196153562315296)</f>
        <v>1.196153562</v>
      </c>
      <c r="AH290" s="30">
        <f>IFERROR(__xludf.DUMMYFUNCTION("""COMPUTED_VALUE"""),1.0275508890503546)</f>
        <v>1.027550889</v>
      </c>
      <c r="AI290" s="30">
        <f>IFERROR(__xludf.DUMMYFUNCTION("""COMPUTED_VALUE"""),0.9641648266102693)</f>
        <v>0.9641648266</v>
      </c>
      <c r="AJ290" s="30">
        <f>IFERROR(__xludf.DUMMYFUNCTION("""COMPUTED_VALUE"""),0.8413700863987301)</f>
        <v>0.8413700864</v>
      </c>
      <c r="AK290" s="30">
        <f>IFERROR(__xludf.DUMMYFUNCTION("""COMPUTED_VALUE"""),0.7885876287064358)</f>
        <v>0.7885876287</v>
      </c>
      <c r="AL290" s="30">
        <f>IFERROR(__xludf.DUMMYFUNCTION("""COMPUTED_VALUE"""),1.0386033340446497)</f>
        <v>1.038603334</v>
      </c>
      <c r="AM290" s="30">
        <f>IFERROR(__xludf.DUMMYFUNCTION("""COMPUTED_VALUE"""),0.9779081911007784)</f>
        <v>0.9779081911</v>
      </c>
      <c r="AN290" s="30">
        <f>IFERROR(__xludf.DUMMYFUNCTION("""COMPUTED_VALUE"""),1.1803845853757389)</f>
        <v>1.180384585</v>
      </c>
      <c r="AO290" s="30">
        <f>IFERROR(__xludf.DUMMYFUNCTION("""COMPUTED_VALUE"""),1.3786762658830114)</f>
        <v>1.378676266</v>
      </c>
      <c r="AP290" s="30">
        <f>IFERROR(__xludf.DUMMYFUNCTION("""COMPUTED_VALUE"""),1.186887246272127)</f>
        <v>1.186887246</v>
      </c>
      <c r="AQ290" s="30">
        <f>IFERROR(__xludf.DUMMYFUNCTION("""COMPUTED_VALUE"""),1.2142359318880982)</f>
        <v>1.214235932</v>
      </c>
      <c r="AR290" s="30">
        <f>IFERROR(__xludf.DUMMYFUNCTION("""COMPUTED_VALUE"""),1.0622171341637117)</f>
        <v>1.062217134</v>
      </c>
      <c r="AS290" s="30">
        <f>IFERROR(__xludf.DUMMYFUNCTION("""COMPUTED_VALUE"""),61.0)</f>
        <v>61</v>
      </c>
      <c r="AT290" s="30">
        <f>IFERROR(__xludf.DUMMYFUNCTION("""COMPUTED_VALUE"""),0.6054872672765219)</f>
        <v>0.6054872673</v>
      </c>
      <c r="AU290" s="30">
        <f>IFERROR(__xludf.DUMMYFUNCTION("""COMPUTED_VALUE"""),3.3971407820427535)</f>
        <v>3.397140782</v>
      </c>
      <c r="AV290" s="32">
        <f>IFERROR(__xludf.DUMMYFUNCTION("""COMPUTED_VALUE"""),81.81895945575079)</f>
        <v>81.81895946</v>
      </c>
      <c r="AW290" s="32">
        <f>IFERROR(__xludf.DUMMYFUNCTION("""COMPUTED_VALUE"""),9.847181836448497)</f>
        <v>9.847181836</v>
      </c>
      <c r="AX290" s="32">
        <f>IFERROR(__xludf.DUMMYFUNCTION("""COMPUTED_VALUE"""),67.9502272135094)</f>
        <v>67.95022721</v>
      </c>
      <c r="AY290" s="32">
        <f>IFERROR(__xludf.DUMMYFUNCTION("""COMPUTED_VALUE"""),4.230550777828364)</f>
        <v>4.230550778</v>
      </c>
      <c r="AZ290" s="30">
        <f>IFERROR(__xludf.DUMMYFUNCTION("""COMPUTED_VALUE"""),5.616631058620133)</f>
        <v>5.616631059</v>
      </c>
      <c r="BA290" s="30">
        <f>IFERROR(__xludf.DUMMYFUNCTION("""COMPUTED_VALUE"""),1200.0)</f>
        <v>1200</v>
      </c>
    </row>
    <row r="291">
      <c r="A291" s="71" t="str">
        <f>IFERROR(__xludf.DUMMYFUNCTION("""COMPUTED_VALUE"""),"Veteran")</f>
        <v>Veteran</v>
      </c>
      <c r="B291" s="71" t="str">
        <f>IFERROR(__xludf.DUMMYFUNCTION("""COMPUTED_VALUE"""),"RSC007115")</f>
        <v>RSC007115</v>
      </c>
      <c r="C291" s="30" t="str">
        <f>IFERROR(__xludf.DUMMYFUNCTION("""COMPUTED_VALUE"""),"Zoomin")</f>
        <v>Zoomin</v>
      </c>
      <c r="D291" s="30" t="str">
        <f>IFERROR(__xludf.DUMMYFUNCTION("""COMPUTED_VALUE"""),"Legati")</f>
        <v>Legati</v>
      </c>
      <c r="E291" s="30">
        <f>IFERROR(__xludf.DUMMYFUNCTION("""COMPUTED_VALUE"""),25.0)</f>
        <v>25</v>
      </c>
      <c r="F291" s="30">
        <f>IFERROR(__xludf.DUMMYFUNCTION("""COMPUTED_VALUE"""),14.0)</f>
        <v>14</v>
      </c>
      <c r="G291" s="42">
        <f>IFERROR(__xludf.DUMMYFUNCTION("""COMPUTED_VALUE"""),11.0)</f>
        <v>11</v>
      </c>
      <c r="H291" s="42">
        <f>IFERROR(__xludf.DUMMYFUNCTION("""COMPUTED_VALUE"""),0.56)</f>
        <v>0.56</v>
      </c>
      <c r="I291" s="42">
        <f>IFERROR(__xludf.DUMMYFUNCTION("""COMPUTED_VALUE"""),0.39999999999999997)</f>
        <v>0.4</v>
      </c>
      <c r="J291" s="30">
        <f>IFERROR(__xludf.DUMMYFUNCTION("""COMPUTED_VALUE"""),374.84)</f>
        <v>374.84</v>
      </c>
      <c r="K291" s="30">
        <f>IFERROR(__xludf.DUMMYFUNCTION("""COMPUTED_VALUE"""),0.88)</f>
        <v>0.88</v>
      </c>
      <c r="L291" s="30">
        <f>IFERROR(__xludf.DUMMYFUNCTION("""COMPUTED_VALUE"""),0.64)</f>
        <v>0.64</v>
      </c>
      <c r="M291" s="30">
        <f>IFERROR(__xludf.DUMMYFUNCTION("""COMPUTED_VALUE"""),1.36)</f>
        <v>1.36</v>
      </c>
      <c r="N291" s="30">
        <f>IFERROR(__xludf.DUMMYFUNCTION("""COMPUTED_VALUE"""),2.2)</f>
        <v>2.2</v>
      </c>
      <c r="O291" s="30">
        <f>IFERROR(__xludf.DUMMYFUNCTION("""COMPUTED_VALUE"""),395.33333333333326)</f>
        <v>395.3333333</v>
      </c>
      <c r="P291" s="30">
        <f>IFERROR(__xludf.DUMMYFUNCTION("""COMPUTED_VALUE"""),0.9599999999999999)</f>
        <v>0.96</v>
      </c>
      <c r="Q291" s="30">
        <f>IFERROR(__xludf.DUMMYFUNCTION("""COMPUTED_VALUE"""),0.68)</f>
        <v>0.68</v>
      </c>
      <c r="R291" s="30">
        <f>IFERROR(__xludf.DUMMYFUNCTION("""COMPUTED_VALUE"""),1.413333333333333)</f>
        <v>1.413333333</v>
      </c>
      <c r="S291" s="30">
        <f>IFERROR(__xludf.DUMMYFUNCTION("""COMPUTED_VALUE"""),2.9466666666666668)</f>
        <v>2.946666667</v>
      </c>
      <c r="T291" s="30">
        <f>IFERROR(__xludf.DUMMYFUNCTION("""COMPUTED_VALUE"""),357.346416442986)</f>
        <v>357.3464164</v>
      </c>
      <c r="U291" s="30">
        <f>IFERROR(__xludf.DUMMYFUNCTION("""COMPUTED_VALUE"""),0.7907036307222677)</f>
        <v>0.7907036307</v>
      </c>
      <c r="V291" s="30">
        <f>IFERROR(__xludf.DUMMYFUNCTION("""COMPUTED_VALUE"""),0.5867650505113998)</f>
        <v>0.5867650505</v>
      </c>
      <c r="W291" s="30">
        <f>IFERROR(__xludf.DUMMYFUNCTION("""COMPUTED_VALUE"""),1.3710591069153233)</f>
        <v>1.371059107</v>
      </c>
      <c r="X291" s="30">
        <f>IFERROR(__xludf.DUMMYFUNCTION("""COMPUTED_VALUE"""),2.5759920636567495)</f>
        <v>2.575992064</v>
      </c>
      <c r="Y291" s="30">
        <f>IFERROR(__xludf.DUMMYFUNCTION("""COMPUTED_VALUE"""),361.7112471924125)</f>
        <v>361.7112472</v>
      </c>
      <c r="Z291" s="30">
        <f>IFERROR(__xludf.DUMMYFUNCTION("""COMPUTED_VALUE"""),0.8095697245634335)</f>
        <v>0.8095697246</v>
      </c>
      <c r="AA291" s="30">
        <f>IFERROR(__xludf.DUMMYFUNCTION("""COMPUTED_VALUE"""),0.5945037617966518)</f>
        <v>0.5945037618</v>
      </c>
      <c r="AB291" s="30">
        <f>IFERROR(__xludf.DUMMYFUNCTION("""COMPUTED_VALUE"""),1.3505376684416057)</f>
        <v>1.350537668</v>
      </c>
      <c r="AC291" s="30">
        <f>IFERROR(__xludf.DUMMYFUNCTION("""COMPUTED_VALUE"""),2.7277231231367978)</f>
        <v>2.727723123</v>
      </c>
      <c r="AD291" s="30">
        <f>IFERROR(__xludf.DUMMYFUNCTION("""COMPUTED_VALUE"""),1.0362962249846868)</f>
        <v>1.036296225</v>
      </c>
      <c r="AE291" s="30">
        <f>IFERROR(__xludf.DUMMYFUNCTION("""COMPUTED_VALUE"""),1.0869971705952153)</f>
        <v>1.086997171</v>
      </c>
      <c r="AF291" s="30">
        <f>IFERROR(__xludf.DUMMYFUNCTION("""COMPUTED_VALUE"""),1.0765280913712874)</f>
        <v>1.076528091</v>
      </c>
      <c r="AG291" s="30">
        <f>IFERROR(__xludf.DUMMYFUNCTION("""COMPUTED_VALUE"""),1.007006344050598)</f>
        <v>1.007006344</v>
      </c>
      <c r="AH291" s="30">
        <f>IFERROR(__xludf.DUMMYFUNCTION("""COMPUTED_VALUE"""),0.806533471575395)</f>
        <v>0.8065334716</v>
      </c>
      <c r="AI291" s="30">
        <f>IFERROR(__xludf.DUMMYFUNCTION("""COMPUTED_VALUE"""),1.1063027783193342)</f>
        <v>1.106302778</v>
      </c>
      <c r="AJ291" s="30">
        <f>IFERROR(__xludf.DUMMYFUNCTION("""COMPUTED_VALUE"""),1.2141085012131392)</f>
        <v>1.214108501</v>
      </c>
      <c r="AK291" s="30">
        <f>IFERROR(__xludf.DUMMYFUNCTION("""COMPUTED_VALUE"""),1.1588965624441)</f>
        <v>1.158896562</v>
      </c>
      <c r="AL291" s="30">
        <f>IFERROR(__xludf.DUMMYFUNCTION("""COMPUTED_VALUE"""),1.0308332632814938)</f>
        <v>1.030833263</v>
      </c>
      <c r="AM291" s="30">
        <f>IFERROR(__xludf.DUMMYFUNCTION("""COMPUTED_VALUE"""),1.1438958637487906)</f>
        <v>1.143895864</v>
      </c>
      <c r="AN291" s="30">
        <f>IFERROR(__xludf.DUMMYFUNCTION("""COMPUTED_VALUE"""),1.0856201736731816)</f>
        <v>1.085620174</v>
      </c>
      <c r="AO291" s="30">
        <f>IFERROR(__xludf.DUMMYFUNCTION("""COMPUTED_VALUE"""),1.1665722249779327)</f>
        <v>1.166572225</v>
      </c>
      <c r="AP291" s="30">
        <f>IFERROR(__xludf.DUMMYFUNCTION("""COMPUTED_VALUE"""),1.186887246272127)</f>
        <v>1.186887246</v>
      </c>
      <c r="AQ291" s="30">
        <f>IFERROR(__xludf.DUMMYFUNCTION("""COMPUTED_VALUE"""),1.006927358151106)</f>
        <v>1.006927358</v>
      </c>
      <c r="AR291" s="30">
        <f>IFERROR(__xludf.DUMMYFUNCTION("""COMPUTED_VALUE"""),0.8591462114559433)</f>
        <v>0.8591462115</v>
      </c>
      <c r="AS291" s="30">
        <f>IFERROR(__xludf.DUMMYFUNCTION("""COMPUTED_VALUE"""),70.0)</f>
        <v>70</v>
      </c>
      <c r="AT291" s="30">
        <f>IFERROR(__xludf.DUMMYFUNCTION("""COMPUTED_VALUE"""),0.4884079427258692)</f>
        <v>0.4884079427</v>
      </c>
      <c r="AU291" s="30">
        <f>IFERROR(__xludf.DUMMYFUNCTION("""COMPUTED_VALUE"""),2.502766964949002)</f>
        <v>2.502766965</v>
      </c>
      <c r="AV291" s="32">
        <f>IFERROR(__xludf.DUMMYFUNCTION("""COMPUTED_VALUE"""),54.1147537054065)</f>
        <v>54.11475371</v>
      </c>
      <c r="AW291" s="32">
        <f>IFERROR(__xludf.DUMMYFUNCTION("""COMPUTED_VALUE"""),2.3007901512752946)</f>
        <v>2.300790151</v>
      </c>
      <c r="AX291" s="32">
        <f>IFERROR(__xludf.DUMMYFUNCTION("""COMPUTED_VALUE"""),37.81062417264495)</f>
        <v>37.81062417</v>
      </c>
      <c r="AY291" s="32">
        <f>IFERROR(__xludf.DUMMYFUNCTION("""COMPUTED_VALUE"""),-3.195649398840225)</f>
        <v>-3.195649399</v>
      </c>
      <c r="AZ291" s="30">
        <f>IFERROR(__xludf.DUMMYFUNCTION("""COMPUTED_VALUE"""),5.49643955011552)</f>
        <v>5.49643955</v>
      </c>
      <c r="BA291" s="30">
        <f>IFERROR(__xludf.DUMMYFUNCTION("""COMPUTED_VALUE"""),1200.0)</f>
        <v>1200</v>
      </c>
    </row>
    <row r="292">
      <c r="A292" s="71" t="str">
        <f>IFERROR(__xludf.DUMMYFUNCTION("""COMPUTED_VALUE"""),"Veteran")</f>
        <v>Veteran</v>
      </c>
      <c r="B292" s="71" t="str">
        <f>IFERROR(__xludf.DUMMYFUNCTION("""COMPUTED_VALUE"""),"RSC005655")</f>
        <v>RSC005655</v>
      </c>
      <c r="C292" s="30" t="str">
        <f>IFERROR(__xludf.DUMMYFUNCTION("""COMPUTED_VALUE"""),"oneplayamaker")</f>
        <v>oneplayamaker</v>
      </c>
      <c r="D292" s="30" t="str">
        <f>IFERROR(__xludf.DUMMYFUNCTION("""COMPUTED_VALUE"""),"Paradox Paloma")</f>
        <v>Paradox Paloma</v>
      </c>
      <c r="E292" s="30">
        <f>IFERROR(__xludf.DUMMYFUNCTION("""COMPUTED_VALUE"""),20.0)</f>
        <v>20</v>
      </c>
      <c r="F292" s="30">
        <f>IFERROR(__xludf.DUMMYFUNCTION("""COMPUTED_VALUE"""),17.0)</f>
        <v>17</v>
      </c>
      <c r="G292" s="42">
        <f>IFERROR(__xludf.DUMMYFUNCTION("""COMPUTED_VALUE"""),3.0)</f>
        <v>3</v>
      </c>
      <c r="H292" s="42">
        <f>IFERROR(__xludf.DUMMYFUNCTION("""COMPUTED_VALUE"""),0.85)</f>
        <v>0.85</v>
      </c>
      <c r="I292" s="42">
        <f>IFERROR(__xludf.DUMMYFUNCTION("""COMPUTED_VALUE"""),0.3103448275862069)</f>
        <v>0.3103448276</v>
      </c>
      <c r="J292" s="30">
        <f>IFERROR(__xludf.DUMMYFUNCTION("""COMPUTED_VALUE"""),330.15)</f>
        <v>330.15</v>
      </c>
      <c r="K292" s="30">
        <f>IFERROR(__xludf.DUMMYFUNCTION("""COMPUTED_VALUE"""),0.9)</f>
        <v>0.9</v>
      </c>
      <c r="L292" s="30">
        <f>IFERROR(__xludf.DUMMYFUNCTION("""COMPUTED_VALUE"""),0.6)</f>
        <v>0.6</v>
      </c>
      <c r="M292" s="30">
        <f>IFERROR(__xludf.DUMMYFUNCTION("""COMPUTED_VALUE"""),0.95)</f>
        <v>0.95</v>
      </c>
      <c r="N292" s="30">
        <f>IFERROR(__xludf.DUMMYFUNCTION("""COMPUTED_VALUE"""),2.9)</f>
        <v>2.9</v>
      </c>
      <c r="O292" s="30">
        <f>IFERROR(__xludf.DUMMYFUNCTION("""COMPUTED_VALUE"""),329.45)</f>
        <v>329.45</v>
      </c>
      <c r="P292" s="30">
        <f>IFERROR(__xludf.DUMMYFUNCTION("""COMPUTED_VALUE"""),0.5333333333333333)</f>
        <v>0.5333333333</v>
      </c>
      <c r="Q292" s="30">
        <f>IFERROR(__xludf.DUMMYFUNCTION("""COMPUTED_VALUE"""),0.4666666666666667)</f>
        <v>0.4666666667</v>
      </c>
      <c r="R292" s="30">
        <f>IFERROR(__xludf.DUMMYFUNCTION("""COMPUTED_VALUE"""),1.6833333333333331)</f>
        <v>1.683333333</v>
      </c>
      <c r="S292" s="30">
        <f>IFERROR(__xludf.DUMMYFUNCTION("""COMPUTED_VALUE"""),2.0166666666666666)</f>
        <v>2.016666667</v>
      </c>
      <c r="T292" s="30">
        <f>IFERROR(__xludf.DUMMYFUNCTION("""COMPUTED_VALUE"""),347.6135003883931)</f>
        <v>347.6135004</v>
      </c>
      <c r="U292" s="30">
        <f>IFERROR(__xludf.DUMMYFUNCTION("""COMPUTED_VALUE"""),0.7485563483610921)</f>
        <v>0.7485563484</v>
      </c>
      <c r="V292" s="30">
        <f>IFERROR(__xludf.DUMMYFUNCTION("""COMPUTED_VALUE"""),0.5412052823193374)</f>
        <v>0.5412052823</v>
      </c>
      <c r="W292" s="30">
        <f>IFERROR(__xludf.DUMMYFUNCTION("""COMPUTED_VALUE"""),1.382388585678251)</f>
        <v>1.382388586</v>
      </c>
      <c r="X292" s="30">
        <f>IFERROR(__xludf.DUMMYFUNCTION("""COMPUTED_VALUE"""),2.453457596528546)</f>
        <v>2.453457597</v>
      </c>
      <c r="Y292" s="30">
        <f>IFERROR(__xludf.DUMMYFUNCTION("""COMPUTED_VALUE"""),358.8285410958432)</f>
        <v>358.8285411</v>
      </c>
      <c r="Z292" s="30">
        <f>IFERROR(__xludf.DUMMYFUNCTION("""COMPUTED_VALUE"""),0.8837468777776843)</f>
        <v>0.8837468778</v>
      </c>
      <c r="AA292" s="30">
        <f>IFERROR(__xludf.DUMMYFUNCTION("""COMPUTED_VALUE"""),0.6596954214513676)</f>
        <v>0.6596954215</v>
      </c>
      <c r="AB292" s="30">
        <f>IFERROR(__xludf.DUMMYFUNCTION("""COMPUTED_VALUE"""),1.2172802642162799)</f>
        <v>1.217280264</v>
      </c>
      <c r="AC292" s="30">
        <f>IFERROR(__xludf.DUMMYFUNCTION("""COMPUTED_VALUE"""),2.757167492532096)</f>
        <v>2.757167493</v>
      </c>
      <c r="AD292" s="30">
        <f>IFERROR(__xludf.DUMMYFUNCTION("""COMPUTED_VALUE"""),0.920077313225251)</f>
        <v>0.9200773132</v>
      </c>
      <c r="AE292" s="30">
        <f>IFERROR(__xludf.DUMMYFUNCTION("""COMPUTED_VALUE"""),1.018391150940399)</f>
        <v>1.018391151</v>
      </c>
      <c r="AF292" s="30">
        <f>IFERROR(__xludf.DUMMYFUNCTION("""COMPUTED_VALUE"""),0.9095106324672766)</f>
        <v>0.9095106325</v>
      </c>
      <c r="AG292" s="30">
        <f>IFERROR(__xludf.DUMMYFUNCTION("""COMPUTED_VALUE"""),0.7804283269240689)</f>
        <v>0.7804283269</v>
      </c>
      <c r="AH292" s="30">
        <f>IFERROR(__xludf.DUMMYFUNCTION("""COMPUTED_VALUE"""),1.0518040735119545)</f>
        <v>1.051804074</v>
      </c>
      <c r="AI292" s="30">
        <f>IFERROR(__xludf.DUMMYFUNCTION("""COMPUTED_VALUE"""),0.9477480006728772)</f>
        <v>0.9477480007</v>
      </c>
      <c r="AJ292" s="30">
        <f>IFERROR(__xludf.DUMMYFUNCTION("""COMPUTED_VALUE"""),0.7124825465725148)</f>
        <v>0.7124825466</v>
      </c>
      <c r="AK292" s="30">
        <f>IFERROR(__xludf.DUMMYFUNCTION("""COMPUTED_VALUE"""),0.86227293397205)</f>
        <v>0.862272934</v>
      </c>
      <c r="AL292" s="30">
        <f>IFERROR(__xludf.DUMMYFUNCTION("""COMPUTED_VALUE"""),1.2176990976147475)</f>
        <v>1.217699098</v>
      </c>
      <c r="AM292" s="30">
        <f>IFERROR(__xludf.DUMMYFUNCTION("""COMPUTED_VALUE"""),0.8219692361995965)</f>
        <v>0.8219692362</v>
      </c>
      <c r="AN292" s="30">
        <f>IFERROR(__xludf.DUMMYFUNCTION("""COMPUTED_VALUE"""),0.9561879744376292)</f>
        <v>0.9561879744</v>
      </c>
      <c r="AO292" s="30">
        <f>IFERROR(__xludf.DUMMYFUNCTION("""COMPUTED_VALUE"""),1.1930852300910677)</f>
        <v>1.19308523</v>
      </c>
      <c r="AP292" s="30">
        <f>IFERROR(__xludf.DUMMYFUNCTION("""COMPUTED_VALUE"""),1.112706793380119)</f>
        <v>1.112706793</v>
      </c>
      <c r="AQ292" s="30">
        <f>IFERROR(__xludf.DUMMYFUNCTION("""COMPUTED_VALUE"""),0.7033683751790812)</f>
        <v>0.7033683752</v>
      </c>
      <c r="AR292" s="30">
        <f>IFERROR(__xludf.DUMMYFUNCTION("""COMPUTED_VALUE"""),1.132510915101016)</f>
        <v>1.132510915</v>
      </c>
      <c r="AS292" s="30">
        <f>IFERROR(__xludf.DUMMYFUNCTION("""COMPUTED_VALUE"""),60.0)</f>
        <v>60</v>
      </c>
      <c r="AT292" s="30">
        <f>IFERROR(__xludf.DUMMYFUNCTION("""COMPUTED_VALUE"""),0.7259307451636119)</f>
        <v>0.7259307452</v>
      </c>
      <c r="AU292" s="30">
        <f>IFERROR(__xludf.DUMMYFUNCTION("""COMPUTED_VALUE"""),2.7966740303157485)</f>
        <v>2.79667403</v>
      </c>
      <c r="AV292" s="32">
        <f>IFERROR(__xludf.DUMMYFUNCTION("""COMPUTED_VALUE"""),63.2188460376921)</f>
        <v>63.21884604</v>
      </c>
      <c r="AW292" s="32">
        <f>IFERROR(__xludf.DUMMYFUNCTION("""COMPUTED_VALUE"""),3.350217189498442)</f>
        <v>3.350217189</v>
      </c>
      <c r="AX292" s="32">
        <f>IFERROR(__xludf.DUMMYFUNCTION("""COMPUTED_VALUE"""),48.923508412436206)</f>
        <v>48.92350841</v>
      </c>
      <c r="AY292" s="32">
        <f>IFERROR(__xludf.DUMMYFUNCTION("""COMPUTED_VALUE"""),-2.071135267146116)</f>
        <v>-2.071135267</v>
      </c>
      <c r="AZ292" s="30">
        <f>IFERROR(__xludf.DUMMYFUNCTION("""COMPUTED_VALUE"""),5.4213524566445574)</f>
        <v>5.421352457</v>
      </c>
      <c r="BA292" s="30">
        <f>IFERROR(__xludf.DUMMYFUNCTION("""COMPUTED_VALUE"""),1200.0)</f>
        <v>1200</v>
      </c>
    </row>
    <row r="293">
      <c r="A293" s="71" t="str">
        <f>IFERROR(__xludf.DUMMYFUNCTION("""COMPUTED_VALUE"""),"Veteran")</f>
        <v>Veteran</v>
      </c>
      <c r="B293" s="71" t="str">
        <f>IFERROR(__xludf.DUMMYFUNCTION("""COMPUTED_VALUE"""),"RSC005088")</f>
        <v>RSC005088</v>
      </c>
      <c r="C293" s="30" t="str">
        <f>IFERROR(__xludf.DUMMYFUNCTION("""COMPUTED_VALUE"""),"Thirteen")</f>
        <v>Thirteen</v>
      </c>
      <c r="D293" s="30" t="str">
        <f>IFERROR(__xludf.DUMMYFUNCTION("""COMPUTED_VALUE"""),"Repossessed")</f>
        <v>Repossessed</v>
      </c>
      <c r="E293" s="30">
        <f>IFERROR(__xludf.DUMMYFUNCTION("""COMPUTED_VALUE"""),22.0)</f>
        <v>22</v>
      </c>
      <c r="F293" s="30">
        <f>IFERROR(__xludf.DUMMYFUNCTION("""COMPUTED_VALUE"""),14.0)</f>
        <v>14</v>
      </c>
      <c r="G293" s="42">
        <f>IFERROR(__xludf.DUMMYFUNCTION("""COMPUTED_VALUE"""),8.0)</f>
        <v>8</v>
      </c>
      <c r="H293" s="42">
        <f>IFERROR(__xludf.DUMMYFUNCTION("""COMPUTED_VALUE"""),0.6363636363636364)</f>
        <v>0.6363636364</v>
      </c>
      <c r="I293" s="42">
        <f>IFERROR(__xludf.DUMMYFUNCTION("""COMPUTED_VALUE"""),0.25925925925925924)</f>
        <v>0.2592592593</v>
      </c>
      <c r="J293" s="30">
        <f>IFERROR(__xludf.DUMMYFUNCTION("""COMPUTED_VALUE"""),321.09090909090907)</f>
        <v>321.0909091</v>
      </c>
      <c r="K293" s="30">
        <f>IFERROR(__xludf.DUMMYFUNCTION("""COMPUTED_VALUE"""),0.6363636363636364)</f>
        <v>0.6363636364</v>
      </c>
      <c r="L293" s="30">
        <f>IFERROR(__xludf.DUMMYFUNCTION("""COMPUTED_VALUE"""),0.8181818181818182)</f>
        <v>0.8181818182</v>
      </c>
      <c r="M293" s="30">
        <f>IFERROR(__xludf.DUMMYFUNCTION("""COMPUTED_VALUE"""),0.9545454545454546)</f>
        <v>0.9545454545</v>
      </c>
      <c r="N293" s="30">
        <f>IFERROR(__xludf.DUMMYFUNCTION("""COMPUTED_VALUE"""),2.4545454545454546)</f>
        <v>2.454545455</v>
      </c>
      <c r="O293" s="30">
        <f>IFERROR(__xludf.DUMMYFUNCTION("""COMPUTED_VALUE"""),340.60606060606057)</f>
        <v>340.6060606</v>
      </c>
      <c r="P293" s="30">
        <f>IFERROR(__xludf.DUMMYFUNCTION("""COMPUTED_VALUE"""),0.6515151515151515)</f>
        <v>0.6515151515</v>
      </c>
      <c r="Q293" s="30">
        <f>IFERROR(__xludf.DUMMYFUNCTION("""COMPUTED_VALUE"""),0.48484848484848475)</f>
        <v>0.4848484848</v>
      </c>
      <c r="R293" s="30">
        <f>IFERROR(__xludf.DUMMYFUNCTION("""COMPUTED_VALUE"""),1.4696969696969695)</f>
        <v>1.46969697</v>
      </c>
      <c r="S293" s="30">
        <f>IFERROR(__xludf.DUMMYFUNCTION("""COMPUTED_VALUE"""),2.454545454545454)</f>
        <v>2.454545455</v>
      </c>
      <c r="T293" s="30">
        <f>IFERROR(__xludf.DUMMYFUNCTION("""COMPUTED_VALUE"""),337.2658711690472)</f>
        <v>337.2658712</v>
      </c>
      <c r="U293" s="30">
        <f>IFERROR(__xludf.DUMMYFUNCTION("""COMPUTED_VALUE"""),0.6843883554360669)</f>
        <v>0.6843883554</v>
      </c>
      <c r="V293" s="30">
        <f>IFERROR(__xludf.DUMMYFUNCTION("""COMPUTED_VALUE"""),0.5361646371379005)</f>
        <v>0.5361646371</v>
      </c>
      <c r="W293" s="30">
        <f>IFERROR(__xludf.DUMMYFUNCTION("""COMPUTED_VALUE"""),1.3423377103076222)</f>
        <v>1.34233771</v>
      </c>
      <c r="X293" s="30">
        <f>IFERROR(__xludf.DUMMYFUNCTION("""COMPUTED_VALUE"""),2.3279286618609607)</f>
        <v>2.327928662</v>
      </c>
      <c r="Y293" s="30">
        <f>IFERROR(__xludf.DUMMYFUNCTION("""COMPUTED_VALUE"""),343.78366338871706)</f>
        <v>343.7836634</v>
      </c>
      <c r="Z293" s="30">
        <f>IFERROR(__xludf.DUMMYFUNCTION("""COMPUTED_VALUE"""),0.7536911265127793)</f>
        <v>0.7536911265</v>
      </c>
      <c r="AA293" s="30">
        <f>IFERROR(__xludf.DUMMYFUNCTION("""COMPUTED_VALUE"""),0.5407028778898236)</f>
        <v>0.5407028779</v>
      </c>
      <c r="AB293" s="30">
        <f>IFERROR(__xludf.DUMMYFUNCTION("""COMPUTED_VALUE"""),1.29606117997976)</f>
        <v>1.29606118</v>
      </c>
      <c r="AC293" s="30">
        <f>IFERROR(__xludf.DUMMYFUNCTION("""COMPUTED_VALUE"""),2.6045753597797674)</f>
        <v>2.60457536</v>
      </c>
      <c r="AD293" s="30">
        <f>IFERROR(__xludf.DUMMYFUNCTION("""COMPUTED_VALUE"""),0.9339911790044856)</f>
        <v>0.933991179</v>
      </c>
      <c r="AE293" s="30">
        <f>IFERROR(__xludf.DUMMYFUNCTION("""COMPUTED_VALUE"""),0.8443294792496757)</f>
        <v>0.8443294792</v>
      </c>
      <c r="AF293" s="30">
        <f>IFERROR(__xludf.DUMMYFUNCTION("""COMPUTED_VALUE"""),1.5131819186443005)</f>
        <v>1.513181919</v>
      </c>
      <c r="AG293" s="30">
        <f>IFERROR(__xludf.DUMMYFUNCTION("""COMPUTED_VALUE"""),0.7364972188738508)</f>
        <v>0.7364972189</v>
      </c>
      <c r="AH293" s="30">
        <f>IFERROR(__xludf.DUMMYFUNCTION("""COMPUTED_VALUE"""),0.942397556411269)</f>
        <v>0.9423975564</v>
      </c>
      <c r="AI293" s="30">
        <f>IFERROR(__xludf.DUMMYFUNCTION("""COMPUTED_VALUE"""),1.0099037279563314)</f>
        <v>1.009903728</v>
      </c>
      <c r="AJ293" s="30">
        <f>IFERROR(__xludf.DUMMYFUNCTION("""COMPUTED_VALUE"""),0.9519670320808281)</f>
        <v>0.9519670321</v>
      </c>
      <c r="AK293" s="30">
        <f>IFERROR(__xludf.DUMMYFUNCTION("""COMPUTED_VALUE"""),0.9042903079857216)</f>
        <v>0.904290308</v>
      </c>
      <c r="AL293" s="30">
        <f>IFERROR(__xludf.DUMMYFUNCTION("""COMPUTED_VALUE"""),1.094878701843339)</f>
        <v>1.094878702</v>
      </c>
      <c r="AM293" s="30">
        <f>IFERROR(__xludf.DUMMYFUNCTION("""COMPUTED_VALUE"""),1.0543903233629484)</f>
        <v>1.054390323</v>
      </c>
      <c r="AN293" s="30">
        <f>IFERROR(__xludf.DUMMYFUNCTION("""COMPUTED_VALUE"""),0.9299508283324952)</f>
        <v>0.9299508283</v>
      </c>
      <c r="AO293" s="30">
        <f>IFERROR(__xludf.DUMMYFUNCTION("""COMPUTED_VALUE"""),0.8435956172361084)</f>
        <v>0.8435956172</v>
      </c>
      <c r="AP293" s="30">
        <f>IFERROR(__xludf.DUMMYFUNCTION("""COMPUTED_VALUE"""),1.517327445518344)</f>
        <v>1.517327446</v>
      </c>
      <c r="AQ293" s="30">
        <f>IFERROR(__xludf.DUMMYFUNCTION("""COMPUTED_VALUE"""),0.7067337741033831)</f>
        <v>0.7067337741</v>
      </c>
      <c r="AR293" s="30">
        <f>IFERROR(__xludf.DUMMYFUNCTION("""COMPUTED_VALUE"""),0.9585515582359697)</f>
        <v>0.9585515582</v>
      </c>
      <c r="AS293" s="30">
        <f>IFERROR(__xludf.DUMMYFUNCTION("""COMPUTED_VALUE"""),57.0)</f>
        <v>57</v>
      </c>
      <c r="AT293" s="30">
        <f>IFERROR(__xludf.DUMMYFUNCTION("""COMPUTED_VALUE"""),0.6071279892661278)</f>
        <v>0.6071279893</v>
      </c>
      <c r="AU293" s="30">
        <f>IFERROR(__xludf.DUMMYFUNCTION("""COMPUTED_VALUE"""),2.6754470053779684)</f>
        <v>2.675447005</v>
      </c>
      <c r="AV293" s="32">
        <f>IFERROR(__xludf.DUMMYFUNCTION("""COMPUTED_VALUE"""),59.463706545469776)</f>
        <v>59.46370655</v>
      </c>
      <c r="AW293" s="32">
        <f>IFERROR(__xludf.DUMMYFUNCTION("""COMPUTED_VALUE"""),2.836785482361228)</f>
        <v>2.836785482</v>
      </c>
      <c r="AX293" s="32">
        <f>IFERROR(__xludf.DUMMYFUNCTION("""COMPUTED_VALUE"""),44.82089119438677)</f>
        <v>44.82089119</v>
      </c>
      <c r="AY293" s="32">
        <f>IFERROR(__xludf.DUMMYFUNCTION("""COMPUTED_VALUE"""),-2.392683634237129)</f>
        <v>-2.392683634</v>
      </c>
      <c r="AZ293" s="30">
        <f>IFERROR(__xludf.DUMMYFUNCTION("""COMPUTED_VALUE"""),5.229469116598358)</f>
        <v>5.229469117</v>
      </c>
      <c r="BA293" s="30">
        <f>IFERROR(__xludf.DUMMYFUNCTION("""COMPUTED_VALUE"""),1200.0)</f>
        <v>1200</v>
      </c>
    </row>
    <row r="294">
      <c r="A294" s="71" t="str">
        <f>IFERROR(__xludf.DUMMYFUNCTION("""COMPUTED_VALUE"""),"Veteran")</f>
        <v>Veteran</v>
      </c>
      <c r="B294" s="71" t="str">
        <f>IFERROR(__xludf.DUMMYFUNCTION("""COMPUTED_VALUE"""),"RSC007036")</f>
        <v>RSC007036</v>
      </c>
      <c r="C294" s="30" t="str">
        <f>IFERROR(__xludf.DUMMYFUNCTION("""COMPUTED_VALUE"""),"PoiisonDeath")</f>
        <v>PoiisonDeath</v>
      </c>
      <c r="D294" s="30" t="str">
        <f>IFERROR(__xludf.DUMMYFUNCTION("""COMPUTED_VALUE"""),"Silver Dollar")</f>
        <v>Silver Dollar</v>
      </c>
      <c r="E294" s="30">
        <f>IFERROR(__xludf.DUMMYFUNCTION("""COMPUTED_VALUE"""),6.0)</f>
        <v>6</v>
      </c>
      <c r="F294" s="30">
        <f>IFERROR(__xludf.DUMMYFUNCTION("""COMPUTED_VALUE"""),2.0)</f>
        <v>2</v>
      </c>
      <c r="G294" s="42">
        <f>IFERROR(__xludf.DUMMYFUNCTION("""COMPUTED_VALUE"""),4.0)</f>
        <v>4</v>
      </c>
      <c r="H294" s="42">
        <f>IFERROR(__xludf.DUMMYFUNCTION("""COMPUTED_VALUE"""),0.3333333333333333)</f>
        <v>0.3333333333</v>
      </c>
      <c r="I294" s="42">
        <f>IFERROR(__xludf.DUMMYFUNCTION("""COMPUTED_VALUE"""),0.42857142857142855)</f>
        <v>0.4285714286</v>
      </c>
      <c r="J294" s="30">
        <f>IFERROR(__xludf.DUMMYFUNCTION("""COMPUTED_VALUE"""),252.83333333333334)</f>
        <v>252.8333333</v>
      </c>
      <c r="K294" s="30">
        <f>IFERROR(__xludf.DUMMYFUNCTION("""COMPUTED_VALUE"""),0.5)</f>
        <v>0.5</v>
      </c>
      <c r="L294" s="30">
        <f>IFERROR(__xludf.DUMMYFUNCTION("""COMPUTED_VALUE"""),0.3333333333333333)</f>
        <v>0.3333333333</v>
      </c>
      <c r="M294" s="30">
        <f>IFERROR(__xludf.DUMMYFUNCTION("""COMPUTED_VALUE"""),1.0)</f>
        <v>1</v>
      </c>
      <c r="N294" s="30">
        <f>IFERROR(__xludf.DUMMYFUNCTION("""COMPUTED_VALUE"""),1.1666666666666667)</f>
        <v>1.166666667</v>
      </c>
      <c r="O294" s="30">
        <f>IFERROR(__xludf.DUMMYFUNCTION("""COMPUTED_VALUE"""),333.38888888888886)</f>
        <v>333.3888889</v>
      </c>
      <c r="P294" s="30">
        <f>IFERROR(__xludf.DUMMYFUNCTION("""COMPUTED_VALUE"""),0.8888888888888888)</f>
        <v>0.8888888889</v>
      </c>
      <c r="Q294" s="30">
        <f>IFERROR(__xludf.DUMMYFUNCTION("""COMPUTED_VALUE"""),0.4444444444444444)</f>
        <v>0.4444444444</v>
      </c>
      <c r="R294" s="30">
        <f>IFERROR(__xludf.DUMMYFUNCTION("""COMPUTED_VALUE"""),1.0555555555555556)</f>
        <v>1.055555556</v>
      </c>
      <c r="S294" s="30">
        <f>IFERROR(__xludf.DUMMYFUNCTION("""COMPUTED_VALUE"""),2.4444444444444446)</f>
        <v>2.444444444</v>
      </c>
      <c r="T294" s="30">
        <f>IFERROR(__xludf.DUMMYFUNCTION("""COMPUTED_VALUE"""),338.3219201822143)</f>
        <v>338.3219202</v>
      </c>
      <c r="U294" s="30">
        <f>IFERROR(__xludf.DUMMYFUNCTION("""COMPUTED_VALUE"""),0.7574030453932415)</f>
        <v>0.7574030454</v>
      </c>
      <c r="V294" s="30">
        <f>IFERROR(__xludf.DUMMYFUNCTION("""COMPUTED_VALUE"""),0.5847297673278066)</f>
        <v>0.5847297673</v>
      </c>
      <c r="W294" s="30">
        <f>IFERROR(__xludf.DUMMYFUNCTION("""COMPUTED_VALUE"""),1.2047741655584792)</f>
        <v>1.204774166</v>
      </c>
      <c r="X294" s="30">
        <f>IFERROR(__xludf.DUMMYFUNCTION("""COMPUTED_VALUE"""),2.5972552320591533)</f>
        <v>2.597255232</v>
      </c>
      <c r="Y294" s="30">
        <f>IFERROR(__xludf.DUMMYFUNCTION("""COMPUTED_VALUE"""),333.650455103478)</f>
        <v>333.6504551</v>
      </c>
      <c r="Z294" s="30">
        <f>IFERROR(__xludf.DUMMYFUNCTION("""COMPUTED_VALUE"""),0.6439574707548564)</f>
        <v>0.6439574708</v>
      </c>
      <c r="AA294" s="30">
        <f>IFERROR(__xludf.DUMMYFUNCTION("""COMPUTED_VALUE"""),0.45143663526016464)</f>
        <v>0.4514366353</v>
      </c>
      <c r="AB294" s="30">
        <f>IFERROR(__xludf.DUMMYFUNCTION("""COMPUTED_VALUE"""),1.487924883758217)</f>
        <v>1.487924884</v>
      </c>
      <c r="AC294" s="30">
        <f>IFERROR(__xludf.DUMMYFUNCTION("""COMPUTED_VALUE"""),2.307082064026508)</f>
        <v>2.307082064</v>
      </c>
      <c r="AD294" s="30">
        <f>IFERROR(__xludf.DUMMYFUNCTION("""COMPUTED_VALUE"""),0.7577790752748108)</f>
        <v>0.7577790753</v>
      </c>
      <c r="AE294" s="30">
        <f>IFERROR(__xludf.DUMMYFUNCTION("""COMPUTED_VALUE"""),0.7764487915854018)</f>
        <v>0.7764487916</v>
      </c>
      <c r="AF294" s="30">
        <f>IFERROR(__xludf.DUMMYFUNCTION("""COMPUTED_VALUE"""),0.7383834347897619)</f>
        <v>0.7383834348</v>
      </c>
      <c r="AG294" s="30">
        <f>IFERROR(__xludf.DUMMYFUNCTION("""COMPUTED_VALUE"""),0.672076938100658)</f>
        <v>0.6720769381</v>
      </c>
      <c r="AH294" s="30">
        <f>IFERROR(__xludf.DUMMYFUNCTION("""COMPUTED_VALUE"""),0.5056892794834116)</f>
        <v>0.5056892795</v>
      </c>
      <c r="AI294" s="30">
        <f>IFERROR(__xludf.DUMMYFUNCTION("""COMPUTED_VALUE"""),0.9854191200775032)</f>
        <v>0.9854191201</v>
      </c>
      <c r="AJ294" s="30">
        <f>IFERROR(__xludf.DUMMYFUNCTION("""COMPUTED_VALUE"""),1.1736008909594233)</f>
        <v>1.173600891</v>
      </c>
      <c r="AK294" s="30">
        <f>IFERROR(__xludf.DUMMYFUNCTION("""COMPUTED_VALUE"""),0.7600852039319618)</f>
        <v>0.7600852039</v>
      </c>
      <c r="AL294" s="30">
        <f>IFERROR(__xludf.DUMMYFUNCTION("""COMPUTED_VALUE"""),0.8761439162054471)</f>
        <v>0.8761439162</v>
      </c>
      <c r="AM294" s="30">
        <f>IFERROR(__xludf.DUMMYFUNCTION("""COMPUTED_VALUE"""),0.9411645086980699)</f>
        <v>0.9411645087</v>
      </c>
      <c r="AN294" s="30">
        <f>IFERROR(__xludf.DUMMYFUNCTION("""COMPUTED_VALUE"""),0.7322616776323306)</f>
        <v>0.7322616776</v>
      </c>
      <c r="AO294" s="30">
        <f>IFERROR(__xludf.DUMMYFUNCTION("""COMPUTED_VALUE"""),0.6628251278283709)</f>
        <v>0.6628251278</v>
      </c>
      <c r="AP294" s="30">
        <f>IFERROR(__xludf.DUMMYFUNCTION("""COMPUTED_VALUE"""),0.6181704407667327)</f>
        <v>0.6181704408</v>
      </c>
      <c r="AQ294" s="30">
        <f>IFERROR(__xludf.DUMMYFUNCTION("""COMPUTED_VALUE"""),0.7403877633464013)</f>
        <v>0.7403877633</v>
      </c>
      <c r="AR294" s="30">
        <f>IFERROR(__xludf.DUMMYFUNCTION("""COMPUTED_VALUE"""),0.45560783940845473)</f>
        <v>0.4556078394</v>
      </c>
      <c r="AS294" s="30">
        <f>IFERROR(__xludf.DUMMYFUNCTION("""COMPUTED_VALUE"""),12.0)</f>
        <v>12</v>
      </c>
      <c r="AT294" s="30">
        <f>IFERROR(__xludf.DUMMYFUNCTION("""COMPUTED_VALUE"""),0.3899247554466129)</f>
        <v>0.3899247554</v>
      </c>
      <c r="AU294" s="30">
        <f>IFERROR(__xludf.DUMMYFUNCTION("""COMPUTED_VALUE"""),1.3118310302095222)</f>
        <v>1.31183103</v>
      </c>
      <c r="AV294" s="32">
        <f>IFERROR(__xludf.DUMMYFUNCTION("""COMPUTED_VALUE"""),17.22421247879253)</f>
        <v>17.22421248</v>
      </c>
      <c r="AW294" s="32">
        <f>IFERROR(__xludf.DUMMYFUNCTION("""COMPUTED_VALUE"""),-10.534792346565007)</f>
        <v>-10.53479235</v>
      </c>
      <c r="AX294" s="32">
        <f>IFERROR(__xludf.DUMMYFUNCTION("""COMPUTED_VALUE"""),12.032394514571926)</f>
        <v>12.03239451</v>
      </c>
      <c r="AY294" s="32">
        <f>IFERROR(__xludf.DUMMYFUNCTION("""COMPUTED_VALUE"""),-15.523495252411488)</f>
        <v>-15.52349525</v>
      </c>
      <c r="AZ294" s="30">
        <f>IFERROR(__xludf.DUMMYFUNCTION("""COMPUTED_VALUE"""),4.9887029058464805)</f>
        <v>4.988702906</v>
      </c>
      <c r="BA294" s="30">
        <f>IFERROR(__xludf.DUMMYFUNCTION("""COMPUTED_VALUE"""),1200.0)</f>
        <v>1200</v>
      </c>
    </row>
    <row r="295">
      <c r="A295" s="71" t="str">
        <f>IFERROR(__xludf.DUMMYFUNCTION("""COMPUTED_VALUE"""),"Veteran")</f>
        <v>Veteran</v>
      </c>
      <c r="B295" s="71" t="str">
        <f>IFERROR(__xludf.DUMMYFUNCTION("""COMPUTED_VALUE"""),"RSC000645")</f>
        <v>RSC000645</v>
      </c>
      <c r="C295" s="30" t="str">
        <f>IFERROR(__xludf.DUMMYFUNCTION("""COMPUTED_VALUE"""),"DenZ")</f>
        <v>DenZ</v>
      </c>
      <c r="D295" s="30" t="str">
        <f>IFERROR(__xludf.DUMMYFUNCTION("""COMPUTED_VALUE"""),"Grizzly Bears")</f>
        <v>Grizzly Bears</v>
      </c>
      <c r="E295" s="30">
        <f>IFERROR(__xludf.DUMMYFUNCTION("""COMPUTED_VALUE"""),28.0)</f>
        <v>28</v>
      </c>
      <c r="F295" s="30">
        <f>IFERROR(__xludf.DUMMYFUNCTION("""COMPUTED_VALUE"""),17.0)</f>
        <v>17</v>
      </c>
      <c r="G295" s="42">
        <f>IFERROR(__xludf.DUMMYFUNCTION("""COMPUTED_VALUE"""),11.0)</f>
        <v>11</v>
      </c>
      <c r="H295" s="42">
        <f>IFERROR(__xludf.DUMMYFUNCTION("""COMPUTED_VALUE"""),0.6071428571428571)</f>
        <v>0.6071428571</v>
      </c>
      <c r="I295" s="42">
        <f>IFERROR(__xludf.DUMMYFUNCTION("""COMPUTED_VALUE"""),0.345679012345679)</f>
        <v>0.3456790123</v>
      </c>
      <c r="J295" s="30">
        <f>IFERROR(__xludf.DUMMYFUNCTION("""COMPUTED_VALUE"""),403.75)</f>
        <v>403.75</v>
      </c>
      <c r="K295" s="30">
        <f>IFERROR(__xludf.DUMMYFUNCTION("""COMPUTED_VALUE"""),1.0)</f>
        <v>1</v>
      </c>
      <c r="L295" s="30">
        <f>IFERROR(__xludf.DUMMYFUNCTION("""COMPUTED_VALUE"""),0.6785714285714286)</f>
        <v>0.6785714286</v>
      </c>
      <c r="M295" s="30">
        <f>IFERROR(__xludf.DUMMYFUNCTION("""COMPUTED_VALUE"""),1.5714285714285714)</f>
        <v>1.571428571</v>
      </c>
      <c r="N295" s="30">
        <f>IFERROR(__xludf.DUMMYFUNCTION("""COMPUTED_VALUE"""),2.892857142857143)</f>
        <v>2.892857143</v>
      </c>
      <c r="O295" s="30">
        <f>IFERROR(__xludf.DUMMYFUNCTION("""COMPUTED_VALUE"""),345.36904761904765)</f>
        <v>345.3690476</v>
      </c>
      <c r="P295" s="30">
        <f>IFERROR(__xludf.DUMMYFUNCTION("""COMPUTED_VALUE"""),0.7738095238095236)</f>
        <v>0.7738095238</v>
      </c>
      <c r="Q295" s="30">
        <f>IFERROR(__xludf.DUMMYFUNCTION("""COMPUTED_VALUE"""),0.5238095238095237)</f>
        <v>0.5238095238</v>
      </c>
      <c r="R295" s="30">
        <f>IFERROR(__xludf.DUMMYFUNCTION("""COMPUTED_VALUE"""),1.2857142857142854)</f>
        <v>1.285714286</v>
      </c>
      <c r="S295" s="30">
        <f>IFERROR(__xludf.DUMMYFUNCTION("""COMPUTED_VALUE"""),2.7023809523809526)</f>
        <v>2.702380952</v>
      </c>
      <c r="T295" s="30">
        <f>IFERROR(__xludf.DUMMYFUNCTION("""COMPUTED_VALUE"""),353.25083485015426)</f>
        <v>353.2508349</v>
      </c>
      <c r="U295" s="30">
        <f>IFERROR(__xludf.DUMMYFUNCTION("""COMPUTED_VALUE"""),0.8161366347027454)</f>
        <v>0.8161366347</v>
      </c>
      <c r="V295" s="30">
        <f>IFERROR(__xludf.DUMMYFUNCTION("""COMPUTED_VALUE"""),0.5676441460586676)</f>
        <v>0.5676441461</v>
      </c>
      <c r="W295" s="30">
        <f>IFERROR(__xludf.DUMMYFUNCTION("""COMPUTED_VALUE"""),1.3272151174035047)</f>
        <v>1.327215117</v>
      </c>
      <c r="X295" s="30">
        <f>IFERROR(__xludf.DUMMYFUNCTION("""COMPUTED_VALUE"""),2.699227927052881)</f>
        <v>2.699227927</v>
      </c>
      <c r="Y295" s="30">
        <f>IFERROR(__xludf.DUMMYFUNCTION("""COMPUTED_VALUE"""),346.33064774459586)</f>
        <v>346.3306477</v>
      </c>
      <c r="Z295" s="30">
        <f>IFERROR(__xludf.DUMMYFUNCTION("""COMPUTED_VALUE"""),0.7430812273453627)</f>
        <v>0.7430812273</v>
      </c>
      <c r="AA295" s="30">
        <f>IFERROR(__xludf.DUMMYFUNCTION("""COMPUTED_VALUE"""),0.54339440294229)</f>
        <v>0.5433944029</v>
      </c>
      <c r="AB295" s="30">
        <f>IFERROR(__xludf.DUMMYFUNCTION("""COMPUTED_VALUE"""),1.3876284669938088)</f>
        <v>1.387628467</v>
      </c>
      <c r="AC295" s="30">
        <f>IFERROR(__xludf.DUMMYFUNCTION("""COMPUTED_VALUE"""),2.5140751167848268)</f>
        <v>2.514075117</v>
      </c>
      <c r="AD295" s="30">
        <f>IFERROR(__xludf.DUMMYFUNCTION("""COMPUTED_VALUE"""),1.1657934480512637)</f>
        <v>1.165793448</v>
      </c>
      <c r="AE295" s="30">
        <f>IFERROR(__xludf.DUMMYFUNCTION("""COMPUTED_VALUE"""),1.3457478983454776)</f>
        <v>1.345747898</v>
      </c>
      <c r="AF295" s="30">
        <f>IFERROR(__xludf.DUMMYFUNCTION("""COMPUTED_VALUE"""),1.2487641111082528)</f>
        <v>1.248764111</v>
      </c>
      <c r="AG295" s="30">
        <f>IFERROR(__xludf.DUMMYFUNCTION("""COMPUTED_VALUE"""),1.1324562797655424)</f>
        <v>1.13245628</v>
      </c>
      <c r="AH295" s="30">
        <f>IFERROR(__xludf.DUMMYFUNCTION("""COMPUTED_VALUE"""),1.1506645619072546)</f>
        <v>1.150664562</v>
      </c>
      <c r="AI295" s="30">
        <f>IFERROR(__xludf.DUMMYFUNCTION("""COMPUTED_VALUE"""),0.9776878454244843)</f>
        <v>0.9776878454</v>
      </c>
      <c r="AJ295" s="30">
        <f>IFERROR(__xludf.DUMMYFUNCTION("""COMPUTED_VALUE"""),0.9481372247079213)</f>
        <v>0.9481372247</v>
      </c>
      <c r="AK295" s="30">
        <f>IFERROR(__xludf.DUMMYFUNCTION("""COMPUTED_VALUE"""),0.9227779894261193)</f>
        <v>0.9227779894</v>
      </c>
      <c r="AL295" s="30">
        <f>IFERROR(__xludf.DUMMYFUNCTION("""COMPUTED_VALUE"""),0.9687308928710747)</f>
        <v>0.9687308929</v>
      </c>
      <c r="AM295" s="30">
        <f>IFERROR(__xludf.DUMMYFUNCTION("""COMPUTED_VALUE"""),1.0011681211862364)</f>
        <v>1.001168121</v>
      </c>
      <c r="AN295" s="30">
        <f>IFERROR(__xludf.DUMMYFUNCTION("""COMPUTED_VALUE"""),1.169349976311352)</f>
        <v>1.169349976</v>
      </c>
      <c r="AO295" s="30">
        <f>IFERROR(__xludf.DUMMYFUNCTION("""COMPUTED_VALUE"""),1.3256502556567418)</f>
        <v>1.325650256</v>
      </c>
      <c r="AP295" s="30">
        <f>IFERROR(__xludf.DUMMYFUNCTION("""COMPUTED_VALUE"""),1.2584183972751346)</f>
        <v>1.258418397</v>
      </c>
      <c r="AQ295" s="30">
        <f>IFERROR(__xludf.DUMMYFUNCTION("""COMPUTED_VALUE"""),1.1634664852586307)</f>
        <v>1.163466485</v>
      </c>
      <c r="AR295" s="30">
        <f>IFERROR(__xludf.DUMMYFUNCTION("""COMPUTED_VALUE"""),1.1297214793495356)</f>
        <v>1.129721479</v>
      </c>
      <c r="AS295" s="30">
        <f>IFERROR(__xludf.DUMMYFUNCTION("""COMPUTED_VALUE"""),67.0)</f>
        <v>67</v>
      </c>
      <c r="AT295" s="30">
        <f>IFERROR(__xludf.DUMMYFUNCTION("""COMPUTED_VALUE"""),0.5118208507992159)</f>
        <v>0.5118208508</v>
      </c>
      <c r="AU295" s="30">
        <f>IFERROR(__xludf.DUMMYFUNCTION("""COMPUTED_VALUE"""),3.3575471104819163)</f>
        <v>3.35754711</v>
      </c>
      <c r="AV295" s="32">
        <f>IFERROR(__xludf.DUMMYFUNCTION("""COMPUTED_VALUE"""),80.59250223801001)</f>
        <v>80.59250224</v>
      </c>
      <c r="AW295" s="32">
        <f>IFERROR(__xludf.DUMMYFUNCTION("""COMPUTED_VALUE"""),9.04709704769552)</f>
        <v>9.047097048</v>
      </c>
      <c r="AX295" s="32">
        <f>IFERROR(__xludf.DUMMYFUNCTION("""COMPUTED_VALUE"""),67.55950535940332)</f>
        <v>67.55950536</v>
      </c>
      <c r="AY295" s="32">
        <f>IFERROR(__xludf.DUMMYFUNCTION("""COMPUTED_VALUE"""),4.1455753534146815)</f>
        <v>4.145575353</v>
      </c>
      <c r="AZ295" s="30">
        <f>IFERROR(__xludf.DUMMYFUNCTION("""COMPUTED_VALUE"""),4.901521694280838)</f>
        <v>4.901521694</v>
      </c>
      <c r="BA295" s="30">
        <f>IFERROR(__xludf.DUMMYFUNCTION("""COMPUTED_VALUE"""),1200.0)</f>
        <v>1200</v>
      </c>
    </row>
    <row r="296">
      <c r="A296" s="71" t="str">
        <f>IFERROR(__xludf.DUMMYFUNCTION("""COMPUTED_VALUE"""),"Veteran")</f>
        <v>Veteran</v>
      </c>
      <c r="B296" s="71" t="str">
        <f>IFERROR(__xludf.DUMMYFUNCTION("""COMPUTED_VALUE"""),"RSC003405")</f>
        <v>RSC003405</v>
      </c>
      <c r="C296" s="30" t="str">
        <f>IFERROR(__xludf.DUMMYFUNCTION("""COMPUTED_VALUE"""),"Shai")</f>
        <v>Shai</v>
      </c>
      <c r="D296" s="30" t="str">
        <f>IFERROR(__xludf.DUMMYFUNCTION("""COMPUTED_VALUE"""),"Werewolves")</f>
        <v>Werewolves</v>
      </c>
      <c r="E296" s="30">
        <f>IFERROR(__xludf.DUMMYFUNCTION("""COMPUTED_VALUE"""),16.0)</f>
        <v>16</v>
      </c>
      <c r="F296" s="30">
        <f>IFERROR(__xludf.DUMMYFUNCTION("""COMPUTED_VALUE"""),6.0)</f>
        <v>6</v>
      </c>
      <c r="G296" s="42">
        <f>IFERROR(__xludf.DUMMYFUNCTION("""COMPUTED_VALUE"""),10.0)</f>
        <v>10</v>
      </c>
      <c r="H296" s="42">
        <f>IFERROR(__xludf.DUMMYFUNCTION("""COMPUTED_VALUE"""),0.375)</f>
        <v>0.375</v>
      </c>
      <c r="I296" s="42">
        <f>IFERROR(__xludf.DUMMYFUNCTION("""COMPUTED_VALUE"""),0.40476190476190477)</f>
        <v>0.4047619048</v>
      </c>
      <c r="J296" s="30">
        <f>IFERROR(__xludf.DUMMYFUNCTION("""COMPUTED_VALUE"""),349.9375)</f>
        <v>349.9375</v>
      </c>
      <c r="K296" s="30">
        <f>IFERROR(__xludf.DUMMYFUNCTION("""COMPUTED_VALUE"""),1.0625)</f>
        <v>1.0625</v>
      </c>
      <c r="L296" s="30">
        <f>IFERROR(__xludf.DUMMYFUNCTION("""COMPUTED_VALUE"""),0.375)</f>
        <v>0.375</v>
      </c>
      <c r="M296" s="30">
        <f>IFERROR(__xludf.DUMMYFUNCTION("""COMPUTED_VALUE"""),1.3125)</f>
        <v>1.3125</v>
      </c>
      <c r="N296" s="30">
        <f>IFERROR(__xludf.DUMMYFUNCTION("""COMPUTED_VALUE"""),2.625)</f>
        <v>2.625</v>
      </c>
      <c r="O296" s="30">
        <f>IFERROR(__xludf.DUMMYFUNCTION("""COMPUTED_VALUE"""),390.6041666666667)</f>
        <v>390.6041667</v>
      </c>
      <c r="P296" s="30">
        <f>IFERROR(__xludf.DUMMYFUNCTION("""COMPUTED_VALUE"""),0.9583333333333334)</f>
        <v>0.9583333333</v>
      </c>
      <c r="Q296" s="30">
        <f>IFERROR(__xludf.DUMMYFUNCTION("""COMPUTED_VALUE"""),0.7291666666666666)</f>
        <v>0.7291666667</v>
      </c>
      <c r="R296" s="30">
        <f>IFERROR(__xludf.DUMMYFUNCTION("""COMPUTED_VALUE"""),1.520833333333333)</f>
        <v>1.520833333</v>
      </c>
      <c r="S296" s="30">
        <f>IFERROR(__xludf.DUMMYFUNCTION("""COMPUTED_VALUE"""),2.5208333333333335)</f>
        <v>2.520833333</v>
      </c>
      <c r="T296" s="30">
        <f>IFERROR(__xludf.DUMMYFUNCTION("""COMPUTED_VALUE"""),355.5039467858096)</f>
        <v>355.5039468</v>
      </c>
      <c r="U296" s="30">
        <f>IFERROR(__xludf.DUMMYFUNCTION("""COMPUTED_VALUE"""),0.8263292307428789)</f>
        <v>0.8263292307</v>
      </c>
      <c r="V296" s="30">
        <f>IFERROR(__xludf.DUMMYFUNCTION("""COMPUTED_VALUE"""),0.5832178568835241)</f>
        <v>0.5832178569</v>
      </c>
      <c r="W296" s="30">
        <f>IFERROR(__xludf.DUMMYFUNCTION("""COMPUTED_VALUE"""),1.3838377040815346)</f>
        <v>1.383837704</v>
      </c>
      <c r="X296" s="30">
        <f>IFERROR(__xludf.DUMMYFUNCTION("""COMPUTED_VALUE"""),2.6275325542783263)</f>
        <v>2.627532554</v>
      </c>
      <c r="Y296" s="30">
        <f>IFERROR(__xludf.DUMMYFUNCTION("""COMPUTED_VALUE"""),341.6049444113782)</f>
        <v>341.6049444</v>
      </c>
      <c r="Z296" s="30">
        <f>IFERROR(__xludf.DUMMYFUNCTION("""COMPUTED_VALUE"""),0.7372617129765578)</f>
        <v>0.737261713</v>
      </c>
      <c r="AA296" s="30">
        <f>IFERROR(__xludf.DUMMYFUNCTION("""COMPUTED_VALUE"""),0.5133454007285443)</f>
        <v>0.5133454007</v>
      </c>
      <c r="AB296" s="30">
        <f>IFERROR(__xludf.DUMMYFUNCTION("""COMPUTED_VALUE"""),1.3123500142557922)</f>
        <v>1.312350014</v>
      </c>
      <c r="AC296" s="30">
        <f>IFERROR(__xludf.DUMMYFUNCTION("""COMPUTED_VALUE"""),2.6027753819752126)</f>
        <v>2.602775382</v>
      </c>
      <c r="AD296" s="30">
        <f>IFERROR(__xludf.DUMMYFUNCTION("""COMPUTED_VALUE"""),1.0243923740711063)</f>
        <v>1.024392374</v>
      </c>
      <c r="AE296" s="30">
        <f>IFERROR(__xludf.DUMMYFUNCTION("""COMPUTED_VALUE"""),1.4411436011105916)</f>
        <v>1.441143601</v>
      </c>
      <c r="AF296" s="30">
        <f>IFERROR(__xludf.DUMMYFUNCTION("""COMPUTED_VALUE"""),0.730502307934963)</f>
        <v>0.7305023079</v>
      </c>
      <c r="AG296" s="30">
        <f>IFERROR(__xludf.DUMMYFUNCTION("""COMPUTED_VALUE"""),1.000114287912964)</f>
        <v>1.000114288</v>
      </c>
      <c r="AH296" s="30">
        <f>IFERROR(__xludf.DUMMYFUNCTION("""COMPUTED_VALUE"""),1.0085388152119072)</f>
        <v>1.008538815</v>
      </c>
      <c r="AI296" s="30">
        <f>IFERROR(__xludf.DUMMYFUNCTION("""COMPUTED_VALUE"""),1.0987336995783197)</f>
        <v>1.0987337</v>
      </c>
      <c r="AJ296" s="30">
        <f>IFERROR(__xludf.DUMMYFUNCTION("""COMPUTED_VALUE"""),1.1597475893135007)</f>
        <v>1.159747589</v>
      </c>
      <c r="AK296" s="30">
        <f>IFERROR(__xludf.DUMMYFUNCTION("""COMPUTED_VALUE"""),1.2502474985300225)</f>
        <v>1.250247499</v>
      </c>
      <c r="AL296" s="30">
        <f>IFERROR(__xludf.DUMMYFUNCTION("""COMPUTED_VALUE"""),1.0989968902044938)</f>
        <v>1.09899689</v>
      </c>
      <c r="AM296" s="30">
        <f>IFERROR(__xludf.DUMMYFUNCTION("""COMPUTED_VALUE"""),0.9593918557654946)</f>
        <v>0.9593918558</v>
      </c>
      <c r="AN296" s="30">
        <f>IFERROR(__xludf.DUMMYFUNCTION("""COMPUTED_VALUE"""),1.0134969841125787)</f>
        <v>1.013496984</v>
      </c>
      <c r="AO296" s="30">
        <f>IFERROR(__xludf.DUMMYFUNCTION("""COMPUTED_VALUE"""),1.4085033966352882)</f>
        <v>1.408503397</v>
      </c>
      <c r="AP296" s="30">
        <f>IFERROR(__xludf.DUMMYFUNCTION("""COMPUTED_VALUE"""),0.6954417458625743)</f>
        <v>0.6954417459</v>
      </c>
      <c r="AQ296" s="30">
        <f>IFERROR(__xludf.DUMMYFUNCTION("""COMPUTED_VALUE"""),0.9717589393921517)</f>
        <v>0.9717589394</v>
      </c>
      <c r="AR296" s="30">
        <f>IFERROR(__xludf.DUMMYFUNCTION("""COMPUTED_VALUE"""),1.025117638669023)</f>
        <v>1.025117639</v>
      </c>
      <c r="AS296" s="30">
        <f>IFERROR(__xludf.DUMMYFUNCTION("""COMPUTED_VALUE"""),38.0)</f>
        <v>38</v>
      </c>
      <c r="AT296" s="30">
        <f>IFERROR(__xludf.DUMMYFUNCTION("""COMPUTED_VALUE"""),0.42372515599513527)</f>
        <v>0.423725156</v>
      </c>
      <c r="AU296" s="30">
        <f>IFERROR(__xludf.DUMMYFUNCTION("""COMPUTED_VALUE"""),2.5761017394826387)</f>
        <v>2.576101739</v>
      </c>
      <c r="AV296" s="32">
        <f>IFERROR(__xludf.DUMMYFUNCTION("""COMPUTED_VALUE"""),56.386378437151095)</f>
        <v>56.38637844</v>
      </c>
      <c r="AW296" s="32">
        <f>IFERROR(__xludf.DUMMYFUNCTION("""COMPUTED_VALUE"""),2.505099162475666)</f>
        <v>2.505099162</v>
      </c>
      <c r="AX296" s="32">
        <f>IFERROR(__xludf.DUMMYFUNCTION("""COMPUTED_VALUE"""),44.92205607096124)</f>
        <v>44.92205607</v>
      </c>
      <c r="AY296" s="32">
        <f>IFERROR(__xludf.DUMMYFUNCTION("""COMPUTED_VALUE"""),-2.383668080341119)</f>
        <v>-2.38366808</v>
      </c>
      <c r="AZ296" s="30">
        <f>IFERROR(__xludf.DUMMYFUNCTION("""COMPUTED_VALUE"""),4.888767242816785)</f>
        <v>4.888767243</v>
      </c>
      <c r="BA296" s="30">
        <f>IFERROR(__xludf.DUMMYFUNCTION("""COMPUTED_VALUE"""),1200.0)</f>
        <v>1200</v>
      </c>
    </row>
    <row r="297">
      <c r="A297" s="71" t="str">
        <f>IFERROR(__xludf.DUMMYFUNCTION("""COMPUTED_VALUE"""),"Veteran")</f>
        <v>Veteran</v>
      </c>
      <c r="B297" s="71" t="str">
        <f>IFERROR(__xludf.DUMMYFUNCTION("""COMPUTED_VALUE"""),"RSC004165")</f>
        <v>RSC004165</v>
      </c>
      <c r="C297" s="30" t="str">
        <f>IFERROR(__xludf.DUMMYFUNCTION("""COMPUTED_VALUE"""),"Absolutely TOR")</f>
        <v>Absolutely TOR</v>
      </c>
      <c r="D297" s="30" t="str">
        <f>IFERROR(__xludf.DUMMYFUNCTION("""COMPUTED_VALUE"""),"Rulers")</f>
        <v>Rulers</v>
      </c>
      <c r="E297" s="30">
        <f>IFERROR(__xludf.DUMMYFUNCTION("""COMPUTED_VALUE"""),21.0)</f>
        <v>21</v>
      </c>
      <c r="F297" s="30">
        <f>IFERROR(__xludf.DUMMYFUNCTION("""COMPUTED_VALUE"""),14.0)</f>
        <v>14</v>
      </c>
      <c r="G297" s="42">
        <f>IFERROR(__xludf.DUMMYFUNCTION("""COMPUTED_VALUE"""),7.0)</f>
        <v>7</v>
      </c>
      <c r="H297" s="42">
        <f>IFERROR(__xludf.DUMMYFUNCTION("""COMPUTED_VALUE"""),0.6666666666666666)</f>
        <v>0.6666666667</v>
      </c>
      <c r="I297" s="42">
        <f>IFERROR(__xludf.DUMMYFUNCTION("""COMPUTED_VALUE"""),0.33333333333333337)</f>
        <v>0.3333333333</v>
      </c>
      <c r="J297" s="30">
        <f>IFERROR(__xludf.DUMMYFUNCTION("""COMPUTED_VALUE"""),351.85714285714283)</f>
        <v>351.8571429</v>
      </c>
      <c r="K297" s="30">
        <f>IFERROR(__xludf.DUMMYFUNCTION("""COMPUTED_VALUE"""),0.7142857142857143)</f>
        <v>0.7142857143</v>
      </c>
      <c r="L297" s="30">
        <f>IFERROR(__xludf.DUMMYFUNCTION("""COMPUTED_VALUE"""),0.6190476190476191)</f>
        <v>0.619047619</v>
      </c>
      <c r="M297" s="30">
        <f>IFERROR(__xludf.DUMMYFUNCTION("""COMPUTED_VALUE"""),1.5238095238095237)</f>
        <v>1.523809524</v>
      </c>
      <c r="N297" s="30">
        <f>IFERROR(__xludf.DUMMYFUNCTION("""COMPUTED_VALUE"""),2.142857142857143)</f>
        <v>2.142857143</v>
      </c>
      <c r="O297" s="30">
        <f>IFERROR(__xludf.DUMMYFUNCTION("""COMPUTED_VALUE"""),325.31746031746025)</f>
        <v>325.3174603</v>
      </c>
      <c r="P297" s="30">
        <f>IFERROR(__xludf.DUMMYFUNCTION("""COMPUTED_VALUE"""),0.5714285714285714)</f>
        <v>0.5714285714</v>
      </c>
      <c r="Q297" s="30">
        <f>IFERROR(__xludf.DUMMYFUNCTION("""COMPUTED_VALUE"""),0.36507936507936506)</f>
        <v>0.3650793651</v>
      </c>
      <c r="R297" s="30">
        <f>IFERROR(__xludf.DUMMYFUNCTION("""COMPUTED_VALUE"""),1.365079365079365)</f>
        <v>1.365079365</v>
      </c>
      <c r="S297" s="30">
        <f>IFERROR(__xludf.DUMMYFUNCTION("""COMPUTED_VALUE"""),2.825396825396826)</f>
        <v>2.825396825</v>
      </c>
      <c r="T297" s="30">
        <f>IFERROR(__xludf.DUMMYFUNCTION("""COMPUTED_VALUE"""),356.02610920330153)</f>
        <v>356.0261092</v>
      </c>
      <c r="U297" s="30">
        <f>IFERROR(__xludf.DUMMYFUNCTION("""COMPUTED_VALUE"""),0.8260447518904565)</f>
        <v>0.8260447519</v>
      </c>
      <c r="V297" s="30">
        <f>IFERROR(__xludf.DUMMYFUNCTION("""COMPUTED_VALUE"""),0.5413185028834977)</f>
        <v>0.5413185029</v>
      </c>
      <c r="W297" s="30">
        <f>IFERROR(__xludf.DUMMYFUNCTION("""COMPUTED_VALUE"""),1.3644199428583637)</f>
        <v>1.364419943</v>
      </c>
      <c r="X297" s="30">
        <f>IFERROR(__xludf.DUMMYFUNCTION("""COMPUTED_VALUE"""),2.560340115116341)</f>
        <v>2.560340115</v>
      </c>
      <c r="Y297" s="30">
        <f>IFERROR(__xludf.DUMMYFUNCTION("""COMPUTED_VALUE"""),354.518301528967)</f>
        <v>354.5183015</v>
      </c>
      <c r="Z297" s="30">
        <f>IFERROR(__xludf.DUMMYFUNCTION("""COMPUTED_VALUE"""),0.810546575876229)</f>
        <v>0.8105465759</v>
      </c>
      <c r="AA297" s="30">
        <f>IFERROR(__xludf.DUMMYFUNCTION("""COMPUTED_VALUE"""),0.6022354407197301)</f>
        <v>0.6022354407</v>
      </c>
      <c r="AB297" s="30">
        <f>IFERROR(__xludf.DUMMYFUNCTION("""COMPUTED_VALUE"""),1.3028246984949003)</f>
        <v>1.302824698</v>
      </c>
      <c r="AC297" s="30">
        <f>IFERROR(__xludf.DUMMYFUNCTION("""COMPUTED_VALUE"""),2.6397801779980647)</f>
        <v>2.639780178</v>
      </c>
      <c r="AD297" s="30">
        <f>IFERROR(__xludf.DUMMYFUNCTION("""COMPUTED_VALUE"""),0.9924935929672822)</f>
        <v>0.992493593</v>
      </c>
      <c r="AE297" s="30">
        <f>IFERROR(__xludf.DUMMYFUNCTION("""COMPUTED_VALUE"""),0.8812395678971892)</f>
        <v>0.8812395679</v>
      </c>
      <c r="AF297" s="30">
        <f>IFERROR(__xludf.DUMMYFUNCTION("""COMPUTED_VALUE"""),1.0279162885329312)</f>
        <v>1.027916289</v>
      </c>
      <c r="AG297" s="30">
        <f>IFERROR(__xludf.DUMMYFUNCTION("""COMPUTED_VALUE"""),1.1696197696972723)</f>
        <v>1.16961977</v>
      </c>
      <c r="AH297" s="30">
        <f>IFERROR(__xludf.DUMMYFUNCTION("""COMPUTED_VALUE"""),0.8117559032821534)</f>
        <v>0.8117559033</v>
      </c>
      <c r="AI297" s="30">
        <f>IFERROR(__xludf.DUMMYFUNCTION("""COMPUTED_VALUE"""),0.9137460762230061)</f>
        <v>0.9137460762</v>
      </c>
      <c r="AJ297" s="30">
        <f>IFERROR(__xludf.DUMMYFUNCTION("""COMPUTED_VALUE"""),0.6917646654383076)</f>
        <v>0.6917646654</v>
      </c>
      <c r="AK297" s="30">
        <f>IFERROR(__xludf.DUMMYFUNCTION("""COMPUTED_VALUE"""),0.6744261707934585)</f>
        <v>0.6744261708</v>
      </c>
      <c r="AL297" s="30">
        <f>IFERROR(__xludf.DUMMYFUNCTION("""COMPUTED_VALUE"""),1.000483298580069)</f>
        <v>1.000483299</v>
      </c>
      <c r="AM297" s="30">
        <f>IFERROR(__xludf.DUMMYFUNCTION("""COMPUTED_VALUE"""),1.1035240235137436)</f>
        <v>1.103524024</v>
      </c>
      <c r="AN297" s="30">
        <f>IFERROR(__xludf.DUMMYFUNCTION("""COMPUTED_VALUE"""),1.0190566976222413)</f>
        <v>1.019056698</v>
      </c>
      <c r="AO297" s="30">
        <f>IFERROR(__xludf.DUMMYFUNCTION("""COMPUTED_VALUE"""),0.9468930397548155)</f>
        <v>0.9468930398</v>
      </c>
      <c r="AP297" s="30">
        <f>IFERROR(__xludf.DUMMYFUNCTION("""COMPUTED_VALUE"""),1.1480308185667893)</f>
        <v>1.148030819</v>
      </c>
      <c r="AQ297" s="30">
        <f>IFERROR(__xludf.DUMMYFUNCTION("""COMPUTED_VALUE"""),1.1282099250992783)</f>
        <v>1.128209925</v>
      </c>
      <c r="AR297" s="30">
        <f>IFERROR(__xludf.DUMMYFUNCTION("""COMPUTED_VALUE"""),0.8368307254441005)</f>
        <v>0.8368307254</v>
      </c>
      <c r="AS297" s="30">
        <f>IFERROR(__xludf.DUMMYFUNCTION("""COMPUTED_VALUE"""),46.0)</f>
        <v>46</v>
      </c>
      <c r="AT297" s="30">
        <f>IFERROR(__xludf.DUMMYFUNCTION("""COMPUTED_VALUE"""),0.5896177590893925)</f>
        <v>0.5896177591</v>
      </c>
      <c r="AU297" s="30">
        <f>IFERROR(__xludf.DUMMYFUNCTION("""COMPUTED_VALUE"""),2.534517494980936)</f>
        <v>2.534517495</v>
      </c>
      <c r="AV297" s="32">
        <f>IFERROR(__xludf.DUMMYFUNCTION("""COMPUTED_VALUE"""),55.09826104861731)</f>
        <v>55.09826105</v>
      </c>
      <c r="AW297" s="32">
        <f>IFERROR(__xludf.DUMMYFUNCTION("""COMPUTED_VALUE"""),2.3854738316327815)</f>
        <v>2.385473832</v>
      </c>
      <c r="AX297" s="32">
        <f>IFERROR(__xludf.DUMMYFUNCTION("""COMPUTED_VALUE"""),44.70050453960963)</f>
        <v>44.70050454</v>
      </c>
      <c r="AY297" s="32">
        <f>IFERROR(__xludf.DUMMYFUNCTION("""COMPUTED_VALUE"""),-2.4034914680992516)</f>
        <v>-2.403491468</v>
      </c>
      <c r="AZ297" s="30">
        <f>IFERROR(__xludf.DUMMYFUNCTION("""COMPUTED_VALUE"""),4.788965299732033)</f>
        <v>4.7889653</v>
      </c>
      <c r="BA297" s="30">
        <f>IFERROR(__xludf.DUMMYFUNCTION("""COMPUTED_VALUE"""),1200.0)</f>
        <v>1200</v>
      </c>
    </row>
    <row r="298">
      <c r="A298" s="71" t="str">
        <f>IFERROR(__xludf.DUMMYFUNCTION("""COMPUTED_VALUE"""),"Veteran")</f>
        <v>Veteran</v>
      </c>
      <c r="B298" s="71" t="str">
        <f>IFERROR(__xludf.DUMMYFUNCTION("""COMPUTED_VALUE"""),"RSC005246")</f>
        <v>RSC005246</v>
      </c>
      <c r="C298" s="30" t="str">
        <f>IFERROR(__xludf.DUMMYFUNCTION("""COMPUTED_VALUE"""),"Irishhhh")</f>
        <v>Irishhhh</v>
      </c>
      <c r="D298" s="30" t="str">
        <f>IFERROR(__xludf.DUMMYFUNCTION("""COMPUTED_VALUE"""),"Mosaic Maestros")</f>
        <v>Mosaic Maestros</v>
      </c>
      <c r="E298" s="30">
        <f>IFERROR(__xludf.DUMMYFUNCTION("""COMPUTED_VALUE"""),27.0)</f>
        <v>27</v>
      </c>
      <c r="F298" s="30">
        <f>IFERROR(__xludf.DUMMYFUNCTION("""COMPUTED_VALUE"""),17.0)</f>
        <v>17</v>
      </c>
      <c r="G298" s="42">
        <f>IFERROR(__xludf.DUMMYFUNCTION("""COMPUTED_VALUE"""),10.0)</f>
        <v>10</v>
      </c>
      <c r="H298" s="42">
        <f>IFERROR(__xludf.DUMMYFUNCTION("""COMPUTED_VALUE"""),0.6296296296296297)</f>
        <v>0.6296296296</v>
      </c>
      <c r="I298" s="42">
        <f>IFERROR(__xludf.DUMMYFUNCTION("""COMPUTED_VALUE"""),0.2948717948717949)</f>
        <v>0.2948717949</v>
      </c>
      <c r="J298" s="30">
        <f>IFERROR(__xludf.DUMMYFUNCTION("""COMPUTED_VALUE"""),351.44444444444446)</f>
        <v>351.4444444</v>
      </c>
      <c r="K298" s="30">
        <f>IFERROR(__xludf.DUMMYFUNCTION("""COMPUTED_VALUE"""),0.8518518518518519)</f>
        <v>0.8518518519</v>
      </c>
      <c r="L298" s="30">
        <f>IFERROR(__xludf.DUMMYFUNCTION("""COMPUTED_VALUE"""),0.4444444444444444)</f>
        <v>0.4444444444</v>
      </c>
      <c r="M298" s="30">
        <f>IFERROR(__xludf.DUMMYFUNCTION("""COMPUTED_VALUE"""),1.2962962962962963)</f>
        <v>1.296296296</v>
      </c>
      <c r="N298" s="30">
        <f>IFERROR(__xludf.DUMMYFUNCTION("""COMPUTED_VALUE"""),2.888888888888889)</f>
        <v>2.888888889</v>
      </c>
      <c r="O298" s="30">
        <f>IFERROR(__xludf.DUMMYFUNCTION("""COMPUTED_VALUE"""),361.283950617284)</f>
        <v>361.2839506</v>
      </c>
      <c r="P298" s="30">
        <f>IFERROR(__xludf.DUMMYFUNCTION("""COMPUTED_VALUE"""),0.7777777777777777)</f>
        <v>0.7777777778</v>
      </c>
      <c r="Q298" s="30">
        <f>IFERROR(__xludf.DUMMYFUNCTION("""COMPUTED_VALUE"""),0.5308641975308641)</f>
        <v>0.5308641975</v>
      </c>
      <c r="R298" s="30">
        <f>IFERROR(__xludf.DUMMYFUNCTION("""COMPUTED_VALUE"""),1.5061728395061722)</f>
        <v>1.50617284</v>
      </c>
      <c r="S298" s="30">
        <f>IFERROR(__xludf.DUMMYFUNCTION("""COMPUTED_VALUE"""),2.5555555555555554)</f>
        <v>2.555555556</v>
      </c>
      <c r="T298" s="30">
        <f>IFERROR(__xludf.DUMMYFUNCTION("""COMPUTED_VALUE"""),350.1079213127415)</f>
        <v>350.1079213</v>
      </c>
      <c r="U298" s="30">
        <f>IFERROR(__xludf.DUMMYFUNCTION("""COMPUTED_VALUE"""),0.790149164685192)</f>
        <v>0.7901491647</v>
      </c>
      <c r="V298" s="30">
        <f>IFERROR(__xludf.DUMMYFUNCTION("""COMPUTED_VALUE"""),0.5524075162152436)</f>
        <v>0.5524075162</v>
      </c>
      <c r="W298" s="30">
        <f>IFERROR(__xludf.DUMMYFUNCTION("""COMPUTED_VALUE"""),1.3786264986844696)</f>
        <v>1.378626499</v>
      </c>
      <c r="X298" s="30">
        <f>IFERROR(__xludf.DUMMYFUNCTION("""COMPUTED_VALUE"""),2.587475778273434)</f>
        <v>2.587475778</v>
      </c>
      <c r="Y298" s="30">
        <f>IFERROR(__xludf.DUMMYFUNCTION("""COMPUTED_VALUE"""),363.0495000823424)</f>
        <v>363.0495001</v>
      </c>
      <c r="Z298" s="30">
        <f>IFERROR(__xludf.DUMMYFUNCTION("""COMPUTED_VALUE"""),0.8381122563991767)</f>
        <v>0.8381122564</v>
      </c>
      <c r="AA298" s="30">
        <f>IFERROR(__xludf.DUMMYFUNCTION("""COMPUTED_VALUE"""),0.5964122568070643)</f>
        <v>0.5964122568</v>
      </c>
      <c r="AB298" s="30">
        <f>IFERROR(__xludf.DUMMYFUNCTION("""COMPUTED_VALUE"""),1.401114162602579)</f>
        <v>1.401114163</v>
      </c>
      <c r="AC298" s="30">
        <f>IFERROR(__xludf.DUMMYFUNCTION("""COMPUTED_VALUE"""),2.6820061996629554)</f>
        <v>2.6820062</v>
      </c>
      <c r="AD298" s="30">
        <f>IFERROR(__xludf.DUMMYFUNCTION("""COMPUTED_VALUE"""),0.9680345086957404)</f>
        <v>0.9680345087</v>
      </c>
      <c r="AE298" s="30">
        <f>IFERROR(__xludf.DUMMYFUNCTION("""COMPUTED_VALUE"""),1.0163935025979756)</f>
        <v>1.016393503</v>
      </c>
      <c r="AF298" s="30">
        <f>IFERROR(__xludf.DUMMYFUNCTION("""COMPUTED_VALUE"""),0.7451966980420717)</f>
        <v>0.745196698</v>
      </c>
      <c r="AG298" s="30">
        <f>IFERROR(__xludf.DUMMYFUNCTION("""COMPUTED_VALUE"""),0.9251896318629863)</f>
        <v>0.9251896319</v>
      </c>
      <c r="AH298" s="30">
        <f>IFERROR(__xludf.DUMMYFUNCTION("""COMPUTED_VALUE"""),1.0771372897094467)</f>
        <v>1.07713729</v>
      </c>
      <c r="AI298" s="30">
        <f>IFERROR(__xludf.DUMMYFUNCTION("""COMPUTED_VALUE"""),1.0319216693602293)</f>
        <v>1.031921669</v>
      </c>
      <c r="AJ298" s="30">
        <f>IFERROR(__xludf.DUMMYFUNCTION("""COMPUTED_VALUE"""),0.9843429728710232)</f>
        <v>0.9843429729</v>
      </c>
      <c r="AK298" s="30">
        <f>IFERROR(__xludf.DUMMYFUNCTION("""COMPUTED_VALUE"""),0.9610010398989842)</f>
        <v>0.9610010399</v>
      </c>
      <c r="AL298" s="30">
        <f>IFERROR(__xludf.DUMMYFUNCTION("""COMPUTED_VALUE"""),1.092516965939224)</f>
        <v>1.092516966</v>
      </c>
      <c r="AM298" s="30">
        <f>IFERROR(__xludf.DUMMYFUNCTION("""COMPUTED_VALUE"""),0.987663566559383)</f>
        <v>0.9876635666</v>
      </c>
      <c r="AN298" s="30">
        <f>IFERROR(__xludf.DUMMYFUNCTION("""COMPUTED_VALUE"""),1.0178614310485878)</f>
        <v>1.017861431</v>
      </c>
      <c r="AO298" s="30">
        <f>IFERROR(__xludf.DUMMYFUNCTION("""COMPUTED_VALUE"""),1.1292576251890762)</f>
        <v>1.129257625</v>
      </c>
      <c r="AP298" s="30">
        <f>IFERROR(__xludf.DUMMYFUNCTION("""COMPUTED_VALUE"""),0.8242272543556436)</f>
        <v>0.8242272544</v>
      </c>
      <c r="AQ298" s="30">
        <f>IFERROR(__xludf.DUMMYFUNCTION("""COMPUTED_VALUE"""),0.9597619154490388)</f>
        <v>0.9597619154</v>
      </c>
      <c r="AR298" s="30">
        <f>IFERROR(__xludf.DUMMYFUNCTION("""COMPUTED_VALUE"""),1.1281717928209354)</f>
        <v>1.128171793</v>
      </c>
      <c r="AS298" s="30">
        <f>IFERROR(__xludf.DUMMYFUNCTION("""COMPUTED_VALUE"""),73.0)</f>
        <v>73</v>
      </c>
      <c r="AT298" s="30">
        <f>IFERROR(__xludf.DUMMYFUNCTION("""COMPUTED_VALUE"""),0.5583121696469362)</f>
        <v>0.5583121696</v>
      </c>
      <c r="AU298" s="30">
        <f>IFERROR(__xludf.DUMMYFUNCTION("""COMPUTED_VALUE"""),2.4309585848875592)</f>
        <v>2.430958585</v>
      </c>
      <c r="AV298" s="32">
        <f>IFERROR(__xludf.DUMMYFUNCTION("""COMPUTED_VALUE"""),51.89041070944803)</f>
        <v>51.89041071</v>
      </c>
      <c r="AW298" s="32">
        <f>IFERROR(__xludf.DUMMYFUNCTION("""COMPUTED_VALUE"""),2.128283872739073)</f>
        <v>2.128283873</v>
      </c>
      <c r="AX298" s="32">
        <f>IFERROR(__xludf.DUMMYFUNCTION("""COMPUTED_VALUE"""),42.525290407976314)</f>
        <v>42.52529041</v>
      </c>
      <c r="AY298" s="32">
        <f>IFERROR(__xludf.DUMMYFUNCTION("""COMPUTED_VALUE"""),-2.614553700009732)</f>
        <v>-2.6145537</v>
      </c>
      <c r="AZ298" s="30">
        <f>IFERROR(__xludf.DUMMYFUNCTION("""COMPUTED_VALUE"""),4.742837572748805)</f>
        <v>4.742837573</v>
      </c>
      <c r="BA298" s="30">
        <f>IFERROR(__xludf.DUMMYFUNCTION("""COMPUTED_VALUE"""),1200.0)</f>
        <v>1200</v>
      </c>
    </row>
    <row r="299">
      <c r="A299" s="71" t="str">
        <f>IFERROR(__xludf.DUMMYFUNCTION("""COMPUTED_VALUE"""),"Veteran")</f>
        <v>Veteran</v>
      </c>
      <c r="B299" s="71" t="str">
        <f>IFERROR(__xludf.DUMMYFUNCTION("""COMPUTED_VALUE"""),"RSC006315")</f>
        <v>RSC006315</v>
      </c>
      <c r="C299" s="30" t="str">
        <f>IFERROR(__xludf.DUMMYFUNCTION("""COMPUTED_VALUE"""),"BIGbadBULLMAN13")</f>
        <v>BIGbadBULLMAN13</v>
      </c>
      <c r="D299" s="30" t="str">
        <f>IFERROR(__xludf.DUMMYFUNCTION("""COMPUTED_VALUE"""),"Singularity")</f>
        <v>Singularity</v>
      </c>
      <c r="E299" s="30">
        <f>IFERROR(__xludf.DUMMYFUNCTION("""COMPUTED_VALUE"""),24.0)</f>
        <v>24</v>
      </c>
      <c r="F299" s="30">
        <f>IFERROR(__xludf.DUMMYFUNCTION("""COMPUTED_VALUE"""),14.0)</f>
        <v>14</v>
      </c>
      <c r="G299" s="42">
        <f>IFERROR(__xludf.DUMMYFUNCTION("""COMPUTED_VALUE"""),10.0)</f>
        <v>10</v>
      </c>
      <c r="H299" s="42">
        <f>IFERROR(__xludf.DUMMYFUNCTION("""COMPUTED_VALUE"""),0.5833333333333334)</f>
        <v>0.5833333333</v>
      </c>
      <c r="I299" s="42">
        <f>IFERROR(__xludf.DUMMYFUNCTION("""COMPUTED_VALUE"""),0.29824561403508776)</f>
        <v>0.298245614</v>
      </c>
      <c r="J299" s="30">
        <f>IFERROR(__xludf.DUMMYFUNCTION("""COMPUTED_VALUE"""),363.2916666666667)</f>
        <v>363.2916667</v>
      </c>
      <c r="K299" s="30">
        <f>IFERROR(__xludf.DUMMYFUNCTION("""COMPUTED_VALUE"""),0.7083333333333334)</f>
        <v>0.7083333333</v>
      </c>
      <c r="L299" s="30">
        <f>IFERROR(__xludf.DUMMYFUNCTION("""COMPUTED_VALUE"""),0.5833333333333334)</f>
        <v>0.5833333333</v>
      </c>
      <c r="M299" s="30">
        <f>IFERROR(__xludf.DUMMYFUNCTION("""COMPUTED_VALUE"""),1.7083333333333333)</f>
        <v>1.708333333</v>
      </c>
      <c r="N299" s="30">
        <f>IFERROR(__xludf.DUMMYFUNCTION("""COMPUTED_VALUE"""),2.375)</f>
        <v>2.375</v>
      </c>
      <c r="O299" s="30">
        <f>IFERROR(__xludf.DUMMYFUNCTION("""COMPUTED_VALUE"""),319.8055555555556)</f>
        <v>319.8055556</v>
      </c>
      <c r="P299" s="30">
        <f>IFERROR(__xludf.DUMMYFUNCTION("""COMPUTED_VALUE"""),0.5972222222222223)</f>
        <v>0.5972222222</v>
      </c>
      <c r="Q299" s="30">
        <f>IFERROR(__xludf.DUMMYFUNCTION("""COMPUTED_VALUE"""),0.4305555555555554)</f>
        <v>0.4305555556</v>
      </c>
      <c r="R299" s="30">
        <f>IFERROR(__xludf.DUMMYFUNCTION("""COMPUTED_VALUE"""),1.222222222222222)</f>
        <v>1.222222222</v>
      </c>
      <c r="S299" s="30">
        <f>IFERROR(__xludf.DUMMYFUNCTION("""COMPUTED_VALUE"""),2.819444444444444)</f>
        <v>2.819444444</v>
      </c>
      <c r="T299" s="30">
        <f>IFERROR(__xludf.DUMMYFUNCTION("""COMPUTED_VALUE"""),338.1986396461195)</f>
        <v>338.1986396</v>
      </c>
      <c r="U299" s="30">
        <f>IFERROR(__xludf.DUMMYFUNCTION("""COMPUTED_VALUE"""),0.723969540139788)</f>
        <v>0.7239695401</v>
      </c>
      <c r="V299" s="30">
        <f>IFERROR(__xludf.DUMMYFUNCTION("""COMPUTED_VALUE"""),0.5343313028700155)</f>
        <v>0.5343313029</v>
      </c>
      <c r="W299" s="30">
        <f>IFERROR(__xludf.DUMMYFUNCTION("""COMPUTED_VALUE"""),1.2570728412059609)</f>
        <v>1.257072841</v>
      </c>
      <c r="X299" s="30">
        <f>IFERROR(__xludf.DUMMYFUNCTION("""COMPUTED_VALUE"""),2.5392490350809513)</f>
        <v>2.539249035</v>
      </c>
      <c r="Y299" s="30">
        <f>IFERROR(__xludf.DUMMYFUNCTION("""COMPUTED_VALUE"""),344.7211893683131)</f>
        <v>344.7211894</v>
      </c>
      <c r="Z299" s="30">
        <f>IFERROR(__xludf.DUMMYFUNCTION("""COMPUTED_VALUE"""),0.7231599417373583)</f>
        <v>0.7231599417</v>
      </c>
      <c r="AA299" s="30">
        <f>IFERROR(__xludf.DUMMYFUNCTION("""COMPUTED_VALUE"""),0.540144515322076)</f>
        <v>0.5401445153</v>
      </c>
      <c r="AB299" s="30">
        <f>IFERROR(__xludf.DUMMYFUNCTION("""COMPUTED_VALUE"""),1.3670866246354008)</f>
        <v>1.367086625</v>
      </c>
      <c r="AC299" s="30">
        <f>IFERROR(__xludf.DUMMYFUNCTION("""COMPUTED_VALUE"""),2.470119807505373)</f>
        <v>2.470119808</v>
      </c>
      <c r="AD299" s="30">
        <f>IFERROR(__xludf.DUMMYFUNCTION("""COMPUTED_VALUE"""),1.053871006108975)</f>
        <v>1.053871006</v>
      </c>
      <c r="AE299" s="30">
        <f>IFERROR(__xludf.DUMMYFUNCTION("""COMPUTED_VALUE"""),0.9794974699948055)</f>
        <v>0.97949747</v>
      </c>
      <c r="AF299" s="30">
        <f>IFERROR(__xludf.DUMMYFUNCTION("""COMPUTED_VALUE"""),1.0799578942044887)</f>
        <v>1.079957894</v>
      </c>
      <c r="AG299" s="30">
        <f>IFERROR(__xludf.DUMMYFUNCTION("""COMPUTED_VALUE"""),1.2496160100966114)</f>
        <v>1.24961601</v>
      </c>
      <c r="AH299" s="30">
        <f>IFERROR(__xludf.DUMMYFUNCTION("""COMPUTED_VALUE"""),0.9614918243170413)</f>
        <v>0.9614918243</v>
      </c>
      <c r="AI299" s="30">
        <f>IFERROR(__xludf.DUMMYFUNCTION("""COMPUTED_VALUE"""),0.9456145532997713)</f>
        <v>0.9456145533</v>
      </c>
      <c r="AJ299" s="30">
        <f>IFERROR(__xludf.DUMMYFUNCTION("""COMPUTED_VALUE"""),0.8249272781654701)</f>
        <v>0.8249272782</v>
      </c>
      <c r="AK299" s="30">
        <f>IFERROR(__xludf.DUMMYFUNCTION("""COMPUTED_VALUE"""),0.8057838895886188)</f>
        <v>0.8057838896</v>
      </c>
      <c r="AL299" s="30">
        <f>IFERROR(__xludf.DUMMYFUNCTION("""COMPUTED_VALUE"""),0.9722763726640493)</f>
        <v>0.9722763727</v>
      </c>
      <c r="AM299" s="30">
        <f>IFERROR(__xludf.DUMMYFUNCTION("""COMPUTED_VALUE"""),1.1103457776265573)</f>
        <v>1.110345778</v>
      </c>
      <c r="AN299" s="30">
        <f>IFERROR(__xludf.DUMMYFUNCTION("""COMPUTED_VALUE"""),1.0521736267759212)</f>
        <v>1.052173627</v>
      </c>
      <c r="AO299" s="30">
        <f>IFERROR(__xludf.DUMMYFUNCTION("""COMPUTED_VALUE"""),0.9390022644235254)</f>
        <v>0.9390022644</v>
      </c>
      <c r="AP299" s="30">
        <f>IFERROR(__xludf.DUMMYFUNCTION("""COMPUTED_VALUE"""),1.0817982713417824)</f>
        <v>1.081798271</v>
      </c>
      <c r="AQ299" s="30">
        <f>IFERROR(__xludf.DUMMYFUNCTION("""COMPUTED_VALUE"""),1.264829095716769)</f>
        <v>1.264829096</v>
      </c>
      <c r="AR299" s="30">
        <f>IFERROR(__xludf.DUMMYFUNCTION("""COMPUTED_VALUE"""),0.9274873873672114)</f>
        <v>0.9274873874</v>
      </c>
      <c r="AS299" s="30">
        <f>IFERROR(__xludf.DUMMYFUNCTION("""COMPUTED_VALUE"""),56.0)</f>
        <v>56</v>
      </c>
      <c r="AT299" s="30">
        <f>IFERROR(__xludf.DUMMYFUNCTION("""COMPUTED_VALUE"""),0.5978984244560307)</f>
        <v>0.5978984245</v>
      </c>
      <c r="AU299" s="30">
        <f>IFERROR(__xludf.DUMMYFUNCTION("""COMPUTED_VALUE"""),2.6032865874760756)</f>
        <v>2.603286587</v>
      </c>
      <c r="AV299" s="32">
        <f>IFERROR(__xludf.DUMMYFUNCTION("""COMPUTED_VALUE"""),57.22845879293488)</f>
        <v>57.22845879</v>
      </c>
      <c r="AW299" s="32">
        <f>IFERROR(__xludf.DUMMYFUNCTION("""COMPUTED_VALUE"""),2.5890788570554095)</f>
        <v>2.589078857</v>
      </c>
      <c r="AX299" s="32">
        <f>IFERROR(__xludf.DUMMYFUNCTION("""COMPUTED_VALUE"""),48.563155379657616)</f>
        <v>48.56315538</v>
      </c>
      <c r="AY299" s="32">
        <f>IFERROR(__xludf.DUMMYFUNCTION("""COMPUTED_VALUE"""),-2.0960674051135517)</f>
        <v>-2.096067405</v>
      </c>
      <c r="AZ299" s="30">
        <f>IFERROR(__xludf.DUMMYFUNCTION("""COMPUTED_VALUE"""),4.685146262168962)</f>
        <v>4.685146262</v>
      </c>
      <c r="BA299" s="30">
        <f>IFERROR(__xludf.DUMMYFUNCTION("""COMPUTED_VALUE"""),1200.0)</f>
        <v>1200</v>
      </c>
    </row>
    <row r="300">
      <c r="A300" s="71" t="str">
        <f>IFERROR(__xludf.DUMMYFUNCTION("""COMPUTED_VALUE"""),"Veteran")</f>
        <v>Veteran</v>
      </c>
      <c r="B300" s="71" t="str">
        <f>IFERROR(__xludf.DUMMYFUNCTION("""COMPUTED_VALUE"""),"RSC007504")</f>
        <v>RSC007504</v>
      </c>
      <c r="C300" s="30" t="str">
        <f>IFERROR(__xludf.DUMMYFUNCTION("""COMPUTED_VALUE"""),"Percussive3260")</f>
        <v>Percussive3260</v>
      </c>
      <c r="D300" s="30" t="str">
        <f>IFERROR(__xludf.DUMMYFUNCTION("""COMPUTED_VALUE"""),"Dread")</f>
        <v>Dread</v>
      </c>
      <c r="E300" s="30">
        <f>IFERROR(__xludf.DUMMYFUNCTION("""COMPUTED_VALUE"""),36.0)</f>
        <v>36</v>
      </c>
      <c r="F300" s="30">
        <f>IFERROR(__xludf.DUMMYFUNCTION("""COMPUTED_VALUE"""),13.0)</f>
        <v>13</v>
      </c>
      <c r="G300" s="42">
        <f>IFERROR(__xludf.DUMMYFUNCTION("""COMPUTED_VALUE"""),23.0)</f>
        <v>23</v>
      </c>
      <c r="H300" s="42">
        <f>IFERROR(__xludf.DUMMYFUNCTION("""COMPUTED_VALUE"""),0.3611111111111111)</f>
        <v>0.3611111111</v>
      </c>
      <c r="I300" s="42">
        <f>IFERROR(__xludf.DUMMYFUNCTION("""COMPUTED_VALUE"""),0.2553191489361702)</f>
        <v>0.2553191489</v>
      </c>
      <c r="J300" s="30">
        <f>IFERROR(__xludf.DUMMYFUNCTION("""COMPUTED_VALUE"""),354.47222222222223)</f>
        <v>354.4722222</v>
      </c>
      <c r="K300" s="30">
        <f>IFERROR(__xludf.DUMMYFUNCTION("""COMPUTED_VALUE"""),0.6666666666666666)</f>
        <v>0.6666666667</v>
      </c>
      <c r="L300" s="30">
        <f>IFERROR(__xludf.DUMMYFUNCTION("""COMPUTED_VALUE"""),0.5833333333333334)</f>
        <v>0.5833333333</v>
      </c>
      <c r="M300" s="30">
        <f>IFERROR(__xludf.DUMMYFUNCTION("""COMPUTED_VALUE"""),1.3888888888888888)</f>
        <v>1.388888889</v>
      </c>
      <c r="N300" s="30">
        <f>IFERROR(__xludf.DUMMYFUNCTION("""COMPUTED_VALUE"""),2.611111111111111)</f>
        <v>2.611111111</v>
      </c>
      <c r="O300" s="30">
        <f>IFERROR(__xludf.DUMMYFUNCTION("""COMPUTED_VALUE"""),358.4537037037037)</f>
        <v>358.4537037</v>
      </c>
      <c r="P300" s="30">
        <f>IFERROR(__xludf.DUMMYFUNCTION("""COMPUTED_VALUE"""),0.8240740740740742)</f>
        <v>0.8240740741</v>
      </c>
      <c r="Q300" s="30">
        <f>IFERROR(__xludf.DUMMYFUNCTION("""COMPUTED_VALUE"""),0.611111111111111)</f>
        <v>0.6111111111</v>
      </c>
      <c r="R300" s="30">
        <f>IFERROR(__xludf.DUMMYFUNCTION("""COMPUTED_VALUE"""),1.2129629629629628)</f>
        <v>1.212962963</v>
      </c>
      <c r="S300" s="30">
        <f>IFERROR(__xludf.DUMMYFUNCTION("""COMPUTED_VALUE"""),2.731481481481482)</f>
        <v>2.731481481</v>
      </c>
      <c r="T300" s="30">
        <f>IFERROR(__xludf.DUMMYFUNCTION("""COMPUTED_VALUE"""),357.1822305055052)</f>
        <v>357.1822305</v>
      </c>
      <c r="U300" s="30">
        <f>IFERROR(__xludf.DUMMYFUNCTION("""COMPUTED_VALUE"""),0.829367901172502)</f>
        <v>0.8293679012</v>
      </c>
      <c r="V300" s="30">
        <f>IFERROR(__xludf.DUMMYFUNCTION("""COMPUTED_VALUE"""),0.6132602717895355)</f>
        <v>0.6132602718</v>
      </c>
      <c r="W300" s="30">
        <f>IFERROR(__xludf.DUMMYFUNCTION("""COMPUTED_VALUE"""),1.299358393972353)</f>
        <v>1.299358394</v>
      </c>
      <c r="X300" s="30">
        <f>IFERROR(__xludf.DUMMYFUNCTION("""COMPUTED_VALUE"""),2.7365321141794796)</f>
        <v>2.736532114</v>
      </c>
      <c r="Y300" s="30">
        <f>IFERROR(__xludf.DUMMYFUNCTION("""COMPUTED_VALUE"""),358.22901977346254)</f>
        <v>358.2290198</v>
      </c>
      <c r="Z300" s="30">
        <f>IFERROR(__xludf.DUMMYFUNCTION("""COMPUTED_VALUE"""),0.823014214442159)</f>
        <v>0.8230142144</v>
      </c>
      <c r="AA300" s="30">
        <f>IFERROR(__xludf.DUMMYFUNCTION("""COMPUTED_VALUE"""),0.6107800260470684)</f>
        <v>0.610780026</v>
      </c>
      <c r="AB300" s="30">
        <f>IFERROR(__xludf.DUMMYFUNCTION("""COMPUTED_VALUE"""),1.379195394431739)</f>
        <v>1.379195394</v>
      </c>
      <c r="AC300" s="30">
        <f>IFERROR(__xludf.DUMMYFUNCTION("""COMPUTED_VALUE"""),2.607767636594593)</f>
        <v>2.607767637</v>
      </c>
      <c r="AD300" s="30">
        <f>IFERROR(__xludf.DUMMYFUNCTION("""COMPUTED_VALUE"""),0.9895128609245113)</f>
        <v>0.9895128609</v>
      </c>
      <c r="AE300" s="30">
        <f>IFERROR(__xludf.DUMMYFUNCTION("""COMPUTED_VALUE"""),0.810030562009837)</f>
        <v>0.810030562</v>
      </c>
      <c r="AF300" s="30">
        <f>IFERROR(__xludf.DUMMYFUNCTION("""COMPUTED_VALUE"""),0.9550628842737895)</f>
        <v>0.9550628843</v>
      </c>
      <c r="AG300" s="30">
        <f>IFERROR(__xludf.DUMMYFUNCTION("""COMPUTED_VALUE"""),1.0070283692189559)</f>
        <v>1.007028369</v>
      </c>
      <c r="AH300" s="30">
        <f>IFERROR(__xludf.DUMMYFUNCTION("""COMPUTED_VALUE"""),1.0012821213322842)</f>
        <v>1.001282121</v>
      </c>
      <c r="AI300" s="30">
        <f>IFERROR(__xludf.DUMMYFUNCTION("""COMPUTED_VALUE"""),1.0035597325107664)</f>
        <v>1.003559733</v>
      </c>
      <c r="AJ300" s="30">
        <f>IFERROR(__xludf.DUMMYFUNCTION("""COMPUTED_VALUE"""),0.9936170340195903)</f>
        <v>0.993617034</v>
      </c>
      <c r="AK300" s="30">
        <f>IFERROR(__xludf.DUMMYFUNCTION("""COMPUTED_VALUE"""),0.9964955162150761)</f>
        <v>0.9964955162</v>
      </c>
      <c r="AL300" s="30">
        <f>IFERROR(__xludf.DUMMYFUNCTION("""COMPUTED_VALUE"""),0.9335091600514734)</f>
        <v>0.9335091601</v>
      </c>
      <c r="AM300" s="30">
        <f>IFERROR(__xludf.DUMMYFUNCTION("""COMPUTED_VALUE"""),0.9981543674668286)</f>
        <v>0.9981543675</v>
      </c>
      <c r="AN300" s="30">
        <f>IFERROR(__xludf.DUMMYFUNCTION("""COMPUTED_VALUE"""),1.0266305502379884)</f>
        <v>1.02663055</v>
      </c>
      <c r="AO300" s="30">
        <f>IFERROR(__xludf.DUMMYFUNCTION("""COMPUTED_VALUE"""),0.8837668371044944)</f>
        <v>0.8837668371</v>
      </c>
      <c r="AP300" s="30">
        <f>IFERROR(__xludf.DUMMYFUNCTION("""COMPUTED_VALUE"""),1.0817982713417824)</f>
        <v>1.081798271</v>
      </c>
      <c r="AQ300" s="30">
        <f>IFERROR(__xludf.DUMMYFUNCTION("""COMPUTED_VALUE"""),1.0283163379811129)</f>
        <v>1.028316338</v>
      </c>
      <c r="AR300" s="30">
        <f>IFERROR(__xludf.DUMMYFUNCTION("""COMPUTED_VALUE"""),1.0196937358189224)</f>
        <v>1.019693736</v>
      </c>
      <c r="AS300" s="30">
        <f>IFERROR(__xludf.DUMMYFUNCTION("""COMPUTED_VALUE"""),65.0)</f>
        <v>65</v>
      </c>
      <c r="AT300" s="30">
        <f>IFERROR(__xludf.DUMMYFUNCTION("""COMPUTED_VALUE"""),0.3829827642750242)</f>
        <v>0.3829827643</v>
      </c>
      <c r="AU300" s="30">
        <f>IFERROR(__xludf.DUMMYFUNCTION("""COMPUTED_VALUE"""),2.3353799253909386)</f>
        <v>2.335379925</v>
      </c>
      <c r="AV300" s="32">
        <f>IFERROR(__xludf.DUMMYFUNCTION("""COMPUTED_VALUE"""),48.92975734792536)</f>
        <v>48.92975735</v>
      </c>
      <c r="AW300" s="32">
        <f>IFERROR(__xludf.DUMMYFUNCTION("""COMPUTED_VALUE"""),-2.0707079964233586)</f>
        <v>-2.070707996</v>
      </c>
      <c r="AX300" s="32">
        <f>IFERROR(__xludf.DUMMYFUNCTION("""COMPUTED_VALUE"""),57.433903252132154)</f>
        <v>57.43390325</v>
      </c>
      <c r="AY300" s="32">
        <f>IFERROR(__xludf.DUMMYFUNCTION("""COMPUTED_VALUE"""),2.610302806075719)</f>
        <v>2.610302806</v>
      </c>
      <c r="AZ300" s="30">
        <f>IFERROR(__xludf.DUMMYFUNCTION("""COMPUTED_VALUE"""),4.6810108024990775)</f>
        <v>4.681010802</v>
      </c>
      <c r="BA300" s="30">
        <f>IFERROR(__xludf.DUMMYFUNCTION("""COMPUTED_VALUE"""),1200.0)</f>
        <v>1200</v>
      </c>
    </row>
    <row r="301">
      <c r="A301" s="71" t="str">
        <f>IFERROR(__xludf.DUMMYFUNCTION("""COMPUTED_VALUE"""),"Veteran")</f>
        <v>Veteran</v>
      </c>
      <c r="B301" s="71" t="str">
        <f>IFERROR(__xludf.DUMMYFUNCTION("""COMPUTED_VALUE"""),"RSC006320")</f>
        <v>RSC006320</v>
      </c>
      <c r="C301" s="30" t="str">
        <f>IFERROR(__xludf.DUMMYFUNCTION("""COMPUTED_VALUE"""),"Escape_Plan")</f>
        <v>Escape_Plan</v>
      </c>
      <c r="D301" s="30" t="str">
        <f>IFERROR(__xludf.DUMMYFUNCTION("""COMPUTED_VALUE"""),"Singularity")</f>
        <v>Singularity</v>
      </c>
      <c r="E301" s="30">
        <f>IFERROR(__xludf.DUMMYFUNCTION("""COMPUTED_VALUE"""),28.0)</f>
        <v>28</v>
      </c>
      <c r="F301" s="30">
        <f>IFERROR(__xludf.DUMMYFUNCTION("""COMPUTED_VALUE"""),16.0)</f>
        <v>16</v>
      </c>
      <c r="G301" s="42">
        <f>IFERROR(__xludf.DUMMYFUNCTION("""COMPUTED_VALUE"""),12.0)</f>
        <v>12</v>
      </c>
      <c r="H301" s="42">
        <f>IFERROR(__xludf.DUMMYFUNCTION("""COMPUTED_VALUE"""),0.5714285714285714)</f>
        <v>0.5714285714</v>
      </c>
      <c r="I301" s="42">
        <f>IFERROR(__xludf.DUMMYFUNCTION("""COMPUTED_VALUE"""),0.3108108108108108)</f>
        <v>0.3108108108</v>
      </c>
      <c r="J301" s="30">
        <f>IFERROR(__xludf.DUMMYFUNCTION("""COMPUTED_VALUE"""),348.9642857142857)</f>
        <v>348.9642857</v>
      </c>
      <c r="K301" s="30">
        <f>IFERROR(__xludf.DUMMYFUNCTION("""COMPUTED_VALUE"""),0.8214285714285714)</f>
        <v>0.8214285714</v>
      </c>
      <c r="L301" s="30">
        <f>IFERROR(__xludf.DUMMYFUNCTION("""COMPUTED_VALUE"""),0.39285714285714285)</f>
        <v>0.3928571429</v>
      </c>
      <c r="M301" s="30">
        <f>IFERROR(__xludf.DUMMYFUNCTION("""COMPUTED_VALUE"""),1.4285714285714286)</f>
        <v>1.428571429</v>
      </c>
      <c r="N301" s="30">
        <f>IFERROR(__xludf.DUMMYFUNCTION("""COMPUTED_VALUE"""),2.642857142857143)</f>
        <v>2.642857143</v>
      </c>
      <c r="O301" s="30">
        <f>IFERROR(__xludf.DUMMYFUNCTION("""COMPUTED_VALUE"""),328.42857142857144)</f>
        <v>328.4285714</v>
      </c>
      <c r="P301" s="30">
        <f>IFERROR(__xludf.DUMMYFUNCTION("""COMPUTED_VALUE"""),0.7023809523809523)</f>
        <v>0.7023809524</v>
      </c>
      <c r="Q301" s="30">
        <f>IFERROR(__xludf.DUMMYFUNCTION("""COMPUTED_VALUE"""),0.5119047619047619)</f>
        <v>0.5119047619</v>
      </c>
      <c r="R301" s="30">
        <f>IFERROR(__xludf.DUMMYFUNCTION("""COMPUTED_VALUE"""),1.119047619047619)</f>
        <v>1.119047619</v>
      </c>
      <c r="S301" s="30">
        <f>IFERROR(__xludf.DUMMYFUNCTION("""COMPUTED_VALUE"""),2.8690476190476195)</f>
        <v>2.869047619</v>
      </c>
      <c r="T301" s="30">
        <f>IFERROR(__xludf.DUMMYFUNCTION("""COMPUTED_VALUE"""),354.4743973279137)</f>
        <v>354.4743973</v>
      </c>
      <c r="U301" s="30">
        <f>IFERROR(__xludf.DUMMYFUNCTION("""COMPUTED_VALUE"""),0.7849340481626382)</f>
        <v>0.7849340482</v>
      </c>
      <c r="V301" s="30">
        <f>IFERROR(__xludf.DUMMYFUNCTION("""COMPUTED_VALUE"""),0.530308467465843)</f>
        <v>0.5303084675</v>
      </c>
      <c r="W301" s="30">
        <f>IFERROR(__xludf.DUMMYFUNCTION("""COMPUTED_VALUE"""),1.3719655287336021)</f>
        <v>1.371965529</v>
      </c>
      <c r="X301" s="30">
        <f>IFERROR(__xludf.DUMMYFUNCTION("""COMPUTED_VALUE"""),2.584411625640011)</f>
        <v>2.584411626</v>
      </c>
      <c r="Y301" s="30">
        <f>IFERROR(__xludf.DUMMYFUNCTION("""COMPUTED_VALUE"""),350.2218104889906)</f>
        <v>350.2218105</v>
      </c>
      <c r="Z301" s="30">
        <f>IFERROR(__xludf.DUMMYFUNCTION("""COMPUTED_VALUE"""),0.748152159321011)</f>
        <v>0.7481521593</v>
      </c>
      <c r="AA301" s="30">
        <f>IFERROR(__xludf.DUMMYFUNCTION("""COMPUTED_VALUE"""),0.5529390334759762)</f>
        <v>0.5529390335</v>
      </c>
      <c r="AB301" s="30">
        <f>IFERROR(__xludf.DUMMYFUNCTION("""COMPUTED_VALUE"""),1.3596697962601876)</f>
        <v>1.359669796</v>
      </c>
      <c r="AC301" s="30">
        <f>IFERROR(__xludf.DUMMYFUNCTION("""COMPUTED_VALUE"""),2.5822992060431207)</f>
        <v>2.582299206</v>
      </c>
      <c r="AD301" s="30">
        <f>IFERROR(__xludf.DUMMYFUNCTION("""COMPUTED_VALUE"""),0.9964093476275817)</f>
        <v>0.9964093476</v>
      </c>
      <c r="AE301" s="30">
        <f>IFERROR(__xludf.DUMMYFUNCTION("""COMPUTED_VALUE"""),1.0979431940343027)</f>
        <v>1.097943194</v>
      </c>
      <c r="AF301" s="30">
        <f>IFERROR(__xludf.DUMMYFUNCTION("""COMPUTED_VALUE"""),0.710489075780199)</f>
        <v>0.7104890758</v>
      </c>
      <c r="AG301" s="30">
        <f>IFERROR(__xludf.DUMMYFUNCTION("""COMPUTED_VALUE"""),1.0506752687312442)</f>
        <v>1.050675269</v>
      </c>
      <c r="AH301" s="30">
        <f>IFERROR(__xludf.DUMMYFUNCTION("""COMPUTED_VALUE"""),1.0234511696678308)</f>
        <v>1.02345117</v>
      </c>
      <c r="AI301" s="30">
        <f>IFERROR(__xludf.DUMMYFUNCTION("""COMPUTED_VALUE"""),0.9265226879693428)</f>
        <v>0.926522688</v>
      </c>
      <c r="AJ301" s="30">
        <f>IFERROR(__xludf.DUMMYFUNCTION("""COMPUTED_VALUE"""),0.894827984625046)</f>
        <v>0.8948279846</v>
      </c>
      <c r="AK301" s="30">
        <f>IFERROR(__xludf.DUMMYFUNCTION("""COMPUTED_VALUE"""),0.9652962253289562)</f>
        <v>0.9652962253</v>
      </c>
      <c r="AL301" s="30">
        <f>IFERROR(__xludf.DUMMYFUNCTION("""COMPUTED_VALUE"""),0.815652868538585)</f>
        <v>0.8156528685</v>
      </c>
      <c r="AM301" s="30">
        <f>IFERROR(__xludf.DUMMYFUNCTION("""COMPUTED_VALUE"""),1.1101357038421154)</f>
        <v>1.110135704</v>
      </c>
      <c r="AN301" s="30">
        <f>IFERROR(__xludf.DUMMYFUNCTION("""COMPUTED_VALUE"""),1.010678338658843)</f>
        <v>1.010678339</v>
      </c>
      <c r="AO301" s="30">
        <f>IFERROR(__xludf.DUMMYFUNCTION("""COMPUTED_VALUE"""),1.0889269957180379)</f>
        <v>1.088926996</v>
      </c>
      <c r="AP301" s="30">
        <f>IFERROR(__xludf.DUMMYFUNCTION("""COMPUTED_VALUE"""),0.7285580194750779)</f>
        <v>0.7285580195</v>
      </c>
      <c r="AQ301" s="30">
        <f>IFERROR(__xludf.DUMMYFUNCTION("""COMPUTED_VALUE"""),1.0576968047805735)</f>
        <v>1.057696805</v>
      </c>
      <c r="AR301" s="30">
        <f>IFERROR(__xludf.DUMMYFUNCTION("""COMPUTED_VALUE"""),1.032091228047724)</f>
        <v>1.032091228</v>
      </c>
      <c r="AS301" s="30">
        <f>IFERROR(__xludf.DUMMYFUNCTION("""COMPUTED_VALUE"""),63.0)</f>
        <v>63</v>
      </c>
      <c r="AT301" s="30">
        <f>IFERROR(__xludf.DUMMYFUNCTION("""COMPUTED_VALUE"""),0.5249985322821215)</f>
        <v>0.5249985323</v>
      </c>
      <c r="AU301" s="30">
        <f>IFERROR(__xludf.DUMMYFUNCTION("""COMPUTED_VALUE"""),2.3785386867187412)</f>
        <v>2.378538687</v>
      </c>
      <c r="AV301" s="32">
        <f>IFERROR(__xludf.DUMMYFUNCTION("""COMPUTED_VALUE"""),50.26664711471301)</f>
        <v>50.26664711</v>
      </c>
      <c r="AW301" s="32">
        <f>IFERROR(__xludf.DUMMYFUNCTION("""COMPUTED_VALUE"""),2.017166049371989)</f>
        <v>2.017166049</v>
      </c>
      <c r="AX301" s="32">
        <f>IFERROR(__xludf.DUMMYFUNCTION("""COMPUTED_VALUE"""),43.129538766419586)</f>
        <v>43.12953877</v>
      </c>
      <c r="AY301" s="32">
        <f>IFERROR(__xludf.DUMMYFUNCTION("""COMPUTED_VALUE"""),-2.552792635175006)</f>
        <v>-2.552792635</v>
      </c>
      <c r="AZ301" s="30">
        <f>IFERROR(__xludf.DUMMYFUNCTION("""COMPUTED_VALUE"""),4.569958684546995)</f>
        <v>4.569958685</v>
      </c>
      <c r="BA301" s="30">
        <f>IFERROR(__xludf.DUMMYFUNCTION("""COMPUTED_VALUE"""),1200.0)</f>
        <v>1200</v>
      </c>
    </row>
    <row r="302">
      <c r="A302" s="71" t="str">
        <f>IFERROR(__xludf.DUMMYFUNCTION("""COMPUTED_VALUE"""),"Veteran")</f>
        <v>Veteran</v>
      </c>
      <c r="B302" s="71" t="str">
        <f>IFERROR(__xludf.DUMMYFUNCTION("""COMPUTED_VALUE"""),"RSC006128")</f>
        <v>RSC006128</v>
      </c>
      <c r="C302" s="30" t="str">
        <f>IFERROR(__xludf.DUMMYFUNCTION("""COMPUTED_VALUE"""),"anth0tex")</f>
        <v>anth0tex</v>
      </c>
      <c r="D302" s="30" t="str">
        <f>IFERROR(__xludf.DUMMYFUNCTION("""COMPUTED_VALUE"""),"Azalea")</f>
        <v>Azalea</v>
      </c>
      <c r="E302" s="30">
        <f>IFERROR(__xludf.DUMMYFUNCTION("""COMPUTED_VALUE"""),27.0)</f>
        <v>27</v>
      </c>
      <c r="F302" s="30">
        <f>IFERROR(__xludf.DUMMYFUNCTION("""COMPUTED_VALUE"""),12.0)</f>
        <v>12</v>
      </c>
      <c r="G302" s="42">
        <f>IFERROR(__xludf.DUMMYFUNCTION("""COMPUTED_VALUE"""),15.0)</f>
        <v>15</v>
      </c>
      <c r="H302" s="42">
        <f>IFERROR(__xludf.DUMMYFUNCTION("""COMPUTED_VALUE"""),0.4444444444444444)</f>
        <v>0.4444444444</v>
      </c>
      <c r="I302" s="42">
        <f>IFERROR(__xludf.DUMMYFUNCTION("""COMPUTED_VALUE"""),0.3421052631578947)</f>
        <v>0.3421052632</v>
      </c>
      <c r="J302" s="30">
        <f>IFERROR(__xludf.DUMMYFUNCTION("""COMPUTED_VALUE"""),340.44444444444446)</f>
        <v>340.4444444</v>
      </c>
      <c r="K302" s="30">
        <f>IFERROR(__xludf.DUMMYFUNCTION("""COMPUTED_VALUE"""),0.9629629629629629)</f>
        <v>0.962962963</v>
      </c>
      <c r="L302" s="30">
        <f>IFERROR(__xludf.DUMMYFUNCTION("""COMPUTED_VALUE"""),0.2962962962962963)</f>
        <v>0.2962962963</v>
      </c>
      <c r="M302" s="30">
        <f>IFERROR(__xludf.DUMMYFUNCTION("""COMPUTED_VALUE"""),1.3703703703703705)</f>
        <v>1.37037037</v>
      </c>
      <c r="N302" s="30">
        <f>IFERROR(__xludf.DUMMYFUNCTION("""COMPUTED_VALUE"""),2.814814814814815)</f>
        <v>2.814814815</v>
      </c>
      <c r="O302" s="30">
        <f>IFERROR(__xludf.DUMMYFUNCTION("""COMPUTED_VALUE"""),344.03703703703695)</f>
        <v>344.037037</v>
      </c>
      <c r="P302" s="30">
        <f>IFERROR(__xludf.DUMMYFUNCTION("""COMPUTED_VALUE"""),0.6913580246913581)</f>
        <v>0.6913580247</v>
      </c>
      <c r="Q302" s="30">
        <f>IFERROR(__xludf.DUMMYFUNCTION("""COMPUTED_VALUE"""),0.48148148148148157)</f>
        <v>0.4814814815</v>
      </c>
      <c r="R302" s="30">
        <f>IFERROR(__xludf.DUMMYFUNCTION("""COMPUTED_VALUE"""),1.54320987654321)</f>
        <v>1.543209877</v>
      </c>
      <c r="S302" s="30">
        <f>IFERROR(__xludf.DUMMYFUNCTION("""COMPUTED_VALUE"""),2.432098765432099)</f>
        <v>2.432098765</v>
      </c>
      <c r="T302" s="30">
        <f>IFERROR(__xludf.DUMMYFUNCTION("""COMPUTED_VALUE"""),348.94335113043604)</f>
        <v>348.9433511</v>
      </c>
      <c r="U302" s="30">
        <f>IFERROR(__xludf.DUMMYFUNCTION("""COMPUTED_VALUE"""),0.730202381645078)</f>
        <v>0.7302023816</v>
      </c>
      <c r="V302" s="30">
        <f>IFERROR(__xludf.DUMMYFUNCTION("""COMPUTED_VALUE"""),0.5242653203074723)</f>
        <v>0.5242653203</v>
      </c>
      <c r="W302" s="30">
        <f>IFERROR(__xludf.DUMMYFUNCTION("""COMPUTED_VALUE"""),1.4600322985397252)</f>
        <v>1.460032299</v>
      </c>
      <c r="X302" s="30">
        <f>IFERROR(__xludf.DUMMYFUNCTION("""COMPUTED_VALUE"""),2.5698535333418797)</f>
        <v>2.569853533</v>
      </c>
      <c r="Y302" s="30">
        <f>IFERROR(__xludf.DUMMYFUNCTION("""COMPUTED_VALUE"""),351.54984958115415)</f>
        <v>351.5498496</v>
      </c>
      <c r="Z302" s="30">
        <f>IFERROR(__xludf.DUMMYFUNCTION("""COMPUTED_VALUE"""),0.7946385901615926)</f>
        <v>0.7946385902</v>
      </c>
      <c r="AA302" s="30">
        <f>IFERROR(__xludf.DUMMYFUNCTION("""COMPUTED_VALUE"""),0.5672782854657096)</f>
        <v>0.5672782855</v>
      </c>
      <c r="AB302" s="30">
        <f>IFERROR(__xludf.DUMMYFUNCTION("""COMPUTED_VALUE"""),1.3457174780556318)</f>
        <v>1.345717478</v>
      </c>
      <c r="AC302" s="30">
        <f>IFERROR(__xludf.DUMMYFUNCTION("""COMPUTED_VALUE"""),2.6683064987811465)</f>
        <v>2.668306499</v>
      </c>
      <c r="AD302" s="30">
        <f>IFERROR(__xludf.DUMMYFUNCTION("""COMPUTED_VALUE"""),0.9684101553451353)</f>
        <v>0.9684101553</v>
      </c>
      <c r="AE302" s="30">
        <f>IFERROR(__xludf.DUMMYFUNCTION("""COMPUTED_VALUE"""),1.2118250672511903)</f>
        <v>1.211825067</v>
      </c>
      <c r="AF302" s="30">
        <f>IFERROR(__xludf.DUMMYFUNCTION("""COMPUTED_VALUE"""),0.5223120713197237)</f>
        <v>0.5223120713</v>
      </c>
      <c r="AG302" s="30">
        <f>IFERROR(__xludf.DUMMYFUNCTION("""COMPUTED_VALUE"""),1.0183195155868514)</f>
        <v>1.018319516</v>
      </c>
      <c r="AH302" s="30">
        <f>IFERROR(__xludf.DUMMYFUNCTION("""COMPUTED_VALUE"""),1.054906854254034)</f>
        <v>1.054906854</v>
      </c>
      <c r="AI302" s="30">
        <f>IFERROR(__xludf.DUMMYFUNCTION("""COMPUTED_VALUE"""),0.9859395111627587)</f>
        <v>0.9859395112</v>
      </c>
      <c r="AJ302" s="30">
        <f>IFERROR(__xludf.DUMMYFUNCTION("""COMPUTED_VALUE"""),0.9468033001122138)</f>
        <v>0.9468033001</v>
      </c>
      <c r="AK302" s="30">
        <f>IFERROR(__xludf.DUMMYFUNCTION("""COMPUTED_VALUE"""),0.9183927733367929)</f>
        <v>0.9183927733</v>
      </c>
      <c r="AL302" s="30">
        <f>IFERROR(__xludf.DUMMYFUNCTION("""COMPUTED_VALUE"""),1.0569696835382862)</f>
        <v>1.056969684</v>
      </c>
      <c r="AM302" s="30">
        <f>IFERROR(__xludf.DUMMYFUNCTION("""COMPUTED_VALUE"""),0.9463958680436382)</f>
        <v>0.946395868</v>
      </c>
      <c r="AN302" s="30">
        <f>IFERROR(__xludf.DUMMYFUNCTION("""COMPUTED_VALUE"""),0.9860029796815912)</f>
        <v>0.9860029797</v>
      </c>
      <c r="AO302" s="30">
        <f>IFERROR(__xludf.DUMMYFUNCTION("""COMPUTED_VALUE"""),1.2765520980398253)</f>
        <v>1.276552098</v>
      </c>
      <c r="AP302" s="30">
        <f>IFERROR(__xludf.DUMMYFUNCTION("""COMPUTED_VALUE"""),0.5494848362370958)</f>
        <v>0.5494848362</v>
      </c>
      <c r="AQ302" s="30">
        <f>IFERROR(__xludf.DUMMYFUNCTION("""COMPUTED_VALUE"""),1.0146054534746982)</f>
        <v>1.014605453</v>
      </c>
      <c r="AR302" s="30">
        <f>IFERROR(__xludf.DUMMYFUNCTION("""COMPUTED_VALUE"""),1.099244310953732)</f>
        <v>1.099244311</v>
      </c>
      <c r="AS302" s="30">
        <f>IFERROR(__xludf.DUMMYFUNCTION("""COMPUTED_VALUE"""),66.0)</f>
        <v>66</v>
      </c>
      <c r="AT302" s="30">
        <f>IFERROR(__xludf.DUMMYFUNCTION("""COMPUTED_VALUE"""),0.5629877595253138)</f>
        <v>0.5629877595</v>
      </c>
      <c r="AU302" s="30">
        <f>IFERROR(__xludf.DUMMYFUNCTION("""COMPUTED_VALUE"""),2.414045661357668)</f>
        <v>2.414045661</v>
      </c>
      <c r="AV302" s="32">
        <f>IFERROR(__xludf.DUMMYFUNCTION("""COMPUTED_VALUE"""),51.366514432123495)</f>
        <v>51.36651443</v>
      </c>
      <c r="AW302" s="32">
        <f>IFERROR(__xludf.DUMMYFUNCTION("""COMPUTED_VALUE"""),2.0911558307123466)</f>
        <v>2.091155831</v>
      </c>
      <c r="AX302" s="32">
        <f>IFERROR(__xludf.DUMMYFUNCTION("""COMPUTED_VALUE"""),44.383578537393646)</f>
        <v>44.38357854</v>
      </c>
      <c r="AY302" s="32">
        <f>IFERROR(__xludf.DUMMYFUNCTION("""COMPUTED_VALUE"""),-2.4323614149120107)</f>
        <v>-2.432361415</v>
      </c>
      <c r="AZ302" s="30">
        <f>IFERROR(__xludf.DUMMYFUNCTION("""COMPUTED_VALUE"""),4.523517245624357)</f>
        <v>4.523517246</v>
      </c>
      <c r="BA302" s="30">
        <f>IFERROR(__xludf.DUMMYFUNCTION("""COMPUTED_VALUE"""),1200.0)</f>
        <v>1200</v>
      </c>
    </row>
    <row r="303">
      <c r="A303" s="71" t="str">
        <f>IFERROR(__xludf.DUMMYFUNCTION("""COMPUTED_VALUE"""),"Veteran")</f>
        <v>Veteran</v>
      </c>
      <c r="B303" s="71" t="str">
        <f>IFERROR(__xludf.DUMMYFUNCTION("""COMPUTED_VALUE"""),"RSC006290")</f>
        <v>RSC006290</v>
      </c>
      <c r="C303" s="30" t="str">
        <f>IFERROR(__xludf.DUMMYFUNCTION("""COMPUTED_VALUE"""),"Dirt D Dan")</f>
        <v>Dirt D Dan</v>
      </c>
      <c r="D303" s="30" t="str">
        <f>IFERROR(__xludf.DUMMYFUNCTION("""COMPUTED_VALUE"""),"Blacksmiths")</f>
        <v>Blacksmiths</v>
      </c>
      <c r="E303" s="30">
        <f>IFERROR(__xludf.DUMMYFUNCTION("""COMPUTED_VALUE"""),36.0)</f>
        <v>36</v>
      </c>
      <c r="F303" s="30">
        <f>IFERROR(__xludf.DUMMYFUNCTION("""COMPUTED_VALUE"""),20.0)</f>
        <v>20</v>
      </c>
      <c r="G303" s="42">
        <f>IFERROR(__xludf.DUMMYFUNCTION("""COMPUTED_VALUE"""),16.0)</f>
        <v>16</v>
      </c>
      <c r="H303" s="42">
        <f>IFERROR(__xludf.DUMMYFUNCTION("""COMPUTED_VALUE"""),0.5555555555555556)</f>
        <v>0.5555555556</v>
      </c>
      <c r="I303" s="42">
        <f>IFERROR(__xludf.DUMMYFUNCTION("""COMPUTED_VALUE"""),0.2777777777777778)</f>
        <v>0.2777777778</v>
      </c>
      <c r="J303" s="30">
        <f>IFERROR(__xludf.DUMMYFUNCTION("""COMPUTED_VALUE"""),339.5)</f>
        <v>339.5</v>
      </c>
      <c r="K303" s="30">
        <f>IFERROR(__xludf.DUMMYFUNCTION("""COMPUTED_VALUE"""),0.6944444444444444)</f>
        <v>0.6944444444</v>
      </c>
      <c r="L303" s="30">
        <f>IFERROR(__xludf.DUMMYFUNCTION("""COMPUTED_VALUE"""),0.6388888888888888)</f>
        <v>0.6388888889</v>
      </c>
      <c r="M303" s="30">
        <f>IFERROR(__xludf.DUMMYFUNCTION("""COMPUTED_VALUE"""),1.1388888888888888)</f>
        <v>1.138888889</v>
      </c>
      <c r="N303" s="30">
        <f>IFERROR(__xludf.DUMMYFUNCTION("""COMPUTED_VALUE"""),2.5)</f>
        <v>2.5</v>
      </c>
      <c r="O303" s="30">
        <f>IFERROR(__xludf.DUMMYFUNCTION("""COMPUTED_VALUE"""),364.2222222222222)</f>
        <v>364.2222222</v>
      </c>
      <c r="P303" s="30">
        <f>IFERROR(__xludf.DUMMYFUNCTION("""COMPUTED_VALUE"""),0.7685185185185186)</f>
        <v>0.7685185185</v>
      </c>
      <c r="Q303" s="30">
        <f>IFERROR(__xludf.DUMMYFUNCTION("""COMPUTED_VALUE"""),0.6296296296296298)</f>
        <v>0.6296296296</v>
      </c>
      <c r="R303" s="30">
        <f>IFERROR(__xludf.DUMMYFUNCTION("""COMPUTED_VALUE"""),1.5185185185185184)</f>
        <v>1.518518519</v>
      </c>
      <c r="S303" s="30">
        <f>IFERROR(__xludf.DUMMYFUNCTION("""COMPUTED_VALUE"""),2.407407407407407)</f>
        <v>2.407407407</v>
      </c>
      <c r="T303" s="30">
        <f>IFERROR(__xludf.DUMMYFUNCTION("""COMPUTED_VALUE"""),352.51101807503505)</f>
        <v>352.5110181</v>
      </c>
      <c r="U303" s="30">
        <f>IFERROR(__xludf.DUMMYFUNCTION("""COMPUTED_VALUE"""),0.7776810414092754)</f>
        <v>0.7776810414</v>
      </c>
      <c r="V303" s="30">
        <f>IFERROR(__xludf.DUMMYFUNCTION("""COMPUTED_VALUE"""),0.574552214216324)</f>
        <v>0.5745522142</v>
      </c>
      <c r="W303" s="30">
        <f>IFERROR(__xludf.DUMMYFUNCTION("""COMPUTED_VALUE"""),1.3898581116329183)</f>
        <v>1.389858112</v>
      </c>
      <c r="X303" s="30">
        <f>IFERROR(__xludf.DUMMYFUNCTION("""COMPUTED_VALUE"""),2.6243962417591096)</f>
        <v>2.624396242</v>
      </c>
      <c r="Y303" s="30">
        <f>IFERROR(__xludf.DUMMYFUNCTION("""COMPUTED_VALUE"""),342.8828393728998)</f>
        <v>342.8828394</v>
      </c>
      <c r="Z303" s="30">
        <f>IFERROR(__xludf.DUMMYFUNCTION("""COMPUTED_VALUE"""),0.7486856502540923)</f>
        <v>0.7486856503</v>
      </c>
      <c r="AA303" s="30">
        <f>IFERROR(__xludf.DUMMYFUNCTION("""COMPUTED_VALUE"""),0.5262238232112881)</f>
        <v>0.5262238232</v>
      </c>
      <c r="AB303" s="30">
        <f>IFERROR(__xludf.DUMMYFUNCTION("""COMPUTED_VALUE"""),1.3526063554975445)</f>
        <v>1.352606355</v>
      </c>
      <c r="AC303" s="30">
        <f>IFERROR(__xludf.DUMMYFUNCTION("""COMPUTED_VALUE"""),2.5386195612759375)</f>
        <v>2.538619561</v>
      </c>
      <c r="AD303" s="30">
        <f>IFERROR(__xludf.DUMMYFUNCTION("""COMPUTED_VALUE"""),0.9901341245916923)</f>
        <v>0.9901341246</v>
      </c>
      <c r="AE303" s="30">
        <f>IFERROR(__xludf.DUMMYFUNCTION("""COMPUTED_VALUE"""),0.9275514285718722)</f>
        <v>0.9275514286</v>
      </c>
      <c r="AF303" s="30">
        <f>IFERROR(__xludf.DUMMYFUNCTION("""COMPUTED_VALUE"""),1.2141010359243347)</f>
        <v>1.214101036</v>
      </c>
      <c r="AG303" s="30">
        <f>IFERROR(__xludf.DUMMYFUNCTION("""COMPUTED_VALUE"""),0.8419958136822139)</f>
        <v>0.8419958137</v>
      </c>
      <c r="AH303" s="30">
        <f>IFERROR(__xludf.DUMMYFUNCTION("""COMPUTED_VALUE"""),0.9847871804562449)</f>
        <v>0.9847871805</v>
      </c>
      <c r="AI303" s="30">
        <f>IFERROR(__xludf.DUMMYFUNCTION("""COMPUTED_VALUE"""),1.0332222357506404)</f>
        <v>1.033222236</v>
      </c>
      <c r="AJ303" s="30">
        <f>IFERROR(__xludf.DUMMYFUNCTION("""COMPUTED_VALUE"""),0.9882181480544351)</f>
        <v>0.9882181481</v>
      </c>
      <c r="AK303" s="30">
        <f>IFERROR(__xludf.DUMMYFUNCTION("""COMPUTED_VALUE"""),1.095861462284033)</f>
        <v>1.095861462</v>
      </c>
      <c r="AL303" s="30">
        <f>IFERROR(__xludf.DUMMYFUNCTION("""COMPUTED_VALUE"""),1.092570893250707)</f>
        <v>1.092570893</v>
      </c>
      <c r="AM303" s="30">
        <f>IFERROR(__xludf.DUMMYFUNCTION("""COMPUTED_VALUE"""),0.9173185699251509)</f>
        <v>0.9173185699</v>
      </c>
      <c r="AN303" s="30">
        <f>IFERROR(__xludf.DUMMYFUNCTION("""COMPUTED_VALUE"""),0.9832676580995764)</f>
        <v>0.9832676581</v>
      </c>
      <c r="AO303" s="30">
        <f>IFERROR(__xludf.DUMMYFUNCTION("""COMPUTED_VALUE"""),0.9205904553171818)</f>
        <v>0.9205904553</v>
      </c>
      <c r="AP303" s="30">
        <f>IFERROR(__xludf.DUMMYFUNCTION("""COMPUTED_VALUE"""),1.1848266781362378)</f>
        <v>1.184826678</v>
      </c>
      <c r="AQ303" s="30">
        <f>IFERROR(__xludf.DUMMYFUNCTION("""COMPUTED_VALUE"""),0.8432193971445127)</f>
        <v>0.8432193971</v>
      </c>
      <c r="AR303" s="30">
        <f>IFERROR(__xludf.DUMMYFUNCTION("""COMPUTED_VALUE"""),0.9763025130181172)</f>
        <v>0.976302513</v>
      </c>
      <c r="AS303" s="30">
        <f>IFERROR(__xludf.DUMMYFUNCTION("""COMPUTED_VALUE"""),94.0)</f>
        <v>94</v>
      </c>
      <c r="AT303" s="30">
        <f>IFERROR(__xludf.DUMMYFUNCTION("""COMPUTED_VALUE"""),0.5489850662111027)</f>
        <v>0.5489850662</v>
      </c>
      <c r="AU303" s="30">
        <f>IFERROR(__xludf.DUMMYFUNCTION("""COMPUTED_VALUE"""),2.523666414829529)</f>
        <v>2.523666415</v>
      </c>
      <c r="AV303" s="32">
        <f>IFERROR(__xludf.DUMMYFUNCTION("""COMPUTED_VALUE"""),54.76213699021753)</f>
        <v>54.76213699</v>
      </c>
      <c r="AW303" s="32">
        <f>IFERROR(__xludf.DUMMYFUNCTION("""COMPUTED_VALUE"""),2.3559103983310927)</f>
        <v>2.355910398</v>
      </c>
      <c r="AX303" s="32">
        <f>IFERROR(__xludf.DUMMYFUNCTION("""COMPUTED_VALUE"""),48.30064672797672)</f>
        <v>48.30064673</v>
      </c>
      <c r="AY303" s="32">
        <f>IFERROR(__xludf.DUMMYFUNCTION("""COMPUTED_VALUE"""),-2.114598046052272)</f>
        <v>-2.114598046</v>
      </c>
      <c r="AZ303" s="30">
        <f>IFERROR(__xludf.DUMMYFUNCTION("""COMPUTED_VALUE"""),4.4705084443833645)</f>
        <v>4.470508444</v>
      </c>
      <c r="BA303" s="30">
        <f>IFERROR(__xludf.DUMMYFUNCTION("""COMPUTED_VALUE"""),1200.0)</f>
        <v>1200</v>
      </c>
    </row>
    <row r="304">
      <c r="A304" s="71" t="str">
        <f>IFERROR(__xludf.DUMMYFUNCTION("""COMPUTED_VALUE"""),"Veteran")</f>
        <v>Veteran</v>
      </c>
      <c r="B304" s="71" t="str">
        <f>IFERROR(__xludf.DUMMYFUNCTION("""COMPUTED_VALUE"""),"RSC004220")</f>
        <v>RSC004220</v>
      </c>
      <c r="C304" s="30" t="str">
        <f>IFERROR(__xludf.DUMMYFUNCTION("""COMPUTED_VALUE"""),"Logixaal")</f>
        <v>Logixaal</v>
      </c>
      <c r="D304" s="30" t="str">
        <f>IFERROR(__xludf.DUMMYFUNCTION("""COMPUTED_VALUE"""),"Typhoons")</f>
        <v>Typhoons</v>
      </c>
      <c r="E304" s="30">
        <f>IFERROR(__xludf.DUMMYFUNCTION("""COMPUTED_VALUE"""),23.0)</f>
        <v>23</v>
      </c>
      <c r="F304" s="30">
        <f>IFERROR(__xludf.DUMMYFUNCTION("""COMPUTED_VALUE"""),14.0)</f>
        <v>14</v>
      </c>
      <c r="G304" s="42">
        <f>IFERROR(__xludf.DUMMYFUNCTION("""COMPUTED_VALUE"""),9.0)</f>
        <v>9</v>
      </c>
      <c r="H304" s="42">
        <f>IFERROR(__xludf.DUMMYFUNCTION("""COMPUTED_VALUE"""),0.6086956521739131)</f>
        <v>0.6086956522</v>
      </c>
      <c r="I304" s="42">
        <f>IFERROR(__xludf.DUMMYFUNCTION("""COMPUTED_VALUE"""),0.33999999999999997)</f>
        <v>0.34</v>
      </c>
      <c r="J304" s="30">
        <f>IFERROR(__xludf.DUMMYFUNCTION("""COMPUTED_VALUE"""),313.4782608695652)</f>
        <v>313.4782609</v>
      </c>
      <c r="K304" s="30">
        <f>IFERROR(__xludf.DUMMYFUNCTION("""COMPUTED_VALUE"""),0.7391304347826086)</f>
        <v>0.7391304348</v>
      </c>
      <c r="L304" s="30">
        <f>IFERROR(__xludf.DUMMYFUNCTION("""COMPUTED_VALUE"""),0.6086956521739131)</f>
        <v>0.6086956522</v>
      </c>
      <c r="M304" s="30">
        <f>IFERROR(__xludf.DUMMYFUNCTION("""COMPUTED_VALUE"""),1.0)</f>
        <v>1</v>
      </c>
      <c r="N304" s="30">
        <f>IFERROR(__xludf.DUMMYFUNCTION("""COMPUTED_VALUE"""),2.1739130434782608)</f>
        <v>2.173913043</v>
      </c>
      <c r="O304" s="30">
        <f>IFERROR(__xludf.DUMMYFUNCTION("""COMPUTED_VALUE"""),327.9130434782609)</f>
        <v>327.9130435</v>
      </c>
      <c r="P304" s="30">
        <f>IFERROR(__xludf.DUMMYFUNCTION("""COMPUTED_VALUE"""),0.6521739130434783)</f>
        <v>0.652173913</v>
      </c>
      <c r="Q304" s="30">
        <f>IFERROR(__xludf.DUMMYFUNCTION("""COMPUTED_VALUE"""),0.4927536231884058)</f>
        <v>0.4927536232</v>
      </c>
      <c r="R304" s="30">
        <f>IFERROR(__xludf.DUMMYFUNCTION("""COMPUTED_VALUE"""),1.333333333333333)</f>
        <v>1.333333333</v>
      </c>
      <c r="S304" s="30">
        <f>IFERROR(__xludf.DUMMYFUNCTION("""COMPUTED_VALUE"""),2.2028985507246377)</f>
        <v>2.202898551</v>
      </c>
      <c r="T304" s="30">
        <f>IFERROR(__xludf.DUMMYFUNCTION("""COMPUTED_VALUE"""),348.5343110392347)</f>
        <v>348.534311</v>
      </c>
      <c r="U304" s="30">
        <f>IFERROR(__xludf.DUMMYFUNCTION("""COMPUTED_VALUE"""),0.7279636021808108)</f>
        <v>0.7279636022</v>
      </c>
      <c r="V304" s="30">
        <f>IFERROR(__xludf.DUMMYFUNCTION("""COMPUTED_VALUE"""),0.546753193762371)</f>
        <v>0.5467531938</v>
      </c>
      <c r="W304" s="30">
        <f>IFERROR(__xludf.DUMMYFUNCTION("""COMPUTED_VALUE"""),1.384092216521767)</f>
        <v>1.384092217</v>
      </c>
      <c r="X304" s="30">
        <f>IFERROR(__xludf.DUMMYFUNCTION("""COMPUTED_VALUE"""),2.464833613403662)</f>
        <v>2.464833613</v>
      </c>
      <c r="Y304" s="30">
        <f>IFERROR(__xludf.DUMMYFUNCTION("""COMPUTED_VALUE"""),347.28611160308344)</f>
        <v>347.2861116</v>
      </c>
      <c r="Z304" s="30">
        <f>IFERROR(__xludf.DUMMYFUNCTION("""COMPUTED_VALUE"""),0.7380852122426191)</f>
        <v>0.7380852122</v>
      </c>
      <c r="AA304" s="30">
        <f>IFERROR(__xludf.DUMMYFUNCTION("""COMPUTED_VALUE"""),0.5550409451044644)</f>
        <v>0.5550409451</v>
      </c>
      <c r="AB304" s="30">
        <f>IFERROR(__xludf.DUMMYFUNCTION("""COMPUTED_VALUE"""),1.329434953061826)</f>
        <v>1.329434953</v>
      </c>
      <c r="AC304" s="30">
        <f>IFERROR(__xludf.DUMMYFUNCTION("""COMPUTED_VALUE"""),2.6062909220511785)</f>
        <v>2.606290922</v>
      </c>
      <c r="AD304" s="30">
        <f>IFERROR(__xludf.DUMMYFUNCTION("""COMPUTED_VALUE"""),0.9026513021857967)</f>
        <v>0.9026513022</v>
      </c>
      <c r="AE304" s="30">
        <f>IFERROR(__xludf.DUMMYFUNCTION("""COMPUTED_VALUE"""),1.001416127193246)</f>
        <v>1.001416127</v>
      </c>
      <c r="AF304" s="30">
        <f>IFERROR(__xludf.DUMMYFUNCTION("""COMPUTED_VALUE"""),1.0966680161935625)</f>
        <v>1.096668016</v>
      </c>
      <c r="AG304" s="30">
        <f>IFERROR(__xludf.DUMMYFUNCTION("""COMPUTED_VALUE"""),0.7521992690931563)</f>
        <v>0.7521992691</v>
      </c>
      <c r="AH304" s="30">
        <f>IFERROR(__xludf.DUMMYFUNCTION("""COMPUTED_VALUE"""),0.8341022197811164)</f>
        <v>0.8341022198</v>
      </c>
      <c r="AI304" s="30">
        <f>IFERROR(__xludf.DUMMYFUNCTION("""COMPUTED_VALUE"""),0.9408343256091867)</f>
        <v>0.9408343256</v>
      </c>
      <c r="AJ304" s="30">
        <f>IFERROR(__xludf.DUMMYFUNCTION("""COMPUTED_VALUE"""),0.8958880788678388)</f>
        <v>0.8958880789</v>
      </c>
      <c r="AK304" s="30">
        <f>IFERROR(__xludf.DUMMYFUNCTION("""COMPUTED_VALUE"""),0.9012359302332044)</f>
        <v>0.9012359302</v>
      </c>
      <c r="AL304" s="30">
        <f>IFERROR(__xludf.DUMMYFUNCTION("""COMPUTED_VALUE"""),0.9633269499080116)</f>
        <v>0.9633269499</v>
      </c>
      <c r="AM304" s="30">
        <f>IFERROR(__xludf.DUMMYFUNCTION("""COMPUTED_VALUE"""),0.8937311381771846)</f>
        <v>0.8937311382</v>
      </c>
      <c r="AN304" s="30">
        <f>IFERROR(__xludf.DUMMYFUNCTION("""COMPUTED_VALUE"""),0.9079029025930646)</f>
        <v>0.9079029026</v>
      </c>
      <c r="AO304" s="30">
        <f>IFERROR(__xludf.DUMMYFUNCTION("""COMPUTED_VALUE"""),0.9798284498332438)</f>
        <v>0.9798284498</v>
      </c>
      <c r="AP304" s="30">
        <f>IFERROR(__xludf.DUMMYFUNCTION("""COMPUTED_VALUE"""),1.128832978791425)</f>
        <v>1.128832979</v>
      </c>
      <c r="AQ304" s="30">
        <f>IFERROR(__xludf.DUMMYFUNCTION("""COMPUTED_VALUE"""),0.7403877633464013)</f>
        <v>0.7403877633</v>
      </c>
      <c r="AR304" s="30">
        <f>IFERROR(__xludf.DUMMYFUNCTION("""COMPUTED_VALUE"""),0.8489587069722758)</f>
        <v>0.848958707</v>
      </c>
      <c r="AS304" s="30">
        <f>IFERROR(__xludf.DUMMYFUNCTION("""COMPUTED_VALUE"""),49.0)</f>
        <v>49</v>
      </c>
      <c r="AT304" s="30">
        <f>IFERROR(__xludf.DUMMYFUNCTION("""COMPUTED_VALUE"""),0.531845495444913)</f>
        <v>0.5318454954</v>
      </c>
      <c r="AU304" s="30">
        <f>IFERROR(__xludf.DUMMYFUNCTION("""COMPUTED_VALUE"""),2.469311537334154)</f>
        <v>2.469311537</v>
      </c>
      <c r="AV304" s="32">
        <f>IFERROR(__xludf.DUMMYFUNCTION("""COMPUTED_VALUE"""),53.07843529760773)</f>
        <v>53.0784353</v>
      </c>
      <c r="AW304" s="32">
        <f>IFERROR(__xludf.DUMMYFUNCTION("""COMPUTED_VALUE"""),2.2172991128832593)</f>
        <v>2.217299113</v>
      </c>
      <c r="AX304" s="32">
        <f>IFERROR(__xludf.DUMMYFUNCTION("""COMPUTED_VALUE"""),46.84111404551002)</f>
        <v>46.84111405</v>
      </c>
      <c r="AY304" s="32">
        <f>IFERROR(__xludf.DUMMYFUNCTION("""COMPUTED_VALUE"""),-2.2235796569724404)</f>
        <v>-2.223579657</v>
      </c>
      <c r="AZ304" s="30">
        <f>IFERROR(__xludf.DUMMYFUNCTION("""COMPUTED_VALUE"""),4.4408787698557)</f>
        <v>4.44087877</v>
      </c>
      <c r="BA304" s="30">
        <f>IFERROR(__xludf.DUMMYFUNCTION("""COMPUTED_VALUE"""),1200.0)</f>
        <v>1200</v>
      </c>
    </row>
    <row r="305">
      <c r="A305" s="71" t="str">
        <f>IFERROR(__xludf.DUMMYFUNCTION("""COMPUTED_VALUE"""),"Veteran")</f>
        <v>Veteran</v>
      </c>
      <c r="B305" s="71" t="str">
        <f>IFERROR(__xludf.DUMMYFUNCTION("""COMPUTED_VALUE"""),"RSC006378")</f>
        <v>RSC006378</v>
      </c>
      <c r="C305" s="30" t="str">
        <f>IFERROR(__xludf.DUMMYFUNCTION("""COMPUTED_VALUE"""),"depressed vibez")</f>
        <v>depressed vibez</v>
      </c>
      <c r="D305" s="30" t="str">
        <f>IFERROR(__xludf.DUMMYFUNCTION("""COMPUTED_VALUE"""),"Penguins")</f>
        <v>Penguins</v>
      </c>
      <c r="E305" s="30">
        <f>IFERROR(__xludf.DUMMYFUNCTION("""COMPUTED_VALUE"""),23.0)</f>
        <v>23</v>
      </c>
      <c r="F305" s="30">
        <f>IFERROR(__xludf.DUMMYFUNCTION("""COMPUTED_VALUE"""),15.0)</f>
        <v>15</v>
      </c>
      <c r="G305" s="42">
        <f>IFERROR(__xludf.DUMMYFUNCTION("""COMPUTED_VALUE"""),8.0)</f>
        <v>8</v>
      </c>
      <c r="H305" s="42">
        <f>IFERROR(__xludf.DUMMYFUNCTION("""COMPUTED_VALUE"""),0.6521739130434783)</f>
        <v>0.652173913</v>
      </c>
      <c r="I305" s="42">
        <f>IFERROR(__xludf.DUMMYFUNCTION("""COMPUTED_VALUE"""),0.323943661971831)</f>
        <v>0.323943662</v>
      </c>
      <c r="J305" s="30">
        <f>IFERROR(__xludf.DUMMYFUNCTION("""COMPUTED_VALUE"""),368.30434782608694)</f>
        <v>368.3043478</v>
      </c>
      <c r="K305" s="30">
        <f>IFERROR(__xludf.DUMMYFUNCTION("""COMPUTED_VALUE"""),1.0)</f>
        <v>1</v>
      </c>
      <c r="L305" s="30">
        <f>IFERROR(__xludf.DUMMYFUNCTION("""COMPUTED_VALUE"""),0.6521739130434783)</f>
        <v>0.652173913</v>
      </c>
      <c r="M305" s="30">
        <f>IFERROR(__xludf.DUMMYFUNCTION("""COMPUTED_VALUE"""),1.173913043478261)</f>
        <v>1.173913043</v>
      </c>
      <c r="N305" s="30">
        <f>IFERROR(__xludf.DUMMYFUNCTION("""COMPUTED_VALUE"""),3.0869565217391304)</f>
        <v>3.086956522</v>
      </c>
      <c r="O305" s="30">
        <f>IFERROR(__xludf.DUMMYFUNCTION("""COMPUTED_VALUE"""),322.6811594202898)</f>
        <v>322.6811594</v>
      </c>
      <c r="P305" s="30">
        <f>IFERROR(__xludf.DUMMYFUNCTION("""COMPUTED_VALUE"""),0.5942028985507247)</f>
        <v>0.5942028986</v>
      </c>
      <c r="Q305" s="30">
        <f>IFERROR(__xludf.DUMMYFUNCTION("""COMPUTED_VALUE"""),0.40579710144927544)</f>
        <v>0.4057971014</v>
      </c>
      <c r="R305" s="30">
        <f>IFERROR(__xludf.DUMMYFUNCTION("""COMPUTED_VALUE"""),1.5362318840579712)</f>
        <v>1.536231884</v>
      </c>
      <c r="S305" s="30">
        <f>IFERROR(__xludf.DUMMYFUNCTION("""COMPUTED_VALUE"""),2.1884057971014492)</f>
        <v>2.188405797</v>
      </c>
      <c r="T305" s="30">
        <f>IFERROR(__xludf.DUMMYFUNCTION("""COMPUTED_VALUE"""),361.36617703053236)</f>
        <v>361.366177</v>
      </c>
      <c r="U305" s="30">
        <f>IFERROR(__xludf.DUMMYFUNCTION("""COMPUTED_VALUE"""),0.7983983486482235)</f>
        <v>0.7983983486</v>
      </c>
      <c r="V305" s="30">
        <f>IFERROR(__xludf.DUMMYFUNCTION("""COMPUTED_VALUE"""),0.5546871748802031)</f>
        <v>0.5546871749</v>
      </c>
      <c r="W305" s="30">
        <f>IFERROR(__xludf.DUMMYFUNCTION("""COMPUTED_VALUE"""),1.4465637462607726)</f>
        <v>1.446563746</v>
      </c>
      <c r="X305" s="30">
        <f>IFERROR(__xludf.DUMMYFUNCTION("""COMPUTED_VALUE"""),2.6662055190353535)</f>
        <v>2.666205519</v>
      </c>
      <c r="Y305" s="30">
        <f>IFERROR(__xludf.DUMMYFUNCTION("""COMPUTED_VALUE"""),351.58415836004133)</f>
        <v>351.5841584</v>
      </c>
      <c r="Z305" s="30">
        <f>IFERROR(__xludf.DUMMYFUNCTION("""COMPUTED_VALUE"""),0.7785409276944761)</f>
        <v>0.7785409277</v>
      </c>
      <c r="AA305" s="30">
        <f>IFERROR(__xludf.DUMMYFUNCTION("""COMPUTED_VALUE"""),0.5622647475949991)</f>
        <v>0.5622647476</v>
      </c>
      <c r="AB305" s="30">
        <f>IFERROR(__xludf.DUMMYFUNCTION("""COMPUTED_VALUE"""),1.3468586923130486)</f>
        <v>1.346858692</v>
      </c>
      <c r="AC305" s="30">
        <f>IFERROR(__xludf.DUMMYFUNCTION("""COMPUTED_VALUE"""),2.6952574613181817)</f>
        <v>2.695257461</v>
      </c>
      <c r="AD305" s="30">
        <f>IFERROR(__xludf.DUMMYFUNCTION("""COMPUTED_VALUE"""),1.0475567202573537)</f>
        <v>1.04755672</v>
      </c>
      <c r="AE305" s="30">
        <f>IFERROR(__xludf.DUMMYFUNCTION("""COMPUTED_VALUE"""),1.284453988772741)</f>
        <v>1.284453989</v>
      </c>
      <c r="AF305" s="30">
        <f>IFERROR(__xludf.DUMMYFUNCTION("""COMPUTED_VALUE"""),1.159905393025353)</f>
        <v>1.159905393</v>
      </c>
      <c r="AG305" s="30">
        <f>IFERROR(__xludf.DUMMYFUNCTION("""COMPUTED_VALUE"""),0.8715933231735122)</f>
        <v>0.8715933232</v>
      </c>
      <c r="AH305" s="30">
        <f>IFERROR(__xludf.DUMMYFUNCTION("""COMPUTED_VALUE"""),1.1453289958538426)</f>
        <v>1.145328996</v>
      </c>
      <c r="AI305" s="30">
        <f>IFERROR(__xludf.DUMMYFUNCTION("""COMPUTED_VALUE"""),0.892947873738128)</f>
        <v>0.8929478737</v>
      </c>
      <c r="AJ305" s="30">
        <f>IFERROR(__xludf.DUMMYFUNCTION("""COMPUTED_VALUE"""),0.7442436467419752)</f>
        <v>0.7442436467</v>
      </c>
      <c r="AK305" s="30">
        <f>IFERROR(__xludf.DUMMYFUNCTION("""COMPUTED_VALUE"""),0.7315783018363751)</f>
        <v>0.7315783018</v>
      </c>
      <c r="AL305" s="30">
        <f>IFERROR(__xludf.DUMMYFUNCTION("""COMPUTED_VALUE"""),1.0619869936800104)</f>
        <v>1.061986994</v>
      </c>
      <c r="AM305" s="30">
        <f>IFERROR(__xludf.DUMMYFUNCTION("""COMPUTED_VALUE"""),0.820794114136117)</f>
        <v>0.8207941141</v>
      </c>
      <c r="AN305" s="30">
        <f>IFERROR(__xludf.DUMMYFUNCTION("""COMPUTED_VALUE"""),1.066691468497344)</f>
        <v>1.066691468</v>
      </c>
      <c r="AO305" s="30">
        <f>IFERROR(__xludf.DUMMYFUNCTION("""COMPUTED_VALUE"""),1.3256502556567418)</f>
        <v>1.325650256</v>
      </c>
      <c r="AP305" s="30">
        <f>IFERROR(__xludf.DUMMYFUNCTION("""COMPUTED_VALUE"""),1.2094639058479555)</f>
        <v>1.209463906</v>
      </c>
      <c r="AQ305" s="30">
        <f>IFERROR(__xludf.DUMMYFUNCTION("""COMPUTED_VALUE"""),0.8691508526240365)</f>
        <v>0.8691508526</v>
      </c>
      <c r="AR305" s="30">
        <f>IFERROR(__xludf.DUMMYFUNCTION("""COMPUTED_VALUE"""),1.2055213639006317)</f>
        <v>1.205521364</v>
      </c>
      <c r="AS305" s="30">
        <f>IFERROR(__xludf.DUMMYFUNCTION("""COMPUTED_VALUE"""),59.0)</f>
        <v>59</v>
      </c>
      <c r="AT305" s="30">
        <f>IFERROR(__xludf.DUMMYFUNCTION("""COMPUTED_VALUE"""),0.6352804009219489)</f>
        <v>0.6352804009</v>
      </c>
      <c r="AU305" s="30">
        <f>IFERROR(__xludf.DUMMYFUNCTION("""COMPUTED_VALUE"""),3.3718798376377435)</f>
        <v>3.371879838</v>
      </c>
      <c r="AV305" s="32">
        <f>IFERROR(__xludf.DUMMYFUNCTION("""COMPUTED_VALUE"""),81.03647411475713)</f>
        <v>81.03647411</v>
      </c>
      <c r="AW305" s="32">
        <f>IFERROR(__xludf.DUMMYFUNCTION("""COMPUTED_VALUE"""),9.326781343971122)</f>
        <v>9.326781344</v>
      </c>
      <c r="AX305" s="32">
        <f>IFERROR(__xludf.DUMMYFUNCTION("""COMPUTED_VALUE"""),70.78259668523003)</f>
        <v>70.78259669</v>
      </c>
      <c r="AY305" s="32">
        <f>IFERROR(__xludf.DUMMYFUNCTION("""COMPUTED_VALUE"""),4.928512051281639)</f>
        <v>4.928512051</v>
      </c>
      <c r="AZ305" s="30">
        <f>IFERROR(__xludf.DUMMYFUNCTION("""COMPUTED_VALUE"""),4.398269292689483)</f>
        <v>4.398269293</v>
      </c>
      <c r="BA305" s="30">
        <f>IFERROR(__xludf.DUMMYFUNCTION("""COMPUTED_VALUE"""),1200.0)</f>
        <v>1200</v>
      </c>
    </row>
    <row r="306">
      <c r="A306" s="71" t="str">
        <f>IFERROR(__xludf.DUMMYFUNCTION("""COMPUTED_VALUE"""),"Veteran")</f>
        <v>Veteran</v>
      </c>
      <c r="B306" s="71" t="str">
        <f>IFERROR(__xludf.DUMMYFUNCTION("""COMPUTED_VALUE"""),"RSC007207")</f>
        <v>RSC007207</v>
      </c>
      <c r="C306" s="30" t="str">
        <f>IFERROR(__xludf.DUMMYFUNCTION("""COMPUTED_VALUE"""),".S")</f>
        <v>.S</v>
      </c>
      <c r="D306" s="30" t="str">
        <f>IFERROR(__xludf.DUMMYFUNCTION("""COMPUTED_VALUE"""),"Slots")</f>
        <v>Slots</v>
      </c>
      <c r="E306" s="30">
        <f>IFERROR(__xludf.DUMMYFUNCTION("""COMPUTED_VALUE"""),32.0)</f>
        <v>32</v>
      </c>
      <c r="F306" s="30">
        <f>IFERROR(__xludf.DUMMYFUNCTION("""COMPUTED_VALUE"""),14.0)</f>
        <v>14</v>
      </c>
      <c r="G306" s="42">
        <f>IFERROR(__xludf.DUMMYFUNCTION("""COMPUTED_VALUE"""),18.0)</f>
        <v>18</v>
      </c>
      <c r="H306" s="42">
        <f>IFERROR(__xludf.DUMMYFUNCTION("""COMPUTED_VALUE"""),0.4375)</f>
        <v>0.4375</v>
      </c>
      <c r="I306" s="42">
        <f>IFERROR(__xludf.DUMMYFUNCTION("""COMPUTED_VALUE"""),0.28125)</f>
        <v>0.28125</v>
      </c>
      <c r="J306" s="30">
        <f>IFERROR(__xludf.DUMMYFUNCTION("""COMPUTED_VALUE"""),374.71875)</f>
        <v>374.71875</v>
      </c>
      <c r="K306" s="30">
        <f>IFERROR(__xludf.DUMMYFUNCTION("""COMPUTED_VALUE"""),0.84375)</f>
        <v>0.84375</v>
      </c>
      <c r="L306" s="30">
        <f>IFERROR(__xludf.DUMMYFUNCTION("""COMPUTED_VALUE"""),0.53125)</f>
        <v>0.53125</v>
      </c>
      <c r="M306" s="30">
        <f>IFERROR(__xludf.DUMMYFUNCTION("""COMPUTED_VALUE"""),1.1875)</f>
        <v>1.1875</v>
      </c>
      <c r="N306" s="30">
        <f>IFERROR(__xludf.DUMMYFUNCTION("""COMPUTED_VALUE"""),3.0)</f>
        <v>3</v>
      </c>
      <c r="O306" s="30">
        <f>IFERROR(__xludf.DUMMYFUNCTION("""COMPUTED_VALUE"""),385.5833333333332)</f>
        <v>385.5833333</v>
      </c>
      <c r="P306" s="30">
        <f>IFERROR(__xludf.DUMMYFUNCTION("""COMPUTED_VALUE"""),0.9479166666666666)</f>
        <v>0.9479166667</v>
      </c>
      <c r="Q306" s="30">
        <f>IFERROR(__xludf.DUMMYFUNCTION("""COMPUTED_VALUE"""),0.71875)</f>
        <v>0.71875</v>
      </c>
      <c r="R306" s="30">
        <f>IFERROR(__xludf.DUMMYFUNCTION("""COMPUTED_VALUE"""),1.4062500000000004)</f>
        <v>1.40625</v>
      </c>
      <c r="S306" s="30">
        <f>IFERROR(__xludf.DUMMYFUNCTION("""COMPUTED_VALUE"""),3.0520833333333335)</f>
        <v>3.052083333</v>
      </c>
      <c r="T306" s="30">
        <f>IFERROR(__xludf.DUMMYFUNCTION("""COMPUTED_VALUE"""),358.2453916347847)</f>
        <v>358.2453916</v>
      </c>
      <c r="U306" s="30">
        <f>IFERROR(__xludf.DUMMYFUNCTION("""COMPUTED_VALUE"""),0.8080329650967151)</f>
        <v>0.8080329651</v>
      </c>
      <c r="V306" s="30">
        <f>IFERROR(__xludf.DUMMYFUNCTION("""COMPUTED_VALUE"""),0.6311934764005198)</f>
        <v>0.6311934764</v>
      </c>
      <c r="W306" s="30">
        <f>IFERROR(__xludf.DUMMYFUNCTION("""COMPUTED_VALUE"""),1.305365429815275)</f>
        <v>1.30536543</v>
      </c>
      <c r="X306" s="30">
        <f>IFERROR(__xludf.DUMMYFUNCTION("""COMPUTED_VALUE"""),2.673049458813611)</f>
        <v>2.673049459</v>
      </c>
      <c r="Y306" s="30">
        <f>IFERROR(__xludf.DUMMYFUNCTION("""COMPUTED_VALUE"""),357.16203137358184)</f>
        <v>357.1620314</v>
      </c>
      <c r="Z306" s="30">
        <f>IFERROR(__xludf.DUMMYFUNCTION("""COMPUTED_VALUE"""),0.8088162296907871)</f>
        <v>0.8088162297</v>
      </c>
      <c r="AA306" s="30">
        <f>IFERROR(__xludf.DUMMYFUNCTION("""COMPUTED_VALUE"""),0.601062517917757)</f>
        <v>0.6010625179</v>
      </c>
      <c r="AB306" s="30">
        <f>IFERROR(__xludf.DUMMYFUNCTION("""COMPUTED_VALUE"""),1.3243886954588437)</f>
        <v>1.324388695</v>
      </c>
      <c r="AC306" s="30">
        <f>IFERROR(__xludf.DUMMYFUNCTION("""COMPUTED_VALUE"""),2.6406342532570584)</f>
        <v>2.640634253</v>
      </c>
      <c r="AD306" s="30">
        <f>IFERROR(__xludf.DUMMYFUNCTION("""COMPUTED_VALUE"""),1.04915617306492)</f>
        <v>1.049156173</v>
      </c>
      <c r="AE306" s="30">
        <f>IFERROR(__xludf.DUMMYFUNCTION("""COMPUTED_VALUE"""),1.0431912330970017)</f>
        <v>1.043191233</v>
      </c>
      <c r="AF306" s="30">
        <f>IFERROR(__xludf.DUMMYFUNCTION("""COMPUTED_VALUE"""),0.883851486598089)</f>
        <v>0.8838514866</v>
      </c>
      <c r="AG306" s="30">
        <f>IFERROR(__xludf.DUMMYFUNCTION("""COMPUTED_VALUE"""),0.8966400906862032)</f>
        <v>0.8966400907</v>
      </c>
      <c r="AH306" s="30">
        <f>IFERROR(__xludf.DUMMYFUNCTION("""COMPUTED_VALUE"""),1.1360906934762685)</f>
        <v>1.136090693</v>
      </c>
      <c r="AI306" s="30">
        <f>IFERROR(__xludf.DUMMYFUNCTION("""COMPUTED_VALUE"""),1.0763106583836208)</f>
        <v>1.076310658</v>
      </c>
      <c r="AJ306" s="30">
        <f>IFERROR(__xludf.DUMMYFUNCTION("""COMPUTED_VALUE"""),1.17311633016508)</f>
        <v>1.17311633</v>
      </c>
      <c r="AK306" s="30">
        <f>IFERROR(__xludf.DUMMYFUNCTION("""COMPUTED_VALUE"""),1.1387158246609028)</f>
        <v>1.138715825</v>
      </c>
      <c r="AL306" s="30">
        <f>IFERROR(__xludf.DUMMYFUNCTION("""COMPUTED_VALUE"""),1.0772845426119502)</f>
        <v>1.077284543</v>
      </c>
      <c r="AM306" s="30">
        <f>IFERROR(__xludf.DUMMYFUNCTION("""COMPUTED_VALUE"""),1.1417983020366373)</f>
        <v>1.141798302</v>
      </c>
      <c r="AN306" s="30">
        <f>IFERROR(__xludf.DUMMYFUNCTION("""COMPUTED_VALUE"""),1.085269006652432)</f>
        <v>1.085269007</v>
      </c>
      <c r="AO306" s="30">
        <f>IFERROR(__xludf.DUMMYFUNCTION("""COMPUTED_VALUE"""),1.118517403210376)</f>
        <v>1.118517403</v>
      </c>
      <c r="AP306" s="30">
        <f>IFERROR(__xludf.DUMMYFUNCTION("""COMPUTED_VALUE"""),0.9852091399719803)</f>
        <v>0.98520914</v>
      </c>
      <c r="AQ306" s="30">
        <f>IFERROR(__xludf.DUMMYFUNCTION("""COMPUTED_VALUE"""),0.8792104689738516)</f>
        <v>0.879210469</v>
      </c>
      <c r="AR306" s="30">
        <f>IFERROR(__xludf.DUMMYFUNCTION("""COMPUTED_VALUE"""),1.1715630156217407)</f>
        <v>1.171563016</v>
      </c>
      <c r="AS306" s="30">
        <f>IFERROR(__xludf.DUMMYFUNCTION("""COMPUTED_VALUE"""),75.0)</f>
        <v>75</v>
      </c>
      <c r="AT306" s="30">
        <f>IFERROR(__xludf.DUMMYFUNCTION("""COMPUTED_VALUE"""),0.42307578709709054)</f>
        <v>0.4230757871</v>
      </c>
      <c r="AU306" s="30">
        <f>IFERROR(__xludf.DUMMYFUNCTION("""COMPUTED_VALUE"""),2.512576974215789)</f>
        <v>2.512576974</v>
      </c>
      <c r="AV306" s="32">
        <f>IFERROR(__xludf.DUMMYFUNCTION("""COMPUTED_VALUE"""),54.41862945617813)</f>
        <v>54.41862946</v>
      </c>
      <c r="AW306" s="32">
        <f>IFERROR(__xludf.DUMMYFUNCTION("""COMPUTED_VALUE"""),2.3263697848450033)</f>
        <v>2.326369785</v>
      </c>
      <c r="AX306" s="32">
        <f>IFERROR(__xludf.DUMMYFUNCTION("""COMPUTED_VALUE"""),49.213755056431545)</f>
        <v>49.21375506</v>
      </c>
      <c r="AY306" s="32">
        <f>IFERROR(__xludf.DUMMYFUNCTION("""COMPUTED_VALUE"""),-2.051469675718947)</f>
        <v>-2.051469676</v>
      </c>
      <c r="AZ306" s="30">
        <f>IFERROR(__xludf.DUMMYFUNCTION("""COMPUTED_VALUE"""),4.37783946056395)</f>
        <v>4.377839461</v>
      </c>
      <c r="BA306" s="30">
        <f>IFERROR(__xludf.DUMMYFUNCTION("""COMPUTED_VALUE"""),1200.0)</f>
        <v>1200</v>
      </c>
    </row>
    <row r="307">
      <c r="A307" s="71" t="str">
        <f>IFERROR(__xludf.DUMMYFUNCTION("""COMPUTED_VALUE"""),"Veteran")</f>
        <v>Veteran</v>
      </c>
      <c r="B307" s="71" t="str">
        <f>IFERROR(__xludf.DUMMYFUNCTION("""COMPUTED_VALUE"""),"RSC007855")</f>
        <v>RSC007855</v>
      </c>
      <c r="C307" s="30" t="str">
        <f>IFERROR(__xludf.DUMMYFUNCTION("""COMPUTED_VALUE"""),"Dub_Dill")</f>
        <v>Dub_Dill</v>
      </c>
      <c r="D307" s="30" t="str">
        <f>IFERROR(__xludf.DUMMYFUNCTION("""COMPUTED_VALUE"""),"Legati")</f>
        <v>Legati</v>
      </c>
      <c r="E307" s="30">
        <f>IFERROR(__xludf.DUMMYFUNCTION("""COMPUTED_VALUE"""),24.0)</f>
        <v>24</v>
      </c>
      <c r="F307" s="30">
        <f>IFERROR(__xludf.DUMMYFUNCTION("""COMPUTED_VALUE"""),17.0)</f>
        <v>17</v>
      </c>
      <c r="G307" s="42">
        <f>IFERROR(__xludf.DUMMYFUNCTION("""COMPUTED_VALUE"""),7.0)</f>
        <v>7</v>
      </c>
      <c r="H307" s="42">
        <f>IFERROR(__xludf.DUMMYFUNCTION("""COMPUTED_VALUE"""),0.7083333333333334)</f>
        <v>0.7083333333</v>
      </c>
      <c r="I307" s="42">
        <f>IFERROR(__xludf.DUMMYFUNCTION("""COMPUTED_VALUE"""),0.31343283582089554)</f>
        <v>0.3134328358</v>
      </c>
      <c r="J307" s="30">
        <f>IFERROR(__xludf.DUMMYFUNCTION("""COMPUTED_VALUE"""),346.75)</f>
        <v>346.75</v>
      </c>
      <c r="K307" s="30">
        <f>IFERROR(__xludf.DUMMYFUNCTION("""COMPUTED_VALUE"""),0.875)</f>
        <v>0.875</v>
      </c>
      <c r="L307" s="30">
        <f>IFERROR(__xludf.DUMMYFUNCTION("""COMPUTED_VALUE"""),0.9583333333333334)</f>
        <v>0.9583333333</v>
      </c>
      <c r="M307" s="30">
        <f>IFERROR(__xludf.DUMMYFUNCTION("""COMPUTED_VALUE"""),0.9166666666666666)</f>
        <v>0.9166666667</v>
      </c>
      <c r="N307" s="30">
        <f>IFERROR(__xludf.DUMMYFUNCTION("""COMPUTED_VALUE"""),2.7916666666666665)</f>
        <v>2.791666667</v>
      </c>
      <c r="O307" s="30">
        <f>IFERROR(__xludf.DUMMYFUNCTION("""COMPUTED_VALUE"""),357.66666666666674)</f>
        <v>357.6666667</v>
      </c>
      <c r="P307" s="30">
        <f>IFERROR(__xludf.DUMMYFUNCTION("""COMPUTED_VALUE"""),0.8333333333333335)</f>
        <v>0.8333333333</v>
      </c>
      <c r="Q307" s="30">
        <f>IFERROR(__xludf.DUMMYFUNCTION("""COMPUTED_VALUE"""),0.5833333333333334)</f>
        <v>0.5833333333</v>
      </c>
      <c r="R307" s="30">
        <f>IFERROR(__xludf.DUMMYFUNCTION("""COMPUTED_VALUE"""),1.4166666666666667)</f>
        <v>1.416666667</v>
      </c>
      <c r="S307" s="30">
        <f>IFERROR(__xludf.DUMMYFUNCTION("""COMPUTED_VALUE"""),2.555555555555555)</f>
        <v>2.555555556</v>
      </c>
      <c r="T307" s="30">
        <f>IFERROR(__xludf.DUMMYFUNCTION("""COMPUTED_VALUE"""),352.65215099724884)</f>
        <v>352.652151</v>
      </c>
      <c r="U307" s="30">
        <f>IFERROR(__xludf.DUMMYFUNCTION("""COMPUTED_VALUE"""),0.782569732863017)</f>
        <v>0.7825697329</v>
      </c>
      <c r="V307" s="30">
        <f>IFERROR(__xludf.DUMMYFUNCTION("""COMPUTED_VALUE"""),0.580899601535851)</f>
        <v>0.5808996015</v>
      </c>
      <c r="W307" s="30">
        <f>IFERROR(__xludf.DUMMYFUNCTION("""COMPUTED_VALUE"""),1.3451502352018674)</f>
        <v>1.345150235</v>
      </c>
      <c r="X307" s="30">
        <f>IFERROR(__xludf.DUMMYFUNCTION("""COMPUTED_VALUE"""),2.6151096087199877)</f>
        <v>2.615109609</v>
      </c>
      <c r="Y307" s="30">
        <f>IFERROR(__xludf.DUMMYFUNCTION("""COMPUTED_VALUE"""),363.99101887111846)</f>
        <v>363.9910189</v>
      </c>
      <c r="Z307" s="30">
        <f>IFERROR(__xludf.DUMMYFUNCTION("""COMPUTED_VALUE"""),0.8201467851904063)</f>
        <v>0.8201467852</v>
      </c>
      <c r="AA307" s="30">
        <f>IFERROR(__xludf.DUMMYFUNCTION("""COMPUTED_VALUE"""),0.6154101477233577)</f>
        <v>0.6154101477</v>
      </c>
      <c r="AB307" s="30">
        <f>IFERROR(__xludf.DUMMYFUNCTION("""COMPUTED_VALUE"""),1.3981784628589635)</f>
        <v>1.398178463</v>
      </c>
      <c r="AC307" s="30">
        <f>IFERROR(__xludf.DUMMYFUNCTION("""COMPUTED_VALUE"""),2.7056301554080933)</f>
        <v>2.705630155</v>
      </c>
      <c r="AD307" s="30">
        <f>IFERROR(__xludf.DUMMYFUNCTION("""COMPUTED_VALUE"""),0.9526333948442197)</f>
        <v>0.9526333948</v>
      </c>
      <c r="AE307" s="30">
        <f>IFERROR(__xludf.DUMMYFUNCTION("""COMPUTED_VALUE"""),1.0668821920662153)</f>
        <v>1.066882192</v>
      </c>
      <c r="AF307" s="30">
        <f>IFERROR(__xludf.DUMMYFUNCTION("""COMPUTED_VALUE"""),1.5572270572374902)</f>
        <v>1.557227057</v>
      </c>
      <c r="AG307" s="30">
        <f>IFERROR(__xludf.DUMMYFUNCTION("""COMPUTED_VALUE"""),0.6556149240006798)</f>
        <v>0.655614924</v>
      </c>
      <c r="AH307" s="30">
        <f>IFERROR(__xludf.DUMMYFUNCTION("""COMPUTED_VALUE"""),1.0317990657690597)</f>
        <v>1.031799066</v>
      </c>
      <c r="AI307" s="30">
        <f>IFERROR(__xludf.DUMMYFUNCTION("""COMPUTED_VALUE"""),1.0142194387734134)</f>
        <v>1.014219439</v>
      </c>
      <c r="AJ307" s="30">
        <f>IFERROR(__xludf.DUMMYFUNCTION("""COMPUTED_VALUE"""),1.0648678300968768)</f>
        <v>1.06486783</v>
      </c>
      <c r="AK307" s="30">
        <f>IFERROR(__xludf.DUMMYFUNCTION("""COMPUTED_VALUE"""),1.0041895910946537)</f>
        <v>1.004189591</v>
      </c>
      <c r="AL307" s="30">
        <f>IFERROR(__xludf.DUMMYFUNCTION("""COMPUTED_VALUE"""),1.053166129398228)</f>
        <v>1.053166129</v>
      </c>
      <c r="AM307" s="30">
        <f>IFERROR(__xludf.DUMMYFUNCTION("""COMPUTED_VALUE"""),0.977226938035082)</f>
        <v>0.977226938</v>
      </c>
      <c r="AN307" s="30">
        <f>IFERROR(__xludf.DUMMYFUNCTION("""COMPUTED_VALUE"""),1.0042652737732787)</f>
        <v>1.004265274</v>
      </c>
      <c r="AO307" s="30">
        <f>IFERROR(__xludf.DUMMYFUNCTION("""COMPUTED_VALUE"""),1.159943973699649)</f>
        <v>1.159943974</v>
      </c>
      <c r="AP307" s="30">
        <f>IFERROR(__xludf.DUMMYFUNCTION("""COMPUTED_VALUE"""),1.7772400172043568)</f>
        <v>1.777240017</v>
      </c>
      <c r="AQ307" s="30">
        <f>IFERROR(__xludf.DUMMYFUNCTION("""COMPUTED_VALUE"""),0.6786887830675346)</f>
        <v>0.6786887831</v>
      </c>
      <c r="AR307" s="30">
        <f>IFERROR(__xludf.DUMMYFUNCTION("""COMPUTED_VALUE"""),1.090204472870231)</f>
        <v>1.090204473</v>
      </c>
      <c r="AS307" s="30">
        <f>IFERROR(__xludf.DUMMYFUNCTION("""COMPUTED_VALUE"""),84.0)</f>
        <v>84</v>
      </c>
      <c r="AT307" s="30">
        <f>IFERROR(__xludf.DUMMYFUNCTION("""COMPUTED_VALUE"""),0.6370775556071656)</f>
        <v>0.6370775556</v>
      </c>
      <c r="AU307" s="30">
        <f>IFERROR(__xludf.DUMMYFUNCTION("""COMPUTED_VALUE"""),3.187297765222111)</f>
        <v>3.187297765</v>
      </c>
      <c r="AV307" s="32">
        <f>IFERROR(__xludf.DUMMYFUNCTION("""COMPUTED_VALUE"""),75.31884283542865)</f>
        <v>75.31884284</v>
      </c>
      <c r="AW307" s="32">
        <f>IFERROR(__xludf.DUMMYFUNCTION("""COMPUTED_VALUE"""),6.427193413604083)</f>
        <v>6.427193414</v>
      </c>
      <c r="AX307" s="32">
        <f>IFERROR(__xludf.DUMMYFUNCTION("""COMPUTED_VALUE"""),51.033581568721864)</f>
        <v>51.03358157</v>
      </c>
      <c r="AY307" s="32">
        <f>IFERROR(__xludf.DUMMYFUNCTION("""COMPUTED_VALUE"""),2.068204751979558)</f>
        <v>2.068204752</v>
      </c>
      <c r="AZ307" s="30">
        <f>IFERROR(__xludf.DUMMYFUNCTION("""COMPUTED_VALUE"""),4.358988661624526)</f>
        <v>4.358988662</v>
      </c>
      <c r="BA307" s="30">
        <f>IFERROR(__xludf.DUMMYFUNCTION("""COMPUTED_VALUE"""),1200.0)</f>
        <v>1200</v>
      </c>
    </row>
    <row r="308">
      <c r="A308" s="71" t="str">
        <f>IFERROR(__xludf.DUMMYFUNCTION("""COMPUTED_VALUE"""),"Veteran")</f>
        <v>Veteran</v>
      </c>
      <c r="B308" s="71" t="str">
        <f>IFERROR(__xludf.DUMMYFUNCTION("""COMPUTED_VALUE"""),"RSC003358")</f>
        <v>RSC003358</v>
      </c>
      <c r="C308" s="30" t="str">
        <f>IFERROR(__xludf.DUMMYFUNCTION("""COMPUTED_VALUE"""),"galacticcccc")</f>
        <v>galacticcccc</v>
      </c>
      <c r="D308" s="30" t="str">
        <f>IFERROR(__xludf.DUMMYFUNCTION("""COMPUTED_VALUE"""),"Rockin Revenants")</f>
        <v>Rockin Revenants</v>
      </c>
      <c r="E308" s="30">
        <f>IFERROR(__xludf.DUMMYFUNCTION("""COMPUTED_VALUE"""),4.0)</f>
        <v>4</v>
      </c>
      <c r="F308" s="30">
        <f>IFERROR(__xludf.DUMMYFUNCTION("""COMPUTED_VALUE"""),2.0)</f>
        <v>2</v>
      </c>
      <c r="G308" s="42">
        <f>IFERROR(__xludf.DUMMYFUNCTION("""COMPUTED_VALUE"""),2.0)</f>
        <v>2</v>
      </c>
      <c r="H308" s="42">
        <f>IFERROR(__xludf.DUMMYFUNCTION("""COMPUTED_VALUE"""),0.5)</f>
        <v>0.5</v>
      </c>
      <c r="I308" s="42">
        <f>IFERROR(__xludf.DUMMYFUNCTION("""COMPUTED_VALUE"""),0.3333333333333333)</f>
        <v>0.3333333333</v>
      </c>
      <c r="J308" s="30">
        <f>IFERROR(__xludf.DUMMYFUNCTION("""COMPUTED_VALUE"""),400.25)</f>
        <v>400.25</v>
      </c>
      <c r="K308" s="30">
        <f>IFERROR(__xludf.DUMMYFUNCTION("""COMPUTED_VALUE"""),1.25)</f>
        <v>1.25</v>
      </c>
      <c r="L308" s="30">
        <f>IFERROR(__xludf.DUMMYFUNCTION("""COMPUTED_VALUE"""),0.75)</f>
        <v>0.75</v>
      </c>
      <c r="M308" s="30">
        <f>IFERROR(__xludf.DUMMYFUNCTION("""COMPUTED_VALUE"""),0.75)</f>
        <v>0.75</v>
      </c>
      <c r="N308" s="30">
        <f>IFERROR(__xludf.DUMMYFUNCTION("""COMPUTED_VALUE"""),3.75)</f>
        <v>3.75</v>
      </c>
      <c r="O308" s="30">
        <f>IFERROR(__xludf.DUMMYFUNCTION("""COMPUTED_VALUE"""),375.5)</f>
        <v>375.5</v>
      </c>
      <c r="P308" s="30">
        <f>IFERROR(__xludf.DUMMYFUNCTION("""COMPUTED_VALUE"""),0.9166666666666666)</f>
        <v>0.9166666667</v>
      </c>
      <c r="Q308" s="30">
        <f>IFERROR(__xludf.DUMMYFUNCTION("""COMPUTED_VALUE"""),0.5833333333333334)</f>
        <v>0.5833333333</v>
      </c>
      <c r="R308" s="30">
        <f>IFERROR(__xludf.DUMMYFUNCTION("""COMPUTED_VALUE"""),1.5833333333333333)</f>
        <v>1.583333333</v>
      </c>
      <c r="S308" s="30">
        <f>IFERROR(__xludf.DUMMYFUNCTION("""COMPUTED_VALUE"""),2.3333333333333335)</f>
        <v>2.333333333</v>
      </c>
      <c r="T308" s="30">
        <f>IFERROR(__xludf.DUMMYFUNCTION("""COMPUTED_VALUE"""),343.8136574074074)</f>
        <v>343.8136574</v>
      </c>
      <c r="U308" s="30">
        <f>IFERROR(__xludf.DUMMYFUNCTION("""COMPUTED_VALUE"""),0.8738425925925926)</f>
        <v>0.8738425926</v>
      </c>
      <c r="V308" s="30">
        <f>IFERROR(__xludf.DUMMYFUNCTION("""COMPUTED_VALUE"""),0.3113425925925926)</f>
        <v>0.3113425926</v>
      </c>
      <c r="W308" s="30">
        <f>IFERROR(__xludf.DUMMYFUNCTION("""COMPUTED_VALUE"""),1.3171296296296295)</f>
        <v>1.31712963</v>
      </c>
      <c r="X308" s="30">
        <f>IFERROR(__xludf.DUMMYFUNCTION("""COMPUTED_VALUE"""),2.564814814814815)</f>
        <v>2.564814815</v>
      </c>
      <c r="Y308" s="30">
        <f>IFERROR(__xludf.DUMMYFUNCTION("""COMPUTED_VALUE"""),394.24845679012344)</f>
        <v>394.2484568</v>
      </c>
      <c r="Z308" s="30">
        <f>IFERROR(__xludf.DUMMYFUNCTION("""COMPUTED_VALUE"""),0.9934413580246912)</f>
        <v>0.993441358</v>
      </c>
      <c r="AA308" s="30">
        <f>IFERROR(__xludf.DUMMYFUNCTION("""COMPUTED_VALUE"""),0.7611882716049383)</f>
        <v>0.7611882716</v>
      </c>
      <c r="AB308" s="30">
        <f>IFERROR(__xludf.DUMMYFUNCTION("""COMPUTED_VALUE"""),1.3915895061728396)</f>
        <v>1.391589506</v>
      </c>
      <c r="AC308" s="30">
        <f>IFERROR(__xludf.DUMMYFUNCTION("""COMPUTED_VALUE"""),3.1902006172839505)</f>
        <v>3.190200617</v>
      </c>
      <c r="AD308" s="30">
        <f>IFERROR(__xludf.DUMMYFUNCTION("""COMPUTED_VALUE"""),1.0152227436950285)</f>
        <v>1.015222744</v>
      </c>
      <c r="AE308" s="30">
        <f>IFERROR(__xludf.DUMMYFUNCTION("""COMPUTED_VALUE"""),1.2582524271844662)</f>
        <v>1.258252427</v>
      </c>
      <c r="AF308" s="30">
        <f>IFERROR(__xludf.DUMMYFUNCTION("""COMPUTED_VALUE"""),0.9853015712113532)</f>
        <v>0.9853015712</v>
      </c>
      <c r="AG308" s="30">
        <f>IFERROR(__xludf.DUMMYFUNCTION("""COMPUTED_VALUE"""),0.5389520377044635)</f>
        <v>0.5389520377</v>
      </c>
      <c r="AH308" s="30">
        <f>IFERROR(__xludf.DUMMYFUNCTION("""COMPUTED_VALUE"""),1.1754746644092393)</f>
        <v>1.175474664</v>
      </c>
      <c r="AI308" s="30">
        <f>IFERROR(__xludf.DUMMYFUNCTION("""COMPUTED_VALUE"""),1.092161384255441)</f>
        <v>1.092161384</v>
      </c>
      <c r="AJ308" s="30">
        <f>IFERROR(__xludf.DUMMYFUNCTION("""COMPUTED_VALUE"""),1.0490066225165562)</f>
        <v>1.049006623</v>
      </c>
      <c r="AK308" s="30">
        <f>IFERROR(__xludf.DUMMYFUNCTION("""COMPUTED_VALUE"""),1.8736059479553904)</f>
        <v>1.873605948</v>
      </c>
      <c r="AL308" s="30">
        <f>IFERROR(__xludf.DUMMYFUNCTION("""COMPUTED_VALUE"""),1.2021089630931459)</f>
        <v>1.202108963</v>
      </c>
      <c r="AM308" s="30">
        <f>IFERROR(__xludf.DUMMYFUNCTION("""COMPUTED_VALUE"""),0.9097472924187726)</f>
        <v>0.9097472924</v>
      </c>
      <c r="AN308" s="30">
        <f>IFERROR(__xludf.DUMMYFUNCTION("""COMPUTED_VALUE"""),1.1592131963309438)</f>
        <v>1.159213196</v>
      </c>
      <c r="AO308" s="30">
        <f>IFERROR(__xludf.DUMMYFUNCTION("""COMPUTED_VALUE"""),1.6570628195709272)</f>
        <v>1.65706282</v>
      </c>
      <c r="AP308" s="30">
        <f>IFERROR(__xludf.DUMMYFUNCTION("""COMPUTED_VALUE"""),1.3908834917251487)</f>
        <v>1.390883492</v>
      </c>
      <c r="AQ308" s="30">
        <f>IFERROR(__xludf.DUMMYFUNCTION("""COMPUTED_VALUE"""),0.555290822509801)</f>
        <v>0.5552908225</v>
      </c>
      <c r="AR308" s="30">
        <f>IFERROR(__xludf.DUMMYFUNCTION("""COMPUTED_VALUE"""),1.464453769527176)</f>
        <v>1.46445377</v>
      </c>
      <c r="AS308" s="30">
        <f>IFERROR(__xludf.DUMMYFUNCTION("""COMPUTED_VALUE"""),12.0)</f>
        <v>12</v>
      </c>
      <c r="AT308" s="30">
        <f>IFERROR(__xludf.DUMMYFUNCTION("""COMPUTED_VALUE"""),0.5358751552390167)</f>
        <v>0.5358751552</v>
      </c>
      <c r="AU308" s="30">
        <f>IFERROR(__xludf.DUMMYFUNCTION("""COMPUTED_VALUE"""),3.2065418742576033)</f>
        <v>3.206541874</v>
      </c>
      <c r="AV308" s="32">
        <f>IFERROR(__xludf.DUMMYFUNCTION("""COMPUTED_VALUE"""),75.91495012972958)</f>
        <v>75.91495013</v>
      </c>
      <c r="AW308" s="32">
        <f>IFERROR(__xludf.DUMMYFUNCTION("""COMPUTED_VALUE"""),6.668372806291152)</f>
        <v>6.668372806</v>
      </c>
      <c r="AX308" s="32">
        <f>IFERROR(__xludf.DUMMYFUNCTION("""COMPUTED_VALUE"""),55.51083863860155)</f>
        <v>55.51083864</v>
      </c>
      <c r="AY308" s="32">
        <f>IFERROR(__xludf.DUMMYFUNCTION("""COMPUTED_VALUE"""),2.422675695178343)</f>
        <v>2.422675695</v>
      </c>
      <c r="AZ308" s="30">
        <f>IFERROR(__xludf.DUMMYFUNCTION("""COMPUTED_VALUE"""),4.2456971111128095)</f>
        <v>4.245697111</v>
      </c>
      <c r="BA308" s="30">
        <f>IFERROR(__xludf.DUMMYFUNCTION("""COMPUTED_VALUE"""),1200.0)</f>
        <v>1200</v>
      </c>
    </row>
    <row r="309">
      <c r="A309" s="71" t="str">
        <f>IFERROR(__xludf.DUMMYFUNCTION("""COMPUTED_VALUE"""),"Veteran")</f>
        <v>Veteran</v>
      </c>
      <c r="B309" s="71" t="str">
        <f>IFERROR(__xludf.DUMMYFUNCTION("""COMPUTED_VALUE"""),"RSC006417")</f>
        <v>RSC006417</v>
      </c>
      <c r="C309" s="30" t="str">
        <f>IFERROR(__xludf.DUMMYFUNCTION("""COMPUTED_VALUE"""),"TangentOgive")</f>
        <v>TangentOgive</v>
      </c>
      <c r="D309" s="30" t="str">
        <f>IFERROR(__xludf.DUMMYFUNCTION("""COMPUTED_VALUE"""),"Cannoli")</f>
        <v>Cannoli</v>
      </c>
      <c r="E309" s="30">
        <f>IFERROR(__xludf.DUMMYFUNCTION("""COMPUTED_VALUE"""),36.0)</f>
        <v>36</v>
      </c>
      <c r="F309" s="30">
        <f>IFERROR(__xludf.DUMMYFUNCTION("""COMPUTED_VALUE"""),20.0)</f>
        <v>20</v>
      </c>
      <c r="G309" s="42">
        <f>IFERROR(__xludf.DUMMYFUNCTION("""COMPUTED_VALUE"""),16.0)</f>
        <v>16</v>
      </c>
      <c r="H309" s="42">
        <f>IFERROR(__xludf.DUMMYFUNCTION("""COMPUTED_VALUE"""),0.5555555555555556)</f>
        <v>0.5555555556</v>
      </c>
      <c r="I309" s="42">
        <f>IFERROR(__xludf.DUMMYFUNCTION("""COMPUTED_VALUE"""),0.2377049180327869)</f>
        <v>0.237704918</v>
      </c>
      <c r="J309" s="30">
        <f>IFERROR(__xludf.DUMMYFUNCTION("""COMPUTED_VALUE"""),373.25)</f>
        <v>373.25</v>
      </c>
      <c r="K309" s="30">
        <f>IFERROR(__xludf.DUMMYFUNCTION("""COMPUTED_VALUE"""),0.8055555555555556)</f>
        <v>0.8055555556</v>
      </c>
      <c r="L309" s="30">
        <f>IFERROR(__xludf.DUMMYFUNCTION("""COMPUTED_VALUE"""),0.8611111111111112)</f>
        <v>0.8611111111</v>
      </c>
      <c r="M309" s="30">
        <f>IFERROR(__xludf.DUMMYFUNCTION("""COMPUTED_VALUE"""),1.1111111111111112)</f>
        <v>1.111111111</v>
      </c>
      <c r="N309" s="30">
        <f>IFERROR(__xludf.DUMMYFUNCTION("""COMPUTED_VALUE"""),3.388888888888889)</f>
        <v>3.388888889</v>
      </c>
      <c r="O309" s="30">
        <f>IFERROR(__xludf.DUMMYFUNCTION("""COMPUTED_VALUE"""),352.60185185185185)</f>
        <v>352.6018519</v>
      </c>
      <c r="P309" s="30">
        <f>IFERROR(__xludf.DUMMYFUNCTION("""COMPUTED_VALUE"""),0.7222222222222222)</f>
        <v>0.7222222222</v>
      </c>
      <c r="Q309" s="30">
        <f>IFERROR(__xludf.DUMMYFUNCTION("""COMPUTED_VALUE"""),0.48148148148148145)</f>
        <v>0.4814814815</v>
      </c>
      <c r="R309" s="30">
        <f>IFERROR(__xludf.DUMMYFUNCTION("""COMPUTED_VALUE"""),1.5740740740740742)</f>
        <v>1.574074074</v>
      </c>
      <c r="S309" s="30">
        <f>IFERROR(__xludf.DUMMYFUNCTION("""COMPUTED_VALUE"""),2.481481481481482)</f>
        <v>2.481481481</v>
      </c>
      <c r="T309" s="30">
        <f>IFERROR(__xludf.DUMMYFUNCTION("""COMPUTED_VALUE"""),355.96911887922323)</f>
        <v>355.9691189</v>
      </c>
      <c r="U309" s="30">
        <f>IFERROR(__xludf.DUMMYFUNCTION("""COMPUTED_VALUE"""),0.771988817195174)</f>
        <v>0.7719888172</v>
      </c>
      <c r="V309" s="30">
        <f>IFERROR(__xludf.DUMMYFUNCTION("""COMPUTED_VALUE"""),0.5644975552945192)</f>
        <v>0.5644975553</v>
      </c>
      <c r="W309" s="30">
        <f>IFERROR(__xludf.DUMMYFUNCTION("""COMPUTED_VALUE"""),1.3870352284681287)</f>
        <v>1.387035228</v>
      </c>
      <c r="X309" s="30">
        <f>IFERROR(__xludf.DUMMYFUNCTION("""COMPUTED_VALUE"""),2.5842612764848174)</f>
        <v>2.584261276</v>
      </c>
      <c r="Y309" s="30">
        <f>IFERROR(__xludf.DUMMYFUNCTION("""COMPUTED_VALUE"""),357.38509989067376)</f>
        <v>357.3850999</v>
      </c>
      <c r="Z309" s="30">
        <f>IFERROR(__xludf.DUMMYFUNCTION("""COMPUTED_VALUE"""),0.7933315114540075)</f>
        <v>0.7933315115</v>
      </c>
      <c r="AA309" s="30">
        <f>IFERROR(__xludf.DUMMYFUNCTION("""COMPUTED_VALUE"""),0.5963147747483434)</f>
        <v>0.5963147747</v>
      </c>
      <c r="AB309" s="30">
        <f>IFERROR(__xludf.DUMMYFUNCTION("""COMPUTED_VALUE"""),1.3104586196678936)</f>
        <v>1.31045862</v>
      </c>
      <c r="AC309" s="30">
        <f>IFERROR(__xludf.DUMMYFUNCTION("""COMPUTED_VALUE"""),2.722764753808308)</f>
        <v>2.722764754</v>
      </c>
      <c r="AD309" s="30">
        <f>IFERROR(__xludf.DUMMYFUNCTION("""COMPUTED_VALUE"""),1.044391610378215)</f>
        <v>1.04439161</v>
      </c>
      <c r="AE309" s="30">
        <f>IFERROR(__xludf.DUMMYFUNCTION("""COMPUTED_VALUE"""),1.015408494336931)</f>
        <v>1.015408494</v>
      </c>
      <c r="AF309" s="30">
        <f>IFERROR(__xludf.DUMMYFUNCTION("""COMPUTED_VALUE"""),1.4440546294941579)</f>
        <v>1.444054629</v>
      </c>
      <c r="AG309" s="30">
        <f>IFERROR(__xludf.DUMMYFUNCTION("""COMPUTED_VALUE"""),0.8478795853872115)</f>
        <v>0.8478795854</v>
      </c>
      <c r="AH309" s="30">
        <f>IFERROR(__xludf.DUMMYFUNCTION("""COMPUTED_VALUE"""),1.2446499037968222)</f>
        <v>1.244649904</v>
      </c>
      <c r="AI309" s="30">
        <f>IFERROR(__xludf.DUMMYFUNCTION("""COMPUTED_VALUE"""),0.9905405641984527)</f>
        <v>0.9905405642</v>
      </c>
      <c r="AJ309" s="30">
        <f>IFERROR(__xludf.DUMMYFUNCTION("""COMPUTED_VALUE"""),0.935534564925738)</f>
        <v>0.9355345649</v>
      </c>
      <c r="AK309" s="30">
        <f>IFERROR(__xludf.DUMMYFUNCTION("""COMPUTED_VALUE"""),0.8529381163223547)</f>
        <v>0.8529381163</v>
      </c>
      <c r="AL309" s="30">
        <f>IFERROR(__xludf.DUMMYFUNCTION("""COMPUTED_VALUE"""),1.1348479416867554)</f>
        <v>1.134847942</v>
      </c>
      <c r="AM309" s="30">
        <f>IFERROR(__xludf.DUMMYFUNCTION("""COMPUTED_VALUE"""),0.9602285589547124)</f>
        <v>0.960228559</v>
      </c>
      <c r="AN309" s="30">
        <f>IFERROR(__xludf.DUMMYFUNCTION("""COMPUTED_VALUE"""),1.0810151793392249)</f>
        <v>1.081015179</v>
      </c>
      <c r="AO309" s="30">
        <f>IFERROR(__xludf.DUMMYFUNCTION("""COMPUTED_VALUE"""),1.0678849281679308)</f>
        <v>1.067884928</v>
      </c>
      <c r="AP309" s="30">
        <f>IFERROR(__xludf.DUMMYFUNCTION("""COMPUTED_VALUE"""),1.5969403053140596)</f>
        <v>1.596940305</v>
      </c>
      <c r="AQ309" s="30">
        <f>IFERROR(__xludf.DUMMYFUNCTION("""COMPUTED_VALUE"""),0.8226530703848904)</f>
        <v>0.8226530704</v>
      </c>
      <c r="AR309" s="30">
        <f>IFERROR(__xludf.DUMMYFUNCTION("""COMPUTED_VALUE"""),1.323432295424559)</f>
        <v>1.323432295</v>
      </c>
      <c r="AS309" s="30">
        <f>IFERROR(__xludf.DUMMYFUNCTION("""COMPUTED_VALUE"""),98.0)</f>
        <v>98</v>
      </c>
      <c r="AT309" s="30">
        <f>IFERROR(__xludf.DUMMYFUNCTION("""COMPUTED_VALUE"""),0.589026000710956)</f>
        <v>0.5890260007</v>
      </c>
      <c r="AU309" s="30">
        <f>IFERROR(__xludf.DUMMYFUNCTION("""COMPUTED_VALUE"""),3.2941435141516413)</f>
        <v>3.294143514</v>
      </c>
      <c r="AV309" s="32">
        <f>IFERROR(__xludf.DUMMYFUNCTION("""COMPUTED_VALUE"""),78.6285065971788)</f>
        <v>78.6285066</v>
      </c>
      <c r="AW309" s="32">
        <f>IFERROR(__xludf.DUMMYFUNCTION("""COMPUTED_VALUE"""),7.931753329268498)</f>
        <v>7.931753329</v>
      </c>
      <c r="AX309" s="32">
        <f>IFERROR(__xludf.DUMMYFUNCTION("""COMPUTED_VALUE"""),65.40639102287288)</f>
        <v>65.40639102</v>
      </c>
      <c r="AY309" s="32">
        <f>IFERROR(__xludf.DUMMYFUNCTION("""COMPUTED_VALUE"""),3.71936767785478)</f>
        <v>3.719367678</v>
      </c>
      <c r="AZ309" s="30">
        <f>IFERROR(__xludf.DUMMYFUNCTION("""COMPUTED_VALUE"""),4.212385651413719)</f>
        <v>4.212385651</v>
      </c>
      <c r="BA309" s="30">
        <f>IFERROR(__xludf.DUMMYFUNCTION("""COMPUTED_VALUE"""),1200.0)</f>
        <v>1200</v>
      </c>
    </row>
    <row r="310">
      <c r="A310" s="71" t="str">
        <f>IFERROR(__xludf.DUMMYFUNCTION("""COMPUTED_VALUE"""),"Veteran")</f>
        <v>Veteran</v>
      </c>
      <c r="B310" s="71" t="str">
        <f>IFERROR(__xludf.DUMMYFUNCTION("""COMPUTED_VALUE"""),"RSC000290")</f>
        <v>RSC000290</v>
      </c>
      <c r="C310" s="30" t="str">
        <f>IFERROR(__xludf.DUMMYFUNCTION("""COMPUTED_VALUE"""),"JimJam")</f>
        <v>JimJam</v>
      </c>
      <c r="D310" s="30" t="str">
        <f>IFERROR(__xludf.DUMMYFUNCTION("""COMPUTED_VALUE"""),"Cannoli")</f>
        <v>Cannoli</v>
      </c>
      <c r="E310" s="30">
        <f>IFERROR(__xludf.DUMMYFUNCTION("""COMPUTED_VALUE"""),3.0)</f>
        <v>3</v>
      </c>
      <c r="F310" s="30">
        <f>IFERROR(__xludf.DUMMYFUNCTION("""COMPUTED_VALUE"""),0.0)</f>
        <v>0</v>
      </c>
      <c r="G310" s="42">
        <f>IFERROR(__xludf.DUMMYFUNCTION("""COMPUTED_VALUE"""),3.0)</f>
        <v>3</v>
      </c>
      <c r="H310" s="42">
        <f>IFERROR(__xludf.DUMMYFUNCTION("""COMPUTED_VALUE"""),0.0)</f>
        <v>0</v>
      </c>
      <c r="I310" s="42">
        <f>IFERROR(__xludf.DUMMYFUNCTION("""COMPUTED_VALUE"""),0.2857142857142857)</f>
        <v>0.2857142857</v>
      </c>
      <c r="J310" s="30">
        <f>IFERROR(__xludf.DUMMYFUNCTION("""COMPUTED_VALUE"""),292.0)</f>
        <v>292</v>
      </c>
      <c r="K310" s="30">
        <f>IFERROR(__xludf.DUMMYFUNCTION("""COMPUTED_VALUE"""),0.6666666666666666)</f>
        <v>0.6666666667</v>
      </c>
      <c r="L310" s="30">
        <f>IFERROR(__xludf.DUMMYFUNCTION("""COMPUTED_VALUE"""),0.0)</f>
        <v>0</v>
      </c>
      <c r="M310" s="30">
        <f>IFERROR(__xludf.DUMMYFUNCTION("""COMPUTED_VALUE"""),1.3333333333333333)</f>
        <v>1.333333333</v>
      </c>
      <c r="N310" s="30">
        <f>IFERROR(__xludf.DUMMYFUNCTION("""COMPUTED_VALUE"""),2.3333333333333335)</f>
        <v>2.333333333</v>
      </c>
      <c r="O310" s="30">
        <f>IFERROR(__xludf.DUMMYFUNCTION("""COMPUTED_VALUE"""),361.6666666666667)</f>
        <v>361.6666667</v>
      </c>
      <c r="P310" s="30">
        <f>IFERROR(__xludf.DUMMYFUNCTION("""COMPUTED_VALUE"""),0.8888888888888888)</f>
        <v>0.8888888889</v>
      </c>
      <c r="Q310" s="30">
        <f>IFERROR(__xludf.DUMMYFUNCTION("""COMPUTED_VALUE"""),0.2222222222222222)</f>
        <v>0.2222222222</v>
      </c>
      <c r="R310" s="30">
        <f>IFERROR(__xludf.DUMMYFUNCTION("""COMPUTED_VALUE"""),1.3333333333333333)</f>
        <v>1.333333333</v>
      </c>
      <c r="S310" s="30">
        <f>IFERROR(__xludf.DUMMYFUNCTION("""COMPUTED_VALUE"""),3.0)</f>
        <v>3</v>
      </c>
      <c r="T310" s="30">
        <f>IFERROR(__xludf.DUMMYFUNCTION("""COMPUTED_VALUE"""),357.57562921464887)</f>
        <v>357.5756292</v>
      </c>
      <c r="U310" s="30">
        <f>IFERROR(__xludf.DUMMYFUNCTION("""COMPUTED_VALUE"""),0.8429873430853823)</f>
        <v>0.8429873431</v>
      </c>
      <c r="V310" s="30">
        <f>IFERROR(__xludf.DUMMYFUNCTION("""COMPUTED_VALUE"""),0.5542239858906525)</f>
        <v>0.5542239859</v>
      </c>
      <c r="W310" s="30">
        <f>IFERROR(__xludf.DUMMYFUNCTION("""COMPUTED_VALUE"""),1.34279593318809)</f>
        <v>1.342795933</v>
      </c>
      <c r="X310" s="30">
        <f>IFERROR(__xludf.DUMMYFUNCTION("""COMPUTED_VALUE"""),2.5975801431683787)</f>
        <v>2.597580143</v>
      </c>
      <c r="Y310" s="30">
        <f>IFERROR(__xludf.DUMMYFUNCTION("""COMPUTED_VALUE"""),351.0552183836498)</f>
        <v>351.0552184</v>
      </c>
      <c r="Z310" s="30">
        <f>IFERROR(__xludf.DUMMYFUNCTION("""COMPUTED_VALUE"""),0.7572718470104091)</f>
        <v>0.757271847</v>
      </c>
      <c r="AA310" s="30">
        <f>IFERROR(__xludf.DUMMYFUNCTION("""COMPUTED_VALUE"""),0.6032209426980669)</f>
        <v>0.6032209427</v>
      </c>
      <c r="AB310" s="30">
        <f>IFERROR(__xludf.DUMMYFUNCTION("""COMPUTED_VALUE"""),1.3100888750561952)</f>
        <v>1.310088875</v>
      </c>
      <c r="AC310" s="30">
        <f>IFERROR(__xludf.DUMMYFUNCTION("""COMPUTED_VALUE"""),2.6918573849292806)</f>
        <v>2.691857385</v>
      </c>
      <c r="AD310" s="30">
        <f>IFERROR(__xludf.DUMMYFUNCTION("""COMPUTED_VALUE"""),0.831777978816109)</f>
        <v>0.8317779788</v>
      </c>
      <c r="AE310" s="30">
        <f>IFERROR(__xludf.DUMMYFUNCTION("""COMPUTED_VALUE"""),0.8803531641887421)</f>
        <v>0.8803531642</v>
      </c>
      <c r="AF310" s="30">
        <f>IFERROR(__xludf.DUMMYFUNCTION("""COMPUTED_VALUE"""),0.0)</f>
        <v>0</v>
      </c>
      <c r="AG310" s="30">
        <f>IFERROR(__xludf.DUMMYFUNCTION("""COMPUTED_VALUE"""),1.017742657555306)</f>
        <v>1.017742658</v>
      </c>
      <c r="AH310" s="30">
        <f>IFERROR(__xludf.DUMMYFUNCTION("""COMPUTED_VALUE"""),0.8668116470050785)</f>
        <v>0.866811647</v>
      </c>
      <c r="AI310" s="30">
        <f>IFERROR(__xludf.DUMMYFUNCTION("""COMPUTED_VALUE"""),1.0114410410491426)</f>
        <v>1.011441041</v>
      </c>
      <c r="AJ310" s="30">
        <f>IFERROR(__xludf.DUMMYFUNCTION("""COMPUTED_VALUE"""),1.0544510498052133)</f>
        <v>1.05445105</v>
      </c>
      <c r="AK310" s="30">
        <f>IFERROR(__xludf.DUMMYFUNCTION("""COMPUTED_VALUE"""),0.4009610335884422)</f>
        <v>0.4009610336</v>
      </c>
      <c r="AL310" s="30">
        <f>IFERROR(__xludf.DUMMYFUNCTION("""COMPUTED_VALUE"""),0.9929530618756861)</f>
        <v>0.9929530619</v>
      </c>
      <c r="AM310" s="30">
        <f>IFERROR(__xludf.DUMMYFUNCTION("""COMPUTED_VALUE"""),1.1549210552328801)</f>
        <v>1.154921055</v>
      </c>
      <c r="AN310" s="30">
        <f>IFERROR(__xludf.DUMMYFUNCTION("""COMPUTED_VALUE"""),0.845697072651182)</f>
        <v>0.8456970727</v>
      </c>
      <c r="AO310" s="30">
        <f>IFERROR(__xludf.DUMMYFUNCTION("""COMPUTED_VALUE"""),0.8837668371044944)</f>
        <v>0.8837668371</v>
      </c>
      <c r="AP310" s="30">
        <f>IFERROR(__xludf.DUMMYFUNCTION("""COMPUTED_VALUE"""),0.0)</f>
        <v>0</v>
      </c>
      <c r="AQ310" s="30">
        <f>IFERROR(__xludf.DUMMYFUNCTION("""COMPUTED_VALUE"""),0.9871836844618684)</f>
        <v>0.9871836845</v>
      </c>
      <c r="AR310" s="30">
        <f>IFERROR(__xludf.DUMMYFUNCTION("""COMPUTED_VALUE"""),0.9112156788169095)</f>
        <v>0.9112156788</v>
      </c>
      <c r="AS310" s="30">
        <f>IFERROR(__xludf.DUMMYFUNCTION("""COMPUTED_VALUE"""),5.0)</f>
        <v>5</v>
      </c>
      <c r="AT310" s="30">
        <f>IFERROR(__xludf.DUMMYFUNCTION("""COMPUTED_VALUE"""),0.32829036526615446)</f>
        <v>0.3282903653</v>
      </c>
      <c r="AU310" s="30">
        <f>IFERROR(__xludf.DUMMYFUNCTION("""COMPUTED_VALUE"""),1.321535072029838)</f>
        <v>1.321535072</v>
      </c>
      <c r="AV310" s="32">
        <f>IFERROR(__xludf.DUMMYFUNCTION("""COMPUTED_VALUE"""),17.524805772180265)</f>
        <v>17.52480577</v>
      </c>
      <c r="AW310" s="32">
        <f>IFERROR(__xludf.DUMMYFUNCTION("""COMPUTED_VALUE"""),-10.312400617925233)</f>
        <v>-10.31240062</v>
      </c>
      <c r="AX310" s="32">
        <f>IFERROR(__xludf.DUMMYFUNCTION("""COMPUTED_VALUE"""),12.967463607917566)</f>
        <v>12.96746361</v>
      </c>
      <c r="AY310" s="32">
        <f>IFERROR(__xludf.DUMMYFUNCTION("""COMPUTED_VALUE"""),-14.437695703219132)</f>
        <v>-14.4376957</v>
      </c>
      <c r="AZ310" s="30">
        <f>IFERROR(__xludf.DUMMYFUNCTION("""COMPUTED_VALUE"""),4.125295085293899)</f>
        <v>4.125295085</v>
      </c>
      <c r="BA310" s="30">
        <f>IFERROR(__xludf.DUMMYFUNCTION("""COMPUTED_VALUE"""),1200.0)</f>
        <v>1200</v>
      </c>
    </row>
    <row r="311">
      <c r="A311" s="71" t="str">
        <f>IFERROR(__xludf.DUMMYFUNCTION("""COMPUTED_VALUE"""),"Veteran")</f>
        <v>Veteran</v>
      </c>
      <c r="B311" s="71" t="str">
        <f>IFERROR(__xludf.DUMMYFUNCTION("""COMPUTED_VALUE"""),"RSC005491")</f>
        <v>RSC005491</v>
      </c>
      <c r="C311" s="30" t="str">
        <f>IFERROR(__xludf.DUMMYFUNCTION("""COMPUTED_VALUE"""),"Jackowanou")</f>
        <v>Jackowanou</v>
      </c>
      <c r="D311" s="30" t="str">
        <f>IFERROR(__xludf.DUMMYFUNCTION("""COMPUTED_VALUE"""),"Gorillas")</f>
        <v>Gorillas</v>
      </c>
      <c r="E311" s="30">
        <f>IFERROR(__xludf.DUMMYFUNCTION("""COMPUTED_VALUE"""),36.0)</f>
        <v>36</v>
      </c>
      <c r="F311" s="30">
        <f>IFERROR(__xludf.DUMMYFUNCTION("""COMPUTED_VALUE"""),22.0)</f>
        <v>22</v>
      </c>
      <c r="G311" s="42">
        <f>IFERROR(__xludf.DUMMYFUNCTION("""COMPUTED_VALUE"""),14.0)</f>
        <v>14</v>
      </c>
      <c r="H311" s="42">
        <f>IFERROR(__xludf.DUMMYFUNCTION("""COMPUTED_VALUE"""),0.6111111111111112)</f>
        <v>0.6111111111</v>
      </c>
      <c r="I311" s="42">
        <f>IFERROR(__xludf.DUMMYFUNCTION("""COMPUTED_VALUE"""),0.3)</f>
        <v>0.3</v>
      </c>
      <c r="J311" s="30">
        <f>IFERROR(__xludf.DUMMYFUNCTION("""COMPUTED_VALUE"""),404.19444444444446)</f>
        <v>404.1944444</v>
      </c>
      <c r="K311" s="30">
        <f>IFERROR(__xludf.DUMMYFUNCTION("""COMPUTED_VALUE"""),0.9166666666666666)</f>
        <v>0.9166666667</v>
      </c>
      <c r="L311" s="30">
        <f>IFERROR(__xludf.DUMMYFUNCTION("""COMPUTED_VALUE"""),0.7777777777777778)</f>
        <v>0.7777777778</v>
      </c>
      <c r="M311" s="30">
        <f>IFERROR(__xludf.DUMMYFUNCTION("""COMPUTED_VALUE"""),1.5)</f>
        <v>1.5</v>
      </c>
      <c r="N311" s="30">
        <f>IFERROR(__xludf.DUMMYFUNCTION("""COMPUTED_VALUE"""),3.0555555555555554)</f>
        <v>3.055555556</v>
      </c>
      <c r="O311" s="30">
        <f>IFERROR(__xludf.DUMMYFUNCTION("""COMPUTED_VALUE"""),334.34259259259255)</f>
        <v>334.3425926</v>
      </c>
      <c r="P311" s="30">
        <f>IFERROR(__xludf.DUMMYFUNCTION("""COMPUTED_VALUE"""),0.6574074074074074)</f>
        <v>0.6574074074</v>
      </c>
      <c r="Q311" s="30">
        <f>IFERROR(__xludf.DUMMYFUNCTION("""COMPUTED_VALUE"""),0.4629629629629629)</f>
        <v>0.462962963</v>
      </c>
      <c r="R311" s="30">
        <f>IFERROR(__xludf.DUMMYFUNCTION("""COMPUTED_VALUE"""),1.509259259259259)</f>
        <v>1.509259259</v>
      </c>
      <c r="S311" s="30">
        <f>IFERROR(__xludf.DUMMYFUNCTION("""COMPUTED_VALUE"""),2.314814814814815)</f>
        <v>2.314814815</v>
      </c>
      <c r="T311" s="30">
        <f>IFERROR(__xludf.DUMMYFUNCTION("""COMPUTED_VALUE"""),352.50696946791675)</f>
        <v>352.5069695</v>
      </c>
      <c r="U311" s="30">
        <f>IFERROR(__xludf.DUMMYFUNCTION("""COMPUTED_VALUE"""),0.7878414595827143)</f>
        <v>0.7878414596</v>
      </c>
      <c r="V311" s="30">
        <f>IFERROR(__xludf.DUMMYFUNCTION("""COMPUTED_VALUE"""),0.5999832212739934)</f>
        <v>0.5999832213</v>
      </c>
      <c r="W311" s="30">
        <f>IFERROR(__xludf.DUMMYFUNCTION("""COMPUTED_VALUE"""),1.3450636312154491)</f>
        <v>1.345063631</v>
      </c>
      <c r="X311" s="30">
        <f>IFERROR(__xludf.DUMMYFUNCTION("""COMPUTED_VALUE"""),2.673310812442284)</f>
        <v>2.673310812</v>
      </c>
      <c r="Y311" s="30">
        <f>IFERROR(__xludf.DUMMYFUNCTION("""COMPUTED_VALUE"""),367.76490463308437)</f>
        <v>367.7649046</v>
      </c>
      <c r="Z311" s="30">
        <f>IFERROR(__xludf.DUMMYFUNCTION("""COMPUTED_VALUE"""),0.8493216584718114)</f>
        <v>0.8493216585</v>
      </c>
      <c r="AA311" s="30">
        <f>IFERROR(__xludf.DUMMYFUNCTION("""COMPUTED_VALUE"""),0.6383918041393667)</f>
        <v>0.6383918041</v>
      </c>
      <c r="AB311" s="30">
        <f>IFERROR(__xludf.DUMMYFUNCTION("""COMPUTED_VALUE"""),1.4020346380619444)</f>
        <v>1.402034638</v>
      </c>
      <c r="AC311" s="30">
        <f>IFERROR(__xludf.DUMMYFUNCTION("""COMPUTED_VALUE"""),2.658765096993985)</f>
        <v>2.658765097</v>
      </c>
      <c r="AD311" s="30">
        <f>IFERROR(__xludf.DUMMYFUNCTION("""COMPUTED_VALUE"""),1.099056596625786)</f>
        <v>1.099056597</v>
      </c>
      <c r="AE311" s="30">
        <f>IFERROR(__xludf.DUMMYFUNCTION("""COMPUTED_VALUE"""),1.0792927008549733)</f>
        <v>1.079292701</v>
      </c>
      <c r="AF311" s="30">
        <f>IFERROR(__xludf.DUMMYFUNCTION("""COMPUTED_VALUE"""),1.218339227939057)</f>
        <v>1.218339228</v>
      </c>
      <c r="AG311" s="30">
        <f>IFERROR(__xludf.DUMMYFUNCTION("""COMPUTED_VALUE"""),1.0698737101627351)</f>
        <v>1.06987371</v>
      </c>
      <c r="AH311" s="30">
        <f>IFERROR(__xludf.DUMMYFUNCTION("""COMPUTED_VALUE"""),1.1492386292456538)</f>
        <v>1.149238629</v>
      </c>
      <c r="AI311" s="30">
        <f>IFERROR(__xludf.DUMMYFUNCTION("""COMPUTED_VALUE"""),0.9484708716461919)</f>
        <v>0.9484708716</v>
      </c>
      <c r="AJ311" s="30">
        <f>IFERROR(__xludf.DUMMYFUNCTION("""COMPUTED_VALUE"""),0.834441243744151)</f>
        <v>0.8344412437</v>
      </c>
      <c r="AK311" s="30">
        <f>IFERROR(__xludf.DUMMYFUNCTION("""COMPUTED_VALUE"""),0.7716265164547699)</f>
        <v>0.7716265165</v>
      </c>
      <c r="AL311" s="30">
        <f>IFERROR(__xludf.DUMMYFUNCTION("""COMPUTED_VALUE"""),1.1220727586660244)</f>
        <v>1.122072759</v>
      </c>
      <c r="AM311" s="30">
        <f>IFERROR(__xludf.DUMMYFUNCTION("""COMPUTED_VALUE"""),0.8658981230469216)</f>
        <v>0.865898123</v>
      </c>
      <c r="AN311" s="30">
        <f>IFERROR(__xludf.DUMMYFUNCTION("""COMPUTED_VALUE"""),1.1706371864675942)</f>
        <v>1.170637186</v>
      </c>
      <c r="AO311" s="30">
        <f>IFERROR(__xludf.DUMMYFUNCTION("""COMPUTED_VALUE"""),1.2151794010186798)</f>
        <v>1.215179401</v>
      </c>
      <c r="AP311" s="30">
        <f>IFERROR(__xludf.DUMMYFUNCTION("""COMPUTED_VALUE"""),1.4423976951223765)</f>
        <v>1.442397695</v>
      </c>
      <c r="AQ311" s="30">
        <f>IFERROR(__xludf.DUMMYFUNCTION("""COMPUTED_VALUE"""),1.110581645019602)</f>
        <v>1.110581645</v>
      </c>
      <c r="AR311" s="30">
        <f>IFERROR(__xludf.DUMMYFUNCTION("""COMPUTED_VALUE"""),1.1932586270221432)</f>
        <v>1.193258627</v>
      </c>
      <c r="AS311" s="30">
        <f>IFERROR(__xludf.DUMMYFUNCTION("""COMPUTED_VALUE"""),102.0)</f>
        <v>102</v>
      </c>
      <c r="AT311" s="30">
        <f>IFERROR(__xludf.DUMMYFUNCTION("""COMPUTED_VALUE"""),0.6384139072661715)</f>
        <v>0.6384139073</v>
      </c>
      <c r="AU311" s="30">
        <f>IFERROR(__xludf.DUMMYFUNCTION("""COMPUTED_VALUE"""),3.337286053461906)</f>
        <v>3.337286053</v>
      </c>
      <c r="AV311" s="32">
        <f>IFERROR(__xludf.DUMMYFUNCTION("""COMPUTED_VALUE"""),79.96489386925678)</f>
        <v>79.96489387</v>
      </c>
      <c r="AW311" s="32">
        <f>IFERROR(__xludf.DUMMYFUNCTION("""COMPUTED_VALUE"""),8.669824777037025)</f>
        <v>8.669824777</v>
      </c>
      <c r="AX311" s="32">
        <f>IFERROR(__xludf.DUMMYFUNCTION("""COMPUTED_VALUE"""),69.43809568334272)</f>
        <v>69.43809568</v>
      </c>
      <c r="AY311" s="32">
        <f>IFERROR(__xludf.DUMMYFUNCTION("""COMPUTED_VALUE"""),4.578232795993792)</f>
        <v>4.578232796</v>
      </c>
      <c r="AZ311" s="30">
        <f>IFERROR(__xludf.DUMMYFUNCTION("""COMPUTED_VALUE"""),4.0915919810432335)</f>
        <v>4.091591981</v>
      </c>
      <c r="BA311" s="30">
        <f>IFERROR(__xludf.DUMMYFUNCTION("""COMPUTED_VALUE"""),1200.0)</f>
        <v>1200</v>
      </c>
    </row>
    <row r="312">
      <c r="A312" s="71" t="str">
        <f>IFERROR(__xludf.DUMMYFUNCTION("""COMPUTED_VALUE"""),"Veteran")</f>
        <v>Veteran</v>
      </c>
      <c r="B312" s="71" t="str">
        <f>IFERROR(__xludf.DUMMYFUNCTION("""COMPUTED_VALUE"""),"RSC007024")</f>
        <v>RSC007024</v>
      </c>
      <c r="C312" s="30" t="str">
        <f>IFERROR(__xludf.DUMMYFUNCTION("""COMPUTED_VALUE"""),"zSmyte.")</f>
        <v>zSmyte.</v>
      </c>
      <c r="D312" s="30" t="str">
        <f>IFERROR(__xludf.DUMMYFUNCTION("""COMPUTED_VALUE"""),"Giraffes")</f>
        <v>Giraffes</v>
      </c>
      <c r="E312" s="30">
        <f>IFERROR(__xludf.DUMMYFUNCTION("""COMPUTED_VALUE"""),31.0)</f>
        <v>31</v>
      </c>
      <c r="F312" s="30">
        <f>IFERROR(__xludf.DUMMYFUNCTION("""COMPUTED_VALUE"""),15.0)</f>
        <v>15</v>
      </c>
      <c r="G312" s="42">
        <f>IFERROR(__xludf.DUMMYFUNCTION("""COMPUTED_VALUE"""),16.0)</f>
        <v>16</v>
      </c>
      <c r="H312" s="42">
        <f>IFERROR(__xludf.DUMMYFUNCTION("""COMPUTED_VALUE"""),0.4838709677419355)</f>
        <v>0.4838709677</v>
      </c>
      <c r="I312" s="42">
        <f>IFERROR(__xludf.DUMMYFUNCTION("""COMPUTED_VALUE"""),0.2714285714285714)</f>
        <v>0.2714285714</v>
      </c>
      <c r="J312" s="30">
        <f>IFERROR(__xludf.DUMMYFUNCTION("""COMPUTED_VALUE"""),334.0967741935484)</f>
        <v>334.0967742</v>
      </c>
      <c r="K312" s="30">
        <f>IFERROR(__xludf.DUMMYFUNCTION("""COMPUTED_VALUE"""),0.6129032258064516)</f>
        <v>0.6129032258</v>
      </c>
      <c r="L312" s="30">
        <f>IFERROR(__xludf.DUMMYFUNCTION("""COMPUTED_VALUE"""),0.7096774193548387)</f>
        <v>0.7096774194</v>
      </c>
      <c r="M312" s="30">
        <f>IFERROR(__xludf.DUMMYFUNCTION("""COMPUTED_VALUE"""),1.4516129032258065)</f>
        <v>1.451612903</v>
      </c>
      <c r="N312" s="30">
        <f>IFERROR(__xludf.DUMMYFUNCTION("""COMPUTED_VALUE"""),2.2580645161290325)</f>
        <v>2.258064516</v>
      </c>
      <c r="O312" s="30">
        <f>IFERROR(__xludf.DUMMYFUNCTION("""COMPUTED_VALUE"""),345.5161290322581)</f>
        <v>345.516129</v>
      </c>
      <c r="P312" s="30">
        <f>IFERROR(__xludf.DUMMYFUNCTION("""COMPUTED_VALUE"""),0.8064516129032258)</f>
        <v>0.8064516129</v>
      </c>
      <c r="Q312" s="30">
        <f>IFERROR(__xludf.DUMMYFUNCTION("""COMPUTED_VALUE"""),0.5913978494623656)</f>
        <v>0.5913978495</v>
      </c>
      <c r="R312" s="30">
        <f>IFERROR(__xludf.DUMMYFUNCTION("""COMPUTED_VALUE"""),1.268817204301075)</f>
        <v>1.268817204</v>
      </c>
      <c r="S312" s="30">
        <f>IFERROR(__xludf.DUMMYFUNCTION("""COMPUTED_VALUE"""),2.5268817204301075)</f>
        <v>2.52688172</v>
      </c>
      <c r="T312" s="30">
        <f>IFERROR(__xludf.DUMMYFUNCTION("""COMPUTED_VALUE"""),348.0043445206106)</f>
        <v>348.0043445</v>
      </c>
      <c r="U312" s="30">
        <f>IFERROR(__xludf.DUMMYFUNCTION("""COMPUTED_VALUE"""),0.7842146281507199)</f>
        <v>0.7842146282</v>
      </c>
      <c r="V312" s="30">
        <f>IFERROR(__xludf.DUMMYFUNCTION("""COMPUTED_VALUE"""),0.5638647538423694)</f>
        <v>0.5638647538</v>
      </c>
      <c r="W312" s="30">
        <f>IFERROR(__xludf.DUMMYFUNCTION("""COMPUTED_VALUE"""),1.3177008177737983)</f>
        <v>1.317700818</v>
      </c>
      <c r="X312" s="30">
        <f>IFERROR(__xludf.DUMMYFUNCTION("""COMPUTED_VALUE"""),2.6266169228067318)</f>
        <v>2.626616923</v>
      </c>
      <c r="Y312" s="30">
        <f>IFERROR(__xludf.DUMMYFUNCTION("""COMPUTED_VALUE"""),348.5421252065854)</f>
        <v>348.5421252</v>
      </c>
      <c r="Z312" s="30">
        <f>IFERROR(__xludf.DUMMYFUNCTION("""COMPUTED_VALUE"""),0.7616409966323596)</f>
        <v>0.7616409966</v>
      </c>
      <c r="AA312" s="30">
        <f>IFERROR(__xludf.DUMMYFUNCTION("""COMPUTED_VALUE"""),0.5708645773997634)</f>
        <v>0.5708645774</v>
      </c>
      <c r="AB312" s="30">
        <f>IFERROR(__xludf.DUMMYFUNCTION("""COMPUTED_VALUE"""),1.3680645550558521)</f>
        <v>1.368064555</v>
      </c>
      <c r="AC312" s="30">
        <f>IFERROR(__xludf.DUMMYFUNCTION("""COMPUTED_VALUE"""),2.5576951941402934)</f>
        <v>2.557695194</v>
      </c>
      <c r="AD312" s="30">
        <f>IFERROR(__xludf.DUMMYFUNCTION("""COMPUTED_VALUE"""),0.9585549350613644)</f>
        <v>0.9585549351</v>
      </c>
      <c r="AE312" s="30">
        <f>IFERROR(__xludf.DUMMYFUNCTION("""COMPUTED_VALUE"""),0.8047140693797199)</f>
        <v>0.8047140694</v>
      </c>
      <c r="AF312" s="30">
        <f>IFERROR(__xludf.DUMMYFUNCTION("""COMPUTED_VALUE"""),1.243162472240536)</f>
        <v>1.243162472</v>
      </c>
      <c r="AG312" s="30">
        <f>IFERROR(__xludf.DUMMYFUNCTION("""COMPUTED_VALUE"""),1.0610704720484068)</f>
        <v>1.061070472</v>
      </c>
      <c r="AH312" s="30">
        <f>IFERROR(__xludf.DUMMYFUNCTION("""COMPUTED_VALUE"""),0.8828512956908556)</f>
        <v>0.8828512957</v>
      </c>
      <c r="AI312" s="30">
        <f>IFERROR(__xludf.DUMMYFUNCTION("""COMPUTED_VALUE"""),0.9928500447551019)</f>
        <v>0.9928500448</v>
      </c>
      <c r="AJ312" s="30">
        <f>IFERROR(__xludf.DUMMYFUNCTION("""COMPUTED_VALUE"""),1.0283557382816788)</f>
        <v>1.028355738</v>
      </c>
      <c r="AK312" s="30">
        <f>IFERROR(__xludf.DUMMYFUNCTION("""COMPUTED_VALUE"""),1.0488292545905311)</f>
        <v>1.048829255</v>
      </c>
      <c r="AL312" s="30">
        <f>IFERROR(__xludf.DUMMYFUNCTION("""COMPUTED_VALUE"""),0.9629023426157463)</f>
        <v>0.9629023426</v>
      </c>
      <c r="AM312" s="30">
        <f>IFERROR(__xludf.DUMMYFUNCTION("""COMPUTED_VALUE"""),0.9620290261931116)</f>
        <v>0.9620290262</v>
      </c>
      <c r="AN312" s="30">
        <f>IFERROR(__xludf.DUMMYFUNCTION("""COMPUTED_VALUE"""),0.9676187120468728)</f>
        <v>0.967618712</v>
      </c>
      <c r="AO312" s="30">
        <f>IFERROR(__xludf.DUMMYFUNCTION("""COMPUTED_VALUE"""),0.8124953179831643)</f>
        <v>0.812495318</v>
      </c>
      <c r="AP312" s="30">
        <f>IFERROR(__xludf.DUMMYFUNCTION("""COMPUTED_VALUE"""),1.3161048093743344)</f>
        <v>1.316104809</v>
      </c>
      <c r="AQ312" s="30">
        <f>IFERROR(__xludf.DUMMYFUNCTION("""COMPUTED_VALUE"""),1.074756430664131)</f>
        <v>1.074756431</v>
      </c>
      <c r="AR312" s="30">
        <f>IFERROR(__xludf.DUMMYFUNCTION("""COMPUTED_VALUE"""),0.8818216246615254)</f>
        <v>0.8818216247</v>
      </c>
      <c r="AS312" s="30">
        <f>IFERROR(__xludf.DUMMYFUNCTION("""COMPUTED_VALUE"""),66.0)</f>
        <v>66</v>
      </c>
      <c r="AT312" s="30">
        <f>IFERROR(__xludf.DUMMYFUNCTION("""COMPUTED_VALUE"""),0.4507981295450618)</f>
        <v>0.4507981295</v>
      </c>
      <c r="AU312" s="30">
        <f>IFERROR(__xludf.DUMMYFUNCTION("""COMPUTED_VALUE"""),2.3823850647792097)</f>
        <v>2.382385065</v>
      </c>
      <c r="AV312" s="32">
        <f>IFERROR(__xludf.DUMMYFUNCTION("""COMPUTED_VALUE"""),50.38579287585246)</f>
        <v>50.38579288</v>
      </c>
      <c r="AW312" s="32">
        <f>IFERROR(__xludf.DUMMYFUNCTION("""COMPUTED_VALUE"""),2.0249314388253934)</f>
        <v>2.024931439</v>
      </c>
      <c r="AX312" s="32">
        <f>IFERROR(__xludf.DUMMYFUNCTION("""COMPUTED_VALUE"""),49.451544629897434)</f>
        <v>49.45154463</v>
      </c>
      <c r="AY312" s="32">
        <f>IFERROR(__xludf.DUMMYFUNCTION("""COMPUTED_VALUE"""),-2.0356291258038643)</f>
        <v>-2.035629126</v>
      </c>
      <c r="AZ312" s="30">
        <f>IFERROR(__xludf.DUMMYFUNCTION("""COMPUTED_VALUE"""),4.060560564629258)</f>
        <v>4.060560565</v>
      </c>
      <c r="BA312" s="30">
        <f>IFERROR(__xludf.DUMMYFUNCTION("""COMPUTED_VALUE"""),1200.0)</f>
        <v>1200</v>
      </c>
    </row>
    <row r="313">
      <c r="A313" s="71" t="str">
        <f>IFERROR(__xludf.DUMMYFUNCTION("""COMPUTED_VALUE"""),"Veteran")</f>
        <v>Veteran</v>
      </c>
      <c r="B313" s="71" t="str">
        <f>IFERROR(__xludf.DUMMYFUNCTION("""COMPUTED_VALUE"""),"RSC005758")</f>
        <v>RSC005758</v>
      </c>
      <c r="C313" s="30" t="str">
        <f>IFERROR(__xludf.DUMMYFUNCTION("""COMPUTED_VALUE"""),"ghostsynn.")</f>
        <v>ghostsynn.</v>
      </c>
      <c r="D313" s="30" t="str">
        <f>IFERROR(__xludf.DUMMYFUNCTION("""COMPUTED_VALUE"""),"Typhoons")</f>
        <v>Typhoons</v>
      </c>
      <c r="E313" s="30">
        <f>IFERROR(__xludf.DUMMYFUNCTION("""COMPUTED_VALUE"""),25.0)</f>
        <v>25</v>
      </c>
      <c r="F313" s="30">
        <f>IFERROR(__xludf.DUMMYFUNCTION("""COMPUTED_VALUE"""),15.0)</f>
        <v>15</v>
      </c>
      <c r="G313" s="42">
        <f>IFERROR(__xludf.DUMMYFUNCTION("""COMPUTED_VALUE"""),10.0)</f>
        <v>10</v>
      </c>
      <c r="H313" s="42">
        <f>IFERROR(__xludf.DUMMYFUNCTION("""COMPUTED_VALUE"""),0.6)</f>
        <v>0.6</v>
      </c>
      <c r="I313" s="42">
        <f>IFERROR(__xludf.DUMMYFUNCTION("""COMPUTED_VALUE"""),0.25)</f>
        <v>0.25</v>
      </c>
      <c r="J313" s="30">
        <f>IFERROR(__xludf.DUMMYFUNCTION("""COMPUTED_VALUE"""),366.56)</f>
        <v>366.56</v>
      </c>
      <c r="K313" s="30">
        <f>IFERROR(__xludf.DUMMYFUNCTION("""COMPUTED_VALUE"""),0.8)</f>
        <v>0.8</v>
      </c>
      <c r="L313" s="30">
        <f>IFERROR(__xludf.DUMMYFUNCTION("""COMPUTED_VALUE"""),0.52)</f>
        <v>0.52</v>
      </c>
      <c r="M313" s="30">
        <f>IFERROR(__xludf.DUMMYFUNCTION("""COMPUTED_VALUE"""),1.4)</f>
        <v>1.4</v>
      </c>
      <c r="N313" s="30">
        <f>IFERROR(__xludf.DUMMYFUNCTION("""COMPUTED_VALUE"""),3.2)</f>
        <v>3.2</v>
      </c>
      <c r="O313" s="30">
        <f>IFERROR(__xludf.DUMMYFUNCTION("""COMPUTED_VALUE"""),332.2933333333333)</f>
        <v>332.2933333</v>
      </c>
      <c r="P313" s="30">
        <f>IFERROR(__xludf.DUMMYFUNCTION("""COMPUTED_VALUE"""),0.64)</f>
        <v>0.64</v>
      </c>
      <c r="Q313" s="30">
        <f>IFERROR(__xludf.DUMMYFUNCTION("""COMPUTED_VALUE"""),0.5466666666666666)</f>
        <v>0.5466666667</v>
      </c>
      <c r="R313" s="30">
        <f>IFERROR(__xludf.DUMMYFUNCTION("""COMPUTED_VALUE"""),1.3733333333333337)</f>
        <v>1.373333333</v>
      </c>
      <c r="S313" s="30">
        <f>IFERROR(__xludf.DUMMYFUNCTION("""COMPUTED_VALUE"""),2.0666666666666664)</f>
        <v>2.066666667</v>
      </c>
      <c r="T313" s="30">
        <f>IFERROR(__xludf.DUMMYFUNCTION("""COMPUTED_VALUE"""),345.7466314457808)</f>
        <v>345.7466314</v>
      </c>
      <c r="U313" s="30">
        <f>IFERROR(__xludf.DUMMYFUNCTION("""COMPUTED_VALUE"""),0.7309194532022261)</f>
        <v>0.7309194532</v>
      </c>
      <c r="V313" s="30">
        <f>IFERROR(__xludf.DUMMYFUNCTION("""COMPUTED_VALUE"""),0.5524275503014837)</f>
        <v>0.5524275503</v>
      </c>
      <c r="W313" s="30">
        <f>IFERROR(__xludf.DUMMYFUNCTION("""COMPUTED_VALUE"""),1.361217006060036)</f>
        <v>1.361217006</v>
      </c>
      <c r="X313" s="30">
        <f>IFERROR(__xludf.DUMMYFUNCTION("""COMPUTED_VALUE"""),2.540292228446281)</f>
        <v>2.540292228</v>
      </c>
      <c r="Y313" s="30">
        <f>IFERROR(__xludf.DUMMYFUNCTION("""COMPUTED_VALUE"""),354.72748314084123)</f>
        <v>354.7274831</v>
      </c>
      <c r="Z313" s="30">
        <f>IFERROR(__xludf.DUMMYFUNCTION("""COMPUTED_VALUE"""),0.7601273753221246)</f>
        <v>0.7601273753</v>
      </c>
      <c r="AA313" s="30">
        <f>IFERROR(__xludf.DUMMYFUNCTION("""COMPUTED_VALUE"""),0.5755475576713548)</f>
        <v>0.5755475577</v>
      </c>
      <c r="AB313" s="30">
        <f>IFERROR(__xludf.DUMMYFUNCTION("""COMPUTED_VALUE"""),1.4000041434934802)</f>
        <v>1.400004143</v>
      </c>
      <c r="AC313" s="30">
        <f>IFERROR(__xludf.DUMMYFUNCTION("""COMPUTED_VALUE"""),2.6188093728467163)</f>
        <v>2.618809373</v>
      </c>
      <c r="AD313" s="30">
        <f>IFERROR(__xludf.DUMMYFUNCTION("""COMPUTED_VALUE"""),1.0333566397347926)</f>
        <v>1.03335664</v>
      </c>
      <c r="AE313" s="30">
        <f>IFERROR(__xludf.DUMMYFUNCTION("""COMPUTED_VALUE"""),1.0524551883965214)</f>
        <v>1.052455188</v>
      </c>
      <c r="AF313" s="30">
        <f>IFERROR(__xludf.DUMMYFUNCTION("""COMPUTED_VALUE"""),0.9034874582804273)</f>
        <v>0.9034874583</v>
      </c>
      <c r="AG313" s="30">
        <f>IFERROR(__xludf.DUMMYFUNCTION("""COMPUTED_VALUE"""),0.9999970403705593)</f>
        <v>0.9999970404</v>
      </c>
      <c r="AH313" s="30">
        <f>IFERROR(__xludf.DUMMYFUNCTION("""COMPUTED_VALUE"""),1.2219293367357678)</f>
        <v>1.221929337</v>
      </c>
      <c r="AI313" s="30">
        <f>IFERROR(__xludf.DUMMYFUNCTION("""COMPUTED_VALUE"""),0.96108914190663)</f>
        <v>0.9610891419</v>
      </c>
      <c r="AJ313" s="30">
        <f>IFERROR(__xludf.DUMMYFUNCTION("""COMPUTED_VALUE"""),0.8756094767981623)</f>
        <v>0.8756094768</v>
      </c>
      <c r="AK313" s="30">
        <f>IFERROR(__xludf.DUMMYFUNCTION("""COMPUTED_VALUE"""),0.9895716938236098)</f>
        <v>0.9895716938</v>
      </c>
      <c r="AL313" s="30">
        <f>IFERROR(__xludf.DUMMYFUNCTION("""COMPUTED_VALUE"""),1.0089010989572984)</f>
        <v>1.008901099</v>
      </c>
      <c r="AM313" s="30">
        <f>IFERROR(__xludf.DUMMYFUNCTION("""COMPUTED_VALUE"""),0.8135546940324664)</f>
        <v>0.813554694</v>
      </c>
      <c r="AN313" s="30">
        <f>IFERROR(__xludf.DUMMYFUNCTION("""COMPUTED_VALUE"""),1.061639448462388)</f>
        <v>1.061639448</v>
      </c>
      <c r="AO313" s="30">
        <f>IFERROR(__xludf.DUMMYFUNCTION("""COMPUTED_VALUE"""),1.0605202045253934)</f>
        <v>1.060520205</v>
      </c>
      <c r="AP313" s="30">
        <f>IFERROR(__xludf.DUMMYFUNCTION("""COMPUTED_VALUE"""),0.9643458875961032)</f>
        <v>0.9643458876</v>
      </c>
      <c r="AQ313" s="30">
        <f>IFERROR(__xludf.DUMMYFUNCTION("""COMPUTED_VALUE"""),1.0365428686849618)</f>
        <v>1.036542869</v>
      </c>
      <c r="AR313" s="30">
        <f>IFERROR(__xludf.DUMMYFUNCTION("""COMPUTED_VALUE"""),1.2496672166631901)</f>
        <v>1.249667217</v>
      </c>
      <c r="AS313" s="30">
        <f>IFERROR(__xludf.DUMMYFUNCTION("""COMPUTED_VALUE"""),56.0)</f>
        <v>56</v>
      </c>
      <c r="AT313" s="30">
        <f>IFERROR(__xludf.DUMMYFUNCTION("""COMPUTED_VALUE"""),0.5577593307600843)</f>
        <v>0.5577593308</v>
      </c>
      <c r="AU313" s="30">
        <f>IFERROR(__xludf.DUMMYFUNCTION("""COMPUTED_VALUE"""),2.7736181600880965)</f>
        <v>2.77361816</v>
      </c>
      <c r="AV313" s="32">
        <f>IFERROR(__xludf.DUMMYFUNCTION("""COMPUTED_VALUE"""),62.50466527755347)</f>
        <v>62.50466528</v>
      </c>
      <c r="AW313" s="32">
        <f>IFERROR(__xludf.DUMMYFUNCTION("""COMPUTED_VALUE"""),3.2417869712816505)</f>
        <v>3.241786971</v>
      </c>
      <c r="AX313" s="32">
        <f>IFERROR(__xludf.DUMMYFUNCTION("""COMPUTED_VALUE"""),76.79877654278762)</f>
        <v>76.79877654</v>
      </c>
      <c r="AY313" s="32">
        <f>IFERROR(__xludf.DUMMYFUNCTION("""COMPUTED_VALUE"""),7.0486565386289515)</f>
        <v>7.048656539</v>
      </c>
      <c r="AZ313" s="30">
        <f>IFERROR(__xludf.DUMMYFUNCTION("""COMPUTED_VALUE"""),3.806869567347301)</f>
        <v>3.806869567</v>
      </c>
      <c r="BA313" s="30">
        <f>IFERROR(__xludf.DUMMYFUNCTION("""COMPUTED_VALUE"""),1200.0)</f>
        <v>1200</v>
      </c>
    </row>
    <row r="314">
      <c r="A314" s="71" t="str">
        <f>IFERROR(__xludf.DUMMYFUNCTION("""COMPUTED_VALUE"""),"Veteran")</f>
        <v>Veteran</v>
      </c>
      <c r="B314" s="71" t="str">
        <f>IFERROR(__xludf.DUMMYFUNCTION("""COMPUTED_VALUE"""),"RSC004094")</f>
        <v>RSC004094</v>
      </c>
      <c r="C314" s="30" t="str">
        <f>IFERROR(__xludf.DUMMYFUNCTION("""COMPUTED_VALUE"""),"Moxen")</f>
        <v>Moxen</v>
      </c>
      <c r="D314" s="30"/>
      <c r="E314" s="30">
        <f>IFERROR(__xludf.DUMMYFUNCTION("""COMPUTED_VALUE"""),16.0)</f>
        <v>16</v>
      </c>
      <c r="F314" s="30">
        <f>IFERROR(__xludf.DUMMYFUNCTION("""COMPUTED_VALUE"""),8.0)</f>
        <v>8</v>
      </c>
      <c r="G314" s="42">
        <f>IFERROR(__xludf.DUMMYFUNCTION("""COMPUTED_VALUE"""),8.0)</f>
        <v>8</v>
      </c>
      <c r="H314" s="42">
        <f>IFERROR(__xludf.DUMMYFUNCTION("""COMPUTED_VALUE"""),0.5)</f>
        <v>0.5</v>
      </c>
      <c r="I314" s="42">
        <f>IFERROR(__xludf.DUMMYFUNCTION("""COMPUTED_VALUE"""),0.30952380952380953)</f>
        <v>0.3095238095</v>
      </c>
      <c r="J314" s="30">
        <f>IFERROR(__xludf.DUMMYFUNCTION("""COMPUTED_VALUE"""),311.125)</f>
        <v>311.125</v>
      </c>
      <c r="K314" s="30">
        <f>IFERROR(__xludf.DUMMYFUNCTION("""COMPUTED_VALUE"""),0.8125)</f>
        <v>0.8125</v>
      </c>
      <c r="L314" s="30">
        <f>IFERROR(__xludf.DUMMYFUNCTION("""COMPUTED_VALUE"""),0.375)</f>
        <v>0.375</v>
      </c>
      <c r="M314" s="30">
        <f>IFERROR(__xludf.DUMMYFUNCTION("""COMPUTED_VALUE"""),1.0)</f>
        <v>1</v>
      </c>
      <c r="N314" s="30">
        <f>IFERROR(__xludf.DUMMYFUNCTION("""COMPUTED_VALUE"""),2.625)</f>
        <v>2.625</v>
      </c>
      <c r="O314" s="30">
        <f>IFERROR(__xludf.DUMMYFUNCTION("""COMPUTED_VALUE"""),383.68750000000006)</f>
        <v>383.6875</v>
      </c>
      <c r="P314" s="30">
        <f>IFERROR(__xludf.DUMMYFUNCTION("""COMPUTED_VALUE"""),0.8333333333333336)</f>
        <v>0.8333333333</v>
      </c>
      <c r="Q314" s="30">
        <f>IFERROR(__xludf.DUMMYFUNCTION("""COMPUTED_VALUE"""),0.625)</f>
        <v>0.625</v>
      </c>
      <c r="R314" s="30">
        <f>IFERROR(__xludf.DUMMYFUNCTION("""COMPUTED_VALUE"""),1.5833333333333333)</f>
        <v>1.583333333</v>
      </c>
      <c r="S314" s="30">
        <f>IFERROR(__xludf.DUMMYFUNCTION("""COMPUTED_VALUE"""),2.6875)</f>
        <v>2.6875</v>
      </c>
      <c r="T314" s="30">
        <f>IFERROR(__xludf.DUMMYFUNCTION("""COMPUTED_VALUE"""),368.00721511274753)</f>
        <v>368.0072151</v>
      </c>
      <c r="U314" s="30">
        <f>IFERROR(__xludf.DUMMYFUNCTION("""COMPUTED_VALUE"""),0.8270545158027369)</f>
        <v>0.8270545158</v>
      </c>
      <c r="V314" s="30">
        <f>IFERROR(__xludf.DUMMYFUNCTION("""COMPUTED_VALUE"""),0.6532107623515357)</f>
        <v>0.6532107624</v>
      </c>
      <c r="W314" s="30">
        <f>IFERROR(__xludf.DUMMYFUNCTION("""COMPUTED_VALUE"""),1.3806722061584489)</f>
        <v>1.380672206</v>
      </c>
      <c r="X314" s="30">
        <f>IFERROR(__xludf.DUMMYFUNCTION("""COMPUTED_VALUE"""),2.7113071707177494)</f>
        <v>2.711307171</v>
      </c>
      <c r="Y314" s="30">
        <f>IFERROR(__xludf.DUMMYFUNCTION("""COMPUTED_VALUE"""),361.2198493697059)</f>
        <v>361.2198494</v>
      </c>
      <c r="Z314" s="30">
        <f>IFERROR(__xludf.DUMMYFUNCTION("""COMPUTED_VALUE"""),0.7949240150062415)</f>
        <v>0.794924015</v>
      </c>
      <c r="AA314" s="30">
        <f>IFERROR(__xludf.DUMMYFUNCTION("""COMPUTED_VALUE"""),0.5685741874408068)</f>
        <v>0.5685741874</v>
      </c>
      <c r="AB314" s="30">
        <f>IFERROR(__xludf.DUMMYFUNCTION("""COMPUTED_VALUE"""),1.4343646829998427)</f>
        <v>1.434364683</v>
      </c>
      <c r="AC314" s="30">
        <f>IFERROR(__xludf.DUMMYFUNCTION("""COMPUTED_VALUE"""),2.5905688343138933)</f>
        <v>2.590568834</v>
      </c>
      <c r="AD314" s="30">
        <f>IFERROR(__xludf.DUMMYFUNCTION("""COMPUTED_VALUE"""),0.8613175619858193)</f>
        <v>0.861317562</v>
      </c>
      <c r="AE314" s="30">
        <f>IFERROR(__xludf.DUMMYFUNCTION("""COMPUTED_VALUE"""),1.0221102704937408)</f>
        <v>1.02211027</v>
      </c>
      <c r="AF314" s="30">
        <f>IFERROR(__xludf.DUMMYFUNCTION("""COMPUTED_VALUE"""),0.6595445383968307)</f>
        <v>0.6595445384</v>
      </c>
      <c r="AG314" s="30">
        <f>IFERROR(__xludf.DUMMYFUNCTION("""COMPUTED_VALUE"""),0.6971727705318228)</f>
        <v>0.6971727705</v>
      </c>
      <c r="AH314" s="30">
        <f>IFERROR(__xludf.DUMMYFUNCTION("""COMPUTED_VALUE"""),1.0132909673080452)</f>
        <v>1.013290967</v>
      </c>
      <c r="AI314" s="30">
        <f>IFERROR(__xludf.DUMMYFUNCTION("""COMPUTED_VALUE"""),1.0426086344053023)</f>
        <v>1.042608634</v>
      </c>
      <c r="AJ314" s="30">
        <f>IFERROR(__xludf.DUMMYFUNCTION("""COMPUTED_VALUE"""),1.0075917819329026)</f>
        <v>1.007591782</v>
      </c>
      <c r="AK314" s="30">
        <f>IFERROR(__xludf.DUMMYFUNCTION("""COMPUTED_VALUE"""),0.9568121592945316)</f>
        <v>0.9568121593</v>
      </c>
      <c r="AL314" s="30">
        <f>IFERROR(__xludf.DUMMYFUNCTION("""COMPUTED_VALUE"""),1.1467843897131558)</f>
        <v>1.14678439</v>
      </c>
      <c r="AM314" s="30">
        <f>IFERROR(__xludf.DUMMYFUNCTION("""COMPUTED_VALUE"""),0.9912193015329034)</f>
        <v>0.9912193015</v>
      </c>
      <c r="AN314" s="30">
        <f>IFERROR(__xludf.DUMMYFUNCTION("""COMPUTED_VALUE"""),0.9010873346869829)</f>
        <v>0.9010873347</v>
      </c>
      <c r="AO314" s="30">
        <f>IFERROR(__xludf.DUMMYFUNCTION("""COMPUTED_VALUE"""),1.0770908327211026)</f>
        <v>1.077090833</v>
      </c>
      <c r="AP314" s="30">
        <f>IFERROR(__xludf.DUMMYFUNCTION("""COMPUTED_VALUE"""),0.6954417458625743)</f>
        <v>0.6954417459</v>
      </c>
      <c r="AQ314" s="30">
        <f>IFERROR(__xludf.DUMMYFUNCTION("""COMPUTED_VALUE"""),0.7403877633464013)</f>
        <v>0.7403877633</v>
      </c>
      <c r="AR314" s="30">
        <f>IFERROR(__xludf.DUMMYFUNCTION("""COMPUTED_VALUE"""),1.025117638669023)</f>
        <v>1.025117639</v>
      </c>
      <c r="AS314" s="30">
        <f>IFERROR(__xludf.DUMMYFUNCTION("""COMPUTED_VALUE"""),40.0)</f>
        <v>40</v>
      </c>
      <c r="AT314" s="30">
        <f>IFERROR(__xludf.DUMMYFUNCTION("""COMPUTED_VALUE"""),0.4999999999999998)</f>
        <v>0.5</v>
      </c>
      <c r="AU314" s="30">
        <f>IFERROR(__xludf.DUMMYFUNCTION("""COMPUTED_VALUE"""),2.134443469962126)</f>
        <v>2.13444347</v>
      </c>
      <c r="AV314" s="32">
        <f>IFERROR(__xludf.DUMMYFUNCTION("""COMPUTED_VALUE"""),42.705531193772224)</f>
        <v>42.70553119</v>
      </c>
      <c r="AW314" s="32">
        <f>IFERROR(__xludf.DUMMYFUNCTION("""COMPUTED_VALUE"""),-2.5958660067860704)</f>
        <v>-2.595866007</v>
      </c>
      <c r="AX314" s="32">
        <f>IFERROR(__xludf.DUMMYFUNCTION("""COMPUTED_VALUE"""),25.67212301769427)</f>
        <v>25.67212302</v>
      </c>
      <c r="AY314" s="32">
        <f>IFERROR(__xludf.DUMMYFUNCTION("""COMPUTED_VALUE"""),-6.0515084363673814)</f>
        <v>-6.051508436</v>
      </c>
      <c r="AZ314" s="30">
        <f>IFERROR(__xludf.DUMMYFUNCTION("""COMPUTED_VALUE"""),3.455642429581311)</f>
        <v>3.45564243</v>
      </c>
      <c r="BA314" s="30">
        <f>IFERROR(__xludf.DUMMYFUNCTION("""COMPUTED_VALUE"""),1200.0)</f>
        <v>1200</v>
      </c>
    </row>
    <row r="315">
      <c r="A315" s="71" t="str">
        <f>IFERROR(__xludf.DUMMYFUNCTION("""COMPUTED_VALUE"""),"Veteran")</f>
        <v>Veteran</v>
      </c>
      <c r="B315" s="71" t="str">
        <f>IFERROR(__xludf.DUMMYFUNCTION("""COMPUTED_VALUE"""),"RSC005257")</f>
        <v>RSC005257</v>
      </c>
      <c r="C315" s="30" t="str">
        <f>IFERROR(__xludf.DUMMYFUNCTION("""COMPUTED_VALUE"""),"P0pfgf")</f>
        <v>P0pfgf</v>
      </c>
      <c r="D315" s="30" t="str">
        <f>IFERROR(__xludf.DUMMYFUNCTION("""COMPUTED_VALUE"""),"Mosaic Maestros")</f>
        <v>Mosaic Maestros</v>
      </c>
      <c r="E315" s="30">
        <f>IFERROR(__xludf.DUMMYFUNCTION("""COMPUTED_VALUE"""),29.0)</f>
        <v>29</v>
      </c>
      <c r="F315" s="30">
        <f>IFERROR(__xludf.DUMMYFUNCTION("""COMPUTED_VALUE"""),18.0)</f>
        <v>18</v>
      </c>
      <c r="G315" s="42">
        <f>IFERROR(__xludf.DUMMYFUNCTION("""COMPUTED_VALUE"""),11.0)</f>
        <v>11</v>
      </c>
      <c r="H315" s="42">
        <f>IFERROR(__xludf.DUMMYFUNCTION("""COMPUTED_VALUE"""),0.6206896551724138)</f>
        <v>0.6206896552</v>
      </c>
      <c r="I315" s="42">
        <f>IFERROR(__xludf.DUMMYFUNCTION("""COMPUTED_VALUE"""),0.22340425531914895)</f>
        <v>0.2234042553</v>
      </c>
      <c r="J315" s="30">
        <f>IFERROR(__xludf.DUMMYFUNCTION("""COMPUTED_VALUE"""),383.3103448275862)</f>
        <v>383.3103448</v>
      </c>
      <c r="K315" s="30">
        <f>IFERROR(__xludf.DUMMYFUNCTION("""COMPUTED_VALUE"""),0.7241379310344828)</f>
        <v>0.724137931</v>
      </c>
      <c r="L315" s="30">
        <f>IFERROR(__xludf.DUMMYFUNCTION("""COMPUTED_VALUE"""),0.9310344827586207)</f>
        <v>0.9310344828</v>
      </c>
      <c r="M315" s="30">
        <f>IFERROR(__xludf.DUMMYFUNCTION("""COMPUTED_VALUE"""),1.6551724137931034)</f>
        <v>1.655172414</v>
      </c>
      <c r="N315" s="30">
        <f>IFERROR(__xludf.DUMMYFUNCTION("""COMPUTED_VALUE"""),3.2413793103448274)</f>
        <v>3.24137931</v>
      </c>
      <c r="O315" s="30">
        <f>IFERROR(__xludf.DUMMYFUNCTION("""COMPUTED_VALUE"""),364.52873563218395)</f>
        <v>364.5287356</v>
      </c>
      <c r="P315" s="30">
        <f>IFERROR(__xludf.DUMMYFUNCTION("""COMPUTED_VALUE"""),0.7816091954022988)</f>
        <v>0.7816091954</v>
      </c>
      <c r="Q315" s="30">
        <f>IFERROR(__xludf.DUMMYFUNCTION("""COMPUTED_VALUE"""),0.5402298850574713)</f>
        <v>0.5402298851</v>
      </c>
      <c r="R315" s="30">
        <f>IFERROR(__xludf.DUMMYFUNCTION("""COMPUTED_VALUE"""),1.5057471264367812)</f>
        <v>1.505747126</v>
      </c>
      <c r="S315" s="30">
        <f>IFERROR(__xludf.DUMMYFUNCTION("""COMPUTED_VALUE"""),2.563218390804598)</f>
        <v>2.563218391</v>
      </c>
      <c r="T315" s="30">
        <f>IFERROR(__xludf.DUMMYFUNCTION("""COMPUTED_VALUE"""),352.4126477757561)</f>
        <v>352.4126478</v>
      </c>
      <c r="U315" s="30">
        <f>IFERROR(__xludf.DUMMYFUNCTION("""COMPUTED_VALUE"""),0.7892412310506359)</f>
        <v>0.7892412311</v>
      </c>
      <c r="V315" s="30">
        <f>IFERROR(__xludf.DUMMYFUNCTION("""COMPUTED_VALUE"""),0.5502527924186076)</f>
        <v>0.5502527924</v>
      </c>
      <c r="W315" s="30">
        <f>IFERROR(__xludf.DUMMYFUNCTION("""COMPUTED_VALUE"""),1.4058075210339074)</f>
        <v>1.405807521</v>
      </c>
      <c r="X315" s="30">
        <f>IFERROR(__xludf.DUMMYFUNCTION("""COMPUTED_VALUE"""),2.5770642029792614)</f>
        <v>2.577064203</v>
      </c>
      <c r="Y315" s="30">
        <f>IFERROR(__xludf.DUMMYFUNCTION("""COMPUTED_VALUE"""),360.47305216569845)</f>
        <v>360.4730522</v>
      </c>
      <c r="Z315" s="30">
        <f>IFERROR(__xludf.DUMMYFUNCTION("""COMPUTED_VALUE"""),0.8237584706692817)</f>
        <v>0.8237584707</v>
      </c>
      <c r="AA315" s="30">
        <f>IFERROR(__xludf.DUMMYFUNCTION("""COMPUTED_VALUE"""),0.5855972291831992)</f>
        <v>0.5855972292</v>
      </c>
      <c r="AB315" s="30">
        <f>IFERROR(__xludf.DUMMYFUNCTION("""COMPUTED_VALUE"""),1.392358858802097)</f>
        <v>1.392358859</v>
      </c>
      <c r="AC315" s="30">
        <f>IFERROR(__xludf.DUMMYFUNCTION("""COMPUTED_VALUE"""),2.693409530538234)</f>
        <v>2.693409531</v>
      </c>
      <c r="AD315" s="30">
        <f>IFERROR(__xludf.DUMMYFUNCTION("""COMPUTED_VALUE"""),1.0633536751906496)</f>
        <v>1.063353675</v>
      </c>
      <c r="AE315" s="30">
        <f>IFERROR(__xludf.DUMMYFUNCTION("""COMPUTED_VALUE"""),0.8790658388570379)</f>
        <v>0.8790658389</v>
      </c>
      <c r="AF315" s="30">
        <f>IFERROR(__xludf.DUMMYFUNCTION("""COMPUTED_VALUE"""),1.5898888115595136)</f>
        <v>1.589888812</v>
      </c>
      <c r="AG315" s="30">
        <f>IFERROR(__xludf.DUMMYFUNCTION("""COMPUTED_VALUE"""),1.1887541802385024)</f>
        <v>1.18875418</v>
      </c>
      <c r="AH315" s="30">
        <f>IFERROR(__xludf.DUMMYFUNCTION("""COMPUTED_VALUE"""),1.2034483703995398)</f>
        <v>1.20344837</v>
      </c>
      <c r="AI315" s="30">
        <f>IFERROR(__xludf.DUMMYFUNCTION("""COMPUTED_VALUE"""),1.0343804001726336)</f>
        <v>1.0343804</v>
      </c>
      <c r="AJ315" s="30">
        <f>IFERROR(__xludf.DUMMYFUNCTION("""COMPUTED_VALUE"""),0.9903299075769554)</f>
        <v>0.9903299076</v>
      </c>
      <c r="AK315" s="30">
        <f>IFERROR(__xludf.DUMMYFUNCTION("""COMPUTED_VALUE"""),0.9817849041400024)</f>
        <v>0.9817849041</v>
      </c>
      <c r="AL315" s="30">
        <f>IFERROR(__xludf.DUMMYFUNCTION("""COMPUTED_VALUE"""),1.0710905325996356)</f>
        <v>1.071090533</v>
      </c>
      <c r="AM315" s="30">
        <f>IFERROR(__xludf.DUMMYFUNCTION("""COMPUTED_VALUE"""),0.9946272924987059)</f>
        <v>0.9946272925</v>
      </c>
      <c r="AN315" s="30">
        <f>IFERROR(__xludf.DUMMYFUNCTION("""COMPUTED_VALUE"""),1.110152179923304)</f>
        <v>1.11015218</v>
      </c>
      <c r="AO315" s="30">
        <f>IFERROR(__xludf.DUMMYFUNCTION("""COMPUTED_VALUE"""),0.9599536334066061)</f>
        <v>0.9599536334</v>
      </c>
      <c r="AP315" s="30">
        <f>IFERROR(__xludf.DUMMYFUNCTION("""COMPUTED_VALUE"""),1.7266139897277708)</f>
        <v>1.72661399</v>
      </c>
      <c r="AQ315" s="30">
        <f>IFERROR(__xludf.DUMMYFUNCTION("""COMPUTED_VALUE"""),1.2254694014009402)</f>
        <v>1.225469401</v>
      </c>
      <c r="AR315" s="30">
        <f>IFERROR(__xludf.DUMMYFUNCTION("""COMPUTED_VALUE"""),1.2658267065338347)</f>
        <v>1.265826707</v>
      </c>
      <c r="AS315" s="30">
        <f>IFERROR(__xludf.DUMMYFUNCTION("""COMPUTED_VALUE"""),78.0)</f>
        <v>78</v>
      </c>
      <c r="AT315" s="30">
        <f>IFERROR(__xludf.DUMMYFUNCTION("""COMPUTED_VALUE"""),0.5543301194801056)</f>
        <v>0.5543301195</v>
      </c>
      <c r="AU315" s="30">
        <f>IFERROR(__xludf.DUMMYFUNCTION("""COMPUTED_VALUE"""),3.1990587742101604)</f>
        <v>3.199058774</v>
      </c>
      <c r="AV315" s="32">
        <f>IFERROR(__xludf.DUMMYFUNCTION("""COMPUTED_VALUE"""),75.6831529332973)</f>
        <v>75.68315293</v>
      </c>
      <c r="AW315" s="32">
        <f>IFERROR(__xludf.DUMMYFUNCTION("""COMPUTED_VALUE"""),6.573175768500138)</f>
        <v>6.573175769</v>
      </c>
      <c r="AX315" s="32">
        <f>IFERROR(__xludf.DUMMYFUNCTION("""COMPUTED_VALUE"""),63.79837928629904)</f>
        <v>63.79837929</v>
      </c>
      <c r="AY315" s="32">
        <f>IFERROR(__xludf.DUMMYFUNCTION("""COMPUTED_VALUE"""),3.4423836278134496)</f>
        <v>3.442383628</v>
      </c>
      <c r="AZ315" s="30">
        <f>IFERROR(__xludf.DUMMYFUNCTION("""COMPUTED_VALUE"""),3.1307921406866885)</f>
        <v>3.130792141</v>
      </c>
      <c r="BA315" s="30">
        <f>IFERROR(__xludf.DUMMYFUNCTION("""COMPUTED_VALUE"""),1200.0)</f>
        <v>1200</v>
      </c>
    </row>
    <row r="316">
      <c r="A316" s="71" t="str">
        <f>IFERROR(__xludf.DUMMYFUNCTION("""COMPUTED_VALUE"""),"Veteran")</f>
        <v>Veteran</v>
      </c>
      <c r="B316" s="71" t="str">
        <f>IFERROR(__xludf.DUMMYFUNCTION("""COMPUTED_VALUE"""),"RSC007510")</f>
        <v>RSC007510</v>
      </c>
      <c r="C316" s="30" t="str">
        <f>IFERROR(__xludf.DUMMYFUNCTION("""COMPUTED_VALUE"""),"Faolaen")</f>
        <v>Faolaen</v>
      </c>
      <c r="D316" s="30" t="str">
        <f>IFERROR(__xludf.DUMMYFUNCTION("""COMPUTED_VALUE"""),"Dread")</f>
        <v>Dread</v>
      </c>
      <c r="E316" s="30">
        <f>IFERROR(__xludf.DUMMYFUNCTION("""COMPUTED_VALUE"""),24.0)</f>
        <v>24</v>
      </c>
      <c r="F316" s="30">
        <f>IFERROR(__xludf.DUMMYFUNCTION("""COMPUTED_VALUE"""),8.0)</f>
        <v>8</v>
      </c>
      <c r="G316" s="42">
        <f>IFERROR(__xludf.DUMMYFUNCTION("""COMPUTED_VALUE"""),16.0)</f>
        <v>16</v>
      </c>
      <c r="H316" s="42">
        <f>IFERROR(__xludf.DUMMYFUNCTION("""COMPUTED_VALUE"""),0.3333333333333333)</f>
        <v>0.3333333333</v>
      </c>
      <c r="I316" s="42">
        <f>IFERROR(__xludf.DUMMYFUNCTION("""COMPUTED_VALUE"""),0.25)</f>
        <v>0.25</v>
      </c>
      <c r="J316" s="30">
        <f>IFERROR(__xludf.DUMMYFUNCTION("""COMPUTED_VALUE"""),322.75)</f>
        <v>322.75</v>
      </c>
      <c r="K316" s="30">
        <f>IFERROR(__xludf.DUMMYFUNCTION("""COMPUTED_VALUE"""),0.5416666666666666)</f>
        <v>0.5416666667</v>
      </c>
      <c r="L316" s="30">
        <f>IFERROR(__xludf.DUMMYFUNCTION("""COMPUTED_VALUE"""),0.2916666666666667)</f>
        <v>0.2916666667</v>
      </c>
      <c r="M316" s="30">
        <f>IFERROR(__xludf.DUMMYFUNCTION("""COMPUTED_VALUE"""),1.5416666666666667)</f>
        <v>1.541666667</v>
      </c>
      <c r="N316" s="30">
        <f>IFERROR(__xludf.DUMMYFUNCTION("""COMPUTED_VALUE"""),2.1666666666666665)</f>
        <v>2.166666667</v>
      </c>
      <c r="O316" s="30">
        <f>IFERROR(__xludf.DUMMYFUNCTION("""COMPUTED_VALUE"""),343.0694444444444)</f>
        <v>343.0694444</v>
      </c>
      <c r="P316" s="30">
        <f>IFERROR(__xludf.DUMMYFUNCTION("""COMPUTED_VALUE"""),0.8055555555555555)</f>
        <v>0.8055555556</v>
      </c>
      <c r="Q316" s="30">
        <f>IFERROR(__xludf.DUMMYFUNCTION("""COMPUTED_VALUE"""),0.5694444444444445)</f>
        <v>0.5694444444</v>
      </c>
      <c r="R316" s="30">
        <f>IFERROR(__xludf.DUMMYFUNCTION("""COMPUTED_VALUE"""),1.1805555555555556)</f>
        <v>1.180555556</v>
      </c>
      <c r="S316" s="30">
        <f>IFERROR(__xludf.DUMMYFUNCTION("""COMPUTED_VALUE"""),2.680555555555556)</f>
        <v>2.680555556</v>
      </c>
      <c r="T316" s="30">
        <f>IFERROR(__xludf.DUMMYFUNCTION("""COMPUTED_VALUE"""),352.761061549335)</f>
        <v>352.7610615</v>
      </c>
      <c r="U316" s="30">
        <f>IFERROR(__xludf.DUMMYFUNCTION("""COMPUTED_VALUE"""),0.8222752325123373)</f>
        <v>0.8222752325</v>
      </c>
      <c r="V316" s="30">
        <f>IFERROR(__xludf.DUMMYFUNCTION("""COMPUTED_VALUE"""),0.5912576827250272)</f>
        <v>0.5912576827</v>
      </c>
      <c r="W316" s="30">
        <f>IFERROR(__xludf.DUMMYFUNCTION("""COMPUTED_VALUE"""),1.2916580882744446)</f>
        <v>1.291658088</v>
      </c>
      <c r="X316" s="30">
        <f>IFERROR(__xludf.DUMMYFUNCTION("""COMPUTED_VALUE"""),2.655247681519357)</f>
        <v>2.655247682</v>
      </c>
      <c r="Y316" s="30">
        <f>IFERROR(__xludf.DUMMYFUNCTION("""COMPUTED_VALUE"""),352.0464829363043)</f>
        <v>352.0464829</v>
      </c>
      <c r="Z316" s="30">
        <f>IFERROR(__xludf.DUMMYFUNCTION("""COMPUTED_VALUE"""),0.8019906307590462)</f>
        <v>0.8019906308</v>
      </c>
      <c r="AA316" s="30">
        <f>IFERROR(__xludf.DUMMYFUNCTION("""COMPUTED_VALUE"""),0.5980337263670237)</f>
        <v>0.5980337264</v>
      </c>
      <c r="AB316" s="30">
        <f>IFERROR(__xludf.DUMMYFUNCTION("""COMPUTED_VALUE"""),1.3402917794410223)</f>
        <v>1.340291779</v>
      </c>
      <c r="AC316" s="30">
        <f>IFERROR(__xludf.DUMMYFUNCTION("""COMPUTED_VALUE"""),2.614037793398739)</f>
        <v>2.614037793</v>
      </c>
      <c r="AD316" s="30">
        <f>IFERROR(__xludf.DUMMYFUNCTION("""COMPUTED_VALUE"""),0.9167823445019193)</f>
        <v>0.9167823445</v>
      </c>
      <c r="AE316" s="30">
        <f>IFERROR(__xludf.DUMMYFUNCTION("""COMPUTED_VALUE"""),0.6754027365057927)</f>
        <v>0.6754027365</v>
      </c>
      <c r="AF316" s="30">
        <f>IFERROR(__xludf.DUMMYFUNCTION("""COMPUTED_VALUE"""),0.4877093946498693)</f>
        <v>0.4877093946</v>
      </c>
      <c r="AG316" s="30">
        <f>IFERROR(__xludf.DUMMYFUNCTION("""COMPUTED_VALUE"""),1.1502470509142637)</f>
        <v>1.150247051</v>
      </c>
      <c r="AH316" s="30">
        <f>IFERROR(__xludf.DUMMYFUNCTION("""COMPUTED_VALUE"""),0.8288582024858921)</f>
        <v>0.8288582025</v>
      </c>
      <c r="AI316" s="30">
        <f>IFERROR(__xludf.DUMMYFUNCTION("""COMPUTED_VALUE"""),0.9725263977199615)</f>
        <v>0.9725263977</v>
      </c>
      <c r="AJ316" s="30">
        <f>IFERROR(__xludf.DUMMYFUNCTION("""COMPUTED_VALUE"""),0.9796665686917295)</f>
        <v>0.9796665687</v>
      </c>
      <c r="AK316" s="30">
        <f>IFERROR(__xludf.DUMMYFUNCTION("""COMPUTED_VALUE"""),0.9631070531209871)</f>
        <v>0.9631070531</v>
      </c>
      <c r="AL316" s="30">
        <f>IFERROR(__xludf.DUMMYFUNCTION("""COMPUTED_VALUE"""),0.9139845647021702)</f>
        <v>0.9139845647</v>
      </c>
      <c r="AM316" s="30">
        <f>IFERROR(__xludf.DUMMYFUNCTION("""COMPUTED_VALUE"""),1.0095312667862748)</f>
        <v>1.009531267</v>
      </c>
      <c r="AN316" s="30">
        <f>IFERROR(__xludf.DUMMYFUNCTION("""COMPUTED_VALUE"""),0.9347559253361952)</f>
        <v>0.9347559253</v>
      </c>
      <c r="AO316" s="30">
        <f>IFERROR(__xludf.DUMMYFUNCTION("""COMPUTED_VALUE"""),0.7180605551474017)</f>
        <v>0.7180605551</v>
      </c>
      <c r="AP316" s="30">
        <f>IFERROR(__xludf.DUMMYFUNCTION("""COMPUTED_VALUE"""),0.5408991356708912)</f>
        <v>0.5408991357</v>
      </c>
      <c r="AQ316" s="30">
        <f>IFERROR(__xludf.DUMMYFUNCTION("""COMPUTED_VALUE"""),1.1414311351590354)</f>
        <v>1.141431135</v>
      </c>
      <c r="AR316" s="30">
        <f>IFERROR(__xludf.DUMMYFUNCTION("""COMPUTED_VALUE"""),0.8461288446157016)</f>
        <v>0.8461288446</v>
      </c>
      <c r="AS316" s="30">
        <f>IFERROR(__xludf.DUMMYFUNCTION("""COMPUTED_VALUE"""),42.0)</f>
        <v>42</v>
      </c>
      <c r="AT316" s="30">
        <f>IFERROR(__xludf.DUMMYFUNCTION("""COMPUTED_VALUE"""),0.3807991502176715)</f>
        <v>0.3807991502</v>
      </c>
      <c r="AU316" s="30">
        <f>IFERROR(__xludf.DUMMYFUNCTION("""COMPUTED_VALUE"""),1.5502356135631161)</f>
        <v>1.550235614</v>
      </c>
      <c r="AV316" s="32">
        <f>IFERROR(__xludf.DUMMYFUNCTION("""COMPUTED_VALUE"""),24.60905481520535)</f>
        <v>24.60905482</v>
      </c>
      <c r="AW316" s="32">
        <f>IFERROR(__xludf.DUMMYFUNCTION("""COMPUTED_VALUE"""),-6.455738452094742)</f>
        <v>-6.455738452</v>
      </c>
      <c r="AX316" s="32">
        <f>IFERROR(__xludf.DUMMYFUNCTION("""COMPUTED_VALUE"""),36.620315508205216)</f>
        <v>36.62031551</v>
      </c>
      <c r="AY316" s="32">
        <f>IFERROR(__xludf.DUMMYFUNCTION("""COMPUTED_VALUE"""),-3.375411823255755)</f>
        <v>-3.375411823</v>
      </c>
      <c r="AZ316" s="30">
        <f>IFERROR(__xludf.DUMMYFUNCTION("""COMPUTED_VALUE"""),3.0803266288389874)</f>
        <v>3.080326629</v>
      </c>
      <c r="BA316" s="30">
        <f>IFERROR(__xludf.DUMMYFUNCTION("""COMPUTED_VALUE"""),1200.0)</f>
        <v>1200</v>
      </c>
    </row>
    <row r="317">
      <c r="A317" s="71" t="str">
        <f>IFERROR(__xludf.DUMMYFUNCTION("""COMPUTED_VALUE"""),"Veteran")</f>
        <v>Veteran</v>
      </c>
      <c r="B317" s="71" t="str">
        <f>IFERROR(__xludf.DUMMYFUNCTION("""COMPUTED_VALUE"""),"RSC004859")</f>
        <v>RSC004859</v>
      </c>
      <c r="C317" s="30" t="str">
        <f>IFERROR(__xludf.DUMMYFUNCTION("""COMPUTED_VALUE"""),"LowFadeEnthusiast")</f>
        <v>LowFadeEnthusiast</v>
      </c>
      <c r="D317" s="30"/>
      <c r="E317" s="30">
        <f>IFERROR(__xludf.DUMMYFUNCTION("""COMPUTED_VALUE"""),8.0)</f>
        <v>8</v>
      </c>
      <c r="F317" s="30">
        <f>IFERROR(__xludf.DUMMYFUNCTION("""COMPUTED_VALUE"""),5.0)</f>
        <v>5</v>
      </c>
      <c r="G317" s="42">
        <f>IFERROR(__xludf.DUMMYFUNCTION("""COMPUTED_VALUE"""),3.0)</f>
        <v>3</v>
      </c>
      <c r="H317" s="42">
        <f>IFERROR(__xludf.DUMMYFUNCTION("""COMPUTED_VALUE"""),0.625)</f>
        <v>0.625</v>
      </c>
      <c r="I317" s="42">
        <f>IFERROR(__xludf.DUMMYFUNCTION("""COMPUTED_VALUE"""),0.3157894736842105)</f>
        <v>0.3157894737</v>
      </c>
      <c r="J317" s="30">
        <f>IFERROR(__xludf.DUMMYFUNCTION("""COMPUTED_VALUE"""),283.125)</f>
        <v>283.125</v>
      </c>
      <c r="K317" s="30">
        <f>IFERROR(__xludf.DUMMYFUNCTION("""COMPUTED_VALUE"""),0.75)</f>
        <v>0.75</v>
      </c>
      <c r="L317" s="30">
        <f>IFERROR(__xludf.DUMMYFUNCTION("""COMPUTED_VALUE"""),0.25)</f>
        <v>0.25</v>
      </c>
      <c r="M317" s="30">
        <f>IFERROR(__xludf.DUMMYFUNCTION("""COMPUTED_VALUE"""),0.875)</f>
        <v>0.875</v>
      </c>
      <c r="N317" s="30">
        <f>IFERROR(__xludf.DUMMYFUNCTION("""COMPUTED_VALUE"""),2.375)</f>
        <v>2.375</v>
      </c>
      <c r="O317" s="30">
        <f>IFERROR(__xludf.DUMMYFUNCTION("""COMPUTED_VALUE"""),311.95833333333337)</f>
        <v>311.9583333</v>
      </c>
      <c r="P317" s="30">
        <f>IFERROR(__xludf.DUMMYFUNCTION("""COMPUTED_VALUE"""),0.41666666666666663)</f>
        <v>0.4166666667</v>
      </c>
      <c r="Q317" s="30">
        <f>IFERROR(__xludf.DUMMYFUNCTION("""COMPUTED_VALUE"""),0.375)</f>
        <v>0.375</v>
      </c>
      <c r="R317" s="30">
        <f>IFERROR(__xludf.DUMMYFUNCTION("""COMPUTED_VALUE"""),1.3333333333333335)</f>
        <v>1.333333333</v>
      </c>
      <c r="S317" s="30">
        <f>IFERROR(__xludf.DUMMYFUNCTION("""COMPUTED_VALUE"""),2.541666666666667)</f>
        <v>2.541666667</v>
      </c>
      <c r="T317" s="30">
        <f>IFERROR(__xludf.DUMMYFUNCTION("""COMPUTED_VALUE"""),338.7839856594811)</f>
        <v>338.7839857</v>
      </c>
      <c r="U317" s="30">
        <f>IFERROR(__xludf.DUMMYFUNCTION("""COMPUTED_VALUE"""),0.6641234319814883)</f>
        <v>0.664123432</v>
      </c>
      <c r="V317" s="30">
        <f>IFERROR(__xludf.DUMMYFUNCTION("""COMPUTED_VALUE"""),0.517148033126294)</f>
        <v>0.5171480331</v>
      </c>
      <c r="W317" s="30">
        <f>IFERROR(__xludf.DUMMYFUNCTION("""COMPUTED_VALUE"""),1.3584628851540617)</f>
        <v>1.358462885</v>
      </c>
      <c r="X317" s="30">
        <f>IFERROR(__xludf.DUMMYFUNCTION("""COMPUTED_VALUE"""),2.590229570088905)</f>
        <v>2.59022957</v>
      </c>
      <c r="Y317" s="30">
        <f>IFERROR(__xludf.DUMMYFUNCTION("""COMPUTED_VALUE"""),349.3048338610806)</f>
        <v>349.3048339</v>
      </c>
      <c r="Z317" s="30">
        <f>IFERROR(__xludf.DUMMYFUNCTION("""COMPUTED_VALUE"""),0.7094661632769049)</f>
        <v>0.7094661633</v>
      </c>
      <c r="AA317" s="30">
        <f>IFERROR(__xludf.DUMMYFUNCTION("""COMPUTED_VALUE"""),0.48773261478504437)</f>
        <v>0.4877326148</v>
      </c>
      <c r="AB317" s="30">
        <f>IFERROR(__xludf.DUMMYFUNCTION("""COMPUTED_VALUE"""),1.4309313725490198)</f>
        <v>1.430931373</v>
      </c>
      <c r="AC317" s="30">
        <f>IFERROR(__xludf.DUMMYFUNCTION("""COMPUTED_VALUE"""),2.3985381398936387)</f>
        <v>2.39853814</v>
      </c>
      <c r="AD317" s="30">
        <f>IFERROR(__xludf.DUMMYFUNCTION("""COMPUTED_VALUE"""),0.8105384539642515)</f>
        <v>0.810538454</v>
      </c>
      <c r="AE317" s="30">
        <f>IFERROR(__xludf.DUMMYFUNCTION("""COMPUTED_VALUE"""),1.0571328680932097)</f>
        <v>1.057132868</v>
      </c>
      <c r="AF317" s="30">
        <f>IFERROR(__xludf.DUMMYFUNCTION("""COMPUTED_VALUE"""),0.5125759328401303)</f>
        <v>0.5125759328</v>
      </c>
      <c r="AG317" s="30">
        <f>IFERROR(__xludf.DUMMYFUNCTION("""COMPUTED_VALUE"""),0.6114898427597546)</f>
        <v>0.6114898428</v>
      </c>
      <c r="AH317" s="30">
        <f>IFERROR(__xludf.DUMMYFUNCTION("""COMPUTED_VALUE"""),0.9901864642041163)</f>
        <v>0.9901864642</v>
      </c>
      <c r="AI317" s="30">
        <f>IFERROR(__xludf.DUMMYFUNCTION("""COMPUTED_VALUE"""),0.9208178265158296)</f>
        <v>0.9208178265</v>
      </c>
      <c r="AJ317" s="30">
        <f>IFERROR(__xludf.DUMMYFUNCTION("""COMPUTED_VALUE"""),0.6273934130339204)</f>
        <v>0.627393413</v>
      </c>
      <c r="AK317" s="30">
        <f>IFERROR(__xludf.DUMMYFUNCTION("""COMPUTED_VALUE"""),0.7251308638515509)</f>
        <v>0.7251308639</v>
      </c>
      <c r="AL317" s="30">
        <f>IFERROR(__xludf.DUMMYFUNCTION("""COMPUTED_VALUE"""),0.98150148075788)</f>
        <v>0.9815014808</v>
      </c>
      <c r="AM317" s="30">
        <f>IFERROR(__xludf.DUMMYFUNCTION("""COMPUTED_VALUE"""),0.9812515060506505)</f>
        <v>0.9812515061</v>
      </c>
      <c r="AN317" s="30">
        <f>IFERROR(__xludf.DUMMYFUNCTION("""COMPUTED_VALUE"""),0.8199930948437189)</f>
        <v>0.8199930948</v>
      </c>
      <c r="AO317" s="30">
        <f>IFERROR(__xludf.DUMMYFUNCTION("""COMPUTED_VALUE"""),0.9942376917425563)</f>
        <v>0.9942376917</v>
      </c>
      <c r="AP317" s="30">
        <f>IFERROR(__xludf.DUMMYFUNCTION("""COMPUTED_VALUE"""),0.4636278305750496)</f>
        <v>0.4636278306</v>
      </c>
      <c r="AQ317" s="30">
        <f>IFERROR(__xludf.DUMMYFUNCTION("""COMPUTED_VALUE"""),0.6478392929281012)</f>
        <v>0.6478392929</v>
      </c>
      <c r="AR317" s="30">
        <f>IFERROR(__xludf.DUMMYFUNCTION("""COMPUTED_VALUE"""),0.9274873873672114)</f>
        <v>0.9274873874</v>
      </c>
      <c r="AS317" s="30">
        <f>IFERROR(__xludf.DUMMYFUNCTION("""COMPUTED_VALUE"""),16.0)</f>
        <v>16</v>
      </c>
      <c r="AT317" s="30">
        <f>IFERROR(__xludf.DUMMYFUNCTION("""COMPUTED_VALUE"""),0.6590787936162182)</f>
        <v>0.6590787936</v>
      </c>
      <c r="AU317" s="30">
        <f>IFERROR(__xludf.DUMMYFUNCTION("""COMPUTED_VALUE"""),2.056155394363132)</f>
        <v>2.056155394</v>
      </c>
      <c r="AV317" s="32">
        <f>IFERROR(__xludf.DUMMYFUNCTION("""COMPUTED_VALUE"""),40.280472551916105)</f>
        <v>40.28047255</v>
      </c>
      <c r="AW317" s="32">
        <f>IFERROR(__xludf.DUMMYFUNCTION("""COMPUTED_VALUE"""),-2.867638065665103)</f>
        <v>-2.867638066</v>
      </c>
      <c r="AX317" s="32">
        <f>IFERROR(__xludf.DUMMYFUNCTION("""COMPUTED_VALUE"""),26.19561099691122)</f>
        <v>26.195611</v>
      </c>
      <c r="AY317" s="32">
        <f>IFERROR(__xludf.DUMMYFUNCTION("""COMPUTED_VALUE"""),-5.864965843700367)</f>
        <v>-5.864965844</v>
      </c>
      <c r="AZ317" s="30">
        <f>IFERROR(__xludf.DUMMYFUNCTION("""COMPUTED_VALUE"""),2.997327778035264)</f>
        <v>2.997327778</v>
      </c>
      <c r="BA317" s="30">
        <f>IFERROR(__xludf.DUMMYFUNCTION("""COMPUTED_VALUE"""),1200.0)</f>
        <v>1200</v>
      </c>
    </row>
    <row r="318">
      <c r="A318" s="71" t="str">
        <f>IFERROR(__xludf.DUMMYFUNCTION("""COMPUTED_VALUE"""),"Veteran")</f>
        <v>Veteran</v>
      </c>
      <c r="B318" s="71" t="str">
        <f>IFERROR(__xludf.DUMMYFUNCTION("""COMPUTED_VALUE"""),"RSC006424")</f>
        <v>RSC006424</v>
      </c>
      <c r="C318" s="30" t="str">
        <f>IFERROR(__xludf.DUMMYFUNCTION("""COMPUTED_VALUE"""),"TTV Ravenshunter")</f>
        <v>TTV Ravenshunter</v>
      </c>
      <c r="D318" s="30" t="str">
        <f>IFERROR(__xludf.DUMMYFUNCTION("""COMPUTED_VALUE"""),"Azalea")</f>
        <v>Azalea</v>
      </c>
      <c r="E318" s="30">
        <f>IFERROR(__xludf.DUMMYFUNCTION("""COMPUTED_VALUE"""),7.0)</f>
        <v>7</v>
      </c>
      <c r="F318" s="30">
        <f>IFERROR(__xludf.DUMMYFUNCTION("""COMPUTED_VALUE"""),2.0)</f>
        <v>2</v>
      </c>
      <c r="G318" s="42">
        <f>IFERROR(__xludf.DUMMYFUNCTION("""COMPUTED_VALUE"""),5.0)</f>
        <v>5</v>
      </c>
      <c r="H318" s="42">
        <f>IFERROR(__xludf.DUMMYFUNCTION("""COMPUTED_VALUE"""),0.2857142857142857)</f>
        <v>0.2857142857</v>
      </c>
      <c r="I318" s="42">
        <f>IFERROR(__xludf.DUMMYFUNCTION("""COMPUTED_VALUE"""),0.30434782608695654)</f>
        <v>0.3043478261</v>
      </c>
      <c r="J318" s="30">
        <f>IFERROR(__xludf.DUMMYFUNCTION("""COMPUTED_VALUE"""),401.42857142857144)</f>
        <v>401.4285714</v>
      </c>
      <c r="K318" s="30">
        <f>IFERROR(__xludf.DUMMYFUNCTION("""COMPUTED_VALUE"""),1.0)</f>
        <v>1</v>
      </c>
      <c r="L318" s="30">
        <f>IFERROR(__xludf.DUMMYFUNCTION("""COMPUTED_VALUE"""),0.5714285714285714)</f>
        <v>0.5714285714</v>
      </c>
      <c r="M318" s="30">
        <f>IFERROR(__xludf.DUMMYFUNCTION("""COMPUTED_VALUE"""),1.2857142857142858)</f>
        <v>1.285714286</v>
      </c>
      <c r="N318" s="30">
        <f>IFERROR(__xludf.DUMMYFUNCTION("""COMPUTED_VALUE"""),3.2857142857142856)</f>
        <v>3.285714286</v>
      </c>
      <c r="O318" s="30">
        <f>IFERROR(__xludf.DUMMYFUNCTION("""COMPUTED_VALUE"""),401.90476190476187)</f>
        <v>401.9047619</v>
      </c>
      <c r="P318" s="30">
        <f>IFERROR(__xludf.DUMMYFUNCTION("""COMPUTED_VALUE"""),1.0476190476190477)</f>
        <v>1.047619048</v>
      </c>
      <c r="Q318" s="30">
        <f>IFERROR(__xludf.DUMMYFUNCTION("""COMPUTED_VALUE"""),0.7142857142857142)</f>
        <v>0.7142857143</v>
      </c>
      <c r="R318" s="30">
        <f>IFERROR(__xludf.DUMMYFUNCTION("""COMPUTED_VALUE"""),1.3333333333333335)</f>
        <v>1.333333333</v>
      </c>
      <c r="S318" s="30">
        <f>IFERROR(__xludf.DUMMYFUNCTION("""COMPUTED_VALUE"""),3.476190476190476)</f>
        <v>3.476190476</v>
      </c>
      <c r="T318" s="30">
        <f>IFERROR(__xludf.DUMMYFUNCTION("""COMPUTED_VALUE"""),371.9652434920328)</f>
        <v>371.9652435</v>
      </c>
      <c r="U318" s="30">
        <f>IFERROR(__xludf.DUMMYFUNCTION("""COMPUTED_VALUE"""),0.9016790113235588)</f>
        <v>0.9016790113</v>
      </c>
      <c r="V318" s="30">
        <f>IFERROR(__xludf.DUMMYFUNCTION("""COMPUTED_VALUE"""),0.6690772094278324)</f>
        <v>0.6690772094</v>
      </c>
      <c r="W318" s="30">
        <f>IFERROR(__xludf.DUMMYFUNCTION("""COMPUTED_VALUE"""),1.3291565923943014)</f>
        <v>1.329156592</v>
      </c>
      <c r="X318" s="30">
        <f>IFERROR(__xludf.DUMMYFUNCTION("""COMPUTED_VALUE"""),3.0110497838982337)</f>
        <v>3.011049784</v>
      </c>
      <c r="Y318" s="30">
        <f>IFERROR(__xludf.DUMMYFUNCTION("""COMPUTED_VALUE"""),358.6895069735004)</f>
        <v>358.689507</v>
      </c>
      <c r="Z318" s="30">
        <f>IFERROR(__xludf.DUMMYFUNCTION("""COMPUTED_VALUE"""),0.7533603479706058)</f>
        <v>0.753360348</v>
      </c>
      <c r="AA318" s="30">
        <f>IFERROR(__xludf.DUMMYFUNCTION("""COMPUTED_VALUE"""),0.5165182462938347)</f>
        <v>0.5165182463</v>
      </c>
      <c r="AB318" s="30">
        <f>IFERROR(__xludf.DUMMYFUNCTION("""COMPUTED_VALUE"""),1.5381168389024402)</f>
        <v>1.538116839</v>
      </c>
      <c r="AC318" s="30">
        <f>IFERROR(__xludf.DUMMYFUNCTION("""COMPUTED_VALUE"""),2.520254998551145)</f>
        <v>2.520254999</v>
      </c>
      <c r="AD318" s="30">
        <f>IFERROR(__xludf.DUMMYFUNCTION("""COMPUTED_VALUE"""),1.1191533725524583)</f>
        <v>1.119153373</v>
      </c>
      <c r="AE318" s="30">
        <f>IFERROR(__xludf.DUMMYFUNCTION("""COMPUTED_VALUE"""),1.327386028072475)</f>
        <v>1.327386028</v>
      </c>
      <c r="AF318" s="30">
        <f>IFERROR(__xludf.DUMMYFUNCTION("""COMPUTED_VALUE"""),1.1063085874095133)</f>
        <v>1.106308587</v>
      </c>
      <c r="AG318" s="30">
        <f>IFERROR(__xludf.DUMMYFUNCTION("""COMPUTED_VALUE"""),0.8359015734017565)</f>
        <v>0.8359015734</v>
      </c>
      <c r="AH318" s="30">
        <f>IFERROR(__xludf.DUMMYFUNCTION("""COMPUTED_VALUE"""),1.3037229516867108)</f>
        <v>1.303722952</v>
      </c>
      <c r="AI318" s="30">
        <f>IFERROR(__xludf.DUMMYFUNCTION("""COMPUTED_VALUE"""),1.0804900966866018)</f>
        <v>1.080490097</v>
      </c>
      <c r="AJ318" s="30">
        <f>IFERROR(__xludf.DUMMYFUNCTION("""COMPUTED_VALUE"""),1.1618536468773584)</f>
        <v>1.161853647</v>
      </c>
      <c r="AK318" s="30">
        <f>IFERROR(__xludf.DUMMYFUNCTION("""COMPUTED_VALUE"""),1.0675684423574108)</f>
        <v>1.067568442</v>
      </c>
      <c r="AL318" s="30">
        <f>IFERROR(__xludf.DUMMYFUNCTION("""COMPUTED_VALUE"""),1.0031423994455824)</f>
        <v>1.003142399</v>
      </c>
      <c r="AM318" s="30">
        <f>IFERROR(__xludf.DUMMYFUNCTION("""COMPUTED_VALUE"""),1.1544779149051634)</f>
        <v>1.154477915</v>
      </c>
      <c r="AN318" s="30">
        <f>IFERROR(__xludf.DUMMYFUNCTION("""COMPUTED_VALUE"""),1.1626266018345506)</f>
        <v>1.162626602</v>
      </c>
      <c r="AO318" s="30">
        <f>IFERROR(__xludf.DUMMYFUNCTION("""COMPUTED_VALUE"""),1.3256502556567418)</f>
        <v>1.325650256</v>
      </c>
      <c r="AP318" s="30">
        <f>IFERROR(__xludf.DUMMYFUNCTION("""COMPUTED_VALUE"""),1.0597207556001131)</f>
        <v>1.059720756</v>
      </c>
      <c r="AQ318" s="30">
        <f>IFERROR(__xludf.DUMMYFUNCTION("""COMPUTED_VALUE"""),0.9519271243025161)</f>
        <v>0.9519271243</v>
      </c>
      <c r="AR318" s="30">
        <f>IFERROR(__xludf.DUMMYFUNCTION("""COMPUTED_VALUE"""),1.283140445680954)</f>
        <v>1.283140446</v>
      </c>
      <c r="AS318" s="30">
        <f>IFERROR(__xludf.DUMMYFUNCTION("""COMPUTED_VALUE"""),14.0)</f>
        <v>14</v>
      </c>
      <c r="AT318" s="30">
        <f>IFERROR(__xludf.DUMMYFUNCTION("""COMPUTED_VALUE"""),0.3266955221894604)</f>
        <v>0.3266955222</v>
      </c>
      <c r="AU318" s="30">
        <f>IFERROR(__xludf.DUMMYFUNCTION("""COMPUTED_VALUE"""),3.087516488327667)</f>
        <v>3.087516488</v>
      </c>
      <c r="AV318" s="32">
        <f>IFERROR(__xludf.DUMMYFUNCTION("""COMPUTED_VALUE"""),72.22800881023494)</f>
        <v>72.22800881</v>
      </c>
      <c r="AW318" s="32">
        <f>IFERROR(__xludf.DUMMYFUNCTION("""COMPUTED_VALUE"""),5.3484744801862325)</f>
        <v>5.34847448</v>
      </c>
      <c r="AX318" s="32">
        <f>IFERROR(__xludf.DUMMYFUNCTION("""COMPUTED_VALUE"""),55.179785363432565)</f>
        <v>55.17978536</v>
      </c>
      <c r="AY318" s="32">
        <f>IFERROR(__xludf.DUMMYFUNCTION("""COMPUTED_VALUE"""),2.392744131534442)</f>
        <v>2.392744132</v>
      </c>
      <c r="AZ318" s="30">
        <f>IFERROR(__xludf.DUMMYFUNCTION("""COMPUTED_VALUE"""),2.9557303486517905)</f>
        <v>2.955730349</v>
      </c>
      <c r="BA318" s="30">
        <f>IFERROR(__xludf.DUMMYFUNCTION("""COMPUTED_VALUE"""),1200.0)</f>
        <v>1200</v>
      </c>
    </row>
    <row r="319">
      <c r="A319" s="71" t="str">
        <f>IFERROR(__xludf.DUMMYFUNCTION("""COMPUTED_VALUE"""),"Veteran")</f>
        <v>Veteran</v>
      </c>
      <c r="B319" s="71" t="str">
        <f>IFERROR(__xludf.DUMMYFUNCTION("""COMPUTED_VALUE"""),"RSC005048")</f>
        <v>RSC005048</v>
      </c>
      <c r="C319" s="30" t="str">
        <f>IFERROR(__xludf.DUMMYFUNCTION("""COMPUTED_VALUE"""),"heyzisthename11")</f>
        <v>heyzisthename11</v>
      </c>
      <c r="D319" s="30" t="str">
        <f>IFERROR(__xludf.DUMMYFUNCTION("""COMPUTED_VALUE"""),"Gorillas")</f>
        <v>Gorillas</v>
      </c>
      <c r="E319" s="30">
        <f>IFERROR(__xludf.DUMMYFUNCTION("""COMPUTED_VALUE"""),36.0)</f>
        <v>36</v>
      </c>
      <c r="F319" s="30">
        <f>IFERROR(__xludf.DUMMYFUNCTION("""COMPUTED_VALUE"""),22.0)</f>
        <v>22</v>
      </c>
      <c r="G319" s="42">
        <f>IFERROR(__xludf.DUMMYFUNCTION("""COMPUTED_VALUE"""),14.0)</f>
        <v>14</v>
      </c>
      <c r="H319" s="42">
        <f>IFERROR(__xludf.DUMMYFUNCTION("""COMPUTED_VALUE"""),0.6111111111111112)</f>
        <v>0.6111111111</v>
      </c>
      <c r="I319" s="42">
        <f>IFERROR(__xludf.DUMMYFUNCTION("""COMPUTED_VALUE"""),0.2553191489361702)</f>
        <v>0.2553191489</v>
      </c>
      <c r="J319" s="30">
        <f>IFERROR(__xludf.DUMMYFUNCTION("""COMPUTED_VALUE"""),342.97222222222223)</f>
        <v>342.9722222</v>
      </c>
      <c r="K319" s="30">
        <f>IFERROR(__xludf.DUMMYFUNCTION("""COMPUTED_VALUE"""),0.6666666666666666)</f>
        <v>0.6666666667</v>
      </c>
      <c r="L319" s="30">
        <f>IFERROR(__xludf.DUMMYFUNCTION("""COMPUTED_VALUE"""),1.0)</f>
        <v>1</v>
      </c>
      <c r="M319" s="30">
        <f>IFERROR(__xludf.DUMMYFUNCTION("""COMPUTED_VALUE"""),1.1388888888888888)</f>
        <v>1.138888889</v>
      </c>
      <c r="N319" s="30">
        <f>IFERROR(__xludf.DUMMYFUNCTION("""COMPUTED_VALUE"""),2.611111111111111)</f>
        <v>2.611111111</v>
      </c>
      <c r="O319" s="30">
        <f>IFERROR(__xludf.DUMMYFUNCTION("""COMPUTED_VALUE"""),334.34259259259255)</f>
        <v>334.3425926</v>
      </c>
      <c r="P319" s="30">
        <f>IFERROR(__xludf.DUMMYFUNCTION("""COMPUTED_VALUE"""),0.6574074074074074)</f>
        <v>0.6574074074</v>
      </c>
      <c r="Q319" s="30">
        <f>IFERROR(__xludf.DUMMYFUNCTION("""COMPUTED_VALUE"""),0.4629629629629629)</f>
        <v>0.462962963</v>
      </c>
      <c r="R319" s="30">
        <f>IFERROR(__xludf.DUMMYFUNCTION("""COMPUTED_VALUE"""),1.509259259259259)</f>
        <v>1.509259259</v>
      </c>
      <c r="S319" s="30">
        <f>IFERROR(__xludf.DUMMYFUNCTION("""COMPUTED_VALUE"""),2.314814814814815)</f>
        <v>2.314814815</v>
      </c>
      <c r="T319" s="30">
        <f>IFERROR(__xludf.DUMMYFUNCTION("""COMPUTED_VALUE"""),352.50696946791675)</f>
        <v>352.5069695</v>
      </c>
      <c r="U319" s="30">
        <f>IFERROR(__xludf.DUMMYFUNCTION("""COMPUTED_VALUE"""),0.7878414595827143)</f>
        <v>0.7878414596</v>
      </c>
      <c r="V319" s="30">
        <f>IFERROR(__xludf.DUMMYFUNCTION("""COMPUTED_VALUE"""),0.5999832212739934)</f>
        <v>0.5999832213</v>
      </c>
      <c r="W319" s="30">
        <f>IFERROR(__xludf.DUMMYFUNCTION("""COMPUTED_VALUE"""),1.3450636312154491)</f>
        <v>1.345063631</v>
      </c>
      <c r="X319" s="30">
        <f>IFERROR(__xludf.DUMMYFUNCTION("""COMPUTED_VALUE"""),2.673310812442284)</f>
        <v>2.673310812</v>
      </c>
      <c r="Y319" s="30">
        <f>IFERROR(__xludf.DUMMYFUNCTION("""COMPUTED_VALUE"""),367.76490463308437)</f>
        <v>367.7649046</v>
      </c>
      <c r="Z319" s="30">
        <f>IFERROR(__xludf.DUMMYFUNCTION("""COMPUTED_VALUE"""),0.8493216584718114)</f>
        <v>0.8493216585</v>
      </c>
      <c r="AA319" s="30">
        <f>IFERROR(__xludf.DUMMYFUNCTION("""COMPUTED_VALUE"""),0.6383918041393667)</f>
        <v>0.6383918041</v>
      </c>
      <c r="AB319" s="30">
        <f>IFERROR(__xludf.DUMMYFUNCTION("""COMPUTED_VALUE"""),1.4020346380619444)</f>
        <v>1.402034638</v>
      </c>
      <c r="AC319" s="30">
        <f>IFERROR(__xludf.DUMMYFUNCTION("""COMPUTED_VALUE"""),2.658765096993985)</f>
        <v>2.658765097</v>
      </c>
      <c r="AD319" s="30">
        <f>IFERROR(__xludf.DUMMYFUNCTION("""COMPUTED_VALUE"""),0.9325855129227255)</f>
        <v>0.9325855129</v>
      </c>
      <c r="AE319" s="30">
        <f>IFERROR(__xludf.DUMMYFUNCTION("""COMPUTED_VALUE"""),0.7849401460763443)</f>
        <v>0.7849401461</v>
      </c>
      <c r="AF319" s="30">
        <f>IFERROR(__xludf.DUMMYFUNCTION("""COMPUTED_VALUE"""),1.5664361502073592)</f>
        <v>1.56643615</v>
      </c>
      <c r="AG319" s="30">
        <f>IFERROR(__xludf.DUMMYFUNCTION("""COMPUTED_VALUE"""),0.8123115206791137)</f>
        <v>0.8123115207</v>
      </c>
      <c r="AH319" s="30">
        <f>IFERROR(__xludf.DUMMYFUNCTION("""COMPUTED_VALUE"""),0.9820766468099225)</f>
        <v>0.9820766468</v>
      </c>
      <c r="AI319" s="30">
        <f>IFERROR(__xludf.DUMMYFUNCTION("""COMPUTED_VALUE"""),0.9484708716461919)</f>
        <v>0.9484708716</v>
      </c>
      <c r="AJ319" s="30">
        <f>IFERROR(__xludf.DUMMYFUNCTION("""COMPUTED_VALUE"""),0.834441243744151)</f>
        <v>0.8344412437</v>
      </c>
      <c r="AK319" s="30">
        <f>IFERROR(__xludf.DUMMYFUNCTION("""COMPUTED_VALUE"""),0.7716265164547699)</f>
        <v>0.7716265165</v>
      </c>
      <c r="AL319" s="30">
        <f>IFERROR(__xludf.DUMMYFUNCTION("""COMPUTED_VALUE"""),1.1220727586660244)</f>
        <v>1.122072759</v>
      </c>
      <c r="AM319" s="30">
        <f>IFERROR(__xludf.DUMMYFUNCTION("""COMPUTED_VALUE"""),0.8658981230469216)</f>
        <v>0.865898123</v>
      </c>
      <c r="AN319" s="30">
        <f>IFERROR(__xludf.DUMMYFUNCTION("""COMPUTED_VALUE"""),0.9933239874452192)</f>
        <v>0.9933239874</v>
      </c>
      <c r="AO319" s="30">
        <f>IFERROR(__xludf.DUMMYFUNCTION("""COMPUTED_VALUE"""),0.8837668371044944)</f>
        <v>0.8837668371</v>
      </c>
      <c r="AP319" s="30">
        <f>IFERROR(__xludf.DUMMYFUNCTION("""COMPUTED_VALUE"""),1.8545113223001983)</f>
        <v>1.854511322</v>
      </c>
      <c r="AQ319" s="30">
        <f>IFERROR(__xludf.DUMMYFUNCTION("""COMPUTED_VALUE"""),0.8432193971445127)</f>
        <v>0.8432193971</v>
      </c>
      <c r="AR319" s="30">
        <f>IFERROR(__xludf.DUMMYFUNCTION("""COMPUTED_VALUE"""),1.0196937358189224)</f>
        <v>1.019693736</v>
      </c>
      <c r="AS319" s="30">
        <f>IFERROR(__xludf.DUMMYFUNCTION("""COMPUTED_VALUE"""),102.0)</f>
        <v>102</v>
      </c>
      <c r="AT319" s="30">
        <f>IFERROR(__xludf.DUMMYFUNCTION("""COMPUTED_VALUE"""),0.6384139072661715)</f>
        <v>0.6384139073</v>
      </c>
      <c r="AU319" s="30">
        <f>IFERROR(__xludf.DUMMYFUNCTION("""COMPUTED_VALUE"""),3.051239698818509)</f>
        <v>3.051239699</v>
      </c>
      <c r="AV319" s="32">
        <f>IFERROR(__xludf.DUMMYFUNCTION("""COMPUTED_VALUE"""),71.10429563648682)</f>
        <v>71.10429564</v>
      </c>
      <c r="AW319" s="32">
        <f>IFERROR(__xludf.DUMMYFUNCTION("""COMPUTED_VALUE"""),5.0178963765145825)</f>
        <v>5.017896377</v>
      </c>
      <c r="AX319" s="32">
        <f>IFERROR(__xludf.DUMMYFUNCTION("""COMPUTED_VALUE"""),52.427665767434725)</f>
        <v>52.42766577</v>
      </c>
      <c r="AY319" s="32">
        <f>IFERROR(__xludf.DUMMYFUNCTION("""COMPUTED_VALUE"""),2.1676886780834024)</f>
        <v>2.167688678</v>
      </c>
      <c r="AZ319" s="30">
        <f>IFERROR(__xludf.DUMMYFUNCTION("""COMPUTED_VALUE"""),2.85020769843118)</f>
        <v>2.850207698</v>
      </c>
      <c r="BA319" s="30">
        <f>IFERROR(__xludf.DUMMYFUNCTION("""COMPUTED_VALUE"""),1200.0)</f>
        <v>1200</v>
      </c>
    </row>
    <row r="320">
      <c r="A320" s="71" t="str">
        <f>IFERROR(__xludf.DUMMYFUNCTION("""COMPUTED_VALUE"""),"Veteran")</f>
        <v>Veteran</v>
      </c>
      <c r="B320" s="71" t="str">
        <f>IFERROR(__xludf.DUMMYFUNCTION("""COMPUTED_VALUE"""),"RSC003746")</f>
        <v>RSC003746</v>
      </c>
      <c r="C320" s="30" t="str">
        <f>IFERROR(__xludf.DUMMYFUNCTION("""COMPUTED_VALUE"""),"archhie.")</f>
        <v>archhie.</v>
      </c>
      <c r="D320" s="30"/>
      <c r="E320" s="30">
        <f>IFERROR(__xludf.DUMMYFUNCTION("""COMPUTED_VALUE"""),4.0)</f>
        <v>4</v>
      </c>
      <c r="F320" s="30">
        <f>IFERROR(__xludf.DUMMYFUNCTION("""COMPUTED_VALUE"""),1.0)</f>
        <v>1</v>
      </c>
      <c r="G320" s="42">
        <f>IFERROR(__xludf.DUMMYFUNCTION("""COMPUTED_VALUE"""),3.0)</f>
        <v>3</v>
      </c>
      <c r="H320" s="42">
        <f>IFERROR(__xludf.DUMMYFUNCTION("""COMPUTED_VALUE"""),0.25)</f>
        <v>0.25</v>
      </c>
      <c r="I320" s="42">
        <f>IFERROR(__xludf.DUMMYFUNCTION("""COMPUTED_VALUE"""),0.25)</f>
        <v>0.25</v>
      </c>
      <c r="J320" s="30">
        <f>IFERROR(__xludf.DUMMYFUNCTION("""COMPUTED_VALUE"""),364.75)</f>
        <v>364.75</v>
      </c>
      <c r="K320" s="30">
        <f>IFERROR(__xludf.DUMMYFUNCTION("""COMPUTED_VALUE"""),0.5)</f>
        <v>0.5</v>
      </c>
      <c r="L320" s="30">
        <f>IFERROR(__xludf.DUMMYFUNCTION("""COMPUTED_VALUE"""),0.25)</f>
        <v>0.25</v>
      </c>
      <c r="M320" s="30">
        <f>IFERROR(__xludf.DUMMYFUNCTION("""COMPUTED_VALUE"""),2.25)</f>
        <v>2.25</v>
      </c>
      <c r="N320" s="30">
        <f>IFERROR(__xludf.DUMMYFUNCTION("""COMPUTED_VALUE"""),2.0)</f>
        <v>2</v>
      </c>
      <c r="O320" s="30">
        <f>IFERROR(__xludf.DUMMYFUNCTION("""COMPUTED_VALUE"""),327.0833333333333)</f>
        <v>327.0833333</v>
      </c>
      <c r="P320" s="30">
        <f>IFERROR(__xludf.DUMMYFUNCTION("""COMPUTED_VALUE"""),1.0)</f>
        <v>1</v>
      </c>
      <c r="Q320" s="30">
        <f>IFERROR(__xludf.DUMMYFUNCTION("""COMPUTED_VALUE"""),0.6666666666666666)</f>
        <v>0.6666666667</v>
      </c>
      <c r="R320" s="30">
        <f>IFERROR(__xludf.DUMMYFUNCTION("""COMPUTED_VALUE"""),0.75)</f>
        <v>0.75</v>
      </c>
      <c r="S320" s="30">
        <f>IFERROR(__xludf.DUMMYFUNCTION("""COMPUTED_VALUE"""),3.0833333333333335)</f>
        <v>3.083333333</v>
      </c>
      <c r="T320" s="30">
        <f>IFERROR(__xludf.DUMMYFUNCTION("""COMPUTED_VALUE"""),370.83703703703696)</f>
        <v>370.837037</v>
      </c>
      <c r="U320" s="30">
        <f>IFERROR(__xludf.DUMMYFUNCTION("""COMPUTED_VALUE"""),0.938888888888889)</f>
        <v>0.9388888889</v>
      </c>
      <c r="V320" s="30">
        <f>IFERROR(__xludf.DUMMYFUNCTION("""COMPUTED_VALUE"""),0.737037037037037)</f>
        <v>0.737037037</v>
      </c>
      <c r="W320" s="30">
        <f>IFERROR(__xludf.DUMMYFUNCTION("""COMPUTED_VALUE"""),1.187037037037037)</f>
        <v>1.187037037</v>
      </c>
      <c r="X320" s="30">
        <f>IFERROR(__xludf.DUMMYFUNCTION("""COMPUTED_VALUE"""),3.1611111111111114)</f>
        <v>3.161111111</v>
      </c>
      <c r="Y320" s="30">
        <f>IFERROR(__xludf.DUMMYFUNCTION("""COMPUTED_VALUE"""),345.5203703703703)</f>
        <v>345.5203704</v>
      </c>
      <c r="Z320" s="30">
        <f>IFERROR(__xludf.DUMMYFUNCTION("""COMPUTED_VALUE"""),0.6222222222222222)</f>
        <v>0.6222222222</v>
      </c>
      <c r="AA320" s="30">
        <f>IFERROR(__xludf.DUMMYFUNCTION("""COMPUTED_VALUE"""),0.5135802469135803)</f>
        <v>0.5135802469</v>
      </c>
      <c r="AB320" s="30">
        <f>IFERROR(__xludf.DUMMYFUNCTION("""COMPUTED_VALUE"""),1.6537037037037035)</f>
        <v>1.653703704</v>
      </c>
      <c r="AC320" s="30">
        <f>IFERROR(__xludf.DUMMYFUNCTION("""COMPUTED_VALUE"""),2.215432098765432)</f>
        <v>2.215432099</v>
      </c>
      <c r="AD320" s="30">
        <f>IFERROR(__xludf.DUMMYFUNCTION("""COMPUTED_VALUE"""),1.055654112691003)</f>
        <v>1.055654113</v>
      </c>
      <c r="AE320" s="30">
        <f>IFERROR(__xludf.DUMMYFUNCTION("""COMPUTED_VALUE"""),0.8035714285714286)</f>
        <v>0.8035714286</v>
      </c>
      <c r="AF320" s="30">
        <f>IFERROR(__xludf.DUMMYFUNCTION("""COMPUTED_VALUE"""),0.48677884615384615)</f>
        <v>0.4867788462</v>
      </c>
      <c r="AG320" s="30">
        <f>IFERROR(__xludf.DUMMYFUNCTION("""COMPUTED_VALUE"""),1.3605823068309073)</f>
        <v>1.360582307</v>
      </c>
      <c r="AH320" s="30">
        <f>IFERROR(__xludf.DUMMYFUNCTION("""COMPUTED_VALUE"""),0.9027584285316244)</f>
        <v>0.9027584285</v>
      </c>
      <c r="AI320" s="30">
        <f>IFERROR(__xludf.DUMMYFUNCTION("""COMPUTED_VALUE"""),0.8820136627848911)</f>
        <v>0.8820136628</v>
      </c>
      <c r="AJ320" s="30">
        <f>IFERROR(__xludf.DUMMYFUNCTION("""COMPUTED_VALUE"""),1.0650887573964496)</f>
        <v>1.065088757</v>
      </c>
      <c r="AK320" s="30">
        <f>IFERROR(__xludf.DUMMYFUNCTION("""COMPUTED_VALUE"""),0.9045226130653266)</f>
        <v>0.9045226131</v>
      </c>
      <c r="AL320" s="30">
        <f>IFERROR(__xludf.DUMMYFUNCTION("""COMPUTED_VALUE"""),0.6318252730109205)</f>
        <v>0.631825273</v>
      </c>
      <c r="AM320" s="30">
        <f>IFERROR(__xludf.DUMMYFUNCTION("""COMPUTED_VALUE"""),0.9753954305799648)</f>
        <v>0.9753954306</v>
      </c>
      <c r="AN320" s="30">
        <f>IFERROR(__xludf.DUMMYFUNCTION("""COMPUTED_VALUE"""),1.0563972851010912)</f>
        <v>1.056397285</v>
      </c>
      <c r="AO320" s="30">
        <f>IFERROR(__xludf.DUMMYFUNCTION("""COMPUTED_VALUE"""),0.6628251278283709)</f>
        <v>0.6628251278</v>
      </c>
      <c r="AP320" s="30">
        <f>IFERROR(__xludf.DUMMYFUNCTION("""COMPUTED_VALUE"""),0.4636278305750496)</f>
        <v>0.4636278306</v>
      </c>
      <c r="AQ320" s="30">
        <f>IFERROR(__xludf.DUMMYFUNCTION("""COMPUTED_VALUE"""),1.665872467529403)</f>
        <v>1.665872468</v>
      </c>
      <c r="AR320" s="30">
        <f>IFERROR(__xludf.DUMMYFUNCTION("""COMPUTED_VALUE"""),0.7810420104144938)</f>
        <v>0.7810420104</v>
      </c>
      <c r="AS320" s="30">
        <f>IFERROR(__xludf.DUMMYFUNCTION("""COMPUTED_VALUE"""),8.0)</f>
        <v>8</v>
      </c>
      <c r="AT320" s="30">
        <f>IFERROR(__xludf.DUMMYFUNCTION("""COMPUTED_VALUE"""),0.34445266793706497)</f>
        <v>0.3444526679</v>
      </c>
      <c r="AU320" s="30">
        <f>IFERROR(__xludf.DUMMYFUNCTION("""COMPUTED_VALUE"""),1.696694179611467)</f>
        <v>1.69669418</v>
      </c>
      <c r="AV320" s="32">
        <f>IFERROR(__xludf.DUMMYFUNCTION("""COMPUTED_VALUE"""),29.14576884926408)</f>
        <v>29.14576885</v>
      </c>
      <c r="AW320" s="32">
        <f>IFERROR(__xludf.DUMMYFUNCTION("""COMPUTED_VALUE"""),-4.948221578477919)</f>
        <v>-4.948221578</v>
      </c>
      <c r="AX320" s="32">
        <f>IFERROR(__xludf.DUMMYFUNCTION("""COMPUTED_VALUE"""),48.52990750631687)</f>
        <v>48.52990751</v>
      </c>
      <c r="AY320" s="32">
        <f>IFERROR(__xludf.DUMMYFUNCTION("""COMPUTED_VALUE"""),-2.0983970666500613)</f>
        <v>-2.098397067</v>
      </c>
      <c r="AZ320" s="30">
        <f>IFERROR(__xludf.DUMMYFUNCTION("""COMPUTED_VALUE"""),2.849824511827858)</f>
        <v>2.849824512</v>
      </c>
      <c r="BA320" s="30">
        <f>IFERROR(__xludf.DUMMYFUNCTION("""COMPUTED_VALUE"""),1200.0)</f>
        <v>1200</v>
      </c>
    </row>
    <row r="321">
      <c r="A321" s="71" t="str">
        <f>IFERROR(__xludf.DUMMYFUNCTION("""COMPUTED_VALUE"""),"Veteran")</f>
        <v>Veteran</v>
      </c>
      <c r="B321" s="71" t="str">
        <f>IFERROR(__xludf.DUMMYFUNCTION("""COMPUTED_VALUE"""),"RSC007327")</f>
        <v>RSC007327</v>
      </c>
      <c r="C321" s="30" t="str">
        <f>IFERROR(__xludf.DUMMYFUNCTION("""COMPUTED_VALUE"""),"JustAChillGuyONG")</f>
        <v>JustAChillGuyONG</v>
      </c>
      <c r="D321" s="30" t="str">
        <f>IFERROR(__xludf.DUMMYFUNCTION("""COMPUTED_VALUE"""),"Slots")</f>
        <v>Slots</v>
      </c>
      <c r="E321" s="30">
        <f>IFERROR(__xludf.DUMMYFUNCTION("""COMPUTED_VALUE"""),18.0)</f>
        <v>18</v>
      </c>
      <c r="F321" s="30">
        <f>IFERROR(__xludf.DUMMYFUNCTION("""COMPUTED_VALUE"""),7.0)</f>
        <v>7</v>
      </c>
      <c r="G321" s="42">
        <f>IFERROR(__xludf.DUMMYFUNCTION("""COMPUTED_VALUE"""),11.0)</f>
        <v>11</v>
      </c>
      <c r="H321" s="42">
        <f>IFERROR(__xludf.DUMMYFUNCTION("""COMPUTED_VALUE"""),0.3888888888888889)</f>
        <v>0.3888888889</v>
      </c>
      <c r="I321" s="42">
        <f>IFERROR(__xludf.DUMMYFUNCTION("""COMPUTED_VALUE"""),0.3181818181818182)</f>
        <v>0.3181818182</v>
      </c>
      <c r="J321" s="30">
        <f>IFERROR(__xludf.DUMMYFUNCTION("""COMPUTED_VALUE"""),317.22222222222223)</f>
        <v>317.2222222</v>
      </c>
      <c r="K321" s="30">
        <f>IFERROR(__xludf.DUMMYFUNCTION("""COMPUTED_VALUE"""),0.7777777777777778)</f>
        <v>0.7777777778</v>
      </c>
      <c r="L321" s="30">
        <f>IFERROR(__xludf.DUMMYFUNCTION("""COMPUTED_VALUE"""),0.2777777777777778)</f>
        <v>0.2777777778</v>
      </c>
      <c r="M321" s="30">
        <f>IFERROR(__xludf.DUMMYFUNCTION("""COMPUTED_VALUE"""),1.3888888888888888)</f>
        <v>1.388888889</v>
      </c>
      <c r="N321" s="30">
        <f>IFERROR(__xludf.DUMMYFUNCTION("""COMPUTED_VALUE"""),2.4444444444444446)</f>
        <v>2.444444444</v>
      </c>
      <c r="O321" s="30">
        <f>IFERROR(__xludf.DUMMYFUNCTION("""COMPUTED_VALUE"""),402.37037037037044)</f>
        <v>402.3703704</v>
      </c>
      <c r="P321" s="30">
        <f>IFERROR(__xludf.DUMMYFUNCTION("""COMPUTED_VALUE"""),1.074074074074074)</f>
        <v>1.074074074</v>
      </c>
      <c r="Q321" s="30">
        <f>IFERROR(__xludf.DUMMYFUNCTION("""COMPUTED_VALUE"""),0.8148148148148149)</f>
        <v>0.8148148148</v>
      </c>
      <c r="R321" s="30">
        <f>IFERROR(__xludf.DUMMYFUNCTION("""COMPUTED_VALUE"""),1.3518518518518519)</f>
        <v>1.351851852</v>
      </c>
      <c r="S321" s="30">
        <f>IFERROR(__xludf.DUMMYFUNCTION("""COMPUTED_VALUE"""),3.018518518518518)</f>
        <v>3.018518519</v>
      </c>
      <c r="T321" s="30">
        <f>IFERROR(__xludf.DUMMYFUNCTION("""COMPUTED_VALUE"""),368.6225336621742)</f>
        <v>368.6225337</v>
      </c>
      <c r="U321" s="30">
        <f>IFERROR(__xludf.DUMMYFUNCTION("""COMPUTED_VALUE"""),0.8618078858928532)</f>
        <v>0.8618078859</v>
      </c>
      <c r="V321" s="30">
        <f>IFERROR(__xludf.DUMMYFUNCTION("""COMPUTED_VALUE"""),0.7124361102465679)</f>
        <v>0.7124361102</v>
      </c>
      <c r="W321" s="30">
        <f>IFERROR(__xludf.DUMMYFUNCTION("""COMPUTED_VALUE"""),1.2562247121070649)</f>
        <v>1.256224712</v>
      </c>
      <c r="X321" s="30">
        <f>IFERROR(__xludf.DUMMYFUNCTION("""COMPUTED_VALUE"""),2.8678193072964318)</f>
        <v>2.867819307</v>
      </c>
      <c r="Y321" s="30">
        <f>IFERROR(__xludf.DUMMYFUNCTION("""COMPUTED_VALUE"""),356.3136221405884)</f>
        <v>356.3136221</v>
      </c>
      <c r="Z321" s="30">
        <f>IFERROR(__xludf.DUMMYFUNCTION("""COMPUTED_VALUE"""),0.776187151628328)</f>
        <v>0.7761871516</v>
      </c>
      <c r="AA321" s="30">
        <f>IFERROR(__xludf.DUMMYFUNCTION("""COMPUTED_VALUE"""),0.5622774089059492)</f>
        <v>0.5622774089</v>
      </c>
      <c r="AB321" s="30">
        <f>IFERROR(__xludf.DUMMYFUNCTION("""COMPUTED_VALUE"""),1.4087892437184377)</f>
        <v>1.408789244</v>
      </c>
      <c r="AC321" s="30">
        <f>IFERROR(__xludf.DUMMYFUNCTION("""COMPUTED_VALUE"""),2.55422272051357)</f>
        <v>2.554222721</v>
      </c>
      <c r="AD321" s="30">
        <f>IFERROR(__xludf.DUMMYFUNCTION("""COMPUTED_VALUE"""),0.890289347672085)</f>
        <v>0.8902893477</v>
      </c>
      <c r="AE321" s="30">
        <f>IFERROR(__xludf.DUMMYFUNCTION("""COMPUTED_VALUE"""),1.0020492817307178)</f>
        <v>1.002049282</v>
      </c>
      <c r="AF321" s="30">
        <f>IFERROR(__xludf.DUMMYFUNCTION("""COMPUTED_VALUE"""),0.4940226539036374)</f>
        <v>0.4940226539</v>
      </c>
      <c r="AG321" s="30">
        <f>IFERROR(__xludf.DUMMYFUNCTION("""COMPUTED_VALUE"""),0.9858741434048554)</f>
        <v>0.9858741434</v>
      </c>
      <c r="AH321" s="30">
        <f>IFERROR(__xludf.DUMMYFUNCTION("""COMPUTED_VALUE"""),0.957020867762443)</f>
        <v>0.9570208678</v>
      </c>
      <c r="AI321" s="30">
        <f>IFERROR(__xludf.DUMMYFUNCTION("""COMPUTED_VALUE"""),1.0915512038098154)</f>
        <v>1.091551204</v>
      </c>
      <c r="AJ321" s="30">
        <f>IFERROR(__xludf.DUMMYFUNCTION("""COMPUTED_VALUE"""),1.246303371848713)</f>
        <v>1.246303372</v>
      </c>
      <c r="AK321" s="30">
        <f>IFERROR(__xludf.DUMMYFUNCTION("""COMPUTED_VALUE"""),1.1437022956806815)</f>
        <v>1.143702296</v>
      </c>
      <c r="AL321" s="30">
        <f>IFERROR(__xludf.DUMMYFUNCTION("""COMPUTED_VALUE"""),1.0761226385877982)</f>
        <v>1.076122639</v>
      </c>
      <c r="AM321" s="30">
        <f>IFERROR(__xludf.DUMMYFUNCTION("""COMPUTED_VALUE"""),1.052548363433732)</f>
        <v>1.052548363</v>
      </c>
      <c r="AN321" s="30">
        <f>IFERROR(__xludf.DUMMYFUNCTION("""COMPUTED_VALUE"""),0.9187462490179318)</f>
        <v>0.918746249</v>
      </c>
      <c r="AO321" s="30">
        <f>IFERROR(__xludf.DUMMYFUNCTION("""COMPUTED_VALUE"""),1.0310613099552437)</f>
        <v>1.03106131</v>
      </c>
      <c r="AP321" s="30">
        <f>IFERROR(__xludf.DUMMYFUNCTION("""COMPUTED_VALUE"""),0.5151420339722773)</f>
        <v>0.515142034</v>
      </c>
      <c r="AQ321" s="30">
        <f>IFERROR(__xludf.DUMMYFUNCTION("""COMPUTED_VALUE"""),1.0283163379811129)</f>
        <v>1.028316338</v>
      </c>
      <c r="AR321" s="30">
        <f>IFERROR(__xludf.DUMMYFUNCTION("""COMPUTED_VALUE"""),0.9546069016177148)</f>
        <v>0.9546069016</v>
      </c>
      <c r="AS321" s="30">
        <f>IFERROR(__xludf.DUMMYFUNCTION("""COMPUTED_VALUE"""),42.0)</f>
        <v>42</v>
      </c>
      <c r="AT321" s="30">
        <f>IFERROR(__xludf.DUMMYFUNCTION("""COMPUTED_VALUE"""),0.3709833081284656)</f>
        <v>0.3709833081</v>
      </c>
      <c r="AU321" s="30">
        <f>IFERROR(__xludf.DUMMYFUNCTION("""COMPUTED_VALUE"""),1.7670154560473577)</f>
        <v>1.767015456</v>
      </c>
      <c r="AV321" s="32">
        <f>IFERROR(__xludf.DUMMYFUNCTION("""COMPUTED_VALUE"""),31.32404718632159)</f>
        <v>31.32404719</v>
      </c>
      <c r="AW321" s="32">
        <f>IFERROR(__xludf.DUMMYFUNCTION("""COMPUTED_VALUE"""),-4.395212638887977)</f>
        <v>-4.395212639</v>
      </c>
      <c r="AX321" s="32">
        <f>IFERROR(__xludf.DUMMYFUNCTION("""COMPUTED_VALUE"""),23.381462447750188)</f>
        <v>23.38146245</v>
      </c>
      <c r="AY321" s="32">
        <f>IFERROR(__xludf.DUMMYFUNCTION("""COMPUTED_VALUE"""),-6.968812940974962)</f>
        <v>-6.968812941</v>
      </c>
      <c r="AZ321" s="30">
        <f>IFERROR(__xludf.DUMMYFUNCTION("""COMPUTED_VALUE"""),2.5736003020869846)</f>
        <v>2.573600302</v>
      </c>
      <c r="BA321" s="30">
        <f>IFERROR(__xludf.DUMMYFUNCTION("""COMPUTED_VALUE"""),1200.0)</f>
        <v>1200</v>
      </c>
    </row>
    <row r="322">
      <c r="A322" s="71" t="str">
        <f>IFERROR(__xludf.DUMMYFUNCTION("""COMPUTED_VALUE"""),"Veteran")</f>
        <v>Veteran</v>
      </c>
      <c r="B322" s="71" t="str">
        <f>IFERROR(__xludf.DUMMYFUNCTION("""COMPUTED_VALUE"""),"RSC006978")</f>
        <v>RSC006978</v>
      </c>
      <c r="C322" s="30" t="str">
        <f>IFERROR(__xludf.DUMMYFUNCTION("""COMPUTED_VALUE"""),"Tuhlur.")</f>
        <v>Tuhlur.</v>
      </c>
      <c r="D322" s="30" t="str">
        <f>IFERROR(__xludf.DUMMYFUNCTION("""COMPUTED_VALUE"""),"Dog Fighters")</f>
        <v>Dog Fighters</v>
      </c>
      <c r="E322" s="30">
        <f>IFERROR(__xludf.DUMMYFUNCTION("""COMPUTED_VALUE"""),16.0)</f>
        <v>16</v>
      </c>
      <c r="F322" s="30">
        <f>IFERROR(__xludf.DUMMYFUNCTION("""COMPUTED_VALUE"""),9.0)</f>
        <v>9</v>
      </c>
      <c r="G322" s="42">
        <f>IFERROR(__xludf.DUMMYFUNCTION("""COMPUTED_VALUE"""),7.0)</f>
        <v>7</v>
      </c>
      <c r="H322" s="42">
        <f>IFERROR(__xludf.DUMMYFUNCTION("""COMPUTED_VALUE"""),0.5625)</f>
        <v>0.5625</v>
      </c>
      <c r="I322" s="42">
        <f>IFERROR(__xludf.DUMMYFUNCTION("""COMPUTED_VALUE"""),0.22727272727272727)</f>
        <v>0.2272727273</v>
      </c>
      <c r="J322" s="30">
        <f>IFERROR(__xludf.DUMMYFUNCTION("""COMPUTED_VALUE"""),359.75)</f>
        <v>359.75</v>
      </c>
      <c r="K322" s="30">
        <f>IFERROR(__xludf.DUMMYFUNCTION("""COMPUTED_VALUE"""),0.9375)</f>
        <v>0.9375</v>
      </c>
      <c r="L322" s="30">
        <f>IFERROR(__xludf.DUMMYFUNCTION("""COMPUTED_VALUE"""),0.5)</f>
        <v>0.5</v>
      </c>
      <c r="M322" s="30">
        <f>IFERROR(__xludf.DUMMYFUNCTION("""COMPUTED_VALUE"""),1.0)</f>
        <v>1</v>
      </c>
      <c r="N322" s="30">
        <f>IFERROR(__xludf.DUMMYFUNCTION("""COMPUTED_VALUE"""),4.125)</f>
        <v>4.125</v>
      </c>
      <c r="O322" s="30">
        <f>IFERROR(__xludf.DUMMYFUNCTION("""COMPUTED_VALUE"""),358.8541666666667)</f>
        <v>358.8541667</v>
      </c>
      <c r="P322" s="30">
        <f>IFERROR(__xludf.DUMMYFUNCTION("""COMPUTED_VALUE"""),0.6458333333333333)</f>
        <v>0.6458333333</v>
      </c>
      <c r="Q322" s="30">
        <f>IFERROR(__xludf.DUMMYFUNCTION("""COMPUTED_VALUE"""),0.5)</f>
        <v>0.5</v>
      </c>
      <c r="R322" s="30">
        <f>IFERROR(__xludf.DUMMYFUNCTION("""COMPUTED_VALUE"""),1.625)</f>
        <v>1.625</v>
      </c>
      <c r="S322" s="30">
        <f>IFERROR(__xludf.DUMMYFUNCTION("""COMPUTED_VALUE"""),2.1458333333333335)</f>
        <v>2.145833333</v>
      </c>
      <c r="T322" s="30">
        <f>IFERROR(__xludf.DUMMYFUNCTION("""COMPUTED_VALUE"""),333.58143735471145)</f>
        <v>333.5814374</v>
      </c>
      <c r="U322" s="30">
        <f>IFERROR(__xludf.DUMMYFUNCTION("""COMPUTED_VALUE"""),0.6198216431037816)</f>
        <v>0.6198216431</v>
      </c>
      <c r="V322" s="30">
        <f>IFERROR(__xludf.DUMMYFUNCTION("""COMPUTED_VALUE"""),0.48681658901982816)</f>
        <v>0.486816589</v>
      </c>
      <c r="W322" s="30">
        <f>IFERROR(__xludf.DUMMYFUNCTION("""COMPUTED_VALUE"""),1.4158074870454098)</f>
        <v>1.415807487</v>
      </c>
      <c r="X322" s="30">
        <f>IFERROR(__xludf.DUMMYFUNCTION("""COMPUTED_VALUE"""),2.3681470076069564)</f>
        <v>2.368147008</v>
      </c>
      <c r="Y322" s="30">
        <f>IFERROR(__xludf.DUMMYFUNCTION("""COMPUTED_VALUE"""),356.3539490292829)</f>
        <v>356.353949</v>
      </c>
      <c r="Z322" s="30">
        <f>IFERROR(__xludf.DUMMYFUNCTION("""COMPUTED_VALUE"""),0.8112452366784859)</f>
        <v>0.8112452367</v>
      </c>
      <c r="AA322" s="30">
        <f>IFERROR(__xludf.DUMMYFUNCTION("""COMPUTED_VALUE"""),0.6059329373402849)</f>
        <v>0.6059329373</v>
      </c>
      <c r="AB322" s="30">
        <f>IFERROR(__xludf.DUMMYFUNCTION("""COMPUTED_VALUE"""),1.3345237329976951)</f>
        <v>1.334523733</v>
      </c>
      <c r="AC322" s="30">
        <f>IFERROR(__xludf.DUMMYFUNCTION("""COMPUTED_VALUE"""),2.6930084246260093)</f>
        <v>2.693008425</v>
      </c>
      <c r="AD322" s="30">
        <f>IFERROR(__xludf.DUMMYFUNCTION("""COMPUTED_VALUE"""),1.0095299939286995)</f>
        <v>1.009529994</v>
      </c>
      <c r="AE322" s="30">
        <f>IFERROR(__xludf.DUMMYFUNCTION("""COMPUTED_VALUE"""),1.1556308223619827)</f>
        <v>1.155630822</v>
      </c>
      <c r="AF322" s="30">
        <f>IFERROR(__xludf.DUMMYFUNCTION("""COMPUTED_VALUE"""),0.8251738256625021)</f>
        <v>0.8251738257</v>
      </c>
      <c r="AG322" s="30">
        <f>IFERROR(__xludf.DUMMYFUNCTION("""COMPUTED_VALUE"""),0.7493309974740833)</f>
        <v>0.7493309975</v>
      </c>
      <c r="AH322" s="30">
        <f>IFERROR(__xludf.DUMMYFUNCTION("""COMPUTED_VALUE"""),1.53174418701377)</f>
        <v>1.531744187</v>
      </c>
      <c r="AI322" s="30">
        <f>IFERROR(__xludf.DUMMYFUNCTION("""COMPUTED_VALUE"""),1.0757617975159741)</f>
        <v>1.075761798</v>
      </c>
      <c r="AJ322" s="30">
        <f>IFERROR(__xludf.DUMMYFUNCTION("""COMPUTED_VALUE"""),1.0419664116588396)</f>
        <v>1.041966412</v>
      </c>
      <c r="AK322" s="30">
        <f>IFERROR(__xludf.DUMMYFUNCTION("""COMPUTED_VALUE"""),1.0270808581250606)</f>
        <v>1.027080858</v>
      </c>
      <c r="AL322" s="30">
        <f>IFERROR(__xludf.DUMMYFUNCTION("""COMPUTED_VALUE"""),1.1477549136225755)</f>
        <v>1.147754914</v>
      </c>
      <c r="AM322" s="30">
        <f>IFERROR(__xludf.DUMMYFUNCTION("""COMPUTED_VALUE"""),0.9061233641494775)</f>
        <v>0.9061233641</v>
      </c>
      <c r="AN322" s="30">
        <f>IFERROR(__xludf.DUMMYFUNCTION("""COMPUTED_VALUE"""),1.0419161708433655)</f>
        <v>1.041916171</v>
      </c>
      <c r="AO322" s="30">
        <f>IFERROR(__xludf.DUMMYFUNCTION("""COMPUTED_VALUE"""),1.2427971146781953)</f>
        <v>1.242797115</v>
      </c>
      <c r="AP322" s="30">
        <f>IFERROR(__xludf.DUMMYFUNCTION("""COMPUTED_VALUE"""),0.9272556611500992)</f>
        <v>0.9272556612</v>
      </c>
      <c r="AQ322" s="30">
        <f>IFERROR(__xludf.DUMMYFUNCTION("""COMPUTED_VALUE"""),0.7403877633464013)</f>
        <v>0.7403877633</v>
      </c>
      <c r="AR322" s="30">
        <f>IFERROR(__xludf.DUMMYFUNCTION("""COMPUTED_VALUE"""),1.6108991464798934)</f>
        <v>1.610899146</v>
      </c>
      <c r="AS322" s="30">
        <f>IFERROR(__xludf.DUMMYFUNCTION("""COMPUTED_VALUE"""),35.0)</f>
        <v>35</v>
      </c>
      <c r="AT322" s="30">
        <f>IFERROR(__xludf.DUMMYFUNCTION("""COMPUTED_VALUE"""),0.5454407342157549)</f>
        <v>0.5454407342</v>
      </c>
      <c r="AU322" s="30">
        <f>IFERROR(__xludf.DUMMYFUNCTION("""COMPUTED_VALUE"""),2.953254599002987)</f>
        <v>2.953254599</v>
      </c>
      <c r="AV322" s="32">
        <f>IFERROR(__xludf.DUMMYFUNCTION("""COMPUTED_VALUE"""),68.0691001579583)</f>
        <v>68.06910016</v>
      </c>
      <c r="AW322" s="32">
        <f>IFERROR(__xludf.DUMMYFUNCTION("""COMPUTED_VALUE"""),4.256905214668994)</f>
        <v>4.256905215</v>
      </c>
      <c r="AX322" s="32">
        <f>IFERROR(__xludf.DUMMYFUNCTION("""COMPUTED_VALUE"""),76.21962161930644)</f>
        <v>76.21962162</v>
      </c>
      <c r="AY322" s="32">
        <f>IFERROR(__xludf.DUMMYFUNCTION("""COMPUTED_VALUE"""),6.796314407529848)</f>
        <v>6.796314408</v>
      </c>
      <c r="AZ322" s="30">
        <f>IFERROR(__xludf.DUMMYFUNCTION("""COMPUTED_VALUE"""),2.5394091928608535)</f>
        <v>2.539409193</v>
      </c>
      <c r="BA322" s="30">
        <f>IFERROR(__xludf.DUMMYFUNCTION("""COMPUTED_VALUE"""),1200.0)</f>
        <v>1200</v>
      </c>
    </row>
    <row r="323">
      <c r="A323" s="71" t="str">
        <f>IFERROR(__xludf.DUMMYFUNCTION("""COMPUTED_VALUE"""),"Veteran")</f>
        <v>Veteran</v>
      </c>
      <c r="B323" s="71" t="str">
        <f>IFERROR(__xludf.DUMMYFUNCTION("""COMPUTED_VALUE"""),"RSC001007")</f>
        <v>RSC001007</v>
      </c>
      <c r="C323" s="30" t="str">
        <f>IFERROR(__xludf.DUMMYFUNCTION("""COMPUTED_VALUE"""),"Tdeez")</f>
        <v>Tdeez</v>
      </c>
      <c r="D323" s="30" t="str">
        <f>IFERROR(__xludf.DUMMYFUNCTION("""COMPUTED_VALUE"""),"Supernova")</f>
        <v>Supernova</v>
      </c>
      <c r="E323" s="30">
        <f>IFERROR(__xludf.DUMMYFUNCTION("""COMPUTED_VALUE"""),26.0)</f>
        <v>26</v>
      </c>
      <c r="F323" s="30">
        <f>IFERROR(__xludf.DUMMYFUNCTION("""COMPUTED_VALUE"""),8.0)</f>
        <v>8</v>
      </c>
      <c r="G323" s="42">
        <f>IFERROR(__xludf.DUMMYFUNCTION("""COMPUTED_VALUE"""),18.0)</f>
        <v>18</v>
      </c>
      <c r="H323" s="42">
        <f>IFERROR(__xludf.DUMMYFUNCTION("""COMPUTED_VALUE"""),0.3076923076923077)</f>
        <v>0.3076923077</v>
      </c>
      <c r="I323" s="42">
        <f>IFERROR(__xludf.DUMMYFUNCTION("""COMPUTED_VALUE"""),0.375)</f>
        <v>0.375</v>
      </c>
      <c r="J323" s="30">
        <f>IFERROR(__xludf.DUMMYFUNCTION("""COMPUTED_VALUE"""),328.0)</f>
        <v>328</v>
      </c>
      <c r="K323" s="30">
        <f>IFERROR(__xludf.DUMMYFUNCTION("""COMPUTED_VALUE"""),0.8076923076923077)</f>
        <v>0.8076923077</v>
      </c>
      <c r="L323" s="30">
        <f>IFERROR(__xludf.DUMMYFUNCTION("""COMPUTED_VALUE"""),0.4230769230769231)</f>
        <v>0.4230769231</v>
      </c>
      <c r="M323" s="30">
        <f>IFERROR(__xludf.DUMMYFUNCTION("""COMPUTED_VALUE"""),1.5384615384615385)</f>
        <v>1.538461538</v>
      </c>
      <c r="N323" s="30">
        <f>IFERROR(__xludf.DUMMYFUNCTION("""COMPUTED_VALUE"""),2.1538461538461537)</f>
        <v>2.153846154</v>
      </c>
      <c r="O323" s="30">
        <f>IFERROR(__xludf.DUMMYFUNCTION("""COMPUTED_VALUE"""),389.9358974358974)</f>
        <v>389.9358974</v>
      </c>
      <c r="P323" s="30">
        <f>IFERROR(__xludf.DUMMYFUNCTION("""COMPUTED_VALUE"""),1.1153846153846152)</f>
        <v>1.115384615</v>
      </c>
      <c r="Q323" s="30">
        <f>IFERROR(__xludf.DUMMYFUNCTION("""COMPUTED_VALUE"""),0.846153846153846)</f>
        <v>0.8461538462</v>
      </c>
      <c r="R323" s="30">
        <f>IFERROR(__xludf.DUMMYFUNCTION("""COMPUTED_VALUE"""),1.1153846153846154)</f>
        <v>1.115384615</v>
      </c>
      <c r="S323" s="30">
        <f>IFERROR(__xludf.DUMMYFUNCTION("""COMPUTED_VALUE"""),3.3205128205128207)</f>
        <v>3.320512821</v>
      </c>
      <c r="T323" s="30">
        <f>IFERROR(__xludf.DUMMYFUNCTION("""COMPUTED_VALUE"""),363.339804393483)</f>
        <v>363.3398044</v>
      </c>
      <c r="U323" s="30">
        <f>IFERROR(__xludf.DUMMYFUNCTION("""COMPUTED_VALUE"""),0.8334345464779881)</f>
        <v>0.8334345465</v>
      </c>
      <c r="V323" s="30">
        <f>IFERROR(__xludf.DUMMYFUNCTION("""COMPUTED_VALUE"""),0.5839289848808984)</f>
        <v>0.5839289849</v>
      </c>
      <c r="W323" s="30">
        <f>IFERROR(__xludf.DUMMYFUNCTION("""COMPUTED_VALUE"""),1.3808287564781379)</f>
        <v>1.380828756</v>
      </c>
      <c r="X323" s="30">
        <f>IFERROR(__xludf.DUMMYFUNCTION("""COMPUTED_VALUE"""),2.7112979309921283)</f>
        <v>2.711297931</v>
      </c>
      <c r="Y323" s="30">
        <f>IFERROR(__xludf.DUMMYFUNCTION("""COMPUTED_VALUE"""),352.1284965004261)</f>
        <v>352.1284965</v>
      </c>
      <c r="Z323" s="30">
        <f>IFERROR(__xludf.DUMMYFUNCTION("""COMPUTED_VALUE"""),0.7588714939496902)</f>
        <v>0.7588714939</v>
      </c>
      <c r="AA323" s="30">
        <f>IFERROR(__xludf.DUMMYFUNCTION("""COMPUTED_VALUE"""),0.5376282761780942)</f>
        <v>0.5376282762</v>
      </c>
      <c r="AB323" s="30">
        <f>IFERROR(__xludf.DUMMYFUNCTION("""COMPUTED_VALUE"""),1.3966309985005663)</f>
        <v>1.396630999</v>
      </c>
      <c r="AC323" s="30">
        <f>IFERROR(__xludf.DUMMYFUNCTION("""COMPUTED_VALUE"""),2.6297447415923116)</f>
        <v>2.629744742</v>
      </c>
      <c r="AD323" s="30">
        <f>IFERROR(__xludf.DUMMYFUNCTION("""COMPUTED_VALUE"""),0.9314781486297662)</f>
        <v>0.9314781486</v>
      </c>
      <c r="AE323" s="30">
        <f>IFERROR(__xludf.DUMMYFUNCTION("""COMPUTED_VALUE"""),1.0643334400248985)</f>
        <v>1.06433344</v>
      </c>
      <c r="AF323" s="30">
        <f>IFERROR(__xludf.DUMMYFUNCTION("""COMPUTED_VALUE"""),0.7869320529130337)</f>
        <v>0.7869320529</v>
      </c>
      <c r="AG323" s="30">
        <f>IFERROR(__xludf.DUMMYFUNCTION("""COMPUTED_VALUE"""),1.1015519060605432)</f>
        <v>1.101551906</v>
      </c>
      <c r="AH323" s="30">
        <f>IFERROR(__xludf.DUMMYFUNCTION("""COMPUTED_VALUE"""),0.8190324025677104)</f>
        <v>0.8190324026</v>
      </c>
      <c r="AI323" s="30">
        <f>IFERROR(__xludf.DUMMYFUNCTION("""COMPUTED_VALUE"""),1.073198952387864)</f>
        <v>1.073198952</v>
      </c>
      <c r="AJ323" s="30">
        <f>IFERROR(__xludf.DUMMYFUNCTION("""COMPUTED_VALUE"""),1.338298994321894)</f>
        <v>1.338298994</v>
      </c>
      <c r="AK323" s="30">
        <f>IFERROR(__xludf.DUMMYFUNCTION("""COMPUTED_VALUE"""),1.4490697808508899)</f>
        <v>1.449069781</v>
      </c>
      <c r="AL323" s="30">
        <f>IFERROR(__xludf.DUMMYFUNCTION("""COMPUTED_VALUE"""),0.807764619726961)</f>
        <v>0.8077646197</v>
      </c>
      <c r="AM323" s="30">
        <f>IFERROR(__xludf.DUMMYFUNCTION("""COMPUTED_VALUE"""),1.2246949265725904)</f>
        <v>1.224694927</v>
      </c>
      <c r="AN323" s="30">
        <f>IFERROR(__xludf.DUMMYFUNCTION("""COMPUTED_VALUE"""),0.9499610953068072)</f>
        <v>0.9499610953</v>
      </c>
      <c r="AO323" s="30">
        <f>IFERROR(__xludf.DUMMYFUNCTION("""COMPUTED_VALUE"""),1.0707175141842915)</f>
        <v>1.070717514</v>
      </c>
      <c r="AP323" s="30">
        <f>IFERROR(__xludf.DUMMYFUNCTION("""COMPUTED_VALUE"""),0.7846009440500838)</f>
        <v>0.7846009441</v>
      </c>
      <c r="AQ323" s="30">
        <f>IFERROR(__xludf.DUMMYFUNCTION("""COMPUTED_VALUE"""),1.139058097456002)</f>
        <v>1.139058097</v>
      </c>
      <c r="AR323" s="30">
        <f>IFERROR(__xludf.DUMMYFUNCTION("""COMPUTED_VALUE"""),0.8411221650617625)</f>
        <v>0.8411221651</v>
      </c>
      <c r="AS323" s="30">
        <f>IFERROR(__xludf.DUMMYFUNCTION("""COMPUTED_VALUE"""),54.0)</f>
        <v>54</v>
      </c>
      <c r="AT323" s="30">
        <f>IFERROR(__xludf.DUMMYFUNCTION("""COMPUTED_VALUE"""),0.31544624471782384)</f>
        <v>0.3154462447</v>
      </c>
      <c r="AU323" s="30">
        <f>IFERROR(__xludf.DUMMYFUNCTION("""COMPUTED_VALUE"""),1.8748309006733974)</f>
        <v>1.874830901</v>
      </c>
      <c r="AV323" s="32">
        <f>IFERROR(__xludf.DUMMYFUNCTION("""COMPUTED_VALUE"""),34.6637483312977)</f>
        <v>34.66374833</v>
      </c>
      <c r="AW323" s="32">
        <f>IFERROR(__xludf.DUMMYFUNCTION("""COMPUTED_VALUE"""),-3.7065949178706634)</f>
        <v>-3.706594918</v>
      </c>
      <c r="AX323" s="32">
        <f>IFERROR(__xludf.DUMMYFUNCTION("""COMPUTED_VALUE"""),25.16101576625413)</f>
        <v>25.16101577</v>
      </c>
      <c r="AY323" s="32">
        <f>IFERROR(__xludf.DUMMYFUNCTION("""COMPUTED_VALUE"""),-6.241468044145221)</f>
        <v>-6.241468044</v>
      </c>
      <c r="AZ323" s="30">
        <f>IFERROR(__xludf.DUMMYFUNCTION("""COMPUTED_VALUE"""),2.5348731262745576)</f>
        <v>2.534873126</v>
      </c>
      <c r="BA323" s="30">
        <f>IFERROR(__xludf.DUMMYFUNCTION("""COMPUTED_VALUE"""),1200.0)</f>
        <v>1200</v>
      </c>
    </row>
    <row r="324">
      <c r="A324" s="71" t="str">
        <f>IFERROR(__xludf.DUMMYFUNCTION("""COMPUTED_VALUE"""),"Veteran")</f>
        <v>Veteran</v>
      </c>
      <c r="B324" s="71" t="str">
        <f>IFERROR(__xludf.DUMMYFUNCTION("""COMPUTED_VALUE"""),"RSC002747")</f>
        <v>RSC002747</v>
      </c>
      <c r="C324" s="30" t="str">
        <f>IFERROR(__xludf.DUMMYFUNCTION("""COMPUTED_VALUE"""),"derrrrrrrrp")</f>
        <v>derrrrrrrrp</v>
      </c>
      <c r="D324" s="30" t="str">
        <f>IFERROR(__xludf.DUMMYFUNCTION("""COMPUTED_VALUE"""),"Folks")</f>
        <v>Folks</v>
      </c>
      <c r="E324" s="30">
        <f>IFERROR(__xludf.DUMMYFUNCTION("""COMPUTED_VALUE"""),15.0)</f>
        <v>15</v>
      </c>
      <c r="F324" s="30">
        <f>IFERROR(__xludf.DUMMYFUNCTION("""COMPUTED_VALUE"""),9.0)</f>
        <v>9</v>
      </c>
      <c r="G324" s="42">
        <f>IFERROR(__xludf.DUMMYFUNCTION("""COMPUTED_VALUE"""),6.0)</f>
        <v>6</v>
      </c>
      <c r="H324" s="42">
        <f>IFERROR(__xludf.DUMMYFUNCTION("""COMPUTED_VALUE"""),0.6)</f>
        <v>0.6</v>
      </c>
      <c r="I324" s="42">
        <f>IFERROR(__xludf.DUMMYFUNCTION("""COMPUTED_VALUE"""),0.34210526315789475)</f>
        <v>0.3421052632</v>
      </c>
      <c r="J324" s="30">
        <f>IFERROR(__xludf.DUMMYFUNCTION("""COMPUTED_VALUE"""),314.8)</f>
        <v>314.8</v>
      </c>
      <c r="K324" s="30">
        <f>IFERROR(__xludf.DUMMYFUNCTION("""COMPUTED_VALUE"""),0.8666666666666667)</f>
        <v>0.8666666667</v>
      </c>
      <c r="L324" s="30">
        <f>IFERROR(__xludf.DUMMYFUNCTION("""COMPUTED_VALUE"""),0.3333333333333333)</f>
        <v>0.3333333333</v>
      </c>
      <c r="M324" s="30">
        <f>IFERROR(__xludf.DUMMYFUNCTION("""COMPUTED_VALUE"""),1.3333333333333333)</f>
        <v>1.333333333</v>
      </c>
      <c r="N324" s="30">
        <f>IFERROR(__xludf.DUMMYFUNCTION("""COMPUTED_VALUE"""),2.533333333333333)</f>
        <v>2.533333333</v>
      </c>
      <c r="O324" s="30">
        <f>IFERROR(__xludf.DUMMYFUNCTION("""COMPUTED_VALUE"""),332.4888888888889)</f>
        <v>332.4888889</v>
      </c>
      <c r="P324" s="30">
        <f>IFERROR(__xludf.DUMMYFUNCTION("""COMPUTED_VALUE"""),0.6222222222222221)</f>
        <v>0.6222222222</v>
      </c>
      <c r="Q324" s="30">
        <f>IFERROR(__xludf.DUMMYFUNCTION("""COMPUTED_VALUE"""),0.5555555555555555)</f>
        <v>0.5555555556</v>
      </c>
      <c r="R324" s="30">
        <f>IFERROR(__xludf.DUMMYFUNCTION("""COMPUTED_VALUE"""),1.288888888888889)</f>
        <v>1.288888889</v>
      </c>
      <c r="S324" s="30">
        <f>IFERROR(__xludf.DUMMYFUNCTION("""COMPUTED_VALUE"""),2.7777777777777777)</f>
        <v>2.777777778</v>
      </c>
      <c r="T324" s="30">
        <f>IFERROR(__xludf.DUMMYFUNCTION("""COMPUTED_VALUE"""),370.3202156924529)</f>
        <v>370.3202157</v>
      </c>
      <c r="U324" s="30">
        <f>IFERROR(__xludf.DUMMYFUNCTION("""COMPUTED_VALUE"""),0.8820358585121393)</f>
        <v>0.8820358585</v>
      </c>
      <c r="V324" s="30">
        <f>IFERROR(__xludf.DUMMYFUNCTION("""COMPUTED_VALUE"""),0.6226375714149275)</f>
        <v>0.6226375714</v>
      </c>
      <c r="W324" s="30">
        <f>IFERROR(__xludf.DUMMYFUNCTION("""COMPUTED_VALUE"""),1.3786360315838497)</f>
        <v>1.378636032</v>
      </c>
      <c r="X324" s="30">
        <f>IFERROR(__xludf.DUMMYFUNCTION("""COMPUTED_VALUE"""),2.819243938499947)</f>
        <v>2.819243938</v>
      </c>
      <c r="Y324" s="30">
        <f>IFERROR(__xludf.DUMMYFUNCTION("""COMPUTED_VALUE"""),360.2946098174281)</f>
        <v>360.2946098</v>
      </c>
      <c r="Z324" s="30">
        <f>IFERROR(__xludf.DUMMYFUNCTION("""COMPUTED_VALUE"""),0.8127038307465252)</f>
        <v>0.8127038307</v>
      </c>
      <c r="AA324" s="30">
        <f>IFERROR(__xludf.DUMMYFUNCTION("""COMPUTED_VALUE"""),0.5649404240389904)</f>
        <v>0.564940424</v>
      </c>
      <c r="AB324" s="30">
        <f>IFERROR(__xludf.DUMMYFUNCTION("""COMPUTED_VALUE"""),1.419155412243015)</f>
        <v>1.419155412</v>
      </c>
      <c r="AC324" s="30">
        <f>IFERROR(__xludf.DUMMYFUNCTION("""COMPUTED_VALUE"""),2.6791836139473717)</f>
        <v>2.679183614</v>
      </c>
      <c r="AD324" s="30">
        <f>IFERROR(__xludf.DUMMYFUNCTION("""COMPUTED_VALUE"""),0.8737294187096455)</f>
        <v>0.8737294187</v>
      </c>
      <c r="AE324" s="30">
        <f>IFERROR(__xludf.DUMMYFUNCTION("""COMPUTED_VALUE"""),1.0663991405953788)</f>
        <v>1.066399141</v>
      </c>
      <c r="AF324" s="30">
        <f>IFERROR(__xludf.DUMMYFUNCTION("""COMPUTED_VALUE"""),0.5900327169902215)</f>
        <v>0.590032717</v>
      </c>
      <c r="AG324" s="30">
        <f>IFERROR(__xludf.DUMMYFUNCTION("""COMPUTED_VALUE"""),0.9395259474971542)</f>
        <v>0.9395259475</v>
      </c>
      <c r="AH324" s="30">
        <f>IFERROR(__xludf.DUMMYFUNCTION("""COMPUTED_VALUE"""),0.9455616704078187)</f>
        <v>0.9455616704</v>
      </c>
      <c r="AI324" s="30">
        <f>IFERROR(__xludf.DUMMYFUNCTION("""COMPUTED_VALUE"""),0.8978415835797025)</f>
        <v>0.8978415836</v>
      </c>
      <c r="AJ324" s="30">
        <f>IFERROR(__xludf.DUMMYFUNCTION("""COMPUTED_VALUE"""),0.7054386918824554)</f>
        <v>0.7054386919</v>
      </c>
      <c r="AK324" s="30">
        <f>IFERROR(__xludf.DUMMYFUNCTION("""COMPUTED_VALUE"""),0.8922615355399612)</f>
        <v>0.8922615355</v>
      </c>
      <c r="AL324" s="30">
        <f>IFERROR(__xludf.DUMMYFUNCTION("""COMPUTED_VALUE"""),0.9349014963783773)</f>
        <v>0.9349014964</v>
      </c>
      <c r="AM324" s="30">
        <f>IFERROR(__xludf.DUMMYFUNCTION("""COMPUTED_VALUE"""),0.9852917443021152)</f>
        <v>0.9852917443</v>
      </c>
      <c r="AN324" s="30">
        <f>IFERROR(__xludf.DUMMYFUNCTION("""COMPUTED_VALUE"""),0.9117309536664113)</f>
        <v>0.9117309537</v>
      </c>
      <c r="AO324" s="30">
        <f>IFERROR(__xludf.DUMMYFUNCTION("""COMPUTED_VALUE"""),1.1488968882358428)</f>
        <v>1.148896888</v>
      </c>
      <c r="AP324" s="30">
        <f>IFERROR(__xludf.DUMMYFUNCTION("""COMPUTED_VALUE"""),0.6181704407667327)</f>
        <v>0.6181704408</v>
      </c>
      <c r="AQ324" s="30">
        <f>IFERROR(__xludf.DUMMYFUNCTION("""COMPUTED_VALUE"""),0.9871836844618684)</f>
        <v>0.9871836845</v>
      </c>
      <c r="AR324" s="30">
        <f>IFERROR(__xludf.DUMMYFUNCTION("""COMPUTED_VALUE"""),0.9893198798583588)</f>
        <v>0.9893198799</v>
      </c>
      <c r="AS324" s="30">
        <f>IFERROR(__xludf.DUMMYFUNCTION("""COMPUTED_VALUE"""),35.0)</f>
        <v>35</v>
      </c>
      <c r="AT324" s="30">
        <f>IFERROR(__xludf.DUMMYFUNCTION("""COMPUTED_VALUE"""),0.5834289813718331)</f>
        <v>0.5834289814</v>
      </c>
      <c r="AU324" s="30">
        <f>IFERROR(__xludf.DUMMYFUNCTION("""COMPUTED_VALUE"""),2.273238170338363)</f>
        <v>2.27323817</v>
      </c>
      <c r="AV324" s="32">
        <f>IFERROR(__xludf.DUMMYFUNCTION("""COMPUTED_VALUE"""),47.00484861875626)</f>
        <v>47.00484862</v>
      </c>
      <c r="AW324" s="32">
        <f>IFERROR(__xludf.DUMMYFUNCTION("""COMPUTED_VALUE"""),-2.210832052088467)</f>
        <v>-2.210832052</v>
      </c>
      <c r="AX324" s="32">
        <f>IFERROR(__xludf.DUMMYFUNCTION("""COMPUTED_VALUE"""),30.39291469580196)</f>
        <v>30.3929147</v>
      </c>
      <c r="AY324" s="32">
        <f>IFERROR(__xludf.DUMMYFUNCTION("""COMPUTED_VALUE"""),-4.620283923314434)</f>
        <v>-4.620283923</v>
      </c>
      <c r="AZ324" s="30">
        <f>IFERROR(__xludf.DUMMYFUNCTION("""COMPUTED_VALUE"""),2.4094518712259676)</f>
        <v>2.409451871</v>
      </c>
      <c r="BA324" s="30">
        <f>IFERROR(__xludf.DUMMYFUNCTION("""COMPUTED_VALUE"""),1200.0)</f>
        <v>1200</v>
      </c>
    </row>
    <row r="325">
      <c r="A325" s="71" t="str">
        <f>IFERROR(__xludf.DUMMYFUNCTION("""COMPUTED_VALUE"""),"Veteran")</f>
        <v>Veteran</v>
      </c>
      <c r="B325" s="71" t="str">
        <f>IFERROR(__xludf.DUMMYFUNCTION("""COMPUTED_VALUE"""),"RSC006140")</f>
        <v>RSC006140</v>
      </c>
      <c r="C325" s="30" t="str">
        <f>IFERROR(__xludf.DUMMYFUNCTION("""COMPUTED_VALUE"""),"Jay_Kay99")</f>
        <v>Jay_Kay99</v>
      </c>
      <c r="D325" s="30" t="str">
        <f>IFERROR(__xludf.DUMMYFUNCTION("""COMPUTED_VALUE"""),"Blacksmiths")</f>
        <v>Blacksmiths</v>
      </c>
      <c r="E325" s="30">
        <f>IFERROR(__xludf.DUMMYFUNCTION("""COMPUTED_VALUE"""),36.0)</f>
        <v>36</v>
      </c>
      <c r="F325" s="30">
        <f>IFERROR(__xludf.DUMMYFUNCTION("""COMPUTED_VALUE"""),20.0)</f>
        <v>20</v>
      </c>
      <c r="G325" s="42">
        <f>IFERROR(__xludf.DUMMYFUNCTION("""COMPUTED_VALUE"""),16.0)</f>
        <v>16</v>
      </c>
      <c r="H325" s="42">
        <f>IFERROR(__xludf.DUMMYFUNCTION("""COMPUTED_VALUE"""),0.5555555555555556)</f>
        <v>0.5555555556</v>
      </c>
      <c r="I325" s="42">
        <f>IFERROR(__xludf.DUMMYFUNCTION("""COMPUTED_VALUE"""),0.36363636363636365)</f>
        <v>0.3636363636</v>
      </c>
      <c r="J325" s="30">
        <f>IFERROR(__xludf.DUMMYFUNCTION("""COMPUTED_VALUE"""),373.47222222222223)</f>
        <v>373.4722222</v>
      </c>
      <c r="K325" s="30">
        <f>IFERROR(__xludf.DUMMYFUNCTION("""COMPUTED_VALUE"""),1.0)</f>
        <v>1</v>
      </c>
      <c r="L325" s="30">
        <f>IFERROR(__xludf.DUMMYFUNCTION("""COMPUTED_VALUE"""),0.6111111111111112)</f>
        <v>0.6111111111</v>
      </c>
      <c r="M325" s="30">
        <f>IFERROR(__xludf.DUMMYFUNCTION("""COMPUTED_VALUE"""),1.3333333333333333)</f>
        <v>1.333333333</v>
      </c>
      <c r="N325" s="30">
        <f>IFERROR(__xludf.DUMMYFUNCTION("""COMPUTED_VALUE"""),2.75)</f>
        <v>2.75</v>
      </c>
      <c r="O325" s="30">
        <f>IFERROR(__xludf.DUMMYFUNCTION("""COMPUTED_VALUE"""),364.2222222222222)</f>
        <v>364.2222222</v>
      </c>
      <c r="P325" s="30">
        <f>IFERROR(__xludf.DUMMYFUNCTION("""COMPUTED_VALUE"""),0.7685185185185186)</f>
        <v>0.7685185185</v>
      </c>
      <c r="Q325" s="30">
        <f>IFERROR(__xludf.DUMMYFUNCTION("""COMPUTED_VALUE"""),0.6296296296296298)</f>
        <v>0.6296296296</v>
      </c>
      <c r="R325" s="30">
        <f>IFERROR(__xludf.DUMMYFUNCTION("""COMPUTED_VALUE"""),1.5185185185185184)</f>
        <v>1.518518519</v>
      </c>
      <c r="S325" s="30">
        <f>IFERROR(__xludf.DUMMYFUNCTION("""COMPUTED_VALUE"""),2.407407407407407)</f>
        <v>2.407407407</v>
      </c>
      <c r="T325" s="30">
        <f>IFERROR(__xludf.DUMMYFUNCTION("""COMPUTED_VALUE"""),352.51101807503505)</f>
        <v>352.5110181</v>
      </c>
      <c r="U325" s="30">
        <f>IFERROR(__xludf.DUMMYFUNCTION("""COMPUTED_VALUE"""),0.7776810414092754)</f>
        <v>0.7776810414</v>
      </c>
      <c r="V325" s="30">
        <f>IFERROR(__xludf.DUMMYFUNCTION("""COMPUTED_VALUE"""),0.574552214216324)</f>
        <v>0.5745522142</v>
      </c>
      <c r="W325" s="30">
        <f>IFERROR(__xludf.DUMMYFUNCTION("""COMPUTED_VALUE"""),1.3898581116329183)</f>
        <v>1.389858112</v>
      </c>
      <c r="X325" s="30">
        <f>IFERROR(__xludf.DUMMYFUNCTION("""COMPUTED_VALUE"""),2.6243962417591096)</f>
        <v>2.624396242</v>
      </c>
      <c r="Y325" s="30">
        <f>IFERROR(__xludf.DUMMYFUNCTION("""COMPUTED_VALUE"""),342.8828393728998)</f>
        <v>342.8828394</v>
      </c>
      <c r="Z325" s="30">
        <f>IFERROR(__xludf.DUMMYFUNCTION("""COMPUTED_VALUE"""),0.7486856502540923)</f>
        <v>0.7486856503</v>
      </c>
      <c r="AA325" s="30">
        <f>IFERROR(__xludf.DUMMYFUNCTION("""COMPUTED_VALUE"""),0.5262238232112881)</f>
        <v>0.5262238232</v>
      </c>
      <c r="AB325" s="30">
        <f>IFERROR(__xludf.DUMMYFUNCTION("""COMPUTED_VALUE"""),1.3526063554975445)</f>
        <v>1.352606355</v>
      </c>
      <c r="AC325" s="30">
        <f>IFERROR(__xludf.DUMMYFUNCTION("""COMPUTED_VALUE"""),2.5386195612759375)</f>
        <v>2.538619561</v>
      </c>
      <c r="AD325" s="30">
        <f>IFERROR(__xludf.DUMMYFUNCTION("""COMPUTED_VALUE"""),1.0892123470082886)</f>
        <v>1.089212347</v>
      </c>
      <c r="AE325" s="30">
        <f>IFERROR(__xludf.DUMMYFUNCTION("""COMPUTED_VALUE"""),1.3356740571434962)</f>
        <v>1.335674057</v>
      </c>
      <c r="AF325" s="30">
        <f>IFERROR(__xludf.DUMMYFUNCTION("""COMPUTED_VALUE"""),1.161314034362407)</f>
        <v>1.161314034</v>
      </c>
      <c r="AG325" s="30">
        <f>IFERROR(__xludf.DUMMYFUNCTION("""COMPUTED_VALUE"""),0.9857511965060065)</f>
        <v>0.9857511965</v>
      </c>
      <c r="AH325" s="30">
        <f>IFERROR(__xludf.DUMMYFUNCTION("""COMPUTED_VALUE"""),1.0832658985018695)</f>
        <v>1.083265899</v>
      </c>
      <c r="AI325" s="30">
        <f>IFERROR(__xludf.DUMMYFUNCTION("""COMPUTED_VALUE"""),1.0332222357506404)</f>
        <v>1.033222236</v>
      </c>
      <c r="AJ325" s="30">
        <f>IFERROR(__xludf.DUMMYFUNCTION("""COMPUTED_VALUE"""),0.9882181480544351)</f>
        <v>0.9882181481</v>
      </c>
      <c r="AK325" s="30">
        <f>IFERROR(__xludf.DUMMYFUNCTION("""COMPUTED_VALUE"""),1.095861462284033)</f>
        <v>1.095861462</v>
      </c>
      <c r="AL325" s="30">
        <f>IFERROR(__xludf.DUMMYFUNCTION("""COMPUTED_VALUE"""),1.092570893250707)</f>
        <v>1.092570893</v>
      </c>
      <c r="AM325" s="30">
        <f>IFERROR(__xludf.DUMMYFUNCTION("""COMPUTED_VALUE"""),0.9173185699251509)</f>
        <v>0.9173185699</v>
      </c>
      <c r="AN325" s="30">
        <f>IFERROR(__xludf.DUMMYFUNCTION("""COMPUTED_VALUE"""),1.0816587844173462)</f>
        <v>1.081658784</v>
      </c>
      <c r="AO325" s="30">
        <f>IFERROR(__xludf.DUMMYFUNCTION("""COMPUTED_VALUE"""),1.3256502556567418)</f>
        <v>1.325650256</v>
      </c>
      <c r="AP325" s="30">
        <f>IFERROR(__xludf.DUMMYFUNCTION("""COMPUTED_VALUE"""),1.1333124747390102)</f>
        <v>1.133312475</v>
      </c>
      <c r="AQ325" s="30">
        <f>IFERROR(__xludf.DUMMYFUNCTION("""COMPUTED_VALUE"""),0.9871836844618684)</f>
        <v>0.9871836845</v>
      </c>
      <c r="AR325" s="30">
        <f>IFERROR(__xludf.DUMMYFUNCTION("""COMPUTED_VALUE"""),1.073932764319929)</f>
        <v>1.073932764</v>
      </c>
      <c r="AS325" s="30">
        <f>IFERROR(__xludf.DUMMYFUNCTION("""COMPUTED_VALUE"""),94.0)</f>
        <v>94</v>
      </c>
      <c r="AT325" s="30">
        <f>IFERROR(__xludf.DUMMYFUNCTION("""COMPUTED_VALUE"""),0.5489850662111027)</f>
        <v>0.5489850662</v>
      </c>
      <c r="AU325" s="30">
        <f>IFERROR(__xludf.DUMMYFUNCTION("""COMPUTED_VALUE"""),3.086612080750396)</f>
        <v>3.086612081</v>
      </c>
      <c r="AV325" s="32">
        <f>IFERROR(__xludf.DUMMYFUNCTION("""COMPUTED_VALUE"""),72.199993797805)</f>
        <v>72.1999938</v>
      </c>
      <c r="AW325" s="32">
        <f>IFERROR(__xludf.DUMMYFUNCTION("""COMPUTED_VALUE"""),5.339870976378566)</f>
        <v>5.339870976</v>
      </c>
      <c r="AX325" s="32">
        <f>IFERROR(__xludf.DUMMYFUNCTION("""COMPUTED_VALUE"""),60.76047383833814)</f>
        <v>60.76047384</v>
      </c>
      <c r="AY325" s="32">
        <f>IFERROR(__xludf.DUMMYFUNCTION("""COMPUTED_VALUE"""),2.998991242272336)</f>
        <v>2.998991242</v>
      </c>
      <c r="AZ325" s="30">
        <f>IFERROR(__xludf.DUMMYFUNCTION("""COMPUTED_VALUE"""),2.3408797341062297)</f>
        <v>2.340879734</v>
      </c>
      <c r="BA325" s="30">
        <f>IFERROR(__xludf.DUMMYFUNCTION("""COMPUTED_VALUE"""),1200.0)</f>
        <v>1200</v>
      </c>
    </row>
    <row r="326">
      <c r="A326" s="71" t="str">
        <f>IFERROR(__xludf.DUMMYFUNCTION("""COMPUTED_VALUE"""),"Veteran")</f>
        <v>Veteran</v>
      </c>
      <c r="B326" s="71" t="str">
        <f>IFERROR(__xludf.DUMMYFUNCTION("""COMPUTED_VALUE"""),"RSC002917")</f>
        <v>RSC002917</v>
      </c>
      <c r="C326" s="30" t="str">
        <f>IFERROR(__xludf.DUMMYFUNCTION("""COMPUTED_VALUE"""),"Arbartenn")</f>
        <v>Arbartenn</v>
      </c>
      <c r="D326" s="30" t="str">
        <f>IFERROR(__xludf.DUMMYFUNCTION("""COMPUTED_VALUE"""),"Grizzly Bears")</f>
        <v>Grizzly Bears</v>
      </c>
      <c r="E326" s="30">
        <f>IFERROR(__xludf.DUMMYFUNCTION("""COMPUTED_VALUE"""),28.0)</f>
        <v>28</v>
      </c>
      <c r="F326" s="30">
        <f>IFERROR(__xludf.DUMMYFUNCTION("""COMPUTED_VALUE"""),19.0)</f>
        <v>19</v>
      </c>
      <c r="G326" s="42">
        <f>IFERROR(__xludf.DUMMYFUNCTION("""COMPUTED_VALUE"""),9.0)</f>
        <v>9</v>
      </c>
      <c r="H326" s="42">
        <f>IFERROR(__xludf.DUMMYFUNCTION("""COMPUTED_VALUE"""),0.6785714285714286)</f>
        <v>0.6785714286</v>
      </c>
      <c r="I326" s="42">
        <f>IFERROR(__xludf.DUMMYFUNCTION("""COMPUTED_VALUE"""),0.2857142857142857)</f>
        <v>0.2857142857</v>
      </c>
      <c r="J326" s="30">
        <f>IFERROR(__xludf.DUMMYFUNCTION("""COMPUTED_VALUE"""),357.67857142857144)</f>
        <v>357.6785714</v>
      </c>
      <c r="K326" s="30">
        <f>IFERROR(__xludf.DUMMYFUNCTION("""COMPUTED_VALUE"""),0.7857142857142857)</f>
        <v>0.7857142857</v>
      </c>
      <c r="L326" s="30">
        <f>IFERROR(__xludf.DUMMYFUNCTION("""COMPUTED_VALUE"""),0.8571428571428571)</f>
        <v>0.8571428571</v>
      </c>
      <c r="M326" s="30">
        <f>IFERROR(__xludf.DUMMYFUNCTION("""COMPUTED_VALUE"""),1.1785714285714286)</f>
        <v>1.178571429</v>
      </c>
      <c r="N326" s="30">
        <f>IFERROR(__xludf.DUMMYFUNCTION("""COMPUTED_VALUE"""),2.75)</f>
        <v>2.75</v>
      </c>
      <c r="O326" s="30">
        <f>IFERROR(__xludf.DUMMYFUNCTION("""COMPUTED_VALUE"""),353.26190476190476)</f>
        <v>353.2619048</v>
      </c>
      <c r="P326" s="30">
        <f>IFERROR(__xludf.DUMMYFUNCTION("""COMPUTED_VALUE"""),0.6904761904761905)</f>
        <v>0.6904761905</v>
      </c>
      <c r="Q326" s="30">
        <f>IFERROR(__xludf.DUMMYFUNCTION("""COMPUTED_VALUE"""),0.4523809523809523)</f>
        <v>0.4523809524</v>
      </c>
      <c r="R326" s="30">
        <f>IFERROR(__xludf.DUMMYFUNCTION("""COMPUTED_VALUE"""),1.5833333333333335)</f>
        <v>1.583333333</v>
      </c>
      <c r="S326" s="30">
        <f>IFERROR(__xludf.DUMMYFUNCTION("""COMPUTED_VALUE"""),2.4285714285714293)</f>
        <v>2.428571429</v>
      </c>
      <c r="T326" s="30">
        <f>IFERROR(__xludf.DUMMYFUNCTION("""COMPUTED_VALUE"""),351.9385350704948)</f>
        <v>351.9385351</v>
      </c>
      <c r="U326" s="30">
        <f>IFERROR(__xludf.DUMMYFUNCTION("""COMPUTED_VALUE"""),0.7212076096509455)</f>
        <v>0.7212076097</v>
      </c>
      <c r="V326" s="30">
        <f>IFERROR(__xludf.DUMMYFUNCTION("""COMPUTED_VALUE"""),0.5265147713737214)</f>
        <v>0.5265147714</v>
      </c>
      <c r="W326" s="30">
        <f>IFERROR(__xludf.DUMMYFUNCTION("""COMPUTED_VALUE"""),1.5368249942076653)</f>
        <v>1.536824994</v>
      </c>
      <c r="X326" s="30">
        <f>IFERROR(__xludf.DUMMYFUNCTION("""COMPUTED_VALUE"""),2.463247152677064)</f>
        <v>2.463247153</v>
      </c>
      <c r="Y326" s="30">
        <f>IFERROR(__xludf.DUMMYFUNCTION("""COMPUTED_VALUE"""),360.80261987362366)</f>
        <v>360.8026199</v>
      </c>
      <c r="Z326" s="30">
        <f>IFERROR(__xludf.DUMMYFUNCTION("""COMPUTED_VALUE"""),0.8450446192533677)</f>
        <v>0.8450446193</v>
      </c>
      <c r="AA326" s="30">
        <f>IFERROR(__xludf.DUMMYFUNCTION("""COMPUTED_VALUE"""),0.6236860251313374)</f>
        <v>0.6236860251</v>
      </c>
      <c r="AB326" s="30">
        <f>IFERROR(__xludf.DUMMYFUNCTION("""COMPUTED_VALUE"""),1.2870191838133895)</f>
        <v>1.287019184</v>
      </c>
      <c r="AC326" s="30">
        <f>IFERROR(__xludf.DUMMYFUNCTION("""COMPUTED_VALUE"""),2.8014789271833034)</f>
        <v>2.801478927</v>
      </c>
      <c r="AD326" s="30">
        <f>IFERROR(__xludf.DUMMYFUNCTION("""COMPUTED_VALUE"""),0.9913413920160933)</f>
        <v>0.991341392</v>
      </c>
      <c r="AE326" s="30">
        <f>IFERROR(__xludf.DUMMYFUNCTION("""COMPUTED_VALUE"""),0.9297902948704616)</f>
        <v>0.9297902949</v>
      </c>
      <c r="AF326" s="30">
        <f>IFERROR(__xludf.DUMMYFUNCTION("""COMPUTED_VALUE"""),1.374317882082347)</f>
        <v>1.374317882</v>
      </c>
      <c r="AG326" s="30">
        <f>IFERROR(__xludf.DUMMYFUNCTION("""COMPUTED_VALUE"""),0.9157372659196623)</f>
        <v>0.9157372659</v>
      </c>
      <c r="AH326" s="30">
        <f>IFERROR(__xludf.DUMMYFUNCTION("""COMPUTED_VALUE"""),0.9816243746530473)</f>
        <v>0.9816243747</v>
      </c>
      <c r="AI326" s="30">
        <f>IFERROR(__xludf.DUMMYFUNCTION("""COMPUTED_VALUE"""),1.0037602295842507)</f>
        <v>1.00376023</v>
      </c>
      <c r="AJ326" s="30">
        <f>IFERROR(__xludf.DUMMYFUNCTION("""COMPUTED_VALUE"""),0.9573889421526921)</f>
        <v>0.9573889422</v>
      </c>
      <c r="AK326" s="30">
        <f>IFERROR(__xludf.DUMMYFUNCTION("""COMPUTED_VALUE"""),0.859198975938799)</f>
        <v>0.8591989759</v>
      </c>
      <c r="AL326" s="30">
        <f>IFERROR(__xludf.DUMMYFUNCTION("""COMPUTED_VALUE"""),1.0302626123995637)</f>
        <v>1.030262612</v>
      </c>
      <c r="AM326" s="30">
        <f>IFERROR(__xludf.DUMMYFUNCTION("""COMPUTED_VALUE"""),0.9859227588803061)</f>
        <v>0.9859227589</v>
      </c>
      <c r="AN326" s="30">
        <f>IFERROR(__xludf.DUMMYFUNCTION("""COMPUTED_VALUE"""),1.0359168520794506)</f>
        <v>1.035916852</v>
      </c>
      <c r="AO326" s="30">
        <f>IFERROR(__xludf.DUMMYFUNCTION("""COMPUTED_VALUE"""),1.0415823437302971)</f>
        <v>1.041582344</v>
      </c>
      <c r="AP326" s="30">
        <f>IFERROR(__xludf.DUMMYFUNCTION("""COMPUTED_VALUE"""),1.58958113340017)</f>
        <v>1.589581133</v>
      </c>
      <c r="AQ326" s="30">
        <f>IFERROR(__xludf.DUMMYFUNCTION("""COMPUTED_VALUE"""),0.872599863943973)</f>
        <v>0.8725998639</v>
      </c>
      <c r="AR326" s="30">
        <f>IFERROR(__xludf.DUMMYFUNCTION("""COMPUTED_VALUE"""),1.073932764319929)</f>
        <v>1.073932764</v>
      </c>
      <c r="AS326" s="30">
        <f>IFERROR(__xludf.DUMMYFUNCTION("""COMPUTED_VALUE"""),80.0)</f>
        <v>80</v>
      </c>
      <c r="AT326" s="30">
        <f>IFERROR(__xludf.DUMMYFUNCTION("""COMPUTED_VALUE"""),0.6244036867441237)</f>
        <v>0.6244036867</v>
      </c>
      <c r="AU326" s="30">
        <f>IFERROR(__xludf.DUMMYFUNCTION("""COMPUTED_VALUE"""),2.9721563292402995)</f>
        <v>2.972156329</v>
      </c>
      <c r="AV326" s="32">
        <f>IFERROR(__xludf.DUMMYFUNCTION("""COMPUTED_VALUE"""),68.65460189506597)</f>
        <v>68.6546019</v>
      </c>
      <c r="AW326" s="32">
        <f>IFERROR(__xludf.DUMMYFUNCTION("""COMPUTED_VALUE"""),4.390237438969042)</f>
        <v>4.390237439</v>
      </c>
      <c r="AX326" s="32">
        <f>IFERROR(__xludf.DUMMYFUNCTION("""COMPUTED_VALUE"""),51.075577368392416)</f>
        <v>51.07557737</v>
      </c>
      <c r="AY326" s="32">
        <f>IFERROR(__xludf.DUMMYFUNCTION("""COMPUTED_VALUE"""),2.071072746721238)</f>
        <v>2.071072747</v>
      </c>
      <c r="AZ326" s="30">
        <f>IFERROR(__xludf.DUMMYFUNCTION("""COMPUTED_VALUE"""),2.319164692247804)</f>
        <v>2.319164692</v>
      </c>
      <c r="BA326" s="30">
        <f>IFERROR(__xludf.DUMMYFUNCTION("""COMPUTED_VALUE"""),1200.0)</f>
        <v>1200</v>
      </c>
    </row>
    <row r="327">
      <c r="A327" s="71" t="str">
        <f>IFERROR(__xludf.DUMMYFUNCTION("""COMPUTED_VALUE"""),"Veteran")</f>
        <v>Veteran</v>
      </c>
      <c r="B327" s="71" t="str">
        <f>IFERROR(__xludf.DUMMYFUNCTION("""COMPUTED_VALUE"""),"RSC002760")</f>
        <v>RSC002760</v>
      </c>
      <c r="C327" s="30" t="str">
        <f>IFERROR(__xludf.DUMMYFUNCTION("""COMPUTED_VALUE"""),"gcol")</f>
        <v>gcol</v>
      </c>
      <c r="D327" s="30" t="str">
        <f>IFERROR(__xludf.DUMMYFUNCTION("""COMPUTED_VALUE"""),"Kirin")</f>
        <v>Kirin</v>
      </c>
      <c r="E327" s="30">
        <f>IFERROR(__xludf.DUMMYFUNCTION("""COMPUTED_VALUE"""),36.0)</f>
        <v>36</v>
      </c>
      <c r="F327" s="30">
        <f>IFERROR(__xludf.DUMMYFUNCTION("""COMPUTED_VALUE"""),17.0)</f>
        <v>17</v>
      </c>
      <c r="G327" s="42">
        <f>IFERROR(__xludf.DUMMYFUNCTION("""COMPUTED_VALUE"""),19.0)</f>
        <v>19</v>
      </c>
      <c r="H327" s="42">
        <f>IFERROR(__xludf.DUMMYFUNCTION("""COMPUTED_VALUE"""),0.4722222222222222)</f>
        <v>0.4722222222</v>
      </c>
      <c r="I327" s="42">
        <f>IFERROR(__xludf.DUMMYFUNCTION("""COMPUTED_VALUE"""),0.37362637362637363)</f>
        <v>0.3736263736</v>
      </c>
      <c r="J327" s="30">
        <f>IFERROR(__xludf.DUMMYFUNCTION("""COMPUTED_VALUE"""),369.0833333333333)</f>
        <v>369.0833333</v>
      </c>
      <c r="K327" s="30">
        <f>IFERROR(__xludf.DUMMYFUNCTION("""COMPUTED_VALUE"""),0.9444444444444444)</f>
        <v>0.9444444444</v>
      </c>
      <c r="L327" s="30">
        <f>IFERROR(__xludf.DUMMYFUNCTION("""COMPUTED_VALUE"""),0.6944444444444444)</f>
        <v>0.6944444444</v>
      </c>
      <c r="M327" s="30">
        <f>IFERROR(__xludf.DUMMYFUNCTION("""COMPUTED_VALUE"""),1.3333333333333333)</f>
        <v>1.333333333</v>
      </c>
      <c r="N327" s="30">
        <f>IFERROR(__xludf.DUMMYFUNCTION("""COMPUTED_VALUE"""),2.5277777777777777)</f>
        <v>2.527777778</v>
      </c>
      <c r="O327" s="30">
        <f>IFERROR(__xludf.DUMMYFUNCTION("""COMPUTED_VALUE"""),367.93518518518505)</f>
        <v>367.9351852</v>
      </c>
      <c r="P327" s="30">
        <f>IFERROR(__xludf.DUMMYFUNCTION("""COMPUTED_VALUE"""),0.8333333333333335)</f>
        <v>0.8333333333</v>
      </c>
      <c r="Q327" s="30">
        <f>IFERROR(__xludf.DUMMYFUNCTION("""COMPUTED_VALUE"""),0.6296296296296299)</f>
        <v>0.6296296296</v>
      </c>
      <c r="R327" s="30">
        <f>IFERROR(__xludf.DUMMYFUNCTION("""COMPUTED_VALUE"""),1.1759259259259265)</f>
        <v>1.175925926</v>
      </c>
      <c r="S327" s="30">
        <f>IFERROR(__xludf.DUMMYFUNCTION("""COMPUTED_VALUE"""),2.8611111111111107)</f>
        <v>2.861111111</v>
      </c>
      <c r="T327" s="30">
        <f>IFERROR(__xludf.DUMMYFUNCTION("""COMPUTED_VALUE"""),370.0648071068151)</f>
        <v>370.0648071</v>
      </c>
      <c r="U327" s="30">
        <f>IFERROR(__xludf.DUMMYFUNCTION("""COMPUTED_VALUE"""),0.850764395889053)</f>
        <v>0.8507643959</v>
      </c>
      <c r="V327" s="30">
        <f>IFERROR(__xludf.DUMMYFUNCTION("""COMPUTED_VALUE"""),0.6098030849137746)</f>
        <v>0.6098030849</v>
      </c>
      <c r="W327" s="30">
        <f>IFERROR(__xludf.DUMMYFUNCTION("""COMPUTED_VALUE"""),1.3985989280220255)</f>
        <v>1.398598928</v>
      </c>
      <c r="X327" s="30">
        <f>IFERROR(__xludf.DUMMYFUNCTION("""COMPUTED_VALUE"""),2.7947725320532615)</f>
        <v>2.794772532</v>
      </c>
      <c r="Y327" s="30">
        <f>IFERROR(__xludf.DUMMYFUNCTION("""COMPUTED_VALUE"""),356.10133819576015)</f>
        <v>356.1013382</v>
      </c>
      <c r="Z327" s="30">
        <f>IFERROR(__xludf.DUMMYFUNCTION("""COMPUTED_VALUE"""),0.7705392211372077)</f>
        <v>0.7705392211</v>
      </c>
      <c r="AA327" s="30">
        <f>IFERROR(__xludf.DUMMYFUNCTION("""COMPUTED_VALUE"""),0.5778685176446791)</f>
        <v>0.5778685176</v>
      </c>
      <c r="AB327" s="30">
        <f>IFERROR(__xludf.DUMMYFUNCTION("""COMPUTED_VALUE"""),1.3992071447045442)</f>
        <v>1.399207145</v>
      </c>
      <c r="AC327" s="30">
        <f>IFERROR(__xludf.DUMMYFUNCTION("""COMPUTED_VALUE"""),2.651020617508074)</f>
        <v>2.651020618</v>
      </c>
      <c r="AD327" s="30">
        <f>IFERROR(__xludf.DUMMYFUNCTION("""COMPUTED_VALUE"""),1.0364559010178067)</f>
        <v>1.036455901</v>
      </c>
      <c r="AE327" s="30">
        <f>IFERROR(__xludf.DUMMYFUNCTION("""COMPUTED_VALUE"""),1.2256928895203765)</f>
        <v>1.22569289</v>
      </c>
      <c r="AF327" s="30">
        <f>IFERROR(__xludf.DUMMYFUNCTION("""COMPUTED_VALUE"""),1.201734344821058)</f>
        <v>1.201734345</v>
      </c>
      <c r="AG327" s="30">
        <f>IFERROR(__xludf.DUMMYFUNCTION("""COMPUTED_VALUE"""),0.9529206153495444)</f>
        <v>0.9529206153</v>
      </c>
      <c r="AH327" s="30">
        <f>IFERROR(__xludf.DUMMYFUNCTION("""COMPUTED_VALUE"""),0.9535111726720017)</f>
        <v>0.9535111727</v>
      </c>
      <c r="AI327" s="30">
        <f>IFERROR(__xludf.DUMMYFUNCTION("""COMPUTED_VALUE"""),0.9942452730420934)</f>
        <v>0.994245273</v>
      </c>
      <c r="AJ327" s="30">
        <f>IFERROR(__xludf.DUMMYFUNCTION("""COMPUTED_VALUE"""),0.9795112928562273)</f>
        <v>0.9795112929</v>
      </c>
      <c r="AK327" s="30">
        <f>IFERROR(__xludf.DUMMYFUNCTION("""COMPUTED_VALUE"""),1.0325130279041779)</f>
        <v>1.032513028</v>
      </c>
      <c r="AL327" s="30">
        <f>IFERROR(__xludf.DUMMYFUNCTION("""COMPUTED_VALUE"""),0.8407885222599053)</f>
        <v>0.8407885223</v>
      </c>
      <c r="AM327" s="30">
        <f>IFERROR(__xludf.DUMMYFUNCTION("""COMPUTED_VALUE"""),1.0237366648974153)</f>
        <v>1.023736665</v>
      </c>
      <c r="AN327" s="30">
        <f>IFERROR(__xludf.DUMMYFUNCTION("""COMPUTED_VALUE"""),1.0689475841244536)</f>
        <v>1.068947584</v>
      </c>
      <c r="AO327" s="30">
        <f>IFERROR(__xludf.DUMMYFUNCTION("""COMPUTED_VALUE"""),1.2520030192313671)</f>
        <v>1.252003019</v>
      </c>
      <c r="AP327" s="30">
        <f>IFERROR(__xludf.DUMMYFUNCTION("""COMPUTED_VALUE"""),1.2878550849306931)</f>
        <v>1.287855085</v>
      </c>
      <c r="AQ327" s="30">
        <f>IFERROR(__xludf.DUMMYFUNCTION("""COMPUTED_VALUE"""),0.9871836844618684)</f>
        <v>0.9871836845</v>
      </c>
      <c r="AR327" s="30">
        <f>IFERROR(__xludf.DUMMYFUNCTION("""COMPUTED_VALUE"""),0.9871503187183185)</f>
        <v>0.9871503187</v>
      </c>
      <c r="AS327" s="30">
        <f>IFERROR(__xludf.DUMMYFUNCTION("""COMPUTED_VALUE"""),93.0)</f>
        <v>93</v>
      </c>
      <c r="AT327" s="30">
        <f>IFERROR(__xludf.DUMMYFUNCTION("""COMPUTED_VALUE"""),0.5130690732070926)</f>
        <v>0.5130690732</v>
      </c>
      <c r="AU327" s="30">
        <f>IFERROR(__xludf.DUMMYFUNCTION("""COMPUTED_VALUE"""),2.9777356510099224)</f>
        <v>2.977735651</v>
      </c>
      <c r="AV327" s="32">
        <f>IFERROR(__xludf.DUMMYFUNCTION("""COMPUTED_VALUE"""),68.82742748018347)</f>
        <v>68.82742748</v>
      </c>
      <c r="AW327" s="32">
        <f>IFERROR(__xludf.DUMMYFUNCTION("""COMPUTED_VALUE"""),4.430742938674577)</f>
        <v>4.430742939</v>
      </c>
      <c r="AX327" s="32">
        <f>IFERROR(__xludf.DUMMYFUNCTION("""COMPUTED_VALUE"""),52.333111046620076)</f>
        <v>52.33311105</v>
      </c>
      <c r="AY327" s="32">
        <f>IFERROR(__xludf.DUMMYFUNCTION("""COMPUTED_VALUE"""),2.1606536404703593)</f>
        <v>2.16065364</v>
      </c>
      <c r="AZ327" s="30">
        <f>IFERROR(__xludf.DUMMYFUNCTION("""COMPUTED_VALUE"""),2.2700892982042173)</f>
        <v>2.270089298</v>
      </c>
      <c r="BA327" s="30">
        <f>IFERROR(__xludf.DUMMYFUNCTION("""COMPUTED_VALUE"""),1200.0)</f>
        <v>1200</v>
      </c>
    </row>
    <row r="328">
      <c r="A328" s="71" t="str">
        <f>IFERROR(__xludf.DUMMYFUNCTION("""COMPUTED_VALUE"""),"Veteran")</f>
        <v>Veteran</v>
      </c>
      <c r="B328" s="71" t="str">
        <f>IFERROR(__xludf.DUMMYFUNCTION("""COMPUTED_VALUE"""),"RSC005212")</f>
        <v>RSC005212</v>
      </c>
      <c r="C328" s="30" t="str">
        <f>IFERROR(__xludf.DUMMYFUNCTION("""COMPUTED_VALUE"""),"crackdragon")</f>
        <v>crackdragon</v>
      </c>
      <c r="D328" s="30" t="str">
        <f>IFERROR(__xludf.DUMMYFUNCTION("""COMPUTED_VALUE"""),"Grizzly Bears")</f>
        <v>Grizzly Bears</v>
      </c>
      <c r="E328" s="30">
        <f>IFERROR(__xludf.DUMMYFUNCTION("""COMPUTED_VALUE"""),24.0)</f>
        <v>24</v>
      </c>
      <c r="F328" s="30">
        <f>IFERROR(__xludf.DUMMYFUNCTION("""COMPUTED_VALUE"""),16.0)</f>
        <v>16</v>
      </c>
      <c r="G328" s="42">
        <f>IFERROR(__xludf.DUMMYFUNCTION("""COMPUTED_VALUE"""),8.0)</f>
        <v>8</v>
      </c>
      <c r="H328" s="42">
        <f>IFERROR(__xludf.DUMMYFUNCTION("""COMPUTED_VALUE"""),0.6666666666666666)</f>
        <v>0.6666666667</v>
      </c>
      <c r="I328" s="42">
        <f>IFERROR(__xludf.DUMMYFUNCTION("""COMPUTED_VALUE"""),0.3246753246753247)</f>
        <v>0.3246753247</v>
      </c>
      <c r="J328" s="30">
        <f>IFERROR(__xludf.DUMMYFUNCTION("""COMPUTED_VALUE"""),392.3333333333333)</f>
        <v>392.3333333</v>
      </c>
      <c r="K328" s="30">
        <f>IFERROR(__xludf.DUMMYFUNCTION("""COMPUTED_VALUE"""),1.0416666666666667)</f>
        <v>1.041666667</v>
      </c>
      <c r="L328" s="30">
        <f>IFERROR(__xludf.DUMMYFUNCTION("""COMPUTED_VALUE"""),0.5416666666666666)</f>
        <v>0.5416666667</v>
      </c>
      <c r="M328" s="30">
        <f>IFERROR(__xludf.DUMMYFUNCTION("""COMPUTED_VALUE"""),1.25)</f>
        <v>1.25</v>
      </c>
      <c r="N328" s="30">
        <f>IFERROR(__xludf.DUMMYFUNCTION("""COMPUTED_VALUE"""),3.2083333333333335)</f>
        <v>3.208333333</v>
      </c>
      <c r="O328" s="30">
        <f>IFERROR(__xludf.DUMMYFUNCTION("""COMPUTED_VALUE"""),351.8888888888889)</f>
        <v>351.8888889</v>
      </c>
      <c r="P328" s="30">
        <f>IFERROR(__xludf.DUMMYFUNCTION("""COMPUTED_VALUE"""),0.6944444444444445)</f>
        <v>0.6944444444</v>
      </c>
      <c r="Q328" s="30">
        <f>IFERROR(__xludf.DUMMYFUNCTION("""COMPUTED_VALUE"""),0.47222222222222227)</f>
        <v>0.4722222222</v>
      </c>
      <c r="R328" s="30">
        <f>IFERROR(__xludf.DUMMYFUNCTION("""COMPUTED_VALUE"""),1.513888888888889)</f>
        <v>1.513888889</v>
      </c>
      <c r="S328" s="30">
        <f>IFERROR(__xludf.DUMMYFUNCTION("""COMPUTED_VALUE"""),2.4166666666666665)</f>
        <v>2.416666667</v>
      </c>
      <c r="T328" s="30">
        <f>IFERROR(__xludf.DUMMYFUNCTION("""COMPUTED_VALUE"""),351.2782304984819)</f>
        <v>351.2782305</v>
      </c>
      <c r="U328" s="30">
        <f>IFERROR(__xludf.DUMMYFUNCTION("""COMPUTED_VALUE"""),0.7195665651500294)</f>
        <v>0.7195665652</v>
      </c>
      <c r="V328" s="30">
        <f>IFERROR(__xludf.DUMMYFUNCTION("""COMPUTED_VALUE"""),0.5222821675687133)</f>
        <v>0.5222821676</v>
      </c>
      <c r="W328" s="30">
        <f>IFERROR(__xludf.DUMMYFUNCTION("""COMPUTED_VALUE"""),1.5296589983847664)</f>
        <v>1.529658998</v>
      </c>
      <c r="X328" s="30">
        <f>IFERROR(__xludf.DUMMYFUNCTION("""COMPUTED_VALUE"""),2.4908303605013686)</f>
        <v>2.490830361</v>
      </c>
      <c r="Y328" s="30">
        <f>IFERROR(__xludf.DUMMYFUNCTION("""COMPUTED_VALUE"""),353.3712586900042)</f>
        <v>353.3712587</v>
      </c>
      <c r="Z328" s="30">
        <f>IFERROR(__xludf.DUMMYFUNCTION("""COMPUTED_VALUE"""),0.8170934068218495)</f>
        <v>0.8170934068</v>
      </c>
      <c r="AA328" s="30">
        <f>IFERROR(__xludf.DUMMYFUNCTION("""COMPUTED_VALUE"""),0.5745494507695414)</f>
        <v>0.5745494508</v>
      </c>
      <c r="AB328" s="30">
        <f>IFERROR(__xludf.DUMMYFUNCTION("""COMPUTED_VALUE"""),1.3080053517308945)</f>
        <v>1.308005352</v>
      </c>
      <c r="AC328" s="30">
        <f>IFERROR(__xludf.DUMMYFUNCTION("""COMPUTED_VALUE"""),2.7497027248823454)</f>
        <v>2.749702725</v>
      </c>
      <c r="AD328" s="30">
        <f>IFERROR(__xludf.DUMMYFUNCTION("""COMPUTED_VALUE"""),1.1102581879119622)</f>
        <v>1.110258188</v>
      </c>
      <c r="AE328" s="30">
        <f>IFERROR(__xludf.DUMMYFUNCTION("""COMPUTED_VALUE"""),1.2748440483913743)</f>
        <v>1.274844048</v>
      </c>
      <c r="AF328" s="30">
        <f>IFERROR(__xludf.DUMMYFUNCTION("""COMPUTED_VALUE"""),0.942767704226621)</f>
        <v>0.9427677042</v>
      </c>
      <c r="AG328" s="30">
        <f>IFERROR(__xludf.DUMMYFUNCTION("""COMPUTED_VALUE"""),0.9556535822623848)</f>
        <v>0.9556535823</v>
      </c>
      <c r="AH328" s="30">
        <f>IFERROR(__xludf.DUMMYFUNCTION("""COMPUTED_VALUE"""),1.166792797017944)</f>
        <v>1.166792797</v>
      </c>
      <c r="AI328" s="30">
        <f>IFERROR(__xludf.DUMMYFUNCTION("""COMPUTED_VALUE"""),1.0017383895083407)</f>
        <v>1.00173839</v>
      </c>
      <c r="AJ328" s="30">
        <f>IFERROR(__xludf.DUMMYFUNCTION("""COMPUTED_VALUE"""),0.9650871483997496)</f>
        <v>0.9650871484</v>
      </c>
      <c r="AK328" s="30">
        <f>IFERROR(__xludf.DUMMYFUNCTION("""COMPUTED_VALUE"""),0.9041515325335994)</f>
        <v>0.9041515325</v>
      </c>
      <c r="AL328" s="30">
        <f>IFERROR(__xludf.DUMMYFUNCTION("""COMPUTED_VALUE"""),0.9896904411293435)</f>
        <v>0.9896904411</v>
      </c>
      <c r="AM328" s="30">
        <f>IFERROR(__xludf.DUMMYFUNCTION("""COMPUTED_VALUE"""),0.970225313208494)</f>
        <v>0.9702253132</v>
      </c>
      <c r="AN328" s="30">
        <f>IFERROR(__xludf.DUMMYFUNCTION("""COMPUTED_VALUE"""),1.136284765422878)</f>
        <v>1.136284765</v>
      </c>
      <c r="AO328" s="30">
        <f>IFERROR(__xludf.DUMMYFUNCTION("""COMPUTED_VALUE"""),1.3808856829757727)</f>
        <v>1.380885683</v>
      </c>
      <c r="AP328" s="30">
        <f>IFERROR(__xludf.DUMMYFUNCTION("""COMPUTED_VALUE"""),1.0045269662459406)</f>
        <v>1.004526966</v>
      </c>
      <c r="AQ328" s="30">
        <f>IFERROR(__xludf.DUMMYFUNCTION("""COMPUTED_VALUE"""),0.9254847041830017)</f>
        <v>0.9254847042</v>
      </c>
      <c r="AR328" s="30">
        <f>IFERROR(__xludf.DUMMYFUNCTION("""COMPUTED_VALUE"""),1.2529215583732505)</f>
        <v>1.252921558</v>
      </c>
      <c r="AS328" s="30">
        <f>IFERROR(__xludf.DUMMYFUNCTION("""COMPUTED_VALUE"""),70.0)</f>
        <v>70</v>
      </c>
      <c r="AT328" s="30">
        <f>IFERROR(__xludf.DUMMYFUNCTION("""COMPUTED_VALUE"""),0.6304191078858221)</f>
        <v>0.6304191079</v>
      </c>
      <c r="AU328" s="30">
        <f>IFERROR(__xludf.DUMMYFUNCTION("""COMPUTED_VALUE"""),3.1102713062713008)</f>
        <v>3.110271306</v>
      </c>
      <c r="AV328" s="32">
        <f>IFERROR(__xludf.DUMMYFUNCTION("""COMPUTED_VALUE"""),72.9328641470901)</f>
        <v>72.93286415</v>
      </c>
      <c r="AW328" s="32">
        <f>IFERROR(__xludf.DUMMYFUNCTION("""COMPUTED_VALUE"""),5.571374749865294)</f>
        <v>5.57137475</v>
      </c>
      <c r="AX328" s="32">
        <f>IFERROR(__xludf.DUMMYFUNCTION("""COMPUTED_VALUE"""),63.70417785817392)</f>
        <v>63.70417786</v>
      </c>
      <c r="AY328" s="32">
        <f>IFERROR(__xludf.DUMMYFUNCTION("""COMPUTED_VALUE"""),3.4271389207173457)</f>
        <v>3.427138921</v>
      </c>
      <c r="AZ328" s="30">
        <f>IFERROR(__xludf.DUMMYFUNCTION("""COMPUTED_VALUE"""),2.144235829147948)</f>
        <v>2.144235829</v>
      </c>
      <c r="BA328" s="30">
        <f>IFERROR(__xludf.DUMMYFUNCTION("""COMPUTED_VALUE"""),1200.0)</f>
        <v>1200</v>
      </c>
    </row>
    <row r="329">
      <c r="A329" s="71" t="str">
        <f>IFERROR(__xludf.DUMMYFUNCTION("""COMPUTED_VALUE"""),"Veteran")</f>
        <v>Veteran</v>
      </c>
      <c r="B329" s="71" t="str">
        <f>IFERROR(__xludf.DUMMYFUNCTION("""COMPUTED_VALUE"""),"RSC005734")</f>
        <v>RSC005734</v>
      </c>
      <c r="C329" s="30" t="str">
        <f>IFERROR(__xludf.DUMMYFUNCTION("""COMPUTED_VALUE"""),"Bas Radala")</f>
        <v>Bas Radala</v>
      </c>
      <c r="D329" s="30" t="str">
        <f>IFERROR(__xludf.DUMMYFUNCTION("""COMPUTED_VALUE"""),"Possessed")</f>
        <v>Possessed</v>
      </c>
      <c r="E329" s="30">
        <f>IFERROR(__xludf.DUMMYFUNCTION("""COMPUTED_VALUE"""),24.0)</f>
        <v>24</v>
      </c>
      <c r="F329" s="30">
        <f>IFERROR(__xludf.DUMMYFUNCTION("""COMPUTED_VALUE"""),11.0)</f>
        <v>11</v>
      </c>
      <c r="G329" s="42">
        <f>IFERROR(__xludf.DUMMYFUNCTION("""COMPUTED_VALUE"""),13.0)</f>
        <v>13</v>
      </c>
      <c r="H329" s="42">
        <f>IFERROR(__xludf.DUMMYFUNCTION("""COMPUTED_VALUE"""),0.4583333333333333)</f>
        <v>0.4583333333</v>
      </c>
      <c r="I329" s="42">
        <f>IFERROR(__xludf.DUMMYFUNCTION("""COMPUTED_VALUE"""),0.34210526315789475)</f>
        <v>0.3421052632</v>
      </c>
      <c r="J329" s="30">
        <f>IFERROR(__xludf.DUMMYFUNCTION("""COMPUTED_VALUE"""),406.375)</f>
        <v>406.375</v>
      </c>
      <c r="K329" s="30">
        <f>IFERROR(__xludf.DUMMYFUNCTION("""COMPUTED_VALUE"""),1.0833333333333333)</f>
        <v>1.083333333</v>
      </c>
      <c r="L329" s="30">
        <f>IFERROR(__xludf.DUMMYFUNCTION("""COMPUTED_VALUE"""),0.625)</f>
        <v>0.625</v>
      </c>
      <c r="M329" s="30">
        <f>IFERROR(__xludf.DUMMYFUNCTION("""COMPUTED_VALUE"""),1.3333333333333333)</f>
        <v>1.333333333</v>
      </c>
      <c r="N329" s="30">
        <f>IFERROR(__xludf.DUMMYFUNCTION("""COMPUTED_VALUE"""),3.1666666666666665)</f>
        <v>3.166666667</v>
      </c>
      <c r="O329" s="30">
        <f>IFERROR(__xludf.DUMMYFUNCTION("""COMPUTED_VALUE"""),372.1944444444444)</f>
        <v>372.1944444</v>
      </c>
      <c r="P329" s="30">
        <f>IFERROR(__xludf.DUMMYFUNCTION("""COMPUTED_VALUE"""),0.8333333333333335)</f>
        <v>0.8333333333</v>
      </c>
      <c r="Q329" s="30">
        <f>IFERROR(__xludf.DUMMYFUNCTION("""COMPUTED_VALUE"""),0.638888888888889)</f>
        <v>0.6388888889</v>
      </c>
      <c r="R329" s="30">
        <f>IFERROR(__xludf.DUMMYFUNCTION("""COMPUTED_VALUE"""),1.5694444444444446)</f>
        <v>1.569444444</v>
      </c>
      <c r="S329" s="30">
        <f>IFERROR(__xludf.DUMMYFUNCTION("""COMPUTED_VALUE"""),2.7222222222222228)</f>
        <v>2.722222222</v>
      </c>
      <c r="T329" s="30">
        <f>IFERROR(__xludf.DUMMYFUNCTION("""COMPUTED_VALUE"""),345.5535798001027)</f>
        <v>345.5535798</v>
      </c>
      <c r="U329" s="30">
        <f>IFERROR(__xludf.DUMMYFUNCTION("""COMPUTED_VALUE"""),0.7255519821510691)</f>
        <v>0.7255519822</v>
      </c>
      <c r="V329" s="30">
        <f>IFERROR(__xludf.DUMMYFUNCTION("""COMPUTED_VALUE"""),0.5123780664128555)</f>
        <v>0.5123780664</v>
      </c>
      <c r="W329" s="30">
        <f>IFERROR(__xludf.DUMMYFUNCTION("""COMPUTED_VALUE"""),1.4044580432374694)</f>
        <v>1.404458043</v>
      </c>
      <c r="X329" s="30">
        <f>IFERROR(__xludf.DUMMYFUNCTION("""COMPUTED_VALUE"""),2.4733233567919)</f>
        <v>2.473323357</v>
      </c>
      <c r="Y329" s="30">
        <f>IFERROR(__xludf.DUMMYFUNCTION("""COMPUTED_VALUE"""),350.00520352500916)</f>
        <v>350.0052035</v>
      </c>
      <c r="Z329" s="30">
        <f>IFERROR(__xludf.DUMMYFUNCTION("""COMPUTED_VALUE"""),0.7730692992754865)</f>
        <v>0.7730692993</v>
      </c>
      <c r="AA329" s="30">
        <f>IFERROR(__xludf.DUMMYFUNCTION("""COMPUTED_VALUE"""),0.5905411815710299)</f>
        <v>0.5905411816</v>
      </c>
      <c r="AB329" s="30">
        <f>IFERROR(__xludf.DUMMYFUNCTION("""COMPUTED_VALUE"""),1.3026503500017297)</f>
        <v>1.30265035</v>
      </c>
      <c r="AC329" s="30">
        <f>IFERROR(__xludf.DUMMYFUNCTION("""COMPUTED_VALUE"""),2.693129726966392)</f>
        <v>2.693129727</v>
      </c>
      <c r="AD329" s="30">
        <f>IFERROR(__xludf.DUMMYFUNCTION("""COMPUTED_VALUE"""),1.1610541669303012)</f>
        <v>1.161054167</v>
      </c>
      <c r="AE329" s="30">
        <f>IFERROR(__xludf.DUMMYFUNCTION("""COMPUTED_VALUE"""),1.4013405193410517)</f>
        <v>1.401340519</v>
      </c>
      <c r="AF329" s="30">
        <f>IFERROR(__xludf.DUMMYFUNCTION("""COMPUTED_VALUE"""),1.0583512539079807)</f>
        <v>1.058351254</v>
      </c>
      <c r="AG329" s="30">
        <f>IFERROR(__xludf.DUMMYFUNCTION("""COMPUTED_VALUE"""),1.0235542740471861)</f>
        <v>1.023554274</v>
      </c>
      <c r="AH329" s="30">
        <f>IFERROR(__xludf.DUMMYFUNCTION("""COMPUTED_VALUE"""),1.1758314629105069)</f>
        <v>1.175831463</v>
      </c>
      <c r="AI329" s="30">
        <f>IFERROR(__xludf.DUMMYFUNCTION("""COMPUTED_VALUE"""),1.0770961905813652)</f>
        <v>1.077096191</v>
      </c>
      <c r="AJ329" s="30">
        <f>IFERROR(__xludf.DUMMYFUNCTION("""COMPUTED_VALUE"""),1.148550832791775)</f>
        <v>1.148550833</v>
      </c>
      <c r="AK329" s="30">
        <f>IFERROR(__xludf.DUMMYFUNCTION("""COMPUTED_VALUE"""),1.2469091297403343)</f>
        <v>1.24690913</v>
      </c>
      <c r="AL329" s="30">
        <f>IFERROR(__xludf.DUMMYFUNCTION("""COMPUTED_VALUE"""),1.1174733570727815)</f>
        <v>1.117473357</v>
      </c>
      <c r="AM329" s="30">
        <f>IFERROR(__xludf.DUMMYFUNCTION("""COMPUTED_VALUE"""),1.1006333703786975)</f>
        <v>1.10063337</v>
      </c>
      <c r="AN329" s="30">
        <f>IFERROR(__xludf.DUMMYFUNCTION("""COMPUTED_VALUE"""),1.1769525612966578)</f>
        <v>1.176952561</v>
      </c>
      <c r="AO329" s="30">
        <f>IFERROR(__xludf.DUMMYFUNCTION("""COMPUTED_VALUE"""),1.4361211102948035)</f>
        <v>1.43612111</v>
      </c>
      <c r="AP329" s="30">
        <f>IFERROR(__xludf.DUMMYFUNCTION("""COMPUTED_VALUE"""),1.159069576437624)</f>
        <v>1.159069576</v>
      </c>
      <c r="AQ329" s="30">
        <f>IFERROR(__xludf.DUMMYFUNCTION("""COMPUTED_VALUE"""),0.9871836844618684)</f>
        <v>0.9871836845</v>
      </c>
      <c r="AR329" s="30">
        <f>IFERROR(__xludf.DUMMYFUNCTION("""COMPUTED_VALUE"""),1.2366498498229486)</f>
        <v>1.23664985</v>
      </c>
      <c r="AS329" s="30">
        <f>IFERROR(__xludf.DUMMYFUNCTION("""COMPUTED_VALUE"""),53.0)</f>
        <v>53</v>
      </c>
      <c r="AT329" s="30">
        <f>IFERROR(__xludf.DUMMYFUNCTION("""COMPUTED_VALUE"""),0.45177118705063246)</f>
        <v>0.4517711871</v>
      </c>
      <c r="AU329" s="30">
        <f>IFERROR(__xludf.DUMMYFUNCTION("""COMPUTED_VALUE"""),3.1641822247291542)</f>
        <v>3.164182225</v>
      </c>
      <c r="AV329" s="32">
        <f>IFERROR(__xludf.DUMMYFUNCTION("""COMPUTED_VALUE"""),74.60281372365496)</f>
        <v>74.60281372</v>
      </c>
      <c r="AW329" s="32">
        <f>IFERROR(__xludf.DUMMYFUNCTION("""COMPUTED_VALUE"""),6.15270690979531)</f>
        <v>6.15270691</v>
      </c>
      <c r="AX329" s="32">
        <f>IFERROR(__xludf.DUMMYFUNCTION("""COMPUTED_VALUE"""),67.3141121265131)</f>
        <v>67.31411213</v>
      </c>
      <c r="AY329" s="32">
        <f>IFERROR(__xludf.DUMMYFUNCTION("""COMPUTED_VALUE"""),4.093471100636364)</f>
        <v>4.093471101</v>
      </c>
      <c r="AZ329" s="30">
        <f>IFERROR(__xludf.DUMMYFUNCTION("""COMPUTED_VALUE"""),2.059235809158946)</f>
        <v>2.059235809</v>
      </c>
      <c r="BA329" s="30">
        <f>IFERROR(__xludf.DUMMYFUNCTION("""COMPUTED_VALUE"""),1200.0)</f>
        <v>1200</v>
      </c>
    </row>
    <row r="330">
      <c r="A330" s="71" t="str">
        <f>IFERROR(__xludf.DUMMYFUNCTION("""COMPUTED_VALUE"""),"Veteran")</f>
        <v>Veteran</v>
      </c>
      <c r="B330" s="71" t="str">
        <f>IFERROR(__xludf.DUMMYFUNCTION("""COMPUTED_VALUE"""),"RSC000767")</f>
        <v>RSC000767</v>
      </c>
      <c r="C330" s="30" t="str">
        <f>IFERROR(__xludf.DUMMYFUNCTION("""COMPUTED_VALUE"""),"Tragic")</f>
        <v>Tragic</v>
      </c>
      <c r="D330" s="30" t="str">
        <f>IFERROR(__xludf.DUMMYFUNCTION("""COMPUTED_VALUE"""),"Gouda Gangsters")</f>
        <v>Gouda Gangsters</v>
      </c>
      <c r="E330" s="30">
        <f>IFERROR(__xludf.DUMMYFUNCTION("""COMPUTED_VALUE"""),27.0)</f>
        <v>27</v>
      </c>
      <c r="F330" s="30">
        <f>IFERROR(__xludf.DUMMYFUNCTION("""COMPUTED_VALUE"""),12.0)</f>
        <v>12</v>
      </c>
      <c r="G330" s="42">
        <f>IFERROR(__xludf.DUMMYFUNCTION("""COMPUTED_VALUE"""),15.0)</f>
        <v>15</v>
      </c>
      <c r="H330" s="42">
        <f>IFERROR(__xludf.DUMMYFUNCTION("""COMPUTED_VALUE"""),0.4444444444444444)</f>
        <v>0.4444444444</v>
      </c>
      <c r="I330" s="42">
        <f>IFERROR(__xludf.DUMMYFUNCTION("""COMPUTED_VALUE"""),0.33783783783783783)</f>
        <v>0.3378378378</v>
      </c>
      <c r="J330" s="30">
        <f>IFERROR(__xludf.DUMMYFUNCTION("""COMPUTED_VALUE"""),359.4074074074074)</f>
        <v>359.4074074</v>
      </c>
      <c r="K330" s="30">
        <f>IFERROR(__xludf.DUMMYFUNCTION("""COMPUTED_VALUE"""),0.9259259259259259)</f>
        <v>0.9259259259</v>
      </c>
      <c r="L330" s="30">
        <f>IFERROR(__xludf.DUMMYFUNCTION("""COMPUTED_VALUE"""),0.7407407407407407)</f>
        <v>0.7407407407</v>
      </c>
      <c r="M330" s="30">
        <f>IFERROR(__xludf.DUMMYFUNCTION("""COMPUTED_VALUE"""),0.9629629629629629)</f>
        <v>0.962962963</v>
      </c>
      <c r="N330" s="30">
        <f>IFERROR(__xludf.DUMMYFUNCTION("""COMPUTED_VALUE"""),2.740740740740741)</f>
        <v>2.740740741</v>
      </c>
      <c r="O330" s="30">
        <f>IFERROR(__xludf.DUMMYFUNCTION("""COMPUTED_VALUE"""),366.1481481481481)</f>
        <v>366.1481481</v>
      </c>
      <c r="P330" s="30">
        <f>IFERROR(__xludf.DUMMYFUNCTION("""COMPUTED_VALUE"""),0.8518518518518517)</f>
        <v>0.8518518519</v>
      </c>
      <c r="Q330" s="30">
        <f>IFERROR(__xludf.DUMMYFUNCTION("""COMPUTED_VALUE"""),0.7037037037037037)</f>
        <v>0.7037037037</v>
      </c>
      <c r="R330" s="30">
        <f>IFERROR(__xludf.DUMMYFUNCTION("""COMPUTED_VALUE"""),1.333333333333333)</f>
        <v>1.333333333</v>
      </c>
      <c r="S330" s="30">
        <f>IFERROR(__xludf.DUMMYFUNCTION("""COMPUTED_VALUE"""),2.54320987654321)</f>
        <v>2.543209877</v>
      </c>
      <c r="T330" s="30">
        <f>IFERROR(__xludf.DUMMYFUNCTION("""COMPUTED_VALUE"""),361.8517084477422)</f>
        <v>361.8517084</v>
      </c>
      <c r="U330" s="30">
        <f>IFERROR(__xludf.DUMMYFUNCTION("""COMPUTED_VALUE"""),0.8204306614804632)</f>
        <v>0.8204306615</v>
      </c>
      <c r="V330" s="30">
        <f>IFERROR(__xludf.DUMMYFUNCTION("""COMPUTED_VALUE"""),0.6092229362068388)</f>
        <v>0.6092229362</v>
      </c>
      <c r="W330" s="30">
        <f>IFERROR(__xludf.DUMMYFUNCTION("""COMPUTED_VALUE"""),1.3641819502958912)</f>
        <v>1.36418195</v>
      </c>
      <c r="X330" s="30">
        <f>IFERROR(__xludf.DUMMYFUNCTION("""COMPUTED_VALUE"""),2.7300952833430987)</f>
        <v>2.730095283</v>
      </c>
      <c r="Y330" s="30">
        <f>IFERROR(__xludf.DUMMYFUNCTION("""COMPUTED_VALUE"""),365.9568207600288)</f>
        <v>365.9568208</v>
      </c>
      <c r="Z330" s="30">
        <f>IFERROR(__xludf.DUMMYFUNCTION("""COMPUTED_VALUE"""),0.8318242279223439)</f>
        <v>0.8318242279</v>
      </c>
      <c r="AA330" s="30">
        <f>IFERROR(__xludf.DUMMYFUNCTION("""COMPUTED_VALUE"""),0.6078004488410284)</f>
        <v>0.6078004488</v>
      </c>
      <c r="AB330" s="30">
        <f>IFERROR(__xludf.DUMMYFUNCTION("""COMPUTED_VALUE"""),1.4218971867697476)</f>
        <v>1.421897187</v>
      </c>
      <c r="AC330" s="30">
        <f>IFERROR(__xludf.DUMMYFUNCTION("""COMPUTED_VALUE"""),2.709899641244356)</f>
        <v>2.709899641</v>
      </c>
      <c r="AD330" s="30">
        <f>IFERROR(__xludf.DUMMYFUNCTION("""COMPUTED_VALUE"""),0.9821033166180113)</f>
        <v>0.9821033166</v>
      </c>
      <c r="AE330" s="30">
        <f>IFERROR(__xludf.DUMMYFUNCTION("""COMPUTED_VALUE"""),1.1131269021084187)</f>
        <v>1.113126902</v>
      </c>
      <c r="AF330" s="30">
        <f>IFERROR(__xludf.DUMMYFUNCTION("""COMPUTED_VALUE"""),1.2187235829674143)</f>
        <v>1.218723583</v>
      </c>
      <c r="AG330" s="30">
        <f>IFERROR(__xludf.DUMMYFUNCTION("""COMPUTED_VALUE"""),0.6772381097051137)</f>
        <v>0.6772381097</v>
      </c>
      <c r="AH330" s="30">
        <f>IFERROR(__xludf.DUMMYFUNCTION("""COMPUTED_VALUE"""),1.0113809009850354)</f>
        <v>1.011380901</v>
      </c>
      <c r="AI330" s="30">
        <f>IFERROR(__xludf.DUMMYFUNCTION("""COMPUTED_VALUE"""),1.0118734818714457)</f>
        <v>1.011873482</v>
      </c>
      <c r="AJ330" s="30">
        <f>IFERROR(__xludf.DUMMYFUNCTION("""COMPUTED_VALUE"""),1.0382984106355668)</f>
        <v>1.038298411</v>
      </c>
      <c r="AK330" s="30">
        <f>IFERROR(__xludf.DUMMYFUNCTION("""COMPUTED_VALUE"""),1.155084061813437)</f>
        <v>1.155084062</v>
      </c>
      <c r="AL330" s="30">
        <f>IFERROR(__xludf.DUMMYFUNCTION("""COMPUTED_VALUE"""),0.977386728393623)</f>
        <v>0.9773867284</v>
      </c>
      <c r="AM330" s="30">
        <f>IFERROR(__xludf.DUMMYFUNCTION("""COMPUTED_VALUE"""),0.9315461962298104)</f>
        <v>0.9315461962</v>
      </c>
      <c r="AN330" s="30">
        <f>IFERROR(__xludf.DUMMYFUNCTION("""COMPUTED_VALUE"""),1.0409239463479287)</f>
        <v>1.040923946</v>
      </c>
      <c r="AO330" s="30">
        <f>IFERROR(__xludf.DUMMYFUNCTION("""COMPUTED_VALUE"""),1.227453940422909)</f>
        <v>1.22745394</v>
      </c>
      <c r="AP330" s="30">
        <f>IFERROR(__xludf.DUMMYFUNCTION("""COMPUTED_VALUE"""),1.3737120905927394)</f>
        <v>1.373712091</v>
      </c>
      <c r="AQ330" s="30">
        <f>IFERROR(__xludf.DUMMYFUNCTION("""COMPUTED_VALUE"""),0.7129659943335717)</f>
        <v>0.7129659943</v>
      </c>
      <c r="AR330" s="30">
        <f>IFERROR(__xludf.DUMMYFUNCTION("""COMPUTED_VALUE"""),1.0703168290865286)</f>
        <v>1.070316829</v>
      </c>
      <c r="AS330" s="30">
        <f>IFERROR(__xludf.DUMMYFUNCTION("""COMPUTED_VALUE"""),73.0)</f>
        <v>73</v>
      </c>
      <c r="AT330" s="30">
        <f>IFERROR(__xludf.DUMMYFUNCTION("""COMPUTED_VALUE"""),0.5226706534017349)</f>
        <v>0.5226706534</v>
      </c>
      <c r="AU330" s="30">
        <f>IFERROR(__xludf.DUMMYFUNCTION("""COMPUTED_VALUE"""),2.923088369413308)</f>
        <v>2.923088369</v>
      </c>
      <c r="AV330" s="32">
        <f>IFERROR(__xludf.DUMMYFUNCTION("""COMPUTED_VALUE"""),67.13466825119667)</f>
        <v>67.13466825</v>
      </c>
      <c r="AW330" s="32">
        <f>IFERROR(__xludf.DUMMYFUNCTION("""COMPUTED_VALUE"""),4.055973114268383)</f>
        <v>4.055973114</v>
      </c>
      <c r="AX330" s="32">
        <f>IFERROR(__xludf.DUMMYFUNCTION("""COMPUTED_VALUE"""),50.8142886976208)</f>
        <v>50.8142887</v>
      </c>
      <c r="AY330" s="32">
        <f>IFERROR(__xludf.DUMMYFUNCTION("""COMPUTED_VALUE"""),2.0533538131072526)</f>
        <v>2.053353813</v>
      </c>
      <c r="AZ330" s="30">
        <f>IFERROR(__xludf.DUMMYFUNCTION("""COMPUTED_VALUE"""),2.0026193011611304)</f>
        <v>2.002619301</v>
      </c>
      <c r="BA330" s="30">
        <f>IFERROR(__xludf.DUMMYFUNCTION("""COMPUTED_VALUE"""),1200.0)</f>
        <v>1200</v>
      </c>
    </row>
    <row r="331">
      <c r="A331" s="71" t="str">
        <f>IFERROR(__xludf.DUMMYFUNCTION("""COMPUTED_VALUE"""),"Veteran")</f>
        <v>Veteran</v>
      </c>
      <c r="B331" s="71" t="str">
        <f>IFERROR(__xludf.DUMMYFUNCTION("""COMPUTED_VALUE"""),"RSC003887")</f>
        <v>RSC003887</v>
      </c>
      <c r="C331" s="30" t="str">
        <f>IFERROR(__xludf.DUMMYFUNCTION("""COMPUTED_VALUE"""),"Cundy")</f>
        <v>Cundy</v>
      </c>
      <c r="D331" s="30" t="str">
        <f>IFERROR(__xludf.DUMMYFUNCTION("""COMPUTED_VALUE"""),"Possessed")</f>
        <v>Possessed</v>
      </c>
      <c r="E331" s="30">
        <f>IFERROR(__xludf.DUMMYFUNCTION("""COMPUTED_VALUE"""),29.0)</f>
        <v>29</v>
      </c>
      <c r="F331" s="30">
        <f>IFERROR(__xludf.DUMMYFUNCTION("""COMPUTED_VALUE"""),9.0)</f>
        <v>9</v>
      </c>
      <c r="G331" s="42">
        <f>IFERROR(__xludf.DUMMYFUNCTION("""COMPUTED_VALUE"""),20.0)</f>
        <v>20</v>
      </c>
      <c r="H331" s="42">
        <f>IFERROR(__xludf.DUMMYFUNCTION("""COMPUTED_VALUE"""),0.3103448275862069)</f>
        <v>0.3103448276</v>
      </c>
      <c r="I331" s="42">
        <f>IFERROR(__xludf.DUMMYFUNCTION("""COMPUTED_VALUE"""),0.16129032258064518)</f>
        <v>0.1612903226</v>
      </c>
      <c r="J331" s="30">
        <f>IFERROR(__xludf.DUMMYFUNCTION("""COMPUTED_VALUE"""),273.82758620689657)</f>
        <v>273.8275862</v>
      </c>
      <c r="K331" s="30">
        <f>IFERROR(__xludf.DUMMYFUNCTION("""COMPUTED_VALUE"""),0.3448275862068966)</f>
        <v>0.3448275862</v>
      </c>
      <c r="L331" s="30">
        <f>IFERROR(__xludf.DUMMYFUNCTION("""COMPUTED_VALUE"""),0.6206896551724138)</f>
        <v>0.6206896552</v>
      </c>
      <c r="M331" s="30">
        <f>IFERROR(__xludf.DUMMYFUNCTION("""COMPUTED_VALUE"""),0.9310344827586207)</f>
        <v>0.9310344828</v>
      </c>
      <c r="N331" s="30">
        <f>IFERROR(__xludf.DUMMYFUNCTION("""COMPUTED_VALUE"""),2.1379310344827585)</f>
        <v>2.137931034</v>
      </c>
      <c r="O331" s="30">
        <f>IFERROR(__xludf.DUMMYFUNCTION("""COMPUTED_VALUE"""),393.02298850574715)</f>
        <v>393.0229885</v>
      </c>
      <c r="P331" s="30">
        <f>IFERROR(__xludf.DUMMYFUNCTION("""COMPUTED_VALUE"""),1.0114942528735633)</f>
        <v>1.011494253</v>
      </c>
      <c r="Q331" s="30">
        <f>IFERROR(__xludf.DUMMYFUNCTION("""COMPUTED_VALUE"""),0.7931034482758621)</f>
        <v>0.7931034483</v>
      </c>
      <c r="R331" s="30">
        <f>IFERROR(__xludf.DUMMYFUNCTION("""COMPUTED_VALUE"""),1.3908045977011496)</f>
        <v>1.390804598</v>
      </c>
      <c r="S331" s="30">
        <f>IFERROR(__xludf.DUMMYFUNCTION("""COMPUTED_VALUE"""),2.632183908045977)</f>
        <v>2.632183908</v>
      </c>
      <c r="T331" s="30">
        <f>IFERROR(__xludf.DUMMYFUNCTION("""COMPUTED_VALUE"""),352.86648401420166)</f>
        <v>352.866484</v>
      </c>
      <c r="U331" s="30">
        <f>IFERROR(__xludf.DUMMYFUNCTION("""COMPUTED_VALUE"""),0.7664679644771345)</f>
        <v>0.7664679645</v>
      </c>
      <c r="V331" s="30">
        <f>IFERROR(__xludf.DUMMYFUNCTION("""COMPUTED_VALUE"""),0.5484422230713215)</f>
        <v>0.5484422231</v>
      </c>
      <c r="W331" s="30">
        <f>IFERROR(__xludf.DUMMYFUNCTION("""COMPUTED_VALUE"""),1.368391827450834)</f>
        <v>1.368391827</v>
      </c>
      <c r="X331" s="30">
        <f>IFERROR(__xludf.DUMMYFUNCTION("""COMPUTED_VALUE"""),2.64420371043171)</f>
        <v>2.64420371</v>
      </c>
      <c r="Y331" s="30">
        <f>IFERROR(__xludf.DUMMYFUNCTION("""COMPUTED_VALUE"""),341.36744994302944)</f>
        <v>341.3674499</v>
      </c>
      <c r="Z331" s="30">
        <f>IFERROR(__xludf.DUMMYFUNCTION("""COMPUTED_VALUE"""),0.6926699078363072)</f>
        <v>0.6926699078</v>
      </c>
      <c r="AA331" s="30">
        <f>IFERROR(__xludf.DUMMYFUNCTION("""COMPUTED_VALUE"""),0.5186663717175187)</f>
        <v>0.5186663717</v>
      </c>
      <c r="AB331" s="30">
        <f>IFERROR(__xludf.DUMMYFUNCTION("""COMPUTED_VALUE"""),1.3498413502120354)</f>
        <v>1.34984135</v>
      </c>
      <c r="AC331" s="30">
        <f>IFERROR(__xludf.DUMMYFUNCTION("""COMPUTED_VALUE"""),2.559231189787899)</f>
        <v>2.55923119</v>
      </c>
      <c r="AD331" s="30">
        <f>IFERROR(__xludf.DUMMYFUNCTION("""COMPUTED_VALUE"""),0.8021490808587505)</f>
        <v>0.8021490809</v>
      </c>
      <c r="AE331" s="30">
        <f>IFERROR(__xludf.DUMMYFUNCTION("""COMPUTED_VALUE"""),0.49782382965651617)</f>
        <v>0.4978238297</v>
      </c>
      <c r="AF331" s="30">
        <f>IFERROR(__xludf.DUMMYFUNCTION("""COMPUTED_VALUE"""),1.1967031005250135)</f>
        <v>1.196703101</v>
      </c>
      <c r="AG331" s="30">
        <f>IFERROR(__xludf.DUMMYFUNCTION("""COMPUTED_VALUE"""),0.6897362290852715)</f>
        <v>0.6897362291</v>
      </c>
      <c r="AH331" s="30">
        <f>IFERROR(__xludf.DUMMYFUNCTION("""COMPUTED_VALUE"""),0.8353801887901903)</f>
        <v>0.8353801888</v>
      </c>
      <c r="AI331" s="30">
        <f>IFERROR(__xludf.DUMMYFUNCTION("""COMPUTED_VALUE"""),1.1138008462428224)</f>
        <v>1.113800846</v>
      </c>
      <c r="AJ331" s="30">
        <f>IFERROR(__xludf.DUMMYFUNCTION("""COMPUTED_VALUE"""),1.3196823608454133)</f>
        <v>1.319682361</v>
      </c>
      <c r="AK331" s="30">
        <f>IFERROR(__xludf.DUMMYFUNCTION("""COMPUTED_VALUE"""),1.4461020959225526)</f>
        <v>1.446102096</v>
      </c>
      <c r="AL331" s="30">
        <f>IFERROR(__xludf.DUMMYFUNCTION("""COMPUTED_VALUE"""),1.0163789126774223)</f>
        <v>1.016378913</v>
      </c>
      <c r="AM331" s="30">
        <f>IFERROR(__xludf.DUMMYFUNCTION("""COMPUTED_VALUE"""),0.99545428276259)</f>
        <v>0.9954542828</v>
      </c>
      <c r="AN331" s="30">
        <f>IFERROR(__xludf.DUMMYFUNCTION("""COMPUTED_VALUE"""),0.7930657125558617)</f>
        <v>0.7930657126</v>
      </c>
      <c r="AO331" s="30">
        <f>IFERROR(__xludf.DUMMYFUNCTION("""COMPUTED_VALUE"""),0.45712077781266963)</f>
        <v>0.4571207778</v>
      </c>
      <c r="AP331" s="30">
        <f>IFERROR(__xludf.DUMMYFUNCTION("""COMPUTED_VALUE"""),1.1510759931518473)</f>
        <v>1.151075993</v>
      </c>
      <c r="AQ331" s="30">
        <f>IFERROR(__xludf.DUMMYFUNCTION("""COMPUTED_VALUE"""),0.6893265382880288)</f>
        <v>0.6893265383</v>
      </c>
      <c r="AR331" s="30">
        <f>IFERROR(__xludf.DUMMYFUNCTION("""COMPUTED_VALUE"""),0.834906976649976)</f>
        <v>0.8349069766</v>
      </c>
      <c r="AS331" s="30">
        <f>IFERROR(__xludf.DUMMYFUNCTION("""COMPUTED_VALUE"""),53.0)</f>
        <v>53</v>
      </c>
      <c r="AT331" s="30">
        <f>IFERROR(__xludf.DUMMYFUNCTION("""COMPUTED_VALUE"""),0.3103900892171545)</f>
        <v>0.3103900892</v>
      </c>
      <c r="AU331" s="30">
        <f>IFERROR(__xludf.DUMMYFUNCTION("""COMPUTED_VALUE"""),1.4815073649995725)</f>
        <v>1.481507365</v>
      </c>
      <c r="AV331" s="32">
        <f>IFERROR(__xludf.DUMMYFUNCTION("""COMPUTED_VALUE"""),22.480122256275543)</f>
        <v>22.48012226</v>
      </c>
      <c r="AW331" s="32">
        <f>IFERROR(__xludf.DUMMYFUNCTION("""COMPUTED_VALUE"""),-7.38045942009799)</f>
        <v>-7.38045942</v>
      </c>
      <c r="AX331" s="32">
        <f>IFERROR(__xludf.DUMMYFUNCTION("""COMPUTED_VALUE"""),27.097179368784126)</f>
        <v>27.09717937</v>
      </c>
      <c r="AY331" s="32">
        <f>IFERROR(__xludf.DUMMYFUNCTION("""COMPUTED_VALUE"""),-5.561615836943607)</f>
        <v>-5.561615837</v>
      </c>
      <c r="AZ331" s="30">
        <f>IFERROR(__xludf.DUMMYFUNCTION("""COMPUTED_VALUE"""),1.8188435831543837)</f>
        <v>1.818843583</v>
      </c>
      <c r="BA331" s="30">
        <f>IFERROR(__xludf.DUMMYFUNCTION("""COMPUTED_VALUE"""),1200.0)</f>
        <v>1200</v>
      </c>
    </row>
    <row r="332">
      <c r="A332" s="71" t="str">
        <f>IFERROR(__xludf.DUMMYFUNCTION("""COMPUTED_VALUE"""),"Veteran")</f>
        <v>Veteran</v>
      </c>
      <c r="B332" s="71" t="str">
        <f>IFERROR(__xludf.DUMMYFUNCTION("""COMPUTED_VALUE"""),"RSC001487")</f>
        <v>RSC001487</v>
      </c>
      <c r="C332" s="30" t="str">
        <f>IFERROR(__xludf.DUMMYFUNCTION("""COMPUTED_VALUE"""),"M1ke1sMy1ke")</f>
        <v>M1ke1sMy1ke</v>
      </c>
      <c r="D332" s="30" t="str">
        <f>IFERROR(__xludf.DUMMYFUNCTION("""COMPUTED_VALUE"""),"Dump Trucks")</f>
        <v>Dump Trucks</v>
      </c>
      <c r="E332" s="30">
        <f>IFERROR(__xludf.DUMMYFUNCTION("""COMPUTED_VALUE"""),31.0)</f>
        <v>31</v>
      </c>
      <c r="F332" s="30">
        <f>IFERROR(__xludf.DUMMYFUNCTION("""COMPUTED_VALUE"""),11.0)</f>
        <v>11</v>
      </c>
      <c r="G332" s="42">
        <f>IFERROR(__xludf.DUMMYFUNCTION("""COMPUTED_VALUE"""),20.0)</f>
        <v>20</v>
      </c>
      <c r="H332" s="42">
        <f>IFERROR(__xludf.DUMMYFUNCTION("""COMPUTED_VALUE"""),0.3548387096774194)</f>
        <v>0.3548387097</v>
      </c>
      <c r="I332" s="42">
        <f>IFERROR(__xludf.DUMMYFUNCTION("""COMPUTED_VALUE"""),0.21875)</f>
        <v>0.21875</v>
      </c>
      <c r="J332" s="30">
        <f>IFERROR(__xludf.DUMMYFUNCTION("""COMPUTED_VALUE"""),322.80645161290323)</f>
        <v>322.8064516</v>
      </c>
      <c r="K332" s="30">
        <f>IFERROR(__xludf.DUMMYFUNCTION("""COMPUTED_VALUE"""),0.45161290322580644)</f>
        <v>0.4516129032</v>
      </c>
      <c r="L332" s="30">
        <f>IFERROR(__xludf.DUMMYFUNCTION("""COMPUTED_VALUE"""),0.5161290322580645)</f>
        <v>0.5161290323</v>
      </c>
      <c r="M332" s="30">
        <f>IFERROR(__xludf.DUMMYFUNCTION("""COMPUTED_VALUE"""),1.5806451612903225)</f>
        <v>1.580645161</v>
      </c>
      <c r="N332" s="30">
        <f>IFERROR(__xludf.DUMMYFUNCTION("""COMPUTED_VALUE"""),2.064516129032258)</f>
        <v>2.064516129</v>
      </c>
      <c r="O332" s="30">
        <f>IFERROR(__xludf.DUMMYFUNCTION("""COMPUTED_VALUE"""),350.52688172043014)</f>
        <v>350.5268817</v>
      </c>
      <c r="P332" s="30">
        <f>IFERROR(__xludf.DUMMYFUNCTION("""COMPUTED_VALUE"""),0.8172043010752689)</f>
        <v>0.8172043011</v>
      </c>
      <c r="Q332" s="30">
        <f>IFERROR(__xludf.DUMMYFUNCTION("""COMPUTED_VALUE"""),0.5806451612903226)</f>
        <v>0.5806451613</v>
      </c>
      <c r="R332" s="30">
        <f>IFERROR(__xludf.DUMMYFUNCTION("""COMPUTED_VALUE"""),1.1720430107526882)</f>
        <v>1.172043011</v>
      </c>
      <c r="S332" s="30">
        <f>IFERROR(__xludf.DUMMYFUNCTION("""COMPUTED_VALUE"""),2.9032258064516134)</f>
        <v>2.903225806</v>
      </c>
      <c r="T332" s="30">
        <f>IFERROR(__xludf.DUMMYFUNCTION("""COMPUTED_VALUE"""),350.2767965407747)</f>
        <v>350.2767965</v>
      </c>
      <c r="U332" s="30">
        <f>IFERROR(__xludf.DUMMYFUNCTION("""COMPUTED_VALUE"""),0.7486729378704743)</f>
        <v>0.7486729379</v>
      </c>
      <c r="V332" s="30">
        <f>IFERROR(__xludf.DUMMYFUNCTION("""COMPUTED_VALUE"""),0.540309232819655)</f>
        <v>0.5403092328</v>
      </c>
      <c r="W332" s="30">
        <f>IFERROR(__xludf.DUMMYFUNCTION("""COMPUTED_VALUE"""),1.3623846989011121)</f>
        <v>1.362384699</v>
      </c>
      <c r="X332" s="30">
        <f>IFERROR(__xludf.DUMMYFUNCTION("""COMPUTED_VALUE"""),2.643224734115374)</f>
        <v>2.643224734</v>
      </c>
      <c r="Y332" s="30">
        <f>IFERROR(__xludf.DUMMYFUNCTION("""COMPUTED_VALUE"""),350.2289690406323)</f>
        <v>350.228969</v>
      </c>
      <c r="Z332" s="30">
        <f>IFERROR(__xludf.DUMMYFUNCTION("""COMPUTED_VALUE"""),0.7465694889743675)</f>
        <v>0.746569489</v>
      </c>
      <c r="AA332" s="30">
        <f>IFERROR(__xludf.DUMMYFUNCTION("""COMPUTED_VALUE"""),0.5435886572527269)</f>
        <v>0.5435886573</v>
      </c>
      <c r="AB332" s="30">
        <f>IFERROR(__xludf.DUMMYFUNCTION("""COMPUTED_VALUE"""),1.3964597554503042)</f>
        <v>1.396459755</v>
      </c>
      <c r="AC332" s="30">
        <f>IFERROR(__xludf.DUMMYFUNCTION("""COMPUTED_VALUE"""),2.5583021955264273)</f>
        <v>2.558302196</v>
      </c>
      <c r="AD332" s="30">
        <f>IFERROR(__xludf.DUMMYFUNCTION("""COMPUTED_VALUE"""),0.9217011730844354)</f>
        <v>0.9217011731</v>
      </c>
      <c r="AE332" s="30">
        <f>IFERROR(__xludf.DUMMYFUNCTION("""COMPUTED_VALUE"""),0.6049174388927003)</f>
        <v>0.6049174389</v>
      </c>
      <c r="AF332" s="30">
        <f>IFERROR(__xludf.DUMMYFUNCTION("""COMPUTED_VALUE"""),0.9494845511798533)</f>
        <v>0.9494845512</v>
      </c>
      <c r="AG332" s="30">
        <f>IFERROR(__xludf.DUMMYFUNCTION("""COMPUTED_VALUE"""),1.1318945319556493)</f>
        <v>1.131894532</v>
      </c>
      <c r="AH332" s="30">
        <f>IFERROR(__xludf.DUMMYFUNCTION("""COMPUTED_VALUE"""),0.806986810487976)</f>
        <v>0.8069868105</v>
      </c>
      <c r="AI332" s="30">
        <f>IFERROR(__xludf.DUMMYFUNCTION("""COMPUTED_VALUE"""),1.000713964447903)</f>
        <v>1.000713964</v>
      </c>
      <c r="AJ332" s="30">
        <f>IFERROR(__xludf.DUMMYFUNCTION("""COMPUTED_VALUE"""),1.0915371181970663)</f>
        <v>1.091537118</v>
      </c>
      <c r="AK332" s="30">
        <f>IFERROR(__xludf.DUMMYFUNCTION("""COMPUTED_VALUE"""),1.074653413305878)</f>
        <v>1.074653413</v>
      </c>
      <c r="AL332" s="30">
        <f>IFERROR(__xludf.DUMMYFUNCTION("""COMPUTED_VALUE"""),0.8602878553304717)</f>
        <v>0.8602878553</v>
      </c>
      <c r="AM332" s="30">
        <f>IFERROR(__xludf.DUMMYFUNCTION("""COMPUTED_VALUE"""),1.098365102664362)</f>
        <v>1.098365103</v>
      </c>
      <c r="AN332" s="30">
        <f>IFERROR(__xludf.DUMMYFUNCTION("""COMPUTED_VALUE"""),0.9349194217874921)</f>
        <v>0.9349194218</v>
      </c>
      <c r="AO332" s="30">
        <f>IFERROR(__xludf.DUMMYFUNCTION("""COMPUTED_VALUE"""),0.5986807606191736)</f>
        <v>0.5986807606</v>
      </c>
      <c r="AP332" s="30">
        <f>IFERROR(__xludf.DUMMYFUNCTION("""COMPUTED_VALUE"""),0.9571671340904249)</f>
        <v>0.9571671341</v>
      </c>
      <c r="AQ332" s="30">
        <f>IFERROR(__xludf.DUMMYFUNCTION("""COMPUTED_VALUE"""),1.1702903356120538)</f>
        <v>1.170290336</v>
      </c>
      <c r="AR332" s="30">
        <f>IFERROR(__xludf.DUMMYFUNCTION("""COMPUTED_VALUE"""),0.8062369139762516)</f>
        <v>0.806236914</v>
      </c>
      <c r="AS332" s="30">
        <f>IFERROR(__xludf.DUMMYFUNCTION("""COMPUTED_VALUE"""),55.0)</f>
        <v>55</v>
      </c>
      <c r="AT332" s="30">
        <f>IFERROR(__xludf.DUMMYFUNCTION("""COMPUTED_VALUE"""),0.3801112817128225)</f>
        <v>0.3801112817</v>
      </c>
      <c r="AU332" s="30">
        <f>IFERROR(__xludf.DUMMYFUNCTION("""COMPUTED_VALUE"""),1.7146841005316955)</f>
        <v>1.714684101</v>
      </c>
      <c r="AV332" s="32">
        <f>IFERROR(__xludf.DUMMYFUNCTION("""COMPUTED_VALUE"""),29.703026296967508)</f>
        <v>29.7030263</v>
      </c>
      <c r="AW332" s="32">
        <f>IFERROR(__xludf.DUMMYFUNCTION("""COMPUTED_VALUE"""),-4.7977612275033215)</f>
        <v>-4.797761228</v>
      </c>
      <c r="AX332" s="32">
        <f>IFERROR(__xludf.DUMMYFUNCTION("""COMPUTED_VALUE"""),39.269766078426485)</f>
        <v>39.26976608</v>
      </c>
      <c r="AY332" s="32">
        <f>IFERROR(__xludf.DUMMYFUNCTION("""COMPUTED_VALUE"""),-2.9950392824474203)</f>
        <v>-2.995039282</v>
      </c>
      <c r="AZ332" s="30">
        <f>IFERROR(__xludf.DUMMYFUNCTION("""COMPUTED_VALUE"""),1.802721945055901)</f>
        <v>1.802721945</v>
      </c>
      <c r="BA332" s="30">
        <f>IFERROR(__xludf.DUMMYFUNCTION("""COMPUTED_VALUE"""),1200.0)</f>
        <v>1200</v>
      </c>
    </row>
    <row r="333">
      <c r="A333" s="71" t="str">
        <f>IFERROR(__xludf.DUMMYFUNCTION("""COMPUTED_VALUE"""),"Veteran")</f>
        <v>Veteran</v>
      </c>
      <c r="B333" s="71" t="str">
        <f>IFERROR(__xludf.DUMMYFUNCTION("""COMPUTED_VALUE"""),"RSC006427")</f>
        <v>RSC006427</v>
      </c>
      <c r="C333" s="30" t="str">
        <f>IFERROR(__xludf.DUMMYFUNCTION("""COMPUTED_VALUE"""),"NukeTech96")</f>
        <v>NukeTech96</v>
      </c>
      <c r="D333" s="30" t="str">
        <f>IFERROR(__xludf.DUMMYFUNCTION("""COMPUTED_VALUE"""),"Mosaic Maestros")</f>
        <v>Mosaic Maestros</v>
      </c>
      <c r="E333" s="30">
        <f>IFERROR(__xludf.DUMMYFUNCTION("""COMPUTED_VALUE"""),29.0)</f>
        <v>29</v>
      </c>
      <c r="F333" s="30">
        <f>IFERROR(__xludf.DUMMYFUNCTION("""COMPUTED_VALUE"""),18.0)</f>
        <v>18</v>
      </c>
      <c r="G333" s="42">
        <f>IFERROR(__xludf.DUMMYFUNCTION("""COMPUTED_VALUE"""),11.0)</f>
        <v>11</v>
      </c>
      <c r="H333" s="42">
        <f>IFERROR(__xludf.DUMMYFUNCTION("""COMPUTED_VALUE"""),0.6206896551724138)</f>
        <v>0.6206896552</v>
      </c>
      <c r="I333" s="42">
        <f>IFERROR(__xludf.DUMMYFUNCTION("""COMPUTED_VALUE"""),0.3764705882352941)</f>
        <v>0.3764705882</v>
      </c>
      <c r="J333" s="30">
        <f>IFERROR(__xludf.DUMMYFUNCTION("""COMPUTED_VALUE"""),377.0344827586207)</f>
        <v>377.0344828</v>
      </c>
      <c r="K333" s="30">
        <f>IFERROR(__xludf.DUMMYFUNCTION("""COMPUTED_VALUE"""),1.103448275862069)</f>
        <v>1.103448276</v>
      </c>
      <c r="L333" s="30">
        <f>IFERROR(__xludf.DUMMYFUNCTION("""COMPUTED_VALUE"""),0.4482758620689655)</f>
        <v>0.4482758621</v>
      </c>
      <c r="M333" s="30">
        <f>IFERROR(__xludf.DUMMYFUNCTION("""COMPUTED_VALUE"""),1.2413793103448276)</f>
        <v>1.24137931</v>
      </c>
      <c r="N333" s="30">
        <f>IFERROR(__xludf.DUMMYFUNCTION("""COMPUTED_VALUE"""),2.9310344827586206)</f>
        <v>2.931034483</v>
      </c>
      <c r="O333" s="30">
        <f>IFERROR(__xludf.DUMMYFUNCTION("""COMPUTED_VALUE"""),364.52873563218395)</f>
        <v>364.5287356</v>
      </c>
      <c r="P333" s="30">
        <f>IFERROR(__xludf.DUMMYFUNCTION("""COMPUTED_VALUE"""),0.7816091954022988)</f>
        <v>0.7816091954</v>
      </c>
      <c r="Q333" s="30">
        <f>IFERROR(__xludf.DUMMYFUNCTION("""COMPUTED_VALUE"""),0.5402298850574713)</f>
        <v>0.5402298851</v>
      </c>
      <c r="R333" s="30">
        <f>IFERROR(__xludf.DUMMYFUNCTION("""COMPUTED_VALUE"""),1.5057471264367812)</f>
        <v>1.505747126</v>
      </c>
      <c r="S333" s="30">
        <f>IFERROR(__xludf.DUMMYFUNCTION("""COMPUTED_VALUE"""),2.563218390804598)</f>
        <v>2.563218391</v>
      </c>
      <c r="T333" s="30">
        <f>IFERROR(__xludf.DUMMYFUNCTION("""COMPUTED_VALUE"""),352.4126477757561)</f>
        <v>352.4126478</v>
      </c>
      <c r="U333" s="30">
        <f>IFERROR(__xludf.DUMMYFUNCTION("""COMPUTED_VALUE"""),0.7892412310506359)</f>
        <v>0.7892412311</v>
      </c>
      <c r="V333" s="30">
        <f>IFERROR(__xludf.DUMMYFUNCTION("""COMPUTED_VALUE"""),0.5502527924186076)</f>
        <v>0.5502527924</v>
      </c>
      <c r="W333" s="30">
        <f>IFERROR(__xludf.DUMMYFUNCTION("""COMPUTED_VALUE"""),1.4058075210339074)</f>
        <v>1.405807521</v>
      </c>
      <c r="X333" s="30">
        <f>IFERROR(__xludf.DUMMYFUNCTION("""COMPUTED_VALUE"""),2.5770642029792614)</f>
        <v>2.577064203</v>
      </c>
      <c r="Y333" s="30">
        <f>IFERROR(__xludf.DUMMYFUNCTION("""COMPUTED_VALUE"""),360.47305216569845)</f>
        <v>360.4730522</v>
      </c>
      <c r="Z333" s="30">
        <f>IFERROR(__xludf.DUMMYFUNCTION("""COMPUTED_VALUE"""),0.8237584706692817)</f>
        <v>0.8237584707</v>
      </c>
      <c r="AA333" s="30">
        <f>IFERROR(__xludf.DUMMYFUNCTION("""COMPUTED_VALUE"""),0.5855972291831992)</f>
        <v>0.5855972292</v>
      </c>
      <c r="AB333" s="30">
        <f>IFERROR(__xludf.DUMMYFUNCTION("""COMPUTED_VALUE"""),1.392358858802097)</f>
        <v>1.392358859</v>
      </c>
      <c r="AC333" s="30">
        <f>IFERROR(__xludf.DUMMYFUNCTION("""COMPUTED_VALUE"""),2.693409530538234)</f>
        <v>2.693409531</v>
      </c>
      <c r="AD333" s="30">
        <f>IFERROR(__xludf.DUMMYFUNCTION("""COMPUTED_VALUE"""),1.0459436024230446)</f>
        <v>1.045943602</v>
      </c>
      <c r="AE333" s="30">
        <f>IFERROR(__xludf.DUMMYFUNCTION("""COMPUTED_VALUE"""),1.3395288973059625)</f>
        <v>1.339528897</v>
      </c>
      <c r="AF333" s="30">
        <f>IFERROR(__xludf.DUMMYFUNCTION("""COMPUTED_VALUE"""),0.7655020203805065)</f>
        <v>0.7655020204</v>
      </c>
      <c r="AG333" s="30">
        <f>IFERROR(__xludf.DUMMYFUNCTION("""COMPUTED_VALUE"""),0.8915656351788768)</f>
        <v>0.8915656352</v>
      </c>
      <c r="AH333" s="30">
        <f>IFERROR(__xludf.DUMMYFUNCTION("""COMPUTED_VALUE"""),1.088224590254903)</f>
        <v>1.08822459</v>
      </c>
      <c r="AI333" s="30">
        <f>IFERROR(__xludf.DUMMYFUNCTION("""COMPUTED_VALUE"""),1.0343804001726336)</f>
        <v>1.0343804</v>
      </c>
      <c r="AJ333" s="30">
        <f>IFERROR(__xludf.DUMMYFUNCTION("""COMPUTED_VALUE"""),0.9903299075769554)</f>
        <v>0.9903299076</v>
      </c>
      <c r="AK333" s="30">
        <f>IFERROR(__xludf.DUMMYFUNCTION("""COMPUTED_VALUE"""),0.9817849041400024)</f>
        <v>0.9817849041</v>
      </c>
      <c r="AL333" s="30">
        <f>IFERROR(__xludf.DUMMYFUNCTION("""COMPUTED_VALUE"""),1.0710905325996356)</f>
        <v>1.071090533</v>
      </c>
      <c r="AM333" s="30">
        <f>IFERROR(__xludf.DUMMYFUNCTION("""COMPUTED_VALUE"""),0.9946272924987059)</f>
        <v>0.9946272925</v>
      </c>
      <c r="AN333" s="30">
        <f>IFERROR(__xludf.DUMMYFUNCTION("""COMPUTED_VALUE"""),1.0919758847860208)</f>
        <v>1.091975885</v>
      </c>
      <c r="AO333" s="30">
        <f>IFERROR(__xludf.DUMMYFUNCTION("""COMPUTED_VALUE"""),1.4627864890005426)</f>
        <v>1.462786489</v>
      </c>
      <c r="AP333" s="30">
        <f>IFERROR(__xludf.DUMMYFUNCTION("""COMPUTED_VALUE"""),0.8313326617207786)</f>
        <v>0.8313326617</v>
      </c>
      <c r="AQ333" s="30">
        <f>IFERROR(__xludf.DUMMYFUNCTION("""COMPUTED_VALUE"""),0.9191020510507052)</f>
        <v>0.9191020511</v>
      </c>
      <c r="AR333" s="30">
        <f>IFERROR(__xludf.DUMMYFUNCTION("""COMPUTED_VALUE"""),1.1446305325039994)</f>
        <v>1.144630533</v>
      </c>
      <c r="AS333" s="30">
        <f>IFERROR(__xludf.DUMMYFUNCTION("""COMPUTED_VALUE"""),78.0)</f>
        <v>78</v>
      </c>
      <c r="AT333" s="30">
        <f>IFERROR(__xludf.DUMMYFUNCTION("""COMPUTED_VALUE"""),0.5543301194801056)</f>
        <v>0.5543301195</v>
      </c>
      <c r="AU333" s="30">
        <f>IFERROR(__xludf.DUMMYFUNCTION("""COMPUTED_VALUE"""),2.879952602287106)</f>
        <v>2.879952602</v>
      </c>
      <c r="AV333" s="32">
        <f>IFERROR(__xludf.DUMMYFUNCTION("""COMPUTED_VALUE"""),65.79849075491609)</f>
        <v>65.79849075</v>
      </c>
      <c r="AW333" s="32">
        <f>IFERROR(__xludf.DUMMYFUNCTION("""COMPUTED_VALUE"""),3.7919988084566225)</f>
        <v>3.791998808</v>
      </c>
      <c r="AX333" s="32">
        <f>IFERROR(__xludf.DUMMYFUNCTION("""COMPUTED_VALUE"""),50.15420801438729)</f>
        <v>50.15420801</v>
      </c>
      <c r="AY333" s="32">
        <f>IFERROR(__xludf.DUMMYFUNCTION("""COMPUTED_VALUE"""),2.0098918365180687)</f>
        <v>2.009891837</v>
      </c>
      <c r="AZ333" s="30">
        <f>IFERROR(__xludf.DUMMYFUNCTION("""COMPUTED_VALUE"""),1.7821069719385538)</f>
        <v>1.782106972</v>
      </c>
      <c r="BA333" s="30">
        <f>IFERROR(__xludf.DUMMYFUNCTION("""COMPUTED_VALUE"""),1200.0)</f>
        <v>1200</v>
      </c>
    </row>
    <row r="334">
      <c r="A334" s="71" t="str">
        <f>IFERROR(__xludf.DUMMYFUNCTION("""COMPUTED_VALUE"""),"Veteran")</f>
        <v>Veteran</v>
      </c>
      <c r="B334" s="71" t="str">
        <f>IFERROR(__xludf.DUMMYFUNCTION("""COMPUTED_VALUE"""),"RSC003104")</f>
        <v>RSC003104</v>
      </c>
      <c r="C334" s="30" t="str">
        <f>IFERROR(__xludf.DUMMYFUNCTION("""COMPUTED_VALUE"""),"nizz")</f>
        <v>nizz</v>
      </c>
      <c r="D334" s="30" t="str">
        <f>IFERROR(__xludf.DUMMYFUNCTION("""COMPUTED_VALUE"""),"Folks")</f>
        <v>Folks</v>
      </c>
      <c r="E334" s="30">
        <f>IFERROR(__xludf.DUMMYFUNCTION("""COMPUTED_VALUE"""),21.0)</f>
        <v>21</v>
      </c>
      <c r="F334" s="30">
        <f>IFERROR(__xludf.DUMMYFUNCTION("""COMPUTED_VALUE"""),8.0)</f>
        <v>8</v>
      </c>
      <c r="G334" s="42">
        <f>IFERROR(__xludf.DUMMYFUNCTION("""COMPUTED_VALUE"""),13.0)</f>
        <v>13</v>
      </c>
      <c r="H334" s="42">
        <f>IFERROR(__xludf.DUMMYFUNCTION("""COMPUTED_VALUE"""),0.38095238095238093)</f>
        <v>0.380952381</v>
      </c>
      <c r="I334" s="42">
        <f>IFERROR(__xludf.DUMMYFUNCTION("""COMPUTED_VALUE"""),0.21276595744680848)</f>
        <v>0.2127659574</v>
      </c>
      <c r="J334" s="30">
        <f>IFERROR(__xludf.DUMMYFUNCTION("""COMPUTED_VALUE"""),268.6666666666667)</f>
        <v>268.6666667</v>
      </c>
      <c r="K334" s="30">
        <f>IFERROR(__xludf.DUMMYFUNCTION("""COMPUTED_VALUE"""),0.47619047619047616)</f>
        <v>0.4761904762</v>
      </c>
      <c r="L334" s="30">
        <f>IFERROR(__xludf.DUMMYFUNCTION("""COMPUTED_VALUE"""),0.3333333333333333)</f>
        <v>0.3333333333</v>
      </c>
      <c r="M334" s="30">
        <f>IFERROR(__xludf.DUMMYFUNCTION("""COMPUTED_VALUE"""),1.3333333333333333)</f>
        <v>1.333333333</v>
      </c>
      <c r="N334" s="30">
        <f>IFERROR(__xludf.DUMMYFUNCTION("""COMPUTED_VALUE"""),2.238095238095238)</f>
        <v>2.238095238</v>
      </c>
      <c r="O334" s="30">
        <f>IFERROR(__xludf.DUMMYFUNCTION("""COMPUTED_VALUE"""),345.99999999999994)</f>
        <v>346</v>
      </c>
      <c r="P334" s="30">
        <f>IFERROR(__xludf.DUMMYFUNCTION("""COMPUTED_VALUE"""),0.7936507936507937)</f>
        <v>0.7936507937</v>
      </c>
      <c r="Q334" s="30">
        <f>IFERROR(__xludf.DUMMYFUNCTION("""COMPUTED_VALUE"""),0.6507936507936508)</f>
        <v>0.6507936508</v>
      </c>
      <c r="R334" s="30">
        <f>IFERROR(__xludf.DUMMYFUNCTION("""COMPUTED_VALUE"""),1.2539682539682542)</f>
        <v>1.253968254</v>
      </c>
      <c r="S334" s="30">
        <f>IFERROR(__xludf.DUMMYFUNCTION("""COMPUTED_VALUE"""),2.619047619047619)</f>
        <v>2.619047619</v>
      </c>
      <c r="T334" s="30">
        <f>IFERROR(__xludf.DUMMYFUNCTION("""COMPUTED_VALUE"""),357.925945230267)</f>
        <v>357.9259452</v>
      </c>
      <c r="U334" s="30">
        <f>IFERROR(__xludf.DUMMYFUNCTION("""COMPUTED_VALUE"""),0.7811882103017913)</f>
        <v>0.7811882103</v>
      </c>
      <c r="V334" s="30">
        <f>IFERROR(__xludf.DUMMYFUNCTION("""COMPUTED_VALUE"""),0.6162889306382724)</f>
        <v>0.6162889306</v>
      </c>
      <c r="W334" s="30">
        <f>IFERROR(__xludf.DUMMYFUNCTION("""COMPUTED_VALUE"""),1.3584748018620492)</f>
        <v>1.358474802</v>
      </c>
      <c r="X334" s="30">
        <f>IFERROR(__xludf.DUMMYFUNCTION("""COMPUTED_VALUE"""),2.6641469588952345)</f>
        <v>2.664146959</v>
      </c>
      <c r="Y334" s="30">
        <f>IFERROR(__xludf.DUMMYFUNCTION("""COMPUTED_VALUE"""),349.8182511716314)</f>
        <v>349.8182512</v>
      </c>
      <c r="Z334" s="30">
        <f>IFERROR(__xludf.DUMMYFUNCTION("""COMPUTED_VALUE"""),0.7647567700757614)</f>
        <v>0.7647567701</v>
      </c>
      <c r="AA334" s="30">
        <f>IFERROR(__xludf.DUMMYFUNCTION("""COMPUTED_VALUE"""),0.5590321287150196)</f>
        <v>0.5590321287</v>
      </c>
      <c r="AB334" s="30">
        <f>IFERROR(__xludf.DUMMYFUNCTION("""COMPUTED_VALUE"""),1.364319998960271)</f>
        <v>1.364319999</v>
      </c>
      <c r="AC334" s="30">
        <f>IFERROR(__xludf.DUMMYFUNCTION("""COMPUTED_VALUE"""),2.592598323919795)</f>
        <v>2.592598324</v>
      </c>
      <c r="AD334" s="30">
        <f>IFERROR(__xludf.DUMMYFUNCTION("""COMPUTED_VALUE"""),0.7680178657540961)</f>
        <v>0.7680178658</v>
      </c>
      <c r="AE334" s="30">
        <f>IFERROR(__xludf.DUMMYFUNCTION("""COMPUTED_VALUE"""),0.6226691868884036)</f>
        <v>0.6226691869</v>
      </c>
      <c r="AF334" s="30">
        <f>IFERROR(__xludf.DUMMYFUNCTION("""COMPUTED_VALUE"""),0.5962686511409047)</f>
        <v>0.5962686511</v>
      </c>
      <c r="AG334" s="30">
        <f>IFERROR(__xludf.DUMMYFUNCTION("""COMPUTED_VALUE"""),0.977287831556708)</f>
        <v>0.9772878316</v>
      </c>
      <c r="AH334" s="30">
        <f>IFERROR(__xludf.DUMMYFUNCTION("""COMPUTED_VALUE"""),0.863263397745094)</f>
        <v>0.8632633977</v>
      </c>
      <c r="AI334" s="30">
        <f>IFERROR(__xludf.DUMMYFUNCTION("""COMPUTED_VALUE"""),0.9666804114393142)</f>
        <v>0.9666804114</v>
      </c>
      <c r="AJ334" s="30">
        <f>IFERROR(__xludf.DUMMYFUNCTION("""COMPUTED_VALUE"""),1.0159533684516153)</f>
        <v>1.015953368</v>
      </c>
      <c r="AK334" s="30">
        <f>IFERROR(__xludf.DUMMYFUNCTION("""COMPUTED_VALUE"""),1.0559878953523356)</f>
        <v>1.055987895</v>
      </c>
      <c r="AL334" s="30">
        <f>IFERROR(__xludf.DUMMYFUNCTION("""COMPUTED_VALUE"""),0.9230706762094161)</f>
        <v>0.9230706762</v>
      </c>
      <c r="AM334" s="30">
        <f>IFERROR(__xludf.DUMMYFUNCTION("""COMPUTED_VALUE"""),0.9830717522180844)</f>
        <v>0.9830717522</v>
      </c>
      <c r="AN334" s="30">
        <f>IFERROR(__xludf.DUMMYFUNCTION("""COMPUTED_VALUE"""),0.7781185394484621)</f>
        <v>0.7781185394</v>
      </c>
      <c r="AO334" s="30">
        <f>IFERROR(__xludf.DUMMYFUNCTION("""COMPUTED_VALUE"""),0.6312620265032103)</f>
        <v>0.6312620265</v>
      </c>
      <c r="AP334" s="30">
        <f>IFERROR(__xludf.DUMMYFUNCTION("""COMPUTED_VALUE"""),0.6181704407667327)</f>
        <v>0.6181704408</v>
      </c>
      <c r="AQ334" s="30">
        <f>IFERROR(__xludf.DUMMYFUNCTION("""COMPUTED_VALUE"""),0.9871836844618684)</f>
        <v>0.9871836845</v>
      </c>
      <c r="AR334" s="30">
        <f>IFERROR(__xludf.DUMMYFUNCTION("""COMPUTED_VALUE"""),0.874023202130505)</f>
        <v>0.8740232021</v>
      </c>
      <c r="AS334" s="30">
        <f>IFERROR(__xludf.DUMMYFUNCTION("""COMPUTED_VALUE"""),40.0)</f>
        <v>40</v>
      </c>
      <c r="AT334" s="30">
        <f>IFERROR(__xludf.DUMMYFUNCTION("""COMPUTED_VALUE"""),0.4160950109431063)</f>
        <v>0.4160950109</v>
      </c>
      <c r="AU334" s="30">
        <f>IFERROR(__xludf.DUMMYFUNCTION("""COMPUTED_VALUE"""),1.3950207797765923)</f>
        <v>1.39502078</v>
      </c>
      <c r="AV334" s="32">
        <f>IFERROR(__xludf.DUMMYFUNCTION("""COMPUTED_VALUE"""),19.801105825038757)</f>
        <v>19.80110583</v>
      </c>
      <c r="AW334" s="32">
        <f>IFERROR(__xludf.DUMMYFUNCTION("""COMPUTED_VALUE"""),-8.808078604369408)</f>
        <v>-8.808078604</v>
      </c>
      <c r="AX334" s="32">
        <f>IFERROR(__xludf.DUMMYFUNCTION("""COMPUTED_VALUE"""),23.245933487325697)</f>
        <v>23.24593349</v>
      </c>
      <c r="AY334" s="32">
        <f>IFERROR(__xludf.DUMMYFUNCTION("""COMPUTED_VALUE"""),-7.028738090410817)</f>
        <v>-7.02873809</v>
      </c>
      <c r="AZ334" s="30">
        <f>IFERROR(__xludf.DUMMYFUNCTION("""COMPUTED_VALUE"""),1.7793405139585907)</f>
        <v>1.779340514</v>
      </c>
      <c r="BA334" s="30">
        <f>IFERROR(__xludf.DUMMYFUNCTION("""COMPUTED_VALUE"""),1200.0)</f>
        <v>1200</v>
      </c>
    </row>
    <row r="335">
      <c r="A335" s="71" t="str">
        <f>IFERROR(__xludf.DUMMYFUNCTION("""COMPUTED_VALUE"""),"Veteran")</f>
        <v>Veteran</v>
      </c>
      <c r="B335" s="71" t="str">
        <f>IFERROR(__xludf.DUMMYFUNCTION("""COMPUTED_VALUE"""),"RSC007607")</f>
        <v>RSC007607</v>
      </c>
      <c r="C335" s="30" t="str">
        <f>IFERROR(__xludf.DUMMYFUNCTION("""COMPUTED_VALUE"""),"GameGang")</f>
        <v>GameGang</v>
      </c>
      <c r="D335" s="30" t="str">
        <f>IFERROR(__xludf.DUMMYFUNCTION("""COMPUTED_VALUE"""),"Rockin Revenants")</f>
        <v>Rockin Revenants</v>
      </c>
      <c r="E335" s="30">
        <f>IFERROR(__xludf.DUMMYFUNCTION("""COMPUTED_VALUE"""),32.0)</f>
        <v>32</v>
      </c>
      <c r="F335" s="30">
        <f>IFERROR(__xludf.DUMMYFUNCTION("""COMPUTED_VALUE"""),16.0)</f>
        <v>16</v>
      </c>
      <c r="G335" s="42">
        <f>IFERROR(__xludf.DUMMYFUNCTION("""COMPUTED_VALUE"""),16.0)</f>
        <v>16</v>
      </c>
      <c r="H335" s="42">
        <f>IFERROR(__xludf.DUMMYFUNCTION("""COMPUTED_VALUE"""),0.5)</f>
        <v>0.5</v>
      </c>
      <c r="I335" s="42">
        <f>IFERROR(__xludf.DUMMYFUNCTION("""COMPUTED_VALUE"""),0.2191780821917808)</f>
        <v>0.2191780822</v>
      </c>
      <c r="J335" s="30">
        <f>IFERROR(__xludf.DUMMYFUNCTION("""COMPUTED_VALUE"""),288.34375)</f>
        <v>288.34375</v>
      </c>
      <c r="K335" s="30">
        <f>IFERROR(__xludf.DUMMYFUNCTION("""COMPUTED_VALUE"""),0.5)</f>
        <v>0.5</v>
      </c>
      <c r="L335" s="30">
        <f>IFERROR(__xludf.DUMMYFUNCTION("""COMPUTED_VALUE"""),0.75)</f>
        <v>0.75</v>
      </c>
      <c r="M335" s="30">
        <f>IFERROR(__xludf.DUMMYFUNCTION("""COMPUTED_VALUE"""),0.9375)</f>
        <v>0.9375</v>
      </c>
      <c r="N335" s="30">
        <f>IFERROR(__xludf.DUMMYFUNCTION("""COMPUTED_VALUE"""),2.28125)</f>
        <v>2.28125</v>
      </c>
      <c r="O335" s="30">
        <f>IFERROR(__xludf.DUMMYFUNCTION("""COMPUTED_VALUE"""),353.84374999999994)</f>
        <v>353.84375</v>
      </c>
      <c r="P335" s="30">
        <f>IFERROR(__xludf.DUMMYFUNCTION("""COMPUTED_VALUE"""),0.75)</f>
        <v>0.75</v>
      </c>
      <c r="Q335" s="30">
        <f>IFERROR(__xludf.DUMMYFUNCTION("""COMPUTED_VALUE"""),0.6249999999999999)</f>
        <v>0.625</v>
      </c>
      <c r="R335" s="30">
        <f>IFERROR(__xludf.DUMMYFUNCTION("""COMPUTED_VALUE"""),1.3124999999999998)</f>
        <v>1.3125</v>
      </c>
      <c r="S335" s="30">
        <f>IFERROR(__xludf.DUMMYFUNCTION("""COMPUTED_VALUE"""),2.520833333333333)</f>
        <v>2.520833333</v>
      </c>
      <c r="T335" s="30">
        <f>IFERROR(__xludf.DUMMYFUNCTION("""COMPUTED_VALUE"""),366.63232969106093)</f>
        <v>366.6323297</v>
      </c>
      <c r="U335" s="30">
        <f>IFERROR(__xludf.DUMMYFUNCTION("""COMPUTED_VALUE"""),0.8497723948450348)</f>
        <v>0.8497723948</v>
      </c>
      <c r="V335" s="30">
        <f>IFERROR(__xludf.DUMMYFUNCTION("""COMPUTED_VALUE"""),0.5970357616612955)</f>
        <v>0.5970357617</v>
      </c>
      <c r="W335" s="30">
        <f>IFERROR(__xludf.DUMMYFUNCTION("""COMPUTED_VALUE"""),1.3776843757216148)</f>
        <v>1.377684376</v>
      </c>
      <c r="X335" s="30">
        <f>IFERROR(__xludf.DUMMYFUNCTION("""COMPUTED_VALUE"""),2.7591311083125007)</f>
        <v>2.759131108</v>
      </c>
      <c r="Y335" s="30">
        <f>IFERROR(__xludf.DUMMYFUNCTION("""COMPUTED_VALUE"""),364.017698345243)</f>
        <v>364.0176983</v>
      </c>
      <c r="Z335" s="30">
        <f>IFERROR(__xludf.DUMMYFUNCTION("""COMPUTED_VALUE"""),0.8250936342278847)</f>
        <v>0.8250936342</v>
      </c>
      <c r="AA335" s="30">
        <f>IFERROR(__xludf.DUMMYFUNCTION("""COMPUTED_VALUE"""),0.6049528785528545)</f>
        <v>0.6049528786</v>
      </c>
      <c r="AB335" s="30">
        <f>IFERROR(__xludf.DUMMYFUNCTION("""COMPUTED_VALUE"""),1.3888519097902006)</f>
        <v>1.38885191</v>
      </c>
      <c r="AC335" s="30">
        <f>IFERROR(__xludf.DUMMYFUNCTION("""COMPUTED_VALUE"""),2.736937126851936)</f>
        <v>2.736937127</v>
      </c>
      <c r="AD335" s="30">
        <f>IFERROR(__xludf.DUMMYFUNCTION("""COMPUTED_VALUE"""),0.7921146452789446)</f>
        <v>0.7921146453</v>
      </c>
      <c r="AE335" s="30">
        <f>IFERROR(__xludf.DUMMYFUNCTION("""COMPUTED_VALUE"""),0.6059918283915686)</f>
        <v>0.6059918284</v>
      </c>
      <c r="AF335" s="30">
        <f>IFERROR(__xludf.DUMMYFUNCTION("""COMPUTED_VALUE"""),1.2397659827557508)</f>
        <v>1.239765983</v>
      </c>
      <c r="AG335" s="30">
        <f>IFERROR(__xludf.DUMMYFUNCTION("""COMPUTED_VALUE"""),0.6750179723204747)</f>
        <v>0.6750179723</v>
      </c>
      <c r="AH335" s="30">
        <f>IFERROR(__xludf.DUMMYFUNCTION("""COMPUTED_VALUE"""),0.8335047150403219)</f>
        <v>0.833504715</v>
      </c>
      <c r="AI335" s="30">
        <f>IFERROR(__xludf.DUMMYFUNCTION("""COMPUTED_VALUE"""),0.9651187888917566)</f>
        <v>0.9651187889</v>
      </c>
      <c r="AJ335" s="30">
        <f>IFERROR(__xludf.DUMMYFUNCTION("""COMPUTED_VALUE"""),0.8825892727861213)</f>
        <v>0.8825892728</v>
      </c>
      <c r="AK335" s="30">
        <f>IFERROR(__xludf.DUMMYFUNCTION("""COMPUTED_VALUE"""),1.0468384645182591)</f>
        <v>1.046838465</v>
      </c>
      <c r="AL335" s="30">
        <f>IFERROR(__xludf.DUMMYFUNCTION("""COMPUTED_VALUE"""),0.9526855520245904)</f>
        <v>0.952685552</v>
      </c>
      <c r="AM335" s="30">
        <f>IFERROR(__xludf.DUMMYFUNCTION("""COMPUTED_VALUE"""),0.9136330367697126)</f>
        <v>0.9136330368</v>
      </c>
      <c r="AN335" s="30">
        <f>IFERROR(__xludf.DUMMYFUNCTION("""COMPUTED_VALUE"""),0.8351077578502201)</f>
        <v>0.8351077579</v>
      </c>
      <c r="AO335" s="30">
        <f>IFERROR(__xludf.DUMMYFUNCTION("""COMPUTED_VALUE"""),0.6628251278283709)</f>
        <v>0.6628251278</v>
      </c>
      <c r="AP335" s="30">
        <f>IFERROR(__xludf.DUMMYFUNCTION("""COMPUTED_VALUE"""),1.3908834917251487)</f>
        <v>1.390883492</v>
      </c>
      <c r="AQ335" s="30">
        <f>IFERROR(__xludf.DUMMYFUNCTION("""COMPUTED_VALUE"""),0.6941135281372512)</f>
        <v>0.6941135281</v>
      </c>
      <c r="AR335" s="30">
        <f>IFERROR(__xludf.DUMMYFUNCTION("""COMPUTED_VALUE"""),0.890876043129032)</f>
        <v>0.8908760431</v>
      </c>
      <c r="AS335" s="30">
        <f>IFERROR(__xludf.DUMMYFUNCTION("""COMPUTED_VALUE"""),77.0)</f>
        <v>77</v>
      </c>
      <c r="AT335" s="30">
        <f>IFERROR(__xludf.DUMMYFUNCTION("""COMPUTED_VALUE"""),0.5260764841545491)</f>
        <v>0.5260764842</v>
      </c>
      <c r="AU335" s="30">
        <f>IFERROR(__xludf.DUMMYFUNCTION("""COMPUTED_VALUE"""),2.1370574577471646)</f>
        <v>2.137057458</v>
      </c>
      <c r="AV335" s="32">
        <f>IFERROR(__xludf.DUMMYFUNCTION("""COMPUTED_VALUE"""),42.78650232020894)</f>
        <v>42.78650232</v>
      </c>
      <c r="AW335" s="32">
        <f>IFERROR(__xludf.DUMMYFUNCTION("""COMPUTED_VALUE"""),-2.5875447666999536)</f>
        <v>-2.587544767</v>
      </c>
      <c r="AX335" s="32">
        <f>IFERROR(__xludf.DUMMYFUNCTION("""COMPUTED_VALUE"""),31.495314532212802)</f>
        <v>31.49531453</v>
      </c>
      <c r="AY335" s="32">
        <f>IFERROR(__xludf.DUMMYFUNCTION("""COMPUTED_VALUE"""),-4.35553082632807)</f>
        <v>-4.355530826</v>
      </c>
      <c r="AZ335" s="30">
        <f>IFERROR(__xludf.DUMMYFUNCTION("""COMPUTED_VALUE"""),1.7679860596281163)</f>
        <v>1.76798606</v>
      </c>
      <c r="BA335" s="30">
        <f>IFERROR(__xludf.DUMMYFUNCTION("""COMPUTED_VALUE"""),1200.0)</f>
        <v>1200</v>
      </c>
    </row>
    <row r="336">
      <c r="A336" s="71" t="str">
        <f>IFERROR(__xludf.DUMMYFUNCTION("""COMPUTED_VALUE"""),"Veteran")</f>
        <v>Veteran</v>
      </c>
      <c r="B336" s="71" t="str">
        <f>IFERROR(__xludf.DUMMYFUNCTION("""COMPUTED_VALUE"""),"RSC007610")</f>
        <v>RSC007610</v>
      </c>
      <c r="C336" s="30" t="str">
        <f>IFERROR(__xludf.DUMMYFUNCTION("""COMPUTED_VALUE"""),"Halibut907")</f>
        <v>Halibut907</v>
      </c>
      <c r="D336" s="30" t="str">
        <f>IFERROR(__xludf.DUMMYFUNCTION("""COMPUTED_VALUE"""),"Dump Trucks")</f>
        <v>Dump Trucks</v>
      </c>
      <c r="E336" s="30">
        <f>IFERROR(__xludf.DUMMYFUNCTION("""COMPUTED_VALUE"""),36.0)</f>
        <v>36</v>
      </c>
      <c r="F336" s="30">
        <f>IFERROR(__xludf.DUMMYFUNCTION("""COMPUTED_VALUE"""),12.0)</f>
        <v>12</v>
      </c>
      <c r="G336" s="42">
        <f>IFERROR(__xludf.DUMMYFUNCTION("""COMPUTED_VALUE"""),24.0)</f>
        <v>24</v>
      </c>
      <c r="H336" s="42">
        <f>IFERROR(__xludf.DUMMYFUNCTION("""COMPUTED_VALUE"""),0.3333333333333333)</f>
        <v>0.3333333333</v>
      </c>
      <c r="I336" s="42">
        <f>IFERROR(__xludf.DUMMYFUNCTION("""COMPUTED_VALUE"""),0.3230769230769231)</f>
        <v>0.3230769231</v>
      </c>
      <c r="J336" s="30">
        <f>IFERROR(__xludf.DUMMYFUNCTION("""COMPUTED_VALUE"""),351.6111111111111)</f>
        <v>351.6111111</v>
      </c>
      <c r="K336" s="30">
        <f>IFERROR(__xludf.DUMMYFUNCTION("""COMPUTED_VALUE"""),0.5833333333333334)</f>
        <v>0.5833333333</v>
      </c>
      <c r="L336" s="30">
        <f>IFERROR(__xludf.DUMMYFUNCTION("""COMPUTED_VALUE"""),0.3888888888888889)</f>
        <v>0.3888888889</v>
      </c>
      <c r="M336" s="30">
        <f>IFERROR(__xludf.DUMMYFUNCTION("""COMPUTED_VALUE"""),1.7777777777777777)</f>
        <v>1.777777778</v>
      </c>
      <c r="N336" s="30">
        <f>IFERROR(__xludf.DUMMYFUNCTION("""COMPUTED_VALUE"""),1.8055555555555556)</f>
        <v>1.805555556</v>
      </c>
      <c r="O336" s="30">
        <f>IFERROR(__xludf.DUMMYFUNCTION("""COMPUTED_VALUE"""),348.05555555555554)</f>
        <v>348.0555556</v>
      </c>
      <c r="P336" s="30">
        <f>IFERROR(__xludf.DUMMYFUNCTION("""COMPUTED_VALUE"""),0.7962962962962963)</f>
        <v>0.7962962963</v>
      </c>
      <c r="Q336" s="30">
        <f>IFERROR(__xludf.DUMMYFUNCTION("""COMPUTED_VALUE"""),0.5833333333333334)</f>
        <v>0.5833333333</v>
      </c>
      <c r="R336" s="30">
        <f>IFERROR(__xludf.DUMMYFUNCTION("""COMPUTED_VALUE"""),1.166666666666667)</f>
        <v>1.166666667</v>
      </c>
      <c r="S336" s="30">
        <f>IFERROR(__xludf.DUMMYFUNCTION("""COMPUTED_VALUE"""),2.907407407407408)</f>
        <v>2.907407407</v>
      </c>
      <c r="T336" s="30">
        <f>IFERROR(__xludf.DUMMYFUNCTION("""COMPUTED_VALUE"""),349.2934516457573)</f>
        <v>349.2934516</v>
      </c>
      <c r="U336" s="30">
        <f>IFERROR(__xludf.DUMMYFUNCTION("""COMPUTED_VALUE"""),0.7434232543270682)</f>
        <v>0.7434232543</v>
      </c>
      <c r="V336" s="30">
        <f>IFERROR(__xludf.DUMMYFUNCTION("""COMPUTED_VALUE"""),0.5431855778154497)</f>
        <v>0.5431855778</v>
      </c>
      <c r="W336" s="30">
        <f>IFERROR(__xludf.DUMMYFUNCTION("""COMPUTED_VALUE"""),1.3474107262254955)</f>
        <v>1.347410726</v>
      </c>
      <c r="X336" s="30">
        <f>IFERROR(__xludf.DUMMYFUNCTION("""COMPUTED_VALUE"""),2.652527166355966)</f>
        <v>2.652527166</v>
      </c>
      <c r="Y336" s="30">
        <f>IFERROR(__xludf.DUMMYFUNCTION("""COMPUTED_VALUE"""),349.3648593188867)</f>
        <v>349.3648593</v>
      </c>
      <c r="Z336" s="30">
        <f>IFERROR(__xludf.DUMMYFUNCTION("""COMPUTED_VALUE"""),0.7345657711863157)</f>
        <v>0.7345657712</v>
      </c>
      <c r="AA336" s="30">
        <f>IFERROR(__xludf.DUMMYFUNCTION("""COMPUTED_VALUE"""),0.5376528576769899)</f>
        <v>0.5376528577</v>
      </c>
      <c r="AB336" s="30">
        <f>IFERROR(__xludf.DUMMYFUNCTION("""COMPUTED_VALUE"""),1.4079390598718315)</f>
        <v>1.40793906</v>
      </c>
      <c r="AC336" s="30">
        <f>IFERROR(__xludf.DUMMYFUNCTION("""COMPUTED_VALUE"""),2.541636746922866)</f>
        <v>2.541636747</v>
      </c>
      <c r="AD336" s="30">
        <f>IFERROR(__xludf.DUMMYFUNCTION("""COMPUTED_VALUE"""),1.0064295298519823)</f>
        <v>1.00642953</v>
      </c>
      <c r="AE336" s="30">
        <f>IFERROR(__xludf.DUMMYFUNCTION("""COMPUTED_VALUE"""),0.7941199497919109)</f>
        <v>0.7941199498</v>
      </c>
      <c r="AF336" s="30">
        <f>IFERROR(__xludf.DUMMYFUNCTION("""COMPUTED_VALUE"""),0.723308512799768)</f>
        <v>0.7233085128</v>
      </c>
      <c r="AG336" s="30">
        <f>IFERROR(__xludf.DUMMYFUNCTION("""COMPUTED_VALUE"""),1.262680913149475)</f>
        <v>1.262680913</v>
      </c>
      <c r="AH336" s="30">
        <f>IFERROR(__xludf.DUMMYFUNCTION("""COMPUTED_VALUE"""),0.7103908761712403)</f>
        <v>0.7103908762</v>
      </c>
      <c r="AI336" s="30">
        <f>IFERROR(__xludf.DUMMYFUNCTION("""COMPUTED_VALUE"""),0.996455999720667)</f>
        <v>0.9964559997</v>
      </c>
      <c r="AJ336" s="30">
        <f>IFERROR(__xludf.DUMMYFUNCTION("""COMPUTED_VALUE"""),1.071121049363848)</f>
        <v>1.071121049</v>
      </c>
      <c r="AK336" s="30">
        <f>IFERROR(__xludf.DUMMYFUNCTION("""COMPUTED_VALUE"""),1.0739116743109185)</f>
        <v>1.073911674</v>
      </c>
      <c r="AL336" s="30">
        <f>IFERROR(__xludf.DUMMYFUNCTION("""COMPUTED_VALUE"""),0.8658582301291698)</f>
        <v>0.8658582301</v>
      </c>
      <c r="AM336" s="30">
        <f>IFERROR(__xludf.DUMMYFUNCTION("""COMPUTED_VALUE"""),1.0960895874260153)</f>
        <v>1.096089587</v>
      </c>
      <c r="AN336" s="30">
        <f>IFERROR(__xludf.DUMMYFUNCTION("""COMPUTED_VALUE"""),1.0183441348571787)</f>
        <v>1.018344135</v>
      </c>
      <c r="AO336" s="30">
        <f>IFERROR(__xludf.DUMMYFUNCTION("""COMPUTED_VALUE"""),0.7732959824664327)</f>
        <v>0.7732959825</v>
      </c>
      <c r="AP336" s="30">
        <f>IFERROR(__xludf.DUMMYFUNCTION("""COMPUTED_VALUE"""),0.7211988475611882)</f>
        <v>0.7211988476</v>
      </c>
      <c r="AQ336" s="30">
        <f>IFERROR(__xludf.DUMMYFUNCTION("""COMPUTED_VALUE"""),1.3162449126158247)</f>
        <v>1.316244913</v>
      </c>
      <c r="AR336" s="30">
        <f>IFERROR(__xludf.DUMMYFUNCTION("""COMPUTED_VALUE"""),0.7051073705130847)</f>
        <v>0.7051073705</v>
      </c>
      <c r="AS336" s="30">
        <f>IFERROR(__xludf.DUMMYFUNCTION("""COMPUTED_VALUE"""),64.0)</f>
        <v>64</v>
      </c>
      <c r="AT336" s="30">
        <f>IFERROR(__xludf.DUMMYFUNCTION("""COMPUTED_VALUE"""),0.3905443022799497)</f>
        <v>0.3905443023</v>
      </c>
      <c r="AU336" s="30">
        <f>IFERROR(__xludf.DUMMYFUNCTION("""COMPUTED_VALUE"""),1.7406027772202657)</f>
        <v>1.740602777</v>
      </c>
      <c r="AV336" s="32">
        <f>IFERROR(__xludf.DUMMYFUNCTION("""COMPUTED_VALUE"""),30.50588561376874)</f>
        <v>30.50588561</v>
      </c>
      <c r="AW336" s="32">
        <f>IFERROR(__xludf.DUMMYFUNCTION("""COMPUTED_VALUE"""),-4.5921118509534065)</f>
        <v>-4.592111851</v>
      </c>
      <c r="AX336" s="32">
        <f>IFERROR(__xludf.DUMMYFUNCTION("""COMPUTED_VALUE"""),40.4385392161131)</f>
        <v>40.43853922</v>
      </c>
      <c r="AY336" s="32">
        <f>IFERROR(__xludf.DUMMYFUNCTION("""COMPUTED_VALUE"""),-2.8485104199700975)</f>
        <v>-2.84851042</v>
      </c>
      <c r="AZ336" s="30">
        <f>IFERROR(__xludf.DUMMYFUNCTION("""COMPUTED_VALUE"""),1.743601430983309)</f>
        <v>1.743601431</v>
      </c>
      <c r="BA336" s="30">
        <f>IFERROR(__xludf.DUMMYFUNCTION("""COMPUTED_VALUE"""),1200.0)</f>
        <v>1200</v>
      </c>
    </row>
    <row r="337">
      <c r="A337" s="71" t="str">
        <f>IFERROR(__xludf.DUMMYFUNCTION("""COMPUTED_VALUE"""),"Veteran")</f>
        <v>Veteran</v>
      </c>
      <c r="B337" s="71" t="str">
        <f>IFERROR(__xludf.DUMMYFUNCTION("""COMPUTED_VALUE"""),"RSC005267")</f>
        <v>RSC005267</v>
      </c>
      <c r="C337" s="30" t="str">
        <f>IFERROR(__xludf.DUMMYFUNCTION("""COMPUTED_VALUE"""),"jj.dunbar")</f>
        <v>jj.dunbar</v>
      </c>
      <c r="D337" s="30" t="str">
        <f>IFERROR(__xludf.DUMMYFUNCTION("""COMPUTED_VALUE"""),"Banshees")</f>
        <v>Banshees</v>
      </c>
      <c r="E337" s="30">
        <f>IFERROR(__xludf.DUMMYFUNCTION("""COMPUTED_VALUE"""),17.0)</f>
        <v>17</v>
      </c>
      <c r="F337" s="30">
        <f>IFERROR(__xludf.DUMMYFUNCTION("""COMPUTED_VALUE"""),5.0)</f>
        <v>5</v>
      </c>
      <c r="G337" s="42">
        <f>IFERROR(__xludf.DUMMYFUNCTION("""COMPUTED_VALUE"""),12.0)</f>
        <v>12</v>
      </c>
      <c r="H337" s="42">
        <f>IFERROR(__xludf.DUMMYFUNCTION("""COMPUTED_VALUE"""),0.29411764705882354)</f>
        <v>0.2941176471</v>
      </c>
      <c r="I337" s="42">
        <f>IFERROR(__xludf.DUMMYFUNCTION("""COMPUTED_VALUE"""),0.32142857142857145)</f>
        <v>0.3214285714</v>
      </c>
      <c r="J337" s="30">
        <f>IFERROR(__xludf.DUMMYFUNCTION("""COMPUTED_VALUE"""),261.4117647058824)</f>
        <v>261.4117647</v>
      </c>
      <c r="K337" s="30">
        <f>IFERROR(__xludf.DUMMYFUNCTION("""COMPUTED_VALUE"""),0.5294117647058824)</f>
        <v>0.5294117647</v>
      </c>
      <c r="L337" s="30">
        <f>IFERROR(__xludf.DUMMYFUNCTION("""COMPUTED_VALUE"""),0.47058823529411764)</f>
        <v>0.4705882353</v>
      </c>
      <c r="M337" s="30">
        <f>IFERROR(__xludf.DUMMYFUNCTION("""COMPUTED_VALUE"""),0.8235294117647058)</f>
        <v>0.8235294118</v>
      </c>
      <c r="N337" s="30">
        <f>IFERROR(__xludf.DUMMYFUNCTION("""COMPUTED_VALUE"""),1.6470588235294117)</f>
        <v>1.647058824</v>
      </c>
      <c r="O337" s="30">
        <f>IFERROR(__xludf.DUMMYFUNCTION("""COMPUTED_VALUE"""),349.84313725490193)</f>
        <v>349.8431373</v>
      </c>
      <c r="P337" s="30">
        <f>IFERROR(__xludf.DUMMYFUNCTION("""COMPUTED_VALUE"""),0.8627450980392157)</f>
        <v>0.862745098</v>
      </c>
      <c r="Q337" s="30">
        <f>IFERROR(__xludf.DUMMYFUNCTION("""COMPUTED_VALUE"""),0.6666666666666665)</f>
        <v>0.6666666667</v>
      </c>
      <c r="R337" s="30">
        <f>IFERROR(__xludf.DUMMYFUNCTION("""COMPUTED_VALUE"""),1.156862745098039)</f>
        <v>1.156862745</v>
      </c>
      <c r="S337" s="30">
        <f>IFERROR(__xludf.DUMMYFUNCTION("""COMPUTED_VALUE"""),2.568627450980392)</f>
        <v>2.568627451</v>
      </c>
      <c r="T337" s="30">
        <f>IFERROR(__xludf.DUMMYFUNCTION("""COMPUTED_VALUE"""),344.30699220733885)</f>
        <v>344.3069922</v>
      </c>
      <c r="U337" s="30">
        <f>IFERROR(__xludf.DUMMYFUNCTION("""COMPUTED_VALUE"""),0.7515581998464939)</f>
        <v>0.7515581998</v>
      </c>
      <c r="V337" s="30">
        <f>IFERROR(__xludf.DUMMYFUNCTION("""COMPUTED_VALUE"""),0.5411185033894909)</f>
        <v>0.5411185034</v>
      </c>
      <c r="W337" s="30">
        <f>IFERROR(__xludf.DUMMYFUNCTION("""COMPUTED_VALUE"""),1.369873746186152)</f>
        <v>1.369873746</v>
      </c>
      <c r="X337" s="30">
        <f>IFERROR(__xludf.DUMMYFUNCTION("""COMPUTED_VALUE"""),2.4814320351796626)</f>
        <v>2.481432035</v>
      </c>
      <c r="Y337" s="30">
        <f>IFERROR(__xludf.DUMMYFUNCTION("""COMPUTED_VALUE"""),362.52012601089547)</f>
        <v>362.520126</v>
      </c>
      <c r="Z337" s="30">
        <f>IFERROR(__xludf.DUMMYFUNCTION("""COMPUTED_VALUE"""),0.8608901788375711)</f>
        <v>0.8608901788</v>
      </c>
      <c r="AA337" s="30">
        <f>IFERROR(__xludf.DUMMYFUNCTION("""COMPUTED_VALUE"""),0.6288966902626415)</f>
        <v>0.6288966903</v>
      </c>
      <c r="AB337" s="30">
        <f>IFERROR(__xludf.DUMMYFUNCTION("""COMPUTED_VALUE"""),1.303790023981413)</f>
        <v>1.303790024</v>
      </c>
      <c r="AC337" s="30">
        <f>IFERROR(__xludf.DUMMYFUNCTION("""COMPUTED_VALUE"""),2.7797251107009773)</f>
        <v>2.779725111</v>
      </c>
      <c r="AD337" s="30">
        <f>IFERROR(__xludf.DUMMYFUNCTION("""COMPUTED_VALUE"""),0.7210958673726868)</f>
        <v>0.7210958674</v>
      </c>
      <c r="AE337" s="30">
        <f>IFERROR(__xludf.DUMMYFUNCTION("""COMPUTED_VALUE"""),0.6149585367796017)</f>
        <v>0.6149585368</v>
      </c>
      <c r="AF337" s="30">
        <f>IFERROR(__xludf.DUMMYFUNCTION("""COMPUTED_VALUE"""),0.7482758974253615)</f>
        <v>0.7482758974</v>
      </c>
      <c r="AG337" s="30">
        <f>IFERROR(__xludf.DUMMYFUNCTION("""COMPUTED_VALUE"""),0.6316426699215534)</f>
        <v>0.6316426699</v>
      </c>
      <c r="AH337" s="30">
        <f>IFERROR(__xludf.DUMMYFUNCTION("""COMPUTED_VALUE"""),0.5925257922766559)</f>
        <v>0.5925257923</v>
      </c>
      <c r="AI337" s="30">
        <f>IFERROR(__xludf.DUMMYFUNCTION("""COMPUTED_VALUE"""),1.0160790956119452)</f>
        <v>1.016079096</v>
      </c>
      <c r="AJ337" s="30">
        <f>IFERROR(__xludf.DUMMYFUNCTION("""COMPUTED_VALUE"""),1.1479418336669494)</f>
        <v>1.147941834</v>
      </c>
      <c r="AK337" s="30">
        <f>IFERROR(__xludf.DUMMYFUNCTION("""COMPUTED_VALUE"""),1.2320160232754183)</f>
        <v>1.232016023</v>
      </c>
      <c r="AL337" s="30">
        <f>IFERROR(__xludf.DUMMYFUNCTION("""COMPUTED_VALUE"""),0.8445031874790255)</f>
        <v>0.8445031875</v>
      </c>
      <c r="AM337" s="30">
        <f>IFERROR(__xludf.DUMMYFUNCTION("""COMPUTED_VALUE"""),1.0351391513305808)</f>
        <v>1.035139151</v>
      </c>
      <c r="AN337" s="30">
        <f>IFERROR(__xludf.DUMMYFUNCTION("""COMPUTED_VALUE"""),0.7571067266039189)</f>
        <v>0.7571067266</v>
      </c>
      <c r="AO337" s="30">
        <f>IFERROR(__xludf.DUMMYFUNCTION("""COMPUTED_VALUE"""),0.7018148412300398)</f>
        <v>0.7018148412</v>
      </c>
      <c r="AP337" s="30">
        <f>IFERROR(__xludf.DUMMYFUNCTION("""COMPUTED_VALUE"""),0.872711210494211)</f>
        <v>0.8727112105</v>
      </c>
      <c r="AQ337" s="30">
        <f>IFERROR(__xludf.DUMMYFUNCTION("""COMPUTED_VALUE"""),0.6097310992264482)</f>
        <v>0.6097310992</v>
      </c>
      <c r="AR337" s="30">
        <f>IFERROR(__xludf.DUMMYFUNCTION("""COMPUTED_VALUE"""),0.6432110674001713)</f>
        <v>0.6432110674</v>
      </c>
      <c r="AS337" s="30">
        <f>IFERROR(__xludf.DUMMYFUNCTION("""COMPUTED_VALUE"""),33.0)</f>
        <v>33</v>
      </c>
      <c r="AT337" s="30">
        <f>IFERROR(__xludf.DUMMYFUNCTION("""COMPUTED_VALUE"""),0.3908335677974448)</f>
        <v>0.3908335678</v>
      </c>
      <c r="AU337" s="30">
        <f>IFERROR(__xludf.DUMMYFUNCTION("""COMPUTED_VALUE"""),1.3053380554225298)</f>
        <v>1.305338055</v>
      </c>
      <c r="AV337" s="32">
        <f>IFERROR(__xludf.DUMMYFUNCTION("""COMPUTED_VALUE"""),17.02308549364089)</f>
        <v>17.02308549</v>
      </c>
      <c r="AW337" s="32">
        <f>IFERROR(__xludf.DUMMYFUNCTION("""COMPUTED_VALUE"""),-10.686985513614065)</f>
        <v>-10.68698551</v>
      </c>
      <c r="AX337" s="32">
        <f>IFERROR(__xludf.DUMMYFUNCTION("""COMPUTED_VALUE"""),15.046820373617763)</f>
        <v>15.04682037</v>
      </c>
      <c r="AY337" s="32">
        <f>IFERROR(__xludf.DUMMYFUNCTION("""COMPUTED_VALUE"""),-12.339975378539624)</f>
        <v>-12.33997538</v>
      </c>
      <c r="AZ337" s="30">
        <f>IFERROR(__xludf.DUMMYFUNCTION("""COMPUTED_VALUE"""),1.6529898649255585)</f>
        <v>1.652989865</v>
      </c>
      <c r="BA337" s="30">
        <f>IFERROR(__xludf.DUMMYFUNCTION("""COMPUTED_VALUE"""),1200.0)</f>
        <v>1200</v>
      </c>
    </row>
    <row r="338">
      <c r="A338" s="71" t="str">
        <f>IFERROR(__xludf.DUMMYFUNCTION("""COMPUTED_VALUE"""),"Veteran")</f>
        <v>Veteran</v>
      </c>
      <c r="B338" s="71" t="str">
        <f>IFERROR(__xludf.DUMMYFUNCTION("""COMPUTED_VALUE"""),"RSC007720")</f>
        <v>RSC007720</v>
      </c>
      <c r="C338" s="30" t="str">
        <f>IFERROR(__xludf.DUMMYFUNCTION("""COMPUTED_VALUE"""),"trock")</f>
        <v>trock</v>
      </c>
      <c r="D338" s="30"/>
      <c r="E338" s="30">
        <f>IFERROR(__xludf.DUMMYFUNCTION("""COMPUTED_VALUE"""),4.0)</f>
        <v>4</v>
      </c>
      <c r="F338" s="30">
        <f>IFERROR(__xludf.DUMMYFUNCTION("""COMPUTED_VALUE"""),2.0)</f>
        <v>2</v>
      </c>
      <c r="G338" s="42">
        <f>IFERROR(__xludf.DUMMYFUNCTION("""COMPUTED_VALUE"""),2.0)</f>
        <v>2</v>
      </c>
      <c r="H338" s="42">
        <f>IFERROR(__xludf.DUMMYFUNCTION("""COMPUTED_VALUE"""),0.5)</f>
        <v>0.5</v>
      </c>
      <c r="I338" s="42">
        <f>IFERROR(__xludf.DUMMYFUNCTION("""COMPUTED_VALUE"""),0.16666666666666666)</f>
        <v>0.1666666667</v>
      </c>
      <c r="J338" s="30">
        <f>IFERROR(__xludf.DUMMYFUNCTION("""COMPUTED_VALUE"""),255.5)</f>
        <v>255.5</v>
      </c>
      <c r="K338" s="30">
        <f>IFERROR(__xludf.DUMMYFUNCTION("""COMPUTED_VALUE"""),0.25)</f>
        <v>0.25</v>
      </c>
      <c r="L338" s="30">
        <f>IFERROR(__xludf.DUMMYFUNCTION("""COMPUTED_VALUE"""),0.5)</f>
        <v>0.5</v>
      </c>
      <c r="M338" s="30">
        <f>IFERROR(__xludf.DUMMYFUNCTION("""COMPUTED_VALUE"""),1.5)</f>
        <v>1.5</v>
      </c>
      <c r="N338" s="30">
        <f>IFERROR(__xludf.DUMMYFUNCTION("""COMPUTED_VALUE"""),1.5)</f>
        <v>1.5</v>
      </c>
      <c r="O338" s="30">
        <f>IFERROR(__xludf.DUMMYFUNCTION("""COMPUTED_VALUE"""),400.8333333333333)</f>
        <v>400.8333333</v>
      </c>
      <c r="P338" s="30">
        <f>IFERROR(__xludf.DUMMYFUNCTION("""COMPUTED_VALUE"""),0.9166666666666666)</f>
        <v>0.9166666667</v>
      </c>
      <c r="Q338" s="30">
        <f>IFERROR(__xludf.DUMMYFUNCTION("""COMPUTED_VALUE"""),0.7499999999999999)</f>
        <v>0.75</v>
      </c>
      <c r="R338" s="30">
        <f>IFERROR(__xludf.DUMMYFUNCTION("""COMPUTED_VALUE"""),1.4166666666666667)</f>
        <v>1.416666667</v>
      </c>
      <c r="S338" s="30">
        <f>IFERROR(__xludf.DUMMYFUNCTION("""COMPUTED_VALUE"""),2.416666666666667)</f>
        <v>2.416666667</v>
      </c>
      <c r="T338" s="30">
        <f>IFERROR(__xludf.DUMMYFUNCTION("""COMPUTED_VALUE"""),390.19444444444446)</f>
        <v>390.1944444</v>
      </c>
      <c r="U338" s="30">
        <f>IFERROR(__xludf.DUMMYFUNCTION("""COMPUTED_VALUE"""),0.9444444444444443)</f>
        <v>0.9444444444</v>
      </c>
      <c r="V338" s="30">
        <f>IFERROR(__xludf.DUMMYFUNCTION("""COMPUTED_VALUE"""),0.7592592592592592)</f>
        <v>0.7592592593</v>
      </c>
      <c r="W338" s="30">
        <f>IFERROR(__xludf.DUMMYFUNCTION("""COMPUTED_VALUE"""),1.3518518518518519)</f>
        <v>1.351851852</v>
      </c>
      <c r="X338" s="30">
        <f>IFERROR(__xludf.DUMMYFUNCTION("""COMPUTED_VALUE"""),3.074074074074074)</f>
        <v>3.074074074</v>
      </c>
      <c r="Y338" s="30">
        <f>IFERROR(__xludf.DUMMYFUNCTION("""COMPUTED_VALUE"""),334.34259259259255)</f>
        <v>334.3425926</v>
      </c>
      <c r="Z338" s="30">
        <f>IFERROR(__xludf.DUMMYFUNCTION("""COMPUTED_VALUE"""),0.6574074074074074)</f>
        <v>0.6574074074</v>
      </c>
      <c r="AA338" s="30">
        <f>IFERROR(__xludf.DUMMYFUNCTION("""COMPUTED_VALUE"""),0.46296296296296297)</f>
        <v>0.462962963</v>
      </c>
      <c r="AB338" s="30">
        <f>IFERROR(__xludf.DUMMYFUNCTION("""COMPUTED_VALUE"""),1.5092592592592589)</f>
        <v>1.509259259</v>
      </c>
      <c r="AC338" s="30">
        <f>IFERROR(__xludf.DUMMYFUNCTION("""COMPUTED_VALUE"""),2.314814814814815)</f>
        <v>2.314814815</v>
      </c>
      <c r="AD338" s="30">
        <f>IFERROR(__xludf.DUMMYFUNCTION("""COMPUTED_VALUE"""),0.7641862139632779)</f>
        <v>0.764186214</v>
      </c>
      <c r="AE338" s="30">
        <f>IFERROR(__xludf.DUMMYFUNCTION("""COMPUTED_VALUE"""),0.38028169014084506)</f>
        <v>0.3802816901</v>
      </c>
      <c r="AF338" s="30">
        <f>IFERROR(__xludf.DUMMYFUNCTION("""COMPUTED_VALUE"""),1.08)</f>
        <v>1.08</v>
      </c>
      <c r="AG338" s="30">
        <f>IFERROR(__xludf.DUMMYFUNCTION("""COMPUTED_VALUE"""),0.9938650306748469)</f>
        <v>0.9938650307</v>
      </c>
      <c r="AH338" s="30">
        <f>IFERROR(__xludf.DUMMYFUNCTION("""COMPUTED_VALUE"""),0.648)</f>
        <v>0.648</v>
      </c>
      <c r="AI338" s="30">
        <f>IFERROR(__xludf.DUMMYFUNCTION("""COMPUTED_VALUE"""),1.0272656083149425)</f>
        <v>1.027265608</v>
      </c>
      <c r="AJ338" s="30">
        <f>IFERROR(__xludf.DUMMYFUNCTION("""COMPUTED_VALUE"""),0.9705882352941178)</f>
        <v>0.9705882353</v>
      </c>
      <c r="AK338" s="30">
        <f>IFERROR(__xludf.DUMMYFUNCTION("""COMPUTED_VALUE"""),0.9878048780487805)</f>
        <v>0.987804878</v>
      </c>
      <c r="AL338" s="30">
        <f>IFERROR(__xludf.DUMMYFUNCTION("""COMPUTED_VALUE"""),1.047945205479452)</f>
        <v>1.047945205</v>
      </c>
      <c r="AM338" s="30">
        <f>IFERROR(__xludf.DUMMYFUNCTION("""COMPUTED_VALUE"""),0.7861445783132531)</f>
        <v>0.7861445783</v>
      </c>
      <c r="AN338" s="30">
        <f>IFERROR(__xludf.DUMMYFUNCTION("""COMPUTED_VALUE"""),0.7399849385697843)</f>
        <v>0.7399849386</v>
      </c>
      <c r="AO338" s="30">
        <f>IFERROR(__xludf.DUMMYFUNCTION("""COMPUTED_VALUE"""),0.33141256391418544)</f>
        <v>0.3314125639</v>
      </c>
      <c r="AP338" s="30">
        <f>IFERROR(__xludf.DUMMYFUNCTION("""COMPUTED_VALUE"""),0.9272556611500992)</f>
        <v>0.9272556612</v>
      </c>
      <c r="AQ338" s="30">
        <f>IFERROR(__xludf.DUMMYFUNCTION("""COMPUTED_VALUE"""),1.110581645019602)</f>
        <v>1.110581645</v>
      </c>
      <c r="AR338" s="30">
        <f>IFERROR(__xludf.DUMMYFUNCTION("""COMPUTED_VALUE"""),0.5857815078108703)</f>
        <v>0.5857815078</v>
      </c>
      <c r="AS338" s="30">
        <f>IFERROR(__xludf.DUMMYFUNCTION("""COMPUTED_VALUE"""),9.0)</f>
        <v>9</v>
      </c>
      <c r="AT338" s="30">
        <f>IFERROR(__xludf.DUMMYFUNCTION("""COMPUTED_VALUE"""),0.4210451229082831)</f>
        <v>0.4210451229</v>
      </c>
      <c r="AU338" s="30">
        <f>IFERROR(__xludf.DUMMYFUNCTION("""COMPUTED_VALUE"""),1.327462589711482)</f>
        <v>1.32746259</v>
      </c>
      <c r="AV338" s="32">
        <f>IFERROR(__xludf.DUMMYFUNCTION("""COMPUTED_VALUE"""),17.70841710594526)</f>
        <v>17.70841711</v>
      </c>
      <c r="AW338" s="32">
        <f>IFERROR(__xludf.DUMMYFUNCTION("""COMPUTED_VALUE"""),-10.179476032192257)</f>
        <v>-10.17947603</v>
      </c>
      <c r="AX338" s="32">
        <f>IFERROR(__xludf.DUMMYFUNCTION("""COMPUTED_VALUE"""),15.661950088523213)</f>
        <v>15.66195009</v>
      </c>
      <c r="AY338" s="32">
        <f>IFERROR(__xludf.DUMMYFUNCTION("""COMPUTED_VALUE"""),-11.793139292913585)</f>
        <v>-11.79313929</v>
      </c>
      <c r="AZ338" s="30">
        <f>IFERROR(__xludf.DUMMYFUNCTION("""COMPUTED_VALUE"""),1.613663260721328)</f>
        <v>1.613663261</v>
      </c>
      <c r="BA338" s="30">
        <f>IFERROR(__xludf.DUMMYFUNCTION("""COMPUTED_VALUE"""),1200.0)</f>
        <v>1200</v>
      </c>
    </row>
    <row r="339">
      <c r="A339" s="71" t="str">
        <f>IFERROR(__xludf.DUMMYFUNCTION("""COMPUTED_VALUE"""),"Veteran")</f>
        <v>Veteran</v>
      </c>
      <c r="B339" s="71" t="str">
        <f>IFERROR(__xludf.DUMMYFUNCTION("""COMPUTED_VALUE"""),"RSC000960")</f>
        <v>RSC000960</v>
      </c>
      <c r="C339" s="30" t="str">
        <f>IFERROR(__xludf.DUMMYFUNCTION("""COMPUTED_VALUE"""),"Catlas")</f>
        <v>Catlas</v>
      </c>
      <c r="D339" s="30" t="str">
        <f>IFERROR(__xludf.DUMMYFUNCTION("""COMPUTED_VALUE"""),"Paradox Paloma")</f>
        <v>Paradox Paloma</v>
      </c>
      <c r="E339" s="30">
        <f>IFERROR(__xludf.DUMMYFUNCTION("""COMPUTED_VALUE"""),36.0)</f>
        <v>36</v>
      </c>
      <c r="F339" s="30">
        <f>IFERROR(__xludf.DUMMYFUNCTION("""COMPUTED_VALUE"""),25.0)</f>
        <v>25</v>
      </c>
      <c r="G339" s="42">
        <f>IFERROR(__xludf.DUMMYFUNCTION("""COMPUTED_VALUE"""),11.0)</f>
        <v>11</v>
      </c>
      <c r="H339" s="42">
        <f>IFERROR(__xludf.DUMMYFUNCTION("""COMPUTED_VALUE"""),0.6944444444444444)</f>
        <v>0.6944444444</v>
      </c>
      <c r="I339" s="42">
        <f>IFERROR(__xludf.DUMMYFUNCTION("""COMPUTED_VALUE"""),0.23584905660377356)</f>
        <v>0.2358490566</v>
      </c>
      <c r="J339" s="30">
        <f>IFERROR(__xludf.DUMMYFUNCTION("""COMPUTED_VALUE"""),367.5833333333333)</f>
        <v>367.5833333</v>
      </c>
      <c r="K339" s="30">
        <f>IFERROR(__xludf.DUMMYFUNCTION("""COMPUTED_VALUE"""),0.6944444444444444)</f>
        <v>0.6944444444</v>
      </c>
      <c r="L339" s="30">
        <f>IFERROR(__xludf.DUMMYFUNCTION("""COMPUTED_VALUE"""),0.8333333333333334)</f>
        <v>0.8333333333</v>
      </c>
      <c r="M339" s="30">
        <f>IFERROR(__xludf.DUMMYFUNCTION("""COMPUTED_VALUE"""),1.5833333333333333)</f>
        <v>1.583333333</v>
      </c>
      <c r="N339" s="30">
        <f>IFERROR(__xludf.DUMMYFUNCTION("""COMPUTED_VALUE"""),2.9444444444444446)</f>
        <v>2.944444444</v>
      </c>
      <c r="O339" s="30">
        <f>IFERROR(__xludf.DUMMYFUNCTION("""COMPUTED_VALUE"""),353.55555555555543)</f>
        <v>353.5555556</v>
      </c>
      <c r="P339" s="30">
        <f>IFERROR(__xludf.DUMMYFUNCTION("""COMPUTED_VALUE"""),0.6666666666666666)</f>
        <v>0.6666666667</v>
      </c>
      <c r="Q339" s="30">
        <f>IFERROR(__xludf.DUMMYFUNCTION("""COMPUTED_VALUE"""),0.537037037037037)</f>
        <v>0.537037037</v>
      </c>
      <c r="R339" s="30">
        <f>IFERROR(__xludf.DUMMYFUNCTION("""COMPUTED_VALUE"""),1.6388888888888888)</f>
        <v>1.638888889</v>
      </c>
      <c r="S339" s="30">
        <f>IFERROR(__xludf.DUMMYFUNCTION("""COMPUTED_VALUE"""),2.314814814814815)</f>
        <v>2.314814815</v>
      </c>
      <c r="T339" s="30">
        <f>IFERROR(__xludf.DUMMYFUNCTION("""COMPUTED_VALUE"""),356.6773735992172)</f>
        <v>356.6773736</v>
      </c>
      <c r="U339" s="30">
        <f>IFERROR(__xludf.DUMMYFUNCTION("""COMPUTED_VALUE"""),0.7834444227796006)</f>
        <v>0.7834444228</v>
      </c>
      <c r="V339" s="30">
        <f>IFERROR(__xludf.DUMMYFUNCTION("""COMPUTED_VALUE"""),0.5909854956669809)</f>
        <v>0.5909854957</v>
      </c>
      <c r="W339" s="30">
        <f>IFERROR(__xludf.DUMMYFUNCTION("""COMPUTED_VALUE"""),1.3816257503361167)</f>
        <v>1.38162575</v>
      </c>
      <c r="X339" s="30">
        <f>IFERROR(__xludf.DUMMYFUNCTION("""COMPUTED_VALUE"""),2.5680574072793028)</f>
        <v>2.568057407</v>
      </c>
      <c r="Y339" s="30">
        <f>IFERROR(__xludf.DUMMYFUNCTION("""COMPUTED_VALUE"""),359.8913447731154)</f>
        <v>359.8913448</v>
      </c>
      <c r="Z339" s="30">
        <f>IFERROR(__xludf.DUMMYFUNCTION("""COMPUTED_VALUE"""),0.8442700498792658)</f>
        <v>0.8442700499</v>
      </c>
      <c r="AA339" s="30">
        <f>IFERROR(__xludf.DUMMYFUNCTION("""COMPUTED_VALUE"""),0.6191970952244515)</f>
        <v>0.6191970952</v>
      </c>
      <c r="AB339" s="30">
        <f>IFERROR(__xludf.DUMMYFUNCTION("""COMPUTED_VALUE"""),1.3137622281200854)</f>
        <v>1.313762228</v>
      </c>
      <c r="AC339" s="30">
        <f>IFERROR(__xludf.DUMMYFUNCTION("""COMPUTED_VALUE"""),2.6831236444351174)</f>
        <v>2.683123644</v>
      </c>
      <c r="AD339" s="30">
        <f>IFERROR(__xludf.DUMMYFUNCTION("""COMPUTED_VALUE"""),1.021373085715821)</f>
        <v>1.021373086</v>
      </c>
      <c r="AE339" s="30">
        <f>IFERROR(__xludf.DUMMYFUNCTION("""COMPUTED_VALUE"""),0.8225382915617496)</f>
        <v>0.8225382916</v>
      </c>
      <c r="AF339" s="30">
        <f>IFERROR(__xludf.DUMMYFUNCTION("""COMPUTED_VALUE"""),1.3458288802715717)</f>
        <v>1.34582888</v>
      </c>
      <c r="AG339" s="30">
        <f>IFERROR(__xludf.DUMMYFUNCTION("""COMPUTED_VALUE"""),1.2051901778292011)</f>
        <v>1.205190178</v>
      </c>
      <c r="AH339" s="30">
        <f>IFERROR(__xludf.DUMMYFUNCTION("""COMPUTED_VALUE"""),1.097394244410359)</f>
        <v>1.097394244</v>
      </c>
      <c r="AI339" s="30">
        <f>IFERROR(__xludf.DUMMYFUNCTION("""COMPUTED_VALUE"""),0.9912475018749868)</f>
        <v>0.9912475019</v>
      </c>
      <c r="AJ339" s="30">
        <f>IFERROR(__xludf.DUMMYFUNCTION("""COMPUTED_VALUE"""),0.8509431521656438)</f>
        <v>0.8509431522</v>
      </c>
      <c r="AK339" s="30">
        <f>IFERROR(__xludf.DUMMYFUNCTION("""COMPUTED_VALUE"""),0.9087144117317835)</f>
        <v>0.9087144117</v>
      </c>
      <c r="AL339" s="30">
        <f>IFERROR(__xludf.DUMMYFUNCTION("""COMPUTED_VALUE"""),1.1862032019091902)</f>
        <v>1.186203202</v>
      </c>
      <c r="AM339" s="30">
        <f>IFERROR(__xludf.DUMMYFUNCTION("""COMPUTED_VALUE"""),0.901387487777081)</f>
        <v>0.9013874878</v>
      </c>
      <c r="AN339" s="30">
        <f>IFERROR(__xludf.DUMMYFUNCTION("""COMPUTED_VALUE"""),1.0646032498471358)</f>
        <v>1.06460325</v>
      </c>
      <c r="AO339" s="30">
        <f>IFERROR(__xludf.DUMMYFUNCTION("""COMPUTED_VALUE"""),0.9205904553171818)</f>
        <v>0.9205904553</v>
      </c>
      <c r="AP339" s="30">
        <f>IFERROR(__xludf.DUMMYFUNCTION("""COMPUTED_VALUE"""),1.545426101916832)</f>
        <v>1.545426102</v>
      </c>
      <c r="AQ339" s="30">
        <f>IFERROR(__xludf.DUMMYFUNCTION("""COMPUTED_VALUE"""),1.1722806252984688)</f>
        <v>1.172280625</v>
      </c>
      <c r="AR339" s="30">
        <f>IFERROR(__xludf.DUMMYFUNCTION("""COMPUTED_VALUE"""),1.1498674042213382)</f>
        <v>1.149867404</v>
      </c>
      <c r="AS339" s="30">
        <f>IFERROR(__xludf.DUMMYFUNCTION("""COMPUTED_VALUE"""),100.0)</f>
        <v>100</v>
      </c>
      <c r="AT339" s="30">
        <f>IFERROR(__xludf.DUMMYFUNCTION("""COMPUTED_VALUE"""),0.6258866470431661)</f>
        <v>0.625886647</v>
      </c>
      <c r="AU339" s="30">
        <f>IFERROR(__xludf.DUMMYFUNCTION("""COMPUTED_VALUE"""),2.9496878076627646)</f>
        <v>2.949687808</v>
      </c>
      <c r="AV339" s="32">
        <f>IFERROR(__xludf.DUMMYFUNCTION("""COMPUTED_VALUE"""),67.95861490082146)</f>
        <v>67.9586149</v>
      </c>
      <c r="AW339" s="32">
        <f>IFERROR(__xludf.DUMMYFUNCTION("""COMPUTED_VALUE"""),4.232402587750579)</f>
        <v>4.232402588</v>
      </c>
      <c r="AX339" s="32">
        <f>IFERROR(__xludf.DUMMYFUNCTION("""COMPUTED_VALUE"""),57.60081139247841)</f>
        <v>57.60081139</v>
      </c>
      <c r="AY339" s="32">
        <f>IFERROR(__xludf.DUMMYFUNCTION("""COMPUTED_VALUE"""),2.6277646613868053)</f>
        <v>2.627764661</v>
      </c>
      <c r="AZ339" s="30">
        <f>IFERROR(__xludf.DUMMYFUNCTION("""COMPUTED_VALUE"""),1.604637926363774)</f>
        <v>1.604637926</v>
      </c>
      <c r="BA339" s="30">
        <f>IFERROR(__xludf.DUMMYFUNCTION("""COMPUTED_VALUE"""),1200.0)</f>
        <v>1200</v>
      </c>
    </row>
    <row r="340">
      <c r="A340" s="71" t="str">
        <f>IFERROR(__xludf.DUMMYFUNCTION("""COMPUTED_VALUE"""),"Veteran")</f>
        <v>Veteran</v>
      </c>
      <c r="B340" s="71" t="str">
        <f>IFERROR(__xludf.DUMMYFUNCTION("""COMPUTED_VALUE"""),"RSC007341")</f>
        <v>RSC007341</v>
      </c>
      <c r="C340" s="30" t="str">
        <f>IFERROR(__xludf.DUMMYFUNCTION("""COMPUTED_VALUE"""),"Squashy")</f>
        <v>Squashy</v>
      </c>
      <c r="D340" s="30" t="str">
        <f>IFERROR(__xludf.DUMMYFUNCTION("""COMPUTED_VALUE"""),"Rockin Revenants")</f>
        <v>Rockin Revenants</v>
      </c>
      <c r="E340" s="30">
        <f>IFERROR(__xludf.DUMMYFUNCTION("""COMPUTED_VALUE"""),32.0)</f>
        <v>32</v>
      </c>
      <c r="F340" s="30">
        <f>IFERROR(__xludf.DUMMYFUNCTION("""COMPUTED_VALUE"""),16.0)</f>
        <v>16</v>
      </c>
      <c r="G340" s="42">
        <f>IFERROR(__xludf.DUMMYFUNCTION("""COMPUTED_VALUE"""),16.0)</f>
        <v>16</v>
      </c>
      <c r="H340" s="42">
        <f>IFERROR(__xludf.DUMMYFUNCTION("""COMPUTED_VALUE"""),0.5)</f>
        <v>0.5</v>
      </c>
      <c r="I340" s="42">
        <f>IFERROR(__xludf.DUMMYFUNCTION("""COMPUTED_VALUE"""),0.2708333333333333)</f>
        <v>0.2708333333</v>
      </c>
      <c r="J340" s="30">
        <f>IFERROR(__xludf.DUMMYFUNCTION("""COMPUTED_VALUE"""),375.84375)</f>
        <v>375.84375</v>
      </c>
      <c r="K340" s="30">
        <f>IFERROR(__xludf.DUMMYFUNCTION("""COMPUTED_VALUE"""),0.8125)</f>
        <v>0.8125</v>
      </c>
      <c r="L340" s="30">
        <f>IFERROR(__xludf.DUMMYFUNCTION("""COMPUTED_VALUE"""),0.8125)</f>
        <v>0.8125</v>
      </c>
      <c r="M340" s="30">
        <f>IFERROR(__xludf.DUMMYFUNCTION("""COMPUTED_VALUE"""),1.375)</f>
        <v>1.375</v>
      </c>
      <c r="N340" s="30">
        <f>IFERROR(__xludf.DUMMYFUNCTION("""COMPUTED_VALUE"""),3.0)</f>
        <v>3</v>
      </c>
      <c r="O340" s="30">
        <f>IFERROR(__xludf.DUMMYFUNCTION("""COMPUTED_VALUE"""),353.84374999999994)</f>
        <v>353.84375</v>
      </c>
      <c r="P340" s="30">
        <f>IFERROR(__xludf.DUMMYFUNCTION("""COMPUTED_VALUE"""),0.75)</f>
        <v>0.75</v>
      </c>
      <c r="Q340" s="30">
        <f>IFERROR(__xludf.DUMMYFUNCTION("""COMPUTED_VALUE"""),0.6249999999999999)</f>
        <v>0.625</v>
      </c>
      <c r="R340" s="30">
        <f>IFERROR(__xludf.DUMMYFUNCTION("""COMPUTED_VALUE"""),1.3124999999999998)</f>
        <v>1.3125</v>
      </c>
      <c r="S340" s="30">
        <f>IFERROR(__xludf.DUMMYFUNCTION("""COMPUTED_VALUE"""),2.520833333333333)</f>
        <v>2.520833333</v>
      </c>
      <c r="T340" s="30">
        <f>IFERROR(__xludf.DUMMYFUNCTION("""COMPUTED_VALUE"""),366.63232969106093)</f>
        <v>366.6323297</v>
      </c>
      <c r="U340" s="30">
        <f>IFERROR(__xludf.DUMMYFUNCTION("""COMPUTED_VALUE"""),0.8497723948450348)</f>
        <v>0.8497723948</v>
      </c>
      <c r="V340" s="30">
        <f>IFERROR(__xludf.DUMMYFUNCTION("""COMPUTED_VALUE"""),0.5970357616612955)</f>
        <v>0.5970357617</v>
      </c>
      <c r="W340" s="30">
        <f>IFERROR(__xludf.DUMMYFUNCTION("""COMPUTED_VALUE"""),1.3776843757216148)</f>
        <v>1.377684376</v>
      </c>
      <c r="X340" s="30">
        <f>IFERROR(__xludf.DUMMYFUNCTION("""COMPUTED_VALUE"""),2.7591311083125007)</f>
        <v>2.759131108</v>
      </c>
      <c r="Y340" s="30">
        <f>IFERROR(__xludf.DUMMYFUNCTION("""COMPUTED_VALUE"""),364.017698345243)</f>
        <v>364.0176983</v>
      </c>
      <c r="Z340" s="30">
        <f>IFERROR(__xludf.DUMMYFUNCTION("""COMPUTED_VALUE"""),0.8250936342278847)</f>
        <v>0.8250936342</v>
      </c>
      <c r="AA340" s="30">
        <f>IFERROR(__xludf.DUMMYFUNCTION("""COMPUTED_VALUE"""),0.6049528785528545)</f>
        <v>0.6049528786</v>
      </c>
      <c r="AB340" s="30">
        <f>IFERROR(__xludf.DUMMYFUNCTION("""COMPUTED_VALUE"""),1.3888519097902006)</f>
        <v>1.38885191</v>
      </c>
      <c r="AC340" s="30">
        <f>IFERROR(__xludf.DUMMYFUNCTION("""COMPUTED_VALUE"""),2.736937126851936)</f>
        <v>2.736937127</v>
      </c>
      <c r="AD340" s="30">
        <f>IFERROR(__xludf.DUMMYFUNCTION("""COMPUTED_VALUE"""),1.0324875732924965)</f>
        <v>1.032487573</v>
      </c>
      <c r="AE340" s="30">
        <f>IFERROR(__xludf.DUMMYFUNCTION("""COMPUTED_VALUE"""),0.984736721136299)</f>
        <v>0.9847367211</v>
      </c>
      <c r="AF340" s="30">
        <f>IFERROR(__xludf.DUMMYFUNCTION("""COMPUTED_VALUE"""),1.3430798146520633)</f>
        <v>1.343079815</v>
      </c>
      <c r="AG340" s="30">
        <f>IFERROR(__xludf.DUMMYFUNCTION("""COMPUTED_VALUE"""),0.9900263594033628)</f>
        <v>0.9900263594</v>
      </c>
      <c r="AH340" s="30">
        <f>IFERROR(__xludf.DUMMYFUNCTION("""COMPUTED_VALUE"""),1.096115789642067)</f>
        <v>1.09611579</v>
      </c>
      <c r="AI340" s="30">
        <f>IFERROR(__xludf.DUMMYFUNCTION("""COMPUTED_VALUE"""),0.9651187888917566)</f>
        <v>0.9651187889</v>
      </c>
      <c r="AJ340" s="30">
        <f>IFERROR(__xludf.DUMMYFUNCTION("""COMPUTED_VALUE"""),0.8825892727861213)</f>
        <v>0.8825892728</v>
      </c>
      <c r="AK340" s="30">
        <f>IFERROR(__xludf.DUMMYFUNCTION("""COMPUTED_VALUE"""),1.0468384645182591)</f>
        <v>1.046838465</v>
      </c>
      <c r="AL340" s="30">
        <f>IFERROR(__xludf.DUMMYFUNCTION("""COMPUTED_VALUE"""),0.9526855520245904)</f>
        <v>0.952685552</v>
      </c>
      <c r="AM340" s="30">
        <f>IFERROR(__xludf.DUMMYFUNCTION("""COMPUTED_VALUE"""),0.9136330367697126)</f>
        <v>0.9136330368</v>
      </c>
      <c r="AN340" s="30">
        <f>IFERROR(__xludf.DUMMYFUNCTION("""COMPUTED_VALUE"""),1.08852725736042)</f>
        <v>1.088527257</v>
      </c>
      <c r="AO340" s="30">
        <f>IFERROR(__xludf.DUMMYFUNCTION("""COMPUTED_VALUE"""),1.0770908327211026)</f>
        <v>1.077090833</v>
      </c>
      <c r="AP340" s="30">
        <f>IFERROR(__xludf.DUMMYFUNCTION("""COMPUTED_VALUE"""),1.506790449368911)</f>
        <v>1.506790449</v>
      </c>
      <c r="AQ340" s="30">
        <f>IFERROR(__xludf.DUMMYFUNCTION("""COMPUTED_VALUE"""),1.0180331746013018)</f>
        <v>1.018033175</v>
      </c>
      <c r="AR340" s="30">
        <f>IFERROR(__xludf.DUMMYFUNCTION("""COMPUTED_VALUE"""),1.1715630156217407)</f>
        <v>1.171563016</v>
      </c>
      <c r="AS340" s="30">
        <f>IFERROR(__xludf.DUMMYFUNCTION("""COMPUTED_VALUE"""),77.0)</f>
        <v>77</v>
      </c>
      <c r="AT340" s="30">
        <f>IFERROR(__xludf.DUMMYFUNCTION("""COMPUTED_VALUE"""),0.5260764841545491)</f>
        <v>0.5260764842</v>
      </c>
      <c r="AU340" s="30">
        <f>IFERROR(__xludf.DUMMYFUNCTION("""COMPUTED_VALUE"""),3.0879744745947084)</f>
        <v>3.087974475</v>
      </c>
      <c r="AV340" s="32">
        <f>IFERROR(__xludf.DUMMYFUNCTION("""COMPUTED_VALUE"""),72.24219543503371)</f>
        <v>72.24219544</v>
      </c>
      <c r="AW340" s="32">
        <f>IFERROR(__xludf.DUMMYFUNCTION("""COMPUTED_VALUE"""),5.352838544463171)</f>
        <v>5.352838544</v>
      </c>
      <c r="AX340" s="32">
        <f>IFERROR(__xludf.DUMMYFUNCTION("""COMPUTED_VALUE"""),65.75868466049995)</f>
        <v>65.75868466</v>
      </c>
      <c r="AY340" s="32">
        <f>IFERROR(__xludf.DUMMYFUNCTION("""COMPUTED_VALUE"""),3.784529149886587)</f>
        <v>3.78452915</v>
      </c>
      <c r="AZ340" s="30">
        <f>IFERROR(__xludf.DUMMYFUNCTION("""COMPUTED_VALUE"""),1.5683093945765836)</f>
        <v>1.568309395</v>
      </c>
      <c r="BA340" s="30">
        <f>IFERROR(__xludf.DUMMYFUNCTION("""COMPUTED_VALUE"""),1200.0)</f>
        <v>1200</v>
      </c>
    </row>
    <row r="341">
      <c r="A341" s="71" t="str">
        <f>IFERROR(__xludf.DUMMYFUNCTION("""COMPUTED_VALUE"""),"Veteran")</f>
        <v>Veteran</v>
      </c>
      <c r="B341" s="71" t="str">
        <f>IFERROR(__xludf.DUMMYFUNCTION("""COMPUTED_VALUE"""),"RSC007187")</f>
        <v>RSC007187</v>
      </c>
      <c r="C341" s="30" t="str">
        <f>IFERROR(__xludf.DUMMYFUNCTION("""COMPUTED_VALUE"""),"Evil Gooby")</f>
        <v>Evil Gooby</v>
      </c>
      <c r="D341" s="30" t="str">
        <f>IFERROR(__xludf.DUMMYFUNCTION("""COMPUTED_VALUE"""),"Mellow Fellows")</f>
        <v>Mellow Fellows</v>
      </c>
      <c r="E341" s="30">
        <f>IFERROR(__xludf.DUMMYFUNCTION("""COMPUTED_VALUE"""),36.0)</f>
        <v>36</v>
      </c>
      <c r="F341" s="30">
        <f>IFERROR(__xludf.DUMMYFUNCTION("""COMPUTED_VALUE"""),14.0)</f>
        <v>14</v>
      </c>
      <c r="G341" s="42">
        <f>IFERROR(__xludf.DUMMYFUNCTION("""COMPUTED_VALUE"""),22.0)</f>
        <v>22</v>
      </c>
      <c r="H341" s="42">
        <f>IFERROR(__xludf.DUMMYFUNCTION("""COMPUTED_VALUE"""),0.3888888888888889)</f>
        <v>0.3888888889</v>
      </c>
      <c r="I341" s="42">
        <f>IFERROR(__xludf.DUMMYFUNCTION("""COMPUTED_VALUE"""),0.2676056338028169)</f>
        <v>0.2676056338</v>
      </c>
      <c r="J341" s="30">
        <f>IFERROR(__xludf.DUMMYFUNCTION("""COMPUTED_VALUE"""),308.6111111111111)</f>
        <v>308.6111111</v>
      </c>
      <c r="K341" s="30">
        <f>IFERROR(__xludf.DUMMYFUNCTION("""COMPUTED_VALUE"""),0.5277777777777778)</f>
        <v>0.5277777778</v>
      </c>
      <c r="L341" s="30">
        <f>IFERROR(__xludf.DUMMYFUNCTION("""COMPUTED_VALUE"""),0.2777777777777778)</f>
        <v>0.2777777778</v>
      </c>
      <c r="M341" s="30">
        <f>IFERROR(__xludf.DUMMYFUNCTION("""COMPUTED_VALUE"""),1.5555555555555556)</f>
        <v>1.555555556</v>
      </c>
      <c r="N341" s="30">
        <f>IFERROR(__xludf.DUMMYFUNCTION("""COMPUTED_VALUE"""),1.9722222222222223)</f>
        <v>1.972222222</v>
      </c>
      <c r="O341" s="30">
        <f>IFERROR(__xludf.DUMMYFUNCTION("""COMPUTED_VALUE"""),349.324074074074)</f>
        <v>349.3240741</v>
      </c>
      <c r="P341" s="30">
        <f>IFERROR(__xludf.DUMMYFUNCTION("""COMPUTED_VALUE"""),0.7592592592592594)</f>
        <v>0.7592592593</v>
      </c>
      <c r="Q341" s="30">
        <f>IFERROR(__xludf.DUMMYFUNCTION("""COMPUTED_VALUE"""),0.537037037037037)</f>
        <v>0.537037037</v>
      </c>
      <c r="R341" s="30">
        <f>IFERROR(__xludf.DUMMYFUNCTION("""COMPUTED_VALUE"""),1.4166666666666665)</f>
        <v>1.416666667</v>
      </c>
      <c r="S341" s="30">
        <f>IFERROR(__xludf.DUMMYFUNCTION("""COMPUTED_VALUE"""),2.7129629629629637)</f>
        <v>2.712962963</v>
      </c>
      <c r="T341" s="30">
        <f>IFERROR(__xludf.DUMMYFUNCTION("""COMPUTED_VALUE"""),338.0814465497977)</f>
        <v>338.0814465</v>
      </c>
      <c r="U341" s="30">
        <f>IFERROR(__xludf.DUMMYFUNCTION("""COMPUTED_VALUE"""),0.7102969867242348)</f>
        <v>0.7102969867</v>
      </c>
      <c r="V341" s="30">
        <f>IFERROR(__xludf.DUMMYFUNCTION("""COMPUTED_VALUE"""),0.547005816303956)</f>
        <v>0.5470058163</v>
      </c>
      <c r="W341" s="30">
        <f>IFERROR(__xludf.DUMMYFUNCTION("""COMPUTED_VALUE"""),1.2917926042256005)</f>
        <v>1.291792604</v>
      </c>
      <c r="X341" s="30">
        <f>IFERROR(__xludf.DUMMYFUNCTION("""COMPUTED_VALUE"""),2.58639410996994)</f>
        <v>2.58639411</v>
      </c>
      <c r="Y341" s="30">
        <f>IFERROR(__xludf.DUMMYFUNCTION("""COMPUTED_VALUE"""),348.2561267932117)</f>
        <v>348.2561268</v>
      </c>
      <c r="Z341" s="30">
        <f>IFERROR(__xludf.DUMMYFUNCTION("""COMPUTED_VALUE"""),0.7429287373390756)</f>
        <v>0.7429287373</v>
      </c>
      <c r="AA341" s="30">
        <f>IFERROR(__xludf.DUMMYFUNCTION("""COMPUTED_VALUE"""),0.5547285605429182)</f>
        <v>0.5547285605</v>
      </c>
      <c r="AB341" s="30">
        <f>IFERROR(__xludf.DUMMYFUNCTION("""COMPUTED_VALUE"""),1.3721900717081992)</f>
        <v>1.372190072</v>
      </c>
      <c r="AC341" s="30">
        <f>IFERROR(__xludf.DUMMYFUNCTION("""COMPUTED_VALUE"""),2.521510569583101)</f>
        <v>2.52151057</v>
      </c>
      <c r="AD341" s="30">
        <f>IFERROR(__xludf.DUMMYFUNCTION("""COMPUTED_VALUE"""),0.8861613260126759)</f>
        <v>0.886161326</v>
      </c>
      <c r="AE341" s="30">
        <f>IFERROR(__xludf.DUMMYFUNCTION("""COMPUTED_VALUE"""),0.7104016189602556)</f>
        <v>0.710401619</v>
      </c>
      <c r="AF341" s="30">
        <f>IFERROR(__xludf.DUMMYFUNCTION("""COMPUTED_VALUE"""),0.5007454051147358)</f>
        <v>0.5007454051</v>
      </c>
      <c r="AG341" s="30">
        <f>IFERROR(__xludf.DUMMYFUNCTION("""COMPUTED_VALUE"""),1.1336297992734272)</f>
        <v>1.133629799</v>
      </c>
      <c r="AH341" s="30">
        <f>IFERROR(__xludf.DUMMYFUNCTION("""COMPUTED_VALUE"""),0.7821590145260837)</f>
        <v>0.7821590145</v>
      </c>
      <c r="AI341" s="30">
        <f>IFERROR(__xludf.DUMMYFUNCTION("""COMPUTED_VALUE"""),1.033254198474983)</f>
        <v>1.033254198</v>
      </c>
      <c r="AJ341" s="30">
        <f>IFERROR(__xludf.DUMMYFUNCTION("""COMPUTED_VALUE"""),1.068932113538634)</f>
        <v>1.068932114</v>
      </c>
      <c r="AK341" s="30">
        <f>IFERROR(__xludf.DUMMYFUNCTION("""COMPUTED_VALUE"""),0.9817757344258665)</f>
        <v>0.9817757344</v>
      </c>
      <c r="AL341" s="30">
        <f>IFERROR(__xludf.DUMMYFUNCTION("""COMPUTED_VALUE"""),1.0966672684396774)</f>
        <v>1.096667268</v>
      </c>
      <c r="AM341" s="30">
        <f>IFERROR(__xludf.DUMMYFUNCTION("""COMPUTED_VALUE"""),1.0489364140233426)</f>
        <v>1.048936414</v>
      </c>
      <c r="AN341" s="30">
        <f>IFERROR(__xludf.DUMMYFUNCTION("""COMPUTED_VALUE"""),0.8938065522407374)</f>
        <v>0.8938065522</v>
      </c>
      <c r="AO341" s="30">
        <f>IFERROR(__xludf.DUMMYFUNCTION("""COMPUTED_VALUE"""),0.6996487460410582)</f>
        <v>0.699648746</v>
      </c>
      <c r="AP341" s="30">
        <f>IFERROR(__xludf.DUMMYFUNCTION("""COMPUTED_VALUE"""),0.5151420339722773)</f>
        <v>0.515142034</v>
      </c>
      <c r="AQ341" s="30">
        <f>IFERROR(__xludf.DUMMYFUNCTION("""COMPUTED_VALUE"""),1.1517142985388467)</f>
        <v>1.151714299</v>
      </c>
      <c r="AR341" s="30">
        <f>IFERROR(__xludf.DUMMYFUNCTION("""COMPUTED_VALUE"""),0.7701942047142926)</f>
        <v>0.7701942047</v>
      </c>
      <c r="AS341" s="30">
        <f>IFERROR(__xludf.DUMMYFUNCTION("""COMPUTED_VALUE"""),68.0)</f>
        <v>68</v>
      </c>
      <c r="AT341" s="30">
        <f>IFERROR(__xludf.DUMMYFUNCTION("""COMPUTED_VALUE"""),0.4299694241264085)</f>
        <v>0.4299694241</v>
      </c>
      <c r="AU341" s="30">
        <f>IFERROR(__xludf.DUMMYFUNCTION("""COMPUTED_VALUE"""),1.4154345906762063)</f>
        <v>1.415434591</v>
      </c>
      <c r="AV341" s="32">
        <f>IFERROR(__xludf.DUMMYFUNCTION("""COMPUTED_VALUE"""),20.43344591203869)</f>
        <v>20.43344591</v>
      </c>
      <c r="AW341" s="32">
        <f>IFERROR(__xludf.DUMMYFUNCTION("""COMPUTED_VALUE"""),-8.44084632072473)</f>
        <v>-8.440846321</v>
      </c>
      <c r="AX341" s="32">
        <f>IFERROR(__xludf.DUMMYFUNCTION("""COMPUTED_VALUE"""),23.581451095554428)</f>
        <v>23.5814511</v>
      </c>
      <c r="AY341" s="32">
        <f>IFERROR(__xludf.DUMMYFUNCTION("""COMPUTED_VALUE"""),-6.881616927309943)</f>
        <v>-6.881616927</v>
      </c>
      <c r="AZ341" s="30">
        <f>IFERROR(__xludf.DUMMYFUNCTION("""COMPUTED_VALUE"""),1.559229393414788)</f>
        <v>1.559229393</v>
      </c>
      <c r="BA341" s="30">
        <f>IFERROR(__xludf.DUMMYFUNCTION("""COMPUTED_VALUE"""),1200.0)</f>
        <v>1200</v>
      </c>
    </row>
    <row r="342">
      <c r="A342" s="71" t="str">
        <f>IFERROR(__xludf.DUMMYFUNCTION("""COMPUTED_VALUE"""),"Veteran")</f>
        <v>Veteran</v>
      </c>
      <c r="B342" s="71" t="str">
        <f>IFERROR(__xludf.DUMMYFUNCTION("""COMPUTED_VALUE"""),"RSC003789")</f>
        <v>RSC003789</v>
      </c>
      <c r="C342" s="30" t="str">
        <f>IFERROR(__xludf.DUMMYFUNCTION("""COMPUTED_VALUE"""),"monterszn")</f>
        <v>monterszn</v>
      </c>
      <c r="D342" s="30" t="str">
        <f>IFERROR(__xludf.DUMMYFUNCTION("""COMPUTED_VALUE"""),"Merciless Mob")</f>
        <v>Merciless Mob</v>
      </c>
      <c r="E342" s="30">
        <f>IFERROR(__xludf.DUMMYFUNCTION("""COMPUTED_VALUE"""),32.0)</f>
        <v>32</v>
      </c>
      <c r="F342" s="30">
        <f>IFERROR(__xludf.DUMMYFUNCTION("""COMPUTED_VALUE"""),15.0)</f>
        <v>15</v>
      </c>
      <c r="G342" s="42">
        <f>IFERROR(__xludf.DUMMYFUNCTION("""COMPUTED_VALUE"""),17.0)</f>
        <v>17</v>
      </c>
      <c r="H342" s="42">
        <f>IFERROR(__xludf.DUMMYFUNCTION("""COMPUTED_VALUE"""),0.46875)</f>
        <v>0.46875</v>
      </c>
      <c r="I342" s="42">
        <f>IFERROR(__xludf.DUMMYFUNCTION("""COMPUTED_VALUE"""),0.26153846153846155)</f>
        <v>0.2615384615</v>
      </c>
      <c r="J342" s="30">
        <f>IFERROR(__xludf.DUMMYFUNCTION("""COMPUTED_VALUE"""),394.65625)</f>
        <v>394.65625</v>
      </c>
      <c r="K342" s="30">
        <f>IFERROR(__xludf.DUMMYFUNCTION("""COMPUTED_VALUE"""),0.53125)</f>
        <v>0.53125</v>
      </c>
      <c r="L342" s="30">
        <f>IFERROR(__xludf.DUMMYFUNCTION("""COMPUTED_VALUE"""),0.75)</f>
        <v>0.75</v>
      </c>
      <c r="M342" s="30">
        <f>IFERROR(__xludf.DUMMYFUNCTION("""COMPUTED_VALUE"""),2.0625)</f>
        <v>2.0625</v>
      </c>
      <c r="N342" s="30">
        <f>IFERROR(__xludf.DUMMYFUNCTION("""COMPUTED_VALUE"""),2.03125)</f>
        <v>2.03125</v>
      </c>
      <c r="O342" s="30">
        <f>IFERROR(__xludf.DUMMYFUNCTION("""COMPUTED_VALUE"""),336.87499999999994)</f>
        <v>336.875</v>
      </c>
      <c r="P342" s="30">
        <f>IFERROR(__xludf.DUMMYFUNCTION("""COMPUTED_VALUE"""),0.7916666666666667)</f>
        <v>0.7916666667</v>
      </c>
      <c r="Q342" s="30">
        <f>IFERROR(__xludf.DUMMYFUNCTION("""COMPUTED_VALUE"""),0.6041666666666666)</f>
        <v>0.6041666667</v>
      </c>
      <c r="R342" s="30">
        <f>IFERROR(__xludf.DUMMYFUNCTION("""COMPUTED_VALUE"""),1.1041666666666667)</f>
        <v>1.104166667</v>
      </c>
      <c r="S342" s="30">
        <f>IFERROR(__xludf.DUMMYFUNCTION("""COMPUTED_VALUE"""),2.666666666666666)</f>
        <v>2.666666667</v>
      </c>
      <c r="T342" s="30">
        <f>IFERROR(__xludf.DUMMYFUNCTION("""COMPUTED_VALUE"""),349.7503775523369)</f>
        <v>349.7503776</v>
      </c>
      <c r="U342" s="30">
        <f>IFERROR(__xludf.DUMMYFUNCTION("""COMPUTED_VALUE"""),0.761661929025996)</f>
        <v>0.761661929</v>
      </c>
      <c r="V342" s="30">
        <f>IFERROR(__xludf.DUMMYFUNCTION("""COMPUTED_VALUE"""),0.5625044919283506)</f>
        <v>0.5625044919</v>
      </c>
      <c r="W342" s="30">
        <f>IFERROR(__xludf.DUMMYFUNCTION("""COMPUTED_VALUE"""),1.3353151823594938)</f>
        <v>1.335315182</v>
      </c>
      <c r="X342" s="30">
        <f>IFERROR(__xludf.DUMMYFUNCTION("""COMPUTED_VALUE"""),2.51677452413714)</f>
        <v>2.516774524</v>
      </c>
      <c r="Y342" s="30">
        <f>IFERROR(__xludf.DUMMYFUNCTION("""COMPUTED_VALUE"""),343.69630308324594)</f>
        <v>343.6963031</v>
      </c>
      <c r="Z342" s="30">
        <f>IFERROR(__xludf.DUMMYFUNCTION("""COMPUTED_VALUE"""),0.7375297158337017)</f>
        <v>0.7375297158</v>
      </c>
      <c r="AA342" s="30">
        <f>IFERROR(__xludf.DUMMYFUNCTION("""COMPUTED_VALUE"""),0.5198085337936343)</f>
        <v>0.5198085338</v>
      </c>
      <c r="AB342" s="30">
        <f>IFERROR(__xludf.DUMMYFUNCTION("""COMPUTED_VALUE"""),1.3644346048604628)</f>
        <v>1.364434605</v>
      </c>
      <c r="AC342" s="30">
        <f>IFERROR(__xludf.DUMMYFUNCTION("""COMPUTED_VALUE"""),2.536984307002527)</f>
        <v>2.536984307</v>
      </c>
      <c r="AD342" s="30">
        <f>IFERROR(__xludf.DUMMYFUNCTION("""COMPUTED_VALUE"""),1.1482702794868618)</f>
        <v>1.148270279</v>
      </c>
      <c r="AE342" s="30">
        <f>IFERROR(__xludf.DUMMYFUNCTION("""COMPUTED_VALUE"""),0.7203099598495178)</f>
        <v>0.7203099598</v>
      </c>
      <c r="AF342" s="30">
        <f>IFERROR(__xludf.DUMMYFUNCTION("""COMPUTED_VALUE"""),1.4428389517317013)</f>
        <v>1.442838952</v>
      </c>
      <c r="AG342" s="30">
        <f>IFERROR(__xludf.DUMMYFUNCTION("""COMPUTED_VALUE"""),1.511615135421552)</f>
        <v>1.511615135</v>
      </c>
      <c r="AH342" s="30">
        <f>IFERROR(__xludf.DUMMYFUNCTION("""COMPUTED_VALUE"""),0.8006553270327252)</f>
        <v>0.800655327</v>
      </c>
      <c r="AI342" s="30">
        <f>IFERROR(__xludf.DUMMYFUNCTION("""COMPUTED_VALUE"""),0.9631869516698084)</f>
        <v>0.9631869517</v>
      </c>
      <c r="AJ342" s="30">
        <f>IFERROR(__xludf.DUMMYFUNCTION("""COMPUTED_VALUE"""),1.0393937736641772)</f>
        <v>1.039393774</v>
      </c>
      <c r="AK342" s="30">
        <f>IFERROR(__xludf.DUMMYFUNCTION("""COMPUTED_VALUE"""),1.0740654969625074)</f>
        <v>1.074065497</v>
      </c>
      <c r="AL342" s="30">
        <f>IFERROR(__xludf.DUMMYFUNCTION("""COMPUTED_VALUE"""),0.8268959128552789)</f>
        <v>0.8268959129</v>
      </c>
      <c r="AM342" s="30">
        <f>IFERROR(__xludf.DUMMYFUNCTION("""COMPUTED_VALUE"""),1.0595572392727217)</f>
        <v>1.059557239</v>
      </c>
      <c r="AN342" s="30">
        <f>IFERROR(__xludf.DUMMYFUNCTION("""COMPUTED_VALUE"""),1.1430124497551133)</f>
        <v>1.14301245</v>
      </c>
      <c r="AO342" s="30">
        <f>IFERROR(__xludf.DUMMYFUNCTION("""COMPUTED_VALUE"""),0.7042516983176441)</f>
        <v>0.7042516983</v>
      </c>
      <c r="AP342" s="30">
        <f>IFERROR(__xludf.DUMMYFUNCTION("""COMPUTED_VALUE"""),1.3908834917251487)</f>
        <v>1.390883492</v>
      </c>
      <c r="AQ342" s="30">
        <f>IFERROR(__xludf.DUMMYFUNCTION("""COMPUTED_VALUE"""),1.5270497619019527)</f>
        <v>1.527049762</v>
      </c>
      <c r="AR342" s="30">
        <f>IFERROR(__xludf.DUMMYFUNCTION("""COMPUTED_VALUE"""),0.7932457918272202)</f>
        <v>0.7932457918</v>
      </c>
      <c r="AS342" s="30">
        <f>IFERROR(__xludf.DUMMYFUNCTION("""COMPUTED_VALUE"""),67.0)</f>
        <v>67</v>
      </c>
      <c r="AT342" s="30">
        <f>IFERROR(__xludf.DUMMYFUNCTION("""COMPUTED_VALUE"""),0.4517275364932238)</f>
        <v>0.4517275365</v>
      </c>
      <c r="AU342" s="30">
        <f>IFERROR(__xludf.DUMMYFUNCTION("""COMPUTED_VALUE"""),2.4895238023005506)</f>
        <v>2.489523802</v>
      </c>
      <c r="AV342" s="32">
        <f>IFERROR(__xludf.DUMMYFUNCTION("""COMPUTED_VALUE"""),53.704532279213396)</f>
        <v>53.70453228</v>
      </c>
      <c r="AW342" s="32">
        <f>IFERROR(__xludf.DUMMYFUNCTION("""COMPUTED_VALUE"""),2.267060404123234)</f>
        <v>2.267060404</v>
      </c>
      <c r="AX342" s="32">
        <f>IFERROR(__xludf.DUMMYFUNCTION("""COMPUTED_VALUE"""),65.83364571719906)</f>
        <v>65.83364572</v>
      </c>
      <c r="AY342" s="32">
        <f>IFERROR(__xludf.DUMMYFUNCTION("""COMPUTED_VALUE"""),3.7986139585445438)</f>
        <v>3.798613959</v>
      </c>
      <c r="AZ342" s="30">
        <f>IFERROR(__xludf.DUMMYFUNCTION("""COMPUTED_VALUE"""),1.53155355442131)</f>
        <v>1.531553554</v>
      </c>
      <c r="BA342" s="30">
        <f>IFERROR(__xludf.DUMMYFUNCTION("""COMPUTED_VALUE"""),1200.0)</f>
        <v>1200</v>
      </c>
    </row>
    <row r="343">
      <c r="A343" s="71" t="str">
        <f>IFERROR(__xludf.DUMMYFUNCTION("""COMPUTED_VALUE"""),"Veteran")</f>
        <v>Veteran</v>
      </c>
      <c r="B343" s="71" t="str">
        <f>IFERROR(__xludf.DUMMYFUNCTION("""COMPUTED_VALUE"""),"RSC006700")</f>
        <v>RSC006700</v>
      </c>
      <c r="C343" s="30" t="str">
        <f>IFERROR(__xludf.DUMMYFUNCTION("""COMPUTED_VALUE"""),"Terx")</f>
        <v>Terx</v>
      </c>
      <c r="D343" s="30" t="str">
        <f>IFERROR(__xludf.DUMMYFUNCTION("""COMPUTED_VALUE"""),"Penguins")</f>
        <v>Penguins</v>
      </c>
      <c r="E343" s="30">
        <f>IFERROR(__xludf.DUMMYFUNCTION("""COMPUTED_VALUE"""),36.0)</f>
        <v>36</v>
      </c>
      <c r="F343" s="30">
        <f>IFERROR(__xludf.DUMMYFUNCTION("""COMPUTED_VALUE"""),22.0)</f>
        <v>22</v>
      </c>
      <c r="G343" s="42">
        <f>IFERROR(__xludf.DUMMYFUNCTION("""COMPUTED_VALUE"""),14.0)</f>
        <v>14</v>
      </c>
      <c r="H343" s="42">
        <f>IFERROR(__xludf.DUMMYFUNCTION("""COMPUTED_VALUE"""),0.6111111111111112)</f>
        <v>0.6111111111</v>
      </c>
      <c r="I343" s="42">
        <f>IFERROR(__xludf.DUMMYFUNCTION("""COMPUTED_VALUE"""),0.19999999999999998)</f>
        <v>0.2</v>
      </c>
      <c r="J343" s="30">
        <f>IFERROR(__xludf.DUMMYFUNCTION("""COMPUTED_VALUE"""),275.0833333333333)</f>
        <v>275.0833333</v>
      </c>
      <c r="K343" s="30">
        <f>IFERROR(__xludf.DUMMYFUNCTION("""COMPUTED_VALUE"""),0.4722222222222222)</f>
        <v>0.4722222222</v>
      </c>
      <c r="L343" s="30">
        <f>IFERROR(__xludf.DUMMYFUNCTION("""COMPUTED_VALUE"""),0.6111111111111112)</f>
        <v>0.6111111111</v>
      </c>
      <c r="M343" s="30">
        <f>IFERROR(__xludf.DUMMYFUNCTION("""COMPUTED_VALUE"""),1.0555555555555556)</f>
        <v>1.055555556</v>
      </c>
      <c r="N343" s="30">
        <f>IFERROR(__xludf.DUMMYFUNCTION("""COMPUTED_VALUE"""),2.361111111111111)</f>
        <v>2.361111111</v>
      </c>
      <c r="O343" s="30">
        <f>IFERROR(__xludf.DUMMYFUNCTION("""COMPUTED_VALUE"""),327.59259259259255)</f>
        <v>327.5925926</v>
      </c>
      <c r="P343" s="30">
        <f>IFERROR(__xludf.DUMMYFUNCTION("""COMPUTED_VALUE"""),0.6203703703703703)</f>
        <v>0.6203703704</v>
      </c>
      <c r="Q343" s="30">
        <f>IFERROR(__xludf.DUMMYFUNCTION("""COMPUTED_VALUE"""),0.4166666666666668)</f>
        <v>0.4166666667</v>
      </c>
      <c r="R343" s="30">
        <f>IFERROR(__xludf.DUMMYFUNCTION("""COMPUTED_VALUE"""),1.5277777777777775)</f>
        <v>1.527777778</v>
      </c>
      <c r="S343" s="30">
        <f>IFERROR(__xludf.DUMMYFUNCTION("""COMPUTED_VALUE"""),2.2037037037037033)</f>
        <v>2.203703704</v>
      </c>
      <c r="T343" s="30">
        <f>IFERROR(__xludf.DUMMYFUNCTION("""COMPUTED_VALUE"""),354.7786011441707)</f>
        <v>354.7786011</v>
      </c>
      <c r="U343" s="30">
        <f>IFERROR(__xludf.DUMMYFUNCTION("""COMPUTED_VALUE"""),0.7862001074370173)</f>
        <v>0.7862001074</v>
      </c>
      <c r="V343" s="30">
        <f>IFERROR(__xludf.DUMMYFUNCTION("""COMPUTED_VALUE"""),0.5554088573007425)</f>
        <v>0.5554088573</v>
      </c>
      <c r="W343" s="30">
        <f>IFERROR(__xludf.DUMMYFUNCTION("""COMPUTED_VALUE"""),1.3971396634755928)</f>
        <v>1.397139663</v>
      </c>
      <c r="X343" s="30">
        <f>IFERROR(__xludf.DUMMYFUNCTION("""COMPUTED_VALUE"""),2.6042273568170557)</f>
        <v>2.604227357</v>
      </c>
      <c r="Y343" s="30">
        <f>IFERROR(__xludf.DUMMYFUNCTION("""COMPUTED_VALUE"""),348.3869072734055)</f>
        <v>348.3869073</v>
      </c>
      <c r="Z343" s="30">
        <f>IFERROR(__xludf.DUMMYFUNCTION("""COMPUTED_VALUE"""),0.7707942263399628)</f>
        <v>0.7707942263</v>
      </c>
      <c r="AA343" s="30">
        <f>IFERROR(__xludf.DUMMYFUNCTION("""COMPUTED_VALUE"""),0.5505378181380323)</f>
        <v>0.5505378181</v>
      </c>
      <c r="AB343" s="30">
        <f>IFERROR(__xludf.DUMMYFUNCTION("""COMPUTED_VALUE"""),1.338410098990893)</f>
        <v>1.338410099</v>
      </c>
      <c r="AC343" s="30">
        <f>IFERROR(__xludf.DUMMYFUNCTION("""COMPUTED_VALUE"""),2.6302566716068716)</f>
        <v>2.630256672</v>
      </c>
      <c r="AD343" s="30">
        <f>IFERROR(__xludf.DUMMYFUNCTION("""COMPUTED_VALUE"""),0.7895914788710894)</f>
        <v>0.7895914789</v>
      </c>
      <c r="AE343" s="30">
        <f>IFERROR(__xludf.DUMMYFUNCTION("""COMPUTED_VALUE"""),0.6126436941082459)</f>
        <v>0.6126436941</v>
      </c>
      <c r="AF343" s="30">
        <f>IFERROR(__xludf.DUMMYFUNCTION("""COMPUTED_VALUE"""),1.110025671220813)</f>
        <v>1.110025671</v>
      </c>
      <c r="AG343" s="30">
        <f>IFERROR(__xludf.DUMMYFUNCTION("""COMPUTED_VALUE"""),0.788663770806423)</f>
        <v>0.7886637708</v>
      </c>
      <c r="AH343" s="30">
        <f>IFERROR(__xludf.DUMMYFUNCTION("""COMPUTED_VALUE"""),0.8976732714334931)</f>
        <v>0.8976732714</v>
      </c>
      <c r="AI343" s="30">
        <f>IFERROR(__xludf.DUMMYFUNCTION("""COMPUTED_VALUE"""),0.9233719044387049)</f>
        <v>0.9233719044</v>
      </c>
      <c r="AJ343" s="30">
        <f>IFERROR(__xludf.DUMMYFUNCTION("""COMPUTED_VALUE"""),0.7890743902245885)</f>
        <v>0.7890743902</v>
      </c>
      <c r="AK343" s="30">
        <f>IFERROR(__xludf.DUMMYFUNCTION("""COMPUTED_VALUE"""),0.7501980949523287)</f>
        <v>0.750198095</v>
      </c>
      <c r="AL343" s="30">
        <f>IFERROR(__xludf.DUMMYFUNCTION("""COMPUTED_VALUE"""),1.0935039765295926)</f>
        <v>1.093503977</v>
      </c>
      <c r="AM343" s="30">
        <f>IFERROR(__xludf.DUMMYFUNCTION("""COMPUTED_VALUE"""),0.846202501457906)</f>
        <v>0.8462025015</v>
      </c>
      <c r="AN343" s="30">
        <f>IFERROR(__xludf.DUMMYFUNCTION("""COMPUTED_VALUE"""),0.79670263607921)</f>
        <v>0.7967026361</v>
      </c>
      <c r="AO343" s="30">
        <f>IFERROR(__xludf.DUMMYFUNCTION("""COMPUTED_VALUE"""),0.6260015096156836)</f>
        <v>0.6260015096</v>
      </c>
      <c r="AP343" s="30">
        <f>IFERROR(__xludf.DUMMYFUNCTION("""COMPUTED_VALUE"""),1.1333124747390102)</f>
        <v>1.133312475</v>
      </c>
      <c r="AQ343" s="30">
        <f>IFERROR(__xludf.DUMMYFUNCTION("""COMPUTED_VALUE"""),0.7815204168656459)</f>
        <v>0.7815204169</v>
      </c>
      <c r="AR343" s="30">
        <f>IFERROR(__xludf.DUMMYFUNCTION("""COMPUTED_VALUE"""),0.9220634845171107)</f>
        <v>0.9220634845</v>
      </c>
      <c r="AS343" s="30">
        <f>IFERROR(__xludf.DUMMYFUNCTION("""COMPUTED_VALUE"""),90.0)</f>
        <v>90</v>
      </c>
      <c r="AT343" s="30">
        <f>IFERROR(__xludf.DUMMYFUNCTION("""COMPUTED_VALUE"""),0.6107245462808761)</f>
        <v>0.6107245463</v>
      </c>
      <c r="AU343" s="30">
        <f>IFERROR(__xludf.DUMMYFUNCTION("""COMPUTED_VALUE"""),2.0929275528423426)</f>
        <v>2.092927553</v>
      </c>
      <c r="AV343" s="32">
        <f>IFERROR(__xludf.DUMMYFUNCTION("""COMPUTED_VALUE"""),41.419530320515264)</f>
        <v>41.41953032</v>
      </c>
      <c r="AW343" s="32">
        <f>IFERROR(__xludf.DUMMYFUNCTION("""COMPUTED_VALUE"""),-2.7343551843261014)</f>
        <v>-2.734355184</v>
      </c>
      <c r="AX343" s="32">
        <f>IFERROR(__xludf.DUMMYFUNCTION("""COMPUTED_VALUE"""),32.033121597074796)</f>
        <v>32.0331216</v>
      </c>
      <c r="AY343" s="32">
        <f>IFERROR(__xludf.DUMMYFUNCTION("""COMPUTED_VALUE"""),-4.2342281294747925)</f>
        <v>-4.234228129</v>
      </c>
      <c r="AZ343" s="30">
        <f>IFERROR(__xludf.DUMMYFUNCTION("""COMPUTED_VALUE"""),1.4998729451486912)</f>
        <v>1.499872945</v>
      </c>
      <c r="BA343" s="30">
        <f>IFERROR(__xludf.DUMMYFUNCTION("""COMPUTED_VALUE"""),1200.0)</f>
        <v>1200</v>
      </c>
    </row>
    <row r="344">
      <c r="A344" s="71" t="str">
        <f>IFERROR(__xludf.DUMMYFUNCTION("""COMPUTED_VALUE"""),"Veteran")</f>
        <v>Veteran</v>
      </c>
      <c r="B344" s="71" t="str">
        <f>IFERROR(__xludf.DUMMYFUNCTION("""COMPUTED_VALUE"""),"RSC001203")</f>
        <v>RSC001203</v>
      </c>
      <c r="C344" s="30" t="str">
        <f>IFERROR(__xludf.DUMMYFUNCTION("""COMPUTED_VALUE"""),"Clyde")</f>
        <v>Clyde</v>
      </c>
      <c r="D344" s="30" t="str">
        <f>IFERROR(__xludf.DUMMYFUNCTION("""COMPUTED_VALUE"""),"Banshees")</f>
        <v>Banshees</v>
      </c>
      <c r="E344" s="30">
        <f>IFERROR(__xludf.DUMMYFUNCTION("""COMPUTED_VALUE"""),23.0)</f>
        <v>23</v>
      </c>
      <c r="F344" s="30">
        <f>IFERROR(__xludf.DUMMYFUNCTION("""COMPUTED_VALUE"""),13.0)</f>
        <v>13</v>
      </c>
      <c r="G344" s="42">
        <f>IFERROR(__xludf.DUMMYFUNCTION("""COMPUTED_VALUE"""),10.0)</f>
        <v>10</v>
      </c>
      <c r="H344" s="42">
        <f>IFERROR(__xludf.DUMMYFUNCTION("""COMPUTED_VALUE"""),0.5652173913043478)</f>
        <v>0.5652173913</v>
      </c>
      <c r="I344" s="42">
        <f>IFERROR(__xludf.DUMMYFUNCTION("""COMPUTED_VALUE"""),0.27272727272727276)</f>
        <v>0.2727272727</v>
      </c>
      <c r="J344" s="30">
        <f>IFERROR(__xludf.DUMMYFUNCTION("""COMPUTED_VALUE"""),367.5217391304348)</f>
        <v>367.5217391</v>
      </c>
      <c r="K344" s="30">
        <f>IFERROR(__xludf.DUMMYFUNCTION("""COMPUTED_VALUE"""),0.782608695652174)</f>
        <v>0.7826086957</v>
      </c>
      <c r="L344" s="30">
        <f>IFERROR(__xludf.DUMMYFUNCTION("""COMPUTED_VALUE"""),0.8260869565217391)</f>
        <v>0.8260869565</v>
      </c>
      <c r="M344" s="30">
        <f>IFERROR(__xludf.DUMMYFUNCTION("""COMPUTED_VALUE"""),1.4782608695652173)</f>
        <v>1.47826087</v>
      </c>
      <c r="N344" s="30">
        <f>IFERROR(__xludf.DUMMYFUNCTION("""COMPUTED_VALUE"""),2.869565217391304)</f>
        <v>2.869565217</v>
      </c>
      <c r="O344" s="30">
        <f>IFERROR(__xludf.DUMMYFUNCTION("""COMPUTED_VALUE"""),345.30434782608694)</f>
        <v>345.3043478</v>
      </c>
      <c r="P344" s="30">
        <f>IFERROR(__xludf.DUMMYFUNCTION("""COMPUTED_VALUE"""),0.7536231884057973)</f>
        <v>0.7536231884</v>
      </c>
      <c r="Q344" s="30">
        <f>IFERROR(__xludf.DUMMYFUNCTION("""COMPUTED_VALUE"""),0.5652173913043478)</f>
        <v>0.5652173913</v>
      </c>
      <c r="R344" s="30">
        <f>IFERROR(__xludf.DUMMYFUNCTION("""COMPUTED_VALUE"""),1.420289855072464)</f>
        <v>1.420289855</v>
      </c>
      <c r="S344" s="30">
        <f>IFERROR(__xludf.DUMMYFUNCTION("""COMPUTED_VALUE"""),2.405797101449275)</f>
        <v>2.405797101</v>
      </c>
      <c r="T344" s="30">
        <f>IFERROR(__xludf.DUMMYFUNCTION("""COMPUTED_VALUE"""),357.7285175896434)</f>
        <v>357.7285176</v>
      </c>
      <c r="U344" s="30">
        <f>IFERROR(__xludf.DUMMYFUNCTION("""COMPUTED_VALUE"""),0.8103304568913702)</f>
        <v>0.8103304569</v>
      </c>
      <c r="V344" s="30">
        <f>IFERROR(__xludf.DUMMYFUNCTION("""COMPUTED_VALUE"""),0.5976222110398975)</f>
        <v>0.597622211</v>
      </c>
      <c r="W344" s="30">
        <f>IFERROR(__xludf.DUMMYFUNCTION("""COMPUTED_VALUE"""),1.3772496771327596)</f>
        <v>1.377249677</v>
      </c>
      <c r="X344" s="30">
        <f>IFERROR(__xludf.DUMMYFUNCTION("""COMPUTED_VALUE"""),2.6412678005595254)</f>
        <v>2.641267801</v>
      </c>
      <c r="Y344" s="30">
        <f>IFERROR(__xludf.DUMMYFUNCTION("""COMPUTED_VALUE"""),357.7073073091803)</f>
        <v>357.7073073</v>
      </c>
      <c r="Z344" s="30">
        <f>IFERROR(__xludf.DUMMYFUNCTION("""COMPUTED_VALUE"""),0.8217637016958327)</f>
        <v>0.8217637017</v>
      </c>
      <c r="AA344" s="30">
        <f>IFERROR(__xludf.DUMMYFUNCTION("""COMPUTED_VALUE"""),0.5963450040212869)</f>
        <v>0.596345004</v>
      </c>
      <c r="AB344" s="30">
        <f>IFERROR(__xludf.DUMMYFUNCTION("""COMPUTED_VALUE"""),1.351217854547722)</f>
        <v>1.351217855</v>
      </c>
      <c r="AC344" s="30">
        <f>IFERROR(__xludf.DUMMYFUNCTION("""COMPUTED_VALUE"""),2.6976282755959455)</f>
        <v>2.697628276</v>
      </c>
      <c r="AD344" s="30">
        <f>IFERROR(__xludf.DUMMYFUNCTION("""COMPUTED_VALUE"""),1.0274370459331197)</f>
        <v>1.027437046</v>
      </c>
      <c r="AE344" s="30">
        <f>IFERROR(__xludf.DUMMYFUNCTION("""COMPUTED_VALUE"""),0.9523524755804418)</f>
        <v>0.9523524756</v>
      </c>
      <c r="AF344" s="30">
        <f>IFERROR(__xludf.DUMMYFUNCTION("""COMPUTED_VALUE"""),1.3852500665743004)</f>
        <v>1.385250067</v>
      </c>
      <c r="AG344" s="30">
        <f>IFERROR(__xludf.DUMMYFUNCTION("""COMPUTED_VALUE"""),1.0940211192369265)</f>
        <v>1.094021119</v>
      </c>
      <c r="AH344" s="30">
        <f>IFERROR(__xludf.DUMMYFUNCTION("""COMPUTED_VALUE"""),1.0637363358587184)</f>
        <v>1.063736336</v>
      </c>
      <c r="AI344" s="30">
        <f>IFERROR(__xludf.DUMMYFUNCTION("""COMPUTED_VALUE"""),0.9652692778108106)</f>
        <v>0.9652692778</v>
      </c>
      <c r="AJ344" s="30">
        <f>IFERROR(__xludf.DUMMYFUNCTION("""COMPUTED_VALUE"""),0.9300195765772941)</f>
        <v>0.9300195766</v>
      </c>
      <c r="AK344" s="30">
        <f>IFERROR(__xludf.DUMMYFUNCTION("""COMPUTED_VALUE"""),0.9457770826837854)</f>
        <v>0.9457770827</v>
      </c>
      <c r="AL344" s="30">
        <f>IFERROR(__xludf.DUMMYFUNCTION("""COMPUTED_VALUE"""),1.0312508172296748)</f>
        <v>1.031250817</v>
      </c>
      <c r="AM344" s="30">
        <f>IFERROR(__xludf.DUMMYFUNCTION("""COMPUTED_VALUE"""),0.9108493659520749)</f>
        <v>0.910849366</v>
      </c>
      <c r="AN344" s="30">
        <f>IFERROR(__xludf.DUMMYFUNCTION("""COMPUTED_VALUE"""),1.0644248593091783)</f>
        <v>1.064424859</v>
      </c>
      <c r="AO344" s="30">
        <f>IFERROR(__xludf.DUMMYFUNCTION("""COMPUTED_VALUE"""),1.0374654174704936)</f>
        <v>1.037465417</v>
      </c>
      <c r="AP344" s="30">
        <f>IFERROR(__xludf.DUMMYFUNCTION("""COMPUTED_VALUE"""),1.531987614074077)</f>
        <v>1.531987614</v>
      </c>
      <c r="AQ344" s="30">
        <f>IFERROR(__xludf.DUMMYFUNCTION("""COMPUTED_VALUE"""),1.0944862588598976)</f>
        <v>1.094486259</v>
      </c>
      <c r="AR344" s="30">
        <f>IFERROR(__xludf.DUMMYFUNCTION("""COMPUTED_VALUE"""),1.120625493203404)</f>
        <v>1.120625493</v>
      </c>
      <c r="AS344" s="30">
        <f>IFERROR(__xludf.DUMMYFUNCTION("""COMPUTED_VALUE"""),66.0)</f>
        <v>66</v>
      </c>
      <c r="AT344" s="30">
        <f>IFERROR(__xludf.DUMMYFUNCTION("""COMPUTED_VALUE"""),0.5941598897057572)</f>
        <v>0.5941598897</v>
      </c>
      <c r="AU344" s="30">
        <f>IFERROR(__xludf.DUMMYFUNCTION("""COMPUTED_VALUE"""),3.0471838077903897)</f>
        <v>3.047183808</v>
      </c>
      <c r="AV344" s="32">
        <f>IFERROR(__xludf.DUMMYFUNCTION("""COMPUTED_VALUE"""),70.97865998236054)</f>
        <v>70.97865998</v>
      </c>
      <c r="AW344" s="32">
        <f>IFERROR(__xludf.DUMMYFUNCTION("""COMPUTED_VALUE"""),4.9827204059859085)</f>
        <v>4.982720406</v>
      </c>
      <c r="AX344" s="32">
        <f>IFERROR(__xludf.DUMMYFUNCTION("""COMPUTED_VALUE"""),64.3943201209445)</f>
        <v>64.39432012</v>
      </c>
      <c r="AY344" s="32">
        <f>IFERROR(__xludf.DUMMYFUNCTION("""COMPUTED_VALUE"""),3.541272375926457)</f>
        <v>3.541272376</v>
      </c>
      <c r="AZ344" s="30">
        <f>IFERROR(__xludf.DUMMYFUNCTION("""COMPUTED_VALUE"""),1.4414480300594517)</f>
        <v>1.44144803</v>
      </c>
      <c r="BA344" s="30">
        <f>IFERROR(__xludf.DUMMYFUNCTION("""COMPUTED_VALUE"""),1200.0)</f>
        <v>1200</v>
      </c>
    </row>
    <row r="345">
      <c r="A345" s="71" t="str">
        <f>IFERROR(__xludf.DUMMYFUNCTION("""COMPUTED_VALUE"""),"Veteran")</f>
        <v>Veteran</v>
      </c>
      <c r="B345" s="71" t="str">
        <f>IFERROR(__xludf.DUMMYFUNCTION("""COMPUTED_VALUE"""),"RSC005505")</f>
        <v>RSC005505</v>
      </c>
      <c r="C345" s="30" t="str">
        <f>IFERROR(__xludf.DUMMYFUNCTION("""COMPUTED_VALUE"""),"The_Wheelman_95")</f>
        <v>The_Wheelman_95</v>
      </c>
      <c r="D345" s="30" t="str">
        <f>IFERROR(__xludf.DUMMYFUNCTION("""COMPUTED_VALUE"""),"Penguins")</f>
        <v>Penguins</v>
      </c>
      <c r="E345" s="30">
        <f>IFERROR(__xludf.DUMMYFUNCTION("""COMPUTED_VALUE"""),17.0)</f>
        <v>17</v>
      </c>
      <c r="F345" s="30">
        <f>IFERROR(__xludf.DUMMYFUNCTION("""COMPUTED_VALUE"""),10.0)</f>
        <v>10</v>
      </c>
      <c r="G345" s="42">
        <f>IFERROR(__xludf.DUMMYFUNCTION("""COMPUTED_VALUE"""),7.0)</f>
        <v>7</v>
      </c>
      <c r="H345" s="42">
        <f>IFERROR(__xludf.DUMMYFUNCTION("""COMPUTED_VALUE"""),0.5882352941176471)</f>
        <v>0.5882352941</v>
      </c>
      <c r="I345" s="42">
        <f>IFERROR(__xludf.DUMMYFUNCTION("""COMPUTED_VALUE"""),0.31428571428571433)</f>
        <v>0.3142857143</v>
      </c>
      <c r="J345" s="30">
        <f>IFERROR(__xludf.DUMMYFUNCTION("""COMPUTED_VALUE"""),329.6470588235294)</f>
        <v>329.6470588</v>
      </c>
      <c r="K345" s="30">
        <f>IFERROR(__xludf.DUMMYFUNCTION("""COMPUTED_VALUE"""),0.6470588235294118)</f>
        <v>0.6470588235</v>
      </c>
      <c r="L345" s="30">
        <f>IFERROR(__xludf.DUMMYFUNCTION("""COMPUTED_VALUE"""),0.5294117647058824)</f>
        <v>0.5294117647</v>
      </c>
      <c r="M345" s="30">
        <f>IFERROR(__xludf.DUMMYFUNCTION("""COMPUTED_VALUE"""),1.4705882352941178)</f>
        <v>1.470588235</v>
      </c>
      <c r="N345" s="30">
        <f>IFERROR(__xludf.DUMMYFUNCTION("""COMPUTED_VALUE"""),2.0588235294117645)</f>
        <v>2.058823529</v>
      </c>
      <c r="O345" s="30">
        <f>IFERROR(__xludf.DUMMYFUNCTION("""COMPUTED_VALUE"""),344.9019607843137)</f>
        <v>344.9019608</v>
      </c>
      <c r="P345" s="30">
        <f>IFERROR(__xludf.DUMMYFUNCTION("""COMPUTED_VALUE"""),0.6470588235294119)</f>
        <v>0.6470588235</v>
      </c>
      <c r="Q345" s="30">
        <f>IFERROR(__xludf.DUMMYFUNCTION("""COMPUTED_VALUE"""),0.4705882352941176)</f>
        <v>0.4705882353</v>
      </c>
      <c r="R345" s="30">
        <f>IFERROR(__xludf.DUMMYFUNCTION("""COMPUTED_VALUE"""),1.5490196078431373)</f>
        <v>1.549019608</v>
      </c>
      <c r="S345" s="30">
        <f>IFERROR(__xludf.DUMMYFUNCTION("""COMPUTED_VALUE"""),2.3529411764705883)</f>
        <v>2.352941176</v>
      </c>
      <c r="T345" s="30">
        <f>IFERROR(__xludf.DUMMYFUNCTION("""COMPUTED_VALUE"""),349.58783914875096)</f>
        <v>349.5878391</v>
      </c>
      <c r="U345" s="30">
        <f>IFERROR(__xludf.DUMMYFUNCTION("""COMPUTED_VALUE"""),0.7948603486561583)</f>
        <v>0.7948603487</v>
      </c>
      <c r="V345" s="30">
        <f>IFERROR(__xludf.DUMMYFUNCTION("""COMPUTED_VALUE"""),0.5687404054673383)</f>
        <v>0.5687404055</v>
      </c>
      <c r="W345" s="30">
        <f>IFERROR(__xludf.DUMMYFUNCTION("""COMPUTED_VALUE"""),1.3303838675511293)</f>
        <v>1.330383868</v>
      </c>
      <c r="X345" s="30">
        <f>IFERROR(__xludf.DUMMYFUNCTION("""COMPUTED_VALUE"""),2.6183055774661135)</f>
        <v>2.618305577</v>
      </c>
      <c r="Y345" s="30">
        <f>IFERROR(__xludf.DUMMYFUNCTION("""COMPUTED_VALUE"""),347.6047989453246)</f>
        <v>347.6047989</v>
      </c>
      <c r="Z345" s="30">
        <f>IFERROR(__xludf.DUMMYFUNCTION("""COMPUTED_VALUE"""),0.7625575903554238)</f>
        <v>0.7625575904</v>
      </c>
      <c r="AA345" s="30">
        <f>IFERROR(__xludf.DUMMYFUNCTION("""COMPUTED_VALUE"""),0.5315120126556031)</f>
        <v>0.5315120127</v>
      </c>
      <c r="AB345" s="30">
        <f>IFERROR(__xludf.DUMMYFUNCTION("""COMPUTED_VALUE"""),1.3663864566849997)</f>
        <v>1.366386457</v>
      </c>
      <c r="AC345" s="30">
        <f>IFERROR(__xludf.DUMMYFUNCTION("""COMPUTED_VALUE"""),2.5259397068871876)</f>
        <v>2.525939707</v>
      </c>
      <c r="AD345" s="30">
        <f>IFERROR(__xludf.DUMMYFUNCTION("""COMPUTED_VALUE"""),0.9483386300296164)</f>
        <v>0.94833863</v>
      </c>
      <c r="AE345" s="30">
        <f>IFERROR(__xludf.DUMMYFUNCTION("""COMPUTED_VALUE"""),0.8485376471406196)</f>
        <v>0.8485376471</v>
      </c>
      <c r="AF345" s="30">
        <f>IFERROR(__xludf.DUMMYFUNCTION("""COMPUTED_VALUE"""),0.9960485409554015)</f>
        <v>0.996048541</v>
      </c>
      <c r="AG345" s="30">
        <f>IFERROR(__xludf.DUMMYFUNCTION("""COMPUTED_VALUE"""),1.0762608397494826)</f>
        <v>1.07626084</v>
      </c>
      <c r="AH345" s="30">
        <f>IFERROR(__xludf.DUMMYFUNCTION("""COMPUTED_VALUE"""),0.8150723169671107)</f>
        <v>0.815072317</v>
      </c>
      <c r="AI345" s="30">
        <f>IFERROR(__xludf.DUMMYFUNCTION("""COMPUTED_VALUE"""),0.986595991508608)</f>
        <v>0.9865959915</v>
      </c>
      <c r="AJ345" s="30">
        <f>IFERROR(__xludf.DUMMYFUNCTION("""COMPUTED_VALUE"""),0.8140534681637736)</f>
        <v>0.8140534682</v>
      </c>
      <c r="AK345" s="30">
        <f>IFERROR(__xludf.DUMMYFUNCTION("""COMPUTED_VALUE"""),0.8274218444308202)</f>
        <v>0.8274218444</v>
      </c>
      <c r="AL345" s="30">
        <f>IFERROR(__xludf.DUMMYFUNCTION("""COMPUTED_VALUE"""),1.1643403423813732)</f>
        <v>1.164340342</v>
      </c>
      <c r="AM345" s="30">
        <f>IFERROR(__xludf.DUMMYFUNCTION("""COMPUTED_VALUE"""),0.8986503320012275)</f>
        <v>0.898650332</v>
      </c>
      <c r="AN345" s="30">
        <f>IFERROR(__xludf.DUMMYFUNCTION("""COMPUTED_VALUE"""),0.9547313447093521)</f>
        <v>0.9547313447</v>
      </c>
      <c r="AO345" s="30">
        <f>IFERROR(__xludf.DUMMYFUNCTION("""COMPUTED_VALUE"""),0.8577736948367153)</f>
        <v>0.8577736948</v>
      </c>
      <c r="AP345" s="30">
        <f>IFERROR(__xludf.DUMMYFUNCTION("""COMPUTED_VALUE"""),0.9818001118059874)</f>
        <v>0.9818001118</v>
      </c>
      <c r="AQ345" s="30">
        <f>IFERROR(__xludf.DUMMYFUNCTION("""COMPUTED_VALUE"""),1.0888055343329432)</f>
        <v>1.088805534</v>
      </c>
      <c r="AR345" s="30">
        <f>IFERROR(__xludf.DUMMYFUNCTION("""COMPUTED_VALUE"""),0.8040138342502141)</f>
        <v>0.8040138343</v>
      </c>
      <c r="AS345" s="30">
        <f>IFERROR(__xludf.DUMMYFUNCTION("""COMPUTED_VALUE"""),43.0)</f>
        <v>43</v>
      </c>
      <c r="AT345" s="30">
        <f>IFERROR(__xludf.DUMMYFUNCTION("""COMPUTED_VALUE"""),0.600323801629303)</f>
        <v>0.6003238016</v>
      </c>
      <c r="AU345" s="30">
        <f>IFERROR(__xludf.DUMMYFUNCTION("""COMPUTED_VALUE"""),2.265028695885627)</f>
        <v>2.265028696</v>
      </c>
      <c r="AV345" s="32">
        <f>IFERROR(__xludf.DUMMYFUNCTION("""COMPUTED_VALUE"""),46.75055118183011)</f>
        <v>46.75055118</v>
      </c>
      <c r="AW345" s="32">
        <f>IFERROR(__xludf.DUMMYFUNCTION("""COMPUTED_VALUE"""),-2.2306892497157698)</f>
        <v>-2.23068925</v>
      </c>
      <c r="AX345" s="32">
        <f>IFERROR(__xludf.DUMMYFUNCTION("""COMPUTED_VALUE"""),35.30621804060773)</f>
        <v>35.30621804</v>
      </c>
      <c r="AY345" s="32">
        <f>IFERROR(__xludf.DUMMYFUNCTION("""COMPUTED_VALUE"""),-3.5926040783655706)</f>
        <v>-3.592604078</v>
      </c>
      <c r="AZ345" s="30">
        <f>IFERROR(__xludf.DUMMYFUNCTION("""COMPUTED_VALUE"""),1.3619148286498008)</f>
        <v>1.361914829</v>
      </c>
      <c r="BA345" s="30">
        <f>IFERROR(__xludf.DUMMYFUNCTION("""COMPUTED_VALUE"""),1200.0)</f>
        <v>1200</v>
      </c>
    </row>
    <row r="346">
      <c r="A346" s="71" t="str">
        <f>IFERROR(__xludf.DUMMYFUNCTION("""COMPUTED_VALUE"""),"Veteran")</f>
        <v>Veteran</v>
      </c>
      <c r="B346" s="71" t="str">
        <f>IFERROR(__xludf.DUMMYFUNCTION("""COMPUTED_VALUE"""),"RSC005960")</f>
        <v>RSC005960</v>
      </c>
      <c r="C346" s="30" t="str">
        <f>IFERROR(__xludf.DUMMYFUNCTION("""COMPUTED_VALUE"""),"Hyper")</f>
        <v>Hyper</v>
      </c>
      <c r="D346" s="30" t="str">
        <f>IFERROR(__xludf.DUMMYFUNCTION("""COMPUTED_VALUE"""),"Possessed")</f>
        <v>Possessed</v>
      </c>
      <c r="E346" s="30">
        <f>IFERROR(__xludf.DUMMYFUNCTION("""COMPUTED_VALUE"""),12.0)</f>
        <v>12</v>
      </c>
      <c r="F346" s="30">
        <f>IFERROR(__xludf.DUMMYFUNCTION("""COMPUTED_VALUE"""),4.0)</f>
        <v>4</v>
      </c>
      <c r="G346" s="42">
        <f>IFERROR(__xludf.DUMMYFUNCTION("""COMPUTED_VALUE"""),8.0)</f>
        <v>8</v>
      </c>
      <c r="H346" s="42">
        <f>IFERROR(__xludf.DUMMYFUNCTION("""COMPUTED_VALUE"""),0.3333333333333333)</f>
        <v>0.3333333333</v>
      </c>
      <c r="I346" s="42">
        <f>IFERROR(__xludf.DUMMYFUNCTION("""COMPUTED_VALUE"""),0.125)</f>
        <v>0.125</v>
      </c>
      <c r="J346" s="30">
        <f>IFERROR(__xludf.DUMMYFUNCTION("""COMPUTED_VALUE"""),308.75)</f>
        <v>308.75</v>
      </c>
      <c r="K346" s="30">
        <f>IFERROR(__xludf.DUMMYFUNCTION("""COMPUTED_VALUE"""),0.25)</f>
        <v>0.25</v>
      </c>
      <c r="L346" s="30">
        <f>IFERROR(__xludf.DUMMYFUNCTION("""COMPUTED_VALUE"""),0.75)</f>
        <v>0.75</v>
      </c>
      <c r="M346" s="30">
        <f>IFERROR(__xludf.DUMMYFUNCTION("""COMPUTED_VALUE"""),1.6666666666666667)</f>
        <v>1.666666667</v>
      </c>
      <c r="N346" s="30">
        <f>IFERROR(__xludf.DUMMYFUNCTION("""COMPUTED_VALUE"""),2.0)</f>
        <v>2</v>
      </c>
      <c r="O346" s="30">
        <f>IFERROR(__xludf.DUMMYFUNCTION("""COMPUTED_VALUE"""),411.8611111111111)</f>
        <v>411.8611111</v>
      </c>
      <c r="P346" s="30">
        <f>IFERROR(__xludf.DUMMYFUNCTION("""COMPUTED_VALUE"""),1.111111111111111)</f>
        <v>1.111111111</v>
      </c>
      <c r="Q346" s="30">
        <f>IFERROR(__xludf.DUMMYFUNCTION("""COMPUTED_VALUE"""),0.888888888888889)</f>
        <v>0.8888888889</v>
      </c>
      <c r="R346" s="30">
        <f>IFERROR(__xludf.DUMMYFUNCTION("""COMPUTED_VALUE"""),1.4166666666666667)</f>
        <v>1.416666667</v>
      </c>
      <c r="S346" s="30">
        <f>IFERROR(__xludf.DUMMYFUNCTION("""COMPUTED_VALUE"""),3.0833333333333335)</f>
        <v>3.083333333</v>
      </c>
      <c r="T346" s="30">
        <f>IFERROR(__xludf.DUMMYFUNCTION("""COMPUTED_VALUE"""),364.6856202443017)</f>
        <v>364.6856202</v>
      </c>
      <c r="U346" s="30">
        <f>IFERROR(__xludf.DUMMYFUNCTION("""COMPUTED_VALUE"""),0.8285792699159668)</f>
        <v>0.8285792699</v>
      </c>
      <c r="V346" s="30">
        <f>IFERROR(__xludf.DUMMYFUNCTION("""COMPUTED_VALUE"""),0.5474833581179305)</f>
        <v>0.5474833581</v>
      </c>
      <c r="W346" s="30">
        <f>IFERROR(__xludf.DUMMYFUNCTION("""COMPUTED_VALUE"""),1.4128157763196982)</f>
        <v>1.412815776</v>
      </c>
      <c r="X346" s="30">
        <f>IFERROR(__xludf.DUMMYFUNCTION("""COMPUTED_VALUE"""),2.856069940424492)</f>
        <v>2.85606994</v>
      </c>
      <c r="Y346" s="30">
        <f>IFERROR(__xludf.DUMMYFUNCTION("""COMPUTED_VALUE"""),347.89127320775907)</f>
        <v>347.8912732</v>
      </c>
      <c r="Z346" s="30">
        <f>IFERROR(__xludf.DUMMYFUNCTION("""COMPUTED_VALUE"""),0.6918217722182777)</f>
        <v>0.6918217722</v>
      </c>
      <c r="AA346" s="30">
        <f>IFERROR(__xludf.DUMMYFUNCTION("""COMPUTED_VALUE"""),0.5224841398578141)</f>
        <v>0.5224841399</v>
      </c>
      <c r="AB346" s="30">
        <f>IFERROR(__xludf.DUMMYFUNCTION("""COMPUTED_VALUE"""),1.4622831605701485)</f>
        <v>1.462283161</v>
      </c>
      <c r="AC346" s="30">
        <f>IFERROR(__xludf.DUMMYFUNCTION("""COMPUTED_VALUE"""),2.5063842732855526)</f>
        <v>2.506384273</v>
      </c>
      <c r="AD346" s="30">
        <f>IFERROR(__xludf.DUMMYFUNCTION("""COMPUTED_VALUE"""),0.8874899250939702)</f>
        <v>0.8874899251</v>
      </c>
      <c r="AE346" s="30">
        <f>IFERROR(__xludf.DUMMYFUNCTION("""COMPUTED_VALUE"""),0.3613647474527907)</f>
        <v>0.3613647475</v>
      </c>
      <c r="AF346" s="30">
        <f>IFERROR(__xludf.DUMMYFUNCTION("""COMPUTED_VALUE"""),1.4354502707088885)</f>
        <v>1.435450271</v>
      </c>
      <c r="AG346" s="30">
        <f>IFERROR(__xludf.DUMMYFUNCTION("""COMPUTED_VALUE"""),1.1397701290746098)</f>
        <v>1.139770129</v>
      </c>
      <c r="AH346" s="30">
        <f>IFERROR(__xludf.DUMMYFUNCTION("""COMPUTED_VALUE"""),0.7979622364044971)</f>
        <v>0.7979622364</v>
      </c>
      <c r="AI346" s="30">
        <f>IFERROR(__xludf.DUMMYFUNCTION("""COMPUTED_VALUE"""),1.1293593392445984)</f>
        <v>1.129359339</v>
      </c>
      <c r="AJ346" s="30">
        <f>IFERROR(__xludf.DUMMYFUNCTION("""COMPUTED_VALUE"""),1.3409834779281868)</f>
        <v>1.340983478</v>
      </c>
      <c r="AK346" s="30">
        <f>IFERROR(__xludf.DUMMYFUNCTION("""COMPUTED_VALUE"""),1.623590700445397)</f>
        <v>1.6235907</v>
      </c>
      <c r="AL346" s="30">
        <f>IFERROR(__xludf.DUMMYFUNCTION("""COMPUTED_VALUE"""),1.0027256847010866)</f>
        <v>1.002725685</v>
      </c>
      <c r="AM346" s="30">
        <f>IFERROR(__xludf.DUMMYFUNCTION("""COMPUTED_VALUE"""),1.0795720684890036)</f>
        <v>1.079572068</v>
      </c>
      <c r="AN346" s="30">
        <f>IFERROR(__xludf.DUMMYFUNCTION("""COMPUTED_VALUE"""),0.8942088054145632)</f>
        <v>0.8942088054</v>
      </c>
      <c r="AO346" s="30">
        <f>IFERROR(__xludf.DUMMYFUNCTION("""COMPUTED_VALUE"""),0.33141256391418544)</f>
        <v>0.3314125639</v>
      </c>
      <c r="AP346" s="30">
        <f>IFERROR(__xludf.DUMMYFUNCTION("""COMPUTED_VALUE"""),1.3908834917251487)</f>
        <v>1.390883492</v>
      </c>
      <c r="AQ346" s="30">
        <f>IFERROR(__xludf.DUMMYFUNCTION("""COMPUTED_VALUE"""),1.2339796055773358)</f>
        <v>1.233979606</v>
      </c>
      <c r="AR346" s="30">
        <f>IFERROR(__xludf.DUMMYFUNCTION("""COMPUTED_VALUE"""),0.7810420104144938)</f>
        <v>0.7810420104</v>
      </c>
      <c r="AS346" s="30">
        <f>IFERROR(__xludf.DUMMYFUNCTION("""COMPUTED_VALUE"""),21.0)</f>
        <v>21</v>
      </c>
      <c r="AT346" s="30">
        <f>IFERROR(__xludf.DUMMYFUNCTION("""COMPUTED_VALUE"""),0.26356476241854415)</f>
        <v>0.2635647624</v>
      </c>
      <c r="AU346" s="30">
        <f>IFERROR(__xludf.DUMMYFUNCTION("""COMPUTED_VALUE"""),1.5293503798178876)</f>
        <v>1.52935038</v>
      </c>
      <c r="AV346" s="32">
        <f>IFERROR(__xludf.DUMMYFUNCTION("""COMPUTED_VALUE"""),23.962111890710958)</f>
        <v>23.96211189</v>
      </c>
      <c r="AW346" s="32">
        <f>IFERROR(__xludf.DUMMYFUNCTION("""COMPUTED_VALUE"""),-6.719609304083214)</f>
        <v>-6.719609304</v>
      </c>
      <c r="AX346" s="32">
        <f>IFERROR(__xludf.DUMMYFUNCTION("""COMPUTED_VALUE"""),27.660948480404876)</f>
        <v>27.66094848</v>
      </c>
      <c r="AY346" s="32">
        <f>IFERROR(__xludf.DUMMYFUNCTION("""COMPUTED_VALUE"""),-5.382765014816978)</f>
        <v>-5.382765015</v>
      </c>
      <c r="AZ346" s="30">
        <f>IFERROR(__xludf.DUMMYFUNCTION("""COMPUTED_VALUE"""),1.336844289266236)</f>
        <v>1.336844289</v>
      </c>
      <c r="BA346" s="30">
        <f>IFERROR(__xludf.DUMMYFUNCTION("""COMPUTED_VALUE"""),1200.0)</f>
        <v>1200</v>
      </c>
    </row>
    <row r="347">
      <c r="A347" s="71" t="str">
        <f>IFERROR(__xludf.DUMMYFUNCTION("""COMPUTED_VALUE"""),"Veteran")</f>
        <v>Veteran</v>
      </c>
      <c r="B347" s="71" t="str">
        <f>IFERROR(__xludf.DUMMYFUNCTION("""COMPUTED_VALUE"""),"RSC008007")</f>
        <v>RSC008007</v>
      </c>
      <c r="C347" s="30" t="str">
        <f>IFERROR(__xludf.DUMMYFUNCTION("""COMPUTED_VALUE"""),"Frog_Boot")</f>
        <v>Frog_Boot</v>
      </c>
      <c r="D347" s="30" t="str">
        <f>IFERROR(__xludf.DUMMYFUNCTION("""COMPUTED_VALUE"""),"Folks")</f>
        <v>Folks</v>
      </c>
      <c r="E347" s="30">
        <f>IFERROR(__xludf.DUMMYFUNCTION("""COMPUTED_VALUE"""),34.0)</f>
        <v>34</v>
      </c>
      <c r="F347" s="30">
        <f>IFERROR(__xludf.DUMMYFUNCTION("""COMPUTED_VALUE"""),18.0)</f>
        <v>18</v>
      </c>
      <c r="G347" s="42">
        <f>IFERROR(__xludf.DUMMYFUNCTION("""COMPUTED_VALUE"""),16.0)</f>
        <v>16</v>
      </c>
      <c r="H347" s="42">
        <f>IFERROR(__xludf.DUMMYFUNCTION("""COMPUTED_VALUE"""),0.5294117647058824)</f>
        <v>0.5294117647</v>
      </c>
      <c r="I347" s="42">
        <f>IFERROR(__xludf.DUMMYFUNCTION("""COMPUTED_VALUE"""),0.28723404255319146)</f>
        <v>0.2872340426</v>
      </c>
      <c r="J347" s="30">
        <f>IFERROR(__xludf.DUMMYFUNCTION("""COMPUTED_VALUE"""),391.05882352941177)</f>
        <v>391.0588235</v>
      </c>
      <c r="K347" s="30">
        <f>IFERROR(__xludf.DUMMYFUNCTION("""COMPUTED_VALUE"""),0.7941176470588235)</f>
        <v>0.7941176471</v>
      </c>
      <c r="L347" s="30">
        <f>IFERROR(__xludf.DUMMYFUNCTION("""COMPUTED_VALUE"""),0.5)</f>
        <v>0.5</v>
      </c>
      <c r="M347" s="30">
        <f>IFERROR(__xludf.DUMMYFUNCTION("""COMPUTED_VALUE"""),1.6764705882352942)</f>
        <v>1.676470588</v>
      </c>
      <c r="N347" s="30">
        <f>IFERROR(__xludf.DUMMYFUNCTION("""COMPUTED_VALUE"""),2.764705882352941)</f>
        <v>2.764705882</v>
      </c>
      <c r="O347" s="30">
        <f>IFERROR(__xludf.DUMMYFUNCTION("""COMPUTED_VALUE"""),340.29411764705884)</f>
        <v>340.2941176</v>
      </c>
      <c r="P347" s="30">
        <f>IFERROR(__xludf.DUMMYFUNCTION("""COMPUTED_VALUE"""),0.715686274509804)</f>
        <v>0.7156862745</v>
      </c>
      <c r="Q347" s="30">
        <f>IFERROR(__xludf.DUMMYFUNCTION("""COMPUTED_VALUE"""),0.5980392156862746)</f>
        <v>0.5980392157</v>
      </c>
      <c r="R347" s="30">
        <f>IFERROR(__xludf.DUMMYFUNCTION("""COMPUTED_VALUE"""),1.2352941176470587)</f>
        <v>1.235294118</v>
      </c>
      <c r="S347" s="30">
        <f>IFERROR(__xludf.DUMMYFUNCTION("""COMPUTED_VALUE"""),2.549019607843137)</f>
        <v>2.549019608</v>
      </c>
      <c r="T347" s="30">
        <f>IFERROR(__xludf.DUMMYFUNCTION("""COMPUTED_VALUE"""),363.1115303358698)</f>
        <v>363.1115303</v>
      </c>
      <c r="U347" s="30">
        <f>IFERROR(__xludf.DUMMYFUNCTION("""COMPUTED_VALUE"""),0.8190100933299811)</f>
        <v>0.8190100933</v>
      </c>
      <c r="V347" s="30">
        <f>IFERROR(__xludf.DUMMYFUNCTION("""COMPUTED_VALUE"""),0.6190361300161034)</f>
        <v>0.61903613</v>
      </c>
      <c r="W347" s="30">
        <f>IFERROR(__xludf.DUMMYFUNCTION("""COMPUTED_VALUE"""),1.3703725237912463)</f>
        <v>1.370372524</v>
      </c>
      <c r="X347" s="30">
        <f>IFERROR(__xludf.DUMMYFUNCTION("""COMPUTED_VALUE"""),2.7042125167636764)</f>
        <v>2.704212517</v>
      </c>
      <c r="Y347" s="30">
        <f>IFERROR(__xludf.DUMMYFUNCTION("""COMPUTED_VALUE"""),356.3438692151082)</f>
        <v>356.3438692</v>
      </c>
      <c r="Z347" s="30">
        <f>IFERROR(__xludf.DUMMYFUNCTION("""COMPUTED_VALUE"""),0.7954893657360607)</f>
        <v>0.7954893657</v>
      </c>
      <c r="AA347" s="30">
        <f>IFERROR(__xludf.DUMMYFUNCTION("""COMPUTED_VALUE"""),0.5660362865658364)</f>
        <v>0.5660362866</v>
      </c>
      <c r="AB347" s="30">
        <f>IFERROR(__xludf.DUMMYFUNCTION("""COMPUTED_VALUE"""),1.3818228121765146)</f>
        <v>1.381822812</v>
      </c>
      <c r="AC347" s="30">
        <f>IFERROR(__xludf.DUMMYFUNCTION("""COMPUTED_VALUE"""),2.6443534310639856)</f>
        <v>2.644353431</v>
      </c>
      <c r="AD347" s="30">
        <f>IFERROR(__xludf.DUMMYFUNCTION("""COMPUTED_VALUE"""),1.0974198164002866)</f>
        <v>1.097419816</v>
      </c>
      <c r="AE347" s="30">
        <f>IFERROR(__xludf.DUMMYFUNCTION("""COMPUTED_VALUE"""),0.9982756291456292)</f>
        <v>0.9982756291</v>
      </c>
      <c r="AF347" s="30">
        <f>IFERROR(__xludf.DUMMYFUNCTION("""COMPUTED_VALUE"""),0.883335595026105)</f>
        <v>0.883335595</v>
      </c>
      <c r="AG347" s="30">
        <f>IFERROR(__xludf.DUMMYFUNCTION("""COMPUTED_VALUE"""),1.2132312286802378)</f>
        <v>1.213231229</v>
      </c>
      <c r="AH347" s="30">
        <f>IFERROR(__xludf.DUMMYFUNCTION("""COMPUTED_VALUE"""),1.045512997572541)</f>
        <v>1.045512998</v>
      </c>
      <c r="AI347" s="30">
        <f>IFERROR(__xludf.DUMMYFUNCTION("""COMPUTED_VALUE"""),0.9371614207136155)</f>
        <v>0.9371614207</v>
      </c>
      <c r="AJ347" s="30">
        <f>IFERROR(__xludf.DUMMYFUNCTION("""COMPUTED_VALUE"""),0.8738430458163503)</f>
        <v>0.8738430458</v>
      </c>
      <c r="AK347" s="30">
        <f>IFERROR(__xludf.DUMMYFUNCTION("""COMPUTED_VALUE"""),0.9660812781165413)</f>
        <v>0.9660812781</v>
      </c>
      <c r="AL347" s="30">
        <f>IFERROR(__xludf.DUMMYFUNCTION("""COMPUTED_VALUE"""),0.9014294260873807)</f>
        <v>0.9014294261</v>
      </c>
      <c r="AM347" s="30">
        <f>IFERROR(__xludf.DUMMYFUNCTION("""COMPUTED_VALUE"""),0.9426106831624795)</f>
        <v>0.9426106832</v>
      </c>
      <c r="AN347" s="30">
        <f>IFERROR(__xludf.DUMMYFUNCTION("""COMPUTED_VALUE"""),1.1325935010042423)</f>
        <v>1.132593501</v>
      </c>
      <c r="AO347" s="30">
        <f>IFERROR(__xludf.DUMMYFUNCTION("""COMPUTED_VALUE"""),1.0527222618450596)</f>
        <v>1.052722262</v>
      </c>
      <c r="AP347" s="30">
        <f>IFERROR(__xludf.DUMMYFUNCTION("""COMPUTED_VALUE"""),0.9272556611500992)</f>
        <v>0.9272556612</v>
      </c>
      <c r="AQ347" s="30">
        <f>IFERROR(__xludf.DUMMYFUNCTION("""COMPUTED_VALUE"""),1.2412383091395554)</f>
        <v>1.241238309</v>
      </c>
      <c r="AR347" s="30">
        <f>IFERROR(__xludf.DUMMYFUNCTION("""COMPUTED_VALUE"""),1.0796757202788592)</f>
        <v>1.07967572</v>
      </c>
      <c r="AS347" s="30">
        <f>IFERROR(__xludf.DUMMYFUNCTION("""COMPUTED_VALUE"""),75.0)</f>
        <v>75</v>
      </c>
      <c r="AT347" s="30">
        <f>IFERROR(__xludf.DUMMYFUNCTION("""COMPUTED_VALUE"""),0.510304665214693)</f>
        <v>0.5103046652</v>
      </c>
      <c r="AU347" s="30">
        <f>IFERROR(__xludf.DUMMYFUNCTION("""COMPUTED_VALUE"""),2.650251179195664)</f>
        <v>2.650251179</v>
      </c>
      <c r="AV347" s="32">
        <f>IFERROR(__xludf.DUMMYFUNCTION("""COMPUTED_VALUE"""),58.683238312541505)</f>
        <v>58.68323831</v>
      </c>
      <c r="AW347" s="32">
        <f>IFERROR(__xludf.DUMMYFUNCTION("""COMPUTED_VALUE"""),2.7459560884802126)</f>
        <v>2.745956088</v>
      </c>
      <c r="AX347" s="32">
        <f>IFERROR(__xludf.DUMMYFUNCTION("""COMPUTED_VALUE"""),66.58536303725563)</f>
        <v>66.58536304</v>
      </c>
      <c r="AY347" s="32">
        <f>IFERROR(__xludf.DUMMYFUNCTION("""COMPUTED_VALUE"""),3.9442666597306846)</f>
        <v>3.94426666</v>
      </c>
      <c r="AZ347" s="30">
        <f>IFERROR(__xludf.DUMMYFUNCTION("""COMPUTED_VALUE"""),1.198310571250472)</f>
        <v>1.198310571</v>
      </c>
      <c r="BA347" s="30">
        <f>IFERROR(__xludf.DUMMYFUNCTION("""COMPUTED_VALUE"""),1200.0)</f>
        <v>1200</v>
      </c>
    </row>
    <row r="348">
      <c r="A348" s="71" t="str">
        <f>IFERROR(__xludf.DUMMYFUNCTION("""COMPUTED_VALUE"""),"Veteran")</f>
        <v>Veteran</v>
      </c>
      <c r="B348" s="71" t="str">
        <f>IFERROR(__xludf.DUMMYFUNCTION("""COMPUTED_VALUE"""),"RSC000156")</f>
        <v>RSC000156</v>
      </c>
      <c r="C348" s="30" t="str">
        <f>IFERROR(__xludf.DUMMYFUNCTION("""COMPUTED_VALUE"""),"Drupenson")</f>
        <v>Drupenson</v>
      </c>
      <c r="D348" s="30"/>
      <c r="E348" s="30">
        <f>IFERROR(__xludf.DUMMYFUNCTION("""COMPUTED_VALUE"""),6.0)</f>
        <v>6</v>
      </c>
      <c r="F348" s="30">
        <f>IFERROR(__xludf.DUMMYFUNCTION("""COMPUTED_VALUE"""),2.0)</f>
        <v>2</v>
      </c>
      <c r="G348" s="42">
        <f>IFERROR(__xludf.DUMMYFUNCTION("""COMPUTED_VALUE"""),4.0)</f>
        <v>4</v>
      </c>
      <c r="H348" s="42">
        <f>IFERROR(__xludf.DUMMYFUNCTION("""COMPUTED_VALUE"""),0.3333333333333333)</f>
        <v>0.3333333333</v>
      </c>
      <c r="I348" s="42">
        <f>IFERROR(__xludf.DUMMYFUNCTION("""COMPUTED_VALUE"""),0.4117647058823529)</f>
        <v>0.4117647059</v>
      </c>
      <c r="J348" s="30">
        <f>IFERROR(__xludf.DUMMYFUNCTION("""COMPUTED_VALUE"""),303.6666666666667)</f>
        <v>303.6666667</v>
      </c>
      <c r="K348" s="30">
        <f>IFERROR(__xludf.DUMMYFUNCTION("""COMPUTED_VALUE"""),1.1666666666666667)</f>
        <v>1.166666667</v>
      </c>
      <c r="L348" s="30">
        <f>IFERROR(__xludf.DUMMYFUNCTION("""COMPUTED_VALUE"""),0.0)</f>
        <v>0</v>
      </c>
      <c r="M348" s="30">
        <f>IFERROR(__xludf.DUMMYFUNCTION("""COMPUTED_VALUE"""),0.5)</f>
        <v>0.5</v>
      </c>
      <c r="N348" s="30">
        <f>IFERROR(__xludf.DUMMYFUNCTION("""COMPUTED_VALUE"""),2.8333333333333335)</f>
        <v>2.833333333</v>
      </c>
      <c r="O348" s="30">
        <f>IFERROR(__xludf.DUMMYFUNCTION("""COMPUTED_VALUE"""),334.72222222222223)</f>
        <v>334.7222222</v>
      </c>
      <c r="P348" s="30">
        <f>IFERROR(__xludf.DUMMYFUNCTION("""COMPUTED_VALUE"""),0.888888888888889)</f>
        <v>0.8888888889</v>
      </c>
      <c r="Q348" s="30">
        <f>IFERROR(__xludf.DUMMYFUNCTION("""COMPUTED_VALUE"""),0.6666666666666666)</f>
        <v>0.6666666667</v>
      </c>
      <c r="R348" s="30">
        <f>IFERROR(__xludf.DUMMYFUNCTION("""COMPUTED_VALUE"""),0.9999999999999999)</f>
        <v>1</v>
      </c>
      <c r="S348" s="30">
        <f>IFERROR(__xludf.DUMMYFUNCTION("""COMPUTED_VALUE"""),2.055555555555556)</f>
        <v>2.055555556</v>
      </c>
      <c r="T348" s="30">
        <f>IFERROR(__xludf.DUMMYFUNCTION("""COMPUTED_VALUE"""),358.3558901338313)</f>
        <v>358.3558901</v>
      </c>
      <c r="U348" s="30">
        <f>IFERROR(__xludf.DUMMYFUNCTION("""COMPUTED_VALUE"""),0.8061344537815126)</f>
        <v>0.8061344538</v>
      </c>
      <c r="V348" s="30">
        <f>IFERROR(__xludf.DUMMYFUNCTION("""COMPUTED_VALUE"""),0.566604419545596)</f>
        <v>0.5666044195</v>
      </c>
      <c r="W348" s="30">
        <f>IFERROR(__xludf.DUMMYFUNCTION("""COMPUTED_VALUE"""),1.3637581699346404)</f>
        <v>1.36375817</v>
      </c>
      <c r="X348" s="30">
        <f>IFERROR(__xludf.DUMMYFUNCTION("""COMPUTED_VALUE"""),2.5752100840336127)</f>
        <v>2.575210084</v>
      </c>
      <c r="Y348" s="30">
        <f>IFERROR(__xludf.DUMMYFUNCTION("""COMPUTED_VALUE"""),363.67424006639703)</f>
        <v>363.6742401</v>
      </c>
      <c r="Z348" s="30">
        <f>IFERROR(__xludf.DUMMYFUNCTION("""COMPUTED_VALUE"""),0.8818788256043159)</f>
        <v>0.8818788256</v>
      </c>
      <c r="AA348" s="30">
        <f>IFERROR(__xludf.DUMMYFUNCTION("""COMPUTED_VALUE"""),0.6230801950409794)</f>
        <v>0.623080195</v>
      </c>
      <c r="AB348" s="30">
        <f>IFERROR(__xludf.DUMMYFUNCTION("""COMPUTED_VALUE"""),1.2570619358854653)</f>
        <v>1.257061936</v>
      </c>
      <c r="AC348" s="30">
        <f>IFERROR(__xludf.DUMMYFUNCTION("""COMPUTED_VALUE"""),2.886715426911506)</f>
        <v>2.886715427</v>
      </c>
      <c r="AD348" s="30">
        <f>IFERROR(__xludf.DUMMYFUNCTION("""COMPUTED_VALUE"""),0.8349963599600164)</f>
        <v>0.83499636</v>
      </c>
      <c r="AE348" s="30">
        <f>IFERROR(__xludf.DUMMYFUNCTION("""COMPUTED_VALUE"""),1.3229330751503159)</f>
        <v>1.322933075</v>
      </c>
      <c r="AF348" s="30">
        <f>IFERROR(__xludf.DUMMYFUNCTION("""COMPUTED_VALUE"""),0.0)</f>
        <v>0</v>
      </c>
      <c r="AG348" s="30">
        <f>IFERROR(__xludf.DUMMYFUNCTION("""COMPUTED_VALUE"""),0.39775287575452967)</f>
        <v>0.3977528758</v>
      </c>
      <c r="AH348" s="30">
        <f>IFERROR(__xludf.DUMMYFUNCTION("""COMPUTED_VALUE"""),0.9815076702467739)</f>
        <v>0.9815076702</v>
      </c>
      <c r="AI348" s="30">
        <f>IFERROR(__xludf.DUMMYFUNCTION("""COMPUTED_VALUE"""),0.9340497294385678)</f>
        <v>0.9340497294</v>
      </c>
      <c r="AJ348" s="30">
        <f>IFERROR(__xludf.DUMMYFUNCTION("""COMPUTED_VALUE"""),1.1026558717583423)</f>
        <v>1.102655872</v>
      </c>
      <c r="AK348" s="30">
        <f>IFERROR(__xludf.DUMMYFUNCTION("""COMPUTED_VALUE"""),1.176599835210107)</f>
        <v>1.176599835</v>
      </c>
      <c r="AL348" s="30">
        <f>IFERROR(__xludf.DUMMYFUNCTION("""COMPUTED_VALUE"""),0.7332678344635882)</f>
        <v>0.7332678345</v>
      </c>
      <c r="AM348" s="30">
        <f>IFERROR(__xludf.DUMMYFUNCTION("""COMPUTED_VALUE"""),0.798208879461939)</f>
        <v>0.7982088795</v>
      </c>
      <c r="AN348" s="30">
        <f>IFERROR(__xludf.DUMMYFUNCTION("""COMPUTED_VALUE"""),0.879486339252542)</f>
        <v>0.8794863393</v>
      </c>
      <c r="AO348" s="30">
        <f>IFERROR(__xludf.DUMMYFUNCTION("""COMPUTED_VALUE"""),1.5465919649328654)</f>
        <v>1.546591965</v>
      </c>
      <c r="AP348" s="30">
        <f>IFERROR(__xludf.DUMMYFUNCTION("""COMPUTED_VALUE"""),0.0)</f>
        <v>0</v>
      </c>
      <c r="AQ348" s="30">
        <f>IFERROR(__xludf.DUMMYFUNCTION("""COMPUTED_VALUE"""),0.37019388167320066)</f>
        <v>0.3701938817</v>
      </c>
      <c r="AR348" s="30">
        <f>IFERROR(__xludf.DUMMYFUNCTION("""COMPUTED_VALUE"""),1.1064761814205328)</f>
        <v>1.106476181</v>
      </c>
      <c r="AS348" s="30">
        <f>IFERROR(__xludf.DUMMYFUNCTION("""COMPUTED_VALUE"""),15.0)</f>
        <v>15</v>
      </c>
      <c r="AT348" s="30">
        <f>IFERROR(__xludf.DUMMYFUNCTION("""COMPUTED_VALUE"""),0.4741736082583073)</f>
        <v>0.4741736083</v>
      </c>
      <c r="AU348" s="30">
        <f>IFERROR(__xludf.DUMMYFUNCTION("""COMPUTED_VALUE"""),1.9503574042828404)</f>
        <v>1.950357404</v>
      </c>
      <c r="AV348" s="32">
        <f>IFERROR(__xludf.DUMMYFUNCTION("""COMPUTED_VALUE"""),37.00326426480227)</f>
        <v>37.00326426</v>
      </c>
      <c r="AW348" s="32">
        <f>IFERROR(__xludf.DUMMYFUNCTION("""COMPUTED_VALUE"""),-3.3158995277233854)</f>
        <v>-3.315899528</v>
      </c>
      <c r="AX348" s="32">
        <f>IFERROR(__xludf.DUMMYFUNCTION("""COMPUTED_VALUE"""),47.947603537383785)</f>
        <v>47.94760354</v>
      </c>
      <c r="AY348" s="32">
        <f>IFERROR(__xludf.DUMMYFUNCTION("""COMPUTED_VALUE"""),-2.140020500338029)</f>
        <v>-2.1400205</v>
      </c>
      <c r="AZ348" s="30">
        <f>IFERROR(__xludf.DUMMYFUNCTION("""COMPUTED_VALUE"""),1.1758790273853563)</f>
        <v>1.175879027</v>
      </c>
      <c r="BA348" s="30">
        <f>IFERROR(__xludf.DUMMYFUNCTION("""COMPUTED_VALUE"""),1200.0)</f>
        <v>1200</v>
      </c>
    </row>
    <row r="349">
      <c r="A349" s="71" t="str">
        <f>IFERROR(__xludf.DUMMYFUNCTION("""COMPUTED_VALUE"""),"Veteran")</f>
        <v>Veteran</v>
      </c>
      <c r="B349" s="71" t="str">
        <f>IFERROR(__xludf.DUMMYFUNCTION("""COMPUTED_VALUE"""),"RSC004109")</f>
        <v>RSC004109</v>
      </c>
      <c r="C349" s="30" t="str">
        <f>IFERROR(__xludf.DUMMYFUNCTION("""COMPUTED_VALUE"""),"Hawkish")</f>
        <v>Hawkish</v>
      </c>
      <c r="D349" s="30" t="str">
        <f>IFERROR(__xludf.DUMMYFUNCTION("""COMPUTED_VALUE"""),"Werewolves")</f>
        <v>Werewolves</v>
      </c>
      <c r="E349" s="30">
        <f>IFERROR(__xludf.DUMMYFUNCTION("""COMPUTED_VALUE"""),31.0)</f>
        <v>31</v>
      </c>
      <c r="F349" s="30">
        <f>IFERROR(__xludf.DUMMYFUNCTION("""COMPUTED_VALUE"""),12.0)</f>
        <v>12</v>
      </c>
      <c r="G349" s="42">
        <f>IFERROR(__xludf.DUMMYFUNCTION("""COMPUTED_VALUE"""),19.0)</f>
        <v>19</v>
      </c>
      <c r="H349" s="42">
        <f>IFERROR(__xludf.DUMMYFUNCTION("""COMPUTED_VALUE"""),0.3870967741935484)</f>
        <v>0.3870967742</v>
      </c>
      <c r="I349" s="42">
        <f>IFERROR(__xludf.DUMMYFUNCTION("""COMPUTED_VALUE"""),0.30769230769230765)</f>
        <v>0.3076923077</v>
      </c>
      <c r="J349" s="30">
        <f>IFERROR(__xludf.DUMMYFUNCTION("""COMPUTED_VALUE"""),407.6774193548387)</f>
        <v>407.6774194</v>
      </c>
      <c r="K349" s="30">
        <f>IFERROR(__xludf.DUMMYFUNCTION("""COMPUTED_VALUE"""),1.032258064516129)</f>
        <v>1.032258065</v>
      </c>
      <c r="L349" s="30">
        <f>IFERROR(__xludf.DUMMYFUNCTION("""COMPUTED_VALUE"""),0.5806451612903226)</f>
        <v>0.5806451613</v>
      </c>
      <c r="M349" s="30">
        <f>IFERROR(__xludf.DUMMYFUNCTION("""COMPUTED_VALUE"""),1.5161290322580645)</f>
        <v>1.516129032</v>
      </c>
      <c r="N349" s="30">
        <f>IFERROR(__xludf.DUMMYFUNCTION("""COMPUTED_VALUE"""),3.3548387096774195)</f>
        <v>3.35483871</v>
      </c>
      <c r="O349" s="30">
        <f>IFERROR(__xludf.DUMMYFUNCTION("""COMPUTED_VALUE"""),410.70967741935476)</f>
        <v>410.7096774</v>
      </c>
      <c r="P349" s="30">
        <f>IFERROR(__xludf.DUMMYFUNCTION("""COMPUTED_VALUE"""),1.064516129032258)</f>
        <v>1.064516129</v>
      </c>
      <c r="Q349" s="30">
        <f>IFERROR(__xludf.DUMMYFUNCTION("""COMPUTED_VALUE"""),0.7741935483870968)</f>
        <v>0.7741935484</v>
      </c>
      <c r="R349" s="30">
        <f>IFERROR(__xludf.DUMMYFUNCTION("""COMPUTED_VALUE"""),1.5268817204301075)</f>
        <v>1.52688172</v>
      </c>
      <c r="S349" s="30">
        <f>IFERROR(__xludf.DUMMYFUNCTION("""COMPUTED_VALUE"""),2.9784946236559144)</f>
        <v>2.978494624</v>
      </c>
      <c r="T349" s="30">
        <f>IFERROR(__xludf.DUMMYFUNCTION("""COMPUTED_VALUE"""),360.7320265116014)</f>
        <v>360.7320265</v>
      </c>
      <c r="U349" s="30">
        <f>IFERROR(__xludf.DUMMYFUNCTION("""COMPUTED_VALUE"""),0.8432115788712792)</f>
        <v>0.8432115789</v>
      </c>
      <c r="V349" s="30">
        <f>IFERROR(__xludf.DUMMYFUNCTION("""COMPUTED_VALUE"""),0.6286215514622319)</f>
        <v>0.6286215515</v>
      </c>
      <c r="W349" s="30">
        <f>IFERROR(__xludf.DUMMYFUNCTION("""COMPUTED_VALUE"""),1.3539472031364583)</f>
        <v>1.353947203</v>
      </c>
      <c r="X349" s="30">
        <f>IFERROR(__xludf.DUMMYFUNCTION("""COMPUTED_VALUE"""),2.6994608003121368)</f>
        <v>2.6994608</v>
      </c>
      <c r="Y349" s="30">
        <f>IFERROR(__xludf.DUMMYFUNCTION("""COMPUTED_VALUE"""),360.88336462839476)</f>
        <v>360.8833646</v>
      </c>
      <c r="Z349" s="30">
        <f>IFERROR(__xludf.DUMMYFUNCTION("""COMPUTED_VALUE"""),0.8206918574843951)</f>
        <v>0.8206918575</v>
      </c>
      <c r="AA349" s="30">
        <f>IFERROR(__xludf.DUMMYFUNCTION("""COMPUTED_VALUE"""),0.5924053805464923)</f>
        <v>0.5924053805</v>
      </c>
      <c r="AB349" s="30">
        <f>IFERROR(__xludf.DUMMYFUNCTION("""COMPUTED_VALUE"""),1.3734880553605069)</f>
        <v>1.373488055</v>
      </c>
      <c r="AC349" s="30">
        <f>IFERROR(__xludf.DUMMYFUNCTION("""COMPUTED_VALUE"""),2.6416354360062124)</f>
        <v>2.641635436</v>
      </c>
      <c r="AD349" s="30">
        <f>IFERROR(__xludf.DUMMYFUNCTION("""COMPUTED_VALUE"""),1.1296653138185748)</f>
        <v>1.129665314</v>
      </c>
      <c r="AE349" s="30">
        <f>IFERROR(__xludf.DUMMYFUNCTION("""COMPUTED_VALUE"""),1.2577900646903355)</f>
        <v>1.257790065</v>
      </c>
      <c r="AF349" s="30">
        <f>IFERROR(__xludf.DUMMYFUNCTION("""COMPUTED_VALUE"""),0.9801483584681137)</f>
        <v>0.9801483585</v>
      </c>
      <c r="AG349" s="30">
        <f>IFERROR(__xludf.DUMMYFUNCTION("""COMPUTED_VALUE"""),1.1038530887406355)</f>
        <v>1.103853089</v>
      </c>
      <c r="AH349" s="30">
        <f>IFERROR(__xludf.DUMMYFUNCTION("""COMPUTED_VALUE"""),1.2699855036580945)</f>
        <v>1.269985504</v>
      </c>
      <c r="AI349" s="30">
        <f>IFERROR(__xludf.DUMMYFUNCTION("""COMPUTED_VALUE"""),1.138545089525468)</f>
        <v>1.13854509</v>
      </c>
      <c r="AJ349" s="30">
        <f>IFERROR(__xludf.DUMMYFUNCTION("""COMPUTED_VALUE"""),1.262454353932398)</f>
        <v>1.262454354</v>
      </c>
      <c r="AK349" s="30">
        <f>IFERROR(__xludf.DUMMYFUNCTION("""COMPUTED_VALUE"""),1.2315733474079134)</f>
        <v>1.231573347</v>
      </c>
      <c r="AL349" s="30">
        <f>IFERROR(__xludf.DUMMYFUNCTION("""COMPUTED_VALUE"""),1.1277261896867479)</f>
        <v>1.12772619</v>
      </c>
      <c r="AM349" s="30">
        <f>IFERROR(__xludf.DUMMYFUNCTION("""COMPUTED_VALUE"""),1.1033665031592654)</f>
        <v>1.103366503</v>
      </c>
      <c r="AN349" s="30">
        <f>IFERROR(__xludf.DUMMYFUNCTION("""COMPUTED_VALUE"""),1.1807246579944364)</f>
        <v>1.180724658</v>
      </c>
      <c r="AO349" s="30">
        <f>IFERROR(__xludf.DUMMYFUNCTION("""COMPUTED_VALUE"""),1.3684131671295399)</f>
        <v>1.368413167</v>
      </c>
      <c r="AP349" s="30">
        <f>IFERROR(__xludf.DUMMYFUNCTION("""COMPUTED_VALUE"""),1.0768130258517281)</f>
        <v>1.076813026</v>
      </c>
      <c r="AQ349" s="30">
        <f>IFERROR(__xludf.DUMMYFUNCTION("""COMPUTED_VALUE"""),1.1225233831380923)</f>
        <v>1.122523383</v>
      </c>
      <c r="AR349" s="30">
        <f>IFERROR(__xludf.DUMMYFUNCTION("""COMPUTED_VALUE"""),1.310134985211409)</f>
        <v>1.310134985</v>
      </c>
      <c r="AS349" s="30">
        <f>IFERROR(__xludf.DUMMYFUNCTION("""COMPUTED_VALUE"""),70.0)</f>
        <v>70</v>
      </c>
      <c r="AT349" s="30">
        <f>IFERROR(__xludf.DUMMYFUNCTION("""COMPUTED_VALUE"""),0.36263355867786334)</f>
        <v>0.3626335587</v>
      </c>
      <c r="AU349" s="30">
        <f>IFERROR(__xludf.DUMMYFUNCTION("""COMPUTED_VALUE"""),2.964678645546689)</f>
        <v>2.964678646</v>
      </c>
      <c r="AV349" s="32">
        <f>IFERROR(__xludf.DUMMYFUNCTION("""COMPUTED_VALUE"""),68.42297247610898)</f>
        <v>68.42297248</v>
      </c>
      <c r="AW349" s="32">
        <f>IFERROR(__xludf.DUMMYFUNCTION("""COMPUTED_VALUE"""),4.336779834428263)</f>
        <v>4.336779834</v>
      </c>
      <c r="AX349" s="32">
        <f>IFERROR(__xludf.DUMMYFUNCTION("""COMPUTED_VALUE"""),62.665624604563554)</f>
        <v>62.6656246</v>
      </c>
      <c r="AY349" s="32">
        <f>IFERROR(__xludf.DUMMYFUNCTION("""COMPUTED_VALUE"""),3.265743467233262)</f>
        <v>3.265743467</v>
      </c>
      <c r="AZ349" s="30">
        <f>IFERROR(__xludf.DUMMYFUNCTION("""COMPUTED_VALUE"""),1.0710363671950014)</f>
        <v>1.071036367</v>
      </c>
      <c r="BA349" s="30">
        <f>IFERROR(__xludf.DUMMYFUNCTION("""COMPUTED_VALUE"""),1200.0)</f>
        <v>1200</v>
      </c>
    </row>
    <row r="350">
      <c r="A350" s="71" t="str">
        <f>IFERROR(__xludf.DUMMYFUNCTION("""COMPUTED_VALUE"""),"Veteran")</f>
        <v>Veteran</v>
      </c>
      <c r="B350" s="71" t="str">
        <f>IFERROR(__xludf.DUMMYFUNCTION("""COMPUTED_VALUE"""),"RSC000926")</f>
        <v>RSC000926</v>
      </c>
      <c r="C350" s="30" t="str">
        <f>IFERROR(__xludf.DUMMYFUNCTION("""COMPUTED_VALUE"""),"SlmRnchr")</f>
        <v>SlmRnchr</v>
      </c>
      <c r="D350" s="30" t="str">
        <f>IFERROR(__xludf.DUMMYFUNCTION("""COMPUTED_VALUE"""),"Silver Dollar")</f>
        <v>Silver Dollar</v>
      </c>
      <c r="E350" s="30">
        <f>IFERROR(__xludf.DUMMYFUNCTION("""COMPUTED_VALUE"""),28.0)</f>
        <v>28</v>
      </c>
      <c r="F350" s="30">
        <f>IFERROR(__xludf.DUMMYFUNCTION("""COMPUTED_VALUE"""),20.0)</f>
        <v>20</v>
      </c>
      <c r="G350" s="42">
        <f>IFERROR(__xludf.DUMMYFUNCTION("""COMPUTED_VALUE"""),8.0)</f>
        <v>8</v>
      </c>
      <c r="H350" s="42">
        <f>IFERROR(__xludf.DUMMYFUNCTION("""COMPUTED_VALUE"""),0.7142857142857143)</f>
        <v>0.7142857143</v>
      </c>
      <c r="I350" s="42">
        <f>IFERROR(__xludf.DUMMYFUNCTION("""COMPUTED_VALUE"""),0.36619718309859156)</f>
        <v>0.3661971831</v>
      </c>
      <c r="J350" s="30">
        <f>IFERROR(__xludf.DUMMYFUNCTION("""COMPUTED_VALUE"""),336.35714285714283)</f>
        <v>336.3571429</v>
      </c>
      <c r="K350" s="30">
        <f>IFERROR(__xludf.DUMMYFUNCTION("""COMPUTED_VALUE"""),0.9285714285714286)</f>
        <v>0.9285714286</v>
      </c>
      <c r="L350" s="30">
        <f>IFERROR(__xludf.DUMMYFUNCTION("""COMPUTED_VALUE"""),0.6071428571428571)</f>
        <v>0.6071428571</v>
      </c>
      <c r="M350" s="30">
        <f>IFERROR(__xludf.DUMMYFUNCTION("""COMPUTED_VALUE"""),1.1071428571428572)</f>
        <v>1.107142857</v>
      </c>
      <c r="N350" s="30">
        <f>IFERROR(__xludf.DUMMYFUNCTION("""COMPUTED_VALUE"""),2.5357142857142856)</f>
        <v>2.535714286</v>
      </c>
      <c r="O350" s="30">
        <f>IFERROR(__xludf.DUMMYFUNCTION("""COMPUTED_VALUE"""),325.03571428571433)</f>
        <v>325.0357143</v>
      </c>
      <c r="P350" s="30">
        <f>IFERROR(__xludf.DUMMYFUNCTION("""COMPUTED_VALUE"""),0.6666666666666666)</f>
        <v>0.6666666667</v>
      </c>
      <c r="Q350" s="30">
        <f>IFERROR(__xludf.DUMMYFUNCTION("""COMPUTED_VALUE"""),0.4285714285714285)</f>
        <v>0.4285714286</v>
      </c>
      <c r="R350" s="30">
        <f>IFERROR(__xludf.DUMMYFUNCTION("""COMPUTED_VALUE"""),1.2857142857142858)</f>
        <v>1.285714286</v>
      </c>
      <c r="S350" s="30">
        <f>IFERROR(__xludf.DUMMYFUNCTION("""COMPUTED_VALUE"""),2.3690476190476195)</f>
        <v>2.369047619</v>
      </c>
      <c r="T350" s="30">
        <f>IFERROR(__xludf.DUMMYFUNCTION("""COMPUTED_VALUE"""),332.6112786686028)</f>
        <v>332.6112787</v>
      </c>
      <c r="U350" s="30">
        <f>IFERROR(__xludf.DUMMYFUNCTION("""COMPUTED_VALUE"""),0.7015804221964388)</f>
        <v>0.7015804222</v>
      </c>
      <c r="V350" s="30">
        <f>IFERROR(__xludf.DUMMYFUNCTION("""COMPUTED_VALUE"""),0.4871901946232896)</f>
        <v>0.4871901946</v>
      </c>
      <c r="W350" s="30">
        <f>IFERROR(__xludf.DUMMYFUNCTION("""COMPUTED_VALUE"""),1.3244080387716537)</f>
        <v>1.324408039</v>
      </c>
      <c r="X350" s="30">
        <f>IFERROR(__xludf.DUMMYFUNCTION("""COMPUTED_VALUE"""),2.4348768083582786)</f>
        <v>2.434876808</v>
      </c>
      <c r="Y350" s="30">
        <f>IFERROR(__xludf.DUMMYFUNCTION("""COMPUTED_VALUE"""),347.5301200863131)</f>
        <v>347.5301201</v>
      </c>
      <c r="Z350" s="30">
        <f>IFERROR(__xludf.DUMMYFUNCTION("""COMPUTED_VALUE"""),0.7712865812810977)</f>
        <v>0.7712865813</v>
      </c>
      <c r="AA350" s="30">
        <f>IFERROR(__xludf.DUMMYFUNCTION("""COMPUTED_VALUE"""),0.5666534678825516)</f>
        <v>0.5666534679</v>
      </c>
      <c r="AB350" s="30">
        <f>IFERROR(__xludf.DUMMYFUNCTION("""COMPUTED_VALUE"""),1.3087388948095)</f>
        <v>1.308738895</v>
      </c>
      <c r="AC350" s="30">
        <f>IFERROR(__xludf.DUMMYFUNCTION("""COMPUTED_VALUE"""),2.606040182580219)</f>
        <v>2.606040183</v>
      </c>
      <c r="AD350" s="30">
        <f>IFERROR(__xludf.DUMMYFUNCTION("""COMPUTED_VALUE"""),0.9678503341627042)</f>
        <v>0.9678503342</v>
      </c>
      <c r="AE350" s="30">
        <f>IFERROR(__xludf.DUMMYFUNCTION("""COMPUTED_VALUE"""),1.2039252997622267)</f>
        <v>1.2039253</v>
      </c>
      <c r="AF350" s="30">
        <f>IFERROR(__xludf.DUMMYFUNCTION("""COMPUTED_VALUE"""),1.0714535276941033)</f>
        <v>1.071453528</v>
      </c>
      <c r="AG350" s="30">
        <f>IFERROR(__xludf.DUMMYFUNCTION("""COMPUTED_VALUE"""),0.845961605889319)</f>
        <v>0.8459616059</v>
      </c>
      <c r="AH350" s="30">
        <f>IFERROR(__xludf.DUMMYFUNCTION("""COMPUTED_VALUE"""),0.9730142699502413)</f>
        <v>0.97301427</v>
      </c>
      <c r="AI350" s="30">
        <f>IFERROR(__xludf.DUMMYFUNCTION("""COMPUTED_VALUE"""),0.9772239702357287)</f>
        <v>0.9772239702</v>
      </c>
      <c r="AJ350" s="30">
        <f>IFERROR(__xludf.DUMMYFUNCTION("""COMPUTED_VALUE"""),0.9502355618469689)</f>
        <v>0.9502355618</v>
      </c>
      <c r="AK350" s="30">
        <f>IFERROR(__xludf.DUMMYFUNCTION("""COMPUTED_VALUE"""),0.8796799141304825)</f>
        <v>0.8796799141</v>
      </c>
      <c r="AL350" s="30">
        <f>IFERROR(__xludf.DUMMYFUNCTION("""COMPUTED_VALUE"""),0.9707841149218219)</f>
        <v>0.9707841149</v>
      </c>
      <c r="AM350" s="30">
        <f>IFERROR(__xludf.DUMMYFUNCTION("""COMPUTED_VALUE"""),0.9729640575306787)</f>
        <v>0.9729640575</v>
      </c>
      <c r="AN350" s="30">
        <f>IFERROR(__xludf.DUMMYFUNCTION("""COMPUTED_VALUE"""),0.9741652434232916)</f>
        <v>0.9741652434</v>
      </c>
      <c r="AO350" s="30">
        <f>IFERROR(__xludf.DUMMYFUNCTION("""COMPUTED_VALUE"""),1.2309609516812603)</f>
        <v>1.230960952</v>
      </c>
      <c r="AP350" s="30">
        <f>IFERROR(__xludf.DUMMYFUNCTION("""COMPUTED_VALUE"""),1.1259533028251203)</f>
        <v>1.125953303</v>
      </c>
      <c r="AQ350" s="30">
        <f>IFERROR(__xludf.DUMMYFUNCTION("""COMPUTED_VALUE"""),0.8197150237049444)</f>
        <v>0.8197150237</v>
      </c>
      <c r="AR350" s="30">
        <f>IFERROR(__xludf.DUMMYFUNCTION("""COMPUTED_VALUE"""),0.9902496917755189)</f>
        <v>0.9902496918</v>
      </c>
      <c r="AS350" s="30">
        <f>IFERROR(__xludf.DUMMYFUNCTION("""COMPUTED_VALUE"""),71.0)</f>
        <v>71</v>
      </c>
      <c r="AT350" s="30">
        <f>IFERROR(__xludf.DUMMYFUNCTION("""COMPUTED_VALUE"""),0.5905584501081413)</f>
        <v>0.5905584501</v>
      </c>
      <c r="AU350" s="30">
        <f>IFERROR(__xludf.DUMMYFUNCTION("""COMPUTED_VALUE"""),2.8186321435904444)</f>
        <v>2.818632144</v>
      </c>
      <c r="AV350" s="32">
        <f>IFERROR(__xludf.DUMMYFUNCTION("""COMPUTED_VALUE"""),63.89902257732774)</f>
        <v>63.89902258</v>
      </c>
      <c r="AW350" s="32">
        <f>IFERROR(__xludf.DUMMYFUNCTION("""COMPUTED_VALUE"""),3.4587859059020354)</f>
        <v>3.458785906</v>
      </c>
      <c r="AX350" s="32">
        <f>IFERROR(__xludf.DUMMYFUNCTION("""COMPUTED_VALUE"""),55.727316656168824)</f>
        <v>55.72731666</v>
      </c>
      <c r="AY350" s="32">
        <f>IFERROR(__xludf.DUMMYFUNCTION("""COMPUTED_VALUE"""),2.442608192756604)</f>
        <v>2.442608193</v>
      </c>
      <c r="AZ350" s="30">
        <f>IFERROR(__xludf.DUMMYFUNCTION("""COMPUTED_VALUE"""),1.0161777131454315)</f>
        <v>1.016177713</v>
      </c>
      <c r="BA350" s="30">
        <f>IFERROR(__xludf.DUMMYFUNCTION("""COMPUTED_VALUE"""),1200.0)</f>
        <v>1200</v>
      </c>
    </row>
    <row r="351">
      <c r="A351" s="71" t="str">
        <f>IFERROR(__xludf.DUMMYFUNCTION("""COMPUTED_VALUE"""),"Veteran")</f>
        <v>Veteran</v>
      </c>
      <c r="B351" s="71" t="str">
        <f>IFERROR(__xludf.DUMMYFUNCTION("""COMPUTED_VALUE"""),"RSC007760")</f>
        <v>RSC007760</v>
      </c>
      <c r="C351" s="30" t="str">
        <f>IFERROR(__xludf.DUMMYFUNCTION("""COMPUTED_VALUE"""),"BossMan")</f>
        <v>BossMan</v>
      </c>
      <c r="D351" s="30" t="str">
        <f>IFERROR(__xludf.DUMMYFUNCTION("""COMPUTED_VALUE"""),"Blacksmiths")</f>
        <v>Blacksmiths</v>
      </c>
      <c r="E351" s="30">
        <f>IFERROR(__xludf.DUMMYFUNCTION("""COMPUTED_VALUE"""),36.0)</f>
        <v>36</v>
      </c>
      <c r="F351" s="30">
        <f>IFERROR(__xludf.DUMMYFUNCTION("""COMPUTED_VALUE"""),20.0)</f>
        <v>20</v>
      </c>
      <c r="G351" s="42">
        <f>IFERROR(__xludf.DUMMYFUNCTION("""COMPUTED_VALUE"""),16.0)</f>
        <v>16</v>
      </c>
      <c r="H351" s="42">
        <f>IFERROR(__xludf.DUMMYFUNCTION("""COMPUTED_VALUE"""),0.5555555555555556)</f>
        <v>0.5555555556</v>
      </c>
      <c r="I351" s="42">
        <f>IFERROR(__xludf.DUMMYFUNCTION("""COMPUTED_VALUE"""),0.30275229357798167)</f>
        <v>0.3027522936</v>
      </c>
      <c r="J351" s="30">
        <f>IFERROR(__xludf.DUMMYFUNCTION("""COMPUTED_VALUE"""),329.3611111111111)</f>
        <v>329.3611111</v>
      </c>
      <c r="K351" s="30">
        <f>IFERROR(__xludf.DUMMYFUNCTION("""COMPUTED_VALUE"""),0.9166666666666666)</f>
        <v>0.9166666667</v>
      </c>
      <c r="L351" s="30">
        <f>IFERROR(__xludf.DUMMYFUNCTION("""COMPUTED_VALUE"""),0.5)</f>
        <v>0.5</v>
      </c>
      <c r="M351" s="30">
        <f>IFERROR(__xludf.DUMMYFUNCTION("""COMPUTED_VALUE"""),1.0833333333333333)</f>
        <v>1.083333333</v>
      </c>
      <c r="N351" s="30">
        <f>IFERROR(__xludf.DUMMYFUNCTION("""COMPUTED_VALUE"""),3.0277777777777777)</f>
        <v>3.027777778</v>
      </c>
      <c r="O351" s="30">
        <f>IFERROR(__xludf.DUMMYFUNCTION("""COMPUTED_VALUE"""),364.2222222222222)</f>
        <v>364.2222222</v>
      </c>
      <c r="P351" s="30">
        <f>IFERROR(__xludf.DUMMYFUNCTION("""COMPUTED_VALUE"""),0.7685185185185186)</f>
        <v>0.7685185185</v>
      </c>
      <c r="Q351" s="30">
        <f>IFERROR(__xludf.DUMMYFUNCTION("""COMPUTED_VALUE"""),0.6296296296296298)</f>
        <v>0.6296296296</v>
      </c>
      <c r="R351" s="30">
        <f>IFERROR(__xludf.DUMMYFUNCTION("""COMPUTED_VALUE"""),1.5185185185185184)</f>
        <v>1.518518519</v>
      </c>
      <c r="S351" s="30">
        <f>IFERROR(__xludf.DUMMYFUNCTION("""COMPUTED_VALUE"""),2.407407407407407)</f>
        <v>2.407407407</v>
      </c>
      <c r="T351" s="30">
        <f>IFERROR(__xludf.DUMMYFUNCTION("""COMPUTED_VALUE"""),352.51101807503505)</f>
        <v>352.5110181</v>
      </c>
      <c r="U351" s="30">
        <f>IFERROR(__xludf.DUMMYFUNCTION("""COMPUTED_VALUE"""),0.7776810414092754)</f>
        <v>0.7776810414</v>
      </c>
      <c r="V351" s="30">
        <f>IFERROR(__xludf.DUMMYFUNCTION("""COMPUTED_VALUE"""),0.574552214216324)</f>
        <v>0.5745522142</v>
      </c>
      <c r="W351" s="30">
        <f>IFERROR(__xludf.DUMMYFUNCTION("""COMPUTED_VALUE"""),1.3898581116329183)</f>
        <v>1.389858112</v>
      </c>
      <c r="X351" s="30">
        <f>IFERROR(__xludf.DUMMYFUNCTION("""COMPUTED_VALUE"""),2.6243962417591096)</f>
        <v>2.624396242</v>
      </c>
      <c r="Y351" s="30">
        <f>IFERROR(__xludf.DUMMYFUNCTION("""COMPUTED_VALUE"""),342.8828393728998)</f>
        <v>342.8828394</v>
      </c>
      <c r="Z351" s="30">
        <f>IFERROR(__xludf.DUMMYFUNCTION("""COMPUTED_VALUE"""),0.7486856502540923)</f>
        <v>0.7486856503</v>
      </c>
      <c r="AA351" s="30">
        <f>IFERROR(__xludf.DUMMYFUNCTION("""COMPUTED_VALUE"""),0.5262238232112881)</f>
        <v>0.5262238232</v>
      </c>
      <c r="AB351" s="30">
        <f>IFERROR(__xludf.DUMMYFUNCTION("""COMPUTED_VALUE"""),1.3526063554975445)</f>
        <v>1.352606355</v>
      </c>
      <c r="AC351" s="30">
        <f>IFERROR(__xludf.DUMMYFUNCTION("""COMPUTED_VALUE"""),2.5386195612759375)</f>
        <v>2.538619561</v>
      </c>
      <c r="AD351" s="30">
        <f>IFERROR(__xludf.DUMMYFUNCTION("""COMPUTED_VALUE"""),0.9605645815156025)</f>
        <v>0.9605645815</v>
      </c>
      <c r="AE351" s="30">
        <f>IFERROR(__xludf.DUMMYFUNCTION("""COMPUTED_VALUE"""),1.2243678857148714)</f>
        <v>1.224367886</v>
      </c>
      <c r="AF351" s="30">
        <f>IFERROR(__xludf.DUMMYFUNCTION("""COMPUTED_VALUE"""),0.9501660281146967)</f>
        <v>0.9501660281</v>
      </c>
      <c r="AG351" s="30">
        <f>IFERROR(__xludf.DUMMYFUNCTION("""COMPUTED_VALUE"""),0.8009228471611303)</f>
        <v>0.8009228472</v>
      </c>
      <c r="AH351" s="30">
        <f>IFERROR(__xludf.DUMMYFUNCTION("""COMPUTED_VALUE"""),1.192686696330341)</f>
        <v>1.192686696</v>
      </c>
      <c r="AI351" s="30">
        <f>IFERROR(__xludf.DUMMYFUNCTION("""COMPUTED_VALUE"""),1.0332222357506404)</f>
        <v>1.033222236</v>
      </c>
      <c r="AJ351" s="30">
        <f>IFERROR(__xludf.DUMMYFUNCTION("""COMPUTED_VALUE"""),0.9882181480544351)</f>
        <v>0.9882181481</v>
      </c>
      <c r="AK351" s="30">
        <f>IFERROR(__xludf.DUMMYFUNCTION("""COMPUTED_VALUE"""),1.095861462284033)</f>
        <v>1.095861462</v>
      </c>
      <c r="AL351" s="30">
        <f>IFERROR(__xludf.DUMMYFUNCTION("""COMPUTED_VALUE"""),1.092570893250707)</f>
        <v>1.092570893</v>
      </c>
      <c r="AM351" s="30">
        <f>IFERROR(__xludf.DUMMYFUNCTION("""COMPUTED_VALUE"""),0.9173185699251509)</f>
        <v>0.9173185699</v>
      </c>
      <c r="AN351" s="30">
        <f>IFERROR(__xludf.DUMMYFUNCTION("""COMPUTED_VALUE"""),0.9539031764102991)</f>
        <v>0.9539031764</v>
      </c>
      <c r="AO351" s="30">
        <f>IFERROR(__xludf.DUMMYFUNCTION("""COMPUTED_VALUE"""),1.2151794010186798)</f>
        <v>1.215179401</v>
      </c>
      <c r="AP351" s="30">
        <f>IFERROR(__xludf.DUMMYFUNCTION("""COMPUTED_VALUE"""),0.9272556611500992)</f>
        <v>0.9272556612</v>
      </c>
      <c r="AQ351" s="30">
        <f>IFERROR(__xludf.DUMMYFUNCTION("""COMPUTED_VALUE"""),0.8020867436252681)</f>
        <v>0.8020867436</v>
      </c>
      <c r="AR351" s="30">
        <f>IFERROR(__xludf.DUMMYFUNCTION("""COMPUTED_VALUE"""),1.182410821321942)</f>
        <v>1.182410821</v>
      </c>
      <c r="AS351" s="30">
        <f>IFERROR(__xludf.DUMMYFUNCTION("""COMPUTED_VALUE"""),94.0)</f>
        <v>94</v>
      </c>
      <c r="AT351" s="30">
        <f>IFERROR(__xludf.DUMMYFUNCTION("""COMPUTED_VALUE"""),0.5489850662111027)</f>
        <v>0.5489850662</v>
      </c>
      <c r="AU351" s="30">
        <f>IFERROR(__xludf.DUMMYFUNCTION("""COMPUTED_VALUE"""),2.722491717642392)</f>
        <v>2.722491718</v>
      </c>
      <c r="AV351" s="32">
        <f>IFERROR(__xludf.DUMMYFUNCTION("""COMPUTED_VALUE"""),60.92096788645413)</f>
        <v>60.92096789</v>
      </c>
      <c r="AW351" s="32">
        <f>IFERROR(__xludf.DUMMYFUNCTION("""COMPUTED_VALUE"""),3.020106421409488)</f>
        <v>3.020106421</v>
      </c>
      <c r="AX351" s="32">
        <f>IFERROR(__xludf.DUMMYFUNCTION("""COMPUTED_VALUE"""),50.27606702289749)</f>
        <v>50.27606702</v>
      </c>
      <c r="AY351" s="32">
        <f>IFERROR(__xludf.DUMMYFUNCTION("""COMPUTED_VALUE"""),2.017777844677495)</f>
        <v>2.017777845</v>
      </c>
      <c r="AZ351" s="30">
        <f>IFERROR(__xludf.DUMMYFUNCTION("""COMPUTED_VALUE"""),1.0023285767319927)</f>
        <v>1.002328577</v>
      </c>
      <c r="BA351" s="30">
        <f>IFERROR(__xludf.DUMMYFUNCTION("""COMPUTED_VALUE"""),1200.0)</f>
        <v>1200</v>
      </c>
    </row>
    <row r="352">
      <c r="A352" s="71" t="str">
        <f>IFERROR(__xludf.DUMMYFUNCTION("""COMPUTED_VALUE"""),"Veteran")</f>
        <v>Veteran</v>
      </c>
      <c r="B352" s="71" t="str">
        <f>IFERROR(__xludf.DUMMYFUNCTION("""COMPUTED_VALUE"""),"RSC000698")</f>
        <v>RSC000698</v>
      </c>
      <c r="C352" s="30" t="str">
        <f>IFERROR(__xludf.DUMMYFUNCTION("""COMPUTED_VALUE"""),"Inedibledeer")</f>
        <v>Inedibledeer</v>
      </c>
      <c r="D352" s="30" t="str">
        <f>IFERROR(__xludf.DUMMYFUNCTION("""COMPUTED_VALUE"""),"Werewolves")</f>
        <v>Werewolves</v>
      </c>
      <c r="E352" s="30">
        <f>IFERROR(__xludf.DUMMYFUNCTION("""COMPUTED_VALUE"""),10.0)</f>
        <v>10</v>
      </c>
      <c r="F352" s="30">
        <f>IFERROR(__xludf.DUMMYFUNCTION("""COMPUTED_VALUE"""),6.0)</f>
        <v>6</v>
      </c>
      <c r="G352" s="42">
        <f>IFERROR(__xludf.DUMMYFUNCTION("""COMPUTED_VALUE"""),4.0)</f>
        <v>4</v>
      </c>
      <c r="H352" s="42">
        <f>IFERROR(__xludf.DUMMYFUNCTION("""COMPUTED_VALUE"""),0.6)</f>
        <v>0.6</v>
      </c>
      <c r="I352" s="42">
        <f>IFERROR(__xludf.DUMMYFUNCTION("""COMPUTED_VALUE"""),0.27586206896551724)</f>
        <v>0.275862069</v>
      </c>
      <c r="J352" s="30">
        <f>IFERROR(__xludf.DUMMYFUNCTION("""COMPUTED_VALUE"""),327.4)</f>
        <v>327.4</v>
      </c>
      <c r="K352" s="30">
        <f>IFERROR(__xludf.DUMMYFUNCTION("""COMPUTED_VALUE"""),0.8)</f>
        <v>0.8</v>
      </c>
      <c r="L352" s="30">
        <f>IFERROR(__xludf.DUMMYFUNCTION("""COMPUTED_VALUE"""),0.4)</f>
        <v>0.4</v>
      </c>
      <c r="M352" s="30">
        <f>IFERROR(__xludf.DUMMYFUNCTION("""COMPUTED_VALUE"""),1.0)</f>
        <v>1</v>
      </c>
      <c r="N352" s="30">
        <f>IFERROR(__xludf.DUMMYFUNCTION("""COMPUTED_VALUE"""),2.9)</f>
        <v>2.9</v>
      </c>
      <c r="O352" s="30">
        <f>IFERROR(__xludf.DUMMYFUNCTION("""COMPUTED_VALUE"""),376.3333333333333)</f>
        <v>376.3333333</v>
      </c>
      <c r="P352" s="30">
        <f>IFERROR(__xludf.DUMMYFUNCTION("""COMPUTED_VALUE"""),0.9333333333333332)</f>
        <v>0.9333333333</v>
      </c>
      <c r="Q352" s="30">
        <f>IFERROR(__xludf.DUMMYFUNCTION("""COMPUTED_VALUE"""),0.5666666666666667)</f>
        <v>0.5666666667</v>
      </c>
      <c r="R352" s="30">
        <f>IFERROR(__xludf.DUMMYFUNCTION("""COMPUTED_VALUE"""),1.5)</f>
        <v>1.5</v>
      </c>
      <c r="S352" s="30">
        <f>IFERROR(__xludf.DUMMYFUNCTION("""COMPUTED_VALUE"""),2.766666666666666)</f>
        <v>2.766666667</v>
      </c>
      <c r="T352" s="30">
        <f>IFERROR(__xludf.DUMMYFUNCTION("""COMPUTED_VALUE"""),360.212393495559)</f>
        <v>360.2123935</v>
      </c>
      <c r="U352" s="30">
        <f>IFERROR(__xludf.DUMMYFUNCTION("""COMPUTED_VALUE"""),0.8284809717276767)</f>
        <v>0.8284809717</v>
      </c>
      <c r="V352" s="30">
        <f>IFERROR(__xludf.DUMMYFUNCTION("""COMPUTED_VALUE"""),0.5797259642084212)</f>
        <v>0.5797259642</v>
      </c>
      <c r="W352" s="30">
        <f>IFERROR(__xludf.DUMMYFUNCTION("""COMPUTED_VALUE"""),1.3637883345704087)</f>
        <v>1.363788335</v>
      </c>
      <c r="X352" s="30">
        <f>IFERROR(__xludf.DUMMYFUNCTION("""COMPUTED_VALUE"""),2.6547394618394278)</f>
        <v>2.654739462</v>
      </c>
      <c r="Y352" s="30">
        <f>IFERROR(__xludf.DUMMYFUNCTION("""COMPUTED_VALUE"""),354.97160683937335)</f>
        <v>354.9716068</v>
      </c>
      <c r="Z352" s="30">
        <f>IFERROR(__xludf.DUMMYFUNCTION("""COMPUTED_VALUE"""),0.7948667178688081)</f>
        <v>0.7948667179</v>
      </c>
      <c r="AA352" s="30">
        <f>IFERROR(__xludf.DUMMYFUNCTION("""COMPUTED_VALUE"""),0.582976376496612)</f>
        <v>0.5829763765</v>
      </c>
      <c r="AB352" s="30">
        <f>IFERROR(__xludf.DUMMYFUNCTION("""COMPUTED_VALUE"""),1.3251528825015852)</f>
        <v>1.325152883</v>
      </c>
      <c r="AC352" s="30">
        <f>IFERROR(__xludf.DUMMYFUNCTION("""COMPUTED_VALUE"""),2.6201982836820483)</f>
        <v>2.620198284</v>
      </c>
      <c r="AD352" s="30">
        <f>IFERROR(__xludf.DUMMYFUNCTION("""COMPUTED_VALUE"""),0.9223272895405134)</f>
        <v>0.9223272895</v>
      </c>
      <c r="AE352" s="30">
        <f>IFERROR(__xludf.DUMMYFUNCTION("""COMPUTED_VALUE"""),1.006458041349316)</f>
        <v>1.006458041</v>
      </c>
      <c r="AF352" s="30">
        <f>IFERROR(__xludf.DUMMYFUNCTION("""COMPUTED_VALUE"""),0.6861341490435584)</f>
        <v>0.686134149</v>
      </c>
      <c r="AG352" s="30">
        <f>IFERROR(__xludf.DUMMYFUNCTION("""COMPUTED_VALUE"""),0.7546299096540687)</f>
        <v>0.7546299097</v>
      </c>
      <c r="AH352" s="30">
        <f>IFERROR(__xludf.DUMMYFUNCTION("""COMPUTED_VALUE"""),1.1067864665283111)</f>
        <v>1.106786467</v>
      </c>
      <c r="AI352" s="30">
        <f>IFERROR(__xludf.DUMMYFUNCTION("""COMPUTED_VALUE"""),1.0447539843960785)</f>
        <v>1.044753984</v>
      </c>
      <c r="AJ352" s="30">
        <f>IFERROR(__xludf.DUMMYFUNCTION("""COMPUTED_VALUE"""),1.1265597704519419)</f>
        <v>1.12655977</v>
      </c>
      <c r="AK352" s="30">
        <f>IFERROR(__xludf.DUMMYFUNCTION("""COMPUTED_VALUE"""),0.9774733264541875)</f>
        <v>0.9774733265</v>
      </c>
      <c r="AL352" s="30">
        <f>IFERROR(__xludf.DUMMYFUNCTION("""COMPUTED_VALUE"""),1.0998774237737543)</f>
        <v>1.099877424</v>
      </c>
      <c r="AM352" s="30">
        <f>IFERROR(__xludf.DUMMYFUNCTION("""COMPUTED_VALUE"""),1.0421612766285118)</f>
        <v>1.042161277</v>
      </c>
      <c r="AN352" s="30">
        <f>IFERROR(__xludf.DUMMYFUNCTION("""COMPUTED_VALUE"""),0.94822336159588)</f>
        <v>0.9482233616</v>
      </c>
      <c r="AO352" s="30">
        <f>IFERROR(__xludf.DUMMYFUNCTION("""COMPUTED_VALUE"""),1.0605202045253934)</f>
        <v>1.060520205</v>
      </c>
      <c r="AP352" s="30">
        <f>IFERROR(__xludf.DUMMYFUNCTION("""COMPUTED_VALUE"""),0.7418045289200793)</f>
        <v>0.7418045289</v>
      </c>
      <c r="AQ352" s="30">
        <f>IFERROR(__xludf.DUMMYFUNCTION("""COMPUTED_VALUE"""),0.7403877633464013)</f>
        <v>0.7403877633</v>
      </c>
      <c r="AR352" s="30">
        <f>IFERROR(__xludf.DUMMYFUNCTION("""COMPUTED_VALUE"""),1.132510915101016)</f>
        <v>1.132510915</v>
      </c>
      <c r="AS352" s="30">
        <f>IFERROR(__xludf.DUMMYFUNCTION("""COMPUTED_VALUE"""),25.0)</f>
        <v>25</v>
      </c>
      <c r="AT352" s="30">
        <f>IFERROR(__xludf.DUMMYFUNCTION("""COMPUTED_VALUE"""),0.4544027401270341)</f>
        <v>0.4544027401</v>
      </c>
      <c r="AU352" s="30">
        <f>IFERROR(__xludf.DUMMYFUNCTION("""COMPUTED_VALUE"""),2.2058695848887293)</f>
        <v>2.205869585</v>
      </c>
      <c r="AV352" s="32">
        <f>IFERROR(__xludf.DUMMYFUNCTION("""COMPUTED_VALUE"""),44.91803310969864)</f>
        <v>44.91803311</v>
      </c>
      <c r="AW352" s="32">
        <f>IFERROR(__xludf.DUMMYFUNCTION("""COMPUTED_VALUE"""),-2.384025440941965)</f>
        <v>-2.384025441</v>
      </c>
      <c r="AX352" s="32">
        <f>IFERROR(__xludf.DUMMYFUNCTION("""COMPUTED_VALUE"""),36.57088509890025)</f>
        <v>36.5708851</v>
      </c>
      <c r="AY352" s="32">
        <f>IFERROR(__xludf.DUMMYFUNCTION("""COMPUTED_VALUE"""),-3.3832136067157)</f>
        <v>-3.383213607</v>
      </c>
      <c r="AZ352" s="30">
        <f>IFERROR(__xludf.DUMMYFUNCTION("""COMPUTED_VALUE"""),0.9991881657737349)</f>
        <v>0.9991881658</v>
      </c>
      <c r="BA352" s="30">
        <f>IFERROR(__xludf.DUMMYFUNCTION("""COMPUTED_VALUE"""),1200.0)</f>
        <v>1200</v>
      </c>
    </row>
    <row r="353">
      <c r="A353" s="71" t="str">
        <f>IFERROR(__xludf.DUMMYFUNCTION("""COMPUTED_VALUE"""),"Veteran")</f>
        <v>Veteran</v>
      </c>
      <c r="B353" s="71" t="str">
        <f>IFERROR(__xludf.DUMMYFUNCTION("""COMPUTED_VALUE"""),"RSC006992")</f>
        <v>RSC006992</v>
      </c>
      <c r="C353" s="30" t="str">
        <f>IFERROR(__xludf.DUMMYFUNCTION("""COMPUTED_VALUE"""),"Dxso.")</f>
        <v>Dxso.</v>
      </c>
      <c r="D353" s="30" t="str">
        <f>IFERROR(__xludf.DUMMYFUNCTION("""COMPUTED_VALUE"""),"Kirin")</f>
        <v>Kirin</v>
      </c>
      <c r="E353" s="30">
        <f>IFERROR(__xludf.DUMMYFUNCTION("""COMPUTED_VALUE"""),20.0)</f>
        <v>20</v>
      </c>
      <c r="F353" s="30">
        <f>IFERROR(__xludf.DUMMYFUNCTION("""COMPUTED_VALUE"""),8.0)</f>
        <v>8</v>
      </c>
      <c r="G353" s="42">
        <f>IFERROR(__xludf.DUMMYFUNCTION("""COMPUTED_VALUE"""),12.0)</f>
        <v>12</v>
      </c>
      <c r="H353" s="42">
        <f>IFERROR(__xludf.DUMMYFUNCTION("""COMPUTED_VALUE"""),0.4)</f>
        <v>0.4</v>
      </c>
      <c r="I353" s="42">
        <f>IFERROR(__xludf.DUMMYFUNCTION("""COMPUTED_VALUE"""),0.3103448275862069)</f>
        <v>0.3103448276</v>
      </c>
      <c r="J353" s="30">
        <f>IFERROR(__xludf.DUMMYFUNCTION("""COMPUTED_VALUE"""),367.95)</f>
        <v>367.95</v>
      </c>
      <c r="K353" s="30">
        <f>IFERROR(__xludf.DUMMYFUNCTION("""COMPUTED_VALUE"""),0.9)</f>
        <v>0.9</v>
      </c>
      <c r="L353" s="30">
        <f>IFERROR(__xludf.DUMMYFUNCTION("""COMPUTED_VALUE"""),0.4)</f>
        <v>0.4</v>
      </c>
      <c r="M353" s="30">
        <f>IFERROR(__xludf.DUMMYFUNCTION("""COMPUTED_VALUE"""),1.3)</f>
        <v>1.3</v>
      </c>
      <c r="N353" s="30">
        <f>IFERROR(__xludf.DUMMYFUNCTION("""COMPUTED_VALUE"""),2.9)</f>
        <v>2.9</v>
      </c>
      <c r="O353" s="30">
        <f>IFERROR(__xludf.DUMMYFUNCTION("""COMPUTED_VALUE"""),373.3833333333333)</f>
        <v>373.3833333</v>
      </c>
      <c r="P353" s="30">
        <f>IFERROR(__xludf.DUMMYFUNCTION("""COMPUTED_VALUE"""),0.9499999999999998)</f>
        <v>0.95</v>
      </c>
      <c r="Q353" s="30">
        <f>IFERROR(__xludf.DUMMYFUNCTION("""COMPUTED_VALUE"""),0.75)</f>
        <v>0.75</v>
      </c>
      <c r="R353" s="30">
        <f>IFERROR(__xludf.DUMMYFUNCTION("""COMPUTED_VALUE"""),1.2333333333333332)</f>
        <v>1.233333333</v>
      </c>
      <c r="S353" s="30">
        <f>IFERROR(__xludf.DUMMYFUNCTION("""COMPUTED_VALUE"""),2.6333333333333337)</f>
        <v>2.633333333</v>
      </c>
      <c r="T353" s="30">
        <f>IFERROR(__xludf.DUMMYFUNCTION("""COMPUTED_VALUE"""),351.25285162322683)</f>
        <v>351.2528516</v>
      </c>
      <c r="U353" s="30">
        <f>IFERROR(__xludf.DUMMYFUNCTION("""COMPUTED_VALUE"""),0.7615743575909404)</f>
        <v>0.7615743576</v>
      </c>
      <c r="V353" s="30">
        <f>IFERROR(__xludf.DUMMYFUNCTION("""COMPUTED_VALUE"""),0.5399028770305069)</f>
        <v>0.539902877</v>
      </c>
      <c r="W353" s="30">
        <f>IFERROR(__xludf.DUMMYFUNCTION("""COMPUTED_VALUE"""),1.3638005646547224)</f>
        <v>1.363800565</v>
      </c>
      <c r="X353" s="30">
        <f>IFERROR(__xludf.DUMMYFUNCTION("""COMPUTED_VALUE"""),2.723229086757034)</f>
        <v>2.723229087</v>
      </c>
      <c r="Y353" s="30">
        <f>IFERROR(__xludf.DUMMYFUNCTION("""COMPUTED_VALUE"""),349.6765074290223)</f>
        <v>349.6765074</v>
      </c>
      <c r="Z353" s="30">
        <f>IFERROR(__xludf.DUMMYFUNCTION("""COMPUTED_VALUE"""),0.7298128008774547)</f>
        <v>0.7298128009</v>
      </c>
      <c r="AA353" s="30">
        <f>IFERROR(__xludf.DUMMYFUNCTION("""COMPUTED_VALUE"""),0.5477695273787663)</f>
        <v>0.5477695274</v>
      </c>
      <c r="AB353" s="30">
        <f>IFERROR(__xludf.DUMMYFUNCTION("""COMPUTED_VALUE"""),1.3701246301439909)</f>
        <v>1.37012463</v>
      </c>
      <c r="AC353" s="30">
        <f>IFERROR(__xludf.DUMMYFUNCTION("""COMPUTED_VALUE"""),2.588041978866243)</f>
        <v>2.588041979</v>
      </c>
      <c r="AD353" s="30">
        <f>IFERROR(__xludf.DUMMYFUNCTION("""COMPUTED_VALUE"""),1.0522582792459596)</f>
        <v>1.052258279</v>
      </c>
      <c r="AE353" s="30">
        <f>IFERROR(__xludf.DUMMYFUNCTION("""COMPUTED_VALUE"""),1.233192948819107)</f>
        <v>1.233192949</v>
      </c>
      <c r="AF353" s="30">
        <f>IFERROR(__xludf.DUMMYFUNCTION("""COMPUTED_VALUE"""),0.7302341222121543)</f>
        <v>0.7302341222</v>
      </c>
      <c r="AG353" s="30">
        <f>IFERROR(__xludf.DUMMYFUNCTION("""COMPUTED_VALUE"""),0.9488187945817592)</f>
        <v>0.9488187946</v>
      </c>
      <c r="AH353" s="30">
        <f>IFERROR(__xludf.DUMMYFUNCTION("""COMPUTED_VALUE"""),1.120538238437082)</f>
        <v>1.120538238</v>
      </c>
      <c r="AI353" s="30">
        <f>IFERROR(__xludf.DUMMYFUNCTION("""COMPUTED_VALUE"""),1.0630044186341436)</f>
        <v>1.063004419</v>
      </c>
      <c r="AJ353" s="30">
        <f>IFERROR(__xludf.DUMMYFUNCTION("""COMPUTED_VALUE"""),1.2474159489890118)</f>
        <v>1.247415949</v>
      </c>
      <c r="AK353" s="30">
        <f>IFERROR(__xludf.DUMMYFUNCTION("""COMPUTED_VALUE"""),1.3891387357019431)</f>
        <v>1.389138736</v>
      </c>
      <c r="AL353" s="30">
        <f>IFERROR(__xludf.DUMMYFUNCTION("""COMPUTED_VALUE"""),0.9043355497110972)</f>
        <v>0.9043355497</v>
      </c>
      <c r="AM353" s="30">
        <f>IFERROR(__xludf.DUMMYFUNCTION("""COMPUTED_VALUE"""),0.9669892797999037)</f>
        <v>0.9669892798</v>
      </c>
      <c r="AN353" s="30">
        <f>IFERROR(__xludf.DUMMYFUNCTION("""COMPUTED_VALUE"""),1.0656651982260357)</f>
        <v>1.065665198</v>
      </c>
      <c r="AO353" s="30">
        <f>IFERROR(__xludf.DUMMYFUNCTION("""COMPUTED_VALUE"""),1.1930852300910677)</f>
        <v>1.19308523</v>
      </c>
      <c r="AP353" s="30">
        <f>IFERROR(__xludf.DUMMYFUNCTION("""COMPUTED_VALUE"""),0.7418045289200793)</f>
        <v>0.7418045289</v>
      </c>
      <c r="AQ353" s="30">
        <f>IFERROR(__xludf.DUMMYFUNCTION("""COMPUTED_VALUE"""),0.9625040923503217)</f>
        <v>0.9625040924</v>
      </c>
      <c r="AR353" s="30">
        <f>IFERROR(__xludf.DUMMYFUNCTION("""COMPUTED_VALUE"""),1.132510915101016)</f>
        <v>1.132510915</v>
      </c>
      <c r="AS353" s="30">
        <f>IFERROR(__xludf.DUMMYFUNCTION("""COMPUTED_VALUE"""),41.0)</f>
        <v>41</v>
      </c>
      <c r="AT353" s="30">
        <f>IFERROR(__xludf.DUMMYFUNCTION("""COMPUTED_VALUE"""),0.3728771676310855)</f>
        <v>0.3728771676</v>
      </c>
      <c r="AU353" s="30">
        <f>IFERROR(__xludf.DUMMYFUNCTION("""COMPUTED_VALUE"""),2.41250334550943)</f>
        <v>2.412503346</v>
      </c>
      <c r="AV353" s="32">
        <f>IFERROR(__xludf.DUMMYFUNCTION("""COMPUTED_VALUE"""),51.318739514326325)</f>
        <v>51.31873951</v>
      </c>
      <c r="AW353" s="32">
        <f>IFERROR(__xludf.DUMMYFUNCTION("""COMPUTED_VALUE"""),2.087832101730753)</f>
        <v>2.087832102</v>
      </c>
      <c r="AX353" s="32">
        <f>IFERROR(__xludf.DUMMYFUNCTION("""COMPUTED_VALUE"""),61.34395220403276)</f>
        <v>61.3439522</v>
      </c>
      <c r="AY353" s="32">
        <f>IFERROR(__xludf.DUMMYFUNCTION("""COMPUTED_VALUE"""),3.0769090994812203)</f>
        <v>3.076909099</v>
      </c>
      <c r="AZ353" s="30">
        <f>IFERROR(__xludf.DUMMYFUNCTION("""COMPUTED_VALUE"""),0.9890769977504674)</f>
        <v>0.9890769978</v>
      </c>
      <c r="BA353" s="30">
        <f>IFERROR(__xludf.DUMMYFUNCTION("""COMPUTED_VALUE"""),1200.0)</f>
        <v>1200</v>
      </c>
    </row>
    <row r="354">
      <c r="A354" s="71" t="str">
        <f>IFERROR(__xludf.DUMMYFUNCTION("""COMPUTED_VALUE"""),"Veteran")</f>
        <v>Veteran</v>
      </c>
      <c r="B354" s="71" t="str">
        <f>IFERROR(__xludf.DUMMYFUNCTION("""COMPUTED_VALUE"""),"RSC001098")</f>
        <v>RSC001098</v>
      </c>
      <c r="C354" s="30" t="str">
        <f>IFERROR(__xludf.DUMMYFUNCTION("""COMPUTED_VALUE"""),"Wafe")</f>
        <v>Wafe</v>
      </c>
      <c r="D354" s="30" t="str">
        <f>IFERROR(__xludf.DUMMYFUNCTION("""COMPUTED_VALUE"""),"Silver Dollar")</f>
        <v>Silver Dollar</v>
      </c>
      <c r="E354" s="30">
        <f>IFERROR(__xludf.DUMMYFUNCTION("""COMPUTED_VALUE"""),34.0)</f>
        <v>34</v>
      </c>
      <c r="F354" s="30">
        <f>IFERROR(__xludf.DUMMYFUNCTION("""COMPUTED_VALUE"""),20.0)</f>
        <v>20</v>
      </c>
      <c r="G354" s="42">
        <f>IFERROR(__xludf.DUMMYFUNCTION("""COMPUTED_VALUE"""),14.0)</f>
        <v>14</v>
      </c>
      <c r="H354" s="42">
        <f>IFERROR(__xludf.DUMMYFUNCTION("""COMPUTED_VALUE"""),0.5882352941176471)</f>
        <v>0.5882352941</v>
      </c>
      <c r="I354" s="42">
        <f>IFERROR(__xludf.DUMMYFUNCTION("""COMPUTED_VALUE"""),0.27956989247311825)</f>
        <v>0.2795698925</v>
      </c>
      <c r="J354" s="30">
        <f>IFERROR(__xludf.DUMMYFUNCTION("""COMPUTED_VALUE"""),378.8529411764706)</f>
        <v>378.8529412</v>
      </c>
      <c r="K354" s="30">
        <f>IFERROR(__xludf.DUMMYFUNCTION("""COMPUTED_VALUE"""),0.7647058823529411)</f>
        <v>0.7647058824</v>
      </c>
      <c r="L354" s="30">
        <f>IFERROR(__xludf.DUMMYFUNCTION("""COMPUTED_VALUE"""),0.5)</f>
        <v>0.5</v>
      </c>
      <c r="M354" s="30">
        <f>IFERROR(__xludf.DUMMYFUNCTION("""COMPUTED_VALUE"""),1.3529411764705883)</f>
        <v>1.352941176</v>
      </c>
      <c r="N354" s="30">
        <f>IFERROR(__xludf.DUMMYFUNCTION("""COMPUTED_VALUE"""),2.735294117647059)</f>
        <v>2.735294118</v>
      </c>
      <c r="O354" s="30">
        <f>IFERROR(__xludf.DUMMYFUNCTION("""COMPUTED_VALUE"""),337.99019607843144)</f>
        <v>337.9901961</v>
      </c>
      <c r="P354" s="30">
        <f>IFERROR(__xludf.DUMMYFUNCTION("""COMPUTED_VALUE"""),0.6862745098039217)</f>
        <v>0.6862745098</v>
      </c>
      <c r="Q354" s="30">
        <f>IFERROR(__xludf.DUMMYFUNCTION("""COMPUTED_VALUE"""),0.4607843137254901)</f>
        <v>0.4607843137</v>
      </c>
      <c r="R354" s="30">
        <f>IFERROR(__xludf.DUMMYFUNCTION("""COMPUTED_VALUE"""),1.2941176470588236)</f>
        <v>1.294117647</v>
      </c>
      <c r="S354" s="30">
        <f>IFERROR(__xludf.DUMMYFUNCTION("""COMPUTED_VALUE"""),2.4901960784313726)</f>
        <v>2.490196078</v>
      </c>
      <c r="T354" s="30">
        <f>IFERROR(__xludf.DUMMYFUNCTION("""COMPUTED_VALUE"""),336.7333469617671)</f>
        <v>336.733347</v>
      </c>
      <c r="U354" s="30">
        <f>IFERROR(__xludf.DUMMYFUNCTION("""COMPUTED_VALUE"""),0.7075142966270812)</f>
        <v>0.7075142966</v>
      </c>
      <c r="V354" s="30">
        <f>IFERROR(__xludf.DUMMYFUNCTION("""COMPUTED_VALUE"""),0.4925991917986575)</f>
        <v>0.4925991918</v>
      </c>
      <c r="W354" s="30">
        <f>IFERROR(__xludf.DUMMYFUNCTION("""COMPUTED_VALUE"""),1.3603917967642665)</f>
        <v>1.360391797</v>
      </c>
      <c r="X354" s="30">
        <f>IFERROR(__xludf.DUMMYFUNCTION("""COMPUTED_VALUE"""),2.4478131621812693)</f>
        <v>2.447813162</v>
      </c>
      <c r="Y354" s="30">
        <f>IFERROR(__xludf.DUMMYFUNCTION("""COMPUTED_VALUE"""),347.1959565901795)</f>
        <v>347.1959566</v>
      </c>
      <c r="Z354" s="30">
        <f>IFERROR(__xludf.DUMMYFUNCTION("""COMPUTED_VALUE"""),0.7674948434487454)</f>
        <v>0.7674948434</v>
      </c>
      <c r="AA354" s="30">
        <f>IFERROR(__xludf.DUMMYFUNCTION("""COMPUTED_VALUE"""),0.5653262039398101)</f>
        <v>0.5653262039</v>
      </c>
      <c r="AB354" s="30">
        <f>IFERROR(__xludf.DUMMYFUNCTION("""COMPUTED_VALUE"""),1.303977997298821)</f>
        <v>1.303977997</v>
      </c>
      <c r="AC354" s="30">
        <f>IFERROR(__xludf.DUMMYFUNCTION("""COMPUTED_VALUE"""),2.6321965170601174)</f>
        <v>2.632196517</v>
      </c>
      <c r="AD354" s="30">
        <f>IFERROR(__xludf.DUMMYFUNCTION("""COMPUTED_VALUE"""),1.0911790128467946)</f>
        <v>1.091179013</v>
      </c>
      <c r="AE354" s="30">
        <f>IFERROR(__xludf.DUMMYFUNCTION("""COMPUTED_VALUE"""),0.9963661500535013)</f>
        <v>0.9963661501</v>
      </c>
      <c r="AF354" s="30">
        <f>IFERROR(__xludf.DUMMYFUNCTION("""COMPUTED_VALUE"""),0.8844451159621722)</f>
        <v>0.884445116</v>
      </c>
      <c r="AG354" s="30">
        <f>IFERROR(__xludf.DUMMYFUNCTION("""COMPUTED_VALUE"""),1.0375490838596926)</f>
        <v>1.037549084</v>
      </c>
      <c r="AH354" s="30">
        <f>IFERROR(__xludf.DUMMYFUNCTION("""COMPUTED_VALUE"""),1.039167896438861)</f>
        <v>1.039167896</v>
      </c>
      <c r="AI354" s="30">
        <f>IFERROR(__xludf.DUMMYFUNCTION("""COMPUTED_VALUE"""),1.0037324759427733)</f>
        <v>1.003732476</v>
      </c>
      <c r="AJ354" s="30">
        <f>IFERROR(__xludf.DUMMYFUNCTION("""COMPUTED_VALUE"""),0.9699797065240723)</f>
        <v>0.9699797065</v>
      </c>
      <c r="AK354" s="30">
        <f>IFERROR(__xludf.DUMMYFUNCTION("""COMPUTED_VALUE"""),0.9354142706629303)</f>
        <v>0.9354142707</v>
      </c>
      <c r="AL354" s="30">
        <f>IFERROR(__xludf.DUMMYFUNCTION("""COMPUTED_VALUE"""),0.9512830422360102)</f>
        <v>0.9512830422</v>
      </c>
      <c r="AM354" s="30">
        <f>IFERROR(__xludf.DUMMYFUNCTION("""COMPUTED_VALUE"""),1.0173146042781858)</f>
        <v>1.017314604</v>
      </c>
      <c r="AN354" s="30">
        <f>IFERROR(__xludf.DUMMYFUNCTION("""COMPUTED_VALUE"""),1.0972425456103825)</f>
        <v>1.097242546</v>
      </c>
      <c r="AO354" s="30">
        <f>IFERROR(__xludf.DUMMYFUNCTION("""COMPUTED_VALUE"""),1.0137325484433908)</f>
        <v>1.013732548</v>
      </c>
      <c r="AP354" s="30">
        <f>IFERROR(__xludf.DUMMYFUNCTION("""COMPUTED_VALUE"""),0.9272556611500992)</f>
        <v>0.9272556612</v>
      </c>
      <c r="AQ354" s="30">
        <f>IFERROR(__xludf.DUMMYFUNCTION("""COMPUTED_VALUE"""),1.0017010915863078)</f>
        <v>1.001701092</v>
      </c>
      <c r="AR354" s="30">
        <f>IFERROR(__xludf.DUMMYFUNCTION("""COMPUTED_VALUE"""),1.0681898083609989)</f>
        <v>1.068189808</v>
      </c>
      <c r="AS354" s="30">
        <f>IFERROR(__xludf.DUMMYFUNCTION("""COMPUTED_VALUE"""),77.0)</f>
        <v>77</v>
      </c>
      <c r="AT354" s="30">
        <f>IFERROR(__xludf.DUMMYFUNCTION("""COMPUTED_VALUE"""),0.5362079583090211)</f>
        <v>0.5362079583</v>
      </c>
      <c r="AU354" s="30">
        <f>IFERROR(__xludf.DUMMYFUNCTION("""COMPUTED_VALUE"""),2.5388731078068725)</f>
        <v>2.538873108</v>
      </c>
      <c r="AV354" s="32">
        <f>IFERROR(__xludf.DUMMYFUNCTION("""COMPUTED_VALUE"""),55.23318091276393)</f>
        <v>55.23318091</v>
      </c>
      <c r="AW354" s="32">
        <f>IFERROR(__xludf.DUMMYFUNCTION("""COMPUTED_VALUE"""),2.397527311941821)</f>
        <v>2.397527312</v>
      </c>
      <c r="AX354" s="32">
        <f>IFERROR(__xludf.DUMMYFUNCTION("""COMPUTED_VALUE"""),63.31331177738188)</f>
        <v>63.31331178</v>
      </c>
      <c r="AY354" s="32">
        <f>IFERROR(__xludf.DUMMYFUNCTION("""COMPUTED_VALUE"""),3.364979515762522)</f>
        <v>3.364979516</v>
      </c>
      <c r="AZ354" s="30">
        <f>IFERROR(__xludf.DUMMYFUNCTION("""COMPUTED_VALUE"""),0.967452203820701)</f>
        <v>0.9674522038</v>
      </c>
      <c r="BA354" s="30">
        <f>IFERROR(__xludf.DUMMYFUNCTION("""COMPUTED_VALUE"""),1200.0)</f>
        <v>1200</v>
      </c>
    </row>
    <row r="355">
      <c r="A355" s="71" t="str">
        <f>IFERROR(__xludf.DUMMYFUNCTION("""COMPUTED_VALUE"""),"Veteran")</f>
        <v>Veteran</v>
      </c>
      <c r="B355" s="71" t="str">
        <f>IFERROR(__xludf.DUMMYFUNCTION("""COMPUTED_VALUE"""),"RSC005490")</f>
        <v>RSC005490</v>
      </c>
      <c r="C355" s="30" t="str">
        <f>IFERROR(__xludf.DUMMYFUNCTION("""COMPUTED_VALUE"""),"iProfessorEx")</f>
        <v>iProfessorEx</v>
      </c>
      <c r="D355" s="30" t="str">
        <f>IFERROR(__xludf.DUMMYFUNCTION("""COMPUTED_VALUE"""),"Repossessed")</f>
        <v>Repossessed</v>
      </c>
      <c r="E355" s="30">
        <f>IFERROR(__xludf.DUMMYFUNCTION("""COMPUTED_VALUE"""),24.0)</f>
        <v>24</v>
      </c>
      <c r="F355" s="30">
        <f>IFERROR(__xludf.DUMMYFUNCTION("""COMPUTED_VALUE"""),12.0)</f>
        <v>12</v>
      </c>
      <c r="G355" s="42">
        <f>IFERROR(__xludf.DUMMYFUNCTION("""COMPUTED_VALUE"""),12.0)</f>
        <v>12</v>
      </c>
      <c r="H355" s="42">
        <f>IFERROR(__xludf.DUMMYFUNCTION("""COMPUTED_VALUE"""),0.5)</f>
        <v>0.5</v>
      </c>
      <c r="I355" s="42">
        <f>IFERROR(__xludf.DUMMYFUNCTION("""COMPUTED_VALUE"""),0.29230769230769227)</f>
        <v>0.2923076923</v>
      </c>
      <c r="J355" s="30">
        <f>IFERROR(__xludf.DUMMYFUNCTION("""COMPUTED_VALUE"""),401.6666666666667)</f>
        <v>401.6666667</v>
      </c>
      <c r="K355" s="30">
        <f>IFERROR(__xludf.DUMMYFUNCTION("""COMPUTED_VALUE"""),0.7916666666666666)</f>
        <v>0.7916666667</v>
      </c>
      <c r="L355" s="30">
        <f>IFERROR(__xludf.DUMMYFUNCTION("""COMPUTED_VALUE"""),0.3333333333333333)</f>
        <v>0.3333333333</v>
      </c>
      <c r="M355" s="30">
        <f>IFERROR(__xludf.DUMMYFUNCTION("""COMPUTED_VALUE"""),2.0)</f>
        <v>2</v>
      </c>
      <c r="N355" s="30">
        <f>IFERROR(__xludf.DUMMYFUNCTION("""COMPUTED_VALUE"""),2.7083333333333335)</f>
        <v>2.708333333</v>
      </c>
      <c r="O355" s="30">
        <f>IFERROR(__xludf.DUMMYFUNCTION("""COMPUTED_VALUE"""),344.6388888888889)</f>
        <v>344.6388889</v>
      </c>
      <c r="P355" s="30">
        <f>IFERROR(__xludf.DUMMYFUNCTION("""COMPUTED_VALUE"""),0.6527777777777778)</f>
        <v>0.6527777778</v>
      </c>
      <c r="Q355" s="30">
        <f>IFERROR(__xludf.DUMMYFUNCTION("""COMPUTED_VALUE"""),0.49999999999999994)</f>
        <v>0.5</v>
      </c>
      <c r="R355" s="30">
        <f>IFERROR(__xludf.DUMMYFUNCTION("""COMPUTED_VALUE"""),1.513888888888889)</f>
        <v>1.513888889</v>
      </c>
      <c r="S355" s="30">
        <f>IFERROR(__xludf.DUMMYFUNCTION("""COMPUTED_VALUE"""),2.472222222222222)</f>
        <v>2.472222222</v>
      </c>
      <c r="T355" s="30">
        <f>IFERROR(__xludf.DUMMYFUNCTION("""COMPUTED_VALUE"""),351.8374903293955)</f>
        <v>351.8374903</v>
      </c>
      <c r="U355" s="30">
        <f>IFERROR(__xludf.DUMMYFUNCTION("""COMPUTED_VALUE"""),0.7601983638977271)</f>
        <v>0.7601983639</v>
      </c>
      <c r="V355" s="30">
        <f>IFERROR(__xludf.DUMMYFUNCTION("""COMPUTED_VALUE"""),0.5899035542919483)</f>
        <v>0.5899035543</v>
      </c>
      <c r="W355" s="30">
        <f>IFERROR(__xludf.DUMMYFUNCTION("""COMPUTED_VALUE"""),1.3699052395682019)</f>
        <v>1.36990524</v>
      </c>
      <c r="X355" s="30">
        <f>IFERROR(__xludf.DUMMYFUNCTION("""COMPUTED_VALUE"""),2.556208911572848)</f>
        <v>2.556208912</v>
      </c>
      <c r="Y355" s="30">
        <f>IFERROR(__xludf.DUMMYFUNCTION("""COMPUTED_VALUE"""),338.8644959647149)</f>
        <v>338.864496</v>
      </c>
      <c r="Z355" s="30">
        <f>IFERROR(__xludf.DUMMYFUNCTION("""COMPUTED_VALUE"""),0.6995799383480789)</f>
        <v>0.6995799383</v>
      </c>
      <c r="AA355" s="30">
        <f>IFERROR(__xludf.DUMMYFUNCTION("""COMPUTED_VALUE"""),0.5174343593194582)</f>
        <v>0.5174343593</v>
      </c>
      <c r="AB355" s="30">
        <f>IFERROR(__xludf.DUMMYFUNCTION("""COMPUTED_VALUE"""),1.328211298729979)</f>
        <v>1.328211299</v>
      </c>
      <c r="AC355" s="30">
        <f>IFERROR(__xludf.DUMMYFUNCTION("""COMPUTED_VALUE"""),2.526027689936545)</f>
        <v>2.52602769</v>
      </c>
      <c r="AD355" s="30">
        <f>IFERROR(__xludf.DUMMYFUNCTION("""COMPUTED_VALUE"""),1.1853312207381301)</f>
        <v>1.185331221</v>
      </c>
      <c r="AE355" s="30">
        <f>IFERROR(__xludf.DUMMYFUNCTION("""COMPUTED_VALUE"""),1.1316314594955832)</f>
        <v>1.131631459</v>
      </c>
      <c r="AF355" s="30">
        <f>IFERROR(__xludf.DUMMYFUNCTION("""COMPUTED_VALUE"""),0.644204095320885)</f>
        <v>0.6442040953</v>
      </c>
      <c r="AG355" s="30">
        <f>IFERROR(__xludf.DUMMYFUNCTION("""COMPUTED_VALUE"""),1.5057845102751182)</f>
        <v>1.50578451</v>
      </c>
      <c r="AH355" s="30">
        <f>IFERROR(__xludf.DUMMYFUNCTION("""COMPUTED_VALUE"""),1.0721708808351853)</f>
        <v>1.072170881</v>
      </c>
      <c r="AI355" s="30">
        <f>IFERROR(__xludf.DUMMYFUNCTION("""COMPUTED_VALUE"""),0.979539981842847)</f>
        <v>0.9795399818</v>
      </c>
      <c r="AJ355" s="30">
        <f>IFERROR(__xludf.DUMMYFUNCTION("""COMPUTED_VALUE"""),0.8586940051157476)</f>
        <v>0.8586940051</v>
      </c>
      <c r="AK355" s="30">
        <f>IFERROR(__xludf.DUMMYFUNCTION("""COMPUTED_VALUE"""),0.8475961813794153)</f>
        <v>0.8475961814</v>
      </c>
      <c r="AL355" s="30">
        <f>IFERROR(__xludf.DUMMYFUNCTION("""COMPUTED_VALUE"""),1.1051048241600063)</f>
        <v>1.105104824</v>
      </c>
      <c r="AM355" s="30">
        <f>IFERROR(__xludf.DUMMYFUNCTION("""COMPUTED_VALUE"""),0.9671440432859814)</f>
        <v>0.9671440433</v>
      </c>
      <c r="AN355" s="30">
        <f>IFERROR(__xludf.DUMMYFUNCTION("""COMPUTED_VALUE"""),1.163316178703966)</f>
        <v>1.163316179</v>
      </c>
      <c r="AO355" s="30">
        <f>IFERROR(__xludf.DUMMYFUNCTION("""COMPUTED_VALUE"""),1.0494731190615871)</f>
        <v>1.049473119</v>
      </c>
      <c r="AP355" s="30">
        <f>IFERROR(__xludf.DUMMYFUNCTION("""COMPUTED_VALUE"""),0.6181704407667327)</f>
        <v>0.6181704408</v>
      </c>
      <c r="AQ355" s="30">
        <f>IFERROR(__xludf.DUMMYFUNCTION("""COMPUTED_VALUE"""),1.4807755266928027)</f>
        <v>1.480775527</v>
      </c>
      <c r="AR355" s="30">
        <f>IFERROR(__xludf.DUMMYFUNCTION("""COMPUTED_VALUE"""),1.057661055769627)</f>
        <v>1.057661056</v>
      </c>
      <c r="AS355" s="30">
        <f>IFERROR(__xludf.DUMMYFUNCTION("""COMPUTED_VALUE"""),41.0)</f>
        <v>41</v>
      </c>
      <c r="AT355" s="30">
        <f>IFERROR(__xludf.DUMMYFUNCTION("""COMPUTED_VALUE"""),0.4505872576121089)</f>
        <v>0.4505872576</v>
      </c>
      <c r="AU355" s="30">
        <f>IFERROR(__xludf.DUMMYFUNCTION("""COMPUTED_VALUE"""),2.5524197375146196)</f>
        <v>2.552419738</v>
      </c>
      <c r="AV355" s="32">
        <f>IFERROR(__xludf.DUMMYFUNCTION("""COMPUTED_VALUE"""),55.65280256254196)</f>
        <v>55.65280256</v>
      </c>
      <c r="AW355" s="32">
        <f>IFERROR(__xludf.DUMMYFUNCTION("""COMPUTED_VALUE"""),2.435714693891001)</f>
        <v>2.435714694</v>
      </c>
      <c r="AX355" s="32">
        <f>IFERROR(__xludf.DUMMYFUNCTION("""COMPUTED_VALUE"""),63.24505820147135)</f>
        <v>63.2450582</v>
      </c>
      <c r="AY355" s="32">
        <f>IFERROR(__xludf.DUMMYFUNCTION("""COMPUTED_VALUE"""),3.354303370604499)</f>
        <v>3.354303371</v>
      </c>
      <c r="AZ355" s="30">
        <f>IFERROR(__xludf.DUMMYFUNCTION("""COMPUTED_VALUE"""),0.9185886767134979)</f>
        <v>0.9185886767</v>
      </c>
      <c r="BA355" s="30">
        <f>IFERROR(__xludf.DUMMYFUNCTION("""COMPUTED_VALUE"""),1200.0)</f>
        <v>1200</v>
      </c>
    </row>
    <row r="356">
      <c r="A356" s="71" t="str">
        <f>IFERROR(__xludf.DUMMYFUNCTION("""COMPUTED_VALUE"""),"Veteran")</f>
        <v>Veteran</v>
      </c>
      <c r="B356" s="71" t="str">
        <f>IFERROR(__xludf.DUMMYFUNCTION("""COMPUTED_VALUE"""),"RSC004385")</f>
        <v>RSC004385</v>
      </c>
      <c r="C356" s="30" t="str">
        <f>IFERROR(__xludf.DUMMYFUNCTION("""COMPUTED_VALUE"""),"Braybaum02")</f>
        <v>Braybaum02</v>
      </c>
      <c r="D356" s="30" t="str">
        <f>IFERROR(__xludf.DUMMYFUNCTION("""COMPUTED_VALUE"""),"Peppermint")</f>
        <v>Peppermint</v>
      </c>
      <c r="E356" s="30">
        <f>IFERROR(__xludf.DUMMYFUNCTION("""COMPUTED_VALUE"""),35.0)</f>
        <v>35</v>
      </c>
      <c r="F356" s="30">
        <f>IFERROR(__xludf.DUMMYFUNCTION("""COMPUTED_VALUE"""),14.0)</f>
        <v>14</v>
      </c>
      <c r="G356" s="42">
        <f>IFERROR(__xludf.DUMMYFUNCTION("""COMPUTED_VALUE"""),21.0)</f>
        <v>21</v>
      </c>
      <c r="H356" s="42">
        <f>IFERROR(__xludf.DUMMYFUNCTION("""COMPUTED_VALUE"""),0.4)</f>
        <v>0.4</v>
      </c>
      <c r="I356" s="42">
        <f>IFERROR(__xludf.DUMMYFUNCTION("""COMPUTED_VALUE"""),0.46052631578947373)</f>
        <v>0.4605263158</v>
      </c>
      <c r="J356" s="30">
        <f>IFERROR(__xludf.DUMMYFUNCTION("""COMPUTED_VALUE"""),361.0857142857143)</f>
        <v>361.0857143</v>
      </c>
      <c r="K356" s="30">
        <f>IFERROR(__xludf.DUMMYFUNCTION("""COMPUTED_VALUE"""),1.0)</f>
        <v>1</v>
      </c>
      <c r="L356" s="30">
        <f>IFERROR(__xludf.DUMMYFUNCTION("""COMPUTED_VALUE"""),0.4)</f>
        <v>0.4</v>
      </c>
      <c r="M356" s="30">
        <f>IFERROR(__xludf.DUMMYFUNCTION("""COMPUTED_VALUE"""),1.3428571428571427)</f>
        <v>1.342857143</v>
      </c>
      <c r="N356" s="30">
        <f>IFERROR(__xludf.DUMMYFUNCTION("""COMPUTED_VALUE"""),2.1714285714285713)</f>
        <v>2.171428571</v>
      </c>
      <c r="O356" s="30">
        <f>IFERROR(__xludf.DUMMYFUNCTION("""COMPUTED_VALUE"""),381.02857142857147)</f>
        <v>381.0285714</v>
      </c>
      <c r="P356" s="30">
        <f>IFERROR(__xludf.DUMMYFUNCTION("""COMPUTED_VALUE"""),1.0285714285714285)</f>
        <v>1.028571429</v>
      </c>
      <c r="Q356" s="30">
        <f>IFERROR(__xludf.DUMMYFUNCTION("""COMPUTED_VALUE"""),0.7238095238095239)</f>
        <v>0.7238095238</v>
      </c>
      <c r="R356" s="30">
        <f>IFERROR(__xludf.DUMMYFUNCTION("""COMPUTED_VALUE"""),1.1714285714285715)</f>
        <v>1.171428571</v>
      </c>
      <c r="S356" s="30">
        <f>IFERROR(__xludf.DUMMYFUNCTION("""COMPUTED_VALUE"""),3.2095238095238097)</f>
        <v>3.20952381</v>
      </c>
      <c r="T356" s="30">
        <f>IFERROR(__xludf.DUMMYFUNCTION("""COMPUTED_VALUE"""),351.55075680894373)</f>
        <v>351.5507568</v>
      </c>
      <c r="U356" s="30">
        <f>IFERROR(__xludf.DUMMYFUNCTION("""COMPUTED_VALUE"""),0.8222637401702928)</f>
        <v>0.8222637402</v>
      </c>
      <c r="V356" s="30">
        <f>IFERROR(__xludf.DUMMYFUNCTION("""COMPUTED_VALUE"""),0.5740360597503524)</f>
        <v>0.5740360598</v>
      </c>
      <c r="W356" s="30">
        <f>IFERROR(__xludf.DUMMYFUNCTION("""COMPUTED_VALUE"""),1.2771134150841488)</f>
        <v>1.277113415</v>
      </c>
      <c r="X356" s="30">
        <f>IFERROR(__xludf.DUMMYFUNCTION("""COMPUTED_VALUE"""),2.6878898066312864)</f>
        <v>2.687889807</v>
      </c>
      <c r="Y356" s="30">
        <f>IFERROR(__xludf.DUMMYFUNCTION("""COMPUTED_VALUE"""),356.2415074852467)</f>
        <v>356.2415075</v>
      </c>
      <c r="Z356" s="30">
        <f>IFERROR(__xludf.DUMMYFUNCTION("""COMPUTED_VALUE"""),0.8312750542182583)</f>
        <v>0.8312750542</v>
      </c>
      <c r="AA356" s="30">
        <f>IFERROR(__xludf.DUMMYFUNCTION("""COMPUTED_VALUE"""),0.6133629703691634)</f>
        <v>0.6133629704</v>
      </c>
      <c r="AB356" s="30">
        <f>IFERROR(__xludf.DUMMYFUNCTION("""COMPUTED_VALUE"""),1.3289380812929137)</f>
        <v>1.328938081</v>
      </c>
      <c r="AC356" s="30">
        <f>IFERROR(__xludf.DUMMYFUNCTION("""COMPUTED_VALUE"""),2.570883881300026)</f>
        <v>2.570883881</v>
      </c>
      <c r="AD356" s="30">
        <f>IFERROR(__xludf.DUMMYFUNCTION("""COMPUTED_VALUE"""),1.0135980976351224)</f>
        <v>1.013598098</v>
      </c>
      <c r="AE356" s="30">
        <f>IFERROR(__xludf.DUMMYFUNCTION("""COMPUTED_VALUE"""),1.2029712607464358)</f>
        <v>1.202971261</v>
      </c>
      <c r="AF356" s="30">
        <f>IFERROR(__xludf.DUMMYFUNCTION("""COMPUTED_VALUE"""),0.6521424007048435)</f>
        <v>0.6521424007</v>
      </c>
      <c r="AG356" s="30">
        <f>IFERROR(__xludf.DUMMYFUNCTION("""COMPUTED_VALUE"""),1.0104738224904257)</f>
        <v>1.010473822</v>
      </c>
      <c r="AH356" s="30">
        <f>IFERROR(__xludf.DUMMYFUNCTION("""COMPUTED_VALUE"""),0.8446233558905581)</f>
        <v>0.8446233559</v>
      </c>
      <c r="AI356" s="30">
        <f>IFERROR(__xludf.DUMMYFUNCTION("""COMPUTED_VALUE"""),1.0838508068854704)</f>
        <v>1.083850807</v>
      </c>
      <c r="AJ356" s="30">
        <f>IFERROR(__xludf.DUMMYFUNCTION("""COMPUTED_VALUE"""),1.2509020869124168)</f>
        <v>1.250902087</v>
      </c>
      <c r="AK356" s="30">
        <f>IFERROR(__xludf.DUMMYFUNCTION("""COMPUTED_VALUE"""),1.260912988853536)</f>
        <v>1.260912989</v>
      </c>
      <c r="AL356" s="30">
        <f>IFERROR(__xludf.DUMMYFUNCTION("""COMPUTED_VALUE"""),0.9172470961409377)</f>
        <v>0.9172470961</v>
      </c>
      <c r="AM356" s="30">
        <f>IFERROR(__xludf.DUMMYFUNCTION("""COMPUTED_VALUE"""),1.1940682246740923)</f>
        <v>1.194068225</v>
      </c>
      <c r="AN356" s="30">
        <f>IFERROR(__xludf.DUMMYFUNCTION("""COMPUTED_VALUE"""),1.0457846970807865)</f>
        <v>1.045784697</v>
      </c>
      <c r="AO356" s="30">
        <f>IFERROR(__xludf.DUMMYFUNCTION("""COMPUTED_VALUE"""),1.3256502556567418)</f>
        <v>1.325650256</v>
      </c>
      <c r="AP356" s="30">
        <f>IFERROR(__xludf.DUMMYFUNCTION("""COMPUTED_VALUE"""),0.7418045289200793)</f>
        <v>0.7418045289</v>
      </c>
      <c r="AQ356" s="30">
        <f>IFERROR(__xludf.DUMMYFUNCTION("""COMPUTED_VALUE"""),0.9942349964937389)</f>
        <v>0.9942349965</v>
      </c>
      <c r="AR356" s="30">
        <f>IFERROR(__xludf.DUMMYFUNCTION("""COMPUTED_VALUE"""),0.8479884684500217)</f>
        <v>0.8479884685</v>
      </c>
      <c r="AS356" s="30">
        <f>IFERROR(__xludf.DUMMYFUNCTION("""COMPUTED_VALUE"""),78.0)</f>
        <v>78</v>
      </c>
      <c r="AT356" s="30">
        <f>IFERROR(__xludf.DUMMYFUNCTION("""COMPUTED_VALUE"""),0.37154517833340694)</f>
        <v>0.3715451783</v>
      </c>
      <c r="AU356" s="30">
        <f>IFERROR(__xludf.DUMMYFUNCTION("""COMPUTED_VALUE"""),2.200071032544388)</f>
        <v>2.200071033</v>
      </c>
      <c r="AV356" s="32">
        <f>IFERROR(__xludf.DUMMYFUNCTION("""COMPUTED_VALUE"""),44.73841661810256)</f>
        <v>44.73841662</v>
      </c>
      <c r="AW356" s="32">
        <f>IFERROR(__xludf.DUMMYFUNCTION("""COMPUTED_VALUE"""),-2.400078535414122)</f>
        <v>-2.400078535</v>
      </c>
      <c r="AX356" s="32">
        <f>IFERROR(__xludf.DUMMYFUNCTION("""COMPUTED_VALUE"""),37.00277278851229)</f>
        <v>37.00277279</v>
      </c>
      <c r="AY356" s="32">
        <f>IFERROR(__xludf.DUMMYFUNCTION("""COMPUTED_VALUE"""),-3.3159748625635386)</f>
        <v>-3.315974863</v>
      </c>
      <c r="AZ356" s="30">
        <f>IFERROR(__xludf.DUMMYFUNCTION("""COMPUTED_VALUE"""),0.9158963271494165)</f>
        <v>0.9158963271</v>
      </c>
      <c r="BA356" s="30">
        <f>IFERROR(__xludf.DUMMYFUNCTION("""COMPUTED_VALUE"""),1200.0)</f>
        <v>1200</v>
      </c>
    </row>
    <row r="357">
      <c r="A357" s="71" t="str">
        <f>IFERROR(__xludf.DUMMYFUNCTION("""COMPUTED_VALUE"""),"Veteran")</f>
        <v>Veteran</v>
      </c>
      <c r="B357" s="71" t="str">
        <f>IFERROR(__xludf.DUMMYFUNCTION("""COMPUTED_VALUE"""),"RSC003272")</f>
        <v>RSC003272</v>
      </c>
      <c r="C357" s="30" t="str">
        <f>IFERROR(__xludf.DUMMYFUNCTION("""COMPUTED_VALUE"""),"jknop2")</f>
        <v>jknop2</v>
      </c>
      <c r="D357" s="30" t="str">
        <f>IFERROR(__xludf.DUMMYFUNCTION("""COMPUTED_VALUE"""),"Singularity")</f>
        <v>Singularity</v>
      </c>
      <c r="E357" s="30">
        <f>IFERROR(__xludf.DUMMYFUNCTION("""COMPUTED_VALUE"""),32.0)</f>
        <v>32</v>
      </c>
      <c r="F357" s="30">
        <f>IFERROR(__xludf.DUMMYFUNCTION("""COMPUTED_VALUE"""),18.0)</f>
        <v>18</v>
      </c>
      <c r="G357" s="42">
        <f>IFERROR(__xludf.DUMMYFUNCTION("""COMPUTED_VALUE"""),14.0)</f>
        <v>14</v>
      </c>
      <c r="H357" s="42">
        <f>IFERROR(__xludf.DUMMYFUNCTION("""COMPUTED_VALUE"""),0.5625)</f>
        <v>0.5625</v>
      </c>
      <c r="I357" s="42">
        <f>IFERROR(__xludf.DUMMYFUNCTION("""COMPUTED_VALUE"""),0.2564102564102564)</f>
        <v>0.2564102564</v>
      </c>
      <c r="J357" s="30">
        <f>IFERROR(__xludf.DUMMYFUNCTION("""COMPUTED_VALUE"""),393.75)</f>
        <v>393.75</v>
      </c>
      <c r="K357" s="30">
        <f>IFERROR(__xludf.DUMMYFUNCTION("""COMPUTED_VALUE"""),0.625)</f>
        <v>0.625</v>
      </c>
      <c r="L357" s="30">
        <f>IFERROR(__xludf.DUMMYFUNCTION("""COMPUTED_VALUE"""),0.65625)</f>
        <v>0.65625</v>
      </c>
      <c r="M357" s="30">
        <f>IFERROR(__xludf.DUMMYFUNCTION("""COMPUTED_VALUE"""),1.96875)</f>
        <v>1.96875</v>
      </c>
      <c r="N357" s="30">
        <f>IFERROR(__xludf.DUMMYFUNCTION("""COMPUTED_VALUE"""),2.4375)</f>
        <v>2.4375</v>
      </c>
      <c r="O357" s="30">
        <f>IFERROR(__xludf.DUMMYFUNCTION("""COMPUTED_VALUE"""),328.62500000000006)</f>
        <v>328.625</v>
      </c>
      <c r="P357" s="30">
        <f>IFERROR(__xludf.DUMMYFUNCTION("""COMPUTED_VALUE"""),0.6145833333333333)</f>
        <v>0.6145833333</v>
      </c>
      <c r="Q357" s="30">
        <f>IFERROR(__xludf.DUMMYFUNCTION("""COMPUTED_VALUE"""),0.4375)</f>
        <v>0.4375</v>
      </c>
      <c r="R357" s="30">
        <f>IFERROR(__xludf.DUMMYFUNCTION("""COMPUTED_VALUE"""),1.354166666666667)</f>
        <v>1.354166667</v>
      </c>
      <c r="S357" s="30">
        <f>IFERROR(__xludf.DUMMYFUNCTION("""COMPUTED_VALUE"""),2.8125000000000004)</f>
        <v>2.8125</v>
      </c>
      <c r="T357" s="30">
        <f>IFERROR(__xludf.DUMMYFUNCTION("""COMPUTED_VALUE"""),351.1566415344768)</f>
        <v>351.1566415</v>
      </c>
      <c r="U357" s="30">
        <f>IFERROR(__xludf.DUMMYFUNCTION("""COMPUTED_VALUE"""),0.7625211244396177)</f>
        <v>0.7625211244</v>
      </c>
      <c r="V357" s="30">
        <f>IFERROR(__xludf.DUMMYFUNCTION("""COMPUTED_VALUE"""),0.5419813994645037)</f>
        <v>0.5419813995</v>
      </c>
      <c r="W357" s="30">
        <f>IFERROR(__xludf.DUMMYFUNCTION("""COMPUTED_VALUE"""),1.3579699446596305)</f>
        <v>1.357969945</v>
      </c>
      <c r="X357" s="30">
        <f>IFERROR(__xludf.DUMMYFUNCTION("""COMPUTED_VALUE"""),2.5789685179630357)</f>
        <v>2.578968518</v>
      </c>
      <c r="Y357" s="30">
        <f>IFERROR(__xludf.DUMMYFUNCTION("""COMPUTED_VALUE"""),342.62396035607446)</f>
        <v>342.6239604</v>
      </c>
      <c r="Z357" s="30">
        <f>IFERROR(__xludf.DUMMYFUNCTION("""COMPUTED_VALUE"""),0.6959298497744929)</f>
        <v>0.6959298498</v>
      </c>
      <c r="AA357" s="30">
        <f>IFERROR(__xludf.DUMMYFUNCTION("""COMPUTED_VALUE"""),0.5161469952735855)</f>
        <v>0.5161469953</v>
      </c>
      <c r="AB357" s="30">
        <f>IFERROR(__xludf.DUMMYFUNCTION("""COMPUTED_VALUE"""),1.3729691728172813)</f>
        <v>1.372969173</v>
      </c>
      <c r="AC357" s="30">
        <f>IFERROR(__xludf.DUMMYFUNCTION("""COMPUTED_VALUE"""),2.524881049923858)</f>
        <v>2.52488105</v>
      </c>
      <c r="AD357" s="30">
        <f>IFERROR(__xludf.DUMMYFUNCTION("""COMPUTED_VALUE"""),1.1492191018713123)</f>
        <v>1.149219102</v>
      </c>
      <c r="AE357" s="30">
        <f>IFERROR(__xludf.DUMMYFUNCTION("""COMPUTED_VALUE"""),0.8980790236293545)</f>
        <v>0.8980790236</v>
      </c>
      <c r="AF357" s="30">
        <f>IFERROR(__xludf.DUMMYFUNCTION("""COMPUTED_VALUE"""),1.2714401246337825)</f>
        <v>1.271440125</v>
      </c>
      <c r="AG357" s="30">
        <f>IFERROR(__xludf.DUMMYFUNCTION("""COMPUTED_VALUE"""),1.4339360555053096)</f>
        <v>1.433936056</v>
      </c>
      <c r="AH357" s="30">
        <f>IFERROR(__xludf.DUMMYFUNCTION("""COMPUTED_VALUE"""),0.9653920132489041)</f>
        <v>0.9653920132</v>
      </c>
      <c r="AI357" s="30">
        <f>IFERROR(__xludf.DUMMYFUNCTION("""COMPUTED_VALUE"""),0.9358359237176365)</f>
        <v>0.9358359237</v>
      </c>
      <c r="AJ357" s="30">
        <f>IFERROR(__xludf.DUMMYFUNCTION("""COMPUTED_VALUE"""),0.8059885997060016)</f>
        <v>0.8059885997</v>
      </c>
      <c r="AK357" s="30">
        <f>IFERROR(__xludf.DUMMYFUNCTION("""COMPUTED_VALUE"""),0.8072232745113855)</f>
        <v>0.8072232745</v>
      </c>
      <c r="AL357" s="30">
        <f>IFERROR(__xludf.DUMMYFUNCTION("""COMPUTED_VALUE"""),0.9971992914806985)</f>
        <v>0.9971992915</v>
      </c>
      <c r="AM357" s="30">
        <f>IFERROR(__xludf.DUMMYFUNCTION("""COMPUTED_VALUE"""),1.0905522810419634)</f>
        <v>1.090552281</v>
      </c>
      <c r="AN357" s="30">
        <f>IFERROR(__xludf.DUMMYFUNCTION("""COMPUTED_VALUE"""),1.1403877477959004)</f>
        <v>1.140387748</v>
      </c>
      <c r="AO357" s="30">
        <f>IFERROR(__xludf.DUMMYFUNCTION("""COMPUTED_VALUE"""),0.8285314097854636)</f>
        <v>0.8285314098</v>
      </c>
      <c r="AP357" s="30">
        <f>IFERROR(__xludf.DUMMYFUNCTION("""COMPUTED_VALUE"""),1.2170230552595052)</f>
        <v>1.217023055</v>
      </c>
      <c r="AQ357" s="30">
        <f>IFERROR(__xludf.DUMMYFUNCTION("""COMPUTED_VALUE"""),1.4576384090882277)</f>
        <v>1.457638409</v>
      </c>
      <c r="AR357" s="30">
        <f>IFERROR(__xludf.DUMMYFUNCTION("""COMPUTED_VALUE"""),0.9518949501926643)</f>
        <v>0.9518949502</v>
      </c>
      <c r="AS357" s="30">
        <f>IFERROR(__xludf.DUMMYFUNCTION("""COMPUTED_VALUE"""),68.0)</f>
        <v>68</v>
      </c>
      <c r="AT357" s="30">
        <f>IFERROR(__xludf.DUMMYFUNCTION("""COMPUTED_VALUE"""),0.5525225640938712)</f>
        <v>0.5525225641</v>
      </c>
      <c r="AU357" s="30">
        <f>IFERROR(__xludf.DUMMYFUNCTION("""COMPUTED_VALUE"""),2.752920778079957)</f>
        <v>2.752920778</v>
      </c>
      <c r="AV357" s="32">
        <f>IFERROR(__xludf.DUMMYFUNCTION("""COMPUTED_VALUE"""),61.86354126577254)</f>
        <v>61.86354127</v>
      </c>
      <c r="AW357" s="32">
        <f>IFERROR(__xludf.DUMMYFUNCTION("""COMPUTED_VALUE"""),3.1490424266574655)</f>
        <v>3.149042427</v>
      </c>
      <c r="AX357" s="32">
        <f>IFERROR(__xludf.DUMMYFUNCTION("""COMPUTED_VALUE"""),53.52969455966069)</f>
        <v>53.52969456</v>
      </c>
      <c r="AY357" s="32">
        <f>IFERROR(__xludf.DUMMYFUNCTION("""COMPUTED_VALUE"""),2.2529585912175945)</f>
        <v>2.252958591</v>
      </c>
      <c r="AZ357" s="30">
        <f>IFERROR(__xludf.DUMMYFUNCTION("""COMPUTED_VALUE"""),0.896083835439871)</f>
        <v>0.8960838354</v>
      </c>
      <c r="BA357" s="30">
        <f>IFERROR(__xludf.DUMMYFUNCTION("""COMPUTED_VALUE"""),1200.0)</f>
        <v>1200</v>
      </c>
    </row>
    <row r="358">
      <c r="A358" s="71" t="str">
        <f>IFERROR(__xludf.DUMMYFUNCTION("""COMPUTED_VALUE"""),"Veteran")</f>
        <v>Veteran</v>
      </c>
      <c r="B358" s="71" t="str">
        <f>IFERROR(__xludf.DUMMYFUNCTION("""COMPUTED_VALUE"""),"RSC006278")</f>
        <v>RSC006278</v>
      </c>
      <c r="C358" s="30" t="str">
        <f>IFERROR(__xludf.DUMMYFUNCTION("""COMPUTED_VALUE"""),"DribblingPenguin")</f>
        <v>DribblingPenguin</v>
      </c>
      <c r="D358" s="30" t="str">
        <f>IFERROR(__xludf.DUMMYFUNCTION("""COMPUTED_VALUE"""),"Azalea")</f>
        <v>Azalea</v>
      </c>
      <c r="E358" s="30">
        <f>IFERROR(__xludf.DUMMYFUNCTION("""COMPUTED_VALUE"""),34.0)</f>
        <v>34</v>
      </c>
      <c r="F358" s="30">
        <f>IFERROR(__xludf.DUMMYFUNCTION("""COMPUTED_VALUE"""),14.0)</f>
        <v>14</v>
      </c>
      <c r="G358" s="42">
        <f>IFERROR(__xludf.DUMMYFUNCTION("""COMPUTED_VALUE"""),20.0)</f>
        <v>20</v>
      </c>
      <c r="H358" s="42">
        <f>IFERROR(__xludf.DUMMYFUNCTION("""COMPUTED_VALUE"""),0.4117647058823529)</f>
        <v>0.4117647059</v>
      </c>
      <c r="I358" s="42">
        <f>IFERROR(__xludf.DUMMYFUNCTION("""COMPUTED_VALUE"""),0.2783505154639175)</f>
        <v>0.2783505155</v>
      </c>
      <c r="J358" s="30">
        <f>IFERROR(__xludf.DUMMYFUNCTION("""COMPUTED_VALUE"""),364.1764705882353)</f>
        <v>364.1764706</v>
      </c>
      <c r="K358" s="30">
        <f>IFERROR(__xludf.DUMMYFUNCTION("""COMPUTED_VALUE"""),0.7941176470588235)</f>
        <v>0.7941176471</v>
      </c>
      <c r="L358" s="30">
        <f>IFERROR(__xludf.DUMMYFUNCTION("""COMPUTED_VALUE"""),0.6176470588235294)</f>
        <v>0.6176470588</v>
      </c>
      <c r="M358" s="30">
        <f>IFERROR(__xludf.DUMMYFUNCTION("""COMPUTED_VALUE"""),1.5)</f>
        <v>1.5</v>
      </c>
      <c r="N358" s="30">
        <f>IFERROR(__xludf.DUMMYFUNCTION("""COMPUTED_VALUE"""),2.8529411764705883)</f>
        <v>2.852941176</v>
      </c>
      <c r="O358" s="30">
        <f>IFERROR(__xludf.DUMMYFUNCTION("""COMPUTED_VALUE"""),331.1666666666666)</f>
        <v>331.1666667</v>
      </c>
      <c r="P358" s="30">
        <f>IFERROR(__xludf.DUMMYFUNCTION("""COMPUTED_VALUE"""),0.7352941176470589)</f>
        <v>0.7352941176</v>
      </c>
      <c r="Q358" s="30">
        <f>IFERROR(__xludf.DUMMYFUNCTION("""COMPUTED_VALUE"""),0.43137254901960786)</f>
        <v>0.431372549</v>
      </c>
      <c r="R358" s="30">
        <f>IFERROR(__xludf.DUMMYFUNCTION("""COMPUTED_VALUE"""),1.3627450980392162)</f>
        <v>1.362745098</v>
      </c>
      <c r="S358" s="30">
        <f>IFERROR(__xludf.DUMMYFUNCTION("""COMPUTED_VALUE"""),2.3725490196078427)</f>
        <v>2.37254902</v>
      </c>
      <c r="T358" s="30">
        <f>IFERROR(__xludf.DUMMYFUNCTION("""COMPUTED_VALUE"""),345.23832317094514)</f>
        <v>345.2383232</v>
      </c>
      <c r="U358" s="30">
        <f>IFERROR(__xludf.DUMMYFUNCTION("""COMPUTED_VALUE"""),0.7301582658293911)</f>
        <v>0.7301582658</v>
      </c>
      <c r="V358" s="30">
        <f>IFERROR(__xludf.DUMMYFUNCTION("""COMPUTED_VALUE"""),0.5244892299542779)</f>
        <v>0.52448923</v>
      </c>
      <c r="W358" s="30">
        <f>IFERROR(__xludf.DUMMYFUNCTION("""COMPUTED_VALUE"""),1.4181072457888242)</f>
        <v>1.418107246</v>
      </c>
      <c r="X358" s="30">
        <f>IFERROR(__xludf.DUMMYFUNCTION("""COMPUTED_VALUE"""),2.5222353906279675)</f>
        <v>2.522235391</v>
      </c>
      <c r="Y358" s="30">
        <f>IFERROR(__xludf.DUMMYFUNCTION("""COMPUTED_VALUE"""),349.19516872078674)</f>
        <v>349.1951687</v>
      </c>
      <c r="Z358" s="30">
        <f>IFERROR(__xludf.DUMMYFUNCTION("""COMPUTED_VALUE"""),0.7867634244500191)</f>
        <v>0.7867634245</v>
      </c>
      <c r="AA358" s="30">
        <f>IFERROR(__xludf.DUMMYFUNCTION("""COMPUTED_VALUE"""),0.5621496835779611)</f>
        <v>0.5621496836</v>
      </c>
      <c r="AB358" s="30">
        <f>IFERROR(__xludf.DUMMYFUNCTION("""COMPUTED_VALUE"""),1.3449154093033695)</f>
        <v>1.344915409</v>
      </c>
      <c r="AC358" s="30">
        <f>IFERROR(__xludf.DUMMYFUNCTION("""COMPUTED_VALUE"""),2.6125962395196196)</f>
        <v>2.61259624</v>
      </c>
      <c r="AD358" s="30">
        <f>IFERROR(__xludf.DUMMYFUNCTION("""COMPUTED_VALUE"""),1.0429023744009112)</f>
        <v>1.042902374</v>
      </c>
      <c r="AE358" s="30">
        <f>IFERROR(__xludf.DUMMYFUNCTION("""COMPUTED_VALUE"""),1.0093474383534609)</f>
        <v>1.009347438</v>
      </c>
      <c r="AF358" s="30">
        <f>IFERROR(__xludf.DUMMYFUNCTION("""COMPUTED_VALUE"""),1.098723483916845)</f>
        <v>1.098723484</v>
      </c>
      <c r="AG358" s="30">
        <f>IFERROR(__xludf.DUMMYFUNCTION("""COMPUTED_VALUE"""),1.115311780669507)</f>
        <v>1.115311781</v>
      </c>
      <c r="AH358" s="30">
        <f>IFERROR(__xludf.DUMMYFUNCTION("""COMPUTED_VALUE"""),1.0919946730824206)</f>
        <v>1.091994673</v>
      </c>
      <c r="AI358" s="30">
        <f>IFERROR(__xludf.DUMMYFUNCTION("""COMPUTED_VALUE"""),0.9592407460011009)</f>
        <v>0.959240746</v>
      </c>
      <c r="AJ358" s="30">
        <f>IFERROR(__xludf.DUMMYFUNCTION("""COMPUTED_VALUE"""),1.0070338884842096)</f>
        <v>1.007033888</v>
      </c>
      <c r="AK358" s="30">
        <f>IFERROR(__xludf.DUMMYFUNCTION("""COMPUTED_VALUE"""),0.822462167730713)</f>
        <v>0.8224621677</v>
      </c>
      <c r="AL358" s="30">
        <f>IFERROR(__xludf.DUMMYFUNCTION("""COMPUTED_VALUE"""),0.9609605353092934)</f>
        <v>0.9609605353</v>
      </c>
      <c r="AM358" s="30">
        <f>IFERROR(__xludf.DUMMYFUNCTION("""COMPUTED_VALUE"""),0.9406532904992436)</f>
        <v>0.9406532905</v>
      </c>
      <c r="AN358" s="30">
        <f>IFERROR(__xludf.DUMMYFUNCTION("""COMPUTED_VALUE"""),1.0547362161127052)</f>
        <v>1.054736216</v>
      </c>
      <c r="AO358" s="30">
        <f>IFERROR(__xludf.DUMMYFUNCTION("""COMPUTED_VALUE"""),1.0527222618450596)</f>
        <v>1.052722262</v>
      </c>
      <c r="AP358" s="30">
        <f>IFERROR(__xludf.DUMMYFUNCTION("""COMPUTED_VALUE"""),1.1454334637736518)</f>
        <v>1.145433464</v>
      </c>
      <c r="AQ358" s="30">
        <f>IFERROR(__xludf.DUMMYFUNCTION("""COMPUTED_VALUE"""),1.110581645019602)</f>
        <v>1.110581645</v>
      </c>
      <c r="AR358" s="30">
        <f>IFERROR(__xludf.DUMMYFUNCTION("""COMPUTED_VALUE"""),1.1141334560324396)</f>
        <v>1.114133456</v>
      </c>
      <c r="AS358" s="30">
        <f>IFERROR(__xludf.DUMMYFUNCTION("""COMPUTED_VALUE"""),77.0)</f>
        <v>77</v>
      </c>
      <c r="AT358" s="30">
        <f>IFERROR(__xludf.DUMMYFUNCTION("""COMPUTED_VALUE"""),0.5101106000996937)</f>
        <v>0.5101106001</v>
      </c>
      <c r="AU358" s="30">
        <f>IFERROR(__xludf.DUMMYFUNCTION("""COMPUTED_VALUE"""),2.79507320721984)</f>
        <v>2.795073207</v>
      </c>
      <c r="AV358" s="32">
        <f>IFERROR(__xludf.DUMMYFUNCTION("""COMPUTED_VALUE"""),63.169258794001244)</f>
        <v>63.16925879</v>
      </c>
      <c r="AW358" s="32">
        <f>IFERROR(__xludf.DUMMYFUNCTION("""COMPUTED_VALUE"""),3.342508105629502)</f>
        <v>3.342508106</v>
      </c>
      <c r="AX358" s="32">
        <f>IFERROR(__xludf.DUMMYFUNCTION("""COMPUTED_VALUE"""),67.95594787210493)</f>
        <v>67.95594787</v>
      </c>
      <c r="AY358" s="32">
        <f>IFERROR(__xludf.DUMMYFUNCTION("""COMPUTED_VALUE"""),4.231813641309959)</f>
        <v>4.231813641</v>
      </c>
      <c r="AZ358" s="30">
        <f>IFERROR(__xludf.DUMMYFUNCTION("""COMPUTED_VALUE"""),0.8893055356804567)</f>
        <v>0.8893055357</v>
      </c>
      <c r="BA358" s="30">
        <f>IFERROR(__xludf.DUMMYFUNCTION("""COMPUTED_VALUE"""),1200.0)</f>
        <v>1200</v>
      </c>
    </row>
    <row r="359">
      <c r="A359" s="71" t="str">
        <f>IFERROR(__xludf.DUMMYFUNCTION("""COMPUTED_VALUE"""),"Veteran")</f>
        <v>Veteran</v>
      </c>
      <c r="B359" s="71" t="str">
        <f>IFERROR(__xludf.DUMMYFUNCTION("""COMPUTED_VALUE"""),"RSC006613")</f>
        <v>RSC006613</v>
      </c>
      <c r="C359" s="30" t="str">
        <f>IFERROR(__xludf.DUMMYFUNCTION("""COMPUTED_VALUE"""),"steel.reserve")</f>
        <v>steel.reserve</v>
      </c>
      <c r="D359" s="30" t="str">
        <f>IFERROR(__xludf.DUMMYFUNCTION("""COMPUTED_VALUE"""),"Dog Fighters")</f>
        <v>Dog Fighters</v>
      </c>
      <c r="E359" s="30">
        <f>IFERROR(__xludf.DUMMYFUNCTION("""COMPUTED_VALUE"""),23.0)</f>
        <v>23</v>
      </c>
      <c r="F359" s="30">
        <f>IFERROR(__xludf.DUMMYFUNCTION("""COMPUTED_VALUE"""),12.0)</f>
        <v>12</v>
      </c>
      <c r="G359" s="42">
        <f>IFERROR(__xludf.DUMMYFUNCTION("""COMPUTED_VALUE"""),11.0)</f>
        <v>11</v>
      </c>
      <c r="H359" s="42">
        <f>IFERROR(__xludf.DUMMYFUNCTION("""COMPUTED_VALUE"""),0.5217391304347826)</f>
        <v>0.5217391304</v>
      </c>
      <c r="I359" s="42">
        <f>IFERROR(__xludf.DUMMYFUNCTION("""COMPUTED_VALUE"""),0.3793103448275862)</f>
        <v>0.3793103448</v>
      </c>
      <c r="J359" s="30">
        <f>IFERROR(__xludf.DUMMYFUNCTION("""COMPUTED_VALUE"""),344.9130434782609)</f>
        <v>344.9130435</v>
      </c>
      <c r="K359" s="30">
        <f>IFERROR(__xludf.DUMMYFUNCTION("""COMPUTED_VALUE"""),0.9565217391304348)</f>
        <v>0.9565217391</v>
      </c>
      <c r="L359" s="30">
        <f>IFERROR(__xludf.DUMMYFUNCTION("""COMPUTED_VALUE"""),0.34782608695652173)</f>
        <v>0.347826087</v>
      </c>
      <c r="M359" s="30">
        <f>IFERROR(__xludf.DUMMYFUNCTION("""COMPUTED_VALUE"""),1.3478260869565217)</f>
        <v>1.347826087</v>
      </c>
      <c r="N359" s="30">
        <f>IFERROR(__xludf.DUMMYFUNCTION("""COMPUTED_VALUE"""),2.5217391304347827)</f>
        <v>2.52173913</v>
      </c>
      <c r="O359" s="30">
        <f>IFERROR(__xludf.DUMMYFUNCTION("""COMPUTED_VALUE"""),368.7246376811594)</f>
        <v>368.7246377</v>
      </c>
      <c r="P359" s="30">
        <f>IFERROR(__xludf.DUMMYFUNCTION("""COMPUTED_VALUE"""),0.7971014492753624)</f>
        <v>0.7971014493</v>
      </c>
      <c r="Q359" s="30">
        <f>IFERROR(__xludf.DUMMYFUNCTION("""COMPUTED_VALUE"""),0.5942028985507246)</f>
        <v>0.5942028986</v>
      </c>
      <c r="R359" s="30">
        <f>IFERROR(__xludf.DUMMYFUNCTION("""COMPUTED_VALUE"""),1.5507246376811594)</f>
        <v>1.550724638</v>
      </c>
      <c r="S359" s="30">
        <f>IFERROR(__xludf.DUMMYFUNCTION("""COMPUTED_VALUE"""),2.420289855072464)</f>
        <v>2.420289855</v>
      </c>
      <c r="T359" s="30">
        <f>IFERROR(__xludf.DUMMYFUNCTION("""COMPUTED_VALUE"""),350.7685253098938)</f>
        <v>350.7685253</v>
      </c>
      <c r="U359" s="30">
        <f>IFERROR(__xludf.DUMMYFUNCTION("""COMPUTED_VALUE"""),0.7062418346530267)</f>
        <v>0.7062418347</v>
      </c>
      <c r="V359" s="30">
        <f>IFERROR(__xludf.DUMMYFUNCTION("""COMPUTED_VALUE"""),0.5562739004174889)</f>
        <v>0.5562739004</v>
      </c>
      <c r="W359" s="30">
        <f>IFERROR(__xludf.DUMMYFUNCTION("""COMPUTED_VALUE"""),1.4582947053676165)</f>
        <v>1.458294705</v>
      </c>
      <c r="X359" s="30">
        <f>IFERROR(__xludf.DUMMYFUNCTION("""COMPUTED_VALUE"""),2.421638020693059)</f>
        <v>2.421638021</v>
      </c>
      <c r="Y359" s="30">
        <f>IFERROR(__xludf.DUMMYFUNCTION("""COMPUTED_VALUE"""),349.7220141046302)</f>
        <v>349.7220141</v>
      </c>
      <c r="Z359" s="30">
        <f>IFERROR(__xludf.DUMMYFUNCTION("""COMPUTED_VALUE"""),0.7680500562142802)</f>
        <v>0.7680500562</v>
      </c>
      <c r="AA359" s="30">
        <f>IFERROR(__xludf.DUMMYFUNCTION("""COMPUTED_VALUE"""),0.55749639629651)</f>
        <v>0.5574963963</v>
      </c>
      <c r="AB359" s="30">
        <f>IFERROR(__xludf.DUMMYFUNCTION("""COMPUTED_VALUE"""),1.316154313558636)</f>
        <v>1.316154314</v>
      </c>
      <c r="AC359" s="30">
        <f>IFERROR(__xludf.DUMMYFUNCTION("""COMPUTED_VALUE"""),2.7891398056194627)</f>
        <v>2.789139806</v>
      </c>
      <c r="AD359" s="30">
        <f>IFERROR(__xludf.DUMMYFUNCTION("""COMPUTED_VALUE"""),0.9862491623849262)</f>
        <v>0.9862491624</v>
      </c>
      <c r="AE359" s="30">
        <f>IFERROR(__xludf.DUMMYFUNCTION("""COMPUTED_VALUE"""),1.2453898432676793)</f>
        <v>1.245389843</v>
      </c>
      <c r="AF359" s="30">
        <f>IFERROR(__xludf.DUMMYFUNCTION("""COMPUTED_VALUE"""),0.6239073279525326)</f>
        <v>0.623907328</v>
      </c>
      <c r="AG359" s="30">
        <f>IFERROR(__xludf.DUMMYFUNCTION("""COMPUTED_VALUE"""),1.0240638753918232)</f>
        <v>1.024063875</v>
      </c>
      <c r="AH359" s="30">
        <f>IFERROR(__xludf.DUMMYFUNCTION("""COMPUTED_VALUE"""),0.9041279054402614)</f>
        <v>0.9041279054</v>
      </c>
      <c r="AI359" s="30">
        <f>IFERROR(__xludf.DUMMYFUNCTION("""COMPUTED_VALUE"""),1.0511907741876267)</f>
        <v>1.051190774</v>
      </c>
      <c r="AJ359" s="30">
        <f>IFERROR(__xludf.DUMMYFUNCTION("""COMPUTED_VALUE"""),1.1286522691861982)</f>
        <v>1.128652269</v>
      </c>
      <c r="AK359" s="30">
        <f>IFERROR(__xludf.DUMMYFUNCTION("""COMPUTED_VALUE"""),1.0681840332698866)</f>
        <v>1.068184033</v>
      </c>
      <c r="AL359" s="30">
        <f>IFERROR(__xludf.DUMMYFUNCTION("""COMPUTED_VALUE"""),1.0633822038668395)</f>
        <v>1.063382204</v>
      </c>
      <c r="AM359" s="30">
        <f>IFERROR(__xludf.DUMMYFUNCTION("""COMPUTED_VALUE"""),0.9994432835919015)</f>
        <v>0.9994432836</v>
      </c>
      <c r="AN359" s="30">
        <f>IFERROR(__xludf.DUMMYFUNCTION("""COMPUTED_VALUE"""),0.9989450383177229)</f>
        <v>0.9989450383</v>
      </c>
      <c r="AO359" s="30">
        <f>IFERROR(__xludf.DUMMYFUNCTION("""COMPUTED_VALUE"""),1.268013288019492)</f>
        <v>1.268013288</v>
      </c>
      <c r="AP359" s="30">
        <f>IFERROR(__xludf.DUMMYFUNCTION("""COMPUTED_VALUE"""),0.6450474164522428)</f>
        <v>0.6450474165</v>
      </c>
      <c r="AQ359" s="30">
        <f>IFERROR(__xludf.DUMMYFUNCTION("""COMPUTED_VALUE"""),0.9979139419016714)</f>
        <v>0.9979139419</v>
      </c>
      <c r="AR359" s="30">
        <f>IFERROR(__xludf.DUMMYFUNCTION("""COMPUTED_VALUE"""),0.98479210008784)</f>
        <v>0.9847921001</v>
      </c>
      <c r="AS359" s="30">
        <f>IFERROR(__xludf.DUMMYFUNCTION("""COMPUTED_VALUE"""),60.0)</f>
        <v>60</v>
      </c>
      <c r="AT359" s="30">
        <f>IFERROR(__xludf.DUMMYFUNCTION("""COMPUTED_VALUE"""),0.5344691858613647)</f>
        <v>0.5344691859</v>
      </c>
      <c r="AU359" s="30">
        <f>IFERROR(__xludf.DUMMYFUNCTION("""COMPUTED_VALUE"""),2.3144134806749803)</f>
        <v>2.314413481</v>
      </c>
      <c r="AV359" s="32">
        <f>IFERROR(__xludf.DUMMYFUNCTION("""COMPUTED_VALUE"""),48.28029882492027)</f>
        <v>48.28029882</v>
      </c>
      <c r="AW359" s="32">
        <f>IFERROR(__xludf.DUMMYFUNCTION("""COMPUTED_VALUE"""),-2.116047577310591)</f>
        <v>-2.116047577</v>
      </c>
      <c r="AX359" s="32">
        <f>IFERROR(__xludf.DUMMYFUNCTION("""COMPUTED_VALUE"""),39.371766942765085)</f>
        <v>39.37176694</v>
      </c>
      <c r="AY359" s="32">
        <f>IFERROR(__xludf.DUMMYFUNCTION("""COMPUTED_VALUE"""),-2.9817706314793444)</f>
        <v>-2.981770631</v>
      </c>
      <c r="AZ359" s="30">
        <f>IFERROR(__xludf.DUMMYFUNCTION("""COMPUTED_VALUE"""),0.8657230541687535)</f>
        <v>0.8657230542</v>
      </c>
      <c r="BA359" s="30">
        <f>IFERROR(__xludf.DUMMYFUNCTION("""COMPUTED_VALUE"""),1200.0)</f>
        <v>1200</v>
      </c>
    </row>
    <row r="360">
      <c r="A360" s="71" t="str">
        <f>IFERROR(__xludf.DUMMYFUNCTION("""COMPUTED_VALUE"""),"Veteran")</f>
        <v>Veteran</v>
      </c>
      <c r="B360" s="71" t="str">
        <f>IFERROR(__xludf.DUMMYFUNCTION("""COMPUTED_VALUE"""),"RSC004229")</f>
        <v>RSC004229</v>
      </c>
      <c r="C360" s="30" t="str">
        <f>IFERROR(__xludf.DUMMYFUNCTION("""COMPUTED_VALUE"""),"ImNotDotey")</f>
        <v>ImNotDotey</v>
      </c>
      <c r="D360" s="30"/>
      <c r="E360" s="30">
        <f>IFERROR(__xludf.DUMMYFUNCTION("""COMPUTED_VALUE"""),28.0)</f>
        <v>28</v>
      </c>
      <c r="F360" s="30">
        <f>IFERROR(__xludf.DUMMYFUNCTION("""COMPUTED_VALUE"""),11.0)</f>
        <v>11</v>
      </c>
      <c r="G360" s="42">
        <f>IFERROR(__xludf.DUMMYFUNCTION("""COMPUTED_VALUE"""),17.0)</f>
        <v>17</v>
      </c>
      <c r="H360" s="42">
        <f>IFERROR(__xludf.DUMMYFUNCTION("""COMPUTED_VALUE"""),0.39285714285714285)</f>
        <v>0.3928571429</v>
      </c>
      <c r="I360" s="42">
        <f>IFERROR(__xludf.DUMMYFUNCTION("""COMPUTED_VALUE"""),0.3)</f>
        <v>0.3</v>
      </c>
      <c r="J360" s="30">
        <f>IFERROR(__xludf.DUMMYFUNCTION("""COMPUTED_VALUE"""),331.5)</f>
        <v>331.5</v>
      </c>
      <c r="K360" s="30">
        <f>IFERROR(__xludf.DUMMYFUNCTION("""COMPUTED_VALUE"""),0.75)</f>
        <v>0.75</v>
      </c>
      <c r="L360" s="30">
        <f>IFERROR(__xludf.DUMMYFUNCTION("""COMPUTED_VALUE"""),0.6428571428571429)</f>
        <v>0.6428571429</v>
      </c>
      <c r="M360" s="30">
        <f>IFERROR(__xludf.DUMMYFUNCTION("""COMPUTED_VALUE"""),1.25)</f>
        <v>1.25</v>
      </c>
      <c r="N360" s="30">
        <f>IFERROR(__xludf.DUMMYFUNCTION("""COMPUTED_VALUE"""),2.5)</f>
        <v>2.5</v>
      </c>
      <c r="O360" s="30">
        <f>IFERROR(__xludf.DUMMYFUNCTION("""COMPUTED_VALUE"""),399.9285714285714)</f>
        <v>399.9285714</v>
      </c>
      <c r="P360" s="30">
        <f>IFERROR(__xludf.DUMMYFUNCTION("""COMPUTED_VALUE"""),1.0476190476190477)</f>
        <v>1.047619048</v>
      </c>
      <c r="Q360" s="30">
        <f>IFERROR(__xludf.DUMMYFUNCTION("""COMPUTED_VALUE"""),0.7261904761904762)</f>
        <v>0.7261904762</v>
      </c>
      <c r="R360" s="30">
        <f>IFERROR(__xludf.DUMMYFUNCTION("""COMPUTED_VALUE"""),1.4404761904761902)</f>
        <v>1.44047619</v>
      </c>
      <c r="S360" s="30">
        <f>IFERROR(__xludf.DUMMYFUNCTION("""COMPUTED_VALUE"""),2.857142857142857)</f>
        <v>2.857142857</v>
      </c>
      <c r="T360" s="30">
        <f>IFERROR(__xludf.DUMMYFUNCTION("""COMPUTED_VALUE"""),357.59433766174254)</f>
        <v>357.5943377</v>
      </c>
      <c r="U360" s="30">
        <f>IFERROR(__xludf.DUMMYFUNCTION("""COMPUTED_VALUE"""),0.829423657202491)</f>
        <v>0.8294236572</v>
      </c>
      <c r="V360" s="30">
        <f>IFERROR(__xludf.DUMMYFUNCTION("""COMPUTED_VALUE"""),0.6122776984539691)</f>
        <v>0.6122776985</v>
      </c>
      <c r="W360" s="30">
        <f>IFERROR(__xludf.DUMMYFUNCTION("""COMPUTED_VALUE"""),1.2993423274610119)</f>
        <v>1.299342327</v>
      </c>
      <c r="X360" s="30">
        <f>IFERROR(__xludf.DUMMYFUNCTION("""COMPUTED_VALUE"""),2.717003533652239)</f>
        <v>2.717003534</v>
      </c>
      <c r="Y360" s="30">
        <f>IFERROR(__xludf.DUMMYFUNCTION("""COMPUTED_VALUE"""),357.5315073009332)</f>
        <v>357.5315073</v>
      </c>
      <c r="Z360" s="30">
        <f>IFERROR(__xludf.DUMMYFUNCTION("""COMPUTED_VALUE"""),0.7969339643997101)</f>
        <v>0.7969339644</v>
      </c>
      <c r="AA360" s="30">
        <f>IFERROR(__xludf.DUMMYFUNCTION("""COMPUTED_VALUE"""),0.602087624510337)</f>
        <v>0.6020876245</v>
      </c>
      <c r="AB360" s="30">
        <f>IFERROR(__xludf.DUMMYFUNCTION("""COMPUTED_VALUE"""),1.367614381723593)</f>
        <v>1.367614382</v>
      </c>
      <c r="AC360" s="30">
        <f>IFERROR(__xludf.DUMMYFUNCTION("""COMPUTED_VALUE"""),2.5863148686878987)</f>
        <v>2.586314869</v>
      </c>
      <c r="AD360" s="30">
        <f>IFERROR(__xludf.DUMMYFUNCTION("""COMPUTED_VALUE"""),0.9271910117867667)</f>
        <v>0.9271910118</v>
      </c>
      <c r="AE360" s="30">
        <f>IFERROR(__xludf.DUMMYFUNCTION("""COMPUTED_VALUE"""),0.9411068338202111)</f>
        <v>0.9411068338</v>
      </c>
      <c r="AF360" s="30">
        <f>IFERROR(__xludf.DUMMYFUNCTION("""COMPUTED_VALUE"""),1.0677135963057913)</f>
        <v>1.067713596</v>
      </c>
      <c r="AG360" s="30">
        <f>IFERROR(__xludf.DUMMYFUNCTION("""COMPUTED_VALUE"""),0.9140003327726309)</f>
        <v>0.9140003328</v>
      </c>
      <c r="AH360" s="30">
        <f>IFERROR(__xludf.DUMMYFUNCTION("""COMPUTED_VALUE"""),0.9666263107663731)</f>
        <v>0.9666263108</v>
      </c>
      <c r="AI360" s="30">
        <f>IFERROR(__xludf.DUMMYFUNCTION("""COMPUTED_VALUE"""),1.1183861971742792)</f>
        <v>1.118386197</v>
      </c>
      <c r="AJ360" s="30">
        <f>IFERROR(__xludf.DUMMYFUNCTION("""COMPUTED_VALUE"""),1.263068684527873)</f>
        <v>1.263068685</v>
      </c>
      <c r="AK360" s="30">
        <f>IFERROR(__xludf.DUMMYFUNCTION("""COMPUTED_VALUE"""),1.1860475696308104)</f>
        <v>1.18604757</v>
      </c>
      <c r="AL360" s="30">
        <f>IFERROR(__xludf.DUMMYFUNCTION("""COMPUTED_VALUE"""),1.10861946080904)</f>
        <v>1.108619461</v>
      </c>
      <c r="AM360" s="30">
        <f>IFERROR(__xludf.DUMMYFUNCTION("""COMPUTED_VALUE"""),1.051578631295426)</f>
        <v>1.051578631</v>
      </c>
      <c r="AN360" s="30">
        <f>IFERROR(__xludf.DUMMYFUNCTION("""COMPUTED_VALUE"""),0.9600978752872152)</f>
        <v>0.9600978753</v>
      </c>
      <c r="AO360" s="30">
        <f>IFERROR(__xludf.DUMMYFUNCTION("""COMPUTED_VALUE"""),0.9942376917425563)</f>
        <v>0.9942376917</v>
      </c>
      <c r="AP360" s="30">
        <f>IFERROR(__xludf.DUMMYFUNCTION("""COMPUTED_VALUE"""),1.1921858500501274)</f>
        <v>1.19218585</v>
      </c>
      <c r="AQ360" s="30">
        <f>IFERROR(__xludf.DUMMYFUNCTION("""COMPUTED_VALUE"""),0.9254847041830017)</f>
        <v>0.9254847042</v>
      </c>
      <c r="AR360" s="30">
        <f>IFERROR(__xludf.DUMMYFUNCTION("""COMPUTED_VALUE"""),0.9763025130181172)</f>
        <v>0.976302513</v>
      </c>
      <c r="AS360" s="30">
        <f>IFERROR(__xludf.DUMMYFUNCTION("""COMPUTED_VALUE"""),61.0)</f>
        <v>61</v>
      </c>
      <c r="AT360" s="30">
        <f>IFERROR(__xludf.DUMMYFUNCTION("""COMPUTED_VALUE"""),0.35615156237063544)</f>
        <v>0.3561515624</v>
      </c>
      <c r="AU360" s="30">
        <f>IFERROR(__xludf.DUMMYFUNCTION("""COMPUTED_VALUE"""),2.293133225060952)</f>
        <v>2.293133225</v>
      </c>
      <c r="AV360" s="32">
        <f>IFERROR(__xludf.DUMMYFUNCTION("""COMPUTED_VALUE"""),47.6211196666275)</f>
        <v>47.62111967</v>
      </c>
      <c r="AW360" s="32">
        <f>IFERROR(__xludf.DUMMYFUNCTION("""COMPUTED_VALUE"""),-2.164053561147586)</f>
        <v>-2.164053561</v>
      </c>
      <c r="AX360" s="32">
        <f>IFERROR(__xludf.DUMMYFUNCTION("""COMPUTED_VALUE"""),39.213377301585)</f>
        <v>39.2133773</v>
      </c>
      <c r="AY360" s="32">
        <f>IFERROR(__xludf.DUMMYFUNCTION("""COMPUTED_VALUE"""),-3.0024153084166056)</f>
        <v>-3.002415308</v>
      </c>
      <c r="AZ360" s="30">
        <f>IFERROR(__xludf.DUMMYFUNCTION("""COMPUTED_VALUE"""),0.8383617472690195)</f>
        <v>0.8383617473</v>
      </c>
      <c r="BA360" s="30">
        <f>IFERROR(__xludf.DUMMYFUNCTION("""COMPUTED_VALUE"""),1200.0)</f>
        <v>1200</v>
      </c>
    </row>
    <row r="361">
      <c r="A361" s="71" t="str">
        <f>IFERROR(__xludf.DUMMYFUNCTION("""COMPUTED_VALUE"""),"Veteran")</f>
        <v>Veteran</v>
      </c>
      <c r="B361" s="71" t="str">
        <f>IFERROR(__xludf.DUMMYFUNCTION("""COMPUTED_VALUE"""),"RSC007954")</f>
        <v>RSC007954</v>
      </c>
      <c r="C361" s="30" t="str">
        <f>IFERROR(__xludf.DUMMYFUNCTION("""COMPUTED_VALUE"""),"Killer")</f>
        <v>Killer</v>
      </c>
      <c r="D361" s="30" t="str">
        <f>IFERROR(__xludf.DUMMYFUNCTION("""COMPUTED_VALUE"""),"Makos")</f>
        <v>Makos</v>
      </c>
      <c r="E361" s="30">
        <f>IFERROR(__xludf.DUMMYFUNCTION("""COMPUTED_VALUE"""),32.0)</f>
        <v>32</v>
      </c>
      <c r="F361" s="30">
        <f>IFERROR(__xludf.DUMMYFUNCTION("""COMPUTED_VALUE"""),18.0)</f>
        <v>18</v>
      </c>
      <c r="G361" s="42">
        <f>IFERROR(__xludf.DUMMYFUNCTION("""COMPUTED_VALUE"""),14.0)</f>
        <v>14</v>
      </c>
      <c r="H361" s="42">
        <f>IFERROR(__xludf.DUMMYFUNCTION("""COMPUTED_VALUE"""),0.5625)</f>
        <v>0.5625</v>
      </c>
      <c r="I361" s="42">
        <f>IFERROR(__xludf.DUMMYFUNCTION("""COMPUTED_VALUE"""),0.2268041237113402)</f>
        <v>0.2268041237</v>
      </c>
      <c r="J361" s="30">
        <f>IFERROR(__xludf.DUMMYFUNCTION("""COMPUTED_VALUE"""),390.625)</f>
        <v>390.625</v>
      </c>
      <c r="K361" s="30">
        <f>IFERROR(__xludf.DUMMYFUNCTION("""COMPUTED_VALUE"""),0.6875)</f>
        <v>0.6875</v>
      </c>
      <c r="L361" s="30">
        <f>IFERROR(__xludf.DUMMYFUNCTION("""COMPUTED_VALUE"""),0.6875)</f>
        <v>0.6875</v>
      </c>
      <c r="M361" s="30">
        <f>IFERROR(__xludf.DUMMYFUNCTION("""COMPUTED_VALUE"""),1.625)</f>
        <v>1.625</v>
      </c>
      <c r="N361" s="30">
        <f>IFERROR(__xludf.DUMMYFUNCTION("""COMPUTED_VALUE"""),3.03125)</f>
        <v>3.03125</v>
      </c>
      <c r="O361" s="30">
        <f>IFERROR(__xludf.DUMMYFUNCTION("""COMPUTED_VALUE"""),359.82291666666663)</f>
        <v>359.8229167</v>
      </c>
      <c r="P361" s="30">
        <f>IFERROR(__xludf.DUMMYFUNCTION("""COMPUTED_VALUE"""),0.7604166666666666)</f>
        <v>0.7604166667</v>
      </c>
      <c r="Q361" s="30">
        <f>IFERROR(__xludf.DUMMYFUNCTION("""COMPUTED_VALUE"""),0.53125)</f>
        <v>0.53125</v>
      </c>
      <c r="R361" s="30">
        <f>IFERROR(__xludf.DUMMYFUNCTION("""COMPUTED_VALUE"""),1.5520833333333337)</f>
        <v>1.552083333</v>
      </c>
      <c r="S361" s="30">
        <f>IFERROR(__xludf.DUMMYFUNCTION("""COMPUTED_VALUE"""),2.635416666666666)</f>
        <v>2.635416667</v>
      </c>
      <c r="T361" s="30">
        <f>IFERROR(__xludf.DUMMYFUNCTION("""COMPUTED_VALUE"""),366.3871343342445)</f>
        <v>366.3871343</v>
      </c>
      <c r="U361" s="30">
        <f>IFERROR(__xludf.DUMMYFUNCTION("""COMPUTED_VALUE"""),0.8308168271789002)</f>
        <v>0.8308168272</v>
      </c>
      <c r="V361" s="30">
        <f>IFERROR(__xludf.DUMMYFUNCTION("""COMPUTED_VALUE"""),0.6189231483363953)</f>
        <v>0.6189231483</v>
      </c>
      <c r="W361" s="30">
        <f>IFERROR(__xludf.DUMMYFUNCTION("""COMPUTED_VALUE"""),1.389387199996486)</f>
        <v>1.3893872</v>
      </c>
      <c r="X361" s="30">
        <f>IFERROR(__xludf.DUMMYFUNCTION("""COMPUTED_VALUE"""),2.773939932155658)</f>
        <v>2.773939932</v>
      </c>
      <c r="Y361" s="30">
        <f>IFERROR(__xludf.DUMMYFUNCTION("""COMPUTED_VALUE"""),356.4031115471128)</f>
        <v>356.4031115</v>
      </c>
      <c r="Z361" s="30">
        <f>IFERROR(__xludf.DUMMYFUNCTION("""COMPUTED_VALUE"""),0.7695374229440882)</f>
        <v>0.7695374229</v>
      </c>
      <c r="AA361" s="30">
        <f>IFERROR(__xludf.DUMMYFUNCTION("""COMPUTED_VALUE"""),0.5892011792022662)</f>
        <v>0.5892011792</v>
      </c>
      <c r="AB361" s="30">
        <f>IFERROR(__xludf.DUMMYFUNCTION("""COMPUTED_VALUE"""),1.3871708594578813)</f>
        <v>1.387170859</v>
      </c>
      <c r="AC361" s="30">
        <f>IFERROR(__xludf.DUMMYFUNCTION("""COMPUTED_VALUE"""),2.610619568541276)</f>
        <v>2.610619569</v>
      </c>
      <c r="AD361" s="30">
        <f>IFERROR(__xludf.DUMMYFUNCTION("""COMPUTED_VALUE"""),1.096020173068448)</f>
        <v>1.096020173</v>
      </c>
      <c r="AE361" s="30">
        <f>IFERROR(__xludf.DUMMYFUNCTION("""COMPUTED_VALUE"""),0.8933938486964932)</f>
        <v>0.8933938487</v>
      </c>
      <c r="AF361" s="30">
        <f>IFERROR(__xludf.DUMMYFUNCTION("""COMPUTED_VALUE"""),1.16683405306626)</f>
        <v>1.166834053</v>
      </c>
      <c r="AG361" s="30">
        <f>IFERROR(__xludf.DUMMYFUNCTION("""COMPUTED_VALUE"""),1.171449060453205)</f>
        <v>1.17144906</v>
      </c>
      <c r="AH361" s="30">
        <f>IFERROR(__xludf.DUMMYFUNCTION("""COMPUTED_VALUE"""),1.1611228370948579)</f>
        <v>1.161122837</v>
      </c>
      <c r="AI361" s="30">
        <f>IFERROR(__xludf.DUMMYFUNCTION("""COMPUTED_VALUE"""),0.9820839296677117)</f>
        <v>0.9820839297</v>
      </c>
      <c r="AJ361" s="30">
        <f>IFERROR(__xludf.DUMMYFUNCTION("""COMPUTED_VALUE"""),0.9152639207473897)</f>
        <v>0.9152639207</v>
      </c>
      <c r="AK361" s="30">
        <f>IFERROR(__xludf.DUMMYFUNCTION("""COMPUTED_VALUE"""),0.858345662830592)</f>
        <v>0.8583456628</v>
      </c>
      <c r="AL361" s="30">
        <f>IFERROR(__xludf.DUMMYFUNCTION("""COMPUTED_VALUE"""),1.1170992026824913)</f>
        <v>1.117099203</v>
      </c>
      <c r="AM361" s="30">
        <f>IFERROR(__xludf.DUMMYFUNCTION("""COMPUTED_VALUE"""),0.9500626297335343)</f>
        <v>0.9500626297</v>
      </c>
      <c r="AN361" s="30">
        <f>IFERROR(__xludf.DUMMYFUNCTION("""COMPUTED_VALUE"""),1.1313370513848218)</f>
        <v>1.131337051</v>
      </c>
      <c r="AO361" s="30">
        <f>IFERROR(__xludf.DUMMYFUNCTION("""COMPUTED_VALUE"""),0.9113845507640099)</f>
        <v>0.9113845508</v>
      </c>
      <c r="AP361" s="30">
        <f>IFERROR(__xludf.DUMMYFUNCTION("""COMPUTED_VALUE"""),1.2749765340813863)</f>
        <v>1.274976534</v>
      </c>
      <c r="AQ361" s="30">
        <f>IFERROR(__xludf.DUMMYFUNCTION("""COMPUTED_VALUE"""),1.2031301154379022)</f>
        <v>1.203130115</v>
      </c>
      <c r="AR361" s="30">
        <f>IFERROR(__xludf.DUMMYFUNCTION("""COMPUTED_VALUE"""),1.1837667970344672)</f>
        <v>1.183766797</v>
      </c>
      <c r="AS361" s="30">
        <f>IFERROR(__xludf.DUMMYFUNCTION("""COMPUTED_VALUE"""),76.0)</f>
        <v>76</v>
      </c>
      <c r="AT361" s="30">
        <f>IFERROR(__xludf.DUMMYFUNCTION("""COMPUTED_VALUE"""),0.5156512199594427)</f>
        <v>0.51565122</v>
      </c>
      <c r="AU361" s="30">
        <f>IFERROR(__xludf.DUMMYFUNCTION("""COMPUTED_VALUE"""),2.861788233265072)</f>
        <v>2.861788233</v>
      </c>
      <c r="AV361" s="32">
        <f>IFERROR(__xludf.DUMMYFUNCTION("""COMPUTED_VALUE"""),65.23582958674052)</f>
        <v>65.23582959</v>
      </c>
      <c r="AW361" s="32">
        <f>IFERROR(__xludf.DUMMYFUNCTION("""COMPUTED_VALUE"""),3.6884216957507876)</f>
        <v>3.688421696</v>
      </c>
      <c r="AX361" s="32">
        <f>IFERROR(__xludf.DUMMYFUNCTION("""COMPUTED_VALUE"""),59.725445882037384)</f>
        <v>59.72544588</v>
      </c>
      <c r="AY361" s="32">
        <f>IFERROR(__xludf.DUMMYFUNCTION("""COMPUTED_VALUE"""),2.868358331222533)</f>
        <v>2.868358331</v>
      </c>
      <c r="AZ361" s="30">
        <f>IFERROR(__xludf.DUMMYFUNCTION("""COMPUTED_VALUE"""),0.8200633645282545)</f>
        <v>0.8200633645</v>
      </c>
      <c r="BA361" s="30">
        <f>IFERROR(__xludf.DUMMYFUNCTION("""COMPUTED_VALUE"""),1200.0)</f>
        <v>1200</v>
      </c>
    </row>
    <row r="362">
      <c r="A362" s="71" t="str">
        <f>IFERROR(__xludf.DUMMYFUNCTION("""COMPUTED_VALUE"""),"Veteran")</f>
        <v>Veteran</v>
      </c>
      <c r="B362" s="71" t="str">
        <f>IFERROR(__xludf.DUMMYFUNCTION("""COMPUTED_VALUE"""),"RSC000550")</f>
        <v>RSC000550</v>
      </c>
      <c r="C362" s="30" t="str">
        <f>IFERROR(__xludf.DUMMYFUNCTION("""COMPUTED_VALUE"""),"ARJ")</f>
        <v>ARJ</v>
      </c>
      <c r="D362" s="30" t="str">
        <f>IFERROR(__xludf.DUMMYFUNCTION("""COMPUTED_VALUE"""),"Giraffes")</f>
        <v>Giraffes</v>
      </c>
      <c r="E362" s="30">
        <f>IFERROR(__xludf.DUMMYFUNCTION("""COMPUTED_VALUE"""),32.0)</f>
        <v>32</v>
      </c>
      <c r="F362" s="30">
        <f>IFERROR(__xludf.DUMMYFUNCTION("""COMPUTED_VALUE"""),16.0)</f>
        <v>16</v>
      </c>
      <c r="G362" s="42">
        <f>IFERROR(__xludf.DUMMYFUNCTION("""COMPUTED_VALUE"""),16.0)</f>
        <v>16</v>
      </c>
      <c r="H362" s="42">
        <f>IFERROR(__xludf.DUMMYFUNCTION("""COMPUTED_VALUE"""),0.5)</f>
        <v>0.5</v>
      </c>
      <c r="I362" s="42">
        <f>IFERROR(__xludf.DUMMYFUNCTION("""COMPUTED_VALUE"""),0.3670886075949367)</f>
        <v>0.3670886076</v>
      </c>
      <c r="J362" s="30">
        <f>IFERROR(__xludf.DUMMYFUNCTION("""COMPUTED_VALUE"""),354.625)</f>
        <v>354.625</v>
      </c>
      <c r="K362" s="30">
        <f>IFERROR(__xludf.DUMMYFUNCTION("""COMPUTED_VALUE"""),0.90625)</f>
        <v>0.90625</v>
      </c>
      <c r="L362" s="30">
        <f>IFERROR(__xludf.DUMMYFUNCTION("""COMPUTED_VALUE"""),0.625)</f>
        <v>0.625</v>
      </c>
      <c r="M362" s="30">
        <f>IFERROR(__xludf.DUMMYFUNCTION("""COMPUTED_VALUE"""),1.1875)</f>
        <v>1.1875</v>
      </c>
      <c r="N362" s="30">
        <f>IFERROR(__xludf.DUMMYFUNCTION("""COMPUTED_VALUE"""),2.46875)</f>
        <v>2.46875</v>
      </c>
      <c r="O362" s="30">
        <f>IFERROR(__xludf.DUMMYFUNCTION("""COMPUTED_VALUE"""),344.25)</f>
        <v>344.25</v>
      </c>
      <c r="P362" s="30">
        <f>IFERROR(__xludf.DUMMYFUNCTION("""COMPUTED_VALUE"""),0.8125)</f>
        <v>0.8125</v>
      </c>
      <c r="Q362" s="30">
        <f>IFERROR(__xludf.DUMMYFUNCTION("""COMPUTED_VALUE"""),0.5729166666666667)</f>
        <v>0.5729166667</v>
      </c>
      <c r="R362" s="30">
        <f>IFERROR(__xludf.DUMMYFUNCTION("""COMPUTED_VALUE"""),1.2604166666666665)</f>
        <v>1.260416667</v>
      </c>
      <c r="S362" s="30">
        <f>IFERROR(__xludf.DUMMYFUNCTION("""COMPUTED_VALUE"""),2.6458333333333335)</f>
        <v>2.645833333</v>
      </c>
      <c r="T362" s="30">
        <f>IFERROR(__xludf.DUMMYFUNCTION("""COMPUTED_VALUE"""),348.46817851115094)</f>
        <v>348.4681785</v>
      </c>
      <c r="U362" s="30">
        <f>IFERROR(__xludf.DUMMYFUNCTION("""COMPUTED_VALUE"""),0.7804122395614488)</f>
        <v>0.7804122396</v>
      </c>
      <c r="V362" s="30">
        <f>IFERROR(__xludf.DUMMYFUNCTION("""COMPUTED_VALUE"""),0.5547151864942805)</f>
        <v>0.5547151865</v>
      </c>
      <c r="W362" s="30">
        <f>IFERROR(__xludf.DUMMYFUNCTION("""COMPUTED_VALUE"""),1.3359648270721534)</f>
        <v>1.335964827</v>
      </c>
      <c r="X362" s="30">
        <f>IFERROR(__xludf.DUMMYFUNCTION("""COMPUTED_VALUE"""),2.611374569404668)</f>
        <v>2.611374569</v>
      </c>
      <c r="Y362" s="30">
        <f>IFERROR(__xludf.DUMMYFUNCTION("""COMPUTED_VALUE"""),357.0946139707442)</f>
        <v>357.094614</v>
      </c>
      <c r="Z362" s="30">
        <f>IFERROR(__xludf.DUMMYFUNCTION("""COMPUTED_VALUE"""),0.8028708648449917)</f>
        <v>0.8028708648</v>
      </c>
      <c r="AA362" s="30">
        <f>IFERROR(__xludf.DUMMYFUNCTION("""COMPUTED_VALUE"""),0.6095036569928056)</f>
        <v>0.609503657</v>
      </c>
      <c r="AB362" s="30">
        <f>IFERROR(__xludf.DUMMYFUNCTION("""COMPUTED_VALUE"""),1.3722231208155617)</f>
        <v>1.372223121</v>
      </c>
      <c r="AC362" s="30">
        <f>IFERROR(__xludf.DUMMYFUNCTION("""COMPUTED_VALUE"""),2.6193706810735033)</f>
        <v>2.619370681</v>
      </c>
      <c r="AD362" s="30">
        <f>IFERROR(__xludf.DUMMYFUNCTION("""COMPUTED_VALUE"""),0.9930841466823509)</f>
        <v>0.9930841467</v>
      </c>
      <c r="AE362" s="30">
        <f>IFERROR(__xludf.DUMMYFUNCTION("""COMPUTED_VALUE"""),1.1287618466202127)</f>
        <v>1.128761847</v>
      </c>
      <c r="AF362" s="30">
        <f>IFERROR(__xludf.DUMMYFUNCTION("""COMPUTED_VALUE"""),1.0254245283509058)</f>
        <v>1.025424528</v>
      </c>
      <c r="AG362" s="30">
        <f>IFERROR(__xludf.DUMMYFUNCTION("""COMPUTED_VALUE"""),0.8653840486918963)</f>
        <v>0.8653840487</v>
      </c>
      <c r="AH362" s="30">
        <f>IFERROR(__xludf.DUMMYFUNCTION("""COMPUTED_VALUE"""),0.9424973784116061)</f>
        <v>0.9424973784</v>
      </c>
      <c r="AI362" s="30">
        <f>IFERROR(__xludf.DUMMYFUNCTION("""COMPUTED_VALUE"""),0.98789508261795)</f>
        <v>0.9878950826</v>
      </c>
      <c r="AJ362" s="30">
        <f>IFERROR(__xludf.DUMMYFUNCTION("""COMPUTED_VALUE"""),1.0411164238743653)</f>
        <v>1.041116424</v>
      </c>
      <c r="AK362" s="30">
        <f>IFERROR(__xludf.DUMMYFUNCTION("""COMPUTED_VALUE"""),1.0328122983028767)</f>
        <v>1.032812298</v>
      </c>
      <c r="AL362" s="30">
        <f>IFERROR(__xludf.DUMMYFUNCTION("""COMPUTED_VALUE"""),0.9434504869630025)</f>
        <v>0.943450487</v>
      </c>
      <c r="AM362" s="30">
        <f>IFERROR(__xludf.DUMMYFUNCTION("""COMPUTED_VALUE"""),1.0131956419934507)</f>
        <v>1.013195642</v>
      </c>
      <c r="AN362" s="30">
        <f>IFERROR(__xludf.DUMMYFUNCTION("""COMPUTED_VALUE"""),1.0270730287291967)</f>
        <v>1.027073029</v>
      </c>
      <c r="AO362" s="30">
        <f>IFERROR(__xludf.DUMMYFUNCTION("""COMPUTED_VALUE"""),1.2013705441889222)</f>
        <v>1.201370544</v>
      </c>
      <c r="AP362" s="30">
        <f>IFERROR(__xludf.DUMMYFUNCTION("""COMPUTED_VALUE"""),1.159069576437624)</f>
        <v>1.159069576</v>
      </c>
      <c r="AQ362" s="30">
        <f>IFERROR(__xludf.DUMMYFUNCTION("""COMPUTED_VALUE"""),0.8792104689738516)</f>
        <v>0.879210469</v>
      </c>
      <c r="AR362" s="30">
        <f>IFERROR(__xludf.DUMMYFUNCTION("""COMPUTED_VALUE"""),0.9640987316053908)</f>
        <v>0.9640987316</v>
      </c>
      <c r="AS362" s="30">
        <f>IFERROR(__xludf.DUMMYFUNCTION("""COMPUTED_VALUE"""),78.0)</f>
        <v>78</v>
      </c>
      <c r="AT362" s="30">
        <f>IFERROR(__xludf.DUMMYFUNCTION("""COMPUTED_VALUE"""),0.5)</f>
        <v>0.5</v>
      </c>
      <c r="AU362" s="30">
        <f>IFERROR(__xludf.DUMMYFUNCTION("""COMPUTED_VALUE"""),2.6936848693376154)</f>
        <v>2.693684869</v>
      </c>
      <c r="AV362" s="32">
        <f>IFERROR(__xludf.DUMMYFUNCTION("""COMPUTED_VALUE"""),60.028644299603386)</f>
        <v>60.0286443</v>
      </c>
      <c r="AW362" s="32">
        <f>IFERROR(__xludf.DUMMYFUNCTION("""COMPUTED_VALUE"""),2.9056556713609343)</f>
        <v>2.905655671</v>
      </c>
      <c r="AX362" s="32">
        <f>IFERROR(__xludf.DUMMYFUNCTION("""COMPUTED_VALUE"""),51.314032996739144)</f>
        <v>51.314033</v>
      </c>
      <c r="AY362" s="32">
        <f>IFERROR(__xludf.DUMMYFUNCTION("""COMPUTED_VALUE"""),2.087505219869837)</f>
        <v>2.08750522</v>
      </c>
      <c r="AZ362" s="30">
        <f>IFERROR(__xludf.DUMMYFUNCTION("""COMPUTED_VALUE"""),0.8181504514910971)</f>
        <v>0.8181504515</v>
      </c>
      <c r="BA362" s="30">
        <f>IFERROR(__xludf.DUMMYFUNCTION("""COMPUTED_VALUE"""),1200.0)</f>
        <v>1200</v>
      </c>
    </row>
    <row r="363">
      <c r="A363" s="71" t="str">
        <f>IFERROR(__xludf.DUMMYFUNCTION("""COMPUTED_VALUE"""),"Veteran")</f>
        <v>Veteran</v>
      </c>
      <c r="B363" s="71" t="str">
        <f>IFERROR(__xludf.DUMMYFUNCTION("""COMPUTED_VALUE"""),"RSC002730")</f>
        <v>RSC002730</v>
      </c>
      <c r="C363" s="30" t="str">
        <f>IFERROR(__xludf.DUMMYFUNCTION("""COMPUTED_VALUE"""),"AquaP")</f>
        <v>AquaP</v>
      </c>
      <c r="D363" s="30" t="str">
        <f>IFERROR(__xludf.DUMMYFUNCTION("""COMPUTED_VALUE"""),"Merciless Mob")</f>
        <v>Merciless Mob</v>
      </c>
      <c r="E363" s="30">
        <f>IFERROR(__xludf.DUMMYFUNCTION("""COMPUTED_VALUE"""),12.0)</f>
        <v>12</v>
      </c>
      <c r="F363" s="30">
        <f>IFERROR(__xludf.DUMMYFUNCTION("""COMPUTED_VALUE"""),5.0)</f>
        <v>5</v>
      </c>
      <c r="G363" s="42">
        <f>IFERROR(__xludf.DUMMYFUNCTION("""COMPUTED_VALUE"""),7.0)</f>
        <v>7</v>
      </c>
      <c r="H363" s="42">
        <f>IFERROR(__xludf.DUMMYFUNCTION("""COMPUTED_VALUE"""),0.4166666666666667)</f>
        <v>0.4166666667</v>
      </c>
      <c r="I363" s="42">
        <f>IFERROR(__xludf.DUMMYFUNCTION("""COMPUTED_VALUE"""),0.38461538461538464)</f>
        <v>0.3846153846</v>
      </c>
      <c r="J363" s="30">
        <f>IFERROR(__xludf.DUMMYFUNCTION("""COMPUTED_VALUE"""),307.6666666666667)</f>
        <v>307.6666667</v>
      </c>
      <c r="K363" s="30">
        <f>IFERROR(__xludf.DUMMYFUNCTION("""COMPUTED_VALUE"""),0.8333333333333334)</f>
        <v>0.8333333333</v>
      </c>
      <c r="L363" s="30">
        <f>IFERROR(__xludf.DUMMYFUNCTION("""COMPUTED_VALUE"""),0.3333333333333333)</f>
        <v>0.3333333333</v>
      </c>
      <c r="M363" s="30">
        <f>IFERROR(__xludf.DUMMYFUNCTION("""COMPUTED_VALUE"""),0.9166666666666666)</f>
        <v>0.9166666667</v>
      </c>
      <c r="N363" s="30">
        <f>IFERROR(__xludf.DUMMYFUNCTION("""COMPUTED_VALUE"""),2.1666666666666665)</f>
        <v>2.166666667</v>
      </c>
      <c r="O363" s="30">
        <f>IFERROR(__xludf.DUMMYFUNCTION("""COMPUTED_VALUE"""),355.27777777777777)</f>
        <v>355.2777778</v>
      </c>
      <c r="P363" s="30">
        <f>IFERROR(__xludf.DUMMYFUNCTION("""COMPUTED_VALUE"""),0.8611111111111112)</f>
        <v>0.8611111111</v>
      </c>
      <c r="Q363" s="30">
        <f>IFERROR(__xludf.DUMMYFUNCTION("""COMPUTED_VALUE"""),0.6388888888888888)</f>
        <v>0.6388888889</v>
      </c>
      <c r="R363" s="30">
        <f>IFERROR(__xludf.DUMMYFUNCTION("""COMPUTED_VALUE"""),1.1666666666666667)</f>
        <v>1.166666667</v>
      </c>
      <c r="S363" s="30">
        <f>IFERROR(__xludf.DUMMYFUNCTION("""COMPUTED_VALUE"""),2.888888888888889)</f>
        <v>2.888888889</v>
      </c>
      <c r="T363" s="30">
        <f>IFERROR(__xludf.DUMMYFUNCTION("""COMPUTED_VALUE"""),351.0708818785799)</f>
        <v>351.0708819</v>
      </c>
      <c r="U363" s="30">
        <f>IFERROR(__xludf.DUMMYFUNCTION("""COMPUTED_VALUE"""),0.7356950979709623)</f>
        <v>0.735695098</v>
      </c>
      <c r="V363" s="30">
        <f>IFERROR(__xludf.DUMMYFUNCTION("""COMPUTED_VALUE"""),0.5854662613095921)</f>
        <v>0.5854662613</v>
      </c>
      <c r="W363" s="30">
        <f>IFERROR(__xludf.DUMMYFUNCTION("""COMPUTED_VALUE"""),1.3424021655445806)</f>
        <v>1.342402166</v>
      </c>
      <c r="X363" s="30">
        <f>IFERROR(__xludf.DUMMYFUNCTION("""COMPUTED_VALUE"""),2.3699828103756118)</f>
        <v>2.36998281</v>
      </c>
      <c r="Y363" s="30">
        <f>IFERROR(__xludf.DUMMYFUNCTION("""COMPUTED_VALUE"""),342.274419052465)</f>
        <v>342.2744191</v>
      </c>
      <c r="Z363" s="30">
        <f>IFERROR(__xludf.DUMMYFUNCTION("""COMPUTED_VALUE"""),0.773580271939835)</f>
        <v>0.7735802719</v>
      </c>
      <c r="AA363" s="30">
        <f>IFERROR(__xludf.DUMMYFUNCTION("""COMPUTED_VALUE"""),0.5334274718659394)</f>
        <v>0.5334274719</v>
      </c>
      <c r="AB363" s="30">
        <f>IFERROR(__xludf.DUMMYFUNCTION("""COMPUTED_VALUE"""),1.2564717013348545)</f>
        <v>1.256471701</v>
      </c>
      <c r="AC363" s="30">
        <f>IFERROR(__xludf.DUMMYFUNCTION("""COMPUTED_VALUE"""),2.665005438091416)</f>
        <v>2.665005438</v>
      </c>
      <c r="AD363" s="30">
        <f>IFERROR(__xludf.DUMMYFUNCTION("""COMPUTED_VALUE"""),0.898888872613955)</f>
        <v>0.8988888726</v>
      </c>
      <c r="AE363" s="30">
        <f>IFERROR(__xludf.DUMMYFUNCTION("""COMPUTED_VALUE"""),1.0772422249647877)</f>
        <v>1.077242225</v>
      </c>
      <c r="AF363" s="30">
        <f>IFERROR(__xludf.DUMMYFUNCTION("""COMPUTED_VALUE"""),0.6248897008759728)</f>
        <v>0.6248897009</v>
      </c>
      <c r="AG363" s="30">
        <f>IFERROR(__xludf.DUMMYFUNCTION("""COMPUTED_VALUE"""),0.7295561576856966)</f>
        <v>0.7295561577</v>
      </c>
      <c r="AH363" s="30">
        <f>IFERROR(__xludf.DUMMYFUNCTION("""COMPUTED_VALUE"""),0.8130064710931163)</f>
        <v>0.8130064711</v>
      </c>
      <c r="AI363" s="30">
        <f>IFERROR(__xludf.DUMMYFUNCTION("""COMPUTED_VALUE"""),1.0119830385154325)</f>
        <v>1.011983039</v>
      </c>
      <c r="AJ363" s="30">
        <f>IFERROR(__xludf.DUMMYFUNCTION("""COMPUTED_VALUE"""),1.1704728133788638)</f>
        <v>1.170472813</v>
      </c>
      <c r="AK363" s="30">
        <f>IFERROR(__xludf.DUMMYFUNCTION("""COMPUTED_VALUE"""),1.0912480037018684)</f>
        <v>1.091248004</v>
      </c>
      <c r="AL363" s="30">
        <f>IFERROR(__xludf.DUMMYFUNCTION("""COMPUTED_VALUE"""),0.8690887847259825)</f>
        <v>0.8690887847</v>
      </c>
      <c r="AM363" s="30">
        <f>IFERROR(__xludf.DUMMYFUNCTION("""COMPUTED_VALUE"""),1.2189493004934653)</f>
        <v>1.2189493</v>
      </c>
      <c r="AN363" s="30">
        <f>IFERROR(__xludf.DUMMYFUNCTION("""COMPUTED_VALUE"""),0.8910712306587226)</f>
        <v>0.8910712307</v>
      </c>
      <c r="AO363" s="30">
        <f>IFERROR(__xludf.DUMMYFUNCTION("""COMPUTED_VALUE"""),1.104708546380618)</f>
        <v>1.104708546</v>
      </c>
      <c r="AP363" s="30">
        <f>IFERROR(__xludf.DUMMYFUNCTION("""COMPUTED_VALUE"""),0.6181704407667327)</f>
        <v>0.6181704408</v>
      </c>
      <c r="AQ363" s="30">
        <f>IFERROR(__xludf.DUMMYFUNCTION("""COMPUTED_VALUE"""),0.6786887830675346)</f>
        <v>0.6786887831</v>
      </c>
      <c r="AR363" s="30">
        <f>IFERROR(__xludf.DUMMYFUNCTION("""COMPUTED_VALUE"""),0.8461288446157016)</f>
        <v>0.8461288446</v>
      </c>
      <c r="AS363" s="30">
        <f>IFERROR(__xludf.DUMMYFUNCTION("""COMPUTED_VALUE"""),23.0)</f>
        <v>23</v>
      </c>
      <c r="AT363" s="30">
        <f>IFERROR(__xludf.DUMMYFUNCTION("""COMPUTED_VALUE"""),0.3870741646537039)</f>
        <v>0.3870741647</v>
      </c>
      <c r="AU363" s="30">
        <f>IFERROR(__xludf.DUMMYFUNCTION("""COMPUTED_VALUE"""),1.879939839220632)</f>
        <v>1.879939839</v>
      </c>
      <c r="AV363" s="32">
        <f>IFERROR(__xludf.DUMMYFUNCTION("""COMPUTED_VALUE"""),34.82200328238558)</f>
        <v>34.82200328</v>
      </c>
      <c r="AW363" s="32">
        <f>IFERROR(__xludf.DUMMYFUNCTION("""COMPUTED_VALUE"""),-3.6780164003839597)</f>
        <v>-3.6780164</v>
      </c>
      <c r="AX363" s="32">
        <f>IFERROR(__xludf.DUMMYFUNCTION("""COMPUTED_VALUE"""),31.199047531423467)</f>
        <v>31.19904753</v>
      </c>
      <c r="AY363" s="32">
        <f>IFERROR(__xludf.DUMMYFUNCTION("""COMPUTED_VALUE"""),-4.424503231585659)</f>
        <v>-4.424503232</v>
      </c>
      <c r="AZ363" s="30">
        <f>IFERROR(__xludf.DUMMYFUNCTION("""COMPUTED_VALUE"""),0.746486831201699)</f>
        <v>0.7464868312</v>
      </c>
      <c r="BA363" s="30">
        <f>IFERROR(__xludf.DUMMYFUNCTION("""COMPUTED_VALUE"""),1200.0)</f>
        <v>1200</v>
      </c>
    </row>
    <row r="364">
      <c r="A364" s="71" t="str">
        <f>IFERROR(__xludf.DUMMYFUNCTION("""COMPUTED_VALUE"""),"Veteran")</f>
        <v>Veteran</v>
      </c>
      <c r="B364" s="71" t="str">
        <f>IFERROR(__xludf.DUMMYFUNCTION("""COMPUTED_VALUE"""),"RSC000278")</f>
        <v>RSC000278</v>
      </c>
      <c r="C364" s="30" t="str">
        <f>IFERROR(__xludf.DUMMYFUNCTION("""COMPUTED_VALUE"""),"Tinsel")</f>
        <v>Tinsel</v>
      </c>
      <c r="D364" s="30" t="str">
        <f>IFERROR(__xludf.DUMMYFUNCTION("""COMPUTED_VALUE"""),"Peppermint")</f>
        <v>Peppermint</v>
      </c>
      <c r="E364" s="30">
        <f>IFERROR(__xludf.DUMMYFUNCTION("""COMPUTED_VALUE"""),17.0)</f>
        <v>17</v>
      </c>
      <c r="F364" s="30">
        <f>IFERROR(__xludf.DUMMYFUNCTION("""COMPUTED_VALUE"""),5.0)</f>
        <v>5</v>
      </c>
      <c r="G364" s="42">
        <f>IFERROR(__xludf.DUMMYFUNCTION("""COMPUTED_VALUE"""),12.0)</f>
        <v>12</v>
      </c>
      <c r="H364" s="42">
        <f>IFERROR(__xludf.DUMMYFUNCTION("""COMPUTED_VALUE"""),0.29411764705882354)</f>
        <v>0.2941176471</v>
      </c>
      <c r="I364" s="42">
        <f>IFERROR(__xludf.DUMMYFUNCTION("""COMPUTED_VALUE"""),0.2692307692307692)</f>
        <v>0.2692307692</v>
      </c>
      <c r="J364" s="30">
        <f>IFERROR(__xludf.DUMMYFUNCTION("""COMPUTED_VALUE"""),384.4117647058824)</f>
        <v>384.4117647</v>
      </c>
      <c r="K364" s="30">
        <f>IFERROR(__xludf.DUMMYFUNCTION("""COMPUTED_VALUE"""),0.8235294117647058)</f>
        <v>0.8235294118</v>
      </c>
      <c r="L364" s="30">
        <f>IFERROR(__xludf.DUMMYFUNCTION("""COMPUTED_VALUE"""),0.7647058823529411)</f>
        <v>0.7647058824</v>
      </c>
      <c r="M364" s="30">
        <f>IFERROR(__xludf.DUMMYFUNCTION("""COMPUTED_VALUE"""),1.3529411764705883)</f>
        <v>1.352941176</v>
      </c>
      <c r="N364" s="30">
        <f>IFERROR(__xludf.DUMMYFUNCTION("""COMPUTED_VALUE"""),3.0588235294117645)</f>
        <v>3.058823529</v>
      </c>
      <c r="O364" s="30">
        <f>IFERROR(__xludf.DUMMYFUNCTION("""COMPUTED_VALUE"""),416.4705882352941)</f>
        <v>416.4705882</v>
      </c>
      <c r="P364" s="30">
        <f>IFERROR(__xludf.DUMMYFUNCTION("""COMPUTED_VALUE"""),1.215686274509804)</f>
        <v>1.215686275</v>
      </c>
      <c r="Q364" s="30">
        <f>IFERROR(__xludf.DUMMYFUNCTION("""COMPUTED_VALUE"""),0.8823529411764705)</f>
        <v>0.8823529412</v>
      </c>
      <c r="R364" s="30">
        <f>IFERROR(__xludf.DUMMYFUNCTION("""COMPUTED_VALUE"""),1.3333333333333333)</f>
        <v>1.333333333</v>
      </c>
      <c r="S364" s="30">
        <f>IFERROR(__xludf.DUMMYFUNCTION("""COMPUTED_VALUE"""),3.2941176470588234)</f>
        <v>3.294117647</v>
      </c>
      <c r="T364" s="30">
        <f>IFERROR(__xludf.DUMMYFUNCTION("""COMPUTED_VALUE"""),355.69238767333565)</f>
        <v>355.6923877</v>
      </c>
      <c r="U364" s="30">
        <f>IFERROR(__xludf.DUMMYFUNCTION("""COMPUTED_VALUE"""),0.8427340648889546)</f>
        <v>0.8427340649</v>
      </c>
      <c r="V364" s="30">
        <f>IFERROR(__xludf.DUMMYFUNCTION("""COMPUTED_VALUE"""),0.5575700346821274)</f>
        <v>0.5575700347</v>
      </c>
      <c r="W364" s="30">
        <f>IFERROR(__xludf.DUMMYFUNCTION("""COMPUTED_VALUE"""),1.2686753880457209)</f>
        <v>1.268675388</v>
      </c>
      <c r="X364" s="30">
        <f>IFERROR(__xludf.DUMMYFUNCTION("""COMPUTED_VALUE"""),2.742334588541563)</f>
        <v>2.742334589</v>
      </c>
      <c r="Y364" s="30">
        <f>IFERROR(__xludf.DUMMYFUNCTION("""COMPUTED_VALUE"""),346.4000406436466)</f>
        <v>346.4000406</v>
      </c>
      <c r="Z364" s="30">
        <f>IFERROR(__xludf.DUMMYFUNCTION("""COMPUTED_VALUE"""),0.7750752076738537)</f>
        <v>0.7750752077</v>
      </c>
      <c r="AA364" s="30">
        <f>IFERROR(__xludf.DUMMYFUNCTION("""COMPUTED_VALUE"""),0.5747084764771282)</f>
        <v>0.5747084765</v>
      </c>
      <c r="AB364" s="30">
        <f>IFERROR(__xludf.DUMMYFUNCTION("""COMPUTED_VALUE"""),1.3115224291493035)</f>
        <v>1.311522429</v>
      </c>
      <c r="AC364" s="30">
        <f>IFERROR(__xludf.DUMMYFUNCTION("""COMPUTED_VALUE"""),2.5033418356096373)</f>
        <v>2.503341836</v>
      </c>
      <c r="AD364" s="30">
        <f>IFERROR(__xludf.DUMMYFUNCTION("""COMPUTED_VALUE"""),1.1097336016231583)</f>
        <v>1.109733602</v>
      </c>
      <c r="AE364" s="30">
        <f>IFERROR(__xludf.DUMMYFUNCTION("""COMPUTED_VALUE"""),1.0625154870277327)</f>
        <v>1.062515487</v>
      </c>
      <c r="AF364" s="30">
        <f>IFERROR(__xludf.DUMMYFUNCTION("""COMPUTED_VALUE"""),1.3305978833659577)</f>
        <v>1.330597883</v>
      </c>
      <c r="AG364" s="30">
        <f>IFERROR(__xludf.DUMMYFUNCTION("""COMPUTED_VALUE"""),1.0315806625954163)</f>
        <v>1.031580663</v>
      </c>
      <c r="AH364" s="30">
        <f>IFERROR(__xludf.DUMMYFUNCTION("""COMPUTED_VALUE"""),1.221896061456925)</f>
        <v>1.221896061</v>
      </c>
      <c r="AI364" s="30">
        <f>IFERROR(__xludf.DUMMYFUNCTION("""COMPUTED_VALUE"""),1.1708729302854144)</f>
        <v>1.17087293</v>
      </c>
      <c r="AJ364" s="30">
        <f>IFERROR(__xludf.DUMMYFUNCTION("""COMPUTED_VALUE"""),1.4425502957092313)</f>
        <v>1.442550296</v>
      </c>
      <c r="AK364" s="30">
        <f>IFERROR(__xludf.DUMMYFUNCTION("""COMPUTED_VALUE"""),1.5824970609826672)</f>
        <v>1.582497061</v>
      </c>
      <c r="AL364" s="30">
        <f>IFERROR(__xludf.DUMMYFUNCTION("""COMPUTED_VALUE"""),1.0509649244376154)</f>
        <v>1.050964924</v>
      </c>
      <c r="AM364" s="30">
        <f>IFERROR(__xludf.DUMMYFUNCTION("""COMPUTED_VALUE"""),1.2012092400478058)</f>
        <v>1.20120924</v>
      </c>
      <c r="AN364" s="30">
        <f>IFERROR(__xludf.DUMMYFUNCTION("""COMPUTED_VALUE"""),1.1133421373439716)</f>
        <v>1.113342137</v>
      </c>
      <c r="AO364" s="30">
        <f>IFERROR(__xludf.DUMMYFUNCTION("""COMPUTED_VALUE"""),1.0917119752467284)</f>
        <v>1.091711975</v>
      </c>
      <c r="AP364" s="30">
        <f>IFERROR(__xludf.DUMMYFUNCTION("""COMPUTED_VALUE"""),1.4181557170530927)</f>
        <v>1.418155717</v>
      </c>
      <c r="AQ364" s="30">
        <f>IFERROR(__xludf.DUMMYFUNCTION("""COMPUTED_VALUE"""),1.0017010915863078)</f>
        <v>1.001701092</v>
      </c>
      <c r="AR364" s="30">
        <f>IFERROR(__xludf.DUMMYFUNCTION("""COMPUTED_VALUE"""),1.194534839457461)</f>
        <v>1.194534839</v>
      </c>
      <c r="AS364" s="30">
        <f>IFERROR(__xludf.DUMMYFUNCTION("""COMPUTED_VALUE"""),40.0)</f>
        <v>40</v>
      </c>
      <c r="AT364" s="30">
        <f>IFERROR(__xludf.DUMMYFUNCTION("""COMPUTED_VALUE"""),0.3245544114353519)</f>
        <v>0.3245544114</v>
      </c>
      <c r="AU364" s="30">
        <f>IFERROR(__xludf.DUMMYFUNCTION("""COMPUTED_VALUE"""),2.7213786368847357)</f>
        <v>2.721378637</v>
      </c>
      <c r="AV364" s="32">
        <f>IFERROR(__xludf.DUMMYFUNCTION("""COMPUTED_VALUE"""),60.88648899436507)</f>
        <v>60.88648899</v>
      </c>
      <c r="AW364" s="32">
        <f>IFERROR(__xludf.DUMMYFUNCTION("""COMPUTED_VALUE"""),3.0155501973390404)</f>
        <v>3.015550197</v>
      </c>
      <c r="AX364" s="32">
        <f>IFERROR(__xludf.DUMMYFUNCTION("""COMPUTED_VALUE"""),53.91698199339383)</f>
        <v>53.91698199</v>
      </c>
      <c r="AY364" s="32">
        <f>IFERROR(__xludf.DUMMYFUNCTION("""COMPUTED_VALUE"""),2.2844151251221914)</f>
        <v>2.284415125</v>
      </c>
      <c r="AZ364" s="30">
        <f>IFERROR(__xludf.DUMMYFUNCTION("""COMPUTED_VALUE"""),0.731135072216849)</f>
        <v>0.7311350722</v>
      </c>
      <c r="BA364" s="30">
        <f>IFERROR(__xludf.DUMMYFUNCTION("""COMPUTED_VALUE"""),1200.0)</f>
        <v>1200</v>
      </c>
    </row>
    <row r="365">
      <c r="A365" s="71" t="str">
        <f>IFERROR(__xludf.DUMMYFUNCTION("""COMPUTED_VALUE"""),"Veteran")</f>
        <v>Veteran</v>
      </c>
      <c r="B365" s="71" t="str">
        <f>IFERROR(__xludf.DUMMYFUNCTION("""COMPUTED_VALUE"""),"RSC006869")</f>
        <v>RSC006869</v>
      </c>
      <c r="C365" s="30" t="str">
        <f>IFERROR(__xludf.DUMMYFUNCTION("""COMPUTED_VALUE"""),"Flurry ^-^")</f>
        <v>Flurry ^-^</v>
      </c>
      <c r="D365" s="30" t="str">
        <f>IFERROR(__xludf.DUMMYFUNCTION("""COMPUTED_VALUE"""),"Dump Trucks")</f>
        <v>Dump Trucks</v>
      </c>
      <c r="E365" s="30">
        <f>IFERROR(__xludf.DUMMYFUNCTION("""COMPUTED_VALUE"""),23.0)</f>
        <v>23</v>
      </c>
      <c r="F365" s="30">
        <f>IFERROR(__xludf.DUMMYFUNCTION("""COMPUTED_VALUE"""),9.0)</f>
        <v>9</v>
      </c>
      <c r="G365" s="42">
        <f>IFERROR(__xludf.DUMMYFUNCTION("""COMPUTED_VALUE"""),14.0)</f>
        <v>14</v>
      </c>
      <c r="H365" s="42">
        <f>IFERROR(__xludf.DUMMYFUNCTION("""COMPUTED_VALUE"""),0.391304347826087)</f>
        <v>0.3913043478</v>
      </c>
      <c r="I365" s="42">
        <f>IFERROR(__xludf.DUMMYFUNCTION("""COMPUTED_VALUE"""),0.3275862068965517)</f>
        <v>0.3275862069</v>
      </c>
      <c r="J365" s="30">
        <f>IFERROR(__xludf.DUMMYFUNCTION("""COMPUTED_VALUE"""),331.4347826086956)</f>
        <v>331.4347826</v>
      </c>
      <c r="K365" s="30">
        <f>IFERROR(__xludf.DUMMYFUNCTION("""COMPUTED_VALUE"""),0.8260869565217391)</f>
        <v>0.8260869565</v>
      </c>
      <c r="L365" s="30">
        <f>IFERROR(__xludf.DUMMYFUNCTION("""COMPUTED_VALUE"""),0.5652173913043478)</f>
        <v>0.5652173913</v>
      </c>
      <c r="M365" s="30">
        <f>IFERROR(__xludf.DUMMYFUNCTION("""COMPUTED_VALUE"""),1.0)</f>
        <v>1</v>
      </c>
      <c r="N365" s="30">
        <f>IFERROR(__xludf.DUMMYFUNCTION("""COMPUTED_VALUE"""),2.5217391304347827)</f>
        <v>2.52173913</v>
      </c>
      <c r="O365" s="30">
        <f>IFERROR(__xludf.DUMMYFUNCTION("""COMPUTED_VALUE"""),324.42028985507244)</f>
        <v>324.4202899</v>
      </c>
      <c r="P365" s="30">
        <f>IFERROR(__xludf.DUMMYFUNCTION("""COMPUTED_VALUE"""),0.681159420289855)</f>
        <v>0.6811594203</v>
      </c>
      <c r="Q365" s="30">
        <f>IFERROR(__xludf.DUMMYFUNCTION("""COMPUTED_VALUE"""),0.5652173913043478)</f>
        <v>0.5652173913</v>
      </c>
      <c r="R365" s="30">
        <f>IFERROR(__xludf.DUMMYFUNCTION("""COMPUTED_VALUE"""),1.0724637681159417)</f>
        <v>1.072463768</v>
      </c>
      <c r="S365" s="30">
        <f>IFERROR(__xludf.DUMMYFUNCTION("""COMPUTED_VALUE"""),2.5217391304347823)</f>
        <v>2.52173913</v>
      </c>
      <c r="T365" s="30">
        <f>IFERROR(__xludf.DUMMYFUNCTION("""COMPUTED_VALUE"""),339.66556575573884)</f>
        <v>339.6655658</v>
      </c>
      <c r="U365" s="30">
        <f>IFERROR(__xludf.DUMMYFUNCTION("""COMPUTED_VALUE"""),0.6925336415638502)</f>
        <v>0.6925336416</v>
      </c>
      <c r="V365" s="30">
        <f>IFERROR(__xludf.DUMMYFUNCTION("""COMPUTED_VALUE"""),0.5209466054996761)</f>
        <v>0.5209466055</v>
      </c>
      <c r="W365" s="30">
        <f>IFERROR(__xludf.DUMMYFUNCTION("""COMPUTED_VALUE"""),1.3483754866164446)</f>
        <v>1.348375487</v>
      </c>
      <c r="X365" s="30">
        <f>IFERROR(__xludf.DUMMYFUNCTION("""COMPUTED_VALUE"""),2.5544135712257465)</f>
        <v>2.554413571</v>
      </c>
      <c r="Y365" s="30">
        <f>IFERROR(__xludf.DUMMYFUNCTION("""COMPUTED_VALUE"""),345.71173186974227)</f>
        <v>345.7117319</v>
      </c>
      <c r="Z365" s="30">
        <f>IFERROR(__xludf.DUMMYFUNCTION("""COMPUTED_VALUE"""),0.720359731744395)</f>
        <v>0.7203597317</v>
      </c>
      <c r="AA365" s="30">
        <f>IFERROR(__xludf.DUMMYFUNCTION("""COMPUTED_VALUE"""),0.5390397421504513)</f>
        <v>0.5390397422</v>
      </c>
      <c r="AB365" s="30">
        <f>IFERROR(__xludf.DUMMYFUNCTION("""COMPUTED_VALUE"""),1.38886296992506)</f>
        <v>1.38886297</v>
      </c>
      <c r="AC365" s="30">
        <f>IFERROR(__xludf.DUMMYFUNCTION("""COMPUTED_VALUE"""),2.510057650855213)</f>
        <v>2.510057651</v>
      </c>
      <c r="AD365" s="30">
        <f>IFERROR(__xludf.DUMMYFUNCTION("""COMPUTED_VALUE"""),0.9587027342583042)</f>
        <v>0.9587027343</v>
      </c>
      <c r="AE365" s="30">
        <f>IFERROR(__xludf.DUMMYFUNCTION("""COMPUTED_VALUE"""),1.1467700374107797)</f>
        <v>1.146770037</v>
      </c>
      <c r="AF365" s="30">
        <f>IFERROR(__xludf.DUMMYFUNCTION("""COMPUTED_VALUE"""),1.0485634863386197)</f>
        <v>1.048563486</v>
      </c>
      <c r="AG365" s="30">
        <f>IFERROR(__xludf.DUMMYFUNCTION("""COMPUTED_VALUE"""),0.7200134366415988)</f>
        <v>0.7200134366</v>
      </c>
      <c r="AH365" s="30">
        <f>IFERROR(__xludf.DUMMYFUNCTION("""COMPUTED_VALUE"""),1.0046538690358724)</f>
        <v>1.004653869</v>
      </c>
      <c r="AI365" s="30">
        <f>IFERROR(__xludf.DUMMYFUNCTION("""COMPUTED_VALUE"""),0.9551168047701674)</f>
        <v>0.9551168048</v>
      </c>
      <c r="AJ365" s="30">
        <f>IFERROR(__xludf.DUMMYFUNCTION("""COMPUTED_VALUE"""),0.9835759296135991)</f>
        <v>0.9835759296</v>
      </c>
      <c r="AK365" s="30">
        <f>IFERROR(__xludf.DUMMYFUNCTION("""COMPUTED_VALUE"""),1.0849814267667768)</f>
        <v>1.084981427</v>
      </c>
      <c r="AL365" s="30">
        <f>IFERROR(__xludf.DUMMYFUNCTION("""COMPUTED_VALUE"""),0.7953747148037644)</f>
        <v>0.7953747148</v>
      </c>
      <c r="AM365" s="30">
        <f>IFERROR(__xludf.DUMMYFUNCTION("""COMPUTED_VALUE"""),0.987208633261651)</f>
        <v>0.9872086333</v>
      </c>
      <c r="AN365" s="30">
        <f>IFERROR(__xludf.DUMMYFUNCTION("""COMPUTED_VALUE"""),0.9599089911882013)</f>
        <v>0.9599089912</v>
      </c>
      <c r="AO365" s="30">
        <f>IFERROR(__xludf.DUMMYFUNCTION("""COMPUTED_VALUE"""),1.0951023851077433)</f>
        <v>1.095102385</v>
      </c>
      <c r="AP365" s="30">
        <f>IFERROR(__xludf.DUMMYFUNCTION("""COMPUTED_VALUE"""),1.0482020517348947)</f>
        <v>1.048202052</v>
      </c>
      <c r="AQ365" s="30">
        <f>IFERROR(__xludf.DUMMYFUNCTION("""COMPUTED_VALUE"""),0.7403877633464013)</f>
        <v>0.7403877633</v>
      </c>
      <c r="AR365" s="30">
        <f>IFERROR(__xludf.DUMMYFUNCTION("""COMPUTED_VALUE"""),0.98479210008784)</f>
        <v>0.9847921001</v>
      </c>
      <c r="AS365" s="30">
        <f>IFERROR(__xludf.DUMMYFUNCTION("""COMPUTED_VALUE"""),45.0)</f>
        <v>45</v>
      </c>
      <c r="AT365" s="30">
        <f>IFERROR(__xludf.DUMMYFUNCTION("""COMPUTED_VALUE"""),0.48382217261879873)</f>
        <v>0.4838221726</v>
      </c>
      <c r="AU365" s="30">
        <f>IFERROR(__xludf.DUMMYFUNCTION("""COMPUTED_VALUE"""),2.596654560686715)</f>
        <v>2.596654561</v>
      </c>
      <c r="AV365" s="32">
        <f>IFERROR(__xludf.DUMMYFUNCTION("""COMPUTED_VALUE"""),57.02302452014804)</f>
        <v>57.02302452</v>
      </c>
      <c r="AW365" s="32">
        <f>IFERROR(__xludf.DUMMYFUNCTION("""COMPUTED_VALUE"""),2.5681490186445264)</f>
        <v>2.568149019</v>
      </c>
      <c r="AX365" s="32">
        <f>IFERROR(__xludf.DUMMYFUNCTION("""COMPUTED_VALUE"""),62.4634569224323)</f>
        <v>62.46345692</v>
      </c>
      <c r="AY365" s="32">
        <f>IFERROR(__xludf.DUMMYFUNCTION("""COMPUTED_VALUE"""),3.2356977848795396)</f>
        <v>3.235697785</v>
      </c>
      <c r="AZ365" s="30">
        <f>IFERROR(__xludf.DUMMYFUNCTION("""COMPUTED_VALUE"""),0.6675487662350132)</f>
        <v>0.6675487662</v>
      </c>
      <c r="BA365" s="30">
        <f>IFERROR(__xludf.DUMMYFUNCTION("""COMPUTED_VALUE"""),1200.0)</f>
        <v>1200</v>
      </c>
    </row>
    <row r="366">
      <c r="A366" s="71" t="str">
        <f>IFERROR(__xludf.DUMMYFUNCTION("""COMPUTED_VALUE"""),"Veteran")</f>
        <v>Veteran</v>
      </c>
      <c r="B366" s="71" t="str">
        <f>IFERROR(__xludf.DUMMYFUNCTION("""COMPUTED_VALUE"""),"RSC007625")</f>
        <v>RSC007625</v>
      </c>
      <c r="C366" s="30" t="str">
        <f>IFERROR(__xludf.DUMMYFUNCTION("""COMPUTED_VALUE"""),"assassin_funny.")</f>
        <v>assassin_funny.</v>
      </c>
      <c r="D366" s="30" t="str">
        <f>IFERROR(__xludf.DUMMYFUNCTION("""COMPUTED_VALUE"""),"Mellow Fellows")</f>
        <v>Mellow Fellows</v>
      </c>
      <c r="E366" s="30">
        <f>IFERROR(__xludf.DUMMYFUNCTION("""COMPUTED_VALUE"""),5.0)</f>
        <v>5</v>
      </c>
      <c r="F366" s="30">
        <f>IFERROR(__xludf.DUMMYFUNCTION("""COMPUTED_VALUE"""),1.0)</f>
        <v>1</v>
      </c>
      <c r="G366" s="42">
        <f>IFERROR(__xludf.DUMMYFUNCTION("""COMPUTED_VALUE"""),4.0)</f>
        <v>4</v>
      </c>
      <c r="H366" s="42">
        <f>IFERROR(__xludf.DUMMYFUNCTION("""COMPUTED_VALUE"""),0.2)</f>
        <v>0.2</v>
      </c>
      <c r="I366" s="42">
        <f>IFERROR(__xludf.DUMMYFUNCTION("""COMPUTED_VALUE"""),0.19999999999999998)</f>
        <v>0.2</v>
      </c>
      <c r="J366" s="30">
        <f>IFERROR(__xludf.DUMMYFUNCTION("""COMPUTED_VALUE"""),342.4)</f>
        <v>342.4</v>
      </c>
      <c r="K366" s="30">
        <f>IFERROR(__xludf.DUMMYFUNCTION("""COMPUTED_VALUE"""),0.6)</f>
        <v>0.6</v>
      </c>
      <c r="L366" s="30">
        <f>IFERROR(__xludf.DUMMYFUNCTION("""COMPUTED_VALUE"""),0.6)</f>
        <v>0.6</v>
      </c>
      <c r="M366" s="30">
        <f>IFERROR(__xludf.DUMMYFUNCTION("""COMPUTED_VALUE"""),1.4)</f>
        <v>1.4</v>
      </c>
      <c r="N366" s="30">
        <f>IFERROR(__xludf.DUMMYFUNCTION("""COMPUTED_VALUE"""),3.0)</f>
        <v>3</v>
      </c>
      <c r="O366" s="30">
        <f>IFERROR(__xludf.DUMMYFUNCTION("""COMPUTED_VALUE"""),403.66666666666663)</f>
        <v>403.6666667</v>
      </c>
      <c r="P366" s="30">
        <f>IFERROR(__xludf.DUMMYFUNCTION("""COMPUTED_VALUE"""),1.0666666666666669)</f>
        <v>1.066666667</v>
      </c>
      <c r="Q366" s="30">
        <f>IFERROR(__xludf.DUMMYFUNCTION("""COMPUTED_VALUE"""),0.8)</f>
        <v>0.8</v>
      </c>
      <c r="R366" s="30">
        <f>IFERROR(__xludf.DUMMYFUNCTION("""COMPUTED_VALUE"""),1.6)</f>
        <v>1.6</v>
      </c>
      <c r="S366" s="30">
        <f>IFERROR(__xludf.DUMMYFUNCTION("""COMPUTED_VALUE"""),3.6)</f>
        <v>3.6</v>
      </c>
      <c r="T366" s="30">
        <f>IFERROR(__xludf.DUMMYFUNCTION("""COMPUTED_VALUE"""),340.30281979458454)</f>
        <v>340.3028198</v>
      </c>
      <c r="U366" s="30">
        <f>IFERROR(__xludf.DUMMYFUNCTION("""COMPUTED_VALUE"""),0.765552443199502)</f>
        <v>0.7655524432</v>
      </c>
      <c r="V366" s="30">
        <f>IFERROR(__xludf.DUMMYFUNCTION("""COMPUTED_VALUE"""),0.4891378773731715)</f>
        <v>0.4891378774</v>
      </c>
      <c r="W366" s="30">
        <f>IFERROR(__xludf.DUMMYFUNCTION("""COMPUTED_VALUE"""),1.3287145969498912)</f>
        <v>1.328714597</v>
      </c>
      <c r="X366" s="30">
        <f>IFERROR(__xludf.DUMMYFUNCTION("""COMPUTED_VALUE"""),2.604400871459695)</f>
        <v>2.604400871</v>
      </c>
      <c r="Y366" s="30">
        <f>IFERROR(__xludf.DUMMYFUNCTION("""COMPUTED_VALUE"""),339.0120199190787)</f>
        <v>339.0120199</v>
      </c>
      <c r="Z366" s="30">
        <f>IFERROR(__xludf.DUMMYFUNCTION("""COMPUTED_VALUE"""),0.7310198153335409)</f>
        <v>0.7310198153</v>
      </c>
      <c r="AA366" s="30">
        <f>IFERROR(__xludf.DUMMYFUNCTION("""COMPUTED_VALUE"""),0.5182882041705572)</f>
        <v>0.5182882042</v>
      </c>
      <c r="AB366" s="30">
        <f>IFERROR(__xludf.DUMMYFUNCTION("""COMPUTED_VALUE"""),1.365156136528686)</f>
        <v>1.365156137</v>
      </c>
      <c r="AC366" s="30">
        <f>IFERROR(__xludf.DUMMYFUNCTION("""COMPUTED_VALUE"""),2.453497250752153)</f>
        <v>2.453497251</v>
      </c>
      <c r="AD366" s="30">
        <f>IFERROR(__xludf.DUMMYFUNCTION("""COMPUTED_VALUE"""),1.00999368719059)</f>
        <v>1.009993687</v>
      </c>
      <c r="AE366" s="30">
        <f>IFERROR(__xludf.DUMMYFUNCTION("""COMPUTED_VALUE"""),0.8207711848771695)</f>
        <v>0.8207711849</v>
      </c>
      <c r="AF366" s="30">
        <f>IFERROR(__xludf.DUMMYFUNCTION("""COMPUTED_VALUE"""),1.1576570625608011)</f>
        <v>1.157657063</v>
      </c>
      <c r="AG366" s="30">
        <f>IFERROR(__xludf.DUMMYFUNCTION("""COMPUTED_VALUE"""),1.025523720356204)</f>
        <v>1.02552372</v>
      </c>
      <c r="AH366" s="30">
        <f>IFERROR(__xludf.DUMMYFUNCTION("""COMPUTED_VALUE"""),1.2227443903107327)</f>
        <v>1.22274439</v>
      </c>
      <c r="AI366" s="30">
        <f>IFERROR(__xludf.DUMMYFUNCTION("""COMPUTED_VALUE"""),1.1861984185447836)</f>
        <v>1.186198419</v>
      </c>
      <c r="AJ366" s="30">
        <f>IFERROR(__xludf.DUMMYFUNCTION("""COMPUTED_VALUE"""),1.393329322036655)</f>
        <v>1.393329322</v>
      </c>
      <c r="AK366" s="30">
        <f>IFERROR(__xludf.DUMMYFUNCTION("""COMPUTED_VALUE"""),1.6355306693815221)</f>
        <v>1.635530669</v>
      </c>
      <c r="AL366" s="30">
        <f>IFERROR(__xludf.DUMMYFUNCTION("""COMPUTED_VALUE"""),1.2041713123893223)</f>
        <v>1.204171312</v>
      </c>
      <c r="AM366" s="30">
        <f>IFERROR(__xludf.DUMMYFUNCTION("""COMPUTED_VALUE"""),1.382275685533118)</f>
        <v>1.382275686</v>
      </c>
      <c r="AN366" s="30">
        <f>IFERROR(__xludf.DUMMYFUNCTION("""COMPUTED_VALUE"""),0.9916667043690572)</f>
        <v>0.9916667044</v>
      </c>
      <c r="AO366" s="30">
        <f>IFERROR(__xludf.DUMMYFUNCTION("""COMPUTED_VALUE"""),0.7953901533940451)</f>
        <v>0.7953901534</v>
      </c>
      <c r="AP366" s="30">
        <f>IFERROR(__xludf.DUMMYFUNCTION("""COMPUTED_VALUE"""),1.112706793380119)</f>
        <v>1.112706793</v>
      </c>
      <c r="AQ366" s="30">
        <f>IFERROR(__xludf.DUMMYFUNCTION("""COMPUTED_VALUE"""),1.0365428686849618)</f>
        <v>1.036542869</v>
      </c>
      <c r="AR366" s="30">
        <f>IFERROR(__xludf.DUMMYFUNCTION("""COMPUTED_VALUE"""),1.1715630156217407)</f>
        <v>1.171563016</v>
      </c>
      <c r="AS366" s="30">
        <f>IFERROR(__xludf.DUMMYFUNCTION("""COMPUTED_VALUE"""),10.0)</f>
        <v>10</v>
      </c>
      <c r="AT366" s="30">
        <f>IFERROR(__xludf.DUMMYFUNCTION("""COMPUTED_VALUE"""),0.3198661571644606)</f>
        <v>0.3198661572</v>
      </c>
      <c r="AU366" s="30">
        <f>IFERROR(__xludf.DUMMYFUNCTION("""COMPUTED_VALUE"""),2.041357660024829)</f>
        <v>2.04135766</v>
      </c>
      <c r="AV366" s="32">
        <f>IFERROR(__xludf.DUMMYFUNCTION("""COMPUTED_VALUE"""),39.82209656984696)</f>
        <v>39.82209657</v>
      </c>
      <c r="AW366" s="32">
        <f>IFERROR(__xludf.DUMMYFUNCTION("""COMPUTED_VALUE"""),-2.9243071243812824)</f>
        <v>-2.924307124</v>
      </c>
      <c r="AX366" s="32">
        <f>IFERROR(__xludf.DUMMYFUNCTION("""COMPUTED_VALUE"""),35.355913901000555)</f>
        <v>35.3559139</v>
      </c>
      <c r="AY366" s="32">
        <f>IFERROR(__xludf.DUMMYFUNCTION("""COMPUTED_VALUE"""),-3.584007845529436)</f>
        <v>-3.584007846</v>
      </c>
      <c r="AZ366" s="30">
        <f>IFERROR(__xludf.DUMMYFUNCTION("""COMPUTED_VALUE"""),0.6597007211481536)</f>
        <v>0.6597007211</v>
      </c>
      <c r="BA366" s="30">
        <f>IFERROR(__xludf.DUMMYFUNCTION("""COMPUTED_VALUE"""),1200.0)</f>
        <v>1200</v>
      </c>
    </row>
    <row r="367">
      <c r="A367" s="71" t="str">
        <f>IFERROR(__xludf.DUMMYFUNCTION("""COMPUTED_VALUE"""),"Veteran")</f>
        <v>Veteran</v>
      </c>
      <c r="B367" s="71" t="str">
        <f>IFERROR(__xludf.DUMMYFUNCTION("""COMPUTED_VALUE"""),"RSC001893")</f>
        <v>RSC001893</v>
      </c>
      <c r="C367" s="30" t="str">
        <f>IFERROR(__xludf.DUMMYFUNCTION("""COMPUTED_VALUE"""),"cjax")</f>
        <v>cjax</v>
      </c>
      <c r="D367" s="30" t="str">
        <f>IFERROR(__xludf.DUMMYFUNCTION("""COMPUTED_VALUE"""),"Peppermint")</f>
        <v>Peppermint</v>
      </c>
      <c r="E367" s="30">
        <f>IFERROR(__xludf.DUMMYFUNCTION("""COMPUTED_VALUE"""),25.0)</f>
        <v>25</v>
      </c>
      <c r="F367" s="30">
        <f>IFERROR(__xludf.DUMMYFUNCTION("""COMPUTED_VALUE"""),9.0)</f>
        <v>9</v>
      </c>
      <c r="G367" s="42">
        <f>IFERROR(__xludf.DUMMYFUNCTION("""COMPUTED_VALUE"""),16.0)</f>
        <v>16</v>
      </c>
      <c r="H367" s="42">
        <f>IFERROR(__xludf.DUMMYFUNCTION("""COMPUTED_VALUE"""),0.36)</f>
        <v>0.36</v>
      </c>
      <c r="I367" s="42">
        <f>IFERROR(__xludf.DUMMYFUNCTION("""COMPUTED_VALUE"""),0.3)</f>
        <v>0.3</v>
      </c>
      <c r="J367" s="30">
        <f>IFERROR(__xludf.DUMMYFUNCTION("""COMPUTED_VALUE"""),300.6)</f>
        <v>300.6</v>
      </c>
      <c r="K367" s="30">
        <f>IFERROR(__xludf.DUMMYFUNCTION("""COMPUTED_VALUE"""),0.48)</f>
        <v>0.48</v>
      </c>
      <c r="L367" s="30">
        <f>IFERROR(__xludf.DUMMYFUNCTION("""COMPUTED_VALUE"""),0.4)</f>
        <v>0.4</v>
      </c>
      <c r="M367" s="30">
        <f>IFERROR(__xludf.DUMMYFUNCTION("""COMPUTED_VALUE"""),1.64)</f>
        <v>1.64</v>
      </c>
      <c r="N367" s="30">
        <f>IFERROR(__xludf.DUMMYFUNCTION("""COMPUTED_VALUE"""),1.6)</f>
        <v>1.6</v>
      </c>
      <c r="O367" s="30">
        <f>IFERROR(__xludf.DUMMYFUNCTION("""COMPUTED_VALUE"""),363.26666666666665)</f>
        <v>363.2666667</v>
      </c>
      <c r="P367" s="30">
        <f>IFERROR(__xludf.DUMMYFUNCTION("""COMPUTED_VALUE"""),0.9466666666666665)</f>
        <v>0.9466666667</v>
      </c>
      <c r="Q367" s="30">
        <f>IFERROR(__xludf.DUMMYFUNCTION("""COMPUTED_VALUE"""),0.72)</f>
        <v>0.72</v>
      </c>
      <c r="R367" s="30">
        <f>IFERROR(__xludf.DUMMYFUNCTION("""COMPUTED_VALUE"""),1.0533333333333337)</f>
        <v>1.053333333</v>
      </c>
      <c r="S367" s="30">
        <f>IFERROR(__xludf.DUMMYFUNCTION("""COMPUTED_VALUE"""),3.266666666666668)</f>
        <v>3.266666667</v>
      </c>
      <c r="T367" s="30">
        <f>IFERROR(__xludf.DUMMYFUNCTION("""COMPUTED_VALUE"""),354.4940281819543)</f>
        <v>354.4940282</v>
      </c>
      <c r="U367" s="30">
        <f>IFERROR(__xludf.DUMMYFUNCTION("""COMPUTED_VALUE"""),0.8514741756047792)</f>
        <v>0.8514741756</v>
      </c>
      <c r="V367" s="30">
        <f>IFERROR(__xludf.DUMMYFUNCTION("""COMPUTED_VALUE"""),0.6106791318656893)</f>
        <v>0.6106791319</v>
      </c>
      <c r="W367" s="30">
        <f>IFERROR(__xludf.DUMMYFUNCTION("""COMPUTED_VALUE"""),1.2529112546441865)</f>
        <v>1.252911255</v>
      </c>
      <c r="X367" s="30">
        <f>IFERROR(__xludf.DUMMYFUNCTION("""COMPUTED_VALUE"""),2.763993008228173)</f>
        <v>2.763993008</v>
      </c>
      <c r="Y367" s="30">
        <f>IFERROR(__xludf.DUMMYFUNCTION("""COMPUTED_VALUE"""),355.20894490806927)</f>
        <v>355.2089449</v>
      </c>
      <c r="Z367" s="30">
        <f>IFERROR(__xludf.DUMMYFUNCTION("""COMPUTED_VALUE"""),0.8075769253603123)</f>
        <v>0.8075769254</v>
      </c>
      <c r="AA367" s="30">
        <f>IFERROR(__xludf.DUMMYFUNCTION("""COMPUTED_VALUE"""),0.6019671731368543)</f>
        <v>0.6019671731</v>
      </c>
      <c r="AB367" s="30">
        <f>IFERROR(__xludf.DUMMYFUNCTION("""COMPUTED_VALUE"""),1.3821033925508857)</f>
        <v>1.382103393</v>
      </c>
      <c r="AC367" s="30">
        <f>IFERROR(__xludf.DUMMYFUNCTION("""COMPUTED_VALUE"""),2.5014732407115874)</f>
        <v>2.501473241</v>
      </c>
      <c r="AD367" s="30">
        <f>IFERROR(__xludf.DUMMYFUNCTION("""COMPUTED_VALUE"""),0.8462624725787734)</f>
        <v>0.8462624726</v>
      </c>
      <c r="AE367" s="30">
        <f>IFERROR(__xludf.DUMMYFUNCTION("""COMPUTED_VALUE"""),0.5943706226943531)</f>
        <v>0.5943706227</v>
      </c>
      <c r="AF367" s="30">
        <f>IFERROR(__xludf.DUMMYFUNCTION("""COMPUTED_VALUE"""),0.6644880615592338)</f>
        <v>0.6644880616</v>
      </c>
      <c r="AG367" s="30">
        <f>IFERROR(__xludf.DUMMYFUNCTION("""COMPUTED_VALUE"""),1.1865971886322673)</f>
        <v>1.186597189</v>
      </c>
      <c r="AH367" s="30">
        <f>IFERROR(__xludf.DUMMYFUNCTION("""COMPUTED_VALUE"""),0.6396230724998091)</f>
        <v>0.6396230725</v>
      </c>
      <c r="AI367" s="30">
        <f>IFERROR(__xludf.DUMMYFUNCTION("""COMPUTED_VALUE"""),1.0247469288261453)</f>
        <v>1.024746929</v>
      </c>
      <c r="AJ367" s="30">
        <f>IFERROR(__xludf.DUMMYFUNCTION("""COMPUTED_VALUE"""),1.1117972732341233)</f>
        <v>1.111797273</v>
      </c>
      <c r="AK367" s="30">
        <f>IFERROR(__xludf.DUMMYFUNCTION("""COMPUTED_VALUE"""),1.1790152347278084)</f>
        <v>1.179015235</v>
      </c>
      <c r="AL367" s="30">
        <f>IFERROR(__xludf.DUMMYFUNCTION("""COMPUTED_VALUE"""),0.8407086530900939)</f>
        <v>0.8407086531</v>
      </c>
      <c r="AM367" s="30">
        <f>IFERROR(__xludf.DUMMYFUNCTION("""COMPUTED_VALUE"""),1.1818650253246221)</f>
        <v>1.181865025</v>
      </c>
      <c r="AN367" s="30">
        <f>IFERROR(__xludf.DUMMYFUNCTION("""COMPUTED_VALUE"""),0.8706045891744704)</f>
        <v>0.8706045892</v>
      </c>
      <c r="AO367" s="30">
        <f>IFERROR(__xludf.DUMMYFUNCTION("""COMPUTED_VALUE"""),0.6363121227152361)</f>
        <v>0.6363121227</v>
      </c>
      <c r="AP367" s="30">
        <f>IFERROR(__xludf.DUMMYFUNCTION("""COMPUTED_VALUE"""),0.7418045289200793)</f>
        <v>0.7418045289</v>
      </c>
      <c r="AQ367" s="30">
        <f>IFERROR(__xludf.DUMMYFUNCTION("""COMPUTED_VALUE"""),1.2142359318880982)</f>
        <v>1.214235932</v>
      </c>
      <c r="AR367" s="30">
        <f>IFERROR(__xludf.DUMMYFUNCTION("""COMPUTED_VALUE"""),0.6248336083315951)</f>
        <v>0.6248336083</v>
      </c>
      <c r="AS367" s="30">
        <f>IFERROR(__xludf.DUMMYFUNCTION("""COMPUTED_VALUE"""),49.0)</f>
        <v>49</v>
      </c>
      <c r="AT367" s="30">
        <f>IFERROR(__xludf.DUMMYFUNCTION("""COMPUTED_VALUE"""),0.3585333009526381)</f>
        <v>0.358533301</v>
      </c>
      <c r="AU367" s="30">
        <f>IFERROR(__xludf.DUMMYFUNCTION("""COMPUTED_VALUE"""),1.2693094833835947)</f>
        <v>1.269309483</v>
      </c>
      <c r="AV367" s="32">
        <f>IFERROR(__xludf.DUMMYFUNCTION("""COMPUTED_VALUE"""),15.907061127116826)</f>
        <v>15.90706113</v>
      </c>
      <c r="AW367" s="32">
        <f>IFERROR(__xludf.DUMMYFUNCTION("""COMPUTED_VALUE"""),-11.583695190547825)</f>
        <v>-11.58369519</v>
      </c>
      <c r="AX367" s="32">
        <f>IFERROR(__xludf.DUMMYFUNCTION("""COMPUTED_VALUE"""),16.70369858957922)</f>
        <v>16.70369859</v>
      </c>
      <c r="AY367" s="32">
        <f>IFERROR(__xludf.DUMMYFUNCTION("""COMPUTED_VALUE"""),-10.934410545318576)</f>
        <v>-10.93441055</v>
      </c>
      <c r="AZ367" s="30">
        <f>IFERROR(__xludf.DUMMYFUNCTION("""COMPUTED_VALUE"""),0.6492846452292493)</f>
        <v>0.6492846452</v>
      </c>
      <c r="BA367" s="30">
        <f>IFERROR(__xludf.DUMMYFUNCTION("""COMPUTED_VALUE"""),1200.0)</f>
        <v>1200</v>
      </c>
    </row>
    <row r="368">
      <c r="A368" s="71" t="str">
        <f>IFERROR(__xludf.DUMMYFUNCTION("""COMPUTED_VALUE"""),"Veteran")</f>
        <v>Veteran</v>
      </c>
      <c r="B368" s="71" t="str">
        <f>IFERROR(__xludf.DUMMYFUNCTION("""COMPUTED_VALUE"""),"RSC006531")</f>
        <v>RSC006531</v>
      </c>
      <c r="C368" s="30" t="str">
        <f>IFERROR(__xludf.DUMMYFUNCTION("""COMPUTED_VALUE"""),"Corners-")</f>
        <v>Corners-</v>
      </c>
      <c r="D368" s="30"/>
      <c r="E368" s="30">
        <f>IFERROR(__xludf.DUMMYFUNCTION("""COMPUTED_VALUE"""),4.0)</f>
        <v>4</v>
      </c>
      <c r="F368" s="30">
        <f>IFERROR(__xludf.DUMMYFUNCTION("""COMPUTED_VALUE"""),1.0)</f>
        <v>1</v>
      </c>
      <c r="G368" s="42">
        <f>IFERROR(__xludf.DUMMYFUNCTION("""COMPUTED_VALUE"""),3.0)</f>
        <v>3</v>
      </c>
      <c r="H368" s="42">
        <f>IFERROR(__xludf.DUMMYFUNCTION("""COMPUTED_VALUE"""),0.25)</f>
        <v>0.25</v>
      </c>
      <c r="I368" s="42">
        <f>IFERROR(__xludf.DUMMYFUNCTION("""COMPUTED_VALUE"""),0.16666666666666666)</f>
        <v>0.1666666667</v>
      </c>
      <c r="J368" s="30">
        <f>IFERROR(__xludf.DUMMYFUNCTION("""COMPUTED_VALUE"""),261.0)</f>
        <v>261</v>
      </c>
      <c r="K368" s="30">
        <f>IFERROR(__xludf.DUMMYFUNCTION("""COMPUTED_VALUE"""),0.5)</f>
        <v>0.5</v>
      </c>
      <c r="L368" s="30">
        <f>IFERROR(__xludf.DUMMYFUNCTION("""COMPUTED_VALUE"""),0.75)</f>
        <v>0.75</v>
      </c>
      <c r="M368" s="30">
        <f>IFERROR(__xludf.DUMMYFUNCTION("""COMPUTED_VALUE"""),0.5)</f>
        <v>0.5</v>
      </c>
      <c r="N368" s="30">
        <f>IFERROR(__xludf.DUMMYFUNCTION("""COMPUTED_VALUE"""),3.0)</f>
        <v>3</v>
      </c>
      <c r="O368" s="30">
        <f>IFERROR(__xludf.DUMMYFUNCTION("""COMPUTED_VALUE"""),414.33333333333337)</f>
        <v>414.3333333</v>
      </c>
      <c r="P368" s="30">
        <f>IFERROR(__xludf.DUMMYFUNCTION("""COMPUTED_VALUE"""),1.0)</f>
        <v>1</v>
      </c>
      <c r="Q368" s="30">
        <f>IFERROR(__xludf.DUMMYFUNCTION("""COMPUTED_VALUE"""),0.6666666666666666)</f>
        <v>0.6666666667</v>
      </c>
      <c r="R368" s="30">
        <f>IFERROR(__xludf.DUMMYFUNCTION("""COMPUTED_VALUE"""),1.9166666666666667)</f>
        <v>1.916666667</v>
      </c>
      <c r="S368" s="30">
        <f>IFERROR(__xludf.DUMMYFUNCTION("""COMPUTED_VALUE"""),1.9166666666666665)</f>
        <v>1.916666667</v>
      </c>
      <c r="T368" s="30">
        <f>IFERROR(__xludf.DUMMYFUNCTION("""COMPUTED_VALUE"""),328.7067901234568)</f>
        <v>328.7067901</v>
      </c>
      <c r="U368" s="30">
        <f>IFERROR(__xludf.DUMMYFUNCTION("""COMPUTED_VALUE"""),0.6018518518518519)</f>
        <v>0.6018518519</v>
      </c>
      <c r="V368" s="30">
        <f>IFERROR(__xludf.DUMMYFUNCTION("""COMPUTED_VALUE"""),0.4290123456790123)</f>
        <v>0.4290123457</v>
      </c>
      <c r="W368" s="30">
        <f>IFERROR(__xludf.DUMMYFUNCTION("""COMPUTED_VALUE"""),1.4475308641975309)</f>
        <v>1.447530864</v>
      </c>
      <c r="X368" s="30">
        <f>IFERROR(__xludf.DUMMYFUNCTION("""COMPUTED_VALUE"""),2.373456790123457)</f>
        <v>2.37345679</v>
      </c>
      <c r="Y368" s="30">
        <f>IFERROR(__xludf.DUMMYFUNCTION("""COMPUTED_VALUE"""),346.29012345679007)</f>
        <v>346.2901235</v>
      </c>
      <c r="Z368" s="30">
        <f>IFERROR(__xludf.DUMMYFUNCTION("""COMPUTED_VALUE"""),0.7489711934156379)</f>
        <v>0.7489711934</v>
      </c>
      <c r="AA368" s="30">
        <f>IFERROR(__xludf.DUMMYFUNCTION("""COMPUTED_VALUE"""),0.522633744855967)</f>
        <v>0.5226337449</v>
      </c>
      <c r="AB368" s="30">
        <f>IFERROR(__xludf.DUMMYFUNCTION("""COMPUTED_VALUE"""),1.3930041152263373)</f>
        <v>1.393004115</v>
      </c>
      <c r="AC368" s="30">
        <f>IFERROR(__xludf.DUMMYFUNCTION("""COMPUTED_VALUE"""),2.664609053497943)</f>
        <v>2.664609053</v>
      </c>
      <c r="AD368" s="30">
        <f>IFERROR(__xludf.DUMMYFUNCTION("""COMPUTED_VALUE"""),0.7537032745681742)</f>
        <v>0.7537032746</v>
      </c>
      <c r="AE368" s="30">
        <f>IFERROR(__xludf.DUMMYFUNCTION("""COMPUTED_VALUE"""),0.6675824175824175)</f>
        <v>0.6675824176</v>
      </c>
      <c r="AF368" s="30">
        <f>IFERROR(__xludf.DUMMYFUNCTION("""COMPUTED_VALUE"""),1.4350393700787403)</f>
        <v>1.43503937</v>
      </c>
      <c r="AG368" s="30">
        <f>IFERROR(__xludf.DUMMYFUNCTION("""COMPUTED_VALUE"""),0.3589364844903989)</f>
        <v>0.3589364845</v>
      </c>
      <c r="AH368" s="30">
        <f>IFERROR(__xludf.DUMMYFUNCTION("""COMPUTED_VALUE"""),1.1258687258687257)</f>
        <v>1.125868726</v>
      </c>
      <c r="AI368" s="30">
        <f>IFERROR(__xludf.DUMMYFUNCTION("""COMPUTED_VALUE"""),1.2604952066177784)</f>
        <v>1.260495207</v>
      </c>
      <c r="AJ368" s="30">
        <f>IFERROR(__xludf.DUMMYFUNCTION("""COMPUTED_VALUE"""),1.6615384615384614)</f>
        <v>1.661538462</v>
      </c>
      <c r="AK368" s="30">
        <f>IFERROR(__xludf.DUMMYFUNCTION("""COMPUTED_VALUE"""),1.5539568345323742)</f>
        <v>1.553956835</v>
      </c>
      <c r="AL368" s="30">
        <f>IFERROR(__xludf.DUMMYFUNCTION("""COMPUTED_VALUE"""),1.32409381663113)</f>
        <v>1.324093817</v>
      </c>
      <c r="AM368" s="30">
        <f>IFERROR(__xludf.DUMMYFUNCTION("""COMPUTED_VALUE"""),0.8075422626788036)</f>
        <v>0.8075422627</v>
      </c>
      <c r="AN368" s="30">
        <f>IFERROR(__xludf.DUMMYFUNCTION("""COMPUTED_VALUE"""),0.7559141642532825)</f>
        <v>0.7559141643</v>
      </c>
      <c r="AO368" s="30">
        <f>IFERROR(__xludf.DUMMYFUNCTION("""COMPUTED_VALUE"""),0.6628251278283709)</f>
        <v>0.6628251278</v>
      </c>
      <c r="AP368" s="30">
        <f>IFERROR(__xludf.DUMMYFUNCTION("""COMPUTED_VALUE"""),1.3908834917251487)</f>
        <v>1.390883492</v>
      </c>
      <c r="AQ368" s="30">
        <f>IFERROR(__xludf.DUMMYFUNCTION("""COMPUTED_VALUE"""),0.37019388167320066)</f>
        <v>0.3701938817</v>
      </c>
      <c r="AR368" s="30">
        <f>IFERROR(__xludf.DUMMYFUNCTION("""COMPUTED_VALUE"""),1.1715630156217407)</f>
        <v>1.171563016</v>
      </c>
      <c r="AS368" s="30">
        <f>IFERROR(__xludf.DUMMYFUNCTION("""COMPUTED_VALUE"""),8.0)</f>
        <v>8</v>
      </c>
      <c r="AT368" s="30">
        <f>IFERROR(__xludf.DUMMYFUNCTION("""COMPUTED_VALUE"""),0.34445266793706497)</f>
        <v>0.3444526679</v>
      </c>
      <c r="AU368" s="30">
        <f>IFERROR(__xludf.DUMMYFUNCTION("""COMPUTED_VALUE"""),1.9255871269318194)</f>
        <v>1.925587127</v>
      </c>
      <c r="AV368" s="32">
        <f>IFERROR(__xludf.DUMMYFUNCTION("""COMPUTED_VALUE"""),36.23597787167449)</f>
        <v>36.23597787</v>
      </c>
      <c r="AW368" s="32">
        <f>IFERROR(__xludf.DUMMYFUNCTION("""COMPUTED_VALUE"""),-3.43681155519909)</f>
        <v>-3.436811555</v>
      </c>
      <c r="AX368" s="32">
        <f>IFERROR(__xludf.DUMMYFUNCTION("""COMPUTED_VALUE"""),32.76152082660842)</f>
        <v>32.76152083</v>
      </c>
      <c r="AY368" s="32">
        <f>IFERROR(__xludf.DUMMYFUNCTION("""COMPUTED_VALUE"""),-4.077604691741838)</f>
        <v>-4.077604692</v>
      </c>
      <c r="AZ368" s="30">
        <f>IFERROR(__xludf.DUMMYFUNCTION("""COMPUTED_VALUE"""),0.6407931365427482)</f>
        <v>0.6407931365</v>
      </c>
      <c r="BA368" s="30">
        <f>IFERROR(__xludf.DUMMYFUNCTION("""COMPUTED_VALUE"""),1200.0)</f>
        <v>1200</v>
      </c>
    </row>
    <row r="369">
      <c r="A369" s="71" t="str">
        <f>IFERROR(__xludf.DUMMYFUNCTION("""COMPUTED_VALUE"""),"Veteran")</f>
        <v>Veteran</v>
      </c>
      <c r="B369" s="71" t="str">
        <f>IFERROR(__xludf.DUMMYFUNCTION("""COMPUTED_VALUE"""),"RSC002780")</f>
        <v>RSC002780</v>
      </c>
      <c r="C369" s="30" t="str">
        <f>IFERROR(__xludf.DUMMYFUNCTION("""COMPUTED_VALUE"""),"Lickadoss77")</f>
        <v>Lickadoss77</v>
      </c>
      <c r="D369" s="30" t="str">
        <f>IFERROR(__xludf.DUMMYFUNCTION("""COMPUTED_VALUE"""),"Water")</f>
        <v>Water</v>
      </c>
      <c r="E369" s="30">
        <f>IFERROR(__xludf.DUMMYFUNCTION("""COMPUTED_VALUE"""),34.0)</f>
        <v>34</v>
      </c>
      <c r="F369" s="30">
        <f>IFERROR(__xludf.DUMMYFUNCTION("""COMPUTED_VALUE"""),17.0)</f>
        <v>17</v>
      </c>
      <c r="G369" s="42">
        <f>IFERROR(__xludf.DUMMYFUNCTION("""COMPUTED_VALUE"""),17.0)</f>
        <v>17</v>
      </c>
      <c r="H369" s="42">
        <f>IFERROR(__xludf.DUMMYFUNCTION("""COMPUTED_VALUE"""),0.5)</f>
        <v>0.5</v>
      </c>
      <c r="I369" s="42">
        <f>IFERROR(__xludf.DUMMYFUNCTION("""COMPUTED_VALUE"""),0.25842696629213485)</f>
        <v>0.2584269663</v>
      </c>
      <c r="J369" s="30">
        <f>IFERROR(__xludf.DUMMYFUNCTION("""COMPUTED_VALUE"""),340.55882352941177)</f>
        <v>340.5588235</v>
      </c>
      <c r="K369" s="30">
        <f>IFERROR(__xludf.DUMMYFUNCTION("""COMPUTED_VALUE"""),0.6764705882352942)</f>
        <v>0.6764705882</v>
      </c>
      <c r="L369" s="30">
        <f>IFERROR(__xludf.DUMMYFUNCTION("""COMPUTED_VALUE"""),0.7352941176470589)</f>
        <v>0.7352941176</v>
      </c>
      <c r="M369" s="30">
        <f>IFERROR(__xludf.DUMMYFUNCTION("""COMPUTED_VALUE"""),1.2058823529411764)</f>
        <v>1.205882353</v>
      </c>
      <c r="N369" s="30">
        <f>IFERROR(__xludf.DUMMYFUNCTION("""COMPUTED_VALUE"""),2.6176470588235294)</f>
        <v>2.617647059</v>
      </c>
      <c r="O369" s="30">
        <f>IFERROR(__xludf.DUMMYFUNCTION("""COMPUTED_VALUE"""),322.02941176470586)</f>
        <v>322.0294118</v>
      </c>
      <c r="P369" s="30">
        <f>IFERROR(__xludf.DUMMYFUNCTION("""COMPUTED_VALUE"""),0.676470588235294)</f>
        <v>0.6764705882</v>
      </c>
      <c r="Q369" s="30">
        <f>IFERROR(__xludf.DUMMYFUNCTION("""COMPUTED_VALUE"""),0.48039215686274506)</f>
        <v>0.4803921569</v>
      </c>
      <c r="R369" s="30">
        <f>IFERROR(__xludf.DUMMYFUNCTION("""COMPUTED_VALUE"""),1.2156862745098038)</f>
        <v>1.215686275</v>
      </c>
      <c r="S369" s="30">
        <f>IFERROR(__xludf.DUMMYFUNCTION("""COMPUTED_VALUE"""),2.3333333333333335)</f>
        <v>2.333333333</v>
      </c>
      <c r="T369" s="30">
        <f>IFERROR(__xludf.DUMMYFUNCTION("""COMPUTED_VALUE"""),355.1595891379954)</f>
        <v>355.1595891</v>
      </c>
      <c r="U369" s="30">
        <f>IFERROR(__xludf.DUMMYFUNCTION("""COMPUTED_VALUE"""),0.7948120582831486)</f>
        <v>0.7948120583</v>
      </c>
      <c r="V369" s="30">
        <f>IFERROR(__xludf.DUMMYFUNCTION("""COMPUTED_VALUE"""),0.5927156059556441)</f>
        <v>0.592715606</v>
      </c>
      <c r="W369" s="30">
        <f>IFERROR(__xludf.DUMMYFUNCTION("""COMPUTED_VALUE"""),1.3467540488681247)</f>
        <v>1.346754049</v>
      </c>
      <c r="X369" s="30">
        <f>IFERROR(__xludf.DUMMYFUNCTION("""COMPUTED_VALUE"""),2.587475077528376)</f>
        <v>2.587475078</v>
      </c>
      <c r="Y369" s="30">
        <f>IFERROR(__xludf.DUMMYFUNCTION("""COMPUTED_VALUE"""),366.3606869172577)</f>
        <v>366.3606869</v>
      </c>
      <c r="Z369" s="30">
        <f>IFERROR(__xludf.DUMMYFUNCTION("""COMPUTED_VALUE"""),0.833364986939326)</f>
        <v>0.8333649869</v>
      </c>
      <c r="AA369" s="30">
        <f>IFERROR(__xludf.DUMMYFUNCTION("""COMPUTED_VALUE"""),0.6149792268442972)</f>
        <v>0.6149792268</v>
      </c>
      <c r="AB369" s="30">
        <f>IFERROR(__xludf.DUMMYFUNCTION("""COMPUTED_VALUE"""),1.3600915236429802)</f>
        <v>1.360091524</v>
      </c>
      <c r="AC369" s="30">
        <f>IFERROR(__xludf.DUMMYFUNCTION("""COMPUTED_VALUE"""),2.7969655990163296)</f>
        <v>2.796965599</v>
      </c>
      <c r="AD369" s="30">
        <f>IFERROR(__xludf.DUMMYFUNCTION("""COMPUTED_VALUE"""),0.929572510618004)</f>
        <v>0.9295725106</v>
      </c>
      <c r="AE369" s="30">
        <f>IFERROR(__xludf.DUMMYFUNCTION("""COMPUTED_VALUE"""),0.8117338727173394)</f>
        <v>0.8117338727</v>
      </c>
      <c r="AF369" s="30">
        <f>IFERROR(__xludf.DUMMYFUNCTION("""COMPUTED_VALUE"""),1.1956405770324068)</f>
        <v>1.195640577</v>
      </c>
      <c r="AG369" s="30">
        <f>IFERROR(__xludf.DUMMYFUNCTION("""COMPUTED_VALUE"""),0.886618534105148)</f>
        <v>0.8866185341</v>
      </c>
      <c r="AH369" s="30">
        <f>IFERROR(__xludf.DUMMYFUNCTION("""COMPUTED_VALUE"""),0.9358881853048657)</f>
        <v>0.9358881853</v>
      </c>
      <c r="AI369" s="30">
        <f>IFERROR(__xludf.DUMMYFUNCTION("""COMPUTED_VALUE"""),0.9067174915544319)</f>
        <v>0.9067174916</v>
      </c>
      <c r="AJ369" s="30">
        <f>IFERROR(__xludf.DUMMYFUNCTION("""COMPUTED_VALUE"""),0.851107606113223)</f>
        <v>0.8511076061</v>
      </c>
      <c r="AK369" s="30">
        <f>IFERROR(__xludf.DUMMYFUNCTION("""COMPUTED_VALUE"""),0.810493518368226)</f>
        <v>0.8104935184</v>
      </c>
      <c r="AL369" s="30">
        <f>IFERROR(__xludf.DUMMYFUNCTION("""COMPUTED_VALUE"""),0.9026787597420061)</f>
        <v>0.9026787597</v>
      </c>
      <c r="AM369" s="30">
        <f>IFERROR(__xludf.DUMMYFUNCTION("""COMPUTED_VALUE"""),0.9017800223846772)</f>
        <v>0.9017800224</v>
      </c>
      <c r="AN369" s="30">
        <f>IFERROR(__xludf.DUMMYFUNCTION("""COMPUTED_VALUE"""),0.9863342470012124)</f>
        <v>0.986334247</v>
      </c>
      <c r="AO369" s="30">
        <f>IFERROR(__xludf.DUMMYFUNCTION("""COMPUTED_VALUE"""),0.8967634082383842)</f>
        <v>0.8967634082</v>
      </c>
      <c r="AP369" s="30">
        <f>IFERROR(__xludf.DUMMYFUNCTION("""COMPUTED_VALUE"""),1.3636112663972046)</f>
        <v>1.363611266</v>
      </c>
      <c r="AQ369" s="30">
        <f>IFERROR(__xludf.DUMMYFUNCTION("""COMPUTED_VALUE"""),0.8928205381530133)</f>
        <v>0.8928205382</v>
      </c>
      <c r="AR369" s="30">
        <f>IFERROR(__xludf.DUMMYFUNCTION("""COMPUTED_VALUE"""),1.022246160689558)</f>
        <v>1.022246161</v>
      </c>
      <c r="AS369" s="30">
        <f>IFERROR(__xludf.DUMMYFUNCTION("""COMPUTED_VALUE"""),90.0)</f>
        <v>90</v>
      </c>
      <c r="AT369" s="30">
        <f>IFERROR(__xludf.DUMMYFUNCTION("""COMPUTED_VALUE"""),0.6019696547429342)</f>
        <v>0.6019696547</v>
      </c>
      <c r="AU369" s="30">
        <f>IFERROR(__xludf.DUMMYFUNCTION("""COMPUTED_VALUE"""),2.658060365844321)</f>
        <v>2.658060366</v>
      </c>
      <c r="AV369" s="32">
        <f>IFERROR(__xludf.DUMMYFUNCTION("""COMPUTED_VALUE"""),58.92513639757294)</f>
        <v>58.9251364</v>
      </c>
      <c r="AW369" s="32">
        <f>IFERROR(__xludf.DUMMYFUNCTION("""COMPUTED_VALUE"""),2.77358765223544)</f>
        <v>2.773587652</v>
      </c>
      <c r="AX369" s="32">
        <f>IFERROR(__xludf.DUMMYFUNCTION("""COMPUTED_VALUE"""),52.11616517678592)</f>
        <v>52.11616518</v>
      </c>
      <c r="AY369" s="32">
        <f>IFERROR(__xludf.DUMMYFUNCTION("""COMPUTED_VALUE"""),2.1446747280671192)</f>
        <v>2.144674728</v>
      </c>
      <c r="AZ369" s="30">
        <f>IFERROR(__xludf.DUMMYFUNCTION("""COMPUTED_VALUE"""),0.6289129241683207)</f>
        <v>0.6289129242</v>
      </c>
      <c r="BA369" s="30">
        <f>IFERROR(__xludf.DUMMYFUNCTION("""COMPUTED_VALUE"""),1200.0)</f>
        <v>1200</v>
      </c>
    </row>
    <row r="370">
      <c r="A370" s="71" t="str">
        <f>IFERROR(__xludf.DUMMYFUNCTION("""COMPUTED_VALUE"""),"Veteran")</f>
        <v>Veteran</v>
      </c>
      <c r="B370" s="71" t="str">
        <f>IFERROR(__xludf.DUMMYFUNCTION("""COMPUTED_VALUE"""),"RSC007991")</f>
        <v>RSC007991</v>
      </c>
      <c r="C370" s="30" t="str">
        <f>IFERROR(__xludf.DUMMYFUNCTION("""COMPUTED_VALUE"""),"TTV 50D Drew")</f>
        <v>TTV 50D Drew</v>
      </c>
      <c r="D370" s="30" t="str">
        <f>IFERROR(__xludf.DUMMYFUNCTION("""COMPUTED_VALUE"""),"Dump Trucks")</f>
        <v>Dump Trucks</v>
      </c>
      <c r="E370" s="30">
        <f>IFERROR(__xludf.DUMMYFUNCTION("""COMPUTED_VALUE"""),10.0)</f>
        <v>10</v>
      </c>
      <c r="F370" s="30">
        <f>IFERROR(__xludf.DUMMYFUNCTION("""COMPUTED_VALUE"""),2.0)</f>
        <v>2</v>
      </c>
      <c r="G370" s="42">
        <f>IFERROR(__xludf.DUMMYFUNCTION("""COMPUTED_VALUE"""),8.0)</f>
        <v>8</v>
      </c>
      <c r="H370" s="42">
        <f>IFERROR(__xludf.DUMMYFUNCTION("""COMPUTED_VALUE"""),0.2)</f>
        <v>0.2</v>
      </c>
      <c r="I370" s="42">
        <f>IFERROR(__xludf.DUMMYFUNCTION("""COMPUTED_VALUE"""),0.2727272727272727)</f>
        <v>0.2727272727</v>
      </c>
      <c r="J370" s="30">
        <f>IFERROR(__xludf.DUMMYFUNCTION("""COMPUTED_VALUE"""),297.3)</f>
        <v>297.3</v>
      </c>
      <c r="K370" s="30">
        <f>IFERROR(__xludf.DUMMYFUNCTION("""COMPUTED_VALUE"""),0.6)</f>
        <v>0.6</v>
      </c>
      <c r="L370" s="30">
        <f>IFERROR(__xludf.DUMMYFUNCTION("""COMPUTED_VALUE"""),0.3)</f>
        <v>0.3</v>
      </c>
      <c r="M370" s="30">
        <f>IFERROR(__xludf.DUMMYFUNCTION("""COMPUTED_VALUE"""),1.4)</f>
        <v>1.4</v>
      </c>
      <c r="N370" s="30">
        <f>IFERROR(__xludf.DUMMYFUNCTION("""COMPUTED_VALUE"""),2.2)</f>
        <v>2.2</v>
      </c>
      <c r="O370" s="30">
        <f>IFERROR(__xludf.DUMMYFUNCTION("""COMPUTED_VALUE"""),373.6)</f>
        <v>373.6</v>
      </c>
      <c r="P370" s="30">
        <f>IFERROR(__xludf.DUMMYFUNCTION("""COMPUTED_VALUE"""),0.9666666666666668)</f>
        <v>0.9666666667</v>
      </c>
      <c r="Q370" s="30">
        <f>IFERROR(__xludf.DUMMYFUNCTION("""COMPUTED_VALUE"""),0.6333333333333333)</f>
        <v>0.6333333333</v>
      </c>
      <c r="R370" s="30">
        <f>IFERROR(__xludf.DUMMYFUNCTION("""COMPUTED_VALUE"""),1.3666666666666667)</f>
        <v>1.366666667</v>
      </c>
      <c r="S370" s="30">
        <f>IFERROR(__xludf.DUMMYFUNCTION("""COMPUTED_VALUE"""),3.1999999999999997)</f>
        <v>3.2</v>
      </c>
      <c r="T370" s="30">
        <f>IFERROR(__xludf.DUMMYFUNCTION("""COMPUTED_VALUE"""),361.9157816913582)</f>
        <v>361.9157817</v>
      </c>
      <c r="U370" s="30">
        <f>IFERROR(__xludf.DUMMYFUNCTION("""COMPUTED_VALUE"""),0.8090807947770038)</f>
        <v>0.8090807948</v>
      </c>
      <c r="V370" s="30">
        <f>IFERROR(__xludf.DUMMYFUNCTION("""COMPUTED_VALUE"""),0.5605021538769785)</f>
        <v>0.5605021539</v>
      </c>
      <c r="W370" s="30">
        <f>IFERROR(__xludf.DUMMYFUNCTION("""COMPUTED_VALUE"""),1.342705626663943)</f>
        <v>1.342705627</v>
      </c>
      <c r="X370" s="30">
        <f>IFERROR(__xludf.DUMMYFUNCTION("""COMPUTED_VALUE"""),2.8187684449656443)</f>
        <v>2.818768445</v>
      </c>
      <c r="Y370" s="30">
        <f>IFERROR(__xludf.DUMMYFUNCTION("""COMPUTED_VALUE"""),358.0909260803433)</f>
        <v>358.0909261</v>
      </c>
      <c r="Z370" s="30">
        <f>IFERROR(__xludf.DUMMYFUNCTION("""COMPUTED_VALUE"""),0.7699499442133095)</f>
        <v>0.7699499442</v>
      </c>
      <c r="AA370" s="30">
        <f>IFERROR(__xludf.DUMMYFUNCTION("""COMPUTED_VALUE"""),0.5614320460925526)</f>
        <v>0.5614320461</v>
      </c>
      <c r="AB370" s="30">
        <f>IFERROR(__xludf.DUMMYFUNCTION("""COMPUTED_VALUE"""),1.4239851509405383)</f>
        <v>1.423985151</v>
      </c>
      <c r="AC370" s="30">
        <f>IFERROR(__xludf.DUMMYFUNCTION("""COMPUTED_VALUE"""),2.6251939569656764)</f>
        <v>2.625193957</v>
      </c>
      <c r="AD370" s="30">
        <f>IFERROR(__xludf.DUMMYFUNCTION("""COMPUTED_VALUE"""),0.8302360611430185)</f>
        <v>0.8302360611</v>
      </c>
      <c r="AE370" s="30">
        <f>IFERROR(__xludf.DUMMYFUNCTION("""COMPUTED_VALUE"""),0.779271437720598)</f>
        <v>0.7792714377</v>
      </c>
      <c r="AF370" s="30">
        <f>IFERROR(__xludf.DUMMYFUNCTION("""COMPUTED_VALUE"""),0.5343478379760045)</f>
        <v>0.534347838</v>
      </c>
      <c r="AG370" s="30">
        <f>IFERROR(__xludf.DUMMYFUNCTION("""COMPUTED_VALUE"""),0.9831563194850057)</f>
        <v>0.9831563195</v>
      </c>
      <c r="AH370" s="30">
        <f>IFERROR(__xludf.DUMMYFUNCTION("""COMPUTED_VALUE"""),0.8380333171812053)</f>
        <v>0.8380333172</v>
      </c>
      <c r="AI370" s="30">
        <f>IFERROR(__xludf.DUMMYFUNCTION("""COMPUTED_VALUE"""),1.0322843570237181)</f>
        <v>1.032284357</v>
      </c>
      <c r="AJ370" s="30">
        <f>IFERROR(__xludf.DUMMYFUNCTION("""COMPUTED_VALUE"""),1.1947714899512556)</f>
        <v>1.19477149</v>
      </c>
      <c r="AK370" s="30">
        <f>IFERROR(__xludf.DUMMYFUNCTION("""COMPUTED_VALUE"""),1.129939160719693)</f>
        <v>1.129939161</v>
      </c>
      <c r="AL370" s="30">
        <f>IFERROR(__xludf.DUMMYFUNCTION("""COMPUTED_VALUE"""),1.017845341172999)</f>
        <v>1.017845341</v>
      </c>
      <c r="AM370" s="30">
        <f>IFERROR(__xludf.DUMMYFUNCTION("""COMPUTED_VALUE"""),1.1352475602298018)</f>
        <v>1.13524756</v>
      </c>
      <c r="AN370" s="30">
        <f>IFERROR(__xludf.DUMMYFUNCTION("""COMPUTED_VALUE"""),0.8610470537643713)</f>
        <v>0.8610470538</v>
      </c>
      <c r="AO370" s="30">
        <f>IFERROR(__xludf.DUMMYFUNCTION("""COMPUTED_VALUE"""),0.7953901533940451)</f>
        <v>0.7953901534</v>
      </c>
      <c r="AP370" s="30">
        <f>IFERROR(__xludf.DUMMYFUNCTION("""COMPUTED_VALUE"""),0.5563533966900595)</f>
        <v>0.5563533967</v>
      </c>
      <c r="AQ370" s="30">
        <f>IFERROR(__xludf.DUMMYFUNCTION("""COMPUTED_VALUE"""),1.0365428686849618)</f>
        <v>1.036542869</v>
      </c>
      <c r="AR370" s="30">
        <f>IFERROR(__xludf.DUMMYFUNCTION("""COMPUTED_VALUE"""),0.8591462114559433)</f>
        <v>0.8591462115</v>
      </c>
      <c r="AS370" s="30">
        <f>IFERROR(__xludf.DUMMYFUNCTION("""COMPUTED_VALUE"""),14.0)</f>
        <v>14</v>
      </c>
      <c r="AT370" s="30">
        <f>IFERROR(__xludf.DUMMYFUNCTION("""COMPUTED_VALUE"""),0.24846322231185392)</f>
        <v>0.2484632223</v>
      </c>
      <c r="AU370" s="30">
        <f>IFERROR(__xludf.DUMMYFUNCTION("""COMPUTED_VALUE"""),1.439150488902738)</f>
        <v>1.439150489</v>
      </c>
      <c r="AV370" s="32">
        <f>IFERROR(__xludf.DUMMYFUNCTION("""COMPUTED_VALUE"""),21.16807176027412)</f>
        <v>21.16807176</v>
      </c>
      <c r="AW370" s="32">
        <f>IFERROR(__xludf.DUMMYFUNCTION("""COMPUTED_VALUE"""),-8.038693310333946)</f>
        <v>-8.03869331</v>
      </c>
      <c r="AX370" s="32">
        <f>IFERROR(__xludf.DUMMYFUNCTION("""COMPUTED_VALUE"""),22.338462481397265)</f>
        <v>22.33846248</v>
      </c>
      <c r="AY370" s="32">
        <f>IFERROR(__xludf.DUMMYFUNCTION("""COMPUTED_VALUE"""),-7.448045632393875)</f>
        <v>-7.448045632</v>
      </c>
      <c r="AZ370" s="30">
        <f>IFERROR(__xludf.DUMMYFUNCTION("""COMPUTED_VALUE"""),0.5906476779400709)</f>
        <v>0.5906476779</v>
      </c>
      <c r="BA370" s="30">
        <f>IFERROR(__xludf.DUMMYFUNCTION("""COMPUTED_VALUE"""),1200.0)</f>
        <v>1200</v>
      </c>
    </row>
    <row r="371">
      <c r="A371" s="71" t="str">
        <f>IFERROR(__xludf.DUMMYFUNCTION("""COMPUTED_VALUE"""),"Veteran")</f>
        <v>Veteran</v>
      </c>
      <c r="B371" s="71" t="str">
        <f>IFERROR(__xludf.DUMMYFUNCTION("""COMPUTED_VALUE"""),"RSC002209")</f>
        <v>RSC002209</v>
      </c>
      <c r="C371" s="30" t="str">
        <f>IFERROR(__xludf.DUMMYFUNCTION("""COMPUTED_VALUE"""),"Panick")</f>
        <v>Panick</v>
      </c>
      <c r="D371" s="30" t="str">
        <f>IFERROR(__xludf.DUMMYFUNCTION("""COMPUTED_VALUE"""),"Repossessed")</f>
        <v>Repossessed</v>
      </c>
      <c r="E371" s="30">
        <f>IFERROR(__xludf.DUMMYFUNCTION("""COMPUTED_VALUE"""),34.0)</f>
        <v>34</v>
      </c>
      <c r="F371" s="30">
        <f>IFERROR(__xludf.DUMMYFUNCTION("""COMPUTED_VALUE"""),18.0)</f>
        <v>18</v>
      </c>
      <c r="G371" s="42">
        <f>IFERROR(__xludf.DUMMYFUNCTION("""COMPUTED_VALUE"""),16.0)</f>
        <v>16</v>
      </c>
      <c r="H371" s="42">
        <f>IFERROR(__xludf.DUMMYFUNCTION("""COMPUTED_VALUE"""),0.5294117647058824)</f>
        <v>0.5294117647</v>
      </c>
      <c r="I371" s="42">
        <f>IFERROR(__xludf.DUMMYFUNCTION("""COMPUTED_VALUE"""),0.2391304347826087)</f>
        <v>0.2391304348</v>
      </c>
      <c r="J371" s="30">
        <f>IFERROR(__xludf.DUMMYFUNCTION("""COMPUTED_VALUE"""),296.97058823529414)</f>
        <v>296.9705882</v>
      </c>
      <c r="K371" s="30">
        <f>IFERROR(__xludf.DUMMYFUNCTION("""COMPUTED_VALUE"""),0.6470588235294118)</f>
        <v>0.6470588235</v>
      </c>
      <c r="L371" s="30">
        <f>IFERROR(__xludf.DUMMYFUNCTION("""COMPUTED_VALUE"""),0.5294117647058824)</f>
        <v>0.5294117647</v>
      </c>
      <c r="M371" s="30">
        <f>IFERROR(__xludf.DUMMYFUNCTION("""COMPUTED_VALUE"""),0.7647058823529411)</f>
        <v>0.7647058824</v>
      </c>
      <c r="N371" s="30">
        <f>IFERROR(__xludf.DUMMYFUNCTION("""COMPUTED_VALUE"""),2.7058823529411766)</f>
        <v>2.705882353</v>
      </c>
      <c r="O371" s="30">
        <f>IFERROR(__xludf.DUMMYFUNCTION("""COMPUTED_VALUE"""),337.16666666666663)</f>
        <v>337.1666667</v>
      </c>
      <c r="P371" s="30">
        <f>IFERROR(__xludf.DUMMYFUNCTION("""COMPUTED_VALUE"""),0.6568627450980393)</f>
        <v>0.6568627451</v>
      </c>
      <c r="Q371" s="30">
        <f>IFERROR(__xludf.DUMMYFUNCTION("""COMPUTED_VALUE"""),0.5)</f>
        <v>0.5</v>
      </c>
      <c r="R371" s="30">
        <f>IFERROR(__xludf.DUMMYFUNCTION("""COMPUTED_VALUE"""),1.4019607843137256)</f>
        <v>1.401960784</v>
      </c>
      <c r="S371" s="30">
        <f>IFERROR(__xludf.DUMMYFUNCTION("""COMPUTED_VALUE"""),2.4607843137254903)</f>
        <v>2.460784314</v>
      </c>
      <c r="T371" s="30">
        <f>IFERROR(__xludf.DUMMYFUNCTION("""COMPUTED_VALUE"""),345.8847776997379)</f>
        <v>345.8847777</v>
      </c>
      <c r="U371" s="30">
        <f>IFERROR(__xludf.DUMMYFUNCTION("""COMPUTED_VALUE"""),0.7273501054986865)</f>
        <v>0.7273501055</v>
      </c>
      <c r="V371" s="30">
        <f>IFERROR(__xludf.DUMMYFUNCTION("""COMPUTED_VALUE"""),0.5660961712622389)</f>
        <v>0.5660961713</v>
      </c>
      <c r="W371" s="30">
        <f>IFERROR(__xludf.DUMMYFUNCTION("""COMPUTED_VALUE"""),1.3516752826237872)</f>
        <v>1.351675283</v>
      </c>
      <c r="X371" s="30">
        <f>IFERROR(__xludf.DUMMYFUNCTION("""COMPUTED_VALUE"""),2.488863468889857)</f>
        <v>2.488863469</v>
      </c>
      <c r="Y371" s="30">
        <f>IFERROR(__xludf.DUMMYFUNCTION("""COMPUTED_VALUE"""),344.4025997613184)</f>
        <v>344.4025998</v>
      </c>
      <c r="Z371" s="30">
        <f>IFERROR(__xludf.DUMMYFUNCTION("""COMPUTED_VALUE"""),0.7395363581886645)</f>
        <v>0.7395363582</v>
      </c>
      <c r="AA371" s="30">
        <f>IFERROR(__xludf.DUMMYFUNCTION("""COMPUTED_VALUE"""),0.5355129356499807)</f>
        <v>0.5355129356</v>
      </c>
      <c r="AB371" s="30">
        <f>IFERROR(__xludf.DUMMYFUNCTION("""COMPUTED_VALUE"""),1.332971983789264)</f>
        <v>1.332971984</v>
      </c>
      <c r="AC371" s="30">
        <f>IFERROR(__xludf.DUMMYFUNCTION("""COMPUTED_VALUE"""),2.5632120425144094)</f>
        <v>2.563212043</v>
      </c>
      <c r="AD371" s="30">
        <f>IFERROR(__xludf.DUMMYFUNCTION("""COMPUTED_VALUE"""),0.8622774289192471)</f>
        <v>0.8622774289</v>
      </c>
      <c r="AE371" s="30">
        <f>IFERROR(__xludf.DUMMYFUNCTION("""COMPUTED_VALUE"""),0.8749520106276363)</f>
        <v>0.8749520106</v>
      </c>
      <c r="AF371" s="30">
        <f>IFERROR(__xludf.DUMMYFUNCTION("""COMPUTED_VALUE"""),0.9886068654220406)</f>
        <v>0.9886068654</v>
      </c>
      <c r="AG371" s="30">
        <f>IFERROR(__xludf.DUMMYFUNCTION("""COMPUTED_VALUE"""),0.5736848873440668)</f>
        <v>0.5736848873</v>
      </c>
      <c r="AH371" s="30">
        <f>IFERROR(__xludf.DUMMYFUNCTION("""COMPUTED_VALUE"""),1.0556607522360162)</f>
        <v>1.055660752</v>
      </c>
      <c r="AI371" s="30">
        <f>IFERROR(__xludf.DUMMYFUNCTION("""COMPUTED_VALUE"""),0.9747947536429618)</f>
        <v>0.9747947536</v>
      </c>
      <c r="AJ371" s="30">
        <f>IFERROR(__xludf.DUMMYFUNCTION("""COMPUTED_VALUE"""),0.9030901901742083)</f>
        <v>0.9030901902</v>
      </c>
      <c r="AK371" s="30">
        <f>IFERROR(__xludf.DUMMYFUNCTION("""COMPUTED_VALUE"""),0.8832421510379366)</f>
        <v>0.883242151</v>
      </c>
      <c r="AL371" s="30">
        <f>IFERROR(__xludf.DUMMYFUNCTION("""COMPUTED_VALUE"""),1.0372023535063297)</f>
        <v>1.037202354</v>
      </c>
      <c r="AM371" s="30">
        <f>IFERROR(__xludf.DUMMYFUNCTION("""COMPUTED_VALUE"""),0.9887180813590827)</f>
        <v>0.9887180814</v>
      </c>
      <c r="AN371" s="30">
        <f>IFERROR(__xludf.DUMMYFUNCTION("""COMPUTED_VALUE"""),0.8600930038838623)</f>
        <v>0.8600930039</v>
      </c>
      <c r="AO371" s="30">
        <f>IFERROR(__xludf.DUMMYFUNCTION("""COMPUTED_VALUE"""),0.8577736948367153)</f>
        <v>0.8577736948</v>
      </c>
      <c r="AP371" s="30">
        <f>IFERROR(__xludf.DUMMYFUNCTION("""COMPUTED_VALUE"""),0.9818001118059874)</f>
        <v>0.9818001118</v>
      </c>
      <c r="AQ371" s="30">
        <f>IFERROR(__xludf.DUMMYFUNCTION("""COMPUTED_VALUE"""),0.5661788778531304)</f>
        <v>0.5661788779</v>
      </c>
      <c r="AR371" s="30">
        <f>IFERROR(__xludf.DUMMYFUNCTION("""COMPUTED_VALUE"""),1.0567038964431388)</f>
        <v>1.056703896</v>
      </c>
      <c r="AS371" s="30">
        <f>IFERROR(__xludf.DUMMYFUNCTION("""COMPUTED_VALUE"""),75.0)</f>
        <v>75</v>
      </c>
      <c r="AT371" s="30">
        <f>IFERROR(__xludf.DUMMYFUNCTION("""COMPUTED_VALUE"""),0.5423994113027684)</f>
        <v>0.5423994113</v>
      </c>
      <c r="AU371" s="30">
        <f>IFERROR(__xludf.DUMMYFUNCTION("""COMPUTED_VALUE"""),2.27725064966177)</f>
        <v>2.27725065</v>
      </c>
      <c r="AV371" s="32">
        <f>IFERROR(__xludf.DUMMYFUNCTION("""COMPUTED_VALUE"""),47.12913954791818)</f>
        <v>47.12913955</v>
      </c>
      <c r="AW371" s="32">
        <f>IFERROR(__xludf.DUMMYFUNCTION("""COMPUTED_VALUE"""),-2.201245895050903)</f>
        <v>-2.201245895</v>
      </c>
      <c r="AX371" s="32">
        <f>IFERROR(__xludf.DUMMYFUNCTION("""COMPUTED_VALUE"""),40.92266728337092)</f>
        <v>40.92266728</v>
      </c>
      <c r="AY371" s="32">
        <f>IFERROR(__xludf.DUMMYFUNCTION("""COMPUTED_VALUE"""),-2.791209765560648)</f>
        <v>-2.791209766</v>
      </c>
      <c r="AZ371" s="30">
        <f>IFERROR(__xludf.DUMMYFUNCTION("""COMPUTED_VALUE"""),0.5899638705097452)</f>
        <v>0.5899638705</v>
      </c>
      <c r="BA371" s="30">
        <f>IFERROR(__xludf.DUMMYFUNCTION("""COMPUTED_VALUE"""),1200.0)</f>
        <v>1200</v>
      </c>
    </row>
    <row r="372">
      <c r="A372" s="71" t="str">
        <f>IFERROR(__xludf.DUMMYFUNCTION("""COMPUTED_VALUE"""),"Veteran")</f>
        <v>Veteran</v>
      </c>
      <c r="B372" s="71" t="str">
        <f>IFERROR(__xludf.DUMMYFUNCTION("""COMPUTED_VALUE"""),"RSC007936")</f>
        <v>RSC007936</v>
      </c>
      <c r="C372" s="30" t="str">
        <f>IFERROR(__xludf.DUMMYFUNCTION("""COMPUTED_VALUE"""),"Crazics")</f>
        <v>Crazics</v>
      </c>
      <c r="D372" s="30" t="str">
        <f>IFERROR(__xludf.DUMMYFUNCTION("""COMPUTED_VALUE"""),"Gouda Gangsters")</f>
        <v>Gouda Gangsters</v>
      </c>
      <c r="E372" s="30">
        <f>IFERROR(__xludf.DUMMYFUNCTION("""COMPUTED_VALUE"""),29.0)</f>
        <v>29</v>
      </c>
      <c r="F372" s="30">
        <f>IFERROR(__xludf.DUMMYFUNCTION("""COMPUTED_VALUE"""),12.0)</f>
        <v>12</v>
      </c>
      <c r="G372" s="42">
        <f>IFERROR(__xludf.DUMMYFUNCTION("""COMPUTED_VALUE"""),17.0)</f>
        <v>17</v>
      </c>
      <c r="H372" s="42">
        <f>IFERROR(__xludf.DUMMYFUNCTION("""COMPUTED_VALUE"""),0.41379310344827586)</f>
        <v>0.4137931034</v>
      </c>
      <c r="I372" s="42">
        <f>IFERROR(__xludf.DUMMYFUNCTION("""COMPUTED_VALUE"""),0.28735632183908044)</f>
        <v>0.2873563218</v>
      </c>
      <c r="J372" s="30">
        <f>IFERROR(__xludf.DUMMYFUNCTION("""COMPUTED_VALUE"""),355.51724137931035)</f>
        <v>355.5172414</v>
      </c>
      <c r="K372" s="30">
        <f>IFERROR(__xludf.DUMMYFUNCTION("""COMPUTED_VALUE"""),0.8620689655172413)</f>
        <v>0.8620689655</v>
      </c>
      <c r="L372" s="30">
        <f>IFERROR(__xludf.DUMMYFUNCTION("""COMPUTED_VALUE"""),0.6206896551724138)</f>
        <v>0.6206896552</v>
      </c>
      <c r="M372" s="30">
        <f>IFERROR(__xludf.DUMMYFUNCTION("""COMPUTED_VALUE"""),1.2758620689655173)</f>
        <v>1.275862069</v>
      </c>
      <c r="N372" s="30">
        <f>IFERROR(__xludf.DUMMYFUNCTION("""COMPUTED_VALUE"""),3.0)</f>
        <v>3</v>
      </c>
      <c r="O372" s="30">
        <f>IFERROR(__xludf.DUMMYFUNCTION("""COMPUTED_VALUE"""),375.64367816091954)</f>
        <v>375.6436782</v>
      </c>
      <c r="P372" s="30">
        <f>IFERROR(__xludf.DUMMYFUNCTION("""COMPUTED_VALUE"""),0.8850574712643681)</f>
        <v>0.8850574713</v>
      </c>
      <c r="Q372" s="30">
        <f>IFERROR(__xludf.DUMMYFUNCTION("""COMPUTED_VALUE"""),0.7126436781609194)</f>
        <v>0.7126436782</v>
      </c>
      <c r="R372" s="30">
        <f>IFERROR(__xludf.DUMMYFUNCTION("""COMPUTED_VALUE"""),1.3908045977011496)</f>
        <v>1.390804598</v>
      </c>
      <c r="S372" s="30">
        <f>IFERROR(__xludf.DUMMYFUNCTION("""COMPUTED_VALUE"""),2.5632183908045976)</f>
        <v>2.563218391</v>
      </c>
      <c r="T372" s="30">
        <f>IFERROR(__xludf.DUMMYFUNCTION("""COMPUTED_VALUE"""),358.7005943053484)</f>
        <v>358.7005943</v>
      </c>
      <c r="U372" s="30">
        <f>IFERROR(__xludf.DUMMYFUNCTION("""COMPUTED_VALUE"""),0.8228783781357878)</f>
        <v>0.8228783781</v>
      </c>
      <c r="V372" s="30">
        <f>IFERROR(__xludf.DUMMYFUNCTION("""COMPUTED_VALUE"""),0.5960207981987923)</f>
        <v>0.5960207982</v>
      </c>
      <c r="W372" s="30">
        <f>IFERROR(__xludf.DUMMYFUNCTION("""COMPUTED_VALUE"""),1.351676546421101)</f>
        <v>1.351676546</v>
      </c>
      <c r="X372" s="30">
        <f>IFERROR(__xludf.DUMMYFUNCTION("""COMPUTED_VALUE"""),2.67006541732595)</f>
        <v>2.670065417</v>
      </c>
      <c r="Y372" s="30">
        <f>IFERROR(__xludf.DUMMYFUNCTION("""COMPUTED_VALUE"""),353.5447893996217)</f>
        <v>353.5447894</v>
      </c>
      <c r="Z372" s="30">
        <f>IFERROR(__xludf.DUMMYFUNCTION("""COMPUTED_VALUE"""),0.7898241615208158)</f>
        <v>0.7898241615</v>
      </c>
      <c r="AA372" s="30">
        <f>IFERROR(__xludf.DUMMYFUNCTION("""COMPUTED_VALUE"""),0.580892624867981)</f>
        <v>0.5808926249</v>
      </c>
      <c r="AB372" s="30">
        <f>IFERROR(__xludf.DUMMYFUNCTION("""COMPUTED_VALUE"""),1.3585127644418933)</f>
        <v>1.358512764</v>
      </c>
      <c r="AC372" s="30">
        <f>IFERROR(__xludf.DUMMYFUNCTION("""COMPUTED_VALUE"""),2.639969135797518)</f>
        <v>2.639969136</v>
      </c>
      <c r="AD372" s="30">
        <f>IFERROR(__xludf.DUMMYFUNCTION("""COMPUTED_VALUE"""),1.0055790724084441)</f>
        <v>1.005579072</v>
      </c>
      <c r="AE372" s="30">
        <f>IFERROR(__xludf.DUMMYFUNCTION("""COMPUTED_VALUE"""),1.0914694782916203)</f>
        <v>1.091469478</v>
      </c>
      <c r="AF372" s="30">
        <f>IFERROR(__xludf.DUMMYFUNCTION("""COMPUTED_VALUE"""),1.068510131822516)</f>
        <v>1.068510132</v>
      </c>
      <c r="AG372" s="30">
        <f>IFERROR(__xludf.DUMMYFUNCTION("""COMPUTED_VALUE"""),0.9391608988596212)</f>
        <v>0.9391608989</v>
      </c>
      <c r="AH372" s="30">
        <f>IFERROR(__xludf.DUMMYFUNCTION("""COMPUTED_VALUE"""),1.136376921730079)</f>
        <v>1.136376922</v>
      </c>
      <c r="AI372" s="30">
        <f>IFERROR(__xludf.DUMMYFUNCTION("""COMPUTED_VALUE"""),1.0472346132807022)</f>
        <v>1.047234613</v>
      </c>
      <c r="AJ372" s="30">
        <f>IFERROR(__xludf.DUMMYFUNCTION("""COMPUTED_VALUE"""),1.0755629200872254)</f>
        <v>1.07556292</v>
      </c>
      <c r="AK372" s="30">
        <f>IFERROR(__xludf.DUMMYFUNCTION("""COMPUTED_VALUE"""),1.1956691449603234)</f>
        <v>1.195669145</v>
      </c>
      <c r="AL372" s="30">
        <f>IFERROR(__xludf.DUMMYFUNCTION("""COMPUTED_VALUE"""),1.0289477918246417)</f>
        <v>1.028947792</v>
      </c>
      <c r="AM372" s="30">
        <f>IFERROR(__xludf.DUMMYFUNCTION("""COMPUTED_VALUE"""),0.9599833675130106)</f>
        <v>0.9599833675</v>
      </c>
      <c r="AN372" s="30">
        <f>IFERROR(__xludf.DUMMYFUNCTION("""COMPUTED_VALUE"""),1.0296571586010494)</f>
        <v>1.029657159</v>
      </c>
      <c r="AO372" s="30">
        <f>IFERROR(__xludf.DUMMYFUNCTION("""COMPUTED_VALUE"""),1.142801944531674)</f>
        <v>1.142801945</v>
      </c>
      <c r="AP372" s="30">
        <f>IFERROR(__xludf.DUMMYFUNCTION("""COMPUTED_VALUE"""),1.1510759931518473)</f>
        <v>1.151075993</v>
      </c>
      <c r="AQ372" s="30">
        <f>IFERROR(__xludf.DUMMYFUNCTION("""COMPUTED_VALUE"""),0.9446326635798915)</f>
        <v>0.9446326636</v>
      </c>
      <c r="AR372" s="30">
        <f>IFERROR(__xludf.DUMMYFUNCTION("""COMPUTED_VALUE"""),1.1715630156217407)</f>
        <v>1.171563016</v>
      </c>
      <c r="AS372" s="30">
        <f>IFERROR(__xludf.DUMMYFUNCTION("""COMPUTED_VALUE"""),61.0)</f>
        <v>61</v>
      </c>
      <c r="AT372" s="30">
        <f>IFERROR(__xludf.DUMMYFUNCTION("""COMPUTED_VALUE"""),0.4098772031627852)</f>
        <v>0.4098772032</v>
      </c>
      <c r="AU372" s="30">
        <f>IFERROR(__xludf.DUMMYFUNCTION("""COMPUTED_VALUE"""),2.7323998007883263)</f>
        <v>2.732399801</v>
      </c>
      <c r="AV372" s="32">
        <f>IFERROR(__xludf.DUMMYFUNCTION("""COMPUTED_VALUE"""),61.22788158274105)</f>
        <v>61.22788158</v>
      </c>
      <c r="AW372" s="32">
        <f>IFERROR(__xludf.DUMMYFUNCTION("""COMPUTED_VALUE"""),3.0611533787415937)</f>
        <v>3.061153379</v>
      </c>
      <c r="AX372" s="32">
        <f>IFERROR(__xludf.DUMMYFUNCTION("""COMPUTED_VALUE"""),56.37460659035254)</f>
        <v>56.37460659</v>
      </c>
      <c r="AY372" s="32">
        <f>IFERROR(__xludf.DUMMYFUNCTION("""COMPUTED_VALUE"""),2.5039585913351337)</f>
        <v>2.503958591</v>
      </c>
      <c r="AZ372" s="30">
        <f>IFERROR(__xludf.DUMMYFUNCTION("""COMPUTED_VALUE"""),0.55719478740646)</f>
        <v>0.5571947874</v>
      </c>
      <c r="BA372" s="30">
        <f>IFERROR(__xludf.DUMMYFUNCTION("""COMPUTED_VALUE"""),1200.0)</f>
        <v>1200</v>
      </c>
    </row>
    <row r="373">
      <c r="A373" s="71" t="str">
        <f>IFERROR(__xludf.DUMMYFUNCTION("""COMPUTED_VALUE"""),"Veteran")</f>
        <v>Veteran</v>
      </c>
      <c r="B373" s="71" t="str">
        <f>IFERROR(__xludf.DUMMYFUNCTION("""COMPUTED_VALUE"""),"RSC007900")</f>
        <v>RSC007900</v>
      </c>
      <c r="C373" s="30" t="str">
        <f>IFERROR(__xludf.DUMMYFUNCTION("""COMPUTED_VALUE"""),"Car.")</f>
        <v>Car.</v>
      </c>
      <c r="D373" s="30" t="str">
        <f>IFERROR(__xludf.DUMMYFUNCTION("""COMPUTED_VALUE"""),"Supernova")</f>
        <v>Supernova</v>
      </c>
      <c r="E373" s="30">
        <f>IFERROR(__xludf.DUMMYFUNCTION("""COMPUTED_VALUE"""),16.0)</f>
        <v>16</v>
      </c>
      <c r="F373" s="30">
        <f>IFERROR(__xludf.DUMMYFUNCTION("""COMPUTED_VALUE"""),6.0)</f>
        <v>6</v>
      </c>
      <c r="G373" s="42">
        <f>IFERROR(__xludf.DUMMYFUNCTION("""COMPUTED_VALUE"""),10.0)</f>
        <v>10</v>
      </c>
      <c r="H373" s="42">
        <f>IFERROR(__xludf.DUMMYFUNCTION("""COMPUTED_VALUE"""),0.375)</f>
        <v>0.375</v>
      </c>
      <c r="I373" s="42">
        <f>IFERROR(__xludf.DUMMYFUNCTION("""COMPUTED_VALUE"""),0.2653061224489796)</f>
        <v>0.2653061224</v>
      </c>
      <c r="J373" s="30">
        <f>IFERROR(__xludf.DUMMYFUNCTION("""COMPUTED_VALUE"""),369.125)</f>
        <v>369.125</v>
      </c>
      <c r="K373" s="30">
        <f>IFERROR(__xludf.DUMMYFUNCTION("""COMPUTED_VALUE"""),0.8125)</f>
        <v>0.8125</v>
      </c>
      <c r="L373" s="30">
        <f>IFERROR(__xludf.DUMMYFUNCTION("""COMPUTED_VALUE"""),0.5625)</f>
        <v>0.5625</v>
      </c>
      <c r="M373" s="30">
        <f>IFERROR(__xludf.DUMMYFUNCTION("""COMPUTED_VALUE"""),1.0625)</f>
        <v>1.0625</v>
      </c>
      <c r="N373" s="30">
        <f>IFERROR(__xludf.DUMMYFUNCTION("""COMPUTED_VALUE"""),3.0625)</f>
        <v>3.0625</v>
      </c>
      <c r="O373" s="30">
        <f>IFERROR(__xludf.DUMMYFUNCTION("""COMPUTED_VALUE"""),361.35416666666674)</f>
        <v>361.3541667</v>
      </c>
      <c r="P373" s="30">
        <f>IFERROR(__xludf.DUMMYFUNCTION("""COMPUTED_VALUE"""),0.9791666666666667)</f>
        <v>0.9791666667</v>
      </c>
      <c r="Q373" s="30">
        <f>IFERROR(__xludf.DUMMYFUNCTION("""COMPUTED_VALUE"""),0.7083333333333333)</f>
        <v>0.7083333333</v>
      </c>
      <c r="R373" s="30">
        <f>IFERROR(__xludf.DUMMYFUNCTION("""COMPUTED_VALUE"""),1.1458333333333333)</f>
        <v>1.145833333</v>
      </c>
      <c r="S373" s="30">
        <f>IFERROR(__xludf.DUMMYFUNCTION("""COMPUTED_VALUE"""),2.7291666666666665)</f>
        <v>2.729166667</v>
      </c>
      <c r="T373" s="30">
        <f>IFERROR(__xludf.DUMMYFUNCTION("""COMPUTED_VALUE"""),356.13916576886044)</f>
        <v>356.1391658</v>
      </c>
      <c r="U373" s="30">
        <f>IFERROR(__xludf.DUMMYFUNCTION("""COMPUTED_VALUE"""),0.7844841806454382)</f>
        <v>0.7844841806</v>
      </c>
      <c r="V373" s="30">
        <f>IFERROR(__xludf.DUMMYFUNCTION("""COMPUTED_VALUE"""),0.5324668730352379)</f>
        <v>0.532466873</v>
      </c>
      <c r="W373" s="30">
        <f>IFERROR(__xludf.DUMMYFUNCTION("""COMPUTED_VALUE"""),1.431577918148769)</f>
        <v>1.431577918</v>
      </c>
      <c r="X373" s="30">
        <f>IFERROR(__xludf.DUMMYFUNCTION("""COMPUTED_VALUE"""),2.505741596259527)</f>
        <v>2.505741596</v>
      </c>
      <c r="Y373" s="30">
        <f>IFERROR(__xludf.DUMMYFUNCTION("""COMPUTED_VALUE"""),344.2493534349091)</f>
        <v>344.2493534</v>
      </c>
      <c r="Z373" s="30">
        <f>IFERROR(__xludf.DUMMYFUNCTION("""COMPUTED_VALUE"""),0.7746096886197424)</f>
        <v>0.7746096886</v>
      </c>
      <c r="AA373" s="30">
        <f>IFERROR(__xludf.DUMMYFUNCTION("""COMPUTED_VALUE"""),0.5517338117433659)</f>
        <v>0.5517338117</v>
      </c>
      <c r="AB373" s="30">
        <f>IFERROR(__xludf.DUMMYFUNCTION("""COMPUTED_VALUE"""),1.2839255033528205)</f>
        <v>1.283925503</v>
      </c>
      <c r="AC373" s="30">
        <f>IFERROR(__xludf.DUMMYFUNCTION("""COMPUTED_VALUE"""),2.7404604549285434)</f>
        <v>2.740460455</v>
      </c>
      <c r="AD373" s="30">
        <f>IFERROR(__xludf.DUMMYFUNCTION("""COMPUTED_VALUE"""),1.0722605469462252)</f>
        <v>1.072260547</v>
      </c>
      <c r="AE373" s="30">
        <f>IFERROR(__xludf.DUMMYFUNCTION("""COMPUTED_VALUE"""),1.048915359486109)</f>
        <v>1.048915359</v>
      </c>
      <c r="AF373" s="30">
        <f>IFERROR(__xludf.DUMMYFUNCTION("""COMPUTED_VALUE"""),1.0195133740718467)</f>
        <v>1.019513374</v>
      </c>
      <c r="AG373" s="30">
        <f>IFERROR(__xludf.DUMMYFUNCTION("""COMPUTED_VALUE"""),0.8275402250562094)</f>
        <v>0.8275402251</v>
      </c>
      <c r="AH373" s="30">
        <f>IFERROR(__xludf.DUMMYFUNCTION("""COMPUTED_VALUE"""),1.1175129327235096)</f>
        <v>1.117512933</v>
      </c>
      <c r="AI373" s="30">
        <f>IFERROR(__xludf.DUMMYFUNCTION("""COMPUTED_VALUE"""),1.014643154696417)</f>
        <v>1.014643155</v>
      </c>
      <c r="AJ373" s="30">
        <f>IFERROR(__xludf.DUMMYFUNCTION("""COMPUTED_VALUE"""),1.2481662356289358)</f>
        <v>1.248166236</v>
      </c>
      <c r="AK373" s="30">
        <f>IFERROR(__xludf.DUMMYFUNCTION("""COMPUTED_VALUE"""),1.3302862003331741)</f>
        <v>1.3302862</v>
      </c>
      <c r="AL373" s="30">
        <f>IFERROR(__xludf.DUMMYFUNCTION("""COMPUTED_VALUE"""),0.8003988597526404)</f>
        <v>0.8003988598</v>
      </c>
      <c r="AM373" s="30">
        <f>IFERROR(__xludf.DUMMYFUNCTION("""COMPUTED_VALUE"""),1.089165247821507)</f>
        <v>1.089165248</v>
      </c>
      <c r="AN373" s="30">
        <f>IFERROR(__xludf.DUMMYFUNCTION("""COMPUTED_VALUE"""),1.0690682600766013)</f>
        <v>1.06906826</v>
      </c>
      <c r="AO373" s="30">
        <f>IFERROR(__xludf.DUMMYFUNCTION("""COMPUTED_VALUE"""),1.0770908327211026)</f>
        <v>1.077090833</v>
      </c>
      <c r="AP373" s="30">
        <f>IFERROR(__xludf.DUMMYFUNCTION("""COMPUTED_VALUE"""),1.0431626187938616)</f>
        <v>1.043162619</v>
      </c>
      <c r="AQ373" s="30">
        <f>IFERROR(__xludf.DUMMYFUNCTION("""COMPUTED_VALUE"""),0.7866619985555514)</f>
        <v>0.7866619986</v>
      </c>
      <c r="AR373" s="30">
        <f>IFERROR(__xludf.DUMMYFUNCTION("""COMPUTED_VALUE"""),1.1959705784471937)</f>
        <v>1.195970578</v>
      </c>
      <c r="AS373" s="30">
        <f>IFERROR(__xludf.DUMMYFUNCTION("""COMPUTED_VALUE"""),36.0)</f>
        <v>36</v>
      </c>
      <c r="AT373" s="30">
        <f>IFERROR(__xludf.DUMMYFUNCTION("""COMPUTED_VALUE"""),0.3946849622818207)</f>
        <v>0.3946849623</v>
      </c>
      <c r="AU373" s="30">
        <f>IFERROR(__xludf.DUMMYFUNCTION("""COMPUTED_VALUE"""),2.5361648721615966)</f>
        <v>2.536164872</v>
      </c>
      <c r="AV373" s="32">
        <f>IFERROR(__xludf.DUMMYFUNCTION("""COMPUTED_VALUE"""),55.149290355926134)</f>
        <v>55.14929036</v>
      </c>
      <c r="AW373" s="32">
        <f>IFERROR(__xludf.DUMMYFUNCTION("""COMPUTED_VALUE"""),2.390019990360271)</f>
        <v>2.39001999</v>
      </c>
      <c r="AX373" s="32">
        <f>IFERROR(__xludf.DUMMYFUNCTION("""COMPUTED_VALUE"""),60.2652131777223)</f>
        <v>60.26521318</v>
      </c>
      <c r="AY373" s="32">
        <f>IFERROR(__xludf.DUMMYFUNCTION("""COMPUTED_VALUE"""),2.9353075386294205)</f>
        <v>2.935307539</v>
      </c>
      <c r="AZ373" s="30">
        <f>IFERROR(__xludf.DUMMYFUNCTION("""COMPUTED_VALUE"""),0.5452875482691497)</f>
        <v>0.5452875483</v>
      </c>
      <c r="BA373" s="30">
        <f>IFERROR(__xludf.DUMMYFUNCTION("""COMPUTED_VALUE"""),1200.0)</f>
        <v>1200</v>
      </c>
    </row>
    <row r="374">
      <c r="A374" s="71" t="str">
        <f>IFERROR(__xludf.DUMMYFUNCTION("""COMPUTED_VALUE"""),"Veteran")</f>
        <v>Veteran</v>
      </c>
      <c r="B374" s="71" t="str">
        <f>IFERROR(__xludf.DUMMYFUNCTION("""COMPUTED_VALUE"""),"RSC008028")</f>
        <v>RSC008028</v>
      </c>
      <c r="C374" s="30" t="str">
        <f>IFERROR(__xludf.DUMMYFUNCTION("""COMPUTED_VALUE"""),"krozex.")</f>
        <v>krozex.</v>
      </c>
      <c r="D374" s="30"/>
      <c r="E374" s="30">
        <f>IFERROR(__xludf.DUMMYFUNCTION("""COMPUTED_VALUE"""),4.0)</f>
        <v>4</v>
      </c>
      <c r="F374" s="30">
        <f>IFERROR(__xludf.DUMMYFUNCTION("""COMPUTED_VALUE"""),2.0)</f>
        <v>2</v>
      </c>
      <c r="G374" s="42">
        <f>IFERROR(__xludf.DUMMYFUNCTION("""COMPUTED_VALUE"""),2.0)</f>
        <v>2</v>
      </c>
      <c r="H374" s="42">
        <f>IFERROR(__xludf.DUMMYFUNCTION("""COMPUTED_VALUE"""),0.5)</f>
        <v>0.5</v>
      </c>
      <c r="I374" s="42">
        <f>IFERROR(__xludf.DUMMYFUNCTION("""COMPUTED_VALUE"""),0.14285714285714285)</f>
        <v>0.1428571429</v>
      </c>
      <c r="J374" s="30">
        <f>IFERROR(__xludf.DUMMYFUNCTION("""COMPUTED_VALUE"""),274.75)</f>
        <v>274.75</v>
      </c>
      <c r="K374" s="30">
        <f>IFERROR(__xludf.DUMMYFUNCTION("""COMPUTED_VALUE"""),0.25)</f>
        <v>0.25</v>
      </c>
      <c r="L374" s="30">
        <f>IFERROR(__xludf.DUMMYFUNCTION("""COMPUTED_VALUE"""),0.5)</f>
        <v>0.5</v>
      </c>
      <c r="M374" s="30">
        <f>IFERROR(__xludf.DUMMYFUNCTION("""COMPUTED_VALUE"""),1.0)</f>
        <v>1</v>
      </c>
      <c r="N374" s="30">
        <f>IFERROR(__xludf.DUMMYFUNCTION("""COMPUTED_VALUE"""),1.75)</f>
        <v>1.75</v>
      </c>
      <c r="O374" s="30">
        <f>IFERROR(__xludf.DUMMYFUNCTION("""COMPUTED_VALUE"""),352.6666666666667)</f>
        <v>352.6666667</v>
      </c>
      <c r="P374" s="30">
        <f>IFERROR(__xludf.DUMMYFUNCTION("""COMPUTED_VALUE"""),0.6666666666666666)</f>
        <v>0.6666666667</v>
      </c>
      <c r="Q374" s="30">
        <f>IFERROR(__xludf.DUMMYFUNCTION("""COMPUTED_VALUE"""),0.49999999999999994)</f>
        <v>0.5</v>
      </c>
      <c r="R374" s="30">
        <f>IFERROR(__xludf.DUMMYFUNCTION("""COMPUTED_VALUE"""),1.666666666666667)</f>
        <v>1.666666667</v>
      </c>
      <c r="S374" s="30">
        <f>IFERROR(__xludf.DUMMYFUNCTION("""COMPUTED_VALUE"""),2.5)</f>
        <v>2.5</v>
      </c>
      <c r="T374" s="30">
        <f>IFERROR(__xludf.DUMMYFUNCTION("""COMPUTED_VALUE"""),345.00982216708024)</f>
        <v>345.0098222</v>
      </c>
      <c r="U374" s="30">
        <f>IFERROR(__xludf.DUMMYFUNCTION("""COMPUTED_VALUE"""),0.7756151778329198)</f>
        <v>0.7756151778</v>
      </c>
      <c r="V374" s="30">
        <f>IFERROR(__xludf.DUMMYFUNCTION("""COMPUTED_VALUE"""),0.5602770885028949)</f>
        <v>0.5602770885</v>
      </c>
      <c r="W374" s="30">
        <f>IFERROR(__xludf.DUMMYFUNCTION("""COMPUTED_VALUE"""),1.4053453267162945)</f>
        <v>1.405345327</v>
      </c>
      <c r="X374" s="30">
        <f>IFERROR(__xludf.DUMMYFUNCTION("""COMPUTED_VALUE"""),2.5627843258891647)</f>
        <v>2.562784326</v>
      </c>
      <c r="Y374" s="30">
        <f>IFERROR(__xludf.DUMMYFUNCTION("""COMPUTED_VALUE"""),342.3536669423766)</f>
        <v>342.3536669</v>
      </c>
      <c r="Z374" s="30">
        <f>IFERROR(__xludf.DUMMYFUNCTION("""COMPUTED_VALUE"""),0.7875137854976564)</f>
        <v>0.7875137855</v>
      </c>
      <c r="AA374" s="30">
        <f>IFERROR(__xludf.DUMMYFUNCTION("""COMPUTED_VALUE"""),0.5547715053763441)</f>
        <v>0.5547715054</v>
      </c>
      <c r="AB374" s="30">
        <f>IFERROR(__xludf.DUMMYFUNCTION("""COMPUTED_VALUE"""),1.2917959057071957)</f>
        <v>1.291795906</v>
      </c>
      <c r="AC374" s="30">
        <f>IFERROR(__xludf.DUMMYFUNCTION("""COMPUTED_VALUE"""),2.557571684587814)</f>
        <v>2.557571685</v>
      </c>
      <c r="AD374" s="30">
        <f>IFERROR(__xludf.DUMMYFUNCTION("""COMPUTED_VALUE"""),0.8025326629442665)</f>
        <v>0.8025326629</v>
      </c>
      <c r="AE374" s="30">
        <f>IFERROR(__xludf.DUMMYFUNCTION("""COMPUTED_VALUE"""),0.3174547602897092)</f>
        <v>0.3174547603</v>
      </c>
      <c r="AF374" s="30">
        <f>IFERROR(__xludf.DUMMYFUNCTION("""COMPUTED_VALUE"""),0.9012719563900665)</f>
        <v>0.9012719564</v>
      </c>
      <c r="AG374" s="30">
        <f>IFERROR(__xludf.DUMMYFUNCTION("""COMPUTED_VALUE"""),0.7741160934029655)</f>
        <v>0.7741160934</v>
      </c>
      <c r="AH374" s="30">
        <f>IFERROR(__xludf.DUMMYFUNCTION("""COMPUTED_VALUE"""),0.6842427958307786)</f>
        <v>0.6842427958</v>
      </c>
      <c r="AI374" s="30">
        <f>IFERROR(__xludf.DUMMYFUNCTION("""COMPUTED_VALUE"""),1.0221931203334798)</f>
        <v>1.02219312</v>
      </c>
      <c r="AJ374" s="30">
        <f>IFERROR(__xludf.DUMMYFUNCTION("""COMPUTED_VALUE"""),0.8595327756856733)</f>
        <v>0.8595327757</v>
      </c>
      <c r="AK374" s="30">
        <f>IFERROR(__xludf.DUMMYFUNCTION("""COMPUTED_VALUE"""),0.8924155748293042)</f>
        <v>0.8924155748</v>
      </c>
      <c r="AL374" s="30">
        <f>IFERROR(__xludf.DUMMYFUNCTION("""COMPUTED_VALUE"""),1.1859481331616701)</f>
        <v>1.185948133</v>
      </c>
      <c r="AM374" s="30">
        <f>IFERROR(__xludf.DUMMYFUNCTION("""COMPUTED_VALUE"""),0.9755015179174777)</f>
        <v>0.9755015179</v>
      </c>
      <c r="AN374" s="30">
        <f>IFERROR(__xludf.DUMMYFUNCTION("""COMPUTED_VALUE"""),0.7957372284620283)</f>
        <v>0.7957372285</v>
      </c>
      <c r="AO374" s="30">
        <f>IFERROR(__xludf.DUMMYFUNCTION("""COMPUTED_VALUE"""),0.33141256391418544)</f>
        <v>0.3314125639</v>
      </c>
      <c r="AP374" s="30">
        <f>IFERROR(__xludf.DUMMYFUNCTION("""COMPUTED_VALUE"""),0.9272556611500992)</f>
        <v>0.9272556612</v>
      </c>
      <c r="AQ374" s="30">
        <f>IFERROR(__xludf.DUMMYFUNCTION("""COMPUTED_VALUE"""),0.7403877633464013)</f>
        <v>0.7403877633</v>
      </c>
      <c r="AR374" s="30">
        <f>IFERROR(__xludf.DUMMYFUNCTION("""COMPUTED_VALUE"""),0.683411759112682)</f>
        <v>0.6834117591</v>
      </c>
      <c r="AS374" s="30">
        <f>IFERROR(__xludf.DUMMYFUNCTION("""COMPUTED_VALUE"""),6.0)</f>
        <v>6</v>
      </c>
      <c r="AT374" s="30">
        <f>IFERROR(__xludf.DUMMYFUNCTION("""COMPUTED_VALUE"""),0.39839556112833874)</f>
        <v>0.3983955611</v>
      </c>
      <c r="AU374" s="30">
        <f>IFERROR(__xludf.DUMMYFUNCTION("""COMPUTED_VALUE"""),1.3233436518733672)</f>
        <v>1.323343652</v>
      </c>
      <c r="AV374" s="32">
        <f>IFERROR(__xludf.DUMMYFUNCTION("""COMPUTED_VALUE"""),17.580828508024524)</f>
        <v>17.58082851</v>
      </c>
      <c r="AW374" s="32">
        <f>IFERROR(__xludf.DUMMYFUNCTION("""COMPUTED_VALUE"""),-10.271611363429656)</f>
        <v>-10.27161136</v>
      </c>
      <c r="AX374" s="32">
        <f>IFERROR(__xludf.DUMMYFUNCTION("""COMPUTED_VALUE"""),18.353155097720286)</f>
        <v>18.3531551</v>
      </c>
      <c r="AY374" s="32">
        <f>IFERROR(__xludf.DUMMYFUNCTION("""COMPUTED_VALUE"""),-9.729601281653878)</f>
        <v>-9.729601282</v>
      </c>
      <c r="AZ374" s="30">
        <f>IFERROR(__xludf.DUMMYFUNCTION("""COMPUTED_VALUE"""),0.5420100817757785)</f>
        <v>0.5420100818</v>
      </c>
      <c r="BA374" s="30">
        <f>IFERROR(__xludf.DUMMYFUNCTION("""COMPUTED_VALUE"""),1200.0)</f>
        <v>1200</v>
      </c>
    </row>
    <row r="375">
      <c r="A375" s="71" t="str">
        <f>IFERROR(__xludf.DUMMYFUNCTION("""COMPUTED_VALUE"""),"Veteran")</f>
        <v>Veteran</v>
      </c>
      <c r="B375" s="71" t="str">
        <f>IFERROR(__xludf.DUMMYFUNCTION("""COMPUTED_VALUE"""),"RSC000601")</f>
        <v>RSC000601</v>
      </c>
      <c r="C375" s="30" t="str">
        <f>IFERROR(__xludf.DUMMYFUNCTION("""COMPUTED_VALUE"""),"Bxffledd")</f>
        <v>Bxffledd</v>
      </c>
      <c r="D375" s="30"/>
      <c r="E375" s="30">
        <f>IFERROR(__xludf.DUMMYFUNCTION("""COMPUTED_VALUE"""),6.0)</f>
        <v>6</v>
      </c>
      <c r="F375" s="30">
        <f>IFERROR(__xludf.DUMMYFUNCTION("""COMPUTED_VALUE"""),3.0)</f>
        <v>3</v>
      </c>
      <c r="G375" s="42">
        <f>IFERROR(__xludf.DUMMYFUNCTION("""COMPUTED_VALUE"""),3.0)</f>
        <v>3</v>
      </c>
      <c r="H375" s="42">
        <f>IFERROR(__xludf.DUMMYFUNCTION("""COMPUTED_VALUE"""),0.5)</f>
        <v>0.5</v>
      </c>
      <c r="I375" s="42">
        <f>IFERROR(__xludf.DUMMYFUNCTION("""COMPUTED_VALUE"""),0.375)</f>
        <v>0.375</v>
      </c>
      <c r="J375" s="30">
        <f>IFERROR(__xludf.DUMMYFUNCTION("""COMPUTED_VALUE"""),373.0)</f>
        <v>373</v>
      </c>
      <c r="K375" s="30">
        <f>IFERROR(__xludf.DUMMYFUNCTION("""COMPUTED_VALUE"""),1.0)</f>
        <v>1</v>
      </c>
      <c r="L375" s="30">
        <f>IFERROR(__xludf.DUMMYFUNCTION("""COMPUTED_VALUE"""),0.3333333333333333)</f>
        <v>0.3333333333</v>
      </c>
      <c r="M375" s="30">
        <f>IFERROR(__xludf.DUMMYFUNCTION("""COMPUTED_VALUE"""),1.5)</f>
        <v>1.5</v>
      </c>
      <c r="N375" s="30">
        <f>IFERROR(__xludf.DUMMYFUNCTION("""COMPUTED_VALUE"""),2.6666666666666665)</f>
        <v>2.666666667</v>
      </c>
      <c r="O375" s="30">
        <f>IFERROR(__xludf.DUMMYFUNCTION("""COMPUTED_VALUE"""),378.5)</f>
        <v>378.5</v>
      </c>
      <c r="P375" s="30">
        <f>IFERROR(__xludf.DUMMYFUNCTION("""COMPUTED_VALUE"""),0.9444444444444443)</f>
        <v>0.9444444444</v>
      </c>
      <c r="Q375" s="30">
        <f>IFERROR(__xludf.DUMMYFUNCTION("""COMPUTED_VALUE"""),0.7777777777777777)</f>
        <v>0.7777777778</v>
      </c>
      <c r="R375" s="30">
        <f>IFERROR(__xludf.DUMMYFUNCTION("""COMPUTED_VALUE"""),1.1666666666666665)</f>
        <v>1.166666667</v>
      </c>
      <c r="S375" s="30">
        <f>IFERROR(__xludf.DUMMYFUNCTION("""COMPUTED_VALUE"""),2.8888888888888893)</f>
        <v>2.888888889</v>
      </c>
      <c r="T375" s="30">
        <f>IFERROR(__xludf.DUMMYFUNCTION("""COMPUTED_VALUE"""),356.23604269293924)</f>
        <v>356.2360427</v>
      </c>
      <c r="U375" s="30">
        <f>IFERROR(__xludf.DUMMYFUNCTION("""COMPUTED_VALUE"""),0.801070364288755)</f>
        <v>0.8010703643</v>
      </c>
      <c r="V375" s="30">
        <f>IFERROR(__xludf.DUMMYFUNCTION("""COMPUTED_VALUE"""),0.5876892902754971)</f>
        <v>0.5876892903</v>
      </c>
      <c r="W375" s="30">
        <f>IFERROR(__xludf.DUMMYFUNCTION("""COMPUTED_VALUE"""),1.397220701818403)</f>
        <v>1.397220702</v>
      </c>
      <c r="X375" s="30">
        <f>IFERROR(__xludf.DUMMYFUNCTION("""COMPUTED_VALUE"""),2.6431536216018974)</f>
        <v>2.643153622</v>
      </c>
      <c r="Y375" s="30">
        <f>IFERROR(__xludf.DUMMYFUNCTION("""COMPUTED_VALUE"""),364.686092359464)</f>
        <v>364.6860924</v>
      </c>
      <c r="Z375" s="30">
        <f>IFERROR(__xludf.DUMMYFUNCTION("""COMPUTED_VALUE"""),0.830642218573253)</f>
        <v>0.8306422186</v>
      </c>
      <c r="AA375" s="30">
        <f>IFERROR(__xludf.DUMMYFUNCTION("""COMPUTED_VALUE"""),0.5935099028968761)</f>
        <v>0.5935099029</v>
      </c>
      <c r="AB375" s="30">
        <f>IFERROR(__xludf.DUMMYFUNCTION("""COMPUTED_VALUE"""),1.3393642684830425)</f>
        <v>1.339364268</v>
      </c>
      <c r="AC375" s="30">
        <f>IFERROR(__xludf.DUMMYFUNCTION("""COMPUTED_VALUE"""),2.61498814085021)</f>
        <v>2.614988141</v>
      </c>
      <c r="AD375" s="30">
        <f>IFERROR(__xludf.DUMMYFUNCTION("""COMPUTED_VALUE"""),1.022797435423836)</f>
        <v>1.022797435</v>
      </c>
      <c r="AE375" s="30">
        <f>IFERROR(__xludf.DUMMYFUNCTION("""COMPUTED_VALUE"""),1.2038877601449673)</f>
        <v>1.20388776</v>
      </c>
      <c r="AF375" s="30">
        <f>IFERROR(__xludf.DUMMYFUNCTION("""COMPUTED_VALUE"""),0.5616306176297295)</f>
        <v>0.5616306176</v>
      </c>
      <c r="AG375" s="30">
        <f>IFERROR(__xludf.DUMMYFUNCTION("""COMPUTED_VALUE"""),1.1199343115961222)</f>
        <v>1.119934312</v>
      </c>
      <c r="AH375" s="30">
        <f>IFERROR(__xludf.DUMMYFUNCTION("""COMPUTED_VALUE"""),1.0197624321920076)</f>
        <v>1.019762432</v>
      </c>
      <c r="AI375" s="30">
        <f>IFERROR(__xludf.DUMMYFUNCTION("""COMPUTED_VALUE"""),1.0624977673195504)</f>
        <v>1.062497767</v>
      </c>
      <c r="AJ375" s="30">
        <f>IFERROR(__xludf.DUMMYFUNCTION("""COMPUTED_VALUE"""),1.1789781354388096)</f>
        <v>1.178978135</v>
      </c>
      <c r="AK375" s="30">
        <f>IFERROR(__xludf.DUMMYFUNCTION("""COMPUTED_VALUE"""),1.3234506577670844)</f>
        <v>1.323450658</v>
      </c>
      <c r="AL375" s="30">
        <f>IFERROR(__xludf.DUMMYFUNCTION("""COMPUTED_VALUE"""),0.8349909682474046)</f>
        <v>0.8349909682</v>
      </c>
      <c r="AM375" s="30">
        <f>IFERROR(__xludf.DUMMYFUNCTION("""COMPUTED_VALUE"""),1.0929704824111066)</f>
        <v>1.092970482</v>
      </c>
      <c r="AN375" s="30">
        <f>IFERROR(__xludf.DUMMYFUNCTION("""COMPUTED_VALUE"""),1.0802911236263386)</f>
        <v>1.080291124</v>
      </c>
      <c r="AO375" s="30">
        <f>IFERROR(__xludf.DUMMYFUNCTION("""COMPUTED_VALUE"""),1.3256502556567418)</f>
        <v>1.325650256</v>
      </c>
      <c r="AP375" s="30">
        <f>IFERROR(__xludf.DUMMYFUNCTION("""COMPUTED_VALUE"""),0.6181704407667327)</f>
        <v>0.6181704408</v>
      </c>
      <c r="AQ375" s="30">
        <f>IFERROR(__xludf.DUMMYFUNCTION("""COMPUTED_VALUE"""),1.110581645019602)</f>
        <v>1.110581645</v>
      </c>
      <c r="AR375" s="30">
        <f>IFERROR(__xludf.DUMMYFUNCTION("""COMPUTED_VALUE"""),1.041389347219325)</f>
        <v>1.041389347</v>
      </c>
      <c r="AS375" s="30">
        <f>IFERROR(__xludf.DUMMYFUNCTION("""COMPUTED_VALUE"""),17.0)</f>
        <v>17</v>
      </c>
      <c r="AT375" s="30">
        <f>IFERROR(__xludf.DUMMYFUNCTION("""COMPUTED_VALUE"""),0.5)</f>
        <v>0.5</v>
      </c>
      <c r="AU375" s="30">
        <f>IFERROR(__xludf.DUMMYFUNCTION("""COMPUTED_VALUE"""),2.2841921385663086)</f>
        <v>2.284192139</v>
      </c>
      <c r="AV375" s="32">
        <f>IFERROR(__xludf.DUMMYFUNCTION("""COMPUTED_VALUE"""),47.34415974769322)</f>
        <v>47.34415975</v>
      </c>
      <c r="AW375" s="32">
        <f>IFERROR(__xludf.DUMMYFUNCTION("""COMPUTED_VALUE"""),-2.1848443784096423)</f>
        <v>-2.184844378</v>
      </c>
      <c r="AX375" s="32">
        <f>IFERROR(__xludf.DUMMYFUNCTION("""COMPUTED_VALUE"""),41.61323684030001)</f>
        <v>41.61323684</v>
      </c>
      <c r="AY375" s="32">
        <f>IFERROR(__xludf.DUMMYFUNCTION("""COMPUTED_VALUE"""),-2.7127097628920445)</f>
        <v>-2.712709763</v>
      </c>
      <c r="AZ375" s="30">
        <f>IFERROR(__xludf.DUMMYFUNCTION("""COMPUTED_VALUE"""),0.5278653844824022)</f>
        <v>0.5278653845</v>
      </c>
      <c r="BA375" s="30">
        <f>IFERROR(__xludf.DUMMYFUNCTION("""COMPUTED_VALUE"""),1200.0)</f>
        <v>1200</v>
      </c>
    </row>
    <row r="376">
      <c r="A376" s="71" t="str">
        <f>IFERROR(__xludf.DUMMYFUNCTION("""COMPUTED_VALUE"""),"Veteran")</f>
        <v>Veteran</v>
      </c>
      <c r="B376" s="71" t="str">
        <f>IFERROR(__xludf.DUMMYFUNCTION("""COMPUTED_VALUE"""),"RSC004239")</f>
        <v>RSC004239</v>
      </c>
      <c r="C376" s="30" t="str">
        <f>IFERROR(__xludf.DUMMYFUNCTION("""COMPUTED_VALUE"""),"Nitro")</f>
        <v>Nitro</v>
      </c>
      <c r="D376" s="30" t="str">
        <f>IFERROR(__xludf.DUMMYFUNCTION("""COMPUTED_VALUE"""),"Slots")</f>
        <v>Slots</v>
      </c>
      <c r="E376" s="30">
        <f>IFERROR(__xludf.DUMMYFUNCTION("""COMPUTED_VALUE"""),31.0)</f>
        <v>31</v>
      </c>
      <c r="F376" s="30">
        <f>IFERROR(__xludf.DUMMYFUNCTION("""COMPUTED_VALUE"""),14.0)</f>
        <v>14</v>
      </c>
      <c r="G376" s="42">
        <f>IFERROR(__xludf.DUMMYFUNCTION("""COMPUTED_VALUE"""),17.0)</f>
        <v>17</v>
      </c>
      <c r="H376" s="42">
        <f>IFERROR(__xludf.DUMMYFUNCTION("""COMPUTED_VALUE"""),0.45161290322580644)</f>
        <v>0.4516129032</v>
      </c>
      <c r="I376" s="42">
        <f>IFERROR(__xludf.DUMMYFUNCTION("""COMPUTED_VALUE"""),0.22222222222222224)</f>
        <v>0.2222222222</v>
      </c>
      <c r="J376" s="30">
        <f>IFERROR(__xludf.DUMMYFUNCTION("""COMPUTED_VALUE"""),342.741935483871)</f>
        <v>342.7419355</v>
      </c>
      <c r="K376" s="30">
        <f>IFERROR(__xludf.DUMMYFUNCTION("""COMPUTED_VALUE"""),0.5806451612903226)</f>
        <v>0.5806451613</v>
      </c>
      <c r="L376" s="30">
        <f>IFERROR(__xludf.DUMMYFUNCTION("""COMPUTED_VALUE"""),0.4838709677419355)</f>
        <v>0.4838709677</v>
      </c>
      <c r="M376" s="30">
        <f>IFERROR(__xludf.DUMMYFUNCTION("""COMPUTED_VALUE"""),1.8709677419354838)</f>
        <v>1.870967742</v>
      </c>
      <c r="N376" s="30">
        <f>IFERROR(__xludf.DUMMYFUNCTION("""COMPUTED_VALUE"""),2.6129032258064515)</f>
        <v>2.612903226</v>
      </c>
      <c r="O376" s="30">
        <f>IFERROR(__xludf.DUMMYFUNCTION("""COMPUTED_VALUE"""),387.6989247311828)</f>
        <v>387.6989247</v>
      </c>
      <c r="P376" s="30">
        <f>IFERROR(__xludf.DUMMYFUNCTION("""COMPUTED_VALUE"""),0.9354838709677421)</f>
        <v>0.935483871</v>
      </c>
      <c r="Q376" s="30">
        <f>IFERROR(__xludf.DUMMYFUNCTION("""COMPUTED_VALUE"""),0.6881720430107525)</f>
        <v>0.688172043</v>
      </c>
      <c r="R376" s="30">
        <f>IFERROR(__xludf.DUMMYFUNCTION("""COMPUTED_VALUE"""),1.4838709677419357)</f>
        <v>1.483870968</v>
      </c>
      <c r="S376" s="30">
        <f>IFERROR(__xludf.DUMMYFUNCTION("""COMPUTED_VALUE"""),2.9784946236559144)</f>
        <v>2.978494624</v>
      </c>
      <c r="T376" s="30">
        <f>IFERROR(__xludf.DUMMYFUNCTION("""COMPUTED_VALUE"""),360.0989414106204)</f>
        <v>360.0989414</v>
      </c>
      <c r="U376" s="30">
        <f>IFERROR(__xludf.DUMMYFUNCTION("""COMPUTED_VALUE"""),0.8145744087967615)</f>
        <v>0.8145744088</v>
      </c>
      <c r="V376" s="30">
        <f>IFERROR(__xludf.DUMMYFUNCTION("""COMPUTED_VALUE"""),0.6258177561880247)</f>
        <v>0.6258177562</v>
      </c>
      <c r="W376" s="30">
        <f>IFERROR(__xludf.DUMMYFUNCTION("""COMPUTED_VALUE"""),1.329759415197206)</f>
        <v>1.329759415</v>
      </c>
      <c r="X376" s="30">
        <f>IFERROR(__xludf.DUMMYFUNCTION("""COMPUTED_VALUE"""),2.6629379577661334)</f>
        <v>2.662937958</v>
      </c>
      <c r="Y376" s="30">
        <f>IFERROR(__xludf.DUMMYFUNCTION("""COMPUTED_VALUE"""),355.8558589997911)</f>
        <v>355.855859</v>
      </c>
      <c r="Z376" s="30">
        <f>IFERROR(__xludf.DUMMYFUNCTION("""COMPUTED_VALUE"""),0.7985948537884197)</f>
        <v>0.7985948538</v>
      </c>
      <c r="AA376" s="30">
        <f>IFERROR(__xludf.DUMMYFUNCTION("""COMPUTED_VALUE"""),0.5871776796438405)</f>
        <v>0.5871776796</v>
      </c>
      <c r="AB376" s="30">
        <f>IFERROR(__xludf.DUMMYFUNCTION("""COMPUTED_VALUE"""),1.3393025330123574)</f>
        <v>1.339302533</v>
      </c>
      <c r="AC376" s="30">
        <f>IFERROR(__xludf.DUMMYFUNCTION("""COMPUTED_VALUE"""),2.6408667757618844)</f>
        <v>2.640866776</v>
      </c>
      <c r="AD376" s="30">
        <f>IFERROR(__xludf.DUMMYFUNCTION("""COMPUTED_VALUE"""),0.9631482152555262)</f>
        <v>0.9631482153</v>
      </c>
      <c r="AE376" s="30">
        <f>IFERROR(__xludf.DUMMYFUNCTION("""COMPUTED_VALUE"""),0.7270835249386157)</f>
        <v>0.7270835249</v>
      </c>
      <c r="AF376" s="30">
        <f>IFERROR(__xludf.DUMMYFUNCTION("""COMPUTED_VALUE"""),0.824062263462455)</f>
        <v>0.8240622635</v>
      </c>
      <c r="AG376" s="30">
        <f>IFERROR(__xludf.DUMMYFUNCTION("""COMPUTED_VALUE"""),1.3969717041655298)</f>
        <v>1.396971704</v>
      </c>
      <c r="AH376" s="30">
        <f>IFERROR(__xludf.DUMMYFUNCTION("""COMPUTED_VALUE"""),0.9894112227803065)</f>
        <v>0.9894112228</v>
      </c>
      <c r="AI376" s="30">
        <f>IFERROR(__xludf.DUMMYFUNCTION("""COMPUTED_VALUE"""),1.0766455552811252)</f>
        <v>1.076645555</v>
      </c>
      <c r="AJ376" s="30">
        <f>IFERROR(__xludf.DUMMYFUNCTION("""COMPUTED_VALUE"""),1.1484326795259632)</f>
        <v>1.14843268</v>
      </c>
      <c r="AK376" s="30">
        <f>IFERROR(__xludf.DUMMYFUNCTION("""COMPUTED_VALUE"""),1.0996364935417295)</f>
        <v>1.099636494</v>
      </c>
      <c r="AL376" s="30">
        <f>IFERROR(__xludf.DUMMYFUNCTION("""COMPUTED_VALUE"""),1.115894311996185)</f>
        <v>1.115894312</v>
      </c>
      <c r="AM376" s="30">
        <f>IFERROR(__xludf.DUMMYFUNCTION("""COMPUTED_VALUE"""),1.1184994434322055)</f>
        <v>1.118499443</v>
      </c>
      <c r="AN376" s="30">
        <f>IFERROR(__xludf.DUMMYFUNCTION("""COMPUTED_VALUE"""),0.9926570257311985)</f>
        <v>0.9926570257</v>
      </c>
      <c r="AO376" s="30">
        <f>IFERROR(__xludf.DUMMYFUNCTION("""COMPUTED_VALUE"""),0.7697324065103662)</f>
        <v>0.7697324065</v>
      </c>
      <c r="AP376" s="30">
        <f>IFERROR(__xludf.DUMMYFUNCTION("""COMPUTED_VALUE"""),0.8973441882097734)</f>
        <v>0.8973441882</v>
      </c>
      <c r="AQ376" s="30">
        <f>IFERROR(__xludf.DUMMYFUNCTION("""COMPUTED_VALUE"""),1.38524162174488)</f>
        <v>1.385241622</v>
      </c>
      <c r="AR376" s="30">
        <f>IFERROR(__xludf.DUMMYFUNCTION("""COMPUTED_VALUE"""),1.0203935942511935)</f>
        <v>1.020393594</v>
      </c>
      <c r="AS376" s="30">
        <f>IFERROR(__xludf.DUMMYFUNCTION("""COMPUTED_VALUE"""),72.0)</f>
        <v>72</v>
      </c>
      <c r="AT376" s="30">
        <f>IFERROR(__xludf.DUMMYFUNCTION("""COMPUTED_VALUE"""),0.4249341412679472)</f>
        <v>0.4249341413</v>
      </c>
      <c r="AU376" s="30">
        <f>IFERROR(__xludf.DUMMYFUNCTION("""COMPUTED_VALUE"""),1.9211373911117022)</f>
        <v>1.921137391</v>
      </c>
      <c r="AV376" s="32">
        <f>IFERROR(__xludf.DUMMYFUNCTION("""COMPUTED_VALUE"""),36.09814244498928)</f>
        <v>36.09814244</v>
      </c>
      <c r="AW376" s="32">
        <f>IFERROR(__xludf.DUMMYFUNCTION("""COMPUTED_VALUE"""),-3.459249665605512)</f>
        <v>-3.459249666</v>
      </c>
      <c r="AX376" s="32">
        <f>IFERROR(__xludf.DUMMYFUNCTION("""COMPUTED_VALUE"""),33.22926620911801)</f>
        <v>33.22926621</v>
      </c>
      <c r="AY376" s="32">
        <f>IFERROR(__xludf.DUMMYFUNCTION("""COMPUTED_VALUE"""),-3.98145242951774)</f>
        <v>-3.98145243</v>
      </c>
      <c r="AZ376" s="30">
        <f>IFERROR(__xludf.DUMMYFUNCTION("""COMPUTED_VALUE"""),0.5222027639122282)</f>
        <v>0.5222027639</v>
      </c>
      <c r="BA376" s="30">
        <f>IFERROR(__xludf.DUMMYFUNCTION("""COMPUTED_VALUE"""),1200.0)</f>
        <v>1200</v>
      </c>
    </row>
    <row r="377">
      <c r="A377" s="71" t="str">
        <f>IFERROR(__xludf.DUMMYFUNCTION("""COMPUTED_VALUE"""),"Veteran")</f>
        <v>Veteran</v>
      </c>
      <c r="B377" s="71" t="str">
        <f>IFERROR(__xludf.DUMMYFUNCTION("""COMPUTED_VALUE"""),"RSC007908")</f>
        <v>RSC007908</v>
      </c>
      <c r="C377" s="30" t="str">
        <f>IFERROR(__xludf.DUMMYFUNCTION("""COMPUTED_VALUE"""),"C01E01")</f>
        <v>C01E01</v>
      </c>
      <c r="D377" s="30" t="str">
        <f>IFERROR(__xludf.DUMMYFUNCTION("""COMPUTED_VALUE"""),"Rockin Revenants")</f>
        <v>Rockin Revenants</v>
      </c>
      <c r="E377" s="30">
        <f>IFERROR(__xludf.DUMMYFUNCTION("""COMPUTED_VALUE"""),28.0)</f>
        <v>28</v>
      </c>
      <c r="F377" s="30">
        <f>IFERROR(__xludf.DUMMYFUNCTION("""COMPUTED_VALUE"""),14.0)</f>
        <v>14</v>
      </c>
      <c r="G377" s="42">
        <f>IFERROR(__xludf.DUMMYFUNCTION("""COMPUTED_VALUE"""),14.0)</f>
        <v>14</v>
      </c>
      <c r="H377" s="42">
        <f>IFERROR(__xludf.DUMMYFUNCTION("""COMPUTED_VALUE"""),0.5)</f>
        <v>0.5</v>
      </c>
      <c r="I377" s="42">
        <f>IFERROR(__xludf.DUMMYFUNCTION("""COMPUTED_VALUE"""),0.37974683544303794)</f>
        <v>0.3797468354</v>
      </c>
      <c r="J377" s="30">
        <f>IFERROR(__xludf.DUMMYFUNCTION("""COMPUTED_VALUE"""),409.89285714285717)</f>
        <v>409.8928571</v>
      </c>
      <c r="K377" s="30">
        <f>IFERROR(__xludf.DUMMYFUNCTION("""COMPUTED_VALUE"""),1.0714285714285714)</f>
        <v>1.071428571</v>
      </c>
      <c r="L377" s="30">
        <f>IFERROR(__xludf.DUMMYFUNCTION("""COMPUTED_VALUE"""),0.32142857142857145)</f>
        <v>0.3214285714</v>
      </c>
      <c r="M377" s="30">
        <f>IFERROR(__xludf.DUMMYFUNCTION("""COMPUTED_VALUE"""),1.5714285714285714)</f>
        <v>1.571428571</v>
      </c>
      <c r="N377" s="30">
        <f>IFERROR(__xludf.DUMMYFUNCTION("""COMPUTED_VALUE"""),2.8214285714285716)</f>
        <v>2.821428571</v>
      </c>
      <c r="O377" s="30">
        <f>IFERROR(__xludf.DUMMYFUNCTION("""COMPUTED_VALUE"""),350.75)</f>
        <v>350.75</v>
      </c>
      <c r="P377" s="30">
        <f>IFERROR(__xludf.DUMMYFUNCTION("""COMPUTED_VALUE"""),0.726190476190476)</f>
        <v>0.7261904762</v>
      </c>
      <c r="Q377" s="30">
        <f>IFERROR(__xludf.DUMMYFUNCTION("""COMPUTED_VALUE"""),0.6309523809523808)</f>
        <v>0.630952381</v>
      </c>
      <c r="R377" s="30">
        <f>IFERROR(__xludf.DUMMYFUNCTION("""COMPUTED_VALUE"""),1.2738095238095237)</f>
        <v>1.273809524</v>
      </c>
      <c r="S377" s="30">
        <f>IFERROR(__xludf.DUMMYFUNCTION("""COMPUTED_VALUE"""),2.547619047619047)</f>
        <v>2.547619048</v>
      </c>
      <c r="T377" s="30">
        <f>IFERROR(__xludf.DUMMYFUNCTION("""COMPUTED_VALUE"""),369.8921400172972)</f>
        <v>369.89214</v>
      </c>
      <c r="U377" s="30">
        <f>IFERROR(__xludf.DUMMYFUNCTION("""COMPUTED_VALUE"""),0.8463337951668123)</f>
        <v>0.8463337952</v>
      </c>
      <c r="V377" s="30">
        <f>IFERROR(__xludf.DUMMYFUNCTION("""COMPUTED_VALUE"""),0.6378490715282528)</f>
        <v>0.6378490715</v>
      </c>
      <c r="W377" s="30">
        <f>IFERROR(__xludf.DUMMYFUNCTION("""COMPUTED_VALUE"""),1.3863350537347554)</f>
        <v>1.386335054</v>
      </c>
      <c r="X377" s="30">
        <f>IFERROR(__xludf.DUMMYFUNCTION("""COMPUTED_VALUE"""),2.7868905788121703)</f>
        <v>2.786890579</v>
      </c>
      <c r="Y377" s="30">
        <f>IFERROR(__xludf.DUMMYFUNCTION("""COMPUTED_VALUE"""),359.69901856740296)</f>
        <v>359.6990186</v>
      </c>
      <c r="Z377" s="30">
        <f>IFERROR(__xludf.DUMMYFUNCTION("""COMPUTED_VALUE"""),0.8010439593997697)</f>
        <v>0.8010439594</v>
      </c>
      <c r="AA377" s="30">
        <f>IFERROR(__xludf.DUMMYFUNCTION("""COMPUTED_VALUE"""),0.5826335366882713)</f>
        <v>0.5826335367</v>
      </c>
      <c r="AB377" s="30">
        <f>IFERROR(__xludf.DUMMYFUNCTION("""COMPUTED_VALUE"""),1.388460824592681)</f>
        <v>1.388460825</v>
      </c>
      <c r="AC377" s="30">
        <f>IFERROR(__xludf.DUMMYFUNCTION("""COMPUTED_VALUE"""),2.6721851996473616)</f>
        <v>2.6721852</v>
      </c>
      <c r="AD377" s="30">
        <f>IFERROR(__xludf.DUMMYFUNCTION("""COMPUTED_VALUE"""),1.139543996465057)</f>
        <v>1.139543996</v>
      </c>
      <c r="AE377" s="30">
        <f>IFERROR(__xludf.DUMMYFUNCTION("""COMPUTED_VALUE"""),1.337540292085098)</f>
        <v>1.337540292</v>
      </c>
      <c r="AF377" s="30">
        <f>IFERROR(__xludf.DUMMYFUNCTION("""COMPUTED_VALUE"""),0.5516822345235967)</f>
        <v>0.5516822345</v>
      </c>
      <c r="AG377" s="30">
        <f>IFERROR(__xludf.DUMMYFUNCTION("""COMPUTED_VALUE"""),1.131777392343472)</f>
        <v>1.131777392</v>
      </c>
      <c r="AH377" s="30">
        <f>IFERROR(__xludf.DUMMYFUNCTION("""COMPUTED_VALUE"""),1.0558506842268662)</f>
        <v>1.055850684</v>
      </c>
      <c r="AI377" s="30">
        <f>IFERROR(__xludf.DUMMYFUNCTION("""COMPUTED_VALUE"""),0.9482494004430533)</f>
        <v>0.9482494004</v>
      </c>
      <c r="AJ377" s="30">
        <f>IFERROR(__xludf.DUMMYFUNCTION("""COMPUTED_VALUE"""),0.8580426308597827)</f>
        <v>0.8580426309</v>
      </c>
      <c r="AK377" s="30">
        <f>IFERROR(__xludf.DUMMYFUNCTION("""COMPUTED_VALUE"""),0.9891875823235929)</f>
        <v>0.9891875823</v>
      </c>
      <c r="AL377" s="30">
        <f>IFERROR(__xludf.DUMMYFUNCTION("""COMPUTED_VALUE"""),0.91883237055711)</f>
        <v>0.9188323706</v>
      </c>
      <c r="AM377" s="30">
        <f>IFERROR(__xludf.DUMMYFUNCTION("""COMPUTED_VALUE"""),0.9141439089814909)</f>
        <v>0.914143909</v>
      </c>
      <c r="AN377" s="30">
        <f>IFERROR(__xludf.DUMMYFUNCTION("""COMPUTED_VALUE"""),1.187141059542272)</f>
        <v>1.18714106</v>
      </c>
      <c r="AO377" s="30">
        <f>IFERROR(__xludf.DUMMYFUNCTION("""COMPUTED_VALUE"""),1.4203395596322232)</f>
        <v>1.42033956</v>
      </c>
      <c r="AP377" s="30">
        <f>IFERROR(__xludf.DUMMYFUNCTION("""COMPUTED_VALUE"""),0.5960929250250637)</f>
        <v>0.596092925</v>
      </c>
      <c r="AQ377" s="30">
        <f>IFERROR(__xludf.DUMMYFUNCTION("""COMPUTED_VALUE"""),1.1634664852586307)</f>
        <v>1.163466485</v>
      </c>
      <c r="AR377" s="30">
        <f>IFERROR(__xludf.DUMMYFUNCTION("""COMPUTED_VALUE"""),1.1018271218347324)</f>
        <v>1.101827122</v>
      </c>
      <c r="AS377" s="30">
        <f>IFERROR(__xludf.DUMMYFUNCTION("""COMPUTED_VALUE"""),65.0)</f>
        <v>65</v>
      </c>
      <c r="AT377" s="30">
        <f>IFERROR(__xludf.DUMMYFUNCTION("""COMPUTED_VALUE"""),0.5244304481389113)</f>
        <v>0.5244304481</v>
      </c>
      <c r="AU377" s="30">
        <f>IFERROR(__xludf.DUMMYFUNCTION("""COMPUTED_VALUE"""),2.8117144215509278)</f>
        <v>2.811714422</v>
      </c>
      <c r="AV377" s="32">
        <f>IFERROR(__xludf.DUMMYFUNCTION("""COMPUTED_VALUE"""),63.68473858215308)</f>
        <v>63.68473858</v>
      </c>
      <c r="AW377" s="32">
        <f>IFERROR(__xludf.DUMMYFUNCTION("""COMPUTED_VALUE"""),3.4240059314010023)</f>
        <v>3.424005931</v>
      </c>
      <c r="AX377" s="32">
        <f>IFERROR(__xludf.DUMMYFUNCTION("""COMPUTED_VALUE"""),66.45475256749734)</f>
        <v>66.45475257</v>
      </c>
      <c r="AY377" s="32">
        <f>IFERROR(__xludf.DUMMYFUNCTION("""COMPUTED_VALUE"""),3.9183725895619568)</f>
        <v>3.91837259</v>
      </c>
      <c r="AZ377" s="30">
        <f>IFERROR(__xludf.DUMMYFUNCTION("""COMPUTED_VALUE"""),0.4943666581609545)</f>
        <v>0.4943666582</v>
      </c>
      <c r="BA377" s="30">
        <f>IFERROR(__xludf.DUMMYFUNCTION("""COMPUTED_VALUE"""),1200.0)</f>
        <v>1200</v>
      </c>
    </row>
    <row r="378">
      <c r="A378" s="71" t="str">
        <f>IFERROR(__xludf.DUMMYFUNCTION("""COMPUTED_VALUE"""),"Veteran")</f>
        <v>Veteran</v>
      </c>
      <c r="B378" s="71" t="str">
        <f>IFERROR(__xludf.DUMMYFUNCTION("""COMPUTED_VALUE"""),"RSC006060")</f>
        <v>RSC006060</v>
      </c>
      <c r="C378" s="30" t="str">
        <f>IFERROR(__xludf.DUMMYFUNCTION("""COMPUTED_VALUE"""),"WP_Merciless")</f>
        <v>WP_Merciless</v>
      </c>
      <c r="D378" s="30" t="str">
        <f>IFERROR(__xludf.DUMMYFUNCTION("""COMPUTED_VALUE"""),"Rulers")</f>
        <v>Rulers</v>
      </c>
      <c r="E378" s="30">
        <f>IFERROR(__xludf.DUMMYFUNCTION("""COMPUTED_VALUE"""),30.0)</f>
        <v>30</v>
      </c>
      <c r="F378" s="30">
        <f>IFERROR(__xludf.DUMMYFUNCTION("""COMPUTED_VALUE"""),16.0)</f>
        <v>16</v>
      </c>
      <c r="G378" s="42">
        <f>IFERROR(__xludf.DUMMYFUNCTION("""COMPUTED_VALUE"""),14.0)</f>
        <v>14</v>
      </c>
      <c r="H378" s="42">
        <f>IFERROR(__xludf.DUMMYFUNCTION("""COMPUTED_VALUE"""),0.5333333333333333)</f>
        <v>0.5333333333</v>
      </c>
      <c r="I378" s="42">
        <f>IFERROR(__xludf.DUMMYFUNCTION("""COMPUTED_VALUE"""),0.30588235294117644)</f>
        <v>0.3058823529</v>
      </c>
      <c r="J378" s="30">
        <f>IFERROR(__xludf.DUMMYFUNCTION("""COMPUTED_VALUE"""),389.8333333333333)</f>
        <v>389.8333333</v>
      </c>
      <c r="K378" s="30">
        <f>IFERROR(__xludf.DUMMYFUNCTION("""COMPUTED_VALUE"""),0.8666666666666667)</f>
        <v>0.8666666667</v>
      </c>
      <c r="L378" s="30">
        <f>IFERROR(__xludf.DUMMYFUNCTION("""COMPUTED_VALUE"""),0.3333333333333333)</f>
        <v>0.3333333333</v>
      </c>
      <c r="M378" s="30">
        <f>IFERROR(__xludf.DUMMYFUNCTION("""COMPUTED_VALUE"""),1.7666666666666666)</f>
        <v>1.766666667</v>
      </c>
      <c r="N378" s="30">
        <f>IFERROR(__xludf.DUMMYFUNCTION("""COMPUTED_VALUE"""),2.8333333333333335)</f>
        <v>2.833333333</v>
      </c>
      <c r="O378" s="30">
        <f>IFERROR(__xludf.DUMMYFUNCTION("""COMPUTED_VALUE"""),326.31111111111113)</f>
        <v>326.3111111</v>
      </c>
      <c r="P378" s="30">
        <f>IFERROR(__xludf.DUMMYFUNCTION("""COMPUTED_VALUE"""),0.6888888888888888)</f>
        <v>0.6888888889</v>
      </c>
      <c r="Q378" s="30">
        <f>IFERROR(__xludf.DUMMYFUNCTION("""COMPUTED_VALUE"""),0.5000000000000001)</f>
        <v>0.5</v>
      </c>
      <c r="R378" s="30">
        <f>IFERROR(__xludf.DUMMYFUNCTION("""COMPUTED_VALUE"""),1.188888888888889)</f>
        <v>1.188888889</v>
      </c>
      <c r="S378" s="30">
        <f>IFERROR(__xludf.DUMMYFUNCTION("""COMPUTED_VALUE"""),2.855555555555556)</f>
        <v>2.855555556</v>
      </c>
      <c r="T378" s="30">
        <f>IFERROR(__xludf.DUMMYFUNCTION("""COMPUTED_VALUE"""),357.85580030930697)</f>
        <v>357.8558003</v>
      </c>
      <c r="U378" s="30">
        <f>IFERROR(__xludf.DUMMYFUNCTION("""COMPUTED_VALUE"""),0.8718071692893764)</f>
        <v>0.8718071693</v>
      </c>
      <c r="V378" s="30">
        <f>IFERROR(__xludf.DUMMYFUNCTION("""COMPUTED_VALUE"""),0.5716177785210597)</f>
        <v>0.5716177785</v>
      </c>
      <c r="W378" s="30">
        <f>IFERROR(__xludf.DUMMYFUNCTION("""COMPUTED_VALUE"""),1.2831605393654932)</f>
        <v>1.283160539</v>
      </c>
      <c r="X378" s="30">
        <f>IFERROR(__xludf.DUMMYFUNCTION("""COMPUTED_VALUE"""),2.749201290917861)</f>
        <v>2.749201291</v>
      </c>
      <c r="Y378" s="30">
        <f>IFERROR(__xludf.DUMMYFUNCTION("""COMPUTED_VALUE"""),351.0832223102036)</f>
        <v>351.0832223</v>
      </c>
      <c r="Z378" s="30">
        <f>IFERROR(__xludf.DUMMYFUNCTION("""COMPUTED_VALUE"""),0.7677386445440059)</f>
        <v>0.7677386445</v>
      </c>
      <c r="AA378" s="30">
        <f>IFERROR(__xludf.DUMMYFUNCTION("""COMPUTED_VALUE"""),0.5526312572537073)</f>
        <v>0.5526312573</v>
      </c>
      <c r="AB378" s="30">
        <f>IFERROR(__xludf.DUMMYFUNCTION("""COMPUTED_VALUE"""),1.407466908805208)</f>
        <v>1.407466909</v>
      </c>
      <c r="AC378" s="30">
        <f>IFERROR(__xludf.DUMMYFUNCTION("""COMPUTED_VALUE"""),2.501588739173364)</f>
        <v>2.501588739</v>
      </c>
      <c r="AD378" s="30">
        <f>IFERROR(__xludf.DUMMYFUNCTION("""COMPUTED_VALUE"""),1.1103730071979674)</f>
        <v>1.110373007</v>
      </c>
      <c r="AE378" s="30">
        <f>IFERROR(__xludf.DUMMYFUNCTION("""COMPUTED_VALUE"""),1.1288563794797883)</f>
        <v>1.128856379</v>
      </c>
      <c r="AF378" s="30">
        <f>IFERROR(__xludf.DUMMYFUNCTION("""COMPUTED_VALUE"""),0.6031749542901866)</f>
        <v>0.6031749543</v>
      </c>
      <c r="AG378" s="30">
        <f>IFERROR(__xludf.DUMMYFUNCTION("""COMPUTED_VALUE"""),1.2552100909899058)</f>
        <v>1.255210091</v>
      </c>
      <c r="AH378" s="30">
        <f>IFERROR(__xludf.DUMMYFUNCTION("""COMPUTED_VALUE"""),1.132613562319437)</f>
        <v>1.132613562</v>
      </c>
      <c r="AI378" s="30">
        <f>IFERROR(__xludf.DUMMYFUNCTION("""COMPUTED_VALUE"""),0.9118508372061297)</f>
        <v>0.9118508372</v>
      </c>
      <c r="AJ378" s="30">
        <f>IFERROR(__xludf.DUMMYFUNCTION("""COMPUTED_VALUE"""),0.7901849321225619)</f>
        <v>0.7901849321</v>
      </c>
      <c r="AK378" s="30">
        <f>IFERROR(__xludf.DUMMYFUNCTION("""COMPUTED_VALUE"""),0.8747103725388747)</f>
        <v>0.8747103725</v>
      </c>
      <c r="AL378" s="30">
        <f>IFERROR(__xludf.DUMMYFUNCTION("""COMPUTED_VALUE"""),0.926531678940797)</f>
        <v>0.9265316789</v>
      </c>
      <c r="AM378" s="30">
        <f>IFERROR(__xludf.DUMMYFUNCTION("""COMPUTED_VALUE"""),1.0386855138578037)</f>
        <v>1.038685514</v>
      </c>
      <c r="AN378" s="30">
        <f>IFERROR(__xludf.DUMMYFUNCTION("""COMPUTED_VALUE"""),1.1290442082940153)</f>
        <v>1.129044208</v>
      </c>
      <c r="AO378" s="30">
        <f>IFERROR(__xludf.DUMMYFUNCTION("""COMPUTED_VALUE"""),1.1488968882358428)</f>
        <v>1.148896888</v>
      </c>
      <c r="AP378" s="30">
        <f>IFERROR(__xludf.DUMMYFUNCTION("""COMPUTED_VALUE"""),0.6181704407667327)</f>
        <v>0.6181704408</v>
      </c>
      <c r="AQ378" s="30">
        <f>IFERROR(__xludf.DUMMYFUNCTION("""COMPUTED_VALUE"""),1.3080183819119757)</f>
        <v>1.308018382</v>
      </c>
      <c r="AR378" s="30">
        <f>IFERROR(__xludf.DUMMYFUNCTION("""COMPUTED_VALUE"""),1.1064761814205328)</f>
        <v>1.106476181</v>
      </c>
      <c r="AS378" s="30">
        <f>IFERROR(__xludf.DUMMYFUNCTION("""COMPUTED_VALUE"""),62.0)</f>
        <v>62</v>
      </c>
      <c r="AT378" s="30">
        <f>IFERROR(__xludf.DUMMYFUNCTION("""COMPUTED_VALUE"""),0.5000000000000001)</f>
        <v>0.5</v>
      </c>
      <c r="AU378" s="30">
        <f>IFERROR(__xludf.DUMMYFUNCTION("""COMPUTED_VALUE"""),2.586017218461868)</f>
        <v>2.586017218</v>
      </c>
      <c r="AV378" s="32">
        <f>IFERROR(__xludf.DUMMYFUNCTION("""COMPUTED_VALUE"""),56.693521227451484)</f>
        <v>56.69352123</v>
      </c>
      <c r="AW378" s="32">
        <f>IFERROR(__xludf.DUMMYFUNCTION("""COMPUTED_VALUE"""),2.5351794033630823)</f>
        <v>2.535179403</v>
      </c>
      <c r="AX378" s="32">
        <f>IFERROR(__xludf.DUMMYFUNCTION("""COMPUTED_VALUE"""),60.990671014266155)</f>
        <v>60.99067101</v>
      </c>
      <c r="AY378" s="32">
        <f>IFERROR(__xludf.DUMMYFUNCTION("""COMPUTED_VALUE"""),3.029351090706824)</f>
        <v>3.029351091</v>
      </c>
      <c r="AZ378" s="30">
        <f>IFERROR(__xludf.DUMMYFUNCTION("""COMPUTED_VALUE"""),0.4941716873437416)</f>
        <v>0.4941716873</v>
      </c>
      <c r="BA378" s="30">
        <f>IFERROR(__xludf.DUMMYFUNCTION("""COMPUTED_VALUE"""),1200.0)</f>
        <v>1200</v>
      </c>
    </row>
    <row r="379">
      <c r="A379" s="71" t="str">
        <f>IFERROR(__xludf.DUMMYFUNCTION("""COMPUTED_VALUE"""),"Veteran")</f>
        <v>Veteran</v>
      </c>
      <c r="B379" s="71" t="str">
        <f>IFERROR(__xludf.DUMMYFUNCTION("""COMPUTED_VALUE"""),"RSC007795")</f>
        <v>RSC007795</v>
      </c>
      <c r="C379" s="30" t="str">
        <f>IFERROR(__xludf.DUMMYFUNCTION("""COMPUTED_VALUE"""),"Gizmeaux")</f>
        <v>Gizmeaux</v>
      </c>
      <c r="D379" s="30" t="str">
        <f>IFERROR(__xludf.DUMMYFUNCTION("""COMPUTED_VALUE"""),"Gouda Gangsters")</f>
        <v>Gouda Gangsters</v>
      </c>
      <c r="E379" s="30">
        <f>IFERROR(__xludf.DUMMYFUNCTION("""COMPUTED_VALUE"""),16.0)</f>
        <v>16</v>
      </c>
      <c r="F379" s="30">
        <f>IFERROR(__xludf.DUMMYFUNCTION("""COMPUTED_VALUE"""),6.0)</f>
        <v>6</v>
      </c>
      <c r="G379" s="42">
        <f>IFERROR(__xludf.DUMMYFUNCTION("""COMPUTED_VALUE"""),10.0)</f>
        <v>10</v>
      </c>
      <c r="H379" s="42">
        <f>IFERROR(__xludf.DUMMYFUNCTION("""COMPUTED_VALUE"""),0.375)</f>
        <v>0.375</v>
      </c>
      <c r="I379" s="42">
        <f>IFERROR(__xludf.DUMMYFUNCTION("""COMPUTED_VALUE"""),0.34210526315789475)</f>
        <v>0.3421052632</v>
      </c>
      <c r="J379" s="30">
        <f>IFERROR(__xludf.DUMMYFUNCTION("""COMPUTED_VALUE"""),332.125)</f>
        <v>332.125</v>
      </c>
      <c r="K379" s="30">
        <f>IFERROR(__xludf.DUMMYFUNCTION("""COMPUTED_VALUE"""),0.8125)</f>
        <v>0.8125</v>
      </c>
      <c r="L379" s="30">
        <f>IFERROR(__xludf.DUMMYFUNCTION("""COMPUTED_VALUE"""),0.5625)</f>
        <v>0.5625</v>
      </c>
      <c r="M379" s="30">
        <f>IFERROR(__xludf.DUMMYFUNCTION("""COMPUTED_VALUE"""),1.125)</f>
        <v>1.125</v>
      </c>
      <c r="N379" s="30">
        <f>IFERROR(__xludf.DUMMYFUNCTION("""COMPUTED_VALUE"""),2.375)</f>
        <v>2.375</v>
      </c>
      <c r="O379" s="30">
        <f>IFERROR(__xludf.DUMMYFUNCTION("""COMPUTED_VALUE"""),387.75)</f>
        <v>387.75</v>
      </c>
      <c r="P379" s="30">
        <f>IFERROR(__xludf.DUMMYFUNCTION("""COMPUTED_VALUE"""),1.0208333333333335)</f>
        <v>1.020833333</v>
      </c>
      <c r="Q379" s="30">
        <f>IFERROR(__xludf.DUMMYFUNCTION("""COMPUTED_VALUE"""),0.7291666666666667)</f>
        <v>0.7291666667</v>
      </c>
      <c r="R379" s="30">
        <f>IFERROR(__xludf.DUMMYFUNCTION("""COMPUTED_VALUE"""),1.2708333333333333)</f>
        <v>1.270833333</v>
      </c>
      <c r="S379" s="30">
        <f>IFERROR(__xludf.DUMMYFUNCTION("""COMPUTED_VALUE"""),2.5625000000000004)</f>
        <v>2.5625</v>
      </c>
      <c r="T379" s="30">
        <f>IFERROR(__xludf.DUMMYFUNCTION("""COMPUTED_VALUE"""),354.8268119531346)</f>
        <v>354.826812</v>
      </c>
      <c r="U379" s="30">
        <f>IFERROR(__xludf.DUMMYFUNCTION("""COMPUTED_VALUE"""),0.7995586988837532)</f>
        <v>0.7995586989</v>
      </c>
      <c r="V379" s="30">
        <f>IFERROR(__xludf.DUMMYFUNCTION("""COMPUTED_VALUE"""),0.5670821017796632)</f>
        <v>0.5670821018</v>
      </c>
      <c r="W379" s="30">
        <f>IFERROR(__xludf.DUMMYFUNCTION("""COMPUTED_VALUE"""),1.3778946955418445)</f>
        <v>1.377894696</v>
      </c>
      <c r="X379" s="30">
        <f>IFERROR(__xludf.DUMMYFUNCTION("""COMPUTED_VALUE"""),2.592543613498851)</f>
        <v>2.592543613</v>
      </c>
      <c r="Y379" s="30">
        <f>IFERROR(__xludf.DUMMYFUNCTION("""COMPUTED_VALUE"""),366.8055238386066)</f>
        <v>366.8055238</v>
      </c>
      <c r="Z379" s="30">
        <f>IFERROR(__xludf.DUMMYFUNCTION("""COMPUTED_VALUE"""),0.8825236009080142)</f>
        <v>0.8825236009</v>
      </c>
      <c r="AA379" s="30">
        <f>IFERROR(__xludf.DUMMYFUNCTION("""COMPUTED_VALUE"""),0.6490074694249033)</f>
        <v>0.6490074694</v>
      </c>
      <c r="AB379" s="30">
        <f>IFERROR(__xludf.DUMMYFUNCTION("""COMPUTED_VALUE"""),1.3506491541460357)</f>
        <v>1.350649154</v>
      </c>
      <c r="AC379" s="30">
        <f>IFERROR(__xludf.DUMMYFUNCTION("""COMPUTED_VALUE"""),2.7752566854247416)</f>
        <v>2.775256685</v>
      </c>
      <c r="AD379" s="30">
        <f>IFERROR(__xludf.DUMMYFUNCTION("""COMPUTED_VALUE"""),0.9054525584138533)</f>
        <v>0.9054525584</v>
      </c>
      <c r="AE379" s="30">
        <f>IFERROR(__xludf.DUMMYFUNCTION("""COMPUTED_VALUE"""),0.9206552653821745)</f>
        <v>0.9206552654</v>
      </c>
      <c r="AF379" s="30">
        <f>IFERROR(__xludf.DUMMYFUNCTION("""COMPUTED_VALUE"""),0.8667080526799499)</f>
        <v>0.8667080527</v>
      </c>
      <c r="AG379" s="30">
        <f>IFERROR(__xludf.DUMMYFUNCTION("""COMPUTED_VALUE"""),0.8329328134894475)</f>
        <v>0.8329328135</v>
      </c>
      <c r="AH379" s="30">
        <f>IFERROR(__xludf.DUMMYFUNCTION("""COMPUTED_VALUE"""),0.8557766971513542)</f>
        <v>0.8557766972</v>
      </c>
      <c r="AI379" s="30">
        <f>IFERROR(__xludf.DUMMYFUNCTION("""COMPUTED_VALUE"""),1.092786641081717)</f>
        <v>1.092786641</v>
      </c>
      <c r="AJ379" s="30">
        <f>IFERROR(__xludf.DUMMYFUNCTION("""COMPUTED_VALUE"""),1.2767459534346848)</f>
        <v>1.276745953</v>
      </c>
      <c r="AK379" s="30">
        <f>IFERROR(__xludf.DUMMYFUNCTION("""COMPUTED_VALUE"""),1.2858220430134129)</f>
        <v>1.285822043</v>
      </c>
      <c r="AL379" s="30">
        <f>IFERROR(__xludf.DUMMYFUNCTION("""COMPUTED_VALUE"""),0.922300766121746)</f>
        <v>0.9223007661</v>
      </c>
      <c r="AM379" s="30">
        <f>IFERROR(__xludf.DUMMYFUNCTION("""COMPUTED_VALUE"""),0.9884115301503823)</f>
        <v>0.9884115302</v>
      </c>
      <c r="AN379" s="30">
        <f>IFERROR(__xludf.DUMMYFUNCTION("""COMPUTED_VALUE"""),0.9619080145694309)</f>
        <v>0.9619080146</v>
      </c>
      <c r="AO379" s="30">
        <f>IFERROR(__xludf.DUMMYFUNCTION("""COMPUTED_VALUE"""),1.0770908327211026)</f>
        <v>1.077090833</v>
      </c>
      <c r="AP379" s="30">
        <f>IFERROR(__xludf.DUMMYFUNCTION("""COMPUTED_VALUE"""),1.0431626187938616)</f>
        <v>1.043162619</v>
      </c>
      <c r="AQ379" s="30">
        <f>IFERROR(__xludf.DUMMYFUNCTION("""COMPUTED_VALUE"""),0.8329362337647015)</f>
        <v>0.8329362338</v>
      </c>
      <c r="AR379" s="30">
        <f>IFERROR(__xludf.DUMMYFUNCTION("""COMPUTED_VALUE"""),0.9274873873672114)</f>
        <v>0.9274873874</v>
      </c>
      <c r="AS379" s="30">
        <f>IFERROR(__xludf.DUMMYFUNCTION("""COMPUTED_VALUE"""),44.0)</f>
        <v>44</v>
      </c>
      <c r="AT379" s="30">
        <f>IFERROR(__xludf.DUMMYFUNCTION("""COMPUTED_VALUE"""),0.45552674156856526)</f>
        <v>0.4555267416</v>
      </c>
      <c r="AU379" s="30">
        <f>IFERROR(__xludf.DUMMYFUNCTION("""COMPUTED_VALUE"""),2.1109981482112725)</f>
        <v>2.110998148</v>
      </c>
      <c r="AV379" s="32">
        <f>IFERROR(__xludf.DUMMYFUNCTION("""COMPUTED_VALUE"""),41.97928674737361)</f>
        <v>41.97928675</v>
      </c>
      <c r="AW379" s="32">
        <f>IFERROR(__xludf.DUMMYFUNCTION("""COMPUTED_VALUE"""),-2.6725807762110834)</f>
        <v>-2.672580776</v>
      </c>
      <c r="AX379" s="32">
        <f>IFERROR(__xludf.DUMMYFUNCTION("""COMPUTED_VALUE"""),38.04857284717335)</f>
        <v>38.04857285</v>
      </c>
      <c r="AY379" s="32">
        <f>IFERROR(__xludf.DUMMYFUNCTION("""COMPUTED_VALUE"""),-3.16150763415124)</f>
        <v>-3.161507634</v>
      </c>
      <c r="AZ379" s="30">
        <f>IFERROR(__xludf.DUMMYFUNCTION("""COMPUTED_VALUE"""),0.48892685794015645)</f>
        <v>0.4889268579</v>
      </c>
      <c r="BA379" s="30">
        <f>IFERROR(__xludf.DUMMYFUNCTION("""COMPUTED_VALUE"""),1200.0)</f>
        <v>1200</v>
      </c>
    </row>
    <row r="380">
      <c r="A380" s="71" t="str">
        <f>IFERROR(__xludf.DUMMYFUNCTION("""COMPUTED_VALUE"""),"Veteran")</f>
        <v>Veteran</v>
      </c>
      <c r="B380" s="71" t="str">
        <f>IFERROR(__xludf.DUMMYFUNCTION("""COMPUTED_VALUE"""),"RSC006836")</f>
        <v>RSC006836</v>
      </c>
      <c r="C380" s="30" t="str">
        <f>IFERROR(__xludf.DUMMYFUNCTION("""COMPUTED_VALUE"""),"BawaRL")</f>
        <v>BawaRL</v>
      </c>
      <c r="D380" s="30"/>
      <c r="E380" s="30">
        <f>IFERROR(__xludf.DUMMYFUNCTION("""COMPUTED_VALUE"""),20.0)</f>
        <v>20</v>
      </c>
      <c r="F380" s="30">
        <f>IFERROR(__xludf.DUMMYFUNCTION("""COMPUTED_VALUE"""),9.0)</f>
        <v>9</v>
      </c>
      <c r="G380" s="42">
        <f>IFERROR(__xludf.DUMMYFUNCTION("""COMPUTED_VALUE"""),11.0)</f>
        <v>11</v>
      </c>
      <c r="H380" s="42">
        <f>IFERROR(__xludf.DUMMYFUNCTION("""COMPUTED_VALUE"""),0.45)</f>
        <v>0.45</v>
      </c>
      <c r="I380" s="42">
        <f>IFERROR(__xludf.DUMMYFUNCTION("""COMPUTED_VALUE"""),0.26229508196721313)</f>
        <v>0.262295082</v>
      </c>
      <c r="J380" s="30">
        <f>IFERROR(__xludf.DUMMYFUNCTION("""COMPUTED_VALUE"""),371.75)</f>
        <v>371.75</v>
      </c>
      <c r="K380" s="30">
        <f>IFERROR(__xludf.DUMMYFUNCTION("""COMPUTED_VALUE"""),0.8)</f>
        <v>0.8</v>
      </c>
      <c r="L380" s="30">
        <f>IFERROR(__xludf.DUMMYFUNCTION("""COMPUTED_VALUE"""),0.65)</f>
        <v>0.65</v>
      </c>
      <c r="M380" s="30">
        <f>IFERROR(__xludf.DUMMYFUNCTION("""COMPUTED_VALUE"""),1.4)</f>
        <v>1.4</v>
      </c>
      <c r="N380" s="30">
        <f>IFERROR(__xludf.DUMMYFUNCTION("""COMPUTED_VALUE"""),3.05)</f>
        <v>3.05</v>
      </c>
      <c r="O380" s="30">
        <f>IFERROR(__xludf.DUMMYFUNCTION("""COMPUTED_VALUE"""),354.45000000000005)</f>
        <v>354.45</v>
      </c>
      <c r="P380" s="30">
        <f>IFERROR(__xludf.DUMMYFUNCTION("""COMPUTED_VALUE"""),0.7333333333333332)</f>
        <v>0.7333333333</v>
      </c>
      <c r="Q380" s="30">
        <f>IFERROR(__xludf.DUMMYFUNCTION("""COMPUTED_VALUE"""),0.5333333333333333)</f>
        <v>0.5333333333</v>
      </c>
      <c r="R380" s="30">
        <f>IFERROR(__xludf.DUMMYFUNCTION("""COMPUTED_VALUE"""),1.3666666666666667)</f>
        <v>1.366666667</v>
      </c>
      <c r="S380" s="30">
        <f>IFERROR(__xludf.DUMMYFUNCTION("""COMPUTED_VALUE"""),2.716666666666667)</f>
        <v>2.716666667</v>
      </c>
      <c r="T380" s="30">
        <f>IFERROR(__xludf.DUMMYFUNCTION("""COMPUTED_VALUE"""),344.7537148874133)</f>
        <v>344.7537149</v>
      </c>
      <c r="U380" s="30">
        <f>IFERROR(__xludf.DUMMYFUNCTION("""COMPUTED_VALUE"""),0.7505926758891286)</f>
        <v>0.7505926759</v>
      </c>
      <c r="V380" s="30">
        <f>IFERROR(__xludf.DUMMYFUNCTION("""COMPUTED_VALUE"""),0.4777915153081473)</f>
        <v>0.4777915153</v>
      </c>
      <c r="W380" s="30">
        <f>IFERROR(__xludf.DUMMYFUNCTION("""COMPUTED_VALUE"""),1.4028814088499648)</f>
        <v>1.402881409</v>
      </c>
      <c r="X380" s="30">
        <f>IFERROR(__xludf.DUMMYFUNCTION("""COMPUTED_VALUE"""),2.485775428609071)</f>
        <v>2.485775429</v>
      </c>
      <c r="Y380" s="30">
        <f>IFERROR(__xludf.DUMMYFUNCTION("""COMPUTED_VALUE"""),350.60723872728477)</f>
        <v>350.6072387</v>
      </c>
      <c r="Z380" s="30">
        <f>IFERROR(__xludf.DUMMYFUNCTION("""COMPUTED_VALUE"""),0.8046824101791318)</f>
        <v>0.8046824102</v>
      </c>
      <c r="AA380" s="30">
        <f>IFERROR(__xludf.DUMMYFUNCTION("""COMPUTED_VALUE"""),0.5926185327667283)</f>
        <v>0.5926185328</v>
      </c>
      <c r="AB380" s="30">
        <f>IFERROR(__xludf.DUMMYFUNCTION("""COMPUTED_VALUE"""),1.2547926788797814)</f>
        <v>1.254792679</v>
      </c>
      <c r="AC380" s="30">
        <f>IFERROR(__xludf.DUMMYFUNCTION("""COMPUTED_VALUE"""),2.692528320859986)</f>
        <v>2.692528321</v>
      </c>
      <c r="AD380" s="30">
        <f>IFERROR(__xludf.DUMMYFUNCTION("""COMPUTED_VALUE"""),1.060303265127851)</f>
        <v>1.060303265</v>
      </c>
      <c r="AE380" s="30">
        <f>IFERROR(__xludf.DUMMYFUNCTION("""COMPUTED_VALUE"""),0.9941810456897033)</f>
        <v>0.9941810457</v>
      </c>
      <c r="AF380" s="30">
        <f>IFERROR(__xludf.DUMMYFUNCTION("""COMPUTED_VALUE"""),1.0968269874473513)</f>
        <v>1.096826987</v>
      </c>
      <c r="AG380" s="30">
        <f>IFERROR(__xludf.DUMMYFUNCTION("""COMPUTED_VALUE"""),1.1157221615684374)</f>
        <v>1.115722162</v>
      </c>
      <c r="AH380" s="30">
        <f>IFERROR(__xludf.DUMMYFUNCTION("""COMPUTED_VALUE"""),1.1327643153724891)</f>
        <v>1.132764315</v>
      </c>
      <c r="AI380" s="30">
        <f>IFERROR(__xludf.DUMMYFUNCTION("""COMPUTED_VALUE"""),1.0281252520099842)</f>
        <v>1.028125252</v>
      </c>
      <c r="AJ380" s="30">
        <f>IFERROR(__xludf.DUMMYFUNCTION("""COMPUTED_VALUE"""),0.9770057141373641)</f>
        <v>0.9770057141</v>
      </c>
      <c r="AK380" s="30">
        <f>IFERROR(__xludf.DUMMYFUNCTION("""COMPUTED_VALUE"""),1.1162469743510721)</f>
        <v>1.116246974</v>
      </c>
      <c r="AL380" s="30">
        <f>IFERROR(__xludf.DUMMYFUNCTION("""COMPUTED_VALUE"""),0.9741854571920048)</f>
        <v>0.9741854572</v>
      </c>
      <c r="AM380" s="30">
        <f>IFERROR(__xludf.DUMMYFUNCTION("""COMPUTED_VALUE"""),1.0928849949195902)</f>
        <v>1.092884995</v>
      </c>
      <c r="AN380" s="30">
        <f>IFERROR(__xludf.DUMMYFUNCTION("""COMPUTED_VALUE"""),1.0766708450619074)</f>
        <v>1.076670845</v>
      </c>
      <c r="AO380" s="30">
        <f>IFERROR(__xludf.DUMMYFUNCTION("""COMPUTED_VALUE"""),1.0605202045253934)</f>
        <v>1.060520205</v>
      </c>
      <c r="AP380" s="30">
        <f>IFERROR(__xludf.DUMMYFUNCTION("""COMPUTED_VALUE"""),1.2054323594951288)</f>
        <v>1.205432359</v>
      </c>
      <c r="AQ380" s="30">
        <f>IFERROR(__xludf.DUMMYFUNCTION("""COMPUTED_VALUE"""),1.0365428686849618)</f>
        <v>1.036542869</v>
      </c>
      <c r="AR380" s="30">
        <f>IFERROR(__xludf.DUMMYFUNCTION("""COMPUTED_VALUE"""),1.191089065882103)</f>
        <v>1.191089066</v>
      </c>
      <c r="AS380" s="30">
        <f>IFERROR(__xludf.DUMMYFUNCTION("""COMPUTED_VALUE"""),42.0)</f>
        <v>42</v>
      </c>
      <c r="AT380" s="30">
        <f>IFERROR(__xludf.DUMMYFUNCTION("""COMPUTED_VALUE"""),0.48233130649351236)</f>
        <v>0.4823313065</v>
      </c>
      <c r="AU380" s="30">
        <f>IFERROR(__xludf.DUMMYFUNCTION("""COMPUTED_VALUE"""),2.7497630673268585)</f>
        <v>2.749763067</v>
      </c>
      <c r="AV380" s="32">
        <f>IFERROR(__xludf.DUMMYFUNCTION("""COMPUTED_VALUE"""),61.76572772658801)</f>
        <v>61.76572773</v>
      </c>
      <c r="AW380" s="32">
        <f>IFERROR(__xludf.DUMMYFUNCTION("""COMPUTED_VALUE"""),3.135260056930837)</f>
        <v>3.135260057</v>
      </c>
      <c r="AX380" s="32">
        <f>IFERROR(__xludf.DUMMYFUNCTION("""COMPUTED_VALUE"""),58.224542699923965)</f>
        <v>58.2245427</v>
      </c>
      <c r="AY380" s="32">
        <f>IFERROR(__xludf.DUMMYFUNCTION("""COMPUTED_VALUE"""),2.6948021469805714)</f>
        <v>2.694802147</v>
      </c>
      <c r="AZ380" s="30">
        <f>IFERROR(__xludf.DUMMYFUNCTION("""COMPUTED_VALUE"""),0.4404579099502657)</f>
        <v>0.44045791</v>
      </c>
      <c r="BA380" s="30">
        <f>IFERROR(__xludf.DUMMYFUNCTION("""COMPUTED_VALUE"""),1200.0)</f>
        <v>1200</v>
      </c>
    </row>
    <row r="381">
      <c r="A381" s="71" t="str">
        <f>IFERROR(__xludf.DUMMYFUNCTION("""COMPUTED_VALUE"""),"Veteran")</f>
        <v>Veteran</v>
      </c>
      <c r="B381" s="71" t="str">
        <f>IFERROR(__xludf.DUMMYFUNCTION("""COMPUTED_VALUE"""),"RSC007301")</f>
        <v>RSC007301</v>
      </c>
      <c r="C381" s="30" t="str">
        <f>IFERROR(__xludf.DUMMYFUNCTION("""COMPUTED_VALUE"""),"DeathFletch")</f>
        <v>DeathFletch</v>
      </c>
      <c r="D381" s="30" t="str">
        <f>IFERROR(__xludf.DUMMYFUNCTION("""COMPUTED_VALUE"""),"Azalea")</f>
        <v>Azalea</v>
      </c>
      <c r="E381" s="30">
        <f>IFERROR(__xludf.DUMMYFUNCTION("""COMPUTED_VALUE"""),30.0)</f>
        <v>30</v>
      </c>
      <c r="F381" s="30">
        <f>IFERROR(__xludf.DUMMYFUNCTION("""COMPUTED_VALUE"""),14.0)</f>
        <v>14</v>
      </c>
      <c r="G381" s="42">
        <f>IFERROR(__xludf.DUMMYFUNCTION("""COMPUTED_VALUE"""),16.0)</f>
        <v>16</v>
      </c>
      <c r="H381" s="42">
        <f>IFERROR(__xludf.DUMMYFUNCTION("""COMPUTED_VALUE"""),0.4666666666666667)</f>
        <v>0.4666666667</v>
      </c>
      <c r="I381" s="42">
        <f>IFERROR(__xludf.DUMMYFUNCTION("""COMPUTED_VALUE"""),0.3026315789473685)</f>
        <v>0.3026315789</v>
      </c>
      <c r="J381" s="30">
        <f>IFERROR(__xludf.DUMMYFUNCTION("""COMPUTED_VALUE"""),333.93333333333334)</f>
        <v>333.9333333</v>
      </c>
      <c r="K381" s="30">
        <f>IFERROR(__xludf.DUMMYFUNCTION("""COMPUTED_VALUE"""),0.7666666666666667)</f>
        <v>0.7666666667</v>
      </c>
      <c r="L381" s="30">
        <f>IFERROR(__xludf.DUMMYFUNCTION("""COMPUTED_VALUE"""),0.6333333333333333)</f>
        <v>0.6333333333</v>
      </c>
      <c r="M381" s="30">
        <f>IFERROR(__xludf.DUMMYFUNCTION("""COMPUTED_VALUE"""),0.9666666666666667)</f>
        <v>0.9666666667</v>
      </c>
      <c r="N381" s="30">
        <f>IFERROR(__xludf.DUMMYFUNCTION("""COMPUTED_VALUE"""),2.533333333333333)</f>
        <v>2.533333333</v>
      </c>
      <c r="O381" s="30">
        <f>IFERROR(__xludf.DUMMYFUNCTION("""COMPUTED_VALUE"""),333.2666666666666)</f>
        <v>333.2666667</v>
      </c>
      <c r="P381" s="30">
        <f>IFERROR(__xludf.DUMMYFUNCTION("""COMPUTED_VALUE"""),0.7333333333333333)</f>
        <v>0.7333333333</v>
      </c>
      <c r="Q381" s="30">
        <f>IFERROR(__xludf.DUMMYFUNCTION("""COMPUTED_VALUE"""),0.43333333333333335)</f>
        <v>0.4333333333</v>
      </c>
      <c r="R381" s="30">
        <f>IFERROR(__xludf.DUMMYFUNCTION("""COMPUTED_VALUE"""),1.422222222222223)</f>
        <v>1.422222222</v>
      </c>
      <c r="S381" s="30">
        <f>IFERROR(__xludf.DUMMYFUNCTION("""COMPUTED_VALUE"""),2.2777777777777777)</f>
        <v>2.277777778</v>
      </c>
      <c r="T381" s="30">
        <f>IFERROR(__xludf.DUMMYFUNCTION("""COMPUTED_VALUE"""),344.6652586279773)</f>
        <v>344.6652586</v>
      </c>
      <c r="U381" s="30">
        <f>IFERROR(__xludf.DUMMYFUNCTION("""COMPUTED_VALUE"""),0.7232606385921285)</f>
        <v>0.7232606386</v>
      </c>
      <c r="V381" s="30">
        <f>IFERROR(__xludf.DUMMYFUNCTION("""COMPUTED_VALUE"""),0.5198191690013957)</f>
        <v>0.519819169</v>
      </c>
      <c r="W381" s="30">
        <f>IFERROR(__xludf.DUMMYFUNCTION("""COMPUTED_VALUE"""),1.4239079913340866)</f>
        <v>1.423907991</v>
      </c>
      <c r="X381" s="30">
        <f>IFERROR(__xludf.DUMMYFUNCTION("""COMPUTED_VALUE"""),2.518123541842025)</f>
        <v>2.518123542</v>
      </c>
      <c r="Y381" s="30">
        <f>IFERROR(__xludf.DUMMYFUNCTION("""COMPUTED_VALUE"""),347.553656974019)</f>
        <v>347.553657</v>
      </c>
      <c r="Z381" s="30">
        <f>IFERROR(__xludf.DUMMYFUNCTION("""COMPUTED_VALUE"""),0.7725884035757394)</f>
        <v>0.7725884036</v>
      </c>
      <c r="AA381" s="30">
        <f>IFERROR(__xludf.DUMMYFUNCTION("""COMPUTED_VALUE"""),0.5579271687387313)</f>
        <v>0.5579271687</v>
      </c>
      <c r="AB381" s="30">
        <f>IFERROR(__xludf.DUMMYFUNCTION("""COMPUTED_VALUE"""),1.3518166431293837)</f>
        <v>1.351816643</v>
      </c>
      <c r="AC381" s="30">
        <f>IFERROR(__xludf.DUMMYFUNCTION("""COMPUTED_VALUE"""),2.6058399295714847)</f>
        <v>2.60583993</v>
      </c>
      <c r="AD381" s="30">
        <f>IFERROR(__xludf.DUMMYFUNCTION("""COMPUTED_VALUE"""),0.9608108751918445)</f>
        <v>0.9608108752</v>
      </c>
      <c r="AE381" s="30">
        <f>IFERROR(__xludf.DUMMYFUNCTION("""COMPUTED_VALUE"""),0.9923351983000711)</f>
        <v>0.9923351983</v>
      </c>
      <c r="AF381" s="30">
        <f>IFERROR(__xludf.DUMMYFUNCTION("""COMPUTED_VALUE"""),1.1351541362738575)</f>
        <v>1.135154136</v>
      </c>
      <c r="AG381" s="30">
        <f>IFERROR(__xludf.DUMMYFUNCTION("""COMPUTED_VALUE"""),0.7150871174576492)</f>
        <v>0.7150871175</v>
      </c>
      <c r="AH381" s="30">
        <f>IFERROR(__xludf.DUMMYFUNCTION("""COMPUTED_VALUE"""),0.9721753453021672)</f>
        <v>0.9721753453</v>
      </c>
      <c r="AI381" s="30">
        <f>IFERROR(__xludf.DUMMYFUNCTION("""COMPUTED_VALUE"""),0.9669285149112923)</f>
        <v>0.9669285149</v>
      </c>
      <c r="AJ381" s="30">
        <f>IFERROR(__xludf.DUMMYFUNCTION("""COMPUTED_VALUE"""),1.0139267840716617)</f>
        <v>1.013926784</v>
      </c>
      <c r="AK381" s="30">
        <f>IFERROR(__xludf.DUMMYFUNCTION("""COMPUTED_VALUE"""),0.8336232274115498)</f>
        <v>0.8336232274</v>
      </c>
      <c r="AL381" s="30">
        <f>IFERROR(__xludf.DUMMYFUNCTION("""COMPUTED_VALUE"""),0.9988160968811726)</f>
        <v>0.9988160969</v>
      </c>
      <c r="AM381" s="30">
        <f>IFERROR(__xludf.DUMMYFUNCTION("""COMPUTED_VALUE"""),0.9045536249232503)</f>
        <v>0.9045536249</v>
      </c>
      <c r="AN381" s="30">
        <f>IFERROR(__xludf.DUMMYFUNCTION("""COMPUTED_VALUE"""),0.9671453508926418)</f>
        <v>0.9671453509</v>
      </c>
      <c r="AO381" s="30">
        <f>IFERROR(__xludf.DUMMYFUNCTION("""COMPUTED_VALUE"""),1.0163318626701687)</f>
        <v>1.016331863</v>
      </c>
      <c r="AP381" s="30">
        <f>IFERROR(__xludf.DUMMYFUNCTION("""COMPUTED_VALUE"""),1.1745238374567921)</f>
        <v>1.174523837</v>
      </c>
      <c r="AQ381" s="30">
        <f>IFERROR(__xludf.DUMMYFUNCTION("""COMPUTED_VALUE"""),0.7157081712348546)</f>
        <v>0.7157081712</v>
      </c>
      <c r="AR381" s="30">
        <f>IFERROR(__xludf.DUMMYFUNCTION("""COMPUTED_VALUE"""),0.9893198798583588)</f>
        <v>0.9893198799</v>
      </c>
      <c r="AS381" s="30">
        <f>IFERROR(__xludf.DUMMYFUNCTION("""COMPUTED_VALUE"""),74.0)</f>
        <v>74</v>
      </c>
      <c r="AT381" s="30">
        <f>IFERROR(__xludf.DUMMYFUNCTION("""COMPUTED_VALUE"""),0.5443879861054928)</f>
        <v>0.5443879861</v>
      </c>
      <c r="AU381" s="30">
        <f>IFERROR(__xludf.DUMMYFUNCTION("""COMPUTED_VALUE"""),2.635850075394167)</f>
        <v>2.635850075</v>
      </c>
      <c r="AV381" s="32">
        <f>IFERROR(__xludf.DUMMYFUNCTION("""COMPUTED_VALUE"""),58.237148394519096)</f>
        <v>58.23714839</v>
      </c>
      <c r="AW381" s="32">
        <f>IFERROR(__xludf.DUMMYFUNCTION("""COMPUTED_VALUE"""),2.696186592939705)</f>
        <v>2.696186593</v>
      </c>
      <c r="AX381" s="32">
        <f>IFERROR(__xludf.DUMMYFUNCTION("""COMPUTED_VALUE"""),54.54984829944721)</f>
        <v>54.5498483</v>
      </c>
      <c r="AY381" s="32">
        <f>IFERROR(__xludf.DUMMYFUNCTION("""COMPUTED_VALUE"""),2.33757509097215)</f>
        <v>2.337575091</v>
      </c>
      <c r="AZ381" s="30">
        <f>IFERROR(__xludf.DUMMYFUNCTION("""COMPUTED_VALUE"""),0.35861150196755487)</f>
        <v>0.358611502</v>
      </c>
      <c r="BA381" s="30">
        <f>IFERROR(__xludf.DUMMYFUNCTION("""COMPUTED_VALUE"""),1200.0)</f>
        <v>1200</v>
      </c>
    </row>
    <row r="382">
      <c r="A382" s="71" t="str">
        <f>IFERROR(__xludf.DUMMYFUNCTION("""COMPUTED_VALUE"""),"Veteran")</f>
        <v>Veteran</v>
      </c>
      <c r="B382" s="71" t="str">
        <f>IFERROR(__xludf.DUMMYFUNCTION("""COMPUTED_VALUE"""),"RSC006000")</f>
        <v>RSC006000</v>
      </c>
      <c r="C382" s="30" t="str">
        <f>IFERROR(__xludf.DUMMYFUNCTION("""COMPUTED_VALUE"""),"janixity.")</f>
        <v>janixity.</v>
      </c>
      <c r="D382" s="30" t="str">
        <f>IFERROR(__xludf.DUMMYFUNCTION("""COMPUTED_VALUE"""),"Grizzly Bears")</f>
        <v>Grizzly Bears</v>
      </c>
      <c r="E382" s="30">
        <f>IFERROR(__xludf.DUMMYFUNCTION("""COMPUTED_VALUE"""),28.0)</f>
        <v>28</v>
      </c>
      <c r="F382" s="30">
        <f>IFERROR(__xludf.DUMMYFUNCTION("""COMPUTED_VALUE"""),17.0)</f>
        <v>17</v>
      </c>
      <c r="G382" s="42">
        <f>IFERROR(__xludf.DUMMYFUNCTION("""COMPUTED_VALUE"""),11.0)</f>
        <v>11</v>
      </c>
      <c r="H382" s="42">
        <f>IFERROR(__xludf.DUMMYFUNCTION("""COMPUTED_VALUE"""),0.6071428571428571)</f>
        <v>0.6071428571</v>
      </c>
      <c r="I382" s="42">
        <f>IFERROR(__xludf.DUMMYFUNCTION("""COMPUTED_VALUE"""),0.2987012987012987)</f>
        <v>0.2987012987</v>
      </c>
      <c r="J382" s="30">
        <f>IFERROR(__xludf.DUMMYFUNCTION("""COMPUTED_VALUE"""),374.57142857142856)</f>
        <v>374.5714286</v>
      </c>
      <c r="K382" s="30">
        <f>IFERROR(__xludf.DUMMYFUNCTION("""COMPUTED_VALUE"""),0.8214285714285714)</f>
        <v>0.8214285714</v>
      </c>
      <c r="L382" s="30">
        <f>IFERROR(__xludf.DUMMYFUNCTION("""COMPUTED_VALUE"""),0.5)</f>
        <v>0.5</v>
      </c>
      <c r="M382" s="30">
        <f>IFERROR(__xludf.DUMMYFUNCTION("""COMPUTED_VALUE"""),1.6071428571428572)</f>
        <v>1.607142857</v>
      </c>
      <c r="N382" s="30">
        <f>IFERROR(__xludf.DUMMYFUNCTION("""COMPUTED_VALUE"""),2.75)</f>
        <v>2.75</v>
      </c>
      <c r="O382" s="30">
        <f>IFERROR(__xludf.DUMMYFUNCTION("""COMPUTED_VALUE"""),346.10714285714295)</f>
        <v>346.1071429</v>
      </c>
      <c r="P382" s="30">
        <f>IFERROR(__xludf.DUMMYFUNCTION("""COMPUTED_VALUE"""),0.7619047619047618)</f>
        <v>0.7619047619</v>
      </c>
      <c r="Q382" s="30">
        <f>IFERROR(__xludf.DUMMYFUNCTION("""COMPUTED_VALUE"""),0.47619047619047616)</f>
        <v>0.4761904762</v>
      </c>
      <c r="R382" s="30">
        <f>IFERROR(__xludf.DUMMYFUNCTION("""COMPUTED_VALUE"""),1.4404761904761905)</f>
        <v>1.44047619</v>
      </c>
      <c r="S382" s="30">
        <f>IFERROR(__xludf.DUMMYFUNCTION("""COMPUTED_VALUE"""),2.5476190476190483)</f>
        <v>2.547619048</v>
      </c>
      <c r="T382" s="30">
        <f>IFERROR(__xludf.DUMMYFUNCTION("""COMPUTED_VALUE"""),349.85267051005576)</f>
        <v>349.8526705</v>
      </c>
      <c r="U382" s="30">
        <f>IFERROR(__xludf.DUMMYFUNCTION("""COMPUTED_VALUE"""),0.7544671714577883)</f>
        <v>0.7544671715</v>
      </c>
      <c r="V382" s="30">
        <f>IFERROR(__xludf.DUMMYFUNCTION("""COMPUTED_VALUE"""),0.515116640573842)</f>
        <v>0.5151166406</v>
      </c>
      <c r="W382" s="30">
        <f>IFERROR(__xludf.DUMMYFUNCTION("""COMPUTED_VALUE"""),1.4805136775492895)</f>
        <v>1.480513678</v>
      </c>
      <c r="X382" s="30">
        <f>IFERROR(__xludf.DUMMYFUNCTION("""COMPUTED_VALUE"""),2.533219920367071)</f>
        <v>2.53321992</v>
      </c>
      <c r="Y382" s="30">
        <f>IFERROR(__xludf.DUMMYFUNCTION("""COMPUTED_VALUE"""),355.3379710850171)</f>
        <v>355.3379711</v>
      </c>
      <c r="Z382" s="30">
        <f>IFERROR(__xludf.DUMMYFUNCTION("""COMPUTED_VALUE"""),0.8180077688273365)</f>
        <v>0.8180077688</v>
      </c>
      <c r="AA382" s="30">
        <f>IFERROR(__xludf.DUMMYFUNCTION("""COMPUTED_VALUE"""),0.5778616131298773)</f>
        <v>0.5778616131</v>
      </c>
      <c r="AB382" s="30">
        <f>IFERROR(__xludf.DUMMYFUNCTION("""COMPUTED_VALUE"""),1.3370629599074983)</f>
        <v>1.33706296</v>
      </c>
      <c r="AC382" s="30">
        <f>IFERROR(__xludf.DUMMYFUNCTION("""COMPUTED_VALUE"""),2.676273506295419)</f>
        <v>2.676273506</v>
      </c>
      <c r="AD382" s="30">
        <f>IFERROR(__xludf.DUMMYFUNCTION("""COMPUTED_VALUE"""),1.0541272226767167)</f>
        <v>1.054127223</v>
      </c>
      <c r="AE382" s="30">
        <f>IFERROR(__xludf.DUMMYFUNCTION("""COMPUTED_VALUE"""),1.0041818705537955)</f>
        <v>1.004181871</v>
      </c>
      <c r="AF382" s="30">
        <f>IFERROR(__xludf.DUMMYFUNCTION("""COMPUTED_VALUE"""),0.8652590665987403)</f>
        <v>0.8652590666</v>
      </c>
      <c r="AG382" s="30">
        <f>IFERROR(__xludf.DUMMYFUNCTION("""COMPUTED_VALUE"""),1.201994898769796)</f>
        <v>1.201994899</v>
      </c>
      <c r="AH382" s="30">
        <f>IFERROR(__xludf.DUMMYFUNCTION("""COMPUTED_VALUE"""),1.0275481909943633)</f>
        <v>1.027548191</v>
      </c>
      <c r="AI382" s="30">
        <f>IFERROR(__xludf.DUMMYFUNCTION("""COMPUTED_VALUE"""),0.9892939858156516)</f>
        <v>0.9892939858</v>
      </c>
      <c r="AJ382" s="30">
        <f>IFERROR(__xludf.DUMMYFUNCTION("""COMPUTED_VALUE"""),1.009858070342017)</f>
        <v>1.00985807</v>
      </c>
      <c r="AK382" s="30">
        <f>IFERROR(__xludf.DUMMYFUNCTION("""COMPUTED_VALUE"""),0.9244323298505714)</f>
        <v>0.9244323299</v>
      </c>
      <c r="AL382" s="30">
        <f>IFERROR(__xludf.DUMMYFUNCTION("""COMPUTED_VALUE"""),0.9729570299280358)</f>
        <v>0.9729570299</v>
      </c>
      <c r="AM382" s="30">
        <f>IFERROR(__xludf.DUMMYFUNCTION("""COMPUTED_VALUE"""),1.0056841204887932)</f>
        <v>1.00568412</v>
      </c>
      <c r="AN382" s="30">
        <f>IFERROR(__xludf.DUMMYFUNCTION("""COMPUTED_VALUE"""),1.084842330964481)</f>
        <v>1.084842331</v>
      </c>
      <c r="AO382" s="30">
        <f>IFERROR(__xludf.DUMMYFUNCTION("""COMPUTED_VALUE"""),1.0889269957180379)</f>
        <v>1.088926996</v>
      </c>
      <c r="AP382" s="30">
        <f>IFERROR(__xludf.DUMMYFUNCTION("""COMPUTED_VALUE"""),0.9272556611500992)</f>
        <v>0.9272556612</v>
      </c>
      <c r="AQ382" s="30">
        <f>IFERROR(__xludf.DUMMYFUNCTION("""COMPUTED_VALUE"""),1.189908905378145)</f>
        <v>1.189908905</v>
      </c>
      <c r="AR382" s="30">
        <f>IFERROR(__xludf.DUMMYFUNCTION("""COMPUTED_VALUE"""),1.073932764319929)</f>
        <v>1.073932764</v>
      </c>
      <c r="AS382" s="30">
        <f>IFERROR(__xludf.DUMMYFUNCTION("""COMPUTED_VALUE"""),77.0)</f>
        <v>77</v>
      </c>
      <c r="AT382" s="30">
        <f>IFERROR(__xludf.DUMMYFUNCTION("""COMPUTED_VALUE"""),0.572997244153191)</f>
        <v>0.5729972442</v>
      </c>
      <c r="AU382" s="30">
        <f>IFERROR(__xludf.DUMMYFUNCTION("""COMPUTED_VALUE"""),2.54895764630503)</f>
        <v>2.548957646</v>
      </c>
      <c r="AV382" s="32">
        <f>IFERROR(__xludf.DUMMYFUNCTION("""COMPUTED_VALUE"""),55.545560506296844)</f>
        <v>55.54556051</v>
      </c>
      <c r="AW382" s="32">
        <f>IFERROR(__xludf.DUMMYFUNCTION("""COMPUTED_VALUE"""),2.4258534103125573)</f>
        <v>2.42585341</v>
      </c>
      <c r="AX382" s="32">
        <f>IFERROR(__xludf.DUMMYFUNCTION("""COMPUTED_VALUE"""),51.02832396587029)</f>
        <v>51.02832397</v>
      </c>
      <c r="AY382" s="32">
        <f>IFERROR(__xludf.DUMMYFUNCTION("""COMPUTED_VALUE"""),2.0678462427573976)</f>
        <v>2.067846243</v>
      </c>
      <c r="AZ382" s="30">
        <f>IFERROR(__xludf.DUMMYFUNCTION("""COMPUTED_VALUE"""),0.3580071675551597)</f>
        <v>0.3580071676</v>
      </c>
      <c r="BA382" s="30">
        <f>IFERROR(__xludf.DUMMYFUNCTION("""COMPUTED_VALUE"""),1200.0)</f>
        <v>1200</v>
      </c>
    </row>
    <row r="383">
      <c r="A383" s="71" t="str">
        <f>IFERROR(__xludf.DUMMYFUNCTION("""COMPUTED_VALUE"""),"Veteran")</f>
        <v>Veteran</v>
      </c>
      <c r="B383" s="71" t="str">
        <f>IFERROR(__xludf.DUMMYFUNCTION("""COMPUTED_VALUE"""),"RSC007846")</f>
        <v>RSC007846</v>
      </c>
      <c r="C383" s="30" t="str">
        <f>IFERROR(__xludf.DUMMYFUNCTION("""COMPUTED_VALUE"""),"Lovegreyhounds")</f>
        <v>Lovegreyhounds</v>
      </c>
      <c r="D383" s="30" t="str">
        <f>IFERROR(__xludf.DUMMYFUNCTION("""COMPUTED_VALUE"""),"Water")</f>
        <v>Water</v>
      </c>
      <c r="E383" s="30">
        <f>IFERROR(__xludf.DUMMYFUNCTION("""COMPUTED_VALUE"""),25.0)</f>
        <v>25</v>
      </c>
      <c r="F383" s="30">
        <f>IFERROR(__xludf.DUMMYFUNCTION("""COMPUTED_VALUE"""),11.0)</f>
        <v>11</v>
      </c>
      <c r="G383" s="42">
        <f>IFERROR(__xludf.DUMMYFUNCTION("""COMPUTED_VALUE"""),14.0)</f>
        <v>14</v>
      </c>
      <c r="H383" s="42">
        <f>IFERROR(__xludf.DUMMYFUNCTION("""COMPUTED_VALUE"""),0.44)</f>
        <v>0.44</v>
      </c>
      <c r="I383" s="42">
        <f>IFERROR(__xludf.DUMMYFUNCTION("""COMPUTED_VALUE"""),0.3194444444444445)</f>
        <v>0.3194444444</v>
      </c>
      <c r="J383" s="30">
        <f>IFERROR(__xludf.DUMMYFUNCTION("""COMPUTED_VALUE"""),390.48)</f>
        <v>390.48</v>
      </c>
      <c r="K383" s="30">
        <f>IFERROR(__xludf.DUMMYFUNCTION("""COMPUTED_VALUE"""),0.92)</f>
        <v>0.92</v>
      </c>
      <c r="L383" s="30">
        <f>IFERROR(__xludf.DUMMYFUNCTION("""COMPUTED_VALUE"""),0.48)</f>
        <v>0.48</v>
      </c>
      <c r="M383" s="30">
        <f>IFERROR(__xludf.DUMMYFUNCTION("""COMPUTED_VALUE"""),1.6)</f>
        <v>1.6</v>
      </c>
      <c r="N383" s="30">
        <f>IFERROR(__xludf.DUMMYFUNCTION("""COMPUTED_VALUE"""),2.88)</f>
        <v>2.88</v>
      </c>
      <c r="O383" s="30">
        <f>IFERROR(__xludf.DUMMYFUNCTION("""COMPUTED_VALUE"""),335.4933333333333)</f>
        <v>335.4933333</v>
      </c>
      <c r="P383" s="30">
        <f>IFERROR(__xludf.DUMMYFUNCTION("""COMPUTED_VALUE"""),0.76)</f>
        <v>0.76</v>
      </c>
      <c r="Q383" s="30">
        <f>IFERROR(__xludf.DUMMYFUNCTION("""COMPUTED_VALUE"""),0.56)</f>
        <v>0.56</v>
      </c>
      <c r="R383" s="30">
        <f>IFERROR(__xludf.DUMMYFUNCTION("""COMPUTED_VALUE"""),1.1466666666666665)</f>
        <v>1.146666667</v>
      </c>
      <c r="S383" s="30">
        <f>IFERROR(__xludf.DUMMYFUNCTION("""COMPUTED_VALUE"""),2.6266666666666665)</f>
        <v>2.626666667</v>
      </c>
      <c r="T383" s="30">
        <f>IFERROR(__xludf.DUMMYFUNCTION("""COMPUTED_VALUE"""),357.97496960232127)</f>
        <v>357.9749696</v>
      </c>
      <c r="U383" s="30">
        <f>IFERROR(__xludf.DUMMYFUNCTION("""COMPUTED_VALUE"""),0.814643005732759)</f>
        <v>0.8146430057</v>
      </c>
      <c r="V383" s="30">
        <f>IFERROR(__xludf.DUMMYFUNCTION("""COMPUTED_VALUE"""),0.624518009497706)</f>
        <v>0.6245180095</v>
      </c>
      <c r="W383" s="30">
        <f>IFERROR(__xludf.DUMMYFUNCTION("""COMPUTED_VALUE"""),1.3252624700059235)</f>
        <v>1.32526247</v>
      </c>
      <c r="X383" s="30">
        <f>IFERROR(__xludf.DUMMYFUNCTION("""COMPUTED_VALUE"""),2.6211925142816983)</f>
        <v>2.621192514</v>
      </c>
      <c r="Y383" s="30">
        <f>IFERROR(__xludf.DUMMYFUNCTION("""COMPUTED_VALUE"""),367.7489644789815)</f>
        <v>367.7489645</v>
      </c>
      <c r="Z383" s="30">
        <f>IFERROR(__xludf.DUMMYFUNCTION("""COMPUTED_VALUE"""),0.8367387150320107)</f>
        <v>0.836738715</v>
      </c>
      <c r="AA383" s="30">
        <f>IFERROR(__xludf.DUMMYFUNCTION("""COMPUTED_VALUE"""),0.6083820356816562)</f>
        <v>0.6083820357</v>
      </c>
      <c r="AB383" s="30">
        <f>IFERROR(__xludf.DUMMYFUNCTION("""COMPUTED_VALUE"""),1.3736596009491011)</f>
        <v>1.373659601</v>
      </c>
      <c r="AC383" s="30">
        <f>IFERROR(__xludf.DUMMYFUNCTION("""COMPUTED_VALUE"""),2.804444813576566)</f>
        <v>2.804444814</v>
      </c>
      <c r="AD383" s="30">
        <f>IFERROR(__xludf.DUMMYFUNCTION("""COMPUTED_VALUE"""),1.061811283556497)</f>
        <v>1.061811284</v>
      </c>
      <c r="AE383" s="30">
        <f>IFERROR(__xludf.DUMMYFUNCTION("""COMPUTED_VALUE"""),1.0995069111446625)</f>
        <v>1.099506911</v>
      </c>
      <c r="AF383" s="30">
        <f>IFERROR(__xludf.DUMMYFUNCTION("""COMPUTED_VALUE"""),0.7889779313785759)</f>
        <v>0.7889779314</v>
      </c>
      <c r="AG383" s="30">
        <f>IFERROR(__xludf.DUMMYFUNCTION("""COMPUTED_VALUE"""),1.1647718247624912)</f>
        <v>1.164771825</v>
      </c>
      <c r="AH383" s="30">
        <f>IFERROR(__xludf.DUMMYFUNCTION("""COMPUTED_VALUE"""),1.0269412277459213)</f>
        <v>1.026941228</v>
      </c>
      <c r="AI383" s="30">
        <f>IFERROR(__xludf.DUMMYFUNCTION("""COMPUTED_VALUE"""),0.9371977423618106)</f>
        <v>0.9371977424</v>
      </c>
      <c r="AJ383" s="30">
        <f>IFERROR(__xludf.DUMMYFUNCTION("""COMPUTED_VALUE"""),0.9329239859076572)</f>
        <v>0.9329239859</v>
      </c>
      <c r="AK383" s="30">
        <f>IFERROR(__xludf.DUMMYFUNCTION("""COMPUTED_VALUE"""),0.896691514869848)</f>
        <v>0.8966915149</v>
      </c>
      <c r="AL383" s="30">
        <f>IFERROR(__xludf.DUMMYFUNCTION("""COMPUTED_VALUE"""),0.8652374096593419)</f>
        <v>0.8652374097</v>
      </c>
      <c r="AM383" s="30">
        <f>IFERROR(__xludf.DUMMYFUNCTION("""COMPUTED_VALUE"""),1.0020884205777112)</f>
        <v>1.002088421</v>
      </c>
      <c r="AN383" s="30">
        <f>IFERROR(__xludf.DUMMYFUNCTION("""COMPUTED_VALUE"""),1.1309170990713477)</f>
        <v>1.130917099</v>
      </c>
      <c r="AO383" s="30">
        <f>IFERROR(__xludf.DUMMYFUNCTION("""COMPUTED_VALUE"""),1.2195982352042025)</f>
        <v>1.219598235</v>
      </c>
      <c r="AP383" s="30">
        <f>IFERROR(__xludf.DUMMYFUNCTION("""COMPUTED_VALUE"""),0.8901654347040951)</f>
        <v>0.8901654347</v>
      </c>
      <c r="AQ383" s="30">
        <f>IFERROR(__xludf.DUMMYFUNCTION("""COMPUTED_VALUE"""),1.1846204213542422)</f>
        <v>1.184620421</v>
      </c>
      <c r="AR383" s="30">
        <f>IFERROR(__xludf.DUMMYFUNCTION("""COMPUTED_VALUE"""),1.124700494996871)</f>
        <v>1.124700495</v>
      </c>
      <c r="AS383" s="30">
        <f>IFERROR(__xludf.DUMMYFUNCTION("""COMPUTED_VALUE"""),59.0)</f>
        <v>59</v>
      </c>
      <c r="AT383" s="30">
        <f>IFERROR(__xludf.DUMMYFUNCTION("""COMPUTED_VALUE"""),0.5133897312865366)</f>
        <v>0.5133897313</v>
      </c>
      <c r="AU383" s="30">
        <f>IFERROR(__xludf.DUMMYFUNCTION("""COMPUTED_VALUE"""),2.718251570140695)</f>
        <v>2.71825157</v>
      </c>
      <c r="AV383" s="32">
        <f>IFERROR(__xludf.DUMMYFUNCTION("""COMPUTED_VALUE"""),60.78962468682812)</f>
        <v>60.78962469</v>
      </c>
      <c r="AW383" s="32">
        <f>IFERROR(__xludf.DUMMYFUNCTION("""COMPUTED_VALUE"""),3.002808805670988)</f>
        <v>3.002808806</v>
      </c>
      <c r="AX383" s="32">
        <f>IFERROR(__xludf.DUMMYFUNCTION("""COMPUTED_VALUE"""),57.92807260102541)</f>
        <v>57.9280726</v>
      </c>
      <c r="AY383" s="32">
        <f>IFERROR(__xludf.DUMMYFUNCTION("""COMPUTED_VALUE"""),2.6625828105046)</f>
        <v>2.662582811</v>
      </c>
      <c r="AZ383" s="30">
        <f>IFERROR(__xludf.DUMMYFUNCTION("""COMPUTED_VALUE"""),0.3402259951663882)</f>
        <v>0.3402259952</v>
      </c>
      <c r="BA383" s="30">
        <f>IFERROR(__xludf.DUMMYFUNCTION("""COMPUTED_VALUE"""),1200.0)</f>
        <v>1200</v>
      </c>
    </row>
    <row r="384">
      <c r="A384" s="71" t="str">
        <f>IFERROR(__xludf.DUMMYFUNCTION("""COMPUTED_VALUE"""),"Veteran")</f>
        <v>Veteran</v>
      </c>
      <c r="B384" s="71" t="str">
        <f>IFERROR(__xludf.DUMMYFUNCTION("""COMPUTED_VALUE"""),"RSC000796")</f>
        <v>RSC000796</v>
      </c>
      <c r="C384" s="30" t="str">
        <f>IFERROR(__xludf.DUMMYFUNCTION("""COMPUTED_VALUE"""),"hoyci")</f>
        <v>hoyci</v>
      </c>
      <c r="D384" s="30" t="str">
        <f>IFERROR(__xludf.DUMMYFUNCTION("""COMPUTED_VALUE"""),"Dread")</f>
        <v>Dread</v>
      </c>
      <c r="E384" s="30">
        <f>IFERROR(__xludf.DUMMYFUNCTION("""COMPUTED_VALUE"""),21.0)</f>
        <v>21</v>
      </c>
      <c r="F384" s="30">
        <f>IFERROR(__xludf.DUMMYFUNCTION("""COMPUTED_VALUE"""),7.0)</f>
        <v>7</v>
      </c>
      <c r="G384" s="42">
        <f>IFERROR(__xludf.DUMMYFUNCTION("""COMPUTED_VALUE"""),14.0)</f>
        <v>14</v>
      </c>
      <c r="H384" s="42">
        <f>IFERROR(__xludf.DUMMYFUNCTION("""COMPUTED_VALUE"""),0.3333333333333333)</f>
        <v>0.3333333333</v>
      </c>
      <c r="I384" s="42">
        <f>IFERROR(__xludf.DUMMYFUNCTION("""COMPUTED_VALUE"""),0.3414634146341463)</f>
        <v>0.3414634146</v>
      </c>
      <c r="J384" s="30">
        <f>IFERROR(__xludf.DUMMYFUNCTION("""COMPUTED_VALUE"""),288.3333333333333)</f>
        <v>288.3333333</v>
      </c>
      <c r="K384" s="30">
        <f>IFERROR(__xludf.DUMMYFUNCTION("""COMPUTED_VALUE"""),0.6666666666666666)</f>
        <v>0.6666666667</v>
      </c>
      <c r="L384" s="30">
        <f>IFERROR(__xludf.DUMMYFUNCTION("""COMPUTED_VALUE"""),0.47619047619047616)</f>
        <v>0.4761904762</v>
      </c>
      <c r="M384" s="30">
        <f>IFERROR(__xludf.DUMMYFUNCTION("""COMPUTED_VALUE"""),1.0952380952380953)</f>
        <v>1.095238095</v>
      </c>
      <c r="N384" s="30">
        <f>IFERROR(__xludf.DUMMYFUNCTION("""COMPUTED_VALUE"""),1.9523809523809523)</f>
        <v>1.952380952</v>
      </c>
      <c r="O384" s="30">
        <f>IFERROR(__xludf.DUMMYFUNCTION("""COMPUTED_VALUE"""),359.82539682539687)</f>
        <v>359.8253968</v>
      </c>
      <c r="P384" s="30">
        <f>IFERROR(__xludf.DUMMYFUNCTION("""COMPUTED_VALUE"""),0.8571428571428571)</f>
        <v>0.8571428571</v>
      </c>
      <c r="Q384" s="30">
        <f>IFERROR(__xludf.DUMMYFUNCTION("""COMPUTED_VALUE"""),0.6031746031746033)</f>
        <v>0.6031746032</v>
      </c>
      <c r="R384" s="30">
        <f>IFERROR(__xludf.DUMMYFUNCTION("""COMPUTED_VALUE"""),1.1746031746031749)</f>
        <v>1.174603175</v>
      </c>
      <c r="S384" s="30">
        <f>IFERROR(__xludf.DUMMYFUNCTION("""COMPUTED_VALUE"""),2.6666666666666665)</f>
        <v>2.666666667</v>
      </c>
      <c r="T384" s="30">
        <f>IFERROR(__xludf.DUMMYFUNCTION("""COMPUTED_VALUE"""),350.53847577555905)</f>
        <v>350.5384758</v>
      </c>
      <c r="U384" s="30">
        <f>IFERROR(__xludf.DUMMYFUNCTION("""COMPUTED_VALUE"""),0.8084991024342788)</f>
        <v>0.8084991024</v>
      </c>
      <c r="V384" s="30">
        <f>IFERROR(__xludf.DUMMYFUNCTION("""COMPUTED_VALUE"""),0.5776431432426107)</f>
        <v>0.5776431432</v>
      </c>
      <c r="W384" s="30">
        <f>IFERROR(__xludf.DUMMYFUNCTION("""COMPUTED_VALUE"""),1.284428869292935)</f>
        <v>1.284428869</v>
      </c>
      <c r="X384" s="30">
        <f>IFERROR(__xludf.DUMMYFUNCTION("""COMPUTED_VALUE"""),2.690395127361897)</f>
        <v>2.690395127</v>
      </c>
      <c r="Y384" s="30">
        <f>IFERROR(__xludf.DUMMYFUNCTION("""COMPUTED_VALUE"""),367.4954415199206)</f>
        <v>367.4954415</v>
      </c>
      <c r="Z384" s="30">
        <f>IFERROR(__xludf.DUMMYFUNCTION("""COMPUTED_VALUE"""),0.8876318485663084)</f>
        <v>0.8876318486</v>
      </c>
      <c r="AA384" s="30">
        <f>IFERROR(__xludf.DUMMYFUNCTION("""COMPUTED_VALUE"""),0.6651858415617339)</f>
        <v>0.6651858416</v>
      </c>
      <c r="AB384" s="30">
        <f>IFERROR(__xludf.DUMMYFUNCTION("""COMPUTED_VALUE"""),1.3478666435692974)</f>
        <v>1.347866644</v>
      </c>
      <c r="AC384" s="30">
        <f>IFERROR(__xludf.DUMMYFUNCTION("""COMPUTED_VALUE"""),2.685759706708949)</f>
        <v>2.685759707</v>
      </c>
      <c r="AD384" s="30">
        <f>IFERROR(__xludf.DUMMYFUNCTION("""COMPUTED_VALUE"""),0.7845902309449567)</f>
        <v>0.7845902309</v>
      </c>
      <c r="AE384" s="30">
        <f>IFERROR(__xludf.DUMMYFUNCTION("""COMPUTED_VALUE"""),0.7510621298046686)</f>
        <v>0.7510621298</v>
      </c>
      <c r="AF384" s="30">
        <f>IFERROR(__xludf.DUMMYFUNCTION("""COMPUTED_VALUE"""),0.7158758446699175)</f>
        <v>0.7158758447</v>
      </c>
      <c r="AG384" s="30">
        <f>IFERROR(__xludf.DUMMYFUNCTION("""COMPUTED_VALUE"""),0.8125715555492833)</f>
        <v>0.8125715555</v>
      </c>
      <c r="AH384" s="30">
        <f>IFERROR(__xludf.DUMMYFUNCTION("""COMPUTED_VALUE"""),0.7269380605807593)</f>
        <v>0.7269380606</v>
      </c>
      <c r="AI384" s="30">
        <f>IFERROR(__xludf.DUMMYFUNCTION("""COMPUTED_VALUE"""),1.02649330014142)</f>
        <v>1.0264933</v>
      </c>
      <c r="AJ384" s="30">
        <f>IFERROR(__xludf.DUMMYFUNCTION("""COMPUTED_VALUE"""),1.060165502425567)</f>
        <v>1.060165502</v>
      </c>
      <c r="AK384" s="30">
        <f>IFERROR(__xludf.DUMMYFUNCTION("""COMPUTED_VALUE"""),1.044199364660803)</f>
        <v>1.044199365</v>
      </c>
      <c r="AL384" s="30">
        <f>IFERROR(__xludf.DUMMYFUNCTION("""COMPUTED_VALUE"""),0.9144945295801252)</f>
        <v>0.9144945296</v>
      </c>
      <c r="AM384" s="30">
        <f>IFERROR(__xludf.DUMMYFUNCTION("""COMPUTED_VALUE"""),0.9911803063966675)</f>
        <v>0.9911803064</v>
      </c>
      <c r="AN384" s="30">
        <f>IFERROR(__xludf.DUMMYFUNCTION("""COMPUTED_VALUE"""),0.8350775888621831)</f>
        <v>0.8350775889</v>
      </c>
      <c r="AO384" s="30">
        <f>IFERROR(__xludf.DUMMYFUNCTION("""COMPUTED_VALUE"""),0.8837668371044944)</f>
        <v>0.8837668371</v>
      </c>
      <c r="AP384" s="30">
        <f>IFERROR(__xludf.DUMMYFUNCTION("""COMPUTED_VALUE"""),0.8831006296667611)</f>
        <v>0.8831006297</v>
      </c>
      <c r="AQ384" s="30">
        <f>IFERROR(__xludf.DUMMYFUNCTION("""COMPUTED_VALUE"""),0.8109008836651064)</f>
        <v>0.8109008837</v>
      </c>
      <c r="AR384" s="30">
        <f>IFERROR(__xludf.DUMMYFUNCTION("""COMPUTED_VALUE"""),0.7624457720712915)</f>
        <v>0.7624457721</v>
      </c>
      <c r="AS384" s="30">
        <f>IFERROR(__xludf.DUMMYFUNCTION("""COMPUTED_VALUE"""),41.0)</f>
        <v>41</v>
      </c>
      <c r="AT384" s="30">
        <f>IFERROR(__xludf.DUMMYFUNCTION("""COMPUTED_VALUE"""),0.3953855457920262)</f>
        <v>0.3953855458</v>
      </c>
      <c r="AU384" s="30">
        <f>IFERROR(__xludf.DUMMYFUNCTION("""COMPUTED_VALUE"""),1.7108243590916592)</f>
        <v>1.710824359</v>
      </c>
      <c r="AV384" s="32">
        <f>IFERROR(__xludf.DUMMYFUNCTION("""COMPUTED_VALUE"""),29.583466590551495)</f>
        <v>29.58346659</v>
      </c>
      <c r="AW384" s="32">
        <f>IFERROR(__xludf.DUMMYFUNCTION("""COMPUTED_VALUE"""),-4.829494779068745)</f>
        <v>-4.829494779</v>
      </c>
      <c r="AX384" s="32">
        <f>IFERROR(__xludf.DUMMYFUNCTION("""COMPUTED_VALUE"""),28.399443070417714)</f>
        <v>28.39944307</v>
      </c>
      <c r="AY384" s="32">
        <f>IFERROR(__xludf.DUMMYFUNCTION("""COMPUTED_VALUE"""),-5.160282863005339)</f>
        <v>-5.160282863</v>
      </c>
      <c r="AZ384" s="30">
        <f>IFERROR(__xludf.DUMMYFUNCTION("""COMPUTED_VALUE"""),0.33078808393659376)</f>
        <v>0.3307880839</v>
      </c>
      <c r="BA384" s="30">
        <f>IFERROR(__xludf.DUMMYFUNCTION("""COMPUTED_VALUE"""),1200.0)</f>
        <v>1200</v>
      </c>
    </row>
    <row r="385">
      <c r="A385" s="71" t="str">
        <f>IFERROR(__xludf.DUMMYFUNCTION("""COMPUTED_VALUE"""),"Veteran")</f>
        <v>Veteran</v>
      </c>
      <c r="B385" s="71" t="str">
        <f>IFERROR(__xludf.DUMMYFUNCTION("""COMPUTED_VALUE"""),"RSC007437")</f>
        <v>RSC007437</v>
      </c>
      <c r="C385" s="30" t="str">
        <f>IFERROR(__xludf.DUMMYFUNCTION("""COMPUTED_VALUE"""),"luckyy.12")</f>
        <v>luckyy.12</v>
      </c>
      <c r="D385" s="30" t="str">
        <f>IFERROR(__xludf.DUMMYFUNCTION("""COMPUTED_VALUE"""),"Mellow Fellows")</f>
        <v>Mellow Fellows</v>
      </c>
      <c r="E385" s="30">
        <f>IFERROR(__xludf.DUMMYFUNCTION("""COMPUTED_VALUE"""),36.0)</f>
        <v>36</v>
      </c>
      <c r="F385" s="30">
        <f>IFERROR(__xludf.DUMMYFUNCTION("""COMPUTED_VALUE"""),14.0)</f>
        <v>14</v>
      </c>
      <c r="G385" s="42">
        <f>IFERROR(__xludf.DUMMYFUNCTION("""COMPUTED_VALUE"""),22.0)</f>
        <v>22</v>
      </c>
      <c r="H385" s="42">
        <f>IFERROR(__xludf.DUMMYFUNCTION("""COMPUTED_VALUE"""),0.3888888888888889)</f>
        <v>0.3888888889</v>
      </c>
      <c r="I385" s="42">
        <f>IFERROR(__xludf.DUMMYFUNCTION("""COMPUTED_VALUE"""),0.1956521739130435)</f>
        <v>0.1956521739</v>
      </c>
      <c r="J385" s="30">
        <f>IFERROR(__xludf.DUMMYFUNCTION("""COMPUTED_VALUE"""),362.1388888888889)</f>
        <v>362.1388889</v>
      </c>
      <c r="K385" s="30">
        <f>IFERROR(__xludf.DUMMYFUNCTION("""COMPUTED_VALUE"""),0.5)</f>
        <v>0.5</v>
      </c>
      <c r="L385" s="30">
        <f>IFERROR(__xludf.DUMMYFUNCTION("""COMPUTED_VALUE"""),0.75)</f>
        <v>0.75</v>
      </c>
      <c r="M385" s="30">
        <f>IFERROR(__xludf.DUMMYFUNCTION("""COMPUTED_VALUE"""),1.75)</f>
        <v>1.75</v>
      </c>
      <c r="N385" s="30">
        <f>IFERROR(__xludf.DUMMYFUNCTION("""COMPUTED_VALUE"""),2.5555555555555554)</f>
        <v>2.555555556</v>
      </c>
      <c r="O385" s="30">
        <f>IFERROR(__xludf.DUMMYFUNCTION("""COMPUTED_VALUE"""),349.324074074074)</f>
        <v>349.3240741</v>
      </c>
      <c r="P385" s="30">
        <f>IFERROR(__xludf.DUMMYFUNCTION("""COMPUTED_VALUE"""),0.7592592592592594)</f>
        <v>0.7592592593</v>
      </c>
      <c r="Q385" s="30">
        <f>IFERROR(__xludf.DUMMYFUNCTION("""COMPUTED_VALUE"""),0.537037037037037)</f>
        <v>0.537037037</v>
      </c>
      <c r="R385" s="30">
        <f>IFERROR(__xludf.DUMMYFUNCTION("""COMPUTED_VALUE"""),1.4166666666666665)</f>
        <v>1.416666667</v>
      </c>
      <c r="S385" s="30">
        <f>IFERROR(__xludf.DUMMYFUNCTION("""COMPUTED_VALUE"""),2.7129629629629637)</f>
        <v>2.712962963</v>
      </c>
      <c r="T385" s="30">
        <f>IFERROR(__xludf.DUMMYFUNCTION("""COMPUTED_VALUE"""),338.0814465497977)</f>
        <v>338.0814465</v>
      </c>
      <c r="U385" s="30">
        <f>IFERROR(__xludf.DUMMYFUNCTION("""COMPUTED_VALUE"""),0.7102969867242348)</f>
        <v>0.7102969867</v>
      </c>
      <c r="V385" s="30">
        <f>IFERROR(__xludf.DUMMYFUNCTION("""COMPUTED_VALUE"""),0.547005816303956)</f>
        <v>0.5470058163</v>
      </c>
      <c r="W385" s="30">
        <f>IFERROR(__xludf.DUMMYFUNCTION("""COMPUTED_VALUE"""),1.2917926042256005)</f>
        <v>1.291792604</v>
      </c>
      <c r="X385" s="30">
        <f>IFERROR(__xludf.DUMMYFUNCTION("""COMPUTED_VALUE"""),2.58639410996994)</f>
        <v>2.58639411</v>
      </c>
      <c r="Y385" s="30">
        <f>IFERROR(__xludf.DUMMYFUNCTION("""COMPUTED_VALUE"""),348.2561267932117)</f>
        <v>348.2561268</v>
      </c>
      <c r="Z385" s="30">
        <f>IFERROR(__xludf.DUMMYFUNCTION("""COMPUTED_VALUE"""),0.7429287373390756)</f>
        <v>0.7429287373</v>
      </c>
      <c r="AA385" s="30">
        <f>IFERROR(__xludf.DUMMYFUNCTION("""COMPUTED_VALUE"""),0.5547285605429182)</f>
        <v>0.5547285605</v>
      </c>
      <c r="AB385" s="30">
        <f>IFERROR(__xludf.DUMMYFUNCTION("""COMPUTED_VALUE"""),1.3721900717081992)</f>
        <v>1.372190072</v>
      </c>
      <c r="AC385" s="30">
        <f>IFERROR(__xludf.DUMMYFUNCTION("""COMPUTED_VALUE"""),2.521510569583101)</f>
        <v>2.52151057</v>
      </c>
      <c r="AD385" s="30">
        <f>IFERROR(__xludf.DUMMYFUNCTION("""COMPUTED_VALUE"""),1.0398636550159548)</f>
        <v>1.039863655</v>
      </c>
      <c r="AE385" s="30">
        <f>IFERROR(__xludf.DUMMYFUNCTION("""COMPUTED_VALUE"""),0.6730120600676105)</f>
        <v>0.6730120601</v>
      </c>
      <c r="AF385" s="30">
        <f>IFERROR(__xludf.DUMMYFUNCTION("""COMPUTED_VALUE"""),1.3520125938097864)</f>
        <v>1.352012594</v>
      </c>
      <c r="AG385" s="30">
        <f>IFERROR(__xludf.DUMMYFUNCTION("""COMPUTED_VALUE"""),1.2753335241826056)</f>
        <v>1.275333524</v>
      </c>
      <c r="AH385" s="30">
        <f>IFERROR(__xludf.DUMMYFUNCTION("""COMPUTED_VALUE"""),1.0135018216394323)</f>
        <v>1.013501822</v>
      </c>
      <c r="AI385" s="30">
        <f>IFERROR(__xludf.DUMMYFUNCTION("""COMPUTED_VALUE"""),1.033254198474983)</f>
        <v>1.033254198</v>
      </c>
      <c r="AJ385" s="30">
        <f>IFERROR(__xludf.DUMMYFUNCTION("""COMPUTED_VALUE"""),1.068932113538634)</f>
        <v>1.068932114</v>
      </c>
      <c r="AK385" s="30">
        <f>IFERROR(__xludf.DUMMYFUNCTION("""COMPUTED_VALUE"""),0.9817757344258665)</f>
        <v>0.9817757344</v>
      </c>
      <c r="AL385" s="30">
        <f>IFERROR(__xludf.DUMMYFUNCTION("""COMPUTED_VALUE"""),1.0966672684396774)</f>
        <v>1.096667268</v>
      </c>
      <c r="AM385" s="30">
        <f>IFERROR(__xludf.DUMMYFUNCTION("""COMPUTED_VALUE"""),1.0489364140233426)</f>
        <v>1.048936414</v>
      </c>
      <c r="AN385" s="30">
        <f>IFERROR(__xludf.DUMMYFUNCTION("""COMPUTED_VALUE"""),1.048834925433168)</f>
        <v>1.048834925</v>
      </c>
      <c r="AO385" s="30">
        <f>IFERROR(__xludf.DUMMYFUNCTION("""COMPUTED_VALUE"""),0.6628251278283709)</f>
        <v>0.6628251278</v>
      </c>
      <c r="AP385" s="30">
        <f>IFERROR(__xludf.DUMMYFUNCTION("""COMPUTED_VALUE"""),1.3908834917251487)</f>
        <v>1.390883492</v>
      </c>
      <c r="AQ385" s="30">
        <f>IFERROR(__xludf.DUMMYFUNCTION("""COMPUTED_VALUE"""),1.2956785858562023)</f>
        <v>1.295678586</v>
      </c>
      <c r="AR385" s="30">
        <f>IFERROR(__xludf.DUMMYFUNCTION("""COMPUTED_VALUE"""),0.9979981244185198)</f>
        <v>0.9979981244</v>
      </c>
      <c r="AS385" s="30">
        <f>IFERROR(__xludf.DUMMYFUNCTION("""COMPUTED_VALUE"""),68.0)</f>
        <v>68</v>
      </c>
      <c r="AT385" s="30">
        <f>IFERROR(__xludf.DUMMYFUNCTION("""COMPUTED_VALUE"""),0.4299694241264085)</f>
        <v>0.4299694241</v>
      </c>
      <c r="AU385" s="30">
        <f>IFERROR(__xludf.DUMMYFUNCTION("""COMPUTED_VALUE"""),2.4334120662986796)</f>
        <v>2.433412066</v>
      </c>
      <c r="AV385" s="32">
        <f>IFERROR(__xludf.DUMMYFUNCTION("""COMPUTED_VALUE"""),51.96640997566)</f>
        <v>51.96640998</v>
      </c>
      <c r="AW385" s="32">
        <f>IFERROR(__xludf.DUMMYFUNCTION("""COMPUTED_VALUE"""),2.1337750497668577)</f>
        <v>2.13377505</v>
      </c>
      <c r="AX385" s="32">
        <f>IFERROR(__xludf.DUMMYFUNCTION("""COMPUTED_VALUE"""),55.96164641306558)</f>
        <v>55.96164641</v>
      </c>
      <c r="AY385" s="32">
        <f>IFERROR(__xludf.DUMMYFUNCTION("""COMPUTED_VALUE"""),2.4645116662524242)</f>
        <v>2.464511666</v>
      </c>
      <c r="AZ385" s="30">
        <f>IFERROR(__xludf.DUMMYFUNCTION("""COMPUTED_VALUE"""),0.3307366164855665)</f>
        <v>0.3307366165</v>
      </c>
      <c r="BA385" s="30">
        <f>IFERROR(__xludf.DUMMYFUNCTION("""COMPUTED_VALUE"""),1200.0)</f>
        <v>1200</v>
      </c>
    </row>
    <row r="386">
      <c r="A386" s="71" t="str">
        <f>IFERROR(__xludf.DUMMYFUNCTION("""COMPUTED_VALUE"""),"Veteran")</f>
        <v>Veteran</v>
      </c>
      <c r="B386" s="71" t="str">
        <f>IFERROR(__xludf.DUMMYFUNCTION("""COMPUTED_VALUE"""),"RSC007479")</f>
        <v>RSC007479</v>
      </c>
      <c r="C386" s="30" t="str">
        <f>IFERROR(__xludf.DUMMYFUNCTION("""COMPUTED_VALUE"""),"Metatonixz")</f>
        <v>Metatonixz</v>
      </c>
      <c r="D386" s="30" t="str">
        <f>IFERROR(__xludf.DUMMYFUNCTION("""COMPUTED_VALUE"""),"Folks")</f>
        <v>Folks</v>
      </c>
      <c r="E386" s="30">
        <f>IFERROR(__xludf.DUMMYFUNCTION("""COMPUTED_VALUE"""),35.0)</f>
        <v>35</v>
      </c>
      <c r="F386" s="30">
        <f>IFERROR(__xludf.DUMMYFUNCTION("""COMPUTED_VALUE"""),18.0)</f>
        <v>18</v>
      </c>
      <c r="G386" s="42">
        <f>IFERROR(__xludf.DUMMYFUNCTION("""COMPUTED_VALUE"""),17.0)</f>
        <v>17</v>
      </c>
      <c r="H386" s="42">
        <f>IFERROR(__xludf.DUMMYFUNCTION("""COMPUTED_VALUE"""),0.5142857142857142)</f>
        <v>0.5142857143</v>
      </c>
      <c r="I386" s="42">
        <f>IFERROR(__xludf.DUMMYFUNCTION("""COMPUTED_VALUE"""),0.3076923076923077)</f>
        <v>0.3076923077</v>
      </c>
      <c r="J386" s="30">
        <f>IFERROR(__xludf.DUMMYFUNCTION("""COMPUTED_VALUE"""),334.7142857142857)</f>
        <v>334.7142857</v>
      </c>
      <c r="K386" s="30">
        <f>IFERROR(__xludf.DUMMYFUNCTION("""COMPUTED_VALUE"""),0.6857142857142857)</f>
        <v>0.6857142857</v>
      </c>
      <c r="L386" s="30">
        <f>IFERROR(__xludf.DUMMYFUNCTION("""COMPUTED_VALUE"""),0.5142857142857142)</f>
        <v>0.5142857143</v>
      </c>
      <c r="M386" s="30">
        <f>IFERROR(__xludf.DUMMYFUNCTION("""COMPUTED_VALUE"""),1.2)</f>
        <v>1.2</v>
      </c>
      <c r="N386" s="30">
        <f>IFERROR(__xludf.DUMMYFUNCTION("""COMPUTED_VALUE"""),2.2285714285714286)</f>
        <v>2.228571429</v>
      </c>
      <c r="O386" s="30">
        <f>IFERROR(__xludf.DUMMYFUNCTION("""COMPUTED_VALUE"""),343.59047619047624)</f>
        <v>343.5904762</v>
      </c>
      <c r="P386" s="30">
        <f>IFERROR(__xludf.DUMMYFUNCTION("""COMPUTED_VALUE"""),0.7333333333333335)</f>
        <v>0.7333333333</v>
      </c>
      <c r="Q386" s="30">
        <f>IFERROR(__xludf.DUMMYFUNCTION("""COMPUTED_VALUE"""),0.6190476190476192)</f>
        <v>0.619047619</v>
      </c>
      <c r="R386" s="30">
        <f>IFERROR(__xludf.DUMMYFUNCTION("""COMPUTED_VALUE"""),1.2571428571428571)</f>
        <v>1.257142857</v>
      </c>
      <c r="S386" s="30">
        <f>IFERROR(__xludf.DUMMYFUNCTION("""COMPUTED_VALUE"""),2.6095238095238096)</f>
        <v>2.60952381</v>
      </c>
      <c r="T386" s="30">
        <f>IFERROR(__xludf.DUMMYFUNCTION("""COMPUTED_VALUE"""),362.9662519181103)</f>
        <v>362.9662519</v>
      </c>
      <c r="U386" s="30">
        <f>IFERROR(__xludf.DUMMYFUNCTION("""COMPUTED_VALUE"""),0.8183138865817775)</f>
        <v>0.8183138866</v>
      </c>
      <c r="V386" s="30">
        <f>IFERROR(__xludf.DUMMYFUNCTION("""COMPUTED_VALUE"""),0.619291560314963)</f>
        <v>0.6192915603</v>
      </c>
      <c r="W386" s="30">
        <f>IFERROR(__xludf.DUMMYFUNCTION("""COMPUTED_VALUE"""),1.3682088190298636)</f>
        <v>1.368208819</v>
      </c>
      <c r="X386" s="30">
        <f>IFERROR(__xludf.DUMMYFUNCTION("""COMPUTED_VALUE"""),2.704117669345939)</f>
        <v>2.704117669</v>
      </c>
      <c r="Y386" s="30">
        <f>IFERROR(__xludf.DUMMYFUNCTION("""COMPUTED_VALUE"""),356.2429729518194)</f>
        <v>356.242973</v>
      </c>
      <c r="Z386" s="30">
        <f>IFERROR(__xludf.DUMMYFUNCTION("""COMPUTED_VALUE"""),0.7939629122025588)</f>
        <v>0.7939629122</v>
      </c>
      <c r="AA386" s="30">
        <f>IFERROR(__xludf.DUMMYFUNCTION("""COMPUTED_VALUE"""),0.5677776534349304)</f>
        <v>0.5677776534</v>
      </c>
      <c r="AB386" s="30">
        <f>IFERROR(__xludf.DUMMYFUNCTION("""COMPUTED_VALUE"""),1.3794736796744194)</f>
        <v>1.37947368</v>
      </c>
      <c r="AC386" s="30">
        <f>IFERROR(__xludf.DUMMYFUNCTION("""COMPUTED_VALUE"""),2.6410793874553544)</f>
        <v>2.641079387</v>
      </c>
      <c r="AD386" s="30">
        <f>IFERROR(__xludf.DUMMYFUNCTION("""COMPUTED_VALUE"""),0.939567405192171)</f>
        <v>0.9395674052</v>
      </c>
      <c r="AE386" s="30">
        <f>IFERROR(__xludf.DUMMYFUNCTION("""COMPUTED_VALUE"""),0.8636603488342082)</f>
        <v>0.8636603488</v>
      </c>
      <c r="AF386" s="30">
        <f>IFERROR(__xludf.DUMMYFUNCTION("""COMPUTED_VALUE"""),0.905787170689791)</f>
        <v>0.9057871707</v>
      </c>
      <c r="AG386" s="30">
        <f>IFERROR(__xludf.DUMMYFUNCTION("""COMPUTED_VALUE"""),0.8698969887437226)</f>
        <v>0.8698969887</v>
      </c>
      <c r="AH386" s="30">
        <f>IFERROR(__xludf.DUMMYFUNCTION("""COMPUTED_VALUE"""),0.8438108445951064)</f>
        <v>0.8438108446</v>
      </c>
      <c r="AI386" s="30">
        <f>IFERROR(__xludf.DUMMYFUNCTION("""COMPUTED_VALUE"""),0.9466182444642113)</f>
        <v>0.9466182445</v>
      </c>
      <c r="AJ386" s="30">
        <f>IFERROR(__xludf.DUMMYFUNCTION("""COMPUTED_VALUE"""),0.896151642246448)</f>
        <v>0.8961516422</v>
      </c>
      <c r="AK386" s="30">
        <f>IFERROR(__xludf.DUMMYFUNCTION("""COMPUTED_VALUE"""),0.9996060962509811)</f>
        <v>0.9996060963</v>
      </c>
      <c r="AL386" s="30">
        <f>IFERROR(__xludf.DUMMYFUNCTION("""COMPUTED_VALUE"""),0.918823822546504)</f>
        <v>0.9188238225</v>
      </c>
      <c r="AM386" s="30">
        <f>IFERROR(__xludf.DUMMYFUNCTION("""COMPUTED_VALUE"""),0.9650185859533956)</f>
        <v>0.965018586</v>
      </c>
      <c r="AN386" s="30">
        <f>IFERROR(__xludf.DUMMYFUNCTION("""COMPUTED_VALUE"""),0.9694071630243246)</f>
        <v>0.969407163</v>
      </c>
      <c r="AO386" s="30">
        <f>IFERROR(__xludf.DUMMYFUNCTION("""COMPUTED_VALUE"""),0.909017318164623)</f>
        <v>0.9090173182</v>
      </c>
      <c r="AP386" s="30">
        <f>IFERROR(__xludf.DUMMYFUNCTION("""COMPUTED_VALUE"""),0.9537486800401018)</f>
        <v>0.95374868</v>
      </c>
      <c r="AQ386" s="30">
        <f>IFERROR(__xludf.DUMMYFUNCTION("""COMPUTED_VALUE"""),0.8884653160156816)</f>
        <v>0.888465316</v>
      </c>
      <c r="AR386" s="30">
        <f>IFERROR(__xludf.DUMMYFUNCTION("""COMPUTED_VALUE"""),0.8703039544618646)</f>
        <v>0.8703039545</v>
      </c>
      <c r="AS386" s="30">
        <f>IFERROR(__xludf.DUMMYFUNCTION("""COMPUTED_VALUE"""),77.0)</f>
        <v>77</v>
      </c>
      <c r="AT386" s="30">
        <f>IFERROR(__xludf.DUMMYFUNCTION("""COMPUTED_VALUE"""),0.4999999999999998)</f>
        <v>0.5</v>
      </c>
      <c r="AU386" s="30">
        <f>IFERROR(__xludf.DUMMYFUNCTION("""COMPUTED_VALUE"""),2.2055484246886023)</f>
        <v>2.205548425</v>
      </c>
      <c r="AV386" s="32">
        <f>IFERROR(__xludf.DUMMYFUNCTION("""COMPUTED_VALUE"""),44.90808482175339)</f>
        <v>44.90808482</v>
      </c>
      <c r="AW386" s="32">
        <f>IFERROR(__xludf.DUMMYFUNCTION("""COMPUTED_VALUE"""),-2.3849095597339947)</f>
        <v>-2.38490956</v>
      </c>
      <c r="AX386" s="32">
        <f>IFERROR(__xludf.DUMMYFUNCTION("""COMPUTED_VALUE"""),42.06469060002888)</f>
        <v>42.0646906</v>
      </c>
      <c r="AY386" s="32">
        <f>IFERROR(__xludf.DUMMYFUNCTION("""COMPUTED_VALUE"""),-2.6633615497131853)</f>
        <v>-2.66336155</v>
      </c>
      <c r="AZ386" s="30">
        <f>IFERROR(__xludf.DUMMYFUNCTION("""COMPUTED_VALUE"""),0.27845198997919063)</f>
        <v>0.27845199</v>
      </c>
      <c r="BA386" s="30">
        <f>IFERROR(__xludf.DUMMYFUNCTION("""COMPUTED_VALUE"""),1200.0)</f>
        <v>1200</v>
      </c>
    </row>
    <row r="387">
      <c r="A387" s="71" t="str">
        <f>IFERROR(__xludf.DUMMYFUNCTION("""COMPUTED_VALUE"""),"Veteran")</f>
        <v>Veteran</v>
      </c>
      <c r="B387" s="71" t="str">
        <f>IFERROR(__xludf.DUMMYFUNCTION("""COMPUTED_VALUE"""),"RSC002937")</f>
        <v>RSC002937</v>
      </c>
      <c r="C387" s="30" t="str">
        <f>IFERROR(__xludf.DUMMYFUNCTION("""COMPUTED_VALUE"""),"SirTommyNoble")</f>
        <v>SirTommyNoble</v>
      </c>
      <c r="D387" s="30" t="str">
        <f>IFERROR(__xludf.DUMMYFUNCTION("""COMPUTED_VALUE"""),"Kirin")</f>
        <v>Kirin</v>
      </c>
      <c r="E387" s="30">
        <f>IFERROR(__xludf.DUMMYFUNCTION("""COMPUTED_VALUE"""),36.0)</f>
        <v>36</v>
      </c>
      <c r="F387" s="30">
        <f>IFERROR(__xludf.DUMMYFUNCTION("""COMPUTED_VALUE"""),17.0)</f>
        <v>17</v>
      </c>
      <c r="G387" s="42">
        <f>IFERROR(__xludf.DUMMYFUNCTION("""COMPUTED_VALUE"""),19.0)</f>
        <v>19</v>
      </c>
      <c r="H387" s="42">
        <f>IFERROR(__xludf.DUMMYFUNCTION("""COMPUTED_VALUE"""),0.4722222222222222)</f>
        <v>0.4722222222</v>
      </c>
      <c r="I387" s="42">
        <f>IFERROR(__xludf.DUMMYFUNCTION("""COMPUTED_VALUE"""),0.23913043478260873)</f>
        <v>0.2391304348</v>
      </c>
      <c r="J387" s="30">
        <f>IFERROR(__xludf.DUMMYFUNCTION("""COMPUTED_VALUE"""),368.47222222222223)</f>
        <v>368.4722222</v>
      </c>
      <c r="K387" s="30">
        <f>IFERROR(__xludf.DUMMYFUNCTION("""COMPUTED_VALUE"""),0.6111111111111112)</f>
        <v>0.6111111111</v>
      </c>
      <c r="L387" s="30">
        <f>IFERROR(__xludf.DUMMYFUNCTION("""COMPUTED_VALUE"""),0.7222222222222222)</f>
        <v>0.7222222222</v>
      </c>
      <c r="M387" s="30">
        <f>IFERROR(__xludf.DUMMYFUNCTION("""COMPUTED_VALUE"""),1.5)</f>
        <v>1.5</v>
      </c>
      <c r="N387" s="30">
        <f>IFERROR(__xludf.DUMMYFUNCTION("""COMPUTED_VALUE"""),2.5555555555555554)</f>
        <v>2.555555556</v>
      </c>
      <c r="O387" s="30">
        <f>IFERROR(__xludf.DUMMYFUNCTION("""COMPUTED_VALUE"""),367.93518518518505)</f>
        <v>367.9351852</v>
      </c>
      <c r="P387" s="30">
        <f>IFERROR(__xludf.DUMMYFUNCTION("""COMPUTED_VALUE"""),0.8333333333333335)</f>
        <v>0.8333333333</v>
      </c>
      <c r="Q387" s="30">
        <f>IFERROR(__xludf.DUMMYFUNCTION("""COMPUTED_VALUE"""),0.6296296296296299)</f>
        <v>0.6296296296</v>
      </c>
      <c r="R387" s="30">
        <f>IFERROR(__xludf.DUMMYFUNCTION("""COMPUTED_VALUE"""),1.1759259259259265)</f>
        <v>1.175925926</v>
      </c>
      <c r="S387" s="30">
        <f>IFERROR(__xludf.DUMMYFUNCTION("""COMPUTED_VALUE"""),2.8611111111111107)</f>
        <v>2.861111111</v>
      </c>
      <c r="T387" s="30">
        <f>IFERROR(__xludf.DUMMYFUNCTION("""COMPUTED_VALUE"""),370.0648071068151)</f>
        <v>370.0648071</v>
      </c>
      <c r="U387" s="30">
        <f>IFERROR(__xludf.DUMMYFUNCTION("""COMPUTED_VALUE"""),0.850764395889053)</f>
        <v>0.8507643959</v>
      </c>
      <c r="V387" s="30">
        <f>IFERROR(__xludf.DUMMYFUNCTION("""COMPUTED_VALUE"""),0.6098030849137746)</f>
        <v>0.6098030849</v>
      </c>
      <c r="W387" s="30">
        <f>IFERROR(__xludf.DUMMYFUNCTION("""COMPUTED_VALUE"""),1.3985989280220255)</f>
        <v>1.398598928</v>
      </c>
      <c r="X387" s="30">
        <f>IFERROR(__xludf.DUMMYFUNCTION("""COMPUTED_VALUE"""),2.7947725320532615)</f>
        <v>2.794772532</v>
      </c>
      <c r="Y387" s="30">
        <f>IFERROR(__xludf.DUMMYFUNCTION("""COMPUTED_VALUE"""),356.10133819576015)</f>
        <v>356.1013382</v>
      </c>
      <c r="Z387" s="30">
        <f>IFERROR(__xludf.DUMMYFUNCTION("""COMPUTED_VALUE"""),0.7705392211372077)</f>
        <v>0.7705392211</v>
      </c>
      <c r="AA387" s="30">
        <f>IFERROR(__xludf.DUMMYFUNCTION("""COMPUTED_VALUE"""),0.5778685176446791)</f>
        <v>0.5778685176</v>
      </c>
      <c r="AB387" s="30">
        <f>IFERROR(__xludf.DUMMYFUNCTION("""COMPUTED_VALUE"""),1.3992071447045442)</f>
        <v>1.399207145</v>
      </c>
      <c r="AC387" s="30">
        <f>IFERROR(__xludf.DUMMYFUNCTION("""COMPUTED_VALUE"""),2.651020617508074)</f>
        <v>2.651020618</v>
      </c>
      <c r="AD387" s="30">
        <f>IFERROR(__xludf.DUMMYFUNCTION("""COMPUTED_VALUE"""),1.0347397852789348)</f>
        <v>1.034739785</v>
      </c>
      <c r="AE387" s="30">
        <f>IFERROR(__xludf.DUMMYFUNCTION("""COMPUTED_VALUE"""),0.7930953991014201)</f>
        <v>0.7930953991</v>
      </c>
      <c r="AF387" s="30">
        <f>IFERROR(__xludf.DUMMYFUNCTION("""COMPUTED_VALUE"""),1.2498037186139004)</f>
        <v>1.249803719</v>
      </c>
      <c r="AG387" s="30">
        <f>IFERROR(__xludf.DUMMYFUNCTION("""COMPUTED_VALUE"""),1.0720356922682375)</f>
        <v>1.072035692</v>
      </c>
      <c r="AH387" s="30">
        <f>IFERROR(__xludf.DUMMYFUNCTION("""COMPUTED_VALUE"""),0.9639893174266391)</f>
        <v>0.9639893174</v>
      </c>
      <c r="AI387" s="30">
        <f>IFERROR(__xludf.DUMMYFUNCTION("""COMPUTED_VALUE"""),0.9942452730420934)</f>
        <v>0.994245273</v>
      </c>
      <c r="AJ387" s="30">
        <f>IFERROR(__xludf.DUMMYFUNCTION("""COMPUTED_VALUE"""),0.9795112928562273)</f>
        <v>0.9795112929</v>
      </c>
      <c r="AK387" s="30">
        <f>IFERROR(__xludf.DUMMYFUNCTION("""COMPUTED_VALUE"""),1.0325130279041779)</f>
        <v>1.032513028</v>
      </c>
      <c r="AL387" s="30">
        <f>IFERROR(__xludf.DUMMYFUNCTION("""COMPUTED_VALUE"""),0.8407885222599053)</f>
        <v>0.8407885223</v>
      </c>
      <c r="AM387" s="30">
        <f>IFERROR(__xludf.DUMMYFUNCTION("""COMPUTED_VALUE"""),1.0237366648974153)</f>
        <v>1.023736665</v>
      </c>
      <c r="AN387" s="30">
        <f>IFERROR(__xludf.DUMMYFUNCTION("""COMPUTED_VALUE"""),1.0671776701596205)</f>
        <v>1.06717767</v>
      </c>
      <c r="AO387" s="30">
        <f>IFERROR(__xludf.DUMMYFUNCTION("""COMPUTED_VALUE"""),0.81011960067912)</f>
        <v>0.8101196007</v>
      </c>
      <c r="AP387" s="30">
        <f>IFERROR(__xludf.DUMMYFUNCTION("""COMPUTED_VALUE"""),1.339369288327921)</f>
        <v>1.339369288</v>
      </c>
      <c r="AQ387" s="30">
        <f>IFERROR(__xludf.DUMMYFUNCTION("""COMPUTED_VALUE"""),1.110581645019602)</f>
        <v>1.110581645</v>
      </c>
      <c r="AR387" s="30">
        <f>IFERROR(__xludf.DUMMYFUNCTION("""COMPUTED_VALUE"""),0.9979981244185198)</f>
        <v>0.9979981244</v>
      </c>
      <c r="AS387" s="30">
        <f>IFERROR(__xludf.DUMMYFUNCTION("""COMPUTED_VALUE"""),93.0)</f>
        <v>93</v>
      </c>
      <c r="AT387" s="30">
        <f>IFERROR(__xludf.DUMMYFUNCTION("""COMPUTED_VALUE"""),0.5130690732070926)</f>
        <v>0.5130690732</v>
      </c>
      <c r="AU387" s="30">
        <f>IFERROR(__xludf.DUMMYFUNCTION("""COMPUTED_VALUE"""),2.5422589342278443)</f>
        <v>2.542258934</v>
      </c>
      <c r="AV387" s="32">
        <f>IFERROR(__xludf.DUMMYFUNCTION("""COMPUTED_VALUE"""),55.338060583891114)</f>
        <v>55.33806058</v>
      </c>
      <c r="AW387" s="32">
        <f>IFERROR(__xludf.DUMMYFUNCTION("""COMPUTED_VALUE"""),2.406972032125761)</f>
        <v>2.406972032</v>
      </c>
      <c r="AX387" s="32">
        <f>IFERROR(__xludf.DUMMYFUNCTION("""COMPUTED_VALUE"""),51.9424946384603)</f>
        <v>51.94249464</v>
      </c>
      <c r="AY387" s="32">
        <f>IFERROR(__xludf.DUMMYFUNCTION("""COMPUTED_VALUE"""),2.13204418069246)</f>
        <v>2.132044181</v>
      </c>
      <c r="AZ387" s="30">
        <f>IFERROR(__xludf.DUMMYFUNCTION("""COMPUTED_VALUE"""),0.2749278514333007)</f>
        <v>0.2749278514</v>
      </c>
      <c r="BA387" s="30">
        <f>IFERROR(__xludf.DUMMYFUNCTION("""COMPUTED_VALUE"""),1200.0)</f>
        <v>1200</v>
      </c>
    </row>
    <row r="388">
      <c r="A388" s="71" t="str">
        <f>IFERROR(__xludf.DUMMYFUNCTION("""COMPUTED_VALUE"""),"Veteran")</f>
        <v>Veteran</v>
      </c>
      <c r="B388" s="71" t="str">
        <f>IFERROR(__xludf.DUMMYFUNCTION("""COMPUTED_VALUE"""),"RSC007655")</f>
        <v>RSC007655</v>
      </c>
      <c r="C388" s="30" t="str">
        <f>IFERROR(__xludf.DUMMYFUNCTION("""COMPUTED_VALUE"""),"Dx Geo xD")</f>
        <v>Dx Geo xD</v>
      </c>
      <c r="D388" s="30" t="str">
        <f>IFERROR(__xludf.DUMMYFUNCTION("""COMPUTED_VALUE"""),"Water")</f>
        <v>Water</v>
      </c>
      <c r="E388" s="30">
        <f>IFERROR(__xludf.DUMMYFUNCTION("""COMPUTED_VALUE"""),28.0)</f>
        <v>28</v>
      </c>
      <c r="F388" s="30">
        <f>IFERROR(__xludf.DUMMYFUNCTION("""COMPUTED_VALUE"""),14.0)</f>
        <v>14</v>
      </c>
      <c r="G388" s="42">
        <f>IFERROR(__xludf.DUMMYFUNCTION("""COMPUTED_VALUE"""),14.0)</f>
        <v>14</v>
      </c>
      <c r="H388" s="42">
        <f>IFERROR(__xludf.DUMMYFUNCTION("""COMPUTED_VALUE"""),0.5)</f>
        <v>0.5</v>
      </c>
      <c r="I388" s="42">
        <f>IFERROR(__xludf.DUMMYFUNCTION("""COMPUTED_VALUE"""),0.33333333333333337)</f>
        <v>0.3333333333</v>
      </c>
      <c r="J388" s="30">
        <f>IFERROR(__xludf.DUMMYFUNCTION("""COMPUTED_VALUE"""),365.85714285714283)</f>
        <v>365.8571429</v>
      </c>
      <c r="K388" s="30">
        <f>IFERROR(__xludf.DUMMYFUNCTION("""COMPUTED_VALUE"""),0.9642857142857143)</f>
        <v>0.9642857143</v>
      </c>
      <c r="L388" s="30">
        <f>IFERROR(__xludf.DUMMYFUNCTION("""COMPUTED_VALUE"""),0.39285714285714285)</f>
        <v>0.3928571429</v>
      </c>
      <c r="M388" s="30">
        <f>IFERROR(__xludf.DUMMYFUNCTION("""COMPUTED_VALUE"""),1.1785714285714286)</f>
        <v>1.178571429</v>
      </c>
      <c r="N388" s="30">
        <f>IFERROR(__xludf.DUMMYFUNCTION("""COMPUTED_VALUE"""),2.892857142857143)</f>
        <v>2.892857143</v>
      </c>
      <c r="O388" s="30">
        <f>IFERROR(__xludf.DUMMYFUNCTION("""COMPUTED_VALUE"""),308.9880952380951)</f>
        <v>308.9880952</v>
      </c>
      <c r="P388" s="30">
        <f>IFERROR(__xludf.DUMMYFUNCTION("""COMPUTED_VALUE"""),0.630952380952381)</f>
        <v>0.630952381</v>
      </c>
      <c r="Q388" s="30">
        <f>IFERROR(__xludf.DUMMYFUNCTION("""COMPUTED_VALUE"""),0.4166666666666668)</f>
        <v>0.4166666667</v>
      </c>
      <c r="R388" s="30">
        <f>IFERROR(__xludf.DUMMYFUNCTION("""COMPUTED_VALUE"""),1.1428571428571428)</f>
        <v>1.142857143</v>
      </c>
      <c r="S388" s="30">
        <f>IFERROR(__xludf.DUMMYFUNCTION("""COMPUTED_VALUE"""),2.25)</f>
        <v>2.25</v>
      </c>
      <c r="T388" s="30">
        <f>IFERROR(__xludf.DUMMYFUNCTION("""COMPUTED_VALUE"""),356.4107656113521)</f>
        <v>356.4107656</v>
      </c>
      <c r="U388" s="30">
        <f>IFERROR(__xludf.DUMMYFUNCTION("""COMPUTED_VALUE"""),0.7916081616338292)</f>
        <v>0.7916081616</v>
      </c>
      <c r="V388" s="30">
        <f>IFERROR(__xludf.DUMMYFUNCTION("""COMPUTED_VALUE"""),0.5674816445395363)</f>
        <v>0.5674816445</v>
      </c>
      <c r="W388" s="30">
        <f>IFERROR(__xludf.DUMMYFUNCTION("""COMPUTED_VALUE"""),1.3656184902276325)</f>
        <v>1.36561849</v>
      </c>
      <c r="X388" s="30">
        <f>IFERROR(__xludf.DUMMYFUNCTION("""COMPUTED_VALUE"""),2.547189520969678)</f>
        <v>2.547189521</v>
      </c>
      <c r="Y388" s="30">
        <f>IFERROR(__xludf.DUMMYFUNCTION("""COMPUTED_VALUE"""),364.1734710013037)</f>
        <v>364.173471</v>
      </c>
      <c r="Z388" s="30">
        <f>IFERROR(__xludf.DUMMYFUNCTION("""COMPUTED_VALUE"""),0.8311408740616919)</f>
        <v>0.8311408741</v>
      </c>
      <c r="AA388" s="30">
        <f>IFERROR(__xludf.DUMMYFUNCTION("""COMPUTED_VALUE"""),0.6171952172446039)</f>
        <v>0.6171952172</v>
      </c>
      <c r="AB388" s="30">
        <f>IFERROR(__xludf.DUMMYFUNCTION("""COMPUTED_VALUE"""),1.3229728224921986)</f>
        <v>1.322972822</v>
      </c>
      <c r="AC388" s="30">
        <f>IFERROR(__xludf.DUMMYFUNCTION("""COMPUTED_VALUE"""),2.785169348952245)</f>
        <v>2.785169349</v>
      </c>
      <c r="AD388" s="30">
        <f>IFERROR(__xludf.DUMMYFUNCTION("""COMPUTED_VALUE"""),1.0046232688262817)</f>
        <v>1.004623269</v>
      </c>
      <c r="AE388" s="30">
        <f>IFERROR(__xludf.DUMMYFUNCTION("""COMPUTED_VALUE"""),1.1601952742058739)</f>
        <v>1.160195274</v>
      </c>
      <c r="AF388" s="30">
        <f>IFERROR(__xludf.DUMMYFUNCTION("""COMPUTED_VALUE"""),0.6365200699561603)</f>
        <v>0.63652007</v>
      </c>
      <c r="AG388" s="30">
        <f>IFERROR(__xludf.DUMMYFUNCTION("""COMPUTED_VALUE"""),0.8908508236406939)</f>
        <v>0.8908508236</v>
      </c>
      <c r="AH388" s="30">
        <f>IFERROR(__xludf.DUMMYFUNCTION("""COMPUTED_VALUE"""),1.0386647203141917)</f>
        <v>1.03866472</v>
      </c>
      <c r="AI388" s="30">
        <f>IFERROR(__xludf.DUMMYFUNCTION("""COMPUTED_VALUE"""),0.8669437768191072)</f>
        <v>0.8669437768</v>
      </c>
      <c r="AJ388" s="30">
        <f>IFERROR(__xludf.DUMMYFUNCTION("""COMPUTED_VALUE"""),0.7970513841723602)</f>
        <v>0.7970513842</v>
      </c>
      <c r="AK388" s="30">
        <f>IFERROR(__xludf.DUMMYFUNCTION("""COMPUTED_VALUE"""),0.7342381391115422)</f>
        <v>0.7342381391</v>
      </c>
      <c r="AL388" s="30">
        <f>IFERROR(__xludf.DUMMYFUNCTION("""COMPUTED_VALUE"""),0.8368787849867513)</f>
        <v>0.836878785</v>
      </c>
      <c r="AM388" s="30">
        <f>IFERROR(__xludf.DUMMYFUNCTION("""COMPUTED_VALUE"""),0.8833264982746387)</f>
        <v>0.8833264983</v>
      </c>
      <c r="AN388" s="30">
        <f>IFERROR(__xludf.DUMMYFUNCTION("""COMPUTED_VALUE"""),1.0596038175438733)</f>
        <v>1.059603818</v>
      </c>
      <c r="AO388" s="30">
        <f>IFERROR(__xludf.DUMMYFUNCTION("""COMPUTED_VALUE"""),1.278305603669001)</f>
        <v>1.278305604</v>
      </c>
      <c r="AP388" s="30">
        <f>IFERROR(__xludf.DUMMYFUNCTION("""COMPUTED_VALUE"""),0.7285580194750779)</f>
        <v>0.7285580195</v>
      </c>
      <c r="AQ388" s="30">
        <f>IFERROR(__xludf.DUMMYFUNCTION("""COMPUTED_VALUE"""),0.872599863943973)</f>
        <v>0.8725998639</v>
      </c>
      <c r="AR388" s="30">
        <f>IFERROR(__xludf.DUMMYFUNCTION("""COMPUTED_VALUE"""),1.1297214793495356)</f>
        <v>1.129721479</v>
      </c>
      <c r="AS388" s="30">
        <f>IFERROR(__xludf.DUMMYFUNCTION("""COMPUTED_VALUE"""),69.0)</f>
        <v>69</v>
      </c>
      <c r="AT388" s="30">
        <f>IFERROR(__xludf.DUMMYFUNCTION("""COMPUTED_VALUE"""),0.5992845677639937)</f>
        <v>0.5992845678</v>
      </c>
      <c r="AU388" s="30">
        <f>IFERROR(__xludf.DUMMYFUNCTION("""COMPUTED_VALUE"""),2.7266164261173578)</f>
        <v>2.726616426</v>
      </c>
      <c r="AV388" s="32">
        <f>IFERROR(__xludf.DUMMYFUNCTION("""COMPUTED_VALUE"""),61.048735236153576)</f>
        <v>61.04873524</v>
      </c>
      <c r="AW388" s="32">
        <f>IFERROR(__xludf.DUMMYFUNCTION("""COMPUTED_VALUE"""),3.03708670747588)</f>
        <v>3.037086707</v>
      </c>
      <c r="AX388" s="32">
        <f>IFERROR(__xludf.DUMMYFUNCTION("""COMPUTED_VALUE"""),62.75176994165329)</f>
        <v>62.75176994</v>
      </c>
      <c r="AY388" s="32">
        <f>IFERROR(__xludf.DUMMYFUNCTION("""COMPUTED_VALUE"""),3.2786785112072825)</f>
        <v>3.278678511</v>
      </c>
      <c r="AZ388" s="30">
        <f>IFERROR(__xludf.DUMMYFUNCTION("""COMPUTED_VALUE"""),0.24159180373140243)</f>
        <v>0.2415918037</v>
      </c>
      <c r="BA388" s="30">
        <f>IFERROR(__xludf.DUMMYFUNCTION("""COMPUTED_VALUE"""),1200.0)</f>
        <v>1200</v>
      </c>
    </row>
    <row r="389">
      <c r="A389" s="71" t="str">
        <f>IFERROR(__xludf.DUMMYFUNCTION("""COMPUTED_VALUE"""),"Veteran")</f>
        <v>Veteran</v>
      </c>
      <c r="B389" s="71" t="str">
        <f>IFERROR(__xludf.DUMMYFUNCTION("""COMPUTED_VALUE"""),"RSC001118")</f>
        <v>RSC001118</v>
      </c>
      <c r="C389" s="30" t="str">
        <f>IFERROR(__xludf.DUMMYFUNCTION("""COMPUTED_VALUE"""),"azurified")</f>
        <v>azurified</v>
      </c>
      <c r="D389" s="30" t="str">
        <f>IFERROR(__xludf.DUMMYFUNCTION("""COMPUTED_VALUE"""),"Banshees")</f>
        <v>Banshees</v>
      </c>
      <c r="E389" s="30">
        <f>IFERROR(__xludf.DUMMYFUNCTION("""COMPUTED_VALUE"""),36.0)</f>
        <v>36</v>
      </c>
      <c r="F389" s="30">
        <f>IFERROR(__xludf.DUMMYFUNCTION("""COMPUTED_VALUE"""),17.0)</f>
        <v>17</v>
      </c>
      <c r="G389" s="42">
        <f>IFERROR(__xludf.DUMMYFUNCTION("""COMPUTED_VALUE"""),19.0)</f>
        <v>19</v>
      </c>
      <c r="H389" s="42">
        <f>IFERROR(__xludf.DUMMYFUNCTION("""COMPUTED_VALUE"""),0.4722222222222222)</f>
        <v>0.4722222222</v>
      </c>
      <c r="I389" s="42">
        <f>IFERROR(__xludf.DUMMYFUNCTION("""COMPUTED_VALUE"""),0.34259259259259256)</f>
        <v>0.3425925926</v>
      </c>
      <c r="J389" s="30">
        <f>IFERROR(__xludf.DUMMYFUNCTION("""COMPUTED_VALUE"""),371.19444444444446)</f>
        <v>371.1944444</v>
      </c>
      <c r="K389" s="30">
        <f>IFERROR(__xludf.DUMMYFUNCTION("""COMPUTED_VALUE"""),1.0277777777777777)</f>
        <v>1.027777778</v>
      </c>
      <c r="L389" s="30">
        <f>IFERROR(__xludf.DUMMYFUNCTION("""COMPUTED_VALUE"""),0.4722222222222222)</f>
        <v>0.4722222222</v>
      </c>
      <c r="M389" s="30">
        <f>IFERROR(__xludf.DUMMYFUNCTION("""COMPUTED_VALUE"""),1.2777777777777777)</f>
        <v>1.277777778</v>
      </c>
      <c r="N389" s="30">
        <f>IFERROR(__xludf.DUMMYFUNCTION("""COMPUTED_VALUE"""),3.0)</f>
        <v>3</v>
      </c>
      <c r="O389" s="30">
        <f>IFERROR(__xludf.DUMMYFUNCTION("""COMPUTED_VALUE"""),339.3888888888889)</f>
        <v>339.3888889</v>
      </c>
      <c r="P389" s="30">
        <f>IFERROR(__xludf.DUMMYFUNCTION("""COMPUTED_VALUE"""),0.7685185185185186)</f>
        <v>0.7685185185</v>
      </c>
      <c r="Q389" s="30">
        <f>IFERROR(__xludf.DUMMYFUNCTION("""COMPUTED_VALUE"""),0.601851851851852)</f>
        <v>0.6018518519</v>
      </c>
      <c r="R389" s="30">
        <f>IFERROR(__xludf.DUMMYFUNCTION("""COMPUTED_VALUE"""),1.2499999999999998)</f>
        <v>1.25</v>
      </c>
      <c r="S389" s="30">
        <f>IFERROR(__xludf.DUMMYFUNCTION("""COMPUTED_VALUE"""),2.5)</f>
        <v>2.5</v>
      </c>
      <c r="T389" s="30">
        <f>IFERROR(__xludf.DUMMYFUNCTION("""COMPUTED_VALUE"""),353.60044560910666)</f>
        <v>353.6004456</v>
      </c>
      <c r="U389" s="30">
        <f>IFERROR(__xludf.DUMMYFUNCTION("""COMPUTED_VALUE"""),0.7955765714599603)</f>
        <v>0.7955765715</v>
      </c>
      <c r="V389" s="30">
        <f>IFERROR(__xludf.DUMMYFUNCTION("""COMPUTED_VALUE"""),0.5842559527896632)</f>
        <v>0.5842559528</v>
      </c>
      <c r="W389" s="30">
        <f>IFERROR(__xludf.DUMMYFUNCTION("""COMPUTED_VALUE"""),1.3570588907983854)</f>
        <v>1.357058891</v>
      </c>
      <c r="X389" s="30">
        <f>IFERROR(__xludf.DUMMYFUNCTION("""COMPUTED_VALUE"""),2.626988868028295)</f>
        <v>2.626988868</v>
      </c>
      <c r="Y389" s="30">
        <f>IFERROR(__xludf.DUMMYFUNCTION("""COMPUTED_VALUE"""),358.2818385870097)</f>
        <v>358.2818386</v>
      </c>
      <c r="Z389" s="30">
        <f>IFERROR(__xludf.DUMMYFUNCTION("""COMPUTED_VALUE"""),0.8217646907520434)</f>
        <v>0.8217646908</v>
      </c>
      <c r="AA389" s="30">
        <f>IFERROR(__xludf.DUMMYFUNCTION("""COMPUTED_VALUE"""),0.5989883595376838)</f>
        <v>0.5989883595</v>
      </c>
      <c r="AB389" s="30">
        <f>IFERROR(__xludf.DUMMYFUNCTION("""COMPUTED_VALUE"""),1.3533482305660236)</f>
        <v>1.353348231</v>
      </c>
      <c r="AC389" s="30">
        <f>IFERROR(__xludf.DUMMYFUNCTION("""COMPUTED_VALUE"""),2.6781667981625237)</f>
        <v>2.678166798</v>
      </c>
      <c r="AD389" s="30">
        <f>IFERROR(__xludf.DUMMYFUNCTION("""COMPUTED_VALUE"""),1.036040358362454)</f>
        <v>1.036040358</v>
      </c>
      <c r="AE389" s="30">
        <f>IFERROR(__xludf.DUMMYFUNCTION("""COMPUTED_VALUE"""),1.250695958763086)</f>
        <v>1.250695959</v>
      </c>
      <c r="AF389" s="30">
        <f>IFERROR(__xludf.DUMMYFUNCTION("""COMPUTED_VALUE"""),0.7883662757431492)</f>
        <v>0.7883662757</v>
      </c>
      <c r="AG389" s="30">
        <f>IFERROR(__xludf.DUMMYFUNCTION("""COMPUTED_VALUE"""),0.9441603786213698)</f>
        <v>0.9441603786</v>
      </c>
      <c r="AH389" s="30">
        <f>IFERROR(__xludf.DUMMYFUNCTION("""COMPUTED_VALUE"""),1.1201692150236067)</f>
        <v>1.120169215</v>
      </c>
      <c r="AI389" s="30">
        <f>IFERROR(__xludf.DUMMYFUNCTION("""COMPUTED_VALUE"""),0.9598089965759599)</f>
        <v>0.9598089966</v>
      </c>
      <c r="AJ389" s="30">
        <f>IFERROR(__xludf.DUMMYFUNCTION("""COMPUTED_VALUE"""),0.9659893793858364)</f>
        <v>0.9659893794</v>
      </c>
      <c r="AK389" s="30">
        <f>IFERROR(__xludf.DUMMYFUNCTION("""COMPUTED_VALUE"""),1.030116764712748)</f>
        <v>1.030116765</v>
      </c>
      <c r="AL389" s="30">
        <f>IFERROR(__xludf.DUMMYFUNCTION("""COMPUTED_VALUE"""),0.9211096205740926)</f>
        <v>0.9211096206</v>
      </c>
      <c r="AM389" s="30">
        <f>IFERROR(__xludf.DUMMYFUNCTION("""COMPUTED_VALUE"""),0.951659913913679)</f>
        <v>0.9516599139</v>
      </c>
      <c r="AN389" s="30">
        <f>IFERROR(__xludf.DUMMYFUNCTION("""COMPUTED_VALUE"""),1.0750618323666044)</f>
        <v>1.075061832</v>
      </c>
      <c r="AO389" s="30">
        <f>IFERROR(__xludf.DUMMYFUNCTION("""COMPUTED_VALUE"""),1.3624738738694289)</f>
        <v>1.362473874</v>
      </c>
      <c r="AP389" s="30">
        <f>IFERROR(__xludf.DUMMYFUNCTION("""COMPUTED_VALUE"""),0.8757414577528714)</f>
        <v>0.8757414578</v>
      </c>
      <c r="AQ389" s="30">
        <f>IFERROR(__xludf.DUMMYFUNCTION("""COMPUTED_VALUE"""),0.9460510309426239)</f>
        <v>0.9460510309</v>
      </c>
      <c r="AR389" s="30">
        <f>IFERROR(__xludf.DUMMYFUNCTION("""COMPUTED_VALUE"""),1.1715630156217407)</f>
        <v>1.171563016</v>
      </c>
      <c r="AS389" s="30">
        <f>IFERROR(__xludf.DUMMYFUNCTION("""COMPUTED_VALUE"""),91.0)</f>
        <v>91</v>
      </c>
      <c r="AT389" s="30">
        <f>IFERROR(__xludf.DUMMYFUNCTION("""COMPUTED_VALUE"""),0.5360943932766302)</f>
        <v>0.5360943933</v>
      </c>
      <c r="AU389" s="30">
        <f>IFERROR(__xludf.DUMMYFUNCTION("""COMPUTED_VALUE"""),2.837058997824964)</f>
        <v>2.837058998</v>
      </c>
      <c r="AV389" s="32">
        <f>IFERROR(__xludf.DUMMYFUNCTION("""COMPUTED_VALUE"""),64.46981451162608)</f>
        <v>64.46981451</v>
      </c>
      <c r="AW389" s="32">
        <f>IFERROR(__xludf.DUMMYFUNCTION("""COMPUTED_VALUE"""),3.5541077663880767)</f>
        <v>3.554107766</v>
      </c>
      <c r="AX389" s="32">
        <f>IFERROR(__xludf.DUMMYFUNCTION("""COMPUTED_VALUE"""),63.11451760213447)</f>
        <v>63.1145176</v>
      </c>
      <c r="AY389" s="32">
        <f>IFERROR(__xludf.DUMMYFUNCTION("""COMPUTED_VALUE"""),3.334029570401936)</f>
        <v>3.33402957</v>
      </c>
      <c r="AZ389" s="30">
        <f>IFERROR(__xludf.DUMMYFUNCTION("""COMPUTED_VALUE"""),0.22007819598614065)</f>
        <v>0.220078196</v>
      </c>
      <c r="BA389" s="30">
        <f>IFERROR(__xludf.DUMMYFUNCTION("""COMPUTED_VALUE"""),1200.0)</f>
        <v>1200</v>
      </c>
    </row>
    <row r="390">
      <c r="A390" s="71" t="str">
        <f>IFERROR(__xludf.DUMMYFUNCTION("""COMPUTED_VALUE"""),"Veteran")</f>
        <v>Veteran</v>
      </c>
      <c r="B390" s="71" t="str">
        <f>IFERROR(__xludf.DUMMYFUNCTION("""COMPUTED_VALUE"""),"RSC007231")</f>
        <v>RSC007231</v>
      </c>
      <c r="C390" s="30" t="str">
        <f>IFERROR(__xludf.DUMMYFUNCTION("""COMPUTED_VALUE"""),"BlitzzyG")</f>
        <v>BlitzzyG</v>
      </c>
      <c r="D390" s="30" t="str">
        <f>IFERROR(__xludf.DUMMYFUNCTION("""COMPUTED_VALUE"""),"Silver Dollar")</f>
        <v>Silver Dollar</v>
      </c>
      <c r="E390" s="30">
        <f>IFERROR(__xludf.DUMMYFUNCTION("""COMPUTED_VALUE"""),21.0)</f>
        <v>21</v>
      </c>
      <c r="F390" s="30">
        <f>IFERROR(__xludf.DUMMYFUNCTION("""COMPUTED_VALUE"""),13.0)</f>
        <v>13</v>
      </c>
      <c r="G390" s="42">
        <f>IFERROR(__xludf.DUMMYFUNCTION("""COMPUTED_VALUE"""),8.0)</f>
        <v>8</v>
      </c>
      <c r="H390" s="42">
        <f>IFERROR(__xludf.DUMMYFUNCTION("""COMPUTED_VALUE"""),0.6190476190476191)</f>
        <v>0.619047619</v>
      </c>
      <c r="I390" s="42">
        <f>IFERROR(__xludf.DUMMYFUNCTION("""COMPUTED_VALUE"""),0.2926829268292683)</f>
        <v>0.2926829268</v>
      </c>
      <c r="J390" s="30">
        <f>IFERROR(__xludf.DUMMYFUNCTION("""COMPUTED_VALUE"""),309.85714285714283)</f>
        <v>309.8571429</v>
      </c>
      <c r="K390" s="30">
        <f>IFERROR(__xludf.DUMMYFUNCTION("""COMPUTED_VALUE"""),0.5714285714285714)</f>
        <v>0.5714285714</v>
      </c>
      <c r="L390" s="30">
        <f>IFERROR(__xludf.DUMMYFUNCTION("""COMPUTED_VALUE"""),0.5714285714285714)</f>
        <v>0.5714285714</v>
      </c>
      <c r="M390" s="30">
        <f>IFERROR(__xludf.DUMMYFUNCTION("""COMPUTED_VALUE"""),1.0952380952380953)</f>
        <v>1.095238095</v>
      </c>
      <c r="N390" s="30">
        <f>IFERROR(__xludf.DUMMYFUNCTION("""COMPUTED_VALUE"""),1.9523809523809523)</f>
        <v>1.952380952</v>
      </c>
      <c r="O390" s="30">
        <f>IFERROR(__xludf.DUMMYFUNCTION("""COMPUTED_VALUE"""),329.44444444444446)</f>
        <v>329.4444444</v>
      </c>
      <c r="P390" s="30">
        <f>IFERROR(__xludf.DUMMYFUNCTION("""COMPUTED_VALUE"""),0.619047619047619)</f>
        <v>0.619047619</v>
      </c>
      <c r="Q390" s="30">
        <f>IFERROR(__xludf.DUMMYFUNCTION("""COMPUTED_VALUE"""),0.44444444444444436)</f>
        <v>0.4444444444</v>
      </c>
      <c r="R390" s="30">
        <f>IFERROR(__xludf.DUMMYFUNCTION("""COMPUTED_VALUE"""),1.2698412698412698)</f>
        <v>1.26984127</v>
      </c>
      <c r="S390" s="30">
        <f>IFERROR(__xludf.DUMMYFUNCTION("""COMPUTED_VALUE"""),2.4126984126984126)</f>
        <v>2.412698413</v>
      </c>
      <c r="T390" s="30">
        <f>IFERROR(__xludf.DUMMYFUNCTION("""COMPUTED_VALUE"""),334.3403999750214)</f>
        <v>334.3404</v>
      </c>
      <c r="U390" s="30">
        <f>IFERROR(__xludf.DUMMYFUNCTION("""COMPUTED_VALUE"""),0.6673374772824661)</f>
        <v>0.6673374773</v>
      </c>
      <c r="V390" s="30">
        <f>IFERROR(__xludf.DUMMYFUNCTION("""COMPUTED_VALUE"""),0.4949199098520504)</f>
        <v>0.4949199099</v>
      </c>
      <c r="W390" s="30">
        <f>IFERROR(__xludf.DUMMYFUNCTION("""COMPUTED_VALUE"""),1.4253186867477776)</f>
        <v>1.425318687</v>
      </c>
      <c r="X390" s="30">
        <f>IFERROR(__xludf.DUMMYFUNCTION("""COMPUTED_VALUE"""),2.386346331497351)</f>
        <v>2.386346331</v>
      </c>
      <c r="Y390" s="30">
        <f>IFERROR(__xludf.DUMMYFUNCTION("""COMPUTED_VALUE"""),349.75221647520823)</f>
        <v>349.7522165</v>
      </c>
      <c r="Z390" s="30">
        <f>IFERROR(__xludf.DUMMYFUNCTION("""COMPUTED_VALUE"""),0.785083826334346)</f>
        <v>0.7850838263</v>
      </c>
      <c r="AA390" s="30">
        <f>IFERROR(__xludf.DUMMYFUNCTION("""COMPUTED_VALUE"""),0.5751893008248713)</f>
        <v>0.5751893008</v>
      </c>
      <c r="AB390" s="30">
        <f>IFERROR(__xludf.DUMMYFUNCTION("""COMPUTED_VALUE"""),1.3096728342376756)</f>
        <v>1.309672834</v>
      </c>
      <c r="AC390" s="30">
        <f>IFERROR(__xludf.DUMMYFUNCTION("""COMPUTED_VALUE"""),2.6960980877969627)</f>
        <v>2.696098088</v>
      </c>
      <c r="AD390" s="30">
        <f>IFERROR(__xludf.DUMMYFUNCTION("""COMPUTED_VALUE"""),0.8859333215379542)</f>
        <v>0.8859333215</v>
      </c>
      <c r="AE390" s="30">
        <f>IFERROR(__xludf.DUMMYFUNCTION("""COMPUTED_VALUE"""),0.7278567616105944)</f>
        <v>0.7278567616</v>
      </c>
      <c r="AF390" s="30">
        <f>IFERROR(__xludf.DUMMYFUNCTION("""COMPUTED_VALUE"""),0.9934617535637281)</f>
        <v>0.9934617536</v>
      </c>
      <c r="AG390" s="30">
        <f>IFERROR(__xludf.DUMMYFUNCTION("""COMPUTED_VALUE"""),0.8362684684344112)</f>
        <v>0.8362684684</v>
      </c>
      <c r="AH390" s="30">
        <f>IFERROR(__xludf.DUMMYFUNCTION("""COMPUTED_VALUE"""),0.724150564557643)</f>
        <v>0.7241505646</v>
      </c>
      <c r="AI390" s="30">
        <f>IFERROR(__xludf.DUMMYFUNCTION("""COMPUTED_VALUE"""),0.9853563747278441)</f>
        <v>0.9853563747</v>
      </c>
      <c r="AJ390" s="30">
        <f>IFERROR(__xludf.DUMMYFUNCTION("""COMPUTED_VALUE"""),0.9276380244198285)</f>
        <v>0.9276380244</v>
      </c>
      <c r="AK390" s="30">
        <f>IFERROR(__xludf.DUMMYFUNCTION("""COMPUTED_VALUE"""),0.8980128614694547)</f>
        <v>0.8980128615</v>
      </c>
      <c r="AL390" s="30">
        <f>IFERROR(__xludf.DUMMYFUNCTION("""COMPUTED_VALUE"""),0.8909174359726746)</f>
        <v>0.890917436</v>
      </c>
      <c r="AM390" s="30">
        <f>IFERROR(__xludf.DUMMYFUNCTION("""COMPUTED_VALUE"""),1.0110428569622274)</f>
        <v>1.011042857</v>
      </c>
      <c r="AN390" s="30">
        <f>IFERROR(__xludf.DUMMYFUNCTION("""COMPUTED_VALUE"""),0.8974153378573453)</f>
        <v>0.8974153379</v>
      </c>
      <c r="AO390" s="30">
        <f>IFERROR(__xludf.DUMMYFUNCTION("""COMPUTED_VALUE"""),0.7575144318038524)</f>
        <v>0.7575144318</v>
      </c>
      <c r="AP390" s="30">
        <f>IFERROR(__xludf.DUMMYFUNCTION("""COMPUTED_VALUE"""),1.0597207556001131)</f>
        <v>1.059720756</v>
      </c>
      <c r="AQ390" s="30">
        <f>IFERROR(__xludf.DUMMYFUNCTION("""COMPUTED_VALUE"""),0.8109008836651064)</f>
        <v>0.8109008837</v>
      </c>
      <c r="AR390" s="30">
        <f>IFERROR(__xludf.DUMMYFUNCTION("""COMPUTED_VALUE"""),0.7624457720712915)</f>
        <v>0.7624457721</v>
      </c>
      <c r="AS390" s="30">
        <f>IFERROR(__xludf.DUMMYFUNCTION("""COMPUTED_VALUE"""),45.0)</f>
        <v>45</v>
      </c>
      <c r="AT390" s="30">
        <f>IFERROR(__xludf.DUMMYFUNCTION("""COMPUTED_VALUE"""),0.5530561079707524)</f>
        <v>0.553056108</v>
      </c>
      <c r="AU390" s="30">
        <f>IFERROR(__xludf.DUMMYFUNCTION("""COMPUTED_VALUE"""),1.9927099360670697)</f>
        <v>1.992709936</v>
      </c>
      <c r="AV390" s="32">
        <f>IFERROR(__xludf.DUMMYFUNCTION("""COMPUTED_VALUE"""),38.31518019097622)</f>
        <v>38.31518019</v>
      </c>
      <c r="AW390" s="32">
        <f>IFERROR(__xludf.DUMMYFUNCTION("""COMPUTED_VALUE"""),-3.123931623241218)</f>
        <v>-3.123931623</v>
      </c>
      <c r="AX390" s="32">
        <f>IFERROR(__xludf.DUMMYFUNCTION("""COMPUTED_VALUE"""),39.808047097817166)</f>
        <v>39.8080471</v>
      </c>
      <c r="AY390" s="32">
        <f>IFERROR(__xludf.DUMMYFUNCTION("""COMPUTED_VALUE"""),-2.92607274627326)</f>
        <v>-2.926072746</v>
      </c>
      <c r="AZ390" s="30">
        <f>IFERROR(__xludf.DUMMYFUNCTION("""COMPUTED_VALUE"""),0.1978588769679579)</f>
        <v>0.197858877</v>
      </c>
      <c r="BA390" s="30">
        <f>IFERROR(__xludf.DUMMYFUNCTION("""COMPUTED_VALUE"""),1200.0)</f>
        <v>1200</v>
      </c>
    </row>
    <row r="391">
      <c r="A391" s="71" t="str">
        <f>IFERROR(__xludf.DUMMYFUNCTION("""COMPUTED_VALUE"""),"Veteran")</f>
        <v>Veteran</v>
      </c>
      <c r="B391" s="71" t="str">
        <f>IFERROR(__xludf.DUMMYFUNCTION("""COMPUTED_VALUE"""),"RSC007237")</f>
        <v>RSC007237</v>
      </c>
      <c r="C391" s="30" t="str">
        <f>IFERROR(__xludf.DUMMYFUNCTION("""COMPUTED_VALUE"""),"FuDaah")</f>
        <v>FuDaah</v>
      </c>
      <c r="D391" s="30" t="str">
        <f>IFERROR(__xludf.DUMMYFUNCTION("""COMPUTED_VALUE"""),"Typhoons")</f>
        <v>Typhoons</v>
      </c>
      <c r="E391" s="30">
        <f>IFERROR(__xludf.DUMMYFUNCTION("""COMPUTED_VALUE"""),25.0)</f>
        <v>25</v>
      </c>
      <c r="F391" s="30">
        <f>IFERROR(__xludf.DUMMYFUNCTION("""COMPUTED_VALUE"""),12.0)</f>
        <v>12</v>
      </c>
      <c r="G391" s="42">
        <f>IFERROR(__xludf.DUMMYFUNCTION("""COMPUTED_VALUE"""),13.0)</f>
        <v>13</v>
      </c>
      <c r="H391" s="42">
        <f>IFERROR(__xludf.DUMMYFUNCTION("""COMPUTED_VALUE"""),0.48)</f>
        <v>0.48</v>
      </c>
      <c r="I391" s="42">
        <f>IFERROR(__xludf.DUMMYFUNCTION("""COMPUTED_VALUE"""),0.24285714285714288)</f>
        <v>0.2428571429</v>
      </c>
      <c r="J391" s="30">
        <f>IFERROR(__xludf.DUMMYFUNCTION("""COMPUTED_VALUE"""),337.84)</f>
        <v>337.84</v>
      </c>
      <c r="K391" s="30">
        <f>IFERROR(__xludf.DUMMYFUNCTION("""COMPUTED_VALUE"""),0.68)</f>
        <v>0.68</v>
      </c>
      <c r="L391" s="30">
        <f>IFERROR(__xludf.DUMMYFUNCTION("""COMPUTED_VALUE"""),0.52)</f>
        <v>0.52</v>
      </c>
      <c r="M391" s="30">
        <f>IFERROR(__xludf.DUMMYFUNCTION("""COMPUTED_VALUE"""),1.52)</f>
        <v>1.52</v>
      </c>
      <c r="N391" s="30">
        <f>IFERROR(__xludf.DUMMYFUNCTION("""COMPUTED_VALUE"""),2.8)</f>
        <v>2.8</v>
      </c>
      <c r="O391" s="30">
        <f>IFERROR(__xludf.DUMMYFUNCTION("""COMPUTED_VALUE"""),342.2933333333333)</f>
        <v>342.2933333</v>
      </c>
      <c r="P391" s="30">
        <f>IFERROR(__xludf.DUMMYFUNCTION("""COMPUTED_VALUE"""),0.6533333333333333)</f>
        <v>0.6533333333</v>
      </c>
      <c r="Q391" s="30">
        <f>IFERROR(__xludf.DUMMYFUNCTION("""COMPUTED_VALUE"""),0.5466666666666665)</f>
        <v>0.5466666667</v>
      </c>
      <c r="R391" s="30">
        <f>IFERROR(__xludf.DUMMYFUNCTION("""COMPUTED_VALUE"""),1.4666666666666668)</f>
        <v>1.466666667</v>
      </c>
      <c r="S391" s="30">
        <f>IFERROR(__xludf.DUMMYFUNCTION("""COMPUTED_VALUE"""),2.4133333333333336)</f>
        <v>2.413333333</v>
      </c>
      <c r="T391" s="30">
        <f>IFERROR(__xludf.DUMMYFUNCTION("""COMPUTED_VALUE"""),354.69742712654084)</f>
        <v>354.6974271</v>
      </c>
      <c r="U391" s="30">
        <f>IFERROR(__xludf.DUMMYFUNCTION("""COMPUTED_VALUE"""),0.7505337803808392)</f>
        <v>0.7505337804</v>
      </c>
      <c r="V391" s="30">
        <f>IFERROR(__xludf.DUMMYFUNCTION("""COMPUTED_VALUE"""),0.5724584920163351)</f>
        <v>0.572458492</v>
      </c>
      <c r="W391" s="30">
        <f>IFERROR(__xludf.DUMMYFUNCTION("""COMPUTED_VALUE"""),1.4020156461911364)</f>
        <v>1.402015646</v>
      </c>
      <c r="X391" s="30">
        <f>IFERROR(__xludf.DUMMYFUNCTION("""COMPUTED_VALUE"""),2.5806018740155987)</f>
        <v>2.580601874</v>
      </c>
      <c r="Y391" s="30">
        <f>IFERROR(__xludf.DUMMYFUNCTION("""COMPUTED_VALUE"""),342.9624831847891)</f>
        <v>342.9624832</v>
      </c>
      <c r="Z391" s="30">
        <f>IFERROR(__xludf.DUMMYFUNCTION("""COMPUTED_VALUE"""),0.6824148706171583)</f>
        <v>0.6824148706</v>
      </c>
      <c r="AA391" s="30">
        <f>IFERROR(__xludf.DUMMYFUNCTION("""COMPUTED_VALUE"""),0.49896589077830894)</f>
        <v>0.4989658908</v>
      </c>
      <c r="AB391" s="30">
        <f>IFERROR(__xludf.DUMMYFUNCTION("""COMPUTED_VALUE"""),1.4155566423651391)</f>
        <v>1.415556642</v>
      </c>
      <c r="AC391" s="30">
        <f>IFERROR(__xludf.DUMMYFUNCTION("""COMPUTED_VALUE"""),2.56920731718052)</f>
        <v>2.569207317</v>
      </c>
      <c r="AD391" s="30">
        <f>IFERROR(__xludf.DUMMYFUNCTION("""COMPUTED_VALUE"""),0.9850640130161726)</f>
        <v>0.985064013</v>
      </c>
      <c r="AE391" s="30">
        <f>IFERROR(__xludf.DUMMYFUNCTION("""COMPUTED_VALUE"""),0.9964612866437474)</f>
        <v>0.9964612866</v>
      </c>
      <c r="AF391" s="30">
        <f>IFERROR(__xludf.DUMMYFUNCTION("""COMPUTED_VALUE"""),1.0421554050295525)</f>
        <v>1.042155405</v>
      </c>
      <c r="AG391" s="30">
        <f>IFERROR(__xludf.DUMMYFUNCTION("""COMPUTED_VALUE"""),1.0737825350883556)</f>
        <v>1.073782535</v>
      </c>
      <c r="AH391" s="30">
        <f>IFERROR(__xludf.DUMMYFUNCTION("""COMPUTED_VALUE"""),1.0898303072999007)</f>
        <v>1.089830307</v>
      </c>
      <c r="AI391" s="30">
        <f>IFERROR(__xludf.DUMMYFUNCTION("""COMPUTED_VALUE"""),0.9650290843841326)</f>
        <v>0.9650290844</v>
      </c>
      <c r="AJ391" s="30">
        <f>IFERROR(__xludf.DUMMYFUNCTION("""COMPUTED_VALUE"""),0.8704915760111637)</f>
        <v>0.870491576</v>
      </c>
      <c r="AK391" s="30">
        <f>IFERROR(__xludf.DUMMYFUNCTION("""COMPUTED_VALUE"""),0.9549455100948478)</f>
        <v>0.9549455101</v>
      </c>
      <c r="AL391" s="30">
        <f>IFERROR(__xludf.DUMMYFUNCTION("""COMPUTED_VALUE"""),1.046112909403806)</f>
        <v>1.046112909</v>
      </c>
      <c r="AM391" s="30">
        <f>IFERROR(__xludf.DUMMYFUNCTION("""COMPUTED_VALUE"""),0.9351823532461505)</f>
        <v>0.9351823532</v>
      </c>
      <c r="AN391" s="30">
        <f>IFERROR(__xludf.DUMMYFUNCTION("""COMPUTED_VALUE"""),0.9784599281660114)</f>
        <v>0.9784599282</v>
      </c>
      <c r="AO391" s="30">
        <f>IFERROR(__xludf.DUMMYFUNCTION("""COMPUTED_VALUE"""),0.9014421738465844)</f>
        <v>0.9014421738</v>
      </c>
      <c r="AP391" s="30">
        <f>IFERROR(__xludf.DUMMYFUNCTION("""COMPUTED_VALUE"""),0.9643458875961032)</f>
        <v>0.9643458876</v>
      </c>
      <c r="AQ391" s="30">
        <f>IFERROR(__xludf.DUMMYFUNCTION("""COMPUTED_VALUE"""),1.1253894002865301)</f>
        <v>1.1253894</v>
      </c>
      <c r="AR391" s="30">
        <f>IFERROR(__xludf.DUMMYFUNCTION("""COMPUTED_VALUE"""),1.0934588145802913)</f>
        <v>1.093458815</v>
      </c>
      <c r="AS391" s="30">
        <f>IFERROR(__xludf.DUMMYFUNCTION("""COMPUTED_VALUE"""),49.0)</f>
        <v>49</v>
      </c>
      <c r="AT391" s="30">
        <f>IFERROR(__xludf.DUMMYFUNCTION("""COMPUTED_VALUE"""),0.5)</f>
        <v>0.5</v>
      </c>
      <c r="AU391" s="30">
        <f>IFERROR(__xludf.DUMMYFUNCTION("""COMPUTED_VALUE"""),2.5314930435168654)</f>
        <v>2.531493044</v>
      </c>
      <c r="AV391" s="32">
        <f>IFERROR(__xludf.DUMMYFUNCTION("""COMPUTED_VALUE"""),55.0045753614459)</f>
        <v>55.00457536</v>
      </c>
      <c r="AW391" s="32">
        <f>IFERROR(__xludf.DUMMYFUNCTION("""COMPUTED_VALUE"""),2.377167446994359)</f>
        <v>2.377167447</v>
      </c>
      <c r="AX391" s="32">
        <f>IFERROR(__xludf.DUMMYFUNCTION("""COMPUTED_VALUE"""),52.76936354230581)</f>
        <v>52.76936354</v>
      </c>
      <c r="AY391" s="32">
        <f>IFERROR(__xludf.DUMMYFUNCTION("""COMPUTED_VALUE"""),2.193475185063841)</f>
        <v>2.193475185</v>
      </c>
      <c r="AZ391" s="30">
        <f>IFERROR(__xludf.DUMMYFUNCTION("""COMPUTED_VALUE"""),0.1836922619305179)</f>
        <v>0.1836922619</v>
      </c>
      <c r="BA391" s="30">
        <f>IFERROR(__xludf.DUMMYFUNCTION("""COMPUTED_VALUE"""),1200.0)</f>
        <v>1200</v>
      </c>
    </row>
    <row r="392">
      <c r="A392" s="71" t="str">
        <f>IFERROR(__xludf.DUMMYFUNCTION("""COMPUTED_VALUE"""),"Veteran")</f>
        <v>Veteran</v>
      </c>
      <c r="B392" s="71" t="str">
        <f>IFERROR(__xludf.DUMMYFUNCTION("""COMPUTED_VALUE"""),"RSC001612")</f>
        <v>RSC001612</v>
      </c>
      <c r="C392" s="30" t="str">
        <f>IFERROR(__xludf.DUMMYFUNCTION("""COMPUTED_VALUE"""),"Reverse Fridge")</f>
        <v>Reverse Fridge</v>
      </c>
      <c r="D392" s="30" t="str">
        <f>IFERROR(__xludf.DUMMYFUNCTION("""COMPUTED_VALUE"""),"Mellow Fellows")</f>
        <v>Mellow Fellows</v>
      </c>
      <c r="E392" s="30">
        <f>IFERROR(__xludf.DUMMYFUNCTION("""COMPUTED_VALUE"""),27.0)</f>
        <v>27</v>
      </c>
      <c r="F392" s="30">
        <f>IFERROR(__xludf.DUMMYFUNCTION("""COMPUTED_VALUE"""),11.0)</f>
        <v>11</v>
      </c>
      <c r="G392" s="42">
        <f>IFERROR(__xludf.DUMMYFUNCTION("""COMPUTED_VALUE"""),16.0)</f>
        <v>16</v>
      </c>
      <c r="H392" s="42">
        <f>IFERROR(__xludf.DUMMYFUNCTION("""COMPUTED_VALUE"""),0.4074074074074074)</f>
        <v>0.4074074074</v>
      </c>
      <c r="I392" s="42">
        <f>IFERROR(__xludf.DUMMYFUNCTION("""COMPUTED_VALUE"""),0.3)</f>
        <v>0.3</v>
      </c>
      <c r="J392" s="30">
        <f>IFERROR(__xludf.DUMMYFUNCTION("""COMPUTED_VALUE"""),315.3703703703704)</f>
        <v>315.3703704</v>
      </c>
      <c r="K392" s="30">
        <f>IFERROR(__xludf.DUMMYFUNCTION("""COMPUTED_VALUE"""),0.7777777777777778)</f>
        <v>0.7777777778</v>
      </c>
      <c r="L392" s="30">
        <f>IFERROR(__xludf.DUMMYFUNCTION("""COMPUTED_VALUE"""),0.25925925925925924)</f>
        <v>0.2592592593</v>
      </c>
      <c r="M392" s="30">
        <f>IFERROR(__xludf.DUMMYFUNCTION("""COMPUTED_VALUE"""),1.037037037037037)</f>
        <v>1.037037037</v>
      </c>
      <c r="N392" s="30">
        <f>IFERROR(__xludf.DUMMYFUNCTION("""COMPUTED_VALUE"""),2.5925925925925926)</f>
        <v>2.592592593</v>
      </c>
      <c r="O392" s="30">
        <f>IFERROR(__xludf.DUMMYFUNCTION("""COMPUTED_VALUE"""),340.22222222222223)</f>
        <v>340.2222222</v>
      </c>
      <c r="P392" s="30">
        <f>IFERROR(__xludf.DUMMYFUNCTION("""COMPUTED_VALUE"""),0.728395061728395)</f>
        <v>0.7283950617</v>
      </c>
      <c r="Q392" s="30">
        <f>IFERROR(__xludf.DUMMYFUNCTION("""COMPUTED_VALUE"""),0.4938271604938272)</f>
        <v>0.4938271605</v>
      </c>
      <c r="R392" s="30">
        <f>IFERROR(__xludf.DUMMYFUNCTION("""COMPUTED_VALUE"""),1.3456790123456788)</f>
        <v>1.345679012</v>
      </c>
      <c r="S392" s="30">
        <f>IFERROR(__xludf.DUMMYFUNCTION("""COMPUTED_VALUE"""),2.567901234567901)</f>
        <v>2.567901235</v>
      </c>
      <c r="T392" s="30">
        <f>IFERROR(__xludf.DUMMYFUNCTION("""COMPUTED_VALUE"""),338.91905661273825)</f>
        <v>338.9190566</v>
      </c>
      <c r="U392" s="30">
        <f>IFERROR(__xludf.DUMMYFUNCTION("""COMPUTED_VALUE"""),0.722421533827949)</f>
        <v>0.7224215338</v>
      </c>
      <c r="V392" s="30">
        <f>IFERROR(__xludf.DUMMYFUNCTION("""COMPUTED_VALUE"""),0.5402074244387657)</f>
        <v>0.5402074244</v>
      </c>
      <c r="W392" s="30">
        <f>IFERROR(__xludf.DUMMYFUNCTION("""COMPUTED_VALUE"""),1.282206720630642)</f>
        <v>1.282206721</v>
      </c>
      <c r="X392" s="30">
        <f>IFERROR(__xludf.DUMMYFUNCTION("""COMPUTED_VALUE"""),2.6055081481513622)</f>
        <v>2.605508148</v>
      </c>
      <c r="Y392" s="30">
        <f>IFERROR(__xludf.DUMMYFUNCTION("""COMPUTED_VALUE"""),343.4341631930304)</f>
        <v>343.4341632</v>
      </c>
      <c r="Z392" s="30">
        <f>IFERROR(__xludf.DUMMYFUNCTION("""COMPUTED_VALUE"""),0.7092253285598153)</f>
        <v>0.7092253286</v>
      </c>
      <c r="AA392" s="30">
        <f>IFERROR(__xludf.DUMMYFUNCTION("""COMPUTED_VALUE"""),0.5290473650847188)</f>
        <v>0.5290473651</v>
      </c>
      <c r="AB392" s="30">
        <f>IFERROR(__xludf.DUMMYFUNCTION("""COMPUTED_VALUE"""),1.3606360847074837)</f>
        <v>1.360636085</v>
      </c>
      <c r="AC392" s="30">
        <f>IFERROR(__xludf.DUMMYFUNCTION("""COMPUTED_VALUE"""),2.49098425801588)</f>
        <v>2.490984258</v>
      </c>
      <c r="AD392" s="30">
        <f>IFERROR(__xludf.DUMMYFUNCTION("""COMPUTED_VALUE"""),0.9182847956599866)</f>
        <v>0.9182847957</v>
      </c>
      <c r="AE392" s="30">
        <f>IFERROR(__xludf.DUMMYFUNCTION("""COMPUTED_VALUE"""),1.0966582078465361)</f>
        <v>1.096658208</v>
      </c>
      <c r="AF392" s="30">
        <f>IFERROR(__xludf.DUMMYFUNCTION("""COMPUTED_VALUE"""),0.4900492401426909)</f>
        <v>0.4900492401</v>
      </c>
      <c r="AG392" s="30">
        <f>IFERROR(__xludf.DUMMYFUNCTION("""COMPUTED_VALUE"""),0.7621707587300864)</f>
        <v>0.7621707587</v>
      </c>
      <c r="AH392" s="30">
        <f>IFERROR(__xludf.DUMMYFUNCTION("""COMPUTED_VALUE"""),1.0407904362501454)</f>
        <v>1.040790436</v>
      </c>
      <c r="AI392" s="30">
        <f>IFERROR(__xludf.DUMMYFUNCTION("""COMPUTED_VALUE"""),1.003845064430747)</f>
        <v>1.003845064</v>
      </c>
      <c r="AJ392" s="30">
        <f>IFERROR(__xludf.DUMMYFUNCTION("""COMPUTED_VALUE"""),1.0082687567032969)</f>
        <v>1.008268757</v>
      </c>
      <c r="AK392" s="30">
        <f>IFERROR(__xludf.DUMMYFUNCTION("""COMPUTED_VALUE"""),0.9141436014265741)</f>
        <v>0.9141436014</v>
      </c>
      <c r="AL392" s="30">
        <f>IFERROR(__xludf.DUMMYFUNCTION("""COMPUTED_VALUE"""),1.0495023857649244)</f>
        <v>1.049502386</v>
      </c>
      <c r="AM392" s="30">
        <f>IFERROR(__xludf.DUMMYFUNCTION("""COMPUTED_VALUE"""),0.9855663803584174)</f>
        <v>0.9855663804</v>
      </c>
      <c r="AN392" s="30">
        <f>IFERROR(__xludf.DUMMYFUNCTION("""COMPUTED_VALUE"""),0.9133828733669223)</f>
        <v>0.9133828734</v>
      </c>
      <c r="AO392" s="30">
        <f>IFERROR(__xludf.DUMMYFUNCTION("""COMPUTED_VALUE"""),1.0310613099552437)</f>
        <v>1.03106131</v>
      </c>
      <c r="AP392" s="30">
        <f>IFERROR(__xludf.DUMMYFUNCTION("""COMPUTED_VALUE"""),0.4807992317074588)</f>
        <v>0.4807992317</v>
      </c>
      <c r="AQ392" s="30">
        <f>IFERROR(__xludf.DUMMYFUNCTION("""COMPUTED_VALUE"""),0.767809532359231)</f>
        <v>0.7678095324</v>
      </c>
      <c r="AR392" s="30">
        <f>IFERROR(__xludf.DUMMYFUNCTION("""COMPUTED_VALUE"""),1.0124618653521216)</f>
        <v>1.012461865</v>
      </c>
      <c r="AS392" s="30">
        <f>IFERROR(__xludf.DUMMYFUNCTION("""COMPUTED_VALUE"""),47.0)</f>
        <v>47</v>
      </c>
      <c r="AT392" s="30">
        <f>IFERROR(__xludf.DUMMYFUNCTION("""COMPUTED_VALUE"""),0.41661331966060194)</f>
        <v>0.4166133197</v>
      </c>
      <c r="AU392" s="30">
        <f>IFERROR(__xludf.DUMMYFUNCTION("""COMPUTED_VALUE"""),2.0372383285232427)</f>
        <v>2.037238329</v>
      </c>
      <c r="AV392" s="32">
        <f>IFERROR(__xludf.DUMMYFUNCTION("""COMPUTED_VALUE"""),39.694495777770264)</f>
        <v>39.69449578</v>
      </c>
      <c r="AW392" s="32">
        <f>IFERROR(__xludf.DUMMYFUNCTION("""COMPUTED_VALUE"""),-2.9404065362383442)</f>
        <v>-2.940406536</v>
      </c>
      <c r="AX392" s="32">
        <f>IFERROR(__xludf.DUMMYFUNCTION("""COMPUTED_VALUE"""),41.212112994542245)</f>
        <v>41.21211299</v>
      </c>
      <c r="AY392" s="32">
        <f>IFERROR(__xludf.DUMMYFUNCTION("""COMPUTED_VALUE"""),-2.757853584055817)</f>
        <v>-2.757853584</v>
      </c>
      <c r="AZ392" s="30">
        <f>IFERROR(__xludf.DUMMYFUNCTION("""COMPUTED_VALUE"""),0.18255295218252732)</f>
        <v>0.1825529522</v>
      </c>
      <c r="BA392" s="30">
        <f>IFERROR(__xludf.DUMMYFUNCTION("""COMPUTED_VALUE"""),1200.0)</f>
        <v>1200</v>
      </c>
    </row>
    <row r="393">
      <c r="A393" s="71" t="str">
        <f>IFERROR(__xludf.DUMMYFUNCTION("""COMPUTED_VALUE"""),"Veteran")</f>
        <v>Veteran</v>
      </c>
      <c r="B393" s="71" t="str">
        <f>IFERROR(__xludf.DUMMYFUNCTION("""COMPUTED_VALUE"""),"RSC003904")</f>
        <v>RSC003904</v>
      </c>
      <c r="C393" s="30" t="str">
        <f>IFERROR(__xludf.DUMMYFUNCTION("""COMPUTED_VALUE"""),"Tyyphoon454")</f>
        <v>Tyyphoon454</v>
      </c>
      <c r="D393" s="30" t="str">
        <f>IFERROR(__xludf.DUMMYFUNCTION("""COMPUTED_VALUE"""),"Giraffes")</f>
        <v>Giraffes</v>
      </c>
      <c r="E393" s="30">
        <f>IFERROR(__xludf.DUMMYFUNCTION("""COMPUTED_VALUE"""),26.0)</f>
        <v>26</v>
      </c>
      <c r="F393" s="30">
        <f>IFERROR(__xludf.DUMMYFUNCTION("""COMPUTED_VALUE"""),15.0)</f>
        <v>15</v>
      </c>
      <c r="G393" s="42">
        <f>IFERROR(__xludf.DUMMYFUNCTION("""COMPUTED_VALUE"""),11.0)</f>
        <v>11</v>
      </c>
      <c r="H393" s="42">
        <f>IFERROR(__xludf.DUMMYFUNCTION("""COMPUTED_VALUE"""),0.5769230769230769)</f>
        <v>0.5769230769</v>
      </c>
      <c r="I393" s="42">
        <f>IFERROR(__xludf.DUMMYFUNCTION("""COMPUTED_VALUE"""),0.2727272727272727)</f>
        <v>0.2727272727</v>
      </c>
      <c r="J393" s="30">
        <f>IFERROR(__xludf.DUMMYFUNCTION("""COMPUTED_VALUE"""),346.3076923076923)</f>
        <v>346.3076923</v>
      </c>
      <c r="K393" s="30">
        <f>IFERROR(__xludf.DUMMYFUNCTION("""COMPUTED_VALUE"""),0.8076923076923077)</f>
        <v>0.8076923077</v>
      </c>
      <c r="L393" s="30">
        <f>IFERROR(__xludf.DUMMYFUNCTION("""COMPUTED_VALUE"""),0.34615384615384615)</f>
        <v>0.3461538462</v>
      </c>
      <c r="M393" s="30">
        <f>IFERROR(__xludf.DUMMYFUNCTION("""COMPUTED_VALUE"""),1.5769230769230769)</f>
        <v>1.576923077</v>
      </c>
      <c r="N393" s="30">
        <f>IFERROR(__xludf.DUMMYFUNCTION("""COMPUTED_VALUE"""),2.9615384615384617)</f>
        <v>2.961538462</v>
      </c>
      <c r="O393" s="30">
        <f>IFERROR(__xludf.DUMMYFUNCTION("""COMPUTED_VALUE"""),337.29487179487177)</f>
        <v>337.2948718</v>
      </c>
      <c r="P393" s="30">
        <f>IFERROR(__xludf.DUMMYFUNCTION("""COMPUTED_VALUE"""),0.7435897435897435)</f>
        <v>0.7435897436</v>
      </c>
      <c r="Q393" s="30">
        <f>IFERROR(__xludf.DUMMYFUNCTION("""COMPUTED_VALUE"""),0.5000000000000001)</f>
        <v>0.5</v>
      </c>
      <c r="R393" s="30">
        <f>IFERROR(__xludf.DUMMYFUNCTION("""COMPUTED_VALUE"""),1.3461538461538458)</f>
        <v>1.346153846</v>
      </c>
      <c r="S393" s="30">
        <f>IFERROR(__xludf.DUMMYFUNCTION("""COMPUTED_VALUE"""),2.5)</f>
        <v>2.5</v>
      </c>
      <c r="T393" s="30">
        <f>IFERROR(__xludf.DUMMYFUNCTION("""COMPUTED_VALUE"""),345.5943986758732)</f>
        <v>345.5943987</v>
      </c>
      <c r="U393" s="30">
        <f>IFERROR(__xludf.DUMMYFUNCTION("""COMPUTED_VALUE"""),0.7594743349932122)</f>
        <v>0.759474335</v>
      </c>
      <c r="V393" s="30">
        <f>IFERROR(__xludf.DUMMYFUNCTION("""COMPUTED_VALUE"""),0.5300206894314725)</f>
        <v>0.5300206894</v>
      </c>
      <c r="W393" s="30">
        <f>IFERROR(__xludf.DUMMYFUNCTION("""COMPUTED_VALUE"""),1.3657539069362663)</f>
        <v>1.365753907</v>
      </c>
      <c r="X393" s="30">
        <f>IFERROR(__xludf.DUMMYFUNCTION("""COMPUTED_VALUE"""),2.5637626473252655)</f>
        <v>2.563762647</v>
      </c>
      <c r="Y393" s="30">
        <f>IFERROR(__xludf.DUMMYFUNCTION("""COMPUTED_VALUE"""),359.3938103055602)</f>
        <v>359.3938103</v>
      </c>
      <c r="Z393" s="30">
        <f>IFERROR(__xludf.DUMMYFUNCTION("""COMPUTED_VALUE"""),0.8253672177572375)</f>
        <v>0.8253672178</v>
      </c>
      <c r="AA393" s="30">
        <f>IFERROR(__xludf.DUMMYFUNCTION("""COMPUTED_VALUE"""),0.6071544168944877)</f>
        <v>0.6071544169</v>
      </c>
      <c r="AB393" s="30">
        <f>IFERROR(__xludf.DUMMYFUNCTION("""COMPUTED_VALUE"""),1.3646505963777877)</f>
        <v>1.364650596</v>
      </c>
      <c r="AC393" s="30">
        <f>IFERROR(__xludf.DUMMYFUNCTION("""COMPUTED_VALUE"""),2.666270821509758)</f>
        <v>2.666270822</v>
      </c>
      <c r="AD393" s="30">
        <f>IFERROR(__xludf.DUMMYFUNCTION("""COMPUTED_VALUE"""),0.9635883601146555)</f>
        <v>0.9635883601</v>
      </c>
      <c r="AE393" s="30">
        <f>IFERROR(__xludf.DUMMYFUNCTION("""COMPUTED_VALUE"""),0.9785853984933425)</f>
        <v>0.9785853985</v>
      </c>
      <c r="AF393" s="30">
        <f>IFERROR(__xludf.DUMMYFUNCTION("""COMPUTED_VALUE"""),0.5701248916616237)</f>
        <v>0.5701248917</v>
      </c>
      <c r="AG393" s="30">
        <f>IFERROR(__xludf.DUMMYFUNCTION("""COMPUTED_VALUE"""),1.1555507916156174)</f>
        <v>1.155550792</v>
      </c>
      <c r="AH393" s="30">
        <f>IFERROR(__xludf.DUMMYFUNCTION("""COMPUTED_VALUE"""),1.110741803738268)</f>
        <v>1.110741804</v>
      </c>
      <c r="AI393" s="30">
        <f>IFERROR(__xludf.DUMMYFUNCTION("""COMPUTED_VALUE"""),0.9759847760472952)</f>
        <v>0.975984776</v>
      </c>
      <c r="AJ393" s="30">
        <f>IFERROR(__xludf.DUMMYFUNCTION("""COMPUTED_VALUE"""),0.9790847555057793)</f>
        <v>0.9790847555</v>
      </c>
      <c r="AK393" s="30">
        <f>IFERROR(__xludf.DUMMYFUNCTION("""COMPUTED_VALUE"""),0.9433594008119303)</f>
        <v>0.9433594008</v>
      </c>
      <c r="AL393" s="30">
        <f>IFERROR(__xludf.DUMMYFUNCTION("""COMPUTED_VALUE"""),0.9856489074035392)</f>
        <v>0.9856489074</v>
      </c>
      <c r="AM393" s="30">
        <f>IFERROR(__xludf.DUMMYFUNCTION("""COMPUTED_VALUE"""),0.9751292704916392)</f>
        <v>0.9751292705</v>
      </c>
      <c r="AN393" s="30">
        <f>IFERROR(__xludf.DUMMYFUNCTION("""COMPUTED_VALUE"""),1.002984252127403)</f>
        <v>1.002984252</v>
      </c>
      <c r="AO393" s="30">
        <f>IFERROR(__xludf.DUMMYFUNCTION("""COMPUTED_VALUE"""),1.0707175141842915)</f>
        <v>1.070717514</v>
      </c>
      <c r="AP393" s="30">
        <f>IFERROR(__xludf.DUMMYFUNCTION("""COMPUTED_VALUE"""),0.6419462269500686)</f>
        <v>0.641946227</v>
      </c>
      <c r="AQ393" s="30">
        <f>IFERROR(__xludf.DUMMYFUNCTION("""COMPUTED_VALUE"""),1.1675345498924021)</f>
        <v>1.16753455</v>
      </c>
      <c r="AR393" s="30">
        <f>IFERROR(__xludf.DUMMYFUNCTION("""COMPUTED_VALUE"""),1.1565429769599236)</f>
        <v>1.156542977</v>
      </c>
      <c r="AS393" s="30">
        <f>IFERROR(__xludf.DUMMYFUNCTION("""COMPUTED_VALUE"""),65.0)</f>
        <v>65</v>
      </c>
      <c r="AT393" s="30">
        <f>IFERROR(__xludf.DUMMYFUNCTION("""COMPUTED_VALUE"""),0.5443806259678126)</f>
        <v>0.544380626</v>
      </c>
      <c r="AU393" s="30">
        <f>IFERROR(__xludf.DUMMYFUNCTION("""COMPUTED_VALUE"""),2.253602649952793)</f>
        <v>2.25360265</v>
      </c>
      <c r="AV393" s="32">
        <f>IFERROR(__xludf.DUMMYFUNCTION("""COMPUTED_VALUE"""),46.396616930417494)</f>
        <v>46.39661693</v>
      </c>
      <c r="AW393" s="32">
        <f>IFERROR(__xludf.DUMMYFUNCTION("""COMPUTED_VALUE"""),-2.258882345677642)</f>
        <v>-2.258882346</v>
      </c>
      <c r="AX393" s="32">
        <f>IFERROR(__xludf.DUMMYFUNCTION("""COMPUTED_VALUE"""),48.673190290620475)</f>
        <v>48.67319029</v>
      </c>
      <c r="AY393" s="32">
        <f>IFERROR(__xludf.DUMMYFUNCTION("""COMPUTED_VALUE"""),-2.0883928319114746)</f>
        <v>-2.088392832</v>
      </c>
      <c r="AZ393" s="30">
        <f>IFERROR(__xludf.DUMMYFUNCTION("""COMPUTED_VALUE"""),0.17048951376616728)</f>
        <v>0.1704895138</v>
      </c>
      <c r="BA393" s="30">
        <f>IFERROR(__xludf.DUMMYFUNCTION("""COMPUTED_VALUE"""),1200.0)</f>
        <v>1200</v>
      </c>
    </row>
    <row r="394">
      <c r="A394" s="71" t="str">
        <f>IFERROR(__xludf.DUMMYFUNCTION("""COMPUTED_VALUE"""),"Veteran")</f>
        <v>Veteran</v>
      </c>
      <c r="B394" s="71" t="str">
        <f>IFERROR(__xludf.DUMMYFUNCTION("""COMPUTED_VALUE"""),"RSC001954")</f>
        <v>RSC001954</v>
      </c>
      <c r="C394" s="30" t="str">
        <f>IFERROR(__xludf.DUMMYFUNCTION("""COMPUTED_VALUE"""),"Kiwi")</f>
        <v>Kiwi</v>
      </c>
      <c r="D394" s="30" t="str">
        <f>IFERROR(__xludf.DUMMYFUNCTION("""COMPUTED_VALUE"""),"Supernova")</f>
        <v>Supernova</v>
      </c>
      <c r="E394" s="30">
        <f>IFERROR(__xludf.DUMMYFUNCTION("""COMPUTED_VALUE"""),12.0)</f>
        <v>12</v>
      </c>
      <c r="F394" s="30">
        <f>IFERROR(__xludf.DUMMYFUNCTION("""COMPUTED_VALUE"""),4.0)</f>
        <v>4</v>
      </c>
      <c r="G394" s="42">
        <f>IFERROR(__xludf.DUMMYFUNCTION("""COMPUTED_VALUE"""),8.0)</f>
        <v>8</v>
      </c>
      <c r="H394" s="42">
        <f>IFERROR(__xludf.DUMMYFUNCTION("""COMPUTED_VALUE"""),0.3333333333333333)</f>
        <v>0.3333333333</v>
      </c>
      <c r="I394" s="42">
        <f>IFERROR(__xludf.DUMMYFUNCTION("""COMPUTED_VALUE"""),0.4761904761904762)</f>
        <v>0.4761904762</v>
      </c>
      <c r="J394" s="30">
        <f>IFERROR(__xludf.DUMMYFUNCTION("""COMPUTED_VALUE"""),318.75)</f>
        <v>318.75</v>
      </c>
      <c r="K394" s="30">
        <f>IFERROR(__xludf.DUMMYFUNCTION("""COMPUTED_VALUE"""),0.8333333333333334)</f>
        <v>0.8333333333</v>
      </c>
      <c r="L394" s="30">
        <f>IFERROR(__xludf.DUMMYFUNCTION("""COMPUTED_VALUE"""),0.5833333333333334)</f>
        <v>0.5833333333</v>
      </c>
      <c r="M394" s="30">
        <f>IFERROR(__xludf.DUMMYFUNCTION("""COMPUTED_VALUE"""),0.8333333333333334)</f>
        <v>0.8333333333</v>
      </c>
      <c r="N394" s="30">
        <f>IFERROR(__xludf.DUMMYFUNCTION("""COMPUTED_VALUE"""),1.75)</f>
        <v>1.75</v>
      </c>
      <c r="O394" s="30">
        <f>IFERROR(__xludf.DUMMYFUNCTION("""COMPUTED_VALUE"""),314.16666666666663)</f>
        <v>314.1666667</v>
      </c>
      <c r="P394" s="30">
        <f>IFERROR(__xludf.DUMMYFUNCTION("""COMPUTED_VALUE"""),0.8055555555555555)</f>
        <v>0.8055555556</v>
      </c>
      <c r="Q394" s="30">
        <f>IFERROR(__xludf.DUMMYFUNCTION("""COMPUTED_VALUE"""),0.4444444444444444)</f>
        <v>0.4444444444</v>
      </c>
      <c r="R394" s="30">
        <f>IFERROR(__xludf.DUMMYFUNCTION("""COMPUTED_VALUE"""),0.9722222222222223)</f>
        <v>0.9722222222</v>
      </c>
      <c r="S394" s="30">
        <f>IFERROR(__xludf.DUMMYFUNCTION("""COMPUTED_VALUE"""),2.2499999999999996)</f>
        <v>2.25</v>
      </c>
      <c r="T394" s="30">
        <f>IFERROR(__xludf.DUMMYFUNCTION("""COMPUTED_VALUE"""),326.9624056516255)</f>
        <v>326.9624057</v>
      </c>
      <c r="U394" s="30">
        <f>IFERROR(__xludf.DUMMYFUNCTION("""COMPUTED_VALUE"""),0.6554856894768433)</f>
        <v>0.6554856895</v>
      </c>
      <c r="V394" s="30">
        <f>IFERROR(__xludf.DUMMYFUNCTION("""COMPUTED_VALUE"""),0.5159618876770105)</f>
        <v>0.5159618877</v>
      </c>
      <c r="W394" s="30">
        <f>IFERROR(__xludf.DUMMYFUNCTION("""COMPUTED_VALUE"""),1.2915157225473881)</f>
        <v>1.291515723</v>
      </c>
      <c r="X394" s="30">
        <f>IFERROR(__xludf.DUMMYFUNCTION("""COMPUTED_VALUE"""),2.297979518155031)</f>
        <v>2.297979518</v>
      </c>
      <c r="Y394" s="30">
        <f>IFERROR(__xludf.DUMMYFUNCTION("""COMPUTED_VALUE"""),340.6253470206535)</f>
        <v>340.625347</v>
      </c>
      <c r="Z394" s="30">
        <f>IFERROR(__xludf.DUMMYFUNCTION("""COMPUTED_VALUE"""),0.7524069609525249)</f>
        <v>0.752406961</v>
      </c>
      <c r="AA394" s="30">
        <f>IFERROR(__xludf.DUMMYFUNCTION("""COMPUTED_VALUE"""),0.5246010457668109)</f>
        <v>0.5246010458</v>
      </c>
      <c r="AB394" s="30">
        <f>IFERROR(__xludf.DUMMYFUNCTION("""COMPUTED_VALUE"""),1.2891927912333967)</f>
        <v>1.289192791</v>
      </c>
      <c r="AC394" s="30">
        <f>IFERROR(__xludf.DUMMYFUNCTION("""COMPUTED_VALUE"""),2.5457749052895924)</f>
        <v>2.545774905</v>
      </c>
      <c r="AD394" s="30">
        <f>IFERROR(__xludf.DUMMYFUNCTION("""COMPUTED_VALUE"""),0.9357788631644987)</f>
        <v>0.9357788632</v>
      </c>
      <c r="AE394" s="30">
        <f>IFERROR(__xludf.DUMMYFUNCTION("""COMPUTED_VALUE"""),1.1075566502978096)</f>
        <v>1.10755665</v>
      </c>
      <c r="AF394" s="30">
        <f>IFERROR(__xludf.DUMMYFUNCTION("""COMPUTED_VALUE"""),1.1119561008130918)</f>
        <v>1.111956101</v>
      </c>
      <c r="AG394" s="30">
        <f>IFERROR(__xludf.DUMMYFUNCTION("""COMPUTED_VALUE"""),0.6463993120346776)</f>
        <v>0.646399312</v>
      </c>
      <c r="AH394" s="30">
        <f>IFERROR(__xludf.DUMMYFUNCTION("""COMPUTED_VALUE"""),0.6874134851293658)</f>
        <v>0.6874134851</v>
      </c>
      <c r="AI394" s="30">
        <f>IFERROR(__xludf.DUMMYFUNCTION("""COMPUTED_VALUE"""),0.9608648004670219)</f>
        <v>0.9608648005</v>
      </c>
      <c r="AJ394" s="30">
        <f>IFERROR(__xludf.DUMMYFUNCTION("""COMPUTED_VALUE"""),1.2289445345458054)</f>
        <v>1.228944535</v>
      </c>
      <c r="AK394" s="30">
        <f>IFERROR(__xludf.DUMMYFUNCTION("""COMPUTED_VALUE"""),0.8613900659318938)</f>
        <v>0.8613900659</v>
      </c>
      <c r="AL394" s="30">
        <f>IFERROR(__xludf.DUMMYFUNCTION("""COMPUTED_VALUE"""),0.7527761414352814)</f>
        <v>0.7527761414</v>
      </c>
      <c r="AM394" s="30">
        <f>IFERROR(__xludf.DUMMYFUNCTION("""COMPUTED_VALUE"""),0.9791209983483435)</f>
        <v>0.9791209983</v>
      </c>
      <c r="AN394" s="30">
        <f>IFERROR(__xludf.DUMMYFUNCTION("""COMPUTED_VALUE"""),0.9231710339300147)</f>
        <v>0.9231710339</v>
      </c>
      <c r="AO394" s="30">
        <f>IFERROR(__xludf.DUMMYFUNCTION("""COMPUTED_VALUE"""),1.104708546380618)</f>
        <v>1.104708546</v>
      </c>
      <c r="AP394" s="30">
        <f>IFERROR(__xludf.DUMMYFUNCTION("""COMPUTED_VALUE"""),1.0817982713417824)</f>
        <v>1.081798271</v>
      </c>
      <c r="AQ394" s="30">
        <f>IFERROR(__xludf.DUMMYFUNCTION("""COMPUTED_VALUE"""),0.6169898027886679)</f>
        <v>0.6169898028</v>
      </c>
      <c r="AR394" s="30">
        <f>IFERROR(__xludf.DUMMYFUNCTION("""COMPUTED_VALUE"""),0.683411759112682)</f>
        <v>0.6834117591</v>
      </c>
      <c r="AS394" s="30">
        <f>IFERROR(__xludf.DUMMYFUNCTION("""COMPUTED_VALUE"""),27.0)</f>
        <v>27</v>
      </c>
      <c r="AT394" s="30">
        <f>IFERROR(__xludf.DUMMYFUNCTION("""COMPUTED_VALUE"""),0.4722313631244363)</f>
        <v>0.4722313631</v>
      </c>
      <c r="AU394" s="30">
        <f>IFERROR(__xludf.DUMMYFUNCTION("""COMPUTED_VALUE"""),2.375927985461821)</f>
        <v>2.375927985</v>
      </c>
      <c r="AV394" s="32">
        <f>IFERROR(__xludf.DUMMYFUNCTION("""COMPUTED_VALUE"""),50.18577779207404)</f>
        <v>50.18577779</v>
      </c>
      <c r="AW394" s="32">
        <f>IFERROR(__xludf.DUMMYFUNCTION("""COMPUTED_VALUE"""),2.0119289575826333)</f>
        <v>2.011928958</v>
      </c>
      <c r="AX394" s="32">
        <f>IFERROR(__xludf.DUMMYFUNCTION("""COMPUTED_VALUE"""),52.44426441799745)</f>
        <v>52.44426442</v>
      </c>
      <c r="AY394" s="32">
        <f>IFERROR(__xludf.DUMMYFUNCTION("""COMPUTED_VALUE"""),2.168928111615114)</f>
        <v>2.168928112</v>
      </c>
      <c r="AZ394" s="30">
        <f>IFERROR(__xludf.DUMMYFUNCTION("""COMPUTED_VALUE"""),0.15699915403248044)</f>
        <v>0.156999154</v>
      </c>
      <c r="BA394" s="30">
        <f>IFERROR(__xludf.DUMMYFUNCTION("""COMPUTED_VALUE"""),1200.0)</f>
        <v>1200</v>
      </c>
    </row>
    <row r="395">
      <c r="A395" s="71" t="str">
        <f>IFERROR(__xludf.DUMMYFUNCTION("""COMPUTED_VALUE"""),"Veteran")</f>
        <v>Veteran</v>
      </c>
      <c r="B395" s="71" t="str">
        <f>IFERROR(__xludf.DUMMYFUNCTION("""COMPUTED_VALUE"""),"RSC006885")</f>
        <v>RSC006885</v>
      </c>
      <c r="C395" s="30" t="str">
        <f>IFERROR(__xludf.DUMMYFUNCTION("""COMPUTED_VALUE"""),"ski")</f>
        <v>ski</v>
      </c>
      <c r="D395" s="30" t="str">
        <f>IFERROR(__xludf.DUMMYFUNCTION("""COMPUTED_VALUE"""),"Dread")</f>
        <v>Dread</v>
      </c>
      <c r="E395" s="30">
        <f>IFERROR(__xludf.DUMMYFUNCTION("""COMPUTED_VALUE"""),19.0)</f>
        <v>19</v>
      </c>
      <c r="F395" s="30">
        <f>IFERROR(__xludf.DUMMYFUNCTION("""COMPUTED_VALUE"""),9.0)</f>
        <v>9</v>
      </c>
      <c r="G395" s="42">
        <f>IFERROR(__xludf.DUMMYFUNCTION("""COMPUTED_VALUE"""),10.0)</f>
        <v>10</v>
      </c>
      <c r="H395" s="42">
        <f>IFERROR(__xludf.DUMMYFUNCTION("""COMPUTED_VALUE"""),0.47368421052631576)</f>
        <v>0.4736842105</v>
      </c>
      <c r="I395" s="42">
        <f>IFERROR(__xludf.DUMMYFUNCTION("""COMPUTED_VALUE"""),0.28260869565217395)</f>
        <v>0.2826086957</v>
      </c>
      <c r="J395" s="30">
        <f>IFERROR(__xludf.DUMMYFUNCTION("""COMPUTED_VALUE"""),352.2631578947368)</f>
        <v>352.2631579</v>
      </c>
      <c r="K395" s="30">
        <f>IFERROR(__xludf.DUMMYFUNCTION("""COMPUTED_VALUE"""),0.6842105263157895)</f>
        <v>0.6842105263</v>
      </c>
      <c r="L395" s="30">
        <f>IFERROR(__xludf.DUMMYFUNCTION("""COMPUTED_VALUE"""),0.5263157894736842)</f>
        <v>0.5263157895</v>
      </c>
      <c r="M395" s="30">
        <f>IFERROR(__xludf.DUMMYFUNCTION("""COMPUTED_VALUE"""),1.368421052631579)</f>
        <v>1.368421053</v>
      </c>
      <c r="N395" s="30">
        <f>IFERROR(__xludf.DUMMYFUNCTION("""COMPUTED_VALUE"""),2.4210526315789473)</f>
        <v>2.421052632</v>
      </c>
      <c r="O395" s="30">
        <f>IFERROR(__xludf.DUMMYFUNCTION("""COMPUTED_VALUE"""),369.421052631579)</f>
        <v>369.4210526</v>
      </c>
      <c r="P395" s="30">
        <f>IFERROR(__xludf.DUMMYFUNCTION("""COMPUTED_VALUE"""),0.7894736842105262)</f>
        <v>0.7894736842</v>
      </c>
      <c r="Q395" s="30">
        <f>IFERROR(__xludf.DUMMYFUNCTION("""COMPUTED_VALUE"""),0.631578947368421)</f>
        <v>0.6315789474</v>
      </c>
      <c r="R395" s="30">
        <f>IFERROR(__xludf.DUMMYFUNCTION("""COMPUTED_VALUE"""),1.3333333333333333)</f>
        <v>1.333333333</v>
      </c>
      <c r="S395" s="30">
        <f>IFERROR(__xludf.DUMMYFUNCTION("""COMPUTED_VALUE"""),2.859649122807017)</f>
        <v>2.859649123</v>
      </c>
      <c r="T395" s="30">
        <f>IFERROR(__xludf.DUMMYFUNCTION("""COMPUTED_VALUE"""),359.66357924263053)</f>
        <v>359.6635792</v>
      </c>
      <c r="U395" s="30">
        <f>IFERROR(__xludf.DUMMYFUNCTION("""COMPUTED_VALUE"""),0.8195473179288498)</f>
        <v>0.8195473179</v>
      </c>
      <c r="V395" s="30">
        <f>IFERROR(__xludf.DUMMYFUNCTION("""COMPUTED_VALUE"""),0.6207643291300642)</f>
        <v>0.6207643291</v>
      </c>
      <c r="W395" s="30">
        <f>IFERROR(__xludf.DUMMYFUNCTION("""COMPUTED_VALUE"""),1.3274782680093542)</f>
        <v>1.327478268</v>
      </c>
      <c r="X395" s="30">
        <f>IFERROR(__xludf.DUMMYFUNCTION("""COMPUTED_VALUE"""),2.7639802696285516)</f>
        <v>2.76398027</v>
      </c>
      <c r="Y395" s="30">
        <f>IFERROR(__xludf.DUMMYFUNCTION("""COMPUTED_VALUE"""),362.06395837833935)</f>
        <v>362.0639584</v>
      </c>
      <c r="Z395" s="30">
        <f>IFERROR(__xludf.DUMMYFUNCTION("""COMPUTED_VALUE"""),0.8352503984599601)</f>
        <v>0.8352503985</v>
      </c>
      <c r="AA395" s="30">
        <f>IFERROR(__xludf.DUMMYFUNCTION("""COMPUTED_VALUE"""),0.6234914155265475)</f>
        <v>0.6234914155</v>
      </c>
      <c r="AB395" s="30">
        <f>IFERROR(__xludf.DUMMYFUNCTION("""COMPUTED_VALUE"""),1.3930779021920847)</f>
        <v>1.393077902</v>
      </c>
      <c r="AC395" s="30">
        <f>IFERROR(__xludf.DUMMYFUNCTION("""COMPUTED_VALUE"""),2.605086577509851)</f>
        <v>2.605086578</v>
      </c>
      <c r="AD395" s="30">
        <f>IFERROR(__xludf.DUMMYFUNCTION("""COMPUTED_VALUE"""),0.9729307481266579)</f>
        <v>0.9729307481</v>
      </c>
      <c r="AE395" s="30">
        <f>IFERROR(__xludf.DUMMYFUNCTION("""COMPUTED_VALUE"""),0.8191681531398741)</f>
        <v>0.8191681531</v>
      </c>
      <c r="AF395" s="30">
        <f>IFERROR(__xludf.DUMMYFUNCTION("""COMPUTED_VALUE"""),0.8441428003129808)</f>
        <v>0.8441428003</v>
      </c>
      <c r="AG395" s="30">
        <f>IFERROR(__xludf.DUMMYFUNCTION("""COMPUTED_VALUE"""),0.982300451739485)</f>
        <v>0.9823004517</v>
      </c>
      <c r="AH395" s="30">
        <f>IFERROR(__xludf.DUMMYFUNCTION("""COMPUTED_VALUE"""),0.9293559194847113)</f>
        <v>0.9293559195</v>
      </c>
      <c r="AI395" s="30">
        <f>IFERROR(__xludf.DUMMYFUNCTION("""COMPUTED_VALUE"""),1.0271294452707598)</f>
        <v>1.027129445</v>
      </c>
      <c r="AJ395" s="30">
        <f>IFERROR(__xludf.DUMMYFUNCTION("""COMPUTED_VALUE"""),0.963304579173872)</f>
        <v>0.9633045792</v>
      </c>
      <c r="AK395" s="30">
        <f>IFERROR(__xludf.DUMMYFUNCTION("""COMPUTED_VALUE"""),1.0174214556650063)</f>
        <v>1.017421456</v>
      </c>
      <c r="AL395" s="30">
        <f>IFERROR(__xludf.DUMMYFUNCTION("""COMPUTED_VALUE"""),1.004410667552968)</f>
        <v>1.004410668</v>
      </c>
      <c r="AM395" s="30">
        <f>IFERROR(__xludf.DUMMYFUNCTION("""COMPUTED_VALUE"""),1.0346127120478044)</f>
        <v>1.034612712</v>
      </c>
      <c r="AN395" s="30">
        <f>IFERROR(__xludf.DUMMYFUNCTION("""COMPUTED_VALUE"""),1.020232607652192)</f>
        <v>1.020232608</v>
      </c>
      <c r="AO395" s="30">
        <f>IFERROR(__xludf.DUMMYFUNCTION("""COMPUTED_VALUE"""),0.9070238591335602)</f>
        <v>0.9070238591</v>
      </c>
      <c r="AP395" s="30">
        <f>IFERROR(__xludf.DUMMYFUNCTION("""COMPUTED_VALUE"""),0.9760585906843148)</f>
        <v>0.9760585907</v>
      </c>
      <c r="AQ395" s="30">
        <f>IFERROR(__xludf.DUMMYFUNCTION("""COMPUTED_VALUE"""),1.013162202474023)</f>
        <v>1.013162202</v>
      </c>
      <c r="AR395" s="30">
        <f>IFERROR(__xludf.DUMMYFUNCTION("""COMPUTED_VALUE"""),0.9454719073438609)</f>
        <v>0.9454719073</v>
      </c>
      <c r="AS395" s="30">
        <f>IFERROR(__xludf.DUMMYFUNCTION("""COMPUTED_VALUE"""),37.0)</f>
        <v>37</v>
      </c>
      <c r="AT395" s="30">
        <f>IFERROR(__xludf.DUMMYFUNCTION("""COMPUTED_VALUE"""),0.4260907951130422)</f>
        <v>0.4260907951</v>
      </c>
      <c r="AU395" s="30">
        <f>IFERROR(__xludf.DUMMYFUNCTION("""COMPUTED_VALUE"""),2.189511924052555)</f>
        <v>2.189511924</v>
      </c>
      <c r="AV395" s="32">
        <f>IFERROR(__xludf.DUMMYFUNCTION("""COMPUTED_VALUE"""),44.411336700726935)</f>
        <v>44.4113367</v>
      </c>
      <c r="AW395" s="32">
        <f>IFERROR(__xludf.DUMMYFUNCTION("""COMPUTED_VALUE"""),-2.4298083878404912)</f>
        <v>-2.429808388</v>
      </c>
      <c r="AX395" s="32">
        <f>IFERROR(__xludf.DUMMYFUNCTION("""COMPUTED_VALUE"""),46.13193036946239)</f>
        <v>46.13193037</v>
      </c>
      <c r="AY395" s="32">
        <f>IFERROR(__xludf.DUMMYFUNCTION("""COMPUTED_VALUE"""),-2.280398049006156)</f>
        <v>-2.280398049</v>
      </c>
      <c r="AZ395" s="30">
        <f>IFERROR(__xludf.DUMMYFUNCTION("""COMPUTED_VALUE"""),0.1494103388343353)</f>
        <v>0.1494103388</v>
      </c>
      <c r="BA395" s="30">
        <f>IFERROR(__xludf.DUMMYFUNCTION("""COMPUTED_VALUE"""),1200.0)</f>
        <v>1200</v>
      </c>
    </row>
    <row r="396">
      <c r="A396" s="71" t="str">
        <f>IFERROR(__xludf.DUMMYFUNCTION("""COMPUTED_VALUE"""),"Veteran")</f>
        <v>Veteran</v>
      </c>
      <c r="B396" s="71" t="str">
        <f>IFERROR(__xludf.DUMMYFUNCTION("""COMPUTED_VALUE"""),"RSC007383")</f>
        <v>RSC007383</v>
      </c>
      <c r="C396" s="30" t="str">
        <f>IFERROR(__xludf.DUMMYFUNCTION("""COMPUTED_VALUE"""),"ttv. blestbb")</f>
        <v>ttv. blestbb</v>
      </c>
      <c r="D396" s="30" t="str">
        <f>IFERROR(__xludf.DUMMYFUNCTION("""COMPUTED_VALUE"""),"Gouda Gangsters")</f>
        <v>Gouda Gangsters</v>
      </c>
      <c r="E396" s="30">
        <f>IFERROR(__xludf.DUMMYFUNCTION("""COMPUTED_VALUE"""),32.0)</f>
        <v>32</v>
      </c>
      <c r="F396" s="30">
        <f>IFERROR(__xludf.DUMMYFUNCTION("""COMPUTED_VALUE"""),13.0)</f>
        <v>13</v>
      </c>
      <c r="G396" s="42">
        <f>IFERROR(__xludf.DUMMYFUNCTION("""COMPUTED_VALUE"""),19.0)</f>
        <v>19</v>
      </c>
      <c r="H396" s="42">
        <f>IFERROR(__xludf.DUMMYFUNCTION("""COMPUTED_VALUE"""),0.40625)</f>
        <v>0.40625</v>
      </c>
      <c r="I396" s="42">
        <f>IFERROR(__xludf.DUMMYFUNCTION("""COMPUTED_VALUE"""),0.23711340206185566)</f>
        <v>0.2371134021</v>
      </c>
      <c r="J396" s="30">
        <f>IFERROR(__xludf.DUMMYFUNCTION("""COMPUTED_VALUE"""),358.875)</f>
        <v>358.875</v>
      </c>
      <c r="K396" s="30">
        <f>IFERROR(__xludf.DUMMYFUNCTION("""COMPUTED_VALUE"""),0.71875)</f>
        <v>0.71875</v>
      </c>
      <c r="L396" s="30">
        <f>IFERROR(__xludf.DUMMYFUNCTION("""COMPUTED_VALUE"""),0.65625)</f>
        <v>0.65625</v>
      </c>
      <c r="M396" s="30">
        <f>IFERROR(__xludf.DUMMYFUNCTION("""COMPUTED_VALUE"""),1.40625)</f>
        <v>1.40625</v>
      </c>
      <c r="N396" s="30">
        <f>IFERROR(__xludf.DUMMYFUNCTION("""COMPUTED_VALUE"""),3.03125)</f>
        <v>3.03125</v>
      </c>
      <c r="O396" s="30">
        <f>IFERROR(__xludf.DUMMYFUNCTION("""COMPUTED_VALUE"""),377.30208333333337)</f>
        <v>377.3020833</v>
      </c>
      <c r="P396" s="30">
        <f>IFERROR(__xludf.DUMMYFUNCTION("""COMPUTED_VALUE"""),0.9166666666666667)</f>
        <v>0.9166666667</v>
      </c>
      <c r="Q396" s="30">
        <f>IFERROR(__xludf.DUMMYFUNCTION("""COMPUTED_VALUE"""),0.7083333333333334)</f>
        <v>0.7083333333</v>
      </c>
      <c r="R396" s="30">
        <f>IFERROR(__xludf.DUMMYFUNCTION("""COMPUTED_VALUE"""),1.3645833333333333)</f>
        <v>1.364583333</v>
      </c>
      <c r="S396" s="30">
        <f>IFERROR(__xludf.DUMMYFUNCTION("""COMPUTED_VALUE"""),2.5312500000000004)</f>
        <v>2.53125</v>
      </c>
      <c r="T396" s="30">
        <f>IFERROR(__xludf.DUMMYFUNCTION("""COMPUTED_VALUE"""),362.11727269353804)</f>
        <v>362.1172727</v>
      </c>
      <c r="U396" s="30">
        <f>IFERROR(__xludf.DUMMYFUNCTION("""COMPUTED_VALUE"""),0.837351573740345)</f>
        <v>0.8373515737</v>
      </c>
      <c r="V396" s="30">
        <f>IFERROR(__xludf.DUMMYFUNCTION("""COMPUTED_VALUE"""),0.6142923605391012)</f>
        <v>0.6142923605</v>
      </c>
      <c r="W396" s="30">
        <f>IFERROR(__xludf.DUMMYFUNCTION("""COMPUTED_VALUE"""),1.3338718807547985)</f>
        <v>1.333871881</v>
      </c>
      <c r="X396" s="30">
        <f>IFERROR(__xludf.DUMMYFUNCTION("""COMPUTED_VALUE"""),2.777977977914691)</f>
        <v>2.777977978</v>
      </c>
      <c r="Y396" s="30">
        <f>IFERROR(__xludf.DUMMYFUNCTION("""COMPUTED_VALUE"""),357.7506881063274)</f>
        <v>357.7506881</v>
      </c>
      <c r="Z396" s="30">
        <f>IFERROR(__xludf.DUMMYFUNCTION("""COMPUTED_VALUE"""),0.7934074946565288)</f>
        <v>0.7934074947</v>
      </c>
      <c r="AA396" s="30">
        <f>IFERROR(__xludf.DUMMYFUNCTION("""COMPUTED_VALUE"""),0.583264220646709)</f>
        <v>0.5832642206</v>
      </c>
      <c r="AB396" s="30">
        <f>IFERROR(__xludf.DUMMYFUNCTION("""COMPUTED_VALUE"""),1.4218742189851434)</f>
        <v>1.421874219</v>
      </c>
      <c r="AC396" s="30">
        <f>IFERROR(__xludf.DUMMYFUNCTION("""COMPUTED_VALUE"""),2.5890698671336763)</f>
        <v>2.589069867</v>
      </c>
      <c r="AD396" s="30">
        <f>IFERROR(__xludf.DUMMYFUNCTION("""COMPUTED_VALUE"""),1.0031427246153568)</f>
        <v>1.003142725</v>
      </c>
      <c r="AE396" s="30">
        <f>IFERROR(__xludf.DUMMYFUNCTION("""COMPUTED_VALUE"""),0.9059027105751647)</f>
        <v>0.9059027106</v>
      </c>
      <c r="AF396" s="30">
        <f>IFERROR(__xludf.DUMMYFUNCTION("""COMPUTED_VALUE"""),1.1251333045465504)</f>
        <v>1.125133305</v>
      </c>
      <c r="AG396" s="30">
        <f>IFERROR(__xludf.DUMMYFUNCTION("""COMPUTED_VALUE"""),0.9890115322603604)</f>
        <v>0.9890115323</v>
      </c>
      <c r="AH396" s="30">
        <f>IFERROR(__xludf.DUMMYFUNCTION("""COMPUTED_VALUE"""),1.1707872539399082)</f>
        <v>1.170787254</v>
      </c>
      <c r="AI396" s="30">
        <f>IFERROR(__xludf.DUMMYFUNCTION("""COMPUTED_VALUE"""),1.041933406067173)</f>
        <v>1.041933406</v>
      </c>
      <c r="AJ396" s="30">
        <f>IFERROR(__xludf.DUMMYFUNCTION("""COMPUTED_VALUE"""),1.094721375600969)</f>
        <v>1.094721376</v>
      </c>
      <c r="AK396" s="30">
        <f>IFERROR(__xludf.DUMMYFUNCTION("""COMPUTED_VALUE"""),1.1530882993754017)</f>
        <v>1.153088299</v>
      </c>
      <c r="AL396" s="30">
        <f>IFERROR(__xludf.DUMMYFUNCTION("""COMPUTED_VALUE"""),1.0230242896800223)</f>
        <v>1.02302429</v>
      </c>
      <c r="AM396" s="30">
        <f>IFERROR(__xludf.DUMMYFUNCTION("""COMPUTED_VALUE"""),0.9111843290781237)</f>
        <v>0.9111843291</v>
      </c>
      <c r="AN396" s="30">
        <f>IFERROR(__xludf.DUMMYFUNCTION("""COMPUTED_VALUE"""),1.0393819758482634)</f>
        <v>1.039381976</v>
      </c>
      <c r="AO396" s="30">
        <f>IFERROR(__xludf.DUMMYFUNCTION("""COMPUTED_VALUE"""),0.9528111212532832)</f>
        <v>0.9528111213</v>
      </c>
      <c r="AP396" s="30">
        <f>IFERROR(__xludf.DUMMYFUNCTION("""COMPUTED_VALUE"""),1.2170230552595052)</f>
        <v>1.217023055</v>
      </c>
      <c r="AQ396" s="30">
        <f>IFERROR(__xludf.DUMMYFUNCTION("""COMPUTED_VALUE"""),1.041170292205877)</f>
        <v>1.041170292</v>
      </c>
      <c r="AR396" s="30">
        <f>IFERROR(__xludf.DUMMYFUNCTION("""COMPUTED_VALUE"""),1.1837667970344672)</f>
        <v>1.183766797</v>
      </c>
      <c r="AS396" s="30">
        <f>IFERROR(__xludf.DUMMYFUNCTION("""COMPUTED_VALUE"""),77.0)</f>
        <v>77</v>
      </c>
      <c r="AT396" s="30">
        <f>IFERROR(__xludf.DUMMYFUNCTION("""COMPUTED_VALUE"""),0.44675078636956367)</f>
        <v>0.4467507864</v>
      </c>
      <c r="AU396" s="30">
        <f>IFERROR(__xludf.DUMMYFUNCTION("""COMPUTED_VALUE"""),2.615532922902778)</f>
        <v>2.615532923</v>
      </c>
      <c r="AV396" s="32">
        <f>IFERROR(__xludf.DUMMYFUNCTION("""COMPUTED_VALUE"""),57.60780240727677)</f>
        <v>57.60780241</v>
      </c>
      <c r="AW396" s="32">
        <f>IFERROR(__xludf.DUMMYFUNCTION("""COMPUTED_VALUE"""),2.6285003840924235)</f>
        <v>2.628500384</v>
      </c>
      <c r="AX396" s="32">
        <f>IFERROR(__xludf.DUMMYFUNCTION("""COMPUTED_VALUE"""),56.1824173467233)</f>
        <v>56.18241735</v>
      </c>
      <c r="AY396" s="32">
        <f>IFERROR(__xludf.DUMMYFUNCTION("""COMPUTED_VALUE"""),2.4854643296198464)</f>
        <v>2.48546433</v>
      </c>
      <c r="AZ396" s="30">
        <f>IFERROR(__xludf.DUMMYFUNCTION("""COMPUTED_VALUE"""),0.14303605447257706)</f>
        <v>0.1430360545</v>
      </c>
      <c r="BA396" s="30">
        <f>IFERROR(__xludf.DUMMYFUNCTION("""COMPUTED_VALUE"""),1200.0)</f>
        <v>1200</v>
      </c>
    </row>
    <row r="397">
      <c r="A397" s="71" t="str">
        <f>IFERROR(__xludf.DUMMYFUNCTION("""COMPUTED_VALUE"""),"Veteran")</f>
        <v>Veteran</v>
      </c>
      <c r="B397" s="71" t="str">
        <f>IFERROR(__xludf.DUMMYFUNCTION("""COMPUTED_VALUE"""),"RSC003250")</f>
        <v>RSC003250</v>
      </c>
      <c r="C397" s="30" t="str">
        <f>IFERROR(__xludf.DUMMYFUNCTION("""COMPUTED_VALUE"""),"Chefty")</f>
        <v>Chefty</v>
      </c>
      <c r="D397" s="30" t="str">
        <f>IFERROR(__xludf.DUMMYFUNCTION("""COMPUTED_VALUE"""),"Werewolves")</f>
        <v>Werewolves</v>
      </c>
      <c r="E397" s="30">
        <f>IFERROR(__xludf.DUMMYFUNCTION("""COMPUTED_VALUE"""),35.0)</f>
        <v>35</v>
      </c>
      <c r="F397" s="30">
        <f>IFERROR(__xludf.DUMMYFUNCTION("""COMPUTED_VALUE"""),14.0)</f>
        <v>14</v>
      </c>
      <c r="G397" s="42">
        <f>IFERROR(__xludf.DUMMYFUNCTION("""COMPUTED_VALUE"""),21.0)</f>
        <v>21</v>
      </c>
      <c r="H397" s="42">
        <f>IFERROR(__xludf.DUMMYFUNCTION("""COMPUTED_VALUE"""),0.4)</f>
        <v>0.4</v>
      </c>
      <c r="I397" s="42">
        <f>IFERROR(__xludf.DUMMYFUNCTION("""COMPUTED_VALUE"""),0.21333333333333332)</f>
        <v>0.2133333333</v>
      </c>
      <c r="J397" s="30">
        <f>IFERROR(__xludf.DUMMYFUNCTION("""COMPUTED_VALUE"""),311.6857142857143)</f>
        <v>311.6857143</v>
      </c>
      <c r="K397" s="30">
        <f>IFERROR(__xludf.DUMMYFUNCTION("""COMPUTED_VALUE"""),0.45714285714285713)</f>
        <v>0.4571428571</v>
      </c>
      <c r="L397" s="30">
        <f>IFERROR(__xludf.DUMMYFUNCTION("""COMPUTED_VALUE"""),0.45714285714285713)</f>
        <v>0.4571428571</v>
      </c>
      <c r="M397" s="30">
        <f>IFERROR(__xludf.DUMMYFUNCTION("""COMPUTED_VALUE"""),1.4285714285714286)</f>
        <v>1.428571429</v>
      </c>
      <c r="N397" s="30">
        <f>IFERROR(__xludf.DUMMYFUNCTION("""COMPUTED_VALUE"""),2.142857142857143)</f>
        <v>2.142857143</v>
      </c>
      <c r="O397" s="30">
        <f>IFERROR(__xludf.DUMMYFUNCTION("""COMPUTED_VALUE"""),408.48571428571427)</f>
        <v>408.4857143</v>
      </c>
      <c r="P397" s="30">
        <f>IFERROR(__xludf.DUMMYFUNCTION("""COMPUTED_VALUE"""),1.076190476190476)</f>
        <v>1.076190476</v>
      </c>
      <c r="Q397" s="30">
        <f>IFERROR(__xludf.DUMMYFUNCTION("""COMPUTED_VALUE"""),0.7523809523809526)</f>
        <v>0.7523809524</v>
      </c>
      <c r="R397" s="30">
        <f>IFERROR(__xludf.DUMMYFUNCTION("""COMPUTED_VALUE"""),1.5142857142857142)</f>
        <v>1.514285714</v>
      </c>
      <c r="S397" s="30">
        <f>IFERROR(__xludf.DUMMYFUNCTION("""COMPUTED_VALUE"""),2.9619047619047616)</f>
        <v>2.961904762</v>
      </c>
      <c r="T397" s="30">
        <f>IFERROR(__xludf.DUMMYFUNCTION("""COMPUTED_VALUE"""),359.832687294449)</f>
        <v>359.8326873</v>
      </c>
      <c r="U397" s="30">
        <f>IFERROR(__xludf.DUMMYFUNCTION("""COMPUTED_VALUE"""),0.845946079563581)</f>
        <v>0.8459460796</v>
      </c>
      <c r="V397" s="30">
        <f>IFERROR(__xludf.DUMMYFUNCTION("""COMPUTED_VALUE"""),0.6167511407271584)</f>
        <v>0.6167511407</v>
      </c>
      <c r="W397" s="30">
        <f>IFERROR(__xludf.DUMMYFUNCTION("""COMPUTED_VALUE"""),1.344673342994926)</f>
        <v>1.344673343</v>
      </c>
      <c r="X397" s="30">
        <f>IFERROR(__xludf.DUMMYFUNCTION("""COMPUTED_VALUE"""),2.692064063061275)</f>
        <v>2.692064063</v>
      </c>
      <c r="Y397" s="30">
        <f>IFERROR(__xludf.DUMMYFUNCTION("""COMPUTED_VALUE"""),358.66895896545947)</f>
        <v>358.668959</v>
      </c>
      <c r="Z397" s="30">
        <f>IFERROR(__xludf.DUMMYFUNCTION("""COMPUTED_VALUE"""),0.8158345309721087)</f>
        <v>0.815834531</v>
      </c>
      <c r="AA397" s="30">
        <f>IFERROR(__xludf.DUMMYFUNCTION("""COMPUTED_VALUE"""),0.5911452142939682)</f>
        <v>0.5911452143</v>
      </c>
      <c r="AB397" s="30">
        <f>IFERROR(__xludf.DUMMYFUNCTION("""COMPUTED_VALUE"""),1.3639608119121112)</f>
        <v>1.363960812</v>
      </c>
      <c r="AC397" s="30">
        <f>IFERROR(__xludf.DUMMYFUNCTION("""COMPUTED_VALUE"""),2.6270347740601534)</f>
        <v>2.627034774</v>
      </c>
      <c r="AD397" s="30">
        <f>IFERROR(__xludf.DUMMYFUNCTION("""COMPUTED_VALUE"""),0.8690066605840018)</f>
        <v>0.8690066606</v>
      </c>
      <c r="AE397" s="30">
        <f>IFERROR(__xludf.DUMMYFUNCTION("""COMPUTED_VALUE"""),0.5603377152939922)</f>
        <v>0.5603377153</v>
      </c>
      <c r="AF397" s="30">
        <f>IFERROR(__xludf.DUMMYFUNCTION("""COMPUTED_VALUE"""),0.7733173610968733)</f>
        <v>0.7733173611</v>
      </c>
      <c r="AG397" s="30">
        <f>IFERROR(__xludf.DUMMYFUNCTION("""COMPUTED_VALUE"""),1.0473698482354057)</f>
        <v>1.047369848</v>
      </c>
      <c r="AH397" s="30">
        <f>IFERROR(__xludf.DUMMYFUNCTION("""COMPUTED_VALUE"""),0.8156942435692616)</f>
        <v>0.8156942436</v>
      </c>
      <c r="AI397" s="30">
        <f>IFERROR(__xludf.DUMMYFUNCTION("""COMPUTED_VALUE"""),1.135210137125349)</f>
        <v>1.135210137</v>
      </c>
      <c r="AJ397" s="30">
        <f>IFERROR(__xludf.DUMMYFUNCTION("""COMPUTED_VALUE"""),1.2721738443964143)</f>
        <v>1.272173844</v>
      </c>
      <c r="AK397" s="30">
        <f>IFERROR(__xludf.DUMMYFUNCTION("""COMPUTED_VALUE"""),1.2199101107358872)</f>
        <v>1.219910111</v>
      </c>
      <c r="AL397" s="30">
        <f>IFERROR(__xludf.DUMMYFUNCTION("""COMPUTED_VALUE"""),1.1261364867344055)</f>
        <v>1.126136487</v>
      </c>
      <c r="AM397" s="30">
        <f>IFERROR(__xludf.DUMMYFUNCTION("""COMPUTED_VALUE"""),1.1002356156920863)</f>
        <v>1.100235616</v>
      </c>
      <c r="AN397" s="30">
        <f>IFERROR(__xludf.DUMMYFUNCTION("""COMPUTED_VALUE"""),0.9027112882144565)</f>
        <v>0.9027112882</v>
      </c>
      <c r="AO397" s="30">
        <f>IFERROR(__xludf.DUMMYFUNCTION("""COMPUTED_VALUE"""),0.6060115454430819)</f>
        <v>0.6060115454</v>
      </c>
      <c r="AP397" s="30">
        <f>IFERROR(__xludf.DUMMYFUNCTION("""COMPUTED_VALUE"""),0.8477766044800906)</f>
        <v>0.8477766045</v>
      </c>
      <c r="AQ397" s="30">
        <f>IFERROR(__xludf.DUMMYFUNCTION("""COMPUTED_VALUE"""),1.0576968047805735)</f>
        <v>1.057696805</v>
      </c>
      <c r="AR397" s="30">
        <f>IFERROR(__xludf.DUMMYFUNCTION("""COMPUTED_VALUE"""),0.8368307254441005)</f>
        <v>0.8368307254</v>
      </c>
      <c r="AS397" s="30">
        <f>IFERROR(__xludf.DUMMYFUNCTION("""COMPUTED_VALUE"""),82.0)</f>
        <v>82</v>
      </c>
      <c r="AT397" s="30">
        <f>IFERROR(__xludf.DUMMYFUNCTION("""COMPUTED_VALUE"""),0.3716867763915645)</f>
        <v>0.3716867764</v>
      </c>
      <c r="AU397" s="30">
        <f>IFERROR(__xludf.DUMMYFUNCTION("""COMPUTED_VALUE"""),1.4064854938130138)</f>
        <v>1.406485494</v>
      </c>
      <c r="AV397" s="32">
        <f>IFERROR(__xludf.DUMMYFUNCTION("""COMPUTED_VALUE"""),20.156237863190302)</f>
        <v>20.15623786</v>
      </c>
      <c r="AW397" s="32">
        <f>IFERROR(__xludf.DUMMYFUNCTION("""COMPUTED_VALUE"""),-8.599354894777191)</f>
        <v>-8.599354895</v>
      </c>
      <c r="AX397" s="32">
        <f>IFERROR(__xludf.DUMMYFUNCTION("""COMPUTED_VALUE"""),19.925779904097602)</f>
        <v>19.9257799</v>
      </c>
      <c r="AY397" s="32">
        <f>IFERROR(__xludf.DUMMYFUNCTION("""COMPUTED_VALUE"""),-8.734067149094713)</f>
        <v>-8.734067149</v>
      </c>
      <c r="AZ397" s="30">
        <f>IFERROR(__xludf.DUMMYFUNCTION("""COMPUTED_VALUE"""),0.1347122543175221)</f>
        <v>0.1347122543</v>
      </c>
      <c r="BA397" s="30">
        <f>IFERROR(__xludf.DUMMYFUNCTION("""COMPUTED_VALUE"""),1200.0)</f>
        <v>1200</v>
      </c>
    </row>
    <row r="398">
      <c r="A398" s="71" t="str">
        <f>IFERROR(__xludf.DUMMYFUNCTION("""COMPUTED_VALUE"""),"Veteran")</f>
        <v>Veteran</v>
      </c>
      <c r="B398" s="71" t="str">
        <f>IFERROR(__xludf.DUMMYFUNCTION("""COMPUTED_VALUE"""),"RSC002668")</f>
        <v>RSC002668</v>
      </c>
      <c r="C398" s="30" t="str">
        <f>IFERROR(__xludf.DUMMYFUNCTION("""COMPUTED_VALUE"""),"Azorh &lt;3")</f>
        <v>Azorh &lt;3</v>
      </c>
      <c r="D398" s="30" t="str">
        <f>IFERROR(__xludf.DUMMYFUNCTION("""COMPUTED_VALUE"""),"Peppermint")</f>
        <v>Peppermint</v>
      </c>
      <c r="E398" s="30">
        <f>IFERROR(__xludf.DUMMYFUNCTION("""COMPUTED_VALUE"""),30.0)</f>
        <v>30</v>
      </c>
      <c r="F398" s="30">
        <f>IFERROR(__xludf.DUMMYFUNCTION("""COMPUTED_VALUE"""),13.0)</f>
        <v>13</v>
      </c>
      <c r="G398" s="42">
        <f>IFERROR(__xludf.DUMMYFUNCTION("""COMPUTED_VALUE"""),17.0)</f>
        <v>17</v>
      </c>
      <c r="H398" s="42">
        <f>IFERROR(__xludf.DUMMYFUNCTION("""COMPUTED_VALUE"""),0.43333333333333335)</f>
        <v>0.4333333333</v>
      </c>
      <c r="I398" s="42">
        <f>IFERROR(__xludf.DUMMYFUNCTION("""COMPUTED_VALUE"""),0.24)</f>
        <v>0.24</v>
      </c>
      <c r="J398" s="30">
        <f>IFERROR(__xludf.DUMMYFUNCTION("""COMPUTED_VALUE"""),351.8333333333333)</f>
        <v>351.8333333</v>
      </c>
      <c r="K398" s="30">
        <f>IFERROR(__xludf.DUMMYFUNCTION("""COMPUTED_VALUE"""),0.6)</f>
        <v>0.6</v>
      </c>
      <c r="L398" s="30">
        <f>IFERROR(__xludf.DUMMYFUNCTION("""COMPUTED_VALUE"""),0.6333333333333333)</f>
        <v>0.6333333333</v>
      </c>
      <c r="M398" s="30">
        <f>IFERROR(__xludf.DUMMYFUNCTION("""COMPUTED_VALUE"""),1.6)</f>
        <v>1.6</v>
      </c>
      <c r="N398" s="30">
        <f>IFERROR(__xludf.DUMMYFUNCTION("""COMPUTED_VALUE"""),2.5)</f>
        <v>2.5</v>
      </c>
      <c r="O398" s="30">
        <f>IFERROR(__xludf.DUMMYFUNCTION("""COMPUTED_VALUE"""),374.6777777777778)</f>
        <v>374.6777778</v>
      </c>
      <c r="P398" s="30">
        <f>IFERROR(__xludf.DUMMYFUNCTION("""COMPUTED_VALUE"""),0.9888888888888889)</f>
        <v>0.9888888889</v>
      </c>
      <c r="Q398" s="30">
        <f>IFERROR(__xludf.DUMMYFUNCTION("""COMPUTED_VALUE"""),0.688888888888889)</f>
        <v>0.6888888889</v>
      </c>
      <c r="R398" s="30">
        <f>IFERROR(__xludf.DUMMYFUNCTION("""COMPUTED_VALUE"""),1.1666666666666672)</f>
        <v>1.166666667</v>
      </c>
      <c r="S398" s="30">
        <f>IFERROR(__xludf.DUMMYFUNCTION("""COMPUTED_VALUE"""),3.18888888888889)</f>
        <v>3.188888889</v>
      </c>
      <c r="T398" s="30">
        <f>IFERROR(__xludf.DUMMYFUNCTION("""COMPUTED_VALUE"""),350.7031323472329)</f>
        <v>350.7031323</v>
      </c>
      <c r="U398" s="30">
        <f>IFERROR(__xludf.DUMMYFUNCTION("""COMPUTED_VALUE"""),0.8005109337156372)</f>
        <v>0.8005109337</v>
      </c>
      <c r="V398" s="30">
        <f>IFERROR(__xludf.DUMMYFUNCTION("""COMPUTED_VALUE"""),0.5745123467084335)</f>
        <v>0.5745123467</v>
      </c>
      <c r="W398" s="30">
        <f>IFERROR(__xludf.DUMMYFUNCTION("""COMPUTED_VALUE"""),1.3082777164984747)</f>
        <v>1.308277716</v>
      </c>
      <c r="X398" s="30">
        <f>IFERROR(__xludf.DUMMYFUNCTION("""COMPUTED_VALUE"""),2.6285254508218823)</f>
        <v>2.628525451</v>
      </c>
      <c r="Y398" s="30">
        <f>IFERROR(__xludf.DUMMYFUNCTION("""COMPUTED_VALUE"""),359.07998043628413)</f>
        <v>359.0799804</v>
      </c>
      <c r="Z398" s="30">
        <f>IFERROR(__xludf.DUMMYFUNCTION("""COMPUTED_VALUE"""),0.859036479117276)</f>
        <v>0.8590364791</v>
      </c>
      <c r="AA398" s="30">
        <f>IFERROR(__xludf.DUMMYFUNCTION("""COMPUTED_VALUE"""),0.6269108776795408)</f>
        <v>0.6269108777</v>
      </c>
      <c r="AB398" s="30">
        <f>IFERROR(__xludf.DUMMYFUNCTION("""COMPUTED_VALUE"""),1.3063751626910947)</f>
        <v>1.306375163</v>
      </c>
      <c r="AC398" s="30">
        <f>IFERROR(__xludf.DUMMYFUNCTION("""COMPUTED_VALUE"""),2.630343952051676)</f>
        <v>2.630343952</v>
      </c>
      <c r="AD398" s="30">
        <f>IFERROR(__xludf.DUMMYFUNCTION("""COMPUTED_VALUE"""),0.9798188495661995)</f>
        <v>0.9798188496</v>
      </c>
      <c r="AE398" s="30">
        <f>IFERROR(__xludf.DUMMYFUNCTION("""COMPUTED_VALUE"""),0.6984569509976395)</f>
        <v>0.698456951</v>
      </c>
      <c r="AF398" s="30">
        <f>IFERROR(__xludf.DUMMYFUNCTION("""COMPUTED_VALUE"""),1.010244607140276)</f>
        <v>1.010244607</v>
      </c>
      <c r="AG398" s="30">
        <f>IFERROR(__xludf.DUMMYFUNCTION("""COMPUTED_VALUE"""),1.2247630280294421)</f>
        <v>1.224763028</v>
      </c>
      <c r="AH398" s="30">
        <f>IFERROR(__xludf.DUMMYFUNCTION("""COMPUTED_VALUE"""),0.9504460426363605)</f>
        <v>0.9504460426</v>
      </c>
      <c r="AI398" s="30">
        <f>IFERROR(__xludf.DUMMYFUNCTION("""COMPUTED_VALUE"""),1.0683616518338008)</f>
        <v>1.068361652</v>
      </c>
      <c r="AJ398" s="30">
        <f>IFERROR(__xludf.DUMMYFUNCTION("""COMPUTED_VALUE"""),1.2353221514400559)</f>
        <v>1.235322151</v>
      </c>
      <c r="AK398" s="30">
        <f>IFERROR(__xludf.DUMMYFUNCTION("""COMPUTED_VALUE"""),1.199084567695987)</f>
        <v>1.199084568</v>
      </c>
      <c r="AL398" s="30">
        <f>IFERROR(__xludf.DUMMYFUNCTION("""COMPUTED_VALUE"""),0.8917576535578234)</f>
        <v>0.8917576536</v>
      </c>
      <c r="AM398" s="30">
        <f>IFERROR(__xludf.DUMMYFUNCTION("""COMPUTED_VALUE"""),1.2131854716840555)</f>
        <v>1.213185472</v>
      </c>
      <c r="AN398" s="30">
        <f>IFERROR(__xludf.DUMMYFUNCTION("""COMPUTED_VALUE"""),1.0189877399352998)</f>
        <v>1.01898774</v>
      </c>
      <c r="AO398" s="30">
        <f>IFERROR(__xludf.DUMMYFUNCTION("""COMPUTED_VALUE"""),0.7953901533940451)</f>
        <v>0.7953901534</v>
      </c>
      <c r="AP398" s="30">
        <f>IFERROR(__xludf.DUMMYFUNCTION("""COMPUTED_VALUE"""),1.1745238374567921)</f>
        <v>1.174523837</v>
      </c>
      <c r="AQ398" s="30">
        <f>IFERROR(__xludf.DUMMYFUNCTION("""COMPUTED_VALUE"""),1.1846204213542422)</f>
        <v>1.184620421</v>
      </c>
      <c r="AR398" s="30">
        <f>IFERROR(__xludf.DUMMYFUNCTION("""COMPUTED_VALUE"""),0.9763025130181172)</f>
        <v>0.976302513</v>
      </c>
      <c r="AS398" s="30">
        <f>IFERROR(__xludf.DUMMYFUNCTION("""COMPUTED_VALUE"""),69.0)</f>
        <v>69</v>
      </c>
      <c r="AT398" s="30">
        <f>IFERROR(__xludf.DUMMYFUNCTION("""COMPUTED_VALUE"""),0.3989040452828181)</f>
        <v>0.3989040453</v>
      </c>
      <c r="AU398" s="30">
        <f>IFERROR(__xludf.DUMMYFUNCTION("""COMPUTED_VALUE"""),2.0431311503920906)</f>
        <v>2.04313115</v>
      </c>
      <c r="AV398" s="32">
        <f>IFERROR(__xludf.DUMMYFUNCTION("""COMPUTED_VALUE"""),39.87703237084181)</f>
        <v>39.87703237</v>
      </c>
      <c r="AW398" s="32">
        <f>IFERROR(__xludf.DUMMYFUNCTION("""COMPUTED_VALUE"""),-2.917419799029979)</f>
        <v>-2.917419799</v>
      </c>
      <c r="AX398" s="32">
        <f>IFERROR(__xludf.DUMMYFUNCTION("""COMPUTED_VALUE"""),40.72230276409498)</f>
        <v>40.72230276</v>
      </c>
      <c r="AY398" s="32">
        <f>IFERROR(__xludf.DUMMYFUNCTION("""COMPUTED_VALUE"""),-2.8146925683857584)</f>
        <v>-2.814692568</v>
      </c>
      <c r="AZ398" s="30">
        <f>IFERROR(__xludf.DUMMYFUNCTION("""COMPUTED_VALUE"""),0.1027272306442204)</f>
        <v>0.1027272306</v>
      </c>
      <c r="BA398" s="30">
        <f>IFERROR(__xludf.DUMMYFUNCTION("""COMPUTED_VALUE"""),1200.0)</f>
        <v>1200</v>
      </c>
    </row>
    <row r="399">
      <c r="A399" s="71" t="str">
        <f>IFERROR(__xludf.DUMMYFUNCTION("""COMPUTED_VALUE"""),"Veteran")</f>
        <v>Veteran</v>
      </c>
      <c r="B399" s="71" t="str">
        <f>IFERROR(__xludf.DUMMYFUNCTION("""COMPUTED_VALUE"""),"RSC007856")</f>
        <v>RSC007856</v>
      </c>
      <c r="C399" s="30" t="str">
        <f>IFERROR(__xludf.DUMMYFUNCTION("""COMPUTED_VALUE"""),"Captain Daddy")</f>
        <v>Captain Daddy</v>
      </c>
      <c r="D399" s="30" t="str">
        <f>IFERROR(__xludf.DUMMYFUNCTION("""COMPUTED_VALUE"""),"Repossessed")</f>
        <v>Repossessed</v>
      </c>
      <c r="E399" s="30">
        <f>IFERROR(__xludf.DUMMYFUNCTION("""COMPUTED_VALUE"""),28.0)</f>
        <v>28</v>
      </c>
      <c r="F399" s="30">
        <f>IFERROR(__xludf.DUMMYFUNCTION("""COMPUTED_VALUE"""),13.0)</f>
        <v>13</v>
      </c>
      <c r="G399" s="42">
        <f>IFERROR(__xludf.DUMMYFUNCTION("""COMPUTED_VALUE"""),15.0)</f>
        <v>15</v>
      </c>
      <c r="H399" s="42">
        <f>IFERROR(__xludf.DUMMYFUNCTION("""COMPUTED_VALUE"""),0.4642857142857143)</f>
        <v>0.4642857143</v>
      </c>
      <c r="I399" s="42">
        <f>IFERROR(__xludf.DUMMYFUNCTION("""COMPUTED_VALUE"""),0.34285714285714286)</f>
        <v>0.3428571429</v>
      </c>
      <c r="J399" s="30">
        <f>IFERROR(__xludf.DUMMYFUNCTION("""COMPUTED_VALUE"""),376.75)</f>
        <v>376.75</v>
      </c>
      <c r="K399" s="30">
        <f>IFERROR(__xludf.DUMMYFUNCTION("""COMPUTED_VALUE"""),0.8571428571428571)</f>
        <v>0.8571428571</v>
      </c>
      <c r="L399" s="30">
        <f>IFERROR(__xludf.DUMMYFUNCTION("""COMPUTED_VALUE"""),0.5714285714285714)</f>
        <v>0.5714285714</v>
      </c>
      <c r="M399" s="30">
        <f>IFERROR(__xludf.DUMMYFUNCTION("""COMPUTED_VALUE"""),1.5714285714285714)</f>
        <v>1.571428571</v>
      </c>
      <c r="N399" s="30">
        <f>IFERROR(__xludf.DUMMYFUNCTION("""COMPUTED_VALUE"""),2.5)</f>
        <v>2.5</v>
      </c>
      <c r="O399" s="30">
        <f>IFERROR(__xludf.DUMMYFUNCTION("""COMPUTED_VALUE"""),336.23809523809524)</f>
        <v>336.2380952</v>
      </c>
      <c r="P399" s="30">
        <f>IFERROR(__xludf.DUMMYFUNCTION("""COMPUTED_VALUE"""),0.7023809523809524)</f>
        <v>0.7023809524</v>
      </c>
      <c r="Q399" s="30">
        <f>IFERROR(__xludf.DUMMYFUNCTION("""COMPUTED_VALUE"""),0.511904761904762)</f>
        <v>0.5119047619</v>
      </c>
      <c r="R399" s="30">
        <f>IFERROR(__xludf.DUMMYFUNCTION("""COMPUTED_VALUE"""),1.3452380952380951)</f>
        <v>1.345238095</v>
      </c>
      <c r="S399" s="30">
        <f>IFERROR(__xludf.DUMMYFUNCTION("""COMPUTED_VALUE"""),2.464285714285714)</f>
        <v>2.464285714</v>
      </c>
      <c r="T399" s="30">
        <f>IFERROR(__xludf.DUMMYFUNCTION("""COMPUTED_VALUE"""),341.1937107238643)</f>
        <v>341.1937107</v>
      </c>
      <c r="U399" s="30">
        <f>IFERROR(__xludf.DUMMYFUNCTION("""COMPUTED_VALUE"""),0.7213129817977497)</f>
        <v>0.7213129818</v>
      </c>
      <c r="V399" s="30">
        <f>IFERROR(__xludf.DUMMYFUNCTION("""COMPUTED_VALUE"""),0.5611753337294717)</f>
        <v>0.5611753337</v>
      </c>
      <c r="W399" s="30">
        <f>IFERROR(__xludf.DUMMYFUNCTION("""COMPUTED_VALUE"""),1.3133334025208725)</f>
        <v>1.313333403</v>
      </c>
      <c r="X399" s="30">
        <f>IFERROR(__xludf.DUMMYFUNCTION("""COMPUTED_VALUE"""),2.5468861363747015)</f>
        <v>2.546886136</v>
      </c>
      <c r="Y399" s="30">
        <f>IFERROR(__xludf.DUMMYFUNCTION("""COMPUTED_VALUE"""),347.65071740381984)</f>
        <v>347.6507174</v>
      </c>
      <c r="Z399" s="30">
        <f>IFERROR(__xludf.DUMMYFUNCTION("""COMPUTED_VALUE"""),0.7437000586137801)</f>
        <v>0.7437000586</v>
      </c>
      <c r="AA399" s="30">
        <f>IFERROR(__xludf.DUMMYFUNCTION("""COMPUTED_VALUE"""),0.5438375469387413)</f>
        <v>0.5438375469</v>
      </c>
      <c r="AB399" s="30">
        <f>IFERROR(__xludf.DUMMYFUNCTION("""COMPUTED_VALUE"""),1.3790565189464463)</f>
        <v>1.379056519</v>
      </c>
      <c r="AC399" s="30">
        <f>IFERROR(__xludf.DUMMYFUNCTION("""COMPUTED_VALUE"""),2.5029196664876543)</f>
        <v>2.502919666</v>
      </c>
      <c r="AD399" s="30">
        <f>IFERROR(__xludf.DUMMYFUNCTION("""COMPUTED_VALUE"""),1.083702639285451)</f>
        <v>1.083702639</v>
      </c>
      <c r="AE399" s="30">
        <f>IFERROR(__xludf.DUMMYFUNCTION("""COMPUTED_VALUE"""),1.1525383751354394)</f>
        <v>1.152538375</v>
      </c>
      <c r="AF399" s="30">
        <f>IFERROR(__xludf.DUMMYFUNCTION("""COMPUTED_VALUE"""),1.0507339455415312)</f>
        <v>1.050733946</v>
      </c>
      <c r="AG399" s="30">
        <f>IFERROR(__xludf.DUMMYFUNCTION("""COMPUTED_VALUE"""),1.139495408519653)</f>
        <v>1.139495409</v>
      </c>
      <c r="AH399" s="30">
        <f>IFERROR(__xludf.DUMMYFUNCTION("""COMPUTED_VALUE"""),0.9988334957263125)</f>
        <v>0.9988334957</v>
      </c>
      <c r="AI399" s="30">
        <f>IFERROR(__xludf.DUMMYFUNCTION("""COMPUTED_VALUE"""),0.9854756540639176)</f>
        <v>0.9854756541</v>
      </c>
      <c r="AJ399" s="30">
        <f>IFERROR(__xludf.DUMMYFUNCTION("""COMPUTED_VALUE"""),0.9737533776674691)</f>
        <v>0.9737533777</v>
      </c>
      <c r="AK399" s="30">
        <f>IFERROR(__xludf.DUMMYFUNCTION("""COMPUTED_VALUE"""),0.9122011092375243)</f>
        <v>0.9122011092</v>
      </c>
      <c r="AL399" s="30">
        <f>IFERROR(__xludf.DUMMYFUNCTION("""COMPUTED_VALUE"""),1.0242929119566924)</f>
        <v>1.024292912</v>
      </c>
      <c r="AM399" s="30">
        <f>IFERROR(__xludf.DUMMYFUNCTION("""COMPUTED_VALUE"""),0.9675680742419985)</f>
        <v>0.9675680742</v>
      </c>
      <c r="AN399" s="30">
        <f>IFERROR(__xludf.DUMMYFUNCTION("""COMPUTED_VALUE"""),1.091151959319633)</f>
        <v>1.091151959</v>
      </c>
      <c r="AO399" s="30">
        <f>IFERROR(__xludf.DUMMYFUNCTION("""COMPUTED_VALUE"""),1.1362716477057786)</f>
        <v>1.136271648</v>
      </c>
      <c r="AP399" s="30">
        <f>IFERROR(__xludf.DUMMYFUNCTION("""COMPUTED_VALUE"""),1.0597207556001131)</f>
        <v>1.059720756</v>
      </c>
      <c r="AQ399" s="30">
        <f>IFERROR(__xludf.DUMMYFUNCTION("""COMPUTED_VALUE"""),1.1634664852586307)</f>
        <v>1.163466485</v>
      </c>
      <c r="AR399" s="30">
        <f>IFERROR(__xludf.DUMMYFUNCTION("""COMPUTED_VALUE"""),0.9763025130181172)</f>
        <v>0.976302513</v>
      </c>
      <c r="AS399" s="30">
        <f>IFERROR(__xludf.DUMMYFUNCTION("""COMPUTED_VALUE"""),64.0)</f>
        <v>64</v>
      </c>
      <c r="AT399" s="30">
        <f>IFERROR(__xludf.DUMMYFUNCTION("""COMPUTED_VALUE"""),0.5310586930573823)</f>
        <v>0.5310586931</v>
      </c>
      <c r="AU399" s="30">
        <f>IFERROR(__xludf.DUMMYFUNCTION("""COMPUTED_VALUE"""),2.796808765784489)</f>
        <v>2.796808766</v>
      </c>
      <c r="AV399" s="32">
        <f>IFERROR(__xludf.DUMMYFUNCTION("""COMPUTED_VALUE"""),63.223019615984)</f>
        <v>63.22301962</v>
      </c>
      <c r="AW399" s="32">
        <f>IFERROR(__xludf.DUMMYFUNCTION("""COMPUTED_VALUE"""),3.350867288473409)</f>
        <v>3.350867288</v>
      </c>
      <c r="AX399" s="32">
        <f>IFERROR(__xludf.DUMMYFUNCTION("""COMPUTED_VALUE"""),62.615289022813634)</f>
        <v>62.61528902</v>
      </c>
      <c r="AY399" s="32">
        <f>IFERROR(__xludf.DUMMYFUNCTION("""COMPUTED_VALUE"""),3.2582221449922684)</f>
        <v>3.258222145</v>
      </c>
      <c r="AZ399" s="30">
        <f>IFERROR(__xludf.DUMMYFUNCTION("""COMPUTED_VALUE"""),0.09264514348114083)</f>
        <v>0.09264514348</v>
      </c>
      <c r="BA399" s="30">
        <f>IFERROR(__xludf.DUMMYFUNCTION("""COMPUTED_VALUE"""),1200.0)</f>
        <v>1200</v>
      </c>
    </row>
    <row r="400">
      <c r="A400" s="71" t="str">
        <f>IFERROR(__xludf.DUMMYFUNCTION("""COMPUTED_VALUE"""),"Veteran")</f>
        <v>Veteran</v>
      </c>
      <c r="B400" s="71" t="str">
        <f>IFERROR(__xludf.DUMMYFUNCTION("""COMPUTED_VALUE"""),"RSC005210")</f>
        <v>RSC005210</v>
      </c>
      <c r="C400" s="30" t="str">
        <f>IFERROR(__xludf.DUMMYFUNCTION("""COMPUTED_VALUE"""),"baldmanstreamer")</f>
        <v>baldmanstreamer</v>
      </c>
      <c r="D400" s="30" t="str">
        <f>IFERROR(__xludf.DUMMYFUNCTION("""COMPUTED_VALUE"""),"Merciless Mob")</f>
        <v>Merciless Mob</v>
      </c>
      <c r="E400" s="30">
        <f>IFERROR(__xludf.DUMMYFUNCTION("""COMPUTED_VALUE"""),23.0)</f>
        <v>23</v>
      </c>
      <c r="F400" s="30">
        <f>IFERROR(__xludf.DUMMYFUNCTION("""COMPUTED_VALUE"""),10.0)</f>
        <v>10</v>
      </c>
      <c r="G400" s="42">
        <f>IFERROR(__xludf.DUMMYFUNCTION("""COMPUTED_VALUE"""),13.0)</f>
        <v>13</v>
      </c>
      <c r="H400" s="42">
        <f>IFERROR(__xludf.DUMMYFUNCTION("""COMPUTED_VALUE"""),0.43478260869565216)</f>
        <v>0.4347826087</v>
      </c>
      <c r="I400" s="42">
        <f>IFERROR(__xludf.DUMMYFUNCTION("""COMPUTED_VALUE"""),0.36363636363636365)</f>
        <v>0.3636363636</v>
      </c>
      <c r="J400" s="30">
        <f>IFERROR(__xludf.DUMMYFUNCTION("""COMPUTED_VALUE"""),342.4347826086956)</f>
        <v>342.4347826</v>
      </c>
      <c r="K400" s="30">
        <f>IFERROR(__xludf.DUMMYFUNCTION("""COMPUTED_VALUE"""),0.8695652173913043)</f>
        <v>0.8695652174</v>
      </c>
      <c r="L400" s="30">
        <f>IFERROR(__xludf.DUMMYFUNCTION("""COMPUTED_VALUE"""),0.43478260869565216)</f>
        <v>0.4347826087</v>
      </c>
      <c r="M400" s="30">
        <f>IFERROR(__xludf.DUMMYFUNCTION("""COMPUTED_VALUE"""),1.3478260869565217)</f>
        <v>1.347826087</v>
      </c>
      <c r="N400" s="30">
        <f>IFERROR(__xludf.DUMMYFUNCTION("""COMPUTED_VALUE"""),2.391304347826087)</f>
        <v>2.391304348</v>
      </c>
      <c r="O400" s="30">
        <f>IFERROR(__xludf.DUMMYFUNCTION("""COMPUTED_VALUE"""),335.07246376811594)</f>
        <v>335.0724638</v>
      </c>
      <c r="P400" s="30">
        <f>IFERROR(__xludf.DUMMYFUNCTION("""COMPUTED_VALUE"""),0.8115942028985508)</f>
        <v>0.8115942029</v>
      </c>
      <c r="Q400" s="30">
        <f>IFERROR(__xludf.DUMMYFUNCTION("""COMPUTED_VALUE"""),0.6086956521739131)</f>
        <v>0.6086956522</v>
      </c>
      <c r="R400" s="30">
        <f>IFERROR(__xludf.DUMMYFUNCTION("""COMPUTED_VALUE"""),1.028985507246377)</f>
        <v>1.028985507</v>
      </c>
      <c r="S400" s="30">
        <f>IFERROR(__xludf.DUMMYFUNCTION("""COMPUTED_VALUE"""),2.666666666666667)</f>
        <v>2.666666667</v>
      </c>
      <c r="T400" s="30">
        <f>IFERROR(__xludf.DUMMYFUNCTION("""COMPUTED_VALUE"""),349.3724926482162)</f>
        <v>349.3724926</v>
      </c>
      <c r="U400" s="30">
        <f>IFERROR(__xludf.DUMMYFUNCTION("""COMPUTED_VALUE"""),0.7728941385860216)</f>
        <v>0.7728941386</v>
      </c>
      <c r="V400" s="30">
        <f>IFERROR(__xludf.DUMMYFUNCTION("""COMPUTED_VALUE"""),0.5576860772277384)</f>
        <v>0.5576860772</v>
      </c>
      <c r="W400" s="30">
        <f>IFERROR(__xludf.DUMMYFUNCTION("""COMPUTED_VALUE"""),1.3399045710325823)</f>
        <v>1.339904571</v>
      </c>
      <c r="X400" s="30">
        <f>IFERROR(__xludf.DUMMYFUNCTION("""COMPUTED_VALUE"""),2.5875545641597597)</f>
        <v>2.587554564</v>
      </c>
      <c r="Y400" s="30">
        <f>IFERROR(__xludf.DUMMYFUNCTION("""COMPUTED_VALUE"""),343.2930576832819)</f>
        <v>343.2930577</v>
      </c>
      <c r="Z400" s="30">
        <f>IFERROR(__xludf.DUMMYFUNCTION("""COMPUTED_VALUE"""),0.7083596435438316)</f>
        <v>0.7083596435</v>
      </c>
      <c r="AA400" s="30">
        <f>IFERROR(__xludf.DUMMYFUNCTION("""COMPUTED_VALUE"""),0.503314101299474)</f>
        <v>0.5033141013</v>
      </c>
      <c r="AB400" s="30">
        <f>IFERROR(__xludf.DUMMYFUNCTION("""COMPUTED_VALUE"""),1.4285332007199016)</f>
        <v>1.428533201</v>
      </c>
      <c r="AC400" s="30">
        <f>IFERROR(__xludf.DUMMYFUNCTION("""COMPUTED_VALUE"""),2.472060877067159)</f>
        <v>2.472060877</v>
      </c>
      <c r="AD400" s="30">
        <f>IFERROR(__xludf.DUMMYFUNCTION("""COMPUTED_VALUE"""),0.9974998764018755)</f>
        <v>0.9974998764</v>
      </c>
      <c r="AE400" s="30">
        <f>IFERROR(__xludf.DUMMYFUNCTION("""COMPUTED_VALUE"""),1.2275758865101096)</f>
        <v>1.227575887</v>
      </c>
      <c r="AF400" s="30">
        <f>IFERROR(__xludf.DUMMYFUNCTION("""COMPUTED_VALUE"""),0.8638395140790119)</f>
        <v>0.8638395141</v>
      </c>
      <c r="AG400" s="30">
        <f>IFERROR(__xludf.DUMMYFUNCTION("""COMPUTED_VALUE"""),0.9435035085479931)</f>
        <v>0.9435035085</v>
      </c>
      <c r="AH400" s="30">
        <f>IFERROR(__xludf.DUMMYFUNCTION("""COMPUTED_VALUE"""),0.9673323056117934)</f>
        <v>0.9673323056</v>
      </c>
      <c r="AI400" s="30">
        <f>IFERROR(__xludf.DUMMYFUNCTION("""COMPUTED_VALUE"""),0.9590693910338871)</f>
        <v>0.959069391</v>
      </c>
      <c r="AJ400" s="30">
        <f>IFERROR(__xludf.DUMMYFUNCTION("""COMPUTED_VALUE"""),1.0500716234998617)</f>
        <v>1.050071623</v>
      </c>
      <c r="AK400" s="30">
        <f>IFERROR(__xludf.DUMMYFUNCTION("""COMPUTED_VALUE"""),1.0914664665823175)</f>
        <v>1.091466467</v>
      </c>
      <c r="AL400" s="30">
        <f>IFERROR(__xludf.DUMMYFUNCTION("""COMPUTED_VALUE"""),0.7679543226376195)</f>
        <v>0.7679543226</v>
      </c>
      <c r="AM400" s="30">
        <f>IFERROR(__xludf.DUMMYFUNCTION("""COMPUTED_VALUE"""),1.0305740808726083)</f>
        <v>1.030574081</v>
      </c>
      <c r="AN400" s="30">
        <f>IFERROR(__xludf.DUMMYFUNCTION("""COMPUTED_VALUE"""),0.9917674425551979)</f>
        <v>0.9917674426</v>
      </c>
      <c r="AO400" s="30">
        <f>IFERROR(__xludf.DUMMYFUNCTION("""COMPUTED_VALUE"""),1.1527393527449927)</f>
        <v>1.152739353</v>
      </c>
      <c r="AP400" s="30">
        <f>IFERROR(__xludf.DUMMYFUNCTION("""COMPUTED_VALUE"""),0.8063092705653035)</f>
        <v>0.8063092706</v>
      </c>
      <c r="AQ400" s="30">
        <f>IFERROR(__xludf.DUMMYFUNCTION("""COMPUTED_VALUE"""),0.9979139419016714)</f>
        <v>0.9979139419</v>
      </c>
      <c r="AR400" s="30">
        <f>IFERROR(__xludf.DUMMYFUNCTION("""COMPUTED_VALUE"""),0.9338545776695034)</f>
        <v>0.9338545777</v>
      </c>
      <c r="AS400" s="30">
        <f>IFERROR(__xludf.DUMMYFUNCTION("""COMPUTED_VALUE"""),47.0)</f>
        <v>47</v>
      </c>
      <c r="AT400" s="30">
        <f>IFERROR(__xludf.DUMMYFUNCTION("""COMPUTED_VALUE"""),0.4330521093236098)</f>
        <v>0.4330521093</v>
      </c>
      <c r="AU400" s="30">
        <f>IFERROR(__xludf.DUMMYFUNCTION("""COMPUTED_VALUE"""),2.452568836549596)</f>
        <v>2.452568837</v>
      </c>
      <c r="AV400" s="32">
        <f>IFERROR(__xludf.DUMMYFUNCTION("""COMPUTED_VALUE"""),52.55981185572402)</f>
        <v>52.55981186</v>
      </c>
      <c r="AW400" s="32">
        <f>IFERROR(__xludf.DUMMYFUNCTION("""COMPUTED_VALUE"""),2.177593277961786)</f>
        <v>2.177593278</v>
      </c>
      <c r="AX400" s="32">
        <f>IFERROR(__xludf.DUMMYFUNCTION("""COMPUTED_VALUE"""),53.60050654833975)</f>
        <v>53.60050655</v>
      </c>
      <c r="AY400" s="32">
        <f>IFERROR(__xludf.DUMMYFUNCTION("""COMPUTED_VALUE"""),2.258650567433112)</f>
        <v>2.258650567</v>
      </c>
      <c r="AZ400" s="30">
        <f>IFERROR(__xludf.DUMMYFUNCTION("""COMPUTED_VALUE"""),0.08105728947132596)</f>
        <v>0.08105728947</v>
      </c>
      <c r="BA400" s="30">
        <f>IFERROR(__xludf.DUMMYFUNCTION("""COMPUTED_VALUE"""),1200.0)</f>
        <v>1200</v>
      </c>
    </row>
    <row r="401">
      <c r="A401" s="71" t="str">
        <f>IFERROR(__xludf.DUMMYFUNCTION("""COMPUTED_VALUE"""),"Veteran")</f>
        <v>Veteran</v>
      </c>
      <c r="B401" s="71" t="str">
        <f>IFERROR(__xludf.DUMMYFUNCTION("""COMPUTED_VALUE"""),"RSC007817")</f>
        <v>RSC007817</v>
      </c>
      <c r="C401" s="30" t="str">
        <f>IFERROR(__xludf.DUMMYFUNCTION("""COMPUTED_VALUE"""),"HiChew.RL")</f>
        <v>HiChew.RL</v>
      </c>
      <c r="D401" s="30" t="str">
        <f>IFERROR(__xludf.DUMMYFUNCTION("""COMPUTED_VALUE"""),"Dog Fighters")</f>
        <v>Dog Fighters</v>
      </c>
      <c r="E401" s="30">
        <f>IFERROR(__xludf.DUMMYFUNCTION("""COMPUTED_VALUE"""),32.0)</f>
        <v>32</v>
      </c>
      <c r="F401" s="30">
        <f>IFERROR(__xludf.DUMMYFUNCTION("""COMPUTED_VALUE"""),19.0)</f>
        <v>19</v>
      </c>
      <c r="G401" s="42">
        <f>IFERROR(__xludf.DUMMYFUNCTION("""COMPUTED_VALUE"""),13.0)</f>
        <v>13</v>
      </c>
      <c r="H401" s="42">
        <f>IFERROR(__xludf.DUMMYFUNCTION("""COMPUTED_VALUE"""),0.59375)</f>
        <v>0.59375</v>
      </c>
      <c r="I401" s="42">
        <f>IFERROR(__xludf.DUMMYFUNCTION("""COMPUTED_VALUE"""),0.18518518518518517)</f>
        <v>0.1851851852</v>
      </c>
      <c r="J401" s="30">
        <f>IFERROR(__xludf.DUMMYFUNCTION("""COMPUTED_VALUE"""),364.375)</f>
        <v>364.375</v>
      </c>
      <c r="K401" s="30">
        <f>IFERROR(__xludf.DUMMYFUNCTION("""COMPUTED_VALUE"""),0.46875)</f>
        <v>0.46875</v>
      </c>
      <c r="L401" s="30">
        <f>IFERROR(__xludf.DUMMYFUNCTION("""COMPUTED_VALUE"""),0.84375)</f>
        <v>0.84375</v>
      </c>
      <c r="M401" s="30">
        <f>IFERROR(__xludf.DUMMYFUNCTION("""COMPUTED_VALUE"""),1.59375)</f>
        <v>1.59375</v>
      </c>
      <c r="N401" s="30">
        <f>IFERROR(__xludf.DUMMYFUNCTION("""COMPUTED_VALUE"""),2.53125)</f>
        <v>2.53125</v>
      </c>
      <c r="O401" s="30">
        <f>IFERROR(__xludf.DUMMYFUNCTION("""COMPUTED_VALUE"""),342.88541666666674)</f>
        <v>342.8854167</v>
      </c>
      <c r="P401" s="30">
        <f>IFERROR(__xludf.DUMMYFUNCTION("""COMPUTED_VALUE"""),0.6145833333333335)</f>
        <v>0.6145833333</v>
      </c>
      <c r="Q401" s="30">
        <f>IFERROR(__xludf.DUMMYFUNCTION("""COMPUTED_VALUE"""),0.4791666666666666)</f>
        <v>0.4791666667</v>
      </c>
      <c r="R401" s="30">
        <f>IFERROR(__xludf.DUMMYFUNCTION("""COMPUTED_VALUE"""),1.46875)</f>
        <v>1.46875</v>
      </c>
      <c r="S401" s="30">
        <f>IFERROR(__xludf.DUMMYFUNCTION("""COMPUTED_VALUE"""),2.458333333333333)</f>
        <v>2.458333333</v>
      </c>
      <c r="T401" s="30">
        <f>IFERROR(__xludf.DUMMYFUNCTION("""COMPUTED_VALUE"""),349.13103497758743)</f>
        <v>349.131035</v>
      </c>
      <c r="U401" s="30">
        <f>IFERROR(__xludf.DUMMYFUNCTION("""COMPUTED_VALUE"""),0.7012988224044061)</f>
        <v>0.7012988224</v>
      </c>
      <c r="V401" s="30">
        <f>IFERROR(__xludf.DUMMYFUNCTION("""COMPUTED_VALUE"""),0.5571896259837276)</f>
        <v>0.557189626</v>
      </c>
      <c r="W401" s="30">
        <f>IFERROR(__xludf.DUMMYFUNCTION("""COMPUTED_VALUE"""),1.4235299917071633)</f>
        <v>1.423529992</v>
      </c>
      <c r="X401" s="30">
        <f>IFERROR(__xludf.DUMMYFUNCTION("""COMPUTED_VALUE"""),2.4853704245443997)</f>
        <v>2.485370425</v>
      </c>
      <c r="Y401" s="30">
        <f>IFERROR(__xludf.DUMMYFUNCTION("""COMPUTED_VALUE"""),351.7637429446382)</f>
        <v>351.7637429</v>
      </c>
      <c r="Z401" s="30">
        <f>IFERROR(__xludf.DUMMYFUNCTION("""COMPUTED_VALUE"""),0.7626694023977401)</f>
        <v>0.7626694024</v>
      </c>
      <c r="AA401" s="30">
        <f>IFERROR(__xludf.DUMMYFUNCTION("""COMPUTED_VALUE"""),0.5552180012611714)</f>
        <v>0.5552180013</v>
      </c>
      <c r="AB401" s="30">
        <f>IFERROR(__xludf.DUMMYFUNCTION("""COMPUTED_VALUE"""),1.346935663486779)</f>
        <v>1.346935663</v>
      </c>
      <c r="AC401" s="30">
        <f>IFERROR(__xludf.DUMMYFUNCTION("""COMPUTED_VALUE"""),2.676352408368132)</f>
        <v>2.676352408</v>
      </c>
      <c r="AD401" s="30">
        <f>IFERROR(__xludf.DUMMYFUNCTION("""COMPUTED_VALUE"""),1.0358514977973345)</f>
        <v>1.035851498</v>
      </c>
      <c r="AE401" s="30">
        <f>IFERROR(__xludf.DUMMYFUNCTION("""COMPUTED_VALUE"""),0.6146175505747403)</f>
        <v>0.6146175506</v>
      </c>
      <c r="AF401" s="30">
        <f>IFERROR(__xludf.DUMMYFUNCTION("""COMPUTED_VALUE"""),1.5196733500776838)</f>
        <v>1.51967335</v>
      </c>
      <c r="AG401" s="30">
        <f>IFERROR(__xludf.DUMMYFUNCTION("""COMPUTED_VALUE"""),1.1832413701737607)</f>
        <v>1.18324137</v>
      </c>
      <c r="AH401" s="30">
        <f>IFERROR(__xludf.DUMMYFUNCTION("""COMPUTED_VALUE"""),0.9457835194220159)</f>
        <v>0.9457835194</v>
      </c>
      <c r="AI401" s="30">
        <f>IFERROR(__xludf.DUMMYFUNCTION("""COMPUTED_VALUE"""),0.9821109621167834)</f>
        <v>0.9821109621</v>
      </c>
      <c r="AJ401" s="30">
        <f>IFERROR(__xludf.DUMMYFUNCTION("""COMPUTED_VALUE"""),0.8763501573070261)</f>
        <v>0.8763501573</v>
      </c>
      <c r="AK401" s="30">
        <f>IFERROR(__xludf.DUMMYFUNCTION("""COMPUTED_VALUE"""),0.859970545612169)</f>
        <v>0.8599705456</v>
      </c>
      <c r="AL401" s="30">
        <f>IFERROR(__xludf.DUMMYFUNCTION("""COMPUTED_VALUE"""),1.0317661085865895)</f>
        <v>1.031766109</v>
      </c>
      <c r="AM401" s="30">
        <f>IFERROR(__xludf.DUMMYFUNCTION("""COMPUTED_VALUE"""),0.9891215044067232)</f>
        <v>0.9891215044</v>
      </c>
      <c r="AN401" s="30">
        <f>IFERROR(__xludf.DUMMYFUNCTION("""COMPUTED_VALUE"""),1.0553112015317618)</f>
        <v>1.055311202</v>
      </c>
      <c r="AO401" s="30">
        <f>IFERROR(__xludf.DUMMYFUNCTION("""COMPUTED_VALUE"""),0.6213985573390977)</f>
        <v>0.6213985573</v>
      </c>
      <c r="AP401" s="30">
        <f>IFERROR(__xludf.DUMMYFUNCTION("""COMPUTED_VALUE"""),1.5647439281907922)</f>
        <v>1.564743928</v>
      </c>
      <c r="AQ401" s="30">
        <f>IFERROR(__xludf.DUMMYFUNCTION("""COMPUTED_VALUE"""),1.1799929978333272)</f>
        <v>1.179992998</v>
      </c>
      <c r="AR401" s="30">
        <f>IFERROR(__xludf.DUMMYFUNCTION("""COMPUTED_VALUE"""),0.9885062944308437)</f>
        <v>0.9885062944</v>
      </c>
      <c r="AS401" s="30">
        <f>IFERROR(__xludf.DUMMYFUNCTION("""COMPUTED_VALUE"""),78.0)</f>
        <v>78</v>
      </c>
      <c r="AT401" s="30">
        <f>IFERROR(__xludf.DUMMYFUNCTION("""COMPUTED_VALUE"""),0.6043853627758308)</f>
        <v>0.6043853628</v>
      </c>
      <c r="AU401" s="30">
        <f>IFERROR(__xludf.DUMMYFUNCTION("""COMPUTED_VALUE"""),2.6354482203004257)</f>
        <v>2.63544822</v>
      </c>
      <c r="AV401" s="32">
        <f>IFERROR(__xludf.DUMMYFUNCTION("""COMPUTED_VALUE"""),58.22470049411543)</f>
        <v>58.22470049</v>
      </c>
      <c r="AW401" s="32">
        <f>IFERROR(__xludf.DUMMYFUNCTION("""COMPUTED_VALUE"""),2.694819469679559)</f>
        <v>2.69481947</v>
      </c>
      <c r="AX401" s="32">
        <f>IFERROR(__xludf.DUMMYFUNCTION("""COMPUTED_VALUE"""),57.62389008410341)</f>
        <v>57.62389008</v>
      </c>
      <c r="AY401" s="32">
        <f>IFERROR(__xludf.DUMMYFUNCTION("""COMPUTED_VALUE"""),2.630194751873016)</f>
        <v>2.630194752</v>
      </c>
      <c r="AZ401" s="30">
        <f>IFERROR(__xludf.DUMMYFUNCTION("""COMPUTED_VALUE"""),0.06462471780654289)</f>
        <v>0.06462471781</v>
      </c>
      <c r="BA401" s="30">
        <f>IFERROR(__xludf.DUMMYFUNCTION("""COMPUTED_VALUE"""),1200.0)</f>
        <v>1200</v>
      </c>
    </row>
    <row r="402">
      <c r="A402" s="71" t="str">
        <f>IFERROR(__xludf.DUMMYFUNCTION("""COMPUTED_VALUE"""),"Veteran")</f>
        <v>Veteran</v>
      </c>
      <c r="B402" s="71" t="str">
        <f>IFERROR(__xludf.DUMMYFUNCTION("""COMPUTED_VALUE"""),"RSC007888")</f>
        <v>RSC007888</v>
      </c>
      <c r="C402" s="30" t="str">
        <f>IFERROR(__xludf.DUMMYFUNCTION("""COMPUTED_VALUE"""),"SejRL")</f>
        <v>SejRL</v>
      </c>
      <c r="D402" s="30" t="str">
        <f>IFERROR(__xludf.DUMMYFUNCTION("""COMPUTED_VALUE"""),"Supernova")</f>
        <v>Supernova</v>
      </c>
      <c r="E402" s="30">
        <f>IFERROR(__xludf.DUMMYFUNCTION("""COMPUTED_VALUE"""),35.0)</f>
        <v>35</v>
      </c>
      <c r="F402" s="30">
        <f>IFERROR(__xludf.DUMMYFUNCTION("""COMPUTED_VALUE"""),12.0)</f>
        <v>12</v>
      </c>
      <c r="G402" s="42">
        <f>IFERROR(__xludf.DUMMYFUNCTION("""COMPUTED_VALUE"""),23.0)</f>
        <v>23</v>
      </c>
      <c r="H402" s="42">
        <f>IFERROR(__xludf.DUMMYFUNCTION("""COMPUTED_VALUE"""),0.34285714285714286)</f>
        <v>0.3428571429</v>
      </c>
      <c r="I402" s="42">
        <f>IFERROR(__xludf.DUMMYFUNCTION("""COMPUTED_VALUE"""),0.3670886075949367)</f>
        <v>0.3670886076</v>
      </c>
      <c r="J402" s="30">
        <f>IFERROR(__xludf.DUMMYFUNCTION("""COMPUTED_VALUE"""),376.62857142857143)</f>
        <v>376.6285714</v>
      </c>
      <c r="K402" s="30">
        <f>IFERROR(__xludf.DUMMYFUNCTION("""COMPUTED_VALUE"""),0.8285714285714286)</f>
        <v>0.8285714286</v>
      </c>
      <c r="L402" s="30">
        <f>IFERROR(__xludf.DUMMYFUNCTION("""COMPUTED_VALUE"""),0.6)</f>
        <v>0.6</v>
      </c>
      <c r="M402" s="30">
        <f>IFERROR(__xludf.DUMMYFUNCTION("""COMPUTED_VALUE"""),1.5714285714285714)</f>
        <v>1.571428571</v>
      </c>
      <c r="N402" s="30">
        <f>IFERROR(__xludf.DUMMYFUNCTION("""COMPUTED_VALUE"""),2.257142857142857)</f>
        <v>2.257142857</v>
      </c>
      <c r="O402" s="30">
        <f>IFERROR(__xludf.DUMMYFUNCTION("""COMPUTED_VALUE"""),367.18095238095236)</f>
        <v>367.1809524</v>
      </c>
      <c r="P402" s="30">
        <f>IFERROR(__xludf.DUMMYFUNCTION("""COMPUTED_VALUE"""),1.0285714285714285)</f>
        <v>1.028571429</v>
      </c>
      <c r="Q402" s="30">
        <f>IFERROR(__xludf.DUMMYFUNCTION("""COMPUTED_VALUE"""),0.7238095238095238)</f>
        <v>0.7238095238</v>
      </c>
      <c r="R402" s="30">
        <f>IFERROR(__xludf.DUMMYFUNCTION("""COMPUTED_VALUE"""),1.0857142857142856)</f>
        <v>1.085714286</v>
      </c>
      <c r="S402" s="30">
        <f>IFERROR(__xludf.DUMMYFUNCTION("""COMPUTED_VALUE"""),2.914285714285714)</f>
        <v>2.914285714</v>
      </c>
      <c r="T402" s="30">
        <f>IFERROR(__xludf.DUMMYFUNCTION("""COMPUTED_VALUE"""),353.29465591750613)</f>
        <v>353.2946559</v>
      </c>
      <c r="U402" s="30">
        <f>IFERROR(__xludf.DUMMYFUNCTION("""COMPUTED_VALUE"""),0.7904380491660267)</f>
        <v>0.7904380492</v>
      </c>
      <c r="V402" s="30">
        <f>IFERROR(__xludf.DUMMYFUNCTION("""COMPUTED_VALUE"""),0.5637325346319322)</f>
        <v>0.5637325346</v>
      </c>
      <c r="W402" s="30">
        <f>IFERROR(__xludf.DUMMYFUNCTION("""COMPUTED_VALUE"""),1.3600159263661042)</f>
        <v>1.360015926</v>
      </c>
      <c r="X402" s="30">
        <f>IFERROR(__xludf.DUMMYFUNCTION("""COMPUTED_VALUE"""),2.5868478508622625)</f>
        <v>2.586847851</v>
      </c>
      <c r="Y402" s="30">
        <f>IFERROR(__xludf.DUMMYFUNCTION("""COMPUTED_VALUE"""),348.6770437188241)</f>
        <v>348.6770437</v>
      </c>
      <c r="Z402" s="30">
        <f>IFERROR(__xludf.DUMMYFUNCTION("""COMPUTED_VALUE"""),0.764510263749752)</f>
        <v>0.7645102637</v>
      </c>
      <c r="AA402" s="30">
        <f>IFERROR(__xludf.DUMMYFUNCTION("""COMPUTED_VALUE"""),0.5342813938243034)</f>
        <v>0.5342813938</v>
      </c>
      <c r="AB402" s="30">
        <f>IFERROR(__xludf.DUMMYFUNCTION("""COMPUTED_VALUE"""),1.3560037916604808)</f>
        <v>1.356003792</v>
      </c>
      <c r="AC402" s="30">
        <f>IFERROR(__xludf.DUMMYFUNCTION("""COMPUTED_VALUE"""),2.6070981394297603)</f>
        <v>2.607098139</v>
      </c>
      <c r="AD402" s="30">
        <f>IFERROR(__xludf.DUMMYFUNCTION("""COMPUTED_VALUE"""),1.0801645196128473)</f>
        <v>1.08016452</v>
      </c>
      <c r="AE402" s="30">
        <f>IFERROR(__xludf.DUMMYFUNCTION("""COMPUTED_VALUE"""),1.0837937276439835)</f>
        <v>1.083793728</v>
      </c>
      <c r="AF402" s="30">
        <f>IFERROR(__xludf.DUMMYFUNCTION("""COMPUTED_VALUE"""),1.1230037334919956)</f>
        <v>1.123003733</v>
      </c>
      <c r="AG402" s="30">
        <f>IFERROR(__xludf.DUMMYFUNCTION("""COMPUTED_VALUE"""),1.1588673874608377)</f>
        <v>1.158867387</v>
      </c>
      <c r="AH402" s="30">
        <f>IFERROR(__xludf.DUMMYFUNCTION("""COMPUTED_VALUE"""),0.8657682743145805)</f>
        <v>0.8657682743</v>
      </c>
      <c r="AI402" s="30">
        <f>IFERROR(__xludf.DUMMYFUNCTION("""COMPUTED_VALUE"""),1.0393051415606147)</f>
        <v>1.039305142</v>
      </c>
      <c r="AJ402" s="30">
        <f>IFERROR(__xludf.DUMMYFUNCTION("""COMPUTED_VALUE"""),1.3012676068120088)</f>
        <v>1.301267607</v>
      </c>
      <c r="AK402" s="30">
        <f>IFERROR(__xludf.DUMMYFUNCTION("""COMPUTED_VALUE"""),1.2839591106482933)</f>
        <v>1.283959111</v>
      </c>
      <c r="AL402" s="30">
        <f>IFERROR(__xludf.DUMMYFUNCTION("""COMPUTED_VALUE"""),0.7983099790715399)</f>
        <v>0.7983099791</v>
      </c>
      <c r="AM402" s="30">
        <f>IFERROR(__xludf.DUMMYFUNCTION("""COMPUTED_VALUE"""),1.1265779366630737)</f>
        <v>1.126577937</v>
      </c>
      <c r="AN402" s="30">
        <f>IFERROR(__xludf.DUMMYFUNCTION("""COMPUTED_VALUE"""),1.0908002751162311)</f>
        <v>1.090800275</v>
      </c>
      <c r="AO402" s="30">
        <f>IFERROR(__xludf.DUMMYFUNCTION("""COMPUTED_VALUE"""),1.098395926115586)</f>
        <v>1.098395926</v>
      </c>
      <c r="AP402" s="30">
        <f>IFERROR(__xludf.DUMMYFUNCTION("""COMPUTED_VALUE"""),1.112706793380119)</f>
        <v>1.112706793</v>
      </c>
      <c r="AQ402" s="30">
        <f>IFERROR(__xludf.DUMMYFUNCTION("""COMPUTED_VALUE"""),1.1634664852586307)</f>
        <v>1.163466485</v>
      </c>
      <c r="AR402" s="30">
        <f>IFERROR(__xludf.DUMMYFUNCTION("""COMPUTED_VALUE"""),0.8814616974677858)</f>
        <v>0.8814616975</v>
      </c>
      <c r="AS402" s="30">
        <f>IFERROR(__xludf.DUMMYFUNCTION("""COMPUTED_VALUE"""),78.0)</f>
        <v>78</v>
      </c>
      <c r="AT402" s="30">
        <f>IFERROR(__xludf.DUMMYFUNCTION("""COMPUTED_VALUE"""),0.37154517833340694)</f>
        <v>0.3715451783</v>
      </c>
      <c r="AU402" s="30">
        <f>IFERROR(__xludf.DUMMYFUNCTION("""COMPUTED_VALUE"""),2.4546278318291943)</f>
        <v>2.454627832</v>
      </c>
      <c r="AV402" s="32">
        <f>IFERROR(__xludf.DUMMYFUNCTION("""COMPUTED_VALUE"""),52.62359148318487)</f>
        <v>52.62359148</v>
      </c>
      <c r="AW402" s="32">
        <f>IFERROR(__xludf.DUMMYFUNCTION("""COMPUTED_VALUE"""),2.182404220644267)</f>
        <v>2.182404221</v>
      </c>
      <c r="AX402" s="32">
        <f>IFERROR(__xludf.DUMMYFUNCTION("""COMPUTED_VALUE"""),51.84942256300251)</f>
        <v>51.84942256</v>
      </c>
      <c r="AY402" s="32">
        <f>IFERROR(__xludf.DUMMYFUNCTION("""COMPUTED_VALUE"""),2.125333546103496)</f>
        <v>2.125333546</v>
      </c>
      <c r="AZ402" s="30">
        <f>IFERROR(__xludf.DUMMYFUNCTION("""COMPUTED_VALUE"""),0.05707067454077075)</f>
        <v>0.05707067454</v>
      </c>
      <c r="BA402" s="30">
        <f>IFERROR(__xludf.DUMMYFUNCTION("""COMPUTED_VALUE"""),1200.0)</f>
        <v>1200</v>
      </c>
    </row>
    <row r="403">
      <c r="A403" s="71" t="str">
        <f>IFERROR(__xludf.DUMMYFUNCTION("""COMPUTED_VALUE"""),"Veteran")</f>
        <v>Veteran</v>
      </c>
      <c r="B403" s="71" t="str">
        <f>IFERROR(__xludf.DUMMYFUNCTION("""COMPUTED_VALUE"""),"RSC007688")</f>
        <v>RSC007688</v>
      </c>
      <c r="C403" s="30" t="str">
        <f>IFERROR(__xludf.DUMMYFUNCTION("""COMPUTED_VALUE"""),"Yami ^^")</f>
        <v>Yami ^^</v>
      </c>
      <c r="D403" s="30" t="str">
        <f>IFERROR(__xludf.DUMMYFUNCTION("""COMPUTED_VALUE"""),"Typhoons")</f>
        <v>Typhoons</v>
      </c>
      <c r="E403" s="30">
        <f>IFERROR(__xludf.DUMMYFUNCTION("""COMPUTED_VALUE"""),35.0)</f>
        <v>35</v>
      </c>
      <c r="F403" s="30">
        <f>IFERROR(__xludf.DUMMYFUNCTION("""COMPUTED_VALUE"""),19.0)</f>
        <v>19</v>
      </c>
      <c r="G403" s="42">
        <f>IFERROR(__xludf.DUMMYFUNCTION("""COMPUTED_VALUE"""),16.0)</f>
        <v>16</v>
      </c>
      <c r="H403" s="42">
        <f>IFERROR(__xludf.DUMMYFUNCTION("""COMPUTED_VALUE"""),0.5428571428571428)</f>
        <v>0.5428571429</v>
      </c>
      <c r="I403" s="42">
        <f>IFERROR(__xludf.DUMMYFUNCTION("""COMPUTED_VALUE"""),0.25609756097560976)</f>
        <v>0.256097561</v>
      </c>
      <c r="J403" s="30">
        <f>IFERROR(__xludf.DUMMYFUNCTION("""COMPUTED_VALUE"""),297.2857142857143)</f>
        <v>297.2857143</v>
      </c>
      <c r="K403" s="30">
        <f>IFERROR(__xludf.DUMMYFUNCTION("""COMPUTED_VALUE"""),0.6)</f>
        <v>0.6</v>
      </c>
      <c r="L403" s="30">
        <f>IFERROR(__xludf.DUMMYFUNCTION("""COMPUTED_VALUE"""),0.45714285714285713)</f>
        <v>0.4571428571</v>
      </c>
      <c r="M403" s="30">
        <f>IFERROR(__xludf.DUMMYFUNCTION("""COMPUTED_VALUE"""),1.1142857142857143)</f>
        <v>1.114285714</v>
      </c>
      <c r="N403" s="30">
        <f>IFERROR(__xludf.DUMMYFUNCTION("""COMPUTED_VALUE"""),2.342857142857143)</f>
        <v>2.342857143</v>
      </c>
      <c r="O403" s="30">
        <f>IFERROR(__xludf.DUMMYFUNCTION("""COMPUTED_VALUE"""),335.20952380952383)</f>
        <v>335.2095238</v>
      </c>
      <c r="P403" s="30">
        <f>IFERROR(__xludf.DUMMYFUNCTION("""COMPUTED_VALUE"""),0.6476190476190478)</f>
        <v>0.6476190476</v>
      </c>
      <c r="Q403" s="30">
        <f>IFERROR(__xludf.DUMMYFUNCTION("""COMPUTED_VALUE"""),0.5238095238095237)</f>
        <v>0.5238095238</v>
      </c>
      <c r="R403" s="30">
        <f>IFERROR(__xludf.DUMMYFUNCTION("""COMPUTED_VALUE"""),1.3809523809523807)</f>
        <v>1.380952381</v>
      </c>
      <c r="S403" s="30">
        <f>IFERROR(__xludf.DUMMYFUNCTION("""COMPUTED_VALUE"""),2.2380952380952386)</f>
        <v>2.238095238</v>
      </c>
      <c r="T403" s="30">
        <f>IFERROR(__xludf.DUMMYFUNCTION("""COMPUTED_VALUE"""),349.60472311729205)</f>
        <v>349.6047231</v>
      </c>
      <c r="U403" s="30">
        <f>IFERROR(__xludf.DUMMYFUNCTION("""COMPUTED_VALUE"""),0.7360106241390751)</f>
        <v>0.7360106241</v>
      </c>
      <c r="V403" s="30">
        <f>IFERROR(__xludf.DUMMYFUNCTION("""COMPUTED_VALUE"""),0.5566246359211429)</f>
        <v>0.5566246359</v>
      </c>
      <c r="W403" s="30">
        <f>IFERROR(__xludf.DUMMYFUNCTION("""COMPUTED_VALUE"""),1.382945532661142)</f>
        <v>1.382945533</v>
      </c>
      <c r="X403" s="30">
        <f>IFERROR(__xludf.DUMMYFUNCTION("""COMPUTED_VALUE"""),2.5298182238547335)</f>
        <v>2.529818224</v>
      </c>
      <c r="Y403" s="30">
        <f>IFERROR(__xludf.DUMMYFUNCTION("""COMPUTED_VALUE"""),349.04760916683347)</f>
        <v>349.0476092</v>
      </c>
      <c r="Z403" s="30">
        <f>IFERROR(__xludf.DUMMYFUNCTION("""COMPUTED_VALUE"""),0.7342133242389854)</f>
        <v>0.7342133242</v>
      </c>
      <c r="AA403" s="30">
        <f>IFERROR(__xludf.DUMMYFUNCTION("""COMPUTED_VALUE"""),0.5474468278377754)</f>
        <v>0.5474468278</v>
      </c>
      <c r="AB403" s="30">
        <f>IFERROR(__xludf.DUMMYFUNCTION("""COMPUTED_VALUE"""),1.3811991461936308)</f>
        <v>1.381199146</v>
      </c>
      <c r="AC403" s="30">
        <f>IFERROR(__xludf.DUMMYFUNCTION("""COMPUTED_VALUE"""),2.602168216064639)</f>
        <v>2.602168216</v>
      </c>
      <c r="AD403" s="30">
        <f>IFERROR(__xludf.DUMMYFUNCTION("""COMPUTED_VALUE"""),0.851705344710215)</f>
        <v>0.8517053447</v>
      </c>
      <c r="AE403" s="30">
        <f>IFERROR(__xludf.DUMMYFUNCTION("""COMPUTED_VALUE"""),0.8172011868919731)</f>
        <v>0.8172011869</v>
      </c>
      <c r="AF403" s="30">
        <f>IFERROR(__xludf.DUMMYFUNCTION("""COMPUTED_VALUE"""),0.8350452206443728)</f>
        <v>0.8350452206</v>
      </c>
      <c r="AG403" s="30">
        <f>IFERROR(__xludf.DUMMYFUNCTION("""COMPUTED_VALUE"""),0.8067523914683207)</f>
        <v>0.8067523915</v>
      </c>
      <c r="AH403" s="30">
        <f>IFERROR(__xludf.DUMMYFUNCTION("""COMPUTED_VALUE"""),0.9003480744993257)</f>
        <v>0.9003480745</v>
      </c>
      <c r="AI403" s="30">
        <f>IFERROR(__xludf.DUMMYFUNCTION("""COMPUTED_VALUE"""),0.9588243568925164)</f>
        <v>0.9588243569</v>
      </c>
      <c r="AJ403" s="30">
        <f>IFERROR(__xludf.DUMMYFUNCTION("""COMPUTED_VALUE"""),0.8799044828688165)</f>
        <v>0.8799044829</v>
      </c>
      <c r="AK403" s="30">
        <f>IFERROR(__xludf.DUMMYFUNCTION("""COMPUTED_VALUE"""),0.94104624554155)</f>
        <v>0.9410462455</v>
      </c>
      <c r="AL403" s="30">
        <f>IFERROR(__xludf.DUMMYFUNCTION("""COMPUTED_VALUE"""),0.9985587634063029)</f>
        <v>0.9985587634</v>
      </c>
      <c r="AM403" s="30">
        <f>IFERROR(__xludf.DUMMYFUNCTION("""COMPUTED_VALUE"""),0.8846861869328339)</f>
        <v>0.8846861869</v>
      </c>
      <c r="AN403" s="30">
        <f>IFERROR(__xludf.DUMMYFUNCTION("""COMPUTED_VALUE"""),0.8610056791522064)</f>
        <v>0.8610056792</v>
      </c>
      <c r="AO403" s="30">
        <f>IFERROR(__xludf.DUMMYFUNCTION("""COMPUTED_VALUE"""),0.7953901533940451)</f>
        <v>0.7953901534</v>
      </c>
      <c r="AP403" s="30">
        <f>IFERROR(__xludf.DUMMYFUNCTION("""COMPUTED_VALUE"""),0.8477766044800906)</f>
        <v>0.8477766045</v>
      </c>
      <c r="AQ403" s="30">
        <f>IFERROR(__xludf.DUMMYFUNCTION("""COMPUTED_VALUE"""),0.8250035077288472)</f>
        <v>0.8250035077</v>
      </c>
      <c r="AR403" s="30">
        <f>IFERROR(__xludf.DUMMYFUNCTION("""COMPUTED_VALUE"""),0.91493492648555)</f>
        <v>0.9149349265</v>
      </c>
      <c r="AS403" s="30">
        <f>IFERROR(__xludf.DUMMYFUNCTION("""COMPUTED_VALUE"""),71.0)</f>
        <v>71</v>
      </c>
      <c r="AT403" s="30">
        <f>IFERROR(__xludf.DUMMYFUNCTION("""COMPUTED_VALUE"""),0.5160284966553347)</f>
        <v>0.5160284967</v>
      </c>
      <c r="AU403" s="30">
        <f>IFERROR(__xludf.DUMMYFUNCTION("""COMPUTED_VALUE"""),2.011199285475498)</f>
        <v>2.011199285</v>
      </c>
      <c r="AV403" s="32">
        <f>IFERROR(__xludf.DUMMYFUNCTION("""COMPUTED_VALUE"""),38.887907981538774)</f>
        <v>38.88790798</v>
      </c>
      <c r="AW403" s="32">
        <f>IFERROR(__xludf.DUMMYFUNCTION("""COMPUTED_VALUE"""),-3.04556349553952)</f>
        <v>-3.045563496</v>
      </c>
      <c r="AX403" s="32">
        <f>IFERROR(__xludf.DUMMYFUNCTION("""COMPUTED_VALUE"""),38.503615542098174)</f>
        <v>38.50361554</v>
      </c>
      <c r="AY403" s="32">
        <f>IFERROR(__xludf.DUMMYFUNCTION("""COMPUTED_VALUE"""),-3.0977973192264905)</f>
        <v>-3.097797319</v>
      </c>
      <c r="AZ403" s="30">
        <f>IFERROR(__xludf.DUMMYFUNCTION("""COMPUTED_VALUE"""),0.05223382368697038)</f>
        <v>0.05223382369</v>
      </c>
      <c r="BA403" s="30">
        <f>IFERROR(__xludf.DUMMYFUNCTION("""COMPUTED_VALUE"""),1200.0)</f>
        <v>1200</v>
      </c>
    </row>
    <row r="404">
      <c r="A404" s="71" t="str">
        <f>IFERROR(__xludf.DUMMYFUNCTION("""COMPUTED_VALUE"""),"Veteran")</f>
        <v>Veteran</v>
      </c>
      <c r="B404" s="71" t="str">
        <f>IFERROR(__xludf.DUMMYFUNCTION("""COMPUTED_VALUE"""),"RSC003238")</f>
        <v>RSC003238</v>
      </c>
      <c r="C404" s="30" t="str">
        <f>IFERROR(__xludf.DUMMYFUNCTION("""COMPUTED_VALUE"""),"BanThisOne2")</f>
        <v>BanThisOne2</v>
      </c>
      <c r="D404" s="30" t="str">
        <f>IFERROR(__xludf.DUMMYFUNCTION("""COMPUTED_VALUE"""),"Rulers")</f>
        <v>Rulers</v>
      </c>
      <c r="E404" s="30">
        <f>IFERROR(__xludf.DUMMYFUNCTION("""COMPUTED_VALUE"""),36.0)</f>
        <v>36</v>
      </c>
      <c r="F404" s="30">
        <f>IFERROR(__xludf.DUMMYFUNCTION("""COMPUTED_VALUE"""),20.0)</f>
        <v>20</v>
      </c>
      <c r="G404" s="42">
        <f>IFERROR(__xludf.DUMMYFUNCTION("""COMPUTED_VALUE"""),16.0)</f>
        <v>16</v>
      </c>
      <c r="H404" s="42">
        <f>IFERROR(__xludf.DUMMYFUNCTION("""COMPUTED_VALUE"""),0.5555555555555556)</f>
        <v>0.5555555556</v>
      </c>
      <c r="I404" s="42">
        <f>IFERROR(__xludf.DUMMYFUNCTION("""COMPUTED_VALUE"""),0.3214285714285714)</f>
        <v>0.3214285714</v>
      </c>
      <c r="J404" s="30">
        <f>IFERROR(__xludf.DUMMYFUNCTION("""COMPUTED_VALUE"""),408.8888888888889)</f>
        <v>408.8888889</v>
      </c>
      <c r="K404" s="30">
        <f>IFERROR(__xludf.DUMMYFUNCTION("""COMPUTED_VALUE"""),0.75)</f>
        <v>0.75</v>
      </c>
      <c r="L404" s="30">
        <f>IFERROR(__xludf.DUMMYFUNCTION("""COMPUTED_VALUE"""),0.6111111111111112)</f>
        <v>0.6111111111</v>
      </c>
      <c r="M404" s="30">
        <f>IFERROR(__xludf.DUMMYFUNCTION("""COMPUTED_VALUE"""),2.0277777777777777)</f>
        <v>2.027777778</v>
      </c>
      <c r="N404" s="30">
        <f>IFERROR(__xludf.DUMMYFUNCTION("""COMPUTED_VALUE"""),2.3333333333333335)</f>
        <v>2.333333333</v>
      </c>
      <c r="O404" s="30">
        <f>IFERROR(__xludf.DUMMYFUNCTION("""COMPUTED_VALUE"""),325.4444444444445)</f>
        <v>325.4444444</v>
      </c>
      <c r="P404" s="30">
        <f>IFERROR(__xludf.DUMMYFUNCTION("""COMPUTED_VALUE"""),0.6296296296296297)</f>
        <v>0.6296296296</v>
      </c>
      <c r="Q404" s="30">
        <f>IFERROR(__xludf.DUMMYFUNCTION("""COMPUTED_VALUE"""),0.4537037037037038)</f>
        <v>0.4537037037</v>
      </c>
      <c r="R404" s="30">
        <f>IFERROR(__xludf.DUMMYFUNCTION("""COMPUTED_VALUE"""),1.2685185185185182)</f>
        <v>1.268518519</v>
      </c>
      <c r="S404" s="30">
        <f>IFERROR(__xludf.DUMMYFUNCTION("""COMPUTED_VALUE"""),2.8611111111111116)</f>
        <v>2.861111111</v>
      </c>
      <c r="T404" s="30">
        <f>IFERROR(__xludf.DUMMYFUNCTION("""COMPUTED_VALUE"""),356.1970522734145)</f>
        <v>356.1970523</v>
      </c>
      <c r="U404" s="30">
        <f>IFERROR(__xludf.DUMMYFUNCTION("""COMPUTED_VALUE"""),0.850243376540081)</f>
        <v>0.8502433765</v>
      </c>
      <c r="V404" s="30">
        <f>IFERROR(__xludf.DUMMYFUNCTION("""COMPUTED_VALUE"""),0.5620597721225389)</f>
        <v>0.5620597721</v>
      </c>
      <c r="W404" s="30">
        <f>IFERROR(__xludf.DUMMYFUNCTION("""COMPUTED_VALUE"""),1.3096916774683565)</f>
        <v>1.309691677</v>
      </c>
      <c r="X404" s="30">
        <f>IFERROR(__xludf.DUMMYFUNCTION("""COMPUTED_VALUE"""),2.67882164464711)</f>
        <v>2.678821645</v>
      </c>
      <c r="Y404" s="30">
        <f>IFERROR(__xludf.DUMMYFUNCTION("""COMPUTED_VALUE"""),349.8107778672913)</f>
        <v>349.8107779</v>
      </c>
      <c r="Z404" s="30">
        <f>IFERROR(__xludf.DUMMYFUNCTION("""COMPUTED_VALUE"""),0.766306314416542)</f>
        <v>0.7663063144</v>
      </c>
      <c r="AA404" s="30">
        <f>IFERROR(__xludf.DUMMYFUNCTION("""COMPUTED_VALUE"""),0.5564774470117726)</f>
        <v>0.556477447</v>
      </c>
      <c r="AB404" s="30">
        <f>IFERROR(__xludf.DUMMYFUNCTION("""COMPUTED_VALUE"""),1.3801796467818401)</f>
        <v>1.380179647</v>
      </c>
      <c r="AC404" s="30">
        <f>IFERROR(__xludf.DUMMYFUNCTION("""COMPUTED_VALUE"""),2.5210898533961315)</f>
        <v>2.521089853</v>
      </c>
      <c r="AD404" s="30">
        <f>IFERROR(__xludf.DUMMYFUNCTION("""COMPUTED_VALUE"""),1.168885908495393)</f>
        <v>1.168885908</v>
      </c>
      <c r="AE404" s="30">
        <f>IFERROR(__xludf.DUMMYFUNCTION("""COMPUTED_VALUE"""),0.9787208925337416)</f>
        <v>0.9787208925</v>
      </c>
      <c r="AF404" s="30">
        <f>IFERROR(__xludf.DUMMYFUNCTION("""COMPUTED_VALUE"""),1.0981776788847704)</f>
        <v>1.098177679</v>
      </c>
      <c r="AG404" s="30">
        <f>IFERROR(__xludf.DUMMYFUNCTION("""COMPUTED_VALUE"""),1.4692129263795042)</f>
        <v>1.469212926</v>
      </c>
      <c r="AH404" s="30">
        <f>IFERROR(__xludf.DUMMYFUNCTION("""COMPUTED_VALUE"""),0.9255256531972181)</f>
        <v>0.9255256532</v>
      </c>
      <c r="AI404" s="30">
        <f>IFERROR(__xludf.DUMMYFUNCTION("""COMPUTED_VALUE"""),0.9136640586083108)</f>
        <v>0.9136640586</v>
      </c>
      <c r="AJ404" s="30">
        <f>IFERROR(__xludf.DUMMYFUNCTION("""COMPUTED_VALUE"""),0.7405287086055278)</f>
        <v>0.7405287086</v>
      </c>
      <c r="AK404" s="30">
        <f>IFERROR(__xludf.DUMMYFUNCTION("""COMPUTED_VALUE"""),0.807216111536245)</f>
        <v>0.8072161115</v>
      </c>
      <c r="AL404" s="30">
        <f>IFERROR(__xludf.DUMMYFUNCTION("""COMPUTED_VALUE"""),0.9685627085686104)</f>
        <v>0.9685627086</v>
      </c>
      <c r="AM404" s="30">
        <f>IFERROR(__xludf.DUMMYFUNCTION("""COMPUTED_VALUE"""),1.068048377475319)</f>
        <v>1.068048377</v>
      </c>
      <c r="AN404" s="30">
        <f>IFERROR(__xludf.DUMMYFUNCTION("""COMPUTED_VALUE"""),1.1842333437429033)</f>
        <v>1.184233344</v>
      </c>
      <c r="AO404" s="30">
        <f>IFERROR(__xludf.DUMMYFUNCTION("""COMPUTED_VALUE"""),0.9942376917425563)</f>
        <v>0.9942376917</v>
      </c>
      <c r="AP404" s="30">
        <f>IFERROR(__xludf.DUMMYFUNCTION("""COMPUTED_VALUE"""),1.1333124747390102)</f>
        <v>1.133312475</v>
      </c>
      <c r="AQ404" s="30">
        <f>IFERROR(__xludf.DUMMYFUNCTION("""COMPUTED_VALUE"""),1.501341853452425)</f>
        <v>1.501341853</v>
      </c>
      <c r="AR404" s="30">
        <f>IFERROR(__xludf.DUMMYFUNCTION("""COMPUTED_VALUE"""),0.9112156788169095)</f>
        <v>0.9112156788</v>
      </c>
      <c r="AS404" s="30">
        <f>IFERROR(__xludf.DUMMYFUNCTION("""COMPUTED_VALUE"""),74.0)</f>
        <v>74</v>
      </c>
      <c r="AT404" s="30">
        <f>IFERROR(__xludf.DUMMYFUNCTION("""COMPUTED_VALUE"""),0.5313019339239632)</f>
        <v>0.5313019339</v>
      </c>
      <c r="AU404" s="30">
        <f>IFERROR(__xludf.DUMMYFUNCTION("""COMPUTED_VALUE"""),2.8195031929753576)</f>
        <v>2.819503193</v>
      </c>
      <c r="AV404" s="32">
        <f>IFERROR(__xludf.DUMMYFUNCTION("""COMPUTED_VALUE"""),63.92600428331815)</f>
        <v>63.92600428</v>
      </c>
      <c r="AW404" s="32">
        <f>IFERROR(__xludf.DUMMYFUNCTION("""COMPUTED_VALUE"""),3.463203565021005)</f>
        <v>3.463203565</v>
      </c>
      <c r="AX404" s="32">
        <f>IFERROR(__xludf.DUMMYFUNCTION("""COMPUTED_VALUE"""),63.635858671215416)</f>
        <v>63.63585867</v>
      </c>
      <c r="AY404" s="32">
        <f>IFERROR(__xludf.DUMMYFUNCTION("""COMPUTED_VALUE"""),3.416147447926637)</f>
        <v>3.416147448</v>
      </c>
      <c r="AZ404" s="30">
        <f>IFERROR(__xludf.DUMMYFUNCTION("""COMPUTED_VALUE"""),0.047056117094367966)</f>
        <v>0.04705611709</v>
      </c>
      <c r="BA404" s="30">
        <f>IFERROR(__xludf.DUMMYFUNCTION("""COMPUTED_VALUE"""),1200.0)</f>
        <v>1200</v>
      </c>
    </row>
    <row r="405">
      <c r="A405" s="71" t="str">
        <f>IFERROR(__xludf.DUMMYFUNCTION("""COMPUTED_VALUE"""),"Veteran")</f>
        <v>Veteran</v>
      </c>
      <c r="B405" s="71" t="str">
        <f>IFERROR(__xludf.DUMMYFUNCTION("""COMPUTED_VALUE"""),"RSC003416")</f>
        <v>RSC003416</v>
      </c>
      <c r="C405" s="30" t="str">
        <f>IFERROR(__xludf.DUMMYFUNCTION("""COMPUTED_VALUE"""),"DrSkimMilk")</f>
        <v>DrSkimMilk</v>
      </c>
      <c r="D405" s="30" t="str">
        <f>IFERROR(__xludf.DUMMYFUNCTION("""COMPUTED_VALUE"""),"Merciless Mob")</f>
        <v>Merciless Mob</v>
      </c>
      <c r="E405" s="30">
        <f>IFERROR(__xludf.DUMMYFUNCTION("""COMPUTED_VALUE"""),29.0)</f>
        <v>29</v>
      </c>
      <c r="F405" s="30">
        <f>IFERROR(__xludf.DUMMYFUNCTION("""COMPUTED_VALUE"""),15.0)</f>
        <v>15</v>
      </c>
      <c r="G405" s="42">
        <f>IFERROR(__xludf.DUMMYFUNCTION("""COMPUTED_VALUE"""),14.0)</f>
        <v>14</v>
      </c>
      <c r="H405" s="42">
        <f>IFERROR(__xludf.DUMMYFUNCTION("""COMPUTED_VALUE"""),0.5172413793103449)</f>
        <v>0.5172413793</v>
      </c>
      <c r="I405" s="42">
        <f>IFERROR(__xludf.DUMMYFUNCTION("""COMPUTED_VALUE"""),0.2985074626865672)</f>
        <v>0.2985074627</v>
      </c>
      <c r="J405" s="30">
        <f>IFERROR(__xludf.DUMMYFUNCTION("""COMPUTED_VALUE"""),280.6896551724138)</f>
        <v>280.6896552</v>
      </c>
      <c r="K405" s="30">
        <f>IFERROR(__xludf.DUMMYFUNCTION("""COMPUTED_VALUE"""),0.6896551724137931)</f>
        <v>0.6896551724</v>
      </c>
      <c r="L405" s="30">
        <f>IFERROR(__xludf.DUMMYFUNCTION("""COMPUTED_VALUE"""),0.2413793103448276)</f>
        <v>0.2413793103</v>
      </c>
      <c r="M405" s="30">
        <f>IFERROR(__xludf.DUMMYFUNCTION("""COMPUTED_VALUE"""),1.0344827586206897)</f>
        <v>1.034482759</v>
      </c>
      <c r="N405" s="30">
        <f>IFERROR(__xludf.DUMMYFUNCTION("""COMPUTED_VALUE"""),2.310344827586207)</f>
        <v>2.310344828</v>
      </c>
      <c r="O405" s="30">
        <f>IFERROR(__xludf.DUMMYFUNCTION("""COMPUTED_VALUE"""),330.68965517241384)</f>
        <v>330.6896552</v>
      </c>
      <c r="P405" s="30">
        <f>IFERROR(__xludf.DUMMYFUNCTION("""COMPUTED_VALUE"""),0.7471264367816093)</f>
        <v>0.7471264368</v>
      </c>
      <c r="Q405" s="30">
        <f>IFERROR(__xludf.DUMMYFUNCTION("""COMPUTED_VALUE"""),0.5862068965517241)</f>
        <v>0.5862068966</v>
      </c>
      <c r="R405" s="30">
        <f>IFERROR(__xludf.DUMMYFUNCTION("""COMPUTED_VALUE"""),1.1379310344827587)</f>
        <v>1.137931034</v>
      </c>
      <c r="S405" s="30">
        <f>IFERROR(__xludf.DUMMYFUNCTION("""COMPUTED_VALUE"""),2.5747126436781604)</f>
        <v>2.574712644</v>
      </c>
      <c r="T405" s="30">
        <f>IFERROR(__xludf.DUMMYFUNCTION("""COMPUTED_VALUE"""),349.50366378957324)</f>
        <v>349.5036638</v>
      </c>
      <c r="U405" s="30">
        <f>IFERROR(__xludf.DUMMYFUNCTION("""COMPUTED_VALUE"""),0.7634985205011625)</f>
        <v>0.7634985205</v>
      </c>
      <c r="V405" s="30">
        <f>IFERROR(__xludf.DUMMYFUNCTION("""COMPUTED_VALUE"""),0.5568245714297013)</f>
        <v>0.5568245714</v>
      </c>
      <c r="W405" s="30">
        <f>IFERROR(__xludf.DUMMYFUNCTION("""COMPUTED_VALUE"""),1.3287427776111453)</f>
        <v>1.328742778</v>
      </c>
      <c r="X405" s="30">
        <f>IFERROR(__xludf.DUMMYFUNCTION("""COMPUTED_VALUE"""),2.5213800291239705)</f>
        <v>2.521380029</v>
      </c>
      <c r="Y405" s="30">
        <f>IFERROR(__xludf.DUMMYFUNCTION("""COMPUTED_VALUE"""),344.6044842062994)</f>
        <v>344.6044842</v>
      </c>
      <c r="Z405" s="30">
        <f>IFERROR(__xludf.DUMMYFUNCTION("""COMPUTED_VALUE"""),0.7457471292610611)</f>
        <v>0.7457471293</v>
      </c>
      <c r="AA405" s="30">
        <f>IFERROR(__xludf.DUMMYFUNCTION("""COMPUTED_VALUE"""),0.5272549024314974)</f>
        <v>0.5272549024</v>
      </c>
      <c r="AB405" s="30">
        <f>IFERROR(__xludf.DUMMYFUNCTION("""COMPUTED_VALUE"""),1.358272092361849)</f>
        <v>1.358272092</v>
      </c>
      <c r="AC405" s="30">
        <f>IFERROR(__xludf.DUMMYFUNCTION("""COMPUTED_VALUE"""),2.535501042017936)</f>
        <v>2.535501042</v>
      </c>
      <c r="AD405" s="30">
        <f>IFERROR(__xludf.DUMMYFUNCTION("""COMPUTED_VALUE"""),0.8145269955465158)</f>
        <v>0.8145269955</v>
      </c>
      <c r="AE405" s="30">
        <f>IFERROR(__xludf.DUMMYFUNCTION("""COMPUTED_VALUE"""),0.9247842135137042)</f>
        <v>0.9247842135</v>
      </c>
      <c r="AF405" s="30">
        <f>IFERROR(__xludf.DUMMYFUNCTION("""COMPUTED_VALUE"""),0.4578038235997025)</f>
        <v>0.4578038236</v>
      </c>
      <c r="AG405" s="30">
        <f>IFERROR(__xludf.DUMMYFUNCTION("""COMPUTED_VALUE"""),0.7616167367628572)</f>
        <v>0.7616167368</v>
      </c>
      <c r="AH405" s="30">
        <f>IFERROR(__xludf.DUMMYFUNCTION("""COMPUTED_VALUE"""),0.9111985320847933)</f>
        <v>0.9111985321</v>
      </c>
      <c r="AI405" s="30">
        <f>IFERROR(__xludf.DUMMYFUNCTION("""COMPUTED_VALUE"""),0.946169352237501)</f>
        <v>0.9461693522</v>
      </c>
      <c r="AJ405" s="30">
        <f>IFERROR(__xludf.DUMMYFUNCTION("""COMPUTED_VALUE"""),0.9785564958150718)</f>
        <v>0.9785564958</v>
      </c>
      <c r="AK405" s="30">
        <f>IFERROR(__xludf.DUMMYFUNCTION("""COMPUTED_VALUE"""),1.05276765184155)</f>
        <v>1.052767652</v>
      </c>
      <c r="AL405" s="30">
        <f>IFERROR(__xludf.DUMMYFUNCTION("""COMPUTED_VALUE"""),0.8563967787118031)</f>
        <v>0.8563967787</v>
      </c>
      <c r="AM405" s="30">
        <f>IFERROR(__xludf.DUMMYFUNCTION("""COMPUTED_VALUE"""),1.0211521523682092)</f>
        <v>1.021152152</v>
      </c>
      <c r="AN405" s="30">
        <f>IFERROR(__xludf.DUMMYFUNCTION("""COMPUTED_VALUE"""),0.8129397935026714)</f>
        <v>0.8129397935</v>
      </c>
      <c r="AO405" s="30">
        <f>IFERROR(__xludf.DUMMYFUNCTION("""COMPUTED_VALUE"""),0.9142415556253393)</f>
        <v>0.9142415556</v>
      </c>
      <c r="AP405" s="30">
        <f>IFERROR(__xludf.DUMMYFUNCTION("""COMPUTED_VALUE"""),0.44764066400349617)</f>
        <v>0.447640664</v>
      </c>
      <c r="AQ405" s="30">
        <f>IFERROR(__xludf.DUMMYFUNCTION("""COMPUTED_VALUE"""),0.7659183758755876)</f>
        <v>0.7659183759</v>
      </c>
      <c r="AR405" s="30">
        <f>IFERROR(__xludf.DUMMYFUNCTION("""COMPUTED_VALUE"""),0.902238184444329)</f>
        <v>0.9022381844</v>
      </c>
      <c r="AS405" s="30">
        <f>IFERROR(__xludf.DUMMYFUNCTION("""COMPUTED_VALUE"""),64.0)</f>
        <v>64</v>
      </c>
      <c r="AT405" s="30">
        <f>IFERROR(__xludf.DUMMYFUNCTION("""COMPUTED_VALUE"""),0.494051608769492)</f>
        <v>0.4940516088</v>
      </c>
      <c r="AU405" s="30">
        <f>IFERROR(__xludf.DUMMYFUNCTION("""COMPUTED_VALUE"""),1.6533548260129765)</f>
        <v>1.653354826</v>
      </c>
      <c r="AV405" s="32">
        <f>IFERROR(__xludf.DUMMYFUNCTION("""COMPUTED_VALUE"""),27.803285039662974)</f>
        <v>27.80328504</v>
      </c>
      <c r="AW405" s="32">
        <f>IFERROR(__xludf.DUMMYFUNCTION("""COMPUTED_VALUE"""),-5.338865284592591)</f>
        <v>-5.338865285</v>
      </c>
      <c r="AX405" s="32">
        <f>IFERROR(__xludf.DUMMYFUNCTION("""COMPUTED_VALUE"""),27.933295130147993)</f>
        <v>27.93329513</v>
      </c>
      <c r="AY405" s="32">
        <f>IFERROR(__xludf.DUMMYFUNCTION("""COMPUTED_VALUE"""),-5.299198423619964)</f>
        <v>-5.299198424</v>
      </c>
      <c r="AZ405" s="30">
        <f>IFERROR(__xludf.DUMMYFUNCTION("""COMPUTED_VALUE"""),0.03966686097262695)</f>
        <v>0.03966686097</v>
      </c>
      <c r="BA405" s="30">
        <f>IFERROR(__xludf.DUMMYFUNCTION("""COMPUTED_VALUE"""),1200.0)</f>
        <v>1200</v>
      </c>
    </row>
    <row r="406">
      <c r="A406" s="71" t="str">
        <f>IFERROR(__xludf.DUMMYFUNCTION("""COMPUTED_VALUE"""),"Veteran")</f>
        <v>Veteran</v>
      </c>
      <c r="B406" s="71" t="str">
        <f>IFERROR(__xludf.DUMMYFUNCTION("""COMPUTED_VALUE"""),"RSC004662")</f>
        <v>RSC004662</v>
      </c>
      <c r="C406" s="30" t="str">
        <f>IFERROR(__xludf.DUMMYFUNCTION("""COMPUTED_VALUE"""),"D_MATT_")</f>
        <v>D_MATT_</v>
      </c>
      <c r="D406" s="30" t="str">
        <f>IFERROR(__xludf.DUMMYFUNCTION("""COMPUTED_VALUE"""),"Penguins")</f>
        <v>Penguins</v>
      </c>
      <c r="E406" s="30">
        <f>IFERROR(__xludf.DUMMYFUNCTION("""COMPUTED_VALUE"""),32.0)</f>
        <v>32</v>
      </c>
      <c r="F406" s="30">
        <f>IFERROR(__xludf.DUMMYFUNCTION("""COMPUTED_VALUE"""),19.0)</f>
        <v>19</v>
      </c>
      <c r="G406" s="42">
        <f>IFERROR(__xludf.DUMMYFUNCTION("""COMPUTED_VALUE"""),13.0)</f>
        <v>13</v>
      </c>
      <c r="H406" s="42">
        <f>IFERROR(__xludf.DUMMYFUNCTION("""COMPUTED_VALUE"""),0.59375)</f>
        <v>0.59375</v>
      </c>
      <c r="I406" s="42">
        <f>IFERROR(__xludf.DUMMYFUNCTION("""COMPUTED_VALUE"""),0.35454545454545455)</f>
        <v>0.3545454545</v>
      </c>
      <c r="J406" s="30">
        <f>IFERROR(__xludf.DUMMYFUNCTION("""COMPUTED_VALUE"""),420.3125)</f>
        <v>420.3125</v>
      </c>
      <c r="K406" s="30">
        <f>IFERROR(__xludf.DUMMYFUNCTION("""COMPUTED_VALUE"""),1.21875)</f>
        <v>1.21875</v>
      </c>
      <c r="L406" s="30">
        <f>IFERROR(__xludf.DUMMYFUNCTION("""COMPUTED_VALUE"""),0.53125)</f>
        <v>0.53125</v>
      </c>
      <c r="M406" s="30">
        <f>IFERROR(__xludf.DUMMYFUNCTION("""COMPUTED_VALUE"""),1.25)</f>
        <v>1.25</v>
      </c>
      <c r="N406" s="30">
        <f>IFERROR(__xludf.DUMMYFUNCTION("""COMPUTED_VALUE"""),3.4375)</f>
        <v>3.4375</v>
      </c>
      <c r="O406" s="30">
        <f>IFERROR(__xludf.DUMMYFUNCTION("""COMPUTED_VALUE"""),321.9270833333333)</f>
        <v>321.9270833</v>
      </c>
      <c r="P406" s="30">
        <f>IFERROR(__xludf.DUMMYFUNCTION("""COMPUTED_VALUE"""),0.625)</f>
        <v>0.625</v>
      </c>
      <c r="Q406" s="30">
        <f>IFERROR(__xludf.DUMMYFUNCTION("""COMPUTED_VALUE"""),0.39583333333333337)</f>
        <v>0.3958333333</v>
      </c>
      <c r="R406" s="30">
        <f>IFERROR(__xludf.DUMMYFUNCTION("""COMPUTED_VALUE"""),1.5104166666666663)</f>
        <v>1.510416667</v>
      </c>
      <c r="S406" s="30">
        <f>IFERROR(__xludf.DUMMYFUNCTION("""COMPUTED_VALUE"""),2.135416666666666)</f>
        <v>2.135416667</v>
      </c>
      <c r="T406" s="30">
        <f>IFERROR(__xludf.DUMMYFUNCTION("""COMPUTED_VALUE"""),352.80137328591496)</f>
        <v>352.8013733</v>
      </c>
      <c r="U406" s="30">
        <f>IFERROR(__xludf.DUMMYFUNCTION("""COMPUTED_VALUE"""),0.7728318684187944)</f>
        <v>0.7728318684</v>
      </c>
      <c r="V406" s="30">
        <f>IFERROR(__xludf.DUMMYFUNCTION("""COMPUTED_VALUE"""),0.5488451815770004)</f>
        <v>0.5488451816</v>
      </c>
      <c r="W406" s="30">
        <f>IFERROR(__xludf.DUMMYFUNCTION("""COMPUTED_VALUE"""),1.3970801205586156)</f>
        <v>1.397080121</v>
      </c>
      <c r="X406" s="30">
        <f>IFERROR(__xludf.DUMMYFUNCTION("""COMPUTED_VALUE"""),2.55220149800284)</f>
        <v>2.552201498</v>
      </c>
      <c r="Y406" s="30">
        <f>IFERROR(__xludf.DUMMYFUNCTION("""COMPUTED_VALUE"""),346.504378104179)</f>
        <v>346.5043781</v>
      </c>
      <c r="Z406" s="30">
        <f>IFERROR(__xludf.DUMMYFUNCTION("""COMPUTED_VALUE"""),0.7696019976081923)</f>
        <v>0.7696019976</v>
      </c>
      <c r="AA406" s="30">
        <f>IFERROR(__xludf.DUMMYFUNCTION("""COMPUTED_VALUE"""),0.5522165467533776)</f>
        <v>0.5522165468</v>
      </c>
      <c r="AB406" s="30">
        <f>IFERROR(__xludf.DUMMYFUNCTION("""COMPUTED_VALUE"""),1.3174752325155987)</f>
        <v>1.317475233</v>
      </c>
      <c r="AC406" s="30">
        <f>IFERROR(__xludf.DUMMYFUNCTION("""COMPUTED_VALUE"""),2.6389557415091995)</f>
        <v>2.638955742</v>
      </c>
      <c r="AD406" s="30">
        <f>IFERROR(__xludf.DUMMYFUNCTION("""COMPUTED_VALUE"""),1.213007761401589)</f>
        <v>1.213007761</v>
      </c>
      <c r="AE406" s="30">
        <f>IFERROR(__xludf.DUMMYFUNCTION("""COMPUTED_VALUE"""),1.5836107543739393)</f>
        <v>1.583610754</v>
      </c>
      <c r="AF406" s="30">
        <f>IFERROR(__xludf.DUMMYFUNCTION("""COMPUTED_VALUE"""),0.9620320200895006)</f>
        <v>0.9620320201</v>
      </c>
      <c r="AG406" s="30">
        <f>IFERROR(__xludf.DUMMYFUNCTION("""COMPUTED_VALUE"""),0.9487844394715785)</f>
        <v>0.9487844395</v>
      </c>
      <c r="AH406" s="30">
        <f>IFERROR(__xludf.DUMMYFUNCTION("""COMPUTED_VALUE"""),1.3025985794040331)</f>
        <v>1.302598579</v>
      </c>
      <c r="AI406" s="30">
        <f>IFERROR(__xludf.DUMMYFUNCTION("""COMPUTED_VALUE"""),0.9124881809131715)</f>
        <v>0.9124881809</v>
      </c>
      <c r="AJ406" s="30">
        <f>IFERROR(__xludf.DUMMYFUNCTION("""COMPUTED_VALUE"""),0.8087140625796698)</f>
        <v>0.8087140626</v>
      </c>
      <c r="AK406" s="30">
        <f>IFERROR(__xludf.DUMMYFUNCTION("""COMPUTED_VALUE"""),0.721211275274355)</f>
        <v>0.7212112753</v>
      </c>
      <c r="AL406" s="30">
        <f>IFERROR(__xludf.DUMMYFUNCTION("""COMPUTED_VALUE"""),1.0811238700202346)</f>
        <v>1.08112387</v>
      </c>
      <c r="AM406" s="30">
        <f>IFERROR(__xludf.DUMMYFUNCTION("""COMPUTED_VALUE"""),0.8366959538021124)</f>
        <v>0.8366959538</v>
      </c>
      <c r="AN406" s="30">
        <f>IFERROR(__xludf.DUMMYFUNCTION("""COMPUTED_VALUE"""),1.2173186672900682)</f>
        <v>1.217318667</v>
      </c>
      <c r="AO406" s="30">
        <f>IFERROR(__xludf.DUMMYFUNCTION("""COMPUTED_VALUE"""),1.615636249081654)</f>
        <v>1.615636249</v>
      </c>
      <c r="AP406" s="30">
        <f>IFERROR(__xludf.DUMMYFUNCTION("""COMPUTED_VALUE"""),0.9852091399719803)</f>
        <v>0.98520914</v>
      </c>
      <c r="AQ406" s="30">
        <f>IFERROR(__xludf.DUMMYFUNCTION("""COMPUTED_VALUE"""),0.9254847041830017)</f>
        <v>0.9254847042</v>
      </c>
      <c r="AR406" s="30">
        <f>IFERROR(__xludf.DUMMYFUNCTION("""COMPUTED_VALUE"""),1.3424159553999113)</f>
        <v>1.342415955</v>
      </c>
      <c r="AS406" s="30">
        <f>IFERROR(__xludf.DUMMYFUNCTION("""COMPUTED_VALUE"""),78.0)</f>
        <v>78</v>
      </c>
      <c r="AT406" s="30">
        <f>IFERROR(__xludf.DUMMYFUNCTION("""COMPUTED_VALUE"""),0.5984692438065065)</f>
        <v>0.5984692438</v>
      </c>
      <c r="AU406" s="30">
        <f>IFERROR(__xludf.DUMMYFUNCTION("""COMPUTED_VALUE"""),3.7291750029910844)</f>
        <v>3.729175003</v>
      </c>
      <c r="AV406" s="32">
        <f>IFERROR(__xludf.DUMMYFUNCTION("""COMPUTED_VALUE"""),92.10408207170454)</f>
        <v>92.10408207</v>
      </c>
      <c r="AW406" s="32">
        <f>IFERROR(__xludf.DUMMYFUNCTION("""COMPUTED_VALUE"""),21.70371632880047)</f>
        <v>21.70371633</v>
      </c>
      <c r="AX406" s="32">
        <f>IFERROR(__xludf.DUMMYFUNCTION("""COMPUTED_VALUE"""),92.1255306820335)</f>
        <v>92.12553068</v>
      </c>
      <c r="AY406" s="32">
        <f>IFERROR(__xludf.DUMMYFUNCTION("""COMPUTED_VALUE"""),21.742799273004085)</f>
        <v>21.74279927</v>
      </c>
      <c r="AZ406" s="30">
        <f>IFERROR(__xludf.DUMMYFUNCTION("""COMPUTED_VALUE"""),0.03908294420361358)</f>
        <v>0.0390829442</v>
      </c>
      <c r="BA406" s="30">
        <f>IFERROR(__xludf.DUMMYFUNCTION("""COMPUTED_VALUE"""),1200.0)</f>
        <v>1200</v>
      </c>
    </row>
    <row r="407">
      <c r="A407" s="71" t="str">
        <f>IFERROR(__xludf.DUMMYFUNCTION("""COMPUTED_VALUE"""),"Veteran")</f>
        <v>Veteran</v>
      </c>
      <c r="B407" s="71" t="str">
        <f>IFERROR(__xludf.DUMMYFUNCTION("""COMPUTED_VALUE"""),"RSC007512")</f>
        <v>RSC007512</v>
      </c>
      <c r="C407" s="30" t="str">
        <f>IFERROR(__xludf.DUMMYFUNCTION("""COMPUTED_VALUE"""),"BigGreenRL")</f>
        <v>BigGreenRL</v>
      </c>
      <c r="D407" s="30" t="str">
        <f>IFERROR(__xludf.DUMMYFUNCTION("""COMPUTED_VALUE"""),"Banshees")</f>
        <v>Banshees</v>
      </c>
      <c r="E407" s="30">
        <f>IFERROR(__xludf.DUMMYFUNCTION("""COMPUTED_VALUE"""),32.0)</f>
        <v>32</v>
      </c>
      <c r="F407" s="30">
        <f>IFERROR(__xludf.DUMMYFUNCTION("""COMPUTED_VALUE"""),16.0)</f>
        <v>16</v>
      </c>
      <c r="G407" s="42">
        <f>IFERROR(__xludf.DUMMYFUNCTION("""COMPUTED_VALUE"""),16.0)</f>
        <v>16</v>
      </c>
      <c r="H407" s="42">
        <f>IFERROR(__xludf.DUMMYFUNCTION("""COMPUTED_VALUE"""),0.5)</f>
        <v>0.5</v>
      </c>
      <c r="I407" s="42">
        <f>IFERROR(__xludf.DUMMYFUNCTION("""COMPUTED_VALUE"""),0.35064935064935066)</f>
        <v>0.3506493506</v>
      </c>
      <c r="J407" s="30">
        <f>IFERROR(__xludf.DUMMYFUNCTION("""COMPUTED_VALUE"""),363.5)</f>
        <v>363.5</v>
      </c>
      <c r="K407" s="30">
        <f>IFERROR(__xludf.DUMMYFUNCTION("""COMPUTED_VALUE"""),0.84375)</f>
        <v>0.84375</v>
      </c>
      <c r="L407" s="30">
        <f>IFERROR(__xludf.DUMMYFUNCTION("""COMPUTED_VALUE"""),0.46875)</f>
        <v>0.46875</v>
      </c>
      <c r="M407" s="30">
        <f>IFERROR(__xludf.DUMMYFUNCTION("""COMPUTED_VALUE"""),1.3125)</f>
        <v>1.3125</v>
      </c>
      <c r="N407" s="30">
        <f>IFERROR(__xludf.DUMMYFUNCTION("""COMPUTED_VALUE"""),2.40625)</f>
        <v>2.40625</v>
      </c>
      <c r="O407" s="30">
        <f>IFERROR(__xludf.DUMMYFUNCTION("""COMPUTED_VALUE"""),329.5833333333333)</f>
        <v>329.5833333</v>
      </c>
      <c r="P407" s="30">
        <f>IFERROR(__xludf.DUMMYFUNCTION("""COMPUTED_VALUE"""),0.7291666666666669)</f>
        <v>0.7291666667</v>
      </c>
      <c r="Q407" s="30">
        <f>IFERROR(__xludf.DUMMYFUNCTION("""COMPUTED_VALUE"""),0.5937500000000002)</f>
        <v>0.59375</v>
      </c>
      <c r="R407" s="30">
        <f>IFERROR(__xludf.DUMMYFUNCTION("""COMPUTED_VALUE"""),1.1770833333333333)</f>
        <v>1.177083333</v>
      </c>
      <c r="S407" s="30">
        <f>IFERROR(__xludf.DUMMYFUNCTION("""COMPUTED_VALUE"""),2.53125)</f>
        <v>2.53125</v>
      </c>
      <c r="T407" s="30">
        <f>IFERROR(__xludf.DUMMYFUNCTION("""COMPUTED_VALUE"""),355.57054099278463)</f>
        <v>355.570541</v>
      </c>
      <c r="U407" s="30">
        <f>IFERROR(__xludf.DUMMYFUNCTION("""COMPUTED_VALUE"""),0.8083569762257886)</f>
        <v>0.8083569762</v>
      </c>
      <c r="V407" s="30">
        <f>IFERROR(__xludf.DUMMYFUNCTION("""COMPUTED_VALUE"""),0.5975657246661489)</f>
        <v>0.5975657247</v>
      </c>
      <c r="W407" s="30">
        <f>IFERROR(__xludf.DUMMYFUNCTION("""COMPUTED_VALUE"""),1.3357388711958025)</f>
        <v>1.335738871</v>
      </c>
      <c r="X407" s="30">
        <f>IFERROR(__xludf.DUMMYFUNCTION("""COMPUTED_VALUE"""),2.694052952722308)</f>
        <v>2.694052953</v>
      </c>
      <c r="Y407" s="30">
        <f>IFERROR(__xludf.DUMMYFUNCTION("""COMPUTED_VALUE"""),356.4431927490102)</f>
        <v>356.4431927</v>
      </c>
      <c r="Z407" s="30">
        <f>IFERROR(__xludf.DUMMYFUNCTION("""COMPUTED_VALUE"""),0.8009799860907576)</f>
        <v>0.8009799861</v>
      </c>
      <c r="AA407" s="30">
        <f>IFERROR(__xludf.DUMMYFUNCTION("""COMPUTED_VALUE"""),0.5849994706174606)</f>
        <v>0.5849994706</v>
      </c>
      <c r="AB407" s="30">
        <f>IFERROR(__xludf.DUMMYFUNCTION("""COMPUTED_VALUE"""),1.3812072355772531)</f>
        <v>1.381207236</v>
      </c>
      <c r="AC407" s="30">
        <f>IFERROR(__xludf.DUMMYFUNCTION("""COMPUTED_VALUE"""),2.610226007721199)</f>
        <v>2.610226008</v>
      </c>
      <c r="AD407" s="30">
        <f>IFERROR(__xludf.DUMMYFUNCTION("""COMPUTED_VALUE"""),1.0197978454759236)</f>
        <v>1.019797845</v>
      </c>
      <c r="AE407" s="30">
        <f>IFERROR(__xludf.DUMMYFUNCTION("""COMPUTED_VALUE"""),1.0533971068590422)</f>
        <v>1.053397107</v>
      </c>
      <c r="AF407" s="30">
        <f>IFERROR(__xludf.DUMMYFUNCTION("""COMPUTED_VALUE"""),0.801282776384805)</f>
        <v>0.8012827764</v>
      </c>
      <c r="AG407" s="30">
        <f>IFERROR(__xludf.DUMMYFUNCTION("""COMPUTED_VALUE"""),0.9502556648940967)</f>
        <v>0.9502556649</v>
      </c>
      <c r="AH407" s="30">
        <f>IFERROR(__xludf.DUMMYFUNCTION("""COMPUTED_VALUE"""),0.921855039710038)</f>
        <v>0.9218550397</v>
      </c>
      <c r="AI407" s="30">
        <f>IFERROR(__xludf.DUMMYFUNCTION("""COMPUTED_VALUE"""),0.9269140587774997)</f>
        <v>0.9269140588</v>
      </c>
      <c r="AJ407" s="30">
        <f>IFERROR(__xludf.DUMMYFUNCTION("""COMPUTED_VALUE"""),0.9020354720894962)</f>
        <v>0.9020354721</v>
      </c>
      <c r="AK407" s="30">
        <f>IFERROR(__xludf.DUMMYFUNCTION("""COMPUTED_VALUE"""),0.9936145523268082)</f>
        <v>0.9936145523</v>
      </c>
      <c r="AL407" s="30">
        <f>IFERROR(__xludf.DUMMYFUNCTION("""COMPUTED_VALUE"""),0.8812226391821367)</f>
        <v>0.8812226392</v>
      </c>
      <c r="AM407" s="30">
        <f>IFERROR(__xludf.DUMMYFUNCTION("""COMPUTED_VALUE"""),0.9395695052846688)</f>
        <v>0.9395695053</v>
      </c>
      <c r="AN407" s="30">
        <f>IFERROR(__xludf.DUMMYFUNCTION("""COMPUTED_VALUE"""),1.0527770065366597)</f>
        <v>1.052777007</v>
      </c>
      <c r="AO407" s="30">
        <f>IFERROR(__xludf.DUMMYFUNCTION("""COMPUTED_VALUE"""),1.118517403210376)</f>
        <v>1.118517403</v>
      </c>
      <c r="AP407" s="30">
        <f>IFERROR(__xludf.DUMMYFUNCTION("""COMPUTED_VALUE"""),0.869302182328218)</f>
        <v>0.8693021823</v>
      </c>
      <c r="AQ407" s="30">
        <f>IFERROR(__xludf.DUMMYFUNCTION("""COMPUTED_VALUE"""),0.9717589393921517)</f>
        <v>0.9717589394</v>
      </c>
      <c r="AR407" s="30">
        <f>IFERROR(__xludf.DUMMYFUNCTION("""COMPUTED_VALUE"""),0.9396911687799379)</f>
        <v>0.9396911688</v>
      </c>
      <c r="AS407" s="30">
        <f>IFERROR(__xludf.DUMMYFUNCTION("""COMPUTED_VALUE"""),83.0)</f>
        <v>83</v>
      </c>
      <c r="AT407" s="30">
        <f>IFERROR(__xludf.DUMMYFUNCTION("""COMPUTED_VALUE"""),0.5663332332090288)</f>
        <v>0.5663332332</v>
      </c>
      <c r="AU407" s="30">
        <f>IFERROR(__xludf.DUMMYFUNCTION("""COMPUTED_VALUE"""),2.482034875849899)</f>
        <v>2.482034876</v>
      </c>
      <c r="AV407" s="32">
        <f>IFERROR(__xludf.DUMMYFUNCTION("""COMPUTED_VALUE"""),53.47255460357857)</f>
        <v>53.4725546</v>
      </c>
      <c r="AW407" s="32">
        <f>IFERROR(__xludf.DUMMYFUNCTION("""COMPUTED_VALUE"""),2.2483848151421575)</f>
        <v>2.248384815</v>
      </c>
      <c r="AX407" s="32">
        <f>IFERROR(__xludf.DUMMYFUNCTION("""COMPUTED_VALUE"""),53.11318333647796)</f>
        <v>53.11318334</v>
      </c>
      <c r="AY407" s="32">
        <f>IFERROR(__xludf.DUMMYFUNCTION("""COMPUTED_VALUE"""),2.2200077402268477)</f>
        <v>2.22000774</v>
      </c>
      <c r="AZ407" s="30">
        <f>IFERROR(__xludf.DUMMYFUNCTION("""COMPUTED_VALUE"""),0.02837707491530983)</f>
        <v>0.02837707492</v>
      </c>
      <c r="BA407" s="30">
        <f>IFERROR(__xludf.DUMMYFUNCTION("""COMPUTED_VALUE"""),1200.0)</f>
        <v>1200</v>
      </c>
    </row>
    <row r="408">
      <c r="A408" s="71" t="str">
        <f>IFERROR(__xludf.DUMMYFUNCTION("""COMPUTED_VALUE"""),"Rival")</f>
        <v>Rival</v>
      </c>
      <c r="B408" s="71" t="str">
        <f>IFERROR(__xludf.DUMMYFUNCTION("""COMPUTED_VALUE"""),"RSC000111")</f>
        <v>RSC000111</v>
      </c>
      <c r="C408" s="30" t="str">
        <f>IFERROR(__xludf.DUMMYFUNCTION("""COMPUTED_VALUE"""),"Wheelchair {LFLegs}")</f>
        <v>Wheelchair {LFLegs}</v>
      </c>
      <c r="D408" s="30"/>
      <c r="E408" s="30">
        <f>IFERROR(__xludf.DUMMYFUNCTION("""COMPUTED_VALUE"""),2.0)</f>
        <v>2</v>
      </c>
      <c r="F408" s="30">
        <f>IFERROR(__xludf.DUMMYFUNCTION("""COMPUTED_VALUE"""),0.0)</f>
        <v>0</v>
      </c>
      <c r="G408" s="42">
        <f>IFERROR(__xludf.DUMMYFUNCTION("""COMPUTED_VALUE"""),2.0)</f>
        <v>2</v>
      </c>
      <c r="H408" s="42">
        <f>IFERROR(__xludf.DUMMYFUNCTION("""COMPUTED_VALUE"""),0.0)</f>
        <v>0</v>
      </c>
      <c r="I408" s="42">
        <f>IFERROR(__xludf.DUMMYFUNCTION("""COMPUTED_VALUE"""),0.0)</f>
        <v>0</v>
      </c>
      <c r="J408" s="30">
        <f>IFERROR(__xludf.DUMMYFUNCTION("""COMPUTED_VALUE"""),162.0)</f>
        <v>162</v>
      </c>
      <c r="K408" s="30">
        <f>IFERROR(__xludf.DUMMYFUNCTION("""COMPUTED_VALUE"""),0.0)</f>
        <v>0</v>
      </c>
      <c r="L408" s="30">
        <f>IFERROR(__xludf.DUMMYFUNCTION("""COMPUTED_VALUE"""),0.5)</f>
        <v>0.5</v>
      </c>
      <c r="M408" s="30">
        <f>IFERROR(__xludf.DUMMYFUNCTION("""COMPUTED_VALUE"""),0.5)</f>
        <v>0.5</v>
      </c>
      <c r="N408" s="30">
        <f>IFERROR(__xludf.DUMMYFUNCTION("""COMPUTED_VALUE"""),0.5)</f>
        <v>0.5</v>
      </c>
      <c r="O408" s="30">
        <f>IFERROR(__xludf.DUMMYFUNCTION("""COMPUTED_VALUE"""),406.3333333333333)</f>
        <v>406.3333333</v>
      </c>
      <c r="P408" s="30">
        <f>IFERROR(__xludf.DUMMYFUNCTION("""COMPUTED_VALUE"""),1.0)</f>
        <v>1</v>
      </c>
      <c r="Q408" s="30">
        <f>IFERROR(__xludf.DUMMYFUNCTION("""COMPUTED_VALUE"""),0.8333333333333333)</f>
        <v>0.8333333333</v>
      </c>
      <c r="R408" s="30">
        <f>IFERROR(__xludf.DUMMYFUNCTION("""COMPUTED_VALUE"""),2.0)</f>
        <v>2</v>
      </c>
      <c r="S408" s="30">
        <f>IFERROR(__xludf.DUMMYFUNCTION("""COMPUTED_VALUE"""),2.5)</f>
        <v>2.5</v>
      </c>
      <c r="T408" s="30">
        <f>IFERROR(__xludf.DUMMYFUNCTION("""COMPUTED_VALUE"""),341.1377450980392)</f>
        <v>341.1377451</v>
      </c>
      <c r="U408" s="30">
        <f>IFERROR(__xludf.DUMMYFUNCTION("""COMPUTED_VALUE"""),0.8539215686274509)</f>
        <v>0.8539215686</v>
      </c>
      <c r="V408" s="30">
        <f>IFERROR(__xludf.DUMMYFUNCTION("""COMPUTED_VALUE"""),0.44375000000000003)</f>
        <v>0.44375</v>
      </c>
      <c r="W408" s="30">
        <f>IFERROR(__xludf.DUMMYFUNCTION("""COMPUTED_VALUE"""),1.4504901960784313)</f>
        <v>1.450490196</v>
      </c>
      <c r="X408" s="30">
        <f>IFERROR(__xludf.DUMMYFUNCTION("""COMPUTED_VALUE"""),2.6197303921568627)</f>
        <v>2.619730392</v>
      </c>
      <c r="Y408" s="30">
        <f>IFERROR(__xludf.DUMMYFUNCTION("""COMPUTED_VALUE"""),346.82381535947724)</f>
        <v>346.8238154</v>
      </c>
      <c r="Z408" s="30">
        <f>IFERROR(__xludf.DUMMYFUNCTION("""COMPUTED_VALUE"""),0.7968545751633987)</f>
        <v>0.7968545752</v>
      </c>
      <c r="AA408" s="30">
        <f>IFERROR(__xludf.DUMMYFUNCTION("""COMPUTED_VALUE"""),0.5724673202614379)</f>
        <v>0.5724673203</v>
      </c>
      <c r="AB408" s="30">
        <f>IFERROR(__xludf.DUMMYFUNCTION("""COMPUTED_VALUE"""),1.279207516339869)</f>
        <v>1.279207516</v>
      </c>
      <c r="AC408" s="30">
        <f>IFERROR(__xludf.DUMMYFUNCTION("""COMPUTED_VALUE"""),2.65608660130719)</f>
        <v>2.656086601</v>
      </c>
      <c r="AD408" s="30">
        <f>IFERROR(__xludf.DUMMYFUNCTION("""COMPUTED_VALUE"""),0.4670959513898711)</f>
        <v>0.4670959514</v>
      </c>
      <c r="AE408" s="30">
        <f>IFERROR(__xludf.DUMMYFUNCTION("""COMPUTED_VALUE"""),0.0)</f>
        <v>0</v>
      </c>
      <c r="AF408" s="30">
        <f>IFERROR(__xludf.DUMMYFUNCTION("""COMPUTED_VALUE"""),0.8734123019837307)</f>
        <v>0.873412302</v>
      </c>
      <c r="AG408" s="30">
        <f>IFERROR(__xludf.DUMMYFUNCTION("""COMPUTED_VALUE"""),0.3908669966469744)</f>
        <v>0.3908669966</v>
      </c>
      <c r="AH408" s="30">
        <f>IFERROR(__xludf.DUMMYFUNCTION("""COMPUTED_VALUE"""),0.18824687408683347)</f>
        <v>0.1882468741</v>
      </c>
      <c r="AI408" s="30">
        <f>IFERROR(__xludf.DUMMYFUNCTION("""COMPUTED_VALUE"""),1.1911122095755122)</f>
        <v>1.19111221</v>
      </c>
      <c r="AJ408" s="30">
        <f>IFERROR(__xludf.DUMMYFUNCTION("""COMPUTED_VALUE"""),1.1710677382319175)</f>
        <v>1.171067738</v>
      </c>
      <c r="AK408" s="30">
        <f>IFERROR(__xludf.DUMMYFUNCTION("""COMPUTED_VALUE"""),1.8779342723004693)</f>
        <v>1.877934272</v>
      </c>
      <c r="AL408" s="30">
        <f>IFERROR(__xludf.DUMMYFUNCTION("""COMPUTED_VALUE"""),1.3788442041230147)</f>
        <v>1.378844204</v>
      </c>
      <c r="AM408" s="30">
        <f>IFERROR(__xludf.DUMMYFUNCTION("""COMPUTED_VALUE"""),0.9542966739954156)</f>
        <v>0.954296674</v>
      </c>
      <c r="AN408" s="30">
        <f>IFERROR(__xludf.DUMMYFUNCTION("""COMPUTED_VALUE"""),0.4779594113189744)</f>
        <v>0.4779594113</v>
      </c>
      <c r="AO408" s="30">
        <f>IFERROR(__xludf.DUMMYFUNCTION("""COMPUTED_VALUE"""),0.0)</f>
        <v>0</v>
      </c>
      <c r="AP408" s="30">
        <f>IFERROR(__xludf.DUMMYFUNCTION("""COMPUTED_VALUE"""),0.8928190683098591)</f>
        <v>0.8928190683</v>
      </c>
      <c r="AQ408" s="30">
        <f>IFERROR(__xludf.DUMMYFUNCTION("""COMPUTED_VALUE"""),0.38155264079993084)</f>
        <v>0.3815526408</v>
      </c>
      <c r="AR408" s="30">
        <f>IFERROR(__xludf.DUMMYFUNCTION("""COMPUTED_VALUE"""),0.20077534697227162)</f>
        <v>0.200775347</v>
      </c>
      <c r="AS408" s="30">
        <f>IFERROR(__xludf.DUMMYFUNCTION("""COMPUTED_VALUE"""),2.0)</f>
        <v>2</v>
      </c>
      <c r="AT408" s="30">
        <f>IFERROR(__xludf.DUMMYFUNCTION("""COMPUTED_VALUE"""),0.1630859559789061)</f>
        <v>0.163085956</v>
      </c>
      <c r="AU408" s="30">
        <f>IFERROR(__xludf.DUMMYFUNCTION("""COMPUTED_VALUE"""),-0.39509863376339754)</f>
        <v>-0.3950986338</v>
      </c>
      <c r="AV408" s="32">
        <f>IFERROR(__xludf.DUMMYFUNCTION("""COMPUTED_VALUE"""),-34.47214091923779)</f>
        <v>-34.47214092</v>
      </c>
      <c r="AW408" s="32">
        <f>IFERROR(__xludf.DUMMYFUNCTION("""COMPUTED_VALUE"""),-2747.9972217780905)</f>
        <v>-2747.997222</v>
      </c>
      <c r="AX408" s="32">
        <f>IFERROR(__xludf.DUMMYFUNCTION("""COMPUTED_VALUE"""),-24.86469518464088)</f>
        <v>-24.86469518</v>
      </c>
      <c r="AY408" s="32">
        <f>IFERROR(__xludf.DUMMYFUNCTION("""COMPUTED_VALUE"""),-727.7598161551399)</f>
        <v>-727.7598162</v>
      </c>
      <c r="AZ408" s="30">
        <f>IFERROR(__xludf.DUMMYFUNCTION("""COMPUTED_VALUE"""),2020.2374056229505)</f>
        <v>2020.237406</v>
      </c>
      <c r="BA408" s="30">
        <f>IFERROR(__xludf.DUMMYFUNCTION("""COMPUTED_VALUE"""),1700.0)</f>
        <v>1700</v>
      </c>
    </row>
    <row r="409">
      <c r="A409" s="71" t="str">
        <f>IFERROR(__xludf.DUMMYFUNCTION("""COMPUTED_VALUE"""),"Rival")</f>
        <v>Rival</v>
      </c>
      <c r="B409" s="71" t="str">
        <f>IFERROR(__xludf.DUMMYFUNCTION("""COMPUTED_VALUE"""),"RSC007906")</f>
        <v>RSC007906</v>
      </c>
      <c r="C409" s="30" t="str">
        <f>IFERROR(__xludf.DUMMYFUNCTION("""COMPUTED_VALUE"""),"Vaz1fy-")</f>
        <v>Vaz1fy-</v>
      </c>
      <c r="D409" s="30"/>
      <c r="E409" s="30">
        <f>IFERROR(__xludf.DUMMYFUNCTION("""COMPUTED_VALUE"""),8.0)</f>
        <v>8</v>
      </c>
      <c r="F409" s="30">
        <f>IFERROR(__xludf.DUMMYFUNCTION("""COMPUTED_VALUE"""),1.0)</f>
        <v>1</v>
      </c>
      <c r="G409" s="42">
        <f>IFERROR(__xludf.DUMMYFUNCTION("""COMPUTED_VALUE"""),7.0)</f>
        <v>7</v>
      </c>
      <c r="H409" s="42">
        <f>IFERROR(__xludf.DUMMYFUNCTION("""COMPUTED_VALUE"""),0.125)</f>
        <v>0.125</v>
      </c>
      <c r="I409" s="42">
        <f>IFERROR(__xludf.DUMMYFUNCTION("""COMPUTED_VALUE"""),0.25)</f>
        <v>0.25</v>
      </c>
      <c r="J409" s="30">
        <f>IFERROR(__xludf.DUMMYFUNCTION("""COMPUTED_VALUE"""),209.625)</f>
        <v>209.625</v>
      </c>
      <c r="K409" s="30">
        <f>IFERROR(__xludf.DUMMYFUNCTION("""COMPUTED_VALUE"""),0.25)</f>
        <v>0.25</v>
      </c>
      <c r="L409" s="30">
        <f>IFERROR(__xludf.DUMMYFUNCTION("""COMPUTED_VALUE"""),0.0)</f>
        <v>0</v>
      </c>
      <c r="M409" s="30">
        <f>IFERROR(__xludf.DUMMYFUNCTION("""COMPUTED_VALUE"""),1.25)</f>
        <v>1.25</v>
      </c>
      <c r="N409" s="30">
        <f>IFERROR(__xludf.DUMMYFUNCTION("""COMPUTED_VALUE"""),1.0)</f>
        <v>1</v>
      </c>
      <c r="O409" s="30">
        <f>IFERROR(__xludf.DUMMYFUNCTION("""COMPUTED_VALUE"""),342.58333333333337)</f>
        <v>342.5833333</v>
      </c>
      <c r="P409" s="30">
        <f>IFERROR(__xludf.DUMMYFUNCTION("""COMPUTED_VALUE"""),1.0416666666666665)</f>
        <v>1.041666667</v>
      </c>
      <c r="Q409" s="30">
        <f>IFERROR(__xludf.DUMMYFUNCTION("""COMPUTED_VALUE"""),0.625)</f>
        <v>0.625</v>
      </c>
      <c r="R409" s="30">
        <f>IFERROR(__xludf.DUMMYFUNCTION("""COMPUTED_VALUE"""),0.75)</f>
        <v>0.75</v>
      </c>
      <c r="S409" s="30">
        <f>IFERROR(__xludf.DUMMYFUNCTION("""COMPUTED_VALUE"""),3.208333333333334)</f>
        <v>3.208333333</v>
      </c>
      <c r="T409" s="30">
        <f>IFERROR(__xludf.DUMMYFUNCTION("""COMPUTED_VALUE"""),341.3604484945319)</f>
        <v>341.3604485</v>
      </c>
      <c r="U409" s="30">
        <f>IFERROR(__xludf.DUMMYFUNCTION("""COMPUTED_VALUE"""),0.8331700017171619)</f>
        <v>0.8331700017</v>
      </c>
      <c r="V409" s="30">
        <f>IFERROR(__xludf.DUMMYFUNCTION("""COMPUTED_VALUE"""),0.5978129661826417)</f>
        <v>0.5978129662</v>
      </c>
      <c r="W409" s="30">
        <f>IFERROR(__xludf.DUMMYFUNCTION("""COMPUTED_VALUE"""),1.1048121787028988)</f>
        <v>1.104812179</v>
      </c>
      <c r="X409" s="30">
        <f>IFERROR(__xludf.DUMMYFUNCTION("""COMPUTED_VALUE"""),2.688071258196765)</f>
        <v>2.688071258</v>
      </c>
      <c r="Y409" s="30">
        <f>IFERROR(__xludf.DUMMYFUNCTION("""COMPUTED_VALUE"""),339.4832068044331)</f>
        <v>339.4832068</v>
      </c>
      <c r="Z409" s="30">
        <f>IFERROR(__xludf.DUMMYFUNCTION("""COMPUTED_VALUE"""),0.7302276178670702)</f>
        <v>0.7302276179</v>
      </c>
      <c r="AA409" s="30">
        <f>IFERROR(__xludf.DUMMYFUNCTION("""COMPUTED_VALUE"""),0.5009213870733479)</f>
        <v>0.5009213871</v>
      </c>
      <c r="AB409" s="30">
        <f>IFERROR(__xludf.DUMMYFUNCTION("""COMPUTED_VALUE"""),1.3865833641885872)</f>
        <v>1.386583364</v>
      </c>
      <c r="AC409" s="30">
        <f>IFERROR(__xludf.DUMMYFUNCTION("""COMPUTED_VALUE"""),2.3173008092125746)</f>
        <v>2.317300809</v>
      </c>
      <c r="AD409" s="30">
        <f>IFERROR(__xludf.DUMMYFUNCTION("""COMPUTED_VALUE"""),0.6174826789613754)</f>
        <v>0.617482679</v>
      </c>
      <c r="AE409" s="30">
        <f>IFERROR(__xludf.DUMMYFUNCTION("""COMPUTED_VALUE"""),0.3423590040735897)</f>
        <v>0.3423590041</v>
      </c>
      <c r="AF409" s="30">
        <f>IFERROR(__xludf.DUMMYFUNCTION("""COMPUTED_VALUE"""),0.0)</f>
        <v>0</v>
      </c>
      <c r="AG409" s="30">
        <f>IFERROR(__xludf.DUMMYFUNCTION("""COMPUTED_VALUE"""),0.9014964641029612)</f>
        <v>0.9014964641</v>
      </c>
      <c r="AH409" s="30">
        <f>IFERROR(__xludf.DUMMYFUNCTION("""COMPUTED_VALUE"""),0.43153655150183234)</f>
        <v>0.4315365515</v>
      </c>
      <c r="AI409" s="30">
        <f>IFERROR(__xludf.DUMMYFUNCTION("""COMPUTED_VALUE"""),1.0035823858452104)</f>
        <v>1.003582386</v>
      </c>
      <c r="AJ409" s="30">
        <f>IFERROR(__xludf.DUMMYFUNCTION("""COMPUTED_VALUE"""),1.2502450454526608)</f>
        <v>1.250245045</v>
      </c>
      <c r="AK409" s="30">
        <f>IFERROR(__xludf.DUMMYFUNCTION("""COMPUTED_VALUE"""),1.0454774910470113)</f>
        <v>1.045477491</v>
      </c>
      <c r="AL409" s="30">
        <f>IFERROR(__xludf.DUMMYFUNCTION("""COMPUTED_VALUE"""),0.6788484182719049)</f>
        <v>0.6788484183</v>
      </c>
      <c r="AM409" s="30">
        <f>IFERROR(__xludf.DUMMYFUNCTION("""COMPUTED_VALUE"""),1.1935447483209858)</f>
        <v>1.193544748</v>
      </c>
      <c r="AN409" s="30">
        <f>IFERROR(__xludf.DUMMYFUNCTION("""COMPUTED_VALUE"""),0.6184706271465432)</f>
        <v>0.6184706271</v>
      </c>
      <c r="AO409" s="30">
        <f>IFERROR(__xludf.DUMMYFUNCTION("""COMPUTED_VALUE"""),0.3402933653441261)</f>
        <v>0.3402933653</v>
      </c>
      <c r="AP409" s="30">
        <f>IFERROR(__xludf.DUMMYFUNCTION("""COMPUTED_VALUE"""),0.0)</f>
        <v>0</v>
      </c>
      <c r="AQ409" s="30">
        <f>IFERROR(__xludf.DUMMYFUNCTION("""COMPUTED_VALUE"""),0.9538816019998271)</f>
        <v>0.953881602</v>
      </c>
      <c r="AR409" s="30">
        <f>IFERROR(__xludf.DUMMYFUNCTION("""COMPUTED_VALUE"""),0.40155069394454324)</f>
        <v>0.4015506939</v>
      </c>
      <c r="AS409" s="30">
        <f>IFERROR(__xludf.DUMMYFUNCTION("""COMPUTED_VALUE"""),10.0)</f>
        <v>10</v>
      </c>
      <c r="AT409" s="30">
        <f>IFERROR(__xludf.DUMMYFUNCTION("""COMPUTED_VALUE"""),0.19788467630491166)</f>
        <v>0.1978846763</v>
      </c>
      <c r="AU409" s="30">
        <f>IFERROR(__xludf.DUMMYFUNCTION("""COMPUTED_VALUE"""),-0.1146372908210522)</f>
        <v>-0.1146372908</v>
      </c>
      <c r="AV409" s="32">
        <f>IFERROR(__xludf.DUMMYFUNCTION("""COMPUTED_VALUE"""),-24.565104987472992)</f>
        <v>-24.56510499</v>
      </c>
      <c r="AW409" s="32">
        <f>IFERROR(__xludf.DUMMYFUNCTION("""COMPUTED_VALUE"""),-699.7720893901641)</f>
        <v>-699.7720894</v>
      </c>
      <c r="AX409" s="32">
        <f>IFERROR(__xludf.DUMMYFUNCTION("""COMPUTED_VALUE"""),-10.717919635437056)</f>
        <v>-10.71791964</v>
      </c>
      <c r="AY409" s="32">
        <f>IFERROR(__xludf.DUMMYFUNCTION("""COMPUTED_VALUE"""),-131.99260961034668)</f>
        <v>-131.9926096</v>
      </c>
      <c r="AZ409" s="30">
        <f>IFERROR(__xludf.DUMMYFUNCTION("""COMPUTED_VALUE"""),567.7794797798174)</f>
        <v>567.7794798</v>
      </c>
      <c r="BA409" s="30">
        <f>IFERROR(__xludf.DUMMYFUNCTION("""COMPUTED_VALUE"""),1700.0)</f>
        <v>1700</v>
      </c>
    </row>
    <row r="410">
      <c r="A410" s="71" t="str">
        <f>IFERROR(__xludf.DUMMYFUNCTION("""COMPUTED_VALUE"""),"Rival")</f>
        <v>Rival</v>
      </c>
      <c r="B410" s="71" t="str">
        <f>IFERROR(__xludf.DUMMYFUNCTION("""COMPUTED_VALUE"""),"RSC007482")</f>
        <v>RSC007482</v>
      </c>
      <c r="C410" s="30" t="str">
        <f>IFERROR(__xludf.DUMMYFUNCTION("""COMPUTED_VALUE"""),"MyTyranosaur")</f>
        <v>MyTyranosaur</v>
      </c>
      <c r="D410" s="30" t="str">
        <f>IFERROR(__xludf.DUMMYFUNCTION("""COMPUTED_VALUE"""),"50 Cent")</f>
        <v>50 Cent</v>
      </c>
      <c r="E410" s="30">
        <f>IFERROR(__xludf.DUMMYFUNCTION("""COMPUTED_VALUE"""),32.0)</f>
        <v>32</v>
      </c>
      <c r="F410" s="30">
        <f>IFERROR(__xludf.DUMMYFUNCTION("""COMPUTED_VALUE"""),15.0)</f>
        <v>15</v>
      </c>
      <c r="G410" s="42">
        <f>IFERROR(__xludf.DUMMYFUNCTION("""COMPUTED_VALUE"""),17.0)</f>
        <v>17</v>
      </c>
      <c r="H410" s="42">
        <f>IFERROR(__xludf.DUMMYFUNCTION("""COMPUTED_VALUE"""),0.46875)</f>
        <v>0.46875</v>
      </c>
      <c r="I410" s="42">
        <f>IFERROR(__xludf.DUMMYFUNCTION("""COMPUTED_VALUE"""),0.3484848484848485)</f>
        <v>0.3484848485</v>
      </c>
      <c r="J410" s="30">
        <f>IFERROR(__xludf.DUMMYFUNCTION("""COMPUTED_VALUE"""),493.625)</f>
        <v>493.625</v>
      </c>
      <c r="K410" s="30">
        <f>IFERROR(__xludf.DUMMYFUNCTION("""COMPUTED_VALUE"""),1.4375)</f>
        <v>1.4375</v>
      </c>
      <c r="L410" s="30">
        <f>IFERROR(__xludf.DUMMYFUNCTION("""COMPUTED_VALUE"""),0.75)</f>
        <v>0.75</v>
      </c>
      <c r="M410" s="30">
        <f>IFERROR(__xludf.DUMMYFUNCTION("""COMPUTED_VALUE"""),1.71875)</f>
        <v>1.71875</v>
      </c>
      <c r="N410" s="30">
        <f>IFERROR(__xludf.DUMMYFUNCTION("""COMPUTED_VALUE"""),4.125)</f>
        <v>4.125</v>
      </c>
      <c r="O410" s="30">
        <f>IFERROR(__xludf.DUMMYFUNCTION("""COMPUTED_VALUE"""),367.75000000000006)</f>
        <v>367.75</v>
      </c>
      <c r="P410" s="30">
        <f>IFERROR(__xludf.DUMMYFUNCTION("""COMPUTED_VALUE"""),0.8749999999999999)</f>
        <v>0.875</v>
      </c>
      <c r="Q410" s="30">
        <f>IFERROR(__xludf.DUMMYFUNCTION("""COMPUTED_VALUE"""),0.6354166666666664)</f>
        <v>0.6354166667</v>
      </c>
      <c r="R410" s="30">
        <f>IFERROR(__xludf.DUMMYFUNCTION("""COMPUTED_VALUE"""),1.4375)</f>
        <v>1.4375</v>
      </c>
      <c r="S410" s="30">
        <f>IFERROR(__xludf.DUMMYFUNCTION("""COMPUTED_VALUE"""),2.6874999999999996)</f>
        <v>2.6875</v>
      </c>
      <c r="T410" s="30">
        <f>IFERROR(__xludf.DUMMYFUNCTION("""COMPUTED_VALUE"""),350.6547399894782)</f>
        <v>350.65474</v>
      </c>
      <c r="U410" s="30">
        <f>IFERROR(__xludf.DUMMYFUNCTION("""COMPUTED_VALUE"""),0.7943934882595667)</f>
        <v>0.7943934883</v>
      </c>
      <c r="V410" s="30">
        <f>IFERROR(__xludf.DUMMYFUNCTION("""COMPUTED_VALUE"""),0.5632529907409474)</f>
        <v>0.5632529907</v>
      </c>
      <c r="W410" s="30">
        <f>IFERROR(__xludf.DUMMYFUNCTION("""COMPUTED_VALUE"""),1.3871929277636519)</f>
        <v>1.387192928</v>
      </c>
      <c r="X410" s="30">
        <f>IFERROR(__xludf.DUMMYFUNCTION("""COMPUTED_VALUE"""),2.6727613829865673)</f>
        <v>2.672761383</v>
      </c>
      <c r="Y410" s="30">
        <f>IFERROR(__xludf.DUMMYFUNCTION("""COMPUTED_VALUE"""),352.6481079236636)</f>
        <v>352.6481079</v>
      </c>
      <c r="Z410" s="30">
        <f>IFERROR(__xludf.DUMMYFUNCTION("""COMPUTED_VALUE"""),0.8155164354433286)</f>
        <v>0.8155164354</v>
      </c>
      <c r="AA410" s="30">
        <f>IFERROR(__xludf.DUMMYFUNCTION("""COMPUTED_VALUE"""),0.599285212346455)</f>
        <v>0.5992852123</v>
      </c>
      <c r="AB410" s="30">
        <f>IFERROR(__xludf.DUMMYFUNCTION("""COMPUTED_VALUE"""),1.3169354090843481)</f>
        <v>1.316935409</v>
      </c>
      <c r="AC410" s="30">
        <f>IFERROR(__xludf.DUMMYFUNCTION("""COMPUTED_VALUE"""),2.6872520112449436)</f>
        <v>2.687252011</v>
      </c>
      <c r="AD410" s="30">
        <f>IFERROR(__xludf.DUMMYFUNCTION("""COMPUTED_VALUE"""),1.399766477995263)</f>
        <v>1.399766478</v>
      </c>
      <c r="AE410" s="30">
        <f>IFERROR(__xludf.DUMMYFUNCTION("""COMPUTED_VALUE"""),1.7626867314066461)</f>
        <v>1.762686731</v>
      </c>
      <c r="AF410" s="30">
        <f>IFERROR(__xludf.DUMMYFUNCTION("""COMPUTED_VALUE"""),1.2514909170934367)</f>
        <v>1.251490917</v>
      </c>
      <c r="AG410" s="30">
        <f>IFERROR(__xludf.DUMMYFUNCTION("""COMPUTED_VALUE"""),1.30511336254147)</f>
        <v>1.305113363</v>
      </c>
      <c r="AH410" s="30">
        <f>IFERROR(__xludf.DUMMYFUNCTION("""COMPUTED_VALUE"""),1.535025365220205)</f>
        <v>1.535025365</v>
      </c>
      <c r="AI410" s="30">
        <f>IFERROR(__xludf.DUMMYFUNCTION("""COMPUTED_VALUE"""),1.048752399614033)</f>
        <v>1.0487524</v>
      </c>
      <c r="AJ410" s="30">
        <f>IFERROR(__xludf.DUMMYFUNCTION("""COMPUTED_VALUE"""),1.1014692503548005)</f>
        <v>1.10146925</v>
      </c>
      <c r="AK410" s="30">
        <f>IFERROR(__xludf.DUMMYFUNCTION("""COMPUTED_VALUE"""),1.1281194722655432)</f>
        <v>1.128119472</v>
      </c>
      <c r="AL410" s="30">
        <f>IFERROR(__xludf.DUMMYFUNCTION("""COMPUTED_VALUE"""),1.036265375370281)</f>
        <v>1.036265375</v>
      </c>
      <c r="AM410" s="30">
        <f>IFERROR(__xludf.DUMMYFUNCTION("""COMPUTED_VALUE"""),1.0055143781660612)</f>
        <v>1.005514378</v>
      </c>
      <c r="AN410" s="30">
        <f>IFERROR(__xludf.DUMMYFUNCTION("""COMPUTED_VALUE"""),1.456374780323017)</f>
        <v>1.45637478</v>
      </c>
      <c r="AO410" s="30">
        <f>IFERROR(__xludf.DUMMYFUNCTION("""COMPUTED_VALUE"""),1.9566868507287247)</f>
        <v>1.956686851</v>
      </c>
      <c r="AP410" s="30">
        <f>IFERROR(__xludf.DUMMYFUNCTION("""COMPUTED_VALUE"""),1.3392286024647886)</f>
        <v>1.339228602</v>
      </c>
      <c r="AQ410" s="30">
        <f>IFERROR(__xludf.DUMMYFUNCTION("""COMPUTED_VALUE"""),1.3115872027497621)</f>
        <v>1.311587203</v>
      </c>
      <c r="AR410" s="30">
        <f>IFERROR(__xludf.DUMMYFUNCTION("""COMPUTED_VALUE"""),1.6563966125212408)</f>
        <v>1.656396613</v>
      </c>
      <c r="AS410" s="30">
        <f>IFERROR(__xludf.DUMMYFUNCTION("""COMPUTED_VALUE"""),93.0)</f>
        <v>93</v>
      </c>
      <c r="AT410" s="30">
        <f>IFERROR(__xludf.DUMMYFUNCTION("""COMPUTED_VALUE"""),0.5414767847493875)</f>
        <v>0.5414767847</v>
      </c>
      <c r="AU410" s="30">
        <f>IFERROR(__xludf.DUMMYFUNCTION("""COMPUTED_VALUE"""),3.83786438819075)</f>
        <v>3.837864388</v>
      </c>
      <c r="AV410" s="32">
        <f>IFERROR(__xludf.DUMMYFUNCTION("""COMPUTED_VALUE"""),115.05333847972621)</f>
        <v>115.0533385</v>
      </c>
      <c r="AW410" s="32">
        <f>IFERROR(__xludf.DUMMYFUNCTION("""COMPUTED_VALUE"""),215.87601995382698)</f>
        <v>215.87602</v>
      </c>
      <c r="AX410" s="32">
        <f>IFERROR(__xludf.DUMMYFUNCTION("""COMPUTED_VALUE"""),96.12081801678106)</f>
        <v>96.12081802</v>
      </c>
      <c r="AY410" s="32">
        <f>IFERROR(__xludf.DUMMYFUNCTION("""COMPUTED_VALUE"""),30.739968191233373)</f>
        <v>30.73996819</v>
      </c>
      <c r="AZ410" s="30">
        <f>IFERROR(__xludf.DUMMYFUNCTION("""COMPUTED_VALUE"""),185.1360517625936)</f>
        <v>185.1360518</v>
      </c>
      <c r="BA410" s="30">
        <f>IFERROR(__xludf.DUMMYFUNCTION("""COMPUTED_VALUE"""),1700.0)</f>
        <v>1700</v>
      </c>
    </row>
    <row r="411">
      <c r="A411" s="71" t="str">
        <f>IFERROR(__xludf.DUMMYFUNCTION("""COMPUTED_VALUE"""),"Rival")</f>
        <v>Rival</v>
      </c>
      <c r="B411" s="71" t="str">
        <f>IFERROR(__xludf.DUMMYFUNCTION("""COMPUTED_VALUE"""),"RSC005702")</f>
        <v>RSC005702</v>
      </c>
      <c r="C411" s="30" t="str">
        <f>IFERROR(__xludf.DUMMYFUNCTION("""COMPUTED_VALUE"""),"Jaegie")</f>
        <v>Jaegie</v>
      </c>
      <c r="D411" s="30" t="str">
        <f>IFERROR(__xludf.DUMMYFUNCTION("""COMPUTED_VALUE"""),"Iris")</f>
        <v>Iris</v>
      </c>
      <c r="E411" s="30">
        <f>IFERROR(__xludf.DUMMYFUNCTION("""COMPUTED_VALUE"""),30.0)</f>
        <v>30</v>
      </c>
      <c r="F411" s="30">
        <f>IFERROR(__xludf.DUMMYFUNCTION("""COMPUTED_VALUE"""),25.0)</f>
        <v>25</v>
      </c>
      <c r="G411" s="42">
        <f>IFERROR(__xludf.DUMMYFUNCTION("""COMPUTED_VALUE"""),5.0)</f>
        <v>5</v>
      </c>
      <c r="H411" s="42">
        <f>IFERROR(__xludf.DUMMYFUNCTION("""COMPUTED_VALUE"""),0.8333333333333334)</f>
        <v>0.8333333333</v>
      </c>
      <c r="I411" s="42">
        <f>IFERROR(__xludf.DUMMYFUNCTION("""COMPUTED_VALUE"""),0.3823529411764706)</f>
        <v>0.3823529412</v>
      </c>
      <c r="J411" s="30">
        <f>IFERROR(__xludf.DUMMYFUNCTION("""COMPUTED_VALUE"""),406.96666666666664)</f>
        <v>406.9666667</v>
      </c>
      <c r="K411" s="30">
        <f>IFERROR(__xludf.DUMMYFUNCTION("""COMPUTED_VALUE"""),1.3)</f>
        <v>1.3</v>
      </c>
      <c r="L411" s="30">
        <f>IFERROR(__xludf.DUMMYFUNCTION("""COMPUTED_VALUE"""),0.9333333333333333)</f>
        <v>0.9333333333</v>
      </c>
      <c r="M411" s="30">
        <f>IFERROR(__xludf.DUMMYFUNCTION("""COMPUTED_VALUE"""),0.8666666666666667)</f>
        <v>0.8666666667</v>
      </c>
      <c r="N411" s="30">
        <f>IFERROR(__xludf.DUMMYFUNCTION("""COMPUTED_VALUE"""),3.4)</f>
        <v>3.4</v>
      </c>
      <c r="O411" s="30">
        <f>IFERROR(__xludf.DUMMYFUNCTION("""COMPUTED_VALUE"""),309.0222222222221)</f>
        <v>309.0222222</v>
      </c>
      <c r="P411" s="30">
        <f>IFERROR(__xludf.DUMMYFUNCTION("""COMPUTED_VALUE"""),0.5111111111111112)</f>
        <v>0.5111111111</v>
      </c>
      <c r="Q411" s="30">
        <f>IFERROR(__xludf.DUMMYFUNCTION("""COMPUTED_VALUE"""),0.34444444444444433)</f>
        <v>0.3444444444</v>
      </c>
      <c r="R411" s="30">
        <f>IFERROR(__xludf.DUMMYFUNCTION("""COMPUTED_VALUE"""),1.5666666666666669)</f>
        <v>1.566666667</v>
      </c>
      <c r="S411" s="30">
        <f>IFERROR(__xludf.DUMMYFUNCTION("""COMPUTED_VALUE"""),1.8666666666666671)</f>
        <v>1.866666667</v>
      </c>
      <c r="T411" s="30">
        <f>IFERROR(__xludf.DUMMYFUNCTION("""COMPUTED_VALUE"""),336.2278650482952)</f>
        <v>336.227865</v>
      </c>
      <c r="U411" s="30">
        <f>IFERROR(__xludf.DUMMYFUNCTION("""COMPUTED_VALUE"""),0.7279289324595658)</f>
        <v>0.7279289325</v>
      </c>
      <c r="V411" s="30">
        <f>IFERROR(__xludf.DUMMYFUNCTION("""COMPUTED_VALUE"""),0.512222661247122)</f>
        <v>0.5122226612</v>
      </c>
      <c r="W411" s="30">
        <f>IFERROR(__xludf.DUMMYFUNCTION("""COMPUTED_VALUE"""),1.333183854668729)</f>
        <v>1.333183855</v>
      </c>
      <c r="X411" s="30">
        <f>IFERROR(__xludf.DUMMYFUNCTION("""COMPUTED_VALUE"""),2.3703436488611747)</f>
        <v>2.370343649</v>
      </c>
      <c r="Y411" s="30">
        <f>IFERROR(__xludf.DUMMYFUNCTION("""COMPUTED_VALUE"""),358.54686679165206)</f>
        <v>358.5468668</v>
      </c>
      <c r="Z411" s="30">
        <f>IFERROR(__xludf.DUMMYFUNCTION("""COMPUTED_VALUE"""),0.8706993523639653)</f>
        <v>0.8706993524</v>
      </c>
      <c r="AA411" s="30">
        <f>IFERROR(__xludf.DUMMYFUNCTION("""COMPUTED_VALUE"""),0.6626871520557678)</f>
        <v>0.6626871521</v>
      </c>
      <c r="AB411" s="30">
        <f>IFERROR(__xludf.DUMMYFUNCTION("""COMPUTED_VALUE"""),1.2197190290480395)</f>
        <v>1.219719029</v>
      </c>
      <c r="AC411" s="30">
        <f>IFERROR(__xludf.DUMMYFUNCTION("""COMPUTED_VALUE"""),2.7326806924333598)</f>
        <v>2.732680692</v>
      </c>
      <c r="AD411" s="30">
        <f>IFERROR(__xludf.DUMMYFUNCTION("""COMPUTED_VALUE"""),1.1350445488710708)</f>
        <v>1.135044549</v>
      </c>
      <c r="AE411" s="30">
        <f>IFERROR(__xludf.DUMMYFUNCTION("""COMPUTED_VALUE"""),1.4930526782528037)</f>
        <v>1.493052678</v>
      </c>
      <c r="AF411" s="30">
        <f>IFERROR(__xludf.DUMMYFUNCTION("""COMPUTED_VALUE"""),1.408407165338841)</f>
        <v>1.408407165</v>
      </c>
      <c r="AG411" s="30">
        <f>IFERROR(__xludf.DUMMYFUNCTION("""COMPUTED_VALUE"""),0.710546155324869)</f>
        <v>0.7105461553</v>
      </c>
      <c r="AH411" s="30">
        <f>IFERROR(__xludf.DUMMYFUNCTION("""COMPUTED_VALUE"""),1.2441995178633238)</f>
        <v>1.244199518</v>
      </c>
      <c r="AI411" s="30">
        <f>IFERROR(__xludf.DUMMYFUNCTION("""COMPUTED_VALUE"""),0.9190856985569436)</f>
        <v>0.9190856986</v>
      </c>
      <c r="AJ411" s="30">
        <f>IFERROR(__xludf.DUMMYFUNCTION("""COMPUTED_VALUE"""),0.7021442455709807)</f>
        <v>0.7021442456</v>
      </c>
      <c r="AK411" s="30">
        <f>IFERROR(__xludf.DUMMYFUNCTION("""COMPUTED_VALUE"""),0.6724506167021513)</f>
        <v>0.6724506167</v>
      </c>
      <c r="AL411" s="30">
        <f>IFERROR(__xludf.DUMMYFUNCTION("""COMPUTED_VALUE"""),1.175131742842741)</f>
        <v>1.175131743</v>
      </c>
      <c r="AM411" s="30">
        <f>IFERROR(__xludf.DUMMYFUNCTION("""COMPUTED_VALUE"""),0.7875088776952246)</f>
        <v>0.7875088777</v>
      </c>
      <c r="AN411" s="30">
        <f>IFERROR(__xludf.DUMMYFUNCTION("""COMPUTED_VALUE"""),1.200700916212625)</f>
        <v>1.200700916</v>
      </c>
      <c r="AO411" s="30">
        <f>IFERROR(__xludf.DUMMYFUNCTION("""COMPUTED_VALUE"""),1.7695254997894556)</f>
        <v>1.7695255</v>
      </c>
      <c r="AP411" s="30">
        <f>IFERROR(__xludf.DUMMYFUNCTION("""COMPUTED_VALUE"""),1.6665955941784036)</f>
        <v>1.666595594</v>
      </c>
      <c r="AQ411" s="30">
        <f>IFERROR(__xludf.DUMMYFUNCTION("""COMPUTED_VALUE"""),0.6613579107198801)</f>
        <v>0.6613579107</v>
      </c>
      <c r="AR411" s="30">
        <f>IFERROR(__xludf.DUMMYFUNCTION("""COMPUTED_VALUE"""),1.3652723594114469)</f>
        <v>1.365272359</v>
      </c>
      <c r="AS411" s="30">
        <f>IFERROR(__xludf.DUMMYFUNCTION("""COMPUTED_VALUE"""),108.0)</f>
        <v>108</v>
      </c>
      <c r="AT411" s="30">
        <f>IFERROR(__xludf.DUMMYFUNCTION("""COMPUTED_VALUE"""),0.7965458380204039)</f>
        <v>0.796545838</v>
      </c>
      <c r="AU411" s="30">
        <f>IFERROR(__xludf.DUMMYFUNCTION("""COMPUTED_VALUE"""),3.6858366498936634)</f>
        <v>3.68583665</v>
      </c>
      <c r="AV411" s="32">
        <f>IFERROR(__xludf.DUMMYFUNCTION("""COMPUTED_VALUE"""),109.68310010700405)</f>
        <v>109.6831001</v>
      </c>
      <c r="AW411" s="32">
        <f>IFERROR(__xludf.DUMMYFUNCTION("""COMPUTED_VALUE"""),117.84443733422792)</f>
        <v>117.8444373</v>
      </c>
      <c r="AX411" s="32">
        <f>IFERROR(__xludf.DUMMYFUNCTION("""COMPUTED_VALUE"""),84.2332053261054)</f>
        <v>84.23320533</v>
      </c>
      <c r="AY411" s="32">
        <f>IFERROR(__xludf.DUMMYFUNCTION("""COMPUTED_VALUE"""),11.70297593596513)</f>
        <v>11.70297594</v>
      </c>
      <c r="AZ411" s="30">
        <f>IFERROR(__xludf.DUMMYFUNCTION("""COMPUTED_VALUE"""),106.14146139826279)</f>
        <v>106.1414614</v>
      </c>
      <c r="BA411" s="30">
        <f>IFERROR(__xludf.DUMMYFUNCTION("""COMPUTED_VALUE"""),1700.0)</f>
        <v>1700</v>
      </c>
    </row>
    <row r="412">
      <c r="A412" s="71" t="str">
        <f>IFERROR(__xludf.DUMMYFUNCTION("""COMPUTED_VALUE"""),"Rival")</f>
        <v>Rival</v>
      </c>
      <c r="B412" s="71" t="str">
        <f>IFERROR(__xludf.DUMMYFUNCTION("""COMPUTED_VALUE"""),"RSC006581")</f>
        <v>RSC006581</v>
      </c>
      <c r="C412" s="30" t="str">
        <f>IFERROR(__xludf.DUMMYFUNCTION("""COMPUTED_VALUE"""),"Light_Wigglebean")</f>
        <v>Light_Wigglebean</v>
      </c>
      <c r="D412" s="30" t="str">
        <f>IFERROR(__xludf.DUMMYFUNCTION("""COMPUTED_VALUE"""),"Mining Legion")</f>
        <v>Mining Legion</v>
      </c>
      <c r="E412" s="30">
        <f>IFERROR(__xludf.DUMMYFUNCTION("""COMPUTED_VALUE"""),34.0)</f>
        <v>34</v>
      </c>
      <c r="F412" s="30">
        <f>IFERROR(__xludf.DUMMYFUNCTION("""COMPUTED_VALUE"""),24.0)</f>
        <v>24</v>
      </c>
      <c r="G412" s="42">
        <f>IFERROR(__xludf.DUMMYFUNCTION("""COMPUTED_VALUE"""),10.0)</f>
        <v>10</v>
      </c>
      <c r="H412" s="42">
        <f>IFERROR(__xludf.DUMMYFUNCTION("""COMPUTED_VALUE"""),0.7058823529411765)</f>
        <v>0.7058823529</v>
      </c>
      <c r="I412" s="42">
        <f>IFERROR(__xludf.DUMMYFUNCTION("""COMPUTED_VALUE"""),0.3360655737704918)</f>
        <v>0.3360655738</v>
      </c>
      <c r="J412" s="30">
        <f>IFERROR(__xludf.DUMMYFUNCTION("""COMPUTED_VALUE"""),396.7647058823529)</f>
        <v>396.7647059</v>
      </c>
      <c r="K412" s="30">
        <f>IFERROR(__xludf.DUMMYFUNCTION("""COMPUTED_VALUE"""),1.2058823529411764)</f>
        <v>1.205882353</v>
      </c>
      <c r="L412" s="30">
        <f>IFERROR(__xludf.DUMMYFUNCTION("""COMPUTED_VALUE"""),0.8235294117647058)</f>
        <v>0.8235294118</v>
      </c>
      <c r="M412" s="30">
        <f>IFERROR(__xludf.DUMMYFUNCTION("""COMPUTED_VALUE"""),0.7352941176470589)</f>
        <v>0.7352941176</v>
      </c>
      <c r="N412" s="30">
        <f>IFERROR(__xludf.DUMMYFUNCTION("""COMPUTED_VALUE"""),3.588235294117647)</f>
        <v>3.588235294</v>
      </c>
      <c r="O412" s="30">
        <f>IFERROR(__xludf.DUMMYFUNCTION("""COMPUTED_VALUE"""),319.0490196078431)</f>
        <v>319.0490196</v>
      </c>
      <c r="P412" s="30">
        <f>IFERROR(__xludf.DUMMYFUNCTION("""COMPUTED_VALUE"""),0.5980392156862745)</f>
        <v>0.5980392157</v>
      </c>
      <c r="Q412" s="30">
        <f>IFERROR(__xludf.DUMMYFUNCTION("""COMPUTED_VALUE"""),0.4411764705882353)</f>
        <v>0.4411764706</v>
      </c>
      <c r="R412" s="30">
        <f>IFERROR(__xludf.DUMMYFUNCTION("""COMPUTED_VALUE"""),1.3921568627450982)</f>
        <v>1.392156863</v>
      </c>
      <c r="S412" s="30">
        <f>IFERROR(__xludf.DUMMYFUNCTION("""COMPUTED_VALUE"""),2.147058823529412)</f>
        <v>2.147058824</v>
      </c>
      <c r="T412" s="30">
        <f>IFERROR(__xludf.DUMMYFUNCTION("""COMPUTED_VALUE"""),338.731016907304)</f>
        <v>338.7310169</v>
      </c>
      <c r="U412" s="30">
        <f>IFERROR(__xludf.DUMMYFUNCTION("""COMPUTED_VALUE"""),0.7427780898662137)</f>
        <v>0.7427780899</v>
      </c>
      <c r="V412" s="30">
        <f>IFERROR(__xludf.DUMMYFUNCTION("""COMPUTED_VALUE"""),0.5123668522394663)</f>
        <v>0.5123668522</v>
      </c>
      <c r="W412" s="30">
        <f>IFERROR(__xludf.DUMMYFUNCTION("""COMPUTED_VALUE"""),1.2748040992020513)</f>
        <v>1.274804099</v>
      </c>
      <c r="X412" s="30">
        <f>IFERROR(__xludf.DUMMYFUNCTION("""COMPUTED_VALUE"""),2.458916190261765)</f>
        <v>2.45891619</v>
      </c>
      <c r="Y412" s="30">
        <f>IFERROR(__xludf.DUMMYFUNCTION("""COMPUTED_VALUE"""),348.9513558037411)</f>
        <v>348.9513558</v>
      </c>
      <c r="Z412" s="30">
        <f>IFERROR(__xludf.DUMMYFUNCTION("""COMPUTED_VALUE"""),0.8138815765478434)</f>
        <v>0.8138815765</v>
      </c>
      <c r="AA412" s="30">
        <f>IFERROR(__xludf.DUMMYFUNCTION("""COMPUTED_VALUE"""),0.5769919697887849)</f>
        <v>0.5769919698</v>
      </c>
      <c r="AB412" s="30">
        <f>IFERROR(__xludf.DUMMYFUNCTION("""COMPUTED_VALUE"""),1.2615792251112412)</f>
        <v>1.261579225</v>
      </c>
      <c r="AC412" s="30">
        <f>IFERROR(__xludf.DUMMYFUNCTION("""COMPUTED_VALUE"""),2.5881690856974098)</f>
        <v>2.588169086</v>
      </c>
      <c r="AD412" s="30">
        <f>IFERROR(__xludf.DUMMYFUNCTION("""COMPUTED_VALUE"""),1.1370201011785244)</f>
        <v>1.137020101</v>
      </c>
      <c r="AE412" s="30">
        <f>IFERROR(__xludf.DUMMYFUNCTION("""COMPUTED_VALUE"""),1.4816435064865847)</f>
        <v>1.481643506</v>
      </c>
      <c r="AF412" s="30">
        <f>IFERROR(__xludf.DUMMYFUNCTION("""COMPUTED_VALUE"""),1.4272805426844486)</f>
        <v>1.427280543</v>
      </c>
      <c r="AG412" s="30">
        <f>IFERROR(__xludf.DUMMYFUNCTION("""COMPUTED_VALUE"""),0.5828362603087598)</f>
        <v>0.5828362603</v>
      </c>
      <c r="AH412" s="30">
        <f>IFERROR(__xludf.DUMMYFUNCTION("""COMPUTED_VALUE"""),1.3863991011818917)</f>
        <v>1.386399101</v>
      </c>
      <c r="AI412" s="30">
        <f>IFERROR(__xludf.DUMMYFUNCTION("""COMPUTED_VALUE"""),0.9418949068226397)</f>
        <v>0.9418949068</v>
      </c>
      <c r="AJ412" s="30">
        <f>IFERROR(__xludf.DUMMYFUNCTION("""COMPUTED_VALUE"""),0.8051384711603313)</f>
        <v>0.8051384712</v>
      </c>
      <c r="AK412" s="30">
        <f>IFERROR(__xludf.DUMMYFUNCTION("""COMPUTED_VALUE"""),0.8610558404782233)</f>
        <v>0.8610558405</v>
      </c>
      <c r="AL412" s="30">
        <f>IFERROR(__xludf.DUMMYFUNCTION("""COMPUTED_VALUE"""),1.092055527289646)</f>
        <v>1.092055527</v>
      </c>
      <c r="AM412" s="30">
        <f>IFERROR(__xludf.DUMMYFUNCTION("""COMPUTED_VALUE"""),0.8731728360781772)</f>
        <v>0.8731728361</v>
      </c>
      <c r="AN412" s="30">
        <f>IFERROR(__xludf.DUMMYFUNCTION("""COMPUTED_VALUE"""),1.1706013904671322)</f>
        <v>1.17060139</v>
      </c>
      <c r="AO412" s="30">
        <f>IFERROR(__xludf.DUMMYFUNCTION("""COMPUTED_VALUE"""),1.6414150563657843)</f>
        <v>1.641415056</v>
      </c>
      <c r="AP412" s="30">
        <f>IFERROR(__xludf.DUMMYFUNCTION("""COMPUTED_VALUE"""),1.470525524275062)</f>
        <v>1.470525524</v>
      </c>
      <c r="AQ412" s="30">
        <f>IFERROR(__xludf.DUMMYFUNCTION("""COMPUTED_VALUE"""),0.5611068247057807)</f>
        <v>0.5611068247</v>
      </c>
      <c r="AR412" s="30">
        <f>IFERROR(__xludf.DUMMYFUNCTION("""COMPUTED_VALUE"""),1.4408583723892434)</f>
        <v>1.440858372</v>
      </c>
      <c r="AS412" s="30">
        <f>IFERROR(__xludf.DUMMYFUNCTION("""COMPUTED_VALUE"""),94.0)</f>
        <v>94</v>
      </c>
      <c r="AT412" s="30">
        <f>IFERROR(__xludf.DUMMYFUNCTION("""COMPUTED_VALUE"""),0.6611313538303717)</f>
        <v>0.6611313538</v>
      </c>
      <c r="AU412" s="30">
        <f>IFERROR(__xludf.DUMMYFUNCTION("""COMPUTED_VALUE"""),3.5017467074245294)</f>
        <v>3.501746707</v>
      </c>
      <c r="AV412" s="32">
        <f>IFERROR(__xludf.DUMMYFUNCTION("""COMPUTED_VALUE"""),103.18029421017448)</f>
        <v>103.1802942</v>
      </c>
      <c r="AW412" s="32">
        <f>IFERROR(__xludf.DUMMYFUNCTION("""COMPUTED_VALUE"""),59.87577257797913)</f>
        <v>59.87577258</v>
      </c>
      <c r="AX412" s="32">
        <f>IFERROR(__xludf.DUMMYFUNCTION("""COMPUTED_VALUE"""),85.66479716394007)</f>
        <v>85.66479716</v>
      </c>
      <c r="AY412" s="32">
        <f>IFERROR(__xludf.DUMMYFUNCTION("""COMPUTED_VALUE"""),13.012567963167184)</f>
        <v>13.01256796</v>
      </c>
      <c r="AZ412" s="30">
        <f>IFERROR(__xludf.DUMMYFUNCTION("""COMPUTED_VALUE"""),46.86320461481194)</f>
        <v>46.86320461</v>
      </c>
      <c r="BA412" s="30">
        <f>IFERROR(__xludf.DUMMYFUNCTION("""COMPUTED_VALUE"""),1700.0)</f>
        <v>1700</v>
      </c>
    </row>
    <row r="413">
      <c r="A413" s="71" t="str">
        <f>IFERROR(__xludf.DUMMYFUNCTION("""COMPUTED_VALUE"""),"Rival")</f>
        <v>Rival</v>
      </c>
      <c r="B413" s="71" t="str">
        <f>IFERROR(__xludf.DUMMYFUNCTION("""COMPUTED_VALUE"""),"RSC007173")</f>
        <v>RSC007173</v>
      </c>
      <c r="C413" s="30" t="str">
        <f>IFERROR(__xludf.DUMMYFUNCTION("""COMPUTED_VALUE"""),"mr_marino_")</f>
        <v>mr_marino_</v>
      </c>
      <c r="D413" s="30" t="str">
        <f>IFERROR(__xludf.DUMMYFUNCTION("""COMPUTED_VALUE"""),"Lacuna")</f>
        <v>Lacuna</v>
      </c>
      <c r="E413" s="30">
        <f>IFERROR(__xludf.DUMMYFUNCTION("""COMPUTED_VALUE"""),3.0)</f>
        <v>3</v>
      </c>
      <c r="F413" s="30">
        <f>IFERROR(__xludf.DUMMYFUNCTION("""COMPUTED_VALUE"""),1.0)</f>
        <v>1</v>
      </c>
      <c r="G413" s="42">
        <f>IFERROR(__xludf.DUMMYFUNCTION("""COMPUTED_VALUE"""),2.0)</f>
        <v>2</v>
      </c>
      <c r="H413" s="42">
        <f>IFERROR(__xludf.DUMMYFUNCTION("""COMPUTED_VALUE"""),0.3333333333333333)</f>
        <v>0.3333333333</v>
      </c>
      <c r="I413" s="42">
        <f>IFERROR(__xludf.DUMMYFUNCTION("""COMPUTED_VALUE"""),0.16666666666666666)</f>
        <v>0.1666666667</v>
      </c>
      <c r="J413" s="30">
        <f>IFERROR(__xludf.DUMMYFUNCTION("""COMPUTED_VALUE"""),236.66666666666666)</f>
        <v>236.6666667</v>
      </c>
      <c r="K413" s="30">
        <f>IFERROR(__xludf.DUMMYFUNCTION("""COMPUTED_VALUE"""),0.3333333333333333)</f>
        <v>0.3333333333</v>
      </c>
      <c r="L413" s="30">
        <f>IFERROR(__xludf.DUMMYFUNCTION("""COMPUTED_VALUE"""),0.0)</f>
        <v>0</v>
      </c>
      <c r="M413" s="30">
        <f>IFERROR(__xludf.DUMMYFUNCTION("""COMPUTED_VALUE"""),1.3333333333333333)</f>
        <v>1.333333333</v>
      </c>
      <c r="N413" s="30">
        <f>IFERROR(__xludf.DUMMYFUNCTION("""COMPUTED_VALUE"""),2.0)</f>
        <v>2</v>
      </c>
      <c r="O413" s="30">
        <f>IFERROR(__xludf.DUMMYFUNCTION("""COMPUTED_VALUE"""),337.8888888888889)</f>
        <v>337.8888889</v>
      </c>
      <c r="P413" s="30">
        <f>IFERROR(__xludf.DUMMYFUNCTION("""COMPUTED_VALUE"""),0.888888888888889)</f>
        <v>0.8888888889</v>
      </c>
      <c r="Q413" s="30">
        <f>IFERROR(__xludf.DUMMYFUNCTION("""COMPUTED_VALUE"""),0.7777777777777778)</f>
        <v>0.7777777778</v>
      </c>
      <c r="R413" s="30">
        <f>IFERROR(__xludf.DUMMYFUNCTION("""COMPUTED_VALUE"""),0.9999999999999999)</f>
        <v>1</v>
      </c>
      <c r="S413" s="30">
        <f>IFERROR(__xludf.DUMMYFUNCTION("""COMPUTED_VALUE"""),2.555555555555556)</f>
        <v>2.555555556</v>
      </c>
      <c r="T413" s="30">
        <f>IFERROR(__xludf.DUMMYFUNCTION("""COMPUTED_VALUE"""),392.56588319088314)</f>
        <v>392.5658832</v>
      </c>
      <c r="U413" s="30">
        <f>IFERROR(__xludf.DUMMYFUNCTION("""COMPUTED_VALUE"""),0.9179131054131053)</f>
        <v>0.9179131054</v>
      </c>
      <c r="V413" s="30">
        <f>IFERROR(__xludf.DUMMYFUNCTION("""COMPUTED_VALUE"""),0.7200854700854701)</f>
        <v>0.7200854701</v>
      </c>
      <c r="W413" s="30">
        <f>IFERROR(__xludf.DUMMYFUNCTION("""COMPUTED_VALUE"""),1.5643696581196582)</f>
        <v>1.564369658</v>
      </c>
      <c r="X413" s="30">
        <f>IFERROR(__xludf.DUMMYFUNCTION("""COMPUTED_VALUE"""),2.815883190883191)</f>
        <v>2.815883191</v>
      </c>
      <c r="Y413" s="30">
        <f>IFERROR(__xludf.DUMMYFUNCTION("""COMPUTED_VALUE"""),364.98694207027546)</f>
        <v>364.9869421</v>
      </c>
      <c r="Z413" s="30">
        <f>IFERROR(__xludf.DUMMYFUNCTION("""COMPUTED_VALUE"""),0.8759496676163342)</f>
        <v>0.8759496676</v>
      </c>
      <c r="AA413" s="30">
        <f>IFERROR(__xludf.DUMMYFUNCTION("""COMPUTED_VALUE"""),0.6168387939221271)</f>
        <v>0.6168387939</v>
      </c>
      <c r="AB413" s="30">
        <f>IFERROR(__xludf.DUMMYFUNCTION("""COMPUTED_VALUE"""),1.3901353276353279)</f>
        <v>1.390135328</v>
      </c>
      <c r="AC413" s="30">
        <f>IFERROR(__xludf.DUMMYFUNCTION("""COMPUTED_VALUE"""),2.718245489078823)</f>
        <v>2.718245489</v>
      </c>
      <c r="AD413" s="30">
        <f>IFERROR(__xludf.DUMMYFUNCTION("""COMPUTED_VALUE"""),0.6484250239864698)</f>
        <v>0.648425024</v>
      </c>
      <c r="AE413" s="30">
        <f>IFERROR(__xludf.DUMMYFUNCTION("""COMPUTED_VALUE"""),0.3805393684781136)</f>
        <v>0.3805393685</v>
      </c>
      <c r="AF413" s="30">
        <f>IFERROR(__xludf.DUMMYFUNCTION("""COMPUTED_VALUE"""),0.0)</f>
        <v>0</v>
      </c>
      <c r="AG413" s="30">
        <f>IFERROR(__xludf.DUMMYFUNCTION("""COMPUTED_VALUE"""),0.9591392340207504)</f>
        <v>0.959139234</v>
      </c>
      <c r="AH413" s="30">
        <f>IFERROR(__xludf.DUMMYFUNCTION("""COMPUTED_VALUE"""),0.7357687184750091)</f>
        <v>0.7357687185</v>
      </c>
      <c r="AI413" s="30">
        <f>IFERROR(__xludf.DUMMYFUNCTION("""COMPUTED_VALUE"""),0.8607189349783414)</f>
        <v>0.860718935</v>
      </c>
      <c r="AJ413" s="30">
        <f>IFERROR(__xludf.DUMMYFUNCTION("""COMPUTED_VALUE"""),0.9683802133850632)</f>
        <v>0.9683802134</v>
      </c>
      <c r="AK413" s="30">
        <f>IFERROR(__xludf.DUMMYFUNCTION("""COMPUTED_VALUE"""),1.0801186943620178)</f>
        <v>1.080118694</v>
      </c>
      <c r="AL413" s="30">
        <f>IFERROR(__xludf.DUMMYFUNCTION("""COMPUTED_VALUE"""),0.6392351032952022)</f>
        <v>0.6392351033</v>
      </c>
      <c r="AM413" s="30">
        <f>IFERROR(__xludf.DUMMYFUNCTION("""COMPUTED_VALUE"""),0.907550271910965)</f>
        <v>0.9075502719</v>
      </c>
      <c r="AN413" s="30">
        <f>IFERROR(__xludf.DUMMYFUNCTION("""COMPUTED_VALUE"""),0.6982534609803946)</f>
        <v>0.698253461</v>
      </c>
      <c r="AO413" s="30">
        <f>IFERROR(__xludf.DUMMYFUNCTION("""COMPUTED_VALUE"""),0.4537244871255014)</f>
        <v>0.4537244871</v>
      </c>
      <c r="AP413" s="30">
        <f>IFERROR(__xludf.DUMMYFUNCTION("""COMPUTED_VALUE"""),0.0)</f>
        <v>0</v>
      </c>
      <c r="AQ413" s="30">
        <f>IFERROR(__xludf.DUMMYFUNCTION("""COMPUTED_VALUE"""),1.0174737087998156)</f>
        <v>1.017473709</v>
      </c>
      <c r="AR413" s="30">
        <f>IFERROR(__xludf.DUMMYFUNCTION("""COMPUTED_VALUE"""),0.8031013878890865)</f>
        <v>0.8031013879</v>
      </c>
      <c r="AS413" s="30">
        <f>IFERROR(__xludf.DUMMYFUNCTION("""COMPUTED_VALUE"""),4.0)</f>
        <v>4</v>
      </c>
      <c r="AT413" s="30">
        <f>IFERROR(__xludf.DUMMYFUNCTION("""COMPUTED_VALUE"""),0.26272554966373574)</f>
        <v>0.2627255497</v>
      </c>
      <c r="AU413" s="30">
        <f>IFERROR(__xludf.DUMMYFUNCTION("""COMPUTED_VALUE"""),0.4919246409200713)</f>
        <v>0.4919246409</v>
      </c>
      <c r="AV413" s="32">
        <f>IFERROR(__xludf.DUMMYFUNCTION("""COMPUTED_VALUE"""),-3.138869237630992)</f>
        <v>-3.138869238</v>
      </c>
      <c r="AW413" s="32">
        <f>IFERROR(__xludf.DUMMYFUNCTION("""COMPUTED_VALUE"""),-59.62967151044116)</f>
        <v>-59.62967151</v>
      </c>
      <c r="AX413" s="32">
        <f>IFERROR(__xludf.DUMMYFUNCTION("""COMPUTED_VALUE"""),13.451915392810093)</f>
        <v>13.45191539</v>
      </c>
      <c r="AY413" s="32">
        <f>IFERROR(__xludf.DUMMYFUNCTION("""COMPUTED_VALUE"""),-13.911862190062223)</f>
        <v>-13.91186219</v>
      </c>
      <c r="AZ413" s="30">
        <f>IFERROR(__xludf.DUMMYFUNCTION("""COMPUTED_VALUE"""),45.71780932037894)</f>
        <v>45.71780932</v>
      </c>
      <c r="BA413" s="30">
        <f>IFERROR(__xludf.DUMMYFUNCTION("""COMPUTED_VALUE"""),1700.0)</f>
        <v>1700</v>
      </c>
    </row>
    <row r="414">
      <c r="A414" s="71" t="str">
        <f>IFERROR(__xludf.DUMMYFUNCTION("""COMPUTED_VALUE"""),"Rival")</f>
        <v>Rival</v>
      </c>
      <c r="B414" s="71" t="str">
        <f>IFERROR(__xludf.DUMMYFUNCTION("""COMPUTED_VALUE"""),"RSC002480")</f>
        <v>RSC002480</v>
      </c>
      <c r="C414" s="30" t="str">
        <f>IFERROR(__xludf.DUMMYFUNCTION("""COMPUTED_VALUE"""),"blizzyy")</f>
        <v>blizzyy</v>
      </c>
      <c r="D414" s="30" t="str">
        <f>IFERROR(__xludf.DUMMYFUNCTION("""COMPUTED_VALUE"""),"Iris")</f>
        <v>Iris</v>
      </c>
      <c r="E414" s="30">
        <f>IFERROR(__xludf.DUMMYFUNCTION("""COMPUTED_VALUE"""),36.0)</f>
        <v>36</v>
      </c>
      <c r="F414" s="30">
        <f>IFERROR(__xludf.DUMMYFUNCTION("""COMPUTED_VALUE"""),30.0)</f>
        <v>30</v>
      </c>
      <c r="G414" s="42">
        <f>IFERROR(__xludf.DUMMYFUNCTION("""COMPUTED_VALUE"""),6.0)</f>
        <v>6</v>
      </c>
      <c r="H414" s="42">
        <f>IFERROR(__xludf.DUMMYFUNCTION("""COMPUTED_VALUE"""),0.8333333333333334)</f>
        <v>0.8333333333</v>
      </c>
      <c r="I414" s="42">
        <f>IFERROR(__xludf.DUMMYFUNCTION("""COMPUTED_VALUE"""),0.34579439252336447)</f>
        <v>0.3457943925</v>
      </c>
      <c r="J414" s="30">
        <f>IFERROR(__xludf.DUMMYFUNCTION("""COMPUTED_VALUE"""),406.55555555555554)</f>
        <v>406.5555556</v>
      </c>
      <c r="K414" s="30">
        <f>IFERROR(__xludf.DUMMYFUNCTION("""COMPUTED_VALUE"""),1.0277777777777777)</f>
        <v>1.027777778</v>
      </c>
      <c r="L414" s="30">
        <f>IFERROR(__xludf.DUMMYFUNCTION("""COMPUTED_VALUE"""),1.1666666666666667)</f>
        <v>1.166666667</v>
      </c>
      <c r="M414" s="30">
        <f>IFERROR(__xludf.DUMMYFUNCTION("""COMPUTED_VALUE"""),1.1388888888888888)</f>
        <v>1.138888889</v>
      </c>
      <c r="N414" s="30">
        <f>IFERROR(__xludf.DUMMYFUNCTION("""COMPUTED_VALUE"""),2.9722222222222223)</f>
        <v>2.972222222</v>
      </c>
      <c r="O414" s="30">
        <f>IFERROR(__xludf.DUMMYFUNCTION("""COMPUTED_VALUE"""),301.80555555555543)</f>
        <v>301.8055556</v>
      </c>
      <c r="P414" s="30">
        <f>IFERROR(__xludf.DUMMYFUNCTION("""COMPUTED_VALUE"""),0.48148148148148157)</f>
        <v>0.4814814815</v>
      </c>
      <c r="Q414" s="30">
        <f>IFERROR(__xludf.DUMMYFUNCTION("""COMPUTED_VALUE"""),0.3055555555555555)</f>
        <v>0.3055555556</v>
      </c>
      <c r="R414" s="30">
        <f>IFERROR(__xludf.DUMMYFUNCTION("""COMPUTED_VALUE"""),1.490740740740741)</f>
        <v>1.490740741</v>
      </c>
      <c r="S414" s="30">
        <f>IFERROR(__xludf.DUMMYFUNCTION("""COMPUTED_VALUE"""),1.8240740740740746)</f>
        <v>1.824074074</v>
      </c>
      <c r="T414" s="30">
        <f>IFERROR(__xludf.DUMMYFUNCTION("""COMPUTED_VALUE"""),331.73039764742276)</f>
        <v>331.7303976</v>
      </c>
      <c r="U414" s="30">
        <f>IFERROR(__xludf.DUMMYFUNCTION("""COMPUTED_VALUE"""),0.706397160172688)</f>
        <v>0.7063971602</v>
      </c>
      <c r="V414" s="30">
        <f>IFERROR(__xludf.DUMMYFUNCTION("""COMPUTED_VALUE"""),0.49813833899205634)</f>
        <v>0.498138339</v>
      </c>
      <c r="W414" s="30">
        <f>IFERROR(__xludf.DUMMYFUNCTION("""COMPUTED_VALUE"""),1.3197726668433956)</f>
        <v>1.319772667</v>
      </c>
      <c r="X414" s="30">
        <f>IFERROR(__xludf.DUMMYFUNCTION("""COMPUTED_VALUE"""),2.3319170890150276)</f>
        <v>2.331917089</v>
      </c>
      <c r="Y414" s="30">
        <f>IFERROR(__xludf.DUMMYFUNCTION("""COMPUTED_VALUE"""),357.8127826528814)</f>
        <v>357.8127827</v>
      </c>
      <c r="Z414" s="30">
        <f>IFERROR(__xludf.DUMMYFUNCTION("""COMPUTED_VALUE"""),0.8607905899555451)</f>
        <v>0.86079059</v>
      </c>
      <c r="AA414" s="30">
        <f>IFERROR(__xludf.DUMMYFUNCTION("""COMPUTED_VALUE"""),0.6505072805366827)</f>
        <v>0.6505072805</v>
      </c>
      <c r="AB414" s="30">
        <f>IFERROR(__xludf.DUMMYFUNCTION("""COMPUTED_VALUE"""),1.2208620453028873)</f>
        <v>1.220862045</v>
      </c>
      <c r="AC414" s="30">
        <f>IFERROR(__xludf.DUMMYFUNCTION("""COMPUTED_VALUE"""),2.704290958251514)</f>
        <v>2.704290958</v>
      </c>
      <c r="AD414" s="30">
        <f>IFERROR(__xludf.DUMMYFUNCTION("""COMPUTED_VALUE"""),1.1362242358735408)</f>
        <v>1.136224236</v>
      </c>
      <c r="AE414" s="30">
        <f>IFERROR(__xludf.DUMMYFUNCTION("""COMPUTED_VALUE"""),1.1939928128522599)</f>
        <v>1.193992813</v>
      </c>
      <c r="AF414" s="30">
        <f>IFERROR(__xludf.DUMMYFUNCTION("""COMPUTED_VALUE"""),1.7934721125705793)</f>
        <v>1.793472113</v>
      </c>
      <c r="AG414" s="30">
        <f>IFERROR(__xludf.DUMMYFUNCTION("""COMPUTED_VALUE"""),0.9328563315328051)</f>
        <v>0.9328563315</v>
      </c>
      <c r="AH414" s="30">
        <f>IFERROR(__xludf.DUMMYFUNCTION("""COMPUTED_VALUE"""),1.09907634500392)</f>
        <v>1.099076345</v>
      </c>
      <c r="AI414" s="30">
        <f>IFERROR(__xludf.DUMMYFUNCTION("""COMPUTED_VALUE"""),0.9097916793152229)</f>
        <v>0.9097916793</v>
      </c>
      <c r="AJ414" s="30">
        <f>IFERROR(__xludf.DUMMYFUNCTION("""COMPUTED_VALUE"""),0.6816016663540622)</f>
        <v>0.6816016664</v>
      </c>
      <c r="AK414" s="30">
        <f>IFERROR(__xludf.DUMMYFUNCTION("""COMPUTED_VALUE"""),0.6133949781376457)</f>
        <v>0.6133949781</v>
      </c>
      <c r="AL414" s="30">
        <f>IFERROR(__xludf.DUMMYFUNCTION("""COMPUTED_VALUE"""),1.129543578369647)</f>
        <v>1.129543578</v>
      </c>
      <c r="AM414" s="30">
        <f>IFERROR(__xludf.DUMMYFUNCTION("""COMPUTED_VALUE"""),0.782220809936489)</f>
        <v>0.7822208099</v>
      </c>
      <c r="AN414" s="30">
        <f>IFERROR(__xludf.DUMMYFUNCTION("""COMPUTED_VALUE"""),1.1994879876653821)</f>
        <v>1.199487988</v>
      </c>
      <c r="AO414" s="30">
        <f>IFERROR(__xludf.DUMMYFUNCTION("""COMPUTED_VALUE"""),1.3989838353036292)</f>
        <v>1.398983835</v>
      </c>
      <c r="AP414" s="30">
        <f>IFERROR(__xludf.DUMMYFUNCTION("""COMPUTED_VALUE"""),2.0832444927230047)</f>
        <v>2.083244493</v>
      </c>
      <c r="AQ414" s="30">
        <f>IFERROR(__xludf.DUMMYFUNCTION("""COMPUTED_VALUE"""),0.8690921262665091)</f>
        <v>0.8690921263</v>
      </c>
      <c r="AR414" s="30">
        <f>IFERROR(__xludf.DUMMYFUNCTION("""COMPUTED_VALUE"""),1.1934978958907256)</f>
        <v>1.193497896</v>
      </c>
      <c r="AS414" s="30">
        <f>IFERROR(__xludf.DUMMYFUNCTION("""COMPUTED_VALUE"""),120.0)</f>
        <v>120</v>
      </c>
      <c r="AT414" s="30">
        <f>IFERROR(__xludf.DUMMYFUNCTION("""COMPUTED_VALUE"""),0.7875139915217547)</f>
        <v>0.7875139915</v>
      </c>
      <c r="AU414" s="30">
        <f>IFERROR(__xludf.DUMMYFUNCTION("""COMPUTED_VALUE"""),3.5077479027570666)</f>
        <v>3.507747903</v>
      </c>
      <c r="AV414" s="32">
        <f>IFERROR(__xludf.DUMMYFUNCTION("""COMPUTED_VALUE"""),103.39228085036257)</f>
        <v>103.3922809</v>
      </c>
      <c r="AW414" s="32">
        <f>IFERROR(__xludf.DUMMYFUNCTION("""COMPUTED_VALUE"""),61.1534967225051)</f>
        <v>61.15349672</v>
      </c>
      <c r="AX414" s="32">
        <f>IFERROR(__xludf.DUMMYFUNCTION("""COMPUTED_VALUE"""),90.69127471223875)</f>
        <v>90.69127471</v>
      </c>
      <c r="AY414" s="32">
        <f>IFERROR(__xludf.DUMMYFUNCTION("""COMPUTED_VALUE"""),19.30522223812994)</f>
        <v>19.30522224</v>
      </c>
      <c r="AZ414" s="30">
        <f>IFERROR(__xludf.DUMMYFUNCTION("""COMPUTED_VALUE"""),41.84827448437517)</f>
        <v>41.84827448</v>
      </c>
      <c r="BA414" s="30">
        <f>IFERROR(__xludf.DUMMYFUNCTION("""COMPUTED_VALUE"""),1700.0)</f>
        <v>1700</v>
      </c>
    </row>
    <row r="415">
      <c r="A415" s="71" t="str">
        <f>IFERROR(__xludf.DUMMYFUNCTION("""COMPUTED_VALUE"""),"Rival")</f>
        <v>Rival</v>
      </c>
      <c r="B415" s="71" t="str">
        <f>IFERROR(__xludf.DUMMYFUNCTION("""COMPUTED_VALUE"""),"RSC007920")</f>
        <v>RSC007920</v>
      </c>
      <c r="C415" s="30" t="str">
        <f>IFERROR(__xludf.DUMMYFUNCTION("""COMPUTED_VALUE"""),"EKA Luminousity")</f>
        <v>EKA Luminousity</v>
      </c>
      <c r="D415" s="30" t="str">
        <f>IFERROR(__xludf.DUMMYFUNCTION("""COMPUTED_VALUE"""),"Bulldozers")</f>
        <v>Bulldozers</v>
      </c>
      <c r="E415" s="30">
        <f>IFERROR(__xludf.DUMMYFUNCTION("""COMPUTED_VALUE"""),36.0)</f>
        <v>36</v>
      </c>
      <c r="F415" s="30">
        <f>IFERROR(__xludf.DUMMYFUNCTION("""COMPUTED_VALUE"""),28.0)</f>
        <v>28</v>
      </c>
      <c r="G415" s="42">
        <f>IFERROR(__xludf.DUMMYFUNCTION("""COMPUTED_VALUE"""),8.0)</f>
        <v>8</v>
      </c>
      <c r="H415" s="42">
        <f>IFERROR(__xludf.DUMMYFUNCTION("""COMPUTED_VALUE"""),0.7777777777777778)</f>
        <v>0.7777777778</v>
      </c>
      <c r="I415" s="42">
        <f>IFERROR(__xludf.DUMMYFUNCTION("""COMPUTED_VALUE"""),0.366412213740458)</f>
        <v>0.3664122137</v>
      </c>
      <c r="J415" s="30">
        <f>IFERROR(__xludf.DUMMYFUNCTION("""COMPUTED_VALUE"""),468.47222222222223)</f>
        <v>468.4722222</v>
      </c>
      <c r="K415" s="30">
        <f>IFERROR(__xludf.DUMMYFUNCTION("""COMPUTED_VALUE"""),1.3333333333333333)</f>
        <v>1.333333333</v>
      </c>
      <c r="L415" s="30">
        <f>IFERROR(__xludf.DUMMYFUNCTION("""COMPUTED_VALUE"""),0.5277777777777778)</f>
        <v>0.5277777778</v>
      </c>
      <c r="M415" s="30">
        <f>IFERROR(__xludf.DUMMYFUNCTION("""COMPUTED_VALUE"""),1.8611111111111112)</f>
        <v>1.861111111</v>
      </c>
      <c r="N415" s="30">
        <f>IFERROR(__xludf.DUMMYFUNCTION("""COMPUTED_VALUE"""),3.638888888888889)</f>
        <v>3.638888889</v>
      </c>
      <c r="O415" s="30">
        <f>IFERROR(__xludf.DUMMYFUNCTION("""COMPUTED_VALUE"""),325.9351851851853)</f>
        <v>325.9351852</v>
      </c>
      <c r="P415" s="30">
        <f>IFERROR(__xludf.DUMMYFUNCTION("""COMPUTED_VALUE"""),0.6388888888888887)</f>
        <v>0.6388888889</v>
      </c>
      <c r="Q415" s="30">
        <f>IFERROR(__xludf.DUMMYFUNCTION("""COMPUTED_VALUE"""),0.4722222222222223)</f>
        <v>0.4722222222</v>
      </c>
      <c r="R415" s="30">
        <f>IFERROR(__xludf.DUMMYFUNCTION("""COMPUTED_VALUE"""),1.3518518518518516)</f>
        <v>1.351851852</v>
      </c>
      <c r="S415" s="30">
        <f>IFERROR(__xludf.DUMMYFUNCTION("""COMPUTED_VALUE"""),2.7129629629629624)</f>
        <v>2.712962963</v>
      </c>
      <c r="T415" s="30">
        <f>IFERROR(__xludf.DUMMYFUNCTION("""COMPUTED_VALUE"""),344.90656359466306)</f>
        <v>344.9065636</v>
      </c>
      <c r="U415" s="30">
        <f>IFERROR(__xludf.DUMMYFUNCTION("""COMPUTED_VALUE"""),0.738875446722514)</f>
        <v>0.7388754467</v>
      </c>
      <c r="V415" s="30">
        <f>IFERROR(__xludf.DUMMYFUNCTION("""COMPUTED_VALUE"""),0.5657110365613641)</f>
        <v>0.5657110366</v>
      </c>
      <c r="W415" s="30">
        <f>IFERROR(__xludf.DUMMYFUNCTION("""COMPUTED_VALUE"""),1.3275065962177794)</f>
        <v>1.327506596</v>
      </c>
      <c r="X415" s="30">
        <f>IFERROR(__xludf.DUMMYFUNCTION("""COMPUTED_VALUE"""),2.5216047939367066)</f>
        <v>2.521604794</v>
      </c>
      <c r="Y415" s="30">
        <f>IFERROR(__xludf.DUMMYFUNCTION("""COMPUTED_VALUE"""),361.5894706925966)</f>
        <v>361.5894707</v>
      </c>
      <c r="Z415" s="30">
        <f>IFERROR(__xludf.DUMMYFUNCTION("""COMPUTED_VALUE"""),0.8592074304929124)</f>
        <v>0.8592074305</v>
      </c>
      <c r="AA415" s="30">
        <f>IFERROR(__xludf.DUMMYFUNCTION("""COMPUTED_VALUE"""),0.6349624175612028)</f>
        <v>0.6349624176</v>
      </c>
      <c r="AB415" s="30">
        <f>IFERROR(__xludf.DUMMYFUNCTION("""COMPUTED_VALUE"""),1.3193085227123822)</f>
        <v>1.319308523</v>
      </c>
      <c r="AC415" s="30">
        <f>IFERROR(__xludf.DUMMYFUNCTION("""COMPUTED_VALUE"""),2.6661703734553464)</f>
        <v>2.666170373</v>
      </c>
      <c r="AD415" s="30">
        <f>IFERROR(__xludf.DUMMYFUNCTION("""COMPUTED_VALUE"""),1.2955914377841258)</f>
        <v>1.295591438</v>
      </c>
      <c r="AE415" s="30">
        <f>IFERROR(__xludf.DUMMYFUNCTION("""COMPUTED_VALUE"""),1.5518177404127234)</f>
        <v>1.55181774</v>
      </c>
      <c r="AF415" s="30">
        <f>IFERROR(__xludf.DUMMYFUNCTION("""COMPUTED_VALUE"""),0.8311953009831583)</f>
        <v>0.831195301</v>
      </c>
      <c r="AG415" s="30">
        <f>IFERROR(__xludf.DUMMYFUNCTION("""COMPUTED_VALUE"""),1.410671635232698)</f>
        <v>1.410671635</v>
      </c>
      <c r="AH415" s="30">
        <f>IFERROR(__xludf.DUMMYFUNCTION("""COMPUTED_VALUE"""),1.3648373431488188)</f>
        <v>1.364837343</v>
      </c>
      <c r="AI415" s="30">
        <f>IFERROR(__xludf.DUMMYFUNCTION("""COMPUTED_VALUE"""),0.9449956005134971)</f>
        <v>0.9449956005</v>
      </c>
      <c r="AJ415" s="30">
        <f>IFERROR(__xludf.DUMMYFUNCTION("""COMPUTED_VALUE"""),0.864677384697051)</f>
        <v>0.8646773847</v>
      </c>
      <c r="AK415" s="30">
        <f>IFERROR(__xludf.DUMMYFUNCTION("""COMPUTED_VALUE"""),0.8347410456981587)</f>
        <v>0.8347410457</v>
      </c>
      <c r="AL415" s="30">
        <f>IFERROR(__xludf.DUMMYFUNCTION("""COMPUTED_VALUE"""),1.018339084493768)</f>
        <v>1.018339084</v>
      </c>
      <c r="AM415" s="30">
        <f>IFERROR(__xludf.DUMMYFUNCTION("""COMPUTED_VALUE"""),1.0758874544838999)</f>
        <v>1.075887454</v>
      </c>
      <c r="AN415" s="30">
        <f>IFERROR(__xludf.DUMMYFUNCTION("""COMPUTED_VALUE"""),1.3821648614359574)</f>
        <v>1.382164861</v>
      </c>
      <c r="AO415" s="30">
        <f>IFERROR(__xludf.DUMMYFUNCTION("""COMPUTED_VALUE"""),1.8148979485020056)</f>
        <v>1.814897949</v>
      </c>
      <c r="AP415" s="30">
        <f>IFERROR(__xludf.DUMMYFUNCTION("""COMPUTED_VALUE"""),0.9424201276604068)</f>
        <v>0.9424201277</v>
      </c>
      <c r="AQ415" s="30">
        <f>IFERROR(__xludf.DUMMYFUNCTION("""COMPUTED_VALUE"""),1.420223718533076)</f>
        <v>1.420223719</v>
      </c>
      <c r="AR415" s="30">
        <f>IFERROR(__xludf.DUMMYFUNCTION("""COMPUTED_VALUE"""),1.4611983585204211)</f>
        <v>1.461198359</v>
      </c>
      <c r="AS415" s="30">
        <f>IFERROR(__xludf.DUMMYFUNCTION("""COMPUTED_VALUE"""),112.0)</f>
        <v>112</v>
      </c>
      <c r="AT415" s="30">
        <f>IFERROR(__xludf.DUMMYFUNCTION("""COMPUTED_VALUE"""),0.6835214685714367)</f>
        <v>0.6835214686</v>
      </c>
      <c r="AU415" s="30">
        <f>IFERROR(__xludf.DUMMYFUNCTION("""COMPUTED_VALUE"""),3.3701444237757983)</f>
        <v>3.370144424</v>
      </c>
      <c r="AV415" s="32">
        <f>IFERROR(__xludf.DUMMYFUNCTION("""COMPUTED_VALUE"""),98.53156601422377)</f>
        <v>98.53156601</v>
      </c>
      <c r="AW415" s="32">
        <f>IFERROR(__xludf.DUMMYFUNCTION("""COMPUTED_VALUE"""),38.29478780556433)</f>
        <v>38.29478781</v>
      </c>
      <c r="AX415" s="32">
        <f>IFERROR(__xludf.DUMMYFUNCTION("""COMPUTED_VALUE"""),77.10351993304921)</f>
        <v>77.10351993</v>
      </c>
      <c r="AY415" s="32">
        <f>IFERROR(__xludf.DUMMYFUNCTION("""COMPUTED_VALUE"""),7.186428036608997)</f>
        <v>7.186428037</v>
      </c>
      <c r="AZ415" s="30">
        <f>IFERROR(__xludf.DUMMYFUNCTION("""COMPUTED_VALUE"""),31.108359768955335)</f>
        <v>31.10835977</v>
      </c>
      <c r="BA415" s="30">
        <f>IFERROR(__xludf.DUMMYFUNCTION("""COMPUTED_VALUE"""),1700.0)</f>
        <v>1700</v>
      </c>
    </row>
    <row r="416">
      <c r="A416" s="71" t="str">
        <f>IFERROR(__xludf.DUMMYFUNCTION("""COMPUTED_VALUE"""),"Rival")</f>
        <v>Rival</v>
      </c>
      <c r="B416" s="71" t="str">
        <f>IFERROR(__xludf.DUMMYFUNCTION("""COMPUTED_VALUE"""),"RSC000726")</f>
        <v>RSC000726</v>
      </c>
      <c r="C416" s="30" t="str">
        <f>IFERROR(__xludf.DUMMYFUNCTION("""COMPUTED_VALUE"""),"Way2Luckee")</f>
        <v>Way2Luckee</v>
      </c>
      <c r="D416" s="30"/>
      <c r="E416" s="30">
        <f>IFERROR(__xludf.DUMMYFUNCTION("""COMPUTED_VALUE"""),4.0)</f>
        <v>4</v>
      </c>
      <c r="F416" s="30">
        <f>IFERROR(__xludf.DUMMYFUNCTION("""COMPUTED_VALUE"""),0.0)</f>
        <v>0</v>
      </c>
      <c r="G416" s="42">
        <f>IFERROR(__xludf.DUMMYFUNCTION("""COMPUTED_VALUE"""),4.0)</f>
        <v>4</v>
      </c>
      <c r="H416" s="42">
        <f>IFERROR(__xludf.DUMMYFUNCTION("""COMPUTED_VALUE"""),0.0)</f>
        <v>0</v>
      </c>
      <c r="I416" s="42">
        <f>IFERROR(__xludf.DUMMYFUNCTION("""COMPUTED_VALUE"""),0.08333333333333333)</f>
        <v>0.08333333333</v>
      </c>
      <c r="J416" s="30">
        <f>IFERROR(__xludf.DUMMYFUNCTION("""COMPUTED_VALUE"""),280.75)</f>
        <v>280.75</v>
      </c>
      <c r="K416" s="30">
        <f>IFERROR(__xludf.DUMMYFUNCTION("""COMPUTED_VALUE"""),0.25)</f>
        <v>0.25</v>
      </c>
      <c r="L416" s="30">
        <f>IFERROR(__xludf.DUMMYFUNCTION("""COMPUTED_VALUE"""),0.5)</f>
        <v>0.5</v>
      </c>
      <c r="M416" s="30">
        <f>IFERROR(__xludf.DUMMYFUNCTION("""COMPUTED_VALUE"""),1.5)</f>
        <v>1.5</v>
      </c>
      <c r="N416" s="30">
        <f>IFERROR(__xludf.DUMMYFUNCTION("""COMPUTED_VALUE"""),3.0)</f>
        <v>3</v>
      </c>
      <c r="O416" s="30">
        <f>IFERROR(__xludf.DUMMYFUNCTION("""COMPUTED_VALUE"""),538.1666666666666)</f>
        <v>538.1666667</v>
      </c>
      <c r="P416" s="30">
        <f>IFERROR(__xludf.DUMMYFUNCTION("""COMPUTED_VALUE"""),1.8333333333333335)</f>
        <v>1.833333333</v>
      </c>
      <c r="Q416" s="30">
        <f>IFERROR(__xludf.DUMMYFUNCTION("""COMPUTED_VALUE"""),1.1666666666666667)</f>
        <v>1.166666667</v>
      </c>
      <c r="R416" s="30">
        <f>IFERROR(__xludf.DUMMYFUNCTION("""COMPUTED_VALUE"""),1.5833333333333333)</f>
        <v>1.583333333</v>
      </c>
      <c r="S416" s="30">
        <f>IFERROR(__xludf.DUMMYFUNCTION("""COMPUTED_VALUE"""),3.9166666666666665)</f>
        <v>3.916666667</v>
      </c>
      <c r="T416" s="30">
        <f>IFERROR(__xludf.DUMMYFUNCTION("""COMPUTED_VALUE"""),386.43910256410254)</f>
        <v>386.4391026</v>
      </c>
      <c r="U416" s="30">
        <f>IFERROR(__xludf.DUMMYFUNCTION("""COMPUTED_VALUE"""),0.9150641025641025)</f>
        <v>0.9150641026</v>
      </c>
      <c r="V416" s="30">
        <f>IFERROR(__xludf.DUMMYFUNCTION("""COMPUTED_VALUE"""),0.673076923076923)</f>
        <v>0.6730769231</v>
      </c>
      <c r="W416" s="30">
        <f>IFERROR(__xludf.DUMMYFUNCTION("""COMPUTED_VALUE"""),1.5985576923076923)</f>
        <v>1.598557692</v>
      </c>
      <c r="X416" s="30">
        <f>IFERROR(__xludf.DUMMYFUNCTION("""COMPUTED_VALUE"""),2.78525641025641)</f>
        <v>2.78525641</v>
      </c>
      <c r="Y416" s="30">
        <f>IFERROR(__xludf.DUMMYFUNCTION("""COMPUTED_VALUE"""),365.0576923076924)</f>
        <v>365.0576923</v>
      </c>
      <c r="Z416" s="30">
        <f>IFERROR(__xludf.DUMMYFUNCTION("""COMPUTED_VALUE"""),0.8643162393162392)</f>
        <v>0.8643162393</v>
      </c>
      <c r="AA416" s="30">
        <f>IFERROR(__xludf.DUMMYFUNCTION("""COMPUTED_VALUE"""),0.6049679487179486)</f>
        <v>0.6049679487</v>
      </c>
      <c r="AB416" s="30">
        <f>IFERROR(__xludf.DUMMYFUNCTION("""COMPUTED_VALUE"""),1.4107905982905986)</f>
        <v>1.410790598</v>
      </c>
      <c r="AC416" s="30">
        <f>IFERROR(__xludf.DUMMYFUNCTION("""COMPUTED_VALUE"""),2.707799145299145)</f>
        <v>2.707799145</v>
      </c>
      <c r="AD416" s="30">
        <f>IFERROR(__xludf.DUMMYFUNCTION("""COMPUTED_VALUE"""),0.769056524258547)</f>
        <v>0.7690565243</v>
      </c>
      <c r="AE416" s="30">
        <f>IFERROR(__xludf.DUMMYFUNCTION("""COMPUTED_VALUE"""),0.2892459826946848)</f>
        <v>0.2892459827</v>
      </c>
      <c r="AF416" s="30">
        <f>IFERROR(__xludf.DUMMYFUNCTION("""COMPUTED_VALUE"""),0.8264900662251657)</f>
        <v>0.8264900662</v>
      </c>
      <c r="AG416" s="30">
        <f>IFERROR(__xludf.DUMMYFUNCTION("""COMPUTED_VALUE"""),1.0632336236274136)</f>
        <v>1.063233624</v>
      </c>
      <c r="AH416" s="30">
        <f>IFERROR(__xludf.DUMMYFUNCTION("""COMPUTED_VALUE"""),1.1079108305385679)</f>
        <v>1.107910831</v>
      </c>
      <c r="AI416" s="30">
        <f>IFERROR(__xludf.DUMMYFUNCTION("""COMPUTED_VALUE"""),1.3926299463377816)</f>
        <v>1.392629946</v>
      </c>
      <c r="AJ416" s="30">
        <f>IFERROR(__xludf.DUMMYFUNCTION("""COMPUTED_VALUE"""),2.003502626970228)</f>
        <v>2.003502627</v>
      </c>
      <c r="AK416" s="30">
        <f>IFERROR(__xludf.DUMMYFUNCTION("""COMPUTED_VALUE"""),1.7333333333333336)</f>
        <v>1.733333333</v>
      </c>
      <c r="AL416" s="30">
        <f>IFERROR(__xludf.DUMMYFUNCTION("""COMPUTED_VALUE"""),0.9904761904761904)</f>
        <v>0.9904761905</v>
      </c>
      <c r="AM416" s="30">
        <f>IFERROR(__xludf.DUMMYFUNCTION("""COMPUTED_VALUE"""),1.4062140391254316)</f>
        <v>1.406214039</v>
      </c>
      <c r="AN416" s="30">
        <f>IFERROR(__xludf.DUMMYFUNCTION("""COMPUTED_VALUE"""),0.8283154612827287)</f>
        <v>0.8283154613</v>
      </c>
      <c r="AO416" s="30">
        <f>IFERROR(__xludf.DUMMYFUNCTION("""COMPUTED_VALUE"""),0.3402933653441261)</f>
        <v>0.3402933653</v>
      </c>
      <c r="AP416" s="30">
        <f>IFERROR(__xludf.DUMMYFUNCTION("""COMPUTED_VALUE"""),0.8928190683098591)</f>
        <v>0.8928190683</v>
      </c>
      <c r="AQ416" s="30">
        <f>IFERROR(__xludf.DUMMYFUNCTION("""COMPUTED_VALUE"""),1.1446579223997926)</f>
        <v>1.144657922</v>
      </c>
      <c r="AR416" s="30">
        <f>IFERROR(__xludf.DUMMYFUNCTION("""COMPUTED_VALUE"""),1.2046520818336297)</f>
        <v>1.204652082</v>
      </c>
      <c r="AS416" s="30">
        <f>IFERROR(__xludf.DUMMYFUNCTION("""COMPUTED_VALUE"""),9.0)</f>
        <v>9</v>
      </c>
      <c r="AT416" s="30">
        <f>IFERROR(__xludf.DUMMYFUNCTION("""COMPUTED_VALUE"""),0.16676734579563535)</f>
        <v>0.1667673458</v>
      </c>
      <c r="AU416" s="30">
        <f>IFERROR(__xludf.DUMMYFUNCTION("""COMPUTED_VALUE"""),0.5523842610175049)</f>
        <v>0.552384261</v>
      </c>
      <c r="AV416" s="32">
        <f>IFERROR(__xludf.DUMMYFUNCTION("""COMPUTED_VALUE"""),-1.0031894236423113)</f>
        <v>-1.003189424</v>
      </c>
      <c r="AW416" s="32">
        <f>IFERROR(__xludf.DUMMYFUNCTION("""COMPUTED_VALUE"""),-48.38207826584379)</f>
        <v>-48.38207827</v>
      </c>
      <c r="AX416" s="32">
        <f>IFERROR(__xludf.DUMMYFUNCTION("""COMPUTED_VALUE"""),7.907277900669442)</f>
        <v>7.907277901</v>
      </c>
      <c r="AY416" s="32">
        <f>IFERROR(__xludf.DUMMYFUNCTION("""COMPUTED_VALUE"""),-21.683050621881208)</f>
        <v>-21.68305062</v>
      </c>
      <c r="AZ416" s="30">
        <f>IFERROR(__xludf.DUMMYFUNCTION("""COMPUTED_VALUE"""),26.69902764396258)</f>
        <v>26.69902764</v>
      </c>
      <c r="BA416" s="30">
        <f>IFERROR(__xludf.DUMMYFUNCTION("""COMPUTED_VALUE"""),1700.0)</f>
        <v>1700</v>
      </c>
    </row>
    <row r="417">
      <c r="A417" s="71" t="str">
        <f>IFERROR(__xludf.DUMMYFUNCTION("""COMPUTED_VALUE"""),"Rival")</f>
        <v>Rival</v>
      </c>
      <c r="B417" s="71" t="str">
        <f>IFERROR(__xludf.DUMMYFUNCTION("""COMPUTED_VALUE"""),"RSC006448")</f>
        <v>RSC006448</v>
      </c>
      <c r="C417" s="30" t="str">
        <f>IFERROR(__xludf.DUMMYFUNCTION("""COMPUTED_VALUE"""),"Burger.101")</f>
        <v>Burger.101</v>
      </c>
      <c r="D417" s="30" t="str">
        <f>IFERROR(__xludf.DUMMYFUNCTION("""COMPUTED_VALUE"""),"Iris")</f>
        <v>Iris</v>
      </c>
      <c r="E417" s="30">
        <f>IFERROR(__xludf.DUMMYFUNCTION("""COMPUTED_VALUE"""),32.0)</f>
        <v>32</v>
      </c>
      <c r="F417" s="30">
        <f>IFERROR(__xludf.DUMMYFUNCTION("""COMPUTED_VALUE"""),26.0)</f>
        <v>26</v>
      </c>
      <c r="G417" s="42">
        <f>IFERROR(__xludf.DUMMYFUNCTION("""COMPUTED_VALUE"""),6.0)</f>
        <v>6</v>
      </c>
      <c r="H417" s="42">
        <f>IFERROR(__xludf.DUMMYFUNCTION("""COMPUTED_VALUE"""),0.8125)</f>
        <v>0.8125</v>
      </c>
      <c r="I417" s="42">
        <f>IFERROR(__xludf.DUMMYFUNCTION("""COMPUTED_VALUE"""),0.3394495412844037)</f>
        <v>0.3394495413</v>
      </c>
      <c r="J417" s="30">
        <f>IFERROR(__xludf.DUMMYFUNCTION("""COMPUTED_VALUE"""),394.15625)</f>
        <v>394.15625</v>
      </c>
      <c r="K417" s="30">
        <f>IFERROR(__xludf.DUMMYFUNCTION("""COMPUTED_VALUE"""),1.15625)</f>
        <v>1.15625</v>
      </c>
      <c r="L417" s="30">
        <f>IFERROR(__xludf.DUMMYFUNCTION("""COMPUTED_VALUE"""),0.71875)</f>
        <v>0.71875</v>
      </c>
      <c r="M417" s="30">
        <f>IFERROR(__xludf.DUMMYFUNCTION("""COMPUTED_VALUE"""),0.96875)</f>
        <v>0.96875</v>
      </c>
      <c r="N417" s="30">
        <f>IFERROR(__xludf.DUMMYFUNCTION("""COMPUTED_VALUE"""),3.40625)</f>
        <v>3.40625</v>
      </c>
      <c r="O417" s="30">
        <f>IFERROR(__xludf.DUMMYFUNCTION("""COMPUTED_VALUE"""),304.8229166666665)</f>
        <v>304.8229167</v>
      </c>
      <c r="P417" s="30">
        <f>IFERROR(__xludf.DUMMYFUNCTION("""COMPUTED_VALUE"""),0.5)</f>
        <v>0.5</v>
      </c>
      <c r="Q417" s="30">
        <f>IFERROR(__xludf.DUMMYFUNCTION("""COMPUTED_VALUE"""),0.30208333333333326)</f>
        <v>0.3020833333</v>
      </c>
      <c r="R417" s="30">
        <f>IFERROR(__xludf.DUMMYFUNCTION("""COMPUTED_VALUE"""),1.5104166666666667)</f>
        <v>1.510416667</v>
      </c>
      <c r="S417" s="30">
        <f>IFERROR(__xludf.DUMMYFUNCTION("""COMPUTED_VALUE"""),1.7916666666666667)</f>
        <v>1.791666667</v>
      </c>
      <c r="T417" s="30">
        <f>IFERROR(__xludf.DUMMYFUNCTION("""COMPUTED_VALUE"""),329.68874017742473)</f>
        <v>329.6887402</v>
      </c>
      <c r="U417" s="30">
        <f>IFERROR(__xludf.DUMMYFUNCTION("""COMPUTED_VALUE"""),0.7086146292683481)</f>
        <v>0.7086146293</v>
      </c>
      <c r="V417" s="30">
        <f>IFERROR(__xludf.DUMMYFUNCTION("""COMPUTED_VALUE"""),0.4977609554401373)</f>
        <v>0.4977609554</v>
      </c>
      <c r="W417" s="30">
        <f>IFERROR(__xludf.DUMMYFUNCTION("""COMPUTED_VALUE"""),1.2999930927914125)</f>
        <v>1.299993093</v>
      </c>
      <c r="X417" s="30">
        <f>IFERROR(__xludf.DUMMYFUNCTION("""COMPUTED_VALUE"""),2.290796771438202)</f>
        <v>2.290796771</v>
      </c>
      <c r="Y417" s="30">
        <f>IFERROR(__xludf.DUMMYFUNCTION("""COMPUTED_VALUE"""),358.65309576226946)</f>
        <v>358.6530958</v>
      </c>
      <c r="Z417" s="30">
        <f>IFERROR(__xludf.DUMMYFUNCTION("""COMPUTED_VALUE"""),0.8713600927123341)</f>
        <v>0.8713600927</v>
      </c>
      <c r="AA417" s="30">
        <f>IFERROR(__xludf.DUMMYFUNCTION("""COMPUTED_VALUE"""),0.6568303356654963)</f>
        <v>0.6568303357</v>
      </c>
      <c r="AB417" s="30">
        <f>IFERROR(__xludf.DUMMYFUNCTION("""COMPUTED_VALUE"""),1.202318180595378)</f>
        <v>1.202318181</v>
      </c>
      <c r="AC417" s="30">
        <f>IFERROR(__xludf.DUMMYFUNCTION("""COMPUTED_VALUE"""),2.694429951489743)</f>
        <v>2.694429951</v>
      </c>
      <c r="AD417" s="30">
        <f>IFERROR(__xludf.DUMMYFUNCTION("""COMPUTED_VALUE"""),1.0989902350132328)</f>
        <v>1.098990235</v>
      </c>
      <c r="AE417" s="30">
        <f>IFERROR(__xludf.DUMMYFUNCTION("""COMPUTED_VALUE"""),1.3269485367419942)</f>
        <v>1.326948537</v>
      </c>
      <c r="AF417" s="30">
        <f>IFERROR(__xludf.DUMMYFUNCTION("""COMPUTED_VALUE"""),1.0942704089203905)</f>
        <v>1.094270409</v>
      </c>
      <c r="AG417" s="30">
        <f>IFERROR(__xludf.DUMMYFUNCTION("""COMPUTED_VALUE"""),0.805735133706689)</f>
        <v>0.8057351337</v>
      </c>
      <c r="AH417" s="30">
        <f>IFERROR(__xludf.DUMMYFUNCTION("""COMPUTED_VALUE"""),1.264182057550501)</f>
        <v>1.264182058</v>
      </c>
      <c r="AI417" s="30">
        <f>IFERROR(__xludf.DUMMYFUNCTION("""COMPUTED_VALUE"""),0.9245778806477393)</f>
        <v>0.9245778806</v>
      </c>
      <c r="AJ417" s="30">
        <f>IFERROR(__xludf.DUMMYFUNCTION("""COMPUTED_VALUE"""),0.7056021416270437)</f>
        <v>0.7056021416</v>
      </c>
      <c r="AK417" s="30">
        <f>IFERROR(__xludf.DUMMYFUNCTION("""COMPUTED_VALUE"""),0.6068843488662561)</f>
        <v>0.6068843489</v>
      </c>
      <c r="AL417" s="30">
        <f>IFERROR(__xludf.DUMMYFUNCTION("""COMPUTED_VALUE"""),1.1618651476243014)</f>
        <v>1.161865148</v>
      </c>
      <c r="AM417" s="30">
        <f>IFERROR(__xludf.DUMMYFUNCTION("""COMPUTED_VALUE"""),0.7821150653804297)</f>
        <v>0.7821150654</v>
      </c>
      <c r="AN417" s="30">
        <f>IFERROR(__xludf.DUMMYFUNCTION("""COMPUTED_VALUE"""),1.162905488998114)</f>
        <v>1.162905489</v>
      </c>
      <c r="AO417" s="30">
        <f>IFERROR(__xludf.DUMMYFUNCTION("""COMPUTED_VALUE"""),1.573856814716583)</f>
        <v>1.573856815</v>
      </c>
      <c r="AP417" s="30">
        <f>IFERROR(__xludf.DUMMYFUNCTION("""COMPUTED_VALUE"""),1.2834274106954224)</f>
        <v>1.283427411</v>
      </c>
      <c r="AQ417" s="30">
        <f>IFERROR(__xludf.DUMMYFUNCTION("""COMPUTED_VALUE"""),0.739258241549866)</f>
        <v>0.7392582415</v>
      </c>
      <c r="AR417" s="30">
        <f>IFERROR(__xludf.DUMMYFUNCTION("""COMPUTED_VALUE"""),1.3677820512486003)</f>
        <v>1.367782051</v>
      </c>
      <c r="AS417" s="30">
        <f>IFERROR(__xludf.DUMMYFUNCTION("""COMPUTED_VALUE"""),102.0)</f>
        <v>102</v>
      </c>
      <c r="AT417" s="30">
        <f>IFERROR(__xludf.DUMMYFUNCTION("""COMPUTED_VALUE"""),0.7639316090015318)</f>
        <v>0.763931609</v>
      </c>
      <c r="AU417" s="30">
        <f>IFERROR(__xludf.DUMMYFUNCTION("""COMPUTED_VALUE"""),3.2895290633332945)</f>
        <v>3.289529063</v>
      </c>
      <c r="AV417" s="32">
        <f>IFERROR(__xludf.DUMMYFUNCTION("""COMPUTED_VALUE"""),95.68390343022111)</f>
        <v>95.68390343</v>
      </c>
      <c r="AW417" s="32">
        <f>IFERROR(__xludf.DUMMYFUNCTION("""COMPUTED_VALUE"""),29.565575355660393)</f>
        <v>29.56557536</v>
      </c>
      <c r="AX417" s="32">
        <f>IFERROR(__xludf.DUMMYFUNCTION("""COMPUTED_VALUE"""),82.52163391181415)</f>
        <v>82.52163391</v>
      </c>
      <c r="AY417" s="32">
        <f>IFERROR(__xludf.DUMMYFUNCTION("""COMPUTED_VALUE"""),10.346368153394078)</f>
        <v>10.34636815</v>
      </c>
      <c r="AZ417" s="30">
        <f>IFERROR(__xludf.DUMMYFUNCTION("""COMPUTED_VALUE"""),19.219207202266315)</f>
        <v>19.2192072</v>
      </c>
      <c r="BA417" s="30">
        <f>IFERROR(__xludf.DUMMYFUNCTION("""COMPUTED_VALUE"""),1700.0)</f>
        <v>1700</v>
      </c>
    </row>
    <row r="418">
      <c r="A418" s="71" t="str">
        <f>IFERROR(__xludf.DUMMYFUNCTION("""COMPUTED_VALUE"""),"Rival")</f>
        <v>Rival</v>
      </c>
      <c r="B418" s="71" t="str">
        <f>IFERROR(__xludf.DUMMYFUNCTION("""COMPUTED_VALUE"""),"RSC005834")</f>
        <v>RSC005834</v>
      </c>
      <c r="C418" s="30" t="str">
        <f>IFERROR(__xludf.DUMMYFUNCTION("""COMPUTED_VALUE"""),"IIIYummyIII")</f>
        <v>IIIYummyIII</v>
      </c>
      <c r="D418" s="30" t="str">
        <f>IFERROR(__xludf.DUMMYFUNCTION("""COMPUTED_VALUE"""),"Hot Wings")</f>
        <v>Hot Wings</v>
      </c>
      <c r="E418" s="30">
        <f>IFERROR(__xludf.DUMMYFUNCTION("""COMPUTED_VALUE"""),28.0)</f>
        <v>28</v>
      </c>
      <c r="F418" s="30">
        <f>IFERROR(__xludf.DUMMYFUNCTION("""COMPUTED_VALUE"""),20.0)</f>
        <v>20</v>
      </c>
      <c r="G418" s="42">
        <f>IFERROR(__xludf.DUMMYFUNCTION("""COMPUTED_VALUE"""),8.0)</f>
        <v>8</v>
      </c>
      <c r="H418" s="42">
        <f>IFERROR(__xludf.DUMMYFUNCTION("""COMPUTED_VALUE"""),0.7142857142857143)</f>
        <v>0.7142857143</v>
      </c>
      <c r="I418" s="42">
        <f>IFERROR(__xludf.DUMMYFUNCTION("""COMPUTED_VALUE"""),0.3764705882352941)</f>
        <v>0.3764705882</v>
      </c>
      <c r="J418" s="30">
        <f>IFERROR(__xludf.DUMMYFUNCTION("""COMPUTED_VALUE"""),372.10714285714283)</f>
        <v>372.1071429</v>
      </c>
      <c r="K418" s="30">
        <f>IFERROR(__xludf.DUMMYFUNCTION("""COMPUTED_VALUE"""),1.1428571428571428)</f>
        <v>1.142857143</v>
      </c>
      <c r="L418" s="30">
        <f>IFERROR(__xludf.DUMMYFUNCTION("""COMPUTED_VALUE"""),0.8571428571428571)</f>
        <v>0.8571428571</v>
      </c>
      <c r="M418" s="30">
        <f>IFERROR(__xludf.DUMMYFUNCTION("""COMPUTED_VALUE"""),0.9285714285714286)</f>
        <v>0.9285714286</v>
      </c>
      <c r="N418" s="30">
        <f>IFERROR(__xludf.DUMMYFUNCTION("""COMPUTED_VALUE"""),3.0357142857142856)</f>
        <v>3.035714286</v>
      </c>
      <c r="O418" s="30">
        <f>IFERROR(__xludf.DUMMYFUNCTION("""COMPUTED_VALUE"""),327.1428571428572)</f>
        <v>327.1428571</v>
      </c>
      <c r="P418" s="30">
        <f>IFERROR(__xludf.DUMMYFUNCTION("""COMPUTED_VALUE"""),0.7023809523809523)</f>
        <v>0.7023809524</v>
      </c>
      <c r="Q418" s="30">
        <f>IFERROR(__xludf.DUMMYFUNCTION("""COMPUTED_VALUE"""),0.4523809523809524)</f>
        <v>0.4523809524</v>
      </c>
      <c r="R418" s="30">
        <f>IFERROR(__xludf.DUMMYFUNCTION("""COMPUTED_VALUE"""),1.4404761904761905)</f>
        <v>1.44047619</v>
      </c>
      <c r="S418" s="30">
        <f>IFERROR(__xludf.DUMMYFUNCTION("""COMPUTED_VALUE"""),2.5)</f>
        <v>2.5</v>
      </c>
      <c r="T418" s="30">
        <f>IFERROR(__xludf.DUMMYFUNCTION("""COMPUTED_VALUE"""),343.7423314936233)</f>
        <v>343.7423315</v>
      </c>
      <c r="U418" s="30">
        <f>IFERROR(__xludf.DUMMYFUNCTION("""COMPUTED_VALUE"""),0.7921006455568668)</f>
        <v>0.7921006456</v>
      </c>
      <c r="V418" s="30">
        <f>IFERROR(__xludf.DUMMYFUNCTION("""COMPUTED_VALUE"""),0.5474487270438917)</f>
        <v>0.547448727</v>
      </c>
      <c r="W418" s="30">
        <f>IFERROR(__xludf.DUMMYFUNCTION("""COMPUTED_VALUE"""),1.3176043958775001)</f>
        <v>1.317604396</v>
      </c>
      <c r="X418" s="30">
        <f>IFERROR(__xludf.DUMMYFUNCTION("""COMPUTED_VALUE"""),2.5560656154322863)</f>
        <v>2.556065615</v>
      </c>
      <c r="Y418" s="30">
        <f>IFERROR(__xludf.DUMMYFUNCTION("""COMPUTED_VALUE"""),347.35755370840496)</f>
        <v>347.3575537</v>
      </c>
      <c r="Z418" s="30">
        <f>IFERROR(__xludf.DUMMYFUNCTION("""COMPUTED_VALUE"""),0.8032688431410892)</f>
        <v>0.8032688431</v>
      </c>
      <c r="AA418" s="30">
        <f>IFERROR(__xludf.DUMMYFUNCTION("""COMPUTED_VALUE"""),0.5837786455813776)</f>
        <v>0.5837786456</v>
      </c>
      <c r="AB418" s="30">
        <f>IFERROR(__xludf.DUMMYFUNCTION("""COMPUTED_VALUE"""),1.2893059579985895)</f>
        <v>1.289305958</v>
      </c>
      <c r="AC418" s="30">
        <f>IFERROR(__xludf.DUMMYFUNCTION("""COMPUTED_VALUE"""),2.6153240137561498)</f>
        <v>2.615324014</v>
      </c>
      <c r="AD418" s="30">
        <f>IFERROR(__xludf.DUMMYFUNCTION("""COMPUTED_VALUE"""),1.0712510463195923)</f>
        <v>1.071251046</v>
      </c>
      <c r="AE418" s="30">
        <f>IFERROR(__xludf.DUMMYFUNCTION("""COMPUTED_VALUE"""),1.4227579628112217)</f>
        <v>1.422757963</v>
      </c>
      <c r="AF418" s="30">
        <f>IFERROR(__xludf.DUMMYFUNCTION("""COMPUTED_VALUE"""),1.4682668912790389)</f>
        <v>1.468266891</v>
      </c>
      <c r="AG418" s="30">
        <f>IFERROR(__xludf.DUMMYFUNCTION("""COMPUTED_VALUE"""),0.7202102982699817)</f>
        <v>0.7202102983</v>
      </c>
      <c r="AH418" s="30">
        <f>IFERROR(__xludf.DUMMYFUNCTION("""COMPUTED_VALUE"""),1.1607411814929838)</f>
        <v>1.160741181</v>
      </c>
      <c r="AI418" s="30">
        <f>IFERROR(__xludf.DUMMYFUNCTION("""COMPUTED_VALUE"""),0.9517095427885233)</f>
        <v>0.9517095428</v>
      </c>
      <c r="AJ418" s="30">
        <f>IFERROR(__xludf.DUMMYFUNCTION("""COMPUTED_VALUE"""),0.8867319529668617)</f>
        <v>0.886731953</v>
      </c>
      <c r="AK418" s="30">
        <f>IFERROR(__xludf.DUMMYFUNCTION("""COMPUTED_VALUE"""),0.8263439661714342)</f>
        <v>0.8263439662</v>
      </c>
      <c r="AL418" s="30">
        <f>IFERROR(__xludf.DUMMYFUNCTION("""COMPUTED_VALUE"""),1.0932539349315544)</f>
        <v>1.093253935</v>
      </c>
      <c r="AM418" s="30">
        <f>IFERROR(__xludf.DUMMYFUNCTION("""COMPUTED_VALUE"""),0.9780656587633004)</f>
        <v>0.9780656588</v>
      </c>
      <c r="AN418" s="30">
        <f>IFERROR(__xludf.DUMMYFUNCTION("""COMPUTED_VALUE"""),1.0978525367134906)</f>
        <v>1.097852537</v>
      </c>
      <c r="AO418" s="30">
        <f>IFERROR(__xludf.DUMMYFUNCTION("""COMPUTED_VALUE"""),1.555626813001719)</f>
        <v>1.555626813</v>
      </c>
      <c r="AP418" s="30">
        <f>IFERROR(__xludf.DUMMYFUNCTION("""COMPUTED_VALUE"""),1.5305469742454727)</f>
        <v>1.530546974</v>
      </c>
      <c r="AQ418" s="30">
        <f>IFERROR(__xludf.DUMMYFUNCTION("""COMPUTED_VALUE"""),0.7085977614855858)</f>
        <v>0.7085977615</v>
      </c>
      <c r="AR418" s="30">
        <f>IFERROR(__xludf.DUMMYFUNCTION("""COMPUTED_VALUE"""),1.2189931780459347)</f>
        <v>1.218993178</v>
      </c>
      <c r="AS418" s="30">
        <f>IFERROR(__xludf.DUMMYFUNCTION("""COMPUTED_VALUE"""),86.0)</f>
        <v>86</v>
      </c>
      <c r="AT418" s="30">
        <f>IFERROR(__xludf.DUMMYFUNCTION("""COMPUTED_VALUE"""),0.6465911145109893)</f>
        <v>0.6465911145</v>
      </c>
      <c r="AU418" s="30">
        <f>IFERROR(__xludf.DUMMYFUNCTION("""COMPUTED_VALUE"""),3.1783192034659127)</f>
        <v>3.178319203</v>
      </c>
      <c r="AV418" s="32">
        <f>IFERROR(__xludf.DUMMYFUNCTION("""COMPUTED_VALUE"""),91.75551862640461)</f>
        <v>91.75551863</v>
      </c>
      <c r="AW418" s="32">
        <f>IFERROR(__xludf.DUMMYFUNCTION("""COMPUTED_VALUE"""),21.080214031980493)</f>
        <v>21.08021403</v>
      </c>
      <c r="AX418" s="32">
        <f>IFERROR(__xludf.DUMMYFUNCTION("""COMPUTED_VALUE"""),60.80669846061544)</f>
        <v>60.80669846</v>
      </c>
      <c r="AY418" s="32">
        <f>IFERROR(__xludf.DUMMYFUNCTION("""COMPUTED_VALUE"""),3.0050483910980836)</f>
        <v>3.005048391</v>
      </c>
      <c r="AZ418" s="30">
        <f>IFERROR(__xludf.DUMMYFUNCTION("""COMPUTED_VALUE"""),18.07516564088241)</f>
        <v>18.07516564</v>
      </c>
      <c r="BA418" s="30">
        <f>IFERROR(__xludf.DUMMYFUNCTION("""COMPUTED_VALUE"""),1700.0)</f>
        <v>1700</v>
      </c>
    </row>
    <row r="419">
      <c r="A419" s="71" t="str">
        <f>IFERROR(__xludf.DUMMYFUNCTION("""COMPUTED_VALUE"""),"Rival")</f>
        <v>Rival</v>
      </c>
      <c r="B419" s="71" t="str">
        <f>IFERROR(__xludf.DUMMYFUNCTION("""COMPUTED_VALUE"""),"RSC005253")</f>
        <v>RSC005253</v>
      </c>
      <c r="C419" s="30" t="str">
        <f>IFERROR(__xludf.DUMMYFUNCTION("""COMPUTED_VALUE"""),"dinnindu")</f>
        <v>dinnindu</v>
      </c>
      <c r="D419" s="30" t="str">
        <f>IFERROR(__xludf.DUMMYFUNCTION("""COMPUTED_VALUE"""),"Tyrants")</f>
        <v>Tyrants</v>
      </c>
      <c r="E419" s="30">
        <f>IFERROR(__xludf.DUMMYFUNCTION("""COMPUTED_VALUE"""),24.0)</f>
        <v>24</v>
      </c>
      <c r="F419" s="30">
        <f>IFERROR(__xludf.DUMMYFUNCTION("""COMPUTED_VALUE"""),11.0)</f>
        <v>11</v>
      </c>
      <c r="G419" s="42">
        <f>IFERROR(__xludf.DUMMYFUNCTION("""COMPUTED_VALUE"""),13.0)</f>
        <v>13</v>
      </c>
      <c r="H419" s="42">
        <f>IFERROR(__xludf.DUMMYFUNCTION("""COMPUTED_VALUE"""),0.4583333333333333)</f>
        <v>0.4583333333</v>
      </c>
      <c r="I419" s="42">
        <f>IFERROR(__xludf.DUMMYFUNCTION("""COMPUTED_VALUE"""),0.2727272727272727)</f>
        <v>0.2727272727</v>
      </c>
      <c r="J419" s="30">
        <f>IFERROR(__xludf.DUMMYFUNCTION("""COMPUTED_VALUE"""),267.75)</f>
        <v>267.75</v>
      </c>
      <c r="K419" s="30">
        <f>IFERROR(__xludf.DUMMYFUNCTION("""COMPUTED_VALUE"""),0.375)</f>
        <v>0.375</v>
      </c>
      <c r="L419" s="30">
        <f>IFERROR(__xludf.DUMMYFUNCTION("""COMPUTED_VALUE"""),0.16666666666666666)</f>
        <v>0.1666666667</v>
      </c>
      <c r="M419" s="30">
        <f>IFERROR(__xludf.DUMMYFUNCTION("""COMPUTED_VALUE"""),1.625)</f>
        <v>1.625</v>
      </c>
      <c r="N419" s="30">
        <f>IFERROR(__xludf.DUMMYFUNCTION("""COMPUTED_VALUE"""),1.375)</f>
        <v>1.375</v>
      </c>
      <c r="O419" s="30">
        <f>IFERROR(__xludf.DUMMYFUNCTION("""COMPUTED_VALUE"""),310.36111111111114)</f>
        <v>310.3611111</v>
      </c>
      <c r="P419" s="30">
        <f>IFERROR(__xludf.DUMMYFUNCTION("""COMPUTED_VALUE"""),0.638888888888889)</f>
        <v>0.6388888889</v>
      </c>
      <c r="Q419" s="30">
        <f>IFERROR(__xludf.DUMMYFUNCTION("""COMPUTED_VALUE"""),0.45833333333333326)</f>
        <v>0.4583333333</v>
      </c>
      <c r="R419" s="30">
        <f>IFERROR(__xludf.DUMMYFUNCTION("""COMPUTED_VALUE"""),0.9722222222222223)</f>
        <v>0.9722222222</v>
      </c>
      <c r="S419" s="30">
        <f>IFERROR(__xludf.DUMMYFUNCTION("""COMPUTED_VALUE"""),2.5277777777777772)</f>
        <v>2.527777778</v>
      </c>
      <c r="T419" s="30">
        <f>IFERROR(__xludf.DUMMYFUNCTION("""COMPUTED_VALUE"""),350.23765114490243)</f>
        <v>350.2376511</v>
      </c>
      <c r="U419" s="30">
        <f>IFERROR(__xludf.DUMMYFUNCTION("""COMPUTED_VALUE"""),0.7624470126150236)</f>
        <v>0.7624470126</v>
      </c>
      <c r="V419" s="30">
        <f>IFERROR(__xludf.DUMMYFUNCTION("""COMPUTED_VALUE"""),0.5873966042917657)</f>
        <v>0.5873966043</v>
      </c>
      <c r="W419" s="30">
        <f>IFERROR(__xludf.DUMMYFUNCTION("""COMPUTED_VALUE"""),1.3125652918865287)</f>
        <v>1.312565292</v>
      </c>
      <c r="X419" s="30">
        <f>IFERROR(__xludf.DUMMYFUNCTION("""COMPUTED_VALUE"""),2.565496724750757)</f>
        <v>2.565496725</v>
      </c>
      <c r="Y419" s="30">
        <f>IFERROR(__xludf.DUMMYFUNCTION("""COMPUTED_VALUE"""),345.44247728774616)</f>
        <v>345.4424773</v>
      </c>
      <c r="Z419" s="30">
        <f>IFERROR(__xludf.DUMMYFUNCTION("""COMPUTED_VALUE"""),0.7638237708959035)</f>
        <v>0.7638237709</v>
      </c>
      <c r="AA419" s="30">
        <f>IFERROR(__xludf.DUMMYFUNCTION("""COMPUTED_VALUE"""),0.5611243747623674)</f>
        <v>0.5611243748</v>
      </c>
      <c r="AB419" s="30">
        <f>IFERROR(__xludf.DUMMYFUNCTION("""COMPUTED_VALUE"""),1.3025378025333223)</f>
        <v>1.302537803</v>
      </c>
      <c r="AC419" s="30">
        <f>IFERROR(__xludf.DUMMYFUNCTION("""COMPUTED_VALUE"""),2.4966147436958366)</f>
        <v>2.496614744</v>
      </c>
      <c r="AD419" s="30">
        <f>IFERROR(__xludf.DUMMYFUNCTION("""COMPUTED_VALUE"""),0.7750928666973691)</f>
        <v>0.7750928667</v>
      </c>
      <c r="AE419" s="30">
        <f>IFERROR(__xludf.DUMMYFUNCTION("""COMPUTED_VALUE"""),0.49095094220510493)</f>
        <v>0.4909509422</v>
      </c>
      <c r="AF419" s="30">
        <f>IFERROR(__xludf.DUMMYFUNCTION("""COMPUTED_VALUE"""),0.29702268189160186)</f>
        <v>0.2970226819</v>
      </c>
      <c r="AG419" s="30">
        <f>IFERROR(__xludf.DUMMYFUNCTION("""COMPUTED_VALUE"""),1.2475645596154805)</f>
        <v>1.24756456</v>
      </c>
      <c r="AH419" s="30">
        <f>IFERROR(__xludf.DUMMYFUNCTION("""COMPUTED_VALUE"""),0.5507457662308497)</f>
        <v>0.5507457662</v>
      </c>
      <c r="AI419" s="30">
        <f>IFERROR(__xludf.DUMMYFUNCTION("""COMPUTED_VALUE"""),0.8861443368426049)</f>
        <v>0.8861443368</v>
      </c>
      <c r="AJ419" s="30">
        <f>IFERROR(__xludf.DUMMYFUNCTION("""COMPUTED_VALUE"""),0.8379452975986387)</f>
        <v>0.8379452976</v>
      </c>
      <c r="AK419" s="30">
        <f>IFERROR(__xludf.DUMMYFUNCTION("""COMPUTED_VALUE"""),0.7802791674050512)</f>
        <v>0.7802791674</v>
      </c>
      <c r="AL419" s="30">
        <f>IFERROR(__xludf.DUMMYFUNCTION("""COMPUTED_VALUE"""),0.7407038935372603)</f>
        <v>0.7407038935</v>
      </c>
      <c r="AM419" s="30">
        <f>IFERROR(__xludf.DUMMYFUNCTION("""COMPUTED_VALUE"""),0.9852976047059095)</f>
        <v>0.9852976047</v>
      </c>
      <c r="AN419" s="30">
        <f>IFERROR(__xludf.DUMMYFUNCTION("""COMPUTED_VALUE"""),0.7899606937077494)</f>
        <v>0.7899606937</v>
      </c>
      <c r="AO419" s="30">
        <f>IFERROR(__xludf.DUMMYFUNCTION("""COMPUTED_VALUE"""),0.510440048016189)</f>
        <v>0.510440048</v>
      </c>
      <c r="AP419" s="30">
        <f>IFERROR(__xludf.DUMMYFUNCTION("""COMPUTED_VALUE"""),0.29760635610328634)</f>
        <v>0.2976063561</v>
      </c>
      <c r="AQ419" s="30">
        <f>IFERROR(__xludf.DUMMYFUNCTION("""COMPUTED_VALUE"""),1.2400460825997752)</f>
        <v>1.240046083</v>
      </c>
      <c r="AR419" s="30">
        <f>IFERROR(__xludf.DUMMYFUNCTION("""COMPUTED_VALUE"""),0.552132204173747)</f>
        <v>0.5521322042</v>
      </c>
      <c r="AS419" s="30">
        <f>IFERROR(__xludf.DUMMYFUNCTION("""COMPUTED_VALUE"""),40.0)</f>
        <v>40</v>
      </c>
      <c r="AT419" s="30">
        <f>IFERROR(__xludf.DUMMYFUNCTION("""COMPUTED_VALUE"""),0.4497724398666645)</f>
        <v>0.4497724399</v>
      </c>
      <c r="AU419" s="30">
        <f>IFERROR(__xludf.DUMMYFUNCTION("""COMPUTED_VALUE"""),0.7616384130904743)</f>
        <v>0.7616384131</v>
      </c>
      <c r="AV419" s="32">
        <f>IFERROR(__xludf.DUMMYFUNCTION("""COMPUTED_VALUE"""),6.38851875870084)</f>
        <v>6.388518759</v>
      </c>
      <c r="AW419" s="32">
        <f>IFERROR(__xludf.DUMMYFUNCTION("""COMPUTED_VALUE"""),-24.667287252553574)</f>
        <v>-24.66728725</v>
      </c>
      <c r="AX419" s="32">
        <f>IFERROR(__xludf.DUMMYFUNCTION("""COMPUTED_VALUE"""),19.86414675095291)</f>
        <v>19.86414675</v>
      </c>
      <c r="AY419" s="32">
        <f>IFERROR(__xludf.DUMMYFUNCTION("""COMPUTED_VALUE"""),-8.770554522724662)</f>
        <v>-8.770554523</v>
      </c>
      <c r="AZ419" s="30">
        <f>IFERROR(__xludf.DUMMYFUNCTION("""COMPUTED_VALUE"""),15.896732729828912)</f>
        <v>15.89673273</v>
      </c>
      <c r="BA419" s="30">
        <f>IFERROR(__xludf.DUMMYFUNCTION("""COMPUTED_VALUE"""),1700.0)</f>
        <v>1700</v>
      </c>
    </row>
    <row r="420">
      <c r="A420" s="71" t="str">
        <f>IFERROR(__xludf.DUMMYFUNCTION("""COMPUTED_VALUE"""),"Rival")</f>
        <v>Rival</v>
      </c>
      <c r="B420" s="71" t="str">
        <f>IFERROR(__xludf.DUMMYFUNCTION("""COMPUTED_VALUE"""),"RSC006338")</f>
        <v>RSC006338</v>
      </c>
      <c r="C420" s="30" t="str">
        <f>IFERROR(__xludf.DUMMYFUNCTION("""COMPUTED_VALUE"""),"mykul.457")</f>
        <v>mykul.457</v>
      </c>
      <c r="D420" s="30"/>
      <c r="E420" s="30">
        <f>IFERROR(__xludf.DUMMYFUNCTION("""COMPUTED_VALUE"""),2.0)</f>
        <v>2</v>
      </c>
      <c r="F420" s="30">
        <f>IFERROR(__xludf.DUMMYFUNCTION("""COMPUTED_VALUE"""),1.0)</f>
        <v>1</v>
      </c>
      <c r="G420" s="42">
        <f>IFERROR(__xludf.DUMMYFUNCTION("""COMPUTED_VALUE"""),1.0)</f>
        <v>1</v>
      </c>
      <c r="H420" s="42">
        <f>IFERROR(__xludf.DUMMYFUNCTION("""COMPUTED_VALUE"""),0.5)</f>
        <v>0.5</v>
      </c>
      <c r="I420" s="42">
        <f>IFERROR(__xludf.DUMMYFUNCTION("""COMPUTED_VALUE"""),0.2)</f>
        <v>0.2</v>
      </c>
      <c r="J420" s="30">
        <f>IFERROR(__xludf.DUMMYFUNCTION("""COMPUTED_VALUE"""),376.0)</f>
        <v>376</v>
      </c>
      <c r="K420" s="30">
        <f>IFERROR(__xludf.DUMMYFUNCTION("""COMPUTED_VALUE"""),0.5)</f>
        <v>0.5</v>
      </c>
      <c r="L420" s="30">
        <f>IFERROR(__xludf.DUMMYFUNCTION("""COMPUTED_VALUE"""),1.5)</f>
        <v>1.5</v>
      </c>
      <c r="M420" s="30">
        <f>IFERROR(__xludf.DUMMYFUNCTION("""COMPUTED_VALUE"""),1.0)</f>
        <v>1</v>
      </c>
      <c r="N420" s="30">
        <f>IFERROR(__xludf.DUMMYFUNCTION("""COMPUTED_VALUE"""),2.5)</f>
        <v>2.5</v>
      </c>
      <c r="O420" s="30">
        <f>IFERROR(__xludf.DUMMYFUNCTION("""COMPUTED_VALUE"""),253.66666666666666)</f>
        <v>253.6666667</v>
      </c>
      <c r="P420" s="30">
        <f>IFERROR(__xludf.DUMMYFUNCTION("""COMPUTED_VALUE"""),0.16666666666666666)</f>
        <v>0.1666666667</v>
      </c>
      <c r="Q420" s="30">
        <f>IFERROR(__xludf.DUMMYFUNCTION("""COMPUTED_VALUE"""),0.16666666666666666)</f>
        <v>0.1666666667</v>
      </c>
      <c r="R420" s="30">
        <f>IFERROR(__xludf.DUMMYFUNCTION("""COMPUTED_VALUE"""),1.5)</f>
        <v>1.5</v>
      </c>
      <c r="S420" s="30">
        <f>IFERROR(__xludf.DUMMYFUNCTION("""COMPUTED_VALUE"""),2.666666666666667)</f>
        <v>2.666666667</v>
      </c>
      <c r="T420" s="30">
        <f>IFERROR(__xludf.DUMMYFUNCTION("""COMPUTED_VALUE"""),305.9560994560995)</f>
        <v>305.9560995</v>
      </c>
      <c r="U420" s="30">
        <f>IFERROR(__xludf.DUMMYFUNCTION("""COMPUTED_VALUE"""),0.6386946386946387)</f>
        <v>0.6386946387</v>
      </c>
      <c r="V420" s="30">
        <f>IFERROR(__xludf.DUMMYFUNCTION("""COMPUTED_VALUE"""),0.45143745143745145)</f>
        <v>0.4514374514</v>
      </c>
      <c r="W420" s="30">
        <f>IFERROR(__xludf.DUMMYFUNCTION("""COMPUTED_VALUE"""),1.259129759129759)</f>
        <v>1.259129759</v>
      </c>
      <c r="X420" s="30">
        <f>IFERROR(__xludf.DUMMYFUNCTION("""COMPUTED_VALUE"""),2.343822843822844)</f>
        <v>2.343822844</v>
      </c>
      <c r="Y420" s="30">
        <f>IFERROR(__xludf.DUMMYFUNCTION("""COMPUTED_VALUE"""),372.04649054649053)</f>
        <v>372.0464905</v>
      </c>
      <c r="Z420" s="30">
        <f>IFERROR(__xludf.DUMMYFUNCTION("""COMPUTED_VALUE"""),0.8646723646723646)</f>
        <v>0.8646723647</v>
      </c>
      <c r="AA420" s="30">
        <f>IFERROR(__xludf.DUMMYFUNCTION("""COMPUTED_VALUE"""),0.5964775964775965)</f>
        <v>0.5964775965</v>
      </c>
      <c r="AB420" s="30">
        <f>IFERROR(__xludf.DUMMYFUNCTION("""COMPUTED_VALUE"""),1.415954415954416)</f>
        <v>1.415954416</v>
      </c>
      <c r="AC420" s="30">
        <f>IFERROR(__xludf.DUMMYFUNCTION("""COMPUTED_VALUE"""),2.7733747733747727)</f>
        <v>2.773374773</v>
      </c>
      <c r="AD420" s="30">
        <f>IFERROR(__xludf.DUMMYFUNCTION("""COMPUTED_VALUE"""),1.010626385556553)</f>
        <v>1.010626386</v>
      </c>
      <c r="AE420" s="30">
        <f>IFERROR(__xludf.DUMMYFUNCTION("""COMPUTED_VALUE"""),0.5782537067545305)</f>
        <v>0.5782537068</v>
      </c>
      <c r="AF420" s="30">
        <f>IFERROR(__xludf.DUMMYFUNCTION("""COMPUTED_VALUE"""),2.5147633521493704)</f>
        <v>2.514763352</v>
      </c>
      <c r="AG420" s="30">
        <f>IFERROR(__xludf.DUMMYFUNCTION("""COMPUTED_VALUE"""),0.7062374245472837)</f>
        <v>0.7062374245</v>
      </c>
      <c r="AH420" s="30">
        <f>IFERROR(__xludf.DUMMYFUNCTION("""COMPUTED_VALUE"""),0.9014288382517746)</f>
        <v>0.9014288383</v>
      </c>
      <c r="AI420" s="30">
        <f>IFERROR(__xludf.DUMMYFUNCTION("""COMPUTED_VALUE"""),0.8290949816578648)</f>
        <v>0.8290949817</v>
      </c>
      <c r="AJ420" s="30">
        <f>IFERROR(__xludf.DUMMYFUNCTION("""COMPUTED_VALUE"""),0.26094890510948904)</f>
        <v>0.2609489051</v>
      </c>
      <c r="AK420" s="30">
        <f>IFERROR(__xludf.DUMMYFUNCTION("""COMPUTED_VALUE"""),0.36919104991394147)</f>
        <v>0.3691910499</v>
      </c>
      <c r="AL420" s="30">
        <f>IFERROR(__xludf.DUMMYFUNCTION("""COMPUTED_VALUE"""),1.1912989817957422)</f>
        <v>1.191298982</v>
      </c>
      <c r="AM420" s="30">
        <f>IFERROR(__xludf.DUMMYFUNCTION("""COMPUTED_VALUE"""),1.1377424167081056)</f>
        <v>1.137742417</v>
      </c>
      <c r="AN420" s="30">
        <f>IFERROR(__xludf.DUMMYFUNCTION("""COMPUTED_VALUE"""),1.1093378929378666)</f>
        <v>1.109337893</v>
      </c>
      <c r="AO420" s="30">
        <f>IFERROR(__xludf.DUMMYFUNCTION("""COMPUTED_VALUE"""),0.6805867306882522)</f>
        <v>0.6805867307</v>
      </c>
      <c r="AP420" s="30">
        <f>IFERROR(__xludf.DUMMYFUNCTION("""COMPUTED_VALUE"""),2.678457204929577)</f>
        <v>2.678457205</v>
      </c>
      <c r="AQ420" s="30">
        <f>IFERROR(__xludf.DUMMYFUNCTION("""COMPUTED_VALUE"""),0.7631052815998617)</f>
        <v>0.7631052816</v>
      </c>
      <c r="AR420" s="30">
        <f>IFERROR(__xludf.DUMMYFUNCTION("""COMPUTED_VALUE"""),1.003876734861358)</f>
        <v>1.003876735</v>
      </c>
      <c r="AS420" s="30">
        <f>IFERROR(__xludf.DUMMYFUNCTION("""COMPUTED_VALUE"""),4.0)</f>
        <v>4</v>
      </c>
      <c r="AT420" s="30">
        <f>IFERROR(__xludf.DUMMYFUNCTION("""COMPUTED_VALUE"""),0.8585482796624491)</f>
        <v>0.8585482797</v>
      </c>
      <c r="AU420" s="30">
        <f>IFERROR(__xludf.DUMMYFUNCTION("""COMPUTED_VALUE"""),3.1423191619302897)</f>
        <v>3.142319162</v>
      </c>
      <c r="AV420" s="32">
        <f>IFERROR(__xludf.DUMMYFUNCTION("""COMPUTED_VALUE"""),90.48385066212562)</f>
        <v>90.48385066</v>
      </c>
      <c r="AW420" s="32">
        <f>IFERROR(__xludf.DUMMYFUNCTION("""COMPUTED_VALUE"""),18.980534159102206)</f>
        <v>18.98053416</v>
      </c>
      <c r="AX420" s="32">
        <f>IFERROR(__xludf.DUMMYFUNCTION("""COMPUTED_VALUE"""),65.60491407171332)</f>
        <v>65.60491407</v>
      </c>
      <c r="AY420" s="32">
        <f>IFERROR(__xludf.DUMMYFUNCTION("""COMPUTED_VALUE"""),3.7558790972315763)</f>
        <v>3.755879097</v>
      </c>
      <c r="AZ420" s="30">
        <f>IFERROR(__xludf.DUMMYFUNCTION("""COMPUTED_VALUE"""),15.22465506187063)</f>
        <v>15.22465506</v>
      </c>
      <c r="BA420" s="30">
        <f>IFERROR(__xludf.DUMMYFUNCTION("""COMPUTED_VALUE"""),1700.0)</f>
        <v>1700</v>
      </c>
    </row>
    <row r="421">
      <c r="A421" s="71" t="str">
        <f>IFERROR(__xludf.DUMMYFUNCTION("""COMPUTED_VALUE"""),"Rival")</f>
        <v>Rival</v>
      </c>
      <c r="B421" s="71" t="str">
        <f>IFERROR(__xludf.DUMMYFUNCTION("""COMPUTED_VALUE"""),"RSC000331")</f>
        <v>RSC000331</v>
      </c>
      <c r="C421" s="30" t="str">
        <f>IFERROR(__xludf.DUMMYFUNCTION("""COMPUTED_VALUE"""),"Turtle_Supreme")</f>
        <v>Turtle_Supreme</v>
      </c>
      <c r="D421" s="30"/>
      <c r="E421" s="30">
        <f>IFERROR(__xludf.DUMMYFUNCTION("""COMPUTED_VALUE"""),20.0)</f>
        <v>20</v>
      </c>
      <c r="F421" s="30">
        <f>IFERROR(__xludf.DUMMYFUNCTION("""COMPUTED_VALUE"""),5.0)</f>
        <v>5</v>
      </c>
      <c r="G421" s="42">
        <f>IFERROR(__xludf.DUMMYFUNCTION("""COMPUTED_VALUE"""),15.0)</f>
        <v>15</v>
      </c>
      <c r="H421" s="42">
        <f>IFERROR(__xludf.DUMMYFUNCTION("""COMPUTED_VALUE"""),0.25)</f>
        <v>0.25</v>
      </c>
      <c r="I421" s="42">
        <f>IFERROR(__xludf.DUMMYFUNCTION("""COMPUTED_VALUE"""),0.13513513513513511)</f>
        <v>0.1351351351</v>
      </c>
      <c r="J421" s="30">
        <f>IFERROR(__xludf.DUMMYFUNCTION("""COMPUTED_VALUE"""),293.95)</f>
        <v>293.95</v>
      </c>
      <c r="K421" s="30">
        <f>IFERROR(__xludf.DUMMYFUNCTION("""COMPUTED_VALUE"""),0.25)</f>
        <v>0.25</v>
      </c>
      <c r="L421" s="30">
        <f>IFERROR(__xludf.DUMMYFUNCTION("""COMPUTED_VALUE"""),0.4)</f>
        <v>0.4</v>
      </c>
      <c r="M421" s="30">
        <f>IFERROR(__xludf.DUMMYFUNCTION("""COMPUTED_VALUE"""),1.5)</f>
        <v>1.5</v>
      </c>
      <c r="N421" s="30">
        <f>IFERROR(__xludf.DUMMYFUNCTION("""COMPUTED_VALUE"""),1.85)</f>
        <v>1.85</v>
      </c>
      <c r="O421" s="30">
        <f>IFERROR(__xludf.DUMMYFUNCTION("""COMPUTED_VALUE"""),375.6333333333333)</f>
        <v>375.6333333</v>
      </c>
      <c r="P421" s="30">
        <f>IFERROR(__xludf.DUMMYFUNCTION("""COMPUTED_VALUE"""),0.9)</f>
        <v>0.9</v>
      </c>
      <c r="Q421" s="30">
        <f>IFERROR(__xludf.DUMMYFUNCTION("""COMPUTED_VALUE"""),0.6666666666666666)</f>
        <v>0.6666666667</v>
      </c>
      <c r="R421" s="30">
        <f>IFERROR(__xludf.DUMMYFUNCTION("""COMPUTED_VALUE"""),1.2500000000000002)</f>
        <v>1.25</v>
      </c>
      <c r="S421" s="30">
        <f>IFERROR(__xludf.DUMMYFUNCTION("""COMPUTED_VALUE"""),3.1333333333333337)</f>
        <v>3.133333333</v>
      </c>
      <c r="T421" s="30">
        <f>IFERROR(__xludf.DUMMYFUNCTION("""COMPUTED_VALUE"""),362.31239903419157)</f>
        <v>362.312399</v>
      </c>
      <c r="U421" s="30">
        <f>IFERROR(__xludf.DUMMYFUNCTION("""COMPUTED_VALUE"""),0.8800133473871202)</f>
        <v>0.8800133474</v>
      </c>
      <c r="V421" s="30">
        <f>IFERROR(__xludf.DUMMYFUNCTION("""COMPUTED_VALUE"""),0.5941569098338342)</f>
        <v>0.5941569098</v>
      </c>
      <c r="W421" s="30">
        <f>IFERROR(__xludf.DUMMYFUNCTION("""COMPUTED_VALUE"""),1.3601973400167138)</f>
        <v>1.36019734</v>
      </c>
      <c r="X421" s="30">
        <f>IFERROR(__xludf.DUMMYFUNCTION("""COMPUTED_VALUE"""),2.6950578017136055)</f>
        <v>2.695057802</v>
      </c>
      <c r="Y421" s="30">
        <f>IFERROR(__xludf.DUMMYFUNCTION("""COMPUTED_VALUE"""),339.98028874099043)</f>
        <v>339.9802887</v>
      </c>
      <c r="Z421" s="30">
        <f>IFERROR(__xludf.DUMMYFUNCTION("""COMPUTED_VALUE"""),0.7474218973276223)</f>
        <v>0.7474218973</v>
      </c>
      <c r="AA421" s="30">
        <f>IFERROR(__xludf.DUMMYFUNCTION("""COMPUTED_VALUE"""),0.5409255918687725)</f>
        <v>0.5409255919</v>
      </c>
      <c r="AB421" s="30">
        <f>IFERROR(__xludf.DUMMYFUNCTION("""COMPUTED_VALUE"""),1.301394832910797)</f>
        <v>1.301394833</v>
      </c>
      <c r="AC421" s="30">
        <f>IFERROR(__xludf.DUMMYFUNCTION("""COMPUTED_VALUE"""),2.5873357226459794)</f>
        <v>2.587335723</v>
      </c>
      <c r="AD421" s="30">
        <f>IFERROR(__xludf.DUMMYFUNCTION("""COMPUTED_VALUE"""),0.8646089486203772)</f>
        <v>0.8646089486</v>
      </c>
      <c r="AE421" s="30">
        <f>IFERROR(__xludf.DUMMYFUNCTION("""COMPUTED_VALUE"""),0.3344831090631211)</f>
        <v>0.3344831091</v>
      </c>
      <c r="AF421" s="30">
        <f>IFERROR(__xludf.DUMMYFUNCTION("""COMPUTED_VALUE"""),0.7394732399665039)</f>
        <v>0.73947324</v>
      </c>
      <c r="AG421" s="30">
        <f>IFERROR(__xludf.DUMMYFUNCTION("""COMPUTED_VALUE"""),1.1526094633747608)</f>
        <v>1.152609463</v>
      </c>
      <c r="AH421" s="30">
        <f>IFERROR(__xludf.DUMMYFUNCTION("""COMPUTED_VALUE"""),0.715021241274429)</f>
        <v>0.7150212413</v>
      </c>
      <c r="AI421" s="30">
        <f>IFERROR(__xludf.DUMMYFUNCTION("""COMPUTED_VALUE"""),1.036766432323738)</f>
        <v>1.036766432</v>
      </c>
      <c r="AJ421" s="30">
        <f>IFERROR(__xludf.DUMMYFUNCTION("""COMPUTED_VALUE"""),1.0227117607616099)</f>
        <v>1.022711761</v>
      </c>
      <c r="AK421" s="30">
        <f>IFERROR(__xludf.DUMMYFUNCTION("""COMPUTED_VALUE"""),1.1220380603721516)</f>
        <v>1.12203806</v>
      </c>
      <c r="AL421" s="30">
        <f>IFERROR(__xludf.DUMMYFUNCTION("""COMPUTED_VALUE"""),0.918984299722745)</f>
        <v>0.9189842997</v>
      </c>
      <c r="AM421" s="30">
        <f>IFERROR(__xludf.DUMMYFUNCTION("""COMPUTED_VALUE"""),1.1626219412960488)</f>
        <v>1.162621941</v>
      </c>
      <c r="AN421" s="30">
        <f>IFERROR(__xludf.DUMMYFUNCTION("""COMPUTED_VALUE"""),0.8672603022050155)</f>
        <v>0.8672603022</v>
      </c>
      <c r="AO421" s="30">
        <f>IFERROR(__xludf.DUMMYFUNCTION("""COMPUTED_VALUE"""),0.3402933653441261)</f>
        <v>0.3402933653</v>
      </c>
      <c r="AP421" s="30">
        <f>IFERROR(__xludf.DUMMYFUNCTION("""COMPUTED_VALUE"""),0.7142552546478873)</f>
        <v>0.7142552546</v>
      </c>
      <c r="AQ421" s="30">
        <f>IFERROR(__xludf.DUMMYFUNCTION("""COMPUTED_VALUE"""),1.1446579223997926)</f>
        <v>1.144657922</v>
      </c>
      <c r="AR421" s="30">
        <f>IFERROR(__xludf.DUMMYFUNCTION("""COMPUTED_VALUE"""),0.742868783797405)</f>
        <v>0.7428687838</v>
      </c>
      <c r="AS421" s="30">
        <f>IFERROR(__xludf.DUMMYFUNCTION("""COMPUTED_VALUE"""),28.0)</f>
        <v>28</v>
      </c>
      <c r="AT421" s="30">
        <f>IFERROR(__xludf.DUMMYFUNCTION("""COMPUTED_VALUE"""),0.2719670917600866)</f>
        <v>0.2719670918</v>
      </c>
      <c r="AU421" s="30">
        <f>IFERROR(__xludf.DUMMYFUNCTION("""COMPUTED_VALUE"""),0.8332346983049379)</f>
        <v>0.8332346983</v>
      </c>
      <c r="AV421" s="32">
        <f>IFERROR(__xludf.DUMMYFUNCTION("""COMPUTED_VALUE"""),8.917590903757151)</f>
        <v>8.917590904</v>
      </c>
      <c r="AW421" s="32">
        <f>IFERROR(__xludf.DUMMYFUNCTION("""COMPUTED_VALUE"""),-19.935880174404897)</f>
        <v>-19.93588017</v>
      </c>
      <c r="AX421" s="32">
        <f>IFERROR(__xludf.DUMMYFUNCTION("""COMPUTED_VALUE"""),21.172946128703746)</f>
        <v>21.17294613</v>
      </c>
      <c r="AY421" s="32">
        <f>IFERROR(__xludf.DUMMYFUNCTION("""COMPUTED_VALUE"""),-8.03610895498965)</f>
        <v>-8.036108955</v>
      </c>
      <c r="AZ421" s="30">
        <f>IFERROR(__xludf.DUMMYFUNCTION("""COMPUTED_VALUE"""),11.899771219415246)</f>
        <v>11.89977122</v>
      </c>
      <c r="BA421" s="30">
        <f>IFERROR(__xludf.DUMMYFUNCTION("""COMPUTED_VALUE"""),1700.0)</f>
        <v>1700</v>
      </c>
    </row>
    <row r="422">
      <c r="A422" s="71" t="str">
        <f>IFERROR(__xludf.DUMMYFUNCTION("""COMPUTED_VALUE"""),"Rival")</f>
        <v>Rival</v>
      </c>
      <c r="B422" s="71" t="str">
        <f>IFERROR(__xludf.DUMMYFUNCTION("""COMPUTED_VALUE"""),"RSC005691")</f>
        <v>RSC005691</v>
      </c>
      <c r="C422" s="30" t="str">
        <f>IFERROR(__xludf.DUMMYFUNCTION("""COMPUTED_VALUE"""),"Dr.Ukulele")</f>
        <v>Dr.Ukulele</v>
      </c>
      <c r="D422" s="30" t="str">
        <f>IFERROR(__xludf.DUMMYFUNCTION("""COMPUTED_VALUE"""),"Hot Wings")</f>
        <v>Hot Wings</v>
      </c>
      <c r="E422" s="30">
        <f>IFERROR(__xludf.DUMMYFUNCTION("""COMPUTED_VALUE"""),35.0)</f>
        <v>35</v>
      </c>
      <c r="F422" s="30">
        <f>IFERROR(__xludf.DUMMYFUNCTION("""COMPUTED_VALUE"""),26.0)</f>
        <v>26</v>
      </c>
      <c r="G422" s="42">
        <f>IFERROR(__xludf.DUMMYFUNCTION("""COMPUTED_VALUE"""),9.0)</f>
        <v>9</v>
      </c>
      <c r="H422" s="42">
        <f>IFERROR(__xludf.DUMMYFUNCTION("""COMPUTED_VALUE"""),0.7428571428571429)</f>
        <v>0.7428571429</v>
      </c>
      <c r="I422" s="42">
        <f>IFERROR(__xludf.DUMMYFUNCTION("""COMPUTED_VALUE"""),0.35454545454545455)</f>
        <v>0.3545454545</v>
      </c>
      <c r="J422" s="30">
        <f>IFERROR(__xludf.DUMMYFUNCTION("""COMPUTED_VALUE"""),401.14285714285717)</f>
        <v>401.1428571</v>
      </c>
      <c r="K422" s="30">
        <f>IFERROR(__xludf.DUMMYFUNCTION("""COMPUTED_VALUE"""),1.1142857142857143)</f>
        <v>1.114285714</v>
      </c>
      <c r="L422" s="30">
        <f>IFERROR(__xludf.DUMMYFUNCTION("""COMPUTED_VALUE"""),0.6857142857142857)</f>
        <v>0.6857142857</v>
      </c>
      <c r="M422" s="30">
        <f>IFERROR(__xludf.DUMMYFUNCTION("""COMPUTED_VALUE"""),1.5142857142857142)</f>
        <v>1.514285714</v>
      </c>
      <c r="N422" s="30">
        <f>IFERROR(__xludf.DUMMYFUNCTION("""COMPUTED_VALUE"""),3.142857142857143)</f>
        <v>3.142857143</v>
      </c>
      <c r="O422" s="30">
        <f>IFERROR(__xludf.DUMMYFUNCTION("""COMPUTED_VALUE"""),326.0666666666666)</f>
        <v>326.0666667</v>
      </c>
      <c r="P422" s="30">
        <f>IFERROR(__xludf.DUMMYFUNCTION("""COMPUTED_VALUE"""),0.6761904761904762)</f>
        <v>0.6761904762</v>
      </c>
      <c r="Q422" s="30">
        <f>IFERROR(__xludf.DUMMYFUNCTION("""COMPUTED_VALUE"""),0.40952380952380957)</f>
        <v>0.4095238095</v>
      </c>
      <c r="R422" s="30">
        <f>IFERROR(__xludf.DUMMYFUNCTION("""COMPUTED_VALUE"""),1.4761904761904763)</f>
        <v>1.476190476</v>
      </c>
      <c r="S422" s="30">
        <f>IFERROR(__xludf.DUMMYFUNCTION("""COMPUTED_VALUE"""),2.466666666666667)</f>
        <v>2.466666667</v>
      </c>
      <c r="T422" s="30">
        <f>IFERROR(__xludf.DUMMYFUNCTION("""COMPUTED_VALUE"""),341.01977404028787)</f>
        <v>341.019774</v>
      </c>
      <c r="U422" s="30">
        <f>IFERROR(__xludf.DUMMYFUNCTION("""COMPUTED_VALUE"""),0.7844474429983286)</f>
        <v>0.784447443</v>
      </c>
      <c r="V422" s="30">
        <f>IFERROR(__xludf.DUMMYFUNCTION("""COMPUTED_VALUE"""),0.5203796268441949)</f>
        <v>0.5203796268</v>
      </c>
      <c r="W422" s="30">
        <f>IFERROR(__xludf.DUMMYFUNCTION("""COMPUTED_VALUE"""),1.3183226706212803)</f>
        <v>1.318322671</v>
      </c>
      <c r="X422" s="30">
        <f>IFERROR(__xludf.DUMMYFUNCTION("""COMPUTED_VALUE"""),2.5568275346313465)</f>
        <v>2.556827535</v>
      </c>
      <c r="Y422" s="30">
        <f>IFERROR(__xludf.DUMMYFUNCTION("""COMPUTED_VALUE"""),350.25738088664707)</f>
        <v>350.2573809</v>
      </c>
      <c r="Z422" s="30">
        <f>IFERROR(__xludf.DUMMYFUNCTION("""COMPUTED_VALUE"""),0.8206575225870799)</f>
        <v>0.8206575226</v>
      </c>
      <c r="AA422" s="30">
        <f>IFERROR(__xludf.DUMMYFUNCTION("""COMPUTED_VALUE"""),0.6009694618104028)</f>
        <v>0.6009694618</v>
      </c>
      <c r="AB422" s="30">
        <f>IFERROR(__xludf.DUMMYFUNCTION("""COMPUTED_VALUE"""),1.2983939126635484)</f>
        <v>1.298393913</v>
      </c>
      <c r="AC422" s="30">
        <f>IFERROR(__xludf.DUMMYFUNCTION("""COMPUTED_VALUE"""),2.630751644881071)</f>
        <v>2.630751645</v>
      </c>
      <c r="AD422" s="30">
        <f>IFERROR(__xludf.DUMMYFUNCTION("""COMPUTED_VALUE"""),1.1452802397122877)</f>
        <v>1.14528024</v>
      </c>
      <c r="AE422" s="30">
        <f>IFERROR(__xludf.DUMMYFUNCTION("""COMPUTED_VALUE"""),1.35779625923977)</f>
        <v>1.357796259</v>
      </c>
      <c r="AF422" s="30">
        <f>IFERROR(__xludf.DUMMYFUNCTION("""COMPUTED_VALUE"""),1.1410135277899007)</f>
        <v>1.141013528</v>
      </c>
      <c r="AG422" s="30">
        <f>IFERROR(__xludf.DUMMYFUNCTION("""COMPUTED_VALUE"""),1.1662760426681926)</f>
        <v>1.166276043</v>
      </c>
      <c r="AH422" s="30">
        <f>IFERROR(__xludf.DUMMYFUNCTION("""COMPUTED_VALUE"""),1.1946612858619814)</f>
        <v>1.194661286</v>
      </c>
      <c r="AI422" s="30">
        <f>IFERROR(__xludf.DUMMYFUNCTION("""COMPUTED_VALUE"""),0.9561517879257796)</f>
        <v>0.9561517879</v>
      </c>
      <c r="AJ422" s="30">
        <f>IFERROR(__xludf.DUMMYFUNCTION("""COMPUTED_VALUE"""),0.8619958956153)</f>
        <v>0.8619958956</v>
      </c>
      <c r="AK422" s="30">
        <f>IFERROR(__xludf.DUMMYFUNCTION("""COMPUTED_VALUE"""),0.7869712579013469)</f>
        <v>0.7869712579</v>
      </c>
      <c r="AL422" s="30">
        <f>IFERROR(__xludf.DUMMYFUNCTION("""COMPUTED_VALUE"""),1.1197489879278177)</f>
        <v>1.119748988</v>
      </c>
      <c r="AM422" s="30">
        <f>IFERROR(__xludf.DUMMYFUNCTION("""COMPUTED_VALUE"""),0.9647372117424887)</f>
        <v>0.9647372117</v>
      </c>
      <c r="AN422" s="30">
        <f>IFERROR(__xludf.DUMMYFUNCTION("""COMPUTED_VALUE"""),1.183518542313651)</f>
        <v>1.183518542</v>
      </c>
      <c r="AO422" s="30">
        <f>IFERROR(__xludf.DUMMYFUNCTION("""COMPUTED_VALUE"""),1.5167361426766761)</f>
        <v>1.516736143</v>
      </c>
      <c r="AP422" s="30">
        <f>IFERROR(__xludf.DUMMYFUNCTION("""COMPUTED_VALUE"""),1.2244375793963782)</f>
        <v>1.224437579</v>
      </c>
      <c r="AQ422" s="30">
        <f>IFERROR(__xludf.DUMMYFUNCTION("""COMPUTED_VALUE"""),1.1555594264226476)</f>
        <v>1.155559426</v>
      </c>
      <c r="AR422" s="30">
        <f>IFERROR(__xludf.DUMMYFUNCTION("""COMPUTED_VALUE"""),1.2620164666828502)</f>
        <v>1.262016467</v>
      </c>
      <c r="AS422" s="30">
        <f>IFERROR(__xludf.DUMMYFUNCTION("""COMPUTED_VALUE"""),111.0)</f>
        <v>111</v>
      </c>
      <c r="AT422" s="30">
        <f>IFERROR(__xludf.DUMMYFUNCTION("""COMPUTED_VALUE"""),0.6719955116114291)</f>
        <v>0.6719955116</v>
      </c>
      <c r="AU422" s="30">
        <f>IFERROR(__xludf.DUMMYFUNCTION("""COMPUTED_VALUE"""),3.0560808338530743)</f>
        <v>3.056080834</v>
      </c>
      <c r="AV422" s="32">
        <f>IFERROR(__xludf.DUMMYFUNCTION("""COMPUTED_VALUE"""),87.43756197936791)</f>
        <v>87.43756198</v>
      </c>
      <c r="AW422" s="32">
        <f>IFERROR(__xludf.DUMMYFUNCTION("""COMPUTED_VALUE"""),14.8961853949002)</f>
        <v>14.89618539</v>
      </c>
      <c r="AX422" s="32">
        <f>IFERROR(__xludf.DUMMYFUNCTION("""COMPUTED_VALUE"""),62.63780384035386)</f>
        <v>62.63780384</v>
      </c>
      <c r="AY422" s="32">
        <f>IFERROR(__xludf.DUMMYFUNCTION("""COMPUTED_VALUE"""),3.261583048686114)</f>
        <v>3.261583049</v>
      </c>
      <c r="AZ422" s="30">
        <f>IFERROR(__xludf.DUMMYFUNCTION("""COMPUTED_VALUE"""),11.634602346214086)</f>
        <v>11.63460235</v>
      </c>
      <c r="BA422" s="30">
        <f>IFERROR(__xludf.DUMMYFUNCTION("""COMPUTED_VALUE"""),1700.0)</f>
        <v>1700</v>
      </c>
    </row>
    <row r="423">
      <c r="A423" s="71" t="str">
        <f>IFERROR(__xludf.DUMMYFUNCTION("""COMPUTED_VALUE"""),"Rival")</f>
        <v>Rival</v>
      </c>
      <c r="B423" s="71" t="str">
        <f>IFERROR(__xludf.DUMMYFUNCTION("""COMPUTED_VALUE"""),"RSC007213")</f>
        <v>RSC007213</v>
      </c>
      <c r="C423" s="30" t="str">
        <f>IFERROR(__xludf.DUMMYFUNCTION("""COMPUTED_VALUE"""),"Pythronex")</f>
        <v>Pythronex</v>
      </c>
      <c r="D423" s="30"/>
      <c r="E423" s="30">
        <f>IFERROR(__xludf.DUMMYFUNCTION("""COMPUTED_VALUE"""),4.0)</f>
        <v>4</v>
      </c>
      <c r="F423" s="30">
        <f>IFERROR(__xludf.DUMMYFUNCTION("""COMPUTED_VALUE"""),0.0)</f>
        <v>0</v>
      </c>
      <c r="G423" s="42">
        <f>IFERROR(__xludf.DUMMYFUNCTION("""COMPUTED_VALUE"""),4.0)</f>
        <v>4</v>
      </c>
      <c r="H423" s="42">
        <f>IFERROR(__xludf.DUMMYFUNCTION("""COMPUTED_VALUE"""),0.0)</f>
        <v>0</v>
      </c>
      <c r="I423" s="42">
        <f>IFERROR(__xludf.DUMMYFUNCTION("""COMPUTED_VALUE"""),0.5)</f>
        <v>0.5</v>
      </c>
      <c r="J423" s="30">
        <f>IFERROR(__xludf.DUMMYFUNCTION("""COMPUTED_VALUE"""),308.75)</f>
        <v>308.75</v>
      </c>
      <c r="K423" s="30">
        <f>IFERROR(__xludf.DUMMYFUNCTION("""COMPUTED_VALUE"""),0.5)</f>
        <v>0.5</v>
      </c>
      <c r="L423" s="30">
        <f>IFERROR(__xludf.DUMMYFUNCTION("""COMPUTED_VALUE"""),0.25)</f>
        <v>0.25</v>
      </c>
      <c r="M423" s="30">
        <f>IFERROR(__xludf.DUMMYFUNCTION("""COMPUTED_VALUE"""),2.0)</f>
        <v>2</v>
      </c>
      <c r="N423" s="30">
        <f>IFERROR(__xludf.DUMMYFUNCTION("""COMPUTED_VALUE"""),1.0)</f>
        <v>1</v>
      </c>
      <c r="O423" s="30">
        <f>IFERROR(__xludf.DUMMYFUNCTION("""COMPUTED_VALUE"""),349.83333333333337)</f>
        <v>349.8333333</v>
      </c>
      <c r="P423" s="30">
        <f>IFERROR(__xludf.DUMMYFUNCTION("""COMPUTED_VALUE"""),1.1666666666666665)</f>
        <v>1.166666667</v>
      </c>
      <c r="Q423" s="30">
        <f>IFERROR(__xludf.DUMMYFUNCTION("""COMPUTED_VALUE"""),0.6666666666666666)</f>
        <v>0.6666666667</v>
      </c>
      <c r="R423" s="30">
        <f>IFERROR(__xludf.DUMMYFUNCTION("""COMPUTED_VALUE"""),0.6666666666666666)</f>
        <v>0.6666666667</v>
      </c>
      <c r="S423" s="30">
        <f>IFERROR(__xludf.DUMMYFUNCTION("""COMPUTED_VALUE"""),3.3333333333333335)</f>
        <v>3.333333333</v>
      </c>
      <c r="T423" s="30">
        <f>IFERROR(__xludf.DUMMYFUNCTION("""COMPUTED_VALUE"""),353.56560598377285)</f>
        <v>353.565606</v>
      </c>
      <c r="U423" s="30">
        <f>IFERROR(__xludf.DUMMYFUNCTION("""COMPUTED_VALUE"""),0.9414722785665991)</f>
        <v>0.9414722786</v>
      </c>
      <c r="V423" s="30">
        <f>IFERROR(__xludf.DUMMYFUNCTION("""COMPUTED_VALUE"""),0.6689063556457066)</f>
        <v>0.6689063556</v>
      </c>
      <c r="W423" s="30">
        <f>IFERROR(__xludf.DUMMYFUNCTION("""COMPUTED_VALUE"""),1.0672963150777552)</f>
        <v>1.067296315</v>
      </c>
      <c r="X423" s="30">
        <f>IFERROR(__xludf.DUMMYFUNCTION("""COMPUTED_VALUE"""),2.8623859026369174)</f>
        <v>2.862385903</v>
      </c>
      <c r="Y423" s="30">
        <f>IFERROR(__xludf.DUMMYFUNCTION("""COMPUTED_VALUE"""),316.48449121027716)</f>
        <v>316.4844912</v>
      </c>
      <c r="Z423" s="30">
        <f>IFERROR(__xludf.DUMMYFUNCTION("""COMPUTED_VALUE"""),0.5832065584854632)</f>
        <v>0.5832065585</v>
      </c>
      <c r="AA423" s="30">
        <f>IFERROR(__xludf.DUMMYFUNCTION("""COMPUTED_VALUE"""),0.4178921568627451)</f>
        <v>0.4178921569</v>
      </c>
      <c r="AB423" s="30">
        <f>IFERROR(__xludf.DUMMYFUNCTION("""COMPUTED_VALUE"""),1.4086164638269103)</f>
        <v>1.408616464</v>
      </c>
      <c r="AC423" s="30">
        <f>IFERROR(__xludf.DUMMYFUNCTION("""COMPUTED_VALUE"""),2.0906862745098045)</f>
        <v>2.090686275</v>
      </c>
      <c r="AD423" s="30">
        <f>IFERROR(__xludf.DUMMYFUNCTION("""COMPUTED_VALUE"""),0.9755612315134322)</f>
        <v>0.9755612315</v>
      </c>
      <c r="AE423" s="30">
        <f>IFERROR(__xludf.DUMMYFUNCTION("""COMPUTED_VALUE"""),0.8573291790449966)</f>
        <v>0.857329179</v>
      </c>
      <c r="AF423" s="30">
        <f>IFERROR(__xludf.DUMMYFUNCTION("""COMPUTED_VALUE"""),0.5982404692082112)</f>
        <v>0.5982404692</v>
      </c>
      <c r="AG423" s="30">
        <f>IFERROR(__xludf.DUMMYFUNCTION("""COMPUTED_VALUE"""),1.4198329008354955)</f>
        <v>1.419832901</v>
      </c>
      <c r="AH423" s="30">
        <f>IFERROR(__xludf.DUMMYFUNCTION("""COMPUTED_VALUE"""),0.4783118405627197)</f>
        <v>0.4783118406</v>
      </c>
      <c r="AI423" s="30">
        <f>IFERROR(__xludf.DUMMYFUNCTION("""COMPUTED_VALUE"""),0.9894439035152905)</f>
        <v>0.9894439035</v>
      </c>
      <c r="AJ423" s="30">
        <f>IFERROR(__xludf.DUMMYFUNCTION("""COMPUTED_VALUE"""),1.2391938596884957)</f>
        <v>1.23919386</v>
      </c>
      <c r="AK423" s="30">
        <f>IFERROR(__xludf.DUMMYFUNCTION("""COMPUTED_VALUE"""),0.9966517152062669)</f>
        <v>0.9966517152</v>
      </c>
      <c r="AL423" s="30">
        <f>IFERROR(__xludf.DUMMYFUNCTION("""COMPUTED_VALUE"""),0.6246312830360501)</f>
        <v>0.624631283</v>
      </c>
      <c r="AM423" s="30">
        <f>IFERROR(__xludf.DUMMYFUNCTION("""COMPUTED_VALUE"""),1.1645296779384515)</f>
        <v>1.164529678</v>
      </c>
      <c r="AN423" s="30">
        <f>IFERROR(__xludf.DUMMYFUNCTION("""COMPUTED_VALUE"""),0.9109257299057614)</f>
        <v>0.9109257299</v>
      </c>
      <c r="AO423" s="30">
        <f>IFERROR(__xludf.DUMMYFUNCTION("""COMPUTED_VALUE"""),0.6805867306882522)</f>
        <v>0.6805867307</v>
      </c>
      <c r="AP423" s="30">
        <f>IFERROR(__xludf.DUMMYFUNCTION("""COMPUTED_VALUE"""),0.44640953415492957)</f>
        <v>0.4464095342</v>
      </c>
      <c r="AQ423" s="30">
        <f>IFERROR(__xludf.DUMMYFUNCTION("""COMPUTED_VALUE"""),1.5262105631997234)</f>
        <v>1.526210563</v>
      </c>
      <c r="AR423" s="30">
        <f>IFERROR(__xludf.DUMMYFUNCTION("""COMPUTED_VALUE"""),0.40155069394454324)</f>
        <v>0.4015506939</v>
      </c>
      <c r="AS423" s="30">
        <f>IFERROR(__xludf.DUMMYFUNCTION("""COMPUTED_VALUE"""),4.0)</f>
        <v>4</v>
      </c>
      <c r="AT423" s="30">
        <f>IFERROR(__xludf.DUMMYFUNCTION("""COMPUTED_VALUE"""),0.1268570402323549)</f>
        <v>0.1268570402</v>
      </c>
      <c r="AU423" s="30">
        <f>IFERROR(__xludf.DUMMYFUNCTION("""COMPUTED_VALUE"""),0.9074951822615207)</f>
        <v>0.9074951823</v>
      </c>
      <c r="AV423" s="32">
        <f>IFERROR(__xludf.DUMMYFUNCTION("""COMPUTED_VALUE"""),11.540773389977176)</f>
        <v>11.54077339</v>
      </c>
      <c r="AW423" s="32">
        <f>IFERROR(__xludf.DUMMYFUNCTION("""COMPUTED_VALUE"""),-16.13444487729842)</f>
        <v>-16.13444488</v>
      </c>
      <c r="AX423" s="32">
        <f>IFERROR(__xludf.DUMMYFUNCTION("""COMPUTED_VALUE"""),27.9402704872351)</f>
        <v>27.94027049</v>
      </c>
      <c r="AY423" s="32">
        <f>IFERROR(__xludf.DUMMYFUNCTION("""COMPUTED_VALUE"""),-5.2970817361722276)</f>
        <v>-5.297081736</v>
      </c>
      <c r="AZ423" s="30">
        <f>IFERROR(__xludf.DUMMYFUNCTION("""COMPUTED_VALUE"""),10.837363141126193)</f>
        <v>10.83736314</v>
      </c>
      <c r="BA423" s="30">
        <f>IFERROR(__xludf.DUMMYFUNCTION("""COMPUTED_VALUE"""),1700.0)</f>
        <v>1700</v>
      </c>
    </row>
    <row r="424">
      <c r="A424" s="71" t="str">
        <f>IFERROR(__xludf.DUMMYFUNCTION("""COMPUTED_VALUE"""),"Rival")</f>
        <v>Rival</v>
      </c>
      <c r="B424" s="71" t="str">
        <f>IFERROR(__xludf.DUMMYFUNCTION("""COMPUTED_VALUE"""),"RSC005287")</f>
        <v>RSC005287</v>
      </c>
      <c r="C424" s="30" t="str">
        <f>IFERROR(__xludf.DUMMYFUNCTION("""COMPUTED_VALUE"""),"the chosen one")</f>
        <v>the chosen one</v>
      </c>
      <c r="D424" s="30" t="str">
        <f>IFERROR(__xludf.DUMMYFUNCTION("""COMPUTED_VALUE"""),"Asiago Arsonists")</f>
        <v>Asiago Arsonists</v>
      </c>
      <c r="E424" s="30">
        <f>IFERROR(__xludf.DUMMYFUNCTION("""COMPUTED_VALUE"""),36.0)</f>
        <v>36</v>
      </c>
      <c r="F424" s="30">
        <f>IFERROR(__xludf.DUMMYFUNCTION("""COMPUTED_VALUE"""),18.0)</f>
        <v>18</v>
      </c>
      <c r="G424" s="42">
        <f>IFERROR(__xludf.DUMMYFUNCTION("""COMPUTED_VALUE"""),18.0)</f>
        <v>18</v>
      </c>
      <c r="H424" s="42">
        <f>IFERROR(__xludf.DUMMYFUNCTION("""COMPUTED_VALUE"""),0.5)</f>
        <v>0.5</v>
      </c>
      <c r="I424" s="42">
        <f>IFERROR(__xludf.DUMMYFUNCTION("""COMPUTED_VALUE"""),0.2727272727272727)</f>
        <v>0.2727272727</v>
      </c>
      <c r="J424" s="30">
        <f>IFERROR(__xludf.DUMMYFUNCTION("""COMPUTED_VALUE"""),412.8333333333333)</f>
        <v>412.8333333</v>
      </c>
      <c r="K424" s="30">
        <f>IFERROR(__xludf.DUMMYFUNCTION("""COMPUTED_VALUE"""),0.75)</f>
        <v>0.75</v>
      </c>
      <c r="L424" s="30">
        <f>IFERROR(__xludf.DUMMYFUNCTION("""COMPUTED_VALUE"""),0.7222222222222222)</f>
        <v>0.7222222222</v>
      </c>
      <c r="M424" s="30">
        <f>IFERROR(__xludf.DUMMYFUNCTION("""COMPUTED_VALUE"""),1.4722222222222223)</f>
        <v>1.472222222</v>
      </c>
      <c r="N424" s="30">
        <f>IFERROR(__xludf.DUMMYFUNCTION("""COMPUTED_VALUE"""),2.75)</f>
        <v>2.75</v>
      </c>
      <c r="O424" s="30">
        <f>IFERROR(__xludf.DUMMYFUNCTION("""COMPUTED_VALUE"""),324.6944444444444)</f>
        <v>324.6944444</v>
      </c>
      <c r="P424" s="30">
        <f>IFERROR(__xludf.DUMMYFUNCTION("""COMPUTED_VALUE"""),0.6666666666666666)</f>
        <v>0.6666666667</v>
      </c>
      <c r="Q424" s="30">
        <f>IFERROR(__xludf.DUMMYFUNCTION("""COMPUTED_VALUE"""),0.5092592592592593)</f>
        <v>0.5092592593</v>
      </c>
      <c r="R424" s="30">
        <f>IFERROR(__xludf.DUMMYFUNCTION("""COMPUTED_VALUE"""),1.1851851851851853)</f>
        <v>1.185185185</v>
      </c>
      <c r="S424" s="30">
        <f>IFERROR(__xludf.DUMMYFUNCTION("""COMPUTED_VALUE"""),2.2314814814814814)</f>
        <v>2.231481481</v>
      </c>
      <c r="T424" s="30">
        <f>IFERROR(__xludf.DUMMYFUNCTION("""COMPUTED_VALUE"""),335.3573369127331)</f>
        <v>335.3573369</v>
      </c>
      <c r="U424" s="30">
        <f>IFERROR(__xludf.DUMMYFUNCTION("""COMPUTED_VALUE"""),0.7014150702892157)</f>
        <v>0.7014150703</v>
      </c>
      <c r="V424" s="30">
        <f>IFERROR(__xludf.DUMMYFUNCTION("""COMPUTED_VALUE"""),0.5374234365525402)</f>
        <v>0.5374234366</v>
      </c>
      <c r="W424" s="30">
        <f>IFERROR(__xludf.DUMMYFUNCTION("""COMPUTED_VALUE"""),1.2902452125646295)</f>
        <v>1.290245213</v>
      </c>
      <c r="X424" s="30">
        <f>IFERROR(__xludf.DUMMYFUNCTION("""COMPUTED_VALUE"""),2.4768222042032235)</f>
        <v>2.476822204</v>
      </c>
      <c r="Y424" s="30">
        <f>IFERROR(__xludf.DUMMYFUNCTION("""COMPUTED_VALUE"""),355.1299872698557)</f>
        <v>355.1299873</v>
      </c>
      <c r="Z424" s="30">
        <f>IFERROR(__xludf.DUMMYFUNCTION("""COMPUTED_VALUE"""),0.8180726961066841)</f>
        <v>0.8180726961</v>
      </c>
      <c r="AA424" s="30">
        <f>IFERROR(__xludf.DUMMYFUNCTION("""COMPUTED_VALUE"""),0.5832260087001782)</f>
        <v>0.5832260087</v>
      </c>
      <c r="AB424" s="30">
        <f>IFERROR(__xludf.DUMMYFUNCTION("""COMPUTED_VALUE"""),1.3273369638580743)</f>
        <v>1.327336964</v>
      </c>
      <c r="AC424" s="30">
        <f>IFERROR(__xludf.DUMMYFUNCTION("""COMPUTED_VALUE"""),2.580283085442258)</f>
        <v>2.580283085</v>
      </c>
      <c r="AD424" s="30">
        <f>IFERROR(__xludf.DUMMYFUNCTION("""COMPUTED_VALUE"""),1.162485141024236)</f>
        <v>1.162485141</v>
      </c>
      <c r="AE424" s="30">
        <f>IFERROR(__xludf.DUMMYFUNCTION("""COMPUTED_VALUE"""),0.9167889401141842)</f>
        <v>0.9167889401</v>
      </c>
      <c r="AF424" s="30">
        <f>IFERROR(__xludf.DUMMYFUNCTION("""COMPUTED_VALUE"""),1.238323071071233)</f>
        <v>1.238323071</v>
      </c>
      <c r="AG424" s="30">
        <f>IFERROR(__xludf.DUMMYFUNCTION("""COMPUTED_VALUE"""),1.1091548433511718)</f>
        <v>1.109154843</v>
      </c>
      <c r="AH424" s="30">
        <f>IFERROR(__xludf.DUMMYFUNCTION("""COMPUTED_VALUE"""),1.0657745328469077)</f>
        <v>1.065774533</v>
      </c>
      <c r="AI424" s="30">
        <f>IFERROR(__xludf.DUMMYFUNCTION("""COMPUTED_VALUE"""),0.9682043859053443)</f>
        <v>0.9682043859</v>
      </c>
      <c r="AJ424" s="30">
        <f>IFERROR(__xludf.DUMMYFUNCTION("""COMPUTED_VALUE"""),0.9504595708098755)</f>
        <v>0.9504595708</v>
      </c>
      <c r="AK424" s="30">
        <f>IFERROR(__xludf.DUMMYFUNCTION("""COMPUTED_VALUE"""),0.9475940657259976)</f>
        <v>0.9475940657</v>
      </c>
      <c r="AL424" s="30">
        <f>IFERROR(__xludf.DUMMYFUNCTION("""COMPUTED_VALUE"""),0.9185735964324055)</f>
        <v>0.9185735964</v>
      </c>
      <c r="AM424" s="30">
        <f>IFERROR(__xludf.DUMMYFUNCTION("""COMPUTED_VALUE"""),0.9009453636577573)</f>
        <v>0.9009453637</v>
      </c>
      <c r="AN424" s="30">
        <f>IFERROR(__xludf.DUMMYFUNCTION("""COMPUTED_VALUE"""),1.218009734400308)</f>
        <v>1.218009734</v>
      </c>
      <c r="AO424" s="30">
        <f>IFERROR(__xludf.DUMMYFUNCTION("""COMPUTED_VALUE"""),1.020880096032378)</f>
        <v>1.020880096</v>
      </c>
      <c r="AP424" s="30">
        <f>IFERROR(__xludf.DUMMYFUNCTION("""COMPUTED_VALUE"""),1.289627543114241)</f>
        <v>1.289627543</v>
      </c>
      <c r="AQ424" s="30">
        <f>IFERROR(__xludf.DUMMYFUNCTION("""COMPUTED_VALUE"""),1.123460553466463)</f>
        <v>1.123460553</v>
      </c>
      <c r="AR424" s="30">
        <f>IFERROR(__xludf.DUMMYFUNCTION("""COMPUTED_VALUE"""),1.104264408347494)</f>
        <v>1.104264408</v>
      </c>
      <c r="AS424" s="30">
        <f>IFERROR(__xludf.DUMMYFUNCTION("""COMPUTED_VALUE"""),81.0)</f>
        <v>81</v>
      </c>
      <c r="AT424" s="30">
        <f>IFERROR(__xludf.DUMMYFUNCTION("""COMPUTED_VALUE"""),0.5444857051749716)</f>
        <v>0.5444857052</v>
      </c>
      <c r="AU424" s="30">
        <f>IFERROR(__xludf.DUMMYFUNCTION("""COMPUTED_VALUE"""),2.498042843022825)</f>
        <v>2.498042843</v>
      </c>
      <c r="AV424" s="32">
        <f>IFERROR(__xludf.DUMMYFUNCTION("""COMPUTED_VALUE"""),67.72538928403281)</f>
        <v>67.72538928</v>
      </c>
      <c r="AW424" s="32">
        <f>IFERROR(__xludf.DUMMYFUNCTION("""COMPUTED_VALUE"""),4.181346556279216)</f>
        <v>4.181346556</v>
      </c>
      <c r="AX424" s="32">
        <f>IFERROR(__xludf.DUMMYFUNCTION("""COMPUTED_VALUE"""),87.141733216794)</f>
        <v>87.14173322</v>
      </c>
      <c r="AY424" s="32">
        <f>IFERROR(__xludf.DUMMYFUNCTION("""COMPUTED_VALUE"""),14.559579220618925)</f>
        <v>14.55957922</v>
      </c>
      <c r="AZ424" s="30">
        <f>IFERROR(__xludf.DUMMYFUNCTION("""COMPUTED_VALUE"""),10.37823266433971)</f>
        <v>10.37823266</v>
      </c>
      <c r="BA424" s="30">
        <f>IFERROR(__xludf.DUMMYFUNCTION("""COMPUTED_VALUE"""),1700.0)</f>
        <v>1700</v>
      </c>
    </row>
    <row r="425">
      <c r="A425" s="71" t="str">
        <f>IFERROR(__xludf.DUMMYFUNCTION("""COMPUTED_VALUE"""),"Rival")</f>
        <v>Rival</v>
      </c>
      <c r="B425" s="71" t="str">
        <f>IFERROR(__xludf.DUMMYFUNCTION("""COMPUTED_VALUE"""),"RSC005077")</f>
        <v>RSC005077</v>
      </c>
      <c r="C425" s="30" t="str">
        <f>IFERROR(__xludf.DUMMYFUNCTION("""COMPUTED_VALUE"""),"kbm grifter")</f>
        <v>kbm grifter</v>
      </c>
      <c r="D425" s="30" t="str">
        <f>IFERROR(__xludf.DUMMYFUNCTION("""COMPUTED_VALUE"""),"Blizzards")</f>
        <v>Blizzards</v>
      </c>
      <c r="E425" s="30">
        <f>IFERROR(__xludf.DUMMYFUNCTION("""COMPUTED_VALUE"""),4.0)</f>
        <v>4</v>
      </c>
      <c r="F425" s="30">
        <f>IFERROR(__xludf.DUMMYFUNCTION("""COMPUTED_VALUE"""),3.0)</f>
        <v>3</v>
      </c>
      <c r="G425" s="42">
        <f>IFERROR(__xludf.DUMMYFUNCTION("""COMPUTED_VALUE"""),1.0)</f>
        <v>1</v>
      </c>
      <c r="H425" s="42">
        <f>IFERROR(__xludf.DUMMYFUNCTION("""COMPUTED_VALUE"""),0.75)</f>
        <v>0.75</v>
      </c>
      <c r="I425" s="42">
        <f>IFERROR(__xludf.DUMMYFUNCTION("""COMPUTED_VALUE"""),0.2222222222222222)</f>
        <v>0.2222222222</v>
      </c>
      <c r="J425" s="30">
        <f>IFERROR(__xludf.DUMMYFUNCTION("""COMPUTED_VALUE"""),406.5)</f>
        <v>406.5</v>
      </c>
      <c r="K425" s="30">
        <f>IFERROR(__xludf.DUMMYFUNCTION("""COMPUTED_VALUE"""),1.0)</f>
        <v>1</v>
      </c>
      <c r="L425" s="30">
        <f>IFERROR(__xludf.DUMMYFUNCTION("""COMPUTED_VALUE"""),0.5)</f>
        <v>0.5</v>
      </c>
      <c r="M425" s="30">
        <f>IFERROR(__xludf.DUMMYFUNCTION("""COMPUTED_VALUE"""),1.0)</f>
        <v>1</v>
      </c>
      <c r="N425" s="30">
        <f>IFERROR(__xludf.DUMMYFUNCTION("""COMPUTED_VALUE"""),4.5)</f>
        <v>4.5</v>
      </c>
      <c r="O425" s="30">
        <f>IFERROR(__xludf.DUMMYFUNCTION("""COMPUTED_VALUE"""),404.0833333333333)</f>
        <v>404.0833333</v>
      </c>
      <c r="P425" s="30">
        <f>IFERROR(__xludf.DUMMYFUNCTION("""COMPUTED_VALUE"""),0.9166666666666667)</f>
        <v>0.9166666667</v>
      </c>
      <c r="Q425" s="30">
        <f>IFERROR(__xludf.DUMMYFUNCTION("""COMPUTED_VALUE"""),0.5833333333333333)</f>
        <v>0.5833333333</v>
      </c>
      <c r="R425" s="30">
        <f>IFERROR(__xludf.DUMMYFUNCTION("""COMPUTED_VALUE"""),1.75)</f>
        <v>1.75</v>
      </c>
      <c r="S425" s="30">
        <f>IFERROR(__xludf.DUMMYFUNCTION("""COMPUTED_VALUE"""),2.916666666666667)</f>
        <v>2.916666667</v>
      </c>
      <c r="T425" s="30">
        <f>IFERROR(__xludf.DUMMYFUNCTION("""COMPUTED_VALUE"""),368.61031746031745)</f>
        <v>368.6103175</v>
      </c>
      <c r="U425" s="30">
        <f>IFERROR(__xludf.DUMMYFUNCTION("""COMPUTED_VALUE"""),0.9071428571428571)</f>
        <v>0.9071428571</v>
      </c>
      <c r="V425" s="30">
        <f>IFERROR(__xludf.DUMMYFUNCTION("""COMPUTED_VALUE"""),0.615079365079365)</f>
        <v>0.6150793651</v>
      </c>
      <c r="W425" s="30">
        <f>IFERROR(__xludf.DUMMYFUNCTION("""COMPUTED_VALUE"""),1.465873015873016)</f>
        <v>1.465873016</v>
      </c>
      <c r="X425" s="30">
        <f>IFERROR(__xludf.DUMMYFUNCTION("""COMPUTED_VALUE"""),2.68968253968254)</f>
        <v>2.68968254</v>
      </c>
      <c r="Y425" s="30">
        <f>IFERROR(__xludf.DUMMYFUNCTION("""COMPUTED_VALUE"""),352.91984126984124)</f>
        <v>352.9198413</v>
      </c>
      <c r="Z425" s="30">
        <f>IFERROR(__xludf.DUMMYFUNCTION("""COMPUTED_VALUE"""),0.7883597883597884)</f>
        <v>0.7883597884</v>
      </c>
      <c r="AA425" s="30">
        <f>IFERROR(__xludf.DUMMYFUNCTION("""COMPUTED_VALUE"""),0.5891534391534391)</f>
        <v>0.5891534392</v>
      </c>
      <c r="AB425" s="30">
        <f>IFERROR(__xludf.DUMMYFUNCTION("""COMPUTED_VALUE"""),1.2457671957671959)</f>
        <v>1.245767196</v>
      </c>
      <c r="AC425" s="30">
        <f>IFERROR(__xludf.DUMMYFUNCTION("""COMPUTED_VALUE"""),2.7939153439153444)</f>
        <v>2.793915344</v>
      </c>
      <c r="AD425" s="30">
        <f>IFERROR(__xludf.DUMMYFUNCTION("""COMPUTED_VALUE"""),1.1518196271917496)</f>
        <v>1.151819627</v>
      </c>
      <c r="AE425" s="30">
        <f>IFERROR(__xludf.DUMMYFUNCTION("""COMPUTED_VALUE"""),1.2684563758389262)</f>
        <v>1.268456376</v>
      </c>
      <c r="AF425" s="30">
        <f>IFERROR(__xludf.DUMMYFUNCTION("""COMPUTED_VALUE"""),0.8486753480017962)</f>
        <v>0.848675348</v>
      </c>
      <c r="AG425" s="30">
        <f>IFERROR(__xludf.DUMMYFUNCTION("""COMPUTED_VALUE"""),0.8027181991930346)</f>
        <v>0.8027181992</v>
      </c>
      <c r="AH425" s="30">
        <f>IFERROR(__xludf.DUMMYFUNCTION("""COMPUTED_VALUE"""),1.6106429315405735)</f>
        <v>1.610642932</v>
      </c>
      <c r="AI425" s="30">
        <f>IFERROR(__xludf.DUMMYFUNCTION("""COMPUTED_VALUE"""),1.096234462772016)</f>
        <v>1.096234463</v>
      </c>
      <c r="AJ425" s="30">
        <f>IFERROR(__xludf.DUMMYFUNCTION("""COMPUTED_VALUE"""),1.010498687664042)</f>
        <v>1.010498688</v>
      </c>
      <c r="AK425" s="30">
        <f>IFERROR(__xludf.DUMMYFUNCTION("""COMPUTED_VALUE"""),0.9483870967741935)</f>
        <v>0.9483870968</v>
      </c>
      <c r="AL425" s="30">
        <f>IFERROR(__xludf.DUMMYFUNCTION("""COMPUTED_VALUE"""),1.1938278289117488)</f>
        <v>1.193827829</v>
      </c>
      <c r="AM425" s="30">
        <f>IFERROR(__xludf.DUMMYFUNCTION("""COMPUTED_VALUE"""),1.0843906757155504)</f>
        <v>1.084390676</v>
      </c>
      <c r="AN425" s="30">
        <f>IFERROR(__xludf.DUMMYFUNCTION("""COMPUTED_VALUE"""),1.1993240784022412)</f>
        <v>1.199324078</v>
      </c>
      <c r="AO425" s="30">
        <f>IFERROR(__xludf.DUMMYFUNCTION("""COMPUTED_VALUE"""),1.3611734613765043)</f>
        <v>1.361173461</v>
      </c>
      <c r="AP425" s="30">
        <f>IFERROR(__xludf.DUMMYFUNCTION("""COMPUTED_VALUE"""),0.8928190683098591)</f>
        <v>0.8928190683</v>
      </c>
      <c r="AQ425" s="30">
        <f>IFERROR(__xludf.DUMMYFUNCTION("""COMPUTED_VALUE"""),0.7631052815998617)</f>
        <v>0.7631052816</v>
      </c>
      <c r="AR425" s="30">
        <f>IFERROR(__xludf.DUMMYFUNCTION("""COMPUTED_VALUE"""),1.8069781227504444)</f>
        <v>1.806978123</v>
      </c>
      <c r="AS425" s="30">
        <f>IFERROR(__xludf.DUMMYFUNCTION("""COMPUTED_VALUE"""),10.0)</f>
        <v>10</v>
      </c>
      <c r="AT425" s="30">
        <f>IFERROR(__xludf.DUMMYFUNCTION("""COMPUTED_VALUE"""),0.4617250571853035)</f>
        <v>0.4617250572</v>
      </c>
      <c r="AU425" s="30">
        <f>IFERROR(__xludf.DUMMYFUNCTION("""COMPUTED_VALUE"""),2.980684442230332)</f>
        <v>2.980684442</v>
      </c>
      <c r="AV425" s="32">
        <f>IFERROR(__xludf.DUMMYFUNCTION("""COMPUTED_VALUE"""),84.77425461195838)</f>
        <v>84.77425461</v>
      </c>
      <c r="AW425" s="32">
        <f>IFERROR(__xludf.DUMMYFUNCTION("""COMPUTED_VALUE"""),12.1777116707947)</f>
        <v>12.17771167</v>
      </c>
      <c r="AX425" s="32">
        <f>IFERROR(__xludf.DUMMYFUNCTION("""COMPUTED_VALUE"""),56.869469630892596)</f>
        <v>56.86946963</v>
      </c>
      <c r="AY425" s="32">
        <f>IFERROR(__xludf.DUMMYFUNCTION("""COMPUTED_VALUE"""),2.5526933408978576)</f>
        <v>2.552693341</v>
      </c>
      <c r="AZ425" s="30">
        <f>IFERROR(__xludf.DUMMYFUNCTION("""COMPUTED_VALUE"""),9.625018329896843)</f>
        <v>9.62501833</v>
      </c>
      <c r="BA425" s="30">
        <f>IFERROR(__xludf.DUMMYFUNCTION("""COMPUTED_VALUE"""),1700.0)</f>
        <v>1700</v>
      </c>
    </row>
    <row r="426">
      <c r="A426" s="71" t="str">
        <f>IFERROR(__xludf.DUMMYFUNCTION("""COMPUTED_VALUE"""),"Rival")</f>
        <v>Rival</v>
      </c>
      <c r="B426" s="71" t="str">
        <f>IFERROR(__xludf.DUMMYFUNCTION("""COMPUTED_VALUE"""),"RSC005699")</f>
        <v>RSC005699</v>
      </c>
      <c r="C426" s="30" t="str">
        <f>IFERROR(__xludf.DUMMYFUNCTION("""COMPUTED_VALUE"""),"masdhapotatoes")</f>
        <v>masdhapotatoes</v>
      </c>
      <c r="D426" s="30" t="str">
        <f>IFERROR(__xludf.DUMMYFUNCTION("""COMPUTED_VALUE"""),"Bulldozers")</f>
        <v>Bulldozers</v>
      </c>
      <c r="E426" s="30">
        <f>IFERROR(__xludf.DUMMYFUNCTION("""COMPUTED_VALUE"""),2.0)</f>
        <v>2</v>
      </c>
      <c r="F426" s="30">
        <f>IFERROR(__xludf.DUMMYFUNCTION("""COMPUTED_VALUE"""),1.0)</f>
        <v>1</v>
      </c>
      <c r="G426" s="42">
        <f>IFERROR(__xludf.DUMMYFUNCTION("""COMPUTED_VALUE"""),1.0)</f>
        <v>1</v>
      </c>
      <c r="H426" s="42">
        <f>IFERROR(__xludf.DUMMYFUNCTION("""COMPUTED_VALUE"""),0.5)</f>
        <v>0.5</v>
      </c>
      <c r="I426" s="42">
        <f>IFERROR(__xludf.DUMMYFUNCTION("""COMPUTED_VALUE"""),0.0)</f>
        <v>0</v>
      </c>
      <c r="J426" s="30">
        <f>IFERROR(__xludf.DUMMYFUNCTION("""COMPUTED_VALUE"""),231.0)</f>
        <v>231</v>
      </c>
      <c r="K426" s="30">
        <f>IFERROR(__xludf.DUMMYFUNCTION("""COMPUTED_VALUE"""),0.0)</f>
        <v>0</v>
      </c>
      <c r="L426" s="30">
        <f>IFERROR(__xludf.DUMMYFUNCTION("""COMPUTED_VALUE"""),0.5)</f>
        <v>0.5</v>
      </c>
      <c r="M426" s="30">
        <f>IFERROR(__xludf.DUMMYFUNCTION("""COMPUTED_VALUE"""),1.0)</f>
        <v>1</v>
      </c>
      <c r="N426" s="30">
        <f>IFERROR(__xludf.DUMMYFUNCTION("""COMPUTED_VALUE"""),2.5)</f>
        <v>2.5</v>
      </c>
      <c r="O426" s="30">
        <f>IFERROR(__xludf.DUMMYFUNCTION("""COMPUTED_VALUE"""),368.8333333333333)</f>
        <v>368.8333333</v>
      </c>
      <c r="P426" s="30">
        <f>IFERROR(__xludf.DUMMYFUNCTION("""COMPUTED_VALUE"""),1.0)</f>
        <v>1</v>
      </c>
      <c r="Q426" s="30">
        <f>IFERROR(__xludf.DUMMYFUNCTION("""COMPUTED_VALUE"""),0.5)</f>
        <v>0.5</v>
      </c>
      <c r="R426" s="30">
        <f>IFERROR(__xludf.DUMMYFUNCTION("""COMPUTED_VALUE"""),1.6666666666666665)</f>
        <v>1.666666667</v>
      </c>
      <c r="S426" s="30">
        <f>IFERROR(__xludf.DUMMYFUNCTION("""COMPUTED_VALUE"""),2.666666666666667)</f>
        <v>2.666666667</v>
      </c>
      <c r="T426" s="30">
        <f>IFERROR(__xludf.DUMMYFUNCTION("""COMPUTED_VALUE"""),359.28201058201057)</f>
        <v>359.2820106</v>
      </c>
      <c r="U426" s="30">
        <f>IFERROR(__xludf.DUMMYFUNCTION("""COMPUTED_VALUE"""),0.7955026455026455)</f>
        <v>0.7955026455</v>
      </c>
      <c r="V426" s="30">
        <f>IFERROR(__xludf.DUMMYFUNCTION("""COMPUTED_VALUE"""),0.6283068783068784)</f>
        <v>0.6283068783</v>
      </c>
      <c r="W426" s="30">
        <f>IFERROR(__xludf.DUMMYFUNCTION("""COMPUTED_VALUE"""),1.398941798941799)</f>
        <v>1.398941799</v>
      </c>
      <c r="X426" s="30">
        <f>IFERROR(__xludf.DUMMYFUNCTION("""COMPUTED_VALUE"""),2.6275793650793653)</f>
        <v>2.627579365</v>
      </c>
      <c r="Y426" s="30">
        <f>IFERROR(__xludf.DUMMYFUNCTION("""COMPUTED_VALUE"""),335.0472222222222)</f>
        <v>335.0472222</v>
      </c>
      <c r="Z426" s="30">
        <f>IFERROR(__xludf.DUMMYFUNCTION("""COMPUTED_VALUE"""),0.6917989417989417)</f>
        <v>0.6917989418</v>
      </c>
      <c r="AA426" s="30">
        <f>IFERROR(__xludf.DUMMYFUNCTION("""COMPUTED_VALUE"""),0.5277116402116402)</f>
        <v>0.5277116402</v>
      </c>
      <c r="AB426" s="30">
        <f>IFERROR(__xludf.DUMMYFUNCTION("""COMPUTED_VALUE"""),1.275)</f>
        <v>1.275</v>
      </c>
      <c r="AC426" s="30">
        <f>IFERROR(__xludf.DUMMYFUNCTION("""COMPUTED_VALUE"""),2.51468253968254)</f>
        <v>2.51468254</v>
      </c>
      <c r="AD426" s="30">
        <f>IFERROR(__xludf.DUMMYFUNCTION("""COMPUTED_VALUE"""),0.6894550519412687)</f>
        <v>0.6894550519</v>
      </c>
      <c r="AE426" s="30">
        <f>IFERROR(__xludf.DUMMYFUNCTION("""COMPUTED_VALUE"""),0.0)</f>
        <v>0</v>
      </c>
      <c r="AF426" s="30">
        <f>IFERROR(__xludf.DUMMYFUNCTION("""COMPUTED_VALUE"""),0.9474871537786691)</f>
        <v>0.9474871538</v>
      </c>
      <c r="AG426" s="30">
        <f>IFERROR(__xludf.DUMMYFUNCTION("""COMPUTED_VALUE"""),0.7843137254901962)</f>
        <v>0.7843137255</v>
      </c>
      <c r="AH426" s="30">
        <f>IFERROR(__xludf.DUMMYFUNCTION("""COMPUTED_VALUE"""),0.9941612750512859)</f>
        <v>0.9941612751</v>
      </c>
      <c r="AI426" s="30">
        <f>IFERROR(__xludf.DUMMYFUNCTION("""COMPUTED_VALUE"""),1.026584472559175)</f>
        <v>1.026584473</v>
      </c>
      <c r="AJ426" s="30">
        <f>IFERROR(__xludf.DUMMYFUNCTION("""COMPUTED_VALUE"""),1.2570668440305952)</f>
        <v>1.257066844</v>
      </c>
      <c r="AK426" s="30">
        <f>IFERROR(__xludf.DUMMYFUNCTION("""COMPUTED_VALUE"""),0.7957894736842105)</f>
        <v>0.7957894737</v>
      </c>
      <c r="AL426" s="30">
        <f>IFERROR(__xludf.DUMMYFUNCTION("""COMPUTED_VALUE"""),1.191376701966717)</f>
        <v>1.191376702</v>
      </c>
      <c r="AM426" s="30">
        <f>IFERROR(__xludf.DUMMYFUNCTION("""COMPUTED_VALUE"""),1.0148757834327569)</f>
        <v>1.014875783</v>
      </c>
      <c r="AN426" s="30">
        <f>IFERROR(__xludf.DUMMYFUNCTION("""COMPUTED_VALUE"""),0.681534716140019)</f>
        <v>0.6815347161</v>
      </c>
      <c r="AO426" s="30">
        <f>IFERROR(__xludf.DUMMYFUNCTION("""COMPUTED_VALUE"""),0.0)</f>
        <v>0</v>
      </c>
      <c r="AP426" s="30">
        <f>IFERROR(__xludf.DUMMYFUNCTION("""COMPUTED_VALUE"""),0.8928190683098591)</f>
        <v>0.8928190683</v>
      </c>
      <c r="AQ426" s="30">
        <f>IFERROR(__xludf.DUMMYFUNCTION("""COMPUTED_VALUE"""),0.7631052815998617)</f>
        <v>0.7631052816</v>
      </c>
      <c r="AR426" s="30">
        <f>IFERROR(__xludf.DUMMYFUNCTION("""COMPUTED_VALUE"""),1.003876734861358)</f>
        <v>1.003876735</v>
      </c>
      <c r="AS426" s="30">
        <f>IFERROR(__xludf.DUMMYFUNCTION("""COMPUTED_VALUE"""),2.0)</f>
        <v>2</v>
      </c>
      <c r="AT426" s="30">
        <f>IFERROR(__xludf.DUMMYFUNCTION("""COMPUTED_VALUE"""),0.1630859559789061)</f>
        <v>0.163085956</v>
      </c>
      <c r="AU426" s="30">
        <f>IFERROR(__xludf.DUMMYFUNCTION("""COMPUTED_VALUE"""),0.7621127544892453)</f>
        <v>0.7621127545</v>
      </c>
      <c r="AV426" s="32">
        <f>IFERROR(__xludf.DUMMYFUNCTION("""COMPUTED_VALUE"""),6.405274427172813)</f>
        <v>6.405274427</v>
      </c>
      <c r="AW426" s="32">
        <f>IFERROR(__xludf.DUMMYFUNCTION("""COMPUTED_VALUE"""),-24.6317900587133)</f>
        <v>-24.63179006</v>
      </c>
      <c r="AX426" s="32">
        <f>IFERROR(__xludf.DUMMYFUNCTION("""COMPUTED_VALUE"""),10.94069026879749)</f>
        <v>10.94069027</v>
      </c>
      <c r="AY426" s="32">
        <f>IFERROR(__xludf.DUMMYFUNCTION("""COMPUTED_VALUE"""),-16.920432593285117)</f>
        <v>-16.92043259</v>
      </c>
      <c r="AZ426" s="30">
        <f>IFERROR(__xludf.DUMMYFUNCTION("""COMPUTED_VALUE"""),7.711357465428183)</f>
        <v>7.711357465</v>
      </c>
      <c r="BA426" s="30">
        <f>IFERROR(__xludf.DUMMYFUNCTION("""COMPUTED_VALUE"""),1700.0)</f>
        <v>1700</v>
      </c>
    </row>
    <row r="427">
      <c r="A427" s="71" t="str">
        <f>IFERROR(__xludf.DUMMYFUNCTION("""COMPUTED_VALUE"""),"Rival")</f>
        <v>Rival</v>
      </c>
      <c r="B427" s="71" t="str">
        <f>IFERROR(__xludf.DUMMYFUNCTION("""COMPUTED_VALUE"""),"RSC005455")</f>
        <v>RSC005455</v>
      </c>
      <c r="C427" s="30" t="str">
        <f>IFERROR(__xludf.DUMMYFUNCTION("""COMPUTED_VALUE"""),"Covi")</f>
        <v>Covi</v>
      </c>
      <c r="D427" s="30" t="str">
        <f>IFERROR(__xludf.DUMMYFUNCTION("""COMPUTED_VALUE"""),"Hammerheads")</f>
        <v>Hammerheads</v>
      </c>
      <c r="E427" s="30">
        <f>IFERROR(__xludf.DUMMYFUNCTION("""COMPUTED_VALUE"""),8.0)</f>
        <v>8</v>
      </c>
      <c r="F427" s="30">
        <f>IFERROR(__xludf.DUMMYFUNCTION("""COMPUTED_VALUE"""),4.0)</f>
        <v>4</v>
      </c>
      <c r="G427" s="42">
        <f>IFERROR(__xludf.DUMMYFUNCTION("""COMPUTED_VALUE"""),4.0)</f>
        <v>4</v>
      </c>
      <c r="H427" s="42">
        <f>IFERROR(__xludf.DUMMYFUNCTION("""COMPUTED_VALUE"""),0.5)</f>
        <v>0.5</v>
      </c>
      <c r="I427" s="42">
        <f>IFERROR(__xludf.DUMMYFUNCTION("""COMPUTED_VALUE"""),0.3448275862068966)</f>
        <v>0.3448275862</v>
      </c>
      <c r="J427" s="30">
        <f>IFERROR(__xludf.DUMMYFUNCTION("""COMPUTED_VALUE"""),355.125)</f>
        <v>355.125</v>
      </c>
      <c r="K427" s="30">
        <f>IFERROR(__xludf.DUMMYFUNCTION("""COMPUTED_VALUE"""),1.25)</f>
        <v>1.25</v>
      </c>
      <c r="L427" s="30">
        <f>IFERROR(__xludf.DUMMYFUNCTION("""COMPUTED_VALUE"""),0.25)</f>
        <v>0.25</v>
      </c>
      <c r="M427" s="30">
        <f>IFERROR(__xludf.DUMMYFUNCTION("""COMPUTED_VALUE"""),1.125)</f>
        <v>1.125</v>
      </c>
      <c r="N427" s="30">
        <f>IFERROR(__xludf.DUMMYFUNCTION("""COMPUTED_VALUE"""),3.625)</f>
        <v>3.625</v>
      </c>
      <c r="O427" s="30">
        <f>IFERROR(__xludf.DUMMYFUNCTION("""COMPUTED_VALUE"""),349.0416666666667)</f>
        <v>349.0416667</v>
      </c>
      <c r="P427" s="30">
        <f>IFERROR(__xludf.DUMMYFUNCTION("""COMPUTED_VALUE"""),0.7083333333333334)</f>
        <v>0.7083333333</v>
      </c>
      <c r="Q427" s="30">
        <f>IFERROR(__xludf.DUMMYFUNCTION("""COMPUTED_VALUE"""),0.5833333333333333)</f>
        <v>0.5833333333</v>
      </c>
      <c r="R427" s="30">
        <f>IFERROR(__xludf.DUMMYFUNCTION("""COMPUTED_VALUE"""),1.7916666666666667)</f>
        <v>1.791666667</v>
      </c>
      <c r="S427" s="30">
        <f>IFERROR(__xludf.DUMMYFUNCTION("""COMPUTED_VALUE"""),2.8333333333333335)</f>
        <v>2.833333333</v>
      </c>
      <c r="T427" s="30">
        <f>IFERROR(__xludf.DUMMYFUNCTION("""COMPUTED_VALUE"""),328.22832841185834)</f>
        <v>328.2283284</v>
      </c>
      <c r="U427" s="30">
        <f>IFERROR(__xludf.DUMMYFUNCTION("""COMPUTED_VALUE"""),0.7151478663502258)</f>
        <v>0.7151478664</v>
      </c>
      <c r="V427" s="30">
        <f>IFERROR(__xludf.DUMMYFUNCTION("""COMPUTED_VALUE"""),0.486064884147915)</f>
        <v>0.4860648841</v>
      </c>
      <c r="W427" s="30">
        <f>IFERROR(__xludf.DUMMYFUNCTION("""COMPUTED_VALUE"""),1.3574615827054575)</f>
        <v>1.357461583</v>
      </c>
      <c r="X427" s="30">
        <f>IFERROR(__xludf.DUMMYFUNCTION("""COMPUTED_VALUE"""),2.4657407084244656)</f>
        <v>2.465740708</v>
      </c>
      <c r="Y427" s="30">
        <f>IFERROR(__xludf.DUMMYFUNCTION("""COMPUTED_VALUE"""),364.72969229823246)</f>
        <v>364.7296923</v>
      </c>
      <c r="Z427" s="30">
        <f>IFERROR(__xludf.DUMMYFUNCTION("""COMPUTED_VALUE"""),0.8673826939763873)</f>
        <v>0.867382694</v>
      </c>
      <c r="AA427" s="30">
        <f>IFERROR(__xludf.DUMMYFUNCTION("""COMPUTED_VALUE"""),0.6140784870083873)</f>
        <v>0.614078487</v>
      </c>
      <c r="AB427" s="30">
        <f>IFERROR(__xludf.DUMMYFUNCTION("""COMPUTED_VALUE"""),1.404622141067241)</f>
        <v>1.404622141</v>
      </c>
      <c r="AC427" s="30">
        <f>IFERROR(__xludf.DUMMYFUNCTION("""COMPUTED_VALUE"""),2.74356455892867)</f>
        <v>2.743564559</v>
      </c>
      <c r="AD427" s="30">
        <f>IFERROR(__xludf.DUMMYFUNCTION("""COMPUTED_VALUE"""),0.9736662725820006)</f>
        <v>0.9736662726</v>
      </c>
      <c r="AE427" s="30">
        <f>IFERROR(__xludf.DUMMYFUNCTION("""COMPUTED_VALUE"""),1.441117062492405)</f>
        <v>1.441117062</v>
      </c>
      <c r="AF427" s="30">
        <f>IFERROR(__xludf.DUMMYFUNCTION("""COMPUTED_VALUE"""),0.40711408279082967)</f>
        <v>0.4071140828</v>
      </c>
      <c r="AG427" s="30">
        <f>IFERROR(__xludf.DUMMYFUNCTION("""COMPUTED_VALUE"""),0.8009271441109548)</f>
        <v>0.8009271441</v>
      </c>
      <c r="AH427" s="30">
        <f>IFERROR(__xludf.DUMMYFUNCTION("""COMPUTED_VALUE"""),1.3212738108176758)</f>
        <v>1.321273811</v>
      </c>
      <c r="AI427" s="30">
        <f>IFERROR(__xludf.DUMMYFUNCTION("""COMPUTED_VALUE"""),1.0634111575789764)</f>
        <v>1.063411158</v>
      </c>
      <c r="AJ427" s="30">
        <f>IFERROR(__xludf.DUMMYFUNCTION("""COMPUTED_VALUE"""),0.9904711552148362)</f>
        <v>0.9904711552</v>
      </c>
      <c r="AK427" s="30">
        <f>IFERROR(__xludf.DUMMYFUNCTION("""COMPUTED_VALUE"""),1.200114125413385)</f>
        <v>1.200114125</v>
      </c>
      <c r="AL427" s="30">
        <f>IFERROR(__xludf.DUMMYFUNCTION("""COMPUTED_VALUE"""),1.319865467644268)</f>
        <v>1.319865468</v>
      </c>
      <c r="AM427" s="30">
        <f>IFERROR(__xludf.DUMMYFUNCTION("""COMPUTED_VALUE"""),1.1490800000393182)</f>
        <v>1.14908</v>
      </c>
      <c r="AN427" s="30">
        <f>IFERROR(__xludf.DUMMYFUNCTION("""COMPUTED_VALUE"""),1.047748987312659)</f>
        <v>1.047748987</v>
      </c>
      <c r="AO427" s="30">
        <f>IFERROR(__xludf.DUMMYFUNCTION("""COMPUTED_VALUE"""),1.7014668267206303)</f>
        <v>1.701466827</v>
      </c>
      <c r="AP427" s="30">
        <f>IFERROR(__xludf.DUMMYFUNCTION("""COMPUTED_VALUE"""),0.44640953415492957)</f>
        <v>0.4464095342</v>
      </c>
      <c r="AQ427" s="30">
        <f>IFERROR(__xludf.DUMMYFUNCTION("""COMPUTED_VALUE"""),0.8584934417998443)</f>
        <v>0.8584934418</v>
      </c>
      <c r="AR427" s="30">
        <f>IFERROR(__xludf.DUMMYFUNCTION("""COMPUTED_VALUE"""),1.455621265548969)</f>
        <v>1.455621266</v>
      </c>
      <c r="AS427" s="30">
        <f>IFERROR(__xludf.DUMMYFUNCTION("""COMPUTED_VALUE"""),20.0)</f>
        <v>20</v>
      </c>
      <c r="AT427" s="30">
        <f>IFERROR(__xludf.DUMMYFUNCTION("""COMPUTED_VALUE"""),0.5627244863633817)</f>
        <v>0.5627244864</v>
      </c>
      <c r="AU427" s="30">
        <f>IFERROR(__xludf.DUMMYFUNCTION("""COMPUTED_VALUE"""),2.4910192049116877)</f>
        <v>2.491019205</v>
      </c>
      <c r="AV427" s="32">
        <f>IFERROR(__xludf.DUMMYFUNCTION("""COMPUTED_VALUE"""),67.47728580421366)</f>
        <v>67.4772858</v>
      </c>
      <c r="AW427" s="32">
        <f>IFERROR(__xludf.DUMMYFUNCTION("""COMPUTED_VALUE"""),4.128010492059906)</f>
        <v>4.128010492</v>
      </c>
      <c r="AX427" s="32">
        <f>IFERROR(__xludf.DUMMYFUNCTION("""COMPUTED_VALUE"""),41.808441985875895)</f>
        <v>41.80844199</v>
      </c>
      <c r="AY427" s="32">
        <f>IFERROR(__xludf.DUMMYFUNCTION("""COMPUTED_VALUE"""),-2.691185172997723)</f>
        <v>-2.691185173</v>
      </c>
      <c r="AZ427" s="30">
        <f>IFERROR(__xludf.DUMMYFUNCTION("""COMPUTED_VALUE"""),6.819195665057629)</f>
        <v>6.819195665</v>
      </c>
      <c r="BA427" s="30">
        <f>IFERROR(__xludf.DUMMYFUNCTION("""COMPUTED_VALUE"""),1700.0)</f>
        <v>1700</v>
      </c>
    </row>
    <row r="428">
      <c r="A428" s="71" t="str">
        <f>IFERROR(__xludf.DUMMYFUNCTION("""COMPUTED_VALUE"""),"Rival")</f>
        <v>Rival</v>
      </c>
      <c r="B428" s="71" t="str">
        <f>IFERROR(__xludf.DUMMYFUNCTION("""COMPUTED_VALUE"""),"RSC007937")</f>
        <v>RSC007937</v>
      </c>
      <c r="C428" s="30" t="str">
        <f>IFERROR(__xludf.DUMMYFUNCTION("""COMPUTED_VALUE"""),"Spidey")</f>
        <v>Spidey</v>
      </c>
      <c r="D428" s="30" t="str">
        <f>IFERROR(__xludf.DUMMYFUNCTION("""COMPUTED_VALUE"""),"Ocelots")</f>
        <v>Ocelots</v>
      </c>
      <c r="E428" s="30">
        <f>IFERROR(__xludf.DUMMYFUNCTION("""COMPUTED_VALUE"""),32.0)</f>
        <v>32</v>
      </c>
      <c r="F428" s="30">
        <f>IFERROR(__xludf.DUMMYFUNCTION("""COMPUTED_VALUE"""),19.0)</f>
        <v>19</v>
      </c>
      <c r="G428" s="42">
        <f>IFERROR(__xludf.DUMMYFUNCTION("""COMPUTED_VALUE"""),13.0)</f>
        <v>13</v>
      </c>
      <c r="H428" s="42">
        <f>IFERROR(__xludf.DUMMYFUNCTION("""COMPUTED_VALUE"""),0.59375)</f>
        <v>0.59375</v>
      </c>
      <c r="I428" s="42">
        <f>IFERROR(__xludf.DUMMYFUNCTION("""COMPUTED_VALUE"""),0.30357142857142855)</f>
        <v>0.3035714286</v>
      </c>
      <c r="J428" s="30">
        <f>IFERROR(__xludf.DUMMYFUNCTION("""COMPUTED_VALUE"""),381.59375)</f>
        <v>381.59375</v>
      </c>
      <c r="K428" s="30">
        <f>IFERROR(__xludf.DUMMYFUNCTION("""COMPUTED_VALUE"""),1.0625)</f>
        <v>1.0625</v>
      </c>
      <c r="L428" s="30">
        <f>IFERROR(__xludf.DUMMYFUNCTION("""COMPUTED_VALUE"""),0.53125)</f>
        <v>0.53125</v>
      </c>
      <c r="M428" s="30">
        <f>IFERROR(__xludf.DUMMYFUNCTION("""COMPUTED_VALUE"""),1.21875)</f>
        <v>1.21875</v>
      </c>
      <c r="N428" s="30">
        <f>IFERROR(__xludf.DUMMYFUNCTION("""COMPUTED_VALUE"""),3.5)</f>
        <v>3.5</v>
      </c>
      <c r="O428" s="30">
        <f>IFERROR(__xludf.DUMMYFUNCTION("""COMPUTED_VALUE"""),329.13541666666663)</f>
        <v>329.1354167</v>
      </c>
      <c r="P428" s="30">
        <f>IFERROR(__xludf.DUMMYFUNCTION("""COMPUTED_VALUE"""),0.6562500000000002)</f>
        <v>0.65625</v>
      </c>
      <c r="Q428" s="30">
        <f>IFERROR(__xludf.DUMMYFUNCTION("""COMPUTED_VALUE"""),0.45833333333333337)</f>
        <v>0.4583333333</v>
      </c>
      <c r="R428" s="30">
        <f>IFERROR(__xludf.DUMMYFUNCTION("""COMPUTED_VALUE"""),1.375)</f>
        <v>1.375</v>
      </c>
      <c r="S428" s="30">
        <f>IFERROR(__xludf.DUMMYFUNCTION("""COMPUTED_VALUE"""),2.1354166666666665)</f>
        <v>2.135416667</v>
      </c>
      <c r="T428" s="30">
        <f>IFERROR(__xludf.DUMMYFUNCTION("""COMPUTED_VALUE"""),346.78045361884114)</f>
        <v>346.7804536</v>
      </c>
      <c r="U428" s="30">
        <f>IFERROR(__xludf.DUMMYFUNCTION("""COMPUTED_VALUE"""),0.7644958592980908)</f>
        <v>0.7644958593</v>
      </c>
      <c r="V428" s="30">
        <f>IFERROR(__xludf.DUMMYFUNCTION("""COMPUTED_VALUE"""),0.5496923682278018)</f>
        <v>0.5496923682</v>
      </c>
      <c r="W428" s="30">
        <f>IFERROR(__xludf.DUMMYFUNCTION("""COMPUTED_VALUE"""),1.3427749427871447)</f>
        <v>1.342774943</v>
      </c>
      <c r="X428" s="30">
        <f>IFERROR(__xludf.DUMMYFUNCTION("""COMPUTED_VALUE"""),2.5367943678229876)</f>
        <v>2.536794368</v>
      </c>
      <c r="Y428" s="30">
        <f>IFERROR(__xludf.DUMMYFUNCTION("""COMPUTED_VALUE"""),345.1143750737687)</f>
        <v>345.1143751</v>
      </c>
      <c r="Z428" s="30">
        <f>IFERROR(__xludf.DUMMYFUNCTION("""COMPUTED_VALUE"""),0.762286867110333)</f>
        <v>0.7622868671</v>
      </c>
      <c r="AA428" s="30">
        <f>IFERROR(__xludf.DUMMYFUNCTION("""COMPUTED_VALUE"""),0.549616191270603)</f>
        <v>0.5496161913</v>
      </c>
      <c r="AB428" s="30">
        <f>IFERROR(__xludf.DUMMYFUNCTION("""COMPUTED_VALUE"""),1.3289584013422435)</f>
        <v>1.328958401</v>
      </c>
      <c r="AC428" s="30">
        <f>IFERROR(__xludf.DUMMYFUNCTION("""COMPUTED_VALUE"""),2.5180020683972897)</f>
        <v>2.518002068</v>
      </c>
      <c r="AD428" s="30">
        <f>IFERROR(__xludf.DUMMYFUNCTION("""COMPUTED_VALUE"""),1.1057022760017856)</f>
        <v>1.105702276</v>
      </c>
      <c r="AE428" s="30">
        <f>IFERROR(__xludf.DUMMYFUNCTION("""COMPUTED_VALUE"""),1.3938322249046622)</f>
        <v>1.393832225</v>
      </c>
      <c r="AF428" s="30">
        <f>IFERROR(__xludf.DUMMYFUNCTION("""COMPUTED_VALUE"""),0.9665836058647689)</f>
        <v>0.9665836059</v>
      </c>
      <c r="AG428" s="30">
        <f>IFERROR(__xludf.DUMMYFUNCTION("""COMPUTED_VALUE"""),0.91707159439232)</f>
        <v>0.9170715944</v>
      </c>
      <c r="AH428" s="30">
        <f>IFERROR(__xludf.DUMMYFUNCTION("""COMPUTED_VALUE"""),1.3899909153878307)</f>
        <v>1.389990915</v>
      </c>
      <c r="AI428" s="30">
        <f>IFERROR(__xludf.DUMMYFUNCTION("""COMPUTED_VALUE"""),0.9491175561712345)</f>
        <v>0.9491175562</v>
      </c>
      <c r="AJ428" s="30">
        <f>IFERROR(__xludf.DUMMYFUNCTION("""COMPUTED_VALUE"""),0.8584088350753466)</f>
        <v>0.8584088351</v>
      </c>
      <c r="AK428" s="30">
        <f>IFERROR(__xludf.DUMMYFUNCTION("""COMPUTED_VALUE"""),0.8337997029338278)</f>
        <v>0.8337997029</v>
      </c>
      <c r="AL428" s="30">
        <f>IFERROR(__xludf.DUMMYFUNCTION("""COMPUTED_VALUE"""),1.0239988520682155)</f>
        <v>1.023998852</v>
      </c>
      <c r="AM428" s="30">
        <f>IFERROR(__xludf.DUMMYFUNCTION("""COMPUTED_VALUE"""),0.8417775968571023)</f>
        <v>0.8417775969</v>
      </c>
      <c r="AN428" s="30">
        <f>IFERROR(__xludf.DUMMYFUNCTION("""COMPUTED_VALUE"""),1.1258415068703695)</f>
        <v>1.125841507</v>
      </c>
      <c r="AO428" s="30">
        <f>IFERROR(__xludf.DUMMYFUNCTION("""COMPUTED_VALUE"""),1.4462468027125357)</f>
        <v>1.446246803</v>
      </c>
      <c r="AP428" s="30">
        <f>IFERROR(__xludf.DUMMYFUNCTION("""COMPUTED_VALUE"""),0.9486202600792253)</f>
        <v>0.9486202601</v>
      </c>
      <c r="AQ428" s="30">
        <f>IFERROR(__xludf.DUMMYFUNCTION("""COMPUTED_VALUE"""),0.9300345619498314)</f>
        <v>0.9300345619</v>
      </c>
      <c r="AR428" s="30">
        <f>IFERROR(__xludf.DUMMYFUNCTION("""COMPUTED_VALUE"""),1.4054274288059012)</f>
        <v>1.405427429</v>
      </c>
      <c r="AS428" s="30">
        <f>IFERROR(__xludf.DUMMYFUNCTION("""COMPUTED_VALUE"""),80.0)</f>
        <v>80</v>
      </c>
      <c r="AT428" s="30">
        <f>IFERROR(__xludf.DUMMYFUNCTION("""COMPUTED_VALUE"""),0.590762230809681)</f>
        <v>0.5907622308</v>
      </c>
      <c r="AU428" s="30">
        <f>IFERROR(__xludf.DUMMYFUNCTION("""COMPUTED_VALUE"""),3.0075319511421137)</f>
        <v>3.007531951</v>
      </c>
      <c r="AV428" s="32">
        <f>IFERROR(__xludf.DUMMYFUNCTION("""COMPUTED_VALUE"""),85.72261787898472)</f>
        <v>85.72261788</v>
      </c>
      <c r="AW428" s="32">
        <f>IFERROR(__xludf.DUMMYFUNCTION("""COMPUTED_VALUE"""),13.069194283897346)</f>
        <v>13.06919428</v>
      </c>
      <c r="AX428" s="32">
        <f>IFERROR(__xludf.DUMMYFUNCTION("""COMPUTED_VALUE"""),75.18202959739916)</f>
        <v>75.1820296</v>
      </c>
      <c r="AY428" s="32">
        <f>IFERROR(__xludf.DUMMYFUNCTION("""COMPUTED_VALUE"""),6.37349301380972)</f>
        <v>6.373493014</v>
      </c>
      <c r="AZ428" s="30">
        <f>IFERROR(__xludf.DUMMYFUNCTION("""COMPUTED_VALUE"""),6.695701270087626)</f>
        <v>6.69570127</v>
      </c>
      <c r="BA428" s="30">
        <f>IFERROR(__xludf.DUMMYFUNCTION("""COMPUTED_VALUE"""),1700.0)</f>
        <v>1700</v>
      </c>
    </row>
    <row r="429">
      <c r="A429" s="71" t="str">
        <f>IFERROR(__xludf.DUMMYFUNCTION("""COMPUTED_VALUE"""),"Rival")</f>
        <v>Rival</v>
      </c>
      <c r="B429" s="71" t="str">
        <f>IFERROR(__xludf.DUMMYFUNCTION("""COMPUTED_VALUE"""),"RSC005828")</f>
        <v>RSC005828</v>
      </c>
      <c r="C429" s="30" t="str">
        <f>IFERROR(__xludf.DUMMYFUNCTION("""COMPUTED_VALUE"""),"Creme")</f>
        <v>Creme</v>
      </c>
      <c r="D429" s="30" t="str">
        <f>IFERROR(__xludf.DUMMYFUNCTION("""COMPUTED_VALUE"""),"Bulldozers")</f>
        <v>Bulldozers</v>
      </c>
      <c r="E429" s="30">
        <f>IFERROR(__xludf.DUMMYFUNCTION("""COMPUTED_VALUE"""),34.0)</f>
        <v>34</v>
      </c>
      <c r="F429" s="30">
        <f>IFERROR(__xludf.DUMMYFUNCTION("""COMPUTED_VALUE"""),27.0)</f>
        <v>27</v>
      </c>
      <c r="G429" s="42">
        <f>IFERROR(__xludf.DUMMYFUNCTION("""COMPUTED_VALUE"""),7.0)</f>
        <v>7</v>
      </c>
      <c r="H429" s="42">
        <f>IFERROR(__xludf.DUMMYFUNCTION("""COMPUTED_VALUE"""),0.7941176470588235)</f>
        <v>0.7941176471</v>
      </c>
      <c r="I429" s="42">
        <f>IFERROR(__xludf.DUMMYFUNCTION("""COMPUTED_VALUE"""),0.35555555555555557)</f>
        <v>0.3555555556</v>
      </c>
      <c r="J429" s="30">
        <f>IFERROR(__xludf.DUMMYFUNCTION("""COMPUTED_VALUE"""),374.47058823529414)</f>
        <v>374.4705882</v>
      </c>
      <c r="K429" s="30">
        <f>IFERROR(__xludf.DUMMYFUNCTION("""COMPUTED_VALUE"""),0.9411764705882353)</f>
        <v>0.9411764706</v>
      </c>
      <c r="L429" s="30">
        <f>IFERROR(__xludf.DUMMYFUNCTION("""COMPUTED_VALUE"""),0.6470588235294118)</f>
        <v>0.6470588235</v>
      </c>
      <c r="M429" s="30">
        <f>IFERROR(__xludf.DUMMYFUNCTION("""COMPUTED_VALUE"""),1.6176470588235294)</f>
        <v>1.617647059</v>
      </c>
      <c r="N429" s="30">
        <f>IFERROR(__xludf.DUMMYFUNCTION("""COMPUTED_VALUE"""),2.6470588235294117)</f>
        <v>2.647058824</v>
      </c>
      <c r="O429" s="30">
        <f>IFERROR(__xludf.DUMMYFUNCTION("""COMPUTED_VALUE"""),323.41176470588243)</f>
        <v>323.4117647</v>
      </c>
      <c r="P429" s="30">
        <f>IFERROR(__xludf.DUMMYFUNCTION("""COMPUTED_VALUE"""),0.6176470588235292)</f>
        <v>0.6176470588</v>
      </c>
      <c r="Q429" s="30">
        <f>IFERROR(__xludf.DUMMYFUNCTION("""COMPUTED_VALUE"""),0.47058823529411775)</f>
        <v>0.4705882353</v>
      </c>
      <c r="R429" s="30">
        <f>IFERROR(__xludf.DUMMYFUNCTION("""COMPUTED_VALUE"""),1.3333333333333333)</f>
        <v>1.333333333</v>
      </c>
      <c r="S429" s="30">
        <f>IFERROR(__xludf.DUMMYFUNCTION("""COMPUTED_VALUE"""),2.715686274509803)</f>
        <v>2.715686275</v>
      </c>
      <c r="T429" s="30">
        <f>IFERROR(__xludf.DUMMYFUNCTION("""COMPUTED_VALUE"""),344.0609490659956)</f>
        <v>344.0609491</v>
      </c>
      <c r="U429" s="30">
        <f>IFERROR(__xludf.DUMMYFUNCTION("""COMPUTED_VALUE"""),0.7355444350295652)</f>
        <v>0.735544435</v>
      </c>
      <c r="V429" s="30">
        <f>IFERROR(__xludf.DUMMYFUNCTION("""COMPUTED_VALUE"""),0.5620289282233928)</f>
        <v>0.5620289282</v>
      </c>
      <c r="W429" s="30">
        <f>IFERROR(__xludf.DUMMYFUNCTION("""COMPUTED_VALUE"""),1.3233045254693079)</f>
        <v>1.323304525</v>
      </c>
      <c r="X429" s="30">
        <f>IFERROR(__xludf.DUMMYFUNCTION("""COMPUTED_VALUE"""),2.5153709956341967)</f>
        <v>2.515370996</v>
      </c>
      <c r="Y429" s="30">
        <f>IFERROR(__xludf.DUMMYFUNCTION("""COMPUTED_VALUE"""),363.150779426148)</f>
        <v>363.1507794</v>
      </c>
      <c r="Z429" s="30">
        <f>IFERROR(__xludf.DUMMYFUNCTION("""COMPUTED_VALUE"""),0.8690549886513811)</f>
        <v>0.8690549887</v>
      </c>
      <c r="AA429" s="30">
        <f>IFERROR(__xludf.DUMMYFUNCTION("""COMPUTED_VALUE"""),0.6412712868170595)</f>
        <v>0.6412712868</v>
      </c>
      <c r="AB429" s="30">
        <f>IFERROR(__xludf.DUMMYFUNCTION("""COMPUTED_VALUE"""),1.3219149064013456)</f>
        <v>1.321914906</v>
      </c>
      <c r="AC429" s="30">
        <f>IFERROR(__xludf.DUMMYFUNCTION("""COMPUTED_VALUE"""),2.6750814225008055)</f>
        <v>2.675081423</v>
      </c>
      <c r="AD429" s="30">
        <f>IFERROR(__xludf.DUMMYFUNCTION("""COMPUTED_VALUE"""),1.0311710987569234)</f>
        <v>1.031171099</v>
      </c>
      <c r="AE429" s="30">
        <f>IFERROR(__xludf.DUMMYFUNCTION("""COMPUTED_VALUE"""),1.0829883987534252)</f>
        <v>1.082988399</v>
      </c>
      <c r="AF429" s="30">
        <f>IFERROR(__xludf.DUMMYFUNCTION("""COMPUTED_VALUE"""),1.0090250987863165)</f>
        <v>1.009025099</v>
      </c>
      <c r="AG429" s="30">
        <f>IFERROR(__xludf.DUMMYFUNCTION("""COMPUTED_VALUE"""),1.223714969087728)</f>
        <v>1.223714969</v>
      </c>
      <c r="AH429" s="30">
        <f>IFERROR(__xludf.DUMMYFUNCTION("""COMPUTED_VALUE"""),0.9895245809209063)</f>
        <v>0.9895245809</v>
      </c>
      <c r="AI429" s="30">
        <f>IFERROR(__xludf.DUMMYFUNCTION("""COMPUTED_VALUE"""),0.939983934776183)</f>
        <v>0.9399839348</v>
      </c>
      <c r="AJ429" s="30">
        <f>IFERROR(__xludf.DUMMYFUNCTION("""COMPUTED_VALUE"""),0.8397141347398038)</f>
        <v>0.8397141347</v>
      </c>
      <c r="AK429" s="30">
        <f>IFERROR(__xludf.DUMMYFUNCTION("""COMPUTED_VALUE"""),0.8373025153379123)</f>
        <v>0.8373025153</v>
      </c>
      <c r="AL429" s="30">
        <f>IFERROR(__xludf.DUMMYFUNCTION("""COMPUTED_VALUE"""),1.0075786092097498)</f>
        <v>1.007578609</v>
      </c>
      <c r="AM429" s="30">
        <f>IFERROR(__xludf.DUMMYFUNCTION("""COMPUTED_VALUE"""),1.0796364747877285)</f>
        <v>1.079636475</v>
      </c>
      <c r="AN429" s="30">
        <f>IFERROR(__xludf.DUMMYFUNCTION("""COMPUTED_VALUE"""),1.10482556734081)</f>
        <v>1.104825567</v>
      </c>
      <c r="AO429" s="30">
        <f>IFERROR(__xludf.DUMMYFUNCTION("""COMPUTED_VALUE"""),1.2811044342367097)</f>
        <v>1.281104434</v>
      </c>
      <c r="AP429" s="30">
        <f>IFERROR(__xludf.DUMMYFUNCTION("""COMPUTED_VALUE"""),1.155412911930406)</f>
        <v>1.155412912</v>
      </c>
      <c r="AQ429" s="30">
        <f>IFERROR(__xludf.DUMMYFUNCTION("""COMPUTED_VALUE"""),1.2344350143527174)</f>
        <v>1.234435014</v>
      </c>
      <c r="AR429" s="30">
        <f>IFERROR(__xludf.DUMMYFUNCTION("""COMPUTED_VALUE"""),1.0629283075002613)</f>
        <v>1.062928308</v>
      </c>
      <c r="AS429" s="30">
        <f>IFERROR(__xludf.DUMMYFUNCTION("""COMPUTED_VALUE"""),110.0)</f>
        <v>110</v>
      </c>
      <c r="AT429" s="30">
        <f>IFERROR(__xludf.DUMMYFUNCTION("""COMPUTED_VALUE"""),0.7086869886638542)</f>
        <v>0.7086869887</v>
      </c>
      <c r="AU429" s="30">
        <f>IFERROR(__xludf.DUMMYFUNCTION("""COMPUTED_VALUE"""),2.4797743098967526)</f>
        <v>2.47977431</v>
      </c>
      <c r="AV429" s="32">
        <f>IFERROR(__xludf.DUMMYFUNCTION("""COMPUTED_VALUE"""),67.08007035272527)</f>
        <v>67.08007035</v>
      </c>
      <c r="AW429" s="32">
        <f>IFERROR(__xludf.DUMMYFUNCTION("""COMPUTED_VALUE"""),4.044663645795758)</f>
        <v>4.044663646</v>
      </c>
      <c r="AX429" s="32">
        <f>IFERROR(__xludf.DUMMYFUNCTION("""COMPUTED_VALUE"""),47.233670194290305)</f>
        <v>47.23367019</v>
      </c>
      <c r="AY429" s="32">
        <f>IFERROR(__xludf.DUMMYFUNCTION("""COMPUTED_VALUE"""),-2.193243709127304)</f>
        <v>-2.193243709</v>
      </c>
      <c r="AZ429" s="30">
        <f>IFERROR(__xludf.DUMMYFUNCTION("""COMPUTED_VALUE"""),6.2379073549230615)</f>
        <v>6.237907355</v>
      </c>
      <c r="BA429" s="30">
        <f>IFERROR(__xludf.DUMMYFUNCTION("""COMPUTED_VALUE"""),1700.0)</f>
        <v>1700</v>
      </c>
    </row>
    <row r="430">
      <c r="A430" s="71" t="str">
        <f>IFERROR(__xludf.DUMMYFUNCTION("""COMPUTED_VALUE"""),"Rival")</f>
        <v>Rival</v>
      </c>
      <c r="B430" s="71" t="str">
        <f>IFERROR(__xludf.DUMMYFUNCTION("""COMPUTED_VALUE"""),"RSC005493")</f>
        <v>RSC005493</v>
      </c>
      <c r="C430" s="30" t="str">
        <f>IFERROR(__xludf.DUMMYFUNCTION("""COMPUTED_VALUE"""),"NJ111_")</f>
        <v>NJ111_</v>
      </c>
      <c r="D430" s="30" t="str">
        <f>IFERROR(__xludf.DUMMYFUNCTION("""COMPUTED_VALUE"""),"Hammerheads")</f>
        <v>Hammerheads</v>
      </c>
      <c r="E430" s="30">
        <f>IFERROR(__xludf.DUMMYFUNCTION("""COMPUTED_VALUE"""),12.0)</f>
        <v>12</v>
      </c>
      <c r="F430" s="30">
        <f>IFERROR(__xludf.DUMMYFUNCTION("""COMPUTED_VALUE"""),9.0)</f>
        <v>9</v>
      </c>
      <c r="G430" s="42">
        <f>IFERROR(__xludf.DUMMYFUNCTION("""COMPUTED_VALUE"""),3.0)</f>
        <v>3</v>
      </c>
      <c r="H430" s="42">
        <f>IFERROR(__xludf.DUMMYFUNCTION("""COMPUTED_VALUE"""),0.75)</f>
        <v>0.75</v>
      </c>
      <c r="I430" s="42">
        <f>IFERROR(__xludf.DUMMYFUNCTION("""COMPUTED_VALUE"""),0.4074074074074074)</f>
        <v>0.4074074074</v>
      </c>
      <c r="J430" s="30">
        <f>IFERROR(__xludf.DUMMYFUNCTION("""COMPUTED_VALUE"""),364.9166666666667)</f>
        <v>364.9166667</v>
      </c>
      <c r="K430" s="30">
        <f>IFERROR(__xludf.DUMMYFUNCTION("""COMPUTED_VALUE"""),0.9166666666666666)</f>
        <v>0.9166666667</v>
      </c>
      <c r="L430" s="30">
        <f>IFERROR(__xludf.DUMMYFUNCTION("""COMPUTED_VALUE"""),0.9166666666666666)</f>
        <v>0.9166666667</v>
      </c>
      <c r="M430" s="30">
        <f>IFERROR(__xludf.DUMMYFUNCTION("""COMPUTED_VALUE"""),1.5)</f>
        <v>1.5</v>
      </c>
      <c r="N430" s="30">
        <f>IFERROR(__xludf.DUMMYFUNCTION("""COMPUTED_VALUE"""),2.25)</f>
        <v>2.25</v>
      </c>
      <c r="O430" s="30">
        <f>IFERROR(__xludf.DUMMYFUNCTION("""COMPUTED_VALUE"""),299.4166666666667)</f>
        <v>299.4166667</v>
      </c>
      <c r="P430" s="30">
        <f>IFERROR(__xludf.DUMMYFUNCTION("""COMPUTED_VALUE"""),0.5833333333333334)</f>
        <v>0.5833333333</v>
      </c>
      <c r="Q430" s="30">
        <f>IFERROR(__xludf.DUMMYFUNCTION("""COMPUTED_VALUE"""),0.4444444444444444)</f>
        <v>0.4444444444</v>
      </c>
      <c r="R430" s="30">
        <f>IFERROR(__xludf.DUMMYFUNCTION("""COMPUTED_VALUE"""),1.138888888888889)</f>
        <v>1.138888889</v>
      </c>
      <c r="S430" s="30">
        <f>IFERROR(__xludf.DUMMYFUNCTION("""COMPUTED_VALUE"""),2.527777777777778)</f>
        <v>2.527777778</v>
      </c>
      <c r="T430" s="30">
        <f>IFERROR(__xludf.DUMMYFUNCTION("""COMPUTED_VALUE"""),350.9546277174191)</f>
        <v>350.9546277</v>
      </c>
      <c r="U430" s="30">
        <f>IFERROR(__xludf.DUMMYFUNCTION("""COMPUTED_VALUE"""),0.8521843264837518)</f>
        <v>0.8521843265</v>
      </c>
      <c r="V430" s="30">
        <f>IFERROR(__xludf.DUMMYFUNCTION("""COMPUTED_VALUE"""),0.6152860062426448)</f>
        <v>0.6152860062</v>
      </c>
      <c r="W430" s="30">
        <f>IFERROR(__xludf.DUMMYFUNCTION("""COMPUTED_VALUE"""),1.2369280375461107)</f>
        <v>1.236928038</v>
      </c>
      <c r="X430" s="30">
        <f>IFERROR(__xludf.DUMMYFUNCTION("""COMPUTED_VALUE"""),2.752638506256023)</f>
        <v>2.752638506</v>
      </c>
      <c r="Y430" s="30">
        <f>IFERROR(__xludf.DUMMYFUNCTION("""COMPUTED_VALUE"""),344.8694545146397)</f>
        <v>344.8694545</v>
      </c>
      <c r="Z430" s="30">
        <f>IFERROR(__xludf.DUMMYFUNCTION("""COMPUTED_VALUE"""),0.799825023013486)</f>
        <v>0.799825023</v>
      </c>
      <c r="AA430" s="30">
        <f>IFERROR(__xludf.DUMMYFUNCTION("""COMPUTED_VALUE"""),0.5533307199557921)</f>
        <v>0.55333072</v>
      </c>
      <c r="AB430" s="30">
        <f>IFERROR(__xludf.DUMMYFUNCTION("""COMPUTED_VALUE"""),1.3251714841114894)</f>
        <v>1.325171484</v>
      </c>
      <c r="AC430" s="30">
        <f>IFERROR(__xludf.DUMMYFUNCTION("""COMPUTED_VALUE"""),2.54621092203439)</f>
        <v>2.546210922</v>
      </c>
      <c r="AD430" s="30">
        <f>IFERROR(__xludf.DUMMYFUNCTION("""COMPUTED_VALUE"""),1.0581298572244995)</f>
        <v>1.058129857</v>
      </c>
      <c r="AE430" s="30">
        <f>IFERROR(__xludf.DUMMYFUNCTION("""COMPUTED_VALUE"""),1.1460840062404631)</f>
        <v>1.146084006</v>
      </c>
      <c r="AF430" s="30">
        <f>IFERROR(__xludf.DUMMYFUNCTION("""COMPUTED_VALUE"""),1.656634330260758)</f>
        <v>1.65663433</v>
      </c>
      <c r="AG430" s="30">
        <f>IFERROR(__xludf.DUMMYFUNCTION("""COMPUTED_VALUE"""),1.1319289752191815)</f>
        <v>1.131928975</v>
      </c>
      <c r="AH430" s="30">
        <f>IFERROR(__xludf.DUMMYFUNCTION("""COMPUTED_VALUE"""),0.8836659918975914)</f>
        <v>0.8836659919</v>
      </c>
      <c r="AI430" s="30">
        <f>IFERROR(__xludf.DUMMYFUNCTION("""COMPUTED_VALUE"""),0.8531492193564986)</f>
        <v>0.8531492194</v>
      </c>
      <c r="AJ430" s="30">
        <f>IFERROR(__xludf.DUMMYFUNCTION("""COMPUTED_VALUE"""),0.6845154448454357)</f>
        <v>0.6845154448</v>
      </c>
      <c r="AK430" s="30">
        <f>IFERROR(__xludf.DUMMYFUNCTION("""COMPUTED_VALUE"""),0.7223379695542317)</f>
        <v>0.7223379696</v>
      </c>
      <c r="AL430" s="30">
        <f>IFERROR(__xludf.DUMMYFUNCTION("""COMPUTED_VALUE"""),0.9207398121141167)</f>
        <v>0.9207398121</v>
      </c>
      <c r="AM430" s="30">
        <f>IFERROR(__xludf.DUMMYFUNCTION("""COMPUTED_VALUE"""),0.9183108395936497)</f>
        <v>0.9183108396</v>
      </c>
      <c r="AN430" s="30">
        <f>IFERROR(__xludf.DUMMYFUNCTION("""COMPUTED_VALUE"""),1.0766379949412495)</f>
        <v>1.076637995</v>
      </c>
      <c r="AO430" s="30">
        <f>IFERROR(__xludf.DUMMYFUNCTION("""COMPUTED_VALUE"""),1.2477423395951288)</f>
        <v>1.24774234</v>
      </c>
      <c r="AP430" s="30">
        <f>IFERROR(__xludf.DUMMYFUNCTION("""COMPUTED_VALUE"""),1.636834958568075)</f>
        <v>1.636834959</v>
      </c>
      <c r="AQ430" s="30">
        <f>IFERROR(__xludf.DUMMYFUNCTION("""COMPUTED_VALUE"""),1.1446579223997926)</f>
        <v>1.144657922</v>
      </c>
      <c r="AR430" s="30">
        <f>IFERROR(__xludf.DUMMYFUNCTION("""COMPUTED_VALUE"""),0.9034890613752222)</f>
        <v>0.9034890614</v>
      </c>
      <c r="AS430" s="30">
        <f>IFERROR(__xludf.DUMMYFUNCTION("""COMPUTED_VALUE"""),37.0)</f>
        <v>37</v>
      </c>
      <c r="AT430" s="30">
        <f>IFERROR(__xludf.DUMMYFUNCTION("""COMPUTED_VALUE"""),0.7089360971304295)</f>
        <v>0.7089360971</v>
      </c>
      <c r="AU430" s="30">
        <f>IFERROR(__xludf.DUMMYFUNCTION("""COMPUTED_VALUE"""),2.862891523068275)</f>
        <v>2.862891523</v>
      </c>
      <c r="AV430" s="32">
        <f>IFERROR(__xludf.DUMMYFUNCTION("""COMPUTED_VALUE"""),80.61332936499535)</f>
        <v>80.61332936</v>
      </c>
      <c r="AW430" s="32">
        <f>IFERROR(__xludf.DUMMYFUNCTION("""COMPUTED_VALUE"""),9.059975061697692)</f>
        <v>9.059975062</v>
      </c>
      <c r="AX430" s="32">
        <f>IFERROR(__xludf.DUMMYFUNCTION("""COMPUTED_VALUE"""),59.40890410581836)</f>
        <v>59.40890411</v>
      </c>
      <c r="AY430" s="32">
        <f>IFERROR(__xludf.DUMMYFUNCTION("""COMPUTED_VALUE"""),2.8302468986394036)</f>
        <v>2.830246899</v>
      </c>
      <c r="AZ430" s="30">
        <f>IFERROR(__xludf.DUMMYFUNCTION("""COMPUTED_VALUE"""),6.229728163058288)</f>
        <v>6.229728163</v>
      </c>
      <c r="BA430" s="30">
        <f>IFERROR(__xludf.DUMMYFUNCTION("""COMPUTED_VALUE"""),1700.0)</f>
        <v>1700</v>
      </c>
    </row>
    <row r="431">
      <c r="A431" s="71" t="str">
        <f>IFERROR(__xludf.DUMMYFUNCTION("""COMPUTED_VALUE"""),"Rival")</f>
        <v>Rival</v>
      </c>
      <c r="B431" s="71" t="str">
        <f>IFERROR(__xludf.DUMMYFUNCTION("""COMPUTED_VALUE"""),"RSC004347")</f>
        <v>RSC004347</v>
      </c>
      <c r="C431" s="30" t="str">
        <f>IFERROR(__xludf.DUMMYFUNCTION("""COMPUTED_VALUE"""),"Good job you")</f>
        <v>Good job you</v>
      </c>
      <c r="D431" s="30" t="str">
        <f>IFERROR(__xludf.DUMMYFUNCTION("""COMPUTED_VALUE"""),"Bulldozers")</f>
        <v>Bulldozers</v>
      </c>
      <c r="E431" s="30">
        <f>IFERROR(__xludf.DUMMYFUNCTION("""COMPUTED_VALUE"""),36.0)</f>
        <v>36</v>
      </c>
      <c r="F431" s="30">
        <f>IFERROR(__xludf.DUMMYFUNCTION("""COMPUTED_VALUE"""),28.0)</f>
        <v>28</v>
      </c>
      <c r="G431" s="42">
        <f>IFERROR(__xludf.DUMMYFUNCTION("""COMPUTED_VALUE"""),8.0)</f>
        <v>8</v>
      </c>
      <c r="H431" s="42">
        <f>IFERROR(__xludf.DUMMYFUNCTION("""COMPUTED_VALUE"""),0.7777777777777778)</f>
        <v>0.7777777778</v>
      </c>
      <c r="I431" s="42">
        <f>IFERROR(__xludf.DUMMYFUNCTION("""COMPUTED_VALUE"""),0.34782608695652173)</f>
        <v>0.347826087</v>
      </c>
      <c r="J431" s="30">
        <f>IFERROR(__xludf.DUMMYFUNCTION("""COMPUTED_VALUE"""),379.3333333333333)</f>
        <v>379.3333333</v>
      </c>
      <c r="K431" s="30">
        <f>IFERROR(__xludf.DUMMYFUNCTION("""COMPUTED_VALUE"""),0.8888888888888888)</f>
        <v>0.8888888889</v>
      </c>
      <c r="L431" s="30">
        <f>IFERROR(__xludf.DUMMYFUNCTION("""COMPUTED_VALUE"""),1.0555555555555556)</f>
        <v>1.055555556</v>
      </c>
      <c r="M431" s="30">
        <f>IFERROR(__xludf.DUMMYFUNCTION("""COMPUTED_VALUE"""),1.0277777777777777)</f>
        <v>1.027777778</v>
      </c>
      <c r="N431" s="30">
        <f>IFERROR(__xludf.DUMMYFUNCTION("""COMPUTED_VALUE"""),2.5555555555555554)</f>
        <v>2.555555556</v>
      </c>
      <c r="O431" s="30">
        <f>IFERROR(__xludf.DUMMYFUNCTION("""COMPUTED_VALUE"""),325.9351851851853)</f>
        <v>325.9351852</v>
      </c>
      <c r="P431" s="30">
        <f>IFERROR(__xludf.DUMMYFUNCTION("""COMPUTED_VALUE"""),0.6388888888888887)</f>
        <v>0.6388888889</v>
      </c>
      <c r="Q431" s="30">
        <f>IFERROR(__xludf.DUMMYFUNCTION("""COMPUTED_VALUE"""),0.4722222222222223)</f>
        <v>0.4722222222</v>
      </c>
      <c r="R431" s="30">
        <f>IFERROR(__xludf.DUMMYFUNCTION("""COMPUTED_VALUE"""),1.3518518518518516)</f>
        <v>1.351851852</v>
      </c>
      <c r="S431" s="30">
        <f>IFERROR(__xludf.DUMMYFUNCTION("""COMPUTED_VALUE"""),2.7129629629629624)</f>
        <v>2.712962963</v>
      </c>
      <c r="T431" s="30">
        <f>IFERROR(__xludf.DUMMYFUNCTION("""COMPUTED_VALUE"""),344.90656359466306)</f>
        <v>344.9065636</v>
      </c>
      <c r="U431" s="30">
        <f>IFERROR(__xludf.DUMMYFUNCTION("""COMPUTED_VALUE"""),0.738875446722514)</f>
        <v>0.7388754467</v>
      </c>
      <c r="V431" s="30">
        <f>IFERROR(__xludf.DUMMYFUNCTION("""COMPUTED_VALUE"""),0.5657110365613641)</f>
        <v>0.5657110366</v>
      </c>
      <c r="W431" s="30">
        <f>IFERROR(__xludf.DUMMYFUNCTION("""COMPUTED_VALUE"""),1.3275065962177794)</f>
        <v>1.327506596</v>
      </c>
      <c r="X431" s="30">
        <f>IFERROR(__xludf.DUMMYFUNCTION("""COMPUTED_VALUE"""),2.5216047939367066)</f>
        <v>2.521604794</v>
      </c>
      <c r="Y431" s="30">
        <f>IFERROR(__xludf.DUMMYFUNCTION("""COMPUTED_VALUE"""),361.5894706925966)</f>
        <v>361.5894707</v>
      </c>
      <c r="Z431" s="30">
        <f>IFERROR(__xludf.DUMMYFUNCTION("""COMPUTED_VALUE"""),0.8592074304929124)</f>
        <v>0.8592074305</v>
      </c>
      <c r="AA431" s="30">
        <f>IFERROR(__xludf.DUMMYFUNCTION("""COMPUTED_VALUE"""),0.6349624175612028)</f>
        <v>0.6349624176</v>
      </c>
      <c r="AB431" s="30">
        <f>IFERROR(__xludf.DUMMYFUNCTION("""COMPUTED_VALUE"""),1.3193085227123822)</f>
        <v>1.319308523</v>
      </c>
      <c r="AC431" s="30">
        <f>IFERROR(__xludf.DUMMYFUNCTION("""COMPUTED_VALUE"""),2.6661703734553464)</f>
        <v>2.666170373</v>
      </c>
      <c r="AD431" s="30">
        <f>IFERROR(__xludf.DUMMYFUNCTION("""COMPUTED_VALUE"""),1.0490718455013353)</f>
        <v>1.049071846</v>
      </c>
      <c r="AE431" s="30">
        <f>IFERROR(__xludf.DUMMYFUNCTION("""COMPUTED_VALUE"""),1.0345451602751488)</f>
        <v>1.03454516</v>
      </c>
      <c r="AF431" s="30">
        <f>IFERROR(__xludf.DUMMYFUNCTION("""COMPUTED_VALUE"""),1.6623906019663166)</f>
        <v>1.662390602</v>
      </c>
      <c r="AG431" s="30">
        <f>IFERROR(__xludf.DUMMYFUNCTION("""COMPUTED_VALUE"""),0.7790276194568629)</f>
        <v>0.7790276195</v>
      </c>
      <c r="AH431" s="30">
        <f>IFERROR(__xludf.DUMMYFUNCTION("""COMPUTED_VALUE"""),0.9585117219060406)</f>
        <v>0.9585117219</v>
      </c>
      <c r="AI431" s="30">
        <f>IFERROR(__xludf.DUMMYFUNCTION("""COMPUTED_VALUE"""),0.9449956005134971)</f>
        <v>0.9449956005</v>
      </c>
      <c r="AJ431" s="30">
        <f>IFERROR(__xludf.DUMMYFUNCTION("""COMPUTED_VALUE"""),0.864677384697051)</f>
        <v>0.8646773847</v>
      </c>
      <c r="AK431" s="30">
        <f>IFERROR(__xludf.DUMMYFUNCTION("""COMPUTED_VALUE"""),0.8347410456981587)</f>
        <v>0.8347410457</v>
      </c>
      <c r="AL431" s="30">
        <f>IFERROR(__xludf.DUMMYFUNCTION("""COMPUTED_VALUE"""),1.018339084493768)</f>
        <v>1.018339084</v>
      </c>
      <c r="AM431" s="30">
        <f>IFERROR(__xludf.DUMMYFUNCTION("""COMPUTED_VALUE"""),1.0758874544838999)</f>
        <v>1.075887454</v>
      </c>
      <c r="AN431" s="30">
        <f>IFERROR(__xludf.DUMMYFUNCTION("""COMPUTED_VALUE"""),1.1191724487263226)</f>
        <v>1.119172449</v>
      </c>
      <c r="AO431" s="30">
        <f>IFERROR(__xludf.DUMMYFUNCTION("""COMPUTED_VALUE"""),1.2099319656680037)</f>
        <v>1.209931966</v>
      </c>
      <c r="AP431" s="30">
        <f>IFERROR(__xludf.DUMMYFUNCTION("""COMPUTED_VALUE"""),1.8848402553208137)</f>
        <v>1.884840255</v>
      </c>
      <c r="AQ431" s="30">
        <f>IFERROR(__xludf.DUMMYFUNCTION("""COMPUTED_VALUE"""),0.784302650533191)</f>
        <v>0.7843026505</v>
      </c>
      <c r="AR431" s="30">
        <f>IFERROR(__xludf.DUMMYFUNCTION("""COMPUTED_VALUE"""),1.026185106747166)</f>
        <v>1.026185107</v>
      </c>
      <c r="AS431" s="30">
        <f>IFERROR(__xludf.DUMMYFUNCTION("""COMPUTED_VALUE"""),112.0)</f>
        <v>112</v>
      </c>
      <c r="AT431" s="30">
        <f>IFERROR(__xludf.DUMMYFUNCTION("""COMPUTED_VALUE"""),0.6835214685714367)</f>
        <v>0.6835214686</v>
      </c>
      <c r="AU431" s="30">
        <f>IFERROR(__xludf.DUMMYFUNCTION("""COMPUTED_VALUE"""),2.8281583001323956)</f>
        <v>2.8281583</v>
      </c>
      <c r="AV431" s="32">
        <f>IFERROR(__xludf.DUMMYFUNCTION("""COMPUTED_VALUE"""),79.38641058880418)</f>
        <v>79.38641059</v>
      </c>
      <c r="AW431" s="32">
        <f>IFERROR(__xludf.DUMMYFUNCTION("""COMPUTED_VALUE"""),8.339860621920216)</f>
        <v>8.339860622</v>
      </c>
      <c r="AX431" s="32">
        <f>IFERROR(__xludf.DUMMYFUNCTION("""COMPUTED_VALUE"""),56.04168046878956)</f>
        <v>56.04168047</v>
      </c>
      <c r="AY431" s="32">
        <f>IFERROR(__xludf.DUMMYFUNCTION("""COMPUTED_VALUE"""),2.472071670271212)</f>
        <v>2.47207167</v>
      </c>
      <c r="AZ431" s="30">
        <f>IFERROR(__xludf.DUMMYFUNCTION("""COMPUTED_VALUE"""),5.867788951649004)</f>
        <v>5.867788952</v>
      </c>
      <c r="BA431" s="30">
        <f>IFERROR(__xludf.DUMMYFUNCTION("""COMPUTED_VALUE"""),1700.0)</f>
        <v>1700</v>
      </c>
    </row>
    <row r="432">
      <c r="A432" s="71" t="str">
        <f>IFERROR(__xludf.DUMMYFUNCTION("""COMPUTED_VALUE"""),"Rival")</f>
        <v>Rival</v>
      </c>
      <c r="B432" s="71" t="str">
        <f>IFERROR(__xludf.DUMMYFUNCTION("""COMPUTED_VALUE"""),"RSC007861")</f>
        <v>RSC007861</v>
      </c>
      <c r="C432" s="30" t="str">
        <f>IFERROR(__xludf.DUMMYFUNCTION("""COMPUTED_VALUE"""),"xmanyaknow")</f>
        <v>xmanyaknow</v>
      </c>
      <c r="D432" s="30" t="str">
        <f>IFERROR(__xludf.DUMMYFUNCTION("""COMPUTED_VALUE"""),"Phantoms")</f>
        <v>Phantoms</v>
      </c>
      <c r="E432" s="30">
        <f>IFERROR(__xludf.DUMMYFUNCTION("""COMPUTED_VALUE"""),25.0)</f>
        <v>25</v>
      </c>
      <c r="F432" s="30">
        <f>IFERROR(__xludf.DUMMYFUNCTION("""COMPUTED_VALUE"""),9.0)</f>
        <v>9</v>
      </c>
      <c r="G432" s="42">
        <f>IFERROR(__xludf.DUMMYFUNCTION("""COMPUTED_VALUE"""),16.0)</f>
        <v>16</v>
      </c>
      <c r="H432" s="42">
        <f>IFERROR(__xludf.DUMMYFUNCTION("""COMPUTED_VALUE"""),0.36)</f>
        <v>0.36</v>
      </c>
      <c r="I432" s="42">
        <f>IFERROR(__xludf.DUMMYFUNCTION("""COMPUTED_VALUE"""),0.1754385964912281)</f>
        <v>0.1754385965</v>
      </c>
      <c r="J432" s="30">
        <f>IFERROR(__xludf.DUMMYFUNCTION("""COMPUTED_VALUE"""),309.16)</f>
        <v>309.16</v>
      </c>
      <c r="K432" s="30">
        <f>IFERROR(__xludf.DUMMYFUNCTION("""COMPUTED_VALUE"""),0.4)</f>
        <v>0.4</v>
      </c>
      <c r="L432" s="30">
        <f>IFERROR(__xludf.DUMMYFUNCTION("""COMPUTED_VALUE"""),0.36)</f>
        <v>0.36</v>
      </c>
      <c r="M432" s="30">
        <f>IFERROR(__xludf.DUMMYFUNCTION("""COMPUTED_VALUE"""),1.52)</f>
        <v>1.52</v>
      </c>
      <c r="N432" s="30">
        <f>IFERROR(__xludf.DUMMYFUNCTION("""COMPUTED_VALUE"""),2.28)</f>
        <v>2.28</v>
      </c>
      <c r="O432" s="30">
        <f>IFERROR(__xludf.DUMMYFUNCTION("""COMPUTED_VALUE"""),364.97333333333336)</f>
        <v>364.9733333</v>
      </c>
      <c r="P432" s="30">
        <f>IFERROR(__xludf.DUMMYFUNCTION("""COMPUTED_VALUE"""),0.9600000000000002)</f>
        <v>0.96</v>
      </c>
      <c r="Q432" s="30">
        <f>IFERROR(__xludf.DUMMYFUNCTION("""COMPUTED_VALUE"""),0.7066666666666666)</f>
        <v>0.7066666667</v>
      </c>
      <c r="R432" s="30">
        <f>IFERROR(__xludf.DUMMYFUNCTION("""COMPUTED_VALUE"""),1.1733333333333331)</f>
        <v>1.173333333</v>
      </c>
      <c r="S432" s="30">
        <f>IFERROR(__xludf.DUMMYFUNCTION("""COMPUTED_VALUE"""),2.7599999999999993)</f>
        <v>2.76</v>
      </c>
      <c r="T432" s="30">
        <f>IFERROR(__xludf.DUMMYFUNCTION("""COMPUTED_VALUE"""),349.11907653022007)</f>
        <v>349.1190765</v>
      </c>
      <c r="U432" s="30">
        <f>IFERROR(__xludf.DUMMYFUNCTION("""COMPUTED_VALUE"""),0.797124088396669)</f>
        <v>0.7971240884</v>
      </c>
      <c r="V432" s="30">
        <f>IFERROR(__xludf.DUMMYFUNCTION("""COMPUTED_VALUE"""),0.5423863176250275)</f>
        <v>0.5423863176</v>
      </c>
      <c r="W432" s="30">
        <f>IFERROR(__xludf.DUMMYFUNCTION("""COMPUTED_VALUE"""),1.319424725274725)</f>
        <v>1.319424725</v>
      </c>
      <c r="X432" s="30">
        <f>IFERROR(__xludf.DUMMYFUNCTION("""COMPUTED_VALUE"""),2.4735058423655194)</f>
        <v>2.473505842</v>
      </c>
      <c r="Y432" s="30">
        <f>IFERROR(__xludf.DUMMYFUNCTION("""COMPUTED_VALUE"""),335.50223308789964)</f>
        <v>335.5022331</v>
      </c>
      <c r="Z432" s="30">
        <f>IFERROR(__xludf.DUMMYFUNCTION("""COMPUTED_VALUE"""),0.7213472518123054)</f>
        <v>0.7213472518</v>
      </c>
      <c r="AA432" s="30">
        <f>IFERROR(__xludf.DUMMYFUNCTION("""COMPUTED_VALUE"""),0.5082568750445094)</f>
        <v>0.508256875</v>
      </c>
      <c r="AB432" s="30">
        <f>IFERROR(__xludf.DUMMYFUNCTION("""COMPUTED_VALUE"""),1.2710637071013418)</f>
        <v>1.271063707</v>
      </c>
      <c r="AC432" s="30">
        <f>IFERROR(__xludf.DUMMYFUNCTION("""COMPUTED_VALUE"""),2.4553650914995)</f>
        <v>2.455365091</v>
      </c>
      <c r="AD432" s="30">
        <f>IFERROR(__xludf.DUMMYFUNCTION("""COMPUTED_VALUE"""),0.9214841795672993)</f>
        <v>0.9214841796</v>
      </c>
      <c r="AE432" s="30">
        <f>IFERROR(__xludf.DUMMYFUNCTION("""COMPUTED_VALUE"""),0.5545179509522552)</f>
        <v>0.554517951</v>
      </c>
      <c r="AF432" s="30">
        <f>IFERROR(__xludf.DUMMYFUNCTION("""COMPUTED_VALUE"""),0.7083032570262306)</f>
        <v>0.708303257</v>
      </c>
      <c r="AG432" s="30">
        <f>IFERROR(__xludf.DUMMYFUNCTION("""COMPUTED_VALUE"""),1.1958487930289168)</f>
        <v>1.195848793</v>
      </c>
      <c r="AH432" s="30">
        <f>IFERROR(__xludf.DUMMYFUNCTION("""COMPUTED_VALUE"""),0.9285788121258969)</f>
        <v>0.9285788121</v>
      </c>
      <c r="AI432" s="30">
        <f>IFERROR(__xludf.DUMMYFUNCTION("""COMPUTED_VALUE"""),1.0454121755839971)</f>
        <v>1.045412176</v>
      </c>
      <c r="AJ432" s="30">
        <f>IFERROR(__xludf.DUMMYFUNCTION("""COMPUTED_VALUE"""),1.2043294312318913)</f>
        <v>1.204329431</v>
      </c>
      <c r="AK432" s="30">
        <f>IFERROR(__xludf.DUMMYFUNCTION("""COMPUTED_VALUE"""),1.3028843901538318)</f>
        <v>1.30288439</v>
      </c>
      <c r="AL432" s="30">
        <f>IFERROR(__xludf.DUMMYFUNCTION("""COMPUTED_VALUE"""),0.8892764481801162)</f>
        <v>0.8892764482</v>
      </c>
      <c r="AM432" s="30">
        <f>IFERROR(__xludf.DUMMYFUNCTION("""COMPUTED_VALUE"""),1.1158251388484668)</f>
        <v>1.115825139</v>
      </c>
      <c r="AN432" s="30">
        <f>IFERROR(__xludf.DUMMYFUNCTION("""COMPUTED_VALUE"""),0.9121353802677415)</f>
        <v>0.9121353803</v>
      </c>
      <c r="AO432" s="30">
        <f>IFERROR(__xludf.DUMMYFUNCTION("""COMPUTED_VALUE"""),0.5444693845506017)</f>
        <v>0.5444693846</v>
      </c>
      <c r="AP432" s="30">
        <f>IFERROR(__xludf.DUMMYFUNCTION("""COMPUTED_VALUE"""),0.6428297291830986)</f>
        <v>0.6428297292</v>
      </c>
      <c r="AQ432" s="30">
        <f>IFERROR(__xludf.DUMMYFUNCTION("""COMPUTED_VALUE"""),1.1599200280317898)</f>
        <v>1.159920028</v>
      </c>
      <c r="AR432" s="30">
        <f>IFERROR(__xludf.DUMMYFUNCTION("""COMPUTED_VALUE"""),0.9155355821935585)</f>
        <v>0.9155355822</v>
      </c>
      <c r="AS432" s="30">
        <f>IFERROR(__xludf.DUMMYFUNCTION("""COMPUTED_VALUE"""),45.0)</f>
        <v>45</v>
      </c>
      <c r="AT432" s="30">
        <f>IFERROR(__xludf.DUMMYFUNCTION("""COMPUTED_VALUE"""),0.3247742193712094)</f>
        <v>0.3247742194</v>
      </c>
      <c r="AU432" s="30">
        <f>IFERROR(__xludf.DUMMYFUNCTION("""COMPUTED_VALUE"""),1.098529053814062)</f>
        <v>1.098529054</v>
      </c>
      <c r="AV432" s="32">
        <f>IFERROR(__xludf.DUMMYFUNCTION("""COMPUTED_VALUE"""),18.28886711940151)</f>
        <v>18.28886712</v>
      </c>
      <c r="AW432" s="32">
        <f>IFERROR(__xludf.DUMMYFUNCTION("""COMPUTED_VALUE"""),-9.773309662887867)</f>
        <v>-9.773309663</v>
      </c>
      <c r="AX432" s="32">
        <f>IFERROR(__xludf.DUMMYFUNCTION("""COMPUTED_VALUE"""),33.291445567218176)</f>
        <v>33.29144557</v>
      </c>
      <c r="AY432" s="32">
        <f>IFERROR(__xludf.DUMMYFUNCTION("""COMPUTED_VALUE"""),-3.968921785257165)</f>
        <v>-3.968921785</v>
      </c>
      <c r="AZ432" s="30">
        <f>IFERROR(__xludf.DUMMYFUNCTION("""COMPUTED_VALUE"""),5.804387877630702)</f>
        <v>5.804387878</v>
      </c>
      <c r="BA432" s="30">
        <f>IFERROR(__xludf.DUMMYFUNCTION("""COMPUTED_VALUE"""),1700.0)</f>
        <v>1700</v>
      </c>
    </row>
    <row r="433">
      <c r="A433" s="71" t="str">
        <f>IFERROR(__xludf.DUMMYFUNCTION("""COMPUTED_VALUE"""),"Rival")</f>
        <v>Rival</v>
      </c>
      <c r="B433" s="71" t="str">
        <f>IFERROR(__xludf.DUMMYFUNCTION("""COMPUTED_VALUE"""),"RSC006138")</f>
        <v>RSC006138</v>
      </c>
      <c r="C433" s="30" t="str">
        <f>IFERROR(__xludf.DUMMYFUNCTION("""COMPUTED_VALUE"""),"NekomancerKoral")</f>
        <v>NekomancerKoral</v>
      </c>
      <c r="D433" s="30" t="str">
        <f>IFERROR(__xludf.DUMMYFUNCTION("""COMPUTED_VALUE"""),"Jetstream")</f>
        <v>Jetstream</v>
      </c>
      <c r="E433" s="30">
        <f>IFERROR(__xludf.DUMMYFUNCTION("""COMPUTED_VALUE"""),21.0)</f>
        <v>21</v>
      </c>
      <c r="F433" s="30">
        <f>IFERROR(__xludf.DUMMYFUNCTION("""COMPUTED_VALUE"""),7.0)</f>
        <v>7</v>
      </c>
      <c r="G433" s="42">
        <f>IFERROR(__xludf.DUMMYFUNCTION("""COMPUTED_VALUE"""),14.0)</f>
        <v>14</v>
      </c>
      <c r="H433" s="42">
        <f>IFERROR(__xludf.DUMMYFUNCTION("""COMPUTED_VALUE"""),0.3333333333333333)</f>
        <v>0.3333333333</v>
      </c>
      <c r="I433" s="42">
        <f>IFERROR(__xludf.DUMMYFUNCTION("""COMPUTED_VALUE"""),0.41379310344827586)</f>
        <v>0.4137931034</v>
      </c>
      <c r="J433" s="30">
        <f>IFERROR(__xludf.DUMMYFUNCTION("""COMPUTED_VALUE"""),358.6666666666667)</f>
        <v>358.6666667</v>
      </c>
      <c r="K433" s="30">
        <f>IFERROR(__xludf.DUMMYFUNCTION("""COMPUTED_VALUE"""),1.1428571428571428)</f>
        <v>1.142857143</v>
      </c>
      <c r="L433" s="30">
        <f>IFERROR(__xludf.DUMMYFUNCTION("""COMPUTED_VALUE"""),0.38095238095238093)</f>
        <v>0.380952381</v>
      </c>
      <c r="M433" s="30">
        <f>IFERROR(__xludf.DUMMYFUNCTION("""COMPUTED_VALUE"""),1.4761904761904763)</f>
        <v>1.476190476</v>
      </c>
      <c r="N433" s="30">
        <f>IFERROR(__xludf.DUMMYFUNCTION("""COMPUTED_VALUE"""),2.761904761904762)</f>
        <v>2.761904762</v>
      </c>
      <c r="O433" s="30">
        <f>IFERROR(__xludf.DUMMYFUNCTION("""COMPUTED_VALUE"""),375.80952380952374)</f>
        <v>375.8095238</v>
      </c>
      <c r="P433" s="30">
        <f>IFERROR(__xludf.DUMMYFUNCTION("""COMPUTED_VALUE"""),0.9365079365079365)</f>
        <v>0.9365079365</v>
      </c>
      <c r="Q433" s="30">
        <f>IFERROR(__xludf.DUMMYFUNCTION("""COMPUTED_VALUE"""),0.6984126984126985)</f>
        <v>0.6984126984</v>
      </c>
      <c r="R433" s="30">
        <f>IFERROR(__xludf.DUMMYFUNCTION("""COMPUTED_VALUE"""),1.2539682539682542)</f>
        <v>1.253968254</v>
      </c>
      <c r="S433" s="30">
        <f>IFERROR(__xludf.DUMMYFUNCTION("""COMPUTED_VALUE"""),3.1269841269841274)</f>
        <v>3.126984127</v>
      </c>
      <c r="T433" s="30">
        <f>IFERROR(__xludf.DUMMYFUNCTION("""COMPUTED_VALUE"""),355.85237919189535)</f>
        <v>355.8523792</v>
      </c>
      <c r="U433" s="30">
        <f>IFERROR(__xludf.DUMMYFUNCTION("""COMPUTED_VALUE"""),0.8223184834167935)</f>
        <v>0.8223184834</v>
      </c>
      <c r="V433" s="30">
        <f>IFERROR(__xludf.DUMMYFUNCTION("""COMPUTED_VALUE"""),0.5675395066332086)</f>
        <v>0.5675395066</v>
      </c>
      <c r="W433" s="30">
        <f>IFERROR(__xludf.DUMMYFUNCTION("""COMPUTED_VALUE"""),1.2867040367040363)</f>
        <v>1.286704037</v>
      </c>
      <c r="X433" s="30">
        <f>IFERROR(__xludf.DUMMYFUNCTION("""COMPUTED_VALUE"""),2.7841921945608576)</f>
        <v>2.784192195</v>
      </c>
      <c r="Y433" s="30">
        <f>IFERROR(__xludf.DUMMYFUNCTION("""COMPUTED_VALUE"""),351.57657501228925)</f>
        <v>351.576575</v>
      </c>
      <c r="Z433" s="30">
        <f>IFERROR(__xludf.DUMMYFUNCTION("""COMPUTED_VALUE"""),0.7947810386878489)</f>
        <v>0.7947810387</v>
      </c>
      <c r="AA433" s="30">
        <f>IFERROR(__xludf.DUMMYFUNCTION("""COMPUTED_VALUE"""),0.587299868495465)</f>
        <v>0.5872998685</v>
      </c>
      <c r="AB433" s="30">
        <f>IFERROR(__xludf.DUMMYFUNCTION("""COMPUTED_VALUE"""),1.3727760765907204)</f>
        <v>1.372776077</v>
      </c>
      <c r="AC433" s="30">
        <f>IFERROR(__xludf.DUMMYFUNCTION("""COMPUTED_VALUE"""),2.595821572370471)</f>
        <v>2.595821572</v>
      </c>
      <c r="AD433" s="30">
        <f>IFERROR(__xludf.DUMMYFUNCTION("""COMPUTED_VALUE"""),1.02016656443658)</f>
        <v>1.020166564</v>
      </c>
      <c r="AE433" s="30">
        <f>IFERROR(__xludf.DUMMYFUNCTION("""COMPUTED_VALUE"""),1.4379521996950926)</f>
        <v>1.4379522</v>
      </c>
      <c r="AF433" s="30">
        <f>IFERROR(__xludf.DUMMYFUNCTION("""COMPUTED_VALUE"""),0.6486505469996076)</f>
        <v>0.648650547</v>
      </c>
      <c r="AG433" s="30">
        <f>IFERROR(__xludf.DUMMYFUNCTION("""COMPUTED_VALUE"""),1.0753323148350493)</f>
        <v>1.075332315</v>
      </c>
      <c r="AH433" s="30">
        <f>IFERROR(__xludf.DUMMYFUNCTION("""COMPUTED_VALUE"""),1.0639809728457668)</f>
        <v>1.063980973</v>
      </c>
      <c r="AI433" s="30">
        <f>IFERROR(__xludf.DUMMYFUNCTION("""COMPUTED_VALUE"""),1.0560826505163434)</f>
        <v>1.056082651</v>
      </c>
      <c r="AJ433" s="30">
        <f>IFERROR(__xludf.DUMMYFUNCTION("""COMPUTED_VALUE"""),1.138862807286877)</f>
        <v>1.138862807</v>
      </c>
      <c r="AK433" s="30">
        <f>IFERROR(__xludf.DUMMYFUNCTION("""COMPUTED_VALUE"""),1.230597500702398)</f>
        <v>1.230597501</v>
      </c>
      <c r="AL433" s="30">
        <f>IFERROR(__xludf.DUMMYFUNCTION("""COMPUTED_VALUE"""),0.9745584207385899)</f>
        <v>0.9745584207</v>
      </c>
      <c r="AM433" s="30">
        <f>IFERROR(__xludf.DUMMYFUNCTION("""COMPUTED_VALUE"""),1.12312078637852)</f>
        <v>1.123120786</v>
      </c>
      <c r="AN433" s="30">
        <f>IFERROR(__xludf.DUMMYFUNCTION("""COMPUTED_VALUE"""),1.058198202837894)</f>
        <v>1.058198203</v>
      </c>
      <c r="AO433" s="30">
        <f>IFERROR(__xludf.DUMMYFUNCTION("""COMPUTED_VALUE"""),1.555626813001719)</f>
        <v>1.555626813</v>
      </c>
      <c r="AP433" s="30">
        <f>IFERROR(__xludf.DUMMYFUNCTION("""COMPUTED_VALUE"""),0.6802430996646546)</f>
        <v>0.6802430997</v>
      </c>
      <c r="AQ433" s="30">
        <f>IFERROR(__xludf.DUMMYFUNCTION("""COMPUTED_VALUE"""),1.1264887490283673)</f>
        <v>1.126488749</v>
      </c>
      <c r="AR433" s="30">
        <f>IFERROR(__xludf.DUMMYFUNCTION("""COMPUTED_VALUE"""),1.1090447737515956)</f>
        <v>1.109044774</v>
      </c>
      <c r="AS433" s="30">
        <f>IFERROR(__xludf.DUMMYFUNCTION("""COMPUTED_VALUE"""),56.0)</f>
        <v>56</v>
      </c>
      <c r="AT433" s="30">
        <f>IFERROR(__xludf.DUMMYFUNCTION("""COMPUTED_VALUE"""),0.4787590545384701)</f>
        <v>0.4787590545</v>
      </c>
      <c r="AU433" s="30">
        <f>IFERROR(__xludf.DUMMYFUNCTION("""COMPUTED_VALUE"""),2.2858050537573904)</f>
        <v>2.285805054</v>
      </c>
      <c r="AV433" s="32">
        <f>IFERROR(__xludf.DUMMYFUNCTION("""COMPUTED_VALUE"""),60.22828689454869)</f>
        <v>60.22828689</v>
      </c>
      <c r="AW433" s="32">
        <f>IFERROR(__xludf.DUMMYFUNCTION("""COMPUTED_VALUE"""),2.9306469215593403)</f>
        <v>2.930646922</v>
      </c>
      <c r="AX433" s="32">
        <f>IFERROR(__xludf.DUMMYFUNCTION("""COMPUTED_VALUE"""),40.898182162510295)</f>
        <v>40.89818216</v>
      </c>
      <c r="AY433" s="32">
        <f>IFERROR(__xludf.DUMMYFUNCTION("""COMPUTED_VALUE"""),-2.794062067911062)</f>
        <v>-2.794062068</v>
      </c>
      <c r="AZ433" s="30">
        <f>IFERROR(__xludf.DUMMYFUNCTION("""COMPUTED_VALUE"""),5.724708989470402)</f>
        <v>5.724708989</v>
      </c>
      <c r="BA433" s="30">
        <f>IFERROR(__xludf.DUMMYFUNCTION("""COMPUTED_VALUE"""),1700.0)</f>
        <v>1700</v>
      </c>
    </row>
    <row r="434">
      <c r="A434" s="71" t="str">
        <f>IFERROR(__xludf.DUMMYFUNCTION("""COMPUTED_VALUE"""),"Rival")</f>
        <v>Rival</v>
      </c>
      <c r="B434" s="71" t="str">
        <f>IFERROR(__xludf.DUMMYFUNCTION("""COMPUTED_VALUE"""),"RSC005523")</f>
        <v>RSC005523</v>
      </c>
      <c r="C434" s="30" t="str">
        <f>IFERROR(__xludf.DUMMYFUNCTION("""COMPUTED_VALUE"""),"Laguna")</f>
        <v>Laguna</v>
      </c>
      <c r="D434" s="30" t="str">
        <f>IFERROR(__xludf.DUMMYFUNCTION("""COMPUTED_VALUE"""),"Polar Ice")</f>
        <v>Polar Ice</v>
      </c>
      <c r="E434" s="30">
        <f>IFERROR(__xludf.DUMMYFUNCTION("""COMPUTED_VALUE"""),25.0)</f>
        <v>25</v>
      </c>
      <c r="F434" s="30">
        <f>IFERROR(__xludf.DUMMYFUNCTION("""COMPUTED_VALUE"""),13.0)</f>
        <v>13</v>
      </c>
      <c r="G434" s="42">
        <f>IFERROR(__xludf.DUMMYFUNCTION("""COMPUTED_VALUE"""),12.0)</f>
        <v>12</v>
      </c>
      <c r="H434" s="42">
        <f>IFERROR(__xludf.DUMMYFUNCTION("""COMPUTED_VALUE"""),0.52)</f>
        <v>0.52</v>
      </c>
      <c r="I434" s="42">
        <f>IFERROR(__xludf.DUMMYFUNCTION("""COMPUTED_VALUE"""),0.3728813559322034)</f>
        <v>0.3728813559</v>
      </c>
      <c r="J434" s="30">
        <f>IFERROR(__xludf.DUMMYFUNCTION("""COMPUTED_VALUE"""),340.28)</f>
        <v>340.28</v>
      </c>
      <c r="K434" s="30">
        <f>IFERROR(__xludf.DUMMYFUNCTION("""COMPUTED_VALUE"""),0.88)</f>
        <v>0.88</v>
      </c>
      <c r="L434" s="30">
        <f>IFERROR(__xludf.DUMMYFUNCTION("""COMPUTED_VALUE"""),0.76)</f>
        <v>0.76</v>
      </c>
      <c r="M434" s="30">
        <f>IFERROR(__xludf.DUMMYFUNCTION("""COMPUTED_VALUE"""),1.04)</f>
        <v>1.04</v>
      </c>
      <c r="N434" s="30">
        <f>IFERROR(__xludf.DUMMYFUNCTION("""COMPUTED_VALUE"""),2.36)</f>
        <v>2.36</v>
      </c>
      <c r="O434" s="30">
        <f>IFERROR(__xludf.DUMMYFUNCTION("""COMPUTED_VALUE"""),365.79999999999995)</f>
        <v>365.8</v>
      </c>
      <c r="P434" s="30">
        <f>IFERROR(__xludf.DUMMYFUNCTION("""COMPUTED_VALUE"""),0.8)</f>
        <v>0.8</v>
      </c>
      <c r="Q434" s="30">
        <f>IFERROR(__xludf.DUMMYFUNCTION("""COMPUTED_VALUE"""),0.5333333333333332)</f>
        <v>0.5333333333</v>
      </c>
      <c r="R434" s="30">
        <f>IFERROR(__xludf.DUMMYFUNCTION("""COMPUTED_VALUE"""),1.4666666666666668)</f>
        <v>1.466666667</v>
      </c>
      <c r="S434" s="30">
        <f>IFERROR(__xludf.DUMMYFUNCTION("""COMPUTED_VALUE"""),2.6000000000000005)</f>
        <v>2.6</v>
      </c>
      <c r="T434" s="30">
        <f>IFERROR(__xludf.DUMMYFUNCTION("""COMPUTED_VALUE"""),339.20535100817847)</f>
        <v>339.205351</v>
      </c>
      <c r="U434" s="30">
        <f>IFERROR(__xludf.DUMMYFUNCTION("""COMPUTED_VALUE"""),0.7389292094978369)</f>
        <v>0.7389292095</v>
      </c>
      <c r="V434" s="30">
        <f>IFERROR(__xludf.DUMMYFUNCTION("""COMPUTED_VALUE"""),0.509714467159565)</f>
        <v>0.5097144672</v>
      </c>
      <c r="W434" s="30">
        <f>IFERROR(__xludf.DUMMYFUNCTION("""COMPUTED_VALUE"""),1.3049860382536855)</f>
        <v>1.304986038</v>
      </c>
      <c r="X434" s="30">
        <f>IFERROR(__xludf.DUMMYFUNCTION("""COMPUTED_VALUE"""),2.5041309121524806)</f>
        <v>2.504130912</v>
      </c>
      <c r="Y434" s="30">
        <f>IFERROR(__xludf.DUMMYFUNCTION("""COMPUTED_VALUE"""),351.35308891289054)</f>
        <v>351.3530889</v>
      </c>
      <c r="Z434" s="30">
        <f>IFERROR(__xludf.DUMMYFUNCTION("""COMPUTED_VALUE"""),0.8052682683208825)</f>
        <v>0.8052682683</v>
      </c>
      <c r="AA434" s="30">
        <f>IFERROR(__xludf.DUMMYFUNCTION("""COMPUTED_VALUE"""),0.5920632694707857)</f>
        <v>0.5920632695</v>
      </c>
      <c r="AB434" s="30">
        <f>IFERROR(__xludf.DUMMYFUNCTION("""COMPUTED_VALUE"""),1.3215083232671472)</f>
        <v>1.321508323</v>
      </c>
      <c r="AC434" s="30">
        <f>IFERROR(__xludf.DUMMYFUNCTION("""COMPUTED_VALUE"""),2.6314992836865394)</f>
        <v>2.631499284</v>
      </c>
      <c r="AD434" s="30">
        <f>IFERROR(__xludf.DUMMYFUNCTION("""COMPUTED_VALUE"""),0.9684844412577917)</f>
        <v>0.9684844413</v>
      </c>
      <c r="AE434" s="30">
        <f>IFERROR(__xludf.DUMMYFUNCTION("""COMPUTED_VALUE"""),1.0928035222782906)</f>
        <v>1.092803522</v>
      </c>
      <c r="AF434" s="30">
        <f>IFERROR(__xludf.DUMMYFUNCTION("""COMPUTED_VALUE"""),1.2836465952014287)</f>
        <v>1.283646595</v>
      </c>
      <c r="AG434" s="30">
        <f>IFERROR(__xludf.DUMMYFUNCTION("""COMPUTED_VALUE"""),0.7869795306538986)</f>
        <v>0.7869795307</v>
      </c>
      <c r="AH434" s="30">
        <f>IFERROR(__xludf.DUMMYFUNCTION("""COMPUTED_VALUE"""),0.8968271489300241)</f>
        <v>0.8968271489</v>
      </c>
      <c r="AI434" s="30">
        <f>IFERROR(__xludf.DUMMYFUNCTION("""COMPUTED_VALUE"""),1.0784027991090868)</f>
        <v>1.078402799</v>
      </c>
      <c r="AJ434" s="30">
        <f>IFERROR(__xludf.DUMMYFUNCTION("""COMPUTED_VALUE"""),1.0826476876501685)</f>
        <v>1.082647688</v>
      </c>
      <c r="AK434" s="30">
        <f>IFERROR(__xludf.DUMMYFUNCTION("""COMPUTED_VALUE"""),1.0463374451688348)</f>
        <v>1.046337445</v>
      </c>
      <c r="AL434" s="30">
        <f>IFERROR(__xludf.DUMMYFUNCTION("""COMPUTED_VALUE"""),1.1238945273539784)</f>
        <v>1.123894527</v>
      </c>
      <c r="AM434" s="30">
        <f>IFERROR(__xludf.DUMMYFUNCTION("""COMPUTED_VALUE"""),1.0382843753824011)</f>
        <v>1.038284375</v>
      </c>
      <c r="AN434" s="30">
        <f>IFERROR(__xludf.DUMMYFUNCTION("""COMPUTED_VALUE"""),1.003950793108769)</f>
        <v>1.003950793</v>
      </c>
      <c r="AO434" s="30">
        <f>IFERROR(__xludf.DUMMYFUNCTION("""COMPUTED_VALUE"""),1.1978326460113238)</f>
        <v>1.197832646</v>
      </c>
      <c r="AP434" s="30">
        <f>IFERROR(__xludf.DUMMYFUNCTION("""COMPUTED_VALUE"""),1.357084983830986)</f>
        <v>1.357084984</v>
      </c>
      <c r="AQ434" s="30">
        <f>IFERROR(__xludf.DUMMYFUNCTION("""COMPUTED_VALUE"""),0.7936294928638562)</f>
        <v>0.7936294929</v>
      </c>
      <c r="AR434" s="30">
        <f>IFERROR(__xludf.DUMMYFUNCTION("""COMPUTED_VALUE"""),0.947659637709122)</f>
        <v>0.9476596377</v>
      </c>
      <c r="AS434" s="30">
        <f>IFERROR(__xludf.DUMMYFUNCTION("""COMPUTED_VALUE"""),66.0)</f>
        <v>66</v>
      </c>
      <c r="AT434" s="30">
        <f>IFERROR(__xludf.DUMMYFUNCTION("""COMPUTED_VALUE"""),0.5378308469548927)</f>
        <v>0.537830847</v>
      </c>
      <c r="AU434" s="30">
        <f>IFERROR(__xludf.DUMMYFUNCTION("""COMPUTED_VALUE"""),2.2671150650017333)</f>
        <v>2.267115065</v>
      </c>
      <c r="AV434" s="32">
        <f>IFERROR(__xludf.DUMMYFUNCTION("""COMPUTED_VALUE"""),59.568080435348215)</f>
        <v>59.56808044</v>
      </c>
      <c r="AW434" s="32">
        <f>IFERROR(__xludf.DUMMYFUNCTION("""COMPUTED_VALUE"""),2.849307271095906)</f>
        <v>2.849307271</v>
      </c>
      <c r="AX434" s="32">
        <f>IFERROR(__xludf.DUMMYFUNCTION("""COMPUTED_VALUE"""),41.29563939674502)</f>
        <v>41.2956394</v>
      </c>
      <c r="AY434" s="32">
        <f>IFERROR(__xludf.DUMMYFUNCTION("""COMPUTED_VALUE"""),-2.7483505995821873)</f>
        <v>-2.7483506</v>
      </c>
      <c r="AZ434" s="30">
        <f>IFERROR(__xludf.DUMMYFUNCTION("""COMPUTED_VALUE"""),5.597657870678093)</f>
        <v>5.597657871</v>
      </c>
      <c r="BA434" s="30">
        <f>IFERROR(__xludf.DUMMYFUNCTION("""COMPUTED_VALUE"""),1700.0)</f>
        <v>1700</v>
      </c>
    </row>
    <row r="435">
      <c r="A435" s="71" t="str">
        <f>IFERROR(__xludf.DUMMYFUNCTION("""COMPUTED_VALUE"""),"Rival")</f>
        <v>Rival</v>
      </c>
      <c r="B435" s="71" t="str">
        <f>IFERROR(__xludf.DUMMYFUNCTION("""COMPUTED_VALUE"""),"RSC004790")</f>
        <v>RSC004790</v>
      </c>
      <c r="C435" s="30" t="str">
        <f>IFERROR(__xludf.DUMMYFUNCTION("""COMPUTED_VALUE"""),"TheFrostNL")</f>
        <v>TheFrostNL</v>
      </c>
      <c r="D435" s="30" t="str">
        <f>IFERROR(__xludf.DUMMYFUNCTION("""COMPUTED_VALUE"""),"Nightfall")</f>
        <v>Nightfall</v>
      </c>
      <c r="E435" s="30">
        <f>IFERROR(__xludf.DUMMYFUNCTION("""COMPUTED_VALUE"""),13.0)</f>
        <v>13</v>
      </c>
      <c r="F435" s="30">
        <f>IFERROR(__xludf.DUMMYFUNCTION("""COMPUTED_VALUE"""),7.0)</f>
        <v>7</v>
      </c>
      <c r="G435" s="42">
        <f>IFERROR(__xludf.DUMMYFUNCTION("""COMPUTED_VALUE"""),6.0)</f>
        <v>6</v>
      </c>
      <c r="H435" s="42">
        <f>IFERROR(__xludf.DUMMYFUNCTION("""COMPUTED_VALUE"""),0.5384615384615384)</f>
        <v>0.5384615385</v>
      </c>
      <c r="I435" s="42">
        <f>IFERROR(__xludf.DUMMYFUNCTION("""COMPUTED_VALUE"""),0.19230769230769232)</f>
        <v>0.1923076923</v>
      </c>
      <c r="J435" s="30">
        <f>IFERROR(__xludf.DUMMYFUNCTION("""COMPUTED_VALUE"""),283.0)</f>
        <v>283</v>
      </c>
      <c r="K435" s="30">
        <f>IFERROR(__xludf.DUMMYFUNCTION("""COMPUTED_VALUE"""),0.38461538461538464)</f>
        <v>0.3846153846</v>
      </c>
      <c r="L435" s="30">
        <f>IFERROR(__xludf.DUMMYFUNCTION("""COMPUTED_VALUE"""),0.07692307692307693)</f>
        <v>0.07692307692</v>
      </c>
      <c r="M435" s="30">
        <f>IFERROR(__xludf.DUMMYFUNCTION("""COMPUTED_VALUE"""),1.5384615384615385)</f>
        <v>1.538461538</v>
      </c>
      <c r="N435" s="30">
        <f>IFERROR(__xludf.DUMMYFUNCTION("""COMPUTED_VALUE"""),2.0)</f>
        <v>2</v>
      </c>
      <c r="O435" s="30">
        <f>IFERROR(__xludf.DUMMYFUNCTION("""COMPUTED_VALUE"""),315.2307692307692)</f>
        <v>315.2307692</v>
      </c>
      <c r="P435" s="30">
        <f>IFERROR(__xludf.DUMMYFUNCTION("""COMPUTED_VALUE"""),0.5641025641025641)</f>
        <v>0.5641025641</v>
      </c>
      <c r="Q435" s="30">
        <f>IFERROR(__xludf.DUMMYFUNCTION("""COMPUTED_VALUE"""),0.46153846153846156)</f>
        <v>0.4615384615</v>
      </c>
      <c r="R435" s="30">
        <f>IFERROR(__xludf.DUMMYFUNCTION("""COMPUTED_VALUE"""),1.1538461538461537)</f>
        <v>1.153846154</v>
      </c>
      <c r="S435" s="30">
        <f>IFERROR(__xludf.DUMMYFUNCTION("""COMPUTED_VALUE"""),2.5384615384615383)</f>
        <v>2.538461538</v>
      </c>
      <c r="T435" s="30">
        <f>IFERROR(__xludf.DUMMYFUNCTION("""COMPUTED_VALUE"""),352.3575696739157)</f>
        <v>352.3575697</v>
      </c>
      <c r="U435" s="30">
        <f>IFERROR(__xludf.DUMMYFUNCTION("""COMPUTED_VALUE"""),0.8121204116396424)</f>
        <v>0.8121204116</v>
      </c>
      <c r="V435" s="30">
        <f>IFERROR(__xludf.DUMMYFUNCTION("""COMPUTED_VALUE"""),0.5640111313188236)</f>
        <v>0.5640111313</v>
      </c>
      <c r="W435" s="30">
        <f>IFERROR(__xludf.DUMMYFUNCTION("""COMPUTED_VALUE"""),1.2591491129952668)</f>
        <v>1.259149113</v>
      </c>
      <c r="X435" s="30">
        <f>IFERROR(__xludf.DUMMYFUNCTION("""COMPUTED_VALUE"""),2.707501045962584)</f>
        <v>2.707501046</v>
      </c>
      <c r="Y435" s="30">
        <f>IFERROR(__xludf.DUMMYFUNCTION("""COMPUTED_VALUE"""),336.0497167481141)</f>
        <v>336.0497167</v>
      </c>
      <c r="Z435" s="30">
        <f>IFERROR(__xludf.DUMMYFUNCTION("""COMPUTED_VALUE"""),0.6857809154283513)</f>
        <v>0.6857809154</v>
      </c>
      <c r="AA435" s="30">
        <f>IFERROR(__xludf.DUMMYFUNCTION("""COMPUTED_VALUE"""),0.4509881085201599)</f>
        <v>0.4509881085</v>
      </c>
      <c r="AB435" s="30">
        <f>IFERROR(__xludf.DUMMYFUNCTION("""COMPUTED_VALUE"""),1.3892659750031546)</f>
        <v>1.389265975</v>
      </c>
      <c r="AC435" s="30">
        <f>IFERROR(__xludf.DUMMYFUNCTION("""COMPUTED_VALUE"""),2.352472729075293)</f>
        <v>2.352472729</v>
      </c>
      <c r="AD435" s="30">
        <f>IFERROR(__xludf.DUMMYFUNCTION("""COMPUTED_VALUE"""),0.8421372966432895)</f>
        <v>0.8421372966</v>
      </c>
      <c r="AE435" s="30">
        <f>IFERROR(__xludf.DUMMYFUNCTION("""COMPUTED_VALUE"""),0.5608429397239012)</f>
        <v>0.5608429397</v>
      </c>
      <c r="AF435" s="30">
        <f>IFERROR(__xludf.DUMMYFUNCTION("""COMPUTED_VALUE"""),0.17056564346116976)</f>
        <v>0.1705656435</v>
      </c>
      <c r="AG435" s="30">
        <f>IFERROR(__xludf.DUMMYFUNCTION("""COMPUTED_VALUE"""),1.1073916486424027)</f>
        <v>1.107391649</v>
      </c>
      <c r="AH435" s="30">
        <f>IFERROR(__xludf.DUMMYFUNCTION("""COMPUTED_VALUE"""),0.8501692603196116)</f>
        <v>0.8501692603</v>
      </c>
      <c r="AI435" s="30">
        <f>IFERROR(__xludf.DUMMYFUNCTION("""COMPUTED_VALUE"""),0.8946331691483032)</f>
        <v>0.8946331691</v>
      </c>
      <c r="AJ435" s="30">
        <f>IFERROR(__xludf.DUMMYFUNCTION("""COMPUTED_VALUE"""),0.6946045882083679)</f>
        <v>0.6946045882</v>
      </c>
      <c r="AK435" s="30">
        <f>IFERROR(__xludf.DUMMYFUNCTION("""COMPUTED_VALUE"""),0.8183144549988741)</f>
        <v>0.818314455</v>
      </c>
      <c r="AL435" s="30">
        <f>IFERROR(__xludf.DUMMYFUNCTION("""COMPUTED_VALUE"""),0.9163697467898634)</f>
        <v>0.9163697468</v>
      </c>
      <c r="AM435" s="30">
        <f>IFERROR(__xludf.DUMMYFUNCTION("""COMPUTED_VALUE"""),0.937566226335123)</f>
        <v>0.9375662263</v>
      </c>
      <c r="AN435" s="30">
        <f>IFERROR(__xludf.DUMMYFUNCTION("""COMPUTED_VALUE"""),0.8349537864399367)</f>
        <v>0.8349537864</v>
      </c>
      <c r="AO435" s="30">
        <f>IFERROR(__xludf.DUMMYFUNCTION("""COMPUTED_VALUE"""),0.5235282543755786)</f>
        <v>0.5235282544</v>
      </c>
      <c r="AP435" s="30">
        <f>IFERROR(__xludf.DUMMYFUNCTION("""COMPUTED_VALUE"""),0.13735677973997834)</f>
        <v>0.1373567797</v>
      </c>
      <c r="AQ435" s="30">
        <f>IFERROR(__xludf.DUMMYFUNCTION("""COMPUTED_VALUE"""),1.1740081255382488)</f>
        <v>1.174008126</v>
      </c>
      <c r="AR435" s="30">
        <f>IFERROR(__xludf.DUMMYFUNCTION("""COMPUTED_VALUE"""),0.8031013878890865)</f>
        <v>0.8031013879</v>
      </c>
      <c r="AS435" s="30">
        <f>IFERROR(__xludf.DUMMYFUNCTION("""COMPUTED_VALUE"""),20.0)</f>
        <v>20</v>
      </c>
      <c r="AT435" s="30">
        <f>IFERROR(__xludf.DUMMYFUNCTION("""COMPUTED_VALUE"""),0.4666875733624595)</f>
        <v>0.4666875734</v>
      </c>
      <c r="AU435" s="30">
        <f>IFERROR(__xludf.DUMMYFUNCTION("""COMPUTED_VALUE"""),1.0184698271717636)</f>
        <v>1.018469827</v>
      </c>
      <c r="AV435" s="32">
        <f>IFERROR(__xludf.DUMMYFUNCTION("""COMPUTED_VALUE"""),15.460849444332467)</f>
        <v>15.46084944</v>
      </c>
      <c r="AW435" s="32">
        <f>IFERROR(__xludf.DUMMYFUNCTION("""COMPUTED_VALUE"""),-11.968523301584217)</f>
        <v>-11.9685233</v>
      </c>
      <c r="AX435" s="32">
        <f>IFERROR(__xludf.DUMMYFUNCTION("""COMPUTED_VALUE"""),24.515526181916385)</f>
        <v>24.51552618</v>
      </c>
      <c r="AY435" s="32">
        <f>IFERROR(__xludf.DUMMYFUNCTION("""COMPUTED_VALUE"""),-6.493019636285881)</f>
        <v>-6.493019636</v>
      </c>
      <c r="AZ435" s="30">
        <f>IFERROR(__xludf.DUMMYFUNCTION("""COMPUTED_VALUE"""),5.475503665298335)</f>
        <v>5.475503665</v>
      </c>
      <c r="BA435" s="30">
        <f>IFERROR(__xludf.DUMMYFUNCTION("""COMPUTED_VALUE"""),1700.0)</f>
        <v>1700</v>
      </c>
    </row>
    <row r="436">
      <c r="A436" s="71" t="str">
        <f>IFERROR(__xludf.DUMMYFUNCTION("""COMPUTED_VALUE"""),"Rival")</f>
        <v>Rival</v>
      </c>
      <c r="B436" s="71" t="str">
        <f>IFERROR(__xludf.DUMMYFUNCTION("""COMPUTED_VALUE"""),"RSC000763")</f>
        <v>RSC000763</v>
      </c>
      <c r="C436" s="30" t="str">
        <f>IFERROR(__xludf.DUMMYFUNCTION("""COMPUTED_VALUE"""),"Tenched")</f>
        <v>Tenched</v>
      </c>
      <c r="D436" s="30"/>
      <c r="E436" s="30">
        <f>IFERROR(__xludf.DUMMYFUNCTION("""COMPUTED_VALUE"""),13.0)</f>
        <v>13</v>
      </c>
      <c r="F436" s="30">
        <f>IFERROR(__xludf.DUMMYFUNCTION("""COMPUTED_VALUE"""),5.0)</f>
        <v>5</v>
      </c>
      <c r="G436" s="42">
        <f>IFERROR(__xludf.DUMMYFUNCTION("""COMPUTED_VALUE"""),8.0)</f>
        <v>8</v>
      </c>
      <c r="H436" s="42">
        <f>IFERROR(__xludf.DUMMYFUNCTION("""COMPUTED_VALUE"""),0.38461538461538464)</f>
        <v>0.3846153846</v>
      </c>
      <c r="I436" s="42">
        <f>IFERROR(__xludf.DUMMYFUNCTION("""COMPUTED_VALUE"""),0.3488372093023256)</f>
        <v>0.3488372093</v>
      </c>
      <c r="J436" s="30">
        <f>IFERROR(__xludf.DUMMYFUNCTION("""COMPUTED_VALUE"""),394.15384615384613)</f>
        <v>394.1538462</v>
      </c>
      <c r="K436" s="30">
        <f>IFERROR(__xludf.DUMMYFUNCTION("""COMPUTED_VALUE"""),1.1538461538461537)</f>
        <v>1.153846154</v>
      </c>
      <c r="L436" s="30">
        <f>IFERROR(__xludf.DUMMYFUNCTION("""COMPUTED_VALUE"""),0.3076923076923077)</f>
        <v>0.3076923077</v>
      </c>
      <c r="M436" s="30">
        <f>IFERROR(__xludf.DUMMYFUNCTION("""COMPUTED_VALUE"""),1.4615384615384615)</f>
        <v>1.461538462</v>
      </c>
      <c r="N436" s="30">
        <f>IFERROR(__xludf.DUMMYFUNCTION("""COMPUTED_VALUE"""),3.3076923076923075)</f>
        <v>3.307692308</v>
      </c>
      <c r="O436" s="30">
        <f>IFERROR(__xludf.DUMMYFUNCTION("""COMPUTED_VALUE"""),429.15384615384613)</f>
        <v>429.1538462</v>
      </c>
      <c r="P436" s="30">
        <f>IFERROR(__xludf.DUMMYFUNCTION("""COMPUTED_VALUE"""),1.1025641025641026)</f>
        <v>1.102564103</v>
      </c>
      <c r="Q436" s="30">
        <f>IFERROR(__xludf.DUMMYFUNCTION("""COMPUTED_VALUE"""),0.8205128205128206)</f>
        <v>0.8205128205</v>
      </c>
      <c r="R436" s="30">
        <f>IFERROR(__xludf.DUMMYFUNCTION("""COMPUTED_VALUE"""),1.6153846153846154)</f>
        <v>1.615384615</v>
      </c>
      <c r="S436" s="30">
        <f>IFERROR(__xludf.DUMMYFUNCTION("""COMPUTED_VALUE"""),3.0512820512820515)</f>
        <v>3.051282051</v>
      </c>
      <c r="T436" s="30">
        <f>IFERROR(__xludf.DUMMYFUNCTION("""COMPUTED_VALUE"""),351.9745958101727)</f>
        <v>351.9745958</v>
      </c>
      <c r="U436" s="30">
        <f>IFERROR(__xludf.DUMMYFUNCTION("""COMPUTED_VALUE"""),0.7788280451741992)</f>
        <v>0.7788280452</v>
      </c>
      <c r="V436" s="30">
        <f>IFERROR(__xludf.DUMMYFUNCTION("""COMPUTED_VALUE"""),0.569495781995782)</f>
        <v>0.569495782</v>
      </c>
      <c r="W436" s="30">
        <f>IFERROR(__xludf.DUMMYFUNCTION("""COMPUTED_VALUE"""),1.301111957842727)</f>
        <v>1.301111958</v>
      </c>
      <c r="X436" s="30">
        <f>IFERROR(__xludf.DUMMYFUNCTION("""COMPUTED_VALUE"""),2.6349059416367107)</f>
        <v>2.634905942</v>
      </c>
      <c r="Y436" s="30">
        <f>IFERROR(__xludf.DUMMYFUNCTION("""COMPUTED_VALUE"""),340.96417917315364)</f>
        <v>340.9641792</v>
      </c>
      <c r="Z436" s="30">
        <f>IFERROR(__xludf.DUMMYFUNCTION("""COMPUTED_VALUE"""),0.743584122430276)</f>
        <v>0.7435841224</v>
      </c>
      <c r="AA436" s="30">
        <f>IFERROR(__xludf.DUMMYFUNCTION("""COMPUTED_VALUE"""),0.5390544521954778)</f>
        <v>0.5390544522</v>
      </c>
      <c r="AB436" s="30">
        <f>IFERROR(__xludf.DUMMYFUNCTION("""COMPUTED_VALUE"""),1.332638123984278)</f>
        <v>1.332638124</v>
      </c>
      <c r="AC436" s="30">
        <f>IFERROR(__xludf.DUMMYFUNCTION("""COMPUTED_VALUE"""),2.5469163315317163)</f>
        <v>2.546916332</v>
      </c>
      <c r="AD436" s="30">
        <f>IFERROR(__xludf.DUMMYFUNCTION("""COMPUTED_VALUE"""),1.1559978151067913)</f>
        <v>1.155997815</v>
      </c>
      <c r="AE436" s="30">
        <f>IFERROR(__xludf.DUMMYFUNCTION("""COMPUTED_VALUE"""),1.5517358682633071)</f>
        <v>1.551735868</v>
      </c>
      <c r="AF436" s="30">
        <f>IFERROR(__xludf.DUMMYFUNCTION("""COMPUTED_VALUE"""),0.5708000489359264)</f>
        <v>0.5708000489</v>
      </c>
      <c r="AG436" s="30">
        <f>IFERROR(__xludf.DUMMYFUNCTION("""COMPUTED_VALUE"""),1.09672568661686)</f>
        <v>1.096725687</v>
      </c>
      <c r="AH436" s="30">
        <f>IFERROR(__xludf.DUMMYFUNCTION("""COMPUTED_VALUE"""),1.2987047382522614)</f>
        <v>1.298704738</v>
      </c>
      <c r="AI436" s="30">
        <f>IFERROR(__xludf.DUMMYFUNCTION("""COMPUTED_VALUE"""),1.2192750592298367)</f>
        <v>1.219275059</v>
      </c>
      <c r="AJ436" s="30">
        <f>IFERROR(__xludf.DUMMYFUNCTION("""COMPUTED_VALUE"""),1.415670775334617)</f>
        <v>1.415670775</v>
      </c>
      <c r="AK436" s="30">
        <f>IFERROR(__xludf.DUMMYFUNCTION("""COMPUTED_VALUE"""),1.4407706719747009)</f>
        <v>1.440770672</v>
      </c>
      <c r="AL436" s="30">
        <f>IFERROR(__xludf.DUMMYFUNCTION("""COMPUTED_VALUE"""),1.2415415949776987)</f>
        <v>1.241541595</v>
      </c>
      <c r="AM436" s="30">
        <f>IFERROR(__xludf.DUMMYFUNCTION("""COMPUTED_VALUE"""),1.1580231396748466)</f>
        <v>1.15802314</v>
      </c>
      <c r="AN436" s="30">
        <f>IFERROR(__xludf.DUMMYFUNCTION("""COMPUTED_VALUE"""),1.162898396770382)</f>
        <v>1.162898397</v>
      </c>
      <c r="AO436" s="30">
        <f>IFERROR(__xludf.DUMMYFUNCTION("""COMPUTED_VALUE"""),1.5705847631267356)</f>
        <v>1.570584763</v>
      </c>
      <c r="AP436" s="30">
        <f>IFERROR(__xludf.DUMMYFUNCTION("""COMPUTED_VALUE"""),0.5494271189599134)</f>
        <v>0.549427119</v>
      </c>
      <c r="AQ436" s="30">
        <f>IFERROR(__xludf.DUMMYFUNCTION("""COMPUTED_VALUE"""),1.115307719261336)</f>
        <v>1.115307719</v>
      </c>
      <c r="AR436" s="30">
        <f>IFERROR(__xludf.DUMMYFUNCTION("""COMPUTED_VALUE"""),1.3282061415088737)</f>
        <v>1.328206142</v>
      </c>
      <c r="AS436" s="30">
        <f>IFERROR(__xludf.DUMMYFUNCTION("""COMPUTED_VALUE"""),32.0)</f>
        <v>32</v>
      </c>
      <c r="AT436" s="30">
        <f>IFERROR(__xludf.DUMMYFUNCTION("""COMPUTED_VALUE"""),0.38022547830195996)</f>
        <v>0.3802254783</v>
      </c>
      <c r="AU436" s="30">
        <f>IFERROR(__xludf.DUMMYFUNCTION("""COMPUTED_VALUE"""),2.3555311734101516)</f>
        <v>2.355531173</v>
      </c>
      <c r="AV436" s="32">
        <f>IFERROR(__xludf.DUMMYFUNCTION("""COMPUTED_VALUE"""),62.69129718158293)</f>
        <v>62.69129718</v>
      </c>
      <c r="AW436" s="32">
        <f>IFERROR(__xludf.DUMMYFUNCTION("""COMPUTED_VALUE"""),3.2695899775493995)</f>
        <v>3.269589978</v>
      </c>
      <c r="AX436" s="32">
        <f>IFERROR(__xludf.DUMMYFUNCTION("""COMPUTED_VALUE"""),47.40928106178758)</f>
        <v>47.40928106</v>
      </c>
      <c r="AY436" s="32">
        <f>IFERROR(__xludf.DUMMYFUNCTION("""COMPUTED_VALUE"""),-2.1799221283985872)</f>
        <v>-2.179922128</v>
      </c>
      <c r="AZ436" s="30">
        <f>IFERROR(__xludf.DUMMYFUNCTION("""COMPUTED_VALUE"""),5.449512105947987)</f>
        <v>5.449512106</v>
      </c>
      <c r="BA436" s="30">
        <f>IFERROR(__xludf.DUMMYFUNCTION("""COMPUTED_VALUE"""),1700.0)</f>
        <v>1700</v>
      </c>
    </row>
    <row r="437">
      <c r="A437" s="71" t="str">
        <f>IFERROR(__xludf.DUMMYFUNCTION("""COMPUTED_VALUE"""),"Rival")</f>
        <v>Rival</v>
      </c>
      <c r="B437" s="71" t="str">
        <f>IFERROR(__xludf.DUMMYFUNCTION("""COMPUTED_VALUE"""),"RSC003720")</f>
        <v>RSC003720</v>
      </c>
      <c r="C437" s="30" t="str">
        <f>IFERROR(__xludf.DUMMYFUNCTION("""COMPUTED_VALUE"""),"AriseDaft")</f>
        <v>AriseDaft</v>
      </c>
      <c r="D437" s="30" t="str">
        <f>IFERROR(__xludf.DUMMYFUNCTION("""COMPUTED_VALUE"""),"Tyrants")</f>
        <v>Tyrants</v>
      </c>
      <c r="E437" s="30">
        <f>IFERROR(__xludf.DUMMYFUNCTION("""COMPUTED_VALUE"""),30.0)</f>
        <v>30</v>
      </c>
      <c r="F437" s="30">
        <f>IFERROR(__xludf.DUMMYFUNCTION("""COMPUTED_VALUE"""),14.0)</f>
        <v>14</v>
      </c>
      <c r="G437" s="42">
        <f>IFERROR(__xludf.DUMMYFUNCTION("""COMPUTED_VALUE"""),16.0)</f>
        <v>16</v>
      </c>
      <c r="H437" s="42">
        <f>IFERROR(__xludf.DUMMYFUNCTION("""COMPUTED_VALUE"""),0.4666666666666667)</f>
        <v>0.4666666667</v>
      </c>
      <c r="I437" s="42">
        <f>IFERROR(__xludf.DUMMYFUNCTION("""COMPUTED_VALUE"""),0.37254901960784315)</f>
        <v>0.3725490196</v>
      </c>
      <c r="J437" s="30">
        <f>IFERROR(__xludf.DUMMYFUNCTION("""COMPUTED_VALUE"""),368.93333333333334)</f>
        <v>368.9333333</v>
      </c>
      <c r="K437" s="30">
        <f>IFERROR(__xludf.DUMMYFUNCTION("""COMPUTED_VALUE"""),0.6333333333333333)</f>
        <v>0.6333333333</v>
      </c>
      <c r="L437" s="30">
        <f>IFERROR(__xludf.DUMMYFUNCTION("""COMPUTED_VALUE"""),0.4666666666666667)</f>
        <v>0.4666666667</v>
      </c>
      <c r="M437" s="30">
        <f>IFERROR(__xludf.DUMMYFUNCTION("""COMPUTED_VALUE"""),1.7333333333333334)</f>
        <v>1.733333333</v>
      </c>
      <c r="N437" s="30">
        <f>IFERROR(__xludf.DUMMYFUNCTION("""COMPUTED_VALUE"""),1.7)</f>
        <v>1.7</v>
      </c>
      <c r="O437" s="30">
        <f>IFERROR(__xludf.DUMMYFUNCTION("""COMPUTED_VALUE"""),335.1777777777778)</f>
        <v>335.1777778</v>
      </c>
      <c r="P437" s="30">
        <f>IFERROR(__xludf.DUMMYFUNCTION("""COMPUTED_VALUE"""),0.7555555555555554)</f>
        <v>0.7555555556</v>
      </c>
      <c r="Q437" s="30">
        <f>IFERROR(__xludf.DUMMYFUNCTION("""COMPUTED_VALUE"""),0.5333333333333333)</f>
        <v>0.5333333333</v>
      </c>
      <c r="R437" s="30">
        <f>IFERROR(__xludf.DUMMYFUNCTION("""COMPUTED_VALUE"""),1.0555555555555556)</f>
        <v>1.055555556</v>
      </c>
      <c r="S437" s="30">
        <f>IFERROR(__xludf.DUMMYFUNCTION("""COMPUTED_VALUE"""),2.6444444444444444)</f>
        <v>2.644444444</v>
      </c>
      <c r="T437" s="30">
        <f>IFERROR(__xludf.DUMMYFUNCTION("""COMPUTED_VALUE"""),350.1982501010437)</f>
        <v>350.1982501</v>
      </c>
      <c r="U437" s="30">
        <f>IFERROR(__xludf.DUMMYFUNCTION("""COMPUTED_VALUE"""),0.771759078327856)</f>
        <v>0.7717590783</v>
      </c>
      <c r="V437" s="30">
        <f>IFERROR(__xludf.DUMMYFUNCTION("""COMPUTED_VALUE"""),0.6125153095500132)</f>
        <v>0.6125153096</v>
      </c>
      <c r="W437" s="30">
        <f>IFERROR(__xludf.DUMMYFUNCTION("""COMPUTED_VALUE"""),1.2902755318293717)</f>
        <v>1.290275532</v>
      </c>
      <c r="X437" s="30">
        <f>IFERROR(__xludf.DUMMYFUNCTION("""COMPUTED_VALUE"""),2.6011770966380774)</f>
        <v>2.601177097</v>
      </c>
      <c r="Y437" s="30">
        <f>IFERROR(__xludf.DUMMYFUNCTION("""COMPUTED_VALUE"""),345.97557992106425)</f>
        <v>345.9755799</v>
      </c>
      <c r="Z437" s="30">
        <f>IFERROR(__xludf.DUMMYFUNCTION("""COMPUTED_VALUE"""),0.756808462510926)</f>
        <v>0.7568084625</v>
      </c>
      <c r="AA437" s="30">
        <f>IFERROR(__xludf.DUMMYFUNCTION("""COMPUTED_VALUE"""),0.5557530962480096)</f>
        <v>0.5557530962</v>
      </c>
      <c r="AB437" s="30">
        <f>IFERROR(__xludf.DUMMYFUNCTION("""COMPUTED_VALUE"""),1.3137984096812767)</f>
        <v>1.31379841</v>
      </c>
      <c r="AC437" s="30">
        <f>IFERROR(__xludf.DUMMYFUNCTION("""COMPUTED_VALUE"""),2.4616084562472924)</f>
        <v>2.461608456</v>
      </c>
      <c r="AD437" s="30">
        <f>IFERROR(__xludf.DUMMYFUNCTION("""COMPUTED_VALUE"""),1.066356571806331)</f>
        <v>1.066356572</v>
      </c>
      <c r="AE437" s="30">
        <f>IFERROR(__xludf.DUMMYFUNCTION("""COMPUTED_VALUE"""),0.8368475839079162)</f>
        <v>0.8368475839</v>
      </c>
      <c r="AF437" s="30">
        <f>IFERROR(__xludf.DUMMYFUNCTION("""COMPUTED_VALUE"""),0.8397014246384201)</f>
        <v>0.8397014246</v>
      </c>
      <c r="AG437" s="30">
        <f>IFERROR(__xludf.DUMMYFUNCTION("""COMPUTED_VALUE"""),1.3193297545198235)</f>
        <v>1.319329755</v>
      </c>
      <c r="AH437" s="30">
        <f>IFERROR(__xludf.DUMMYFUNCTION("""COMPUTED_VALUE"""),0.690605362394489)</f>
        <v>0.6906053624</v>
      </c>
      <c r="AI437" s="30">
        <f>IFERROR(__xludf.DUMMYFUNCTION("""COMPUTED_VALUE"""),0.9571086596836735)</f>
        <v>0.9571086597</v>
      </c>
      <c r="AJ437" s="30">
        <f>IFERROR(__xludf.DUMMYFUNCTION("""COMPUTED_VALUE"""),0.9790044286781723)</f>
        <v>0.9790044287</v>
      </c>
      <c r="AK437" s="30">
        <f>IFERROR(__xludf.DUMMYFUNCTION("""COMPUTED_VALUE"""),0.8707265353500286)</f>
        <v>0.8707265354</v>
      </c>
      <c r="AL437" s="30">
        <f>IFERROR(__xludf.DUMMYFUNCTION("""COMPUTED_VALUE"""),0.818085385265714)</f>
        <v>0.8180853853</v>
      </c>
      <c r="AM437" s="30">
        <f>IFERROR(__xludf.DUMMYFUNCTION("""COMPUTED_VALUE"""),1.0166337570257282)</f>
        <v>1.016633757</v>
      </c>
      <c r="AN437" s="30">
        <f>IFERROR(__xludf.DUMMYFUNCTION("""COMPUTED_VALUE"""),1.0884886346663392)</f>
        <v>1.088488635</v>
      </c>
      <c r="AO437" s="30">
        <f>IFERROR(__xludf.DUMMYFUNCTION("""COMPUTED_VALUE"""),0.8620765255384526)</f>
        <v>0.8620765255</v>
      </c>
      <c r="AP437" s="30">
        <f>IFERROR(__xludf.DUMMYFUNCTION("""COMPUTED_VALUE"""),0.8332977970892018)</f>
        <v>0.8332977971</v>
      </c>
      <c r="AQ437" s="30">
        <f>IFERROR(__xludf.DUMMYFUNCTION("""COMPUTED_VALUE"""),1.3227158214397603)</f>
        <v>1.322715821</v>
      </c>
      <c r="AR437" s="30">
        <f>IFERROR(__xludf.DUMMYFUNCTION("""COMPUTED_VALUE"""),0.6826361797057234)</f>
        <v>0.6826361797</v>
      </c>
      <c r="AS437" s="30">
        <f>IFERROR(__xludf.DUMMYFUNCTION("""COMPUTED_VALUE"""),53.0)</f>
        <v>53</v>
      </c>
      <c r="AT437" s="30">
        <f>IFERROR(__xludf.DUMMYFUNCTION("""COMPUTED_VALUE"""),0.40808716950091123)</f>
        <v>0.4080871695</v>
      </c>
      <c r="AU437" s="30">
        <f>IFERROR(__xludf.DUMMYFUNCTION("""COMPUTED_VALUE"""),1.680418543538794)</f>
        <v>1.680418544</v>
      </c>
      <c r="AV437" s="32">
        <f>IFERROR(__xludf.DUMMYFUNCTION("""COMPUTED_VALUE"""),38.84357181609932)</f>
        <v>38.84357182</v>
      </c>
      <c r="AW437" s="32">
        <f>IFERROR(__xludf.DUMMYFUNCTION("""COMPUTED_VALUE"""),-3.0515179163822514)</f>
        <v>-3.051517916</v>
      </c>
      <c r="AX437" s="32">
        <f>IFERROR(__xludf.DUMMYFUNCTION("""COMPUTED_VALUE"""),54.5539219512495)</f>
        <v>54.55392195</v>
      </c>
      <c r="AY437" s="32">
        <f>IFERROR(__xludf.DUMMYFUNCTION("""COMPUTED_VALUE"""),2.337924513796922)</f>
        <v>2.337924514</v>
      </c>
      <c r="AZ437" s="30">
        <f>IFERROR(__xludf.DUMMYFUNCTION("""COMPUTED_VALUE"""),5.389442430179173)</f>
        <v>5.38944243</v>
      </c>
      <c r="BA437" s="30">
        <f>IFERROR(__xludf.DUMMYFUNCTION("""COMPUTED_VALUE"""),1700.0)</f>
        <v>1700</v>
      </c>
    </row>
    <row r="438">
      <c r="A438" s="71" t="str">
        <f>IFERROR(__xludf.DUMMYFUNCTION("""COMPUTED_VALUE"""),"Rival")</f>
        <v>Rival</v>
      </c>
      <c r="B438" s="71" t="str">
        <f>IFERROR(__xludf.DUMMYFUNCTION("""COMPUTED_VALUE"""),"RSC004283")</f>
        <v>RSC004283</v>
      </c>
      <c r="C438" s="30" t="str">
        <f>IFERROR(__xludf.DUMMYFUNCTION("""COMPUTED_VALUE"""),"Tragic Event")</f>
        <v>Tragic Event</v>
      </c>
      <c r="D438" s="30" t="str">
        <f>IFERROR(__xludf.DUMMYFUNCTION("""COMPUTED_VALUE"""),"Quasars")</f>
        <v>Quasars</v>
      </c>
      <c r="E438" s="30">
        <f>IFERROR(__xludf.DUMMYFUNCTION("""COMPUTED_VALUE"""),4.0)</f>
        <v>4</v>
      </c>
      <c r="F438" s="30">
        <f>IFERROR(__xludf.DUMMYFUNCTION("""COMPUTED_VALUE"""),2.0)</f>
        <v>2</v>
      </c>
      <c r="G438" s="42">
        <f>IFERROR(__xludf.DUMMYFUNCTION("""COMPUTED_VALUE"""),2.0)</f>
        <v>2</v>
      </c>
      <c r="H438" s="42">
        <f>IFERROR(__xludf.DUMMYFUNCTION("""COMPUTED_VALUE"""),0.5)</f>
        <v>0.5</v>
      </c>
      <c r="I438" s="42">
        <f>IFERROR(__xludf.DUMMYFUNCTION("""COMPUTED_VALUE"""),0.4444444444444444)</f>
        <v>0.4444444444</v>
      </c>
      <c r="J438" s="30">
        <f>IFERROR(__xludf.DUMMYFUNCTION("""COMPUTED_VALUE"""),305.0)</f>
        <v>305</v>
      </c>
      <c r="K438" s="30">
        <f>IFERROR(__xludf.DUMMYFUNCTION("""COMPUTED_VALUE"""),1.0)</f>
        <v>1</v>
      </c>
      <c r="L438" s="30">
        <f>IFERROR(__xludf.DUMMYFUNCTION("""COMPUTED_VALUE"""),0.5)</f>
        <v>0.5</v>
      </c>
      <c r="M438" s="30">
        <f>IFERROR(__xludf.DUMMYFUNCTION("""COMPUTED_VALUE"""),1.25)</f>
        <v>1.25</v>
      </c>
      <c r="N438" s="30">
        <f>IFERROR(__xludf.DUMMYFUNCTION("""COMPUTED_VALUE"""),2.25)</f>
        <v>2.25</v>
      </c>
      <c r="O438" s="30">
        <f>IFERROR(__xludf.DUMMYFUNCTION("""COMPUTED_VALUE"""),294.6666666666667)</f>
        <v>294.6666667</v>
      </c>
      <c r="P438" s="30">
        <f>IFERROR(__xludf.DUMMYFUNCTION("""COMPUTED_VALUE"""),0.5833333333333334)</f>
        <v>0.5833333333</v>
      </c>
      <c r="Q438" s="30">
        <f>IFERROR(__xludf.DUMMYFUNCTION("""COMPUTED_VALUE"""),0.41666666666666663)</f>
        <v>0.4166666667</v>
      </c>
      <c r="R438" s="30">
        <f>IFERROR(__xludf.DUMMYFUNCTION("""COMPUTED_VALUE"""),1.1666666666666665)</f>
        <v>1.166666667</v>
      </c>
      <c r="S438" s="30">
        <f>IFERROR(__xludf.DUMMYFUNCTION("""COMPUTED_VALUE"""),2.416666666666667)</f>
        <v>2.416666667</v>
      </c>
      <c r="T438" s="30">
        <f>IFERROR(__xludf.DUMMYFUNCTION("""COMPUTED_VALUE"""),385.9626068376068)</f>
        <v>385.9626068</v>
      </c>
      <c r="U438" s="30">
        <f>IFERROR(__xludf.DUMMYFUNCTION("""COMPUTED_VALUE"""),0.9193376068376068)</f>
        <v>0.9193376068</v>
      </c>
      <c r="V438" s="30">
        <f>IFERROR(__xludf.DUMMYFUNCTION("""COMPUTED_VALUE"""),0.7115384615384615)</f>
        <v>0.7115384615</v>
      </c>
      <c r="W438" s="30">
        <f>IFERROR(__xludf.DUMMYFUNCTION("""COMPUTED_VALUE"""),1.419070512820513)</f>
        <v>1.419070513</v>
      </c>
      <c r="X438" s="30">
        <f>IFERROR(__xludf.DUMMYFUNCTION("""COMPUTED_VALUE"""),2.8440170940170937)</f>
        <v>2.844017094</v>
      </c>
      <c r="Y438" s="30">
        <f>IFERROR(__xludf.DUMMYFUNCTION("""COMPUTED_VALUE"""),368.7742165242165)</f>
        <v>368.7742165</v>
      </c>
      <c r="Z438" s="30">
        <f>IFERROR(__xludf.DUMMYFUNCTION("""COMPUTED_VALUE"""),0.9159544159544158)</f>
        <v>0.915954416</v>
      </c>
      <c r="AA438" s="30">
        <f>IFERROR(__xludf.DUMMYFUNCTION("""COMPUTED_VALUE"""),0.6398682336182335)</f>
        <v>0.6398682336</v>
      </c>
      <c r="AB438" s="30">
        <f>IFERROR(__xludf.DUMMYFUNCTION("""COMPUTED_VALUE"""),1.3755341880341883)</f>
        <v>1.375534188</v>
      </c>
      <c r="AC438" s="30">
        <f>IFERROR(__xludf.DUMMYFUNCTION("""COMPUTED_VALUE"""),2.7277421652421654)</f>
        <v>2.727742165</v>
      </c>
      <c r="AD438" s="30">
        <f>IFERROR(__xludf.DUMMYFUNCTION("""COMPUTED_VALUE"""),0.8270643291570017)</f>
        <v>0.8270643292</v>
      </c>
      <c r="AE438" s="30">
        <f>IFERROR(__xludf.DUMMYFUNCTION("""COMPUTED_VALUE"""),1.0917573872472786)</f>
        <v>1.091757387</v>
      </c>
      <c r="AF438" s="30">
        <f>IFERROR(__xludf.DUMMYFUNCTION("""COMPUTED_VALUE"""),0.7814108807569223)</f>
        <v>0.7814108808</v>
      </c>
      <c r="AG438" s="30">
        <f>IFERROR(__xludf.DUMMYFUNCTION("""COMPUTED_VALUE"""),0.9087378640776698)</f>
        <v>0.9087378641</v>
      </c>
      <c r="AH438" s="30">
        <f>IFERROR(__xludf.DUMMYFUNCTION("""COMPUTED_VALUE"""),0.8248580194529669)</f>
        <v>0.8248580195</v>
      </c>
      <c r="AI438" s="30">
        <f>IFERROR(__xludf.DUMMYFUNCTION("""COMPUTED_VALUE"""),0.7634591057434931)</f>
        <v>0.7634591057</v>
      </c>
      <c r="AJ438" s="30">
        <f>IFERROR(__xludf.DUMMYFUNCTION("""COMPUTED_VALUE"""),0.6345148169668798)</f>
        <v>0.634514817</v>
      </c>
      <c r="AK438" s="30">
        <f>IFERROR(__xludf.DUMMYFUNCTION("""COMPUTED_VALUE"""),0.5855855855855856)</f>
        <v>0.5855855856</v>
      </c>
      <c r="AL438" s="30">
        <f>IFERROR(__xludf.DUMMYFUNCTION("""COMPUTED_VALUE"""),0.8221343873517785)</f>
        <v>0.8221343874</v>
      </c>
      <c r="AM438" s="30">
        <f>IFERROR(__xludf.DUMMYFUNCTION("""COMPUTED_VALUE"""),0.8497370398196846)</f>
        <v>0.8497370398</v>
      </c>
      <c r="AN438" s="30">
        <f>IFERROR(__xludf.DUMMYFUNCTION("""COMPUTED_VALUE"""),0.899861854643748)</f>
        <v>0.8998618546</v>
      </c>
      <c r="AO438" s="30">
        <f>IFERROR(__xludf.DUMMYFUNCTION("""COMPUTED_VALUE"""),1.3611734613765043)</f>
        <v>1.361173461</v>
      </c>
      <c r="AP438" s="30">
        <f>IFERROR(__xludf.DUMMYFUNCTION("""COMPUTED_VALUE"""),0.8928190683098591)</f>
        <v>0.8928190683</v>
      </c>
      <c r="AQ438" s="30">
        <f>IFERROR(__xludf.DUMMYFUNCTION("""COMPUTED_VALUE"""),0.9538816019998271)</f>
        <v>0.953881602</v>
      </c>
      <c r="AR438" s="30">
        <f>IFERROR(__xludf.DUMMYFUNCTION("""COMPUTED_VALUE"""),0.9034890613752222)</f>
        <v>0.9034890614</v>
      </c>
      <c r="AS438" s="30">
        <f>IFERROR(__xludf.DUMMYFUNCTION("""COMPUTED_VALUE"""),9.0)</f>
        <v>9</v>
      </c>
      <c r="AT438" s="30">
        <f>IFERROR(__xludf.DUMMYFUNCTION("""COMPUTED_VALUE"""),0.5924536639216754)</f>
        <v>0.5924536639</v>
      </c>
      <c r="AU438" s="30">
        <f>IFERROR(__xludf.DUMMYFUNCTION("""COMPUTED_VALUE"""),2.3220353273850223)</f>
        <v>2.322035327</v>
      </c>
      <c r="AV438" s="32">
        <f>IFERROR(__xludf.DUMMYFUNCTION("""COMPUTED_VALUE"""),61.50808759321541)</f>
        <v>61.50808759</v>
      </c>
      <c r="AW438" s="32">
        <f>IFERROR(__xludf.DUMMYFUNCTION("""COMPUTED_VALUE"""),3.099410333203509)</f>
        <v>3.099410333</v>
      </c>
      <c r="AX438" s="32">
        <f>IFERROR(__xludf.DUMMYFUNCTION("""COMPUTED_VALUE"""),46.34024530989702)</f>
        <v>46.34024531</v>
      </c>
      <c r="AY438" s="32">
        <f>IFERROR(__xludf.DUMMYFUNCTION("""COMPUTED_VALUE"""),-2.263433376024503)</f>
        <v>-2.263433376</v>
      </c>
      <c r="AZ438" s="30">
        <f>IFERROR(__xludf.DUMMYFUNCTION("""COMPUTED_VALUE"""),5.362843709228012)</f>
        <v>5.362843709</v>
      </c>
      <c r="BA438" s="30">
        <f>IFERROR(__xludf.DUMMYFUNCTION("""COMPUTED_VALUE"""),1700.0)</f>
        <v>1700</v>
      </c>
    </row>
    <row r="439">
      <c r="A439" s="71" t="str">
        <f>IFERROR(__xludf.DUMMYFUNCTION("""COMPUTED_VALUE"""),"Rival")</f>
        <v>Rival</v>
      </c>
      <c r="B439" s="71" t="str">
        <f>IFERROR(__xludf.DUMMYFUNCTION("""COMPUTED_VALUE"""),"RSC002762")</f>
        <v>RSC002762</v>
      </c>
      <c r="C439" s="30" t="str">
        <f>IFERROR(__xludf.DUMMYFUNCTION("""COMPUTED_VALUE"""),"OnwardFlame")</f>
        <v>OnwardFlame</v>
      </c>
      <c r="D439" s="30" t="str">
        <f>IFERROR(__xludf.DUMMYFUNCTION("""COMPUTED_VALUE"""),"Stolen")</f>
        <v>Stolen</v>
      </c>
      <c r="E439" s="30">
        <f>IFERROR(__xludf.DUMMYFUNCTION("""COMPUTED_VALUE"""),20.0)</f>
        <v>20</v>
      </c>
      <c r="F439" s="30">
        <f>IFERROR(__xludf.DUMMYFUNCTION("""COMPUTED_VALUE"""),11.0)</f>
        <v>11</v>
      </c>
      <c r="G439" s="42">
        <f>IFERROR(__xludf.DUMMYFUNCTION("""COMPUTED_VALUE"""),9.0)</f>
        <v>9</v>
      </c>
      <c r="H439" s="42">
        <f>IFERROR(__xludf.DUMMYFUNCTION("""COMPUTED_VALUE"""),0.55)</f>
        <v>0.55</v>
      </c>
      <c r="I439" s="42">
        <f>IFERROR(__xludf.DUMMYFUNCTION("""COMPUTED_VALUE"""),0.3508771929824561)</f>
        <v>0.350877193</v>
      </c>
      <c r="J439" s="30">
        <f>IFERROR(__xludf.DUMMYFUNCTION("""COMPUTED_VALUE"""),344.4)</f>
        <v>344.4</v>
      </c>
      <c r="K439" s="30">
        <f>IFERROR(__xludf.DUMMYFUNCTION("""COMPUTED_VALUE"""),1.0)</f>
        <v>1</v>
      </c>
      <c r="L439" s="30">
        <f>IFERROR(__xludf.DUMMYFUNCTION("""COMPUTED_VALUE"""),0.4)</f>
        <v>0.4</v>
      </c>
      <c r="M439" s="30">
        <f>IFERROR(__xludf.DUMMYFUNCTION("""COMPUTED_VALUE"""),1.15)</f>
        <v>1.15</v>
      </c>
      <c r="N439" s="30">
        <f>IFERROR(__xludf.DUMMYFUNCTION("""COMPUTED_VALUE"""),2.85)</f>
        <v>2.85</v>
      </c>
      <c r="O439" s="30">
        <f>IFERROR(__xludf.DUMMYFUNCTION("""COMPUTED_VALUE"""),356.3833333333333)</f>
        <v>356.3833333</v>
      </c>
      <c r="P439" s="30">
        <f>IFERROR(__xludf.DUMMYFUNCTION("""COMPUTED_VALUE"""),0.8333333333333333)</f>
        <v>0.8333333333</v>
      </c>
      <c r="Q439" s="30">
        <f>IFERROR(__xludf.DUMMYFUNCTION("""COMPUTED_VALUE"""),0.7166666666666666)</f>
        <v>0.7166666667</v>
      </c>
      <c r="R439" s="30">
        <f>IFERROR(__xludf.DUMMYFUNCTION("""COMPUTED_VALUE"""),1.3833333333333335)</f>
        <v>1.383333333</v>
      </c>
      <c r="S439" s="30">
        <f>IFERROR(__xludf.DUMMYFUNCTION("""COMPUTED_VALUE"""),2.7666666666666666)</f>
        <v>2.766666667</v>
      </c>
      <c r="T439" s="30">
        <f>IFERROR(__xludf.DUMMYFUNCTION("""COMPUTED_VALUE"""),359.47527424133443)</f>
        <v>359.4752742</v>
      </c>
      <c r="U439" s="30">
        <f>IFERROR(__xludf.DUMMYFUNCTION("""COMPUTED_VALUE"""),0.8562975969035715)</f>
        <v>0.8562975969</v>
      </c>
      <c r="V439" s="30">
        <f>IFERROR(__xludf.DUMMYFUNCTION("""COMPUTED_VALUE"""),0.6008590144998814)</f>
        <v>0.6008590145</v>
      </c>
      <c r="W439" s="30">
        <f>IFERROR(__xludf.DUMMYFUNCTION("""COMPUTED_VALUE"""),1.3873509847526668)</f>
        <v>1.387350985</v>
      </c>
      <c r="X439" s="30">
        <f>IFERROR(__xludf.DUMMYFUNCTION("""COMPUTED_VALUE"""),2.6457707244499793)</f>
        <v>2.645770724</v>
      </c>
      <c r="Y439" s="30">
        <f>IFERROR(__xludf.DUMMYFUNCTION("""COMPUTED_VALUE"""),348.63397072517125)</f>
        <v>348.6339707</v>
      </c>
      <c r="Z439" s="30">
        <f>IFERROR(__xludf.DUMMYFUNCTION("""COMPUTED_VALUE"""),0.8203900076328626)</f>
        <v>0.8203900076</v>
      </c>
      <c r="AA439" s="30">
        <f>IFERROR(__xludf.DUMMYFUNCTION("""COMPUTED_VALUE"""),0.5733958756202009)</f>
        <v>0.5733958756</v>
      </c>
      <c r="AB439" s="30">
        <f>IFERROR(__xludf.DUMMYFUNCTION("""COMPUTED_VALUE"""),1.277068762795365)</f>
        <v>1.277068763</v>
      </c>
      <c r="AC439" s="30">
        <f>IFERROR(__xludf.DUMMYFUNCTION("""COMPUTED_VALUE"""),2.677728036515564)</f>
        <v>2.677728037</v>
      </c>
      <c r="AD439" s="30">
        <f>IFERROR(__xludf.DUMMYFUNCTION("""COMPUTED_VALUE"""),0.9878555416835472)</f>
        <v>0.9878555417</v>
      </c>
      <c r="AE439" s="30">
        <f>IFERROR(__xludf.DUMMYFUNCTION("""COMPUTED_VALUE"""),1.2189324476115702)</f>
        <v>1.218932448</v>
      </c>
      <c r="AF439" s="30">
        <f>IFERROR(__xludf.DUMMYFUNCTION("""COMPUTED_VALUE"""),0.6975983208238966)</f>
        <v>0.6975983208</v>
      </c>
      <c r="AG439" s="30">
        <f>IFERROR(__xludf.DUMMYFUNCTION("""COMPUTED_VALUE"""),0.9004996704192926)</f>
        <v>0.9004996704</v>
      </c>
      <c r="AH439" s="30">
        <f>IFERROR(__xludf.DUMMYFUNCTION("""COMPUTED_VALUE"""),1.0643351233341112)</f>
        <v>1.064335123</v>
      </c>
      <c r="AI439" s="30">
        <f>IFERROR(__xludf.DUMMYFUNCTION("""COMPUTED_VALUE"""),0.9913987383011903)</f>
        <v>0.9913987383</v>
      </c>
      <c r="AJ439" s="30">
        <f>IFERROR(__xludf.DUMMYFUNCTION("""COMPUTED_VALUE"""),0.9731819128615115)</f>
        <v>0.9731819129</v>
      </c>
      <c r="AK439" s="30">
        <f>IFERROR(__xludf.DUMMYFUNCTION("""COMPUTED_VALUE"""),1.1927368140813805)</f>
        <v>1.192736814</v>
      </c>
      <c r="AL439" s="30">
        <f>IFERROR(__xludf.DUMMYFUNCTION("""COMPUTED_VALUE"""),0.9971040843568151)</f>
        <v>0.9971040844</v>
      </c>
      <c r="AM439" s="30">
        <f>IFERROR(__xludf.DUMMYFUNCTION("""COMPUTED_VALUE"""),1.045694035805699)</f>
        <v>1.045694036</v>
      </c>
      <c r="AN439" s="30">
        <f>IFERROR(__xludf.DUMMYFUNCTION("""COMPUTED_VALUE"""),1.016106304063301)</f>
        <v>1.016106304</v>
      </c>
      <c r="AO439" s="30">
        <f>IFERROR(__xludf.DUMMYFUNCTION("""COMPUTED_VALUE"""),1.3611734613765043)</f>
        <v>1.361173461</v>
      </c>
      <c r="AP439" s="30">
        <f>IFERROR(__xludf.DUMMYFUNCTION("""COMPUTED_VALUE"""),0.7142552546478873)</f>
        <v>0.7142552546</v>
      </c>
      <c r="AQ439" s="30">
        <f>IFERROR(__xludf.DUMMYFUNCTION("""COMPUTED_VALUE"""),0.8775710738398408)</f>
        <v>0.8775710738</v>
      </c>
      <c r="AR439" s="30">
        <f>IFERROR(__xludf.DUMMYFUNCTION("""COMPUTED_VALUE"""),1.1444194777419483)</f>
        <v>1.144419478</v>
      </c>
      <c r="AS439" s="30">
        <f>IFERROR(__xludf.DUMMYFUNCTION("""COMPUTED_VALUE"""),50.0)</f>
        <v>50</v>
      </c>
      <c r="AT439" s="30">
        <f>IFERROR(__xludf.DUMMYFUNCTION("""COMPUTED_VALUE"""),0.5)</f>
        <v>0.5</v>
      </c>
      <c r="AU439" s="30">
        <f>IFERROR(__xludf.DUMMYFUNCTION("""COMPUTED_VALUE"""),2.199103802838791)</f>
        <v>2.199103803</v>
      </c>
      <c r="AV439" s="32">
        <f>IFERROR(__xludf.DUMMYFUNCTION("""COMPUTED_VALUE"""),57.16564589323217)</f>
        <v>57.16564589</v>
      </c>
      <c r="AW439" s="32">
        <f>IFERROR(__xludf.DUMMYFUNCTION("""COMPUTED_VALUE"""),2.582648529970029)</f>
        <v>2.58264853</v>
      </c>
      <c r="AX439" s="32">
        <f>IFERROR(__xludf.DUMMYFUNCTION("""COMPUTED_VALUE"""),41.456581251097056)</f>
        <v>41.45658125</v>
      </c>
      <c r="AY439" s="32">
        <f>IFERROR(__xludf.DUMMYFUNCTION("""COMPUTED_VALUE"""),-2.7301927446153575)</f>
        <v>-2.730192745</v>
      </c>
      <c r="AZ439" s="30">
        <f>IFERROR(__xludf.DUMMYFUNCTION("""COMPUTED_VALUE"""),5.312841274585386)</f>
        <v>5.312841275</v>
      </c>
      <c r="BA439" s="30">
        <f>IFERROR(__xludf.DUMMYFUNCTION("""COMPUTED_VALUE"""),1700.0)</f>
        <v>1700</v>
      </c>
    </row>
    <row r="440">
      <c r="A440" s="71" t="str">
        <f>IFERROR(__xludf.DUMMYFUNCTION("""COMPUTED_VALUE"""),"Rival")</f>
        <v>Rival</v>
      </c>
      <c r="B440" s="71" t="str">
        <f>IFERROR(__xludf.DUMMYFUNCTION("""COMPUTED_VALUE"""),"RSC006938")</f>
        <v>RSC006938</v>
      </c>
      <c r="C440" s="30" t="str">
        <f>IFERROR(__xludf.DUMMYFUNCTION("""COMPUTED_VALUE"""),"Soda. .")</f>
        <v>Soda. .</v>
      </c>
      <c r="D440" s="30" t="str">
        <f>IFERROR(__xludf.DUMMYFUNCTION("""COMPUTED_VALUE"""),"Cursed")</f>
        <v>Cursed</v>
      </c>
      <c r="E440" s="30">
        <f>IFERROR(__xludf.DUMMYFUNCTION("""COMPUTED_VALUE"""),36.0)</f>
        <v>36</v>
      </c>
      <c r="F440" s="30">
        <f>IFERROR(__xludf.DUMMYFUNCTION("""COMPUTED_VALUE"""),23.0)</f>
        <v>23</v>
      </c>
      <c r="G440" s="42">
        <f>IFERROR(__xludf.DUMMYFUNCTION("""COMPUTED_VALUE"""),13.0)</f>
        <v>13</v>
      </c>
      <c r="H440" s="42">
        <f>IFERROR(__xludf.DUMMYFUNCTION("""COMPUTED_VALUE"""),0.6388888888888888)</f>
        <v>0.6388888889</v>
      </c>
      <c r="I440" s="42">
        <f>IFERROR(__xludf.DUMMYFUNCTION("""COMPUTED_VALUE"""),0.3333333333333333)</f>
        <v>0.3333333333</v>
      </c>
      <c r="J440" s="30">
        <f>IFERROR(__xludf.DUMMYFUNCTION("""COMPUTED_VALUE"""),341.8611111111111)</f>
        <v>341.8611111</v>
      </c>
      <c r="K440" s="30">
        <f>IFERROR(__xludf.DUMMYFUNCTION("""COMPUTED_VALUE"""),0.8888888888888888)</f>
        <v>0.8888888889</v>
      </c>
      <c r="L440" s="30">
        <f>IFERROR(__xludf.DUMMYFUNCTION("""COMPUTED_VALUE"""),0.5)</f>
        <v>0.5</v>
      </c>
      <c r="M440" s="30">
        <f>IFERROR(__xludf.DUMMYFUNCTION("""COMPUTED_VALUE"""),1.1944444444444444)</f>
        <v>1.194444444</v>
      </c>
      <c r="N440" s="30">
        <f>IFERROR(__xludf.DUMMYFUNCTION("""COMPUTED_VALUE"""),2.6666666666666665)</f>
        <v>2.666666667</v>
      </c>
      <c r="O440" s="30">
        <f>IFERROR(__xludf.DUMMYFUNCTION("""COMPUTED_VALUE"""),330.62037037037044)</f>
        <v>330.6203704</v>
      </c>
      <c r="P440" s="30">
        <f>IFERROR(__xludf.DUMMYFUNCTION("""COMPUTED_VALUE"""),0.6666666666666666)</f>
        <v>0.6666666667</v>
      </c>
      <c r="Q440" s="30">
        <f>IFERROR(__xludf.DUMMYFUNCTION("""COMPUTED_VALUE"""),0.5092592592592592)</f>
        <v>0.5092592593</v>
      </c>
      <c r="R440" s="30">
        <f>IFERROR(__xludf.DUMMYFUNCTION("""COMPUTED_VALUE"""),1.324074074074074)</f>
        <v>1.324074074</v>
      </c>
      <c r="S440" s="30">
        <f>IFERROR(__xludf.DUMMYFUNCTION("""COMPUTED_VALUE"""),2.4722222222222223)</f>
        <v>2.472222222</v>
      </c>
      <c r="T440" s="30">
        <f>IFERROR(__xludf.DUMMYFUNCTION("""COMPUTED_VALUE"""),355.9288104343109)</f>
        <v>355.9288104</v>
      </c>
      <c r="U440" s="30">
        <f>IFERROR(__xludf.DUMMYFUNCTION("""COMPUTED_VALUE"""),0.7996393494463698)</f>
        <v>0.7996393494</v>
      </c>
      <c r="V440" s="30">
        <f>IFERROR(__xludf.DUMMYFUNCTION("""COMPUTED_VALUE"""),0.5996154860590291)</f>
        <v>0.5996154861</v>
      </c>
      <c r="W440" s="30">
        <f>IFERROR(__xludf.DUMMYFUNCTION("""COMPUTED_VALUE"""),1.3390263252219528)</f>
        <v>1.339026325</v>
      </c>
      <c r="X440" s="30">
        <f>IFERROR(__xludf.DUMMYFUNCTION("""COMPUTED_VALUE"""),2.605865817793921)</f>
        <v>2.605865818</v>
      </c>
      <c r="Y440" s="30">
        <f>IFERROR(__xludf.DUMMYFUNCTION("""COMPUTED_VALUE"""),349.02516492677546)</f>
        <v>349.0251649</v>
      </c>
      <c r="Z440" s="30">
        <f>IFERROR(__xludf.DUMMYFUNCTION("""COMPUTED_VALUE"""),0.8004031558610476)</f>
        <v>0.8004031559</v>
      </c>
      <c r="AA440" s="30">
        <f>IFERROR(__xludf.DUMMYFUNCTION("""COMPUTED_VALUE"""),0.5685840678915015)</f>
        <v>0.5685840679</v>
      </c>
      <c r="AB440" s="30">
        <f>IFERROR(__xludf.DUMMYFUNCTION("""COMPUTED_VALUE"""),1.3049753619808457)</f>
        <v>1.304975362</v>
      </c>
      <c r="AC440" s="30">
        <f>IFERROR(__xludf.DUMMYFUNCTION("""COMPUTED_VALUE"""),2.6182472153163685)</f>
        <v>2.618247215</v>
      </c>
      <c r="AD440" s="30">
        <f>IFERROR(__xludf.DUMMYFUNCTION("""COMPUTED_VALUE"""),0.9794741052062325)</f>
        <v>0.9794741052</v>
      </c>
      <c r="AE440" s="30">
        <f>IFERROR(__xludf.DUMMYFUNCTION("""COMPUTED_VALUE"""),1.1105514544512898)</f>
        <v>1.110551454</v>
      </c>
      <c r="AF440" s="30">
        <f>IFERROR(__xludf.DUMMYFUNCTION("""COMPUTED_VALUE"""),0.879377436399451)</f>
        <v>0.8793774364</v>
      </c>
      <c r="AG440" s="30">
        <f>IFERROR(__xludf.DUMMYFUNCTION("""COMPUTED_VALUE"""),0.9153003797951983)</f>
        <v>0.9153003798</v>
      </c>
      <c r="AH440" s="30">
        <f>IFERROR(__xludf.DUMMYFUNCTION("""COMPUTED_VALUE"""),1.0184930785248434)</f>
        <v>1.018493079</v>
      </c>
      <c r="AI440" s="30">
        <f>IFERROR(__xludf.DUMMYFUNCTION("""COMPUTED_VALUE"""),0.9288946572404222)</f>
        <v>0.9288946572</v>
      </c>
      <c r="AJ440" s="30">
        <f>IFERROR(__xludf.DUMMYFUNCTION("""COMPUTED_VALUE"""),0.8337091804301942)</f>
        <v>0.8337091804</v>
      </c>
      <c r="AK440" s="30">
        <f>IFERROR(__xludf.DUMMYFUNCTION("""COMPUTED_VALUE"""),0.8493097178099319)</f>
        <v>0.8493097178</v>
      </c>
      <c r="AL440" s="30">
        <f>IFERROR(__xludf.DUMMYFUNCTION("""COMPUTED_VALUE"""),0.9888334897781786)</f>
        <v>0.9888334898</v>
      </c>
      <c r="AM440" s="30">
        <f>IFERROR(__xludf.DUMMYFUNCTION("""COMPUTED_VALUE"""),0.948714321873703)</f>
        <v>0.9487143219</v>
      </c>
      <c r="AN440" s="30">
        <f>IFERROR(__xludf.DUMMYFUNCTION("""COMPUTED_VALUE"""),1.0086156507377602)</f>
        <v>1.008615651</v>
      </c>
      <c r="AO440" s="30">
        <f>IFERROR(__xludf.DUMMYFUNCTION("""COMPUTED_VALUE"""),1.2099319656680037)</f>
        <v>1.209931966</v>
      </c>
      <c r="AP440" s="30">
        <f>IFERROR(__xludf.DUMMYFUNCTION("""COMPUTED_VALUE"""),0.8928190683098591)</f>
        <v>0.8928190683</v>
      </c>
      <c r="AQ440" s="30">
        <f>IFERROR(__xludf.DUMMYFUNCTION("""COMPUTED_VALUE"""),0.911486864133168)</f>
        <v>0.9114868641</v>
      </c>
      <c r="AR440" s="30">
        <f>IFERROR(__xludf.DUMMYFUNCTION("""COMPUTED_VALUE"""),1.070801850518782)</f>
        <v>1.070801851</v>
      </c>
      <c r="AS440" s="30">
        <f>IFERROR(__xludf.DUMMYFUNCTION("""COMPUTED_VALUE"""),94.0)</f>
        <v>94</v>
      </c>
      <c r="AT440" s="30">
        <f>IFERROR(__xludf.DUMMYFUNCTION("""COMPUTED_VALUE"""),0.6019139321801137)</f>
        <v>0.6019139322</v>
      </c>
      <c r="AU440" s="30">
        <f>IFERROR(__xludf.DUMMYFUNCTION("""COMPUTED_VALUE"""),2.3144334459579485)</f>
        <v>2.314433446</v>
      </c>
      <c r="AV440" s="32">
        <f>IFERROR(__xludf.DUMMYFUNCTION("""COMPUTED_VALUE"""),61.23955820639536)</f>
        <v>61.23955821</v>
      </c>
      <c r="AW440" s="32">
        <f>IFERROR(__xludf.DUMMYFUNCTION("""COMPUTED_VALUE"""),3.062732575933799)</f>
        <v>3.062732576</v>
      </c>
      <c r="AX440" s="32">
        <f>IFERROR(__xludf.DUMMYFUNCTION("""COMPUTED_VALUE"""),47.46357991904699)</f>
        <v>47.46357992</v>
      </c>
      <c r="AY440" s="32">
        <f>IFERROR(__xludf.DUMMYFUNCTION("""COMPUTED_VALUE"""),-2.1758338161637165)</f>
        <v>-2.175833816</v>
      </c>
      <c r="AZ440" s="30">
        <f>IFERROR(__xludf.DUMMYFUNCTION("""COMPUTED_VALUE"""),5.238566392097516)</f>
        <v>5.238566392</v>
      </c>
      <c r="BA440" s="30">
        <f>IFERROR(__xludf.DUMMYFUNCTION("""COMPUTED_VALUE"""),1700.0)</f>
        <v>1700</v>
      </c>
    </row>
    <row r="441">
      <c r="A441" s="71" t="str">
        <f>IFERROR(__xludf.DUMMYFUNCTION("""COMPUTED_VALUE"""),"Rival")</f>
        <v>Rival</v>
      </c>
      <c r="B441" s="71" t="str">
        <f>IFERROR(__xludf.DUMMYFUNCTION("""COMPUTED_VALUE"""),"RSC005885")</f>
        <v>RSC005885</v>
      </c>
      <c r="C441" s="30" t="str">
        <f>IFERROR(__xludf.DUMMYFUNCTION("""COMPUTED_VALUE"""),"noot")</f>
        <v>noot</v>
      </c>
      <c r="D441" s="30" t="str">
        <f>IFERROR(__xludf.DUMMYFUNCTION("""COMPUTED_VALUE"""),"Quasars")</f>
        <v>Quasars</v>
      </c>
      <c r="E441" s="30">
        <f>IFERROR(__xludf.DUMMYFUNCTION("""COMPUTED_VALUE"""),36.0)</f>
        <v>36</v>
      </c>
      <c r="F441" s="30">
        <f>IFERROR(__xludf.DUMMYFUNCTION("""COMPUTED_VALUE"""),20.0)</f>
        <v>20</v>
      </c>
      <c r="G441" s="42">
        <f>IFERROR(__xludf.DUMMYFUNCTION("""COMPUTED_VALUE"""),16.0)</f>
        <v>16</v>
      </c>
      <c r="H441" s="42">
        <f>IFERROR(__xludf.DUMMYFUNCTION("""COMPUTED_VALUE"""),0.5555555555555556)</f>
        <v>0.5555555556</v>
      </c>
      <c r="I441" s="42">
        <f>IFERROR(__xludf.DUMMYFUNCTION("""COMPUTED_VALUE"""),0.27884615384615385)</f>
        <v>0.2788461538</v>
      </c>
      <c r="J441" s="30">
        <f>IFERROR(__xludf.DUMMYFUNCTION("""COMPUTED_VALUE"""),353.6388888888889)</f>
        <v>353.6388889</v>
      </c>
      <c r="K441" s="30">
        <f>IFERROR(__xludf.DUMMYFUNCTION("""COMPUTED_VALUE"""),0.8055555555555556)</f>
        <v>0.8055555556</v>
      </c>
      <c r="L441" s="30">
        <f>IFERROR(__xludf.DUMMYFUNCTION("""COMPUTED_VALUE"""),0.5555555555555556)</f>
        <v>0.5555555556</v>
      </c>
      <c r="M441" s="30">
        <f>IFERROR(__xludf.DUMMYFUNCTION("""COMPUTED_VALUE"""),1.4166666666666667)</f>
        <v>1.416666667</v>
      </c>
      <c r="N441" s="30">
        <f>IFERROR(__xludf.DUMMYFUNCTION("""COMPUTED_VALUE"""),2.888888888888889)</f>
        <v>2.888888889</v>
      </c>
      <c r="O441" s="30">
        <f>IFERROR(__xludf.DUMMYFUNCTION("""COMPUTED_VALUE"""),348.8333333333334)</f>
        <v>348.8333333</v>
      </c>
      <c r="P441" s="30">
        <f>IFERROR(__xludf.DUMMYFUNCTION("""COMPUTED_VALUE"""),0.7685185185185183)</f>
        <v>0.7685185185</v>
      </c>
      <c r="Q441" s="30">
        <f>IFERROR(__xludf.DUMMYFUNCTION("""COMPUTED_VALUE"""),0.5925925925925926)</f>
        <v>0.5925925926</v>
      </c>
      <c r="R441" s="30">
        <f>IFERROR(__xludf.DUMMYFUNCTION("""COMPUTED_VALUE"""),1.361111111111111)</f>
        <v>1.361111111</v>
      </c>
      <c r="S441" s="30">
        <f>IFERROR(__xludf.DUMMYFUNCTION("""COMPUTED_VALUE"""),2.768518518518519)</f>
        <v>2.768518519</v>
      </c>
      <c r="T441" s="30">
        <f>IFERROR(__xludf.DUMMYFUNCTION("""COMPUTED_VALUE"""),352.15716016023555)</f>
        <v>352.1571602</v>
      </c>
      <c r="U441" s="30">
        <f>IFERROR(__xludf.DUMMYFUNCTION("""COMPUTED_VALUE"""),0.8290671114004095)</f>
        <v>0.8290671114</v>
      </c>
      <c r="V441" s="30">
        <f>IFERROR(__xludf.DUMMYFUNCTION("""COMPUTED_VALUE"""),0.6153465306598375)</f>
        <v>0.6153465307</v>
      </c>
      <c r="W441" s="30">
        <f>IFERROR(__xludf.DUMMYFUNCTION("""COMPUTED_VALUE"""),1.2678954625119778)</f>
        <v>1.267895463</v>
      </c>
      <c r="X441" s="30">
        <f>IFERROR(__xludf.DUMMYFUNCTION("""COMPUTED_VALUE"""),2.547577625898723)</f>
        <v>2.547577626</v>
      </c>
      <c r="Y441" s="30">
        <f>IFERROR(__xludf.DUMMYFUNCTION("""COMPUTED_VALUE"""),345.5883034380237)</f>
        <v>345.5883034</v>
      </c>
      <c r="Z441" s="30">
        <f>IFERROR(__xludf.DUMMYFUNCTION("""COMPUTED_VALUE"""),0.7747925709896207)</f>
        <v>0.774792571</v>
      </c>
      <c r="AA441" s="30">
        <f>IFERROR(__xludf.DUMMYFUNCTION("""COMPUTED_VALUE"""),0.5412256763680356)</f>
        <v>0.5412256764</v>
      </c>
      <c r="AB441" s="30">
        <f>IFERROR(__xludf.DUMMYFUNCTION("""COMPUTED_VALUE"""),1.3015138590171453)</f>
        <v>1.301513859</v>
      </c>
      <c r="AC441" s="30">
        <f>IFERROR(__xludf.DUMMYFUNCTION("""COMPUTED_VALUE"""),2.5191854749505507)</f>
        <v>2.519185475</v>
      </c>
      <c r="AD441" s="30">
        <f>IFERROR(__xludf.DUMMYFUNCTION("""COMPUTED_VALUE"""),1.0232953064984418)</f>
        <v>1.023295306</v>
      </c>
      <c r="AE441" s="30">
        <f>IFERROR(__xludf.DUMMYFUNCTION("""COMPUTED_VALUE"""),1.0397048006366945)</f>
        <v>1.039704801</v>
      </c>
      <c r="AF441" s="30">
        <f>IFERROR(__xludf.DUMMYFUNCTION("""COMPUTED_VALUE"""),1.0264767172239175)</f>
        <v>1.026476717</v>
      </c>
      <c r="AG441" s="30">
        <f>IFERROR(__xludf.DUMMYFUNCTION("""COMPUTED_VALUE"""),1.0884760518312733)</f>
        <v>1.088476052</v>
      </c>
      <c r="AH441" s="30">
        <f>IFERROR(__xludf.DUMMYFUNCTION("""COMPUTED_VALUE"""),1.146755138759918)</f>
        <v>1.146755139</v>
      </c>
      <c r="AI441" s="30">
        <f>IFERROR(__xludf.DUMMYFUNCTION("""COMPUTED_VALUE"""),0.9905615242200677)</f>
        <v>0.9905615242</v>
      </c>
      <c r="AJ441" s="30">
        <f>IFERROR(__xludf.DUMMYFUNCTION("""COMPUTED_VALUE"""),0.9269678026672459)</f>
        <v>0.9269678027</v>
      </c>
      <c r="AK441" s="30">
        <f>IFERROR(__xludf.DUMMYFUNCTION("""COMPUTED_VALUE"""),0.9630225621929714)</f>
        <v>0.9630225622</v>
      </c>
      <c r="AL441" s="30">
        <f>IFERROR(__xludf.DUMMYFUNCTION("""COMPUTED_VALUE"""),1.073519979647575)</f>
        <v>1.07351998</v>
      </c>
      <c r="AM441" s="30">
        <f>IFERROR(__xludf.DUMMYFUNCTION("""COMPUTED_VALUE"""),1.0867258725990159)</f>
        <v>1.086725873</v>
      </c>
      <c r="AN441" s="30">
        <f>IFERROR(__xludf.DUMMYFUNCTION("""COMPUTED_VALUE"""),1.0433644145236391)</f>
        <v>1.043364415</v>
      </c>
      <c r="AO441" s="30">
        <f>IFERROR(__xludf.DUMMYFUNCTION("""COMPUTED_VALUE"""),1.0965008438866284)</f>
        <v>1.096500844</v>
      </c>
      <c r="AP441" s="30">
        <f>IFERROR(__xludf.DUMMYFUNCTION("""COMPUTED_VALUE"""),0.9920211870109547)</f>
        <v>0.992021187</v>
      </c>
      <c r="AQ441" s="30">
        <f>IFERROR(__xludf.DUMMYFUNCTION("""COMPUTED_VALUE"""),1.081065815599804)</f>
        <v>1.081065816</v>
      </c>
      <c r="AR441" s="30">
        <f>IFERROR(__xludf.DUMMYFUNCTION("""COMPUTED_VALUE"""),1.1600353380620136)</f>
        <v>1.160035338</v>
      </c>
      <c r="AS441" s="30">
        <f>IFERROR(__xludf.DUMMYFUNCTION("""COMPUTED_VALUE"""),76.0)</f>
        <v>76</v>
      </c>
      <c r="AT441" s="30">
        <f>IFERROR(__xludf.DUMMYFUNCTION("""COMPUTED_VALUE"""),0.46631507701157704)</f>
        <v>0.466315077</v>
      </c>
      <c r="AU441" s="30">
        <f>IFERROR(__xludf.DUMMYFUNCTION("""COMPUTED_VALUE"""),2.2985736151952976)</f>
        <v>2.298573615</v>
      </c>
      <c r="AV441" s="32">
        <f>IFERROR(__xludf.DUMMYFUNCTION("""COMPUTED_VALUE"""),60.679324444448376)</f>
        <v>60.67932444</v>
      </c>
      <c r="AW441" s="32">
        <f>IFERROR(__xludf.DUMMYFUNCTION("""COMPUTED_VALUE"""),2.9884049510637487)</f>
        <v>2.988404951</v>
      </c>
      <c r="AX441" s="32">
        <f>IFERROR(__xludf.DUMMYFUNCTION("""COMPUTED_VALUE"""),48.06904551387463)</f>
        <v>48.06904551</v>
      </c>
      <c r="AY441" s="32">
        <f>IFERROR(__xludf.DUMMYFUNCTION("""COMPUTED_VALUE"""),-2.1312099218326535)</f>
        <v>-2.131209922</v>
      </c>
      <c r="AZ441" s="30">
        <f>IFERROR(__xludf.DUMMYFUNCTION("""COMPUTED_VALUE"""),5.119614872896403)</f>
        <v>5.119614873</v>
      </c>
      <c r="BA441" s="30">
        <f>IFERROR(__xludf.DUMMYFUNCTION("""COMPUTED_VALUE"""),1700.0)</f>
        <v>1700</v>
      </c>
    </row>
    <row r="442">
      <c r="A442" s="71" t="str">
        <f>IFERROR(__xludf.DUMMYFUNCTION("""COMPUTED_VALUE"""),"Rival")</f>
        <v>Rival</v>
      </c>
      <c r="B442" s="71" t="str">
        <f>IFERROR(__xludf.DUMMYFUNCTION("""COMPUTED_VALUE"""),"RSC003320")</f>
        <v>RSC003320</v>
      </c>
      <c r="C442" s="30" t="str">
        <f>IFERROR(__xludf.DUMMYFUNCTION("""COMPUTED_VALUE"""),"jojomojo13")</f>
        <v>jojomojo13</v>
      </c>
      <c r="D442" s="30"/>
      <c r="E442" s="30">
        <f>IFERROR(__xludf.DUMMYFUNCTION("""COMPUTED_VALUE"""),4.0)</f>
        <v>4</v>
      </c>
      <c r="F442" s="30">
        <f>IFERROR(__xludf.DUMMYFUNCTION("""COMPUTED_VALUE"""),0.0)</f>
        <v>0</v>
      </c>
      <c r="G442" s="42">
        <f>IFERROR(__xludf.DUMMYFUNCTION("""COMPUTED_VALUE"""),4.0)</f>
        <v>4</v>
      </c>
      <c r="H442" s="42">
        <f>IFERROR(__xludf.DUMMYFUNCTION("""COMPUTED_VALUE"""),0.0)</f>
        <v>0</v>
      </c>
      <c r="I442" s="42">
        <f>IFERROR(__xludf.DUMMYFUNCTION("""COMPUTED_VALUE"""),0.2727272727272727)</f>
        <v>0.2727272727</v>
      </c>
      <c r="J442" s="30">
        <f>IFERROR(__xludf.DUMMYFUNCTION("""COMPUTED_VALUE"""),404.25)</f>
        <v>404.25</v>
      </c>
      <c r="K442" s="30">
        <f>IFERROR(__xludf.DUMMYFUNCTION("""COMPUTED_VALUE"""),0.75)</f>
        <v>0.75</v>
      </c>
      <c r="L442" s="30">
        <f>IFERROR(__xludf.DUMMYFUNCTION("""COMPUTED_VALUE"""),0.5)</f>
        <v>0.5</v>
      </c>
      <c r="M442" s="30">
        <f>IFERROR(__xludf.DUMMYFUNCTION("""COMPUTED_VALUE"""),1.75)</f>
        <v>1.75</v>
      </c>
      <c r="N442" s="30">
        <f>IFERROR(__xludf.DUMMYFUNCTION("""COMPUTED_VALUE"""),2.75)</f>
        <v>2.75</v>
      </c>
      <c r="O442" s="30">
        <f>IFERROR(__xludf.DUMMYFUNCTION("""COMPUTED_VALUE"""),434.1666666666667)</f>
        <v>434.1666667</v>
      </c>
      <c r="P442" s="30">
        <f>IFERROR(__xludf.DUMMYFUNCTION("""COMPUTED_VALUE"""),1.0833333333333333)</f>
        <v>1.083333333</v>
      </c>
      <c r="Q442" s="30">
        <f>IFERROR(__xludf.DUMMYFUNCTION("""COMPUTED_VALUE"""),0.75)</f>
        <v>0.75</v>
      </c>
      <c r="R442" s="30">
        <f>IFERROR(__xludf.DUMMYFUNCTION("""COMPUTED_VALUE"""),1.5833333333333333)</f>
        <v>1.583333333</v>
      </c>
      <c r="S442" s="30">
        <f>IFERROR(__xludf.DUMMYFUNCTION("""COMPUTED_VALUE"""),3.666666666666667)</f>
        <v>3.666666667</v>
      </c>
      <c r="T442" s="30">
        <f>IFERROR(__xludf.DUMMYFUNCTION("""COMPUTED_VALUE"""),407.4253812636166)</f>
        <v>407.4253813</v>
      </c>
      <c r="U442" s="30">
        <f>IFERROR(__xludf.DUMMYFUNCTION("""COMPUTED_VALUE"""),1.0544662309368191)</f>
        <v>1.054466231</v>
      </c>
      <c r="V442" s="30">
        <f>IFERROR(__xludf.DUMMYFUNCTION("""COMPUTED_VALUE"""),0.7434640522875817)</f>
        <v>0.7434640523</v>
      </c>
      <c r="W442" s="30">
        <f>IFERROR(__xludf.DUMMYFUNCTION("""COMPUTED_VALUE"""),1.5021786492374727)</f>
        <v>1.502178649</v>
      </c>
      <c r="X442" s="30">
        <f>IFERROR(__xludf.DUMMYFUNCTION("""COMPUTED_VALUE"""),2.9471677559912854)</f>
        <v>2.947167756</v>
      </c>
      <c r="Y442" s="30">
        <f>IFERROR(__xludf.DUMMYFUNCTION("""COMPUTED_VALUE"""),325.09404502541764)</f>
        <v>325.094045</v>
      </c>
      <c r="Z442" s="30">
        <f>IFERROR(__xludf.DUMMYFUNCTION("""COMPUTED_VALUE"""),0.6318082788671022)</f>
        <v>0.6318082789</v>
      </c>
      <c r="AA442" s="30">
        <f>IFERROR(__xludf.DUMMYFUNCTION("""COMPUTED_VALUE"""),0.47167755991285415)</f>
        <v>0.4716775599</v>
      </c>
      <c r="AB442" s="30">
        <f>IFERROR(__xludf.DUMMYFUNCTION("""COMPUTED_VALUE"""),1.3456790123456788)</f>
        <v>1.345679012</v>
      </c>
      <c r="AC442" s="30">
        <f>IFERROR(__xludf.DUMMYFUNCTION("""COMPUTED_VALUE"""),2.7138707334785757)</f>
        <v>2.713870733</v>
      </c>
      <c r="AD442" s="30">
        <f>IFERROR(__xludf.DUMMYFUNCTION("""COMPUTED_VALUE"""),1.2434863270669676)</f>
        <v>1.243486327</v>
      </c>
      <c r="AE442" s="30">
        <f>IFERROR(__xludf.DUMMYFUNCTION("""COMPUTED_VALUE"""),1.1870689655172417)</f>
        <v>1.187068966</v>
      </c>
      <c r="AF442" s="30">
        <f>IFERROR(__xludf.DUMMYFUNCTION("""COMPUTED_VALUE"""),1.0600461893764432)</f>
        <v>1.060046189</v>
      </c>
      <c r="AG442" s="30">
        <f>IFERROR(__xludf.DUMMYFUNCTION("""COMPUTED_VALUE"""),1.3004587155963305)</f>
        <v>1.300458716</v>
      </c>
      <c r="AH442" s="30">
        <f>IFERROR(__xludf.DUMMYFUNCTION("""COMPUTED_VALUE"""),1.0133128177682638)</f>
        <v>1.013312818</v>
      </c>
      <c r="AI442" s="30">
        <f>IFERROR(__xludf.DUMMYFUNCTION("""COMPUTED_VALUE"""),1.0656348048816027)</f>
        <v>1.065634805</v>
      </c>
      <c r="AJ442" s="30">
        <f>IFERROR(__xludf.DUMMYFUNCTION("""COMPUTED_VALUE"""),1.0273760330578512)</f>
        <v>1.027376033</v>
      </c>
      <c r="AK442" s="30">
        <f>IFERROR(__xludf.DUMMYFUNCTION("""COMPUTED_VALUE"""),1.0087912087912088)</f>
        <v>1.008791209</v>
      </c>
      <c r="AL442" s="30">
        <f>IFERROR(__xludf.DUMMYFUNCTION("""COMPUTED_VALUE"""),1.0540246555474981)</f>
        <v>1.054024656</v>
      </c>
      <c r="AM442" s="30">
        <f>IFERROR(__xludf.DUMMYFUNCTION("""COMPUTED_VALUE"""),1.2441323230456478)</f>
        <v>1.244132323</v>
      </c>
      <c r="AN442" s="30">
        <f>IFERROR(__xludf.DUMMYFUNCTION("""COMPUTED_VALUE"""),1.1926857532450332)</f>
        <v>1.192685753</v>
      </c>
      <c r="AO442" s="30">
        <f>IFERROR(__xludf.DUMMYFUNCTION("""COMPUTED_VALUE"""),1.020880096032378)</f>
        <v>1.020880096</v>
      </c>
      <c r="AP442" s="30">
        <f>IFERROR(__xludf.DUMMYFUNCTION("""COMPUTED_VALUE"""),0.8928190683098591)</f>
        <v>0.8928190683</v>
      </c>
      <c r="AQ442" s="30">
        <f>IFERROR(__xludf.DUMMYFUNCTION("""COMPUTED_VALUE"""),1.3354342427997579)</f>
        <v>1.335434243</v>
      </c>
      <c r="AR442" s="30">
        <f>IFERROR(__xludf.DUMMYFUNCTION("""COMPUTED_VALUE"""),1.104264408347494)</f>
        <v>1.104264408</v>
      </c>
      <c r="AS442" s="30">
        <f>IFERROR(__xludf.DUMMYFUNCTION("""COMPUTED_VALUE"""),6.0)</f>
        <v>6</v>
      </c>
      <c r="AT442" s="30">
        <f>IFERROR(__xludf.DUMMYFUNCTION("""COMPUTED_VALUE"""),0.2298430792925465)</f>
        <v>0.2298430793</v>
      </c>
      <c r="AU442" s="30">
        <f>IFERROR(__xludf.DUMMYFUNCTION("""COMPUTED_VALUE"""),2.2591882208568492)</f>
        <v>2.259188221</v>
      </c>
      <c r="AV442" s="32">
        <f>IFERROR(__xludf.DUMMYFUNCTION("""COMPUTED_VALUE"""),59.28807204294381)</f>
        <v>59.28807204</v>
      </c>
      <c r="AW442" s="32">
        <f>IFERROR(__xludf.DUMMYFUNCTION("""COMPUTED_VALUE"""),2.8159173587274857)</f>
        <v>2.815917359</v>
      </c>
      <c r="AX442" s="32">
        <f>IFERROR(__xludf.DUMMYFUNCTION("""COMPUTED_VALUE"""),46.34580122995752)</f>
        <v>46.34580123</v>
      </c>
      <c r="AY442" s="32">
        <f>IFERROR(__xludf.DUMMYFUNCTION("""COMPUTED_VALUE"""),-2.2629840838676665)</f>
        <v>-2.262984084</v>
      </c>
      <c r="AZ442" s="30">
        <f>IFERROR(__xludf.DUMMYFUNCTION("""COMPUTED_VALUE"""),5.078901442595152)</f>
        <v>5.078901443</v>
      </c>
      <c r="BA442" s="30">
        <f>IFERROR(__xludf.DUMMYFUNCTION("""COMPUTED_VALUE"""),1700.0)</f>
        <v>1700</v>
      </c>
    </row>
    <row r="443">
      <c r="A443" s="71" t="str">
        <f>IFERROR(__xludf.DUMMYFUNCTION("""COMPUTED_VALUE"""),"Rival")</f>
        <v>Rival</v>
      </c>
      <c r="B443" s="71" t="str">
        <f>IFERROR(__xludf.DUMMYFUNCTION("""COMPUTED_VALUE"""),"RSC007186")</f>
        <v>RSC007186</v>
      </c>
      <c r="C443" s="30" t="str">
        <f>IFERROR(__xludf.DUMMYFUNCTION("""COMPUTED_VALUE"""),"Bushier Brow")</f>
        <v>Bushier Brow</v>
      </c>
      <c r="D443" s="30" t="str">
        <f>IFERROR(__xludf.DUMMYFUNCTION("""COMPUTED_VALUE"""),"Hot Wings")</f>
        <v>Hot Wings</v>
      </c>
      <c r="E443" s="30">
        <f>IFERROR(__xludf.DUMMYFUNCTION("""COMPUTED_VALUE"""),23.0)</f>
        <v>23</v>
      </c>
      <c r="F443" s="30">
        <f>IFERROR(__xludf.DUMMYFUNCTION("""COMPUTED_VALUE"""),17.0)</f>
        <v>17</v>
      </c>
      <c r="G443" s="42">
        <f>IFERROR(__xludf.DUMMYFUNCTION("""COMPUTED_VALUE"""),6.0)</f>
        <v>6</v>
      </c>
      <c r="H443" s="42">
        <f>IFERROR(__xludf.DUMMYFUNCTION("""COMPUTED_VALUE"""),0.7391304347826086)</f>
        <v>0.7391304348</v>
      </c>
      <c r="I443" s="42">
        <f>IFERROR(__xludf.DUMMYFUNCTION("""COMPUTED_VALUE"""),0.3278688524590164)</f>
        <v>0.3278688525</v>
      </c>
      <c r="J443" s="30">
        <f>IFERROR(__xludf.DUMMYFUNCTION("""COMPUTED_VALUE"""),368.04347826086956)</f>
        <v>368.0434783</v>
      </c>
      <c r="K443" s="30">
        <f>IFERROR(__xludf.DUMMYFUNCTION("""COMPUTED_VALUE"""),0.8695652173913043)</f>
        <v>0.8695652174</v>
      </c>
      <c r="L443" s="30">
        <f>IFERROR(__xludf.DUMMYFUNCTION("""COMPUTED_VALUE"""),0.43478260869565216)</f>
        <v>0.4347826087</v>
      </c>
      <c r="M443" s="30">
        <f>IFERROR(__xludf.DUMMYFUNCTION("""COMPUTED_VALUE"""),1.608695652173913)</f>
        <v>1.608695652</v>
      </c>
      <c r="N443" s="30">
        <f>IFERROR(__xludf.DUMMYFUNCTION("""COMPUTED_VALUE"""),2.652173913043478)</f>
        <v>2.652173913</v>
      </c>
      <c r="O443" s="30">
        <f>IFERROR(__xludf.DUMMYFUNCTION("""COMPUTED_VALUE"""),325.9420289855073)</f>
        <v>325.942029</v>
      </c>
      <c r="P443" s="30">
        <f>IFERROR(__xludf.DUMMYFUNCTION("""COMPUTED_VALUE"""),0.6521739130434782)</f>
        <v>0.652173913</v>
      </c>
      <c r="Q443" s="30">
        <f>IFERROR(__xludf.DUMMYFUNCTION("""COMPUTED_VALUE"""),0.42028985507246375)</f>
        <v>0.4202898551</v>
      </c>
      <c r="R443" s="30">
        <f>IFERROR(__xludf.DUMMYFUNCTION("""COMPUTED_VALUE"""),1.4782608695652173)</f>
        <v>1.47826087</v>
      </c>
      <c r="S443" s="30">
        <f>IFERROR(__xludf.DUMMYFUNCTION("""COMPUTED_VALUE"""),2.449275362318841)</f>
        <v>2.449275362</v>
      </c>
      <c r="T443" s="30">
        <f>IFERROR(__xludf.DUMMYFUNCTION("""COMPUTED_VALUE"""),336.96932654780386)</f>
        <v>336.9693265</v>
      </c>
      <c r="U443" s="30">
        <f>IFERROR(__xludf.DUMMYFUNCTION("""COMPUTED_VALUE"""),0.7599884641735426)</f>
        <v>0.7599884642</v>
      </c>
      <c r="V443" s="30">
        <f>IFERROR(__xludf.DUMMYFUNCTION("""COMPUTED_VALUE"""),0.5099673057546965)</f>
        <v>0.5099673058</v>
      </c>
      <c r="W443" s="30">
        <f>IFERROR(__xludf.DUMMYFUNCTION("""COMPUTED_VALUE"""),1.3155001205706893)</f>
        <v>1.315500121</v>
      </c>
      <c r="X443" s="30">
        <f>IFERROR(__xludf.DUMMYFUNCTION("""COMPUTED_VALUE"""),2.511428797872061)</f>
        <v>2.511428798</v>
      </c>
      <c r="Y443" s="30">
        <f>IFERROR(__xludf.DUMMYFUNCTION("""COMPUTED_VALUE"""),347.0644407673512)</f>
        <v>347.0644408</v>
      </c>
      <c r="Z443" s="30">
        <f>IFERROR(__xludf.DUMMYFUNCTION("""COMPUTED_VALUE"""),0.7942925808303265)</f>
        <v>0.7942925808</v>
      </c>
      <c r="AA443" s="30">
        <f>IFERROR(__xludf.DUMMYFUNCTION("""COMPUTED_VALUE"""),0.5930858160974205)</f>
        <v>0.5930858161</v>
      </c>
      <c r="AB443" s="30">
        <f>IFERROR(__xludf.DUMMYFUNCTION("""COMPUTED_VALUE"""),1.3207126661739947)</f>
        <v>1.320712666</v>
      </c>
      <c r="AC443" s="30">
        <f>IFERROR(__xludf.DUMMYFUNCTION("""COMPUTED_VALUE"""),2.586434307451943)</f>
        <v>2.586434307</v>
      </c>
      <c r="AD443" s="30">
        <f>IFERROR(__xludf.DUMMYFUNCTION("""COMPUTED_VALUE"""),1.0604470957817926)</f>
        <v>1.060447096</v>
      </c>
      <c r="AE443" s="30">
        <f>IFERROR(__xludf.DUMMYFUNCTION("""COMPUTED_VALUE"""),1.0947668886473676)</f>
        <v>1.094766889</v>
      </c>
      <c r="AF443" s="30">
        <f>IFERROR(__xludf.DUMMYFUNCTION("""COMPUTED_VALUE"""),0.7330854943666948)</f>
        <v>0.7330854944</v>
      </c>
      <c r="AG443" s="30">
        <f>IFERROR(__xludf.DUMMYFUNCTION("""COMPUTED_VALUE"""),1.2180512032448234)</f>
        <v>1.218051203</v>
      </c>
      <c r="AH443" s="30">
        <f>IFERROR(__xludf.DUMMYFUNCTION("""COMPUTED_VALUE"""),1.0254170791819952)</f>
        <v>1.025417079</v>
      </c>
      <c r="AI443" s="30">
        <f>IFERROR(__xludf.DUMMYFUNCTION("""COMPUTED_VALUE"""),0.9672750701814037)</f>
        <v>0.9672750702</v>
      </c>
      <c r="AJ443" s="30">
        <f>IFERROR(__xludf.DUMMYFUNCTION("""COMPUTED_VALUE"""),0.8581365952083121)</f>
        <v>0.8581365952</v>
      </c>
      <c r="AK443" s="30">
        <f>IFERROR(__xludf.DUMMYFUNCTION("""COMPUTED_VALUE"""),0.8241505883411098)</f>
        <v>0.8241505883</v>
      </c>
      <c r="AL443" s="30">
        <f>IFERROR(__xludf.DUMMYFUNCTION("""COMPUTED_VALUE"""),1.1237253774814702)</f>
        <v>1.123725377</v>
      </c>
      <c r="AM443" s="30">
        <f>IFERROR(__xludf.DUMMYFUNCTION("""COMPUTED_VALUE"""),0.975251762818885)</f>
        <v>0.9752517628</v>
      </c>
      <c r="AN443" s="30">
        <f>IFERROR(__xludf.DUMMYFUNCTION("""COMPUTED_VALUE"""),1.0858632358602034)</f>
        <v>1.085863236</v>
      </c>
      <c r="AO443" s="30">
        <f>IFERROR(__xludf.DUMMYFUNCTION("""COMPUTED_VALUE"""),1.183629096849134)</f>
        <v>1.183629097</v>
      </c>
      <c r="AP443" s="30">
        <f>IFERROR(__xludf.DUMMYFUNCTION("""COMPUTED_VALUE"""),0.7763644072259644)</f>
        <v>0.7763644072</v>
      </c>
      <c r="AQ443" s="30">
        <f>IFERROR(__xludf.DUMMYFUNCTION("""COMPUTED_VALUE"""),1.227604148660647)</f>
        <v>1.227604149</v>
      </c>
      <c r="AR443" s="30">
        <f>IFERROR(__xludf.DUMMYFUNCTION("""COMPUTED_VALUE"""),1.0649822752442233)</f>
        <v>1.064982275</v>
      </c>
      <c r="AS443" s="30">
        <f>IFERROR(__xludf.DUMMYFUNCTION("""COMPUTED_VALUE"""),66.0)</f>
        <v>66</v>
      </c>
      <c r="AT443" s="30">
        <f>IFERROR(__xludf.DUMMYFUNCTION("""COMPUTED_VALUE"""),0.6460457079348378)</f>
        <v>0.6460457079</v>
      </c>
      <c r="AU443" s="30">
        <f>IFERROR(__xludf.DUMMYFUNCTION("""COMPUTED_VALUE"""),2.262019395047933)</f>
        <v>2.262019395</v>
      </c>
      <c r="AV443" s="32">
        <f>IFERROR(__xludf.DUMMYFUNCTION("""COMPUTED_VALUE"""),59.388080636448684)</f>
        <v>59.38808064</v>
      </c>
      <c r="AW443" s="32">
        <f>IFERROR(__xludf.DUMMYFUNCTION("""COMPUTED_VALUE"""),2.8277688957442053)</f>
        <v>2.827768896</v>
      </c>
      <c r="AX443" s="32">
        <f>IFERROR(__xludf.DUMMYFUNCTION("""COMPUTED_VALUE"""),47.68946604795916)</f>
        <v>47.68946605</v>
      </c>
      <c r="AY443" s="32">
        <f>IFERROR(__xludf.DUMMYFUNCTION("""COMPUTED_VALUE"""),-2.1589802436468735)</f>
        <v>-2.158980244</v>
      </c>
      <c r="AZ443" s="30">
        <f>IFERROR(__xludf.DUMMYFUNCTION("""COMPUTED_VALUE"""),4.986749139391079)</f>
        <v>4.986749139</v>
      </c>
      <c r="BA443" s="30">
        <f>IFERROR(__xludf.DUMMYFUNCTION("""COMPUTED_VALUE"""),1700.0)</f>
        <v>1700</v>
      </c>
    </row>
    <row r="444">
      <c r="A444" s="71" t="str">
        <f>IFERROR(__xludf.DUMMYFUNCTION("""COMPUTED_VALUE"""),"Rival")</f>
        <v>Rival</v>
      </c>
      <c r="B444" s="71" t="str">
        <f>IFERROR(__xludf.DUMMYFUNCTION("""COMPUTED_VALUE"""),"RSC006044")</f>
        <v>RSC006044</v>
      </c>
      <c r="C444" s="30" t="str">
        <f>IFERROR(__xludf.DUMMYFUNCTION("""COMPUTED_VALUE"""),"HybridParagon")</f>
        <v>HybridParagon</v>
      </c>
      <c r="D444" s="30"/>
      <c r="E444" s="30">
        <f>IFERROR(__xludf.DUMMYFUNCTION("""COMPUTED_VALUE"""),18.0)</f>
        <v>18</v>
      </c>
      <c r="F444" s="30">
        <f>IFERROR(__xludf.DUMMYFUNCTION("""COMPUTED_VALUE"""),7.0)</f>
        <v>7</v>
      </c>
      <c r="G444" s="42">
        <f>IFERROR(__xludf.DUMMYFUNCTION("""COMPUTED_VALUE"""),11.0)</f>
        <v>11</v>
      </c>
      <c r="H444" s="42">
        <f>IFERROR(__xludf.DUMMYFUNCTION("""COMPUTED_VALUE"""),0.3888888888888889)</f>
        <v>0.3888888889</v>
      </c>
      <c r="I444" s="42">
        <f>IFERROR(__xludf.DUMMYFUNCTION("""COMPUTED_VALUE"""),0.25)</f>
        <v>0.25</v>
      </c>
      <c r="J444" s="30">
        <f>IFERROR(__xludf.DUMMYFUNCTION("""COMPUTED_VALUE"""),261.27777777777777)</f>
        <v>261.2777778</v>
      </c>
      <c r="K444" s="30">
        <f>IFERROR(__xludf.DUMMYFUNCTION("""COMPUTED_VALUE"""),0.3888888888888889)</f>
        <v>0.3888888889</v>
      </c>
      <c r="L444" s="30">
        <f>IFERROR(__xludf.DUMMYFUNCTION("""COMPUTED_VALUE"""),0.3888888888888889)</f>
        <v>0.3888888889</v>
      </c>
      <c r="M444" s="30">
        <f>IFERROR(__xludf.DUMMYFUNCTION("""COMPUTED_VALUE"""),1.1666666666666667)</f>
        <v>1.166666667</v>
      </c>
      <c r="N444" s="30">
        <f>IFERROR(__xludf.DUMMYFUNCTION("""COMPUTED_VALUE"""),1.5555555555555556)</f>
        <v>1.555555556</v>
      </c>
      <c r="O444" s="30">
        <f>IFERROR(__xludf.DUMMYFUNCTION("""COMPUTED_VALUE"""),342.8888888888889)</f>
        <v>342.8888889</v>
      </c>
      <c r="P444" s="30">
        <f>IFERROR(__xludf.DUMMYFUNCTION("""COMPUTED_VALUE"""),0.7962962962962963)</f>
        <v>0.7962962963</v>
      </c>
      <c r="Q444" s="30">
        <f>IFERROR(__xludf.DUMMYFUNCTION("""COMPUTED_VALUE"""),0.44444444444444436)</f>
        <v>0.4444444444</v>
      </c>
      <c r="R444" s="30">
        <f>IFERROR(__xludf.DUMMYFUNCTION("""COMPUTED_VALUE"""),1.2222222222222223)</f>
        <v>1.222222222</v>
      </c>
      <c r="S444" s="30">
        <f>IFERROR(__xludf.DUMMYFUNCTION("""COMPUTED_VALUE"""),2.3703703703703707)</f>
        <v>2.37037037</v>
      </c>
      <c r="T444" s="30">
        <f>IFERROR(__xludf.DUMMYFUNCTION("""COMPUTED_VALUE"""),337.55738506769114)</f>
        <v>337.5573851</v>
      </c>
      <c r="U444" s="30">
        <f>IFERROR(__xludf.DUMMYFUNCTION("""COMPUTED_VALUE"""),0.7538451984170655)</f>
        <v>0.7538451984</v>
      </c>
      <c r="V444" s="30">
        <f>IFERROR(__xludf.DUMMYFUNCTION("""COMPUTED_VALUE"""),0.49960262690550916)</f>
        <v>0.4996026269</v>
      </c>
      <c r="W444" s="30">
        <f>IFERROR(__xludf.DUMMYFUNCTION("""COMPUTED_VALUE"""),1.3513969891211184)</f>
        <v>1.351396989</v>
      </c>
      <c r="X444" s="30">
        <f>IFERROR(__xludf.DUMMYFUNCTION("""COMPUTED_VALUE"""),2.479451135813421)</f>
        <v>2.479451136</v>
      </c>
      <c r="Y444" s="30">
        <f>IFERROR(__xludf.DUMMYFUNCTION("""COMPUTED_VALUE"""),350.5984587727867)</f>
        <v>350.5984588</v>
      </c>
      <c r="Z444" s="30">
        <f>IFERROR(__xludf.DUMMYFUNCTION("""COMPUTED_VALUE"""),0.8288750958244431)</f>
        <v>0.8288750958</v>
      </c>
      <c r="AA444" s="30">
        <f>IFERROR(__xludf.DUMMYFUNCTION("""COMPUTED_VALUE"""),0.6019250774872614)</f>
        <v>0.6019250775</v>
      </c>
      <c r="AB444" s="30">
        <f>IFERROR(__xludf.DUMMYFUNCTION("""COMPUTED_VALUE"""),1.2868723445215307)</f>
        <v>1.286872345</v>
      </c>
      <c r="AC444" s="30">
        <f>IFERROR(__xludf.DUMMYFUNCTION("""COMPUTED_VALUE"""),2.6330397482538457)</f>
        <v>2.633039748</v>
      </c>
      <c r="AD444" s="30">
        <f>IFERROR(__xludf.DUMMYFUNCTION("""COMPUTED_VALUE"""),0.7452336747067811)</f>
        <v>0.7452336747</v>
      </c>
      <c r="AE444" s="30">
        <f>IFERROR(__xludf.DUMMYFUNCTION("""COMPUTED_VALUE"""),0.4691767081047108)</f>
        <v>0.4691767081</v>
      </c>
      <c r="AF444" s="30">
        <f>IFERROR(__xludf.DUMMYFUNCTION("""COMPUTED_VALUE"""),0.6460752399822035)</f>
        <v>0.64607524</v>
      </c>
      <c r="AG444" s="30">
        <f>IFERROR(__xludf.DUMMYFUNCTION("""COMPUTED_VALUE"""),0.9065908298001716)</f>
        <v>0.9065908298</v>
      </c>
      <c r="AH444" s="30">
        <f>IFERROR(__xludf.DUMMYFUNCTION("""COMPUTED_VALUE"""),0.5907831648144143)</f>
        <v>0.5907831648</v>
      </c>
      <c r="AI444" s="30">
        <f>IFERROR(__xludf.DUMMYFUNCTION("""COMPUTED_VALUE"""),1.0157943628462718)</f>
        <v>1.015794363</v>
      </c>
      <c r="AJ444" s="30">
        <f>IFERROR(__xludf.DUMMYFUNCTION("""COMPUTED_VALUE"""),1.0563127522313203)</f>
        <v>1.056312752</v>
      </c>
      <c r="AK444" s="30">
        <f>IFERROR(__xludf.DUMMYFUNCTION("""COMPUTED_VALUE"""),0.8895958918336573)</f>
        <v>0.8895958918</v>
      </c>
      <c r="AL444" s="30">
        <f>IFERROR(__xludf.DUMMYFUNCTION("""COMPUTED_VALUE"""),0.9044139006237502)</f>
        <v>0.9044139006</v>
      </c>
      <c r="AM444" s="30">
        <f>IFERROR(__xludf.DUMMYFUNCTION("""COMPUTED_VALUE"""),0.956006083819327)</f>
        <v>0.9560060838</v>
      </c>
      <c r="AN444" s="30">
        <f>IFERROR(__xludf.DUMMYFUNCTION("""COMPUTED_VALUE"""),0.77086526455183)</f>
        <v>0.7708652646</v>
      </c>
      <c r="AO444" s="30">
        <f>IFERROR(__xludf.DUMMYFUNCTION("""COMPUTED_VALUE"""),0.5293452349797516)</f>
        <v>0.529345235</v>
      </c>
      <c r="AP444" s="30">
        <f>IFERROR(__xludf.DUMMYFUNCTION("""COMPUTED_VALUE"""),0.6944148309076682)</f>
        <v>0.6944148309</v>
      </c>
      <c r="AQ444" s="30">
        <f>IFERROR(__xludf.DUMMYFUNCTION("""COMPUTED_VALUE"""),0.8902894951998387)</f>
        <v>0.8902894952</v>
      </c>
      <c r="AR444" s="30">
        <f>IFERROR(__xludf.DUMMYFUNCTION("""COMPUTED_VALUE"""),0.6246344128026228)</f>
        <v>0.6246344128</v>
      </c>
      <c r="AS444" s="30">
        <f>IFERROR(__xludf.DUMMYFUNCTION("""COMPUTED_VALUE"""),38.0)</f>
        <v>38</v>
      </c>
      <c r="AT444" s="30">
        <f>IFERROR(__xludf.DUMMYFUNCTION("""COMPUTED_VALUE"""),0.45255712162517575)</f>
        <v>0.4525571216</v>
      </c>
      <c r="AU444" s="30">
        <f>IFERROR(__xludf.DUMMYFUNCTION("""COMPUTED_VALUE"""),0.8962012504686945)</f>
        <v>0.8962012505</v>
      </c>
      <c r="AV444" s="32">
        <f>IFERROR(__xludf.DUMMYFUNCTION("""COMPUTED_VALUE"""),11.14182575994522)</f>
        <v>11.14182576</v>
      </c>
      <c r="AW444" s="32">
        <f>IFERROR(__xludf.DUMMYFUNCTION("""COMPUTED_VALUE"""),-16.6518959441763)</f>
        <v>-16.65189594</v>
      </c>
      <c r="AX444" s="32">
        <f>IFERROR(__xludf.DUMMYFUNCTION("""COMPUTED_VALUE"""),15.70319960580747)</f>
        <v>15.70319961</v>
      </c>
      <c r="AY444" s="32">
        <f>IFERROR(__xludf.DUMMYFUNCTION("""COMPUTED_VALUE"""),-11.75756258251175)</f>
        <v>-11.75756258</v>
      </c>
      <c r="AZ444" s="30">
        <f>IFERROR(__xludf.DUMMYFUNCTION("""COMPUTED_VALUE"""),4.89433336166455)</f>
        <v>4.894333362</v>
      </c>
      <c r="BA444" s="30">
        <f>IFERROR(__xludf.DUMMYFUNCTION("""COMPUTED_VALUE"""),1700.0)</f>
        <v>1700</v>
      </c>
    </row>
    <row r="445">
      <c r="A445" s="71" t="str">
        <f>IFERROR(__xludf.DUMMYFUNCTION("""COMPUTED_VALUE"""),"Rival")</f>
        <v>Rival</v>
      </c>
      <c r="B445" s="71" t="str">
        <f>IFERROR(__xludf.DUMMYFUNCTION("""COMPUTED_VALUE"""),"RSC006748")</f>
        <v>RSC006748</v>
      </c>
      <c r="C445" s="30" t="str">
        <f>IFERROR(__xludf.DUMMYFUNCTION("""COMPUTED_VALUE"""),"Llamaboy101")</f>
        <v>Llamaboy101</v>
      </c>
      <c r="D445" s="30" t="str">
        <f>IFERROR(__xludf.DUMMYFUNCTION("""COMPUTED_VALUE"""),"Wind")</f>
        <v>Wind</v>
      </c>
      <c r="E445" s="30">
        <f>IFERROR(__xludf.DUMMYFUNCTION("""COMPUTED_VALUE"""),26.0)</f>
        <v>26</v>
      </c>
      <c r="F445" s="30">
        <f>IFERROR(__xludf.DUMMYFUNCTION("""COMPUTED_VALUE"""),12.0)</f>
        <v>12</v>
      </c>
      <c r="G445" s="42">
        <f>IFERROR(__xludf.DUMMYFUNCTION("""COMPUTED_VALUE"""),14.0)</f>
        <v>14</v>
      </c>
      <c r="H445" s="42">
        <f>IFERROR(__xludf.DUMMYFUNCTION("""COMPUTED_VALUE"""),0.46153846153846156)</f>
        <v>0.4615384615</v>
      </c>
      <c r="I445" s="42">
        <f>IFERROR(__xludf.DUMMYFUNCTION("""COMPUTED_VALUE"""),0.3518518518518518)</f>
        <v>0.3518518519</v>
      </c>
      <c r="J445" s="30">
        <f>IFERROR(__xludf.DUMMYFUNCTION("""COMPUTED_VALUE"""),316.7692307692308)</f>
        <v>316.7692308</v>
      </c>
      <c r="K445" s="30">
        <f>IFERROR(__xludf.DUMMYFUNCTION("""COMPUTED_VALUE"""),0.7307692307692307)</f>
        <v>0.7307692308</v>
      </c>
      <c r="L445" s="30">
        <f>IFERROR(__xludf.DUMMYFUNCTION("""COMPUTED_VALUE"""),0.8076923076923077)</f>
        <v>0.8076923077</v>
      </c>
      <c r="M445" s="30">
        <f>IFERROR(__xludf.DUMMYFUNCTION("""COMPUTED_VALUE"""),1.0)</f>
        <v>1</v>
      </c>
      <c r="N445" s="30">
        <f>IFERROR(__xludf.DUMMYFUNCTION("""COMPUTED_VALUE"""),2.076923076923077)</f>
        <v>2.076923077</v>
      </c>
      <c r="O445" s="30">
        <f>IFERROR(__xludf.DUMMYFUNCTION("""COMPUTED_VALUE"""),354.6923076923077)</f>
        <v>354.6923077</v>
      </c>
      <c r="P445" s="30">
        <f>IFERROR(__xludf.DUMMYFUNCTION("""COMPUTED_VALUE"""),0.8076923076923077)</f>
        <v>0.8076923077</v>
      </c>
      <c r="Q445" s="30">
        <f>IFERROR(__xludf.DUMMYFUNCTION("""COMPUTED_VALUE"""),0.5897435897435898)</f>
        <v>0.5897435897</v>
      </c>
      <c r="R445" s="30">
        <f>IFERROR(__xludf.DUMMYFUNCTION("""COMPUTED_VALUE"""),1.2948717948717952)</f>
        <v>1.294871795</v>
      </c>
      <c r="S445" s="30">
        <f>IFERROR(__xludf.DUMMYFUNCTION("""COMPUTED_VALUE"""),2.6666666666666665)</f>
        <v>2.666666667</v>
      </c>
      <c r="T445" s="30">
        <f>IFERROR(__xludf.DUMMYFUNCTION("""COMPUTED_VALUE"""),348.8116215364958)</f>
        <v>348.8116215</v>
      </c>
      <c r="U445" s="30">
        <f>IFERROR(__xludf.DUMMYFUNCTION("""COMPUTED_VALUE"""),0.8129944162491126)</f>
        <v>0.8129944162</v>
      </c>
      <c r="V445" s="30">
        <f>IFERROR(__xludf.DUMMYFUNCTION("""COMPUTED_VALUE"""),0.5414293076392808)</f>
        <v>0.5414293076</v>
      </c>
      <c r="W445" s="30">
        <f>IFERROR(__xludf.DUMMYFUNCTION("""COMPUTED_VALUE"""),1.3337978107200714)</f>
        <v>1.333797811</v>
      </c>
      <c r="X445" s="30">
        <f>IFERROR(__xludf.DUMMYFUNCTION("""COMPUTED_VALUE"""),2.6687532563897918)</f>
        <v>2.668753256</v>
      </c>
      <c r="Y445" s="30">
        <f>IFERROR(__xludf.DUMMYFUNCTION("""COMPUTED_VALUE"""),353.1147001710288)</f>
        <v>353.1147002</v>
      </c>
      <c r="Z445" s="30">
        <f>IFERROR(__xludf.DUMMYFUNCTION("""COMPUTED_VALUE"""),0.8229083406108598)</f>
        <v>0.8229083406</v>
      </c>
      <c r="AA445" s="30">
        <f>IFERROR(__xludf.DUMMYFUNCTION("""COMPUTED_VALUE"""),0.5784714938010125)</f>
        <v>0.5784714938</v>
      </c>
      <c r="AB445" s="30">
        <f>IFERROR(__xludf.DUMMYFUNCTION("""COMPUTED_VALUE"""),1.3643479791052018)</f>
        <v>1.364347979</v>
      </c>
      <c r="AC445" s="30">
        <f>IFERROR(__xludf.DUMMYFUNCTION("""COMPUTED_VALUE"""),2.6100674570415547)</f>
        <v>2.610067457</v>
      </c>
      <c r="AD445" s="30">
        <f>IFERROR(__xludf.DUMMYFUNCTION("""COMPUTED_VALUE"""),0.897071774740065)</f>
        <v>0.8970717747</v>
      </c>
      <c r="AE445" s="30">
        <f>IFERROR(__xludf.DUMMYFUNCTION("""COMPUTED_VALUE"""),0.8880323539153431)</f>
        <v>0.8880323539</v>
      </c>
      <c r="AF445" s="30">
        <f>IFERROR(__xludf.DUMMYFUNCTION("""COMPUTED_VALUE"""),1.3962525661984384)</f>
        <v>1.396252566</v>
      </c>
      <c r="AG445" s="30">
        <f>IFERROR(__xludf.DUMMYFUNCTION("""COMPUTED_VALUE"""),0.7329508419515108)</f>
        <v>0.732950842</v>
      </c>
      <c r="AH445" s="30">
        <f>IFERROR(__xludf.DUMMYFUNCTION("""COMPUTED_VALUE"""),0.7957354019030668)</f>
        <v>0.7957354019</v>
      </c>
      <c r="AI445" s="30">
        <f>IFERROR(__xludf.DUMMYFUNCTION("""COMPUTED_VALUE"""),1.016859203629477)</f>
        <v>1.016859204</v>
      </c>
      <c r="AJ445" s="30">
        <f>IFERROR(__xludf.DUMMYFUNCTION("""COMPUTED_VALUE"""),0.9934782964669461)</f>
        <v>0.9934782965</v>
      </c>
      <c r="AK445" s="30">
        <f>IFERROR(__xludf.DUMMYFUNCTION("""COMPUTED_VALUE"""),1.089234700491126)</f>
        <v>1.0892347</v>
      </c>
      <c r="AL445" s="30">
        <f>IFERROR(__xludf.DUMMYFUNCTION("""COMPUTED_VALUE"""),0.9708156547151164)</f>
        <v>0.9708156547</v>
      </c>
      <c r="AM445" s="30">
        <f>IFERROR(__xludf.DUMMYFUNCTION("""COMPUTED_VALUE"""),0.9992181406362205)</f>
        <v>0.9992181406</v>
      </c>
      <c r="AN445" s="30">
        <f>IFERROR(__xludf.DUMMYFUNCTION("""COMPUTED_VALUE"""),0.9345854016199129)</f>
        <v>0.9345854016</v>
      </c>
      <c r="AO445" s="30">
        <f>IFERROR(__xludf.DUMMYFUNCTION("""COMPUTED_VALUE"""),0.9947036833135992)</f>
        <v>0.9947036833</v>
      </c>
      <c r="AP445" s="30">
        <f>IFERROR(__xludf.DUMMYFUNCTION("""COMPUTED_VALUE"""),1.4422461872697725)</f>
        <v>1.442246187</v>
      </c>
      <c r="AQ445" s="30">
        <f>IFERROR(__xludf.DUMMYFUNCTION("""COMPUTED_VALUE"""),0.7631052815998617)</f>
        <v>0.7631052816</v>
      </c>
      <c r="AR445" s="30">
        <f>IFERROR(__xludf.DUMMYFUNCTION("""COMPUTED_VALUE"""),0.8339899028078975)</f>
        <v>0.8339899028</v>
      </c>
      <c r="AS445" s="30">
        <f>IFERROR(__xludf.DUMMYFUNCTION("""COMPUTED_VALUE"""),63.0)</f>
        <v>63</v>
      </c>
      <c r="AT445" s="30">
        <f>IFERROR(__xludf.DUMMYFUNCTION("""COMPUTED_VALUE"""),0.4999999999999999)</f>
        <v>0.5</v>
      </c>
      <c r="AU445" s="30">
        <f>IFERROR(__xludf.DUMMYFUNCTION("""COMPUTED_VALUE"""),2.028104475242121)</f>
        <v>2.028104475</v>
      </c>
      <c r="AV445" s="32">
        <f>IFERROR(__xludf.DUMMYFUNCTION("""COMPUTED_VALUE"""),51.1252537841632)</f>
        <v>51.12525378</v>
      </c>
      <c r="AW445" s="32">
        <f>IFERROR(__xludf.DUMMYFUNCTION("""COMPUTED_VALUE"""),2.074475285969231)</f>
        <v>2.074475286</v>
      </c>
      <c r="AX445" s="32">
        <f>IFERROR(__xludf.DUMMYFUNCTION("""COMPUTED_VALUE"""),41.34169195743818)</f>
        <v>41.34169196</v>
      </c>
      <c r="AY445" s="32">
        <f>IFERROR(__xludf.DUMMYFUNCTION("""COMPUTED_VALUE"""),-2.7431343505208443)</f>
        <v>-2.743134351</v>
      </c>
      <c r="AZ445" s="30">
        <f>IFERROR(__xludf.DUMMYFUNCTION("""COMPUTED_VALUE"""),4.817609636490076)</f>
        <v>4.817609636</v>
      </c>
      <c r="BA445" s="30">
        <f>IFERROR(__xludf.DUMMYFUNCTION("""COMPUTED_VALUE"""),1700.0)</f>
        <v>1700</v>
      </c>
    </row>
    <row r="446">
      <c r="A446" s="71" t="str">
        <f>IFERROR(__xludf.DUMMYFUNCTION("""COMPUTED_VALUE"""),"Rival")</f>
        <v>Rival</v>
      </c>
      <c r="B446" s="71" t="str">
        <f>IFERROR(__xludf.DUMMYFUNCTION("""COMPUTED_VALUE"""),"RSC006312")</f>
        <v>RSC006312</v>
      </c>
      <c r="C446" s="30" t="str">
        <f>IFERROR(__xludf.DUMMYFUNCTION("""COMPUTED_VALUE"""),"Cognitixn")</f>
        <v>Cognitixn</v>
      </c>
      <c r="D446" s="30" t="str">
        <f>IFERROR(__xludf.DUMMYFUNCTION("""COMPUTED_VALUE"""),"Hippos")</f>
        <v>Hippos</v>
      </c>
      <c r="E446" s="30">
        <f>IFERROR(__xludf.DUMMYFUNCTION("""COMPUTED_VALUE"""),33.0)</f>
        <v>33</v>
      </c>
      <c r="F446" s="30">
        <f>IFERROR(__xludf.DUMMYFUNCTION("""COMPUTED_VALUE"""),17.0)</f>
        <v>17</v>
      </c>
      <c r="G446" s="42">
        <f>IFERROR(__xludf.DUMMYFUNCTION("""COMPUTED_VALUE"""),16.0)</f>
        <v>16</v>
      </c>
      <c r="H446" s="42">
        <f>IFERROR(__xludf.DUMMYFUNCTION("""COMPUTED_VALUE"""),0.5151515151515151)</f>
        <v>0.5151515152</v>
      </c>
      <c r="I446" s="42">
        <f>IFERROR(__xludf.DUMMYFUNCTION("""COMPUTED_VALUE"""),0.25925925925925924)</f>
        <v>0.2592592593</v>
      </c>
      <c r="J446" s="30">
        <f>IFERROR(__xludf.DUMMYFUNCTION("""COMPUTED_VALUE"""),335.27272727272725)</f>
        <v>335.2727273</v>
      </c>
      <c r="K446" s="30">
        <f>IFERROR(__xludf.DUMMYFUNCTION("""COMPUTED_VALUE"""),0.6363636363636364)</f>
        <v>0.6363636364</v>
      </c>
      <c r="L446" s="30">
        <f>IFERROR(__xludf.DUMMYFUNCTION("""COMPUTED_VALUE"""),0.7575757575757576)</f>
        <v>0.7575757576</v>
      </c>
      <c r="M446" s="30">
        <f>IFERROR(__xludf.DUMMYFUNCTION("""COMPUTED_VALUE"""),1.4242424242424243)</f>
        <v>1.424242424</v>
      </c>
      <c r="N446" s="30">
        <f>IFERROR(__xludf.DUMMYFUNCTION("""COMPUTED_VALUE"""),2.4545454545454546)</f>
        <v>2.454545455</v>
      </c>
      <c r="O446" s="30">
        <f>IFERROR(__xludf.DUMMYFUNCTION("""COMPUTED_VALUE"""),368.53535353535347)</f>
        <v>368.5353535</v>
      </c>
      <c r="P446" s="30">
        <f>IFERROR(__xludf.DUMMYFUNCTION("""COMPUTED_VALUE"""),0.8888888888888888)</f>
        <v>0.8888888889</v>
      </c>
      <c r="Q446" s="30">
        <f>IFERROR(__xludf.DUMMYFUNCTION("""COMPUTED_VALUE"""),0.6868686868686867)</f>
        <v>0.6868686869</v>
      </c>
      <c r="R446" s="30">
        <f>IFERROR(__xludf.DUMMYFUNCTION("""COMPUTED_VALUE"""),1.2929292929292928)</f>
        <v>1.292929293</v>
      </c>
      <c r="S446" s="30">
        <f>IFERROR(__xludf.DUMMYFUNCTION("""COMPUTED_VALUE"""),2.8484848484848486)</f>
        <v>2.848484848</v>
      </c>
      <c r="T446" s="30">
        <f>IFERROR(__xludf.DUMMYFUNCTION("""COMPUTED_VALUE"""),342.7741938051384)</f>
        <v>342.7741938</v>
      </c>
      <c r="U446" s="30">
        <f>IFERROR(__xludf.DUMMYFUNCTION("""COMPUTED_VALUE"""),0.7840057898792298)</f>
        <v>0.7840057899</v>
      </c>
      <c r="V446" s="30">
        <f>IFERROR(__xludf.DUMMYFUNCTION("""COMPUTED_VALUE"""),0.5983758329212874)</f>
        <v>0.5983758329</v>
      </c>
      <c r="W446" s="30">
        <f>IFERROR(__xludf.DUMMYFUNCTION("""COMPUTED_VALUE"""),1.2125250497175628)</f>
        <v>1.21252505</v>
      </c>
      <c r="X446" s="30">
        <f>IFERROR(__xludf.DUMMYFUNCTION("""COMPUTED_VALUE"""),2.5000281180495088)</f>
        <v>2.500028118</v>
      </c>
      <c r="Y446" s="30">
        <f>IFERROR(__xludf.DUMMYFUNCTION("""COMPUTED_VALUE"""),342.58027073474483)</f>
        <v>342.5802707</v>
      </c>
      <c r="Z446" s="30">
        <f>IFERROR(__xludf.DUMMYFUNCTION("""COMPUTED_VALUE"""),0.7545166928975602)</f>
        <v>0.7545166929</v>
      </c>
      <c r="AA446" s="30">
        <f>IFERROR(__xludf.DUMMYFUNCTION("""COMPUTED_VALUE"""),0.5307768591963482)</f>
        <v>0.5307768592</v>
      </c>
      <c r="AB446" s="30">
        <f>IFERROR(__xludf.DUMMYFUNCTION("""COMPUTED_VALUE"""),1.329404263349599)</f>
        <v>1.329404263</v>
      </c>
      <c r="AC446" s="30">
        <f>IFERROR(__xludf.DUMMYFUNCTION("""COMPUTED_VALUE"""),2.4141441371506733)</f>
        <v>2.414144137</v>
      </c>
      <c r="AD446" s="30">
        <f>IFERROR(__xludf.DUMMYFUNCTION("""COMPUTED_VALUE"""),0.9786691059402084)</f>
        <v>0.9786691059</v>
      </c>
      <c r="AE446" s="30">
        <f>IFERROR(__xludf.DUMMYFUNCTION("""COMPUTED_VALUE"""),0.8434056427828227)</f>
        <v>0.8434056428</v>
      </c>
      <c r="AF446" s="30">
        <f>IFERROR(__xludf.DUMMYFUNCTION("""COMPUTED_VALUE"""),1.4272961310385812)</f>
        <v>1.427296131</v>
      </c>
      <c r="AG446" s="30">
        <f>IFERROR(__xludf.DUMMYFUNCTION("""COMPUTED_VALUE"""),1.071338842147135)</f>
        <v>1.071338842</v>
      </c>
      <c r="AH446" s="30">
        <f>IFERROR(__xludf.DUMMYFUNCTION("""COMPUTED_VALUE"""),1.016735254856185)</f>
        <v>1.016735255</v>
      </c>
      <c r="AI446" s="30">
        <f>IFERROR(__xludf.DUMMYFUNCTION("""COMPUTED_VALUE"""),1.075154898460238)</f>
        <v>1.075154898</v>
      </c>
      <c r="AJ446" s="30">
        <f>IFERROR(__xludf.DUMMYFUNCTION("""COMPUTED_VALUE"""),1.133778475061792)</f>
        <v>1.133778475</v>
      </c>
      <c r="AK446" s="30">
        <f>IFERROR(__xludf.DUMMYFUNCTION("""COMPUTED_VALUE"""),1.1478884157392768)</f>
        <v>1.147888416</v>
      </c>
      <c r="AL446" s="30">
        <f>IFERROR(__xludf.DUMMYFUNCTION("""COMPUTED_VALUE"""),1.0663114079420122)</f>
        <v>1.066311408</v>
      </c>
      <c r="AM446" s="30">
        <f>IFERROR(__xludf.DUMMYFUNCTION("""COMPUTED_VALUE"""),1.139381124523992)</f>
        <v>1.139381125</v>
      </c>
      <c r="AN446" s="30">
        <f>IFERROR(__xludf.DUMMYFUNCTION("""COMPUTED_VALUE"""),0.9891775022134554)</f>
        <v>0.9891775022</v>
      </c>
      <c r="AO446" s="30">
        <f>IFERROR(__xludf.DUMMYFUNCTION("""COMPUTED_VALUE"""),0.86620129360323)</f>
        <v>0.8662012936</v>
      </c>
      <c r="AP446" s="30">
        <f>IFERROR(__xludf.DUMMYFUNCTION("""COMPUTED_VALUE"""),1.3527561641058472)</f>
        <v>1.352756164</v>
      </c>
      <c r="AQ446" s="30">
        <f>IFERROR(__xludf.DUMMYFUNCTION("""COMPUTED_VALUE"""),1.0868469162179848)</f>
        <v>1.086846916</v>
      </c>
      <c r="AR446" s="30">
        <f>IFERROR(__xludf.DUMMYFUNCTION("""COMPUTED_VALUE"""),0.9856244305911516)</f>
        <v>0.9856244306</v>
      </c>
      <c r="AS446" s="30">
        <f>IFERROR(__xludf.DUMMYFUNCTION("""COMPUTED_VALUE"""),90.0)</f>
        <v>90</v>
      </c>
      <c r="AT446" s="30">
        <f>IFERROR(__xludf.DUMMYFUNCTION("""COMPUTED_VALUE"""),0.5091118640364253)</f>
        <v>0.509111864</v>
      </c>
      <c r="AU446" s="30">
        <f>IFERROR(__xludf.DUMMYFUNCTION("""COMPUTED_VALUE"""),2.0037699706592145)</f>
        <v>2.003769971</v>
      </c>
      <c r="AV446" s="32">
        <f>IFERROR(__xludf.DUMMYFUNCTION("""COMPUTED_VALUE"""),50.26566005635983)</f>
        <v>50.26566006</v>
      </c>
      <c r="AW446" s="32">
        <f>IFERROR(__xludf.DUMMYFUNCTION("""COMPUTED_VALUE"""),2.017101964167267)</f>
        <v>2.017101964</v>
      </c>
      <c r="AX446" s="32">
        <f>IFERROR(__xludf.DUMMYFUNCTION("""COMPUTED_VALUE"""),40.90054096263382)</f>
        <v>40.90054096</v>
      </c>
      <c r="AY446" s="32">
        <f>IFERROR(__xludf.DUMMYFUNCTION("""COMPUTED_VALUE"""),-2.7937870788775316)</f>
        <v>-2.793787079</v>
      </c>
      <c r="AZ446" s="30">
        <f>IFERROR(__xludf.DUMMYFUNCTION("""COMPUTED_VALUE"""),4.810889043044799)</f>
        <v>4.810889043</v>
      </c>
      <c r="BA446" s="30">
        <f>IFERROR(__xludf.DUMMYFUNCTION("""COMPUTED_VALUE"""),1700.0)</f>
        <v>1700</v>
      </c>
    </row>
    <row r="447">
      <c r="A447" s="71" t="str">
        <f>IFERROR(__xludf.DUMMYFUNCTION("""COMPUTED_VALUE"""),"Rival")</f>
        <v>Rival</v>
      </c>
      <c r="B447" s="71" t="str">
        <f>IFERROR(__xludf.DUMMYFUNCTION("""COMPUTED_VALUE"""),"RSC007999")</f>
        <v>RSC007999</v>
      </c>
      <c r="C447" s="30" t="str">
        <f>IFERROR(__xludf.DUMMYFUNCTION("""COMPUTED_VALUE"""),"MerzR")</f>
        <v>MerzR</v>
      </c>
      <c r="D447" s="30" t="str">
        <f>IFERROR(__xludf.DUMMYFUNCTION("""COMPUTED_VALUE"""),"Ruthless Racket")</f>
        <v>Ruthless Racket</v>
      </c>
      <c r="E447" s="30">
        <f>IFERROR(__xludf.DUMMYFUNCTION("""COMPUTED_VALUE"""),20.0)</f>
        <v>20</v>
      </c>
      <c r="F447" s="30">
        <f>IFERROR(__xludf.DUMMYFUNCTION("""COMPUTED_VALUE"""),5.0)</f>
        <v>5</v>
      </c>
      <c r="G447" s="42">
        <f>IFERROR(__xludf.DUMMYFUNCTION("""COMPUTED_VALUE"""),15.0)</f>
        <v>15</v>
      </c>
      <c r="H447" s="42">
        <f>IFERROR(__xludf.DUMMYFUNCTION("""COMPUTED_VALUE"""),0.25)</f>
        <v>0.25</v>
      </c>
      <c r="I447" s="42">
        <f>IFERROR(__xludf.DUMMYFUNCTION("""COMPUTED_VALUE"""),0.38775510204081626)</f>
        <v>0.387755102</v>
      </c>
      <c r="J447" s="30">
        <f>IFERROR(__xludf.DUMMYFUNCTION("""COMPUTED_VALUE"""),380.85)</f>
        <v>380.85</v>
      </c>
      <c r="K447" s="30">
        <f>IFERROR(__xludf.DUMMYFUNCTION("""COMPUTED_VALUE"""),0.95)</f>
        <v>0.95</v>
      </c>
      <c r="L447" s="30">
        <f>IFERROR(__xludf.DUMMYFUNCTION("""COMPUTED_VALUE"""),0.35)</f>
        <v>0.35</v>
      </c>
      <c r="M447" s="30">
        <f>IFERROR(__xludf.DUMMYFUNCTION("""COMPUTED_VALUE"""),1.75)</f>
        <v>1.75</v>
      </c>
      <c r="N447" s="30">
        <f>IFERROR(__xludf.DUMMYFUNCTION("""COMPUTED_VALUE"""),2.45)</f>
        <v>2.45</v>
      </c>
      <c r="O447" s="30">
        <f>IFERROR(__xludf.DUMMYFUNCTION("""COMPUTED_VALUE"""),363.30000000000007)</f>
        <v>363.3</v>
      </c>
      <c r="P447" s="30">
        <f>IFERROR(__xludf.DUMMYFUNCTION("""COMPUTED_VALUE"""),0.9166666666666666)</f>
        <v>0.9166666667</v>
      </c>
      <c r="Q447" s="30">
        <f>IFERROR(__xludf.DUMMYFUNCTION("""COMPUTED_VALUE"""),0.7833333333333333)</f>
        <v>0.7833333333</v>
      </c>
      <c r="R447" s="30">
        <f>IFERROR(__xludf.DUMMYFUNCTION("""COMPUTED_VALUE"""),1.0333333333333337)</f>
        <v>1.033333333</v>
      </c>
      <c r="S447" s="30">
        <f>IFERROR(__xludf.DUMMYFUNCTION("""COMPUTED_VALUE"""),2.683333333333333)</f>
        <v>2.683333333</v>
      </c>
      <c r="T447" s="30">
        <f>IFERROR(__xludf.DUMMYFUNCTION("""COMPUTED_VALUE"""),342.3189284304035)</f>
        <v>342.3189284</v>
      </c>
      <c r="U447" s="30">
        <f>IFERROR(__xludf.DUMMYFUNCTION("""COMPUTED_VALUE"""),0.7960195615837098)</f>
        <v>0.7960195616</v>
      </c>
      <c r="V447" s="30">
        <f>IFERROR(__xludf.DUMMYFUNCTION("""COMPUTED_VALUE"""),0.5758770788879815)</f>
        <v>0.5758770789</v>
      </c>
      <c r="W447" s="30">
        <f>IFERROR(__xludf.DUMMYFUNCTION("""COMPUTED_VALUE"""),1.2211551458223622)</f>
        <v>1.221155146</v>
      </c>
      <c r="X447" s="30">
        <f>IFERROR(__xludf.DUMMYFUNCTION("""COMPUTED_VALUE"""),2.598128420416072)</f>
        <v>2.59812842</v>
      </c>
      <c r="Y447" s="30">
        <f>IFERROR(__xludf.DUMMYFUNCTION("""COMPUTED_VALUE"""),350.5159903031914)</f>
        <v>350.5159903</v>
      </c>
      <c r="Z447" s="30">
        <f>IFERROR(__xludf.DUMMYFUNCTION("""COMPUTED_VALUE"""),0.7840561986813677)</f>
        <v>0.7840561987</v>
      </c>
      <c r="AA447" s="30">
        <f>IFERROR(__xludf.DUMMYFUNCTION("""COMPUTED_VALUE"""),0.5888525776148323)</f>
        <v>0.5888525776</v>
      </c>
      <c r="AB447" s="30">
        <f>IFERROR(__xludf.DUMMYFUNCTION("""COMPUTED_VALUE"""),1.3144000718483049)</f>
        <v>1.314400072</v>
      </c>
      <c r="AC447" s="30">
        <f>IFERROR(__xludf.DUMMYFUNCTION("""COMPUTED_VALUE"""),2.4761344528746485)</f>
        <v>2.476134453</v>
      </c>
      <c r="AD447" s="30">
        <f>IFERROR(__xludf.DUMMYFUNCTION("""COMPUTED_VALUE"""),1.0865410153487438)</f>
        <v>1.086541015</v>
      </c>
      <c r="AE447" s="30">
        <f>IFERROR(__xludf.DUMMYFUNCTION("""COMPUTED_VALUE"""),1.211647840547295)</f>
        <v>1.211647841</v>
      </c>
      <c r="AF447" s="30">
        <f>IFERROR(__xludf.DUMMYFUNCTION("""COMPUTED_VALUE"""),0.5943762722712144)</f>
        <v>0.5943762723</v>
      </c>
      <c r="AG447" s="30">
        <f>IFERROR(__xludf.DUMMYFUNCTION("""COMPUTED_VALUE"""),1.3314058919208336)</f>
        <v>1.331405892</v>
      </c>
      <c r="AH447" s="30">
        <f>IFERROR(__xludf.DUMMYFUNCTION("""COMPUTED_VALUE"""),0.9894454629294028)</f>
        <v>0.9894454629</v>
      </c>
      <c r="AI447" s="30">
        <f>IFERROR(__xludf.DUMMYFUNCTION("""COMPUTED_VALUE"""),1.0612910062139966)</f>
        <v>1.061291006</v>
      </c>
      <c r="AJ447" s="30">
        <f>IFERROR(__xludf.DUMMYFUNCTION("""COMPUTED_VALUE"""),1.1515629902899938)</f>
        <v>1.15156299</v>
      </c>
      <c r="AK447" s="30">
        <f>IFERROR(__xludf.DUMMYFUNCTION("""COMPUTED_VALUE"""),1.3602439861748794)</f>
        <v>1.360243986</v>
      </c>
      <c r="AL447" s="30">
        <f>IFERROR(__xludf.DUMMYFUNCTION("""COMPUTED_VALUE"""),0.8461933251220559)</f>
        <v>0.8461933251</v>
      </c>
      <c r="AM447" s="30">
        <f>IFERROR(__xludf.DUMMYFUNCTION("""COMPUTED_VALUE"""),1.0327947272535574)</f>
        <v>1.032794727</v>
      </c>
      <c r="AN447" s="30">
        <f>IFERROR(__xludf.DUMMYFUNCTION("""COMPUTED_VALUE"""),1.1236471716100704)</f>
        <v>1.123647172</v>
      </c>
      <c r="AO447" s="30">
        <f>IFERROR(__xludf.DUMMYFUNCTION("""COMPUTED_VALUE"""),1.293114788307679)</f>
        <v>1.293114788</v>
      </c>
      <c r="AP447" s="30">
        <f>IFERROR(__xludf.DUMMYFUNCTION("""COMPUTED_VALUE"""),0.6249733478169013)</f>
        <v>0.6249733478</v>
      </c>
      <c r="AQ447" s="30">
        <f>IFERROR(__xludf.DUMMYFUNCTION("""COMPUTED_VALUE"""),1.3354342427997579)</f>
        <v>1.335434243</v>
      </c>
      <c r="AR447" s="30">
        <f>IFERROR(__xludf.DUMMYFUNCTION("""COMPUTED_VALUE"""),0.983799200164131)</f>
        <v>0.9837992002</v>
      </c>
      <c r="AS447" s="30">
        <f>IFERROR(__xludf.DUMMYFUNCTION("""COMPUTED_VALUE"""),40.0)</f>
        <v>40</v>
      </c>
      <c r="AT447" s="30">
        <f>IFERROR(__xludf.DUMMYFUNCTION("""COMPUTED_VALUE"""),0.37800322450909896)</f>
        <v>0.3780032245</v>
      </c>
      <c r="AU447" s="30">
        <f>IFERROR(__xludf.DUMMYFUNCTION("""COMPUTED_VALUE"""),1.969604121110043)</f>
        <v>1.969604121</v>
      </c>
      <c r="AV447" s="32">
        <f>IFERROR(__xludf.DUMMYFUNCTION("""COMPUTED_VALUE"""),49.05878321703551)</f>
        <v>49.05878322</v>
      </c>
      <c r="AW447" s="32">
        <f>IFERROR(__xludf.DUMMYFUNCTION("""COMPUTED_VALUE"""),-2.0619241147037206)</f>
        <v>-2.061924115</v>
      </c>
      <c r="AX447" s="32">
        <f>IFERROR(__xludf.DUMMYFUNCTION("""COMPUTED_VALUE"""),58.48949244216449)</f>
        <v>58.48949244</v>
      </c>
      <c r="AY447" s="32">
        <f>IFERROR(__xludf.DUMMYFUNCTION("""COMPUTED_VALUE"""),2.724153313865581)</f>
        <v>2.724153314</v>
      </c>
      <c r="AZ447" s="30">
        <f>IFERROR(__xludf.DUMMYFUNCTION("""COMPUTED_VALUE"""),4.7860774285693015)</f>
        <v>4.786077429</v>
      </c>
      <c r="BA447" s="30">
        <f>IFERROR(__xludf.DUMMYFUNCTION("""COMPUTED_VALUE"""),1700.0)</f>
        <v>1700</v>
      </c>
    </row>
    <row r="448">
      <c r="A448" s="71" t="str">
        <f>IFERROR(__xludf.DUMMYFUNCTION("""COMPUTED_VALUE"""),"Rival")</f>
        <v>Rival</v>
      </c>
      <c r="B448" s="71" t="str">
        <f>IFERROR(__xludf.DUMMYFUNCTION("""COMPUTED_VALUE"""),"RSC003900")</f>
        <v>RSC003900</v>
      </c>
      <c r="C448" s="30" t="str">
        <f>IFERROR(__xludf.DUMMYFUNCTION("""COMPUTED_VALUE"""),"Tryhard goblin")</f>
        <v>Tryhard goblin</v>
      </c>
      <c r="D448" s="30" t="str">
        <f>IFERROR(__xludf.DUMMYFUNCTION("""COMPUTED_VALUE"""),"Phantoms")</f>
        <v>Phantoms</v>
      </c>
      <c r="E448" s="30">
        <f>IFERROR(__xludf.DUMMYFUNCTION("""COMPUTED_VALUE"""),14.0)</f>
        <v>14</v>
      </c>
      <c r="F448" s="30">
        <f>IFERROR(__xludf.DUMMYFUNCTION("""COMPUTED_VALUE"""),2.0)</f>
        <v>2</v>
      </c>
      <c r="G448" s="42">
        <f>IFERROR(__xludf.DUMMYFUNCTION("""COMPUTED_VALUE"""),12.0)</f>
        <v>12</v>
      </c>
      <c r="H448" s="42">
        <f>IFERROR(__xludf.DUMMYFUNCTION("""COMPUTED_VALUE"""),0.14285714285714285)</f>
        <v>0.1428571429</v>
      </c>
      <c r="I448" s="42">
        <f>IFERROR(__xludf.DUMMYFUNCTION("""COMPUTED_VALUE"""),0.2758620689655172)</f>
        <v>0.275862069</v>
      </c>
      <c r="J448" s="30">
        <f>IFERROR(__xludf.DUMMYFUNCTION("""COMPUTED_VALUE"""),274.85714285714283)</f>
        <v>274.8571429</v>
      </c>
      <c r="K448" s="30">
        <f>IFERROR(__xludf.DUMMYFUNCTION("""COMPUTED_VALUE"""),0.5714285714285714)</f>
        <v>0.5714285714</v>
      </c>
      <c r="L448" s="30">
        <f>IFERROR(__xludf.DUMMYFUNCTION("""COMPUTED_VALUE"""),0.21428571428571427)</f>
        <v>0.2142857143</v>
      </c>
      <c r="M448" s="30">
        <f>IFERROR(__xludf.DUMMYFUNCTION("""COMPUTED_VALUE"""),1.0714285714285714)</f>
        <v>1.071428571</v>
      </c>
      <c r="N448" s="30">
        <f>IFERROR(__xludf.DUMMYFUNCTION("""COMPUTED_VALUE"""),2.0714285714285716)</f>
        <v>2.071428571</v>
      </c>
      <c r="O448" s="30">
        <f>IFERROR(__xludf.DUMMYFUNCTION("""COMPUTED_VALUE"""),396.83333333333337)</f>
        <v>396.8333333</v>
      </c>
      <c r="P448" s="30">
        <f>IFERROR(__xludf.DUMMYFUNCTION("""COMPUTED_VALUE"""),1.1428571428571428)</f>
        <v>1.142857143</v>
      </c>
      <c r="Q448" s="30">
        <f>IFERROR(__xludf.DUMMYFUNCTION("""COMPUTED_VALUE"""),0.7857142857142856)</f>
        <v>0.7857142857</v>
      </c>
      <c r="R448" s="30">
        <f>IFERROR(__xludf.DUMMYFUNCTION("""COMPUTED_VALUE"""),1.0476190476190477)</f>
        <v>1.047619048</v>
      </c>
      <c r="S448" s="30">
        <f>IFERROR(__xludf.DUMMYFUNCTION("""COMPUTED_VALUE"""),3.142857142857143)</f>
        <v>3.142857143</v>
      </c>
      <c r="T448" s="30">
        <f>IFERROR(__xludf.DUMMYFUNCTION("""COMPUTED_VALUE"""),366.34774961149964)</f>
        <v>366.3477496</v>
      </c>
      <c r="U448" s="30">
        <f>IFERROR(__xludf.DUMMYFUNCTION("""COMPUTED_VALUE"""),0.8891984404484405)</f>
        <v>0.8891984404</v>
      </c>
      <c r="V448" s="30">
        <f>IFERROR(__xludf.DUMMYFUNCTION("""COMPUTED_VALUE"""),0.6084711056139628)</f>
        <v>0.6084711056</v>
      </c>
      <c r="W448" s="30">
        <f>IFERROR(__xludf.DUMMYFUNCTION("""COMPUTED_VALUE"""),1.3220962106676388)</f>
        <v>1.322096211</v>
      </c>
      <c r="X448" s="30">
        <f>IFERROR(__xludf.DUMMYFUNCTION("""COMPUTED_VALUE"""),2.7100364714650427)</f>
        <v>2.710036471</v>
      </c>
      <c r="Y448" s="30">
        <f>IFERROR(__xludf.DUMMYFUNCTION("""COMPUTED_VALUE"""),345.5509562307181)</f>
        <v>345.5509562</v>
      </c>
      <c r="Z448" s="30">
        <f>IFERROR(__xludf.DUMMYFUNCTION("""COMPUTED_VALUE"""),0.7413272023391072)</f>
        <v>0.7413272023</v>
      </c>
      <c r="AA448" s="30">
        <f>IFERROR(__xludf.DUMMYFUNCTION("""COMPUTED_VALUE"""),0.5142736011783631)</f>
        <v>0.5142736012</v>
      </c>
      <c r="AB448" s="30">
        <f>IFERROR(__xludf.DUMMYFUNCTION("""COMPUTED_VALUE"""),1.383994565839804)</f>
        <v>1.383994566</v>
      </c>
      <c r="AC448" s="30">
        <f>IFERROR(__xludf.DUMMYFUNCTION("""COMPUTED_VALUE"""),2.476618278106374)</f>
        <v>2.476618278</v>
      </c>
      <c r="AD448" s="30">
        <f>IFERROR(__xludf.DUMMYFUNCTION("""COMPUTED_VALUE"""),0.79541710969431)</f>
        <v>0.7954171097</v>
      </c>
      <c r="AE448" s="30">
        <f>IFERROR(__xludf.DUMMYFUNCTION("""COMPUTED_VALUE"""),0.7708182967325963)</f>
        <v>0.7708182967</v>
      </c>
      <c r="AF448" s="30">
        <f>IFERROR(__xludf.DUMMYFUNCTION("""COMPUTED_VALUE"""),0.41667648075794306)</f>
        <v>0.4166764808</v>
      </c>
      <c r="AG448" s="30">
        <f>IFERROR(__xludf.DUMMYFUNCTION("""COMPUTED_VALUE"""),0.7741566317339054)</f>
        <v>0.7741566317</v>
      </c>
      <c r="AH448" s="30">
        <f>IFERROR(__xludf.DUMMYFUNCTION("""COMPUTED_VALUE"""),0.8363939609669637)</f>
        <v>0.836393961</v>
      </c>
      <c r="AI448" s="30">
        <f>IFERROR(__xludf.DUMMYFUNCTION("""COMPUTED_VALUE"""),1.0832148791801308)</f>
        <v>1.083214879</v>
      </c>
      <c r="AJ448" s="30">
        <f>IFERROR(__xludf.DUMMYFUNCTION("""COMPUTED_VALUE"""),1.2852666973648503)</f>
        <v>1.285266697</v>
      </c>
      <c r="AK448" s="30">
        <f>IFERROR(__xludf.DUMMYFUNCTION("""COMPUTED_VALUE"""),1.2912926817149024)</f>
        <v>1.291292682</v>
      </c>
      <c r="AL448" s="30">
        <f>IFERROR(__xludf.DUMMYFUNCTION("""COMPUTED_VALUE"""),0.7923924440340205)</f>
        <v>0.792392444</v>
      </c>
      <c r="AM448" s="30">
        <f>IFERROR(__xludf.DUMMYFUNCTION("""COMPUTED_VALUE"""),1.1597102754702477)</f>
        <v>1.159710275</v>
      </c>
      <c r="AN448" s="30">
        <f>IFERROR(__xludf.DUMMYFUNCTION("""COMPUTED_VALUE"""),0.8109293715852792)</f>
        <v>0.8109293716</v>
      </c>
      <c r="AO448" s="30">
        <f>IFERROR(__xludf.DUMMYFUNCTION("""COMPUTED_VALUE"""),0.7778134065008595)</f>
        <v>0.7778134065</v>
      </c>
      <c r="AP448" s="30">
        <f>IFERROR(__xludf.DUMMYFUNCTION("""COMPUTED_VALUE"""),0.3826367435613682)</f>
        <v>0.3826367436</v>
      </c>
      <c r="AQ448" s="30">
        <f>IFERROR(__xludf.DUMMYFUNCTION("""COMPUTED_VALUE"""),0.8176128017141374)</f>
        <v>0.8176128017</v>
      </c>
      <c r="AR448" s="30">
        <f>IFERROR(__xludf.DUMMYFUNCTION("""COMPUTED_VALUE"""),0.8317835803136968)</f>
        <v>0.8317835803</v>
      </c>
      <c r="AS448" s="30">
        <f>IFERROR(__xludf.DUMMYFUNCTION("""COMPUTED_VALUE"""),21.0)</f>
        <v>21</v>
      </c>
      <c r="AT448" s="30">
        <f>IFERROR(__xludf.DUMMYFUNCTION("""COMPUTED_VALUE"""),0.21305383623233423)</f>
        <v>0.2130538362</v>
      </c>
      <c r="AU448" s="30">
        <f>IFERROR(__xludf.DUMMYFUNCTION("""COMPUTED_VALUE"""),0.940867770569439)</f>
        <v>0.9408677706</v>
      </c>
      <c r="AV448" s="32">
        <f>IFERROR(__xludf.DUMMYFUNCTION("""COMPUTED_VALUE"""),12.719629014192407)</f>
        <v>12.71962901</v>
      </c>
      <c r="AW448" s="32">
        <f>IFERROR(__xludf.DUMMYFUNCTION("""COMPUTED_VALUE"""),-14.716151318995031)</f>
        <v>-14.71615132</v>
      </c>
      <c r="AX448" s="32">
        <f>IFERROR(__xludf.DUMMYFUNCTION("""COMPUTED_VALUE"""),18.00070859326365)</f>
        <v>18.00070859</v>
      </c>
      <c r="AY448" s="32">
        <f>IFERROR(__xludf.DUMMYFUNCTION("""COMPUTED_VALUE"""),-9.972321600308302)</f>
        <v>-9.9723216</v>
      </c>
      <c r="AZ448" s="30">
        <f>IFERROR(__xludf.DUMMYFUNCTION("""COMPUTED_VALUE"""),4.7438297186867295)</f>
        <v>4.743829719</v>
      </c>
      <c r="BA448" s="30">
        <f>IFERROR(__xludf.DUMMYFUNCTION("""COMPUTED_VALUE"""),1700.0)</f>
        <v>1700</v>
      </c>
    </row>
    <row r="449">
      <c r="A449" s="71" t="str">
        <f>IFERROR(__xludf.DUMMYFUNCTION("""COMPUTED_VALUE"""),"Rival")</f>
        <v>Rival</v>
      </c>
      <c r="B449" s="71" t="str">
        <f>IFERROR(__xludf.DUMMYFUNCTION("""COMPUTED_VALUE"""),"RSC007132")</f>
        <v>RSC007132</v>
      </c>
      <c r="C449" s="30" t="str">
        <f>IFERROR(__xludf.DUMMYFUNCTION("""COMPUTED_VALUE"""),"yoyo")</f>
        <v>yoyo</v>
      </c>
      <c r="D449" s="30"/>
      <c r="E449" s="30">
        <f>IFERROR(__xludf.DUMMYFUNCTION("""COMPUTED_VALUE"""),15.0)</f>
        <v>15</v>
      </c>
      <c r="F449" s="30">
        <f>IFERROR(__xludf.DUMMYFUNCTION("""COMPUTED_VALUE"""),8.0)</f>
        <v>8</v>
      </c>
      <c r="G449" s="42">
        <f>IFERROR(__xludf.DUMMYFUNCTION("""COMPUTED_VALUE"""),7.0)</f>
        <v>7</v>
      </c>
      <c r="H449" s="42">
        <f>IFERROR(__xludf.DUMMYFUNCTION("""COMPUTED_VALUE"""),0.5333333333333333)</f>
        <v>0.5333333333</v>
      </c>
      <c r="I449" s="42">
        <f>IFERROR(__xludf.DUMMYFUNCTION("""COMPUTED_VALUE"""),0.25)</f>
        <v>0.25</v>
      </c>
      <c r="J449" s="30">
        <f>IFERROR(__xludf.DUMMYFUNCTION("""COMPUTED_VALUE"""),358.1333333333333)</f>
        <v>358.1333333</v>
      </c>
      <c r="K449" s="30">
        <f>IFERROR(__xludf.DUMMYFUNCTION("""COMPUTED_VALUE"""),1.0)</f>
        <v>1</v>
      </c>
      <c r="L449" s="30">
        <f>IFERROR(__xludf.DUMMYFUNCTION("""COMPUTED_VALUE"""),0.5333333333333333)</f>
        <v>0.5333333333</v>
      </c>
      <c r="M449" s="30">
        <f>IFERROR(__xludf.DUMMYFUNCTION("""COMPUTED_VALUE"""),0.9333333333333333)</f>
        <v>0.9333333333</v>
      </c>
      <c r="N449" s="30">
        <f>IFERROR(__xludf.DUMMYFUNCTION("""COMPUTED_VALUE"""),4.0)</f>
        <v>4</v>
      </c>
      <c r="O449" s="30">
        <f>IFERROR(__xludf.DUMMYFUNCTION("""COMPUTED_VALUE"""),361.2)</f>
        <v>361.2</v>
      </c>
      <c r="P449" s="30">
        <f>IFERROR(__xludf.DUMMYFUNCTION("""COMPUTED_VALUE"""),0.8444444444444446)</f>
        <v>0.8444444444</v>
      </c>
      <c r="Q449" s="30">
        <f>IFERROR(__xludf.DUMMYFUNCTION("""COMPUTED_VALUE"""),0.6222222222222221)</f>
        <v>0.6222222222</v>
      </c>
      <c r="R449" s="30">
        <f>IFERROR(__xludf.DUMMYFUNCTION("""COMPUTED_VALUE"""),1.3999999999999997)</f>
        <v>1.4</v>
      </c>
      <c r="S449" s="30">
        <f>IFERROR(__xludf.DUMMYFUNCTION("""COMPUTED_VALUE"""),2.7111111111111112)</f>
        <v>2.711111111</v>
      </c>
      <c r="T449" s="30">
        <f>IFERROR(__xludf.DUMMYFUNCTION("""COMPUTED_VALUE"""),351.3660636263856)</f>
        <v>351.3660636</v>
      </c>
      <c r="U449" s="30">
        <f>IFERROR(__xludf.DUMMYFUNCTION("""COMPUTED_VALUE"""),0.7508577502619086)</f>
        <v>0.7508577503</v>
      </c>
      <c r="V449" s="30">
        <f>IFERROR(__xludf.DUMMYFUNCTION("""COMPUTED_VALUE"""),0.5880932658544219)</f>
        <v>0.5880932659</v>
      </c>
      <c r="W449" s="30">
        <f>IFERROR(__xludf.DUMMYFUNCTION("""COMPUTED_VALUE"""),1.4197425746817227)</f>
        <v>1.419742575</v>
      </c>
      <c r="X449" s="30">
        <f>IFERROR(__xludf.DUMMYFUNCTION("""COMPUTED_VALUE"""),2.549418762347261)</f>
        <v>2.549418762</v>
      </c>
      <c r="Y449" s="30">
        <f>IFERROR(__xludf.DUMMYFUNCTION("""COMPUTED_VALUE"""),346.8183927320269)</f>
        <v>346.8183927</v>
      </c>
      <c r="Z449" s="30">
        <f>IFERROR(__xludf.DUMMYFUNCTION("""COMPUTED_VALUE"""),0.7749128081557088)</f>
        <v>0.7749128082</v>
      </c>
      <c r="AA449" s="30">
        <f>IFERROR(__xludf.DUMMYFUNCTION("""COMPUTED_VALUE"""),0.5541050175752679)</f>
        <v>0.5541050176</v>
      </c>
      <c r="AB449" s="30">
        <f>IFERROR(__xludf.DUMMYFUNCTION("""COMPUTED_VALUE"""),1.3084436946057976)</f>
        <v>1.308443695</v>
      </c>
      <c r="AC449" s="30">
        <f>IFERROR(__xludf.DUMMYFUNCTION("""COMPUTED_VALUE"""),2.7042118669713338)</f>
        <v>2.704211867</v>
      </c>
      <c r="AD449" s="30">
        <f>IFERROR(__xludf.DUMMYFUNCTION("""COMPUTED_VALUE"""),1.0326249727189325)</f>
        <v>1.032624973</v>
      </c>
      <c r="AE449" s="30">
        <f>IFERROR(__xludf.DUMMYFUNCTION("""COMPUTED_VALUE"""),1.2904677655025452)</f>
        <v>1.290467766</v>
      </c>
      <c r="AF449" s="30">
        <f>IFERROR(__xludf.DUMMYFUNCTION("""COMPUTED_VALUE"""),0.9625130912316401)</f>
        <v>0.9625130912</v>
      </c>
      <c r="AG449" s="30">
        <f>IFERROR(__xludf.DUMMYFUNCTION("""COMPUTED_VALUE"""),0.7133156261756637)</f>
        <v>0.7133156262</v>
      </c>
      <c r="AH449" s="30">
        <f>IFERROR(__xludf.DUMMYFUNCTION("""COMPUTED_VALUE"""),1.4791740428533524)</f>
        <v>1.479174043</v>
      </c>
      <c r="AI449" s="30">
        <f>IFERROR(__xludf.DUMMYFUNCTION("""COMPUTED_VALUE"""),1.0279877238914883)</f>
        <v>1.027987724</v>
      </c>
      <c r="AJ449" s="30">
        <f>IFERROR(__xludf.DUMMYFUNCTION("""COMPUTED_VALUE"""),1.1246397125818994)</f>
        <v>1.124639713</v>
      </c>
      <c r="AK449" s="30">
        <f>IFERROR(__xludf.DUMMYFUNCTION("""COMPUTED_VALUE"""),1.0580332378372252)</f>
        <v>1.058033238</v>
      </c>
      <c r="AL449" s="30">
        <f>IFERROR(__xludf.DUMMYFUNCTION("""COMPUTED_VALUE"""),0.9860942574845663)</f>
        <v>0.9860942575</v>
      </c>
      <c r="AM449" s="30">
        <f>IFERROR(__xludf.DUMMYFUNCTION("""COMPUTED_VALUE"""),1.0634232206775553)</f>
        <v>1.063423221</v>
      </c>
      <c r="AN449" s="30">
        <f>IFERROR(__xludf.DUMMYFUNCTION("""COMPUTED_VALUE"""),1.0566246739117409)</f>
        <v>1.056624674</v>
      </c>
      <c r="AO449" s="30">
        <f>IFERROR(__xludf.DUMMYFUNCTION("""COMPUTED_VALUE"""),1.3611734613765043)</f>
        <v>1.361173461</v>
      </c>
      <c r="AP449" s="30">
        <f>IFERROR(__xludf.DUMMYFUNCTION("""COMPUTED_VALUE"""),0.9523403395305163)</f>
        <v>0.9523403395</v>
      </c>
      <c r="AQ449" s="30">
        <f>IFERROR(__xludf.DUMMYFUNCTION("""COMPUTED_VALUE"""),0.7122315961598709)</f>
        <v>0.7122315962</v>
      </c>
      <c r="AR449" s="30">
        <f>IFERROR(__xludf.DUMMYFUNCTION("""COMPUTED_VALUE"""),1.606202775778173)</f>
        <v>1.606202776</v>
      </c>
      <c r="AS449" s="30">
        <f>IFERROR(__xludf.DUMMYFUNCTION("""COMPUTED_VALUE"""),41.0)</f>
        <v>41</v>
      </c>
      <c r="AT449" s="30">
        <f>IFERROR(__xludf.DUMMYFUNCTION("""COMPUTED_VALUE"""),0.5305641293317706)</f>
        <v>0.5305641293</v>
      </c>
      <c r="AU449" s="30">
        <f>IFERROR(__xludf.DUMMYFUNCTION("""COMPUTED_VALUE"""),2.7505347879685225)</f>
        <v>2.750534788</v>
      </c>
      <c r="AV449" s="32">
        <f>IFERROR(__xludf.DUMMYFUNCTION("""COMPUTED_VALUE"""),76.64443226091976)</f>
        <v>76.64443226</v>
      </c>
      <c r="AW449" s="32">
        <f>IFERROR(__xludf.DUMMYFUNCTION("""COMPUTED_VALUE"""),6.980210046434551)</f>
        <v>6.980210046</v>
      </c>
      <c r="AX449" s="32">
        <f>IFERROR(__xludf.DUMMYFUNCTION("""COMPUTED_VALUE"""),53.605087797869594)</f>
        <v>53.6050878</v>
      </c>
      <c r="AY449" s="32">
        <f>IFERROR(__xludf.DUMMYFUNCTION("""COMPUTED_VALUE"""),2.2590197263041683)</f>
        <v>2.259019726</v>
      </c>
      <c r="AZ449" s="30">
        <f>IFERROR(__xludf.DUMMYFUNCTION("""COMPUTED_VALUE"""),4.721190320130383)</f>
        <v>4.72119032</v>
      </c>
      <c r="BA449" s="30">
        <f>IFERROR(__xludf.DUMMYFUNCTION("""COMPUTED_VALUE"""),1700.0)</f>
        <v>1700</v>
      </c>
    </row>
    <row r="450">
      <c r="A450" s="71" t="str">
        <f>IFERROR(__xludf.DUMMYFUNCTION("""COMPUTED_VALUE"""),"Rival")</f>
        <v>Rival</v>
      </c>
      <c r="B450" s="71" t="str">
        <f>IFERROR(__xludf.DUMMYFUNCTION("""COMPUTED_VALUE"""),"RSC007823")</f>
        <v>RSC007823</v>
      </c>
      <c r="C450" s="30" t="str">
        <f>IFERROR(__xludf.DUMMYFUNCTION("""COMPUTED_VALUE"""),"watz")</f>
        <v>watz</v>
      </c>
      <c r="D450" s="30" t="str">
        <f>IFERROR(__xludf.DUMMYFUNCTION("""COMPUTED_VALUE"""),"Hue Heroes")</f>
        <v>Hue Heroes</v>
      </c>
      <c r="E450" s="30">
        <f>IFERROR(__xludf.DUMMYFUNCTION("""COMPUTED_VALUE"""),4.0)</f>
        <v>4</v>
      </c>
      <c r="F450" s="30">
        <f>IFERROR(__xludf.DUMMYFUNCTION("""COMPUTED_VALUE"""),0.0)</f>
        <v>0</v>
      </c>
      <c r="G450" s="42">
        <f>IFERROR(__xludf.DUMMYFUNCTION("""COMPUTED_VALUE"""),4.0)</f>
        <v>4</v>
      </c>
      <c r="H450" s="42">
        <f>IFERROR(__xludf.DUMMYFUNCTION("""COMPUTED_VALUE"""),0.0)</f>
        <v>0</v>
      </c>
      <c r="I450" s="42">
        <f>IFERROR(__xludf.DUMMYFUNCTION("""COMPUTED_VALUE"""),0.375)</f>
        <v>0.375</v>
      </c>
      <c r="J450" s="30">
        <f>IFERROR(__xludf.DUMMYFUNCTION("""COMPUTED_VALUE"""),338.75)</f>
        <v>338.75</v>
      </c>
      <c r="K450" s="30">
        <f>IFERROR(__xludf.DUMMYFUNCTION("""COMPUTED_VALUE"""),0.75)</f>
        <v>0.75</v>
      </c>
      <c r="L450" s="30">
        <f>IFERROR(__xludf.DUMMYFUNCTION("""COMPUTED_VALUE"""),0.25)</f>
        <v>0.25</v>
      </c>
      <c r="M450" s="30">
        <f>IFERROR(__xludf.DUMMYFUNCTION("""COMPUTED_VALUE"""),1.5)</f>
        <v>1.5</v>
      </c>
      <c r="N450" s="30">
        <f>IFERROR(__xludf.DUMMYFUNCTION("""COMPUTED_VALUE"""),2.0)</f>
        <v>2</v>
      </c>
      <c r="O450" s="30">
        <f>IFERROR(__xludf.DUMMYFUNCTION("""COMPUTED_VALUE"""),427.58333333333337)</f>
        <v>427.5833333</v>
      </c>
      <c r="P450" s="30">
        <f>IFERROR(__xludf.DUMMYFUNCTION("""COMPUTED_VALUE"""),1.25)</f>
        <v>1.25</v>
      </c>
      <c r="Q450" s="30">
        <f>IFERROR(__xludf.DUMMYFUNCTION("""COMPUTED_VALUE"""),1.0833333333333333)</f>
        <v>1.083333333</v>
      </c>
      <c r="R450" s="30">
        <f>IFERROR(__xludf.DUMMYFUNCTION("""COMPUTED_VALUE"""),1.0833333333333335)</f>
        <v>1.083333333</v>
      </c>
      <c r="S450" s="30">
        <f>IFERROR(__xludf.DUMMYFUNCTION("""COMPUTED_VALUE"""),3.583333333333333)</f>
        <v>3.583333333</v>
      </c>
      <c r="T450" s="30">
        <f>IFERROR(__xludf.DUMMYFUNCTION("""COMPUTED_VALUE"""),402.5594907407408)</f>
        <v>402.5594907</v>
      </c>
      <c r="U450" s="30">
        <f>IFERROR(__xludf.DUMMYFUNCTION("""COMPUTED_VALUE"""),1.1613425925925924)</f>
        <v>1.161342593</v>
      </c>
      <c r="V450" s="30">
        <f>IFERROR(__xludf.DUMMYFUNCTION("""COMPUTED_VALUE"""),0.9395833333333333)</f>
        <v>0.9395833333</v>
      </c>
      <c r="W450" s="30">
        <f>IFERROR(__xludf.DUMMYFUNCTION("""COMPUTED_VALUE"""),0.9914351851851851)</f>
        <v>0.9914351852</v>
      </c>
      <c r="X450" s="30">
        <f>IFERROR(__xludf.DUMMYFUNCTION("""COMPUTED_VALUE"""),3.259490740740741)</f>
        <v>3.259490741</v>
      </c>
      <c r="Y450" s="30">
        <f>IFERROR(__xludf.DUMMYFUNCTION("""COMPUTED_VALUE"""),305.216898148148)</f>
        <v>305.2168981</v>
      </c>
      <c r="Z450" s="30">
        <f>IFERROR(__xludf.DUMMYFUNCTION("""COMPUTED_VALUE"""),0.49753086419753095)</f>
        <v>0.4975308642</v>
      </c>
      <c r="AA450" s="30">
        <f>IFERROR(__xludf.DUMMYFUNCTION("""COMPUTED_VALUE"""),0.31736111111111104)</f>
        <v>0.3173611111</v>
      </c>
      <c r="AB450" s="30">
        <f>IFERROR(__xludf.DUMMYFUNCTION("""COMPUTED_VALUE"""),1.5226080246913583)</f>
        <v>1.522608025</v>
      </c>
      <c r="AC450" s="30">
        <f>IFERROR(__xludf.DUMMYFUNCTION("""COMPUTED_VALUE"""),1.8274691358024695)</f>
        <v>1.827469136</v>
      </c>
      <c r="AD450" s="30">
        <f>IFERROR(__xludf.DUMMYFUNCTION("""COMPUTED_VALUE"""),1.109866465635777)</f>
        <v>1.109866466</v>
      </c>
      <c r="AE450" s="30">
        <f>IFERROR(__xludf.DUMMYFUNCTION("""COMPUTED_VALUE"""),1.507444168734491)</f>
        <v>1.507444169</v>
      </c>
      <c r="AF450" s="30">
        <f>IFERROR(__xludf.DUMMYFUNCTION("""COMPUTED_VALUE"""),0.7877461706783372)</f>
        <v>0.7877461707</v>
      </c>
      <c r="AG450" s="30">
        <f>IFERROR(__xludf.DUMMYFUNCTION("""COMPUTED_VALUE"""),0.9851517762124359)</f>
        <v>0.9851517762</v>
      </c>
      <c r="AH450" s="30">
        <f>IFERROR(__xludf.DUMMYFUNCTION("""COMPUTED_VALUE"""),1.0944097280864717)</f>
        <v>1.094409728</v>
      </c>
      <c r="AI450" s="30">
        <f>IFERROR(__xludf.DUMMYFUNCTION("""COMPUTED_VALUE"""),1.0621618497841072)</f>
        <v>1.06216185</v>
      </c>
      <c r="AJ450" s="30">
        <f>IFERROR(__xludf.DUMMYFUNCTION("""COMPUTED_VALUE"""),1.0763404424955154)</f>
        <v>1.076340442</v>
      </c>
      <c r="AK450" s="30">
        <f>IFERROR(__xludf.DUMMYFUNCTION("""COMPUTED_VALUE"""),1.1529933481152992)</f>
        <v>1.152993348</v>
      </c>
      <c r="AL450" s="30">
        <f>IFERROR(__xludf.DUMMYFUNCTION("""COMPUTED_VALUE"""),1.0926920382909178)</f>
        <v>1.092692038</v>
      </c>
      <c r="AM450" s="30">
        <f>IFERROR(__xludf.DUMMYFUNCTION("""COMPUTED_VALUE"""),1.0993537390810308)</f>
        <v>1.099353739</v>
      </c>
      <c r="AN450" s="30">
        <f>IFERROR(__xludf.DUMMYFUNCTION("""COMPUTED_VALUE"""),0.9994367320018678)</f>
        <v>0.999436732</v>
      </c>
      <c r="AO450" s="30">
        <f>IFERROR(__xludf.DUMMYFUNCTION("""COMPUTED_VALUE"""),1.020880096032378)</f>
        <v>1.020880096</v>
      </c>
      <c r="AP450" s="30">
        <f>IFERROR(__xludf.DUMMYFUNCTION("""COMPUTED_VALUE"""),0.44640953415492957)</f>
        <v>0.4464095342</v>
      </c>
      <c r="AQ450" s="30">
        <f>IFERROR(__xludf.DUMMYFUNCTION("""COMPUTED_VALUE"""),1.1446579223997926)</f>
        <v>1.144657922</v>
      </c>
      <c r="AR450" s="30">
        <f>IFERROR(__xludf.DUMMYFUNCTION("""COMPUTED_VALUE"""),0.8031013878890865)</f>
        <v>0.8031013879</v>
      </c>
      <c r="AS450" s="30">
        <f>IFERROR(__xludf.DUMMYFUNCTION("""COMPUTED_VALUE"""),7.0)</f>
        <v>7</v>
      </c>
      <c r="AT450" s="30">
        <f>IFERROR(__xludf.DUMMYFUNCTION("""COMPUTED_VALUE"""),0.2238904750056121)</f>
        <v>0.223890475</v>
      </c>
      <c r="AU450" s="30">
        <f>IFERROR(__xludf.DUMMYFUNCTION("""COMPUTED_VALUE"""),1.9099114685511027)</f>
        <v>1.909911469</v>
      </c>
      <c r="AV450" s="32">
        <f>IFERROR(__xludf.DUMMYFUNCTION("""COMPUTED_VALUE"""),46.95019581757582)</f>
        <v>46.95019582</v>
      </c>
      <c r="AW450" s="32">
        <f>IFERROR(__xludf.DUMMYFUNCTION("""COMPUTED_VALUE"""),-2.2150719170846265)</f>
        <v>-2.215071917</v>
      </c>
      <c r="AX450" s="32">
        <f>IFERROR(__xludf.DUMMYFUNCTION("""COMPUTED_VALUE"""),23.64952381959073)</f>
        <v>23.64952382</v>
      </c>
      <c r="AY450" s="32">
        <f>IFERROR(__xludf.DUMMYFUNCTION("""COMPUTED_VALUE"""),-6.852267251335048)</f>
        <v>-6.852267251</v>
      </c>
      <c r="AZ450" s="30">
        <f>IFERROR(__xludf.DUMMYFUNCTION("""COMPUTED_VALUE"""),4.637195334250421)</f>
        <v>4.637195334</v>
      </c>
      <c r="BA450" s="30">
        <f>IFERROR(__xludf.DUMMYFUNCTION("""COMPUTED_VALUE"""),1700.0)</f>
        <v>1700</v>
      </c>
    </row>
    <row r="451">
      <c r="A451" s="71" t="str">
        <f>IFERROR(__xludf.DUMMYFUNCTION("""COMPUTED_VALUE"""),"Rival")</f>
        <v>Rival</v>
      </c>
      <c r="B451" s="71" t="str">
        <f>IFERROR(__xludf.DUMMYFUNCTION("""COMPUTED_VALUE"""),"RSC007293")</f>
        <v>RSC007293</v>
      </c>
      <c r="C451" s="30" t="str">
        <f>IFERROR(__xludf.DUMMYFUNCTION("""COMPUTED_VALUE"""),"YtExplixiit")</f>
        <v>YtExplixiit</v>
      </c>
      <c r="D451" s="30" t="str">
        <f>IFERROR(__xludf.DUMMYFUNCTION("""COMPUTED_VALUE"""),"Ion Imperial")</f>
        <v>Ion Imperial</v>
      </c>
      <c r="E451" s="30">
        <f>IFERROR(__xludf.DUMMYFUNCTION("""COMPUTED_VALUE"""),35.0)</f>
        <v>35</v>
      </c>
      <c r="F451" s="30">
        <f>IFERROR(__xludf.DUMMYFUNCTION("""COMPUTED_VALUE"""),22.0)</f>
        <v>22</v>
      </c>
      <c r="G451" s="42">
        <f>IFERROR(__xludf.DUMMYFUNCTION("""COMPUTED_VALUE"""),13.0)</f>
        <v>13</v>
      </c>
      <c r="H451" s="42">
        <f>IFERROR(__xludf.DUMMYFUNCTION("""COMPUTED_VALUE"""),0.6285714285714286)</f>
        <v>0.6285714286</v>
      </c>
      <c r="I451" s="42">
        <f>IFERROR(__xludf.DUMMYFUNCTION("""COMPUTED_VALUE"""),0.26)</f>
        <v>0.26</v>
      </c>
      <c r="J451" s="30">
        <f>IFERROR(__xludf.DUMMYFUNCTION("""COMPUTED_VALUE"""),309.0)</f>
        <v>309</v>
      </c>
      <c r="K451" s="30">
        <f>IFERROR(__xludf.DUMMYFUNCTION("""COMPUTED_VALUE"""),0.7428571428571429)</f>
        <v>0.7428571429</v>
      </c>
      <c r="L451" s="30">
        <f>IFERROR(__xludf.DUMMYFUNCTION("""COMPUTED_VALUE"""),0.5714285714285714)</f>
        <v>0.5714285714</v>
      </c>
      <c r="M451" s="30">
        <f>IFERROR(__xludf.DUMMYFUNCTION("""COMPUTED_VALUE"""),0.8)</f>
        <v>0.8</v>
      </c>
      <c r="N451" s="30">
        <f>IFERROR(__xludf.DUMMYFUNCTION("""COMPUTED_VALUE"""),2.857142857142857)</f>
        <v>2.857142857</v>
      </c>
      <c r="O451" s="30">
        <f>IFERROR(__xludf.DUMMYFUNCTION("""COMPUTED_VALUE"""),345.54285714285726)</f>
        <v>345.5428571</v>
      </c>
      <c r="P451" s="30">
        <f>IFERROR(__xludf.DUMMYFUNCTION("""COMPUTED_VALUE"""),0.7142857142857143)</f>
        <v>0.7142857143</v>
      </c>
      <c r="Q451" s="30">
        <f>IFERROR(__xludf.DUMMYFUNCTION("""COMPUTED_VALUE"""),0.5047619047619047)</f>
        <v>0.5047619048</v>
      </c>
      <c r="R451" s="30">
        <f>IFERROR(__xludf.DUMMYFUNCTION("""COMPUTED_VALUE"""),1.4476190476190478)</f>
        <v>1.447619048</v>
      </c>
      <c r="S451" s="30">
        <f>IFERROR(__xludf.DUMMYFUNCTION("""COMPUTED_VALUE"""),2.3904761904761904)</f>
        <v>2.39047619</v>
      </c>
      <c r="T451" s="30">
        <f>IFERROR(__xludf.DUMMYFUNCTION("""COMPUTED_VALUE"""),338.23376933956683)</f>
        <v>338.2337693</v>
      </c>
      <c r="U451" s="30">
        <f>IFERROR(__xludf.DUMMYFUNCTION("""COMPUTED_VALUE"""),0.7502758978235171)</f>
        <v>0.7502758978</v>
      </c>
      <c r="V451" s="30">
        <f>IFERROR(__xludf.DUMMYFUNCTION("""COMPUTED_VALUE"""),0.4902528216932979)</f>
        <v>0.4902528217</v>
      </c>
      <c r="W451" s="30">
        <f>IFERROR(__xludf.DUMMYFUNCTION("""COMPUTED_VALUE"""),1.299806973890307)</f>
        <v>1.299806974</v>
      </c>
      <c r="X451" s="30">
        <f>IFERROR(__xludf.DUMMYFUNCTION("""COMPUTED_VALUE"""),2.5391802800374235)</f>
        <v>2.53918028</v>
      </c>
      <c r="Y451" s="30">
        <f>IFERROR(__xludf.DUMMYFUNCTION("""COMPUTED_VALUE"""),352.21648824911114)</f>
        <v>352.2164882</v>
      </c>
      <c r="Z451" s="30">
        <f>IFERROR(__xludf.DUMMYFUNCTION("""COMPUTED_VALUE"""),0.8043588538152028)</f>
        <v>0.8043588538</v>
      </c>
      <c r="AA451" s="30">
        <f>IFERROR(__xludf.DUMMYFUNCTION("""COMPUTED_VALUE"""),0.5704026015137127)</f>
        <v>0.5704026015</v>
      </c>
      <c r="AB451" s="30">
        <f>IFERROR(__xludf.DUMMYFUNCTION("""COMPUTED_VALUE"""),1.2992737568134396)</f>
        <v>1.299273757</v>
      </c>
      <c r="AC451" s="30">
        <f>IFERROR(__xludf.DUMMYFUNCTION("""COMPUTED_VALUE"""),2.5541917055607537)</f>
        <v>2.554191706</v>
      </c>
      <c r="AD451" s="30">
        <f>IFERROR(__xludf.DUMMYFUNCTION("""COMPUTED_VALUE"""),0.8773013482022297)</f>
        <v>0.8773013482</v>
      </c>
      <c r="AE451" s="30">
        <f>IFERROR(__xludf.DUMMYFUNCTION("""COMPUTED_VALUE"""),0.9235394616888377)</f>
        <v>0.9235394617</v>
      </c>
      <c r="AF451" s="30">
        <f>IFERROR(__xludf.DUMMYFUNCTION("""COMPUTED_VALUE"""),1.0017986767804634)</f>
        <v>1.001798677</v>
      </c>
      <c r="AG451" s="30">
        <f>IFERROR(__xludf.DUMMYFUNCTION("""COMPUTED_VALUE"""),0.6157285913032342)</f>
        <v>0.6157285913</v>
      </c>
      <c r="AH451" s="30">
        <f>IFERROR(__xludf.DUMMYFUNCTION("""COMPUTED_VALUE"""),1.11860940231015)</f>
        <v>1.118609402</v>
      </c>
      <c r="AI451" s="30">
        <f>IFERROR(__xludf.DUMMYFUNCTION("""COMPUTED_VALUE"""),1.0216095744004572)</f>
        <v>1.021609574</v>
      </c>
      <c r="AJ451" s="30">
        <f>IFERROR(__xludf.DUMMYFUNCTION("""COMPUTED_VALUE"""),0.9520307347707595)</f>
        <v>0.9520307348</v>
      </c>
      <c r="AK451" s="30">
        <f>IFERROR(__xludf.DUMMYFUNCTION("""COMPUTED_VALUE"""),1.029595103641614)</f>
        <v>1.029595104</v>
      </c>
      <c r="AL451" s="30">
        <f>IFERROR(__xludf.DUMMYFUNCTION("""COMPUTED_VALUE"""),1.1137184802804534)</f>
        <v>1.11371848</v>
      </c>
      <c r="AM451" s="30">
        <f>IFERROR(__xludf.DUMMYFUNCTION("""COMPUTED_VALUE"""),0.9414361828774752)</f>
        <v>0.9414361829</v>
      </c>
      <c r="AN451" s="30">
        <f>IFERROR(__xludf.DUMMYFUNCTION("""COMPUTED_VALUE"""),0.9116633215898956)</f>
        <v>0.9116633216</v>
      </c>
      <c r="AO451" s="30">
        <f>IFERROR(__xludf.DUMMYFUNCTION("""COMPUTED_VALUE"""),1.0111574284511173)</f>
        <v>1.011157428</v>
      </c>
      <c r="AP451" s="30">
        <f>IFERROR(__xludf.DUMMYFUNCTION("""COMPUTED_VALUE"""),1.0203646494969818)</f>
        <v>1.020364649</v>
      </c>
      <c r="AQ451" s="30">
        <f>IFERROR(__xludf.DUMMYFUNCTION("""COMPUTED_VALUE"""),0.6104842252798893)</f>
        <v>0.6104842253</v>
      </c>
      <c r="AR451" s="30">
        <f>IFERROR(__xludf.DUMMYFUNCTION("""COMPUTED_VALUE"""),1.1472876969844092)</f>
        <v>1.147287697</v>
      </c>
      <c r="AS451" s="30">
        <f>IFERROR(__xludf.DUMMYFUNCTION("""COMPUTED_VALUE"""),87.0)</f>
        <v>87</v>
      </c>
      <c r="AT451" s="30">
        <f>IFERROR(__xludf.DUMMYFUNCTION("""COMPUTED_VALUE"""),0.5573456576769952)</f>
        <v>0.5573456577</v>
      </c>
      <c r="AU451" s="30">
        <f>IFERROR(__xludf.DUMMYFUNCTION("""COMPUTED_VALUE"""),2.0839969158497977)</f>
        <v>2.083996916</v>
      </c>
      <c r="AV451" s="32">
        <f>IFERROR(__xludf.DUMMYFUNCTION("""COMPUTED_VALUE"""),53.09960223306196)</f>
        <v>53.09960223</v>
      </c>
      <c r="AW451" s="32">
        <f>IFERROR(__xludf.DUMMYFUNCTION("""COMPUTED_VALUE"""),2.2189483544200406)</f>
        <v>2.218948354</v>
      </c>
      <c r="AX451" s="32">
        <f>IFERROR(__xludf.DUMMYFUNCTION("""COMPUTED_VALUE"""),45.34797758691402)</f>
        <v>45.34797759</v>
      </c>
      <c r="AY451" s="32">
        <f>IFERROR(__xludf.DUMMYFUNCTION("""COMPUTED_VALUE"""),-2.346367695875445)</f>
        <v>-2.346367696</v>
      </c>
      <c r="AZ451" s="30">
        <f>IFERROR(__xludf.DUMMYFUNCTION("""COMPUTED_VALUE"""),4.565316050295486)</f>
        <v>4.56531605</v>
      </c>
      <c r="BA451" s="30">
        <f>IFERROR(__xludf.DUMMYFUNCTION("""COMPUTED_VALUE"""),1700.0)</f>
        <v>1700</v>
      </c>
    </row>
    <row r="452">
      <c r="A452" s="71" t="str">
        <f>IFERROR(__xludf.DUMMYFUNCTION("""COMPUTED_VALUE"""),"Rival")</f>
        <v>Rival</v>
      </c>
      <c r="B452" s="71" t="str">
        <f>IFERROR(__xludf.DUMMYFUNCTION("""COMPUTED_VALUE"""),"RSC005165")</f>
        <v>RSC005165</v>
      </c>
      <c r="C452" s="30" t="str">
        <f>IFERROR(__xludf.DUMMYFUNCTION("""COMPUTED_VALUE"""),"Lucas")</f>
        <v>Lucas</v>
      </c>
      <c r="D452" s="30" t="str">
        <f>IFERROR(__xludf.DUMMYFUNCTION("""COMPUTED_VALUE"""),"Stolen")</f>
        <v>Stolen</v>
      </c>
      <c r="E452" s="30">
        <f>IFERROR(__xludf.DUMMYFUNCTION("""COMPUTED_VALUE"""),35.0)</f>
        <v>35</v>
      </c>
      <c r="F452" s="30">
        <f>IFERROR(__xludf.DUMMYFUNCTION("""COMPUTED_VALUE"""),23.0)</f>
        <v>23</v>
      </c>
      <c r="G452" s="42">
        <f>IFERROR(__xludf.DUMMYFUNCTION("""COMPUTED_VALUE"""),12.0)</f>
        <v>12</v>
      </c>
      <c r="H452" s="42">
        <f>IFERROR(__xludf.DUMMYFUNCTION("""COMPUTED_VALUE"""),0.6571428571428571)</f>
        <v>0.6571428571</v>
      </c>
      <c r="I452" s="42">
        <f>IFERROR(__xludf.DUMMYFUNCTION("""COMPUTED_VALUE"""),0.25252525252525254)</f>
        <v>0.2525252525</v>
      </c>
      <c r="J452" s="30">
        <f>IFERROR(__xludf.DUMMYFUNCTION("""COMPUTED_VALUE"""),344.4)</f>
        <v>344.4</v>
      </c>
      <c r="K452" s="30">
        <f>IFERROR(__xludf.DUMMYFUNCTION("""COMPUTED_VALUE"""),0.7142857142857143)</f>
        <v>0.7142857143</v>
      </c>
      <c r="L452" s="30">
        <f>IFERROR(__xludf.DUMMYFUNCTION("""COMPUTED_VALUE"""),0.5714285714285714)</f>
        <v>0.5714285714</v>
      </c>
      <c r="M452" s="30">
        <f>IFERROR(__xludf.DUMMYFUNCTION("""COMPUTED_VALUE"""),1.4)</f>
        <v>1.4</v>
      </c>
      <c r="N452" s="30">
        <f>IFERROR(__xludf.DUMMYFUNCTION("""COMPUTED_VALUE"""),2.8285714285714287)</f>
        <v>2.828571429</v>
      </c>
      <c r="O452" s="30">
        <f>IFERROR(__xludf.DUMMYFUNCTION("""COMPUTED_VALUE"""),347.07619047619056)</f>
        <v>347.0761905</v>
      </c>
      <c r="P452" s="30">
        <f>IFERROR(__xludf.DUMMYFUNCTION("""COMPUTED_VALUE"""),0.7333333333333334)</f>
        <v>0.7333333333</v>
      </c>
      <c r="Q452" s="30">
        <f>IFERROR(__xludf.DUMMYFUNCTION("""COMPUTED_VALUE"""),0.6190476190476191)</f>
        <v>0.619047619</v>
      </c>
      <c r="R452" s="30">
        <f>IFERROR(__xludf.DUMMYFUNCTION("""COMPUTED_VALUE"""),1.4095238095238096)</f>
        <v>1.40952381</v>
      </c>
      <c r="S452" s="30">
        <f>IFERROR(__xludf.DUMMYFUNCTION("""COMPUTED_VALUE"""),2.5047619047619043)</f>
        <v>2.504761905</v>
      </c>
      <c r="T452" s="30">
        <f>IFERROR(__xludf.DUMMYFUNCTION("""COMPUTED_VALUE"""),356.99885549020246)</f>
        <v>356.9988555</v>
      </c>
      <c r="U452" s="30">
        <f>IFERROR(__xludf.DUMMYFUNCTION("""COMPUTED_VALUE"""),0.8367195790963978)</f>
        <v>0.8367195791</v>
      </c>
      <c r="V452" s="30">
        <f>IFERROR(__xludf.DUMMYFUNCTION("""COMPUTED_VALUE"""),0.6080188964047171)</f>
        <v>0.6080188964</v>
      </c>
      <c r="W452" s="30">
        <f>IFERROR(__xludf.DUMMYFUNCTION("""COMPUTED_VALUE"""),1.3500756220349377)</f>
        <v>1.350075622</v>
      </c>
      <c r="X452" s="30">
        <f>IFERROR(__xludf.DUMMYFUNCTION("""COMPUTED_VALUE"""),2.6513201102617945)</f>
        <v>2.65132011</v>
      </c>
      <c r="Y452" s="30">
        <f>IFERROR(__xludf.DUMMYFUNCTION("""COMPUTED_VALUE"""),346.16641813839277)</f>
        <v>346.1664181</v>
      </c>
      <c r="Z452" s="30">
        <f>IFERROR(__xludf.DUMMYFUNCTION("""COMPUTED_VALUE"""),0.7940315349609542)</f>
        <v>0.794031535</v>
      </c>
      <c r="AA452" s="30">
        <f>IFERROR(__xludf.DUMMYFUNCTION("""COMPUTED_VALUE"""),0.563468599989516)</f>
        <v>0.5634686</v>
      </c>
      <c r="AB452" s="30">
        <f>IFERROR(__xludf.DUMMYFUNCTION("""COMPUTED_VALUE"""),1.3027563544994865)</f>
        <v>1.302756354</v>
      </c>
      <c r="AC452" s="30">
        <f>IFERROR(__xludf.DUMMYFUNCTION("""COMPUTED_VALUE"""),2.629859263124758)</f>
        <v>2.629859263</v>
      </c>
      <c r="AD452" s="30">
        <f>IFERROR(__xludf.DUMMYFUNCTION("""COMPUTED_VALUE"""),0.9948971995958124)</f>
        <v>0.9948971996</v>
      </c>
      <c r="AE452" s="30">
        <f>IFERROR(__xludf.DUMMYFUNCTION("""COMPUTED_VALUE"""),0.8995684463852417)</f>
        <v>0.8995684464</v>
      </c>
      <c r="AF452" s="30">
        <f>IFERROR(__xludf.DUMMYFUNCTION("""COMPUTED_VALUE"""),1.0141267347270166)</f>
        <v>1.014126735</v>
      </c>
      <c r="AG452" s="30">
        <f>IFERROR(__xludf.DUMMYFUNCTION("""COMPUTED_VALUE"""),1.0746445374567941)</f>
        <v>1.074644537</v>
      </c>
      <c r="AH452" s="30">
        <f>IFERROR(__xludf.DUMMYFUNCTION("""COMPUTED_VALUE"""),1.0755599998193681)</f>
        <v>1.07556</v>
      </c>
      <c r="AI452" s="30">
        <f>IFERROR(__xludf.DUMMYFUNCTION("""COMPUTED_VALUE"""),0.9722053310216167)</f>
        <v>0.972205331</v>
      </c>
      <c r="AJ452" s="30">
        <f>IFERROR(__xludf.DUMMYFUNCTION("""COMPUTED_VALUE"""),0.8764385962203552)</f>
        <v>0.8764385962</v>
      </c>
      <c r="AK452" s="30">
        <f>IFERROR(__xludf.DUMMYFUNCTION("""COMPUTED_VALUE"""),1.0181387827057942)</f>
        <v>1.018138783</v>
      </c>
      <c r="AL452" s="30">
        <f>IFERROR(__xludf.DUMMYFUNCTION("""COMPUTED_VALUE"""),1.0440332278567233)</f>
        <v>1.044033228</v>
      </c>
      <c r="AM452" s="30">
        <f>IFERROR(__xludf.DUMMYFUNCTION("""COMPUTED_VALUE"""),0.9447225535186625)</f>
        <v>0.9447225535</v>
      </c>
      <c r="AN452" s="30">
        <f>IFERROR(__xludf.DUMMYFUNCTION("""COMPUTED_VALUE"""),1.016106304063301)</f>
        <v>1.016106304</v>
      </c>
      <c r="AO452" s="30">
        <f>IFERROR(__xludf.DUMMYFUNCTION("""COMPUTED_VALUE"""),0.9722667581260744)</f>
        <v>0.9722667581</v>
      </c>
      <c r="AP452" s="30">
        <f>IFERROR(__xludf.DUMMYFUNCTION("""COMPUTED_VALUE"""),1.0203646494969818)</f>
        <v>1.020364649</v>
      </c>
      <c r="AQ452" s="30">
        <f>IFERROR(__xludf.DUMMYFUNCTION("""COMPUTED_VALUE"""),1.0683473942398063)</f>
        <v>1.068347394</v>
      </c>
      <c r="AR452" s="30">
        <f>IFERROR(__xludf.DUMMYFUNCTION("""COMPUTED_VALUE"""),1.1358148200145652)</f>
        <v>1.13581482</v>
      </c>
      <c r="AS452" s="30">
        <f>IFERROR(__xludf.DUMMYFUNCTION("""COMPUTED_VALUE"""),88.0)</f>
        <v>88</v>
      </c>
      <c r="AT452" s="30">
        <f>IFERROR(__xludf.DUMMYFUNCTION("""COMPUTED_VALUE"""),0.5519070362487858)</f>
        <v>0.5519070362</v>
      </c>
      <c r="AU452" s="30">
        <f>IFERROR(__xludf.DUMMYFUNCTION("""COMPUTED_VALUE"""),2.1640297145179903)</f>
        <v>2.164029715</v>
      </c>
      <c r="AV452" s="32">
        <f>IFERROR(__xludf.DUMMYFUNCTION("""COMPUTED_VALUE"""),55.92668636454056)</f>
        <v>55.92668636</v>
      </c>
      <c r="AW452" s="32">
        <f>IFERROR(__xludf.DUMMYFUNCTION("""COMPUTED_VALUE"""),2.4612220310409256)</f>
        <v>2.461222031</v>
      </c>
      <c r="AX452" s="32">
        <f>IFERROR(__xludf.DUMMYFUNCTION("""COMPUTED_VALUE"""),49.05704096027175)</f>
        <v>49.05704096</v>
      </c>
      <c r="AY452" s="32">
        <f>IFERROR(__xludf.DUMMYFUNCTION("""COMPUTED_VALUE"""),-2.062042240321321)</f>
        <v>-2.06204224</v>
      </c>
      <c r="AZ452" s="30">
        <f>IFERROR(__xludf.DUMMYFUNCTION("""COMPUTED_VALUE"""),4.523264271362247)</f>
        <v>4.523264271</v>
      </c>
      <c r="BA452" s="30">
        <f>IFERROR(__xludf.DUMMYFUNCTION("""COMPUTED_VALUE"""),1700.0)</f>
        <v>1700</v>
      </c>
    </row>
    <row r="453">
      <c r="A453" s="71" t="str">
        <f>IFERROR(__xludf.DUMMYFUNCTION("""COMPUTED_VALUE"""),"Rival")</f>
        <v>Rival</v>
      </c>
      <c r="B453" s="71" t="str">
        <f>IFERROR(__xludf.DUMMYFUNCTION("""COMPUTED_VALUE"""),"RSC002960")</f>
        <v>RSC002960</v>
      </c>
      <c r="C453" s="30" t="str">
        <f>IFERROR(__xludf.DUMMYFUNCTION("""COMPUTED_VALUE"""),"Shrek is The Best Anime")</f>
        <v>Shrek is The Best Anime</v>
      </c>
      <c r="D453" s="30" t="str">
        <f>IFERROR(__xludf.DUMMYFUNCTION("""COMPUTED_VALUE"""),"Centuriones")</f>
        <v>Centuriones</v>
      </c>
      <c r="E453" s="30">
        <f>IFERROR(__xludf.DUMMYFUNCTION("""COMPUTED_VALUE"""),31.0)</f>
        <v>31</v>
      </c>
      <c r="F453" s="30">
        <f>IFERROR(__xludf.DUMMYFUNCTION("""COMPUTED_VALUE"""),14.0)</f>
        <v>14</v>
      </c>
      <c r="G453" s="42">
        <f>IFERROR(__xludf.DUMMYFUNCTION("""COMPUTED_VALUE"""),17.0)</f>
        <v>17</v>
      </c>
      <c r="H453" s="42">
        <f>IFERROR(__xludf.DUMMYFUNCTION("""COMPUTED_VALUE"""),0.45161290322580644)</f>
        <v>0.4516129032</v>
      </c>
      <c r="I453" s="42">
        <f>IFERROR(__xludf.DUMMYFUNCTION("""COMPUTED_VALUE"""),0.26666666666666666)</f>
        <v>0.2666666667</v>
      </c>
      <c r="J453" s="30">
        <f>IFERROR(__xludf.DUMMYFUNCTION("""COMPUTED_VALUE"""),337.06451612903226)</f>
        <v>337.0645161</v>
      </c>
      <c r="K453" s="30">
        <f>IFERROR(__xludf.DUMMYFUNCTION("""COMPUTED_VALUE"""),0.7741935483870968)</f>
        <v>0.7741935484</v>
      </c>
      <c r="L453" s="30">
        <f>IFERROR(__xludf.DUMMYFUNCTION("""COMPUTED_VALUE"""),0.6129032258064516)</f>
        <v>0.6129032258</v>
      </c>
      <c r="M453" s="30">
        <f>IFERROR(__xludf.DUMMYFUNCTION("""COMPUTED_VALUE"""),1.0)</f>
        <v>1</v>
      </c>
      <c r="N453" s="30">
        <f>IFERROR(__xludf.DUMMYFUNCTION("""COMPUTED_VALUE"""),2.903225806451613)</f>
        <v>2.903225806</v>
      </c>
      <c r="O453" s="30">
        <f>IFERROR(__xludf.DUMMYFUNCTION("""COMPUTED_VALUE"""),356.33333333333337)</f>
        <v>356.3333333</v>
      </c>
      <c r="P453" s="30">
        <f>IFERROR(__xludf.DUMMYFUNCTION("""COMPUTED_VALUE"""),0.8494623655913978)</f>
        <v>0.8494623656</v>
      </c>
      <c r="Q453" s="30">
        <f>IFERROR(__xludf.DUMMYFUNCTION("""COMPUTED_VALUE"""),0.6236559139784947)</f>
        <v>0.623655914</v>
      </c>
      <c r="R453" s="30">
        <f>IFERROR(__xludf.DUMMYFUNCTION("""COMPUTED_VALUE"""),1.2903225806451615)</f>
        <v>1.290322581</v>
      </c>
      <c r="S453" s="30">
        <f>IFERROR(__xludf.DUMMYFUNCTION("""COMPUTED_VALUE"""),2.655913978494624)</f>
        <v>2.655913978</v>
      </c>
      <c r="T453" s="30">
        <f>IFERROR(__xludf.DUMMYFUNCTION("""COMPUTED_VALUE"""),343.67540848072326)</f>
        <v>343.6754085</v>
      </c>
      <c r="U453" s="30">
        <f>IFERROR(__xludf.DUMMYFUNCTION("""COMPUTED_VALUE"""),0.7400022071830616)</f>
        <v>0.7400022072</v>
      </c>
      <c r="V453" s="30">
        <f>IFERROR(__xludf.DUMMYFUNCTION("""COMPUTED_VALUE"""),0.5582350893742636)</f>
        <v>0.5582350894</v>
      </c>
      <c r="W453" s="30">
        <f>IFERROR(__xludf.DUMMYFUNCTION("""COMPUTED_VALUE"""),1.361204734847017)</f>
        <v>1.361204735</v>
      </c>
      <c r="X453" s="30">
        <f>IFERROR(__xludf.DUMMYFUNCTION("""COMPUTED_VALUE"""),2.5017246454922306)</f>
        <v>2.501724645</v>
      </c>
      <c r="Y453" s="30">
        <f>IFERROR(__xludf.DUMMYFUNCTION("""COMPUTED_VALUE"""),352.06642163929024)</f>
        <v>352.0664216</v>
      </c>
      <c r="Z453" s="30">
        <f>IFERROR(__xludf.DUMMYFUNCTION("""COMPUTED_VALUE"""),0.8191130814451931)</f>
        <v>0.8191130814</v>
      </c>
      <c r="AA453" s="30">
        <f>IFERROR(__xludf.DUMMYFUNCTION("""COMPUTED_VALUE"""),0.5837999163124031)</f>
        <v>0.5837999163</v>
      </c>
      <c r="AB453" s="30">
        <f>IFERROR(__xludf.DUMMYFUNCTION("""COMPUTED_VALUE"""),1.289439172356793)</f>
        <v>1.289439172</v>
      </c>
      <c r="AC453" s="30">
        <f>IFERROR(__xludf.DUMMYFUNCTION("""COMPUTED_VALUE"""),2.6596145095716515)</f>
        <v>2.65961451</v>
      </c>
      <c r="AD453" s="30">
        <f>IFERROR(__xludf.DUMMYFUNCTION("""COMPUTED_VALUE"""),0.9573889908602866)</f>
        <v>0.9573889909</v>
      </c>
      <c r="AE453" s="30">
        <f>IFERROR(__xludf.DUMMYFUNCTION("""COMPUTED_VALUE"""),0.945160767083779)</f>
        <v>0.9451607671</v>
      </c>
      <c r="AF453" s="30">
        <f>IFERROR(__xludf.DUMMYFUNCTION("""COMPUTED_VALUE"""),1.0498515136450872)</f>
        <v>1.049851514</v>
      </c>
      <c r="AG453" s="30">
        <f>IFERROR(__xludf.DUMMYFUNCTION("""COMPUTED_VALUE"""),0.7755309606208365)</f>
        <v>0.7755309606</v>
      </c>
      <c r="AH453" s="30">
        <f>IFERROR(__xludf.DUMMYFUNCTION("""COMPUTED_VALUE"""),1.0915964685871702)</f>
        <v>1.091596469</v>
      </c>
      <c r="AI453" s="30">
        <f>IFERROR(__xludf.DUMMYFUNCTION("""COMPUTED_VALUE"""),1.036831046214702)</f>
        <v>1.036831046</v>
      </c>
      <c r="AJ453" s="30">
        <f>IFERROR(__xludf.DUMMYFUNCTION("""COMPUTED_VALUE"""),1.147918691790142)</f>
        <v>1.147918692</v>
      </c>
      <c r="AK453" s="30">
        <f>IFERROR(__xludf.DUMMYFUNCTION("""COMPUTED_VALUE"""),1.1171922472260971)</f>
        <v>1.117192247</v>
      </c>
      <c r="AL453" s="30">
        <f>IFERROR(__xludf.DUMMYFUNCTION("""COMPUTED_VALUE"""),0.9479268971174848)</f>
        <v>0.9479268971</v>
      </c>
      <c r="AM453" s="30">
        <f>IFERROR(__xludf.DUMMYFUNCTION("""COMPUTED_VALUE"""),1.0616332150223733)</f>
        <v>1.061633215</v>
      </c>
      <c r="AN453" s="30">
        <f>IFERROR(__xludf.DUMMYFUNCTION("""COMPUTED_VALUE"""),0.9944639364539951)</f>
        <v>0.9944639365</v>
      </c>
      <c r="AO453" s="30">
        <f>IFERROR(__xludf.DUMMYFUNCTION("""COMPUTED_VALUE"""),1.0538117120334225)</f>
        <v>1.053811712</v>
      </c>
      <c r="AP453" s="30">
        <f>IFERROR(__xludf.DUMMYFUNCTION("""COMPUTED_VALUE"""),1.0944233740572467)</f>
        <v>1.094423374</v>
      </c>
      <c r="AQ453" s="30">
        <f>IFERROR(__xludf.DUMMYFUNCTION("""COMPUTED_VALUE"""),0.7631052815998617)</f>
        <v>0.7631052816</v>
      </c>
      <c r="AR453" s="30">
        <f>IFERROR(__xludf.DUMMYFUNCTION("""COMPUTED_VALUE"""),1.1657923372583514)</f>
        <v>1.165792337</v>
      </c>
      <c r="AS453" s="30">
        <f>IFERROR(__xludf.DUMMYFUNCTION("""COMPUTED_VALUE"""),80.0)</f>
        <v>80</v>
      </c>
      <c r="AT453" s="30">
        <f>IFERROR(__xludf.DUMMYFUNCTION("""COMPUTED_VALUE"""),0.5050274080779966)</f>
        <v>0.5050274081</v>
      </c>
      <c r="AU453" s="30">
        <f>IFERROR(__xludf.DUMMYFUNCTION("""COMPUTED_VALUE"""),2.0956115316344412)</f>
        <v>2.095611532</v>
      </c>
      <c r="AV453" s="32">
        <f>IFERROR(__xludf.DUMMYFUNCTION("""COMPUTED_VALUE"""),53.50987772666451)</f>
        <v>53.50987773</v>
      </c>
      <c r="AW453" s="32">
        <f>IFERROR(__xludf.DUMMYFUNCTION("""COMPUTED_VALUE"""),2.2513704097791845)</f>
        <v>2.25137041</v>
      </c>
      <c r="AX453" s="32">
        <f>IFERROR(__xludf.DUMMYFUNCTION("""COMPUTED_VALUE"""),47.168167539640876)</f>
        <v>47.16816754</v>
      </c>
      <c r="AY453" s="32">
        <f>IFERROR(__xludf.DUMMYFUNCTION("""COMPUTED_VALUE"""),-2.1982517867928646)</f>
        <v>-2.198251787</v>
      </c>
      <c r="AZ453" s="30">
        <f>IFERROR(__xludf.DUMMYFUNCTION("""COMPUTED_VALUE"""),4.449622196572049)</f>
        <v>4.449622197</v>
      </c>
      <c r="BA453" s="30">
        <f>IFERROR(__xludf.DUMMYFUNCTION("""COMPUTED_VALUE"""),1700.0)</f>
        <v>1700</v>
      </c>
    </row>
    <row r="454">
      <c r="A454" s="71" t="str">
        <f>IFERROR(__xludf.DUMMYFUNCTION("""COMPUTED_VALUE"""),"Rival")</f>
        <v>Rival</v>
      </c>
      <c r="B454" s="71" t="str">
        <f>IFERROR(__xludf.DUMMYFUNCTION("""COMPUTED_VALUE"""),"RSC007799")</f>
        <v>RSC007799</v>
      </c>
      <c r="C454" s="30" t="str">
        <f>IFERROR(__xludf.DUMMYFUNCTION("""COMPUTED_VALUE"""),"DJstriker211")</f>
        <v>DJstriker211</v>
      </c>
      <c r="D454" s="30" t="str">
        <f>IFERROR(__xludf.DUMMYFUNCTION("""COMPUTED_VALUE"""),"Asiago Arsonists")</f>
        <v>Asiago Arsonists</v>
      </c>
      <c r="E454" s="30">
        <f>IFERROR(__xludf.DUMMYFUNCTION("""COMPUTED_VALUE"""),26.0)</f>
        <v>26</v>
      </c>
      <c r="F454" s="30">
        <f>IFERROR(__xludf.DUMMYFUNCTION("""COMPUTED_VALUE"""),14.0)</f>
        <v>14</v>
      </c>
      <c r="G454" s="42">
        <f>IFERROR(__xludf.DUMMYFUNCTION("""COMPUTED_VALUE"""),12.0)</f>
        <v>12</v>
      </c>
      <c r="H454" s="42">
        <f>IFERROR(__xludf.DUMMYFUNCTION("""COMPUTED_VALUE"""),0.5384615384615384)</f>
        <v>0.5384615385</v>
      </c>
      <c r="I454" s="42">
        <f>IFERROR(__xludf.DUMMYFUNCTION("""COMPUTED_VALUE"""),0.31481481481481477)</f>
        <v>0.3148148148</v>
      </c>
      <c r="J454" s="30">
        <f>IFERROR(__xludf.DUMMYFUNCTION("""COMPUTED_VALUE"""),361.84615384615387)</f>
        <v>361.8461538</v>
      </c>
      <c r="K454" s="30">
        <f>IFERROR(__xludf.DUMMYFUNCTION("""COMPUTED_VALUE"""),0.6538461538461539)</f>
        <v>0.6538461538</v>
      </c>
      <c r="L454" s="30">
        <f>IFERROR(__xludf.DUMMYFUNCTION("""COMPUTED_VALUE"""),0.7307692307692307)</f>
        <v>0.7307692308</v>
      </c>
      <c r="M454" s="30">
        <f>IFERROR(__xludf.DUMMYFUNCTION("""COMPUTED_VALUE"""),1.9230769230769231)</f>
        <v>1.923076923</v>
      </c>
      <c r="N454" s="30">
        <f>IFERROR(__xludf.DUMMYFUNCTION("""COMPUTED_VALUE"""),2.076923076923077)</f>
        <v>2.076923077</v>
      </c>
      <c r="O454" s="30">
        <f>IFERROR(__xludf.DUMMYFUNCTION("""COMPUTED_VALUE"""),352.2435897435898)</f>
        <v>352.2435897</v>
      </c>
      <c r="P454" s="30">
        <f>IFERROR(__xludf.DUMMYFUNCTION("""COMPUTED_VALUE"""),0.7564102564102563)</f>
        <v>0.7564102564</v>
      </c>
      <c r="Q454" s="30">
        <f>IFERROR(__xludf.DUMMYFUNCTION("""COMPUTED_VALUE"""),0.5384615384615385)</f>
        <v>0.5384615385</v>
      </c>
      <c r="R454" s="30">
        <f>IFERROR(__xludf.DUMMYFUNCTION("""COMPUTED_VALUE"""),1.4102564102564108)</f>
        <v>1.41025641</v>
      </c>
      <c r="S454" s="30">
        <f>IFERROR(__xludf.DUMMYFUNCTION("""COMPUTED_VALUE"""),2.705128205128205)</f>
        <v>2.705128205</v>
      </c>
      <c r="T454" s="30">
        <f>IFERROR(__xludf.DUMMYFUNCTION("""COMPUTED_VALUE"""),348.8855931296444)</f>
        <v>348.8855931</v>
      </c>
      <c r="U454" s="30">
        <f>IFERROR(__xludf.DUMMYFUNCTION("""COMPUTED_VALUE"""),0.7713436021771956)</f>
        <v>0.7713436022</v>
      </c>
      <c r="V454" s="30">
        <f>IFERROR(__xludf.DUMMYFUNCTION("""COMPUTED_VALUE"""),0.5584806727096865)</f>
        <v>0.5584806727</v>
      </c>
      <c r="W454" s="30">
        <f>IFERROR(__xludf.DUMMYFUNCTION("""COMPUTED_VALUE"""),1.3651037669580928)</f>
        <v>1.365103767</v>
      </c>
      <c r="X454" s="30">
        <f>IFERROR(__xludf.DUMMYFUNCTION("""COMPUTED_VALUE"""),2.691599297509931)</f>
        <v>2.691599298</v>
      </c>
      <c r="Y454" s="30">
        <f>IFERROR(__xludf.DUMMYFUNCTION("""COMPUTED_VALUE"""),351.88384413842334)</f>
        <v>351.8838441</v>
      </c>
      <c r="Z454" s="30">
        <f>IFERROR(__xludf.DUMMYFUNCTION("""COMPUTED_VALUE"""),0.8101457856579235)</f>
        <v>0.8101457857</v>
      </c>
      <c r="AA454" s="30">
        <f>IFERROR(__xludf.DUMMYFUNCTION("""COMPUTED_VALUE"""),0.5867200009982618)</f>
        <v>0.586720001</v>
      </c>
      <c r="AB454" s="30">
        <f>IFERROR(__xludf.DUMMYFUNCTION("""COMPUTED_VALUE"""),1.329971671501486)</f>
        <v>1.329971672</v>
      </c>
      <c r="AC454" s="30">
        <f>IFERROR(__xludf.DUMMYFUNCTION("""COMPUTED_VALUE"""),2.629049958143647)</f>
        <v>2.629049958</v>
      </c>
      <c r="AD454" s="30">
        <f>IFERROR(__xludf.DUMMYFUNCTION("""COMPUTED_VALUE"""),1.0283113586306383)</f>
        <v>1.028311359</v>
      </c>
      <c r="AE454" s="30">
        <f>IFERROR(__xludf.DUMMYFUNCTION("""COMPUTED_VALUE"""),0.8070722151756453)</f>
        <v>0.8070722152</v>
      </c>
      <c r="AF454" s="30">
        <f>IFERROR(__xludf.DUMMYFUNCTION("""COMPUTED_VALUE"""),1.2455161397700427)</f>
        <v>1.24551614</v>
      </c>
      <c r="AG454" s="30">
        <f>IFERROR(__xludf.DUMMYFUNCTION("""COMPUTED_VALUE"""),1.4459532968140927)</f>
        <v>1.445953297</v>
      </c>
      <c r="AH454" s="30">
        <f>IFERROR(__xludf.DUMMYFUNCTION("""COMPUTED_VALUE"""),0.7899899621495126)</f>
        <v>0.7899899621</v>
      </c>
      <c r="AI454" s="30">
        <f>IFERROR(__xludf.DUMMYFUNCTION("""COMPUTED_VALUE"""),1.0096249219803626)</f>
        <v>1.009624922</v>
      </c>
      <c r="AJ454" s="30">
        <f>IFERROR(__xludf.DUMMYFUNCTION("""COMPUTED_VALUE"""),0.9806398267584143)</f>
        <v>0.9806398268</v>
      </c>
      <c r="AK454" s="30">
        <f>IFERROR(__xludf.DUMMYFUNCTION("""COMPUTED_VALUE"""),0.9641542935568078)</f>
        <v>0.9641542936</v>
      </c>
      <c r="AL454" s="30">
        <f>IFERROR(__xludf.DUMMYFUNCTION("""COMPUTED_VALUE"""),1.0330763451037375)</f>
        <v>1.033076345</v>
      </c>
      <c r="AM454" s="30">
        <f>IFERROR(__xludf.DUMMYFUNCTION("""COMPUTED_VALUE"""),1.0050263453519213)</f>
        <v>1.005026345</v>
      </c>
      <c r="AN454" s="30">
        <f>IFERROR(__xludf.DUMMYFUNCTION("""COMPUTED_VALUE"""),1.0675788560514985)</f>
        <v>1.067578856</v>
      </c>
      <c r="AO454" s="30">
        <f>IFERROR(__xludf.DUMMYFUNCTION("""COMPUTED_VALUE"""),0.8899980324384835)</f>
        <v>0.8899980324</v>
      </c>
      <c r="AP454" s="30">
        <f>IFERROR(__xludf.DUMMYFUNCTION("""COMPUTED_VALUE"""),1.304889407529794)</f>
        <v>1.304889408</v>
      </c>
      <c r="AQ454" s="30">
        <f>IFERROR(__xludf.DUMMYFUNCTION("""COMPUTED_VALUE"""),1.4675101569228108)</f>
        <v>1.467510157</v>
      </c>
      <c r="AR454" s="30">
        <f>IFERROR(__xludf.DUMMYFUNCTION("""COMPUTED_VALUE"""),0.8339899028078975)</f>
        <v>0.8339899028</v>
      </c>
      <c r="AS454" s="30">
        <f>IFERROR(__xludf.DUMMYFUNCTION("""COMPUTED_VALUE"""),70.0)</f>
        <v>70</v>
      </c>
      <c r="AT454" s="30">
        <f>IFERROR(__xludf.DUMMYFUNCTION("""COMPUTED_VALUE"""),0.5672712575361818)</f>
        <v>0.5672712575</v>
      </c>
      <c r="AU454" s="30">
        <f>IFERROR(__xludf.DUMMYFUNCTION("""COMPUTED_VALUE"""),1.997385929312764)</f>
        <v>1.997385929</v>
      </c>
      <c r="AV454" s="32">
        <f>IFERROR(__xludf.DUMMYFUNCTION("""COMPUTED_VALUE"""),50.04014973702088)</f>
        <v>50.04014974</v>
      </c>
      <c r="AW454" s="32">
        <f>IFERROR(__xludf.DUMMYFUNCTION("""COMPUTED_VALUE"""),2.002566075474329)</f>
        <v>2.002566075</v>
      </c>
      <c r="AX454" s="32">
        <f>IFERROR(__xludf.DUMMYFUNCTION("""COMPUTED_VALUE"""),44.7319868877676)</f>
        <v>44.73198689</v>
      </c>
      <c r="AY454" s="32">
        <f>IFERROR(__xludf.DUMMYFUNCTION("""COMPUTED_VALUE"""),-2.4006567487199004)</f>
        <v>-2.400656749</v>
      </c>
      <c r="AZ454" s="30">
        <f>IFERROR(__xludf.DUMMYFUNCTION("""COMPUTED_VALUE"""),4.403222824194229)</f>
        <v>4.403222824</v>
      </c>
      <c r="BA454" s="30">
        <f>IFERROR(__xludf.DUMMYFUNCTION("""COMPUTED_VALUE"""),1700.0)</f>
        <v>1700</v>
      </c>
    </row>
    <row r="455">
      <c r="A455" s="71" t="str">
        <f>IFERROR(__xludf.DUMMYFUNCTION("""COMPUTED_VALUE"""),"Rival")</f>
        <v>Rival</v>
      </c>
      <c r="B455" s="71" t="str">
        <f>IFERROR(__xludf.DUMMYFUNCTION("""COMPUTED_VALUE"""),"RSC005518")</f>
        <v>RSC005518</v>
      </c>
      <c r="C455" s="30" t="str">
        <f>IFERROR(__xludf.DUMMYFUNCTION("""COMPUTED_VALUE"""),"BigDaddyDeVito")</f>
        <v>BigDaddyDeVito</v>
      </c>
      <c r="D455" s="30" t="str">
        <f>IFERROR(__xludf.DUMMYFUNCTION("""COMPUTED_VALUE"""),"Jetstream")</f>
        <v>Jetstream</v>
      </c>
      <c r="E455" s="30">
        <f>IFERROR(__xludf.DUMMYFUNCTION("""COMPUTED_VALUE"""),28.0)</f>
        <v>28</v>
      </c>
      <c r="F455" s="30">
        <f>IFERROR(__xludf.DUMMYFUNCTION("""COMPUTED_VALUE"""),13.0)</f>
        <v>13</v>
      </c>
      <c r="G455" s="42">
        <f>IFERROR(__xludf.DUMMYFUNCTION("""COMPUTED_VALUE"""),15.0)</f>
        <v>15</v>
      </c>
      <c r="H455" s="42">
        <f>IFERROR(__xludf.DUMMYFUNCTION("""COMPUTED_VALUE"""),0.4642857142857143)</f>
        <v>0.4642857143</v>
      </c>
      <c r="I455" s="42">
        <f>IFERROR(__xludf.DUMMYFUNCTION("""COMPUTED_VALUE"""),0.3186813186813187)</f>
        <v>0.3186813187</v>
      </c>
      <c r="J455" s="30">
        <f>IFERROR(__xludf.DUMMYFUNCTION("""COMPUTED_VALUE"""),422.10714285714283)</f>
        <v>422.1071429</v>
      </c>
      <c r="K455" s="30">
        <f>IFERROR(__xludf.DUMMYFUNCTION("""COMPUTED_VALUE"""),1.0357142857142858)</f>
        <v>1.035714286</v>
      </c>
      <c r="L455" s="30">
        <f>IFERROR(__xludf.DUMMYFUNCTION("""COMPUTED_VALUE"""),0.6071428571428571)</f>
        <v>0.6071428571</v>
      </c>
      <c r="M455" s="30">
        <f>IFERROR(__xludf.DUMMYFUNCTION("""COMPUTED_VALUE"""),1.6071428571428572)</f>
        <v>1.607142857</v>
      </c>
      <c r="N455" s="30">
        <f>IFERROR(__xludf.DUMMYFUNCTION("""COMPUTED_VALUE"""),3.25)</f>
        <v>3.25</v>
      </c>
      <c r="O455" s="30">
        <f>IFERROR(__xludf.DUMMYFUNCTION("""COMPUTED_VALUE"""),345.65476190476187)</f>
        <v>345.6547619</v>
      </c>
      <c r="P455" s="30">
        <f>IFERROR(__xludf.DUMMYFUNCTION("""COMPUTED_VALUE"""),0.7142857142857143)</f>
        <v>0.7142857143</v>
      </c>
      <c r="Q455" s="30">
        <f>IFERROR(__xludf.DUMMYFUNCTION("""COMPUTED_VALUE"""),0.5357142857142857)</f>
        <v>0.5357142857</v>
      </c>
      <c r="R455" s="30">
        <f>IFERROR(__xludf.DUMMYFUNCTION("""COMPUTED_VALUE"""),1.2738095238095237)</f>
        <v>1.273809524</v>
      </c>
      <c r="S455" s="30">
        <f>IFERROR(__xludf.DUMMYFUNCTION("""COMPUTED_VALUE"""),2.654761904761905)</f>
        <v>2.654761905</v>
      </c>
      <c r="T455" s="30">
        <f>IFERROR(__xludf.DUMMYFUNCTION("""COMPUTED_VALUE"""),352.3573788553327)</f>
        <v>352.3573789</v>
      </c>
      <c r="U455" s="30">
        <f>IFERROR(__xludf.DUMMYFUNCTION("""COMPUTED_VALUE"""),0.8081644712719392)</f>
        <v>0.8081644713</v>
      </c>
      <c r="V455" s="30">
        <f>IFERROR(__xludf.DUMMYFUNCTION("""COMPUTED_VALUE"""),0.5514919128436948)</f>
        <v>0.5514919128</v>
      </c>
      <c r="W455" s="30">
        <f>IFERROR(__xludf.DUMMYFUNCTION("""COMPUTED_VALUE"""),1.2979569474302768)</f>
        <v>1.297956947</v>
      </c>
      <c r="X455" s="30">
        <f>IFERROR(__xludf.DUMMYFUNCTION("""COMPUTED_VALUE"""),2.6401712576776957)</f>
        <v>2.640171258</v>
      </c>
      <c r="Y455" s="30">
        <f>IFERROR(__xludf.DUMMYFUNCTION("""COMPUTED_VALUE"""),352.4300813957952)</f>
        <v>352.4300814</v>
      </c>
      <c r="Z455" s="30">
        <f>IFERROR(__xludf.DUMMYFUNCTION("""COMPUTED_VALUE"""),0.8240374880643558)</f>
        <v>0.8240374881</v>
      </c>
      <c r="AA455" s="30">
        <f>IFERROR(__xludf.DUMMYFUNCTION("""COMPUTED_VALUE"""),0.5962878017219052)</f>
        <v>0.5962878017</v>
      </c>
      <c r="AB455" s="30">
        <f>IFERROR(__xludf.DUMMYFUNCTION("""COMPUTED_VALUE"""),1.3006755403413064)</f>
        <v>1.30067554</v>
      </c>
      <c r="AC455" s="30">
        <f>IFERROR(__xludf.DUMMYFUNCTION("""COMPUTED_VALUE"""),2.6745768046942238)</f>
        <v>2.674576805</v>
      </c>
      <c r="AD455" s="30">
        <f>IFERROR(__xludf.DUMMYFUNCTION("""COMPUTED_VALUE"""),1.19770463742877)</f>
        <v>1.197704637</v>
      </c>
      <c r="AE455" s="30">
        <f>IFERROR(__xludf.DUMMYFUNCTION("""COMPUTED_VALUE"""),1.256877630831036)</f>
        <v>1.256877631</v>
      </c>
      <c r="AF455" s="30">
        <f>IFERROR(__xludf.DUMMYFUNCTION("""COMPUTED_VALUE"""),1.0182043895407649)</f>
        <v>1.01820439</v>
      </c>
      <c r="AG455" s="30">
        <f>IFERROR(__xludf.DUMMYFUNCTION("""COMPUTED_VALUE"""),1.2356216499013517)</f>
        <v>1.23562165</v>
      </c>
      <c r="AH455" s="30">
        <f>IFERROR(__xludf.DUMMYFUNCTION("""COMPUTED_VALUE"""),1.215145511729495)</f>
        <v>1.215145512</v>
      </c>
      <c r="AI455" s="30">
        <f>IFERROR(__xludf.DUMMYFUNCTION("""COMPUTED_VALUE"""),0.9809777874601494)</f>
        <v>0.9809777875</v>
      </c>
      <c r="AJ455" s="30">
        <f>IFERROR(__xludf.DUMMYFUNCTION("""COMPUTED_VALUE"""),0.8838370649498205)</f>
        <v>0.8838370649</v>
      </c>
      <c r="AK455" s="30">
        <f>IFERROR(__xludf.DUMMYFUNCTION("""COMPUTED_VALUE"""),0.9713910090756293)</f>
        <v>0.9713910091</v>
      </c>
      <c r="AL455" s="30">
        <f>IFERROR(__xludf.DUMMYFUNCTION("""COMPUTED_VALUE"""),0.9813958208178163)</f>
        <v>0.9813958208</v>
      </c>
      <c r="AM455" s="30">
        <f>IFERROR(__xludf.DUMMYFUNCTION("""COMPUTED_VALUE"""),1.0055264017596508)</f>
        <v>1.005526402</v>
      </c>
      <c r="AN455" s="30">
        <f>IFERROR(__xludf.DUMMYFUNCTION("""COMPUTED_VALUE"""),1.2453708735403346)</f>
        <v>1.245370874</v>
      </c>
      <c r="AO455" s="30">
        <f>IFERROR(__xludf.DUMMYFUNCTION("""COMPUTED_VALUE"""),1.4097867992828081)</f>
        <v>1.409786799</v>
      </c>
      <c r="AP455" s="30">
        <f>IFERROR(__xludf.DUMMYFUNCTION("""COMPUTED_VALUE"""),1.084137440090543)</f>
        <v>1.08413744</v>
      </c>
      <c r="AQ455" s="30">
        <f>IFERROR(__xludf.DUMMYFUNCTION("""COMPUTED_VALUE"""),1.2264192025712062)</f>
        <v>1.226419203</v>
      </c>
      <c r="AR455" s="30">
        <f>IFERROR(__xludf.DUMMYFUNCTION("""COMPUTED_VALUE"""),1.3050397553197655)</f>
        <v>1.305039755</v>
      </c>
      <c r="AS455" s="30">
        <f>IFERROR(__xludf.DUMMYFUNCTION("""COMPUTED_VALUE"""),71.0)</f>
        <v>71</v>
      </c>
      <c r="AT455" s="30">
        <f>IFERROR(__xludf.DUMMYFUNCTION("""COMPUTED_VALUE"""),0.5651570046770394)</f>
        <v>0.5651570047</v>
      </c>
      <c r="AU455" s="30">
        <f>IFERROR(__xludf.DUMMYFUNCTION("""COMPUTED_VALUE"""),2.869636419607071)</f>
        <v>2.86963642</v>
      </c>
      <c r="AV455" s="32">
        <f>IFERROR(__xludf.DUMMYFUNCTION("""COMPUTED_VALUE"""),80.85158655817875)</f>
        <v>80.85158656</v>
      </c>
      <c r="AW455" s="32">
        <f>IFERROR(__xludf.DUMMYFUNCTION("""COMPUTED_VALUE"""),9.208982596942297)</f>
        <v>9.208982597</v>
      </c>
      <c r="AX455" s="32">
        <f>IFERROR(__xludf.DUMMYFUNCTION("""COMPUTED_VALUE"""),70.35387423763612)</f>
        <v>70.35387424</v>
      </c>
      <c r="AY455" s="32">
        <f>IFERROR(__xludf.DUMMYFUNCTION("""COMPUTED_VALUE"""),4.812827009254743)</f>
        <v>4.812827009</v>
      </c>
      <c r="AZ455" s="30">
        <f>IFERROR(__xludf.DUMMYFUNCTION("""COMPUTED_VALUE"""),4.396155587687554)</f>
        <v>4.396155588</v>
      </c>
      <c r="BA455" s="30">
        <f>IFERROR(__xludf.DUMMYFUNCTION("""COMPUTED_VALUE"""),1700.0)</f>
        <v>1700</v>
      </c>
    </row>
    <row r="456">
      <c r="A456" s="71" t="str">
        <f>IFERROR(__xludf.DUMMYFUNCTION("""COMPUTED_VALUE"""),"Rival")</f>
        <v>Rival</v>
      </c>
      <c r="B456" s="71" t="str">
        <f>IFERROR(__xludf.DUMMYFUNCTION("""COMPUTED_VALUE"""),"RSC000182")</f>
        <v>RSC000182</v>
      </c>
      <c r="C456" s="30" t="str">
        <f>IFERROR(__xludf.DUMMYFUNCTION("""COMPUTED_VALUE"""),"Goose")</f>
        <v>Goose</v>
      </c>
      <c r="D456" s="30"/>
      <c r="E456" s="30">
        <f>IFERROR(__xludf.DUMMYFUNCTION("""COMPUTED_VALUE"""),28.0)</f>
        <v>28</v>
      </c>
      <c r="F456" s="30">
        <f>IFERROR(__xludf.DUMMYFUNCTION("""COMPUTED_VALUE"""),12.0)</f>
        <v>12</v>
      </c>
      <c r="G456" s="42">
        <f>IFERROR(__xludf.DUMMYFUNCTION("""COMPUTED_VALUE"""),16.0)</f>
        <v>16</v>
      </c>
      <c r="H456" s="42">
        <f>IFERROR(__xludf.DUMMYFUNCTION("""COMPUTED_VALUE"""),0.42857142857142855)</f>
        <v>0.4285714286</v>
      </c>
      <c r="I456" s="42">
        <f>IFERROR(__xludf.DUMMYFUNCTION("""COMPUTED_VALUE"""),0.28205128205128205)</f>
        <v>0.2820512821</v>
      </c>
      <c r="J456" s="30">
        <f>IFERROR(__xludf.DUMMYFUNCTION("""COMPUTED_VALUE"""),326.57142857142856)</f>
        <v>326.5714286</v>
      </c>
      <c r="K456" s="30">
        <f>IFERROR(__xludf.DUMMYFUNCTION("""COMPUTED_VALUE"""),0.7857142857142857)</f>
        <v>0.7857142857</v>
      </c>
      <c r="L456" s="30">
        <f>IFERROR(__xludf.DUMMYFUNCTION("""COMPUTED_VALUE"""),0.5357142857142857)</f>
        <v>0.5357142857</v>
      </c>
      <c r="M456" s="30">
        <f>IFERROR(__xludf.DUMMYFUNCTION("""COMPUTED_VALUE"""),1.0714285714285714)</f>
        <v>1.071428571</v>
      </c>
      <c r="N456" s="30">
        <f>IFERROR(__xludf.DUMMYFUNCTION("""COMPUTED_VALUE"""),2.7857142857142856)</f>
        <v>2.785714286</v>
      </c>
      <c r="O456" s="30">
        <f>IFERROR(__xludf.DUMMYFUNCTION("""COMPUTED_VALUE"""),360.38095238095235)</f>
        <v>360.3809524</v>
      </c>
      <c r="P456" s="30">
        <f>IFERROR(__xludf.DUMMYFUNCTION("""COMPUTED_VALUE"""),0.8928571428571427)</f>
        <v>0.8928571429</v>
      </c>
      <c r="Q456" s="30">
        <f>IFERROR(__xludf.DUMMYFUNCTION("""COMPUTED_VALUE"""),0.5833333333333333)</f>
        <v>0.5833333333</v>
      </c>
      <c r="R456" s="30">
        <f>IFERROR(__xludf.DUMMYFUNCTION("""COMPUTED_VALUE"""),1.3214285714285714)</f>
        <v>1.321428571</v>
      </c>
      <c r="S456" s="30">
        <f>IFERROR(__xludf.DUMMYFUNCTION("""COMPUTED_VALUE"""),2.55952380952381)</f>
        <v>2.55952381</v>
      </c>
      <c r="T456" s="30">
        <f>IFERROR(__xludf.DUMMYFUNCTION("""COMPUTED_VALUE"""),348.269205963673)</f>
        <v>348.269206</v>
      </c>
      <c r="U456" s="30">
        <f>IFERROR(__xludf.DUMMYFUNCTION("""COMPUTED_VALUE"""),0.7758653209428348)</f>
        <v>0.7758653209</v>
      </c>
      <c r="V456" s="30">
        <f>IFERROR(__xludf.DUMMYFUNCTION("""COMPUTED_VALUE"""),0.5903652380090366)</f>
        <v>0.590365238</v>
      </c>
      <c r="W456" s="30">
        <f>IFERROR(__xludf.DUMMYFUNCTION("""COMPUTED_VALUE"""),1.369793118798842)</f>
        <v>1.369793119</v>
      </c>
      <c r="X456" s="30">
        <f>IFERROR(__xludf.DUMMYFUNCTION("""COMPUTED_VALUE"""),2.5792201806907693)</f>
        <v>2.579220181</v>
      </c>
      <c r="Y456" s="30">
        <f>IFERROR(__xludf.DUMMYFUNCTION("""COMPUTED_VALUE"""),343.2349592524361)</f>
        <v>343.2349593</v>
      </c>
      <c r="Z456" s="30">
        <f>IFERROR(__xludf.DUMMYFUNCTION("""COMPUTED_VALUE"""),0.7657948883408896)</f>
        <v>0.7657948883</v>
      </c>
      <c r="AA456" s="30">
        <f>IFERROR(__xludf.DUMMYFUNCTION("""COMPUTED_VALUE"""),0.5699594215549735)</f>
        <v>0.5699594216</v>
      </c>
      <c r="AB456" s="30">
        <f>IFERROR(__xludf.DUMMYFUNCTION("""COMPUTED_VALUE"""),1.3219098085429093)</f>
        <v>1.321909809</v>
      </c>
      <c r="AC456" s="30">
        <f>IFERROR(__xludf.DUMMYFUNCTION("""COMPUTED_VALUE"""),2.569311845007898)</f>
        <v>2.569311845</v>
      </c>
      <c r="AD456" s="30">
        <f>IFERROR(__xludf.DUMMYFUNCTION("""COMPUTED_VALUE"""),0.9514515341989037)</f>
        <v>0.9514515342</v>
      </c>
      <c r="AE456" s="30">
        <f>IFERROR(__xludf.DUMMYFUNCTION("""COMPUTED_VALUE"""),1.0260114002805005)</f>
        <v>1.0260114</v>
      </c>
      <c r="AF456" s="30">
        <f>IFERROR(__xludf.DUMMYFUNCTION("""COMPUTED_VALUE"""),0.9399165369575617)</f>
        <v>0.939916537</v>
      </c>
      <c r="AG456" s="30">
        <f>IFERROR(__xludf.DUMMYFUNCTION("""COMPUTED_VALUE"""),0.8105156376814892)</f>
        <v>0.8105156377</v>
      </c>
      <c r="AH456" s="30">
        <f>IFERROR(__xludf.DUMMYFUNCTION("""COMPUTED_VALUE"""),1.0842258370181306)</f>
        <v>1.084225837</v>
      </c>
      <c r="AI456" s="30">
        <f>IFERROR(__xludf.DUMMYFUNCTION("""COMPUTED_VALUE"""),1.0347769662372697)</f>
        <v>1.034776966</v>
      </c>
      <c r="AJ456" s="30">
        <f>IFERROR(__xludf.DUMMYFUNCTION("""COMPUTED_VALUE"""),1.150788827334284)</f>
        <v>1.150788827</v>
      </c>
      <c r="AK456" s="30">
        <f>IFERROR(__xludf.DUMMYFUNCTION("""COMPUTED_VALUE"""),0.9880888910407091)</f>
        <v>0.988088891</v>
      </c>
      <c r="AL456" s="30">
        <f>IFERROR(__xludf.DUMMYFUNCTION("""COMPUTED_VALUE"""),0.9646920788938691)</f>
        <v>0.9646920789</v>
      </c>
      <c r="AM456" s="30">
        <f>IFERROR(__xludf.DUMMYFUNCTION("""COMPUTED_VALUE"""),0.9923634394169155)</f>
        <v>0.9923634394</v>
      </c>
      <c r="AN456" s="30">
        <f>IFERROR(__xludf.DUMMYFUNCTION("""COMPUTED_VALUE"""),0.9635054799604721)</f>
        <v>0.96350548</v>
      </c>
      <c r="AO456" s="30">
        <f>IFERROR(__xludf.DUMMYFUNCTION("""COMPUTED_VALUE"""),1.069493433938682)</f>
        <v>1.069493434</v>
      </c>
      <c r="AP456" s="30">
        <f>IFERROR(__xludf.DUMMYFUNCTION("""COMPUTED_VALUE"""),0.9565918589034205)</f>
        <v>0.9565918589</v>
      </c>
      <c r="AQ456" s="30">
        <f>IFERROR(__xludf.DUMMYFUNCTION("""COMPUTED_VALUE"""),0.8176128017141374)</f>
        <v>0.8176128017</v>
      </c>
      <c r="AR456" s="30">
        <f>IFERROR(__xludf.DUMMYFUNCTION("""COMPUTED_VALUE"""),1.118605504559799)</f>
        <v>1.118605505</v>
      </c>
      <c r="AS456" s="30">
        <f>IFERROR(__xludf.DUMMYFUNCTION("""COMPUTED_VALUE"""),58.0)</f>
        <v>58</v>
      </c>
      <c r="AT456" s="30">
        <f>IFERROR(__xludf.DUMMYFUNCTION("""COMPUTED_VALUE"""),0.40083316999733115)</f>
        <v>0.40083317</v>
      </c>
      <c r="AU456" s="30">
        <f>IFERROR(__xludf.DUMMYFUNCTION("""COMPUTED_VALUE"""),2.077617937315505)</f>
        <v>2.077617937</v>
      </c>
      <c r="AV456" s="32">
        <f>IFERROR(__xludf.DUMMYFUNCTION("""COMPUTED_VALUE"""),52.87427075285084)</f>
        <v>52.87427075</v>
      </c>
      <c r="AW456" s="32">
        <f>IFERROR(__xludf.DUMMYFUNCTION("""COMPUTED_VALUE"""),2.201507885001612)</f>
        <v>2.201507885</v>
      </c>
      <c r="AX456" s="32">
        <f>IFERROR(__xludf.DUMMYFUNCTION("""COMPUTED_VALUE"""),47.29300231007005)</f>
        <v>47.29300231</v>
      </c>
      <c r="AY456" s="32">
        <f>IFERROR(__xludf.DUMMYFUNCTION("""COMPUTED_VALUE"""),-2.188725815665058)</f>
        <v>-2.188725816</v>
      </c>
      <c r="AZ456" s="30">
        <f>IFERROR(__xludf.DUMMYFUNCTION("""COMPUTED_VALUE"""),4.39023370066667)</f>
        <v>4.390233701</v>
      </c>
      <c r="BA456" s="30">
        <f>IFERROR(__xludf.DUMMYFUNCTION("""COMPUTED_VALUE"""),1700.0)</f>
        <v>1700</v>
      </c>
    </row>
    <row r="457">
      <c r="A457" s="71" t="str">
        <f>IFERROR(__xludf.DUMMYFUNCTION("""COMPUTED_VALUE"""),"Rival")</f>
        <v>Rival</v>
      </c>
      <c r="B457" s="71" t="str">
        <f>IFERROR(__xludf.DUMMYFUNCTION("""COMPUTED_VALUE"""),"RSC002330")</f>
        <v>RSC002330</v>
      </c>
      <c r="C457" s="30" t="str">
        <f>IFERROR(__xludf.DUMMYFUNCTION("""COMPUTED_VALUE"""),"JesterGG")</f>
        <v>JesterGG</v>
      </c>
      <c r="D457" s="30"/>
      <c r="E457" s="30">
        <f>IFERROR(__xludf.DUMMYFUNCTION("""COMPUTED_VALUE"""),18.0)</f>
        <v>18</v>
      </c>
      <c r="F457" s="30">
        <f>IFERROR(__xludf.DUMMYFUNCTION("""COMPUTED_VALUE"""),5.0)</f>
        <v>5</v>
      </c>
      <c r="G457" s="42">
        <f>IFERROR(__xludf.DUMMYFUNCTION("""COMPUTED_VALUE"""),13.0)</f>
        <v>13</v>
      </c>
      <c r="H457" s="42">
        <f>IFERROR(__xludf.DUMMYFUNCTION("""COMPUTED_VALUE"""),0.2777777777777778)</f>
        <v>0.2777777778</v>
      </c>
      <c r="I457" s="42">
        <f>IFERROR(__xludf.DUMMYFUNCTION("""COMPUTED_VALUE"""),0.2068965517241379)</f>
        <v>0.2068965517</v>
      </c>
      <c r="J457" s="30">
        <f>IFERROR(__xludf.DUMMYFUNCTION("""COMPUTED_VALUE"""),345.8888888888889)</f>
        <v>345.8888889</v>
      </c>
      <c r="K457" s="30">
        <f>IFERROR(__xludf.DUMMYFUNCTION("""COMPUTED_VALUE"""),0.6666666666666666)</f>
        <v>0.6666666667</v>
      </c>
      <c r="L457" s="30">
        <f>IFERROR(__xludf.DUMMYFUNCTION("""COMPUTED_VALUE"""),0.5555555555555556)</f>
        <v>0.5555555556</v>
      </c>
      <c r="M457" s="30">
        <f>IFERROR(__xludf.DUMMYFUNCTION("""COMPUTED_VALUE"""),1.3888888888888888)</f>
        <v>1.388888889</v>
      </c>
      <c r="N457" s="30">
        <f>IFERROR(__xludf.DUMMYFUNCTION("""COMPUTED_VALUE"""),3.2222222222222223)</f>
        <v>3.222222222</v>
      </c>
      <c r="O457" s="30">
        <f>IFERROR(__xludf.DUMMYFUNCTION("""COMPUTED_VALUE"""),395.7592592592593)</f>
        <v>395.7592593</v>
      </c>
      <c r="P457" s="30">
        <f>IFERROR(__xludf.DUMMYFUNCTION("""COMPUTED_VALUE"""),1.0185185185185184)</f>
        <v>1.018518519</v>
      </c>
      <c r="Q457" s="30">
        <f>IFERROR(__xludf.DUMMYFUNCTION("""COMPUTED_VALUE"""),0.7037037037037037)</f>
        <v>0.7037037037</v>
      </c>
      <c r="R457" s="30">
        <f>IFERROR(__xludf.DUMMYFUNCTION("""COMPUTED_VALUE"""),1.4259259259259258)</f>
        <v>1.425925926</v>
      </c>
      <c r="S457" s="30">
        <f>IFERROR(__xludf.DUMMYFUNCTION("""COMPUTED_VALUE"""),2.8703703703703702)</f>
        <v>2.87037037</v>
      </c>
      <c r="T457" s="30">
        <f>IFERROR(__xludf.DUMMYFUNCTION("""COMPUTED_VALUE"""),353.445982349325)</f>
        <v>353.4459823</v>
      </c>
      <c r="U457" s="30">
        <f>IFERROR(__xludf.DUMMYFUNCTION("""COMPUTED_VALUE"""),0.8208126700280746)</f>
        <v>0.82081267</v>
      </c>
      <c r="V457" s="30">
        <f>IFERROR(__xludf.DUMMYFUNCTION("""COMPUTED_VALUE"""),0.5954421931898268)</f>
        <v>0.5954421932</v>
      </c>
      <c r="W457" s="30">
        <f>IFERROR(__xludf.DUMMYFUNCTION("""COMPUTED_VALUE"""),1.2548247689150889)</f>
        <v>1.254824769</v>
      </c>
      <c r="X457" s="30">
        <f>IFERROR(__xludf.DUMMYFUNCTION("""COMPUTED_VALUE"""),2.6897144062979645)</f>
        <v>2.689714406</v>
      </c>
      <c r="Y457" s="30">
        <f>IFERROR(__xludf.DUMMYFUNCTION("""COMPUTED_VALUE"""),335.77385252078653)</f>
        <v>335.7738525</v>
      </c>
      <c r="Z457" s="30">
        <f>IFERROR(__xludf.DUMMYFUNCTION("""COMPUTED_VALUE"""),0.7115260143657708)</f>
        <v>0.7115260144</v>
      </c>
      <c r="AA457" s="30">
        <f>IFERROR(__xludf.DUMMYFUNCTION("""COMPUTED_VALUE"""),0.513232202216407)</f>
        <v>0.5132322022</v>
      </c>
      <c r="AB457" s="30">
        <f>IFERROR(__xludf.DUMMYFUNCTION("""COMPUTED_VALUE"""),1.3425491096792088)</f>
        <v>1.34254911</v>
      </c>
      <c r="AC457" s="30">
        <f>IFERROR(__xludf.DUMMYFUNCTION("""COMPUTED_VALUE"""),2.4500360478301655)</f>
        <v>2.450036048</v>
      </c>
      <c r="AD457" s="30">
        <f>IFERROR(__xludf.DUMMYFUNCTION("""COMPUTED_VALUE"""),1.0301245504739718)</f>
        <v>1.03012455</v>
      </c>
      <c r="AE457" s="30">
        <f>IFERROR(__xludf.DUMMYFUNCTION("""COMPUTED_VALUE"""),0.9369533273648607)</f>
        <v>0.9369533274</v>
      </c>
      <c r="AF457" s="30">
        <f>IFERROR(__xludf.DUMMYFUNCTION("""COMPUTED_VALUE"""),1.082464337109741)</f>
        <v>1.082464337</v>
      </c>
      <c r="AG457" s="30">
        <f>IFERROR(__xludf.DUMMYFUNCTION("""COMPUTED_VALUE"""),1.0345162637817789)</f>
        <v>1.034516264</v>
      </c>
      <c r="AH457" s="30">
        <f>IFERROR(__xludf.DUMMYFUNCTION("""COMPUTED_VALUE"""),1.3151733930918816)</f>
        <v>1.315173393</v>
      </c>
      <c r="AI457" s="30">
        <f>IFERROR(__xludf.DUMMYFUNCTION("""COMPUTED_VALUE"""),1.1197163895559983)</f>
        <v>1.11971639</v>
      </c>
      <c r="AJ457" s="30">
        <f>IFERROR(__xludf.DUMMYFUNCTION("""COMPUTED_VALUE"""),1.2408659803992568)</f>
        <v>1.24086598</v>
      </c>
      <c r="AK457" s="30">
        <f>IFERROR(__xludf.DUMMYFUNCTION("""COMPUTED_VALUE"""),1.1818169954230353)</f>
        <v>1.181816995</v>
      </c>
      <c r="AL457" s="30">
        <f>IFERROR(__xludf.DUMMYFUNCTION("""COMPUTED_VALUE"""),1.136354621975441)</f>
        <v>1.136354622</v>
      </c>
      <c r="AM457" s="30">
        <f>IFERROR(__xludf.DUMMYFUNCTION("""COMPUTED_VALUE"""),1.067165481825654)</f>
        <v>1.067165482</v>
      </c>
      <c r="AN457" s="30">
        <f>IFERROR(__xludf.DUMMYFUNCTION("""COMPUTED_VALUE"""),1.0204990723154783)</f>
        <v>1.020499072</v>
      </c>
      <c r="AO457" s="30">
        <f>IFERROR(__xludf.DUMMYFUNCTION("""COMPUTED_VALUE"""),0.9074489742510028)</f>
        <v>0.9074489743</v>
      </c>
      <c r="AP457" s="30">
        <f>IFERROR(__xludf.DUMMYFUNCTION("""COMPUTED_VALUE"""),0.9920211870109547)</f>
        <v>0.992021187</v>
      </c>
      <c r="AQ457" s="30">
        <f>IFERROR(__xludf.DUMMYFUNCTION("""COMPUTED_VALUE"""),1.0598684466664745)</f>
        <v>1.059868447</v>
      </c>
      <c r="AR457" s="30">
        <f>IFERROR(__xludf.DUMMYFUNCTION("""COMPUTED_VALUE"""),1.2938855693768616)</f>
        <v>1.293885569</v>
      </c>
      <c r="AS457" s="30">
        <f>IFERROR(__xludf.DUMMYFUNCTION("""COMPUTED_VALUE"""),39.0)</f>
        <v>39</v>
      </c>
      <c r="AT457" s="30">
        <f>IFERROR(__xludf.DUMMYFUNCTION("""COMPUTED_VALUE"""),0.36529575681580695)</f>
        <v>0.3652957568</v>
      </c>
      <c r="AU457" s="30">
        <f>IFERROR(__xludf.DUMMYFUNCTION("""COMPUTED_VALUE"""),2.091456821827838)</f>
        <v>2.091456822</v>
      </c>
      <c r="AV457" s="32">
        <f>IFERROR(__xludf.DUMMYFUNCTION("""COMPUTED_VALUE"""),53.3631164692725)</f>
        <v>53.36311647</v>
      </c>
      <c r="AW457" s="32">
        <f>IFERROR(__xludf.DUMMYFUNCTION("""COMPUTED_VALUE"""),2.2396724724482815)</f>
        <v>2.239672472</v>
      </c>
      <c r="AX457" s="32">
        <f>IFERROR(__xludf.DUMMYFUNCTION("""COMPUTED_VALUE"""),48.19630489042363)</f>
        <v>48.19630489</v>
      </c>
      <c r="AY457" s="32">
        <f>IFERROR(__xludf.DUMMYFUNCTION("""COMPUTED_VALUE"""),-2.1220513023237344)</f>
        <v>-2.122051302</v>
      </c>
      <c r="AZ457" s="30">
        <f>IFERROR(__xludf.DUMMYFUNCTION("""COMPUTED_VALUE"""),4.361723774772016)</f>
        <v>4.361723775</v>
      </c>
      <c r="BA457" s="30">
        <f>IFERROR(__xludf.DUMMYFUNCTION("""COMPUTED_VALUE"""),1700.0)</f>
        <v>1700</v>
      </c>
    </row>
    <row r="458">
      <c r="A458" s="71" t="str">
        <f>IFERROR(__xludf.DUMMYFUNCTION("""COMPUTED_VALUE"""),"Rival")</f>
        <v>Rival</v>
      </c>
      <c r="B458" s="71" t="str">
        <f>IFERROR(__xludf.DUMMYFUNCTION("""COMPUTED_VALUE"""),"RSC007930")</f>
        <v>RSC007930</v>
      </c>
      <c r="C458" s="30" t="str">
        <f>IFERROR(__xludf.DUMMYFUNCTION("""COMPUTED_VALUE"""),"Ziffy")</f>
        <v>Ziffy</v>
      </c>
      <c r="D458" s="30" t="str">
        <f>IFERROR(__xludf.DUMMYFUNCTION("""COMPUTED_VALUE"""),"50 Cent")</f>
        <v>50 Cent</v>
      </c>
      <c r="E458" s="30">
        <f>IFERROR(__xludf.DUMMYFUNCTION("""COMPUTED_VALUE"""),26.0)</f>
        <v>26</v>
      </c>
      <c r="F458" s="30">
        <f>IFERROR(__xludf.DUMMYFUNCTION("""COMPUTED_VALUE"""),16.0)</f>
        <v>16</v>
      </c>
      <c r="G458" s="42">
        <f>IFERROR(__xludf.DUMMYFUNCTION("""COMPUTED_VALUE"""),10.0)</f>
        <v>10</v>
      </c>
      <c r="H458" s="42">
        <f>IFERROR(__xludf.DUMMYFUNCTION("""COMPUTED_VALUE"""),0.6153846153846154)</f>
        <v>0.6153846154</v>
      </c>
      <c r="I458" s="42">
        <f>IFERROR(__xludf.DUMMYFUNCTION("""COMPUTED_VALUE"""),0.2875)</f>
        <v>0.2875</v>
      </c>
      <c r="J458" s="30">
        <f>IFERROR(__xludf.DUMMYFUNCTION("""COMPUTED_VALUE"""),355.65384615384613)</f>
        <v>355.6538462</v>
      </c>
      <c r="K458" s="30">
        <f>IFERROR(__xludf.DUMMYFUNCTION("""COMPUTED_VALUE"""),0.8846153846153846)</f>
        <v>0.8846153846</v>
      </c>
      <c r="L458" s="30">
        <f>IFERROR(__xludf.DUMMYFUNCTION("""COMPUTED_VALUE"""),0.8846153846153846)</f>
        <v>0.8846153846</v>
      </c>
      <c r="M458" s="30">
        <f>IFERROR(__xludf.DUMMYFUNCTION("""COMPUTED_VALUE"""),1.1153846153846154)</f>
        <v>1.115384615</v>
      </c>
      <c r="N458" s="30">
        <f>IFERROR(__xludf.DUMMYFUNCTION("""COMPUTED_VALUE"""),3.076923076923077)</f>
        <v>3.076923077</v>
      </c>
      <c r="O458" s="30">
        <f>IFERROR(__xludf.DUMMYFUNCTION("""COMPUTED_VALUE"""),344.8076923076924)</f>
        <v>344.8076923</v>
      </c>
      <c r="P458" s="30">
        <f>IFERROR(__xludf.DUMMYFUNCTION("""COMPUTED_VALUE"""),0.8717948717948717)</f>
        <v>0.8717948718</v>
      </c>
      <c r="Q458" s="30">
        <f>IFERROR(__xludf.DUMMYFUNCTION("""COMPUTED_VALUE"""),0.435897435897436)</f>
        <v>0.4358974359</v>
      </c>
      <c r="R458" s="30">
        <f>IFERROR(__xludf.DUMMYFUNCTION("""COMPUTED_VALUE"""),1.4230769230769231)</f>
        <v>1.423076923</v>
      </c>
      <c r="S458" s="30">
        <f>IFERROR(__xludf.DUMMYFUNCTION("""COMPUTED_VALUE"""),2.5)</f>
        <v>2.5</v>
      </c>
      <c r="T458" s="30">
        <f>IFERROR(__xludf.DUMMYFUNCTION("""COMPUTED_VALUE"""),345.9677016759161)</f>
        <v>345.9677017</v>
      </c>
      <c r="U458" s="30">
        <f>IFERROR(__xludf.DUMMYFUNCTION("""COMPUTED_VALUE"""),0.8183489928405696)</f>
        <v>0.8183489928</v>
      </c>
      <c r="V458" s="30">
        <f>IFERROR(__xludf.DUMMYFUNCTION("""COMPUTED_VALUE"""),0.5217800511837121)</f>
        <v>0.5217800512</v>
      </c>
      <c r="W458" s="30">
        <f>IFERROR(__xludf.DUMMYFUNCTION("""COMPUTED_VALUE"""),1.3333114459127047)</f>
        <v>1.333311446</v>
      </c>
      <c r="X458" s="30">
        <f>IFERROR(__xludf.DUMMYFUNCTION("""COMPUTED_VALUE"""),2.62594969718258)</f>
        <v>2.625949697</v>
      </c>
      <c r="Y458" s="30">
        <f>IFERROR(__xludf.DUMMYFUNCTION("""COMPUTED_VALUE"""),353.05287716519825)</f>
        <v>353.0528772</v>
      </c>
      <c r="Z458" s="30">
        <f>IFERROR(__xludf.DUMMYFUNCTION("""COMPUTED_VALUE"""),0.8353564727421641)</f>
        <v>0.8353564727</v>
      </c>
      <c r="AA458" s="30">
        <f>IFERROR(__xludf.DUMMYFUNCTION("""COMPUTED_VALUE"""),0.6219068670654242)</f>
        <v>0.6219068671</v>
      </c>
      <c r="AB458" s="30">
        <f>IFERROR(__xludf.DUMMYFUNCTION("""COMPUTED_VALUE"""),1.3069928011705032)</f>
        <v>1.306992801</v>
      </c>
      <c r="AC458" s="30">
        <f>IFERROR(__xludf.DUMMYFUNCTION("""COMPUTED_VALUE"""),2.6683457257805117)</f>
        <v>2.668345726</v>
      </c>
      <c r="AD458" s="30">
        <f>IFERROR(__xludf.DUMMYFUNCTION("""COMPUTED_VALUE"""),1.0073670805617903)</f>
        <v>1.007367081</v>
      </c>
      <c r="AE458" s="30">
        <f>IFERROR(__xludf.DUMMYFUNCTION("""COMPUTED_VALUE"""),1.0589675347956806)</f>
        <v>1.058967535</v>
      </c>
      <c r="AF458" s="30">
        <f>IFERROR(__xludf.DUMMYFUNCTION("""COMPUTED_VALUE"""),1.4224242108623053)</f>
        <v>1.422424211</v>
      </c>
      <c r="AG458" s="30">
        <f>IFERROR(__xludf.DUMMYFUNCTION("""COMPUTED_VALUE"""),0.8533976731820639)</f>
        <v>0.8533976732</v>
      </c>
      <c r="AH458" s="30">
        <f>IFERROR(__xludf.DUMMYFUNCTION("""COMPUTED_VALUE"""),1.1531200950443006)</f>
        <v>1.153120095</v>
      </c>
      <c r="AI458" s="30">
        <f>IFERROR(__xludf.DUMMYFUNCTION("""COMPUTED_VALUE"""),0.9966470587785956)</f>
        <v>0.9966470588</v>
      </c>
      <c r="AJ458" s="30">
        <f>IFERROR(__xludf.DUMMYFUNCTION("""COMPUTED_VALUE"""),1.0653093966289202)</f>
        <v>1.065309397</v>
      </c>
      <c r="AK458" s="30">
        <f>IFERROR(__xludf.DUMMYFUNCTION("""COMPUTED_VALUE"""),0.8354045634909911)</f>
        <v>0.8354045635</v>
      </c>
      <c r="AL458" s="30">
        <f>IFERROR(__xludf.DUMMYFUNCTION("""COMPUTED_VALUE"""),1.0673252130546067)</f>
        <v>1.067325213</v>
      </c>
      <c r="AM458" s="30">
        <f>IFERROR(__xludf.DUMMYFUNCTION("""COMPUTED_VALUE"""),0.9520365156584251)</f>
        <v>0.9520365157</v>
      </c>
      <c r="AN458" s="30">
        <f>IFERROR(__xludf.DUMMYFUNCTION("""COMPUTED_VALUE"""),1.0493092774137123)</f>
        <v>1.049309277</v>
      </c>
      <c r="AO458" s="30">
        <f>IFERROR(__xludf.DUMMYFUNCTION("""COMPUTED_VALUE"""),1.2041149850638306)</f>
        <v>1.204114985</v>
      </c>
      <c r="AP458" s="30">
        <f>IFERROR(__xludf.DUMMYFUNCTION("""COMPUTED_VALUE"""),1.5796029670097507)</f>
        <v>1.579602967</v>
      </c>
      <c r="AQ458" s="30">
        <f>IFERROR(__xludf.DUMMYFUNCTION("""COMPUTED_VALUE"""),0.8511558910152304)</f>
        <v>0.851155891</v>
      </c>
      <c r="AR458" s="30">
        <f>IFERROR(__xludf.DUMMYFUNCTION("""COMPUTED_VALUE"""),1.2355405967524407)</f>
        <v>1.235540597</v>
      </c>
      <c r="AS458" s="30">
        <f>IFERROR(__xludf.DUMMYFUNCTION("""COMPUTED_VALUE"""),80.0)</f>
        <v>80</v>
      </c>
      <c r="AT458" s="30">
        <f>IFERROR(__xludf.DUMMYFUNCTION("""COMPUTED_VALUE"""),0.5665317050357744)</f>
        <v>0.566531705</v>
      </c>
      <c r="AU458" s="30">
        <f>IFERROR(__xludf.DUMMYFUNCTION("""COMPUTED_VALUE"""),2.7392778398463724)</f>
        <v>2.73927784</v>
      </c>
      <c r="AV458" s="32">
        <f>IFERROR(__xludf.DUMMYFUNCTION("""COMPUTED_VALUE"""),76.24679104463605)</f>
        <v>76.24679104</v>
      </c>
      <c r="AW458" s="32">
        <f>IFERROR(__xludf.DUMMYFUNCTION("""COMPUTED_VALUE"""),6.807881850720083)</f>
        <v>6.807881851</v>
      </c>
      <c r="AX458" s="32">
        <f>IFERROR(__xludf.DUMMYFUNCTION("""COMPUTED_VALUE"""),56.12801723204621)</f>
        <v>56.12801723</v>
      </c>
      <c r="AY458" s="32">
        <f>IFERROR(__xludf.DUMMYFUNCTION("""COMPUTED_VALUE"""),2.4802725822534106)</f>
        <v>2.480272582</v>
      </c>
      <c r="AZ458" s="30">
        <f>IFERROR(__xludf.DUMMYFUNCTION("""COMPUTED_VALUE"""),4.327609268466672)</f>
        <v>4.327609268</v>
      </c>
      <c r="BA458" s="30">
        <f>IFERROR(__xludf.DUMMYFUNCTION("""COMPUTED_VALUE"""),1700.0)</f>
        <v>1700</v>
      </c>
    </row>
    <row r="459">
      <c r="A459" s="71" t="str">
        <f>IFERROR(__xludf.DUMMYFUNCTION("""COMPUTED_VALUE"""),"Rival")</f>
        <v>Rival</v>
      </c>
      <c r="B459" s="71" t="str">
        <f>IFERROR(__xludf.DUMMYFUNCTION("""COMPUTED_VALUE"""),"RSC004545")</f>
        <v>RSC004545</v>
      </c>
      <c r="C459" s="30" t="str">
        <f>IFERROR(__xludf.DUMMYFUNCTION("""COMPUTED_VALUE"""),"Vires")</f>
        <v>Vires</v>
      </c>
      <c r="D459" s="30" t="str">
        <f>IFERROR(__xludf.DUMMYFUNCTION("""COMPUTED_VALUE"""),"Nightfall")</f>
        <v>Nightfall</v>
      </c>
      <c r="E459" s="30">
        <f>IFERROR(__xludf.DUMMYFUNCTION("""COMPUTED_VALUE"""),27.0)</f>
        <v>27</v>
      </c>
      <c r="F459" s="30">
        <f>IFERROR(__xludf.DUMMYFUNCTION("""COMPUTED_VALUE"""),12.0)</f>
        <v>12</v>
      </c>
      <c r="G459" s="42">
        <f>IFERROR(__xludf.DUMMYFUNCTION("""COMPUTED_VALUE"""),15.0)</f>
        <v>15</v>
      </c>
      <c r="H459" s="42">
        <f>IFERROR(__xludf.DUMMYFUNCTION("""COMPUTED_VALUE"""),0.4444444444444444)</f>
        <v>0.4444444444</v>
      </c>
      <c r="I459" s="42">
        <f>IFERROR(__xludf.DUMMYFUNCTION("""COMPUTED_VALUE"""),0.323943661971831)</f>
        <v>0.323943662</v>
      </c>
      <c r="J459" s="30">
        <f>IFERROR(__xludf.DUMMYFUNCTION("""COMPUTED_VALUE"""),314.6296296296296)</f>
        <v>314.6296296</v>
      </c>
      <c r="K459" s="30">
        <f>IFERROR(__xludf.DUMMYFUNCTION("""COMPUTED_VALUE"""),0.8518518518518519)</f>
        <v>0.8518518519</v>
      </c>
      <c r="L459" s="30">
        <f>IFERROR(__xludf.DUMMYFUNCTION("""COMPUTED_VALUE"""),0.4074074074074074)</f>
        <v>0.4074074074</v>
      </c>
      <c r="M459" s="30">
        <f>IFERROR(__xludf.DUMMYFUNCTION("""COMPUTED_VALUE"""),1.0)</f>
        <v>1</v>
      </c>
      <c r="N459" s="30">
        <f>IFERROR(__xludf.DUMMYFUNCTION("""COMPUTED_VALUE"""),2.6296296296296298)</f>
        <v>2.62962963</v>
      </c>
      <c r="O459" s="30">
        <f>IFERROR(__xludf.DUMMYFUNCTION("""COMPUTED_VALUE"""),333.30864197530866)</f>
        <v>333.308642</v>
      </c>
      <c r="P459" s="30">
        <f>IFERROR(__xludf.DUMMYFUNCTION("""COMPUTED_VALUE"""),0.7530864197530863)</f>
        <v>0.7530864198</v>
      </c>
      <c r="Q459" s="30">
        <f>IFERROR(__xludf.DUMMYFUNCTION("""COMPUTED_VALUE"""),0.5308641975308641)</f>
        <v>0.5308641975</v>
      </c>
      <c r="R459" s="30">
        <f>IFERROR(__xludf.DUMMYFUNCTION("""COMPUTED_VALUE"""),1.3703703703703707)</f>
        <v>1.37037037</v>
      </c>
      <c r="S459" s="30">
        <f>IFERROR(__xludf.DUMMYFUNCTION("""COMPUTED_VALUE"""),2.333333333333333)</f>
        <v>2.333333333</v>
      </c>
      <c r="T459" s="30">
        <f>IFERROR(__xludf.DUMMYFUNCTION("""COMPUTED_VALUE"""),347.22700072432417)</f>
        <v>347.2270007</v>
      </c>
      <c r="U459" s="30">
        <f>IFERROR(__xludf.DUMMYFUNCTION("""COMPUTED_VALUE"""),0.7774170889131801)</f>
        <v>0.7774170889</v>
      </c>
      <c r="V459" s="30">
        <f>IFERROR(__xludf.DUMMYFUNCTION("""COMPUTED_VALUE"""),0.5648176417014399)</f>
        <v>0.5648176417</v>
      </c>
      <c r="W459" s="30">
        <f>IFERROR(__xludf.DUMMYFUNCTION("""COMPUTED_VALUE"""),1.3129190061752003)</f>
        <v>1.312919006</v>
      </c>
      <c r="X459" s="30">
        <f>IFERROR(__xludf.DUMMYFUNCTION("""COMPUTED_VALUE"""),2.517488079116046)</f>
        <v>2.517488079</v>
      </c>
      <c r="Y459" s="30">
        <f>IFERROR(__xludf.DUMMYFUNCTION("""COMPUTED_VALUE"""),347.12317901030514)</f>
        <v>347.123179</v>
      </c>
      <c r="Z459" s="30">
        <f>IFERROR(__xludf.DUMMYFUNCTION("""COMPUTED_VALUE"""),0.785382612289851)</f>
        <v>0.7853826123</v>
      </c>
      <c r="AA459" s="30">
        <f>IFERROR(__xludf.DUMMYFUNCTION("""COMPUTED_VALUE"""),0.5659579738957652)</f>
        <v>0.5659579739</v>
      </c>
      <c r="AB459" s="30">
        <f>IFERROR(__xludf.DUMMYFUNCTION("""COMPUTED_VALUE"""),1.3062834366460367)</f>
        <v>1.306283437</v>
      </c>
      <c r="AC459" s="30">
        <f>IFERROR(__xludf.DUMMYFUNCTION("""COMPUTED_VALUE"""),2.5675631940585704)</f>
        <v>2.567563194</v>
      </c>
      <c r="AD459" s="30">
        <f>IFERROR(__xludf.DUMMYFUNCTION("""COMPUTED_VALUE"""),0.9063918765859457)</f>
        <v>0.9063918766</v>
      </c>
      <c r="AE459" s="30">
        <f>IFERROR(__xludf.DUMMYFUNCTION("""COMPUTED_VALUE"""),1.0846329400751618)</f>
        <v>1.08463294</v>
      </c>
      <c r="AF459" s="30">
        <f>IFERROR(__xludf.DUMMYFUNCTION("""COMPUTED_VALUE"""),0.7198545231247883)</f>
        <v>0.7198545231</v>
      </c>
      <c r="AG459" s="30">
        <f>IFERROR(__xludf.DUMMYFUNCTION("""COMPUTED_VALUE"""),0.7655306436155707)</f>
        <v>0.7655306436</v>
      </c>
      <c r="AH459" s="30">
        <f>IFERROR(__xludf.DUMMYFUNCTION("""COMPUTED_VALUE"""),1.0241732845036426)</f>
        <v>1.024173285</v>
      </c>
      <c r="AI459" s="30">
        <f>IFERROR(__xludf.DUMMYFUNCTION("""COMPUTED_VALUE"""),0.959915678446718)</f>
        <v>0.9599156784</v>
      </c>
      <c r="AJ459" s="30">
        <f>IFERROR(__xludf.DUMMYFUNCTION("""COMPUTED_VALUE"""),0.9687031974122055)</f>
        <v>0.9687031974</v>
      </c>
      <c r="AK459" s="30">
        <f>IFERROR(__xludf.DUMMYFUNCTION("""COMPUTED_VALUE"""),0.9398860062722272)</f>
        <v>0.9398860063</v>
      </c>
      <c r="AL459" s="30">
        <f>IFERROR(__xludf.DUMMYFUNCTION("""COMPUTED_VALUE"""),1.043758498372674)</f>
        <v>1.043758498</v>
      </c>
      <c r="AM459" s="30">
        <f>IFERROR(__xludf.DUMMYFUNCTION("""COMPUTED_VALUE"""),0.9268498042511588)</f>
        <v>0.9268498043</v>
      </c>
      <c r="AN459" s="30">
        <f>IFERROR(__xludf.DUMMYFUNCTION("""COMPUTED_VALUE"""),0.9282727935881773)</f>
        <v>0.9282727936</v>
      </c>
      <c r="AO459" s="30">
        <f>IFERROR(__xludf.DUMMYFUNCTION("""COMPUTED_VALUE"""),1.1595181337651703)</f>
        <v>1.159518134</v>
      </c>
      <c r="AP459" s="30">
        <f>IFERROR(__xludf.DUMMYFUNCTION("""COMPUTED_VALUE"""),0.7274822038080333)</f>
        <v>0.7274822038</v>
      </c>
      <c r="AQ459" s="30">
        <f>IFERROR(__xludf.DUMMYFUNCTION("""COMPUTED_VALUE"""),0.7631052815998617)</f>
        <v>0.7631052816</v>
      </c>
      <c r="AR459" s="30">
        <f>IFERROR(__xludf.DUMMYFUNCTION("""COMPUTED_VALUE"""),1.05592960259491)</f>
        <v>1.055929603</v>
      </c>
      <c r="AS459" s="30">
        <f>IFERROR(__xludf.DUMMYFUNCTION("""COMPUTED_VALUE"""),56.0)</f>
        <v>56</v>
      </c>
      <c r="AT459" s="30">
        <f>IFERROR(__xludf.DUMMYFUNCTION("""COMPUTED_VALUE"""),0.46747830995931205)</f>
        <v>0.46747831</v>
      </c>
      <c r="AU459" s="30">
        <f>IFERROR(__xludf.DUMMYFUNCTION("""COMPUTED_VALUE"""),2.038320035731378)</f>
        <v>2.038320036</v>
      </c>
      <c r="AV459" s="32">
        <f>IFERROR(__xludf.DUMMYFUNCTION("""COMPUTED_VALUE"""),51.4861089514687)</f>
        <v>51.48610895</v>
      </c>
      <c r="AW459" s="32">
        <f>IFERROR(__xludf.DUMMYFUNCTION("""COMPUTED_VALUE"""),2.099521115976288)</f>
        <v>2.099521116</v>
      </c>
      <c r="AX459" s="32">
        <f>IFERROR(__xludf.DUMMYFUNCTION("""COMPUTED_VALUE"""),47.11333690152299)</f>
        <v>47.1133369</v>
      </c>
      <c r="AY459" s="32">
        <f>IFERROR(__xludf.DUMMYFUNCTION("""COMPUTED_VALUE"""),-2.20246039428872)</f>
        <v>-2.202460394</v>
      </c>
      <c r="AZ459" s="30">
        <f>IFERROR(__xludf.DUMMYFUNCTION("""COMPUTED_VALUE"""),4.3019815102650085)</f>
        <v>4.30198151</v>
      </c>
      <c r="BA459" s="30">
        <f>IFERROR(__xludf.DUMMYFUNCTION("""COMPUTED_VALUE"""),1700.0)</f>
        <v>1700</v>
      </c>
    </row>
    <row r="460">
      <c r="A460" s="71" t="str">
        <f>IFERROR(__xludf.DUMMYFUNCTION("""COMPUTED_VALUE"""),"Rival")</f>
        <v>Rival</v>
      </c>
      <c r="B460" s="71" t="str">
        <f>IFERROR(__xludf.DUMMYFUNCTION("""COMPUTED_VALUE"""),"RSC006177")</f>
        <v>RSC006177</v>
      </c>
      <c r="C460" s="30" t="str">
        <f>IFERROR(__xludf.DUMMYFUNCTION("""COMPUTED_VALUE"""),"Flyerrr85")</f>
        <v>Flyerrr85</v>
      </c>
      <c r="D460" s="30" t="str">
        <f>IFERROR(__xludf.DUMMYFUNCTION("""COMPUTED_VALUE"""),"Asiago Arsonists")</f>
        <v>Asiago Arsonists</v>
      </c>
      <c r="E460" s="30">
        <f>IFERROR(__xludf.DUMMYFUNCTION("""COMPUTED_VALUE"""),4.0)</f>
        <v>4</v>
      </c>
      <c r="F460" s="30">
        <f>IFERROR(__xludf.DUMMYFUNCTION("""COMPUTED_VALUE"""),2.0)</f>
        <v>2</v>
      </c>
      <c r="G460" s="42">
        <f>IFERROR(__xludf.DUMMYFUNCTION("""COMPUTED_VALUE"""),2.0)</f>
        <v>2</v>
      </c>
      <c r="H460" s="42">
        <f>IFERROR(__xludf.DUMMYFUNCTION("""COMPUTED_VALUE"""),0.5)</f>
        <v>0.5</v>
      </c>
      <c r="I460" s="42">
        <f>IFERROR(__xludf.DUMMYFUNCTION("""COMPUTED_VALUE"""),0.14285714285714285)</f>
        <v>0.1428571429</v>
      </c>
      <c r="J460" s="30">
        <f>IFERROR(__xludf.DUMMYFUNCTION("""COMPUTED_VALUE"""),293.0)</f>
        <v>293</v>
      </c>
      <c r="K460" s="30">
        <f>IFERROR(__xludf.DUMMYFUNCTION("""COMPUTED_VALUE"""),0.25)</f>
        <v>0.25</v>
      </c>
      <c r="L460" s="30">
        <f>IFERROR(__xludf.DUMMYFUNCTION("""COMPUTED_VALUE"""),0.75)</f>
        <v>0.75</v>
      </c>
      <c r="M460" s="30">
        <f>IFERROR(__xludf.DUMMYFUNCTION("""COMPUTED_VALUE"""),1.25)</f>
        <v>1.25</v>
      </c>
      <c r="N460" s="30">
        <f>IFERROR(__xludf.DUMMYFUNCTION("""COMPUTED_VALUE"""),1.75)</f>
        <v>1.75</v>
      </c>
      <c r="O460" s="30">
        <f>IFERROR(__xludf.DUMMYFUNCTION("""COMPUTED_VALUE"""),332.00000000000006)</f>
        <v>332</v>
      </c>
      <c r="P460" s="30">
        <f>IFERROR(__xludf.DUMMYFUNCTION("""COMPUTED_VALUE"""),0.5833333333333333)</f>
        <v>0.5833333333</v>
      </c>
      <c r="Q460" s="30">
        <f>IFERROR(__xludf.DUMMYFUNCTION("""COMPUTED_VALUE"""),0.41666666666666663)</f>
        <v>0.4166666667</v>
      </c>
      <c r="R460" s="30">
        <f>IFERROR(__xludf.DUMMYFUNCTION("""COMPUTED_VALUE"""),1.1666666666666667)</f>
        <v>1.166666667</v>
      </c>
      <c r="S460" s="30">
        <f>IFERROR(__xludf.DUMMYFUNCTION("""COMPUTED_VALUE"""),1.9999999999999998)</f>
        <v>2</v>
      </c>
      <c r="T460" s="30">
        <f>IFERROR(__xludf.DUMMYFUNCTION("""COMPUTED_VALUE"""),315.63988095238096)</f>
        <v>315.639881</v>
      </c>
      <c r="U460" s="30">
        <f>IFERROR(__xludf.DUMMYFUNCTION("""COMPUTED_VALUE"""),0.5143849206349207)</f>
        <v>0.5143849206</v>
      </c>
      <c r="V460" s="30">
        <f>IFERROR(__xludf.DUMMYFUNCTION("""COMPUTED_VALUE"""),0.3575396825396825)</f>
        <v>0.3575396825</v>
      </c>
      <c r="W460" s="30">
        <f>IFERROR(__xludf.DUMMYFUNCTION("""COMPUTED_VALUE"""),1.4082341269841268)</f>
        <v>1.408234127</v>
      </c>
      <c r="X460" s="30">
        <f>IFERROR(__xludf.DUMMYFUNCTION("""COMPUTED_VALUE"""),1.8600198412698414)</f>
        <v>1.860019841</v>
      </c>
      <c r="Y460" s="30">
        <f>IFERROR(__xludf.DUMMYFUNCTION("""COMPUTED_VALUE"""),322.7693783068783)</f>
        <v>322.7693783</v>
      </c>
      <c r="Z460" s="30">
        <f>IFERROR(__xludf.DUMMYFUNCTION("""COMPUTED_VALUE"""),0.6861772486772486)</f>
        <v>0.6861772487</v>
      </c>
      <c r="AA460" s="30">
        <f>IFERROR(__xludf.DUMMYFUNCTION("""COMPUTED_VALUE"""),0.49831349206349207)</f>
        <v>0.4983134921</v>
      </c>
      <c r="AB460" s="30">
        <f>IFERROR(__xludf.DUMMYFUNCTION("""COMPUTED_VALUE"""),1.0330026455026455)</f>
        <v>1.033002646</v>
      </c>
      <c r="AC460" s="30">
        <f>IFERROR(__xludf.DUMMYFUNCTION("""COMPUTED_VALUE"""),2.5312830687830683)</f>
        <v>2.531283069</v>
      </c>
      <c r="AD460" s="30">
        <f>IFERROR(__xludf.DUMMYFUNCTION("""COMPUTED_VALUE"""),0.9077688891584549)</f>
        <v>0.9077688892</v>
      </c>
      <c r="AE460" s="30">
        <f>IFERROR(__xludf.DUMMYFUNCTION("""COMPUTED_VALUE"""),0.3643373493975904)</f>
        <v>0.3643373494</v>
      </c>
      <c r="AF460" s="30">
        <f>IFERROR(__xludf.DUMMYFUNCTION("""COMPUTED_VALUE"""),1.5050766474218595)</f>
        <v>1.505076647</v>
      </c>
      <c r="AG460" s="30">
        <f>IFERROR(__xludf.DUMMYFUNCTION("""COMPUTED_VALUE"""),1.2100646648312952)</f>
        <v>1.210064665</v>
      </c>
      <c r="AH460" s="30">
        <f>IFERROR(__xludf.DUMMYFUNCTION("""COMPUTED_VALUE"""),0.691348992762522)</f>
        <v>0.6913489928</v>
      </c>
      <c r="AI460" s="30">
        <f>IFERROR(__xludf.DUMMYFUNCTION("""COMPUTED_VALUE"""),1.0518315968129746)</f>
        <v>1.051831597</v>
      </c>
      <c r="AJ460" s="30">
        <f>IFERROR(__xludf.DUMMYFUNCTION("""COMPUTED_VALUE"""),1.13404050144648)</f>
        <v>1.134040501</v>
      </c>
      <c r="AK460" s="30">
        <f>IFERROR(__xludf.DUMMYFUNCTION("""COMPUTED_VALUE"""),1.165371809100999)</f>
        <v>1.165371809</v>
      </c>
      <c r="AL460" s="30">
        <f>IFERROR(__xludf.DUMMYFUNCTION("""COMPUTED_VALUE"""),0.8284607256076085)</f>
        <v>0.8284607256</v>
      </c>
      <c r="AM460" s="30">
        <f>IFERROR(__xludf.DUMMYFUNCTION("""COMPUTED_VALUE"""),1.0752573470585096)</f>
        <v>1.075257347</v>
      </c>
      <c r="AN460" s="30">
        <f>IFERROR(__xludf.DUMMYFUNCTION("""COMPUTED_VALUE"""),0.8644574538053055)</f>
        <v>0.8644574538</v>
      </c>
      <c r="AO460" s="30">
        <f>IFERROR(__xludf.DUMMYFUNCTION("""COMPUTED_VALUE"""),0.3402933653441261)</f>
        <v>0.3402933653</v>
      </c>
      <c r="AP460" s="30">
        <f>IFERROR(__xludf.DUMMYFUNCTION("""COMPUTED_VALUE"""),1.3392286024647886)</f>
        <v>1.339228602</v>
      </c>
      <c r="AQ460" s="30">
        <f>IFERROR(__xludf.DUMMYFUNCTION("""COMPUTED_VALUE"""),0.9538816019998271)</f>
        <v>0.953881602</v>
      </c>
      <c r="AR460" s="30">
        <f>IFERROR(__xludf.DUMMYFUNCTION("""COMPUTED_VALUE"""),0.7027137144029506)</f>
        <v>0.7027137144</v>
      </c>
      <c r="AS460" s="30">
        <f>IFERROR(__xludf.DUMMYFUNCTION("""COMPUTED_VALUE"""),6.0)</f>
        <v>6</v>
      </c>
      <c r="AT460" s="30">
        <f>IFERROR(__xludf.DUMMYFUNCTION("""COMPUTED_VALUE"""),0.44615952191376473)</f>
        <v>0.4461595219</v>
      </c>
      <c r="AU460" s="30">
        <f>IFERROR(__xludf.DUMMYFUNCTION("""COMPUTED_VALUE"""),1.225820402852905)</f>
        <v>1.225820403</v>
      </c>
      <c r="AV460" s="32">
        <f>IFERROR(__xludf.DUMMYFUNCTION("""COMPUTED_VALUE"""),22.78531556217272)</f>
        <v>22.78531556</v>
      </c>
      <c r="AW460" s="32">
        <f>IFERROR(__xludf.DUMMYFUNCTION("""COMPUTED_VALUE"""),-7.237568859659068)</f>
        <v>-7.23756886</v>
      </c>
      <c r="AX460" s="32">
        <f>IFERROR(__xludf.DUMMYFUNCTION("""COMPUTED_VALUE"""),39.495121719638476)</f>
        <v>39.49512172</v>
      </c>
      <c r="AY460" s="32">
        <f>IFERROR(__xludf.DUMMYFUNCTION("""COMPUTED_VALUE"""),-2.965850113735506)</f>
        <v>-2.965850114</v>
      </c>
      <c r="AZ460" s="30">
        <f>IFERROR(__xludf.DUMMYFUNCTION("""COMPUTED_VALUE"""),4.271718745923562)</f>
        <v>4.271718746</v>
      </c>
      <c r="BA460" s="30">
        <f>IFERROR(__xludf.DUMMYFUNCTION("""COMPUTED_VALUE"""),1700.0)</f>
        <v>1700</v>
      </c>
    </row>
    <row r="461">
      <c r="A461" s="71" t="str">
        <f>IFERROR(__xludf.DUMMYFUNCTION("""COMPUTED_VALUE"""),"Rival")</f>
        <v>Rival</v>
      </c>
      <c r="B461" s="71" t="str">
        <f>IFERROR(__xludf.DUMMYFUNCTION("""COMPUTED_VALUE"""),"RSC007847")</f>
        <v>RSC007847</v>
      </c>
      <c r="C461" s="30" t="str">
        <f>IFERROR(__xludf.DUMMYFUNCTION("""COMPUTED_VALUE"""),"GoodGuyGlaz")</f>
        <v>GoodGuyGlaz</v>
      </c>
      <c r="D461" s="30"/>
      <c r="E461" s="30">
        <f>IFERROR(__xludf.DUMMYFUNCTION("""COMPUTED_VALUE"""),14.0)</f>
        <v>14</v>
      </c>
      <c r="F461" s="30">
        <f>IFERROR(__xludf.DUMMYFUNCTION("""COMPUTED_VALUE"""),5.0)</f>
        <v>5</v>
      </c>
      <c r="G461" s="42">
        <f>IFERROR(__xludf.DUMMYFUNCTION("""COMPUTED_VALUE"""),9.0)</f>
        <v>9</v>
      </c>
      <c r="H461" s="42">
        <f>IFERROR(__xludf.DUMMYFUNCTION("""COMPUTED_VALUE"""),0.35714285714285715)</f>
        <v>0.3571428571</v>
      </c>
      <c r="I461" s="42">
        <f>IFERROR(__xludf.DUMMYFUNCTION("""COMPUTED_VALUE"""),0.26666666666666666)</f>
        <v>0.2666666667</v>
      </c>
      <c r="J461" s="30">
        <f>IFERROR(__xludf.DUMMYFUNCTION("""COMPUTED_VALUE"""),287.5)</f>
        <v>287.5</v>
      </c>
      <c r="K461" s="30">
        <f>IFERROR(__xludf.DUMMYFUNCTION("""COMPUTED_VALUE"""),0.5714285714285714)</f>
        <v>0.5714285714</v>
      </c>
      <c r="L461" s="30">
        <f>IFERROR(__xludf.DUMMYFUNCTION("""COMPUTED_VALUE"""),0.2857142857142857)</f>
        <v>0.2857142857</v>
      </c>
      <c r="M461" s="30">
        <f>IFERROR(__xludf.DUMMYFUNCTION("""COMPUTED_VALUE"""),1.2142857142857142)</f>
        <v>1.214285714</v>
      </c>
      <c r="N461" s="30">
        <f>IFERROR(__xludf.DUMMYFUNCTION("""COMPUTED_VALUE"""),2.142857142857143)</f>
        <v>2.142857143</v>
      </c>
      <c r="O461" s="30">
        <f>IFERROR(__xludf.DUMMYFUNCTION("""COMPUTED_VALUE"""),358.6904761904762)</f>
        <v>358.6904762</v>
      </c>
      <c r="P461" s="30">
        <f>IFERROR(__xludf.DUMMYFUNCTION("""COMPUTED_VALUE"""),0.7619047619047619)</f>
        <v>0.7619047619</v>
      </c>
      <c r="Q461" s="30">
        <f>IFERROR(__xludf.DUMMYFUNCTION("""COMPUTED_VALUE"""),0.6190476190476192)</f>
        <v>0.619047619</v>
      </c>
      <c r="R461" s="30">
        <f>IFERROR(__xludf.DUMMYFUNCTION("""COMPUTED_VALUE"""),1.380952380952381)</f>
        <v>1.380952381</v>
      </c>
      <c r="S461" s="30">
        <f>IFERROR(__xludf.DUMMYFUNCTION("""COMPUTED_VALUE"""),2.9047619047619047)</f>
        <v>2.904761905</v>
      </c>
      <c r="T461" s="30">
        <f>IFERROR(__xludf.DUMMYFUNCTION("""COMPUTED_VALUE"""),347.56884552511934)</f>
        <v>347.5688455</v>
      </c>
      <c r="U461" s="30">
        <f>IFERROR(__xludf.DUMMYFUNCTION("""COMPUTED_VALUE"""),0.8527707666719303)</f>
        <v>0.8527707667</v>
      </c>
      <c r="V461" s="30">
        <f>IFERROR(__xludf.DUMMYFUNCTION("""COMPUTED_VALUE"""),0.6285946977769397)</f>
        <v>0.6285946978</v>
      </c>
      <c r="W461" s="30">
        <f>IFERROR(__xludf.DUMMYFUNCTION("""COMPUTED_VALUE"""),1.098774380441832)</f>
        <v>1.09877438</v>
      </c>
      <c r="X461" s="30">
        <f>IFERROR(__xludf.DUMMYFUNCTION("""COMPUTED_VALUE"""),2.696991486569085)</f>
        <v>2.696991487</v>
      </c>
      <c r="Y461" s="30">
        <f>IFERROR(__xludf.DUMMYFUNCTION("""COMPUTED_VALUE"""),318.35706448501065)</f>
        <v>318.3570645</v>
      </c>
      <c r="Z461" s="30">
        <f>IFERROR(__xludf.DUMMYFUNCTION("""COMPUTED_VALUE"""),0.6191852720228149)</f>
        <v>0.619185272</v>
      </c>
      <c r="AA461" s="30">
        <f>IFERROR(__xludf.DUMMYFUNCTION("""COMPUTED_VALUE"""),0.4369070158927769)</f>
        <v>0.4369070159</v>
      </c>
      <c r="AB461" s="30">
        <f>IFERROR(__xludf.DUMMYFUNCTION("""COMPUTED_VALUE"""),1.347774200676439)</f>
        <v>1.347774201</v>
      </c>
      <c r="AC461" s="30">
        <f>IFERROR(__xludf.DUMMYFUNCTION("""COMPUTED_VALUE"""),2.1814383160671675)</f>
        <v>2.181438316</v>
      </c>
      <c r="AD461" s="30">
        <f>IFERROR(__xludf.DUMMYFUNCTION("""COMPUTED_VALUE"""),0.9030740387843238)</f>
        <v>0.9030740388</v>
      </c>
      <c r="AE461" s="30">
        <f>IFERROR(__xludf.DUMMYFUNCTION("""COMPUTED_VALUE"""),0.9228717110175646)</f>
        <v>0.922871711</v>
      </c>
      <c r="AF461" s="30">
        <f>IFERROR(__xludf.DUMMYFUNCTION("""COMPUTED_VALUE"""),0.6539475799683747)</f>
        <v>0.65394758</v>
      </c>
      <c r="AG461" s="30">
        <f>IFERROR(__xludf.DUMMYFUNCTION("""COMPUTED_VALUE"""),0.9009563424468818)</f>
        <v>0.9009563424</v>
      </c>
      <c r="AH461" s="30">
        <f>IFERROR(__xludf.DUMMYFUNCTION("""COMPUTED_VALUE"""),0.9823138830349413)</f>
        <v>0.982313883</v>
      </c>
      <c r="AI461" s="30">
        <f>IFERROR(__xludf.DUMMYFUNCTION("""COMPUTED_VALUE"""),1.0319983531566355)</f>
        <v>1.031998353</v>
      </c>
      <c r="AJ461" s="30">
        <f>IFERROR(__xludf.DUMMYFUNCTION("""COMPUTED_VALUE"""),0.893446154208842)</f>
        <v>0.8934461542</v>
      </c>
      <c r="AK461" s="30">
        <f>IFERROR(__xludf.DUMMYFUNCTION("""COMPUTED_VALUE"""),0.9848120279043329)</f>
        <v>0.9848120279</v>
      </c>
      <c r="AL461" s="30">
        <f>IFERROR(__xludf.DUMMYFUNCTION("""COMPUTED_VALUE"""),1.2568115943849012)</f>
        <v>1.256811594</v>
      </c>
      <c r="AM461" s="30">
        <f>IFERROR(__xludf.DUMMYFUNCTION("""COMPUTED_VALUE"""),1.0770378472559177)</f>
        <v>1.077037847</v>
      </c>
      <c r="AN461" s="30">
        <f>IFERROR(__xludf.DUMMYFUNCTION("""COMPUTED_VALUE"""),0.8482304367543527)</f>
        <v>0.8482304368</v>
      </c>
      <c r="AO461" s="30">
        <f>IFERROR(__xludf.DUMMYFUNCTION("""COMPUTED_VALUE"""),0.7778134065008595)</f>
        <v>0.7778134065</v>
      </c>
      <c r="AP461" s="30">
        <f>IFERROR(__xludf.DUMMYFUNCTION("""COMPUTED_VALUE"""),0.5101823247484909)</f>
        <v>0.5101823247</v>
      </c>
      <c r="AQ461" s="30">
        <f>IFERROR(__xludf.DUMMYFUNCTION("""COMPUTED_VALUE"""),0.9266278419426891)</f>
        <v>0.9266278419</v>
      </c>
      <c r="AR461" s="30">
        <f>IFERROR(__xludf.DUMMYFUNCTION("""COMPUTED_VALUE"""),0.8604657727383069)</f>
        <v>0.8604657727</v>
      </c>
      <c r="AS461" s="30">
        <f>IFERROR(__xludf.DUMMYFUNCTION("""COMPUTED_VALUE"""),21.0)</f>
        <v>21</v>
      </c>
      <c r="AT461" s="30">
        <f>IFERROR(__xludf.DUMMYFUNCTION("""COMPUTED_VALUE"""),0.35041699643189256)</f>
        <v>0.3504169964</v>
      </c>
      <c r="AU461" s="30">
        <f>IFERROR(__xludf.DUMMYFUNCTION("""COMPUTED_VALUE"""),1.48177313569701)</f>
        <v>1.481773136</v>
      </c>
      <c r="AV461" s="32">
        <f>IFERROR(__xludf.DUMMYFUNCTION("""COMPUTED_VALUE"""),31.826607650834)</f>
        <v>31.82660765</v>
      </c>
      <c r="AW461" s="32">
        <f>IFERROR(__xludf.DUMMYFUNCTION("""COMPUTED_VALUE"""),-4.280223217560215)</f>
        <v>-4.280223218</v>
      </c>
      <c r="AX461" s="32">
        <f>IFERROR(__xludf.DUMMYFUNCTION("""COMPUTED_VALUE"""),20.286785738556247)</f>
        <v>20.28678574</v>
      </c>
      <c r="AY461" s="32">
        <f>IFERROR(__xludf.DUMMYFUNCTION("""COMPUTED_VALUE"""),-8.524232431862275)</f>
        <v>-8.524232432</v>
      </c>
      <c r="AZ461" s="30">
        <f>IFERROR(__xludf.DUMMYFUNCTION("""COMPUTED_VALUE"""),4.244009214302061)</f>
        <v>4.244009214</v>
      </c>
      <c r="BA461" s="30">
        <f>IFERROR(__xludf.DUMMYFUNCTION("""COMPUTED_VALUE"""),1700.0)</f>
        <v>1700</v>
      </c>
    </row>
    <row r="462">
      <c r="A462" s="71" t="str">
        <f>IFERROR(__xludf.DUMMYFUNCTION("""COMPUTED_VALUE"""),"Rival")</f>
        <v>Rival</v>
      </c>
      <c r="B462" s="71" t="str">
        <f>IFERROR(__xludf.DUMMYFUNCTION("""COMPUTED_VALUE"""),"RSC007057")</f>
        <v>RSC007057</v>
      </c>
      <c r="C462" s="30" t="str">
        <f>IFERROR(__xludf.DUMMYFUNCTION("""COMPUTED_VALUE"""),"sinoda_20")</f>
        <v>sinoda_20</v>
      </c>
      <c r="D462" s="30" t="str">
        <f>IFERROR(__xludf.DUMMYFUNCTION("""COMPUTED_VALUE"""),"Nightfall")</f>
        <v>Nightfall</v>
      </c>
      <c r="E462" s="30">
        <f>IFERROR(__xludf.DUMMYFUNCTION("""COMPUTED_VALUE"""),32.0)</f>
        <v>32</v>
      </c>
      <c r="F462" s="30">
        <f>IFERROR(__xludf.DUMMYFUNCTION("""COMPUTED_VALUE"""),15.0)</f>
        <v>15</v>
      </c>
      <c r="G462" s="42">
        <f>IFERROR(__xludf.DUMMYFUNCTION("""COMPUTED_VALUE"""),17.0)</f>
        <v>17</v>
      </c>
      <c r="H462" s="42">
        <f>IFERROR(__xludf.DUMMYFUNCTION("""COMPUTED_VALUE"""),0.46875)</f>
        <v>0.46875</v>
      </c>
      <c r="I462" s="42">
        <f>IFERROR(__xludf.DUMMYFUNCTION("""COMPUTED_VALUE"""),0.2753623188405797)</f>
        <v>0.2753623188</v>
      </c>
      <c r="J462" s="30">
        <f>IFERROR(__xludf.DUMMYFUNCTION("""COMPUTED_VALUE"""),315.46875)</f>
        <v>315.46875</v>
      </c>
      <c r="K462" s="30">
        <f>IFERROR(__xludf.DUMMYFUNCTION("""COMPUTED_VALUE"""),0.59375)</f>
        <v>0.59375</v>
      </c>
      <c r="L462" s="30">
        <f>IFERROR(__xludf.DUMMYFUNCTION("""COMPUTED_VALUE"""),0.75)</f>
        <v>0.75</v>
      </c>
      <c r="M462" s="30">
        <f>IFERROR(__xludf.DUMMYFUNCTION("""COMPUTED_VALUE"""),0.84375)</f>
        <v>0.84375</v>
      </c>
      <c r="N462" s="30">
        <f>IFERROR(__xludf.DUMMYFUNCTION("""COMPUTED_VALUE"""),2.15625)</f>
        <v>2.15625</v>
      </c>
      <c r="O462" s="30">
        <f>IFERROR(__xludf.DUMMYFUNCTION("""COMPUTED_VALUE"""),328.54166666666663)</f>
        <v>328.5416667</v>
      </c>
      <c r="P462" s="30">
        <f>IFERROR(__xludf.DUMMYFUNCTION("""COMPUTED_VALUE"""),0.6979166666666666)</f>
        <v>0.6979166667</v>
      </c>
      <c r="Q462" s="30">
        <f>IFERROR(__xludf.DUMMYFUNCTION("""COMPUTED_VALUE"""),0.5104166666666666)</f>
        <v>0.5104166667</v>
      </c>
      <c r="R462" s="30">
        <f>IFERROR(__xludf.DUMMYFUNCTION("""COMPUTED_VALUE"""),1.3750000000000004)</f>
        <v>1.375</v>
      </c>
      <c r="S462" s="30">
        <f>IFERROR(__xludf.DUMMYFUNCTION("""COMPUTED_VALUE"""),2.375)</f>
        <v>2.375</v>
      </c>
      <c r="T462" s="30">
        <f>IFERROR(__xludf.DUMMYFUNCTION("""COMPUTED_VALUE"""),347.049862722995)</f>
        <v>347.0498627</v>
      </c>
      <c r="U462" s="30">
        <f>IFERROR(__xludf.DUMMYFUNCTION("""COMPUTED_VALUE"""),0.7863385614680758)</f>
        <v>0.7863385615</v>
      </c>
      <c r="V462" s="30">
        <f>IFERROR(__xludf.DUMMYFUNCTION("""COMPUTED_VALUE"""),0.5509625650520199)</f>
        <v>0.5509625651</v>
      </c>
      <c r="W462" s="30">
        <f>IFERROR(__xludf.DUMMYFUNCTION("""COMPUTED_VALUE"""),1.3325202268301404)</f>
        <v>1.332520227</v>
      </c>
      <c r="X462" s="30">
        <f>IFERROR(__xludf.DUMMYFUNCTION("""COMPUTED_VALUE"""),2.54530106292466)</f>
        <v>2.545301063</v>
      </c>
      <c r="Y462" s="30">
        <f>IFERROR(__xludf.DUMMYFUNCTION("""COMPUTED_VALUE"""),343.1066343284543)</f>
        <v>343.1066343</v>
      </c>
      <c r="Z462" s="30">
        <f>IFERROR(__xludf.DUMMYFUNCTION("""COMPUTED_VALUE"""),0.7614410420216285)</f>
        <v>0.761441042</v>
      </c>
      <c r="AA462" s="30">
        <f>IFERROR(__xludf.DUMMYFUNCTION("""COMPUTED_VALUE"""),0.5370977817510222)</f>
        <v>0.5370977818</v>
      </c>
      <c r="AB462" s="30">
        <f>IFERROR(__xludf.DUMMYFUNCTION("""COMPUTED_VALUE"""),1.30280532992117)</f>
        <v>1.30280533</v>
      </c>
      <c r="AC462" s="30">
        <f>IFERROR(__xludf.DUMMYFUNCTION("""COMPUTED_VALUE"""),2.5202296559965873)</f>
        <v>2.520229656</v>
      </c>
      <c r="AD462" s="30">
        <f>IFERROR(__xludf.DUMMYFUNCTION("""COMPUTED_VALUE"""),0.9194481203123672)</f>
        <v>0.9194481203</v>
      </c>
      <c r="AE462" s="30">
        <f>IFERROR(__xludf.DUMMYFUNCTION("""COMPUTED_VALUE"""),0.7797714691390836)</f>
        <v>0.7797714691</v>
      </c>
      <c r="AF462" s="30">
        <f>IFERROR(__xludf.DUMMYFUNCTION("""COMPUTED_VALUE"""),1.396393776855461)</f>
        <v>1.396393777</v>
      </c>
      <c r="AG462" s="30">
        <f>IFERROR(__xludf.DUMMYFUNCTION("""COMPUTED_VALUE"""),0.6476408874156614)</f>
        <v>0.6476408874</v>
      </c>
      <c r="AH462" s="30">
        <f>IFERROR(__xludf.DUMMYFUNCTION("""COMPUTED_VALUE"""),0.8555767903410941)</f>
        <v>0.8555767903</v>
      </c>
      <c r="AI462" s="30">
        <f>IFERROR(__xludf.DUMMYFUNCTION("""COMPUTED_VALUE"""),0.9466699225549008)</f>
        <v>0.9466699226</v>
      </c>
      <c r="AJ462" s="30">
        <f>IFERROR(__xludf.DUMMYFUNCTION("""COMPUTED_VALUE"""),0.8875523862948709)</f>
        <v>0.8875523863</v>
      </c>
      <c r="AK462" s="30">
        <f>IFERROR(__xludf.DUMMYFUNCTION("""COMPUTED_VALUE"""),0.9264089777469272)</f>
        <v>0.9264089777</v>
      </c>
      <c r="AL462" s="30">
        <f>IFERROR(__xludf.DUMMYFUNCTION("""COMPUTED_VALUE"""),1.0318792708092042)</f>
        <v>1.031879271</v>
      </c>
      <c r="AM462" s="30">
        <f>IFERROR(__xludf.DUMMYFUNCTION("""COMPUTED_VALUE"""),0.9330919766603261)</f>
        <v>0.9330919767</v>
      </c>
      <c r="AN462" s="30">
        <f>IFERROR(__xludf.DUMMYFUNCTION("""COMPUTED_VALUE"""),0.9307485064168685)</f>
        <v>0.9307485064</v>
      </c>
      <c r="AO462" s="30">
        <f>IFERROR(__xludf.DUMMYFUNCTION("""COMPUTED_VALUE"""),0.8081967426922994)</f>
        <v>0.8081967427</v>
      </c>
      <c r="AP462" s="30">
        <f>IFERROR(__xludf.DUMMYFUNCTION("""COMPUTED_VALUE"""),1.3392286024647886)</f>
        <v>1.339228602</v>
      </c>
      <c r="AQ462" s="30">
        <f>IFERROR(__xludf.DUMMYFUNCTION("""COMPUTED_VALUE"""),0.6438700813498833)</f>
        <v>0.6438700813</v>
      </c>
      <c r="AR462" s="30">
        <f>IFERROR(__xludf.DUMMYFUNCTION("""COMPUTED_VALUE"""),0.8658436838179213)</f>
        <v>0.8658436838</v>
      </c>
      <c r="AS462" s="30">
        <f>IFERROR(__xludf.DUMMYFUNCTION("""COMPUTED_VALUE"""),64.0)</f>
        <v>64</v>
      </c>
      <c r="AT462" s="30">
        <f>IFERROR(__xludf.DUMMYFUNCTION("""COMPUTED_VALUE"""),0.48284446727363667)</f>
        <v>0.4828444673</v>
      </c>
      <c r="AU462" s="30">
        <f>IFERROR(__xludf.DUMMYFUNCTION("""COMPUTED_VALUE"""),2.0046926917912273)</f>
        <v>2.004692692</v>
      </c>
      <c r="AV462" s="32">
        <f>IFERROR(__xludf.DUMMYFUNCTION("""COMPUTED_VALUE"""),50.29825432162985)</f>
        <v>50.29825432</v>
      </c>
      <c r="AW462" s="32">
        <f>IFERROR(__xludf.DUMMYFUNCTION("""COMPUTED_VALUE"""),2.0192203016819916)</f>
        <v>2.019220302</v>
      </c>
      <c r="AX462" s="32">
        <f>IFERROR(__xludf.DUMMYFUNCTION("""COMPUTED_VALUE"""),48.531098819812584)</f>
        <v>48.53109882</v>
      </c>
      <c r="AY462" s="32">
        <f>IFERROR(__xludf.DUMMYFUNCTION("""COMPUTED_VALUE"""),-2.098313505596792)</f>
        <v>-2.098313506</v>
      </c>
      <c r="AZ462" s="30">
        <f>IFERROR(__xludf.DUMMYFUNCTION("""COMPUTED_VALUE"""),4.117533807278784)</f>
        <v>4.117533807</v>
      </c>
      <c r="BA462" s="30">
        <f>IFERROR(__xludf.DUMMYFUNCTION("""COMPUTED_VALUE"""),1700.0)</f>
        <v>1700</v>
      </c>
    </row>
    <row r="463">
      <c r="A463" s="71" t="str">
        <f>IFERROR(__xludf.DUMMYFUNCTION("""COMPUTED_VALUE"""),"Rival")</f>
        <v>Rival</v>
      </c>
      <c r="B463" s="71" t="str">
        <f>IFERROR(__xludf.DUMMYFUNCTION("""COMPUTED_VALUE"""),"RSC002930")</f>
        <v>RSC002930</v>
      </c>
      <c r="C463" s="30" t="str">
        <f>IFERROR(__xludf.DUMMYFUNCTION("""COMPUTED_VALUE"""),"voakes")</f>
        <v>voakes</v>
      </c>
      <c r="D463" s="30" t="str">
        <f>IFERROR(__xludf.DUMMYFUNCTION("""COMPUTED_VALUE"""),"Hippos")</f>
        <v>Hippos</v>
      </c>
      <c r="E463" s="30">
        <f>IFERROR(__xludf.DUMMYFUNCTION("""COMPUTED_VALUE"""),32.0)</f>
        <v>32</v>
      </c>
      <c r="F463" s="30">
        <f>IFERROR(__xludf.DUMMYFUNCTION("""COMPUTED_VALUE"""),15.0)</f>
        <v>15</v>
      </c>
      <c r="G463" s="42">
        <f>IFERROR(__xludf.DUMMYFUNCTION("""COMPUTED_VALUE"""),17.0)</f>
        <v>17</v>
      </c>
      <c r="H463" s="42">
        <f>IFERROR(__xludf.DUMMYFUNCTION("""COMPUTED_VALUE"""),0.46875)</f>
        <v>0.46875</v>
      </c>
      <c r="I463" s="42">
        <f>IFERROR(__xludf.DUMMYFUNCTION("""COMPUTED_VALUE"""),0.3229166666666667)</f>
        <v>0.3229166667</v>
      </c>
      <c r="J463" s="30">
        <f>IFERROR(__xludf.DUMMYFUNCTION("""COMPUTED_VALUE"""),402.6875)</f>
        <v>402.6875</v>
      </c>
      <c r="K463" s="30">
        <f>IFERROR(__xludf.DUMMYFUNCTION("""COMPUTED_VALUE"""),0.96875)</f>
        <v>0.96875</v>
      </c>
      <c r="L463" s="30">
        <f>IFERROR(__xludf.DUMMYFUNCTION("""COMPUTED_VALUE"""),0.75)</f>
        <v>0.75</v>
      </c>
      <c r="M463" s="30">
        <f>IFERROR(__xludf.DUMMYFUNCTION("""COMPUTED_VALUE"""),1.625)</f>
        <v>1.625</v>
      </c>
      <c r="N463" s="30">
        <f>IFERROR(__xludf.DUMMYFUNCTION("""COMPUTED_VALUE"""),3.0)</f>
        <v>3</v>
      </c>
      <c r="O463" s="30">
        <f>IFERROR(__xludf.DUMMYFUNCTION("""COMPUTED_VALUE"""),371.02083333333326)</f>
        <v>371.0208333</v>
      </c>
      <c r="P463" s="30">
        <f>IFERROR(__xludf.DUMMYFUNCTION("""COMPUTED_VALUE"""),0.8854166666666665)</f>
        <v>0.8854166667</v>
      </c>
      <c r="Q463" s="30">
        <f>IFERROR(__xludf.DUMMYFUNCTION("""COMPUTED_VALUE"""),0.6562499999999998)</f>
        <v>0.65625</v>
      </c>
      <c r="R463" s="30">
        <f>IFERROR(__xludf.DUMMYFUNCTION("""COMPUTED_VALUE"""),1.3229166666666665)</f>
        <v>1.322916667</v>
      </c>
      <c r="S463" s="30">
        <f>IFERROR(__xludf.DUMMYFUNCTION("""COMPUTED_VALUE"""),2.7708333333333335)</f>
        <v>2.770833333</v>
      </c>
      <c r="T463" s="30">
        <f>IFERROR(__xludf.DUMMYFUNCTION("""COMPUTED_VALUE"""),339.45650403654076)</f>
        <v>339.456504</v>
      </c>
      <c r="U463" s="30">
        <f>IFERROR(__xludf.DUMMYFUNCTION("""COMPUTED_VALUE"""),0.7672295909428261)</f>
        <v>0.7672295909</v>
      </c>
      <c r="V463" s="30">
        <f>IFERROR(__xludf.DUMMYFUNCTION("""COMPUTED_VALUE"""),0.5875247842435343)</f>
        <v>0.5875247842</v>
      </c>
      <c r="W463" s="30">
        <f>IFERROR(__xludf.DUMMYFUNCTION("""COMPUTED_VALUE"""),1.2051509417869712)</f>
        <v>1.205150942</v>
      </c>
      <c r="X463" s="30">
        <f>IFERROR(__xludf.DUMMYFUNCTION("""COMPUTED_VALUE"""),2.463632684717244)</f>
        <v>2.463632685</v>
      </c>
      <c r="Y463" s="30">
        <f>IFERROR(__xludf.DUMMYFUNCTION("""COMPUTED_VALUE"""),338.9574204393781)</f>
        <v>338.9574204</v>
      </c>
      <c r="Z463" s="30">
        <f>IFERROR(__xludf.DUMMYFUNCTION("""COMPUTED_VALUE"""),0.7406796302598998)</f>
        <v>0.7406796303</v>
      </c>
      <c r="AA463" s="30">
        <f>IFERROR(__xludf.DUMMYFUNCTION("""COMPUTED_VALUE"""),0.5226518894594875)</f>
        <v>0.5226518895</v>
      </c>
      <c r="AB463" s="30">
        <f>IFERROR(__xludf.DUMMYFUNCTION("""COMPUTED_VALUE"""),1.3174546782420553)</f>
        <v>1.317454678</v>
      </c>
      <c r="AC463" s="30">
        <f>IFERROR(__xludf.DUMMYFUNCTION("""COMPUTED_VALUE"""),2.3744772919527826)</f>
        <v>2.374477292</v>
      </c>
      <c r="AD463" s="30">
        <f>IFERROR(__xludf.DUMMYFUNCTION("""COMPUTED_VALUE"""),1.1880179506854016)</f>
        <v>1.188017951</v>
      </c>
      <c r="AE463" s="30">
        <f>IFERROR(__xludf.DUMMYFUNCTION("""COMPUTED_VALUE"""),1.3079204023203281)</f>
        <v>1.307920402</v>
      </c>
      <c r="AF463" s="30">
        <f>IFERROR(__xludf.DUMMYFUNCTION("""COMPUTED_VALUE"""),1.434989550646473)</f>
        <v>1.434989551</v>
      </c>
      <c r="AG463" s="30">
        <f>IFERROR(__xludf.DUMMYFUNCTION("""COMPUTED_VALUE"""),1.2334390145157157)</f>
        <v>1.233439015</v>
      </c>
      <c r="AH463" s="30">
        <f>IFERROR(__xludf.DUMMYFUNCTION("""COMPUTED_VALUE"""),1.2634359613238433)</f>
        <v>1.263435961</v>
      </c>
      <c r="AI463" s="30">
        <f>IFERROR(__xludf.DUMMYFUNCTION("""COMPUTED_VALUE"""),1.0929849006322023)</f>
        <v>1.092984901</v>
      </c>
      <c r="AJ463" s="30">
        <f>IFERROR(__xludf.DUMMYFUNCTION("""COMPUTED_VALUE"""),1.1540439486680953)</f>
        <v>1.154043949</v>
      </c>
      <c r="AK463" s="30">
        <f>IFERROR(__xludf.DUMMYFUNCTION("""COMPUTED_VALUE"""),1.1169741559838235)</f>
        <v>1.116974156</v>
      </c>
      <c r="AL463" s="30">
        <f>IFERROR(__xludf.DUMMYFUNCTION("""COMPUTED_VALUE"""),1.0977186514952848)</f>
        <v>1.097718651</v>
      </c>
      <c r="AM463" s="30">
        <f>IFERROR(__xludf.DUMMYFUNCTION("""COMPUTED_VALUE"""),1.1246941764175156)</f>
        <v>1.124694176</v>
      </c>
      <c r="AN463" s="30">
        <f>IFERROR(__xludf.DUMMYFUNCTION("""COMPUTED_VALUE"""),1.1880758052191944)</f>
        <v>1.188075805</v>
      </c>
      <c r="AO463" s="30">
        <f>IFERROR(__xludf.DUMMYFUNCTION("""COMPUTED_VALUE"""),1.3186367907084884)</f>
        <v>1.318636791</v>
      </c>
      <c r="AP463" s="30">
        <f>IFERROR(__xludf.DUMMYFUNCTION("""COMPUTED_VALUE"""),1.3392286024647886)</f>
        <v>1.339228602</v>
      </c>
      <c r="AQ463" s="30">
        <f>IFERROR(__xludf.DUMMYFUNCTION("""COMPUTED_VALUE"""),1.2400460825997752)</f>
        <v>1.240046083</v>
      </c>
      <c r="AR463" s="30">
        <f>IFERROR(__xludf.DUMMYFUNCTION("""COMPUTED_VALUE"""),1.2046520818336297)</f>
        <v>1.204652082</v>
      </c>
      <c r="AS463" s="30">
        <f>IFERROR(__xludf.DUMMYFUNCTION("""COMPUTED_VALUE"""),86.0)</f>
        <v>86</v>
      </c>
      <c r="AT463" s="30">
        <f>IFERROR(__xludf.DUMMYFUNCTION("""COMPUTED_VALUE"""),0.5047299628436064)</f>
        <v>0.5047299628</v>
      </c>
      <c r="AU463" s="30">
        <f>IFERROR(__xludf.DUMMYFUNCTION("""COMPUTED_VALUE"""),2.795464482693044)</f>
        <v>2.795464483</v>
      </c>
      <c r="AV463" s="32">
        <f>IFERROR(__xludf.DUMMYFUNCTION("""COMPUTED_VALUE"""),78.23153191383186)</f>
        <v>78.23153191</v>
      </c>
      <c r="AW463" s="32">
        <f>IFERROR(__xludf.DUMMYFUNCTION("""COMPUTED_VALUE"""),7.72834463273363)</f>
        <v>7.728344633</v>
      </c>
      <c r="AX463" s="32">
        <f>IFERROR(__xludf.DUMMYFUNCTION("""COMPUTED_VALUE"""),64.88740166764083)</f>
        <v>64.88740167</v>
      </c>
      <c r="AY463" s="32">
        <f>IFERROR(__xludf.DUMMYFUNCTION("""COMPUTED_VALUE"""),3.6263948252509337)</f>
        <v>3.626394825</v>
      </c>
      <c r="AZ463" s="30">
        <f>IFERROR(__xludf.DUMMYFUNCTION("""COMPUTED_VALUE"""),4.101949807482696)</f>
        <v>4.101949807</v>
      </c>
      <c r="BA463" s="30">
        <f>IFERROR(__xludf.DUMMYFUNCTION("""COMPUTED_VALUE"""),1700.0)</f>
        <v>1700</v>
      </c>
    </row>
    <row r="464">
      <c r="A464" s="71" t="str">
        <f>IFERROR(__xludf.DUMMYFUNCTION("""COMPUTED_VALUE"""),"Rival")</f>
        <v>Rival</v>
      </c>
      <c r="B464" s="71" t="str">
        <f>IFERROR(__xludf.DUMMYFUNCTION("""COMPUTED_VALUE"""),"RSC000291")</f>
        <v>RSC000291</v>
      </c>
      <c r="C464" s="30" t="str">
        <f>IFERROR(__xludf.DUMMYFUNCTION("""COMPUTED_VALUE"""),"Suckiest Sucker")</f>
        <v>Suckiest Sucker</v>
      </c>
      <c r="D464" s="30" t="str">
        <f>IFERROR(__xludf.DUMMYFUNCTION("""COMPUTED_VALUE"""),"Hue Heroes")</f>
        <v>Hue Heroes</v>
      </c>
      <c r="E464" s="30">
        <f>IFERROR(__xludf.DUMMYFUNCTION("""COMPUTED_VALUE"""),24.0)</f>
        <v>24</v>
      </c>
      <c r="F464" s="30">
        <f>IFERROR(__xludf.DUMMYFUNCTION("""COMPUTED_VALUE"""),13.0)</f>
        <v>13</v>
      </c>
      <c r="G464" s="42">
        <f>IFERROR(__xludf.DUMMYFUNCTION("""COMPUTED_VALUE"""),11.0)</f>
        <v>11</v>
      </c>
      <c r="H464" s="42">
        <f>IFERROR(__xludf.DUMMYFUNCTION("""COMPUTED_VALUE"""),0.5416666666666666)</f>
        <v>0.5416666667</v>
      </c>
      <c r="I464" s="42">
        <f>IFERROR(__xludf.DUMMYFUNCTION("""COMPUTED_VALUE"""),0.3148148148148148)</f>
        <v>0.3148148148</v>
      </c>
      <c r="J464" s="30">
        <f>IFERROR(__xludf.DUMMYFUNCTION("""COMPUTED_VALUE"""),349.9583333333333)</f>
        <v>349.9583333</v>
      </c>
      <c r="K464" s="30">
        <f>IFERROR(__xludf.DUMMYFUNCTION("""COMPUTED_VALUE"""),0.7083333333333334)</f>
        <v>0.7083333333</v>
      </c>
      <c r="L464" s="30">
        <f>IFERROR(__xludf.DUMMYFUNCTION("""COMPUTED_VALUE"""),0.75)</f>
        <v>0.75</v>
      </c>
      <c r="M464" s="30">
        <f>IFERROR(__xludf.DUMMYFUNCTION("""COMPUTED_VALUE"""),1.2916666666666667)</f>
        <v>1.291666667</v>
      </c>
      <c r="N464" s="30">
        <f>IFERROR(__xludf.DUMMYFUNCTION("""COMPUTED_VALUE"""),2.25)</f>
        <v>2.25</v>
      </c>
      <c r="O464" s="30">
        <f>IFERROR(__xludf.DUMMYFUNCTION("""COMPUTED_VALUE"""),345.4027777777778)</f>
        <v>345.4027778</v>
      </c>
      <c r="P464" s="30">
        <f>IFERROR(__xludf.DUMMYFUNCTION("""COMPUTED_VALUE"""),0.7916666666666666)</f>
        <v>0.7916666667</v>
      </c>
      <c r="Q464" s="30">
        <f>IFERROR(__xludf.DUMMYFUNCTION("""COMPUTED_VALUE"""),0.5416666666666666)</f>
        <v>0.5416666667</v>
      </c>
      <c r="R464" s="30">
        <f>IFERROR(__xludf.DUMMYFUNCTION("""COMPUTED_VALUE"""),1.222222222222222)</f>
        <v>1.222222222</v>
      </c>
      <c r="S464" s="30">
        <f>IFERROR(__xludf.DUMMYFUNCTION("""COMPUTED_VALUE"""),2.513888888888889)</f>
        <v>2.513888889</v>
      </c>
      <c r="T464" s="30">
        <f>IFERROR(__xludf.DUMMYFUNCTION("""COMPUTED_VALUE"""),343.96353170162473)</f>
        <v>343.9635317</v>
      </c>
      <c r="U464" s="30">
        <f>IFERROR(__xludf.DUMMYFUNCTION("""COMPUTED_VALUE"""),0.7208045801242354)</f>
        <v>0.7208045801</v>
      </c>
      <c r="V464" s="30">
        <f>IFERROR(__xludf.DUMMYFUNCTION("""COMPUTED_VALUE"""),0.481213960726532)</f>
        <v>0.4812139607</v>
      </c>
      <c r="W464" s="30">
        <f>IFERROR(__xludf.DUMMYFUNCTION("""COMPUTED_VALUE"""),1.3881580723373892)</f>
        <v>1.388158072</v>
      </c>
      <c r="X464" s="30">
        <f>IFERROR(__xludf.DUMMYFUNCTION("""COMPUTED_VALUE"""),2.453090126923935)</f>
        <v>2.453090127</v>
      </c>
      <c r="Y464" s="30">
        <f>IFERROR(__xludf.DUMMYFUNCTION("""COMPUTED_VALUE"""),354.10846748813555)</f>
        <v>354.1084675</v>
      </c>
      <c r="Z464" s="30">
        <f>IFERROR(__xludf.DUMMYFUNCTION("""COMPUTED_VALUE"""),0.8111115254405367)</f>
        <v>0.8111115254</v>
      </c>
      <c r="AA464" s="30">
        <f>IFERROR(__xludf.DUMMYFUNCTION("""COMPUTED_VALUE"""),0.6059606676140253)</f>
        <v>0.6059606676</v>
      </c>
      <c r="AB464" s="30">
        <f>IFERROR(__xludf.DUMMYFUNCTION("""COMPUTED_VALUE"""),1.266207225406308)</f>
        <v>1.266207225</v>
      </c>
      <c r="AC464" s="30">
        <f>IFERROR(__xludf.DUMMYFUNCTION("""COMPUTED_VALUE"""),2.6634906390823008)</f>
        <v>2.663490639</v>
      </c>
      <c r="AD464" s="30">
        <f>IFERROR(__xludf.DUMMYFUNCTION("""COMPUTED_VALUE"""),0.9882800482455527)</f>
        <v>0.9882800482</v>
      </c>
      <c r="AE464" s="30">
        <f>IFERROR(__xludf.DUMMYFUNCTION("""COMPUTED_VALUE"""),0.873287225142829)</f>
        <v>0.8732872251</v>
      </c>
      <c r="AF464" s="30">
        <f>IFERROR(__xludf.DUMMYFUNCTION("""COMPUTED_VALUE"""),1.237704095470636)</f>
        <v>1.237704095</v>
      </c>
      <c r="AG464" s="30">
        <f>IFERROR(__xludf.DUMMYFUNCTION("""COMPUTED_VALUE"""),1.0201068519824543)</f>
        <v>1.020106852</v>
      </c>
      <c r="AH464" s="30">
        <f>IFERROR(__xludf.DUMMYFUNCTION("""COMPUTED_VALUE"""),0.8447561132691768)</f>
        <v>0.8447561133</v>
      </c>
      <c r="AI464" s="30">
        <f>IFERROR(__xludf.DUMMYFUNCTION("""COMPUTED_VALUE"""),1.0041842984604588)</f>
        <v>1.004184298</v>
      </c>
      <c r="AJ464" s="30">
        <f>IFERROR(__xludf.DUMMYFUNCTION("""COMPUTED_VALUE"""),1.0983097062593825)</f>
        <v>1.098309706</v>
      </c>
      <c r="AK464" s="30">
        <f>IFERROR(__xludf.DUMMYFUNCTION("""COMPUTED_VALUE"""),1.1256254200290943)</f>
        <v>1.12562542</v>
      </c>
      <c r="AL464" s="30">
        <f>IFERROR(__xludf.DUMMYFUNCTION("""COMPUTED_VALUE"""),0.8804632891441799)</f>
        <v>0.8804632891</v>
      </c>
      <c r="AM464" s="30">
        <f>IFERROR(__xludf.DUMMYFUNCTION("""COMPUTED_VALUE"""),1.024784561030863)</f>
        <v>1.024784561</v>
      </c>
      <c r="AN464" s="30">
        <f>IFERROR(__xludf.DUMMYFUNCTION("""COMPUTED_VALUE"""),1.032505425840552)</f>
        <v>1.032505426</v>
      </c>
      <c r="AO464" s="30">
        <f>IFERROR(__xludf.DUMMYFUNCTION("""COMPUTED_VALUE"""),0.9641645351416905)</f>
        <v>0.9641645351</v>
      </c>
      <c r="AP464" s="30">
        <f>IFERROR(__xludf.DUMMYFUNCTION("""COMPUTED_VALUE"""),1.3392286024647886)</f>
        <v>1.339228602</v>
      </c>
      <c r="AQ464" s="30">
        <f>IFERROR(__xludf.DUMMYFUNCTION("""COMPUTED_VALUE"""),0.9856776553998213)</f>
        <v>0.9856776554</v>
      </c>
      <c r="AR464" s="30">
        <f>IFERROR(__xludf.DUMMYFUNCTION("""COMPUTED_VALUE"""),0.9034890613752222)</f>
        <v>0.9034890614</v>
      </c>
      <c r="AS464" s="30">
        <f>IFERROR(__xludf.DUMMYFUNCTION("""COMPUTED_VALUE"""),65.0)</f>
        <v>65</v>
      </c>
      <c r="AT464" s="30">
        <f>IFERROR(__xludf.DUMMYFUNCTION("""COMPUTED_VALUE"""),0.5521681030875403)</f>
        <v>0.5521681031</v>
      </c>
      <c r="AU464" s="30">
        <f>IFERROR(__xludf.DUMMYFUNCTION("""COMPUTED_VALUE"""),2.0073859130798195)</f>
        <v>2.007385913</v>
      </c>
      <c r="AV464" s="32">
        <f>IFERROR(__xludf.DUMMYFUNCTION("""COMPUTED_VALUE"""),50.39338985723827)</f>
        <v>50.39338986</v>
      </c>
      <c r="AW464" s="32">
        <f>IFERROR(__xludf.DUMMYFUNCTION("""COMPUTED_VALUE"""),2.0254285867629056)</f>
        <v>2.025428587</v>
      </c>
      <c r="AX464" s="32">
        <f>IFERROR(__xludf.DUMMYFUNCTION("""COMPUTED_VALUE"""),49.140683786908845)</f>
        <v>49.14068379</v>
      </c>
      <c r="AY464" s="32">
        <f>IFERROR(__xludf.DUMMYFUNCTION("""COMPUTED_VALUE"""),-2.0563861199626974)</f>
        <v>-2.05638612</v>
      </c>
      <c r="AZ464" s="30">
        <f>IFERROR(__xludf.DUMMYFUNCTION("""COMPUTED_VALUE"""),4.081814706725603)</f>
        <v>4.081814707</v>
      </c>
      <c r="BA464" s="30">
        <f>IFERROR(__xludf.DUMMYFUNCTION("""COMPUTED_VALUE"""),1700.0)</f>
        <v>1700</v>
      </c>
    </row>
    <row r="465">
      <c r="A465" s="71" t="str">
        <f>IFERROR(__xludf.DUMMYFUNCTION("""COMPUTED_VALUE"""),"Rival")</f>
        <v>Rival</v>
      </c>
      <c r="B465" s="71" t="str">
        <f>IFERROR(__xludf.DUMMYFUNCTION("""COMPUTED_VALUE"""),"RSC004845")</f>
        <v>RSC004845</v>
      </c>
      <c r="C465" s="30" t="str">
        <f>IFERROR(__xludf.DUMMYFUNCTION("""COMPUTED_VALUE"""),"BinBoiz_")</f>
        <v>BinBoiz_</v>
      </c>
      <c r="D465" s="30" t="str">
        <f>IFERROR(__xludf.DUMMYFUNCTION("""COMPUTED_VALUE"""),"Lacuna")</f>
        <v>Lacuna</v>
      </c>
      <c r="E465" s="30">
        <f>IFERROR(__xludf.DUMMYFUNCTION("""COMPUTED_VALUE"""),33.0)</f>
        <v>33</v>
      </c>
      <c r="F465" s="30">
        <f>IFERROR(__xludf.DUMMYFUNCTION("""COMPUTED_VALUE"""),14.0)</f>
        <v>14</v>
      </c>
      <c r="G465" s="42">
        <f>IFERROR(__xludf.DUMMYFUNCTION("""COMPUTED_VALUE"""),19.0)</f>
        <v>19</v>
      </c>
      <c r="H465" s="42">
        <f>IFERROR(__xludf.DUMMYFUNCTION("""COMPUTED_VALUE"""),0.42424242424242425)</f>
        <v>0.4242424242</v>
      </c>
      <c r="I465" s="42">
        <f>IFERROR(__xludf.DUMMYFUNCTION("""COMPUTED_VALUE"""),0.31343283582089554)</f>
        <v>0.3134328358</v>
      </c>
      <c r="J465" s="30">
        <f>IFERROR(__xludf.DUMMYFUNCTION("""COMPUTED_VALUE"""),261.72727272727275)</f>
        <v>261.7272727</v>
      </c>
      <c r="K465" s="30">
        <f>IFERROR(__xludf.DUMMYFUNCTION("""COMPUTED_VALUE"""),0.6363636363636364)</f>
        <v>0.6363636364</v>
      </c>
      <c r="L465" s="30">
        <f>IFERROR(__xludf.DUMMYFUNCTION("""COMPUTED_VALUE"""),0.42424242424242425)</f>
        <v>0.4242424242</v>
      </c>
      <c r="M465" s="30">
        <f>IFERROR(__xludf.DUMMYFUNCTION("""COMPUTED_VALUE"""),0.7575757575757576)</f>
        <v>0.7575757576</v>
      </c>
      <c r="N465" s="30">
        <f>IFERROR(__xludf.DUMMYFUNCTION("""COMPUTED_VALUE"""),2.0303030303030303)</f>
        <v>2.03030303</v>
      </c>
      <c r="O465" s="30">
        <f>IFERROR(__xludf.DUMMYFUNCTION("""COMPUTED_VALUE"""),325.01010101010104)</f>
        <v>325.010101</v>
      </c>
      <c r="P465" s="30">
        <f>IFERROR(__xludf.DUMMYFUNCTION("""COMPUTED_VALUE"""),0.6767676767676768)</f>
        <v>0.6767676768</v>
      </c>
      <c r="Q465" s="30">
        <f>IFERROR(__xludf.DUMMYFUNCTION("""COMPUTED_VALUE"""),0.505050505050505)</f>
        <v>0.5050505051</v>
      </c>
      <c r="R465" s="30">
        <f>IFERROR(__xludf.DUMMYFUNCTION("""COMPUTED_VALUE"""),1.2929292929292928)</f>
        <v>1.292929293</v>
      </c>
      <c r="S465" s="30">
        <f>IFERROR(__xludf.DUMMYFUNCTION("""COMPUTED_VALUE"""),2.505050505050505)</f>
        <v>2.505050505</v>
      </c>
      <c r="T465" s="30">
        <f>IFERROR(__xludf.DUMMYFUNCTION("""COMPUTED_VALUE"""),348.93858817303027)</f>
        <v>348.9385882</v>
      </c>
      <c r="U465" s="30">
        <f>IFERROR(__xludf.DUMMYFUNCTION("""COMPUTED_VALUE"""),0.8066895452871697)</f>
        <v>0.8066895453</v>
      </c>
      <c r="V465" s="30">
        <f>IFERROR(__xludf.DUMMYFUNCTION("""COMPUTED_VALUE"""),0.5714379181895078)</f>
        <v>0.5714379182</v>
      </c>
      <c r="W465" s="30">
        <f>IFERROR(__xludf.DUMMYFUNCTION("""COMPUTED_VALUE"""),1.3145134986365905)</f>
        <v>1.314513499</v>
      </c>
      <c r="X465" s="30">
        <f>IFERROR(__xludf.DUMMYFUNCTION("""COMPUTED_VALUE"""),2.5886432569170763)</f>
        <v>2.588643257</v>
      </c>
      <c r="Y465" s="30">
        <f>IFERROR(__xludf.DUMMYFUNCTION("""COMPUTED_VALUE"""),350.36662916020566)</f>
        <v>350.3666292</v>
      </c>
      <c r="Z465" s="30">
        <f>IFERROR(__xludf.DUMMYFUNCTION("""COMPUTED_VALUE"""),0.7940662254290256)</f>
        <v>0.7940662254</v>
      </c>
      <c r="AA465" s="30">
        <f>IFERROR(__xludf.DUMMYFUNCTION("""COMPUTED_VALUE"""),0.5819746717840683)</f>
        <v>0.5819746718</v>
      </c>
      <c r="AB465" s="30">
        <f>IFERROR(__xludf.DUMMYFUNCTION("""COMPUTED_VALUE"""),1.3146407470461405)</f>
        <v>1.314640747</v>
      </c>
      <c r="AC465" s="30">
        <f>IFERROR(__xludf.DUMMYFUNCTION("""COMPUTED_VALUE"""),2.6234176598910355)</f>
        <v>2.62341766</v>
      </c>
      <c r="AD465" s="30">
        <f>IFERROR(__xludf.DUMMYFUNCTION("""COMPUTED_VALUE"""),0.7470097062457326)</f>
        <v>0.7470097062</v>
      </c>
      <c r="AE465" s="30">
        <f>IFERROR(__xludf.DUMMYFUNCTION("""COMPUTED_VALUE"""),0.8013986944474509)</f>
        <v>0.8013986944</v>
      </c>
      <c r="AF465" s="30">
        <f>IFERROR(__xludf.DUMMYFUNCTION("""COMPUTED_VALUE"""),0.7289705975380182)</f>
        <v>0.7289705975</v>
      </c>
      <c r="AG465" s="30">
        <f>IFERROR(__xludf.DUMMYFUNCTION("""COMPUTED_VALUE"""),0.5762606699038887)</f>
        <v>0.5762606699</v>
      </c>
      <c r="AH465" s="30">
        <f>IFERROR(__xludf.DUMMYFUNCTION("""COMPUTED_VALUE"""),0.7739152866674534)</f>
        <v>0.7739152867</v>
      </c>
      <c r="AI465" s="30">
        <f>IFERROR(__xludf.DUMMYFUNCTION("""COMPUTED_VALUE"""),0.9314249327131923)</f>
        <v>0.9314249327</v>
      </c>
      <c r="AJ465" s="30">
        <f>IFERROR(__xludf.DUMMYFUNCTION("""COMPUTED_VALUE"""),0.8389444002608927)</f>
        <v>0.8389444003</v>
      </c>
      <c r="AK465" s="30">
        <f>IFERROR(__xludf.DUMMYFUNCTION("""COMPUTED_VALUE"""),0.8838239272792069)</f>
        <v>0.8838239273</v>
      </c>
      <c r="AL465" s="30">
        <f>IFERROR(__xludf.DUMMYFUNCTION("""COMPUTED_VALUE"""),0.9835800805927937)</f>
        <v>0.9835800806</v>
      </c>
      <c r="AM465" s="30">
        <f>IFERROR(__xludf.DUMMYFUNCTION("""COMPUTED_VALUE"""),0.9677078903617932)</f>
        <v>0.9677078904</v>
      </c>
      <c r="AN465" s="30">
        <f>IFERROR(__xludf.DUMMYFUNCTION("""COMPUTED_VALUE"""),0.7721914394990613)</f>
        <v>0.7721914395</v>
      </c>
      <c r="AO465" s="30">
        <f>IFERROR(__xludf.DUMMYFUNCTION("""COMPUTED_VALUE"""),0.86620129360323)</f>
        <v>0.8662012936</v>
      </c>
      <c r="AP465" s="30">
        <f>IFERROR(__xludf.DUMMYFUNCTION("""COMPUTED_VALUE"""),0.7575434518992744)</f>
        <v>0.7575434519</v>
      </c>
      <c r="AQ465" s="30">
        <f>IFERROR(__xludf.DUMMYFUNCTION("""COMPUTED_VALUE"""),0.578110061818077)</f>
        <v>0.5781100618</v>
      </c>
      <c r="AR465" s="30">
        <f>IFERROR(__xludf.DUMMYFUNCTION("""COMPUTED_VALUE"""),0.8152695907358908)</f>
        <v>0.8152695907</v>
      </c>
      <c r="AS465" s="30">
        <f>IFERROR(__xludf.DUMMYFUNCTION("""COMPUTED_VALUE"""),69.0)</f>
        <v>69</v>
      </c>
      <c r="AT465" s="30">
        <f>IFERROR(__xludf.DUMMYFUNCTION("""COMPUTED_VALUE"""),0.5110391081365285)</f>
        <v>0.5110391081</v>
      </c>
      <c r="AU465" s="30">
        <f>IFERROR(__xludf.DUMMYFUNCTION("""COMPUTED_VALUE"""),1.5006257417163984)</f>
        <v>1.500625742</v>
      </c>
      <c r="AV465" s="32">
        <f>IFERROR(__xludf.DUMMYFUNCTION("""COMPUTED_VALUE"""),32.49255841353815)</f>
        <v>32.49255841</v>
      </c>
      <c r="AW465" s="32">
        <f>IFERROR(__xludf.DUMMYFUNCTION("""COMPUTED_VALUE"""),-4.134440164329466)</f>
        <v>-4.134440164</v>
      </c>
      <c r="AX465" s="32">
        <f>IFERROR(__xludf.DUMMYFUNCTION("""COMPUTED_VALUE"""),20.9461800537063)</f>
        <v>20.94618005</v>
      </c>
      <c r="AY465" s="32">
        <f>IFERROR(__xludf.DUMMYFUNCTION("""COMPUTED_VALUE"""),-8.157491660396849)</f>
        <v>-8.15749166</v>
      </c>
      <c r="AZ465" s="30">
        <f>IFERROR(__xludf.DUMMYFUNCTION("""COMPUTED_VALUE"""),4.023051496067382)</f>
        <v>4.023051496</v>
      </c>
      <c r="BA465" s="30">
        <f>IFERROR(__xludf.DUMMYFUNCTION("""COMPUTED_VALUE"""),1700.0)</f>
        <v>1700</v>
      </c>
    </row>
    <row r="466">
      <c r="A466" s="71" t="str">
        <f>IFERROR(__xludf.DUMMYFUNCTION("""COMPUTED_VALUE"""),"Rival")</f>
        <v>Rival</v>
      </c>
      <c r="B466" s="71" t="str">
        <f>IFERROR(__xludf.DUMMYFUNCTION("""COMPUTED_VALUE"""),"RSC005513")</f>
        <v>RSC005513</v>
      </c>
      <c r="C466" s="30" t="str">
        <f>IFERROR(__xludf.DUMMYFUNCTION("""COMPUTED_VALUE"""),"TV_ImpactReapz")</f>
        <v>TV_ImpactReapz</v>
      </c>
      <c r="D466" s="30"/>
      <c r="E466" s="30">
        <f>IFERROR(__xludf.DUMMYFUNCTION("""COMPUTED_VALUE"""),12.0)</f>
        <v>12</v>
      </c>
      <c r="F466" s="30">
        <f>IFERROR(__xludf.DUMMYFUNCTION("""COMPUTED_VALUE"""),4.0)</f>
        <v>4</v>
      </c>
      <c r="G466" s="42">
        <f>IFERROR(__xludf.DUMMYFUNCTION("""COMPUTED_VALUE"""),8.0)</f>
        <v>8</v>
      </c>
      <c r="H466" s="42">
        <f>IFERROR(__xludf.DUMMYFUNCTION("""COMPUTED_VALUE"""),0.3333333333333333)</f>
        <v>0.3333333333</v>
      </c>
      <c r="I466" s="42">
        <f>IFERROR(__xludf.DUMMYFUNCTION("""COMPUTED_VALUE"""),0.2608695652173913)</f>
        <v>0.2608695652</v>
      </c>
      <c r="J466" s="30">
        <f>IFERROR(__xludf.DUMMYFUNCTION("""COMPUTED_VALUE"""),267.5833333333333)</f>
        <v>267.5833333</v>
      </c>
      <c r="K466" s="30">
        <f>IFERROR(__xludf.DUMMYFUNCTION("""COMPUTED_VALUE"""),0.5)</f>
        <v>0.5</v>
      </c>
      <c r="L466" s="30">
        <f>IFERROR(__xludf.DUMMYFUNCTION("""COMPUTED_VALUE"""),0.3333333333333333)</f>
        <v>0.3333333333</v>
      </c>
      <c r="M466" s="30">
        <f>IFERROR(__xludf.DUMMYFUNCTION("""COMPUTED_VALUE"""),1.3333333333333333)</f>
        <v>1.333333333</v>
      </c>
      <c r="N466" s="30">
        <f>IFERROR(__xludf.DUMMYFUNCTION("""COMPUTED_VALUE"""),1.9166666666666667)</f>
        <v>1.916666667</v>
      </c>
      <c r="O466" s="30">
        <f>IFERROR(__xludf.DUMMYFUNCTION("""COMPUTED_VALUE"""),334.27777777777777)</f>
        <v>334.2777778</v>
      </c>
      <c r="P466" s="30">
        <f>IFERROR(__xludf.DUMMYFUNCTION("""COMPUTED_VALUE"""),0.7777777777777777)</f>
        <v>0.7777777778</v>
      </c>
      <c r="Q466" s="30">
        <f>IFERROR(__xludf.DUMMYFUNCTION("""COMPUTED_VALUE"""),0.5833333333333334)</f>
        <v>0.5833333333</v>
      </c>
      <c r="R466" s="30">
        <f>IFERROR(__xludf.DUMMYFUNCTION("""COMPUTED_VALUE"""),1.0833333333333333)</f>
        <v>1.083333333</v>
      </c>
      <c r="S466" s="30">
        <f>IFERROR(__xludf.DUMMYFUNCTION("""COMPUTED_VALUE"""),2.0833333333333335)</f>
        <v>2.083333333</v>
      </c>
      <c r="T466" s="30">
        <f>IFERROR(__xludf.DUMMYFUNCTION("""COMPUTED_VALUE"""),345.65304493988515)</f>
        <v>345.6530449</v>
      </c>
      <c r="U466" s="30">
        <f>IFERROR(__xludf.DUMMYFUNCTION("""COMPUTED_VALUE"""),0.7761922979284092)</f>
        <v>0.7761922979</v>
      </c>
      <c r="V466" s="30">
        <f>IFERROR(__xludf.DUMMYFUNCTION("""COMPUTED_VALUE"""),0.5796180427083205)</f>
        <v>0.5796180427</v>
      </c>
      <c r="W466" s="30">
        <f>IFERROR(__xludf.DUMMYFUNCTION("""COMPUTED_VALUE"""),1.2527815086148417)</f>
        <v>1.252781509</v>
      </c>
      <c r="X466" s="30">
        <f>IFERROR(__xludf.DUMMYFUNCTION("""COMPUTED_VALUE"""),2.580540538422483)</f>
        <v>2.580540538</v>
      </c>
      <c r="Y466" s="30">
        <f>IFERROR(__xludf.DUMMYFUNCTION("""COMPUTED_VALUE"""),349.17302113824104)</f>
        <v>349.1730211</v>
      </c>
      <c r="Z466" s="30">
        <f>IFERROR(__xludf.DUMMYFUNCTION("""COMPUTED_VALUE"""),0.7680526370919889)</f>
        <v>0.7680526371</v>
      </c>
      <c r="AA466" s="30">
        <f>IFERROR(__xludf.DUMMYFUNCTION("""COMPUTED_VALUE"""),0.5163329190528265)</f>
        <v>0.5163329191</v>
      </c>
      <c r="AB466" s="30">
        <f>IFERROR(__xludf.DUMMYFUNCTION("""COMPUTED_VALUE"""),1.3897104246062584)</f>
        <v>1.389710425</v>
      </c>
      <c r="AC466" s="30">
        <f>IFERROR(__xludf.DUMMYFUNCTION("""COMPUTED_VALUE"""),2.503570143847922)</f>
        <v>2.503570144</v>
      </c>
      <c r="AD466" s="30">
        <f>IFERROR(__xludf.DUMMYFUNCTION("""COMPUTED_VALUE"""),0.7663345021933823)</f>
        <v>0.7663345022</v>
      </c>
      <c r="AE466" s="30">
        <f>IFERROR(__xludf.DUMMYFUNCTION("""COMPUTED_VALUE"""),0.6509970487089357)</f>
        <v>0.6509970487</v>
      </c>
      <c r="AF466" s="30">
        <f>IFERROR(__xludf.DUMMYFUNCTION("""COMPUTED_VALUE"""),0.6455783101042791)</f>
        <v>0.6455783101</v>
      </c>
      <c r="AG466" s="30">
        <f>IFERROR(__xludf.DUMMYFUNCTION("""COMPUTED_VALUE"""),0.9594324901974466)</f>
        <v>0.9594324902</v>
      </c>
      <c r="AH466" s="30">
        <f>IFERROR(__xludf.DUMMYFUNCTION("""COMPUTED_VALUE"""),0.7655733838241098)</f>
        <v>0.7655733838</v>
      </c>
      <c r="AI466" s="30">
        <f>IFERROR(__xludf.DUMMYFUNCTION("""COMPUTED_VALUE"""),0.9670905049770768)</f>
        <v>0.967090505</v>
      </c>
      <c r="AJ466" s="30">
        <f>IFERROR(__xludf.DUMMYFUNCTION("""COMPUTED_VALUE"""),1.0020426379565992)</f>
        <v>1.002042638</v>
      </c>
      <c r="AK466" s="30">
        <f>IFERROR(__xludf.DUMMYFUNCTION("""COMPUTED_VALUE"""),1.0064098947086824)</f>
        <v>1.006409895</v>
      </c>
      <c r="AL466" s="30">
        <f>IFERROR(__xludf.DUMMYFUNCTION("""COMPUTED_VALUE"""),0.8647424358387429)</f>
        <v>0.8647424358</v>
      </c>
      <c r="AM466" s="30">
        <f>IFERROR(__xludf.DUMMYFUNCTION("""COMPUTED_VALUE"""),0.8073243966967096)</f>
        <v>0.8073243967</v>
      </c>
      <c r="AN466" s="30">
        <f>IFERROR(__xludf.DUMMYFUNCTION("""COMPUTED_VALUE"""),0.7894689659183265)</f>
        <v>0.7894689659</v>
      </c>
      <c r="AO466" s="30">
        <f>IFERROR(__xludf.DUMMYFUNCTION("""COMPUTED_VALUE"""),0.6805867306882522)</f>
        <v>0.6805867307</v>
      </c>
      <c r="AP466" s="30">
        <f>IFERROR(__xludf.DUMMYFUNCTION("""COMPUTED_VALUE"""),0.5952127122065727)</f>
        <v>0.5952127122</v>
      </c>
      <c r="AQ466" s="30">
        <f>IFERROR(__xludf.DUMMYFUNCTION("""COMPUTED_VALUE"""),1.0174737087998156)</f>
        <v>1.017473709</v>
      </c>
      <c r="AR466" s="30">
        <f>IFERROR(__xludf.DUMMYFUNCTION("""COMPUTED_VALUE"""),0.7696388300603746)</f>
        <v>0.7696388301</v>
      </c>
      <c r="AS466" s="30">
        <f>IFERROR(__xludf.DUMMYFUNCTION("""COMPUTED_VALUE"""),27.0)</f>
        <v>27</v>
      </c>
      <c r="AT466" s="30">
        <f>IFERROR(__xludf.DUMMYFUNCTION("""COMPUTED_VALUE"""),0.4859298224934414)</f>
        <v>0.4859298225</v>
      </c>
      <c r="AU466" s="30">
        <f>IFERROR(__xludf.DUMMYFUNCTION("""COMPUTED_VALUE"""),1.1986694044470243)</f>
        <v>1.198669404</v>
      </c>
      <c r="AV466" s="32">
        <f>IFERROR(__xludf.DUMMYFUNCTION("""COMPUTED_VALUE"""),21.826231811205854)</f>
        <v>21.82623181</v>
      </c>
      <c r="AW466" s="32">
        <f>IFERROR(__xludf.DUMMYFUNCTION("""COMPUTED_VALUE"""),-7.699316618373896)</f>
        <v>-7.699316618</v>
      </c>
      <c r="AX466" s="32">
        <f>IFERROR(__xludf.DUMMYFUNCTION("""COMPUTED_VALUE"""),34.294626720217224)</f>
        <v>34.29462672</v>
      </c>
      <c r="AY466" s="32">
        <f>IFERROR(__xludf.DUMMYFUNCTION("""COMPUTED_VALUE"""),-3.7745595231679583)</f>
        <v>-3.774559523</v>
      </c>
      <c r="AZ466" s="30">
        <f>IFERROR(__xludf.DUMMYFUNCTION("""COMPUTED_VALUE"""),3.9247570952059374)</f>
        <v>3.924757095</v>
      </c>
      <c r="BA466" s="30">
        <f>IFERROR(__xludf.DUMMYFUNCTION("""COMPUTED_VALUE"""),1700.0)</f>
        <v>1700</v>
      </c>
    </row>
    <row r="467">
      <c r="A467" s="71" t="str">
        <f>IFERROR(__xludf.DUMMYFUNCTION("""COMPUTED_VALUE"""),"Rival")</f>
        <v>Rival</v>
      </c>
      <c r="B467" s="71" t="str">
        <f>IFERROR(__xludf.DUMMYFUNCTION("""COMPUTED_VALUE"""),"RSC007129")</f>
        <v>RSC007129</v>
      </c>
      <c r="C467" s="30" t="str">
        <f>IFERROR(__xludf.DUMMYFUNCTION("""COMPUTED_VALUE"""),"EKA Luminous")</f>
        <v>EKA Luminous</v>
      </c>
      <c r="D467" s="30"/>
      <c r="E467" s="30">
        <f>IFERROR(__xludf.DUMMYFUNCTION("""COMPUTED_VALUE"""),20.0)</f>
        <v>20</v>
      </c>
      <c r="F467" s="30">
        <f>IFERROR(__xludf.DUMMYFUNCTION("""COMPUTED_VALUE"""),12.0)</f>
        <v>12</v>
      </c>
      <c r="G467" s="42">
        <f>IFERROR(__xludf.DUMMYFUNCTION("""COMPUTED_VALUE"""),8.0)</f>
        <v>8</v>
      </c>
      <c r="H467" s="42">
        <f>IFERROR(__xludf.DUMMYFUNCTION("""COMPUTED_VALUE"""),0.6)</f>
        <v>0.6</v>
      </c>
      <c r="I467" s="42">
        <f>IFERROR(__xludf.DUMMYFUNCTION("""COMPUTED_VALUE"""),0.3478260869565218)</f>
        <v>0.347826087</v>
      </c>
      <c r="J467" s="30">
        <f>IFERROR(__xludf.DUMMYFUNCTION("""COMPUTED_VALUE"""),274.1)</f>
        <v>274.1</v>
      </c>
      <c r="K467" s="30">
        <f>IFERROR(__xludf.DUMMYFUNCTION("""COMPUTED_VALUE"""),0.4)</f>
        <v>0.4</v>
      </c>
      <c r="L467" s="30">
        <f>IFERROR(__xludf.DUMMYFUNCTION("""COMPUTED_VALUE"""),0.75)</f>
        <v>0.75</v>
      </c>
      <c r="M467" s="30">
        <f>IFERROR(__xludf.DUMMYFUNCTION("""COMPUTED_VALUE"""),1.45)</f>
        <v>1.45</v>
      </c>
      <c r="N467" s="30">
        <f>IFERROR(__xludf.DUMMYFUNCTION("""COMPUTED_VALUE"""),1.15)</f>
        <v>1.15</v>
      </c>
      <c r="O467" s="30">
        <f>IFERROR(__xludf.DUMMYFUNCTION("""COMPUTED_VALUE"""),313.9)</f>
        <v>313.9</v>
      </c>
      <c r="P467" s="30">
        <f>IFERROR(__xludf.DUMMYFUNCTION("""COMPUTED_VALUE"""),0.6333333333333333)</f>
        <v>0.6333333333</v>
      </c>
      <c r="Q467" s="30">
        <f>IFERROR(__xludf.DUMMYFUNCTION("""COMPUTED_VALUE"""),0.4833333333333333)</f>
        <v>0.4833333333</v>
      </c>
      <c r="R467" s="30">
        <f>IFERROR(__xludf.DUMMYFUNCTION("""COMPUTED_VALUE"""),1.15)</f>
        <v>1.15</v>
      </c>
      <c r="S467" s="30">
        <f>IFERROR(__xludf.DUMMYFUNCTION("""COMPUTED_VALUE"""),2.2833333333333337)</f>
        <v>2.283333333</v>
      </c>
      <c r="T467" s="30">
        <f>IFERROR(__xludf.DUMMYFUNCTION("""COMPUTED_VALUE"""),325.9154091992682)</f>
        <v>325.9154092</v>
      </c>
      <c r="U467" s="30">
        <f>IFERROR(__xludf.DUMMYFUNCTION("""COMPUTED_VALUE"""),0.638444301876097)</f>
        <v>0.6384443019</v>
      </c>
      <c r="V467" s="30">
        <f>IFERROR(__xludf.DUMMYFUNCTION("""COMPUTED_VALUE"""),0.503730138058358)</f>
        <v>0.5037301381</v>
      </c>
      <c r="W467" s="30">
        <f>IFERROR(__xludf.DUMMYFUNCTION("""COMPUTED_VALUE"""),1.329665667590617)</f>
        <v>1.329665668</v>
      </c>
      <c r="X467" s="30">
        <f>IFERROR(__xludf.DUMMYFUNCTION("""COMPUTED_VALUE"""),2.352096836653504)</f>
        <v>2.352096837</v>
      </c>
      <c r="Y467" s="30">
        <f>IFERROR(__xludf.DUMMYFUNCTION("""COMPUTED_VALUE"""),363.861601715483)</f>
        <v>363.8616017</v>
      </c>
      <c r="Z467" s="30">
        <f>IFERROR(__xludf.DUMMYFUNCTION("""COMPUTED_VALUE"""),0.8789410567286241)</f>
        <v>0.8789410567</v>
      </c>
      <c r="AA467" s="30">
        <f>IFERROR(__xludf.DUMMYFUNCTION("""COMPUTED_VALUE"""),0.6443332935548538)</f>
        <v>0.6443332936</v>
      </c>
      <c r="AB467" s="30">
        <f>IFERROR(__xludf.DUMMYFUNCTION("""COMPUTED_VALUE"""),1.2856666604671592)</f>
        <v>1.28566666</v>
      </c>
      <c r="AC467" s="30">
        <f>IFERROR(__xludf.DUMMYFUNCTION("""COMPUTED_VALUE"""),2.7054703368401816)</f>
        <v>2.705470337</v>
      </c>
      <c r="AD467" s="30">
        <f>IFERROR(__xludf.DUMMYFUNCTION("""COMPUTED_VALUE"""),0.7533083972249676)</f>
        <v>0.7533083972</v>
      </c>
      <c r="AE467" s="30">
        <f>IFERROR(__xludf.DUMMYFUNCTION("""COMPUTED_VALUE"""),0.45509308836792833)</f>
        <v>0.4550930884</v>
      </c>
      <c r="AF467" s="30">
        <f>IFERROR(__xludf.DUMMYFUNCTION("""COMPUTED_VALUE"""),1.163993863893284)</f>
        <v>1.163993864</v>
      </c>
      <c r="AG467" s="30">
        <f>IFERROR(__xludf.DUMMYFUNCTION("""COMPUTED_VALUE"""),1.1278195543105463)</f>
        <v>1.127819554</v>
      </c>
      <c r="AH467" s="30">
        <f>IFERROR(__xludf.DUMMYFUNCTION("""COMPUTED_VALUE"""),0.42506472325367545)</f>
        <v>0.4250647233</v>
      </c>
      <c r="AI467" s="30">
        <f>IFERROR(__xludf.DUMMYFUNCTION("""COMPUTED_VALUE"""),0.9631333503721455)</f>
        <v>0.9631333504</v>
      </c>
      <c r="AJ467" s="30">
        <f>IFERROR(__xludf.DUMMYFUNCTION("""COMPUTED_VALUE"""),0.9919946524266174)</f>
        <v>0.9919946524</v>
      </c>
      <c r="AK467" s="30">
        <f>IFERROR(__xludf.DUMMYFUNCTION("""COMPUTED_VALUE"""),0.9595084685549196)</f>
        <v>0.9595084686</v>
      </c>
      <c r="AL467" s="30">
        <f>IFERROR(__xludf.DUMMYFUNCTION("""COMPUTED_VALUE"""),0.8648790654900677)</f>
        <v>0.8648790655</v>
      </c>
      <c r="AM467" s="30">
        <f>IFERROR(__xludf.DUMMYFUNCTION("""COMPUTED_VALUE"""),0.9707650202795199)</f>
        <v>0.9707650203</v>
      </c>
      <c r="AN467" s="30">
        <f>IFERROR(__xludf.DUMMYFUNCTION("""COMPUTED_VALUE"""),0.8086955224847586)</f>
        <v>0.8086955225</v>
      </c>
      <c r="AO467" s="30">
        <f>IFERROR(__xludf.DUMMYFUNCTION("""COMPUTED_VALUE"""),0.5444693845506017)</f>
        <v>0.5444693846</v>
      </c>
      <c r="AP467" s="30">
        <f>IFERROR(__xludf.DUMMYFUNCTION("""COMPUTED_VALUE"""),1.3392286024647886)</f>
        <v>1.339228602</v>
      </c>
      <c r="AQ467" s="30">
        <f>IFERROR(__xludf.DUMMYFUNCTION("""COMPUTED_VALUE"""),1.1065026583197994)</f>
        <v>1.106502658</v>
      </c>
      <c r="AR467" s="30">
        <f>IFERROR(__xludf.DUMMYFUNCTION("""COMPUTED_VALUE"""),0.4617832980362247)</f>
        <v>0.461783298</v>
      </c>
      <c r="AS467" s="30">
        <f>IFERROR(__xludf.DUMMYFUNCTION("""COMPUTED_VALUE"""),48.0)</f>
        <v>48</v>
      </c>
      <c r="AT467" s="30">
        <f>IFERROR(__xludf.DUMMYFUNCTION("""COMPUTED_VALUE"""),0.5878448968012117)</f>
        <v>0.5878448968</v>
      </c>
      <c r="AU467" s="30">
        <f>IFERROR(__xludf.DUMMYFUNCTION("""COMPUTED_VALUE"""),1.158937175990762)</f>
        <v>1.158937176</v>
      </c>
      <c r="AV467" s="32">
        <f>IFERROR(__xludf.DUMMYFUNCTION("""COMPUTED_VALUE"""),20.42272781726614)</f>
        <v>20.42272782</v>
      </c>
      <c r="AW467" s="32">
        <f>IFERROR(__xludf.DUMMYFUNCTION("""COMPUTED_VALUE"""),-8.446904463245025)</f>
        <v>-8.446904463</v>
      </c>
      <c r="AX467" s="32">
        <f>IFERROR(__xludf.DUMMYFUNCTION("""COMPUTED_VALUE"""),30.043586887755943)</f>
        <v>30.04358689</v>
      </c>
      <c r="AY467" s="32">
        <f>IFERROR(__xludf.DUMMYFUNCTION("""COMPUTED_VALUE"""),-4.708966540995452)</f>
        <v>-4.708966541</v>
      </c>
      <c r="AZ467" s="30">
        <f>IFERROR(__xludf.DUMMYFUNCTION("""COMPUTED_VALUE"""),3.7379379222495723)</f>
        <v>3.737937922</v>
      </c>
      <c r="BA467" s="30">
        <f>IFERROR(__xludf.DUMMYFUNCTION("""COMPUTED_VALUE"""),1700.0)</f>
        <v>1700</v>
      </c>
    </row>
    <row r="468">
      <c r="A468" s="71" t="str">
        <f>IFERROR(__xludf.DUMMYFUNCTION("""COMPUTED_VALUE"""),"Rival")</f>
        <v>Rival</v>
      </c>
      <c r="B468" s="71" t="str">
        <f>IFERROR(__xludf.DUMMYFUNCTION("""COMPUTED_VALUE"""),"RSC002204")</f>
        <v>RSC002204</v>
      </c>
      <c r="C468" s="30" t="str">
        <f>IFERROR(__xludf.DUMMYFUNCTION("""COMPUTED_VALUE"""),"Mr.Numb3rz")</f>
        <v>Mr.Numb3rz</v>
      </c>
      <c r="D468" s="30"/>
      <c r="E468" s="30">
        <f>IFERROR(__xludf.DUMMYFUNCTION("""COMPUTED_VALUE"""),6.0)</f>
        <v>6</v>
      </c>
      <c r="F468" s="30">
        <f>IFERROR(__xludf.DUMMYFUNCTION("""COMPUTED_VALUE"""),2.0)</f>
        <v>2</v>
      </c>
      <c r="G468" s="42">
        <f>IFERROR(__xludf.DUMMYFUNCTION("""COMPUTED_VALUE"""),4.0)</f>
        <v>4</v>
      </c>
      <c r="H468" s="42">
        <f>IFERROR(__xludf.DUMMYFUNCTION("""COMPUTED_VALUE"""),0.3333333333333333)</f>
        <v>0.3333333333</v>
      </c>
      <c r="I468" s="42">
        <f>IFERROR(__xludf.DUMMYFUNCTION("""COMPUTED_VALUE"""),0.2)</f>
        <v>0.2</v>
      </c>
      <c r="J468" s="30">
        <f>IFERROR(__xludf.DUMMYFUNCTION("""COMPUTED_VALUE"""),286.3333333333333)</f>
        <v>286.3333333</v>
      </c>
      <c r="K468" s="30">
        <f>IFERROR(__xludf.DUMMYFUNCTION("""COMPUTED_VALUE"""),0.5)</f>
        <v>0.5</v>
      </c>
      <c r="L468" s="30">
        <f>IFERROR(__xludf.DUMMYFUNCTION("""COMPUTED_VALUE"""),0.3333333333333333)</f>
        <v>0.3333333333</v>
      </c>
      <c r="M468" s="30">
        <f>IFERROR(__xludf.DUMMYFUNCTION("""COMPUTED_VALUE"""),1.3333333333333333)</f>
        <v>1.333333333</v>
      </c>
      <c r="N468" s="30">
        <f>IFERROR(__xludf.DUMMYFUNCTION("""COMPUTED_VALUE"""),2.5)</f>
        <v>2.5</v>
      </c>
      <c r="O468" s="30">
        <f>IFERROR(__xludf.DUMMYFUNCTION("""COMPUTED_VALUE"""),420.8888888888889)</f>
        <v>420.8888889</v>
      </c>
      <c r="P468" s="30">
        <f>IFERROR(__xludf.DUMMYFUNCTION("""COMPUTED_VALUE"""),1.0555555555555556)</f>
        <v>1.055555556</v>
      </c>
      <c r="Q468" s="30">
        <f>IFERROR(__xludf.DUMMYFUNCTION("""COMPUTED_VALUE"""),0.7777777777777778)</f>
        <v>0.7777777778</v>
      </c>
      <c r="R468" s="30">
        <f>IFERROR(__xludf.DUMMYFUNCTION("""COMPUTED_VALUE"""),1.5555555555555556)</f>
        <v>1.555555556</v>
      </c>
      <c r="S468" s="30">
        <f>IFERROR(__xludf.DUMMYFUNCTION("""COMPUTED_VALUE"""),3.222222222222222)</f>
        <v>3.222222222</v>
      </c>
      <c r="T468" s="30">
        <f>IFERROR(__xludf.DUMMYFUNCTION("""COMPUTED_VALUE"""),378.77772271301683)</f>
        <v>378.7777227</v>
      </c>
      <c r="U468" s="30">
        <f>IFERROR(__xludf.DUMMYFUNCTION("""COMPUTED_VALUE"""),0.8451291627762215)</f>
        <v>0.8451291628</v>
      </c>
      <c r="V468" s="30">
        <f>IFERROR(__xludf.DUMMYFUNCTION("""COMPUTED_VALUE"""),0.7061935885465296)</f>
        <v>0.7061935885</v>
      </c>
      <c r="W468" s="30">
        <f>IFERROR(__xludf.DUMMYFUNCTION("""COMPUTED_VALUE"""),1.3712968948263067)</f>
        <v>1.371296895</v>
      </c>
      <c r="X468" s="30">
        <f>IFERROR(__xludf.DUMMYFUNCTION("""COMPUTED_VALUE"""),2.8554909143144442)</f>
        <v>2.855490914</v>
      </c>
      <c r="Y468" s="30">
        <f>IFERROR(__xludf.DUMMYFUNCTION("""COMPUTED_VALUE"""),352.792555084712)</f>
        <v>352.7925551</v>
      </c>
      <c r="Z468" s="30">
        <f>IFERROR(__xludf.DUMMYFUNCTION("""COMPUTED_VALUE"""),0.8364057873861798)</f>
        <v>0.8364057874</v>
      </c>
      <c r="AA468" s="30">
        <f>IFERROR(__xludf.DUMMYFUNCTION("""COMPUTED_VALUE"""),0.5590565570957727)</f>
        <v>0.5590565571</v>
      </c>
      <c r="AB468" s="30">
        <f>IFERROR(__xludf.DUMMYFUNCTION("""COMPUTED_VALUE"""),1.2975396426376815)</f>
        <v>1.297539643</v>
      </c>
      <c r="AC468" s="30">
        <f>IFERROR(__xludf.DUMMYFUNCTION("""COMPUTED_VALUE"""),2.706757802836234)</f>
        <v>2.706757803</v>
      </c>
      <c r="AD468" s="30">
        <f>IFERROR(__xludf.DUMMYFUNCTION("""COMPUTED_VALUE"""),0.8116195458392805)</f>
        <v>0.8116195458</v>
      </c>
      <c r="AE468" s="30">
        <f>IFERROR(__xludf.DUMMYFUNCTION("""COMPUTED_VALUE"""),0.5977959592586407)</f>
        <v>0.5977959593</v>
      </c>
      <c r="AF468" s="30">
        <f>IFERROR(__xludf.DUMMYFUNCTION("""COMPUTED_VALUE"""),0.5962425967507784)</f>
        <v>0.5962425968</v>
      </c>
      <c r="AG468" s="30">
        <f>IFERROR(__xludf.DUMMYFUNCTION("""COMPUTED_VALUE"""),1.0275858166636738)</f>
        <v>1.027585817</v>
      </c>
      <c r="AH468" s="30">
        <f>IFERROR(__xludf.DUMMYFUNCTION("""COMPUTED_VALUE"""),0.9236142211838879)</f>
        <v>0.9236142212</v>
      </c>
      <c r="AI468" s="30">
        <f>IFERROR(__xludf.DUMMYFUNCTION("""COMPUTED_VALUE"""),1.1111764595717206)</f>
        <v>1.11117646</v>
      </c>
      <c r="AJ468" s="30">
        <f>IFERROR(__xludf.DUMMYFUNCTION("""COMPUTED_VALUE"""),1.2489872578625618)</f>
        <v>1.248987258</v>
      </c>
      <c r="AK468" s="30">
        <f>IFERROR(__xludf.DUMMYFUNCTION("""COMPUTED_VALUE"""),1.101366240634641)</f>
        <v>1.101366241</v>
      </c>
      <c r="AL468" s="30">
        <f>IFERROR(__xludf.DUMMYFUNCTION("""COMPUTED_VALUE"""),1.1343681746997523)</f>
        <v>1.134368175</v>
      </c>
      <c r="AM468" s="30">
        <f>IFERROR(__xludf.DUMMYFUNCTION("""COMPUTED_VALUE"""),1.1284302135472994)</f>
        <v>1.128430214</v>
      </c>
      <c r="AN468" s="30">
        <f>IFERROR(__xludf.DUMMYFUNCTION("""COMPUTED_VALUE"""),0.8447883422283929)</f>
        <v>0.8447883422</v>
      </c>
      <c r="AO468" s="30">
        <f>IFERROR(__xludf.DUMMYFUNCTION("""COMPUTED_VALUE"""),0.6805867306882522)</f>
        <v>0.6805867307</v>
      </c>
      <c r="AP468" s="30">
        <f>IFERROR(__xludf.DUMMYFUNCTION("""COMPUTED_VALUE"""),0.5952127122065727)</f>
        <v>0.5952127122</v>
      </c>
      <c r="AQ468" s="30">
        <f>IFERROR(__xludf.DUMMYFUNCTION("""COMPUTED_VALUE"""),1.0174737087998156)</f>
        <v>1.017473709</v>
      </c>
      <c r="AR468" s="30">
        <f>IFERROR(__xludf.DUMMYFUNCTION("""COMPUTED_VALUE"""),1.003876734861358)</f>
        <v>1.003876735</v>
      </c>
      <c r="AS468" s="30">
        <f>IFERROR(__xludf.DUMMYFUNCTION("""COMPUTED_VALUE"""),9.0)</f>
        <v>9</v>
      </c>
      <c r="AT468" s="30">
        <f>IFERROR(__xludf.DUMMYFUNCTION("""COMPUTED_VALUE"""),0.23818552466457016)</f>
        <v>0.2381855247</v>
      </c>
      <c r="AU468" s="30">
        <f>IFERROR(__xludf.DUMMYFUNCTION("""COMPUTED_VALUE"""),1.135447674731217)</f>
        <v>1.135447675</v>
      </c>
      <c r="AV468" s="32">
        <f>IFERROR(__xludf.DUMMYFUNCTION("""COMPUTED_VALUE"""),19.592983045469246)</f>
        <v>19.59298305</v>
      </c>
      <c r="AW468" s="32">
        <f>IFERROR(__xludf.DUMMYFUNCTION("""COMPUTED_VALUE"""),-8.933436189221055)</f>
        <v>-8.933436189</v>
      </c>
      <c r="AX468" s="32">
        <f>IFERROR(__xludf.DUMMYFUNCTION("""COMPUTED_VALUE"""),14.758273250837924)</f>
        <v>14.75827325</v>
      </c>
      <c r="AY468" s="32">
        <f>IFERROR(__xludf.DUMMYFUNCTION("""COMPUTED_VALUE"""),-12.607365765958491)</f>
        <v>-12.60736577</v>
      </c>
      <c r="AZ468" s="30">
        <f>IFERROR(__xludf.DUMMYFUNCTION("""COMPUTED_VALUE"""),3.673929576737436)</f>
        <v>3.673929577</v>
      </c>
      <c r="BA468" s="30">
        <f>IFERROR(__xludf.DUMMYFUNCTION("""COMPUTED_VALUE"""),1700.0)</f>
        <v>1700</v>
      </c>
    </row>
    <row r="469">
      <c r="A469" s="71" t="str">
        <f>IFERROR(__xludf.DUMMYFUNCTION("""COMPUTED_VALUE"""),"Rival")</f>
        <v>Rival</v>
      </c>
      <c r="B469" s="71" t="str">
        <f>IFERROR(__xludf.DUMMYFUNCTION("""COMPUTED_VALUE"""),"RSC006678")</f>
        <v>RSC006678</v>
      </c>
      <c r="C469" s="30" t="str">
        <f>IFERROR(__xludf.DUMMYFUNCTION("""COMPUTED_VALUE"""),"EyeSucka")</f>
        <v>EyeSucka</v>
      </c>
      <c r="D469" s="30" t="str">
        <f>IFERROR(__xludf.DUMMYFUNCTION("""COMPUTED_VALUE"""),"Mining Legion")</f>
        <v>Mining Legion</v>
      </c>
      <c r="E469" s="30">
        <f>IFERROR(__xludf.DUMMYFUNCTION("""COMPUTED_VALUE"""),13.0)</f>
        <v>13</v>
      </c>
      <c r="F469" s="30">
        <f>IFERROR(__xludf.DUMMYFUNCTION("""COMPUTED_VALUE"""),7.0)</f>
        <v>7</v>
      </c>
      <c r="G469" s="42">
        <f>IFERROR(__xludf.DUMMYFUNCTION("""COMPUTED_VALUE"""),6.0)</f>
        <v>6</v>
      </c>
      <c r="H469" s="42">
        <f>IFERROR(__xludf.DUMMYFUNCTION("""COMPUTED_VALUE"""),0.5384615384615384)</f>
        <v>0.5384615385</v>
      </c>
      <c r="I469" s="42">
        <f>IFERROR(__xludf.DUMMYFUNCTION("""COMPUTED_VALUE"""),0.40625)</f>
        <v>0.40625</v>
      </c>
      <c r="J469" s="30">
        <f>IFERROR(__xludf.DUMMYFUNCTION("""COMPUTED_VALUE"""),401.2307692307692)</f>
        <v>401.2307692</v>
      </c>
      <c r="K469" s="30">
        <f>IFERROR(__xludf.DUMMYFUNCTION("""COMPUTED_VALUE"""),1.0)</f>
        <v>1</v>
      </c>
      <c r="L469" s="30">
        <f>IFERROR(__xludf.DUMMYFUNCTION("""COMPUTED_VALUE"""),0.8461538461538461)</f>
        <v>0.8461538462</v>
      </c>
      <c r="M469" s="30">
        <f>IFERROR(__xludf.DUMMYFUNCTION("""COMPUTED_VALUE"""),1.7692307692307692)</f>
        <v>1.769230769</v>
      </c>
      <c r="N469" s="30">
        <f>IFERROR(__xludf.DUMMYFUNCTION("""COMPUTED_VALUE"""),2.4615384615384617)</f>
        <v>2.461538462</v>
      </c>
      <c r="O469" s="30">
        <f>IFERROR(__xludf.DUMMYFUNCTION("""COMPUTED_VALUE"""),362.2051282051283)</f>
        <v>362.2051282</v>
      </c>
      <c r="P469" s="30">
        <f>IFERROR(__xludf.DUMMYFUNCTION("""COMPUTED_VALUE"""),0.8717948717948717)</f>
        <v>0.8717948718</v>
      </c>
      <c r="Q469" s="30">
        <f>IFERROR(__xludf.DUMMYFUNCTION("""COMPUTED_VALUE"""),0.7692307692307694)</f>
        <v>0.7692307692</v>
      </c>
      <c r="R469" s="30">
        <f>IFERROR(__xludf.DUMMYFUNCTION("""COMPUTED_VALUE"""),1.1025641025641024)</f>
        <v>1.102564103</v>
      </c>
      <c r="S469" s="30">
        <f>IFERROR(__xludf.DUMMYFUNCTION("""COMPUTED_VALUE"""),2.769230769230769)</f>
        <v>2.769230769</v>
      </c>
      <c r="T469" s="30">
        <f>IFERROR(__xludf.DUMMYFUNCTION("""COMPUTED_VALUE"""),348.60727977506826)</f>
        <v>348.6072798</v>
      </c>
      <c r="U469" s="30">
        <f>IFERROR(__xludf.DUMMYFUNCTION("""COMPUTED_VALUE"""),0.79383325008325)</f>
        <v>0.7938332501</v>
      </c>
      <c r="V469" s="30">
        <f>IFERROR(__xludf.DUMMYFUNCTION("""COMPUTED_VALUE"""),0.5873979119171427)</f>
        <v>0.5873979119</v>
      </c>
      <c r="W469" s="30">
        <f>IFERROR(__xludf.DUMMYFUNCTION("""COMPUTED_VALUE"""),1.1774074038497118)</f>
        <v>1.177407404</v>
      </c>
      <c r="X469" s="30">
        <f>IFERROR(__xludf.DUMMYFUNCTION("""COMPUTED_VALUE"""),2.6724053901938523)</f>
        <v>2.67240539</v>
      </c>
      <c r="Y469" s="30">
        <f>IFERROR(__xludf.DUMMYFUNCTION("""COMPUTED_VALUE"""),337.2694954380852)</f>
        <v>337.2694954</v>
      </c>
      <c r="Z469" s="30">
        <f>IFERROR(__xludf.DUMMYFUNCTION("""COMPUTED_VALUE"""),0.7204725473956243)</f>
        <v>0.7204725474</v>
      </c>
      <c r="AA469" s="30">
        <f>IFERROR(__xludf.DUMMYFUNCTION("""COMPUTED_VALUE"""),0.5026705073179433)</f>
        <v>0.5026705073</v>
      </c>
      <c r="AB469" s="30">
        <f>IFERROR(__xludf.DUMMYFUNCTION("""COMPUTED_VALUE"""),1.3369330752343573)</f>
        <v>1.336933075</v>
      </c>
      <c r="AC469" s="30">
        <f>IFERROR(__xludf.DUMMYFUNCTION("""COMPUTED_VALUE"""),2.3384921939409127)</f>
        <v>2.338492194</v>
      </c>
      <c r="AD469" s="30">
        <f>IFERROR(__xludf.DUMMYFUNCTION("""COMPUTED_VALUE"""),1.1896444079818236)</f>
        <v>1.189644408</v>
      </c>
      <c r="AE469" s="30">
        <f>IFERROR(__xludf.DUMMYFUNCTION("""COMPUTED_VALUE"""),1.387977937000953)</f>
        <v>1.387977937</v>
      </c>
      <c r="AF469" s="30">
        <f>IFERROR(__xludf.DUMMYFUNCTION("""COMPUTED_VALUE"""),1.6833170711936096)</f>
        <v>1.683317071</v>
      </c>
      <c r="AG469" s="30">
        <f>IFERROR(__xludf.DUMMYFUNCTION("""COMPUTED_VALUE"""),1.323350287313845)</f>
        <v>1.323350287</v>
      </c>
      <c r="AH469" s="30">
        <f>IFERROR(__xludf.DUMMYFUNCTION("""COMPUTED_VALUE"""),1.0526177799166339)</f>
        <v>1.05261778</v>
      </c>
      <c r="AI469" s="30">
        <f>IFERROR(__xludf.DUMMYFUNCTION("""COMPUTED_VALUE"""),1.039006209046563)</f>
        <v>1.039006209</v>
      </c>
      <c r="AJ469" s="30">
        <f>IFERROR(__xludf.DUMMYFUNCTION("""COMPUTED_VALUE"""),1.0982090655732117)</f>
        <v>1.098209066</v>
      </c>
      <c r="AK469" s="30">
        <f>IFERROR(__xludf.DUMMYFUNCTION("""COMPUTED_VALUE"""),1.309556526546311)</f>
        <v>1.309556527</v>
      </c>
      <c r="AL469" s="30">
        <f>IFERROR(__xludf.DUMMYFUNCTION("""COMPUTED_VALUE"""),0.9364338112356879)</f>
        <v>0.9364338112</v>
      </c>
      <c r="AM469" s="30">
        <f>IFERROR(__xludf.DUMMYFUNCTION("""COMPUTED_VALUE"""),1.0362315460791274)</f>
        <v>1.036231546</v>
      </c>
      <c r="AN469" s="30">
        <f>IFERROR(__xludf.DUMMYFUNCTION("""COMPUTED_VALUE"""),1.1837779152135661)</f>
        <v>1.183777915</v>
      </c>
      <c r="AO469" s="30">
        <f>IFERROR(__xludf.DUMMYFUNCTION("""COMPUTED_VALUE"""),1.3611734613765043)</f>
        <v>1.361173461</v>
      </c>
      <c r="AP469" s="30">
        <f>IFERROR(__xludf.DUMMYFUNCTION("""COMPUTED_VALUE"""),1.5109245771397615)</f>
        <v>1.510924577</v>
      </c>
      <c r="AQ469" s="30">
        <f>IFERROR(__xludf.DUMMYFUNCTION("""COMPUTED_VALUE"""),1.350109344368986)</f>
        <v>1.350109344</v>
      </c>
      <c r="AR469" s="30">
        <f>IFERROR(__xludf.DUMMYFUNCTION("""COMPUTED_VALUE"""),0.9884324774019526)</f>
        <v>0.9884324774</v>
      </c>
      <c r="AS469" s="30">
        <f>IFERROR(__xludf.DUMMYFUNCTION("""COMPUTED_VALUE"""),37.0)</f>
        <v>37</v>
      </c>
      <c r="AT469" s="30">
        <f>IFERROR(__xludf.DUMMYFUNCTION("""COMPUTED_VALUE"""),0.5343570639363521)</f>
        <v>0.5343570639</v>
      </c>
      <c r="AU469" s="30">
        <f>IFERROR(__xludf.DUMMYFUNCTION("""COMPUTED_VALUE"""),2.802056422955098)</f>
        <v>2.802056423</v>
      </c>
      <c r="AV469" s="32">
        <f>IFERROR(__xludf.DUMMYFUNCTION("""COMPUTED_VALUE"""),78.46438606888609)</f>
        <v>78.46438607</v>
      </c>
      <c r="AW469" s="32">
        <f>IFERROR(__xludf.DUMMYFUNCTION("""COMPUTED_VALUE"""),7.846821388529238)</f>
        <v>7.846821389</v>
      </c>
      <c r="AX469" s="32">
        <f>IFERROR(__xludf.DUMMYFUNCTION("""COMPUTED_VALUE"""),67.92962012312765)</f>
        <v>67.92962012</v>
      </c>
      <c r="AY469" s="32">
        <f>IFERROR(__xludf.DUMMYFUNCTION("""COMPUTED_VALUE"""),4.226006186874726)</f>
        <v>4.226006187</v>
      </c>
      <c r="AZ469" s="30">
        <f>IFERROR(__xludf.DUMMYFUNCTION("""COMPUTED_VALUE"""),3.620815201654512)</f>
        <v>3.620815202</v>
      </c>
      <c r="BA469" s="30">
        <f>IFERROR(__xludf.DUMMYFUNCTION("""COMPUTED_VALUE"""),1700.0)</f>
        <v>1700</v>
      </c>
    </row>
    <row r="470">
      <c r="A470" s="71" t="str">
        <f>IFERROR(__xludf.DUMMYFUNCTION("""COMPUTED_VALUE"""),"Rival")</f>
        <v>Rival</v>
      </c>
      <c r="B470" s="71" t="str">
        <f>IFERROR(__xludf.DUMMYFUNCTION("""COMPUTED_VALUE"""),"RSC006480")</f>
        <v>RSC006480</v>
      </c>
      <c r="C470" s="30" t="str">
        <f>IFERROR(__xludf.DUMMYFUNCTION("""COMPUTED_VALUE"""),"Lazyz.")</f>
        <v>Lazyz.</v>
      </c>
      <c r="D470" s="30" t="str">
        <f>IFERROR(__xludf.DUMMYFUNCTION("""COMPUTED_VALUE"""),"Dracos")</f>
        <v>Dracos</v>
      </c>
      <c r="E470" s="30">
        <f>IFERROR(__xludf.DUMMYFUNCTION("""COMPUTED_VALUE"""),20.0)</f>
        <v>20</v>
      </c>
      <c r="F470" s="30">
        <f>IFERROR(__xludf.DUMMYFUNCTION("""COMPUTED_VALUE"""),13.0)</f>
        <v>13</v>
      </c>
      <c r="G470" s="42">
        <f>IFERROR(__xludf.DUMMYFUNCTION("""COMPUTED_VALUE"""),7.0)</f>
        <v>7</v>
      </c>
      <c r="H470" s="42">
        <f>IFERROR(__xludf.DUMMYFUNCTION("""COMPUTED_VALUE"""),0.65)</f>
        <v>0.65</v>
      </c>
      <c r="I470" s="42">
        <f>IFERROR(__xludf.DUMMYFUNCTION("""COMPUTED_VALUE"""),0.28571428571428575)</f>
        <v>0.2857142857</v>
      </c>
      <c r="J470" s="30">
        <f>IFERROR(__xludf.DUMMYFUNCTION("""COMPUTED_VALUE"""),354.85)</f>
        <v>354.85</v>
      </c>
      <c r="K470" s="30">
        <f>IFERROR(__xludf.DUMMYFUNCTION("""COMPUTED_VALUE"""),0.9)</f>
        <v>0.9</v>
      </c>
      <c r="L470" s="30">
        <f>IFERROR(__xludf.DUMMYFUNCTION("""COMPUTED_VALUE"""),0.7)</f>
        <v>0.7</v>
      </c>
      <c r="M470" s="30">
        <f>IFERROR(__xludf.DUMMYFUNCTION("""COMPUTED_VALUE"""),1.05)</f>
        <v>1.05</v>
      </c>
      <c r="N470" s="30">
        <f>IFERROR(__xludf.DUMMYFUNCTION("""COMPUTED_VALUE"""),3.15)</f>
        <v>3.15</v>
      </c>
      <c r="O470" s="30">
        <f>IFERROR(__xludf.DUMMYFUNCTION("""COMPUTED_VALUE"""),330.6166666666667)</f>
        <v>330.6166667</v>
      </c>
      <c r="P470" s="30">
        <f>IFERROR(__xludf.DUMMYFUNCTION("""COMPUTED_VALUE"""),0.6333333333333334)</f>
        <v>0.6333333333</v>
      </c>
      <c r="Q470" s="30">
        <f>IFERROR(__xludf.DUMMYFUNCTION("""COMPUTED_VALUE"""),0.3833333333333333)</f>
        <v>0.3833333333</v>
      </c>
      <c r="R470" s="30">
        <f>IFERROR(__xludf.DUMMYFUNCTION("""COMPUTED_VALUE"""),1.4)</f>
        <v>1.4</v>
      </c>
      <c r="S470" s="30">
        <f>IFERROR(__xludf.DUMMYFUNCTION("""COMPUTED_VALUE"""),2.3333333333333335)</f>
        <v>2.333333333</v>
      </c>
      <c r="T470" s="30">
        <f>IFERROR(__xludf.DUMMYFUNCTION("""COMPUTED_VALUE"""),338.18416960816955)</f>
        <v>338.1841696</v>
      </c>
      <c r="U470" s="30">
        <f>IFERROR(__xludf.DUMMYFUNCTION("""COMPUTED_VALUE"""),0.7089094239094239)</f>
        <v>0.7089094239</v>
      </c>
      <c r="V470" s="30">
        <f>IFERROR(__xludf.DUMMYFUNCTION("""COMPUTED_VALUE"""),0.5161659914159914)</f>
        <v>0.5161659914</v>
      </c>
      <c r="W470" s="30">
        <f>IFERROR(__xludf.DUMMYFUNCTION("""COMPUTED_VALUE"""),1.2891242646242644)</f>
        <v>1.289124265</v>
      </c>
      <c r="X470" s="30">
        <f>IFERROR(__xludf.DUMMYFUNCTION("""COMPUTED_VALUE"""),2.5076781459281463)</f>
        <v>2.507678146</v>
      </c>
      <c r="Y470" s="30">
        <f>IFERROR(__xludf.DUMMYFUNCTION("""COMPUTED_VALUE"""),348.2149635888802)</f>
        <v>348.2149636</v>
      </c>
      <c r="Z470" s="30">
        <f>IFERROR(__xludf.DUMMYFUNCTION("""COMPUTED_VALUE"""),0.7863057405557405)</f>
        <v>0.7863057406</v>
      </c>
      <c r="AA470" s="30">
        <f>IFERROR(__xludf.DUMMYFUNCTION("""COMPUTED_VALUE"""),0.5751444234777568)</f>
        <v>0.5751444235</v>
      </c>
      <c r="AB470" s="30">
        <f>IFERROR(__xludf.DUMMYFUNCTION("""COMPUTED_VALUE"""),1.30712304670638)</f>
        <v>1.307123047</v>
      </c>
      <c r="AC470" s="30">
        <f>IFERROR(__xludf.DUMMYFUNCTION("""COMPUTED_VALUE"""),2.5348240494073826)</f>
        <v>2.534824049</v>
      </c>
      <c r="AD470" s="30">
        <f>IFERROR(__xludf.DUMMYFUNCTION("""COMPUTED_VALUE"""),1.0190544264460544)</f>
        <v>1.019054426</v>
      </c>
      <c r="AE470" s="30">
        <f>IFERROR(__xludf.DUMMYFUNCTION("""COMPUTED_VALUE"""),1.144592940862804)</f>
        <v>1.144592941</v>
      </c>
      <c r="AF470" s="30">
        <f>IFERROR(__xludf.DUMMYFUNCTION("""COMPUTED_VALUE"""),1.21708560741539)</f>
        <v>1.217085607</v>
      </c>
      <c r="AG470" s="30">
        <f>IFERROR(__xludf.DUMMYFUNCTION("""COMPUTED_VALUE"""),0.8032908628194836)</f>
        <v>0.8032908628</v>
      </c>
      <c r="AH470" s="30">
        <f>IFERROR(__xludf.DUMMYFUNCTION("""COMPUTED_VALUE"""),1.242689803553205)</f>
        <v>1.242689804</v>
      </c>
      <c r="AI470" s="30">
        <f>IFERROR(__xludf.DUMMYFUNCTION("""COMPUTED_VALUE"""),0.9776231307625345)</f>
        <v>0.9776231308</v>
      </c>
      <c r="AJ470" s="30">
        <f>IFERROR(__xludf.DUMMYFUNCTION("""COMPUTED_VALUE"""),0.8933910482395467)</f>
        <v>0.8933910482</v>
      </c>
      <c r="AK470" s="30">
        <f>IFERROR(__xludf.DUMMYFUNCTION("""COMPUTED_VALUE"""),0.7426551530094805)</f>
        <v>0.742655153</v>
      </c>
      <c r="AL470" s="30">
        <f>IFERROR(__xludf.DUMMYFUNCTION("""COMPUTED_VALUE"""),1.086008570638496)</f>
        <v>1.086008571</v>
      </c>
      <c r="AM470" s="30">
        <f>IFERROR(__xludf.DUMMYFUNCTION("""COMPUTED_VALUE"""),0.930475602350363)</f>
        <v>0.9304756024</v>
      </c>
      <c r="AN470" s="30">
        <f>IFERROR(__xludf.DUMMYFUNCTION("""COMPUTED_VALUE"""),1.0469376364601115)</f>
        <v>1.046937636</v>
      </c>
      <c r="AO470" s="30">
        <f>IFERROR(__xludf.DUMMYFUNCTION("""COMPUTED_VALUE"""),1.2250561152388537)</f>
        <v>1.225056115</v>
      </c>
      <c r="AP470" s="30">
        <f>IFERROR(__xludf.DUMMYFUNCTION("""COMPUTED_VALUE"""),1.2499466956338026)</f>
        <v>1.249946696</v>
      </c>
      <c r="AQ470" s="30">
        <f>IFERROR(__xludf.DUMMYFUNCTION("""COMPUTED_VALUE"""),0.8012605456798548)</f>
        <v>0.8012605457</v>
      </c>
      <c r="AR470" s="30">
        <f>IFERROR(__xludf.DUMMYFUNCTION("""COMPUTED_VALUE"""),1.2648846859253111)</f>
        <v>1.264884686</v>
      </c>
      <c r="AS470" s="30">
        <f>IFERROR(__xludf.DUMMYFUNCTION("""COMPUTED_VALUE"""),53.0)</f>
        <v>53</v>
      </c>
      <c r="AT470" s="30">
        <f>IFERROR(__xludf.DUMMYFUNCTION("""COMPUTED_VALUE"""),0.6257288608499182)</f>
        <v>0.6257288608</v>
      </c>
      <c r="AU470" s="30">
        <f>IFERROR(__xludf.DUMMYFUNCTION("""COMPUTED_VALUE"""),2.7564953822676244)</f>
        <v>2.756495382</v>
      </c>
      <c r="AV470" s="32">
        <f>IFERROR(__xludf.DUMMYFUNCTION("""COMPUTED_VALUE"""),76.85498470738655)</f>
        <v>76.85498471</v>
      </c>
      <c r="AW470" s="32">
        <f>IFERROR(__xludf.DUMMYFUNCTION("""COMPUTED_VALUE"""),7.0738035191511965)</f>
        <v>7.073803519</v>
      </c>
      <c r="AX470" s="32">
        <f>IFERROR(__xludf.DUMMYFUNCTION("""COMPUTED_VALUE"""),65.59346874357817)</f>
        <v>65.59346874</v>
      </c>
      <c r="AY470" s="32">
        <f>IFERROR(__xludf.DUMMYFUNCTION("""COMPUTED_VALUE"""),3.753759598292972)</f>
        <v>3.753759598</v>
      </c>
      <c r="AZ470" s="30">
        <f>IFERROR(__xludf.DUMMYFUNCTION("""COMPUTED_VALUE"""),3.3200439208582244)</f>
        <v>3.320043921</v>
      </c>
      <c r="BA470" s="30">
        <f>IFERROR(__xludf.DUMMYFUNCTION("""COMPUTED_VALUE"""),1700.0)</f>
        <v>1700</v>
      </c>
    </row>
    <row r="471">
      <c r="A471" s="71" t="str">
        <f>IFERROR(__xludf.DUMMYFUNCTION("""COMPUTED_VALUE"""),"Rival")</f>
        <v>Rival</v>
      </c>
      <c r="B471" s="71" t="str">
        <f>IFERROR(__xludf.DUMMYFUNCTION("""COMPUTED_VALUE"""),"RSC007697")</f>
        <v>RSC007697</v>
      </c>
      <c r="C471" s="30" t="str">
        <f>IFERROR(__xludf.DUMMYFUNCTION("""COMPUTED_VALUE"""),"Commander Lucas")</f>
        <v>Commander Lucas</v>
      </c>
      <c r="D471" s="30" t="str">
        <f>IFERROR(__xludf.DUMMYFUNCTION("""COMPUTED_VALUE"""),"Blizzards")</f>
        <v>Blizzards</v>
      </c>
      <c r="E471" s="30">
        <f>IFERROR(__xludf.DUMMYFUNCTION("""COMPUTED_VALUE"""),11.0)</f>
        <v>11</v>
      </c>
      <c r="F471" s="30">
        <f>IFERROR(__xludf.DUMMYFUNCTION("""COMPUTED_VALUE"""),5.0)</f>
        <v>5</v>
      </c>
      <c r="G471" s="42">
        <f>IFERROR(__xludf.DUMMYFUNCTION("""COMPUTED_VALUE"""),6.0)</f>
        <v>6</v>
      </c>
      <c r="H471" s="42">
        <f>IFERROR(__xludf.DUMMYFUNCTION("""COMPUTED_VALUE"""),0.45454545454545453)</f>
        <v>0.4545454545</v>
      </c>
      <c r="I471" s="42">
        <f>IFERROR(__xludf.DUMMYFUNCTION("""COMPUTED_VALUE"""),0.325)</f>
        <v>0.325</v>
      </c>
      <c r="J471" s="30">
        <f>IFERROR(__xludf.DUMMYFUNCTION("""COMPUTED_VALUE"""),432.09090909090907)</f>
        <v>432.0909091</v>
      </c>
      <c r="K471" s="30">
        <f>IFERROR(__xludf.DUMMYFUNCTION("""COMPUTED_VALUE"""),1.1818181818181819)</f>
        <v>1.181818182</v>
      </c>
      <c r="L471" s="30">
        <f>IFERROR(__xludf.DUMMYFUNCTION("""COMPUTED_VALUE"""),0.45454545454545453)</f>
        <v>0.4545454545</v>
      </c>
      <c r="M471" s="30">
        <f>IFERROR(__xludf.DUMMYFUNCTION("""COMPUTED_VALUE"""),1.4545454545454546)</f>
        <v>1.454545455</v>
      </c>
      <c r="N471" s="30">
        <f>IFERROR(__xludf.DUMMYFUNCTION("""COMPUTED_VALUE"""),3.6363636363636362)</f>
        <v>3.636363636</v>
      </c>
      <c r="O471" s="30">
        <f>IFERROR(__xludf.DUMMYFUNCTION("""COMPUTED_VALUE"""),395.66666666666674)</f>
        <v>395.6666667</v>
      </c>
      <c r="P471" s="30">
        <f>IFERROR(__xludf.DUMMYFUNCTION("""COMPUTED_VALUE"""),1.0303030303030303)</f>
        <v>1.03030303</v>
      </c>
      <c r="Q471" s="30">
        <f>IFERROR(__xludf.DUMMYFUNCTION("""COMPUTED_VALUE"""),0.7272727272727273)</f>
        <v>0.7272727273</v>
      </c>
      <c r="R471" s="30">
        <f>IFERROR(__xludf.DUMMYFUNCTION("""COMPUTED_VALUE"""),1.5757575757575757)</f>
        <v>1.575757576</v>
      </c>
      <c r="S471" s="30">
        <f>IFERROR(__xludf.DUMMYFUNCTION("""COMPUTED_VALUE"""),2.6363636363636362)</f>
        <v>2.636363636</v>
      </c>
      <c r="T471" s="30">
        <f>IFERROR(__xludf.DUMMYFUNCTION("""COMPUTED_VALUE"""),348.80643268427866)</f>
        <v>348.8064327</v>
      </c>
      <c r="U471" s="30">
        <f>IFERROR(__xludf.DUMMYFUNCTION("""COMPUTED_VALUE"""),0.787933724814511)</f>
        <v>0.7879337248</v>
      </c>
      <c r="V471" s="30">
        <f>IFERROR(__xludf.DUMMYFUNCTION("""COMPUTED_VALUE"""),0.5182099975470109)</f>
        <v>0.5182099975</v>
      </c>
      <c r="W471" s="30">
        <f>IFERROR(__xludf.DUMMYFUNCTION("""COMPUTED_VALUE"""),1.38981402708007)</f>
        <v>1.389814027</v>
      </c>
      <c r="X471" s="30">
        <f>IFERROR(__xludf.DUMMYFUNCTION("""COMPUTED_VALUE"""),2.366310565790541)</f>
        <v>2.366310566</v>
      </c>
      <c r="Y471" s="30">
        <f>IFERROR(__xludf.DUMMYFUNCTION("""COMPUTED_VALUE"""),334.855904909663)</f>
        <v>334.8559049</v>
      </c>
      <c r="Z471" s="30">
        <f>IFERROR(__xludf.DUMMYFUNCTION("""COMPUTED_VALUE"""),0.7471780852790905)</f>
        <v>0.7471780853</v>
      </c>
      <c r="AA471" s="30">
        <f>IFERROR(__xludf.DUMMYFUNCTION("""COMPUTED_VALUE"""),0.5465546325546949)</f>
        <v>0.5465546326</v>
      </c>
      <c r="AB471" s="30">
        <f>IFERROR(__xludf.DUMMYFUNCTION("""COMPUTED_VALUE"""),1.18745560854554)</f>
        <v>1.187455609</v>
      </c>
      <c r="AC471" s="30">
        <f>IFERROR(__xludf.DUMMYFUNCTION("""COMPUTED_VALUE"""),2.6342027166030957)</f>
        <v>2.634202717</v>
      </c>
      <c r="AD471" s="30">
        <f>IFERROR(__xludf.DUMMYFUNCTION("""COMPUTED_VALUE"""),1.2903786457266686)</f>
        <v>1.290378646</v>
      </c>
      <c r="AE471" s="30">
        <f>IFERROR(__xludf.DUMMYFUNCTION("""COMPUTED_VALUE"""),1.5817088390336582)</f>
        <v>1.581708839</v>
      </c>
      <c r="AF471" s="30">
        <f>IFERROR(__xludf.DUMMYFUNCTION("""COMPUTED_VALUE"""),0.8316560275426211)</f>
        <v>0.8316560275</v>
      </c>
      <c r="AG471" s="30">
        <f>IFERROR(__xludf.DUMMYFUNCTION("""COMPUTED_VALUE"""),1.2249261733051735)</f>
        <v>1.224926173</v>
      </c>
      <c r="AH471" s="30">
        <f>IFERROR(__xludf.DUMMYFUNCTION("""COMPUTED_VALUE"""),1.3804418367060471)</f>
        <v>1.380441837</v>
      </c>
      <c r="AI471" s="30">
        <f>IFERROR(__xludf.DUMMYFUNCTION("""COMPUTED_VALUE"""),1.1343445234704244)</f>
        <v>1.134344523</v>
      </c>
      <c r="AJ471" s="30">
        <f>IFERROR(__xludf.DUMMYFUNCTION("""COMPUTED_VALUE"""),1.3076011317393172)</f>
        <v>1.307601132</v>
      </c>
      <c r="AK471" s="30">
        <f>IFERROR(__xludf.DUMMYFUNCTION("""COMPUTED_VALUE"""),1.4034324515453809)</f>
        <v>1.403432452</v>
      </c>
      <c r="AL471" s="30">
        <f>IFERROR(__xludf.DUMMYFUNCTION("""COMPUTED_VALUE"""),1.1337902374378561)</f>
        <v>1.133790237</v>
      </c>
      <c r="AM471" s="30">
        <f>IFERROR(__xludf.DUMMYFUNCTION("""COMPUTED_VALUE"""),1.114124102929353)</f>
        <v>1.114124103</v>
      </c>
      <c r="AN471" s="30">
        <f>IFERROR(__xludf.DUMMYFUNCTION("""COMPUTED_VALUE"""),1.2748266453417987)</f>
        <v>1.274826645</v>
      </c>
      <c r="AO471" s="30">
        <f>IFERROR(__xludf.DUMMYFUNCTION("""COMPUTED_VALUE"""),1.6086595452631414)</f>
        <v>1.608659545</v>
      </c>
      <c r="AP471" s="30">
        <f>IFERROR(__xludf.DUMMYFUNCTION("""COMPUTED_VALUE"""),0.8116536984635082)</f>
        <v>0.8116536985</v>
      </c>
      <c r="AQ471" s="30">
        <f>IFERROR(__xludf.DUMMYFUNCTION("""COMPUTED_VALUE"""),1.1099713186907079)</f>
        <v>1.109971319</v>
      </c>
      <c r="AR471" s="30">
        <f>IFERROR(__xludf.DUMMYFUNCTION("""COMPUTED_VALUE"""),1.4601843416165208)</f>
        <v>1.460184342</v>
      </c>
      <c r="AS471" s="30">
        <f>IFERROR(__xludf.DUMMYFUNCTION("""COMPUTED_VALUE"""),28.0)</f>
        <v>28</v>
      </c>
      <c r="AT471" s="30">
        <f>IFERROR(__xludf.DUMMYFUNCTION("""COMPUTED_VALUE"""),0.4209379351839212)</f>
        <v>0.4209379352</v>
      </c>
      <c r="AU471" s="30">
        <f>IFERROR(__xludf.DUMMYFUNCTION("""COMPUTED_VALUE"""),2.815272312027165)</f>
        <v>2.815272312</v>
      </c>
      <c r="AV471" s="32">
        <f>IFERROR(__xludf.DUMMYFUNCTION("""COMPUTED_VALUE"""),78.93122505116288)</f>
        <v>78.93122505</v>
      </c>
      <c r="AW471" s="32">
        <f>IFERROR(__xludf.DUMMYFUNCTION("""COMPUTED_VALUE"""),8.091575837937972)</f>
        <v>8.091575838</v>
      </c>
      <c r="AX471" s="32">
        <f>IFERROR(__xludf.DUMMYFUNCTION("""COMPUTED_VALUE"""),70.29390965623726)</f>
        <v>70.29390966</v>
      </c>
      <c r="AY471" s="32">
        <f>IFERROR(__xludf.DUMMYFUNCTION("""COMPUTED_VALUE"""),4.796951835329943)</f>
        <v>4.796951835</v>
      </c>
      <c r="AZ471" s="30">
        <f>IFERROR(__xludf.DUMMYFUNCTION("""COMPUTED_VALUE"""),3.294624002608029)</f>
        <v>3.294624003</v>
      </c>
      <c r="BA471" s="30">
        <f>IFERROR(__xludf.DUMMYFUNCTION("""COMPUTED_VALUE"""),1700.0)</f>
        <v>1700</v>
      </c>
    </row>
    <row r="472">
      <c r="A472" s="71" t="str">
        <f>IFERROR(__xludf.DUMMYFUNCTION("""COMPUTED_VALUE"""),"Rival")</f>
        <v>Rival</v>
      </c>
      <c r="B472" s="71" t="str">
        <f>IFERROR(__xludf.DUMMYFUNCTION("""COMPUTED_VALUE"""),"RSC005386")</f>
        <v>RSC005386</v>
      </c>
      <c r="C472" s="30" t="str">
        <f>IFERROR(__xludf.DUMMYFUNCTION("""COMPUTED_VALUE"""),"danub")</f>
        <v>danub</v>
      </c>
      <c r="D472" s="30" t="str">
        <f>IFERROR(__xludf.DUMMYFUNCTION("""COMPUTED_VALUE"""),"Phantoms")</f>
        <v>Phantoms</v>
      </c>
      <c r="E472" s="30">
        <f>IFERROR(__xludf.DUMMYFUNCTION("""COMPUTED_VALUE"""),25.0)</f>
        <v>25</v>
      </c>
      <c r="F472" s="30">
        <f>IFERROR(__xludf.DUMMYFUNCTION("""COMPUTED_VALUE"""),8.0)</f>
        <v>8</v>
      </c>
      <c r="G472" s="42">
        <f>IFERROR(__xludf.DUMMYFUNCTION("""COMPUTED_VALUE"""),17.0)</f>
        <v>17</v>
      </c>
      <c r="H472" s="42">
        <f>IFERROR(__xludf.DUMMYFUNCTION("""COMPUTED_VALUE"""),0.32)</f>
        <v>0.32</v>
      </c>
      <c r="I472" s="42">
        <f>IFERROR(__xludf.DUMMYFUNCTION("""COMPUTED_VALUE"""),0.3191489361702128)</f>
        <v>0.3191489362</v>
      </c>
      <c r="J472" s="30">
        <f>IFERROR(__xludf.DUMMYFUNCTION("""COMPUTED_VALUE"""),312.36)</f>
        <v>312.36</v>
      </c>
      <c r="K472" s="30">
        <f>IFERROR(__xludf.DUMMYFUNCTION("""COMPUTED_VALUE"""),0.6)</f>
        <v>0.6</v>
      </c>
      <c r="L472" s="30">
        <f>IFERROR(__xludf.DUMMYFUNCTION("""COMPUTED_VALUE"""),0.36)</f>
        <v>0.36</v>
      </c>
      <c r="M472" s="30">
        <f>IFERROR(__xludf.DUMMYFUNCTION("""COMPUTED_VALUE"""),1.32)</f>
        <v>1.32</v>
      </c>
      <c r="N472" s="30">
        <f>IFERROR(__xludf.DUMMYFUNCTION("""COMPUTED_VALUE"""),1.88)</f>
        <v>1.88</v>
      </c>
      <c r="O472" s="30">
        <f>IFERROR(__xludf.DUMMYFUNCTION("""COMPUTED_VALUE"""),364.90666666666664)</f>
        <v>364.9066667</v>
      </c>
      <c r="P472" s="30">
        <f>IFERROR(__xludf.DUMMYFUNCTION("""COMPUTED_VALUE"""),0.9733333333333334)</f>
        <v>0.9733333333</v>
      </c>
      <c r="Q472" s="30">
        <f>IFERROR(__xludf.DUMMYFUNCTION("""COMPUTED_VALUE"""),0.7200000000000002)</f>
        <v>0.72</v>
      </c>
      <c r="R472" s="30">
        <f>IFERROR(__xludf.DUMMYFUNCTION("""COMPUTED_VALUE"""),1.1199999999999999)</f>
        <v>1.12</v>
      </c>
      <c r="S472" s="30">
        <f>IFERROR(__xludf.DUMMYFUNCTION("""COMPUTED_VALUE"""),2.813333333333333)</f>
        <v>2.813333333</v>
      </c>
      <c r="T472" s="30">
        <f>IFERROR(__xludf.DUMMYFUNCTION("""COMPUTED_VALUE"""),350.0088616813692)</f>
        <v>350.0088617</v>
      </c>
      <c r="U472" s="30">
        <f>IFERROR(__xludf.DUMMYFUNCTION("""COMPUTED_VALUE"""),0.8218787909024466)</f>
        <v>0.8218787909</v>
      </c>
      <c r="V472" s="30">
        <f>IFERROR(__xludf.DUMMYFUNCTION("""COMPUTED_VALUE"""),0.5634207629089351)</f>
        <v>0.5634207629</v>
      </c>
      <c r="W472" s="30">
        <f>IFERROR(__xludf.DUMMYFUNCTION("""COMPUTED_VALUE"""),1.2454772116772117)</f>
        <v>1.245477212</v>
      </c>
      <c r="X472" s="30">
        <f>IFERROR(__xludf.DUMMYFUNCTION("""COMPUTED_VALUE"""),2.560150610122654)</f>
        <v>2.56015061</v>
      </c>
      <c r="Y472" s="30">
        <f>IFERROR(__xludf.DUMMYFUNCTION("""COMPUTED_VALUE"""),340.9692078620966)</f>
        <v>340.9692079</v>
      </c>
      <c r="Z472" s="30">
        <f>IFERROR(__xludf.DUMMYFUNCTION("""COMPUTED_VALUE"""),0.7434828598986303)</f>
        <v>0.7434828599</v>
      </c>
      <c r="AA472" s="30">
        <f>IFERROR(__xludf.DUMMYFUNCTION("""COMPUTED_VALUE"""),0.5238905712633312)</f>
        <v>0.5238905713</v>
      </c>
      <c r="AB472" s="30">
        <f>IFERROR(__xludf.DUMMYFUNCTION("""COMPUTED_VALUE"""),1.3278231983070692)</f>
        <v>1.327823198</v>
      </c>
      <c r="AC472" s="30">
        <f>IFERROR(__xludf.DUMMYFUNCTION("""COMPUTED_VALUE"""),2.4179253701296717)</f>
        <v>2.41792537</v>
      </c>
      <c r="AD472" s="30">
        <f>IFERROR(__xludf.DUMMYFUNCTION("""COMPUTED_VALUE"""),0.9160944530989219)</f>
        <v>0.9160944531</v>
      </c>
      <c r="AE472" s="30">
        <f>IFERROR(__xludf.DUMMYFUNCTION("""COMPUTED_VALUE"""),0.8070125518183521)</f>
        <v>0.8070125518</v>
      </c>
      <c r="AF472" s="30">
        <f>IFERROR(__xludf.DUMMYFUNCTION("""COMPUTED_VALUE"""),0.6871664041058827)</f>
        <v>0.6871664041</v>
      </c>
      <c r="AG472" s="30">
        <f>IFERROR(__xludf.DUMMYFUNCTION("""COMPUTED_VALUE"""),0.9941082530286838)</f>
        <v>0.994108253</v>
      </c>
      <c r="AH472" s="30">
        <f>IFERROR(__xludf.DUMMYFUNCTION("""COMPUTED_VALUE"""),0.7775260656201216)</f>
        <v>0.7775260656</v>
      </c>
      <c r="AI472" s="30">
        <f>IFERROR(__xludf.DUMMYFUNCTION("""COMPUTED_VALUE"""),1.0425640794171083)</f>
        <v>1.042564079</v>
      </c>
      <c r="AJ472" s="30">
        <f>IFERROR(__xludf.DUMMYFUNCTION("""COMPUTED_VALUE"""),1.184278441185452)</f>
        <v>1.184278441</v>
      </c>
      <c r="AK472" s="30">
        <f>IFERROR(__xludf.DUMMYFUNCTION("""COMPUTED_VALUE"""),1.277908176977093)</f>
        <v>1.277908177</v>
      </c>
      <c r="AL472" s="30">
        <f>IFERROR(__xludf.DUMMYFUNCTION("""COMPUTED_VALUE"""),0.8992537073334012)</f>
        <v>0.8992537073</v>
      </c>
      <c r="AM472" s="30">
        <f>IFERROR(__xludf.DUMMYFUNCTION("""COMPUTED_VALUE"""),1.0988936831331768)</f>
        <v>1.098893683</v>
      </c>
      <c r="AN472" s="30">
        <f>IFERROR(__xludf.DUMMYFUNCTION("""COMPUTED_VALUE"""),0.9215765538246595)</f>
        <v>0.9215765538</v>
      </c>
      <c r="AO472" s="30">
        <f>IFERROR(__xludf.DUMMYFUNCTION("""COMPUTED_VALUE"""),0.8167040768259025)</f>
        <v>0.8167040768</v>
      </c>
      <c r="AP472" s="30">
        <f>IFERROR(__xludf.DUMMYFUNCTION("""COMPUTED_VALUE"""),0.6428297291830986)</f>
        <v>0.6428297292</v>
      </c>
      <c r="AQ472" s="30">
        <f>IFERROR(__xludf.DUMMYFUNCTION("""COMPUTED_VALUE"""),1.0072989717118175)</f>
        <v>1.007298972</v>
      </c>
      <c r="AR472" s="30">
        <f>IFERROR(__xludf.DUMMYFUNCTION("""COMPUTED_VALUE"""),0.7549153046157412)</f>
        <v>0.7549153046</v>
      </c>
      <c r="AS472" s="30">
        <f>IFERROR(__xludf.DUMMYFUNCTION("""COMPUTED_VALUE"""),43.0)</f>
        <v>43</v>
      </c>
      <c r="AT472" s="30">
        <f>IFERROR(__xludf.DUMMYFUNCTION("""COMPUTED_VALUE"""),0.30530420567415795)</f>
        <v>0.3053042057</v>
      </c>
      <c r="AU472" s="30">
        <f>IFERROR(__xludf.DUMMYFUNCTION("""COMPUTED_VALUE"""),1.2409159681123594)</f>
        <v>1.240915968</v>
      </c>
      <c r="AV472" s="32">
        <f>IFERROR(__xludf.DUMMYFUNCTION("""COMPUTED_VALUE"""),23.318552356472956)</f>
        <v>23.31855236</v>
      </c>
      <c r="AW472" s="32">
        <f>IFERROR(__xludf.DUMMYFUNCTION("""COMPUTED_VALUE"""),-6.9965446331738645)</f>
        <v>-6.996544633</v>
      </c>
      <c r="AX472" s="32">
        <f>IFERROR(__xludf.DUMMYFUNCTION("""COMPUTED_VALUE"""),34.26480806160758)</f>
        <v>34.26480806</v>
      </c>
      <c r="AY472" s="32">
        <f>IFERROR(__xludf.DUMMYFUNCTION("""COMPUTED_VALUE"""),-3.7801310016876495)</f>
        <v>-3.780131002</v>
      </c>
      <c r="AZ472" s="30">
        <f>IFERROR(__xludf.DUMMYFUNCTION("""COMPUTED_VALUE"""),3.216413631486215)</f>
        <v>3.216413631</v>
      </c>
      <c r="BA472" s="30">
        <f>IFERROR(__xludf.DUMMYFUNCTION("""COMPUTED_VALUE"""),1700.0)</f>
        <v>1700</v>
      </c>
    </row>
    <row r="473">
      <c r="A473" s="71" t="str">
        <f>IFERROR(__xludf.DUMMYFUNCTION("""COMPUTED_VALUE"""),"Rival")</f>
        <v>Rival</v>
      </c>
      <c r="B473" s="71" t="str">
        <f>IFERROR(__xludf.DUMMYFUNCTION("""COMPUTED_VALUE"""),"RSC005677")</f>
        <v>RSC005677</v>
      </c>
      <c r="C473" s="30" t="str">
        <f>IFERROR(__xludf.DUMMYFUNCTION("""COMPUTED_VALUE"""),"z2kay")</f>
        <v>z2kay</v>
      </c>
      <c r="D473" s="30" t="str">
        <f>IFERROR(__xludf.DUMMYFUNCTION("""COMPUTED_VALUE"""),"Hammerheads")</f>
        <v>Hammerheads</v>
      </c>
      <c r="E473" s="30">
        <f>IFERROR(__xludf.DUMMYFUNCTION("""COMPUTED_VALUE"""),36.0)</f>
        <v>36</v>
      </c>
      <c r="F473" s="30">
        <f>IFERROR(__xludf.DUMMYFUNCTION("""COMPUTED_VALUE"""),20.0)</f>
        <v>20</v>
      </c>
      <c r="G473" s="42">
        <f>IFERROR(__xludf.DUMMYFUNCTION("""COMPUTED_VALUE"""),16.0)</f>
        <v>16</v>
      </c>
      <c r="H473" s="42">
        <f>IFERROR(__xludf.DUMMYFUNCTION("""COMPUTED_VALUE"""),0.5555555555555556)</f>
        <v>0.5555555556</v>
      </c>
      <c r="I473" s="42">
        <f>IFERROR(__xludf.DUMMYFUNCTION("""COMPUTED_VALUE"""),0.30275229357798167)</f>
        <v>0.3027522936</v>
      </c>
      <c r="J473" s="30">
        <f>IFERROR(__xludf.DUMMYFUNCTION("""COMPUTED_VALUE"""),411.75)</f>
        <v>411.75</v>
      </c>
      <c r="K473" s="30">
        <f>IFERROR(__xludf.DUMMYFUNCTION("""COMPUTED_VALUE"""),0.9166666666666666)</f>
        <v>0.9166666667</v>
      </c>
      <c r="L473" s="30">
        <f>IFERROR(__xludf.DUMMYFUNCTION("""COMPUTED_VALUE"""),0.75)</f>
        <v>0.75</v>
      </c>
      <c r="M473" s="30">
        <f>IFERROR(__xludf.DUMMYFUNCTION("""COMPUTED_VALUE"""),1.6666666666666667)</f>
        <v>1.666666667</v>
      </c>
      <c r="N473" s="30">
        <f>IFERROR(__xludf.DUMMYFUNCTION("""COMPUTED_VALUE"""),3.0277777777777777)</f>
        <v>3.027777778</v>
      </c>
      <c r="O473" s="30">
        <f>IFERROR(__xludf.DUMMYFUNCTION("""COMPUTED_VALUE"""),338.9722222222222)</f>
        <v>338.9722222</v>
      </c>
      <c r="P473" s="30">
        <f>IFERROR(__xludf.DUMMYFUNCTION("""COMPUTED_VALUE"""),0.7222222222222222)</f>
        <v>0.7222222222</v>
      </c>
      <c r="Q473" s="30">
        <f>IFERROR(__xludf.DUMMYFUNCTION("""COMPUTED_VALUE"""),0.5555555555555558)</f>
        <v>0.5555555556</v>
      </c>
      <c r="R473" s="30">
        <f>IFERROR(__xludf.DUMMYFUNCTION("""COMPUTED_VALUE"""),1.4259259259259263)</f>
        <v>1.425925926</v>
      </c>
      <c r="S473" s="30">
        <f>IFERROR(__xludf.DUMMYFUNCTION("""COMPUTED_VALUE"""),2.638888888888889)</f>
        <v>2.638888889</v>
      </c>
      <c r="T473" s="30">
        <f>IFERROR(__xludf.DUMMYFUNCTION("""COMPUTED_VALUE"""),342.6940455614113)</f>
        <v>342.6940456</v>
      </c>
      <c r="U473" s="30">
        <f>IFERROR(__xludf.DUMMYFUNCTION("""COMPUTED_VALUE"""),0.7880716428983372)</f>
        <v>0.7880716429</v>
      </c>
      <c r="V473" s="30">
        <f>IFERROR(__xludf.DUMMYFUNCTION("""COMPUTED_VALUE"""),0.5518048618584237)</f>
        <v>0.5518048619</v>
      </c>
      <c r="W473" s="30">
        <f>IFERROR(__xludf.DUMMYFUNCTION("""COMPUTED_VALUE"""),1.2670238894927137)</f>
        <v>1.267023889</v>
      </c>
      <c r="X473" s="30">
        <f>IFERROR(__xludf.DUMMYFUNCTION("""COMPUTED_VALUE"""),2.589831439030183)</f>
        <v>2.589831439</v>
      </c>
      <c r="Y473" s="30">
        <f>IFERROR(__xludf.DUMMYFUNCTION("""COMPUTED_VALUE"""),350.532178495655)</f>
        <v>350.5321785</v>
      </c>
      <c r="Z473" s="30">
        <f>IFERROR(__xludf.DUMMYFUNCTION("""COMPUTED_VALUE"""),0.8116719641319675)</f>
        <v>0.8116719641</v>
      </c>
      <c r="AA473" s="30">
        <f>IFERROR(__xludf.DUMMYFUNCTION("""COMPUTED_VALUE"""),0.5588594765773107)</f>
        <v>0.5588594766</v>
      </c>
      <c r="AB473" s="30">
        <f>IFERROR(__xludf.DUMMYFUNCTION("""COMPUTED_VALUE"""),1.3371298782559955)</f>
        <v>1.337129878</v>
      </c>
      <c r="AC473" s="30">
        <f>IFERROR(__xludf.DUMMYFUNCTION("""COMPUTED_VALUE"""),2.545405794042787)</f>
        <v>2.545405794</v>
      </c>
      <c r="AD473" s="30">
        <f>IFERROR(__xludf.DUMMYFUNCTION("""COMPUTED_VALUE"""),1.1746425157515286)</f>
        <v>1.174642516</v>
      </c>
      <c r="AE473" s="30">
        <f>IFERROR(__xludf.DUMMYFUNCTION("""COMPUTED_VALUE"""),1.129356078778678)</f>
        <v>1.129356079</v>
      </c>
      <c r="AF473" s="30">
        <f>IFERROR(__xludf.DUMMYFUNCTION("""COMPUTED_VALUE"""),1.3420189357677423)</f>
        <v>1.342018936</v>
      </c>
      <c r="AG473" s="30">
        <f>IFERROR(__xludf.DUMMYFUNCTION("""COMPUTED_VALUE"""),1.2464508450297158)</f>
        <v>1.246450845</v>
      </c>
      <c r="AH473" s="30">
        <f>IFERROR(__xludf.DUMMYFUNCTION("""COMPUTED_VALUE"""),1.1895069088252739)</f>
        <v>1.189506909</v>
      </c>
      <c r="AI473" s="30">
        <f>IFERROR(__xludf.DUMMYFUNCTION("""COMPUTED_VALUE"""),0.9891395155900887)</f>
        <v>0.9891395156</v>
      </c>
      <c r="AJ473" s="30">
        <f>IFERROR(__xludf.DUMMYFUNCTION("""COMPUTED_VALUE"""),0.9164423421785147)</f>
        <v>0.9164423422</v>
      </c>
      <c r="AK473" s="30">
        <f>IFERROR(__xludf.DUMMYFUNCTION("""COMPUTED_VALUE"""),1.006797137822418)</f>
        <v>1.006797138</v>
      </c>
      <c r="AL473" s="30">
        <f>IFERROR(__xludf.DUMMYFUNCTION("""COMPUTED_VALUE"""),1.1254136072342196)</f>
        <v>1.125413607</v>
      </c>
      <c r="AM473" s="30">
        <f>IFERROR(__xludf.DUMMYFUNCTION("""COMPUTED_VALUE"""),1.0189423331261576)</f>
        <v>1.018942333</v>
      </c>
      <c r="AN473" s="30">
        <f>IFERROR(__xludf.DUMMYFUNCTION("""COMPUTED_VALUE"""),1.21481350376906)</f>
        <v>1.214813504</v>
      </c>
      <c r="AO473" s="30">
        <f>IFERROR(__xludf.DUMMYFUNCTION("""COMPUTED_VALUE"""),1.2477423395951288)</f>
        <v>1.24774234</v>
      </c>
      <c r="AP473" s="30">
        <f>IFERROR(__xludf.DUMMYFUNCTION("""COMPUTED_VALUE"""),1.3392286024647886)</f>
        <v>1.339228602</v>
      </c>
      <c r="AQ473" s="30">
        <f>IFERROR(__xludf.DUMMYFUNCTION("""COMPUTED_VALUE"""),1.2718421359997696)</f>
        <v>1.271842136</v>
      </c>
      <c r="AR473" s="30">
        <f>IFERROR(__xludf.DUMMYFUNCTION("""COMPUTED_VALUE"""),1.2158062677765336)</f>
        <v>1.215806268</v>
      </c>
      <c r="AS473" s="30">
        <f>IFERROR(__xludf.DUMMYFUNCTION("""COMPUTED_VALUE"""),89.0)</f>
        <v>89</v>
      </c>
      <c r="AT473" s="30">
        <f>IFERROR(__xludf.DUMMYFUNCTION("""COMPUTED_VALUE"""),0.5510528712993453)</f>
        <v>0.5510528713</v>
      </c>
      <c r="AU473" s="30">
        <f>IFERROR(__xludf.DUMMYFUNCTION("""COMPUTED_VALUE"""),2.805852502954502)</f>
        <v>2.805852503</v>
      </c>
      <c r="AV473" s="32">
        <f>IFERROR(__xludf.DUMMYFUNCTION("""COMPUTED_VALUE"""),78.59847906209292)</f>
        <v>78.59847906</v>
      </c>
      <c r="AW473" s="32">
        <f>IFERROR(__xludf.DUMMYFUNCTION("""COMPUTED_VALUE"""),7.916124913211293)</f>
        <v>7.916124913</v>
      </c>
      <c r="AX473" s="32">
        <f>IFERROR(__xludf.DUMMYFUNCTION("""COMPUTED_VALUE"""),70.57216489795124)</f>
        <v>70.5721649</v>
      </c>
      <c r="AY473" s="32">
        <f>IFERROR(__xludf.DUMMYFUNCTION("""COMPUTED_VALUE"""),4.871247024073991)</f>
        <v>4.871247024</v>
      </c>
      <c r="AZ473" s="30">
        <f>IFERROR(__xludf.DUMMYFUNCTION("""COMPUTED_VALUE"""),3.044877889137302)</f>
        <v>3.044877889</v>
      </c>
      <c r="BA473" s="30">
        <f>IFERROR(__xludf.DUMMYFUNCTION("""COMPUTED_VALUE"""),1700.0)</f>
        <v>1700</v>
      </c>
    </row>
    <row r="474">
      <c r="A474" s="71" t="str">
        <f>IFERROR(__xludf.DUMMYFUNCTION("""COMPUTED_VALUE"""),"Rival")</f>
        <v>Rival</v>
      </c>
      <c r="B474" s="71" t="str">
        <f>IFERROR(__xludf.DUMMYFUNCTION("""COMPUTED_VALUE"""),"RSC005934")</f>
        <v>RSC005934</v>
      </c>
      <c r="C474" s="30" t="str">
        <f>IFERROR(__xludf.DUMMYFUNCTION("""COMPUTED_VALUE"""),"TheodoreThe2")</f>
        <v>TheodoreThe2</v>
      </c>
      <c r="D474" s="30" t="str">
        <f>IFERROR(__xludf.DUMMYFUNCTION("""COMPUTED_VALUE"""),"Ruthless Racket")</f>
        <v>Ruthless Racket</v>
      </c>
      <c r="E474" s="30">
        <f>IFERROR(__xludf.DUMMYFUNCTION("""COMPUTED_VALUE"""),14.0)</f>
        <v>14</v>
      </c>
      <c r="F474" s="30">
        <f>IFERROR(__xludf.DUMMYFUNCTION("""COMPUTED_VALUE"""),5.0)</f>
        <v>5</v>
      </c>
      <c r="G474" s="42">
        <f>IFERROR(__xludf.DUMMYFUNCTION("""COMPUTED_VALUE"""),9.0)</f>
        <v>9</v>
      </c>
      <c r="H474" s="42">
        <f>IFERROR(__xludf.DUMMYFUNCTION("""COMPUTED_VALUE"""),0.35714285714285715)</f>
        <v>0.3571428571</v>
      </c>
      <c r="I474" s="42">
        <f>IFERROR(__xludf.DUMMYFUNCTION("""COMPUTED_VALUE"""),0.23076923076923075)</f>
        <v>0.2307692308</v>
      </c>
      <c r="J474" s="30">
        <f>IFERROR(__xludf.DUMMYFUNCTION("""COMPUTED_VALUE"""),339.5)</f>
        <v>339.5</v>
      </c>
      <c r="K474" s="30">
        <f>IFERROR(__xludf.DUMMYFUNCTION("""COMPUTED_VALUE"""),0.42857142857142855)</f>
        <v>0.4285714286</v>
      </c>
      <c r="L474" s="30">
        <f>IFERROR(__xludf.DUMMYFUNCTION("""COMPUTED_VALUE"""),0.5)</f>
        <v>0.5</v>
      </c>
      <c r="M474" s="30">
        <f>IFERROR(__xludf.DUMMYFUNCTION("""COMPUTED_VALUE"""),1.4285714285714286)</f>
        <v>1.428571429</v>
      </c>
      <c r="N474" s="30">
        <f>IFERROR(__xludf.DUMMYFUNCTION("""COMPUTED_VALUE"""),1.8571428571428572)</f>
        <v>1.857142857</v>
      </c>
      <c r="O474" s="30">
        <f>IFERROR(__xludf.DUMMYFUNCTION("""COMPUTED_VALUE"""),353.9761904761905)</f>
        <v>353.9761905</v>
      </c>
      <c r="P474" s="30">
        <f>IFERROR(__xludf.DUMMYFUNCTION("""COMPUTED_VALUE"""),0.8095238095238095)</f>
        <v>0.8095238095</v>
      </c>
      <c r="Q474" s="30">
        <f>IFERROR(__xludf.DUMMYFUNCTION("""COMPUTED_VALUE"""),0.6190476190476192)</f>
        <v>0.619047619</v>
      </c>
      <c r="R474" s="30">
        <f>IFERROR(__xludf.DUMMYFUNCTION("""COMPUTED_VALUE"""),1.0238095238095237)</f>
        <v>1.023809524</v>
      </c>
      <c r="S474" s="30">
        <f>IFERROR(__xludf.DUMMYFUNCTION("""COMPUTED_VALUE"""),2.857142857142857)</f>
        <v>2.857142857</v>
      </c>
      <c r="T474" s="30">
        <f>IFERROR(__xludf.DUMMYFUNCTION("""COMPUTED_VALUE"""),357.01977830834574)</f>
        <v>357.0197783</v>
      </c>
      <c r="U474" s="30">
        <f>IFERROR(__xludf.DUMMYFUNCTION("""COMPUTED_VALUE"""),0.8355872042779067)</f>
        <v>0.8355872043</v>
      </c>
      <c r="V474" s="30">
        <f>IFERROR(__xludf.DUMMYFUNCTION("""COMPUTED_VALUE"""),0.5773201484895034)</f>
        <v>0.5773201485</v>
      </c>
      <c r="W474" s="30">
        <f>IFERROR(__xludf.DUMMYFUNCTION("""COMPUTED_VALUE"""),1.324530752471929)</f>
        <v>1.324530752</v>
      </c>
      <c r="X474" s="30">
        <f>IFERROR(__xludf.DUMMYFUNCTION("""COMPUTED_VALUE"""),2.632877576864768)</f>
        <v>2.632877577</v>
      </c>
      <c r="Y474" s="30">
        <f>IFERROR(__xludf.DUMMYFUNCTION("""COMPUTED_VALUE"""),342.56114876862426)</f>
        <v>342.5611488</v>
      </c>
      <c r="Z474" s="30">
        <f>IFERROR(__xludf.DUMMYFUNCTION("""COMPUTED_VALUE"""),0.7797531472381252)</f>
        <v>0.7797531472</v>
      </c>
      <c r="AA474" s="30">
        <f>IFERROR(__xludf.DUMMYFUNCTION("""COMPUTED_VALUE"""),0.566648289221028)</f>
        <v>0.5666482892</v>
      </c>
      <c r="AB474" s="30">
        <f>IFERROR(__xludf.DUMMYFUNCTION("""COMPUTED_VALUE"""),1.2337690905330057)</f>
        <v>1.233769091</v>
      </c>
      <c r="AC474" s="30">
        <f>IFERROR(__xludf.DUMMYFUNCTION("""COMPUTED_VALUE"""),2.545850061603541)</f>
        <v>2.545850062</v>
      </c>
      <c r="AD474" s="30">
        <f>IFERROR(__xludf.DUMMYFUNCTION("""COMPUTED_VALUE"""),0.9910639347759431)</f>
        <v>0.9910639348</v>
      </c>
      <c r="AE474" s="30">
        <f>IFERROR(__xludf.DUMMYFUNCTION("""COMPUTED_VALUE"""),0.5496244934559387)</f>
        <v>0.5496244935</v>
      </c>
      <c r="AF474" s="30">
        <f>IFERROR(__xludf.DUMMYFUNCTION("""COMPUTED_VALUE"""),0.882381557504304)</f>
        <v>0.8823815575</v>
      </c>
      <c r="AG474" s="30">
        <f>IFERROR(__xludf.DUMMYFUNCTION("""COMPUTED_VALUE"""),1.1578920557608277)</f>
        <v>1.157892056</v>
      </c>
      <c r="AH474" s="30">
        <f>IFERROR(__xludf.DUMMYFUNCTION("""COMPUTED_VALUE"""),0.7294784893864128)</f>
        <v>0.7294784894</v>
      </c>
      <c r="AI474" s="30">
        <f>IFERROR(__xludf.DUMMYFUNCTION("""COMPUTED_VALUE"""),0.9914750161837628)</f>
        <v>0.9914750162</v>
      </c>
      <c r="AJ474" s="30">
        <f>IFERROR(__xludf.DUMMYFUNCTION("""COMPUTED_VALUE"""),0.9688082888049723)</f>
        <v>0.9688082888</v>
      </c>
      <c r="AK474" s="30">
        <f>IFERROR(__xludf.DUMMYFUNCTION("""COMPUTED_VALUE"""),1.0722778698565973)</f>
        <v>1.07227787</v>
      </c>
      <c r="AL474" s="30">
        <f>IFERROR(__xludf.DUMMYFUNCTION("""COMPUTED_VALUE"""),0.7729601761973598)</f>
        <v>0.7729601762</v>
      </c>
      <c r="AM474" s="30">
        <f>IFERROR(__xludf.DUMMYFUNCTION("""COMPUTED_VALUE"""),1.0851787725524042)</f>
        <v>1.085178773</v>
      </c>
      <c r="AN474" s="30">
        <f>IFERROR(__xludf.DUMMYFUNCTION("""COMPUTED_VALUE"""),1.0016495070542704)</f>
        <v>1.001649507</v>
      </c>
      <c r="AO474" s="30">
        <f>IFERROR(__xludf.DUMMYFUNCTION("""COMPUTED_VALUE"""),0.5833600548756446)</f>
        <v>0.5833600549</v>
      </c>
      <c r="AP474" s="30">
        <f>IFERROR(__xludf.DUMMYFUNCTION("""COMPUTED_VALUE"""),0.8928190683098591)</f>
        <v>0.8928190683</v>
      </c>
      <c r="AQ474" s="30">
        <f>IFERROR(__xludf.DUMMYFUNCTION("""COMPUTED_VALUE"""),1.0901504022855166)</f>
        <v>1.090150402</v>
      </c>
      <c r="AR474" s="30">
        <f>IFERROR(__xludf.DUMMYFUNCTION("""COMPUTED_VALUE"""),0.745737003039866)</f>
        <v>0.745737003</v>
      </c>
      <c r="AS474" s="30">
        <f>IFERROR(__xludf.DUMMYFUNCTION("""COMPUTED_VALUE"""),24.0)</f>
        <v>24</v>
      </c>
      <c r="AT474" s="30">
        <f>IFERROR(__xludf.DUMMYFUNCTION("""COMPUTED_VALUE"""),0.3719749676746582)</f>
        <v>0.3719749677</v>
      </c>
      <c r="AU474" s="30">
        <f>IFERROR(__xludf.DUMMYFUNCTION("""COMPUTED_VALUE"""),1.3332967940197171)</f>
        <v>1.333296794</v>
      </c>
      <c r="AV474" s="32">
        <f>IFERROR(__xludf.DUMMYFUNCTION("""COMPUTED_VALUE"""),26.581819058645326)</f>
        <v>26.58181906</v>
      </c>
      <c r="AW474" s="32">
        <f>IFERROR(__xludf.DUMMYFUNCTION("""COMPUTED_VALUE"""),-5.73231989160243)</f>
        <v>-5.732319892</v>
      </c>
      <c r="AX474" s="32">
        <f>IFERROR(__xludf.DUMMYFUNCTION("""COMPUTED_VALUE"""),40.29082389512096)</f>
        <v>40.2908239</v>
      </c>
      <c r="AY474" s="32">
        <f>IFERROR(__xludf.DUMMYFUNCTION("""COMPUTED_VALUE"""),-2.866379030973107)</f>
        <v>-2.866379031</v>
      </c>
      <c r="AZ474" s="30">
        <f>IFERROR(__xludf.DUMMYFUNCTION("""COMPUTED_VALUE"""),2.8659408606293226)</f>
        <v>2.865940861</v>
      </c>
      <c r="BA474" s="30">
        <f>IFERROR(__xludf.DUMMYFUNCTION("""COMPUTED_VALUE"""),1700.0)</f>
        <v>1700</v>
      </c>
    </row>
    <row r="475">
      <c r="A475" s="71" t="str">
        <f>IFERROR(__xludf.DUMMYFUNCTION("""COMPUTED_VALUE"""),"Rival")</f>
        <v>Rival</v>
      </c>
      <c r="B475" s="71" t="str">
        <f>IFERROR(__xludf.DUMMYFUNCTION("""COMPUTED_VALUE"""),"RSC006774")</f>
        <v>RSC006774</v>
      </c>
      <c r="C475" s="30" t="str">
        <f>IFERROR(__xludf.DUMMYFUNCTION("""COMPUTED_VALUE"""),"JazzMagic.")</f>
        <v>JazzMagic.</v>
      </c>
      <c r="D475" s="30" t="str">
        <f>IFERROR(__xludf.DUMMYFUNCTION("""COMPUTED_VALUE"""),"Hippos")</f>
        <v>Hippos</v>
      </c>
      <c r="E475" s="30">
        <f>IFERROR(__xludf.DUMMYFUNCTION("""COMPUTED_VALUE"""),15.0)</f>
        <v>15</v>
      </c>
      <c r="F475" s="30">
        <f>IFERROR(__xludf.DUMMYFUNCTION("""COMPUTED_VALUE"""),8.0)</f>
        <v>8</v>
      </c>
      <c r="G475" s="42">
        <f>IFERROR(__xludf.DUMMYFUNCTION("""COMPUTED_VALUE"""),7.0)</f>
        <v>7</v>
      </c>
      <c r="H475" s="42">
        <f>IFERROR(__xludf.DUMMYFUNCTION("""COMPUTED_VALUE"""),0.5333333333333333)</f>
        <v>0.5333333333</v>
      </c>
      <c r="I475" s="42">
        <f>IFERROR(__xludf.DUMMYFUNCTION("""COMPUTED_VALUE"""),0.4210526315789474)</f>
        <v>0.4210526316</v>
      </c>
      <c r="J475" s="30">
        <f>IFERROR(__xludf.DUMMYFUNCTION("""COMPUTED_VALUE"""),394.2)</f>
        <v>394.2</v>
      </c>
      <c r="K475" s="30">
        <f>IFERROR(__xludf.DUMMYFUNCTION("""COMPUTED_VALUE"""),1.0666666666666667)</f>
        <v>1.066666667</v>
      </c>
      <c r="L475" s="30">
        <f>IFERROR(__xludf.DUMMYFUNCTION("""COMPUTED_VALUE"""),0.5333333333333333)</f>
        <v>0.5333333333</v>
      </c>
      <c r="M475" s="30">
        <f>IFERROR(__xludf.DUMMYFUNCTION("""COMPUTED_VALUE"""),1.4666666666666666)</f>
        <v>1.466666667</v>
      </c>
      <c r="N475" s="30">
        <f>IFERROR(__xludf.DUMMYFUNCTION("""COMPUTED_VALUE"""),2.533333333333333)</f>
        <v>2.533333333</v>
      </c>
      <c r="O475" s="30">
        <f>IFERROR(__xludf.DUMMYFUNCTION("""COMPUTED_VALUE"""),300.2444444444444)</f>
        <v>300.2444444</v>
      </c>
      <c r="P475" s="30">
        <f>IFERROR(__xludf.DUMMYFUNCTION("""COMPUTED_VALUE"""),0.5555555555555556)</f>
        <v>0.5555555556</v>
      </c>
      <c r="Q475" s="30">
        <f>IFERROR(__xludf.DUMMYFUNCTION("""COMPUTED_VALUE"""),0.3777777777777778)</f>
        <v>0.3777777778</v>
      </c>
      <c r="R475" s="30">
        <f>IFERROR(__xludf.DUMMYFUNCTION("""COMPUTED_VALUE"""),1.2444444444444445)</f>
        <v>1.244444444</v>
      </c>
      <c r="S475" s="30">
        <f>IFERROR(__xludf.DUMMYFUNCTION("""COMPUTED_VALUE"""),2.4222222222222225)</f>
        <v>2.422222222</v>
      </c>
      <c r="T475" s="30">
        <f>IFERROR(__xludf.DUMMYFUNCTION("""COMPUTED_VALUE"""),328.6444284480951)</f>
        <v>328.6444284</v>
      </c>
      <c r="U475" s="30">
        <f>IFERROR(__xludf.DUMMYFUNCTION("""COMPUTED_VALUE"""),0.6863443470110139)</f>
        <v>0.686344347</v>
      </c>
      <c r="V475" s="30">
        <f>IFERROR(__xludf.DUMMYFUNCTION("""COMPUTED_VALUE"""),0.506996817996818)</f>
        <v>0.506996818</v>
      </c>
      <c r="W475" s="30">
        <f>IFERROR(__xludf.DUMMYFUNCTION("""COMPUTED_VALUE"""),1.2607873854540523)</f>
        <v>1.260787385</v>
      </c>
      <c r="X475" s="30">
        <f>IFERROR(__xludf.DUMMYFUNCTION("""COMPUTED_VALUE"""),2.433421553754887)</f>
        <v>2.433421554</v>
      </c>
      <c r="Y475" s="30">
        <f>IFERROR(__xludf.DUMMYFUNCTION("""COMPUTED_VALUE"""),351.65392076647635)</f>
        <v>351.6539208</v>
      </c>
      <c r="Z475" s="30">
        <f>IFERROR(__xludf.DUMMYFUNCTION("""COMPUTED_VALUE"""),0.8119376549376549)</f>
        <v>0.8119376549</v>
      </c>
      <c r="AA475" s="30">
        <f>IFERROR(__xludf.DUMMYFUNCTION("""COMPUTED_VALUE"""),0.5668989816767595)</f>
        <v>0.5668989817</v>
      </c>
      <c r="AB475" s="30">
        <f>IFERROR(__xludf.DUMMYFUNCTION("""COMPUTED_VALUE"""),1.3123317382206274)</f>
        <v>1.312331738</v>
      </c>
      <c r="AC475" s="30">
        <f>IFERROR(__xludf.DUMMYFUNCTION("""COMPUTED_VALUE"""),2.563467873690096)</f>
        <v>2.563467874</v>
      </c>
      <c r="AD475" s="30">
        <f>IFERROR(__xludf.DUMMYFUNCTION("""COMPUTED_VALUE"""),1.1209884967037729)</f>
        <v>1.120988497</v>
      </c>
      <c r="AE475" s="30">
        <f>IFERROR(__xludf.DUMMYFUNCTION("""COMPUTED_VALUE"""),1.3137297675257729)</f>
        <v>1.313729768</v>
      </c>
      <c r="AF475" s="30">
        <f>IFERROR(__xludf.DUMMYFUNCTION("""COMPUTED_VALUE"""),0.9407907767903436)</f>
        <v>0.9407907768</v>
      </c>
      <c r="AG475" s="30">
        <f>IFERROR(__xludf.DUMMYFUNCTION("""COMPUTED_VALUE"""),1.1176035936274007)</f>
        <v>1.117603594</v>
      </c>
      <c r="AH475" s="30">
        <f>IFERROR(__xludf.DUMMYFUNCTION("""COMPUTED_VALUE"""),0.9882446194602064)</f>
        <v>0.9882446195</v>
      </c>
      <c r="AI475" s="30">
        <f>IFERROR(__xludf.DUMMYFUNCTION("""COMPUTED_VALUE"""),0.913584465320896)</f>
        <v>0.9135844653</v>
      </c>
      <c r="AJ475" s="30">
        <f>IFERROR(__xludf.DUMMYFUNCTION("""COMPUTED_VALUE"""),0.8094414385067275)</f>
        <v>0.8094414385</v>
      </c>
      <c r="AK475" s="30">
        <f>IFERROR(__xludf.DUMMYFUNCTION("""COMPUTED_VALUE"""),0.745128498577971)</f>
        <v>0.7451284986</v>
      </c>
      <c r="AL475" s="30">
        <f>IFERROR(__xludf.DUMMYFUNCTION("""COMPUTED_VALUE"""),0.9870375122735526)</f>
        <v>0.9870375123</v>
      </c>
      <c r="AM475" s="30">
        <f>IFERROR(__xludf.DUMMYFUNCTION("""COMPUTED_VALUE"""),0.9953977018427476)</f>
        <v>0.9953977018</v>
      </c>
      <c r="AN475" s="30">
        <f>IFERROR(__xludf.DUMMYFUNCTION("""COMPUTED_VALUE"""),1.1630345675428375)</f>
        <v>1.163034568</v>
      </c>
      <c r="AO475" s="30">
        <f>IFERROR(__xludf.DUMMYFUNCTION("""COMPUTED_VALUE"""),1.4519183588016045)</f>
        <v>1.451918359</v>
      </c>
      <c r="AP475" s="30">
        <f>IFERROR(__xludf.DUMMYFUNCTION("""COMPUTED_VALUE"""),0.9523403395305163)</f>
        <v>0.9523403395</v>
      </c>
      <c r="AQ475" s="30">
        <f>IFERROR(__xludf.DUMMYFUNCTION("""COMPUTED_VALUE"""),1.119221079679797)</f>
        <v>1.11922108</v>
      </c>
      <c r="AR475" s="30">
        <f>IFERROR(__xludf.DUMMYFUNCTION("""COMPUTED_VALUE"""),1.0172617579928427)</f>
        <v>1.017261758</v>
      </c>
      <c r="AS475" s="30">
        <f>IFERROR(__xludf.DUMMYFUNCTION("""COMPUTED_VALUE"""),37.0)</f>
        <v>37</v>
      </c>
      <c r="AT475" s="30">
        <f>IFERROR(__xludf.DUMMYFUNCTION("""COMPUTED_VALUE"""),0.6431654333466716)</f>
        <v>0.6431654333</v>
      </c>
      <c r="AU475" s="30">
        <f>IFERROR(__xludf.DUMMYFUNCTION("""COMPUTED_VALUE"""),2.6832458127240355)</f>
        <v>2.683245813</v>
      </c>
      <c r="AV475" s="32">
        <f>IFERROR(__xludf.DUMMYFUNCTION("""COMPUTED_VALUE"""),74.26751183201128)</f>
        <v>74.26751183</v>
      </c>
      <c r="AW475" s="32">
        <f>IFERROR(__xludf.DUMMYFUNCTION("""COMPUTED_VALUE"""),6.0295910115476845)</f>
        <v>6.029591012</v>
      </c>
      <c r="AX475" s="32">
        <f>IFERROR(__xludf.DUMMYFUNCTION("""COMPUTED_VALUE"""),63.138787739100636)</f>
        <v>63.13878774</v>
      </c>
      <c r="AY475" s="32">
        <f>IFERROR(__xludf.DUMMYFUNCTION("""COMPUTED_VALUE"""),3.3377845167258853)</f>
        <v>3.337784517</v>
      </c>
      <c r="AZ475" s="30">
        <f>IFERROR(__xludf.DUMMYFUNCTION("""COMPUTED_VALUE"""),2.6918064948217992)</f>
        <v>2.691806495</v>
      </c>
      <c r="BA475" s="30">
        <f>IFERROR(__xludf.DUMMYFUNCTION("""COMPUTED_VALUE"""),1700.0)</f>
        <v>1700</v>
      </c>
    </row>
    <row r="476">
      <c r="A476" s="71" t="str">
        <f>IFERROR(__xludf.DUMMYFUNCTION("""COMPUTED_VALUE"""),"Rival")</f>
        <v>Rival</v>
      </c>
      <c r="B476" s="71" t="str">
        <f>IFERROR(__xludf.DUMMYFUNCTION("""COMPUTED_VALUE"""),"RSC005628")</f>
        <v>RSC005628</v>
      </c>
      <c r="C476" s="30" t="str">
        <f>IFERROR(__xludf.DUMMYFUNCTION("""COMPUTED_VALUE"""),"I love sand")</f>
        <v>I love sand</v>
      </c>
      <c r="D476" s="30" t="str">
        <f>IFERROR(__xludf.DUMMYFUNCTION("""COMPUTED_VALUE"""),"Tyrants")</f>
        <v>Tyrants</v>
      </c>
      <c r="E476" s="30">
        <f>IFERROR(__xludf.DUMMYFUNCTION("""COMPUTED_VALUE"""),21.0)</f>
        <v>21</v>
      </c>
      <c r="F476" s="30">
        <f>IFERROR(__xludf.DUMMYFUNCTION("""COMPUTED_VALUE"""),11.0)</f>
        <v>11</v>
      </c>
      <c r="G476" s="42">
        <f>IFERROR(__xludf.DUMMYFUNCTION("""COMPUTED_VALUE"""),10.0)</f>
        <v>10</v>
      </c>
      <c r="H476" s="42">
        <f>IFERROR(__xludf.DUMMYFUNCTION("""COMPUTED_VALUE"""),0.5238095238095238)</f>
        <v>0.5238095238</v>
      </c>
      <c r="I476" s="42">
        <f>IFERROR(__xludf.DUMMYFUNCTION("""COMPUTED_VALUE"""),0.19565217391304346)</f>
        <v>0.1956521739</v>
      </c>
      <c r="J476" s="30">
        <f>IFERROR(__xludf.DUMMYFUNCTION("""COMPUTED_VALUE"""),298.1904761904762)</f>
        <v>298.1904762</v>
      </c>
      <c r="K476" s="30">
        <f>IFERROR(__xludf.DUMMYFUNCTION("""COMPUTED_VALUE"""),0.42857142857142855)</f>
        <v>0.4285714286</v>
      </c>
      <c r="L476" s="30">
        <f>IFERROR(__xludf.DUMMYFUNCTION("""COMPUTED_VALUE"""),0.38095238095238093)</f>
        <v>0.380952381</v>
      </c>
      <c r="M476" s="30">
        <f>IFERROR(__xludf.DUMMYFUNCTION("""COMPUTED_VALUE"""),1.0476190476190477)</f>
        <v>1.047619048</v>
      </c>
      <c r="N476" s="30">
        <f>IFERROR(__xludf.DUMMYFUNCTION("""COMPUTED_VALUE"""),2.1904761904761907)</f>
        <v>2.19047619</v>
      </c>
      <c r="O476" s="30">
        <f>IFERROR(__xludf.DUMMYFUNCTION("""COMPUTED_VALUE"""),317.6984126984127)</f>
        <v>317.6984127</v>
      </c>
      <c r="P476" s="30">
        <f>IFERROR(__xludf.DUMMYFUNCTION("""COMPUTED_VALUE"""),0.634920634920635)</f>
        <v>0.6349206349</v>
      </c>
      <c r="Q476" s="30">
        <f>IFERROR(__xludf.DUMMYFUNCTION("""COMPUTED_VALUE"""),0.4761904761904761)</f>
        <v>0.4761904762</v>
      </c>
      <c r="R476" s="30">
        <f>IFERROR(__xludf.DUMMYFUNCTION("""COMPUTED_VALUE"""),1.0476190476190474)</f>
        <v>1.047619048</v>
      </c>
      <c r="S476" s="30">
        <f>IFERROR(__xludf.DUMMYFUNCTION("""COMPUTED_VALUE"""),2.4285714285714284)</f>
        <v>2.428571429</v>
      </c>
      <c r="T476" s="30">
        <f>IFERROR(__xludf.DUMMYFUNCTION("""COMPUTED_VALUE"""),339.8501708551871)</f>
        <v>339.8501709</v>
      </c>
      <c r="U476" s="30">
        <f>IFERROR(__xludf.DUMMYFUNCTION("""COMPUTED_VALUE"""),0.7428556375506653)</f>
        <v>0.7428556376</v>
      </c>
      <c r="V476" s="30">
        <f>IFERROR(__xludf.DUMMYFUNCTION("""COMPUTED_VALUE"""),0.6001893841905737)</f>
        <v>0.6001893842</v>
      </c>
      <c r="W476" s="30">
        <f>IFERROR(__xludf.DUMMYFUNCTION("""COMPUTED_VALUE"""),1.2460732000172416)</f>
        <v>1.2460732</v>
      </c>
      <c r="X476" s="30">
        <f>IFERROR(__xludf.DUMMYFUNCTION("""COMPUTED_VALUE"""),2.4610072885513934)</f>
        <v>2.461007289</v>
      </c>
      <c r="Y476" s="30">
        <f>IFERROR(__xludf.DUMMYFUNCTION("""COMPUTED_VALUE"""),345.3921495395376)</f>
        <v>345.3921495</v>
      </c>
      <c r="Z476" s="30">
        <f>IFERROR(__xludf.DUMMYFUNCTION("""COMPUTED_VALUE"""),0.7517000680082466)</f>
        <v>0.751700068</v>
      </c>
      <c r="AA476" s="30">
        <f>IFERROR(__xludf.DUMMYFUNCTION("""COMPUTED_VALUE"""),0.5583437795180287)</f>
        <v>0.5583437795</v>
      </c>
      <c r="AB476" s="30">
        <f>IFERROR(__xludf.DUMMYFUNCTION("""COMPUTED_VALUE"""),1.2768055634981896)</f>
        <v>1.276805563</v>
      </c>
      <c r="AC476" s="30">
        <f>IFERROR(__xludf.DUMMYFUNCTION("""COMPUTED_VALUE"""),2.4396818367030106)</f>
        <v>2.439681837</v>
      </c>
      <c r="AD476" s="30">
        <f>IFERROR(__xludf.DUMMYFUNCTION("""COMPUTED_VALUE"""),0.8633388934520118)</f>
        <v>0.8633388935</v>
      </c>
      <c r="AE476" s="30">
        <f>IFERROR(__xludf.DUMMYFUNCTION("""COMPUTED_VALUE"""),0.5701362109850532)</f>
        <v>0.570136211</v>
      </c>
      <c r="AF476" s="30">
        <f>IFERROR(__xludf.DUMMYFUNCTION("""COMPUTED_VALUE"""),0.6822900064924609)</f>
        <v>0.6822900065</v>
      </c>
      <c r="AG476" s="30">
        <f>IFERROR(__xludf.DUMMYFUNCTION("""COMPUTED_VALUE"""),0.8205000648248922)</f>
        <v>0.8205000648</v>
      </c>
      <c r="AH476" s="30">
        <f>IFERROR(__xludf.DUMMYFUNCTION("""COMPUTED_VALUE"""),0.8978532190231835)</f>
        <v>0.897853219</v>
      </c>
      <c r="AI476" s="30">
        <f>IFERROR(__xludf.DUMMYFUNCTION("""COMPUTED_VALUE"""),0.9348190465785776)</f>
        <v>0.9348190466</v>
      </c>
      <c r="AJ476" s="30">
        <f>IFERROR(__xludf.DUMMYFUNCTION("""COMPUTED_VALUE"""),0.8547025866480433)</f>
        <v>0.8547025866</v>
      </c>
      <c r="AK476" s="30">
        <f>IFERROR(__xludf.DUMMYFUNCTION("""COMPUTED_VALUE"""),0.7934003645077383)</f>
        <v>0.7934003645</v>
      </c>
      <c r="AL476" s="30">
        <f>IFERROR(__xludf.DUMMYFUNCTION("""COMPUTED_VALUE"""),0.8407363609172814)</f>
        <v>0.8407363609</v>
      </c>
      <c r="AM476" s="30">
        <f>IFERROR(__xludf.DUMMYFUNCTION("""COMPUTED_VALUE"""),0.9868200878027235)</f>
        <v>0.9868200878</v>
      </c>
      <c r="AN476" s="30">
        <f>IFERROR(__xludf.DUMMYFUNCTION("""COMPUTED_VALUE"""),0.8797712621044732)</f>
        <v>0.8797712621</v>
      </c>
      <c r="AO476" s="30">
        <f>IFERROR(__xludf.DUMMYFUNCTION("""COMPUTED_VALUE"""),0.5833600548756446)</f>
        <v>0.5833600549</v>
      </c>
      <c r="AP476" s="30">
        <f>IFERROR(__xludf.DUMMYFUNCTION("""COMPUTED_VALUE"""),0.6802430996646546)</f>
        <v>0.6802430997</v>
      </c>
      <c r="AQ476" s="30">
        <f>IFERROR(__xludf.DUMMYFUNCTION("""COMPUTED_VALUE"""),0.7994436283427122)</f>
        <v>0.7994436283</v>
      </c>
      <c r="AR476" s="30">
        <f>IFERROR(__xludf.DUMMYFUNCTION("""COMPUTED_VALUE"""),0.8795872343547139)</f>
        <v>0.8795872344</v>
      </c>
      <c r="AS476" s="30">
        <f>IFERROR(__xludf.DUMMYFUNCTION("""COMPUTED_VALUE"""),35.0)</f>
        <v>35</v>
      </c>
      <c r="AT476" s="30">
        <f>IFERROR(__xludf.DUMMYFUNCTION("""COMPUTED_VALUE"""),0.45204300855919893)</f>
        <v>0.4520430086</v>
      </c>
      <c r="AU476" s="30">
        <f>IFERROR(__xludf.DUMMYFUNCTION("""COMPUTED_VALUE"""),1.3927026812012597)</f>
        <v>1.392702681</v>
      </c>
      <c r="AV476" s="32">
        <f>IFERROR(__xludf.DUMMYFUNCTION("""COMPUTED_VALUE"""),28.680276738022886)</f>
        <v>28.68027674</v>
      </c>
      <c r="AW476" s="32">
        <f>IFERROR(__xludf.DUMMYFUNCTION("""COMPUTED_VALUE"""),-5.079025011970154)</f>
        <v>-5.079025012</v>
      </c>
      <c r="AX476" s="32">
        <f>IFERROR(__xludf.DUMMYFUNCTION("""COMPUTED_VALUE"""),44.224005516896995)</f>
        <v>44.22400552</v>
      </c>
      <c r="AY476" s="32">
        <f>IFERROR(__xludf.DUMMYFUNCTION("""COMPUTED_VALUE"""),-2.4471300654563324)</f>
        <v>-2.447130065</v>
      </c>
      <c r="AZ476" s="30">
        <f>IFERROR(__xludf.DUMMYFUNCTION("""COMPUTED_VALUE"""),2.631894946513822)</f>
        <v>2.631894947</v>
      </c>
      <c r="BA476" s="30">
        <f>IFERROR(__xludf.DUMMYFUNCTION("""COMPUTED_VALUE"""),1700.0)</f>
        <v>1700</v>
      </c>
    </row>
    <row r="477">
      <c r="A477" s="71" t="str">
        <f>IFERROR(__xludf.DUMMYFUNCTION("""COMPUTED_VALUE"""),"Rival")</f>
        <v>Rival</v>
      </c>
      <c r="B477" s="71" t="str">
        <f>IFERROR(__xludf.DUMMYFUNCTION("""COMPUTED_VALUE"""),"RSC000737")</f>
        <v>RSC000737</v>
      </c>
      <c r="C477" s="30" t="str">
        <f>IFERROR(__xludf.DUMMYFUNCTION("""COMPUTED_VALUE"""),"AlienHealer")</f>
        <v>AlienHealer</v>
      </c>
      <c r="D477" s="30"/>
      <c r="E477" s="30">
        <f>IFERROR(__xludf.DUMMYFUNCTION("""COMPUTED_VALUE"""),2.0)</f>
        <v>2</v>
      </c>
      <c r="F477" s="30">
        <f>IFERROR(__xludf.DUMMYFUNCTION("""COMPUTED_VALUE"""),0.0)</f>
        <v>0</v>
      </c>
      <c r="G477" s="42">
        <f>IFERROR(__xludf.DUMMYFUNCTION("""COMPUTED_VALUE"""),2.0)</f>
        <v>2</v>
      </c>
      <c r="H477" s="42">
        <f>IFERROR(__xludf.DUMMYFUNCTION("""COMPUTED_VALUE"""),0.0)</f>
        <v>0</v>
      </c>
      <c r="I477" s="42">
        <f>IFERROR(__xludf.DUMMYFUNCTION("""COMPUTED_VALUE"""),0.0)</f>
        <v>0</v>
      </c>
      <c r="J477" s="30">
        <f>IFERROR(__xludf.DUMMYFUNCTION("""COMPUTED_VALUE"""),251.0)</f>
        <v>251</v>
      </c>
      <c r="K477" s="30">
        <f>IFERROR(__xludf.DUMMYFUNCTION("""COMPUTED_VALUE"""),0.0)</f>
        <v>0</v>
      </c>
      <c r="L477" s="30">
        <f>IFERROR(__xludf.DUMMYFUNCTION("""COMPUTED_VALUE"""),1.0)</f>
        <v>1</v>
      </c>
      <c r="M477" s="30">
        <f>IFERROR(__xludf.DUMMYFUNCTION("""COMPUTED_VALUE"""),0.0)</f>
        <v>0</v>
      </c>
      <c r="N477" s="30">
        <f>IFERROR(__xludf.DUMMYFUNCTION("""COMPUTED_VALUE"""),1.0)</f>
        <v>1</v>
      </c>
      <c r="O477" s="30">
        <f>IFERROR(__xludf.DUMMYFUNCTION("""COMPUTED_VALUE"""),335.5)</f>
        <v>335.5</v>
      </c>
      <c r="P477" s="30">
        <f>IFERROR(__xludf.DUMMYFUNCTION("""COMPUTED_VALUE"""),0.6666666666666666)</f>
        <v>0.6666666667</v>
      </c>
      <c r="Q477" s="30">
        <f>IFERROR(__xludf.DUMMYFUNCTION("""COMPUTED_VALUE"""),0.3333333333333333)</f>
        <v>0.3333333333</v>
      </c>
      <c r="R477" s="30">
        <f>IFERROR(__xludf.DUMMYFUNCTION("""COMPUTED_VALUE"""),1.1666666666666665)</f>
        <v>1.166666667</v>
      </c>
      <c r="S477" s="30">
        <f>IFERROR(__xludf.DUMMYFUNCTION("""COMPUTED_VALUE"""),2.5)</f>
        <v>2.5</v>
      </c>
      <c r="T477" s="30">
        <f>IFERROR(__xludf.DUMMYFUNCTION("""COMPUTED_VALUE"""),363.0925925925926)</f>
        <v>363.0925926</v>
      </c>
      <c r="U477" s="30">
        <f>IFERROR(__xludf.DUMMYFUNCTION("""COMPUTED_VALUE"""),0.8703703703703703)</f>
        <v>0.8703703704</v>
      </c>
      <c r="V477" s="30">
        <f>IFERROR(__xludf.DUMMYFUNCTION("""COMPUTED_VALUE"""),0.6018518518518519)</f>
        <v>0.6018518519</v>
      </c>
      <c r="W477" s="30">
        <f>IFERROR(__xludf.DUMMYFUNCTION("""COMPUTED_VALUE"""),1.4074074074074074)</f>
        <v>1.407407407</v>
      </c>
      <c r="X477" s="30">
        <f>IFERROR(__xludf.DUMMYFUNCTION("""COMPUTED_VALUE"""),2.722222222222222)</f>
        <v>2.722222222</v>
      </c>
      <c r="Y477" s="30">
        <f>IFERROR(__xludf.DUMMYFUNCTION("""COMPUTED_VALUE"""),330.62037037037044)</f>
        <v>330.6203704</v>
      </c>
      <c r="Z477" s="30">
        <f>IFERROR(__xludf.DUMMYFUNCTION("""COMPUTED_VALUE"""),0.6666666666666666)</f>
        <v>0.6666666667</v>
      </c>
      <c r="AA477" s="30">
        <f>IFERROR(__xludf.DUMMYFUNCTION("""COMPUTED_VALUE"""),0.5092592592592592)</f>
        <v>0.5092592593</v>
      </c>
      <c r="AB477" s="30">
        <f>IFERROR(__xludf.DUMMYFUNCTION("""COMPUTED_VALUE"""),1.324074074074074)</f>
        <v>1.324074074</v>
      </c>
      <c r="AC477" s="30">
        <f>IFERROR(__xludf.DUMMYFUNCTION("""COMPUTED_VALUE"""),2.4722222222222223)</f>
        <v>2.472222222</v>
      </c>
      <c r="AD477" s="30">
        <f>IFERROR(__xludf.DUMMYFUNCTION("""COMPUTED_VALUE"""),0.7591788724899878)</f>
        <v>0.7591788725</v>
      </c>
      <c r="AE477" s="30">
        <f>IFERROR(__xludf.DUMMYFUNCTION("""COMPUTED_VALUE"""),0.0)</f>
        <v>0</v>
      </c>
      <c r="AF477" s="30">
        <f>IFERROR(__xludf.DUMMYFUNCTION("""COMPUTED_VALUE"""),1.9636363636363638)</f>
        <v>1.963636364</v>
      </c>
      <c r="AG477" s="30">
        <f>IFERROR(__xludf.DUMMYFUNCTION("""COMPUTED_VALUE"""),0.0)</f>
        <v>0</v>
      </c>
      <c r="AH477" s="30">
        <f>IFERROR(__xludf.DUMMYFUNCTION("""COMPUTED_VALUE"""),0.4044943820224719)</f>
        <v>0.404494382</v>
      </c>
      <c r="AI477" s="30">
        <f>IFERROR(__xludf.DUMMYFUNCTION("""COMPUTED_VALUE"""),0.9240067322894884)</f>
        <v>0.9240067323</v>
      </c>
      <c r="AJ477" s="30">
        <f>IFERROR(__xludf.DUMMYFUNCTION("""COMPUTED_VALUE"""),0.7659574468085106)</f>
        <v>0.7659574468</v>
      </c>
      <c r="AK477" s="30">
        <f>IFERROR(__xludf.DUMMYFUNCTION("""COMPUTED_VALUE"""),0.5538461538461538)</f>
        <v>0.5538461538</v>
      </c>
      <c r="AL477" s="30">
        <f>IFERROR(__xludf.DUMMYFUNCTION("""COMPUTED_VALUE"""),0.8289473684210525)</f>
        <v>0.8289473684</v>
      </c>
      <c r="AM477" s="30">
        <f>IFERROR(__xludf.DUMMYFUNCTION("""COMPUTED_VALUE"""),0.9183673469387756)</f>
        <v>0.9183673469</v>
      </c>
      <c r="AN477" s="30">
        <f>IFERROR(__xludf.DUMMYFUNCTION("""COMPUTED_VALUE"""),0.7405420508707566)</f>
        <v>0.7405420509</v>
      </c>
      <c r="AO477" s="30">
        <f>IFERROR(__xludf.DUMMYFUNCTION("""COMPUTED_VALUE"""),0.0)</f>
        <v>0</v>
      </c>
      <c r="AP477" s="30">
        <f>IFERROR(__xludf.DUMMYFUNCTION("""COMPUTED_VALUE"""),1.7856381366197183)</f>
        <v>1.785638137</v>
      </c>
      <c r="AQ477" s="30">
        <f>IFERROR(__xludf.DUMMYFUNCTION("""COMPUTED_VALUE"""),0.0)</f>
        <v>0</v>
      </c>
      <c r="AR477" s="30">
        <f>IFERROR(__xludf.DUMMYFUNCTION("""COMPUTED_VALUE"""),0.40155069394454324)</f>
        <v>0.4015506939</v>
      </c>
      <c r="AS477" s="30">
        <f>IFERROR(__xludf.DUMMYFUNCTION("""COMPUTED_VALUE"""),2.0)</f>
        <v>2</v>
      </c>
      <c r="AT477" s="30">
        <f>IFERROR(__xludf.DUMMYFUNCTION("""COMPUTED_VALUE"""),0.2788691360543353)</f>
        <v>0.2788691361</v>
      </c>
      <c r="AU477" s="30">
        <f>IFERROR(__xludf.DUMMYFUNCTION("""COMPUTED_VALUE"""),1.1891009765675413)</f>
        <v>1.189100977</v>
      </c>
      <c r="AV477" s="32">
        <f>IFERROR(__xludf.DUMMYFUNCTION("""COMPUTED_VALUE"""),21.48823600109514)</f>
        <v>21.488236</v>
      </c>
      <c r="AW477" s="32">
        <f>IFERROR(__xludf.DUMMYFUNCTION("""COMPUTED_VALUE"""),-7.871217093511652)</f>
        <v>-7.871217094</v>
      </c>
      <c r="AX477" s="32">
        <f>IFERROR(__xludf.DUMMYFUNCTION("""COMPUTED_VALUE"""),27.52526730961387)</f>
        <v>27.52526731</v>
      </c>
      <c r="AY477" s="32">
        <f>IFERROR(__xludf.DUMMYFUNCTION("""COMPUTED_VALUE"""),-5.425077087219915)</f>
        <v>-5.425077087</v>
      </c>
      <c r="AZ477" s="30">
        <f>IFERROR(__xludf.DUMMYFUNCTION("""COMPUTED_VALUE"""),2.4461400062917376)</f>
        <v>2.446140006</v>
      </c>
      <c r="BA477" s="30">
        <f>IFERROR(__xludf.DUMMYFUNCTION("""COMPUTED_VALUE"""),1700.0)</f>
        <v>1700</v>
      </c>
    </row>
    <row r="478">
      <c r="A478" s="71" t="str">
        <f>IFERROR(__xludf.DUMMYFUNCTION("""COMPUTED_VALUE"""),"Rival")</f>
        <v>Rival</v>
      </c>
      <c r="B478" s="71" t="str">
        <f>IFERROR(__xludf.DUMMYFUNCTION("""COMPUTED_VALUE"""),"RSC007959")</f>
        <v>RSC007959</v>
      </c>
      <c r="C478" s="30" t="str">
        <f>IFERROR(__xludf.DUMMYFUNCTION("""COMPUTED_VALUE"""),"Cam")</f>
        <v>Cam</v>
      </c>
      <c r="D478" s="30" t="str">
        <f>IFERROR(__xludf.DUMMYFUNCTION("""COMPUTED_VALUE"""),"Mining Legion")</f>
        <v>Mining Legion</v>
      </c>
      <c r="E478" s="30">
        <f>IFERROR(__xludf.DUMMYFUNCTION("""COMPUTED_VALUE"""),29.0)</f>
        <v>29</v>
      </c>
      <c r="F478" s="30">
        <f>IFERROR(__xludf.DUMMYFUNCTION("""COMPUTED_VALUE"""),22.0)</f>
        <v>22</v>
      </c>
      <c r="G478" s="42">
        <f>IFERROR(__xludf.DUMMYFUNCTION("""COMPUTED_VALUE"""),7.0)</f>
        <v>7</v>
      </c>
      <c r="H478" s="42">
        <f>IFERROR(__xludf.DUMMYFUNCTION("""COMPUTED_VALUE"""),0.7586206896551724)</f>
        <v>0.7586206897</v>
      </c>
      <c r="I478" s="42">
        <f>IFERROR(__xludf.DUMMYFUNCTION("""COMPUTED_VALUE"""),0.3506493506493506)</f>
        <v>0.3506493506</v>
      </c>
      <c r="J478" s="30">
        <f>IFERROR(__xludf.DUMMYFUNCTION("""COMPUTED_VALUE"""),350.2758620689655)</f>
        <v>350.2758621</v>
      </c>
      <c r="K478" s="30">
        <f>IFERROR(__xludf.DUMMYFUNCTION("""COMPUTED_VALUE"""),0.9310344827586207)</f>
        <v>0.9310344828</v>
      </c>
      <c r="L478" s="30">
        <f>IFERROR(__xludf.DUMMYFUNCTION("""COMPUTED_VALUE"""),0.6206896551724138)</f>
        <v>0.6206896552</v>
      </c>
      <c r="M478" s="30">
        <f>IFERROR(__xludf.DUMMYFUNCTION("""COMPUTED_VALUE"""),1.3103448275862069)</f>
        <v>1.310344828</v>
      </c>
      <c r="N478" s="30">
        <f>IFERROR(__xludf.DUMMYFUNCTION("""COMPUTED_VALUE"""),2.6551724137931036)</f>
        <v>2.655172414</v>
      </c>
      <c r="O478" s="30">
        <f>IFERROR(__xludf.DUMMYFUNCTION("""COMPUTED_VALUE"""),305.7586206896552)</f>
        <v>305.7586207</v>
      </c>
      <c r="P478" s="30">
        <f>IFERROR(__xludf.DUMMYFUNCTION("""COMPUTED_VALUE"""),0.5057471264367815)</f>
        <v>0.5057471264</v>
      </c>
      <c r="Q478" s="30">
        <f>IFERROR(__xludf.DUMMYFUNCTION("""COMPUTED_VALUE"""),0.3333333333333333)</f>
        <v>0.3333333333</v>
      </c>
      <c r="R478" s="30">
        <f>IFERROR(__xludf.DUMMYFUNCTION("""COMPUTED_VALUE"""),1.4482758620689657)</f>
        <v>1.448275862</v>
      </c>
      <c r="S478" s="30">
        <f>IFERROR(__xludf.DUMMYFUNCTION("""COMPUTED_VALUE"""),1.9999999999999998)</f>
        <v>2</v>
      </c>
      <c r="T478" s="30">
        <f>IFERROR(__xludf.DUMMYFUNCTION("""COMPUTED_VALUE"""),336.503394523007)</f>
        <v>336.5033945</v>
      </c>
      <c r="U478" s="30">
        <f>IFERROR(__xludf.DUMMYFUNCTION("""COMPUTED_VALUE"""),0.7221554553794627)</f>
        <v>0.7221554554</v>
      </c>
      <c r="V478" s="30">
        <f>IFERROR(__xludf.DUMMYFUNCTION("""COMPUTED_VALUE"""),0.48768223873978633)</f>
        <v>0.4876822387</v>
      </c>
      <c r="W478" s="30">
        <f>IFERROR(__xludf.DUMMYFUNCTION("""COMPUTED_VALUE"""),1.310174287054645)</f>
        <v>1.310174287</v>
      </c>
      <c r="X478" s="30">
        <f>IFERROR(__xludf.DUMMYFUNCTION("""COMPUTED_VALUE"""),2.4253124081830824)</f>
        <v>2.425312408</v>
      </c>
      <c r="Y478" s="30">
        <f>IFERROR(__xludf.DUMMYFUNCTION("""COMPUTED_VALUE"""),349.42730338728376)</f>
        <v>349.4273034</v>
      </c>
      <c r="Z478" s="30">
        <f>IFERROR(__xludf.DUMMYFUNCTION("""COMPUTED_VALUE"""),0.8194360042573746)</f>
        <v>0.8194360043</v>
      </c>
      <c r="AA478" s="30">
        <f>IFERROR(__xludf.DUMMYFUNCTION("""COMPUTED_VALUE"""),0.5877497803104141)</f>
        <v>0.5877497803</v>
      </c>
      <c r="AB478" s="30">
        <f>IFERROR(__xludf.DUMMYFUNCTION("""COMPUTED_VALUE"""),1.2428499396058665)</f>
        <v>1.24284994</v>
      </c>
      <c r="AC478" s="30">
        <f>IFERROR(__xludf.DUMMYFUNCTION("""COMPUTED_VALUE"""),2.6199907126388617)</f>
        <v>2.619990713</v>
      </c>
      <c r="AD478" s="30">
        <f>IFERROR(__xludf.DUMMYFUNCTION("""COMPUTED_VALUE"""),1.002428426953063)</f>
        <v>1.002428427</v>
      </c>
      <c r="AE478" s="30">
        <f>IFERROR(__xludf.DUMMYFUNCTION("""COMPUTED_VALUE"""),1.136189376499735)</f>
        <v>1.136189376</v>
      </c>
      <c r="AF478" s="30">
        <f>IFERROR(__xludf.DUMMYFUNCTION("""COMPUTED_VALUE"""),1.0560440445330372)</f>
        <v>1.056044045</v>
      </c>
      <c r="AG478" s="30">
        <f>IFERROR(__xludf.DUMMYFUNCTION("""COMPUTED_VALUE"""),1.0543065464538255)</f>
        <v>1.054306546</v>
      </c>
      <c r="AH478" s="30">
        <f>IFERROR(__xludf.DUMMYFUNCTION("""COMPUTED_VALUE"""),1.0134281778116712)</f>
        <v>1.013428178</v>
      </c>
      <c r="AI478" s="30">
        <f>IFERROR(__xludf.DUMMYFUNCTION("""COMPUTED_VALUE"""),0.9086345804120862)</f>
        <v>0.9086345804</v>
      </c>
      <c r="AJ478" s="30">
        <f>IFERROR(__xludf.DUMMYFUNCTION("""COMPUTED_VALUE"""),0.7003299949746035)</f>
        <v>0.700329995</v>
      </c>
      <c r="AK478" s="30">
        <f>IFERROR(__xludf.DUMMYFUNCTION("""COMPUTED_VALUE"""),0.6835051737678531)</f>
        <v>0.6835051738</v>
      </c>
      <c r="AL478" s="30">
        <f>IFERROR(__xludf.DUMMYFUNCTION("""COMPUTED_VALUE"""),1.1054070259039979)</f>
        <v>1.105407026</v>
      </c>
      <c r="AM478" s="30">
        <f>IFERROR(__xludf.DUMMYFUNCTION("""COMPUTED_VALUE"""),0.8246360317342769)</f>
        <v>0.8246360317</v>
      </c>
      <c r="AN478" s="30">
        <f>IFERROR(__xludf.DUMMYFUNCTION("""COMPUTED_VALUE"""),1.0334422520600557)</f>
        <v>1.033442252</v>
      </c>
      <c r="AO478" s="30">
        <f>IFERROR(__xludf.DUMMYFUNCTION("""COMPUTED_VALUE"""),1.267299429557435)</f>
        <v>1.26729943</v>
      </c>
      <c r="AP478" s="30">
        <f>IFERROR(__xludf.DUMMYFUNCTION("""COMPUTED_VALUE"""),1.1083271192812045)</f>
        <v>1.108327119</v>
      </c>
      <c r="AQ478" s="30">
        <f>IFERROR(__xludf.DUMMYFUNCTION("""COMPUTED_VALUE"""),0.9999310586480945)</f>
        <v>0.9999310586</v>
      </c>
      <c r="AR478" s="30">
        <f>IFERROR(__xludf.DUMMYFUNCTION("""COMPUTED_VALUE"""),1.0661863253010286)</f>
        <v>1.066186325</v>
      </c>
      <c r="AS478" s="30">
        <f>IFERROR(__xludf.DUMMYFUNCTION("""COMPUTED_VALUE"""),84.0)</f>
        <v>84</v>
      </c>
      <c r="AT478" s="30">
        <f>IFERROR(__xludf.DUMMYFUNCTION("""COMPUTED_VALUE"""),0.72912384858296)</f>
        <v>0.7291238486</v>
      </c>
      <c r="AU478" s="30">
        <f>IFERROR(__xludf.DUMMYFUNCTION("""COMPUTED_VALUE"""),2.624238675944464)</f>
        <v>2.624238676</v>
      </c>
      <c r="AV478" s="32">
        <f>IFERROR(__xludf.DUMMYFUNCTION("""COMPUTED_VALUE"""),72.18313963949151)</f>
        <v>72.18313964</v>
      </c>
      <c r="AW478" s="32">
        <f>IFERROR(__xludf.DUMMYFUNCTION("""COMPUTED_VALUE"""),5.334704218060466)</f>
        <v>5.334704218</v>
      </c>
      <c r="AX478" s="32">
        <f>IFERROR(__xludf.DUMMYFUNCTION("""COMPUTED_VALUE"""),60.12751743259737)</f>
        <v>60.12751743</v>
      </c>
      <c r="AY478" s="32">
        <f>IFERROR(__xludf.DUMMYFUNCTION("""COMPUTED_VALUE"""),2.9179892102446114)</f>
        <v>2.91798921</v>
      </c>
      <c r="AZ478" s="30">
        <f>IFERROR(__xludf.DUMMYFUNCTION("""COMPUTED_VALUE"""),2.4167150078158546)</f>
        <v>2.416715008</v>
      </c>
      <c r="BA478" s="30">
        <f>IFERROR(__xludf.DUMMYFUNCTION("""COMPUTED_VALUE"""),1700.0)</f>
        <v>1700</v>
      </c>
    </row>
    <row r="479">
      <c r="A479" s="71" t="str">
        <f>IFERROR(__xludf.DUMMYFUNCTION("""COMPUTED_VALUE"""),"Rival")</f>
        <v>Rival</v>
      </c>
      <c r="B479" s="71" t="str">
        <f>IFERROR(__xludf.DUMMYFUNCTION("""COMPUTED_VALUE"""),"RSC004670")</f>
        <v>RSC004670</v>
      </c>
      <c r="C479" s="30" t="str">
        <f>IFERROR(__xludf.DUMMYFUNCTION("""COMPUTED_VALUE"""),"CarnageWolfBite")</f>
        <v>CarnageWolfBite</v>
      </c>
      <c r="D479" s="30" t="str">
        <f>IFERROR(__xludf.DUMMYFUNCTION("""COMPUTED_VALUE"""),"50 Cent")</f>
        <v>50 Cent</v>
      </c>
      <c r="E479" s="30">
        <f>IFERROR(__xludf.DUMMYFUNCTION("""COMPUTED_VALUE"""),26.0)</f>
        <v>26</v>
      </c>
      <c r="F479" s="30">
        <f>IFERROR(__xludf.DUMMYFUNCTION("""COMPUTED_VALUE"""),11.0)</f>
        <v>11</v>
      </c>
      <c r="G479" s="42">
        <f>IFERROR(__xludf.DUMMYFUNCTION("""COMPUTED_VALUE"""),15.0)</f>
        <v>15</v>
      </c>
      <c r="H479" s="42">
        <f>IFERROR(__xludf.DUMMYFUNCTION("""COMPUTED_VALUE"""),0.4230769230769231)</f>
        <v>0.4230769231</v>
      </c>
      <c r="I479" s="42">
        <f>IFERROR(__xludf.DUMMYFUNCTION("""COMPUTED_VALUE"""),0.3035714285714286)</f>
        <v>0.3035714286</v>
      </c>
      <c r="J479" s="30">
        <f>IFERROR(__xludf.DUMMYFUNCTION("""COMPUTED_VALUE"""),303.84615384615387)</f>
        <v>303.8461538</v>
      </c>
      <c r="K479" s="30">
        <f>IFERROR(__xludf.DUMMYFUNCTION("""COMPUTED_VALUE"""),0.6538461538461539)</f>
        <v>0.6538461538</v>
      </c>
      <c r="L479" s="30">
        <f>IFERROR(__xludf.DUMMYFUNCTION("""COMPUTED_VALUE"""),0.5384615384615384)</f>
        <v>0.5384615385</v>
      </c>
      <c r="M479" s="30">
        <f>IFERROR(__xludf.DUMMYFUNCTION("""COMPUTED_VALUE"""),1.1538461538461537)</f>
        <v>1.153846154</v>
      </c>
      <c r="N479" s="30">
        <f>IFERROR(__xludf.DUMMYFUNCTION("""COMPUTED_VALUE"""),2.1538461538461537)</f>
        <v>2.153846154</v>
      </c>
      <c r="O479" s="30">
        <f>IFERROR(__xludf.DUMMYFUNCTION("""COMPUTED_VALUE"""),375.17948717948724)</f>
        <v>375.1794872</v>
      </c>
      <c r="P479" s="30">
        <f>IFERROR(__xludf.DUMMYFUNCTION("""COMPUTED_VALUE"""),0.9615384615384616)</f>
        <v>0.9615384615</v>
      </c>
      <c r="Q479" s="30">
        <f>IFERROR(__xludf.DUMMYFUNCTION("""COMPUTED_VALUE"""),0.641025641025641)</f>
        <v>0.641025641</v>
      </c>
      <c r="R479" s="30">
        <f>IFERROR(__xludf.DUMMYFUNCTION("""COMPUTED_VALUE"""),1.3846153846153848)</f>
        <v>1.384615385</v>
      </c>
      <c r="S479" s="30">
        <f>IFERROR(__xludf.DUMMYFUNCTION("""COMPUTED_VALUE"""),2.730769230769231)</f>
        <v>2.730769231</v>
      </c>
      <c r="T479" s="30">
        <f>IFERROR(__xludf.DUMMYFUNCTION("""COMPUTED_VALUE"""),353.37140568781274)</f>
        <v>353.3714057</v>
      </c>
      <c r="U479" s="30">
        <f>IFERROR(__xludf.DUMMYFUNCTION("""COMPUTED_VALUE"""),0.8170239634825569)</f>
        <v>0.8170239635</v>
      </c>
      <c r="V479" s="30">
        <f>IFERROR(__xludf.DUMMYFUNCTION("""COMPUTED_VALUE"""),0.5770586759030745)</f>
        <v>0.5770586759</v>
      </c>
      <c r="W479" s="30">
        <f>IFERROR(__xludf.DUMMYFUNCTION("""COMPUTED_VALUE"""),1.382046733179905)</f>
        <v>1.382046733</v>
      </c>
      <c r="X479" s="30">
        <f>IFERROR(__xludf.DUMMYFUNCTION("""COMPUTED_VALUE"""),2.711562080453483)</f>
        <v>2.71156208</v>
      </c>
      <c r="Y479" s="30">
        <f>IFERROR(__xludf.DUMMYFUNCTION("""COMPUTED_VALUE"""),357.92528373515154)</f>
        <v>357.9252837</v>
      </c>
      <c r="Z479" s="30">
        <f>IFERROR(__xludf.DUMMYFUNCTION("""COMPUTED_VALUE"""),0.8315285873291867)</f>
        <v>0.8315285873</v>
      </c>
      <c r="AA479" s="30">
        <f>IFERROR(__xludf.DUMMYFUNCTION("""COMPUTED_VALUE"""),0.6095649267278029)</f>
        <v>0.6095649267</v>
      </c>
      <c r="AB479" s="30">
        <f>IFERROR(__xludf.DUMMYFUNCTION("""COMPUTED_VALUE"""),1.3373847712222782)</f>
        <v>1.337384771</v>
      </c>
      <c r="AC479" s="30">
        <f>IFERROR(__xludf.DUMMYFUNCTION("""COMPUTED_VALUE"""),2.725424737210734)</f>
        <v>2.725424737</v>
      </c>
      <c r="AD479" s="30">
        <f>IFERROR(__xludf.DUMMYFUNCTION("""COMPUTED_VALUE"""),0.8489094446621609)</f>
        <v>0.8489094447</v>
      </c>
      <c r="AE479" s="30">
        <f>IFERROR(__xludf.DUMMYFUNCTION("""COMPUTED_VALUE"""),0.786318310409824)</f>
        <v>0.7863183104</v>
      </c>
      <c r="AF479" s="30">
        <f>IFERROR(__xludf.DUMMYFUNCTION("""COMPUTED_VALUE"""),0.8833538723299689)</f>
        <v>0.8833538723</v>
      </c>
      <c r="AG479" s="30">
        <f>IFERROR(__xludf.DUMMYFUNCTION("""COMPUTED_VALUE"""),0.8627630422257742)</f>
        <v>0.8627630422</v>
      </c>
      <c r="AH479" s="30">
        <f>IFERROR(__xludf.DUMMYFUNCTION("""COMPUTED_VALUE"""),0.79027907996845)</f>
        <v>0.79027908</v>
      </c>
      <c r="AI479" s="30">
        <f>IFERROR(__xludf.DUMMYFUNCTION("""COMPUTED_VALUE"""),1.0617143355140086)</f>
        <v>1.061714336</v>
      </c>
      <c r="AJ479" s="30">
        <f>IFERROR(__xludf.DUMMYFUNCTION("""COMPUTED_VALUE"""),1.1768791424916265)</f>
        <v>1.176879142</v>
      </c>
      <c r="AK479" s="30">
        <f>IFERROR(__xludf.DUMMYFUNCTION("""COMPUTED_VALUE"""),1.1108500188866595)</f>
        <v>1.110850019</v>
      </c>
      <c r="AL479" s="30">
        <f>IFERROR(__xludf.DUMMYFUNCTION("""COMPUTED_VALUE"""),1.0018585850780675)</f>
        <v>1.001858585</v>
      </c>
      <c r="AM479" s="30">
        <f>IFERROR(__xludf.DUMMYFUNCTION("""COMPUTED_VALUE"""),1.0070834263593684)</f>
        <v>1.007083426</v>
      </c>
      <c r="AN479" s="30">
        <f>IFERROR(__xludf.DUMMYFUNCTION("""COMPUTED_VALUE"""),0.8964575853323594)</f>
        <v>0.8964575853</v>
      </c>
      <c r="AO479" s="30">
        <f>IFERROR(__xludf.DUMMYFUNCTION("""COMPUTED_VALUE"""),0.8899980324384835)</f>
        <v>0.8899980324</v>
      </c>
      <c r="AP479" s="30">
        <f>IFERROR(__xludf.DUMMYFUNCTION("""COMPUTED_VALUE"""),0.9614974581798482)</f>
        <v>0.9614974582</v>
      </c>
      <c r="AQ479" s="30">
        <f>IFERROR(__xludf.DUMMYFUNCTION("""COMPUTED_VALUE"""),0.8805060941536864)</f>
        <v>0.8805060942</v>
      </c>
      <c r="AR479" s="30">
        <f>IFERROR(__xludf.DUMMYFUNCTION("""COMPUTED_VALUE"""),0.8648784177267085)</f>
        <v>0.8648784177</v>
      </c>
      <c r="AS479" s="30">
        <f>IFERROR(__xludf.DUMMYFUNCTION("""COMPUTED_VALUE"""),73.0)</f>
        <v>73</v>
      </c>
      <c r="AT479" s="30">
        <f>IFERROR(__xludf.DUMMYFUNCTION("""COMPUTED_VALUE"""),0.4888708819719208)</f>
        <v>0.488870882</v>
      </c>
      <c r="AU479" s="30">
        <f>IFERROR(__xludf.DUMMYFUNCTION("""COMPUTED_VALUE"""),1.5252677553268696)</f>
        <v>1.525267755</v>
      </c>
      <c r="AV479" s="32">
        <f>IFERROR(__xludf.DUMMYFUNCTION("""COMPUTED_VALUE"""),33.363014611561)</f>
        <v>33.36301461</v>
      </c>
      <c r="AW479" s="32">
        <f>IFERROR(__xludf.DUMMYFUNCTION("""COMPUTED_VALUE"""),-3.954570642297021)</f>
        <v>-3.954570642</v>
      </c>
      <c r="AX479" s="32">
        <f>IFERROR(__xludf.DUMMYFUNCTION("""COMPUTED_VALUE"""),25.189605479431858)</f>
        <v>25.18960548</v>
      </c>
      <c r="AY479" s="32">
        <f>IFERROR(__xludf.DUMMYFUNCTION("""COMPUTED_VALUE"""),-6.230631614408931)</f>
        <v>-6.230631614</v>
      </c>
      <c r="AZ479" s="30">
        <f>IFERROR(__xludf.DUMMYFUNCTION("""COMPUTED_VALUE"""),2.27606097211191)</f>
        <v>2.276060972</v>
      </c>
      <c r="BA479" s="30">
        <f>IFERROR(__xludf.DUMMYFUNCTION("""COMPUTED_VALUE"""),1700.0)</f>
        <v>1700</v>
      </c>
    </row>
    <row r="480">
      <c r="A480" s="71" t="str">
        <f>IFERROR(__xludf.DUMMYFUNCTION("""COMPUTED_VALUE"""),"Rival")</f>
        <v>Rival</v>
      </c>
      <c r="B480" s="71" t="str">
        <f>IFERROR(__xludf.DUMMYFUNCTION("""COMPUTED_VALUE"""),"RSC007774")</f>
        <v>RSC007774</v>
      </c>
      <c r="C480" s="30" t="str">
        <f>IFERROR(__xludf.DUMMYFUNCTION("""COMPUTED_VALUE"""),"Il Rogue lI")</f>
        <v>Il Rogue lI</v>
      </c>
      <c r="D480" s="30"/>
      <c r="E480" s="30">
        <f>IFERROR(__xludf.DUMMYFUNCTION("""COMPUTED_VALUE"""),4.0)</f>
        <v>4</v>
      </c>
      <c r="F480" s="30">
        <f>IFERROR(__xludf.DUMMYFUNCTION("""COMPUTED_VALUE"""),1.0)</f>
        <v>1</v>
      </c>
      <c r="G480" s="42">
        <f>IFERROR(__xludf.DUMMYFUNCTION("""COMPUTED_VALUE"""),3.0)</f>
        <v>3</v>
      </c>
      <c r="H480" s="42">
        <f>IFERROR(__xludf.DUMMYFUNCTION("""COMPUTED_VALUE"""),0.25)</f>
        <v>0.25</v>
      </c>
      <c r="I480" s="42">
        <f>IFERROR(__xludf.DUMMYFUNCTION("""COMPUTED_VALUE"""),0.0)</f>
        <v>0</v>
      </c>
      <c r="J480" s="30">
        <f>IFERROR(__xludf.DUMMYFUNCTION("""COMPUTED_VALUE"""),305.75)</f>
        <v>305.75</v>
      </c>
      <c r="K480" s="30">
        <f>IFERROR(__xludf.DUMMYFUNCTION("""COMPUTED_VALUE"""),0.0)</f>
        <v>0</v>
      </c>
      <c r="L480" s="30">
        <f>IFERROR(__xludf.DUMMYFUNCTION("""COMPUTED_VALUE"""),1.25)</f>
        <v>1.25</v>
      </c>
      <c r="M480" s="30">
        <f>IFERROR(__xludf.DUMMYFUNCTION("""COMPUTED_VALUE"""),1.75)</f>
        <v>1.75</v>
      </c>
      <c r="N480" s="30">
        <f>IFERROR(__xludf.DUMMYFUNCTION("""COMPUTED_VALUE"""),2.0)</f>
        <v>2</v>
      </c>
      <c r="O480" s="30">
        <f>IFERROR(__xludf.DUMMYFUNCTION("""COMPUTED_VALUE"""),356.75000000000006)</f>
        <v>356.75</v>
      </c>
      <c r="P480" s="30">
        <f>IFERROR(__xludf.DUMMYFUNCTION("""COMPUTED_VALUE"""),0.75)</f>
        <v>0.75</v>
      </c>
      <c r="Q480" s="30">
        <f>IFERROR(__xludf.DUMMYFUNCTION("""COMPUTED_VALUE"""),0.6666666666666666)</f>
        <v>0.6666666667</v>
      </c>
      <c r="R480" s="30">
        <f>IFERROR(__xludf.DUMMYFUNCTION("""COMPUTED_VALUE"""),1.1666666666666665)</f>
        <v>1.166666667</v>
      </c>
      <c r="S480" s="30">
        <f>IFERROR(__xludf.DUMMYFUNCTION("""COMPUTED_VALUE"""),3.333333333333333)</f>
        <v>3.333333333</v>
      </c>
      <c r="T480" s="30">
        <f>IFERROR(__xludf.DUMMYFUNCTION("""COMPUTED_VALUE"""),321.1805555555556)</f>
        <v>321.1805556</v>
      </c>
      <c r="U480" s="30">
        <f>IFERROR(__xludf.DUMMYFUNCTION("""COMPUTED_VALUE"""),0.625)</f>
        <v>0.625</v>
      </c>
      <c r="V480" s="30">
        <f>IFERROR(__xludf.DUMMYFUNCTION("""COMPUTED_VALUE"""),0.611111111111111)</f>
        <v>0.6111111111</v>
      </c>
      <c r="W480" s="30">
        <f>IFERROR(__xludf.DUMMYFUNCTION("""COMPUTED_VALUE"""),1.222222222222222)</f>
        <v>1.222222222</v>
      </c>
      <c r="X480" s="30">
        <f>IFERROR(__xludf.DUMMYFUNCTION("""COMPUTED_VALUE"""),2.5)</f>
        <v>2.5</v>
      </c>
      <c r="Y480" s="30">
        <f>IFERROR(__xludf.DUMMYFUNCTION("""COMPUTED_VALUE"""),372.39351851851853)</f>
        <v>372.3935185</v>
      </c>
      <c r="Z480" s="30">
        <f>IFERROR(__xludf.DUMMYFUNCTION("""COMPUTED_VALUE"""),0.8425925925925926)</f>
        <v>0.8425925926</v>
      </c>
      <c r="AA480" s="30">
        <f>IFERROR(__xludf.DUMMYFUNCTION("""COMPUTED_VALUE"""),0.6342592592592592)</f>
        <v>0.6342592593</v>
      </c>
      <c r="AB480" s="30">
        <f>IFERROR(__xludf.DUMMYFUNCTION("""COMPUTED_VALUE"""),1.3379629629629628)</f>
        <v>1.337962963</v>
      </c>
      <c r="AC480" s="30">
        <f>IFERROR(__xludf.DUMMYFUNCTION("""COMPUTED_VALUE"""),2.4814814814814814)</f>
        <v>2.481481481</v>
      </c>
      <c r="AD480" s="30">
        <f>IFERROR(__xludf.DUMMYFUNCTION("""COMPUTED_VALUE"""),0.8210400686251351)</f>
        <v>0.8210400686</v>
      </c>
      <c r="AE480" s="30">
        <f>IFERROR(__xludf.DUMMYFUNCTION("""COMPUTED_VALUE"""),0.0)</f>
        <v>0</v>
      </c>
      <c r="AF480" s="30">
        <f>IFERROR(__xludf.DUMMYFUNCTION("""COMPUTED_VALUE"""),1.9708029197080295)</f>
        <v>1.97080292</v>
      </c>
      <c r="AG480" s="30">
        <f>IFERROR(__xludf.DUMMYFUNCTION("""COMPUTED_VALUE"""),1.3079584775086506)</f>
        <v>1.307958478</v>
      </c>
      <c r="AH480" s="30">
        <f>IFERROR(__xludf.DUMMYFUNCTION("""COMPUTED_VALUE"""),0.8059701492537313)</f>
        <v>0.8059701493</v>
      </c>
      <c r="AI480" s="30">
        <f>IFERROR(__xludf.DUMMYFUNCTION("""COMPUTED_VALUE"""),1.110745945945946)</f>
        <v>1.110745946</v>
      </c>
      <c r="AJ480" s="30">
        <f>IFERROR(__xludf.DUMMYFUNCTION("""COMPUTED_VALUE"""),1.2)</f>
        <v>1.2</v>
      </c>
      <c r="AK480" s="30">
        <f>IFERROR(__xludf.DUMMYFUNCTION("""COMPUTED_VALUE"""),1.090909090909091)</f>
        <v>1.090909091</v>
      </c>
      <c r="AL480" s="30">
        <f>IFERROR(__xludf.DUMMYFUNCTION("""COMPUTED_VALUE"""),0.9545454545454545)</f>
        <v>0.9545454545</v>
      </c>
      <c r="AM480" s="30">
        <f>IFERROR(__xludf.DUMMYFUNCTION("""COMPUTED_VALUE"""),1.3333333333333333)</f>
        <v>1.333333333</v>
      </c>
      <c r="AN480" s="30">
        <f>IFERROR(__xludf.DUMMYFUNCTION("""COMPUTED_VALUE"""),0.9020746296961507)</f>
        <v>0.9020746297</v>
      </c>
      <c r="AO480" s="30">
        <f>IFERROR(__xludf.DUMMYFUNCTION("""COMPUTED_VALUE"""),0.0)</f>
        <v>0</v>
      </c>
      <c r="AP480" s="30">
        <f>IFERROR(__xludf.DUMMYFUNCTION("""COMPUTED_VALUE"""),2.232047670774648)</f>
        <v>2.232047671</v>
      </c>
      <c r="AQ480" s="30">
        <f>IFERROR(__xludf.DUMMYFUNCTION("""COMPUTED_VALUE"""),1.3354342427997579)</f>
        <v>1.335434243</v>
      </c>
      <c r="AR480" s="30">
        <f>IFERROR(__xludf.DUMMYFUNCTION("""COMPUTED_VALUE"""),0.8031013878890865)</f>
        <v>0.8031013879</v>
      </c>
      <c r="AS480" s="30">
        <f>IFERROR(__xludf.DUMMYFUNCTION("""COMPUTED_VALUE"""),7.0)</f>
        <v>7</v>
      </c>
      <c r="AT480" s="30">
        <f>IFERROR(__xludf.DUMMYFUNCTION("""COMPUTED_VALUE"""),0.4075463360783245)</f>
        <v>0.4075463361</v>
      </c>
      <c r="AU480" s="30">
        <f>IFERROR(__xludf.DUMMYFUNCTION("""COMPUTED_VALUE"""),1.3178437680170993)</f>
        <v>1.317843768</v>
      </c>
      <c r="AV480" s="32">
        <f>IFERROR(__xludf.DUMMYFUNCTION("""COMPUTED_VALUE"""),26.035955296259)</f>
        <v>26.0359553</v>
      </c>
      <c r="AW480" s="32">
        <f>IFERROR(__xludf.DUMMYFUNCTION("""COMPUTED_VALUE"""),-5.9210215594732)</f>
        <v>-5.921021559</v>
      </c>
      <c r="AX480" s="32">
        <f>IFERROR(__xludf.DUMMYFUNCTION("""COMPUTED_VALUE"""),34.88943639471101)</f>
        <v>34.88943639</v>
      </c>
      <c r="AY480" s="32">
        <f>IFERROR(__xludf.DUMMYFUNCTION("""COMPUTED_VALUE"""),-3.665939428818025)</f>
        <v>-3.665939429</v>
      </c>
      <c r="AZ480" s="30">
        <f>IFERROR(__xludf.DUMMYFUNCTION("""COMPUTED_VALUE"""),2.255082130655175)</f>
        <v>2.255082131</v>
      </c>
      <c r="BA480" s="30">
        <f>IFERROR(__xludf.DUMMYFUNCTION("""COMPUTED_VALUE"""),1700.0)</f>
        <v>1700</v>
      </c>
    </row>
    <row r="481">
      <c r="A481" s="71" t="str">
        <f>IFERROR(__xludf.DUMMYFUNCTION("""COMPUTED_VALUE"""),"Rival")</f>
        <v>Rival</v>
      </c>
      <c r="B481" s="71" t="str">
        <f>IFERROR(__xludf.DUMMYFUNCTION("""COMPUTED_VALUE"""),"RSC000731")</f>
        <v>RSC000731</v>
      </c>
      <c r="C481" s="30" t="str">
        <f>IFERROR(__xludf.DUMMYFUNCTION("""COMPUTED_VALUE"""),"mm2")</f>
        <v>mm2</v>
      </c>
      <c r="D481" s="30" t="str">
        <f>IFERROR(__xludf.DUMMYFUNCTION("""COMPUTED_VALUE"""),"Cursed")</f>
        <v>Cursed</v>
      </c>
      <c r="E481" s="30">
        <f>IFERROR(__xludf.DUMMYFUNCTION("""COMPUTED_VALUE"""),36.0)</f>
        <v>36</v>
      </c>
      <c r="F481" s="30">
        <f>IFERROR(__xludf.DUMMYFUNCTION("""COMPUTED_VALUE"""),23.0)</f>
        <v>23</v>
      </c>
      <c r="G481" s="42">
        <f>IFERROR(__xludf.DUMMYFUNCTION("""COMPUTED_VALUE"""),13.0)</f>
        <v>13</v>
      </c>
      <c r="H481" s="42">
        <f>IFERROR(__xludf.DUMMYFUNCTION("""COMPUTED_VALUE"""),0.6388888888888888)</f>
        <v>0.6388888889</v>
      </c>
      <c r="I481" s="42">
        <f>IFERROR(__xludf.DUMMYFUNCTION("""COMPUTED_VALUE"""),0.31000000000000005)</f>
        <v>0.31</v>
      </c>
      <c r="J481" s="30">
        <f>IFERROR(__xludf.DUMMYFUNCTION("""COMPUTED_VALUE"""),392.69444444444446)</f>
        <v>392.6944444</v>
      </c>
      <c r="K481" s="30">
        <f>IFERROR(__xludf.DUMMYFUNCTION("""COMPUTED_VALUE"""),0.8611111111111112)</f>
        <v>0.8611111111</v>
      </c>
      <c r="L481" s="30">
        <f>IFERROR(__xludf.DUMMYFUNCTION("""COMPUTED_VALUE"""),0.7222222222222222)</f>
        <v>0.7222222222</v>
      </c>
      <c r="M481" s="30">
        <f>IFERROR(__xludf.DUMMYFUNCTION("""COMPUTED_VALUE"""),1.6388888888888888)</f>
        <v>1.638888889</v>
      </c>
      <c r="N481" s="30">
        <f>IFERROR(__xludf.DUMMYFUNCTION("""COMPUTED_VALUE"""),2.7777777777777777)</f>
        <v>2.777777778</v>
      </c>
      <c r="O481" s="30">
        <f>IFERROR(__xludf.DUMMYFUNCTION("""COMPUTED_VALUE"""),330.62037037037044)</f>
        <v>330.6203704</v>
      </c>
      <c r="P481" s="30">
        <f>IFERROR(__xludf.DUMMYFUNCTION("""COMPUTED_VALUE"""),0.6666666666666666)</f>
        <v>0.6666666667</v>
      </c>
      <c r="Q481" s="30">
        <f>IFERROR(__xludf.DUMMYFUNCTION("""COMPUTED_VALUE"""),0.5092592592592592)</f>
        <v>0.5092592593</v>
      </c>
      <c r="R481" s="30">
        <f>IFERROR(__xludf.DUMMYFUNCTION("""COMPUTED_VALUE"""),1.324074074074074)</f>
        <v>1.324074074</v>
      </c>
      <c r="S481" s="30">
        <f>IFERROR(__xludf.DUMMYFUNCTION("""COMPUTED_VALUE"""),2.4722222222222223)</f>
        <v>2.472222222</v>
      </c>
      <c r="T481" s="30">
        <f>IFERROR(__xludf.DUMMYFUNCTION("""COMPUTED_VALUE"""),355.9288104343109)</f>
        <v>355.9288104</v>
      </c>
      <c r="U481" s="30">
        <f>IFERROR(__xludf.DUMMYFUNCTION("""COMPUTED_VALUE"""),0.7996393494463698)</f>
        <v>0.7996393494</v>
      </c>
      <c r="V481" s="30">
        <f>IFERROR(__xludf.DUMMYFUNCTION("""COMPUTED_VALUE"""),0.5996154860590291)</f>
        <v>0.5996154861</v>
      </c>
      <c r="W481" s="30">
        <f>IFERROR(__xludf.DUMMYFUNCTION("""COMPUTED_VALUE"""),1.3390263252219528)</f>
        <v>1.339026325</v>
      </c>
      <c r="X481" s="30">
        <f>IFERROR(__xludf.DUMMYFUNCTION("""COMPUTED_VALUE"""),2.605865817793921)</f>
        <v>2.605865818</v>
      </c>
      <c r="Y481" s="30">
        <f>IFERROR(__xludf.DUMMYFUNCTION("""COMPUTED_VALUE"""),349.02516492677546)</f>
        <v>349.0251649</v>
      </c>
      <c r="Z481" s="30">
        <f>IFERROR(__xludf.DUMMYFUNCTION("""COMPUTED_VALUE"""),0.8004031558610476)</f>
        <v>0.8004031559</v>
      </c>
      <c r="AA481" s="30">
        <f>IFERROR(__xludf.DUMMYFUNCTION("""COMPUTED_VALUE"""),0.5685840678915015)</f>
        <v>0.5685840679</v>
      </c>
      <c r="AB481" s="30">
        <f>IFERROR(__xludf.DUMMYFUNCTION("""COMPUTED_VALUE"""),1.3049753619808457)</f>
        <v>1.304975362</v>
      </c>
      <c r="AC481" s="30">
        <f>IFERROR(__xludf.DUMMYFUNCTION("""COMPUTED_VALUE"""),2.6182472153163685)</f>
        <v>2.618247215</v>
      </c>
      <c r="AD481" s="30">
        <f>IFERROR(__xludf.DUMMYFUNCTION("""COMPUTED_VALUE"""),1.1251178536849362)</f>
        <v>1.125117854</v>
      </c>
      <c r="AE481" s="30">
        <f>IFERROR(__xludf.DUMMYFUNCTION("""COMPUTED_VALUE"""),1.0758467214996872)</f>
        <v>1.075846721</v>
      </c>
      <c r="AF481" s="30">
        <f>IFERROR(__xludf.DUMMYFUNCTION("""COMPUTED_VALUE"""),1.2702118525769848)</f>
        <v>1.270211853</v>
      </c>
      <c r="AG481" s="30">
        <f>IFERROR(__xludf.DUMMYFUNCTION("""COMPUTED_VALUE"""),1.2558772653003882)</f>
        <v>1.255877265</v>
      </c>
      <c r="AH481" s="30">
        <f>IFERROR(__xludf.DUMMYFUNCTION("""COMPUTED_VALUE"""),1.0609302901300453)</f>
        <v>1.06093029</v>
      </c>
      <c r="AI481" s="30">
        <f>IFERROR(__xludf.DUMMYFUNCTION("""COMPUTED_VALUE"""),0.9288946572404222)</f>
        <v>0.9288946572</v>
      </c>
      <c r="AJ481" s="30">
        <f>IFERROR(__xludf.DUMMYFUNCTION("""COMPUTED_VALUE"""),0.8337091804301942)</f>
        <v>0.8337091804</v>
      </c>
      <c r="AK481" s="30">
        <f>IFERROR(__xludf.DUMMYFUNCTION("""COMPUTED_VALUE"""),0.8493097178099319)</f>
        <v>0.8493097178</v>
      </c>
      <c r="AL481" s="30">
        <f>IFERROR(__xludf.DUMMYFUNCTION("""COMPUTED_VALUE"""),0.9888334897781786)</f>
        <v>0.9888334898</v>
      </c>
      <c r="AM481" s="30">
        <f>IFERROR(__xludf.DUMMYFUNCTION("""COMPUTED_VALUE"""),0.948714321873703)</f>
        <v>0.9487143219</v>
      </c>
      <c r="AN481" s="30">
        <f>IFERROR(__xludf.DUMMYFUNCTION("""COMPUTED_VALUE"""),1.1585926265117183)</f>
        <v>1.158592627</v>
      </c>
      <c r="AO481" s="30">
        <f>IFERROR(__xludf.DUMMYFUNCTION("""COMPUTED_VALUE"""),1.1721215917408787)</f>
        <v>1.172121592</v>
      </c>
      <c r="AP481" s="30">
        <f>IFERROR(__xludf.DUMMYFUNCTION("""COMPUTED_VALUE"""),1.289627543114241)</f>
        <v>1.289627543</v>
      </c>
      <c r="AQ481" s="30">
        <f>IFERROR(__xludf.DUMMYFUNCTION("""COMPUTED_VALUE"""),1.25064476706644)</f>
        <v>1.250644767</v>
      </c>
      <c r="AR481" s="30">
        <f>IFERROR(__xludf.DUMMYFUNCTION("""COMPUTED_VALUE"""),1.1154185942903978)</f>
        <v>1.115418594</v>
      </c>
      <c r="AS481" s="30">
        <f>IFERROR(__xludf.DUMMYFUNCTION("""COMPUTED_VALUE"""),94.0)</f>
        <v>94</v>
      </c>
      <c r="AT481" s="30">
        <f>IFERROR(__xludf.DUMMYFUNCTION("""COMPUTED_VALUE"""),0.6019139321801137)</f>
        <v>0.6019139322</v>
      </c>
      <c r="AU481" s="30">
        <f>IFERROR(__xludf.DUMMYFUNCTION("""COMPUTED_VALUE"""),2.678327435174599)</f>
        <v>2.678327435</v>
      </c>
      <c r="AV481" s="32">
        <f>IFERROR(__xludf.DUMMYFUNCTION("""COMPUTED_VALUE"""),74.09377472230105)</f>
        <v>74.09377472</v>
      </c>
      <c r="AW481" s="32">
        <f>IFERROR(__xludf.DUMMYFUNCTION("""COMPUTED_VALUE"""),5.967107204548365)</f>
        <v>5.967107205</v>
      </c>
      <c r="AX481" s="32">
        <f>IFERROR(__xludf.DUMMYFUNCTION("""COMPUTED_VALUE"""),65.4270802208897)</f>
        <v>65.42708022</v>
      </c>
      <c r="AY481" s="32">
        <f>IFERROR(__xludf.DUMMYFUNCTION("""COMPUTED_VALUE"""),3.723147889336524)</f>
        <v>3.723147889</v>
      </c>
      <c r="AZ481" s="30">
        <f>IFERROR(__xludf.DUMMYFUNCTION("""COMPUTED_VALUE"""),2.2439593152118413)</f>
        <v>2.243959315</v>
      </c>
      <c r="BA481" s="30">
        <f>IFERROR(__xludf.DUMMYFUNCTION("""COMPUTED_VALUE"""),1700.0)</f>
        <v>1700</v>
      </c>
    </row>
    <row r="482">
      <c r="A482" s="71" t="str">
        <f>IFERROR(__xludf.DUMMYFUNCTION("""COMPUTED_VALUE"""),"Rival")</f>
        <v>Rival</v>
      </c>
      <c r="B482" s="71" t="str">
        <f>IFERROR(__xludf.DUMMYFUNCTION("""COMPUTED_VALUE"""),"RSC006212")</f>
        <v>RSC006212</v>
      </c>
      <c r="C482" s="30" t="str">
        <f>IFERROR(__xludf.DUMMYFUNCTION("""COMPUTED_VALUE"""),"Kingtutt97")</f>
        <v>Kingtutt97</v>
      </c>
      <c r="D482" s="30" t="str">
        <f>IFERROR(__xludf.DUMMYFUNCTION("""COMPUTED_VALUE"""),"Dice")</f>
        <v>Dice</v>
      </c>
      <c r="E482" s="30">
        <f>IFERROR(__xludf.DUMMYFUNCTION("""COMPUTED_VALUE"""),29.0)</f>
        <v>29</v>
      </c>
      <c r="F482" s="30">
        <f>IFERROR(__xludf.DUMMYFUNCTION("""COMPUTED_VALUE"""),9.0)</f>
        <v>9</v>
      </c>
      <c r="G482" s="42">
        <f>IFERROR(__xludf.DUMMYFUNCTION("""COMPUTED_VALUE"""),20.0)</f>
        <v>20</v>
      </c>
      <c r="H482" s="42">
        <f>IFERROR(__xludf.DUMMYFUNCTION("""COMPUTED_VALUE"""),0.3103448275862069)</f>
        <v>0.3103448276</v>
      </c>
      <c r="I482" s="42">
        <f>IFERROR(__xludf.DUMMYFUNCTION("""COMPUTED_VALUE"""),0.18571428571428572)</f>
        <v>0.1857142857</v>
      </c>
      <c r="J482" s="30">
        <f>IFERROR(__xludf.DUMMYFUNCTION("""COMPUTED_VALUE"""),300.6896551724138)</f>
        <v>300.6896552</v>
      </c>
      <c r="K482" s="30">
        <f>IFERROR(__xludf.DUMMYFUNCTION("""COMPUTED_VALUE"""),0.4482758620689655)</f>
        <v>0.4482758621</v>
      </c>
      <c r="L482" s="30">
        <f>IFERROR(__xludf.DUMMYFUNCTION("""COMPUTED_VALUE"""),0.27586206896551724)</f>
        <v>0.275862069</v>
      </c>
      <c r="M482" s="30">
        <f>IFERROR(__xludf.DUMMYFUNCTION("""COMPUTED_VALUE"""),1.5862068965517242)</f>
        <v>1.586206897</v>
      </c>
      <c r="N482" s="30">
        <f>IFERROR(__xludf.DUMMYFUNCTION("""COMPUTED_VALUE"""),2.413793103448276)</f>
        <v>2.413793103</v>
      </c>
      <c r="O482" s="30">
        <f>IFERROR(__xludf.DUMMYFUNCTION("""COMPUTED_VALUE"""),374.04597701149436)</f>
        <v>374.045977</v>
      </c>
      <c r="P482" s="30">
        <f>IFERROR(__xludf.DUMMYFUNCTION("""COMPUTED_VALUE"""),0.8850574712643676)</f>
        <v>0.8850574713</v>
      </c>
      <c r="Q482" s="30">
        <f>IFERROR(__xludf.DUMMYFUNCTION("""COMPUTED_VALUE"""),0.5977011494252873)</f>
        <v>0.5977011494</v>
      </c>
      <c r="R482" s="30">
        <f>IFERROR(__xludf.DUMMYFUNCTION("""COMPUTED_VALUE"""),1.4022988505747127)</f>
        <v>1.402298851</v>
      </c>
      <c r="S482" s="30">
        <f>IFERROR(__xludf.DUMMYFUNCTION("""COMPUTED_VALUE"""),2.931034482758622)</f>
        <v>2.931034483</v>
      </c>
      <c r="T482" s="30">
        <f>IFERROR(__xludf.DUMMYFUNCTION("""COMPUTED_VALUE"""),356.01382519256316)</f>
        <v>356.0138252</v>
      </c>
      <c r="U482" s="30">
        <f>IFERROR(__xludf.DUMMYFUNCTION("""COMPUTED_VALUE"""),0.8550709871509388)</f>
        <v>0.8550709872</v>
      </c>
      <c r="V482" s="30">
        <f>IFERROR(__xludf.DUMMYFUNCTION("""COMPUTED_VALUE"""),0.5756771683008755)</f>
        <v>0.5756771683</v>
      </c>
      <c r="W482" s="30">
        <f>IFERROR(__xludf.DUMMYFUNCTION("""COMPUTED_VALUE"""),1.3407681162351626)</f>
        <v>1.340768116</v>
      </c>
      <c r="X482" s="30">
        <f>IFERROR(__xludf.DUMMYFUNCTION("""COMPUTED_VALUE"""),2.6684173419561654)</f>
        <v>2.668417342</v>
      </c>
      <c r="Y482" s="30">
        <f>IFERROR(__xludf.DUMMYFUNCTION("""COMPUTED_VALUE"""),342.7818883800397)</f>
        <v>342.7818884</v>
      </c>
      <c r="Z482" s="30">
        <f>IFERROR(__xludf.DUMMYFUNCTION("""COMPUTED_VALUE"""),0.7630226415073199)</f>
        <v>0.7630226415</v>
      </c>
      <c r="AA482" s="30">
        <f>IFERROR(__xludf.DUMMYFUNCTION("""COMPUTED_VALUE"""),0.5450798485531714)</f>
        <v>0.5450798486</v>
      </c>
      <c r="AB482" s="30">
        <f>IFERROR(__xludf.DUMMYFUNCTION("""COMPUTED_VALUE"""),1.3237807325454047)</f>
        <v>1.323780733</v>
      </c>
      <c r="AC482" s="30">
        <f>IFERROR(__xludf.DUMMYFUNCTION("""COMPUTED_VALUE"""),2.60144809495145)</f>
        <v>2.601448095</v>
      </c>
      <c r="AD482" s="30">
        <f>IFERROR(__xludf.DUMMYFUNCTION("""COMPUTED_VALUE"""),0.8772040337179118)</f>
        <v>0.8772040337</v>
      </c>
      <c r="AE482" s="30">
        <f>IFERROR(__xludf.DUMMYFUNCTION("""COMPUTED_VALUE"""),0.5875000788750055)</f>
        <v>0.5875000789</v>
      </c>
      <c r="AF482" s="30">
        <f>IFERROR(__xludf.DUMMYFUNCTION("""COMPUTED_VALUE"""),0.5060947853745642)</f>
        <v>0.5060947854</v>
      </c>
      <c r="AG482" s="30">
        <f>IFERROR(__xludf.DUMMYFUNCTION("""COMPUTED_VALUE"""),1.1982399029949007)</f>
        <v>1.198239903</v>
      </c>
      <c r="AH482" s="30">
        <f>IFERROR(__xludf.DUMMYFUNCTION("""COMPUTED_VALUE"""),0.9278651794485732)</f>
        <v>0.9278651794</v>
      </c>
      <c r="AI482" s="30">
        <f>IFERROR(__xludf.DUMMYFUNCTION("""COMPUTED_VALUE"""),1.0506501448621492)</f>
        <v>1.050650145</v>
      </c>
      <c r="AJ482" s="30">
        <f>IFERROR(__xludf.DUMMYFUNCTION("""COMPUTED_VALUE"""),1.0350689996082578)</f>
        <v>1.035069</v>
      </c>
      <c r="AK482" s="30">
        <f>IFERROR(__xludf.DUMMYFUNCTION("""COMPUTED_VALUE"""),1.0382575205985956)</f>
        <v>1.038257521</v>
      </c>
      <c r="AL482" s="30">
        <f>IFERROR(__xludf.DUMMYFUNCTION("""COMPUTED_VALUE"""),1.045892152113765)</f>
        <v>1.045892152</v>
      </c>
      <c r="AM482" s="30">
        <f>IFERROR(__xludf.DUMMYFUNCTION("""COMPUTED_VALUE"""),1.0984168168424273)</f>
        <v>1.098416817</v>
      </c>
      <c r="AN482" s="30">
        <f>IFERROR(__xludf.DUMMYFUNCTION("""COMPUTED_VALUE"""),0.8871447566414339)</f>
        <v>0.8871447566</v>
      </c>
      <c r="AO482" s="30">
        <f>IFERROR(__xludf.DUMMYFUNCTION("""COMPUTED_VALUE"""),0.6101812068239502)</f>
        <v>0.6101812068</v>
      </c>
      <c r="AP482" s="30">
        <f>IFERROR(__xludf.DUMMYFUNCTION("""COMPUTED_VALUE"""),0.4925898307916464)</f>
        <v>0.4925898308</v>
      </c>
      <c r="AQ482" s="30">
        <f>IFERROR(__xludf.DUMMYFUNCTION("""COMPUTED_VALUE"""),1.210442860468746)</f>
        <v>1.21044286</v>
      </c>
      <c r="AR482" s="30">
        <f>IFERROR(__xludf.DUMMYFUNCTION("""COMPUTED_VALUE"""),0.9692602957282077)</f>
        <v>0.9692602957</v>
      </c>
      <c r="AS482" s="30">
        <f>IFERROR(__xludf.DUMMYFUNCTION("""COMPUTED_VALUE"""),47.0)</f>
        <v>47</v>
      </c>
      <c r="AT482" s="30">
        <f>IFERROR(__xludf.DUMMYFUNCTION("""COMPUTED_VALUE"""),0.321021189116232)</f>
        <v>0.3210211891</v>
      </c>
      <c r="AU482" s="30">
        <f>IFERROR(__xludf.DUMMYFUNCTION("""COMPUTED_VALUE"""),1.1720674974440919)</f>
        <v>1.172067497</v>
      </c>
      <c r="AV482" s="32">
        <f>IFERROR(__xludf.DUMMYFUNCTION("""COMPUTED_VALUE"""),20.88654420304342)</f>
        <v>20.8865442</v>
      </c>
      <c r="AW482" s="32">
        <f>IFERROR(__xludf.DUMMYFUNCTION("""COMPUTED_VALUE"""),-8.189808339233334)</f>
        <v>-8.189808339</v>
      </c>
      <c r="AX482" s="32">
        <f>IFERROR(__xludf.DUMMYFUNCTION("""COMPUTED_VALUE"""),25.844130249724113)</f>
        <v>25.84413025</v>
      </c>
      <c r="AY482" s="32">
        <f>IFERROR(__xludf.DUMMYFUNCTION("""COMPUTED_VALUE"""),-5.9893382351820525)</f>
        <v>-5.989338235</v>
      </c>
      <c r="AZ482" s="30">
        <f>IFERROR(__xludf.DUMMYFUNCTION("""COMPUTED_VALUE"""),2.2004701040512815)</f>
        <v>2.200470104</v>
      </c>
      <c r="BA482" s="30">
        <f>IFERROR(__xludf.DUMMYFUNCTION("""COMPUTED_VALUE"""),1700.0)</f>
        <v>1700</v>
      </c>
    </row>
    <row r="483">
      <c r="A483" s="71" t="str">
        <f>IFERROR(__xludf.DUMMYFUNCTION("""COMPUTED_VALUE"""),"Rival")</f>
        <v>Rival</v>
      </c>
      <c r="B483" s="71" t="str">
        <f>IFERROR(__xludf.DUMMYFUNCTION("""COMPUTED_VALUE"""),"RSC007555")</f>
        <v>RSC007555</v>
      </c>
      <c r="C483" s="30" t="str">
        <f>IFERROR(__xludf.DUMMYFUNCTION("""COMPUTED_VALUE"""),"cjAstr0-")</f>
        <v>cjAstr0-</v>
      </c>
      <c r="D483" s="30" t="str">
        <f>IFERROR(__xludf.DUMMYFUNCTION("""COMPUTED_VALUE"""),"Stolen")</f>
        <v>Stolen</v>
      </c>
      <c r="E483" s="30">
        <f>IFERROR(__xludf.DUMMYFUNCTION("""COMPUTED_VALUE"""),21.0)</f>
        <v>21</v>
      </c>
      <c r="F483" s="30">
        <f>IFERROR(__xludf.DUMMYFUNCTION("""COMPUTED_VALUE"""),14.0)</f>
        <v>14</v>
      </c>
      <c r="G483" s="42">
        <f>IFERROR(__xludf.DUMMYFUNCTION("""COMPUTED_VALUE"""),7.0)</f>
        <v>7</v>
      </c>
      <c r="H483" s="42">
        <f>IFERROR(__xludf.DUMMYFUNCTION("""COMPUTED_VALUE"""),0.6666666666666666)</f>
        <v>0.6666666667</v>
      </c>
      <c r="I483" s="42">
        <f>IFERROR(__xludf.DUMMYFUNCTION("""COMPUTED_VALUE"""),0.3114754098360656)</f>
        <v>0.3114754098</v>
      </c>
      <c r="J483" s="30">
        <f>IFERROR(__xludf.DUMMYFUNCTION("""COMPUTED_VALUE"""),335.76190476190476)</f>
        <v>335.7619048</v>
      </c>
      <c r="K483" s="30">
        <f>IFERROR(__xludf.DUMMYFUNCTION("""COMPUTED_VALUE"""),0.9047619047619048)</f>
        <v>0.9047619048</v>
      </c>
      <c r="L483" s="30">
        <f>IFERROR(__xludf.DUMMYFUNCTION("""COMPUTED_VALUE"""),0.6190476190476191)</f>
        <v>0.619047619</v>
      </c>
      <c r="M483" s="30">
        <f>IFERROR(__xludf.DUMMYFUNCTION("""COMPUTED_VALUE"""),0.7619047619047619)</f>
        <v>0.7619047619</v>
      </c>
      <c r="N483" s="30">
        <f>IFERROR(__xludf.DUMMYFUNCTION("""COMPUTED_VALUE"""),2.9047619047619047)</f>
        <v>2.904761905</v>
      </c>
      <c r="O483" s="30">
        <f>IFERROR(__xludf.DUMMYFUNCTION("""COMPUTED_VALUE"""),344.2857142857142)</f>
        <v>344.2857143</v>
      </c>
      <c r="P483" s="30">
        <f>IFERROR(__xludf.DUMMYFUNCTION("""COMPUTED_VALUE"""),0.6825396825396824)</f>
        <v>0.6825396825</v>
      </c>
      <c r="Q483" s="30">
        <f>IFERROR(__xludf.DUMMYFUNCTION("""COMPUTED_VALUE"""),0.5238095238095238)</f>
        <v>0.5238095238</v>
      </c>
      <c r="R483" s="30">
        <f>IFERROR(__xludf.DUMMYFUNCTION("""COMPUTED_VALUE"""),1.4603174603174602)</f>
        <v>1.46031746</v>
      </c>
      <c r="S483" s="30">
        <f>IFERROR(__xludf.DUMMYFUNCTION("""COMPUTED_VALUE"""),2.301587301587302)</f>
        <v>2.301587302</v>
      </c>
      <c r="T483" s="30">
        <f>IFERROR(__xludf.DUMMYFUNCTION("""COMPUTED_VALUE"""),351.6950404706176)</f>
        <v>351.6950405</v>
      </c>
      <c r="U483" s="30">
        <f>IFERROR(__xludf.DUMMYFUNCTION("""COMPUTED_VALUE"""),0.8044042838373139)</f>
        <v>0.8044042838</v>
      </c>
      <c r="V483" s="30">
        <f>IFERROR(__xludf.DUMMYFUNCTION("""COMPUTED_VALUE"""),0.5974897922404176)</f>
        <v>0.5974897922</v>
      </c>
      <c r="W483" s="30">
        <f>IFERROR(__xludf.DUMMYFUNCTION("""COMPUTED_VALUE"""),1.3169166535065233)</f>
        <v>1.316916654</v>
      </c>
      <c r="X483" s="30">
        <f>IFERROR(__xludf.DUMMYFUNCTION("""COMPUTED_VALUE"""),2.615324243005638)</f>
        <v>2.615324243</v>
      </c>
      <c r="Y483" s="30">
        <f>IFERROR(__xludf.DUMMYFUNCTION("""COMPUTED_VALUE"""),346.43352121950534)</f>
        <v>346.4335212</v>
      </c>
      <c r="Z483" s="30">
        <f>IFERROR(__xludf.DUMMYFUNCTION("""COMPUTED_VALUE"""),0.7942186660321967)</f>
        <v>0.794218666</v>
      </c>
      <c r="AA483" s="30">
        <f>IFERROR(__xludf.DUMMYFUNCTION("""COMPUTED_VALUE"""),0.5727491521230468)</f>
        <v>0.5727491521</v>
      </c>
      <c r="AB483" s="30">
        <f>IFERROR(__xludf.DUMMYFUNCTION("""COMPUTED_VALUE"""),1.3024550739820786)</f>
        <v>1.302455074</v>
      </c>
      <c r="AC483" s="30">
        <f>IFERROR(__xludf.DUMMYFUNCTION("""COMPUTED_VALUE"""),2.6068584826582613)</f>
        <v>2.606858483</v>
      </c>
      <c r="AD483" s="30">
        <f>IFERROR(__xludf.DUMMYFUNCTION("""COMPUTED_VALUE"""),0.9691957740693375)</f>
        <v>0.9691957741</v>
      </c>
      <c r="AE483" s="30">
        <f>IFERROR(__xludf.DUMMYFUNCTION("""COMPUTED_VALUE"""),1.1391848913372513)</f>
        <v>1.139184891</v>
      </c>
      <c r="AF483" s="30">
        <f>IFERROR(__xludf.DUMMYFUNCTION("""COMPUTED_VALUE"""),1.0808355049552754)</f>
        <v>1.080835505</v>
      </c>
      <c r="AG483" s="30">
        <f>IFERROR(__xludf.DUMMYFUNCTION("""COMPUTED_VALUE"""),0.584975848399394)</f>
        <v>0.5849758484</v>
      </c>
      <c r="AH483" s="30">
        <f>IFERROR(__xludf.DUMMYFUNCTION("""COMPUTED_VALUE"""),1.1142767910438567)</f>
        <v>1.114276791</v>
      </c>
      <c r="AI483" s="30">
        <f>IFERROR(__xludf.DUMMYFUNCTION("""COMPUTED_VALUE"""),0.9789325258184232)</f>
        <v>0.9789325258</v>
      </c>
      <c r="AJ483" s="30">
        <f>IFERROR(__xludf.DUMMYFUNCTION("""COMPUTED_VALUE"""),0.8485032915087286)</f>
        <v>0.8485032915</v>
      </c>
      <c r="AK483" s="30">
        <f>IFERROR(__xludf.DUMMYFUNCTION("""COMPUTED_VALUE"""),0.8766836364607776)</f>
        <v>0.8766836365</v>
      </c>
      <c r="AL483" s="30">
        <f>IFERROR(__xludf.DUMMYFUNCTION("""COMPUTED_VALUE"""),1.1088913306921186)</f>
        <v>1.108891331</v>
      </c>
      <c r="AM483" s="30">
        <f>IFERROR(__xludf.DUMMYFUNCTION("""COMPUTED_VALUE"""),0.8800389885661838)</f>
        <v>0.8800389886</v>
      </c>
      <c r="AN483" s="30">
        <f>IFERROR(__xludf.DUMMYFUNCTION("""COMPUTED_VALUE"""),0.9906207552057873)</f>
        <v>0.9906207552</v>
      </c>
      <c r="AO483" s="30">
        <f>IFERROR(__xludf.DUMMYFUNCTION("""COMPUTED_VALUE"""),1.231537893626361)</f>
        <v>1.231537894</v>
      </c>
      <c r="AP483" s="30">
        <f>IFERROR(__xludf.DUMMYFUNCTION("""COMPUTED_VALUE"""),1.1053950369550638)</f>
        <v>1.105395037</v>
      </c>
      <c r="AQ483" s="30">
        <f>IFERROR(__xludf.DUMMYFUNCTION("""COMPUTED_VALUE"""),0.5814135478856088)</f>
        <v>0.5814135479</v>
      </c>
      <c r="AR483" s="30">
        <f>IFERROR(__xludf.DUMMYFUNCTION("""COMPUTED_VALUE"""),1.166409158600816)</f>
        <v>1.166409159</v>
      </c>
      <c r="AS483" s="30">
        <f>IFERROR(__xludf.DUMMYFUNCTION("""COMPUTED_VALUE"""),46.0)</f>
        <v>46</v>
      </c>
      <c r="AT483" s="30">
        <f>IFERROR(__xludf.DUMMYFUNCTION("""COMPUTED_VALUE"""),0.5254968745185759)</f>
        <v>0.5254968745</v>
      </c>
      <c r="AU483" s="30">
        <f>IFERROR(__xludf.DUMMYFUNCTION("""COMPUTED_VALUE"""),2.5248766258440876)</f>
        <v>2.524876626</v>
      </c>
      <c r="AV483" s="32">
        <f>IFERROR(__xludf.DUMMYFUNCTION("""COMPUTED_VALUE"""),68.67326768968557)</f>
        <v>68.67326769</v>
      </c>
      <c r="AW483" s="32">
        <f>IFERROR(__xludf.DUMMYFUNCTION("""COMPUTED_VALUE"""),4.3945865049362585)</f>
        <v>4.394586505</v>
      </c>
      <c r="AX483" s="32">
        <f>IFERROR(__xludf.DUMMYFUNCTION("""COMPUTED_VALUE"""),55.46918147032261)</f>
        <v>55.46918147</v>
      </c>
      <c r="AY483" s="32">
        <f>IFERROR(__xludf.DUMMYFUNCTION("""COMPUTED_VALUE"""),2.4188729579707173)</f>
        <v>2.418872958</v>
      </c>
      <c r="AZ483" s="30">
        <f>IFERROR(__xludf.DUMMYFUNCTION("""COMPUTED_VALUE"""),1.9757135469655411)</f>
        <v>1.975713547</v>
      </c>
      <c r="BA483" s="30">
        <f>IFERROR(__xludf.DUMMYFUNCTION("""COMPUTED_VALUE"""),1700.0)</f>
        <v>1700</v>
      </c>
    </row>
    <row r="484">
      <c r="A484" s="71" t="str">
        <f>IFERROR(__xludf.DUMMYFUNCTION("""COMPUTED_VALUE"""),"Rival")</f>
        <v>Rival</v>
      </c>
      <c r="B484" s="71" t="str">
        <f>IFERROR(__xludf.DUMMYFUNCTION("""COMPUTED_VALUE"""),"RSC002177")</f>
        <v>RSC002177</v>
      </c>
      <c r="C484" s="30" t="str">
        <f>IFERROR(__xludf.DUMMYFUNCTION("""COMPUTED_VALUE"""),"Slygo21")</f>
        <v>Slygo21</v>
      </c>
      <c r="D484" s="30" t="str">
        <f>IFERROR(__xludf.DUMMYFUNCTION("""COMPUTED_VALUE"""),"Ruthless Racket")</f>
        <v>Ruthless Racket</v>
      </c>
      <c r="E484" s="30">
        <f>IFERROR(__xludf.DUMMYFUNCTION("""COMPUTED_VALUE"""),31.0)</f>
        <v>31</v>
      </c>
      <c r="F484" s="30">
        <f>IFERROR(__xludf.DUMMYFUNCTION("""COMPUTED_VALUE"""),11.0)</f>
        <v>11</v>
      </c>
      <c r="G484" s="42">
        <f>IFERROR(__xludf.DUMMYFUNCTION("""COMPUTED_VALUE"""),20.0)</f>
        <v>20</v>
      </c>
      <c r="H484" s="42">
        <f>IFERROR(__xludf.DUMMYFUNCTION("""COMPUTED_VALUE"""),0.3548387096774194)</f>
        <v>0.3548387097</v>
      </c>
      <c r="I484" s="42">
        <f>IFERROR(__xludf.DUMMYFUNCTION("""COMPUTED_VALUE"""),0.2857142857142857)</f>
        <v>0.2857142857</v>
      </c>
      <c r="J484" s="30">
        <f>IFERROR(__xludf.DUMMYFUNCTION("""COMPUTED_VALUE"""),319.4516129032258)</f>
        <v>319.4516129</v>
      </c>
      <c r="K484" s="30">
        <f>IFERROR(__xludf.DUMMYFUNCTION("""COMPUTED_VALUE"""),0.5161290322580645)</f>
        <v>0.5161290323</v>
      </c>
      <c r="L484" s="30">
        <f>IFERROR(__xludf.DUMMYFUNCTION("""COMPUTED_VALUE"""),0.3870967741935484)</f>
        <v>0.3870967742</v>
      </c>
      <c r="M484" s="30">
        <f>IFERROR(__xludf.DUMMYFUNCTION("""COMPUTED_VALUE"""),1.6129032258064515)</f>
        <v>1.612903226</v>
      </c>
      <c r="N484" s="30">
        <f>IFERROR(__xludf.DUMMYFUNCTION("""COMPUTED_VALUE"""),1.8064516129032258)</f>
        <v>1.806451613</v>
      </c>
      <c r="O484" s="30">
        <f>IFERROR(__xludf.DUMMYFUNCTION("""COMPUTED_VALUE"""),339.09677419354836)</f>
        <v>339.0967742</v>
      </c>
      <c r="P484" s="30">
        <f>IFERROR(__xludf.DUMMYFUNCTION("""COMPUTED_VALUE"""),0.7741935483870968)</f>
        <v>0.7741935484</v>
      </c>
      <c r="Q484" s="30">
        <f>IFERROR(__xludf.DUMMYFUNCTION("""COMPUTED_VALUE"""),0.5913978494623655)</f>
        <v>0.5913978495</v>
      </c>
      <c r="R484" s="30">
        <f>IFERROR(__xludf.DUMMYFUNCTION("""COMPUTED_VALUE"""),1.1182795698924728)</f>
        <v>1.11827957</v>
      </c>
      <c r="S484" s="30">
        <f>IFERROR(__xludf.DUMMYFUNCTION("""COMPUTED_VALUE"""),2.752688172043011)</f>
        <v>2.752688172</v>
      </c>
      <c r="T484" s="30">
        <f>IFERROR(__xludf.DUMMYFUNCTION("""COMPUTED_VALUE"""),341.0983249417012)</f>
        <v>341.0983249</v>
      </c>
      <c r="U484" s="30">
        <f>IFERROR(__xludf.DUMMYFUNCTION("""COMPUTED_VALUE"""),0.7805161097910125)</f>
        <v>0.7805161098</v>
      </c>
      <c r="V484" s="30">
        <f>IFERROR(__xludf.DUMMYFUNCTION("""COMPUTED_VALUE"""),0.5719420931295782)</f>
        <v>0.5719420931</v>
      </c>
      <c r="W484" s="30">
        <f>IFERROR(__xludf.DUMMYFUNCTION("""COMPUTED_VALUE"""),1.2012638914433391)</f>
        <v>1.201263891</v>
      </c>
      <c r="X484" s="30">
        <f>IFERROR(__xludf.DUMMYFUNCTION("""COMPUTED_VALUE"""),2.605800282053036)</f>
        <v>2.605800282</v>
      </c>
      <c r="Y484" s="30">
        <f>IFERROR(__xludf.DUMMYFUNCTION("""COMPUTED_VALUE"""),340.9474419767041)</f>
        <v>340.947442</v>
      </c>
      <c r="Z484" s="30">
        <f>IFERROR(__xludf.DUMMYFUNCTION("""COMPUTED_VALUE"""),0.7321833716278886)</f>
        <v>0.7321833716</v>
      </c>
      <c r="AA484" s="30">
        <f>IFERROR(__xludf.DUMMYFUNCTION("""COMPUTED_VALUE"""),0.5466181646341884)</f>
        <v>0.5466181646</v>
      </c>
      <c r="AB484" s="30">
        <f>IFERROR(__xludf.DUMMYFUNCTION("""COMPUTED_VALUE"""),1.3347696361810626)</f>
        <v>1.334769636</v>
      </c>
      <c r="AC484" s="30">
        <f>IFERROR(__xludf.DUMMYFUNCTION("""COMPUTED_VALUE"""),2.417703937896854)</f>
        <v>2.417703938</v>
      </c>
      <c r="AD484" s="30">
        <f>IFERROR(__xludf.DUMMYFUNCTION("""COMPUTED_VALUE"""),0.9369526606539342)</f>
        <v>0.9369526607</v>
      </c>
      <c r="AE484" s="30">
        <f>IFERROR(__xludf.DUMMYFUNCTION("""COMPUTED_VALUE"""),0.7049177190551829)</f>
        <v>0.7049177191</v>
      </c>
      <c r="AF484" s="30">
        <f>IFERROR(__xludf.DUMMYFUNCTION("""COMPUTED_VALUE"""),0.7081666860679684)</f>
        <v>0.7081666861</v>
      </c>
      <c r="AG484" s="30">
        <f>IFERROR(__xludf.DUMMYFUNCTION("""COMPUTED_VALUE"""),1.208375724234455)</f>
        <v>1.208375724</v>
      </c>
      <c r="AH484" s="30">
        <f>IFERROR(__xludf.DUMMYFUNCTION("""COMPUTED_VALUE"""),0.7471765192534894)</f>
        <v>0.7471765193</v>
      </c>
      <c r="AI484" s="30">
        <f>IFERROR(__xludf.DUMMYFUNCTION("""COMPUTED_VALUE"""),0.9941320416964963)</f>
        <v>0.9941320417</v>
      </c>
      <c r="AJ484" s="30">
        <f>IFERROR(__xludf.DUMMYFUNCTION("""COMPUTED_VALUE"""),0.9918995119708565)</f>
        <v>0.991899512</v>
      </c>
      <c r="AK484" s="30">
        <f>IFERROR(__xludf.DUMMYFUNCTION("""COMPUTED_VALUE"""),1.0340170037605179)</f>
        <v>1.034017004</v>
      </c>
      <c r="AL484" s="30">
        <f>IFERROR(__xludf.DUMMYFUNCTION("""COMPUTED_VALUE"""),0.9309191576122718)</f>
        <v>0.9309191576</v>
      </c>
      <c r="AM484" s="30">
        <f>IFERROR(__xludf.DUMMYFUNCTION("""COMPUTED_VALUE"""),1.0563695886448543)</f>
        <v>1.056369589</v>
      </c>
      <c r="AN484" s="30">
        <f>IFERROR(__xludf.DUMMYFUNCTION("""COMPUTED_VALUE"""),0.9424994126427326)</f>
        <v>0.9424994126</v>
      </c>
      <c r="AO484" s="30">
        <f>IFERROR(__xludf.DUMMYFUNCTION("""COMPUTED_VALUE"""),0.7025411413556151)</f>
        <v>0.7025411414</v>
      </c>
      <c r="AP484" s="30">
        <f>IFERROR(__xludf.DUMMYFUNCTION("""COMPUTED_VALUE"""),0.6912147625624715)</f>
        <v>0.6912147626</v>
      </c>
      <c r="AQ484" s="30">
        <f>IFERROR(__xludf.DUMMYFUNCTION("""COMPUTED_VALUE"""),1.2308149703223574)</f>
        <v>1.23081497</v>
      </c>
      <c r="AR484" s="30">
        <f>IFERROR(__xludf.DUMMYFUNCTION("""COMPUTED_VALUE"""),0.7253818987385297)</f>
        <v>0.7253818987</v>
      </c>
      <c r="AS484" s="30">
        <f>IFERROR(__xludf.DUMMYFUNCTION("""COMPUTED_VALUE"""),53.0)</f>
        <v>53</v>
      </c>
      <c r="AT484" s="30">
        <f>IFERROR(__xludf.DUMMYFUNCTION("""COMPUTED_VALUE"""),0.3876656782327128)</f>
        <v>0.3876656782</v>
      </c>
      <c r="AU484" s="30">
        <f>IFERROR(__xludf.DUMMYFUNCTION("""COMPUTED_VALUE"""),1.3082108709049105)</f>
        <v>1.308210871</v>
      </c>
      <c r="AV484" s="32">
        <f>IFERROR(__xludf.DUMMYFUNCTION("""COMPUTED_VALUE"""),25.695682170500394)</f>
        <v>25.69568217</v>
      </c>
      <c r="AW484" s="32">
        <f>IFERROR(__xludf.DUMMYFUNCTION("""COMPUTED_VALUE"""),-6.042941754541797)</f>
        <v>-6.042941755</v>
      </c>
      <c r="AX484" s="32">
        <f>IFERROR(__xludf.DUMMYFUNCTION("""COMPUTED_VALUE"""),32.69293038950164)</f>
        <v>32.69293039</v>
      </c>
      <c r="AY484" s="32">
        <f>IFERROR(__xludf.DUMMYFUNCTION("""COMPUTED_VALUE"""),-4.091989903612559)</f>
        <v>-4.091989904</v>
      </c>
      <c r="AZ484" s="30">
        <f>IFERROR(__xludf.DUMMYFUNCTION("""COMPUTED_VALUE"""),1.950951850929238)</f>
        <v>1.950951851</v>
      </c>
      <c r="BA484" s="30">
        <f>IFERROR(__xludf.DUMMYFUNCTION("""COMPUTED_VALUE"""),1700.0)</f>
        <v>1700</v>
      </c>
    </row>
    <row r="485">
      <c r="A485" s="71" t="str">
        <f>IFERROR(__xludf.DUMMYFUNCTION("""COMPUTED_VALUE"""),"Rival")</f>
        <v>Rival</v>
      </c>
      <c r="B485" s="71" t="str">
        <f>IFERROR(__xludf.DUMMYFUNCTION("""COMPUTED_VALUE"""),"RSC001015")</f>
        <v>RSC001015</v>
      </c>
      <c r="C485" s="30" t="str">
        <f>IFERROR(__xludf.DUMMYFUNCTION("""COMPUTED_VALUE"""),"LatFips")</f>
        <v>LatFips</v>
      </c>
      <c r="D485" s="30" t="str">
        <f>IFERROR(__xludf.DUMMYFUNCTION("""COMPUTED_VALUE"""),"Heavy Metal")</f>
        <v>Heavy Metal</v>
      </c>
      <c r="E485" s="30">
        <f>IFERROR(__xludf.DUMMYFUNCTION("""COMPUTED_VALUE"""),28.0)</f>
        <v>28</v>
      </c>
      <c r="F485" s="30">
        <f>IFERROR(__xludf.DUMMYFUNCTION("""COMPUTED_VALUE"""),14.0)</f>
        <v>14</v>
      </c>
      <c r="G485" s="42">
        <f>IFERROR(__xludf.DUMMYFUNCTION("""COMPUTED_VALUE"""),14.0)</f>
        <v>14</v>
      </c>
      <c r="H485" s="42">
        <f>IFERROR(__xludf.DUMMYFUNCTION("""COMPUTED_VALUE"""),0.5)</f>
        <v>0.5</v>
      </c>
      <c r="I485" s="42">
        <f>IFERROR(__xludf.DUMMYFUNCTION("""COMPUTED_VALUE"""),0.23214285714285715)</f>
        <v>0.2321428571</v>
      </c>
      <c r="J485" s="30">
        <f>IFERROR(__xludf.DUMMYFUNCTION("""COMPUTED_VALUE"""),291.7142857142857)</f>
        <v>291.7142857</v>
      </c>
      <c r="K485" s="30">
        <f>IFERROR(__xludf.DUMMYFUNCTION("""COMPUTED_VALUE"""),0.4642857142857143)</f>
        <v>0.4642857143</v>
      </c>
      <c r="L485" s="30">
        <f>IFERROR(__xludf.DUMMYFUNCTION("""COMPUTED_VALUE"""),0.6428571428571429)</f>
        <v>0.6428571429</v>
      </c>
      <c r="M485" s="30">
        <f>IFERROR(__xludf.DUMMYFUNCTION("""COMPUTED_VALUE"""),0.9642857142857143)</f>
        <v>0.9642857143</v>
      </c>
      <c r="N485" s="30">
        <f>IFERROR(__xludf.DUMMYFUNCTION("""COMPUTED_VALUE"""),2.0)</f>
        <v>2</v>
      </c>
      <c r="O485" s="30">
        <f>IFERROR(__xludf.DUMMYFUNCTION("""COMPUTED_VALUE"""),343.11904761904765)</f>
        <v>343.1190476</v>
      </c>
      <c r="P485" s="30">
        <f>IFERROR(__xludf.DUMMYFUNCTION("""COMPUTED_VALUE"""),0.7857142857142857)</f>
        <v>0.7857142857</v>
      </c>
      <c r="Q485" s="30">
        <f>IFERROR(__xludf.DUMMYFUNCTION("""COMPUTED_VALUE"""),0.6071428571428571)</f>
        <v>0.6071428571</v>
      </c>
      <c r="R485" s="30">
        <f>IFERROR(__xludf.DUMMYFUNCTION("""COMPUTED_VALUE"""),1.25)</f>
        <v>1.25</v>
      </c>
      <c r="S485" s="30">
        <f>IFERROR(__xludf.DUMMYFUNCTION("""COMPUTED_VALUE"""),2.2857142857142856)</f>
        <v>2.285714286</v>
      </c>
      <c r="T485" s="30">
        <f>IFERROR(__xludf.DUMMYFUNCTION("""COMPUTED_VALUE"""),343.8086024490843)</f>
        <v>343.8086024</v>
      </c>
      <c r="U485" s="30">
        <f>IFERROR(__xludf.DUMMYFUNCTION("""COMPUTED_VALUE"""),0.7843459365579336)</f>
        <v>0.7843459366</v>
      </c>
      <c r="V485" s="30">
        <f>IFERROR(__xludf.DUMMYFUNCTION("""COMPUTED_VALUE"""),0.5741345222106798)</f>
        <v>0.5741345222</v>
      </c>
      <c r="W485" s="30">
        <f>IFERROR(__xludf.DUMMYFUNCTION("""COMPUTED_VALUE"""),1.3310794821303016)</f>
        <v>1.331079482</v>
      </c>
      <c r="X485" s="30">
        <f>IFERROR(__xludf.DUMMYFUNCTION("""COMPUTED_VALUE"""),2.433280644680528)</f>
        <v>2.433280645</v>
      </c>
      <c r="Y485" s="30">
        <f>IFERROR(__xludf.DUMMYFUNCTION("""COMPUTED_VALUE"""),355.1805470019619)</f>
        <v>355.180547</v>
      </c>
      <c r="Z485" s="30">
        <f>IFERROR(__xludf.DUMMYFUNCTION("""COMPUTED_VALUE"""),0.8567999619788315)</f>
        <v>0.856799962</v>
      </c>
      <c r="AA485" s="30">
        <f>IFERROR(__xludf.DUMMYFUNCTION("""COMPUTED_VALUE"""),0.6245352622174696)</f>
        <v>0.6245352622</v>
      </c>
      <c r="AB485" s="30">
        <f>IFERROR(__xludf.DUMMYFUNCTION("""COMPUTED_VALUE"""),1.244374784652835)</f>
        <v>1.244374785</v>
      </c>
      <c r="AC485" s="30">
        <f>IFERROR(__xludf.DUMMYFUNCTION("""COMPUTED_VALUE"""),2.712589020511934)</f>
        <v>2.712589021</v>
      </c>
      <c r="AD485" s="30">
        <f>IFERROR(__xludf.DUMMYFUNCTION("""COMPUTED_VALUE"""),0.8213126765432748)</f>
        <v>0.8213126765</v>
      </c>
      <c r="AE485" s="30">
        <f>IFERROR(__xludf.DUMMYFUNCTION("""COMPUTED_VALUE"""),0.5418834440811812)</f>
        <v>0.5418834441</v>
      </c>
      <c r="AF485" s="30">
        <f>IFERROR(__xludf.DUMMYFUNCTION("""COMPUTED_VALUE"""),1.0293368233118172)</f>
        <v>1.029336823</v>
      </c>
      <c r="AG485" s="30">
        <f>IFERROR(__xludf.DUMMYFUNCTION("""COMPUTED_VALUE"""),0.7749158261469739)</f>
        <v>0.7749158261</v>
      </c>
      <c r="AH485" s="30">
        <f>IFERROR(__xludf.DUMMYFUNCTION("""COMPUTED_VALUE"""),0.7373029916719746)</f>
        <v>0.7373029917</v>
      </c>
      <c r="AI485" s="30">
        <f>IFERROR(__xludf.DUMMYFUNCTION("""COMPUTED_VALUE"""),0.9979943642331092)</f>
        <v>0.9979943642</v>
      </c>
      <c r="AJ485" s="30">
        <f>IFERROR(__xludf.DUMMYFUNCTION("""COMPUTED_VALUE"""),1.0017445735262644)</f>
        <v>1.001744574</v>
      </c>
      <c r="AK485" s="30">
        <f>IFERROR(__xludf.DUMMYFUNCTION("""COMPUTED_VALUE"""),1.0574923361254782)</f>
        <v>1.057492336</v>
      </c>
      <c r="AL485" s="30">
        <f>IFERROR(__xludf.DUMMYFUNCTION("""COMPUTED_VALUE"""),0.9390874224876944)</f>
        <v>0.9390874225</v>
      </c>
      <c r="AM485" s="30">
        <f>IFERROR(__xludf.DUMMYFUNCTION("""COMPUTED_VALUE"""),0.9393549776969451)</f>
        <v>0.9393549777</v>
      </c>
      <c r="AN485" s="30">
        <f>IFERROR(__xludf.DUMMYFUNCTION("""COMPUTED_VALUE"""),0.8606641251440439)</f>
        <v>0.8606641251</v>
      </c>
      <c r="AO485" s="30">
        <f>IFERROR(__xludf.DUMMYFUNCTION("""COMPUTED_VALUE"""),0.6319733927819484)</f>
        <v>0.6319733928</v>
      </c>
      <c r="AP485" s="30">
        <f>IFERROR(__xludf.DUMMYFUNCTION("""COMPUTED_VALUE"""),1.1479102306841047)</f>
        <v>1.147910231</v>
      </c>
      <c r="AQ485" s="30">
        <f>IFERROR(__xludf.DUMMYFUNCTION("""COMPUTED_VALUE"""),0.7358515215427237)</f>
        <v>0.7358515215</v>
      </c>
      <c r="AR485" s="30">
        <f>IFERROR(__xludf.DUMMYFUNCTION("""COMPUTED_VALUE"""),0.8031013878890865)</f>
        <v>0.8031013879</v>
      </c>
      <c r="AS485" s="30">
        <f>IFERROR(__xludf.DUMMYFUNCTION("""COMPUTED_VALUE"""),66.0)</f>
        <v>66</v>
      </c>
      <c r="AT485" s="30">
        <f>IFERROR(__xludf.DUMMYFUNCTION("""COMPUTED_VALUE"""),0.5)</f>
        <v>0.5</v>
      </c>
      <c r="AU485" s="30">
        <f>IFERROR(__xludf.DUMMYFUNCTION("""COMPUTED_VALUE"""),1.4204660893197247)</f>
        <v>1.420466089</v>
      </c>
      <c r="AV485" s="32">
        <f>IFERROR(__xludf.DUMMYFUNCTION("""COMPUTED_VALUE"""),29.66099329215572)</f>
        <v>29.66099329</v>
      </c>
      <c r="AW485" s="32">
        <f>IFERROR(__xludf.DUMMYFUNCTION("""COMPUTED_VALUE"""),-4.8088840447664145)</f>
        <v>-4.808884045</v>
      </c>
      <c r="AX485" s="32">
        <f>IFERROR(__xludf.DUMMYFUNCTION("""COMPUTED_VALUE"""),39.224208531844106)</f>
        <v>39.22420853</v>
      </c>
      <c r="AY485" s="32">
        <f>IFERROR(__xludf.DUMMYFUNCTION("""COMPUTED_VALUE"""),-3.0009962506153443)</f>
        <v>-3.000996251</v>
      </c>
      <c r="AZ485" s="30">
        <f>IFERROR(__xludf.DUMMYFUNCTION("""COMPUTED_VALUE"""),1.8078877941510703)</f>
        <v>1.807887794</v>
      </c>
      <c r="BA485" s="30">
        <f>IFERROR(__xludf.DUMMYFUNCTION("""COMPUTED_VALUE"""),1700.0)</f>
        <v>1700</v>
      </c>
    </row>
    <row r="486">
      <c r="A486" s="71" t="str">
        <f>IFERROR(__xludf.DUMMYFUNCTION("""COMPUTED_VALUE"""),"Rival")</f>
        <v>Rival</v>
      </c>
      <c r="B486" s="71" t="str">
        <f>IFERROR(__xludf.DUMMYFUNCTION("""COMPUTED_VALUE"""),"RSC006199")</f>
        <v>RSC006199</v>
      </c>
      <c r="C486" s="30" t="str">
        <f>IFERROR(__xludf.DUMMYFUNCTION("""COMPUTED_VALUE"""),"Irozuh-")</f>
        <v>Irozuh-</v>
      </c>
      <c r="D486" s="30" t="str">
        <f>IFERROR(__xludf.DUMMYFUNCTION("""COMPUTED_VALUE"""),"Ostriches")</f>
        <v>Ostriches</v>
      </c>
      <c r="E486" s="30">
        <f>IFERROR(__xludf.DUMMYFUNCTION("""COMPUTED_VALUE"""),24.0)</f>
        <v>24</v>
      </c>
      <c r="F486" s="30">
        <f>IFERROR(__xludf.DUMMYFUNCTION("""COMPUTED_VALUE"""),7.0)</f>
        <v>7</v>
      </c>
      <c r="G486" s="42">
        <f>IFERROR(__xludf.DUMMYFUNCTION("""COMPUTED_VALUE"""),17.0)</f>
        <v>17</v>
      </c>
      <c r="H486" s="42">
        <f>IFERROR(__xludf.DUMMYFUNCTION("""COMPUTED_VALUE"""),0.2916666666666667)</f>
        <v>0.2916666667</v>
      </c>
      <c r="I486" s="42">
        <f>IFERROR(__xludf.DUMMYFUNCTION("""COMPUTED_VALUE"""),0.37999999999999995)</f>
        <v>0.38</v>
      </c>
      <c r="J486" s="30">
        <f>IFERROR(__xludf.DUMMYFUNCTION("""COMPUTED_VALUE"""),298.7083333333333)</f>
        <v>298.7083333</v>
      </c>
      <c r="K486" s="30">
        <f>IFERROR(__xludf.DUMMYFUNCTION("""COMPUTED_VALUE"""),0.7916666666666666)</f>
        <v>0.7916666667</v>
      </c>
      <c r="L486" s="30">
        <f>IFERROR(__xludf.DUMMYFUNCTION("""COMPUTED_VALUE"""),0.3333333333333333)</f>
        <v>0.3333333333</v>
      </c>
      <c r="M486" s="30">
        <f>IFERROR(__xludf.DUMMYFUNCTION("""COMPUTED_VALUE"""),1.0)</f>
        <v>1</v>
      </c>
      <c r="N486" s="30">
        <f>IFERROR(__xludf.DUMMYFUNCTION("""COMPUTED_VALUE"""),2.0833333333333335)</f>
        <v>2.083333333</v>
      </c>
      <c r="O486" s="30">
        <f>IFERROR(__xludf.DUMMYFUNCTION("""COMPUTED_VALUE"""),385.23611111111126)</f>
        <v>385.2361111</v>
      </c>
      <c r="P486" s="30">
        <f>IFERROR(__xludf.DUMMYFUNCTION("""COMPUTED_VALUE"""),0.9722222222222223)</f>
        <v>0.9722222222</v>
      </c>
      <c r="Q486" s="30">
        <f>IFERROR(__xludf.DUMMYFUNCTION("""COMPUTED_VALUE"""),0.7083333333333334)</f>
        <v>0.7083333333</v>
      </c>
      <c r="R486" s="30">
        <f>IFERROR(__xludf.DUMMYFUNCTION("""COMPUTED_VALUE"""),1.3472222222222223)</f>
        <v>1.347222222</v>
      </c>
      <c r="S486" s="30">
        <f>IFERROR(__xludf.DUMMYFUNCTION("""COMPUTED_VALUE"""),2.6944444444444446)</f>
        <v>2.694444444</v>
      </c>
      <c r="T486" s="30">
        <f>IFERROR(__xludf.DUMMYFUNCTION("""COMPUTED_VALUE"""),350.84573143338713)</f>
        <v>350.8457314</v>
      </c>
      <c r="U486" s="30">
        <f>IFERROR(__xludf.DUMMYFUNCTION("""COMPUTED_VALUE"""),0.7675581553759785)</f>
        <v>0.7675581554</v>
      </c>
      <c r="V486" s="30">
        <f>IFERROR(__xludf.DUMMYFUNCTION("""COMPUTED_VALUE"""),0.6391072580348791)</f>
        <v>0.639107258</v>
      </c>
      <c r="W486" s="30">
        <f>IFERROR(__xludf.DUMMYFUNCTION("""COMPUTED_VALUE"""),1.3136067079693166)</f>
        <v>1.313606708</v>
      </c>
      <c r="X486" s="30">
        <f>IFERROR(__xludf.DUMMYFUNCTION("""COMPUTED_VALUE"""),2.5635514216395894)</f>
        <v>2.563551422</v>
      </c>
      <c r="Y486" s="30">
        <f>IFERROR(__xludf.DUMMYFUNCTION("""COMPUTED_VALUE"""),336.45842582014217)</f>
        <v>336.4584258</v>
      </c>
      <c r="Z486" s="30">
        <f>IFERROR(__xludf.DUMMYFUNCTION("""COMPUTED_VALUE"""),0.7055309515906395)</f>
        <v>0.7055309516</v>
      </c>
      <c r="AA486" s="30">
        <f>IFERROR(__xludf.DUMMYFUNCTION("""COMPUTED_VALUE"""),0.5243348860369997)</f>
        <v>0.524334886</v>
      </c>
      <c r="AB486" s="30">
        <f>IFERROR(__xludf.DUMMYFUNCTION("""COMPUTED_VALUE"""),1.3166949772526635)</f>
        <v>1.316694977</v>
      </c>
      <c r="AC486" s="30">
        <f>IFERROR(__xludf.DUMMYFUNCTION("""COMPUTED_VALUE"""),2.4563837833781705)</f>
        <v>2.456383783</v>
      </c>
      <c r="AD486" s="30">
        <f>IFERROR(__xludf.DUMMYFUNCTION("""COMPUTED_VALUE"""),0.887801613543218)</f>
        <v>0.8878016135</v>
      </c>
      <c r="AE486" s="30">
        <f>IFERROR(__xludf.DUMMYFUNCTION("""COMPUTED_VALUE"""),1.1220863732226514)</f>
        <v>1.122086373</v>
      </c>
      <c r="AF486" s="30">
        <f>IFERROR(__xludf.DUMMYFUNCTION("""COMPUTED_VALUE"""),0.6357260258853187)</f>
        <v>0.6357260259</v>
      </c>
      <c r="AG486" s="30">
        <f>IFERROR(__xludf.DUMMYFUNCTION("""COMPUTED_VALUE"""),0.7594773408238709)</f>
        <v>0.7594773408</v>
      </c>
      <c r="AH486" s="30">
        <f>IFERROR(__xludf.DUMMYFUNCTION("""COMPUTED_VALUE"""),0.8481302259975861)</f>
        <v>0.848130226</v>
      </c>
      <c r="AI486" s="30">
        <f>IFERROR(__xludf.DUMMYFUNCTION("""COMPUTED_VALUE"""),1.098021371208427)</f>
        <v>1.098021371</v>
      </c>
      <c r="AJ486" s="30">
        <f>IFERROR(__xludf.DUMMYFUNCTION("""COMPUTED_VALUE"""),1.2666430750722617)</f>
        <v>1.266643075</v>
      </c>
      <c r="AK486" s="30">
        <f>IFERROR(__xludf.DUMMYFUNCTION("""COMPUTED_VALUE"""),1.1083168348162873)</f>
        <v>1.108316835</v>
      </c>
      <c r="AL486" s="30">
        <f>IFERROR(__xludf.DUMMYFUNCTION("""COMPUTED_VALUE"""),1.02559024253528)</f>
        <v>1.025590243</v>
      </c>
      <c r="AM486" s="30">
        <f>IFERROR(__xludf.DUMMYFUNCTION("""COMPUTED_VALUE"""),1.051059253853835)</f>
        <v>1.051059254</v>
      </c>
      <c r="AN486" s="30">
        <f>IFERROR(__xludf.DUMMYFUNCTION("""COMPUTED_VALUE"""),0.8812991305930368)</f>
        <v>0.8812991306</v>
      </c>
      <c r="AO486" s="30">
        <f>IFERROR(__xludf.DUMMYFUNCTION("""COMPUTED_VALUE"""),1.0775956569230658)</f>
        <v>1.077595657</v>
      </c>
      <c r="AP486" s="30">
        <f>IFERROR(__xludf.DUMMYFUNCTION("""COMPUTED_VALUE"""),0.5952127122065727)</f>
        <v>0.5952127122</v>
      </c>
      <c r="AQ486" s="30">
        <f>IFERROR(__xludf.DUMMYFUNCTION("""COMPUTED_VALUE"""),0.7631052815998617)</f>
        <v>0.7631052816</v>
      </c>
      <c r="AR486" s="30">
        <f>IFERROR(__xludf.DUMMYFUNCTION("""COMPUTED_VALUE"""),0.8365639457177985)</f>
        <v>0.8365639457</v>
      </c>
      <c r="AS486" s="30">
        <f>IFERROR(__xludf.DUMMYFUNCTION("""COMPUTED_VALUE"""),49.0)</f>
        <v>49</v>
      </c>
      <c r="AT486" s="30">
        <f>IFERROR(__xludf.DUMMYFUNCTION("""COMPUTED_VALUE"""),0.3624558120808951)</f>
        <v>0.3624558121</v>
      </c>
      <c r="AU486" s="30">
        <f>IFERROR(__xludf.DUMMYFUNCTION("""COMPUTED_VALUE"""),1.5398794320817744)</f>
        <v>1.539879432</v>
      </c>
      <c r="AV486" s="32">
        <f>IFERROR(__xludf.DUMMYFUNCTION("""COMPUTED_VALUE"""),33.87915849476251)</f>
        <v>33.87915849</v>
      </c>
      <c r="AW486" s="32">
        <f>IFERROR(__xludf.DUMMYFUNCTION("""COMPUTED_VALUE"""),-3.853304792720558)</f>
        <v>-3.853304793</v>
      </c>
      <c r="AX486" s="32">
        <f>IFERROR(__xludf.DUMMYFUNCTION("""COMPUTED_VALUE"""),27.014620158879183)</f>
        <v>27.01462016</v>
      </c>
      <c r="AY486" s="32">
        <f>IFERROR(__xludf.DUMMYFUNCTION("""COMPUTED_VALUE"""),-5.588489686195071)</f>
        <v>-5.588489686</v>
      </c>
      <c r="AZ486" s="30">
        <f>IFERROR(__xludf.DUMMYFUNCTION("""COMPUTED_VALUE"""),1.7351848934745124)</f>
        <v>1.735184893</v>
      </c>
      <c r="BA486" s="30">
        <f>IFERROR(__xludf.DUMMYFUNCTION("""COMPUTED_VALUE"""),1700.0)</f>
        <v>1700</v>
      </c>
    </row>
    <row r="487">
      <c r="A487" s="71" t="str">
        <f>IFERROR(__xludf.DUMMYFUNCTION("""COMPUTED_VALUE"""),"Rival")</f>
        <v>Rival</v>
      </c>
      <c r="B487" s="71" t="str">
        <f>IFERROR(__xludf.DUMMYFUNCTION("""COMPUTED_VALUE"""),"RSC006089")</f>
        <v>RSC006089</v>
      </c>
      <c r="C487" s="30" t="str">
        <f>IFERROR(__xludf.DUMMYFUNCTION("""COMPUTED_VALUE"""),"ZeroPop11")</f>
        <v>ZeroPop11</v>
      </c>
      <c r="D487" s="30" t="str">
        <f>IFERROR(__xludf.DUMMYFUNCTION("""COMPUTED_VALUE"""),"Wind")</f>
        <v>Wind</v>
      </c>
      <c r="E487" s="30">
        <f>IFERROR(__xludf.DUMMYFUNCTION("""COMPUTED_VALUE"""),33.0)</f>
        <v>33</v>
      </c>
      <c r="F487" s="30">
        <f>IFERROR(__xludf.DUMMYFUNCTION("""COMPUTED_VALUE"""),16.0)</f>
        <v>16</v>
      </c>
      <c r="G487" s="42">
        <f>IFERROR(__xludf.DUMMYFUNCTION("""COMPUTED_VALUE"""),17.0)</f>
        <v>17</v>
      </c>
      <c r="H487" s="42">
        <f>IFERROR(__xludf.DUMMYFUNCTION("""COMPUTED_VALUE"""),0.48484848484848486)</f>
        <v>0.4848484848</v>
      </c>
      <c r="I487" s="42">
        <f>IFERROR(__xludf.DUMMYFUNCTION("""COMPUTED_VALUE"""),0.3)</f>
        <v>0.3</v>
      </c>
      <c r="J487" s="30">
        <f>IFERROR(__xludf.DUMMYFUNCTION("""COMPUTED_VALUE"""),407.42424242424244)</f>
        <v>407.4242424</v>
      </c>
      <c r="K487" s="30">
        <f>IFERROR(__xludf.DUMMYFUNCTION("""COMPUTED_VALUE"""),1.0)</f>
        <v>1</v>
      </c>
      <c r="L487" s="30">
        <f>IFERROR(__xludf.DUMMYFUNCTION("""COMPUTED_VALUE"""),0.45454545454545453)</f>
        <v>0.4545454545</v>
      </c>
      <c r="M487" s="30">
        <f>IFERROR(__xludf.DUMMYFUNCTION("""COMPUTED_VALUE"""),1.7575757575757576)</f>
        <v>1.757575758</v>
      </c>
      <c r="N487" s="30">
        <f>IFERROR(__xludf.DUMMYFUNCTION("""COMPUTED_VALUE"""),3.3333333333333335)</f>
        <v>3.333333333</v>
      </c>
      <c r="O487" s="30">
        <f>IFERROR(__xludf.DUMMYFUNCTION("""COMPUTED_VALUE"""),370.050505050505)</f>
        <v>370.0505051</v>
      </c>
      <c r="P487" s="30">
        <f>IFERROR(__xludf.DUMMYFUNCTION("""COMPUTED_VALUE"""),0.8585858585858585)</f>
        <v>0.8585858586</v>
      </c>
      <c r="Q487" s="30">
        <f>IFERROR(__xludf.DUMMYFUNCTION("""COMPUTED_VALUE"""),0.6565656565656566)</f>
        <v>0.6565656566</v>
      </c>
      <c r="R487" s="30">
        <f>IFERROR(__xludf.DUMMYFUNCTION("""COMPUTED_VALUE"""),1.393939393939394)</f>
        <v>1.393939394</v>
      </c>
      <c r="S487" s="30">
        <f>IFERROR(__xludf.DUMMYFUNCTION("""COMPUTED_VALUE"""),2.8181818181818183)</f>
        <v>2.818181818</v>
      </c>
      <c r="T487" s="30">
        <f>IFERROR(__xludf.DUMMYFUNCTION("""COMPUTED_VALUE"""),354.558952750214)</f>
        <v>354.5589528</v>
      </c>
      <c r="U487" s="30">
        <f>IFERROR(__xludf.DUMMYFUNCTION("""COMPUTED_VALUE"""),0.8310090055606948)</f>
        <v>0.8310090056</v>
      </c>
      <c r="V487" s="30">
        <f>IFERROR(__xludf.DUMMYFUNCTION("""COMPUTED_VALUE"""),0.5821083794317407)</f>
        <v>0.5821083794</v>
      </c>
      <c r="W487" s="30">
        <f>IFERROR(__xludf.DUMMYFUNCTION("""COMPUTED_VALUE"""),1.3355246757455816)</f>
        <v>1.335524676</v>
      </c>
      <c r="X487" s="30">
        <f>IFERROR(__xludf.DUMMYFUNCTION("""COMPUTED_VALUE"""),2.684241771724297)</f>
        <v>2.684241772</v>
      </c>
      <c r="Y487" s="30">
        <f>IFERROR(__xludf.DUMMYFUNCTION("""COMPUTED_VALUE"""),352.29246219574674)</f>
        <v>352.2924622</v>
      </c>
      <c r="Z487" s="30">
        <f>IFERROR(__xludf.DUMMYFUNCTION("""COMPUTED_VALUE"""),0.8121514650045215)</f>
        <v>0.812151465</v>
      </c>
      <c r="AA487" s="30">
        <f>IFERROR(__xludf.DUMMYFUNCTION("""COMPUTED_VALUE"""),0.572186091688731)</f>
        <v>0.5721860917</v>
      </c>
      <c r="AB487" s="30">
        <f>IFERROR(__xludf.DUMMYFUNCTION("""COMPUTED_VALUE"""),1.3610472851222561)</f>
        <v>1.361047285</v>
      </c>
      <c r="AC487" s="30">
        <f>IFERROR(__xludf.DUMMYFUNCTION("""COMPUTED_VALUE"""),2.607899272407008)</f>
        <v>2.607899272</v>
      </c>
      <c r="AD487" s="30">
        <f>IFERROR(__xludf.DUMMYFUNCTION("""COMPUTED_VALUE"""),1.1564943509857513)</f>
        <v>1.156494351</v>
      </c>
      <c r="AE487" s="30">
        <f>IFERROR(__xludf.DUMMYFUNCTION("""COMPUTED_VALUE"""),1.2312974156790233)</f>
        <v>1.231297416</v>
      </c>
      <c r="AF487" s="30">
        <f>IFERROR(__xludf.DUMMYFUNCTION("""COMPUTED_VALUE"""),0.7944014388814034)</f>
        <v>0.7944014389</v>
      </c>
      <c r="AG487" s="30">
        <f>IFERROR(__xludf.DUMMYFUNCTION("""COMPUTED_VALUE"""),1.2913407026985717)</f>
        <v>1.291340703</v>
      </c>
      <c r="AH487" s="30">
        <f>IFERROR(__xludf.DUMMYFUNCTION("""COMPUTED_VALUE"""),1.278167975504964)</f>
        <v>1.278167976</v>
      </c>
      <c r="AI487" s="30">
        <f>IFERROR(__xludf.DUMMYFUNCTION("""COMPUTED_VALUE"""),1.043692458419474)</f>
        <v>1.043692458</v>
      </c>
      <c r="AJ487" s="30">
        <f>IFERROR(__xludf.DUMMYFUNCTION("""COMPUTED_VALUE"""),1.0331847824038407)</f>
        <v>1.033184782</v>
      </c>
      <c r="AK487" s="30">
        <f>IFERROR(__xludf.DUMMYFUNCTION("""COMPUTED_VALUE"""),1.1279096466651137)</f>
        <v>1.127909647</v>
      </c>
      <c r="AL487" s="30">
        <f>IFERROR(__xludf.DUMMYFUNCTION("""COMPUTED_VALUE"""),1.0437391530494944)</f>
        <v>1.043739153</v>
      </c>
      <c r="AM487" s="30">
        <f>IFERROR(__xludf.DUMMYFUNCTION("""COMPUTED_VALUE"""),1.0498986521513973)</f>
        <v>1.049898652</v>
      </c>
      <c r="AN487" s="30">
        <f>IFERROR(__xludf.DUMMYFUNCTION("""COMPUTED_VALUE"""),1.2020509325072224)</f>
        <v>1.202050933</v>
      </c>
      <c r="AO487" s="30">
        <f>IFERROR(__xludf.DUMMYFUNCTION("""COMPUTED_VALUE"""),1.3611734613765043)</f>
        <v>1.361173461</v>
      </c>
      <c r="AP487" s="30">
        <f>IFERROR(__xludf.DUMMYFUNCTION("""COMPUTED_VALUE"""),0.8116536984635082)</f>
        <v>0.8116536985</v>
      </c>
      <c r="AQ487" s="30">
        <f>IFERROR(__xludf.DUMMYFUNCTION("""COMPUTED_VALUE"""),1.3412153434179386)</f>
        <v>1.341215343</v>
      </c>
      <c r="AR487" s="30">
        <f>IFERROR(__xludf.DUMMYFUNCTION("""COMPUTED_VALUE"""),1.3385023131484775)</f>
        <v>1.338502313</v>
      </c>
      <c r="AS487" s="30">
        <f>IFERROR(__xludf.DUMMYFUNCTION("""COMPUTED_VALUE"""),83.0)</f>
        <v>83</v>
      </c>
      <c r="AT487" s="30">
        <f>IFERROR(__xludf.DUMMYFUNCTION("""COMPUTED_VALUE"""),0.49050468705988937)</f>
        <v>0.4905046871</v>
      </c>
      <c r="AU487" s="30">
        <f>IFERROR(__xludf.DUMMYFUNCTION("""COMPUTED_VALUE"""),2.5602552110428847)</f>
        <v>2.560255211</v>
      </c>
      <c r="AV487" s="32">
        <f>IFERROR(__xludf.DUMMYFUNCTION("""COMPUTED_VALUE"""),69.92298328721637)</f>
        <v>69.92298329</v>
      </c>
      <c r="AW487" s="32">
        <f>IFERROR(__xludf.DUMMYFUNCTION("""COMPUTED_VALUE"""),4.70037591350025)</f>
        <v>4.700375914</v>
      </c>
      <c r="AX487" s="32">
        <f>IFERROR(__xludf.DUMMYFUNCTION("""COMPUTED_VALUE"""),60.83022767123396)</f>
        <v>60.83022767</v>
      </c>
      <c r="AY487" s="32">
        <f>IFERROR(__xludf.DUMMYFUNCTION("""COMPUTED_VALUE"""),3.008139136473458)</f>
        <v>3.008139136</v>
      </c>
      <c r="AZ487" s="30">
        <f>IFERROR(__xludf.DUMMYFUNCTION("""COMPUTED_VALUE"""),1.6922367770267916)</f>
        <v>1.692236777</v>
      </c>
      <c r="BA487" s="30">
        <f>IFERROR(__xludf.DUMMYFUNCTION("""COMPUTED_VALUE"""),1700.0)</f>
        <v>1700</v>
      </c>
    </row>
    <row r="488">
      <c r="A488" s="71" t="str">
        <f>IFERROR(__xludf.DUMMYFUNCTION("""COMPUTED_VALUE"""),"Rival")</f>
        <v>Rival</v>
      </c>
      <c r="B488" s="71" t="str">
        <f>IFERROR(__xludf.DUMMYFUNCTION("""COMPUTED_VALUE"""),"RSC004888")</f>
        <v>RSC004888</v>
      </c>
      <c r="C488" s="30" t="str">
        <f>IFERROR(__xludf.DUMMYFUNCTION("""COMPUTED_VALUE"""),"AgentAnime07")</f>
        <v>AgentAnime07</v>
      </c>
      <c r="D488" s="30" t="str">
        <f>IFERROR(__xludf.DUMMYFUNCTION("""COMPUTED_VALUE"""),"Phantoms")</f>
        <v>Phantoms</v>
      </c>
      <c r="E488" s="30">
        <f>IFERROR(__xludf.DUMMYFUNCTION("""COMPUTED_VALUE"""),36.0)</f>
        <v>36</v>
      </c>
      <c r="F488" s="30">
        <f>IFERROR(__xludf.DUMMYFUNCTION("""COMPUTED_VALUE"""),12.0)</f>
        <v>12</v>
      </c>
      <c r="G488" s="42">
        <f>IFERROR(__xludf.DUMMYFUNCTION("""COMPUTED_VALUE"""),24.0)</f>
        <v>24</v>
      </c>
      <c r="H488" s="42">
        <f>IFERROR(__xludf.DUMMYFUNCTION("""COMPUTED_VALUE"""),0.3333333333333333)</f>
        <v>0.3333333333</v>
      </c>
      <c r="I488" s="42">
        <f>IFERROR(__xludf.DUMMYFUNCTION("""COMPUTED_VALUE"""),0.29729729729729737)</f>
        <v>0.2972972973</v>
      </c>
      <c r="J488" s="30">
        <f>IFERROR(__xludf.DUMMYFUNCTION("""COMPUTED_VALUE"""),310.3611111111111)</f>
        <v>310.3611111</v>
      </c>
      <c r="K488" s="30">
        <f>IFERROR(__xludf.DUMMYFUNCTION("""COMPUTED_VALUE"""),0.6111111111111112)</f>
        <v>0.6111111111</v>
      </c>
      <c r="L488" s="30">
        <f>IFERROR(__xludf.DUMMYFUNCTION("""COMPUTED_VALUE"""),0.4444444444444444)</f>
        <v>0.4444444444</v>
      </c>
      <c r="M488" s="30">
        <f>IFERROR(__xludf.DUMMYFUNCTION("""COMPUTED_VALUE"""),1.3611111111111112)</f>
        <v>1.361111111</v>
      </c>
      <c r="N488" s="30">
        <f>IFERROR(__xludf.DUMMYFUNCTION("""COMPUTED_VALUE"""),2.0555555555555554)</f>
        <v>2.055555556</v>
      </c>
      <c r="O488" s="30">
        <f>IFERROR(__xludf.DUMMYFUNCTION("""COMPUTED_VALUE"""),369.75)</f>
        <v>369.75</v>
      </c>
      <c r="P488" s="30">
        <f>IFERROR(__xludf.DUMMYFUNCTION("""COMPUTED_VALUE"""),0.9907407407407407)</f>
        <v>0.9907407407</v>
      </c>
      <c r="Q488" s="30">
        <f>IFERROR(__xludf.DUMMYFUNCTION("""COMPUTED_VALUE"""),0.712962962962963)</f>
        <v>0.712962963</v>
      </c>
      <c r="R488" s="30">
        <f>IFERROR(__xludf.DUMMYFUNCTION("""COMPUTED_VALUE"""),1.1574074074074074)</f>
        <v>1.157407407</v>
      </c>
      <c r="S488" s="30">
        <f>IFERROR(__xludf.DUMMYFUNCTION("""COMPUTED_VALUE"""),2.824074074074074)</f>
        <v>2.824074074</v>
      </c>
      <c r="T488" s="30">
        <f>IFERROR(__xludf.DUMMYFUNCTION("""COMPUTED_VALUE"""),350.3008550775964)</f>
        <v>350.3008551</v>
      </c>
      <c r="U488" s="30">
        <f>IFERROR(__xludf.DUMMYFUNCTION("""COMPUTED_VALUE"""),0.8114961448459055)</f>
        <v>0.8114961448</v>
      </c>
      <c r="V488" s="30">
        <f>IFERROR(__xludf.DUMMYFUNCTION("""COMPUTED_VALUE"""),0.5504679209458184)</f>
        <v>0.5504679209</v>
      </c>
      <c r="W488" s="30">
        <f>IFERROR(__xludf.DUMMYFUNCTION("""COMPUTED_VALUE"""),1.2974071350460235)</f>
        <v>1.297407135</v>
      </c>
      <c r="X488" s="30">
        <f>IFERROR(__xludf.DUMMYFUNCTION("""COMPUTED_VALUE"""),2.513469928728291)</f>
        <v>2.513469929</v>
      </c>
      <c r="Y488" s="30">
        <f>IFERROR(__xludf.DUMMYFUNCTION("""COMPUTED_VALUE"""),339.68933652652777)</f>
        <v>339.6893365</v>
      </c>
      <c r="Z488" s="30">
        <f>IFERROR(__xludf.DUMMYFUNCTION("""COMPUTED_VALUE"""),0.7405953850970772)</f>
        <v>0.7405953851</v>
      </c>
      <c r="AA488" s="30">
        <f>IFERROR(__xludf.DUMMYFUNCTION("""COMPUTED_VALUE"""),0.5222303451743914)</f>
        <v>0.5222303452</v>
      </c>
      <c r="AB488" s="30">
        <f>IFERROR(__xludf.DUMMYFUNCTION("""COMPUTED_VALUE"""),1.2968482113046038)</f>
        <v>1.296848211</v>
      </c>
      <c r="AC488" s="30">
        <f>IFERROR(__xludf.DUMMYFUNCTION("""COMPUTED_VALUE"""),2.463049098839123)</f>
        <v>2.463049099</v>
      </c>
      <c r="AD488" s="30">
        <f>IFERROR(__xludf.DUMMYFUNCTION("""COMPUTED_VALUE"""),0.913661624720662)</f>
        <v>0.9136616247</v>
      </c>
      <c r="AE488" s="30">
        <f>IFERROR(__xludf.DUMMYFUNCTION("""COMPUTED_VALUE"""),0.8251619216220295)</f>
        <v>0.8251619216</v>
      </c>
      <c r="AF488" s="30">
        <f>IFERROR(__xludf.DUMMYFUNCTION("""COMPUTED_VALUE"""),0.8510505920448352)</f>
        <v>0.851050592</v>
      </c>
      <c r="AG488" s="30">
        <f>IFERROR(__xludf.DUMMYFUNCTION("""COMPUTED_VALUE"""),1.0495531391001112)</f>
        <v>1.049553139</v>
      </c>
      <c r="AH488" s="30">
        <f>IFERROR(__xludf.DUMMYFUNCTION("""COMPUTED_VALUE"""),0.8345572796435011)</f>
        <v>0.8345572796</v>
      </c>
      <c r="AI488" s="30">
        <f>IFERROR(__xludf.DUMMYFUNCTION("""COMPUTED_VALUE"""),1.055521260198167)</f>
        <v>1.05552126</v>
      </c>
      <c r="AJ488" s="30">
        <f>IFERROR(__xludf.DUMMYFUNCTION("""COMPUTED_VALUE"""),1.2208816357702745)</f>
        <v>1.220881636</v>
      </c>
      <c r="AK488" s="30">
        <f>IFERROR(__xludf.DUMMYFUNCTION("""COMPUTED_VALUE"""),1.2951943897801426)</f>
        <v>1.29519439</v>
      </c>
      <c r="AL488" s="30">
        <f>IFERROR(__xludf.DUMMYFUNCTION("""COMPUTED_VALUE"""),0.8920926794242967)</f>
        <v>0.8920926794</v>
      </c>
      <c r="AM488" s="30">
        <f>IFERROR(__xludf.DUMMYFUNCTION("""COMPUTED_VALUE"""),1.1235758350619836)</f>
        <v>1.123575835</v>
      </c>
      <c r="AN488" s="30">
        <f>IFERROR(__xludf.DUMMYFUNCTION("""COMPUTED_VALUE"""),0.9156790985368485)</f>
        <v>0.9156790985</v>
      </c>
      <c r="AO488" s="30">
        <f>IFERROR(__xludf.DUMMYFUNCTION("""COMPUTED_VALUE"""),0.8318282263967527)</f>
        <v>0.8318282264</v>
      </c>
      <c r="AP488" s="30">
        <f>IFERROR(__xludf.DUMMYFUNCTION("""COMPUTED_VALUE"""),0.7936169496087636)</f>
        <v>0.7936169496</v>
      </c>
      <c r="AQ488" s="30">
        <f>IFERROR(__xludf.DUMMYFUNCTION("""COMPUTED_VALUE"""),1.0386710777331452)</f>
        <v>1.038671078</v>
      </c>
      <c r="AR488" s="30">
        <f>IFERROR(__xludf.DUMMYFUNCTION("""COMPUTED_VALUE"""),0.8254097597748943)</f>
        <v>0.8254097598</v>
      </c>
      <c r="AS488" s="30">
        <f>IFERROR(__xludf.DUMMYFUNCTION("""COMPUTED_VALUE"""),66.0)</f>
        <v>66</v>
      </c>
      <c r="AT488" s="30">
        <f>IFERROR(__xludf.DUMMYFUNCTION("""COMPUTED_VALUE"""),0.31904467506924883)</f>
        <v>0.3190446751</v>
      </c>
      <c r="AU488" s="30">
        <f>IFERROR(__xludf.DUMMYFUNCTION("""COMPUTED_VALUE"""),1.3742229461767153)</f>
        <v>1.374222946</v>
      </c>
      <c r="AV488" s="32">
        <f>IFERROR(__xludf.DUMMYFUNCTION("""COMPUTED_VALUE"""),28.02749729620409)</f>
        <v>28.0274973</v>
      </c>
      <c r="AW488" s="32">
        <f>IFERROR(__xludf.DUMMYFUNCTION("""COMPUTED_VALUE"""),-5.270711100670222)</f>
        <v>-5.270711101</v>
      </c>
      <c r="AX488" s="32">
        <f>IFERROR(__xludf.DUMMYFUNCTION("""COMPUTED_VALUE"""),34.44090279021582)</f>
        <v>34.44090279</v>
      </c>
      <c r="AY488" s="32">
        <f>IFERROR(__xludf.DUMMYFUNCTION("""COMPUTED_VALUE"""),-3.7474052496713144)</f>
        <v>-3.74740525</v>
      </c>
      <c r="AZ488" s="30">
        <f>IFERROR(__xludf.DUMMYFUNCTION("""COMPUTED_VALUE"""),1.5233058509989075)</f>
        <v>1.523305851</v>
      </c>
      <c r="BA488" s="30">
        <f>IFERROR(__xludf.DUMMYFUNCTION("""COMPUTED_VALUE"""),1700.0)</f>
        <v>1700</v>
      </c>
    </row>
    <row r="489">
      <c r="A489" s="71" t="str">
        <f>IFERROR(__xludf.DUMMYFUNCTION("""COMPUTED_VALUE"""),"Rival")</f>
        <v>Rival</v>
      </c>
      <c r="B489" s="71" t="str">
        <f>IFERROR(__xludf.DUMMYFUNCTION("""COMPUTED_VALUE"""),"RSC004665")</f>
        <v>RSC004665</v>
      </c>
      <c r="C489" s="30" t="str">
        <f>IFERROR(__xludf.DUMMYFUNCTION("""COMPUTED_VALUE"""),"xPrism")</f>
        <v>xPrism</v>
      </c>
      <c r="D489" s="30" t="str">
        <f>IFERROR(__xludf.DUMMYFUNCTION("""COMPUTED_VALUE"""),"Polar Ice")</f>
        <v>Polar Ice</v>
      </c>
      <c r="E489" s="30">
        <f>IFERROR(__xludf.DUMMYFUNCTION("""COMPUTED_VALUE"""),32.0)</f>
        <v>32</v>
      </c>
      <c r="F489" s="30">
        <f>IFERROR(__xludf.DUMMYFUNCTION("""COMPUTED_VALUE"""),16.0)</f>
        <v>16</v>
      </c>
      <c r="G489" s="42">
        <f>IFERROR(__xludf.DUMMYFUNCTION("""COMPUTED_VALUE"""),16.0)</f>
        <v>16</v>
      </c>
      <c r="H489" s="42">
        <f>IFERROR(__xludf.DUMMYFUNCTION("""COMPUTED_VALUE"""),0.5)</f>
        <v>0.5</v>
      </c>
      <c r="I489" s="42">
        <f>IFERROR(__xludf.DUMMYFUNCTION("""COMPUTED_VALUE"""),0.3068181818181818)</f>
        <v>0.3068181818</v>
      </c>
      <c r="J489" s="30">
        <f>IFERROR(__xludf.DUMMYFUNCTION("""COMPUTED_VALUE"""),377.5625)</f>
        <v>377.5625</v>
      </c>
      <c r="K489" s="30">
        <f>IFERROR(__xludf.DUMMYFUNCTION("""COMPUTED_VALUE"""),0.84375)</f>
        <v>0.84375</v>
      </c>
      <c r="L489" s="30">
        <f>IFERROR(__xludf.DUMMYFUNCTION("""COMPUTED_VALUE"""),0.71875)</f>
        <v>0.71875</v>
      </c>
      <c r="M489" s="30">
        <f>IFERROR(__xludf.DUMMYFUNCTION("""COMPUTED_VALUE"""),1.28125)</f>
        <v>1.28125</v>
      </c>
      <c r="N489" s="30">
        <f>IFERROR(__xludf.DUMMYFUNCTION("""COMPUTED_VALUE"""),2.75)</f>
        <v>2.75</v>
      </c>
      <c r="O489" s="30">
        <f>IFERROR(__xludf.DUMMYFUNCTION("""COMPUTED_VALUE"""),360.53125000000006)</f>
        <v>360.53125</v>
      </c>
      <c r="P489" s="30">
        <f>IFERROR(__xludf.DUMMYFUNCTION("""COMPUTED_VALUE"""),0.7916666666666665)</f>
        <v>0.7916666667</v>
      </c>
      <c r="Q489" s="30">
        <f>IFERROR(__xludf.DUMMYFUNCTION("""COMPUTED_VALUE"""),0.5208333333333333)</f>
        <v>0.5208333333</v>
      </c>
      <c r="R489" s="30">
        <f>IFERROR(__xludf.DUMMYFUNCTION("""COMPUTED_VALUE"""),1.4270833333333337)</f>
        <v>1.427083333</v>
      </c>
      <c r="S489" s="30">
        <f>IFERROR(__xludf.DUMMYFUNCTION("""COMPUTED_VALUE"""),2.6249999999999996)</f>
        <v>2.625</v>
      </c>
      <c r="T489" s="30">
        <f>IFERROR(__xludf.DUMMYFUNCTION("""COMPUTED_VALUE"""),343.7687470042892)</f>
        <v>343.768747</v>
      </c>
      <c r="U489" s="30">
        <f>IFERROR(__xludf.DUMMYFUNCTION("""COMPUTED_VALUE"""),0.7602020494483733)</f>
        <v>0.7602020494</v>
      </c>
      <c r="V489" s="30">
        <f>IFERROR(__xludf.DUMMYFUNCTION("""COMPUTED_VALUE"""),0.5202914727225391)</f>
        <v>0.5202914727</v>
      </c>
      <c r="W489" s="30">
        <f>IFERROR(__xludf.DUMMYFUNCTION("""COMPUTED_VALUE"""),1.3093717525496016)</f>
        <v>1.309371753</v>
      </c>
      <c r="X489" s="30">
        <f>IFERROR(__xludf.DUMMYFUNCTION("""COMPUTED_VALUE"""),2.5279862449301778)</f>
        <v>2.527986245</v>
      </c>
      <c r="Y489" s="30">
        <f>IFERROR(__xludf.DUMMYFUNCTION("""COMPUTED_VALUE"""),347.87184162750253)</f>
        <v>347.8718416</v>
      </c>
      <c r="Z489" s="30">
        <f>IFERROR(__xludf.DUMMYFUNCTION("""COMPUTED_VALUE"""),0.781068023383434)</f>
        <v>0.7810680234</v>
      </c>
      <c r="AA489" s="30">
        <f>IFERROR(__xludf.DUMMYFUNCTION("""COMPUTED_VALUE"""),0.5668936800592747)</f>
        <v>0.5668936801</v>
      </c>
      <c r="AB489" s="30">
        <f>IFERROR(__xludf.DUMMYFUNCTION("""COMPUTED_VALUE"""),1.3076626147658623)</f>
        <v>1.307662615</v>
      </c>
      <c r="AC489" s="30">
        <f>IFERROR(__xludf.DUMMYFUNCTION("""COMPUTED_VALUE"""),2.558439481242025)</f>
        <v>2.558439481</v>
      </c>
      <c r="AD489" s="30">
        <f>IFERROR(__xludf.DUMMYFUNCTION("""COMPUTED_VALUE"""),1.0853494155594516)</f>
        <v>1.085349416</v>
      </c>
      <c r="AE489" s="30">
        <f>IFERROR(__xludf.DUMMYFUNCTION("""COMPUTED_VALUE"""),1.0802516230853236)</f>
        <v>1.080251623</v>
      </c>
      <c r="AF489" s="30">
        <f>IFERROR(__xludf.DUMMYFUNCTION("""COMPUTED_VALUE"""),1.267874427396769)</f>
        <v>1.267874427</v>
      </c>
      <c r="AG489" s="30">
        <f>IFERROR(__xludf.DUMMYFUNCTION("""COMPUTED_VALUE"""),0.9798016594895225)</f>
        <v>0.9798016595</v>
      </c>
      <c r="AH489" s="30">
        <f>IFERROR(__xludf.DUMMYFUNCTION("""COMPUTED_VALUE"""),1.0748739691372258)</f>
        <v>1.074873969</v>
      </c>
      <c r="AI489" s="30">
        <f>IFERROR(__xludf.DUMMYFUNCTION("""COMPUTED_VALUE"""),1.0487609858132383)</f>
        <v>1.048760986</v>
      </c>
      <c r="AJ489" s="30">
        <f>IFERROR(__xludf.DUMMYFUNCTION("""COMPUTED_VALUE"""),1.0413898084609545)</f>
        <v>1.041389808</v>
      </c>
      <c r="AK489" s="30">
        <f>IFERROR(__xludf.DUMMYFUNCTION("""COMPUTED_VALUE"""),1.0010414558746443)</f>
        <v>1.001041456</v>
      </c>
      <c r="AL489" s="30">
        <f>IFERROR(__xludf.DUMMYFUNCTION("""COMPUTED_VALUE"""),1.0898992822737505)</f>
        <v>1.089899282</v>
      </c>
      <c r="AM489" s="30">
        <f>IFERROR(__xludf.DUMMYFUNCTION("""COMPUTED_VALUE"""),1.0383759030589588)</f>
        <v>1.038375903</v>
      </c>
      <c r="AN489" s="30">
        <f>IFERROR(__xludf.DUMMYFUNCTION("""COMPUTED_VALUE"""),1.1139478409637054)</f>
        <v>1.113947841</v>
      </c>
      <c r="AO489" s="30">
        <f>IFERROR(__xludf.DUMMYFUNCTION("""COMPUTED_VALUE"""),1.1484901080364254)</f>
        <v>1.148490108</v>
      </c>
      <c r="AP489" s="30">
        <f>IFERROR(__xludf.DUMMYFUNCTION("""COMPUTED_VALUE"""),1.2834274106954224)</f>
        <v>1.283427411</v>
      </c>
      <c r="AQ489" s="30">
        <f>IFERROR(__xludf.DUMMYFUNCTION("""COMPUTED_VALUE"""),0.9777286420498228)</f>
        <v>0.977728642</v>
      </c>
      <c r="AR489" s="30">
        <f>IFERROR(__xludf.DUMMYFUNCTION("""COMPUTED_VALUE"""),1.104264408347494)</f>
        <v>1.104264408</v>
      </c>
      <c r="AS489" s="30">
        <f>IFERROR(__xludf.DUMMYFUNCTION("""COMPUTED_VALUE"""),82.0)</f>
        <v>82</v>
      </c>
      <c r="AT489" s="30">
        <f>IFERROR(__xludf.DUMMYFUNCTION("""COMPUTED_VALUE"""),0.5300045745359011)</f>
        <v>0.5300045745</v>
      </c>
      <c r="AU489" s="30">
        <f>IFERROR(__xludf.DUMMYFUNCTION("""COMPUTED_VALUE"""),2.465511386187101)</f>
        <v>2.465511386</v>
      </c>
      <c r="AV489" s="32">
        <f>IFERROR(__xludf.DUMMYFUNCTION("""COMPUTED_VALUE"""),66.57624584628488)</f>
        <v>66.57624585</v>
      </c>
      <c r="AW489" s="32">
        <f>IFERROR(__xludf.DUMMYFUNCTION("""COMPUTED_VALUE"""),3.942450953368343)</f>
        <v>3.942450953</v>
      </c>
      <c r="AX489" s="32">
        <f>IFERROR(__xludf.DUMMYFUNCTION("""COMPUTED_VALUE"""),55.59967699240525)</f>
        <v>55.59967699</v>
      </c>
      <c r="AY489" s="32">
        <f>IFERROR(__xludf.DUMMYFUNCTION("""COMPUTED_VALUE"""),2.4308207947239504)</f>
        <v>2.430820795</v>
      </c>
      <c r="AZ489" s="30">
        <f>IFERROR(__xludf.DUMMYFUNCTION("""COMPUTED_VALUE"""),1.5116301586443925)</f>
        <v>1.511630159</v>
      </c>
      <c r="BA489" s="30">
        <f>IFERROR(__xludf.DUMMYFUNCTION("""COMPUTED_VALUE"""),1700.0)</f>
        <v>1700</v>
      </c>
    </row>
    <row r="490">
      <c r="A490" s="71" t="str">
        <f>IFERROR(__xludf.DUMMYFUNCTION("""COMPUTED_VALUE"""),"Rival")</f>
        <v>Rival</v>
      </c>
      <c r="B490" s="71" t="str">
        <f>IFERROR(__xludf.DUMMYFUNCTION("""COMPUTED_VALUE"""),"RSC007549")</f>
        <v>RSC007549</v>
      </c>
      <c r="C490" s="30" t="str">
        <f>IFERROR(__xludf.DUMMYFUNCTION("""COMPUTED_VALUE"""),"Whiffy_RL")</f>
        <v>Whiffy_RL</v>
      </c>
      <c r="D490" s="30" t="str">
        <f>IFERROR(__xludf.DUMMYFUNCTION("""COMPUTED_VALUE"""),"Apple Associates")</f>
        <v>Apple Associates</v>
      </c>
      <c r="E490" s="30">
        <f>IFERROR(__xludf.DUMMYFUNCTION("""COMPUTED_VALUE"""),4.0)</f>
        <v>4</v>
      </c>
      <c r="F490" s="30">
        <f>IFERROR(__xludf.DUMMYFUNCTION("""COMPUTED_VALUE"""),2.0)</f>
        <v>2</v>
      </c>
      <c r="G490" s="42">
        <f>IFERROR(__xludf.DUMMYFUNCTION("""COMPUTED_VALUE"""),2.0)</f>
        <v>2</v>
      </c>
      <c r="H490" s="42">
        <f>IFERROR(__xludf.DUMMYFUNCTION("""COMPUTED_VALUE"""),0.5)</f>
        <v>0.5</v>
      </c>
      <c r="I490" s="42">
        <f>IFERROR(__xludf.DUMMYFUNCTION("""COMPUTED_VALUE"""),0.375)</f>
        <v>0.375</v>
      </c>
      <c r="J490" s="30">
        <f>IFERROR(__xludf.DUMMYFUNCTION("""COMPUTED_VALUE"""),275.0)</f>
        <v>275</v>
      </c>
      <c r="K490" s="30">
        <f>IFERROR(__xludf.DUMMYFUNCTION("""COMPUTED_VALUE"""),0.75)</f>
        <v>0.75</v>
      </c>
      <c r="L490" s="30">
        <f>IFERROR(__xludf.DUMMYFUNCTION("""COMPUTED_VALUE"""),0.75)</f>
        <v>0.75</v>
      </c>
      <c r="M490" s="30">
        <f>IFERROR(__xludf.DUMMYFUNCTION("""COMPUTED_VALUE"""),0.75)</f>
        <v>0.75</v>
      </c>
      <c r="N490" s="30">
        <f>IFERROR(__xludf.DUMMYFUNCTION("""COMPUTED_VALUE"""),2.0)</f>
        <v>2</v>
      </c>
      <c r="O490" s="30">
        <f>IFERROR(__xludf.DUMMYFUNCTION("""COMPUTED_VALUE"""),306.9166666666667)</f>
        <v>306.9166667</v>
      </c>
      <c r="P490" s="30">
        <f>IFERROR(__xludf.DUMMYFUNCTION("""COMPUTED_VALUE"""),0.8333333333333333)</f>
        <v>0.8333333333</v>
      </c>
      <c r="Q490" s="30">
        <f>IFERROR(__xludf.DUMMYFUNCTION("""COMPUTED_VALUE"""),0.41666666666666663)</f>
        <v>0.4166666667</v>
      </c>
      <c r="R490" s="30">
        <f>IFERROR(__xludf.DUMMYFUNCTION("""COMPUTED_VALUE"""),0.9166666666666665)</f>
        <v>0.9166666667</v>
      </c>
      <c r="S490" s="30">
        <f>IFERROR(__xludf.DUMMYFUNCTION("""COMPUTED_VALUE"""),2.8333333333333335)</f>
        <v>2.833333333</v>
      </c>
      <c r="T490" s="30">
        <f>IFERROR(__xludf.DUMMYFUNCTION("""COMPUTED_VALUE"""),348.0636574074074)</f>
        <v>348.0636574</v>
      </c>
      <c r="U490" s="30">
        <f>IFERROR(__xludf.DUMMYFUNCTION("""COMPUTED_VALUE"""),0.6886574074074074)</f>
        <v>0.6886574074</v>
      </c>
      <c r="V490" s="30">
        <f>IFERROR(__xludf.DUMMYFUNCTION("""COMPUTED_VALUE"""),0.5011574074074074)</f>
        <v>0.5011574074</v>
      </c>
      <c r="W490" s="30">
        <f>IFERROR(__xludf.DUMMYFUNCTION("""COMPUTED_VALUE"""),1.4780092592592595)</f>
        <v>1.478009259</v>
      </c>
      <c r="X490" s="30">
        <f>IFERROR(__xludf.DUMMYFUNCTION("""COMPUTED_VALUE"""),2.6608796296296298)</f>
        <v>2.66087963</v>
      </c>
      <c r="Y490" s="30">
        <f>IFERROR(__xludf.DUMMYFUNCTION("""COMPUTED_VALUE"""),351.0902777777778)</f>
        <v>351.0902778</v>
      </c>
      <c r="Z490" s="30">
        <f>IFERROR(__xludf.DUMMYFUNCTION("""COMPUTED_VALUE"""),0.7762345679012344)</f>
        <v>0.7762345679</v>
      </c>
      <c r="AA490" s="30">
        <f>IFERROR(__xludf.DUMMYFUNCTION("""COMPUTED_VALUE"""),0.5999228395061728)</f>
        <v>0.5999228395</v>
      </c>
      <c r="AB490" s="30">
        <f>IFERROR(__xludf.DUMMYFUNCTION("""COMPUTED_VALUE"""),1.3692129629629628)</f>
        <v>1.369212963</v>
      </c>
      <c r="AC490" s="30">
        <f>IFERROR(__xludf.DUMMYFUNCTION("""COMPUTED_VALUE"""),2.783179012345679)</f>
        <v>2.783179012</v>
      </c>
      <c r="AD490" s="30">
        <f>IFERROR(__xludf.DUMMYFUNCTION("""COMPUTED_VALUE"""),0.7832743240303023)</f>
        <v>0.783274324</v>
      </c>
      <c r="AE490" s="30">
        <f>IFERROR(__xludf.DUMMYFUNCTION("""COMPUTED_VALUE"""),0.966202783300199)</f>
        <v>0.9662027833</v>
      </c>
      <c r="AF490" s="30">
        <f>IFERROR(__xludf.DUMMYFUNCTION("""COMPUTED_VALUE"""),1.2501607717041803)</f>
        <v>1.250160772</v>
      </c>
      <c r="AG490" s="30">
        <f>IFERROR(__xludf.DUMMYFUNCTION("""COMPUTED_VALUE"""),0.5477599323753171)</f>
        <v>0.5477599324</v>
      </c>
      <c r="AH490" s="30">
        <f>IFERROR(__xludf.DUMMYFUNCTION("""COMPUTED_VALUE"""),0.7186027169392847)</f>
        <v>0.7186027169</v>
      </c>
      <c r="AI490" s="30">
        <f>IFERROR(__xludf.DUMMYFUNCTION("""COMPUTED_VALUE"""),0.8817831455107125)</f>
        <v>0.8817831455</v>
      </c>
      <c r="AJ490" s="30">
        <f>IFERROR(__xludf.DUMMYFUNCTION("""COMPUTED_VALUE"""),1.2100840336134453)</f>
        <v>1.210084034</v>
      </c>
      <c r="AK490" s="30">
        <f>IFERROR(__xludf.DUMMYFUNCTION("""COMPUTED_VALUE"""),0.8314087759815241)</f>
        <v>0.831408776</v>
      </c>
      <c r="AL490" s="30">
        <f>IFERROR(__xludf.DUMMYFUNCTION("""COMPUTED_VALUE"""),0.6202036021926388)</f>
        <v>0.6202036022</v>
      </c>
      <c r="AM490" s="30">
        <f>IFERROR(__xludf.DUMMYFUNCTION("""COMPUTED_VALUE"""),1.0648107872988255)</f>
        <v>1.064810787</v>
      </c>
      <c r="AN490" s="30">
        <f>IFERROR(__xludf.DUMMYFUNCTION("""COMPUTED_VALUE"""),0.8113508525476417)</f>
        <v>0.8113508525</v>
      </c>
      <c r="AO490" s="30">
        <f>IFERROR(__xludf.DUMMYFUNCTION("""COMPUTED_VALUE"""),1.020880096032378)</f>
        <v>1.020880096</v>
      </c>
      <c r="AP490" s="30">
        <f>IFERROR(__xludf.DUMMYFUNCTION("""COMPUTED_VALUE"""),1.3392286024647886)</f>
        <v>1.339228602</v>
      </c>
      <c r="AQ490" s="30">
        <f>IFERROR(__xludf.DUMMYFUNCTION("""COMPUTED_VALUE"""),0.5723289611998963)</f>
        <v>0.5723289612</v>
      </c>
      <c r="AR490" s="30">
        <f>IFERROR(__xludf.DUMMYFUNCTION("""COMPUTED_VALUE"""),0.8031013878890865)</f>
        <v>0.8031013879</v>
      </c>
      <c r="AS490" s="30">
        <f>IFERROR(__xludf.DUMMYFUNCTION("""COMPUTED_VALUE"""),9.0)</f>
        <v>9</v>
      </c>
      <c r="AT490" s="30">
        <f>IFERROR(__xludf.DUMMYFUNCTION("""COMPUTED_VALUE"""),0.4588994242296676)</f>
        <v>0.4588994242</v>
      </c>
      <c r="AU490" s="30">
        <f>IFERROR(__xludf.DUMMYFUNCTION("""COMPUTED_VALUE"""),1.8851902189425316)</f>
        <v>1.885190219</v>
      </c>
      <c r="AV490" s="32">
        <f>IFERROR(__xludf.DUMMYFUNCTION("""COMPUTED_VALUE"""),46.076940681660034)</f>
        <v>46.07694068</v>
      </c>
      <c r="AW490" s="32">
        <f>IFERROR(__xludf.DUMMYFUNCTION("""COMPUTED_VALUE"""),-2.284915146678298)</f>
        <v>-2.284915147</v>
      </c>
      <c r="AX490" s="32">
        <f>IFERROR(__xludf.DUMMYFUNCTION("""COMPUTED_VALUE"""),34.18144686844833)</f>
        <v>34.18144687</v>
      </c>
      <c r="AY490" s="32">
        <f>IFERROR(__xludf.DUMMYFUNCTION("""COMPUTED_VALUE"""),-3.7957718650302086)</f>
        <v>-3.795771865</v>
      </c>
      <c r="AZ490" s="30">
        <f>IFERROR(__xludf.DUMMYFUNCTION("""COMPUTED_VALUE"""),1.5108567183519104)</f>
        <v>1.510856718</v>
      </c>
      <c r="BA490" s="30">
        <f>IFERROR(__xludf.DUMMYFUNCTION("""COMPUTED_VALUE"""),1700.0)</f>
        <v>1700</v>
      </c>
    </row>
    <row r="491">
      <c r="A491" s="71" t="str">
        <f>IFERROR(__xludf.DUMMYFUNCTION("""COMPUTED_VALUE"""),"Rival")</f>
        <v>Rival</v>
      </c>
      <c r="B491" s="71" t="str">
        <f>IFERROR(__xludf.DUMMYFUNCTION("""COMPUTED_VALUE"""),"RSC000190")</f>
        <v>RSC000190</v>
      </c>
      <c r="C491" s="30" t="str">
        <f>IFERROR(__xludf.DUMMYFUNCTION("""COMPUTED_VALUE"""),"leaf.")</f>
        <v>leaf.</v>
      </c>
      <c r="D491" s="30" t="str">
        <f>IFERROR(__xludf.DUMMYFUNCTION("""COMPUTED_VALUE"""),"Hue Heroes")</f>
        <v>Hue Heroes</v>
      </c>
      <c r="E491" s="30">
        <f>IFERROR(__xludf.DUMMYFUNCTION("""COMPUTED_VALUE"""),26.0)</f>
        <v>26</v>
      </c>
      <c r="F491" s="30">
        <f>IFERROR(__xludf.DUMMYFUNCTION("""COMPUTED_VALUE"""),14.0)</f>
        <v>14</v>
      </c>
      <c r="G491" s="42">
        <f>IFERROR(__xludf.DUMMYFUNCTION("""COMPUTED_VALUE"""),12.0)</f>
        <v>12</v>
      </c>
      <c r="H491" s="42">
        <f>IFERROR(__xludf.DUMMYFUNCTION("""COMPUTED_VALUE"""),0.5384615384615384)</f>
        <v>0.5384615385</v>
      </c>
      <c r="I491" s="42">
        <f>IFERROR(__xludf.DUMMYFUNCTION("""COMPUTED_VALUE"""),0.3733333333333333)</f>
        <v>0.3733333333</v>
      </c>
      <c r="J491" s="30">
        <f>IFERROR(__xludf.DUMMYFUNCTION("""COMPUTED_VALUE"""),376.96153846153845)</f>
        <v>376.9615385</v>
      </c>
      <c r="K491" s="30">
        <f>IFERROR(__xludf.DUMMYFUNCTION("""COMPUTED_VALUE"""),1.0769230769230769)</f>
        <v>1.076923077</v>
      </c>
      <c r="L491" s="30">
        <f>IFERROR(__xludf.DUMMYFUNCTION("""COMPUTED_VALUE"""),0.5)</f>
        <v>0.5</v>
      </c>
      <c r="M491" s="30">
        <f>IFERROR(__xludf.DUMMYFUNCTION("""COMPUTED_VALUE"""),1.3846153846153846)</f>
        <v>1.384615385</v>
      </c>
      <c r="N491" s="30">
        <f>IFERROR(__xludf.DUMMYFUNCTION("""COMPUTED_VALUE"""),2.8846153846153846)</f>
        <v>2.884615385</v>
      </c>
      <c r="O491" s="30">
        <f>IFERROR(__xludf.DUMMYFUNCTION("""COMPUTED_VALUE"""),338.34615384615387)</f>
        <v>338.3461538</v>
      </c>
      <c r="P491" s="30">
        <f>IFERROR(__xludf.DUMMYFUNCTION("""COMPUTED_VALUE"""),0.7435897435897435)</f>
        <v>0.7435897436</v>
      </c>
      <c r="Q491" s="30">
        <f>IFERROR(__xludf.DUMMYFUNCTION("""COMPUTED_VALUE"""),0.5128205128205127)</f>
        <v>0.5128205128</v>
      </c>
      <c r="R491" s="30">
        <f>IFERROR(__xludf.DUMMYFUNCTION("""COMPUTED_VALUE"""),1.2435897435897434)</f>
        <v>1.243589744</v>
      </c>
      <c r="S491" s="30">
        <f>IFERROR(__xludf.DUMMYFUNCTION("""COMPUTED_VALUE"""),2.525641025641025)</f>
        <v>2.525641026</v>
      </c>
      <c r="T491" s="30">
        <f>IFERROR(__xludf.DUMMYFUNCTION("""COMPUTED_VALUE"""),341.03988306735357)</f>
        <v>341.0398831</v>
      </c>
      <c r="U491" s="30">
        <f>IFERROR(__xludf.DUMMYFUNCTION("""COMPUTED_VALUE"""),0.7144884307834973)</f>
        <v>0.7144884308</v>
      </c>
      <c r="V491" s="30">
        <f>IFERROR(__xludf.DUMMYFUNCTION("""COMPUTED_VALUE"""),0.4789234600119873)</f>
        <v>0.47892346</v>
      </c>
      <c r="W491" s="30">
        <f>IFERROR(__xludf.DUMMYFUNCTION("""COMPUTED_VALUE"""),1.3782328174752638)</f>
        <v>1.378232817</v>
      </c>
      <c r="X491" s="30">
        <f>IFERROR(__xludf.DUMMYFUNCTION("""COMPUTED_VALUE"""),2.4446849513007747)</f>
        <v>2.444684951</v>
      </c>
      <c r="Y491" s="30">
        <f>IFERROR(__xludf.DUMMYFUNCTION("""COMPUTED_VALUE"""),355.4883154157013)</f>
        <v>355.4883154</v>
      </c>
      <c r="Z491" s="30">
        <f>IFERROR(__xludf.DUMMYFUNCTION("""COMPUTED_VALUE"""),0.815231589996831)</f>
        <v>0.81523159</v>
      </c>
      <c r="AA491" s="30">
        <f>IFERROR(__xludf.DUMMYFUNCTION("""COMPUTED_VALUE"""),0.6052312006035308)</f>
        <v>0.6052312006</v>
      </c>
      <c r="AB491" s="30">
        <f>IFERROR(__xludf.DUMMYFUNCTION("""COMPUTED_VALUE"""),1.277726240063855)</f>
        <v>1.27772624</v>
      </c>
      <c r="AC491" s="30">
        <f>IFERROR(__xludf.DUMMYFUNCTION("""COMPUTED_VALUE"""),2.6719432647971066)</f>
        <v>2.671943265</v>
      </c>
      <c r="AD491" s="30">
        <f>IFERROR(__xludf.DUMMYFUNCTION("""COMPUTED_VALUE"""),1.06040486315486)</f>
        <v>1.060404863</v>
      </c>
      <c r="AE491" s="30">
        <f>IFERROR(__xludf.DUMMYFUNCTION("""COMPUTED_VALUE"""),1.3210026330398497)</f>
        <v>1.321002633</v>
      </c>
      <c r="AF491" s="30">
        <f>IFERROR(__xludf.DUMMYFUNCTION("""COMPUTED_VALUE"""),0.8261305753923539)</f>
        <v>0.8261305754</v>
      </c>
      <c r="AG491" s="30">
        <f>IFERROR(__xludf.DUMMYFUNCTION("""COMPUTED_VALUE"""),1.0836557481563405)</f>
        <v>1.083655748</v>
      </c>
      <c r="AH491" s="30">
        <f>IFERROR(__xludf.DUMMYFUNCTION("""COMPUTED_VALUE"""),1.079594549263166)</f>
        <v>1.079594549</v>
      </c>
      <c r="AI491" s="30">
        <f>IFERROR(__xludf.DUMMYFUNCTION("""COMPUTED_VALUE"""),0.9921014246281931)</f>
        <v>0.9921014246</v>
      </c>
      <c r="AJ491" s="30">
        <f>IFERROR(__xludf.DUMMYFUNCTION("""COMPUTED_VALUE"""),1.040730278549555)</f>
        <v>1.040730279</v>
      </c>
      <c r="AK491" s="30">
        <f>IFERROR(__xludf.DUMMYFUNCTION("""COMPUTED_VALUE"""),1.0707775994261732)</f>
        <v>1.070777599</v>
      </c>
      <c r="AL491" s="30">
        <f>IFERROR(__xludf.DUMMYFUNCTION("""COMPUTED_VALUE"""),0.9023074532993864)</f>
        <v>0.9023074533</v>
      </c>
      <c r="AM491" s="30">
        <f>IFERROR(__xludf.DUMMYFUNCTION("""COMPUTED_VALUE"""),1.0331151358776005)</f>
        <v>1.033115136</v>
      </c>
      <c r="AN491" s="30">
        <f>IFERROR(__xludf.DUMMYFUNCTION("""COMPUTED_VALUE"""),1.1121747840306904)</f>
        <v>1.112174784</v>
      </c>
      <c r="AO491" s="30">
        <f>IFERROR(__xludf.DUMMYFUNCTION("""COMPUTED_VALUE"""),1.46587911225162)</f>
        <v>1.465879112</v>
      </c>
      <c r="AP491" s="30">
        <f>IFERROR(__xludf.DUMMYFUNCTION("""COMPUTED_VALUE"""),0.8928190683098591)</f>
        <v>0.8928190683</v>
      </c>
      <c r="AQ491" s="30">
        <f>IFERROR(__xludf.DUMMYFUNCTION("""COMPUTED_VALUE"""),1.0566073129844238)</f>
        <v>1.056607313</v>
      </c>
      <c r="AR491" s="30">
        <f>IFERROR(__xludf.DUMMYFUNCTION("""COMPUTED_VALUE"""),1.1583193094554132)</f>
        <v>1.158319309</v>
      </c>
      <c r="AS491" s="30">
        <f>IFERROR(__xludf.DUMMYFUNCTION("""COMPUTED_VALUE"""),69.0)</f>
        <v>69</v>
      </c>
      <c r="AT491" s="30">
        <f>IFERROR(__xludf.DUMMYFUNCTION("""COMPUTED_VALUE"""),0.5680208282457416)</f>
        <v>0.5680208282</v>
      </c>
      <c r="AU491" s="30">
        <f>IFERROR(__xludf.DUMMYFUNCTION("""COMPUTED_VALUE"""),2.4954625155385033)</f>
        <v>2.495462516</v>
      </c>
      <c r="AV491" s="32">
        <f>IFERROR(__xludf.DUMMYFUNCTION("""COMPUTED_VALUE"""),67.63424161699712)</f>
        <v>67.63424162</v>
      </c>
      <c r="AW491" s="32">
        <f>IFERROR(__xludf.DUMMYFUNCTION("""COMPUTED_VALUE"""),4.1616361406358315)</f>
        <v>4.161636141</v>
      </c>
      <c r="AX491" s="32">
        <f>IFERROR(__xludf.DUMMYFUNCTION("""COMPUTED_VALUE"""),58.363182582497984)</f>
        <v>58.36318258</v>
      </c>
      <c r="AY491" s="32">
        <f>IFERROR(__xludf.DUMMYFUNCTION("""COMPUTED_VALUE"""),2.710094333369803)</f>
        <v>2.710094333</v>
      </c>
      <c r="AZ491" s="30">
        <f>IFERROR(__xludf.DUMMYFUNCTION("""COMPUTED_VALUE"""),1.4515418072660284)</f>
        <v>1.451541807</v>
      </c>
      <c r="BA491" s="30">
        <f>IFERROR(__xludf.DUMMYFUNCTION("""COMPUTED_VALUE"""),1700.0)</f>
        <v>1700</v>
      </c>
    </row>
    <row r="492">
      <c r="A492" s="71" t="str">
        <f>IFERROR(__xludf.DUMMYFUNCTION("""COMPUTED_VALUE"""),"Rival")</f>
        <v>Rival</v>
      </c>
      <c r="B492" s="71" t="str">
        <f>IFERROR(__xludf.DUMMYFUNCTION("""COMPUTED_VALUE"""),"RSC003945")</f>
        <v>RSC003945</v>
      </c>
      <c r="C492" s="30" t="str">
        <f>IFERROR(__xludf.DUMMYFUNCTION("""COMPUTED_VALUE"""),"Gaw1f3d")</f>
        <v>Gaw1f3d</v>
      </c>
      <c r="D492" s="30" t="str">
        <f>IFERROR(__xludf.DUMMYFUNCTION("""COMPUTED_VALUE"""),"Cursed")</f>
        <v>Cursed</v>
      </c>
      <c r="E492" s="30">
        <f>IFERROR(__xludf.DUMMYFUNCTION("""COMPUTED_VALUE"""),36.0)</f>
        <v>36</v>
      </c>
      <c r="F492" s="30">
        <f>IFERROR(__xludf.DUMMYFUNCTION("""COMPUTED_VALUE"""),23.0)</f>
        <v>23</v>
      </c>
      <c r="G492" s="42">
        <f>IFERROR(__xludf.DUMMYFUNCTION("""COMPUTED_VALUE"""),13.0)</f>
        <v>13</v>
      </c>
      <c r="H492" s="42">
        <f>IFERROR(__xludf.DUMMYFUNCTION("""COMPUTED_VALUE"""),0.6388888888888888)</f>
        <v>0.6388888889</v>
      </c>
      <c r="I492" s="42">
        <f>IFERROR(__xludf.DUMMYFUNCTION("""COMPUTED_VALUE"""),0.3163265306122449)</f>
        <v>0.3163265306</v>
      </c>
      <c r="J492" s="30">
        <f>IFERROR(__xludf.DUMMYFUNCTION("""COMPUTED_VALUE"""),354.72222222222223)</f>
        <v>354.7222222</v>
      </c>
      <c r="K492" s="30">
        <f>IFERROR(__xludf.DUMMYFUNCTION("""COMPUTED_VALUE"""),0.8611111111111112)</f>
        <v>0.8611111111</v>
      </c>
      <c r="L492" s="30">
        <f>IFERROR(__xludf.DUMMYFUNCTION("""COMPUTED_VALUE"""),0.5833333333333334)</f>
        <v>0.5833333333</v>
      </c>
      <c r="M492" s="30">
        <f>IFERROR(__xludf.DUMMYFUNCTION("""COMPUTED_VALUE"""),1.3888888888888888)</f>
        <v>1.388888889</v>
      </c>
      <c r="N492" s="30">
        <f>IFERROR(__xludf.DUMMYFUNCTION("""COMPUTED_VALUE"""),2.7222222222222223)</f>
        <v>2.722222222</v>
      </c>
      <c r="O492" s="30">
        <f>IFERROR(__xludf.DUMMYFUNCTION("""COMPUTED_VALUE"""),330.62037037037044)</f>
        <v>330.6203704</v>
      </c>
      <c r="P492" s="30">
        <f>IFERROR(__xludf.DUMMYFUNCTION("""COMPUTED_VALUE"""),0.6666666666666666)</f>
        <v>0.6666666667</v>
      </c>
      <c r="Q492" s="30">
        <f>IFERROR(__xludf.DUMMYFUNCTION("""COMPUTED_VALUE"""),0.5092592592592592)</f>
        <v>0.5092592593</v>
      </c>
      <c r="R492" s="30">
        <f>IFERROR(__xludf.DUMMYFUNCTION("""COMPUTED_VALUE"""),1.324074074074074)</f>
        <v>1.324074074</v>
      </c>
      <c r="S492" s="30">
        <f>IFERROR(__xludf.DUMMYFUNCTION("""COMPUTED_VALUE"""),2.4722222222222223)</f>
        <v>2.472222222</v>
      </c>
      <c r="T492" s="30">
        <f>IFERROR(__xludf.DUMMYFUNCTION("""COMPUTED_VALUE"""),355.9288104343109)</f>
        <v>355.9288104</v>
      </c>
      <c r="U492" s="30">
        <f>IFERROR(__xludf.DUMMYFUNCTION("""COMPUTED_VALUE"""),0.7996393494463698)</f>
        <v>0.7996393494</v>
      </c>
      <c r="V492" s="30">
        <f>IFERROR(__xludf.DUMMYFUNCTION("""COMPUTED_VALUE"""),0.5996154860590291)</f>
        <v>0.5996154861</v>
      </c>
      <c r="W492" s="30">
        <f>IFERROR(__xludf.DUMMYFUNCTION("""COMPUTED_VALUE"""),1.3390263252219528)</f>
        <v>1.339026325</v>
      </c>
      <c r="X492" s="30">
        <f>IFERROR(__xludf.DUMMYFUNCTION("""COMPUTED_VALUE"""),2.605865817793921)</f>
        <v>2.605865818</v>
      </c>
      <c r="Y492" s="30">
        <f>IFERROR(__xludf.DUMMYFUNCTION("""COMPUTED_VALUE"""),349.02516492677546)</f>
        <v>349.0251649</v>
      </c>
      <c r="Z492" s="30">
        <f>IFERROR(__xludf.DUMMYFUNCTION("""COMPUTED_VALUE"""),0.8004031558610476)</f>
        <v>0.8004031559</v>
      </c>
      <c r="AA492" s="30">
        <f>IFERROR(__xludf.DUMMYFUNCTION("""COMPUTED_VALUE"""),0.5685840678915015)</f>
        <v>0.5685840679</v>
      </c>
      <c r="AB492" s="30">
        <f>IFERROR(__xludf.DUMMYFUNCTION("""COMPUTED_VALUE"""),1.3049753619808457)</f>
        <v>1.304975362</v>
      </c>
      <c r="AC492" s="30">
        <f>IFERROR(__xludf.DUMMYFUNCTION("""COMPUTED_VALUE"""),2.6182472153163685)</f>
        <v>2.618247215</v>
      </c>
      <c r="AD492" s="30">
        <f>IFERROR(__xludf.DUMMYFUNCTION("""COMPUTED_VALUE"""),1.0163227694388226)</f>
        <v>1.016322769</v>
      </c>
      <c r="AE492" s="30">
        <f>IFERROR(__xludf.DUMMYFUNCTION("""COMPUTED_VALUE"""),1.0758467214996872)</f>
        <v>1.075846721</v>
      </c>
      <c r="AF492" s="30">
        <f>IFERROR(__xludf.DUMMYFUNCTION("""COMPUTED_VALUE"""),1.0259403424660263)</f>
        <v>1.025940342</v>
      </c>
      <c r="AG492" s="30">
        <f>IFERROR(__xludf.DUMMYFUNCTION("""COMPUTED_VALUE"""),1.0643027672037189)</f>
        <v>1.064302767</v>
      </c>
      <c r="AH492" s="30">
        <f>IFERROR(__xludf.DUMMYFUNCTION("""COMPUTED_VALUE"""),1.0397116843274443)</f>
        <v>1.039711684</v>
      </c>
      <c r="AI492" s="30">
        <f>IFERROR(__xludf.DUMMYFUNCTION("""COMPUTED_VALUE"""),0.9288946572404222)</f>
        <v>0.9288946572</v>
      </c>
      <c r="AJ492" s="30">
        <f>IFERROR(__xludf.DUMMYFUNCTION("""COMPUTED_VALUE"""),0.8337091804301942)</f>
        <v>0.8337091804</v>
      </c>
      <c r="AK492" s="30">
        <f>IFERROR(__xludf.DUMMYFUNCTION("""COMPUTED_VALUE"""),0.8493097178099319)</f>
        <v>0.8493097178</v>
      </c>
      <c r="AL492" s="30">
        <f>IFERROR(__xludf.DUMMYFUNCTION("""COMPUTED_VALUE"""),0.9888334897781786)</f>
        <v>0.9888334898</v>
      </c>
      <c r="AM492" s="30">
        <f>IFERROR(__xludf.DUMMYFUNCTION("""COMPUTED_VALUE"""),0.948714321873703)</f>
        <v>0.9487143219</v>
      </c>
      <c r="AN492" s="30">
        <f>IFERROR(__xludf.DUMMYFUNCTION("""COMPUTED_VALUE"""),1.0465606451548874)</f>
        <v>1.046560645</v>
      </c>
      <c r="AO492" s="30">
        <f>IFERROR(__xludf.DUMMYFUNCTION("""COMPUTED_VALUE"""),1.1721215917408787)</f>
        <v>1.172121592</v>
      </c>
      <c r="AP492" s="30">
        <f>IFERROR(__xludf.DUMMYFUNCTION("""COMPUTED_VALUE"""),1.0416222463615024)</f>
        <v>1.041622246</v>
      </c>
      <c r="AQ492" s="30">
        <f>IFERROR(__xludf.DUMMYFUNCTION("""COMPUTED_VALUE"""),1.0598684466664745)</f>
        <v>1.059868447</v>
      </c>
      <c r="AR492" s="30">
        <f>IFERROR(__xludf.DUMMYFUNCTION("""COMPUTED_VALUE"""),1.0931102224045899)</f>
        <v>1.093110222</v>
      </c>
      <c r="AS492" s="30">
        <f>IFERROR(__xludf.DUMMYFUNCTION("""COMPUTED_VALUE"""),94.0)</f>
        <v>94</v>
      </c>
      <c r="AT492" s="30">
        <f>IFERROR(__xludf.DUMMYFUNCTION("""COMPUTED_VALUE"""),0.6019139321801137)</f>
        <v>0.6019139322</v>
      </c>
      <c r="AU492" s="30">
        <f>IFERROR(__xludf.DUMMYFUNCTION("""COMPUTED_VALUE"""),2.418672544964906)</f>
        <v>2.418672545</v>
      </c>
      <c r="AV492" s="32">
        <f>IFERROR(__xludf.DUMMYFUNCTION("""COMPUTED_VALUE"""),64.92170737006462)</f>
        <v>64.92170737</v>
      </c>
      <c r="AW492" s="32">
        <f>IFERROR(__xludf.DUMMYFUNCTION("""COMPUTED_VALUE"""),3.6324319143183454)</f>
        <v>3.632431914</v>
      </c>
      <c r="AX492" s="32">
        <f>IFERROR(__xludf.DUMMYFUNCTION("""COMPUTED_VALUE"""),52.821439680683156)</f>
        <v>52.82143968</v>
      </c>
      <c r="AY492" s="32">
        <f>IFERROR(__xludf.DUMMYFUNCTION("""COMPUTED_VALUE"""),2.197455767881287)</f>
        <v>2.197455768</v>
      </c>
      <c r="AZ492" s="30">
        <f>IFERROR(__xludf.DUMMYFUNCTION("""COMPUTED_VALUE"""),1.4349761464370583)</f>
        <v>1.434976146</v>
      </c>
      <c r="BA492" s="30">
        <f>IFERROR(__xludf.DUMMYFUNCTION("""COMPUTED_VALUE"""),1700.0)</f>
        <v>1700</v>
      </c>
    </row>
    <row r="493">
      <c r="A493" s="71" t="str">
        <f>IFERROR(__xludf.DUMMYFUNCTION("""COMPUTED_VALUE"""),"Rival")</f>
        <v>Rival</v>
      </c>
      <c r="B493" s="71" t="str">
        <f>IFERROR(__xludf.DUMMYFUNCTION("""COMPUTED_VALUE"""),"RSC005507")</f>
        <v>RSC005507</v>
      </c>
      <c r="C493" s="30" t="str">
        <f>IFERROR(__xludf.DUMMYFUNCTION("""COMPUTED_VALUE"""),"T Sant")</f>
        <v>T Sant</v>
      </c>
      <c r="D493" s="30" t="str">
        <f>IFERROR(__xludf.DUMMYFUNCTION("""COMPUTED_VALUE"""),"Quasars")</f>
        <v>Quasars</v>
      </c>
      <c r="E493" s="30">
        <f>IFERROR(__xludf.DUMMYFUNCTION("""COMPUTED_VALUE"""),36.0)</f>
        <v>36</v>
      </c>
      <c r="F493" s="30">
        <f>IFERROR(__xludf.DUMMYFUNCTION("""COMPUTED_VALUE"""),20.0)</f>
        <v>20</v>
      </c>
      <c r="G493" s="42">
        <f>IFERROR(__xludf.DUMMYFUNCTION("""COMPUTED_VALUE"""),16.0)</f>
        <v>16</v>
      </c>
      <c r="H493" s="42">
        <f>IFERROR(__xludf.DUMMYFUNCTION("""COMPUTED_VALUE"""),0.5555555555555556)</f>
        <v>0.5555555556</v>
      </c>
      <c r="I493" s="42">
        <f>IFERROR(__xludf.DUMMYFUNCTION("""COMPUTED_VALUE"""),0.2962962962962963)</f>
        <v>0.2962962963</v>
      </c>
      <c r="J493" s="30">
        <f>IFERROR(__xludf.DUMMYFUNCTION("""COMPUTED_VALUE"""),327.0833333333333)</f>
        <v>327.0833333</v>
      </c>
      <c r="K493" s="30">
        <f>IFERROR(__xludf.DUMMYFUNCTION("""COMPUTED_VALUE"""),0.6666666666666666)</f>
        <v>0.6666666667</v>
      </c>
      <c r="L493" s="30">
        <f>IFERROR(__xludf.DUMMYFUNCTION("""COMPUTED_VALUE"""),0.4166666666666667)</f>
        <v>0.4166666667</v>
      </c>
      <c r="M493" s="30">
        <f>IFERROR(__xludf.DUMMYFUNCTION("""COMPUTED_VALUE"""),1.3611111111111112)</f>
        <v>1.361111111</v>
      </c>
      <c r="N493" s="30">
        <f>IFERROR(__xludf.DUMMYFUNCTION("""COMPUTED_VALUE"""),2.25)</f>
        <v>2.25</v>
      </c>
      <c r="O493" s="30">
        <f>IFERROR(__xludf.DUMMYFUNCTION("""COMPUTED_VALUE"""),348.8333333333334)</f>
        <v>348.8333333</v>
      </c>
      <c r="P493" s="30">
        <f>IFERROR(__xludf.DUMMYFUNCTION("""COMPUTED_VALUE"""),0.7685185185185183)</f>
        <v>0.7685185185</v>
      </c>
      <c r="Q493" s="30">
        <f>IFERROR(__xludf.DUMMYFUNCTION("""COMPUTED_VALUE"""),0.5925925925925926)</f>
        <v>0.5925925926</v>
      </c>
      <c r="R493" s="30">
        <f>IFERROR(__xludf.DUMMYFUNCTION("""COMPUTED_VALUE"""),1.361111111111111)</f>
        <v>1.361111111</v>
      </c>
      <c r="S493" s="30">
        <f>IFERROR(__xludf.DUMMYFUNCTION("""COMPUTED_VALUE"""),2.768518518518519)</f>
        <v>2.768518519</v>
      </c>
      <c r="T493" s="30">
        <f>IFERROR(__xludf.DUMMYFUNCTION("""COMPUTED_VALUE"""),352.15716016023555)</f>
        <v>352.1571602</v>
      </c>
      <c r="U493" s="30">
        <f>IFERROR(__xludf.DUMMYFUNCTION("""COMPUTED_VALUE"""),0.8290671114004095)</f>
        <v>0.8290671114</v>
      </c>
      <c r="V493" s="30">
        <f>IFERROR(__xludf.DUMMYFUNCTION("""COMPUTED_VALUE"""),0.6153465306598375)</f>
        <v>0.6153465307</v>
      </c>
      <c r="W493" s="30">
        <f>IFERROR(__xludf.DUMMYFUNCTION("""COMPUTED_VALUE"""),1.2678954625119778)</f>
        <v>1.267895463</v>
      </c>
      <c r="X493" s="30">
        <f>IFERROR(__xludf.DUMMYFUNCTION("""COMPUTED_VALUE"""),2.547577625898723)</f>
        <v>2.547577626</v>
      </c>
      <c r="Y493" s="30">
        <f>IFERROR(__xludf.DUMMYFUNCTION("""COMPUTED_VALUE"""),345.5883034380237)</f>
        <v>345.5883034</v>
      </c>
      <c r="Z493" s="30">
        <f>IFERROR(__xludf.DUMMYFUNCTION("""COMPUTED_VALUE"""),0.7747925709896207)</f>
        <v>0.774792571</v>
      </c>
      <c r="AA493" s="30">
        <f>IFERROR(__xludf.DUMMYFUNCTION("""COMPUTED_VALUE"""),0.5412256763680356)</f>
        <v>0.5412256764</v>
      </c>
      <c r="AB493" s="30">
        <f>IFERROR(__xludf.DUMMYFUNCTION("""COMPUTED_VALUE"""),1.3015138590171453)</f>
        <v>1.301513859</v>
      </c>
      <c r="AC493" s="30">
        <f>IFERROR(__xludf.DUMMYFUNCTION("""COMPUTED_VALUE"""),2.5191854749505507)</f>
        <v>2.519185475</v>
      </c>
      <c r="AD493" s="30">
        <f>IFERROR(__xludf.DUMMYFUNCTION("""COMPUTED_VALUE"""),0.9464537140852368)</f>
        <v>0.9464537141</v>
      </c>
      <c r="AE493" s="30">
        <f>IFERROR(__xludf.DUMMYFUNCTION("""COMPUTED_VALUE"""),0.8604453522510574)</f>
        <v>0.8604453523</v>
      </c>
      <c r="AF493" s="30">
        <f>IFERROR(__xludf.DUMMYFUNCTION("""COMPUTED_VALUE"""),0.7698575379179381)</f>
        <v>0.7698575379</v>
      </c>
      <c r="AG493" s="30">
        <f>IFERROR(__xludf.DUMMYFUNCTION("""COMPUTED_VALUE"""),1.0457907164653408)</f>
        <v>1.045790716</v>
      </c>
      <c r="AH493" s="30">
        <f>IFERROR(__xludf.DUMMYFUNCTION("""COMPUTED_VALUE"""),0.8931458292264747)</f>
        <v>0.8931458292</v>
      </c>
      <c r="AI493" s="30">
        <f>IFERROR(__xludf.DUMMYFUNCTION("""COMPUTED_VALUE"""),0.9905615242200677)</f>
        <v>0.9905615242</v>
      </c>
      <c r="AJ493" s="30">
        <f>IFERROR(__xludf.DUMMYFUNCTION("""COMPUTED_VALUE"""),0.9269678026672459)</f>
        <v>0.9269678027</v>
      </c>
      <c r="AK493" s="30">
        <f>IFERROR(__xludf.DUMMYFUNCTION("""COMPUTED_VALUE"""),0.9630225621929714)</f>
        <v>0.9630225622</v>
      </c>
      <c r="AL493" s="30">
        <f>IFERROR(__xludf.DUMMYFUNCTION("""COMPUTED_VALUE"""),1.073519979647575)</f>
        <v>1.07351998</v>
      </c>
      <c r="AM493" s="30">
        <f>IFERROR(__xludf.DUMMYFUNCTION("""COMPUTED_VALUE"""),1.0867258725990159)</f>
        <v>1.086725873</v>
      </c>
      <c r="AN493" s="30">
        <f>IFERROR(__xludf.DUMMYFUNCTION("""COMPUTED_VALUE"""),0.9650157867422707)</f>
        <v>0.9650157867</v>
      </c>
      <c r="AO493" s="30">
        <f>IFERROR(__xludf.DUMMYFUNCTION("""COMPUTED_VALUE"""),0.9074489742510028)</f>
        <v>0.9074489743</v>
      </c>
      <c r="AP493" s="30">
        <f>IFERROR(__xludf.DUMMYFUNCTION("""COMPUTED_VALUE"""),0.7440158902582159)</f>
        <v>0.7440158903</v>
      </c>
      <c r="AQ493" s="30">
        <f>IFERROR(__xludf.DUMMYFUNCTION("""COMPUTED_VALUE"""),1.0386710777331452)</f>
        <v>1.038671078</v>
      </c>
      <c r="AR493" s="30">
        <f>IFERROR(__xludf.DUMMYFUNCTION("""COMPUTED_VALUE"""),0.9034890613752222)</f>
        <v>0.9034890614</v>
      </c>
      <c r="AS493" s="30">
        <f>IFERROR(__xludf.DUMMYFUNCTION("""COMPUTED_VALUE"""),76.0)</f>
        <v>76</v>
      </c>
      <c r="AT493" s="30">
        <f>IFERROR(__xludf.DUMMYFUNCTION("""COMPUTED_VALUE"""),0.46631507701157704)</f>
        <v>0.466315077</v>
      </c>
      <c r="AU493" s="30">
        <f>IFERROR(__xludf.DUMMYFUNCTION("""COMPUTED_VALUE"""),1.6974574439510342)</f>
        <v>1.697457444</v>
      </c>
      <c r="AV493" s="32">
        <f>IFERROR(__xludf.DUMMYFUNCTION("""COMPUTED_VALUE"""),39.44545511613232)</f>
        <v>39.44545512</v>
      </c>
      <c r="AW493" s="32">
        <f>IFERROR(__xludf.DUMMYFUNCTION("""COMPUTED_VALUE"""),-2.9722437248574223)</f>
        <v>-2.972243725</v>
      </c>
      <c r="AX493" s="32">
        <f>IFERROR(__xludf.DUMMYFUNCTION("""COMPUTED_VALUE"""),31.577282777856713)</f>
        <v>31.57728278</v>
      </c>
      <c r="AY493" s="32">
        <f>IFERROR(__xludf.DUMMYFUNCTION("""COMPUTED_VALUE"""),-4.336721442690728)</f>
        <v>-4.336721443</v>
      </c>
      <c r="AZ493" s="30">
        <f>IFERROR(__xludf.DUMMYFUNCTION("""COMPUTED_VALUE"""),1.364477717833306)</f>
        <v>1.364477718</v>
      </c>
      <c r="BA493" s="30">
        <f>IFERROR(__xludf.DUMMYFUNCTION("""COMPUTED_VALUE"""),1700.0)</f>
        <v>1700</v>
      </c>
    </row>
    <row r="494">
      <c r="A494" s="71" t="str">
        <f>IFERROR(__xludf.DUMMYFUNCTION("""COMPUTED_VALUE"""),"Rival")</f>
        <v>Rival</v>
      </c>
      <c r="B494" s="71" t="str">
        <f>IFERROR(__xludf.DUMMYFUNCTION("""COMPUTED_VALUE"""),"RSC006086")</f>
        <v>RSC006086</v>
      </c>
      <c r="C494" s="30" t="str">
        <f>IFERROR(__xludf.DUMMYFUNCTION("""COMPUTED_VALUE"""),"13o0k")</f>
        <v>13o0k</v>
      </c>
      <c r="D494" s="30" t="str">
        <f>IFERROR(__xludf.DUMMYFUNCTION("""COMPUTED_VALUE"""),"Kitsune")</f>
        <v>Kitsune</v>
      </c>
      <c r="E494" s="30">
        <f>IFERROR(__xludf.DUMMYFUNCTION("""COMPUTED_VALUE"""),24.0)</f>
        <v>24</v>
      </c>
      <c r="F494" s="30">
        <f>IFERROR(__xludf.DUMMYFUNCTION("""COMPUTED_VALUE"""),12.0)</f>
        <v>12</v>
      </c>
      <c r="G494" s="42">
        <f>IFERROR(__xludf.DUMMYFUNCTION("""COMPUTED_VALUE"""),12.0)</f>
        <v>12</v>
      </c>
      <c r="H494" s="42">
        <f>IFERROR(__xludf.DUMMYFUNCTION("""COMPUTED_VALUE"""),0.5)</f>
        <v>0.5</v>
      </c>
      <c r="I494" s="42">
        <f>IFERROR(__xludf.DUMMYFUNCTION("""COMPUTED_VALUE"""),0.23880597014925373)</f>
        <v>0.2388059701</v>
      </c>
      <c r="J494" s="30">
        <f>IFERROR(__xludf.DUMMYFUNCTION("""COMPUTED_VALUE"""),351.2916666666667)</f>
        <v>351.2916667</v>
      </c>
      <c r="K494" s="30">
        <f>IFERROR(__xludf.DUMMYFUNCTION("""COMPUTED_VALUE"""),0.6666666666666666)</f>
        <v>0.6666666667</v>
      </c>
      <c r="L494" s="30">
        <f>IFERROR(__xludf.DUMMYFUNCTION("""COMPUTED_VALUE"""),0.6666666666666666)</f>
        <v>0.6666666667</v>
      </c>
      <c r="M494" s="30">
        <f>IFERROR(__xludf.DUMMYFUNCTION("""COMPUTED_VALUE"""),1.25)</f>
        <v>1.25</v>
      </c>
      <c r="N494" s="30">
        <f>IFERROR(__xludf.DUMMYFUNCTION("""COMPUTED_VALUE"""),2.7916666666666665)</f>
        <v>2.791666667</v>
      </c>
      <c r="O494" s="30">
        <f>IFERROR(__xludf.DUMMYFUNCTION("""COMPUTED_VALUE"""),327.2083333333333)</f>
        <v>327.2083333</v>
      </c>
      <c r="P494" s="30">
        <f>IFERROR(__xludf.DUMMYFUNCTION("""COMPUTED_VALUE"""),0.7222222222222223)</f>
        <v>0.7222222222</v>
      </c>
      <c r="Q494" s="30">
        <f>IFERROR(__xludf.DUMMYFUNCTION("""COMPUTED_VALUE"""),0.5277777777777778)</f>
        <v>0.5277777778</v>
      </c>
      <c r="R494" s="30">
        <f>IFERROR(__xludf.DUMMYFUNCTION("""COMPUTED_VALUE"""),1.1666666666666667)</f>
        <v>1.166666667</v>
      </c>
      <c r="S494" s="30">
        <f>IFERROR(__xludf.DUMMYFUNCTION("""COMPUTED_VALUE"""),2.3333333333333335)</f>
        <v>2.333333333</v>
      </c>
      <c r="T494" s="30">
        <f>IFERROR(__xludf.DUMMYFUNCTION("""COMPUTED_VALUE"""),348.74296210479025)</f>
        <v>348.7429621</v>
      </c>
      <c r="U494" s="30">
        <f>IFERROR(__xludf.DUMMYFUNCTION("""COMPUTED_VALUE"""),0.8233015404174019)</f>
        <v>0.8233015404</v>
      </c>
      <c r="V494" s="30">
        <f>IFERROR(__xludf.DUMMYFUNCTION("""COMPUTED_VALUE"""),0.5487510159992236)</f>
        <v>0.548751016</v>
      </c>
      <c r="W494" s="30">
        <f>IFERROR(__xludf.DUMMYFUNCTION("""COMPUTED_VALUE"""),1.3174341000118341)</f>
        <v>1.3174341</v>
      </c>
      <c r="X494" s="30">
        <f>IFERROR(__xludf.DUMMYFUNCTION("""COMPUTED_VALUE"""),2.536045384288132)</f>
        <v>2.536045384</v>
      </c>
      <c r="Y494" s="30">
        <f>IFERROR(__xludf.DUMMYFUNCTION("""COMPUTED_VALUE"""),349.15473797926626)</f>
        <v>349.154738</v>
      </c>
      <c r="Z494" s="30">
        <f>IFERROR(__xludf.DUMMYFUNCTION("""COMPUTED_VALUE"""),0.8150980973094427)</f>
        <v>0.8150980973</v>
      </c>
      <c r="AA494" s="30">
        <f>IFERROR(__xludf.DUMMYFUNCTION("""COMPUTED_VALUE"""),0.5712163028423791)</f>
        <v>0.5712163028</v>
      </c>
      <c r="AB494" s="30">
        <f>IFERROR(__xludf.DUMMYFUNCTION("""COMPUTED_VALUE"""),1.3300042770895264)</f>
        <v>1.330004277</v>
      </c>
      <c r="AC494" s="30">
        <f>IFERROR(__xludf.DUMMYFUNCTION("""COMPUTED_VALUE"""),2.584597989288835)</f>
        <v>2.584597989</v>
      </c>
      <c r="AD494" s="30">
        <f>IFERROR(__xludf.DUMMYFUNCTION("""COMPUTED_VALUE"""),1.0061202912489973)</f>
        <v>1.006120291</v>
      </c>
      <c r="AE494" s="30">
        <f>IFERROR(__xludf.DUMMYFUNCTION("""COMPUTED_VALUE"""),0.8178974639583464)</f>
        <v>0.817897464</v>
      </c>
      <c r="AF494" s="30">
        <f>IFERROR(__xludf.DUMMYFUNCTION("""COMPUTED_VALUE"""),1.1671002094116105)</f>
        <v>1.167100209</v>
      </c>
      <c r="AG494" s="30">
        <f>IFERROR(__xludf.DUMMYFUNCTION("""COMPUTED_VALUE"""),0.939846601648078)</f>
        <v>0.9398466016</v>
      </c>
      <c r="AH494" s="30">
        <f>IFERROR(__xludf.DUMMYFUNCTION("""COMPUTED_VALUE"""),1.0801163965289657)</f>
        <v>1.080116397</v>
      </c>
      <c r="AI494" s="30">
        <f>IFERROR(__xludf.DUMMYFUNCTION("""COMPUTED_VALUE"""),0.9382507143900837)</f>
        <v>0.9382507144</v>
      </c>
      <c r="AJ494" s="30">
        <f>IFERROR(__xludf.DUMMYFUNCTION("""COMPUTED_VALUE"""),0.8772268564638737)</f>
        <v>0.8772268565</v>
      </c>
      <c r="AK494" s="30">
        <f>IFERROR(__xludf.DUMMYFUNCTION("""COMPUTED_VALUE"""),0.9617800466696986)</f>
        <v>0.9617800467</v>
      </c>
      <c r="AL494" s="30">
        <f>IFERROR(__xludf.DUMMYFUNCTION("""COMPUTED_VALUE"""),0.8855597913065912)</f>
        <v>0.8855597913</v>
      </c>
      <c r="AM494" s="30">
        <f>IFERROR(__xludf.DUMMYFUNCTION("""COMPUTED_VALUE"""),0.9200676564344293)</f>
        <v>0.9200676564</v>
      </c>
      <c r="AN494" s="30">
        <f>IFERROR(__xludf.DUMMYFUNCTION("""COMPUTED_VALUE"""),1.0364392481559346)</f>
        <v>1.036439248</v>
      </c>
      <c r="AO494" s="30">
        <f>IFERROR(__xludf.DUMMYFUNCTION("""COMPUTED_VALUE"""),0.9074489742510028)</f>
        <v>0.9074489743</v>
      </c>
      <c r="AP494" s="30">
        <f>IFERROR(__xludf.DUMMYFUNCTION("""COMPUTED_VALUE"""),1.1904254244131454)</f>
        <v>1.190425424</v>
      </c>
      <c r="AQ494" s="30">
        <f>IFERROR(__xludf.DUMMYFUNCTION("""COMPUTED_VALUE"""),0.9538816019998271)</f>
        <v>0.953881602</v>
      </c>
      <c r="AR494" s="30">
        <f>IFERROR(__xludf.DUMMYFUNCTION("""COMPUTED_VALUE"""),1.1209956872618498)</f>
        <v>1.120995687</v>
      </c>
      <c r="AS494" s="30">
        <f>IFERROR(__xludf.DUMMYFUNCTION("""COMPUTED_VALUE"""),50.0)</f>
        <v>50</v>
      </c>
      <c r="AT494" s="30">
        <f>IFERROR(__xludf.DUMMYFUNCTION("""COMPUTED_VALUE"""),0.48515174547830847)</f>
        <v>0.4851517455</v>
      </c>
      <c r="AU494" s="30">
        <f>IFERROR(__xludf.DUMMYFUNCTION("""COMPUTED_VALUE"""),2.2353599717995043)</f>
        <v>2.235359972</v>
      </c>
      <c r="AV494" s="32">
        <f>IFERROR(__xludf.DUMMYFUNCTION("""COMPUTED_VALUE"""),58.446361320440836)</f>
        <v>58.44636132</v>
      </c>
      <c r="AW494" s="32">
        <f>IFERROR(__xludf.DUMMYFUNCTION("""COMPUTED_VALUE"""),2.7193389101711976)</f>
        <v>2.71933891</v>
      </c>
      <c r="AX494" s="32">
        <f>IFERROR(__xludf.DUMMYFUNCTION("""COMPUTED_VALUE"""),66.98692737618886)</f>
        <v>66.98692738</v>
      </c>
      <c r="AY494" s="32">
        <f>IFERROR(__xludf.DUMMYFUNCTION("""COMPUTED_VALUE"""),4.02547630755194)</f>
        <v>4.025476308</v>
      </c>
      <c r="AZ494" s="30">
        <f>IFERROR(__xludf.DUMMYFUNCTION("""COMPUTED_VALUE"""),1.3061373973807422)</f>
        <v>1.306137397</v>
      </c>
      <c r="BA494" s="30">
        <f>IFERROR(__xludf.DUMMYFUNCTION("""COMPUTED_VALUE"""),1700.0)</f>
        <v>1700</v>
      </c>
    </row>
    <row r="495">
      <c r="A495" s="71" t="str">
        <f>IFERROR(__xludf.DUMMYFUNCTION("""COMPUTED_VALUE"""),"Rival")</f>
        <v>Rival</v>
      </c>
      <c r="B495" s="71" t="str">
        <f>IFERROR(__xludf.DUMMYFUNCTION("""COMPUTED_VALUE"""),"RSC006664")</f>
        <v>RSC006664</v>
      </c>
      <c r="C495" s="30" t="str">
        <f>IFERROR(__xludf.DUMMYFUNCTION("""COMPUTED_VALUE"""),"Godless")</f>
        <v>Godless</v>
      </c>
      <c r="D495" s="30" t="str">
        <f>IFERROR(__xludf.DUMMYFUNCTION("""COMPUTED_VALUE"""),"Iris")</f>
        <v>Iris</v>
      </c>
      <c r="E495" s="30">
        <f>IFERROR(__xludf.DUMMYFUNCTION("""COMPUTED_VALUE"""),10.0)</f>
        <v>10</v>
      </c>
      <c r="F495" s="30">
        <f>IFERROR(__xludf.DUMMYFUNCTION("""COMPUTED_VALUE"""),9.0)</f>
        <v>9</v>
      </c>
      <c r="G495" s="42">
        <f>IFERROR(__xludf.DUMMYFUNCTION("""COMPUTED_VALUE"""),1.0)</f>
        <v>1</v>
      </c>
      <c r="H495" s="42">
        <f>IFERROR(__xludf.DUMMYFUNCTION("""COMPUTED_VALUE"""),0.9)</f>
        <v>0.9</v>
      </c>
      <c r="I495" s="42">
        <f>IFERROR(__xludf.DUMMYFUNCTION("""COMPUTED_VALUE"""),0.38888888888888884)</f>
        <v>0.3888888889</v>
      </c>
      <c r="J495" s="30">
        <f>IFERROR(__xludf.DUMMYFUNCTION("""COMPUTED_VALUE"""),340.5)</f>
        <v>340.5</v>
      </c>
      <c r="K495" s="30">
        <f>IFERROR(__xludf.DUMMYFUNCTION("""COMPUTED_VALUE"""),0.7)</f>
        <v>0.7</v>
      </c>
      <c r="L495" s="30">
        <f>IFERROR(__xludf.DUMMYFUNCTION("""COMPUTED_VALUE"""),0.8)</f>
        <v>0.8</v>
      </c>
      <c r="M495" s="30">
        <f>IFERROR(__xludf.DUMMYFUNCTION("""COMPUTED_VALUE"""),1.3)</f>
        <v>1.3</v>
      </c>
      <c r="N495" s="30">
        <f>IFERROR(__xludf.DUMMYFUNCTION("""COMPUTED_VALUE"""),1.8)</f>
        <v>1.8</v>
      </c>
      <c r="O495" s="30">
        <f>IFERROR(__xludf.DUMMYFUNCTION("""COMPUTED_VALUE"""),270.49999999999994)</f>
        <v>270.5</v>
      </c>
      <c r="P495" s="30">
        <f>IFERROR(__xludf.DUMMYFUNCTION("""COMPUTED_VALUE"""),0.3333333333333333)</f>
        <v>0.3333333333</v>
      </c>
      <c r="Q495" s="30">
        <f>IFERROR(__xludf.DUMMYFUNCTION("""COMPUTED_VALUE"""),0.2)</f>
        <v>0.2</v>
      </c>
      <c r="R495" s="30">
        <f>IFERROR(__xludf.DUMMYFUNCTION("""COMPUTED_VALUE"""),1.2000000000000002)</f>
        <v>1.2</v>
      </c>
      <c r="S495" s="30">
        <f>IFERROR(__xludf.DUMMYFUNCTION("""COMPUTED_VALUE"""),1.8)</f>
        <v>1.8</v>
      </c>
      <c r="T495" s="30">
        <f>IFERROR(__xludf.DUMMYFUNCTION("""COMPUTED_VALUE"""),324.77129934879935)</f>
        <v>324.7712993</v>
      </c>
      <c r="U495" s="30">
        <f>IFERROR(__xludf.DUMMYFUNCTION("""COMPUTED_VALUE"""),0.6347059422059422)</f>
        <v>0.6347059422</v>
      </c>
      <c r="V495" s="30">
        <f>IFERROR(__xludf.DUMMYFUNCTION("""COMPUTED_VALUE"""),0.4570929995929996)</f>
        <v>0.4570929996</v>
      </c>
      <c r="W495" s="30">
        <f>IFERROR(__xludf.DUMMYFUNCTION("""COMPUTED_VALUE"""),1.3428337403337403)</f>
        <v>1.34283374</v>
      </c>
      <c r="X495" s="30">
        <f>IFERROR(__xludf.DUMMYFUNCTION("""COMPUTED_VALUE"""),2.3482224257224256)</f>
        <v>2.348222426</v>
      </c>
      <c r="Y495" s="30">
        <f>IFERROR(__xludf.DUMMYFUNCTION("""COMPUTED_VALUE"""),352.9215282865283)</f>
        <v>352.9215283</v>
      </c>
      <c r="Z495" s="30">
        <f>IFERROR(__xludf.DUMMYFUNCTION("""COMPUTED_VALUE"""),0.7972418939085605)</f>
        <v>0.7972418939</v>
      </c>
      <c r="AA495" s="30">
        <f>IFERROR(__xludf.DUMMYFUNCTION("""COMPUTED_VALUE"""),0.5937338895672227)</f>
        <v>0.5937338896</v>
      </c>
      <c r="AB495" s="30">
        <f>IFERROR(__xludf.DUMMYFUNCTION("""COMPUTED_VALUE"""),1.2836314611314605)</f>
        <v>1.283631461</v>
      </c>
      <c r="AC495" s="30">
        <f>IFERROR(__xludf.DUMMYFUNCTION("""COMPUTED_VALUE"""),2.6506769773436445)</f>
        <v>2.650676977</v>
      </c>
      <c r="AD495" s="30">
        <f>IFERROR(__xludf.DUMMYFUNCTION("""COMPUTED_VALUE"""),0.9648037104825082)</f>
        <v>0.9648037105</v>
      </c>
      <c r="AE495" s="30">
        <f>IFERROR(__xludf.DUMMYFUNCTION("""COMPUTED_VALUE"""),0.8780271149176292)</f>
        <v>0.8780271149</v>
      </c>
      <c r="AF495" s="30">
        <f>IFERROR(__xludf.DUMMYFUNCTION("""COMPUTED_VALUE"""),1.3474049806776673)</f>
        <v>1.347404981</v>
      </c>
      <c r="AG495" s="30">
        <f>IFERROR(__xludf.DUMMYFUNCTION("""COMPUTED_VALUE"""),1.012751743287837)</f>
        <v>1.012751743</v>
      </c>
      <c r="AH495" s="30">
        <f>IFERROR(__xludf.DUMMYFUNCTION("""COMPUTED_VALUE"""),0.679071805197424)</f>
        <v>0.6790718052</v>
      </c>
      <c r="AI495" s="30">
        <f>IFERROR(__xludf.DUMMYFUNCTION("""COMPUTED_VALUE"""),0.8328937949331758)</f>
        <v>0.8328937949</v>
      </c>
      <c r="AJ495" s="30">
        <f>IFERROR(__xludf.DUMMYFUNCTION("""COMPUTED_VALUE"""),0.5251775840869268)</f>
        <v>0.5251775841</v>
      </c>
      <c r="AK495" s="30">
        <f>IFERROR(__xludf.DUMMYFUNCTION("""COMPUTED_VALUE"""),0.43754772043781487)</f>
        <v>0.4375477204</v>
      </c>
      <c r="AL495" s="30">
        <f>IFERROR(__xludf.DUMMYFUNCTION("""COMPUTED_VALUE"""),0.8936325949791514)</f>
        <v>0.893632595</v>
      </c>
      <c r="AM495" s="30">
        <f>IFERROR(__xludf.DUMMYFUNCTION("""COMPUTED_VALUE"""),0.7665372667779689)</f>
        <v>0.7665372668</v>
      </c>
      <c r="AN495" s="30">
        <f>IFERROR(__xludf.DUMMYFUNCTION("""COMPUTED_VALUE"""),1.0045998737908073)</f>
        <v>1.004599874</v>
      </c>
      <c r="AO495" s="30">
        <f>IFERROR(__xludf.DUMMYFUNCTION("""COMPUTED_VALUE"""),0.9528214229635529)</f>
        <v>0.952821423</v>
      </c>
      <c r="AP495" s="30">
        <f>IFERROR(__xludf.DUMMYFUNCTION("""COMPUTED_VALUE"""),1.4285105092957746)</f>
        <v>1.428510509</v>
      </c>
      <c r="AQ495" s="30">
        <f>IFERROR(__xludf.DUMMYFUNCTION("""COMPUTED_VALUE"""),0.9920368660798202)</f>
        <v>0.9920368661</v>
      </c>
      <c r="AR495" s="30">
        <f>IFERROR(__xludf.DUMMYFUNCTION("""COMPUTED_VALUE"""),0.7227912491001778)</f>
        <v>0.7227912491</v>
      </c>
      <c r="AS495" s="30">
        <f>IFERROR(__xludf.DUMMYFUNCTION("""COMPUTED_VALUE"""),30.0)</f>
        <v>30</v>
      </c>
      <c r="AT495" s="30">
        <f>IFERROR(__xludf.DUMMYFUNCTION("""COMPUTED_VALUE"""),0.8369140440210939)</f>
        <v>0.836914044</v>
      </c>
      <c r="AU495" s="30">
        <f>IFERROR(__xludf.DUMMYFUNCTION("""COMPUTED_VALUE"""),2.3977765238302884)</f>
        <v>2.397776524</v>
      </c>
      <c r="AV495" s="32">
        <f>IFERROR(__xludf.DUMMYFUNCTION("""COMPUTED_VALUE"""),64.1835748700925)</f>
        <v>64.18357487</v>
      </c>
      <c r="AW495" s="32">
        <f>IFERROR(__xludf.DUMMYFUNCTION("""COMPUTED_VALUE"""),3.5058124617909154)</f>
        <v>3.505812462</v>
      </c>
      <c r="AX495" s="32">
        <f>IFERROR(__xludf.DUMMYFUNCTION("""COMPUTED_VALUE"""),70.13091079319129)</f>
        <v>70.13091079</v>
      </c>
      <c r="AY495" s="32">
        <f>IFERROR(__xludf.DUMMYFUNCTION("""COMPUTED_VALUE"""),4.754170668323299)</f>
        <v>4.754170668</v>
      </c>
      <c r="AZ495" s="30">
        <f>IFERROR(__xludf.DUMMYFUNCTION("""COMPUTED_VALUE"""),1.2483582065323837)</f>
        <v>1.248358207</v>
      </c>
      <c r="BA495" s="30">
        <f>IFERROR(__xludf.DUMMYFUNCTION("""COMPUTED_VALUE"""),1700.0)</f>
        <v>1700</v>
      </c>
    </row>
    <row r="496">
      <c r="A496" s="71" t="str">
        <f>IFERROR(__xludf.DUMMYFUNCTION("""COMPUTED_VALUE"""),"Rival")</f>
        <v>Rival</v>
      </c>
      <c r="B496" s="71" t="str">
        <f>IFERROR(__xludf.DUMMYFUNCTION("""COMPUTED_VALUE"""),"RSC006401")</f>
        <v>RSC006401</v>
      </c>
      <c r="C496" s="30" t="str">
        <f>IFERROR(__xludf.DUMMYFUNCTION("""COMPUTED_VALUE"""),"Shadohkamii")</f>
        <v>Shadohkamii</v>
      </c>
      <c r="D496" s="30" t="str">
        <f>IFERROR(__xludf.DUMMYFUNCTION("""COMPUTED_VALUE"""),"Hue Heroes")</f>
        <v>Hue Heroes</v>
      </c>
      <c r="E496" s="30">
        <f>IFERROR(__xludf.DUMMYFUNCTION("""COMPUTED_VALUE"""),30.0)</f>
        <v>30</v>
      </c>
      <c r="F496" s="30">
        <f>IFERROR(__xludf.DUMMYFUNCTION("""COMPUTED_VALUE"""),12.0)</f>
        <v>12</v>
      </c>
      <c r="G496" s="42">
        <f>IFERROR(__xludf.DUMMYFUNCTION("""COMPUTED_VALUE"""),18.0)</f>
        <v>18</v>
      </c>
      <c r="H496" s="42">
        <f>IFERROR(__xludf.DUMMYFUNCTION("""COMPUTED_VALUE"""),0.4)</f>
        <v>0.4</v>
      </c>
      <c r="I496" s="42">
        <f>IFERROR(__xludf.DUMMYFUNCTION("""COMPUTED_VALUE"""),0.2888888888888889)</f>
        <v>0.2888888889</v>
      </c>
      <c r="J496" s="30">
        <f>IFERROR(__xludf.DUMMYFUNCTION("""COMPUTED_VALUE"""),389.3666666666667)</f>
        <v>389.3666667</v>
      </c>
      <c r="K496" s="30">
        <f>IFERROR(__xludf.DUMMYFUNCTION("""COMPUTED_VALUE"""),0.8666666666666667)</f>
        <v>0.8666666667</v>
      </c>
      <c r="L496" s="30">
        <f>IFERROR(__xludf.DUMMYFUNCTION("""COMPUTED_VALUE"""),0.6666666666666666)</f>
        <v>0.6666666667</v>
      </c>
      <c r="M496" s="30">
        <f>IFERROR(__xludf.DUMMYFUNCTION("""COMPUTED_VALUE"""),1.5333333333333334)</f>
        <v>1.533333333</v>
      </c>
      <c r="N496" s="30">
        <f>IFERROR(__xludf.DUMMYFUNCTION("""COMPUTED_VALUE"""),3.0)</f>
        <v>3</v>
      </c>
      <c r="O496" s="30">
        <f>IFERROR(__xludf.DUMMYFUNCTION("""COMPUTED_VALUE"""),352.62222222222215)</f>
        <v>352.6222222</v>
      </c>
      <c r="P496" s="30">
        <f>IFERROR(__xludf.DUMMYFUNCTION("""COMPUTED_VALUE"""),0.8888888888888891)</f>
        <v>0.8888888889</v>
      </c>
      <c r="Q496" s="30">
        <f>IFERROR(__xludf.DUMMYFUNCTION("""COMPUTED_VALUE"""),0.622222222222222)</f>
        <v>0.6222222222</v>
      </c>
      <c r="R496" s="30">
        <f>IFERROR(__xludf.DUMMYFUNCTION("""COMPUTED_VALUE"""),1.1555555555555552)</f>
        <v>1.155555556</v>
      </c>
      <c r="S496" s="30">
        <f>IFERROR(__xludf.DUMMYFUNCTION("""COMPUTED_VALUE"""),2.844444444444443)</f>
        <v>2.844444444</v>
      </c>
      <c r="T496" s="30">
        <f>IFERROR(__xludf.DUMMYFUNCTION("""COMPUTED_VALUE"""),354.2992607613242)</f>
        <v>354.2992608</v>
      </c>
      <c r="U496" s="30">
        <f>IFERROR(__xludf.DUMMYFUNCTION("""COMPUTED_VALUE"""),0.831013966748934)</f>
        <v>0.8310139667</v>
      </c>
      <c r="V496" s="30">
        <f>IFERROR(__xludf.DUMMYFUNCTION("""COMPUTED_VALUE"""),0.5818603328689701)</f>
        <v>0.5818603329</v>
      </c>
      <c r="W496" s="30">
        <f>IFERROR(__xludf.DUMMYFUNCTION("""COMPUTED_VALUE"""),1.2812014249157362)</f>
        <v>1.281201425</v>
      </c>
      <c r="X496" s="30">
        <f>IFERROR(__xludf.DUMMYFUNCTION("""COMPUTED_VALUE"""),2.68697453140838)</f>
        <v>2.686974531</v>
      </c>
      <c r="Y496" s="30">
        <f>IFERROR(__xludf.DUMMYFUNCTION("""COMPUTED_VALUE"""),347.9474748338141)</f>
        <v>347.9474748</v>
      </c>
      <c r="Z496" s="30">
        <f>IFERROR(__xludf.DUMMYFUNCTION("""COMPUTED_VALUE"""),0.7591420678646864)</f>
        <v>0.7591420679</v>
      </c>
      <c r="AA496" s="30">
        <f>IFERROR(__xludf.DUMMYFUNCTION("""COMPUTED_VALUE"""),0.5561256773111086)</f>
        <v>0.5561256773</v>
      </c>
      <c r="AB496" s="30">
        <f>IFERROR(__xludf.DUMMYFUNCTION("""COMPUTED_VALUE"""),1.3604589871240906)</f>
        <v>1.360458987</v>
      </c>
      <c r="AC496" s="30">
        <f>IFERROR(__xludf.DUMMYFUNCTION("""COMPUTED_VALUE"""),2.5006004750280533)</f>
        <v>2.500600475</v>
      </c>
      <c r="AD496" s="30">
        <f>IFERROR(__xludf.DUMMYFUNCTION("""COMPUTED_VALUE"""),1.119038633209323)</f>
        <v>1.119038633</v>
      </c>
      <c r="AE496" s="30">
        <f>IFERROR(__xludf.DUMMYFUNCTION("""COMPUTED_VALUE"""),1.1416396263013395)</f>
        <v>1.141639626</v>
      </c>
      <c r="AF496" s="30">
        <f>IFERROR(__xludf.DUMMYFUNCTION("""COMPUTED_VALUE"""),1.1987697994633666)</f>
        <v>1.198769799</v>
      </c>
      <c r="AG496" s="30">
        <f>IFERROR(__xludf.DUMMYFUNCTION("""COMPUTED_VALUE"""),1.127070604733691)</f>
        <v>1.127070605</v>
      </c>
      <c r="AH496" s="30">
        <f>IFERROR(__xludf.DUMMYFUNCTION("""COMPUTED_VALUE"""),1.1997118411993999)</f>
        <v>1.199711841</v>
      </c>
      <c r="AI496" s="30">
        <f>IFERROR(__xludf.DUMMYFUNCTION("""COMPUTED_VALUE"""),0.9952666044645467)</f>
        <v>0.9952666045</v>
      </c>
      <c r="AJ496" s="30">
        <f>IFERROR(__xludf.DUMMYFUNCTION("""COMPUTED_VALUE"""),1.0696437418090232)</f>
        <v>1.069643742</v>
      </c>
      <c r="AK496" s="30">
        <f>IFERROR(__xludf.DUMMYFUNCTION("""COMPUTED_VALUE"""),1.0693669718886665)</f>
        <v>1.069366972</v>
      </c>
      <c r="AL496" s="30">
        <f>IFERROR(__xludf.DUMMYFUNCTION("""COMPUTED_VALUE"""),0.9019312132216489)</f>
        <v>0.9019312132</v>
      </c>
      <c r="AM496" s="30">
        <f>IFERROR(__xludf.DUMMYFUNCTION("""COMPUTED_VALUE"""),1.058604914633681)</f>
        <v>1.058604915</v>
      </c>
      <c r="AN496" s="30">
        <f>IFERROR(__xludf.DUMMYFUNCTION("""COMPUTED_VALUE"""),1.148774461649576)</f>
        <v>1.148774462</v>
      </c>
      <c r="AO496" s="30">
        <f>IFERROR(__xludf.DUMMYFUNCTION("""COMPUTED_VALUE"""),1.1796836665263037)</f>
        <v>1.179683667</v>
      </c>
      <c r="AP496" s="30">
        <f>IFERROR(__xludf.DUMMYFUNCTION("""COMPUTED_VALUE"""),1.1904254244131454)</f>
        <v>1.190425424</v>
      </c>
      <c r="AQ496" s="30">
        <f>IFERROR(__xludf.DUMMYFUNCTION("""COMPUTED_VALUE"""),1.170094765119788)</f>
        <v>1.170094765</v>
      </c>
      <c r="AR496" s="30">
        <f>IFERROR(__xludf.DUMMYFUNCTION("""COMPUTED_VALUE"""),1.2046520818336297)</f>
        <v>1.204652082</v>
      </c>
      <c r="AS496" s="30">
        <f>IFERROR(__xludf.DUMMYFUNCTION("""COMPUTED_VALUE"""),74.0)</f>
        <v>74</v>
      </c>
      <c r="AT496" s="30">
        <f>IFERROR(__xludf.DUMMYFUNCTION("""COMPUTED_VALUE"""),0.46887258408947546)</f>
        <v>0.4688725841</v>
      </c>
      <c r="AU496" s="30">
        <f>IFERROR(__xludf.DUMMYFUNCTION("""COMPUTED_VALUE"""),2.554434957192926)</f>
        <v>2.554434957</v>
      </c>
      <c r="AV496" s="32">
        <f>IFERROR(__xludf.DUMMYFUNCTION("""COMPUTED_VALUE"""),69.71738823650956)</f>
        <v>69.71738824</v>
      </c>
      <c r="AW496" s="32">
        <f>IFERROR(__xludf.DUMMYFUNCTION("""COMPUTED_VALUE"""),4.6480282745566885)</f>
        <v>4.648028275</v>
      </c>
      <c r="AX496" s="32">
        <f>IFERROR(__xludf.DUMMYFUNCTION("""COMPUTED_VALUE"""),63.694501956339444)</f>
        <v>63.69450196</v>
      </c>
      <c r="AY496" s="32">
        <f>IFERROR(__xludf.DUMMYFUNCTION("""COMPUTED_VALUE"""),3.4255789253995896)</f>
        <v>3.425578925</v>
      </c>
      <c r="AZ496" s="30">
        <f>IFERROR(__xludf.DUMMYFUNCTION("""COMPUTED_VALUE"""),1.222449349157099)</f>
        <v>1.222449349</v>
      </c>
      <c r="BA496" s="30">
        <f>IFERROR(__xludf.DUMMYFUNCTION("""COMPUTED_VALUE"""),1700.0)</f>
        <v>1700</v>
      </c>
    </row>
    <row r="497">
      <c r="A497" s="71" t="str">
        <f>IFERROR(__xludf.DUMMYFUNCTION("""COMPUTED_VALUE"""),"Rival")</f>
        <v>Rival</v>
      </c>
      <c r="B497" s="71" t="str">
        <f>IFERROR(__xludf.DUMMYFUNCTION("""COMPUTED_VALUE"""),"RSC007144")</f>
        <v>RSC007144</v>
      </c>
      <c r="C497" s="30" t="str">
        <f>IFERROR(__xludf.DUMMYFUNCTION("""COMPUTED_VALUE"""),"The_Killerwon")</f>
        <v>The_Killerwon</v>
      </c>
      <c r="D497" s="30" t="str">
        <f>IFERROR(__xludf.DUMMYFUNCTION("""COMPUTED_VALUE"""),"Wind")</f>
        <v>Wind</v>
      </c>
      <c r="E497" s="30">
        <f>IFERROR(__xludf.DUMMYFUNCTION("""COMPUTED_VALUE"""),32.0)</f>
        <v>32</v>
      </c>
      <c r="F497" s="30">
        <f>IFERROR(__xludf.DUMMYFUNCTION("""COMPUTED_VALUE"""),16.0)</f>
        <v>16</v>
      </c>
      <c r="G497" s="42">
        <f>IFERROR(__xludf.DUMMYFUNCTION("""COMPUTED_VALUE"""),16.0)</f>
        <v>16</v>
      </c>
      <c r="H497" s="42">
        <f>IFERROR(__xludf.DUMMYFUNCTION("""COMPUTED_VALUE"""),0.5)</f>
        <v>0.5</v>
      </c>
      <c r="I497" s="42">
        <f>IFERROR(__xludf.DUMMYFUNCTION("""COMPUTED_VALUE"""),0.358974358974359)</f>
        <v>0.358974359</v>
      </c>
      <c r="J497" s="30">
        <f>IFERROR(__xludf.DUMMYFUNCTION("""COMPUTED_VALUE"""),338.125)</f>
        <v>338.125</v>
      </c>
      <c r="K497" s="30">
        <f>IFERROR(__xludf.DUMMYFUNCTION("""COMPUTED_VALUE"""),0.875)</f>
        <v>0.875</v>
      </c>
      <c r="L497" s="30">
        <f>IFERROR(__xludf.DUMMYFUNCTION("""COMPUTED_VALUE"""),0.4375)</f>
        <v>0.4375</v>
      </c>
      <c r="M497" s="30">
        <f>IFERROR(__xludf.DUMMYFUNCTION("""COMPUTED_VALUE"""),1.28125)</f>
        <v>1.28125</v>
      </c>
      <c r="N497" s="30">
        <f>IFERROR(__xludf.DUMMYFUNCTION("""COMPUTED_VALUE"""),2.4375)</f>
        <v>2.4375</v>
      </c>
      <c r="O497" s="30">
        <f>IFERROR(__xludf.DUMMYFUNCTION("""COMPUTED_VALUE"""),376.3854166666667)</f>
        <v>376.3854167</v>
      </c>
      <c r="P497" s="30">
        <f>IFERROR(__xludf.DUMMYFUNCTION("""COMPUTED_VALUE"""),0.8854166666666666)</f>
        <v>0.8854166667</v>
      </c>
      <c r="Q497" s="30">
        <f>IFERROR(__xludf.DUMMYFUNCTION("""COMPUTED_VALUE"""),0.6562500000000001)</f>
        <v>0.65625</v>
      </c>
      <c r="R497" s="30">
        <f>IFERROR(__xludf.DUMMYFUNCTION("""COMPUTED_VALUE"""),1.4375)</f>
        <v>1.4375</v>
      </c>
      <c r="S497" s="30">
        <f>IFERROR(__xludf.DUMMYFUNCTION("""COMPUTED_VALUE"""),2.7604166666666665)</f>
        <v>2.760416667</v>
      </c>
      <c r="T497" s="30">
        <f>IFERROR(__xludf.DUMMYFUNCTION("""COMPUTED_VALUE"""),353.21568080043477)</f>
        <v>353.2156808</v>
      </c>
      <c r="U497" s="30">
        <f>IFERROR(__xludf.DUMMYFUNCTION("""COMPUTED_VALUE"""),0.8314543429020648)</f>
        <v>0.8314543429</v>
      </c>
      <c r="V497" s="30">
        <f>IFERROR(__xludf.DUMMYFUNCTION("""COMPUTED_VALUE"""),0.5531754307655752)</f>
        <v>0.5531754308</v>
      </c>
      <c r="W497" s="30">
        <f>IFERROR(__xludf.DUMMYFUNCTION("""COMPUTED_VALUE"""),1.3428492124313498)</f>
        <v>1.342849212</v>
      </c>
      <c r="X497" s="30">
        <f>IFERROR(__xludf.DUMMYFUNCTION("""COMPUTED_VALUE"""),2.6956774002593136)</f>
        <v>2.6956774</v>
      </c>
      <c r="Y497" s="30">
        <f>IFERROR(__xludf.DUMMYFUNCTION("""COMPUTED_VALUE"""),353.8091560960509)</f>
        <v>353.8091561</v>
      </c>
      <c r="Z497" s="30">
        <f>IFERROR(__xludf.DUMMYFUNCTION("""COMPUTED_VALUE"""),0.8279108663101292)</f>
        <v>0.8279108663</v>
      </c>
      <c r="AA497" s="30">
        <f>IFERROR(__xludf.DUMMYFUNCTION("""COMPUTED_VALUE"""),0.5806548361106761)</f>
        <v>0.5806548361</v>
      </c>
      <c r="AB497" s="30">
        <f>IFERROR(__xludf.DUMMYFUNCTION("""COMPUTED_VALUE"""),1.3588875940398224)</f>
        <v>1.358887594</v>
      </c>
      <c r="AC497" s="30">
        <f>IFERROR(__xludf.DUMMYFUNCTION("""COMPUTED_VALUE"""),2.6324007791041346)</f>
        <v>2.632400779</v>
      </c>
      <c r="AD497" s="30">
        <f>IFERROR(__xludf.DUMMYFUNCTION("""COMPUTED_VALUE"""),0.9556705759989065)</f>
        <v>0.955670576</v>
      </c>
      <c r="AE497" s="30">
        <f>IFERROR(__xludf.DUMMYFUNCTION("""COMPUTED_VALUE"""),1.056877057188221)</f>
        <v>1.056877057</v>
      </c>
      <c r="AF497" s="30">
        <f>IFERROR(__xludf.DUMMYFUNCTION("""COMPUTED_VALUE"""),0.753459667933619)</f>
        <v>0.7534596679</v>
      </c>
      <c r="AG497" s="30">
        <f>IFERROR(__xludf.DUMMYFUNCTION("""COMPUTED_VALUE"""),0.9428668019486333)</f>
        <v>0.9428668019</v>
      </c>
      <c r="AH497" s="30">
        <f>IFERROR(__xludf.DUMMYFUNCTION("""COMPUTED_VALUE"""),0.9259608260826971)</f>
        <v>0.9259608261</v>
      </c>
      <c r="AI497" s="30">
        <f>IFERROR(__xludf.DUMMYFUNCTION("""COMPUTED_VALUE"""),1.0655965664200586)</f>
        <v>1.065596566</v>
      </c>
      <c r="AJ497" s="30">
        <f>IFERROR(__xludf.DUMMYFUNCTION("""COMPUTED_VALUE"""),1.0649011268330797)</f>
        <v>1.064901127</v>
      </c>
      <c r="AK497" s="30">
        <f>IFERROR(__xludf.DUMMYFUNCTION("""COMPUTED_VALUE"""),1.186332514970474)</f>
        <v>1.186332515</v>
      </c>
      <c r="AL497" s="30">
        <f>IFERROR(__xludf.DUMMYFUNCTION("""COMPUTED_VALUE"""),1.0704850452995214)</f>
        <v>1.070485045</v>
      </c>
      <c r="AM497" s="30">
        <f>IFERROR(__xludf.DUMMYFUNCTION("""COMPUTED_VALUE"""),1.0240159547285315)</f>
        <v>1.024015955</v>
      </c>
      <c r="AN497" s="30">
        <f>IFERROR(__xludf.DUMMYFUNCTION("""COMPUTED_VALUE"""),0.9975927527915321)</f>
        <v>0.9975927528</v>
      </c>
      <c r="AO497" s="30">
        <f>IFERROR(__xludf.DUMMYFUNCTION("""COMPUTED_VALUE"""),1.191026778704441)</f>
        <v>1.191026779</v>
      </c>
      <c r="AP497" s="30">
        <f>IFERROR(__xludf.DUMMYFUNCTION("""COMPUTED_VALUE"""),0.7812166847711267)</f>
        <v>0.7812166848</v>
      </c>
      <c r="AQ497" s="30">
        <f>IFERROR(__xludf.DUMMYFUNCTION("""COMPUTED_VALUE"""),0.9777286420498228)</f>
        <v>0.977728642</v>
      </c>
      <c r="AR497" s="30">
        <f>IFERROR(__xludf.DUMMYFUNCTION("""COMPUTED_VALUE"""),0.9787798164898242)</f>
        <v>0.9787798165</v>
      </c>
      <c r="AS497" s="30">
        <f>IFERROR(__xludf.DUMMYFUNCTION("""COMPUTED_VALUE"""),83.0)</f>
        <v>83</v>
      </c>
      <c r="AT497" s="30">
        <f>IFERROR(__xludf.DUMMYFUNCTION("""COMPUTED_VALUE"""),0.49042047866395627)</f>
        <v>0.4904204787</v>
      </c>
      <c r="AU497" s="30">
        <f>IFERROR(__xludf.DUMMYFUNCTION("""COMPUTED_VALUE"""),1.8947617355761435)</f>
        <v>1.894761736</v>
      </c>
      <c r="AV497" s="32">
        <f>IFERROR(__xludf.DUMMYFUNCTION("""COMPUTED_VALUE"""),46.415045599135844)</f>
        <v>46.4150456</v>
      </c>
      <c r="AW497" s="32">
        <f>IFERROR(__xludf.DUMMYFUNCTION("""COMPUTED_VALUE"""),-2.2573981963297776)</f>
        <v>-2.257398196</v>
      </c>
      <c r="AX497" s="32">
        <f>IFERROR(__xludf.DUMMYFUNCTION("""COMPUTED_VALUE"""),36.20776927892857)</f>
        <v>36.20776928</v>
      </c>
      <c r="AY497" s="32">
        <f>IFERROR(__xludf.DUMMYFUNCTION("""COMPUTED_VALUE"""),-3.4413854318592456)</f>
        <v>-3.441385432</v>
      </c>
      <c r="AZ497" s="30">
        <f>IFERROR(__xludf.DUMMYFUNCTION("""COMPUTED_VALUE"""),1.183987235529468)</f>
        <v>1.183987236</v>
      </c>
      <c r="BA497" s="30">
        <f>IFERROR(__xludf.DUMMYFUNCTION("""COMPUTED_VALUE"""),1700.0)</f>
        <v>1700</v>
      </c>
    </row>
    <row r="498">
      <c r="A498" s="71" t="str">
        <f>IFERROR(__xludf.DUMMYFUNCTION("""COMPUTED_VALUE"""),"Rival")</f>
        <v>Rival</v>
      </c>
      <c r="B498" s="71" t="str">
        <f>IFERROR(__xludf.DUMMYFUNCTION("""COMPUTED_VALUE"""),"RSC007222")</f>
        <v>RSC007222</v>
      </c>
      <c r="C498" s="30" t="str">
        <f>IFERROR(__xludf.DUMMYFUNCTION("""COMPUTED_VALUE"""),"S3EZ")</f>
        <v>S3EZ</v>
      </c>
      <c r="D498" s="30" t="str">
        <f>IFERROR(__xludf.DUMMYFUNCTION("""COMPUTED_VALUE"""),"Ostriches")</f>
        <v>Ostriches</v>
      </c>
      <c r="E498" s="30">
        <f>IFERROR(__xludf.DUMMYFUNCTION("""COMPUTED_VALUE"""),12.0)</f>
        <v>12</v>
      </c>
      <c r="F498" s="30">
        <f>IFERROR(__xludf.DUMMYFUNCTION("""COMPUTED_VALUE"""),6.0)</f>
        <v>6</v>
      </c>
      <c r="G498" s="42">
        <f>IFERROR(__xludf.DUMMYFUNCTION("""COMPUTED_VALUE"""),6.0)</f>
        <v>6</v>
      </c>
      <c r="H498" s="42">
        <f>IFERROR(__xludf.DUMMYFUNCTION("""COMPUTED_VALUE"""),0.5)</f>
        <v>0.5</v>
      </c>
      <c r="I498" s="42">
        <f>IFERROR(__xludf.DUMMYFUNCTION("""COMPUTED_VALUE"""),0.0967741935483871)</f>
        <v>0.09677419355</v>
      </c>
      <c r="J498" s="30">
        <f>IFERROR(__xludf.DUMMYFUNCTION("""COMPUTED_VALUE"""),292.4166666666667)</f>
        <v>292.4166667</v>
      </c>
      <c r="K498" s="30">
        <f>IFERROR(__xludf.DUMMYFUNCTION("""COMPUTED_VALUE"""),0.25)</f>
        <v>0.25</v>
      </c>
      <c r="L498" s="30">
        <f>IFERROR(__xludf.DUMMYFUNCTION("""COMPUTED_VALUE"""),0.75)</f>
        <v>0.75</v>
      </c>
      <c r="M498" s="30">
        <f>IFERROR(__xludf.DUMMYFUNCTION("""COMPUTED_VALUE"""),1.3333333333333333)</f>
        <v>1.333333333</v>
      </c>
      <c r="N498" s="30">
        <f>IFERROR(__xludf.DUMMYFUNCTION("""COMPUTED_VALUE"""),2.5833333333333335)</f>
        <v>2.583333333</v>
      </c>
      <c r="O498" s="30">
        <f>IFERROR(__xludf.DUMMYFUNCTION("""COMPUTED_VALUE"""),352.4444444444444)</f>
        <v>352.4444444</v>
      </c>
      <c r="P498" s="30">
        <f>IFERROR(__xludf.DUMMYFUNCTION("""COMPUTED_VALUE"""),0.6944444444444443)</f>
        <v>0.6944444444</v>
      </c>
      <c r="Q498" s="30">
        <f>IFERROR(__xludf.DUMMYFUNCTION("""COMPUTED_VALUE"""),0.5833333333333334)</f>
        <v>0.5833333333</v>
      </c>
      <c r="R498" s="30">
        <f>IFERROR(__xludf.DUMMYFUNCTION("""COMPUTED_VALUE"""),1.3055555555555556)</f>
        <v>1.305555556</v>
      </c>
      <c r="S498" s="30">
        <f>IFERROR(__xludf.DUMMYFUNCTION("""COMPUTED_VALUE"""),2.194444444444444)</f>
        <v>2.194444444</v>
      </c>
      <c r="T498" s="30">
        <f>IFERROR(__xludf.DUMMYFUNCTION("""COMPUTED_VALUE"""),346.4824780253554)</f>
        <v>346.482478</v>
      </c>
      <c r="U498" s="30">
        <f>IFERROR(__xludf.DUMMYFUNCTION("""COMPUTED_VALUE"""),0.6928714273126433)</f>
        <v>0.6928714273</v>
      </c>
      <c r="V498" s="30">
        <f>IFERROR(__xludf.DUMMYFUNCTION("""COMPUTED_VALUE"""),0.6464569354542078)</f>
        <v>0.6464569355</v>
      </c>
      <c r="W498" s="30">
        <f>IFERROR(__xludf.DUMMYFUNCTION("""COMPUTED_VALUE"""),1.3601020307248566)</f>
        <v>1.360102031</v>
      </c>
      <c r="X498" s="30">
        <f>IFERROR(__xludf.DUMMYFUNCTION("""COMPUTED_VALUE"""),2.348654070010213)</f>
        <v>2.34865407</v>
      </c>
      <c r="Y498" s="30">
        <f>IFERROR(__xludf.DUMMYFUNCTION("""COMPUTED_VALUE"""),335.16433274744037)</f>
        <v>335.1643327</v>
      </c>
      <c r="Z498" s="30">
        <f>IFERROR(__xludf.DUMMYFUNCTION("""COMPUTED_VALUE"""),0.7090653581587589)</f>
        <v>0.7090653582</v>
      </c>
      <c r="AA498" s="30">
        <f>IFERROR(__xludf.DUMMYFUNCTION("""COMPUTED_VALUE"""),0.533364331554098)</f>
        <v>0.5333643316</v>
      </c>
      <c r="AB498" s="30">
        <f>IFERROR(__xludf.DUMMYFUNCTION("""COMPUTED_VALUE"""),1.2182142292083917)</f>
        <v>1.218214229</v>
      </c>
      <c r="AC498" s="30">
        <f>IFERROR(__xludf.DUMMYFUNCTION("""COMPUTED_VALUE"""),2.489112732725689)</f>
        <v>2.489112733</v>
      </c>
      <c r="AD498" s="30">
        <f>IFERROR(__xludf.DUMMYFUNCTION("""COMPUTED_VALUE"""),0.8724575919807501)</f>
        <v>0.872457592</v>
      </c>
      <c r="AE498" s="30">
        <f>IFERROR(__xludf.DUMMYFUNCTION("""COMPUTED_VALUE"""),0.3525768070931838)</f>
        <v>0.3525768071</v>
      </c>
      <c r="AF498" s="30">
        <f>IFERROR(__xludf.DUMMYFUNCTION("""COMPUTED_VALUE"""),1.4061682711603092)</f>
        <v>1.406168271</v>
      </c>
      <c r="AG498" s="30">
        <f>IFERROR(__xludf.DUMMYFUNCTION("""COMPUTED_VALUE"""),1.0944982428909462)</f>
        <v>1.094498243</v>
      </c>
      <c r="AH498" s="30">
        <f>IFERROR(__xludf.DUMMYFUNCTION("""COMPUTED_VALUE"""),1.0378530869128089)</f>
        <v>1.037853087</v>
      </c>
      <c r="AI498" s="30">
        <f>IFERROR(__xludf.DUMMYFUNCTION("""COMPUTED_VALUE"""),1.017207122429587)</f>
        <v>1.017207122</v>
      </c>
      <c r="AJ498" s="30">
        <f>IFERROR(__xludf.DUMMYFUNCTION("""COMPUTED_VALUE"""),1.0022702871987406)</f>
        <v>1.002270287</v>
      </c>
      <c r="AK498" s="30">
        <f>IFERROR(__xludf.DUMMYFUNCTION("""COMPUTED_VALUE"""),0.902354513256907)</f>
        <v>0.9023545133</v>
      </c>
      <c r="AL498" s="30">
        <f>IFERROR(__xludf.DUMMYFUNCTION("""COMPUTED_VALUE"""),0.9598953064276871)</f>
        <v>0.9598953064</v>
      </c>
      <c r="AM498" s="30">
        <f>IFERROR(__xludf.DUMMYFUNCTION("""COMPUTED_VALUE"""),0.9343412776130551)</f>
        <v>0.9343412776</v>
      </c>
      <c r="AN498" s="30">
        <f>IFERROR(__xludf.DUMMYFUNCTION("""COMPUTED_VALUE"""),0.8627364065423258)</f>
        <v>0.8627364065</v>
      </c>
      <c r="AO498" s="30">
        <f>IFERROR(__xludf.DUMMYFUNCTION("""COMPUTED_VALUE"""),0.3402933653441261)</f>
        <v>0.3402933653</v>
      </c>
      <c r="AP498" s="30">
        <f>IFERROR(__xludf.DUMMYFUNCTION("""COMPUTED_VALUE"""),1.3392286024647886)</f>
        <v>1.339228602</v>
      </c>
      <c r="AQ498" s="30">
        <f>IFERROR(__xludf.DUMMYFUNCTION("""COMPUTED_VALUE"""),1.0174737087998156)</f>
        <v>1.017473709</v>
      </c>
      <c r="AR498" s="30">
        <f>IFERROR(__xludf.DUMMYFUNCTION("""COMPUTED_VALUE"""),1.03733929269007)</f>
        <v>1.037339293</v>
      </c>
      <c r="AS498" s="30">
        <f>IFERROR(__xludf.DUMMYFUNCTION("""COMPUTED_VALUE"""),28.0)</f>
        <v>28</v>
      </c>
      <c r="AT498" s="30">
        <f>IFERROR(__xludf.DUMMYFUNCTION("""COMPUTED_VALUE"""),0.5432846166550142)</f>
        <v>0.5432846167</v>
      </c>
      <c r="AU498" s="30">
        <f>IFERROR(__xludf.DUMMYFUNCTION("""COMPUTED_VALUE"""),1.6235170053966228)</f>
        <v>1.623517005</v>
      </c>
      <c r="AV498" s="32">
        <f>IFERROR(__xludf.DUMMYFUNCTION("""COMPUTED_VALUE"""),36.83357793589794)</f>
        <v>36.83357794</v>
      </c>
      <c r="AW498" s="32">
        <f>IFERROR(__xludf.DUMMYFUNCTION("""COMPUTED_VALUE"""),-3.3420679226702306)</f>
        <v>-3.342067923</v>
      </c>
      <c r="AX498" s="32">
        <f>IFERROR(__xludf.DUMMYFUNCTION("""COMPUTED_VALUE"""),46.16537084772127)</f>
        <v>46.16537085</v>
      </c>
      <c r="AY498" s="32">
        <f>IFERROR(__xludf.DUMMYFUNCTION("""COMPUTED_VALUE"""),-2.27765907185329)</f>
        <v>-2.277659072</v>
      </c>
      <c r="AZ498" s="30">
        <f>IFERROR(__xludf.DUMMYFUNCTION("""COMPUTED_VALUE"""),1.0644088508169407)</f>
        <v>1.064408851</v>
      </c>
      <c r="BA498" s="30">
        <f>IFERROR(__xludf.DUMMYFUNCTION("""COMPUTED_VALUE"""),1700.0)</f>
        <v>1700</v>
      </c>
    </row>
    <row r="499">
      <c r="A499" s="71" t="str">
        <f>IFERROR(__xludf.DUMMYFUNCTION("""COMPUTED_VALUE"""),"Rival")</f>
        <v>Rival</v>
      </c>
      <c r="B499" s="71" t="str">
        <f>IFERROR(__xludf.DUMMYFUNCTION("""COMPUTED_VALUE"""),"RSC003239")</f>
        <v>RSC003239</v>
      </c>
      <c r="C499" s="30" t="str">
        <f>IFERROR(__xludf.DUMMYFUNCTION("""COMPUTED_VALUE"""),"Wallaby Gangsta")</f>
        <v>Wallaby Gangsta</v>
      </c>
      <c r="D499" s="30" t="str">
        <f>IFERROR(__xludf.DUMMYFUNCTION("""COMPUTED_VALUE"""),"Polar Bears")</f>
        <v>Polar Bears</v>
      </c>
      <c r="E499" s="30">
        <f>IFERROR(__xludf.DUMMYFUNCTION("""COMPUTED_VALUE"""),36.0)</f>
        <v>36</v>
      </c>
      <c r="F499" s="30">
        <f>IFERROR(__xludf.DUMMYFUNCTION("""COMPUTED_VALUE"""),14.0)</f>
        <v>14</v>
      </c>
      <c r="G499" s="42">
        <f>IFERROR(__xludf.DUMMYFUNCTION("""COMPUTED_VALUE"""),22.0)</f>
        <v>22</v>
      </c>
      <c r="H499" s="42">
        <f>IFERROR(__xludf.DUMMYFUNCTION("""COMPUTED_VALUE"""),0.3888888888888889)</f>
        <v>0.3888888889</v>
      </c>
      <c r="I499" s="42">
        <f>IFERROR(__xludf.DUMMYFUNCTION("""COMPUTED_VALUE"""),0.30208333333333337)</f>
        <v>0.3020833333</v>
      </c>
      <c r="J499" s="30">
        <f>IFERROR(__xludf.DUMMYFUNCTION("""COMPUTED_VALUE"""),344.6111111111111)</f>
        <v>344.6111111</v>
      </c>
      <c r="K499" s="30">
        <f>IFERROR(__xludf.DUMMYFUNCTION("""COMPUTED_VALUE"""),0.8055555555555556)</f>
        <v>0.8055555556</v>
      </c>
      <c r="L499" s="30">
        <f>IFERROR(__xludf.DUMMYFUNCTION("""COMPUTED_VALUE"""),0.75)</f>
        <v>0.75</v>
      </c>
      <c r="M499" s="30">
        <f>IFERROR(__xludf.DUMMYFUNCTION("""COMPUTED_VALUE"""),1.0277777777777777)</f>
        <v>1.027777778</v>
      </c>
      <c r="N499" s="30">
        <f>IFERROR(__xludf.DUMMYFUNCTION("""COMPUTED_VALUE"""),2.6666666666666665)</f>
        <v>2.666666667</v>
      </c>
      <c r="O499" s="30">
        <f>IFERROR(__xludf.DUMMYFUNCTION("""COMPUTED_VALUE"""),370.3425925925925)</f>
        <v>370.3425926</v>
      </c>
      <c r="P499" s="30">
        <f>IFERROR(__xludf.DUMMYFUNCTION("""COMPUTED_VALUE"""),0.8981481481481483)</f>
        <v>0.8981481481</v>
      </c>
      <c r="Q499" s="30">
        <f>IFERROR(__xludf.DUMMYFUNCTION("""COMPUTED_VALUE"""),0.6574074074074074)</f>
        <v>0.6574074074</v>
      </c>
      <c r="R499" s="30">
        <f>IFERROR(__xludf.DUMMYFUNCTION("""COMPUTED_VALUE"""),1.351851851851852)</f>
        <v>1.351851852</v>
      </c>
      <c r="S499" s="30">
        <f>IFERROR(__xludf.DUMMYFUNCTION("""COMPUTED_VALUE"""),2.546296296296296)</f>
        <v>2.546296296</v>
      </c>
      <c r="T499" s="30">
        <f>IFERROR(__xludf.DUMMYFUNCTION("""COMPUTED_VALUE"""),356.55846201719305)</f>
        <v>356.558462</v>
      </c>
      <c r="U499" s="30">
        <f>IFERROR(__xludf.DUMMYFUNCTION("""COMPUTED_VALUE"""),0.8219120918556841)</f>
        <v>0.8219120919</v>
      </c>
      <c r="V499" s="30">
        <f>IFERROR(__xludf.DUMMYFUNCTION("""COMPUTED_VALUE"""),0.6020148954286922)</f>
        <v>0.6020148954</v>
      </c>
      <c r="W499" s="30">
        <f>IFERROR(__xludf.DUMMYFUNCTION("""COMPUTED_VALUE"""),1.3086039643254634)</f>
        <v>1.308603964</v>
      </c>
      <c r="X499" s="30">
        <f>IFERROR(__xludf.DUMMYFUNCTION("""COMPUTED_VALUE"""),2.5880771196723216)</f>
        <v>2.58807712</v>
      </c>
      <c r="Y499" s="30">
        <f>IFERROR(__xludf.DUMMYFUNCTION("""COMPUTED_VALUE"""),334.5911337743442)</f>
        <v>334.5911338</v>
      </c>
      <c r="Z499" s="30">
        <f>IFERROR(__xludf.DUMMYFUNCTION("""COMPUTED_VALUE"""),0.7056675015037127)</f>
        <v>0.7056675015</v>
      </c>
      <c r="AA499" s="30">
        <f>IFERROR(__xludf.DUMMYFUNCTION("""COMPUTED_VALUE"""),0.5199638567606272)</f>
        <v>0.5199638568</v>
      </c>
      <c r="AB499" s="30">
        <f>IFERROR(__xludf.DUMMYFUNCTION("""COMPUTED_VALUE"""),1.276545286502958)</f>
        <v>1.276545287</v>
      </c>
      <c r="AC499" s="30">
        <f>IFERROR(__xludf.DUMMYFUNCTION("""COMPUTED_VALUE"""),2.455570668974632)</f>
        <v>2.455570669</v>
      </c>
      <c r="AD499" s="30">
        <f>IFERROR(__xludf.DUMMYFUNCTION("""COMPUTED_VALUE"""),1.029946930224172)</f>
        <v>1.02994693</v>
      </c>
      <c r="AE499" s="30">
        <f>IFERROR(__xludf.DUMMYFUNCTION("""COMPUTED_VALUE"""),1.1415511609065043)</f>
        <v>1.141551161</v>
      </c>
      <c r="AF499" s="30">
        <f>IFERROR(__xludf.DUMMYFUNCTION("""COMPUTED_VALUE"""),1.4424079486456947)</f>
        <v>1.442407949</v>
      </c>
      <c r="AG499" s="30">
        <f>IFERROR(__xludf.DUMMYFUNCTION("""COMPUTED_VALUE"""),0.8051244155961998)</f>
        <v>0.8051244156</v>
      </c>
      <c r="AH499" s="30">
        <f>IFERROR(__xludf.DUMMYFUNCTION("""COMPUTED_VALUE"""),1.0859661667893197)</f>
        <v>1.085966167</v>
      </c>
      <c r="AI499" s="30">
        <f>IFERROR(__xludf.DUMMYFUNCTION("""COMPUTED_VALUE"""),1.038658823289222)</f>
        <v>1.038658823</v>
      </c>
      <c r="AJ499" s="30">
        <f>IFERROR(__xludf.DUMMYFUNCTION("""COMPUTED_VALUE"""),1.0927545135883583)</f>
        <v>1.092754514</v>
      </c>
      <c r="AK499" s="30">
        <f>IFERROR(__xludf.DUMMYFUNCTION("""COMPUTED_VALUE"""),1.0920118628281954)</f>
        <v>1.092011863</v>
      </c>
      <c r="AL499" s="30">
        <f>IFERROR(__xludf.DUMMYFUNCTION("""COMPUTED_VALUE"""),1.0330488739950296)</f>
        <v>1.033048874</v>
      </c>
      <c r="AM499" s="30">
        <f>IFERROR(__xludf.DUMMYFUNCTION("""COMPUTED_VALUE"""),0.9838564225700833)</f>
        <v>0.9838564226</v>
      </c>
      <c r="AN499" s="30">
        <f>IFERROR(__xludf.DUMMYFUNCTION("""COMPUTED_VALUE"""),1.0167291592632366)</f>
        <v>1.016729159</v>
      </c>
      <c r="AO499" s="30">
        <f>IFERROR(__xludf.DUMMYFUNCTION("""COMPUTED_VALUE"""),1.0965008438866284)</f>
        <v>1.096500844</v>
      </c>
      <c r="AP499" s="30">
        <f>IFERROR(__xludf.DUMMYFUNCTION("""COMPUTED_VALUE"""),1.3392286024647886)</f>
        <v>1.339228602</v>
      </c>
      <c r="AQ499" s="30">
        <f>IFERROR(__xludf.DUMMYFUNCTION("""COMPUTED_VALUE"""),0.784302650533191)</f>
        <v>0.7843026505</v>
      </c>
      <c r="AR499" s="30">
        <f>IFERROR(__xludf.DUMMYFUNCTION("""COMPUTED_VALUE"""),1.070801850518782)</f>
        <v>1.070801851</v>
      </c>
      <c r="AS499" s="30">
        <f>IFERROR(__xludf.DUMMYFUNCTION("""COMPUTED_VALUE"""),85.0)</f>
        <v>85</v>
      </c>
      <c r="AT499" s="30">
        <f>IFERROR(__xludf.DUMMYFUNCTION("""COMPUTED_VALUE"""),0.4476283546234581)</f>
        <v>0.4476283546</v>
      </c>
      <c r="AU499" s="30">
        <f>IFERROR(__xludf.DUMMYFUNCTION("""COMPUTED_VALUE"""),2.427572973746625)</f>
        <v>2.427572974</v>
      </c>
      <c r="AV499" s="32">
        <f>IFERROR(__xludf.DUMMYFUNCTION("""COMPUTED_VALUE"""),65.23610673371144)</f>
        <v>65.23610673</v>
      </c>
      <c r="AW499" s="32">
        <f>IFERROR(__xludf.DUMMYFUNCTION("""COMPUTED_VALUE"""),3.6884716664410733)</f>
        <v>3.688471666</v>
      </c>
      <c r="AX499" s="32">
        <f>IFERROR(__xludf.DUMMYFUNCTION("""COMPUTED_VALUE"""),57.86303845172192)</f>
        <v>57.86303845</v>
      </c>
      <c r="AY499" s="32">
        <f>IFERROR(__xludf.DUMMYFUNCTION("""COMPUTED_VALUE"""),2.655601797860338)</f>
        <v>2.655601798</v>
      </c>
      <c r="AZ499" s="30">
        <f>IFERROR(__xludf.DUMMYFUNCTION("""COMPUTED_VALUE"""),1.0328698685807352)</f>
        <v>1.032869869</v>
      </c>
      <c r="BA499" s="30">
        <f>IFERROR(__xludf.DUMMYFUNCTION("""COMPUTED_VALUE"""),1700.0)</f>
        <v>1700</v>
      </c>
    </row>
    <row r="500">
      <c r="A500" s="71" t="str">
        <f>IFERROR(__xludf.DUMMYFUNCTION("""COMPUTED_VALUE"""),"Rival")</f>
        <v>Rival</v>
      </c>
      <c r="B500" s="71" t="str">
        <f>IFERROR(__xludf.DUMMYFUNCTION("""COMPUTED_VALUE"""),"RSC005276")</f>
        <v>RSC005276</v>
      </c>
      <c r="C500" s="30" t="str">
        <f>IFERROR(__xludf.DUMMYFUNCTION("""COMPUTED_VALUE"""),"Dc")</f>
        <v>Dc</v>
      </c>
      <c r="D500" s="30" t="str">
        <f>IFERROR(__xludf.DUMMYFUNCTION("""COMPUTED_VALUE"""),"Hippos")</f>
        <v>Hippos</v>
      </c>
      <c r="E500" s="30">
        <f>IFERROR(__xludf.DUMMYFUNCTION("""COMPUTED_VALUE"""),28.0)</f>
        <v>28</v>
      </c>
      <c r="F500" s="30">
        <f>IFERROR(__xludf.DUMMYFUNCTION("""COMPUTED_VALUE"""),11.0)</f>
        <v>11</v>
      </c>
      <c r="G500" s="42">
        <f>IFERROR(__xludf.DUMMYFUNCTION("""COMPUTED_VALUE"""),17.0)</f>
        <v>17</v>
      </c>
      <c r="H500" s="42">
        <f>IFERROR(__xludf.DUMMYFUNCTION("""COMPUTED_VALUE"""),0.39285714285714285)</f>
        <v>0.3928571429</v>
      </c>
      <c r="I500" s="42">
        <f>IFERROR(__xludf.DUMMYFUNCTION("""COMPUTED_VALUE"""),0.35294117647058826)</f>
        <v>0.3529411765</v>
      </c>
      <c r="J500" s="30">
        <f>IFERROR(__xludf.DUMMYFUNCTION("""COMPUTED_VALUE"""),336.85714285714283)</f>
        <v>336.8571429</v>
      </c>
      <c r="K500" s="30">
        <f>IFERROR(__xludf.DUMMYFUNCTION("""COMPUTED_VALUE"""),0.8571428571428571)</f>
        <v>0.8571428571</v>
      </c>
      <c r="L500" s="30">
        <f>IFERROR(__xludf.DUMMYFUNCTION("""COMPUTED_VALUE"""),0.39285714285714285)</f>
        <v>0.3928571429</v>
      </c>
      <c r="M500" s="30">
        <f>IFERROR(__xludf.DUMMYFUNCTION("""COMPUTED_VALUE"""),1.1785714285714286)</f>
        <v>1.178571429</v>
      </c>
      <c r="N500" s="30">
        <f>IFERROR(__xludf.DUMMYFUNCTION("""COMPUTED_VALUE"""),2.4285714285714284)</f>
        <v>2.428571429</v>
      </c>
      <c r="O500" s="30">
        <f>IFERROR(__xludf.DUMMYFUNCTION("""COMPUTED_VALUE"""),387.6785714285713)</f>
        <v>387.6785714</v>
      </c>
      <c r="P500" s="30">
        <f>IFERROR(__xludf.DUMMYFUNCTION("""COMPUTED_VALUE"""),0.9642857142857141)</f>
        <v>0.9642857143</v>
      </c>
      <c r="Q500" s="30">
        <f>IFERROR(__xludf.DUMMYFUNCTION("""COMPUTED_VALUE"""),0.7380952380952381)</f>
        <v>0.7380952381</v>
      </c>
      <c r="R500" s="30">
        <f>IFERROR(__xludf.DUMMYFUNCTION("""COMPUTED_VALUE"""),1.3333333333333337)</f>
        <v>1.333333333</v>
      </c>
      <c r="S500" s="30">
        <f>IFERROR(__xludf.DUMMYFUNCTION("""COMPUTED_VALUE"""),2.8214285714285716)</f>
        <v>2.821428571</v>
      </c>
      <c r="T500" s="30">
        <f>IFERROR(__xludf.DUMMYFUNCTION("""COMPUTED_VALUE"""),352.1367349608841)</f>
        <v>352.136735</v>
      </c>
      <c r="U500" s="30">
        <f>IFERROR(__xludf.DUMMYFUNCTION("""COMPUTED_VALUE"""),0.8306753206333036)</f>
        <v>0.8306753206</v>
      </c>
      <c r="V500" s="30">
        <f>IFERROR(__xludf.DUMMYFUNCTION("""COMPUTED_VALUE"""),0.6507990818705106)</f>
        <v>0.6507990819</v>
      </c>
      <c r="W500" s="30">
        <f>IFERROR(__xludf.DUMMYFUNCTION("""COMPUTED_VALUE"""),1.2021768365465848)</f>
        <v>1.202176837</v>
      </c>
      <c r="X500" s="30">
        <f>IFERROR(__xludf.DUMMYFUNCTION("""COMPUTED_VALUE"""),2.560059613977682)</f>
        <v>2.560059614</v>
      </c>
      <c r="Y500" s="30">
        <f>IFERROR(__xludf.DUMMYFUNCTION("""COMPUTED_VALUE"""),338.5596690644658)</f>
        <v>338.5596691</v>
      </c>
      <c r="Z500" s="30">
        <f>IFERROR(__xludf.DUMMYFUNCTION("""COMPUTED_VALUE"""),0.7145118938536303)</f>
        <v>0.7145118939</v>
      </c>
      <c r="AA500" s="30">
        <f>IFERROR(__xludf.DUMMYFUNCTION("""COMPUTED_VALUE"""),0.49624591289507264)</f>
        <v>0.4962459129</v>
      </c>
      <c r="AB500" s="30">
        <f>IFERROR(__xludf.DUMMYFUNCTION("""COMPUTED_VALUE"""),1.3589667270689674)</f>
        <v>1.358966727</v>
      </c>
      <c r="AC500" s="30">
        <f>IFERROR(__xludf.DUMMYFUNCTION("""COMPUTED_VALUE"""),2.33214832164412)</f>
        <v>2.332148322</v>
      </c>
      <c r="AD500" s="30">
        <f>IFERROR(__xludf.DUMMYFUNCTION("""COMPUTED_VALUE"""),0.9949712669201635)</f>
        <v>0.9949712669</v>
      </c>
      <c r="AE500" s="30">
        <f>IFERROR(__xludf.DUMMYFUNCTION("""COMPUTED_VALUE"""),1.1996201386095402)</f>
        <v>1.199620139</v>
      </c>
      <c r="AF500" s="30">
        <f>IFERROR(__xludf.DUMMYFUNCTION("""COMPUTED_VALUE"""),0.7916581933445757)</f>
        <v>0.7916581933</v>
      </c>
      <c r="AG500" s="30">
        <f>IFERROR(__xludf.DUMMYFUNCTION("""COMPUTED_VALUE"""),0.8672555443012081)</f>
        <v>0.8672555443</v>
      </c>
      <c r="AH500" s="30">
        <f>IFERROR(__xludf.DUMMYFUNCTION("""COMPUTED_VALUE"""),1.0413451863384624)</f>
        <v>1.041345186</v>
      </c>
      <c r="AI500" s="30">
        <f>IFERROR(__xludf.DUMMYFUNCTION("""COMPUTED_VALUE"""),1.1009319191638305)</f>
        <v>1.100931919</v>
      </c>
      <c r="AJ500" s="30">
        <f>IFERROR(__xludf.DUMMYFUNCTION("""COMPUTED_VALUE"""),1.1608455076654334)</f>
        <v>1.160845508</v>
      </c>
      <c r="AK500" s="30">
        <f>IFERROR(__xludf.DUMMYFUNCTION("""COMPUTED_VALUE"""),1.1341368767359399)</f>
        <v>1.134136877</v>
      </c>
      <c r="AL500" s="30">
        <f>IFERROR(__xludf.DUMMYFUNCTION("""COMPUTED_VALUE"""),1.1090991714359708)</f>
        <v>1.109099171</v>
      </c>
      <c r="AM500" s="30">
        <f>IFERROR(__xludf.DUMMYFUNCTION("""COMPUTED_VALUE"""),1.1020948715505843)</f>
        <v>1.102094872</v>
      </c>
      <c r="AN500" s="30">
        <f>IFERROR(__xludf.DUMMYFUNCTION("""COMPUTED_VALUE"""),0.9938521092505657)</f>
        <v>0.9938521093</v>
      </c>
      <c r="AO500" s="30">
        <f>IFERROR(__xludf.DUMMYFUNCTION("""COMPUTED_VALUE"""),1.1667201097512891)</f>
        <v>1.16672011</v>
      </c>
      <c r="AP500" s="30">
        <f>IFERROR(__xludf.DUMMYFUNCTION("""COMPUTED_VALUE"""),0.701500696529175)</f>
        <v>0.7015006965</v>
      </c>
      <c r="AQ500" s="30">
        <f>IFERROR(__xludf.DUMMYFUNCTION("""COMPUTED_VALUE"""),0.8993740818855512)</f>
        <v>0.8993740819</v>
      </c>
      <c r="AR500" s="30">
        <f>IFERROR(__xludf.DUMMYFUNCTION("""COMPUTED_VALUE"""),0.9751945424367477)</f>
        <v>0.9751945424</v>
      </c>
      <c r="AS500" s="30">
        <f>IFERROR(__xludf.DUMMYFUNCTION("""COMPUTED_VALUE"""),63.0)</f>
        <v>63</v>
      </c>
      <c r="AT500" s="30">
        <f>IFERROR(__xludf.DUMMYFUNCTION("""COMPUTED_VALUE"""),0.4008081127719611)</f>
        <v>0.4008081128</v>
      </c>
      <c r="AU500" s="30">
        <f>IFERROR(__xludf.DUMMYFUNCTION("""COMPUTED_VALUE"""),1.9312181555038586)</f>
        <v>1.931218156</v>
      </c>
      <c r="AV500" s="32">
        <f>IFERROR(__xludf.DUMMYFUNCTION("""COMPUTED_VALUE"""),47.70283470539291)</f>
        <v>47.70283471</v>
      </c>
      <c r="AW500" s="32">
        <f>IFERROR(__xludf.DUMMYFUNCTION("""COMPUTED_VALUE"""),-2.157990524535347)</f>
        <v>-2.157990525</v>
      </c>
      <c r="AX500" s="32">
        <f>IFERROR(__xludf.DUMMYFUNCTION("""COMPUTED_VALUE"""),38.18365763992888)</f>
        <v>38.18365764</v>
      </c>
      <c r="AY500" s="32">
        <f>IFERROR(__xludf.DUMMYFUNCTION("""COMPUTED_VALUE"""),-3.142379973635615)</f>
        <v>-3.142379974</v>
      </c>
      <c r="AZ500" s="30">
        <f>IFERROR(__xludf.DUMMYFUNCTION("""COMPUTED_VALUE"""),0.9843894491002678)</f>
        <v>0.9843894491</v>
      </c>
      <c r="BA500" s="30">
        <f>IFERROR(__xludf.DUMMYFUNCTION("""COMPUTED_VALUE"""),1700.0)</f>
        <v>1700</v>
      </c>
    </row>
    <row r="501">
      <c r="A501" s="71" t="str">
        <f>IFERROR(__xludf.DUMMYFUNCTION("""COMPUTED_VALUE"""),"Rival")</f>
        <v>Rival</v>
      </c>
      <c r="B501" s="71" t="str">
        <f>IFERROR(__xludf.DUMMYFUNCTION("""COMPUTED_VALUE"""),"RSC005314")</f>
        <v>RSC005314</v>
      </c>
      <c r="C501" s="30" t="str">
        <f>IFERROR(__xludf.DUMMYFUNCTION("""COMPUTED_VALUE"""),"daggumbigfeet")</f>
        <v>daggumbigfeet</v>
      </c>
      <c r="D501" s="30" t="str">
        <f>IFERROR(__xludf.DUMMYFUNCTION("""COMPUTED_VALUE"""),"Dice")</f>
        <v>Dice</v>
      </c>
      <c r="E501" s="30">
        <f>IFERROR(__xludf.DUMMYFUNCTION("""COMPUTED_VALUE"""),16.0)</f>
        <v>16</v>
      </c>
      <c r="F501" s="30">
        <f>IFERROR(__xludf.DUMMYFUNCTION("""COMPUTED_VALUE"""),5.0)</f>
        <v>5</v>
      </c>
      <c r="G501" s="42">
        <f>IFERROR(__xludf.DUMMYFUNCTION("""COMPUTED_VALUE"""),11.0)</f>
        <v>11</v>
      </c>
      <c r="H501" s="42">
        <f>IFERROR(__xludf.DUMMYFUNCTION("""COMPUTED_VALUE"""),0.3125)</f>
        <v>0.3125</v>
      </c>
      <c r="I501" s="42">
        <f>IFERROR(__xludf.DUMMYFUNCTION("""COMPUTED_VALUE"""),0.32653061224489793)</f>
        <v>0.3265306122</v>
      </c>
      <c r="J501" s="30">
        <f>IFERROR(__xludf.DUMMYFUNCTION("""COMPUTED_VALUE"""),366.25)</f>
        <v>366.25</v>
      </c>
      <c r="K501" s="30">
        <f>IFERROR(__xludf.DUMMYFUNCTION("""COMPUTED_VALUE"""),1.0)</f>
        <v>1</v>
      </c>
      <c r="L501" s="30">
        <f>IFERROR(__xludf.DUMMYFUNCTION("""COMPUTED_VALUE"""),0.3125)</f>
        <v>0.3125</v>
      </c>
      <c r="M501" s="30">
        <f>IFERROR(__xludf.DUMMYFUNCTION("""COMPUTED_VALUE"""),1.4375)</f>
        <v>1.4375</v>
      </c>
      <c r="N501" s="30">
        <f>IFERROR(__xludf.DUMMYFUNCTION("""COMPUTED_VALUE"""),3.0625)</f>
        <v>3.0625</v>
      </c>
      <c r="O501" s="30">
        <f>IFERROR(__xludf.DUMMYFUNCTION("""COMPUTED_VALUE"""),368.74999999999994)</f>
        <v>368.75</v>
      </c>
      <c r="P501" s="30">
        <f>IFERROR(__xludf.DUMMYFUNCTION("""COMPUTED_VALUE"""),1.0416666666666667)</f>
        <v>1.041666667</v>
      </c>
      <c r="Q501" s="30">
        <f>IFERROR(__xludf.DUMMYFUNCTION("""COMPUTED_VALUE"""),0.7291666666666667)</f>
        <v>0.7291666667</v>
      </c>
      <c r="R501" s="30">
        <f>IFERROR(__xludf.DUMMYFUNCTION("""COMPUTED_VALUE"""),1.2083333333333333)</f>
        <v>1.208333333</v>
      </c>
      <c r="S501" s="30">
        <f>IFERROR(__xludf.DUMMYFUNCTION("""COMPUTED_VALUE"""),2.604166666666666)</f>
        <v>2.604166667</v>
      </c>
      <c r="T501" s="30">
        <f>IFERROR(__xludf.DUMMYFUNCTION("""COMPUTED_VALUE"""),341.27913860209514)</f>
        <v>341.2791386</v>
      </c>
      <c r="U501" s="30">
        <f>IFERROR(__xludf.DUMMYFUNCTION("""COMPUTED_VALUE"""),0.7791645609686957)</f>
        <v>0.779164561</v>
      </c>
      <c r="V501" s="30">
        <f>IFERROR(__xludf.DUMMYFUNCTION("""COMPUTED_VALUE"""),0.600370276076265)</f>
        <v>0.6003702761</v>
      </c>
      <c r="W501" s="30">
        <f>IFERROR(__xludf.DUMMYFUNCTION("""COMPUTED_VALUE"""),1.2919753384600463)</f>
        <v>1.291975338</v>
      </c>
      <c r="X501" s="30">
        <f>IFERROR(__xludf.DUMMYFUNCTION("""COMPUTED_VALUE"""),2.525040418715823)</f>
        <v>2.525040419</v>
      </c>
      <c r="Y501" s="30">
        <f>IFERROR(__xludf.DUMMYFUNCTION("""COMPUTED_VALUE"""),348.0070742419169)</f>
        <v>348.0070742</v>
      </c>
      <c r="Z501" s="30">
        <f>IFERROR(__xludf.DUMMYFUNCTION("""COMPUTED_VALUE"""),0.7991122222300291)</f>
        <v>0.7991122222</v>
      </c>
      <c r="AA501" s="30">
        <f>IFERROR(__xludf.DUMMYFUNCTION("""COMPUTED_VALUE"""),0.5320718361652399)</f>
        <v>0.5320718362</v>
      </c>
      <c r="AB501" s="30">
        <f>IFERROR(__xludf.DUMMYFUNCTION("""COMPUTED_VALUE"""),1.3307013638206806)</f>
        <v>1.330701364</v>
      </c>
      <c r="AC501" s="30">
        <f>IFERROR(__xludf.DUMMYFUNCTION("""COMPUTED_VALUE"""),2.5801562435287395)</f>
        <v>2.580156244</v>
      </c>
      <c r="AD501" s="30">
        <f>IFERROR(__xludf.DUMMYFUNCTION("""COMPUTED_VALUE"""),1.0524211348226835)</f>
        <v>1.052421135</v>
      </c>
      <c r="AE501" s="30">
        <f>IFERROR(__xludf.DUMMYFUNCTION("""COMPUTED_VALUE"""),1.251388693829969)</f>
        <v>1.251388694</v>
      </c>
      <c r="AF501" s="30">
        <f>IFERROR(__xludf.DUMMYFUNCTION("""COMPUTED_VALUE"""),0.5873267080856168)</f>
        <v>0.5873267081</v>
      </c>
      <c r="AG501" s="30">
        <f>IFERROR(__xludf.DUMMYFUNCTION("""COMPUTED_VALUE"""),1.0802574034137018)</f>
        <v>1.080257403</v>
      </c>
      <c r="AH501" s="30">
        <f>IFERROR(__xludf.DUMMYFUNCTION("""COMPUTED_VALUE"""),1.1869436231550012)</f>
        <v>1.186943623</v>
      </c>
      <c r="AI501" s="30">
        <f>IFERROR(__xludf.DUMMYFUNCTION("""COMPUTED_VALUE"""),1.0804938195473286)</f>
        <v>1.08049382</v>
      </c>
      <c r="AJ501" s="30">
        <f>IFERROR(__xludf.DUMMYFUNCTION("""COMPUTED_VALUE"""),1.336902008699697)</f>
        <v>1.336902009</v>
      </c>
      <c r="AK501" s="30">
        <f>IFERROR(__xludf.DUMMYFUNCTION("""COMPUTED_VALUE"""),1.2145282598468294)</f>
        <v>1.21452826</v>
      </c>
      <c r="AL501" s="30">
        <f>IFERROR(__xludf.DUMMYFUNCTION("""COMPUTED_VALUE"""),0.935260370196842)</f>
        <v>0.9352603702</v>
      </c>
      <c r="AM501" s="30">
        <f>IFERROR(__xludf.DUMMYFUNCTION("""COMPUTED_VALUE"""),1.03133662628303)</f>
        <v>1.031336626</v>
      </c>
      <c r="AN501" s="30">
        <f>IFERROR(__xludf.DUMMYFUNCTION("""COMPUTED_VALUE"""),1.0805718172566319)</f>
        <v>1.080571817</v>
      </c>
      <c r="AO501" s="30">
        <f>IFERROR(__xludf.DUMMYFUNCTION("""COMPUTED_VALUE"""),1.3611734613765043)</f>
        <v>1.361173461</v>
      </c>
      <c r="AP501" s="30">
        <f>IFERROR(__xludf.DUMMYFUNCTION("""COMPUTED_VALUE"""),0.558011917693662)</f>
        <v>0.5580119177</v>
      </c>
      <c r="AQ501" s="30">
        <f>IFERROR(__xludf.DUMMYFUNCTION("""COMPUTED_VALUE"""),1.0969638422998012)</f>
        <v>1.096963842</v>
      </c>
      <c r="AR501" s="30">
        <f>IFERROR(__xludf.DUMMYFUNCTION("""COMPUTED_VALUE"""),1.2297490002051636)</f>
        <v>1.229749</v>
      </c>
      <c r="AS501" s="30">
        <f>IFERROR(__xludf.DUMMYFUNCTION("""COMPUTED_VALUE"""),34.0)</f>
        <v>34</v>
      </c>
      <c r="AT501" s="30">
        <f>IFERROR(__xludf.DUMMYFUNCTION("""COMPUTED_VALUE"""),0.3496185705319074)</f>
        <v>0.3496185705</v>
      </c>
      <c r="AU501" s="30">
        <f>IFERROR(__xludf.DUMMYFUNCTION("""COMPUTED_VALUE"""),2.1256476145736602)</f>
        <v>2.125647615</v>
      </c>
      <c r="AV501" s="32">
        <f>IFERROR(__xludf.DUMMYFUNCTION("""COMPUTED_VALUE"""),54.57087440380544)</f>
        <v>54.5708744</v>
      </c>
      <c r="AW501" s="32">
        <f>IFERROR(__xludf.DUMMYFUNCTION("""COMPUTED_VALUE"""),2.3393796436156764)</f>
        <v>2.339379644</v>
      </c>
      <c r="AX501" s="32">
        <f>IFERROR(__xludf.DUMMYFUNCTION("""COMPUTED_VALUE"""),62.86221072325834)</f>
        <v>62.86221072</v>
      </c>
      <c r="AY501" s="32">
        <f>IFERROR(__xludf.DUMMYFUNCTION("""COMPUTED_VALUE"""),3.295378545951479)</f>
        <v>3.295378546</v>
      </c>
      <c r="AZ501" s="30">
        <f>IFERROR(__xludf.DUMMYFUNCTION("""COMPUTED_VALUE"""),0.9559989023358026)</f>
        <v>0.9559989023</v>
      </c>
      <c r="BA501" s="30">
        <f>IFERROR(__xludf.DUMMYFUNCTION("""COMPUTED_VALUE"""),1700.0)</f>
        <v>1700</v>
      </c>
    </row>
    <row r="502">
      <c r="A502" s="71" t="str">
        <f>IFERROR(__xludf.DUMMYFUNCTION("""COMPUTED_VALUE"""),"Rival")</f>
        <v>Rival</v>
      </c>
      <c r="B502" s="71" t="str">
        <f>IFERROR(__xludf.DUMMYFUNCTION("""COMPUTED_VALUE"""),"RSC006372")</f>
        <v>RSC006372</v>
      </c>
      <c r="C502" s="30" t="str">
        <f>IFERROR(__xludf.DUMMYFUNCTION("""COMPUTED_VALUE"""),"x ARC Fives x")</f>
        <v>x ARC Fives x</v>
      </c>
      <c r="D502" s="30" t="str">
        <f>IFERROR(__xludf.DUMMYFUNCTION("""COMPUTED_VALUE"""),"Heavy Metal")</f>
        <v>Heavy Metal</v>
      </c>
      <c r="E502" s="30">
        <f>IFERROR(__xludf.DUMMYFUNCTION("""COMPUTED_VALUE"""),10.0)</f>
        <v>10</v>
      </c>
      <c r="F502" s="30">
        <f>IFERROR(__xludf.DUMMYFUNCTION("""COMPUTED_VALUE"""),3.0)</f>
        <v>3</v>
      </c>
      <c r="G502" s="42">
        <f>IFERROR(__xludf.DUMMYFUNCTION("""COMPUTED_VALUE"""),7.0)</f>
        <v>7</v>
      </c>
      <c r="H502" s="42">
        <f>IFERROR(__xludf.DUMMYFUNCTION("""COMPUTED_VALUE"""),0.3)</f>
        <v>0.3</v>
      </c>
      <c r="I502" s="42">
        <f>IFERROR(__xludf.DUMMYFUNCTION("""COMPUTED_VALUE"""),0.34615384615384615)</f>
        <v>0.3461538462</v>
      </c>
      <c r="J502" s="30">
        <f>IFERROR(__xludf.DUMMYFUNCTION("""COMPUTED_VALUE"""),341.7)</f>
        <v>341.7</v>
      </c>
      <c r="K502" s="30">
        <f>IFERROR(__xludf.DUMMYFUNCTION("""COMPUTED_VALUE"""),0.9)</f>
        <v>0.9</v>
      </c>
      <c r="L502" s="30">
        <f>IFERROR(__xludf.DUMMYFUNCTION("""COMPUTED_VALUE"""),0.3)</f>
        <v>0.3</v>
      </c>
      <c r="M502" s="30">
        <f>IFERROR(__xludf.DUMMYFUNCTION("""COMPUTED_VALUE"""),1.8)</f>
        <v>1.8</v>
      </c>
      <c r="N502" s="30">
        <f>IFERROR(__xludf.DUMMYFUNCTION("""COMPUTED_VALUE"""),2.6)</f>
        <v>2.6</v>
      </c>
      <c r="O502" s="30">
        <f>IFERROR(__xludf.DUMMYFUNCTION("""COMPUTED_VALUE"""),357.0333333333334)</f>
        <v>357.0333333</v>
      </c>
      <c r="P502" s="30">
        <f>IFERROR(__xludf.DUMMYFUNCTION("""COMPUTED_VALUE"""),0.8666666666666666)</f>
        <v>0.8666666667</v>
      </c>
      <c r="Q502" s="30">
        <f>IFERROR(__xludf.DUMMYFUNCTION("""COMPUTED_VALUE"""),0.5666666666666667)</f>
        <v>0.5666666667</v>
      </c>
      <c r="R502" s="30">
        <f>IFERROR(__xludf.DUMMYFUNCTION("""COMPUTED_VALUE"""),1.3333333333333333)</f>
        <v>1.333333333</v>
      </c>
      <c r="S502" s="30">
        <f>IFERROR(__xludf.DUMMYFUNCTION("""COMPUTED_VALUE"""),3.1000000000000005)</f>
        <v>3.1</v>
      </c>
      <c r="T502" s="30">
        <f>IFERROR(__xludf.DUMMYFUNCTION("""COMPUTED_VALUE"""),335.30346241525643)</f>
        <v>335.3034624</v>
      </c>
      <c r="U502" s="30">
        <f>IFERROR(__xludf.DUMMYFUNCTION("""COMPUTED_VALUE"""),0.705949860719719)</f>
        <v>0.7059498607</v>
      </c>
      <c r="V502" s="30">
        <f>IFERROR(__xludf.DUMMYFUNCTION("""COMPUTED_VALUE"""),0.5922685621939571)</f>
        <v>0.5922685622</v>
      </c>
      <c r="W502" s="30">
        <f>IFERROR(__xludf.DUMMYFUNCTION("""COMPUTED_VALUE"""),1.3058265979776063)</f>
        <v>1.305826598</v>
      </c>
      <c r="X502" s="30">
        <f>IFERROR(__xludf.DUMMYFUNCTION("""COMPUTED_VALUE"""),2.4543679340763536)</f>
        <v>2.454367934</v>
      </c>
      <c r="Y502" s="30">
        <f>IFERROR(__xludf.DUMMYFUNCTION("""COMPUTED_VALUE"""),352.33381542203085)</f>
        <v>352.3338154</v>
      </c>
      <c r="Z502" s="30">
        <f>IFERROR(__xludf.DUMMYFUNCTION("""COMPUTED_VALUE"""),0.8140418103532365)</f>
        <v>0.8140418104</v>
      </c>
      <c r="AA502" s="30">
        <f>IFERROR(__xludf.DUMMYFUNCTION("""COMPUTED_VALUE"""),0.5531205026296689)</f>
        <v>0.5531205026</v>
      </c>
      <c r="AB502" s="30">
        <f>IFERROR(__xludf.DUMMYFUNCTION("""COMPUTED_VALUE"""),1.389872608624295)</f>
        <v>1.389872609</v>
      </c>
      <c r="AC502" s="30">
        <f>IFERROR(__xludf.DUMMYFUNCTION("""COMPUTED_VALUE"""),2.695516501513633)</f>
        <v>2.695516502</v>
      </c>
      <c r="AD502" s="30">
        <f>IFERROR(__xludf.DUMMYFUNCTION("""COMPUTED_VALUE"""),0.9698189190007394)</f>
        <v>0.969818919</v>
      </c>
      <c r="AE502" s="30">
        <f>IFERROR(__xludf.DUMMYFUNCTION("""COMPUTED_VALUE"""),1.1055943178268248)</f>
        <v>1.105594318</v>
      </c>
      <c r="AF502" s="30">
        <f>IFERROR(__xludf.DUMMYFUNCTION("""COMPUTED_VALUE"""),0.5423772913383743)</f>
        <v>0.5423772913</v>
      </c>
      <c r="AG502" s="30">
        <f>IFERROR(__xludf.DUMMYFUNCTION("""COMPUTED_VALUE"""),1.2950827211291343)</f>
        <v>1.295082721</v>
      </c>
      <c r="AH502" s="30">
        <f>IFERROR(__xludf.DUMMYFUNCTION("""COMPUTED_VALUE"""),0.9645646756530718)</f>
        <v>0.9645646757</v>
      </c>
      <c r="AI502" s="30">
        <f>IFERROR(__xludf.DUMMYFUNCTION("""COMPUTED_VALUE"""),1.0648065807658307)</f>
        <v>1.064806581</v>
      </c>
      <c r="AJ502" s="30">
        <f>IFERROR(__xludf.DUMMYFUNCTION("""COMPUTED_VALUE"""),1.227660369226642)</f>
        <v>1.227660369</v>
      </c>
      <c r="AK502" s="30">
        <f>IFERROR(__xludf.DUMMYFUNCTION("""COMPUTED_VALUE"""),0.9567731648081191)</f>
        <v>0.9567731648</v>
      </c>
      <c r="AL502" s="30">
        <f>IFERROR(__xludf.DUMMYFUNCTION("""COMPUTED_VALUE"""),1.021064615622264)</f>
        <v>1.021064616</v>
      </c>
      <c r="AM502" s="30">
        <f>IFERROR(__xludf.DUMMYFUNCTION("""COMPUTED_VALUE"""),1.2630543110345092)</f>
        <v>1.263054311</v>
      </c>
      <c r="AN502" s="30">
        <f>IFERROR(__xludf.DUMMYFUNCTION("""COMPUTED_VALUE"""),1.0081403138746514)</f>
        <v>1.008140314</v>
      </c>
      <c r="AO502" s="30">
        <f>IFERROR(__xludf.DUMMYFUNCTION("""COMPUTED_VALUE"""),1.2250561152388537)</f>
        <v>1.225056115</v>
      </c>
      <c r="AP502" s="30">
        <f>IFERROR(__xludf.DUMMYFUNCTION("""COMPUTED_VALUE"""),0.5356914409859155)</f>
        <v>0.535691441</v>
      </c>
      <c r="AQ502" s="30">
        <f>IFERROR(__xludf.DUMMYFUNCTION("""COMPUTED_VALUE"""),1.373589506879751)</f>
        <v>1.373589507</v>
      </c>
      <c r="AR502" s="30">
        <f>IFERROR(__xludf.DUMMYFUNCTION("""COMPUTED_VALUE"""),1.0440318042558123)</f>
        <v>1.044031804</v>
      </c>
      <c r="AS502" s="30">
        <f>IFERROR(__xludf.DUMMYFUNCTION("""COMPUTED_VALUE"""),21.0)</f>
        <v>21</v>
      </c>
      <c r="AT502" s="30">
        <f>IFERROR(__xludf.DUMMYFUNCTION("""COMPUTED_VALUE"""),0.41751152084151605)</f>
        <v>0.4175115208</v>
      </c>
      <c r="AU502" s="30">
        <f>IFERROR(__xludf.DUMMYFUNCTION("""COMPUTED_VALUE"""),1.7943723555484374)</f>
        <v>1.794372356</v>
      </c>
      <c r="AV502" s="32">
        <f>IFERROR(__xludf.DUMMYFUNCTION("""COMPUTED_VALUE"""),42.868884175718115)</f>
        <v>42.86888418</v>
      </c>
      <c r="AW502" s="32">
        <f>IFERROR(__xludf.DUMMYFUNCTION("""COMPUTED_VALUE"""),-2.57912521496264)</f>
        <v>-2.579125215</v>
      </c>
      <c r="AX502" s="32">
        <f>IFERROR(__xludf.DUMMYFUNCTION("""COMPUTED_VALUE"""),35.73392541793009)</f>
        <v>35.73392542</v>
      </c>
      <c r="AY502" s="32">
        <f>IFERROR(__xludf.DUMMYFUNCTION("""COMPUTED_VALUE"""),-3.5196292110017677)</f>
        <v>-3.519629211</v>
      </c>
      <c r="AZ502" s="30">
        <f>IFERROR(__xludf.DUMMYFUNCTION("""COMPUTED_VALUE"""),0.9405039960391277)</f>
        <v>0.940503996</v>
      </c>
      <c r="BA502" s="30">
        <f>IFERROR(__xludf.DUMMYFUNCTION("""COMPUTED_VALUE"""),1700.0)</f>
        <v>1700</v>
      </c>
    </row>
    <row r="503">
      <c r="A503" s="71" t="str">
        <f>IFERROR(__xludf.DUMMYFUNCTION("""COMPUTED_VALUE"""),"Rival")</f>
        <v>Rival</v>
      </c>
      <c r="B503" s="71" t="str">
        <f>IFERROR(__xludf.DUMMYFUNCTION("""COMPUTED_VALUE"""),"RSC003186")</f>
        <v>RSC003186</v>
      </c>
      <c r="C503" s="30" t="str">
        <f>IFERROR(__xludf.DUMMYFUNCTION("""COMPUTED_VALUE"""),"xBlaniac")</f>
        <v>xBlaniac</v>
      </c>
      <c r="D503" s="30" t="str">
        <f>IFERROR(__xludf.DUMMYFUNCTION("""COMPUTED_VALUE"""),"Dracos")</f>
        <v>Dracos</v>
      </c>
      <c r="E503" s="30">
        <f>IFERROR(__xludf.DUMMYFUNCTION("""COMPUTED_VALUE"""),22.0)</f>
        <v>22</v>
      </c>
      <c r="F503" s="30">
        <f>IFERROR(__xludf.DUMMYFUNCTION("""COMPUTED_VALUE"""),10.0)</f>
        <v>10</v>
      </c>
      <c r="G503" s="42">
        <f>IFERROR(__xludf.DUMMYFUNCTION("""COMPUTED_VALUE"""),12.0)</f>
        <v>12</v>
      </c>
      <c r="H503" s="42">
        <f>IFERROR(__xludf.DUMMYFUNCTION("""COMPUTED_VALUE"""),0.45454545454545453)</f>
        <v>0.4545454545</v>
      </c>
      <c r="I503" s="42">
        <f>IFERROR(__xludf.DUMMYFUNCTION("""COMPUTED_VALUE"""),0.23255813953488372)</f>
        <v>0.2325581395</v>
      </c>
      <c r="J503" s="30">
        <f>IFERROR(__xludf.DUMMYFUNCTION("""COMPUTED_VALUE"""),274.22727272727275)</f>
        <v>274.2272727</v>
      </c>
      <c r="K503" s="30">
        <f>IFERROR(__xludf.DUMMYFUNCTION("""COMPUTED_VALUE"""),0.45454545454545453)</f>
        <v>0.4545454545</v>
      </c>
      <c r="L503" s="30">
        <f>IFERROR(__xludf.DUMMYFUNCTION("""COMPUTED_VALUE"""),0.6363636363636364)</f>
        <v>0.6363636364</v>
      </c>
      <c r="M503" s="30">
        <f>IFERROR(__xludf.DUMMYFUNCTION("""COMPUTED_VALUE"""),1.1363636363636365)</f>
        <v>1.136363636</v>
      </c>
      <c r="N503" s="30">
        <f>IFERROR(__xludf.DUMMYFUNCTION("""COMPUTED_VALUE"""),1.9545454545454546)</f>
        <v>1.954545455</v>
      </c>
      <c r="O503" s="30">
        <f>IFERROR(__xludf.DUMMYFUNCTION("""COMPUTED_VALUE"""),359.21212121212125)</f>
        <v>359.2121212</v>
      </c>
      <c r="P503" s="30">
        <f>IFERROR(__xludf.DUMMYFUNCTION("""COMPUTED_VALUE"""),0.8333333333333331)</f>
        <v>0.8333333333</v>
      </c>
      <c r="Q503" s="30">
        <f>IFERROR(__xludf.DUMMYFUNCTION("""COMPUTED_VALUE"""),0.5757575757575758)</f>
        <v>0.5757575758</v>
      </c>
      <c r="R503" s="30">
        <f>IFERROR(__xludf.DUMMYFUNCTION("""COMPUTED_VALUE"""),1.3333333333333333)</f>
        <v>1.333333333</v>
      </c>
      <c r="S503" s="30">
        <f>IFERROR(__xludf.DUMMYFUNCTION("""COMPUTED_VALUE"""),2.636363636363636)</f>
        <v>2.636363636</v>
      </c>
      <c r="T503" s="30">
        <f>IFERROR(__xludf.DUMMYFUNCTION("""COMPUTED_VALUE"""),361.9628699719275)</f>
        <v>361.96287</v>
      </c>
      <c r="U503" s="30">
        <f>IFERROR(__xludf.DUMMYFUNCTION("""COMPUTED_VALUE"""),0.8210474042693292)</f>
        <v>0.8210474043</v>
      </c>
      <c r="V503" s="30">
        <f>IFERROR(__xludf.DUMMYFUNCTION("""COMPUTED_VALUE"""),0.6154427259708011)</f>
        <v>0.615442726</v>
      </c>
      <c r="W503" s="30">
        <f>IFERROR(__xludf.DUMMYFUNCTION("""COMPUTED_VALUE"""),1.3058255878108815)</f>
        <v>1.305825588</v>
      </c>
      <c r="X503" s="30">
        <f>IFERROR(__xludf.DUMMYFUNCTION("""COMPUTED_VALUE"""),2.7258262236871866)</f>
        <v>2.725826224</v>
      </c>
      <c r="Y503" s="30">
        <f>IFERROR(__xludf.DUMMYFUNCTION("""COMPUTED_VALUE"""),351.68599710639586)</f>
        <v>351.6859971</v>
      </c>
      <c r="Z503" s="30">
        <f>IFERROR(__xludf.DUMMYFUNCTION("""COMPUTED_VALUE"""),0.8047947946455078)</f>
        <v>0.8047947946</v>
      </c>
      <c r="AA503" s="30">
        <f>IFERROR(__xludf.DUMMYFUNCTION("""COMPUTED_VALUE"""),0.5733261201398457)</f>
        <v>0.5733261201</v>
      </c>
      <c r="AB503" s="30">
        <f>IFERROR(__xludf.DUMMYFUNCTION("""COMPUTED_VALUE"""),1.303699426604952)</f>
        <v>1.303699427</v>
      </c>
      <c r="AC503" s="30">
        <f>IFERROR(__xludf.DUMMYFUNCTION("""COMPUTED_VALUE"""),2.5395442038155953)</f>
        <v>2.539544204</v>
      </c>
      <c r="AD503" s="30">
        <f>IFERROR(__xludf.DUMMYFUNCTION("""COMPUTED_VALUE"""),0.7797503312146674)</f>
        <v>0.7797503312</v>
      </c>
      <c r="AE503" s="30">
        <f>IFERROR(__xludf.DUMMYFUNCTION("""COMPUTED_VALUE"""),0.5647967128635201)</f>
        <v>0.5647967129</v>
      </c>
      <c r="AF503" s="30">
        <f>IFERROR(__xludf.DUMMYFUNCTION("""COMPUTED_VALUE"""),1.1099505395086735)</f>
        <v>1.10995054</v>
      </c>
      <c r="AG503" s="30">
        <f>IFERROR(__xludf.DUMMYFUNCTION("""COMPUTED_VALUE"""),0.8716454216160197)</f>
        <v>0.8716454216</v>
      </c>
      <c r="AH503" s="30">
        <f>IFERROR(__xludf.DUMMYFUNCTION("""COMPUTED_VALUE"""),0.7696441950523263)</f>
        <v>0.7696441951</v>
      </c>
      <c r="AI503" s="30">
        <f>IFERROR(__xludf.DUMMYFUNCTION("""COMPUTED_VALUE"""),0.9924004670423251)</f>
        <v>0.992400467</v>
      </c>
      <c r="AJ503" s="30">
        <f>IFERROR(__xludf.DUMMYFUNCTION("""COMPUTED_VALUE"""),1.0149637268203016)</f>
        <v>1.014963727</v>
      </c>
      <c r="AK503" s="30">
        <f>IFERROR(__xludf.DUMMYFUNCTION("""COMPUTED_VALUE"""),0.9355177199460343)</f>
        <v>0.9355177199</v>
      </c>
      <c r="AL503" s="30">
        <f>IFERROR(__xludf.DUMMYFUNCTION("""COMPUTED_VALUE"""),1.0210654055022512)</f>
        <v>1.021065406</v>
      </c>
      <c r="AM503" s="30">
        <f>IFERROR(__xludf.DUMMYFUNCTION("""COMPUTED_VALUE"""),0.9671796439016805)</f>
        <v>0.9671796439</v>
      </c>
      <c r="AN503" s="30">
        <f>IFERROR(__xludf.DUMMYFUNCTION("""COMPUTED_VALUE"""),0.8090710237057723)</f>
        <v>0.8090710237</v>
      </c>
      <c r="AO503" s="30">
        <f>IFERROR(__xludf.DUMMYFUNCTION("""COMPUTED_VALUE"""),0.6187152097165928)</f>
        <v>0.6187152097</v>
      </c>
      <c r="AP503" s="30">
        <f>IFERROR(__xludf.DUMMYFUNCTION("""COMPUTED_VALUE"""),1.1363151778489116)</f>
        <v>1.136315178</v>
      </c>
      <c r="AQ503" s="30">
        <f>IFERROR(__xludf.DUMMYFUNCTION("""COMPUTED_VALUE"""),0.8671650927271156)</f>
        <v>0.8671650927</v>
      </c>
      <c r="AR503" s="30">
        <f>IFERROR(__xludf.DUMMYFUNCTION("""COMPUTED_VALUE"""),0.78484908361888)</f>
        <v>0.7848490836</v>
      </c>
      <c r="AS503" s="30">
        <f>IFERROR(__xludf.DUMMYFUNCTION("""COMPUTED_VALUE"""),50.0)</f>
        <v>50</v>
      </c>
      <c r="AT503" s="30">
        <f>IFERROR(__xludf.DUMMYFUNCTION("""COMPUTED_VALUE"""),0.4627539631415754)</f>
        <v>0.4627539631</v>
      </c>
      <c r="AU503" s="30">
        <f>IFERROR(__xludf.DUMMYFUNCTION("""COMPUTED_VALUE"""),1.4298707832274096)</f>
        <v>1.429870783</v>
      </c>
      <c r="AV503" s="32">
        <f>IFERROR(__xludf.DUMMYFUNCTION("""COMPUTED_VALUE"""),29.993205352089543)</f>
        <v>29.99320535</v>
      </c>
      <c r="AW503" s="32">
        <f>IFERROR(__xludf.DUMMYFUNCTION("""COMPUTED_VALUE"""),-4.721955376647227)</f>
        <v>-4.721955377</v>
      </c>
      <c r="AX503" s="32">
        <f>IFERROR(__xludf.DUMMYFUNCTION("""COMPUTED_VALUE"""),26.80729460127111)</f>
        <v>26.8072946</v>
      </c>
      <c r="AY503" s="32">
        <f>IFERROR(__xludf.DUMMYFUNCTION("""COMPUTED_VALUE"""),-5.656765372430205)</f>
        <v>-5.656765372</v>
      </c>
      <c r="AZ503" s="30">
        <f>IFERROR(__xludf.DUMMYFUNCTION("""COMPUTED_VALUE"""),0.9348099957829783)</f>
        <v>0.9348099958</v>
      </c>
      <c r="BA503" s="30">
        <f>IFERROR(__xludf.DUMMYFUNCTION("""COMPUTED_VALUE"""),1700.0)</f>
        <v>1700</v>
      </c>
    </row>
    <row r="504">
      <c r="A504" s="71" t="str">
        <f>IFERROR(__xludf.DUMMYFUNCTION("""COMPUTED_VALUE"""),"Rival")</f>
        <v>Rival</v>
      </c>
      <c r="B504" s="71" t="str">
        <f>IFERROR(__xludf.DUMMYFUNCTION("""COMPUTED_VALUE"""),"RSC007767")</f>
        <v>RSC007767</v>
      </c>
      <c r="C504" s="30" t="str">
        <f>IFERROR(__xludf.DUMMYFUNCTION("""COMPUTED_VALUE"""),"SNOWIS")</f>
        <v>SNOWIS</v>
      </c>
      <c r="D504" s="30" t="str">
        <f>IFERROR(__xludf.DUMMYFUNCTION("""COMPUTED_VALUE"""),"Centuriones")</f>
        <v>Centuriones</v>
      </c>
      <c r="E504" s="30">
        <f>IFERROR(__xludf.DUMMYFUNCTION("""COMPUTED_VALUE"""),8.0)</f>
        <v>8</v>
      </c>
      <c r="F504" s="30">
        <f>IFERROR(__xludf.DUMMYFUNCTION("""COMPUTED_VALUE"""),1.0)</f>
        <v>1</v>
      </c>
      <c r="G504" s="42">
        <f>IFERROR(__xludf.DUMMYFUNCTION("""COMPUTED_VALUE"""),7.0)</f>
        <v>7</v>
      </c>
      <c r="H504" s="42">
        <f>IFERROR(__xludf.DUMMYFUNCTION("""COMPUTED_VALUE"""),0.125)</f>
        <v>0.125</v>
      </c>
      <c r="I504" s="42">
        <f>IFERROR(__xludf.DUMMYFUNCTION("""COMPUTED_VALUE"""),0.5)</f>
        <v>0.5</v>
      </c>
      <c r="J504" s="30">
        <f>IFERROR(__xludf.DUMMYFUNCTION("""COMPUTED_VALUE"""),318.625)</f>
        <v>318.625</v>
      </c>
      <c r="K504" s="30">
        <f>IFERROR(__xludf.DUMMYFUNCTION("""COMPUTED_VALUE"""),0.875)</f>
        <v>0.875</v>
      </c>
      <c r="L504" s="30">
        <f>IFERROR(__xludf.DUMMYFUNCTION("""COMPUTED_VALUE"""),0.625)</f>
        <v>0.625</v>
      </c>
      <c r="M504" s="30">
        <f>IFERROR(__xludf.DUMMYFUNCTION("""COMPUTED_VALUE"""),1.0)</f>
        <v>1</v>
      </c>
      <c r="N504" s="30">
        <f>IFERROR(__xludf.DUMMYFUNCTION("""COMPUTED_VALUE"""),1.75)</f>
        <v>1.75</v>
      </c>
      <c r="O504" s="30">
        <f>IFERROR(__xludf.DUMMYFUNCTION("""COMPUTED_VALUE"""),395.9166666666667)</f>
        <v>395.9166667</v>
      </c>
      <c r="P504" s="30">
        <f>IFERROR(__xludf.DUMMYFUNCTION("""COMPUTED_VALUE"""),1.2083333333333333)</f>
        <v>1.208333333</v>
      </c>
      <c r="Q504" s="30">
        <f>IFERROR(__xludf.DUMMYFUNCTION("""COMPUTED_VALUE"""),0.875)</f>
        <v>0.875</v>
      </c>
      <c r="R504" s="30">
        <f>IFERROR(__xludf.DUMMYFUNCTION("""COMPUTED_VALUE"""),1.0833333333333333)</f>
        <v>1.083333333</v>
      </c>
      <c r="S504" s="30">
        <f>IFERROR(__xludf.DUMMYFUNCTION("""COMPUTED_VALUE"""),3.0000000000000004)</f>
        <v>3</v>
      </c>
      <c r="T504" s="30">
        <f>IFERROR(__xludf.DUMMYFUNCTION("""COMPUTED_VALUE"""),351.66653138528136)</f>
        <v>351.6665314</v>
      </c>
      <c r="U504" s="30">
        <f>IFERROR(__xludf.DUMMYFUNCTION("""COMPUTED_VALUE"""),0.7853760822510822)</f>
        <v>0.7853760823</v>
      </c>
      <c r="V504" s="30">
        <f>IFERROR(__xludf.DUMMYFUNCTION("""COMPUTED_VALUE"""),0.5989357864357864)</f>
        <v>0.5989357864</v>
      </c>
      <c r="W504" s="30">
        <f>IFERROR(__xludf.DUMMYFUNCTION("""COMPUTED_VALUE"""),1.3220598845598843)</f>
        <v>1.322059885</v>
      </c>
      <c r="X504" s="30">
        <f>IFERROR(__xludf.DUMMYFUNCTION("""COMPUTED_VALUE"""),2.6080447330447325)</f>
        <v>2.608044733</v>
      </c>
      <c r="Y504" s="30">
        <f>IFERROR(__xludf.DUMMYFUNCTION("""COMPUTED_VALUE"""),354.9860960798461)</f>
        <v>354.9860961</v>
      </c>
      <c r="Z504" s="30">
        <f>IFERROR(__xludf.DUMMYFUNCTION("""COMPUTED_VALUE"""),0.8200682419432419)</f>
        <v>0.8200682419</v>
      </c>
      <c r="AA504" s="30">
        <f>IFERROR(__xludf.DUMMYFUNCTION("""COMPUTED_VALUE"""),0.6126518157768158)</f>
        <v>0.6126518158</v>
      </c>
      <c r="AB504" s="30">
        <f>IFERROR(__xludf.DUMMYFUNCTION("""COMPUTED_VALUE"""),1.2791982323232323)</f>
        <v>1.279198232</v>
      </c>
      <c r="AC504" s="30">
        <f>IFERROR(__xludf.DUMMYFUNCTION("""COMPUTED_VALUE"""),2.626488095238095)</f>
        <v>2.626488095</v>
      </c>
      <c r="AD504" s="30">
        <f>IFERROR(__xludf.DUMMYFUNCTION("""COMPUTED_VALUE"""),0.8975703654836455)</f>
        <v>0.8975703655</v>
      </c>
      <c r="AE504" s="30">
        <f>IFERROR(__xludf.DUMMYFUNCTION("""COMPUTED_VALUE"""),1.0669843742840124)</f>
        <v>1.066984374</v>
      </c>
      <c r="AF504" s="30">
        <f>IFERROR(__xludf.DUMMYFUNCTION("""COMPUTED_VALUE"""),1.020155305028399)</f>
        <v>1.020155305</v>
      </c>
      <c r="AG504" s="30">
        <f>IFERROR(__xludf.DUMMYFUNCTION("""COMPUTED_VALUE"""),0.7817396668723011)</f>
        <v>0.7817396669</v>
      </c>
      <c r="AH504" s="30">
        <f>IFERROR(__xludf.DUMMYFUNCTION("""COMPUTED_VALUE"""),0.6662889518413598)</f>
        <v>0.6662889518</v>
      </c>
      <c r="AI504" s="30">
        <f>IFERROR(__xludf.DUMMYFUNCTION("""COMPUTED_VALUE"""),1.1258298169776795)</f>
        <v>1.125829817</v>
      </c>
      <c r="AJ504" s="30">
        <f>IFERROR(__xludf.DUMMYFUNCTION("""COMPUTED_VALUE"""),1.5385410386702265)</f>
        <v>1.538541039</v>
      </c>
      <c r="AK504" s="30">
        <f>IFERROR(__xludf.DUMMYFUNCTION("""COMPUTED_VALUE"""),1.4609245595542841)</f>
        <v>1.46092456</v>
      </c>
      <c r="AL504" s="30">
        <f>IFERROR(__xludf.DUMMYFUNCTION("""COMPUTED_VALUE"""),0.8194283375400778)</f>
        <v>0.8194283375</v>
      </c>
      <c r="AM504" s="30">
        <f>IFERROR(__xludf.DUMMYFUNCTION("""COMPUTED_VALUE"""),1.1502870184660077)</f>
        <v>1.150287018</v>
      </c>
      <c r="AN504" s="30">
        <f>IFERROR(__xludf.DUMMYFUNCTION("""COMPUTED_VALUE"""),0.940060601429063)</f>
        <v>0.9400606014</v>
      </c>
      <c r="AO504" s="30">
        <f>IFERROR(__xludf.DUMMYFUNCTION("""COMPUTED_VALUE"""),1.191026778704441)</f>
        <v>1.191026779</v>
      </c>
      <c r="AP504" s="30">
        <f>IFERROR(__xludf.DUMMYFUNCTION("""COMPUTED_VALUE"""),1.116023835387324)</f>
        <v>1.116023835</v>
      </c>
      <c r="AQ504" s="30">
        <f>IFERROR(__xludf.DUMMYFUNCTION("""COMPUTED_VALUE"""),0.7631052815998617)</f>
        <v>0.7631052816</v>
      </c>
      <c r="AR504" s="30">
        <f>IFERROR(__xludf.DUMMYFUNCTION("""COMPUTED_VALUE"""),0.7027137144029506)</f>
        <v>0.7027137144</v>
      </c>
      <c r="AS504" s="30">
        <f>IFERROR(__xludf.DUMMYFUNCTION("""COMPUTED_VALUE"""),18.0)</f>
        <v>18</v>
      </c>
      <c r="AT504" s="30">
        <f>IFERROR(__xludf.DUMMYFUNCTION("""COMPUTED_VALUE"""),0.3115713499828905)</f>
        <v>0.31157135</v>
      </c>
      <c r="AU504" s="30">
        <f>IFERROR(__xludf.DUMMYFUNCTION("""COMPUTED_VALUE"""),1.5443912498533297)</f>
        <v>1.54439125</v>
      </c>
      <c r="AV504" s="32">
        <f>IFERROR(__xludf.DUMMYFUNCTION("""COMPUTED_VALUE"""),34.03853425867862)</f>
        <v>34.03853426</v>
      </c>
      <c r="AW504" s="32">
        <f>IFERROR(__xludf.DUMMYFUNCTION("""COMPUTED_VALUE"""),-3.8228113477402608)</f>
        <v>-3.822811348</v>
      </c>
      <c r="AX504" s="32">
        <f>IFERROR(__xludf.DUMMYFUNCTION("""COMPUTED_VALUE"""),39.78918207041504)</f>
        <v>39.78918207</v>
      </c>
      <c r="AY504" s="32">
        <f>IFERROR(__xludf.DUMMYFUNCTION("""COMPUTED_VALUE"""),-2.9284462660199746)</f>
        <v>-2.928446266</v>
      </c>
      <c r="AZ504" s="30">
        <f>IFERROR(__xludf.DUMMYFUNCTION("""COMPUTED_VALUE"""),0.8943650817202862)</f>
        <v>0.8943650817</v>
      </c>
      <c r="BA504" s="30">
        <f>IFERROR(__xludf.DUMMYFUNCTION("""COMPUTED_VALUE"""),1700.0)</f>
        <v>1700</v>
      </c>
    </row>
    <row r="505">
      <c r="A505" s="71" t="str">
        <f>IFERROR(__xludf.DUMMYFUNCTION("""COMPUTED_VALUE"""),"Rival")</f>
        <v>Rival</v>
      </c>
      <c r="B505" s="71" t="str">
        <f>IFERROR(__xludf.DUMMYFUNCTION("""COMPUTED_VALUE"""),"RSC006211")</f>
        <v>RSC006211</v>
      </c>
      <c r="C505" s="30" t="str">
        <f>IFERROR(__xludf.DUMMYFUNCTION("""COMPUTED_VALUE"""),"Chase")</f>
        <v>Chase</v>
      </c>
      <c r="D505" s="30" t="str">
        <f>IFERROR(__xludf.DUMMYFUNCTION("""COMPUTED_VALUE"""),"Ion Imperial")</f>
        <v>Ion Imperial</v>
      </c>
      <c r="E505" s="30">
        <f>IFERROR(__xludf.DUMMYFUNCTION("""COMPUTED_VALUE"""),15.0)</f>
        <v>15</v>
      </c>
      <c r="F505" s="30">
        <f>IFERROR(__xludf.DUMMYFUNCTION("""COMPUTED_VALUE"""),9.0)</f>
        <v>9</v>
      </c>
      <c r="G505" s="42">
        <f>IFERROR(__xludf.DUMMYFUNCTION("""COMPUTED_VALUE"""),6.0)</f>
        <v>6</v>
      </c>
      <c r="H505" s="42">
        <f>IFERROR(__xludf.DUMMYFUNCTION("""COMPUTED_VALUE"""),0.6)</f>
        <v>0.6</v>
      </c>
      <c r="I505" s="42">
        <f>IFERROR(__xludf.DUMMYFUNCTION("""COMPUTED_VALUE"""),0.380952380952381)</f>
        <v>0.380952381</v>
      </c>
      <c r="J505" s="30">
        <f>IFERROR(__xludf.DUMMYFUNCTION("""COMPUTED_VALUE"""),393.3333333333333)</f>
        <v>393.3333333</v>
      </c>
      <c r="K505" s="30">
        <f>IFERROR(__xludf.DUMMYFUNCTION("""COMPUTED_VALUE"""),1.0666666666666667)</f>
        <v>1.066666667</v>
      </c>
      <c r="L505" s="30">
        <f>IFERROR(__xludf.DUMMYFUNCTION("""COMPUTED_VALUE"""),0.5333333333333333)</f>
        <v>0.5333333333</v>
      </c>
      <c r="M505" s="30">
        <f>IFERROR(__xludf.DUMMYFUNCTION("""COMPUTED_VALUE"""),1.5333333333333334)</f>
        <v>1.533333333</v>
      </c>
      <c r="N505" s="30">
        <f>IFERROR(__xludf.DUMMYFUNCTION("""COMPUTED_VALUE"""),2.8)</f>
        <v>2.8</v>
      </c>
      <c r="O505" s="30">
        <f>IFERROR(__xludf.DUMMYFUNCTION("""COMPUTED_VALUE"""),358.17777777777775)</f>
        <v>358.1777778</v>
      </c>
      <c r="P505" s="30">
        <f>IFERROR(__xludf.DUMMYFUNCTION("""COMPUTED_VALUE"""),0.8)</f>
        <v>0.8</v>
      </c>
      <c r="Q505" s="30">
        <f>IFERROR(__xludf.DUMMYFUNCTION("""COMPUTED_VALUE"""),0.5777777777777778)</f>
        <v>0.5777777778</v>
      </c>
      <c r="R505" s="30">
        <f>IFERROR(__xludf.DUMMYFUNCTION("""COMPUTED_VALUE"""),1.5111111111111113)</f>
        <v>1.511111111</v>
      </c>
      <c r="S505" s="30">
        <f>IFERROR(__xludf.DUMMYFUNCTION("""COMPUTED_VALUE"""),2.422222222222222)</f>
        <v>2.422222222</v>
      </c>
      <c r="T505" s="30">
        <f>IFERROR(__xludf.DUMMYFUNCTION("""COMPUTED_VALUE"""),332.75030153385705)</f>
        <v>332.7503015</v>
      </c>
      <c r="U505" s="30">
        <f>IFERROR(__xludf.DUMMYFUNCTION("""COMPUTED_VALUE"""),0.7087077480133036)</f>
        <v>0.708707748</v>
      </c>
      <c r="V505" s="30">
        <f>IFERROR(__xludf.DUMMYFUNCTION("""COMPUTED_VALUE"""),0.49413328852217725)</f>
        <v>0.4941332885</v>
      </c>
      <c r="W505" s="30">
        <f>IFERROR(__xludf.DUMMYFUNCTION("""COMPUTED_VALUE"""),1.303658191602636)</f>
        <v>1.303658192</v>
      </c>
      <c r="X505" s="30">
        <f>IFERROR(__xludf.DUMMYFUNCTION("""COMPUTED_VALUE"""),2.4446311630756075)</f>
        <v>2.444631163</v>
      </c>
      <c r="Y505" s="30">
        <f>IFERROR(__xludf.DUMMYFUNCTION("""COMPUTED_VALUE"""),360.7947252089474)</f>
        <v>360.7947252</v>
      </c>
      <c r="Z505" s="30">
        <f>IFERROR(__xludf.DUMMYFUNCTION("""COMPUTED_VALUE"""),0.8709240687296241)</f>
        <v>0.8709240687</v>
      </c>
      <c r="AA505" s="30">
        <f>IFERROR(__xludf.DUMMYFUNCTION("""COMPUTED_VALUE"""),0.6273654791710349)</f>
        <v>0.6273654792</v>
      </c>
      <c r="AB505" s="30">
        <f>IFERROR(__xludf.DUMMYFUNCTION("""COMPUTED_VALUE"""),1.260586304984453)</f>
        <v>1.260586305</v>
      </c>
      <c r="AC505" s="30">
        <f>IFERROR(__xludf.DUMMYFUNCTION("""COMPUTED_VALUE"""),2.6627972027972024)</f>
        <v>2.662797203</v>
      </c>
      <c r="AD505" s="30">
        <f>IFERROR(__xludf.DUMMYFUNCTION("""COMPUTED_VALUE"""),1.0901859308102184)</f>
        <v>1.090185931</v>
      </c>
      <c r="AE505" s="30">
        <f>IFERROR(__xludf.DUMMYFUNCTION("""COMPUTED_VALUE"""),1.2247527711830988)</f>
        <v>1.224752771</v>
      </c>
      <c r="AF505" s="30">
        <f>IFERROR(__xludf.DUMMYFUNCTION("""COMPUTED_VALUE"""),0.850115843221163)</f>
        <v>0.8501158432</v>
      </c>
      <c r="AG505" s="30">
        <f>IFERROR(__xludf.DUMMYFUNCTION("""COMPUTED_VALUE"""),1.2163652161461838)</f>
        <v>1.216365216</v>
      </c>
      <c r="AH505" s="30">
        <f>IFERROR(__xludf.DUMMYFUNCTION("""COMPUTED_VALUE"""),1.0515258154314828)</f>
        <v>1.051525815</v>
      </c>
      <c r="AI505" s="30">
        <f>IFERROR(__xludf.DUMMYFUNCTION("""COMPUTED_VALUE"""),1.0764160877592277)</f>
        <v>1.076416088</v>
      </c>
      <c r="AJ505" s="30">
        <f>IFERROR(__xludf.DUMMYFUNCTION("""COMPUTED_VALUE"""),1.1288150894957942)</f>
        <v>1.128815089</v>
      </c>
      <c r="AK505" s="30">
        <f>IFERROR(__xludf.DUMMYFUNCTION("""COMPUTED_VALUE"""),1.1692751555066432)</f>
        <v>1.169275156</v>
      </c>
      <c r="AL505" s="30">
        <f>IFERROR(__xludf.DUMMYFUNCTION("""COMPUTED_VALUE"""),1.1591313741936033)</f>
        <v>1.159131374</v>
      </c>
      <c r="AM505" s="30">
        <f>IFERROR(__xludf.DUMMYFUNCTION("""COMPUTED_VALUE"""),0.9908334062038248)</f>
        <v>0.9908334062</v>
      </c>
      <c r="AN505" s="30">
        <f>IFERROR(__xludf.DUMMYFUNCTION("""COMPUTED_VALUE"""),1.1604775830378389)</f>
        <v>1.160477583</v>
      </c>
      <c r="AO505" s="30">
        <f>IFERROR(__xludf.DUMMYFUNCTION("""COMPUTED_VALUE"""),1.4519183588016045)</f>
        <v>1.451918359</v>
      </c>
      <c r="AP505" s="30">
        <f>IFERROR(__xludf.DUMMYFUNCTION("""COMPUTED_VALUE"""),0.9523403395305163)</f>
        <v>0.9523403395</v>
      </c>
      <c r="AQ505" s="30">
        <f>IFERROR(__xludf.DUMMYFUNCTION("""COMPUTED_VALUE"""),1.170094765119788)</f>
        <v>1.170094765</v>
      </c>
      <c r="AR505" s="30">
        <f>IFERROR(__xludf.DUMMYFUNCTION("""COMPUTED_VALUE"""),1.124341943044721)</f>
        <v>1.124341943</v>
      </c>
      <c r="AS505" s="30">
        <f>IFERROR(__xludf.DUMMYFUNCTION("""COMPUTED_VALUE"""),44.0)</f>
        <v>44</v>
      </c>
      <c r="AT505" s="30">
        <f>IFERROR(__xludf.DUMMYFUNCTION("""COMPUTED_VALUE"""),0.5804056035847904)</f>
        <v>0.5804056036</v>
      </c>
      <c r="AU505" s="30">
        <f>IFERROR(__xludf.DUMMYFUNCTION("""COMPUTED_VALUE"""),2.416657759184241)</f>
        <v>2.416657759</v>
      </c>
      <c r="AV505" s="32">
        <f>IFERROR(__xludf.DUMMYFUNCTION("""COMPUTED_VALUE"""),64.85053693739661)</f>
        <v>64.85053694</v>
      </c>
      <c r="AW505" s="32">
        <f>IFERROR(__xludf.DUMMYFUNCTION("""COMPUTED_VALUE"""),3.6199242568612857)</f>
        <v>3.619924257</v>
      </c>
      <c r="AX505" s="32">
        <f>IFERROR(__xludf.DUMMYFUNCTION("""COMPUTED_VALUE"""),58.69368849878335)</f>
        <v>58.6936885</v>
      </c>
      <c r="AY505" s="32">
        <f>IFERROR(__xludf.DUMMYFUNCTION("""COMPUTED_VALUE"""),2.747140331449755)</f>
        <v>2.747140331</v>
      </c>
      <c r="AZ505" s="30">
        <f>IFERROR(__xludf.DUMMYFUNCTION("""COMPUTED_VALUE"""),0.8727839254115306)</f>
        <v>0.8727839254</v>
      </c>
      <c r="BA505" s="30">
        <f>IFERROR(__xludf.DUMMYFUNCTION("""COMPUTED_VALUE"""),1700.0)</f>
        <v>1700</v>
      </c>
    </row>
    <row r="506">
      <c r="A506" s="71" t="str">
        <f>IFERROR(__xludf.DUMMYFUNCTION("""COMPUTED_VALUE"""),"Rival")</f>
        <v>Rival</v>
      </c>
      <c r="B506" s="71" t="str">
        <f>IFERROR(__xludf.DUMMYFUNCTION("""COMPUTED_VALUE"""),"RSC003118")</f>
        <v>RSC003118</v>
      </c>
      <c r="C506" s="30" t="str">
        <f>IFERROR(__xludf.DUMMYFUNCTION("""COMPUTED_VALUE"""),"Mysty")</f>
        <v>Mysty</v>
      </c>
      <c r="D506" s="30" t="str">
        <f>IFERROR(__xludf.DUMMYFUNCTION("""COMPUTED_VALUE"""),"Necrotic Nerds")</f>
        <v>Necrotic Nerds</v>
      </c>
      <c r="E506" s="30">
        <f>IFERROR(__xludf.DUMMYFUNCTION("""COMPUTED_VALUE"""),28.0)</f>
        <v>28</v>
      </c>
      <c r="F506" s="30">
        <f>IFERROR(__xludf.DUMMYFUNCTION("""COMPUTED_VALUE"""),13.0)</f>
        <v>13</v>
      </c>
      <c r="G506" s="42">
        <f>IFERROR(__xludf.DUMMYFUNCTION("""COMPUTED_VALUE"""),15.0)</f>
        <v>15</v>
      </c>
      <c r="H506" s="42">
        <f>IFERROR(__xludf.DUMMYFUNCTION("""COMPUTED_VALUE"""),0.4642857142857143)</f>
        <v>0.4642857143</v>
      </c>
      <c r="I506" s="42">
        <f>IFERROR(__xludf.DUMMYFUNCTION("""COMPUTED_VALUE"""),0.2638888888888889)</f>
        <v>0.2638888889</v>
      </c>
      <c r="J506" s="30">
        <f>IFERROR(__xludf.DUMMYFUNCTION("""COMPUTED_VALUE"""),310.60714285714283)</f>
        <v>310.6071429</v>
      </c>
      <c r="K506" s="30">
        <f>IFERROR(__xludf.DUMMYFUNCTION("""COMPUTED_VALUE"""),0.6785714285714286)</f>
        <v>0.6785714286</v>
      </c>
      <c r="L506" s="30">
        <f>IFERROR(__xludf.DUMMYFUNCTION("""COMPUTED_VALUE"""),0.7857142857142857)</f>
        <v>0.7857142857</v>
      </c>
      <c r="M506" s="30">
        <f>IFERROR(__xludf.DUMMYFUNCTION("""COMPUTED_VALUE"""),0.8928571428571429)</f>
        <v>0.8928571429</v>
      </c>
      <c r="N506" s="30">
        <f>IFERROR(__xludf.DUMMYFUNCTION("""COMPUTED_VALUE"""),2.5714285714285716)</f>
        <v>2.571428571</v>
      </c>
      <c r="O506" s="30">
        <f>IFERROR(__xludf.DUMMYFUNCTION("""COMPUTED_VALUE"""),375.2142857142858)</f>
        <v>375.2142857</v>
      </c>
      <c r="P506" s="30">
        <f>IFERROR(__xludf.DUMMYFUNCTION("""COMPUTED_VALUE"""),1.0000000000000002)</f>
        <v>1</v>
      </c>
      <c r="Q506" s="30">
        <f>IFERROR(__xludf.DUMMYFUNCTION("""COMPUTED_VALUE"""),0.6190476190476192)</f>
        <v>0.619047619</v>
      </c>
      <c r="R506" s="30">
        <f>IFERROR(__xludf.DUMMYFUNCTION("""COMPUTED_VALUE"""),1.261904761904762)</f>
        <v>1.261904762</v>
      </c>
      <c r="S506" s="30">
        <f>IFERROR(__xludf.DUMMYFUNCTION("""COMPUTED_VALUE"""),2.785714285714286)</f>
        <v>2.785714286</v>
      </c>
      <c r="T506" s="30">
        <f>IFERROR(__xludf.DUMMYFUNCTION("""COMPUTED_VALUE"""),337.22398796177566)</f>
        <v>337.223988</v>
      </c>
      <c r="U506" s="30">
        <f>IFERROR(__xludf.DUMMYFUNCTION("""COMPUTED_VALUE"""),0.77561105107812)</f>
        <v>0.7756110511</v>
      </c>
      <c r="V506" s="30">
        <f>IFERROR(__xludf.DUMMYFUNCTION("""COMPUTED_VALUE"""),0.5383445261344743)</f>
        <v>0.5383445261</v>
      </c>
      <c r="W506" s="30">
        <f>IFERROR(__xludf.DUMMYFUNCTION("""COMPUTED_VALUE"""),1.3085850420361977)</f>
        <v>1.308585042</v>
      </c>
      <c r="X506" s="30">
        <f>IFERROR(__xludf.DUMMYFUNCTION("""COMPUTED_VALUE"""),2.5494574073639744)</f>
        <v>2.549457407</v>
      </c>
      <c r="Y506" s="30">
        <f>IFERROR(__xludf.DUMMYFUNCTION("""COMPUTED_VALUE"""),353.9575528392899)</f>
        <v>353.9575528</v>
      </c>
      <c r="Z506" s="30">
        <f>IFERROR(__xludf.DUMMYFUNCTION("""COMPUTED_VALUE"""),0.8354258256198037)</f>
        <v>0.8354258256</v>
      </c>
      <c r="AA506" s="30">
        <f>IFERROR(__xludf.DUMMYFUNCTION("""COMPUTED_VALUE"""),0.5863038474408117)</f>
        <v>0.5863038474</v>
      </c>
      <c r="AB506" s="30">
        <f>IFERROR(__xludf.DUMMYFUNCTION("""COMPUTED_VALUE"""),1.3339385875020469)</f>
        <v>1.333938588</v>
      </c>
      <c r="AC506" s="30">
        <f>IFERROR(__xludf.DUMMYFUNCTION("""COMPUTED_VALUE"""),2.640687461488611)</f>
        <v>2.640687461</v>
      </c>
      <c r="AD506" s="30">
        <f>IFERROR(__xludf.DUMMYFUNCTION("""COMPUTED_VALUE"""),0.8775265292846292)</f>
        <v>0.8775265293</v>
      </c>
      <c r="AE506" s="30">
        <f>IFERROR(__xludf.DUMMYFUNCTION("""COMPUTED_VALUE"""),0.8122461716670004)</f>
        <v>0.8122461717</v>
      </c>
      <c r="AF506" s="30">
        <f>IFERROR(__xludf.DUMMYFUNCTION("""COMPUTED_VALUE"""),1.340114497190989)</f>
        <v>1.340114497</v>
      </c>
      <c r="AG506" s="30">
        <f>IFERROR(__xludf.DUMMYFUNCTION("""COMPUTED_VALUE"""),0.6693390169701293)</f>
        <v>0.669339017</v>
      </c>
      <c r="AH506" s="30">
        <f>IFERROR(__xludf.DUMMYFUNCTION("""COMPUTED_VALUE"""),0.9737724016680881)</f>
        <v>0.9737724017</v>
      </c>
      <c r="AI506" s="30">
        <f>IFERROR(__xludf.DUMMYFUNCTION("""COMPUTED_VALUE"""),1.11265597676526)</f>
        <v>1.112655977</v>
      </c>
      <c r="AJ506" s="30">
        <f>IFERROR(__xludf.DUMMYFUNCTION("""COMPUTED_VALUE"""),1.2893060234378735)</f>
        <v>1.289306023</v>
      </c>
      <c r="AK506" s="30">
        <f>IFERROR(__xludf.DUMMYFUNCTION("""COMPUTED_VALUE"""),1.1499097492318253)</f>
        <v>1.149909749</v>
      </c>
      <c r="AL506" s="30">
        <f>IFERROR(__xludf.DUMMYFUNCTION("""COMPUTED_VALUE"""),0.9643276679528602)</f>
        <v>0.964327668</v>
      </c>
      <c r="AM506" s="30">
        <f>IFERROR(__xludf.DUMMYFUNCTION("""COMPUTED_VALUE"""),1.0926694745587417)</f>
        <v>1.092669475</v>
      </c>
      <c r="AN506" s="30">
        <f>IFERROR(__xludf.DUMMYFUNCTION("""COMPUTED_VALUE"""),0.9164049824164726)</f>
        <v>0.9164049824</v>
      </c>
      <c r="AO506" s="30">
        <f>IFERROR(__xludf.DUMMYFUNCTION("""COMPUTED_VALUE"""),0.9236534202197707)</f>
        <v>0.9236534202</v>
      </c>
      <c r="AP506" s="30">
        <f>IFERROR(__xludf.DUMMYFUNCTION("""COMPUTED_VALUE"""),1.40300139305835)</f>
        <v>1.403001393</v>
      </c>
      <c r="AQ506" s="30">
        <f>IFERROR(__xludf.DUMMYFUNCTION("""COMPUTED_VALUE"""),0.681344001428448)</f>
        <v>0.6813440014</v>
      </c>
      <c r="AR506" s="30">
        <f>IFERROR(__xludf.DUMMYFUNCTION("""COMPUTED_VALUE"""),1.0325589272859683)</f>
        <v>1.032558927</v>
      </c>
      <c r="AS506" s="30">
        <f>IFERROR(__xludf.DUMMYFUNCTION("""COMPUTED_VALUE"""),73.0)</f>
        <v>73</v>
      </c>
      <c r="AT506" s="30">
        <f>IFERROR(__xludf.DUMMYFUNCTION("""COMPUTED_VALUE"""),0.4427003546384597)</f>
        <v>0.4427003546</v>
      </c>
      <c r="AU506" s="30">
        <f>IFERROR(__xludf.DUMMYFUNCTION("""COMPUTED_VALUE"""),1.906572438199368)</f>
        <v>1.906572438</v>
      </c>
      <c r="AV506" s="32">
        <f>IFERROR(__xludf.DUMMYFUNCTION("""COMPUTED_VALUE"""),46.83224767782563)</f>
        <v>46.83224768</v>
      </c>
      <c r="AW506" s="32">
        <f>IFERROR(__xludf.DUMMYFUNCTION("""COMPUTED_VALUE"""),-2.224273849757484)</f>
        <v>-2.22427385</v>
      </c>
      <c r="AX506" s="32">
        <f>IFERROR(__xludf.DUMMYFUNCTION("""COMPUTED_VALUE"""),38.59077971478378)</f>
        <v>38.59077971</v>
      </c>
      <c r="AY506" s="32">
        <f>IFERROR(__xludf.DUMMYFUNCTION("""COMPUTED_VALUE"""),-3.0858254962792406)</f>
        <v>-3.085825496</v>
      </c>
      <c r="AZ506" s="30">
        <f>IFERROR(__xludf.DUMMYFUNCTION("""COMPUTED_VALUE"""),0.8615516465217565)</f>
        <v>0.8615516465</v>
      </c>
      <c r="BA506" s="30">
        <f>IFERROR(__xludf.DUMMYFUNCTION("""COMPUTED_VALUE"""),1700.0)</f>
        <v>1700</v>
      </c>
    </row>
    <row r="507">
      <c r="A507" s="71" t="str">
        <f>IFERROR(__xludf.DUMMYFUNCTION("""COMPUTED_VALUE"""),"Rival")</f>
        <v>Rival</v>
      </c>
      <c r="B507" s="71" t="str">
        <f>IFERROR(__xludf.DUMMYFUNCTION("""COMPUTED_VALUE"""),"RSC007527")</f>
        <v>RSC007527</v>
      </c>
      <c r="C507" s="30" t="str">
        <f>IFERROR(__xludf.DUMMYFUNCTION("""COMPUTED_VALUE"""),"Yort")</f>
        <v>Yort</v>
      </c>
      <c r="D507" s="30" t="str">
        <f>IFERROR(__xludf.DUMMYFUNCTION("""COMPUTED_VALUE"""),"Dracos")</f>
        <v>Dracos</v>
      </c>
      <c r="E507" s="30">
        <f>IFERROR(__xludf.DUMMYFUNCTION("""COMPUTED_VALUE"""),26.0)</f>
        <v>26</v>
      </c>
      <c r="F507" s="30">
        <f>IFERROR(__xludf.DUMMYFUNCTION("""COMPUTED_VALUE"""),15.0)</f>
        <v>15</v>
      </c>
      <c r="G507" s="42">
        <f>IFERROR(__xludf.DUMMYFUNCTION("""COMPUTED_VALUE"""),11.0)</f>
        <v>11</v>
      </c>
      <c r="H507" s="42">
        <f>IFERROR(__xludf.DUMMYFUNCTION("""COMPUTED_VALUE"""),0.5769230769230769)</f>
        <v>0.5769230769</v>
      </c>
      <c r="I507" s="42">
        <f>IFERROR(__xludf.DUMMYFUNCTION("""COMPUTED_VALUE"""),0.3731343283582089)</f>
        <v>0.3731343284</v>
      </c>
      <c r="J507" s="30">
        <f>IFERROR(__xludf.DUMMYFUNCTION("""COMPUTED_VALUE"""),357.3076923076923)</f>
        <v>357.3076923</v>
      </c>
      <c r="K507" s="30">
        <f>IFERROR(__xludf.DUMMYFUNCTION("""COMPUTED_VALUE"""),0.9615384615384616)</f>
        <v>0.9615384615</v>
      </c>
      <c r="L507" s="30">
        <f>IFERROR(__xludf.DUMMYFUNCTION("""COMPUTED_VALUE"""),0.38461538461538464)</f>
        <v>0.3846153846</v>
      </c>
      <c r="M507" s="30">
        <f>IFERROR(__xludf.DUMMYFUNCTION("""COMPUTED_VALUE"""),1.3076923076923077)</f>
        <v>1.307692308</v>
      </c>
      <c r="N507" s="30">
        <f>IFERROR(__xludf.DUMMYFUNCTION("""COMPUTED_VALUE"""),2.576923076923077)</f>
        <v>2.576923077</v>
      </c>
      <c r="O507" s="30">
        <f>IFERROR(__xludf.DUMMYFUNCTION("""COMPUTED_VALUE"""),336.0384615384615)</f>
        <v>336.0384615</v>
      </c>
      <c r="P507" s="30">
        <f>IFERROR(__xludf.DUMMYFUNCTION("""COMPUTED_VALUE"""),0.7051282051282052)</f>
        <v>0.7051282051</v>
      </c>
      <c r="Q507" s="30">
        <f>IFERROR(__xludf.DUMMYFUNCTION("""COMPUTED_VALUE"""),0.435897435897436)</f>
        <v>0.4358974359</v>
      </c>
      <c r="R507" s="30">
        <f>IFERROR(__xludf.DUMMYFUNCTION("""COMPUTED_VALUE"""),1.358974358974359)</f>
        <v>1.358974359</v>
      </c>
      <c r="S507" s="30">
        <f>IFERROR(__xludf.DUMMYFUNCTION("""COMPUTED_VALUE"""),2.4615384615384612)</f>
        <v>2.461538462</v>
      </c>
      <c r="T507" s="30">
        <f>IFERROR(__xludf.DUMMYFUNCTION("""COMPUTED_VALUE"""),341.62279599318055)</f>
        <v>341.622796</v>
      </c>
      <c r="U507" s="30">
        <f>IFERROR(__xludf.DUMMYFUNCTION("""COMPUTED_VALUE"""),0.7197491255183561)</f>
        <v>0.7197491255</v>
      </c>
      <c r="V507" s="30">
        <f>IFERROR(__xludf.DUMMYFUNCTION("""COMPUTED_VALUE"""),0.5405577186346415)</f>
        <v>0.5405577186</v>
      </c>
      <c r="W507" s="30">
        <f>IFERROR(__xludf.DUMMYFUNCTION("""COMPUTED_VALUE"""),1.26564803430188)</f>
        <v>1.265648034</v>
      </c>
      <c r="X507" s="30">
        <f>IFERROR(__xludf.DUMMYFUNCTION("""COMPUTED_VALUE"""),2.553719136988368)</f>
        <v>2.553719137</v>
      </c>
      <c r="Y507" s="30">
        <f>IFERROR(__xludf.DUMMYFUNCTION("""COMPUTED_VALUE"""),342.4402566000002)</f>
        <v>342.4402566</v>
      </c>
      <c r="Z507" s="30">
        <f>IFERROR(__xludf.DUMMYFUNCTION("""COMPUTED_VALUE"""),0.7595854715085483)</f>
        <v>0.7595854715</v>
      </c>
      <c r="AA507" s="30">
        <f>IFERROR(__xludf.DUMMYFUNCTION("""COMPUTED_VALUE"""),0.5502309300386223)</f>
        <v>0.55023093</v>
      </c>
      <c r="AB507" s="30">
        <f>IFERROR(__xludf.DUMMYFUNCTION("""COMPUTED_VALUE"""),1.290147969314636)</f>
        <v>1.290147969</v>
      </c>
      <c r="AC507" s="30">
        <f>IFERROR(__xludf.DUMMYFUNCTION("""COMPUTED_VALUE"""),2.4709032776340476)</f>
        <v>2.470903278</v>
      </c>
      <c r="AD507" s="30">
        <f>IFERROR(__xludf.DUMMYFUNCTION("""COMPUTED_VALUE"""),1.0434161446300356)</f>
        <v>1.043416145</v>
      </c>
      <c r="AE507" s="30">
        <f>IFERROR(__xludf.DUMMYFUNCTION("""COMPUTED_VALUE"""),1.2658726339628792)</f>
        <v>1.265872634</v>
      </c>
      <c r="AF507" s="30">
        <f>IFERROR(__xludf.DUMMYFUNCTION("""COMPUTED_VALUE"""),0.6990072051899869)</f>
        <v>0.6990072052</v>
      </c>
      <c r="AG507" s="30">
        <f>IFERROR(__xludf.DUMMYFUNCTION("""COMPUTED_VALUE"""),1.0135987024705326)</f>
        <v>1.013598702</v>
      </c>
      <c r="AH507" s="30">
        <f>IFERROR(__xludf.DUMMYFUNCTION("""COMPUTED_VALUE"""),1.0429073044860526)</f>
        <v>1.042907304</v>
      </c>
      <c r="AI507" s="30">
        <f>IFERROR(__xludf.DUMMYFUNCTION("""COMPUTED_VALUE"""),0.9836535075521409)</f>
        <v>0.9836535076</v>
      </c>
      <c r="AJ507" s="30">
        <f>IFERROR(__xludf.DUMMYFUNCTION("""COMPUTED_VALUE"""),0.9796860880107063)</f>
        <v>0.979686088</v>
      </c>
      <c r="AK507" s="30">
        <f>IFERROR(__xludf.DUMMYFUNCTION("""COMPUTED_VALUE"""),0.8063846299308057)</f>
        <v>0.8063846299</v>
      </c>
      <c r="AL507" s="30">
        <f>IFERROR(__xludf.DUMMYFUNCTION("""COMPUTED_VALUE"""),1.0737379762328292)</f>
        <v>1.073737976</v>
      </c>
      <c r="AM507" s="30">
        <f>IFERROR(__xludf.DUMMYFUNCTION("""COMPUTED_VALUE"""),0.9639033619184072)</f>
        <v>0.9639033619</v>
      </c>
      <c r="AN507" s="30">
        <f>IFERROR(__xludf.DUMMYFUNCTION("""COMPUTED_VALUE"""),1.0541887300933694)</f>
        <v>1.05418873</v>
      </c>
      <c r="AO507" s="30">
        <f>IFERROR(__xludf.DUMMYFUNCTION("""COMPUTED_VALUE"""),1.3088206359389465)</f>
        <v>1.308820636</v>
      </c>
      <c r="AP507" s="30">
        <f>IFERROR(__xludf.DUMMYFUNCTION("""COMPUTED_VALUE"""),0.6867838986998916)</f>
        <v>0.6867838987</v>
      </c>
      <c r="AQ507" s="30">
        <f>IFERROR(__xludf.DUMMYFUNCTION("""COMPUTED_VALUE"""),0.9979069067075114)</f>
        <v>0.9979069067</v>
      </c>
      <c r="AR507" s="30">
        <f>IFERROR(__xludf.DUMMYFUNCTION("""COMPUTED_VALUE"""),1.0347652497801691)</f>
        <v>1.03476525</v>
      </c>
      <c r="AS507" s="30">
        <f>IFERROR(__xludf.DUMMYFUNCTION("""COMPUTED_VALUE"""),60.0)</f>
        <v>60</v>
      </c>
      <c r="AT507" s="30">
        <f>IFERROR(__xludf.DUMMYFUNCTION("""COMPUTED_VALUE"""),0.5332809997835677)</f>
        <v>0.5332809998</v>
      </c>
      <c r="AU507" s="30">
        <f>IFERROR(__xludf.DUMMYFUNCTION("""COMPUTED_VALUE"""),2.2991819527300863)</f>
        <v>2.299181953</v>
      </c>
      <c r="AV507" s="32">
        <f>IFERROR(__xludf.DUMMYFUNCTION("""COMPUTED_VALUE"""),60.70081340172344)</f>
        <v>60.7008134</v>
      </c>
      <c r="AW507" s="32">
        <f>IFERROR(__xludf.DUMMYFUNCTION("""COMPUTED_VALUE"""),2.9912024281946046)</f>
        <v>2.991202428</v>
      </c>
      <c r="AX507" s="32">
        <f>IFERROR(__xludf.DUMMYFUNCTION("""COMPUTED_VALUE"""),52.118931100596605)</f>
        <v>52.1189311</v>
      </c>
      <c r="AY507" s="32">
        <f>IFERROR(__xludf.DUMMYFUNCTION("""COMPUTED_VALUE"""),2.144877037531052)</f>
        <v>2.144877038</v>
      </c>
      <c r="AZ507" s="30">
        <f>IFERROR(__xludf.DUMMYFUNCTION("""COMPUTED_VALUE"""),0.8463253906635524)</f>
        <v>0.8463253907</v>
      </c>
      <c r="BA507" s="30">
        <f>IFERROR(__xludf.DUMMYFUNCTION("""COMPUTED_VALUE"""),1700.0)</f>
        <v>1700</v>
      </c>
    </row>
    <row r="508">
      <c r="A508" s="71" t="str">
        <f>IFERROR(__xludf.DUMMYFUNCTION("""COMPUTED_VALUE"""),"Rival")</f>
        <v>Rival</v>
      </c>
      <c r="B508" s="71" t="str">
        <f>IFERROR(__xludf.DUMMYFUNCTION("""COMPUTED_VALUE"""),"RSC002036")</f>
        <v>RSC002036</v>
      </c>
      <c r="C508" s="30" t="str">
        <f>IFERROR(__xludf.DUMMYFUNCTION("""COMPUTED_VALUE"""),"Reno")</f>
        <v>Reno</v>
      </c>
      <c r="D508" s="30" t="str">
        <f>IFERROR(__xludf.DUMMYFUNCTION("""COMPUTED_VALUE"""),"Polar Ice")</f>
        <v>Polar Ice</v>
      </c>
      <c r="E508" s="30">
        <f>IFERROR(__xludf.DUMMYFUNCTION("""COMPUTED_VALUE"""),35.0)</f>
        <v>35</v>
      </c>
      <c r="F508" s="30">
        <f>IFERROR(__xludf.DUMMYFUNCTION("""COMPUTED_VALUE"""),16.0)</f>
        <v>16</v>
      </c>
      <c r="G508" s="42">
        <f>IFERROR(__xludf.DUMMYFUNCTION("""COMPUTED_VALUE"""),19.0)</f>
        <v>19</v>
      </c>
      <c r="H508" s="42">
        <f>IFERROR(__xludf.DUMMYFUNCTION("""COMPUTED_VALUE"""),0.45714285714285713)</f>
        <v>0.4571428571</v>
      </c>
      <c r="I508" s="42">
        <f>IFERROR(__xludf.DUMMYFUNCTION("""COMPUTED_VALUE"""),0.2727272727272727)</f>
        <v>0.2727272727</v>
      </c>
      <c r="J508" s="30">
        <f>IFERROR(__xludf.DUMMYFUNCTION("""COMPUTED_VALUE"""),376.1142857142857)</f>
        <v>376.1142857</v>
      </c>
      <c r="K508" s="30">
        <f>IFERROR(__xludf.DUMMYFUNCTION("""COMPUTED_VALUE"""),0.8571428571428571)</f>
        <v>0.8571428571</v>
      </c>
      <c r="L508" s="30">
        <f>IFERROR(__xludf.DUMMYFUNCTION("""COMPUTED_VALUE"""),0.5142857142857142)</f>
        <v>0.5142857143</v>
      </c>
      <c r="M508" s="30">
        <f>IFERROR(__xludf.DUMMYFUNCTION("""COMPUTED_VALUE"""),1.542857142857143)</f>
        <v>1.542857143</v>
      </c>
      <c r="N508" s="30">
        <f>IFERROR(__xludf.DUMMYFUNCTION("""COMPUTED_VALUE"""),3.142857142857143)</f>
        <v>3.142857143</v>
      </c>
      <c r="O508" s="30">
        <f>IFERROR(__xludf.DUMMYFUNCTION("""COMPUTED_VALUE"""),365.2571428571429)</f>
        <v>365.2571429</v>
      </c>
      <c r="P508" s="30">
        <f>IFERROR(__xludf.DUMMYFUNCTION("""COMPUTED_VALUE"""),0.8285714285714285)</f>
        <v>0.8285714286</v>
      </c>
      <c r="Q508" s="30">
        <f>IFERROR(__xludf.DUMMYFUNCTION("""COMPUTED_VALUE"""),0.5619047619047619)</f>
        <v>0.5619047619</v>
      </c>
      <c r="R508" s="30">
        <f>IFERROR(__xludf.DUMMYFUNCTION("""COMPUTED_VALUE"""),1.428571428571429)</f>
        <v>1.428571429</v>
      </c>
      <c r="S508" s="30">
        <f>IFERROR(__xludf.DUMMYFUNCTION("""COMPUTED_VALUE"""),2.638095238095238)</f>
        <v>2.638095238</v>
      </c>
      <c r="T508" s="30">
        <f>IFERROR(__xludf.DUMMYFUNCTION("""COMPUTED_VALUE"""),341.0528984956323)</f>
        <v>341.0528985</v>
      </c>
      <c r="U508" s="30">
        <f>IFERROR(__xludf.DUMMYFUNCTION("""COMPUTED_VALUE"""),0.751964272370435)</f>
        <v>0.7519642724</v>
      </c>
      <c r="V508" s="30">
        <f>IFERROR(__xludf.DUMMYFUNCTION("""COMPUTED_VALUE"""),0.5192576710041698)</f>
        <v>0.519257671</v>
      </c>
      <c r="W508" s="30">
        <f>IFERROR(__xludf.DUMMYFUNCTION("""COMPUTED_VALUE"""),1.2943621102675726)</f>
        <v>1.29436211</v>
      </c>
      <c r="X508" s="30">
        <f>IFERROR(__xludf.DUMMYFUNCTION("""COMPUTED_VALUE"""),2.5206050606204666)</f>
        <v>2.520605061</v>
      </c>
      <c r="Y508" s="30">
        <f>IFERROR(__xludf.DUMMYFUNCTION("""COMPUTED_VALUE"""),346.39176255090655)</f>
        <v>346.3917626</v>
      </c>
      <c r="Z508" s="30">
        <f>IFERROR(__xludf.DUMMYFUNCTION("""COMPUTED_VALUE"""),0.7757448500681461)</f>
        <v>0.7757448501</v>
      </c>
      <c r="AA508" s="30">
        <f>IFERROR(__xludf.DUMMYFUNCTION("""COMPUTED_VALUE"""),0.5621152564539589)</f>
        <v>0.5621152565</v>
      </c>
      <c r="AB508" s="30">
        <f>IFERROR(__xludf.DUMMYFUNCTION("""COMPUTED_VALUE"""),1.3180640202727039)</f>
        <v>1.31806402</v>
      </c>
      <c r="AC508" s="30">
        <f>IFERROR(__xludf.DUMMYFUNCTION("""COMPUTED_VALUE"""),2.5471693599221616)</f>
        <v>2.54716936</v>
      </c>
      <c r="AD508" s="30">
        <f>IFERROR(__xludf.DUMMYFUNCTION("""COMPUTED_VALUE"""),1.0858060911855867)</f>
        <v>1.085806091</v>
      </c>
      <c r="AE508" s="30">
        <f>IFERROR(__xludf.DUMMYFUNCTION("""COMPUTED_VALUE"""),1.1049288397693655)</f>
        <v>1.10492884</v>
      </c>
      <c r="AF508" s="30">
        <f>IFERROR(__xludf.DUMMYFUNCTION("""COMPUTED_VALUE"""),0.9149115032565173)</f>
        <v>0.9149115033</v>
      </c>
      <c r="AG508" s="30">
        <f>IFERROR(__xludf.DUMMYFUNCTION("""COMPUTED_VALUE"""),1.1705479545203958)</f>
        <v>1.170547955</v>
      </c>
      <c r="AH508" s="30">
        <f>IFERROR(__xludf.DUMMYFUNCTION("""COMPUTED_VALUE"""),1.2338626525223217)</f>
        <v>1.233862653</v>
      </c>
      <c r="AI508" s="30">
        <f>IFERROR(__xludf.DUMMYFUNCTION("""COMPUTED_VALUE"""),1.0709691794682712)</f>
        <v>1.070969179</v>
      </c>
      <c r="AJ508" s="30">
        <f>IFERROR(__xludf.DUMMYFUNCTION("""COMPUTED_VALUE"""),1.1018760584987675)</f>
        <v>1.101876058</v>
      </c>
      <c r="AK508" s="30">
        <f>IFERROR(__xludf.DUMMYFUNCTION("""COMPUTED_VALUE"""),1.0821308827621532)</f>
        <v>1.082130883</v>
      </c>
      <c r="AL508" s="30">
        <f>IFERROR(__xludf.DUMMYFUNCTION("""COMPUTED_VALUE"""),1.1036876135659692)</f>
        <v>1.103687614</v>
      </c>
      <c r="AM508" s="30">
        <f>IFERROR(__xludf.DUMMYFUNCTION("""COMPUTED_VALUE"""),1.0466118946241623)</f>
        <v>1.046611895</v>
      </c>
      <c r="AN508" s="30">
        <f>IFERROR(__xludf.DUMMYFUNCTION("""COMPUTED_VALUE"""),1.1096750777077564)</f>
        <v>1.109675078</v>
      </c>
      <c r="AO508" s="30">
        <f>IFERROR(__xludf.DUMMYFUNCTION("""COMPUTED_VALUE"""),1.1667201097512891)</f>
        <v>1.16672011</v>
      </c>
      <c r="AP508" s="30">
        <f>IFERROR(__xludf.DUMMYFUNCTION("""COMPUTED_VALUE"""),0.9183281845472836)</f>
        <v>0.9183281845</v>
      </c>
      <c r="AQ508" s="30">
        <f>IFERROR(__xludf.DUMMYFUNCTION("""COMPUTED_VALUE"""),1.177362434468358)</f>
        <v>1.177362434</v>
      </c>
      <c r="AR508" s="30">
        <f>IFERROR(__xludf.DUMMYFUNCTION("""COMPUTED_VALUE"""),1.2620164666828502)</f>
        <v>1.262016467</v>
      </c>
      <c r="AS508" s="30">
        <f>IFERROR(__xludf.DUMMYFUNCTION("""COMPUTED_VALUE"""),85.0)</f>
        <v>85</v>
      </c>
      <c r="AT508" s="30">
        <f>IFERROR(__xludf.DUMMYFUNCTION("""COMPUTED_VALUE"""),0.4908189691573656)</f>
        <v>0.4908189692</v>
      </c>
      <c r="AU508" s="30">
        <f>IFERROR(__xludf.DUMMYFUNCTION("""COMPUTED_VALUE"""),2.340006332152173)</f>
        <v>2.340006332</v>
      </c>
      <c r="AV508" s="32">
        <f>IFERROR(__xludf.DUMMYFUNCTION("""COMPUTED_VALUE"""),62.14289661213492)</f>
        <v>62.14289661</v>
      </c>
      <c r="AW508" s="32">
        <f>IFERROR(__xludf.DUMMYFUNCTION("""COMPUTED_VALUE"""),3.1889349873374453)</f>
        <v>3.188934987</v>
      </c>
      <c r="AX508" s="32">
        <f>IFERROR(__xludf.DUMMYFUNCTION("""COMPUTED_VALUE"""),55.667495444445095)</f>
        <v>55.66749544</v>
      </c>
      <c r="AY508" s="32">
        <f>IFERROR(__xludf.DUMMYFUNCTION("""COMPUTED_VALUE"""),2.4370712594591675)</f>
        <v>2.437071259</v>
      </c>
      <c r="AZ508" s="30">
        <f>IFERROR(__xludf.DUMMYFUNCTION("""COMPUTED_VALUE"""),0.7518637278782778)</f>
        <v>0.7518637279</v>
      </c>
      <c r="BA508" s="30">
        <f>IFERROR(__xludf.DUMMYFUNCTION("""COMPUTED_VALUE"""),1700.0)</f>
        <v>1700</v>
      </c>
    </row>
    <row r="509">
      <c r="A509" s="71" t="str">
        <f>IFERROR(__xludf.DUMMYFUNCTION("""COMPUTED_VALUE"""),"Rival")</f>
        <v>Rival</v>
      </c>
      <c r="B509" s="71" t="str">
        <f>IFERROR(__xludf.DUMMYFUNCTION("""COMPUTED_VALUE"""),"RSC005475")</f>
        <v>RSC005475</v>
      </c>
      <c r="C509" s="30" t="str">
        <f>IFERROR(__xludf.DUMMYFUNCTION("""COMPUTED_VALUE"""),"Envy")</f>
        <v>Envy</v>
      </c>
      <c r="D509" s="30" t="str">
        <f>IFERROR(__xludf.DUMMYFUNCTION("""COMPUTED_VALUE"""),"Funk Hunks")</f>
        <v>Funk Hunks</v>
      </c>
      <c r="E509" s="30">
        <f>IFERROR(__xludf.DUMMYFUNCTION("""COMPUTED_VALUE"""),28.0)</f>
        <v>28</v>
      </c>
      <c r="F509" s="30">
        <f>IFERROR(__xludf.DUMMYFUNCTION("""COMPUTED_VALUE"""),10.0)</f>
        <v>10</v>
      </c>
      <c r="G509" s="42">
        <f>IFERROR(__xludf.DUMMYFUNCTION("""COMPUTED_VALUE"""),18.0)</f>
        <v>18</v>
      </c>
      <c r="H509" s="42">
        <f>IFERROR(__xludf.DUMMYFUNCTION("""COMPUTED_VALUE"""),0.35714285714285715)</f>
        <v>0.3571428571</v>
      </c>
      <c r="I509" s="42">
        <f>IFERROR(__xludf.DUMMYFUNCTION("""COMPUTED_VALUE"""),0.3666666666666667)</f>
        <v>0.3666666667</v>
      </c>
      <c r="J509" s="30">
        <f>IFERROR(__xludf.DUMMYFUNCTION("""COMPUTED_VALUE"""),291.7142857142857)</f>
        <v>291.7142857</v>
      </c>
      <c r="K509" s="30">
        <f>IFERROR(__xludf.DUMMYFUNCTION("""COMPUTED_VALUE"""),0.7857142857142857)</f>
        <v>0.7857142857</v>
      </c>
      <c r="L509" s="30">
        <f>IFERROR(__xludf.DUMMYFUNCTION("""COMPUTED_VALUE"""),0.32142857142857145)</f>
        <v>0.3214285714</v>
      </c>
      <c r="M509" s="30">
        <f>IFERROR(__xludf.DUMMYFUNCTION("""COMPUTED_VALUE"""),1.1071428571428572)</f>
        <v>1.107142857</v>
      </c>
      <c r="N509" s="30">
        <f>IFERROR(__xludf.DUMMYFUNCTION("""COMPUTED_VALUE"""),2.142857142857143)</f>
        <v>2.142857143</v>
      </c>
      <c r="O509" s="30">
        <f>IFERROR(__xludf.DUMMYFUNCTION("""COMPUTED_VALUE"""),352.41666666666663)</f>
        <v>352.4166667</v>
      </c>
      <c r="P509" s="30">
        <f>IFERROR(__xludf.DUMMYFUNCTION("""COMPUTED_VALUE"""),0.9404761904761906)</f>
        <v>0.9404761905</v>
      </c>
      <c r="Q509" s="30">
        <f>IFERROR(__xludf.DUMMYFUNCTION("""COMPUTED_VALUE"""),0.6547619047619049)</f>
        <v>0.6547619048</v>
      </c>
      <c r="R509" s="30">
        <f>IFERROR(__xludf.DUMMYFUNCTION("""COMPUTED_VALUE"""),1.0714285714285714)</f>
        <v>1.071428571</v>
      </c>
      <c r="S509" s="30">
        <f>IFERROR(__xludf.DUMMYFUNCTION("""COMPUTED_VALUE"""),2.7857142857142856)</f>
        <v>2.785714286</v>
      </c>
      <c r="T509" s="30">
        <f>IFERROR(__xludf.DUMMYFUNCTION("""COMPUTED_VALUE"""),361.58225789053)</f>
        <v>361.5822579</v>
      </c>
      <c r="U509" s="30">
        <f>IFERROR(__xludf.DUMMYFUNCTION("""COMPUTED_VALUE"""),0.8634764385552199)</f>
        <v>0.8634764386</v>
      </c>
      <c r="V509" s="30">
        <f>IFERROR(__xludf.DUMMYFUNCTION("""COMPUTED_VALUE"""),0.6512694471728084)</f>
        <v>0.6512694472</v>
      </c>
      <c r="W509" s="30">
        <f>IFERROR(__xludf.DUMMYFUNCTION("""COMPUTED_VALUE"""),1.275007414581994)</f>
        <v>1.275007415</v>
      </c>
      <c r="X509" s="30">
        <f>IFERROR(__xludf.DUMMYFUNCTION("""COMPUTED_VALUE"""),2.7399208925994647)</f>
        <v>2.739920893</v>
      </c>
      <c r="Y509" s="30">
        <f>IFERROR(__xludf.DUMMYFUNCTION("""COMPUTED_VALUE"""),330.9929039881946)</f>
        <v>330.992904</v>
      </c>
      <c r="Z509" s="30">
        <f>IFERROR(__xludf.DUMMYFUNCTION("""COMPUTED_VALUE"""),0.6737571627977792)</f>
        <v>0.6737571628</v>
      </c>
      <c r="AA509" s="30">
        <f>IFERROR(__xludf.DUMMYFUNCTION("""COMPUTED_VALUE"""),0.5101797537196698)</f>
        <v>0.5101797537</v>
      </c>
      <c r="AB509" s="30">
        <f>IFERROR(__xludf.DUMMYFUNCTION("""COMPUTED_VALUE"""),1.337605328326617)</f>
        <v>1.337605328</v>
      </c>
      <c r="AC509" s="30">
        <f>IFERROR(__xludf.DUMMYFUNCTION("""COMPUTED_VALUE"""),2.4249893812743957)</f>
        <v>2.424989381</v>
      </c>
      <c r="AD509" s="30">
        <f>IFERROR(__xludf.DUMMYFUNCTION("""COMPUTED_VALUE"""),0.8813309354954938)</f>
        <v>0.8813309355</v>
      </c>
      <c r="AE509" s="30">
        <f>IFERROR(__xludf.DUMMYFUNCTION("""COMPUTED_VALUE"""),1.1661683602020707)</f>
        <v>1.16616836</v>
      </c>
      <c r="AF509" s="30">
        <f>IFERROR(__xludf.DUMMYFUNCTION("""COMPUTED_VALUE"""),0.6300300415394138)</f>
        <v>0.6300300415</v>
      </c>
      <c r="AG509" s="30">
        <f>IFERROR(__xludf.DUMMYFUNCTION("""COMPUTED_VALUE"""),0.8277051785730586)</f>
        <v>0.8277051786</v>
      </c>
      <c r="AH509" s="30">
        <f>IFERROR(__xludf.DUMMYFUNCTION("""COMPUTED_VALUE"""),0.8836562994478001)</f>
        <v>0.8836562994</v>
      </c>
      <c r="AI509" s="30">
        <f>IFERROR(__xludf.DUMMYFUNCTION("""COMPUTED_VALUE"""),0.97465143539582)</f>
        <v>0.9746514354</v>
      </c>
      <c r="AJ509" s="30">
        <f>IFERROR(__xludf.DUMMYFUNCTION("""COMPUTED_VALUE"""),1.0891741204309033)</f>
        <v>1.08917412</v>
      </c>
      <c r="AK509" s="30">
        <f>IFERROR(__xludf.DUMMYFUNCTION("""COMPUTED_VALUE"""),1.005362538660853)</f>
        <v>1.005362539</v>
      </c>
      <c r="AL509" s="30">
        <f>IFERROR(__xludf.DUMMYFUNCTION("""COMPUTED_VALUE"""),0.8403312476263793)</f>
        <v>0.8403312476</v>
      </c>
      <c r="AM509" s="30">
        <f>IFERROR(__xludf.DUMMYFUNCTION("""COMPUTED_VALUE"""),1.016713399733003)</f>
        <v>1.0167134</v>
      </c>
      <c r="AN509" s="30">
        <f>IFERROR(__xludf.DUMMYFUNCTION("""COMPUTED_VALUE"""),0.8606641251440439)</f>
        <v>0.8606641251</v>
      </c>
      <c r="AO509" s="30">
        <f>IFERROR(__xludf.DUMMYFUNCTION("""COMPUTED_VALUE"""),1.069493433938682)</f>
        <v>1.069493434</v>
      </c>
      <c r="AP509" s="30">
        <f>IFERROR(__xludf.DUMMYFUNCTION("""COMPUTED_VALUE"""),0.5739551153420523)</f>
        <v>0.5739551153</v>
      </c>
      <c r="AQ509" s="30">
        <f>IFERROR(__xludf.DUMMYFUNCTION("""COMPUTED_VALUE"""),0.8448665617712755)</f>
        <v>0.8448665618</v>
      </c>
      <c r="AR509" s="30">
        <f>IFERROR(__xludf.DUMMYFUNCTION("""COMPUTED_VALUE"""),0.8604657727383069)</f>
        <v>0.8604657727</v>
      </c>
      <c r="AS509" s="30">
        <f>IFERROR(__xludf.DUMMYFUNCTION("""COMPUTED_VALUE"""),53.0)</f>
        <v>53</v>
      </c>
      <c r="AT509" s="30">
        <f>IFERROR(__xludf.DUMMYFUNCTION("""COMPUTED_VALUE"""),0.34912393027260136)</f>
        <v>0.3491239303</v>
      </c>
      <c r="AU509" s="30">
        <f>IFERROR(__xludf.DUMMYFUNCTION("""COMPUTED_VALUE"""),1.6832297464936707)</f>
        <v>1.683229746</v>
      </c>
      <c r="AV509" s="32">
        <f>IFERROR(__xludf.DUMMYFUNCTION("""COMPUTED_VALUE"""),38.94287494427115)</f>
        <v>38.94287494</v>
      </c>
      <c r="AW509" s="32">
        <f>IFERROR(__xludf.DUMMYFUNCTION("""COMPUTED_VALUE"""),-3.038207052991777)</f>
        <v>-3.038207053</v>
      </c>
      <c r="AX509" s="32">
        <f>IFERROR(__xludf.DUMMYFUNCTION("""COMPUTED_VALUE"""),34.30450548343508)</f>
        <v>34.30450548</v>
      </c>
      <c r="AY509" s="32">
        <f>IFERROR(__xludf.DUMMYFUNCTION("""COMPUTED_VALUE"""),-3.772716422988861)</f>
        <v>-3.772716423</v>
      </c>
      <c r="AZ509" s="30">
        <f>IFERROR(__xludf.DUMMYFUNCTION("""COMPUTED_VALUE"""),0.7345093699970837)</f>
        <v>0.73450937</v>
      </c>
      <c r="BA509" s="30">
        <f>IFERROR(__xludf.DUMMYFUNCTION("""COMPUTED_VALUE"""),1700.0)</f>
        <v>1700</v>
      </c>
    </row>
    <row r="510">
      <c r="A510" s="71" t="str">
        <f>IFERROR(__xludf.DUMMYFUNCTION("""COMPUTED_VALUE"""),"Rival")</f>
        <v>Rival</v>
      </c>
      <c r="B510" s="71" t="str">
        <f>IFERROR(__xludf.DUMMYFUNCTION("""COMPUTED_VALUE"""),"RSC006910")</f>
        <v>RSC006910</v>
      </c>
      <c r="C510" s="30" t="str">
        <f>IFERROR(__xludf.DUMMYFUNCTION("""COMPUTED_VALUE"""),"Swanny2.0")</f>
        <v>Swanny2.0</v>
      </c>
      <c r="D510" s="30" t="str">
        <f>IFERROR(__xludf.DUMMYFUNCTION("""COMPUTED_VALUE"""),"Hue Heroes")</f>
        <v>Hue Heroes</v>
      </c>
      <c r="E510" s="30">
        <f>IFERROR(__xludf.DUMMYFUNCTION("""COMPUTED_VALUE"""),11.0)</f>
        <v>11</v>
      </c>
      <c r="F510" s="30">
        <f>IFERROR(__xludf.DUMMYFUNCTION("""COMPUTED_VALUE"""),0.0)</f>
        <v>0</v>
      </c>
      <c r="G510" s="42">
        <f>IFERROR(__xludf.DUMMYFUNCTION("""COMPUTED_VALUE"""),11.0)</f>
        <v>11</v>
      </c>
      <c r="H510" s="42">
        <f>IFERROR(__xludf.DUMMYFUNCTION("""COMPUTED_VALUE"""),0.0)</f>
        <v>0</v>
      </c>
      <c r="I510" s="42">
        <f>IFERROR(__xludf.DUMMYFUNCTION("""COMPUTED_VALUE"""),0.3529411764705882)</f>
        <v>0.3529411765</v>
      </c>
      <c r="J510" s="30">
        <f>IFERROR(__xludf.DUMMYFUNCTION("""COMPUTED_VALUE"""),302.90909090909093)</f>
        <v>302.9090909</v>
      </c>
      <c r="K510" s="30">
        <f>IFERROR(__xludf.DUMMYFUNCTION("""COMPUTED_VALUE"""),0.5454545454545454)</f>
        <v>0.5454545455</v>
      </c>
      <c r="L510" s="30">
        <f>IFERROR(__xludf.DUMMYFUNCTION("""COMPUTED_VALUE"""),0.5454545454545454)</f>
        <v>0.5454545455</v>
      </c>
      <c r="M510" s="30">
        <f>IFERROR(__xludf.DUMMYFUNCTION("""COMPUTED_VALUE"""),1.3636363636363635)</f>
        <v>1.363636364</v>
      </c>
      <c r="N510" s="30">
        <f>IFERROR(__xludf.DUMMYFUNCTION("""COMPUTED_VALUE"""),1.5454545454545454)</f>
        <v>1.545454545</v>
      </c>
      <c r="O510" s="30">
        <f>IFERROR(__xludf.DUMMYFUNCTION("""COMPUTED_VALUE"""),403.45454545454544)</f>
        <v>403.4545455</v>
      </c>
      <c r="P510" s="30">
        <f>IFERROR(__xludf.DUMMYFUNCTION("""COMPUTED_VALUE"""),1.3333333333333335)</f>
        <v>1.333333333</v>
      </c>
      <c r="Q510" s="30">
        <f>IFERROR(__xludf.DUMMYFUNCTION("""COMPUTED_VALUE"""),1.0000000000000002)</f>
        <v>1</v>
      </c>
      <c r="R510" s="30">
        <f>IFERROR(__xludf.DUMMYFUNCTION("""COMPUTED_VALUE"""),0.8181818181818182)</f>
        <v>0.8181818182</v>
      </c>
      <c r="S510" s="30">
        <f>IFERROR(__xludf.DUMMYFUNCTION("""COMPUTED_VALUE"""),3.0606060606060606)</f>
        <v>3.060606061</v>
      </c>
      <c r="T510" s="30">
        <f>IFERROR(__xludf.DUMMYFUNCTION("""COMPUTED_VALUE"""),389.6895244461421)</f>
        <v>389.6895244</v>
      </c>
      <c r="U510" s="30">
        <f>IFERROR(__xludf.DUMMYFUNCTION("""COMPUTED_VALUE"""),1.049892835922248)</f>
        <v>1.049892836</v>
      </c>
      <c r="V510" s="30">
        <f>IFERROR(__xludf.DUMMYFUNCTION("""COMPUTED_VALUE"""),0.8167239623121976)</f>
        <v>0.8167239623</v>
      </c>
      <c r="W510" s="30">
        <f>IFERROR(__xludf.DUMMYFUNCTION("""COMPUTED_VALUE"""),1.1635440539852306)</f>
        <v>1.163544054</v>
      </c>
      <c r="X510" s="30">
        <f>IFERROR(__xludf.DUMMYFUNCTION("""COMPUTED_VALUE"""),3.0216280451574566)</f>
        <v>3.021628045</v>
      </c>
      <c r="Y510" s="30">
        <f>IFERROR(__xludf.DUMMYFUNCTION("""COMPUTED_VALUE"""),317.3595422007187)</f>
        <v>317.3595422</v>
      </c>
      <c r="Z510" s="30">
        <f>IFERROR(__xludf.DUMMYFUNCTION("""COMPUTED_VALUE"""),0.5836682652859122)</f>
        <v>0.5836682653</v>
      </c>
      <c r="AA510" s="30">
        <f>IFERROR(__xludf.DUMMYFUNCTION("""COMPUTED_VALUE"""),0.408283464901112)</f>
        <v>0.4082834649</v>
      </c>
      <c r="AB510" s="30">
        <f>IFERROR(__xludf.DUMMYFUNCTION("""COMPUTED_VALUE"""),1.4250495147553972)</f>
        <v>1.425049515</v>
      </c>
      <c r="AC510" s="30">
        <f>IFERROR(__xludf.DUMMYFUNCTION("""COMPUTED_VALUE"""),2.1705220977279804)</f>
        <v>2.170522098</v>
      </c>
      <c r="AD510" s="30">
        <f>IFERROR(__xludf.DUMMYFUNCTION("""COMPUTED_VALUE"""),0.9544666242224147)</f>
        <v>0.9544666242</v>
      </c>
      <c r="AE510" s="30">
        <f>IFERROR(__xludf.DUMMYFUNCTION("""COMPUTED_VALUE"""),0.9345283577947353)</f>
        <v>0.9345283578</v>
      </c>
      <c r="AF510" s="30">
        <f>IFERROR(__xludf.DUMMYFUNCTION("""COMPUTED_VALUE"""),1.335970207822785)</f>
        <v>1.335970208</v>
      </c>
      <c r="AG510" s="30">
        <f>IFERROR(__xludf.DUMMYFUNCTION("""COMPUTED_VALUE"""),0.9569045492923978)</f>
        <v>0.9569045493</v>
      </c>
      <c r="AH510" s="30">
        <f>IFERROR(__xludf.DUMMYFUNCTION("""COMPUTED_VALUE"""),0.7120197242277645)</f>
        <v>0.7120197242</v>
      </c>
      <c r="AI510" s="30">
        <f>IFERROR(__xludf.DUMMYFUNCTION("""COMPUTED_VALUE"""),1.0353230460273914)</f>
        <v>1.035323046</v>
      </c>
      <c r="AJ510" s="30">
        <f>IFERROR(__xludf.DUMMYFUNCTION("""COMPUTED_VALUE"""),1.269970884373266)</f>
        <v>1.269970884</v>
      </c>
      <c r="AK510" s="30">
        <f>IFERROR(__xludf.DUMMYFUNCTION("""COMPUTED_VALUE"""),1.224403894271617)</f>
        <v>1.224403894</v>
      </c>
      <c r="AL510" s="30">
        <f>IFERROR(__xludf.DUMMYFUNCTION("""COMPUTED_VALUE"""),0.7031807823515411)</f>
        <v>0.7031807824</v>
      </c>
      <c r="AM510" s="30">
        <f>IFERROR(__xludf.DUMMYFUNCTION("""COMPUTED_VALUE"""),1.0128996735753333)</f>
        <v>1.012899674</v>
      </c>
      <c r="AN510" s="30">
        <f>IFERROR(__xludf.DUMMYFUNCTION("""COMPUTED_VALUE"""),0.8936929060128074)</f>
        <v>0.893692906</v>
      </c>
      <c r="AO510" s="30">
        <f>IFERROR(__xludf.DUMMYFUNCTION("""COMPUTED_VALUE"""),0.7424582516599113)</f>
        <v>0.7424582517</v>
      </c>
      <c r="AP510" s="30">
        <f>IFERROR(__xludf.DUMMYFUNCTION("""COMPUTED_VALUE"""),0.9739844381562098)</f>
        <v>0.9739844382</v>
      </c>
      <c r="AQ510" s="30">
        <f>IFERROR(__xludf.DUMMYFUNCTION("""COMPUTED_VALUE"""),1.0405981112725387)</f>
        <v>1.040598111</v>
      </c>
      <c r="AR510" s="30">
        <f>IFERROR(__xludf.DUMMYFUNCTION("""COMPUTED_VALUE"""),0.6205783451870214)</f>
        <v>0.6205783452</v>
      </c>
      <c r="AS510" s="30">
        <f>IFERROR(__xludf.DUMMYFUNCTION("""COMPUTED_VALUE"""),20.0)</f>
        <v>20</v>
      </c>
      <c r="AT510" s="30">
        <f>IFERROR(__xludf.DUMMYFUNCTION("""COMPUTED_VALUE"""),0.21299101293632142)</f>
        <v>0.2129910129</v>
      </c>
      <c r="AU510" s="30">
        <f>IFERROR(__xludf.DUMMYFUNCTION("""COMPUTED_VALUE"""),1.4711536034359431)</f>
        <v>1.471153603</v>
      </c>
      <c r="AV510" s="32">
        <f>IFERROR(__xludf.DUMMYFUNCTION("""COMPUTED_VALUE"""),31.451482556640347)</f>
        <v>31.45148256</v>
      </c>
      <c r="AW510" s="32">
        <f>IFERROR(__xludf.DUMMYFUNCTION("""COMPUTED_VALUE"""),-4.365637256426507)</f>
        <v>-4.365637256</v>
      </c>
      <c r="AX510" s="32">
        <f>IFERROR(__xludf.DUMMYFUNCTION("""COMPUTED_VALUE"""),34.74944269786425)</f>
        <v>34.7494427</v>
      </c>
      <c r="AY510" s="32">
        <f>IFERROR(__xludf.DUMMYFUNCTION("""COMPUTED_VALUE"""),-3.6910785694959705)</f>
        <v>-3.691078569</v>
      </c>
      <c r="AZ510" s="30">
        <f>IFERROR(__xludf.DUMMYFUNCTION("""COMPUTED_VALUE"""),0.6745586869305367)</f>
        <v>0.6745586869</v>
      </c>
      <c r="BA510" s="30">
        <f>IFERROR(__xludf.DUMMYFUNCTION("""COMPUTED_VALUE"""),1700.0)</f>
        <v>1700</v>
      </c>
    </row>
    <row r="511">
      <c r="A511" s="71" t="str">
        <f>IFERROR(__xludf.DUMMYFUNCTION("""COMPUTED_VALUE"""),"Rival")</f>
        <v>Rival</v>
      </c>
      <c r="B511" s="71" t="str">
        <f>IFERROR(__xludf.DUMMYFUNCTION("""COMPUTED_VALUE"""),"RSC006528")</f>
        <v>RSC006528</v>
      </c>
      <c r="C511" s="30" t="str">
        <f>IFERROR(__xludf.DUMMYFUNCTION("""COMPUTED_VALUE"""),"mxWEBBY")</f>
        <v>mxWEBBY</v>
      </c>
      <c r="D511" s="30" t="str">
        <f>IFERROR(__xludf.DUMMYFUNCTION("""COMPUTED_VALUE"""),"Lacuna")</f>
        <v>Lacuna</v>
      </c>
      <c r="E511" s="30">
        <f>IFERROR(__xludf.DUMMYFUNCTION("""COMPUTED_VALUE"""),36.0)</f>
        <v>36</v>
      </c>
      <c r="F511" s="30">
        <f>IFERROR(__xludf.DUMMYFUNCTION("""COMPUTED_VALUE"""),15.0)</f>
        <v>15</v>
      </c>
      <c r="G511" s="42">
        <f>IFERROR(__xludf.DUMMYFUNCTION("""COMPUTED_VALUE"""),21.0)</f>
        <v>21</v>
      </c>
      <c r="H511" s="42">
        <f>IFERROR(__xludf.DUMMYFUNCTION("""COMPUTED_VALUE"""),0.4166666666666667)</f>
        <v>0.4166666667</v>
      </c>
      <c r="I511" s="42">
        <f>IFERROR(__xludf.DUMMYFUNCTION("""COMPUTED_VALUE"""),0.24489795918367344)</f>
        <v>0.2448979592</v>
      </c>
      <c r="J511" s="30">
        <f>IFERROR(__xludf.DUMMYFUNCTION("""COMPUTED_VALUE"""),384.69444444444446)</f>
        <v>384.6944444</v>
      </c>
      <c r="K511" s="30">
        <f>IFERROR(__xludf.DUMMYFUNCTION("""COMPUTED_VALUE"""),0.6666666666666666)</f>
        <v>0.6666666667</v>
      </c>
      <c r="L511" s="30">
        <f>IFERROR(__xludf.DUMMYFUNCTION("""COMPUTED_VALUE"""),0.6666666666666666)</f>
        <v>0.6666666667</v>
      </c>
      <c r="M511" s="30">
        <f>IFERROR(__xludf.DUMMYFUNCTION("""COMPUTED_VALUE"""),1.6388888888888888)</f>
        <v>1.638888889</v>
      </c>
      <c r="N511" s="30">
        <f>IFERROR(__xludf.DUMMYFUNCTION("""COMPUTED_VALUE"""),2.7222222222222223)</f>
        <v>2.722222222</v>
      </c>
      <c r="O511" s="30">
        <f>IFERROR(__xludf.DUMMYFUNCTION("""COMPUTED_VALUE"""),326.08333333333326)</f>
        <v>326.0833333</v>
      </c>
      <c r="P511" s="30">
        <f>IFERROR(__xludf.DUMMYFUNCTION("""COMPUTED_VALUE"""),0.6944444444444444)</f>
        <v>0.6944444444</v>
      </c>
      <c r="Q511" s="30">
        <f>IFERROR(__xludf.DUMMYFUNCTION("""COMPUTED_VALUE"""),0.5277777777777777)</f>
        <v>0.5277777778</v>
      </c>
      <c r="R511" s="30">
        <f>IFERROR(__xludf.DUMMYFUNCTION("""COMPUTED_VALUE"""),1.2685185185185186)</f>
        <v>1.268518519</v>
      </c>
      <c r="S511" s="30">
        <f>IFERROR(__xludf.DUMMYFUNCTION("""COMPUTED_VALUE"""),2.509259259259259)</f>
        <v>2.509259259</v>
      </c>
      <c r="T511" s="30">
        <f>IFERROR(__xludf.DUMMYFUNCTION("""COMPUTED_VALUE"""),352.5741960911846)</f>
        <v>352.5741961</v>
      </c>
      <c r="U511" s="30">
        <f>IFERROR(__xludf.DUMMYFUNCTION("""COMPUTED_VALUE"""),0.8159581752976643)</f>
        <v>0.8159581753</v>
      </c>
      <c r="V511" s="30">
        <f>IFERROR(__xludf.DUMMYFUNCTION("""COMPUTED_VALUE"""),0.583825214180838)</f>
        <v>0.5838252142</v>
      </c>
      <c r="W511" s="30">
        <f>IFERROR(__xludf.DUMMYFUNCTION("""COMPUTED_VALUE"""),1.3353348452601796)</f>
        <v>1.335334845</v>
      </c>
      <c r="X511" s="30">
        <f>IFERROR(__xludf.DUMMYFUNCTION("""COMPUTED_VALUE"""),2.607579918080919)</f>
        <v>2.607579918</v>
      </c>
      <c r="Y511" s="30">
        <f>IFERROR(__xludf.DUMMYFUNCTION("""COMPUTED_VALUE"""),351.5849885693782)</f>
        <v>351.5849886</v>
      </c>
      <c r="Z511" s="30">
        <f>IFERROR(__xludf.DUMMYFUNCTION("""COMPUTED_VALUE"""),0.8008898456113013)</f>
        <v>0.8008898456</v>
      </c>
      <c r="AA511" s="30">
        <f>IFERROR(__xludf.DUMMYFUNCTION("""COMPUTED_VALUE"""),0.5848800152955733)</f>
        <v>0.5848800153</v>
      </c>
      <c r="AB511" s="30">
        <f>IFERROR(__xludf.DUMMYFUNCTION("""COMPUTED_VALUE"""),1.3209319620952398)</f>
        <v>1.320931962</v>
      </c>
      <c r="AC511" s="30">
        <f>IFERROR(__xludf.DUMMYFUNCTION("""COMPUTED_VALUE"""),2.631319978990019)</f>
        <v>2.631319979</v>
      </c>
      <c r="AD511" s="30">
        <f>IFERROR(__xludf.DUMMYFUNCTION("""COMPUTED_VALUE"""),1.0941719838773287)</f>
        <v>1.094171984</v>
      </c>
      <c r="AE511" s="30">
        <f>IFERROR(__xludf.DUMMYFUNCTION("""COMPUTED_VALUE"""),0.8324074406984332)</f>
        <v>0.8324074407</v>
      </c>
      <c r="AF511" s="30">
        <f>IFERROR(__xludf.DUMMYFUNCTION("""COMPUTED_VALUE"""),1.1398349220904083)</f>
        <v>1.139834922</v>
      </c>
      <c r="AG511" s="30">
        <f>IFERROR(__xludf.DUMMYFUNCTION("""COMPUTED_VALUE"""),1.2407065132176158)</f>
        <v>1.240706513</v>
      </c>
      <c r="AH511" s="30">
        <f>IFERROR(__xludf.DUMMYFUNCTION("""COMPUTED_VALUE"""),1.0345462520552497)</f>
        <v>1.034546252</v>
      </c>
      <c r="AI511" s="30">
        <f>IFERROR(__xludf.DUMMYFUNCTION("""COMPUTED_VALUE"""),0.9248644312274057)</f>
        <v>0.9248644312</v>
      </c>
      <c r="AJ511" s="30">
        <f>IFERROR(__xludf.DUMMYFUNCTION("""COMPUTED_VALUE"""),0.8510784810644353)</f>
        <v>0.8510784811</v>
      </c>
      <c r="AK511" s="30">
        <f>IFERROR(__xludf.DUMMYFUNCTION("""COMPUTED_VALUE"""),0.9039996302973996)</f>
        <v>0.9039996303</v>
      </c>
      <c r="AL511" s="30">
        <f>IFERROR(__xludf.DUMMYFUNCTION("""COMPUTED_VALUE"""),0.9499628673820443)</f>
        <v>0.9499628674</v>
      </c>
      <c r="AM511" s="30">
        <f>IFERROR(__xludf.DUMMYFUNCTION("""COMPUTED_VALUE"""),0.9622942874579198)</f>
        <v>0.9622942875</v>
      </c>
      <c r="AN511" s="30">
        <f>IFERROR(__xludf.DUMMYFUNCTION("""COMPUTED_VALUE"""),1.1349896926194232)</f>
        <v>1.134989693</v>
      </c>
      <c r="AO511" s="30">
        <f>IFERROR(__xludf.DUMMYFUNCTION("""COMPUTED_VALUE"""),0.9074489742510028)</f>
        <v>0.9074489743</v>
      </c>
      <c r="AP511" s="30">
        <f>IFERROR(__xludf.DUMMYFUNCTION("""COMPUTED_VALUE"""),1.1904254244131454)</f>
        <v>1.190425424</v>
      </c>
      <c r="AQ511" s="30">
        <f>IFERROR(__xludf.DUMMYFUNCTION("""COMPUTED_VALUE"""),1.25064476706644)</f>
        <v>1.250644767</v>
      </c>
      <c r="AR511" s="30">
        <f>IFERROR(__xludf.DUMMYFUNCTION("""COMPUTED_VALUE"""),1.0931102224045899)</f>
        <v>1.093110222</v>
      </c>
      <c r="AS511" s="30">
        <f>IFERROR(__xludf.DUMMYFUNCTION("""COMPUTED_VALUE"""),73.0)</f>
        <v>73</v>
      </c>
      <c r="AT511" s="30">
        <f>IFERROR(__xludf.DUMMYFUNCTION("""COMPUTED_VALUE"""),0.48986295199965935)</f>
        <v>0.489862952</v>
      </c>
      <c r="AU511" s="30">
        <f>IFERROR(__xludf.DUMMYFUNCTION("""COMPUTED_VALUE"""),2.2993668489327854)</f>
        <v>2.299366849</v>
      </c>
      <c r="AV511" s="32">
        <f>IFERROR(__xludf.DUMMYFUNCTION("""COMPUTED_VALUE"""),60.707344688012554)</f>
        <v>60.70734469</v>
      </c>
      <c r="AW511" s="32">
        <f>IFERROR(__xludf.DUMMYFUNCTION("""COMPUTED_VALUE"""),2.992053518620273)</f>
        <v>2.992053519</v>
      </c>
      <c r="AX511" s="32">
        <f>IFERROR(__xludf.DUMMYFUNCTION("""COMPUTED_VALUE"""),64.93315261870481)</f>
        <v>64.93315262</v>
      </c>
      <c r="AY511" s="32">
        <f>IFERROR(__xludf.DUMMYFUNCTION("""COMPUTED_VALUE"""),3.6344494116226236)</f>
        <v>3.634449412</v>
      </c>
      <c r="AZ511" s="30">
        <f>IFERROR(__xludf.DUMMYFUNCTION("""COMPUTED_VALUE"""),0.6423958930023508)</f>
        <v>0.642395893</v>
      </c>
      <c r="BA511" s="30">
        <f>IFERROR(__xludf.DUMMYFUNCTION("""COMPUTED_VALUE"""),1700.0)</f>
        <v>1700</v>
      </c>
    </row>
    <row r="512">
      <c r="A512" s="71" t="str">
        <f>IFERROR(__xludf.DUMMYFUNCTION("""COMPUTED_VALUE"""),"Rival")</f>
        <v>Rival</v>
      </c>
      <c r="B512" s="71" t="str">
        <f>IFERROR(__xludf.DUMMYFUNCTION("""COMPUTED_VALUE"""),"RSC005703")</f>
        <v>RSC005703</v>
      </c>
      <c r="C512" s="30" t="str">
        <f>IFERROR(__xludf.DUMMYFUNCTION("""COMPUTED_VALUE"""),"Shoddy-")</f>
        <v>Shoddy-</v>
      </c>
      <c r="D512" s="30" t="str">
        <f>IFERROR(__xludf.DUMMYFUNCTION("""COMPUTED_VALUE"""),"Jetstream")</f>
        <v>Jetstream</v>
      </c>
      <c r="E512" s="30">
        <f>IFERROR(__xludf.DUMMYFUNCTION("""COMPUTED_VALUE"""),24.0)</f>
        <v>24</v>
      </c>
      <c r="F512" s="30">
        <f>IFERROR(__xludf.DUMMYFUNCTION("""COMPUTED_VALUE"""),8.0)</f>
        <v>8</v>
      </c>
      <c r="G512" s="42">
        <f>IFERROR(__xludf.DUMMYFUNCTION("""COMPUTED_VALUE"""),16.0)</f>
        <v>16</v>
      </c>
      <c r="H512" s="42">
        <f>IFERROR(__xludf.DUMMYFUNCTION("""COMPUTED_VALUE"""),0.3333333333333333)</f>
        <v>0.3333333333</v>
      </c>
      <c r="I512" s="42">
        <f>IFERROR(__xludf.DUMMYFUNCTION("""COMPUTED_VALUE"""),0.2545454545454546)</f>
        <v>0.2545454545</v>
      </c>
      <c r="J512" s="30">
        <f>IFERROR(__xludf.DUMMYFUNCTION("""COMPUTED_VALUE"""),319.25)</f>
        <v>319.25</v>
      </c>
      <c r="K512" s="30">
        <f>IFERROR(__xludf.DUMMYFUNCTION("""COMPUTED_VALUE"""),0.5833333333333334)</f>
        <v>0.5833333333</v>
      </c>
      <c r="L512" s="30">
        <f>IFERROR(__xludf.DUMMYFUNCTION("""COMPUTED_VALUE"""),0.5)</f>
        <v>0.5</v>
      </c>
      <c r="M512" s="30">
        <f>IFERROR(__xludf.DUMMYFUNCTION("""COMPUTED_VALUE"""),1.25)</f>
        <v>1.25</v>
      </c>
      <c r="N512" s="30">
        <f>IFERROR(__xludf.DUMMYFUNCTION("""COMPUTED_VALUE"""),2.2916666666666665)</f>
        <v>2.291666667</v>
      </c>
      <c r="O512" s="30">
        <f>IFERROR(__xludf.DUMMYFUNCTION("""COMPUTED_VALUE"""),335.47222222222223)</f>
        <v>335.4722222</v>
      </c>
      <c r="P512" s="30">
        <f>IFERROR(__xludf.DUMMYFUNCTION("""COMPUTED_VALUE"""),0.7222222222222222)</f>
        <v>0.7222222222</v>
      </c>
      <c r="Q512" s="30">
        <f>IFERROR(__xludf.DUMMYFUNCTION("""COMPUTED_VALUE"""),0.5694444444444445)</f>
        <v>0.5694444444</v>
      </c>
      <c r="R512" s="30">
        <f>IFERROR(__xludf.DUMMYFUNCTION("""COMPUTED_VALUE"""),1.1944444444444444)</f>
        <v>1.194444444</v>
      </c>
      <c r="S512" s="30">
        <f>IFERROR(__xludf.DUMMYFUNCTION("""COMPUTED_VALUE"""),2.416666666666666)</f>
        <v>2.416666667</v>
      </c>
      <c r="T512" s="30">
        <f>IFERROR(__xludf.DUMMYFUNCTION("""COMPUTED_VALUE"""),346.93252113325906)</f>
        <v>346.9325211</v>
      </c>
      <c r="U512" s="30">
        <f>IFERROR(__xludf.DUMMYFUNCTION("""COMPUTED_VALUE"""),0.777397660398039)</f>
        <v>0.7773976604</v>
      </c>
      <c r="V512" s="30">
        <f>IFERROR(__xludf.DUMMYFUNCTION("""COMPUTED_VALUE"""),0.541272483682896)</f>
        <v>0.5412724837</v>
      </c>
      <c r="W512" s="30">
        <f>IFERROR(__xludf.DUMMYFUNCTION("""COMPUTED_VALUE"""),1.3308483302338816)</f>
        <v>1.33084833</v>
      </c>
      <c r="X512" s="30">
        <f>IFERROR(__xludf.DUMMYFUNCTION("""COMPUTED_VALUE"""),2.511023683531194)</f>
        <v>2.511023684</v>
      </c>
      <c r="Y512" s="30">
        <f>IFERROR(__xludf.DUMMYFUNCTION("""COMPUTED_VALUE"""),337.2791935843317)</f>
        <v>337.2791936</v>
      </c>
      <c r="Z512" s="30">
        <f>IFERROR(__xludf.DUMMYFUNCTION("""COMPUTED_VALUE"""),0.7538126430939883)</f>
        <v>0.7538126431</v>
      </c>
      <c r="AA512" s="30">
        <f>IFERROR(__xludf.DUMMYFUNCTION("""COMPUTED_VALUE"""),0.5514985991578313)</f>
        <v>0.5514985992</v>
      </c>
      <c r="AB512" s="30">
        <f>IFERROR(__xludf.DUMMYFUNCTION("""COMPUTED_VALUE"""),1.2372692675737722)</f>
        <v>1.237269268</v>
      </c>
      <c r="AC512" s="30">
        <f>IFERROR(__xludf.DUMMYFUNCTION("""COMPUTED_VALUE"""),2.6217583770342547)</f>
        <v>2.621758377</v>
      </c>
      <c r="AD512" s="30">
        <f>IFERROR(__xludf.DUMMYFUNCTION("""COMPUTED_VALUE"""),0.9465451948199592)</f>
        <v>0.9465451948</v>
      </c>
      <c r="AE512" s="30">
        <f>IFERROR(__xludf.DUMMYFUNCTION("""COMPUTED_VALUE"""),0.7738439235233165)</f>
        <v>0.7738439235</v>
      </c>
      <c r="AF512" s="30">
        <f>IFERROR(__xludf.DUMMYFUNCTION("""COMPUTED_VALUE"""),0.9066206165591854)</f>
        <v>0.9066206166</v>
      </c>
      <c r="AG512" s="30">
        <f>IFERROR(__xludf.DUMMYFUNCTION("""COMPUTED_VALUE"""),1.0102893790057457)</f>
        <v>1.010289379</v>
      </c>
      <c r="AH512" s="30">
        <f>IFERROR(__xludf.DUMMYFUNCTION("""COMPUTED_VALUE"""),0.8740952967828448)</f>
        <v>0.8740952968</v>
      </c>
      <c r="AI512" s="30">
        <f>IFERROR(__xludf.DUMMYFUNCTION("""COMPUTED_VALUE"""),0.966966778226493)</f>
        <v>0.9669667782</v>
      </c>
      <c r="AJ512" s="30">
        <f>IFERROR(__xludf.DUMMYFUNCTION("""COMPUTED_VALUE"""),0.9290254640751476)</f>
        <v>0.9290254641</v>
      </c>
      <c r="AK512" s="30">
        <f>IFERROR(__xludf.DUMMYFUNCTION("""COMPUTED_VALUE"""),1.0520476499560119)</f>
        <v>1.05204765</v>
      </c>
      <c r="AL512" s="30">
        <f>IFERROR(__xludf.DUMMYFUNCTION("""COMPUTED_VALUE"""),0.8975060623433583)</f>
        <v>0.8975060623</v>
      </c>
      <c r="AM512" s="30">
        <f>IFERROR(__xludf.DUMMYFUNCTION("""COMPUTED_VALUE"""),0.9624228885281416)</f>
        <v>0.9624228885</v>
      </c>
      <c r="AN512" s="30">
        <f>IFERROR(__xludf.DUMMYFUNCTION("""COMPUTED_VALUE"""),0.9419045806393986)</f>
        <v>0.9419045806</v>
      </c>
      <c r="AO512" s="30">
        <f>IFERROR(__xludf.DUMMYFUNCTION("""COMPUTED_VALUE"""),0.7940178524696275)</f>
        <v>0.7940178525</v>
      </c>
      <c r="AP512" s="30">
        <f>IFERROR(__xludf.DUMMYFUNCTION("""COMPUTED_VALUE"""),0.8928190683098591)</f>
        <v>0.8928190683</v>
      </c>
      <c r="AQ512" s="30">
        <f>IFERROR(__xludf.DUMMYFUNCTION("""COMPUTED_VALUE"""),0.9538816019998271)</f>
        <v>0.953881602</v>
      </c>
      <c r="AR512" s="30">
        <f>IFERROR(__xludf.DUMMYFUNCTION("""COMPUTED_VALUE"""),0.9202203402895782)</f>
        <v>0.9202203403</v>
      </c>
      <c r="AS512" s="30">
        <f>IFERROR(__xludf.DUMMYFUNCTION("""COMPUTED_VALUE"""),47.0)</f>
        <v>47</v>
      </c>
      <c r="AT512" s="30">
        <f>IFERROR(__xludf.DUMMYFUNCTION("""COMPUTED_VALUE"""),0.4621149406612626)</f>
        <v>0.4621149407</v>
      </c>
      <c r="AU512" s="30">
        <f>IFERROR(__xludf.DUMMYFUNCTION("""COMPUTED_VALUE"""),1.6918342576652083)</f>
        <v>1.691834258</v>
      </c>
      <c r="AV512" s="32">
        <f>IFERROR(__xludf.DUMMYFUNCTION("""COMPUTED_VALUE"""),39.24682129373015)</f>
        <v>39.24682129</v>
      </c>
      <c r="AW512" s="32">
        <f>IFERROR(__xludf.DUMMYFUNCTION("""COMPUTED_VALUE"""),-2.9980370983632847)</f>
        <v>-2.998037098</v>
      </c>
      <c r="AX512" s="32">
        <f>IFERROR(__xludf.DUMMYFUNCTION("""COMPUTED_VALUE"""),45.13711020548098)</f>
        <v>45.13711021</v>
      </c>
      <c r="AY512" s="32">
        <f>IFERROR(__xludf.DUMMYFUNCTION("""COMPUTED_VALUE"""),-2.364702963064474)</f>
        <v>-2.364702963</v>
      </c>
      <c r="AZ512" s="30">
        <f>IFERROR(__xludf.DUMMYFUNCTION("""COMPUTED_VALUE"""),0.6333341352988109)</f>
        <v>0.6333341353</v>
      </c>
      <c r="BA512" s="30">
        <f>IFERROR(__xludf.DUMMYFUNCTION("""COMPUTED_VALUE"""),1700.0)</f>
        <v>1700</v>
      </c>
    </row>
    <row r="513">
      <c r="A513" s="71" t="str">
        <f>IFERROR(__xludf.DUMMYFUNCTION("""COMPUTED_VALUE"""),"Rival")</f>
        <v>Rival</v>
      </c>
      <c r="B513" s="71" t="str">
        <f>IFERROR(__xludf.DUMMYFUNCTION("""COMPUTED_VALUE"""),"RSC007227")</f>
        <v>RSC007227</v>
      </c>
      <c r="C513" s="30" t="str">
        <f>IFERROR(__xludf.DUMMYFUNCTION("""COMPUTED_VALUE"""),"Trickyzekie")</f>
        <v>Trickyzekie</v>
      </c>
      <c r="D513" s="30" t="str">
        <f>IFERROR(__xludf.DUMMYFUNCTION("""COMPUTED_VALUE"""),"Ostriches")</f>
        <v>Ostriches</v>
      </c>
      <c r="E513" s="30">
        <f>IFERROR(__xludf.DUMMYFUNCTION("""COMPUTED_VALUE"""),26.0)</f>
        <v>26</v>
      </c>
      <c r="F513" s="30">
        <f>IFERROR(__xludf.DUMMYFUNCTION("""COMPUTED_VALUE"""),8.0)</f>
        <v>8</v>
      </c>
      <c r="G513" s="42">
        <f>IFERROR(__xludf.DUMMYFUNCTION("""COMPUTED_VALUE"""),18.0)</f>
        <v>18</v>
      </c>
      <c r="H513" s="42">
        <f>IFERROR(__xludf.DUMMYFUNCTION("""COMPUTED_VALUE"""),0.3076923076923077)</f>
        <v>0.3076923077</v>
      </c>
      <c r="I513" s="42">
        <f>IFERROR(__xludf.DUMMYFUNCTION("""COMPUTED_VALUE"""),0.33999999999999997)</f>
        <v>0.34</v>
      </c>
      <c r="J513" s="30">
        <f>IFERROR(__xludf.DUMMYFUNCTION("""COMPUTED_VALUE"""),321.84615384615387)</f>
        <v>321.8461538</v>
      </c>
      <c r="K513" s="30">
        <f>IFERROR(__xludf.DUMMYFUNCTION("""COMPUTED_VALUE"""),0.6538461538461539)</f>
        <v>0.6538461538</v>
      </c>
      <c r="L513" s="30">
        <f>IFERROR(__xludf.DUMMYFUNCTION("""COMPUTED_VALUE"""),0.34615384615384615)</f>
        <v>0.3461538462</v>
      </c>
      <c r="M513" s="30">
        <f>IFERROR(__xludf.DUMMYFUNCTION("""COMPUTED_VALUE"""),1.3461538461538463)</f>
        <v>1.346153846</v>
      </c>
      <c r="N513" s="30">
        <f>IFERROR(__xludf.DUMMYFUNCTION("""COMPUTED_VALUE"""),1.9230769230769231)</f>
        <v>1.923076923</v>
      </c>
      <c r="O513" s="30">
        <f>IFERROR(__xludf.DUMMYFUNCTION("""COMPUTED_VALUE"""),365.474358974359)</f>
        <v>365.474359</v>
      </c>
      <c r="P513" s="30">
        <f>IFERROR(__xludf.DUMMYFUNCTION("""COMPUTED_VALUE"""),0.8974358974358976)</f>
        <v>0.8974358974</v>
      </c>
      <c r="Q513" s="30">
        <f>IFERROR(__xludf.DUMMYFUNCTION("""COMPUTED_VALUE"""),0.5897435897435898)</f>
        <v>0.5897435897</v>
      </c>
      <c r="R513" s="30">
        <f>IFERROR(__xludf.DUMMYFUNCTION("""COMPUTED_VALUE"""),1.3076923076923077)</f>
        <v>1.307692308</v>
      </c>
      <c r="S513" s="30">
        <f>IFERROR(__xludf.DUMMYFUNCTION("""COMPUTED_VALUE"""),2.7692307692307687)</f>
        <v>2.769230769</v>
      </c>
      <c r="T513" s="30">
        <f>IFERROR(__xludf.DUMMYFUNCTION("""COMPUTED_VALUE"""),356.1737190778714)</f>
        <v>356.1737191</v>
      </c>
      <c r="U513" s="30">
        <f>IFERROR(__xludf.DUMMYFUNCTION("""COMPUTED_VALUE"""),0.8262916191025101)</f>
        <v>0.8262916191</v>
      </c>
      <c r="V513" s="30">
        <f>IFERROR(__xludf.DUMMYFUNCTION("""COMPUTED_VALUE"""),0.6263073846745247)</f>
        <v>0.6263073847</v>
      </c>
      <c r="W513" s="30">
        <f>IFERROR(__xludf.DUMMYFUNCTION("""COMPUTED_VALUE"""),1.247392727141908)</f>
        <v>1.247392727</v>
      </c>
      <c r="X513" s="30">
        <f>IFERROR(__xludf.DUMMYFUNCTION("""COMPUTED_VALUE"""),2.658072466979863)</f>
        <v>2.658072467</v>
      </c>
      <c r="Y513" s="30">
        <f>IFERROR(__xludf.DUMMYFUNCTION("""COMPUTED_VALUE"""),333.4219600880878)</f>
        <v>333.4219601</v>
      </c>
      <c r="Z513" s="30">
        <f>IFERROR(__xludf.DUMMYFUNCTION("""COMPUTED_VALUE"""),0.690771719924734)</f>
        <v>0.6907717199</v>
      </c>
      <c r="AA513" s="30">
        <f>IFERROR(__xludf.DUMMYFUNCTION("""COMPUTED_VALUE"""),0.4930748305936842)</f>
        <v>0.4930748306</v>
      </c>
      <c r="AB513" s="30">
        <f>IFERROR(__xludf.DUMMYFUNCTION("""COMPUTED_VALUE"""),1.3418834250002656)</f>
        <v>1.341883425</v>
      </c>
      <c r="AC513" s="30">
        <f>IFERROR(__xludf.DUMMYFUNCTION("""COMPUTED_VALUE"""),2.3888108525740503)</f>
        <v>2.388810853</v>
      </c>
      <c r="AD513" s="30">
        <f>IFERROR(__xludf.DUMMYFUNCTION("""COMPUTED_VALUE"""),0.9652818121551571)</f>
        <v>0.9652818122</v>
      </c>
      <c r="AE513" s="30">
        <f>IFERROR(__xludf.DUMMYFUNCTION("""COMPUTED_VALUE"""),0.9465444733571265)</f>
        <v>0.9465444734</v>
      </c>
      <c r="AF513" s="30">
        <f>IFERROR(__xludf.DUMMYFUNCTION("""COMPUTED_VALUE"""),0.7020310603505383)</f>
        <v>0.7020310604</v>
      </c>
      <c r="AG513" s="30">
        <f>IFERROR(__xludf.DUMMYFUNCTION("""COMPUTED_VALUE"""),1.0031824084521945)</f>
        <v>1.003182408</v>
      </c>
      <c r="AH513" s="30">
        <f>IFERROR(__xludf.DUMMYFUNCTION("""COMPUTED_VALUE"""),0.8050352421183627)</f>
        <v>0.8050352421</v>
      </c>
      <c r="AI513" s="30">
        <f>IFERROR(__xludf.DUMMYFUNCTION("""COMPUTED_VALUE"""),1.0261126506485847)</f>
        <v>1.026112651</v>
      </c>
      <c r="AJ513" s="30">
        <f>IFERROR(__xludf.DUMMYFUNCTION("""COMPUTED_VALUE"""),1.0861006897427592)</f>
        <v>1.08610069</v>
      </c>
      <c r="AK513" s="30">
        <f>IFERROR(__xludf.DUMMYFUNCTION("""COMPUTED_VALUE"""),0.941620048197362)</f>
        <v>0.9416200482</v>
      </c>
      <c r="AL513" s="30">
        <f>IFERROR(__xludf.DUMMYFUNCTION("""COMPUTED_VALUE"""),1.0483404939265288)</f>
        <v>1.048340494</v>
      </c>
      <c r="AM513" s="30">
        <f>IFERROR(__xludf.DUMMYFUNCTION("""COMPUTED_VALUE"""),1.041819139106168)</f>
        <v>1.041819139</v>
      </c>
      <c r="AN513" s="30">
        <f>IFERROR(__xludf.DUMMYFUNCTION("""COMPUTED_VALUE"""),0.9495641865900233)</f>
        <v>0.9495641866</v>
      </c>
      <c r="AO513" s="30">
        <f>IFERROR(__xludf.DUMMYFUNCTION("""COMPUTED_VALUE"""),0.8899980324384835)</f>
        <v>0.8899980324</v>
      </c>
      <c r="AP513" s="30">
        <f>IFERROR(__xludf.DUMMYFUNCTION("""COMPUTED_VALUE"""),0.6181055088299025)</f>
        <v>0.6181055088</v>
      </c>
      <c r="AQ513" s="30">
        <f>IFERROR(__xludf.DUMMYFUNCTION("""COMPUTED_VALUE"""),1.0272571098459677)</f>
        <v>1.02725711</v>
      </c>
      <c r="AR513" s="30">
        <f>IFERROR(__xludf.DUMMYFUNCTION("""COMPUTED_VALUE"""),0.7722128729702754)</f>
        <v>0.772212873</v>
      </c>
      <c r="AS513" s="30">
        <f>IFERROR(__xludf.DUMMYFUNCTION("""COMPUTED_VALUE"""),53.0)</f>
        <v>53</v>
      </c>
      <c r="AT513" s="30">
        <f>IFERROR(__xludf.DUMMYFUNCTION("""COMPUTED_VALUE"""),0.39303367872576894)</f>
        <v>0.3930336787</v>
      </c>
      <c r="AU513" s="30">
        <f>IFERROR(__xludf.DUMMYFUNCTION("""COMPUTED_VALUE"""),1.5315697704526399)</f>
        <v>1.53156977</v>
      </c>
      <c r="AV513" s="32">
        <f>IFERROR(__xludf.DUMMYFUNCTION("""COMPUTED_VALUE"""),33.58562743099104)</f>
        <v>33.58562743</v>
      </c>
      <c r="AW513" s="32">
        <f>IFERROR(__xludf.DUMMYFUNCTION("""COMPUTED_VALUE"""),-3.910417873791661)</f>
        <v>-3.910417874</v>
      </c>
      <c r="AX513" s="32">
        <f>IFERROR(__xludf.DUMMYFUNCTION("""COMPUTED_VALUE"""),30.757472700264437)</f>
        <v>30.7574727</v>
      </c>
      <c r="AY513" s="32">
        <f>IFERROR(__xludf.DUMMYFUNCTION("""COMPUTED_VALUE"""),-4.530245048884919)</f>
        <v>-4.530245049</v>
      </c>
      <c r="AZ513" s="30">
        <f>IFERROR(__xludf.DUMMYFUNCTION("""COMPUTED_VALUE"""),0.619827175093258)</f>
        <v>0.6198271751</v>
      </c>
      <c r="BA513" s="30">
        <f>IFERROR(__xludf.DUMMYFUNCTION("""COMPUTED_VALUE"""),1700.0)</f>
        <v>1700</v>
      </c>
    </row>
    <row r="514">
      <c r="A514" s="71" t="str">
        <f>IFERROR(__xludf.DUMMYFUNCTION("""COMPUTED_VALUE"""),"Rival")</f>
        <v>Rival</v>
      </c>
      <c r="B514" s="71" t="str">
        <f>IFERROR(__xludf.DUMMYFUNCTION("""COMPUTED_VALUE"""),"RSC007618")</f>
        <v>RSC007618</v>
      </c>
      <c r="C514" s="30" t="str">
        <f>IFERROR(__xludf.DUMMYFUNCTION("""COMPUTED_VALUE"""),"Robbie")</f>
        <v>Robbie</v>
      </c>
      <c r="D514" s="30" t="str">
        <f>IFERROR(__xludf.DUMMYFUNCTION("""COMPUTED_VALUE"""),"Mining Legion")</f>
        <v>Mining Legion</v>
      </c>
      <c r="E514" s="30">
        <f>IFERROR(__xludf.DUMMYFUNCTION("""COMPUTED_VALUE"""),32.0)</f>
        <v>32</v>
      </c>
      <c r="F514" s="30">
        <f>IFERROR(__xludf.DUMMYFUNCTION("""COMPUTED_VALUE"""),22.0)</f>
        <v>22</v>
      </c>
      <c r="G514" s="42">
        <f>IFERROR(__xludf.DUMMYFUNCTION("""COMPUTED_VALUE"""),10.0)</f>
        <v>10</v>
      </c>
      <c r="H514" s="42">
        <f>IFERROR(__xludf.DUMMYFUNCTION("""COMPUTED_VALUE"""),0.6875)</f>
        <v>0.6875</v>
      </c>
      <c r="I514" s="42">
        <f>IFERROR(__xludf.DUMMYFUNCTION("""COMPUTED_VALUE"""),0.29333333333333333)</f>
        <v>0.2933333333</v>
      </c>
      <c r="J514" s="30">
        <f>IFERROR(__xludf.DUMMYFUNCTION("""COMPUTED_VALUE"""),313.65625)</f>
        <v>313.65625</v>
      </c>
      <c r="K514" s="30">
        <f>IFERROR(__xludf.DUMMYFUNCTION("""COMPUTED_VALUE"""),0.6875)</f>
        <v>0.6875</v>
      </c>
      <c r="L514" s="30">
        <f>IFERROR(__xludf.DUMMYFUNCTION("""COMPUTED_VALUE"""),0.5625)</f>
        <v>0.5625</v>
      </c>
      <c r="M514" s="30">
        <f>IFERROR(__xludf.DUMMYFUNCTION("""COMPUTED_VALUE"""),1.15625)</f>
        <v>1.15625</v>
      </c>
      <c r="N514" s="30">
        <f>IFERROR(__xludf.DUMMYFUNCTION("""COMPUTED_VALUE"""),2.34375)</f>
        <v>2.34375</v>
      </c>
      <c r="O514" s="30">
        <f>IFERROR(__xludf.DUMMYFUNCTION("""COMPUTED_VALUE"""),324.6458333333333)</f>
        <v>324.6458333</v>
      </c>
      <c r="P514" s="30">
        <f>IFERROR(__xludf.DUMMYFUNCTION("""COMPUTED_VALUE"""),0.6458333333333334)</f>
        <v>0.6458333333</v>
      </c>
      <c r="Q514" s="30">
        <f>IFERROR(__xludf.DUMMYFUNCTION("""COMPUTED_VALUE"""),0.47916666666666674)</f>
        <v>0.4791666667</v>
      </c>
      <c r="R514" s="30">
        <f>IFERROR(__xludf.DUMMYFUNCTION("""COMPUTED_VALUE"""),1.3854166666666667)</f>
        <v>1.385416667</v>
      </c>
      <c r="S514" s="30">
        <f>IFERROR(__xludf.DUMMYFUNCTION("""COMPUTED_VALUE"""),2.1250000000000004)</f>
        <v>2.125</v>
      </c>
      <c r="T514" s="30">
        <f>IFERROR(__xludf.DUMMYFUNCTION("""COMPUTED_VALUE"""),338.022664055477)</f>
        <v>338.0226641</v>
      </c>
      <c r="U514" s="30">
        <f>IFERROR(__xludf.DUMMYFUNCTION("""COMPUTED_VALUE"""),0.7449719412921354)</f>
        <v>0.7449719413</v>
      </c>
      <c r="V514" s="30">
        <f>IFERROR(__xludf.DUMMYFUNCTION("""COMPUTED_VALUE"""),0.513583687003027)</f>
        <v>0.513583687</v>
      </c>
      <c r="W514" s="30">
        <f>IFERROR(__xludf.DUMMYFUNCTION("""COMPUTED_VALUE"""),1.271186657070419)</f>
        <v>1.271186657</v>
      </c>
      <c r="X514" s="30">
        <f>IFERROR(__xludf.DUMMYFUNCTION("""COMPUTED_VALUE"""),2.4552978895791253)</f>
        <v>2.45529789</v>
      </c>
      <c r="Y514" s="30">
        <f>IFERROR(__xludf.DUMMYFUNCTION("""COMPUTED_VALUE"""),349.4543484697734)</f>
        <v>349.4543485</v>
      </c>
      <c r="Z514" s="30">
        <f>IFERROR(__xludf.DUMMYFUNCTION("""COMPUTED_VALUE"""),0.8171053933237186)</f>
        <v>0.8171053933</v>
      </c>
      <c r="AA514" s="30">
        <f>IFERROR(__xludf.DUMMYFUNCTION("""COMPUTED_VALUE"""),0.5757752575098943)</f>
        <v>0.5757752575</v>
      </c>
      <c r="AB514" s="30">
        <f>IFERROR(__xludf.DUMMYFUNCTION("""COMPUTED_VALUE"""),1.2653614205595)</f>
        <v>1.265361421</v>
      </c>
      <c r="AC514" s="30">
        <f>IFERROR(__xludf.DUMMYFUNCTION("""COMPUTED_VALUE"""),2.582066522278908)</f>
        <v>2.582066522</v>
      </c>
      <c r="AD514" s="30">
        <f>IFERROR(__xludf.DUMMYFUNCTION("""COMPUTED_VALUE"""),0.8975600142721653)</f>
        <v>0.8975600143</v>
      </c>
      <c r="AE514" s="30">
        <f>IFERROR(__xludf.DUMMYFUNCTION("""COMPUTED_VALUE"""),0.8413847290904224)</f>
        <v>0.8413847291</v>
      </c>
      <c r="AF514" s="30">
        <f>IFERROR(__xludf.DUMMYFUNCTION("""COMPUTED_VALUE"""),0.9769436818676318)</f>
        <v>0.9769436819</v>
      </c>
      <c r="AG514" s="30">
        <f>IFERROR(__xludf.DUMMYFUNCTION("""COMPUTED_VALUE"""),0.9137705490410363)</f>
        <v>0.913770549</v>
      </c>
      <c r="AH514" s="30">
        <f>IFERROR(__xludf.DUMMYFUNCTION("""COMPUTED_VALUE"""),0.907703182616468)</f>
        <v>0.9077031826</v>
      </c>
      <c r="AI514" s="30">
        <f>IFERROR(__xludf.DUMMYFUNCTION("""COMPUTED_VALUE"""),0.9604262313016141)</f>
        <v>0.9604262313</v>
      </c>
      <c r="AJ514" s="30">
        <f>IFERROR(__xludf.DUMMYFUNCTION("""COMPUTED_VALUE"""),0.8669230309710073)</f>
        <v>0.866923031</v>
      </c>
      <c r="AK514" s="30">
        <f>IFERROR(__xludf.DUMMYFUNCTION("""COMPUTED_VALUE"""),0.9329865390834396)</f>
        <v>0.9329865391</v>
      </c>
      <c r="AL514" s="30">
        <f>IFERROR(__xludf.DUMMYFUNCTION("""COMPUTED_VALUE"""),1.0898609255854705)</f>
        <v>1.089860926</v>
      </c>
      <c r="AM514" s="30">
        <f>IFERROR(__xludf.DUMMYFUNCTION("""COMPUTED_VALUE"""),0.8654754313189497)</f>
        <v>0.8654754313</v>
      </c>
      <c r="AN514" s="30">
        <f>IFERROR(__xludf.DUMMYFUNCTION("""COMPUTED_VALUE"""),0.9254009667068954)</f>
        <v>0.9254009667</v>
      </c>
      <c r="AO514" s="30">
        <f>IFERROR(__xludf.DUMMYFUNCTION("""COMPUTED_VALUE"""),0.9358067546963467)</f>
        <v>0.9358067547</v>
      </c>
      <c r="AP514" s="30">
        <f>IFERROR(__xludf.DUMMYFUNCTION("""COMPUTED_VALUE"""),1.0044214518485914)</f>
        <v>1.004421452</v>
      </c>
      <c r="AQ514" s="30">
        <f>IFERROR(__xludf.DUMMYFUNCTION("""COMPUTED_VALUE"""),0.88234048184984)</f>
        <v>0.8823404818</v>
      </c>
      <c r="AR514" s="30">
        <f>IFERROR(__xludf.DUMMYFUNCTION("""COMPUTED_VALUE"""),0.9411344389325231)</f>
        <v>0.9411344389</v>
      </c>
      <c r="AS514" s="30">
        <f>IFERROR(__xludf.DUMMYFUNCTION("""COMPUTED_VALUE"""),94.0)</f>
        <v>94</v>
      </c>
      <c r="AT514" s="30">
        <f>IFERROR(__xludf.DUMMYFUNCTION("""COMPUTED_VALUE"""),0.6582952467906592)</f>
        <v>0.6582952468</v>
      </c>
      <c r="AU514" s="30">
        <f>IFERROR(__xludf.DUMMYFUNCTION("""COMPUTED_VALUE"""),1.9338263112285543)</f>
        <v>1.933826311</v>
      </c>
      <c r="AV514" s="32">
        <f>IFERROR(__xludf.DUMMYFUNCTION("""COMPUTED_VALUE"""),47.79496537912184)</f>
        <v>47.79496538</v>
      </c>
      <c r="AW514" s="32">
        <f>IFERROR(__xludf.DUMMYFUNCTION("""COMPUTED_VALUE"""),-2.151193131477771)</f>
        <v>-2.151193131</v>
      </c>
      <c r="AX514" s="32">
        <f>IFERROR(__xludf.DUMMYFUNCTION("""COMPUTED_VALUE"""),41.273924519900646)</f>
        <v>41.27392452</v>
      </c>
      <c r="AY514" s="32">
        <f>IFERROR(__xludf.DUMMYFUNCTION("""COMPUTED_VALUE"""),-2.750815909927677)</f>
        <v>-2.75081591</v>
      </c>
      <c r="AZ514" s="30">
        <f>IFERROR(__xludf.DUMMYFUNCTION("""COMPUTED_VALUE"""),0.599622778449906)</f>
        <v>0.5996227784</v>
      </c>
      <c r="BA514" s="30">
        <f>IFERROR(__xludf.DUMMYFUNCTION("""COMPUTED_VALUE"""),1700.0)</f>
        <v>1700</v>
      </c>
    </row>
    <row r="515">
      <c r="A515" s="71" t="str">
        <f>IFERROR(__xludf.DUMMYFUNCTION("""COMPUTED_VALUE"""),"Rival")</f>
        <v>Rival</v>
      </c>
      <c r="B515" s="71" t="str">
        <f>IFERROR(__xludf.DUMMYFUNCTION("""COMPUTED_VALUE"""),"RSC006490")</f>
        <v>RSC006490</v>
      </c>
      <c r="C515" s="30" t="str">
        <f>IFERROR(__xludf.DUMMYFUNCTION("""COMPUTED_VALUE"""),"Dayz")</f>
        <v>Dayz</v>
      </c>
      <c r="D515" s="30" t="str">
        <f>IFERROR(__xludf.DUMMYFUNCTION("""COMPUTED_VALUE"""),"Stolen")</f>
        <v>Stolen</v>
      </c>
      <c r="E515" s="30">
        <f>IFERROR(__xludf.DUMMYFUNCTION("""COMPUTED_VALUE"""),32.0)</f>
        <v>32</v>
      </c>
      <c r="F515" s="30">
        <f>IFERROR(__xludf.DUMMYFUNCTION("""COMPUTED_VALUE"""),21.0)</f>
        <v>21</v>
      </c>
      <c r="G515" s="42">
        <f>IFERROR(__xludf.DUMMYFUNCTION("""COMPUTED_VALUE"""),11.0)</f>
        <v>11</v>
      </c>
      <c r="H515" s="42">
        <f>IFERROR(__xludf.DUMMYFUNCTION("""COMPUTED_VALUE"""),0.65625)</f>
        <v>0.65625</v>
      </c>
      <c r="I515" s="42">
        <f>IFERROR(__xludf.DUMMYFUNCTION("""COMPUTED_VALUE"""),0.32051282051282054)</f>
        <v>0.3205128205</v>
      </c>
      <c r="J515" s="30">
        <f>IFERROR(__xludf.DUMMYFUNCTION("""COMPUTED_VALUE"""),359.03125)</f>
        <v>359.03125</v>
      </c>
      <c r="K515" s="30">
        <f>IFERROR(__xludf.DUMMYFUNCTION("""COMPUTED_VALUE"""),0.78125)</f>
        <v>0.78125</v>
      </c>
      <c r="L515" s="30">
        <f>IFERROR(__xludf.DUMMYFUNCTION("""COMPUTED_VALUE"""),0.625)</f>
        <v>0.625</v>
      </c>
      <c r="M515" s="30">
        <f>IFERROR(__xludf.DUMMYFUNCTION("""COMPUTED_VALUE"""),1.53125)</f>
        <v>1.53125</v>
      </c>
      <c r="N515" s="30">
        <f>IFERROR(__xludf.DUMMYFUNCTION("""COMPUTED_VALUE"""),2.4375)</f>
        <v>2.4375</v>
      </c>
      <c r="O515" s="30">
        <f>IFERROR(__xludf.DUMMYFUNCTION("""COMPUTED_VALUE"""),346.64583333333337)</f>
        <v>346.6458333</v>
      </c>
      <c r="P515" s="30">
        <f>IFERROR(__xludf.DUMMYFUNCTION("""COMPUTED_VALUE"""),0.7291666666666666)</f>
        <v>0.7291666667</v>
      </c>
      <c r="Q515" s="30">
        <f>IFERROR(__xludf.DUMMYFUNCTION("""COMPUTED_VALUE"""),0.625)</f>
        <v>0.625</v>
      </c>
      <c r="R515" s="30">
        <f>IFERROR(__xludf.DUMMYFUNCTION("""COMPUTED_VALUE"""),1.4166666666666667)</f>
        <v>1.416666667</v>
      </c>
      <c r="S515" s="30">
        <f>IFERROR(__xludf.DUMMYFUNCTION("""COMPUTED_VALUE"""),2.4583333333333335)</f>
        <v>2.458333333</v>
      </c>
      <c r="T515" s="30">
        <f>IFERROR(__xludf.DUMMYFUNCTION("""COMPUTED_VALUE"""),357.58742443320557)</f>
        <v>357.5874244</v>
      </c>
      <c r="U515" s="30">
        <f>IFERROR(__xludf.DUMMYFUNCTION("""COMPUTED_VALUE"""),0.8322175280049169)</f>
        <v>0.832217528</v>
      </c>
      <c r="V515" s="30">
        <f>IFERROR(__xludf.DUMMYFUNCTION("""COMPUTED_VALUE"""),0.6025731466328604)</f>
        <v>0.6025731466</v>
      </c>
      <c r="W515" s="30">
        <f>IFERROR(__xludf.DUMMYFUNCTION("""COMPUTED_VALUE"""),1.3653666812867096)</f>
        <v>1.365366681</v>
      </c>
      <c r="X515" s="30">
        <f>IFERROR(__xludf.DUMMYFUNCTION("""COMPUTED_VALUE"""),2.6435087781375355)</f>
        <v>2.643508778</v>
      </c>
      <c r="Y515" s="30">
        <f>IFERROR(__xludf.DUMMYFUNCTION("""COMPUTED_VALUE"""),344.8012196204382)</f>
        <v>344.8012196</v>
      </c>
      <c r="Z515" s="30">
        <f>IFERROR(__xludf.DUMMYFUNCTION("""COMPUTED_VALUE"""),0.7813712445019514)</f>
        <v>0.7813712445</v>
      </c>
      <c r="AA515" s="30">
        <f>IFERROR(__xludf.DUMMYFUNCTION("""COMPUTED_VALUE"""),0.5618061704240139)</f>
        <v>0.5618061704</v>
      </c>
      <c r="AB515" s="30">
        <f>IFERROR(__xludf.DUMMYFUNCTION("""COMPUTED_VALUE"""),1.29905954620473)</f>
        <v>1.299059546</v>
      </c>
      <c r="AC515" s="30">
        <f>IFERROR(__xludf.DUMMYFUNCTION("""COMPUTED_VALUE"""),2.622703305911168)</f>
        <v>2.622703306</v>
      </c>
      <c r="AD515" s="30">
        <f>IFERROR(__xludf.DUMMYFUNCTION("""COMPUTED_VALUE"""),1.0412702437515344)</f>
        <v>1.041270244</v>
      </c>
      <c r="AE515" s="30">
        <f>IFERROR(__xludf.DUMMYFUNCTION("""COMPUTED_VALUE"""),0.9998448311186207)</f>
        <v>0.9998448311</v>
      </c>
      <c r="AF515" s="30">
        <f>IFERROR(__xludf.DUMMYFUNCTION("""COMPUTED_VALUE"""),1.1124833312676)</f>
        <v>1.112483331</v>
      </c>
      <c r="AG515" s="30">
        <f>IFERROR(__xludf.DUMMYFUNCTION("""COMPUTED_VALUE"""),1.1787373446225975)</f>
        <v>1.178737345</v>
      </c>
      <c r="AH515" s="30">
        <f>IFERROR(__xludf.DUMMYFUNCTION("""COMPUTED_VALUE"""),0.929384576023621)</f>
        <v>0.929384576</v>
      </c>
      <c r="AI515" s="30">
        <f>IFERROR(__xludf.DUMMYFUNCTION("""COMPUTED_VALUE"""),0.9694016334125419)</f>
        <v>0.9694016334</v>
      </c>
      <c r="AJ515" s="30">
        <f>IFERROR(__xludf.DUMMYFUNCTION("""COMPUTED_VALUE"""),0.8761731664252553)</f>
        <v>0.8761731664</v>
      </c>
      <c r="AK515" s="30">
        <f>IFERROR(__xludf.DUMMYFUNCTION("""COMPUTED_VALUE"""),1.0372184746241337)</f>
        <v>1.037218475</v>
      </c>
      <c r="AL515" s="30">
        <f>IFERROR(__xludf.DUMMYFUNCTION("""COMPUTED_VALUE"""),1.037572313784318)</f>
        <v>1.037572314</v>
      </c>
      <c r="AM515" s="30">
        <f>IFERROR(__xludf.DUMMYFUNCTION("""COMPUTED_VALUE"""),0.9299508871180424)</f>
        <v>0.9299508871</v>
      </c>
      <c r="AN515" s="30">
        <f>IFERROR(__xludf.DUMMYFUNCTION("""COMPUTED_VALUE"""),1.0592738573772562)</f>
        <v>1.059273857</v>
      </c>
      <c r="AO515" s="30">
        <f>IFERROR(__xludf.DUMMYFUNCTION("""COMPUTED_VALUE"""),1.063416766700394)</f>
        <v>1.063416767</v>
      </c>
      <c r="AP515" s="30">
        <f>IFERROR(__xludf.DUMMYFUNCTION("""COMPUTED_VALUE"""),1.116023835387324)</f>
        <v>1.116023835</v>
      </c>
      <c r="AQ515" s="30">
        <f>IFERROR(__xludf.DUMMYFUNCTION("""COMPUTED_VALUE"""),1.168504962449788)</f>
        <v>1.168504962</v>
      </c>
      <c r="AR515" s="30">
        <f>IFERROR(__xludf.DUMMYFUNCTION("""COMPUTED_VALUE"""),0.9787798164898242)</f>
        <v>0.9787798165</v>
      </c>
      <c r="AS515" s="30">
        <f>IFERROR(__xludf.DUMMYFUNCTION("""COMPUTED_VALUE"""),83.0)</f>
        <v>83</v>
      </c>
      <c r="AT515" s="30">
        <f>IFERROR(__xludf.DUMMYFUNCTION("""COMPUTED_VALUE"""),0.5663332332090288)</f>
        <v>0.5663332332</v>
      </c>
      <c r="AU515" s="30">
        <f>IFERROR(__xludf.DUMMYFUNCTION("""COMPUTED_VALUE"""),2.227677525369745)</f>
        <v>2.227677525</v>
      </c>
      <c r="AV515" s="32">
        <f>IFERROR(__xludf.DUMMYFUNCTION("""COMPUTED_VALUE"""),58.17498604987768)</f>
        <v>58.17498605</v>
      </c>
      <c r="AW515" s="32">
        <f>IFERROR(__xludf.DUMMYFUNCTION("""COMPUTED_VALUE"""),2.689371028022949)</f>
        <v>2.689371028</v>
      </c>
      <c r="AX515" s="32">
        <f>IFERROR(__xludf.DUMMYFUNCTION("""COMPUTED_VALUE"""),51.407738386203874)</f>
        <v>51.40773839</v>
      </c>
      <c r="AY515" s="32">
        <f>IFERROR(__xludf.DUMMYFUNCTION("""COMPUTED_VALUE"""),2.0940320425291)</f>
        <v>2.094032043</v>
      </c>
      <c r="AZ515" s="30">
        <f>IFERROR(__xludf.DUMMYFUNCTION("""COMPUTED_VALUE"""),0.5953389854938487)</f>
        <v>0.5953389855</v>
      </c>
      <c r="BA515" s="30">
        <f>IFERROR(__xludf.DUMMYFUNCTION("""COMPUTED_VALUE"""),1700.0)</f>
        <v>1700</v>
      </c>
    </row>
    <row r="516">
      <c r="A516" s="71" t="str">
        <f>IFERROR(__xludf.DUMMYFUNCTION("""COMPUTED_VALUE"""),"Rival")</f>
        <v>Rival</v>
      </c>
      <c r="B516" s="71" t="str">
        <f>IFERROR(__xludf.DUMMYFUNCTION("""COMPUTED_VALUE"""),"RSC004399")</f>
        <v>RSC004399</v>
      </c>
      <c r="C516" s="30" t="str">
        <f>IFERROR(__xludf.DUMMYFUNCTION("""COMPUTED_VALUE"""),"zippythegnome")</f>
        <v>zippythegnome</v>
      </c>
      <c r="D516" s="30" t="str">
        <f>IFERROR(__xludf.DUMMYFUNCTION("""COMPUTED_VALUE"""),"Kitsune")</f>
        <v>Kitsune</v>
      </c>
      <c r="E516" s="30">
        <f>IFERROR(__xludf.DUMMYFUNCTION("""COMPUTED_VALUE"""),27.0)</f>
        <v>27</v>
      </c>
      <c r="F516" s="30">
        <f>IFERROR(__xludf.DUMMYFUNCTION("""COMPUTED_VALUE"""),13.0)</f>
        <v>13</v>
      </c>
      <c r="G516" s="42">
        <f>IFERROR(__xludf.DUMMYFUNCTION("""COMPUTED_VALUE"""),14.0)</f>
        <v>14</v>
      </c>
      <c r="H516" s="42">
        <f>IFERROR(__xludf.DUMMYFUNCTION("""COMPUTED_VALUE"""),0.48148148148148145)</f>
        <v>0.4814814815</v>
      </c>
      <c r="I516" s="42">
        <f>IFERROR(__xludf.DUMMYFUNCTION("""COMPUTED_VALUE"""),0.32)</f>
        <v>0.32</v>
      </c>
      <c r="J516" s="30">
        <f>IFERROR(__xludf.DUMMYFUNCTION("""COMPUTED_VALUE"""),315.037037037037)</f>
        <v>315.037037</v>
      </c>
      <c r="K516" s="30">
        <f>IFERROR(__xludf.DUMMYFUNCTION("""COMPUTED_VALUE"""),0.5925925925925926)</f>
        <v>0.5925925926</v>
      </c>
      <c r="L516" s="30">
        <f>IFERROR(__xludf.DUMMYFUNCTION("""COMPUTED_VALUE"""),0.5925925925925926)</f>
        <v>0.5925925926</v>
      </c>
      <c r="M516" s="30">
        <f>IFERROR(__xludf.DUMMYFUNCTION("""COMPUTED_VALUE"""),1.4074074074074074)</f>
        <v>1.407407407</v>
      </c>
      <c r="N516" s="30">
        <f>IFERROR(__xludf.DUMMYFUNCTION("""COMPUTED_VALUE"""),1.8518518518518519)</f>
        <v>1.851851852</v>
      </c>
      <c r="O516" s="30">
        <f>IFERROR(__xludf.DUMMYFUNCTION("""COMPUTED_VALUE"""),330.99999999999994)</f>
        <v>331</v>
      </c>
      <c r="P516" s="30">
        <f>IFERROR(__xludf.DUMMYFUNCTION("""COMPUTED_VALUE"""),0.7037037037037037)</f>
        <v>0.7037037037</v>
      </c>
      <c r="Q516" s="30">
        <f>IFERROR(__xludf.DUMMYFUNCTION("""COMPUTED_VALUE"""),0.5185185185185185)</f>
        <v>0.5185185185</v>
      </c>
      <c r="R516" s="30">
        <f>IFERROR(__xludf.DUMMYFUNCTION("""COMPUTED_VALUE"""),1.2098765432098768)</f>
        <v>1.209876543</v>
      </c>
      <c r="S516" s="30">
        <f>IFERROR(__xludf.DUMMYFUNCTION("""COMPUTED_VALUE"""),2.4814814814814814)</f>
        <v>2.481481481</v>
      </c>
      <c r="T516" s="30">
        <f>IFERROR(__xludf.DUMMYFUNCTION("""COMPUTED_VALUE"""),345.5356295624663)</f>
        <v>345.5356296</v>
      </c>
      <c r="U516" s="30">
        <f>IFERROR(__xludf.DUMMYFUNCTION("""COMPUTED_VALUE"""),0.7871487861692147)</f>
        <v>0.7871487862</v>
      </c>
      <c r="V516" s="30">
        <f>IFERROR(__xludf.DUMMYFUNCTION("""COMPUTED_VALUE"""),0.5414049145977083)</f>
        <v>0.5414049146</v>
      </c>
      <c r="W516" s="30">
        <f>IFERROR(__xludf.DUMMYFUNCTION("""COMPUTED_VALUE"""),1.3384467072453075)</f>
        <v>1.338446707</v>
      </c>
      <c r="X516" s="30">
        <f>IFERROR(__xludf.DUMMYFUNCTION("""COMPUTED_VALUE"""),2.595290161568001)</f>
        <v>2.595290162</v>
      </c>
      <c r="Y516" s="30">
        <f>IFERROR(__xludf.DUMMYFUNCTION("""COMPUTED_VALUE"""),346.81764529638235)</f>
        <v>346.8176453</v>
      </c>
      <c r="Z516" s="30">
        <f>IFERROR(__xludf.DUMMYFUNCTION("""COMPUTED_VALUE"""),0.7913342912359008)</f>
        <v>0.7913342912</v>
      </c>
      <c r="AA516" s="30">
        <f>IFERROR(__xludf.DUMMYFUNCTION("""COMPUTED_VALUE"""),0.5565930233899705)</f>
        <v>0.5565930234</v>
      </c>
      <c r="AB516" s="30">
        <f>IFERROR(__xludf.DUMMYFUNCTION("""COMPUTED_VALUE"""),1.3629063288155638)</f>
        <v>1.362906329</v>
      </c>
      <c r="AC516" s="30">
        <f>IFERROR(__xludf.DUMMYFUNCTION("""COMPUTED_VALUE"""),2.548587253542593)</f>
        <v>2.548587254</v>
      </c>
      <c r="AD516" s="30">
        <f>IFERROR(__xludf.DUMMYFUNCTION("""COMPUTED_VALUE"""),0.9083650768916721)</f>
        <v>0.9083650769</v>
      </c>
      <c r="AE516" s="30">
        <f>IFERROR(__xludf.DUMMYFUNCTION("""COMPUTED_VALUE"""),0.7488524118765095)</f>
        <v>0.7488524119</v>
      </c>
      <c r="AF516" s="30">
        <f>IFERROR(__xludf.DUMMYFUNCTION("""COMPUTED_VALUE"""),1.0646784413203099)</f>
        <v>1.064678441</v>
      </c>
      <c r="AG516" s="30">
        <f>IFERROR(__xludf.DUMMYFUNCTION("""COMPUTED_VALUE"""),1.032651604626796)</f>
        <v>1.032651605</v>
      </c>
      <c r="AH516" s="30">
        <f>IFERROR(__xludf.DUMMYFUNCTION("""COMPUTED_VALUE"""),0.7266189726397385)</f>
        <v>0.7266189726</v>
      </c>
      <c r="AI516" s="30">
        <f>IFERROR(__xludf.DUMMYFUNCTION("""COMPUTED_VALUE"""),0.9579330514168045)</f>
        <v>0.9579330514</v>
      </c>
      <c r="AJ516" s="30">
        <f>IFERROR(__xludf.DUMMYFUNCTION("""COMPUTED_VALUE"""),0.8939907118810285)</f>
        <v>0.8939907119</v>
      </c>
      <c r="AK516" s="30">
        <f>IFERROR(__xludf.DUMMYFUNCTION("""COMPUTED_VALUE"""),0.9577277644474365)</f>
        <v>0.9577277644</v>
      </c>
      <c r="AL516" s="30">
        <f>IFERROR(__xludf.DUMMYFUNCTION("""COMPUTED_VALUE"""),0.9039407670552351)</f>
        <v>0.9039407671</v>
      </c>
      <c r="AM516" s="30">
        <f>IFERROR(__xludf.DUMMYFUNCTION("""COMPUTED_VALUE"""),0.9561479938652564)</f>
        <v>0.9561479939</v>
      </c>
      <c r="AN516" s="30">
        <f>IFERROR(__xludf.DUMMYFUNCTION("""COMPUTED_VALUE"""),0.9294747948512108)</f>
        <v>0.9294747949</v>
      </c>
      <c r="AO516" s="30">
        <f>IFERROR(__xludf.DUMMYFUNCTION("""COMPUTED_VALUE"""),0.8066213104453358)</f>
        <v>0.8066213104</v>
      </c>
      <c r="AP516" s="30">
        <f>IFERROR(__xludf.DUMMYFUNCTION("""COMPUTED_VALUE"""),1.0581559328116847)</f>
        <v>1.058155933</v>
      </c>
      <c r="AQ516" s="30">
        <f>IFERROR(__xludf.DUMMYFUNCTION("""COMPUTED_VALUE"""),1.0740000259553608)</f>
        <v>1.074000026</v>
      </c>
      <c r="AR516" s="30">
        <f>IFERROR(__xludf.DUMMYFUNCTION("""COMPUTED_VALUE"""),0.7436123961935985)</f>
        <v>0.7436123962</v>
      </c>
      <c r="AS516" s="30">
        <f>IFERROR(__xludf.DUMMYFUNCTION("""COMPUTED_VALUE"""),53.0)</f>
        <v>53</v>
      </c>
      <c r="AT516" s="30">
        <f>IFERROR(__xludf.DUMMYFUNCTION("""COMPUTED_VALUE"""),0.47280567004761515)</f>
        <v>0.47280567</v>
      </c>
      <c r="AU516" s="30">
        <f>IFERROR(__xludf.DUMMYFUNCTION("""COMPUTED_VALUE"""),1.6792148943044933)</f>
        <v>1.679214894</v>
      </c>
      <c r="AV516" s="32">
        <f>IFERROR(__xludf.DUMMYFUNCTION("""COMPUTED_VALUE"""),38.801054027058036)</f>
        <v>38.80105403</v>
      </c>
      <c r="AW516" s="32">
        <f>IFERROR(__xludf.DUMMYFUNCTION("""COMPUTED_VALUE"""),-3.0572455878299483)</f>
        <v>-3.057245588</v>
      </c>
      <c r="AX516" s="32">
        <f>IFERROR(__xludf.DUMMYFUNCTION("""COMPUTED_VALUE"""),43.65922078922022)</f>
        <v>43.65922079</v>
      </c>
      <c r="AY516" s="32">
        <f>IFERROR(__xludf.DUMMYFUNCTION("""COMPUTED_VALUE"""),-2.5006860792017678)</f>
        <v>-2.500686079</v>
      </c>
      <c r="AZ516" s="30">
        <f>IFERROR(__xludf.DUMMYFUNCTION("""COMPUTED_VALUE"""),0.5565595086281805)</f>
        <v>0.5565595086</v>
      </c>
      <c r="BA516" s="30">
        <f>IFERROR(__xludf.DUMMYFUNCTION("""COMPUTED_VALUE"""),1700.0)</f>
        <v>1700</v>
      </c>
    </row>
    <row r="517">
      <c r="A517" s="71" t="str">
        <f>IFERROR(__xludf.DUMMYFUNCTION("""COMPUTED_VALUE"""),"Rival")</f>
        <v>Rival</v>
      </c>
      <c r="B517" s="71" t="str">
        <f>IFERROR(__xludf.DUMMYFUNCTION("""COMPUTED_VALUE"""),"RSC002616")</f>
        <v>RSC002616</v>
      </c>
      <c r="C517" s="30" t="str">
        <f>IFERROR(__xludf.DUMMYFUNCTION("""COMPUTED_VALUE"""),"Ruthle")</f>
        <v>Ruthle</v>
      </c>
      <c r="D517" s="30" t="str">
        <f>IFERROR(__xludf.DUMMYFUNCTION("""COMPUTED_VALUE"""),"50 Cent")</f>
        <v>50 Cent</v>
      </c>
      <c r="E517" s="30">
        <f>IFERROR(__xludf.DUMMYFUNCTION("""COMPUTED_VALUE"""),24.0)</f>
        <v>24</v>
      </c>
      <c r="F517" s="30">
        <f>IFERROR(__xludf.DUMMYFUNCTION("""COMPUTED_VALUE"""),9.0)</f>
        <v>9</v>
      </c>
      <c r="G517" s="42">
        <f>IFERROR(__xludf.DUMMYFUNCTION("""COMPUTED_VALUE"""),15.0)</f>
        <v>15</v>
      </c>
      <c r="H517" s="42">
        <f>IFERROR(__xludf.DUMMYFUNCTION("""COMPUTED_VALUE"""),0.375)</f>
        <v>0.375</v>
      </c>
      <c r="I517" s="42">
        <f>IFERROR(__xludf.DUMMYFUNCTION("""COMPUTED_VALUE"""),0.2909090909090909)</f>
        <v>0.2909090909</v>
      </c>
      <c r="J517" s="30">
        <f>IFERROR(__xludf.DUMMYFUNCTION("""COMPUTED_VALUE"""),331.4166666666667)</f>
        <v>331.4166667</v>
      </c>
      <c r="K517" s="30">
        <f>IFERROR(__xludf.DUMMYFUNCTION("""COMPUTED_VALUE"""),0.6666666666666666)</f>
        <v>0.6666666667</v>
      </c>
      <c r="L517" s="30">
        <f>IFERROR(__xludf.DUMMYFUNCTION("""COMPUTED_VALUE"""),0.75)</f>
        <v>0.75</v>
      </c>
      <c r="M517" s="30">
        <f>IFERROR(__xludf.DUMMYFUNCTION("""COMPUTED_VALUE"""),1.0)</f>
        <v>1</v>
      </c>
      <c r="N517" s="30">
        <f>IFERROR(__xludf.DUMMYFUNCTION("""COMPUTED_VALUE"""),2.2916666666666665)</f>
        <v>2.291666667</v>
      </c>
      <c r="O517" s="30">
        <f>IFERROR(__xludf.DUMMYFUNCTION("""COMPUTED_VALUE"""),374.8611111111111)</f>
        <v>374.8611111</v>
      </c>
      <c r="P517" s="30">
        <f>IFERROR(__xludf.DUMMYFUNCTION("""COMPUTED_VALUE"""),1.0138888888888888)</f>
        <v>1.013888889</v>
      </c>
      <c r="Q517" s="30">
        <f>IFERROR(__xludf.DUMMYFUNCTION("""COMPUTED_VALUE"""),0.6944444444444445)</f>
        <v>0.6944444444</v>
      </c>
      <c r="R517" s="30">
        <f>IFERROR(__xludf.DUMMYFUNCTION("""COMPUTED_VALUE"""),1.2916666666666665)</f>
        <v>1.291666667</v>
      </c>
      <c r="S517" s="30">
        <f>IFERROR(__xludf.DUMMYFUNCTION("""COMPUTED_VALUE"""),2.777777777777778)</f>
        <v>2.777777778</v>
      </c>
      <c r="T517" s="30">
        <f>IFERROR(__xludf.DUMMYFUNCTION("""COMPUTED_VALUE"""),356.6944190334603)</f>
        <v>356.694419</v>
      </c>
      <c r="U517" s="30">
        <f>IFERROR(__xludf.DUMMYFUNCTION("""COMPUTED_VALUE"""),0.82261781096192)</f>
        <v>0.822617811</v>
      </c>
      <c r="V517" s="30">
        <f>IFERROR(__xludf.DUMMYFUNCTION("""COMPUTED_VALUE"""),0.5731965452331831)</f>
        <v>0.5731965452</v>
      </c>
      <c r="W517" s="30">
        <f>IFERROR(__xludf.DUMMYFUNCTION("""COMPUTED_VALUE"""),1.4258426452555717)</f>
        <v>1.425842645</v>
      </c>
      <c r="X517" s="30">
        <f>IFERROR(__xludf.DUMMYFUNCTION("""COMPUTED_VALUE"""),2.6532755518356)</f>
        <v>2.653275552</v>
      </c>
      <c r="Y517" s="30">
        <f>IFERROR(__xludf.DUMMYFUNCTION("""COMPUTED_VALUE"""),342.81079408993077)</f>
        <v>342.8107941</v>
      </c>
      <c r="Z517" s="30">
        <f>IFERROR(__xludf.DUMMYFUNCTION("""COMPUTED_VALUE"""),0.7627009295121545)</f>
        <v>0.7627009295</v>
      </c>
      <c r="AA517" s="30">
        <f>IFERROR(__xludf.DUMMYFUNCTION("""COMPUTED_VALUE"""),0.5720349142711872)</f>
        <v>0.5720349143</v>
      </c>
      <c r="AB517" s="30">
        <f>IFERROR(__xludf.DUMMYFUNCTION("""COMPUTED_VALUE"""),1.2949722721982273)</f>
        <v>1.294972272</v>
      </c>
      <c r="AC517" s="30">
        <f>IFERROR(__xludf.DUMMYFUNCTION("""COMPUTED_VALUE"""),2.6635405410938215)</f>
        <v>2.663540541</v>
      </c>
      <c r="AD517" s="30">
        <f>IFERROR(__xludf.DUMMYFUNCTION("""COMPUTED_VALUE"""),0.9667626351920674)</f>
        <v>0.9667626352</v>
      </c>
      <c r="AE517" s="30">
        <f>IFERROR(__xludf.DUMMYFUNCTION("""COMPUTED_VALUE"""),0.8740866057329783)</f>
        <v>0.8740866057</v>
      </c>
      <c r="AF517" s="30">
        <f>IFERROR(__xludf.DUMMYFUNCTION("""COMPUTED_VALUE"""),1.3111087825042163)</f>
        <v>1.311108783</v>
      </c>
      <c r="AG517" s="30">
        <f>IFERROR(__xludf.DUMMYFUNCTION("""COMPUTED_VALUE"""),0.7722173064775285)</f>
        <v>0.7722173065</v>
      </c>
      <c r="AH517" s="30">
        <f>IFERROR(__xludf.DUMMYFUNCTION("""COMPUTED_VALUE"""),0.8603836252199715)</f>
        <v>0.8603836252</v>
      </c>
      <c r="AI517" s="30">
        <f>IFERROR(__xludf.DUMMYFUNCTION("""COMPUTED_VALUE"""),1.050930687749131)</f>
        <v>1.050930688</v>
      </c>
      <c r="AJ517" s="30">
        <f>IFERROR(__xludf.DUMMYFUNCTION("""COMPUTED_VALUE"""),1.2325151186591838)</f>
        <v>1.232515119</v>
      </c>
      <c r="AK517" s="30">
        <f>IFERROR(__xludf.DUMMYFUNCTION("""COMPUTED_VALUE"""),1.2115293614722265)</f>
        <v>1.211529361</v>
      </c>
      <c r="AL517" s="30">
        <f>IFERROR(__xludf.DUMMYFUNCTION("""COMPUTED_VALUE"""),0.9058970644233642)</f>
        <v>0.9058970644</v>
      </c>
      <c r="AM517" s="30">
        <f>IFERROR(__xludf.DUMMYFUNCTION("""COMPUTED_VALUE"""),1.046923971336503)</f>
        <v>1.046923971</v>
      </c>
      <c r="AN517" s="30">
        <f>IFERROR(__xludf.DUMMYFUNCTION("""COMPUTED_VALUE"""),0.977800709267264)</f>
        <v>0.9778007093</v>
      </c>
      <c r="AO517" s="30">
        <f>IFERROR(__xludf.DUMMYFUNCTION("""COMPUTED_VALUE"""),0.9074489742510028)</f>
        <v>0.9074489743</v>
      </c>
      <c r="AP517" s="30">
        <f>IFERROR(__xludf.DUMMYFUNCTION("""COMPUTED_VALUE"""),1.3392286024647886)</f>
        <v>1.339228602</v>
      </c>
      <c r="AQ517" s="30">
        <f>IFERROR(__xludf.DUMMYFUNCTION("""COMPUTED_VALUE"""),0.7631052815998617)</f>
        <v>0.7631052816</v>
      </c>
      <c r="AR517" s="30">
        <f>IFERROR(__xludf.DUMMYFUNCTION("""COMPUTED_VALUE"""),0.9202203402895782)</f>
        <v>0.9202203403</v>
      </c>
      <c r="AS517" s="30">
        <f>IFERROR(__xludf.DUMMYFUNCTION("""COMPUTED_VALUE"""),57.0)</f>
        <v>57</v>
      </c>
      <c r="AT517" s="30">
        <f>IFERROR(__xludf.DUMMYFUNCTION("""COMPUTED_VALUE"""),0.4008832302538169)</f>
        <v>0.4008832303</v>
      </c>
      <c r="AU517" s="30">
        <f>IFERROR(__xludf.DUMMYFUNCTION("""COMPUTED_VALUE"""),1.8908449252869146)</f>
        <v>1.890844925</v>
      </c>
      <c r="AV517" s="32">
        <f>IFERROR(__xludf.DUMMYFUNCTION("""COMPUTED_VALUE"""),46.276687920797)</f>
        <v>46.27668792</v>
      </c>
      <c r="AW517" s="32">
        <f>IFERROR(__xludf.DUMMYFUNCTION("""COMPUTED_VALUE"""),-2.268584761712427)</f>
        <v>-2.268584762</v>
      </c>
      <c r="AX517" s="32">
        <f>IFERROR(__xludf.DUMMYFUNCTION("""COMPUTED_VALUE"""),40.797257061003506)</f>
        <v>40.79725706</v>
      </c>
      <c r="AY517" s="32">
        <f>IFERROR(__xludf.DUMMYFUNCTION("""COMPUTED_VALUE"""),-2.8058698926561014)</f>
        <v>-2.805869893</v>
      </c>
      <c r="AZ517" s="30">
        <f>IFERROR(__xludf.DUMMYFUNCTION("""COMPUTED_VALUE"""),0.5372851309436744)</f>
        <v>0.5372851309</v>
      </c>
      <c r="BA517" s="30">
        <f>IFERROR(__xludf.DUMMYFUNCTION("""COMPUTED_VALUE"""),1700.0)</f>
        <v>1700</v>
      </c>
    </row>
    <row r="518">
      <c r="A518" s="71" t="str">
        <f>IFERROR(__xludf.DUMMYFUNCTION("""COMPUTED_VALUE"""),"Rival")</f>
        <v>Rival</v>
      </c>
      <c r="B518" s="71" t="str">
        <f>IFERROR(__xludf.DUMMYFUNCTION("""COMPUTED_VALUE"""),"RSC007561")</f>
        <v>RSC007561</v>
      </c>
      <c r="C518" s="30" t="str">
        <f>IFERROR(__xludf.DUMMYFUNCTION("""COMPUTED_VALUE"""),"Grabbitzz")</f>
        <v>Grabbitzz</v>
      </c>
      <c r="D518" s="30" t="str">
        <f>IFERROR(__xludf.DUMMYFUNCTION("""COMPUTED_VALUE"""),"Polar Bears")</f>
        <v>Polar Bears</v>
      </c>
      <c r="E518" s="30">
        <f>IFERROR(__xludf.DUMMYFUNCTION("""COMPUTED_VALUE"""),17.0)</f>
        <v>17</v>
      </c>
      <c r="F518" s="30">
        <f>IFERROR(__xludf.DUMMYFUNCTION("""COMPUTED_VALUE"""),6.0)</f>
        <v>6</v>
      </c>
      <c r="G518" s="42">
        <f>IFERROR(__xludf.DUMMYFUNCTION("""COMPUTED_VALUE"""),11.0)</f>
        <v>11</v>
      </c>
      <c r="H518" s="42">
        <f>IFERROR(__xludf.DUMMYFUNCTION("""COMPUTED_VALUE"""),0.35294117647058826)</f>
        <v>0.3529411765</v>
      </c>
      <c r="I518" s="42">
        <f>IFERROR(__xludf.DUMMYFUNCTION("""COMPUTED_VALUE"""),0.2727272727272727)</f>
        <v>0.2727272727</v>
      </c>
      <c r="J518" s="30">
        <f>IFERROR(__xludf.DUMMYFUNCTION("""COMPUTED_VALUE"""),316.29411764705884)</f>
        <v>316.2941176</v>
      </c>
      <c r="K518" s="30">
        <f>IFERROR(__xludf.DUMMYFUNCTION("""COMPUTED_VALUE"""),0.7058823529411765)</f>
        <v>0.7058823529</v>
      </c>
      <c r="L518" s="30">
        <f>IFERROR(__xludf.DUMMYFUNCTION("""COMPUTED_VALUE"""),0.5882352941176471)</f>
        <v>0.5882352941</v>
      </c>
      <c r="M518" s="30">
        <f>IFERROR(__xludf.DUMMYFUNCTION("""COMPUTED_VALUE"""),1.3529411764705883)</f>
        <v>1.352941176</v>
      </c>
      <c r="N518" s="30">
        <f>IFERROR(__xludf.DUMMYFUNCTION("""COMPUTED_VALUE"""),2.588235294117647)</f>
        <v>2.588235294</v>
      </c>
      <c r="O518" s="30">
        <f>IFERROR(__xludf.DUMMYFUNCTION("""COMPUTED_VALUE"""),376.5098039215687)</f>
        <v>376.5098039</v>
      </c>
      <c r="P518" s="30">
        <f>IFERROR(__xludf.DUMMYFUNCTION("""COMPUTED_VALUE"""),0.8627450980392158)</f>
        <v>0.862745098</v>
      </c>
      <c r="Q518" s="30">
        <f>IFERROR(__xludf.DUMMYFUNCTION("""COMPUTED_VALUE"""),0.6078431372549019)</f>
        <v>0.6078431373</v>
      </c>
      <c r="R518" s="30">
        <f>IFERROR(__xludf.DUMMYFUNCTION("""COMPUTED_VALUE"""),1.5294117647058825)</f>
        <v>1.529411765</v>
      </c>
      <c r="S518" s="30">
        <f>IFERROR(__xludf.DUMMYFUNCTION("""COMPUTED_VALUE"""),2.5490196078431375)</f>
        <v>2.549019608</v>
      </c>
      <c r="T518" s="30">
        <f>IFERROR(__xludf.DUMMYFUNCTION("""COMPUTED_VALUE"""),347.1415795878345)</f>
        <v>347.1415796</v>
      </c>
      <c r="U518" s="30">
        <f>IFERROR(__xludf.DUMMYFUNCTION("""COMPUTED_VALUE"""),0.7690319322194993)</f>
        <v>0.7690319322</v>
      </c>
      <c r="V518" s="30">
        <f>IFERROR(__xludf.DUMMYFUNCTION("""COMPUTED_VALUE"""),0.5789252994240466)</f>
        <v>0.5789252994</v>
      </c>
      <c r="W518" s="30">
        <f>IFERROR(__xludf.DUMMYFUNCTION("""COMPUTED_VALUE"""),1.3014147835067176)</f>
        <v>1.301414784</v>
      </c>
      <c r="X518" s="30">
        <f>IFERROR(__xludf.DUMMYFUNCTION("""COMPUTED_VALUE"""),2.531794855647916)</f>
        <v>2.531794856</v>
      </c>
      <c r="Y518" s="30">
        <f>IFERROR(__xludf.DUMMYFUNCTION("""COMPUTED_VALUE"""),344.4910068425699)</f>
        <v>344.4910068</v>
      </c>
      <c r="Z518" s="30">
        <f>IFERROR(__xludf.DUMMYFUNCTION("""COMPUTED_VALUE"""),0.7543186420965524)</f>
        <v>0.7543186421</v>
      </c>
      <c r="AA518" s="30">
        <f>IFERROR(__xludf.DUMMYFUNCTION("""COMPUTED_VALUE"""),0.5562332206219173)</f>
        <v>0.5562332206</v>
      </c>
      <c r="AB518" s="30">
        <f>IFERROR(__xludf.DUMMYFUNCTION("""COMPUTED_VALUE"""),1.2919150479201984)</f>
        <v>1.291915048</v>
      </c>
      <c r="AC518" s="30">
        <f>IFERROR(__xludf.DUMMYFUNCTION("""COMPUTED_VALUE"""),2.5001318526405036)</f>
        <v>2.500131853</v>
      </c>
      <c r="AD518" s="30">
        <f>IFERROR(__xludf.DUMMYFUNCTION("""COMPUTED_VALUE"""),0.9181491283213763)</f>
        <v>0.9181491283</v>
      </c>
      <c r="AE518" s="30">
        <f>IFERROR(__xludf.DUMMYFUNCTION("""COMPUTED_VALUE"""),0.9357880258391174)</f>
        <v>0.9357880258</v>
      </c>
      <c r="AF518" s="30">
        <f>IFERROR(__xludf.DUMMYFUNCTION("""COMPUTED_VALUE"""),1.0575335530300558)</f>
        <v>1.057533553</v>
      </c>
      <c r="AG518" s="30">
        <f>IFERROR(__xludf.DUMMYFUNCTION("""COMPUTED_VALUE"""),1.0472369515694033)</f>
        <v>1.047236952</v>
      </c>
      <c r="AH518" s="30">
        <f>IFERROR(__xludf.DUMMYFUNCTION("""COMPUTED_VALUE"""),1.0352395180214569)</f>
        <v>1.035239518</v>
      </c>
      <c r="AI518" s="30">
        <f>IFERROR(__xludf.DUMMYFUNCTION("""COMPUTED_VALUE"""),1.0846001345289822)</f>
        <v>1.084600135</v>
      </c>
      <c r="AJ518" s="30">
        <f>IFERROR(__xludf.DUMMYFUNCTION("""COMPUTED_VALUE"""),1.1218586145691656)</f>
        <v>1.121858615</v>
      </c>
      <c r="AK518" s="30">
        <f>IFERROR(__xludf.DUMMYFUNCTION("""COMPUTED_VALUE"""),1.049950896703987)</f>
        <v>1.049950897</v>
      </c>
      <c r="AL518" s="30">
        <f>IFERROR(__xludf.DUMMYFUNCTION("""COMPUTED_VALUE"""),1.1751916330509304)</f>
        <v>1.175191633</v>
      </c>
      <c r="AM518" s="30">
        <f>IFERROR(__xludf.DUMMYFUNCTION("""COMPUTED_VALUE"""),1.00680337593577)</f>
        <v>1.006803376</v>
      </c>
      <c r="AN518" s="30">
        <f>IFERROR(__xludf.DUMMYFUNCTION("""COMPUTED_VALUE"""),0.9331836436681646)</f>
        <v>0.9331836437</v>
      </c>
      <c r="AO518" s="30">
        <f>IFERROR(__xludf.DUMMYFUNCTION("""COMPUTED_VALUE"""),0.9608283256775324)</f>
        <v>0.9608283257</v>
      </c>
      <c r="AP518" s="30">
        <f>IFERROR(__xludf.DUMMYFUNCTION("""COMPUTED_VALUE"""),1.0503753744821873)</f>
        <v>1.050375374</v>
      </c>
      <c r="AQ518" s="30">
        <f>IFERROR(__xludf.DUMMYFUNCTION("""COMPUTED_VALUE"""),1.0324365574586365)</f>
        <v>1.032436557</v>
      </c>
      <c r="AR518" s="30">
        <f>IFERROR(__xludf.DUMMYFUNCTION("""COMPUTED_VALUE"""),1.0393076784447002)</f>
        <v>1.039307678</v>
      </c>
      <c r="AS518" s="30">
        <f>IFERROR(__xludf.DUMMYFUNCTION("""COMPUTED_VALUE"""),42.0)</f>
        <v>42</v>
      </c>
      <c r="AT518" s="30">
        <f>IFERROR(__xludf.DUMMYFUNCTION("""COMPUTED_VALUE"""),0.4814884183672522)</f>
        <v>0.4814884184</v>
      </c>
      <c r="AU518" s="30">
        <f>IFERROR(__xludf.DUMMYFUNCTION("""COMPUTED_VALUE"""),1.9405260973969012)</f>
        <v>1.940526097</v>
      </c>
      <c r="AV518" s="32">
        <f>IFERROR(__xludf.DUMMYFUNCTION("""COMPUTED_VALUE"""),48.031629090450494)</f>
        <v>48.03162909</v>
      </c>
      <c r="AW518" s="32">
        <f>IFERROR(__xludf.DUMMYFUNCTION("""COMPUTED_VALUE"""),-2.133917090985846)</f>
        <v>-2.133917091</v>
      </c>
      <c r="AX518" s="32">
        <f>IFERROR(__xludf.DUMMYFUNCTION("""COMPUTED_VALUE"""),41.99268769378738)</f>
        <v>41.99268769</v>
      </c>
      <c r="AY518" s="32">
        <f>IFERROR(__xludf.DUMMYFUNCTION("""COMPUTED_VALUE"""),-2.671130610456083)</f>
        <v>-2.67113061</v>
      </c>
      <c r="AZ518" s="30">
        <f>IFERROR(__xludf.DUMMYFUNCTION("""COMPUTED_VALUE"""),0.537213519470237)</f>
        <v>0.5372135195</v>
      </c>
      <c r="BA518" s="30">
        <f>IFERROR(__xludf.DUMMYFUNCTION("""COMPUTED_VALUE"""),1700.0)</f>
        <v>1700</v>
      </c>
    </row>
    <row r="519">
      <c r="A519" s="71" t="str">
        <f>IFERROR(__xludf.DUMMYFUNCTION("""COMPUTED_VALUE"""),"Rival")</f>
        <v>Rival</v>
      </c>
      <c r="B519" s="71" t="str">
        <f>IFERROR(__xludf.DUMMYFUNCTION("""COMPUTED_VALUE"""),"RSC007131")</f>
        <v>RSC007131</v>
      </c>
      <c r="C519" s="30" t="str">
        <f>IFERROR(__xludf.DUMMYFUNCTION("""COMPUTED_VALUE"""),"BankShark")</f>
        <v>BankShark</v>
      </c>
      <c r="D519" s="30" t="str">
        <f>IFERROR(__xludf.DUMMYFUNCTION("""COMPUTED_VALUE"""),"Hammerheads")</f>
        <v>Hammerheads</v>
      </c>
      <c r="E519" s="30">
        <f>IFERROR(__xludf.DUMMYFUNCTION("""COMPUTED_VALUE"""),32.0)</f>
        <v>32</v>
      </c>
      <c r="F519" s="30">
        <f>IFERROR(__xludf.DUMMYFUNCTION("""COMPUTED_VALUE"""),18.0)</f>
        <v>18</v>
      </c>
      <c r="G519" s="42">
        <f>IFERROR(__xludf.DUMMYFUNCTION("""COMPUTED_VALUE"""),14.0)</f>
        <v>14</v>
      </c>
      <c r="H519" s="42">
        <f>IFERROR(__xludf.DUMMYFUNCTION("""COMPUTED_VALUE"""),0.5625)</f>
        <v>0.5625</v>
      </c>
      <c r="I519" s="42">
        <f>IFERROR(__xludf.DUMMYFUNCTION("""COMPUTED_VALUE"""),0.352112676056338)</f>
        <v>0.3521126761</v>
      </c>
      <c r="J519" s="30">
        <f>IFERROR(__xludf.DUMMYFUNCTION("""COMPUTED_VALUE"""),340.59375)</f>
        <v>340.59375</v>
      </c>
      <c r="K519" s="30">
        <f>IFERROR(__xludf.DUMMYFUNCTION("""COMPUTED_VALUE"""),0.78125)</f>
        <v>0.78125</v>
      </c>
      <c r="L519" s="30">
        <f>IFERROR(__xludf.DUMMYFUNCTION("""COMPUTED_VALUE"""),0.40625)</f>
        <v>0.40625</v>
      </c>
      <c r="M519" s="30">
        <f>IFERROR(__xludf.DUMMYFUNCTION("""COMPUTED_VALUE"""),1.4375)</f>
        <v>1.4375</v>
      </c>
      <c r="N519" s="30">
        <f>IFERROR(__xludf.DUMMYFUNCTION("""COMPUTED_VALUE"""),2.21875)</f>
        <v>2.21875</v>
      </c>
      <c r="O519" s="30">
        <f>IFERROR(__xludf.DUMMYFUNCTION("""COMPUTED_VALUE"""),332.8958333333333)</f>
        <v>332.8958333</v>
      </c>
      <c r="P519" s="30">
        <f>IFERROR(__xludf.DUMMYFUNCTION("""COMPUTED_VALUE"""),0.6979166666666667)</f>
        <v>0.6979166667</v>
      </c>
      <c r="Q519" s="30">
        <f>IFERROR(__xludf.DUMMYFUNCTION("""COMPUTED_VALUE"""),0.5416666666666667)</f>
        <v>0.5416666667</v>
      </c>
      <c r="R519" s="30">
        <f>IFERROR(__xludf.DUMMYFUNCTION("""COMPUTED_VALUE"""),1.364583333333334)</f>
        <v>1.364583333</v>
      </c>
      <c r="S519" s="30">
        <f>IFERROR(__xludf.DUMMYFUNCTION("""COMPUTED_VALUE"""),2.572916666666667)</f>
        <v>2.572916667</v>
      </c>
      <c r="T519" s="30">
        <f>IFERROR(__xludf.DUMMYFUNCTION("""COMPUTED_VALUE"""),341.26753154019315)</f>
        <v>341.2675315</v>
      </c>
      <c r="U519" s="30">
        <f>IFERROR(__xludf.DUMMYFUNCTION("""COMPUTED_VALUE"""),0.7780068803119113)</f>
        <v>0.7780068803</v>
      </c>
      <c r="V519" s="30">
        <f>IFERROR(__xludf.DUMMYFUNCTION("""COMPUTED_VALUE"""),0.5499580628308197)</f>
        <v>0.5499580628</v>
      </c>
      <c r="W519" s="30">
        <f>IFERROR(__xludf.DUMMYFUNCTION("""COMPUTED_VALUE"""),1.2571174691136466)</f>
        <v>1.257117469</v>
      </c>
      <c r="X519" s="30">
        <f>IFERROR(__xludf.DUMMYFUNCTION("""COMPUTED_VALUE"""),2.586570518481605)</f>
        <v>2.586570518</v>
      </c>
      <c r="Y519" s="30">
        <f>IFERROR(__xludf.DUMMYFUNCTION("""COMPUTED_VALUE"""),348.46835791555014)</f>
        <v>348.4683579</v>
      </c>
      <c r="Z519" s="30">
        <f>IFERROR(__xludf.DUMMYFUNCTION("""COMPUTED_VALUE"""),0.8068103416090955)</f>
        <v>0.8068103416</v>
      </c>
      <c r="AA519" s="30">
        <f>IFERROR(__xludf.DUMMYFUNCTION("""COMPUTED_VALUE"""),0.5494436092199225)</f>
        <v>0.5494436092</v>
      </c>
      <c r="AB519" s="30">
        <f>IFERROR(__xludf.DUMMYFUNCTION("""COMPUTED_VALUE"""),1.332341480170862)</f>
        <v>1.33234148</v>
      </c>
      <c r="AC519" s="30">
        <f>IFERROR(__xludf.DUMMYFUNCTION("""COMPUTED_VALUE"""),2.5200288036516705)</f>
        <v>2.520028804</v>
      </c>
      <c r="AD519" s="30">
        <f>IFERROR(__xludf.DUMMYFUNCTION("""COMPUTED_VALUE"""),0.9774022296811852)</f>
        <v>0.9774022297</v>
      </c>
      <c r="AE519" s="30">
        <f>IFERROR(__xludf.DUMMYFUNCTION("""COMPUTED_VALUE"""),0.9683192687415011)</f>
        <v>0.9683192687</v>
      </c>
      <c r="AF519" s="30">
        <f>IFERROR(__xludf.DUMMYFUNCTION("""COMPUTED_VALUE"""),0.7393843393260631)</f>
        <v>0.7393843393</v>
      </c>
      <c r="AG519" s="30">
        <f>IFERROR(__xludf.DUMMYFUNCTION("""COMPUTED_VALUE"""),1.0789276033165704)</f>
        <v>1.078927603</v>
      </c>
      <c r="AH519" s="30">
        <f>IFERROR(__xludf.DUMMYFUNCTION("""COMPUTED_VALUE"""),0.880446285687251)</f>
        <v>0.8804462857</v>
      </c>
      <c r="AI519" s="30">
        <f>IFERROR(__xludf.DUMMYFUNCTION("""COMPUTED_VALUE"""),0.9754688113191516)</f>
        <v>0.9754688113</v>
      </c>
      <c r="AJ519" s="30">
        <f>IFERROR(__xludf.DUMMYFUNCTION("""COMPUTED_VALUE"""),0.8970571910454884)</f>
        <v>0.897057191</v>
      </c>
      <c r="AK519" s="30">
        <f>IFERROR(__xludf.DUMMYFUNCTION("""COMPUTED_VALUE"""),0.9849235846793947)</f>
        <v>0.9849235847</v>
      </c>
      <c r="AL519" s="30">
        <f>IFERROR(__xludf.DUMMYFUNCTION("""COMPUTED_VALUE"""),1.0854859365652265)</f>
        <v>1.085485937</v>
      </c>
      <c r="AM519" s="30">
        <f>IFERROR(__xludf.DUMMYFUNCTION("""COMPUTED_VALUE"""),0.9947212528259415)</f>
        <v>0.9947212528</v>
      </c>
      <c r="AN519" s="30">
        <f>IFERROR(__xludf.DUMMYFUNCTION("""COMPUTED_VALUE"""),1.0048764706723576)</f>
        <v>1.004876471</v>
      </c>
      <c r="AO519" s="30">
        <f>IFERROR(__xludf.DUMMYFUNCTION("""COMPUTED_VALUE"""),1.063416766700394)</f>
        <v>1.063416767</v>
      </c>
      <c r="AP519" s="30">
        <f>IFERROR(__xludf.DUMMYFUNCTION("""COMPUTED_VALUE"""),0.7254154930017606)</f>
        <v>0.725415493</v>
      </c>
      <c r="AQ519" s="30">
        <f>IFERROR(__xludf.DUMMYFUNCTION("""COMPUTED_VALUE"""),1.0969638422998012)</f>
        <v>1.096963842</v>
      </c>
      <c r="AR519" s="30">
        <f>IFERROR(__xludf.DUMMYFUNCTION("""COMPUTED_VALUE"""),0.8909406021894553)</f>
        <v>0.8909406022</v>
      </c>
      <c r="AS519" s="30">
        <f>IFERROR(__xludf.DUMMYFUNCTION("""COMPUTED_VALUE"""),78.0)</f>
        <v>78</v>
      </c>
      <c r="AT519" s="30">
        <f>IFERROR(__xludf.DUMMYFUNCTION("""COMPUTED_VALUE"""),0.5583686874039777)</f>
        <v>0.5583686874</v>
      </c>
      <c r="AU519" s="30">
        <f>IFERROR(__xludf.DUMMYFUNCTION("""COMPUTED_VALUE"""),1.8637287037911994)</f>
        <v>1.863728704</v>
      </c>
      <c r="AV519" s="32">
        <f>IFERROR(__xludf.DUMMYFUNCTION("""COMPUTED_VALUE"""),45.31883263181706)</f>
        <v>45.31883263</v>
      </c>
      <c r="AW519" s="32">
        <f>IFERROR(__xludf.DUMMYFUNCTION("""COMPUTED_VALUE"""),-2.348886679925585)</f>
        <v>-2.34888668</v>
      </c>
      <c r="AX519" s="32">
        <f>IFERROR(__xludf.DUMMYFUNCTION("""COMPUTED_VALUE"""),40.132407913425276)</f>
        <v>40.13240791</v>
      </c>
      <c r="AY519" s="32">
        <f>IFERROR(__xludf.DUMMYFUNCTION("""COMPUTED_VALUE"""),-2.8857464416907623)</f>
        <v>-2.885746442</v>
      </c>
      <c r="AZ519" s="30">
        <f>IFERROR(__xludf.DUMMYFUNCTION("""COMPUTED_VALUE"""),0.5368597617651774)</f>
        <v>0.5368597618</v>
      </c>
      <c r="BA519" s="30">
        <f>IFERROR(__xludf.DUMMYFUNCTION("""COMPUTED_VALUE"""),1700.0)</f>
        <v>1700</v>
      </c>
    </row>
    <row r="520">
      <c r="A520" s="71" t="str">
        <f>IFERROR(__xludf.DUMMYFUNCTION("""COMPUTED_VALUE"""),"Rival")</f>
        <v>Rival</v>
      </c>
      <c r="B520" s="71" t="str">
        <f>IFERROR(__xludf.DUMMYFUNCTION("""COMPUTED_VALUE"""),"RSC007660")</f>
        <v>RSC007660</v>
      </c>
      <c r="C520" s="30" t="str">
        <f>IFERROR(__xludf.DUMMYFUNCTION("""COMPUTED_VALUE"""),"Shraxl")</f>
        <v>Shraxl</v>
      </c>
      <c r="D520" s="30" t="str">
        <f>IFERROR(__xludf.DUMMYFUNCTION("""COMPUTED_VALUE"""),"Necrotic Nerds")</f>
        <v>Necrotic Nerds</v>
      </c>
      <c r="E520" s="30">
        <f>IFERROR(__xludf.DUMMYFUNCTION("""COMPUTED_VALUE"""),34.0)</f>
        <v>34</v>
      </c>
      <c r="F520" s="30">
        <f>IFERROR(__xludf.DUMMYFUNCTION("""COMPUTED_VALUE"""),13.0)</f>
        <v>13</v>
      </c>
      <c r="G520" s="42">
        <f>IFERROR(__xludf.DUMMYFUNCTION("""COMPUTED_VALUE"""),21.0)</f>
        <v>21</v>
      </c>
      <c r="H520" s="42">
        <f>IFERROR(__xludf.DUMMYFUNCTION("""COMPUTED_VALUE"""),0.38235294117647056)</f>
        <v>0.3823529412</v>
      </c>
      <c r="I520" s="42">
        <f>IFERROR(__xludf.DUMMYFUNCTION("""COMPUTED_VALUE"""),0.31683168316831684)</f>
        <v>0.3168316832</v>
      </c>
      <c r="J520" s="30">
        <f>IFERROR(__xludf.DUMMYFUNCTION("""COMPUTED_VALUE"""),396.38235294117646)</f>
        <v>396.3823529</v>
      </c>
      <c r="K520" s="30">
        <f>IFERROR(__xludf.DUMMYFUNCTION("""COMPUTED_VALUE"""),0.9411764705882353)</f>
        <v>0.9411764706</v>
      </c>
      <c r="L520" s="30">
        <f>IFERROR(__xludf.DUMMYFUNCTION("""COMPUTED_VALUE"""),0.5588235294117647)</f>
        <v>0.5588235294</v>
      </c>
      <c r="M520" s="30">
        <f>IFERROR(__xludf.DUMMYFUNCTION("""COMPUTED_VALUE"""),1.588235294117647)</f>
        <v>1.588235294</v>
      </c>
      <c r="N520" s="30">
        <f>IFERROR(__xludf.DUMMYFUNCTION("""COMPUTED_VALUE"""),2.9705882352941178)</f>
        <v>2.970588235</v>
      </c>
      <c r="O520" s="30">
        <f>IFERROR(__xludf.DUMMYFUNCTION("""COMPUTED_VALUE"""),371.47058823529414)</f>
        <v>371.4705882</v>
      </c>
      <c r="P520" s="30">
        <f>IFERROR(__xludf.DUMMYFUNCTION("""COMPUTED_VALUE"""),0.9411764705882355)</f>
        <v>0.9411764706</v>
      </c>
      <c r="Q520" s="30">
        <f>IFERROR(__xludf.DUMMYFUNCTION("""COMPUTED_VALUE"""),0.6176470588235295)</f>
        <v>0.6176470588</v>
      </c>
      <c r="R520" s="30">
        <f>IFERROR(__xludf.DUMMYFUNCTION("""COMPUTED_VALUE"""),1.2941176470588234)</f>
        <v>1.294117647</v>
      </c>
      <c r="S520" s="30">
        <f>IFERROR(__xludf.DUMMYFUNCTION("""COMPUTED_VALUE"""),2.735294117647059)</f>
        <v>2.735294118</v>
      </c>
      <c r="T520" s="30">
        <f>IFERROR(__xludf.DUMMYFUNCTION("""COMPUTED_VALUE"""),340.94514695843526)</f>
        <v>340.945147</v>
      </c>
      <c r="U520" s="30">
        <f>IFERROR(__xludf.DUMMYFUNCTION("""COMPUTED_VALUE"""),0.7857790062004161)</f>
        <v>0.7857790062</v>
      </c>
      <c r="V520" s="30">
        <f>IFERROR(__xludf.DUMMYFUNCTION("""COMPUTED_VALUE"""),0.5477857860760377)</f>
        <v>0.5477857861</v>
      </c>
      <c r="W520" s="30">
        <f>IFERROR(__xludf.DUMMYFUNCTION("""COMPUTED_VALUE"""),1.3271538383415546)</f>
        <v>1.327153838</v>
      </c>
      <c r="X520" s="30">
        <f>IFERROR(__xludf.DUMMYFUNCTION("""COMPUTED_VALUE"""),2.5731899320909277)</f>
        <v>2.573189932</v>
      </c>
      <c r="Y520" s="30">
        <f>IFERROR(__xludf.DUMMYFUNCTION("""COMPUTED_VALUE"""),351.217567005652)</f>
        <v>351.217567</v>
      </c>
      <c r="Z520" s="30">
        <f>IFERROR(__xludf.DUMMYFUNCTION("""COMPUTED_VALUE"""),0.8137019909205612)</f>
        <v>0.8137019909</v>
      </c>
      <c r="AA520" s="30">
        <f>IFERROR(__xludf.DUMMYFUNCTION("""COMPUTED_VALUE"""),0.5782339236187766)</f>
        <v>0.5782339236</v>
      </c>
      <c r="AB520" s="30">
        <f>IFERROR(__xludf.DUMMYFUNCTION("""COMPUTED_VALUE"""),1.3355489718781934)</f>
        <v>1.335548972</v>
      </c>
      <c r="AC520" s="30">
        <f>IFERROR(__xludf.DUMMYFUNCTION("""COMPUTED_VALUE"""),2.6226289294651712)</f>
        <v>2.622628929</v>
      </c>
      <c r="AD520" s="30">
        <f>IFERROR(__xludf.DUMMYFUNCTION("""COMPUTED_VALUE"""),1.128594894385786)</f>
        <v>1.128594894</v>
      </c>
      <c r="AE520" s="30">
        <f>IFERROR(__xludf.DUMMYFUNCTION("""COMPUTED_VALUE"""),1.1566599087750284)</f>
        <v>1.156659909</v>
      </c>
      <c r="AF520" s="30">
        <f>IFERROR(__xludf.DUMMYFUNCTION("""COMPUTED_VALUE"""),0.9664315886457591)</f>
        <v>0.9664315886</v>
      </c>
      <c r="AG520" s="30">
        <f>IFERROR(__xludf.DUMMYFUNCTION("""COMPUTED_VALUE"""),1.1892003420017603)</f>
        <v>1.189200342</v>
      </c>
      <c r="AH520" s="30">
        <f>IFERROR(__xludf.DUMMYFUNCTION("""COMPUTED_VALUE"""),1.1326757674025603)</f>
        <v>1.132675767</v>
      </c>
      <c r="AI520" s="30">
        <f>IFERROR(__xludf.DUMMYFUNCTION("""COMPUTED_VALUE"""),1.089531825131332)</f>
        <v>1.089531825</v>
      </c>
      <c r="AJ520" s="30">
        <f>IFERROR(__xludf.DUMMYFUNCTION("""COMPUTED_VALUE"""),1.1977623010561633)</f>
        <v>1.197762301</v>
      </c>
      <c r="AK520" s="30">
        <f>IFERROR(__xludf.DUMMYFUNCTION("""COMPUTED_VALUE"""),1.1275339275374963)</f>
        <v>1.127533928</v>
      </c>
      <c r="AL520" s="30">
        <f>IFERROR(__xludf.DUMMYFUNCTION("""COMPUTED_VALUE"""),0.9751074891784858)</f>
        <v>0.9751074892</v>
      </c>
      <c r="AM520" s="30">
        <f>IFERROR(__xludf.DUMMYFUNCTION("""COMPUTED_VALUE"""),1.0629973650737892)</f>
        <v>1.062997365</v>
      </c>
      <c r="AN520" s="30">
        <f>IFERROR(__xludf.DUMMYFUNCTION("""COMPUTED_VALUE"""),1.1694733090678682)</f>
        <v>1.169473309</v>
      </c>
      <c r="AO520" s="30">
        <f>IFERROR(__xludf.DUMMYFUNCTION("""COMPUTED_VALUE"""),1.2811044342367097)</f>
        <v>1.281104434</v>
      </c>
      <c r="AP520" s="30">
        <f>IFERROR(__xludf.DUMMYFUNCTION("""COMPUTED_VALUE"""),0.9978566057580779)</f>
        <v>0.9978566058</v>
      </c>
      <c r="AQ520" s="30">
        <f>IFERROR(__xludf.DUMMYFUNCTION("""COMPUTED_VALUE"""),1.2119907413644861)</f>
        <v>1.211990741</v>
      </c>
      <c r="AR520" s="30">
        <f>IFERROR(__xludf.DUMMYFUNCTION("""COMPUTED_VALUE"""),1.1928417673058491)</f>
        <v>1.192841767</v>
      </c>
      <c r="AS520" s="30">
        <f>IFERROR(__xludf.DUMMYFUNCTION("""COMPUTED_VALUE"""),81.0)</f>
        <v>81</v>
      </c>
      <c r="AT520" s="30">
        <f>IFERROR(__xludf.DUMMYFUNCTION("""COMPUTED_VALUE"""),0.4322228454881009)</f>
        <v>0.4322228455</v>
      </c>
      <c r="AU520" s="30">
        <f>IFERROR(__xludf.DUMMYFUNCTION("""COMPUTED_VALUE"""),2.3875010708697593)</f>
        <v>2.387501071</v>
      </c>
      <c r="AV520" s="32">
        <f>IFERROR(__xludf.DUMMYFUNCTION("""COMPUTED_VALUE"""),63.820604056977444)</f>
        <v>63.82060406</v>
      </c>
      <c r="AW520" s="32">
        <f>IFERROR(__xludf.DUMMYFUNCTION("""COMPUTED_VALUE"""),3.4459954355102482)</f>
        <v>3.445995436</v>
      </c>
      <c r="AX520" s="32">
        <f>IFERROR(__xludf.DUMMYFUNCTION("""COMPUTED_VALUE"""),60.27347040595086)</f>
        <v>60.27347041</v>
      </c>
      <c r="AY520" s="32">
        <f>IFERROR(__xludf.DUMMYFUNCTION("""COMPUTED_VALUE"""),2.9363513586768932)</f>
        <v>2.936351359</v>
      </c>
      <c r="AZ520" s="30">
        <f>IFERROR(__xludf.DUMMYFUNCTION("""COMPUTED_VALUE"""),0.509644076833355)</f>
        <v>0.5096440768</v>
      </c>
      <c r="BA520" s="30">
        <f>IFERROR(__xludf.DUMMYFUNCTION("""COMPUTED_VALUE"""),1700.0)</f>
        <v>1700</v>
      </c>
    </row>
    <row r="521">
      <c r="A521" s="71" t="str">
        <f>IFERROR(__xludf.DUMMYFUNCTION("""COMPUTED_VALUE"""),"Rival")</f>
        <v>Rival</v>
      </c>
      <c r="B521" s="71" t="str">
        <f>IFERROR(__xludf.DUMMYFUNCTION("""COMPUTED_VALUE"""),"RSC005959")</f>
        <v>RSC005959</v>
      </c>
      <c r="C521" s="30" t="str">
        <f>IFERROR(__xludf.DUMMYFUNCTION("""COMPUTED_VALUE"""),"Yurrbo?")</f>
        <v>Yurrbo?</v>
      </c>
      <c r="D521" s="30" t="str">
        <f>IFERROR(__xludf.DUMMYFUNCTION("""COMPUTED_VALUE"""),"Nightfall")</f>
        <v>Nightfall</v>
      </c>
      <c r="E521" s="30">
        <f>IFERROR(__xludf.DUMMYFUNCTION("""COMPUTED_VALUE"""),36.0)</f>
        <v>36</v>
      </c>
      <c r="F521" s="30">
        <f>IFERROR(__xludf.DUMMYFUNCTION("""COMPUTED_VALUE"""),17.0)</f>
        <v>17</v>
      </c>
      <c r="G521" s="42">
        <f>IFERROR(__xludf.DUMMYFUNCTION("""COMPUTED_VALUE"""),19.0)</f>
        <v>19</v>
      </c>
      <c r="H521" s="42">
        <f>IFERROR(__xludf.DUMMYFUNCTION("""COMPUTED_VALUE"""),0.4722222222222222)</f>
        <v>0.4722222222</v>
      </c>
      <c r="I521" s="42">
        <f>IFERROR(__xludf.DUMMYFUNCTION("""COMPUTED_VALUE"""),0.24731182795698922)</f>
        <v>0.247311828</v>
      </c>
      <c r="J521" s="30">
        <f>IFERROR(__xludf.DUMMYFUNCTION("""COMPUTED_VALUE"""),329.47222222222223)</f>
        <v>329.4722222</v>
      </c>
      <c r="K521" s="30">
        <f>IFERROR(__xludf.DUMMYFUNCTION("""COMPUTED_VALUE"""),0.6388888888888888)</f>
        <v>0.6388888889</v>
      </c>
      <c r="L521" s="30">
        <f>IFERROR(__xludf.DUMMYFUNCTION("""COMPUTED_VALUE"""),0.3333333333333333)</f>
        <v>0.3333333333</v>
      </c>
      <c r="M521" s="30">
        <f>IFERROR(__xludf.DUMMYFUNCTION("""COMPUTED_VALUE"""),1.6111111111111112)</f>
        <v>1.611111111</v>
      </c>
      <c r="N521" s="30">
        <f>IFERROR(__xludf.DUMMYFUNCTION("""COMPUTED_VALUE"""),2.5833333333333335)</f>
        <v>2.583333333</v>
      </c>
      <c r="O521" s="30">
        <f>IFERROR(__xludf.DUMMYFUNCTION("""COMPUTED_VALUE"""),327.92592592592587)</f>
        <v>327.9259259</v>
      </c>
      <c r="P521" s="30">
        <f>IFERROR(__xludf.DUMMYFUNCTION("""COMPUTED_VALUE"""),0.6944444444444444)</f>
        <v>0.6944444444</v>
      </c>
      <c r="Q521" s="30">
        <f>IFERROR(__xludf.DUMMYFUNCTION("""COMPUTED_VALUE"""),0.5092592592592592)</f>
        <v>0.5092592593</v>
      </c>
      <c r="R521" s="30">
        <f>IFERROR(__xludf.DUMMYFUNCTION("""COMPUTED_VALUE"""),1.3333333333333337)</f>
        <v>1.333333333</v>
      </c>
      <c r="S521" s="30">
        <f>IFERROR(__xludf.DUMMYFUNCTION("""COMPUTED_VALUE"""),2.388888888888889)</f>
        <v>2.388888889</v>
      </c>
      <c r="T521" s="30">
        <f>IFERROR(__xludf.DUMMYFUNCTION("""COMPUTED_VALUE"""),348.0746254507431)</f>
        <v>348.0746255</v>
      </c>
      <c r="U521" s="30">
        <f>IFERROR(__xludf.DUMMYFUNCTION("""COMPUTED_VALUE"""),0.7876480655409672)</f>
        <v>0.7876480655</v>
      </c>
      <c r="V521" s="30">
        <f>IFERROR(__xludf.DUMMYFUNCTION("""COMPUTED_VALUE"""),0.5585142099270589)</f>
        <v>0.5585142099</v>
      </c>
      <c r="W521" s="30">
        <f>IFERROR(__xludf.DUMMYFUNCTION("""COMPUTED_VALUE"""),1.3119222068643526)</f>
        <v>1.311922207</v>
      </c>
      <c r="X521" s="30">
        <f>IFERROR(__xludf.DUMMYFUNCTION("""COMPUTED_VALUE"""),2.5641573020449444)</f>
        <v>2.564157302</v>
      </c>
      <c r="Y521" s="30">
        <f>IFERROR(__xludf.DUMMYFUNCTION("""COMPUTED_VALUE"""),343.33867290992026)</f>
        <v>343.3386729</v>
      </c>
      <c r="Z521" s="30">
        <f>IFERROR(__xludf.DUMMYFUNCTION("""COMPUTED_VALUE"""),0.7567582746817592)</f>
        <v>0.7567582747</v>
      </c>
      <c r="AA521" s="30">
        <f>IFERROR(__xludf.DUMMYFUNCTION("""COMPUTED_VALUE"""),0.5323727739163951)</f>
        <v>0.5323727739</v>
      </c>
      <c r="AB521" s="30">
        <f>IFERROR(__xludf.DUMMYFUNCTION("""COMPUTED_VALUE"""),1.3197205697494647)</f>
        <v>1.31972057</v>
      </c>
      <c r="AC521" s="30">
        <f>IFERROR(__xludf.DUMMYFUNCTION("""COMPUTED_VALUE"""),2.5076902876312634)</f>
        <v>2.507690288</v>
      </c>
      <c r="AD521" s="30">
        <f>IFERROR(__xludf.DUMMYFUNCTION("""COMPUTED_VALUE"""),0.9596129076571106)</f>
        <v>0.9596129077</v>
      </c>
      <c r="AE521" s="30">
        <f>IFERROR(__xludf.DUMMYFUNCTION("""COMPUTED_VALUE"""),0.8442443383358601)</f>
        <v>0.8442443383</v>
      </c>
      <c r="AF521" s="30">
        <f>IFERROR(__xludf.DUMMYFUNCTION("""COMPUTED_VALUE"""),0.6261276865854163)</f>
        <v>0.6261276866</v>
      </c>
      <c r="AG521" s="30">
        <f>IFERROR(__xludf.DUMMYFUNCTION("""COMPUTED_VALUE"""),1.2207971505793562)</f>
        <v>1.220797151</v>
      </c>
      <c r="AH521" s="30">
        <f>IFERROR(__xludf.DUMMYFUNCTION("""COMPUTED_VALUE"""),1.030164429026649)</f>
        <v>1.030164429</v>
      </c>
      <c r="AI521" s="30">
        <f>IFERROR(__xludf.DUMMYFUNCTION("""COMPUTED_VALUE"""),0.9421138513078181)</f>
        <v>0.9421138513</v>
      </c>
      <c r="AJ521" s="30">
        <f>IFERROR(__xludf.DUMMYFUNCTION("""COMPUTED_VALUE"""),0.8816684441007173)</f>
        <v>0.8816684441</v>
      </c>
      <c r="AK521" s="30">
        <f>IFERROR(__xludf.DUMMYFUNCTION("""COMPUTED_VALUE"""),0.9118107475291768)</f>
        <v>0.9118107475</v>
      </c>
      <c r="AL521" s="30">
        <f>IFERROR(__xludf.DUMMYFUNCTION("""COMPUTED_VALUE"""),1.016320423845981)</f>
        <v>1.016320424</v>
      </c>
      <c r="AM521" s="30">
        <f>IFERROR(__xludf.DUMMYFUNCTION("""COMPUTED_VALUE"""),0.9316467780598807)</f>
        <v>0.9316467781</v>
      </c>
      <c r="AN521" s="30">
        <f>IFERROR(__xludf.DUMMYFUNCTION("""COMPUTED_VALUE"""),0.9720638850573311)</f>
        <v>0.9720638851</v>
      </c>
      <c r="AO521" s="30">
        <f>IFERROR(__xludf.DUMMYFUNCTION("""COMPUTED_VALUE"""),0.8696386003238776)</f>
        <v>0.8696386003</v>
      </c>
      <c r="AP521" s="30">
        <f>IFERROR(__xludf.DUMMYFUNCTION("""COMPUTED_VALUE"""),0.5952127122065727)</f>
        <v>0.5952127122</v>
      </c>
      <c r="AQ521" s="30">
        <f>IFERROR(__xludf.DUMMYFUNCTION("""COMPUTED_VALUE"""),1.2294473981331104)</f>
        <v>1.229447398</v>
      </c>
      <c r="AR521" s="30">
        <f>IFERROR(__xludf.DUMMYFUNCTION("""COMPUTED_VALUE"""),1.03733929269007)</f>
        <v>1.037339293</v>
      </c>
      <c r="AS521" s="30">
        <f>IFERROR(__xludf.DUMMYFUNCTION("""COMPUTED_VALUE"""),70.0)</f>
        <v>70</v>
      </c>
      <c r="AT521" s="30">
        <f>IFERROR(__xludf.DUMMYFUNCTION("""COMPUTED_VALUE"""),0.47429515542238915)</f>
        <v>0.4742951554</v>
      </c>
      <c r="AU521" s="30">
        <f>IFERROR(__xludf.DUMMYFUNCTION("""COMPUTED_VALUE"""),1.782137356330026)</f>
        <v>1.782137356</v>
      </c>
      <c r="AV521" s="32">
        <f>IFERROR(__xludf.DUMMYFUNCTION("""COMPUTED_VALUE"""),42.43669421466942)</f>
        <v>42.43669421</v>
      </c>
      <c r="AW521" s="32">
        <f>IFERROR(__xludf.DUMMYFUNCTION("""COMPUTED_VALUE"""),-2.6238235920219584)</f>
        <v>-2.623823592</v>
      </c>
      <c r="AX521" s="32">
        <f>IFERROR(__xludf.DUMMYFUNCTION("""COMPUTED_VALUE"""),47.82094051024725)</f>
        <v>47.82094051</v>
      </c>
      <c r="AY521" s="32">
        <f>IFERROR(__xludf.DUMMYFUNCTION("""COMPUTED_VALUE"""),-2.149284018868816)</f>
        <v>-2.149284019</v>
      </c>
      <c r="AZ521" s="30">
        <f>IFERROR(__xludf.DUMMYFUNCTION("""COMPUTED_VALUE"""),0.4745395731531423)</f>
        <v>0.4745395732</v>
      </c>
      <c r="BA521" s="30">
        <f>IFERROR(__xludf.DUMMYFUNCTION("""COMPUTED_VALUE"""),1700.0)</f>
        <v>1700</v>
      </c>
    </row>
    <row r="522">
      <c r="A522" s="71" t="str">
        <f>IFERROR(__xludf.DUMMYFUNCTION("""COMPUTED_VALUE"""),"Rival")</f>
        <v>Rival</v>
      </c>
      <c r="B522" s="71" t="str">
        <f>IFERROR(__xludf.DUMMYFUNCTION("""COMPUTED_VALUE"""),"RSC007318")</f>
        <v>RSC007318</v>
      </c>
      <c r="C522" s="30" t="str">
        <f>IFERROR(__xludf.DUMMYFUNCTION("""COMPUTED_VALUE"""),"xd Dylan591")</f>
        <v>xd Dylan591</v>
      </c>
      <c r="D522" s="30" t="str">
        <f>IFERROR(__xludf.DUMMYFUNCTION("""COMPUTED_VALUE"""),"Wind")</f>
        <v>Wind</v>
      </c>
      <c r="E522" s="30">
        <f>IFERROR(__xludf.DUMMYFUNCTION("""COMPUTED_VALUE"""),17.0)</f>
        <v>17</v>
      </c>
      <c r="F522" s="30">
        <f>IFERROR(__xludf.DUMMYFUNCTION("""COMPUTED_VALUE"""),10.0)</f>
        <v>10</v>
      </c>
      <c r="G522" s="42">
        <f>IFERROR(__xludf.DUMMYFUNCTION("""COMPUTED_VALUE"""),7.0)</f>
        <v>7</v>
      </c>
      <c r="H522" s="42">
        <f>IFERROR(__xludf.DUMMYFUNCTION("""COMPUTED_VALUE"""),0.5882352941176471)</f>
        <v>0.5882352941</v>
      </c>
      <c r="I522" s="42">
        <f>IFERROR(__xludf.DUMMYFUNCTION("""COMPUTED_VALUE"""),0.23809523809523808)</f>
        <v>0.2380952381</v>
      </c>
      <c r="J522" s="30">
        <f>IFERROR(__xludf.DUMMYFUNCTION("""COMPUTED_VALUE"""),306.2352941176471)</f>
        <v>306.2352941</v>
      </c>
      <c r="K522" s="30">
        <f>IFERROR(__xludf.DUMMYFUNCTION("""COMPUTED_VALUE"""),0.5882352941176471)</f>
        <v>0.5882352941</v>
      </c>
      <c r="L522" s="30">
        <f>IFERROR(__xludf.DUMMYFUNCTION("""COMPUTED_VALUE"""),0.5294117647058824)</f>
        <v>0.5294117647</v>
      </c>
      <c r="M522" s="30">
        <f>IFERROR(__xludf.DUMMYFUNCTION("""COMPUTED_VALUE"""),1.2941176470588236)</f>
        <v>1.294117647</v>
      </c>
      <c r="N522" s="30">
        <f>IFERROR(__xludf.DUMMYFUNCTION("""COMPUTED_VALUE"""),2.4705882352941178)</f>
        <v>2.470588235</v>
      </c>
      <c r="O522" s="30">
        <f>IFERROR(__xludf.DUMMYFUNCTION("""COMPUTED_VALUE"""),348.8235294117647)</f>
        <v>348.8235294</v>
      </c>
      <c r="P522" s="30">
        <f>IFERROR(__xludf.DUMMYFUNCTION("""COMPUTED_VALUE"""),0.784313725490196)</f>
        <v>0.7843137255</v>
      </c>
      <c r="Q522" s="30">
        <f>IFERROR(__xludf.DUMMYFUNCTION("""COMPUTED_VALUE"""),0.5882352941176471)</f>
        <v>0.5882352941</v>
      </c>
      <c r="R522" s="30">
        <f>IFERROR(__xludf.DUMMYFUNCTION("""COMPUTED_VALUE"""),1.3137254901960784)</f>
        <v>1.31372549</v>
      </c>
      <c r="S522" s="30">
        <f>IFERROR(__xludf.DUMMYFUNCTION("""COMPUTED_VALUE"""),2.843137254901961)</f>
        <v>2.843137255</v>
      </c>
      <c r="T522" s="30">
        <f>IFERROR(__xludf.DUMMYFUNCTION("""COMPUTED_VALUE"""),345.53981015364354)</f>
        <v>345.5398102</v>
      </c>
      <c r="U522" s="30">
        <f>IFERROR(__xludf.DUMMYFUNCTION("""COMPUTED_VALUE"""),0.791722271270015)</f>
        <v>0.7917222713</v>
      </c>
      <c r="V522" s="30">
        <f>IFERROR(__xludf.DUMMYFUNCTION("""COMPUTED_VALUE"""),0.5574688128446373)</f>
        <v>0.5574688128</v>
      </c>
      <c r="W522" s="30">
        <f>IFERROR(__xludf.DUMMYFUNCTION("""COMPUTED_VALUE"""),1.3037550024766218)</f>
        <v>1.303755002</v>
      </c>
      <c r="X522" s="30">
        <f>IFERROR(__xludf.DUMMYFUNCTION("""COMPUTED_VALUE"""),2.579380345693759)</f>
        <v>2.579380346</v>
      </c>
      <c r="Y522" s="30">
        <f>IFERROR(__xludf.DUMMYFUNCTION("""COMPUTED_VALUE"""),357.8905549917933)</f>
        <v>357.890555</v>
      </c>
      <c r="Z522" s="30">
        <f>IFERROR(__xludf.DUMMYFUNCTION("""COMPUTED_VALUE"""),0.8565281549392966)</f>
        <v>0.8565281549</v>
      </c>
      <c r="AA522" s="30">
        <f>IFERROR(__xludf.DUMMYFUNCTION("""COMPUTED_VALUE"""),0.6026628824442883)</f>
        <v>0.6026628824</v>
      </c>
      <c r="AB522" s="30">
        <f>IFERROR(__xludf.DUMMYFUNCTION("""COMPUTED_VALUE"""),1.3234492043683166)</f>
        <v>1.323449204</v>
      </c>
      <c r="AC522" s="30">
        <f>IFERROR(__xludf.DUMMYFUNCTION("""COMPUTED_VALUE"""),2.643290507129123)</f>
        <v>2.643290507</v>
      </c>
      <c r="AD522" s="30">
        <f>IFERROR(__xludf.DUMMYFUNCTION("""COMPUTED_VALUE"""),0.8556674375624953)</f>
        <v>0.8556674376</v>
      </c>
      <c r="AE522" s="30">
        <f>IFERROR(__xludf.DUMMYFUNCTION("""COMPUTED_VALUE"""),0.6867670265425615)</f>
        <v>0.6867670265</v>
      </c>
      <c r="AF522" s="30">
        <f>IFERROR(__xludf.DUMMYFUNCTION("""COMPUTED_VALUE"""),0.8784542405510141)</f>
        <v>0.8784542406</v>
      </c>
      <c r="AG522" s="30">
        <f>IFERROR(__xludf.DUMMYFUNCTION("""COMPUTED_VALUE"""),0.9778370358207341)</f>
        <v>0.9778370358</v>
      </c>
      <c r="AH522" s="30">
        <f>IFERROR(__xludf.DUMMYFUNCTION("""COMPUTED_VALUE"""),0.9346639079703059)</f>
        <v>0.934663908</v>
      </c>
      <c r="AI522" s="30">
        <f>IFERROR(__xludf.DUMMYFUNCTION("""COMPUTED_VALUE"""),1.0095031575570441)</f>
        <v>1.009503158</v>
      </c>
      <c r="AJ522" s="30">
        <f>IFERROR(__xludf.DUMMYFUNCTION("""COMPUTED_VALUE"""),0.9906424941565242)</f>
        <v>0.9906424942</v>
      </c>
      <c r="AK522" s="30">
        <f>IFERROR(__xludf.DUMMYFUNCTION("""COMPUTED_VALUE"""),1.0551896008603878)</f>
        <v>1.055189601</v>
      </c>
      <c r="AL522" s="30">
        <f>IFERROR(__xludf.DUMMYFUNCTION("""COMPUTED_VALUE"""),1.0076475163665848)</f>
        <v>1.007647516</v>
      </c>
      <c r="AM522" s="30">
        <f>IFERROR(__xludf.DUMMYFUNCTION("""COMPUTED_VALUE"""),1.1022559195849269)</f>
        <v>1.10225592</v>
      </c>
      <c r="AN522" s="30">
        <f>IFERROR(__xludf.DUMMYFUNCTION("""COMPUTED_VALUE"""),0.9035064253182936)</f>
        <v>0.9035064253</v>
      </c>
      <c r="AO522" s="30">
        <f>IFERROR(__xludf.DUMMYFUNCTION("""COMPUTED_VALUE"""),0.8006902713979437)</f>
        <v>0.8006902714</v>
      </c>
      <c r="AP522" s="30">
        <f>IFERROR(__xludf.DUMMYFUNCTION("""COMPUTED_VALUE"""),0.9453378370339685)</f>
        <v>0.945337837</v>
      </c>
      <c r="AQ522" s="30">
        <f>IFERROR(__xludf.DUMMYFUNCTION("""COMPUTED_VALUE"""),0.987548011482174)</f>
        <v>0.9875480115</v>
      </c>
      <c r="AR522" s="30">
        <f>IFERROR(__xludf.DUMMYFUNCTION("""COMPUTED_VALUE"""),0.9920664203335774)</f>
        <v>0.9920664203</v>
      </c>
      <c r="AS522" s="30">
        <f>IFERROR(__xludf.DUMMYFUNCTION("""COMPUTED_VALUE"""),41.0)</f>
        <v>41</v>
      </c>
      <c r="AT522" s="30">
        <f>IFERROR(__xludf.DUMMYFUNCTION("""COMPUTED_VALUE"""),0.5096616065863637)</f>
        <v>0.5096616066</v>
      </c>
      <c r="AU522" s="30">
        <f>IFERROR(__xludf.DUMMYFUNCTION("""COMPUTED_VALUE"""),1.6042816105173692)</f>
        <v>1.604281611</v>
      </c>
      <c r="AV522" s="32">
        <f>IFERROR(__xludf.DUMMYFUNCTION("""COMPUTED_VALUE"""),36.154105512956484)</f>
        <v>36.15410551</v>
      </c>
      <c r="AW522" s="32">
        <f>IFERROR(__xludf.DUMMYFUNCTION("""COMPUTED_VALUE"""),-3.450112516058185)</f>
        <v>-3.450112516</v>
      </c>
      <c r="AX522" s="32">
        <f>IFERROR(__xludf.DUMMYFUNCTION("""COMPUTED_VALUE"""),33.54086492595681)</f>
        <v>33.54086493</v>
      </c>
      <c r="AY522" s="32">
        <f>IFERROR(__xludf.DUMMYFUNCTION("""COMPUTED_VALUE"""),-3.9192373655057233)</f>
        <v>-3.919237366</v>
      </c>
      <c r="AZ522" s="30">
        <f>IFERROR(__xludf.DUMMYFUNCTION("""COMPUTED_VALUE"""),0.4691248494475384)</f>
        <v>0.4691248494</v>
      </c>
      <c r="BA522" s="30">
        <f>IFERROR(__xludf.DUMMYFUNCTION("""COMPUTED_VALUE"""),1700.0)</f>
        <v>1700</v>
      </c>
    </row>
    <row r="523">
      <c r="A523" s="71" t="str">
        <f>IFERROR(__xludf.DUMMYFUNCTION("""COMPUTED_VALUE"""),"Rival")</f>
        <v>Rival</v>
      </c>
      <c r="B523" s="71" t="str">
        <f>IFERROR(__xludf.DUMMYFUNCTION("""COMPUTED_VALUE"""),"RSC000724")</f>
        <v>RSC000724</v>
      </c>
      <c r="C523" s="30" t="str">
        <f>IFERROR(__xludf.DUMMYFUNCTION("""COMPUTED_VALUE"""),"dunnie14")</f>
        <v>dunnie14</v>
      </c>
      <c r="D523" s="30" t="str">
        <f>IFERROR(__xludf.DUMMYFUNCTION("""COMPUTED_VALUE"""),"Ion Imperial")</f>
        <v>Ion Imperial</v>
      </c>
      <c r="E523" s="30">
        <f>IFERROR(__xludf.DUMMYFUNCTION("""COMPUTED_VALUE"""),36.0)</f>
        <v>36</v>
      </c>
      <c r="F523" s="30">
        <f>IFERROR(__xludf.DUMMYFUNCTION("""COMPUTED_VALUE"""),22.0)</f>
        <v>22</v>
      </c>
      <c r="G523" s="42">
        <f>IFERROR(__xludf.DUMMYFUNCTION("""COMPUTED_VALUE"""),14.0)</f>
        <v>14</v>
      </c>
      <c r="H523" s="42">
        <f>IFERROR(__xludf.DUMMYFUNCTION("""COMPUTED_VALUE"""),0.6111111111111112)</f>
        <v>0.6111111111</v>
      </c>
      <c r="I523" s="42">
        <f>IFERROR(__xludf.DUMMYFUNCTION("""COMPUTED_VALUE"""),0.35714285714285715)</f>
        <v>0.3571428571</v>
      </c>
      <c r="J523" s="30">
        <f>IFERROR(__xludf.DUMMYFUNCTION("""COMPUTED_VALUE"""),373.5)</f>
        <v>373.5</v>
      </c>
      <c r="K523" s="30">
        <f>IFERROR(__xludf.DUMMYFUNCTION("""COMPUTED_VALUE"""),0.8333333333333334)</f>
        <v>0.8333333333</v>
      </c>
      <c r="L523" s="30">
        <f>IFERROR(__xludf.DUMMYFUNCTION("""COMPUTED_VALUE"""),0.6944444444444444)</f>
        <v>0.6944444444</v>
      </c>
      <c r="M523" s="30">
        <f>IFERROR(__xludf.DUMMYFUNCTION("""COMPUTED_VALUE"""),1.2777777777777777)</f>
        <v>1.277777778</v>
      </c>
      <c r="N523" s="30">
        <f>IFERROR(__xludf.DUMMYFUNCTION("""COMPUTED_VALUE"""),2.3333333333333335)</f>
        <v>2.333333333</v>
      </c>
      <c r="O523" s="30">
        <f>IFERROR(__xludf.DUMMYFUNCTION("""COMPUTED_VALUE"""),347.3148148148149)</f>
        <v>347.3148148</v>
      </c>
      <c r="P523" s="30">
        <f>IFERROR(__xludf.DUMMYFUNCTION("""COMPUTED_VALUE"""),0.7314814814814814)</f>
        <v>0.7314814815</v>
      </c>
      <c r="Q523" s="30">
        <f>IFERROR(__xludf.DUMMYFUNCTION("""COMPUTED_VALUE"""),0.5092592592592592)</f>
        <v>0.5092592593</v>
      </c>
      <c r="R523" s="30">
        <f>IFERROR(__xludf.DUMMYFUNCTION("""COMPUTED_VALUE"""),1.462962962962963)</f>
        <v>1.462962963</v>
      </c>
      <c r="S523" s="30">
        <f>IFERROR(__xludf.DUMMYFUNCTION("""COMPUTED_VALUE"""),2.4074074074074074)</f>
        <v>2.407407407</v>
      </c>
      <c r="T523" s="30">
        <f>IFERROR(__xludf.DUMMYFUNCTION("""COMPUTED_VALUE"""),338.0993559235688)</f>
        <v>338.0993559</v>
      </c>
      <c r="U523" s="30">
        <f>IFERROR(__xludf.DUMMYFUNCTION("""COMPUTED_VALUE"""),0.7492235610754131)</f>
        <v>0.7492235611</v>
      </c>
      <c r="V523" s="30">
        <f>IFERROR(__xludf.DUMMYFUNCTION("""COMPUTED_VALUE"""),0.4912939289791142)</f>
        <v>0.491293929</v>
      </c>
      <c r="W523" s="30">
        <f>IFERROR(__xludf.DUMMYFUNCTION("""COMPUTED_VALUE"""),1.2980138448656966)</f>
        <v>1.298013845</v>
      </c>
      <c r="X523" s="30">
        <f>IFERROR(__xludf.DUMMYFUNCTION("""COMPUTED_VALUE"""),2.542000067833401)</f>
        <v>2.542000068</v>
      </c>
      <c r="Y523" s="30">
        <f>IFERROR(__xludf.DUMMYFUNCTION("""COMPUTED_VALUE"""),351.52118220828083)</f>
        <v>351.5211822</v>
      </c>
      <c r="Z523" s="30">
        <f>IFERROR(__xludf.DUMMYFUNCTION("""COMPUTED_VALUE"""),0.7997662237168407)</f>
        <v>0.7997662237</v>
      </c>
      <c r="AA523" s="30">
        <f>IFERROR(__xludf.DUMMYFUNCTION("""COMPUTED_VALUE"""),0.566437794601375)</f>
        <v>0.5664377946</v>
      </c>
      <c r="AB523" s="30">
        <f>IFERROR(__xludf.DUMMYFUNCTION("""COMPUTED_VALUE"""),1.3011367633281214)</f>
        <v>1.301136763</v>
      </c>
      <c r="AC523" s="30">
        <f>IFERROR(__xludf.DUMMYFUNCTION("""COMPUTED_VALUE"""),2.5425866229106973)</f>
        <v>2.542586623</v>
      </c>
      <c r="AD523" s="30">
        <f>IFERROR(__xludf.DUMMYFUNCTION("""COMPUTED_VALUE"""),1.062524874471708)</f>
        <v>1.062524874</v>
      </c>
      <c r="AE523" s="30">
        <f>IFERROR(__xludf.DUMMYFUNCTION("""COMPUTED_VALUE"""),1.0419711518454637)</f>
        <v>1.041971152</v>
      </c>
      <c r="AF523" s="30">
        <f>IFERROR(__xludf.DUMMYFUNCTION("""COMPUTED_VALUE"""),1.2259853616108947)</f>
        <v>1.225985362</v>
      </c>
      <c r="AG523" s="30">
        <f>IFERROR(__xludf.DUMMYFUNCTION("""COMPUTED_VALUE"""),0.9820472480613069)</f>
        <v>0.9820472481</v>
      </c>
      <c r="AH523" s="30">
        <f>IFERROR(__xludf.DUMMYFUNCTION("""COMPUTED_VALUE"""),0.9177006251461296)</f>
        <v>0.9177006251</v>
      </c>
      <c r="AI523" s="30">
        <f>IFERROR(__xludf.DUMMYFUNCTION("""COMPUTED_VALUE"""),1.0272566591145158)</f>
        <v>1.027256659</v>
      </c>
      <c r="AJ523" s="30">
        <f>IFERROR(__xludf.DUMMYFUNCTION("""COMPUTED_VALUE"""),0.9763193784663349)</f>
        <v>0.9763193785</v>
      </c>
      <c r="AK523" s="30">
        <f>IFERROR(__xludf.DUMMYFUNCTION("""COMPUTED_VALUE"""),1.0365673769213393)</f>
        <v>1.036567377</v>
      </c>
      <c r="AL523" s="30">
        <f>IFERROR(__xludf.DUMMYFUNCTION("""COMPUTED_VALUE"""),1.1270780883807394)</f>
        <v>1.127078088</v>
      </c>
      <c r="AM523" s="30">
        <f>IFERROR(__xludf.DUMMYFUNCTION("""COMPUTED_VALUE"""),0.9470524560053574)</f>
        <v>0.947052456</v>
      </c>
      <c r="AN523" s="30">
        <f>IFERROR(__xludf.DUMMYFUNCTION("""COMPUTED_VALUE"""),1.1019619760965242)</f>
        <v>1.101961976</v>
      </c>
      <c r="AO523" s="30">
        <f>IFERROR(__xludf.DUMMYFUNCTION("""COMPUTED_VALUE"""),1.1343112178137535)</f>
        <v>1.134311218</v>
      </c>
      <c r="AP523" s="30">
        <f>IFERROR(__xludf.DUMMYFUNCTION("""COMPUTED_VALUE"""),1.2400264837636932)</f>
        <v>1.240026484</v>
      </c>
      <c r="AQ523" s="30">
        <f>IFERROR(__xludf.DUMMYFUNCTION("""COMPUTED_VALUE"""),0.9750789709331565)</f>
        <v>0.9750789709</v>
      </c>
      <c r="AR523" s="30">
        <f>IFERROR(__xludf.DUMMYFUNCTION("""COMPUTED_VALUE"""),0.9369516192039342)</f>
        <v>0.9369516192</v>
      </c>
      <c r="AS523" s="30">
        <f>IFERROR(__xludf.DUMMYFUNCTION("""COMPUTED_VALUE"""),90.0)</f>
        <v>90</v>
      </c>
      <c r="AT523" s="30">
        <f>IFERROR(__xludf.DUMMYFUNCTION("""COMPUTED_VALUE"""),0.5506226090316437)</f>
        <v>0.550622609</v>
      </c>
      <c r="AU523" s="30">
        <f>IFERROR(__xludf.DUMMYFUNCTION("""COMPUTED_VALUE"""),2.3112263096069157)</f>
        <v>2.31122631</v>
      </c>
      <c r="AV523" s="32">
        <f>IFERROR(__xludf.DUMMYFUNCTION("""COMPUTED_VALUE"""),61.12626909947454)</f>
        <v>61.1262691</v>
      </c>
      <c r="AW523" s="32">
        <f>IFERROR(__xludf.DUMMYFUNCTION("""COMPUTED_VALUE"""),3.0474654833090833)</f>
        <v>3.047465483</v>
      </c>
      <c r="AX523" s="32">
        <f>IFERROR(__xludf.DUMMYFUNCTION("""COMPUTED_VALUE"""),57.7571041201816)</f>
        <v>57.75710412</v>
      </c>
      <c r="AY523" s="32">
        <f>IFERROR(__xludf.DUMMYFUNCTION("""COMPUTED_VALUE"""),2.644296370737745)</f>
        <v>2.644296371</v>
      </c>
      <c r="AZ523" s="30">
        <f>IFERROR(__xludf.DUMMYFUNCTION("""COMPUTED_VALUE"""),0.40316911257133814)</f>
        <v>0.4031691126</v>
      </c>
      <c r="BA523" s="30">
        <f>IFERROR(__xludf.DUMMYFUNCTION("""COMPUTED_VALUE"""),1700.0)</f>
        <v>1700</v>
      </c>
    </row>
    <row r="524">
      <c r="A524" s="71" t="str">
        <f>IFERROR(__xludf.DUMMYFUNCTION("""COMPUTED_VALUE"""),"Rival")</f>
        <v>Rival</v>
      </c>
      <c r="B524" s="71" t="str">
        <f>IFERROR(__xludf.DUMMYFUNCTION("""COMPUTED_VALUE"""),"RSC004639")</f>
        <v>RSC004639</v>
      </c>
      <c r="C524" s="30" t="str">
        <f>IFERROR(__xludf.DUMMYFUNCTION("""COMPUTED_VALUE"""),"Tydizzle")</f>
        <v>Tydizzle</v>
      </c>
      <c r="D524" s="30" t="str">
        <f>IFERROR(__xludf.DUMMYFUNCTION("""COMPUTED_VALUE"""),"Blizzards")</f>
        <v>Blizzards</v>
      </c>
      <c r="E524" s="30">
        <f>IFERROR(__xludf.DUMMYFUNCTION("""COMPUTED_VALUE"""),36.0)</f>
        <v>36</v>
      </c>
      <c r="F524" s="30">
        <f>IFERROR(__xludf.DUMMYFUNCTION("""COMPUTED_VALUE"""),15.0)</f>
        <v>15</v>
      </c>
      <c r="G524" s="42">
        <f>IFERROR(__xludf.DUMMYFUNCTION("""COMPUTED_VALUE"""),21.0)</f>
        <v>21</v>
      </c>
      <c r="H524" s="42">
        <f>IFERROR(__xludf.DUMMYFUNCTION("""COMPUTED_VALUE"""),0.4166666666666667)</f>
        <v>0.4166666667</v>
      </c>
      <c r="I524" s="42">
        <f>IFERROR(__xludf.DUMMYFUNCTION("""COMPUTED_VALUE"""),0.3023255813953488)</f>
        <v>0.3023255814</v>
      </c>
      <c r="J524" s="30">
        <f>IFERROR(__xludf.DUMMYFUNCTION("""COMPUTED_VALUE"""),341.19444444444446)</f>
        <v>341.1944444</v>
      </c>
      <c r="K524" s="30">
        <f>IFERROR(__xludf.DUMMYFUNCTION("""COMPUTED_VALUE"""),0.7222222222222222)</f>
        <v>0.7222222222</v>
      </c>
      <c r="L524" s="30">
        <f>IFERROR(__xludf.DUMMYFUNCTION("""COMPUTED_VALUE"""),0.6111111111111112)</f>
        <v>0.6111111111</v>
      </c>
      <c r="M524" s="30">
        <f>IFERROR(__xludf.DUMMYFUNCTION("""COMPUTED_VALUE"""),1.2222222222222223)</f>
        <v>1.222222222</v>
      </c>
      <c r="N524" s="30">
        <f>IFERROR(__xludf.DUMMYFUNCTION("""COMPUTED_VALUE"""),2.388888888888889)</f>
        <v>2.388888889</v>
      </c>
      <c r="O524" s="30">
        <f>IFERROR(__xludf.DUMMYFUNCTION("""COMPUTED_VALUE"""),382.7314814814815)</f>
        <v>382.7314815</v>
      </c>
      <c r="P524" s="30">
        <f>IFERROR(__xludf.DUMMYFUNCTION("""COMPUTED_VALUE"""),0.9722222222222222)</f>
        <v>0.9722222222</v>
      </c>
      <c r="Q524" s="30">
        <f>IFERROR(__xludf.DUMMYFUNCTION("""COMPUTED_VALUE"""),0.6574074074074074)</f>
        <v>0.6574074074</v>
      </c>
      <c r="R524" s="30">
        <f>IFERROR(__xludf.DUMMYFUNCTION("""COMPUTED_VALUE"""),1.416666666666667)</f>
        <v>1.416666667</v>
      </c>
      <c r="S524" s="30">
        <f>IFERROR(__xludf.DUMMYFUNCTION("""COMPUTED_VALUE"""),2.6388888888888897)</f>
        <v>2.638888889</v>
      </c>
      <c r="T524" s="30">
        <f>IFERROR(__xludf.DUMMYFUNCTION("""COMPUTED_VALUE"""),357.1022378299606)</f>
        <v>357.1022378</v>
      </c>
      <c r="U524" s="30">
        <f>IFERROR(__xludf.DUMMYFUNCTION("""COMPUTED_VALUE"""),0.8214073705199466)</f>
        <v>0.8214073705</v>
      </c>
      <c r="V524" s="30">
        <f>IFERROR(__xludf.DUMMYFUNCTION("""COMPUTED_VALUE"""),0.6101222314922446)</f>
        <v>0.6101222315</v>
      </c>
      <c r="W524" s="30">
        <f>IFERROR(__xludf.DUMMYFUNCTION("""COMPUTED_VALUE"""),1.3951781663002645)</f>
        <v>1.395178166</v>
      </c>
      <c r="X524" s="30">
        <f>IFERROR(__xludf.DUMMYFUNCTION("""COMPUTED_VALUE"""),2.632376840056579)</f>
        <v>2.63237684</v>
      </c>
      <c r="Y524" s="30">
        <f>IFERROR(__xludf.DUMMYFUNCTION("""COMPUTED_VALUE"""),342.29540011803465)</f>
        <v>342.2954001</v>
      </c>
      <c r="Z524" s="30">
        <f>IFERROR(__xludf.DUMMYFUNCTION("""COMPUTED_VALUE"""),0.7534146984014574)</f>
        <v>0.7534146984</v>
      </c>
      <c r="AA524" s="30">
        <f>IFERROR(__xludf.DUMMYFUNCTION("""COMPUTED_VALUE"""),0.5611718833279009)</f>
        <v>0.5611718833</v>
      </c>
      <c r="AB524" s="30">
        <f>IFERROR(__xludf.DUMMYFUNCTION("""COMPUTED_VALUE"""),1.3160905408792485)</f>
        <v>1.316090541</v>
      </c>
      <c r="AC524" s="30">
        <f>IFERROR(__xludf.DUMMYFUNCTION("""COMPUTED_VALUE"""),2.6103298880499115)</f>
        <v>2.610329888</v>
      </c>
      <c r="AD524" s="30">
        <f>IFERROR(__xludf.DUMMYFUNCTION("""COMPUTED_VALUE"""),0.9967836094986653)</f>
        <v>0.9967836095</v>
      </c>
      <c r="AE524" s="30">
        <f>IFERROR(__xludf.DUMMYFUNCTION("""COMPUTED_VALUE"""),0.9585985298064702)</f>
        <v>0.9585985298</v>
      </c>
      <c r="AF524" s="30">
        <f>IFERROR(__xludf.DUMMYFUNCTION("""COMPUTED_VALUE"""),1.0889909656325922)</f>
        <v>1.088990966</v>
      </c>
      <c r="AG524" s="30">
        <f>IFERROR(__xludf.DUMMYFUNCTION("""COMPUTED_VALUE"""),0.9286763974503495)</f>
        <v>0.9286763975</v>
      </c>
      <c r="AH524" s="30">
        <f>IFERROR(__xludf.DUMMYFUNCTION("""COMPUTED_VALUE"""),0.9151674276210148)</f>
        <v>0.9151674276</v>
      </c>
      <c r="AI524" s="30">
        <f>IFERROR(__xludf.DUMMYFUNCTION("""COMPUTED_VALUE"""),1.0717700449240104)</f>
        <v>1.071770045</v>
      </c>
      <c r="AJ524" s="30">
        <f>IFERROR(__xludf.DUMMYFUNCTION("""COMPUTED_VALUE"""),1.1836054278485602)</f>
        <v>1.183605428</v>
      </c>
      <c r="AK524" s="30">
        <f>IFERROR(__xludf.DUMMYFUNCTION("""COMPUTED_VALUE"""),1.0775011521863613)</f>
        <v>1.077501152</v>
      </c>
      <c r="AL524" s="30">
        <f>IFERROR(__xludf.DUMMYFUNCTION("""COMPUTED_VALUE"""),1.0154019758088573)</f>
        <v>1.015401976</v>
      </c>
      <c r="AM524" s="30">
        <f>IFERROR(__xludf.DUMMYFUNCTION("""COMPUTED_VALUE"""),1.002473828493405)</f>
        <v>1.002473828</v>
      </c>
      <c r="AN524" s="30">
        <f>IFERROR(__xludf.DUMMYFUNCTION("""COMPUTED_VALUE"""),1.006648739580069)</f>
        <v>1.00664874</v>
      </c>
      <c r="AO524" s="30">
        <f>IFERROR(__xludf.DUMMYFUNCTION("""COMPUTED_VALUE"""),0.983069722105253)</f>
        <v>0.9830697221</v>
      </c>
      <c r="AP524" s="30">
        <f>IFERROR(__xludf.DUMMYFUNCTION("""COMPUTED_VALUE"""),1.0912233057120502)</f>
        <v>1.091223306</v>
      </c>
      <c r="AQ524" s="30">
        <f>IFERROR(__xludf.DUMMYFUNCTION("""COMPUTED_VALUE"""),0.9326842330664976)</f>
        <v>0.9326842331</v>
      </c>
      <c r="AR524" s="30">
        <f>IFERROR(__xludf.DUMMYFUNCTION("""COMPUTED_VALUE"""),0.9592599910897421)</f>
        <v>0.9592599911</v>
      </c>
      <c r="AS524" s="30">
        <f>IFERROR(__xludf.DUMMYFUNCTION("""COMPUTED_VALUE"""),76.0)</f>
        <v>76</v>
      </c>
      <c r="AT524" s="30">
        <f>IFERROR(__xludf.DUMMYFUNCTION("""COMPUTED_VALUE"""),0.3743007911196614)</f>
        <v>0.3743007911</v>
      </c>
      <c r="AU524" s="30">
        <f>IFERROR(__xludf.DUMMYFUNCTION("""COMPUTED_VALUE"""),1.9444236927141338)</f>
        <v>1.944423693</v>
      </c>
      <c r="AV524" s="32">
        <f>IFERROR(__xludf.DUMMYFUNCTION("""COMPUTED_VALUE"""),48.16930801778573)</f>
        <v>48.16930802</v>
      </c>
      <c r="AW524" s="32">
        <f>IFERROR(__xludf.DUMMYFUNCTION("""COMPUTED_VALUE"""),-2.123987921002946)</f>
        <v>-2.123987921</v>
      </c>
      <c r="AX524" s="32">
        <f>IFERROR(__xludf.DUMMYFUNCTION("""COMPUTED_VALUE"""),43.76372333606109)</f>
        <v>43.76372334</v>
      </c>
      <c r="AY524" s="32">
        <f>IFERROR(__xludf.DUMMYFUNCTION("""COMPUTED_VALUE"""),-2.4906231529413234)</f>
        <v>-2.490623153</v>
      </c>
      <c r="AZ524" s="30">
        <f>IFERROR(__xludf.DUMMYFUNCTION("""COMPUTED_VALUE"""),0.36663523193837744)</f>
        <v>0.3666352319</v>
      </c>
      <c r="BA524" s="30">
        <f>IFERROR(__xludf.DUMMYFUNCTION("""COMPUTED_VALUE"""),1700.0)</f>
        <v>1700</v>
      </c>
    </row>
    <row r="525">
      <c r="A525" s="71" t="str">
        <f>IFERROR(__xludf.DUMMYFUNCTION("""COMPUTED_VALUE"""),"Rival")</f>
        <v>Rival</v>
      </c>
      <c r="B525" s="71" t="str">
        <f>IFERROR(__xludf.DUMMYFUNCTION("""COMPUTED_VALUE"""),"RSC006209")</f>
        <v>RSC006209</v>
      </c>
      <c r="C525" s="30" t="str">
        <f>IFERROR(__xludf.DUMMYFUNCTION("""COMPUTED_VALUE"""),"Celiscy")</f>
        <v>Celiscy</v>
      </c>
      <c r="D525" s="30" t="str">
        <f>IFERROR(__xludf.DUMMYFUNCTION("""COMPUTED_VALUE"""),"Jetstream")</f>
        <v>Jetstream</v>
      </c>
      <c r="E525" s="30">
        <f>IFERROR(__xludf.DUMMYFUNCTION("""COMPUTED_VALUE"""),35.0)</f>
        <v>35</v>
      </c>
      <c r="F525" s="30">
        <f>IFERROR(__xludf.DUMMYFUNCTION("""COMPUTED_VALUE"""),14.0)</f>
        <v>14</v>
      </c>
      <c r="G525" s="42">
        <f>IFERROR(__xludf.DUMMYFUNCTION("""COMPUTED_VALUE"""),21.0)</f>
        <v>21</v>
      </c>
      <c r="H525" s="42">
        <f>IFERROR(__xludf.DUMMYFUNCTION("""COMPUTED_VALUE"""),0.4)</f>
        <v>0.4</v>
      </c>
      <c r="I525" s="42">
        <f>IFERROR(__xludf.DUMMYFUNCTION("""COMPUTED_VALUE"""),0.2638888888888889)</f>
        <v>0.2638888889</v>
      </c>
      <c r="J525" s="30">
        <f>IFERROR(__xludf.DUMMYFUNCTION("""COMPUTED_VALUE"""),325.0571428571429)</f>
        <v>325.0571429</v>
      </c>
      <c r="K525" s="30">
        <f>IFERROR(__xludf.DUMMYFUNCTION("""COMPUTED_VALUE"""),0.5428571428571428)</f>
        <v>0.5428571429</v>
      </c>
      <c r="L525" s="30">
        <f>IFERROR(__xludf.DUMMYFUNCTION("""COMPUTED_VALUE"""),0.8571428571428571)</f>
        <v>0.8571428571</v>
      </c>
      <c r="M525" s="30">
        <f>IFERROR(__xludf.DUMMYFUNCTION("""COMPUTED_VALUE"""),1.3142857142857143)</f>
        <v>1.314285714</v>
      </c>
      <c r="N525" s="30">
        <f>IFERROR(__xludf.DUMMYFUNCTION("""COMPUTED_VALUE"""),2.057142857142857)</f>
        <v>2.057142857</v>
      </c>
      <c r="O525" s="30">
        <f>IFERROR(__xludf.DUMMYFUNCTION("""COMPUTED_VALUE"""),337.2952380952381)</f>
        <v>337.2952381</v>
      </c>
      <c r="P525" s="30">
        <f>IFERROR(__xludf.DUMMYFUNCTION("""COMPUTED_VALUE"""),0.7142857142857143)</f>
        <v>0.7142857143</v>
      </c>
      <c r="Q525" s="30">
        <f>IFERROR(__xludf.DUMMYFUNCTION("""COMPUTED_VALUE"""),0.5333333333333333)</f>
        <v>0.5333333333</v>
      </c>
      <c r="R525" s="30">
        <f>IFERROR(__xludf.DUMMYFUNCTION("""COMPUTED_VALUE"""),1.2095238095238092)</f>
        <v>1.20952381</v>
      </c>
      <c r="S525" s="30">
        <f>IFERROR(__xludf.DUMMYFUNCTION("""COMPUTED_VALUE"""),2.6000000000000005)</f>
        <v>2.6</v>
      </c>
      <c r="T525" s="30">
        <f>IFERROR(__xludf.DUMMYFUNCTION("""COMPUTED_VALUE"""),351.15167152132483)</f>
        <v>351.1516715</v>
      </c>
      <c r="U525" s="30">
        <f>IFERROR(__xludf.DUMMYFUNCTION("""COMPUTED_VALUE"""),0.7996441156139609)</f>
        <v>0.7996441156</v>
      </c>
      <c r="V525" s="30">
        <f>IFERROR(__xludf.DUMMYFUNCTION("""COMPUTED_VALUE"""),0.552523263862754)</f>
        <v>0.5525232639</v>
      </c>
      <c r="W525" s="30">
        <f>IFERROR(__xludf.DUMMYFUNCTION("""COMPUTED_VALUE"""),1.307278496857161)</f>
        <v>1.307278497</v>
      </c>
      <c r="X525" s="30">
        <f>IFERROR(__xludf.DUMMYFUNCTION("""COMPUTED_VALUE"""),2.625853277922944)</f>
        <v>2.625853278</v>
      </c>
      <c r="Y525" s="30">
        <f>IFERROR(__xludf.DUMMYFUNCTION("""COMPUTED_VALUE"""),346.69792434382873)</f>
        <v>346.6979243</v>
      </c>
      <c r="Z525" s="30">
        <f>IFERROR(__xludf.DUMMYFUNCTION("""COMPUTED_VALUE"""),0.7893377242151323)</f>
        <v>0.7893377242</v>
      </c>
      <c r="AA525" s="30">
        <f>IFERROR(__xludf.DUMMYFUNCTION("""COMPUTED_VALUE"""),0.5764682466219812)</f>
        <v>0.5764682466</v>
      </c>
      <c r="AB525" s="30">
        <f>IFERROR(__xludf.DUMMYFUNCTION("""COMPUTED_VALUE"""),1.3006806982197627)</f>
        <v>1.300680698</v>
      </c>
      <c r="AC525" s="30">
        <f>IFERROR(__xludf.DUMMYFUNCTION("""COMPUTED_VALUE"""),2.631508278720495)</f>
        <v>2.631508279</v>
      </c>
      <c r="AD525" s="30">
        <f>IFERROR(__xludf.DUMMYFUNCTION("""COMPUTED_VALUE"""),0.9375802969468483)</f>
        <v>0.9375802969</v>
      </c>
      <c r="AE525" s="30">
        <f>IFERROR(__xludf.DUMMYFUNCTION("""COMPUTED_VALUE"""),0.6877374870140988)</f>
        <v>0.687737487</v>
      </c>
      <c r="AF525" s="30">
        <f>IFERROR(__xludf.DUMMYFUNCTION("""COMPUTED_VALUE"""),1.48688650617894)</f>
        <v>1.486886506</v>
      </c>
      <c r="AG525" s="30">
        <f>IFERROR(__xludf.DUMMYFUNCTION("""COMPUTED_VALUE"""),1.0104599200130921)</f>
        <v>1.01045992</v>
      </c>
      <c r="AH525" s="30">
        <f>IFERROR(__xludf.DUMMYFUNCTION("""COMPUTED_VALUE"""),0.7817352785008495)</f>
        <v>0.7817352785</v>
      </c>
      <c r="AI525" s="30">
        <f>IFERROR(__xludf.DUMMYFUNCTION("""COMPUTED_VALUE"""),0.9605400328409224)</f>
        <v>0.9605400328</v>
      </c>
      <c r="AJ525" s="30">
        <f>IFERROR(__xludf.DUMMYFUNCTION("""COMPUTED_VALUE"""),0.8932545120241283)</f>
        <v>0.893254512</v>
      </c>
      <c r="AK525" s="30">
        <f>IFERROR(__xludf.DUMMYFUNCTION("""COMPUTED_VALUE"""),0.9652685564852752)</f>
        <v>0.9652685565</v>
      </c>
      <c r="AL525" s="30">
        <f>IFERROR(__xludf.DUMMYFUNCTION("""COMPUTED_VALUE"""),0.9252227527888169)</f>
        <v>0.9252227528</v>
      </c>
      <c r="AM525" s="30">
        <f>IFERROR(__xludf.DUMMYFUNCTION("""COMPUTED_VALUE"""),0.9901543326352973)</f>
        <v>0.9901543326</v>
      </c>
      <c r="AN525" s="30">
        <f>IFERROR(__xludf.DUMMYFUNCTION("""COMPUTED_VALUE"""),0.9590377817594307)</f>
        <v>0.9590377818</v>
      </c>
      <c r="AO525" s="30">
        <f>IFERROR(__xludf.DUMMYFUNCTION("""COMPUTED_VALUE"""),0.7389227361758165)</f>
        <v>0.7389227362</v>
      </c>
      <c r="AP525" s="30">
        <f>IFERROR(__xludf.DUMMYFUNCTION("""COMPUTED_VALUE"""),1.5305469742454727)</f>
        <v>1.530546974</v>
      </c>
      <c r="AQ525" s="30">
        <f>IFERROR(__xludf.DUMMYFUNCTION("""COMPUTED_VALUE"""),1.0029383701026753)</f>
        <v>1.00293837</v>
      </c>
      <c r="AR525" s="30">
        <f>IFERROR(__xludf.DUMMYFUNCTION("""COMPUTED_VALUE"""),0.8260471418287746)</f>
        <v>0.8260471418</v>
      </c>
      <c r="AS525" s="30">
        <f>IFERROR(__xludf.DUMMYFUNCTION("""COMPUTED_VALUE"""),84.0)</f>
        <v>84</v>
      </c>
      <c r="AT525" s="30">
        <f>IFERROR(__xludf.DUMMYFUNCTION("""COMPUTED_VALUE"""),0.5436342135672866)</f>
        <v>0.5436342136</v>
      </c>
      <c r="AU525" s="30">
        <f>IFERROR(__xludf.DUMMYFUNCTION("""COMPUTED_VALUE"""),1.9629809879833995)</f>
        <v>1.962980988</v>
      </c>
      <c r="AV525" s="32">
        <f>IFERROR(__xludf.DUMMYFUNCTION("""COMPUTED_VALUE"""),48.82482720306888)</f>
        <v>48.8248272</v>
      </c>
      <c r="AW525" s="32">
        <f>IFERROR(__xludf.DUMMYFUNCTION("""COMPUTED_VALUE"""),-2.077905414224409)</f>
        <v>-2.077905414</v>
      </c>
      <c r="AX525" s="32">
        <f>IFERROR(__xludf.DUMMYFUNCTION("""COMPUTED_VALUE"""),44.27366090398345)</f>
        <v>44.2736609</v>
      </c>
      <c r="AY525" s="32">
        <f>IFERROR(__xludf.DUMMYFUNCTION("""COMPUTED_VALUE"""),-2.4425175338752885)</f>
        <v>-2.442517534</v>
      </c>
      <c r="AZ525" s="30">
        <f>IFERROR(__xludf.DUMMYFUNCTION("""COMPUTED_VALUE"""),0.3646121196508796)</f>
        <v>0.3646121197</v>
      </c>
      <c r="BA525" s="30">
        <f>IFERROR(__xludf.DUMMYFUNCTION("""COMPUTED_VALUE"""),1700.0)</f>
        <v>1700</v>
      </c>
    </row>
    <row r="526">
      <c r="A526" s="71" t="str">
        <f>IFERROR(__xludf.DUMMYFUNCTION("""COMPUTED_VALUE"""),"Rival")</f>
        <v>Rival</v>
      </c>
      <c r="B526" s="71" t="str">
        <f>IFERROR(__xludf.DUMMYFUNCTION("""COMPUTED_VALUE"""),"RSC005752")</f>
        <v>RSC005752</v>
      </c>
      <c r="C526" s="30" t="str">
        <f>IFERROR(__xludf.DUMMYFUNCTION("""COMPUTED_VALUE"""),"surge85")</f>
        <v>surge85</v>
      </c>
      <c r="D526" s="30" t="str">
        <f>IFERROR(__xludf.DUMMYFUNCTION("""COMPUTED_VALUE"""),"Polar Bears")</f>
        <v>Polar Bears</v>
      </c>
      <c r="E526" s="30">
        <f>IFERROR(__xludf.DUMMYFUNCTION("""COMPUTED_VALUE"""),33.0)</f>
        <v>33</v>
      </c>
      <c r="F526" s="30">
        <f>IFERROR(__xludf.DUMMYFUNCTION("""COMPUTED_VALUE"""),13.0)</f>
        <v>13</v>
      </c>
      <c r="G526" s="42">
        <f>IFERROR(__xludf.DUMMYFUNCTION("""COMPUTED_VALUE"""),20.0)</f>
        <v>20</v>
      </c>
      <c r="H526" s="42">
        <f>IFERROR(__xludf.DUMMYFUNCTION("""COMPUTED_VALUE"""),0.3939393939393939)</f>
        <v>0.3939393939</v>
      </c>
      <c r="I526" s="42">
        <f>IFERROR(__xludf.DUMMYFUNCTION("""COMPUTED_VALUE"""),0.37037037037037035)</f>
        <v>0.3703703704</v>
      </c>
      <c r="J526" s="30">
        <f>IFERROR(__xludf.DUMMYFUNCTION("""COMPUTED_VALUE"""),377.27272727272725)</f>
        <v>377.2727273</v>
      </c>
      <c r="K526" s="30">
        <f>IFERROR(__xludf.DUMMYFUNCTION("""COMPUTED_VALUE"""),0.9090909090909091)</f>
        <v>0.9090909091</v>
      </c>
      <c r="L526" s="30">
        <f>IFERROR(__xludf.DUMMYFUNCTION("""COMPUTED_VALUE"""),0.42424242424242425)</f>
        <v>0.4242424242</v>
      </c>
      <c r="M526" s="30">
        <f>IFERROR(__xludf.DUMMYFUNCTION("""COMPUTED_VALUE"""),1.2424242424242424)</f>
        <v>1.242424242</v>
      </c>
      <c r="N526" s="30">
        <f>IFERROR(__xludf.DUMMYFUNCTION("""COMPUTED_VALUE"""),2.4545454545454546)</f>
        <v>2.454545455</v>
      </c>
      <c r="O526" s="30">
        <f>IFERROR(__xludf.DUMMYFUNCTION("""COMPUTED_VALUE"""),376.83838383838383)</f>
        <v>376.8383838</v>
      </c>
      <c r="P526" s="30">
        <f>IFERROR(__xludf.DUMMYFUNCTION("""COMPUTED_VALUE"""),0.9292929292929291)</f>
        <v>0.9292929293</v>
      </c>
      <c r="Q526" s="30">
        <f>IFERROR(__xludf.DUMMYFUNCTION("""COMPUTED_VALUE"""),0.6767676767676767)</f>
        <v>0.6767676768</v>
      </c>
      <c r="R526" s="30">
        <f>IFERROR(__xludf.DUMMYFUNCTION("""COMPUTED_VALUE"""),1.3535353535353534)</f>
        <v>1.353535354</v>
      </c>
      <c r="S526" s="30">
        <f>IFERROR(__xludf.DUMMYFUNCTION("""COMPUTED_VALUE"""),2.6868686868686864)</f>
        <v>2.686868687</v>
      </c>
      <c r="T526" s="30">
        <f>IFERROR(__xludf.DUMMYFUNCTION("""COMPUTED_VALUE"""),357.57758145983354)</f>
        <v>357.5775815</v>
      </c>
      <c r="U526" s="30">
        <f>IFERROR(__xludf.DUMMYFUNCTION("""COMPUTED_VALUE"""),0.8281128544149551)</f>
        <v>0.8281128544</v>
      </c>
      <c r="V526" s="30">
        <f>IFERROR(__xludf.DUMMYFUNCTION("""COMPUTED_VALUE"""),0.6020297175720414)</f>
        <v>0.6020297176</v>
      </c>
      <c r="W526" s="30">
        <f>IFERROR(__xludf.DUMMYFUNCTION("""COMPUTED_VALUE"""),1.3146049981193608)</f>
        <v>1.314604998</v>
      </c>
      <c r="X526" s="30">
        <f>IFERROR(__xludf.DUMMYFUNCTION("""COMPUTED_VALUE"""),2.6193164537839455)</f>
        <v>2.619316454</v>
      </c>
      <c r="Y526" s="30">
        <f>IFERROR(__xludf.DUMMYFUNCTION("""COMPUTED_VALUE"""),335.81793718143945)</f>
        <v>335.8179372</v>
      </c>
      <c r="Z526" s="30">
        <f>IFERROR(__xludf.DUMMYFUNCTION("""COMPUTED_VALUE"""),0.7102231329535451)</f>
        <v>0.710223133</v>
      </c>
      <c r="AA526" s="30">
        <f>IFERROR(__xludf.DUMMYFUNCTION("""COMPUTED_VALUE"""),0.5217226361069918)</f>
        <v>0.5217226361</v>
      </c>
      <c r="AB526" s="30">
        <f>IFERROR(__xludf.DUMMYFUNCTION("""COMPUTED_VALUE"""),1.2859169679920037)</f>
        <v>1.285916968</v>
      </c>
      <c r="AC526" s="30">
        <f>IFERROR(__xludf.DUMMYFUNCTION("""COMPUTED_VALUE"""),2.4743711450542563)</f>
        <v>2.474371145</v>
      </c>
      <c r="AD526" s="30">
        <f>IFERROR(__xludf.DUMMYFUNCTION("""COMPUTED_VALUE"""),1.1234442401713942)</f>
        <v>1.12344424</v>
      </c>
      <c r="AE526" s="30">
        <f>IFERROR(__xludf.DUMMYFUNCTION("""COMPUTED_VALUE"""),1.280007460909291)</f>
        <v>1.280007461</v>
      </c>
      <c r="AF526" s="30">
        <f>IFERROR(__xludf.DUMMYFUNCTION("""COMPUTED_VALUE"""),0.8131570203816557)</f>
        <v>0.8131570204</v>
      </c>
      <c r="AG526" s="30">
        <f>IFERROR(__xludf.DUMMYFUNCTION("""COMPUTED_VALUE"""),0.9661776563725756)</f>
        <v>0.9661776564</v>
      </c>
      <c r="AH526" s="30">
        <f>IFERROR(__xludf.DUMMYFUNCTION("""COMPUTED_VALUE"""),0.9919875841793463)</f>
        <v>0.9919875842</v>
      </c>
      <c r="AI526" s="30">
        <f>IFERROR(__xludf.DUMMYFUNCTION("""COMPUTED_VALUE"""),1.0538646810572319)</f>
        <v>1.053864681</v>
      </c>
      <c r="AJ526" s="30">
        <f>IFERROR(__xludf.DUMMYFUNCTION("""COMPUTED_VALUE"""),1.1221815050189694)</f>
        <v>1.122181505</v>
      </c>
      <c r="AK526" s="30">
        <f>IFERROR(__xludf.DUMMYFUNCTION("""COMPUTED_VALUE"""),1.124143305578087)</f>
        <v>1.124143306</v>
      </c>
      <c r="AL526" s="30">
        <f>IFERROR(__xludf.DUMMYFUNCTION("""COMPUTED_VALUE"""),1.0296137284368196)</f>
        <v>1.029613728</v>
      </c>
      <c r="AM526" s="30">
        <f>IFERROR(__xludf.DUMMYFUNCTION("""COMPUTED_VALUE"""),1.0257900235716662)</f>
        <v>1.025790024</v>
      </c>
      <c r="AN526" s="30">
        <f>IFERROR(__xludf.DUMMYFUNCTION("""COMPUTED_VALUE"""),1.1130929051480043)</f>
        <v>1.113092905</v>
      </c>
      <c r="AO526" s="30">
        <f>IFERROR(__xludf.DUMMYFUNCTION("""COMPUTED_VALUE"""),1.2374304194331855)</f>
        <v>1.237430419</v>
      </c>
      <c r="AP526" s="30">
        <f>IFERROR(__xludf.DUMMYFUNCTION("""COMPUTED_VALUE"""),0.7575434518992744)</f>
        <v>0.7575434519</v>
      </c>
      <c r="AQ526" s="30">
        <f>IFERROR(__xludf.DUMMYFUNCTION("""COMPUTED_VALUE"""),0.9481005013816463)</f>
        <v>0.9481005014</v>
      </c>
      <c r="AR526" s="30">
        <f>IFERROR(__xludf.DUMMYFUNCTION("""COMPUTED_VALUE"""),0.9856244305911516)</f>
        <v>0.9856244306</v>
      </c>
      <c r="AS526" s="30">
        <f>IFERROR(__xludf.DUMMYFUNCTION("""COMPUTED_VALUE"""),80.0)</f>
        <v>80</v>
      </c>
      <c r="AT526" s="30">
        <f>IFERROR(__xludf.DUMMYFUNCTION("""COMPUTED_VALUE"""),0.4441151914627266)</f>
        <v>0.4441151915</v>
      </c>
      <c r="AU526" s="30">
        <f>IFERROR(__xludf.DUMMYFUNCTION("""COMPUTED_VALUE"""),2.1641386989153517)</f>
        <v>2.164138699</v>
      </c>
      <c r="AV526" s="32">
        <f>IFERROR(__xludf.DUMMYFUNCTION("""COMPUTED_VALUE"""),55.93053613695245)</f>
        <v>55.93053614</v>
      </c>
      <c r="AW526" s="32">
        <f>IFERROR(__xludf.DUMMYFUNCTION("""COMPUTED_VALUE"""),2.4615839061688667)</f>
        <v>2.461583906</v>
      </c>
      <c r="AX526" s="32">
        <f>IFERROR(__xludf.DUMMYFUNCTION("""COMPUTED_VALUE"""),51.66590590025233)</f>
        <v>51.6659059</v>
      </c>
      <c r="AY526" s="32">
        <f>IFERROR(__xludf.DUMMYFUNCTION("""COMPUTED_VALUE"""),2.1122194799891503)</f>
        <v>2.11221948</v>
      </c>
      <c r="AZ526" s="30">
        <f>IFERROR(__xludf.DUMMYFUNCTION("""COMPUTED_VALUE"""),0.3493644261797164)</f>
        <v>0.3493644262</v>
      </c>
      <c r="BA526" s="30">
        <f>IFERROR(__xludf.DUMMYFUNCTION("""COMPUTED_VALUE"""),1700.0)</f>
        <v>1700</v>
      </c>
    </row>
    <row r="527">
      <c r="A527" s="71" t="str">
        <f>IFERROR(__xludf.DUMMYFUNCTION("""COMPUTED_VALUE"""),"Rival")</f>
        <v>Rival</v>
      </c>
      <c r="B527" s="71" t="str">
        <f>IFERROR(__xludf.DUMMYFUNCTION("""COMPUTED_VALUE"""),"RSC002424")</f>
        <v>RSC002424</v>
      </c>
      <c r="C527" s="30" t="str">
        <f>IFERROR(__xludf.DUMMYFUNCTION("""COMPUTED_VALUE"""),"HufflePuffler")</f>
        <v>HufflePuffler</v>
      </c>
      <c r="D527" s="30" t="str">
        <f>IFERROR(__xludf.DUMMYFUNCTION("""COMPUTED_VALUE"""),"Centuriones")</f>
        <v>Centuriones</v>
      </c>
      <c r="E527" s="30">
        <f>IFERROR(__xludf.DUMMYFUNCTION("""COMPUTED_VALUE"""),36.0)</f>
        <v>36</v>
      </c>
      <c r="F527" s="30">
        <f>IFERROR(__xludf.DUMMYFUNCTION("""COMPUTED_VALUE"""),14.0)</f>
        <v>14</v>
      </c>
      <c r="G527" s="42">
        <f>IFERROR(__xludf.DUMMYFUNCTION("""COMPUTED_VALUE"""),22.0)</f>
        <v>22</v>
      </c>
      <c r="H527" s="42">
        <f>IFERROR(__xludf.DUMMYFUNCTION("""COMPUTED_VALUE"""),0.3888888888888889)</f>
        <v>0.3888888889</v>
      </c>
      <c r="I527" s="42">
        <f>IFERROR(__xludf.DUMMYFUNCTION("""COMPUTED_VALUE"""),0.4142857142857143)</f>
        <v>0.4142857143</v>
      </c>
      <c r="J527" s="30">
        <f>IFERROR(__xludf.DUMMYFUNCTION("""COMPUTED_VALUE"""),389.47222222222223)</f>
        <v>389.4722222</v>
      </c>
      <c r="K527" s="30">
        <f>IFERROR(__xludf.DUMMYFUNCTION("""COMPUTED_VALUE"""),0.8055555555555556)</f>
        <v>0.8055555556</v>
      </c>
      <c r="L527" s="30">
        <f>IFERROR(__xludf.DUMMYFUNCTION("""COMPUTED_VALUE"""),0.5277777777777778)</f>
        <v>0.5277777778</v>
      </c>
      <c r="M527" s="30">
        <f>IFERROR(__xludf.DUMMYFUNCTION("""COMPUTED_VALUE"""),1.8611111111111112)</f>
        <v>1.861111111</v>
      </c>
      <c r="N527" s="30">
        <f>IFERROR(__xludf.DUMMYFUNCTION("""COMPUTED_VALUE"""),1.9444444444444444)</f>
        <v>1.944444444</v>
      </c>
      <c r="O527" s="30">
        <f>IFERROR(__xludf.DUMMYFUNCTION("""COMPUTED_VALUE"""),359.46296296296293)</f>
        <v>359.462963</v>
      </c>
      <c r="P527" s="30">
        <f>IFERROR(__xludf.DUMMYFUNCTION("""COMPUTED_VALUE"""),0.9074074074074071)</f>
        <v>0.9074074074</v>
      </c>
      <c r="Q527" s="30">
        <f>IFERROR(__xludf.DUMMYFUNCTION("""COMPUTED_VALUE"""),0.6666666666666665)</f>
        <v>0.6666666667</v>
      </c>
      <c r="R527" s="30">
        <f>IFERROR(__xludf.DUMMYFUNCTION("""COMPUTED_VALUE"""),1.2037037037037037)</f>
        <v>1.203703704</v>
      </c>
      <c r="S527" s="30">
        <f>IFERROR(__xludf.DUMMYFUNCTION("""COMPUTED_VALUE"""),2.75)</f>
        <v>2.75</v>
      </c>
      <c r="T527" s="30">
        <f>IFERROR(__xludf.DUMMYFUNCTION("""COMPUTED_VALUE"""),344.7355935887812)</f>
        <v>344.7355936</v>
      </c>
      <c r="U527" s="30">
        <f>IFERROR(__xludf.DUMMYFUNCTION("""COMPUTED_VALUE"""),0.7496478102757683)</f>
        <v>0.7496478103</v>
      </c>
      <c r="V527" s="30">
        <f>IFERROR(__xludf.DUMMYFUNCTION("""COMPUTED_VALUE"""),0.5658894732593175)</f>
        <v>0.5658894733</v>
      </c>
      <c r="W527" s="30">
        <f>IFERROR(__xludf.DUMMYFUNCTION("""COMPUTED_VALUE"""),1.3423005918258906)</f>
        <v>1.342300592</v>
      </c>
      <c r="X527" s="30">
        <f>IFERROR(__xludf.DUMMYFUNCTION("""COMPUTED_VALUE"""),2.5275601166377593)</f>
        <v>2.527560117</v>
      </c>
      <c r="Y527" s="30">
        <f>IFERROR(__xludf.DUMMYFUNCTION("""COMPUTED_VALUE"""),349.54557130831915)</f>
        <v>349.5455713</v>
      </c>
      <c r="Z527" s="30">
        <f>IFERROR(__xludf.DUMMYFUNCTION("""COMPUTED_VALUE"""),0.8069921815003887)</f>
        <v>0.8069921815</v>
      </c>
      <c r="AA527" s="30">
        <f>IFERROR(__xludf.DUMMYFUNCTION("""COMPUTED_VALUE"""),0.5737961323485516)</f>
        <v>0.5737961323</v>
      </c>
      <c r="AB527" s="30">
        <f>IFERROR(__xludf.DUMMYFUNCTION("""COMPUTED_VALUE"""),1.2885335835459797)</f>
        <v>1.288533584</v>
      </c>
      <c r="AC527" s="30">
        <f>IFERROR(__xludf.DUMMYFUNCTION("""COMPUTED_VALUE"""),2.630403178977384)</f>
        <v>2.630403179</v>
      </c>
      <c r="AD527" s="30">
        <f>IFERROR(__xludf.DUMMYFUNCTION("""COMPUTED_VALUE"""),1.1142244508046864)</f>
        <v>1.114224451</v>
      </c>
      <c r="AE527" s="30">
        <f>IFERROR(__xludf.DUMMYFUNCTION("""COMPUTED_VALUE"""),0.9982197771208117)</f>
        <v>0.9982197771</v>
      </c>
      <c r="AF527" s="30">
        <f>IFERROR(__xludf.DUMMYFUNCTION("""COMPUTED_VALUE"""),0.919800165988536)</f>
        <v>0.919800166</v>
      </c>
      <c r="AG527" s="30">
        <f>IFERROR(__xludf.DUMMYFUNCTION("""COMPUTED_VALUE"""),1.4443636819999885)</f>
        <v>1.444363682</v>
      </c>
      <c r="AH527" s="30">
        <f>IFERROR(__xludf.DUMMYFUNCTION("""COMPUTED_VALUE"""),0.7392191660901132)</f>
        <v>0.7392191661</v>
      </c>
      <c r="AI527" s="30">
        <f>IFERROR(__xludf.DUMMYFUNCTION("""COMPUTED_VALUE"""),1.0427207681715318)</f>
        <v>1.042720768</v>
      </c>
      <c r="AJ527" s="30">
        <f>IFERROR(__xludf.DUMMYFUNCTION("""COMPUTED_VALUE"""),1.2104449515748)</f>
        <v>1.210444952</v>
      </c>
      <c r="AK527" s="30">
        <f>IFERROR(__xludf.DUMMYFUNCTION("""COMPUTED_VALUE"""),1.1780863546142837)</f>
        <v>1.178086355</v>
      </c>
      <c r="AL527" s="30">
        <f>IFERROR(__xludf.DUMMYFUNCTION("""COMPUTED_VALUE"""),0.8967467577931574)</f>
        <v>0.8967467578</v>
      </c>
      <c r="AM527" s="30">
        <f>IFERROR(__xludf.DUMMYFUNCTION("""COMPUTED_VALUE"""),1.0880057735909117)</f>
        <v>1.088005774</v>
      </c>
      <c r="AN527" s="30">
        <f>IFERROR(__xludf.DUMMYFUNCTION("""COMPUTED_VALUE"""),1.149085889249544)</f>
        <v>1.149085889</v>
      </c>
      <c r="AO527" s="30">
        <f>IFERROR(__xludf.DUMMYFUNCTION("""COMPUTED_VALUE"""),1.0965008438866284)</f>
        <v>1.096500844</v>
      </c>
      <c r="AP527" s="30">
        <f>IFERROR(__xludf.DUMMYFUNCTION("""COMPUTED_VALUE"""),0.9424201276604068)</f>
        <v>0.9424201277</v>
      </c>
      <c r="AQ527" s="30">
        <f>IFERROR(__xludf.DUMMYFUNCTION("""COMPUTED_VALUE"""),1.420223718533076)</f>
        <v>1.420223719</v>
      </c>
      <c r="AR527" s="30">
        <f>IFERROR(__xludf.DUMMYFUNCTION("""COMPUTED_VALUE"""),0.7807930160032784)</f>
        <v>0.780793016</v>
      </c>
      <c r="AS527" s="30">
        <f>IFERROR(__xludf.DUMMYFUNCTION("""COMPUTED_VALUE"""),89.0)</f>
        <v>89</v>
      </c>
      <c r="AT527" s="30">
        <f>IFERROR(__xludf.DUMMYFUNCTION("""COMPUTED_VALUE"""),0.4614341582827996)</f>
        <v>0.4614341583</v>
      </c>
      <c r="AU527" s="30">
        <f>IFERROR(__xludf.DUMMYFUNCTION("""COMPUTED_VALUE"""),1.835682799659057)</f>
        <v>1.8356828</v>
      </c>
      <c r="AV527" s="32">
        <f>IFERROR(__xludf.DUMMYFUNCTION("""COMPUTED_VALUE"""),44.32813716890229)</f>
        <v>44.32813717</v>
      </c>
      <c r="AW527" s="32">
        <f>IFERROR(__xludf.DUMMYFUNCTION("""COMPUTED_VALUE"""),-2.43747474840829)</f>
        <v>-2.437474748</v>
      </c>
      <c r="AX527" s="32">
        <f>IFERROR(__xludf.DUMMYFUNCTION("""COMPUTED_VALUE"""),48.53176462297437)</f>
        <v>48.53176462</v>
      </c>
      <c r="AY527" s="32">
        <f>IFERROR(__xludf.DUMMYFUNCTION("""COMPUTED_VALUE"""),-2.0982668076608517)</f>
        <v>-2.098266808</v>
      </c>
      <c r="AZ527" s="30">
        <f>IFERROR(__xludf.DUMMYFUNCTION("""COMPUTED_VALUE"""),0.3392079407474382)</f>
        <v>0.3392079407</v>
      </c>
      <c r="BA527" s="30">
        <f>IFERROR(__xludf.DUMMYFUNCTION("""COMPUTED_VALUE"""),1700.0)</f>
        <v>1700</v>
      </c>
    </row>
    <row r="528">
      <c r="A528" s="71" t="str">
        <f>IFERROR(__xludf.DUMMYFUNCTION("""COMPUTED_VALUE"""),"Rival")</f>
        <v>Rival</v>
      </c>
      <c r="B528" s="71" t="str">
        <f>IFERROR(__xludf.DUMMYFUNCTION("""COMPUTED_VALUE"""),"RSC002267")</f>
        <v>RSC002267</v>
      </c>
      <c r="C528" s="30" t="str">
        <f>IFERROR(__xludf.DUMMYFUNCTION("""COMPUTED_VALUE"""),"Dooqal")</f>
        <v>Dooqal</v>
      </c>
      <c r="D528" s="30" t="str">
        <f>IFERROR(__xludf.DUMMYFUNCTION("""COMPUTED_VALUE"""),"Dracos")</f>
        <v>Dracos</v>
      </c>
      <c r="E528" s="30">
        <f>IFERROR(__xludf.DUMMYFUNCTION("""COMPUTED_VALUE"""),28.0)</f>
        <v>28</v>
      </c>
      <c r="F528" s="30">
        <f>IFERROR(__xludf.DUMMYFUNCTION("""COMPUTED_VALUE"""),17.0)</f>
        <v>17</v>
      </c>
      <c r="G528" s="42">
        <f>IFERROR(__xludf.DUMMYFUNCTION("""COMPUTED_VALUE"""),11.0)</f>
        <v>11</v>
      </c>
      <c r="H528" s="42">
        <f>IFERROR(__xludf.DUMMYFUNCTION("""COMPUTED_VALUE"""),0.6071428571428571)</f>
        <v>0.6071428571</v>
      </c>
      <c r="I528" s="42">
        <f>IFERROR(__xludf.DUMMYFUNCTION("""COMPUTED_VALUE"""),0.3287671232876712)</f>
        <v>0.3287671233</v>
      </c>
      <c r="J528" s="30">
        <f>IFERROR(__xludf.DUMMYFUNCTION("""COMPUTED_VALUE"""),371.2857142857143)</f>
        <v>371.2857143</v>
      </c>
      <c r="K528" s="30">
        <f>IFERROR(__xludf.DUMMYFUNCTION("""COMPUTED_VALUE"""),0.8571428571428571)</f>
        <v>0.8571428571</v>
      </c>
      <c r="L528" s="30">
        <f>IFERROR(__xludf.DUMMYFUNCTION("""COMPUTED_VALUE"""),0.4642857142857143)</f>
        <v>0.4642857143</v>
      </c>
      <c r="M528" s="30">
        <f>IFERROR(__xludf.DUMMYFUNCTION("""COMPUTED_VALUE"""),1.6428571428571428)</f>
        <v>1.642857143</v>
      </c>
      <c r="N528" s="30">
        <f>IFERROR(__xludf.DUMMYFUNCTION("""COMPUTED_VALUE"""),2.607142857142857)</f>
        <v>2.607142857</v>
      </c>
      <c r="O528" s="30">
        <f>IFERROR(__xludf.DUMMYFUNCTION("""COMPUTED_VALUE"""),332.7380952380953)</f>
        <v>332.7380952</v>
      </c>
      <c r="P528" s="30">
        <f>IFERROR(__xludf.DUMMYFUNCTION("""COMPUTED_VALUE"""),0.6904761904761906)</f>
        <v>0.6904761905</v>
      </c>
      <c r="Q528" s="30">
        <f>IFERROR(__xludf.DUMMYFUNCTION("""COMPUTED_VALUE"""),0.380952380952381)</f>
        <v>0.380952381</v>
      </c>
      <c r="R528" s="30">
        <f>IFERROR(__xludf.DUMMYFUNCTION("""COMPUTED_VALUE"""),1.3571428571428574)</f>
        <v>1.357142857</v>
      </c>
      <c r="S528" s="30">
        <f>IFERROR(__xludf.DUMMYFUNCTION("""COMPUTED_VALUE"""),2.5000000000000004)</f>
        <v>2.5</v>
      </c>
      <c r="T528" s="30">
        <f>IFERROR(__xludf.DUMMYFUNCTION("""COMPUTED_VALUE"""),344.87113841593356)</f>
        <v>344.8711384</v>
      </c>
      <c r="U528" s="30">
        <f>IFERROR(__xludf.DUMMYFUNCTION("""COMPUTED_VALUE"""),0.7399793794751774)</f>
        <v>0.7399793795</v>
      </c>
      <c r="V528" s="30">
        <f>IFERROR(__xludf.DUMMYFUNCTION("""COMPUTED_VALUE"""),0.5273007312870759)</f>
        <v>0.5273007313</v>
      </c>
      <c r="W528" s="30">
        <f>IFERROR(__xludf.DUMMYFUNCTION("""COMPUTED_VALUE"""),1.3170140898239635)</f>
        <v>1.31701409</v>
      </c>
      <c r="X528" s="30">
        <f>IFERROR(__xludf.DUMMYFUNCTION("""COMPUTED_VALUE"""),2.5635561034825747)</f>
        <v>2.563556103</v>
      </c>
      <c r="Y528" s="30">
        <f>IFERROR(__xludf.DUMMYFUNCTION("""COMPUTED_VALUE"""),353.22824409736705)</f>
        <v>353.2282441</v>
      </c>
      <c r="Z528" s="30">
        <f>IFERROR(__xludf.DUMMYFUNCTION("""COMPUTED_VALUE"""),0.8259448150537085)</f>
        <v>0.8259448151</v>
      </c>
      <c r="AA528" s="30">
        <f>IFERROR(__xludf.DUMMYFUNCTION("""COMPUTED_VALUE"""),0.5934632114954244)</f>
        <v>0.5934632115</v>
      </c>
      <c r="AB528" s="30">
        <f>IFERROR(__xludf.DUMMYFUNCTION("""COMPUTED_VALUE"""),1.278009411482801)</f>
        <v>1.278009411</v>
      </c>
      <c r="AC528" s="30">
        <f>IFERROR(__xludf.DUMMYFUNCTION("""COMPUTED_VALUE"""),2.5594582397190946)</f>
        <v>2.55945824</v>
      </c>
      <c r="AD528" s="30">
        <f>IFERROR(__xludf.DUMMYFUNCTION("""COMPUTED_VALUE"""),1.0511212523066804)</f>
        <v>1.051121252</v>
      </c>
      <c r="AE528" s="30">
        <f>IFERROR(__xludf.DUMMYFUNCTION("""COMPUTED_VALUE"""),1.0377725503211976)</f>
        <v>1.03777255</v>
      </c>
      <c r="AF528" s="30">
        <f>IFERROR(__xludf.DUMMYFUNCTION("""COMPUTED_VALUE"""),0.7823327635015401)</f>
        <v>0.7823327635</v>
      </c>
      <c r="AG528" s="30">
        <f>IFERROR(__xludf.DUMMYFUNCTION("""COMPUTED_VALUE"""),1.2854812555339714)</f>
        <v>1.285481256</v>
      </c>
      <c r="AH528" s="30">
        <f>IFERROR(__xludf.DUMMYFUNCTION("""COMPUTED_VALUE"""),1.0186307464149116)</f>
        <v>1.018630746</v>
      </c>
      <c r="AI528" s="30">
        <f>IFERROR(__xludf.DUMMYFUNCTION("""COMPUTED_VALUE"""),0.9648186182422573)</f>
        <v>0.9648186182</v>
      </c>
      <c r="AJ528" s="30">
        <f>IFERROR(__xludf.DUMMYFUNCTION("""COMPUTED_VALUE"""),0.9331019344970174)</f>
        <v>0.9331019345</v>
      </c>
      <c r="AK528" s="30">
        <f>IFERROR(__xludf.DUMMYFUNCTION("""COMPUTED_VALUE"""),0.722457524423536)</f>
        <v>0.7224575244</v>
      </c>
      <c r="AL528" s="30">
        <f>IFERROR(__xludf.DUMMYFUNCTION("""COMPUTED_VALUE"""),1.0304695049422423)</f>
        <v>1.030469505</v>
      </c>
      <c r="AM528" s="30">
        <f>IFERROR(__xludf.DUMMYFUNCTION("""COMPUTED_VALUE"""),0.9752078359446732)</f>
        <v>0.9752078359</v>
      </c>
      <c r="AN528" s="30">
        <f>IFERROR(__xludf.DUMMYFUNCTION("""COMPUTED_VALUE"""),1.095429021179907)</f>
        <v>1.095429021</v>
      </c>
      <c r="AO528" s="30">
        <f>IFERROR(__xludf.DUMMYFUNCTION("""COMPUTED_VALUE"""),1.1667201097512891)</f>
        <v>1.16672011</v>
      </c>
      <c r="AP528" s="30">
        <f>IFERROR(__xludf.DUMMYFUNCTION("""COMPUTED_VALUE"""),0.8290462777162978)</f>
        <v>0.8290462777</v>
      </c>
      <c r="AQ528" s="30">
        <f>IFERROR(__xludf.DUMMYFUNCTION("""COMPUTED_VALUE"""),1.253672962628344)</f>
        <v>1.253672963</v>
      </c>
      <c r="AR528" s="30">
        <f>IFERROR(__xludf.DUMMYFUNCTION("""COMPUTED_VALUE"""),1.0469000234982735)</f>
        <v>1.046900023</v>
      </c>
      <c r="AS528" s="30">
        <f>IFERROR(__xludf.DUMMYFUNCTION("""COMPUTED_VALUE"""),68.0)</f>
        <v>68</v>
      </c>
      <c r="AT528" s="30">
        <f>IFERROR(__xludf.DUMMYFUNCTION("""COMPUTED_VALUE"""),0.5609287387720799)</f>
        <v>0.5609287388</v>
      </c>
      <c r="AU528" s="30">
        <f>IFERROR(__xludf.DUMMYFUNCTION("""COMPUTED_VALUE"""),2.258138992297437)</f>
        <v>2.258138992</v>
      </c>
      <c r="AV528" s="32">
        <f>IFERROR(__xludf.DUMMYFUNCTION("""COMPUTED_VALUE"""),59.25100902053338)</f>
        <v>59.25100902</v>
      </c>
      <c r="AW528" s="32">
        <f>IFERROR(__xludf.DUMMYFUNCTION("""COMPUTED_VALUE"""),2.8115459365034643)</f>
        <v>2.811545937</v>
      </c>
      <c r="AX528" s="32">
        <f>IFERROR(__xludf.DUMMYFUNCTION("""COMPUTED_VALUE"""),56.084587883827666)</f>
        <v>56.08458788</v>
      </c>
      <c r="AY528" s="32">
        <f>IFERROR(__xludf.DUMMYFUNCTION("""COMPUTED_VALUE"""),2.4761414094050473)</f>
        <v>2.476141409</v>
      </c>
      <c r="AZ528" s="30">
        <f>IFERROR(__xludf.DUMMYFUNCTION("""COMPUTED_VALUE"""),0.33540452709841695)</f>
        <v>0.3354045271</v>
      </c>
      <c r="BA528" s="30">
        <f>IFERROR(__xludf.DUMMYFUNCTION("""COMPUTED_VALUE"""),1700.0)</f>
        <v>1700</v>
      </c>
    </row>
    <row r="529">
      <c r="A529" s="71" t="str">
        <f>IFERROR(__xludf.DUMMYFUNCTION("""COMPUTED_VALUE"""),"Rival")</f>
        <v>Rival</v>
      </c>
      <c r="B529" s="71" t="str">
        <f>IFERROR(__xludf.DUMMYFUNCTION("""COMPUTED_VALUE"""),"RSC006881")</f>
        <v>RSC006881</v>
      </c>
      <c r="C529" s="30" t="str">
        <f>IFERROR(__xludf.DUMMYFUNCTION("""COMPUTED_VALUE"""),"Cyroic")</f>
        <v>Cyroic</v>
      </c>
      <c r="D529" s="30"/>
      <c r="E529" s="30">
        <f>IFERROR(__xludf.DUMMYFUNCTION("""COMPUTED_VALUE"""),20.0)</f>
        <v>20</v>
      </c>
      <c r="F529" s="30">
        <f>IFERROR(__xludf.DUMMYFUNCTION("""COMPUTED_VALUE"""),9.0)</f>
        <v>9</v>
      </c>
      <c r="G529" s="42">
        <f>IFERROR(__xludf.DUMMYFUNCTION("""COMPUTED_VALUE"""),11.0)</f>
        <v>11</v>
      </c>
      <c r="H529" s="42">
        <f>IFERROR(__xludf.DUMMYFUNCTION("""COMPUTED_VALUE"""),0.45)</f>
        <v>0.45</v>
      </c>
      <c r="I529" s="42">
        <f>IFERROR(__xludf.DUMMYFUNCTION("""COMPUTED_VALUE"""),0.19607843137254904)</f>
        <v>0.1960784314</v>
      </c>
      <c r="J529" s="30">
        <f>IFERROR(__xludf.DUMMYFUNCTION("""COMPUTED_VALUE"""),292.9)</f>
        <v>292.9</v>
      </c>
      <c r="K529" s="30">
        <f>IFERROR(__xludf.DUMMYFUNCTION("""COMPUTED_VALUE"""),0.5)</f>
        <v>0.5</v>
      </c>
      <c r="L529" s="30">
        <f>IFERROR(__xludf.DUMMYFUNCTION("""COMPUTED_VALUE"""),0.45)</f>
        <v>0.45</v>
      </c>
      <c r="M529" s="30">
        <f>IFERROR(__xludf.DUMMYFUNCTION("""COMPUTED_VALUE"""),1.5)</f>
        <v>1.5</v>
      </c>
      <c r="N529" s="30">
        <f>IFERROR(__xludf.DUMMYFUNCTION("""COMPUTED_VALUE"""),2.55)</f>
        <v>2.55</v>
      </c>
      <c r="O529" s="30">
        <f>IFERROR(__xludf.DUMMYFUNCTION("""COMPUTED_VALUE"""),368.4)</f>
        <v>368.4</v>
      </c>
      <c r="P529" s="30">
        <f>IFERROR(__xludf.DUMMYFUNCTION("""COMPUTED_VALUE"""),0.8499999999999999)</f>
        <v>0.85</v>
      </c>
      <c r="Q529" s="30">
        <f>IFERROR(__xludf.DUMMYFUNCTION("""COMPUTED_VALUE"""),0.6333333333333333)</f>
        <v>0.6333333333</v>
      </c>
      <c r="R529" s="30">
        <f>IFERROR(__xludf.DUMMYFUNCTION("""COMPUTED_VALUE"""),1.5500000000000003)</f>
        <v>1.55</v>
      </c>
      <c r="S529" s="30">
        <f>IFERROR(__xludf.DUMMYFUNCTION("""COMPUTED_VALUE"""),2.7333333333333334)</f>
        <v>2.733333333</v>
      </c>
      <c r="T529" s="30">
        <f>IFERROR(__xludf.DUMMYFUNCTION("""COMPUTED_VALUE"""),345.80640556157704)</f>
        <v>345.8064056</v>
      </c>
      <c r="U529" s="30">
        <f>IFERROR(__xludf.DUMMYFUNCTION("""COMPUTED_VALUE"""),0.7948771635046145)</f>
        <v>0.7948771635</v>
      </c>
      <c r="V529" s="30">
        <f>IFERROR(__xludf.DUMMYFUNCTION("""COMPUTED_VALUE"""),0.5429670447562607)</f>
        <v>0.5429670448</v>
      </c>
      <c r="W529" s="30">
        <f>IFERROR(__xludf.DUMMYFUNCTION("""COMPUTED_VALUE"""),1.2647565959820863)</f>
        <v>1.264756596</v>
      </c>
      <c r="X529" s="30">
        <f>IFERROR(__xludf.DUMMYFUNCTION("""COMPUTED_VALUE"""),2.5470009638146895)</f>
        <v>2.547000964</v>
      </c>
      <c r="Y529" s="30">
        <f>IFERROR(__xludf.DUMMYFUNCTION("""COMPUTED_VALUE"""),351.5529202914007)</f>
        <v>351.5529203</v>
      </c>
      <c r="Z529" s="30">
        <f>IFERROR(__xludf.DUMMYFUNCTION("""COMPUTED_VALUE"""),0.8042744329018839)</f>
        <v>0.8042744329</v>
      </c>
      <c r="AA529" s="30">
        <f>IFERROR(__xludf.DUMMYFUNCTION("""COMPUTED_VALUE"""),0.5551545141496123)</f>
        <v>0.5551545141</v>
      </c>
      <c r="AB529" s="30">
        <f>IFERROR(__xludf.DUMMYFUNCTION("""COMPUTED_VALUE"""),1.3249694465544137)</f>
        <v>1.324969447</v>
      </c>
      <c r="AC529" s="30">
        <f>IFERROR(__xludf.DUMMYFUNCTION("""COMPUTED_VALUE"""),2.5062623959192587)</f>
        <v>2.506262396</v>
      </c>
      <c r="AD529" s="30">
        <f>IFERROR(__xludf.DUMMYFUNCTION("""COMPUTED_VALUE"""),0.8331604805251409)</f>
        <v>0.8331604805</v>
      </c>
      <c r="AE529" s="30">
        <f>IFERROR(__xludf.DUMMYFUNCTION("""COMPUTED_VALUE"""),0.6216783470238655)</f>
        <v>0.621678347</v>
      </c>
      <c r="AF529" s="30">
        <f>IFERROR(__xludf.DUMMYFUNCTION("""COMPUTED_VALUE"""),0.8105851407680827)</f>
        <v>0.8105851408</v>
      </c>
      <c r="AG529" s="30">
        <f>IFERROR(__xludf.DUMMYFUNCTION("""COMPUTED_VALUE"""),1.132101577059572)</f>
        <v>1.132101577</v>
      </c>
      <c r="AH529" s="30">
        <f>IFERROR(__xludf.DUMMYFUNCTION("""COMPUTED_VALUE"""),1.0174513267852383)</f>
        <v>1.017451327</v>
      </c>
      <c r="AI529" s="30">
        <f>IFERROR(__xludf.DUMMYFUNCTION("""COMPUTED_VALUE"""),1.0653359627671783)</f>
        <v>1.065335963</v>
      </c>
      <c r="AJ529" s="30">
        <f>IFERROR(__xludf.DUMMYFUNCTION("""COMPUTED_VALUE"""),1.0693476162434317)</f>
        <v>1.069347616</v>
      </c>
      <c r="AK529" s="30">
        <f>IFERROR(__xludf.DUMMYFUNCTION("""COMPUTED_VALUE"""),1.1664305217964717)</f>
        <v>1.166430522</v>
      </c>
      <c r="AL529" s="30">
        <f>IFERROR(__xludf.DUMMYFUNCTION("""COMPUTED_VALUE"""),1.225532252548896)</f>
        <v>1.225532253</v>
      </c>
      <c r="AM529" s="30">
        <f>IFERROR(__xludf.DUMMYFUNCTION("""COMPUTED_VALUE"""),1.073157557521914)</f>
        <v>1.073157558</v>
      </c>
      <c r="AN529" s="30">
        <f>IFERROR(__xludf.DUMMYFUNCTION("""COMPUTED_VALUE"""),0.8641624171316518)</f>
        <v>0.8641624171</v>
      </c>
      <c r="AO529" s="30">
        <f>IFERROR(__xludf.DUMMYFUNCTION("""COMPUTED_VALUE"""),0.6805867306882522)</f>
        <v>0.6805867307</v>
      </c>
      <c r="AP529" s="30">
        <f>IFERROR(__xludf.DUMMYFUNCTION("""COMPUTED_VALUE"""),0.8035371614788732)</f>
        <v>0.8035371615</v>
      </c>
      <c r="AQ529" s="30">
        <f>IFERROR(__xludf.DUMMYFUNCTION("""COMPUTED_VALUE"""),1.1446579223997926)</f>
        <v>1.144657922</v>
      </c>
      <c r="AR529" s="30">
        <f>IFERROR(__xludf.DUMMYFUNCTION("""COMPUTED_VALUE"""),1.0239542695585853)</f>
        <v>1.02395427</v>
      </c>
      <c r="AS529" s="30">
        <f>IFERROR(__xludf.DUMMYFUNCTION("""COMPUTED_VALUE"""),43.0)</f>
        <v>43</v>
      </c>
      <c r="AT529" s="30">
        <f>IFERROR(__xludf.DUMMYFUNCTION("""COMPUTED_VALUE"""),0.4338811624413912)</f>
        <v>0.4338811624</v>
      </c>
      <c r="AU529" s="30">
        <f>IFERROR(__xludf.DUMMYFUNCTION("""COMPUTED_VALUE"""),1.3992776595126137)</f>
        <v>1.39927766</v>
      </c>
      <c r="AV529" s="32">
        <f>IFERROR(__xludf.DUMMYFUNCTION("""COMPUTED_VALUE"""),28.91253172795406)</f>
        <v>28.91253173</v>
      </c>
      <c r="AW529" s="32">
        <f>IFERROR(__xludf.DUMMYFUNCTION("""COMPUTED_VALUE"""),-5.013164881273996)</f>
        <v>-5.013164881</v>
      </c>
      <c r="AX529" s="32">
        <f>IFERROR(__xludf.DUMMYFUNCTION("""COMPUTED_VALUE"""),27.83781473783537)</f>
        <v>27.83781474</v>
      </c>
      <c r="AY529" s="32">
        <f>IFERROR(__xludf.DUMMYFUNCTION("""COMPUTED_VALUE"""),-5.328290138775861)</f>
        <v>-5.328290139</v>
      </c>
      <c r="AZ529" s="30">
        <f>IFERROR(__xludf.DUMMYFUNCTION("""COMPUTED_VALUE"""),0.31512525750186526)</f>
        <v>0.3151252575</v>
      </c>
      <c r="BA529" s="30">
        <f>IFERROR(__xludf.DUMMYFUNCTION("""COMPUTED_VALUE"""),1700.0)</f>
        <v>1700</v>
      </c>
    </row>
    <row r="530">
      <c r="A530" s="71" t="str">
        <f>IFERROR(__xludf.DUMMYFUNCTION("""COMPUTED_VALUE"""),"Rival")</f>
        <v>Rival</v>
      </c>
      <c r="B530" s="71" t="str">
        <f>IFERROR(__xludf.DUMMYFUNCTION("""COMPUTED_VALUE"""),"RSC004586")</f>
        <v>RSC004586</v>
      </c>
      <c r="C530" s="30" t="str">
        <f>IFERROR(__xludf.DUMMYFUNCTION("""COMPUTED_VALUE"""),"Jaybeauh")</f>
        <v>Jaybeauh</v>
      </c>
      <c r="D530" s="30" t="str">
        <f>IFERROR(__xludf.DUMMYFUNCTION("""COMPUTED_VALUE"""),"Ion Imperial")</f>
        <v>Ion Imperial</v>
      </c>
      <c r="E530" s="30">
        <f>IFERROR(__xludf.DUMMYFUNCTION("""COMPUTED_VALUE"""),22.0)</f>
        <v>22</v>
      </c>
      <c r="F530" s="30">
        <f>IFERROR(__xludf.DUMMYFUNCTION("""COMPUTED_VALUE"""),13.0)</f>
        <v>13</v>
      </c>
      <c r="G530" s="42">
        <f>IFERROR(__xludf.DUMMYFUNCTION("""COMPUTED_VALUE"""),9.0)</f>
        <v>9</v>
      </c>
      <c r="H530" s="42">
        <f>IFERROR(__xludf.DUMMYFUNCTION("""COMPUTED_VALUE"""),0.5909090909090909)</f>
        <v>0.5909090909</v>
      </c>
      <c r="I530" s="42">
        <f>IFERROR(__xludf.DUMMYFUNCTION("""COMPUTED_VALUE"""),0.27692307692307694)</f>
        <v>0.2769230769</v>
      </c>
      <c r="J530" s="30">
        <f>IFERROR(__xludf.DUMMYFUNCTION("""COMPUTED_VALUE"""),386.3181818181818)</f>
        <v>386.3181818</v>
      </c>
      <c r="K530" s="30">
        <f>IFERROR(__xludf.DUMMYFUNCTION("""COMPUTED_VALUE"""),0.8181818181818182)</f>
        <v>0.8181818182</v>
      </c>
      <c r="L530" s="30">
        <f>IFERROR(__xludf.DUMMYFUNCTION("""COMPUTED_VALUE"""),0.5909090909090909)</f>
        <v>0.5909090909</v>
      </c>
      <c r="M530" s="30">
        <f>IFERROR(__xludf.DUMMYFUNCTION("""COMPUTED_VALUE"""),1.3636363636363635)</f>
        <v>1.363636364</v>
      </c>
      <c r="N530" s="30">
        <f>IFERROR(__xludf.DUMMYFUNCTION("""COMPUTED_VALUE"""),2.9545454545454546)</f>
        <v>2.954545455</v>
      </c>
      <c r="O530" s="30">
        <f>IFERROR(__xludf.DUMMYFUNCTION("""COMPUTED_VALUE"""),342.7272727272727)</f>
        <v>342.7272727</v>
      </c>
      <c r="P530" s="30">
        <f>IFERROR(__xludf.DUMMYFUNCTION("""COMPUTED_VALUE"""),0.7121212121212122)</f>
        <v>0.7121212121</v>
      </c>
      <c r="Q530" s="30">
        <f>IFERROR(__xludf.DUMMYFUNCTION("""COMPUTED_VALUE"""),0.4696969696969697)</f>
        <v>0.4696969697</v>
      </c>
      <c r="R530" s="30">
        <f>IFERROR(__xludf.DUMMYFUNCTION("""COMPUTED_VALUE"""),1.4545454545454546)</f>
        <v>1.454545455</v>
      </c>
      <c r="S530" s="30">
        <f>IFERROR(__xludf.DUMMYFUNCTION("""COMPUTED_VALUE"""),2.4242424242424243)</f>
        <v>2.424242424</v>
      </c>
      <c r="T530" s="30">
        <f>IFERROR(__xludf.DUMMYFUNCTION("""COMPUTED_VALUE"""),341.53259893655735)</f>
        <v>341.5325989</v>
      </c>
      <c r="U530" s="30">
        <f>IFERROR(__xludf.DUMMYFUNCTION("""COMPUTED_VALUE"""),0.7751738069730496)</f>
        <v>0.775173807</v>
      </c>
      <c r="V530" s="30">
        <f>IFERROR(__xludf.DUMMYFUNCTION("""COMPUTED_VALUE"""),0.4910143090635514)</f>
        <v>0.4910143091</v>
      </c>
      <c r="W530" s="30">
        <f>IFERROR(__xludf.DUMMYFUNCTION("""COMPUTED_VALUE"""),1.2913127213695395)</f>
        <v>1.291312721</v>
      </c>
      <c r="X530" s="30">
        <f>IFERROR(__xludf.DUMMYFUNCTION("""COMPUTED_VALUE"""),2.612873983480045)</f>
        <v>2.612873983</v>
      </c>
      <c r="Y530" s="30">
        <f>IFERROR(__xludf.DUMMYFUNCTION("""COMPUTED_VALUE"""),344.0921432792329)</f>
        <v>344.0921433</v>
      </c>
      <c r="Z530" s="30">
        <f>IFERROR(__xludf.DUMMYFUNCTION("""COMPUTED_VALUE"""),0.7439430542334584)</f>
        <v>0.7439430542</v>
      </c>
      <c r="AA530" s="30">
        <f>IFERROR(__xludf.DUMMYFUNCTION("""COMPUTED_VALUE"""),0.5185885441251604)</f>
        <v>0.5185885441</v>
      </c>
      <c r="AB530" s="30">
        <f>IFERROR(__xludf.DUMMYFUNCTION("""COMPUTED_VALUE"""),1.3317486771085258)</f>
        <v>1.331748677</v>
      </c>
      <c r="AC530" s="30">
        <f>IFERROR(__xludf.DUMMYFUNCTION("""COMPUTED_VALUE"""),2.4421622324084455)</f>
        <v>2.442162232</v>
      </c>
      <c r="AD530" s="30">
        <f>IFERROR(__xludf.DUMMYFUNCTION("""COMPUTED_VALUE"""),1.1227172411916484)</f>
        <v>1.122717241</v>
      </c>
      <c r="AE530" s="30">
        <f>IFERROR(__xludf.DUMMYFUNCTION("""COMPUTED_VALUE"""),1.099790922874942)</f>
        <v>1.099790923</v>
      </c>
      <c r="AF530" s="30">
        <f>IFERROR(__xludf.DUMMYFUNCTION("""COMPUTED_VALUE"""),1.1394565067107925)</f>
        <v>1.139456507</v>
      </c>
      <c r="AG530" s="30">
        <f>IFERROR(__xludf.DUMMYFUNCTION("""COMPUTED_VALUE"""),1.023944222416704)</f>
        <v>1.023944222</v>
      </c>
      <c r="AH530" s="30">
        <f>IFERROR(__xludf.DUMMYFUNCTION("""COMPUTED_VALUE"""),1.20980720090479)</f>
        <v>1.209807201</v>
      </c>
      <c r="AI530" s="30">
        <f>IFERROR(__xludf.DUMMYFUNCTION("""COMPUTED_VALUE"""),1.00349797880037)</f>
        <v>1.003497979</v>
      </c>
      <c r="AJ530" s="30">
        <f>IFERROR(__xludf.DUMMYFUNCTION("""COMPUTED_VALUE"""),0.9186600549648996)</f>
        <v>0.918660055</v>
      </c>
      <c r="AK530" s="30">
        <f>IFERROR(__xludf.DUMMYFUNCTION("""COMPUTED_VALUE"""),0.9565850954379771)</f>
        <v>0.9565850954</v>
      </c>
      <c r="AL530" s="30">
        <f>IFERROR(__xludf.DUMMYFUNCTION("""COMPUTED_VALUE"""),1.1264083676050165)</f>
        <v>1.126408368</v>
      </c>
      <c r="AM530" s="30">
        <f>IFERROR(__xludf.DUMMYFUNCTION("""COMPUTED_VALUE"""),0.9278068669096757)</f>
        <v>0.9278068669</v>
      </c>
      <c r="AN530" s="30">
        <f>IFERROR(__xludf.DUMMYFUNCTION("""COMPUTED_VALUE"""),1.1397803133557698)</f>
        <v>1.139780313</v>
      </c>
      <c r="AO530" s="30">
        <f>IFERROR(__xludf.DUMMYFUNCTION("""COMPUTED_VALUE"""),1.1136873774898672)</f>
        <v>1.113687377</v>
      </c>
      <c r="AP530" s="30">
        <f>IFERROR(__xludf.DUMMYFUNCTION("""COMPUTED_VALUE"""),1.0551498080025608)</f>
        <v>1.055149808</v>
      </c>
      <c r="AQ530" s="30">
        <f>IFERROR(__xludf.DUMMYFUNCTION("""COMPUTED_VALUE"""),1.0405981112725387)</f>
        <v>1.040598111</v>
      </c>
      <c r="AR530" s="30">
        <f>IFERROR(__xludf.DUMMYFUNCTION("""COMPUTED_VALUE"""),1.1863997775634232)</f>
        <v>1.186399778</v>
      </c>
      <c r="AS530" s="30">
        <f>IFERROR(__xludf.DUMMYFUNCTION("""COMPUTED_VALUE"""),49.0)</f>
        <v>49</v>
      </c>
      <c r="AT530" s="30">
        <f>IFERROR(__xludf.DUMMYFUNCTION("""COMPUTED_VALUE"""),0.5158957771972561)</f>
        <v>0.5158957772</v>
      </c>
      <c r="AU530" s="30">
        <f>IFERROR(__xludf.DUMMYFUNCTION("""COMPUTED_VALUE"""),2.5450451346687277)</f>
        <v>2.545045135</v>
      </c>
      <c r="AV530" s="32">
        <f>IFERROR(__xludf.DUMMYFUNCTION("""COMPUTED_VALUE"""),69.38570149435755)</f>
        <v>69.38570149</v>
      </c>
      <c r="AW530" s="32">
        <f>IFERROR(__xludf.DUMMYFUNCTION("""COMPUTED_VALUE"""),4.565305741407773)</f>
        <v>4.565305741</v>
      </c>
      <c r="AX530" s="32">
        <f>IFERROR(__xludf.DUMMYFUNCTION("""COMPUTED_VALUE"""),68.0529270475817)</f>
        <v>68.05292705</v>
      </c>
      <c r="AY530" s="32">
        <f>IFERROR(__xludf.DUMMYFUNCTION("""COMPUTED_VALUE"""),4.253305644741386)</f>
        <v>4.253305645</v>
      </c>
      <c r="AZ530" s="30">
        <f>IFERROR(__xludf.DUMMYFUNCTION("""COMPUTED_VALUE"""),0.31200009666638717)</f>
        <v>0.3120000967</v>
      </c>
      <c r="BA530" s="30">
        <f>IFERROR(__xludf.DUMMYFUNCTION("""COMPUTED_VALUE"""),1700.0)</f>
        <v>1700</v>
      </c>
    </row>
    <row r="531">
      <c r="A531" s="71" t="str">
        <f>IFERROR(__xludf.DUMMYFUNCTION("""COMPUTED_VALUE"""),"Rival")</f>
        <v>Rival</v>
      </c>
      <c r="B531" s="71" t="str">
        <f>IFERROR(__xludf.DUMMYFUNCTION("""COMPUTED_VALUE"""),"RSC006069")</f>
        <v>RSC006069</v>
      </c>
      <c r="C531" s="30" t="str">
        <f>IFERROR(__xludf.DUMMYFUNCTION("""COMPUTED_VALUE"""),"PoupSoup")</f>
        <v>PoupSoup</v>
      </c>
      <c r="D531" s="30" t="str">
        <f>IFERROR(__xludf.DUMMYFUNCTION("""COMPUTED_VALUE"""),"Blizzards")</f>
        <v>Blizzards</v>
      </c>
      <c r="E531" s="30">
        <f>IFERROR(__xludf.DUMMYFUNCTION("""COMPUTED_VALUE"""),30.0)</f>
        <v>30</v>
      </c>
      <c r="F531" s="30">
        <f>IFERROR(__xludf.DUMMYFUNCTION("""COMPUTED_VALUE"""),15.0)</f>
        <v>15</v>
      </c>
      <c r="G531" s="42">
        <f>IFERROR(__xludf.DUMMYFUNCTION("""COMPUTED_VALUE"""),15.0)</f>
        <v>15</v>
      </c>
      <c r="H531" s="42">
        <f>IFERROR(__xludf.DUMMYFUNCTION("""COMPUTED_VALUE"""),0.5)</f>
        <v>0.5</v>
      </c>
      <c r="I531" s="42">
        <f>IFERROR(__xludf.DUMMYFUNCTION("""COMPUTED_VALUE"""),0.2816901408450704)</f>
        <v>0.2816901408</v>
      </c>
      <c r="J531" s="30">
        <f>IFERROR(__xludf.DUMMYFUNCTION("""COMPUTED_VALUE"""),319.7)</f>
        <v>319.7</v>
      </c>
      <c r="K531" s="30">
        <f>IFERROR(__xludf.DUMMYFUNCTION("""COMPUTED_VALUE"""),0.6666666666666666)</f>
        <v>0.6666666667</v>
      </c>
      <c r="L531" s="30">
        <f>IFERROR(__xludf.DUMMYFUNCTION("""COMPUTED_VALUE"""),0.43333333333333335)</f>
        <v>0.4333333333</v>
      </c>
      <c r="M531" s="30">
        <f>IFERROR(__xludf.DUMMYFUNCTION("""COMPUTED_VALUE"""),1.1333333333333333)</f>
        <v>1.133333333</v>
      </c>
      <c r="N531" s="30">
        <f>IFERROR(__xludf.DUMMYFUNCTION("""COMPUTED_VALUE"""),2.3666666666666667)</f>
        <v>2.366666667</v>
      </c>
      <c r="O531" s="30">
        <f>IFERROR(__xludf.DUMMYFUNCTION("""COMPUTED_VALUE"""),344.3333333333333)</f>
        <v>344.3333333</v>
      </c>
      <c r="P531" s="30">
        <f>IFERROR(__xludf.DUMMYFUNCTION("""COMPUTED_VALUE"""),0.7666666666666667)</f>
        <v>0.7666666667</v>
      </c>
      <c r="Q531" s="30">
        <f>IFERROR(__xludf.DUMMYFUNCTION("""COMPUTED_VALUE"""),0.5111111111111112)</f>
        <v>0.5111111111</v>
      </c>
      <c r="R531" s="30">
        <f>IFERROR(__xludf.DUMMYFUNCTION("""COMPUTED_VALUE"""),1.3555555555555556)</f>
        <v>1.355555556</v>
      </c>
      <c r="S531" s="30">
        <f>IFERROR(__xludf.DUMMYFUNCTION("""COMPUTED_VALUE"""),2.433333333333333)</f>
        <v>2.433333333</v>
      </c>
      <c r="T531" s="30">
        <f>IFERROR(__xludf.DUMMYFUNCTION("""COMPUTED_VALUE"""),351.87003507015305)</f>
        <v>351.8700351</v>
      </c>
      <c r="U531" s="30">
        <f>IFERROR(__xludf.DUMMYFUNCTION("""COMPUTED_VALUE"""),0.8018614497058548)</f>
        <v>0.8018614497</v>
      </c>
      <c r="V531" s="30">
        <f>IFERROR(__xludf.DUMMYFUNCTION("""COMPUTED_VALUE"""),0.5974489952988938)</f>
        <v>0.5974489953</v>
      </c>
      <c r="W531" s="30">
        <f>IFERROR(__xludf.DUMMYFUNCTION("""COMPUTED_VALUE"""),1.3699650993679897)</f>
        <v>1.369965099</v>
      </c>
      <c r="X531" s="30">
        <f>IFERROR(__xludf.DUMMYFUNCTION("""COMPUTED_VALUE"""),2.598458724463626)</f>
        <v>2.598458724</v>
      </c>
      <c r="Y531" s="30">
        <f>IFERROR(__xludf.DUMMYFUNCTION("""COMPUTED_VALUE"""),339.7102336875993)</f>
        <v>339.7102337</v>
      </c>
      <c r="Z531" s="30">
        <f>IFERROR(__xludf.DUMMYFUNCTION("""COMPUTED_VALUE"""),0.7439614226269058)</f>
        <v>0.7439614226</v>
      </c>
      <c r="AA531" s="30">
        <f>IFERROR(__xludf.DUMMYFUNCTION("""COMPUTED_VALUE"""),0.557378424357802)</f>
        <v>0.5573784244</v>
      </c>
      <c r="AB531" s="30">
        <f>IFERROR(__xludf.DUMMYFUNCTION("""COMPUTED_VALUE"""),1.2987194029102969)</f>
        <v>1.298719403</v>
      </c>
      <c r="AC531" s="30">
        <f>IFERROR(__xludf.DUMMYFUNCTION("""COMPUTED_VALUE"""),2.6001749269520285)</f>
        <v>2.600174927</v>
      </c>
      <c r="AD531" s="30">
        <f>IFERROR(__xludf.DUMMYFUNCTION("""COMPUTED_VALUE"""),0.9410961704909928)</f>
        <v>0.9410961705</v>
      </c>
      <c r="AE531" s="30">
        <f>IFERROR(__xludf.DUMMYFUNCTION("""COMPUTED_VALUE"""),0.8961038118249282)</f>
        <v>0.8961038118</v>
      </c>
      <c r="AF531" s="30">
        <f>IFERROR(__xludf.DUMMYFUNCTION("""COMPUTED_VALUE"""),0.7774490622463716)</f>
        <v>0.7774490622</v>
      </c>
      <c r="AG531" s="30">
        <f>IFERROR(__xludf.DUMMYFUNCTION("""COMPUTED_VALUE"""),0.8726545016526662)</f>
        <v>0.8726545017</v>
      </c>
      <c r="AH531" s="30">
        <f>IFERROR(__xludf.DUMMYFUNCTION("""COMPUTED_VALUE"""),0.9101951726920603)</f>
        <v>0.9101951727</v>
      </c>
      <c r="AI531" s="30">
        <f>IFERROR(__xludf.DUMMYFUNCTION("""COMPUTED_VALUE"""),0.9785810072309308)</f>
        <v>0.9785810072</v>
      </c>
      <c r="AJ531" s="30">
        <f>IFERROR(__xludf.DUMMYFUNCTION("""COMPUTED_VALUE"""),0.9561086481310475)</f>
        <v>0.9561086481</v>
      </c>
      <c r="AK531" s="30">
        <f>IFERROR(__xludf.DUMMYFUNCTION("""COMPUTED_VALUE"""),0.8554891131006267)</f>
        <v>0.8554891131</v>
      </c>
      <c r="AL531" s="30">
        <f>IFERROR(__xludf.DUMMYFUNCTION("""COMPUTED_VALUE"""),0.9894818168586326)</f>
        <v>0.9894818169</v>
      </c>
      <c r="AM531" s="30">
        <f>IFERROR(__xludf.DUMMYFUNCTION("""COMPUTED_VALUE"""),0.9364525633693189)</f>
        <v>0.9364525634</v>
      </c>
      <c r="AN531" s="30">
        <f>IFERROR(__xludf.DUMMYFUNCTION("""COMPUTED_VALUE"""),0.9432322456708402)</f>
        <v>0.9432322457</v>
      </c>
      <c r="AO531" s="30">
        <f>IFERROR(__xludf.DUMMYFUNCTION("""COMPUTED_VALUE"""),0.9074489742510028)</f>
        <v>0.9074489743</v>
      </c>
      <c r="AP531" s="30">
        <f>IFERROR(__xludf.DUMMYFUNCTION("""COMPUTED_VALUE"""),0.7737765258685446)</f>
        <v>0.7737765259</v>
      </c>
      <c r="AQ531" s="30">
        <f>IFERROR(__xludf.DUMMYFUNCTION("""COMPUTED_VALUE"""),0.8648526524798432)</f>
        <v>0.8648526525</v>
      </c>
      <c r="AR531" s="30">
        <f>IFERROR(__xludf.DUMMYFUNCTION("""COMPUTED_VALUE"""),0.950336642335419)</f>
        <v>0.9503366423</v>
      </c>
      <c r="AS531" s="30">
        <f>IFERROR(__xludf.DUMMYFUNCTION("""COMPUTED_VALUE"""),60.0)</f>
        <v>60</v>
      </c>
      <c r="AT531" s="30">
        <f>IFERROR(__xludf.DUMMYFUNCTION("""COMPUTED_VALUE"""),0.44709391239766827)</f>
        <v>0.4470939124</v>
      </c>
      <c r="AU531" s="30">
        <f>IFERROR(__xludf.DUMMYFUNCTION("""COMPUTED_VALUE"""),1.80729027237152)</f>
        <v>1.807290272</v>
      </c>
      <c r="AV531" s="32">
        <f>IFERROR(__xludf.DUMMYFUNCTION("""COMPUTED_VALUE"""),43.3251975656035)</f>
        <v>43.32519757</v>
      </c>
      <c r="AW531" s="32">
        <f>IFERROR(__xludf.DUMMYFUNCTION("""COMPUTED_VALUE"""),-2.5333283227458194)</f>
        <v>-2.533328323</v>
      </c>
      <c r="AX531" s="32">
        <f>IFERROR(__xludf.DUMMYFUNCTION("""COMPUTED_VALUE"""),40.53800834278174)</f>
        <v>40.53800834</v>
      </c>
      <c r="AY531" s="32">
        <f>IFERROR(__xludf.DUMMYFUNCTION("""COMPUTED_VALUE"""),-2.83658050014086)</f>
        <v>-2.8365805</v>
      </c>
      <c r="AZ531" s="30">
        <f>IFERROR(__xludf.DUMMYFUNCTION("""COMPUTED_VALUE"""),0.3032521773950405)</f>
        <v>0.3032521774</v>
      </c>
      <c r="BA531" s="30">
        <f>IFERROR(__xludf.DUMMYFUNCTION("""COMPUTED_VALUE"""),1700.0)</f>
        <v>1700</v>
      </c>
    </row>
    <row r="532">
      <c r="A532" s="71" t="str">
        <f>IFERROR(__xludf.DUMMYFUNCTION("""COMPUTED_VALUE"""),"Rival")</f>
        <v>Rival</v>
      </c>
      <c r="B532" s="71" t="str">
        <f>IFERROR(__xludf.DUMMYFUNCTION("""COMPUTED_VALUE"""),"RSC000136")</f>
        <v>RSC000136</v>
      </c>
      <c r="C532" s="30" t="str">
        <f>IFERROR(__xludf.DUMMYFUNCTION("""COMPUTED_VALUE"""),"Blun")</f>
        <v>Blun</v>
      </c>
      <c r="D532" s="30" t="str">
        <f>IFERROR(__xludf.DUMMYFUNCTION("""COMPUTED_VALUE"""),"Tyrants")</f>
        <v>Tyrants</v>
      </c>
      <c r="E532" s="30">
        <f>IFERROR(__xludf.DUMMYFUNCTION("""COMPUTED_VALUE"""),30.0)</f>
        <v>30</v>
      </c>
      <c r="F532" s="30">
        <f>IFERROR(__xludf.DUMMYFUNCTION("""COMPUTED_VALUE"""),15.0)</f>
        <v>15</v>
      </c>
      <c r="G532" s="42">
        <f>IFERROR(__xludf.DUMMYFUNCTION("""COMPUTED_VALUE"""),15.0)</f>
        <v>15</v>
      </c>
      <c r="H532" s="42">
        <f>IFERROR(__xludf.DUMMYFUNCTION("""COMPUTED_VALUE"""),0.5)</f>
        <v>0.5</v>
      </c>
      <c r="I532" s="42">
        <f>IFERROR(__xludf.DUMMYFUNCTION("""COMPUTED_VALUE"""),0.3037974683544304)</f>
        <v>0.3037974684</v>
      </c>
      <c r="J532" s="30">
        <f>IFERROR(__xludf.DUMMYFUNCTION("""COMPUTED_VALUE"""),315.93333333333334)</f>
        <v>315.9333333</v>
      </c>
      <c r="K532" s="30">
        <f>IFERROR(__xludf.DUMMYFUNCTION("""COMPUTED_VALUE"""),0.8)</f>
        <v>0.8</v>
      </c>
      <c r="L532" s="30">
        <f>IFERROR(__xludf.DUMMYFUNCTION("""COMPUTED_VALUE"""),0.4)</f>
        <v>0.4</v>
      </c>
      <c r="M532" s="30">
        <f>IFERROR(__xludf.DUMMYFUNCTION("""COMPUTED_VALUE"""),0.9)</f>
        <v>0.9</v>
      </c>
      <c r="N532" s="30">
        <f>IFERROR(__xludf.DUMMYFUNCTION("""COMPUTED_VALUE"""),2.6333333333333333)</f>
        <v>2.633333333</v>
      </c>
      <c r="O532" s="30">
        <f>IFERROR(__xludf.DUMMYFUNCTION("""COMPUTED_VALUE"""),330.64444444444445)</f>
        <v>330.6444444</v>
      </c>
      <c r="P532" s="30">
        <f>IFERROR(__xludf.DUMMYFUNCTION("""COMPUTED_VALUE"""),0.7555555555555556)</f>
        <v>0.7555555556</v>
      </c>
      <c r="Q532" s="30">
        <f>IFERROR(__xludf.DUMMYFUNCTION("""COMPUTED_VALUE"""),0.5666666666666667)</f>
        <v>0.5666666667</v>
      </c>
      <c r="R532" s="30">
        <f>IFERROR(__xludf.DUMMYFUNCTION("""COMPUTED_VALUE"""),1.0666666666666664)</f>
        <v>1.066666667</v>
      </c>
      <c r="S532" s="30">
        <f>IFERROR(__xludf.DUMMYFUNCTION("""COMPUTED_VALUE"""),2.4999999999999996)</f>
        <v>2.5</v>
      </c>
      <c r="T532" s="30">
        <f>IFERROR(__xludf.DUMMYFUNCTION("""COMPUTED_VALUE"""),350.0359874082904)</f>
        <v>350.0359874</v>
      </c>
      <c r="U532" s="30">
        <f>IFERROR(__xludf.DUMMYFUNCTION("""COMPUTED_VALUE"""),0.7707279934728464)</f>
        <v>0.7707279935</v>
      </c>
      <c r="V532" s="30">
        <f>IFERROR(__xludf.DUMMYFUNCTION("""COMPUTED_VALUE"""),0.6000199546957875)</f>
        <v>0.6000199547</v>
      </c>
      <c r="W532" s="30">
        <f>IFERROR(__xludf.DUMMYFUNCTION("""COMPUTED_VALUE"""),1.3024838176196465)</f>
        <v>1.302483818</v>
      </c>
      <c r="X532" s="30">
        <f>IFERROR(__xludf.DUMMYFUNCTION("""COMPUTED_VALUE"""),2.6035049795775196)</f>
        <v>2.60350498</v>
      </c>
      <c r="Y532" s="30">
        <f>IFERROR(__xludf.DUMMYFUNCTION("""COMPUTED_VALUE"""),344.4974429744618)</f>
        <v>344.497443</v>
      </c>
      <c r="Z532" s="30">
        <f>IFERROR(__xludf.DUMMYFUNCTION("""COMPUTED_VALUE"""),0.7508916443629251)</f>
        <v>0.7508916444</v>
      </c>
      <c r="AA532" s="30">
        <f>IFERROR(__xludf.DUMMYFUNCTION("""COMPUTED_VALUE"""),0.5574942035245113)</f>
        <v>0.5574942035</v>
      </c>
      <c r="AB532" s="30">
        <f>IFERROR(__xludf.DUMMYFUNCTION("""COMPUTED_VALUE"""),1.3125887275374548)</f>
        <v>1.312588728</v>
      </c>
      <c r="AC532" s="30">
        <f>IFERROR(__xludf.DUMMYFUNCTION("""COMPUTED_VALUE"""),2.4791456621715953)</f>
        <v>2.479145662</v>
      </c>
      <c r="AD532" s="30">
        <f>IFERROR(__xludf.DUMMYFUNCTION("""COMPUTED_VALUE"""),0.9170846976555179)</f>
        <v>0.9170846977</v>
      </c>
      <c r="AE532" s="30">
        <f>IFERROR(__xludf.DUMMYFUNCTION("""COMPUTED_VALUE"""),1.0654000560610042)</f>
        <v>1.065400056</v>
      </c>
      <c r="AF532" s="30">
        <f>IFERROR(__xludf.DUMMYFUNCTION("""COMPUTED_VALUE"""),0.7174962492366314)</f>
        <v>0.7174962492</v>
      </c>
      <c r="AG532" s="30">
        <f>IFERROR(__xludf.DUMMYFUNCTION("""COMPUTED_VALUE"""),0.6856679332363979)</f>
        <v>0.6856679332</v>
      </c>
      <c r="AH532" s="30">
        <f>IFERROR(__xludf.DUMMYFUNCTION("""COMPUTED_VALUE"""),1.0621938732824106)</f>
        <v>1.062193873</v>
      </c>
      <c r="AI532" s="30">
        <f>IFERROR(__xludf.DUMMYFUNCTION("""COMPUTED_VALUE"""),0.9446012876920933)</f>
        <v>0.9446012877</v>
      </c>
      <c r="AJ532" s="30">
        <f>IFERROR(__xludf.DUMMYFUNCTION("""COMPUTED_VALUE"""),0.9803141470845962)</f>
        <v>0.9803141471</v>
      </c>
      <c r="AK532" s="30">
        <f>IFERROR(__xludf.DUMMYFUNCTION("""COMPUTED_VALUE"""),0.9444130353197485)</f>
        <v>0.9444130353</v>
      </c>
      <c r="AL532" s="30">
        <f>IFERROR(__xludf.DUMMYFUNCTION("""COMPUTED_VALUE"""),0.8189481145462923)</f>
        <v>0.8189481145</v>
      </c>
      <c r="AM532" s="30">
        <f>IFERROR(__xludf.DUMMYFUNCTION("""COMPUTED_VALUE"""),0.9602439863225012)</f>
        <v>0.9602439863</v>
      </c>
      <c r="AN532" s="30">
        <f>IFERROR(__xludf.DUMMYFUNCTION("""COMPUTED_VALUE"""),0.9321191976298846)</f>
        <v>0.9321191976</v>
      </c>
      <c r="AO532" s="30">
        <f>IFERROR(__xludf.DUMMYFUNCTION("""COMPUTED_VALUE"""),1.0889387691012034)</f>
        <v>1.088938769</v>
      </c>
      <c r="AP532" s="30">
        <f>IFERROR(__xludf.DUMMYFUNCTION("""COMPUTED_VALUE"""),0.7142552546478873)</f>
        <v>0.7142552546</v>
      </c>
      <c r="AQ532" s="30">
        <f>IFERROR(__xludf.DUMMYFUNCTION("""COMPUTED_VALUE"""),0.6867947534398755)</f>
        <v>0.6867947534</v>
      </c>
      <c r="AR532" s="30">
        <f>IFERROR(__xludf.DUMMYFUNCTION("""COMPUTED_VALUE"""),1.0574168273872973)</f>
        <v>1.057416827</v>
      </c>
      <c r="AS532" s="30">
        <f>IFERROR(__xludf.DUMMYFUNCTION("""COMPUTED_VALUE"""),55.0)</f>
        <v>55</v>
      </c>
      <c r="AT532" s="30">
        <f>IFERROR(__xludf.DUMMYFUNCTION("""COMPUTED_VALUE"""),0.4211391252632487)</f>
        <v>0.4211391253</v>
      </c>
      <c r="AU532" s="30">
        <f>IFERROR(__xludf.DUMMYFUNCTION("""COMPUTED_VALUE"""),1.9970830077531967)</f>
        <v>1.997083008</v>
      </c>
      <c r="AV532" s="32">
        <f>IFERROR(__xludf.DUMMYFUNCTION("""COMPUTED_VALUE"""),50.02944931483915)</f>
        <v>50.02944931</v>
      </c>
      <c r="AW532" s="32">
        <f>IFERROR(__xludf.DUMMYFUNCTION("""COMPUTED_VALUE"""),2.001881540289417)</f>
        <v>2.00188154</v>
      </c>
      <c r="AX532" s="32">
        <f>IFERROR(__xludf.DUMMYFUNCTION("""COMPUTED_VALUE"""),54.16188464231385)</f>
        <v>54.16188464</v>
      </c>
      <c r="AY532" s="32">
        <f>IFERROR(__xludf.DUMMYFUNCTION("""COMPUTED_VALUE"""),2.3047240387794243)</f>
        <v>2.304724039</v>
      </c>
      <c r="AZ532" s="30">
        <f>IFERROR(__xludf.DUMMYFUNCTION("""COMPUTED_VALUE"""),0.30284249849000755)</f>
        <v>0.3028424985</v>
      </c>
      <c r="BA532" s="30">
        <f>IFERROR(__xludf.DUMMYFUNCTION("""COMPUTED_VALUE"""),1700.0)</f>
        <v>1700</v>
      </c>
    </row>
    <row r="533">
      <c r="A533" s="71" t="str">
        <f>IFERROR(__xludf.DUMMYFUNCTION("""COMPUTED_VALUE"""),"Rival")</f>
        <v>Rival</v>
      </c>
      <c r="B533" s="71" t="str">
        <f>IFERROR(__xludf.DUMMYFUNCTION("""COMPUTED_VALUE"""),"RSC001358")</f>
        <v>RSC001358</v>
      </c>
      <c r="C533" s="30" t="str">
        <f>IFERROR(__xludf.DUMMYFUNCTION("""COMPUTED_VALUE"""),"Cob")</f>
        <v>Cob</v>
      </c>
      <c r="D533" s="30" t="str">
        <f>IFERROR(__xludf.DUMMYFUNCTION("""COMPUTED_VALUE"""),"Heavy Metal")</f>
        <v>Heavy Metal</v>
      </c>
      <c r="E533" s="30">
        <f>IFERROR(__xludf.DUMMYFUNCTION("""COMPUTED_VALUE"""),34.0)</f>
        <v>34</v>
      </c>
      <c r="F533" s="30">
        <f>IFERROR(__xludf.DUMMYFUNCTION("""COMPUTED_VALUE"""),15.0)</f>
        <v>15</v>
      </c>
      <c r="G533" s="42">
        <f>IFERROR(__xludf.DUMMYFUNCTION("""COMPUTED_VALUE"""),19.0)</f>
        <v>19</v>
      </c>
      <c r="H533" s="42">
        <f>IFERROR(__xludf.DUMMYFUNCTION("""COMPUTED_VALUE"""),0.4411764705882353)</f>
        <v>0.4411764706</v>
      </c>
      <c r="I533" s="42">
        <f>IFERROR(__xludf.DUMMYFUNCTION("""COMPUTED_VALUE"""),0.38749999999999996)</f>
        <v>0.3875</v>
      </c>
      <c r="J533" s="30">
        <f>IFERROR(__xludf.DUMMYFUNCTION("""COMPUTED_VALUE"""),358.0882352941176)</f>
        <v>358.0882353</v>
      </c>
      <c r="K533" s="30">
        <f>IFERROR(__xludf.DUMMYFUNCTION("""COMPUTED_VALUE"""),0.9117647058823529)</f>
        <v>0.9117647059</v>
      </c>
      <c r="L533" s="30">
        <f>IFERROR(__xludf.DUMMYFUNCTION("""COMPUTED_VALUE"""),0.5)</f>
        <v>0.5</v>
      </c>
      <c r="M533" s="30">
        <f>IFERROR(__xludf.DUMMYFUNCTION("""COMPUTED_VALUE"""),1.6764705882352942)</f>
        <v>1.676470588</v>
      </c>
      <c r="N533" s="30">
        <f>IFERROR(__xludf.DUMMYFUNCTION("""COMPUTED_VALUE"""),2.3529411764705883)</f>
        <v>2.352941176</v>
      </c>
      <c r="O533" s="30">
        <f>IFERROR(__xludf.DUMMYFUNCTION("""COMPUTED_VALUE"""),346.32352941176475)</f>
        <v>346.3235294</v>
      </c>
      <c r="P533" s="30">
        <f>IFERROR(__xludf.DUMMYFUNCTION("""COMPUTED_VALUE"""),0.7843137254901962)</f>
        <v>0.7843137255</v>
      </c>
      <c r="Q533" s="30">
        <f>IFERROR(__xludf.DUMMYFUNCTION("""COMPUTED_VALUE"""),0.588235294117647)</f>
        <v>0.5882352941</v>
      </c>
      <c r="R533" s="30">
        <f>IFERROR(__xludf.DUMMYFUNCTION("""COMPUTED_VALUE"""),1.2647058823529411)</f>
        <v>1.264705882</v>
      </c>
      <c r="S533" s="30">
        <f>IFERROR(__xludf.DUMMYFUNCTION("""COMPUTED_VALUE"""),2.4411764705882355)</f>
        <v>2.441176471</v>
      </c>
      <c r="T533" s="30">
        <f>IFERROR(__xludf.DUMMYFUNCTION("""COMPUTED_VALUE"""),339.6073138047991)</f>
        <v>339.6073138</v>
      </c>
      <c r="U533" s="30">
        <f>IFERROR(__xludf.DUMMYFUNCTION("""COMPUTED_VALUE"""),0.7559904025463733)</f>
        <v>0.7559904025</v>
      </c>
      <c r="V533" s="30">
        <f>IFERROR(__xludf.DUMMYFUNCTION("""COMPUTED_VALUE"""),0.5724142570543456)</f>
        <v>0.5724142571</v>
      </c>
      <c r="W533" s="30">
        <f>IFERROR(__xludf.DUMMYFUNCTION("""COMPUTED_VALUE"""),1.3185527018218561)</f>
        <v>1.318552702</v>
      </c>
      <c r="X533" s="30">
        <f>IFERROR(__xludf.DUMMYFUNCTION("""COMPUTED_VALUE"""),2.4264500990512565)</f>
        <v>2.426450099</v>
      </c>
      <c r="Y533" s="30">
        <f>IFERROR(__xludf.DUMMYFUNCTION("""COMPUTED_VALUE"""),355.3944163313133)</f>
        <v>355.3944163</v>
      </c>
      <c r="Z533" s="30">
        <f>IFERROR(__xludf.DUMMYFUNCTION("""COMPUTED_VALUE"""),0.849335156757476)</f>
        <v>0.8493351568</v>
      </c>
      <c r="AA533" s="30">
        <f>IFERROR(__xludf.DUMMYFUNCTION("""COMPUTED_VALUE"""),0.6092452520235732)</f>
        <v>0.609245252</v>
      </c>
      <c r="AB533" s="30">
        <f>IFERROR(__xludf.DUMMYFUNCTION("""COMPUTED_VALUE"""),1.2840514623810824)</f>
        <v>1.284051462</v>
      </c>
      <c r="AC533" s="30">
        <f>IFERROR(__xludf.DUMMYFUNCTION("""COMPUTED_VALUE"""),2.7114449087536414)</f>
        <v>2.711444909</v>
      </c>
      <c r="AD533" s="30">
        <f>IFERROR(__xludf.DUMMYFUNCTION("""COMPUTED_VALUE"""),1.0075798010295496)</f>
        <v>1.007579801</v>
      </c>
      <c r="AE533" s="30">
        <f>IFERROR(__xludf.DUMMYFUNCTION("""COMPUTED_VALUE"""),1.0735040209135054)</f>
        <v>1.073504021</v>
      </c>
      <c r="AF533" s="30">
        <f>IFERROR(__xludf.DUMMYFUNCTION("""COMPUTED_VALUE"""),0.8206875611082379)</f>
        <v>0.8206875611</v>
      </c>
      <c r="AG533" s="30">
        <f>IFERROR(__xludf.DUMMYFUNCTION("""COMPUTED_VALUE"""),1.3056101233875228)</f>
        <v>1.305610123</v>
      </c>
      <c r="AH533" s="30">
        <f>IFERROR(__xludf.DUMMYFUNCTION("""COMPUTED_VALUE"""),0.867781295822881)</f>
        <v>0.8677812958</v>
      </c>
      <c r="AI533" s="30">
        <f>IFERROR(__xludf.DUMMYFUNCTION("""COMPUTED_VALUE"""),1.0197764162724305)</f>
        <v>1.019776416</v>
      </c>
      <c r="AJ533" s="30">
        <f>IFERROR(__xludf.DUMMYFUNCTION("""COMPUTED_VALUE"""),1.0374651885108892)</f>
        <v>1.037465189</v>
      </c>
      <c r="AK533" s="30">
        <f>IFERROR(__xludf.DUMMYFUNCTION("""COMPUTED_VALUE"""),1.0276391387327017)</f>
        <v>1.027639139</v>
      </c>
      <c r="AL533" s="30">
        <f>IFERROR(__xludf.DUMMYFUNCTION("""COMPUTED_VALUE"""),0.9591621788082385)</f>
        <v>0.9591621788</v>
      </c>
      <c r="AM533" s="30">
        <f>IFERROR(__xludf.DUMMYFUNCTION("""COMPUTED_VALUE"""),1.0060691013356249)</f>
        <v>1.006069101</v>
      </c>
      <c r="AN533" s="30">
        <f>IFERROR(__xludf.DUMMYFUNCTION("""COMPUTED_VALUE"""),1.056491618156956)</f>
        <v>1.056491618</v>
      </c>
      <c r="AO533" s="30">
        <f>IFERROR(__xludf.DUMMYFUNCTION("""COMPUTED_VALUE"""),1.2410699206668125)</f>
        <v>1.241069921</v>
      </c>
      <c r="AP533" s="30">
        <f>IFERROR(__xludf.DUMMYFUNCTION("""COMPUTED_VALUE"""),0.8928190683098591)</f>
        <v>0.8928190683</v>
      </c>
      <c r="AQ533" s="30">
        <f>IFERROR(__xludf.DUMMYFUNCTION("""COMPUTED_VALUE"""),1.27932356032918)</f>
        <v>1.27932356</v>
      </c>
      <c r="AR533" s="30">
        <f>IFERROR(__xludf.DUMMYFUNCTION("""COMPUTED_VALUE"""),0.9448251622224547)</f>
        <v>0.9448251622</v>
      </c>
      <c r="AS533" s="30">
        <f>IFERROR(__xludf.DUMMYFUNCTION("""COMPUTED_VALUE"""),75.0)</f>
        <v>75</v>
      </c>
      <c r="AT533" s="30">
        <f>IFERROR(__xludf.DUMMYFUNCTION("""COMPUTED_VALUE"""),0.4750833371506107)</f>
        <v>0.4750833372</v>
      </c>
      <c r="AU533" s="30">
        <f>IFERROR(__xludf.DUMMYFUNCTION("""COMPUTED_VALUE"""),2.066985685153099)</f>
        <v>2.066985685</v>
      </c>
      <c r="AV533" s="32">
        <f>IFERROR(__xludf.DUMMYFUNCTION("""COMPUTED_VALUE"""),52.49869633998)</f>
        <v>52.49869634</v>
      </c>
      <c r="AW533" s="32">
        <f>IFERROR(__xludf.DUMMYFUNCTION("""COMPUTED_VALUE"""),2.173001977330926)</f>
        <v>2.173001977</v>
      </c>
      <c r="AX533" s="32">
        <f>IFERROR(__xludf.DUMMYFUNCTION("""COMPUTED_VALUE"""),56.07864569621274)</f>
        <v>56.0786457</v>
      </c>
      <c r="AY533" s="32">
        <f>IFERROR(__xludf.DUMMYFUNCTION("""COMPUTED_VALUE"""),2.4755770990219435)</f>
        <v>2.475577099</v>
      </c>
      <c r="AZ533" s="30">
        <f>IFERROR(__xludf.DUMMYFUNCTION("""COMPUTED_VALUE"""),0.3025751216910173)</f>
        <v>0.3025751217</v>
      </c>
      <c r="BA533" s="30">
        <f>IFERROR(__xludf.DUMMYFUNCTION("""COMPUTED_VALUE"""),1700.0)</f>
        <v>1700</v>
      </c>
    </row>
    <row r="534">
      <c r="A534" s="71" t="str">
        <f>IFERROR(__xludf.DUMMYFUNCTION("""COMPUTED_VALUE"""),"Rival")</f>
        <v>Rival</v>
      </c>
      <c r="B534" s="71" t="str">
        <f>IFERROR(__xludf.DUMMYFUNCTION("""COMPUTED_VALUE"""),"RSC007582")</f>
        <v>RSC007582</v>
      </c>
      <c r="C534" s="30" t="str">
        <f>IFERROR(__xludf.DUMMYFUNCTION("""COMPUTED_VALUE"""),"Wavy")</f>
        <v>Wavy</v>
      </c>
      <c r="D534" s="30" t="str">
        <f>IFERROR(__xludf.DUMMYFUNCTION("""COMPUTED_VALUE"""),"Ocelots")</f>
        <v>Ocelots</v>
      </c>
      <c r="E534" s="30">
        <f>IFERROR(__xludf.DUMMYFUNCTION("""COMPUTED_VALUE"""),28.0)</f>
        <v>28</v>
      </c>
      <c r="F534" s="30">
        <f>IFERROR(__xludf.DUMMYFUNCTION("""COMPUTED_VALUE"""),17.0)</f>
        <v>17</v>
      </c>
      <c r="G534" s="42">
        <f>IFERROR(__xludf.DUMMYFUNCTION("""COMPUTED_VALUE"""),11.0)</f>
        <v>11</v>
      </c>
      <c r="H534" s="42">
        <f>IFERROR(__xludf.DUMMYFUNCTION("""COMPUTED_VALUE"""),0.6071428571428571)</f>
        <v>0.6071428571</v>
      </c>
      <c r="I534" s="42">
        <f>IFERROR(__xludf.DUMMYFUNCTION("""COMPUTED_VALUE"""),0.171875)</f>
        <v>0.171875</v>
      </c>
      <c r="J534" s="30">
        <f>IFERROR(__xludf.DUMMYFUNCTION("""COMPUTED_VALUE"""),296.0)</f>
        <v>296</v>
      </c>
      <c r="K534" s="30">
        <f>IFERROR(__xludf.DUMMYFUNCTION("""COMPUTED_VALUE"""),0.39285714285714285)</f>
        <v>0.3928571429</v>
      </c>
      <c r="L534" s="30">
        <f>IFERROR(__xludf.DUMMYFUNCTION("""COMPUTED_VALUE"""),0.6428571428571429)</f>
        <v>0.6428571429</v>
      </c>
      <c r="M534" s="30">
        <f>IFERROR(__xludf.DUMMYFUNCTION("""COMPUTED_VALUE"""),1.2142857142857142)</f>
        <v>1.214285714</v>
      </c>
      <c r="N534" s="30">
        <f>IFERROR(__xludf.DUMMYFUNCTION("""COMPUTED_VALUE"""),2.2857142857142856)</f>
        <v>2.285714286</v>
      </c>
      <c r="O534" s="30">
        <f>IFERROR(__xludf.DUMMYFUNCTION("""COMPUTED_VALUE"""),329.345238095238)</f>
        <v>329.3452381</v>
      </c>
      <c r="P534" s="30">
        <f>IFERROR(__xludf.DUMMYFUNCTION("""COMPUTED_VALUE"""),0.6547619047619048)</f>
        <v>0.6547619048</v>
      </c>
      <c r="Q534" s="30">
        <f>IFERROR(__xludf.DUMMYFUNCTION("""COMPUTED_VALUE"""),0.47619047619047616)</f>
        <v>0.4761904762</v>
      </c>
      <c r="R534" s="30">
        <f>IFERROR(__xludf.DUMMYFUNCTION("""COMPUTED_VALUE"""),1.3452380952380951)</f>
        <v>1.345238095</v>
      </c>
      <c r="S534" s="30">
        <f>IFERROR(__xludf.DUMMYFUNCTION("""COMPUTED_VALUE"""),2.2738095238095233)</f>
        <v>2.273809524</v>
      </c>
      <c r="T534" s="30">
        <f>IFERROR(__xludf.DUMMYFUNCTION("""COMPUTED_VALUE"""),355.5732600383816)</f>
        <v>355.57326</v>
      </c>
      <c r="U534" s="30">
        <f>IFERROR(__xludf.DUMMYFUNCTION("""COMPUTED_VALUE"""),0.815741265158101)</f>
        <v>0.8157412652</v>
      </c>
      <c r="V534" s="30">
        <f>IFERROR(__xludf.DUMMYFUNCTION("""COMPUTED_VALUE"""),0.5849091059138871)</f>
        <v>0.5849091059</v>
      </c>
      <c r="W534" s="30">
        <f>IFERROR(__xludf.DUMMYFUNCTION("""COMPUTED_VALUE"""),1.3283158351154947)</f>
        <v>1.328315835</v>
      </c>
      <c r="X534" s="30">
        <f>IFERROR(__xludf.DUMMYFUNCTION("""COMPUTED_VALUE"""),2.614179906248329)</f>
        <v>2.614179906</v>
      </c>
      <c r="Y534" s="30">
        <f>IFERROR(__xludf.DUMMYFUNCTION("""COMPUTED_VALUE"""),343.8098214269855)</f>
        <v>343.8098214</v>
      </c>
      <c r="Z534" s="30">
        <f>IFERROR(__xludf.DUMMYFUNCTION("""COMPUTED_VALUE"""),0.7419603752110027)</f>
        <v>0.7419603752</v>
      </c>
      <c r="AA534" s="30">
        <f>IFERROR(__xludf.DUMMYFUNCTION("""COMPUTED_VALUE"""),0.5337022888668547)</f>
        <v>0.5337022889</v>
      </c>
      <c r="AB534" s="30">
        <f>IFERROR(__xludf.DUMMYFUNCTION("""COMPUTED_VALUE"""),1.337692649702755)</f>
        <v>1.33769265</v>
      </c>
      <c r="AC534" s="30">
        <f>IFERROR(__xludf.DUMMYFUNCTION("""COMPUTED_VALUE"""),2.4821757244726435)</f>
        <v>2.482175724</v>
      </c>
      <c r="AD534" s="30">
        <f>IFERROR(__xludf.DUMMYFUNCTION("""COMPUTED_VALUE"""),0.8609410829843359)</f>
        <v>0.860941083</v>
      </c>
      <c r="AE534" s="30">
        <f>IFERROR(__xludf.DUMMYFUNCTION("""COMPUTED_VALUE"""),0.52948534178179)</f>
        <v>0.5294853418</v>
      </c>
      <c r="AF534" s="30">
        <f>IFERROR(__xludf.DUMMYFUNCTION("""COMPUTED_VALUE"""),1.2045238633359499)</f>
        <v>1.204523863</v>
      </c>
      <c r="AG534" s="30">
        <f>IFERROR(__xludf.DUMMYFUNCTION("""COMPUTED_VALUE"""),0.9077464203421745)</f>
        <v>0.9077464203</v>
      </c>
      <c r="AH534" s="30">
        <f>IFERROR(__xludf.DUMMYFUNCTION("""COMPUTED_VALUE"""),0.920851115889429)</f>
        <v>0.9208511159</v>
      </c>
      <c r="AI534" s="30">
        <f>IFERROR(__xludf.DUMMYFUNCTION("""COMPUTED_VALUE"""),0.9262373612112664)</f>
        <v>0.9262373612</v>
      </c>
      <c r="AJ534" s="30">
        <f>IFERROR(__xludf.DUMMYFUNCTION("""COMPUTED_VALUE"""),0.8026587997053253)</f>
        <v>0.8026587997</v>
      </c>
      <c r="AK534" s="30">
        <f>IFERROR(__xludf.DUMMYFUNCTION("""COMPUTED_VALUE"""),0.8141273086293566)</f>
        <v>0.8141273086</v>
      </c>
      <c r="AL534" s="30">
        <f>IFERROR(__xludf.DUMMYFUNCTION("""COMPUTED_VALUE"""),1.0127396359173337)</f>
        <v>1.012739636</v>
      </c>
      <c r="AM534" s="30">
        <f>IFERROR(__xludf.DUMMYFUNCTION("""COMPUTED_VALUE"""),0.8697984091969864)</f>
        <v>0.8697984092</v>
      </c>
      <c r="AN534" s="30">
        <f>IFERROR(__xludf.DUMMYFUNCTION("""COMPUTED_VALUE"""),0.8733085540149161)</f>
        <v>0.873308554</v>
      </c>
      <c r="AO534" s="30">
        <f>IFERROR(__xludf.DUMMYFUNCTION("""COMPUTED_VALUE"""),0.534746716969341)</f>
        <v>0.534746717</v>
      </c>
      <c r="AP534" s="30">
        <f>IFERROR(__xludf.DUMMYFUNCTION("""COMPUTED_VALUE"""),1.1479102306841047)</f>
        <v>1.147910231</v>
      </c>
      <c r="AQ534" s="30">
        <f>IFERROR(__xludf.DUMMYFUNCTION("""COMPUTED_VALUE"""),0.9266278419426891)</f>
        <v>0.9266278419</v>
      </c>
      <c r="AR534" s="30">
        <f>IFERROR(__xludf.DUMMYFUNCTION("""COMPUTED_VALUE"""),0.9178301575875273)</f>
        <v>0.9178301576</v>
      </c>
      <c r="AS534" s="30">
        <f>IFERROR(__xludf.DUMMYFUNCTION("""COMPUTED_VALUE"""),60.0)</f>
        <v>60</v>
      </c>
      <c r="AT534" s="30">
        <f>IFERROR(__xludf.DUMMYFUNCTION("""COMPUTED_VALUE"""),0.5325826269415019)</f>
        <v>0.5325826269</v>
      </c>
      <c r="AU534" s="30">
        <f>IFERROR(__xludf.DUMMYFUNCTION("""COMPUTED_VALUE"""),1.7167120165196694)</f>
        <v>1.716712017</v>
      </c>
      <c r="AV534" s="32">
        <f>IFERROR(__xludf.DUMMYFUNCTION("""COMPUTED_VALUE"""),40.12560497310372)</f>
        <v>40.12560497</v>
      </c>
      <c r="AW534" s="32">
        <f>IFERROR(__xludf.DUMMYFUNCTION("""COMPUTED_VALUE"""),-2.8865829225577735)</f>
        <v>-2.886582923</v>
      </c>
      <c r="AX534" s="32">
        <f>IFERROR(__xludf.DUMMYFUNCTION("""COMPUTED_VALUE"""),37.86068289568419)</f>
        <v>37.8606829</v>
      </c>
      <c r="AY534" s="32">
        <f>IFERROR(__xludf.DUMMYFUNCTION("""COMPUTED_VALUE"""),-3.188418808559777)</f>
        <v>-3.188418809</v>
      </c>
      <c r="AZ534" s="30">
        <f>IFERROR(__xludf.DUMMYFUNCTION("""COMPUTED_VALUE"""),0.3018358860020034)</f>
        <v>0.301835886</v>
      </c>
      <c r="BA534" s="30">
        <f>IFERROR(__xludf.DUMMYFUNCTION("""COMPUTED_VALUE"""),1700.0)</f>
        <v>1700</v>
      </c>
    </row>
    <row r="535">
      <c r="A535" s="71" t="str">
        <f>IFERROR(__xludf.DUMMYFUNCTION("""COMPUTED_VALUE"""),"Rival")</f>
        <v>Rival</v>
      </c>
      <c r="B535" s="71" t="str">
        <f>IFERROR(__xludf.DUMMYFUNCTION("""COMPUTED_VALUE"""),"RSC007601")</f>
        <v>RSC007601</v>
      </c>
      <c r="C535" s="30" t="str">
        <f>IFERROR(__xludf.DUMMYFUNCTION("""COMPUTED_VALUE"""),"Bricked Up Barry")</f>
        <v>Bricked Up Barry</v>
      </c>
      <c r="D535" s="30" t="str">
        <f>IFERROR(__xludf.DUMMYFUNCTION("""COMPUTED_VALUE"""),"Kitsune")</f>
        <v>Kitsune</v>
      </c>
      <c r="E535" s="30">
        <f>IFERROR(__xludf.DUMMYFUNCTION("""COMPUTED_VALUE"""),33.0)</f>
        <v>33</v>
      </c>
      <c r="F535" s="30">
        <f>IFERROR(__xludf.DUMMYFUNCTION("""COMPUTED_VALUE"""),18.0)</f>
        <v>18</v>
      </c>
      <c r="G535" s="42">
        <f>IFERROR(__xludf.DUMMYFUNCTION("""COMPUTED_VALUE"""),15.0)</f>
        <v>15</v>
      </c>
      <c r="H535" s="42">
        <f>IFERROR(__xludf.DUMMYFUNCTION("""COMPUTED_VALUE"""),0.5454545454545454)</f>
        <v>0.5454545455</v>
      </c>
      <c r="I535" s="42">
        <f>IFERROR(__xludf.DUMMYFUNCTION("""COMPUTED_VALUE"""),0.3055555555555556)</f>
        <v>0.3055555556</v>
      </c>
      <c r="J535" s="30">
        <f>IFERROR(__xludf.DUMMYFUNCTION("""COMPUTED_VALUE"""),317.5151515151515)</f>
        <v>317.5151515</v>
      </c>
      <c r="K535" s="30">
        <f>IFERROR(__xludf.DUMMYFUNCTION("""COMPUTED_VALUE"""),0.6666666666666666)</f>
        <v>0.6666666667</v>
      </c>
      <c r="L535" s="30">
        <f>IFERROR(__xludf.DUMMYFUNCTION("""COMPUTED_VALUE"""),0.48484848484848486)</f>
        <v>0.4848484848</v>
      </c>
      <c r="M535" s="30">
        <f>IFERROR(__xludf.DUMMYFUNCTION("""COMPUTED_VALUE"""),1.121212121212121)</f>
        <v>1.121212121</v>
      </c>
      <c r="N535" s="30">
        <f>IFERROR(__xludf.DUMMYFUNCTION("""COMPUTED_VALUE"""),2.1818181818181817)</f>
        <v>2.181818182</v>
      </c>
      <c r="O535" s="30">
        <f>IFERROR(__xludf.DUMMYFUNCTION("""COMPUTED_VALUE"""),331.1818181818182)</f>
        <v>331.1818182</v>
      </c>
      <c r="P535" s="30">
        <f>IFERROR(__xludf.DUMMYFUNCTION("""COMPUTED_VALUE"""),0.7373737373737375)</f>
        <v>0.7373737374</v>
      </c>
      <c r="Q535" s="30">
        <f>IFERROR(__xludf.DUMMYFUNCTION("""COMPUTED_VALUE"""),0.5252525252525253)</f>
        <v>0.5252525253</v>
      </c>
      <c r="R535" s="30">
        <f>IFERROR(__xludf.DUMMYFUNCTION("""COMPUTED_VALUE"""),1.212121212121212)</f>
        <v>1.212121212</v>
      </c>
      <c r="S535" s="30">
        <f>IFERROR(__xludf.DUMMYFUNCTION("""COMPUTED_VALUE"""),2.484848484848485)</f>
        <v>2.484848485</v>
      </c>
      <c r="T535" s="30">
        <f>IFERROR(__xludf.DUMMYFUNCTION("""COMPUTED_VALUE"""),346.6318169773215)</f>
        <v>346.631817</v>
      </c>
      <c r="U535" s="30">
        <f>IFERROR(__xludf.DUMMYFUNCTION("""COMPUTED_VALUE"""),0.8073091112921709)</f>
        <v>0.8073091113</v>
      </c>
      <c r="V535" s="30">
        <f>IFERROR(__xludf.DUMMYFUNCTION("""COMPUTED_VALUE"""),0.550869163120802)</f>
        <v>0.5508691631</v>
      </c>
      <c r="W535" s="30">
        <f>IFERROR(__xludf.DUMMYFUNCTION("""COMPUTED_VALUE"""),1.3253566842497606)</f>
        <v>1.325356684</v>
      </c>
      <c r="X535" s="30">
        <f>IFERROR(__xludf.DUMMYFUNCTION("""COMPUTED_VALUE"""),2.5324306310630385)</f>
        <v>2.532430631</v>
      </c>
      <c r="Y535" s="30">
        <f>IFERROR(__xludf.DUMMYFUNCTION("""COMPUTED_VALUE"""),350.3653007726083)</f>
        <v>350.3653008</v>
      </c>
      <c r="Z535" s="30">
        <f>IFERROR(__xludf.DUMMYFUNCTION("""COMPUTED_VALUE"""),0.8140004576105049)</f>
        <v>0.8140004576</v>
      </c>
      <c r="AA535" s="30">
        <f>IFERROR(__xludf.DUMMYFUNCTION("""COMPUTED_VALUE"""),0.5792540351641934)</f>
        <v>0.5792540352</v>
      </c>
      <c r="AB535" s="30">
        <f>IFERROR(__xludf.DUMMYFUNCTION("""COMPUTED_VALUE"""),1.3387759557855319)</f>
        <v>1.338775956</v>
      </c>
      <c r="AC535" s="30">
        <f>IFERROR(__xludf.DUMMYFUNCTION("""COMPUTED_VALUE"""),2.5845285306367387)</f>
        <v>2.584528531</v>
      </c>
      <c r="AD535" s="30">
        <f>IFERROR(__xludf.DUMMYFUNCTION("""COMPUTED_VALUE"""),0.9062402892494854)</f>
        <v>0.9062402892</v>
      </c>
      <c r="AE535" s="30">
        <f>IFERROR(__xludf.DUMMYFUNCTION("""COMPUTED_VALUE"""),0.8190003585792371)</f>
        <v>0.8190003586</v>
      </c>
      <c r="AF535" s="30">
        <f>IFERROR(__xludf.DUMMYFUNCTION("""COMPUTED_VALUE"""),0.8370221965066698)</f>
        <v>0.8370221965</v>
      </c>
      <c r="AG535" s="30">
        <f>IFERROR(__xludf.DUMMYFUNCTION("""COMPUTED_VALUE"""),0.8374904825312952)</f>
        <v>0.8374904825</v>
      </c>
      <c r="AH535" s="30">
        <f>IFERROR(__xludf.DUMMYFUNCTION("""COMPUTED_VALUE"""),0.8441842123060862)</f>
        <v>0.8441842123</v>
      </c>
      <c r="AI535" s="30">
        <f>IFERROR(__xludf.DUMMYFUNCTION("""COMPUTED_VALUE"""),0.9554282150720339)</f>
        <v>0.9554282151</v>
      </c>
      <c r="AJ535" s="30">
        <f>IFERROR(__xludf.DUMMYFUNCTION("""COMPUTED_VALUE"""),0.9133722474573642)</f>
        <v>0.9133722475</v>
      </c>
      <c r="AK535" s="30">
        <f>IFERROR(__xludf.DUMMYFUNCTION("""COMPUTED_VALUE"""),0.9534977820810435)</f>
        <v>0.9534977821</v>
      </c>
      <c r="AL535" s="30">
        <f>IFERROR(__xludf.DUMMYFUNCTION("""COMPUTED_VALUE"""),0.914562265785344)</f>
        <v>0.9145622658</v>
      </c>
      <c r="AM535" s="30">
        <f>IFERROR(__xludf.DUMMYFUNCTION("""COMPUTED_VALUE"""),0.9812108787380367)</f>
        <v>0.9812108787</v>
      </c>
      <c r="AN535" s="30">
        <f>IFERROR(__xludf.DUMMYFUNCTION("""COMPUTED_VALUE"""),0.9367861413767702)</f>
        <v>0.9367861414</v>
      </c>
      <c r="AO535" s="30">
        <f>IFERROR(__xludf.DUMMYFUNCTION("""COMPUTED_VALUE"""),0.9074489742510028)</f>
        <v>0.9074489743</v>
      </c>
      <c r="AP535" s="30">
        <f>IFERROR(__xludf.DUMMYFUNCTION("""COMPUTED_VALUE"""),0.8657639450277422)</f>
        <v>0.865763945</v>
      </c>
      <c r="AQ535" s="30">
        <f>IFERROR(__xludf.DUMMYFUNCTION("""COMPUTED_VALUE"""),0.8556028914907539)</f>
        <v>0.8556028915</v>
      </c>
      <c r="AR535" s="30">
        <f>IFERROR(__xludf.DUMMYFUNCTION("""COMPUTED_VALUE"""),0.8761106049699124)</f>
        <v>0.876110605</v>
      </c>
      <c r="AS535" s="30">
        <f>IFERROR(__xludf.DUMMYFUNCTION("""COMPUTED_VALUE"""),71.0)</f>
        <v>71</v>
      </c>
      <c r="AT535" s="30">
        <f>IFERROR(__xludf.DUMMYFUNCTION("""COMPUTED_VALUE"""),0.48940168276508106)</f>
        <v>0.4894016828</v>
      </c>
      <c r="AU535" s="30">
        <f>IFERROR(__xludf.DUMMYFUNCTION("""COMPUTED_VALUE"""),1.7286877766474824)</f>
        <v>1.728687777</v>
      </c>
      <c r="AV535" s="32">
        <f>IFERROR(__xludf.DUMMYFUNCTION("""COMPUTED_VALUE"""),40.54863755453448)</f>
        <v>40.54863755</v>
      </c>
      <c r="AW535" s="32">
        <f>IFERROR(__xludf.DUMMYFUNCTION("""COMPUTED_VALUE"""),-2.835310522341293)</f>
        <v>-2.835310522</v>
      </c>
      <c r="AX535" s="32">
        <f>IFERROR(__xludf.DUMMYFUNCTION("""COMPUTED_VALUE"""),43.170830222293475)</f>
        <v>43.17083022</v>
      </c>
      <c r="AY535" s="32">
        <f>IFERROR(__xludf.DUMMYFUNCTION("""COMPUTED_VALUE"""),-2.5486635239571442)</f>
        <v>-2.548663524</v>
      </c>
      <c r="AZ535" s="30">
        <f>IFERROR(__xludf.DUMMYFUNCTION("""COMPUTED_VALUE"""),0.28664699838414887)</f>
        <v>0.2866469984</v>
      </c>
      <c r="BA535" s="30">
        <f>IFERROR(__xludf.DUMMYFUNCTION("""COMPUTED_VALUE"""),1700.0)</f>
        <v>1700</v>
      </c>
    </row>
    <row r="536">
      <c r="A536" s="71" t="str">
        <f>IFERROR(__xludf.DUMMYFUNCTION("""COMPUTED_VALUE"""),"Rival")</f>
        <v>Rival</v>
      </c>
      <c r="B536" s="71" t="str">
        <f>IFERROR(__xludf.DUMMYFUNCTION("""COMPUTED_VALUE"""),"RSC005832")</f>
        <v>RSC005832</v>
      </c>
      <c r="C536" s="30" t="str">
        <f>IFERROR(__xludf.DUMMYFUNCTION("""COMPUTED_VALUE"""),"TH4NA70S")</f>
        <v>TH4NA70S</v>
      </c>
      <c r="D536" s="30" t="str">
        <f>IFERROR(__xludf.DUMMYFUNCTION("""COMPUTED_VALUE"""),"Quasars")</f>
        <v>Quasars</v>
      </c>
      <c r="E536" s="30">
        <f>IFERROR(__xludf.DUMMYFUNCTION("""COMPUTED_VALUE"""),32.0)</f>
        <v>32</v>
      </c>
      <c r="F536" s="30">
        <f>IFERROR(__xludf.DUMMYFUNCTION("""COMPUTED_VALUE"""),18.0)</f>
        <v>18</v>
      </c>
      <c r="G536" s="42">
        <f>IFERROR(__xludf.DUMMYFUNCTION("""COMPUTED_VALUE"""),14.0)</f>
        <v>14</v>
      </c>
      <c r="H536" s="42">
        <f>IFERROR(__xludf.DUMMYFUNCTION("""COMPUTED_VALUE"""),0.5625)</f>
        <v>0.5625</v>
      </c>
      <c r="I536" s="42">
        <f>IFERROR(__xludf.DUMMYFUNCTION("""COMPUTED_VALUE"""),0.2087912087912088)</f>
        <v>0.2087912088</v>
      </c>
      <c r="J536" s="30">
        <f>IFERROR(__xludf.DUMMYFUNCTION("""COMPUTED_VALUE"""),363.46875)</f>
        <v>363.46875</v>
      </c>
      <c r="K536" s="30">
        <f>IFERROR(__xludf.DUMMYFUNCTION("""COMPUTED_VALUE"""),0.59375)</f>
        <v>0.59375</v>
      </c>
      <c r="L536" s="30">
        <f>IFERROR(__xludf.DUMMYFUNCTION("""COMPUTED_VALUE"""),0.53125)</f>
        <v>0.53125</v>
      </c>
      <c r="M536" s="30">
        <f>IFERROR(__xludf.DUMMYFUNCTION("""COMPUTED_VALUE"""),1.65625)</f>
        <v>1.65625</v>
      </c>
      <c r="N536" s="30">
        <f>IFERROR(__xludf.DUMMYFUNCTION("""COMPUTED_VALUE"""),2.84375)</f>
        <v>2.84375</v>
      </c>
      <c r="O536" s="30">
        <f>IFERROR(__xludf.DUMMYFUNCTION("""COMPUTED_VALUE"""),355.60416666666674)</f>
        <v>355.6041667</v>
      </c>
      <c r="P536" s="30">
        <f>IFERROR(__xludf.DUMMYFUNCTION("""COMPUTED_VALUE"""),0.7916666666666665)</f>
        <v>0.7916666667</v>
      </c>
      <c r="Q536" s="30">
        <f>IFERROR(__xludf.DUMMYFUNCTION("""COMPUTED_VALUE"""),0.6145833333333333)</f>
        <v>0.6145833333</v>
      </c>
      <c r="R536" s="30">
        <f>IFERROR(__xludf.DUMMYFUNCTION("""COMPUTED_VALUE"""),1.3854166666666665)</f>
        <v>1.385416667</v>
      </c>
      <c r="S536" s="30">
        <f>IFERROR(__xludf.DUMMYFUNCTION("""COMPUTED_VALUE"""),2.8124999999999996)</f>
        <v>2.8125</v>
      </c>
      <c r="T536" s="30">
        <f>IFERROR(__xludf.DUMMYFUNCTION("""COMPUTED_VALUE"""),347.93147932556417)</f>
        <v>347.9314793</v>
      </c>
      <c r="U536" s="30">
        <f>IFERROR(__xludf.DUMMYFUNCTION("""COMPUTED_VALUE"""),0.8177832994707597)</f>
        <v>0.8177832995</v>
      </c>
      <c r="V536" s="30">
        <f>IFERROR(__xludf.DUMMYFUNCTION("""COMPUTED_VALUE"""),0.6033225393000095)</f>
        <v>0.6033225393</v>
      </c>
      <c r="W536" s="30">
        <f>IFERROR(__xludf.DUMMYFUNCTION("""COMPUTED_VALUE"""),1.2489985812234108)</f>
        <v>1.248998581</v>
      </c>
      <c r="X536" s="30">
        <f>IFERROR(__xludf.DUMMYFUNCTION("""COMPUTED_VALUE"""),2.510522692383928)</f>
        <v>2.510522692</v>
      </c>
      <c r="Y536" s="30">
        <f>IFERROR(__xludf.DUMMYFUNCTION("""COMPUTED_VALUE"""),342.6900643022496)</f>
        <v>342.6900643</v>
      </c>
      <c r="Z536" s="30">
        <f>IFERROR(__xludf.DUMMYFUNCTION("""COMPUTED_VALUE"""),0.7571473403690212)</f>
        <v>0.7571473404</v>
      </c>
      <c r="AA536" s="30">
        <f>IFERROR(__xludf.DUMMYFUNCTION("""COMPUTED_VALUE"""),0.5288953567117605)</f>
        <v>0.5288953567</v>
      </c>
      <c r="AB536" s="30">
        <f>IFERROR(__xludf.DUMMYFUNCTION("""COMPUTED_VALUE"""),1.292261317890016)</f>
        <v>1.292261318</v>
      </c>
      <c r="AC536" s="30">
        <f>IFERROR(__xludf.DUMMYFUNCTION("""COMPUTED_VALUE"""),2.4931158886640983)</f>
        <v>2.493115889</v>
      </c>
      <c r="AD536" s="30">
        <f>IFERROR(__xludf.DUMMYFUNCTION("""COMPUTED_VALUE"""),1.060634047678207)</f>
        <v>1.060634048</v>
      </c>
      <c r="AE536" s="30">
        <f>IFERROR(__xludf.DUMMYFUNCTION("""COMPUTED_VALUE"""),0.7841934698081565)</f>
        <v>0.7841934698</v>
      </c>
      <c r="AF536" s="30">
        <f>IFERROR(__xludf.DUMMYFUNCTION("""COMPUTED_VALUE"""),1.0044520021935508)</f>
        <v>1.004452002</v>
      </c>
      <c r="AG536" s="30">
        <f>IFERROR(__xludf.DUMMYFUNCTION("""COMPUTED_VALUE"""),1.281668016422792)</f>
        <v>1.281668016</v>
      </c>
      <c r="AH536" s="30">
        <f>IFERROR(__xludf.DUMMYFUNCTION("""COMPUTED_VALUE"""),1.1406409196340184)</f>
        <v>1.14064092</v>
      </c>
      <c r="AI536" s="30">
        <f>IFERROR(__xludf.DUMMYFUNCTION("""COMPUTED_VALUE"""),1.0220522941930275)</f>
        <v>1.022052294</v>
      </c>
      <c r="AJ536" s="30">
        <f>IFERROR(__xludf.DUMMYFUNCTION("""COMPUTED_VALUE"""),0.9680641157370236)</f>
        <v>0.9680641157</v>
      </c>
      <c r="AK536" s="30">
        <f>IFERROR(__xludf.DUMMYFUNCTION("""COMPUTED_VALUE"""),1.0186646334254126)</f>
        <v>1.018664633</v>
      </c>
      <c r="AL536" s="30">
        <f>IFERROR(__xludf.DUMMYFUNCTION("""COMPUTED_VALUE"""),1.1092219698997836)</f>
        <v>1.10922197</v>
      </c>
      <c r="AM536" s="30">
        <f>IFERROR(__xludf.DUMMYFUNCTION("""COMPUTED_VALUE"""),1.1202846357581902)</f>
        <v>1.120284636</v>
      </c>
      <c r="AN536" s="30">
        <f>IFERROR(__xludf.DUMMYFUNCTION("""COMPUTED_VALUE"""),1.0723661097706387)</f>
        <v>1.07236611</v>
      </c>
      <c r="AO536" s="30">
        <f>IFERROR(__xludf.DUMMYFUNCTION("""COMPUTED_VALUE"""),0.8081967426922994)</f>
        <v>0.8081967427</v>
      </c>
      <c r="AP536" s="30">
        <f>IFERROR(__xludf.DUMMYFUNCTION("""COMPUTED_VALUE"""),0.9486202600792253)</f>
        <v>0.9486202601</v>
      </c>
      <c r="AQ536" s="30">
        <f>IFERROR(__xludf.DUMMYFUNCTION("""COMPUTED_VALUE"""),1.263893122649771)</f>
        <v>1.263893123</v>
      </c>
      <c r="AR536" s="30">
        <f>IFERROR(__xludf.DUMMYFUNCTION("""COMPUTED_VALUE"""),1.1419097859047949)</f>
        <v>1.141909786</v>
      </c>
      <c r="AS536" s="30">
        <f>IFERROR(__xludf.DUMMYFUNCTION("""COMPUTED_VALUE"""),67.0)</f>
        <v>67</v>
      </c>
      <c r="AT536" s="30">
        <f>IFERROR(__xludf.DUMMYFUNCTION("""COMPUTED_VALUE"""),0.4517275364932239)</f>
        <v>0.4517275365</v>
      </c>
      <c r="AU536" s="30">
        <f>IFERROR(__xludf.DUMMYFUNCTION("""COMPUTED_VALUE"""),1.9851972761522474)</f>
        <v>1.985197276</v>
      </c>
      <c r="AV536" s="32">
        <f>IFERROR(__xludf.DUMMYFUNCTION("""COMPUTED_VALUE"""),49.60959690733598)</f>
        <v>49.60959691</v>
      </c>
      <c r="AW536" s="32">
        <f>IFERROR(__xludf.DUMMYFUNCTION("""COMPUTED_VALUE"""),-2.0252331034722304)</f>
        <v>-2.025233103</v>
      </c>
      <c r="AX536" s="32">
        <f>IFERROR(__xludf.DUMMYFUNCTION("""COMPUTED_VALUE"""),45.76917224382818)</f>
        <v>45.76917224</v>
      </c>
      <c r="AY536" s="32">
        <f>IFERROR(__xludf.DUMMYFUNCTION("""COMPUTED_VALUE"""),-2.3105005776103935)</f>
        <v>-2.310500578</v>
      </c>
      <c r="AZ536" s="30">
        <f>IFERROR(__xludf.DUMMYFUNCTION("""COMPUTED_VALUE"""),0.2852674741381631)</f>
        <v>0.2852674741</v>
      </c>
      <c r="BA536" s="30">
        <f>IFERROR(__xludf.DUMMYFUNCTION("""COMPUTED_VALUE"""),1700.0)</f>
        <v>1700</v>
      </c>
    </row>
    <row r="537">
      <c r="A537" s="71" t="str">
        <f>IFERROR(__xludf.DUMMYFUNCTION("""COMPUTED_VALUE"""),"Rival")</f>
        <v>Rival</v>
      </c>
      <c r="B537" s="71" t="str">
        <f>IFERROR(__xludf.DUMMYFUNCTION("""COMPUTED_VALUE"""),"RSC003094")</f>
        <v>RSC003094</v>
      </c>
      <c r="C537" s="30" t="str">
        <f>IFERROR(__xludf.DUMMYFUNCTION("""COMPUTED_VALUE"""),"Galvarino")</f>
        <v>Galvarino</v>
      </c>
      <c r="D537" s="30" t="str">
        <f>IFERROR(__xludf.DUMMYFUNCTION("""COMPUTED_VALUE"""),"Polar Bears")</f>
        <v>Polar Bears</v>
      </c>
      <c r="E537" s="30">
        <f>IFERROR(__xludf.DUMMYFUNCTION("""COMPUTED_VALUE"""),22.0)</f>
        <v>22</v>
      </c>
      <c r="F537" s="30">
        <f>IFERROR(__xludf.DUMMYFUNCTION("""COMPUTED_VALUE"""),9.0)</f>
        <v>9</v>
      </c>
      <c r="G537" s="42">
        <f>IFERROR(__xludf.DUMMYFUNCTION("""COMPUTED_VALUE"""),13.0)</f>
        <v>13</v>
      </c>
      <c r="H537" s="42">
        <f>IFERROR(__xludf.DUMMYFUNCTION("""COMPUTED_VALUE"""),0.4090909090909091)</f>
        <v>0.4090909091</v>
      </c>
      <c r="I537" s="42">
        <f>IFERROR(__xludf.DUMMYFUNCTION("""COMPUTED_VALUE"""),0.30434782608695654)</f>
        <v>0.3043478261</v>
      </c>
      <c r="J537" s="30">
        <f>IFERROR(__xludf.DUMMYFUNCTION("""COMPUTED_VALUE"""),271.40909090909093)</f>
        <v>271.4090909</v>
      </c>
      <c r="K537" s="30">
        <f>IFERROR(__xludf.DUMMYFUNCTION("""COMPUTED_VALUE"""),0.6363636363636364)</f>
        <v>0.6363636364</v>
      </c>
      <c r="L537" s="30">
        <f>IFERROR(__xludf.DUMMYFUNCTION("""COMPUTED_VALUE"""),0.36363636363636365)</f>
        <v>0.3636363636</v>
      </c>
      <c r="M537" s="30">
        <f>IFERROR(__xludf.DUMMYFUNCTION("""COMPUTED_VALUE"""),0.9545454545454546)</f>
        <v>0.9545454545</v>
      </c>
      <c r="N537" s="30">
        <f>IFERROR(__xludf.DUMMYFUNCTION("""COMPUTED_VALUE"""),2.090909090909091)</f>
        <v>2.090909091</v>
      </c>
      <c r="O537" s="30">
        <f>IFERROR(__xludf.DUMMYFUNCTION("""COMPUTED_VALUE"""),355.8333333333333)</f>
        <v>355.8333333</v>
      </c>
      <c r="P537" s="30">
        <f>IFERROR(__xludf.DUMMYFUNCTION("""COMPUTED_VALUE"""),0.8787878787878789)</f>
        <v>0.8787878788</v>
      </c>
      <c r="Q537" s="30">
        <f>IFERROR(__xludf.DUMMYFUNCTION("""COMPUTED_VALUE"""),0.6666666666666666)</f>
        <v>0.6666666667</v>
      </c>
      <c r="R537" s="30">
        <f>IFERROR(__xludf.DUMMYFUNCTION("""COMPUTED_VALUE"""),1.212121212121212)</f>
        <v>1.212121212</v>
      </c>
      <c r="S537" s="30">
        <f>IFERROR(__xludf.DUMMYFUNCTION("""COMPUTED_VALUE"""),2.333333333333333)</f>
        <v>2.333333333</v>
      </c>
      <c r="T537" s="30">
        <f>IFERROR(__xludf.DUMMYFUNCTION("""COMPUTED_VALUE"""),362.30646473046403)</f>
        <v>362.3064647</v>
      </c>
      <c r="U537" s="30">
        <f>IFERROR(__xludf.DUMMYFUNCTION("""COMPUTED_VALUE"""),0.8534728895538294)</f>
        <v>0.8534728896</v>
      </c>
      <c r="V537" s="30">
        <f>IFERROR(__xludf.DUMMYFUNCTION("""COMPUTED_VALUE"""),0.6198346227627127)</f>
        <v>0.6198346228</v>
      </c>
      <c r="W537" s="30">
        <f>IFERROR(__xludf.DUMMYFUNCTION("""COMPUTED_VALUE"""),1.3051576897218302)</f>
        <v>1.30515769</v>
      </c>
      <c r="X537" s="30">
        <f>IFERROR(__xludf.DUMMYFUNCTION("""COMPUTED_VALUE"""),2.5847089588873766)</f>
        <v>2.584708959</v>
      </c>
      <c r="Y537" s="30">
        <f>IFERROR(__xludf.DUMMYFUNCTION("""COMPUTED_VALUE"""),325.1010267473448)</f>
        <v>325.1010267</v>
      </c>
      <c r="Z537" s="30">
        <f>IFERROR(__xludf.DUMMYFUNCTION("""COMPUTED_VALUE"""),0.6612399911435877)</f>
        <v>0.6612399911</v>
      </c>
      <c r="AA537" s="30">
        <f>IFERROR(__xludf.DUMMYFUNCTION("""COMPUTED_VALUE"""),0.4892993611209928)</f>
        <v>0.4892993611</v>
      </c>
      <c r="AB537" s="30">
        <f>IFERROR(__xludf.DUMMYFUNCTION("""COMPUTED_VALUE"""),1.2506111304469771)</f>
        <v>1.25061113</v>
      </c>
      <c r="AC537" s="30">
        <f>IFERROR(__xludf.DUMMYFUNCTION("""COMPUTED_VALUE"""),2.392936312931569)</f>
        <v>2.392936313</v>
      </c>
      <c r="AD537" s="30">
        <f>IFERROR(__xludf.DUMMYFUNCTION("""COMPUTED_VALUE"""),0.8348453821402999)</f>
        <v>0.8348453821</v>
      </c>
      <c r="AE537" s="30">
        <f>IFERROR(__xludf.DUMMYFUNCTION("""COMPUTED_VALUE"""),0.962379234297477)</f>
        <v>0.9623792343</v>
      </c>
      <c r="AF537" s="30">
        <f>IFERROR(__xludf.DUMMYFUNCTION("""COMPUTED_VALUE"""),0.7431776792090364)</f>
        <v>0.7431776792</v>
      </c>
      <c r="AG537" s="30">
        <f>IFERROR(__xludf.DUMMYFUNCTION("""COMPUTED_VALUE"""),0.7632632009314465)</f>
        <v>0.7632632009</v>
      </c>
      <c r="AH537" s="30">
        <f>IFERROR(__xludf.DUMMYFUNCTION("""COMPUTED_VALUE"""),0.8737838443963991)</f>
        <v>0.8737838444</v>
      </c>
      <c r="AI537" s="30">
        <f>IFERROR(__xludf.DUMMYFUNCTION("""COMPUTED_VALUE"""),0.982133547073342)</f>
        <v>0.9821335471</v>
      </c>
      <c r="AJ537" s="30">
        <f>IFERROR(__xludf.DUMMYFUNCTION("""COMPUTED_VALUE"""),1.0296611521512808)</f>
        <v>1.029661152</v>
      </c>
      <c r="AK537" s="30">
        <f>IFERROR(__xludf.DUMMYFUNCTION("""COMPUTED_VALUE"""),1.0755557082229694)</f>
        <v>1.075555708</v>
      </c>
      <c r="AL537" s="30">
        <f>IFERROR(__xludf.DUMMYFUNCTION("""COMPUTED_VALUE"""),0.9287162935687509)</f>
        <v>0.9287162936</v>
      </c>
      <c r="AM537" s="30">
        <f>IFERROR(__xludf.DUMMYFUNCTION("""COMPUTED_VALUE"""),0.9027450944951838)</f>
        <v>0.9027450945</v>
      </c>
      <c r="AN537" s="30">
        <f>IFERROR(__xludf.DUMMYFUNCTION("""COMPUTED_VALUE"""),0.8007563538118957)</f>
        <v>0.8007563538</v>
      </c>
      <c r="AO537" s="30">
        <f>IFERROR(__xludf.DUMMYFUNCTION("""COMPUTED_VALUE"""),0.86620129360323)</f>
        <v>0.8662012936</v>
      </c>
      <c r="AP537" s="30">
        <f>IFERROR(__xludf.DUMMYFUNCTION("""COMPUTED_VALUE"""),0.6493229587708066)</f>
        <v>0.6493229588</v>
      </c>
      <c r="AQ537" s="30">
        <f>IFERROR(__xludf.DUMMYFUNCTION("""COMPUTED_VALUE"""),0.7284186778907771)</f>
        <v>0.7284186779</v>
      </c>
      <c r="AR537" s="30">
        <f>IFERROR(__xludf.DUMMYFUNCTION("""COMPUTED_VALUE"""),0.8396059964294994)</f>
        <v>0.8396059964</v>
      </c>
      <c r="AS537" s="30">
        <f>IFERROR(__xludf.DUMMYFUNCTION("""COMPUTED_VALUE"""),48.0)</f>
        <v>48</v>
      </c>
      <c r="AT537" s="30">
        <f>IFERROR(__xludf.DUMMYFUNCTION("""COMPUTED_VALUE"""),0.4262494391550251)</f>
        <v>0.4262494392</v>
      </c>
      <c r="AU537" s="30">
        <f>IFERROR(__xludf.DUMMYFUNCTION("""COMPUTED_VALUE"""),1.5148484163993432)</f>
        <v>1.514848416</v>
      </c>
      <c r="AV537" s="32">
        <f>IFERROR(__xludf.DUMMYFUNCTION("""COMPUTED_VALUE"""),32.99496116056736)</f>
        <v>32.99496116</v>
      </c>
      <c r="AW537" s="32">
        <f>IFERROR(__xludf.DUMMYFUNCTION("""COMPUTED_VALUE"""),-4.029196778389768)</f>
        <v>-4.029196778</v>
      </c>
      <c r="AX537" s="32">
        <f>IFERROR(__xludf.DUMMYFUNCTION("""COMPUTED_VALUE"""),31.822177789522318)</f>
        <v>31.82217779</v>
      </c>
      <c r="AY537" s="32">
        <f>IFERROR(__xludf.DUMMYFUNCTION("""COMPUTED_VALUE"""),-4.281217746988176)</f>
        <v>-4.281217747</v>
      </c>
      <c r="AZ537" s="30">
        <f>IFERROR(__xludf.DUMMYFUNCTION("""COMPUTED_VALUE"""),0.2520209685984076)</f>
        <v>0.2520209686</v>
      </c>
      <c r="BA537" s="30">
        <f>IFERROR(__xludf.DUMMYFUNCTION("""COMPUTED_VALUE"""),1700.0)</f>
        <v>1700</v>
      </c>
    </row>
    <row r="538">
      <c r="A538" s="71" t="str">
        <f>IFERROR(__xludf.DUMMYFUNCTION("""COMPUTED_VALUE"""),"Rival")</f>
        <v>Rival</v>
      </c>
      <c r="B538" s="71" t="str">
        <f>IFERROR(__xludf.DUMMYFUNCTION("""COMPUTED_VALUE"""),"RSC006944")</f>
        <v>RSC006944</v>
      </c>
      <c r="C538" s="30" t="str">
        <f>IFERROR(__xludf.DUMMYFUNCTION("""COMPUTED_VALUE"""),"Pr9xk")</f>
        <v>Pr9xk</v>
      </c>
      <c r="D538" s="30" t="str">
        <f>IFERROR(__xludf.DUMMYFUNCTION("""COMPUTED_VALUE"""),"Kitsune")</f>
        <v>Kitsune</v>
      </c>
      <c r="E538" s="30">
        <f>IFERROR(__xludf.DUMMYFUNCTION("""COMPUTED_VALUE"""),24.0)</f>
        <v>24</v>
      </c>
      <c r="F538" s="30">
        <f>IFERROR(__xludf.DUMMYFUNCTION("""COMPUTED_VALUE"""),14.0)</f>
        <v>14</v>
      </c>
      <c r="G538" s="42">
        <f>IFERROR(__xludf.DUMMYFUNCTION("""COMPUTED_VALUE"""),10.0)</f>
        <v>10</v>
      </c>
      <c r="H538" s="42">
        <f>IFERROR(__xludf.DUMMYFUNCTION("""COMPUTED_VALUE"""),0.5833333333333334)</f>
        <v>0.5833333333</v>
      </c>
      <c r="I538" s="42">
        <f>IFERROR(__xludf.DUMMYFUNCTION("""COMPUTED_VALUE"""),0.3283582089552239)</f>
        <v>0.328358209</v>
      </c>
      <c r="J538" s="30">
        <f>IFERROR(__xludf.DUMMYFUNCTION("""COMPUTED_VALUE"""),366.375)</f>
        <v>366.375</v>
      </c>
      <c r="K538" s="30">
        <f>IFERROR(__xludf.DUMMYFUNCTION("""COMPUTED_VALUE"""),0.9166666666666666)</f>
        <v>0.9166666667</v>
      </c>
      <c r="L538" s="30">
        <f>IFERROR(__xludf.DUMMYFUNCTION("""COMPUTED_VALUE"""),0.5416666666666666)</f>
        <v>0.5416666667</v>
      </c>
      <c r="M538" s="30">
        <f>IFERROR(__xludf.DUMMYFUNCTION("""COMPUTED_VALUE"""),1.3333333333333333)</f>
        <v>1.333333333</v>
      </c>
      <c r="N538" s="30">
        <f>IFERROR(__xludf.DUMMYFUNCTION("""COMPUTED_VALUE"""),2.7916666666666665)</f>
        <v>2.791666667</v>
      </c>
      <c r="O538" s="30">
        <f>IFERROR(__xludf.DUMMYFUNCTION("""COMPUTED_VALUE"""),344.2916666666667)</f>
        <v>344.2916667</v>
      </c>
      <c r="P538" s="30">
        <f>IFERROR(__xludf.DUMMYFUNCTION("""COMPUTED_VALUE"""),0.7222222222222223)</f>
        <v>0.7222222222</v>
      </c>
      <c r="Q538" s="30">
        <f>IFERROR(__xludf.DUMMYFUNCTION("""COMPUTED_VALUE"""),0.5416666666666666)</f>
        <v>0.5416666667</v>
      </c>
      <c r="R538" s="30">
        <f>IFERROR(__xludf.DUMMYFUNCTION("""COMPUTED_VALUE"""),1.347222222222222)</f>
        <v>1.347222222</v>
      </c>
      <c r="S538" s="30">
        <f>IFERROR(__xludf.DUMMYFUNCTION("""COMPUTED_VALUE"""),2.5)</f>
        <v>2.5</v>
      </c>
      <c r="T538" s="30">
        <f>IFERROR(__xludf.DUMMYFUNCTION("""COMPUTED_VALUE"""),339.19581211231235)</f>
        <v>339.1958121</v>
      </c>
      <c r="U538" s="30">
        <f>IFERROR(__xludf.DUMMYFUNCTION("""COMPUTED_VALUE"""),0.7711789757941361)</f>
        <v>0.7711789758</v>
      </c>
      <c r="V538" s="30">
        <f>IFERROR(__xludf.DUMMYFUNCTION("""COMPUTED_VALUE"""),0.5238088652440286)</f>
        <v>0.5238088652</v>
      </c>
      <c r="W538" s="30">
        <f>IFERROR(__xludf.DUMMYFUNCTION("""COMPUTED_VALUE"""),1.337848289107808)</f>
        <v>1.337848289</v>
      </c>
      <c r="X538" s="30">
        <f>IFERROR(__xludf.DUMMYFUNCTION("""COMPUTED_VALUE"""),2.465812038979281)</f>
        <v>2.465812039</v>
      </c>
      <c r="Y538" s="30">
        <f>IFERROR(__xludf.DUMMYFUNCTION("""COMPUTED_VALUE"""),355.28630868933806)</f>
        <v>355.2863087</v>
      </c>
      <c r="Z538" s="30">
        <f>IFERROR(__xludf.DUMMYFUNCTION("""COMPUTED_VALUE"""),0.8478017180583648)</f>
        <v>0.8478017181</v>
      </c>
      <c r="AA538" s="30">
        <f>IFERROR(__xludf.DUMMYFUNCTION("""COMPUTED_VALUE"""),0.6164339371154558)</f>
        <v>0.6164339371</v>
      </c>
      <c r="AB538" s="30">
        <f>IFERROR(__xludf.DUMMYFUNCTION("""COMPUTED_VALUE"""),1.323834480884784)</f>
        <v>1.323834481</v>
      </c>
      <c r="AC538" s="30">
        <f>IFERROR(__xludf.DUMMYFUNCTION("""COMPUTED_VALUE"""),2.6361680552389686)</f>
        <v>2.636168055</v>
      </c>
      <c r="AD538" s="30">
        <f>IFERROR(__xludf.DUMMYFUNCTION("""COMPUTED_VALUE"""),1.031210578734566)</f>
        <v>1.031210579</v>
      </c>
      <c r="AE538" s="30">
        <f>IFERROR(__xludf.DUMMYFUNCTION("""COMPUTED_VALUE"""),1.0812276587101242)</f>
        <v>1.081227659</v>
      </c>
      <c r="AF538" s="30">
        <f>IFERROR(__xludf.DUMMYFUNCTION("""COMPUTED_VALUE"""),0.878710002893975)</f>
        <v>0.8787100029</v>
      </c>
      <c r="AG538" s="30">
        <f>IFERROR(__xludf.DUMMYFUNCTION("""COMPUTED_VALUE"""),1.0071752568661005)</f>
        <v>1.007175257</v>
      </c>
      <c r="AH538" s="30">
        <f>IFERROR(__xludf.DUMMYFUNCTION("""COMPUTED_VALUE"""),1.0589866078980317)</f>
        <v>1.058986608</v>
      </c>
      <c r="AI538" s="30">
        <f>IFERROR(__xludf.DUMMYFUNCTION("""COMPUTED_VALUE"""),1.0150233415991203)</f>
        <v>1.015023342</v>
      </c>
      <c r="AJ538" s="30">
        <f>IFERROR(__xludf.DUMMYFUNCTION("""COMPUTED_VALUE"""),0.9365170017485246)</f>
        <v>0.9365170017</v>
      </c>
      <c r="AK538" s="30">
        <f>IFERROR(__xludf.DUMMYFUNCTION("""COMPUTED_VALUE"""),1.0340922092151277)</f>
        <v>1.034092209</v>
      </c>
      <c r="AL538" s="30">
        <f>IFERROR(__xludf.DUMMYFUNCTION("""COMPUTED_VALUE"""),1.0070067235505944)</f>
        <v>1.007006724</v>
      </c>
      <c r="AM538" s="30">
        <f>IFERROR(__xludf.DUMMYFUNCTION("""COMPUTED_VALUE"""),1.013864787940151)</f>
        <v>1.013864788</v>
      </c>
      <c r="AN538" s="30">
        <f>IFERROR(__xludf.DUMMYFUNCTION("""COMPUTED_VALUE"""),1.080940613098699)</f>
        <v>1.080940613</v>
      </c>
      <c r="AO538" s="30">
        <f>IFERROR(__xludf.DUMMYFUNCTION("""COMPUTED_VALUE"""),1.2477423395951288)</f>
        <v>1.24774234</v>
      </c>
      <c r="AP538" s="30">
        <f>IFERROR(__xludf.DUMMYFUNCTION("""COMPUTED_VALUE"""),0.9672206573356806)</f>
        <v>0.9672206573</v>
      </c>
      <c r="AQ538" s="30">
        <f>IFERROR(__xludf.DUMMYFUNCTION("""COMPUTED_VALUE"""),1.0174737087998156)</f>
        <v>1.017473709</v>
      </c>
      <c r="AR538" s="30">
        <f>IFERROR(__xludf.DUMMYFUNCTION("""COMPUTED_VALUE"""),1.1209956872618498)</f>
        <v>1.120995687</v>
      </c>
      <c r="AS538" s="30">
        <f>IFERROR(__xludf.DUMMYFUNCTION("""COMPUTED_VALUE"""),54.0)</f>
        <v>54</v>
      </c>
      <c r="AT538" s="30">
        <f>IFERROR(__xludf.DUMMYFUNCTION("""COMPUTED_VALUE"""),0.5144466429441578)</f>
        <v>0.5144466429</v>
      </c>
      <c r="AU538" s="30">
        <f>IFERROR(__xludf.DUMMYFUNCTION("""COMPUTED_VALUE"""),2.311630631104054)</f>
        <v>2.311630631</v>
      </c>
      <c r="AV538" s="32">
        <f>IFERROR(__xludf.DUMMYFUNCTION("""COMPUTED_VALUE"""),61.140551380084446)</f>
        <v>61.14055138</v>
      </c>
      <c r="AW538" s="32">
        <f>IFERROR(__xludf.DUMMYFUNCTION("""COMPUTED_VALUE"""),3.049383501994748)</f>
        <v>3.049383502</v>
      </c>
      <c r="AX538" s="32">
        <f>IFERROR(__xludf.DUMMYFUNCTION("""COMPUTED_VALUE"""),59.25633208823662)</f>
        <v>59.25633209</v>
      </c>
      <c r="AY538" s="32">
        <f>IFERROR(__xludf.DUMMYFUNCTION("""COMPUTED_VALUE"""),2.812173081876093)</f>
        <v>2.812173082</v>
      </c>
      <c r="AZ538" s="30">
        <f>IFERROR(__xludf.DUMMYFUNCTION("""COMPUTED_VALUE"""),0.23721042011865512)</f>
        <v>0.2372104201</v>
      </c>
      <c r="BA538" s="30">
        <f>IFERROR(__xludf.DUMMYFUNCTION("""COMPUTED_VALUE"""),1700.0)</f>
        <v>1700</v>
      </c>
    </row>
    <row r="539">
      <c r="A539" s="71" t="str">
        <f>IFERROR(__xludf.DUMMYFUNCTION("""COMPUTED_VALUE"""),"Rival")</f>
        <v>Rival</v>
      </c>
      <c r="B539" s="71" t="str">
        <f>IFERROR(__xludf.DUMMYFUNCTION("""COMPUTED_VALUE"""),"RSC005978")</f>
        <v>RSC005978</v>
      </c>
      <c r="C539" s="30" t="str">
        <f>IFERROR(__xludf.DUMMYFUNCTION("""COMPUTED_VALUE"""),"xDraco0")</f>
        <v>xDraco0</v>
      </c>
      <c r="D539" s="30" t="str">
        <f>IFERROR(__xludf.DUMMYFUNCTION("""COMPUTED_VALUE"""),"Funk Hunks")</f>
        <v>Funk Hunks</v>
      </c>
      <c r="E539" s="30">
        <f>IFERROR(__xludf.DUMMYFUNCTION("""COMPUTED_VALUE"""),8.0)</f>
        <v>8</v>
      </c>
      <c r="F539" s="30">
        <f>IFERROR(__xludf.DUMMYFUNCTION("""COMPUTED_VALUE"""),3.0)</f>
        <v>3</v>
      </c>
      <c r="G539" s="42">
        <f>IFERROR(__xludf.DUMMYFUNCTION("""COMPUTED_VALUE"""),5.0)</f>
        <v>5</v>
      </c>
      <c r="H539" s="42">
        <f>IFERROR(__xludf.DUMMYFUNCTION("""COMPUTED_VALUE"""),0.375)</f>
        <v>0.375</v>
      </c>
      <c r="I539" s="42">
        <f>IFERROR(__xludf.DUMMYFUNCTION("""COMPUTED_VALUE"""),0.22727272727272727)</f>
        <v>0.2272727273</v>
      </c>
      <c r="J539" s="30">
        <f>IFERROR(__xludf.DUMMYFUNCTION("""COMPUTED_VALUE"""),337.125)</f>
        <v>337.125</v>
      </c>
      <c r="K539" s="30">
        <f>IFERROR(__xludf.DUMMYFUNCTION("""COMPUTED_VALUE"""),0.625)</f>
        <v>0.625</v>
      </c>
      <c r="L539" s="30">
        <f>IFERROR(__xludf.DUMMYFUNCTION("""COMPUTED_VALUE"""),0.625)</f>
        <v>0.625</v>
      </c>
      <c r="M539" s="30">
        <f>IFERROR(__xludf.DUMMYFUNCTION("""COMPUTED_VALUE"""),1.375)</f>
        <v>1.375</v>
      </c>
      <c r="N539" s="30">
        <f>IFERROR(__xludf.DUMMYFUNCTION("""COMPUTED_VALUE"""),2.75)</f>
        <v>2.75</v>
      </c>
      <c r="O539" s="30">
        <f>IFERROR(__xludf.DUMMYFUNCTION("""COMPUTED_VALUE"""),368.4583333333333)</f>
        <v>368.4583333</v>
      </c>
      <c r="P539" s="30">
        <f>IFERROR(__xludf.DUMMYFUNCTION("""COMPUTED_VALUE"""),0.9999999999999999)</f>
        <v>1</v>
      </c>
      <c r="Q539" s="30">
        <f>IFERROR(__xludf.DUMMYFUNCTION("""COMPUTED_VALUE"""),0.6666666666666666)</f>
        <v>0.6666666667</v>
      </c>
      <c r="R539" s="30">
        <f>IFERROR(__xludf.DUMMYFUNCTION("""COMPUTED_VALUE"""),1.25)</f>
        <v>1.25</v>
      </c>
      <c r="S539" s="30">
        <f>IFERROR(__xludf.DUMMYFUNCTION("""COMPUTED_VALUE"""),2.708333333333333)</f>
        <v>2.708333333</v>
      </c>
      <c r="T539" s="30">
        <f>IFERROR(__xludf.DUMMYFUNCTION("""COMPUTED_VALUE"""),357.558948921449)</f>
        <v>357.5589489</v>
      </c>
      <c r="U539" s="30">
        <f>IFERROR(__xludf.DUMMYFUNCTION("""COMPUTED_VALUE"""),0.8221026658526657)</f>
        <v>0.8221026659</v>
      </c>
      <c r="V539" s="30">
        <f>IFERROR(__xludf.DUMMYFUNCTION("""COMPUTED_VALUE"""),0.6191290191290192)</f>
        <v>0.6191290191</v>
      </c>
      <c r="W539" s="30">
        <f>IFERROR(__xludf.DUMMYFUNCTION("""COMPUTED_VALUE"""),1.2806992775742776)</f>
        <v>1.280699278</v>
      </c>
      <c r="X539" s="30">
        <f>IFERROR(__xludf.DUMMYFUNCTION("""COMPUTED_VALUE"""),2.678886853886854)</f>
        <v>2.678886854</v>
      </c>
      <c r="Y539" s="30">
        <f>IFERROR(__xludf.DUMMYFUNCTION("""COMPUTED_VALUE"""),365.62806946140273)</f>
        <v>365.6280695</v>
      </c>
      <c r="Z539" s="30">
        <f>IFERROR(__xludf.DUMMYFUNCTION("""COMPUTED_VALUE"""),0.8966015466015466)</f>
        <v>0.8966015466</v>
      </c>
      <c r="AA539" s="30">
        <f>IFERROR(__xludf.DUMMYFUNCTION("""COMPUTED_VALUE"""),0.6119094254510922)</f>
        <v>0.6119094255</v>
      </c>
      <c r="AB539" s="30">
        <f>IFERROR(__xludf.DUMMYFUNCTION("""COMPUTED_VALUE"""),1.3700422262922263)</f>
        <v>1.370042226</v>
      </c>
      <c r="AC539" s="30">
        <f>IFERROR(__xludf.DUMMYFUNCTION("""COMPUTED_VALUE"""),2.6358287545787547)</f>
        <v>2.635828755</v>
      </c>
      <c r="AD539" s="30">
        <f>IFERROR(__xludf.DUMMYFUNCTION("""COMPUTED_VALUE"""),0.9220435413960699)</f>
        <v>0.9220435414</v>
      </c>
      <c r="AE539" s="30">
        <f>IFERROR(__xludf.DUMMYFUNCTION("""COMPUTED_VALUE"""),0.6970766472230419)</f>
        <v>0.6970766472</v>
      </c>
      <c r="AF539" s="30">
        <f>IFERROR(__xludf.DUMMYFUNCTION("""COMPUTED_VALUE"""),1.021392993806653)</f>
        <v>1.021392994</v>
      </c>
      <c r="AG539" s="30">
        <f>IFERROR(__xludf.DUMMYFUNCTION("""COMPUTED_VALUE"""),1.003618701389366)</f>
        <v>1.003618701</v>
      </c>
      <c r="AH539" s="30">
        <f>IFERROR(__xludf.DUMMYFUNCTION("""COMPUTED_VALUE"""),1.0433151225104877)</f>
        <v>1.043315123</v>
      </c>
      <c r="AI539" s="30">
        <f>IFERROR(__xludf.DUMMYFUNCTION("""COMPUTED_VALUE"""),1.0304827621984054)</f>
        <v>1.030482762</v>
      </c>
      <c r="AJ539" s="30">
        <f>IFERROR(__xludf.DUMMYFUNCTION("""COMPUTED_VALUE"""),1.2163930875504743)</f>
        <v>1.216393088</v>
      </c>
      <c r="AK539" s="30">
        <f>IFERROR(__xludf.DUMMYFUNCTION("""COMPUTED_VALUE"""),1.0767814882987115)</f>
        <v>1.076781488</v>
      </c>
      <c r="AL539" s="30">
        <f>IFERROR(__xludf.DUMMYFUNCTION("""COMPUTED_VALUE"""),0.9760292848509887)</f>
        <v>0.9760292849</v>
      </c>
      <c r="AM539" s="30">
        <f>IFERROR(__xludf.DUMMYFUNCTION("""COMPUTED_VALUE"""),1.010992057915307)</f>
        <v>1.010992058</v>
      </c>
      <c r="AN539" s="30">
        <f>IFERROR(__xludf.DUMMYFUNCTION("""COMPUTED_VALUE"""),0.9946423860549953)</f>
        <v>0.9946423861</v>
      </c>
      <c r="AO539" s="30">
        <f>IFERROR(__xludf.DUMMYFUNCTION("""COMPUTED_VALUE"""),0.8507334133603152)</f>
        <v>0.8507334134</v>
      </c>
      <c r="AP539" s="30">
        <f>IFERROR(__xludf.DUMMYFUNCTION("""COMPUTED_VALUE"""),1.116023835387324)</f>
        <v>1.116023835</v>
      </c>
      <c r="AQ539" s="30">
        <f>IFERROR(__xludf.DUMMYFUNCTION("""COMPUTED_VALUE"""),1.0492697621998097)</f>
        <v>1.049269762</v>
      </c>
      <c r="AR539" s="30">
        <f>IFERROR(__xludf.DUMMYFUNCTION("""COMPUTED_VALUE"""),1.104264408347494)</f>
        <v>1.104264408</v>
      </c>
      <c r="AS539" s="30">
        <f>IFERROR(__xludf.DUMMYFUNCTION("""COMPUTED_VALUE"""),17.0)</f>
        <v>17</v>
      </c>
      <c r="AT539" s="30">
        <f>IFERROR(__xludf.DUMMYFUNCTION("""COMPUTED_VALUE"""),0.36558864077158193)</f>
        <v>0.3655886408</v>
      </c>
      <c r="AU539" s="30">
        <f>IFERROR(__xludf.DUMMYFUNCTION("""COMPUTED_VALUE"""),1.831692792961746)</f>
        <v>1.831692793</v>
      </c>
      <c r="AV539" s="32">
        <f>IFERROR(__xludf.DUMMYFUNCTION("""COMPUTED_VALUE"""),44.18719389556722)</f>
        <v>44.1871939</v>
      </c>
      <c r="AW539" s="32">
        <f>IFERROR(__xludf.DUMMYFUNCTION("""COMPUTED_VALUE"""),-2.450559417576977)</f>
        <v>-2.450559418</v>
      </c>
      <c r="AX539" s="32">
        <f>IFERROR(__xludf.DUMMYFUNCTION("""COMPUTED_VALUE"""),46.860879455622715)</f>
        <v>46.86087946</v>
      </c>
      <c r="AY539" s="32">
        <f>IFERROR(__xludf.DUMMYFUNCTION("""COMPUTED_VALUE"""),-2.222033569946598)</f>
        <v>-2.22203357</v>
      </c>
      <c r="AZ539" s="30">
        <f>IFERROR(__xludf.DUMMYFUNCTION("""COMPUTED_VALUE"""),0.2285258476303791)</f>
        <v>0.2285258476</v>
      </c>
      <c r="BA539" s="30">
        <f>IFERROR(__xludf.DUMMYFUNCTION("""COMPUTED_VALUE"""),1700.0)</f>
        <v>1700</v>
      </c>
    </row>
    <row r="540">
      <c r="A540" s="71" t="str">
        <f>IFERROR(__xludf.DUMMYFUNCTION("""COMPUTED_VALUE"""),"Rival")</f>
        <v>Rival</v>
      </c>
      <c r="B540" s="71" t="str">
        <f>IFERROR(__xludf.DUMMYFUNCTION("""COMPUTED_VALUE"""),"RSC000813")</f>
        <v>RSC000813</v>
      </c>
      <c r="C540" s="30" t="str">
        <f>IFERROR(__xludf.DUMMYFUNCTION("""COMPUTED_VALUE"""),"Ziggy.")</f>
        <v>Ziggy.</v>
      </c>
      <c r="D540" s="30" t="str">
        <f>IFERROR(__xludf.DUMMYFUNCTION("""COMPUTED_VALUE"""),"Dice")</f>
        <v>Dice</v>
      </c>
      <c r="E540" s="30">
        <f>IFERROR(__xludf.DUMMYFUNCTION("""COMPUTED_VALUE"""),19.0)</f>
        <v>19</v>
      </c>
      <c r="F540" s="30">
        <f>IFERROR(__xludf.DUMMYFUNCTION("""COMPUTED_VALUE"""),6.0)</f>
        <v>6</v>
      </c>
      <c r="G540" s="42">
        <f>IFERROR(__xludf.DUMMYFUNCTION("""COMPUTED_VALUE"""),13.0)</f>
        <v>13</v>
      </c>
      <c r="H540" s="42">
        <f>IFERROR(__xludf.DUMMYFUNCTION("""COMPUTED_VALUE"""),0.3157894736842105)</f>
        <v>0.3157894737</v>
      </c>
      <c r="I540" s="42">
        <f>IFERROR(__xludf.DUMMYFUNCTION("""COMPUTED_VALUE"""),0.3414634146341463)</f>
        <v>0.3414634146</v>
      </c>
      <c r="J540" s="30">
        <f>IFERROR(__xludf.DUMMYFUNCTION("""COMPUTED_VALUE"""),283.7368421052632)</f>
        <v>283.7368421</v>
      </c>
      <c r="K540" s="30">
        <f>IFERROR(__xludf.DUMMYFUNCTION("""COMPUTED_VALUE"""),0.7368421052631579)</f>
        <v>0.7368421053</v>
      </c>
      <c r="L540" s="30">
        <f>IFERROR(__xludf.DUMMYFUNCTION("""COMPUTED_VALUE"""),0.3157894736842105)</f>
        <v>0.3157894737</v>
      </c>
      <c r="M540" s="30">
        <f>IFERROR(__xludf.DUMMYFUNCTION("""COMPUTED_VALUE"""),0.8947368421052632)</f>
        <v>0.8947368421</v>
      </c>
      <c r="N540" s="30">
        <f>IFERROR(__xludf.DUMMYFUNCTION("""COMPUTED_VALUE"""),2.1578947368421053)</f>
        <v>2.157894737</v>
      </c>
      <c r="O540" s="30">
        <f>IFERROR(__xludf.DUMMYFUNCTION("""COMPUTED_VALUE"""),368.578947368421)</f>
        <v>368.5789474</v>
      </c>
      <c r="P540" s="30">
        <f>IFERROR(__xludf.DUMMYFUNCTION("""COMPUTED_VALUE"""),1.0175438596491226)</f>
        <v>1.01754386</v>
      </c>
      <c r="Q540" s="30">
        <f>IFERROR(__xludf.DUMMYFUNCTION("""COMPUTED_VALUE"""),0.6842105263157896)</f>
        <v>0.6842105263</v>
      </c>
      <c r="R540" s="30">
        <f>IFERROR(__xludf.DUMMYFUNCTION("""COMPUTED_VALUE"""),1.3157894736842106)</f>
        <v>1.315789474</v>
      </c>
      <c r="S540" s="30">
        <f>IFERROR(__xludf.DUMMYFUNCTION("""COMPUTED_VALUE"""),2.701754385964912)</f>
        <v>2.701754386</v>
      </c>
      <c r="T540" s="30">
        <f>IFERROR(__xludf.DUMMYFUNCTION("""COMPUTED_VALUE"""),346.9924552490678)</f>
        <v>346.9924552</v>
      </c>
      <c r="U540" s="30">
        <f>IFERROR(__xludf.DUMMYFUNCTION("""COMPUTED_VALUE"""),0.8248357836357568)</f>
        <v>0.8248357836</v>
      </c>
      <c r="V540" s="30">
        <f>IFERROR(__xludf.DUMMYFUNCTION("""COMPUTED_VALUE"""),0.5726639881707859)</f>
        <v>0.5726639882</v>
      </c>
      <c r="W540" s="30">
        <f>IFERROR(__xludf.DUMMYFUNCTION("""COMPUTED_VALUE"""),1.3147498626668095)</f>
        <v>1.314749863</v>
      </c>
      <c r="X540" s="30">
        <f>IFERROR(__xludf.DUMMYFUNCTION("""COMPUTED_VALUE"""),2.6184713337593934)</f>
        <v>2.618471334</v>
      </c>
      <c r="Y540" s="30">
        <f>IFERROR(__xludf.DUMMYFUNCTION("""COMPUTED_VALUE"""),347.1136570614193)</f>
        <v>347.1136571</v>
      </c>
      <c r="Z540" s="30">
        <f>IFERROR(__xludf.DUMMYFUNCTION("""COMPUTED_VALUE"""),0.7846162703119672)</f>
        <v>0.7846162703</v>
      </c>
      <c r="AA540" s="30">
        <f>IFERROR(__xludf.DUMMYFUNCTION("""COMPUTED_VALUE"""),0.5381352174594873)</f>
        <v>0.5381352175</v>
      </c>
      <c r="AB540" s="30">
        <f>IFERROR(__xludf.DUMMYFUNCTION("""COMPUTED_VALUE"""),1.3768176093859232)</f>
        <v>1.376817609</v>
      </c>
      <c r="AC540" s="30">
        <f>IFERROR(__xludf.DUMMYFUNCTION("""COMPUTED_VALUE"""),2.6090042180722848)</f>
        <v>2.609004218</v>
      </c>
      <c r="AD540" s="30">
        <f>IFERROR(__xludf.DUMMYFUNCTION("""COMPUTED_VALUE"""),0.8174176853406202)</f>
        <v>0.8174176853</v>
      </c>
      <c r="AE540" s="30">
        <f>IFERROR(__xludf.DUMMYFUNCTION("""COMPUTED_VALUE"""),0.9391114270039109)</f>
        <v>0.939111427</v>
      </c>
      <c r="AF540" s="30">
        <f>IFERROR(__xludf.DUMMYFUNCTION("""COMPUTED_VALUE"""),0.5868217939257696)</f>
        <v>0.5868217939</v>
      </c>
      <c r="AG540" s="30">
        <f>IFERROR(__xludf.DUMMYFUNCTION("""COMPUTED_VALUE"""),0.6498586566628286)</f>
        <v>0.6498586567</v>
      </c>
      <c r="AH540" s="30">
        <f>IFERROR(__xludf.DUMMYFUNCTION("""COMPUTED_VALUE"""),0.8270951506688284)</f>
        <v>0.8270951507</v>
      </c>
      <c r="AI540" s="30">
        <f>IFERROR(__xludf.DUMMYFUNCTION("""COMPUTED_VALUE"""),1.062210263631982)</f>
        <v>1.062210264</v>
      </c>
      <c r="AJ540" s="30">
        <f>IFERROR(__xludf.DUMMYFUNCTION("""COMPUTED_VALUE"""),1.2336320511750065)</f>
        <v>1.233632051</v>
      </c>
      <c r="AK540" s="30">
        <f>IFERROR(__xludf.DUMMYFUNCTION("""COMPUTED_VALUE"""),1.1947853199243552)</f>
        <v>1.19478532</v>
      </c>
      <c r="AL540" s="30">
        <f>IFERROR(__xludf.DUMMYFUNCTION("""COMPUTED_VALUE"""),1.00079072913177)</f>
        <v>1.000790729</v>
      </c>
      <c r="AM540" s="30">
        <f>IFERROR(__xludf.DUMMYFUNCTION("""COMPUTED_VALUE"""),1.0318059820368348)</f>
        <v>1.031805982</v>
      </c>
      <c r="AN540" s="30">
        <f>IFERROR(__xludf.DUMMYFUNCTION("""COMPUTED_VALUE"""),0.8371277408773851)</f>
        <v>0.8371277409</v>
      </c>
      <c r="AO540" s="30">
        <f>IFERROR(__xludf.DUMMYFUNCTION("""COMPUTED_VALUE"""),1.002969918909003)</f>
        <v>1.002969919</v>
      </c>
      <c r="AP540" s="30">
        <f>IFERROR(__xludf.DUMMYFUNCTION("""COMPUTED_VALUE"""),0.5638857273535952)</f>
        <v>0.5638857274</v>
      </c>
      <c r="AQ540" s="30">
        <f>IFERROR(__xludf.DUMMYFUNCTION("""COMPUTED_VALUE"""),0.6827784098525078)</f>
        <v>0.6827784099</v>
      </c>
      <c r="AR540" s="30">
        <f>IFERROR(__xludf.DUMMYFUNCTION("""COMPUTED_VALUE"""),0.8665041290382248)</f>
        <v>0.866504129</v>
      </c>
      <c r="AS540" s="30">
        <f>IFERROR(__xludf.DUMMYFUNCTION("""COMPUTED_VALUE"""),38.0)</f>
        <v>38</v>
      </c>
      <c r="AT540" s="30">
        <f>IFERROR(__xludf.DUMMYFUNCTION("""COMPUTED_VALUE"""),0.3377949545104446)</f>
        <v>0.3377949545</v>
      </c>
      <c r="AU540" s="30">
        <f>IFERROR(__xludf.DUMMYFUNCTION("""COMPUTED_VALUE"""),1.3579329267037634)</f>
        <v>1.357932927</v>
      </c>
      <c r="AV540" s="32">
        <f>IFERROR(__xludf.DUMMYFUNCTION("""COMPUTED_VALUE"""),27.45206751841522)</f>
        <v>27.45206752</v>
      </c>
      <c r="AW540" s="32">
        <f>IFERROR(__xludf.DUMMYFUNCTION("""COMPUTED_VALUE"""),-5.448094894891417)</f>
        <v>-5.448094895</v>
      </c>
      <c r="AX540" s="32">
        <f>IFERROR(__xludf.DUMMYFUNCTION("""COMPUTED_VALUE"""),26.75778856951606)</f>
        <v>26.75778857</v>
      </c>
      <c r="AY540" s="32">
        <f>IFERROR(__xludf.DUMMYFUNCTION("""COMPUTED_VALUE"""),-5.673237207647242)</f>
        <v>-5.673237208</v>
      </c>
      <c r="AZ540" s="30">
        <f>IFERROR(__xludf.DUMMYFUNCTION("""COMPUTED_VALUE"""),0.22514231275582475)</f>
        <v>0.2251423128</v>
      </c>
      <c r="BA540" s="30">
        <f>IFERROR(__xludf.DUMMYFUNCTION("""COMPUTED_VALUE"""),1700.0)</f>
        <v>1700</v>
      </c>
    </row>
    <row r="541">
      <c r="A541" s="71" t="str">
        <f>IFERROR(__xludf.DUMMYFUNCTION("""COMPUTED_VALUE"""),"Rival")</f>
        <v>Rival</v>
      </c>
      <c r="B541" s="71" t="str">
        <f>IFERROR(__xludf.DUMMYFUNCTION("""COMPUTED_VALUE"""),"RSC000828")</f>
        <v>RSC000828</v>
      </c>
      <c r="C541" s="30" t="str">
        <f>IFERROR(__xludf.DUMMYFUNCTION("""COMPUTED_VALUE"""),"MattViaAirwaves")</f>
        <v>MattViaAirwaves</v>
      </c>
      <c r="D541" s="30" t="str">
        <f>IFERROR(__xludf.DUMMYFUNCTION("""COMPUTED_VALUE"""),"Polar Ice")</f>
        <v>Polar Ice</v>
      </c>
      <c r="E541" s="30">
        <f>IFERROR(__xludf.DUMMYFUNCTION("""COMPUTED_VALUE"""),16.0)</f>
        <v>16</v>
      </c>
      <c r="F541" s="30">
        <f>IFERROR(__xludf.DUMMYFUNCTION("""COMPUTED_VALUE"""),6.0)</f>
        <v>6</v>
      </c>
      <c r="G541" s="42">
        <f>IFERROR(__xludf.DUMMYFUNCTION("""COMPUTED_VALUE"""),10.0)</f>
        <v>10</v>
      </c>
      <c r="H541" s="42">
        <f>IFERROR(__xludf.DUMMYFUNCTION("""COMPUTED_VALUE"""),0.375)</f>
        <v>0.375</v>
      </c>
      <c r="I541" s="42">
        <f>IFERROR(__xludf.DUMMYFUNCTION("""COMPUTED_VALUE"""),0.275)</f>
        <v>0.275</v>
      </c>
      <c r="J541" s="30">
        <f>IFERROR(__xludf.DUMMYFUNCTION("""COMPUTED_VALUE"""),324.0625)</f>
        <v>324.0625</v>
      </c>
      <c r="K541" s="30">
        <f>IFERROR(__xludf.DUMMYFUNCTION("""COMPUTED_VALUE"""),0.6875)</f>
        <v>0.6875</v>
      </c>
      <c r="L541" s="30">
        <f>IFERROR(__xludf.DUMMYFUNCTION("""COMPUTED_VALUE"""),0.6875)</f>
        <v>0.6875</v>
      </c>
      <c r="M541" s="30">
        <f>IFERROR(__xludf.DUMMYFUNCTION("""COMPUTED_VALUE"""),1.1875)</f>
        <v>1.1875</v>
      </c>
      <c r="N541" s="30">
        <f>IFERROR(__xludf.DUMMYFUNCTION("""COMPUTED_VALUE"""),2.5)</f>
        <v>2.5</v>
      </c>
      <c r="O541" s="30">
        <f>IFERROR(__xludf.DUMMYFUNCTION("""COMPUTED_VALUE"""),382.75)</f>
        <v>382.75</v>
      </c>
      <c r="P541" s="30">
        <f>IFERROR(__xludf.DUMMYFUNCTION("""COMPUTED_VALUE"""),1.0416666666666667)</f>
        <v>1.041666667</v>
      </c>
      <c r="Q541" s="30">
        <f>IFERROR(__xludf.DUMMYFUNCTION("""COMPUTED_VALUE"""),0.7708333333333333)</f>
        <v>0.7708333333</v>
      </c>
      <c r="R541" s="30">
        <f>IFERROR(__xludf.DUMMYFUNCTION("""COMPUTED_VALUE"""),1.2291666666666665)</f>
        <v>1.229166667</v>
      </c>
      <c r="S541" s="30">
        <f>IFERROR(__xludf.DUMMYFUNCTION("""COMPUTED_VALUE"""),2.666666666666666)</f>
        <v>2.666666667</v>
      </c>
      <c r="T541" s="30">
        <f>IFERROR(__xludf.DUMMYFUNCTION("""COMPUTED_VALUE"""),338.9060620706456)</f>
        <v>338.9060621</v>
      </c>
      <c r="U541" s="30">
        <f>IFERROR(__xludf.DUMMYFUNCTION("""COMPUTED_VALUE"""),0.7624321473279808)</f>
        <v>0.7624321473</v>
      </c>
      <c r="V541" s="30">
        <f>IFERROR(__xludf.DUMMYFUNCTION("""COMPUTED_VALUE"""),0.5215460658168992)</f>
        <v>0.5215460658</v>
      </c>
      <c r="W541" s="30">
        <f>IFERROR(__xludf.DUMMYFUNCTION("""COMPUTED_VALUE"""),1.230744486994487)</f>
        <v>1.230744487</v>
      </c>
      <c r="X541" s="30">
        <f>IFERROR(__xludf.DUMMYFUNCTION("""COMPUTED_VALUE"""),2.527720100115933)</f>
        <v>2.5277201</v>
      </c>
      <c r="Y541" s="30">
        <f>IFERROR(__xludf.DUMMYFUNCTION("""COMPUTED_VALUE"""),332.21024314548623)</f>
        <v>332.2102431</v>
      </c>
      <c r="Z541" s="30">
        <f>IFERROR(__xludf.DUMMYFUNCTION("""COMPUTED_VALUE"""),0.7054604474743362)</f>
        <v>0.7054604475</v>
      </c>
      <c r="AA541" s="30">
        <f>IFERROR(__xludf.DUMMYFUNCTION("""COMPUTED_VALUE"""),0.500483769060158)</f>
        <v>0.5004837691</v>
      </c>
      <c r="AB541" s="30">
        <f>IFERROR(__xludf.DUMMYFUNCTION("""COMPUTED_VALUE"""),1.3022045855379192)</f>
        <v>1.302204586</v>
      </c>
      <c r="AC541" s="30">
        <f>IFERROR(__xludf.DUMMYFUNCTION("""COMPUTED_VALUE"""),2.324412874933708)</f>
        <v>2.324412875</v>
      </c>
      <c r="AD541" s="30">
        <f>IFERROR(__xludf.DUMMYFUNCTION("""COMPUTED_VALUE"""),0.9754741362929076)</f>
        <v>0.9754741363</v>
      </c>
      <c r="AE541" s="30">
        <f>IFERROR(__xludf.DUMMYFUNCTION("""COMPUTED_VALUE"""),0.9745408158052835)</f>
        <v>0.9745408158</v>
      </c>
      <c r="AF541" s="30">
        <f>IFERROR(__xludf.DUMMYFUNCTION("""COMPUTED_VALUE"""),1.3736709210191445)</f>
        <v>1.373670921</v>
      </c>
      <c r="AG541" s="30">
        <f>IFERROR(__xludf.DUMMYFUNCTION("""COMPUTED_VALUE"""),0.911915080923681)</f>
        <v>0.9119150809</v>
      </c>
      <c r="AH541" s="30">
        <f>IFERROR(__xludf.DUMMYFUNCTION("""COMPUTED_VALUE"""),1.0755404201034207)</f>
        <v>1.07554042</v>
      </c>
      <c r="AI541" s="30">
        <f>IFERROR(__xludf.DUMMYFUNCTION("""COMPUTED_VALUE"""),1.1293689987764663)</f>
        <v>1.129368999</v>
      </c>
      <c r="AJ541" s="30">
        <f>IFERROR(__xludf.DUMMYFUNCTION("""COMPUTED_VALUE"""),1.36624179648942)</f>
        <v>1.366241796</v>
      </c>
      <c r="AK541" s="30">
        <f>IFERROR(__xludf.DUMMYFUNCTION("""COMPUTED_VALUE"""),1.4779774671024977)</f>
        <v>1.477977467</v>
      </c>
      <c r="AL541" s="30">
        <f>IFERROR(__xludf.DUMMYFUNCTION("""COMPUTED_VALUE"""),0.9987179952098152)</f>
        <v>0.9987179952</v>
      </c>
      <c r="AM541" s="30">
        <f>IFERROR(__xludf.DUMMYFUNCTION("""COMPUTED_VALUE"""),1.0549691267416674)</f>
        <v>1.054969127</v>
      </c>
      <c r="AN541" s="30">
        <f>IFERROR(__xludf.DUMMYFUNCTION("""COMPUTED_VALUE"""),0.9561032205589823)</f>
        <v>0.9561032206</v>
      </c>
      <c r="AO541" s="30">
        <f>IFERROR(__xludf.DUMMYFUNCTION("""COMPUTED_VALUE"""),0.9358067546963467)</f>
        <v>0.9358067547</v>
      </c>
      <c r="AP541" s="30">
        <f>IFERROR(__xludf.DUMMYFUNCTION("""COMPUTED_VALUE"""),1.2276262189260563)</f>
        <v>1.227626219</v>
      </c>
      <c r="AQ541" s="30">
        <f>IFERROR(__xludf.DUMMYFUNCTION("""COMPUTED_VALUE"""),0.9061875218998358)</f>
        <v>0.9061875219</v>
      </c>
      <c r="AR541" s="30">
        <f>IFERROR(__xludf.DUMMYFUNCTION("""COMPUTED_VALUE"""),1.003876734861358)</f>
        <v>1.003876735</v>
      </c>
      <c r="AS541" s="30">
        <f>IFERROR(__xludf.DUMMYFUNCTION("""COMPUTED_VALUE"""),37.0)</f>
        <v>37</v>
      </c>
      <c r="AT541" s="30">
        <f>IFERROR(__xludf.DUMMYFUNCTION("""COMPUTED_VALUE"""),0.3800047242128176)</f>
        <v>0.3800047242</v>
      </c>
      <c r="AU541" s="30">
        <f>IFERROR(__xludf.DUMMYFUNCTION("""COMPUTED_VALUE"""),1.8913303718178276)</f>
        <v>1.891330372</v>
      </c>
      <c r="AV541" s="32">
        <f>IFERROR(__xludf.DUMMYFUNCTION("""COMPUTED_VALUE"""),46.293835867727054)</f>
        <v>46.29383587</v>
      </c>
      <c r="AW541" s="32">
        <f>IFERROR(__xludf.DUMMYFUNCTION("""COMPUTED_VALUE"""),-2.2671927872079816)</f>
        <v>-2.267192787</v>
      </c>
      <c r="AX541" s="32">
        <f>IFERROR(__xludf.DUMMYFUNCTION("""COMPUTED_VALUE"""),49.27624778604311)</f>
        <v>49.27624779</v>
      </c>
      <c r="AY541" s="32">
        <f>IFERROR(__xludf.DUMMYFUNCTION("""COMPUTED_VALUE"""),-2.047283240017409)</f>
        <v>-2.04728324</v>
      </c>
      <c r="AZ541" s="30">
        <f>IFERROR(__xludf.DUMMYFUNCTION("""COMPUTED_VALUE"""),0.21990954719057276)</f>
        <v>0.2199095472</v>
      </c>
      <c r="BA541" s="30">
        <f>IFERROR(__xludf.DUMMYFUNCTION("""COMPUTED_VALUE"""),1700.0)</f>
        <v>1700</v>
      </c>
    </row>
    <row r="542">
      <c r="A542" s="71" t="str">
        <f>IFERROR(__xludf.DUMMYFUNCTION("""COMPUTED_VALUE"""),"Rival")</f>
        <v>Rival</v>
      </c>
      <c r="B542" s="71" t="str">
        <f>IFERROR(__xludf.DUMMYFUNCTION("""COMPUTED_VALUE"""),"RSC001032")</f>
        <v>RSC001032</v>
      </c>
      <c r="C542" s="30" t="str">
        <f>IFERROR(__xludf.DUMMYFUNCTION("""COMPUTED_VALUE"""),"JmE")</f>
        <v>JmE</v>
      </c>
      <c r="D542" s="30" t="str">
        <f>IFERROR(__xludf.DUMMYFUNCTION("""COMPUTED_VALUE"""),"Blizzards")</f>
        <v>Blizzards</v>
      </c>
      <c r="E542" s="30">
        <f>IFERROR(__xludf.DUMMYFUNCTION("""COMPUTED_VALUE"""),3.0)</f>
        <v>3</v>
      </c>
      <c r="F542" s="30">
        <f>IFERROR(__xludf.DUMMYFUNCTION("""COMPUTED_VALUE"""),0.0)</f>
        <v>0</v>
      </c>
      <c r="G542" s="42">
        <f>IFERROR(__xludf.DUMMYFUNCTION("""COMPUTED_VALUE"""),3.0)</f>
        <v>3</v>
      </c>
      <c r="H542" s="42">
        <f>IFERROR(__xludf.DUMMYFUNCTION("""COMPUTED_VALUE"""),0.0)</f>
        <v>0</v>
      </c>
      <c r="I542" s="42">
        <f>IFERROR(__xludf.DUMMYFUNCTION("""COMPUTED_VALUE"""),0.1111111111111111)</f>
        <v>0.1111111111</v>
      </c>
      <c r="J542" s="30">
        <f>IFERROR(__xludf.DUMMYFUNCTION("""COMPUTED_VALUE"""),350.6666666666667)</f>
        <v>350.6666667</v>
      </c>
      <c r="K542" s="30">
        <f>IFERROR(__xludf.DUMMYFUNCTION("""COMPUTED_VALUE"""),0.3333333333333333)</f>
        <v>0.3333333333</v>
      </c>
      <c r="L542" s="30">
        <f>IFERROR(__xludf.DUMMYFUNCTION("""COMPUTED_VALUE"""),1.6666666666666667)</f>
        <v>1.666666667</v>
      </c>
      <c r="M542" s="30">
        <f>IFERROR(__xludf.DUMMYFUNCTION("""COMPUTED_VALUE"""),1.3333333333333333)</f>
        <v>1.333333333</v>
      </c>
      <c r="N542" s="30">
        <f>IFERROR(__xludf.DUMMYFUNCTION("""COMPUTED_VALUE"""),3.0)</f>
        <v>3</v>
      </c>
      <c r="O542" s="30">
        <f>IFERROR(__xludf.DUMMYFUNCTION("""COMPUTED_VALUE"""),611.3333333333334)</f>
        <v>611.3333333</v>
      </c>
      <c r="P542" s="30">
        <f>IFERROR(__xludf.DUMMYFUNCTION("""COMPUTED_VALUE"""),2.2222222222222228)</f>
        <v>2.222222222</v>
      </c>
      <c r="Q542" s="30">
        <f>IFERROR(__xludf.DUMMYFUNCTION("""COMPUTED_VALUE"""),1.777777777777778)</f>
        <v>1.777777778</v>
      </c>
      <c r="R542" s="30">
        <f>IFERROR(__xludf.DUMMYFUNCTION("""COMPUTED_VALUE"""),1.6666666666666667)</f>
        <v>1.666666667</v>
      </c>
      <c r="S542" s="30">
        <f>IFERROR(__xludf.DUMMYFUNCTION("""COMPUTED_VALUE"""),3.0)</f>
        <v>3</v>
      </c>
      <c r="T542" s="30">
        <f>IFERROR(__xludf.DUMMYFUNCTION("""COMPUTED_VALUE"""),387.0828269270671)</f>
        <v>387.0828269</v>
      </c>
      <c r="U542" s="30">
        <f>IFERROR(__xludf.DUMMYFUNCTION("""COMPUTED_VALUE"""),0.9696772227409483)</f>
        <v>0.9696772227</v>
      </c>
      <c r="V542" s="30">
        <f>IFERROR(__xludf.DUMMYFUNCTION("""COMPUTED_VALUE"""),0.6973622782446313)</f>
        <v>0.6973622782</v>
      </c>
      <c r="W542" s="30">
        <f>IFERROR(__xludf.DUMMYFUNCTION("""COMPUTED_VALUE"""),1.4118029619255108)</f>
        <v>1.411802962</v>
      </c>
      <c r="X542" s="30">
        <f>IFERROR(__xludf.DUMMYFUNCTION("""COMPUTED_VALUE"""),2.872648874364561)</f>
        <v>2.872648874</v>
      </c>
      <c r="Y542" s="30">
        <f>IFERROR(__xludf.DUMMYFUNCTION("""COMPUTED_VALUE"""),332.0635564719716)</f>
        <v>332.0635565</v>
      </c>
      <c r="Z542" s="30">
        <f>IFERROR(__xludf.DUMMYFUNCTION("""COMPUTED_VALUE"""),0.6595432617491439)</f>
        <v>0.6595432617</v>
      </c>
      <c r="AA542" s="30">
        <f>IFERROR(__xludf.DUMMYFUNCTION("""COMPUTED_VALUE"""),0.5108802780371409)</f>
        <v>0.510880278</v>
      </c>
      <c r="AB542" s="30">
        <f>IFERROR(__xludf.DUMMYFUNCTION("""COMPUTED_VALUE"""),1.3733980011757787)</f>
        <v>1.373398001</v>
      </c>
      <c r="AC542" s="30">
        <f>IFERROR(__xludf.DUMMYFUNCTION("""COMPUTED_VALUE"""),2.616434104505999)</f>
        <v>2.616434105</v>
      </c>
      <c r="AD542" s="30">
        <f>IFERROR(__xludf.DUMMYFUNCTION("""COMPUTED_VALUE"""),1.0560227397199045)</f>
        <v>1.05602274</v>
      </c>
      <c r="AE542" s="30">
        <f>IFERROR(__xludf.DUMMYFUNCTION("""COMPUTED_VALUE"""),0.5054002560033978)</f>
        <v>0.505400256</v>
      </c>
      <c r="AF542" s="30">
        <f>IFERROR(__xludf.DUMMYFUNCTION("""COMPUTED_VALUE"""),3.2623429369209287)</f>
        <v>3.262342937</v>
      </c>
      <c r="AG542" s="30">
        <f>IFERROR(__xludf.DUMMYFUNCTION("""COMPUTED_VALUE"""),0.9708280718275797)</f>
        <v>0.9708280718</v>
      </c>
      <c r="AH542" s="30">
        <f>IFERROR(__xludf.DUMMYFUNCTION("""COMPUTED_VALUE"""),1.1465987218380267)</f>
        <v>1.146598722</v>
      </c>
      <c r="AI542" s="30">
        <f>IFERROR(__xludf.DUMMYFUNCTION("""COMPUTED_VALUE"""),1.5793346818987628)</f>
        <v>1.579334682</v>
      </c>
      <c r="AJ542" s="30">
        <f>IFERROR(__xludf.DUMMYFUNCTION("""COMPUTED_VALUE"""),2.291713335227938)</f>
        <v>2.291713335</v>
      </c>
      <c r="AK542" s="30">
        <f>IFERROR(__xludf.DUMMYFUNCTION("""COMPUTED_VALUE"""),2.54928870292887)</f>
        <v>2.549288703</v>
      </c>
      <c r="AL542" s="30">
        <f>IFERROR(__xludf.DUMMYFUNCTION("""COMPUTED_VALUE"""),1.1805235656918838)</f>
        <v>1.180523566</v>
      </c>
      <c r="AM542" s="30">
        <f>IFERROR(__xludf.DUMMYFUNCTION("""COMPUTED_VALUE"""),1.0443322978913006)</f>
        <v>1.044332298</v>
      </c>
      <c r="AN542" s="30">
        <f>IFERROR(__xludf.DUMMYFUNCTION("""COMPUTED_VALUE"""),1.0345952689455988)</f>
        <v>1.034595269</v>
      </c>
      <c r="AO542" s="30">
        <f>IFERROR(__xludf.DUMMYFUNCTION("""COMPUTED_VALUE"""),0.4537244871255014)</f>
        <v>0.4537244871</v>
      </c>
      <c r="AP542" s="30">
        <f>IFERROR(__xludf.DUMMYFUNCTION("""COMPUTED_VALUE"""),2.9760635610328636)</f>
        <v>2.976063561</v>
      </c>
      <c r="AQ542" s="30">
        <f>IFERROR(__xludf.DUMMYFUNCTION("""COMPUTED_VALUE"""),1.0174737087998156)</f>
        <v>1.017473709</v>
      </c>
      <c r="AR542" s="30">
        <f>IFERROR(__xludf.DUMMYFUNCTION("""COMPUTED_VALUE"""),1.2046520818336297)</f>
        <v>1.204652082</v>
      </c>
      <c r="AS542" s="30">
        <f>IFERROR(__xludf.DUMMYFUNCTION("""COMPUTED_VALUE"""),10.0)</f>
        <v>10</v>
      </c>
      <c r="AT542" s="30">
        <f>IFERROR(__xludf.DUMMYFUNCTION("""COMPUTED_VALUE"""),0.20714432649570344)</f>
        <v>0.2071443265</v>
      </c>
      <c r="AU542" s="30">
        <f>IFERROR(__xludf.DUMMYFUNCTION("""COMPUTED_VALUE"""),2.008803480862324)</f>
        <v>2.008803481</v>
      </c>
      <c r="AV542" s="32">
        <f>IFERROR(__xludf.DUMMYFUNCTION("""COMPUTED_VALUE"""),50.44346411991437)</f>
        <v>50.44346412</v>
      </c>
      <c r="AW542" s="32">
        <f>IFERROR(__xludf.DUMMYFUNCTION("""COMPUTED_VALUE"""),2.0287115116572183)</f>
        <v>2.028711512</v>
      </c>
      <c r="AX542" s="32">
        <f>IFERROR(__xludf.DUMMYFUNCTION("""COMPUTED_VALUE"""),53.28476916901747)</f>
        <v>53.28476917</v>
      </c>
      <c r="AY542" s="32">
        <f>IFERROR(__xludf.DUMMYFUNCTION("""COMPUTED_VALUE"""),2.2334734878572675)</f>
        <v>2.233473488</v>
      </c>
      <c r="AZ542" s="30">
        <f>IFERROR(__xludf.DUMMYFUNCTION("""COMPUTED_VALUE"""),0.2047619762000492)</f>
        <v>0.2047619762</v>
      </c>
      <c r="BA542" s="30">
        <f>IFERROR(__xludf.DUMMYFUNCTION("""COMPUTED_VALUE"""),1700.0)</f>
        <v>1700</v>
      </c>
    </row>
    <row r="543">
      <c r="A543" s="71" t="str">
        <f>IFERROR(__xludf.DUMMYFUNCTION("""COMPUTED_VALUE"""),"Rival")</f>
        <v>Rival</v>
      </c>
      <c r="B543" s="71" t="str">
        <f>IFERROR(__xludf.DUMMYFUNCTION("""COMPUTED_VALUE"""),"RSC004456")</f>
        <v>RSC004456</v>
      </c>
      <c r="C543" s="30" t="str">
        <f>IFERROR(__xludf.DUMMYFUNCTION("""COMPUTED_VALUE"""),"ShazamPoof")</f>
        <v>ShazamPoof</v>
      </c>
      <c r="D543" s="30" t="str">
        <f>IFERROR(__xludf.DUMMYFUNCTION("""COMPUTED_VALUE"""),"Centuriones")</f>
        <v>Centuriones</v>
      </c>
      <c r="E543" s="30">
        <f>IFERROR(__xludf.DUMMYFUNCTION("""COMPUTED_VALUE"""),22.0)</f>
        <v>22</v>
      </c>
      <c r="F543" s="30">
        <f>IFERROR(__xludf.DUMMYFUNCTION("""COMPUTED_VALUE"""),6.0)</f>
        <v>6</v>
      </c>
      <c r="G543" s="42">
        <f>IFERROR(__xludf.DUMMYFUNCTION("""COMPUTED_VALUE"""),16.0)</f>
        <v>16</v>
      </c>
      <c r="H543" s="42">
        <f>IFERROR(__xludf.DUMMYFUNCTION("""COMPUTED_VALUE"""),0.2727272727272727)</f>
        <v>0.2727272727</v>
      </c>
      <c r="I543" s="42">
        <f>IFERROR(__xludf.DUMMYFUNCTION("""COMPUTED_VALUE"""),0.36)</f>
        <v>0.36</v>
      </c>
      <c r="J543" s="30">
        <f>IFERROR(__xludf.DUMMYFUNCTION("""COMPUTED_VALUE"""),298.04545454545456)</f>
        <v>298.0454545</v>
      </c>
      <c r="K543" s="30">
        <f>IFERROR(__xludf.DUMMYFUNCTION("""COMPUTED_VALUE"""),0.8181818181818182)</f>
        <v>0.8181818182</v>
      </c>
      <c r="L543" s="30">
        <f>IFERROR(__xludf.DUMMYFUNCTION("""COMPUTED_VALUE"""),0.45454545454545453)</f>
        <v>0.4545454545</v>
      </c>
      <c r="M543" s="30">
        <f>IFERROR(__xludf.DUMMYFUNCTION("""COMPUTED_VALUE"""),1.0909090909090908)</f>
        <v>1.090909091</v>
      </c>
      <c r="N543" s="30">
        <f>IFERROR(__xludf.DUMMYFUNCTION("""COMPUTED_VALUE"""),2.272727272727273)</f>
        <v>2.272727273</v>
      </c>
      <c r="O543" s="30">
        <f>IFERROR(__xludf.DUMMYFUNCTION("""COMPUTED_VALUE"""),360.8333333333333)</f>
        <v>360.8333333</v>
      </c>
      <c r="P543" s="30">
        <f>IFERROR(__xludf.DUMMYFUNCTION("""COMPUTED_VALUE"""),0.9848484848484848)</f>
        <v>0.9848484848</v>
      </c>
      <c r="Q543" s="30">
        <f>IFERROR(__xludf.DUMMYFUNCTION("""COMPUTED_VALUE"""),0.7121212121212123)</f>
        <v>0.7121212121</v>
      </c>
      <c r="R543" s="30">
        <f>IFERROR(__xludf.DUMMYFUNCTION("""COMPUTED_VALUE"""),1.0454545454545456)</f>
        <v>1.045454545</v>
      </c>
      <c r="S543" s="30">
        <f>IFERROR(__xludf.DUMMYFUNCTION("""COMPUTED_VALUE"""),2.833333333333333)</f>
        <v>2.833333333</v>
      </c>
      <c r="T543" s="30">
        <f>IFERROR(__xludf.DUMMYFUNCTION("""COMPUTED_VALUE"""),341.64962258416466)</f>
        <v>341.6496226</v>
      </c>
      <c r="U543" s="30">
        <f>IFERROR(__xludf.DUMMYFUNCTION("""COMPUTED_VALUE"""),0.7623503483296264)</f>
        <v>0.7623503483</v>
      </c>
      <c r="V543" s="30">
        <f>IFERROR(__xludf.DUMMYFUNCTION("""COMPUTED_VALUE"""),0.5618081617580282)</f>
        <v>0.5618081618</v>
      </c>
      <c r="W543" s="30">
        <f>IFERROR(__xludf.DUMMYFUNCTION("""COMPUTED_VALUE"""),1.2823983305266728)</f>
        <v>1.282398331</v>
      </c>
      <c r="X543" s="30">
        <f>IFERROR(__xludf.DUMMYFUNCTION("""COMPUTED_VALUE"""),2.5380021635870573)</f>
        <v>2.538002164</v>
      </c>
      <c r="Y543" s="30">
        <f>IFERROR(__xludf.DUMMYFUNCTION("""COMPUTED_VALUE"""),350.6380491587043)</f>
        <v>350.6380492</v>
      </c>
      <c r="Z543" s="30">
        <f>IFERROR(__xludf.DUMMYFUNCTION("""COMPUTED_VALUE"""),0.8262794778091124)</f>
        <v>0.8262794778</v>
      </c>
      <c r="AA543" s="30">
        <f>IFERROR(__xludf.DUMMYFUNCTION("""COMPUTED_VALUE"""),0.580803919705435)</f>
        <v>0.5808039197</v>
      </c>
      <c r="AB543" s="30">
        <f>IFERROR(__xludf.DUMMYFUNCTION("""COMPUTED_VALUE"""),1.2821424902340677)</f>
        <v>1.28214249</v>
      </c>
      <c r="AC543" s="30">
        <f>IFERROR(__xludf.DUMMYFUNCTION("""COMPUTED_VALUE"""),2.57364660579567)</f>
        <v>2.573646606</v>
      </c>
      <c r="AD543" s="30">
        <f>IFERROR(__xludf.DUMMYFUNCTION("""COMPUTED_VALUE"""),0.8500088774180765)</f>
        <v>0.8500088774</v>
      </c>
      <c r="AE543" s="30">
        <f>IFERROR(__xludf.DUMMYFUNCTION("""COMPUTED_VALUE"""),0.9901998538693407)</f>
        <v>0.9901998539</v>
      </c>
      <c r="AF543" s="30">
        <f>IFERROR(__xludf.DUMMYFUNCTION("""COMPUTED_VALUE"""),0.7826143025618445)</f>
        <v>0.7826143026</v>
      </c>
      <c r="AG543" s="30">
        <f>IFERROR(__xludf.DUMMYFUNCTION("""COMPUTED_VALUE"""),0.8508485595153583)</f>
        <v>0.8508485595</v>
      </c>
      <c r="AH543" s="30">
        <f>IFERROR(__xludf.DUMMYFUNCTION("""COMPUTED_VALUE"""),0.8830766693489509)</f>
        <v>0.8830766693</v>
      </c>
      <c r="AI543" s="30">
        <f>IFERROR(__xludf.DUMMYFUNCTION("""COMPUTED_VALUE"""),1.0561502471569182)</f>
        <v>1.056150247</v>
      </c>
      <c r="AJ543" s="30">
        <f>IFERROR(__xludf.DUMMYFUNCTION("""COMPUTED_VALUE"""),1.291858116161907)</f>
        <v>1.291858116</v>
      </c>
      <c r="AK543" s="30">
        <f>IFERROR(__xludf.DUMMYFUNCTION("""COMPUTED_VALUE"""),1.2675522724568822)</f>
        <v>1.267552272</v>
      </c>
      <c r="AL543" s="30">
        <f>IFERROR(__xludf.DUMMYFUNCTION("""COMPUTED_VALUE"""),0.8152338634324204)</f>
        <v>0.8152338634</v>
      </c>
      <c r="AM543" s="30">
        <f>IFERROR(__xludf.DUMMYFUNCTION("""COMPUTED_VALUE"""),1.11636363986738)</f>
        <v>1.11636364</v>
      </c>
      <c r="AN543" s="30">
        <f>IFERROR(__xludf.DUMMYFUNCTION("""COMPUTED_VALUE"""),0.8793433950669235)</f>
        <v>0.8793433951</v>
      </c>
      <c r="AO543" s="30">
        <f>IFERROR(__xludf.DUMMYFUNCTION("""COMPUTED_VALUE"""),1.1136873774898672)</f>
        <v>1.113687377</v>
      </c>
      <c r="AP543" s="30">
        <f>IFERROR(__xludf.DUMMYFUNCTION("""COMPUTED_VALUE"""),0.8116536984635082)</f>
        <v>0.8116536985</v>
      </c>
      <c r="AQ543" s="30">
        <f>IFERROR(__xludf.DUMMYFUNCTION("""COMPUTED_VALUE"""),0.8324784890180308)</f>
        <v>0.832478489</v>
      </c>
      <c r="AR543" s="30">
        <f>IFERROR(__xludf.DUMMYFUNCTION("""COMPUTED_VALUE"""),0.9126152135103256)</f>
        <v>0.9126152135</v>
      </c>
      <c r="AS543" s="30">
        <f>IFERROR(__xludf.DUMMYFUNCTION("""COMPUTED_VALUE"""),50.0)</f>
        <v>50</v>
      </c>
      <c r="AT543" s="30">
        <f>IFERROR(__xludf.DUMMYFUNCTION("""COMPUTED_VALUE"""),0.3960993299186491)</f>
        <v>0.3960993299</v>
      </c>
      <c r="AU543" s="30">
        <f>IFERROR(__xludf.DUMMYFUNCTION("""COMPUTED_VALUE"""),1.5882972438035559)</f>
        <v>1.588297244</v>
      </c>
      <c r="AV543" s="32">
        <f>IFERROR(__xludf.DUMMYFUNCTION("""COMPUTED_VALUE"""),35.58947263443245)</f>
        <v>35.58947263</v>
      </c>
      <c r="AW543" s="32">
        <f>IFERROR(__xludf.DUMMYFUNCTION("""COMPUTED_VALUE"""),-3.544021956668669)</f>
        <v>-3.544021957</v>
      </c>
      <c r="AX543" s="32">
        <f>IFERROR(__xludf.DUMMYFUNCTION("""COMPUTED_VALUE"""),34.627751661896454)</f>
        <v>34.62775166</v>
      </c>
      <c r="AY543" s="32">
        <f>IFERROR(__xludf.DUMMYFUNCTION("""COMPUTED_VALUE"""),-3.7131418832501235)</f>
        <v>-3.713141883</v>
      </c>
      <c r="AZ543" s="30">
        <f>IFERROR(__xludf.DUMMYFUNCTION("""COMPUTED_VALUE"""),0.16911992658145447)</f>
        <v>0.1691199266</v>
      </c>
      <c r="BA543" s="30">
        <f>IFERROR(__xludf.DUMMYFUNCTION("""COMPUTED_VALUE"""),1700.0)</f>
        <v>1700</v>
      </c>
    </row>
    <row r="544">
      <c r="A544" s="71" t="str">
        <f>IFERROR(__xludf.DUMMYFUNCTION("""COMPUTED_VALUE"""),"Rival")</f>
        <v>Rival</v>
      </c>
      <c r="B544" s="71" t="str">
        <f>IFERROR(__xludf.DUMMYFUNCTION("""COMPUTED_VALUE"""),"RSC000848")</f>
        <v>RSC000848</v>
      </c>
      <c r="C544" s="30" t="str">
        <f>IFERROR(__xludf.DUMMYFUNCTION("""COMPUTED_VALUE"""),"WittingHalo64")</f>
        <v>WittingHalo64</v>
      </c>
      <c r="D544" s="30" t="str">
        <f>IFERROR(__xludf.DUMMYFUNCTION("""COMPUTED_VALUE"""),"Ruthless Racket")</f>
        <v>Ruthless Racket</v>
      </c>
      <c r="E544" s="30">
        <f>IFERROR(__xludf.DUMMYFUNCTION("""COMPUTED_VALUE"""),31.0)</f>
        <v>31</v>
      </c>
      <c r="F544" s="30">
        <f>IFERROR(__xludf.DUMMYFUNCTION("""COMPUTED_VALUE"""),11.0)</f>
        <v>11</v>
      </c>
      <c r="G544" s="42">
        <f>IFERROR(__xludf.DUMMYFUNCTION("""COMPUTED_VALUE"""),20.0)</f>
        <v>20</v>
      </c>
      <c r="H544" s="42">
        <f>IFERROR(__xludf.DUMMYFUNCTION("""COMPUTED_VALUE"""),0.3548387096774194)</f>
        <v>0.3548387097</v>
      </c>
      <c r="I544" s="42">
        <f>IFERROR(__xludf.DUMMYFUNCTION("""COMPUTED_VALUE"""),0.23750000000000002)</f>
        <v>0.2375</v>
      </c>
      <c r="J544" s="30">
        <f>IFERROR(__xludf.DUMMYFUNCTION("""COMPUTED_VALUE"""),327.6774193548387)</f>
        <v>327.6774194</v>
      </c>
      <c r="K544" s="30">
        <f>IFERROR(__xludf.DUMMYFUNCTION("""COMPUTED_VALUE"""),0.6129032258064516)</f>
        <v>0.6129032258</v>
      </c>
      <c r="L544" s="30">
        <f>IFERROR(__xludf.DUMMYFUNCTION("""COMPUTED_VALUE"""),0.5483870967741935)</f>
        <v>0.5483870968</v>
      </c>
      <c r="M544" s="30">
        <f>IFERROR(__xludf.DUMMYFUNCTION("""COMPUTED_VALUE"""),1.2258064516129032)</f>
        <v>1.225806452</v>
      </c>
      <c r="N544" s="30">
        <f>IFERROR(__xludf.DUMMYFUNCTION("""COMPUTED_VALUE"""),2.5806451612903225)</f>
        <v>2.580645161</v>
      </c>
      <c r="O544" s="30">
        <f>IFERROR(__xludf.DUMMYFUNCTION("""COMPUTED_VALUE"""),347.3763440860215)</f>
        <v>347.3763441</v>
      </c>
      <c r="P544" s="30">
        <f>IFERROR(__xludf.DUMMYFUNCTION("""COMPUTED_VALUE"""),0.8172043010752689)</f>
        <v>0.8172043011</v>
      </c>
      <c r="Q544" s="30">
        <f>IFERROR(__xludf.DUMMYFUNCTION("""COMPUTED_VALUE"""),0.6559139784946236)</f>
        <v>0.6559139785</v>
      </c>
      <c r="R544" s="30">
        <f>IFERROR(__xludf.DUMMYFUNCTION("""COMPUTED_VALUE"""),1.1182795698924728)</f>
        <v>1.11827957</v>
      </c>
      <c r="S544" s="30">
        <f>IFERROR(__xludf.DUMMYFUNCTION("""COMPUTED_VALUE"""),2.698924731182796)</f>
        <v>2.698924731</v>
      </c>
      <c r="T544" s="30">
        <f>IFERROR(__xludf.DUMMYFUNCTION("""COMPUTED_VALUE"""),346.47251898642224)</f>
        <v>346.472519</v>
      </c>
      <c r="U544" s="30">
        <f>IFERROR(__xludf.DUMMYFUNCTION("""COMPUTED_VALUE"""),0.8176416993097841)</f>
        <v>0.8176416993</v>
      </c>
      <c r="V544" s="30">
        <f>IFERROR(__xludf.DUMMYFUNCTION("""COMPUTED_VALUE"""),0.5774629332787636)</f>
        <v>0.5774629333</v>
      </c>
      <c r="W544" s="30">
        <f>IFERROR(__xludf.DUMMYFUNCTION("""COMPUTED_VALUE"""),1.2029449881425933)</f>
        <v>1.202944988</v>
      </c>
      <c r="X544" s="30">
        <f>IFERROR(__xludf.DUMMYFUNCTION("""COMPUTED_VALUE"""),2.6428276603869314)</f>
        <v>2.64282766</v>
      </c>
      <c r="Y544" s="30">
        <f>IFERROR(__xludf.DUMMYFUNCTION("""COMPUTED_VALUE"""),335.6025713609165)</f>
        <v>335.6025714</v>
      </c>
      <c r="Z544" s="30">
        <f>IFERROR(__xludf.DUMMYFUNCTION("""COMPUTED_VALUE"""),0.7132201333278055)</f>
        <v>0.7132201333</v>
      </c>
      <c r="AA544" s="30">
        <f>IFERROR(__xludf.DUMMYFUNCTION("""COMPUTED_VALUE"""),0.5277973112307921)</f>
        <v>0.5277973112</v>
      </c>
      <c r="AB544" s="30">
        <f>IFERROR(__xludf.DUMMYFUNCTION("""COMPUTED_VALUE"""),1.3308866068277394)</f>
        <v>1.330886607</v>
      </c>
      <c r="AC544" s="30">
        <f>IFERROR(__xludf.DUMMYFUNCTION("""COMPUTED_VALUE"""),2.401943600125131)</f>
        <v>2.4019436</v>
      </c>
      <c r="AD544" s="30">
        <f>IFERROR(__xludf.DUMMYFUNCTION("""COMPUTED_VALUE"""),0.9763853060662194)</f>
        <v>0.9763853061</v>
      </c>
      <c r="AE544" s="30">
        <f>IFERROR(__xludf.DUMMYFUNCTION("""COMPUTED_VALUE"""),0.8593465007033854)</f>
        <v>0.8593465007</v>
      </c>
      <c r="AF544" s="30">
        <f>IFERROR(__xludf.DUMMYFUNCTION("""COMPUTED_VALUE"""),1.0390107814217304)</f>
        <v>1.039010781</v>
      </c>
      <c r="AG544" s="30">
        <f>IFERROR(__xludf.DUMMYFUNCTION("""COMPUTED_VALUE"""),0.9210449976160614)</f>
        <v>0.9210449976</v>
      </c>
      <c r="AH544" s="30">
        <f>IFERROR(__xludf.DUMMYFUNCTION("""COMPUTED_VALUE"""),1.0743987332408145)</f>
        <v>1.074398733</v>
      </c>
      <c r="AI544" s="30">
        <f>IFERROR(__xludf.DUMMYFUNCTION("""COMPUTED_VALUE"""),1.0026086487385588)</f>
        <v>1.002608649</v>
      </c>
      <c r="AJ544" s="30">
        <f>IFERROR(__xludf.DUMMYFUNCTION("""COMPUTED_VALUE"""),0.9994650490124409)</f>
        <v>0.999465049</v>
      </c>
      <c r="AK544" s="30">
        <f>IFERROR(__xludf.DUMMYFUNCTION("""COMPUTED_VALUE"""),1.13585468554739)</f>
        <v>1.135854686</v>
      </c>
      <c r="AL544" s="30">
        <f>IFERROR(__xludf.DUMMYFUNCTION("""COMPUTED_VALUE"""),0.9296182127323643)</f>
        <v>0.9296182127</v>
      </c>
      <c r="AM544" s="30">
        <f>IFERROR(__xludf.DUMMYFUNCTION("""COMPUTED_VALUE"""),1.021226155468515)</f>
        <v>1.021226155</v>
      </c>
      <c r="AN544" s="30">
        <f>IFERROR(__xludf.DUMMYFUNCTION("""COMPUTED_VALUE"""),0.9667685583787619)</f>
        <v>0.9667685584</v>
      </c>
      <c r="AO544" s="30">
        <f>IFERROR(__xludf.DUMMYFUNCTION("""COMPUTED_VALUE"""),0.8342676053597929)</f>
        <v>0.8342676054</v>
      </c>
      <c r="AP544" s="30">
        <f>IFERROR(__xludf.DUMMYFUNCTION("""COMPUTED_VALUE"""),0.9792209136301679)</f>
        <v>0.9792209136</v>
      </c>
      <c r="AQ544" s="30">
        <f>IFERROR(__xludf.DUMMYFUNCTION("""COMPUTED_VALUE"""),0.9354193774449917)</f>
        <v>0.9354193774</v>
      </c>
      <c r="AR544" s="30">
        <f>IFERROR(__xludf.DUMMYFUNCTION("""COMPUTED_VALUE"""),1.0362598553407567)</f>
        <v>1.036259855</v>
      </c>
      <c r="AS544" s="30">
        <f>IFERROR(__xludf.DUMMYFUNCTION("""COMPUTED_VALUE"""),56.0)</f>
        <v>56</v>
      </c>
      <c r="AT544" s="30">
        <f>IFERROR(__xludf.DUMMYFUNCTION("""COMPUTED_VALUE"""),0.38631333329839623)</f>
        <v>0.3863133333</v>
      </c>
      <c r="AU544" s="30">
        <f>IFERROR(__xludf.DUMMYFUNCTION("""COMPUTED_VALUE"""),1.8893898640182103)</f>
        <v>1.889389864</v>
      </c>
      <c r="AV544" s="32">
        <f>IFERROR(__xludf.DUMMYFUNCTION("""COMPUTED_VALUE"""),46.22528923561373)</f>
        <v>46.22528924</v>
      </c>
      <c r="AW544" s="32">
        <f>IFERROR(__xludf.DUMMYFUNCTION("""COMPUTED_VALUE"""),-2.2727664202761346)</f>
        <v>-2.27276642</v>
      </c>
      <c r="AX544" s="32">
        <f>IFERROR(__xludf.DUMMYFUNCTION("""COMPUTED_VALUE"""),48.2767012599904)</f>
        <v>48.27670126</v>
      </c>
      <c r="AY544" s="32">
        <f>IFERROR(__xludf.DUMMYFUNCTION("""COMPUTED_VALUE"""),-2.1163040567426963)</f>
        <v>-2.116304057</v>
      </c>
      <c r="AZ544" s="30">
        <f>IFERROR(__xludf.DUMMYFUNCTION("""COMPUTED_VALUE"""),0.15646236353343834)</f>
        <v>0.1564623635</v>
      </c>
      <c r="BA544" s="30">
        <f>IFERROR(__xludf.DUMMYFUNCTION("""COMPUTED_VALUE"""),1700.0)</f>
        <v>1700</v>
      </c>
    </row>
    <row r="545">
      <c r="A545" s="71" t="str">
        <f>IFERROR(__xludf.DUMMYFUNCTION("""COMPUTED_VALUE"""),"Rival")</f>
        <v>Rival</v>
      </c>
      <c r="B545" s="71" t="str">
        <f>IFERROR(__xludf.DUMMYFUNCTION("""COMPUTED_VALUE"""),"RSC002453")</f>
        <v>RSC002453</v>
      </c>
      <c r="C545" s="30" t="str">
        <f>IFERROR(__xludf.DUMMYFUNCTION("""COMPUTED_VALUE"""),"Ghostie")</f>
        <v>Ghostie</v>
      </c>
      <c r="D545" s="30" t="str">
        <f>IFERROR(__xludf.DUMMYFUNCTION("""COMPUTED_VALUE"""),"Necrotic Nerds")</f>
        <v>Necrotic Nerds</v>
      </c>
      <c r="E545" s="30">
        <f>IFERROR(__xludf.DUMMYFUNCTION("""COMPUTED_VALUE"""),31.0)</f>
        <v>31</v>
      </c>
      <c r="F545" s="30">
        <f>IFERROR(__xludf.DUMMYFUNCTION("""COMPUTED_VALUE"""),12.0)</f>
        <v>12</v>
      </c>
      <c r="G545" s="42">
        <f>IFERROR(__xludf.DUMMYFUNCTION("""COMPUTED_VALUE"""),19.0)</f>
        <v>19</v>
      </c>
      <c r="H545" s="42">
        <f>IFERROR(__xludf.DUMMYFUNCTION("""COMPUTED_VALUE"""),0.3870967741935484)</f>
        <v>0.3870967742</v>
      </c>
      <c r="I545" s="42">
        <f>IFERROR(__xludf.DUMMYFUNCTION("""COMPUTED_VALUE"""),0.33333333333333337)</f>
        <v>0.3333333333</v>
      </c>
      <c r="J545" s="30">
        <f>IFERROR(__xludf.DUMMYFUNCTION("""COMPUTED_VALUE"""),325.2903225806452)</f>
        <v>325.2903226</v>
      </c>
      <c r="K545" s="30">
        <f>IFERROR(__xludf.DUMMYFUNCTION("""COMPUTED_VALUE"""),0.7419354838709677)</f>
        <v>0.7419354839</v>
      </c>
      <c r="L545" s="30">
        <f>IFERROR(__xludf.DUMMYFUNCTION("""COMPUTED_VALUE"""),0.3870967741935484)</f>
        <v>0.3870967742</v>
      </c>
      <c r="M545" s="30">
        <f>IFERROR(__xludf.DUMMYFUNCTION("""COMPUTED_VALUE"""),1.1612903225806452)</f>
        <v>1.161290323</v>
      </c>
      <c r="N545" s="30">
        <f>IFERROR(__xludf.DUMMYFUNCTION("""COMPUTED_VALUE"""),2.225806451612903)</f>
        <v>2.225806452</v>
      </c>
      <c r="O545" s="30">
        <f>IFERROR(__xludf.DUMMYFUNCTION("""COMPUTED_VALUE"""),359.5053763440861)</f>
        <v>359.5053763</v>
      </c>
      <c r="P545" s="30">
        <f>IFERROR(__xludf.DUMMYFUNCTION("""COMPUTED_VALUE"""),0.9354838709677419)</f>
        <v>0.935483871</v>
      </c>
      <c r="Q545" s="30">
        <f>IFERROR(__xludf.DUMMYFUNCTION("""COMPUTED_VALUE"""),0.6774193548387097)</f>
        <v>0.6774193548</v>
      </c>
      <c r="R545" s="30">
        <f>IFERROR(__xludf.DUMMYFUNCTION("""COMPUTED_VALUE"""),1.139784946236559)</f>
        <v>1.139784946</v>
      </c>
      <c r="S545" s="30">
        <f>IFERROR(__xludf.DUMMYFUNCTION("""COMPUTED_VALUE"""),2.817204301075269)</f>
        <v>2.817204301</v>
      </c>
      <c r="T545" s="30">
        <f>IFERROR(__xludf.DUMMYFUNCTION("""COMPUTED_VALUE"""),357.00061626694674)</f>
        <v>357.0006163</v>
      </c>
      <c r="U545" s="30">
        <f>IFERROR(__xludf.DUMMYFUNCTION("""COMPUTED_VALUE"""),0.8565915974004212)</f>
        <v>0.8565915974</v>
      </c>
      <c r="V545" s="30">
        <f>IFERROR(__xludf.DUMMYFUNCTION("""COMPUTED_VALUE"""),0.6545374195872299)</f>
        <v>0.6545374196</v>
      </c>
      <c r="W545" s="30">
        <f>IFERROR(__xludf.DUMMYFUNCTION("""COMPUTED_VALUE"""),1.243623118658697)</f>
        <v>1.243623119</v>
      </c>
      <c r="X545" s="30">
        <f>IFERROR(__xludf.DUMMYFUNCTION("""COMPUTED_VALUE"""),2.7313335230199556)</f>
        <v>2.731333523</v>
      </c>
      <c r="Y545" s="30">
        <f>IFERROR(__xludf.DUMMYFUNCTION("""COMPUTED_VALUE"""),333.6485602792094)</f>
        <v>333.6485603</v>
      </c>
      <c r="Z545" s="30">
        <f>IFERROR(__xludf.DUMMYFUNCTION("""COMPUTED_VALUE"""),0.7034975548732664)</f>
        <v>0.7034975549</v>
      </c>
      <c r="AA545" s="30">
        <f>IFERROR(__xludf.DUMMYFUNCTION("""COMPUTED_VALUE"""),0.51605438319148)</f>
        <v>0.5160543832</v>
      </c>
      <c r="AB545" s="30">
        <f>IFERROR(__xludf.DUMMYFUNCTION("""COMPUTED_VALUE"""),1.337063368700782)</f>
        <v>1.337063369</v>
      </c>
      <c r="AC545" s="30">
        <f>IFERROR(__xludf.DUMMYFUNCTION("""COMPUTED_VALUE"""),2.4482948441677093)</f>
        <v>2.448294844</v>
      </c>
      <c r="AD545" s="30">
        <f>IFERROR(__xludf.DUMMYFUNCTION("""COMPUTED_VALUE"""),0.9749489771765545)</f>
        <v>0.9749489772</v>
      </c>
      <c r="AE545" s="30">
        <f>IFERROR(__xludf.DUMMYFUNCTION("""COMPUTED_VALUE"""),1.0546383263615264)</f>
        <v>1.054638326</v>
      </c>
      <c r="AF545" s="30">
        <f>IFERROR(__xludf.DUMMYFUNCTION("""COMPUTED_VALUE"""),0.7501084901160845)</f>
        <v>0.7501084901</v>
      </c>
      <c r="AG545" s="30">
        <f>IFERROR(__xludf.DUMMYFUNCTION("""COMPUTED_VALUE"""),0.8685379838870804)</f>
        <v>0.8685379839</v>
      </c>
      <c r="AH545" s="30">
        <f>IFERROR(__xludf.DUMMYFUNCTION("""COMPUTED_VALUE"""),0.9091251639544907)</f>
        <v>0.909125164</v>
      </c>
      <c r="AI545" s="30">
        <f>IFERROR(__xludf.DUMMYFUNCTION("""COMPUTED_VALUE"""),1.0070161225583611)</f>
        <v>1.007016123</v>
      </c>
      <c r="AJ545" s="30">
        <f>IFERROR(__xludf.DUMMYFUNCTION("""COMPUTED_VALUE"""),1.0921002188286022)</f>
        <v>1.092100219</v>
      </c>
      <c r="AK545" s="30">
        <f>IFERROR(__xludf.DUMMYFUNCTION("""COMPUTED_VALUE"""),1.0349589413328115)</f>
        <v>1.034958941</v>
      </c>
      <c r="AL545" s="30">
        <f>IFERROR(__xludf.DUMMYFUNCTION("""COMPUTED_VALUE"""),0.9165035042657199)</f>
        <v>0.9165035043</v>
      </c>
      <c r="AM545" s="30">
        <f>IFERROR(__xludf.DUMMYFUNCTION("""COMPUTED_VALUE"""),1.031439140380179)</f>
        <v>1.03143914</v>
      </c>
      <c r="AN545" s="30">
        <f>IFERROR(__xludf.DUMMYFUNCTION("""COMPUTED_VALUE"""),0.9597257474592867)</f>
        <v>0.9597257475</v>
      </c>
      <c r="AO545" s="30">
        <f>IFERROR(__xludf.DUMMYFUNCTION("""COMPUTED_VALUE"""),1.0099028906986967)</f>
        <v>1.009902891</v>
      </c>
      <c r="AP545" s="30">
        <f>IFERROR(__xludf.DUMMYFUNCTION("""COMPUTED_VALUE"""),0.6912147625624715)</f>
        <v>0.6912147626</v>
      </c>
      <c r="AQ545" s="30">
        <f>IFERROR(__xludf.DUMMYFUNCTION("""COMPUTED_VALUE"""),0.8861867786320975)</f>
        <v>0.8861867786</v>
      </c>
      <c r="AR545" s="30">
        <f>IFERROR(__xludf.DUMMYFUNCTION("""COMPUTED_VALUE"""),0.8937741252314025)</f>
        <v>0.8937741252</v>
      </c>
      <c r="AS545" s="30">
        <f>IFERROR(__xludf.DUMMYFUNCTION("""COMPUTED_VALUE"""),61.0)</f>
        <v>61</v>
      </c>
      <c r="AT545" s="30">
        <f>IFERROR(__xludf.DUMMYFUNCTION("""COMPUTED_VALUE"""),0.3644616922918269)</f>
        <v>0.3644616923</v>
      </c>
      <c r="AU545" s="30">
        <f>IFERROR(__xludf.DUMMYFUNCTION("""COMPUTED_VALUE"""),1.7582574713747547)</f>
        <v>1.758257471</v>
      </c>
      <c r="AV545" s="32">
        <f>IFERROR(__xludf.DUMMYFUNCTION("""COMPUTED_VALUE"""),41.59315950212647)</f>
        <v>41.5931595</v>
      </c>
      <c r="AW545" s="32">
        <f>IFERROR(__xludf.DUMMYFUNCTION("""COMPUTED_VALUE"""),-2.714939960522915)</f>
        <v>-2.714939961</v>
      </c>
      <c r="AX545" s="32">
        <f>IFERROR(__xludf.DUMMYFUNCTION("""COMPUTED_VALUE"""),40.325096472306356)</f>
        <v>40.32509647</v>
      </c>
      <c r="AY545" s="32">
        <f>IFERROR(__xludf.DUMMYFUNCTION("""COMPUTED_VALUE"""),-2.8622168940074717)</f>
        <v>-2.862216894</v>
      </c>
      <c r="AZ545" s="30">
        <f>IFERROR(__xludf.DUMMYFUNCTION("""COMPUTED_VALUE"""),0.1472769334845565)</f>
        <v>0.1472769335</v>
      </c>
      <c r="BA545" s="30">
        <f>IFERROR(__xludf.DUMMYFUNCTION("""COMPUTED_VALUE"""),1700.0)</f>
        <v>1700</v>
      </c>
    </row>
    <row r="546">
      <c r="A546" s="71" t="str">
        <f>IFERROR(__xludf.DUMMYFUNCTION("""COMPUTED_VALUE"""),"Rival")</f>
        <v>Rival</v>
      </c>
      <c r="B546" s="71" t="str">
        <f>IFERROR(__xludf.DUMMYFUNCTION("""COMPUTED_VALUE"""),"RSC003718")</f>
        <v>RSC003718</v>
      </c>
      <c r="C546" s="30" t="str">
        <f>IFERROR(__xludf.DUMMYFUNCTION("""COMPUTED_VALUE"""),"Tbonelul")</f>
        <v>Tbonelul</v>
      </c>
      <c r="D546" s="30" t="str">
        <f>IFERROR(__xludf.DUMMYFUNCTION("""COMPUTED_VALUE"""),"Heavy Metal")</f>
        <v>Heavy Metal</v>
      </c>
      <c r="E546" s="30">
        <f>IFERROR(__xludf.DUMMYFUNCTION("""COMPUTED_VALUE"""),32.0)</f>
        <v>32</v>
      </c>
      <c r="F546" s="30">
        <f>IFERROR(__xludf.DUMMYFUNCTION("""COMPUTED_VALUE"""),15.0)</f>
        <v>15</v>
      </c>
      <c r="G546" s="42">
        <f>IFERROR(__xludf.DUMMYFUNCTION("""COMPUTED_VALUE"""),17.0)</f>
        <v>17</v>
      </c>
      <c r="H546" s="42">
        <f>IFERROR(__xludf.DUMMYFUNCTION("""COMPUTED_VALUE"""),0.46875)</f>
        <v>0.46875</v>
      </c>
      <c r="I546" s="42">
        <f>IFERROR(__xludf.DUMMYFUNCTION("""COMPUTED_VALUE"""),0.25806451612903225)</f>
        <v>0.2580645161</v>
      </c>
      <c r="J546" s="30">
        <f>IFERROR(__xludf.DUMMYFUNCTION("""COMPUTED_VALUE"""),323.625)</f>
        <v>323.625</v>
      </c>
      <c r="K546" s="30">
        <f>IFERROR(__xludf.DUMMYFUNCTION("""COMPUTED_VALUE"""),0.75)</f>
        <v>0.75</v>
      </c>
      <c r="L546" s="30">
        <f>IFERROR(__xludf.DUMMYFUNCTION("""COMPUTED_VALUE"""),0.53125)</f>
        <v>0.53125</v>
      </c>
      <c r="M546" s="30">
        <f>IFERROR(__xludf.DUMMYFUNCTION("""COMPUTED_VALUE"""),0.875)</f>
        <v>0.875</v>
      </c>
      <c r="N546" s="30">
        <f>IFERROR(__xludf.DUMMYFUNCTION("""COMPUTED_VALUE"""),2.90625)</f>
        <v>2.90625</v>
      </c>
      <c r="O546" s="30">
        <f>IFERROR(__xludf.DUMMYFUNCTION("""COMPUTED_VALUE"""),337.11458333333337)</f>
        <v>337.1145833</v>
      </c>
      <c r="P546" s="30">
        <f>IFERROR(__xludf.DUMMYFUNCTION("""COMPUTED_VALUE"""),0.7395833333333334)</f>
        <v>0.7395833333</v>
      </c>
      <c r="Q546" s="30">
        <f>IFERROR(__xludf.DUMMYFUNCTION("""COMPUTED_VALUE"""),0.5625)</f>
        <v>0.5625</v>
      </c>
      <c r="R546" s="30">
        <f>IFERROR(__xludf.DUMMYFUNCTION("""COMPUTED_VALUE"""),1.2395833333333333)</f>
        <v>1.239583333</v>
      </c>
      <c r="S546" s="30">
        <f>IFERROR(__xludf.DUMMYFUNCTION("""COMPUTED_VALUE"""),2.4270833333333335)</f>
        <v>2.427083333</v>
      </c>
      <c r="T546" s="30">
        <f>IFERROR(__xludf.DUMMYFUNCTION("""COMPUTED_VALUE"""),338.43975794391304)</f>
        <v>338.4397579</v>
      </c>
      <c r="U546" s="30">
        <f>IFERROR(__xludf.DUMMYFUNCTION("""COMPUTED_VALUE"""),0.7524818937715424)</f>
        <v>0.7524818938</v>
      </c>
      <c r="V546" s="30">
        <f>IFERROR(__xludf.DUMMYFUNCTION("""COMPUTED_VALUE"""),0.5686361861853952)</f>
        <v>0.5686361862</v>
      </c>
      <c r="W546" s="30">
        <f>IFERROR(__xludf.DUMMYFUNCTION("""COMPUTED_VALUE"""),1.3107048916749582)</f>
        <v>1.310704892</v>
      </c>
      <c r="X546" s="30">
        <f>IFERROR(__xludf.DUMMYFUNCTION("""COMPUTED_VALUE"""),2.4086436834049385)</f>
        <v>2.408643683</v>
      </c>
      <c r="Y546" s="30">
        <f>IFERROR(__xludf.DUMMYFUNCTION("""COMPUTED_VALUE"""),352.2788167200085)</f>
        <v>352.2788167</v>
      </c>
      <c r="Z546" s="30">
        <f>IFERROR(__xludf.DUMMYFUNCTION("""COMPUTED_VALUE"""),0.8391453486841215)</f>
        <v>0.8391453487</v>
      </c>
      <c r="AA546" s="30">
        <f>IFERROR(__xludf.DUMMYFUNCTION("""COMPUTED_VALUE"""),0.596603549020055)</f>
        <v>0.596603549</v>
      </c>
      <c r="AB546" s="30">
        <f>IFERROR(__xludf.DUMMYFUNCTION("""COMPUTED_VALUE"""),1.2791847655677244)</f>
        <v>1.279184766</v>
      </c>
      <c r="AC546" s="30">
        <f>IFERROR(__xludf.DUMMYFUNCTION("""COMPUTED_VALUE"""),2.6966894762255667)</f>
        <v>2.696689476</v>
      </c>
      <c r="AD546" s="30">
        <f>IFERROR(__xludf.DUMMYFUNCTION("""COMPUTED_VALUE"""),0.9186615392126102)</f>
        <v>0.9186615392</v>
      </c>
      <c r="AE546" s="30">
        <f>IFERROR(__xludf.DUMMYFUNCTION("""COMPUTED_VALUE"""),0.8937664984690532)</f>
        <v>0.8937664985</v>
      </c>
      <c r="AF546" s="30">
        <f>IFERROR(__xludf.DUMMYFUNCTION("""COMPUTED_VALUE"""),0.8904573244202104)</f>
        <v>0.8904573244</v>
      </c>
      <c r="AG546" s="30">
        <f>IFERROR(__xludf.DUMMYFUNCTION("""COMPUTED_VALUE"""),0.684029409630797)</f>
        <v>0.6840294096</v>
      </c>
      <c r="AH546" s="30">
        <f>IFERROR(__xludf.DUMMYFUNCTION("""COMPUTED_VALUE"""),1.0777102909407819)</f>
        <v>1.077710291</v>
      </c>
      <c r="AI546" s="30">
        <f>IFERROR(__xludf.DUMMYFUNCTION("""COMPUTED_VALUE"""),0.9960844594068075)</f>
        <v>0.9960844594</v>
      </c>
      <c r="AJ546" s="30">
        <f>IFERROR(__xludf.DUMMYFUNCTION("""COMPUTED_VALUE"""),0.9828586434504627)</f>
        <v>0.9828586435</v>
      </c>
      <c r="AK546" s="30">
        <f>IFERROR(__xludf.DUMMYFUNCTION("""COMPUTED_VALUE"""),0.9892089417900769)</f>
        <v>0.9892089418</v>
      </c>
      <c r="AL546" s="30">
        <f>IFERROR(__xludf.DUMMYFUNCTION("""COMPUTED_VALUE"""),0.9457379317088394)</f>
        <v>0.9457379317</v>
      </c>
      <c r="AM546" s="30">
        <f>IFERROR(__xludf.DUMMYFUNCTION("""COMPUTED_VALUE"""),1.0076556155048755)</f>
        <v>1.007655616</v>
      </c>
      <c r="AN546" s="30">
        <f>IFERROR(__xludf.DUMMYFUNCTION("""COMPUTED_VALUE"""),0.9548124351117474)</f>
        <v>0.9548124351</v>
      </c>
      <c r="AO546" s="30">
        <f>IFERROR(__xludf.DUMMYFUNCTION("""COMPUTED_VALUE"""),1.020880096032378)</f>
        <v>1.020880096</v>
      </c>
      <c r="AP546" s="30">
        <f>IFERROR(__xludf.DUMMYFUNCTION("""COMPUTED_VALUE"""),0.9486202600792253)</f>
        <v>0.9486202601</v>
      </c>
      <c r="AQ546" s="30">
        <f>IFERROR(__xludf.DUMMYFUNCTION("""COMPUTED_VALUE"""),0.6677171213998789)</f>
        <v>0.6677171214</v>
      </c>
      <c r="AR546" s="30">
        <f>IFERROR(__xludf.DUMMYFUNCTION("""COMPUTED_VALUE"""),1.1670067042763288)</f>
        <v>1.167006704</v>
      </c>
      <c r="AS546" s="30">
        <f>IFERROR(__xludf.DUMMYFUNCTION("""COMPUTED_VALUE"""),70.0)</f>
        <v>70</v>
      </c>
      <c r="AT546" s="30">
        <f>IFERROR(__xludf.DUMMYFUNCTION("""COMPUTED_VALUE"""),0.4945726359058602)</f>
        <v>0.4945726359</v>
      </c>
      <c r="AU546" s="30">
        <f>IFERROR(__xludf.DUMMYFUNCTION("""COMPUTED_VALUE"""),2.0409198340168584)</f>
        <v>2.040919834</v>
      </c>
      <c r="AV546" s="32">
        <f>IFERROR(__xludf.DUMMYFUNCTION("""COMPUTED_VALUE"""),51.57794440643509)</f>
        <v>51.57794441</v>
      </c>
      <c r="AW546" s="32">
        <f>IFERROR(__xludf.DUMMYFUNCTION("""COMPUTED_VALUE"""),2.1059886840410385)</f>
        <v>2.105988684</v>
      </c>
      <c r="AX546" s="32">
        <f>IFERROR(__xludf.DUMMYFUNCTION("""COMPUTED_VALUE"""),53.31873664507626)</f>
        <v>53.31873665</v>
      </c>
      <c r="AY546" s="32">
        <f>IFERROR(__xludf.DUMMYFUNCTION("""COMPUTED_VALUE"""),2.236157156131495)</f>
        <v>2.236157156</v>
      </c>
      <c r="AZ546" s="30">
        <f>IFERROR(__xludf.DUMMYFUNCTION("""COMPUTED_VALUE"""),0.13016847209045634)</f>
        <v>0.1301684721</v>
      </c>
      <c r="BA546" s="30">
        <f>IFERROR(__xludf.DUMMYFUNCTION("""COMPUTED_VALUE"""),1700.0)</f>
        <v>1700</v>
      </c>
    </row>
    <row r="547">
      <c r="A547" s="71" t="str">
        <f>IFERROR(__xludf.DUMMYFUNCTION("""COMPUTED_VALUE"""),"Rival")</f>
        <v>Rival</v>
      </c>
      <c r="B547" s="71" t="str">
        <f>IFERROR(__xludf.DUMMYFUNCTION("""COMPUTED_VALUE"""),"RSC007346")</f>
        <v>RSC007346</v>
      </c>
      <c r="C547" s="30" t="str">
        <f>IFERROR(__xludf.DUMMYFUNCTION("""COMPUTED_VALUE"""),"Mai")</f>
        <v>Mai</v>
      </c>
      <c r="D547" s="30" t="str">
        <f>IFERROR(__xludf.DUMMYFUNCTION("""COMPUTED_VALUE"""),"Funk Hunks")</f>
        <v>Funk Hunks</v>
      </c>
      <c r="E547" s="30">
        <f>IFERROR(__xludf.DUMMYFUNCTION("""COMPUTED_VALUE"""),26.0)</f>
        <v>26</v>
      </c>
      <c r="F547" s="30">
        <f>IFERROR(__xludf.DUMMYFUNCTION("""COMPUTED_VALUE"""),9.0)</f>
        <v>9</v>
      </c>
      <c r="G547" s="42">
        <f>IFERROR(__xludf.DUMMYFUNCTION("""COMPUTED_VALUE"""),17.0)</f>
        <v>17</v>
      </c>
      <c r="H547" s="42">
        <f>IFERROR(__xludf.DUMMYFUNCTION("""COMPUTED_VALUE"""),0.34615384615384615)</f>
        <v>0.3461538462</v>
      </c>
      <c r="I547" s="42">
        <f>IFERROR(__xludf.DUMMYFUNCTION("""COMPUTED_VALUE"""),0.30864197530864196)</f>
        <v>0.3086419753</v>
      </c>
      <c r="J547" s="30">
        <f>IFERROR(__xludf.DUMMYFUNCTION("""COMPUTED_VALUE"""),426.34615384615387)</f>
        <v>426.3461538</v>
      </c>
      <c r="K547" s="30">
        <f>IFERROR(__xludf.DUMMYFUNCTION("""COMPUTED_VALUE"""),0.9615384615384616)</f>
        <v>0.9615384615</v>
      </c>
      <c r="L547" s="30">
        <f>IFERROR(__xludf.DUMMYFUNCTION("""COMPUTED_VALUE"""),0.5)</f>
        <v>0.5</v>
      </c>
      <c r="M547" s="30">
        <f>IFERROR(__xludf.DUMMYFUNCTION("""COMPUTED_VALUE"""),1.7307692307692308)</f>
        <v>1.730769231</v>
      </c>
      <c r="N547" s="30">
        <f>IFERROR(__xludf.DUMMYFUNCTION("""COMPUTED_VALUE"""),3.1153846153846154)</f>
        <v>3.115384615</v>
      </c>
      <c r="O547" s="30">
        <f>IFERROR(__xludf.DUMMYFUNCTION("""COMPUTED_VALUE"""),368.56410256410254)</f>
        <v>368.5641026</v>
      </c>
      <c r="P547" s="30">
        <f>IFERROR(__xludf.DUMMYFUNCTION("""COMPUTED_VALUE"""),0.9230769230769231)</f>
        <v>0.9230769231</v>
      </c>
      <c r="Q547" s="30">
        <f>IFERROR(__xludf.DUMMYFUNCTION("""COMPUTED_VALUE"""),0.6282051282051282)</f>
        <v>0.6282051282</v>
      </c>
      <c r="R547" s="30">
        <f>IFERROR(__xludf.DUMMYFUNCTION("""COMPUTED_VALUE"""),1.333333333333333)</f>
        <v>1.333333333</v>
      </c>
      <c r="S547" s="30">
        <f>IFERROR(__xludf.DUMMYFUNCTION("""COMPUTED_VALUE"""),2.6410256410256405)</f>
        <v>2.641025641</v>
      </c>
      <c r="T547" s="30">
        <f>IFERROR(__xludf.DUMMYFUNCTION("""COMPUTED_VALUE"""),350.81255041847993)</f>
        <v>350.8125504</v>
      </c>
      <c r="U547" s="30">
        <f>IFERROR(__xludf.DUMMYFUNCTION("""COMPUTED_VALUE"""),0.7941065048436845)</f>
        <v>0.7941065048</v>
      </c>
      <c r="V547" s="30">
        <f>IFERROR(__xludf.DUMMYFUNCTION("""COMPUTED_VALUE"""),0.5843810095412659)</f>
        <v>0.5843810095</v>
      </c>
      <c r="W547" s="30">
        <f>IFERROR(__xludf.DUMMYFUNCTION("""COMPUTED_VALUE"""),1.382285746067797)</f>
        <v>1.382285746</v>
      </c>
      <c r="X547" s="30">
        <f>IFERROR(__xludf.DUMMYFUNCTION("""COMPUTED_VALUE"""),2.5896630731566623)</f>
        <v>2.589663073</v>
      </c>
      <c r="Y547" s="30">
        <f>IFERROR(__xludf.DUMMYFUNCTION("""COMPUTED_VALUE"""),349.63113944460105)</f>
        <v>349.6311394</v>
      </c>
      <c r="Z547" s="30">
        <f>IFERROR(__xludf.DUMMYFUNCTION("""COMPUTED_VALUE"""),0.778322680406014)</f>
        <v>0.7783226804</v>
      </c>
      <c r="AA547" s="30">
        <f>IFERROR(__xludf.DUMMYFUNCTION("""COMPUTED_VALUE"""),0.5667951825003109)</f>
        <v>0.5667951825</v>
      </c>
      <c r="AB547" s="30">
        <f>IFERROR(__xludf.DUMMYFUNCTION("""COMPUTED_VALUE"""),1.3460229684054474)</f>
        <v>1.346022968</v>
      </c>
      <c r="AC547" s="30">
        <f>IFERROR(__xludf.DUMMYFUNCTION("""COMPUTED_VALUE"""),2.6120159102530898)</f>
        <v>2.61201591</v>
      </c>
      <c r="AD547" s="30">
        <f>IFERROR(__xludf.DUMMYFUNCTION("""COMPUTED_VALUE"""),1.2194169962189776)</f>
        <v>1.219416996</v>
      </c>
      <c r="AE547" s="30">
        <f>IFERROR(__xludf.DUMMYFUNCTION("""COMPUTED_VALUE"""),1.2353982297379187)</f>
        <v>1.23539823</v>
      </c>
      <c r="AF547" s="30">
        <f>IFERROR(__xludf.DUMMYFUNCTION("""COMPUTED_VALUE"""),0.8821528753902663)</f>
        <v>0.8821528754</v>
      </c>
      <c r="AG547" s="30">
        <f>IFERROR(__xludf.DUMMYFUNCTION("""COMPUTED_VALUE"""),1.2858392994731502)</f>
        <v>1.285839299</v>
      </c>
      <c r="AH547" s="30">
        <f>IFERROR(__xludf.DUMMYFUNCTION("""COMPUTED_VALUE"""),1.1927127255066192)</f>
        <v>1.192712726</v>
      </c>
      <c r="AI547" s="30">
        <f>IFERROR(__xludf.DUMMYFUNCTION("""COMPUTED_VALUE"""),1.0506012459487182)</f>
        <v>1.050601246</v>
      </c>
      <c r="AJ547" s="30">
        <f>IFERROR(__xludf.DUMMYFUNCTION("""COMPUTED_VALUE"""),1.1624094720879106)</f>
        <v>1.162409472</v>
      </c>
      <c r="AK547" s="30">
        <f>IFERROR(__xludf.DUMMYFUNCTION("""COMPUTED_VALUE"""),1.0749923730380353)</f>
        <v>1.074992373</v>
      </c>
      <c r="AL547" s="30">
        <f>IFERROR(__xludf.DUMMYFUNCTION("""COMPUTED_VALUE"""),0.9645858948674545)</f>
        <v>0.9645858949</v>
      </c>
      <c r="AM547" s="30">
        <f>IFERROR(__xludf.DUMMYFUNCTION("""COMPUTED_VALUE"""),1.0198336874018017)</f>
        <v>1.019833687</v>
      </c>
      <c r="AN547" s="30">
        <f>IFERROR(__xludf.DUMMYFUNCTION("""COMPUTED_VALUE"""),1.257877510558127)</f>
        <v>1.257877511</v>
      </c>
      <c r="AO547" s="30">
        <f>IFERROR(__xludf.DUMMYFUNCTION("""COMPUTED_VALUE"""),1.3088206359389465)</f>
        <v>1.308820636</v>
      </c>
      <c r="AP547" s="30">
        <f>IFERROR(__xludf.DUMMYFUNCTION("""COMPUTED_VALUE"""),0.8928190683098591)</f>
        <v>0.8928190683</v>
      </c>
      <c r="AQ547" s="30">
        <f>IFERROR(__xludf.DUMMYFUNCTION("""COMPUTED_VALUE"""),1.32075914123053)</f>
        <v>1.320759141</v>
      </c>
      <c r="AR547" s="30">
        <f>IFERROR(__xludf.DUMMYFUNCTION("""COMPUTED_VALUE"""),1.2509848542118462)</f>
        <v>1.250984854</v>
      </c>
      <c r="AS547" s="30">
        <f>IFERROR(__xludf.DUMMYFUNCTION("""COMPUTED_VALUE"""),59.0)</f>
        <v>59</v>
      </c>
      <c r="AT547" s="30">
        <f>IFERROR(__xludf.DUMMYFUNCTION("""COMPUTED_VALUE"""),0.42147214630974844)</f>
        <v>0.4214721463</v>
      </c>
      <c r="AU547" s="30">
        <f>IFERROR(__xludf.DUMMYFUNCTION("""COMPUTED_VALUE"""),2.5457167921381396)</f>
        <v>2.545716792</v>
      </c>
      <c r="AV547" s="32">
        <f>IFERROR(__xludf.DUMMYFUNCTION("""COMPUTED_VALUE"""),69.4094271693953)</f>
        <v>69.40942717</v>
      </c>
      <c r="AW547" s="32">
        <f>IFERROR(__xludf.DUMMYFUNCTION("""COMPUTED_VALUE"""),4.571153052956266)</f>
        <v>4.571153053</v>
      </c>
      <c r="AX547" s="32">
        <f>IFERROR(__xludf.DUMMYFUNCTION("""COMPUTED_VALUE"""),68.91340644175747)</f>
        <v>68.91340644</v>
      </c>
      <c r="AY547" s="32">
        <f>IFERROR(__xludf.DUMMYFUNCTION("""COMPUTED_VALUE"""),4.451093960646763)</f>
        <v>4.451093961</v>
      </c>
      <c r="AZ547" s="30">
        <f>IFERROR(__xludf.DUMMYFUNCTION("""COMPUTED_VALUE"""),0.12005909230950262)</f>
        <v>0.1200590923</v>
      </c>
      <c r="BA547" s="30">
        <f>IFERROR(__xludf.DUMMYFUNCTION("""COMPUTED_VALUE"""),1700.0)</f>
        <v>1700</v>
      </c>
    </row>
    <row r="548">
      <c r="A548" s="71" t="str">
        <f>IFERROR(__xludf.DUMMYFUNCTION("""COMPUTED_VALUE"""),"Rival")</f>
        <v>Rival</v>
      </c>
      <c r="B548" s="71" t="str">
        <f>IFERROR(__xludf.DUMMYFUNCTION("""COMPUTED_VALUE"""),"RSC005482")</f>
        <v>RSC005482</v>
      </c>
      <c r="C548" s="30" t="str">
        <f>IFERROR(__xludf.DUMMYFUNCTION("""COMPUTED_VALUE"""),"Benny!")</f>
        <v>Benny!</v>
      </c>
      <c r="D548" s="30" t="str">
        <f>IFERROR(__xludf.DUMMYFUNCTION("""COMPUTED_VALUE"""),"Ocelots")</f>
        <v>Ocelots</v>
      </c>
      <c r="E548" s="30">
        <f>IFERROR(__xludf.DUMMYFUNCTION("""COMPUTED_VALUE"""),26.0)</f>
        <v>26</v>
      </c>
      <c r="F548" s="30">
        <f>IFERROR(__xludf.DUMMYFUNCTION("""COMPUTED_VALUE"""),17.0)</f>
        <v>17</v>
      </c>
      <c r="G548" s="42">
        <f>IFERROR(__xludf.DUMMYFUNCTION("""COMPUTED_VALUE"""),9.0)</f>
        <v>9</v>
      </c>
      <c r="H548" s="42">
        <f>IFERROR(__xludf.DUMMYFUNCTION("""COMPUTED_VALUE"""),0.6538461538461539)</f>
        <v>0.6538461538</v>
      </c>
      <c r="I548" s="42">
        <f>IFERROR(__xludf.DUMMYFUNCTION("""COMPUTED_VALUE"""),0.36619718309859156)</f>
        <v>0.3661971831</v>
      </c>
      <c r="J548" s="30">
        <f>IFERROR(__xludf.DUMMYFUNCTION("""COMPUTED_VALUE"""),395.7307692307692)</f>
        <v>395.7307692</v>
      </c>
      <c r="K548" s="30">
        <f>IFERROR(__xludf.DUMMYFUNCTION("""COMPUTED_VALUE"""),1.0)</f>
        <v>1</v>
      </c>
      <c r="L548" s="30">
        <f>IFERROR(__xludf.DUMMYFUNCTION("""COMPUTED_VALUE"""),0.6153846153846154)</f>
        <v>0.6153846154</v>
      </c>
      <c r="M548" s="30">
        <f>IFERROR(__xludf.DUMMYFUNCTION("""COMPUTED_VALUE"""),1.1538461538461537)</f>
        <v>1.153846154</v>
      </c>
      <c r="N548" s="30">
        <f>IFERROR(__xludf.DUMMYFUNCTION("""COMPUTED_VALUE"""),2.730769230769231)</f>
        <v>2.730769231</v>
      </c>
      <c r="O548" s="30">
        <f>IFERROR(__xludf.DUMMYFUNCTION("""COMPUTED_VALUE"""),331.7051282051282)</f>
        <v>331.7051282</v>
      </c>
      <c r="P548" s="30">
        <f>IFERROR(__xludf.DUMMYFUNCTION("""COMPUTED_VALUE"""),0.7051282051282051)</f>
        <v>0.7051282051</v>
      </c>
      <c r="Q548" s="30">
        <f>IFERROR(__xludf.DUMMYFUNCTION("""COMPUTED_VALUE"""),0.5512820512820512)</f>
        <v>0.5512820513</v>
      </c>
      <c r="R548" s="30">
        <f>IFERROR(__xludf.DUMMYFUNCTION("""COMPUTED_VALUE"""),1.3076923076923075)</f>
        <v>1.307692308</v>
      </c>
      <c r="S548" s="30">
        <f>IFERROR(__xludf.DUMMYFUNCTION("""COMPUTED_VALUE"""),2.1923076923076925)</f>
        <v>2.192307692</v>
      </c>
      <c r="T548" s="30">
        <f>IFERROR(__xludf.DUMMYFUNCTION("""COMPUTED_VALUE"""),351.80396144592754)</f>
        <v>351.8039614</v>
      </c>
      <c r="U548" s="30">
        <f>IFERROR(__xludf.DUMMYFUNCTION("""COMPUTED_VALUE"""),0.7993454119965671)</f>
        <v>0.799345412</v>
      </c>
      <c r="V548" s="30">
        <f>IFERROR(__xludf.DUMMYFUNCTION("""COMPUTED_VALUE"""),0.5658405479869437)</f>
        <v>0.565840548</v>
      </c>
      <c r="W548" s="30">
        <f>IFERROR(__xludf.DUMMYFUNCTION("""COMPUTED_VALUE"""),1.3695364184489829)</f>
        <v>1.369536418</v>
      </c>
      <c r="X548" s="30">
        <f>IFERROR(__xludf.DUMMYFUNCTION("""COMPUTED_VALUE"""),2.5740365860734684)</f>
        <v>2.574036586</v>
      </c>
      <c r="Y548" s="30">
        <f>IFERROR(__xludf.DUMMYFUNCTION("""COMPUTED_VALUE"""),351.94713473730457)</f>
        <v>351.9471347</v>
      </c>
      <c r="Z548" s="30">
        <f>IFERROR(__xludf.DUMMYFUNCTION("""COMPUTED_VALUE"""),0.8041425298459026)</f>
        <v>0.8041425298</v>
      </c>
      <c r="AA548" s="30">
        <f>IFERROR(__xludf.DUMMYFUNCTION("""COMPUTED_VALUE"""),0.5806447519437715)</f>
        <v>0.5806447519</v>
      </c>
      <c r="AB548" s="30">
        <f>IFERROR(__xludf.DUMMYFUNCTION("""COMPUTED_VALUE"""),1.3145331418255237)</f>
        <v>1.314533142</v>
      </c>
      <c r="AC548" s="30">
        <f>IFERROR(__xludf.DUMMYFUNCTION("""COMPUTED_VALUE"""),2.595496240533948)</f>
        <v>2.595496241</v>
      </c>
      <c r="AD548" s="30">
        <f>IFERROR(__xludf.DUMMYFUNCTION("""COMPUTED_VALUE"""),1.1244040089320375)</f>
        <v>1.124404009</v>
      </c>
      <c r="AE548" s="30">
        <f>IFERROR(__xludf.DUMMYFUNCTION("""COMPUTED_VALUE"""),1.243560641161001)</f>
        <v>1.243560641</v>
      </c>
      <c r="AF548" s="30">
        <f>IFERROR(__xludf.DUMMYFUNCTION("""COMPUTED_VALUE"""),1.0598298069939467)</f>
        <v>1.059829807</v>
      </c>
      <c r="AG548" s="30">
        <f>IFERROR(__xludf.DUMMYFUNCTION("""COMPUTED_VALUE"""),0.8777611740117711)</f>
        <v>0.877761174</v>
      </c>
      <c r="AH548" s="30">
        <f>IFERROR(__xludf.DUMMYFUNCTION("""COMPUTED_VALUE"""),1.0521183533702418)</f>
        <v>1.052118353</v>
      </c>
      <c r="AI548" s="30">
        <f>IFERROR(__xludf.DUMMYFUNCTION("""COMPUTED_VALUE"""),0.9428692242173954)</f>
        <v>0.9428692242</v>
      </c>
      <c r="AJ548" s="30">
        <f>IFERROR(__xludf.DUMMYFUNCTION("""COMPUTED_VALUE"""),0.8821320477301162)</f>
        <v>0.8821320477</v>
      </c>
      <c r="AK548" s="30">
        <f>IFERROR(__xludf.DUMMYFUNCTION("""COMPUTED_VALUE"""),0.9742710260749492)</f>
        <v>0.9742710261</v>
      </c>
      <c r="AL548" s="30">
        <f>IFERROR(__xludf.DUMMYFUNCTION("""COMPUTED_VALUE"""),0.954843033070479)</f>
        <v>0.9548430331</v>
      </c>
      <c r="AM548" s="30">
        <f>IFERROR(__xludf.DUMMYFUNCTION("""COMPUTED_VALUE"""),0.8517002843583978)</f>
        <v>0.8517002844</v>
      </c>
      <c r="AN548" s="30">
        <f>IFERROR(__xludf.DUMMYFUNCTION("""COMPUTED_VALUE"""),1.1675508981626133)</f>
        <v>1.167550898</v>
      </c>
      <c r="AO548" s="30">
        <f>IFERROR(__xludf.DUMMYFUNCTION("""COMPUTED_VALUE"""),1.3611734613765043)</f>
        <v>1.361173461</v>
      </c>
      <c r="AP548" s="30">
        <f>IFERROR(__xludf.DUMMYFUNCTION("""COMPUTED_VALUE"""),1.0988542379198267)</f>
        <v>1.098854238</v>
      </c>
      <c r="AQ548" s="30">
        <f>IFERROR(__xludf.DUMMYFUNCTION("""COMPUTED_VALUE"""),0.8805060941536864)</f>
        <v>0.8805060942</v>
      </c>
      <c r="AR548" s="30">
        <f>IFERROR(__xludf.DUMMYFUNCTION("""COMPUTED_VALUE"""),1.096542279617791)</f>
        <v>1.09654228</v>
      </c>
      <c r="AS548" s="30">
        <f>IFERROR(__xludf.DUMMYFUNCTION("""COMPUTED_VALUE"""),67.0)</f>
        <v>67</v>
      </c>
      <c r="AT548" s="30">
        <f>IFERROR(__xludf.DUMMYFUNCTION("""COMPUTED_VALUE"""),0.576292333208467)</f>
        <v>0.5762923332</v>
      </c>
      <c r="AU548" s="30">
        <f>IFERROR(__xludf.DUMMYFUNCTION("""COMPUTED_VALUE"""),2.69236970897862)</f>
        <v>2.692369709</v>
      </c>
      <c r="AV548" s="32">
        <f>IFERROR(__xludf.DUMMYFUNCTION("""COMPUTED_VALUE"""),74.58980497617)</f>
        <v>74.58980498</v>
      </c>
      <c r="AW548" s="32">
        <f>IFERROR(__xludf.DUMMYFUNCTION("""COMPUTED_VALUE"""),6.147867357126358)</f>
        <v>6.147867357</v>
      </c>
      <c r="AX548" s="32">
        <f>IFERROR(__xludf.DUMMYFUNCTION("""COMPUTED_VALUE"""),74.88838642925847)</f>
        <v>74.88838643</v>
      </c>
      <c r="AY548" s="32">
        <f>IFERROR(__xludf.DUMMYFUNCTION("""COMPUTED_VALUE"""),6.260252960756157)</f>
        <v>6.260252961</v>
      </c>
      <c r="AZ548" s="30">
        <f>IFERROR(__xludf.DUMMYFUNCTION("""COMPUTED_VALUE"""),0.11238560362979921)</f>
        <v>0.1123856036</v>
      </c>
      <c r="BA548" s="30">
        <f>IFERROR(__xludf.DUMMYFUNCTION("""COMPUTED_VALUE"""),1700.0)</f>
        <v>1700</v>
      </c>
    </row>
    <row r="549">
      <c r="A549" s="71" t="str">
        <f>IFERROR(__xludf.DUMMYFUNCTION("""COMPUTED_VALUE"""),"Rival")</f>
        <v>Rival</v>
      </c>
      <c r="B549" s="71" t="str">
        <f>IFERROR(__xludf.DUMMYFUNCTION("""COMPUTED_VALUE"""),"RSC004365")</f>
        <v>RSC004365</v>
      </c>
      <c r="C549" s="30" t="str">
        <f>IFERROR(__xludf.DUMMYFUNCTION("""COMPUTED_VALUE"""),"Mattixbigs")</f>
        <v>Mattixbigs</v>
      </c>
      <c r="D549" s="30" t="str">
        <f>IFERROR(__xludf.DUMMYFUNCTION("""COMPUTED_VALUE"""),"Ostriches")</f>
        <v>Ostriches</v>
      </c>
      <c r="E549" s="30">
        <f>IFERROR(__xludf.DUMMYFUNCTION("""COMPUTED_VALUE"""),12.0)</f>
        <v>12</v>
      </c>
      <c r="F549" s="30">
        <f>IFERROR(__xludf.DUMMYFUNCTION("""COMPUTED_VALUE"""),5.0)</f>
        <v>5</v>
      </c>
      <c r="G549" s="42">
        <f>IFERROR(__xludf.DUMMYFUNCTION("""COMPUTED_VALUE"""),7.0)</f>
        <v>7</v>
      </c>
      <c r="H549" s="42">
        <f>IFERROR(__xludf.DUMMYFUNCTION("""COMPUTED_VALUE"""),0.4166666666666667)</f>
        <v>0.4166666667</v>
      </c>
      <c r="I549" s="42">
        <f>IFERROR(__xludf.DUMMYFUNCTION("""COMPUTED_VALUE"""),0.29411764705882354)</f>
        <v>0.2941176471</v>
      </c>
      <c r="J549" s="30">
        <f>IFERROR(__xludf.DUMMYFUNCTION("""COMPUTED_VALUE"""),372.4166666666667)</f>
        <v>372.4166667</v>
      </c>
      <c r="K549" s="30">
        <f>IFERROR(__xludf.DUMMYFUNCTION("""COMPUTED_VALUE"""),0.8333333333333334)</f>
        <v>0.8333333333</v>
      </c>
      <c r="L549" s="30">
        <f>IFERROR(__xludf.DUMMYFUNCTION("""COMPUTED_VALUE"""),0.75)</f>
        <v>0.75</v>
      </c>
      <c r="M549" s="30">
        <f>IFERROR(__xludf.DUMMYFUNCTION("""COMPUTED_VALUE"""),1.3333333333333333)</f>
        <v>1.333333333</v>
      </c>
      <c r="N549" s="30">
        <f>IFERROR(__xludf.DUMMYFUNCTION("""COMPUTED_VALUE"""),2.8333333333333335)</f>
        <v>2.833333333</v>
      </c>
      <c r="O549" s="30">
        <f>IFERROR(__xludf.DUMMYFUNCTION("""COMPUTED_VALUE"""),379.49999999999994)</f>
        <v>379.5</v>
      </c>
      <c r="P549" s="30">
        <f>IFERROR(__xludf.DUMMYFUNCTION("""COMPUTED_VALUE"""),0.861111111111111)</f>
        <v>0.8611111111</v>
      </c>
      <c r="Q549" s="30">
        <f>IFERROR(__xludf.DUMMYFUNCTION("""COMPUTED_VALUE"""),0.611111111111111)</f>
        <v>0.6111111111</v>
      </c>
      <c r="R549" s="30">
        <f>IFERROR(__xludf.DUMMYFUNCTION("""COMPUTED_VALUE"""),1.361111111111111)</f>
        <v>1.361111111</v>
      </c>
      <c r="S549" s="30">
        <f>IFERROR(__xludf.DUMMYFUNCTION("""COMPUTED_VALUE"""),2.5555555555555554)</f>
        <v>2.555555556</v>
      </c>
      <c r="T549" s="30">
        <f>IFERROR(__xludf.DUMMYFUNCTION("""COMPUTED_VALUE"""),340.7583752739854)</f>
        <v>340.7583753</v>
      </c>
      <c r="U549" s="30">
        <f>IFERROR(__xludf.DUMMYFUNCTION("""COMPUTED_VALUE"""),0.6671214850798579)</f>
        <v>0.6671214851</v>
      </c>
      <c r="V549" s="30">
        <f>IFERROR(__xludf.DUMMYFUNCTION("""COMPUTED_VALUE"""),0.5951825494371747)</f>
        <v>0.5951825494</v>
      </c>
      <c r="W549" s="30">
        <f>IFERROR(__xludf.DUMMYFUNCTION("""COMPUTED_VALUE"""),1.3720744922683965)</f>
        <v>1.372074492</v>
      </c>
      <c r="X549" s="30">
        <f>IFERROR(__xludf.DUMMYFUNCTION("""COMPUTED_VALUE"""),2.3225971362939655)</f>
        <v>2.322597136</v>
      </c>
      <c r="Y549" s="30">
        <f>IFERROR(__xludf.DUMMYFUNCTION("""COMPUTED_VALUE"""),348.8622387546805)</f>
        <v>348.8622388</v>
      </c>
      <c r="Z549" s="30">
        <f>IFERROR(__xludf.DUMMYFUNCTION("""COMPUTED_VALUE"""),0.78547487819573)</f>
        <v>0.7854748782</v>
      </c>
      <c r="AA549" s="30">
        <f>IFERROR(__xludf.DUMMYFUNCTION("""COMPUTED_VALUE"""),0.596385405584159)</f>
        <v>0.5963854056</v>
      </c>
      <c r="AB549" s="30">
        <f>IFERROR(__xludf.DUMMYFUNCTION("""COMPUTED_VALUE"""),1.2200832049131518)</f>
        <v>1.220083205</v>
      </c>
      <c r="AC549" s="30">
        <f>IFERROR(__xludf.DUMMYFUNCTION("""COMPUTED_VALUE"""),2.6205818355183212)</f>
        <v>2.620581836</v>
      </c>
      <c r="AD549" s="30">
        <f>IFERROR(__xludf.DUMMYFUNCTION("""COMPUTED_VALUE"""),1.0675178488679873)</f>
        <v>1.067517849</v>
      </c>
      <c r="AE549" s="30">
        <f>IFERROR(__xludf.DUMMYFUNCTION("""COMPUTED_VALUE"""),1.0609293262790738)</f>
        <v>1.060929326</v>
      </c>
      <c r="AF549" s="30">
        <f>IFERROR(__xludf.DUMMYFUNCTION("""COMPUTED_VALUE"""),1.2575760455864538)</f>
        <v>1.257576046</v>
      </c>
      <c r="AG549" s="30">
        <f>IFERROR(__xludf.DUMMYFUNCTION("""COMPUTED_VALUE"""),1.092821643609333)</f>
        <v>1.092821644</v>
      </c>
      <c r="AH549" s="30">
        <f>IFERROR(__xludf.DUMMYFUNCTION("""COMPUTED_VALUE"""),1.0811848326701587)</f>
        <v>1.081184833</v>
      </c>
      <c r="AI549" s="30">
        <f>IFERROR(__xludf.DUMMYFUNCTION("""COMPUTED_VALUE"""),1.1136923624983963)</f>
        <v>1.113692362</v>
      </c>
      <c r="AJ549" s="30">
        <f>IFERROR(__xludf.DUMMYFUNCTION("""COMPUTED_VALUE"""),1.290786056767504)</f>
        <v>1.290786057</v>
      </c>
      <c r="AK549" s="30">
        <f>IFERROR(__xludf.DUMMYFUNCTION("""COMPUTED_VALUE"""),1.0267624810051956)</f>
        <v>1.026762481</v>
      </c>
      <c r="AL549" s="30">
        <f>IFERROR(__xludf.DUMMYFUNCTION("""COMPUTED_VALUE"""),0.9920096312415514)</f>
        <v>0.9920096312</v>
      </c>
      <c r="AM549" s="30">
        <f>IFERROR(__xludf.DUMMYFUNCTION("""COMPUTED_VALUE"""),1.1003008294556447)</f>
        <v>1.100300829</v>
      </c>
      <c r="AN549" s="30">
        <f>IFERROR(__xludf.DUMMYFUNCTION("""COMPUTED_VALUE"""),1.098765745465276)</f>
        <v>1.098765745</v>
      </c>
      <c r="AO549" s="30">
        <f>IFERROR(__xludf.DUMMYFUNCTION("""COMPUTED_VALUE"""),1.1343112178137535)</f>
        <v>1.134311218</v>
      </c>
      <c r="AP549" s="30">
        <f>IFERROR(__xludf.DUMMYFUNCTION("""COMPUTED_VALUE"""),1.3392286024647886)</f>
        <v>1.339228602</v>
      </c>
      <c r="AQ549" s="30">
        <f>IFERROR(__xludf.DUMMYFUNCTION("""COMPUTED_VALUE"""),1.0174737087998156)</f>
        <v>1.017473709</v>
      </c>
      <c r="AR549" s="30">
        <f>IFERROR(__xludf.DUMMYFUNCTION("""COMPUTED_VALUE"""),1.137726966176206)</f>
        <v>1.137726966</v>
      </c>
      <c r="AS549" s="30">
        <f>IFERROR(__xludf.DUMMYFUNCTION("""COMPUTED_VALUE"""),27.0)</f>
        <v>27</v>
      </c>
      <c r="AT549" s="30">
        <f>IFERROR(__xludf.DUMMYFUNCTION("""COMPUTED_VALUE"""),0.44592841257110755)</f>
        <v>0.4459284126</v>
      </c>
      <c r="AU549" s="30">
        <f>IFERROR(__xludf.DUMMYFUNCTION("""COMPUTED_VALUE"""),2.351792818019086)</f>
        <v>2.351792818</v>
      </c>
      <c r="AV549" s="32">
        <f>IFERROR(__xludf.DUMMYFUNCTION("""COMPUTED_VALUE"""),62.559243256444994)</f>
        <v>62.55924326</v>
      </c>
      <c r="AW549" s="32">
        <f>IFERROR(__xludf.DUMMYFUNCTION("""COMPUTED_VALUE"""),3.2498793170657216)</f>
        <v>3.249879317</v>
      </c>
      <c r="AX549" s="32">
        <f>IFERROR(__xludf.DUMMYFUNCTION("""COMPUTED_VALUE"""),63.20076004967311)</f>
        <v>63.20076005</v>
      </c>
      <c r="AY549" s="32">
        <f>IFERROR(__xludf.DUMMYFUNCTION("""COMPUTED_VALUE"""),3.3474022696603885)</f>
        <v>3.34740227</v>
      </c>
      <c r="AZ549" s="30">
        <f>IFERROR(__xludf.DUMMYFUNCTION("""COMPUTED_VALUE"""),0.09752295259466681)</f>
        <v>0.09752295259</v>
      </c>
      <c r="BA549" s="30">
        <f>IFERROR(__xludf.DUMMYFUNCTION("""COMPUTED_VALUE"""),1700.0)</f>
        <v>1700</v>
      </c>
    </row>
    <row r="550">
      <c r="A550" s="71" t="str">
        <f>IFERROR(__xludf.DUMMYFUNCTION("""COMPUTED_VALUE"""),"Rival")</f>
        <v>Rival</v>
      </c>
      <c r="B550" s="71" t="str">
        <f>IFERROR(__xludf.DUMMYFUNCTION("""COMPUTED_VALUE"""),"RSC006654")</f>
        <v>RSC006654</v>
      </c>
      <c r="C550" s="30" t="str">
        <f>IFERROR(__xludf.DUMMYFUNCTION("""COMPUTED_VALUE"""),"Chicken")</f>
        <v>Chicken</v>
      </c>
      <c r="D550" s="30" t="str">
        <f>IFERROR(__xludf.DUMMYFUNCTION("""COMPUTED_VALUE"""),"Ocelots")</f>
        <v>Ocelots</v>
      </c>
      <c r="E550" s="30">
        <f>IFERROR(__xludf.DUMMYFUNCTION("""COMPUTED_VALUE"""),22.0)</f>
        <v>22</v>
      </c>
      <c r="F550" s="30">
        <f>IFERROR(__xludf.DUMMYFUNCTION("""COMPUTED_VALUE"""),13.0)</f>
        <v>13</v>
      </c>
      <c r="G550" s="42">
        <f>IFERROR(__xludf.DUMMYFUNCTION("""COMPUTED_VALUE"""),9.0)</f>
        <v>9</v>
      </c>
      <c r="H550" s="42">
        <f>IFERROR(__xludf.DUMMYFUNCTION("""COMPUTED_VALUE"""),0.5909090909090909)</f>
        <v>0.5909090909</v>
      </c>
      <c r="I550" s="42">
        <f>IFERROR(__xludf.DUMMYFUNCTION("""COMPUTED_VALUE"""),0.3191489361702128)</f>
        <v>0.3191489362</v>
      </c>
      <c r="J550" s="30">
        <f>IFERROR(__xludf.DUMMYFUNCTION("""COMPUTED_VALUE"""),322.59090909090907)</f>
        <v>322.5909091</v>
      </c>
      <c r="K550" s="30">
        <f>IFERROR(__xludf.DUMMYFUNCTION("""COMPUTED_VALUE"""),0.6818181818181818)</f>
        <v>0.6818181818</v>
      </c>
      <c r="L550" s="30">
        <f>IFERROR(__xludf.DUMMYFUNCTION("""COMPUTED_VALUE"""),0.4090909090909091)</f>
        <v>0.4090909091</v>
      </c>
      <c r="M550" s="30">
        <f>IFERROR(__xludf.DUMMYFUNCTION("""COMPUTED_VALUE"""),1.2727272727272727)</f>
        <v>1.272727273</v>
      </c>
      <c r="N550" s="30">
        <f>IFERROR(__xludf.DUMMYFUNCTION("""COMPUTED_VALUE"""),2.1363636363636362)</f>
        <v>2.136363636</v>
      </c>
      <c r="O550" s="30">
        <f>IFERROR(__xludf.DUMMYFUNCTION("""COMPUTED_VALUE"""),323.07575757575756)</f>
        <v>323.0757576</v>
      </c>
      <c r="P550" s="30">
        <f>IFERROR(__xludf.DUMMYFUNCTION("""COMPUTED_VALUE"""),0.606060606060606)</f>
        <v>0.6060606061</v>
      </c>
      <c r="Q550" s="30">
        <f>IFERROR(__xludf.DUMMYFUNCTION("""COMPUTED_VALUE"""),0.3484848484848485)</f>
        <v>0.3484848485</v>
      </c>
      <c r="R550" s="30">
        <f>IFERROR(__xludf.DUMMYFUNCTION("""COMPUTED_VALUE"""),1.3787878787878787)</f>
        <v>1.378787879</v>
      </c>
      <c r="S550" s="30">
        <f>IFERROR(__xludf.DUMMYFUNCTION("""COMPUTED_VALUE"""),2.0000000000000004)</f>
        <v>2</v>
      </c>
      <c r="T550" s="30">
        <f>IFERROR(__xludf.DUMMYFUNCTION("""COMPUTED_VALUE"""),341.27812631413923)</f>
        <v>341.2781263</v>
      </c>
      <c r="U550" s="30">
        <f>IFERROR(__xludf.DUMMYFUNCTION("""COMPUTED_VALUE"""),0.7278923133351033)</f>
        <v>0.7278923133</v>
      </c>
      <c r="V550" s="30">
        <f>IFERROR(__xludf.DUMMYFUNCTION("""COMPUTED_VALUE"""),0.5111022321171222)</f>
        <v>0.5111022321</v>
      </c>
      <c r="W550" s="30">
        <f>IFERROR(__xludf.DUMMYFUNCTION("""COMPUTED_VALUE"""),1.3696777259806256)</f>
        <v>1.369677726</v>
      </c>
      <c r="X550" s="30">
        <f>IFERROR(__xludf.DUMMYFUNCTION("""COMPUTED_VALUE"""),2.45104064626596)</f>
        <v>2.451040646</v>
      </c>
      <c r="Y550" s="30">
        <f>IFERROR(__xludf.DUMMYFUNCTION("""COMPUTED_VALUE"""),349.19894166376787)</f>
        <v>349.1989417</v>
      </c>
      <c r="Z550" s="30">
        <f>IFERROR(__xludf.DUMMYFUNCTION("""COMPUTED_VALUE"""),0.7905209829935533)</f>
        <v>0.790520983</v>
      </c>
      <c r="AA550" s="30">
        <f>IFERROR(__xludf.DUMMYFUNCTION("""COMPUTED_VALUE"""),0.5837128401901129)</f>
        <v>0.5837128402</v>
      </c>
      <c r="AB550" s="30">
        <f>IFERROR(__xludf.DUMMYFUNCTION("""COMPUTED_VALUE"""),1.3236286037050147)</f>
        <v>1.323628604</v>
      </c>
      <c r="AC550" s="30">
        <f>IFERROR(__xludf.DUMMYFUNCTION("""COMPUTED_VALUE"""),2.594489618125982)</f>
        <v>2.594489618</v>
      </c>
      <c r="AD550" s="30">
        <f>IFERROR(__xludf.DUMMYFUNCTION("""COMPUTED_VALUE"""),0.9238026540227067)</f>
        <v>0.923802654</v>
      </c>
      <c r="AE550" s="30">
        <f>IFERROR(__xludf.DUMMYFUNCTION("""COMPUTED_VALUE"""),0.8624922000631348)</f>
        <v>0.8624922001</v>
      </c>
      <c r="AF550" s="30">
        <f>IFERROR(__xludf.DUMMYFUNCTION("""COMPUTED_VALUE"""),0.7008427447949747)</f>
        <v>0.7008427448</v>
      </c>
      <c r="AG550" s="30">
        <f>IFERROR(__xludf.DUMMYFUNCTION("""COMPUTED_VALUE"""),0.9615440986729493)</f>
        <v>0.9615440987</v>
      </c>
      <c r="AH550" s="30">
        <f>IFERROR(__xludf.DUMMYFUNCTION("""COMPUTED_VALUE"""),0.8234234669656326)</f>
        <v>0.823423467</v>
      </c>
      <c r="AI550" s="30">
        <f>IFERROR(__xludf.DUMMYFUNCTION("""COMPUTED_VALUE"""),0.9466641213283421)</f>
        <v>0.9466641213</v>
      </c>
      <c r="AJ550" s="30">
        <f>IFERROR(__xludf.DUMMYFUNCTION("""COMPUTED_VALUE"""),0.832623995277157)</f>
        <v>0.8326239953</v>
      </c>
      <c r="AK550" s="30">
        <f>IFERROR(__xludf.DUMMYFUNCTION("""COMPUTED_VALUE"""),0.6818300265317391)</f>
        <v>0.6818300265</v>
      </c>
      <c r="AL550" s="30">
        <f>IFERROR(__xludf.DUMMYFUNCTION("""COMPUTED_VALUE"""),1.0066513112058755)</f>
        <v>1.006651311</v>
      </c>
      <c r="AM550" s="30">
        <f>IFERROR(__xludf.DUMMYFUNCTION("""COMPUTED_VALUE"""),0.8159799402131099)</f>
        <v>0.8159799402</v>
      </c>
      <c r="AN550" s="30">
        <f>IFERROR(__xludf.DUMMYFUNCTION("""COMPUTED_VALUE"""),0.9517614876910103)</f>
        <v>0.9517614877</v>
      </c>
      <c r="AO550" s="30">
        <f>IFERROR(__xludf.DUMMYFUNCTION("""COMPUTED_VALUE"""),0.9280728145748892)</f>
        <v>0.9280728146</v>
      </c>
      <c r="AP550" s="30">
        <f>IFERROR(__xludf.DUMMYFUNCTION("""COMPUTED_VALUE"""),0.7304883286171575)</f>
        <v>0.7304883286</v>
      </c>
      <c r="AQ550" s="30">
        <f>IFERROR(__xludf.DUMMYFUNCTION("""COMPUTED_VALUE"""),0.9712249038543693)</f>
        <v>0.9712249039</v>
      </c>
      <c r="AR550" s="30">
        <f>IFERROR(__xludf.DUMMYFUNCTION("""COMPUTED_VALUE"""),0.8578583006997059)</f>
        <v>0.8578583007</v>
      </c>
      <c r="AS550" s="30">
        <f>IFERROR(__xludf.DUMMYFUNCTION("""COMPUTED_VALUE"""),51.0)</f>
        <v>51</v>
      </c>
      <c r="AT550" s="30">
        <f>IFERROR(__xludf.DUMMYFUNCTION("""COMPUTED_VALUE"""),0.5902882250633421)</f>
        <v>0.5902882251</v>
      </c>
      <c r="AU550" s="30">
        <f>IFERROR(__xludf.DUMMYFUNCTION("""COMPUTED_VALUE"""),1.8255135288075257)</f>
        <v>1.825513529</v>
      </c>
      <c r="AV550" s="32">
        <f>IFERROR(__xludf.DUMMYFUNCTION("""COMPUTED_VALUE"""),43.9689171399706)</f>
        <v>43.96891714</v>
      </c>
      <c r="AW550" s="32">
        <f>IFERROR(__xludf.DUMMYFUNCTION("""COMPUTED_VALUE"""),-2.4710682937879436)</f>
        <v>-2.471068294</v>
      </c>
      <c r="AX550" s="32">
        <f>IFERROR(__xludf.DUMMYFUNCTION("""COMPUTED_VALUE"""),43.17852364642538)</f>
        <v>43.17852365</v>
      </c>
      <c r="AY550" s="32">
        <f>IFERROR(__xludf.DUMMYFUNCTION("""COMPUTED_VALUE"""),-2.54789545795805)</f>
        <v>-2.547895458</v>
      </c>
      <c r="AZ550" s="30">
        <f>IFERROR(__xludf.DUMMYFUNCTION("""COMPUTED_VALUE"""),0.0768271641701066)</f>
        <v>0.07682716417</v>
      </c>
      <c r="BA550" s="30">
        <f>IFERROR(__xludf.DUMMYFUNCTION("""COMPUTED_VALUE"""),1700.0)</f>
        <v>1700</v>
      </c>
    </row>
    <row r="551">
      <c r="A551" s="71" t="str">
        <f>IFERROR(__xludf.DUMMYFUNCTION("""COMPUTED_VALUE"""),"Rival")</f>
        <v>Rival</v>
      </c>
      <c r="B551" s="71" t="str">
        <f>IFERROR(__xludf.DUMMYFUNCTION("""COMPUTED_VALUE"""),"RSC006935")</f>
        <v>RSC006935</v>
      </c>
      <c r="C551" s="30" t="str">
        <f>IFERROR(__xludf.DUMMYFUNCTION("""COMPUTED_VALUE"""),"Bazzinga")</f>
        <v>Bazzinga</v>
      </c>
      <c r="D551" s="30" t="str">
        <f>IFERROR(__xludf.DUMMYFUNCTION("""COMPUTED_VALUE"""),"Lacuna")</f>
        <v>Lacuna</v>
      </c>
      <c r="E551" s="30">
        <f>IFERROR(__xludf.DUMMYFUNCTION("""COMPUTED_VALUE"""),36.0)</f>
        <v>36</v>
      </c>
      <c r="F551" s="30">
        <f>IFERROR(__xludf.DUMMYFUNCTION("""COMPUTED_VALUE"""),15.0)</f>
        <v>15</v>
      </c>
      <c r="G551" s="42">
        <f>IFERROR(__xludf.DUMMYFUNCTION("""COMPUTED_VALUE"""),21.0)</f>
        <v>21</v>
      </c>
      <c r="H551" s="42">
        <f>IFERROR(__xludf.DUMMYFUNCTION("""COMPUTED_VALUE"""),0.4166666666666667)</f>
        <v>0.4166666667</v>
      </c>
      <c r="I551" s="42">
        <f>IFERROR(__xludf.DUMMYFUNCTION("""COMPUTED_VALUE"""),0.27)</f>
        <v>0.27</v>
      </c>
      <c r="J551" s="30">
        <f>IFERROR(__xludf.DUMMYFUNCTION("""COMPUTED_VALUE"""),353.69444444444446)</f>
        <v>353.6944444</v>
      </c>
      <c r="K551" s="30">
        <f>IFERROR(__xludf.DUMMYFUNCTION("""COMPUTED_VALUE"""),0.75)</f>
        <v>0.75</v>
      </c>
      <c r="L551" s="30">
        <f>IFERROR(__xludf.DUMMYFUNCTION("""COMPUTED_VALUE"""),0.4444444444444444)</f>
        <v>0.4444444444</v>
      </c>
      <c r="M551" s="30">
        <f>IFERROR(__xludf.DUMMYFUNCTION("""COMPUTED_VALUE"""),1.3888888888888888)</f>
        <v>1.388888889</v>
      </c>
      <c r="N551" s="30">
        <f>IFERROR(__xludf.DUMMYFUNCTION("""COMPUTED_VALUE"""),2.7777777777777777)</f>
        <v>2.777777778</v>
      </c>
      <c r="O551" s="30">
        <f>IFERROR(__xludf.DUMMYFUNCTION("""COMPUTED_VALUE"""),326.08333333333326)</f>
        <v>326.0833333</v>
      </c>
      <c r="P551" s="30">
        <f>IFERROR(__xludf.DUMMYFUNCTION("""COMPUTED_VALUE"""),0.6944444444444444)</f>
        <v>0.6944444444</v>
      </c>
      <c r="Q551" s="30">
        <f>IFERROR(__xludf.DUMMYFUNCTION("""COMPUTED_VALUE"""),0.5277777777777777)</f>
        <v>0.5277777778</v>
      </c>
      <c r="R551" s="30">
        <f>IFERROR(__xludf.DUMMYFUNCTION("""COMPUTED_VALUE"""),1.2685185185185186)</f>
        <v>1.268518519</v>
      </c>
      <c r="S551" s="30">
        <f>IFERROR(__xludf.DUMMYFUNCTION("""COMPUTED_VALUE"""),2.509259259259259)</f>
        <v>2.509259259</v>
      </c>
      <c r="T551" s="30">
        <f>IFERROR(__xludf.DUMMYFUNCTION("""COMPUTED_VALUE"""),352.5741960911846)</f>
        <v>352.5741961</v>
      </c>
      <c r="U551" s="30">
        <f>IFERROR(__xludf.DUMMYFUNCTION("""COMPUTED_VALUE"""),0.8159581752976643)</f>
        <v>0.8159581753</v>
      </c>
      <c r="V551" s="30">
        <f>IFERROR(__xludf.DUMMYFUNCTION("""COMPUTED_VALUE"""),0.583825214180838)</f>
        <v>0.5838252142</v>
      </c>
      <c r="W551" s="30">
        <f>IFERROR(__xludf.DUMMYFUNCTION("""COMPUTED_VALUE"""),1.3353348452601796)</f>
        <v>1.335334845</v>
      </c>
      <c r="X551" s="30">
        <f>IFERROR(__xludf.DUMMYFUNCTION("""COMPUTED_VALUE"""),2.607579918080919)</f>
        <v>2.607579918</v>
      </c>
      <c r="Y551" s="30">
        <f>IFERROR(__xludf.DUMMYFUNCTION("""COMPUTED_VALUE"""),351.5849885693782)</f>
        <v>351.5849886</v>
      </c>
      <c r="Z551" s="30">
        <f>IFERROR(__xludf.DUMMYFUNCTION("""COMPUTED_VALUE"""),0.8008898456113013)</f>
        <v>0.8008898456</v>
      </c>
      <c r="AA551" s="30">
        <f>IFERROR(__xludf.DUMMYFUNCTION("""COMPUTED_VALUE"""),0.5848800152955733)</f>
        <v>0.5848800153</v>
      </c>
      <c r="AB551" s="30">
        <f>IFERROR(__xludf.DUMMYFUNCTION("""COMPUTED_VALUE"""),1.3209319620952398)</f>
        <v>1.320931962</v>
      </c>
      <c r="AC551" s="30">
        <f>IFERROR(__xludf.DUMMYFUNCTION("""COMPUTED_VALUE"""),2.631319978990019)</f>
        <v>2.631319979</v>
      </c>
      <c r="AD551" s="30">
        <f>IFERROR(__xludf.DUMMYFUNCTION("""COMPUTED_VALUE"""),1.0059998462495505)</f>
        <v>1.005999846</v>
      </c>
      <c r="AE551" s="30">
        <f>IFERROR(__xludf.DUMMYFUNCTION("""COMPUTED_VALUE"""),0.9364583707857375)</f>
        <v>0.9364583708</v>
      </c>
      <c r="AF551" s="30">
        <f>IFERROR(__xludf.DUMMYFUNCTION("""COMPUTED_VALUE"""),0.7598899480602722)</f>
        <v>0.7598899481</v>
      </c>
      <c r="AG551" s="30">
        <f>IFERROR(__xludf.DUMMYFUNCTION("""COMPUTED_VALUE"""),1.0514461976420473)</f>
        <v>1.051446198</v>
      </c>
      <c r="AH551" s="30">
        <f>IFERROR(__xludf.DUMMYFUNCTION("""COMPUTED_VALUE"""),1.0556594408727038)</f>
        <v>1.055659441</v>
      </c>
      <c r="AI551" s="30">
        <f>IFERROR(__xludf.DUMMYFUNCTION("""COMPUTED_VALUE"""),0.9248644312274057)</f>
        <v>0.9248644312</v>
      </c>
      <c r="AJ551" s="30">
        <f>IFERROR(__xludf.DUMMYFUNCTION("""COMPUTED_VALUE"""),0.8510784810644353)</f>
        <v>0.8510784811</v>
      </c>
      <c r="AK551" s="30">
        <f>IFERROR(__xludf.DUMMYFUNCTION("""COMPUTED_VALUE"""),0.9039996302973996)</f>
        <v>0.9039996303</v>
      </c>
      <c r="AL551" s="30">
        <f>IFERROR(__xludf.DUMMYFUNCTION("""COMPUTED_VALUE"""),0.9499628673820443)</f>
        <v>0.9499628674</v>
      </c>
      <c r="AM551" s="30">
        <f>IFERROR(__xludf.DUMMYFUNCTION("""COMPUTED_VALUE"""),0.9622942874579198)</f>
        <v>0.9622942875</v>
      </c>
      <c r="AN551" s="30">
        <f>IFERROR(__xludf.DUMMYFUNCTION("""COMPUTED_VALUE"""),1.04352832378678)</f>
        <v>1.043528324</v>
      </c>
      <c r="AO551" s="30">
        <f>IFERROR(__xludf.DUMMYFUNCTION("""COMPUTED_VALUE"""),1.020880096032378)</f>
        <v>1.020880096</v>
      </c>
      <c r="AP551" s="30">
        <f>IFERROR(__xludf.DUMMYFUNCTION("""COMPUTED_VALUE"""),0.7936169496087636)</f>
        <v>0.7936169496</v>
      </c>
      <c r="AQ551" s="30">
        <f>IFERROR(__xludf.DUMMYFUNCTION("""COMPUTED_VALUE"""),1.0598684466664745)</f>
        <v>1.059868447</v>
      </c>
      <c r="AR551" s="30">
        <f>IFERROR(__xludf.DUMMYFUNCTION("""COMPUTED_VALUE"""),1.1154185942903978)</f>
        <v>1.115418594</v>
      </c>
      <c r="AS551" s="30">
        <f>IFERROR(__xludf.DUMMYFUNCTION("""COMPUTED_VALUE"""),73.0)</f>
        <v>73</v>
      </c>
      <c r="AT551" s="30">
        <f>IFERROR(__xludf.DUMMYFUNCTION("""COMPUTED_VALUE"""),0.48986295199965935)</f>
        <v>0.489862952</v>
      </c>
      <c r="AU551" s="30">
        <f>IFERROR(__xludf.DUMMYFUNCTION("""COMPUTED_VALUE"""),2.1083735001885335)</f>
        <v>2.1083735</v>
      </c>
      <c r="AV551" s="32">
        <f>IFERROR(__xludf.DUMMYFUNCTION("""COMPUTED_VALUE"""),53.960682389079025)</f>
        <v>53.96068239</v>
      </c>
      <c r="AW551" s="32">
        <f>IFERROR(__xludf.DUMMYFUNCTION("""COMPUTED_VALUE"""),2.288015096358727)</f>
        <v>2.288015096</v>
      </c>
      <c r="AX551" s="32">
        <f>IFERROR(__xludf.DUMMYFUNCTION("""COMPUTED_VALUE"""),53.36162785853495)</f>
        <v>53.36162786</v>
      </c>
      <c r="AY551" s="32">
        <f>IFERROR(__xludf.DUMMYFUNCTION("""COMPUTED_VALUE"""),2.239554394341176)</f>
        <v>2.239554394</v>
      </c>
      <c r="AZ551" s="30">
        <f>IFERROR(__xludf.DUMMYFUNCTION("""COMPUTED_VALUE"""),0.048460702017550705)</f>
        <v>0.04846070202</v>
      </c>
      <c r="BA551" s="30">
        <f>IFERROR(__xludf.DUMMYFUNCTION("""COMPUTED_VALUE"""),1700.0)</f>
        <v>1700</v>
      </c>
    </row>
    <row r="552">
      <c r="A552" s="71" t="str">
        <f>IFERROR(__xludf.DUMMYFUNCTION("""COMPUTED_VALUE"""),"Rival")</f>
        <v>Rival</v>
      </c>
      <c r="B552" s="71" t="str">
        <f>IFERROR(__xludf.DUMMYFUNCTION("""COMPUTED_VALUE"""),"RSC003255")</f>
        <v>RSC003255</v>
      </c>
      <c r="C552" s="30" t="str">
        <f>IFERROR(__xludf.DUMMYFUNCTION("""COMPUTED_VALUE"""),"cozyboy")</f>
        <v>cozyboy</v>
      </c>
      <c r="D552" s="30" t="str">
        <f>IFERROR(__xludf.DUMMYFUNCTION("""COMPUTED_VALUE"""),"Funk Hunks")</f>
        <v>Funk Hunks</v>
      </c>
      <c r="E552" s="30">
        <f>IFERROR(__xludf.DUMMYFUNCTION("""COMPUTED_VALUE"""),29.0)</f>
        <v>29</v>
      </c>
      <c r="F552" s="30">
        <f>IFERROR(__xludf.DUMMYFUNCTION("""COMPUTED_VALUE"""),13.0)</f>
        <v>13</v>
      </c>
      <c r="G552" s="42">
        <f>IFERROR(__xludf.DUMMYFUNCTION("""COMPUTED_VALUE"""),16.0)</f>
        <v>16</v>
      </c>
      <c r="H552" s="42">
        <f>IFERROR(__xludf.DUMMYFUNCTION("""COMPUTED_VALUE"""),0.4482758620689655)</f>
        <v>0.4482758621</v>
      </c>
      <c r="I552" s="42">
        <f>IFERROR(__xludf.DUMMYFUNCTION("""COMPUTED_VALUE"""),0.25862068965517243)</f>
        <v>0.2586206897</v>
      </c>
      <c r="J552" s="30">
        <f>IFERROR(__xludf.DUMMYFUNCTION("""COMPUTED_VALUE"""),322.1034482758621)</f>
        <v>322.1034483</v>
      </c>
      <c r="K552" s="30">
        <f>IFERROR(__xludf.DUMMYFUNCTION("""COMPUTED_VALUE"""),0.5172413793103449)</f>
        <v>0.5172413793</v>
      </c>
      <c r="L552" s="30">
        <f>IFERROR(__xludf.DUMMYFUNCTION("""COMPUTED_VALUE"""),0.7586206896551724)</f>
        <v>0.7586206897</v>
      </c>
      <c r="M552" s="30">
        <f>IFERROR(__xludf.DUMMYFUNCTION("""COMPUTED_VALUE"""),1.3793103448275863)</f>
        <v>1.379310345</v>
      </c>
      <c r="N552" s="30">
        <f>IFERROR(__xludf.DUMMYFUNCTION("""COMPUTED_VALUE"""),2.0)</f>
        <v>2</v>
      </c>
      <c r="O552" s="30">
        <f>IFERROR(__xludf.DUMMYFUNCTION("""COMPUTED_VALUE"""),348.50574712643675)</f>
        <v>348.5057471</v>
      </c>
      <c r="P552" s="30">
        <f>IFERROR(__xludf.DUMMYFUNCTION("""COMPUTED_VALUE"""),0.8505747126436782)</f>
        <v>0.8505747126</v>
      </c>
      <c r="Q552" s="30">
        <f>IFERROR(__xludf.DUMMYFUNCTION("""COMPUTED_VALUE"""),0.586206896551724)</f>
        <v>0.5862068966</v>
      </c>
      <c r="R552" s="30">
        <f>IFERROR(__xludf.DUMMYFUNCTION("""COMPUTED_VALUE"""),1.218390804597701)</f>
        <v>1.218390805</v>
      </c>
      <c r="S552" s="30">
        <f>IFERROR(__xludf.DUMMYFUNCTION("""COMPUTED_VALUE"""),2.724137931034482)</f>
        <v>2.724137931</v>
      </c>
      <c r="T552" s="30">
        <f>IFERROR(__xludf.DUMMYFUNCTION("""COMPUTED_VALUE"""),355.46303470213206)</f>
        <v>355.4630347</v>
      </c>
      <c r="U552" s="30">
        <f>IFERROR(__xludf.DUMMYFUNCTION("""COMPUTED_VALUE"""),0.8224383028135566)</f>
        <v>0.8224383028</v>
      </c>
      <c r="V552" s="30">
        <f>IFERROR(__xludf.DUMMYFUNCTION("""COMPUTED_VALUE"""),0.6194119455782743)</f>
        <v>0.6194119456</v>
      </c>
      <c r="W552" s="30">
        <f>IFERROR(__xludf.DUMMYFUNCTION("""COMPUTED_VALUE"""),1.2797433784756298)</f>
        <v>1.279743378</v>
      </c>
      <c r="X552" s="30">
        <f>IFERROR(__xludf.DUMMYFUNCTION("""COMPUTED_VALUE"""),2.6878942858658887)</f>
        <v>2.687894286</v>
      </c>
      <c r="Y552" s="30">
        <f>IFERROR(__xludf.DUMMYFUNCTION("""COMPUTED_VALUE"""),342.16339640501235)</f>
        <v>342.1633964</v>
      </c>
      <c r="Z552" s="30">
        <f>IFERROR(__xludf.DUMMYFUNCTION("""COMPUTED_VALUE"""),0.7450960506825958)</f>
        <v>0.7450960507</v>
      </c>
      <c r="AA552" s="30">
        <f>IFERROR(__xludf.DUMMYFUNCTION("""COMPUTED_VALUE"""),0.5502977530445413)</f>
        <v>0.550297753</v>
      </c>
      <c r="AB552" s="30">
        <f>IFERROR(__xludf.DUMMYFUNCTION("""COMPUTED_VALUE"""),1.3389025668944534)</f>
        <v>1.338902567</v>
      </c>
      <c r="AC552" s="30">
        <f>IFERROR(__xludf.DUMMYFUNCTION("""COMPUTED_VALUE"""),2.4972574545005246)</f>
        <v>2.497257455</v>
      </c>
      <c r="AD552" s="30">
        <f>IFERROR(__xludf.DUMMYFUNCTION("""COMPUTED_VALUE"""),0.9413731908792322)</f>
        <v>0.9413731909</v>
      </c>
      <c r="AE552" s="30">
        <f>IFERROR(__xludf.DUMMYFUNCTION("""COMPUTED_VALUE"""),0.6941942301754127)</f>
        <v>0.6941942302</v>
      </c>
      <c r="AF552" s="30">
        <f>IFERROR(__xludf.DUMMYFUNCTION("""COMPUTED_VALUE"""),1.3785640327587696)</f>
        <v>1.378564033</v>
      </c>
      <c r="AG552" s="30">
        <f>IFERROR(__xludf.DUMMYFUNCTION("""COMPUTED_VALUE"""),1.0301797747888837)</f>
        <v>1.030179775</v>
      </c>
      <c r="AH552" s="30">
        <f>IFERROR(__xludf.DUMMYFUNCTION("""COMPUTED_VALUE"""),0.8008785783763008)</f>
        <v>0.8008785784</v>
      </c>
      <c r="AI552" s="30">
        <f>IFERROR(__xludf.DUMMYFUNCTION("""COMPUTED_VALUE"""),0.9804275356464974)</f>
        <v>0.9804275356</v>
      </c>
      <c r="AJ552" s="30">
        <f>IFERROR(__xludf.DUMMYFUNCTION("""COMPUTED_VALUE"""),1.0342109672347057)</f>
        <v>1.034210967</v>
      </c>
      <c r="AK552" s="30">
        <f>IFERROR(__xludf.DUMMYFUNCTION("""COMPUTED_VALUE"""),0.9463926240628916)</f>
        <v>0.9463926241</v>
      </c>
      <c r="AL552" s="30">
        <f>IFERROR(__xludf.DUMMYFUNCTION("""COMPUTED_VALUE"""),0.9520586901172255)</f>
        <v>0.9520586901</v>
      </c>
      <c r="AM552" s="30">
        <f>IFERROR(__xludf.DUMMYFUNCTION("""COMPUTED_VALUE"""),1.01348402924891)</f>
        <v>1.013484029</v>
      </c>
      <c r="AN552" s="30">
        <f>IFERROR(__xludf.DUMMYFUNCTION("""COMPUTED_VALUE"""),0.9503232995169306)</f>
        <v>0.9503232995</v>
      </c>
      <c r="AO552" s="30">
        <f>IFERROR(__xludf.DUMMYFUNCTION("""COMPUTED_VALUE"""),0.7040552386430194)</f>
        <v>0.7040552386</v>
      </c>
      <c r="AP552" s="30">
        <f>IFERROR(__xludf.DUMMYFUNCTION("""COMPUTED_VALUE"""),1.3546220346770275)</f>
        <v>1.354622035</v>
      </c>
      <c r="AQ552" s="30">
        <f>IFERROR(__xludf.DUMMYFUNCTION("""COMPUTED_VALUE"""),1.0525590091032575)</f>
        <v>1.052559009</v>
      </c>
      <c r="AR552" s="30">
        <f>IFERROR(__xludf.DUMMYFUNCTION("""COMPUTED_VALUE"""),0.8031013878890865)</f>
        <v>0.8031013879</v>
      </c>
      <c r="AS552" s="30">
        <f>IFERROR(__xludf.DUMMYFUNCTION("""COMPUTED_VALUE"""),59.0)</f>
        <v>59</v>
      </c>
      <c r="AT552" s="30">
        <f>IFERROR(__xludf.DUMMYFUNCTION("""COMPUTED_VALUE"""),0.4132082486937288)</f>
        <v>0.4132082487</v>
      </c>
      <c r="AU552" s="30">
        <f>IFERROR(__xludf.DUMMYFUNCTION("""COMPUTED_VALUE"""),1.8005231853860006)</f>
        <v>1.800523185</v>
      </c>
      <c r="AV552" s="32">
        <f>IFERROR(__xludf.DUMMYFUNCTION("""COMPUTED_VALUE"""),43.08615651554085)</f>
        <v>43.08615652</v>
      </c>
      <c r="AW552" s="32">
        <f>IFERROR(__xludf.DUMMYFUNCTION("""COMPUTED_VALUE"""),-2.557143232395435)</f>
        <v>-2.557143232</v>
      </c>
      <c r="AX552" s="32">
        <f>IFERROR(__xludf.DUMMYFUNCTION("""COMPUTED_VALUE"""),43.254968171633124)</f>
        <v>43.25496817</v>
      </c>
      <c r="AY552" s="32">
        <f>IFERROR(__xludf.DUMMYFUNCTION("""COMPUTED_VALUE"""),-2.5402852943372505)</f>
        <v>-2.540285294</v>
      </c>
      <c r="AZ552" s="30">
        <f>IFERROR(__xludf.DUMMYFUNCTION("""COMPUTED_VALUE"""),0.016857938058184363)</f>
        <v>0.01685793806</v>
      </c>
      <c r="BA552" s="30">
        <f>IFERROR(__xludf.DUMMYFUNCTION("""COMPUTED_VALUE"""),1700.0)</f>
        <v>1700</v>
      </c>
    </row>
    <row r="553">
      <c r="A553" s="71" t="str">
        <f>IFERROR(__xludf.DUMMYFUNCTION("""COMPUTED_VALUE"""),"Rival")</f>
        <v>Rival</v>
      </c>
      <c r="B553" s="71" t="str">
        <f>IFERROR(__xludf.DUMMYFUNCTION("""COMPUTED_VALUE"""),"RSC005328")</f>
        <v>RSC005328</v>
      </c>
      <c r="C553" s="30" t="str">
        <f>IFERROR(__xludf.DUMMYFUNCTION("""COMPUTED_VALUE"""),"Razor")</f>
        <v>Razor</v>
      </c>
      <c r="D553" s="30" t="str">
        <f>IFERROR(__xludf.DUMMYFUNCTION("""COMPUTED_VALUE"""),"Dice")</f>
        <v>Dice</v>
      </c>
      <c r="E553" s="30">
        <f>IFERROR(__xludf.DUMMYFUNCTION("""COMPUTED_VALUE"""),8.0)</f>
        <v>8</v>
      </c>
      <c r="F553" s="30">
        <f>IFERROR(__xludf.DUMMYFUNCTION("""COMPUTED_VALUE"""),4.0)</f>
        <v>4</v>
      </c>
      <c r="G553" s="42">
        <f>IFERROR(__xludf.DUMMYFUNCTION("""COMPUTED_VALUE"""),4.0)</f>
        <v>4</v>
      </c>
      <c r="H553" s="42">
        <f>IFERROR(__xludf.DUMMYFUNCTION("""COMPUTED_VALUE"""),0.5)</f>
        <v>0.5</v>
      </c>
      <c r="I553" s="42">
        <f>IFERROR(__xludf.DUMMYFUNCTION("""COMPUTED_VALUE"""),0.21052631578947367)</f>
        <v>0.2105263158</v>
      </c>
      <c r="J553" s="30">
        <f>IFERROR(__xludf.DUMMYFUNCTION("""COMPUTED_VALUE"""),322.625)</f>
        <v>322.625</v>
      </c>
      <c r="K553" s="30">
        <f>IFERROR(__xludf.DUMMYFUNCTION("""COMPUTED_VALUE"""),0.5)</f>
        <v>0.5</v>
      </c>
      <c r="L553" s="30">
        <f>IFERROR(__xludf.DUMMYFUNCTION("""COMPUTED_VALUE"""),0.625)</f>
        <v>0.625</v>
      </c>
      <c r="M553" s="30">
        <f>IFERROR(__xludf.DUMMYFUNCTION("""COMPUTED_VALUE"""),1.625)</f>
        <v>1.625</v>
      </c>
      <c r="N553" s="30">
        <f>IFERROR(__xludf.DUMMYFUNCTION("""COMPUTED_VALUE"""),2.375)</f>
        <v>2.375</v>
      </c>
      <c r="O553" s="30">
        <f>IFERROR(__xludf.DUMMYFUNCTION("""COMPUTED_VALUE"""),344.625)</f>
        <v>344.625</v>
      </c>
      <c r="P553" s="30">
        <f>IFERROR(__xludf.DUMMYFUNCTION("""COMPUTED_VALUE"""),0.75)</f>
        <v>0.75</v>
      </c>
      <c r="Q553" s="30">
        <f>IFERROR(__xludf.DUMMYFUNCTION("""COMPUTED_VALUE"""),0.5)</f>
        <v>0.5</v>
      </c>
      <c r="R553" s="30">
        <f>IFERROR(__xludf.DUMMYFUNCTION("""COMPUTED_VALUE"""),1.5833333333333335)</f>
        <v>1.583333333</v>
      </c>
      <c r="S553" s="30">
        <f>IFERROR(__xludf.DUMMYFUNCTION("""COMPUTED_VALUE"""),2.583333333333333)</f>
        <v>2.583333333</v>
      </c>
      <c r="T553" s="30">
        <f>IFERROR(__xludf.DUMMYFUNCTION("""COMPUTED_VALUE"""),353.8806993546577)</f>
        <v>353.8806994</v>
      </c>
      <c r="U553" s="30">
        <f>IFERROR(__xludf.DUMMYFUNCTION("""COMPUTED_VALUE"""),0.8539737654320987)</f>
        <v>0.8539737654</v>
      </c>
      <c r="V553" s="30">
        <f>IFERROR(__xludf.DUMMYFUNCTION("""COMPUTED_VALUE"""),0.5193778058361391)</f>
        <v>0.5193778058</v>
      </c>
      <c r="W553" s="30">
        <f>IFERROR(__xludf.DUMMYFUNCTION("""COMPUTED_VALUE"""),1.359252244668911)</f>
        <v>1.359252245</v>
      </c>
      <c r="X553" s="30">
        <f>IFERROR(__xludf.DUMMYFUNCTION("""COMPUTED_VALUE"""),2.666964786756454)</f>
        <v>2.666964787</v>
      </c>
      <c r="Y553" s="30">
        <f>IFERROR(__xludf.DUMMYFUNCTION("""COMPUTED_VALUE"""),337.5660774410774)</f>
        <v>337.5660774</v>
      </c>
      <c r="Z553" s="30">
        <f>IFERROR(__xludf.DUMMYFUNCTION("""COMPUTED_VALUE"""),0.7140326879910214)</f>
        <v>0.714032688</v>
      </c>
      <c r="AA553" s="30">
        <f>IFERROR(__xludf.DUMMYFUNCTION("""COMPUTED_VALUE"""),0.5445426487093153)</f>
        <v>0.5445426487</v>
      </c>
      <c r="AB553" s="30">
        <f>IFERROR(__xludf.DUMMYFUNCTION("""COMPUTED_VALUE"""),1.388111438458661)</f>
        <v>1.388111438</v>
      </c>
      <c r="AC553" s="30">
        <f>IFERROR(__xludf.DUMMYFUNCTION("""COMPUTED_VALUE"""),2.57261854657688)</f>
        <v>2.572618547</v>
      </c>
      <c r="AD553" s="30">
        <f>IFERROR(__xludf.DUMMYFUNCTION("""COMPUTED_VALUE"""),0.9557388065935464)</f>
        <v>0.9557388066</v>
      </c>
      <c r="AE553" s="30">
        <f>IFERROR(__xludf.DUMMYFUNCTION("""COMPUTED_VALUE"""),0.7002480536385293)</f>
        <v>0.7002480536</v>
      </c>
      <c r="AF553" s="30">
        <f>IFERROR(__xludf.DUMMYFUNCTION("""COMPUTED_VALUE"""),1.1477521576710035)</f>
        <v>1.147752158</v>
      </c>
      <c r="AG553" s="30">
        <f>IFERROR(__xludf.DUMMYFUNCTION("""COMPUTED_VALUE"""),1.1706552910509669)</f>
        <v>1.170655291</v>
      </c>
      <c r="AH553" s="30">
        <f>IFERROR(__xludf.DUMMYFUNCTION("""COMPUTED_VALUE"""),0.9231838910436875)</f>
        <v>0.923183891</v>
      </c>
      <c r="AI553" s="30">
        <f>IFERROR(__xludf.DUMMYFUNCTION("""COMPUTED_VALUE"""),0.9738451422427488)</f>
        <v>0.9738451422</v>
      </c>
      <c r="AJ553" s="30">
        <f>IFERROR(__xludf.DUMMYFUNCTION("""COMPUTED_VALUE"""),0.8782471199457873)</f>
        <v>0.8782471199</v>
      </c>
      <c r="AK553" s="30">
        <f>IFERROR(__xludf.DUMMYFUNCTION("""COMPUTED_VALUE"""),0.9626903467603066)</f>
        <v>0.9626903468</v>
      </c>
      <c r="AL553" s="30">
        <f>IFERROR(__xludf.DUMMYFUNCTION("""COMPUTED_VALUE"""),1.1648561475938592)</f>
        <v>1.164856148</v>
      </c>
      <c r="AM553" s="30">
        <f>IFERROR(__xludf.DUMMYFUNCTION("""COMPUTED_VALUE"""),0.9686417106673415)</f>
        <v>0.9686417107</v>
      </c>
      <c r="AN553" s="30">
        <f>IFERROR(__xludf.DUMMYFUNCTION("""COMPUTED_VALUE"""),0.9518620683752106)</f>
        <v>0.9518620684</v>
      </c>
      <c r="AO553" s="30">
        <f>IFERROR(__xludf.DUMMYFUNCTION("""COMPUTED_VALUE"""),0.6805867306882522)</f>
        <v>0.6805867307</v>
      </c>
      <c r="AP553" s="30">
        <f>IFERROR(__xludf.DUMMYFUNCTION("""COMPUTED_VALUE"""),1.116023835387324)</f>
        <v>1.116023835</v>
      </c>
      <c r="AQ553" s="30">
        <f>IFERROR(__xludf.DUMMYFUNCTION("""COMPUTED_VALUE"""),1.2400460825997752)</f>
        <v>1.240046083</v>
      </c>
      <c r="AR553" s="30">
        <f>IFERROR(__xludf.DUMMYFUNCTION("""COMPUTED_VALUE"""),0.9536828981182902)</f>
        <v>0.9536828981</v>
      </c>
      <c r="AS553" s="30">
        <f>IFERROR(__xludf.DUMMYFUNCTION("""COMPUTED_VALUE"""),13.0)</f>
        <v>13</v>
      </c>
      <c r="AT553" s="30">
        <f>IFERROR(__xludf.DUMMYFUNCTION("""COMPUTED_VALUE"""),0.3822416365980813)</f>
        <v>0.3822416366</v>
      </c>
      <c r="AU553" s="30">
        <f>IFERROR(__xludf.DUMMYFUNCTION("""COMPUTED_VALUE"""),1.8209681494312555)</f>
        <v>1.820968149</v>
      </c>
      <c r="AV553" s="32">
        <f>IFERROR(__xludf.DUMMYFUNCTION("""COMPUTED_VALUE"""),43.80835584360161)</f>
        <v>43.80835584</v>
      </c>
      <c r="AW553" s="32">
        <f>IFERROR(__xludf.DUMMYFUNCTION("""COMPUTED_VALUE"""),-2.4863467819316685)</f>
        <v>-2.486346782</v>
      </c>
      <c r="AX553" s="32">
        <f>IFERROR(__xludf.DUMMYFUNCTION("""COMPUTED_VALUE"""),43.67921195726604)</f>
        <v>43.67921196</v>
      </c>
      <c r="AY553" s="32">
        <f>IFERROR(__xludf.DUMMYFUNCTION("""COMPUTED_VALUE"""),-2.4987555945044413)</f>
        <v>-2.498755595</v>
      </c>
      <c r="AZ553" s="30">
        <f>IFERROR(__xludf.DUMMYFUNCTION("""COMPUTED_VALUE"""),0.01240881257277282)</f>
        <v>0.01240881257</v>
      </c>
      <c r="BA553" s="30">
        <f>IFERROR(__xludf.DUMMYFUNCTION("""COMPUTED_VALUE"""),1700.0)</f>
        <v>1700</v>
      </c>
    </row>
    <row r="554">
      <c r="A554" s="71" t="str">
        <f>IFERROR(__xludf.DUMMYFUNCTION("""COMPUTED_VALUE"""),"Rival")</f>
        <v>Rival</v>
      </c>
      <c r="B554" s="71" t="str">
        <f>IFERROR(__xludf.DUMMYFUNCTION("""COMPUTED_VALUE"""),"RSC001082")</f>
        <v>RSC001082</v>
      </c>
      <c r="C554" s="30" t="str">
        <f>IFERROR(__xludf.DUMMYFUNCTION("""COMPUTED_VALUE"""),"Tuxedo Marx")</f>
        <v>Tuxedo Marx</v>
      </c>
      <c r="D554" s="30" t="str">
        <f>IFERROR(__xludf.DUMMYFUNCTION("""COMPUTED_VALUE"""),"Asiago Arsonists")</f>
        <v>Asiago Arsonists</v>
      </c>
      <c r="E554" s="30">
        <f>IFERROR(__xludf.DUMMYFUNCTION("""COMPUTED_VALUE"""),36.0)</f>
        <v>36</v>
      </c>
      <c r="F554" s="30">
        <f>IFERROR(__xludf.DUMMYFUNCTION("""COMPUTED_VALUE"""),18.0)</f>
        <v>18</v>
      </c>
      <c r="G554" s="42">
        <f>IFERROR(__xludf.DUMMYFUNCTION("""COMPUTED_VALUE"""),18.0)</f>
        <v>18</v>
      </c>
      <c r="H554" s="42">
        <f>IFERROR(__xludf.DUMMYFUNCTION("""COMPUTED_VALUE"""),0.5)</f>
        <v>0.5</v>
      </c>
      <c r="I554" s="42">
        <f>IFERROR(__xludf.DUMMYFUNCTION("""COMPUTED_VALUE"""),0.39215686274509803)</f>
        <v>0.3921568627</v>
      </c>
      <c r="J554" s="30">
        <f>IFERROR(__xludf.DUMMYFUNCTION("""COMPUTED_VALUE"""),349.1111111111111)</f>
        <v>349.1111111</v>
      </c>
      <c r="K554" s="30">
        <f>IFERROR(__xludf.DUMMYFUNCTION("""COMPUTED_VALUE"""),1.1111111111111112)</f>
        <v>1.111111111</v>
      </c>
      <c r="L554" s="30">
        <f>IFERROR(__xludf.DUMMYFUNCTION("""COMPUTED_VALUE"""),0.3333333333333333)</f>
        <v>0.3333333333</v>
      </c>
      <c r="M554" s="30">
        <f>IFERROR(__xludf.DUMMYFUNCTION("""COMPUTED_VALUE"""),0.8055555555555556)</f>
        <v>0.8055555556</v>
      </c>
      <c r="N554" s="30">
        <f>IFERROR(__xludf.DUMMYFUNCTION("""COMPUTED_VALUE"""),2.8333333333333335)</f>
        <v>2.833333333</v>
      </c>
      <c r="O554" s="30">
        <f>IFERROR(__xludf.DUMMYFUNCTION("""COMPUTED_VALUE"""),324.6944444444444)</f>
        <v>324.6944444</v>
      </c>
      <c r="P554" s="30">
        <f>IFERROR(__xludf.DUMMYFUNCTION("""COMPUTED_VALUE"""),0.6666666666666666)</f>
        <v>0.6666666667</v>
      </c>
      <c r="Q554" s="30">
        <f>IFERROR(__xludf.DUMMYFUNCTION("""COMPUTED_VALUE"""),0.5092592592592593)</f>
        <v>0.5092592593</v>
      </c>
      <c r="R554" s="30">
        <f>IFERROR(__xludf.DUMMYFUNCTION("""COMPUTED_VALUE"""),1.1851851851851853)</f>
        <v>1.185185185</v>
      </c>
      <c r="S554" s="30">
        <f>IFERROR(__xludf.DUMMYFUNCTION("""COMPUTED_VALUE"""),2.2314814814814814)</f>
        <v>2.231481481</v>
      </c>
      <c r="T554" s="30">
        <f>IFERROR(__xludf.DUMMYFUNCTION("""COMPUTED_VALUE"""),335.3573369127331)</f>
        <v>335.3573369</v>
      </c>
      <c r="U554" s="30">
        <f>IFERROR(__xludf.DUMMYFUNCTION("""COMPUTED_VALUE"""),0.7014150702892157)</f>
        <v>0.7014150703</v>
      </c>
      <c r="V554" s="30">
        <f>IFERROR(__xludf.DUMMYFUNCTION("""COMPUTED_VALUE"""),0.5374234365525402)</f>
        <v>0.5374234366</v>
      </c>
      <c r="W554" s="30">
        <f>IFERROR(__xludf.DUMMYFUNCTION("""COMPUTED_VALUE"""),1.2902452125646295)</f>
        <v>1.290245213</v>
      </c>
      <c r="X554" s="30">
        <f>IFERROR(__xludf.DUMMYFUNCTION("""COMPUTED_VALUE"""),2.4768222042032235)</f>
        <v>2.476822204</v>
      </c>
      <c r="Y554" s="30">
        <f>IFERROR(__xludf.DUMMYFUNCTION("""COMPUTED_VALUE"""),355.1299872698557)</f>
        <v>355.1299873</v>
      </c>
      <c r="Z554" s="30">
        <f>IFERROR(__xludf.DUMMYFUNCTION("""COMPUTED_VALUE"""),0.8180726961066841)</f>
        <v>0.8180726961</v>
      </c>
      <c r="AA554" s="30">
        <f>IFERROR(__xludf.DUMMYFUNCTION("""COMPUTED_VALUE"""),0.5832260087001782)</f>
        <v>0.5832260087</v>
      </c>
      <c r="AB554" s="30">
        <f>IFERROR(__xludf.DUMMYFUNCTION("""COMPUTED_VALUE"""),1.3273369638580743)</f>
        <v>1.327336964</v>
      </c>
      <c r="AC554" s="30">
        <f>IFERROR(__xludf.DUMMYFUNCTION("""COMPUTED_VALUE"""),2.580283085442258)</f>
        <v>2.580283085</v>
      </c>
      <c r="AD554" s="30">
        <f>IFERROR(__xludf.DUMMYFUNCTION("""COMPUTED_VALUE"""),0.9830516251105232)</f>
        <v>0.9830516251</v>
      </c>
      <c r="AE554" s="30">
        <f>IFERROR(__xludf.DUMMYFUNCTION("""COMPUTED_VALUE"""),1.358205837206199)</f>
        <v>1.358205837</v>
      </c>
      <c r="AF554" s="30">
        <f>IFERROR(__xludf.DUMMYFUNCTION("""COMPUTED_VALUE"""),0.5715337251097998)</f>
        <v>0.5715337251</v>
      </c>
      <c r="AG554" s="30">
        <f>IFERROR(__xludf.DUMMYFUNCTION("""COMPUTED_VALUE"""),0.6068960463619619)</f>
        <v>0.6068960464</v>
      </c>
      <c r="AH554" s="30">
        <f>IFERROR(__xludf.DUMMYFUNCTION("""COMPUTED_VALUE"""),1.0980707308119655)</f>
        <v>1.098070731</v>
      </c>
      <c r="AI554" s="30">
        <f>IFERROR(__xludf.DUMMYFUNCTION("""COMPUTED_VALUE"""),0.9682043859053443)</f>
        <v>0.9682043859</v>
      </c>
      <c r="AJ554" s="30">
        <f>IFERROR(__xludf.DUMMYFUNCTION("""COMPUTED_VALUE"""),0.9504595708098755)</f>
        <v>0.9504595708</v>
      </c>
      <c r="AK554" s="30">
        <f>IFERROR(__xludf.DUMMYFUNCTION("""COMPUTED_VALUE"""),0.9475940657259976)</f>
        <v>0.9475940657</v>
      </c>
      <c r="AL554" s="30">
        <f>IFERROR(__xludf.DUMMYFUNCTION("""COMPUTED_VALUE"""),0.9185735964324055)</f>
        <v>0.9185735964</v>
      </c>
      <c r="AM554" s="30">
        <f>IFERROR(__xludf.DUMMYFUNCTION("""COMPUTED_VALUE"""),0.9009453636577573)</f>
        <v>0.9009453637</v>
      </c>
      <c r="AN554" s="30">
        <f>IFERROR(__xludf.DUMMYFUNCTION("""COMPUTED_VALUE"""),1.0300058095776525)</f>
        <v>1.03000581</v>
      </c>
      <c r="AO554" s="30">
        <f>IFERROR(__xludf.DUMMYFUNCTION("""COMPUTED_VALUE"""),1.5124149570850047)</f>
        <v>1.512414957</v>
      </c>
      <c r="AP554" s="30">
        <f>IFERROR(__xludf.DUMMYFUNCTION("""COMPUTED_VALUE"""),0.5952127122065727)</f>
        <v>0.5952127122</v>
      </c>
      <c r="AQ554" s="30">
        <f>IFERROR(__xludf.DUMMYFUNCTION("""COMPUTED_VALUE"""),0.6147236990665552)</f>
        <v>0.6147236991</v>
      </c>
      <c r="AR554" s="30">
        <f>IFERROR(__xludf.DUMMYFUNCTION("""COMPUTED_VALUE"""),1.137726966176206)</f>
        <v>1.137726966</v>
      </c>
      <c r="AS554" s="30">
        <f>IFERROR(__xludf.DUMMYFUNCTION("""COMPUTED_VALUE"""),81.0)</f>
        <v>81</v>
      </c>
      <c r="AT554" s="30">
        <f>IFERROR(__xludf.DUMMYFUNCTION("""COMPUTED_VALUE"""),0.5444857051749716)</f>
        <v>0.5444857052</v>
      </c>
      <c r="AU554" s="30">
        <f>IFERROR(__xludf.DUMMYFUNCTION("""COMPUTED_VALUE"""),2.403603369881363)</f>
        <v>2.40360337</v>
      </c>
      <c r="AV554" s="32">
        <f>IFERROR(__xludf.DUMMYFUNCTION("""COMPUTED_VALUE"""),64.38940278416878)</f>
        <v>64.38940278</v>
      </c>
      <c r="AW554" s="32">
        <f>IFERROR(__xludf.DUMMYFUNCTION("""COMPUTED_VALUE"""),3.540438783806724)</f>
        <v>3.540438784</v>
      </c>
      <c r="AX554" s="32">
        <f>IFERROR(__xludf.DUMMYFUNCTION("""COMPUTED_VALUE"""),64.38262235374914)</f>
        <v>64.38262235</v>
      </c>
      <c r="AY554" s="32">
        <f>IFERROR(__xludf.DUMMYFUNCTION("""COMPUTED_VALUE"""),3.5392898468769927)</f>
        <v>3.539289847</v>
      </c>
      <c r="AZ554" s="30">
        <f>IFERROR(__xludf.DUMMYFUNCTION("""COMPUTED_VALUE"""),0.0011489369297312813)</f>
        <v>0.00114893693</v>
      </c>
      <c r="BA554" s="30">
        <f>IFERROR(__xludf.DUMMYFUNCTION("""COMPUTED_VALUE"""),1700.0)</f>
        <v>1700</v>
      </c>
    </row>
    <row r="555">
      <c r="A555" s="71" t="str">
        <f>IFERROR(__xludf.DUMMYFUNCTION("""COMPUTED_VALUE"""),"Challenger")</f>
        <v>Challenger</v>
      </c>
      <c r="B555" s="71" t="str">
        <f>IFERROR(__xludf.DUMMYFUNCTION("""COMPUTED_VALUE"""),"RSC007874")</f>
        <v>RSC007874</v>
      </c>
      <c r="C555" s="30" t="str">
        <f>IFERROR(__xludf.DUMMYFUNCTION("""COMPUTED_VALUE"""),"SALTY NUM NUM")</f>
        <v>SALTY NUM NUM</v>
      </c>
      <c r="D555" s="30" t="str">
        <f>IFERROR(__xludf.DUMMYFUNCTION("""COMPUTED_VALUE"""),"Apple Associates")</f>
        <v>Apple Associates</v>
      </c>
      <c r="E555" s="30">
        <f>IFERROR(__xludf.DUMMYFUNCTION("""COMPUTED_VALUE"""),6.0)</f>
        <v>6</v>
      </c>
      <c r="F555" s="30">
        <f>IFERROR(__xludf.DUMMYFUNCTION("""COMPUTED_VALUE"""),1.0)</f>
        <v>1</v>
      </c>
      <c r="G555" s="42">
        <f>IFERROR(__xludf.DUMMYFUNCTION("""COMPUTED_VALUE"""),5.0)</f>
        <v>5</v>
      </c>
      <c r="H555" s="42">
        <f>IFERROR(__xludf.DUMMYFUNCTION("""COMPUTED_VALUE"""),0.16666666666666666)</f>
        <v>0.1666666667</v>
      </c>
      <c r="I555" s="42">
        <f>IFERROR(__xludf.DUMMYFUNCTION("""COMPUTED_VALUE"""),0.5)</f>
        <v>0.5</v>
      </c>
      <c r="J555" s="30">
        <f>IFERROR(__xludf.DUMMYFUNCTION("""COMPUTED_VALUE"""),185.0)</f>
        <v>185</v>
      </c>
      <c r="K555" s="30">
        <f>IFERROR(__xludf.DUMMYFUNCTION("""COMPUTED_VALUE"""),0.3333333333333333)</f>
        <v>0.3333333333</v>
      </c>
      <c r="L555" s="30">
        <f>IFERROR(__xludf.DUMMYFUNCTION("""COMPUTED_VALUE"""),0.0)</f>
        <v>0</v>
      </c>
      <c r="M555" s="30">
        <f>IFERROR(__xludf.DUMMYFUNCTION("""COMPUTED_VALUE"""),0.8333333333333334)</f>
        <v>0.8333333333</v>
      </c>
      <c r="N555" s="30">
        <f>IFERROR(__xludf.DUMMYFUNCTION("""COMPUTED_VALUE"""),0.6666666666666666)</f>
        <v>0.6666666667</v>
      </c>
      <c r="O555" s="30">
        <f>IFERROR(__xludf.DUMMYFUNCTION("""COMPUTED_VALUE"""),381.7222222222222)</f>
        <v>381.7222222</v>
      </c>
      <c r="P555" s="30">
        <f>IFERROR(__xludf.DUMMYFUNCTION("""COMPUTED_VALUE"""),1.388888888888889)</f>
        <v>1.388888889</v>
      </c>
      <c r="Q555" s="30">
        <f>IFERROR(__xludf.DUMMYFUNCTION("""COMPUTED_VALUE"""),0.9444444444444443)</f>
        <v>0.9444444444</v>
      </c>
      <c r="R555" s="30">
        <f>IFERROR(__xludf.DUMMYFUNCTION("""COMPUTED_VALUE"""),0.4444444444444445)</f>
        <v>0.4444444444</v>
      </c>
      <c r="S555" s="30">
        <f>IFERROR(__xludf.DUMMYFUNCTION("""COMPUTED_VALUE"""),3.2222222222222228)</f>
        <v>3.222222222</v>
      </c>
      <c r="T555" s="30">
        <f>IFERROR(__xludf.DUMMYFUNCTION("""COMPUTED_VALUE"""),324.0456183492911)</f>
        <v>324.0456183</v>
      </c>
      <c r="U555" s="30">
        <f>IFERROR(__xludf.DUMMYFUNCTION("""COMPUTED_VALUE"""),0.7507852507789257)</f>
        <v>0.7507852508</v>
      </c>
      <c r="V555" s="30">
        <f>IFERROR(__xludf.DUMMYFUNCTION("""COMPUTED_VALUE"""),0.5954593179366529)</f>
        <v>0.5954593179</v>
      </c>
      <c r="W555" s="30">
        <f>IFERROR(__xludf.DUMMYFUNCTION("""COMPUTED_VALUE"""),0.9612321360244617)</f>
        <v>0.961232136</v>
      </c>
      <c r="X555" s="30">
        <f>IFERROR(__xludf.DUMMYFUNCTION("""COMPUTED_VALUE"""),2.411356775286777)</f>
        <v>2.411356775</v>
      </c>
      <c r="Y555" s="30">
        <f>IFERROR(__xludf.DUMMYFUNCTION("""COMPUTED_VALUE"""),296.20697640744874)</f>
        <v>296.2069764</v>
      </c>
      <c r="Z555" s="30">
        <f>IFERROR(__xludf.DUMMYFUNCTION("""COMPUTED_VALUE"""),0.6255555704294197)</f>
        <v>0.6255555704</v>
      </c>
      <c r="AA555" s="30">
        <f>IFERROR(__xludf.DUMMYFUNCTION("""COMPUTED_VALUE"""),0.41005145985116465)</f>
        <v>0.4100514599</v>
      </c>
      <c r="AB555" s="30">
        <f>IFERROR(__xludf.DUMMYFUNCTION("""COMPUTED_VALUE"""),1.1469333290199129)</f>
        <v>1.146933329</v>
      </c>
      <c r="AC555" s="30">
        <f>IFERROR(__xludf.DUMMYFUNCTION("""COMPUTED_VALUE"""),1.961857552260251)</f>
        <v>1.961857552</v>
      </c>
      <c r="AD555" s="30">
        <f>IFERROR(__xludf.DUMMYFUNCTION("""COMPUTED_VALUE"""),0.6245632774885169)</f>
        <v>0.6245632775</v>
      </c>
      <c r="AE555" s="30">
        <f>IFERROR(__xludf.DUMMYFUNCTION("""COMPUTED_VALUE"""),0.5328596676143622)</f>
        <v>0.5328596676</v>
      </c>
      <c r="AF555" s="30">
        <f>IFERROR(__xludf.DUMMYFUNCTION("""COMPUTED_VALUE"""),0.0)</f>
        <v>0</v>
      </c>
      <c r="AG555" s="30">
        <f>IFERROR(__xludf.DUMMYFUNCTION("""COMPUTED_VALUE"""),0.7265752177987891)</f>
        <v>0.7265752178</v>
      </c>
      <c r="AH555" s="30">
        <f>IFERROR(__xludf.DUMMYFUNCTION("""COMPUTED_VALUE"""),0.33981400224425146)</f>
        <v>0.3398140022</v>
      </c>
      <c r="AI555" s="30">
        <f>IFERROR(__xludf.DUMMYFUNCTION("""COMPUTED_VALUE"""),1.1779891490795011)</f>
        <v>1.177989149</v>
      </c>
      <c r="AJ555" s="30">
        <f>IFERROR(__xludf.DUMMYFUNCTION("""COMPUTED_VALUE"""),1.849914988937173)</f>
        <v>1.849914989</v>
      </c>
      <c r="AK555" s="30">
        <f>IFERROR(__xludf.DUMMYFUNCTION("""COMPUTED_VALUE"""),1.5860771945211507)</f>
        <v>1.586077195</v>
      </c>
      <c r="AL555" s="30">
        <f>IFERROR(__xludf.DUMMYFUNCTION("""COMPUTED_VALUE"""),0.4623695232273572)</f>
        <v>0.4623695232</v>
      </c>
      <c r="AM555" s="30">
        <f>IFERROR(__xludf.DUMMYFUNCTION("""COMPUTED_VALUE"""),1.3362693796479002)</f>
        <v>1.33626938</v>
      </c>
      <c r="AN555" s="30">
        <f>IFERROR(__xludf.DUMMYFUNCTION("""COMPUTED_VALUE"""),0.562802836299282)</f>
        <v>0.5628028363</v>
      </c>
      <c r="AO555" s="30">
        <f>IFERROR(__xludf.DUMMYFUNCTION("""COMPUTED_VALUE"""),0.439582196705465)</f>
        <v>0.4395821967</v>
      </c>
      <c r="AP555" s="30">
        <f>IFERROR(__xludf.DUMMYFUNCTION("""COMPUTED_VALUE"""),0.0)</f>
        <v>0</v>
      </c>
      <c r="AQ555" s="30">
        <f>IFERROR(__xludf.DUMMYFUNCTION("""COMPUTED_VALUE"""),0.6949064917807514)</f>
        <v>0.6949064918</v>
      </c>
      <c r="AR555" s="30">
        <f>IFERROR(__xludf.DUMMYFUNCTION("""COMPUTED_VALUE"""),0.27792395913359297)</f>
        <v>0.2779239591</v>
      </c>
      <c r="AS555" s="30">
        <f>IFERROR(__xludf.DUMMYFUNCTION("""COMPUTED_VALUE"""),7.0)</f>
        <v>7</v>
      </c>
      <c r="AT555" s="30">
        <f>IFERROR(__xludf.DUMMYFUNCTION("""COMPUTED_VALUE"""),0.11323702096194349)</f>
        <v>0.113237021</v>
      </c>
      <c r="AU555" s="30">
        <f>IFERROR(__xludf.DUMMYFUNCTION("""COMPUTED_VALUE"""),-0.35859602784815847)</f>
        <v>-0.3585960278</v>
      </c>
      <c r="AV555" s="32">
        <f>IFERROR(__xludf.DUMMYFUNCTION("""COMPUTED_VALUE"""),-38.89197075772786)</f>
        <v>-38.89197076</v>
      </c>
      <c r="AW555" s="32">
        <f>IFERROR(__xludf.DUMMYFUNCTION("""COMPUTED_VALUE"""),-5304.977835243714)</f>
        <v>-5304.977835</v>
      </c>
      <c r="AX555" s="32">
        <f>IFERROR(__xludf.DUMMYFUNCTION("""COMPUTED_VALUE"""),-20.260610616304092)</f>
        <v>-20.26061062</v>
      </c>
      <c r="AY555" s="32">
        <f>IFERROR(__xludf.DUMMYFUNCTION("""COMPUTED_VALUE"""),-404.23470484700425)</f>
        <v>-404.2347048</v>
      </c>
      <c r="AZ555" s="30">
        <f>IFERROR(__xludf.DUMMYFUNCTION("""COMPUTED_VALUE"""),4900.74313039671)</f>
        <v>4900.74313</v>
      </c>
      <c r="BA555" s="30">
        <f>IFERROR(__xludf.DUMMYFUNCTION("""COMPUTED_VALUE"""),2300.0)</f>
        <v>2300</v>
      </c>
    </row>
    <row r="556">
      <c r="A556" s="71" t="str">
        <f>IFERROR(__xludf.DUMMYFUNCTION("""COMPUTED_VALUE"""),"Challenger")</f>
        <v>Challenger</v>
      </c>
      <c r="B556" s="71" t="str">
        <f>IFERROR(__xludf.DUMMYFUNCTION("""COMPUTED_VALUE"""),"RSC006868")</f>
        <v>RSC006868</v>
      </c>
      <c r="C556" s="30" t="str">
        <f>IFERROR(__xludf.DUMMYFUNCTION("""COMPUTED_VALUE"""),"TraxStar_19")</f>
        <v>TraxStar_19</v>
      </c>
      <c r="D556" s="30" t="str">
        <f>IFERROR(__xludf.DUMMYFUNCTION("""COMPUTED_VALUE"""),"Warbirds")</f>
        <v>Warbirds</v>
      </c>
      <c r="E556" s="30">
        <f>IFERROR(__xludf.DUMMYFUNCTION("""COMPUTED_VALUE"""),6.0)</f>
        <v>6</v>
      </c>
      <c r="F556" s="30">
        <f>IFERROR(__xludf.DUMMYFUNCTION("""COMPUTED_VALUE"""),2.0)</f>
        <v>2</v>
      </c>
      <c r="G556" s="42">
        <f>IFERROR(__xludf.DUMMYFUNCTION("""COMPUTED_VALUE"""),4.0)</f>
        <v>4</v>
      </c>
      <c r="H556" s="42">
        <f>IFERROR(__xludf.DUMMYFUNCTION("""COMPUTED_VALUE"""),0.3333333333333333)</f>
        <v>0.3333333333</v>
      </c>
      <c r="I556" s="42">
        <f>IFERROR(__xludf.DUMMYFUNCTION("""COMPUTED_VALUE"""),0.375)</f>
        <v>0.375</v>
      </c>
      <c r="J556" s="30">
        <f>IFERROR(__xludf.DUMMYFUNCTION("""COMPUTED_VALUE"""),194.5)</f>
        <v>194.5</v>
      </c>
      <c r="K556" s="30">
        <f>IFERROR(__xludf.DUMMYFUNCTION("""COMPUTED_VALUE"""),0.5)</f>
        <v>0.5</v>
      </c>
      <c r="L556" s="30">
        <f>IFERROR(__xludf.DUMMYFUNCTION("""COMPUTED_VALUE"""),0.0)</f>
        <v>0</v>
      </c>
      <c r="M556" s="30">
        <f>IFERROR(__xludf.DUMMYFUNCTION("""COMPUTED_VALUE"""),1.3333333333333333)</f>
        <v>1.333333333</v>
      </c>
      <c r="N556" s="30">
        <f>IFERROR(__xludf.DUMMYFUNCTION("""COMPUTED_VALUE"""),1.3333333333333333)</f>
        <v>1.333333333</v>
      </c>
      <c r="O556" s="30">
        <f>IFERROR(__xludf.DUMMYFUNCTION("""COMPUTED_VALUE"""),424.6666666666667)</f>
        <v>424.6666667</v>
      </c>
      <c r="P556" s="30">
        <f>IFERROR(__xludf.DUMMYFUNCTION("""COMPUTED_VALUE"""),1.2777777777777777)</f>
        <v>1.277777778</v>
      </c>
      <c r="Q556" s="30">
        <f>IFERROR(__xludf.DUMMYFUNCTION("""COMPUTED_VALUE"""),1.0)</f>
        <v>1</v>
      </c>
      <c r="R556" s="30">
        <f>IFERROR(__xludf.DUMMYFUNCTION("""COMPUTED_VALUE"""),1.0)</f>
        <v>1</v>
      </c>
      <c r="S556" s="30">
        <f>IFERROR(__xludf.DUMMYFUNCTION("""COMPUTED_VALUE"""),3.944444444444444)</f>
        <v>3.944444444</v>
      </c>
      <c r="T556" s="30">
        <f>IFERROR(__xludf.DUMMYFUNCTION("""COMPUTED_VALUE"""),344.895126499425)</f>
        <v>344.8951265</v>
      </c>
      <c r="U556" s="30">
        <f>IFERROR(__xludf.DUMMYFUNCTION("""COMPUTED_VALUE"""),0.8413617059727118)</f>
        <v>0.841361706</v>
      </c>
      <c r="V556" s="30">
        <f>IFERROR(__xludf.DUMMYFUNCTION("""COMPUTED_VALUE"""),0.6061366402395287)</f>
        <v>0.6061366402</v>
      </c>
      <c r="W556" s="30">
        <f>IFERROR(__xludf.DUMMYFUNCTION("""COMPUTED_VALUE"""),1.1514485423799148)</f>
        <v>1.151448542</v>
      </c>
      <c r="X556" s="30">
        <f>IFERROR(__xludf.DUMMYFUNCTION("""COMPUTED_VALUE"""),2.571758715433605)</f>
        <v>2.571758715</v>
      </c>
      <c r="Y556" s="30">
        <f>IFERROR(__xludf.DUMMYFUNCTION("""COMPUTED_VALUE"""),321.9146292401203)</f>
        <v>321.9146292</v>
      </c>
      <c r="Z556" s="30">
        <f>IFERROR(__xludf.DUMMYFUNCTION("""COMPUTED_VALUE"""),0.6945268828359699)</f>
        <v>0.6945268828</v>
      </c>
      <c r="AA556" s="30">
        <f>IFERROR(__xludf.DUMMYFUNCTION("""COMPUTED_VALUE"""),0.4990720800466742)</f>
        <v>0.49907208</v>
      </c>
      <c r="AB556" s="30">
        <f>IFERROR(__xludf.DUMMYFUNCTION("""COMPUTED_VALUE"""),1.2663550266781343)</f>
        <v>1.266355027</v>
      </c>
      <c r="AC556" s="30">
        <f>IFERROR(__xludf.DUMMYFUNCTION("""COMPUTED_VALUE"""),2.2223065988641575)</f>
        <v>2.222306599</v>
      </c>
      <c r="AD556" s="30">
        <f>IFERROR(__xludf.DUMMYFUNCTION("""COMPUTED_VALUE"""),0.6041974558879706)</f>
        <v>0.6041974559</v>
      </c>
      <c r="AE556" s="30">
        <f>IFERROR(__xludf.DUMMYFUNCTION("""COMPUTED_VALUE"""),0.7199145380209677)</f>
        <v>0.719914538</v>
      </c>
      <c r="AF556" s="30">
        <f>IFERROR(__xludf.DUMMYFUNCTION("""COMPUTED_VALUE"""),0.0)</f>
        <v>0</v>
      </c>
      <c r="AG556" s="30">
        <f>IFERROR(__xludf.DUMMYFUNCTION("""COMPUTED_VALUE"""),1.0528906232803408)</f>
        <v>1.052890623</v>
      </c>
      <c r="AH556" s="30">
        <f>IFERROR(__xludf.DUMMYFUNCTION("""COMPUTED_VALUE"""),0.5999772191716538)</f>
        <v>0.5999772192</v>
      </c>
      <c r="AI556" s="30">
        <f>IFERROR(__xludf.DUMMYFUNCTION("""COMPUTED_VALUE"""),1.2312921640177907)</f>
        <v>1.231292164</v>
      </c>
      <c r="AJ556" s="30">
        <f>IFERROR(__xludf.DUMMYFUNCTION("""COMPUTED_VALUE"""),1.5187020858056741)</f>
        <v>1.518702086</v>
      </c>
      <c r="AK556" s="30">
        <f>IFERROR(__xludf.DUMMYFUNCTION("""COMPUTED_VALUE"""),1.6497930229144822)</f>
        <v>1.649793023</v>
      </c>
      <c r="AL556" s="30">
        <f>IFERROR(__xludf.DUMMYFUNCTION("""COMPUTED_VALUE"""),0.868471289158187)</f>
        <v>0.8684712892</v>
      </c>
      <c r="AM556" s="30">
        <f>IFERROR(__xludf.DUMMYFUNCTION("""COMPUTED_VALUE"""),1.5337536996659507)</f>
        <v>1.5337537</v>
      </c>
      <c r="AN556" s="30">
        <f>IFERROR(__xludf.DUMMYFUNCTION("""COMPUTED_VALUE"""),0.5917035224876235)</f>
        <v>0.5917035225</v>
      </c>
      <c r="AO556" s="30">
        <f>IFERROR(__xludf.DUMMYFUNCTION("""COMPUTED_VALUE"""),0.6593732950581975)</f>
        <v>0.6593732951</v>
      </c>
      <c r="AP556" s="30">
        <f>IFERROR(__xludf.DUMMYFUNCTION("""COMPUTED_VALUE"""),0.0)</f>
        <v>0</v>
      </c>
      <c r="AQ556" s="30">
        <f>IFERROR(__xludf.DUMMYFUNCTION("""COMPUTED_VALUE"""),1.111850386849202)</f>
        <v>1.111850387</v>
      </c>
      <c r="AR556" s="30">
        <f>IFERROR(__xludf.DUMMYFUNCTION("""COMPUTED_VALUE"""),0.5558479182671859)</f>
        <v>0.5558479183</v>
      </c>
      <c r="AS556" s="30">
        <f>IFERROR(__xludf.DUMMYFUNCTION("""COMPUTED_VALUE"""),14.0)</f>
        <v>14</v>
      </c>
      <c r="AT556" s="30">
        <f>IFERROR(__xludf.DUMMYFUNCTION("""COMPUTED_VALUE"""),0.3022145087535711)</f>
        <v>0.3022145088</v>
      </c>
      <c r="AU556" s="30">
        <f>IFERROR(__xludf.DUMMYFUNCTION("""COMPUTED_VALUE"""),0.23686119936602135)</f>
        <v>0.2368611994</v>
      </c>
      <c r="AV556" s="32">
        <f>IFERROR(__xludf.DUMMYFUNCTION("""COMPUTED_VALUE"""),-23.146796876862098)</f>
        <v>-23.14679688</v>
      </c>
      <c r="AW556" s="32">
        <f>IFERROR(__xludf.DUMMYFUNCTION("""COMPUTED_VALUE"""),-582.254561227137)</f>
        <v>-582.2545612</v>
      </c>
      <c r="AX556" s="32">
        <f>IFERROR(__xludf.DUMMYFUNCTION("""COMPUTED_VALUE"""),-27.936999620311568)</f>
        <v>-27.93699962</v>
      </c>
      <c r="AY556" s="32">
        <f>IFERROR(__xludf.DUMMYFUNCTION("""COMPUTED_VALUE"""),-1096.4651876937824)</f>
        <v>-1096.465188</v>
      </c>
      <c r="AZ556" s="30">
        <f>IFERROR(__xludf.DUMMYFUNCTION("""COMPUTED_VALUE"""),514.2106264666454)</f>
        <v>514.2106265</v>
      </c>
      <c r="BA556" s="30">
        <f>IFERROR(__xludf.DUMMYFUNCTION("""COMPUTED_VALUE"""),2300.0)</f>
        <v>2300</v>
      </c>
    </row>
    <row r="557">
      <c r="A557" s="71" t="str">
        <f>IFERROR(__xludf.DUMMYFUNCTION("""COMPUTED_VALUE"""),"Challenger")</f>
        <v>Challenger</v>
      </c>
      <c r="B557" s="71" t="str">
        <f>IFERROR(__xludf.DUMMYFUNCTION("""COMPUTED_VALUE"""),"RSC003193")</f>
        <v>RSC003193</v>
      </c>
      <c r="C557" s="30" t="str">
        <f>IFERROR(__xludf.DUMMYFUNCTION("""COMPUTED_VALUE"""),"ShiftDrink")</f>
        <v>ShiftDrink</v>
      </c>
      <c r="D557" s="30" t="str">
        <f>IFERROR(__xludf.DUMMYFUNCTION("""COMPUTED_VALUE"""),"Mugged")</f>
        <v>Mugged</v>
      </c>
      <c r="E557" s="30">
        <f>IFERROR(__xludf.DUMMYFUNCTION("""COMPUTED_VALUE"""),2.0)</f>
        <v>2</v>
      </c>
      <c r="F557" s="30">
        <f>IFERROR(__xludf.DUMMYFUNCTION("""COMPUTED_VALUE"""),2.0)</f>
        <v>2</v>
      </c>
      <c r="G557" s="42">
        <f>IFERROR(__xludf.DUMMYFUNCTION("""COMPUTED_VALUE"""),0.0)</f>
        <v>0</v>
      </c>
      <c r="H557" s="42">
        <f>IFERROR(__xludf.DUMMYFUNCTION("""COMPUTED_VALUE"""),1.0)</f>
        <v>1</v>
      </c>
      <c r="I557" s="42">
        <f>IFERROR(__xludf.DUMMYFUNCTION("""COMPUTED_VALUE"""),0.625)</f>
        <v>0.625</v>
      </c>
      <c r="J557" s="30">
        <f>IFERROR(__xludf.DUMMYFUNCTION("""COMPUTED_VALUE"""),447.5)</f>
        <v>447.5</v>
      </c>
      <c r="K557" s="30">
        <f>IFERROR(__xludf.DUMMYFUNCTION("""COMPUTED_VALUE"""),2.5)</f>
        <v>2.5</v>
      </c>
      <c r="L557" s="30">
        <f>IFERROR(__xludf.DUMMYFUNCTION("""COMPUTED_VALUE"""),0.0)</f>
        <v>0</v>
      </c>
      <c r="M557" s="30">
        <f>IFERROR(__xludf.DUMMYFUNCTION("""COMPUTED_VALUE"""),0.5)</f>
        <v>0.5</v>
      </c>
      <c r="N557" s="30">
        <f>IFERROR(__xludf.DUMMYFUNCTION("""COMPUTED_VALUE"""),4.0)</f>
        <v>4</v>
      </c>
      <c r="O557" s="30">
        <f>IFERROR(__xludf.DUMMYFUNCTION("""COMPUTED_VALUE"""),352.5)</f>
        <v>352.5</v>
      </c>
      <c r="P557" s="30">
        <f>IFERROR(__xludf.DUMMYFUNCTION("""COMPUTED_VALUE"""),1.0)</f>
        <v>1</v>
      </c>
      <c r="Q557" s="30">
        <f>IFERROR(__xludf.DUMMYFUNCTION("""COMPUTED_VALUE"""),0.8333333333333333)</f>
        <v>0.8333333333</v>
      </c>
      <c r="R557" s="30">
        <f>IFERROR(__xludf.DUMMYFUNCTION("""COMPUTED_VALUE"""),1.3333333333333333)</f>
        <v>1.333333333</v>
      </c>
      <c r="S557" s="30">
        <f>IFERROR(__xludf.DUMMYFUNCTION("""COMPUTED_VALUE"""),2.833333333333333)</f>
        <v>2.833333333</v>
      </c>
      <c r="T557" s="30">
        <f>IFERROR(__xludf.DUMMYFUNCTION("""COMPUTED_VALUE"""),339.827207011837)</f>
        <v>339.827207</v>
      </c>
      <c r="U557" s="30">
        <f>IFERROR(__xludf.DUMMYFUNCTION("""COMPUTED_VALUE"""),0.7271030993042378)</f>
        <v>0.7271030993</v>
      </c>
      <c r="V557" s="30">
        <f>IFERROR(__xludf.DUMMYFUNCTION("""COMPUTED_VALUE"""),0.5360599078341014)</f>
        <v>0.5360599078</v>
      </c>
      <c r="W557" s="30">
        <f>IFERROR(__xludf.DUMMYFUNCTION("""COMPUTED_VALUE"""),1.330069124423963)</f>
        <v>1.330069124</v>
      </c>
      <c r="X557" s="30">
        <f>IFERROR(__xludf.DUMMYFUNCTION("""COMPUTED_VALUE"""),2.3785420619860846)</f>
        <v>2.378542062</v>
      </c>
      <c r="Y557" s="30">
        <f>IFERROR(__xludf.DUMMYFUNCTION("""COMPUTED_VALUE"""),352.2358814493539)</f>
        <v>352.2358814</v>
      </c>
      <c r="Z557" s="30">
        <f>IFERROR(__xludf.DUMMYFUNCTION("""COMPUTED_VALUE"""),0.8361065931749043)</f>
        <v>0.8361065932</v>
      </c>
      <c r="AA557" s="30">
        <f>IFERROR(__xludf.DUMMYFUNCTION("""COMPUTED_VALUE"""),0.6065600433721876)</f>
        <v>0.6065600434</v>
      </c>
      <c r="AB557" s="30">
        <f>IFERROR(__xludf.DUMMYFUNCTION("""COMPUTED_VALUE"""),1.1797769645492604)</f>
        <v>1.179776965</v>
      </c>
      <c r="AC557" s="30">
        <f>IFERROR(__xludf.DUMMYFUNCTION("""COMPUTED_VALUE"""),2.7068476853106835)</f>
        <v>2.706847685</v>
      </c>
      <c r="AD557" s="30">
        <f>IFERROR(__xludf.DUMMYFUNCTION("""COMPUTED_VALUE"""),1.2704554634203093)</f>
        <v>1.270455463</v>
      </c>
      <c r="AE557" s="30">
        <f>IFERROR(__xludf.DUMMYFUNCTION("""COMPUTED_VALUE"""),2.9900493793582936)</f>
        <v>2.990049379</v>
      </c>
      <c r="AF557" s="30">
        <f>IFERROR(__xludf.DUMMYFUNCTION("""COMPUTED_VALUE"""),0.0)</f>
        <v>0</v>
      </c>
      <c r="AG557" s="30">
        <f>IFERROR(__xludf.DUMMYFUNCTION("""COMPUTED_VALUE"""),0.4238089189943012)</f>
        <v>0.423808919</v>
      </c>
      <c r="AH557" s="30">
        <f>IFERROR(__xludf.DUMMYFUNCTION("""COMPUTED_VALUE"""),1.4777336832459758)</f>
        <v>1.477733683</v>
      </c>
      <c r="AI557" s="30">
        <f>IFERROR(__xludf.DUMMYFUNCTION("""COMPUTED_VALUE"""),1.0372918728303044)</f>
        <v>1.037291873</v>
      </c>
      <c r="AJ557" s="30">
        <f>IFERROR(__xludf.DUMMYFUNCTION("""COMPUTED_VALUE"""),1.3753207776956202)</f>
        <v>1.375320778</v>
      </c>
      <c r="AK557" s="30">
        <f>IFERROR(__xludf.DUMMYFUNCTION("""COMPUTED_VALUE"""),1.5545526183824054)</f>
        <v>1.554552618</v>
      </c>
      <c r="AL557" s="30">
        <f>IFERROR(__xludf.DUMMYFUNCTION("""COMPUTED_VALUE"""),1.0024541648621337)</f>
        <v>1.002454165</v>
      </c>
      <c r="AM557" s="30">
        <f>IFERROR(__xludf.DUMMYFUNCTION("""COMPUTED_VALUE"""),1.191205898191053)</f>
        <v>1.191205898</v>
      </c>
      <c r="AN557" s="30">
        <f>IFERROR(__xludf.DUMMYFUNCTION("""COMPUTED_VALUE"""),1.3613744283455604)</f>
        <v>1.361374428</v>
      </c>
      <c r="AO557" s="30">
        <f>IFERROR(__xludf.DUMMYFUNCTION("""COMPUTED_VALUE"""),3.2968664752909875)</f>
        <v>3.296866475</v>
      </c>
      <c r="AP557" s="30">
        <f>IFERROR(__xludf.DUMMYFUNCTION("""COMPUTED_VALUE"""),0.0)</f>
        <v>0</v>
      </c>
      <c r="AQ557" s="30">
        <f>IFERROR(__xludf.DUMMYFUNCTION("""COMPUTED_VALUE"""),0.4169438950684508)</f>
        <v>0.4169438951</v>
      </c>
      <c r="AR557" s="30">
        <f>IFERROR(__xludf.DUMMYFUNCTION("""COMPUTED_VALUE"""),1.667543754801558)</f>
        <v>1.667543755</v>
      </c>
      <c r="AS557" s="30">
        <f>IFERROR(__xludf.DUMMYFUNCTION("""COMPUTED_VALUE"""),11.0)</f>
        <v>11</v>
      </c>
      <c r="AT557" s="30">
        <f>IFERROR(__xludf.DUMMYFUNCTION("""COMPUTED_VALUE"""),0.7540342329489803)</f>
        <v>0.7540342329</v>
      </c>
      <c r="AU557" s="30">
        <f>IFERROR(__xludf.DUMMYFUNCTION("""COMPUTED_VALUE"""),5.229991605508996)</f>
        <v>5.229991606</v>
      </c>
      <c r="AV557" s="32">
        <f>IFERROR(__xludf.DUMMYFUNCTION("""COMPUTED_VALUE"""),108.88234453161247)</f>
        <v>108.8823445</v>
      </c>
      <c r="AW557" s="32">
        <f>IFERROR(__xludf.DUMMYFUNCTION("""COMPUTED_VALUE"""),108.0609891496923)</f>
        <v>108.0609891</v>
      </c>
      <c r="AX557" s="32">
        <f>IFERROR(__xludf.DUMMYFUNCTION("""COMPUTED_VALUE"""),44.381116176732434)</f>
        <v>44.38111618</v>
      </c>
      <c r="AY557" s="32">
        <f>IFERROR(__xludf.DUMMYFUNCTION("""COMPUTED_VALUE"""),-2.4325881162210634)</f>
        <v>-2.432588116</v>
      </c>
      <c r="AZ557" s="30">
        <f>IFERROR(__xludf.DUMMYFUNCTION("""COMPUTED_VALUE"""),110.49357726591337)</f>
        <v>110.4935773</v>
      </c>
      <c r="BA557" s="30">
        <f>IFERROR(__xludf.DUMMYFUNCTION("""COMPUTED_VALUE"""),2300.0)</f>
        <v>2300</v>
      </c>
    </row>
    <row r="558">
      <c r="A558" s="71" t="str">
        <f>IFERROR(__xludf.DUMMYFUNCTION("""COMPUTED_VALUE"""),"Challenger")</f>
        <v>Challenger</v>
      </c>
      <c r="B558" s="71" t="str">
        <f>IFERROR(__xludf.DUMMYFUNCTION("""COMPUTED_VALUE"""),"RSC007967")</f>
        <v>RSC007967</v>
      </c>
      <c r="C558" s="30" t="str">
        <f>IFERROR(__xludf.DUMMYFUNCTION("""COMPUTED_VALUE"""),"davisino1605")</f>
        <v>davisino1605</v>
      </c>
      <c r="D558" s="30" t="str">
        <f>IFERROR(__xludf.DUMMYFUNCTION("""COMPUTED_VALUE"""),"Threshers")</f>
        <v>Threshers</v>
      </c>
      <c r="E558" s="30">
        <f>IFERROR(__xludf.DUMMYFUNCTION("""COMPUTED_VALUE"""),5.0)</f>
        <v>5</v>
      </c>
      <c r="F558" s="30">
        <f>IFERROR(__xludf.DUMMYFUNCTION("""COMPUTED_VALUE"""),1.0)</f>
        <v>1</v>
      </c>
      <c r="G558" s="42">
        <f>IFERROR(__xludf.DUMMYFUNCTION("""COMPUTED_VALUE"""),4.0)</f>
        <v>4</v>
      </c>
      <c r="H558" s="42">
        <f>IFERROR(__xludf.DUMMYFUNCTION("""COMPUTED_VALUE"""),0.2)</f>
        <v>0.2</v>
      </c>
      <c r="I558" s="42">
        <f>IFERROR(__xludf.DUMMYFUNCTION("""COMPUTED_VALUE"""),0.5714285714285715)</f>
        <v>0.5714285714</v>
      </c>
      <c r="J558" s="30">
        <f>IFERROR(__xludf.DUMMYFUNCTION("""COMPUTED_VALUE"""),246.0)</f>
        <v>246</v>
      </c>
      <c r="K558" s="30">
        <f>IFERROR(__xludf.DUMMYFUNCTION("""COMPUTED_VALUE"""),0.8)</f>
        <v>0.8</v>
      </c>
      <c r="L558" s="30">
        <f>IFERROR(__xludf.DUMMYFUNCTION("""COMPUTED_VALUE"""),0.4)</f>
        <v>0.4</v>
      </c>
      <c r="M558" s="30">
        <f>IFERROR(__xludf.DUMMYFUNCTION("""COMPUTED_VALUE"""),0.8)</f>
        <v>0.8</v>
      </c>
      <c r="N558" s="30">
        <f>IFERROR(__xludf.DUMMYFUNCTION("""COMPUTED_VALUE"""),1.4)</f>
        <v>1.4</v>
      </c>
      <c r="O558" s="30">
        <f>IFERROR(__xludf.DUMMYFUNCTION("""COMPUTED_VALUE"""),435.9333333333333)</f>
        <v>435.9333333</v>
      </c>
      <c r="P558" s="30">
        <f>IFERROR(__xludf.DUMMYFUNCTION("""COMPUTED_VALUE"""),1.3333333333333333)</f>
        <v>1.333333333</v>
      </c>
      <c r="Q558" s="30">
        <f>IFERROR(__xludf.DUMMYFUNCTION("""COMPUTED_VALUE"""),1.0666666666666669)</f>
        <v>1.066666667</v>
      </c>
      <c r="R558" s="30">
        <f>IFERROR(__xludf.DUMMYFUNCTION("""COMPUTED_VALUE"""),1.4)</f>
        <v>1.4</v>
      </c>
      <c r="S558" s="30">
        <f>IFERROR(__xludf.DUMMYFUNCTION("""COMPUTED_VALUE"""),3.2666666666666666)</f>
        <v>3.266666667</v>
      </c>
      <c r="T558" s="30">
        <f>IFERROR(__xludf.DUMMYFUNCTION("""COMPUTED_VALUE"""),376.6360833333333)</f>
        <v>376.6360833</v>
      </c>
      <c r="U558" s="30">
        <f>IFERROR(__xludf.DUMMYFUNCTION("""COMPUTED_VALUE"""),0.9635)</f>
        <v>0.9635</v>
      </c>
      <c r="V558" s="30">
        <f>IFERROR(__xludf.DUMMYFUNCTION("""COMPUTED_VALUE"""),0.744)</f>
        <v>0.744</v>
      </c>
      <c r="W558" s="30">
        <f>IFERROR(__xludf.DUMMYFUNCTION("""COMPUTED_VALUE"""),1.3054999999999999)</f>
        <v>1.3055</v>
      </c>
      <c r="X558" s="30">
        <f>IFERROR(__xludf.DUMMYFUNCTION("""COMPUTED_VALUE"""),2.7735833333333333)</f>
        <v>2.773583333</v>
      </c>
      <c r="Y558" s="30">
        <f>IFERROR(__xludf.DUMMYFUNCTION("""COMPUTED_VALUE"""),337.2808611111111)</f>
        <v>337.2808611</v>
      </c>
      <c r="Z558" s="30">
        <f>IFERROR(__xludf.DUMMYFUNCTION("""COMPUTED_VALUE"""),0.6737777777777778)</f>
        <v>0.6737777778</v>
      </c>
      <c r="AA558" s="30">
        <f>IFERROR(__xludf.DUMMYFUNCTION("""COMPUTED_VALUE"""),0.5325555555555556)</f>
        <v>0.5325555556</v>
      </c>
      <c r="AB558" s="30">
        <f>IFERROR(__xludf.DUMMYFUNCTION("""COMPUTED_VALUE"""),1.3628055555555556)</f>
        <v>1.362805556</v>
      </c>
      <c r="AC558" s="30">
        <f>IFERROR(__xludf.DUMMYFUNCTION("""COMPUTED_VALUE"""),2.2994166666666667)</f>
        <v>2.299416667</v>
      </c>
      <c r="AD558" s="30">
        <f>IFERROR(__xludf.DUMMYFUNCTION("""COMPUTED_VALUE"""),0.7293624642370672)</f>
        <v>0.7293624642</v>
      </c>
      <c r="AE558" s="30">
        <f>IFERROR(__xludf.DUMMYFUNCTION("""COMPUTED_VALUE"""),1.187335092348285)</f>
        <v>1.187335092</v>
      </c>
      <c r="AF558" s="30">
        <f>IFERROR(__xludf.DUMMYFUNCTION("""COMPUTED_VALUE"""),0.7510953473815982)</f>
        <v>0.7510953474</v>
      </c>
      <c r="AG558" s="30">
        <f>IFERROR(__xludf.DUMMYFUNCTION("""COMPUTED_VALUE"""),0.5870243166670064)</f>
        <v>0.5870243167</v>
      </c>
      <c r="AH558" s="30">
        <f>IFERROR(__xludf.DUMMYFUNCTION("""COMPUTED_VALUE"""),0.6088500706700974)</f>
        <v>0.6088500707</v>
      </c>
      <c r="AI558" s="30">
        <f>IFERROR(__xludf.DUMMYFUNCTION("""COMPUTED_VALUE"""),1.1574391106534534)</f>
        <v>1.157439111</v>
      </c>
      <c r="AJ558" s="30">
        <f>IFERROR(__xludf.DUMMYFUNCTION("""COMPUTED_VALUE"""),1.383843625670299)</f>
        <v>1.383843626</v>
      </c>
      <c r="AK558" s="30">
        <f>IFERROR(__xludf.DUMMYFUNCTION("""COMPUTED_VALUE"""),1.4336917562724016)</f>
        <v>1.433691756</v>
      </c>
      <c r="AL558" s="30">
        <f>IFERROR(__xludf.DUMMYFUNCTION("""COMPUTED_VALUE"""),1.0723860589812333)</f>
        <v>1.072386059</v>
      </c>
      <c r="AM558" s="30">
        <f>IFERROR(__xludf.DUMMYFUNCTION("""COMPUTED_VALUE"""),1.1777784454526334)</f>
        <v>1.177778445</v>
      </c>
      <c r="AN558" s="30">
        <f>IFERROR(__xludf.DUMMYFUNCTION("""COMPUTED_VALUE"""),0.7483756634033696)</f>
        <v>0.7483756634</v>
      </c>
      <c r="AO558" s="30">
        <f>IFERROR(__xludf.DUMMYFUNCTION("""COMPUTED_VALUE"""),1.054997272093116)</f>
        <v>1.054997272</v>
      </c>
      <c r="AP558" s="30">
        <f>IFERROR(__xludf.DUMMYFUNCTION("""COMPUTED_VALUE"""),0.7757623084019757)</f>
        <v>0.7757623084</v>
      </c>
      <c r="AQ558" s="30">
        <f>IFERROR(__xludf.DUMMYFUNCTION("""COMPUTED_VALUE"""),0.6671102321095214)</f>
        <v>0.6671102321</v>
      </c>
      <c r="AR558" s="30">
        <f>IFERROR(__xludf.DUMMYFUNCTION("""COMPUTED_VALUE"""),0.5836403141805453)</f>
        <v>0.5836403142</v>
      </c>
      <c r="AS558" s="30">
        <f>IFERROR(__xludf.DUMMYFUNCTION("""COMPUTED_VALUE"""),10.0)</f>
        <v>10</v>
      </c>
      <c r="AT558" s="30">
        <f>IFERROR(__xludf.DUMMYFUNCTION("""COMPUTED_VALUE"""),0.23881437916311218)</f>
        <v>0.2388143792</v>
      </c>
      <c r="AU558" s="30">
        <f>IFERROR(__xludf.DUMMYFUNCTION("""COMPUTED_VALUE"""),1.7867954242881225)</f>
        <v>1.786795424</v>
      </c>
      <c r="AV558" s="32">
        <f>IFERROR(__xludf.DUMMYFUNCTION("""COMPUTED_VALUE"""),17.836808258768514)</f>
        <v>17.83680826</v>
      </c>
      <c r="AW558" s="32">
        <f>IFERROR(__xludf.DUMMYFUNCTION("""COMPUTED_VALUE"""),-10.087816024675515)</f>
        <v>-10.08781602</v>
      </c>
      <c r="AX558" s="32">
        <f>IFERROR(__xludf.DUMMYFUNCTION("""COMPUTED_VALUE"""),-5.765118569657076)</f>
        <v>-5.76511857</v>
      </c>
      <c r="AY558" s="32">
        <f>IFERROR(__xludf.DUMMYFUNCTION("""COMPUTED_VALUE"""),-77.79884544887936)</f>
        <v>-77.79884545</v>
      </c>
      <c r="AZ558" s="30">
        <f>IFERROR(__xludf.DUMMYFUNCTION("""COMPUTED_VALUE"""),67.71102942420384)</f>
        <v>67.71102942</v>
      </c>
      <c r="BA558" s="30">
        <f>IFERROR(__xludf.DUMMYFUNCTION("""COMPUTED_VALUE"""),2300.0)</f>
        <v>2300</v>
      </c>
    </row>
    <row r="559">
      <c r="A559" s="71" t="str">
        <f>IFERROR(__xludf.DUMMYFUNCTION("""COMPUTED_VALUE"""),"Challenger")</f>
        <v>Challenger</v>
      </c>
      <c r="B559" s="71" t="str">
        <f>IFERROR(__xludf.DUMMYFUNCTION("""COMPUTED_VALUE"""),"RSC004902")</f>
        <v>RSC004902</v>
      </c>
      <c r="C559" s="30" t="str">
        <f>IFERROR(__xludf.DUMMYFUNCTION("""COMPUTED_VALUE"""),"cuse42")</f>
        <v>cuse42</v>
      </c>
      <c r="D559" s="30" t="str">
        <f>IFERROR(__xludf.DUMMYFUNCTION("""COMPUTED_VALUE"""),"Hydras")</f>
        <v>Hydras</v>
      </c>
      <c r="E559" s="30">
        <f>IFERROR(__xludf.DUMMYFUNCTION("""COMPUTED_VALUE"""),3.0)</f>
        <v>3</v>
      </c>
      <c r="F559" s="30">
        <f>IFERROR(__xludf.DUMMYFUNCTION("""COMPUTED_VALUE"""),0.0)</f>
        <v>0</v>
      </c>
      <c r="G559" s="42">
        <f>IFERROR(__xludf.DUMMYFUNCTION("""COMPUTED_VALUE"""),3.0)</f>
        <v>3</v>
      </c>
      <c r="H559" s="42">
        <f>IFERROR(__xludf.DUMMYFUNCTION("""COMPUTED_VALUE"""),0.0)</f>
        <v>0</v>
      </c>
      <c r="I559" s="42">
        <f>IFERROR(__xludf.DUMMYFUNCTION("""COMPUTED_VALUE"""),0.19999999999999998)</f>
        <v>0.2</v>
      </c>
      <c r="J559" s="30">
        <f>IFERROR(__xludf.DUMMYFUNCTION("""COMPUTED_VALUE"""),232.0)</f>
        <v>232</v>
      </c>
      <c r="K559" s="30">
        <f>IFERROR(__xludf.DUMMYFUNCTION("""COMPUTED_VALUE"""),0.3333333333333333)</f>
        <v>0.3333333333</v>
      </c>
      <c r="L559" s="30">
        <f>IFERROR(__xludf.DUMMYFUNCTION("""COMPUTED_VALUE"""),0.6666666666666666)</f>
        <v>0.6666666667</v>
      </c>
      <c r="M559" s="30">
        <f>IFERROR(__xludf.DUMMYFUNCTION("""COMPUTED_VALUE"""),1.0)</f>
        <v>1</v>
      </c>
      <c r="N559" s="30">
        <f>IFERROR(__xludf.DUMMYFUNCTION("""COMPUTED_VALUE"""),1.6666666666666667)</f>
        <v>1.666666667</v>
      </c>
      <c r="O559" s="30">
        <f>IFERROR(__xludf.DUMMYFUNCTION("""COMPUTED_VALUE"""),457.5555555555555)</f>
        <v>457.5555556</v>
      </c>
      <c r="P559" s="30">
        <f>IFERROR(__xludf.DUMMYFUNCTION("""COMPUTED_VALUE"""),1.4444444444444446)</f>
        <v>1.444444444</v>
      </c>
      <c r="Q559" s="30">
        <f>IFERROR(__xludf.DUMMYFUNCTION("""COMPUTED_VALUE"""),1.222222222222222)</f>
        <v>1.222222222</v>
      </c>
      <c r="R559" s="30">
        <f>IFERROR(__xludf.DUMMYFUNCTION("""COMPUTED_VALUE"""),1.1111111111111112)</f>
        <v>1.111111111</v>
      </c>
      <c r="S559" s="30">
        <f>IFERROR(__xludf.DUMMYFUNCTION("""COMPUTED_VALUE"""),4.0)</f>
        <v>4</v>
      </c>
      <c r="T559" s="30">
        <f>IFERROR(__xludf.DUMMYFUNCTION("""COMPUTED_VALUE"""),374.86739054925243)</f>
        <v>374.8673905</v>
      </c>
      <c r="U559" s="30">
        <f>IFERROR(__xludf.DUMMYFUNCTION("""COMPUTED_VALUE"""),0.982560642945476)</f>
        <v>0.9825606429</v>
      </c>
      <c r="V559" s="30">
        <f>IFERROR(__xludf.DUMMYFUNCTION("""COMPUTED_VALUE"""),0.7174222892955208)</f>
        <v>0.7174222893</v>
      </c>
      <c r="W559" s="30">
        <f>IFERROR(__xludf.DUMMYFUNCTION("""COMPUTED_VALUE"""),1.2242299296628667)</f>
        <v>1.22422993</v>
      </c>
      <c r="X559" s="30">
        <f>IFERROR(__xludf.DUMMYFUNCTION("""COMPUTED_VALUE"""),2.989443890490863)</f>
        <v>2.98944389</v>
      </c>
      <c r="Y559" s="30">
        <f>IFERROR(__xludf.DUMMYFUNCTION("""COMPUTED_VALUE"""),316.7057130580334)</f>
        <v>316.7057131</v>
      </c>
      <c r="Z559" s="30">
        <f>IFERROR(__xludf.DUMMYFUNCTION("""COMPUTED_VALUE"""),0.59248948735838)</f>
        <v>0.5924894874</v>
      </c>
      <c r="AA559" s="30">
        <f>IFERROR(__xludf.DUMMYFUNCTION("""COMPUTED_VALUE"""),0.4139501980758347)</f>
        <v>0.4139501981</v>
      </c>
      <c r="AB559" s="30">
        <f>IFERROR(__xludf.DUMMYFUNCTION("""COMPUTED_VALUE"""),1.3562286840158944)</f>
        <v>1.356228684</v>
      </c>
      <c r="AC559" s="30">
        <f>IFERROR(__xludf.DUMMYFUNCTION("""COMPUTED_VALUE"""),2.1604538027665736)</f>
        <v>2.160453803</v>
      </c>
      <c r="AD559" s="30">
        <f>IFERROR(__xludf.DUMMYFUNCTION("""COMPUTED_VALUE"""),0.732541253392193)</f>
        <v>0.7325412534</v>
      </c>
      <c r="AE559" s="30">
        <f>IFERROR(__xludf.DUMMYFUNCTION("""COMPUTED_VALUE"""),0.5625978864528097)</f>
        <v>0.5625978865</v>
      </c>
      <c r="AF559" s="30">
        <f>IFERROR(__xludf.DUMMYFUNCTION("""COMPUTED_VALUE"""),1.6104996923918244)</f>
        <v>1.610499692</v>
      </c>
      <c r="AG559" s="30">
        <f>IFERROR(__xludf.DUMMYFUNCTION("""COMPUTED_VALUE"""),0.73733877758648)</f>
        <v>0.7373387776</v>
      </c>
      <c r="AH559" s="30">
        <f>IFERROR(__xludf.DUMMYFUNCTION("""COMPUTED_VALUE"""),0.7714428628524309)</f>
        <v>0.7714428629</v>
      </c>
      <c r="AI559" s="30">
        <f>IFERROR(__xludf.DUMMYFUNCTION("""COMPUTED_VALUE"""),1.2205797759179562)</f>
        <v>1.220579776</v>
      </c>
      <c r="AJ559" s="30">
        <f>IFERROR(__xludf.DUMMYFUNCTION("""COMPUTED_VALUE"""),1.4700817245379931)</f>
        <v>1.470081725</v>
      </c>
      <c r="AK559" s="30">
        <f>IFERROR(__xludf.DUMMYFUNCTION("""COMPUTED_VALUE"""),1.7036301219779415)</f>
        <v>1.703630122</v>
      </c>
      <c r="AL559" s="30">
        <f>IFERROR(__xludf.DUMMYFUNCTION("""COMPUTED_VALUE"""),0.907600022013098)</f>
        <v>0.907600022</v>
      </c>
      <c r="AM559" s="30">
        <f>IFERROR(__xludf.DUMMYFUNCTION("""COMPUTED_VALUE"""),1.3380415042154228)</f>
        <v>1.338041504</v>
      </c>
      <c r="AN559" s="30">
        <f>IFERROR(__xludf.DUMMYFUNCTION("""COMPUTED_VALUE"""),0.7057851784942347)</f>
        <v>0.7057851785</v>
      </c>
      <c r="AO559" s="30">
        <f>IFERROR(__xludf.DUMMYFUNCTION("""COMPUTED_VALUE"""),0.439582196705465)</f>
        <v>0.4395821967</v>
      </c>
      <c r="AP559" s="30">
        <f>IFERROR(__xludf.DUMMYFUNCTION("""COMPUTED_VALUE"""),1.2929371806699594)</f>
        <v>1.292937181</v>
      </c>
      <c r="AQ559" s="30">
        <f>IFERROR(__xludf.DUMMYFUNCTION("""COMPUTED_VALUE"""),0.8338877901369016)</f>
        <v>0.8338877901</v>
      </c>
      <c r="AR559" s="30">
        <f>IFERROR(__xludf.DUMMYFUNCTION("""COMPUTED_VALUE"""),0.6948098978339825)</f>
        <v>0.6948098978</v>
      </c>
      <c r="AS559" s="30">
        <f>IFERROR(__xludf.DUMMYFUNCTION("""COMPUTED_VALUE"""),3.0)</f>
        <v>3</v>
      </c>
      <c r="AT559" s="30">
        <f>IFERROR(__xludf.DUMMYFUNCTION("""COMPUTED_VALUE"""),0.08543193415905717)</f>
        <v>0.08543193416</v>
      </c>
      <c r="AU559" s="30">
        <f>IFERROR(__xludf.DUMMYFUNCTION("""COMPUTED_VALUE"""),1.6538103347215025)</f>
        <v>1.653810335</v>
      </c>
      <c r="AV559" s="32">
        <f>IFERROR(__xludf.DUMMYFUNCTION("""COMPUTED_VALUE"""),14.320395554223744)</f>
        <v>14.32039555</v>
      </c>
      <c r="AW559" s="32">
        <f>IFERROR(__xludf.DUMMYFUNCTION("""COMPUTED_VALUE"""),-13.027040355912424)</f>
        <v>-13.02704036</v>
      </c>
      <c r="AX559" s="32">
        <f>IFERROR(__xludf.DUMMYFUNCTION("""COMPUTED_VALUE"""),-4.844882670544813)</f>
        <v>-4.844882671</v>
      </c>
      <c r="AY559" s="32">
        <f>IFERROR(__xludf.DUMMYFUNCTION("""COMPUTED_VALUE"""),-70.79613845290604)</f>
        <v>-70.79613845</v>
      </c>
      <c r="AZ559" s="30">
        <f>IFERROR(__xludf.DUMMYFUNCTION("""COMPUTED_VALUE"""),57.76909809699361)</f>
        <v>57.7690981</v>
      </c>
      <c r="BA559" s="30">
        <f>IFERROR(__xludf.DUMMYFUNCTION("""COMPUTED_VALUE"""),2300.0)</f>
        <v>2300</v>
      </c>
    </row>
    <row r="560">
      <c r="A560" s="71" t="str">
        <f>IFERROR(__xludf.DUMMYFUNCTION("""COMPUTED_VALUE"""),"Challenger")</f>
        <v>Challenger</v>
      </c>
      <c r="B560" s="71" t="str">
        <f>IFERROR(__xludf.DUMMYFUNCTION("""COMPUTED_VALUE"""),"RSC006976")</f>
        <v>RSC006976</v>
      </c>
      <c r="C560" s="30" t="str">
        <f>IFERROR(__xludf.DUMMYFUNCTION("""COMPUTED_VALUE"""),"Slendda")</f>
        <v>Slendda</v>
      </c>
      <c r="D560" s="30" t="str">
        <f>IFERROR(__xludf.DUMMYFUNCTION("""COMPUTED_VALUE"""),"Meat Lovers")</f>
        <v>Meat Lovers</v>
      </c>
      <c r="E560" s="30">
        <f>IFERROR(__xludf.DUMMYFUNCTION("""COMPUTED_VALUE"""),36.0)</f>
        <v>36</v>
      </c>
      <c r="F560" s="30">
        <f>IFERROR(__xludf.DUMMYFUNCTION("""COMPUTED_VALUE"""),28.0)</f>
        <v>28</v>
      </c>
      <c r="G560" s="42">
        <f>IFERROR(__xludf.DUMMYFUNCTION("""COMPUTED_VALUE"""),8.0)</f>
        <v>8</v>
      </c>
      <c r="H560" s="42">
        <f>IFERROR(__xludf.DUMMYFUNCTION("""COMPUTED_VALUE"""),0.7777777777777778)</f>
        <v>0.7777777778</v>
      </c>
      <c r="I560" s="42">
        <f>IFERROR(__xludf.DUMMYFUNCTION("""COMPUTED_VALUE"""),0.4513274336283186)</f>
        <v>0.4513274336</v>
      </c>
      <c r="J560" s="30">
        <f>IFERROR(__xludf.DUMMYFUNCTION("""COMPUTED_VALUE"""),419.25)</f>
        <v>419.25</v>
      </c>
      <c r="K560" s="30">
        <f>IFERROR(__xludf.DUMMYFUNCTION("""COMPUTED_VALUE"""),1.4166666666666667)</f>
        <v>1.416666667</v>
      </c>
      <c r="L560" s="30">
        <f>IFERROR(__xludf.DUMMYFUNCTION("""COMPUTED_VALUE"""),0.6388888888888888)</f>
        <v>0.6388888889</v>
      </c>
      <c r="M560" s="30">
        <f>IFERROR(__xludf.DUMMYFUNCTION("""COMPUTED_VALUE"""),1.0277777777777777)</f>
        <v>1.027777778</v>
      </c>
      <c r="N560" s="30">
        <f>IFERROR(__xludf.DUMMYFUNCTION("""COMPUTED_VALUE"""),3.138888888888889)</f>
        <v>3.138888889</v>
      </c>
      <c r="O560" s="30">
        <f>IFERROR(__xludf.DUMMYFUNCTION("""COMPUTED_VALUE"""),312.42592592592587)</f>
        <v>312.4259259</v>
      </c>
      <c r="P560" s="30">
        <f>IFERROR(__xludf.DUMMYFUNCTION("""COMPUTED_VALUE"""),0.6296296296296297)</f>
        <v>0.6296296296</v>
      </c>
      <c r="Q560" s="30">
        <f>IFERROR(__xludf.DUMMYFUNCTION("""COMPUTED_VALUE"""),0.45370370370370366)</f>
        <v>0.4537037037</v>
      </c>
      <c r="R560" s="30">
        <f>IFERROR(__xludf.DUMMYFUNCTION("""COMPUTED_VALUE"""),1.25)</f>
        <v>1.25</v>
      </c>
      <c r="S560" s="30">
        <f>IFERROR(__xludf.DUMMYFUNCTION("""COMPUTED_VALUE"""),2.2129629629629632)</f>
        <v>2.212962963</v>
      </c>
      <c r="T560" s="30">
        <f>IFERROR(__xludf.DUMMYFUNCTION("""COMPUTED_VALUE"""),329.7404052935383)</f>
        <v>329.7404053</v>
      </c>
      <c r="U560" s="30">
        <f>IFERROR(__xludf.DUMMYFUNCTION("""COMPUTED_VALUE"""),0.7458885045360544)</f>
        <v>0.7458885045</v>
      </c>
      <c r="V560" s="30">
        <f>IFERROR(__xludf.DUMMYFUNCTION("""COMPUTED_VALUE"""),0.5365835687989665)</f>
        <v>0.5365835688</v>
      </c>
      <c r="W560" s="30">
        <f>IFERROR(__xludf.DUMMYFUNCTION("""COMPUTED_VALUE"""),1.2221964927403208)</f>
        <v>1.222196493</v>
      </c>
      <c r="X560" s="30">
        <f>IFERROR(__xludf.DUMMYFUNCTION("""COMPUTED_VALUE"""),2.4223708961432266)</f>
        <v>2.422370896</v>
      </c>
      <c r="Y560" s="30">
        <f>IFERROR(__xludf.DUMMYFUNCTION("""COMPUTED_VALUE"""),342.76708274250984)</f>
        <v>342.7670827</v>
      </c>
      <c r="Z560" s="30">
        <f>IFERROR(__xludf.DUMMYFUNCTION("""COMPUTED_VALUE"""),0.7839896516173908)</f>
        <v>0.7839896516</v>
      </c>
      <c r="AA560" s="30">
        <f>IFERROR(__xludf.DUMMYFUNCTION("""COMPUTED_VALUE"""),0.5738647531544196)</f>
        <v>0.5738647532</v>
      </c>
      <c r="AB560" s="30">
        <f>IFERROR(__xludf.DUMMYFUNCTION("""COMPUTED_VALUE"""),1.2440832494000826)</f>
        <v>1.244083249</v>
      </c>
      <c r="AC560" s="30">
        <f>IFERROR(__xludf.DUMMYFUNCTION("""COMPUTED_VALUE"""),2.475789265068703)</f>
        <v>2.475789265</v>
      </c>
      <c r="AD560" s="30">
        <f>IFERROR(__xludf.DUMMYFUNCTION("""COMPUTED_VALUE"""),1.2231337870764705)</f>
        <v>1.223133787</v>
      </c>
      <c r="AE560" s="30">
        <f>IFERROR(__xludf.DUMMYFUNCTION("""COMPUTED_VALUE"""),1.806996640509281)</f>
        <v>1.806996641</v>
      </c>
      <c r="AF560" s="30">
        <f>IFERROR(__xludf.DUMMYFUNCTION("""COMPUTED_VALUE"""),1.1133091645323128)</f>
        <v>1.113309165</v>
      </c>
      <c r="AG560" s="30">
        <f>IFERROR(__xludf.DUMMYFUNCTION("""COMPUTED_VALUE"""),0.8261326388514506)</f>
        <v>0.8261326389</v>
      </c>
      <c r="AH560" s="30">
        <f>IFERROR(__xludf.DUMMYFUNCTION("""COMPUTED_VALUE"""),1.2678336291282792)</f>
        <v>1.267833629</v>
      </c>
      <c r="AI560" s="30">
        <f>IFERROR(__xludf.DUMMYFUNCTION("""COMPUTED_VALUE"""),0.9474905741314933)</f>
        <v>0.9474905741</v>
      </c>
      <c r="AJ560" s="30">
        <f>IFERROR(__xludf.DUMMYFUNCTION("""COMPUTED_VALUE"""),0.8441337087253568)</f>
        <v>0.8441337087</v>
      </c>
      <c r="AK560" s="30">
        <f>IFERROR(__xludf.DUMMYFUNCTION("""COMPUTED_VALUE"""),0.8455415523051282)</f>
        <v>0.8455415523</v>
      </c>
      <c r="AL560" s="30">
        <f>IFERROR(__xludf.DUMMYFUNCTION("""COMPUTED_VALUE"""),1.0227488030155774)</f>
        <v>1.022748803</v>
      </c>
      <c r="AM560" s="30">
        <f>IFERROR(__xludf.DUMMYFUNCTION("""COMPUTED_VALUE"""),0.9135524896234215)</f>
        <v>0.9135524896</v>
      </c>
      <c r="AN560" s="30">
        <f>IFERROR(__xludf.DUMMYFUNCTION("""COMPUTED_VALUE"""),1.2754329141539134)</f>
        <v>1.275432914</v>
      </c>
      <c r="AO560" s="30">
        <f>IFERROR(__xludf.DUMMYFUNCTION("""COMPUTED_VALUE"""),1.8682243359982262)</f>
        <v>1.868224336</v>
      </c>
      <c r="AP560" s="30">
        <f>IFERROR(__xludf.DUMMYFUNCTION("""COMPUTED_VALUE"""),1.2390647981420444)</f>
        <v>1.239064798</v>
      </c>
      <c r="AQ560" s="30">
        <f>IFERROR(__xludf.DUMMYFUNCTION("""COMPUTED_VALUE"""),0.8570513398629266)</f>
        <v>0.8570513399</v>
      </c>
      <c r="AR560" s="30">
        <f>IFERROR(__xludf.DUMMYFUNCTION("""COMPUTED_VALUE"""),1.308558640920667)</f>
        <v>1.308558641</v>
      </c>
      <c r="AS560" s="30">
        <f>IFERROR(__xludf.DUMMYFUNCTION("""COMPUTED_VALUE"""),113.0)</f>
        <v>113</v>
      </c>
      <c r="AT560" s="30">
        <f>IFERROR(__xludf.DUMMYFUNCTION("""COMPUTED_VALUE"""),0.6915422544751254)</f>
        <v>0.6915422545</v>
      </c>
      <c r="AU560" s="30">
        <f>IFERROR(__xludf.DUMMYFUNCTION("""COMPUTED_VALUE"""),4.9183329613574145)</f>
        <v>4.918332961</v>
      </c>
      <c r="AV560" s="32">
        <f>IFERROR(__xludf.DUMMYFUNCTION("""COMPUTED_VALUE"""),100.641417527335)</f>
        <v>100.6414175</v>
      </c>
      <c r="AW560" s="32">
        <f>IFERROR(__xludf.DUMMYFUNCTION("""COMPUTED_VALUE"""),46.728997418947834)</f>
        <v>46.72899742</v>
      </c>
      <c r="AX560" s="32">
        <f>IFERROR(__xludf.DUMMYFUNCTION("""COMPUTED_VALUE"""),82.09380408368878)</f>
        <v>82.09380408</v>
      </c>
      <c r="AY560" s="32">
        <f>IFERROR(__xludf.DUMMYFUNCTION("""COMPUTED_VALUE"""),10.038714993608428)</f>
        <v>10.03871499</v>
      </c>
      <c r="AZ560" s="30">
        <f>IFERROR(__xludf.DUMMYFUNCTION("""COMPUTED_VALUE"""),36.690282425339404)</f>
        <v>36.69028243</v>
      </c>
      <c r="BA560" s="30">
        <f>IFERROR(__xludf.DUMMYFUNCTION("""COMPUTED_VALUE"""),2300.0)</f>
        <v>2300</v>
      </c>
    </row>
    <row r="561">
      <c r="A561" s="71" t="str">
        <f>IFERROR(__xludf.DUMMYFUNCTION("""COMPUTED_VALUE"""),"Challenger")</f>
        <v>Challenger</v>
      </c>
      <c r="B561" s="71" t="str">
        <f>IFERROR(__xludf.DUMMYFUNCTION("""COMPUTED_VALUE"""),"RSC006355")</f>
        <v>RSC006355</v>
      </c>
      <c r="C561" s="30" t="str">
        <f>IFERROR(__xludf.DUMMYFUNCTION("""COMPUTED_VALUE"""),"Heartlesswins")</f>
        <v>Heartlesswins</v>
      </c>
      <c r="D561" s="30" t="str">
        <f>IFERROR(__xludf.DUMMYFUNCTION("""COMPUTED_VALUE"""),"Lilac")</f>
        <v>Lilac</v>
      </c>
      <c r="E561" s="30">
        <f>IFERROR(__xludf.DUMMYFUNCTION("""COMPUTED_VALUE"""),30.0)</f>
        <v>30</v>
      </c>
      <c r="F561" s="30">
        <f>IFERROR(__xludf.DUMMYFUNCTION("""COMPUTED_VALUE"""),19.0)</f>
        <v>19</v>
      </c>
      <c r="G561" s="42">
        <f>IFERROR(__xludf.DUMMYFUNCTION("""COMPUTED_VALUE"""),11.0)</f>
        <v>11</v>
      </c>
      <c r="H561" s="42">
        <f>IFERROR(__xludf.DUMMYFUNCTION("""COMPUTED_VALUE"""),0.6333333333333333)</f>
        <v>0.6333333333</v>
      </c>
      <c r="I561" s="42">
        <f>IFERROR(__xludf.DUMMYFUNCTION("""COMPUTED_VALUE"""),0.38947368421052636)</f>
        <v>0.3894736842</v>
      </c>
      <c r="J561" s="30">
        <f>IFERROR(__xludf.DUMMYFUNCTION("""COMPUTED_VALUE"""),398.43333333333334)</f>
        <v>398.4333333</v>
      </c>
      <c r="K561" s="30">
        <f>IFERROR(__xludf.DUMMYFUNCTION("""COMPUTED_VALUE"""),1.2333333333333334)</f>
        <v>1.233333333</v>
      </c>
      <c r="L561" s="30">
        <f>IFERROR(__xludf.DUMMYFUNCTION("""COMPUTED_VALUE"""),0.9)</f>
        <v>0.9</v>
      </c>
      <c r="M561" s="30">
        <f>IFERROR(__xludf.DUMMYFUNCTION("""COMPUTED_VALUE"""),1.1333333333333333)</f>
        <v>1.133333333</v>
      </c>
      <c r="N561" s="30">
        <f>IFERROR(__xludf.DUMMYFUNCTION("""COMPUTED_VALUE"""),3.1666666666666665)</f>
        <v>3.166666667</v>
      </c>
      <c r="O561" s="30">
        <f>IFERROR(__xludf.DUMMYFUNCTION("""COMPUTED_VALUE"""),334.6111111111111)</f>
        <v>334.6111111</v>
      </c>
      <c r="P561" s="30">
        <f>IFERROR(__xludf.DUMMYFUNCTION("""COMPUTED_VALUE"""),0.6444444444444444)</f>
        <v>0.6444444444</v>
      </c>
      <c r="Q561" s="30">
        <f>IFERROR(__xludf.DUMMYFUNCTION("""COMPUTED_VALUE"""),0.5333333333333334)</f>
        <v>0.5333333333</v>
      </c>
      <c r="R561" s="30">
        <f>IFERROR(__xludf.DUMMYFUNCTION("""COMPUTED_VALUE"""),1.377777777777778)</f>
        <v>1.377777778</v>
      </c>
      <c r="S561" s="30">
        <f>IFERROR(__xludf.DUMMYFUNCTION("""COMPUTED_VALUE"""),2.4)</f>
        <v>2.4</v>
      </c>
      <c r="T561" s="30">
        <f>IFERROR(__xludf.DUMMYFUNCTION("""COMPUTED_VALUE"""),335.1539496050294)</f>
        <v>335.1539496</v>
      </c>
      <c r="U561" s="30">
        <f>IFERROR(__xludf.DUMMYFUNCTION("""COMPUTED_VALUE"""),0.7876769873251596)</f>
        <v>0.7876769873</v>
      </c>
      <c r="V561" s="30">
        <f>IFERROR(__xludf.DUMMYFUNCTION("""COMPUTED_VALUE"""),0.5336107158692073)</f>
        <v>0.5336107159</v>
      </c>
      <c r="W561" s="30">
        <f>IFERROR(__xludf.DUMMYFUNCTION("""COMPUTED_VALUE"""),1.229478773497672)</f>
        <v>1.229478773</v>
      </c>
      <c r="X561" s="30">
        <f>IFERROR(__xludf.DUMMYFUNCTION("""COMPUTED_VALUE"""),2.360896373636637)</f>
        <v>2.360896374</v>
      </c>
      <c r="Y561" s="30">
        <f>IFERROR(__xludf.DUMMYFUNCTION("""COMPUTED_VALUE"""),342.37195934748064)</f>
        <v>342.3719593</v>
      </c>
      <c r="Z561" s="30">
        <f>IFERROR(__xludf.DUMMYFUNCTION("""COMPUTED_VALUE"""),0.8425525605403443)</f>
        <v>0.8425525605</v>
      </c>
      <c r="AA561" s="30">
        <f>IFERROR(__xludf.DUMMYFUNCTION("""COMPUTED_VALUE"""),0.5911984149723094)</f>
        <v>0.591198415</v>
      </c>
      <c r="AB561" s="30">
        <f>IFERROR(__xludf.DUMMYFUNCTION("""COMPUTED_VALUE"""),1.194503938192977)</f>
        <v>1.194503938</v>
      </c>
      <c r="AC561" s="30">
        <f>IFERROR(__xludf.DUMMYFUNCTION("""COMPUTED_VALUE"""),2.533754348795171)</f>
        <v>2.533754349</v>
      </c>
      <c r="AD561" s="30">
        <f>IFERROR(__xludf.DUMMYFUNCTION("""COMPUTED_VALUE"""),1.1637440580493184)</f>
        <v>1.163744058</v>
      </c>
      <c r="AE561" s="30">
        <f>IFERROR(__xludf.DUMMYFUNCTION("""COMPUTED_VALUE"""),1.4638058099810107)</f>
        <v>1.46380581</v>
      </c>
      <c r="AF561" s="30">
        <f>IFERROR(__xludf.DUMMYFUNCTION("""COMPUTED_VALUE"""),1.5223315509771018)</f>
        <v>1.522331551</v>
      </c>
      <c r="AG561" s="30">
        <f>IFERROR(__xludf.DUMMYFUNCTION("""COMPUTED_VALUE"""),0.9487899512895861)</f>
        <v>0.9487899513</v>
      </c>
      <c r="AH561" s="30">
        <f>IFERROR(__xludf.DUMMYFUNCTION("""COMPUTED_VALUE"""),1.2497922966259347)</f>
        <v>1.249792297</v>
      </c>
      <c r="AI561" s="30">
        <f>IFERROR(__xludf.DUMMYFUNCTION("""COMPUTED_VALUE"""),0.9983803309059671)</f>
        <v>0.9983803309</v>
      </c>
      <c r="AJ561" s="30">
        <f>IFERROR(__xludf.DUMMYFUNCTION("""COMPUTED_VALUE"""),0.8181582740317033)</f>
        <v>0.818158274</v>
      </c>
      <c r="AK561" s="30">
        <f>IFERROR(__xludf.DUMMYFUNCTION("""COMPUTED_VALUE"""),0.9994801781005803)</f>
        <v>0.9994801781</v>
      </c>
      <c r="AL561" s="30">
        <f>IFERROR(__xludf.DUMMYFUNCTION("""COMPUTED_VALUE"""),1.120619410010812)</f>
        <v>1.12061941</v>
      </c>
      <c r="AM561" s="30">
        <f>IFERROR(__xludf.DUMMYFUNCTION("""COMPUTED_VALUE"""),1.0165630422410827)</f>
        <v>1.016563042</v>
      </c>
      <c r="AN561" s="30">
        <f>IFERROR(__xludf.DUMMYFUNCTION("""COMPUTED_VALUE"""),1.2121049193306879)</f>
        <v>1.212104919</v>
      </c>
      <c r="AO561" s="30">
        <f>IFERROR(__xludf.DUMMYFUNCTION("""COMPUTED_VALUE"""),1.6264541278102205)</f>
        <v>1.626454128</v>
      </c>
      <c r="AP561" s="30">
        <f>IFERROR(__xludf.DUMMYFUNCTION("""COMPUTED_VALUE"""),1.7454651939044452)</f>
        <v>1.745465194</v>
      </c>
      <c r="AQ561" s="30">
        <f>IFERROR(__xludf.DUMMYFUNCTION("""COMPUTED_VALUE"""),0.9450728288218219)</f>
        <v>0.9450728288</v>
      </c>
      <c r="AR561" s="30">
        <f>IFERROR(__xludf.DUMMYFUNCTION("""COMPUTED_VALUE"""),1.3201388058845667)</f>
        <v>1.320138806</v>
      </c>
      <c r="AS561" s="30">
        <f>IFERROR(__xludf.DUMMYFUNCTION("""COMPUTED_VALUE"""),94.0)</f>
        <v>94</v>
      </c>
      <c r="AT561" s="30">
        <f>IFERROR(__xludf.DUMMYFUNCTION("""COMPUTED_VALUE"""),0.6833592576102556)</f>
        <v>0.6833592576</v>
      </c>
      <c r="AU561" s="30">
        <f>IFERROR(__xludf.DUMMYFUNCTION("""COMPUTED_VALUE"""),4.845769219568065)</f>
        <v>4.84576922</v>
      </c>
      <c r="AV561" s="32">
        <f>IFERROR(__xludf.DUMMYFUNCTION("""COMPUTED_VALUE"""),98.72267562665336)</f>
        <v>98.72267563</v>
      </c>
      <c r="AW561" s="32">
        <f>IFERROR(__xludf.DUMMYFUNCTION("""COMPUTED_VALUE"""),38.98139359241357)</f>
        <v>38.98139359</v>
      </c>
      <c r="AX561" s="32">
        <f>IFERROR(__xludf.DUMMYFUNCTION("""COMPUTED_VALUE"""),73.15414493868553)</f>
        <v>73.15414494</v>
      </c>
      <c r="AY561" s="32">
        <f>IFERROR(__xludf.DUMMYFUNCTION("""COMPUTED_VALUE"""),5.6439806771888845)</f>
        <v>5.643980677</v>
      </c>
      <c r="AZ561" s="30">
        <f>IFERROR(__xludf.DUMMYFUNCTION("""COMPUTED_VALUE"""),33.33741291522468)</f>
        <v>33.33741292</v>
      </c>
      <c r="BA561" s="30">
        <f>IFERROR(__xludf.DUMMYFUNCTION("""COMPUTED_VALUE"""),2300.0)</f>
        <v>2300</v>
      </c>
    </row>
    <row r="562">
      <c r="A562" s="71" t="str">
        <f>IFERROR(__xludf.DUMMYFUNCTION("""COMPUTED_VALUE"""),"Challenger")</f>
        <v>Challenger</v>
      </c>
      <c r="B562" s="71" t="str">
        <f>IFERROR(__xludf.DUMMYFUNCTION("""COMPUTED_VALUE"""),"RSC004997")</f>
        <v>RSC004997</v>
      </c>
      <c r="C562" s="30" t="str">
        <f>IFERROR(__xludf.DUMMYFUNCTION("""COMPUTED_VALUE"""),"evelynnx")</f>
        <v>evelynnx</v>
      </c>
      <c r="D562" s="30" t="str">
        <f>IFERROR(__xludf.DUMMYFUNCTION("""COMPUTED_VALUE"""),"Deceased")</f>
        <v>Deceased</v>
      </c>
      <c r="E562" s="30">
        <f>IFERROR(__xludf.DUMMYFUNCTION("""COMPUTED_VALUE"""),19.0)</f>
        <v>19</v>
      </c>
      <c r="F562" s="30">
        <f>IFERROR(__xludf.DUMMYFUNCTION("""COMPUTED_VALUE"""),15.0)</f>
        <v>15</v>
      </c>
      <c r="G562" s="42">
        <f>IFERROR(__xludf.DUMMYFUNCTION("""COMPUTED_VALUE"""),4.0)</f>
        <v>4</v>
      </c>
      <c r="H562" s="42">
        <f>IFERROR(__xludf.DUMMYFUNCTION("""COMPUTED_VALUE"""),0.7894736842105263)</f>
        <v>0.7894736842</v>
      </c>
      <c r="I562" s="42">
        <f>IFERROR(__xludf.DUMMYFUNCTION("""COMPUTED_VALUE"""),0.3333333333333333)</f>
        <v>0.3333333333</v>
      </c>
      <c r="J562" s="30">
        <f>IFERROR(__xludf.DUMMYFUNCTION("""COMPUTED_VALUE"""),402.63157894736844)</f>
        <v>402.6315789</v>
      </c>
      <c r="K562" s="30">
        <f>IFERROR(__xludf.DUMMYFUNCTION("""COMPUTED_VALUE"""),1.1578947368421053)</f>
        <v>1.157894737</v>
      </c>
      <c r="L562" s="30">
        <f>IFERROR(__xludf.DUMMYFUNCTION("""COMPUTED_VALUE"""),0.8421052631578947)</f>
        <v>0.8421052632</v>
      </c>
      <c r="M562" s="30">
        <f>IFERROR(__xludf.DUMMYFUNCTION("""COMPUTED_VALUE"""),1.0526315789473684)</f>
        <v>1.052631579</v>
      </c>
      <c r="N562" s="30">
        <f>IFERROR(__xludf.DUMMYFUNCTION("""COMPUTED_VALUE"""),3.473684210526316)</f>
        <v>3.473684211</v>
      </c>
      <c r="O562" s="30">
        <f>IFERROR(__xludf.DUMMYFUNCTION("""COMPUTED_VALUE"""),325.1578947368421)</f>
        <v>325.1578947</v>
      </c>
      <c r="P562" s="30">
        <f>IFERROR(__xludf.DUMMYFUNCTION("""COMPUTED_VALUE"""),0.5614035087719299)</f>
        <v>0.5614035088</v>
      </c>
      <c r="Q562" s="30">
        <f>IFERROR(__xludf.DUMMYFUNCTION("""COMPUTED_VALUE"""),0.40350877192982454)</f>
        <v>0.4035087719</v>
      </c>
      <c r="R562" s="30">
        <f>IFERROR(__xludf.DUMMYFUNCTION("""COMPUTED_VALUE"""),1.5087719298245614)</f>
        <v>1.50877193</v>
      </c>
      <c r="S562" s="30">
        <f>IFERROR(__xludf.DUMMYFUNCTION("""COMPUTED_VALUE"""),2.0175438596491224)</f>
        <v>2.01754386</v>
      </c>
      <c r="T562" s="30">
        <f>IFERROR(__xludf.DUMMYFUNCTION("""COMPUTED_VALUE"""),325.97350624062034)</f>
        <v>325.9735062</v>
      </c>
      <c r="U562" s="30">
        <f>IFERROR(__xludf.DUMMYFUNCTION("""COMPUTED_VALUE"""),0.7235067052498834)</f>
        <v>0.7235067052</v>
      </c>
      <c r="V562" s="30">
        <f>IFERROR(__xludf.DUMMYFUNCTION("""COMPUTED_VALUE"""),0.4695235250989581)</f>
        <v>0.4695235251</v>
      </c>
      <c r="W562" s="30">
        <f>IFERROR(__xludf.DUMMYFUNCTION("""COMPUTED_VALUE"""),1.257993869549475)</f>
        <v>1.25799387</v>
      </c>
      <c r="X562" s="30">
        <f>IFERROR(__xludf.DUMMYFUNCTION("""COMPUTED_VALUE"""),2.2536678950604987)</f>
        <v>2.253667895</v>
      </c>
      <c r="Y562" s="30">
        <f>IFERROR(__xludf.DUMMYFUNCTION("""COMPUTED_VALUE"""),345.82187086887393)</f>
        <v>345.8218709</v>
      </c>
      <c r="Z562" s="30">
        <f>IFERROR(__xludf.DUMMYFUNCTION("""COMPUTED_VALUE"""),0.8662199803859917)</f>
        <v>0.8662199804</v>
      </c>
      <c r="AA562" s="30">
        <f>IFERROR(__xludf.DUMMYFUNCTION("""COMPUTED_VALUE"""),0.6165814646931068)</f>
        <v>0.6165814647</v>
      </c>
      <c r="AB562" s="30">
        <f>IFERROR(__xludf.DUMMYFUNCTION("""COMPUTED_VALUE"""),1.116731984557172)</f>
        <v>1.116731985</v>
      </c>
      <c r="AC562" s="30">
        <f>IFERROR(__xludf.DUMMYFUNCTION("""COMPUTED_VALUE"""),2.63819007071118)</f>
        <v>2.638190071</v>
      </c>
      <c r="AD562" s="30">
        <f>IFERROR(__xludf.DUMMYFUNCTION("""COMPUTED_VALUE"""),1.1642744801991867)</f>
        <v>1.16427448</v>
      </c>
      <c r="AE562" s="30">
        <f>IFERROR(__xludf.DUMMYFUNCTION("""COMPUTED_VALUE"""),1.3367213445320691)</f>
        <v>1.336721345</v>
      </c>
      <c r="AF562" s="30">
        <f>IFERROR(__xludf.DUMMYFUNCTION("""COMPUTED_VALUE"""),1.3657648038074557)</f>
        <v>1.365764804</v>
      </c>
      <c r="AG562" s="30">
        <f>IFERROR(__xludf.DUMMYFUNCTION("""COMPUTED_VALUE"""),0.9426000092267243)</f>
        <v>0.9426000092</v>
      </c>
      <c r="AH562" s="30">
        <f>IFERROR(__xludf.DUMMYFUNCTION("""COMPUTED_VALUE"""),1.3166921705493004)</f>
        <v>1.316692171</v>
      </c>
      <c r="AI562" s="30">
        <f>IFERROR(__xludf.DUMMYFUNCTION("""COMPUTED_VALUE"""),0.9974979208795692)</f>
        <v>0.9974979209</v>
      </c>
      <c r="AJ562" s="30">
        <f>IFERROR(__xludf.DUMMYFUNCTION("""COMPUTED_VALUE"""),0.7759479002727879)</f>
        <v>0.7759479003</v>
      </c>
      <c r="AK562" s="30">
        <f>IFERROR(__xludf.DUMMYFUNCTION("""COMPUTED_VALUE"""),0.8594005419532065)</f>
        <v>0.859400542</v>
      </c>
      <c r="AL562" s="30">
        <f>IFERROR(__xludf.DUMMYFUNCTION("""COMPUTED_VALUE"""),1.1993476012445892)</f>
        <v>1.199347601</v>
      </c>
      <c r="AM562" s="30">
        <f>IFERROR(__xludf.DUMMYFUNCTION("""COMPUTED_VALUE"""),0.8952267830016554)</f>
        <v>0.895226783</v>
      </c>
      <c r="AN562" s="30">
        <f>IFERROR(__xludf.DUMMYFUNCTION("""COMPUTED_VALUE"""),1.2248767276499308)</f>
        <v>1.224876728</v>
      </c>
      <c r="AO562" s="30">
        <f>IFERROR(__xludf.DUMMYFUNCTION("""COMPUTED_VALUE"""),1.526969735924247)</f>
        <v>1.526969736</v>
      </c>
      <c r="AP562" s="30">
        <f>IFERROR(__xludf.DUMMYFUNCTION("""COMPUTED_VALUE"""),1.633183807162054)</f>
        <v>1.633183807</v>
      </c>
      <c r="AQ562" s="30">
        <f>IFERROR(__xludf.DUMMYFUNCTION("""COMPUTED_VALUE"""),0.8777766211967385)</f>
        <v>0.8777766212</v>
      </c>
      <c r="AR562" s="30">
        <f>IFERROR(__xludf.DUMMYFUNCTION("""COMPUTED_VALUE"""),1.4481301028539846)</f>
        <v>1.448130103</v>
      </c>
      <c r="AS562" s="30">
        <f>IFERROR(__xludf.DUMMYFUNCTION("""COMPUTED_VALUE"""),64.0)</f>
        <v>64</v>
      </c>
      <c r="AT562" s="30">
        <f>IFERROR(__xludf.DUMMYFUNCTION("""COMPUTED_VALUE"""),0.7508975913226639)</f>
        <v>0.7508975913</v>
      </c>
      <c r="AU562" s="30">
        <f>IFERROR(__xludf.DUMMYFUNCTION("""COMPUTED_VALUE"""),4.840960216942653)</f>
        <v>4.840960217</v>
      </c>
      <c r="AV562" s="32">
        <f>IFERROR(__xludf.DUMMYFUNCTION("""COMPUTED_VALUE"""),98.59551522105228)</f>
        <v>98.59551522</v>
      </c>
      <c r="AW562" s="32">
        <f>IFERROR(__xludf.DUMMYFUNCTION("""COMPUTED_VALUE"""),38.52296210802454)</f>
        <v>38.52296211</v>
      </c>
      <c r="AX562" s="32">
        <f>IFERROR(__xludf.DUMMYFUNCTION("""COMPUTED_VALUE"""),76.71195015278248)</f>
        <v>76.71195015</v>
      </c>
      <c r="AY562" s="32">
        <f>IFERROR(__xludf.DUMMYFUNCTION("""COMPUTED_VALUE"""),7.010043204924381)</f>
        <v>7.010043205</v>
      </c>
      <c r="AZ562" s="30">
        <f>IFERROR(__xludf.DUMMYFUNCTION("""COMPUTED_VALUE"""),31.512918903100157)</f>
        <v>31.5129189</v>
      </c>
      <c r="BA562" s="30">
        <f>IFERROR(__xludf.DUMMYFUNCTION("""COMPUTED_VALUE"""),2300.0)</f>
        <v>2300</v>
      </c>
    </row>
    <row r="563">
      <c r="A563" s="71" t="str">
        <f>IFERROR(__xludf.DUMMYFUNCTION("""COMPUTED_VALUE"""),"Challenger")</f>
        <v>Challenger</v>
      </c>
      <c r="B563" s="71" t="str">
        <f>IFERROR(__xludf.DUMMYFUNCTION("""COMPUTED_VALUE"""),"RSC005219")</f>
        <v>RSC005219</v>
      </c>
      <c r="C563" s="30" t="str">
        <f>IFERROR(__xludf.DUMMYFUNCTION("""COMPUTED_VALUE"""),"iargue")</f>
        <v>iargue</v>
      </c>
      <c r="D563" s="30" t="str">
        <f>IFERROR(__xludf.DUMMYFUNCTION("""COMPUTED_VALUE"""),"Shade")</f>
        <v>Shade</v>
      </c>
      <c r="E563" s="30">
        <f>IFERROR(__xludf.DUMMYFUNCTION("""COMPUTED_VALUE"""),27.0)</f>
        <v>27</v>
      </c>
      <c r="F563" s="30">
        <f>IFERROR(__xludf.DUMMYFUNCTION("""COMPUTED_VALUE"""),5.0)</f>
        <v>5</v>
      </c>
      <c r="G563" s="42">
        <f>IFERROR(__xludf.DUMMYFUNCTION("""COMPUTED_VALUE"""),22.0)</f>
        <v>22</v>
      </c>
      <c r="H563" s="42">
        <f>IFERROR(__xludf.DUMMYFUNCTION("""COMPUTED_VALUE"""),0.18518518518518517)</f>
        <v>0.1851851852</v>
      </c>
      <c r="I563" s="42">
        <f>IFERROR(__xludf.DUMMYFUNCTION("""COMPUTED_VALUE"""),0.21428571428571427)</f>
        <v>0.2142857143</v>
      </c>
      <c r="J563" s="30">
        <f>IFERROR(__xludf.DUMMYFUNCTION("""COMPUTED_VALUE"""),220.1851851851852)</f>
        <v>220.1851852</v>
      </c>
      <c r="K563" s="30">
        <f>IFERROR(__xludf.DUMMYFUNCTION("""COMPUTED_VALUE"""),0.3333333333333333)</f>
        <v>0.3333333333</v>
      </c>
      <c r="L563" s="30">
        <f>IFERROR(__xludf.DUMMYFUNCTION("""COMPUTED_VALUE"""),0.25925925925925924)</f>
        <v>0.2592592593</v>
      </c>
      <c r="M563" s="30">
        <f>IFERROR(__xludf.DUMMYFUNCTION("""COMPUTED_VALUE"""),0.7777777777777778)</f>
        <v>0.7777777778</v>
      </c>
      <c r="N563" s="30">
        <f>IFERROR(__xludf.DUMMYFUNCTION("""COMPUTED_VALUE"""),1.5555555555555556)</f>
        <v>1.555555556</v>
      </c>
      <c r="O563" s="30">
        <f>IFERROR(__xludf.DUMMYFUNCTION("""COMPUTED_VALUE"""),371.3827160493826)</f>
        <v>371.382716</v>
      </c>
      <c r="P563" s="30">
        <f>IFERROR(__xludf.DUMMYFUNCTION("""COMPUTED_VALUE"""),0.9629629629629629)</f>
        <v>0.962962963</v>
      </c>
      <c r="Q563" s="30">
        <f>IFERROR(__xludf.DUMMYFUNCTION("""COMPUTED_VALUE"""),0.7037037037037036)</f>
        <v>0.7037037037</v>
      </c>
      <c r="R563" s="30">
        <f>IFERROR(__xludf.DUMMYFUNCTION("""COMPUTED_VALUE"""),1.2962962962962963)</f>
        <v>1.296296296</v>
      </c>
      <c r="S563" s="30">
        <f>IFERROR(__xludf.DUMMYFUNCTION("""COMPUTED_VALUE"""),2.5925925925925926)</f>
        <v>2.592592593</v>
      </c>
      <c r="T563" s="30">
        <f>IFERROR(__xludf.DUMMYFUNCTION("""COMPUTED_VALUE"""),343.4874776489768)</f>
        <v>343.4874776</v>
      </c>
      <c r="U563" s="30">
        <f>IFERROR(__xludf.DUMMYFUNCTION("""COMPUTED_VALUE"""),0.8116787193136551)</f>
        <v>0.8116787193</v>
      </c>
      <c r="V563" s="30">
        <f>IFERROR(__xludf.DUMMYFUNCTION("""COMPUTED_VALUE"""),0.581558902310185)</f>
        <v>0.5815589023</v>
      </c>
      <c r="W563" s="30">
        <f>IFERROR(__xludf.DUMMYFUNCTION("""COMPUTED_VALUE"""),1.243626085246983)</f>
        <v>1.243626085</v>
      </c>
      <c r="X563" s="30">
        <f>IFERROR(__xludf.DUMMYFUNCTION("""COMPUTED_VALUE"""),2.5139282346538656)</f>
        <v>2.513928235</v>
      </c>
      <c r="Y563" s="30">
        <f>IFERROR(__xludf.DUMMYFUNCTION("""COMPUTED_VALUE"""),332.92344949540865)</f>
        <v>332.9234495</v>
      </c>
      <c r="Z563" s="30">
        <f>IFERROR(__xludf.DUMMYFUNCTION("""COMPUTED_VALUE"""),0.7612151021401203)</f>
        <v>0.7612151021</v>
      </c>
      <c r="AA563" s="30">
        <f>IFERROR(__xludf.DUMMYFUNCTION("""COMPUTED_VALUE"""),0.525392925768274)</f>
        <v>0.5253929258</v>
      </c>
      <c r="AB563" s="30">
        <f>IFERROR(__xludf.DUMMYFUNCTION("""COMPUTED_VALUE"""),1.1903935739645084)</f>
        <v>1.190393574</v>
      </c>
      <c r="AC563" s="30">
        <f>IFERROR(__xludf.DUMMYFUNCTION("""COMPUTED_VALUE"""),2.4724499860827955)</f>
        <v>2.472449986</v>
      </c>
      <c r="AD563" s="30">
        <f>IFERROR(__xludf.DUMMYFUNCTION("""COMPUTED_VALUE"""),0.6613688087123517)</f>
        <v>0.6613688087</v>
      </c>
      <c r="AE563" s="30">
        <f>IFERROR(__xludf.DUMMYFUNCTION("""COMPUTED_VALUE"""),0.4378963743575008)</f>
        <v>0.4378963744</v>
      </c>
      <c r="AF563" s="30">
        <f>IFERROR(__xludf.DUMMYFUNCTION("""COMPUTED_VALUE"""),0.49345784182409463)</f>
        <v>0.4934578418</v>
      </c>
      <c r="AG563" s="30">
        <f>IFERROR(__xludf.DUMMYFUNCTION("""COMPUTED_VALUE"""),0.6533786764216583)</f>
        <v>0.6533786764</v>
      </c>
      <c r="AH563" s="30">
        <f>IFERROR(__xludf.DUMMYFUNCTION("""COMPUTED_VALUE"""),0.6291555195500987)</f>
        <v>0.6291555196</v>
      </c>
      <c r="AI563" s="30">
        <f>IFERROR(__xludf.DUMMYFUNCTION("""COMPUTED_VALUE"""),1.081211806006253)</f>
        <v>1.081211806</v>
      </c>
      <c r="AJ563" s="30">
        <f>IFERROR(__xludf.DUMMYFUNCTION("""COMPUTED_VALUE"""),1.1863843908304406)</f>
        <v>1.186384391</v>
      </c>
      <c r="AK563" s="30">
        <f>IFERROR(__xludf.DUMMYFUNCTION("""COMPUTED_VALUE"""),1.2100299744502414)</f>
        <v>1.210029974</v>
      </c>
      <c r="AL563" s="30">
        <f>IFERROR(__xludf.DUMMYFUNCTION("""COMPUTED_VALUE"""),1.0423521279218368)</f>
        <v>1.042352128</v>
      </c>
      <c r="AM563" s="30">
        <f>IFERROR(__xludf.DUMMYFUNCTION("""COMPUTED_VALUE"""),1.0312914095376147)</f>
        <v>1.03129141</v>
      </c>
      <c r="AN563" s="30">
        <f>IFERROR(__xludf.DUMMYFUNCTION("""COMPUTED_VALUE"""),0.6698424147746209)</f>
        <v>0.6698424148</v>
      </c>
      <c r="AO563" s="30">
        <f>IFERROR(__xludf.DUMMYFUNCTION("""COMPUTED_VALUE"""),0.439582196705465)</f>
        <v>0.4395821967</v>
      </c>
      <c r="AP563" s="30">
        <f>IFERROR(__xludf.DUMMYFUNCTION("""COMPUTED_VALUE"""),0.5028089035938731)</f>
        <v>0.5028089036</v>
      </c>
      <c r="AQ563" s="30">
        <f>IFERROR(__xludf.DUMMYFUNCTION("""COMPUTED_VALUE"""),0.6485793923287013)</f>
        <v>0.6485793923</v>
      </c>
      <c r="AR563" s="30">
        <f>IFERROR(__xludf.DUMMYFUNCTION("""COMPUTED_VALUE"""),0.6484892379783836)</f>
        <v>0.648489238</v>
      </c>
      <c r="AS563" s="30">
        <f>IFERROR(__xludf.DUMMYFUNCTION("""COMPUTED_VALUE"""),33.0)</f>
        <v>33</v>
      </c>
      <c r="AT563" s="30">
        <f>IFERROR(__xludf.DUMMYFUNCTION("""COMPUTED_VALUE"""),0.21574387494716957)</f>
        <v>0.2157438749</v>
      </c>
      <c r="AU563" s="30">
        <f>IFERROR(__xludf.DUMMYFUNCTION("""COMPUTED_VALUE"""),1.0093704084080546)</f>
        <v>1.009370408</v>
      </c>
      <c r="AV563" s="32">
        <f>IFERROR(__xludf.DUMMYFUNCTION("""COMPUTED_VALUE"""),-2.719986578761713)</f>
        <v>-2.719986579</v>
      </c>
      <c r="AW563" s="32">
        <f>IFERROR(__xludf.DUMMYFUNCTION("""COMPUTED_VALUE"""),-57.205137227917206)</f>
        <v>-57.20513723</v>
      </c>
      <c r="AX563" s="32">
        <f>IFERROR(__xludf.DUMMYFUNCTION("""COMPUTED_VALUE"""),5.803955843707882)</f>
        <v>5.803955844</v>
      </c>
      <c r="AY563" s="32">
        <f>IFERROR(__xludf.DUMMYFUNCTION("""COMPUTED_VALUE"""),-25.944590531624616)</f>
        <v>-25.94459053</v>
      </c>
      <c r="AZ563" s="30">
        <f>IFERROR(__xludf.DUMMYFUNCTION("""COMPUTED_VALUE"""),31.26054669629259)</f>
        <v>31.2605467</v>
      </c>
      <c r="BA563" s="30">
        <f>IFERROR(__xludf.DUMMYFUNCTION("""COMPUTED_VALUE"""),2300.0)</f>
        <v>2300</v>
      </c>
    </row>
    <row r="564">
      <c r="A564" s="71" t="str">
        <f>IFERROR(__xludf.DUMMYFUNCTION("""COMPUTED_VALUE"""),"Challenger")</f>
        <v>Challenger</v>
      </c>
      <c r="B564" s="71" t="str">
        <f>IFERROR(__xludf.DUMMYFUNCTION("""COMPUTED_VALUE"""),"RSC007647")</f>
        <v>RSC007647</v>
      </c>
      <c r="C564" s="30" t="str">
        <f>IFERROR(__xludf.DUMMYFUNCTION("""COMPUTED_VALUE"""),"I'm Pale")</f>
        <v>I'm Pale</v>
      </c>
      <c r="D564" s="30" t="str">
        <f>IFERROR(__xludf.DUMMYFUNCTION("""COMPUTED_VALUE"""),"Cassowaries")</f>
        <v>Cassowaries</v>
      </c>
      <c r="E564" s="30">
        <f>IFERROR(__xludf.DUMMYFUNCTION("""COMPUTED_VALUE"""),36.0)</f>
        <v>36</v>
      </c>
      <c r="F564" s="30">
        <f>IFERROR(__xludf.DUMMYFUNCTION("""COMPUTED_VALUE"""),27.0)</f>
        <v>27</v>
      </c>
      <c r="G564" s="42">
        <f>IFERROR(__xludf.DUMMYFUNCTION("""COMPUTED_VALUE"""),9.0)</f>
        <v>9</v>
      </c>
      <c r="H564" s="42">
        <f>IFERROR(__xludf.DUMMYFUNCTION("""COMPUTED_VALUE"""),0.75)</f>
        <v>0.75</v>
      </c>
      <c r="I564" s="42">
        <f>IFERROR(__xludf.DUMMYFUNCTION("""COMPUTED_VALUE"""),0.34782608695652173)</f>
        <v>0.347826087</v>
      </c>
      <c r="J564" s="30">
        <f>IFERROR(__xludf.DUMMYFUNCTION("""COMPUTED_VALUE"""),435.8611111111111)</f>
        <v>435.8611111</v>
      </c>
      <c r="K564" s="30">
        <f>IFERROR(__xludf.DUMMYFUNCTION("""COMPUTED_VALUE"""),1.1111111111111112)</f>
        <v>1.111111111</v>
      </c>
      <c r="L564" s="30">
        <f>IFERROR(__xludf.DUMMYFUNCTION("""COMPUTED_VALUE"""),0.9722222222222222)</f>
        <v>0.9722222222</v>
      </c>
      <c r="M564" s="30">
        <f>IFERROR(__xludf.DUMMYFUNCTION("""COMPUTED_VALUE"""),1.4166666666666667)</f>
        <v>1.416666667</v>
      </c>
      <c r="N564" s="30">
        <f>IFERROR(__xludf.DUMMYFUNCTION("""COMPUTED_VALUE"""),3.1944444444444446)</f>
        <v>3.194444444</v>
      </c>
      <c r="O564" s="30">
        <f>IFERROR(__xludf.DUMMYFUNCTION("""COMPUTED_VALUE"""),322.08333333333326)</f>
        <v>322.0833333</v>
      </c>
      <c r="P564" s="30">
        <f>IFERROR(__xludf.DUMMYFUNCTION("""COMPUTED_VALUE"""),0.7129629629629631)</f>
        <v>0.712962963</v>
      </c>
      <c r="Q564" s="30">
        <f>IFERROR(__xludf.DUMMYFUNCTION("""COMPUTED_VALUE"""),0.44444444444444453)</f>
        <v>0.4444444444</v>
      </c>
      <c r="R564" s="30">
        <f>IFERROR(__xludf.DUMMYFUNCTION("""COMPUTED_VALUE"""),1.2777777777777777)</f>
        <v>1.277777778</v>
      </c>
      <c r="S564" s="30">
        <f>IFERROR(__xludf.DUMMYFUNCTION("""COMPUTED_VALUE"""),2.398148148148147)</f>
        <v>2.398148148</v>
      </c>
      <c r="T564" s="30">
        <f>IFERROR(__xludf.DUMMYFUNCTION("""COMPUTED_VALUE"""),316.4738613322481)</f>
        <v>316.4738613</v>
      </c>
      <c r="U564" s="30">
        <f>IFERROR(__xludf.DUMMYFUNCTION("""COMPUTED_VALUE"""),0.6802615228983347)</f>
        <v>0.6802615229</v>
      </c>
      <c r="V564" s="30">
        <f>IFERROR(__xludf.DUMMYFUNCTION("""COMPUTED_VALUE"""),0.4476486266373476)</f>
        <v>0.4476486266</v>
      </c>
      <c r="W564" s="30">
        <f>IFERROR(__xludf.DUMMYFUNCTION("""COMPUTED_VALUE"""),1.2048384271228598)</f>
        <v>1.204838427</v>
      </c>
      <c r="X564" s="30">
        <f>IFERROR(__xludf.DUMMYFUNCTION("""COMPUTED_VALUE"""),2.319022296670239)</f>
        <v>2.319022297</v>
      </c>
      <c r="Y564" s="30">
        <f>IFERROR(__xludf.DUMMYFUNCTION("""COMPUTED_VALUE"""),345.9012490151765)</f>
        <v>345.901249</v>
      </c>
      <c r="Z564" s="30">
        <f>IFERROR(__xludf.DUMMYFUNCTION("""COMPUTED_VALUE"""),0.8379194763209228)</f>
        <v>0.8379194763</v>
      </c>
      <c r="AA564" s="30">
        <f>IFERROR(__xludf.DUMMYFUNCTION("""COMPUTED_VALUE"""),0.5879163744889324)</f>
        <v>0.5879163745</v>
      </c>
      <c r="AB564" s="30">
        <f>IFERROR(__xludf.DUMMYFUNCTION("""COMPUTED_VALUE"""),1.2111797856103057)</f>
        <v>1.211179786</v>
      </c>
      <c r="AC564" s="30">
        <f>IFERROR(__xludf.DUMMYFUNCTION("""COMPUTED_VALUE"""),2.5374191106794735)</f>
        <v>2.537419111</v>
      </c>
      <c r="AD564" s="30">
        <f>IFERROR(__xludf.DUMMYFUNCTION("""COMPUTED_VALUE"""),1.26007382844688)</f>
        <v>1.260073828</v>
      </c>
      <c r="AE564" s="30">
        <f>IFERROR(__xludf.DUMMYFUNCTION("""COMPUTED_VALUE"""),1.3260356663264337)</f>
        <v>1.326035666</v>
      </c>
      <c r="AF564" s="30">
        <f>IFERROR(__xludf.DUMMYFUNCTION("""COMPUTED_VALUE"""),1.6536743394285651)</f>
        <v>1.653674339</v>
      </c>
      <c r="AG564" s="30">
        <f>IFERROR(__xludf.DUMMYFUNCTION("""COMPUTED_VALUE"""),1.1696584466630753)</f>
        <v>1.169658447</v>
      </c>
      <c r="AH564" s="30">
        <f>IFERROR(__xludf.DUMMYFUNCTION("""COMPUTED_VALUE"""),1.258934494108477)</f>
        <v>1.258934494</v>
      </c>
      <c r="AI564" s="30">
        <f>IFERROR(__xludf.DUMMYFUNCTION("""COMPUTED_VALUE"""),1.0177249140812805)</f>
        <v>1.017724914</v>
      </c>
      <c r="AJ564" s="30">
        <f>IFERROR(__xludf.DUMMYFUNCTION("""COMPUTED_VALUE"""),1.0480718649576122)</f>
        <v>1.048071865</v>
      </c>
      <c r="AK564" s="30">
        <f>IFERROR(__xludf.DUMMYFUNCTION("""COMPUTED_VALUE"""),0.9928421936263442)</f>
        <v>0.9928421936</v>
      </c>
      <c r="AL564" s="30">
        <f>IFERROR(__xludf.DUMMYFUNCTION("""COMPUTED_VALUE"""),1.0605386988105088)</f>
        <v>1.060538699</v>
      </c>
      <c r="AM564" s="30">
        <f>IFERROR(__xludf.DUMMYFUNCTION("""COMPUTED_VALUE"""),1.0341203495936717)</f>
        <v>1.03412035</v>
      </c>
      <c r="AN564" s="30">
        <f>IFERROR(__xludf.DUMMYFUNCTION("""COMPUTED_VALUE"""),1.3259668625183232)</f>
        <v>1.325966863</v>
      </c>
      <c r="AO564" s="30">
        <f>IFERROR(__xludf.DUMMYFUNCTION("""COMPUTED_VALUE"""),1.4652739890182167)</f>
        <v>1.465273989</v>
      </c>
      <c r="AP564" s="30">
        <f>IFERROR(__xludf.DUMMYFUNCTION("""COMPUTED_VALUE"""),1.8855333884770242)</f>
        <v>1.885533388</v>
      </c>
      <c r="AQ564" s="30">
        <f>IFERROR(__xludf.DUMMYFUNCTION("""COMPUTED_VALUE"""),1.1813410360272774)</f>
        <v>1.181341036</v>
      </c>
      <c r="AR564" s="30">
        <f>IFERROR(__xludf.DUMMYFUNCTION("""COMPUTED_VALUE"""),1.3317189708484665)</f>
        <v>1.331718971</v>
      </c>
      <c r="AS564" s="30">
        <f>IFERROR(__xludf.DUMMYFUNCTION("""COMPUTED_VALUE"""),113.0)</f>
        <v>113</v>
      </c>
      <c r="AT564" s="30">
        <f>IFERROR(__xludf.DUMMYFUNCTION("""COMPUTED_VALUE"""),0.6498327469893497)</f>
        <v>0.649832747</v>
      </c>
      <c r="AU564" s="30">
        <f>IFERROR(__xludf.DUMMYFUNCTION("""COMPUTED_VALUE"""),4.840763811341232)</f>
        <v>4.840763811</v>
      </c>
      <c r="AV564" s="32">
        <f>IFERROR(__xludf.DUMMYFUNCTION("""COMPUTED_VALUE"""),98.59032183317451)</f>
        <v>98.59032183</v>
      </c>
      <c r="AW564" s="32">
        <f>IFERROR(__xludf.DUMMYFUNCTION("""COMPUTED_VALUE"""),38.50437290712368)</f>
        <v>38.50437291</v>
      </c>
      <c r="AX564" s="32">
        <f>IFERROR(__xludf.DUMMYFUNCTION("""COMPUTED_VALUE"""),83.22348421753212)</f>
        <v>83.22348422</v>
      </c>
      <c r="AY564" s="32">
        <f>IFERROR(__xludf.DUMMYFUNCTION("""COMPUTED_VALUE"""),10.877370083596587)</f>
        <v>10.87737008</v>
      </c>
      <c r="AZ564" s="30">
        <f>IFERROR(__xludf.DUMMYFUNCTION("""COMPUTED_VALUE"""),27.627002823527093)</f>
        <v>27.62700282</v>
      </c>
      <c r="BA564" s="30">
        <f>IFERROR(__xludf.DUMMYFUNCTION("""COMPUTED_VALUE"""),2300.0)</f>
        <v>2300</v>
      </c>
    </row>
    <row r="565">
      <c r="A565" s="71" t="str">
        <f>IFERROR(__xludf.DUMMYFUNCTION("""COMPUTED_VALUE"""),"Challenger")</f>
        <v>Challenger</v>
      </c>
      <c r="B565" s="71" t="str">
        <f>IFERROR(__xludf.DUMMYFUNCTION("""COMPUTED_VALUE"""),"RSC006413")</f>
        <v>RSC006413</v>
      </c>
      <c r="C565" s="30" t="str">
        <f>IFERROR(__xludf.DUMMYFUNCTION("""COMPUTED_VALUE"""),"BlueFlre")</f>
        <v>BlueFlre</v>
      </c>
      <c r="D565" s="30" t="str">
        <f>IFERROR(__xludf.DUMMYFUNCTION("""COMPUTED_VALUE"""),"Shade")</f>
        <v>Shade</v>
      </c>
      <c r="E565" s="30">
        <f>IFERROR(__xludf.DUMMYFUNCTION("""COMPUTED_VALUE"""),15.0)</f>
        <v>15</v>
      </c>
      <c r="F565" s="30">
        <f>IFERROR(__xludf.DUMMYFUNCTION("""COMPUTED_VALUE"""),6.0)</f>
        <v>6</v>
      </c>
      <c r="G565" s="42">
        <f>IFERROR(__xludf.DUMMYFUNCTION("""COMPUTED_VALUE"""),9.0)</f>
        <v>9</v>
      </c>
      <c r="H565" s="42">
        <f>IFERROR(__xludf.DUMMYFUNCTION("""COMPUTED_VALUE"""),0.4)</f>
        <v>0.4</v>
      </c>
      <c r="I565" s="42">
        <f>IFERROR(__xludf.DUMMYFUNCTION("""COMPUTED_VALUE"""),0.11538461538461539)</f>
        <v>0.1153846154</v>
      </c>
      <c r="J565" s="30">
        <f>IFERROR(__xludf.DUMMYFUNCTION("""COMPUTED_VALUE"""),250.66666666666666)</f>
        <v>250.6666667</v>
      </c>
      <c r="K565" s="30">
        <f>IFERROR(__xludf.DUMMYFUNCTION("""COMPUTED_VALUE"""),0.2)</f>
        <v>0.2</v>
      </c>
      <c r="L565" s="30">
        <f>IFERROR(__xludf.DUMMYFUNCTION("""COMPUTED_VALUE"""),0.3333333333333333)</f>
        <v>0.3333333333</v>
      </c>
      <c r="M565" s="30">
        <f>IFERROR(__xludf.DUMMYFUNCTION("""COMPUTED_VALUE"""),1.0)</f>
        <v>1</v>
      </c>
      <c r="N565" s="30">
        <f>IFERROR(__xludf.DUMMYFUNCTION("""COMPUTED_VALUE"""),1.7333333333333334)</f>
        <v>1.733333333</v>
      </c>
      <c r="O565" s="30">
        <f>IFERROR(__xludf.DUMMYFUNCTION("""COMPUTED_VALUE"""),310.0666666666667)</f>
        <v>310.0666667</v>
      </c>
      <c r="P565" s="30">
        <f>IFERROR(__xludf.DUMMYFUNCTION("""COMPUTED_VALUE"""),0.688888888888889)</f>
        <v>0.6888888889</v>
      </c>
      <c r="Q565" s="30">
        <f>IFERROR(__xludf.DUMMYFUNCTION("""COMPUTED_VALUE"""),0.4444444444444444)</f>
        <v>0.4444444444</v>
      </c>
      <c r="R565" s="30">
        <f>IFERROR(__xludf.DUMMYFUNCTION("""COMPUTED_VALUE"""),1.2444444444444442)</f>
        <v>1.244444444</v>
      </c>
      <c r="S565" s="30">
        <f>IFERROR(__xludf.DUMMYFUNCTION("""COMPUTED_VALUE"""),1.9555555555555555)</f>
        <v>1.955555556</v>
      </c>
      <c r="T565" s="30">
        <f>IFERROR(__xludf.DUMMYFUNCTION("""COMPUTED_VALUE"""),328.11713955179846)</f>
        <v>328.1171396</v>
      </c>
      <c r="U565" s="30">
        <f>IFERROR(__xludf.DUMMYFUNCTION("""COMPUTED_VALUE"""),0.7369806029938858)</f>
        <v>0.736980603</v>
      </c>
      <c r="V565" s="30">
        <f>IFERROR(__xludf.DUMMYFUNCTION("""COMPUTED_VALUE"""),0.4751522488724682)</f>
        <v>0.4751522489</v>
      </c>
      <c r="W565" s="30">
        <f>IFERROR(__xludf.DUMMYFUNCTION("""COMPUTED_VALUE"""),1.247348631009553)</f>
        <v>1.247348631</v>
      </c>
      <c r="X565" s="30">
        <f>IFERROR(__xludf.DUMMYFUNCTION("""COMPUTED_VALUE"""),2.387009041450112)</f>
        <v>2.387009041</v>
      </c>
      <c r="Y565" s="30">
        <f>IFERROR(__xludf.DUMMYFUNCTION("""COMPUTED_VALUE"""),343.04926194631565)</f>
        <v>343.0492619</v>
      </c>
      <c r="Z565" s="30">
        <f>IFERROR(__xludf.DUMMYFUNCTION("""COMPUTED_VALUE"""),0.7777280136400772)</f>
        <v>0.7777280136</v>
      </c>
      <c r="AA565" s="30">
        <f>IFERROR(__xludf.DUMMYFUNCTION("""COMPUTED_VALUE"""),0.5470112730874906)</f>
        <v>0.5470112731</v>
      </c>
      <c r="AB565" s="30">
        <f>IFERROR(__xludf.DUMMYFUNCTION("""COMPUTED_VALUE"""),1.228025614839059)</f>
        <v>1.228025615</v>
      </c>
      <c r="AC565" s="30">
        <f>IFERROR(__xludf.DUMMYFUNCTION("""COMPUTED_VALUE"""),2.5395535835600667)</f>
        <v>2.539553584</v>
      </c>
      <c r="AD565" s="30">
        <f>IFERROR(__xludf.DUMMYFUNCTION("""COMPUTED_VALUE"""),0.7307016643746457)</f>
        <v>0.7307016644</v>
      </c>
      <c r="AE565" s="30">
        <f>IFERROR(__xludf.DUMMYFUNCTION("""COMPUTED_VALUE"""),0.2571593108288851)</f>
        <v>0.2571593108</v>
      </c>
      <c r="AF565" s="30">
        <f>IFERROR(__xludf.DUMMYFUNCTION("""COMPUTED_VALUE"""),0.6093719631259208)</f>
        <v>0.6093719631</v>
      </c>
      <c r="AG565" s="30">
        <f>IFERROR(__xludf.DUMMYFUNCTION("""COMPUTED_VALUE"""),0.8143152617635396)</f>
        <v>0.8143152618</v>
      </c>
      <c r="AH565" s="30">
        <f>IFERROR(__xludf.DUMMYFUNCTION("""COMPUTED_VALUE"""),0.6825346567027204)</f>
        <v>0.6825346567</v>
      </c>
      <c r="AI565" s="30">
        <f>IFERROR(__xludf.DUMMYFUNCTION("""COMPUTED_VALUE"""),0.9449877171616565)</f>
        <v>0.9449877172</v>
      </c>
      <c r="AJ565" s="30">
        <f>IFERROR(__xludf.DUMMYFUNCTION("""COMPUTED_VALUE"""),0.9347449391345842)</f>
        <v>0.9347449391</v>
      </c>
      <c r="AK565" s="30">
        <f>IFERROR(__xludf.DUMMYFUNCTION("""COMPUTED_VALUE"""),0.9353727052731138)</f>
        <v>0.9353727053</v>
      </c>
      <c r="AL565" s="30">
        <f>IFERROR(__xludf.DUMMYFUNCTION("""COMPUTED_VALUE"""),0.9976717122279132)</f>
        <v>0.9976717122</v>
      </c>
      <c r="AM565" s="30">
        <f>IFERROR(__xludf.DUMMYFUNCTION("""COMPUTED_VALUE"""),0.8192493290128269)</f>
        <v>0.819249329</v>
      </c>
      <c r="AN565" s="30">
        <f>IFERROR(__xludf.DUMMYFUNCTION("""COMPUTED_VALUE"""),0.7625724917064145)</f>
        <v>0.7625724917</v>
      </c>
      <c r="AO565" s="30">
        <f>IFERROR(__xludf.DUMMYFUNCTION("""COMPUTED_VALUE"""),0.263749318023279)</f>
        <v>0.263749318</v>
      </c>
      <c r="AP565" s="30">
        <f>IFERROR(__xludf.DUMMYFUNCTION("""COMPUTED_VALUE"""),0.6464685903349797)</f>
        <v>0.6464685903</v>
      </c>
      <c r="AQ565" s="30">
        <f>IFERROR(__xludf.DUMMYFUNCTION("""COMPUTED_VALUE"""),0.8338877901369016)</f>
        <v>0.8338877901</v>
      </c>
      <c r="AR565" s="30">
        <f>IFERROR(__xludf.DUMMYFUNCTION("""COMPUTED_VALUE"""),0.7226022937473419)</f>
        <v>0.7226022937</v>
      </c>
      <c r="AS565" s="30">
        <f>IFERROR(__xludf.DUMMYFUNCTION("""COMPUTED_VALUE"""),20.0)</f>
        <v>20</v>
      </c>
      <c r="AT565" s="30">
        <f>IFERROR(__xludf.DUMMYFUNCTION("""COMPUTED_VALUE"""),0.34917336426230006)</f>
        <v>0.3491733643</v>
      </c>
      <c r="AU565" s="30">
        <f>IFERROR(__xludf.DUMMYFUNCTION("""COMPUTED_VALUE"""),1.388419030590195)</f>
        <v>1.388419031</v>
      </c>
      <c r="AV565" s="32">
        <f>IFERROR(__xludf.DUMMYFUNCTION("""COMPUTED_VALUE"""),7.302876849199848)</f>
        <v>7.302876849</v>
      </c>
      <c r="AW565" s="32">
        <f>IFERROR(__xludf.DUMMYFUNCTION("""COMPUTED_VALUE"""),-22.816022723039787)</f>
        <v>-22.81602272</v>
      </c>
      <c r="AX565" s="32">
        <f>IFERROR(__xludf.DUMMYFUNCTION("""COMPUTED_VALUE"""),32.04441652097671)</f>
        <v>32.04441652</v>
      </c>
      <c r="AY565" s="32">
        <f>IFERROR(__xludf.DUMMYFUNCTION("""COMPUTED_VALUE"""),-4.231733183454886)</f>
        <v>-4.231733183</v>
      </c>
      <c r="AZ565" s="30">
        <f>IFERROR(__xludf.DUMMYFUNCTION("""COMPUTED_VALUE"""),18.5842895395849)</f>
        <v>18.58428954</v>
      </c>
      <c r="BA565" s="30">
        <f>IFERROR(__xludf.DUMMYFUNCTION("""COMPUTED_VALUE"""),2300.0)</f>
        <v>2300</v>
      </c>
    </row>
    <row r="566">
      <c r="A566" s="71" t="str">
        <f>IFERROR(__xludf.DUMMYFUNCTION("""COMPUTED_VALUE"""),"Challenger")</f>
        <v>Challenger</v>
      </c>
      <c r="B566" s="71" t="str">
        <f>IFERROR(__xludf.DUMMYFUNCTION("""COMPUTED_VALUE"""),"RSC007118")</f>
        <v>RSC007118</v>
      </c>
      <c r="C566" s="30" t="str">
        <f>IFERROR(__xludf.DUMMYFUNCTION("""COMPUTED_VALUE"""),"Vampress Maru")</f>
        <v>Vampress Maru</v>
      </c>
      <c r="D566" s="30" t="str">
        <f>IFERROR(__xludf.DUMMYFUNCTION("""COMPUTED_VALUE"""),"Bingo")</f>
        <v>Bingo</v>
      </c>
      <c r="E566" s="30">
        <f>IFERROR(__xludf.DUMMYFUNCTION("""COMPUTED_VALUE"""),9.0)</f>
        <v>9</v>
      </c>
      <c r="F566" s="30">
        <f>IFERROR(__xludf.DUMMYFUNCTION("""COMPUTED_VALUE"""),0.0)</f>
        <v>0</v>
      </c>
      <c r="G566" s="42">
        <f>IFERROR(__xludf.DUMMYFUNCTION("""COMPUTED_VALUE"""),9.0)</f>
        <v>9</v>
      </c>
      <c r="H566" s="42">
        <f>IFERROR(__xludf.DUMMYFUNCTION("""COMPUTED_VALUE"""),0.0)</f>
        <v>0</v>
      </c>
      <c r="I566" s="42">
        <f>IFERROR(__xludf.DUMMYFUNCTION("""COMPUTED_VALUE"""),0.31250000000000006)</f>
        <v>0.3125</v>
      </c>
      <c r="J566" s="30">
        <f>IFERROR(__xludf.DUMMYFUNCTION("""COMPUTED_VALUE"""),275.55555555555554)</f>
        <v>275.5555556</v>
      </c>
      <c r="K566" s="30">
        <f>IFERROR(__xludf.DUMMYFUNCTION("""COMPUTED_VALUE"""),0.5555555555555556)</f>
        <v>0.5555555556</v>
      </c>
      <c r="L566" s="30">
        <f>IFERROR(__xludf.DUMMYFUNCTION("""COMPUTED_VALUE"""),0.1111111111111111)</f>
        <v>0.1111111111</v>
      </c>
      <c r="M566" s="30">
        <f>IFERROR(__xludf.DUMMYFUNCTION("""COMPUTED_VALUE"""),1.6666666666666667)</f>
        <v>1.666666667</v>
      </c>
      <c r="N566" s="30">
        <f>IFERROR(__xludf.DUMMYFUNCTION("""COMPUTED_VALUE"""),1.7777777777777777)</f>
        <v>1.777777778</v>
      </c>
      <c r="O566" s="30">
        <f>IFERROR(__xludf.DUMMYFUNCTION("""COMPUTED_VALUE"""),379.3703703703704)</f>
        <v>379.3703704</v>
      </c>
      <c r="P566" s="30">
        <f>IFERROR(__xludf.DUMMYFUNCTION("""COMPUTED_VALUE"""),1.2222222222222223)</f>
        <v>1.222222222</v>
      </c>
      <c r="Q566" s="30">
        <f>IFERROR(__xludf.DUMMYFUNCTION("""COMPUTED_VALUE"""),0.9259259259259258)</f>
        <v>0.9259259259</v>
      </c>
      <c r="R566" s="30">
        <f>IFERROR(__xludf.DUMMYFUNCTION("""COMPUTED_VALUE"""),0.8518518518518517)</f>
        <v>0.8518518519</v>
      </c>
      <c r="S566" s="30">
        <f>IFERROR(__xludf.DUMMYFUNCTION("""COMPUTED_VALUE"""),3.2962962962962963)</f>
        <v>3.296296296</v>
      </c>
      <c r="T566" s="30">
        <f>IFERROR(__xludf.DUMMYFUNCTION("""COMPUTED_VALUE"""),340.0048316749269)</f>
        <v>340.0048317</v>
      </c>
      <c r="U566" s="30">
        <f>IFERROR(__xludf.DUMMYFUNCTION("""COMPUTED_VALUE"""),0.8546611744532225)</f>
        <v>0.8546611745</v>
      </c>
      <c r="V566" s="30">
        <f>IFERROR(__xludf.DUMMYFUNCTION("""COMPUTED_VALUE"""),0.5847681005091185)</f>
        <v>0.5847681005</v>
      </c>
      <c r="W566" s="30">
        <f>IFERROR(__xludf.DUMMYFUNCTION("""COMPUTED_VALUE"""),1.0394508244514347)</f>
        <v>1.039450824</v>
      </c>
      <c r="X566" s="30">
        <f>IFERROR(__xludf.DUMMYFUNCTION("""COMPUTED_VALUE"""),2.8187797309705496)</f>
        <v>2.818779731</v>
      </c>
      <c r="Y566" s="30">
        <f>IFERROR(__xludf.DUMMYFUNCTION("""COMPUTED_VALUE"""),320.1071355223055)</f>
        <v>320.1071355</v>
      </c>
      <c r="Z566" s="30">
        <f>IFERROR(__xludf.DUMMYFUNCTION("""COMPUTED_VALUE"""),0.6235377019868292)</f>
        <v>0.623537702</v>
      </c>
      <c r="AA566" s="30">
        <f>IFERROR(__xludf.DUMMYFUNCTION("""COMPUTED_VALUE"""),0.4619712245920397)</f>
        <v>0.4619712246</v>
      </c>
      <c r="AB566" s="30">
        <f>IFERROR(__xludf.DUMMYFUNCTION("""COMPUTED_VALUE"""),1.2893990780826785)</f>
        <v>1.289399078</v>
      </c>
      <c r="AC566" s="30">
        <f>IFERROR(__xludf.DUMMYFUNCTION("""COMPUTED_VALUE"""),2.135287083875031)</f>
        <v>2.135287084</v>
      </c>
      <c r="AD566" s="30">
        <f>IFERROR(__xludf.DUMMYFUNCTION("""COMPUTED_VALUE"""),0.8608229088862484)</f>
        <v>0.8608229089</v>
      </c>
      <c r="AE566" s="30">
        <f>IFERROR(__xludf.DUMMYFUNCTION("""COMPUTED_VALUE"""),0.8909734788856286)</f>
        <v>0.8909734789</v>
      </c>
      <c r="AF566" s="30">
        <f>IFERROR(__xludf.DUMMYFUNCTION("""COMPUTED_VALUE"""),0.24051522085435464)</f>
        <v>0.2405152209</v>
      </c>
      <c r="AG566" s="30">
        <f>IFERROR(__xludf.DUMMYFUNCTION("""COMPUTED_VALUE"""),1.292591793337545)</f>
        <v>1.292591793</v>
      </c>
      <c r="AH566" s="30">
        <f>IFERROR(__xludf.DUMMYFUNCTION("""COMPUTED_VALUE"""),0.8325708478278901)</f>
        <v>0.8325708478</v>
      </c>
      <c r="AI566" s="30">
        <f>IFERROR(__xludf.DUMMYFUNCTION("""COMPUTED_VALUE"""),1.1157793508448735)</f>
        <v>1.115779351</v>
      </c>
      <c r="AJ566" s="30">
        <f>IFERROR(__xludf.DUMMYFUNCTION("""COMPUTED_VALUE"""),1.430066392104626)</f>
        <v>1.430066392</v>
      </c>
      <c r="AK566" s="30">
        <f>IFERROR(__xludf.DUMMYFUNCTION("""COMPUTED_VALUE"""),1.583407037969041)</f>
        <v>1.583407038</v>
      </c>
      <c r="AL566" s="30">
        <f>IFERROR(__xludf.DUMMYFUNCTION("""COMPUTED_VALUE"""),0.819521069985598)</f>
        <v>0.81952107</v>
      </c>
      <c r="AM566" s="30">
        <f>IFERROR(__xludf.DUMMYFUNCTION("""COMPUTED_VALUE"""),1.1694054203949205)</f>
        <v>1.16940542</v>
      </c>
      <c r="AN566" s="30">
        <f>IFERROR(__xludf.DUMMYFUNCTION("""COMPUTED_VALUE"""),0.8382889093226542)</f>
        <v>0.8382889093</v>
      </c>
      <c r="AO566" s="30">
        <f>IFERROR(__xludf.DUMMYFUNCTION("""COMPUTED_VALUE"""),0.7326369945091084)</f>
        <v>0.7326369945</v>
      </c>
      <c r="AP566" s="30">
        <f>IFERROR(__xludf.DUMMYFUNCTION("""COMPUTED_VALUE"""),0.2154895301116599)</f>
        <v>0.2154895301</v>
      </c>
      <c r="AQ566" s="30">
        <f>IFERROR(__xludf.DUMMYFUNCTION("""COMPUTED_VALUE"""),1.3898129835615027)</f>
        <v>1.389812984</v>
      </c>
      <c r="AR566" s="30">
        <f>IFERROR(__xludf.DUMMYFUNCTION("""COMPUTED_VALUE"""),0.7411305576895812)</f>
        <v>0.7411305577</v>
      </c>
      <c r="AS566" s="30">
        <f>IFERROR(__xludf.DUMMYFUNCTION("""COMPUTED_VALUE"""),10.0)</f>
        <v>10</v>
      </c>
      <c r="AT566" s="30">
        <f>IFERROR(__xludf.DUMMYFUNCTION("""COMPUTED_VALUE"""),0.13350566975068476)</f>
        <v>0.1335056698</v>
      </c>
      <c r="AU566" s="30">
        <f>IFERROR(__xludf.DUMMYFUNCTION("""COMPUTED_VALUE"""),1.3011159914964952)</f>
        <v>1.301115991</v>
      </c>
      <c r="AV566" s="32">
        <f>IFERROR(__xludf.DUMMYFUNCTION("""COMPUTED_VALUE"""),4.994396125421687)</f>
        <v>4.994396125</v>
      </c>
      <c r="AW566" s="32">
        <f>IFERROR(__xludf.DUMMYFUNCTION("""COMPUTED_VALUE"""),-27.84536031480958)</f>
        <v>-27.84536031</v>
      </c>
      <c r="AX566" s="32">
        <f>IFERROR(__xludf.DUMMYFUNCTION("""COMPUTED_VALUE"""),13.085091432917814)</f>
        <v>13.08509143</v>
      </c>
      <c r="AY566" s="32">
        <f>IFERROR(__xludf.DUMMYFUNCTION("""COMPUTED_VALUE"""),-14.307802192267152)</f>
        <v>-14.30780219</v>
      </c>
      <c r="AZ566" s="30">
        <f>IFERROR(__xludf.DUMMYFUNCTION("""COMPUTED_VALUE"""),13.537558122542427)</f>
        <v>13.53755812</v>
      </c>
      <c r="BA566" s="30">
        <f>IFERROR(__xludf.DUMMYFUNCTION("""COMPUTED_VALUE"""),2300.0)</f>
        <v>2300</v>
      </c>
    </row>
    <row r="567">
      <c r="A567" s="71" t="str">
        <f>IFERROR(__xludf.DUMMYFUNCTION("""COMPUTED_VALUE"""),"Challenger")</f>
        <v>Challenger</v>
      </c>
      <c r="B567" s="71" t="str">
        <f>IFERROR(__xludf.DUMMYFUNCTION("""COMPUTED_VALUE"""),"RSC006066")</f>
        <v>RSC006066</v>
      </c>
      <c r="C567" s="30" t="str">
        <f>IFERROR(__xludf.DUMMYFUNCTION("""COMPUTED_VALUE"""),"GoldenTiger5")</f>
        <v>GoldenTiger5</v>
      </c>
      <c r="D567" s="30"/>
      <c r="E567" s="30">
        <f>IFERROR(__xludf.DUMMYFUNCTION("""COMPUTED_VALUE"""),4.0)</f>
        <v>4</v>
      </c>
      <c r="F567" s="30">
        <f>IFERROR(__xludf.DUMMYFUNCTION("""COMPUTED_VALUE"""),0.0)</f>
        <v>0</v>
      </c>
      <c r="G567" s="42">
        <f>IFERROR(__xludf.DUMMYFUNCTION("""COMPUTED_VALUE"""),4.0)</f>
        <v>4</v>
      </c>
      <c r="H567" s="42">
        <f>IFERROR(__xludf.DUMMYFUNCTION("""COMPUTED_VALUE"""),0.0)</f>
        <v>0</v>
      </c>
      <c r="I567" s="42">
        <f>IFERROR(__xludf.DUMMYFUNCTION("""COMPUTED_VALUE"""),0.08333333333333333)</f>
        <v>0.08333333333</v>
      </c>
      <c r="J567" s="30">
        <f>IFERROR(__xludf.DUMMYFUNCTION("""COMPUTED_VALUE"""),286.25)</f>
        <v>286.25</v>
      </c>
      <c r="K567" s="30">
        <f>IFERROR(__xludf.DUMMYFUNCTION("""COMPUTED_VALUE"""),0.25)</f>
        <v>0.25</v>
      </c>
      <c r="L567" s="30">
        <f>IFERROR(__xludf.DUMMYFUNCTION("""COMPUTED_VALUE"""),0.25)</f>
        <v>0.25</v>
      </c>
      <c r="M567" s="30">
        <f>IFERROR(__xludf.DUMMYFUNCTION("""COMPUTED_VALUE"""),1.5)</f>
        <v>1.5</v>
      </c>
      <c r="N567" s="30">
        <f>IFERROR(__xludf.DUMMYFUNCTION("""COMPUTED_VALUE"""),3.0)</f>
        <v>3</v>
      </c>
      <c r="O567" s="30">
        <f>IFERROR(__xludf.DUMMYFUNCTION("""COMPUTED_VALUE"""),483.1666666666667)</f>
        <v>483.1666667</v>
      </c>
      <c r="P567" s="30">
        <f>IFERROR(__xludf.DUMMYFUNCTION("""COMPUTED_VALUE"""),0.8333333333333333)</f>
        <v>0.8333333333</v>
      </c>
      <c r="Q567" s="30">
        <f>IFERROR(__xludf.DUMMYFUNCTION("""COMPUTED_VALUE"""),0.41666666666666663)</f>
        <v>0.4166666667</v>
      </c>
      <c r="R567" s="30">
        <f>IFERROR(__xludf.DUMMYFUNCTION("""COMPUTED_VALUE"""),2.4166666666666665)</f>
        <v>2.416666667</v>
      </c>
      <c r="S567" s="30">
        <f>IFERROR(__xludf.DUMMYFUNCTION("""COMPUTED_VALUE"""),3.666666666666667)</f>
        <v>3.666666667</v>
      </c>
      <c r="T567" s="30">
        <f>IFERROR(__xludf.DUMMYFUNCTION("""COMPUTED_VALUE"""),345.09552299552297)</f>
        <v>345.095523</v>
      </c>
      <c r="U567" s="30">
        <f>IFERROR(__xludf.DUMMYFUNCTION("""COMPUTED_VALUE"""),0.663939763939764)</f>
        <v>0.6639397639</v>
      </c>
      <c r="V567" s="30">
        <f>IFERROR(__xludf.DUMMYFUNCTION("""COMPUTED_VALUE"""),0.40309320309320307)</f>
        <v>0.4030932031</v>
      </c>
      <c r="W567" s="30">
        <f>IFERROR(__xludf.DUMMYFUNCTION("""COMPUTED_VALUE"""),1.4942409442409443)</f>
        <v>1.494240944</v>
      </c>
      <c r="X567" s="30">
        <f>IFERROR(__xludf.DUMMYFUNCTION("""COMPUTED_VALUE"""),2.4766585266585266)</f>
        <v>2.476658527</v>
      </c>
      <c r="Y567" s="30">
        <f>IFERROR(__xludf.DUMMYFUNCTION("""COMPUTED_VALUE"""),339.67337539004205)</f>
        <v>339.6733754</v>
      </c>
      <c r="Z567" s="30">
        <f>IFERROR(__xludf.DUMMYFUNCTION("""COMPUTED_VALUE"""),0.7558404558404558)</f>
        <v>0.7558404558</v>
      </c>
      <c r="AA567" s="30">
        <f>IFERROR(__xludf.DUMMYFUNCTION("""COMPUTED_VALUE"""),0.5212929046262379)</f>
        <v>0.5212929046</v>
      </c>
      <c r="AB567" s="30">
        <f>IFERROR(__xludf.DUMMYFUNCTION("""COMPUTED_VALUE"""),1.2298602631935964)</f>
        <v>1.229860263</v>
      </c>
      <c r="AC567" s="30">
        <f>IFERROR(__xludf.DUMMYFUNCTION("""COMPUTED_VALUE"""),2.7242436575769915)</f>
        <v>2.724243658</v>
      </c>
      <c r="AD567" s="30">
        <f>IFERROR(__xludf.DUMMYFUNCTION("""COMPUTED_VALUE"""),0.8427213339029096)</f>
        <v>0.8427213339</v>
      </c>
      <c r="AE567" s="30">
        <f>IFERROR(__xludf.DUMMYFUNCTION("""COMPUTED_VALUE"""),0.33075763286845083)</f>
        <v>0.3307576329</v>
      </c>
      <c r="AF567" s="30">
        <f>IFERROR(__xludf.DUMMYFUNCTION("""COMPUTED_VALUE"""),0.47957683248968763)</f>
        <v>0.4795768325</v>
      </c>
      <c r="AG567" s="30">
        <f>IFERROR(__xludf.DUMMYFUNCTION("""COMPUTED_VALUE"""),1.2196507561801595)</f>
        <v>1.219650756</v>
      </c>
      <c r="AH567" s="30">
        <f>IFERROR(__xludf.DUMMYFUNCTION("""COMPUTED_VALUE"""),1.1012230832055137)</f>
        <v>1.101223083</v>
      </c>
      <c r="AI567" s="30">
        <f>IFERROR(__xludf.DUMMYFUNCTION("""COMPUTED_VALUE"""),1.4000954358162883)</f>
        <v>1.400095436</v>
      </c>
      <c r="AJ567" s="30">
        <f>IFERROR(__xludf.DUMMYFUNCTION("""COMPUTED_VALUE"""),1.2551339422546435)</f>
        <v>1.255133942</v>
      </c>
      <c r="AK567" s="30">
        <f>IFERROR(__xludf.DUMMYFUNCTION("""COMPUTED_VALUE"""),1.0336732633279482)</f>
        <v>1.033673263</v>
      </c>
      <c r="AL567" s="30">
        <f>IFERROR(__xludf.DUMMYFUNCTION("""COMPUTED_VALUE"""),1.6173206041374424)</f>
        <v>1.617320604</v>
      </c>
      <c r="AM567" s="30">
        <f>IFERROR(__xludf.DUMMYFUNCTION("""COMPUTED_VALUE"""),1.48048938810054)</f>
        <v>1.480489388</v>
      </c>
      <c r="AN567" s="30">
        <f>IFERROR(__xludf.DUMMYFUNCTION("""COMPUTED_VALUE"""),0.8708233075171322)</f>
        <v>0.8708233075</v>
      </c>
      <c r="AO567" s="30">
        <f>IFERROR(__xludf.DUMMYFUNCTION("""COMPUTED_VALUE"""),0.32968664752909876)</f>
        <v>0.3296866475</v>
      </c>
      <c r="AP567" s="30">
        <f>IFERROR(__xludf.DUMMYFUNCTION("""COMPUTED_VALUE"""),0.4848514427512348)</f>
        <v>0.4848514428</v>
      </c>
      <c r="AQ567" s="30">
        <f>IFERROR(__xludf.DUMMYFUNCTION("""COMPUTED_VALUE"""),1.2508316852053525)</f>
        <v>1.250831685</v>
      </c>
      <c r="AR567" s="30">
        <f>IFERROR(__xludf.DUMMYFUNCTION("""COMPUTED_VALUE"""),1.2506578161011686)</f>
        <v>1.250657816</v>
      </c>
      <c r="AS567" s="30">
        <f>IFERROR(__xludf.DUMMYFUNCTION("""COMPUTED_VALUE"""),5.0)</f>
        <v>5</v>
      </c>
      <c r="AT567" s="30">
        <f>IFERROR(__xludf.DUMMYFUNCTION("""COMPUTED_VALUE"""),0.26641002694967897)</f>
        <v>0.2664100269</v>
      </c>
      <c r="AU567" s="30">
        <f>IFERROR(__xludf.DUMMYFUNCTION("""COMPUTED_VALUE"""),1.5863496532114616)</f>
        <v>1.586349653</v>
      </c>
      <c r="AV567" s="32">
        <f>IFERROR(__xludf.DUMMYFUNCTION("""COMPUTED_VALUE"""),12.536589577988202)</f>
        <v>12.53658958</v>
      </c>
      <c r="AW567" s="32">
        <f>IFERROR(__xludf.DUMMYFUNCTION("""COMPUTED_VALUE"""),-14.926048326938862)</f>
        <v>-14.92604833</v>
      </c>
      <c r="AX567" s="32">
        <f>IFERROR(__xludf.DUMMYFUNCTION("""COMPUTED_VALUE"""),5.608848702583295)</f>
        <v>5.608848703</v>
      </c>
      <c r="AY567" s="32">
        <f>IFERROR(__xludf.DUMMYFUNCTION("""COMPUTED_VALUE"""),-26.38826188638657)</f>
        <v>-26.38826189</v>
      </c>
      <c r="AZ567" s="30">
        <f>IFERROR(__xludf.DUMMYFUNCTION("""COMPUTED_VALUE"""),11.462213559447708)</f>
        <v>11.46221356</v>
      </c>
      <c r="BA567" s="30">
        <f>IFERROR(__xludf.DUMMYFUNCTION("""COMPUTED_VALUE"""),2300.0)</f>
        <v>2300</v>
      </c>
    </row>
    <row r="568">
      <c r="A568" s="71" t="str">
        <f>IFERROR(__xludf.DUMMYFUNCTION("""COMPUTED_VALUE"""),"Challenger")</f>
        <v>Challenger</v>
      </c>
      <c r="B568" s="71" t="str">
        <f>IFERROR(__xludf.DUMMYFUNCTION("""COMPUTED_VALUE"""),"RSC005154")</f>
        <v>RSC005154</v>
      </c>
      <c r="C568" s="30" t="str">
        <f>IFERROR(__xludf.DUMMYFUNCTION("""COMPUTED_VALUE"""),"TacoBae")</f>
        <v>TacoBae</v>
      </c>
      <c r="D568" s="30"/>
      <c r="E568" s="30">
        <f>IFERROR(__xludf.DUMMYFUNCTION("""COMPUTED_VALUE"""),32.0)</f>
        <v>32</v>
      </c>
      <c r="F568" s="30">
        <f>IFERROR(__xludf.DUMMYFUNCTION("""COMPUTED_VALUE"""),9.0)</f>
        <v>9</v>
      </c>
      <c r="G568" s="42">
        <f>IFERROR(__xludf.DUMMYFUNCTION("""COMPUTED_VALUE"""),23.0)</f>
        <v>23</v>
      </c>
      <c r="H568" s="42">
        <f>IFERROR(__xludf.DUMMYFUNCTION("""COMPUTED_VALUE"""),0.28125)</f>
        <v>0.28125</v>
      </c>
      <c r="I568" s="42">
        <f>IFERROR(__xludf.DUMMYFUNCTION("""COMPUTED_VALUE"""),0.22807017543859648)</f>
        <v>0.2280701754</v>
      </c>
      <c r="J568" s="30">
        <f>IFERROR(__xludf.DUMMYFUNCTION("""COMPUTED_VALUE"""),239.65625)</f>
        <v>239.65625</v>
      </c>
      <c r="K568" s="30">
        <f>IFERROR(__xludf.DUMMYFUNCTION("""COMPUTED_VALUE"""),0.40625)</f>
        <v>0.40625</v>
      </c>
      <c r="L568" s="30">
        <f>IFERROR(__xludf.DUMMYFUNCTION("""COMPUTED_VALUE"""),0.4375)</f>
        <v>0.4375</v>
      </c>
      <c r="M568" s="30">
        <f>IFERROR(__xludf.DUMMYFUNCTION("""COMPUTED_VALUE"""),0.8125)</f>
        <v>0.8125</v>
      </c>
      <c r="N568" s="30">
        <f>IFERROR(__xludf.DUMMYFUNCTION("""COMPUTED_VALUE"""),1.78125)</f>
        <v>1.78125</v>
      </c>
      <c r="O568" s="30">
        <f>IFERROR(__xludf.DUMMYFUNCTION("""COMPUTED_VALUE"""),367.7083333333334)</f>
        <v>367.7083333</v>
      </c>
      <c r="P568" s="30">
        <f>IFERROR(__xludf.DUMMYFUNCTION("""COMPUTED_VALUE"""),1.09375)</f>
        <v>1.09375</v>
      </c>
      <c r="Q568" s="30">
        <f>IFERROR(__xludf.DUMMYFUNCTION("""COMPUTED_VALUE"""),0.6770833333333333)</f>
        <v>0.6770833333</v>
      </c>
      <c r="R568" s="30">
        <f>IFERROR(__xludf.DUMMYFUNCTION("""COMPUTED_VALUE"""),1.0729166666666667)</f>
        <v>1.072916667</v>
      </c>
      <c r="S568" s="30">
        <f>IFERROR(__xludf.DUMMYFUNCTION("""COMPUTED_VALUE"""),2.5729166666666665)</f>
        <v>2.572916667</v>
      </c>
      <c r="T568" s="30">
        <f>IFERROR(__xludf.DUMMYFUNCTION("""COMPUTED_VALUE"""),339.5925193998377)</f>
        <v>339.5925194</v>
      </c>
      <c r="U568" s="30">
        <f>IFERROR(__xludf.DUMMYFUNCTION("""COMPUTED_VALUE"""),0.7558584380604669)</f>
        <v>0.7558584381</v>
      </c>
      <c r="V568" s="30">
        <f>IFERROR(__xludf.DUMMYFUNCTION("""COMPUTED_VALUE"""),0.5138589995790015)</f>
        <v>0.5138589996</v>
      </c>
      <c r="W568" s="30">
        <f>IFERROR(__xludf.DUMMYFUNCTION("""COMPUTED_VALUE"""),1.3212409269293488)</f>
        <v>1.321240927</v>
      </c>
      <c r="X568" s="30">
        <f>IFERROR(__xludf.DUMMYFUNCTION("""COMPUTED_VALUE"""),2.3859940390740855)</f>
        <v>2.385994039</v>
      </c>
      <c r="Y568" s="30">
        <f>IFERROR(__xludf.DUMMYFUNCTION("""COMPUTED_VALUE"""),337.31635959055626)</f>
        <v>337.3163596</v>
      </c>
      <c r="Z568" s="30">
        <f>IFERROR(__xludf.DUMMYFUNCTION("""COMPUTED_VALUE"""),0.7827292766148444)</f>
        <v>0.7827292766</v>
      </c>
      <c r="AA568" s="30">
        <f>IFERROR(__xludf.DUMMYFUNCTION("""COMPUTED_VALUE"""),0.529793787449849)</f>
        <v>0.5297937874</v>
      </c>
      <c r="AB568" s="30">
        <f>IFERROR(__xludf.DUMMYFUNCTION("""COMPUTED_VALUE"""),1.1787913377686685)</f>
        <v>1.178791338</v>
      </c>
      <c r="AC568" s="30">
        <f>IFERROR(__xludf.DUMMYFUNCTION("""COMPUTED_VALUE"""),2.515736319454333)</f>
        <v>2.515736319</v>
      </c>
      <c r="AD568" s="30">
        <f>IFERROR(__xludf.DUMMYFUNCTION("""COMPUTED_VALUE"""),0.7104791783324748)</f>
        <v>0.7104791783</v>
      </c>
      <c r="AE568" s="30">
        <f>IFERROR(__xludf.DUMMYFUNCTION("""COMPUTED_VALUE"""),0.5190172542886784)</f>
        <v>0.5190172543</v>
      </c>
      <c r="AF568" s="30">
        <f>IFERROR(__xludf.DUMMYFUNCTION("""COMPUTED_VALUE"""),0.8257929978867756)</f>
        <v>0.8257929979</v>
      </c>
      <c r="AG568" s="30">
        <f>IFERROR(__xludf.DUMMYFUNCTION("""COMPUTED_VALUE"""),0.6892653296366933)</f>
        <v>0.6892653296</v>
      </c>
      <c r="AH568" s="30">
        <f>IFERROR(__xludf.DUMMYFUNCTION("""COMPUTED_VALUE"""),0.7080432023918769)</f>
        <v>0.7080432024</v>
      </c>
      <c r="AI568" s="30">
        <f>IFERROR(__xludf.DUMMYFUNCTION("""COMPUTED_VALUE"""),1.0827927952688263)</f>
        <v>1.082792795</v>
      </c>
      <c r="AJ568" s="30">
        <f>IFERROR(__xludf.DUMMYFUNCTION("""COMPUTED_VALUE"""),1.4470302174658034)</f>
        <v>1.447030217</v>
      </c>
      <c r="AK568" s="30">
        <f>IFERROR(__xludf.DUMMYFUNCTION("""COMPUTED_VALUE"""),1.3176442056829976)</f>
        <v>1.317644206</v>
      </c>
      <c r="AL568" s="30">
        <f>IFERROR(__xludf.DUMMYFUNCTION("""COMPUTED_VALUE"""),0.8120522493654476)</f>
        <v>0.8120522494</v>
      </c>
      <c r="AM568" s="30">
        <f>IFERROR(__xludf.DUMMYFUNCTION("""COMPUTED_VALUE"""),1.0783416154992234)</f>
        <v>1.078341615</v>
      </c>
      <c r="AN568" s="30">
        <f>IFERROR(__xludf.DUMMYFUNCTION("""COMPUTED_VALUE"""),0.7290768499289179)</f>
        <v>0.7290768499</v>
      </c>
      <c r="AO568" s="30">
        <f>IFERROR(__xludf.DUMMYFUNCTION("""COMPUTED_VALUE"""),0.5357408022347855)</f>
        <v>0.5357408022</v>
      </c>
      <c r="AP568" s="30">
        <f>IFERROR(__xludf.DUMMYFUNCTION("""COMPUTED_VALUE"""),0.8484900248146608)</f>
        <v>0.8484900248</v>
      </c>
      <c r="AQ568" s="30">
        <f>IFERROR(__xludf.DUMMYFUNCTION("""COMPUTED_VALUE"""),0.6775338294862325)</f>
        <v>0.6775338295</v>
      </c>
      <c r="AR568" s="30">
        <f>IFERROR(__xludf.DUMMYFUNCTION("""COMPUTED_VALUE"""),0.7425780783100688)</f>
        <v>0.7425780783</v>
      </c>
      <c r="AS568" s="30">
        <f>IFERROR(__xludf.DUMMYFUNCTION("""COMPUTED_VALUE"""),62.0)</f>
        <v>62</v>
      </c>
      <c r="AT568" s="30">
        <f>IFERROR(__xludf.DUMMYFUNCTION("""COMPUTED_VALUE"""),0.30017503239458027)</f>
        <v>0.3001750324</v>
      </c>
      <c r="AU568" s="30">
        <f>IFERROR(__xludf.DUMMYFUNCTION("""COMPUTED_VALUE"""),1.4254051494693598)</f>
        <v>1.425405149</v>
      </c>
      <c r="AV568" s="32">
        <f>IFERROR(__xludf.DUMMYFUNCTION("""COMPUTED_VALUE"""),8.280869635777208)</f>
        <v>8.280869636</v>
      </c>
      <c r="AW568" s="32">
        <f>IFERROR(__xludf.DUMMYFUNCTION("""COMPUTED_VALUE"""),-21.01636859482968)</f>
        <v>-21.01636859</v>
      </c>
      <c r="AX568" s="32">
        <f>IFERROR(__xludf.DUMMYFUNCTION("""COMPUTED_VALUE"""),18.33750189848357)</f>
        <v>18.3375019</v>
      </c>
      <c r="AY568" s="32">
        <f>IFERROR(__xludf.DUMMYFUNCTION("""COMPUTED_VALUE"""),-9.740220687653512)</f>
        <v>-9.740220688</v>
      </c>
      <c r="AZ568" s="30">
        <f>IFERROR(__xludf.DUMMYFUNCTION("""COMPUTED_VALUE"""),11.276147907176167)</f>
        <v>11.27614791</v>
      </c>
      <c r="BA568" s="30">
        <f>IFERROR(__xludf.DUMMYFUNCTION("""COMPUTED_VALUE"""),2300.0)</f>
        <v>2300</v>
      </c>
    </row>
    <row r="569">
      <c r="A569" s="71" t="str">
        <f>IFERROR(__xludf.DUMMYFUNCTION("""COMPUTED_VALUE"""),"Challenger")</f>
        <v>Challenger</v>
      </c>
      <c r="B569" s="71" t="str">
        <f>IFERROR(__xludf.DUMMYFUNCTION("""COMPUTED_VALUE"""),"RSC007447")</f>
        <v>RSC007447</v>
      </c>
      <c r="C569" s="30" t="str">
        <f>IFERROR(__xludf.DUMMYFUNCTION("""COMPUTED_VALUE"""),"1R3IGN")</f>
        <v>1R3IGN</v>
      </c>
      <c r="D569" s="30"/>
      <c r="E569" s="30">
        <f>IFERROR(__xludf.DUMMYFUNCTION("""COMPUTED_VALUE"""),10.0)</f>
        <v>10</v>
      </c>
      <c r="F569" s="30">
        <f>IFERROR(__xludf.DUMMYFUNCTION("""COMPUTED_VALUE"""),3.0)</f>
        <v>3</v>
      </c>
      <c r="G569" s="42">
        <f>IFERROR(__xludf.DUMMYFUNCTION("""COMPUTED_VALUE"""),7.0)</f>
        <v>7</v>
      </c>
      <c r="H569" s="42">
        <f>IFERROR(__xludf.DUMMYFUNCTION("""COMPUTED_VALUE"""),0.3)</f>
        <v>0.3</v>
      </c>
      <c r="I569" s="42">
        <f>IFERROR(__xludf.DUMMYFUNCTION("""COMPUTED_VALUE"""),0.35714285714285715)</f>
        <v>0.3571428571</v>
      </c>
      <c r="J569" s="30">
        <f>IFERROR(__xludf.DUMMYFUNCTION("""COMPUTED_VALUE"""),228.9)</f>
        <v>228.9</v>
      </c>
      <c r="K569" s="30">
        <f>IFERROR(__xludf.DUMMYFUNCTION("""COMPUTED_VALUE"""),0.5)</f>
        <v>0.5</v>
      </c>
      <c r="L569" s="30">
        <f>IFERROR(__xludf.DUMMYFUNCTION("""COMPUTED_VALUE"""),0.4)</f>
        <v>0.4</v>
      </c>
      <c r="M569" s="30">
        <f>IFERROR(__xludf.DUMMYFUNCTION("""COMPUTED_VALUE"""),0.7)</f>
        <v>0.7</v>
      </c>
      <c r="N569" s="30">
        <f>IFERROR(__xludf.DUMMYFUNCTION("""COMPUTED_VALUE"""),1.4)</f>
        <v>1.4</v>
      </c>
      <c r="O569" s="30">
        <f>IFERROR(__xludf.DUMMYFUNCTION("""COMPUTED_VALUE"""),331.49999999999994)</f>
        <v>331.5</v>
      </c>
      <c r="P569" s="30">
        <f>IFERROR(__xludf.DUMMYFUNCTION("""COMPUTED_VALUE"""),0.8666666666666666)</f>
        <v>0.8666666667</v>
      </c>
      <c r="Q569" s="30">
        <f>IFERROR(__xludf.DUMMYFUNCTION("""COMPUTED_VALUE"""),0.5666666666666667)</f>
        <v>0.5666666667</v>
      </c>
      <c r="R569" s="30">
        <f>IFERROR(__xludf.DUMMYFUNCTION("""COMPUTED_VALUE"""),0.9333333333333333)</f>
        <v>0.9333333333</v>
      </c>
      <c r="S569" s="30">
        <f>IFERROR(__xludf.DUMMYFUNCTION("""COMPUTED_VALUE"""),2.2)</f>
        <v>2.2</v>
      </c>
      <c r="T569" s="30">
        <f>IFERROR(__xludf.DUMMYFUNCTION("""COMPUTED_VALUE"""),323.26428725407095)</f>
        <v>323.2642873</v>
      </c>
      <c r="U569" s="30">
        <f>IFERROR(__xludf.DUMMYFUNCTION("""COMPUTED_VALUE"""),0.8061362406000626)</f>
        <v>0.8061362406</v>
      </c>
      <c r="V569" s="30">
        <f>IFERROR(__xludf.DUMMYFUNCTION("""COMPUTED_VALUE"""),0.4766332052362712)</f>
        <v>0.4766332052</v>
      </c>
      <c r="W569" s="30">
        <f>IFERROR(__xludf.DUMMYFUNCTION("""COMPUTED_VALUE"""),1.0433788835456668)</f>
        <v>1.043378884</v>
      </c>
      <c r="X569" s="30">
        <f>IFERROR(__xludf.DUMMYFUNCTION("""COMPUTED_VALUE"""),2.320616121540794)</f>
        <v>2.320616122</v>
      </c>
      <c r="Y569" s="30">
        <f>IFERROR(__xludf.DUMMYFUNCTION("""COMPUTED_VALUE"""),328.8108442758181)</f>
        <v>328.8108443</v>
      </c>
      <c r="Z569" s="30">
        <f>IFERROR(__xludf.DUMMYFUNCTION("""COMPUTED_VALUE"""),0.7953028335690457)</f>
        <v>0.7953028336</v>
      </c>
      <c r="AA569" s="30">
        <f>IFERROR(__xludf.DUMMYFUNCTION("""COMPUTED_VALUE"""),0.5275433627602059)</f>
        <v>0.5275433628</v>
      </c>
      <c r="AB569" s="30">
        <f>IFERROR(__xludf.DUMMYFUNCTION("""COMPUTED_VALUE"""),1.1524968334615378)</f>
        <v>1.152496833</v>
      </c>
      <c r="AC569" s="30">
        <f>IFERROR(__xludf.DUMMYFUNCTION("""COMPUTED_VALUE"""),2.3309929267877694)</f>
        <v>2.330992927</v>
      </c>
      <c r="AD569" s="30">
        <f>IFERROR(__xludf.DUMMYFUNCTION("""COMPUTED_VALUE"""),0.6961449233955028)</f>
        <v>0.6961449234</v>
      </c>
      <c r="AE569" s="30">
        <f>IFERROR(__xludf.DUMMYFUNCTION("""COMPUTED_VALUE"""),0.6286913347915182)</f>
        <v>0.6286913348</v>
      </c>
      <c r="AF569" s="30">
        <f>IFERROR(__xludf.DUMMYFUNCTION("""COMPUTED_VALUE"""),0.7582315089836881)</f>
        <v>0.758231509</v>
      </c>
      <c r="AG569" s="30">
        <f>IFERROR(__xludf.DUMMYFUNCTION("""COMPUTED_VALUE"""),0.6073769399413808)</f>
        <v>0.6073769399</v>
      </c>
      <c r="AH569" s="30">
        <f>IFERROR(__xludf.DUMMYFUNCTION("""COMPUTED_VALUE"""),0.6006024230752486)</f>
        <v>0.6006024231</v>
      </c>
      <c r="AI569" s="30">
        <f>IFERROR(__xludf.DUMMYFUNCTION("""COMPUTED_VALUE"""),1.025476716948495)</f>
        <v>1.025476717</v>
      </c>
      <c r="AJ569" s="30">
        <f>IFERROR(__xludf.DUMMYFUNCTION("""COMPUTED_VALUE"""),1.0750870920051268)</f>
        <v>1.075087092</v>
      </c>
      <c r="AK569" s="30">
        <f>IFERROR(__xludf.DUMMYFUNCTION("""COMPUTED_VALUE"""),1.1888946477947653)</f>
        <v>1.188894648</v>
      </c>
      <c r="AL569" s="30">
        <f>IFERROR(__xludf.DUMMYFUNCTION("""COMPUTED_VALUE"""),0.8945296364074662)</f>
        <v>0.8945296364</v>
      </c>
      <c r="AM569" s="30">
        <f>IFERROR(__xludf.DUMMYFUNCTION("""COMPUTED_VALUE"""),0.9480240956609791)</f>
        <v>0.9480240957</v>
      </c>
      <c r="AN569" s="30">
        <f>IFERROR(__xludf.DUMMYFUNCTION("""COMPUTED_VALUE"""),0.6963544282643549)</f>
        <v>0.6963544283</v>
      </c>
      <c r="AO569" s="30">
        <f>IFERROR(__xludf.DUMMYFUNCTION("""COMPUTED_VALUE"""),0.6593732950581975)</f>
        <v>0.6593732951</v>
      </c>
      <c r="AP569" s="30">
        <f>IFERROR(__xludf.DUMMYFUNCTION("""COMPUTED_VALUE"""),0.7757623084019757)</f>
        <v>0.7757623084</v>
      </c>
      <c r="AQ569" s="30">
        <f>IFERROR(__xludf.DUMMYFUNCTION("""COMPUTED_VALUE"""),0.5837214530958311)</f>
        <v>0.5837214531</v>
      </c>
      <c r="AR569" s="30">
        <f>IFERROR(__xludf.DUMMYFUNCTION("""COMPUTED_VALUE"""),0.5836403141805453)</f>
        <v>0.5836403142</v>
      </c>
      <c r="AS569" s="30">
        <f>IFERROR(__xludf.DUMMYFUNCTION("""COMPUTED_VALUE"""),14.0)</f>
        <v>14</v>
      </c>
      <c r="AT569" s="30">
        <f>IFERROR(__xludf.DUMMYFUNCTION("""COMPUTED_VALUE"""),0.2846462935742301)</f>
        <v>0.2846462936</v>
      </c>
      <c r="AU569" s="30">
        <f>IFERROR(__xludf.DUMMYFUNCTION("""COMPUTED_VALUE"""),1.5267900361216684)</f>
        <v>1.526790036</v>
      </c>
      <c r="AV569" s="32">
        <f>IFERROR(__xludf.DUMMYFUNCTION("""COMPUTED_VALUE"""),10.96170479282248)</f>
        <v>10.96170479</v>
      </c>
      <c r="AW569" s="32">
        <f>IFERROR(__xludf.DUMMYFUNCTION("""COMPUTED_VALUE"""),-16.892130886024276)</f>
        <v>-16.89213089</v>
      </c>
      <c r="AX569" s="32">
        <f>IFERROR(__xludf.DUMMYFUNCTION("""COMPUTED_VALUE"""),24.202354990671438)</f>
        <v>24.20235499</v>
      </c>
      <c r="AY569" s="32">
        <f>IFERROR(__xludf.DUMMYFUNCTION("""COMPUTED_VALUE"""),-6.619968340678924)</f>
        <v>-6.619968341</v>
      </c>
      <c r="AZ569" s="30">
        <f>IFERROR(__xludf.DUMMYFUNCTION("""COMPUTED_VALUE"""),10.272162545345353)</f>
        <v>10.27216255</v>
      </c>
      <c r="BA569" s="30">
        <f>IFERROR(__xludf.DUMMYFUNCTION("""COMPUTED_VALUE"""),2300.0)</f>
        <v>2300</v>
      </c>
    </row>
    <row r="570">
      <c r="A570" s="71" t="str">
        <f>IFERROR(__xludf.DUMMYFUNCTION("""COMPUTED_VALUE"""),"Challenger")</f>
        <v>Challenger</v>
      </c>
      <c r="B570" s="71" t="str">
        <f>IFERROR(__xludf.DUMMYFUNCTION("""COMPUTED_VALUE"""),"RSC006353")</f>
        <v>RSC006353</v>
      </c>
      <c r="C570" s="30" t="str">
        <f>IFERROR(__xludf.DUMMYFUNCTION("""COMPUTED_VALUE"""),"Novarchite")</f>
        <v>Novarchite</v>
      </c>
      <c r="D570" s="30"/>
      <c r="E570" s="30">
        <f>IFERROR(__xludf.DUMMYFUNCTION("""COMPUTED_VALUE"""),4.0)</f>
        <v>4</v>
      </c>
      <c r="F570" s="30">
        <f>IFERROR(__xludf.DUMMYFUNCTION("""COMPUTED_VALUE"""),3.0)</f>
        <v>3</v>
      </c>
      <c r="G570" s="42">
        <f>IFERROR(__xludf.DUMMYFUNCTION("""COMPUTED_VALUE"""),1.0)</f>
        <v>1</v>
      </c>
      <c r="H570" s="42">
        <f>IFERROR(__xludf.DUMMYFUNCTION("""COMPUTED_VALUE"""),0.75)</f>
        <v>0.75</v>
      </c>
      <c r="I570" s="42">
        <f>IFERROR(__xludf.DUMMYFUNCTION("""COMPUTED_VALUE"""),0.13333333333333333)</f>
        <v>0.1333333333</v>
      </c>
      <c r="J570" s="30">
        <f>IFERROR(__xludf.DUMMYFUNCTION("""COMPUTED_VALUE"""),270.0)</f>
        <v>270</v>
      </c>
      <c r="K570" s="30">
        <f>IFERROR(__xludf.DUMMYFUNCTION("""COMPUTED_VALUE"""),0.5)</f>
        <v>0.5</v>
      </c>
      <c r="L570" s="30">
        <f>IFERROR(__xludf.DUMMYFUNCTION("""COMPUTED_VALUE"""),0.75)</f>
        <v>0.75</v>
      </c>
      <c r="M570" s="30">
        <f>IFERROR(__xludf.DUMMYFUNCTION("""COMPUTED_VALUE"""),0.5)</f>
        <v>0.5</v>
      </c>
      <c r="N570" s="30">
        <f>IFERROR(__xludf.DUMMYFUNCTION("""COMPUTED_VALUE"""),3.75)</f>
        <v>3.75</v>
      </c>
      <c r="O570" s="30">
        <f>IFERROR(__xludf.DUMMYFUNCTION("""COMPUTED_VALUE"""),293.5)</f>
        <v>293.5</v>
      </c>
      <c r="P570" s="30">
        <f>IFERROR(__xludf.DUMMYFUNCTION("""COMPUTED_VALUE"""),0.49999999999999994)</f>
        <v>0.5</v>
      </c>
      <c r="Q570" s="30">
        <f>IFERROR(__xludf.DUMMYFUNCTION("""COMPUTED_VALUE"""),0.25)</f>
        <v>0.25</v>
      </c>
      <c r="R570" s="30">
        <f>IFERROR(__xludf.DUMMYFUNCTION("""COMPUTED_VALUE"""),1.4166666666666665)</f>
        <v>1.416666667</v>
      </c>
      <c r="S570" s="30">
        <f>IFERROR(__xludf.DUMMYFUNCTION("""COMPUTED_VALUE"""),1.75)</f>
        <v>1.75</v>
      </c>
      <c r="T570" s="30">
        <f>IFERROR(__xludf.DUMMYFUNCTION("""COMPUTED_VALUE"""),334.767894265233)</f>
        <v>334.7678943</v>
      </c>
      <c r="U570" s="30">
        <f>IFERROR(__xludf.DUMMYFUNCTION("""COMPUTED_VALUE"""),0.611356886840758)</f>
        <v>0.6113568868</v>
      </c>
      <c r="V570" s="30">
        <f>IFERROR(__xludf.DUMMYFUNCTION("""COMPUTED_VALUE"""),0.42346390168970816)</f>
        <v>0.4234639017</v>
      </c>
      <c r="W570" s="30">
        <f>IFERROR(__xludf.DUMMYFUNCTION("""COMPUTED_VALUE"""),1.4985215053763443)</f>
        <v>1.498521505</v>
      </c>
      <c r="X570" s="30">
        <f>IFERROR(__xludf.DUMMYFUNCTION("""COMPUTED_VALUE"""),2.007153097798259)</f>
        <v>2.007153098</v>
      </c>
      <c r="Y570" s="30">
        <f>IFERROR(__xludf.DUMMYFUNCTION("""COMPUTED_VALUE"""),346.637585338795)</f>
        <v>346.6375853</v>
      </c>
      <c r="Z570" s="30">
        <f>IFERROR(__xludf.DUMMYFUNCTION("""COMPUTED_VALUE"""),0.7762877624167948)</f>
        <v>0.7762877624</v>
      </c>
      <c r="AA570" s="30">
        <f>IFERROR(__xludf.DUMMYFUNCTION("""COMPUTED_VALUE"""),0.5471142686465265)</f>
        <v>0.5471142686</v>
      </c>
      <c r="AB570" s="30">
        <f>IFERROR(__xludf.DUMMYFUNCTION("""COMPUTED_VALUE"""),1.0394593787335722)</f>
        <v>1.039459379</v>
      </c>
      <c r="AC570" s="30">
        <f>IFERROR(__xludf.DUMMYFUNCTION("""COMPUTED_VALUE"""),2.891429424816522)</f>
        <v>2.891429425</v>
      </c>
      <c r="AD570" s="30">
        <f>IFERROR(__xludf.DUMMYFUNCTION("""COMPUTED_VALUE"""),0.7789114955209161)</f>
        <v>0.7789114955</v>
      </c>
      <c r="AE570" s="30">
        <f>IFERROR(__xludf.DUMMYFUNCTION("""COMPUTED_VALUE"""),0.6440910500036277)</f>
        <v>0.64409105</v>
      </c>
      <c r="AF570" s="30">
        <f>IFERROR(__xludf.DUMMYFUNCTION("""COMPUTED_VALUE"""),1.3708288066684506)</f>
        <v>1.370828807</v>
      </c>
      <c r="AG570" s="30">
        <f>IFERROR(__xludf.DUMMYFUNCTION("""COMPUTED_VALUE"""),0.48101927812626616)</f>
        <v>0.4810192781</v>
      </c>
      <c r="AH570" s="30">
        <f>IFERROR(__xludf.DUMMYFUNCTION("""COMPUTED_VALUE"""),1.2969363761102208)</f>
        <v>1.296936376</v>
      </c>
      <c r="AI570" s="30">
        <f>IFERROR(__xludf.DUMMYFUNCTION("""COMPUTED_VALUE"""),0.8767268457573865)</f>
        <v>0.8767268458</v>
      </c>
      <c r="AJ570" s="30">
        <f>IFERROR(__xludf.DUMMYFUNCTION("""COMPUTED_VALUE"""),0.8178528953583809)</f>
        <v>0.8178528954</v>
      </c>
      <c r="AK570" s="30">
        <f>IFERROR(__xludf.DUMMYFUNCTION("""COMPUTED_VALUE"""),0.5903690940418972)</f>
        <v>0.590369094</v>
      </c>
      <c r="AL570" s="30">
        <f>IFERROR(__xludf.DUMMYFUNCTION("""COMPUTED_VALUE"""),0.9453762669297693)</f>
        <v>0.9453762669</v>
      </c>
      <c r="AM570" s="30">
        <f>IFERROR(__xludf.DUMMYFUNCTION("""COMPUTED_VALUE"""),0.8718816725638207)</f>
        <v>0.8718816726</v>
      </c>
      <c r="AN570" s="30">
        <f>IFERROR(__xludf.DUMMYFUNCTION("""COMPUTED_VALUE"""),0.8213879232476007)</f>
        <v>0.8213879232</v>
      </c>
      <c r="AO570" s="30">
        <f>IFERROR(__xludf.DUMMYFUNCTION("""COMPUTED_VALUE"""),0.6593732950581975)</f>
        <v>0.6593732951</v>
      </c>
      <c r="AP570" s="30">
        <f>IFERROR(__xludf.DUMMYFUNCTION("""COMPUTED_VALUE"""),1.4545543282537043)</f>
        <v>1.454554328</v>
      </c>
      <c r="AQ570" s="30">
        <f>IFERROR(__xludf.DUMMYFUNCTION("""COMPUTED_VALUE"""),0.4169438950684508)</f>
        <v>0.4169438951</v>
      </c>
      <c r="AR570" s="30">
        <f>IFERROR(__xludf.DUMMYFUNCTION("""COMPUTED_VALUE"""),1.5633222701264606)</f>
        <v>1.56332227</v>
      </c>
      <c r="AS570" s="30">
        <f>IFERROR(__xludf.DUMMYFUNCTION("""COMPUTED_VALUE"""),13.0)</f>
        <v>13</v>
      </c>
      <c r="AT570" s="30">
        <f>IFERROR(__xludf.DUMMYFUNCTION("""COMPUTED_VALUE"""),0.7701569207074537)</f>
        <v>0.7701569207</v>
      </c>
      <c r="AU570" s="30">
        <f>IFERROR(__xludf.DUMMYFUNCTION("""COMPUTED_VALUE"""),3.6399411634906134)</f>
        <v>3.639941163</v>
      </c>
      <c r="AV570" s="32">
        <f>IFERROR(__xludf.DUMMYFUNCTION("""COMPUTED_VALUE"""),66.83798005886106)</f>
        <v>66.83798006</v>
      </c>
      <c r="AW570" s="32">
        <f>IFERROR(__xludf.DUMMYFUNCTION("""COMPUTED_VALUE"""),3.995069791611853)</f>
        <v>3.995069792</v>
      </c>
      <c r="AX570" s="32">
        <f>IFERROR(__xludf.DUMMYFUNCTION("""COMPUTED_VALUE"""),39.16340607223939)</f>
        <v>39.16340607</v>
      </c>
      <c r="AY570" s="32">
        <f>IFERROR(__xludf.DUMMYFUNCTION("""COMPUTED_VALUE"""),-3.0089762702475005)</f>
        <v>-3.00897627</v>
      </c>
      <c r="AZ570" s="30">
        <f>IFERROR(__xludf.DUMMYFUNCTION("""COMPUTED_VALUE"""),7.004046061859354)</f>
        <v>7.004046062</v>
      </c>
      <c r="BA570" s="30">
        <f>IFERROR(__xludf.DUMMYFUNCTION("""COMPUTED_VALUE"""),2300.0)</f>
        <v>2300</v>
      </c>
    </row>
    <row r="571">
      <c r="A571" s="71" t="str">
        <f>IFERROR(__xludf.DUMMYFUNCTION("""COMPUTED_VALUE"""),"Challenger")</f>
        <v>Challenger</v>
      </c>
      <c r="B571" s="71" t="str">
        <f>IFERROR(__xludf.DUMMYFUNCTION("""COMPUTED_VALUE"""),"RSC004890")</f>
        <v>RSC004890</v>
      </c>
      <c r="C571" s="30" t="str">
        <f>IFERROR(__xludf.DUMMYFUNCTION("""COMPUTED_VALUE"""),"kamikaze7200")</f>
        <v>kamikaze7200</v>
      </c>
      <c r="D571" s="30" t="str">
        <f>IFERROR(__xludf.DUMMYFUNCTION("""COMPUTED_VALUE"""),"Lilac")</f>
        <v>Lilac</v>
      </c>
      <c r="E571" s="30">
        <f>IFERROR(__xludf.DUMMYFUNCTION("""COMPUTED_VALUE"""),32.0)</f>
        <v>32</v>
      </c>
      <c r="F571" s="30">
        <f>IFERROR(__xludf.DUMMYFUNCTION("""COMPUTED_VALUE"""),20.0)</f>
        <v>20</v>
      </c>
      <c r="G571" s="42">
        <f>IFERROR(__xludf.DUMMYFUNCTION("""COMPUTED_VALUE"""),12.0)</f>
        <v>12</v>
      </c>
      <c r="H571" s="42">
        <f>IFERROR(__xludf.DUMMYFUNCTION("""COMPUTED_VALUE"""),0.625)</f>
        <v>0.625</v>
      </c>
      <c r="I571" s="42">
        <f>IFERROR(__xludf.DUMMYFUNCTION("""COMPUTED_VALUE"""),0.3655913978494624)</f>
        <v>0.3655913978</v>
      </c>
      <c r="J571" s="30">
        <f>IFERROR(__xludf.DUMMYFUNCTION("""COMPUTED_VALUE"""),376.09375)</f>
        <v>376.09375</v>
      </c>
      <c r="K571" s="30">
        <f>IFERROR(__xludf.DUMMYFUNCTION("""COMPUTED_VALUE"""),1.0625)</f>
        <v>1.0625</v>
      </c>
      <c r="L571" s="30">
        <f>IFERROR(__xludf.DUMMYFUNCTION("""COMPUTED_VALUE"""),0.75)</f>
        <v>0.75</v>
      </c>
      <c r="M571" s="30">
        <f>IFERROR(__xludf.DUMMYFUNCTION("""COMPUTED_VALUE"""),1.0)</f>
        <v>1</v>
      </c>
      <c r="N571" s="30">
        <f>IFERROR(__xludf.DUMMYFUNCTION("""COMPUTED_VALUE"""),2.90625)</f>
        <v>2.90625</v>
      </c>
      <c r="O571" s="30">
        <f>IFERROR(__xludf.DUMMYFUNCTION("""COMPUTED_VALUE"""),333.07291666666663)</f>
        <v>333.0729167</v>
      </c>
      <c r="P571" s="30">
        <f>IFERROR(__xludf.DUMMYFUNCTION("""COMPUTED_VALUE"""),0.6458333333333333)</f>
        <v>0.6458333333</v>
      </c>
      <c r="Q571" s="30">
        <f>IFERROR(__xludf.DUMMYFUNCTION("""COMPUTED_VALUE"""),0.5208333333333334)</f>
        <v>0.5208333333</v>
      </c>
      <c r="R571" s="30">
        <f>IFERROR(__xludf.DUMMYFUNCTION("""COMPUTED_VALUE"""),1.40625)</f>
        <v>1.40625</v>
      </c>
      <c r="S571" s="30">
        <f>IFERROR(__xludf.DUMMYFUNCTION("""COMPUTED_VALUE"""),2.15625)</f>
        <v>2.15625</v>
      </c>
      <c r="T571" s="30">
        <f>IFERROR(__xludf.DUMMYFUNCTION("""COMPUTED_VALUE"""),339.04163141851325)</f>
        <v>339.0416314</v>
      </c>
      <c r="U571" s="30">
        <f>IFERROR(__xludf.DUMMYFUNCTION("""COMPUTED_VALUE"""),0.7964649404784261)</f>
        <v>0.7964649405</v>
      </c>
      <c r="V571" s="30">
        <f>IFERROR(__xludf.DUMMYFUNCTION("""COMPUTED_VALUE"""),0.5335426472692364)</f>
        <v>0.5335426473</v>
      </c>
      <c r="W571" s="30">
        <f>IFERROR(__xludf.DUMMYFUNCTION("""COMPUTED_VALUE"""),1.256720582182326)</f>
        <v>1.256720582</v>
      </c>
      <c r="X571" s="30">
        <f>IFERROR(__xludf.DUMMYFUNCTION("""COMPUTED_VALUE"""),2.3736945285212423)</f>
        <v>2.373694529</v>
      </c>
      <c r="Y571" s="30">
        <f>IFERROR(__xludf.DUMMYFUNCTION("""COMPUTED_VALUE"""),338.12912188030555)</f>
        <v>338.1291219</v>
      </c>
      <c r="Z571" s="30">
        <f>IFERROR(__xludf.DUMMYFUNCTION("""COMPUTED_VALUE"""),0.8124966483836479)</f>
        <v>0.8124966484</v>
      </c>
      <c r="AA571" s="30">
        <f>IFERROR(__xludf.DUMMYFUNCTION("""COMPUTED_VALUE"""),0.5719564395416128)</f>
        <v>0.5719564395</v>
      </c>
      <c r="AB571" s="30">
        <f>IFERROR(__xludf.DUMMYFUNCTION("""COMPUTED_VALUE"""),1.1972753302516277)</f>
        <v>1.19727533</v>
      </c>
      <c r="AC571" s="30">
        <f>IFERROR(__xludf.DUMMYFUNCTION("""COMPUTED_VALUE"""),2.5371427694064446)</f>
        <v>2.537142769</v>
      </c>
      <c r="AD571" s="30">
        <f>IFERROR(__xludf.DUMMYFUNCTION("""COMPUTED_VALUE"""),1.1122784926319762)</f>
        <v>1.112278493</v>
      </c>
      <c r="AE571" s="30">
        <f>IFERROR(__xludf.DUMMYFUNCTION("""COMPUTED_VALUE"""),1.3076977020320022)</f>
        <v>1.307697702</v>
      </c>
      <c r="AF571" s="30">
        <f>IFERROR(__xludf.DUMMYFUNCTION("""COMPUTED_VALUE"""),1.311288671915431)</f>
        <v>1.311288672</v>
      </c>
      <c r="AG571" s="30">
        <f>IFERROR(__xludf.DUMMYFUNCTION("""COMPUTED_VALUE"""),0.8352297710751571)</f>
        <v>0.8352297711</v>
      </c>
      <c r="AH571" s="30">
        <f>IFERROR(__xludf.DUMMYFUNCTION("""COMPUTED_VALUE"""),1.1454814585305764)</f>
        <v>1.145481459</v>
      </c>
      <c r="AI571" s="30">
        <f>IFERROR(__xludf.DUMMYFUNCTION("""COMPUTED_VALUE"""),0.9823953337916816)</f>
        <v>0.9823953338</v>
      </c>
      <c r="AJ571" s="30">
        <f>IFERROR(__xludf.DUMMYFUNCTION("""COMPUTED_VALUE"""),0.8108747799311663)</f>
        <v>0.8108747799</v>
      </c>
      <c r="AK571" s="30">
        <f>IFERROR(__xludf.DUMMYFUNCTION("""COMPUTED_VALUE"""),0.9761793850951719)</f>
        <v>0.9761793851</v>
      </c>
      <c r="AL571" s="30">
        <f>IFERROR(__xludf.DUMMYFUNCTION("""COMPUTED_VALUE"""),1.1189838218118562)</f>
        <v>1.118983822</v>
      </c>
      <c r="AM571" s="30">
        <f>IFERROR(__xludf.DUMMYFUNCTION("""COMPUTED_VALUE"""),0.9083940558026625)</f>
        <v>0.9083940558</v>
      </c>
      <c r="AN571" s="30">
        <f>IFERROR(__xludf.DUMMYFUNCTION("""COMPUTED_VALUE"""),1.1441439416996382)</f>
        <v>1.144143942</v>
      </c>
      <c r="AO571" s="30">
        <f>IFERROR(__xludf.DUMMYFUNCTION("""COMPUTED_VALUE"""),1.4011682519986697)</f>
        <v>1.401168252</v>
      </c>
      <c r="AP571" s="30">
        <f>IFERROR(__xludf.DUMMYFUNCTION("""COMPUTED_VALUE"""),1.4545543282537043)</f>
        <v>1.454554328</v>
      </c>
      <c r="AQ571" s="30">
        <f>IFERROR(__xludf.DUMMYFUNCTION("""COMPUTED_VALUE"""),0.8338877901369016)</f>
        <v>0.8338877901</v>
      </c>
      <c r="AR571" s="30">
        <f>IFERROR(__xludf.DUMMYFUNCTION("""COMPUTED_VALUE"""),1.211574759348007)</f>
        <v>1.211574759</v>
      </c>
      <c r="AS571" s="30">
        <f>IFERROR(__xludf.DUMMYFUNCTION("""COMPUTED_VALUE"""),100.0)</f>
        <v>100</v>
      </c>
      <c r="AT571" s="30">
        <f>IFERROR(__xludf.DUMMYFUNCTION("""COMPUTED_VALUE"""),0.6816577318926157)</f>
        <v>0.6816577319</v>
      </c>
      <c r="AU571" s="30">
        <f>IFERROR(__xludf.DUMMYFUNCTION("""COMPUTED_VALUE"""),4.259739544726516)</f>
        <v>4.259739545</v>
      </c>
      <c r="AV571" s="32">
        <f>IFERROR(__xludf.DUMMYFUNCTION("""COMPUTED_VALUE"""),83.22678657195806)</f>
        <v>83.22678657</v>
      </c>
      <c r="AW571" s="32">
        <f>IFERROR(__xludf.DUMMYFUNCTION("""COMPUTED_VALUE"""),10.879948820355574)</f>
        <v>10.87994882</v>
      </c>
      <c r="AX571" s="32">
        <f>IFERROR(__xludf.DUMMYFUNCTION("""COMPUTED_VALUE"""),67.49344489121395)</f>
        <v>67.49344489</v>
      </c>
      <c r="AY571" s="32">
        <f>IFERROR(__xludf.DUMMYFUNCTION("""COMPUTED_VALUE"""),4.131454041553651)</f>
        <v>4.131454042</v>
      </c>
      <c r="AZ571" s="30">
        <f>IFERROR(__xludf.DUMMYFUNCTION("""COMPUTED_VALUE"""),6.748494778801923)</f>
        <v>6.748494779</v>
      </c>
      <c r="BA571" s="30">
        <f>IFERROR(__xludf.DUMMYFUNCTION("""COMPUTED_VALUE"""),2300.0)</f>
        <v>2300</v>
      </c>
    </row>
    <row r="572">
      <c r="A572" s="71" t="str">
        <f>IFERROR(__xludf.DUMMYFUNCTION("""COMPUTED_VALUE"""),"Challenger")</f>
        <v>Challenger</v>
      </c>
      <c r="B572" s="71" t="str">
        <f>IFERROR(__xludf.DUMMYFUNCTION("""COMPUTED_VALUE"""),"RSC004681")</f>
        <v>RSC004681</v>
      </c>
      <c r="C572" s="30" t="str">
        <f>IFERROR(__xludf.DUMMYFUNCTION("""COMPUTED_VALUE"""),"Speciial_Eddy")</f>
        <v>Speciial_Eddy</v>
      </c>
      <c r="D572" s="30" t="str">
        <f>IFERROR(__xludf.DUMMYFUNCTION("""COMPUTED_VALUE"""),"Jock O Lanterns")</f>
        <v>Jock O Lanterns</v>
      </c>
      <c r="E572" s="30">
        <f>IFERROR(__xludf.DUMMYFUNCTION("""COMPUTED_VALUE"""),11.0)</f>
        <v>11</v>
      </c>
      <c r="F572" s="30">
        <f>IFERROR(__xludf.DUMMYFUNCTION("""COMPUTED_VALUE"""),7.0)</f>
        <v>7</v>
      </c>
      <c r="G572" s="42">
        <f>IFERROR(__xludf.DUMMYFUNCTION("""COMPUTED_VALUE"""),4.0)</f>
        <v>4</v>
      </c>
      <c r="H572" s="42">
        <f>IFERROR(__xludf.DUMMYFUNCTION("""COMPUTED_VALUE"""),0.6363636363636364)</f>
        <v>0.6363636364</v>
      </c>
      <c r="I572" s="42">
        <f>IFERROR(__xludf.DUMMYFUNCTION("""COMPUTED_VALUE"""),0.2571428571428572)</f>
        <v>0.2571428571</v>
      </c>
      <c r="J572" s="30">
        <f>IFERROR(__xludf.DUMMYFUNCTION("""COMPUTED_VALUE"""),375.6363636363636)</f>
        <v>375.6363636</v>
      </c>
      <c r="K572" s="30">
        <f>IFERROR(__xludf.DUMMYFUNCTION("""COMPUTED_VALUE"""),0.8181818181818182)</f>
        <v>0.8181818182</v>
      </c>
      <c r="L572" s="30">
        <f>IFERROR(__xludf.DUMMYFUNCTION("""COMPUTED_VALUE"""),0.5454545454545454)</f>
        <v>0.5454545455</v>
      </c>
      <c r="M572" s="30">
        <f>IFERROR(__xludf.DUMMYFUNCTION("""COMPUTED_VALUE"""),1.6363636363636365)</f>
        <v>1.636363636</v>
      </c>
      <c r="N572" s="30">
        <f>IFERROR(__xludf.DUMMYFUNCTION("""COMPUTED_VALUE"""),3.1818181818181817)</f>
        <v>3.181818182</v>
      </c>
      <c r="O572" s="30">
        <f>IFERROR(__xludf.DUMMYFUNCTION("""COMPUTED_VALUE"""),395.3636363636364)</f>
        <v>395.3636364</v>
      </c>
      <c r="P572" s="30">
        <f>IFERROR(__xludf.DUMMYFUNCTION("""COMPUTED_VALUE"""),0.8484848484848485)</f>
        <v>0.8484848485</v>
      </c>
      <c r="Q572" s="30">
        <f>IFERROR(__xludf.DUMMYFUNCTION("""COMPUTED_VALUE"""),0.606060606060606)</f>
        <v>0.6060606061</v>
      </c>
      <c r="R572" s="30">
        <f>IFERROR(__xludf.DUMMYFUNCTION("""COMPUTED_VALUE"""),1.5454545454545454)</f>
        <v>1.545454545</v>
      </c>
      <c r="S572" s="30">
        <f>IFERROR(__xludf.DUMMYFUNCTION("""COMPUTED_VALUE"""),2.8181818181818183)</f>
        <v>2.818181818</v>
      </c>
      <c r="T572" s="30">
        <f>IFERROR(__xludf.DUMMYFUNCTION("""COMPUTED_VALUE"""),339.39131220210766)</f>
        <v>339.3913122</v>
      </c>
      <c r="U572" s="30">
        <f>IFERROR(__xludf.DUMMYFUNCTION("""COMPUTED_VALUE"""),0.8072199265381084)</f>
        <v>0.8072199265</v>
      </c>
      <c r="V572" s="30">
        <f>IFERROR(__xludf.DUMMYFUNCTION("""COMPUTED_VALUE"""),0.6390878481787573)</f>
        <v>0.6390878482</v>
      </c>
      <c r="W572" s="30">
        <f>IFERROR(__xludf.DUMMYFUNCTION("""COMPUTED_VALUE"""),1.14400443832262)</f>
        <v>1.144004438</v>
      </c>
      <c r="X572" s="30">
        <f>IFERROR(__xludf.DUMMYFUNCTION("""COMPUTED_VALUE"""),2.5425950522541436)</f>
        <v>2.542595052</v>
      </c>
      <c r="Y572" s="30">
        <f>IFERROR(__xludf.DUMMYFUNCTION("""COMPUTED_VALUE"""),334.97252512498727)</f>
        <v>334.9725251</v>
      </c>
      <c r="Z572" s="30">
        <f>IFERROR(__xludf.DUMMYFUNCTION("""COMPUTED_VALUE"""),0.7787292113049687)</f>
        <v>0.7787292113</v>
      </c>
      <c r="AA572" s="30">
        <f>IFERROR(__xludf.DUMMYFUNCTION("""COMPUTED_VALUE"""),0.5311156296004781)</f>
        <v>0.5311156296</v>
      </c>
      <c r="AB572" s="30">
        <f>IFERROR(__xludf.DUMMYFUNCTION("""COMPUTED_VALUE"""),1.2466974033261915)</f>
        <v>1.246697403</v>
      </c>
      <c r="AC572" s="30">
        <f>IFERROR(__xludf.DUMMYFUNCTION("""COMPUTED_VALUE"""),2.4045320630547904)</f>
        <v>2.404532063</v>
      </c>
      <c r="AD572" s="30">
        <f>IFERROR(__xludf.DUMMYFUNCTION("""COMPUTED_VALUE"""),1.1213945486908323)</f>
        <v>1.121394549</v>
      </c>
      <c r="AE572" s="30">
        <f>IFERROR(__xludf.DUMMYFUNCTION("""COMPUTED_VALUE"""),1.0506628058946654)</f>
        <v>1.050662806</v>
      </c>
      <c r="AF572" s="30">
        <f>IFERROR(__xludf.DUMMYFUNCTION("""COMPUTED_VALUE"""),1.0269977290347367)</f>
        <v>1.026997729</v>
      </c>
      <c r="AG572" s="30">
        <f>IFERROR(__xludf.DUMMYFUNCTION("""COMPUTED_VALUE"""),1.3125587909285883)</f>
        <v>1.312558791</v>
      </c>
      <c r="AH572" s="30">
        <f>IFERROR(__xludf.DUMMYFUNCTION("""COMPUTED_VALUE"""),1.32325878731511)</f>
        <v>1.323258787</v>
      </c>
      <c r="AI572" s="30">
        <f>IFERROR(__xludf.DUMMYFUNCTION("""COMPUTED_VALUE"""),1.1649197317349043)</f>
        <v>1.164919732</v>
      </c>
      <c r="AJ572" s="30">
        <f>IFERROR(__xludf.DUMMYFUNCTION("""COMPUTED_VALUE"""),1.0511198009242801)</f>
        <v>1.051119801</v>
      </c>
      <c r="AK572" s="30">
        <f>IFERROR(__xludf.DUMMYFUNCTION("""COMPUTED_VALUE"""),0.9483212797547773)</f>
        <v>0.9483212798</v>
      </c>
      <c r="AL572" s="30">
        <f>IFERROR(__xludf.DUMMYFUNCTION("""COMPUTED_VALUE"""),1.3509165643802448)</f>
        <v>1.350916564</v>
      </c>
      <c r="AM572" s="30">
        <f>IFERROR(__xludf.DUMMYFUNCTION("""COMPUTED_VALUE"""),1.108387989539802)</f>
        <v>1.10838799</v>
      </c>
      <c r="AN572" s="30">
        <f>IFERROR(__xludf.DUMMYFUNCTION("""COMPUTED_VALUE"""),1.1427524911983455)</f>
        <v>1.142752491</v>
      </c>
      <c r="AO572" s="30">
        <f>IFERROR(__xludf.DUMMYFUNCTION("""COMPUTED_VALUE"""),1.078974482822505)</f>
        <v>1.078974483</v>
      </c>
      <c r="AP572" s="30">
        <f>IFERROR(__xludf.DUMMYFUNCTION("""COMPUTED_VALUE"""),1.0578576932754213)</f>
        <v>1.057857693</v>
      </c>
      <c r="AQ572" s="30">
        <f>IFERROR(__xludf.DUMMYFUNCTION("""COMPUTED_VALUE"""),1.3645436565876572)</f>
        <v>1.364543657</v>
      </c>
      <c r="AR572" s="30">
        <f>IFERROR(__xludf.DUMMYFUNCTION("""COMPUTED_VALUE"""),1.3264552595012393)</f>
        <v>1.32645526</v>
      </c>
      <c r="AS572" s="30">
        <f>IFERROR(__xludf.DUMMYFUNCTION("""COMPUTED_VALUE"""),30.0)</f>
        <v>30</v>
      </c>
      <c r="AT572" s="30">
        <f>IFERROR(__xludf.DUMMYFUNCTION("""COMPUTED_VALUE"""),0.5277665116738786)</f>
        <v>0.5277665117</v>
      </c>
      <c r="AU572" s="30">
        <f>IFERROR(__xludf.DUMMYFUNCTION("""COMPUTED_VALUE"""),3.6419391120870017)</f>
        <v>3.641939112</v>
      </c>
      <c r="AV572" s="32">
        <f>IFERROR(__xludf.DUMMYFUNCTION("""COMPUTED_VALUE"""),66.89081013064026)</f>
        <v>66.89081013</v>
      </c>
      <c r="AW572" s="32">
        <f>IFERROR(__xludf.DUMMYFUNCTION("""COMPUTED_VALUE"""),4.005815948521708)</f>
        <v>4.005815949</v>
      </c>
      <c r="AX572" s="32">
        <f>IFERROR(__xludf.DUMMYFUNCTION("""COMPUTED_VALUE"""),45.43728313106222)</f>
        <v>45.43728313</v>
      </c>
      <c r="AY572" s="32">
        <f>IFERROR(__xludf.DUMMYFUNCTION("""COMPUTED_VALUE"""),-2.33867923033227)</f>
        <v>-2.33867923</v>
      </c>
      <c r="AZ572" s="30">
        <f>IFERROR(__xludf.DUMMYFUNCTION("""COMPUTED_VALUE"""),6.344495178853979)</f>
        <v>6.344495179</v>
      </c>
      <c r="BA572" s="30">
        <f>IFERROR(__xludf.DUMMYFUNCTION("""COMPUTED_VALUE"""),2300.0)</f>
        <v>2300</v>
      </c>
    </row>
    <row r="573">
      <c r="A573" s="71" t="str">
        <f>IFERROR(__xludf.DUMMYFUNCTION("""COMPUTED_VALUE"""),"Challenger")</f>
        <v>Challenger</v>
      </c>
      <c r="B573" s="71" t="str">
        <f>IFERROR(__xludf.DUMMYFUNCTION("""COMPUTED_VALUE"""),"RSC003109")</f>
        <v>RSC003109</v>
      </c>
      <c r="C573" s="30" t="str">
        <f>IFERROR(__xludf.DUMMYFUNCTION("""COMPUTED_VALUE"""),"Kflip11")</f>
        <v>Kflip11</v>
      </c>
      <c r="D573" s="30" t="str">
        <f>IFERROR(__xludf.DUMMYFUNCTION("""COMPUTED_VALUE"""),"Cassowaries")</f>
        <v>Cassowaries</v>
      </c>
      <c r="E573" s="30">
        <f>IFERROR(__xludf.DUMMYFUNCTION("""COMPUTED_VALUE"""),35.0)</f>
        <v>35</v>
      </c>
      <c r="F573" s="30">
        <f>IFERROR(__xludf.DUMMYFUNCTION("""COMPUTED_VALUE"""),26.0)</f>
        <v>26</v>
      </c>
      <c r="G573" s="42">
        <f>IFERROR(__xludf.DUMMYFUNCTION("""COMPUTED_VALUE"""),9.0)</f>
        <v>9</v>
      </c>
      <c r="H573" s="42">
        <f>IFERROR(__xludf.DUMMYFUNCTION("""COMPUTED_VALUE"""),0.7428571428571429)</f>
        <v>0.7428571429</v>
      </c>
      <c r="I573" s="42">
        <f>IFERROR(__xludf.DUMMYFUNCTION("""COMPUTED_VALUE"""),0.3398058252427184)</f>
        <v>0.3398058252</v>
      </c>
      <c r="J573" s="30">
        <f>IFERROR(__xludf.DUMMYFUNCTION("""COMPUTED_VALUE"""),332.25714285714287)</f>
        <v>332.2571429</v>
      </c>
      <c r="K573" s="30">
        <f>IFERROR(__xludf.DUMMYFUNCTION("""COMPUTED_VALUE"""),1.0)</f>
        <v>1</v>
      </c>
      <c r="L573" s="30">
        <f>IFERROR(__xludf.DUMMYFUNCTION("""COMPUTED_VALUE"""),0.5714285714285714)</f>
        <v>0.5714285714</v>
      </c>
      <c r="M573" s="30">
        <f>IFERROR(__xludf.DUMMYFUNCTION("""COMPUTED_VALUE"""),1.0)</f>
        <v>1</v>
      </c>
      <c r="N573" s="30">
        <f>IFERROR(__xludf.DUMMYFUNCTION("""COMPUTED_VALUE"""),2.942857142857143)</f>
        <v>2.942857143</v>
      </c>
      <c r="O573" s="30">
        <f>IFERROR(__xludf.DUMMYFUNCTION("""COMPUTED_VALUE"""),319.9714285714286)</f>
        <v>319.9714286</v>
      </c>
      <c r="P573" s="30">
        <f>IFERROR(__xludf.DUMMYFUNCTION("""COMPUTED_VALUE"""),0.7047619047619049)</f>
        <v>0.7047619048</v>
      </c>
      <c r="Q573" s="30">
        <f>IFERROR(__xludf.DUMMYFUNCTION("""COMPUTED_VALUE"""),0.44761904761904775)</f>
        <v>0.4476190476</v>
      </c>
      <c r="R573" s="30">
        <f>IFERROR(__xludf.DUMMYFUNCTION("""COMPUTED_VALUE"""),1.257142857142857)</f>
        <v>1.257142857</v>
      </c>
      <c r="S573" s="30">
        <f>IFERROR(__xludf.DUMMYFUNCTION("""COMPUTED_VALUE"""),2.3619047619047606)</f>
        <v>2.361904762</v>
      </c>
      <c r="T573" s="30">
        <f>IFERROR(__xludf.DUMMYFUNCTION("""COMPUTED_VALUE"""),316.4742858322718)</f>
        <v>316.4742858</v>
      </c>
      <c r="U573" s="30">
        <f>IFERROR(__xludf.DUMMYFUNCTION("""COMPUTED_VALUE"""),0.6802695423265191)</f>
        <v>0.6802695423</v>
      </c>
      <c r="V573" s="30">
        <f>IFERROR(__xludf.DUMMYFUNCTION("""COMPUTED_VALUE"""),0.45078341498462166)</f>
        <v>0.450783415</v>
      </c>
      <c r="W573" s="30">
        <f>IFERROR(__xludf.DUMMYFUNCTION("""COMPUTED_VALUE"""),1.2009700997532997)</f>
        <v>1.2009701</v>
      </c>
      <c r="X573" s="30">
        <f>IFERROR(__xludf.DUMMYFUNCTION("""COMPUTED_VALUE"""),2.330096715874501)</f>
        <v>2.330096716</v>
      </c>
      <c r="Y573" s="30">
        <f>IFERROR(__xludf.DUMMYFUNCTION("""COMPUTED_VALUE"""),345.43277895419794)</f>
        <v>345.432779</v>
      </c>
      <c r="Z573" s="30">
        <f>IFERROR(__xludf.DUMMYFUNCTION("""COMPUTED_VALUE"""),0.8339454186657241)</f>
        <v>0.8339454187</v>
      </c>
      <c r="AA573" s="30">
        <f>IFERROR(__xludf.DUMMYFUNCTION("""COMPUTED_VALUE"""),0.5847595973031939)</f>
        <v>0.5847595973</v>
      </c>
      <c r="AB573" s="30">
        <f>IFERROR(__xludf.DUMMYFUNCTION("""COMPUTED_VALUE"""),1.2185699980581388)</f>
        <v>1.218569998</v>
      </c>
      <c r="AC573" s="30">
        <f>IFERROR(__xludf.DUMMYFUNCTION("""COMPUTED_VALUE"""),2.525914792622989)</f>
        <v>2.525914793</v>
      </c>
      <c r="AD573" s="30">
        <f>IFERROR(__xludf.DUMMYFUNCTION("""COMPUTED_VALUE"""),0.9618575974841054)</f>
        <v>0.9618575975</v>
      </c>
      <c r="AE573" s="30">
        <f>IFERROR(__xludf.DUMMYFUNCTION("""COMPUTED_VALUE"""),1.1991192440387237)</f>
        <v>1.199119244</v>
      </c>
      <c r="AF573" s="30">
        <f>IFERROR(__xludf.DUMMYFUNCTION("""COMPUTED_VALUE"""),0.9772025530900171)</f>
        <v>0.9772025531</v>
      </c>
      <c r="AG573" s="30">
        <f>IFERROR(__xludf.DUMMYFUNCTION("""COMPUTED_VALUE"""),0.820634023153005)</f>
        <v>0.8206340232</v>
      </c>
      <c r="AH573" s="30">
        <f>IFERROR(__xludf.DUMMYFUNCTION("""COMPUTED_VALUE"""),1.1650658808649632)</f>
        <v>1.165065881</v>
      </c>
      <c r="AI573" s="30">
        <f>IFERROR(__xludf.DUMMYFUNCTION("""COMPUTED_VALUE"""),1.0110503219241334)</f>
        <v>1.011050322</v>
      </c>
      <c r="AJ573" s="30">
        <f>IFERROR(__xludf.DUMMYFUNCTION("""COMPUTED_VALUE"""),1.036003908614844)</f>
        <v>1.036003909</v>
      </c>
      <c r="AK573" s="30">
        <f>IFERROR(__xludf.DUMMYFUNCTION("""COMPUTED_VALUE"""),0.9929802932841222)</f>
        <v>0.9929802933</v>
      </c>
      <c r="AL573" s="30">
        <f>IFERROR(__xludf.DUMMYFUNCTION("""COMPUTED_VALUE"""),1.0467728192409587)</f>
        <v>1.046772819</v>
      </c>
      <c r="AM573" s="30">
        <f>IFERROR(__xludf.DUMMYFUNCTION("""COMPUTED_VALUE"""),1.0136509552644564)</f>
        <v>1.013650955</v>
      </c>
      <c r="AN573" s="30">
        <f>IFERROR(__xludf.DUMMYFUNCTION("""COMPUTED_VALUE"""),1.0107852020578147)</f>
        <v>1.010785202</v>
      </c>
      <c r="AO573" s="30">
        <f>IFERROR(__xludf.DUMMYFUNCTION("""COMPUTED_VALUE"""),1.318746590116395)</f>
        <v>1.31874659</v>
      </c>
      <c r="AP573" s="30">
        <f>IFERROR(__xludf.DUMMYFUNCTION("""COMPUTED_VALUE"""),1.1082318691456794)</f>
        <v>1.108231869</v>
      </c>
      <c r="AQ573" s="30">
        <f>IFERROR(__xludf.DUMMYFUNCTION("""COMPUTED_VALUE"""),0.8338877901369016)</f>
        <v>0.8338877901</v>
      </c>
      <c r="AR573" s="30">
        <f>IFERROR(__xludf.DUMMYFUNCTION("""COMPUTED_VALUE"""),1.2268357624611463)</f>
        <v>1.226835762</v>
      </c>
      <c r="AS573" s="30">
        <f>IFERROR(__xludf.DUMMYFUNCTION("""COMPUTED_VALUE"""),109.0)</f>
        <v>109</v>
      </c>
      <c r="AT573" s="30">
        <f>IFERROR(__xludf.DUMMYFUNCTION("""COMPUTED_VALUE"""),0.6508080226849516)</f>
        <v>0.6508080227</v>
      </c>
      <c r="AU573" s="30">
        <f>IFERROR(__xludf.DUMMYFUNCTION("""COMPUTED_VALUE"""),3.6002047667479617)</f>
        <v>3.600204767</v>
      </c>
      <c r="AV573" s="32">
        <f>IFERROR(__xludf.DUMMYFUNCTION("""COMPUTED_VALUE"""),65.78726399141281)</f>
        <v>65.78726399</v>
      </c>
      <c r="AW573" s="32">
        <f>IFERROR(__xludf.DUMMYFUNCTION("""COMPUTED_VALUE"""),3.7898898706458537)</f>
        <v>3.789889871</v>
      </c>
      <c r="AX573" s="32">
        <f>IFERROR(__xludf.DUMMYFUNCTION("""COMPUTED_VALUE"""),45.98767359689114)</f>
        <v>45.9876736</v>
      </c>
      <c r="AY573" s="32">
        <f>IFERROR(__xludf.DUMMYFUNCTION("""COMPUTED_VALUE"""),-2.2922828125859143)</f>
        <v>-2.292282813</v>
      </c>
      <c r="AZ573" s="30">
        <f>IFERROR(__xludf.DUMMYFUNCTION("""COMPUTED_VALUE"""),6.082172683231768)</f>
        <v>6.082172683</v>
      </c>
      <c r="BA573" s="30">
        <f>IFERROR(__xludf.DUMMYFUNCTION("""COMPUTED_VALUE"""),2300.0)</f>
        <v>2300</v>
      </c>
    </row>
    <row r="574">
      <c r="A574" s="71" t="str">
        <f>IFERROR(__xludf.DUMMYFUNCTION("""COMPUTED_VALUE"""),"Challenger")</f>
        <v>Challenger</v>
      </c>
      <c r="B574" s="71" t="str">
        <f>IFERROR(__xludf.DUMMYFUNCTION("""COMPUTED_VALUE"""),"RSC006067")</f>
        <v>RSC006067</v>
      </c>
      <c r="C574" s="30" t="str">
        <f>IFERROR(__xludf.DUMMYFUNCTION("""COMPUTED_VALUE"""),"ShinxX403")</f>
        <v>ShinxX403</v>
      </c>
      <c r="D574" s="30" t="str">
        <f>IFERROR(__xludf.DUMMYFUNCTION("""COMPUTED_VALUE"""),"Panda Bears")</f>
        <v>Panda Bears</v>
      </c>
      <c r="E574" s="30">
        <f>IFERROR(__xludf.DUMMYFUNCTION("""COMPUTED_VALUE"""),20.0)</f>
        <v>20</v>
      </c>
      <c r="F574" s="30">
        <f>IFERROR(__xludf.DUMMYFUNCTION("""COMPUTED_VALUE"""),10.0)</f>
        <v>10</v>
      </c>
      <c r="G574" s="42">
        <f>IFERROR(__xludf.DUMMYFUNCTION("""COMPUTED_VALUE"""),10.0)</f>
        <v>10</v>
      </c>
      <c r="H574" s="42">
        <f>IFERROR(__xludf.DUMMYFUNCTION("""COMPUTED_VALUE"""),0.5)</f>
        <v>0.5</v>
      </c>
      <c r="I574" s="42">
        <f>IFERROR(__xludf.DUMMYFUNCTION("""COMPUTED_VALUE"""),0.3278688524590164)</f>
        <v>0.3278688525</v>
      </c>
      <c r="J574" s="30">
        <f>IFERROR(__xludf.DUMMYFUNCTION("""COMPUTED_VALUE"""),350.8)</f>
        <v>350.8</v>
      </c>
      <c r="K574" s="30">
        <f>IFERROR(__xludf.DUMMYFUNCTION("""COMPUTED_VALUE"""),1.0)</f>
        <v>1</v>
      </c>
      <c r="L574" s="30">
        <f>IFERROR(__xludf.DUMMYFUNCTION("""COMPUTED_VALUE"""),0.45)</f>
        <v>0.45</v>
      </c>
      <c r="M574" s="30">
        <f>IFERROR(__xludf.DUMMYFUNCTION("""COMPUTED_VALUE"""),1.15)</f>
        <v>1.15</v>
      </c>
      <c r="N574" s="30">
        <f>IFERROR(__xludf.DUMMYFUNCTION("""COMPUTED_VALUE"""),3.05)</f>
        <v>3.05</v>
      </c>
      <c r="O574" s="30">
        <f>IFERROR(__xludf.DUMMYFUNCTION("""COMPUTED_VALUE"""),368.0)</f>
        <v>368</v>
      </c>
      <c r="P574" s="30">
        <f>IFERROR(__xludf.DUMMYFUNCTION("""COMPUTED_VALUE"""),0.7499999999999999)</f>
        <v>0.75</v>
      </c>
      <c r="Q574" s="30">
        <f>IFERROR(__xludf.DUMMYFUNCTION("""COMPUTED_VALUE"""),0.5333333333333333)</f>
        <v>0.5333333333</v>
      </c>
      <c r="R574" s="30">
        <f>IFERROR(__xludf.DUMMYFUNCTION("""COMPUTED_VALUE"""),1.5499999999999998)</f>
        <v>1.55</v>
      </c>
      <c r="S574" s="30">
        <f>IFERROR(__xludf.DUMMYFUNCTION("""COMPUTED_VALUE"""),2.566666666666666)</f>
        <v>2.566666667</v>
      </c>
      <c r="T574" s="30">
        <f>IFERROR(__xludf.DUMMYFUNCTION("""COMPUTED_VALUE"""),345.81661835859256)</f>
        <v>345.8166184</v>
      </c>
      <c r="U574" s="30">
        <f>IFERROR(__xludf.DUMMYFUNCTION("""COMPUTED_VALUE"""),0.7803575743731129)</f>
        <v>0.7803575744</v>
      </c>
      <c r="V574" s="30">
        <f>IFERROR(__xludf.DUMMYFUNCTION("""COMPUTED_VALUE"""),0.5406691615717599)</f>
        <v>0.5406691616</v>
      </c>
      <c r="W574" s="30">
        <f>IFERROR(__xludf.DUMMYFUNCTION("""COMPUTED_VALUE"""),1.354825060025404)</f>
        <v>1.35482506</v>
      </c>
      <c r="X574" s="30">
        <f>IFERROR(__xludf.DUMMYFUNCTION("""COMPUTED_VALUE"""),2.4481098557082808)</f>
        <v>2.448109856</v>
      </c>
      <c r="Y574" s="30">
        <f>IFERROR(__xludf.DUMMYFUNCTION("""COMPUTED_VALUE"""),336.4397288897093)</f>
        <v>336.4397289</v>
      </c>
      <c r="Z574" s="30">
        <f>IFERROR(__xludf.DUMMYFUNCTION("""COMPUTED_VALUE"""),0.7752861614354997)</f>
        <v>0.7752861614</v>
      </c>
      <c r="AA574" s="30">
        <f>IFERROR(__xludf.DUMMYFUNCTION("""COMPUTED_VALUE"""),0.5372595851374993)</f>
        <v>0.5372595851</v>
      </c>
      <c r="AB574" s="30">
        <f>IFERROR(__xludf.DUMMYFUNCTION("""COMPUTED_VALUE"""),1.2158290550056425)</f>
        <v>1.215829055</v>
      </c>
      <c r="AC574" s="30">
        <f>IFERROR(__xludf.DUMMYFUNCTION("""COMPUTED_VALUE"""),2.5812730257023997)</f>
        <v>2.581273026</v>
      </c>
      <c r="AD574" s="30">
        <f>IFERROR(__xludf.DUMMYFUNCTION("""COMPUTED_VALUE"""),1.042683042093992)</f>
        <v>1.042683042</v>
      </c>
      <c r="AE574" s="30">
        <f>IFERROR(__xludf.DUMMYFUNCTION("""COMPUTED_VALUE"""),1.289846317066238)</f>
        <v>1.289846317</v>
      </c>
      <c r="AF574" s="30">
        <f>IFERROR(__xludf.DUMMYFUNCTION("""COMPUTED_VALUE"""),0.8375839397724897)</f>
        <v>0.8375839398</v>
      </c>
      <c r="AG574" s="30">
        <f>IFERROR(__xludf.DUMMYFUNCTION("""COMPUTED_VALUE"""),0.945856652516552)</f>
        <v>0.9458566525</v>
      </c>
      <c r="AH574" s="30">
        <f>IFERROR(__xludf.DUMMYFUNCTION("""COMPUTED_VALUE"""),1.1815875227573236)</f>
        <v>1.181587523</v>
      </c>
      <c r="AI574" s="30">
        <f>IFERROR(__xludf.DUMMYFUNCTION("""COMPUTED_VALUE"""),1.0641478184209312)</f>
        <v>1.064147818</v>
      </c>
      <c r="AJ574" s="30">
        <f>IFERROR(__xludf.DUMMYFUNCTION("""COMPUTED_VALUE"""),0.9610978667087325)</f>
        <v>0.9610978667</v>
      </c>
      <c r="AK574" s="30">
        <f>IFERROR(__xludf.DUMMYFUNCTION("""COMPUTED_VALUE"""),0.986431946262478)</f>
        <v>0.9864319463</v>
      </c>
      <c r="AL574" s="30">
        <f>IFERROR(__xludf.DUMMYFUNCTION("""COMPUTED_VALUE"""),1.1440591451496596)</f>
        <v>1.144059145</v>
      </c>
      <c r="AM574" s="30">
        <f>IFERROR(__xludf.DUMMYFUNCTION("""COMPUTED_VALUE"""),1.0484278966002873)</f>
        <v>1.048427897</v>
      </c>
      <c r="AN574" s="30">
        <f>IFERROR(__xludf.DUMMYFUNCTION("""COMPUTED_VALUE"""),1.067195864723179)</f>
        <v>1.067195865</v>
      </c>
      <c r="AO574" s="30">
        <f>IFERROR(__xludf.DUMMYFUNCTION("""COMPUTED_VALUE"""),1.318746590116395)</f>
        <v>1.31874659</v>
      </c>
      <c r="AP574" s="30">
        <f>IFERROR(__xludf.DUMMYFUNCTION("""COMPUTED_VALUE"""),0.8727325969522226)</f>
        <v>0.872732597</v>
      </c>
      <c r="AQ574" s="30">
        <f>IFERROR(__xludf.DUMMYFUNCTION("""COMPUTED_VALUE"""),0.9589709586574368)</f>
        <v>0.9589709587</v>
      </c>
      <c r="AR574" s="30">
        <f>IFERROR(__xludf.DUMMYFUNCTION("""COMPUTED_VALUE"""),1.2715021130361879)</f>
        <v>1.271502113</v>
      </c>
      <c r="AS574" s="30">
        <f>IFERROR(__xludf.DUMMYFUNCTION("""COMPUTED_VALUE"""),49.0)</f>
        <v>49</v>
      </c>
      <c r="AT574" s="30">
        <f>IFERROR(__xludf.DUMMYFUNCTION("""COMPUTED_VALUE"""),0.5331450899641901)</f>
        <v>0.53314509</v>
      </c>
      <c r="AU574" s="30">
        <f>IFERROR(__xludf.DUMMYFUNCTION("""COMPUTED_VALUE"""),3.598562368267204)</f>
        <v>3.598562368</v>
      </c>
      <c r="AV574" s="32">
        <f>IFERROR(__xludf.DUMMYFUNCTION("""COMPUTED_VALUE"""),65.74383543184662)</f>
        <v>65.74383543</v>
      </c>
      <c r="AW574" s="32">
        <f>IFERROR(__xludf.DUMMYFUNCTION("""COMPUTED_VALUE"""),3.7817482913842366)</f>
        <v>3.781748291</v>
      </c>
      <c r="AX574" s="32">
        <f>IFERROR(__xludf.DUMMYFUNCTION("""COMPUTED_VALUE"""),46.395664709524596)</f>
        <v>46.39566471</v>
      </c>
      <c r="AY574" s="32">
        <f>IFERROR(__xludf.DUMMYFUNCTION("""COMPUTED_VALUE"""),-2.258959081352072)</f>
        <v>-2.258959081</v>
      </c>
      <c r="AZ574" s="30">
        <f>IFERROR(__xludf.DUMMYFUNCTION("""COMPUTED_VALUE"""),6.040707372736309)</f>
        <v>6.040707373</v>
      </c>
      <c r="BA574" s="30">
        <f>IFERROR(__xludf.DUMMYFUNCTION("""COMPUTED_VALUE"""),2300.0)</f>
        <v>2300</v>
      </c>
    </row>
    <row r="575">
      <c r="A575" s="71" t="str">
        <f>IFERROR(__xludf.DUMMYFUNCTION("""COMPUTED_VALUE"""),"Challenger")</f>
        <v>Challenger</v>
      </c>
      <c r="B575" s="71" t="str">
        <f>IFERROR(__xludf.DUMMYFUNCTION("""COMPUTED_VALUE"""),"RSC006659")</f>
        <v>RSC006659</v>
      </c>
      <c r="C575" s="30" t="str">
        <f>IFERROR(__xludf.DUMMYFUNCTION("""COMPUTED_VALUE"""),"Zalama")</f>
        <v>Zalama</v>
      </c>
      <c r="D575" s="30" t="str">
        <f>IFERROR(__xludf.DUMMYFUNCTION("""COMPUTED_VALUE"""),"Solstice Sake")</f>
        <v>Solstice Sake</v>
      </c>
      <c r="E575" s="30">
        <f>IFERROR(__xludf.DUMMYFUNCTION("""COMPUTED_VALUE"""),26.0)</f>
        <v>26</v>
      </c>
      <c r="F575" s="30">
        <f>IFERROR(__xludf.DUMMYFUNCTION("""COMPUTED_VALUE"""),15.0)</f>
        <v>15</v>
      </c>
      <c r="G575" s="42">
        <f>IFERROR(__xludf.DUMMYFUNCTION("""COMPUTED_VALUE"""),11.0)</f>
        <v>11</v>
      </c>
      <c r="H575" s="42">
        <f>IFERROR(__xludf.DUMMYFUNCTION("""COMPUTED_VALUE"""),0.5769230769230769)</f>
        <v>0.5769230769</v>
      </c>
      <c r="I575" s="42">
        <f>IFERROR(__xludf.DUMMYFUNCTION("""COMPUTED_VALUE"""),0.42424242424242425)</f>
        <v>0.4242424242</v>
      </c>
      <c r="J575" s="30">
        <f>IFERROR(__xludf.DUMMYFUNCTION("""COMPUTED_VALUE"""),321.4230769230769)</f>
        <v>321.4230769</v>
      </c>
      <c r="K575" s="30">
        <f>IFERROR(__xludf.DUMMYFUNCTION("""COMPUTED_VALUE"""),1.0769230769230769)</f>
        <v>1.076923077</v>
      </c>
      <c r="L575" s="30">
        <f>IFERROR(__xludf.DUMMYFUNCTION("""COMPUTED_VALUE"""),0.4230769230769231)</f>
        <v>0.4230769231</v>
      </c>
      <c r="M575" s="30">
        <f>IFERROR(__xludf.DUMMYFUNCTION("""COMPUTED_VALUE"""),0.7307692307692307)</f>
        <v>0.7307692308</v>
      </c>
      <c r="N575" s="30">
        <f>IFERROR(__xludf.DUMMYFUNCTION("""COMPUTED_VALUE"""),2.5384615384615383)</f>
        <v>2.538461538</v>
      </c>
      <c r="O575" s="30">
        <f>IFERROR(__xludf.DUMMYFUNCTION("""COMPUTED_VALUE"""),329.33333333333326)</f>
        <v>329.3333333</v>
      </c>
      <c r="P575" s="30">
        <f>IFERROR(__xludf.DUMMYFUNCTION("""COMPUTED_VALUE"""),0.7564102564102562)</f>
        <v>0.7564102564</v>
      </c>
      <c r="Q575" s="30">
        <f>IFERROR(__xludf.DUMMYFUNCTION("""COMPUTED_VALUE"""),0.4615384615384616)</f>
        <v>0.4615384615</v>
      </c>
      <c r="R575" s="30">
        <f>IFERROR(__xludf.DUMMYFUNCTION("""COMPUTED_VALUE"""),1.1794871794871795)</f>
        <v>1.179487179</v>
      </c>
      <c r="S575" s="30">
        <f>IFERROR(__xludf.DUMMYFUNCTION("""COMPUTED_VALUE"""),2.423076923076923)</f>
        <v>2.423076923</v>
      </c>
      <c r="T575" s="30">
        <f>IFERROR(__xludf.DUMMYFUNCTION("""COMPUTED_VALUE"""),338.49352736991136)</f>
        <v>338.4935274</v>
      </c>
      <c r="U575" s="30">
        <f>IFERROR(__xludf.DUMMYFUNCTION("""COMPUTED_VALUE"""),0.8196173384998383)</f>
        <v>0.8196173385</v>
      </c>
      <c r="V575" s="30">
        <f>IFERROR(__xludf.DUMMYFUNCTION("""COMPUTED_VALUE"""),0.5744641044916718)</f>
        <v>0.5744641045</v>
      </c>
      <c r="W575" s="30">
        <f>IFERROR(__xludf.DUMMYFUNCTION("""COMPUTED_VALUE"""),1.1972224343225224)</f>
        <v>1.197222434</v>
      </c>
      <c r="X575" s="30">
        <f>IFERROR(__xludf.DUMMYFUNCTION("""COMPUTED_VALUE"""),2.488952588106998)</f>
        <v>2.488952588</v>
      </c>
      <c r="Y575" s="30">
        <f>IFERROR(__xludf.DUMMYFUNCTION("""COMPUTED_VALUE"""),335.080965168333)</f>
        <v>335.0809652</v>
      </c>
      <c r="Z575" s="30">
        <f>IFERROR(__xludf.DUMMYFUNCTION("""COMPUTED_VALUE"""),0.7797929404397792)</f>
        <v>0.7797929404</v>
      </c>
      <c r="AA575" s="30">
        <f>IFERROR(__xludf.DUMMYFUNCTION("""COMPUTED_VALUE"""),0.5459602106481529)</f>
        <v>0.5459602106</v>
      </c>
      <c r="AB575" s="30">
        <f>IFERROR(__xludf.DUMMYFUNCTION("""COMPUTED_VALUE"""),1.1957624368474873)</f>
        <v>1.195762437</v>
      </c>
      <c r="AC575" s="30">
        <f>IFERROR(__xludf.DUMMYFUNCTION("""COMPUTED_VALUE"""),2.4252980280763885)</f>
        <v>2.425298028</v>
      </c>
      <c r="AD575" s="30">
        <f>IFERROR(__xludf.DUMMYFUNCTION("""COMPUTED_VALUE"""),0.9592400354988984)</f>
        <v>0.9592400355</v>
      </c>
      <c r="AE575" s="30">
        <f>IFERROR(__xludf.DUMMYFUNCTION("""COMPUTED_VALUE"""),1.3810372229270573)</f>
        <v>1.381037223</v>
      </c>
      <c r="AF575" s="30">
        <f>IFERROR(__xludf.DUMMYFUNCTION("""COMPUTED_VALUE"""),0.7749226314032203)</f>
        <v>0.7749226314</v>
      </c>
      <c r="AG575" s="30">
        <f>IFERROR(__xludf.DUMMYFUNCTION("""COMPUTED_VALUE"""),0.6111324526097621)</f>
        <v>0.6111324526</v>
      </c>
      <c r="AH575" s="30">
        <f>IFERROR(__xludf.DUMMYFUNCTION("""COMPUTED_VALUE"""),1.0466596307237774)</f>
        <v>1.046659631</v>
      </c>
      <c r="AI575" s="30">
        <f>IFERROR(__xludf.DUMMYFUNCTION("""COMPUTED_VALUE"""),0.9729383480158317)</f>
        <v>0.972938348</v>
      </c>
      <c r="AJ575" s="30">
        <f>IFERROR(__xludf.DUMMYFUNCTION("""COMPUTED_VALUE"""),0.9228822047551223)</f>
        <v>0.9228822048</v>
      </c>
      <c r="AK575" s="30">
        <f>IFERROR(__xludf.DUMMYFUNCTION("""COMPUTED_VALUE"""),0.8034243705215748)</f>
        <v>0.8034243705</v>
      </c>
      <c r="AL575" s="30">
        <f>IFERROR(__xludf.DUMMYFUNCTION("""COMPUTED_VALUE"""),0.9851863326923215)</f>
        <v>0.9851863327</v>
      </c>
      <c r="AM575" s="30">
        <f>IFERROR(__xludf.DUMMYFUNCTION("""COMPUTED_VALUE"""),0.9735327762590377)</f>
        <v>0.9735327763</v>
      </c>
      <c r="AN575" s="30">
        <f>IFERROR(__xludf.DUMMYFUNCTION("""COMPUTED_VALUE"""),0.9778260505099998)</f>
        <v>0.9778260505</v>
      </c>
      <c r="AO575" s="30">
        <f>IFERROR(__xludf.DUMMYFUNCTION("""COMPUTED_VALUE"""),1.4201886355099638)</f>
        <v>1.420188636</v>
      </c>
      <c r="AP575" s="30">
        <f>IFERROR(__xludf.DUMMYFUNCTION("""COMPUTED_VALUE"""),0.8205178261943973)</f>
        <v>0.8205178262</v>
      </c>
      <c r="AQ575" s="30">
        <f>IFERROR(__xludf.DUMMYFUNCTION("""COMPUTED_VALUE"""),0.6093795389461973)</f>
        <v>0.6093795389</v>
      </c>
      <c r="AR575" s="30">
        <f>IFERROR(__xludf.DUMMYFUNCTION("""COMPUTED_VALUE"""),1.0582489213163733)</f>
        <v>1.058248921</v>
      </c>
      <c r="AS575" s="30">
        <f>IFERROR(__xludf.DUMMYFUNCTION("""COMPUTED_VALUE"""),68.0)</f>
        <v>68</v>
      </c>
      <c r="AT575" s="30">
        <f>IFERROR(__xludf.DUMMYFUNCTION("""COMPUTED_VALUE"""),0.5557216584304306)</f>
        <v>0.5557216584</v>
      </c>
      <c r="AU575" s="30">
        <f>IFERROR(__xludf.DUMMYFUNCTION("""COMPUTED_VALUE"""),3.45743766901062)</f>
        <v>3.457437669</v>
      </c>
      <c r="AV575" s="32">
        <f>IFERROR(__xludf.DUMMYFUNCTION("""COMPUTED_VALUE"""),62.0121938846015)</f>
        <v>62.01219388</v>
      </c>
      <c r="AW575" s="32">
        <f>IFERROR(__xludf.DUMMYFUNCTION("""COMPUTED_VALUE"""),3.1701719392992387)</f>
        <v>3.170171939</v>
      </c>
      <c r="AX575" s="32">
        <f>IFERROR(__xludf.DUMMYFUNCTION("""COMPUTED_VALUE"""),43.48422141156195)</f>
        <v>43.48422141</v>
      </c>
      <c r="AY575" s="32">
        <f>IFERROR(__xludf.DUMMYFUNCTION("""COMPUTED_VALUE"""),-2.5176963512595325)</f>
        <v>-2.517696351</v>
      </c>
      <c r="AZ575" s="30">
        <f>IFERROR(__xludf.DUMMYFUNCTION("""COMPUTED_VALUE"""),5.687868290558772)</f>
        <v>5.687868291</v>
      </c>
      <c r="BA575" s="30">
        <f>IFERROR(__xludf.DUMMYFUNCTION("""COMPUTED_VALUE"""),2300.0)</f>
        <v>2300</v>
      </c>
    </row>
    <row r="576">
      <c r="A576" s="71" t="str">
        <f>IFERROR(__xludf.DUMMYFUNCTION("""COMPUTED_VALUE"""),"Challenger")</f>
        <v>Challenger</v>
      </c>
      <c r="B576" s="71" t="str">
        <f>IFERROR(__xludf.DUMMYFUNCTION("""COMPUTED_VALUE"""),"RSC006777")</f>
        <v>RSC006777</v>
      </c>
      <c r="C576" s="30" t="str">
        <f>IFERROR(__xludf.DUMMYFUNCTION("""COMPUTED_VALUE"""),"AlteredSp4rky")</f>
        <v>AlteredSp4rky</v>
      </c>
      <c r="D576" s="30" t="str">
        <f>IFERROR(__xludf.DUMMYFUNCTION("""COMPUTED_VALUE"""),"Toucans")</f>
        <v>Toucans</v>
      </c>
      <c r="E576" s="30">
        <f>IFERROR(__xludf.DUMMYFUNCTION("""COMPUTED_VALUE"""),17.0)</f>
        <v>17</v>
      </c>
      <c r="F576" s="30">
        <f>IFERROR(__xludf.DUMMYFUNCTION("""COMPUTED_VALUE"""),7.0)</f>
        <v>7</v>
      </c>
      <c r="G576" s="42">
        <f>IFERROR(__xludf.DUMMYFUNCTION("""COMPUTED_VALUE"""),10.0)</f>
        <v>10</v>
      </c>
      <c r="H576" s="42">
        <f>IFERROR(__xludf.DUMMYFUNCTION("""COMPUTED_VALUE"""),0.4117647058823529)</f>
        <v>0.4117647059</v>
      </c>
      <c r="I576" s="42">
        <f>IFERROR(__xludf.DUMMYFUNCTION("""COMPUTED_VALUE"""),0.2571428571428572)</f>
        <v>0.2571428571</v>
      </c>
      <c r="J576" s="30">
        <f>IFERROR(__xludf.DUMMYFUNCTION("""COMPUTED_VALUE"""),283.5882352941176)</f>
        <v>283.5882353</v>
      </c>
      <c r="K576" s="30">
        <f>IFERROR(__xludf.DUMMYFUNCTION("""COMPUTED_VALUE"""),0.5294117647058824)</f>
        <v>0.5294117647</v>
      </c>
      <c r="L576" s="30">
        <f>IFERROR(__xludf.DUMMYFUNCTION("""COMPUTED_VALUE"""),0.6470588235294118)</f>
        <v>0.6470588235</v>
      </c>
      <c r="M576" s="30">
        <f>IFERROR(__xludf.DUMMYFUNCTION("""COMPUTED_VALUE"""),0.8823529411764706)</f>
        <v>0.8823529412</v>
      </c>
      <c r="N576" s="30">
        <f>IFERROR(__xludf.DUMMYFUNCTION("""COMPUTED_VALUE"""),2.0588235294117645)</f>
        <v>2.058823529</v>
      </c>
      <c r="O576" s="30">
        <f>IFERROR(__xludf.DUMMYFUNCTION("""COMPUTED_VALUE"""),297.47058823529414)</f>
        <v>297.4705882</v>
      </c>
      <c r="P576" s="30">
        <f>IFERROR(__xludf.DUMMYFUNCTION("""COMPUTED_VALUE"""),0.7254901960784315)</f>
        <v>0.7254901961</v>
      </c>
      <c r="Q576" s="30">
        <f>IFERROR(__xludf.DUMMYFUNCTION("""COMPUTED_VALUE"""),0.43137254901960775)</f>
        <v>0.431372549</v>
      </c>
      <c r="R576" s="30">
        <f>IFERROR(__xludf.DUMMYFUNCTION("""COMPUTED_VALUE"""),1.0196078431372548)</f>
        <v>1.019607843</v>
      </c>
      <c r="S576" s="30">
        <f>IFERROR(__xludf.DUMMYFUNCTION("""COMPUTED_VALUE"""),1.96078431372549)</f>
        <v>1.960784314</v>
      </c>
      <c r="T576" s="30">
        <f>IFERROR(__xludf.DUMMYFUNCTION("""COMPUTED_VALUE"""),308.21526005718187)</f>
        <v>308.2152601</v>
      </c>
      <c r="U576" s="30">
        <f>IFERROR(__xludf.DUMMYFUNCTION("""COMPUTED_VALUE"""),0.6518985982192441)</f>
        <v>0.6518985982</v>
      </c>
      <c r="V576" s="30">
        <f>IFERROR(__xludf.DUMMYFUNCTION("""COMPUTED_VALUE"""),0.43419805721853)</f>
        <v>0.4341980572</v>
      </c>
      <c r="W576" s="30">
        <f>IFERROR(__xludf.DUMMYFUNCTION("""COMPUTED_VALUE"""),1.1408289546755517)</f>
        <v>1.140828955</v>
      </c>
      <c r="X576" s="30">
        <f>IFERROR(__xludf.DUMMYFUNCTION("""COMPUTED_VALUE"""),2.2237370699913956)</f>
        <v>2.22373707</v>
      </c>
      <c r="Y576" s="30">
        <f>IFERROR(__xludf.DUMMYFUNCTION("""COMPUTED_VALUE"""),324.6633913797909)</f>
        <v>324.6633914</v>
      </c>
      <c r="Z576" s="30">
        <f>IFERROR(__xludf.DUMMYFUNCTION("""COMPUTED_VALUE"""),0.777119171197891)</f>
        <v>0.7771191712</v>
      </c>
      <c r="AA576" s="30">
        <f>IFERROR(__xludf.DUMMYFUNCTION("""COMPUTED_VALUE"""),0.5365032781449545)</f>
        <v>0.5365032781</v>
      </c>
      <c r="AB576" s="30">
        <f>IFERROR(__xludf.DUMMYFUNCTION("""COMPUTED_VALUE"""),1.0890402195736684)</f>
        <v>1.08904022</v>
      </c>
      <c r="AC576" s="30">
        <f>IFERROR(__xludf.DUMMYFUNCTION("""COMPUTED_VALUE"""),2.3443996560134583)</f>
        <v>2.344399656</v>
      </c>
      <c r="AD576" s="30">
        <f>IFERROR(__xludf.DUMMYFUNCTION("""COMPUTED_VALUE"""),0.8734838692126407)</f>
        <v>0.8734838692</v>
      </c>
      <c r="AE576" s="30">
        <f>IFERROR(__xludf.DUMMYFUNCTION("""COMPUTED_VALUE"""),0.6812491369757616)</f>
        <v>0.681249137</v>
      </c>
      <c r="AF576" s="30">
        <f>IFERROR(__xludf.DUMMYFUNCTION("""COMPUTED_VALUE"""),1.2060668590259518)</f>
        <v>1.206066859</v>
      </c>
      <c r="AG576" s="30">
        <f>IFERROR(__xludf.DUMMYFUNCTION("""COMPUTED_VALUE"""),0.8102115287550072)</f>
        <v>0.8102115288</v>
      </c>
      <c r="AH576" s="30">
        <f>IFERROR(__xludf.DUMMYFUNCTION("""COMPUTED_VALUE"""),0.8781879506469035)</f>
        <v>0.8781879506</v>
      </c>
      <c r="AI576" s="30">
        <f>IFERROR(__xludf.DUMMYFUNCTION("""COMPUTED_VALUE"""),0.9651390660543728)</f>
        <v>0.9651390661</v>
      </c>
      <c r="AJ576" s="30">
        <f>IFERROR(__xludf.DUMMYFUNCTION("""COMPUTED_VALUE"""),1.11288810569652)</f>
        <v>1.112888106</v>
      </c>
      <c r="AK576" s="30">
        <f>IFERROR(__xludf.DUMMYFUNCTION("""COMPUTED_VALUE"""),0.9934925821247971)</f>
        <v>0.9934925821</v>
      </c>
      <c r="AL576" s="30">
        <f>IFERROR(__xludf.DUMMYFUNCTION("""COMPUTED_VALUE"""),0.8937429567846376)</f>
        <v>0.8937429568</v>
      </c>
      <c r="AM576" s="30">
        <f>IFERROR(__xludf.DUMMYFUNCTION("""COMPUTED_VALUE"""),0.8817518672443936)</f>
        <v>0.8817518672</v>
      </c>
      <c r="AN576" s="30">
        <f>IFERROR(__xludf.DUMMYFUNCTION("""COMPUTED_VALUE"""),0.8627257468358785)</f>
        <v>0.8627257468</v>
      </c>
      <c r="AO576" s="30">
        <f>IFERROR(__xludf.DUMMYFUNCTION("""COMPUTED_VALUE"""),0.6981599594733856)</f>
        <v>0.6981599595</v>
      </c>
      <c r="AP576" s="30">
        <f>IFERROR(__xludf.DUMMYFUNCTION("""COMPUTED_VALUE"""),1.2549096165326077)</f>
        <v>1.254909617</v>
      </c>
      <c r="AQ576" s="30">
        <f>IFERROR(__xludf.DUMMYFUNCTION("""COMPUTED_VALUE"""),0.7357833442384426)</f>
        <v>0.7357833442</v>
      </c>
      <c r="AR576" s="30">
        <f>IFERROR(__xludf.DUMMYFUNCTION("""COMPUTED_VALUE"""),0.8582945796772724)</f>
        <v>0.8582945797</v>
      </c>
      <c r="AS576" s="30">
        <f>IFERROR(__xludf.DUMMYFUNCTION("""COMPUTED_VALUE"""),40.0)</f>
        <v>40</v>
      </c>
      <c r="AT576" s="30">
        <f>IFERROR(__xludf.DUMMYFUNCTION("""COMPUTED_VALUE"""),0.5300317988764897)</f>
        <v>0.5300317989</v>
      </c>
      <c r="AU576" s="30">
        <f>IFERROR(__xludf.DUMMYFUNCTION("""COMPUTED_VALUE"""),2.6080595438675584)</f>
        <v>2.608059544</v>
      </c>
      <c r="AV576" s="32">
        <f>IFERROR(__xludf.DUMMYFUNCTION("""COMPUTED_VALUE"""),39.552803587922924)</f>
        <v>39.55280359</v>
      </c>
      <c r="AW576" s="32">
        <f>IFERROR(__xludf.DUMMYFUNCTION("""COMPUTED_VALUE"""),-2.9584524777857166)</f>
        <v>-2.958452478</v>
      </c>
      <c r="AX576" s="32">
        <f>IFERROR(__xludf.DUMMYFUNCTION("""COMPUTED_VALUE"""),55.97152827459723)</f>
        <v>55.97152827</v>
      </c>
      <c r="AY576" s="32">
        <f>IFERROR(__xludf.DUMMYFUNCTION("""COMPUTED_VALUE"""),2.4654429153915065)</f>
        <v>2.465442915</v>
      </c>
      <c r="AZ576" s="30">
        <f>IFERROR(__xludf.DUMMYFUNCTION("""COMPUTED_VALUE"""),5.423895393177223)</f>
        <v>5.423895393</v>
      </c>
      <c r="BA576" s="30">
        <f>IFERROR(__xludf.DUMMYFUNCTION("""COMPUTED_VALUE"""),2300.0)</f>
        <v>2300</v>
      </c>
    </row>
    <row r="577">
      <c r="A577" s="71" t="str">
        <f>IFERROR(__xludf.DUMMYFUNCTION("""COMPUTED_VALUE"""),"Challenger")</f>
        <v>Challenger</v>
      </c>
      <c r="B577" s="71" t="str">
        <f>IFERROR(__xludf.DUMMYFUNCTION("""COMPUTED_VALUE"""),"RSC003387")</f>
        <v>RSC003387</v>
      </c>
      <c r="C577" s="30" t="str">
        <f>IFERROR(__xludf.DUMMYFUNCTION("""COMPUTED_VALUE"""),"Redline")</f>
        <v>Redline</v>
      </c>
      <c r="D577" s="30" t="str">
        <f>IFERROR(__xludf.DUMMYFUNCTION("""COMPUTED_VALUE"""),"Havarti Hustlers")</f>
        <v>Havarti Hustlers</v>
      </c>
      <c r="E577" s="30">
        <f>IFERROR(__xludf.DUMMYFUNCTION("""COMPUTED_VALUE"""),21.0)</f>
        <v>21</v>
      </c>
      <c r="F577" s="30">
        <f>IFERROR(__xludf.DUMMYFUNCTION("""COMPUTED_VALUE"""),12.0)</f>
        <v>12</v>
      </c>
      <c r="G577" s="42">
        <f>IFERROR(__xludf.DUMMYFUNCTION("""COMPUTED_VALUE"""),9.0)</f>
        <v>9</v>
      </c>
      <c r="H577" s="42">
        <f>IFERROR(__xludf.DUMMYFUNCTION("""COMPUTED_VALUE"""),0.5714285714285714)</f>
        <v>0.5714285714</v>
      </c>
      <c r="I577" s="42">
        <f>IFERROR(__xludf.DUMMYFUNCTION("""COMPUTED_VALUE"""),0.2777777777777778)</f>
        <v>0.2777777778</v>
      </c>
      <c r="J577" s="30">
        <f>IFERROR(__xludf.DUMMYFUNCTION("""COMPUTED_VALUE"""),324.6190476190476)</f>
        <v>324.6190476</v>
      </c>
      <c r="K577" s="30">
        <f>IFERROR(__xludf.DUMMYFUNCTION("""COMPUTED_VALUE"""),0.7142857142857143)</f>
        <v>0.7142857143</v>
      </c>
      <c r="L577" s="30">
        <f>IFERROR(__xludf.DUMMYFUNCTION("""COMPUTED_VALUE"""),0.7619047619047619)</f>
        <v>0.7619047619</v>
      </c>
      <c r="M577" s="30">
        <f>IFERROR(__xludf.DUMMYFUNCTION("""COMPUTED_VALUE"""),1.1428571428571428)</f>
        <v>1.142857143</v>
      </c>
      <c r="N577" s="30">
        <f>IFERROR(__xludf.DUMMYFUNCTION("""COMPUTED_VALUE"""),2.5714285714285716)</f>
        <v>2.571428571</v>
      </c>
      <c r="O577" s="30">
        <f>IFERROR(__xludf.DUMMYFUNCTION("""COMPUTED_VALUE"""),335.063492063492)</f>
        <v>335.0634921</v>
      </c>
      <c r="P577" s="30">
        <f>IFERROR(__xludf.DUMMYFUNCTION("""COMPUTED_VALUE"""),0.6031746031746031)</f>
        <v>0.6031746032</v>
      </c>
      <c r="Q577" s="30">
        <f>IFERROR(__xludf.DUMMYFUNCTION("""COMPUTED_VALUE"""),0.4603174603174603)</f>
        <v>0.4603174603</v>
      </c>
      <c r="R577" s="30">
        <f>IFERROR(__xludf.DUMMYFUNCTION("""COMPUTED_VALUE"""),1.5555555555555558)</f>
        <v>1.555555556</v>
      </c>
      <c r="S577" s="30">
        <f>IFERROR(__xludf.DUMMYFUNCTION("""COMPUTED_VALUE"""),2.1428571428571432)</f>
        <v>2.142857143</v>
      </c>
      <c r="T577" s="30">
        <f>IFERROR(__xludf.DUMMYFUNCTION("""COMPUTED_VALUE"""),324.2624608689936)</f>
        <v>324.2624609</v>
      </c>
      <c r="U577" s="30">
        <f>IFERROR(__xludf.DUMMYFUNCTION("""COMPUTED_VALUE"""),0.6738659088302171)</f>
        <v>0.6738659088</v>
      </c>
      <c r="V577" s="30">
        <f>IFERROR(__xludf.DUMMYFUNCTION("""COMPUTED_VALUE"""),0.45155688450976994)</f>
        <v>0.4515568845</v>
      </c>
      <c r="W577" s="30">
        <f>IFERROR(__xludf.DUMMYFUNCTION("""COMPUTED_VALUE"""),1.2801710823103247)</f>
        <v>1.280171082</v>
      </c>
      <c r="X577" s="30">
        <f>IFERROR(__xludf.DUMMYFUNCTION("""COMPUTED_VALUE"""),2.3338175029684693)</f>
        <v>2.333817503</v>
      </c>
      <c r="Y577" s="30">
        <f>IFERROR(__xludf.DUMMYFUNCTION("""COMPUTED_VALUE"""),337.9084750582727)</f>
        <v>337.9084751</v>
      </c>
      <c r="Z577" s="30">
        <f>IFERROR(__xludf.DUMMYFUNCTION("""COMPUTED_VALUE"""),0.7959829836109917)</f>
        <v>0.7959829836</v>
      </c>
      <c r="AA577" s="30">
        <f>IFERROR(__xludf.DUMMYFUNCTION("""COMPUTED_VALUE"""),0.5621684036479524)</f>
        <v>0.5621684036</v>
      </c>
      <c r="AB577" s="30">
        <f>IFERROR(__xludf.DUMMYFUNCTION("""COMPUTED_VALUE"""),1.2128709262555009)</f>
        <v>1.212870926</v>
      </c>
      <c r="AC577" s="30">
        <f>IFERROR(__xludf.DUMMYFUNCTION("""COMPUTED_VALUE"""),2.531093636103462)</f>
        <v>2.531093636</v>
      </c>
      <c r="AD577" s="30">
        <f>IFERROR(__xludf.DUMMYFUNCTION("""COMPUTED_VALUE"""),0.9606715178217021)</f>
        <v>0.9606715178</v>
      </c>
      <c r="AE577" s="30">
        <f>IFERROR(__xludf.DUMMYFUNCTION("""COMPUTED_VALUE"""),0.8973630454326345)</f>
        <v>0.8973630454</v>
      </c>
      <c r="AF577" s="30">
        <f>IFERROR(__xludf.DUMMYFUNCTION("""COMPUTED_VALUE"""),1.3552963079402995)</f>
        <v>1.355296308</v>
      </c>
      <c r="AG577" s="30">
        <f>IFERROR(__xludf.DUMMYFUNCTION("""COMPUTED_VALUE"""),0.9422743328389347)</f>
        <v>0.9422743328</v>
      </c>
      <c r="AH577" s="30">
        <f>IFERROR(__xludf.DUMMYFUNCTION("""COMPUTED_VALUE"""),1.0159357736710222)</f>
        <v>1.015935774</v>
      </c>
      <c r="AI577" s="30">
        <f>IFERROR(__xludf.DUMMYFUNCTION("""COMPUTED_VALUE"""),1.033309533165056)</f>
        <v>1.033309533</v>
      </c>
      <c r="AJ577" s="30">
        <f>IFERROR(__xludf.DUMMYFUNCTION("""COMPUTED_VALUE"""),0.8950958866900849)</f>
        <v>0.8950958867</v>
      </c>
      <c r="AK577" s="30">
        <f>IFERROR(__xludf.DUMMYFUNCTION("""COMPUTED_VALUE"""),1.0194008243661288)</f>
        <v>1.019400824</v>
      </c>
      <c r="AL577" s="30">
        <f>IFERROR(__xludf.DUMMYFUNCTION("""COMPUTED_VALUE"""),1.215115367821186)</f>
        <v>1.215115368</v>
      </c>
      <c r="AM577" s="30">
        <f>IFERROR(__xludf.DUMMYFUNCTION("""COMPUTED_VALUE"""),0.9181768240796735)</f>
        <v>0.9181768241</v>
      </c>
      <c r="AN577" s="30">
        <f>IFERROR(__xludf.DUMMYFUNCTION("""COMPUTED_VALUE"""),0.9875487606311981)</f>
        <v>0.9875487606</v>
      </c>
      <c r="AO577" s="30">
        <f>IFERROR(__xludf.DUMMYFUNCTION("""COMPUTED_VALUE"""),0.9419618500831393)</f>
        <v>0.9419618501</v>
      </c>
      <c r="AP577" s="30">
        <f>IFERROR(__xludf.DUMMYFUNCTION("""COMPUTED_VALUE"""),1.4776424921942393)</f>
        <v>1.477642492</v>
      </c>
      <c r="AQ577" s="30">
        <f>IFERROR(__xludf.DUMMYFUNCTION("""COMPUTED_VALUE"""),0.9530146172993161)</f>
        <v>0.9530146173</v>
      </c>
      <c r="AR577" s="30">
        <f>IFERROR(__xludf.DUMMYFUNCTION("""COMPUTED_VALUE"""),1.0719924138010017)</f>
        <v>1.071992414</v>
      </c>
      <c r="AS577" s="30">
        <f>IFERROR(__xludf.DUMMYFUNCTION("""COMPUTED_VALUE"""),56.0)</f>
        <v>56</v>
      </c>
      <c r="AT577" s="30">
        <f>IFERROR(__xludf.DUMMYFUNCTION("""COMPUTED_VALUE"""),0.6447826683177352)</f>
        <v>0.6447826683</v>
      </c>
      <c r="AU577" s="30">
        <f>IFERROR(__xludf.DUMMYFUNCTION("""COMPUTED_VALUE"""),3.4065814158067456)</f>
        <v>3.406581416</v>
      </c>
      <c r="AV577" s="32">
        <f>IFERROR(__xludf.DUMMYFUNCTION("""COMPUTED_VALUE"""),60.667444819466176)</f>
        <v>60.66744482</v>
      </c>
      <c r="AW577" s="32">
        <f>IFERROR(__xludf.DUMMYFUNCTION("""COMPUTED_VALUE"""),2.9868602413549286)</f>
        <v>2.986860241</v>
      </c>
      <c r="AX577" s="32">
        <f>IFERROR(__xludf.DUMMYFUNCTION("""COMPUTED_VALUE"""),46.59774702523052)</f>
        <v>46.59774703</v>
      </c>
      <c r="AY577" s="32">
        <f>IFERROR(__xludf.DUMMYFUNCTION("""COMPUTED_VALUE"""),-2.2427809510227563)</f>
        <v>-2.242780951</v>
      </c>
      <c r="AZ577" s="30">
        <f>IFERROR(__xludf.DUMMYFUNCTION("""COMPUTED_VALUE"""),5.229641192377684)</f>
        <v>5.229641192</v>
      </c>
      <c r="BA577" s="30">
        <f>IFERROR(__xludf.DUMMYFUNCTION("""COMPUTED_VALUE"""),2300.0)</f>
        <v>2300</v>
      </c>
    </row>
    <row r="578">
      <c r="A578" s="71" t="str">
        <f>IFERROR(__xludf.DUMMYFUNCTION("""COMPUTED_VALUE"""),"Challenger")</f>
        <v>Challenger</v>
      </c>
      <c r="B578" s="71" t="str">
        <f>IFERROR(__xludf.DUMMYFUNCTION("""COMPUTED_VALUE"""),"RSC002412")</f>
        <v>RSC002412</v>
      </c>
      <c r="C578" s="30" t="str">
        <f>IFERROR(__xludf.DUMMYFUNCTION("""COMPUTED_VALUE"""),"Rosefanatic3615")</f>
        <v>Rosefanatic3615</v>
      </c>
      <c r="D578" s="30" t="str">
        <f>IFERROR(__xludf.DUMMYFUNCTION("""COMPUTED_VALUE"""),"Solstice Sake")</f>
        <v>Solstice Sake</v>
      </c>
      <c r="E578" s="30">
        <f>IFERROR(__xludf.DUMMYFUNCTION("""COMPUTED_VALUE"""),24.0)</f>
        <v>24</v>
      </c>
      <c r="F578" s="30">
        <f>IFERROR(__xludf.DUMMYFUNCTION("""COMPUTED_VALUE"""),16.0)</f>
        <v>16</v>
      </c>
      <c r="G578" s="42">
        <f>IFERROR(__xludf.DUMMYFUNCTION("""COMPUTED_VALUE"""),8.0)</f>
        <v>8</v>
      </c>
      <c r="H578" s="42">
        <f>IFERROR(__xludf.DUMMYFUNCTION("""COMPUTED_VALUE"""),0.6666666666666666)</f>
        <v>0.6666666667</v>
      </c>
      <c r="I578" s="42">
        <f>IFERROR(__xludf.DUMMYFUNCTION("""COMPUTED_VALUE"""),0.3571428571428572)</f>
        <v>0.3571428571</v>
      </c>
      <c r="J578" s="30">
        <f>IFERROR(__xludf.DUMMYFUNCTION("""COMPUTED_VALUE"""),395.5416666666667)</f>
        <v>395.5416667</v>
      </c>
      <c r="K578" s="30">
        <f>IFERROR(__xludf.DUMMYFUNCTION("""COMPUTED_VALUE"""),1.0416666666666667)</f>
        <v>1.041666667</v>
      </c>
      <c r="L578" s="30">
        <f>IFERROR(__xludf.DUMMYFUNCTION("""COMPUTED_VALUE"""),0.7083333333333334)</f>
        <v>0.7083333333</v>
      </c>
      <c r="M578" s="30">
        <f>IFERROR(__xludf.DUMMYFUNCTION("""COMPUTED_VALUE"""),1.2916666666666667)</f>
        <v>1.291666667</v>
      </c>
      <c r="N578" s="30">
        <f>IFERROR(__xludf.DUMMYFUNCTION("""COMPUTED_VALUE"""),2.9166666666666665)</f>
        <v>2.916666667</v>
      </c>
      <c r="O578" s="30">
        <f>IFERROR(__xludf.DUMMYFUNCTION("""COMPUTED_VALUE"""),324.8333333333332)</f>
        <v>324.8333333</v>
      </c>
      <c r="P578" s="30">
        <f>IFERROR(__xludf.DUMMYFUNCTION("""COMPUTED_VALUE"""),0.736111111111111)</f>
        <v>0.7361111111</v>
      </c>
      <c r="Q578" s="30">
        <f>IFERROR(__xludf.DUMMYFUNCTION("""COMPUTED_VALUE"""),0.4722222222222223)</f>
        <v>0.4722222222</v>
      </c>
      <c r="R578" s="30">
        <f>IFERROR(__xludf.DUMMYFUNCTION("""COMPUTED_VALUE"""),1.138888888888889)</f>
        <v>1.138888889</v>
      </c>
      <c r="S578" s="30">
        <f>IFERROR(__xludf.DUMMYFUNCTION("""COMPUTED_VALUE"""),2.361111111111111)</f>
        <v>2.361111111</v>
      </c>
      <c r="T578" s="30">
        <f>IFERROR(__xludf.DUMMYFUNCTION("""COMPUTED_VALUE"""),340.99162909279096)</f>
        <v>340.9916291</v>
      </c>
      <c r="U578" s="30">
        <f>IFERROR(__xludf.DUMMYFUNCTION("""COMPUTED_VALUE"""),0.8175176263444018)</f>
        <v>0.8175176263</v>
      </c>
      <c r="V578" s="30">
        <f>IFERROR(__xludf.DUMMYFUNCTION("""COMPUTED_VALUE"""),0.5884409667267335)</f>
        <v>0.5884409667</v>
      </c>
      <c r="W578" s="30">
        <f>IFERROR(__xludf.DUMMYFUNCTION("""COMPUTED_VALUE"""),1.2333346512496484)</f>
        <v>1.233334651</v>
      </c>
      <c r="X578" s="30">
        <f>IFERROR(__xludf.DUMMYFUNCTION("""COMPUTED_VALUE"""),2.476829395439111)</f>
        <v>2.476829395</v>
      </c>
      <c r="Y578" s="30">
        <f>IFERROR(__xludf.DUMMYFUNCTION("""COMPUTED_VALUE"""),338.98937884955103)</f>
        <v>338.9893788</v>
      </c>
      <c r="Z578" s="30">
        <f>IFERROR(__xludf.DUMMYFUNCTION("""COMPUTED_VALUE"""),0.8069587102042551)</f>
        <v>0.8069587102</v>
      </c>
      <c r="AA578" s="30">
        <f>IFERROR(__xludf.DUMMYFUNCTION("""COMPUTED_VALUE"""),0.5578737235713864)</f>
        <v>0.5578737236</v>
      </c>
      <c r="AB578" s="30">
        <f>IFERROR(__xludf.DUMMYFUNCTION("""COMPUTED_VALUE"""),1.2064836060249415)</f>
        <v>1.206483606</v>
      </c>
      <c r="AC578" s="30">
        <f>IFERROR(__xludf.DUMMYFUNCTION("""COMPUTED_VALUE"""),2.4653147670687163)</f>
        <v>2.465314767</v>
      </c>
      <c r="AD578" s="30">
        <f>IFERROR(__xludf.DUMMYFUNCTION("""COMPUTED_VALUE"""),1.1668261348159066)</f>
        <v>1.166826135</v>
      </c>
      <c r="AE578" s="30">
        <f>IFERROR(__xludf.DUMMYFUNCTION("""COMPUTED_VALUE"""),1.2908549762143382)</f>
        <v>1.290854976</v>
      </c>
      <c r="AF578" s="30">
        <f>IFERROR(__xludf.DUMMYFUNCTION("""COMPUTED_VALUE"""),1.269701911749378)</f>
        <v>1.269701912</v>
      </c>
      <c r="AG578" s="30">
        <f>IFERROR(__xludf.DUMMYFUNCTION("""COMPUTED_VALUE"""),1.0706044078977432)</f>
        <v>1.070604408</v>
      </c>
      <c r="AH578" s="30">
        <f>IFERROR(__xludf.DUMMYFUNCTION("""COMPUTED_VALUE"""),1.183080840478075)</f>
        <v>1.18308084</v>
      </c>
      <c r="AI578" s="30">
        <f>IFERROR(__xludf.DUMMYFUNCTION("""COMPUTED_VALUE"""),0.9526138052055796)</f>
        <v>0.9526138052</v>
      </c>
      <c r="AJ578" s="30">
        <f>IFERROR(__xludf.DUMMYFUNCTION("""COMPUTED_VALUE"""),0.9004223118744157)</f>
        <v>0.9004223119</v>
      </c>
      <c r="AK578" s="30">
        <f>IFERROR(__xludf.DUMMYFUNCTION("""COMPUTED_VALUE"""),0.8024971899033636)</f>
        <v>0.8024971899</v>
      </c>
      <c r="AL578" s="30">
        <f>IFERROR(__xludf.DUMMYFUNCTION("""COMPUTED_VALUE"""),0.9234224366719411)</f>
        <v>0.9234224367</v>
      </c>
      <c r="AM578" s="30">
        <f>IFERROR(__xludf.DUMMYFUNCTION("""COMPUTED_VALUE"""),0.9532796709611545)</f>
        <v>0.953279671</v>
      </c>
      <c r="AN578" s="30">
        <f>IFERROR(__xludf.DUMMYFUNCTION("""COMPUTED_VALUE"""),1.2033079560786226)</f>
        <v>1.203307956</v>
      </c>
      <c r="AO578" s="30">
        <f>IFERROR(__xludf.DUMMYFUNCTION("""COMPUTED_VALUE"""),1.3736943647045783)</f>
        <v>1.373694365</v>
      </c>
      <c r="AP578" s="30">
        <f>IFERROR(__xludf.DUMMYFUNCTION("""COMPUTED_VALUE"""),1.373745754461832)</f>
        <v>1.373745754</v>
      </c>
      <c r="AQ578" s="30">
        <f>IFERROR(__xludf.DUMMYFUNCTION("""COMPUTED_VALUE"""),1.0771050622601646)</f>
        <v>1.077105062</v>
      </c>
      <c r="AR578" s="30">
        <f>IFERROR(__xludf.DUMMYFUNCTION("""COMPUTED_VALUE"""),1.2159173212094694)</f>
        <v>1.215917321</v>
      </c>
      <c r="AS578" s="30">
        <f>IFERROR(__xludf.DUMMYFUNCTION("""COMPUTED_VALUE"""),70.0)</f>
        <v>70</v>
      </c>
      <c r="AT578" s="30">
        <f>IFERROR(__xludf.DUMMYFUNCTION("""COMPUTED_VALUE"""),0.6093728503112839)</f>
        <v>0.6093728503</v>
      </c>
      <c r="AU578" s="30">
        <f>IFERROR(__xludf.DUMMYFUNCTION("""COMPUTED_VALUE"""),4.292202243912161)</f>
        <v>4.292202244</v>
      </c>
      <c r="AV578" s="32">
        <f>IFERROR(__xludf.DUMMYFUNCTION("""COMPUTED_VALUE"""),84.085170381844)</f>
        <v>84.08517038</v>
      </c>
      <c r="AW578" s="32">
        <f>IFERROR(__xludf.DUMMYFUNCTION("""COMPUTED_VALUE"""),11.577133547080205)</f>
        <v>11.57713355</v>
      </c>
      <c r="AX578" s="32">
        <f>IFERROR(__xludf.DUMMYFUNCTION("""COMPUTED_VALUE"""),75.18399331378372)</f>
        <v>75.18399331</v>
      </c>
      <c r="AY578" s="32">
        <f>IFERROR(__xludf.DUMMYFUNCTION("""COMPUTED_VALUE"""),6.374259524055281)</f>
        <v>6.374259524</v>
      </c>
      <c r="AZ578" s="30">
        <f>IFERROR(__xludf.DUMMYFUNCTION("""COMPUTED_VALUE"""),5.202874023024924)</f>
        <v>5.202874023</v>
      </c>
      <c r="BA578" s="30">
        <f>IFERROR(__xludf.DUMMYFUNCTION("""COMPUTED_VALUE"""),2300.0)</f>
        <v>2300</v>
      </c>
    </row>
    <row r="579">
      <c r="A579" s="71" t="str">
        <f>IFERROR(__xludf.DUMMYFUNCTION("""COMPUTED_VALUE"""),"Challenger")</f>
        <v>Challenger</v>
      </c>
      <c r="B579" s="71" t="str">
        <f>IFERROR(__xludf.DUMMYFUNCTION("""COMPUTED_VALUE"""),"RSC008009")</f>
        <v>RSC008009</v>
      </c>
      <c r="C579" s="30" t="str">
        <f>IFERROR(__xludf.DUMMYFUNCTION("""COMPUTED_VALUE"""),"Daddy Driz")</f>
        <v>Daddy Driz</v>
      </c>
      <c r="D579" s="30" t="str">
        <f>IFERROR(__xludf.DUMMYFUNCTION("""COMPUTED_VALUE"""),"Toucans")</f>
        <v>Toucans</v>
      </c>
      <c r="E579" s="30">
        <f>IFERROR(__xludf.DUMMYFUNCTION("""COMPUTED_VALUE"""),27.0)</f>
        <v>27</v>
      </c>
      <c r="F579" s="30">
        <f>IFERROR(__xludf.DUMMYFUNCTION("""COMPUTED_VALUE"""),13.0)</f>
        <v>13</v>
      </c>
      <c r="G579" s="42">
        <f>IFERROR(__xludf.DUMMYFUNCTION("""COMPUTED_VALUE"""),14.0)</f>
        <v>14</v>
      </c>
      <c r="H579" s="42">
        <f>IFERROR(__xludf.DUMMYFUNCTION("""COMPUTED_VALUE"""),0.48148148148148145)</f>
        <v>0.4814814815</v>
      </c>
      <c r="I579" s="42">
        <f>IFERROR(__xludf.DUMMYFUNCTION("""COMPUTED_VALUE"""),0.3559322033898305)</f>
        <v>0.3559322034</v>
      </c>
      <c r="J579" s="30">
        <f>IFERROR(__xludf.DUMMYFUNCTION("""COMPUTED_VALUE"""),324.5925925925926)</f>
        <v>324.5925926</v>
      </c>
      <c r="K579" s="30">
        <f>IFERROR(__xludf.DUMMYFUNCTION("""COMPUTED_VALUE"""),0.7777777777777778)</f>
        <v>0.7777777778</v>
      </c>
      <c r="L579" s="30">
        <f>IFERROR(__xludf.DUMMYFUNCTION("""COMPUTED_VALUE"""),0.25925925925925924)</f>
        <v>0.2592592593</v>
      </c>
      <c r="M579" s="30">
        <f>IFERROR(__xludf.DUMMYFUNCTION("""COMPUTED_VALUE"""),0.9259259259259259)</f>
        <v>0.9259259259</v>
      </c>
      <c r="N579" s="30">
        <f>IFERROR(__xludf.DUMMYFUNCTION("""COMPUTED_VALUE"""),2.185185185185185)</f>
        <v>2.185185185</v>
      </c>
      <c r="O579" s="30">
        <f>IFERROR(__xludf.DUMMYFUNCTION("""COMPUTED_VALUE"""),300.3703703703704)</f>
        <v>300.3703704</v>
      </c>
      <c r="P579" s="30">
        <f>IFERROR(__xludf.DUMMYFUNCTION("""COMPUTED_VALUE"""),0.6419753086419753)</f>
        <v>0.6419753086</v>
      </c>
      <c r="Q579" s="30">
        <f>IFERROR(__xludf.DUMMYFUNCTION("""COMPUTED_VALUE"""),0.4074074074074074)</f>
        <v>0.4074074074</v>
      </c>
      <c r="R579" s="30">
        <f>IFERROR(__xludf.DUMMYFUNCTION("""COMPUTED_VALUE"""),1.1604938271604939)</f>
        <v>1.160493827</v>
      </c>
      <c r="S579" s="30">
        <f>IFERROR(__xludf.DUMMYFUNCTION("""COMPUTED_VALUE"""),2.037037037037037)</f>
        <v>2.037037037</v>
      </c>
      <c r="T579" s="30">
        <f>IFERROR(__xludf.DUMMYFUNCTION("""COMPUTED_VALUE"""),316.27972953959244)</f>
        <v>316.2797295</v>
      </c>
      <c r="U579" s="30">
        <f>IFERROR(__xludf.DUMMYFUNCTION("""COMPUTED_VALUE"""),0.6961597808080404)</f>
        <v>0.6961597808</v>
      </c>
      <c r="V579" s="30">
        <f>IFERROR(__xludf.DUMMYFUNCTION("""COMPUTED_VALUE"""),0.47030501653618156)</f>
        <v>0.4703050165</v>
      </c>
      <c r="W579" s="30">
        <f>IFERROR(__xludf.DUMMYFUNCTION("""COMPUTED_VALUE"""),1.128722948396231)</f>
        <v>1.128722948</v>
      </c>
      <c r="X579" s="30">
        <f>IFERROR(__xludf.DUMMYFUNCTION("""COMPUTED_VALUE"""),2.3959551881985126)</f>
        <v>2.395955188</v>
      </c>
      <c r="Y579" s="30">
        <f>IFERROR(__xludf.DUMMYFUNCTION("""COMPUTED_VALUE"""),321.43234087551525)</f>
        <v>321.4323409</v>
      </c>
      <c r="Z579" s="30">
        <f>IFERROR(__xludf.DUMMYFUNCTION("""COMPUTED_VALUE"""),0.7053572774884451)</f>
        <v>0.7053572775</v>
      </c>
      <c r="AA579" s="30">
        <f>IFERROR(__xludf.DUMMYFUNCTION("""COMPUTED_VALUE"""),0.4987423343361036)</f>
        <v>0.4987423343</v>
      </c>
      <c r="AB579" s="30">
        <f>IFERROR(__xludf.DUMMYFUNCTION("""COMPUTED_VALUE"""),1.1829085370806443)</f>
        <v>1.182908537</v>
      </c>
      <c r="AC579" s="30">
        <f>IFERROR(__xludf.DUMMYFUNCTION("""COMPUTED_VALUE"""),2.2553996501153986)</f>
        <v>2.25539965</v>
      </c>
      <c r="AD579" s="30">
        <f>IFERROR(__xludf.DUMMYFUNCTION("""COMPUTED_VALUE"""),1.0098317789319815)</f>
        <v>1.009831779</v>
      </c>
      <c r="AE579" s="30">
        <f>IFERROR(__xludf.DUMMYFUNCTION("""COMPUTED_VALUE"""),1.102672082079027)</f>
        <v>1.102672082</v>
      </c>
      <c r="AF579" s="30">
        <f>IFERROR(__xludf.DUMMYFUNCTION("""COMPUTED_VALUE"""),0.5198260532753248)</f>
        <v>0.5198260533</v>
      </c>
      <c r="AG579" s="30">
        <f>IFERROR(__xludf.DUMMYFUNCTION("""COMPUTED_VALUE"""),0.7827536085005035)</f>
        <v>0.7827536085</v>
      </c>
      <c r="AH579" s="30">
        <f>IFERROR(__xludf.DUMMYFUNCTION("""COMPUTED_VALUE"""),0.9688682824231968)</f>
        <v>0.9688682824</v>
      </c>
      <c r="AI579" s="30">
        <f>IFERROR(__xludf.DUMMYFUNCTION("""COMPUTED_VALUE"""),0.9496984546167999)</f>
        <v>0.9496984546</v>
      </c>
      <c r="AJ579" s="30">
        <f>IFERROR(__xludf.DUMMYFUNCTION("""COMPUTED_VALUE"""),0.9221666151078527)</f>
        <v>0.9221666151</v>
      </c>
      <c r="AK579" s="30">
        <f>IFERROR(__xludf.DUMMYFUNCTION("""COMPUTED_VALUE"""),0.8662620917973234)</f>
        <v>0.8662620918</v>
      </c>
      <c r="AL579" s="30">
        <f>IFERROR(__xludf.DUMMYFUNCTION("""COMPUTED_VALUE"""),1.0281476325163805)</f>
        <v>1.028147633</v>
      </c>
      <c r="AM579" s="30">
        <f>IFERROR(__xludf.DUMMYFUNCTION("""COMPUTED_VALUE"""),0.8501983038208067)</f>
        <v>0.8501983038</v>
      </c>
      <c r="AN579" s="30">
        <f>IFERROR(__xludf.DUMMYFUNCTION("""COMPUTED_VALUE"""),0.9874682797451266)</f>
        <v>0.9874682797</v>
      </c>
      <c r="AO579" s="30">
        <f>IFERROR(__xludf.DUMMYFUNCTION("""COMPUTED_VALUE"""),1.0256917923127518)</f>
        <v>1.025691792</v>
      </c>
      <c r="AP579" s="30">
        <f>IFERROR(__xludf.DUMMYFUNCTION("""COMPUTED_VALUE"""),0.5028089035938731)</f>
        <v>0.5028089036</v>
      </c>
      <c r="AQ579" s="30">
        <f>IFERROR(__xludf.DUMMYFUNCTION("""COMPUTED_VALUE"""),0.7721183242008348)</f>
        <v>0.7721183242</v>
      </c>
      <c r="AR579" s="30">
        <f>IFERROR(__xludf.DUMMYFUNCTION("""COMPUTED_VALUE"""),0.9109729771601104)</f>
        <v>0.9109729772</v>
      </c>
      <c r="AS579" s="30">
        <f>IFERROR(__xludf.DUMMYFUNCTION("""COMPUTED_VALUE"""),56.0)</f>
        <v>56</v>
      </c>
      <c r="AT579" s="30">
        <f>IFERROR(__xludf.DUMMYFUNCTION("""COMPUTED_VALUE"""),0.5275521820438875)</f>
        <v>0.527552182</v>
      </c>
      <c r="AU579" s="30">
        <f>IFERROR(__xludf.DUMMYFUNCTION("""COMPUTED_VALUE"""),2.749380962404782)</f>
        <v>2.749380962</v>
      </c>
      <c r="AV579" s="32">
        <f>IFERROR(__xludf.DUMMYFUNCTION("""COMPUTED_VALUE"""),43.28964681740116)</f>
        <v>43.28964682</v>
      </c>
      <c r="AW579" s="32">
        <f>IFERROR(__xludf.DUMMYFUNCTION("""COMPUTED_VALUE"""),-2.5368458906089937)</f>
        <v>-2.536845891</v>
      </c>
      <c r="AX579" s="32">
        <f>IFERROR(__xludf.DUMMYFUNCTION("""COMPUTED_VALUE"""),57.14476371430108)</f>
        <v>57.14476371</v>
      </c>
      <c r="AY579" s="32">
        <f>IFERROR(__xludf.DUMMYFUNCTION("""COMPUTED_VALUE"""),2.580516809704382)</f>
        <v>2.58051681</v>
      </c>
      <c r="AZ579" s="30">
        <f>IFERROR(__xludf.DUMMYFUNCTION("""COMPUTED_VALUE"""),5.117362700313375)</f>
        <v>5.1173627</v>
      </c>
      <c r="BA579" s="30">
        <f>IFERROR(__xludf.DUMMYFUNCTION("""COMPUTED_VALUE"""),2300.0)</f>
        <v>2300</v>
      </c>
    </row>
    <row r="580">
      <c r="A580" s="71" t="str">
        <f>IFERROR(__xludf.DUMMYFUNCTION("""COMPUTED_VALUE"""),"Challenger")</f>
        <v>Challenger</v>
      </c>
      <c r="B580" s="71" t="str">
        <f>IFERROR(__xludf.DUMMYFUNCTION("""COMPUTED_VALUE"""),"RSC007093")</f>
        <v>RSC007093</v>
      </c>
      <c r="C580" s="30" t="str">
        <f>IFERROR(__xludf.DUMMYFUNCTION("""COMPUTED_VALUE"""),"Mangy")</f>
        <v>Mangy</v>
      </c>
      <c r="D580" s="30" t="str">
        <f>IFERROR(__xludf.DUMMYFUNCTION("""COMPUTED_VALUE"""),"Meat Lovers")</f>
        <v>Meat Lovers</v>
      </c>
      <c r="E580" s="30">
        <f>IFERROR(__xludf.DUMMYFUNCTION("""COMPUTED_VALUE"""),32.0)</f>
        <v>32</v>
      </c>
      <c r="F580" s="30">
        <f>IFERROR(__xludf.DUMMYFUNCTION("""COMPUTED_VALUE"""),26.0)</f>
        <v>26</v>
      </c>
      <c r="G580" s="42">
        <f>IFERROR(__xludf.DUMMYFUNCTION("""COMPUTED_VALUE"""),6.0)</f>
        <v>6</v>
      </c>
      <c r="H580" s="42">
        <f>IFERROR(__xludf.DUMMYFUNCTION("""COMPUTED_VALUE"""),0.8125)</f>
        <v>0.8125</v>
      </c>
      <c r="I580" s="42">
        <f>IFERROR(__xludf.DUMMYFUNCTION("""COMPUTED_VALUE"""),0.30434782608695654)</f>
        <v>0.3043478261</v>
      </c>
      <c r="J580" s="30">
        <f>IFERROR(__xludf.DUMMYFUNCTION("""COMPUTED_VALUE"""),383.59375)</f>
        <v>383.59375</v>
      </c>
      <c r="K580" s="30">
        <f>IFERROR(__xludf.DUMMYFUNCTION("""COMPUTED_VALUE"""),0.875)</f>
        <v>0.875</v>
      </c>
      <c r="L580" s="30">
        <f>IFERROR(__xludf.DUMMYFUNCTION("""COMPUTED_VALUE"""),0.875)</f>
        <v>0.875</v>
      </c>
      <c r="M580" s="30">
        <f>IFERROR(__xludf.DUMMYFUNCTION("""COMPUTED_VALUE"""),1.34375)</f>
        <v>1.34375</v>
      </c>
      <c r="N580" s="30">
        <f>IFERROR(__xludf.DUMMYFUNCTION("""COMPUTED_VALUE"""),2.875)</f>
        <v>2.875</v>
      </c>
      <c r="O580" s="30">
        <f>IFERROR(__xludf.DUMMYFUNCTION("""COMPUTED_VALUE"""),310.8020833333333)</f>
        <v>310.8020833</v>
      </c>
      <c r="P580" s="30">
        <f>IFERROR(__xludf.DUMMYFUNCTION("""COMPUTED_VALUE"""),0.6250000000000001)</f>
        <v>0.625</v>
      </c>
      <c r="Q580" s="30">
        <f>IFERROR(__xludf.DUMMYFUNCTION("""COMPUTED_VALUE"""),0.44791666666666663)</f>
        <v>0.4479166667</v>
      </c>
      <c r="R580" s="30">
        <f>IFERROR(__xludf.DUMMYFUNCTION("""COMPUTED_VALUE"""),1.2395833333333333)</f>
        <v>1.239583333</v>
      </c>
      <c r="S580" s="30">
        <f>IFERROR(__xludf.DUMMYFUNCTION("""COMPUTED_VALUE"""),2.239583333333333)</f>
        <v>2.239583333</v>
      </c>
      <c r="T580" s="30">
        <f>IFERROR(__xludf.DUMMYFUNCTION("""COMPUTED_VALUE"""),329.60537310922655)</f>
        <v>329.6053731</v>
      </c>
      <c r="U580" s="30">
        <f>IFERROR(__xludf.DUMMYFUNCTION("""COMPUTED_VALUE"""),0.7299627742307415)</f>
        <v>0.7299627742</v>
      </c>
      <c r="V580" s="30">
        <f>IFERROR(__xludf.DUMMYFUNCTION("""COMPUTED_VALUE"""),0.5359177234758352)</f>
        <v>0.5359177235</v>
      </c>
      <c r="W580" s="30">
        <f>IFERROR(__xludf.DUMMYFUNCTION("""COMPUTED_VALUE"""),1.239554387666194)</f>
        <v>1.239554388</v>
      </c>
      <c r="X580" s="30">
        <f>IFERROR(__xludf.DUMMYFUNCTION("""COMPUTED_VALUE"""),2.4361809033853024)</f>
        <v>2.436180903</v>
      </c>
      <c r="Y580" s="30">
        <f>IFERROR(__xludf.DUMMYFUNCTION("""COMPUTED_VALUE"""),345.9648605479616)</f>
        <v>345.9648605</v>
      </c>
      <c r="Z580" s="30">
        <f>IFERROR(__xludf.DUMMYFUNCTION("""COMPUTED_VALUE"""),0.8010104503372709)</f>
        <v>0.8010104503</v>
      </c>
      <c r="AA580" s="30">
        <f>IFERROR(__xludf.DUMMYFUNCTION("""COMPUTED_VALUE"""),0.5880523632181504)</f>
        <v>0.5880523632</v>
      </c>
      <c r="AB580" s="30">
        <f>IFERROR(__xludf.DUMMYFUNCTION("""COMPUTED_VALUE"""),1.263060192287244)</f>
        <v>1.263060192</v>
      </c>
      <c r="AC580" s="30">
        <f>IFERROR(__xludf.DUMMYFUNCTION("""COMPUTED_VALUE"""),2.5163382968215244)</f>
        <v>2.516338297</v>
      </c>
      <c r="AD580" s="30">
        <f>IFERROR(__xludf.DUMMYFUNCTION("""COMPUTED_VALUE"""),1.1087650618402092)</f>
        <v>1.108765062</v>
      </c>
      <c r="AE580" s="30">
        <f>IFERROR(__xludf.DUMMYFUNCTION("""COMPUTED_VALUE"""),1.0923702676183253)</f>
        <v>1.092370268</v>
      </c>
      <c r="AF580" s="30">
        <f>IFERROR(__xludf.DUMMYFUNCTION("""COMPUTED_VALUE"""),1.4879627304131764)</f>
        <v>1.48796273</v>
      </c>
      <c r="AG580" s="30">
        <f>IFERROR(__xludf.DUMMYFUNCTION("""COMPUTED_VALUE"""),1.0638843724198424)</f>
        <v>1.063884372</v>
      </c>
      <c r="AH580" s="30">
        <f>IFERROR(__xludf.DUMMYFUNCTION("""COMPUTED_VALUE"""),1.1425331815008792)</f>
        <v>1.142533182</v>
      </c>
      <c r="AI580" s="30">
        <f>IFERROR(__xludf.DUMMYFUNCTION("""COMPUTED_VALUE"""),0.9429521139218138)</f>
        <v>0.9429521139</v>
      </c>
      <c r="AJ580" s="30">
        <f>IFERROR(__xludf.DUMMYFUNCTION("""COMPUTED_VALUE"""),0.8562080452097649)</f>
        <v>0.8562080452</v>
      </c>
      <c r="AK580" s="30">
        <f>IFERROR(__xludf.DUMMYFUNCTION("""COMPUTED_VALUE"""),0.8357937180386299)</f>
        <v>0.835793718</v>
      </c>
      <c r="AL580" s="30">
        <f>IFERROR(__xludf.DUMMYFUNCTION("""COMPUTED_VALUE"""),1.0000233516717194)</f>
        <v>1.000023352</v>
      </c>
      <c r="AM580" s="30">
        <f>IFERROR(__xludf.DUMMYFUNCTION("""COMPUTED_VALUE"""),0.9193009148956145)</f>
        <v>0.9193009149</v>
      </c>
      <c r="AN580" s="30">
        <f>IFERROR(__xludf.DUMMYFUNCTION("""COMPUTED_VALUE"""),1.1669602729009605)</f>
        <v>1.166960273</v>
      </c>
      <c r="AO580" s="30">
        <f>IFERROR(__xludf.DUMMYFUNCTION("""COMPUTED_VALUE"""),1.1539032663518456)</f>
        <v>1.153903266</v>
      </c>
      <c r="AP580" s="30">
        <f>IFERROR(__xludf.DUMMYFUNCTION("""COMPUTED_VALUE"""),1.6969800496293217)</f>
        <v>1.69698005</v>
      </c>
      <c r="AQ580" s="30">
        <f>IFERROR(__xludf.DUMMYFUNCTION("""COMPUTED_VALUE"""),1.1205367179964616)</f>
        <v>1.120536718</v>
      </c>
      <c r="AR580" s="30">
        <f>IFERROR(__xludf.DUMMYFUNCTION("""COMPUTED_VALUE"""),1.19854707376362)</f>
        <v>1.198547074</v>
      </c>
      <c r="AS580" s="30">
        <f>IFERROR(__xludf.DUMMYFUNCTION("""COMPUTED_VALUE"""),103.0)</f>
        <v>103</v>
      </c>
      <c r="AT580" s="30">
        <f>IFERROR(__xludf.DUMMYFUNCTION("""COMPUTED_VALUE"""),0.7031261446299429)</f>
        <v>0.7031261446</v>
      </c>
      <c r="AU580" s="30">
        <f>IFERROR(__xludf.DUMMYFUNCTION("""COMPUTED_VALUE"""),4.232086478666199)</f>
        <v>4.232086479</v>
      </c>
      <c r="AV580" s="32">
        <f>IFERROR(__xludf.DUMMYFUNCTION("""COMPUTED_VALUE"""),82.49557983945138)</f>
        <v>82.49557984</v>
      </c>
      <c r="AW580" s="32">
        <f>IFERROR(__xludf.DUMMYFUNCTION("""COMPUTED_VALUE"""),10.327293927721565)</f>
        <v>10.32729393</v>
      </c>
      <c r="AX580" s="32">
        <f>IFERROR(__xludf.DUMMYFUNCTION("""COMPUTED_VALUE"""),71.79744657768883)</f>
        <v>71.79744658</v>
      </c>
      <c r="AY580" s="32">
        <f>IFERROR(__xludf.DUMMYFUNCTION("""COMPUTED_VALUE"""),5.218333786819452)</f>
        <v>5.218333787</v>
      </c>
      <c r="AZ580" s="30">
        <f>IFERROR(__xludf.DUMMYFUNCTION("""COMPUTED_VALUE"""),5.108960140902113)</f>
        <v>5.108960141</v>
      </c>
      <c r="BA580" s="30">
        <f>IFERROR(__xludf.DUMMYFUNCTION("""COMPUTED_VALUE"""),2300.0)</f>
        <v>2300</v>
      </c>
    </row>
    <row r="581">
      <c r="A581" s="71" t="str">
        <f>IFERROR(__xludf.DUMMYFUNCTION("""COMPUTED_VALUE"""),"Challenger")</f>
        <v>Challenger</v>
      </c>
      <c r="B581" s="71" t="str">
        <f>IFERROR(__xludf.DUMMYFUNCTION("""COMPUTED_VALUE"""),"RSC006769")</f>
        <v>RSC006769</v>
      </c>
      <c r="C581" s="30" t="str">
        <f>IFERROR(__xludf.DUMMYFUNCTION("""COMPUTED_VALUE"""),"baltostorm")</f>
        <v>baltostorm</v>
      </c>
      <c r="D581" s="30" t="str">
        <f>IFERROR(__xludf.DUMMYFUNCTION("""COMPUTED_VALUE"""),"Decuriones")</f>
        <v>Decuriones</v>
      </c>
      <c r="E581" s="30">
        <f>IFERROR(__xludf.DUMMYFUNCTION("""COMPUTED_VALUE"""),12.0)</f>
        <v>12</v>
      </c>
      <c r="F581" s="30">
        <f>IFERROR(__xludf.DUMMYFUNCTION("""COMPUTED_VALUE"""),10.0)</f>
        <v>10</v>
      </c>
      <c r="G581" s="42">
        <f>IFERROR(__xludf.DUMMYFUNCTION("""COMPUTED_VALUE"""),2.0)</f>
        <v>2</v>
      </c>
      <c r="H581" s="42">
        <f>IFERROR(__xludf.DUMMYFUNCTION("""COMPUTED_VALUE"""),0.8333333333333334)</f>
        <v>0.8333333333</v>
      </c>
      <c r="I581" s="42">
        <f>IFERROR(__xludf.DUMMYFUNCTION("""COMPUTED_VALUE"""),0.3611111111111111)</f>
        <v>0.3611111111</v>
      </c>
      <c r="J581" s="30">
        <f>IFERROR(__xludf.DUMMYFUNCTION("""COMPUTED_VALUE"""),400.3333333333333)</f>
        <v>400.3333333</v>
      </c>
      <c r="K581" s="30">
        <f>IFERROR(__xludf.DUMMYFUNCTION("""COMPUTED_VALUE"""),1.0833333333333333)</f>
        <v>1.083333333</v>
      </c>
      <c r="L581" s="30">
        <f>IFERROR(__xludf.DUMMYFUNCTION("""COMPUTED_VALUE"""),0.75)</f>
        <v>0.75</v>
      </c>
      <c r="M581" s="30">
        <f>IFERROR(__xludf.DUMMYFUNCTION("""COMPUTED_VALUE"""),1.3333333333333333)</f>
        <v>1.333333333</v>
      </c>
      <c r="N581" s="30">
        <f>IFERROR(__xludf.DUMMYFUNCTION("""COMPUTED_VALUE"""),3.0)</f>
        <v>3</v>
      </c>
      <c r="O581" s="30">
        <f>IFERROR(__xludf.DUMMYFUNCTION("""COMPUTED_VALUE"""),269.22222222222223)</f>
        <v>269.2222222</v>
      </c>
      <c r="P581" s="30">
        <f>IFERROR(__xludf.DUMMYFUNCTION("""COMPUTED_VALUE"""),0.4166666666666666)</f>
        <v>0.4166666667</v>
      </c>
      <c r="Q581" s="30">
        <f>IFERROR(__xludf.DUMMYFUNCTION("""COMPUTED_VALUE"""),0.3333333333333333)</f>
        <v>0.3333333333</v>
      </c>
      <c r="R581" s="30">
        <f>IFERROR(__xludf.DUMMYFUNCTION("""COMPUTED_VALUE"""),1.25)</f>
        <v>1.25</v>
      </c>
      <c r="S581" s="30">
        <f>IFERROR(__xludf.DUMMYFUNCTION("""COMPUTED_VALUE"""),1.6666666666666667)</f>
        <v>1.666666667</v>
      </c>
      <c r="T581" s="30">
        <f>IFERROR(__xludf.DUMMYFUNCTION("""COMPUTED_VALUE"""),318.11814161252806)</f>
        <v>318.1181416</v>
      </c>
      <c r="U581" s="30">
        <f>IFERROR(__xludf.DUMMYFUNCTION("""COMPUTED_VALUE"""),0.6626146748834132)</f>
        <v>0.6626146749</v>
      </c>
      <c r="V581" s="30">
        <f>IFERROR(__xludf.DUMMYFUNCTION("""COMPUTED_VALUE"""),0.4172419004467549)</f>
        <v>0.4172419004</v>
      </c>
      <c r="W581" s="30">
        <f>IFERROR(__xludf.DUMMYFUNCTION("""COMPUTED_VALUE"""),1.2470090138970595)</f>
        <v>1.247009014</v>
      </c>
      <c r="X581" s="30">
        <f>IFERROR(__xludf.DUMMYFUNCTION("""COMPUTED_VALUE"""),2.0783967475440437)</f>
        <v>2.078396748</v>
      </c>
      <c r="Y581" s="30">
        <f>IFERROR(__xludf.DUMMYFUNCTION("""COMPUTED_VALUE"""),339.1660743877016)</f>
        <v>339.1660744</v>
      </c>
      <c r="Z581" s="30">
        <f>IFERROR(__xludf.DUMMYFUNCTION("""COMPUTED_VALUE"""),0.8576167029815828)</f>
        <v>0.857616703</v>
      </c>
      <c r="AA581" s="30">
        <f>IFERROR(__xludf.DUMMYFUNCTION("""COMPUTED_VALUE"""),0.5726742419737361)</f>
        <v>0.572674242</v>
      </c>
      <c r="AB581" s="30">
        <f>IFERROR(__xludf.DUMMYFUNCTION("""COMPUTED_VALUE"""),1.127441681017345)</f>
        <v>1.127441681</v>
      </c>
      <c r="AC581" s="30">
        <f>IFERROR(__xludf.DUMMYFUNCTION("""COMPUTED_VALUE"""),2.640037705957219)</f>
        <v>2.640037706</v>
      </c>
      <c r="AD581" s="30">
        <f>IFERROR(__xludf.DUMMYFUNCTION("""COMPUTED_VALUE"""),1.18034604155518)</f>
        <v>1.180346042</v>
      </c>
      <c r="AE581" s="30">
        <f>IFERROR(__xludf.DUMMYFUNCTION("""COMPUTED_VALUE"""),1.2631905716936553)</f>
        <v>1.263190572</v>
      </c>
      <c r="AF581" s="30">
        <f>IFERROR(__xludf.DUMMYFUNCTION("""COMPUTED_VALUE"""),1.309645073986751)</f>
        <v>1.309645074</v>
      </c>
      <c r="AG581" s="30">
        <f>IFERROR(__xludf.DUMMYFUNCTION("""COMPUTED_VALUE"""),1.1826184500560617)</f>
        <v>1.18261845</v>
      </c>
      <c r="AH581" s="30">
        <f>IFERROR(__xludf.DUMMYFUNCTION("""COMPUTED_VALUE"""),1.136347406414132)</f>
        <v>1.136347406</v>
      </c>
      <c r="AI581" s="30">
        <f>IFERROR(__xludf.DUMMYFUNCTION("""COMPUTED_VALUE"""),0.8462963503355879)</f>
        <v>0.8462963503</v>
      </c>
      <c r="AJ581" s="30">
        <f>IFERROR(__xludf.DUMMYFUNCTION("""COMPUTED_VALUE"""),0.6288219721967053)</f>
        <v>0.6288219722</v>
      </c>
      <c r="AK581" s="30">
        <f>IFERROR(__xludf.DUMMYFUNCTION("""COMPUTED_VALUE"""),0.7988970737992088)</f>
        <v>0.7988970738</v>
      </c>
      <c r="AL581" s="30">
        <f>IFERROR(__xludf.DUMMYFUNCTION("""COMPUTED_VALUE"""),1.002398528053613)</f>
        <v>1.002398528</v>
      </c>
      <c r="AM581" s="30">
        <f>IFERROR(__xludf.DUMMYFUNCTION("""COMPUTED_VALUE"""),0.8019001514682403)</f>
        <v>0.8019001515</v>
      </c>
      <c r="AN581" s="30">
        <f>IFERROR(__xludf.DUMMYFUNCTION("""COMPUTED_VALUE"""),1.217885056568356)</f>
        <v>1.217885057</v>
      </c>
      <c r="AO581" s="30">
        <f>IFERROR(__xludf.DUMMYFUNCTION("""COMPUTED_VALUE"""),1.428642139292761)</f>
        <v>1.428642139</v>
      </c>
      <c r="AP581" s="30">
        <f>IFERROR(__xludf.DUMMYFUNCTION("""COMPUTED_VALUE"""),1.4545543282537043)</f>
        <v>1.454554328</v>
      </c>
      <c r="AQ581" s="30">
        <f>IFERROR(__xludf.DUMMYFUNCTION("""COMPUTED_VALUE"""),1.111850386849202)</f>
        <v>1.111850387</v>
      </c>
      <c r="AR581" s="30">
        <f>IFERROR(__xludf.DUMMYFUNCTION("""COMPUTED_VALUE"""),1.2506578161011686)</f>
        <v>1.250657816</v>
      </c>
      <c r="AS581" s="30">
        <f>IFERROR(__xludf.DUMMYFUNCTION("""COMPUTED_VALUE"""),36.0)</f>
        <v>36</v>
      </c>
      <c r="AT581" s="30">
        <f>IFERROR(__xludf.DUMMYFUNCTION("""COMPUTED_VALUE"""),0.7902008669973493)</f>
        <v>0.790200867</v>
      </c>
      <c r="AU581" s="30">
        <f>IFERROR(__xludf.DUMMYFUNCTION("""COMPUTED_VALUE"""),4.550927015795803)</f>
        <v>4.550927016</v>
      </c>
      <c r="AV581" s="32">
        <f>IFERROR(__xludf.DUMMYFUNCTION("""COMPUTED_VALUE"""),90.9264115901399)</f>
        <v>90.92641159</v>
      </c>
      <c r="AW581" s="32">
        <f>IFERROR(__xludf.DUMMYFUNCTION("""COMPUTED_VALUE"""),19.68142228402073)</f>
        <v>19.68142228</v>
      </c>
      <c r="AX581" s="32">
        <f>IFERROR(__xludf.DUMMYFUNCTION("""COMPUTED_VALUE"""),87.24212015792884)</f>
        <v>87.24212016</v>
      </c>
      <c r="AY581" s="32">
        <f>IFERROR(__xludf.DUMMYFUNCTION("""COMPUTED_VALUE"""),14.672746605192767)</f>
        <v>14.67274661</v>
      </c>
      <c r="AZ581" s="30">
        <f>IFERROR(__xludf.DUMMYFUNCTION("""COMPUTED_VALUE"""),5.008675678827963)</f>
        <v>5.008675679</v>
      </c>
      <c r="BA581" s="30">
        <f>IFERROR(__xludf.DUMMYFUNCTION("""COMPUTED_VALUE"""),2300.0)</f>
        <v>2300</v>
      </c>
    </row>
    <row r="582">
      <c r="A582" s="71" t="str">
        <f>IFERROR(__xludf.DUMMYFUNCTION("""COMPUTED_VALUE"""),"Challenger")</f>
        <v>Challenger</v>
      </c>
      <c r="B582" s="71" t="str">
        <f>IFERROR(__xludf.DUMMYFUNCTION("""COMPUTED_VALUE"""),"RSC003424")</f>
        <v>RSC003424</v>
      </c>
      <c r="C582" s="30" t="str">
        <f>IFERROR(__xludf.DUMMYFUNCTION("""COMPUTED_VALUE"""),"Fryder")</f>
        <v>Fryder</v>
      </c>
      <c r="D582" s="30" t="str">
        <f>IFERROR(__xludf.DUMMYFUNCTION("""COMPUTED_VALUE"""),"Metal")</f>
        <v>Metal</v>
      </c>
      <c r="E582" s="30">
        <f>IFERROR(__xludf.DUMMYFUNCTION("""COMPUTED_VALUE"""),25.0)</f>
        <v>25</v>
      </c>
      <c r="F582" s="30">
        <f>IFERROR(__xludf.DUMMYFUNCTION("""COMPUTED_VALUE"""),10.0)</f>
        <v>10</v>
      </c>
      <c r="G582" s="42">
        <f>IFERROR(__xludf.DUMMYFUNCTION("""COMPUTED_VALUE"""),15.0)</f>
        <v>15</v>
      </c>
      <c r="H582" s="42">
        <f>IFERROR(__xludf.DUMMYFUNCTION("""COMPUTED_VALUE"""),0.4)</f>
        <v>0.4</v>
      </c>
      <c r="I582" s="42">
        <f>IFERROR(__xludf.DUMMYFUNCTION("""COMPUTED_VALUE"""),0.25806451612903225)</f>
        <v>0.2580645161</v>
      </c>
      <c r="J582" s="30">
        <f>IFERROR(__xludf.DUMMYFUNCTION("""COMPUTED_VALUE"""),334.96)</f>
        <v>334.96</v>
      </c>
      <c r="K582" s="30">
        <f>IFERROR(__xludf.DUMMYFUNCTION("""COMPUTED_VALUE"""),0.64)</f>
        <v>0.64</v>
      </c>
      <c r="L582" s="30">
        <f>IFERROR(__xludf.DUMMYFUNCTION("""COMPUTED_VALUE"""),0.56)</f>
        <v>0.56</v>
      </c>
      <c r="M582" s="30">
        <f>IFERROR(__xludf.DUMMYFUNCTION("""COMPUTED_VALUE"""),1.36)</f>
        <v>1.36</v>
      </c>
      <c r="N582" s="30">
        <f>IFERROR(__xludf.DUMMYFUNCTION("""COMPUTED_VALUE"""),2.48)</f>
        <v>2.48</v>
      </c>
      <c r="O582" s="30">
        <f>IFERROR(__xludf.DUMMYFUNCTION("""COMPUTED_VALUE"""),323.05333333333334)</f>
        <v>323.0533333</v>
      </c>
      <c r="P582" s="30">
        <f>IFERROR(__xludf.DUMMYFUNCTION("""COMPUTED_VALUE"""),0.7866666666666667)</f>
        <v>0.7866666667</v>
      </c>
      <c r="Q582" s="30">
        <f>IFERROR(__xludf.DUMMYFUNCTION("""COMPUTED_VALUE"""),0.5199999999999999)</f>
        <v>0.52</v>
      </c>
      <c r="R582" s="30">
        <f>IFERROR(__xludf.DUMMYFUNCTION("""COMPUTED_VALUE"""),1.0533333333333337)</f>
        <v>1.053333333</v>
      </c>
      <c r="S582" s="30">
        <f>IFERROR(__xludf.DUMMYFUNCTION("""COMPUTED_VALUE"""),2.3466666666666667)</f>
        <v>2.346666667</v>
      </c>
      <c r="T582" s="30">
        <f>IFERROR(__xludf.DUMMYFUNCTION("""COMPUTED_VALUE"""),325.85967483443324)</f>
        <v>325.8596748</v>
      </c>
      <c r="U582" s="30">
        <f>IFERROR(__xludf.DUMMYFUNCTION("""COMPUTED_VALUE"""),0.7236113614557148)</f>
        <v>0.7236113615</v>
      </c>
      <c r="V582" s="30">
        <f>IFERROR(__xludf.DUMMYFUNCTION("""COMPUTED_VALUE"""),0.4988205122782104)</f>
        <v>0.4988205123</v>
      </c>
      <c r="W582" s="30">
        <f>IFERROR(__xludf.DUMMYFUNCTION("""COMPUTED_VALUE"""),1.2415519367168584)</f>
        <v>1.241551937</v>
      </c>
      <c r="X582" s="30">
        <f>IFERROR(__xludf.DUMMYFUNCTION("""COMPUTED_VALUE"""),2.2957057587007204)</f>
        <v>2.295705759</v>
      </c>
      <c r="Y582" s="30">
        <f>IFERROR(__xludf.DUMMYFUNCTION("""COMPUTED_VALUE"""),346.44341766676416)</f>
        <v>346.4434177</v>
      </c>
      <c r="Z582" s="30">
        <f>IFERROR(__xludf.DUMMYFUNCTION("""COMPUTED_VALUE"""),0.8466167747278134)</f>
        <v>0.8466167747</v>
      </c>
      <c r="AA582" s="30">
        <f>IFERROR(__xludf.DUMMYFUNCTION("""COMPUTED_VALUE"""),0.6079816374658626)</f>
        <v>0.6079816375</v>
      </c>
      <c r="AB582" s="30">
        <f>IFERROR(__xludf.DUMMYFUNCTION("""COMPUTED_VALUE"""),1.1668701817156966)</f>
        <v>1.166870182</v>
      </c>
      <c r="AC582" s="30">
        <f>IFERROR(__xludf.DUMMYFUNCTION("""COMPUTED_VALUE"""),2.5685094382628453)</f>
        <v>2.568509438</v>
      </c>
      <c r="AD582" s="30">
        <f>IFERROR(__xludf.DUMMYFUNCTION("""COMPUTED_VALUE"""),0.966853410741347)</f>
        <v>0.9668534107</v>
      </c>
      <c r="AE582" s="30">
        <f>IFERROR(__xludf.DUMMYFUNCTION("""COMPUTED_VALUE"""),0.7559500580481169)</f>
        <v>0.755950058</v>
      </c>
      <c r="AF582" s="30">
        <f>IFERROR(__xludf.DUMMYFUNCTION("""COMPUTED_VALUE"""),0.9210804496236834)</f>
        <v>0.9210804496</v>
      </c>
      <c r="AG582" s="30">
        <f>IFERROR(__xludf.DUMMYFUNCTION("""COMPUTED_VALUE"""),1.1655109722662866)</f>
        <v>1.165510972</v>
      </c>
      <c r="AH582" s="30">
        <f>IFERROR(__xludf.DUMMYFUNCTION("""COMPUTED_VALUE"""),0.9655405438873113)</f>
        <v>0.9655405439</v>
      </c>
      <c r="AI582" s="30">
        <f>IFERROR(__xludf.DUMMYFUNCTION("""COMPUTED_VALUE"""),0.9913878834423874)</f>
        <v>0.9913878834</v>
      </c>
      <c r="AJ582" s="30">
        <f>IFERROR(__xludf.DUMMYFUNCTION("""COMPUTED_VALUE"""),1.0871397390501185)</f>
        <v>1.087139739</v>
      </c>
      <c r="AK582" s="30">
        <f>IFERROR(__xludf.DUMMYFUNCTION("""COMPUTED_VALUE"""),1.0424591355015829)</f>
        <v>1.042459136</v>
      </c>
      <c r="AL582" s="30">
        <f>IFERROR(__xludf.DUMMYFUNCTION("""COMPUTED_VALUE"""),0.8484005398265922)</f>
        <v>0.8484005398</v>
      </c>
      <c r="AM582" s="30">
        <f>IFERROR(__xludf.DUMMYFUNCTION("""COMPUTED_VALUE"""),1.0221983622129294)</f>
        <v>1.022198362</v>
      </c>
      <c r="AN582" s="30">
        <f>IFERROR(__xludf.DUMMYFUNCTION("""COMPUTED_VALUE"""),1.0190077732259863)</f>
        <v>1.019007773</v>
      </c>
      <c r="AO582" s="30">
        <f>IFERROR(__xludf.DUMMYFUNCTION("""COMPUTED_VALUE"""),0.8439978176744928)</f>
        <v>0.8439978177</v>
      </c>
      <c r="AP582" s="30">
        <f>IFERROR(__xludf.DUMMYFUNCTION("""COMPUTED_VALUE"""),1.086067231762766)</f>
        <v>1.086067232</v>
      </c>
      <c r="AQ582" s="30">
        <f>IFERROR(__xludf.DUMMYFUNCTION("""COMPUTED_VALUE"""),1.1340873945861862)</f>
        <v>1.134087395</v>
      </c>
      <c r="AR582" s="30">
        <f>IFERROR(__xludf.DUMMYFUNCTION("""COMPUTED_VALUE"""),1.033877127976966)</f>
        <v>1.033877128</v>
      </c>
      <c r="AS582" s="30">
        <f>IFERROR(__xludf.DUMMYFUNCTION("""COMPUTED_VALUE"""),51.0)</f>
        <v>51</v>
      </c>
      <c r="AT582" s="30">
        <f>IFERROR(__xludf.DUMMYFUNCTION("""COMPUTED_VALUE"""),0.4444975339306604)</f>
        <v>0.4444975339</v>
      </c>
      <c r="AU582" s="30">
        <f>IFERROR(__xludf.DUMMYFUNCTION("""COMPUTED_VALUE"""),2.7984995787154285)</f>
        <v>2.798499579</v>
      </c>
      <c r="AV582" s="32">
        <f>IFERROR(__xludf.DUMMYFUNCTION("""COMPUTED_VALUE"""),44.5884490138526)</f>
        <v>44.58844901</v>
      </c>
      <c r="AW582" s="32">
        <f>IFERROR(__xludf.DUMMYFUNCTION("""COMPUTED_VALUE"""),-2.413629441534346)</f>
        <v>-2.413629442</v>
      </c>
      <c r="AX582" s="32">
        <f>IFERROR(__xludf.DUMMYFUNCTION("""COMPUTED_VALUE"""),56.23724648133328)</f>
        <v>56.23724648</v>
      </c>
      <c r="AY582" s="32">
        <f>IFERROR(__xludf.DUMMYFUNCTION("""COMPUTED_VALUE"""),2.490716216150793)</f>
        <v>2.490716216</v>
      </c>
      <c r="AZ582" s="30">
        <f>IFERROR(__xludf.DUMMYFUNCTION("""COMPUTED_VALUE"""),4.904345657685139)</f>
        <v>4.904345658</v>
      </c>
      <c r="BA582" s="30">
        <f>IFERROR(__xludf.DUMMYFUNCTION("""COMPUTED_VALUE"""),2300.0)</f>
        <v>2300</v>
      </c>
    </row>
    <row r="583">
      <c r="A583" s="71" t="str">
        <f>IFERROR(__xludf.DUMMYFUNCTION("""COMPUTED_VALUE"""),"Challenger")</f>
        <v>Challenger</v>
      </c>
      <c r="B583" s="71" t="str">
        <f>IFERROR(__xludf.DUMMYFUNCTION("""COMPUTED_VALUE"""),"RSC006187")</f>
        <v>RSC006187</v>
      </c>
      <c r="C583" s="30" t="str">
        <f>IFERROR(__xludf.DUMMYFUNCTION("""COMPUTED_VALUE"""),"1985 Fiat Panda")</f>
        <v>1985 Fiat Panda</v>
      </c>
      <c r="D583" s="30" t="str">
        <f>IFERROR(__xludf.DUMMYFUNCTION("""COMPUTED_VALUE"""),"Quarter")</f>
        <v>Quarter</v>
      </c>
      <c r="E583" s="30">
        <f>IFERROR(__xludf.DUMMYFUNCTION("""COMPUTED_VALUE"""),30.0)</f>
        <v>30</v>
      </c>
      <c r="F583" s="30">
        <f>IFERROR(__xludf.DUMMYFUNCTION("""COMPUTED_VALUE"""),8.0)</f>
        <v>8</v>
      </c>
      <c r="G583" s="42">
        <f>IFERROR(__xludf.DUMMYFUNCTION("""COMPUTED_VALUE"""),22.0)</f>
        <v>22</v>
      </c>
      <c r="H583" s="42">
        <f>IFERROR(__xludf.DUMMYFUNCTION("""COMPUTED_VALUE"""),0.26666666666666666)</f>
        <v>0.2666666667</v>
      </c>
      <c r="I583" s="42">
        <f>IFERROR(__xludf.DUMMYFUNCTION("""COMPUTED_VALUE"""),0.3877551020408163)</f>
        <v>0.387755102</v>
      </c>
      <c r="J583" s="30">
        <f>IFERROR(__xludf.DUMMYFUNCTION("""COMPUTED_VALUE"""),308.56666666666666)</f>
        <v>308.5666667</v>
      </c>
      <c r="K583" s="30">
        <f>IFERROR(__xludf.DUMMYFUNCTION("""COMPUTED_VALUE"""),0.6333333333333333)</f>
        <v>0.6333333333</v>
      </c>
      <c r="L583" s="30">
        <f>IFERROR(__xludf.DUMMYFUNCTION("""COMPUTED_VALUE"""),0.26666666666666666)</f>
        <v>0.2666666667</v>
      </c>
      <c r="M583" s="30">
        <f>IFERROR(__xludf.DUMMYFUNCTION("""COMPUTED_VALUE"""),1.2333333333333334)</f>
        <v>1.233333333</v>
      </c>
      <c r="N583" s="30">
        <f>IFERROR(__xludf.DUMMYFUNCTION("""COMPUTED_VALUE"""),1.6333333333333333)</f>
        <v>1.633333333</v>
      </c>
      <c r="O583" s="30">
        <f>IFERROR(__xludf.DUMMYFUNCTION("""COMPUTED_VALUE"""),353.5444444444445)</f>
        <v>353.5444444</v>
      </c>
      <c r="P583" s="30">
        <f>IFERROR(__xludf.DUMMYFUNCTION("""COMPUTED_VALUE"""),0.9444444444444445)</f>
        <v>0.9444444444</v>
      </c>
      <c r="Q583" s="30">
        <f>IFERROR(__xludf.DUMMYFUNCTION("""COMPUTED_VALUE"""),0.6555555555555556)</f>
        <v>0.6555555556</v>
      </c>
      <c r="R583" s="30">
        <f>IFERROR(__xludf.DUMMYFUNCTION("""COMPUTED_VALUE"""),0.9777777777777779)</f>
        <v>0.9777777778</v>
      </c>
      <c r="S583" s="30">
        <f>IFERROR(__xludf.DUMMYFUNCTION("""COMPUTED_VALUE"""),2.811111111111111)</f>
        <v>2.811111111</v>
      </c>
      <c r="T583" s="30">
        <f>IFERROR(__xludf.DUMMYFUNCTION("""COMPUTED_VALUE"""),340.1815202069933)</f>
        <v>340.1815202</v>
      </c>
      <c r="U583" s="30">
        <f>IFERROR(__xludf.DUMMYFUNCTION("""COMPUTED_VALUE"""),0.825227587592223)</f>
        <v>0.8252275876</v>
      </c>
      <c r="V583" s="30">
        <f>IFERROR(__xludf.DUMMYFUNCTION("""COMPUTED_VALUE"""),0.5772581375674284)</f>
        <v>0.5772581376</v>
      </c>
      <c r="W583" s="30">
        <f>IFERROR(__xludf.DUMMYFUNCTION("""COMPUTED_VALUE"""),1.1449664365348553)</f>
        <v>1.144966437</v>
      </c>
      <c r="X583" s="30">
        <f>IFERROR(__xludf.DUMMYFUNCTION("""COMPUTED_VALUE"""),2.499536593127211)</f>
        <v>2.499536593</v>
      </c>
      <c r="Y583" s="30">
        <f>IFERROR(__xludf.DUMMYFUNCTION("""COMPUTED_VALUE"""),332.4924384587555)</f>
        <v>332.4924385</v>
      </c>
      <c r="Z583" s="30">
        <f>IFERROR(__xludf.DUMMYFUNCTION("""COMPUTED_VALUE"""),0.7707032430626417)</f>
        <v>0.7707032431</v>
      </c>
      <c r="AA583" s="30">
        <f>IFERROR(__xludf.DUMMYFUNCTION("""COMPUTED_VALUE"""),0.5132441198761218)</f>
        <v>0.5132441199</v>
      </c>
      <c r="AB583" s="30">
        <f>IFERROR(__xludf.DUMMYFUNCTION("""COMPUTED_VALUE"""),1.2025671710711654)</f>
        <v>1.202567171</v>
      </c>
      <c r="AC583" s="30">
        <f>IFERROR(__xludf.DUMMYFUNCTION("""COMPUTED_VALUE"""),2.343852972153615)</f>
        <v>2.343852972</v>
      </c>
      <c r="AD583" s="30">
        <f>IFERROR(__xludf.DUMMYFUNCTION("""COMPUTED_VALUE"""),0.9280411551522946)</f>
        <v>0.9280411552</v>
      </c>
      <c r="AE583" s="30">
        <f>IFERROR(__xludf.DUMMYFUNCTION("""COMPUTED_VALUE"""),0.8217603066214901)</f>
        <v>0.8217603066</v>
      </c>
      <c r="AF583" s="30">
        <f>IFERROR(__xludf.DUMMYFUNCTION("""COMPUTED_VALUE"""),0.5195708169652876)</f>
        <v>0.519570817</v>
      </c>
      <c r="AG583" s="30">
        <f>IFERROR(__xludf.DUMMYFUNCTION("""COMPUTED_VALUE"""),1.0255837370271497)</f>
        <v>1.025583737</v>
      </c>
      <c r="AH583" s="30">
        <f>IFERROR(__xludf.DUMMYFUNCTION("""COMPUTED_VALUE"""),0.6968582725701301)</f>
        <v>0.6968582726</v>
      </c>
      <c r="AI583" s="30">
        <f>IFERROR(__xludf.DUMMYFUNCTION("""COMPUTED_VALUE"""),1.039281746490286)</f>
        <v>1.039281746</v>
      </c>
      <c r="AJ583" s="30">
        <f>IFERROR(__xludf.DUMMYFUNCTION("""COMPUTED_VALUE"""),1.1444654282584783)</f>
        <v>1.144465428</v>
      </c>
      <c r="AK583" s="30">
        <f>IFERROR(__xludf.DUMMYFUNCTION("""COMPUTED_VALUE"""),1.1356367505152432)</f>
        <v>1.135636751</v>
      </c>
      <c r="AL583" s="30">
        <f>IFERROR(__xludf.DUMMYFUNCTION("""COMPUTED_VALUE"""),0.8539794238309204)</f>
        <v>0.8539794238</v>
      </c>
      <c r="AM583" s="30">
        <f>IFERROR(__xludf.DUMMYFUNCTION("""COMPUTED_VALUE"""),1.124652913200236)</f>
        <v>1.124652913</v>
      </c>
      <c r="AN583" s="30">
        <f>IFERROR(__xludf.DUMMYFUNCTION("""COMPUTED_VALUE"""),0.9387145685806222)</f>
        <v>0.9387145686</v>
      </c>
      <c r="AO583" s="30">
        <f>IFERROR(__xludf.DUMMYFUNCTION("""COMPUTED_VALUE"""),0.8352061737403834)</f>
        <v>0.8352061737</v>
      </c>
      <c r="AP583" s="30">
        <f>IFERROR(__xludf.DUMMYFUNCTION("""COMPUTED_VALUE"""),0.5171748722679838)</f>
        <v>0.5171748723</v>
      </c>
      <c r="AQ583" s="30">
        <f>IFERROR(__xludf.DUMMYFUNCTION("""COMPUTED_VALUE"""),1.028461607835512)</f>
        <v>1.028461608</v>
      </c>
      <c r="AR583" s="30">
        <f>IFERROR(__xludf.DUMMYFUNCTION("""COMPUTED_VALUE"""),0.6809136998773029)</f>
        <v>0.6809136999</v>
      </c>
      <c r="AS583" s="30">
        <f>IFERROR(__xludf.DUMMYFUNCTION("""COMPUTED_VALUE"""),56.0)</f>
        <v>56</v>
      </c>
      <c r="AT583" s="30">
        <f>IFERROR(__xludf.DUMMYFUNCTION("""COMPUTED_VALUE"""),0.3428455794956665)</f>
        <v>0.3428455795</v>
      </c>
      <c r="AU583" s="30">
        <f>IFERROR(__xludf.DUMMYFUNCTION("""COMPUTED_VALUE"""),1.8398400732913949)</f>
        <v>1.839840073</v>
      </c>
      <c r="AV583" s="32">
        <f>IFERROR(__xludf.DUMMYFUNCTION("""COMPUTED_VALUE"""),19.239423230650626)</f>
        <v>19.23942323</v>
      </c>
      <c r="AW583" s="32">
        <f>IFERROR(__xludf.DUMMYFUNCTION("""COMPUTED_VALUE"""),-9.151696388681462)</f>
        <v>-9.151696389</v>
      </c>
      <c r="AX583" s="32">
        <f>IFERROR(__xludf.DUMMYFUNCTION("""COMPUTED_VALUE"""),31.884982358521597)</f>
        <v>31.88498236</v>
      </c>
      <c r="AY583" s="32">
        <f>IFERROR(__xludf.DUMMYFUNCTION("""COMPUTED_VALUE"""),-4.2671489032611385)</f>
        <v>-4.267148903</v>
      </c>
      <c r="AZ583" s="30">
        <f>IFERROR(__xludf.DUMMYFUNCTION("""COMPUTED_VALUE"""),4.884547485420323)</f>
        <v>4.884547485</v>
      </c>
      <c r="BA583" s="30">
        <f>IFERROR(__xludf.DUMMYFUNCTION("""COMPUTED_VALUE"""),2300.0)</f>
        <v>2300</v>
      </c>
    </row>
    <row r="584">
      <c r="A584" s="71" t="str">
        <f>IFERROR(__xludf.DUMMYFUNCTION("""COMPUTED_VALUE"""),"Challenger")</f>
        <v>Challenger</v>
      </c>
      <c r="B584" s="71" t="str">
        <f>IFERROR(__xludf.DUMMYFUNCTION("""COMPUTED_VALUE"""),"RSC007590")</f>
        <v>RSC007590</v>
      </c>
      <c r="C584" s="30" t="str">
        <f>IFERROR(__xludf.DUMMYFUNCTION("""COMPUTED_VALUE"""),"DonkeyPancakes2")</f>
        <v>DonkeyPancakes2</v>
      </c>
      <c r="D584" s="30" t="str">
        <f>IFERROR(__xludf.DUMMYFUNCTION("""COMPUTED_VALUE"""),"Lions")</f>
        <v>Lions</v>
      </c>
      <c r="E584" s="30">
        <f>IFERROR(__xludf.DUMMYFUNCTION("""COMPUTED_VALUE"""),36.0)</f>
        <v>36</v>
      </c>
      <c r="F584" s="30">
        <f>IFERROR(__xludf.DUMMYFUNCTION("""COMPUTED_VALUE"""),17.0)</f>
        <v>17</v>
      </c>
      <c r="G584" s="42">
        <f>IFERROR(__xludf.DUMMYFUNCTION("""COMPUTED_VALUE"""),19.0)</f>
        <v>19</v>
      </c>
      <c r="H584" s="42">
        <f>IFERROR(__xludf.DUMMYFUNCTION("""COMPUTED_VALUE"""),0.4722222222222222)</f>
        <v>0.4722222222</v>
      </c>
      <c r="I584" s="42">
        <f>IFERROR(__xludf.DUMMYFUNCTION("""COMPUTED_VALUE"""),0.30208333333333337)</f>
        <v>0.3020833333</v>
      </c>
      <c r="J584" s="30">
        <f>IFERROR(__xludf.DUMMYFUNCTION("""COMPUTED_VALUE"""),311.19444444444446)</f>
        <v>311.1944444</v>
      </c>
      <c r="K584" s="30">
        <f>IFERROR(__xludf.DUMMYFUNCTION("""COMPUTED_VALUE"""),0.8055555555555556)</f>
        <v>0.8055555556</v>
      </c>
      <c r="L584" s="30">
        <f>IFERROR(__xludf.DUMMYFUNCTION("""COMPUTED_VALUE"""),0.5)</f>
        <v>0.5</v>
      </c>
      <c r="M584" s="30">
        <f>IFERROR(__xludf.DUMMYFUNCTION("""COMPUTED_VALUE"""),1.0277777777777777)</f>
        <v>1.027777778</v>
      </c>
      <c r="N584" s="30">
        <f>IFERROR(__xludf.DUMMYFUNCTION("""COMPUTED_VALUE"""),2.6666666666666665)</f>
        <v>2.666666667</v>
      </c>
      <c r="O584" s="30">
        <f>IFERROR(__xludf.DUMMYFUNCTION("""COMPUTED_VALUE"""),327.03703703703707)</f>
        <v>327.037037</v>
      </c>
      <c r="P584" s="30">
        <f>IFERROR(__xludf.DUMMYFUNCTION("""COMPUTED_VALUE"""),0.7129629629629629)</f>
        <v>0.712962963</v>
      </c>
      <c r="Q584" s="30">
        <f>IFERROR(__xludf.DUMMYFUNCTION("""COMPUTED_VALUE"""),0.48148148148148134)</f>
        <v>0.4814814815</v>
      </c>
      <c r="R584" s="30">
        <f>IFERROR(__xludf.DUMMYFUNCTION("""COMPUTED_VALUE"""),1.3518518518518516)</f>
        <v>1.351851852</v>
      </c>
      <c r="S584" s="30">
        <f>IFERROR(__xludf.DUMMYFUNCTION("""COMPUTED_VALUE"""),2.2129629629629632)</f>
        <v>2.212962963</v>
      </c>
      <c r="T584" s="30">
        <f>IFERROR(__xludf.DUMMYFUNCTION("""COMPUTED_VALUE"""),334.4834196744647)</f>
        <v>334.4834197</v>
      </c>
      <c r="U584" s="30">
        <f>IFERROR(__xludf.DUMMYFUNCTION("""COMPUTED_VALUE"""),0.7481321485930703)</f>
        <v>0.7481321486</v>
      </c>
      <c r="V584" s="30">
        <f>IFERROR(__xludf.DUMMYFUNCTION("""COMPUTED_VALUE"""),0.5073099127901038)</f>
        <v>0.5073099128</v>
      </c>
      <c r="W584" s="30">
        <f>IFERROR(__xludf.DUMMYFUNCTION("""COMPUTED_VALUE"""),1.259334908884449)</f>
        <v>1.259334909</v>
      </c>
      <c r="X584" s="30">
        <f>IFERROR(__xludf.DUMMYFUNCTION("""COMPUTED_VALUE"""),2.3816099849389953)</f>
        <v>2.381609985</v>
      </c>
      <c r="Y584" s="30">
        <f>IFERROR(__xludf.DUMMYFUNCTION("""COMPUTED_VALUE"""),346.18102262669595)</f>
        <v>346.1810226</v>
      </c>
      <c r="Z584" s="30">
        <f>IFERROR(__xludf.DUMMYFUNCTION("""COMPUTED_VALUE"""),0.8367356513995827)</f>
        <v>0.8367356514</v>
      </c>
      <c r="AA584" s="30">
        <f>IFERROR(__xludf.DUMMYFUNCTION("""COMPUTED_VALUE"""),0.5786773017623692)</f>
        <v>0.5786773018</v>
      </c>
      <c r="AB584" s="30">
        <f>IFERROR(__xludf.DUMMYFUNCTION("""COMPUTED_VALUE"""),1.218387601124547)</f>
        <v>1.218387601</v>
      </c>
      <c r="AC584" s="30">
        <f>IFERROR(__xludf.DUMMYFUNCTION("""COMPUTED_VALUE"""),2.586335305851102)</f>
        <v>2.586335306</v>
      </c>
      <c r="AD584" s="30">
        <f>IFERROR(__xludf.DUMMYFUNCTION("""COMPUTED_VALUE"""),0.8989355975761293)</f>
        <v>0.8989355976</v>
      </c>
      <c r="AE584" s="30">
        <f>IFERROR(__xludf.DUMMYFUNCTION("""COMPUTED_VALUE"""),0.9627360256589126)</f>
        <v>0.9627360257</v>
      </c>
      <c r="AF584" s="30">
        <f>IFERROR(__xludf.DUMMYFUNCTION("""COMPUTED_VALUE"""),0.8640394196856236)</f>
        <v>0.8640394197</v>
      </c>
      <c r="AG584" s="30">
        <f>IFERROR(__xludf.DUMMYFUNCTION("""COMPUTED_VALUE"""),0.8435556770515062)</f>
        <v>0.8435556771</v>
      </c>
      <c r="AH584" s="30">
        <f>IFERROR(__xludf.DUMMYFUNCTION("""COMPUTED_VALUE"""),1.0310599173408916)</f>
        <v>1.031059917</v>
      </c>
      <c r="AI584" s="30">
        <f>IFERROR(__xludf.DUMMYFUNCTION("""COMPUTED_VALUE"""),0.9777376629171192)</f>
        <v>0.9777376629</v>
      </c>
      <c r="AJ584" s="30">
        <f>IFERROR(__xludf.DUMMYFUNCTION("""COMPUTED_VALUE"""),0.9529906772536828)</f>
        <v>0.9529906773</v>
      </c>
      <c r="AK584" s="30">
        <f>IFERROR(__xludf.DUMMYFUNCTION("""COMPUTED_VALUE"""),0.9490874696956516)</f>
        <v>0.9490874697</v>
      </c>
      <c r="AL584" s="30">
        <f>IFERROR(__xludf.DUMMYFUNCTION("""COMPUTED_VALUE"""),1.0734649236789255)</f>
        <v>1.073464924</v>
      </c>
      <c r="AM584" s="30">
        <f>IFERROR(__xludf.DUMMYFUNCTION("""COMPUTED_VALUE"""),0.9291878086493864)</f>
        <v>0.9291878086</v>
      </c>
      <c r="AN584" s="30">
        <f>IFERROR(__xludf.DUMMYFUNCTION("""COMPUTED_VALUE"""),0.9467087349941226)</f>
        <v>0.946708735</v>
      </c>
      <c r="AO584" s="30">
        <f>IFERROR(__xludf.DUMMYFUNCTION("""COMPUTED_VALUE"""),1.0623236420382072)</f>
        <v>1.062323642</v>
      </c>
      <c r="AP584" s="30">
        <f>IFERROR(__xludf.DUMMYFUNCTION("""COMPUTED_VALUE"""),0.9697028855024696)</f>
        <v>0.9697028855</v>
      </c>
      <c r="AQ584" s="30">
        <f>IFERROR(__xludf.DUMMYFUNCTION("""COMPUTED_VALUE"""),0.8570513398629266)</f>
        <v>0.8570513399</v>
      </c>
      <c r="AR584" s="30">
        <f>IFERROR(__xludf.DUMMYFUNCTION("""COMPUTED_VALUE"""),1.1116958365343719)</f>
        <v>1.111695837</v>
      </c>
      <c r="AS584" s="30">
        <f>IFERROR(__xludf.DUMMYFUNCTION("""COMPUTED_VALUE"""),88.0)</f>
        <v>88</v>
      </c>
      <c r="AT584" s="30">
        <f>IFERROR(__xludf.DUMMYFUNCTION("""COMPUTED_VALUE"""),0.5514920312529195)</f>
        <v>0.5514920313</v>
      </c>
      <c r="AU584" s="30">
        <f>IFERROR(__xludf.DUMMYFUNCTION("""COMPUTED_VALUE"""),3.0732265413245825)</f>
        <v>3.073226541</v>
      </c>
      <c r="AV584" s="32">
        <f>IFERROR(__xludf.DUMMYFUNCTION("""COMPUTED_VALUE"""),51.852822672193234)</f>
        <v>51.85282267</v>
      </c>
      <c r="AW584" s="32">
        <f>IFERROR(__xludf.DUMMYFUNCTION("""COMPUTED_VALUE"""),2.125577988492932)</f>
        <v>2.125577988</v>
      </c>
      <c r="AX584" s="32">
        <f>IFERROR(__xludf.DUMMYFUNCTION("""COMPUTED_VALUE"""),44.53890902889711)</f>
        <v>44.53890903</v>
      </c>
      <c r="AY584" s="32">
        <f>IFERROR(__xludf.DUMMYFUNCTION("""COMPUTED_VALUE"""),-2.418135627835604)</f>
        <v>-2.418135628</v>
      </c>
      <c r="AZ584" s="30">
        <f>IFERROR(__xludf.DUMMYFUNCTION("""COMPUTED_VALUE"""),4.543713616328535)</f>
        <v>4.543713616</v>
      </c>
      <c r="BA584" s="30">
        <f>IFERROR(__xludf.DUMMYFUNCTION("""COMPUTED_VALUE"""),2300.0)</f>
        <v>2300</v>
      </c>
    </row>
    <row r="585">
      <c r="A585" s="71" t="str">
        <f>IFERROR(__xludf.DUMMYFUNCTION("""COMPUTED_VALUE"""),"Challenger")</f>
        <v>Challenger</v>
      </c>
      <c r="B585" s="71" t="str">
        <f>IFERROR(__xludf.DUMMYFUNCTION("""COMPUTED_VALUE"""),"RSC007568")</f>
        <v>RSC007568</v>
      </c>
      <c r="C585" s="30" t="str">
        <f>IFERROR(__xludf.DUMMYFUNCTION("""COMPUTED_VALUE"""),"Chills1912")</f>
        <v>Chills1912</v>
      </c>
      <c r="D585" s="30" t="str">
        <f>IFERROR(__xludf.DUMMYFUNCTION("""COMPUTED_VALUE"""),"Threshers")</f>
        <v>Threshers</v>
      </c>
      <c r="E585" s="30">
        <f>IFERROR(__xludf.DUMMYFUNCTION("""COMPUTED_VALUE"""),11.0)</f>
        <v>11</v>
      </c>
      <c r="F585" s="30">
        <f>IFERROR(__xludf.DUMMYFUNCTION("""COMPUTED_VALUE"""),4.0)</f>
        <v>4</v>
      </c>
      <c r="G585" s="42">
        <f>IFERROR(__xludf.DUMMYFUNCTION("""COMPUTED_VALUE"""),7.0)</f>
        <v>7</v>
      </c>
      <c r="H585" s="42">
        <f>IFERROR(__xludf.DUMMYFUNCTION("""COMPUTED_VALUE"""),0.36363636363636365)</f>
        <v>0.3636363636</v>
      </c>
      <c r="I585" s="42">
        <f>IFERROR(__xludf.DUMMYFUNCTION("""COMPUTED_VALUE"""),0.3157894736842105)</f>
        <v>0.3157894737</v>
      </c>
      <c r="J585" s="30">
        <f>IFERROR(__xludf.DUMMYFUNCTION("""COMPUTED_VALUE"""),300.3636363636364)</f>
        <v>300.3636364</v>
      </c>
      <c r="K585" s="30">
        <f>IFERROR(__xludf.DUMMYFUNCTION("""COMPUTED_VALUE"""),0.5454545454545454)</f>
        <v>0.5454545455</v>
      </c>
      <c r="L585" s="30">
        <f>IFERROR(__xludf.DUMMYFUNCTION("""COMPUTED_VALUE"""),0.09090909090909091)</f>
        <v>0.09090909091</v>
      </c>
      <c r="M585" s="30">
        <f>IFERROR(__xludf.DUMMYFUNCTION("""COMPUTED_VALUE"""),2.1818181818181817)</f>
        <v>2.181818182</v>
      </c>
      <c r="N585" s="30">
        <f>IFERROR(__xludf.DUMMYFUNCTION("""COMPUTED_VALUE"""),1.7272727272727273)</f>
        <v>1.727272727</v>
      </c>
      <c r="O585" s="30">
        <f>IFERROR(__xludf.DUMMYFUNCTION("""COMPUTED_VALUE"""),333.45454545454544)</f>
        <v>333.4545455</v>
      </c>
      <c r="P585" s="30">
        <f>IFERROR(__xludf.DUMMYFUNCTION("""COMPUTED_VALUE"""),0.7272727272727273)</f>
        <v>0.7272727273</v>
      </c>
      <c r="Q585" s="30">
        <f>IFERROR(__xludf.DUMMYFUNCTION("""COMPUTED_VALUE"""),0.6363636363636362)</f>
        <v>0.6363636364</v>
      </c>
      <c r="R585" s="30">
        <f>IFERROR(__xludf.DUMMYFUNCTION("""COMPUTED_VALUE"""),1.0909090909090908)</f>
        <v>1.090909091</v>
      </c>
      <c r="S585" s="30">
        <f>IFERROR(__xludf.DUMMYFUNCTION("""COMPUTED_VALUE"""),3.303030303030303)</f>
        <v>3.303030303</v>
      </c>
      <c r="T585" s="30">
        <f>IFERROR(__xludf.DUMMYFUNCTION("""COMPUTED_VALUE"""),349.8643082221181)</f>
        <v>349.8643082</v>
      </c>
      <c r="U585" s="30">
        <f>IFERROR(__xludf.DUMMYFUNCTION("""COMPUTED_VALUE"""),0.8205014692281246)</f>
        <v>0.8205014692</v>
      </c>
      <c r="V585" s="30">
        <f>IFERROR(__xludf.DUMMYFUNCTION("""COMPUTED_VALUE"""),0.5617384533343786)</f>
        <v>0.5617384533</v>
      </c>
      <c r="W585" s="30">
        <f>IFERROR(__xludf.DUMMYFUNCTION("""COMPUTED_VALUE"""),1.252560119877607)</f>
        <v>1.25256012</v>
      </c>
      <c r="X585" s="30">
        <f>IFERROR(__xludf.DUMMYFUNCTION("""COMPUTED_VALUE"""),2.73032095553318)</f>
        <v>2.730320956</v>
      </c>
      <c r="Y585" s="30">
        <f>IFERROR(__xludf.DUMMYFUNCTION("""COMPUTED_VALUE"""),319.84451558732826)</f>
        <v>319.8445156</v>
      </c>
      <c r="Z585" s="30">
        <f>IFERROR(__xludf.DUMMYFUNCTION("""COMPUTED_VALUE"""),0.6340514010293298)</f>
        <v>0.634051401</v>
      </c>
      <c r="AA585" s="30">
        <f>IFERROR(__xludf.DUMMYFUNCTION("""COMPUTED_VALUE"""),0.45090021592568275)</f>
        <v>0.4509002159</v>
      </c>
      <c r="AB585" s="30">
        <f>IFERROR(__xludf.DUMMYFUNCTION("""COMPUTED_VALUE"""),1.2868824650375303)</f>
        <v>1.286882465</v>
      </c>
      <c r="AC585" s="30">
        <f>IFERROR(__xludf.DUMMYFUNCTION("""COMPUTED_VALUE"""),2.2860457396676983)</f>
        <v>2.28604574</v>
      </c>
      <c r="AD585" s="30">
        <f>IFERROR(__xludf.DUMMYFUNCTION("""COMPUTED_VALUE"""),0.9390926582313932)</f>
        <v>0.9390926582</v>
      </c>
      <c r="AE585" s="30">
        <f>IFERROR(__xludf.DUMMYFUNCTION("""COMPUTED_VALUE"""),0.86026865419593)</f>
        <v>0.8602686542</v>
      </c>
      <c r="AF585" s="30">
        <f>IFERROR(__xludf.DUMMYFUNCTION("""COMPUTED_VALUE"""),0.20161687153433194)</f>
        <v>0.2016168715</v>
      </c>
      <c r="AG585" s="30">
        <f>IFERROR(__xludf.DUMMYFUNCTION("""COMPUTED_VALUE"""),1.6954292572123528)</f>
        <v>1.695429257</v>
      </c>
      <c r="AH585" s="30">
        <f>IFERROR(__xludf.DUMMYFUNCTION("""COMPUTED_VALUE"""),0.7555722518149638)</f>
        <v>0.7555722518</v>
      </c>
      <c r="AI585" s="30">
        <f>IFERROR(__xludf.DUMMYFUNCTION("""COMPUTED_VALUE"""),0.9530967795744555)</f>
        <v>0.9530967796</v>
      </c>
      <c r="AJ585" s="30">
        <f>IFERROR(__xludf.DUMMYFUNCTION("""COMPUTED_VALUE"""),0.8863758988230686)</f>
        <v>0.8863758988</v>
      </c>
      <c r="AK585" s="30">
        <f>IFERROR(__xludf.DUMMYFUNCTION("""COMPUTED_VALUE"""),1.1328468481840543)</f>
        <v>1.132846848</v>
      </c>
      <c r="AL585" s="30">
        <f>IFERROR(__xludf.DUMMYFUNCTION("""COMPUTED_VALUE"""),0.8709434969202821)</f>
        <v>0.8709434969</v>
      </c>
      <c r="AM585" s="30">
        <f>IFERROR(__xludf.DUMMYFUNCTION("""COMPUTED_VALUE"""),1.2097589832200824)</f>
        <v>1.209758983</v>
      </c>
      <c r="AN585" s="30">
        <f>IFERROR(__xludf.DUMMYFUNCTION("""COMPUTED_VALUE"""),0.9137594944141659)</f>
        <v>0.9137594944</v>
      </c>
      <c r="AO585" s="30">
        <f>IFERROR(__xludf.DUMMYFUNCTION("""COMPUTED_VALUE"""),0.7193163218816699)</f>
        <v>0.7193163219</v>
      </c>
      <c r="AP585" s="30">
        <f>IFERROR(__xludf.DUMMYFUNCTION("""COMPUTED_VALUE"""),0.17630961554590358)</f>
        <v>0.1763096155</v>
      </c>
      <c r="AQ585" s="30">
        <f>IFERROR(__xludf.DUMMYFUNCTION("""COMPUTED_VALUE"""),1.819391542116876)</f>
        <v>1.819391542</v>
      </c>
      <c r="AR585" s="30">
        <f>IFERROR(__xludf.DUMMYFUNCTION("""COMPUTED_VALUE"""),0.7200757123006728)</f>
        <v>0.7200757123</v>
      </c>
      <c r="AS585" s="30">
        <f>IFERROR(__xludf.DUMMYFUNCTION("""COMPUTED_VALUE"""),16.0)</f>
        <v>16</v>
      </c>
      <c r="AT585" s="30">
        <f>IFERROR(__xludf.DUMMYFUNCTION("""COMPUTED_VALUE"""),0.3572530455218765)</f>
        <v>0.3572530455</v>
      </c>
      <c r="AU585" s="30">
        <f>IFERROR(__xludf.DUMMYFUNCTION("""COMPUTED_VALUE"""),1.6557677117598466)</f>
        <v>1.655767712</v>
      </c>
      <c r="AV585" s="32">
        <f>IFERROR(__xludf.DUMMYFUNCTION("""COMPUTED_VALUE"""),14.372152826468685)</f>
        <v>14.37215283</v>
      </c>
      <c r="AW585" s="32">
        <f>IFERROR(__xludf.DUMMYFUNCTION("""COMPUTED_VALUE"""),-12.976540493164972)</f>
        <v>-12.97654049</v>
      </c>
      <c r="AX585" s="32">
        <f>IFERROR(__xludf.DUMMYFUNCTION("""COMPUTED_VALUE"""),10.547720577309562)</f>
        <v>10.54772058</v>
      </c>
      <c r="AY585" s="32">
        <f>IFERROR(__xludf.DUMMYFUNCTION("""COMPUTED_VALUE"""),-17.46043783109401)</f>
        <v>-17.46043783</v>
      </c>
      <c r="AZ585" s="30">
        <f>IFERROR(__xludf.DUMMYFUNCTION("""COMPUTED_VALUE"""),4.4838973379290366)</f>
        <v>4.483897338</v>
      </c>
      <c r="BA585" s="30">
        <f>IFERROR(__xludf.DUMMYFUNCTION("""COMPUTED_VALUE"""),2300.0)</f>
        <v>2300</v>
      </c>
    </row>
    <row r="586">
      <c r="A586" s="71" t="str">
        <f>IFERROR(__xludf.DUMMYFUNCTION("""COMPUTED_VALUE"""),"Challenger")</f>
        <v>Challenger</v>
      </c>
      <c r="B586" s="71" t="str">
        <f>IFERROR(__xludf.DUMMYFUNCTION("""COMPUTED_VALUE"""),"RSC000967")</f>
        <v>RSC000967</v>
      </c>
      <c r="C586" s="30" t="str">
        <f>IFERROR(__xludf.DUMMYFUNCTION("""COMPUTED_VALUE"""),"tr1ppn")</f>
        <v>tr1ppn</v>
      </c>
      <c r="D586" s="30" t="str">
        <f>IFERROR(__xludf.DUMMYFUNCTION("""COMPUTED_VALUE"""),"Bingo")</f>
        <v>Bingo</v>
      </c>
      <c r="E586" s="30">
        <f>IFERROR(__xludf.DUMMYFUNCTION("""COMPUTED_VALUE"""),34.0)</f>
        <v>34</v>
      </c>
      <c r="F586" s="30">
        <f>IFERROR(__xludf.DUMMYFUNCTION("""COMPUTED_VALUE"""),13.0)</f>
        <v>13</v>
      </c>
      <c r="G586" s="42">
        <f>IFERROR(__xludf.DUMMYFUNCTION("""COMPUTED_VALUE"""),21.0)</f>
        <v>21</v>
      </c>
      <c r="H586" s="42">
        <f>IFERROR(__xludf.DUMMYFUNCTION("""COMPUTED_VALUE"""),0.38235294117647056)</f>
        <v>0.3823529412</v>
      </c>
      <c r="I586" s="42">
        <f>IFERROR(__xludf.DUMMYFUNCTION("""COMPUTED_VALUE"""),0.32222222222222224)</f>
        <v>0.3222222222</v>
      </c>
      <c r="J586" s="30">
        <f>IFERROR(__xludf.DUMMYFUNCTION("""COMPUTED_VALUE"""),326.29411764705884)</f>
        <v>326.2941176</v>
      </c>
      <c r="K586" s="30">
        <f>IFERROR(__xludf.DUMMYFUNCTION("""COMPUTED_VALUE"""),0.8529411764705882)</f>
        <v>0.8529411765</v>
      </c>
      <c r="L586" s="30">
        <f>IFERROR(__xludf.DUMMYFUNCTION("""COMPUTED_VALUE"""),0.5)</f>
        <v>0.5</v>
      </c>
      <c r="M586" s="30">
        <f>IFERROR(__xludf.DUMMYFUNCTION("""COMPUTED_VALUE"""),1.0)</f>
        <v>1</v>
      </c>
      <c r="N586" s="30">
        <f>IFERROR(__xludf.DUMMYFUNCTION("""COMPUTED_VALUE"""),2.6470588235294117)</f>
        <v>2.647058824</v>
      </c>
      <c r="O586" s="30">
        <f>IFERROR(__xludf.DUMMYFUNCTION("""COMPUTED_VALUE"""),360.1372549019608)</f>
        <v>360.1372549</v>
      </c>
      <c r="P586" s="30">
        <f>IFERROR(__xludf.DUMMYFUNCTION("""COMPUTED_VALUE"""),1.0098039215686274)</f>
        <v>1.009803922</v>
      </c>
      <c r="Q586" s="30">
        <f>IFERROR(__xludf.DUMMYFUNCTION("""COMPUTED_VALUE"""),0.7647058823529411)</f>
        <v>0.7647058824</v>
      </c>
      <c r="R586" s="30">
        <f>IFERROR(__xludf.DUMMYFUNCTION("""COMPUTED_VALUE"""),0.9117647058823528)</f>
        <v>0.9117647059</v>
      </c>
      <c r="S586" s="30">
        <f>IFERROR(__xludf.DUMMYFUNCTION("""COMPUTED_VALUE"""),2.8627450980392157)</f>
        <v>2.862745098</v>
      </c>
      <c r="T586" s="30">
        <f>IFERROR(__xludf.DUMMYFUNCTION("""COMPUTED_VALUE"""),340.11822502982665)</f>
        <v>340.118225</v>
      </c>
      <c r="U586" s="30">
        <f>IFERROR(__xludf.DUMMYFUNCTION("""COMPUTED_VALUE"""),0.8376993702820349)</f>
        <v>0.8376993703</v>
      </c>
      <c r="V586" s="30">
        <f>IFERROR(__xludf.DUMMYFUNCTION("""COMPUTED_VALUE"""),0.580124456553819)</f>
        <v>0.5801244566</v>
      </c>
      <c r="W586" s="30">
        <f>IFERROR(__xludf.DUMMYFUNCTION("""COMPUTED_VALUE"""),1.100072305604474)</f>
        <v>1.100072306</v>
      </c>
      <c r="X586" s="30">
        <f>IFERROR(__xludf.DUMMYFUNCTION("""COMPUTED_VALUE"""),2.6908963037293363)</f>
        <v>2.690896304</v>
      </c>
      <c r="Y586" s="30">
        <f>IFERROR(__xludf.DUMMYFUNCTION("""COMPUTED_VALUE"""),328.4222932257022)</f>
        <v>328.4222932</v>
      </c>
      <c r="Z586" s="30">
        <f>IFERROR(__xludf.DUMMYFUNCTION("""COMPUTED_VALUE"""),0.7005131511325025)</f>
        <v>0.7005131511</v>
      </c>
      <c r="AA586" s="30">
        <f>IFERROR(__xludf.DUMMYFUNCTION("""COMPUTED_VALUE"""),0.49158623371382576)</f>
        <v>0.4915862337</v>
      </c>
      <c r="AB586" s="30">
        <f>IFERROR(__xludf.DUMMYFUNCTION("""COMPUTED_VALUE"""),1.31065258283861)</f>
        <v>1.310652583</v>
      </c>
      <c r="AC586" s="30">
        <f>IFERROR(__xludf.DUMMYFUNCTION("""COMPUTED_VALUE"""),2.2240506646732072)</f>
        <v>2.224050665</v>
      </c>
      <c r="AD586" s="30">
        <f>IFERROR(__xludf.DUMMYFUNCTION("""COMPUTED_VALUE"""),0.99352000268392)</f>
        <v>0.9935200027</v>
      </c>
      <c r="AE586" s="30">
        <f>IFERROR(__xludf.DUMMYFUNCTION("""COMPUTED_VALUE"""),1.2175948090220134)</f>
        <v>1.217594809</v>
      </c>
      <c r="AF586" s="30">
        <f>IFERROR(__xludf.DUMMYFUNCTION("""COMPUTED_VALUE"""),1.0171155449627018)</f>
        <v>1.017115545</v>
      </c>
      <c r="AG586" s="30">
        <f>IFERROR(__xludf.DUMMYFUNCTION("""COMPUTED_VALUE"""),0.7629786970962213)</f>
        <v>0.7629786971</v>
      </c>
      <c r="AH586" s="30">
        <f>IFERROR(__xludf.DUMMYFUNCTION("""COMPUTED_VALUE"""),1.19019717741833)</f>
        <v>1.190197177</v>
      </c>
      <c r="AI586" s="30">
        <f>IFERROR(__xludf.DUMMYFUNCTION("""COMPUTED_VALUE"""),1.0588590331211407)</f>
        <v>1.058859033</v>
      </c>
      <c r="AJ586" s="30">
        <f>IFERROR(__xludf.DUMMYFUNCTION("""COMPUTED_VALUE"""),1.205449063700082)</f>
        <v>1.205449064</v>
      </c>
      <c r="AK586" s="30">
        <f>IFERROR(__xludf.DUMMYFUNCTION("""COMPUTED_VALUE"""),1.3181755633879197)</f>
        <v>1.318175563</v>
      </c>
      <c r="AL586" s="30">
        <f>IFERROR(__xludf.DUMMYFUNCTION("""COMPUTED_VALUE"""),0.8288225248806269)</f>
        <v>0.8288225249</v>
      </c>
      <c r="AM586" s="30">
        <f>IFERROR(__xludf.DUMMYFUNCTION("""COMPUTED_VALUE"""),1.0638630310918011)</f>
        <v>1.063863031</v>
      </c>
      <c r="AN586" s="30">
        <f>IFERROR(__xludf.DUMMYFUNCTION("""COMPUTED_VALUE"""),0.9926446209704666)</f>
        <v>0.992644621</v>
      </c>
      <c r="AO586" s="30">
        <f>IFERROR(__xludf.DUMMYFUNCTION("""COMPUTED_VALUE"""),1.1248132680404546)</f>
        <v>1.124813268</v>
      </c>
      <c r="AP586" s="30">
        <f>IFERROR(__xludf.DUMMYFUNCTION("""COMPUTED_VALUE"""),0.9697028855024696)</f>
        <v>0.9697028855</v>
      </c>
      <c r="AQ586" s="30">
        <f>IFERROR(__xludf.DUMMYFUNCTION("""COMPUTED_VALUE"""),0.8338877901369016)</f>
        <v>0.8338877901</v>
      </c>
      <c r="AR586" s="30">
        <f>IFERROR(__xludf.DUMMYFUNCTION("""COMPUTED_VALUE"""),1.1035216024422074)</f>
        <v>1.103521602</v>
      </c>
      <c r="AS586" s="30">
        <f>IFERROR(__xludf.DUMMYFUNCTION("""COMPUTED_VALUE"""),72.0)</f>
        <v>72</v>
      </c>
      <c r="AT586" s="30">
        <f>IFERROR(__xludf.DUMMYFUNCTION("""COMPUTED_VALUE"""),0.36053814539393786)</f>
        <v>0.3605381454</v>
      </c>
      <c r="AU586" s="30">
        <f>IFERROR(__xludf.DUMMYFUNCTION("""COMPUTED_VALUE"""),3.185969797871051)</f>
        <v>3.185969798</v>
      </c>
      <c r="AV586" s="32">
        <f>IFERROR(__xludf.DUMMYFUNCTION("""COMPUTED_VALUE"""),54.83399763672297)</f>
        <v>54.83399764</v>
      </c>
      <c r="AW586" s="32">
        <f>IFERROR(__xludf.DUMMYFUNCTION("""COMPUTED_VALUE"""),2.3621755776602)</f>
        <v>2.362175578</v>
      </c>
      <c r="AX586" s="32">
        <f>IFERROR(__xludf.DUMMYFUNCTION("""COMPUTED_VALUE"""),48.30144085734485)</f>
        <v>48.30144086</v>
      </c>
      <c r="AY586" s="32">
        <f>IFERROR(__xludf.DUMMYFUNCTION("""COMPUTED_VALUE"""),-2.1145415129913645)</f>
        <v>-2.114541513</v>
      </c>
      <c r="AZ586" s="30">
        <f>IFERROR(__xludf.DUMMYFUNCTION("""COMPUTED_VALUE"""),4.476717090651564)</f>
        <v>4.476717091</v>
      </c>
      <c r="BA586" s="30">
        <f>IFERROR(__xludf.DUMMYFUNCTION("""COMPUTED_VALUE"""),2300.0)</f>
        <v>2300</v>
      </c>
    </row>
    <row r="587">
      <c r="A587" s="71" t="str">
        <f>IFERROR(__xludf.DUMMYFUNCTION("""COMPUTED_VALUE"""),"Challenger")</f>
        <v>Challenger</v>
      </c>
      <c r="B587" s="71" t="str">
        <f>IFERROR(__xludf.DUMMYFUNCTION("""COMPUTED_VALUE"""),"RSC006642")</f>
        <v>RSC006642</v>
      </c>
      <c r="C587" s="30" t="str">
        <f>IFERROR(__xludf.DUMMYFUNCTION("""COMPUTED_VALUE"""),"Zonekiller.")</f>
        <v>Zonekiller.</v>
      </c>
      <c r="D587" s="30" t="str">
        <f>IFERROR(__xludf.DUMMYFUNCTION("""COMPUTED_VALUE"""),"Pharaohs")</f>
        <v>Pharaohs</v>
      </c>
      <c r="E587" s="30">
        <f>IFERROR(__xludf.DUMMYFUNCTION("""COMPUTED_VALUE"""),25.0)</f>
        <v>25</v>
      </c>
      <c r="F587" s="30">
        <f>IFERROR(__xludf.DUMMYFUNCTION("""COMPUTED_VALUE"""),10.0)</f>
        <v>10</v>
      </c>
      <c r="G587" s="42">
        <f>IFERROR(__xludf.DUMMYFUNCTION("""COMPUTED_VALUE"""),15.0)</f>
        <v>15</v>
      </c>
      <c r="H587" s="42">
        <f>IFERROR(__xludf.DUMMYFUNCTION("""COMPUTED_VALUE"""),0.4)</f>
        <v>0.4</v>
      </c>
      <c r="I587" s="42">
        <f>IFERROR(__xludf.DUMMYFUNCTION("""COMPUTED_VALUE"""),0.326530612244898)</f>
        <v>0.3265306122</v>
      </c>
      <c r="J587" s="30">
        <f>IFERROR(__xludf.DUMMYFUNCTION("""COMPUTED_VALUE"""),310.68)</f>
        <v>310.68</v>
      </c>
      <c r="K587" s="30">
        <f>IFERROR(__xludf.DUMMYFUNCTION("""COMPUTED_VALUE"""),0.64)</f>
        <v>0.64</v>
      </c>
      <c r="L587" s="30">
        <f>IFERROR(__xludf.DUMMYFUNCTION("""COMPUTED_VALUE"""),0.2)</f>
        <v>0.2</v>
      </c>
      <c r="M587" s="30">
        <f>IFERROR(__xludf.DUMMYFUNCTION("""COMPUTED_VALUE"""),1.4)</f>
        <v>1.4</v>
      </c>
      <c r="N587" s="30">
        <f>IFERROR(__xludf.DUMMYFUNCTION("""COMPUTED_VALUE"""),1.96)</f>
        <v>1.96</v>
      </c>
      <c r="O587" s="30">
        <f>IFERROR(__xludf.DUMMYFUNCTION("""COMPUTED_VALUE"""),338.13333333333327)</f>
        <v>338.1333333</v>
      </c>
      <c r="P587" s="30">
        <f>IFERROR(__xludf.DUMMYFUNCTION("""COMPUTED_VALUE"""),0.7866666666666667)</f>
        <v>0.7866666667</v>
      </c>
      <c r="Q587" s="30">
        <f>IFERROR(__xludf.DUMMYFUNCTION("""COMPUTED_VALUE"""),0.5466666666666665)</f>
        <v>0.5466666667</v>
      </c>
      <c r="R587" s="30">
        <f>IFERROR(__xludf.DUMMYFUNCTION("""COMPUTED_VALUE"""),0.9466666666666665)</f>
        <v>0.9466666667</v>
      </c>
      <c r="S587" s="30">
        <f>IFERROR(__xludf.DUMMYFUNCTION("""COMPUTED_VALUE"""),2.8933333333333335)</f>
        <v>2.893333333</v>
      </c>
      <c r="T587" s="30">
        <f>IFERROR(__xludf.DUMMYFUNCTION("""COMPUTED_VALUE"""),319.4347818698567)</f>
        <v>319.4347819</v>
      </c>
      <c r="U587" s="30">
        <f>IFERROR(__xludf.DUMMYFUNCTION("""COMPUTED_VALUE"""),0.6769402436764865)</f>
        <v>0.6769402437</v>
      </c>
      <c r="V587" s="30">
        <f>IFERROR(__xludf.DUMMYFUNCTION("""COMPUTED_VALUE"""),0.47020192353035484)</f>
        <v>0.4702019235</v>
      </c>
      <c r="W587" s="30">
        <f>IFERROR(__xludf.DUMMYFUNCTION("""COMPUTED_VALUE"""),1.1419777290844657)</f>
        <v>1.141977729</v>
      </c>
      <c r="X587" s="30">
        <f>IFERROR(__xludf.DUMMYFUNCTION("""COMPUTED_VALUE"""),2.367190293191241)</f>
        <v>2.367190293</v>
      </c>
      <c r="Y587" s="30">
        <f>IFERROR(__xludf.DUMMYFUNCTION("""COMPUTED_VALUE"""),332.532670834298)</f>
        <v>332.5326708</v>
      </c>
      <c r="Z587" s="30">
        <f>IFERROR(__xludf.DUMMYFUNCTION("""COMPUTED_VALUE"""),0.7660648266040421)</f>
        <v>0.7660648266</v>
      </c>
      <c r="AA587" s="30">
        <f>IFERROR(__xludf.DUMMYFUNCTION("""COMPUTED_VALUE"""),0.5080385097016977)</f>
        <v>0.5080385097</v>
      </c>
      <c r="AB587" s="30">
        <f>IFERROR(__xludf.DUMMYFUNCTION("""COMPUTED_VALUE"""),1.2308292360823985)</f>
        <v>1.230829236</v>
      </c>
      <c r="AC587" s="30">
        <f>IFERROR(__xludf.DUMMYFUNCTION("""COMPUTED_VALUE"""),2.4043954913886925)</f>
        <v>2.404395491</v>
      </c>
      <c r="AD587" s="30">
        <f>IFERROR(__xludf.DUMMYFUNCTION("""COMPUTED_VALUE"""),0.9342841388201906)</f>
        <v>0.9342841388</v>
      </c>
      <c r="AE587" s="30">
        <f>IFERROR(__xludf.DUMMYFUNCTION("""COMPUTED_VALUE"""),0.8354384352002086)</f>
        <v>0.8354384352</v>
      </c>
      <c r="AF587" s="30">
        <f>IFERROR(__xludf.DUMMYFUNCTION("""COMPUTED_VALUE"""),0.39367094458534835)</f>
        <v>0.3936709446</v>
      </c>
      <c r="AG587" s="30">
        <f>IFERROR(__xludf.DUMMYFUNCTION("""COMPUTED_VALUE"""),1.1374445446681576)</f>
        <v>1.137444545</v>
      </c>
      <c r="AH587" s="30">
        <f>IFERROR(__xludf.DUMMYFUNCTION("""COMPUTED_VALUE"""),0.815173712901938)</f>
        <v>0.8151737129</v>
      </c>
      <c r="AI587" s="30">
        <f>IFERROR(__xludf.DUMMYFUNCTION("""COMPUTED_VALUE"""),1.0585363664971672)</f>
        <v>1.058536366</v>
      </c>
      <c r="AJ587" s="30">
        <f>IFERROR(__xludf.DUMMYFUNCTION("""COMPUTED_VALUE"""),1.1620917415018084)</f>
        <v>1.162091742</v>
      </c>
      <c r="AK587" s="30">
        <f>IFERROR(__xludf.DUMMYFUNCTION("""COMPUTED_VALUE"""),1.162621076839077)</f>
        <v>1.162621077</v>
      </c>
      <c r="AL587" s="30">
        <f>IFERROR(__xludf.DUMMYFUNCTION("""COMPUTED_VALUE"""),0.828971215949735)</f>
        <v>0.8289712159</v>
      </c>
      <c r="AM587" s="30">
        <f>IFERROR(__xludf.DUMMYFUNCTION("""COMPUTED_VALUE"""),1.2222647843966916)</f>
        <v>1.222264784</v>
      </c>
      <c r="AN587" s="30">
        <f>IFERROR(__xludf.DUMMYFUNCTION("""COMPUTED_VALUE"""),0.9451437036835726)</f>
        <v>0.9451437037</v>
      </c>
      <c r="AO587" s="30">
        <f>IFERROR(__xludf.DUMMYFUNCTION("""COMPUTED_VALUE"""),0.8439978176744928)</f>
        <v>0.8439978177</v>
      </c>
      <c r="AP587" s="30">
        <f>IFERROR(__xludf.DUMMYFUNCTION("""COMPUTED_VALUE"""),0.38788115420098784)</f>
        <v>0.3878811542</v>
      </c>
      <c r="AQ587" s="30">
        <f>IFERROR(__xludf.DUMMYFUNCTION("""COMPUTED_VALUE"""),1.1674429061916622)</f>
        <v>1.167442906</v>
      </c>
      <c r="AR587" s="30">
        <f>IFERROR(__xludf.DUMMYFUNCTION("""COMPUTED_VALUE"""),0.8170964398527634)</f>
        <v>0.8170964399</v>
      </c>
      <c r="AS587" s="30">
        <f>IFERROR(__xludf.DUMMYFUNCTION("""COMPUTED_VALUE"""),43.0)</f>
        <v>43</v>
      </c>
      <c r="AT587" s="30">
        <f>IFERROR(__xludf.DUMMYFUNCTION("""COMPUTED_VALUE"""),0.38376498684650273)</f>
        <v>0.3837649868</v>
      </c>
      <c r="AU587" s="30">
        <f>IFERROR(__xludf.DUMMYFUNCTION("""COMPUTED_VALUE"""),1.8616167216887693)</f>
        <v>1.861616722</v>
      </c>
      <c r="AV587" s="32">
        <f>IFERROR(__xludf.DUMMYFUNCTION("""COMPUTED_VALUE"""),19.815244800846816)</f>
        <v>19.8152448</v>
      </c>
      <c r="AW587" s="32">
        <f>IFERROR(__xludf.DUMMYFUNCTION("""COMPUTED_VALUE"""),-8.79964466036497)</f>
        <v>-8.79964466</v>
      </c>
      <c r="AX587" s="32">
        <f>IFERROR(__xludf.DUMMYFUNCTION("""COMPUTED_VALUE"""),31.602732069520467)</f>
        <v>31.60273207</v>
      </c>
      <c r="AY587" s="32">
        <f>IFERROR(__xludf.DUMMYFUNCTION("""COMPUTED_VALUE"""),-4.330905362567506)</f>
        <v>-4.330905363</v>
      </c>
      <c r="AZ587" s="30">
        <f>IFERROR(__xludf.DUMMYFUNCTION("""COMPUTED_VALUE"""),4.468739297797464)</f>
        <v>4.468739298</v>
      </c>
      <c r="BA587" s="30">
        <f>IFERROR(__xludf.DUMMYFUNCTION("""COMPUTED_VALUE"""),2300.0)</f>
        <v>2300</v>
      </c>
    </row>
    <row r="588">
      <c r="A588" s="71" t="str">
        <f>IFERROR(__xludf.DUMMYFUNCTION("""COMPUTED_VALUE"""),"Challenger")</f>
        <v>Challenger</v>
      </c>
      <c r="B588" s="71" t="str">
        <f>IFERROR(__xludf.DUMMYFUNCTION("""COMPUTED_VALUE"""),"RSC007197")</f>
        <v>RSC007197</v>
      </c>
      <c r="C588" s="30" t="str">
        <f>IFERROR(__xludf.DUMMYFUNCTION("""COMPUTED_VALUE"""),"xMaster P")</f>
        <v>xMaster P</v>
      </c>
      <c r="D588" s="30" t="str">
        <f>IFERROR(__xludf.DUMMYFUNCTION("""COMPUTED_VALUE"""),"Mugged")</f>
        <v>Mugged</v>
      </c>
      <c r="E588" s="30">
        <f>IFERROR(__xludf.DUMMYFUNCTION("""COMPUTED_VALUE"""),31.0)</f>
        <v>31</v>
      </c>
      <c r="F588" s="30">
        <f>IFERROR(__xludf.DUMMYFUNCTION("""COMPUTED_VALUE"""),19.0)</f>
        <v>19</v>
      </c>
      <c r="G588" s="42">
        <f>IFERROR(__xludf.DUMMYFUNCTION("""COMPUTED_VALUE"""),12.0)</f>
        <v>12</v>
      </c>
      <c r="H588" s="42">
        <f>IFERROR(__xludf.DUMMYFUNCTION("""COMPUTED_VALUE"""),0.6129032258064516)</f>
        <v>0.6129032258</v>
      </c>
      <c r="I588" s="42">
        <f>IFERROR(__xludf.DUMMYFUNCTION("""COMPUTED_VALUE"""),0.34375)</f>
        <v>0.34375</v>
      </c>
      <c r="J588" s="30">
        <f>IFERROR(__xludf.DUMMYFUNCTION("""COMPUTED_VALUE"""),337.03225806451616)</f>
        <v>337.0322581</v>
      </c>
      <c r="K588" s="30">
        <f>IFERROR(__xludf.DUMMYFUNCTION("""COMPUTED_VALUE"""),0.7096774193548387)</f>
        <v>0.7096774194</v>
      </c>
      <c r="L588" s="30">
        <f>IFERROR(__xludf.DUMMYFUNCTION("""COMPUTED_VALUE"""),0.6129032258064516)</f>
        <v>0.6129032258</v>
      </c>
      <c r="M588" s="30">
        <f>IFERROR(__xludf.DUMMYFUNCTION("""COMPUTED_VALUE"""),1.3225806451612903)</f>
        <v>1.322580645</v>
      </c>
      <c r="N588" s="30">
        <f>IFERROR(__xludf.DUMMYFUNCTION("""COMPUTED_VALUE"""),2.064516129032258)</f>
        <v>2.064516129</v>
      </c>
      <c r="O588" s="30">
        <f>IFERROR(__xludf.DUMMYFUNCTION("""COMPUTED_VALUE"""),315.0537634408602)</f>
        <v>315.0537634</v>
      </c>
      <c r="P588" s="30">
        <f>IFERROR(__xludf.DUMMYFUNCTION("""COMPUTED_VALUE"""),0.7096774193548386)</f>
        <v>0.7096774194</v>
      </c>
      <c r="Q588" s="30">
        <f>IFERROR(__xludf.DUMMYFUNCTION("""COMPUTED_VALUE"""),0.4086021505376344)</f>
        <v>0.4086021505</v>
      </c>
      <c r="R588" s="30">
        <f>IFERROR(__xludf.DUMMYFUNCTION("""COMPUTED_VALUE"""),1.1290322580645162)</f>
        <v>1.129032258</v>
      </c>
      <c r="S588" s="30">
        <f>IFERROR(__xludf.DUMMYFUNCTION("""COMPUTED_VALUE"""),2.6021505376344076)</f>
        <v>2.602150538</v>
      </c>
      <c r="T588" s="30">
        <f>IFERROR(__xludf.DUMMYFUNCTION("""COMPUTED_VALUE"""),322.53026866274274)</f>
        <v>322.5302687</v>
      </c>
      <c r="U588" s="30">
        <f>IFERROR(__xludf.DUMMYFUNCTION("""COMPUTED_VALUE"""),0.724747601785618)</f>
        <v>0.7247476018</v>
      </c>
      <c r="V588" s="30">
        <f>IFERROR(__xludf.DUMMYFUNCTION("""COMPUTED_VALUE"""),0.4720397364782876)</f>
        <v>0.4720397365</v>
      </c>
      <c r="W588" s="30">
        <f>IFERROR(__xludf.DUMMYFUNCTION("""COMPUTED_VALUE"""),1.1708829792546205)</f>
        <v>1.170882979</v>
      </c>
      <c r="X588" s="30">
        <f>IFERROR(__xludf.DUMMYFUNCTION("""COMPUTED_VALUE"""),2.4027143212055484)</f>
        <v>2.402714321</v>
      </c>
      <c r="Y588" s="30">
        <f>IFERROR(__xludf.DUMMYFUNCTION("""COMPUTED_VALUE"""),334.0772227664616)</f>
        <v>334.0772228</v>
      </c>
      <c r="Z588" s="30">
        <f>IFERROR(__xludf.DUMMYFUNCTION("""COMPUTED_VALUE"""),0.7482864436874586)</f>
        <v>0.7482864437</v>
      </c>
      <c r="AA588" s="30">
        <f>IFERROR(__xludf.DUMMYFUNCTION("""COMPUTED_VALUE"""),0.5325505385218646)</f>
        <v>0.5325505385</v>
      </c>
      <c r="AB588" s="30">
        <f>IFERROR(__xludf.DUMMYFUNCTION("""COMPUTED_VALUE"""),1.2244972352072114)</f>
        <v>1.224497235</v>
      </c>
      <c r="AC588" s="30">
        <f>IFERROR(__xludf.DUMMYFUNCTION("""COMPUTED_VALUE"""),2.40030278796109)</f>
        <v>2.400302788</v>
      </c>
      <c r="AD588" s="30">
        <f>IFERROR(__xludf.DUMMYFUNCTION("""COMPUTED_VALUE"""),1.008845365971329)</f>
        <v>1.008845366</v>
      </c>
      <c r="AE588" s="30">
        <f>IFERROR(__xludf.DUMMYFUNCTION("""COMPUTED_VALUE"""),0.9484034160202615)</f>
        <v>0.948403416</v>
      </c>
      <c r="AF588" s="30">
        <f>IFERROR(__xludf.DUMMYFUNCTION("""COMPUTED_VALUE"""),1.1508827453402115)</f>
        <v>1.150882745</v>
      </c>
      <c r="AG588" s="30">
        <f>IFERROR(__xludf.DUMMYFUNCTION("""COMPUTED_VALUE"""),1.0801009648155564)</f>
        <v>1.080100965</v>
      </c>
      <c r="AH588" s="30">
        <f>IFERROR(__xludf.DUMMYFUNCTION("""COMPUTED_VALUE"""),0.8601065413026237)</f>
        <v>0.8601065413</v>
      </c>
      <c r="AI588" s="30">
        <f>IFERROR(__xludf.DUMMYFUNCTION("""COMPUTED_VALUE"""),0.9768192137349427)</f>
        <v>0.9768192137</v>
      </c>
      <c r="AJ588" s="30">
        <f>IFERROR(__xludf.DUMMYFUNCTION("""COMPUTED_VALUE"""),0.979206302451157)</f>
        <v>0.9792063025</v>
      </c>
      <c r="AK588" s="30">
        <f>IFERROR(__xludf.DUMMYFUNCTION("""COMPUTED_VALUE"""),0.8656096488530025)</f>
        <v>0.8656096489</v>
      </c>
      <c r="AL588" s="30">
        <f>IFERROR(__xludf.DUMMYFUNCTION("""COMPUTED_VALUE"""),0.9642571273717325)</f>
        <v>0.9642571274</v>
      </c>
      <c r="AM588" s="30">
        <f>IFERROR(__xludf.DUMMYFUNCTION("""COMPUTED_VALUE"""),1.0830045480932553)</f>
        <v>1.083004548</v>
      </c>
      <c r="AN588" s="30">
        <f>IFERROR(__xludf.DUMMYFUNCTION("""COMPUTED_VALUE"""),1.0253119500706014)</f>
        <v>1.02531195</v>
      </c>
      <c r="AO588" s="30">
        <f>IFERROR(__xludf.DUMMYFUNCTION("""COMPUTED_VALUE"""),0.9358846768567965)</f>
        <v>0.9358846769</v>
      </c>
      <c r="AP588" s="30">
        <f>IFERROR(__xludf.DUMMYFUNCTION("""COMPUTED_VALUE"""),1.1886680531965756)</f>
        <v>1.188668053</v>
      </c>
      <c r="AQ588" s="30">
        <f>IFERROR(__xludf.DUMMYFUNCTION("""COMPUTED_VALUE"""),1.102883851471386)</f>
        <v>1.102883851</v>
      </c>
      <c r="AR588" s="30">
        <f>IFERROR(__xludf.DUMMYFUNCTION("""COMPUTED_VALUE"""),0.8606677444137073)</f>
        <v>0.8606677444</v>
      </c>
      <c r="AS588" s="30">
        <f>IFERROR(__xludf.DUMMYFUNCTION("""COMPUTED_VALUE"""),82.0)</f>
        <v>82</v>
      </c>
      <c r="AT588" s="30">
        <f>IFERROR(__xludf.DUMMYFUNCTION("""COMPUTED_VALUE"""),0.5841818138991858)</f>
        <v>0.5841818139</v>
      </c>
      <c r="AU588" s="30">
        <f>IFERROR(__xludf.DUMMYFUNCTION("""COMPUTED_VALUE"""),3.016682653218094)</f>
        <v>3.016682653</v>
      </c>
      <c r="AV588" s="32">
        <f>IFERROR(__xludf.DUMMYFUNCTION("""COMPUTED_VALUE"""),50.357680268259244)</f>
        <v>50.35768027</v>
      </c>
      <c r="AW588" s="32">
        <f>IFERROR(__xludf.DUMMYFUNCTION("""COMPUTED_VALUE"""),2.0230938450737774)</f>
        <v>2.023093845</v>
      </c>
      <c r="AX588" s="32">
        <f>IFERROR(__xludf.DUMMYFUNCTION("""COMPUTED_VALUE"""),44.31301795328465)</f>
        <v>44.31301795</v>
      </c>
      <c r="AY588" s="32">
        <f>IFERROR(__xludf.DUMMYFUNCTION("""COMPUTED_VALUE"""),-2.4388724733091642)</f>
        <v>-2.438872473</v>
      </c>
      <c r="AZ588" s="30">
        <f>IFERROR(__xludf.DUMMYFUNCTION("""COMPUTED_VALUE"""),4.461966318382942)</f>
        <v>4.461966318</v>
      </c>
      <c r="BA588" s="30">
        <f>IFERROR(__xludf.DUMMYFUNCTION("""COMPUTED_VALUE"""),2300.0)</f>
        <v>2300</v>
      </c>
    </row>
    <row r="589">
      <c r="A589" s="71" t="str">
        <f>IFERROR(__xludf.DUMMYFUNCTION("""COMPUTED_VALUE"""),"Challenger")</f>
        <v>Challenger</v>
      </c>
      <c r="B589" s="71" t="str">
        <f>IFERROR(__xludf.DUMMYFUNCTION("""COMPUTED_VALUE"""),"RSC002911")</f>
        <v>RSC002911</v>
      </c>
      <c r="C589" s="30" t="str">
        <f>IFERROR(__xludf.DUMMYFUNCTION("""COMPUTED_VALUE"""),"Alextross")</f>
        <v>Alextross</v>
      </c>
      <c r="D589" s="30" t="str">
        <f>IFERROR(__xludf.DUMMYFUNCTION("""COMPUTED_VALUE"""),"Meat Lovers")</f>
        <v>Meat Lovers</v>
      </c>
      <c r="E589" s="30">
        <f>IFERROR(__xludf.DUMMYFUNCTION("""COMPUTED_VALUE"""),11.0)</f>
        <v>11</v>
      </c>
      <c r="F589" s="30">
        <f>IFERROR(__xludf.DUMMYFUNCTION("""COMPUTED_VALUE"""),8.0)</f>
        <v>8</v>
      </c>
      <c r="G589" s="42">
        <f>IFERROR(__xludf.DUMMYFUNCTION("""COMPUTED_VALUE"""),3.0)</f>
        <v>3</v>
      </c>
      <c r="H589" s="42">
        <f>IFERROR(__xludf.DUMMYFUNCTION("""COMPUTED_VALUE"""),0.7272727272727273)</f>
        <v>0.7272727273</v>
      </c>
      <c r="I589" s="42">
        <f>IFERROR(__xludf.DUMMYFUNCTION("""COMPUTED_VALUE"""),0.3)</f>
        <v>0.3</v>
      </c>
      <c r="J589" s="30">
        <f>IFERROR(__xludf.DUMMYFUNCTION("""COMPUTED_VALUE"""),258.45454545454544)</f>
        <v>258.4545455</v>
      </c>
      <c r="K589" s="30">
        <f>IFERROR(__xludf.DUMMYFUNCTION("""COMPUTED_VALUE"""),0.5454545454545454)</f>
        <v>0.5454545455</v>
      </c>
      <c r="L589" s="30">
        <f>IFERROR(__xludf.DUMMYFUNCTION("""COMPUTED_VALUE"""),0.45454545454545453)</f>
        <v>0.4545454545</v>
      </c>
      <c r="M589" s="30">
        <f>IFERROR(__xludf.DUMMYFUNCTION("""COMPUTED_VALUE"""),1.0)</f>
        <v>1</v>
      </c>
      <c r="N589" s="30">
        <f>IFERROR(__xludf.DUMMYFUNCTION("""COMPUTED_VALUE"""),1.8181818181818181)</f>
        <v>1.818181818</v>
      </c>
      <c r="O589" s="30">
        <f>IFERROR(__xludf.DUMMYFUNCTION("""COMPUTED_VALUE"""),316.0)</f>
        <v>316</v>
      </c>
      <c r="P589" s="30">
        <f>IFERROR(__xludf.DUMMYFUNCTION("""COMPUTED_VALUE"""),0.6363636363636364)</f>
        <v>0.6363636364</v>
      </c>
      <c r="Q589" s="30">
        <f>IFERROR(__xludf.DUMMYFUNCTION("""COMPUTED_VALUE"""),0.42424242424242425)</f>
        <v>0.4242424242</v>
      </c>
      <c r="R589" s="30">
        <f>IFERROR(__xludf.DUMMYFUNCTION("""COMPUTED_VALUE"""),1.1212121212121213)</f>
        <v>1.121212121</v>
      </c>
      <c r="S589" s="30">
        <f>IFERROR(__xludf.DUMMYFUNCTION("""COMPUTED_VALUE"""),2.272727272727273)</f>
        <v>2.272727273</v>
      </c>
      <c r="T589" s="30">
        <f>IFERROR(__xludf.DUMMYFUNCTION("""COMPUTED_VALUE"""),340.1573756940761)</f>
        <v>340.1573757</v>
      </c>
      <c r="U589" s="30">
        <f>IFERROR(__xludf.DUMMYFUNCTION("""COMPUTED_VALUE"""),0.783300390239551)</f>
        <v>0.7833003902</v>
      </c>
      <c r="V589" s="30">
        <f>IFERROR(__xludf.DUMMYFUNCTION("""COMPUTED_VALUE"""),0.5222547578698221)</f>
        <v>0.5222547579</v>
      </c>
      <c r="W589" s="30">
        <f>IFERROR(__xludf.DUMMYFUNCTION("""COMPUTED_VALUE"""),1.2729640349874956)</f>
        <v>1.272964035</v>
      </c>
      <c r="X589" s="30">
        <f>IFERROR(__xludf.DUMMYFUNCTION("""COMPUTED_VALUE"""),2.3260151503076614)</f>
        <v>2.32601515</v>
      </c>
      <c r="Y589" s="30">
        <f>IFERROR(__xludf.DUMMYFUNCTION("""COMPUTED_VALUE"""),337.27921046351025)</f>
        <v>337.2792105</v>
      </c>
      <c r="Z589" s="30">
        <f>IFERROR(__xludf.DUMMYFUNCTION("""COMPUTED_VALUE"""),0.7588567543261291)</f>
        <v>0.7588567543</v>
      </c>
      <c r="AA589" s="30">
        <f>IFERROR(__xludf.DUMMYFUNCTION("""COMPUTED_VALUE"""),0.5412015622275618)</f>
        <v>0.5412015622</v>
      </c>
      <c r="AB589" s="30">
        <f>IFERROR(__xludf.DUMMYFUNCTION("""COMPUTED_VALUE"""),1.1451106782719624)</f>
        <v>1.145110678</v>
      </c>
      <c r="AC589" s="30">
        <f>IFERROR(__xludf.DUMMYFUNCTION("""COMPUTED_VALUE"""),2.508339790423687)</f>
        <v>2.50833979</v>
      </c>
      <c r="AD589" s="30">
        <f>IFERROR(__xludf.DUMMYFUNCTION("""COMPUTED_VALUE"""),0.7662925476472772)</f>
        <v>0.7662925476</v>
      </c>
      <c r="AE589" s="30">
        <f>IFERROR(__xludf.DUMMYFUNCTION("""COMPUTED_VALUE"""),0.718784595834445)</f>
        <v>0.7187845958</v>
      </c>
      <c r="AF589" s="30">
        <f>IFERROR(__xludf.DUMMYFUNCTION("""COMPUTED_VALUE"""),0.8398820074993233)</f>
        <v>0.8398820075</v>
      </c>
      <c r="AG589" s="30">
        <f>IFERROR(__xludf.DUMMYFUNCTION("""COMPUTED_VALUE"""),0.87327803239863)</f>
        <v>0.8732780324</v>
      </c>
      <c r="AH589" s="30">
        <f>IFERROR(__xludf.DUMMYFUNCTION("""COMPUTED_VALUE"""),0.7248546728490508)</f>
        <v>0.7248546728</v>
      </c>
      <c r="AI589" s="30">
        <f>IFERROR(__xludf.DUMMYFUNCTION("""COMPUTED_VALUE"""),0.928981767204712)</f>
        <v>0.9289817672</v>
      </c>
      <c r="AJ589" s="30">
        <f>IFERROR(__xludf.DUMMYFUNCTION("""COMPUTED_VALUE"""),0.8124132763026225)</f>
        <v>0.8124132763</v>
      </c>
      <c r="AK589" s="30">
        <f>IFERROR(__xludf.DUMMYFUNCTION("""COMPUTED_VALUE"""),0.8123285003143456)</f>
        <v>0.8123285003</v>
      </c>
      <c r="AL589" s="30">
        <f>IFERROR(__xludf.DUMMYFUNCTION("""COMPUTED_VALUE"""),0.8807885300727566)</f>
        <v>0.8807885301</v>
      </c>
      <c r="AM589" s="30">
        <f>IFERROR(__xludf.DUMMYFUNCTION("""COMPUTED_VALUE"""),0.9770904856000873)</f>
        <v>0.9770904856</v>
      </c>
      <c r="AN589" s="30">
        <f>IFERROR(__xludf.DUMMYFUNCTION("""COMPUTED_VALUE"""),0.7862646012770803)</f>
        <v>0.7862646013</v>
      </c>
      <c r="AO589" s="30">
        <f>IFERROR(__xludf.DUMMYFUNCTION("""COMPUTED_VALUE"""),0.7193163218816699)</f>
        <v>0.7193163219</v>
      </c>
      <c r="AP589" s="30">
        <f>IFERROR(__xludf.DUMMYFUNCTION("""COMPUTED_VALUE"""),0.8815480777295178)</f>
        <v>0.8815480777</v>
      </c>
      <c r="AQ589" s="30">
        <f>IFERROR(__xludf.DUMMYFUNCTION("""COMPUTED_VALUE"""),0.8338877901369016)</f>
        <v>0.8338877901</v>
      </c>
      <c r="AR589" s="30">
        <f>IFERROR(__xludf.DUMMYFUNCTION("""COMPUTED_VALUE"""),0.7579744340007082)</f>
        <v>0.757974434</v>
      </c>
      <c r="AS589" s="30">
        <f>IFERROR(__xludf.DUMMYFUNCTION("""COMPUTED_VALUE"""),32.0)</f>
        <v>32</v>
      </c>
      <c r="AT589" s="30">
        <f>IFERROR(__xludf.DUMMYFUNCTION("""COMPUTED_VALUE"""),0.6595835388946111)</f>
        <v>0.6595835389</v>
      </c>
      <c r="AU589" s="30">
        <f>IFERROR(__xludf.DUMMYFUNCTION("""COMPUTED_VALUE"""),2.211297961770832)</f>
        <v>2.211297962</v>
      </c>
      <c r="AV589" s="32">
        <f>IFERROR(__xludf.DUMMYFUNCTION("""COMPUTED_VALUE"""),29.06157128130193)</f>
        <v>29.06157128</v>
      </c>
      <c r="AW589" s="32">
        <f>IFERROR(__xludf.DUMMYFUNCTION("""COMPUTED_VALUE"""),-4.9715292364210315)</f>
        <v>-4.971529236</v>
      </c>
      <c r="AX589" s="32">
        <f>IFERROR(__xludf.DUMMYFUNCTION("""COMPUTED_VALUE"""),18.884916000782496)</f>
        <v>18.884916</v>
      </c>
      <c r="AY589" s="32">
        <f>IFERROR(__xludf.DUMMYFUNCTION("""COMPUTED_VALUE"""),-9.377450531417535)</f>
        <v>-9.377450531</v>
      </c>
      <c r="AZ589" s="30">
        <f>IFERROR(__xludf.DUMMYFUNCTION("""COMPUTED_VALUE"""),4.405921294996504)</f>
        <v>4.405921295</v>
      </c>
      <c r="BA589" s="30">
        <f>IFERROR(__xludf.DUMMYFUNCTION("""COMPUTED_VALUE"""),2300.0)</f>
        <v>2300</v>
      </c>
    </row>
    <row r="590">
      <c r="A590" s="71" t="str">
        <f>IFERROR(__xludf.DUMMYFUNCTION("""COMPUTED_VALUE"""),"Challenger")</f>
        <v>Challenger</v>
      </c>
      <c r="B590" s="71" t="str">
        <f>IFERROR(__xludf.DUMMYFUNCTION("""COMPUTED_VALUE"""),"RSC002427")</f>
        <v>RSC002427</v>
      </c>
      <c r="C590" s="30" t="str">
        <f>IFERROR(__xludf.DUMMYFUNCTION("""COMPUTED_VALUE"""),"Free.")</f>
        <v>Free.</v>
      </c>
      <c r="D590" s="30" t="str">
        <f>IFERROR(__xludf.DUMMYFUNCTION("""COMPUTED_VALUE"""),"Ryujin")</f>
        <v>Ryujin</v>
      </c>
      <c r="E590" s="30">
        <f>IFERROR(__xludf.DUMMYFUNCTION("""COMPUTED_VALUE"""),13.0)</f>
        <v>13</v>
      </c>
      <c r="F590" s="30">
        <f>IFERROR(__xludf.DUMMYFUNCTION("""COMPUTED_VALUE"""),7.0)</f>
        <v>7</v>
      </c>
      <c r="G590" s="42">
        <f>IFERROR(__xludf.DUMMYFUNCTION("""COMPUTED_VALUE"""),6.0)</f>
        <v>6</v>
      </c>
      <c r="H590" s="42">
        <f>IFERROR(__xludf.DUMMYFUNCTION("""COMPUTED_VALUE"""),0.5384615384615384)</f>
        <v>0.5384615385</v>
      </c>
      <c r="I590" s="42">
        <f>IFERROR(__xludf.DUMMYFUNCTION("""COMPUTED_VALUE"""),0.3636363636363637)</f>
        <v>0.3636363636</v>
      </c>
      <c r="J590" s="30">
        <f>IFERROR(__xludf.DUMMYFUNCTION("""COMPUTED_VALUE"""),298.0)</f>
        <v>298</v>
      </c>
      <c r="K590" s="30">
        <f>IFERROR(__xludf.DUMMYFUNCTION("""COMPUTED_VALUE"""),0.9230769230769231)</f>
        <v>0.9230769231</v>
      </c>
      <c r="L590" s="30">
        <f>IFERROR(__xludf.DUMMYFUNCTION("""COMPUTED_VALUE"""),0.38461538461538464)</f>
        <v>0.3846153846</v>
      </c>
      <c r="M590" s="30">
        <f>IFERROR(__xludf.DUMMYFUNCTION("""COMPUTED_VALUE"""),0.8461538461538461)</f>
        <v>0.8461538462</v>
      </c>
      <c r="N590" s="30">
        <f>IFERROR(__xludf.DUMMYFUNCTION("""COMPUTED_VALUE"""),2.5384615384615383)</f>
        <v>2.538461538</v>
      </c>
      <c r="O590" s="30">
        <f>IFERROR(__xludf.DUMMYFUNCTION("""COMPUTED_VALUE"""),285.38461538461536)</f>
        <v>285.3846154</v>
      </c>
      <c r="P590" s="30">
        <f>IFERROR(__xludf.DUMMYFUNCTION("""COMPUTED_VALUE"""),0.5384615384615384)</f>
        <v>0.5384615385</v>
      </c>
      <c r="Q590" s="30">
        <f>IFERROR(__xludf.DUMMYFUNCTION("""COMPUTED_VALUE"""),0.4102564102564103)</f>
        <v>0.4102564103</v>
      </c>
      <c r="R590" s="30">
        <f>IFERROR(__xludf.DUMMYFUNCTION("""COMPUTED_VALUE"""),1.2307692307692308)</f>
        <v>1.230769231</v>
      </c>
      <c r="S590" s="30">
        <f>IFERROR(__xludf.DUMMYFUNCTION("""COMPUTED_VALUE"""),1.7179487179487178)</f>
        <v>1.717948718</v>
      </c>
      <c r="T590" s="30">
        <f>IFERROR(__xludf.DUMMYFUNCTION("""COMPUTED_VALUE"""),314.3377647018063)</f>
        <v>314.3377647</v>
      </c>
      <c r="U590" s="30">
        <f>IFERROR(__xludf.DUMMYFUNCTION("""COMPUTED_VALUE"""),0.7239208422773954)</f>
        <v>0.7239208423</v>
      </c>
      <c r="V590" s="30">
        <f>IFERROR(__xludf.DUMMYFUNCTION("""COMPUTED_VALUE"""),0.4349534664872642)</f>
        <v>0.4349534665</v>
      </c>
      <c r="W590" s="30">
        <f>IFERROR(__xludf.DUMMYFUNCTION("""COMPUTED_VALUE"""),1.1370205321185716)</f>
        <v>1.137020532</v>
      </c>
      <c r="X590" s="30">
        <f>IFERROR(__xludf.DUMMYFUNCTION("""COMPUTED_VALUE"""),2.24753625001303)</f>
        <v>2.24753625</v>
      </c>
      <c r="Y590" s="30">
        <f>IFERROR(__xludf.DUMMYFUNCTION("""COMPUTED_VALUE"""),339.02113524526663)</f>
        <v>339.0211352</v>
      </c>
      <c r="Z590" s="30">
        <f>IFERROR(__xludf.DUMMYFUNCTION("""COMPUTED_VALUE"""),0.8372577468875199)</f>
        <v>0.8372577469</v>
      </c>
      <c r="AA590" s="30">
        <f>IFERROR(__xludf.DUMMYFUNCTION("""COMPUTED_VALUE"""),0.593558904338918)</f>
        <v>0.5935589043</v>
      </c>
      <c r="AB590" s="30">
        <f>IFERROR(__xludf.DUMMYFUNCTION("""COMPUTED_VALUE"""),1.130337710678268)</f>
        <v>1.130337711</v>
      </c>
      <c r="AC590" s="30">
        <f>IFERROR(__xludf.DUMMYFUNCTION("""COMPUTED_VALUE"""),2.509136753116801)</f>
        <v>2.509136753</v>
      </c>
      <c r="AD590" s="30">
        <f>IFERROR(__xludf.DUMMYFUNCTION("""COMPUTED_VALUE"""),0.8790012451123742)</f>
        <v>0.8790012451</v>
      </c>
      <c r="AE590" s="30">
        <f>IFERROR(__xludf.DUMMYFUNCTION("""COMPUTED_VALUE"""),1.102500307113829)</f>
        <v>1.102500307</v>
      </c>
      <c r="AF590" s="30">
        <f>IFERROR(__xludf.DUMMYFUNCTION("""COMPUTED_VALUE"""),0.6479818292739686)</f>
        <v>0.6479818293</v>
      </c>
      <c r="AG590" s="30">
        <f>IFERROR(__xludf.DUMMYFUNCTION("""COMPUTED_VALUE"""),0.7485849920428692)</f>
        <v>0.748584992</v>
      </c>
      <c r="AH590" s="30">
        <f>IFERROR(__xludf.DUMMYFUNCTION("""COMPUTED_VALUE"""),1.0116872009101578)</f>
        <v>1.011687201</v>
      </c>
      <c r="AI590" s="30">
        <f>IFERROR(__xludf.DUMMYFUNCTION("""COMPUTED_VALUE"""),0.9078915976110695)</f>
        <v>0.9078915976</v>
      </c>
      <c r="AJ590" s="30">
        <f>IFERROR(__xludf.DUMMYFUNCTION("""COMPUTED_VALUE"""),0.7438127306399727)</f>
        <v>0.7438127306</v>
      </c>
      <c r="AK590" s="30">
        <f>IFERROR(__xludf.DUMMYFUNCTION("""COMPUTED_VALUE"""),0.9432190840314247)</f>
        <v>0.943219084</v>
      </c>
      <c r="AL590" s="30">
        <f>IFERROR(__xludf.DUMMYFUNCTION("""COMPUTED_VALUE"""),1.0824511923948994)</f>
        <v>1.082451192</v>
      </c>
      <c r="AM590" s="30">
        <f>IFERROR(__xludf.DUMMYFUNCTION("""COMPUTED_VALUE"""),0.764369748402838)</f>
        <v>0.7643697484</v>
      </c>
      <c r="AN590" s="30">
        <f>IFERROR(__xludf.DUMMYFUNCTION("""COMPUTED_VALUE"""),0.9065688930658704)</f>
        <v>0.9065688931</v>
      </c>
      <c r="AO590" s="30">
        <f>IFERROR(__xludf.DUMMYFUNCTION("""COMPUTED_VALUE"""),1.2173045447228261)</f>
        <v>1.217304545</v>
      </c>
      <c r="AP590" s="30">
        <f>IFERROR(__xludf.DUMMYFUNCTION("""COMPUTED_VALUE"""),0.7459252965403612)</f>
        <v>0.7459252965</v>
      </c>
      <c r="AQ590" s="30">
        <f>IFERROR(__xludf.DUMMYFUNCTION("""COMPUTED_VALUE"""),0.7055973608850706)</f>
        <v>0.7055973609</v>
      </c>
      <c r="AR590" s="30">
        <f>IFERROR(__xludf.DUMMYFUNCTION("""COMPUTED_VALUE"""),1.0582489213163733)</f>
        <v>1.058248921</v>
      </c>
      <c r="AS590" s="30">
        <f>IFERROR(__xludf.DUMMYFUNCTION("""COMPUTED_VALUE"""),31.0)</f>
        <v>31</v>
      </c>
      <c r="AT590" s="30">
        <f>IFERROR(__xludf.DUMMYFUNCTION("""COMPUTED_VALUE"""),0.6410156039122934)</f>
        <v>0.6410156039</v>
      </c>
      <c r="AU590" s="30">
        <f>IFERROR(__xludf.DUMMYFUNCTION("""COMPUTED_VALUE"""),3.1085668611384913)</f>
        <v>3.108566861</v>
      </c>
      <c r="AV590" s="32">
        <f>IFERROR(__xludf.DUMMYFUNCTION("""COMPUTED_VALUE"""),52.787296980412954)</f>
        <v>52.78729698</v>
      </c>
      <c r="AW590" s="32">
        <f>IFERROR(__xludf.DUMMYFUNCTION("""COMPUTED_VALUE"""),2.1948444521929313)</f>
        <v>2.194844452</v>
      </c>
      <c r="AX590" s="32">
        <f>IFERROR(__xludf.DUMMYFUNCTION("""COMPUTED_VALUE"""),48.645939170656554)</f>
        <v>48.64593917</v>
      </c>
      <c r="AY590" s="32">
        <f>IFERROR(__xludf.DUMMYFUNCTION("""COMPUTED_VALUE"""),-2.0902884399567125)</f>
        <v>-2.09028844</v>
      </c>
      <c r="AZ590" s="30">
        <f>IFERROR(__xludf.DUMMYFUNCTION("""COMPUTED_VALUE"""),4.285132892149644)</f>
        <v>4.285132892</v>
      </c>
      <c r="BA590" s="30">
        <f>IFERROR(__xludf.DUMMYFUNCTION("""COMPUTED_VALUE"""),2300.0)</f>
        <v>2300</v>
      </c>
    </row>
    <row r="591">
      <c r="A591" s="71" t="str">
        <f>IFERROR(__xludf.DUMMYFUNCTION("""COMPUTED_VALUE"""),"Challenger")</f>
        <v>Challenger</v>
      </c>
      <c r="B591" s="71" t="str">
        <f>IFERROR(__xludf.DUMMYFUNCTION("""COMPUTED_VALUE"""),"RSC006244")</f>
        <v>RSC006244</v>
      </c>
      <c r="C591" s="30" t="str">
        <f>IFERROR(__xludf.DUMMYFUNCTION("""COMPUTED_VALUE"""),"Whiite Bear")</f>
        <v>Whiite Bear</v>
      </c>
      <c r="D591" s="30" t="str">
        <f>IFERROR(__xludf.DUMMYFUNCTION("""COMPUTED_VALUE"""),"Panda Bears")</f>
        <v>Panda Bears</v>
      </c>
      <c r="E591" s="30">
        <f>IFERROR(__xludf.DUMMYFUNCTION("""COMPUTED_VALUE"""),22.0)</f>
        <v>22</v>
      </c>
      <c r="F591" s="30">
        <f>IFERROR(__xludf.DUMMYFUNCTION("""COMPUTED_VALUE"""),8.0)</f>
        <v>8</v>
      </c>
      <c r="G591" s="42">
        <f>IFERROR(__xludf.DUMMYFUNCTION("""COMPUTED_VALUE"""),14.0)</f>
        <v>14</v>
      </c>
      <c r="H591" s="42">
        <f>IFERROR(__xludf.DUMMYFUNCTION("""COMPUTED_VALUE"""),0.36363636363636365)</f>
        <v>0.3636363636</v>
      </c>
      <c r="I591" s="42">
        <f>IFERROR(__xludf.DUMMYFUNCTION("""COMPUTED_VALUE"""),0.37037037037037035)</f>
        <v>0.3703703704</v>
      </c>
      <c r="J591" s="30">
        <f>IFERROR(__xludf.DUMMYFUNCTION("""COMPUTED_VALUE"""),368.90909090909093)</f>
        <v>368.9090909</v>
      </c>
      <c r="K591" s="30">
        <f>IFERROR(__xludf.DUMMYFUNCTION("""COMPUTED_VALUE"""),0.9090909090909091)</f>
        <v>0.9090909091</v>
      </c>
      <c r="L591" s="30">
        <f>IFERROR(__xludf.DUMMYFUNCTION("""COMPUTED_VALUE"""),0.3181818181818182)</f>
        <v>0.3181818182</v>
      </c>
      <c r="M591" s="30">
        <f>IFERROR(__xludf.DUMMYFUNCTION("""COMPUTED_VALUE"""),1.4545454545454546)</f>
        <v>1.454545455</v>
      </c>
      <c r="N591" s="30">
        <f>IFERROR(__xludf.DUMMYFUNCTION("""COMPUTED_VALUE"""),2.4545454545454546)</f>
        <v>2.454545455</v>
      </c>
      <c r="O591" s="30">
        <f>IFERROR(__xludf.DUMMYFUNCTION("""COMPUTED_VALUE"""),345.8030303030303)</f>
        <v>345.8030303</v>
      </c>
      <c r="P591" s="30">
        <f>IFERROR(__xludf.DUMMYFUNCTION("""COMPUTED_VALUE"""),0.7575757575757577)</f>
        <v>0.7575757576</v>
      </c>
      <c r="Q591" s="30">
        <f>IFERROR(__xludf.DUMMYFUNCTION("""COMPUTED_VALUE"""),0.5)</f>
        <v>0.5</v>
      </c>
      <c r="R591" s="30">
        <f>IFERROR(__xludf.DUMMYFUNCTION("""COMPUTED_VALUE"""),1.303030303030303)</f>
        <v>1.303030303</v>
      </c>
      <c r="S591" s="30">
        <f>IFERROR(__xludf.DUMMYFUNCTION("""COMPUTED_VALUE"""),2.6969696969696972)</f>
        <v>2.696969697</v>
      </c>
      <c r="T591" s="30">
        <f>IFERROR(__xludf.DUMMYFUNCTION("""COMPUTED_VALUE"""),348.5823714645403)</f>
        <v>348.5823715</v>
      </c>
      <c r="U591" s="30">
        <f>IFERROR(__xludf.DUMMYFUNCTION("""COMPUTED_VALUE"""),0.7901024767653378)</f>
        <v>0.7901024768</v>
      </c>
      <c r="V591" s="30">
        <f>IFERROR(__xludf.DUMMYFUNCTION("""COMPUTED_VALUE"""),0.5708062042083494)</f>
        <v>0.5708062042</v>
      </c>
      <c r="W591" s="30">
        <f>IFERROR(__xludf.DUMMYFUNCTION("""COMPUTED_VALUE"""),1.3462729959317352)</f>
        <v>1.346272996</v>
      </c>
      <c r="X591" s="30">
        <f>IFERROR(__xludf.DUMMYFUNCTION("""COMPUTED_VALUE"""),2.4385908885373677)</f>
        <v>2.438590889</v>
      </c>
      <c r="Y591" s="30">
        <f>IFERROR(__xludf.DUMMYFUNCTION("""COMPUTED_VALUE"""),332.18027703615735)</f>
        <v>332.180277</v>
      </c>
      <c r="Z591" s="30">
        <f>IFERROR(__xludf.DUMMYFUNCTION("""COMPUTED_VALUE"""),0.7366059326535478)</f>
        <v>0.7366059327</v>
      </c>
      <c r="AA591" s="30">
        <f>IFERROR(__xludf.DUMMYFUNCTION("""COMPUTED_VALUE"""),0.5221671570242897)</f>
        <v>0.522167157</v>
      </c>
      <c r="AB591" s="30">
        <f>IFERROR(__xludf.DUMMYFUNCTION("""COMPUTED_VALUE"""),1.2081950934706214)</f>
        <v>1.208195093</v>
      </c>
      <c r="AC591" s="30">
        <f>IFERROR(__xludf.DUMMYFUNCTION("""COMPUTED_VALUE"""),2.4946464847130807)</f>
        <v>2.494646485</v>
      </c>
      <c r="AD591" s="30">
        <f>IFERROR(__xludf.DUMMYFUNCTION("""COMPUTED_VALUE"""),1.1105689181809422)</f>
        <v>1.110568918</v>
      </c>
      <c r="AE591" s="30">
        <f>IFERROR(__xludf.DUMMYFUNCTION("""COMPUTED_VALUE"""),1.234161807271904)</f>
        <v>1.234161807</v>
      </c>
      <c r="AF591" s="30">
        <f>IFERROR(__xludf.DUMMYFUNCTION("""COMPUTED_VALUE"""),0.6093485848383553)</f>
        <v>0.6093485848</v>
      </c>
      <c r="AG591" s="30">
        <f>IFERROR(__xludf.DUMMYFUNCTION("""COMPUTED_VALUE"""),1.2038994880927512)</f>
        <v>1.203899488</v>
      </c>
      <c r="AH591" s="30">
        <f>IFERROR(__xludf.DUMMYFUNCTION("""COMPUTED_VALUE"""),0.9839251651833794)</f>
        <v>0.9839251652</v>
      </c>
      <c r="AI591" s="30">
        <f>IFERROR(__xludf.DUMMYFUNCTION("""COMPUTED_VALUE"""),0.9920267305835553)</f>
        <v>0.9920267306</v>
      </c>
      <c r="AJ591" s="30">
        <f>IFERROR(__xludf.DUMMYFUNCTION("""COMPUTED_VALUE"""),0.9588322779055903)</f>
        <v>0.9588322779</v>
      </c>
      <c r="AK591" s="30">
        <f>IFERROR(__xludf.DUMMYFUNCTION("""COMPUTED_VALUE"""),0.8759540388903964)</f>
        <v>0.8759540389</v>
      </c>
      <c r="AL591" s="30">
        <f>IFERROR(__xludf.DUMMYFUNCTION("""COMPUTED_VALUE"""),0.9678796997101583)</f>
        <v>0.9678796997</v>
      </c>
      <c r="AM591" s="30">
        <f>IFERROR(__xludf.DUMMYFUNCTION("""COMPUTED_VALUE"""),1.105954143291047)</f>
        <v>1.105954143</v>
      </c>
      <c r="AN591" s="30">
        <f>IFERROR(__xludf.DUMMYFUNCTION("""COMPUTED_VALUE"""),1.1222869335147354)</f>
        <v>1.122286934</v>
      </c>
      <c r="AO591" s="30">
        <f>IFERROR(__xludf.DUMMYFUNCTION("""COMPUTED_VALUE"""),1.19886053646945)</f>
        <v>1.198860536</v>
      </c>
      <c r="AP591" s="30">
        <f>IFERROR(__xludf.DUMMYFUNCTION("""COMPUTED_VALUE"""),0.6170836544106625)</f>
        <v>0.6170836544</v>
      </c>
      <c r="AQ591" s="30">
        <f>IFERROR(__xludf.DUMMYFUNCTION("""COMPUTED_VALUE"""),1.2129276947445842)</f>
        <v>1.212927695</v>
      </c>
      <c r="AR591" s="30">
        <f>IFERROR(__xludf.DUMMYFUNCTION("""COMPUTED_VALUE"""),1.023265485900956)</f>
        <v>1.023265486</v>
      </c>
      <c r="AS591" s="30">
        <f>IFERROR(__xludf.DUMMYFUNCTION("""COMPUTED_VALUE"""),41.0)</f>
        <v>41</v>
      </c>
      <c r="AT591" s="30">
        <f>IFERROR(__xludf.DUMMYFUNCTION("""COMPUTED_VALUE"""),0.4259782414574266)</f>
        <v>0.4259782415</v>
      </c>
      <c r="AU591" s="30">
        <f>IFERROR(__xludf.DUMMYFUNCTION("""COMPUTED_VALUE"""),3.1198115602596292)</f>
        <v>3.11981156</v>
      </c>
      <c r="AV591" s="32">
        <f>IFERROR(__xludf.DUMMYFUNCTION("""COMPUTED_VALUE"""),53.084631087396005)</f>
        <v>53.08463109</v>
      </c>
      <c r="AW591" s="32">
        <f>IFERROR(__xludf.DUMMYFUNCTION("""COMPUTED_VALUE"""),2.217781627640252)</f>
        <v>2.217781628</v>
      </c>
      <c r="AX591" s="32">
        <f>IFERROR(__xludf.DUMMYFUNCTION("""COMPUTED_VALUE"""),49.33818655971776)</f>
        <v>49.33818656</v>
      </c>
      <c r="AY591" s="32">
        <f>IFERROR(__xludf.DUMMYFUNCTION("""COMPUTED_VALUE"""),-2.0431504430046856)</f>
        <v>-2.043150443</v>
      </c>
      <c r="AZ591" s="30">
        <f>IFERROR(__xludf.DUMMYFUNCTION("""COMPUTED_VALUE"""),4.260932070644937)</f>
        <v>4.260932071</v>
      </c>
      <c r="BA591" s="30">
        <f>IFERROR(__xludf.DUMMYFUNCTION("""COMPUTED_VALUE"""),2300.0)</f>
        <v>2300</v>
      </c>
    </row>
    <row r="592">
      <c r="A592" s="71" t="str">
        <f>IFERROR(__xludf.DUMMYFUNCTION("""COMPUTED_VALUE"""),"Challenger")</f>
        <v>Challenger</v>
      </c>
      <c r="B592" s="71" t="str">
        <f>IFERROR(__xludf.DUMMYFUNCTION("""COMPUTED_VALUE"""),"RSC005059")</f>
        <v>RSC005059</v>
      </c>
      <c r="C592" s="30" t="str">
        <f>IFERROR(__xludf.DUMMYFUNCTION("""COMPUTED_VALUE"""),"Jacobim Mugatu")</f>
        <v>Jacobim Mugatu</v>
      </c>
      <c r="D592" s="30" t="str">
        <f>IFERROR(__xludf.DUMMYFUNCTION("""COMPUTED_VALUE"""),"Lilac")</f>
        <v>Lilac</v>
      </c>
      <c r="E592" s="30">
        <f>IFERROR(__xludf.DUMMYFUNCTION("""COMPUTED_VALUE"""),30.0)</f>
        <v>30</v>
      </c>
      <c r="F592" s="30">
        <f>IFERROR(__xludf.DUMMYFUNCTION("""COMPUTED_VALUE"""),21.0)</f>
        <v>21</v>
      </c>
      <c r="G592" s="42">
        <f>IFERROR(__xludf.DUMMYFUNCTION("""COMPUTED_VALUE"""),9.0)</f>
        <v>9</v>
      </c>
      <c r="H592" s="42">
        <f>IFERROR(__xludf.DUMMYFUNCTION("""COMPUTED_VALUE"""),0.7)</f>
        <v>0.7</v>
      </c>
      <c r="I592" s="42">
        <f>IFERROR(__xludf.DUMMYFUNCTION("""COMPUTED_VALUE"""),0.34615384615384615)</f>
        <v>0.3461538462</v>
      </c>
      <c r="J592" s="30">
        <f>IFERROR(__xludf.DUMMYFUNCTION("""COMPUTED_VALUE"""),385.06666666666666)</f>
        <v>385.0666667</v>
      </c>
      <c r="K592" s="30">
        <f>IFERROR(__xludf.DUMMYFUNCTION("""COMPUTED_VALUE"""),0.9)</f>
        <v>0.9</v>
      </c>
      <c r="L592" s="30">
        <f>IFERROR(__xludf.DUMMYFUNCTION("""COMPUTED_VALUE"""),0.8)</f>
        <v>0.8</v>
      </c>
      <c r="M592" s="30">
        <f>IFERROR(__xludf.DUMMYFUNCTION("""COMPUTED_VALUE"""),1.5333333333333334)</f>
        <v>1.533333333</v>
      </c>
      <c r="N592" s="30">
        <f>IFERROR(__xludf.DUMMYFUNCTION("""COMPUTED_VALUE"""),2.6)</f>
        <v>2.6</v>
      </c>
      <c r="O592" s="30">
        <f>IFERROR(__xludf.DUMMYFUNCTION("""COMPUTED_VALUE"""),328.51111111111106)</f>
        <v>328.5111111</v>
      </c>
      <c r="P592" s="30">
        <f>IFERROR(__xludf.DUMMYFUNCTION("""COMPUTED_VALUE"""),0.6)</f>
        <v>0.6</v>
      </c>
      <c r="Q592" s="30">
        <f>IFERROR(__xludf.DUMMYFUNCTION("""COMPUTED_VALUE"""),0.488888888888889)</f>
        <v>0.4888888889</v>
      </c>
      <c r="R592" s="30">
        <f>IFERROR(__xludf.DUMMYFUNCTION("""COMPUTED_VALUE"""),1.4111111111111114)</f>
        <v>1.411111111</v>
      </c>
      <c r="S592" s="30">
        <f>IFERROR(__xludf.DUMMYFUNCTION("""COMPUTED_VALUE"""),2.177777777777778)</f>
        <v>2.177777778</v>
      </c>
      <c r="T592" s="30">
        <f>IFERROR(__xludf.DUMMYFUNCTION("""COMPUTED_VALUE"""),342.08976442528257)</f>
        <v>342.0897644</v>
      </c>
      <c r="U592" s="30">
        <f>IFERROR(__xludf.DUMMYFUNCTION("""COMPUTED_VALUE"""),0.8147184078631802)</f>
        <v>0.8147184079</v>
      </c>
      <c r="V592" s="30">
        <f>IFERROR(__xludf.DUMMYFUNCTION("""COMPUTED_VALUE"""),0.5318632682749855)</f>
        <v>0.5318632683</v>
      </c>
      <c r="W592" s="30">
        <f>IFERROR(__xludf.DUMMYFUNCTION("""COMPUTED_VALUE"""),1.255136506097609)</f>
        <v>1.255136506</v>
      </c>
      <c r="X592" s="30">
        <f>IFERROR(__xludf.DUMMYFUNCTION("""COMPUTED_VALUE"""),2.4454714605955)</f>
        <v>2.445471461</v>
      </c>
      <c r="Y592" s="30">
        <f>IFERROR(__xludf.DUMMYFUNCTION("""COMPUTED_VALUE"""),338.5014153829542)</f>
        <v>338.5014154</v>
      </c>
      <c r="Z592" s="30">
        <f>IFERROR(__xludf.DUMMYFUNCTION("""COMPUTED_VALUE"""),0.7952351129248261)</f>
        <v>0.7952351129</v>
      </c>
      <c r="AA592" s="30">
        <f>IFERROR(__xludf.DUMMYFUNCTION("""COMPUTED_VALUE"""),0.549001959120862)</f>
        <v>0.5490019591</v>
      </c>
      <c r="AB592" s="30">
        <f>IFERROR(__xludf.DUMMYFUNCTION("""COMPUTED_VALUE"""),1.2430758987374495)</f>
        <v>1.243075899</v>
      </c>
      <c r="AC592" s="30">
        <f>IFERROR(__xludf.DUMMYFUNCTION("""COMPUTED_VALUE"""),2.501922710778103)</f>
        <v>2.501922711</v>
      </c>
      <c r="AD592" s="30">
        <f>IFERROR(__xludf.DUMMYFUNCTION("""COMPUTED_VALUE"""),1.1375629441047748)</f>
        <v>1.137562944</v>
      </c>
      <c r="AE592" s="30">
        <f>IFERROR(__xludf.DUMMYFUNCTION("""COMPUTED_VALUE"""),1.1317407712165213)</f>
        <v>1.131740771</v>
      </c>
      <c r="AF592" s="30">
        <f>IFERROR(__xludf.DUMMYFUNCTION("""COMPUTED_VALUE"""),1.4571896997982865)</f>
        <v>1.4571897</v>
      </c>
      <c r="AG592" s="30">
        <f>IFERROR(__xludf.DUMMYFUNCTION("""COMPUTED_VALUE"""),1.2334993662822107)</f>
        <v>1.233499366</v>
      </c>
      <c r="AH592" s="30">
        <f>IFERROR(__xludf.DUMMYFUNCTION("""COMPUTED_VALUE"""),1.0392007669938752)</f>
        <v>1.039200767</v>
      </c>
      <c r="AI592" s="30">
        <f>IFERROR(__xludf.DUMMYFUNCTION("""COMPUTED_VALUE"""),0.9603067535885387)</f>
        <v>0.9603067536</v>
      </c>
      <c r="AJ592" s="30">
        <f>IFERROR(__xludf.DUMMYFUNCTION("""COMPUTED_VALUE"""),0.7364507714679758)</f>
        <v>0.7364507715</v>
      </c>
      <c r="AK592" s="30">
        <f>IFERROR(__xludf.DUMMYFUNCTION("""COMPUTED_VALUE"""),0.9192003246896948)</f>
        <v>0.9192003247</v>
      </c>
      <c r="AL592" s="30">
        <f>IFERROR(__xludf.DUMMYFUNCTION("""COMPUTED_VALUE"""),1.1242690370774482)</f>
        <v>1.124269037</v>
      </c>
      <c r="AM592" s="30">
        <f>IFERROR(__xludf.DUMMYFUNCTION("""COMPUTED_VALUE"""),0.8905349389141776)</f>
        <v>0.8905349389</v>
      </c>
      <c r="AN592" s="30">
        <f>IFERROR(__xludf.DUMMYFUNCTION("""COMPUTED_VALUE"""),1.171441146834109)</f>
        <v>1.171441147</v>
      </c>
      <c r="AO592" s="30">
        <f>IFERROR(__xludf.DUMMYFUNCTION("""COMPUTED_VALUE"""),1.1868719311047555)</f>
        <v>1.186871931</v>
      </c>
      <c r="AP592" s="30">
        <f>IFERROR(__xludf.DUMMYFUNCTION("""COMPUTED_VALUE"""),1.5515246168039514)</f>
        <v>1.551524617</v>
      </c>
      <c r="AQ592" s="30">
        <f>IFERROR(__xludf.DUMMYFUNCTION("""COMPUTED_VALUE"""),1.2786279448765825)</f>
        <v>1.278627945</v>
      </c>
      <c r="AR592" s="30">
        <f>IFERROR(__xludf.DUMMYFUNCTION("""COMPUTED_VALUE"""),1.0839034406210128)</f>
        <v>1.083903441</v>
      </c>
      <c r="AS592" s="30">
        <f>IFERROR(__xludf.DUMMYFUNCTION("""COMPUTED_VALUE"""),96.0)</f>
        <v>96</v>
      </c>
      <c r="AT592" s="30">
        <f>IFERROR(__xludf.DUMMYFUNCTION("""COMPUTED_VALUE"""),0.7136464925755103)</f>
        <v>0.7136464926</v>
      </c>
      <c r="AU592" s="30">
        <f>IFERROR(__xludf.DUMMYFUNCTION("""COMPUTED_VALUE"""),4.087812516086395)</f>
        <v>4.087812516</v>
      </c>
      <c r="AV592" s="32">
        <f>IFERROR(__xludf.DUMMYFUNCTION("""COMPUTED_VALUE"""),78.68066497490571)</f>
        <v>78.68066497</v>
      </c>
      <c r="AW592" s="32">
        <f>IFERROR(__xludf.DUMMYFUNCTION("""COMPUTED_VALUE"""),7.958995856133624)</f>
        <v>7.958995856</v>
      </c>
      <c r="AX592" s="32">
        <f>IFERROR(__xludf.DUMMYFUNCTION("""COMPUTED_VALUE"""),65.55991092062486)</f>
        <v>65.55991092</v>
      </c>
      <c r="AY592" s="32">
        <f>IFERROR(__xludf.DUMMYFUNCTION("""COMPUTED_VALUE"""),3.7475554965209503)</f>
        <v>3.747555497</v>
      </c>
      <c r="AZ592" s="30">
        <f>IFERROR(__xludf.DUMMYFUNCTION("""COMPUTED_VALUE"""),4.2114403596126735)</f>
        <v>4.21144036</v>
      </c>
      <c r="BA592" s="30">
        <f>IFERROR(__xludf.DUMMYFUNCTION("""COMPUTED_VALUE"""),2300.0)</f>
        <v>2300</v>
      </c>
    </row>
    <row r="593">
      <c r="A593" s="71" t="str">
        <f>IFERROR(__xludf.DUMMYFUNCTION("""COMPUTED_VALUE"""),"Challenger")</f>
        <v>Challenger</v>
      </c>
      <c r="B593" s="71" t="str">
        <f>IFERROR(__xludf.DUMMYFUNCTION("""COMPUTED_VALUE"""),"RSC007946")</f>
        <v>RSC007946</v>
      </c>
      <c r="C593" s="30" t="str">
        <f>IFERROR(__xludf.DUMMYFUNCTION("""COMPUTED_VALUE"""),"hagerity_tv")</f>
        <v>hagerity_tv</v>
      </c>
      <c r="D593" s="30"/>
      <c r="E593" s="30">
        <f>IFERROR(__xludf.DUMMYFUNCTION("""COMPUTED_VALUE"""),3.0)</f>
        <v>3</v>
      </c>
      <c r="F593" s="30">
        <f>IFERROR(__xludf.DUMMYFUNCTION("""COMPUTED_VALUE"""),1.0)</f>
        <v>1</v>
      </c>
      <c r="G593" s="42">
        <f>IFERROR(__xludf.DUMMYFUNCTION("""COMPUTED_VALUE"""),2.0)</f>
        <v>2</v>
      </c>
      <c r="H593" s="42">
        <f>IFERROR(__xludf.DUMMYFUNCTION("""COMPUTED_VALUE"""),0.3333333333333333)</f>
        <v>0.3333333333</v>
      </c>
      <c r="I593" s="42">
        <f>IFERROR(__xludf.DUMMYFUNCTION("""COMPUTED_VALUE"""),0.5)</f>
        <v>0.5</v>
      </c>
      <c r="J593" s="30">
        <f>IFERROR(__xludf.DUMMYFUNCTION("""COMPUTED_VALUE"""),253.0)</f>
        <v>253</v>
      </c>
      <c r="K593" s="30">
        <f>IFERROR(__xludf.DUMMYFUNCTION("""COMPUTED_VALUE"""),0.3333333333333333)</f>
        <v>0.3333333333</v>
      </c>
      <c r="L593" s="30">
        <f>IFERROR(__xludf.DUMMYFUNCTION("""COMPUTED_VALUE"""),0.6666666666666666)</f>
        <v>0.6666666667</v>
      </c>
      <c r="M593" s="30">
        <f>IFERROR(__xludf.DUMMYFUNCTION("""COMPUTED_VALUE"""),1.3333333333333333)</f>
        <v>1.333333333</v>
      </c>
      <c r="N593" s="30">
        <f>IFERROR(__xludf.DUMMYFUNCTION("""COMPUTED_VALUE"""),0.6666666666666666)</f>
        <v>0.6666666667</v>
      </c>
      <c r="O593" s="30">
        <f>IFERROR(__xludf.DUMMYFUNCTION("""COMPUTED_VALUE"""),417.0)</f>
        <v>417</v>
      </c>
      <c r="P593" s="30">
        <f>IFERROR(__xludf.DUMMYFUNCTION("""COMPUTED_VALUE"""),1.4444444444444446)</f>
        <v>1.444444444</v>
      </c>
      <c r="Q593" s="30">
        <f>IFERROR(__xludf.DUMMYFUNCTION("""COMPUTED_VALUE"""),1.2222222222222223)</f>
        <v>1.222222222</v>
      </c>
      <c r="R593" s="30">
        <f>IFERROR(__xludf.DUMMYFUNCTION("""COMPUTED_VALUE"""),0.7777777777777777)</f>
        <v>0.7777777778</v>
      </c>
      <c r="S593" s="30">
        <f>IFERROR(__xludf.DUMMYFUNCTION("""COMPUTED_VALUE"""),3.3333333333333335)</f>
        <v>3.333333333</v>
      </c>
      <c r="T593" s="30">
        <f>IFERROR(__xludf.DUMMYFUNCTION("""COMPUTED_VALUE"""),388.29421296296294)</f>
        <v>388.294213</v>
      </c>
      <c r="U593" s="30">
        <f>IFERROR(__xludf.DUMMYFUNCTION("""COMPUTED_VALUE"""),1.0597222222222222)</f>
        <v>1.059722222</v>
      </c>
      <c r="V593" s="30">
        <f>IFERROR(__xludf.DUMMYFUNCTION("""COMPUTED_VALUE"""),0.8055555555555555)</f>
        <v>0.8055555556</v>
      </c>
      <c r="W593" s="30">
        <f>IFERROR(__xludf.DUMMYFUNCTION("""COMPUTED_VALUE"""),1.2564814814814815)</f>
        <v>1.256481481</v>
      </c>
      <c r="X593" s="30">
        <f>IFERROR(__xludf.DUMMYFUNCTION("""COMPUTED_VALUE"""),2.952083333333333)</f>
        <v>2.952083333</v>
      </c>
      <c r="Y593" s="30">
        <f>IFERROR(__xludf.DUMMYFUNCTION("""COMPUTED_VALUE"""),340.6320216049383)</f>
        <v>340.6320216</v>
      </c>
      <c r="Z593" s="30">
        <f>IFERROR(__xludf.DUMMYFUNCTION("""COMPUTED_VALUE"""),0.649537037037037)</f>
        <v>0.649537037</v>
      </c>
      <c r="AA593" s="30">
        <f>IFERROR(__xludf.DUMMYFUNCTION("""COMPUTED_VALUE"""),0.5399691358024693)</f>
        <v>0.5399691358</v>
      </c>
      <c r="AB593" s="30">
        <f>IFERROR(__xludf.DUMMYFUNCTION("""COMPUTED_VALUE"""),1.4366512345679014)</f>
        <v>1.436651235</v>
      </c>
      <c r="AC593" s="30">
        <f>IFERROR(__xludf.DUMMYFUNCTION("""COMPUTED_VALUE"""),2.2838734567901233)</f>
        <v>2.283873457</v>
      </c>
      <c r="AD593" s="30">
        <f>IFERROR(__xludf.DUMMYFUNCTION("""COMPUTED_VALUE"""),0.7427369828824459)</f>
        <v>0.7427369829</v>
      </c>
      <c r="AE593" s="30">
        <f>IFERROR(__xludf.DUMMYFUNCTION("""COMPUTED_VALUE"""),0.5131860299358517)</f>
        <v>0.5131860299</v>
      </c>
      <c r="AF593" s="30">
        <f>IFERROR(__xludf.DUMMYFUNCTION("""COMPUTED_VALUE"""),1.234638468133752)</f>
        <v>1.234638468</v>
      </c>
      <c r="AG593" s="30">
        <f>IFERROR(__xludf.DUMMYFUNCTION("""COMPUTED_VALUE"""),0.9280842150491432)</f>
        <v>0.928084215</v>
      </c>
      <c r="AH593" s="30">
        <f>IFERROR(__xludf.DUMMYFUNCTION("""COMPUTED_VALUE"""),0.29190175343761615)</f>
        <v>0.2919017534</v>
      </c>
      <c r="AI593" s="30">
        <f>IFERROR(__xludf.DUMMYFUNCTION("""COMPUTED_VALUE"""),1.0739279290772616)</f>
        <v>1.073927929</v>
      </c>
      <c r="AJ593" s="30">
        <f>IFERROR(__xludf.DUMMYFUNCTION("""COMPUTED_VALUE"""),1.3630406290956751)</f>
        <v>1.363040629</v>
      </c>
      <c r="AK593" s="30">
        <f>IFERROR(__xludf.DUMMYFUNCTION("""COMPUTED_VALUE"""),1.5172413793103452)</f>
        <v>1.517241379</v>
      </c>
      <c r="AL593" s="30">
        <f>IFERROR(__xludf.DUMMYFUNCTION("""COMPUTED_VALUE"""),0.6190125276344878)</f>
        <v>0.6190125276</v>
      </c>
      <c r="AM593" s="30">
        <f>IFERROR(__xludf.DUMMYFUNCTION("""COMPUTED_VALUE"""),1.129146083274524)</f>
        <v>1.129146083</v>
      </c>
      <c r="AN593" s="30">
        <f>IFERROR(__xludf.DUMMYFUNCTION("""COMPUTED_VALUE"""),0.769670905857937)</f>
        <v>0.7696709059</v>
      </c>
      <c r="AO593" s="30">
        <f>IFERROR(__xludf.DUMMYFUNCTION("""COMPUTED_VALUE"""),0.439582196705465)</f>
        <v>0.4395821967</v>
      </c>
      <c r="AP593" s="30">
        <f>IFERROR(__xludf.DUMMYFUNCTION("""COMPUTED_VALUE"""),1.2929371806699594)</f>
        <v>1.292937181</v>
      </c>
      <c r="AQ593" s="30">
        <f>IFERROR(__xludf.DUMMYFUNCTION("""COMPUTED_VALUE"""),1.111850386849202)</f>
        <v>1.111850387</v>
      </c>
      <c r="AR593" s="30">
        <f>IFERROR(__xludf.DUMMYFUNCTION("""COMPUTED_VALUE"""),0.27792395913359297)</f>
        <v>0.2779239591</v>
      </c>
      <c r="AS593" s="30">
        <f>IFERROR(__xludf.DUMMYFUNCTION("""COMPUTED_VALUE"""),7.0)</f>
        <v>7</v>
      </c>
      <c r="AT593" s="30">
        <f>IFERROR(__xludf.DUMMYFUNCTION("""COMPUTED_VALUE"""),0.2559667453991127)</f>
        <v>0.2559667454</v>
      </c>
      <c r="AU593" s="30">
        <f>IFERROR(__xludf.DUMMYFUNCTION("""COMPUTED_VALUE"""),1.1695385021353812)</f>
        <v>1.169538502</v>
      </c>
      <c r="AV593" s="32">
        <f>IFERROR(__xludf.DUMMYFUNCTION("""COMPUTED_VALUE"""),1.5152034074309952)</f>
        <v>1.515203407</v>
      </c>
      <c r="AW593" s="32">
        <f>IFERROR(__xludf.DUMMYFUNCTION("""COMPUTED_VALUE"""),-38.128907372714096)</f>
        <v>-38.12890737</v>
      </c>
      <c r="AX593" s="32">
        <f>IFERROR(__xludf.DUMMYFUNCTION("""COMPUTED_VALUE"""),0.4118700947246907)</f>
        <v>0.4118700947</v>
      </c>
      <c r="AY593" s="32">
        <f>IFERROR(__xludf.DUMMYFUNCTION("""COMPUTED_VALUE"""),-42.27543691858329)</f>
        <v>-42.27543692</v>
      </c>
      <c r="AZ593" s="30">
        <f>IFERROR(__xludf.DUMMYFUNCTION("""COMPUTED_VALUE"""),4.146529545869193)</f>
        <v>4.146529546</v>
      </c>
      <c r="BA593" s="30">
        <f>IFERROR(__xludf.DUMMYFUNCTION("""COMPUTED_VALUE"""),2300.0)</f>
        <v>2300</v>
      </c>
    </row>
    <row r="594">
      <c r="A594" s="71" t="str">
        <f>IFERROR(__xludf.DUMMYFUNCTION("""COMPUTED_VALUE"""),"Challenger")</f>
        <v>Challenger</v>
      </c>
      <c r="B594" s="71" t="str">
        <f>IFERROR(__xludf.DUMMYFUNCTION("""COMPUTED_VALUE"""),"RSC007256")</f>
        <v>RSC007256</v>
      </c>
      <c r="C594" s="30" t="str">
        <f>IFERROR(__xludf.DUMMYFUNCTION("""COMPUTED_VALUE"""),"Dark Odst RW7")</f>
        <v>Dark Odst RW7</v>
      </c>
      <c r="D594" s="30" t="str">
        <f>IFERROR(__xludf.DUMMYFUNCTION("""COMPUTED_VALUE"""),"Deceased")</f>
        <v>Deceased</v>
      </c>
      <c r="E594" s="30">
        <f>IFERROR(__xludf.DUMMYFUNCTION("""COMPUTED_VALUE"""),31.0)</f>
        <v>31</v>
      </c>
      <c r="F594" s="30">
        <f>IFERROR(__xludf.DUMMYFUNCTION("""COMPUTED_VALUE"""),20.0)</f>
        <v>20</v>
      </c>
      <c r="G594" s="42">
        <f>IFERROR(__xludf.DUMMYFUNCTION("""COMPUTED_VALUE"""),11.0)</f>
        <v>11</v>
      </c>
      <c r="H594" s="42">
        <f>IFERROR(__xludf.DUMMYFUNCTION("""COMPUTED_VALUE"""),0.6451612903225806)</f>
        <v>0.6451612903</v>
      </c>
      <c r="I594" s="42">
        <f>IFERROR(__xludf.DUMMYFUNCTION("""COMPUTED_VALUE"""),0.326530612244898)</f>
        <v>0.3265306122</v>
      </c>
      <c r="J594" s="30">
        <f>IFERROR(__xludf.DUMMYFUNCTION("""COMPUTED_VALUE"""),375.93548387096774)</f>
        <v>375.9354839</v>
      </c>
      <c r="K594" s="30">
        <f>IFERROR(__xludf.DUMMYFUNCTION("""COMPUTED_VALUE"""),1.032258064516129)</f>
        <v>1.032258065</v>
      </c>
      <c r="L594" s="30">
        <f>IFERROR(__xludf.DUMMYFUNCTION("""COMPUTED_VALUE"""),0.6129032258064516)</f>
        <v>0.6129032258</v>
      </c>
      <c r="M594" s="30">
        <f>IFERROR(__xludf.DUMMYFUNCTION("""COMPUTED_VALUE"""),1.1612903225806452)</f>
        <v>1.161290323</v>
      </c>
      <c r="N594" s="30">
        <f>IFERROR(__xludf.DUMMYFUNCTION("""COMPUTED_VALUE"""),3.161290322580645)</f>
        <v>3.161290323</v>
      </c>
      <c r="O594" s="30">
        <f>IFERROR(__xludf.DUMMYFUNCTION("""COMPUTED_VALUE"""),323.5376344086022)</f>
        <v>323.5376344</v>
      </c>
      <c r="P594" s="30">
        <f>IFERROR(__xludf.DUMMYFUNCTION("""COMPUTED_VALUE"""),0.5698924731182795)</f>
        <v>0.5698924731</v>
      </c>
      <c r="Q594" s="30">
        <f>IFERROR(__xludf.DUMMYFUNCTION("""COMPUTED_VALUE"""),0.41935483870967744)</f>
        <v>0.4193548387</v>
      </c>
      <c r="R594" s="30">
        <f>IFERROR(__xludf.DUMMYFUNCTION("""COMPUTED_VALUE"""),1.3978494623655915)</f>
        <v>1.397849462</v>
      </c>
      <c r="S594" s="30">
        <f>IFERROR(__xludf.DUMMYFUNCTION("""COMPUTED_VALUE"""),2.086021505376345)</f>
        <v>2.086021505</v>
      </c>
      <c r="T594" s="30">
        <f>IFERROR(__xludf.DUMMYFUNCTION("""COMPUTED_VALUE"""),322.03152729203214)</f>
        <v>322.0315273</v>
      </c>
      <c r="U594" s="30">
        <f>IFERROR(__xludf.DUMMYFUNCTION("""COMPUTED_VALUE"""),0.7055067318466566)</f>
        <v>0.7055067318</v>
      </c>
      <c r="V594" s="30">
        <f>IFERROR(__xludf.DUMMYFUNCTION("""COMPUTED_VALUE"""),0.4483990114455204)</f>
        <v>0.4483990114</v>
      </c>
      <c r="W594" s="30">
        <f>IFERROR(__xludf.DUMMYFUNCTION("""COMPUTED_VALUE"""),1.2651556395197623)</f>
        <v>1.26515564</v>
      </c>
      <c r="X594" s="30">
        <f>IFERROR(__xludf.DUMMYFUNCTION("""COMPUTED_VALUE"""),2.2108055050336177)</f>
        <v>2.210805505</v>
      </c>
      <c r="Y594" s="30">
        <f>IFERROR(__xludf.DUMMYFUNCTION("""COMPUTED_VALUE"""),346.27483240706744)</f>
        <v>346.2748324</v>
      </c>
      <c r="Z594" s="30">
        <f>IFERROR(__xludf.DUMMYFUNCTION("""COMPUTED_VALUE"""),0.8691764114398355)</f>
        <v>0.8691764114</v>
      </c>
      <c r="AA594" s="30">
        <f>IFERROR(__xludf.DUMMYFUNCTION("""COMPUTED_VALUE"""),0.6189821867833313)</f>
        <v>0.6189821868</v>
      </c>
      <c r="AB594" s="30">
        <f>IFERROR(__xludf.DUMMYFUNCTION("""COMPUTED_VALUE"""),1.1329006571453322)</f>
        <v>1.132900657</v>
      </c>
      <c r="AC594" s="30">
        <f>IFERROR(__xludf.DUMMYFUNCTION("""COMPUTED_VALUE"""),2.650065202047979)</f>
        <v>2.650065202</v>
      </c>
      <c r="AD594" s="30">
        <f>IFERROR(__xludf.DUMMYFUNCTION("""COMPUTED_VALUE"""),1.085656388186573)</f>
        <v>1.085656388</v>
      </c>
      <c r="AE594" s="30">
        <f>IFERROR(__xludf.DUMMYFUNCTION("""COMPUTED_VALUE"""),1.1876277944613571)</f>
        <v>1.187627794</v>
      </c>
      <c r="AF594" s="30">
        <f>IFERROR(__xludf.DUMMYFUNCTION("""COMPUTED_VALUE"""),0.9901791019084568)</f>
        <v>0.9901791019</v>
      </c>
      <c r="AG594" s="30">
        <f>IFERROR(__xludf.DUMMYFUNCTION("""COMPUTED_VALUE"""),1.0250592717519018)</f>
        <v>1.025059272</v>
      </c>
      <c r="AH594" s="30">
        <f>IFERROR(__xludf.DUMMYFUNCTION("""COMPUTED_VALUE"""),1.192910393350922)</f>
        <v>1.192910393</v>
      </c>
      <c r="AI594" s="30">
        <f>IFERROR(__xludf.DUMMYFUNCTION("""COMPUTED_VALUE"""),1.0046768933751142)</f>
        <v>1.004676893</v>
      </c>
      <c r="AJ594" s="30">
        <f>IFERROR(__xludf.DUMMYFUNCTION("""COMPUTED_VALUE"""),0.8077775128050045)</f>
        <v>0.8077775128</v>
      </c>
      <c r="AK594" s="30">
        <f>IFERROR(__xludf.DUMMYFUNCTION("""COMPUTED_VALUE"""),0.9352269474408246)</f>
        <v>0.9352269474</v>
      </c>
      <c r="AL594" s="30">
        <f>IFERROR(__xludf.DUMMYFUNCTION("""COMPUTED_VALUE"""),1.1048833982957214)</f>
        <v>1.104883398</v>
      </c>
      <c r="AM594" s="30">
        <f>IFERROR(__xludf.DUMMYFUNCTION("""COMPUTED_VALUE"""),0.9435572241098724)</f>
        <v>0.9435572241</v>
      </c>
      <c r="AN594" s="30">
        <f>IFERROR(__xludf.DUMMYFUNCTION("""COMPUTED_VALUE"""),1.1436624680439114)</f>
        <v>1.143662468</v>
      </c>
      <c r="AO594" s="30">
        <f>IFERROR(__xludf.DUMMYFUNCTION("""COMPUTED_VALUE"""),1.3612868027007947)</f>
        <v>1.361286803</v>
      </c>
      <c r="AP594" s="30">
        <f>IFERROR(__xludf.DUMMYFUNCTION("""COMPUTED_VALUE"""),1.1886680531965756)</f>
        <v>1.188668053</v>
      </c>
      <c r="AQ594" s="30">
        <f>IFERROR(__xludf.DUMMYFUNCTION("""COMPUTED_VALUE"""),0.9683858208041439)</f>
        <v>0.9683858208</v>
      </c>
      <c r="AR594" s="30">
        <f>IFERROR(__xludf.DUMMYFUNCTION("""COMPUTED_VALUE"""),1.3178974836334894)</f>
        <v>1.317897484</v>
      </c>
      <c r="AS594" s="30">
        <f>IFERROR(__xludf.DUMMYFUNCTION("""COMPUTED_VALUE"""),89.0)</f>
        <v>89</v>
      </c>
      <c r="AT594" s="30">
        <f>IFERROR(__xludf.DUMMYFUNCTION("""COMPUTED_VALUE"""),0.6904534721176743)</f>
        <v>0.6904534721</v>
      </c>
      <c r="AU594" s="30">
        <f>IFERROR(__xludf.DUMMYFUNCTION("""COMPUTED_VALUE"""),4.009699919255924)</f>
        <v>4.009699919</v>
      </c>
      <c r="AV594" s="32">
        <f>IFERROR(__xludf.DUMMYFUNCTION("""COMPUTED_VALUE"""),76.6151993744028)</f>
        <v>76.61519937</v>
      </c>
      <c r="AW594" s="32">
        <f>IFERROR(__xludf.DUMMYFUNCTION("""COMPUTED_VALUE"""),6.967345494495671)</f>
        <v>6.967345494</v>
      </c>
      <c r="AX594" s="32">
        <f>IFERROR(__xludf.DUMMYFUNCTION("""COMPUTED_VALUE"""),61.250661334169685)</f>
        <v>61.25066133</v>
      </c>
      <c r="AY594" s="32">
        <f>IFERROR(__xludf.DUMMYFUNCTION("""COMPUTED_VALUE"""),3.0642354150874036)</f>
        <v>3.064235415</v>
      </c>
      <c r="AZ594" s="30">
        <f>IFERROR(__xludf.DUMMYFUNCTION("""COMPUTED_VALUE"""),3.9031100794082674)</f>
        <v>3.903110079</v>
      </c>
      <c r="BA594" s="30">
        <f>IFERROR(__xludf.DUMMYFUNCTION("""COMPUTED_VALUE"""),2300.0)</f>
        <v>2300</v>
      </c>
    </row>
    <row r="595">
      <c r="A595" s="71" t="str">
        <f>IFERROR(__xludf.DUMMYFUNCTION("""COMPUTED_VALUE"""),"Challenger")</f>
        <v>Challenger</v>
      </c>
      <c r="B595" s="71" t="str">
        <f>IFERROR(__xludf.DUMMYFUNCTION("""COMPUTED_VALUE"""),"RSC002841")</f>
        <v>RSC002841</v>
      </c>
      <c r="C595" s="30" t="str">
        <f>IFERROR(__xludf.DUMMYFUNCTION("""COMPUTED_VALUE"""),"dyl")</f>
        <v>dyl</v>
      </c>
      <c r="D595" s="30" t="str">
        <f>IFERROR(__xludf.DUMMYFUNCTION("""COMPUTED_VALUE"""),"Cassowaries")</f>
        <v>Cassowaries</v>
      </c>
      <c r="E595" s="30">
        <f>IFERROR(__xludf.DUMMYFUNCTION("""COMPUTED_VALUE"""),35.0)</f>
        <v>35</v>
      </c>
      <c r="F595" s="30">
        <f>IFERROR(__xludf.DUMMYFUNCTION("""COMPUTED_VALUE"""),27.0)</f>
        <v>27</v>
      </c>
      <c r="G595" s="42">
        <f>IFERROR(__xludf.DUMMYFUNCTION("""COMPUTED_VALUE"""),8.0)</f>
        <v>8</v>
      </c>
      <c r="H595" s="42">
        <f>IFERROR(__xludf.DUMMYFUNCTION("""COMPUTED_VALUE"""),0.7714285714285715)</f>
        <v>0.7714285714</v>
      </c>
      <c r="I595" s="42">
        <f>IFERROR(__xludf.DUMMYFUNCTION("""COMPUTED_VALUE"""),0.39772727272727276)</f>
        <v>0.3977272727</v>
      </c>
      <c r="J595" s="30">
        <f>IFERROR(__xludf.DUMMYFUNCTION("""COMPUTED_VALUE"""),393.2857142857143)</f>
        <v>393.2857143</v>
      </c>
      <c r="K595" s="30">
        <f>IFERROR(__xludf.DUMMYFUNCTION("""COMPUTED_VALUE"""),1.0)</f>
        <v>1</v>
      </c>
      <c r="L595" s="30">
        <f>IFERROR(__xludf.DUMMYFUNCTION("""COMPUTED_VALUE"""),0.8285714285714286)</f>
        <v>0.8285714286</v>
      </c>
      <c r="M595" s="30">
        <f>IFERROR(__xludf.DUMMYFUNCTION("""COMPUTED_VALUE"""),1.4)</f>
        <v>1.4</v>
      </c>
      <c r="N595" s="30">
        <f>IFERROR(__xludf.DUMMYFUNCTION("""COMPUTED_VALUE"""),2.5142857142857142)</f>
        <v>2.514285714</v>
      </c>
      <c r="O595" s="30">
        <f>IFERROR(__xludf.DUMMYFUNCTION("""COMPUTED_VALUE"""),319.29523809523806)</f>
        <v>319.2952381</v>
      </c>
      <c r="P595" s="30">
        <f>IFERROR(__xludf.DUMMYFUNCTION("""COMPUTED_VALUE"""),0.6952380952380953)</f>
        <v>0.6952380952</v>
      </c>
      <c r="Q595" s="30">
        <f>IFERROR(__xludf.DUMMYFUNCTION("""COMPUTED_VALUE"""),0.4380952380952382)</f>
        <v>0.4380952381</v>
      </c>
      <c r="R595" s="30">
        <f>IFERROR(__xludf.DUMMYFUNCTION("""COMPUTED_VALUE"""),1.276190476190476)</f>
        <v>1.276190476</v>
      </c>
      <c r="S595" s="30">
        <f>IFERROR(__xludf.DUMMYFUNCTION("""COMPUTED_VALUE"""),2.3714285714285706)</f>
        <v>2.371428571</v>
      </c>
      <c r="T595" s="30">
        <f>IFERROR(__xludf.DUMMYFUNCTION("""COMPUTED_VALUE"""),316.34361937063085)</f>
        <v>316.3436194</v>
      </c>
      <c r="U595" s="30">
        <f>IFERROR(__xludf.DUMMYFUNCTION("""COMPUTED_VALUE"""),0.6775125050942196)</f>
        <v>0.6775125051</v>
      </c>
      <c r="V595" s="30">
        <f>IFERROR(__xludf.DUMMYFUNCTION("""COMPUTED_VALUE"""),0.4444169278984944)</f>
        <v>0.4444169279</v>
      </c>
      <c r="W595" s="30">
        <f>IFERROR(__xludf.DUMMYFUNCTION("""COMPUTED_VALUE"""),1.2080312944306861)</f>
        <v>1.208031294</v>
      </c>
      <c r="X595" s="30">
        <f>IFERROR(__xludf.DUMMYFUNCTION("""COMPUTED_VALUE"""),2.317355247780709)</f>
        <v>2.317355248</v>
      </c>
      <c r="Y595" s="30">
        <f>IFERROR(__xludf.DUMMYFUNCTION("""COMPUTED_VALUE"""),345.69212613042663)</f>
        <v>345.6921261</v>
      </c>
      <c r="Z595" s="30">
        <f>IFERROR(__xludf.DUMMYFUNCTION("""COMPUTED_VALUE"""),0.8341008354628202)</f>
        <v>0.8341008355</v>
      </c>
      <c r="AA595" s="30">
        <f>IFERROR(__xludf.DUMMYFUNCTION("""COMPUTED_VALUE"""),0.587582807187873)</f>
        <v>0.5875828072</v>
      </c>
      <c r="AB595" s="30">
        <f>IFERROR(__xludf.DUMMYFUNCTION("""COMPUTED_VALUE"""),1.2123878845971647)</f>
        <v>1.212387885</v>
      </c>
      <c r="AC595" s="30">
        <f>IFERROR(__xludf.DUMMYFUNCTION("""COMPUTED_VALUE"""),2.5320434651609567)</f>
        <v>2.532043465</v>
      </c>
      <c r="AD595" s="30">
        <f>IFERROR(__xludf.DUMMYFUNCTION("""COMPUTED_VALUE"""),1.1376762285217077)</f>
        <v>1.137676229</v>
      </c>
      <c r="AE595" s="30">
        <f>IFERROR(__xludf.DUMMYFUNCTION("""COMPUTED_VALUE"""),1.1988958138917662)</f>
        <v>1.198895814</v>
      </c>
      <c r="AF595" s="30">
        <f>IFERROR(__xludf.DUMMYFUNCTION("""COMPUTED_VALUE"""),1.4101355901424497)</f>
        <v>1.41013559</v>
      </c>
      <c r="AG595" s="30">
        <f>IFERROR(__xludf.DUMMYFUNCTION("""COMPUTED_VALUE"""),1.1547459503566158)</f>
        <v>1.15474595</v>
      </c>
      <c r="AH595" s="30">
        <f>IFERROR(__xludf.DUMMYFUNCTION("""COMPUTED_VALUE"""),0.9929867906615444)</f>
        <v>0.9929867907</v>
      </c>
      <c r="AI595" s="30">
        <f>IFERROR(__xludf.DUMMYFUNCTION("""COMPUTED_VALUE"""),1.0093304196572053)</f>
        <v>1.00933042</v>
      </c>
      <c r="AJ595" s="30">
        <f>IFERROR(__xludf.DUMMYFUNCTION("""COMPUTED_VALUE"""),1.0261627497804056)</f>
        <v>1.02616275</v>
      </c>
      <c r="AK595" s="30">
        <f>IFERROR(__xludf.DUMMYFUNCTION("""COMPUTED_VALUE"""),0.9857753172608671)</f>
        <v>0.9857753173</v>
      </c>
      <c r="AL595" s="30">
        <f>IFERROR(__xludf.DUMMYFUNCTION("""COMPUTED_VALUE"""),1.0564217020486308)</f>
        <v>1.056421702</v>
      </c>
      <c r="AM595" s="30">
        <f>IFERROR(__xludf.DUMMYFUNCTION("""COMPUTED_VALUE"""),1.0233340674459157)</f>
        <v>1.023334067</v>
      </c>
      <c r="AN595" s="30">
        <f>IFERROR(__xludf.DUMMYFUNCTION("""COMPUTED_VALUE"""),1.1964449485188597)</f>
        <v>1.196444949</v>
      </c>
      <c r="AO595" s="30">
        <f>IFERROR(__xludf.DUMMYFUNCTION("""COMPUTED_VALUE"""),1.318746590116395)</f>
        <v>1.31874659</v>
      </c>
      <c r="AP595" s="30">
        <f>IFERROR(__xludf.DUMMYFUNCTION("""COMPUTED_VALUE"""),1.6069362102612355)</f>
        <v>1.60693621</v>
      </c>
      <c r="AQ595" s="30">
        <f>IFERROR(__xludf.DUMMYFUNCTION("""COMPUTED_VALUE"""),1.1674429061916622)</f>
        <v>1.167442906</v>
      </c>
      <c r="AR595" s="30">
        <f>IFERROR(__xludf.DUMMYFUNCTION("""COMPUTED_VALUE"""),1.0481703601609793)</f>
        <v>1.04817036</v>
      </c>
      <c r="AS595" s="30">
        <f>IFERROR(__xludf.DUMMYFUNCTION("""COMPUTED_VALUE"""),111.0)</f>
        <v>111</v>
      </c>
      <c r="AT595" s="30">
        <f>IFERROR(__xludf.DUMMYFUNCTION("""COMPUTED_VALUE"""),0.6625658258640648)</f>
        <v>0.6625658259</v>
      </c>
      <c r="AU595" s="30">
        <f>IFERROR(__xludf.DUMMYFUNCTION("""COMPUTED_VALUE"""),3.990239776658442)</f>
        <v>3.990239777</v>
      </c>
      <c r="AV595" s="32">
        <f>IFERROR(__xludf.DUMMYFUNCTION("""COMPUTED_VALUE"""),76.10063121578409)</f>
        <v>76.10063122</v>
      </c>
      <c r="AW595" s="32">
        <f>IFERROR(__xludf.DUMMYFUNCTION("""COMPUTED_VALUE"""),6.7459607533239545)</f>
        <v>6.745960753</v>
      </c>
      <c r="AX595" s="32">
        <f>IFERROR(__xludf.DUMMYFUNCTION("""COMPUTED_VALUE"""),61.90396281930105)</f>
        <v>61.90396282</v>
      </c>
      <c r="AY595" s="32">
        <f>IFERROR(__xludf.DUMMYFUNCTION("""COMPUTED_VALUE"""),3.1547659384929894)</f>
        <v>3.154765938</v>
      </c>
      <c r="AZ595" s="30">
        <f>IFERROR(__xludf.DUMMYFUNCTION("""COMPUTED_VALUE"""),3.591194814830965)</f>
        <v>3.591194815</v>
      </c>
      <c r="BA595" s="30">
        <f>IFERROR(__xludf.DUMMYFUNCTION("""COMPUTED_VALUE"""),2300.0)</f>
        <v>2300</v>
      </c>
    </row>
    <row r="596">
      <c r="A596" s="71" t="str">
        <f>IFERROR(__xludf.DUMMYFUNCTION("""COMPUTED_VALUE"""),"Challenger")</f>
        <v>Challenger</v>
      </c>
      <c r="B596" s="71" t="str">
        <f>IFERROR(__xludf.DUMMYFUNCTION("""COMPUTED_VALUE"""),"RSC007560")</f>
        <v>RSC007560</v>
      </c>
      <c r="C596" s="30" t="str">
        <f>IFERROR(__xludf.DUMMYFUNCTION("""COMPUTED_VALUE"""),"ObiWan_Can_O_Bee")</f>
        <v>ObiWan_Can_O_Bee</v>
      </c>
      <c r="D596" s="30" t="str">
        <f>IFERROR(__xludf.DUMMYFUNCTION("""COMPUTED_VALUE"""),"Shade")</f>
        <v>Shade</v>
      </c>
      <c r="E596" s="30">
        <f>IFERROR(__xludf.DUMMYFUNCTION("""COMPUTED_VALUE"""),34.0)</f>
        <v>34</v>
      </c>
      <c r="F596" s="30">
        <f>IFERROR(__xludf.DUMMYFUNCTION("""COMPUTED_VALUE"""),10.0)</f>
        <v>10</v>
      </c>
      <c r="G596" s="42">
        <f>IFERROR(__xludf.DUMMYFUNCTION("""COMPUTED_VALUE"""),24.0)</f>
        <v>24</v>
      </c>
      <c r="H596" s="42">
        <f>IFERROR(__xludf.DUMMYFUNCTION("""COMPUTED_VALUE"""),0.29411764705882354)</f>
        <v>0.2941176471</v>
      </c>
      <c r="I596" s="42">
        <f>IFERROR(__xludf.DUMMYFUNCTION("""COMPUTED_VALUE"""),0.26582278481012656)</f>
        <v>0.2658227848</v>
      </c>
      <c r="J596" s="30">
        <f>IFERROR(__xludf.DUMMYFUNCTION("""COMPUTED_VALUE"""),282.44117647058823)</f>
        <v>282.4411765</v>
      </c>
      <c r="K596" s="30">
        <f>IFERROR(__xludf.DUMMYFUNCTION("""COMPUTED_VALUE"""),0.6176470588235294)</f>
        <v>0.6176470588</v>
      </c>
      <c r="L596" s="30">
        <f>IFERROR(__xludf.DUMMYFUNCTION("""COMPUTED_VALUE"""),0.17647058823529413)</f>
        <v>0.1764705882</v>
      </c>
      <c r="M596" s="30">
        <f>IFERROR(__xludf.DUMMYFUNCTION("""COMPUTED_VALUE"""),1.088235294117647)</f>
        <v>1.088235294</v>
      </c>
      <c r="N596" s="30">
        <f>IFERROR(__xludf.DUMMYFUNCTION("""COMPUTED_VALUE"""),2.323529411764706)</f>
        <v>2.323529412</v>
      </c>
      <c r="O596" s="30">
        <f>IFERROR(__xludf.DUMMYFUNCTION("""COMPUTED_VALUE"""),356.12745098039215)</f>
        <v>356.127451</v>
      </c>
      <c r="P596" s="30">
        <f>IFERROR(__xludf.DUMMYFUNCTION("""COMPUTED_VALUE"""),0.8921568627450979)</f>
        <v>0.8921568627</v>
      </c>
      <c r="Q596" s="30">
        <f>IFERROR(__xludf.DUMMYFUNCTION("""COMPUTED_VALUE"""),0.6862745098039217)</f>
        <v>0.6862745098</v>
      </c>
      <c r="R596" s="30">
        <f>IFERROR(__xludf.DUMMYFUNCTION("""COMPUTED_VALUE"""),1.2450980392156865)</f>
        <v>1.245098039</v>
      </c>
      <c r="S596" s="30">
        <f>IFERROR(__xludf.DUMMYFUNCTION("""COMPUTED_VALUE"""),2.4313725490196076)</f>
        <v>2.431372549</v>
      </c>
      <c r="T596" s="30">
        <f>IFERROR(__xludf.DUMMYFUNCTION("""COMPUTED_VALUE"""),340.52049987671194)</f>
        <v>340.5204999</v>
      </c>
      <c r="U596" s="30">
        <f>IFERROR(__xludf.DUMMYFUNCTION("""COMPUTED_VALUE"""),0.8047988943914831)</f>
        <v>0.8047988944</v>
      </c>
      <c r="V596" s="30">
        <f>IFERROR(__xludf.DUMMYFUNCTION("""COMPUTED_VALUE"""),0.580541942107314)</f>
        <v>0.5805419421</v>
      </c>
      <c r="W596" s="30">
        <f>IFERROR(__xludf.DUMMYFUNCTION("""COMPUTED_VALUE"""),1.21772442850344)</f>
        <v>1.217724429</v>
      </c>
      <c r="X596" s="30">
        <f>IFERROR(__xludf.DUMMYFUNCTION("""COMPUTED_VALUE"""),2.52025732604071)</f>
        <v>2.520257326</v>
      </c>
      <c r="Y596" s="30">
        <f>IFERROR(__xludf.DUMMYFUNCTION("""COMPUTED_VALUE"""),331.90384725927)</f>
        <v>331.9038473</v>
      </c>
      <c r="Z596" s="30">
        <f>IFERROR(__xludf.DUMMYFUNCTION("""COMPUTED_VALUE"""),0.7549947346073838)</f>
        <v>0.7549947346</v>
      </c>
      <c r="AA596" s="30">
        <f>IFERROR(__xludf.DUMMYFUNCTION("""COMPUTED_VALUE"""),0.5211224759263975)</f>
        <v>0.5211224759</v>
      </c>
      <c r="AB596" s="30">
        <f>IFERROR(__xludf.DUMMYFUNCTION("""COMPUTED_VALUE"""),1.2234226631807898)</f>
        <v>1.223422663</v>
      </c>
      <c r="AC596" s="30">
        <f>IFERROR(__xludf.DUMMYFUNCTION("""COMPUTED_VALUE"""),2.413657408324595)</f>
        <v>2.413657408</v>
      </c>
      <c r="AD596" s="30">
        <f>IFERROR(__xludf.DUMMYFUNCTION("""COMPUTED_VALUE"""),0.8509728911034783)</f>
        <v>0.8509728911</v>
      </c>
      <c r="AE596" s="30">
        <f>IFERROR(__xludf.DUMMYFUNCTION("""COMPUTED_VALUE"""),0.8180812799240533)</f>
        <v>0.8180812799</v>
      </c>
      <c r="AF596" s="30">
        <f>IFERROR(__xludf.DUMMYFUNCTION("""COMPUTED_VALUE"""),0.33863553461512674)</f>
        <v>0.3386355346</v>
      </c>
      <c r="AG596" s="30">
        <f>IFERROR(__xludf.DUMMYFUNCTION("""COMPUTED_VALUE"""),0.8895006826899318)</f>
        <v>0.8895006827</v>
      </c>
      <c r="AH596" s="30">
        <f>IFERROR(__xludf.DUMMYFUNCTION("""COMPUTED_VALUE"""),0.9626591593947668)</f>
        <v>0.9626591594</v>
      </c>
      <c r="AI596" s="30">
        <f>IFERROR(__xludf.DUMMYFUNCTION("""COMPUTED_VALUE"""),1.045832633011319)</f>
        <v>1.045832633</v>
      </c>
      <c r="AJ596" s="30">
        <f>IFERROR(__xludf.DUMMYFUNCTION("""COMPUTED_VALUE"""),1.108546332459449)</f>
        <v>1.108546332</v>
      </c>
      <c r="AK596" s="30">
        <f>IFERROR(__xludf.DUMMYFUNCTION("""COMPUTED_VALUE"""),1.1821273538184134)</f>
        <v>1.182127354</v>
      </c>
      <c r="AL596" s="30">
        <f>IFERROR(__xludf.DUMMYFUNCTION("""COMPUTED_VALUE"""),1.0224793147542321)</f>
        <v>1.022479315</v>
      </c>
      <c r="AM596" s="30">
        <f>IFERROR(__xludf.DUMMYFUNCTION("""COMPUTED_VALUE"""),0.9647318644399145)</f>
        <v>0.9647318644</v>
      </c>
      <c r="AN596" s="30">
        <f>IFERROR(__xludf.DUMMYFUNCTION("""COMPUTED_VALUE"""),0.8592361902992058)</f>
        <v>0.8592361903</v>
      </c>
      <c r="AO596" s="30">
        <f>IFERROR(__xludf.DUMMYFUNCTION("""COMPUTED_VALUE"""),0.8145199527189498)</f>
        <v>0.8145199527</v>
      </c>
      <c r="AP596" s="30">
        <f>IFERROR(__xludf.DUMMYFUNCTION("""COMPUTED_VALUE"""),0.34224807723616574)</f>
        <v>0.3422480772</v>
      </c>
      <c r="AQ596" s="30">
        <f>IFERROR(__xludf.DUMMYFUNCTION("""COMPUTED_VALUE"""),0.9074661245607458)</f>
        <v>0.9074661246</v>
      </c>
      <c r="AR596" s="30">
        <f>IFERROR(__xludf.DUMMYFUNCTION("""COMPUTED_VALUE"""),0.9686467399214933)</f>
        <v>0.9686467399</v>
      </c>
      <c r="AS596" s="30">
        <f>IFERROR(__xludf.DUMMYFUNCTION("""COMPUTED_VALUE"""),47.0)</f>
        <v>47</v>
      </c>
      <c r="AT596" s="30">
        <f>IFERROR(__xludf.DUMMYFUNCTION("""COMPUTED_VALUE"""),0.27136754224543674)</f>
        <v>0.2713675422</v>
      </c>
      <c r="AU596" s="30">
        <f>IFERROR(__xludf.DUMMYFUNCTION("""COMPUTED_VALUE"""),1.9771617953131595)</f>
        <v>1.977161795</v>
      </c>
      <c r="AV596" s="32">
        <f>IFERROR(__xludf.DUMMYFUNCTION("""COMPUTED_VALUE"""),22.870505854281113)</f>
        <v>22.87050585</v>
      </c>
      <c r="AW596" s="32">
        <f>IFERROR(__xludf.DUMMYFUNCTION("""COMPUTED_VALUE"""),-7.198334600769741)</f>
        <v>-7.198334601</v>
      </c>
      <c r="AX596" s="32">
        <f>IFERROR(__xludf.DUMMYFUNCTION("""COMPUTED_VALUE"""),35.11713241893153)</f>
        <v>35.11713242</v>
      </c>
      <c r="AY596" s="32">
        <f>IFERROR(__xludf.DUMMYFUNCTION("""COMPUTED_VALUE"""),-3.625598052881925)</f>
        <v>-3.625598053</v>
      </c>
      <c r="AZ596" s="30">
        <f>IFERROR(__xludf.DUMMYFUNCTION("""COMPUTED_VALUE"""),3.5727365478878155)</f>
        <v>3.572736548</v>
      </c>
      <c r="BA596" s="30">
        <f>IFERROR(__xludf.DUMMYFUNCTION("""COMPUTED_VALUE"""),2300.0)</f>
        <v>2300</v>
      </c>
    </row>
    <row r="597">
      <c r="A597" s="71" t="str">
        <f>IFERROR(__xludf.DUMMYFUNCTION("""COMPUTED_VALUE"""),"Challenger")</f>
        <v>Challenger</v>
      </c>
      <c r="B597" s="71" t="str">
        <f>IFERROR(__xludf.DUMMYFUNCTION("""COMPUTED_VALUE"""),"RSC001995")</f>
        <v>RSC001995</v>
      </c>
      <c r="C597" s="30" t="str">
        <f>IFERROR(__xludf.DUMMYFUNCTION("""COMPUTED_VALUE"""),"Tvveedle")</f>
        <v>Tvveedle</v>
      </c>
      <c r="D597" s="30"/>
      <c r="E597" s="30">
        <f>IFERROR(__xludf.DUMMYFUNCTION("""COMPUTED_VALUE"""),8.0)</f>
        <v>8</v>
      </c>
      <c r="F597" s="30">
        <f>IFERROR(__xludf.DUMMYFUNCTION("""COMPUTED_VALUE"""),5.0)</f>
        <v>5</v>
      </c>
      <c r="G597" s="42">
        <f>IFERROR(__xludf.DUMMYFUNCTION("""COMPUTED_VALUE"""),3.0)</f>
        <v>3</v>
      </c>
      <c r="H597" s="42">
        <f>IFERROR(__xludf.DUMMYFUNCTION("""COMPUTED_VALUE"""),0.625)</f>
        <v>0.625</v>
      </c>
      <c r="I597" s="42">
        <f>IFERROR(__xludf.DUMMYFUNCTION("""COMPUTED_VALUE"""),0.3181818181818182)</f>
        <v>0.3181818182</v>
      </c>
      <c r="J597" s="30">
        <f>IFERROR(__xludf.DUMMYFUNCTION("""COMPUTED_VALUE"""),322.625)</f>
        <v>322.625</v>
      </c>
      <c r="K597" s="30">
        <f>IFERROR(__xludf.DUMMYFUNCTION("""COMPUTED_VALUE"""),0.875)</f>
        <v>0.875</v>
      </c>
      <c r="L597" s="30">
        <f>IFERROR(__xludf.DUMMYFUNCTION("""COMPUTED_VALUE"""),0.375)</f>
        <v>0.375</v>
      </c>
      <c r="M597" s="30">
        <f>IFERROR(__xludf.DUMMYFUNCTION("""COMPUTED_VALUE"""),0.875)</f>
        <v>0.875</v>
      </c>
      <c r="N597" s="30">
        <f>IFERROR(__xludf.DUMMYFUNCTION("""COMPUTED_VALUE"""),2.75)</f>
        <v>2.75</v>
      </c>
      <c r="O597" s="30">
        <f>IFERROR(__xludf.DUMMYFUNCTION("""COMPUTED_VALUE"""),265.8333333333333)</f>
        <v>265.8333333</v>
      </c>
      <c r="P597" s="30">
        <f>IFERROR(__xludf.DUMMYFUNCTION("""COMPUTED_VALUE"""),0.41666666666666674)</f>
        <v>0.4166666667</v>
      </c>
      <c r="Q597" s="30">
        <f>IFERROR(__xludf.DUMMYFUNCTION("""COMPUTED_VALUE"""),0.29166666666666663)</f>
        <v>0.2916666667</v>
      </c>
      <c r="R597" s="30">
        <f>IFERROR(__xludf.DUMMYFUNCTION("""COMPUTED_VALUE"""),1.0416666666666667)</f>
        <v>1.041666667</v>
      </c>
      <c r="S597" s="30">
        <f>IFERROR(__xludf.DUMMYFUNCTION("""COMPUTED_VALUE"""),1.6666666666666667)</f>
        <v>1.666666667</v>
      </c>
      <c r="T597" s="30">
        <f>IFERROR(__xludf.DUMMYFUNCTION("""COMPUTED_VALUE"""),321.96482117187054)</f>
        <v>321.9648212</v>
      </c>
      <c r="U597" s="30">
        <f>IFERROR(__xludf.DUMMYFUNCTION("""COMPUTED_VALUE"""),0.6124569495442361)</f>
        <v>0.6124569495</v>
      </c>
      <c r="V597" s="30">
        <f>IFERROR(__xludf.DUMMYFUNCTION("""COMPUTED_VALUE"""),0.44577374449290963)</f>
        <v>0.4457737445</v>
      </c>
      <c r="W597" s="30">
        <f>IFERROR(__xludf.DUMMYFUNCTION("""COMPUTED_VALUE"""),1.3865366185574917)</f>
        <v>1.386536619</v>
      </c>
      <c r="X597" s="30">
        <f>IFERROR(__xludf.DUMMYFUNCTION("""COMPUTED_VALUE"""),2.0737286390607075)</f>
        <v>2.073728639</v>
      </c>
      <c r="Y597" s="30">
        <f>IFERROR(__xludf.DUMMYFUNCTION("""COMPUTED_VALUE"""),352.4577965203677)</f>
        <v>352.4577965</v>
      </c>
      <c r="Z597" s="30">
        <f>IFERROR(__xludf.DUMMYFUNCTION("""COMPUTED_VALUE"""),0.8667025226512893)</f>
        <v>0.8667025227</v>
      </c>
      <c r="AA597" s="30">
        <f>IFERROR(__xludf.DUMMYFUNCTION("""COMPUTED_VALUE"""),0.641420452834115)</f>
        <v>0.6414204528</v>
      </c>
      <c r="AB597" s="30">
        <f>IFERROR(__xludf.DUMMYFUNCTION("""COMPUTED_VALUE"""),1.0872968776953595)</f>
        <v>1.087296878</v>
      </c>
      <c r="AC597" s="30">
        <f>IFERROR(__xludf.DUMMYFUNCTION("""COMPUTED_VALUE"""),2.8383994503633976)</f>
        <v>2.83839945</v>
      </c>
      <c r="AD597" s="30">
        <f>IFERROR(__xludf.DUMMYFUNCTION("""COMPUTED_VALUE"""),0.9153578192484565)</f>
        <v>0.9153578192</v>
      </c>
      <c r="AE597" s="30">
        <f>IFERROR(__xludf.DUMMYFUNCTION("""COMPUTED_VALUE"""),1.0095736162430082)</f>
        <v>1.009573616</v>
      </c>
      <c r="AF597" s="30">
        <f>IFERROR(__xludf.DUMMYFUNCTION("""COMPUTED_VALUE"""),0.5846399165213134)</f>
        <v>0.5846399165</v>
      </c>
      <c r="AG597" s="30">
        <f>IFERROR(__xludf.DUMMYFUNCTION("""COMPUTED_VALUE"""),0.8047480112834084)</f>
        <v>0.8047480113</v>
      </c>
      <c r="AH597" s="30">
        <f>IFERROR(__xludf.DUMMYFUNCTION("""COMPUTED_VALUE"""),0.9688558809606309)</f>
        <v>0.968855881</v>
      </c>
      <c r="AI597" s="30">
        <f>IFERROR(__xludf.DUMMYFUNCTION("""COMPUTED_VALUE"""),0.8256595623266144)</f>
        <v>0.8256595623</v>
      </c>
      <c r="AJ597" s="30">
        <f>IFERROR(__xludf.DUMMYFUNCTION("""COMPUTED_VALUE"""),0.6803199261217168)</f>
        <v>0.6803199261</v>
      </c>
      <c r="AK597" s="30">
        <f>IFERROR(__xludf.DUMMYFUNCTION("""COMPUTED_VALUE"""),0.6542930584627686)</f>
        <v>0.6542930585</v>
      </c>
      <c r="AL597" s="30">
        <f>IFERROR(__xludf.DUMMYFUNCTION("""COMPUTED_VALUE"""),0.7512723809273667)</f>
        <v>0.7512723809</v>
      </c>
      <c r="AM597" s="30">
        <f>IFERROR(__xludf.DUMMYFUNCTION("""COMPUTED_VALUE"""),0.8037052849024553)</f>
        <v>0.8037052849</v>
      </c>
      <c r="AN597" s="30">
        <f>IFERROR(__xludf.DUMMYFUNCTION("""COMPUTED_VALUE"""),0.9814825138435451)</f>
        <v>0.9814825138</v>
      </c>
      <c r="AO597" s="30">
        <f>IFERROR(__xludf.DUMMYFUNCTION("""COMPUTED_VALUE"""),1.1539032663518456)</f>
        <v>1.153903266</v>
      </c>
      <c r="AP597" s="30">
        <f>IFERROR(__xludf.DUMMYFUNCTION("""COMPUTED_VALUE"""),0.7272771641268522)</f>
        <v>0.7272771641</v>
      </c>
      <c r="AQ597" s="30">
        <f>IFERROR(__xludf.DUMMYFUNCTION("""COMPUTED_VALUE"""),0.7296518163697889)</f>
        <v>0.7296518164</v>
      </c>
      <c r="AR597" s="30">
        <f>IFERROR(__xludf.DUMMYFUNCTION("""COMPUTED_VALUE"""),1.146436331426071)</f>
        <v>1.146436331</v>
      </c>
      <c r="AS597" s="30">
        <f>IFERROR(__xludf.DUMMYFUNCTION("""COMPUTED_VALUE"""),17.0)</f>
        <v>17</v>
      </c>
      <c r="AT597" s="30">
        <f>IFERROR(__xludf.DUMMYFUNCTION("""COMPUTED_VALUE"""),0.6796848859231691)</f>
        <v>0.6796848859</v>
      </c>
      <c r="AU597" s="30">
        <f>IFERROR(__xludf.DUMMYFUNCTION("""COMPUTED_VALUE"""),3.2214826690234397)</f>
        <v>3.221482669</v>
      </c>
      <c r="AV597" s="32">
        <f>IFERROR(__xludf.DUMMYFUNCTION("""COMPUTED_VALUE"""),55.77303457463895)</f>
        <v>55.77303457</v>
      </c>
      <c r="AW597" s="32">
        <f>IFERROR(__xludf.DUMMYFUNCTION("""COMPUTED_VALUE"""),2.4468546880386937)</f>
        <v>2.446854688</v>
      </c>
      <c r="AX597" s="32">
        <f>IFERROR(__xludf.DUMMYFUNCTION("""COMPUTED_VALUE"""),73.90778602219028)</f>
        <v>73.90778602</v>
      </c>
      <c r="AY597" s="32">
        <f>IFERROR(__xludf.DUMMYFUNCTION("""COMPUTED_VALUE"""),5.901186204821726)</f>
        <v>5.901186205</v>
      </c>
      <c r="AZ597" s="30">
        <f>IFERROR(__xludf.DUMMYFUNCTION("""COMPUTED_VALUE"""),3.454331516783032)</f>
        <v>3.454331517</v>
      </c>
      <c r="BA597" s="30">
        <f>IFERROR(__xludf.DUMMYFUNCTION("""COMPUTED_VALUE"""),2300.0)</f>
        <v>2300</v>
      </c>
    </row>
    <row r="598">
      <c r="A598" s="71" t="str">
        <f>IFERROR(__xludf.DUMMYFUNCTION("""COMPUTED_VALUE"""),"Challenger")</f>
        <v>Challenger</v>
      </c>
      <c r="B598" s="71" t="str">
        <f>IFERROR(__xludf.DUMMYFUNCTION("""COMPUTED_VALUE"""),"RSC003450")</f>
        <v>RSC003450</v>
      </c>
      <c r="C598" s="30" t="str">
        <f>IFERROR(__xludf.DUMMYFUNCTION("""COMPUTED_VALUE"""),"ChronoElevated")</f>
        <v>ChronoElevated</v>
      </c>
      <c r="D598" s="30" t="str">
        <f>IFERROR(__xludf.DUMMYFUNCTION("""COMPUTED_VALUE"""),"Mugged")</f>
        <v>Mugged</v>
      </c>
      <c r="E598" s="30">
        <f>IFERROR(__xludf.DUMMYFUNCTION("""COMPUTED_VALUE"""),22.0)</f>
        <v>22</v>
      </c>
      <c r="F598" s="30">
        <f>IFERROR(__xludf.DUMMYFUNCTION("""COMPUTED_VALUE"""),13.0)</f>
        <v>13</v>
      </c>
      <c r="G598" s="42">
        <f>IFERROR(__xludf.DUMMYFUNCTION("""COMPUTED_VALUE"""),9.0)</f>
        <v>9</v>
      </c>
      <c r="H598" s="42">
        <f>IFERROR(__xludf.DUMMYFUNCTION("""COMPUTED_VALUE"""),0.5909090909090909)</f>
        <v>0.5909090909</v>
      </c>
      <c r="I598" s="42">
        <f>IFERROR(__xludf.DUMMYFUNCTION("""COMPUTED_VALUE"""),0.32786885245901637)</f>
        <v>0.3278688525</v>
      </c>
      <c r="J598" s="30">
        <f>IFERROR(__xludf.DUMMYFUNCTION("""COMPUTED_VALUE"""),349.3636363636364)</f>
        <v>349.3636364</v>
      </c>
      <c r="K598" s="30">
        <f>IFERROR(__xludf.DUMMYFUNCTION("""COMPUTED_VALUE"""),0.9090909090909091)</f>
        <v>0.9090909091</v>
      </c>
      <c r="L598" s="30">
        <f>IFERROR(__xludf.DUMMYFUNCTION("""COMPUTED_VALUE"""),0.8181818181818182)</f>
        <v>0.8181818182</v>
      </c>
      <c r="M598" s="30">
        <f>IFERROR(__xludf.DUMMYFUNCTION("""COMPUTED_VALUE"""),1.2272727272727273)</f>
        <v>1.227272727</v>
      </c>
      <c r="N598" s="30">
        <f>IFERROR(__xludf.DUMMYFUNCTION("""COMPUTED_VALUE"""),2.772727272727273)</f>
        <v>2.772727273</v>
      </c>
      <c r="O598" s="30">
        <f>IFERROR(__xludf.DUMMYFUNCTION("""COMPUTED_VALUE"""),350.25757575757575)</f>
        <v>350.2575758</v>
      </c>
      <c r="P598" s="30">
        <f>IFERROR(__xludf.DUMMYFUNCTION("""COMPUTED_VALUE"""),0.9090909090909091)</f>
        <v>0.9090909091</v>
      </c>
      <c r="Q598" s="30">
        <f>IFERROR(__xludf.DUMMYFUNCTION("""COMPUTED_VALUE"""),0.6212121212121212)</f>
        <v>0.6212121212</v>
      </c>
      <c r="R598" s="30">
        <f>IFERROR(__xludf.DUMMYFUNCTION("""COMPUTED_VALUE"""),1.1818181818181817)</f>
        <v>1.181818182</v>
      </c>
      <c r="S598" s="30">
        <f>IFERROR(__xludf.DUMMYFUNCTION("""COMPUTED_VALUE"""),2.7121212121212115)</f>
        <v>2.712121212</v>
      </c>
      <c r="T598" s="30">
        <f>IFERROR(__xludf.DUMMYFUNCTION("""COMPUTED_VALUE"""),332.7833549906983)</f>
        <v>332.783355</v>
      </c>
      <c r="U598" s="30">
        <f>IFERROR(__xludf.DUMMYFUNCTION("""COMPUTED_VALUE"""),0.7784393819725731)</f>
        <v>0.778439382</v>
      </c>
      <c r="V598" s="30">
        <f>IFERROR(__xludf.DUMMYFUNCTION("""COMPUTED_VALUE"""),0.5221006342184417)</f>
        <v>0.5221006342</v>
      </c>
      <c r="W598" s="30">
        <f>IFERROR(__xludf.DUMMYFUNCTION("""COMPUTED_VALUE"""),1.2017265750608426)</f>
        <v>1.201726575</v>
      </c>
      <c r="X598" s="30">
        <f>IFERROR(__xludf.DUMMYFUNCTION("""COMPUTED_VALUE"""),2.4799546725374686)</f>
        <v>2.479954673</v>
      </c>
      <c r="Y598" s="30">
        <f>IFERROR(__xludf.DUMMYFUNCTION("""COMPUTED_VALUE"""),336.3243491830045)</f>
        <v>336.3243492</v>
      </c>
      <c r="Z598" s="30">
        <f>IFERROR(__xludf.DUMMYFUNCTION("""COMPUTED_VALUE"""),0.7332482196235831)</f>
        <v>0.7332482196</v>
      </c>
      <c r="AA598" s="30">
        <f>IFERROR(__xludf.DUMMYFUNCTION("""COMPUTED_VALUE"""),0.5297485792774496)</f>
        <v>0.5297485793</v>
      </c>
      <c r="AB598" s="30">
        <f>IFERROR(__xludf.DUMMYFUNCTION("""COMPUTED_VALUE"""),1.2894824283682504)</f>
        <v>1.289482428</v>
      </c>
      <c r="AC598" s="30">
        <f>IFERROR(__xludf.DUMMYFUNCTION("""COMPUTED_VALUE"""),2.3633373265015294)</f>
        <v>2.363337327</v>
      </c>
      <c r="AD598" s="30">
        <f>IFERROR(__xludf.DUMMYFUNCTION("""COMPUTED_VALUE"""),1.0387699766975147)</f>
        <v>1.038769977</v>
      </c>
      <c r="AE598" s="30">
        <f>IFERROR(__xludf.DUMMYFUNCTION("""COMPUTED_VALUE"""),1.239813319366252)</f>
        <v>1.239813319</v>
      </c>
      <c r="AF598" s="30">
        <f>IFERROR(__xludf.DUMMYFUNCTION("""COMPUTED_VALUE"""),1.5444719442150787)</f>
        <v>1.544471944</v>
      </c>
      <c r="AG598" s="30">
        <f>IFERROR(__xludf.DUMMYFUNCTION("""COMPUTED_VALUE"""),0.9517560691585033)</f>
        <v>0.9517560692</v>
      </c>
      <c r="AH598" s="30">
        <f>IFERROR(__xludf.DUMMYFUNCTION("""COMPUTED_VALUE"""),1.1732253545166857)</f>
        <v>1.173225355</v>
      </c>
      <c r="AI598" s="30">
        <f>IFERROR(__xludf.DUMMYFUNCTION("""COMPUTED_VALUE"""),1.0525092992327272)</f>
        <v>1.052509299</v>
      </c>
      <c r="AJ598" s="30">
        <f>IFERROR(__xludf.DUMMYFUNCTION("""COMPUTED_VALUE"""),1.167837766361799)</f>
        <v>1.167837766</v>
      </c>
      <c r="AK598" s="30">
        <f>IFERROR(__xludf.DUMMYFUNCTION("""COMPUTED_VALUE"""),1.189832152075518)</f>
        <v>1.189832152</v>
      </c>
      <c r="AL598" s="30">
        <f>IFERROR(__xludf.DUMMYFUNCTION("""COMPUTED_VALUE"""),0.9834335083738553)</f>
        <v>0.9834335084</v>
      </c>
      <c r="AM598" s="30">
        <f>IFERROR(__xludf.DUMMYFUNCTION("""COMPUTED_VALUE"""),1.0936172512162055)</f>
        <v>1.093617251</v>
      </c>
      <c r="AN598" s="30">
        <f>IFERROR(__xludf.DUMMYFUNCTION("""COMPUTED_VALUE"""),1.062826191596138)</f>
        <v>1.062826192</v>
      </c>
      <c r="AO598" s="30">
        <f>IFERROR(__xludf.DUMMYFUNCTION("""COMPUTED_VALUE"""),1.19886053646945)</f>
        <v>1.198860536</v>
      </c>
      <c r="AP598" s="30">
        <f>IFERROR(__xludf.DUMMYFUNCTION("""COMPUTED_VALUE"""),1.5867865399131322)</f>
        <v>1.58678654</v>
      </c>
      <c r="AQ598" s="30">
        <f>IFERROR(__xludf.DUMMYFUNCTION("""COMPUTED_VALUE"""),1.0234077424407428)</f>
        <v>1.023407742</v>
      </c>
      <c r="AR598" s="30">
        <f>IFERROR(__xludf.DUMMYFUNCTION("""COMPUTED_VALUE"""),1.15591101185108)</f>
        <v>1.155911012</v>
      </c>
      <c r="AS598" s="30">
        <f>IFERROR(__xludf.DUMMYFUNCTION("""COMPUTED_VALUE"""),59.0)</f>
        <v>59</v>
      </c>
      <c r="AT598" s="30">
        <f>IFERROR(__xludf.DUMMYFUNCTION("""COMPUTED_VALUE"""),0.4931795505355791)</f>
        <v>0.4931795505</v>
      </c>
      <c r="AU598" s="30">
        <f>IFERROR(__xludf.DUMMYFUNCTION("""COMPUTED_VALUE"""),3.876819193633083)</f>
        <v>3.876819194</v>
      </c>
      <c r="AV598" s="32">
        <f>IFERROR(__xludf.DUMMYFUNCTION("""COMPUTED_VALUE"""),73.1015462777133)</f>
        <v>73.10154628</v>
      </c>
      <c r="AW598" s="32">
        <f>IFERROR(__xludf.DUMMYFUNCTION("""COMPUTED_VALUE"""),5.626605295003148)</f>
        <v>5.626605295</v>
      </c>
      <c r="AX598" s="32">
        <f>IFERROR(__xludf.DUMMYFUNCTION("""COMPUTED_VALUE"""),54.13763663810145)</f>
        <v>54.13763664</v>
      </c>
      <c r="AY598" s="32">
        <f>IFERROR(__xludf.DUMMYFUNCTION("""COMPUTED_VALUE"""),2.3026986003354937)</f>
        <v>2.3026986</v>
      </c>
      <c r="AZ598" s="30">
        <f>IFERROR(__xludf.DUMMYFUNCTION("""COMPUTED_VALUE"""),3.323906694667654)</f>
        <v>3.323906695</v>
      </c>
      <c r="BA598" s="30">
        <f>IFERROR(__xludf.DUMMYFUNCTION("""COMPUTED_VALUE"""),2300.0)</f>
        <v>2300</v>
      </c>
    </row>
    <row r="599">
      <c r="A599" s="71" t="str">
        <f>IFERROR(__xludf.DUMMYFUNCTION("""COMPUTED_VALUE"""),"Challenger")</f>
        <v>Challenger</v>
      </c>
      <c r="B599" s="71" t="str">
        <f>IFERROR(__xludf.DUMMYFUNCTION("""COMPUTED_VALUE"""),"RSC005844")</f>
        <v>RSC005844</v>
      </c>
      <c r="C599" s="30" t="str">
        <f>IFERROR(__xludf.DUMMYFUNCTION("""COMPUTED_VALUE"""),"xr.")</f>
        <v>xr.</v>
      </c>
      <c r="D599" s="30" t="str">
        <f>IFERROR(__xludf.DUMMYFUNCTION("""COMPUTED_VALUE"""),"Bingo")</f>
        <v>Bingo</v>
      </c>
      <c r="E599" s="30">
        <f>IFERROR(__xludf.DUMMYFUNCTION("""COMPUTED_VALUE"""),31.0)</f>
        <v>31</v>
      </c>
      <c r="F599" s="30">
        <f>IFERROR(__xludf.DUMMYFUNCTION("""COMPUTED_VALUE"""),13.0)</f>
        <v>13</v>
      </c>
      <c r="G599" s="42">
        <f>IFERROR(__xludf.DUMMYFUNCTION("""COMPUTED_VALUE"""),18.0)</f>
        <v>18</v>
      </c>
      <c r="H599" s="42">
        <f>IFERROR(__xludf.DUMMYFUNCTION("""COMPUTED_VALUE"""),0.41935483870967744)</f>
        <v>0.4193548387</v>
      </c>
      <c r="I599" s="42">
        <f>IFERROR(__xludf.DUMMYFUNCTION("""COMPUTED_VALUE"""),0.24074074074074076)</f>
        <v>0.2407407407</v>
      </c>
      <c r="J599" s="30">
        <f>IFERROR(__xludf.DUMMYFUNCTION("""COMPUTED_VALUE"""),300.83870967741933)</f>
        <v>300.8387097</v>
      </c>
      <c r="K599" s="30">
        <f>IFERROR(__xludf.DUMMYFUNCTION("""COMPUTED_VALUE"""),0.41935483870967744)</f>
        <v>0.4193548387</v>
      </c>
      <c r="L599" s="30">
        <f>IFERROR(__xludf.DUMMYFUNCTION("""COMPUTED_VALUE"""),0.45161290322580644)</f>
        <v>0.4516129032</v>
      </c>
      <c r="M599" s="30">
        <f>IFERROR(__xludf.DUMMYFUNCTION("""COMPUTED_VALUE"""),1.4838709677419355)</f>
        <v>1.483870968</v>
      </c>
      <c r="N599" s="30">
        <f>IFERROR(__xludf.DUMMYFUNCTION("""COMPUTED_VALUE"""),1.7419354838709677)</f>
        <v>1.741935484</v>
      </c>
      <c r="O599" s="30">
        <f>IFERROR(__xludf.DUMMYFUNCTION("""COMPUTED_VALUE"""),341.6129032258064)</f>
        <v>341.6129032</v>
      </c>
      <c r="P599" s="30">
        <f>IFERROR(__xludf.DUMMYFUNCTION("""COMPUTED_VALUE"""),0.8924731182795699)</f>
        <v>0.8924731183</v>
      </c>
      <c r="Q599" s="30">
        <f>IFERROR(__xludf.DUMMYFUNCTION("""COMPUTED_VALUE"""),0.6451612903225806)</f>
        <v>0.6451612903</v>
      </c>
      <c r="R599" s="30">
        <f>IFERROR(__xludf.DUMMYFUNCTION("""COMPUTED_VALUE"""),0.9354838709677418)</f>
        <v>0.935483871</v>
      </c>
      <c r="S599" s="30">
        <f>IFERROR(__xludf.DUMMYFUNCTION("""COMPUTED_VALUE"""),2.6236559139784945)</f>
        <v>2.623655914</v>
      </c>
      <c r="T599" s="30">
        <f>IFERROR(__xludf.DUMMYFUNCTION("""COMPUTED_VALUE"""),334.35927701451067)</f>
        <v>334.359277</v>
      </c>
      <c r="U599" s="30">
        <f>IFERROR(__xludf.DUMMYFUNCTION("""COMPUTED_VALUE"""),0.814718777167054)</f>
        <v>0.8147187772</v>
      </c>
      <c r="V599" s="30">
        <f>IFERROR(__xludf.DUMMYFUNCTION("""COMPUTED_VALUE"""),0.5495514293897309)</f>
        <v>0.5495514294</v>
      </c>
      <c r="W599" s="30">
        <f>IFERROR(__xludf.DUMMYFUNCTION("""COMPUTED_VALUE"""),1.0987820328522415)</f>
        <v>1.098782033</v>
      </c>
      <c r="X599" s="30">
        <f>IFERROR(__xludf.DUMMYFUNCTION("""COMPUTED_VALUE"""),2.6148172702005246)</f>
        <v>2.61481727</v>
      </c>
      <c r="Y599" s="30">
        <f>IFERROR(__xludf.DUMMYFUNCTION("""COMPUTED_VALUE"""),330.12435879922356)</f>
        <v>330.1243588</v>
      </c>
      <c r="Z599" s="30">
        <f>IFERROR(__xludf.DUMMYFUNCTION("""COMPUTED_VALUE"""),0.7232501422877562)</f>
        <v>0.7232501423</v>
      </c>
      <c r="AA599" s="30">
        <f>IFERROR(__xludf.DUMMYFUNCTION("""COMPUTED_VALUE"""),0.5047845151262242)</f>
        <v>0.5047845151</v>
      </c>
      <c r="AB599" s="30">
        <f>IFERROR(__xludf.DUMMYFUNCTION("""COMPUTED_VALUE"""),1.2941337850145826)</f>
        <v>1.294133785</v>
      </c>
      <c r="AC599" s="30">
        <f>IFERROR(__xludf.DUMMYFUNCTION("""COMPUTED_VALUE"""),2.253445212476425)</f>
        <v>2.253445212</v>
      </c>
      <c r="AD599" s="30">
        <f>IFERROR(__xludf.DUMMYFUNCTION("""COMPUTED_VALUE"""),0.9112890389902573)</f>
        <v>0.911289039</v>
      </c>
      <c r="AE599" s="30">
        <f>IFERROR(__xludf.DUMMYFUNCTION("""COMPUTED_VALUE"""),0.5798199187119284)</f>
        <v>0.5798199187</v>
      </c>
      <c r="AF599" s="30">
        <f>IFERROR(__xludf.DUMMYFUNCTION("""COMPUTED_VALUE"""),0.894664732559948)</f>
        <v>0.8946647326</v>
      </c>
      <c r="AG599" s="30">
        <f>IFERROR(__xludf.DUMMYFUNCTION("""COMPUTED_VALUE"""),1.1466132674414453)</f>
        <v>1.146613267</v>
      </c>
      <c r="AH599" s="30">
        <f>IFERROR(__xludf.DUMMYFUNCTION("""COMPUTED_VALUE"""),0.7730099113244766)</f>
        <v>0.7730099113</v>
      </c>
      <c r="AI599" s="30">
        <f>IFERROR(__xludf.DUMMYFUNCTION("""COMPUTED_VALUE"""),1.0216941078353299)</f>
        <v>1.021694108</v>
      </c>
      <c r="AJ599" s="30">
        <f>IFERROR(__xludf.DUMMYFUNCTION("""COMPUTED_VALUE"""),1.0954370309014896)</f>
        <v>1.095437031</v>
      </c>
      <c r="AK599" s="30">
        <f>IFERROR(__xludf.DUMMYFUNCTION("""COMPUTED_VALUE"""),1.173978004277094)</f>
        <v>1.173978004</v>
      </c>
      <c r="AL599" s="30">
        <f>IFERROR(__xludf.DUMMYFUNCTION("""COMPUTED_VALUE"""),0.851382569971037)</f>
        <v>0.85138257</v>
      </c>
      <c r="AM599" s="30">
        <f>IFERROR(__xludf.DUMMYFUNCTION("""COMPUTED_VALUE"""),1.0033802147013096)</f>
        <v>1.003380215</v>
      </c>
      <c r="AN599" s="30">
        <f>IFERROR(__xludf.DUMMYFUNCTION("""COMPUTED_VALUE"""),0.9152047517571235)</f>
        <v>0.9152047518</v>
      </c>
      <c r="AO599" s="30">
        <f>IFERROR(__xludf.DUMMYFUNCTION("""COMPUTED_VALUE"""),0.5530227635971979)</f>
        <v>0.5530227636</v>
      </c>
      <c r="AP599" s="30">
        <f>IFERROR(__xludf.DUMMYFUNCTION("""COMPUTED_VALUE"""),0.8758606707764242)</f>
        <v>0.8758606708</v>
      </c>
      <c r="AQ599" s="30">
        <f>IFERROR(__xludf.DUMMYFUNCTION("""COMPUTED_VALUE"""),1.2373818821386282)</f>
        <v>1.237381882</v>
      </c>
      <c r="AR599" s="30">
        <f>IFERROR(__xludf.DUMMYFUNCTION("""COMPUTED_VALUE"""),0.7261884093490656)</f>
        <v>0.7261884093</v>
      </c>
      <c r="AS599" s="30">
        <f>IFERROR(__xludf.DUMMYFUNCTION("""COMPUTED_VALUE"""),66.0)</f>
        <v>66</v>
      </c>
      <c r="AT599" s="30">
        <f>IFERROR(__xludf.DUMMYFUNCTION("""COMPUTED_VALUE"""),0.4110460140367588)</f>
        <v>0.411046014</v>
      </c>
      <c r="AU599" s="30">
        <f>IFERROR(__xludf.DUMMYFUNCTION("""COMPUTED_VALUE"""),1.967611143434243)</f>
        <v>1.967611143</v>
      </c>
      <c r="AV599" s="32">
        <f>IFERROR(__xludf.DUMMYFUNCTION("""COMPUTED_VALUE"""),22.61796601155775)</f>
        <v>22.61796601</v>
      </c>
      <c r="AW599" s="32">
        <f>IFERROR(__xludf.DUMMYFUNCTION("""COMPUTED_VALUE"""),-7.315465784440121)</f>
        <v>-7.315465784</v>
      </c>
      <c r="AX599" s="32">
        <f>IFERROR(__xludf.DUMMYFUNCTION("""COMPUTED_VALUE"""),32.70535567923854)</f>
        <v>32.70535568</v>
      </c>
      <c r="AY599" s="32">
        <f>IFERROR(__xludf.DUMMYFUNCTION("""COMPUTED_VALUE"""),-4.089378499139755)</f>
        <v>-4.089378499</v>
      </c>
      <c r="AZ599" s="30">
        <f>IFERROR(__xludf.DUMMYFUNCTION("""COMPUTED_VALUE"""),3.226087285300366)</f>
        <v>3.226087285</v>
      </c>
      <c r="BA599" s="30">
        <f>IFERROR(__xludf.DUMMYFUNCTION("""COMPUTED_VALUE"""),2300.0)</f>
        <v>2300</v>
      </c>
    </row>
    <row r="600">
      <c r="A600" s="71" t="str">
        <f>IFERROR(__xludf.DUMMYFUNCTION("""COMPUTED_VALUE"""),"Challenger")</f>
        <v>Challenger</v>
      </c>
      <c r="B600" s="71" t="str">
        <f>IFERROR(__xludf.DUMMYFUNCTION("""COMPUTED_VALUE"""),"RSC005696")</f>
        <v>RSC005696</v>
      </c>
      <c r="C600" s="30" t="str">
        <f>IFERROR(__xludf.DUMMYFUNCTION("""COMPUTED_VALUE"""),"Jack.flv")</f>
        <v>Jack.flv</v>
      </c>
      <c r="D600" s="30"/>
      <c r="E600" s="30">
        <f>IFERROR(__xludf.DUMMYFUNCTION("""COMPUTED_VALUE"""),2.0)</f>
        <v>2</v>
      </c>
      <c r="F600" s="30">
        <f>IFERROR(__xludf.DUMMYFUNCTION("""COMPUTED_VALUE"""),1.0)</f>
        <v>1</v>
      </c>
      <c r="G600" s="42">
        <f>IFERROR(__xludf.DUMMYFUNCTION("""COMPUTED_VALUE"""),1.0)</f>
        <v>1</v>
      </c>
      <c r="H600" s="42">
        <f>IFERROR(__xludf.DUMMYFUNCTION("""COMPUTED_VALUE"""),0.5)</f>
        <v>0.5</v>
      </c>
      <c r="I600" s="42">
        <f>IFERROR(__xludf.DUMMYFUNCTION("""COMPUTED_VALUE"""),0.3333333333333333)</f>
        <v>0.3333333333</v>
      </c>
      <c r="J600" s="30">
        <f>IFERROR(__xludf.DUMMYFUNCTION("""COMPUTED_VALUE"""),330.0)</f>
        <v>330</v>
      </c>
      <c r="K600" s="30">
        <f>IFERROR(__xludf.DUMMYFUNCTION("""COMPUTED_VALUE"""),1.0)</f>
        <v>1</v>
      </c>
      <c r="L600" s="30">
        <f>IFERROR(__xludf.DUMMYFUNCTION("""COMPUTED_VALUE"""),0.5)</f>
        <v>0.5</v>
      </c>
      <c r="M600" s="30">
        <f>IFERROR(__xludf.DUMMYFUNCTION("""COMPUTED_VALUE"""),0.5)</f>
        <v>0.5</v>
      </c>
      <c r="N600" s="30">
        <f>IFERROR(__xludf.DUMMYFUNCTION("""COMPUTED_VALUE"""),3.0)</f>
        <v>3</v>
      </c>
      <c r="O600" s="30">
        <f>IFERROR(__xludf.DUMMYFUNCTION("""COMPUTED_VALUE"""),336.0)</f>
        <v>336</v>
      </c>
      <c r="P600" s="30">
        <f>IFERROR(__xludf.DUMMYFUNCTION("""COMPUTED_VALUE"""),0.6666666666666666)</f>
        <v>0.6666666667</v>
      </c>
      <c r="Q600" s="30">
        <f>IFERROR(__xludf.DUMMYFUNCTION("""COMPUTED_VALUE"""),0.3333333333333333)</f>
        <v>0.3333333333</v>
      </c>
      <c r="R600" s="30">
        <f>IFERROR(__xludf.DUMMYFUNCTION("""COMPUTED_VALUE"""),1.5)</f>
        <v>1.5</v>
      </c>
      <c r="S600" s="30">
        <f>IFERROR(__xludf.DUMMYFUNCTION("""COMPUTED_VALUE"""),1.8333333333333335)</f>
        <v>1.833333333</v>
      </c>
      <c r="T600" s="30">
        <f>IFERROR(__xludf.DUMMYFUNCTION("""COMPUTED_VALUE"""),333.8383487654321)</f>
        <v>333.8383488</v>
      </c>
      <c r="U600" s="30">
        <f>IFERROR(__xludf.DUMMYFUNCTION("""COMPUTED_VALUE"""),0.7737654320987654)</f>
        <v>0.7737654321</v>
      </c>
      <c r="V600" s="30">
        <f>IFERROR(__xludf.DUMMYFUNCTION("""COMPUTED_VALUE"""),0.47955246913580246)</f>
        <v>0.4795524691</v>
      </c>
      <c r="W600" s="30">
        <f>IFERROR(__xludf.DUMMYFUNCTION("""COMPUTED_VALUE"""),1.0820987654320988)</f>
        <v>1.082098765</v>
      </c>
      <c r="X600" s="30">
        <f>IFERROR(__xludf.DUMMYFUNCTION("""COMPUTED_VALUE"""),2.6412037037037037)</f>
        <v>2.641203704</v>
      </c>
      <c r="Y600" s="30">
        <f>IFERROR(__xludf.DUMMYFUNCTION("""COMPUTED_VALUE"""),312.8741769547324)</f>
        <v>312.874177</v>
      </c>
      <c r="Z600" s="30">
        <f>IFERROR(__xludf.DUMMYFUNCTION("""COMPUTED_VALUE"""),0.6204475308641975)</f>
        <v>0.6204475309</v>
      </c>
      <c r="AA600" s="30">
        <f>IFERROR(__xludf.DUMMYFUNCTION("""COMPUTED_VALUE"""),0.39979423868312763)</f>
        <v>0.3997942387</v>
      </c>
      <c r="AB600" s="30">
        <f>IFERROR(__xludf.DUMMYFUNCTION("""COMPUTED_VALUE"""),1.3649691358024691)</f>
        <v>1.364969136</v>
      </c>
      <c r="AC600" s="30">
        <f>IFERROR(__xludf.DUMMYFUNCTION("""COMPUTED_VALUE"""),2.1086934156378607)</f>
        <v>2.108693416</v>
      </c>
      <c r="AD600" s="30">
        <f>IFERROR(__xludf.DUMMYFUNCTION("""COMPUTED_VALUE"""),1.054737093396319)</f>
        <v>1.054737093</v>
      </c>
      <c r="AE600" s="30">
        <f>IFERROR(__xludf.DUMMYFUNCTION("""COMPUTED_VALUE"""),1.6117398333540607)</f>
        <v>1.611739833</v>
      </c>
      <c r="AF600" s="30">
        <f>IFERROR(__xludf.DUMMYFUNCTION("""COMPUTED_VALUE"""),1.2506433350488932)</f>
        <v>1.250643335</v>
      </c>
      <c r="AG600" s="30">
        <f>IFERROR(__xludf.DUMMYFUNCTION("""COMPUTED_VALUE"""),0.3663086489542114)</f>
        <v>0.366308649</v>
      </c>
      <c r="AH600" s="30">
        <f>IFERROR(__xludf.DUMMYFUNCTION("""COMPUTED_VALUE"""),1.4226819213036368)</f>
        <v>1.422681921</v>
      </c>
      <c r="AI600" s="30">
        <f>IFERROR(__xludf.DUMMYFUNCTION("""COMPUTED_VALUE"""),1.006475143561433)</f>
        <v>1.006475144</v>
      </c>
      <c r="AJ600" s="30">
        <f>IFERROR(__xludf.DUMMYFUNCTION("""COMPUTED_VALUE"""),0.86158755484643)</f>
        <v>0.8615875548</v>
      </c>
      <c r="AK600" s="30">
        <f>IFERROR(__xludf.DUMMYFUNCTION("""COMPUTED_VALUE"""),0.6950925181013676)</f>
        <v>0.6950925181</v>
      </c>
      <c r="AL600" s="30">
        <f>IFERROR(__xludf.DUMMYFUNCTION("""COMPUTED_VALUE"""),1.3861950941243582)</f>
        <v>1.386195094</v>
      </c>
      <c r="AM600" s="30">
        <f>IFERROR(__xludf.DUMMYFUNCTION("""COMPUTED_VALUE"""),0.694127957931639)</f>
        <v>0.6941279579</v>
      </c>
      <c r="AN600" s="30">
        <f>IFERROR(__xludf.DUMMYFUNCTION("""COMPUTED_VALUE"""),1.0039185728581785)</f>
        <v>1.003918573</v>
      </c>
      <c r="AO600" s="30">
        <f>IFERROR(__xludf.DUMMYFUNCTION("""COMPUTED_VALUE"""),1.318746590116395)</f>
        <v>1.31874659</v>
      </c>
      <c r="AP600" s="30">
        <f>IFERROR(__xludf.DUMMYFUNCTION("""COMPUTED_VALUE"""),0.9697028855024696)</f>
        <v>0.9697028855</v>
      </c>
      <c r="AQ600" s="30">
        <f>IFERROR(__xludf.DUMMYFUNCTION("""COMPUTED_VALUE"""),0.4169438950684508)</f>
        <v>0.4169438951</v>
      </c>
      <c r="AR600" s="30">
        <f>IFERROR(__xludf.DUMMYFUNCTION("""COMPUTED_VALUE"""),1.2506578161011686)</f>
        <v>1.250657816</v>
      </c>
      <c r="AS600" s="30">
        <f>IFERROR(__xludf.DUMMYFUNCTION("""COMPUTED_VALUE"""),4.0)</f>
        <v>4</v>
      </c>
      <c r="AT600" s="30">
        <f>IFERROR(__xludf.DUMMYFUNCTION("""COMPUTED_VALUE"""),0.5)</f>
        <v>0.5</v>
      </c>
      <c r="AU600" s="30">
        <f>IFERROR(__xludf.DUMMYFUNCTION("""COMPUTED_VALUE"""),4.313809149800543)</f>
        <v>4.31380915</v>
      </c>
      <c r="AV600" s="32">
        <f>IFERROR(__xludf.DUMMYFUNCTION("""COMPUTED_VALUE"""),84.65650359385604)</f>
        <v>84.65650359</v>
      </c>
      <c r="AW600" s="32">
        <f>IFERROR(__xludf.DUMMYFUNCTION("""COMPUTED_VALUE"""),12.072375168520733)</f>
        <v>12.07237517</v>
      </c>
      <c r="AX600" s="32">
        <f>IFERROR(__xludf.DUMMYFUNCTION("""COMPUTED_VALUE"""),80.45514990006762)</f>
        <v>80.4551499</v>
      </c>
      <c r="AY600" s="32">
        <f>IFERROR(__xludf.DUMMYFUNCTION("""COMPUTED_VALUE"""),8.96275386402215)</f>
        <v>8.962753864</v>
      </c>
      <c r="AZ600" s="30">
        <f>IFERROR(__xludf.DUMMYFUNCTION("""COMPUTED_VALUE"""),3.1096213044985834)</f>
        <v>3.109621304</v>
      </c>
      <c r="BA600" s="30">
        <f>IFERROR(__xludf.DUMMYFUNCTION("""COMPUTED_VALUE"""),2300.0)</f>
        <v>2300</v>
      </c>
    </row>
    <row r="601">
      <c r="A601" s="71" t="str">
        <f>IFERROR(__xludf.DUMMYFUNCTION("""COMPUTED_VALUE"""),"Challenger")</f>
        <v>Challenger</v>
      </c>
      <c r="B601" s="71" t="str">
        <f>IFERROR(__xludf.DUMMYFUNCTION("""COMPUTED_VALUE"""),"RSC007961")</f>
        <v>RSC007961</v>
      </c>
      <c r="C601" s="30" t="str">
        <f>IFERROR(__xludf.DUMMYFUNCTION("""COMPUTED_VALUE"""),"Skrilpp")</f>
        <v>Skrilpp</v>
      </c>
      <c r="D601" s="30"/>
      <c r="E601" s="30">
        <f>IFERROR(__xludf.DUMMYFUNCTION("""COMPUTED_VALUE"""),4.0)</f>
        <v>4</v>
      </c>
      <c r="F601" s="30">
        <f>IFERROR(__xludf.DUMMYFUNCTION("""COMPUTED_VALUE"""),3.0)</f>
        <v>3</v>
      </c>
      <c r="G601" s="42">
        <f>IFERROR(__xludf.DUMMYFUNCTION("""COMPUTED_VALUE"""),1.0)</f>
        <v>1</v>
      </c>
      <c r="H601" s="42">
        <f>IFERROR(__xludf.DUMMYFUNCTION("""COMPUTED_VALUE"""),0.75)</f>
        <v>0.75</v>
      </c>
      <c r="I601" s="42">
        <f>IFERROR(__xludf.DUMMYFUNCTION("""COMPUTED_VALUE"""),0.14285714285714285)</f>
        <v>0.1428571429</v>
      </c>
      <c r="J601" s="30">
        <f>IFERROR(__xludf.DUMMYFUNCTION("""COMPUTED_VALUE"""),352.5)</f>
        <v>352.5</v>
      </c>
      <c r="K601" s="30">
        <f>IFERROR(__xludf.DUMMYFUNCTION("""COMPUTED_VALUE"""),0.5)</f>
        <v>0.5</v>
      </c>
      <c r="L601" s="30">
        <f>IFERROR(__xludf.DUMMYFUNCTION("""COMPUTED_VALUE"""),0.75)</f>
        <v>0.75</v>
      </c>
      <c r="M601" s="30">
        <f>IFERROR(__xludf.DUMMYFUNCTION("""COMPUTED_VALUE"""),1.5)</f>
        <v>1.5</v>
      </c>
      <c r="N601" s="30">
        <f>IFERROR(__xludf.DUMMYFUNCTION("""COMPUTED_VALUE"""),3.5)</f>
        <v>3.5</v>
      </c>
      <c r="O601" s="30">
        <f>IFERROR(__xludf.DUMMYFUNCTION("""COMPUTED_VALUE"""),241.08333333333334)</f>
        <v>241.0833333</v>
      </c>
      <c r="P601" s="30">
        <f>IFERROR(__xludf.DUMMYFUNCTION("""COMPUTED_VALUE"""),0.25)</f>
        <v>0.25</v>
      </c>
      <c r="Q601" s="30">
        <f>IFERROR(__xludf.DUMMYFUNCTION("""COMPUTED_VALUE"""),0.16666666666666666)</f>
        <v>0.1666666667</v>
      </c>
      <c r="R601" s="30">
        <f>IFERROR(__xludf.DUMMYFUNCTION("""COMPUTED_VALUE"""),1.25)</f>
        <v>1.25</v>
      </c>
      <c r="S601" s="30">
        <f>IFERROR(__xludf.DUMMYFUNCTION("""COMPUTED_VALUE"""),2.25)</f>
        <v>2.25</v>
      </c>
      <c r="T601" s="30">
        <f>IFERROR(__xludf.DUMMYFUNCTION("""COMPUTED_VALUE"""),337.83638468013464)</f>
        <v>337.8363847</v>
      </c>
      <c r="U601" s="30">
        <f>IFERROR(__xludf.DUMMYFUNCTION("""COMPUTED_VALUE"""),0.7802413502844538)</f>
        <v>0.7802413503</v>
      </c>
      <c r="V601" s="30">
        <f>IFERROR(__xludf.DUMMYFUNCTION("""COMPUTED_VALUE"""),0.5509984906536631)</f>
        <v>0.5509984907</v>
      </c>
      <c r="W601" s="30">
        <f>IFERROR(__xludf.DUMMYFUNCTION("""COMPUTED_VALUE"""),1.1904316150005805)</f>
        <v>1.190431615</v>
      </c>
      <c r="X601" s="30">
        <f>IFERROR(__xludf.DUMMYFUNCTION("""COMPUTED_VALUE"""),2.6259288285150353)</f>
        <v>2.625928829</v>
      </c>
      <c r="Y601" s="30">
        <f>IFERROR(__xludf.DUMMYFUNCTION("""COMPUTED_VALUE"""),381.4018682998568)</f>
        <v>381.4018683</v>
      </c>
      <c r="Z601" s="30">
        <f>IFERROR(__xludf.DUMMYFUNCTION("""COMPUTED_VALUE"""),0.9296751035256783)</f>
        <v>0.9296751035</v>
      </c>
      <c r="AA601" s="30">
        <f>IFERROR(__xludf.DUMMYFUNCTION("""COMPUTED_VALUE"""),0.6142205096946476)</f>
        <v>0.6142205097</v>
      </c>
      <c r="AB601" s="30">
        <f>IFERROR(__xludf.DUMMYFUNCTION("""COMPUTED_VALUE"""),1.4223799295638373)</f>
        <v>1.42237993</v>
      </c>
      <c r="AC601" s="30">
        <f>IFERROR(__xludf.DUMMYFUNCTION("""COMPUTED_VALUE"""),2.49832617361353)</f>
        <v>2.498326174</v>
      </c>
      <c r="AD601" s="30">
        <f>IFERROR(__xludf.DUMMYFUNCTION("""COMPUTED_VALUE"""),0.9242220064922854)</f>
        <v>0.9242220065</v>
      </c>
      <c r="AE601" s="30">
        <f>IFERROR(__xludf.DUMMYFUNCTION("""COMPUTED_VALUE"""),0.5378222973851957)</f>
        <v>0.5378222974</v>
      </c>
      <c r="AF601" s="30">
        <f>IFERROR(__xludf.DUMMYFUNCTION("""COMPUTED_VALUE"""),1.2210598444080834)</f>
        <v>1.221059844</v>
      </c>
      <c r="AG601" s="30">
        <f>IFERROR(__xludf.DUMMYFUNCTION("""COMPUTED_VALUE"""),1.0545705608064677)</f>
        <v>1.054570561</v>
      </c>
      <c r="AH601" s="30">
        <f>IFERROR(__xludf.DUMMYFUNCTION("""COMPUTED_VALUE"""),1.4009379707765175)</f>
        <v>1.400937971</v>
      </c>
      <c r="AI601" s="30">
        <f>IFERROR(__xludf.DUMMYFUNCTION("""COMPUTED_VALUE"""),0.7136097361496228)</f>
        <v>0.7136097361</v>
      </c>
      <c r="AJ601" s="30">
        <f>IFERROR(__xludf.DUMMYFUNCTION("""COMPUTED_VALUE"""),0.3204136770101419)</f>
        <v>0.320413677</v>
      </c>
      <c r="AK601" s="30">
        <f>IFERROR(__xludf.DUMMYFUNCTION("""COMPUTED_VALUE"""),0.30248116736026964)</f>
        <v>0.3024811674</v>
      </c>
      <c r="AL601" s="30">
        <f>IFERROR(__xludf.DUMMYFUNCTION("""COMPUTED_VALUE"""),1.0500393170416518)</f>
        <v>1.050039317</v>
      </c>
      <c r="AM601" s="30">
        <f>IFERROR(__xludf.DUMMYFUNCTION("""COMPUTED_VALUE"""),0.8568396734775088)</f>
        <v>0.8568396735</v>
      </c>
      <c r="AN601" s="30">
        <f>IFERROR(__xludf.DUMMYFUNCTION("""COMPUTED_VALUE"""),1.0723675664621453)</f>
        <v>1.072367566</v>
      </c>
      <c r="AO601" s="30">
        <f>IFERROR(__xludf.DUMMYFUNCTION("""COMPUTED_VALUE"""),0.6593732950581975)</f>
        <v>0.6593732951</v>
      </c>
      <c r="AP601" s="30">
        <f>IFERROR(__xludf.DUMMYFUNCTION("""COMPUTED_VALUE"""),1.4545543282537043)</f>
        <v>1.454554328</v>
      </c>
      <c r="AQ601" s="30">
        <f>IFERROR(__xludf.DUMMYFUNCTION("""COMPUTED_VALUE"""),1.2508316852053525)</f>
        <v>1.250831685</v>
      </c>
      <c r="AR601" s="30">
        <f>IFERROR(__xludf.DUMMYFUNCTION("""COMPUTED_VALUE"""),1.4591007854513633)</f>
        <v>1.459100785</v>
      </c>
      <c r="AS601" s="30">
        <f>IFERROR(__xludf.DUMMYFUNCTION("""COMPUTED_VALUE"""),8.0)</f>
        <v>8</v>
      </c>
      <c r="AT601" s="30">
        <f>IFERROR(__xludf.DUMMYFUNCTION("""COMPUTED_VALUE"""),0.7877204293842835)</f>
        <v>0.7877204294</v>
      </c>
      <c r="AU601" s="30">
        <f>IFERROR(__xludf.DUMMYFUNCTION("""COMPUTED_VALUE"""),4.083036850824181)</f>
        <v>4.083036851</v>
      </c>
      <c r="AV601" s="32">
        <f>IFERROR(__xludf.DUMMYFUNCTION("""COMPUTED_VALUE"""),78.55438608111821)</f>
        <v>78.55438608</v>
      </c>
      <c r="AW601" s="32">
        <f>IFERROR(__xludf.DUMMYFUNCTION("""COMPUTED_VALUE"""),7.893248511784729)</f>
        <v>7.893248512</v>
      </c>
      <c r="AX601" s="32">
        <f>IFERROR(__xludf.DUMMYFUNCTION("""COMPUTED_VALUE"""),70.24683687904277)</f>
        <v>70.24683688</v>
      </c>
      <c r="AY601" s="32">
        <f>IFERROR(__xludf.DUMMYFUNCTION("""COMPUTED_VALUE"""),4.784541360341021)</f>
        <v>4.78454136</v>
      </c>
      <c r="AZ601" s="30">
        <f>IFERROR(__xludf.DUMMYFUNCTION("""COMPUTED_VALUE"""),3.108707151443708)</f>
        <v>3.108707151</v>
      </c>
      <c r="BA601" s="30">
        <f>IFERROR(__xludf.DUMMYFUNCTION("""COMPUTED_VALUE"""),2300.0)</f>
        <v>2300</v>
      </c>
    </row>
    <row r="602">
      <c r="A602" s="71" t="str">
        <f>IFERROR(__xludf.DUMMYFUNCTION("""COMPUTED_VALUE"""),"Challenger")</f>
        <v>Challenger</v>
      </c>
      <c r="B602" s="71" t="str">
        <f>IFERROR(__xludf.DUMMYFUNCTION("""COMPUTED_VALUE"""),"RSC006240")</f>
        <v>RSC006240</v>
      </c>
      <c r="C602" s="30" t="str">
        <f>IFERROR(__xludf.DUMMYFUNCTION("""COMPUTED_VALUE"""),"Canadian Gamer")</f>
        <v>Canadian Gamer</v>
      </c>
      <c r="D602" s="30" t="str">
        <f>IFERROR(__xludf.DUMMYFUNCTION("""COMPUTED_VALUE"""),"Meat Lovers")</f>
        <v>Meat Lovers</v>
      </c>
      <c r="E602" s="30">
        <f>IFERROR(__xludf.DUMMYFUNCTION("""COMPUTED_VALUE"""),28.0)</f>
        <v>28</v>
      </c>
      <c r="F602" s="30">
        <f>IFERROR(__xludf.DUMMYFUNCTION("""COMPUTED_VALUE"""),21.0)</f>
        <v>21</v>
      </c>
      <c r="G602" s="42">
        <f>IFERROR(__xludf.DUMMYFUNCTION("""COMPUTED_VALUE"""),7.0)</f>
        <v>7</v>
      </c>
      <c r="H602" s="42">
        <f>IFERROR(__xludf.DUMMYFUNCTION("""COMPUTED_VALUE"""),0.75)</f>
        <v>0.75</v>
      </c>
      <c r="I602" s="42">
        <f>IFERROR(__xludf.DUMMYFUNCTION("""COMPUTED_VALUE"""),0.34782608695652173)</f>
        <v>0.347826087</v>
      </c>
      <c r="J602" s="30">
        <f>IFERROR(__xludf.DUMMYFUNCTION("""COMPUTED_VALUE"""),354.0357142857143)</f>
        <v>354.0357143</v>
      </c>
      <c r="K602" s="30">
        <f>IFERROR(__xludf.DUMMYFUNCTION("""COMPUTED_VALUE"""),0.8571428571428571)</f>
        <v>0.8571428571</v>
      </c>
      <c r="L602" s="30">
        <f>IFERROR(__xludf.DUMMYFUNCTION("""COMPUTED_VALUE"""),0.8214285714285714)</f>
        <v>0.8214285714</v>
      </c>
      <c r="M602" s="30">
        <f>IFERROR(__xludf.DUMMYFUNCTION("""COMPUTED_VALUE"""),1.3214285714285714)</f>
        <v>1.321428571</v>
      </c>
      <c r="N602" s="30">
        <f>IFERROR(__xludf.DUMMYFUNCTION("""COMPUTED_VALUE"""),2.4642857142857144)</f>
        <v>2.464285714</v>
      </c>
      <c r="O602" s="30">
        <f>IFERROR(__xludf.DUMMYFUNCTION("""COMPUTED_VALUE"""),310.8214285714286)</f>
        <v>310.8214286</v>
      </c>
      <c r="P602" s="30">
        <f>IFERROR(__xludf.DUMMYFUNCTION("""COMPUTED_VALUE"""),0.619047619047619)</f>
        <v>0.619047619</v>
      </c>
      <c r="Q602" s="30">
        <f>IFERROR(__xludf.DUMMYFUNCTION("""COMPUTED_VALUE"""),0.45238095238095244)</f>
        <v>0.4523809524</v>
      </c>
      <c r="R602" s="30">
        <f>IFERROR(__xludf.DUMMYFUNCTION("""COMPUTED_VALUE"""),1.3095238095238098)</f>
        <v>1.30952381</v>
      </c>
      <c r="S602" s="30">
        <f>IFERROR(__xludf.DUMMYFUNCTION("""COMPUTED_VALUE"""),2.130952380952381)</f>
        <v>2.130952381</v>
      </c>
      <c r="T602" s="30">
        <f>IFERROR(__xludf.DUMMYFUNCTION("""COMPUTED_VALUE"""),325.7972763568478)</f>
        <v>325.7972764</v>
      </c>
      <c r="U602" s="30">
        <f>IFERROR(__xludf.DUMMYFUNCTION("""COMPUTED_VALUE"""),0.751360497149418)</f>
        <v>0.7513604971</v>
      </c>
      <c r="V602" s="30">
        <f>IFERROR(__xludf.DUMMYFUNCTION("""COMPUTED_VALUE"""),0.5426454191458613)</f>
        <v>0.5426454191</v>
      </c>
      <c r="W602" s="30">
        <f>IFERROR(__xludf.DUMMYFUNCTION("""COMPUTED_VALUE"""),1.1808482307064239)</f>
        <v>1.180848231</v>
      </c>
      <c r="X602" s="30">
        <f>IFERROR(__xludf.DUMMYFUNCTION("""COMPUTED_VALUE"""),2.457276816361845)</f>
        <v>2.457276816</v>
      </c>
      <c r="Y602" s="30">
        <f>IFERROR(__xludf.DUMMYFUNCTION("""COMPUTED_VALUE"""),340.8809990268925)</f>
        <v>340.880999</v>
      </c>
      <c r="Z602" s="30">
        <f>IFERROR(__xludf.DUMMYFUNCTION("""COMPUTED_VALUE"""),0.7677462830338585)</f>
        <v>0.767746283</v>
      </c>
      <c r="AA602" s="30">
        <f>IFERROR(__xludf.DUMMYFUNCTION("""COMPUTED_VALUE"""),0.5650096727952213)</f>
        <v>0.5650096728</v>
      </c>
      <c r="AB602" s="30">
        <f>IFERROR(__xludf.DUMMYFUNCTION("""COMPUTED_VALUE"""),1.2731736686345632)</f>
        <v>1.273173669</v>
      </c>
      <c r="AC602" s="30">
        <f>IFERROR(__xludf.DUMMYFUNCTION("""COMPUTED_VALUE"""),2.405526192711711)</f>
        <v>2.405526193</v>
      </c>
      <c r="AD602" s="30">
        <f>IFERROR(__xludf.DUMMYFUNCTION("""COMPUTED_VALUE"""),1.0385903447137692)</f>
        <v>1.038590345</v>
      </c>
      <c r="AE602" s="30">
        <f>IFERROR(__xludf.DUMMYFUNCTION("""COMPUTED_VALUE"""),1.1164402564812628)</f>
        <v>1.116440256</v>
      </c>
      <c r="AF602" s="30">
        <f>IFERROR(__xludf.DUMMYFUNCTION("""COMPUTED_VALUE"""),1.4538309890604033)</f>
        <v>1.453830989</v>
      </c>
      <c r="AG602" s="30">
        <f>IFERROR(__xludf.DUMMYFUNCTION("""COMPUTED_VALUE"""),1.0379012730021036)</f>
        <v>1.037901273</v>
      </c>
      <c r="AH602" s="30">
        <f>IFERROR(__xludf.DUMMYFUNCTION("""COMPUTED_VALUE"""),1.0244268891155845)</f>
        <v>1.024426889</v>
      </c>
      <c r="AI602" s="30">
        <f>IFERROR(__xludf.DUMMYFUNCTION("""COMPUTED_VALUE"""),0.9540332320979379)</f>
        <v>0.9540332321</v>
      </c>
      <c r="AJ602" s="30">
        <f>IFERROR(__xludf.DUMMYFUNCTION("""COMPUTED_VALUE"""),0.8239022698108563)</f>
        <v>0.8239022698</v>
      </c>
      <c r="AK602" s="30">
        <f>IFERROR(__xludf.DUMMYFUNCTION("""COMPUTED_VALUE"""),0.8336584746131506)</f>
        <v>0.8336584746</v>
      </c>
      <c r="AL602" s="30">
        <f>IFERROR(__xludf.DUMMYFUNCTION("""COMPUTED_VALUE"""),1.1089687696279205)</f>
        <v>1.10896877</v>
      </c>
      <c r="AM602" s="30">
        <f>IFERROR(__xludf.DUMMYFUNCTION("""COMPUTED_VALUE"""),0.8672007837144664)</f>
        <v>0.8672007837</v>
      </c>
      <c r="AN602" s="30">
        <f>IFERROR(__xludf.DUMMYFUNCTION("""COMPUTED_VALUE"""),1.0770394818986067)</f>
        <v>1.077039482</v>
      </c>
      <c r="AO602" s="30">
        <f>IFERROR(__xludf.DUMMYFUNCTION("""COMPUTED_VALUE"""),1.1303542200997672)</f>
        <v>1.13035422</v>
      </c>
      <c r="AP602" s="30">
        <f>IFERROR(__xludf.DUMMYFUNCTION("""COMPUTED_VALUE"""),1.5930833118969143)</f>
        <v>1.593083312</v>
      </c>
      <c r="AQ602" s="30">
        <f>IFERROR(__xludf.DUMMYFUNCTION("""COMPUTED_VALUE"""),1.1019231512523342)</f>
        <v>1.101923151</v>
      </c>
      <c r="AR602" s="30">
        <f>IFERROR(__xludf.DUMMYFUNCTION("""COMPUTED_VALUE"""),1.02732606322596)</f>
        <v>1.027326063</v>
      </c>
      <c r="AS602" s="30">
        <f>IFERROR(__xludf.DUMMYFUNCTION("""COMPUTED_VALUE"""),84.0)</f>
        <v>84</v>
      </c>
      <c r="AT602" s="30">
        <f>IFERROR(__xludf.DUMMYFUNCTION("""COMPUTED_VALUE"""),0.6802290692135441)</f>
        <v>0.6802290692</v>
      </c>
      <c r="AU602" s="30">
        <f>IFERROR(__xludf.DUMMYFUNCTION("""COMPUTED_VALUE"""),3.91528132117047)</f>
        <v>3.915281321</v>
      </c>
      <c r="AV602" s="32">
        <f>IFERROR(__xludf.DUMMYFUNCTION("""COMPUTED_VALUE"""),74.1185679179366)</f>
        <v>74.11856792</v>
      </c>
      <c r="AW602" s="32">
        <f>IFERROR(__xludf.DUMMYFUNCTION("""COMPUTED_VALUE"""),5.975970136178155)</f>
        <v>5.975970136</v>
      </c>
      <c r="AX602" s="32">
        <f>IFERROR(__xludf.DUMMYFUNCTION("""COMPUTED_VALUE"""),59.75631132207429)</f>
        <v>59.75631132</v>
      </c>
      <c r="AY602" s="32">
        <f>IFERROR(__xludf.DUMMYFUNCTION("""COMPUTED_VALUE"""),2.872119406936076)</f>
        <v>2.872119407</v>
      </c>
      <c r="AZ602" s="30">
        <f>IFERROR(__xludf.DUMMYFUNCTION("""COMPUTED_VALUE"""),3.103850729242079)</f>
        <v>3.103850729</v>
      </c>
      <c r="BA602" s="30">
        <f>IFERROR(__xludf.DUMMYFUNCTION("""COMPUTED_VALUE"""),2300.0)</f>
        <v>2300</v>
      </c>
    </row>
    <row r="603">
      <c r="A603" s="71" t="str">
        <f>IFERROR(__xludf.DUMMYFUNCTION("""COMPUTED_VALUE"""),"Challenger")</f>
        <v>Challenger</v>
      </c>
      <c r="B603" s="71" t="str">
        <f>IFERROR(__xludf.DUMMYFUNCTION("""COMPUTED_VALUE"""),"RSC003331")</f>
        <v>RSC003331</v>
      </c>
      <c r="C603" s="30" t="str">
        <f>IFERROR(__xludf.DUMMYFUNCTION("""COMPUTED_VALUE"""),"Frostii")</f>
        <v>Frostii</v>
      </c>
      <c r="D603" s="30" t="str">
        <f>IFERROR(__xludf.DUMMYFUNCTION("""COMPUTED_VALUE"""),"Spearmint")</f>
        <v>Spearmint</v>
      </c>
      <c r="E603" s="30">
        <f>IFERROR(__xludf.DUMMYFUNCTION("""COMPUTED_VALUE"""),22.0)</f>
        <v>22</v>
      </c>
      <c r="F603" s="30">
        <f>IFERROR(__xludf.DUMMYFUNCTION("""COMPUTED_VALUE"""),7.0)</f>
        <v>7</v>
      </c>
      <c r="G603" s="42">
        <f>IFERROR(__xludf.DUMMYFUNCTION("""COMPUTED_VALUE"""),15.0)</f>
        <v>15</v>
      </c>
      <c r="H603" s="42">
        <f>IFERROR(__xludf.DUMMYFUNCTION("""COMPUTED_VALUE"""),0.3181818181818182)</f>
        <v>0.3181818182</v>
      </c>
      <c r="I603" s="42">
        <f>IFERROR(__xludf.DUMMYFUNCTION("""COMPUTED_VALUE"""),0.2978723404255319)</f>
        <v>0.2978723404</v>
      </c>
      <c r="J603" s="30">
        <f>IFERROR(__xludf.DUMMYFUNCTION("""COMPUTED_VALUE"""),292.1363636363636)</f>
        <v>292.1363636</v>
      </c>
      <c r="K603" s="30">
        <f>IFERROR(__xludf.DUMMYFUNCTION("""COMPUTED_VALUE"""),0.6363636363636364)</f>
        <v>0.6363636364</v>
      </c>
      <c r="L603" s="30">
        <f>IFERROR(__xludf.DUMMYFUNCTION("""COMPUTED_VALUE"""),0.4090909090909091)</f>
        <v>0.4090909091</v>
      </c>
      <c r="M603" s="30">
        <f>IFERROR(__xludf.DUMMYFUNCTION("""COMPUTED_VALUE"""),0.8181818181818182)</f>
        <v>0.8181818182</v>
      </c>
      <c r="N603" s="30">
        <f>IFERROR(__xludf.DUMMYFUNCTION("""COMPUTED_VALUE"""),2.1363636363636362)</f>
        <v>2.136363636</v>
      </c>
      <c r="O603" s="30">
        <f>IFERROR(__xludf.DUMMYFUNCTION("""COMPUTED_VALUE"""),347.28787878787875)</f>
        <v>347.2878788</v>
      </c>
      <c r="P603" s="30">
        <f>IFERROR(__xludf.DUMMYFUNCTION("""COMPUTED_VALUE"""),0.9848484848484848)</f>
        <v>0.9848484848</v>
      </c>
      <c r="Q603" s="30">
        <f>IFERROR(__xludf.DUMMYFUNCTION("""COMPUTED_VALUE"""),0.606060606060606)</f>
        <v>0.6060606061</v>
      </c>
      <c r="R603" s="30">
        <f>IFERROR(__xludf.DUMMYFUNCTION("""COMPUTED_VALUE"""),1.0)</f>
        <v>1</v>
      </c>
      <c r="S603" s="30">
        <f>IFERROR(__xludf.DUMMYFUNCTION("""COMPUTED_VALUE"""),2.5303030303030303)</f>
        <v>2.53030303</v>
      </c>
      <c r="T603" s="30">
        <f>IFERROR(__xludf.DUMMYFUNCTION("""COMPUTED_VALUE"""),335.4964786577029)</f>
        <v>335.4964787</v>
      </c>
      <c r="U603" s="30">
        <f>IFERROR(__xludf.DUMMYFUNCTION("""COMPUTED_VALUE"""),0.726858431064008)</f>
        <v>0.7268584311</v>
      </c>
      <c r="V603" s="30">
        <f>IFERROR(__xludf.DUMMYFUNCTION("""COMPUTED_VALUE"""),0.48351518781315855)</f>
        <v>0.4835151878</v>
      </c>
      <c r="W603" s="30">
        <f>IFERROR(__xludf.DUMMYFUNCTION("""COMPUTED_VALUE"""),1.3129637965473642)</f>
        <v>1.312963797</v>
      </c>
      <c r="X603" s="30">
        <f>IFERROR(__xludf.DUMMYFUNCTION("""COMPUTED_VALUE"""),2.3353223403726617)</f>
        <v>2.33532234</v>
      </c>
      <c r="Y603" s="30">
        <f>IFERROR(__xludf.DUMMYFUNCTION("""COMPUTED_VALUE"""),338.0017712387564)</f>
        <v>338.0017712</v>
      </c>
      <c r="Z603" s="30">
        <f>IFERROR(__xludf.DUMMYFUNCTION("""COMPUTED_VALUE"""),0.7806279016975822)</f>
        <v>0.7806279017</v>
      </c>
      <c r="AA603" s="30">
        <f>IFERROR(__xludf.DUMMYFUNCTION("""COMPUTED_VALUE"""),0.5312310821489729)</f>
        <v>0.5312310821</v>
      </c>
      <c r="AB603" s="30">
        <f>IFERROR(__xludf.DUMMYFUNCTION("""COMPUTED_VALUE"""),1.1671255025728982)</f>
        <v>1.167125503</v>
      </c>
      <c r="AC603" s="30">
        <f>IFERROR(__xludf.DUMMYFUNCTION("""COMPUTED_VALUE"""),2.5242271124375284)</f>
        <v>2.524227112</v>
      </c>
      <c r="AD603" s="30">
        <f>IFERROR(__xludf.DUMMYFUNCTION("""COMPUTED_VALUE"""),0.8643042388970366)</f>
        <v>0.8643042389</v>
      </c>
      <c r="AE603" s="30">
        <f>IFERROR(__xludf.DUMMYFUNCTION("""COMPUTED_VALUE"""),0.8151945824377742)</f>
        <v>0.8151945824</v>
      </c>
      <c r="AF603" s="30">
        <f>IFERROR(__xludf.DUMMYFUNCTION("""COMPUTED_VALUE"""),0.7700808985724746)</f>
        <v>0.7700808986</v>
      </c>
      <c r="AG603" s="30">
        <f>IFERROR(__xludf.DUMMYFUNCTION("""COMPUTED_VALUE"""),0.7010229974224343)</f>
        <v>0.7010229974</v>
      </c>
      <c r="AH603" s="30">
        <f>IFERROR(__xludf.DUMMYFUNCTION("""COMPUTED_VALUE"""),0.8463436692511592)</f>
        <v>0.8463436693</v>
      </c>
      <c r="AI603" s="30">
        <f>IFERROR(__xludf.DUMMYFUNCTION("""COMPUTED_VALUE"""),1.0351461218828657)</f>
        <v>1.035146122</v>
      </c>
      <c r="AJ603" s="30">
        <f>IFERROR(__xludf.DUMMYFUNCTION("""COMPUTED_VALUE"""),1.3549385172664494)</f>
        <v>1.354938517</v>
      </c>
      <c r="AK603" s="30">
        <f>IFERROR(__xludf.DUMMYFUNCTION("""COMPUTED_VALUE"""),1.2534468850951623)</f>
        <v>1.253446885</v>
      </c>
      <c r="AL603" s="30">
        <f>IFERROR(__xludf.DUMMYFUNCTION("""COMPUTED_VALUE"""),0.7616356236399285)</f>
        <v>0.7616356236</v>
      </c>
      <c r="AM603" s="30">
        <f>IFERROR(__xludf.DUMMYFUNCTION("""COMPUTED_VALUE"""),1.0834919816247954)</f>
        <v>1.083491982</v>
      </c>
      <c r="AN603" s="30">
        <f>IFERROR(__xludf.DUMMYFUNCTION("""COMPUTED_VALUE"""),0.8887306704902912)</f>
        <v>0.8887306705</v>
      </c>
      <c r="AO603" s="30">
        <f>IFERROR(__xludf.DUMMYFUNCTION("""COMPUTED_VALUE"""),0.839202375528615)</f>
        <v>0.8392023755</v>
      </c>
      <c r="AP603" s="30">
        <f>IFERROR(__xludf.DUMMYFUNCTION("""COMPUTED_VALUE"""),0.7933932699565661)</f>
        <v>0.79339327</v>
      </c>
      <c r="AQ603" s="30">
        <f>IFERROR(__xludf.DUMMYFUNCTION("""COMPUTED_VALUE"""),0.6822718282938286)</f>
        <v>0.6822718283</v>
      </c>
      <c r="AR603" s="30">
        <f>IFERROR(__xludf.DUMMYFUNCTION("""COMPUTED_VALUE"""),0.8906199599508321)</f>
        <v>0.89061996</v>
      </c>
      <c r="AS603" s="30">
        <f>IFERROR(__xludf.DUMMYFUNCTION("""COMPUTED_VALUE"""),45.0)</f>
        <v>45</v>
      </c>
      <c r="AT603" s="30">
        <f>IFERROR(__xludf.DUMMYFUNCTION("""COMPUTED_VALUE"""),0.35810094679624704)</f>
        <v>0.3581009468</v>
      </c>
      <c r="AU603" s="30">
        <f>IFERROR(__xludf.DUMMYFUNCTION("""COMPUTED_VALUE"""),2.1294048582158247)</f>
        <v>2.129404858</v>
      </c>
      <c r="AV603" s="32">
        <f>IFERROR(__xludf.DUMMYFUNCTION("""COMPUTED_VALUE"""),26.896140925959973)</f>
        <v>26.89614093</v>
      </c>
      <c r="AW603" s="32">
        <f>IFERROR(__xludf.DUMMYFUNCTION("""COMPUTED_VALUE"""),-5.627367761398342)</f>
        <v>-5.627367761</v>
      </c>
      <c r="AX603" s="32">
        <f>IFERROR(__xludf.DUMMYFUNCTION("""COMPUTED_VALUE"""),43.1539497804841)</f>
        <v>43.15394978</v>
      </c>
      <c r="AY603" s="32">
        <f>IFERROR(__xludf.DUMMYFUNCTION("""COMPUTED_VALUE"""),-2.5503501645589326)</f>
        <v>-2.550350165</v>
      </c>
      <c r="AZ603" s="30">
        <f>IFERROR(__xludf.DUMMYFUNCTION("""COMPUTED_VALUE"""),3.0770175968394096)</f>
        <v>3.077017597</v>
      </c>
      <c r="BA603" s="30">
        <f>IFERROR(__xludf.DUMMYFUNCTION("""COMPUTED_VALUE"""),2300.0)</f>
        <v>2300</v>
      </c>
    </row>
    <row r="604">
      <c r="A604" s="71" t="str">
        <f>IFERROR(__xludf.DUMMYFUNCTION("""COMPUTED_VALUE"""),"Challenger")</f>
        <v>Challenger</v>
      </c>
      <c r="B604" s="71" t="str">
        <f>IFERROR(__xludf.DUMMYFUNCTION("""COMPUTED_VALUE"""),"RSC004597")</f>
        <v>RSC004597</v>
      </c>
      <c r="C604" s="30" t="str">
        <f>IFERROR(__xludf.DUMMYFUNCTION("""COMPUTED_VALUE"""),"xXBlindBeastXx")</f>
        <v>xXBlindBeastXx</v>
      </c>
      <c r="D604" s="30" t="str">
        <f>IFERROR(__xludf.DUMMYFUNCTION("""COMPUTED_VALUE"""),"Warbirds")</f>
        <v>Warbirds</v>
      </c>
      <c r="E604" s="30">
        <f>IFERROR(__xludf.DUMMYFUNCTION("""COMPUTED_VALUE"""),34.0)</f>
        <v>34</v>
      </c>
      <c r="F604" s="30">
        <f>IFERROR(__xludf.DUMMYFUNCTION("""COMPUTED_VALUE"""),16.0)</f>
        <v>16</v>
      </c>
      <c r="G604" s="42">
        <f>IFERROR(__xludf.DUMMYFUNCTION("""COMPUTED_VALUE"""),18.0)</f>
        <v>18</v>
      </c>
      <c r="H604" s="42">
        <f>IFERROR(__xludf.DUMMYFUNCTION("""COMPUTED_VALUE"""),0.47058823529411764)</f>
        <v>0.4705882353</v>
      </c>
      <c r="I604" s="42">
        <f>IFERROR(__xludf.DUMMYFUNCTION("""COMPUTED_VALUE"""),0.3548387096774194)</f>
        <v>0.3548387097</v>
      </c>
      <c r="J604" s="30">
        <f>IFERROR(__xludf.DUMMYFUNCTION("""COMPUTED_VALUE"""),298.38235294117646)</f>
        <v>298.3823529</v>
      </c>
      <c r="K604" s="30">
        <f>IFERROR(__xludf.DUMMYFUNCTION("""COMPUTED_VALUE"""),0.6470588235294118)</f>
        <v>0.6470588235</v>
      </c>
      <c r="L604" s="30">
        <f>IFERROR(__xludf.DUMMYFUNCTION("""COMPUTED_VALUE"""),0.6176470588235294)</f>
        <v>0.6176470588</v>
      </c>
      <c r="M604" s="30">
        <f>IFERROR(__xludf.DUMMYFUNCTION("""COMPUTED_VALUE"""),1.2058823529411764)</f>
        <v>1.205882353</v>
      </c>
      <c r="N604" s="30">
        <f>IFERROR(__xludf.DUMMYFUNCTION("""COMPUTED_VALUE"""),1.8235294117647058)</f>
        <v>1.823529412</v>
      </c>
      <c r="O604" s="30">
        <f>IFERROR(__xludf.DUMMYFUNCTION("""COMPUTED_VALUE"""),368.81372549019596)</f>
        <v>368.8137255</v>
      </c>
      <c r="P604" s="30">
        <f>IFERROR(__xludf.DUMMYFUNCTION("""COMPUTED_VALUE"""),0.9215686274509803)</f>
        <v>0.9215686275</v>
      </c>
      <c r="Q604" s="30">
        <f>IFERROR(__xludf.DUMMYFUNCTION("""COMPUTED_VALUE"""),0.7058823529411764)</f>
        <v>0.7058823529</v>
      </c>
      <c r="R604" s="30">
        <f>IFERROR(__xludf.DUMMYFUNCTION("""COMPUTED_VALUE"""),1.2941176470588236)</f>
        <v>1.294117647</v>
      </c>
      <c r="S604" s="30">
        <f>IFERROR(__xludf.DUMMYFUNCTION("""COMPUTED_VALUE"""),2.8039215686274503)</f>
        <v>2.803921569</v>
      </c>
      <c r="T604" s="30">
        <f>IFERROR(__xludf.DUMMYFUNCTION("""COMPUTED_VALUE"""),340.880598574662)</f>
        <v>340.8805986</v>
      </c>
      <c r="U604" s="30">
        <f>IFERROR(__xludf.DUMMYFUNCTION("""COMPUTED_VALUE"""),0.7860928562723876)</f>
        <v>0.7860928563</v>
      </c>
      <c r="V604" s="30">
        <f>IFERROR(__xludf.DUMMYFUNCTION("""COMPUTED_VALUE"""),0.5530105828093247)</f>
        <v>0.5530105828</v>
      </c>
      <c r="W604" s="30">
        <f>IFERROR(__xludf.DUMMYFUNCTION("""COMPUTED_VALUE"""),1.2385504758987462)</f>
        <v>1.238550476</v>
      </c>
      <c r="X604" s="30">
        <f>IFERROR(__xludf.DUMMYFUNCTION("""COMPUTED_VALUE"""),2.53177885342157)</f>
        <v>2.531778853</v>
      </c>
      <c r="Y604" s="30">
        <f>IFERROR(__xludf.DUMMYFUNCTION("""COMPUTED_VALUE"""),327.0023637703695)</f>
        <v>327.0023638</v>
      </c>
      <c r="Z604" s="30">
        <f>IFERROR(__xludf.DUMMYFUNCTION("""COMPUTED_VALUE"""),0.7107656554863173)</f>
        <v>0.7107656555</v>
      </c>
      <c r="AA604" s="30">
        <f>IFERROR(__xludf.DUMMYFUNCTION("""COMPUTED_VALUE"""),0.491605813865171)</f>
        <v>0.4916058139</v>
      </c>
      <c r="AB604" s="30">
        <f>IFERROR(__xludf.DUMMYFUNCTION("""COMPUTED_VALUE"""),1.2551681538476296)</f>
        <v>1.255168154</v>
      </c>
      <c r="AC604" s="30">
        <f>IFERROR(__xludf.DUMMYFUNCTION("""COMPUTED_VALUE"""),2.337951369509898)</f>
        <v>2.33795137</v>
      </c>
      <c r="AD604" s="30">
        <f>IFERROR(__xludf.DUMMYFUNCTION("""COMPUTED_VALUE"""),0.9124776637722078)</f>
        <v>0.9124776638</v>
      </c>
      <c r="AE604" s="30">
        <f>IFERROR(__xludf.DUMMYFUNCTION("""COMPUTED_VALUE"""),0.9103687249585571)</f>
        <v>0.910368725</v>
      </c>
      <c r="AF604" s="30">
        <f>IFERROR(__xludf.DUMMYFUNCTION("""COMPUTED_VALUE"""),1.2563868070789879)</f>
        <v>1.256386807</v>
      </c>
      <c r="AG604" s="30">
        <f>IFERROR(__xludf.DUMMYFUNCTION("""COMPUTED_VALUE"""),0.9607337066707986)</f>
        <v>0.9607337067</v>
      </c>
      <c r="AH604" s="30">
        <f>IFERROR(__xludf.DUMMYFUNCTION("""COMPUTED_VALUE"""),0.7799689230263888)</f>
        <v>0.779968923</v>
      </c>
      <c r="AI604" s="30">
        <f>IFERROR(__xludf.DUMMYFUNCTION("""COMPUTED_VALUE"""),1.0819440209631523)</f>
        <v>1.081944021</v>
      </c>
      <c r="AJ604" s="30">
        <f>IFERROR(__xludf.DUMMYFUNCTION("""COMPUTED_VALUE"""),1.1723406720944036)</f>
        <v>1.172340672</v>
      </c>
      <c r="AK604" s="30">
        <f>IFERROR(__xludf.DUMMYFUNCTION("""COMPUTED_VALUE"""),1.2764355238108729)</f>
        <v>1.276435524</v>
      </c>
      <c r="AL604" s="30">
        <f>IFERROR(__xludf.DUMMYFUNCTION("""COMPUTED_VALUE"""),1.0448646803189474)</f>
        <v>1.04486468</v>
      </c>
      <c r="AM604" s="30">
        <f>IFERROR(__xludf.DUMMYFUNCTION("""COMPUTED_VALUE"""),1.1074907134318202)</f>
        <v>1.107490713</v>
      </c>
      <c r="AN604" s="30">
        <f>IFERROR(__xludf.DUMMYFUNCTION("""COMPUTED_VALUE"""),0.9077320785780947)</f>
        <v>0.9077320786</v>
      </c>
      <c r="AO604" s="30">
        <f>IFERROR(__xludf.DUMMYFUNCTION("""COMPUTED_VALUE"""),0.853306617134138)</f>
        <v>0.8533066171</v>
      </c>
      <c r="AP604" s="30">
        <f>IFERROR(__xludf.DUMMYFUNCTION("""COMPUTED_VALUE"""),1.1978682703265802)</f>
        <v>1.19786827</v>
      </c>
      <c r="AQ604" s="30">
        <f>IFERROR(__xludf.DUMMYFUNCTION("""COMPUTED_VALUE"""),1.0055705704592048)</f>
        <v>1.00557057</v>
      </c>
      <c r="AR604" s="30">
        <f>IFERROR(__xludf.DUMMYFUNCTION("""COMPUTED_VALUE"""),0.7602037705712985)</f>
        <v>0.7602037706</v>
      </c>
      <c r="AS604" s="30">
        <f>IFERROR(__xludf.DUMMYFUNCTION("""COMPUTED_VALUE"""),78.0)</f>
        <v>78</v>
      </c>
      <c r="AT604" s="30">
        <f>IFERROR(__xludf.DUMMYFUNCTION("""COMPUTED_VALUE"""),0.4262601209463481)</f>
        <v>0.4262601209</v>
      </c>
      <c r="AU604" s="30">
        <f>IFERROR(__xludf.DUMMYFUNCTION("""COMPUTED_VALUE"""),2.5117324317772463)</f>
        <v>2.511732432</v>
      </c>
      <c r="AV604" s="32">
        <f>IFERROR(__xludf.DUMMYFUNCTION("""COMPUTED_VALUE"""),37.0057069032469)</f>
        <v>37.0057069</v>
      </c>
      <c r="AW604" s="32">
        <f>IFERROR(__xludf.DUMMYFUNCTION("""COMPUTED_VALUE"""),-3.3155251527284624)</f>
        <v>-3.315525153</v>
      </c>
      <c r="AX604" s="32">
        <f>IFERROR(__xludf.DUMMYFUNCTION("""COMPUTED_VALUE"""),24.77996157318832)</f>
        <v>24.77996157</v>
      </c>
      <c r="AY604" s="32">
        <f>IFERROR(__xludf.DUMMYFUNCTION("""COMPUTED_VALUE"""),-6.388351249816951)</f>
        <v>-6.38835125</v>
      </c>
      <c r="AZ604" s="30">
        <f>IFERROR(__xludf.DUMMYFUNCTION("""COMPUTED_VALUE"""),3.072826097088489)</f>
        <v>3.072826097</v>
      </c>
      <c r="BA604" s="30">
        <f>IFERROR(__xludf.DUMMYFUNCTION("""COMPUTED_VALUE"""),2300.0)</f>
        <v>2300</v>
      </c>
    </row>
    <row r="605">
      <c r="A605" s="71" t="str">
        <f>IFERROR(__xludf.DUMMYFUNCTION("""COMPUTED_VALUE"""),"Challenger")</f>
        <v>Challenger</v>
      </c>
      <c r="B605" s="71" t="str">
        <f>IFERROR(__xludf.DUMMYFUNCTION("""COMPUTED_VALUE"""),"RSC007870")</f>
        <v>RSC007870</v>
      </c>
      <c r="C605" s="30" t="str">
        <f>IFERROR(__xludf.DUMMYFUNCTION("""COMPUTED_VALUE"""),"King_OaF")</f>
        <v>King_OaF</v>
      </c>
      <c r="D605" s="30" t="str">
        <f>IFERROR(__xludf.DUMMYFUNCTION("""COMPUTED_VALUE"""),"Metal")</f>
        <v>Metal</v>
      </c>
      <c r="E605" s="30">
        <f>IFERROR(__xludf.DUMMYFUNCTION("""COMPUTED_VALUE"""),21.0)</f>
        <v>21</v>
      </c>
      <c r="F605" s="30">
        <f>IFERROR(__xludf.DUMMYFUNCTION("""COMPUTED_VALUE"""),12.0)</f>
        <v>12</v>
      </c>
      <c r="G605" s="42">
        <f>IFERROR(__xludf.DUMMYFUNCTION("""COMPUTED_VALUE"""),9.0)</f>
        <v>9</v>
      </c>
      <c r="H605" s="42">
        <f>IFERROR(__xludf.DUMMYFUNCTION("""COMPUTED_VALUE"""),0.5714285714285714)</f>
        <v>0.5714285714</v>
      </c>
      <c r="I605" s="42">
        <f>IFERROR(__xludf.DUMMYFUNCTION("""COMPUTED_VALUE"""),0.3508771929824561)</f>
        <v>0.350877193</v>
      </c>
      <c r="J605" s="30">
        <f>IFERROR(__xludf.DUMMYFUNCTION("""COMPUTED_VALUE"""),374.5238095238095)</f>
        <v>374.5238095</v>
      </c>
      <c r="K605" s="30">
        <f>IFERROR(__xludf.DUMMYFUNCTION("""COMPUTED_VALUE"""),0.9523809523809523)</f>
        <v>0.9523809524</v>
      </c>
      <c r="L605" s="30">
        <f>IFERROR(__xludf.DUMMYFUNCTION("""COMPUTED_VALUE"""),0.5714285714285714)</f>
        <v>0.5714285714</v>
      </c>
      <c r="M605" s="30">
        <f>IFERROR(__xludf.DUMMYFUNCTION("""COMPUTED_VALUE"""),1.0952380952380953)</f>
        <v>1.095238095</v>
      </c>
      <c r="N605" s="30">
        <f>IFERROR(__xludf.DUMMYFUNCTION("""COMPUTED_VALUE"""),2.7142857142857144)</f>
        <v>2.714285714</v>
      </c>
      <c r="O605" s="30">
        <f>IFERROR(__xludf.DUMMYFUNCTION("""COMPUTED_VALUE"""),315.04761904761904)</f>
        <v>315.047619</v>
      </c>
      <c r="P605" s="30">
        <f>IFERROR(__xludf.DUMMYFUNCTION("""COMPUTED_VALUE"""),0.6984126984126986)</f>
        <v>0.6984126984</v>
      </c>
      <c r="Q605" s="30">
        <f>IFERROR(__xludf.DUMMYFUNCTION("""COMPUTED_VALUE"""),0.4444444444444445)</f>
        <v>0.4444444444</v>
      </c>
      <c r="R605" s="30">
        <f>IFERROR(__xludf.DUMMYFUNCTION("""COMPUTED_VALUE"""),1.0634920634920637)</f>
        <v>1.063492063</v>
      </c>
      <c r="S605" s="30">
        <f>IFERROR(__xludf.DUMMYFUNCTION("""COMPUTED_VALUE"""),2.253968253968254)</f>
        <v>2.253968254</v>
      </c>
      <c r="T605" s="30">
        <f>IFERROR(__xludf.DUMMYFUNCTION("""COMPUTED_VALUE"""),322.3076435816726)</f>
        <v>322.3076436</v>
      </c>
      <c r="U605" s="30">
        <f>IFERROR(__xludf.DUMMYFUNCTION("""COMPUTED_VALUE"""),0.7074127585435085)</f>
        <v>0.7074127585</v>
      </c>
      <c r="V605" s="30">
        <f>IFERROR(__xludf.DUMMYFUNCTION("""COMPUTED_VALUE"""),0.48252678942006966)</f>
        <v>0.4825267894</v>
      </c>
      <c r="W605" s="30">
        <f>IFERROR(__xludf.DUMMYFUNCTION("""COMPUTED_VALUE"""),1.2112380943113734)</f>
        <v>1.211238094</v>
      </c>
      <c r="X605" s="30">
        <f>IFERROR(__xludf.DUMMYFUNCTION("""COMPUTED_VALUE"""),2.270815880355425)</f>
        <v>2.27081588</v>
      </c>
      <c r="Y605" s="30">
        <f>IFERROR(__xludf.DUMMYFUNCTION("""COMPUTED_VALUE"""),342.65395485911796)</f>
        <v>342.6539549</v>
      </c>
      <c r="Z605" s="30">
        <f>IFERROR(__xludf.DUMMYFUNCTION("""COMPUTED_VALUE"""),0.8369385585500285)</f>
        <v>0.8369385586</v>
      </c>
      <c r="AA605" s="30">
        <f>IFERROR(__xludf.DUMMYFUNCTION("""COMPUTED_VALUE"""),0.5930324582045253)</f>
        <v>0.5930324582</v>
      </c>
      <c r="AB605" s="30">
        <f>IFERROR(__xludf.DUMMYFUNCTION("""COMPUTED_VALUE"""),1.1357887845013286)</f>
        <v>1.135788785</v>
      </c>
      <c r="AC605" s="30">
        <f>IFERROR(__xludf.DUMMYFUNCTION("""COMPUTED_VALUE"""),2.5292203249416056)</f>
        <v>2.529220325</v>
      </c>
      <c r="AD605" s="30">
        <f>IFERROR(__xludf.DUMMYFUNCTION("""COMPUTED_VALUE"""),1.0930088627688388)</f>
        <v>1.093008863</v>
      </c>
      <c r="AE605" s="30">
        <f>IFERROR(__xludf.DUMMYFUNCTION("""COMPUTED_VALUE"""),1.1379341322628562)</f>
        <v>1.137934132</v>
      </c>
      <c r="AF605" s="30">
        <f>IFERROR(__xludf.DUMMYFUNCTION("""COMPUTED_VALUE"""),0.9635704817214185)</f>
        <v>0.9635704817</v>
      </c>
      <c r="AG605" s="30">
        <f>IFERROR(__xludf.DUMMYFUNCTION("""COMPUTED_VALUE"""),0.964297332552868)</f>
        <v>0.9642973326</v>
      </c>
      <c r="AH605" s="30">
        <f>IFERROR(__xludf.DUMMYFUNCTION("""COMPUTED_VALUE"""),1.0731709244620204)</f>
        <v>1.073170924</v>
      </c>
      <c r="AI605" s="30">
        <f>IFERROR(__xludf.DUMMYFUNCTION("""COMPUTED_VALUE"""),0.977474860808835)</f>
        <v>0.9774748608</v>
      </c>
      <c r="AJ605" s="30">
        <f>IFERROR(__xludf.DUMMYFUNCTION("""COMPUTED_VALUE"""),0.9872774981478422)</f>
        <v>0.9872774981</v>
      </c>
      <c r="AK605" s="30">
        <f>IFERROR(__xludf.DUMMYFUNCTION("""COMPUTED_VALUE"""),0.9210772421125158)</f>
        <v>0.9210772421</v>
      </c>
      <c r="AL605" s="30">
        <f>IFERROR(__xludf.DUMMYFUNCTION("""COMPUTED_VALUE"""),0.878020653814304)</f>
        <v>0.8780206538</v>
      </c>
      <c r="AM605" s="30">
        <f>IFERROR(__xludf.DUMMYFUNCTION("""COMPUTED_VALUE"""),0.9925808047526363)</f>
        <v>0.9925808048</v>
      </c>
      <c r="AN605" s="30">
        <f>IFERROR(__xludf.DUMMYFUNCTION("""COMPUTED_VALUE"""),1.1393679041168219)</f>
        <v>1.139367904</v>
      </c>
      <c r="AO605" s="30">
        <f>IFERROR(__xludf.DUMMYFUNCTION("""COMPUTED_VALUE"""),1.2559491334441857)</f>
        <v>1.255949133</v>
      </c>
      <c r="AP605" s="30">
        <f>IFERROR(__xludf.DUMMYFUNCTION("""COMPUTED_VALUE"""),1.1082318691456794)</f>
        <v>1.108231869</v>
      </c>
      <c r="AQ605" s="30">
        <f>IFERROR(__xludf.DUMMYFUNCTION("""COMPUTED_VALUE"""),0.9133056749118448)</f>
        <v>0.9133056749</v>
      </c>
      <c r="AR605" s="30">
        <f>IFERROR(__xludf.DUMMYFUNCTION("""COMPUTED_VALUE"""),1.1315475479010573)</f>
        <v>1.131547548</v>
      </c>
      <c r="AS605" s="30">
        <f>IFERROR(__xludf.DUMMYFUNCTION("""COMPUTED_VALUE"""),53.0)</f>
        <v>53</v>
      </c>
      <c r="AT605" s="30">
        <f>IFERROR(__xludf.DUMMYFUNCTION("""COMPUTED_VALUE"""),0.5716829625812315)</f>
        <v>0.5716829626</v>
      </c>
      <c r="AU605" s="30">
        <f>IFERROR(__xludf.DUMMYFUNCTION("""COMPUTED_VALUE"""),3.6141228137949257)</f>
        <v>3.614122814</v>
      </c>
      <c r="AV605" s="32">
        <f>IFERROR(__xludf.DUMMYFUNCTION("""COMPUTED_VALUE"""),66.15528718572648)</f>
        <v>66.15528719</v>
      </c>
      <c r="AW605" s="32">
        <f>IFERROR(__xludf.DUMMYFUNCTION("""COMPUTED_VALUE"""),3.859942741660687)</f>
        <v>3.859942742</v>
      </c>
      <c r="AX605" s="32">
        <f>IFERROR(__xludf.DUMMYFUNCTION("""COMPUTED_VALUE"""),76.13409261498508)</f>
        <v>76.13409261</v>
      </c>
      <c r="AY605" s="32">
        <f>IFERROR(__xludf.DUMMYFUNCTION("""COMPUTED_VALUE"""),6.760070447847026)</f>
        <v>6.760070448</v>
      </c>
      <c r="AZ605" s="30">
        <f>IFERROR(__xludf.DUMMYFUNCTION("""COMPUTED_VALUE"""),2.900127706186339)</f>
        <v>2.900127706</v>
      </c>
      <c r="BA605" s="30">
        <f>IFERROR(__xludf.DUMMYFUNCTION("""COMPUTED_VALUE"""),2300.0)</f>
        <v>2300</v>
      </c>
    </row>
    <row r="606">
      <c r="A606" s="71" t="str">
        <f>IFERROR(__xludf.DUMMYFUNCTION("""COMPUTED_VALUE"""),"Challenger")</f>
        <v>Challenger</v>
      </c>
      <c r="B606" s="71" t="str">
        <f>IFERROR(__xludf.DUMMYFUNCTION("""COMPUTED_VALUE"""),"RSC006225")</f>
        <v>RSC006225</v>
      </c>
      <c r="C606" s="30" t="str">
        <f>IFERROR(__xludf.DUMMYFUNCTION("""COMPUTED_VALUE"""),"renightly")</f>
        <v>renightly</v>
      </c>
      <c r="D606" s="30" t="str">
        <f>IFERROR(__xludf.DUMMYFUNCTION("""COMPUTED_VALUE"""),"Quarter")</f>
        <v>Quarter</v>
      </c>
      <c r="E606" s="30">
        <f>IFERROR(__xludf.DUMMYFUNCTION("""COMPUTED_VALUE"""),29.0)</f>
        <v>29</v>
      </c>
      <c r="F606" s="30">
        <f>IFERROR(__xludf.DUMMYFUNCTION("""COMPUTED_VALUE"""),7.0)</f>
        <v>7</v>
      </c>
      <c r="G606" s="42">
        <f>IFERROR(__xludf.DUMMYFUNCTION("""COMPUTED_VALUE"""),22.0)</f>
        <v>22</v>
      </c>
      <c r="H606" s="42">
        <f>IFERROR(__xludf.DUMMYFUNCTION("""COMPUTED_VALUE"""),0.2413793103448276)</f>
        <v>0.2413793103</v>
      </c>
      <c r="I606" s="42">
        <f>IFERROR(__xludf.DUMMYFUNCTION("""COMPUTED_VALUE"""),0.24528301886792453)</f>
        <v>0.2452830189</v>
      </c>
      <c r="J606" s="30">
        <f>IFERROR(__xludf.DUMMYFUNCTION("""COMPUTED_VALUE"""),304.3103448275862)</f>
        <v>304.3103448</v>
      </c>
      <c r="K606" s="30">
        <f>IFERROR(__xludf.DUMMYFUNCTION("""COMPUTED_VALUE"""),0.4482758620689655)</f>
        <v>0.4482758621</v>
      </c>
      <c r="L606" s="30">
        <f>IFERROR(__xludf.DUMMYFUNCTION("""COMPUTED_VALUE"""),0.41379310344827586)</f>
        <v>0.4137931034</v>
      </c>
      <c r="M606" s="30">
        <f>IFERROR(__xludf.DUMMYFUNCTION("""COMPUTED_VALUE"""),1.6206896551724137)</f>
        <v>1.620689655</v>
      </c>
      <c r="N606" s="30">
        <f>IFERROR(__xludf.DUMMYFUNCTION("""COMPUTED_VALUE"""),1.8275862068965518)</f>
        <v>1.827586207</v>
      </c>
      <c r="O606" s="30">
        <f>IFERROR(__xludf.DUMMYFUNCTION("""COMPUTED_VALUE"""),359.1264367816092)</f>
        <v>359.1264368</v>
      </c>
      <c r="P606" s="30">
        <f>IFERROR(__xludf.DUMMYFUNCTION("""COMPUTED_VALUE"""),0.9310344827586209)</f>
        <v>0.9310344828</v>
      </c>
      <c r="Q606" s="30">
        <f>IFERROR(__xludf.DUMMYFUNCTION("""COMPUTED_VALUE"""),0.6896551724137931)</f>
        <v>0.6896551724</v>
      </c>
      <c r="R606" s="30">
        <f>IFERROR(__xludf.DUMMYFUNCTION("""COMPUTED_VALUE"""),0.9770114942528736)</f>
        <v>0.9770114943</v>
      </c>
      <c r="S606" s="30">
        <f>IFERROR(__xludf.DUMMYFUNCTION("""COMPUTED_VALUE"""),3.022988505747126)</f>
        <v>3.022988506</v>
      </c>
      <c r="T606" s="30">
        <f>IFERROR(__xludf.DUMMYFUNCTION("""COMPUTED_VALUE"""),342.73675090338327)</f>
        <v>342.7367509</v>
      </c>
      <c r="U606" s="30">
        <f>IFERROR(__xludf.DUMMYFUNCTION("""COMPUTED_VALUE"""),0.8394076216528069)</f>
        <v>0.8394076217</v>
      </c>
      <c r="V606" s="30">
        <f>IFERROR(__xludf.DUMMYFUNCTION("""COMPUTED_VALUE"""),0.5985204074894374)</f>
        <v>0.5985204075</v>
      </c>
      <c r="W606" s="30">
        <f>IFERROR(__xludf.DUMMYFUNCTION("""COMPUTED_VALUE"""),1.1225219216771232)</f>
        <v>1.122521922</v>
      </c>
      <c r="X606" s="30">
        <f>IFERROR(__xludf.DUMMYFUNCTION("""COMPUTED_VALUE"""),2.5403527748610006)</f>
        <v>2.540352775</v>
      </c>
      <c r="Y606" s="30">
        <f>IFERROR(__xludf.DUMMYFUNCTION("""COMPUTED_VALUE"""),321.49926253087756)</f>
        <v>321.4992625</v>
      </c>
      <c r="Z606" s="30">
        <f>IFERROR(__xludf.DUMMYFUNCTION("""COMPUTED_VALUE"""),0.7118094552161647)</f>
        <v>0.7118094552</v>
      </c>
      <c r="AA606" s="30">
        <f>IFERROR(__xludf.DUMMYFUNCTION("""COMPUTED_VALUE"""),0.47573339810567356)</f>
        <v>0.4757333981</v>
      </c>
      <c r="AB606" s="30">
        <f>IFERROR(__xludf.DUMMYFUNCTION("""COMPUTED_VALUE"""),1.1851420788893228)</f>
        <v>1.185142079</v>
      </c>
      <c r="AC606" s="30">
        <f>IFERROR(__xludf.DUMMYFUNCTION("""COMPUTED_VALUE"""),2.2660662238721194)</f>
        <v>2.266066224</v>
      </c>
      <c r="AD606" s="30">
        <f>IFERROR(__xludf.DUMMYFUNCTION("""COMPUTED_VALUE"""),0.9465351255614763)</f>
        <v>0.9465351256</v>
      </c>
      <c r="AE606" s="30">
        <f>IFERROR(__xludf.DUMMYFUNCTION("""COMPUTED_VALUE"""),0.6297694681968388)</f>
        <v>0.6297694682</v>
      </c>
      <c r="AF606" s="30">
        <f>IFERROR(__xludf.DUMMYFUNCTION("""COMPUTED_VALUE"""),0.8698004073204904)</f>
        <v>0.8698004073</v>
      </c>
      <c r="AG606" s="30">
        <f>IFERROR(__xludf.DUMMYFUNCTION("""COMPUTED_VALUE"""),1.3675066340495412)</f>
        <v>1.367506634</v>
      </c>
      <c r="AH606" s="30">
        <f>IFERROR(__xludf.DUMMYFUNCTION("""COMPUTED_VALUE"""),0.8065016757425919)</f>
        <v>0.8065016757</v>
      </c>
      <c r="AI606" s="30">
        <f>IFERROR(__xludf.DUMMYFUNCTION("""COMPUTED_VALUE"""),1.047820042160714)</f>
        <v>1.047820042</v>
      </c>
      <c r="AJ606" s="30">
        <f>IFERROR(__xludf.DUMMYFUNCTION("""COMPUTED_VALUE"""),1.1091565751159125)</f>
        <v>1.109156575</v>
      </c>
      <c r="AK606" s="30">
        <f>IFERROR(__xludf.DUMMYFUNCTION("""COMPUTED_VALUE"""),1.1522667628103627)</f>
        <v>1.152266763</v>
      </c>
      <c r="AL606" s="30">
        <f>IFERROR(__xludf.DUMMYFUNCTION("""COMPUTED_VALUE"""),0.8703718612400485)</f>
        <v>0.8703718612</v>
      </c>
      <c r="AM606" s="30">
        <f>IFERROR(__xludf.DUMMYFUNCTION("""COMPUTED_VALUE"""),1.1899876803183502)</f>
        <v>1.18998768</v>
      </c>
      <c r="AN606" s="30">
        <f>IFERROR(__xludf.DUMMYFUNCTION("""COMPUTED_VALUE"""),0.9257660820766381)</f>
        <v>0.9257660821</v>
      </c>
      <c r="AO606" s="30">
        <f>IFERROR(__xludf.DUMMYFUNCTION("""COMPUTED_VALUE"""),0.5911622645349357)</f>
        <v>0.5911622645</v>
      </c>
      <c r="AP606" s="30">
        <f>IFERROR(__xludf.DUMMYFUNCTION("""COMPUTED_VALUE"""),0.80251273282963)</f>
        <v>0.8025127328</v>
      </c>
      <c r="AQ606" s="30">
        <f>IFERROR(__xludf.DUMMYFUNCTION("""COMPUTED_VALUE"""),1.351473315049461)</f>
        <v>1.351473315</v>
      </c>
      <c r="AR606" s="30">
        <f>IFERROR(__xludf.DUMMYFUNCTION("""COMPUTED_VALUE"""),0.7618949914179532)</f>
        <v>0.7618949914</v>
      </c>
      <c r="AS606" s="30">
        <f>IFERROR(__xludf.DUMMYFUNCTION("""COMPUTED_VALUE"""),48.0)</f>
        <v>48</v>
      </c>
      <c r="AT606" s="30">
        <f>IFERROR(__xludf.DUMMYFUNCTION("""COMPUTED_VALUE"""),0.309375001026492)</f>
        <v>0.309375001</v>
      </c>
      <c r="AU606" s="30">
        <f>IFERROR(__xludf.DUMMYFUNCTION("""COMPUTED_VALUE"""),1.9798734553919535)</f>
        <v>1.979873455</v>
      </c>
      <c r="AV606" s="32">
        <f>IFERROR(__xludf.DUMMYFUNCTION("""COMPUTED_VALUE"""),22.94220799760073)</f>
        <v>22.942208</v>
      </c>
      <c r="AW606" s="32">
        <f>IFERROR(__xludf.DUMMYFUNCTION("""COMPUTED_VALUE"""),-7.1655294482584155)</f>
        <v>-7.165529448</v>
      </c>
      <c r="AX606" s="32">
        <f>IFERROR(__xludf.DUMMYFUNCTION("""COMPUTED_VALUE"""),31.887125347957884)</f>
        <v>31.88712535</v>
      </c>
      <c r="AY606" s="32">
        <f>IFERROR(__xludf.DUMMYFUNCTION("""COMPUTED_VALUE"""),-4.266670032743356)</f>
        <v>-4.266670033</v>
      </c>
      <c r="AZ606" s="30">
        <f>IFERROR(__xludf.DUMMYFUNCTION("""COMPUTED_VALUE"""),2.8988594155150595)</f>
        <v>2.898859416</v>
      </c>
      <c r="BA606" s="30">
        <f>IFERROR(__xludf.DUMMYFUNCTION("""COMPUTED_VALUE"""),2300.0)</f>
        <v>2300</v>
      </c>
    </row>
    <row r="607">
      <c r="A607" s="71" t="str">
        <f>IFERROR(__xludf.DUMMYFUNCTION("""COMPUTED_VALUE"""),"Challenger")</f>
        <v>Challenger</v>
      </c>
      <c r="B607" s="71" t="str">
        <f>IFERROR(__xludf.DUMMYFUNCTION("""COMPUTED_VALUE"""),"RSC006583")</f>
        <v>RSC006583</v>
      </c>
      <c r="C607" s="30" t="str">
        <f>IFERROR(__xludf.DUMMYFUNCTION("""COMPUTED_VALUE"""),"DaScrappyDoo15")</f>
        <v>DaScrappyDoo15</v>
      </c>
      <c r="D607" s="30" t="str">
        <f>IFERROR(__xludf.DUMMYFUNCTION("""COMPUTED_VALUE"""),"Solstice Sake")</f>
        <v>Solstice Sake</v>
      </c>
      <c r="E607" s="30">
        <f>IFERROR(__xludf.DUMMYFUNCTION("""COMPUTED_VALUE"""),5.0)</f>
        <v>5</v>
      </c>
      <c r="F607" s="30">
        <f>IFERROR(__xludf.DUMMYFUNCTION("""COMPUTED_VALUE"""),2.0)</f>
        <v>2</v>
      </c>
      <c r="G607" s="42">
        <f>IFERROR(__xludf.DUMMYFUNCTION("""COMPUTED_VALUE"""),3.0)</f>
        <v>3</v>
      </c>
      <c r="H607" s="42">
        <f>IFERROR(__xludf.DUMMYFUNCTION("""COMPUTED_VALUE"""),0.4)</f>
        <v>0.4</v>
      </c>
      <c r="I607" s="42">
        <f>IFERROR(__xludf.DUMMYFUNCTION("""COMPUTED_VALUE"""),0.5)</f>
        <v>0.5</v>
      </c>
      <c r="J607" s="30">
        <f>IFERROR(__xludf.DUMMYFUNCTION("""COMPUTED_VALUE"""),316.4)</f>
        <v>316.4</v>
      </c>
      <c r="K607" s="30">
        <f>IFERROR(__xludf.DUMMYFUNCTION("""COMPUTED_VALUE"""),0.8)</f>
        <v>0.8</v>
      </c>
      <c r="L607" s="30">
        <f>IFERROR(__xludf.DUMMYFUNCTION("""COMPUTED_VALUE"""),0.2)</f>
        <v>0.2</v>
      </c>
      <c r="M607" s="30">
        <f>IFERROR(__xludf.DUMMYFUNCTION("""COMPUTED_VALUE"""),1.2)</f>
        <v>1.2</v>
      </c>
      <c r="N607" s="30">
        <f>IFERROR(__xludf.DUMMYFUNCTION("""COMPUTED_VALUE"""),1.6)</f>
        <v>1.6</v>
      </c>
      <c r="O607" s="30">
        <f>IFERROR(__xludf.DUMMYFUNCTION("""COMPUTED_VALUE"""),330.93333333333334)</f>
        <v>330.9333333</v>
      </c>
      <c r="P607" s="30">
        <f>IFERROR(__xludf.DUMMYFUNCTION("""COMPUTED_VALUE"""),0.8)</f>
        <v>0.8</v>
      </c>
      <c r="Q607" s="30">
        <f>IFERROR(__xludf.DUMMYFUNCTION("""COMPUTED_VALUE"""),0.4666666666666666)</f>
        <v>0.4666666667</v>
      </c>
      <c r="R607" s="30">
        <f>IFERROR(__xludf.DUMMYFUNCTION("""COMPUTED_VALUE"""),1.2)</f>
        <v>1.2</v>
      </c>
      <c r="S607" s="30">
        <f>IFERROR(__xludf.DUMMYFUNCTION("""COMPUTED_VALUE"""),2.7333333333333334)</f>
        <v>2.733333333</v>
      </c>
      <c r="T607" s="30">
        <f>IFERROR(__xludf.DUMMYFUNCTION("""COMPUTED_VALUE"""),375.03074584037597)</f>
        <v>375.0307458</v>
      </c>
      <c r="U607" s="30">
        <f>IFERROR(__xludf.DUMMYFUNCTION("""COMPUTED_VALUE"""),0.9886485203280435)</f>
        <v>0.9886485203</v>
      </c>
      <c r="V607" s="30">
        <f>IFERROR(__xludf.DUMMYFUNCTION("""COMPUTED_VALUE"""),0.7421181117464428)</f>
        <v>0.7421181117</v>
      </c>
      <c r="W607" s="30">
        <f>IFERROR(__xludf.DUMMYFUNCTION("""COMPUTED_VALUE"""),1.258894111965641)</f>
        <v>1.258894112</v>
      </c>
      <c r="X607" s="30">
        <f>IFERROR(__xludf.DUMMYFUNCTION("""COMPUTED_VALUE"""),2.8082183806920833)</f>
        <v>2.808218381</v>
      </c>
      <c r="Y607" s="30">
        <f>IFERROR(__xludf.DUMMYFUNCTION("""COMPUTED_VALUE"""),331.9620891086862)</f>
        <v>331.9620891</v>
      </c>
      <c r="Z607" s="30">
        <f>IFERROR(__xludf.DUMMYFUNCTION("""COMPUTED_VALUE"""),0.6804846915330787)</f>
        <v>0.6804846915</v>
      </c>
      <c r="AA607" s="30">
        <f>IFERROR(__xludf.DUMMYFUNCTION("""COMPUTED_VALUE"""),0.5079057160438647)</f>
        <v>0.507905716</v>
      </c>
      <c r="AB607" s="30">
        <f>IFERROR(__xludf.DUMMYFUNCTION("""COMPUTED_VALUE"""),1.340579476818958)</f>
        <v>1.340579477</v>
      </c>
      <c r="AC607" s="30">
        <f>IFERROR(__xludf.DUMMYFUNCTION("""COMPUTED_VALUE"""),2.295186444574593)</f>
        <v>2.295186445</v>
      </c>
      <c r="AD607" s="30">
        <f>IFERROR(__xludf.DUMMYFUNCTION("""COMPUTED_VALUE"""),0.9531208845248859)</f>
        <v>0.9531208845</v>
      </c>
      <c r="AE607" s="30">
        <f>IFERROR(__xludf.DUMMYFUNCTION("""COMPUTED_VALUE"""),1.1756326188582769)</f>
        <v>1.175632619</v>
      </c>
      <c r="AF607" s="30">
        <f>IFERROR(__xludf.DUMMYFUNCTION("""COMPUTED_VALUE"""),0.3937738711779476)</f>
        <v>0.3937738712</v>
      </c>
      <c r="AG607" s="30">
        <f>IFERROR(__xludf.DUMMYFUNCTION("""COMPUTED_VALUE"""),0.8951352909321444)</f>
        <v>0.8951352909</v>
      </c>
      <c r="AH607" s="30">
        <f>IFERROR(__xludf.DUMMYFUNCTION("""COMPUTED_VALUE"""),0.6971111230558684)</f>
        <v>0.6971111231</v>
      </c>
      <c r="AI607" s="30">
        <f>IFERROR(__xludf.DUMMYFUNCTION("""COMPUTED_VALUE"""),0.8824165405206224)</f>
        <v>0.8824165405</v>
      </c>
      <c r="AJ607" s="30">
        <f>IFERROR(__xludf.DUMMYFUNCTION("""COMPUTED_VALUE"""),0.8091854522116232)</f>
        <v>0.8091854522</v>
      </c>
      <c r="AK607" s="30">
        <f>IFERROR(__xludf.DUMMYFUNCTION("""COMPUTED_VALUE"""),0.6288307201780182)</f>
        <v>0.6288307202</v>
      </c>
      <c r="AL607" s="30">
        <f>IFERROR(__xludf.DUMMYFUNCTION("""COMPUTED_VALUE"""),0.9532175808863832)</f>
        <v>0.9532175809</v>
      </c>
      <c r="AM607" s="30">
        <f>IFERROR(__xludf.DUMMYFUNCTION("""COMPUTED_VALUE"""),0.97333360971012)</f>
        <v>0.9733336097</v>
      </c>
      <c r="AN607" s="30">
        <f>IFERROR(__xludf.DUMMYFUNCTION("""COMPUTED_VALUE"""),0.9625449589464475)</f>
        <v>0.9625449589</v>
      </c>
      <c r="AO607" s="30">
        <f>IFERROR(__xludf.DUMMYFUNCTION("""COMPUTED_VALUE"""),1.054997272093116)</f>
        <v>1.054997272</v>
      </c>
      <c r="AP607" s="30">
        <f>IFERROR(__xludf.DUMMYFUNCTION("""COMPUTED_VALUE"""),0.38788115420098784)</f>
        <v>0.3878811542</v>
      </c>
      <c r="AQ607" s="30">
        <f>IFERROR(__xludf.DUMMYFUNCTION("""COMPUTED_VALUE"""),1.000665348164282)</f>
        <v>1.000665348</v>
      </c>
      <c r="AR607" s="30">
        <f>IFERROR(__xludf.DUMMYFUNCTION("""COMPUTED_VALUE"""),0.6670175019206233)</f>
        <v>0.6670175019</v>
      </c>
      <c r="AS607" s="30">
        <f>IFERROR(__xludf.DUMMYFUNCTION("""COMPUTED_VALUE"""),11.0)</f>
        <v>11</v>
      </c>
      <c r="AT607" s="30">
        <f>IFERROR(__xludf.DUMMYFUNCTION("""COMPUTED_VALUE"""),0.4663433941244228)</f>
        <v>0.4663433941</v>
      </c>
      <c r="AU607" s="30">
        <f>IFERROR(__xludf.DUMMYFUNCTION("""COMPUTED_VALUE"""),2.43337923160546)</f>
        <v>2.433379232</v>
      </c>
      <c r="AV607" s="32">
        <f>IFERROR(__xludf.DUMMYFUNCTION("""COMPUTED_VALUE"""),34.933879231259795)</f>
        <v>34.93387923</v>
      </c>
      <c r="AW607" s="32">
        <f>IFERROR(__xludf.DUMMYFUNCTION("""COMPUTED_VALUE"""),-3.6580124856549343)</f>
        <v>-3.658012486</v>
      </c>
      <c r="AX607" s="32">
        <f>IFERROR(__xludf.DUMMYFUNCTION("""COMPUTED_VALUE"""),25.078838717859924)</f>
        <v>25.07883872</v>
      </c>
      <c r="AY607" s="32">
        <f>IFERROR(__xludf.DUMMYFUNCTION("""COMPUTED_VALUE"""),-6.272757423566852)</f>
        <v>-6.272757424</v>
      </c>
      <c r="AZ607" s="30">
        <f>IFERROR(__xludf.DUMMYFUNCTION("""COMPUTED_VALUE"""),2.614744937911918)</f>
        <v>2.614744938</v>
      </c>
      <c r="BA607" s="30">
        <f>IFERROR(__xludf.DUMMYFUNCTION("""COMPUTED_VALUE"""),2300.0)</f>
        <v>2300</v>
      </c>
    </row>
    <row r="608">
      <c r="A608" s="71" t="str">
        <f>IFERROR(__xludf.DUMMYFUNCTION("""COMPUTED_VALUE"""),"Challenger")</f>
        <v>Challenger</v>
      </c>
      <c r="B608" s="71" t="str">
        <f>IFERROR(__xludf.DUMMYFUNCTION("""COMPUTED_VALUE"""),"RSC004679")</f>
        <v>RSC004679</v>
      </c>
      <c r="C608" s="30" t="str">
        <f>IFERROR(__xludf.DUMMYFUNCTION("""COMPUTED_VALUE"""),"master_ibk810")</f>
        <v>master_ibk810</v>
      </c>
      <c r="D608" s="30" t="str">
        <f>IFERROR(__xludf.DUMMYFUNCTION("""COMPUTED_VALUE"""),"Squalls")</f>
        <v>Squalls</v>
      </c>
      <c r="E608" s="30">
        <f>IFERROR(__xludf.DUMMYFUNCTION("""COMPUTED_VALUE"""),27.0)</f>
        <v>27</v>
      </c>
      <c r="F608" s="30">
        <f>IFERROR(__xludf.DUMMYFUNCTION("""COMPUTED_VALUE"""),17.0)</f>
        <v>17</v>
      </c>
      <c r="G608" s="42">
        <f>IFERROR(__xludf.DUMMYFUNCTION("""COMPUTED_VALUE"""),10.0)</f>
        <v>10</v>
      </c>
      <c r="H608" s="42">
        <f>IFERROR(__xludf.DUMMYFUNCTION("""COMPUTED_VALUE"""),0.6296296296296297)</f>
        <v>0.6296296296</v>
      </c>
      <c r="I608" s="42">
        <f>IFERROR(__xludf.DUMMYFUNCTION("""COMPUTED_VALUE"""),0.3466666666666667)</f>
        <v>0.3466666667</v>
      </c>
      <c r="J608" s="30">
        <f>IFERROR(__xludf.DUMMYFUNCTION("""COMPUTED_VALUE"""),315.6296296296296)</f>
        <v>315.6296296</v>
      </c>
      <c r="K608" s="30">
        <f>IFERROR(__xludf.DUMMYFUNCTION("""COMPUTED_VALUE"""),0.9629629629629629)</f>
        <v>0.962962963</v>
      </c>
      <c r="L608" s="30">
        <f>IFERROR(__xludf.DUMMYFUNCTION("""COMPUTED_VALUE"""),0.4074074074074074)</f>
        <v>0.4074074074</v>
      </c>
      <c r="M608" s="30">
        <f>IFERROR(__xludf.DUMMYFUNCTION("""COMPUTED_VALUE"""),0.6296296296296297)</f>
        <v>0.6296296296</v>
      </c>
      <c r="N608" s="30">
        <f>IFERROR(__xludf.DUMMYFUNCTION("""COMPUTED_VALUE"""),2.7777777777777777)</f>
        <v>2.777777778</v>
      </c>
      <c r="O608" s="30">
        <f>IFERROR(__xludf.DUMMYFUNCTION("""COMPUTED_VALUE"""),295.4197530864197)</f>
        <v>295.4197531</v>
      </c>
      <c r="P608" s="30">
        <f>IFERROR(__xludf.DUMMYFUNCTION("""COMPUTED_VALUE"""),0.5925925925925926)</f>
        <v>0.5925925926</v>
      </c>
      <c r="Q608" s="30">
        <f>IFERROR(__xludf.DUMMYFUNCTION("""COMPUTED_VALUE"""),0.3827160493827161)</f>
        <v>0.3827160494</v>
      </c>
      <c r="R608" s="30">
        <f>IFERROR(__xludf.DUMMYFUNCTION("""COMPUTED_VALUE"""),1.2962962962962965)</f>
        <v>1.296296296</v>
      </c>
      <c r="S608" s="30">
        <f>IFERROR(__xludf.DUMMYFUNCTION("""COMPUTED_VALUE"""),2.024691358024692)</f>
        <v>2.024691358</v>
      </c>
      <c r="T608" s="30">
        <f>IFERROR(__xludf.DUMMYFUNCTION("""COMPUTED_VALUE"""),341.9339363012246)</f>
        <v>341.9339363</v>
      </c>
      <c r="U608" s="30">
        <f>IFERROR(__xludf.DUMMYFUNCTION("""COMPUTED_VALUE"""),0.8617255438406943)</f>
        <v>0.8617255438</v>
      </c>
      <c r="V608" s="30">
        <f>IFERROR(__xludf.DUMMYFUNCTION("""COMPUTED_VALUE"""),0.5742580393666616)</f>
        <v>0.5742580394</v>
      </c>
      <c r="W608" s="30">
        <f>IFERROR(__xludf.DUMMYFUNCTION("""COMPUTED_VALUE"""),1.150418570549384)</f>
        <v>1.150418571</v>
      </c>
      <c r="X608" s="30">
        <f>IFERROR(__xludf.DUMMYFUNCTION("""COMPUTED_VALUE"""),2.5326253843951347)</f>
        <v>2.532625384</v>
      </c>
      <c r="Y608" s="30">
        <f>IFERROR(__xludf.DUMMYFUNCTION("""COMPUTED_VALUE"""),316.4509995473917)</f>
        <v>316.4509995</v>
      </c>
      <c r="Z608" s="30">
        <f>IFERROR(__xludf.DUMMYFUNCTION("""COMPUTED_VALUE"""),0.6839035424431236)</f>
        <v>0.6839035424</v>
      </c>
      <c r="AA608" s="30">
        <f>IFERROR(__xludf.DUMMYFUNCTION("""COMPUTED_VALUE"""),0.45822310536307154)</f>
        <v>0.4582231054</v>
      </c>
      <c r="AB608" s="30">
        <f>IFERROR(__xludf.DUMMYFUNCTION("""COMPUTED_VALUE"""),1.1994344405505422)</f>
        <v>1.199434441</v>
      </c>
      <c r="AC608" s="30">
        <f>IFERROR(__xludf.DUMMYFUNCTION("""COMPUTED_VALUE"""),2.242487403504324)</f>
        <v>2.242487404</v>
      </c>
      <c r="AD608" s="30">
        <f>IFERROR(__xludf.DUMMYFUNCTION("""COMPUTED_VALUE"""),0.9974044325379384)</f>
        <v>0.9974044325</v>
      </c>
      <c r="AE608" s="30">
        <f>IFERROR(__xludf.DUMMYFUNCTION("""COMPUTED_VALUE"""),1.4080391505546956)</f>
        <v>1.408039151</v>
      </c>
      <c r="AF608" s="30">
        <f>IFERROR(__xludf.DUMMYFUNCTION("""COMPUTED_VALUE"""),0.8891027157711733)</f>
        <v>0.8891027158</v>
      </c>
      <c r="AG608" s="30">
        <f>IFERROR(__xludf.DUMMYFUNCTION("""COMPUTED_VALUE"""),0.5249387614221155)</f>
        <v>0.5249387614</v>
      </c>
      <c r="AH608" s="30">
        <f>IFERROR(__xludf.DUMMYFUNCTION("""COMPUTED_VALUE"""),1.2387038488764566)</f>
        <v>1.238703849</v>
      </c>
      <c r="AI608" s="30">
        <f>IFERROR(__xludf.DUMMYFUNCTION("""COMPUTED_VALUE"""),0.8639673390773692)</f>
        <v>0.8639673391</v>
      </c>
      <c r="AJ608" s="30">
        <f>IFERROR(__xludf.DUMMYFUNCTION("""COMPUTED_VALUE"""),0.6876813584420611)</f>
        <v>0.6876813584</v>
      </c>
      <c r="AK608" s="30">
        <f>IFERROR(__xludf.DUMMYFUNCTION("""COMPUTED_VALUE"""),0.666453097991987)</f>
        <v>0.666453098</v>
      </c>
      <c r="AL608" s="30">
        <f>IFERROR(__xludf.DUMMYFUNCTION("""COMPUTED_VALUE"""),1.1268040428774098)</f>
        <v>1.126804043</v>
      </c>
      <c r="AM608" s="30">
        <f>IFERROR(__xludf.DUMMYFUNCTION("""COMPUTED_VALUE"""),0.799443680261559)</f>
        <v>0.7994436803</v>
      </c>
      <c r="AN608" s="30">
        <f>IFERROR(__xludf.DUMMYFUNCTION("""COMPUTED_VALUE"""),0.9602013555440402)</f>
        <v>0.9602013555</v>
      </c>
      <c r="AO608" s="30">
        <f>IFERROR(__xludf.DUMMYFUNCTION("""COMPUTED_VALUE"""),1.2699041238157878)</f>
        <v>1.269904124</v>
      </c>
      <c r="AP608" s="30">
        <f>IFERROR(__xludf.DUMMYFUNCTION("""COMPUTED_VALUE"""),0.7901282770760862)</f>
        <v>0.7901282771</v>
      </c>
      <c r="AQ608" s="30">
        <f>IFERROR(__xludf.DUMMYFUNCTION("""COMPUTED_VALUE"""),0.5250404604565677)</f>
        <v>0.5250404605</v>
      </c>
      <c r="AR608" s="30">
        <f>IFERROR(__xludf.DUMMYFUNCTION("""COMPUTED_VALUE"""),1.1580164963899708)</f>
        <v>1.158016496</v>
      </c>
      <c r="AS608" s="30">
        <f>IFERROR(__xludf.DUMMYFUNCTION("""COMPUTED_VALUE"""),63.0)</f>
        <v>63</v>
      </c>
      <c r="AT608" s="30">
        <f>IFERROR(__xludf.DUMMYFUNCTION("""COMPUTED_VALUE"""),0.6006102901482088)</f>
        <v>0.6006102901</v>
      </c>
      <c r="AU608" s="30">
        <f>IFERROR(__xludf.DUMMYFUNCTION("""COMPUTED_VALUE"""),3.81762714088216)</f>
        <v>3.817627141</v>
      </c>
      <c r="AV608" s="32">
        <f>IFERROR(__xludf.DUMMYFUNCTION("""COMPUTED_VALUE"""),71.5363806867456)</f>
        <v>71.53638069</v>
      </c>
      <c r="AW608" s="32">
        <f>IFERROR(__xludf.DUMMYFUNCTION("""COMPUTED_VALUE"""),5.14155510950748)</f>
        <v>5.14155511</v>
      </c>
      <c r="AX608" s="32">
        <f>IFERROR(__xludf.DUMMYFUNCTION("""COMPUTED_VALUE"""),57.85795860258267)</f>
        <v>57.8579586</v>
      </c>
      <c r="AY608" s="32">
        <f>IFERROR(__xludf.DUMMYFUNCTION("""COMPUTED_VALUE"""),2.6550578081909975)</f>
        <v>2.655057808</v>
      </c>
      <c r="AZ608" s="30">
        <f>IFERROR(__xludf.DUMMYFUNCTION("""COMPUTED_VALUE"""),2.4864973013164824)</f>
        <v>2.486497301</v>
      </c>
      <c r="BA608" s="30">
        <f>IFERROR(__xludf.DUMMYFUNCTION("""COMPUTED_VALUE"""),2300.0)</f>
        <v>2300</v>
      </c>
    </row>
    <row r="609">
      <c r="A609" s="71" t="str">
        <f>IFERROR(__xludf.DUMMYFUNCTION("""COMPUTED_VALUE"""),"Challenger")</f>
        <v>Challenger</v>
      </c>
      <c r="B609" s="71" t="str">
        <f>IFERROR(__xludf.DUMMYFUNCTION("""COMPUTED_VALUE"""),"RSC007525")</f>
        <v>RSC007525</v>
      </c>
      <c r="C609" s="30" t="str">
        <f>IFERROR(__xludf.DUMMYFUNCTION("""COMPUTED_VALUE"""),"BulletNote")</f>
        <v>BulletNote</v>
      </c>
      <c r="D609" s="30" t="str">
        <f>IFERROR(__xludf.DUMMYFUNCTION("""COMPUTED_VALUE"""),"Quarter")</f>
        <v>Quarter</v>
      </c>
      <c r="E609" s="30">
        <f>IFERROR(__xludf.DUMMYFUNCTION("""COMPUTED_VALUE"""),20.0)</f>
        <v>20</v>
      </c>
      <c r="F609" s="30">
        <f>IFERROR(__xludf.DUMMYFUNCTION("""COMPUTED_VALUE"""),4.0)</f>
        <v>4</v>
      </c>
      <c r="G609" s="42">
        <f>IFERROR(__xludf.DUMMYFUNCTION("""COMPUTED_VALUE"""),16.0)</f>
        <v>16</v>
      </c>
      <c r="H609" s="42">
        <f>IFERROR(__xludf.DUMMYFUNCTION("""COMPUTED_VALUE"""),0.2)</f>
        <v>0.2</v>
      </c>
      <c r="I609" s="42">
        <f>IFERROR(__xludf.DUMMYFUNCTION("""COMPUTED_VALUE"""),0.2727272727272727)</f>
        <v>0.2727272727</v>
      </c>
      <c r="J609" s="30">
        <f>IFERROR(__xludf.DUMMYFUNCTION("""COMPUTED_VALUE"""),316.95)</f>
        <v>316.95</v>
      </c>
      <c r="K609" s="30">
        <f>IFERROR(__xludf.DUMMYFUNCTION("""COMPUTED_VALUE"""),0.3)</f>
        <v>0.3</v>
      </c>
      <c r="L609" s="30">
        <f>IFERROR(__xludf.DUMMYFUNCTION("""COMPUTED_VALUE"""),0.8)</f>
        <v>0.8</v>
      </c>
      <c r="M609" s="30">
        <f>IFERROR(__xludf.DUMMYFUNCTION("""COMPUTED_VALUE"""),1.65)</f>
        <v>1.65</v>
      </c>
      <c r="N609" s="30">
        <f>IFERROR(__xludf.DUMMYFUNCTION("""COMPUTED_VALUE"""),1.1)</f>
        <v>1.1</v>
      </c>
      <c r="O609" s="30">
        <f>IFERROR(__xludf.DUMMYFUNCTION("""COMPUTED_VALUE"""),337.6666666666667)</f>
        <v>337.6666667</v>
      </c>
      <c r="P609" s="30">
        <f>IFERROR(__xludf.DUMMYFUNCTION("""COMPUTED_VALUE"""),0.9833333333333332)</f>
        <v>0.9833333333</v>
      </c>
      <c r="Q609" s="30">
        <f>IFERROR(__xludf.DUMMYFUNCTION("""COMPUTED_VALUE"""),0.6166666666666667)</f>
        <v>0.6166666667</v>
      </c>
      <c r="R609" s="30">
        <f>IFERROR(__xludf.DUMMYFUNCTION("""COMPUTED_VALUE"""),0.8666666666666665)</f>
        <v>0.8666666667</v>
      </c>
      <c r="S609" s="30">
        <f>IFERROR(__xludf.DUMMYFUNCTION("""COMPUTED_VALUE"""),3.1000000000000005)</f>
        <v>3.1</v>
      </c>
      <c r="T609" s="30">
        <f>IFERROR(__xludf.DUMMYFUNCTION("""COMPUTED_VALUE"""),328.13136686913197)</f>
        <v>328.1313669</v>
      </c>
      <c r="U609" s="30">
        <f>IFERROR(__xludf.DUMMYFUNCTION("""COMPUTED_VALUE"""),0.7842008970168987)</f>
        <v>0.784200897</v>
      </c>
      <c r="V609" s="30">
        <f>IFERROR(__xludf.DUMMYFUNCTION("""COMPUTED_VALUE"""),0.5730212186339095)</f>
        <v>0.5730212186</v>
      </c>
      <c r="W609" s="30">
        <f>IFERROR(__xludf.DUMMYFUNCTION("""COMPUTED_VALUE"""),1.0687408008658006)</f>
        <v>1.068740801</v>
      </c>
      <c r="X609" s="30">
        <f>IFERROR(__xludf.DUMMYFUNCTION("""COMPUTED_VALUE"""),2.5422498760750027)</f>
        <v>2.542249876</v>
      </c>
      <c r="Y609" s="30">
        <f>IFERROR(__xludf.DUMMYFUNCTION("""COMPUTED_VALUE"""),314.6992692208622)</f>
        <v>314.6992692</v>
      </c>
      <c r="Z609" s="30">
        <f>IFERROR(__xludf.DUMMYFUNCTION("""COMPUTED_VALUE"""),0.654639278970207)</f>
        <v>0.654639279</v>
      </c>
      <c r="AA609" s="30">
        <f>IFERROR(__xludf.DUMMYFUNCTION("""COMPUTED_VALUE"""),0.454165673599389)</f>
        <v>0.4541656736</v>
      </c>
      <c r="AB609" s="30">
        <f>IFERROR(__xludf.DUMMYFUNCTION("""COMPUTED_VALUE"""),1.273551839677123)</f>
        <v>1.27355184</v>
      </c>
      <c r="AC609" s="30">
        <f>IFERROR(__xludf.DUMMYFUNCTION("""COMPUTED_VALUE"""),2.1122175533598844)</f>
        <v>2.112217553</v>
      </c>
      <c r="AD609" s="30">
        <f>IFERROR(__xludf.DUMMYFUNCTION("""COMPUTED_VALUE"""),1.0071520051022367)</f>
        <v>1.007152005</v>
      </c>
      <c r="AE609" s="30">
        <f>IFERROR(__xludf.DUMMYFUNCTION("""COMPUTED_VALUE"""),0.45826764393349695)</f>
        <v>0.4582676439</v>
      </c>
      <c r="AF609" s="30">
        <f>IFERROR(__xludf.DUMMYFUNCTION("""COMPUTED_VALUE"""),1.7614717414897918)</f>
        <v>1.761471741</v>
      </c>
      <c r="AG609" s="30">
        <f>IFERROR(__xludf.DUMMYFUNCTION("""COMPUTED_VALUE"""),1.2955891928343615)</f>
        <v>1.295589193</v>
      </c>
      <c r="AH609" s="30">
        <f>IFERROR(__xludf.DUMMYFUNCTION("""COMPUTED_VALUE"""),0.52077968874477)</f>
        <v>0.5207796887</v>
      </c>
      <c r="AI609" s="30">
        <f>IFERROR(__xludf.DUMMYFUNCTION("""COMPUTED_VALUE"""),1.029059397425232)</f>
        <v>1.029059397</v>
      </c>
      <c r="AJ609" s="30">
        <f>IFERROR(__xludf.DUMMYFUNCTION("""COMPUTED_VALUE"""),1.2539303857900885)</f>
        <v>1.253930386</v>
      </c>
      <c r="AK609" s="30">
        <f>IFERROR(__xludf.DUMMYFUNCTION("""COMPUTED_VALUE"""),1.0761672458426732)</f>
        <v>1.076167246</v>
      </c>
      <c r="AL609" s="30">
        <f>IFERROR(__xludf.DUMMYFUNCTION("""COMPUTED_VALUE"""),0.8109231592586048)</f>
        <v>0.8109231593</v>
      </c>
      <c r="AM609" s="30">
        <f>IFERROR(__xludf.DUMMYFUNCTION("""COMPUTED_VALUE"""),1.2193923300671419)</f>
        <v>1.21939233</v>
      </c>
      <c r="AN609" s="30">
        <f>IFERROR(__xludf.DUMMYFUNCTION("""COMPUTED_VALUE"""),0.9642181565678779)</f>
        <v>0.9642181566</v>
      </c>
      <c r="AO609" s="30">
        <f>IFERROR(__xludf.DUMMYFUNCTION("""COMPUTED_VALUE"""),0.3956239770349185)</f>
        <v>0.395623977</v>
      </c>
      <c r="AP609" s="30">
        <f>IFERROR(__xludf.DUMMYFUNCTION("""COMPUTED_VALUE"""),1.5515246168039514)</f>
        <v>1.551524617</v>
      </c>
      <c r="AQ609" s="30">
        <f>IFERROR(__xludf.DUMMYFUNCTION("""COMPUTED_VALUE"""),1.3759148537258876)</f>
        <v>1.375914854</v>
      </c>
      <c r="AR609" s="30">
        <f>IFERROR(__xludf.DUMMYFUNCTION("""COMPUTED_VALUE"""),0.4585745325704285)</f>
        <v>0.4585745326</v>
      </c>
      <c r="AS609" s="30">
        <f>IFERROR(__xludf.DUMMYFUNCTION("""COMPUTED_VALUE"""),33.0)</f>
        <v>33</v>
      </c>
      <c r="AT609" s="30">
        <f>IFERROR(__xludf.DUMMYFUNCTION("""COMPUTED_VALUE"""),0.288979174965501)</f>
        <v>0.288979175</v>
      </c>
      <c r="AU609" s="30">
        <f>IFERROR(__xludf.DUMMYFUNCTION("""COMPUTED_VALUE"""),2.13009483486863)</f>
        <v>2.130094835</v>
      </c>
      <c r="AV609" s="32">
        <f>IFERROR(__xludf.DUMMYFUNCTION("""COMPUTED_VALUE"""),26.914385397394106)</f>
        <v>26.9143854</v>
      </c>
      <c r="AW609" s="32">
        <f>IFERROR(__xludf.DUMMYFUNCTION("""COMPUTED_VALUE"""),-5.621356893712591)</f>
        <v>-5.621356894</v>
      </c>
      <c r="AX609" s="32">
        <f>IFERROR(__xludf.DUMMYFUNCTION("""COMPUTED_VALUE"""),37.55853592976562)</f>
        <v>37.55853593</v>
      </c>
      <c r="AY609" s="32">
        <f>IFERROR(__xludf.DUMMYFUNCTION("""COMPUTED_VALUE"""),-3.2324553041048745)</f>
        <v>-3.232455304</v>
      </c>
      <c r="AZ609" s="30">
        <f>IFERROR(__xludf.DUMMYFUNCTION("""COMPUTED_VALUE"""),2.388901589607716)</f>
        <v>2.38890159</v>
      </c>
      <c r="BA609" s="30">
        <f>IFERROR(__xludf.DUMMYFUNCTION("""COMPUTED_VALUE"""),2300.0)</f>
        <v>2300</v>
      </c>
    </row>
    <row r="610">
      <c r="A610" s="71" t="str">
        <f>IFERROR(__xludf.DUMMYFUNCTION("""COMPUTED_VALUE"""),"Challenger")</f>
        <v>Challenger</v>
      </c>
      <c r="B610" s="71" t="str">
        <f>IFERROR(__xludf.DUMMYFUNCTION("""COMPUTED_VALUE"""),"RSC007890")</f>
        <v>RSC007890</v>
      </c>
      <c r="C610" s="30" t="str">
        <f>IFERROR(__xludf.DUMMYFUNCTION("""COMPUTED_VALUE"""),"Ghost-Bacon")</f>
        <v>Ghost-Bacon</v>
      </c>
      <c r="D610" s="30" t="str">
        <f>IFERROR(__xludf.DUMMYFUNCTION("""COMPUTED_VALUE"""),"Void")</f>
        <v>Void</v>
      </c>
      <c r="E610" s="30">
        <f>IFERROR(__xludf.DUMMYFUNCTION("""COMPUTED_VALUE"""),15.0)</f>
        <v>15</v>
      </c>
      <c r="F610" s="30">
        <f>IFERROR(__xludf.DUMMYFUNCTION("""COMPUTED_VALUE"""),10.0)</f>
        <v>10</v>
      </c>
      <c r="G610" s="42">
        <f>IFERROR(__xludf.DUMMYFUNCTION("""COMPUTED_VALUE"""),5.0)</f>
        <v>5</v>
      </c>
      <c r="H610" s="42">
        <f>IFERROR(__xludf.DUMMYFUNCTION("""COMPUTED_VALUE"""),0.6666666666666666)</f>
        <v>0.6666666667</v>
      </c>
      <c r="I610" s="42">
        <f>IFERROR(__xludf.DUMMYFUNCTION("""COMPUTED_VALUE"""),0.25)</f>
        <v>0.25</v>
      </c>
      <c r="J610" s="30">
        <f>IFERROR(__xludf.DUMMYFUNCTION("""COMPUTED_VALUE"""),333.6666666666667)</f>
        <v>333.6666667</v>
      </c>
      <c r="K610" s="30">
        <f>IFERROR(__xludf.DUMMYFUNCTION("""COMPUTED_VALUE"""),0.8)</f>
        <v>0.8</v>
      </c>
      <c r="L610" s="30">
        <f>IFERROR(__xludf.DUMMYFUNCTION("""COMPUTED_VALUE"""),0.6666666666666666)</f>
        <v>0.6666666667</v>
      </c>
      <c r="M610" s="30">
        <f>IFERROR(__xludf.DUMMYFUNCTION("""COMPUTED_VALUE"""),0.8666666666666667)</f>
        <v>0.8666666667</v>
      </c>
      <c r="N610" s="30">
        <f>IFERROR(__xludf.DUMMYFUNCTION("""COMPUTED_VALUE"""),3.2)</f>
        <v>3.2</v>
      </c>
      <c r="O610" s="30">
        <f>IFERROR(__xludf.DUMMYFUNCTION("""COMPUTED_VALUE"""),301.1111111111111)</f>
        <v>301.1111111</v>
      </c>
      <c r="P610" s="30">
        <f>IFERROR(__xludf.DUMMYFUNCTION("""COMPUTED_VALUE"""),0.5555555555555556)</f>
        <v>0.5555555556</v>
      </c>
      <c r="Q610" s="30">
        <f>IFERROR(__xludf.DUMMYFUNCTION("""COMPUTED_VALUE"""),0.44444444444444436)</f>
        <v>0.4444444444</v>
      </c>
      <c r="R610" s="30">
        <f>IFERROR(__xludf.DUMMYFUNCTION("""COMPUTED_VALUE"""),1.2222222222222223)</f>
        <v>1.222222222</v>
      </c>
      <c r="S610" s="30">
        <f>IFERROR(__xludf.DUMMYFUNCTION("""COMPUTED_VALUE"""),2.177777777777778)</f>
        <v>2.177777778</v>
      </c>
      <c r="T610" s="30">
        <f>IFERROR(__xludf.DUMMYFUNCTION("""COMPUTED_VALUE"""),328.47123364569677)</f>
        <v>328.4712336</v>
      </c>
      <c r="U610" s="30">
        <f>IFERROR(__xludf.DUMMYFUNCTION("""COMPUTED_VALUE"""),0.8191580685690084)</f>
        <v>0.8191580686</v>
      </c>
      <c r="V610" s="30">
        <f>IFERROR(__xludf.DUMMYFUNCTION("""COMPUTED_VALUE"""),0.4721575632593243)</f>
        <v>0.4721575633</v>
      </c>
      <c r="W610" s="30">
        <f>IFERROR(__xludf.DUMMYFUNCTION("""COMPUTED_VALUE"""),1.1991161437849924)</f>
        <v>1.199116144</v>
      </c>
      <c r="X610" s="30">
        <f>IFERROR(__xludf.DUMMYFUNCTION("""COMPUTED_VALUE"""),2.343315108061874)</f>
        <v>2.343315108</v>
      </c>
      <c r="Y610" s="30">
        <f>IFERROR(__xludf.DUMMYFUNCTION("""COMPUTED_VALUE"""),326.35601838802086)</f>
        <v>326.3560184</v>
      </c>
      <c r="Z610" s="30">
        <f>IFERROR(__xludf.DUMMYFUNCTION("""COMPUTED_VALUE"""),0.7877743327247249)</f>
        <v>0.7877743327</v>
      </c>
      <c r="AA610" s="30">
        <f>IFERROR(__xludf.DUMMYFUNCTION("""COMPUTED_VALUE"""),0.5222376364826109)</f>
        <v>0.5222376365</v>
      </c>
      <c r="AB610" s="30">
        <f>IFERROR(__xludf.DUMMYFUNCTION("""COMPUTED_VALUE"""),1.1393166613061683)</f>
        <v>1.139316661</v>
      </c>
      <c r="AC610" s="30">
        <f>IFERROR(__xludf.DUMMYFUNCTION("""COMPUTED_VALUE"""),2.4054166559636405)</f>
        <v>2.405416656</v>
      </c>
      <c r="AD610" s="30">
        <f>IFERROR(__xludf.DUMMYFUNCTION("""COMPUTED_VALUE"""),1.0224008379399758)</f>
        <v>1.022400838</v>
      </c>
      <c r="AE610" s="30">
        <f>IFERROR(__xludf.DUMMYFUNCTION("""COMPUTED_VALUE"""),1.0155192505866362)</f>
        <v>1.015519251</v>
      </c>
      <c r="AF610" s="30">
        <f>IFERROR(__xludf.DUMMYFUNCTION("""COMPUTED_VALUE"""),1.2765580649392068)</f>
        <v>1.276558065</v>
      </c>
      <c r="AG610" s="30">
        <f>IFERROR(__xludf.DUMMYFUNCTION("""COMPUTED_VALUE"""),0.7606898907921505)</f>
        <v>0.7606898908</v>
      </c>
      <c r="AH610" s="30">
        <f>IFERROR(__xludf.DUMMYFUNCTION("""COMPUTED_VALUE"""),1.3303308564303757)</f>
        <v>1.330330856</v>
      </c>
      <c r="AI610" s="30">
        <f>IFERROR(__xludf.DUMMYFUNCTION("""COMPUTED_VALUE"""),0.9167046616809754)</f>
        <v>0.9167046617</v>
      </c>
      <c r="AJ610" s="30">
        <f>IFERROR(__xludf.DUMMYFUNCTION("""COMPUTED_VALUE"""),0.6782031171664566)</f>
        <v>0.6782031172</v>
      </c>
      <c r="AK610" s="30">
        <f>IFERROR(__xludf.DUMMYFUNCTION("""COMPUTED_VALUE"""),0.9413053586951461)</f>
        <v>0.9413053587</v>
      </c>
      <c r="AL610" s="30">
        <f>IFERROR(__xludf.DUMMYFUNCTION("""COMPUTED_VALUE"""),1.0192692580756155)</f>
        <v>1.019269258</v>
      </c>
      <c r="AM610" s="30">
        <f>IFERROR(__xludf.DUMMYFUNCTION("""COMPUTED_VALUE"""),0.9293576311121854)</f>
        <v>0.9293576311</v>
      </c>
      <c r="AN610" s="30">
        <f>IFERROR(__xludf.DUMMYFUNCTION("""COMPUTED_VALUE"""),1.015073223667714)</f>
        <v>1.015073224</v>
      </c>
      <c r="AO610" s="30">
        <f>IFERROR(__xludf.DUMMYFUNCTION("""COMPUTED_VALUE"""),1.054997272093116)</f>
        <v>1.054997272</v>
      </c>
      <c r="AP610" s="30">
        <f>IFERROR(__xludf.DUMMYFUNCTION("""COMPUTED_VALUE"""),1.2929371806699594)</f>
        <v>1.292937181</v>
      </c>
      <c r="AQ610" s="30">
        <f>IFERROR(__xludf.DUMMYFUNCTION("""COMPUTED_VALUE"""),0.7227027514519815)</f>
        <v>0.7227027515</v>
      </c>
      <c r="AR610" s="30">
        <f>IFERROR(__xludf.DUMMYFUNCTION("""COMPUTED_VALUE"""),1.3340350038412465)</f>
        <v>1.334035004</v>
      </c>
      <c r="AS610" s="30">
        <f>IFERROR(__xludf.DUMMYFUNCTION("""COMPUTED_VALUE"""),35.0)</f>
        <v>35</v>
      </c>
      <c r="AT610" s="30">
        <f>IFERROR(__xludf.DUMMYFUNCTION("""COMPUTED_VALUE"""),0.6226679444608085)</f>
        <v>0.6226679445</v>
      </c>
      <c r="AU610" s="30">
        <f>IFERROR(__xludf.DUMMYFUNCTION("""COMPUTED_VALUE"""),3.9631317648716347)</f>
        <v>3.963131765</v>
      </c>
      <c r="AV610" s="32">
        <f>IFERROR(__xludf.DUMMYFUNCTION("""COMPUTED_VALUE"""),75.38383689430998)</f>
        <v>75.38383689</v>
      </c>
      <c r="AW610" s="32">
        <f>IFERROR(__xludf.DUMMYFUNCTION("""COMPUTED_VALUE"""),6.45291676948137)</f>
        <v>6.452916769</v>
      </c>
      <c r="AX610" s="32">
        <f>IFERROR(__xludf.DUMMYFUNCTION("""COMPUTED_VALUE"""),67.89199394687554)</f>
        <v>67.89199395</v>
      </c>
      <c r="AY610" s="32">
        <f>IFERROR(__xludf.DUMMYFUNCTION("""COMPUTED_VALUE"""),4.2177265293721)</f>
        <v>4.217726529</v>
      </c>
      <c r="AZ610" s="30">
        <f>IFERROR(__xludf.DUMMYFUNCTION("""COMPUTED_VALUE"""),2.2351902401092705)</f>
        <v>2.23519024</v>
      </c>
      <c r="BA610" s="30">
        <f>IFERROR(__xludf.DUMMYFUNCTION("""COMPUTED_VALUE"""),2300.0)</f>
        <v>2300</v>
      </c>
    </row>
    <row r="611">
      <c r="A611" s="71" t="str">
        <f>IFERROR(__xludf.DUMMYFUNCTION("""COMPUTED_VALUE"""),"Challenger")</f>
        <v>Challenger</v>
      </c>
      <c r="B611" s="71" t="str">
        <f>IFERROR(__xludf.DUMMYFUNCTION("""COMPUTED_VALUE"""),"RSC006322")</f>
        <v>RSC006322</v>
      </c>
      <c r="C611" s="30" t="str">
        <f>IFERROR(__xludf.DUMMYFUNCTION("""COMPUTED_VALUE"""),"Lorak")</f>
        <v>Lorak</v>
      </c>
      <c r="D611" s="30" t="str">
        <f>IFERROR(__xludf.DUMMYFUNCTION("""COMPUTED_VALUE"""),"Deceased")</f>
        <v>Deceased</v>
      </c>
      <c r="E611" s="30">
        <f>IFERROR(__xludf.DUMMYFUNCTION("""COMPUTED_VALUE"""),30.0)</f>
        <v>30</v>
      </c>
      <c r="F611" s="30">
        <f>IFERROR(__xludf.DUMMYFUNCTION("""COMPUTED_VALUE"""),20.0)</f>
        <v>20</v>
      </c>
      <c r="G611" s="42">
        <f>IFERROR(__xludf.DUMMYFUNCTION("""COMPUTED_VALUE"""),10.0)</f>
        <v>10</v>
      </c>
      <c r="H611" s="42">
        <f>IFERROR(__xludf.DUMMYFUNCTION("""COMPUTED_VALUE"""),0.6666666666666666)</f>
        <v>0.6666666667</v>
      </c>
      <c r="I611" s="42">
        <f>IFERROR(__xludf.DUMMYFUNCTION("""COMPUTED_VALUE"""),0.33333333333333337)</f>
        <v>0.3333333333</v>
      </c>
      <c r="J611" s="30">
        <f>IFERROR(__xludf.DUMMYFUNCTION("""COMPUTED_VALUE"""),369.2)</f>
        <v>369.2</v>
      </c>
      <c r="K611" s="30">
        <f>IFERROR(__xludf.DUMMYFUNCTION("""COMPUTED_VALUE"""),0.9333333333333333)</f>
        <v>0.9333333333</v>
      </c>
      <c r="L611" s="30">
        <f>IFERROR(__xludf.DUMMYFUNCTION("""COMPUTED_VALUE"""),0.6333333333333333)</f>
        <v>0.6333333333</v>
      </c>
      <c r="M611" s="30">
        <f>IFERROR(__xludf.DUMMYFUNCTION("""COMPUTED_VALUE"""),1.4666666666666666)</f>
        <v>1.466666667</v>
      </c>
      <c r="N611" s="30">
        <f>IFERROR(__xludf.DUMMYFUNCTION("""COMPUTED_VALUE"""),2.8)</f>
        <v>2.8</v>
      </c>
      <c r="O611" s="30">
        <f>IFERROR(__xludf.DUMMYFUNCTION("""COMPUTED_VALUE"""),299.62222222222226)</f>
        <v>299.6222222</v>
      </c>
      <c r="P611" s="30">
        <f>IFERROR(__xludf.DUMMYFUNCTION("""COMPUTED_VALUE"""),0.45555555555555555)</f>
        <v>0.4555555556</v>
      </c>
      <c r="Q611" s="30">
        <f>IFERROR(__xludf.DUMMYFUNCTION("""COMPUTED_VALUE"""),0.34444444444444444)</f>
        <v>0.3444444444</v>
      </c>
      <c r="R611" s="30">
        <f>IFERROR(__xludf.DUMMYFUNCTION("""COMPUTED_VALUE"""),1.3666666666666671)</f>
        <v>1.366666667</v>
      </c>
      <c r="S611" s="30">
        <f>IFERROR(__xludf.DUMMYFUNCTION("""COMPUTED_VALUE"""),2.055555555555556)</f>
        <v>2.055555556</v>
      </c>
      <c r="T611" s="30">
        <f>IFERROR(__xludf.DUMMYFUNCTION("""COMPUTED_VALUE"""),324.6038491655275)</f>
        <v>324.6038492</v>
      </c>
      <c r="U611" s="30">
        <f>IFERROR(__xludf.DUMMYFUNCTION("""COMPUTED_VALUE"""),0.7113548037859394)</f>
        <v>0.7113548038</v>
      </c>
      <c r="V611" s="30">
        <f>IFERROR(__xludf.DUMMYFUNCTION("""COMPUTED_VALUE"""),0.46198205974670187)</f>
        <v>0.4619820597</v>
      </c>
      <c r="W611" s="30">
        <f>IFERROR(__xludf.DUMMYFUNCTION("""COMPUTED_VALUE"""),1.2685948583443825)</f>
        <v>1.268594858</v>
      </c>
      <c r="X611" s="30">
        <f>IFERROR(__xludf.DUMMYFUNCTION("""COMPUTED_VALUE"""),2.228052841789624)</f>
        <v>2.228052842</v>
      </c>
      <c r="Y611" s="30">
        <f>IFERROR(__xludf.DUMMYFUNCTION("""COMPUTED_VALUE"""),346.2328439564087)</f>
        <v>346.232844</v>
      </c>
      <c r="Z611" s="30">
        <f>IFERROR(__xludf.DUMMYFUNCTION("""COMPUTED_VALUE"""),0.860238236594403)</f>
        <v>0.8602382366</v>
      </c>
      <c r="AA611" s="30">
        <f>IFERROR(__xludf.DUMMYFUNCTION("""COMPUTED_VALUE"""),0.6073124013260148)</f>
        <v>0.6073124013</v>
      </c>
      <c r="AB611" s="30">
        <f>IFERROR(__xludf.DUMMYFUNCTION("""COMPUTED_VALUE"""),1.1471215858498938)</f>
        <v>1.147121586</v>
      </c>
      <c r="AC611" s="30">
        <f>IFERROR(__xludf.DUMMYFUNCTION("""COMPUTED_VALUE"""),2.6367994432763124)</f>
        <v>2.636799443</v>
      </c>
      <c r="AD611" s="30">
        <f>IFERROR(__xludf.DUMMYFUNCTION("""COMPUTED_VALUE"""),1.0663344233353058)</f>
        <v>1.066334423</v>
      </c>
      <c r="AE611" s="30">
        <f>IFERROR(__xludf.DUMMYFUNCTION("""COMPUTED_VALUE"""),1.0849707599935414)</f>
        <v>1.08497076</v>
      </c>
      <c r="AF611" s="30">
        <f>IFERROR(__xludf.DUMMYFUNCTION("""COMPUTED_VALUE"""),1.0428460409346227)</f>
        <v>1.042846041</v>
      </c>
      <c r="AG611" s="30">
        <f>IFERROR(__xludf.DUMMYFUNCTION("""COMPUTED_VALUE"""),1.2785625209728961)</f>
        <v>1.278562521</v>
      </c>
      <c r="AH611" s="30">
        <f>IFERROR(__xludf.DUMMYFUNCTION("""COMPUTED_VALUE"""),1.0618934280875398)</f>
        <v>1.061893428</v>
      </c>
      <c r="AI611" s="30">
        <f>IFERROR(__xludf.DUMMYFUNCTION("""COMPUTED_VALUE"""),0.9230396466107025)</f>
        <v>0.9230396466</v>
      </c>
      <c r="AJ611" s="30">
        <f>IFERROR(__xludf.DUMMYFUNCTION("""COMPUTED_VALUE"""),0.640405537617823)</f>
        <v>0.6404055376</v>
      </c>
      <c r="AK611" s="30">
        <f>IFERROR(__xludf.DUMMYFUNCTION("""COMPUTED_VALUE"""),0.7455796976906385)</f>
        <v>0.7455796977</v>
      </c>
      <c r="AL611" s="30">
        <f>IFERROR(__xludf.DUMMYFUNCTION("""COMPUTED_VALUE"""),1.0773074300886543)</f>
        <v>1.07730743</v>
      </c>
      <c r="AM611" s="30">
        <f>IFERROR(__xludf.DUMMYFUNCTION("""COMPUTED_VALUE"""),0.9225793558399116)</f>
        <v>0.9225793558</v>
      </c>
      <c r="AN611" s="30">
        <f>IFERROR(__xludf.DUMMYFUNCTION("""COMPUTED_VALUE"""),1.1231719306037562)</f>
        <v>1.123171931</v>
      </c>
      <c r="AO611" s="30">
        <f>IFERROR(__xludf.DUMMYFUNCTION("""COMPUTED_VALUE"""),1.2308301507753021)</f>
        <v>1.230830151</v>
      </c>
      <c r="AP611" s="30">
        <f>IFERROR(__xludf.DUMMYFUNCTION("""COMPUTED_VALUE"""),1.2282903216364613)</f>
        <v>1.228290322</v>
      </c>
      <c r="AQ611" s="30">
        <f>IFERROR(__xludf.DUMMYFUNCTION("""COMPUTED_VALUE"""),1.2230354255341223)</f>
        <v>1.223035426</v>
      </c>
      <c r="AR611" s="30">
        <f>IFERROR(__xludf.DUMMYFUNCTION("""COMPUTED_VALUE"""),1.1672806283610906)</f>
        <v>1.167280628</v>
      </c>
      <c r="AS611" s="30">
        <f>IFERROR(__xludf.DUMMYFUNCTION("""COMPUTED_VALUE"""),76.0)</f>
        <v>76</v>
      </c>
      <c r="AT611" s="30">
        <f>IFERROR(__xludf.DUMMYFUNCTION("""COMPUTED_VALUE"""),0.7134261543852537)</f>
        <v>0.7134261544</v>
      </c>
      <c r="AU611" s="30">
        <f>IFERROR(__xludf.DUMMYFUNCTION("""COMPUTED_VALUE"""),3.8744982732713344)</f>
        <v>3.874498273</v>
      </c>
      <c r="AV611" s="32">
        <f>IFERROR(__xludf.DUMMYFUNCTION("""COMPUTED_VALUE"""),73.0401761355952)</f>
        <v>73.04017614</v>
      </c>
      <c r="AW611" s="32">
        <f>IFERROR(__xludf.DUMMYFUNCTION("""COMPUTED_VALUE"""),5.606424793920556)</f>
        <v>5.606424794</v>
      </c>
      <c r="AX611" s="32">
        <f>IFERROR(__xludf.DUMMYFUNCTION("""COMPUTED_VALUE"""),64.09724208179063)</f>
        <v>64.09724208</v>
      </c>
      <c r="AY611" s="32">
        <f>IFERROR(__xludf.DUMMYFUNCTION("""COMPUTED_VALUE"""),3.4914420553442036)</f>
        <v>3.491442055</v>
      </c>
      <c r="AZ611" s="30">
        <f>IFERROR(__xludf.DUMMYFUNCTION("""COMPUTED_VALUE"""),2.114982738576352)</f>
        <v>2.114982739</v>
      </c>
      <c r="BA611" s="30">
        <f>IFERROR(__xludf.DUMMYFUNCTION("""COMPUTED_VALUE"""),2300.0)</f>
        <v>2300</v>
      </c>
    </row>
    <row r="612">
      <c r="A612" s="71" t="str">
        <f>IFERROR(__xludf.DUMMYFUNCTION("""COMPUTED_VALUE"""),"Challenger")</f>
        <v>Challenger</v>
      </c>
      <c r="B612" s="71" t="str">
        <f>IFERROR(__xludf.DUMMYFUNCTION("""COMPUTED_VALUE"""),"RSC002834")</f>
        <v>RSC002834</v>
      </c>
      <c r="C612" s="30" t="str">
        <f>IFERROR(__xludf.DUMMYFUNCTION("""COMPUTED_VALUE"""),"Clockwork7678")</f>
        <v>Clockwork7678</v>
      </c>
      <c r="D612" s="30" t="str">
        <f>IFERROR(__xludf.DUMMYFUNCTION("""COMPUTED_VALUE"""),"Pharaohs")</f>
        <v>Pharaohs</v>
      </c>
      <c r="E612" s="30">
        <f>IFERROR(__xludf.DUMMYFUNCTION("""COMPUTED_VALUE"""),24.0)</f>
        <v>24</v>
      </c>
      <c r="F612" s="30">
        <f>IFERROR(__xludf.DUMMYFUNCTION("""COMPUTED_VALUE"""),10.0)</f>
        <v>10</v>
      </c>
      <c r="G612" s="42">
        <f>IFERROR(__xludf.DUMMYFUNCTION("""COMPUTED_VALUE"""),14.0)</f>
        <v>14</v>
      </c>
      <c r="H612" s="42">
        <f>IFERROR(__xludf.DUMMYFUNCTION("""COMPUTED_VALUE"""),0.4166666666666667)</f>
        <v>0.4166666667</v>
      </c>
      <c r="I612" s="42">
        <f>IFERROR(__xludf.DUMMYFUNCTION("""COMPUTED_VALUE"""),0.2857142857142857)</f>
        <v>0.2857142857</v>
      </c>
      <c r="J612" s="30">
        <f>IFERROR(__xludf.DUMMYFUNCTION("""COMPUTED_VALUE"""),296.9583333333333)</f>
        <v>296.9583333</v>
      </c>
      <c r="K612" s="30">
        <f>IFERROR(__xludf.DUMMYFUNCTION("""COMPUTED_VALUE"""),0.6666666666666666)</f>
        <v>0.6666666667</v>
      </c>
      <c r="L612" s="30">
        <f>IFERROR(__xludf.DUMMYFUNCTION("""COMPUTED_VALUE"""),0.25)</f>
        <v>0.25</v>
      </c>
      <c r="M612" s="30">
        <f>IFERROR(__xludf.DUMMYFUNCTION("""COMPUTED_VALUE"""),0.875)</f>
        <v>0.875</v>
      </c>
      <c r="N612" s="30">
        <f>IFERROR(__xludf.DUMMYFUNCTION("""COMPUTED_VALUE"""),2.3333333333333335)</f>
        <v>2.333333333</v>
      </c>
      <c r="O612" s="30">
        <f>IFERROR(__xludf.DUMMYFUNCTION("""COMPUTED_VALUE"""),374.90277777777777)</f>
        <v>374.9027778</v>
      </c>
      <c r="P612" s="30">
        <f>IFERROR(__xludf.DUMMYFUNCTION("""COMPUTED_VALUE"""),0.8333333333333331)</f>
        <v>0.8333333333</v>
      </c>
      <c r="Q612" s="30">
        <f>IFERROR(__xludf.DUMMYFUNCTION("""COMPUTED_VALUE"""),0.5694444444444443)</f>
        <v>0.5694444444</v>
      </c>
      <c r="R612" s="30">
        <f>IFERROR(__xludf.DUMMYFUNCTION("""COMPUTED_VALUE"""),1.236111111111111)</f>
        <v>1.236111111</v>
      </c>
      <c r="S612" s="30">
        <f>IFERROR(__xludf.DUMMYFUNCTION("""COMPUTED_VALUE"""),2.694444444444444)</f>
        <v>2.694444444</v>
      </c>
      <c r="T612" s="30">
        <f>IFERROR(__xludf.DUMMYFUNCTION("""COMPUTED_VALUE"""),320.7982228203777)</f>
        <v>320.7982228</v>
      </c>
      <c r="U612" s="30">
        <f>IFERROR(__xludf.DUMMYFUNCTION("""COMPUTED_VALUE"""),0.6576799192785391)</f>
        <v>0.6576799193</v>
      </c>
      <c r="V612" s="30">
        <f>IFERROR(__xludf.DUMMYFUNCTION("""COMPUTED_VALUE"""),0.488465577052688)</f>
        <v>0.4884655771</v>
      </c>
      <c r="W612" s="30">
        <f>IFERROR(__xludf.DUMMYFUNCTION("""COMPUTED_VALUE"""),1.1703366394440395)</f>
        <v>1.170336639</v>
      </c>
      <c r="X612" s="30">
        <f>IFERROR(__xludf.DUMMYFUNCTION("""COMPUTED_VALUE"""),2.3604895253934832)</f>
        <v>2.360489525</v>
      </c>
      <c r="Y612" s="30">
        <f>IFERROR(__xludf.DUMMYFUNCTION("""COMPUTED_VALUE"""),342.4689569227315)</f>
        <v>342.4689569</v>
      </c>
      <c r="Z612" s="30">
        <f>IFERROR(__xludf.DUMMYFUNCTION("""COMPUTED_VALUE"""),0.7985492814751406)</f>
        <v>0.7985492815</v>
      </c>
      <c r="AA612" s="30">
        <f>IFERROR(__xludf.DUMMYFUNCTION("""COMPUTED_VALUE"""),0.5235845673852307)</f>
        <v>0.5235845674</v>
      </c>
      <c r="AB612" s="30">
        <f>IFERROR(__xludf.DUMMYFUNCTION("""COMPUTED_VALUE"""),1.3030974640058006)</f>
        <v>1.303097464</v>
      </c>
      <c r="AC612" s="30">
        <f>IFERROR(__xludf.DUMMYFUNCTION("""COMPUTED_VALUE"""),2.411617493341842)</f>
        <v>2.411617493</v>
      </c>
      <c r="AD612" s="30">
        <f>IFERROR(__xludf.DUMMYFUNCTION("""COMPUTED_VALUE"""),0.8671102221984273)</f>
        <v>0.8671102222</v>
      </c>
      <c r="AE612" s="30">
        <f>IFERROR(__xludf.DUMMYFUNCTION("""COMPUTED_VALUE"""),0.8348472437858182)</f>
        <v>0.8348472438</v>
      </c>
      <c r="AF612" s="30">
        <f>IFERROR(__xludf.DUMMYFUNCTION("""COMPUTED_VALUE"""),0.47747778596396423)</f>
        <v>0.477477786</v>
      </c>
      <c r="AG612" s="30">
        <f>IFERROR(__xludf.DUMMYFUNCTION("""COMPUTED_VALUE"""),0.6714770185418034)</f>
        <v>0.6714770185</v>
      </c>
      <c r="AH612" s="30">
        <f>IFERROR(__xludf.DUMMYFUNCTION("""COMPUTED_VALUE"""),0.9675387327282867)</f>
        <v>0.9675387327</v>
      </c>
      <c r="AI612" s="30">
        <f>IFERROR(__xludf.DUMMYFUNCTION("""COMPUTED_VALUE"""),1.1686560308274976)</f>
        <v>1.168656031</v>
      </c>
      <c r="AJ612" s="30">
        <f>IFERROR(__xludf.DUMMYFUNCTION("""COMPUTED_VALUE"""),1.267080397174787)</f>
        <v>1.267080397</v>
      </c>
      <c r="AK612" s="30">
        <f>IFERROR(__xludf.DUMMYFUNCTION("""COMPUTED_VALUE"""),1.1657821373624073)</f>
        <v>1.165782137</v>
      </c>
      <c r="AL612" s="30">
        <f>IFERROR(__xludf.DUMMYFUNCTION("""COMPUTED_VALUE"""),1.0562013265673005)</f>
        <v>1.056201327</v>
      </c>
      <c r="AM612" s="30">
        <f>IFERROR(__xludf.DUMMYFUNCTION("""COMPUTED_VALUE"""),1.1414769756266097)</f>
        <v>1.141476976</v>
      </c>
      <c r="AN612" s="30">
        <f>IFERROR(__xludf.DUMMYFUNCTION("""COMPUTED_VALUE"""),0.9033999581767979)</f>
        <v>0.9033999582</v>
      </c>
      <c r="AO612" s="30">
        <f>IFERROR(__xludf.DUMMYFUNCTION("""COMPUTED_VALUE"""),0.87916439341093)</f>
        <v>0.8791643934</v>
      </c>
      <c r="AP612" s="30">
        <f>IFERROR(__xludf.DUMMYFUNCTION("""COMPUTED_VALUE"""),0.4848514427512348)</f>
        <v>0.4848514428</v>
      </c>
      <c r="AQ612" s="30">
        <f>IFERROR(__xludf.DUMMYFUNCTION("""COMPUTED_VALUE"""),0.7296518163697889)</f>
        <v>0.7296518164</v>
      </c>
      <c r="AR612" s="30">
        <f>IFERROR(__xludf.DUMMYFUNCTION("""COMPUTED_VALUE"""),0.9727338569675755)</f>
        <v>0.972733857</v>
      </c>
      <c r="AS612" s="30">
        <f>IFERROR(__xludf.DUMMYFUNCTION("""COMPUTED_VALUE"""),43.0)</f>
        <v>43</v>
      </c>
      <c r="AT612" s="30">
        <f>IFERROR(__xludf.DUMMYFUNCTION("""COMPUTED_VALUE"""),0.3761191860318674)</f>
        <v>0.376119186</v>
      </c>
      <c r="AU612" s="30">
        <f>IFERROR(__xludf.DUMMYFUNCTION("""COMPUTED_VALUE"""),2.0448447482675007)</f>
        <v>2.044844748</v>
      </c>
      <c r="AV612" s="32">
        <f>IFERROR(__xludf.DUMMYFUNCTION("""COMPUTED_VALUE"""),24.66018916708982)</f>
        <v>24.66018917</v>
      </c>
      <c r="AW612" s="32">
        <f>IFERROR(__xludf.DUMMYFUNCTION("""COMPUTED_VALUE"""),-6.435477091736073)</f>
        <v>-6.435477092</v>
      </c>
      <c r="AX612" s="32">
        <f>IFERROR(__xludf.DUMMYFUNCTION("""COMPUTED_VALUE"""),31.553318204617593)</f>
        <v>31.5533182</v>
      </c>
      <c r="AY612" s="32">
        <f>IFERROR(__xludf.DUMMYFUNCTION("""COMPUTED_VALUE"""),-4.342208507440034)</f>
        <v>-4.342208507</v>
      </c>
      <c r="AZ612" s="30">
        <f>IFERROR(__xludf.DUMMYFUNCTION("""COMPUTED_VALUE"""),2.0932685842960383)</f>
        <v>2.093268584</v>
      </c>
      <c r="BA612" s="30">
        <f>IFERROR(__xludf.DUMMYFUNCTION("""COMPUTED_VALUE"""),2300.0)</f>
        <v>2300</v>
      </c>
    </row>
    <row r="613">
      <c r="A613" s="71" t="str">
        <f>IFERROR(__xludf.DUMMYFUNCTION("""COMPUTED_VALUE"""),"Challenger")</f>
        <v>Challenger</v>
      </c>
      <c r="B613" s="71" t="str">
        <f>IFERROR(__xludf.DUMMYFUNCTION("""COMPUTED_VALUE"""),"RSC004817")</f>
        <v>RSC004817</v>
      </c>
      <c r="C613" s="30" t="str">
        <f>IFERROR(__xludf.DUMMYFUNCTION("""COMPUTED_VALUE"""),"crybound")</f>
        <v>crybound</v>
      </c>
      <c r="D613" s="30" t="str">
        <f>IFERROR(__xludf.DUMMYFUNCTION("""COMPUTED_VALUE"""),"Chromatic Chaos")</f>
        <v>Chromatic Chaos</v>
      </c>
      <c r="E613" s="30">
        <f>IFERROR(__xludf.DUMMYFUNCTION("""COMPUTED_VALUE"""),23.0)</f>
        <v>23</v>
      </c>
      <c r="F613" s="30">
        <f>IFERROR(__xludf.DUMMYFUNCTION("""COMPUTED_VALUE"""),10.0)</f>
        <v>10</v>
      </c>
      <c r="G613" s="42">
        <f>IFERROR(__xludf.DUMMYFUNCTION("""COMPUTED_VALUE"""),13.0)</f>
        <v>13</v>
      </c>
      <c r="H613" s="42">
        <f>IFERROR(__xludf.DUMMYFUNCTION("""COMPUTED_VALUE"""),0.43478260869565216)</f>
        <v>0.4347826087</v>
      </c>
      <c r="I613" s="42">
        <f>IFERROR(__xludf.DUMMYFUNCTION("""COMPUTED_VALUE"""),0.3018867924528302)</f>
        <v>0.3018867925</v>
      </c>
      <c r="J613" s="30">
        <f>IFERROR(__xludf.DUMMYFUNCTION("""COMPUTED_VALUE"""),301.2608695652174)</f>
        <v>301.2608696</v>
      </c>
      <c r="K613" s="30">
        <f>IFERROR(__xludf.DUMMYFUNCTION("""COMPUTED_VALUE"""),0.6956521739130435)</f>
        <v>0.6956521739</v>
      </c>
      <c r="L613" s="30">
        <f>IFERROR(__xludf.DUMMYFUNCTION("""COMPUTED_VALUE"""),0.5217391304347826)</f>
        <v>0.5217391304</v>
      </c>
      <c r="M613" s="30">
        <f>IFERROR(__xludf.DUMMYFUNCTION("""COMPUTED_VALUE"""),1.0)</f>
        <v>1</v>
      </c>
      <c r="N613" s="30">
        <f>IFERROR(__xludf.DUMMYFUNCTION("""COMPUTED_VALUE"""),2.3043478260869565)</f>
        <v>2.304347826</v>
      </c>
      <c r="O613" s="30">
        <f>IFERROR(__xludf.DUMMYFUNCTION("""COMPUTED_VALUE"""),347.9855072463768)</f>
        <v>347.9855072</v>
      </c>
      <c r="P613" s="30">
        <f>IFERROR(__xludf.DUMMYFUNCTION("""COMPUTED_VALUE"""),0.9275362318840579)</f>
        <v>0.9275362319</v>
      </c>
      <c r="Q613" s="30">
        <f>IFERROR(__xludf.DUMMYFUNCTION("""COMPUTED_VALUE"""),0.5652173913043478)</f>
        <v>0.5652173913</v>
      </c>
      <c r="R613" s="30">
        <f>IFERROR(__xludf.DUMMYFUNCTION("""COMPUTED_VALUE"""),1.1884057971014494)</f>
        <v>1.188405797</v>
      </c>
      <c r="S613" s="30">
        <f>IFERROR(__xludf.DUMMYFUNCTION("""COMPUTED_VALUE"""),2.840579710144927)</f>
        <v>2.84057971</v>
      </c>
      <c r="T613" s="30">
        <f>IFERROR(__xludf.DUMMYFUNCTION("""COMPUTED_VALUE"""),332.2961533545671)</f>
        <v>332.2961534</v>
      </c>
      <c r="U613" s="30">
        <f>IFERROR(__xludf.DUMMYFUNCTION("""COMPUTED_VALUE"""),0.785085735097366)</f>
        <v>0.7850857351</v>
      </c>
      <c r="V613" s="30">
        <f>IFERROR(__xludf.DUMMYFUNCTION("""COMPUTED_VALUE"""),0.5367294007914845)</f>
        <v>0.5367294008</v>
      </c>
      <c r="W613" s="30">
        <f>IFERROR(__xludf.DUMMYFUNCTION("""COMPUTED_VALUE"""),1.1507141222414339)</f>
        <v>1.150714122</v>
      </c>
      <c r="X613" s="30">
        <f>IFERROR(__xludf.DUMMYFUNCTION("""COMPUTED_VALUE"""),2.5134608742566895)</f>
        <v>2.513460874</v>
      </c>
      <c r="Y613" s="30">
        <f>IFERROR(__xludf.DUMMYFUNCTION("""COMPUTED_VALUE"""),343.19919055010746)</f>
        <v>343.1991906</v>
      </c>
      <c r="Z613" s="30">
        <f>IFERROR(__xludf.DUMMYFUNCTION("""COMPUTED_VALUE"""),0.7970364323480877)</f>
        <v>0.7970364323</v>
      </c>
      <c r="AA613" s="30">
        <f>IFERROR(__xludf.DUMMYFUNCTION("""COMPUTED_VALUE"""),0.5490562785284685)</f>
        <v>0.5490562785</v>
      </c>
      <c r="AB613" s="30">
        <f>IFERROR(__xludf.DUMMYFUNCTION("""COMPUTED_VALUE"""),1.2693241447059553)</f>
        <v>1.269324145</v>
      </c>
      <c r="AC613" s="30">
        <f>IFERROR(__xludf.DUMMYFUNCTION("""COMPUTED_VALUE"""),2.4459177055498773)</f>
        <v>2.445917706</v>
      </c>
      <c r="AD613" s="30">
        <f>IFERROR(__xludf.DUMMYFUNCTION("""COMPUTED_VALUE"""),0.8778018068234137)</f>
        <v>0.8778018068</v>
      </c>
      <c r="AE613" s="30">
        <f>IFERROR(__xludf.DUMMYFUNCTION("""COMPUTED_VALUE"""),0.872798464009526)</f>
        <v>0.872798464</v>
      </c>
      <c r="AF613" s="30">
        <f>IFERROR(__xludf.DUMMYFUNCTION("""COMPUTED_VALUE"""),0.9502470891200828)</f>
        <v>0.9502470891</v>
      </c>
      <c r="AG613" s="30">
        <f>IFERROR(__xludf.DUMMYFUNCTION("""COMPUTED_VALUE"""),0.7878208290378456)</f>
        <v>0.787820829</v>
      </c>
      <c r="AH613" s="30">
        <f>IFERROR(__xludf.DUMMYFUNCTION("""COMPUTED_VALUE"""),0.9421199334950258)</f>
        <v>0.9421199335</v>
      </c>
      <c r="AI613" s="30">
        <f>IFERROR(__xludf.DUMMYFUNCTION("""COMPUTED_VALUE"""),1.0472149729493523)</f>
        <v>1.047214973</v>
      </c>
      <c r="AJ613" s="30">
        <f>IFERROR(__xludf.DUMMYFUNCTION("""COMPUTED_VALUE"""),1.1814457840951922)</f>
        <v>1.181445784</v>
      </c>
      <c r="AK613" s="30">
        <f>IFERROR(__xludf.DUMMYFUNCTION("""COMPUTED_VALUE"""),1.0530770076520006)</f>
        <v>1.053077008</v>
      </c>
      <c r="AL613" s="30">
        <f>IFERROR(__xludf.DUMMYFUNCTION("""COMPUTED_VALUE"""),1.0327550293608958)</f>
        <v>1.032755029</v>
      </c>
      <c r="AM613" s="30">
        <f>IFERROR(__xludf.DUMMYFUNCTION("""COMPUTED_VALUE"""),1.1301467785867074)</f>
        <v>1.130146779</v>
      </c>
      <c r="AN613" s="30">
        <f>IFERROR(__xludf.DUMMYFUNCTION("""COMPUTED_VALUE"""),0.9164890370664452)</f>
        <v>0.9164890371</v>
      </c>
      <c r="AO613" s="30">
        <f>IFERROR(__xludf.DUMMYFUNCTION("""COMPUTED_VALUE"""),0.9173889322548835)</f>
        <v>0.9173889323</v>
      </c>
      <c r="AP613" s="30">
        <f>IFERROR(__xludf.DUMMYFUNCTION("""COMPUTED_VALUE"""),1.011863880524316)</f>
        <v>1.011863881</v>
      </c>
      <c r="AQ613" s="30">
        <f>IFERROR(__xludf.DUMMYFUNCTION("""COMPUTED_VALUE"""),0.8338877901369016)</f>
        <v>0.8338877901</v>
      </c>
      <c r="AR613" s="30">
        <f>IFERROR(__xludf.DUMMYFUNCTION("""COMPUTED_VALUE"""),0.9606502065704627)</f>
        <v>0.9606502066</v>
      </c>
      <c r="AS613" s="30">
        <f>IFERROR(__xludf.DUMMYFUNCTION("""COMPUTED_VALUE"""),60.0)</f>
        <v>60</v>
      </c>
      <c r="AT613" s="30">
        <f>IFERROR(__xludf.DUMMYFUNCTION("""COMPUTED_VALUE"""),0.4738567897796502)</f>
        <v>0.4738567898</v>
      </c>
      <c r="AU613" s="30">
        <f>IFERROR(__xludf.DUMMYFUNCTION("""COMPUTED_VALUE"""),2.617493168124105)</f>
        <v>2.617493168</v>
      </c>
      <c r="AV613" s="32">
        <f>IFERROR(__xludf.DUMMYFUNCTION("""COMPUTED_VALUE"""),39.802248967805184)</f>
        <v>39.80224897</v>
      </c>
      <c r="AW613" s="32">
        <f>IFERROR(__xludf.DUMMYFUNCTION("""COMPUTED_VALUE"""),-2.9268019111398544)</f>
        <v>-2.926801911</v>
      </c>
      <c r="AX613" s="32">
        <f>IFERROR(__xludf.DUMMYFUNCTION("""COMPUTED_VALUE"""),29.046489307851157)</f>
        <v>29.04648931</v>
      </c>
      <c r="AY613" s="32">
        <f>IFERROR(__xludf.DUMMYFUNCTION("""COMPUTED_VALUE"""),-4.975720476304417)</f>
        <v>-4.975720476</v>
      </c>
      <c r="AZ613" s="30">
        <f>IFERROR(__xludf.DUMMYFUNCTION("""COMPUTED_VALUE"""),2.0489185651645627)</f>
        <v>2.048918565</v>
      </c>
      <c r="BA613" s="30">
        <f>IFERROR(__xludf.DUMMYFUNCTION("""COMPUTED_VALUE"""),2300.0)</f>
        <v>2300</v>
      </c>
    </row>
    <row r="614">
      <c r="A614" s="71" t="str">
        <f>IFERROR(__xludf.DUMMYFUNCTION("""COMPUTED_VALUE"""),"Challenger")</f>
        <v>Challenger</v>
      </c>
      <c r="B614" s="71" t="str">
        <f>IFERROR(__xludf.DUMMYFUNCTION("""COMPUTED_VALUE"""),"RSC001933")</f>
        <v>RSC001933</v>
      </c>
      <c r="C614" s="30" t="str">
        <f>IFERROR(__xludf.DUMMYFUNCTION("""COMPUTED_VALUE"""),"Ducky")</f>
        <v>Ducky</v>
      </c>
      <c r="D614" s="30" t="str">
        <f>IFERROR(__xludf.DUMMYFUNCTION("""COMPUTED_VALUE"""),"Spearmint")</f>
        <v>Spearmint</v>
      </c>
      <c r="E614" s="30">
        <f>IFERROR(__xludf.DUMMYFUNCTION("""COMPUTED_VALUE"""),22.0)</f>
        <v>22</v>
      </c>
      <c r="F614" s="30">
        <f>IFERROR(__xludf.DUMMYFUNCTION("""COMPUTED_VALUE"""),6.0)</f>
        <v>6</v>
      </c>
      <c r="G614" s="42">
        <f>IFERROR(__xludf.DUMMYFUNCTION("""COMPUTED_VALUE"""),16.0)</f>
        <v>16</v>
      </c>
      <c r="H614" s="42">
        <f>IFERROR(__xludf.DUMMYFUNCTION("""COMPUTED_VALUE"""),0.2727272727272727)</f>
        <v>0.2727272727</v>
      </c>
      <c r="I614" s="42">
        <f>IFERROR(__xludf.DUMMYFUNCTION("""COMPUTED_VALUE"""),0.3695652173913044)</f>
        <v>0.3695652174</v>
      </c>
      <c r="J614" s="30">
        <f>IFERROR(__xludf.DUMMYFUNCTION("""COMPUTED_VALUE"""),330.77272727272725)</f>
        <v>330.7727273</v>
      </c>
      <c r="K614" s="30">
        <f>IFERROR(__xludf.DUMMYFUNCTION("""COMPUTED_VALUE"""),0.7727272727272727)</f>
        <v>0.7727272727</v>
      </c>
      <c r="L614" s="30">
        <f>IFERROR(__xludf.DUMMYFUNCTION("""COMPUTED_VALUE"""),0.3181818181818182)</f>
        <v>0.3181818182</v>
      </c>
      <c r="M614" s="30">
        <f>IFERROR(__xludf.DUMMYFUNCTION("""COMPUTED_VALUE"""),1.3181818181818181)</f>
        <v>1.318181818</v>
      </c>
      <c r="N614" s="30">
        <f>IFERROR(__xludf.DUMMYFUNCTION("""COMPUTED_VALUE"""),2.090909090909091)</f>
        <v>2.090909091</v>
      </c>
      <c r="O614" s="30">
        <f>IFERROR(__xludf.DUMMYFUNCTION("""COMPUTED_VALUE"""),359.54545454545456)</f>
        <v>359.5454545</v>
      </c>
      <c r="P614" s="30">
        <f>IFERROR(__xludf.DUMMYFUNCTION("""COMPUTED_VALUE"""),1.0606060606060608)</f>
        <v>1.060606061</v>
      </c>
      <c r="Q614" s="30">
        <f>IFERROR(__xludf.DUMMYFUNCTION("""COMPUTED_VALUE"""),0.7272727272727273)</f>
        <v>0.7272727273</v>
      </c>
      <c r="R614" s="30">
        <f>IFERROR(__xludf.DUMMYFUNCTION("""COMPUTED_VALUE"""),0.9848484848484849)</f>
        <v>0.9848484848</v>
      </c>
      <c r="S614" s="30">
        <f>IFERROR(__xludf.DUMMYFUNCTION("""COMPUTED_VALUE"""),2.8181818181818183)</f>
        <v>2.818181818</v>
      </c>
      <c r="T614" s="30">
        <f>IFERROR(__xludf.DUMMYFUNCTION("""COMPUTED_VALUE"""),341.26804099473446)</f>
        <v>341.268041</v>
      </c>
      <c r="U614" s="30">
        <f>IFERROR(__xludf.DUMMYFUNCTION("""COMPUTED_VALUE"""),0.8023700040946512)</f>
        <v>0.8023700041</v>
      </c>
      <c r="V614" s="30">
        <f>IFERROR(__xludf.DUMMYFUNCTION("""COMPUTED_VALUE"""),0.5554116257972944)</f>
        <v>0.5554116258</v>
      </c>
      <c r="W614" s="30">
        <f>IFERROR(__xludf.DUMMYFUNCTION("""COMPUTED_VALUE"""),1.2575868868228424)</f>
        <v>1.257586887</v>
      </c>
      <c r="X614" s="30">
        <f>IFERROR(__xludf.DUMMYFUNCTION("""COMPUTED_VALUE"""),2.4608961694168245)</f>
        <v>2.460896169</v>
      </c>
      <c r="Y614" s="30">
        <f>IFERROR(__xludf.DUMMYFUNCTION("""COMPUTED_VALUE"""),326.09973570703664)</f>
        <v>326.0997357</v>
      </c>
      <c r="Z614" s="30">
        <f>IFERROR(__xludf.DUMMYFUNCTION("""COMPUTED_VALUE"""),0.7346248698129845)</f>
        <v>0.7346248698</v>
      </c>
      <c r="AA614" s="30">
        <f>IFERROR(__xludf.DUMMYFUNCTION("""COMPUTED_VALUE"""),0.49710428762551684)</f>
        <v>0.4971042876</v>
      </c>
      <c r="AB614" s="30">
        <f>IFERROR(__xludf.DUMMYFUNCTION("""COMPUTED_VALUE"""),1.1782604104164038)</f>
        <v>1.17826041</v>
      </c>
      <c r="AC614" s="30">
        <f>IFERROR(__xludf.DUMMYFUNCTION("""COMPUTED_VALUE"""),2.3678953153959497)</f>
        <v>2.367895315</v>
      </c>
      <c r="AD614" s="30">
        <f>IFERROR(__xludf.DUMMYFUNCTION("""COMPUTED_VALUE"""),1.014329945884681)</f>
        <v>1.014329946</v>
      </c>
      <c r="AE614" s="30">
        <f>IFERROR(__xludf.DUMMYFUNCTION("""COMPUTED_VALUE"""),1.0518664756394485)</f>
        <v>1.051866476</v>
      </c>
      <c r="AF614" s="30">
        <f>IFERROR(__xludf.DUMMYFUNCTION("""COMPUTED_VALUE"""),0.640070556827532)</f>
        <v>0.6400705568</v>
      </c>
      <c r="AG614" s="30">
        <f>IFERROR(__xludf.DUMMYFUNCTION("""COMPUTED_VALUE"""),1.118752532571272)</f>
        <v>1.118752533</v>
      </c>
      <c r="AH614" s="30">
        <f>IFERROR(__xludf.DUMMYFUNCTION("""COMPUTED_VALUE"""),0.8830242947456728)</f>
        <v>0.8830242947</v>
      </c>
      <c r="AI614" s="30">
        <f>IFERROR(__xludf.DUMMYFUNCTION("""COMPUTED_VALUE"""),1.0535573547919832)</f>
        <v>1.053557355</v>
      </c>
      <c r="AJ614" s="30">
        <f>IFERROR(__xludf.DUMMYFUNCTION("""COMPUTED_VALUE"""),1.3218416132128326)</f>
        <v>1.321841613</v>
      </c>
      <c r="AK614" s="30">
        <f>IFERROR(__xludf.DUMMYFUNCTION("""COMPUTED_VALUE"""),1.309430147827255)</f>
        <v>1.309430148</v>
      </c>
      <c r="AL614" s="30">
        <f>IFERROR(__xludf.DUMMYFUNCTION("""COMPUTED_VALUE"""),0.7831255996447278)</f>
        <v>0.7831255996</v>
      </c>
      <c r="AM614" s="30">
        <f>IFERROR(__xludf.DUMMYFUNCTION("""COMPUTED_VALUE"""),1.145185178149821)</f>
        <v>1.145185178</v>
      </c>
      <c r="AN614" s="30">
        <f>IFERROR(__xludf.DUMMYFUNCTION("""COMPUTED_VALUE"""),1.0062693463758905)</f>
        <v>1.006269346</v>
      </c>
      <c r="AO614" s="30">
        <f>IFERROR(__xludf.DUMMYFUNCTION("""COMPUTED_VALUE"""),1.0190314559990326)</f>
        <v>1.019031456</v>
      </c>
      <c r="AP614" s="30">
        <f>IFERROR(__xludf.DUMMYFUNCTION("""COMPUTED_VALUE"""),0.6170836544106625)</f>
        <v>0.6170836544</v>
      </c>
      <c r="AQ614" s="30">
        <f>IFERROR(__xludf.DUMMYFUNCTION("""COMPUTED_VALUE"""),1.0992157233622795)</f>
        <v>1.099215723</v>
      </c>
      <c r="AR614" s="30">
        <f>IFERROR(__xludf.DUMMYFUNCTION("""COMPUTED_VALUE"""),0.8716705991008143)</f>
        <v>0.8716705991</v>
      </c>
      <c r="AS614" s="30">
        <f>IFERROR(__xludf.DUMMYFUNCTION("""COMPUTED_VALUE"""),38.0)</f>
        <v>38</v>
      </c>
      <c r="AT614" s="30">
        <f>IFERROR(__xludf.DUMMYFUNCTION("""COMPUTED_VALUE"""),0.2759818268233028)</f>
        <v>0.2759818268</v>
      </c>
      <c r="AU614" s="30">
        <f>IFERROR(__xludf.DUMMYFUNCTION("""COMPUTED_VALUE"""),2.348357420919721)</f>
        <v>2.348357421</v>
      </c>
      <c r="AV614" s="32">
        <f>IFERROR(__xludf.DUMMYFUNCTION("""COMPUTED_VALUE"""),32.68571910869987)</f>
        <v>32.68571911</v>
      </c>
      <c r="AW614" s="32">
        <f>IFERROR(__xludf.DUMMYFUNCTION("""COMPUTED_VALUE"""),-4.09350660521726)</f>
        <v>-4.093506605</v>
      </c>
      <c r="AX614" s="32">
        <f>IFERROR(__xludf.DUMMYFUNCTION("""COMPUTED_VALUE"""),46.91570378290961)</f>
        <v>46.91570378</v>
      </c>
      <c r="AY614" s="32">
        <f>IFERROR(__xludf.DUMMYFUNCTION("""COMPUTED_VALUE"""),-2.217755543671121)</f>
        <v>-2.217755544</v>
      </c>
      <c r="AZ614" s="30">
        <f>IFERROR(__xludf.DUMMYFUNCTION("""COMPUTED_VALUE"""),1.875751061546139)</f>
        <v>1.875751062</v>
      </c>
      <c r="BA614" s="30">
        <f>IFERROR(__xludf.DUMMYFUNCTION("""COMPUTED_VALUE"""),2300.0)</f>
        <v>2300</v>
      </c>
    </row>
    <row r="615">
      <c r="A615" s="71" t="str">
        <f>IFERROR(__xludf.DUMMYFUNCTION("""COMPUTED_VALUE"""),"Challenger")</f>
        <v>Challenger</v>
      </c>
      <c r="B615" s="71" t="str">
        <f>IFERROR(__xludf.DUMMYFUNCTION("""COMPUTED_VALUE"""),"RSC004618")</f>
        <v>RSC004618</v>
      </c>
      <c r="C615" s="30" t="str">
        <f>IFERROR(__xludf.DUMMYFUNCTION("""COMPUTED_VALUE"""),"Squirrel")</f>
        <v>Squirrel</v>
      </c>
      <c r="D615" s="30" t="str">
        <f>IFERROR(__xludf.DUMMYFUNCTION("""COMPUTED_VALUE"""),"Mugged")</f>
        <v>Mugged</v>
      </c>
      <c r="E615" s="30">
        <f>IFERROR(__xludf.DUMMYFUNCTION("""COMPUTED_VALUE"""),11.0)</f>
        <v>11</v>
      </c>
      <c r="F615" s="30">
        <f>IFERROR(__xludf.DUMMYFUNCTION("""COMPUTED_VALUE"""),6.0)</f>
        <v>6</v>
      </c>
      <c r="G615" s="42">
        <f>IFERROR(__xludf.DUMMYFUNCTION("""COMPUTED_VALUE"""),5.0)</f>
        <v>5</v>
      </c>
      <c r="H615" s="42">
        <f>IFERROR(__xludf.DUMMYFUNCTION("""COMPUTED_VALUE"""),0.5454545454545454)</f>
        <v>0.5454545455</v>
      </c>
      <c r="I615" s="42">
        <f>IFERROR(__xludf.DUMMYFUNCTION("""COMPUTED_VALUE"""),0.43478260869565216)</f>
        <v>0.4347826087</v>
      </c>
      <c r="J615" s="30">
        <f>IFERROR(__xludf.DUMMYFUNCTION("""COMPUTED_VALUE"""),441.3636363636364)</f>
        <v>441.3636364</v>
      </c>
      <c r="K615" s="30">
        <f>IFERROR(__xludf.DUMMYFUNCTION("""COMPUTED_VALUE"""),0.9090909090909091)</f>
        <v>0.9090909091</v>
      </c>
      <c r="L615" s="30">
        <f>IFERROR(__xludf.DUMMYFUNCTION("""COMPUTED_VALUE"""),0.5454545454545454)</f>
        <v>0.5454545455</v>
      </c>
      <c r="M615" s="30">
        <f>IFERROR(__xludf.DUMMYFUNCTION("""COMPUTED_VALUE"""),2.0)</f>
        <v>2</v>
      </c>
      <c r="N615" s="30">
        <f>IFERROR(__xludf.DUMMYFUNCTION("""COMPUTED_VALUE"""),2.090909090909091)</f>
        <v>2.090909091</v>
      </c>
      <c r="O615" s="30">
        <f>IFERROR(__xludf.DUMMYFUNCTION("""COMPUTED_VALUE"""),332.09090909090907)</f>
        <v>332.0909091</v>
      </c>
      <c r="P615" s="30">
        <f>IFERROR(__xludf.DUMMYFUNCTION("""COMPUTED_VALUE"""),0.7575757575757575)</f>
        <v>0.7575757576</v>
      </c>
      <c r="Q615" s="30">
        <f>IFERROR(__xludf.DUMMYFUNCTION("""COMPUTED_VALUE"""),0.42424242424242425)</f>
        <v>0.4242424242</v>
      </c>
      <c r="R615" s="30">
        <f>IFERROR(__xludf.DUMMYFUNCTION("""COMPUTED_VALUE"""),1.1818181818181819)</f>
        <v>1.181818182</v>
      </c>
      <c r="S615" s="30">
        <f>IFERROR(__xludf.DUMMYFUNCTION("""COMPUTED_VALUE"""),2.96969696969697)</f>
        <v>2.96969697</v>
      </c>
      <c r="T615" s="30">
        <f>IFERROR(__xludf.DUMMYFUNCTION("""COMPUTED_VALUE"""),334.646578626652)</f>
        <v>334.6465786</v>
      </c>
      <c r="U615" s="30">
        <f>IFERROR(__xludf.DUMMYFUNCTION("""COMPUTED_VALUE"""),0.7900258608286467)</f>
        <v>0.7900258608</v>
      </c>
      <c r="V615" s="30">
        <f>IFERROR(__xludf.DUMMYFUNCTION("""COMPUTED_VALUE"""),0.5211512961622933)</f>
        <v>0.5211512962</v>
      </c>
      <c r="W615" s="30">
        <f>IFERROR(__xludf.DUMMYFUNCTION("""COMPUTED_VALUE"""),1.159504523661415)</f>
        <v>1.159504524</v>
      </c>
      <c r="X615" s="30">
        <f>IFERROR(__xludf.DUMMYFUNCTION("""COMPUTED_VALUE"""),2.5643030324188683)</f>
        <v>2.564303032</v>
      </c>
      <c r="Y615" s="30">
        <f>IFERROR(__xludf.DUMMYFUNCTION("""COMPUTED_VALUE"""),320.41595403835873)</f>
        <v>320.415954</v>
      </c>
      <c r="Z615" s="30">
        <f>IFERROR(__xludf.DUMMYFUNCTION("""COMPUTED_VALUE"""),0.6560127228858902)</f>
        <v>0.6560127229</v>
      </c>
      <c r="AA615" s="30">
        <f>IFERROR(__xludf.DUMMYFUNCTION("""COMPUTED_VALUE"""),0.45411177477893006)</f>
        <v>0.4541117748</v>
      </c>
      <c r="AB615" s="30">
        <f>IFERROR(__xludf.DUMMYFUNCTION("""COMPUTED_VALUE"""),1.2174627665426785)</f>
        <v>1.217462767</v>
      </c>
      <c r="AC615" s="30">
        <f>IFERROR(__xludf.DUMMYFUNCTION("""COMPUTED_VALUE"""),2.2577021788898617)</f>
        <v>2.257702179</v>
      </c>
      <c r="AD615" s="30">
        <f>IFERROR(__xludf.DUMMYFUNCTION("""COMPUTED_VALUE"""),1.3774708493784873)</f>
        <v>1.377470849</v>
      </c>
      <c r="AE615" s="30">
        <f>IFERROR(__xludf.DUMMYFUNCTION("""COMPUTED_VALUE"""),1.3857824358827877)</f>
        <v>1.385782436</v>
      </c>
      <c r="AF615" s="30">
        <f>IFERROR(__xludf.DUMMYFUNCTION("""COMPUTED_VALUE"""),1.20114600798467)</f>
        <v>1.201146008</v>
      </c>
      <c r="AG615" s="30">
        <f>IFERROR(__xludf.DUMMYFUNCTION("""COMPUTED_VALUE"""),1.6427607110150497)</f>
        <v>1.642760711</v>
      </c>
      <c r="AH615" s="30">
        <f>IFERROR(__xludf.DUMMYFUNCTION("""COMPUTED_VALUE"""),0.9261226349780178)</f>
        <v>0.926122635</v>
      </c>
      <c r="AI615" s="30">
        <f>IFERROR(__xludf.DUMMYFUNCTION("""COMPUTED_VALUE"""),0.9923630788450577)</f>
        <v>0.9923630788</v>
      </c>
      <c r="AJ615" s="30">
        <f>IFERROR(__xludf.DUMMYFUNCTION("""COMPUTED_VALUE"""),0.9589252645238059)</f>
        <v>0.9589252645</v>
      </c>
      <c r="AK615" s="30">
        <f>IFERROR(__xludf.DUMMYFUNCTION("""COMPUTED_VALUE"""),0.8140484871984462)</f>
        <v>0.8140484872</v>
      </c>
      <c r="AL615" s="30">
        <f>IFERROR(__xludf.DUMMYFUNCTION("""COMPUTED_VALUE"""),1.0192441320421124)</f>
        <v>1.019244132</v>
      </c>
      <c r="AM615" s="30">
        <f>IFERROR(__xludf.DUMMYFUNCTION("""COMPUTED_VALUE"""),1.1580912755446457)</f>
        <v>1.158091276</v>
      </c>
      <c r="AN615" s="30">
        <f>IFERROR(__xludf.DUMMYFUNCTION("""COMPUTED_VALUE"""),1.342706520999024)</f>
        <v>1.342706521</v>
      </c>
      <c r="AO615" s="30">
        <f>IFERROR(__xludf.DUMMYFUNCTION("""COMPUTED_VALUE"""),1.19886053646945)</f>
        <v>1.198860536</v>
      </c>
      <c r="AP615" s="30">
        <f>IFERROR(__xludf.DUMMYFUNCTION("""COMPUTED_VALUE"""),1.0578576932754213)</f>
        <v>1.057857693</v>
      </c>
      <c r="AQ615" s="30">
        <f>IFERROR(__xludf.DUMMYFUNCTION("""COMPUTED_VALUE"""),1.6677755802738032)</f>
        <v>1.66777558</v>
      </c>
      <c r="AR615" s="30">
        <f>IFERROR(__xludf.DUMMYFUNCTION("""COMPUTED_VALUE"""),0.8716705991008143)</f>
        <v>0.8716705991</v>
      </c>
      <c r="AS615" s="30">
        <f>IFERROR(__xludf.DUMMYFUNCTION("""COMPUTED_VALUE"""),29.0)</f>
        <v>29</v>
      </c>
      <c r="AT615" s="30">
        <f>IFERROR(__xludf.DUMMYFUNCTION("""COMPUTED_VALUE"""),0.558313483557868)</f>
        <v>0.5583134836</v>
      </c>
      <c r="AU615" s="30">
        <f>IFERROR(__xludf.DUMMYFUNCTION("""COMPUTED_VALUE"""),3.77578935839126)</f>
        <v>3.775789358</v>
      </c>
      <c r="AV615" s="32">
        <f>IFERROR(__xludf.DUMMYFUNCTION("""COMPUTED_VALUE"""),70.43009944604093)</f>
        <v>70.43009945</v>
      </c>
      <c r="AW615" s="32">
        <f>IFERROR(__xludf.DUMMYFUNCTION("""COMPUTED_VALUE"""),4.833114143309306)</f>
        <v>4.833114143</v>
      </c>
      <c r="AX615" s="32">
        <f>IFERROR(__xludf.DUMMYFUNCTION("""COMPUTED_VALUE"""),60.44681367903303)</f>
        <v>60.44681368</v>
      </c>
      <c r="AY615" s="32">
        <f>IFERROR(__xludf.DUMMYFUNCTION("""COMPUTED_VALUE"""),2.9584034921294635)</f>
        <v>2.958403492</v>
      </c>
      <c r="AZ615" s="30">
        <f>IFERROR(__xludf.DUMMYFUNCTION("""COMPUTED_VALUE"""),1.8747106511798424)</f>
        <v>1.874710651</v>
      </c>
      <c r="BA615" s="30">
        <f>IFERROR(__xludf.DUMMYFUNCTION("""COMPUTED_VALUE"""),2300.0)</f>
        <v>2300</v>
      </c>
    </row>
    <row r="616">
      <c r="A616" s="71" t="str">
        <f>IFERROR(__xludf.DUMMYFUNCTION("""COMPUTED_VALUE"""),"Challenger")</f>
        <v>Challenger</v>
      </c>
      <c r="B616" s="71" t="str">
        <f>IFERROR(__xludf.DUMMYFUNCTION("""COMPUTED_VALUE"""),"RSC003912")</f>
        <v>RSC003912</v>
      </c>
      <c r="C616" s="30" t="str">
        <f>IFERROR(__xludf.DUMMYFUNCTION("""COMPUTED_VALUE"""),"ItsJustSticky.")</f>
        <v>ItsJustSticky.</v>
      </c>
      <c r="D616" s="30" t="str">
        <f>IFERROR(__xludf.DUMMYFUNCTION("""COMPUTED_VALUE"""),"Pharaohs")</f>
        <v>Pharaohs</v>
      </c>
      <c r="E616" s="30">
        <f>IFERROR(__xludf.DUMMYFUNCTION("""COMPUTED_VALUE"""),28.0)</f>
        <v>28</v>
      </c>
      <c r="F616" s="30">
        <f>IFERROR(__xludf.DUMMYFUNCTION("""COMPUTED_VALUE"""),13.0)</f>
        <v>13</v>
      </c>
      <c r="G616" s="42">
        <f>IFERROR(__xludf.DUMMYFUNCTION("""COMPUTED_VALUE"""),15.0)</f>
        <v>15</v>
      </c>
      <c r="H616" s="42">
        <f>IFERROR(__xludf.DUMMYFUNCTION("""COMPUTED_VALUE"""),0.4642857142857143)</f>
        <v>0.4642857143</v>
      </c>
      <c r="I616" s="42">
        <f>IFERROR(__xludf.DUMMYFUNCTION("""COMPUTED_VALUE"""),0.28260869565217395)</f>
        <v>0.2826086957</v>
      </c>
      <c r="J616" s="30">
        <f>IFERROR(__xludf.DUMMYFUNCTION("""COMPUTED_VALUE"""),345.75)</f>
        <v>345.75</v>
      </c>
      <c r="K616" s="30">
        <f>IFERROR(__xludf.DUMMYFUNCTION("""COMPUTED_VALUE"""),0.4642857142857143)</f>
        <v>0.4642857143</v>
      </c>
      <c r="L616" s="30">
        <f>IFERROR(__xludf.DUMMYFUNCTION("""COMPUTED_VALUE"""),0.5357142857142857)</f>
        <v>0.5357142857</v>
      </c>
      <c r="M616" s="30">
        <f>IFERROR(__xludf.DUMMYFUNCTION("""COMPUTED_VALUE"""),1.75)</f>
        <v>1.75</v>
      </c>
      <c r="N616" s="30">
        <f>IFERROR(__xludf.DUMMYFUNCTION("""COMPUTED_VALUE"""),1.6428571428571428)</f>
        <v>1.642857143</v>
      </c>
      <c r="O616" s="30">
        <f>IFERROR(__xludf.DUMMYFUNCTION("""COMPUTED_VALUE"""),341.84523809523813)</f>
        <v>341.8452381</v>
      </c>
      <c r="P616" s="30">
        <f>IFERROR(__xludf.DUMMYFUNCTION("""COMPUTED_VALUE"""),0.7738095238095238)</f>
        <v>0.7738095238</v>
      </c>
      <c r="Q616" s="30">
        <f>IFERROR(__xludf.DUMMYFUNCTION("""COMPUTED_VALUE"""),0.5595238095238094)</f>
        <v>0.5595238095</v>
      </c>
      <c r="R616" s="30">
        <f>IFERROR(__xludf.DUMMYFUNCTION("""COMPUTED_VALUE"""),0.9999999999999999)</f>
        <v>1</v>
      </c>
      <c r="S616" s="30">
        <f>IFERROR(__xludf.DUMMYFUNCTION("""COMPUTED_VALUE"""),3.0119047619047623)</f>
        <v>3.011904762</v>
      </c>
      <c r="T616" s="30">
        <f>IFERROR(__xludf.DUMMYFUNCTION("""COMPUTED_VALUE"""),325.559534933359)</f>
        <v>325.5595349</v>
      </c>
      <c r="U616" s="30">
        <f>IFERROR(__xludf.DUMMYFUNCTION("""COMPUTED_VALUE"""),0.708568999919084)</f>
        <v>0.7085689999</v>
      </c>
      <c r="V616" s="30">
        <f>IFERROR(__xludf.DUMMYFUNCTION("""COMPUTED_VALUE"""),0.5145680474261353)</f>
        <v>0.5145680474</v>
      </c>
      <c r="W616" s="30">
        <f>IFERROR(__xludf.DUMMYFUNCTION("""COMPUTED_VALUE"""),1.146881326701935)</f>
        <v>1.146881327</v>
      </c>
      <c r="X616" s="30">
        <f>IFERROR(__xludf.DUMMYFUNCTION("""COMPUTED_VALUE"""),2.5588901440084184)</f>
        <v>2.558890144</v>
      </c>
      <c r="Y616" s="30">
        <f>IFERROR(__xludf.DUMMYFUNCTION("""COMPUTED_VALUE"""),335.79030723955185)</f>
        <v>335.7903072</v>
      </c>
      <c r="Z616" s="30">
        <f>IFERROR(__xludf.DUMMYFUNCTION("""COMPUTED_VALUE"""),0.7366737644449831)</f>
        <v>0.7366737644</v>
      </c>
      <c r="AA616" s="30">
        <f>IFERROR(__xludf.DUMMYFUNCTION("""COMPUTED_VALUE"""),0.4954523773003797)</f>
        <v>0.4954523773</v>
      </c>
      <c r="AB616" s="30">
        <f>IFERROR(__xludf.DUMMYFUNCTION("""COMPUTED_VALUE"""),1.323715734471662)</f>
        <v>1.323715734</v>
      </c>
      <c r="AC616" s="30">
        <f>IFERROR(__xludf.DUMMYFUNCTION("""COMPUTED_VALUE"""),2.319306887563838)</f>
        <v>2.319306888</v>
      </c>
      <c r="AD616" s="30">
        <f>IFERROR(__xludf.DUMMYFUNCTION("""COMPUTED_VALUE"""),1.0296604534011844)</f>
        <v>1.029660453</v>
      </c>
      <c r="AE616" s="30">
        <f>IFERROR(__xludf.DUMMYFUNCTION("""COMPUTED_VALUE"""),0.6302460284241445)</f>
        <v>0.6302460284</v>
      </c>
      <c r="AF616" s="30">
        <f>IFERROR(__xludf.DUMMYFUNCTION("""COMPUTED_VALUE"""),1.0812629230548554)</f>
        <v>1.081262923</v>
      </c>
      <c r="AG616" s="30">
        <f>IFERROR(__xludf.DUMMYFUNCTION("""COMPUTED_VALUE"""),1.322036109738079)</f>
        <v>1.32203611</v>
      </c>
      <c r="AH616" s="30">
        <f>IFERROR(__xludf.DUMMYFUNCTION("""COMPUTED_VALUE"""),0.7083396990998345)</f>
        <v>0.7083396991</v>
      </c>
      <c r="AI616" s="30">
        <f>IFERROR(__xludf.DUMMYFUNCTION("""COMPUTED_VALUE"""),1.0500237327259139)</f>
        <v>1.050023733</v>
      </c>
      <c r="AJ616" s="30">
        <f>IFERROR(__xludf.DUMMYFUNCTION("""COMPUTED_VALUE"""),1.0920736355921443)</f>
        <v>1.092073636</v>
      </c>
      <c r="AK616" s="30">
        <f>IFERROR(__xludf.DUMMYFUNCTION("""COMPUTED_VALUE"""),1.0873660195625097)</f>
        <v>1.08736602</v>
      </c>
      <c r="AL616" s="30">
        <f>IFERROR(__xludf.DUMMYFUNCTION("""COMPUTED_VALUE"""),0.8719297949297692)</f>
        <v>0.8719297949</v>
      </c>
      <c r="AM616" s="30">
        <f>IFERROR(__xludf.DUMMYFUNCTION("""COMPUTED_VALUE"""),1.1770355866808377)</f>
        <v>1.177035587</v>
      </c>
      <c r="AN616" s="30">
        <f>IFERROR(__xludf.DUMMYFUNCTION("""COMPUTED_VALUE"""),1.0518328683809552)</f>
        <v>1.051832868</v>
      </c>
      <c r="AO616" s="30">
        <f>IFERROR(__xludf.DUMMYFUNCTION("""COMPUTED_VALUE"""),0.6122752025540406)</f>
        <v>0.6122752026</v>
      </c>
      <c r="AP616" s="30">
        <f>IFERROR(__xludf.DUMMYFUNCTION("""COMPUTED_VALUE"""),1.0389673773240746)</f>
        <v>1.038967377</v>
      </c>
      <c r="AQ616" s="30">
        <f>IFERROR(__xludf.DUMMYFUNCTION("""COMPUTED_VALUE"""),1.4593036327395779)</f>
        <v>1.459303633</v>
      </c>
      <c r="AR616" s="30">
        <f>IFERROR(__xludf.DUMMYFUNCTION("""COMPUTED_VALUE"""),0.6848840421506399)</f>
        <v>0.6848840422</v>
      </c>
      <c r="AS616" s="30">
        <f>IFERROR(__xludf.DUMMYFUNCTION("""COMPUTED_VALUE"""),55.0)</f>
        <v>55</v>
      </c>
      <c r="AT616" s="30">
        <f>IFERROR(__xludf.DUMMYFUNCTION("""COMPUTED_VALUE"""),0.436923461640221)</f>
        <v>0.4369234616</v>
      </c>
      <c r="AU616" s="30">
        <f>IFERROR(__xludf.DUMMYFUNCTION("""COMPUTED_VALUE"""),2.2263911655550643)</f>
        <v>2.226391166</v>
      </c>
      <c r="AV616" s="32">
        <f>IFERROR(__xludf.DUMMYFUNCTION("""COMPUTED_VALUE"""),29.46066815533584)</f>
        <v>29.46066816</v>
      </c>
      <c r="AW616" s="32">
        <f>IFERROR(__xludf.DUMMYFUNCTION("""COMPUTED_VALUE"""),-4.862396543894993)</f>
        <v>-4.862396544</v>
      </c>
      <c r="AX616" s="32">
        <f>IFERROR(__xludf.DUMMYFUNCTION("""COMPUTED_VALUE"""),38.903032335088405)</f>
        <v>38.90303234</v>
      </c>
      <c r="AY616" s="32">
        <f>IFERROR(__xludf.DUMMYFUNCTION("""COMPUTED_VALUE"""),-3.043536510410724)</f>
        <v>-3.04353651</v>
      </c>
      <c r="AZ616" s="30">
        <f>IFERROR(__xludf.DUMMYFUNCTION("""COMPUTED_VALUE"""),1.8188600334842695)</f>
        <v>1.818860033</v>
      </c>
      <c r="BA616" s="30">
        <f>IFERROR(__xludf.DUMMYFUNCTION("""COMPUTED_VALUE"""),2300.0)</f>
        <v>2300</v>
      </c>
    </row>
    <row r="617">
      <c r="A617" s="71" t="str">
        <f>IFERROR(__xludf.DUMMYFUNCTION("""COMPUTED_VALUE"""),"Challenger")</f>
        <v>Challenger</v>
      </c>
      <c r="B617" s="71" t="str">
        <f>IFERROR(__xludf.DUMMYFUNCTION("""COMPUTED_VALUE"""),"RSC006017")</f>
        <v>RSC006017</v>
      </c>
      <c r="C617" s="30" t="str">
        <f>IFERROR(__xludf.DUMMYFUNCTION("""COMPUTED_VALUE"""),"Dondo RF")</f>
        <v>Dondo RF</v>
      </c>
      <c r="D617" s="30" t="str">
        <f>IFERROR(__xludf.DUMMYFUNCTION("""COMPUTED_VALUE"""),"Ryujin")</f>
        <v>Ryujin</v>
      </c>
      <c r="E617" s="30">
        <f>IFERROR(__xludf.DUMMYFUNCTION("""COMPUTED_VALUE"""),35.0)</f>
        <v>35</v>
      </c>
      <c r="F617" s="30">
        <f>IFERROR(__xludf.DUMMYFUNCTION("""COMPUTED_VALUE"""),24.0)</f>
        <v>24</v>
      </c>
      <c r="G617" s="42">
        <f>IFERROR(__xludf.DUMMYFUNCTION("""COMPUTED_VALUE"""),11.0)</f>
        <v>11</v>
      </c>
      <c r="H617" s="42">
        <f>IFERROR(__xludf.DUMMYFUNCTION("""COMPUTED_VALUE"""),0.6857142857142857)</f>
        <v>0.6857142857</v>
      </c>
      <c r="I617" s="42">
        <f>IFERROR(__xludf.DUMMYFUNCTION("""COMPUTED_VALUE"""),0.3297872340425532)</f>
        <v>0.329787234</v>
      </c>
      <c r="J617" s="30">
        <f>IFERROR(__xludf.DUMMYFUNCTION("""COMPUTED_VALUE"""),336.9714285714286)</f>
        <v>336.9714286</v>
      </c>
      <c r="K617" s="30">
        <f>IFERROR(__xludf.DUMMYFUNCTION("""COMPUTED_VALUE"""),0.8857142857142857)</f>
        <v>0.8857142857</v>
      </c>
      <c r="L617" s="30">
        <f>IFERROR(__xludf.DUMMYFUNCTION("""COMPUTED_VALUE"""),0.5714285714285714)</f>
        <v>0.5714285714</v>
      </c>
      <c r="M617" s="30">
        <f>IFERROR(__xludf.DUMMYFUNCTION("""COMPUTED_VALUE"""),1.0571428571428572)</f>
        <v>1.057142857</v>
      </c>
      <c r="N617" s="30">
        <f>IFERROR(__xludf.DUMMYFUNCTION("""COMPUTED_VALUE"""),2.6857142857142855)</f>
        <v>2.685714286</v>
      </c>
      <c r="O617" s="30">
        <f>IFERROR(__xludf.DUMMYFUNCTION("""COMPUTED_VALUE"""),287.84761904761905)</f>
        <v>287.847619</v>
      </c>
      <c r="P617" s="30">
        <f>IFERROR(__xludf.DUMMYFUNCTION("""COMPUTED_VALUE"""),0.4952380952380952)</f>
        <v>0.4952380952</v>
      </c>
      <c r="Q617" s="30">
        <f>IFERROR(__xludf.DUMMYFUNCTION("""COMPUTED_VALUE"""),0.37142857142857144)</f>
        <v>0.3714285714</v>
      </c>
      <c r="R617" s="30">
        <f>IFERROR(__xludf.DUMMYFUNCTION("""COMPUTED_VALUE"""),1.2000000000000002)</f>
        <v>1.2</v>
      </c>
      <c r="S617" s="30">
        <f>IFERROR(__xludf.DUMMYFUNCTION("""COMPUTED_VALUE"""),1.8952380952380956)</f>
        <v>1.895238095</v>
      </c>
      <c r="T617" s="30">
        <f>IFERROR(__xludf.DUMMYFUNCTION("""COMPUTED_VALUE"""),328.88645222255917)</f>
        <v>328.8864522</v>
      </c>
      <c r="U617" s="30">
        <f>IFERROR(__xludf.DUMMYFUNCTION("""COMPUTED_VALUE"""),0.7646111997615974)</f>
        <v>0.7646111998</v>
      </c>
      <c r="V617" s="30">
        <f>IFERROR(__xludf.DUMMYFUNCTION("""COMPUTED_VALUE"""),0.5224732341580925)</f>
        <v>0.5224732342</v>
      </c>
      <c r="W617" s="30">
        <f>IFERROR(__xludf.DUMMYFUNCTION("""COMPUTED_VALUE"""),1.1322375754288652)</f>
        <v>1.132237575</v>
      </c>
      <c r="X617" s="30">
        <f>IFERROR(__xludf.DUMMYFUNCTION("""COMPUTED_VALUE"""),2.3955252275474606)</f>
        <v>2.395525228</v>
      </c>
      <c r="Y617" s="30">
        <f>IFERROR(__xludf.DUMMYFUNCTION("""COMPUTED_VALUE"""),321.02067565118)</f>
        <v>321.0206757</v>
      </c>
      <c r="Z617" s="30">
        <f>IFERROR(__xludf.DUMMYFUNCTION("""COMPUTED_VALUE"""),0.7398756991213223)</f>
        <v>0.7398756991</v>
      </c>
      <c r="AA617" s="30">
        <f>IFERROR(__xludf.DUMMYFUNCTION("""COMPUTED_VALUE"""),0.49993915313104437)</f>
        <v>0.4999391531</v>
      </c>
      <c r="AB617" s="30">
        <f>IFERROR(__xludf.DUMMYFUNCTION("""COMPUTED_VALUE"""),1.164441435973247)</f>
        <v>1.164441436</v>
      </c>
      <c r="AC617" s="30">
        <f>IFERROR(__xludf.DUMMYFUNCTION("""COMPUTED_VALUE"""),2.3119061438979265)</f>
        <v>2.311906144</v>
      </c>
      <c r="AD617" s="30">
        <f>IFERROR(__xludf.DUMMYFUNCTION("""COMPUTED_VALUE"""),1.0496876186803015)</f>
        <v>1.049687619</v>
      </c>
      <c r="AE617" s="30">
        <f>IFERROR(__xludf.DUMMYFUNCTION("""COMPUTED_VALUE"""),1.197112280841446)</f>
        <v>1.197112281</v>
      </c>
      <c r="AF617" s="30">
        <f>IFERROR(__xludf.DUMMYFUNCTION("""COMPUTED_VALUE"""),1.142996238341805)</f>
        <v>1.142996238</v>
      </c>
      <c r="AG617" s="30">
        <f>IFERROR(__xludf.DUMMYFUNCTION("""COMPUTED_VALUE"""),0.9078540358358951)</f>
        <v>0.9078540358</v>
      </c>
      <c r="AH617" s="30">
        <f>IFERROR(__xludf.DUMMYFUNCTION("""COMPUTED_VALUE"""),1.1616882860071949)</f>
        <v>1.161688286</v>
      </c>
      <c r="AI617" s="30">
        <f>IFERROR(__xludf.DUMMYFUNCTION("""COMPUTED_VALUE"""),0.875218839518604)</f>
        <v>0.8752188395</v>
      </c>
      <c r="AJ617" s="30">
        <f>IFERROR(__xludf.DUMMYFUNCTION("""COMPUTED_VALUE"""),0.6476992429518537)</f>
        <v>0.647699243</v>
      </c>
      <c r="AK617" s="30">
        <f>IFERROR(__xludf.DUMMYFUNCTION("""COMPUTED_VALUE"""),0.71090449643241)</f>
        <v>0.7109044964</v>
      </c>
      <c r="AL617" s="30">
        <f>IFERROR(__xludf.DUMMYFUNCTION("""COMPUTED_VALUE"""),1.0598482386044008)</f>
        <v>1.059848239</v>
      </c>
      <c r="AM617" s="30">
        <f>IFERROR(__xludf.DUMMYFUNCTION("""COMPUTED_VALUE"""),0.7911576440288383)</f>
        <v>0.791157644</v>
      </c>
      <c r="AN617" s="30">
        <f>IFERROR(__xludf.DUMMYFUNCTION("""COMPUTED_VALUE"""),1.0251268959557887)</f>
        <v>1.025126896</v>
      </c>
      <c r="AO617" s="30">
        <f>IFERROR(__xludf.DUMMYFUNCTION("""COMPUTED_VALUE"""),1.1680326941030927)</f>
        <v>1.168032694</v>
      </c>
      <c r="AP617" s="30">
        <f>IFERROR(__xludf.DUMMYFUNCTION("""COMPUTED_VALUE"""),1.1082318691456794)</f>
        <v>1.108231869</v>
      </c>
      <c r="AQ617" s="30">
        <f>IFERROR(__xludf.DUMMYFUNCTION("""COMPUTED_VALUE"""),0.8815385210018675)</f>
        <v>0.881538521</v>
      </c>
      <c r="AR617" s="30">
        <f>IFERROR(__xludf.DUMMYFUNCTION("""COMPUTED_VALUE"""),1.119636521081046)</f>
        <v>1.119636521</v>
      </c>
      <c r="AS617" s="30">
        <f>IFERROR(__xludf.DUMMYFUNCTION("""COMPUTED_VALUE"""),90.0)</f>
        <v>90</v>
      </c>
      <c r="AT617" s="30">
        <f>IFERROR(__xludf.DUMMYFUNCTION("""COMPUTED_VALUE"""),0.6942260086734675)</f>
        <v>0.6942260087</v>
      </c>
      <c r="AU617" s="30">
        <f>IFERROR(__xludf.DUMMYFUNCTION("""COMPUTED_VALUE"""),3.8961431674537197)</f>
        <v>3.896143167</v>
      </c>
      <c r="AV617" s="32">
        <f>IFERROR(__xludf.DUMMYFUNCTION("""COMPUTED_VALUE"""),73.61251384006648)</f>
        <v>73.61251384</v>
      </c>
      <c r="AW617" s="32">
        <f>IFERROR(__xludf.DUMMYFUNCTION("""COMPUTED_VALUE"""),5.798548244491962)</f>
        <v>5.798548244</v>
      </c>
      <c r="AX617" s="32">
        <f>IFERROR(__xludf.DUMMYFUNCTION("""COMPUTED_VALUE"""),67.116130372885)</f>
        <v>67.11613037</v>
      </c>
      <c r="AY617" s="32">
        <f>IFERROR(__xludf.DUMMYFUNCTION("""COMPUTED_VALUE"""),4.052127970054449)</f>
        <v>4.05212797</v>
      </c>
      <c r="AZ617" s="30">
        <f>IFERROR(__xludf.DUMMYFUNCTION("""COMPUTED_VALUE"""),1.7464202744375132)</f>
        <v>1.746420274</v>
      </c>
      <c r="BA617" s="30">
        <f>IFERROR(__xludf.DUMMYFUNCTION("""COMPUTED_VALUE"""),2300.0)</f>
        <v>2300</v>
      </c>
    </row>
    <row r="618">
      <c r="A618" s="71" t="str">
        <f>IFERROR(__xludf.DUMMYFUNCTION("""COMPUTED_VALUE"""),"Challenger")</f>
        <v>Challenger</v>
      </c>
      <c r="B618" s="71" t="str">
        <f>IFERROR(__xludf.DUMMYFUNCTION("""COMPUTED_VALUE"""),"RSC000938")</f>
        <v>RSC000938</v>
      </c>
      <c r="C618" s="30" t="str">
        <f>IFERROR(__xludf.DUMMYFUNCTION("""COMPUTED_VALUE"""),"Nukem_IV")</f>
        <v>Nukem_IV</v>
      </c>
      <c r="D618" s="30" t="str">
        <f>IFERROR(__xludf.DUMMYFUNCTION("""COMPUTED_VALUE"""),"Spearmint")</f>
        <v>Spearmint</v>
      </c>
      <c r="E618" s="30">
        <f>IFERROR(__xludf.DUMMYFUNCTION("""COMPUTED_VALUE"""),31.0)</f>
        <v>31</v>
      </c>
      <c r="F618" s="30">
        <f>IFERROR(__xludf.DUMMYFUNCTION("""COMPUTED_VALUE"""),11.0)</f>
        <v>11</v>
      </c>
      <c r="G618" s="42">
        <f>IFERROR(__xludf.DUMMYFUNCTION("""COMPUTED_VALUE"""),20.0)</f>
        <v>20</v>
      </c>
      <c r="H618" s="42">
        <f>IFERROR(__xludf.DUMMYFUNCTION("""COMPUTED_VALUE"""),0.3548387096774194)</f>
        <v>0.3548387097</v>
      </c>
      <c r="I618" s="42">
        <f>IFERROR(__xludf.DUMMYFUNCTION("""COMPUTED_VALUE"""),0.2142857142857143)</f>
        <v>0.2142857143</v>
      </c>
      <c r="J618" s="30">
        <f>IFERROR(__xludf.DUMMYFUNCTION("""COMPUTED_VALUE"""),294.19354838709677)</f>
        <v>294.1935484</v>
      </c>
      <c r="K618" s="30">
        <f>IFERROR(__xludf.DUMMYFUNCTION("""COMPUTED_VALUE"""),0.5806451612903226)</f>
        <v>0.5806451613</v>
      </c>
      <c r="L618" s="30">
        <f>IFERROR(__xludf.DUMMYFUNCTION("""COMPUTED_VALUE"""),0.2903225806451613)</f>
        <v>0.2903225806</v>
      </c>
      <c r="M618" s="30">
        <f>IFERROR(__xludf.DUMMYFUNCTION("""COMPUTED_VALUE"""),1.0)</f>
        <v>1</v>
      </c>
      <c r="N618" s="30">
        <f>IFERROR(__xludf.DUMMYFUNCTION("""COMPUTED_VALUE"""),2.7096774193548385)</f>
        <v>2.709677419</v>
      </c>
      <c r="O618" s="30">
        <f>IFERROR(__xludf.DUMMYFUNCTION("""COMPUTED_VALUE"""),354.49462365591404)</f>
        <v>354.4946237</v>
      </c>
      <c r="P618" s="30">
        <f>IFERROR(__xludf.DUMMYFUNCTION("""COMPUTED_VALUE"""),0.8817204301075269)</f>
        <v>0.8817204301</v>
      </c>
      <c r="Q618" s="30">
        <f>IFERROR(__xludf.DUMMYFUNCTION("""COMPUTED_VALUE"""),0.6021505376344084)</f>
        <v>0.6021505376</v>
      </c>
      <c r="R618" s="30">
        <f>IFERROR(__xludf.DUMMYFUNCTION("""COMPUTED_VALUE"""),1.3225806451612905)</f>
        <v>1.322580645</v>
      </c>
      <c r="S618" s="30">
        <f>IFERROR(__xludf.DUMMYFUNCTION("""COMPUTED_VALUE"""),2.3010752688172045)</f>
        <v>2.301075269</v>
      </c>
      <c r="T618" s="30">
        <f>IFERROR(__xludf.DUMMYFUNCTION("""COMPUTED_VALUE"""),333.27941003974917)</f>
        <v>333.27941</v>
      </c>
      <c r="U618" s="30">
        <f>IFERROR(__xludf.DUMMYFUNCTION("""COMPUTED_VALUE"""),0.7738420004691353)</f>
        <v>0.7738420005</v>
      </c>
      <c r="V618" s="30">
        <f>IFERROR(__xludf.DUMMYFUNCTION("""COMPUTED_VALUE"""),0.5553048592648885)</f>
        <v>0.5553048593</v>
      </c>
      <c r="W618" s="30">
        <f>IFERROR(__xludf.DUMMYFUNCTION("""COMPUTED_VALUE"""),1.2035626077757438)</f>
        <v>1.203562608</v>
      </c>
      <c r="X618" s="30">
        <f>IFERROR(__xludf.DUMMYFUNCTION("""COMPUTED_VALUE"""),2.5096926671319153)</f>
        <v>2.509692667</v>
      </c>
      <c r="Y618" s="30">
        <f>IFERROR(__xludf.DUMMYFUNCTION("""COMPUTED_VALUE"""),337.28611811057533)</f>
        <v>337.2861181</v>
      </c>
      <c r="Z618" s="30">
        <f>IFERROR(__xludf.DUMMYFUNCTION("""COMPUTED_VALUE"""),0.7758757693507545)</f>
        <v>0.7758757694</v>
      </c>
      <c r="AA618" s="30">
        <f>IFERROR(__xludf.DUMMYFUNCTION("""COMPUTED_VALUE"""),0.5467660770639694)</f>
        <v>0.5467660771</v>
      </c>
      <c r="AB618" s="30">
        <f>IFERROR(__xludf.DUMMYFUNCTION("""COMPUTED_VALUE"""),1.2414340680301381)</f>
        <v>1.241434068</v>
      </c>
      <c r="AC618" s="30">
        <f>IFERROR(__xludf.DUMMYFUNCTION("""COMPUTED_VALUE"""),2.432619514158403)</f>
        <v>2.432619514</v>
      </c>
      <c r="AD618" s="30">
        <f>IFERROR(__xludf.DUMMYFUNCTION("""COMPUTED_VALUE"""),0.8722373456551474)</f>
        <v>0.8722373457</v>
      </c>
      <c r="AE618" s="30">
        <f>IFERROR(__xludf.DUMMYFUNCTION("""COMPUTED_VALUE"""),0.7483738817829058)</f>
        <v>0.7483738818</v>
      </c>
      <c r="AF618" s="30">
        <f>IFERROR(__xludf.DUMMYFUNCTION("""COMPUTED_VALUE"""),0.5309813333777742)</f>
        <v>0.5309813334</v>
      </c>
      <c r="AG618" s="30">
        <f>IFERROR(__xludf.DUMMYFUNCTION("""COMPUTED_VALUE"""),0.8055200237792436)</f>
        <v>0.8055200238</v>
      </c>
      <c r="AH618" s="30">
        <f>IFERROR(__xludf.DUMMYFUNCTION("""COMPUTED_VALUE"""),1.113892823593618)</f>
        <v>1.113892824</v>
      </c>
      <c r="AI618" s="30">
        <f>IFERROR(__xludf.DUMMYFUNCTION("""COMPUTED_VALUE"""),1.0636559384620687)</f>
        <v>1.063655938</v>
      </c>
      <c r="AJ618" s="30">
        <f>IFERROR(__xludf.DUMMYFUNCTION("""COMPUTED_VALUE"""),1.1394062735971828)</f>
        <v>1.139406274</v>
      </c>
      <c r="AK618" s="30">
        <f>IFERROR(__xludf.DUMMYFUNCTION("""COMPUTED_VALUE"""),1.08436028892586)</f>
        <v>1.084360289</v>
      </c>
      <c r="AL618" s="30">
        <f>IFERROR(__xludf.DUMMYFUNCTION("""COMPUTED_VALUE"""),1.0988881148488812)</f>
        <v>1.098888115</v>
      </c>
      <c r="AM618" s="30">
        <f>IFERROR(__xludf.DUMMYFUNCTION("""COMPUTED_VALUE"""),0.916875320613213)</f>
        <v>0.9168753206</v>
      </c>
      <c r="AN618" s="30">
        <f>IFERROR(__xludf.DUMMYFUNCTION("""COMPUTED_VALUE"""),0.8949889916389627)</f>
        <v>0.8949889916</v>
      </c>
      <c r="AO618" s="30">
        <f>IFERROR(__xludf.DUMMYFUNCTION("""COMPUTED_VALUE"""),0.7657238265191971)</f>
        <v>0.7657238265</v>
      </c>
      <c r="AP618" s="30">
        <f>IFERROR(__xludf.DUMMYFUNCTION("""COMPUTED_VALUE"""),0.5630532883562727)</f>
        <v>0.5630532884</v>
      </c>
      <c r="AQ618" s="30">
        <f>IFERROR(__xludf.DUMMYFUNCTION("""COMPUTED_VALUE"""),0.8338877901369016)</f>
        <v>0.8338877901</v>
      </c>
      <c r="AR618" s="30">
        <f>IFERROR(__xludf.DUMMYFUNCTION("""COMPUTED_VALUE"""),1.1296264145429908)</f>
        <v>1.129626415</v>
      </c>
      <c r="AS618" s="30">
        <f>IFERROR(__xludf.DUMMYFUNCTION("""COMPUTED_VALUE"""),51.0)</f>
        <v>51</v>
      </c>
      <c r="AT618" s="30">
        <f>IFERROR(__xludf.DUMMYFUNCTION("""COMPUTED_VALUE"""),0.32710494584460015)</f>
        <v>0.3271049458</v>
      </c>
      <c r="AU618" s="30">
        <f>IFERROR(__xludf.DUMMYFUNCTION("""COMPUTED_VALUE"""),2.3532955597020306)</f>
        <v>2.35329556</v>
      </c>
      <c r="AV618" s="32">
        <f>IFERROR(__xludf.DUMMYFUNCTION("""COMPUTED_VALUE"""),32.81629415292106)</f>
        <v>32.81629415</v>
      </c>
      <c r="AW618" s="32">
        <f>IFERROR(__xludf.DUMMYFUNCTION("""COMPUTED_VALUE"""),-4.066170331957925)</f>
        <v>-4.066170332</v>
      </c>
      <c r="AX618" s="32">
        <f>IFERROR(__xludf.DUMMYFUNCTION("""COMPUTED_VALUE"""),45.35909197315088)</f>
        <v>45.35909197</v>
      </c>
      <c r="AY618" s="32">
        <f>IFERROR(__xludf.DUMMYFUNCTION("""COMPUTED_VALUE"""),-2.3454083635690517)</f>
        <v>-2.345408364</v>
      </c>
      <c r="AZ618" s="30">
        <f>IFERROR(__xludf.DUMMYFUNCTION("""COMPUTED_VALUE"""),1.720761968388873)</f>
        <v>1.720761968</v>
      </c>
      <c r="BA618" s="30">
        <f>IFERROR(__xludf.DUMMYFUNCTION("""COMPUTED_VALUE"""),2300.0)</f>
        <v>2300</v>
      </c>
    </row>
    <row r="619">
      <c r="A619" s="71" t="str">
        <f>IFERROR(__xludf.DUMMYFUNCTION("""COMPUTED_VALUE"""),"Challenger")</f>
        <v>Challenger</v>
      </c>
      <c r="B619" s="71" t="str">
        <f>IFERROR(__xludf.DUMMYFUNCTION("""COMPUTED_VALUE"""),"RSC005663")</f>
        <v>RSC005663</v>
      </c>
      <c r="C619" s="30" t="str">
        <f>IFERROR(__xludf.DUMMYFUNCTION("""COMPUTED_VALUE"""),"Pure_Pusher")</f>
        <v>Pure_Pusher</v>
      </c>
      <c r="D619" s="30" t="str">
        <f>IFERROR(__xludf.DUMMYFUNCTION("""COMPUTED_VALUE"""),"Chromatic Chaos")</f>
        <v>Chromatic Chaos</v>
      </c>
      <c r="E619" s="30">
        <f>IFERROR(__xludf.DUMMYFUNCTION("""COMPUTED_VALUE"""),23.0)</f>
        <v>23</v>
      </c>
      <c r="F619" s="30">
        <f>IFERROR(__xludf.DUMMYFUNCTION("""COMPUTED_VALUE"""),11.0)</f>
        <v>11</v>
      </c>
      <c r="G619" s="42">
        <f>IFERROR(__xludf.DUMMYFUNCTION("""COMPUTED_VALUE"""),12.0)</f>
        <v>12</v>
      </c>
      <c r="H619" s="42">
        <f>IFERROR(__xludf.DUMMYFUNCTION("""COMPUTED_VALUE"""),0.4782608695652174)</f>
        <v>0.4782608696</v>
      </c>
      <c r="I619" s="42">
        <f>IFERROR(__xludf.DUMMYFUNCTION("""COMPUTED_VALUE"""),0.38)</f>
        <v>0.38</v>
      </c>
      <c r="J619" s="30">
        <f>IFERROR(__xludf.DUMMYFUNCTION("""COMPUTED_VALUE"""),306.9130434782609)</f>
        <v>306.9130435</v>
      </c>
      <c r="K619" s="30">
        <f>IFERROR(__xludf.DUMMYFUNCTION("""COMPUTED_VALUE"""),0.8260869565217391)</f>
        <v>0.8260869565</v>
      </c>
      <c r="L619" s="30">
        <f>IFERROR(__xludf.DUMMYFUNCTION("""COMPUTED_VALUE"""),0.391304347826087)</f>
        <v>0.3913043478</v>
      </c>
      <c r="M619" s="30">
        <f>IFERROR(__xludf.DUMMYFUNCTION("""COMPUTED_VALUE"""),1.0869565217391304)</f>
        <v>1.086956522</v>
      </c>
      <c r="N619" s="30">
        <f>IFERROR(__xludf.DUMMYFUNCTION("""COMPUTED_VALUE"""),2.1739130434782608)</f>
        <v>2.173913043</v>
      </c>
      <c r="O619" s="30">
        <f>IFERROR(__xludf.DUMMYFUNCTION("""COMPUTED_VALUE"""),358.30434782608694)</f>
        <v>358.3043478</v>
      </c>
      <c r="P619" s="30">
        <f>IFERROR(__xludf.DUMMYFUNCTION("""COMPUTED_VALUE"""),0.9999999999999999)</f>
        <v>1</v>
      </c>
      <c r="Q619" s="30">
        <f>IFERROR(__xludf.DUMMYFUNCTION("""COMPUTED_VALUE"""),0.5797101449275363)</f>
        <v>0.5797101449</v>
      </c>
      <c r="R619" s="30">
        <f>IFERROR(__xludf.DUMMYFUNCTION("""COMPUTED_VALUE"""),1.2028985507246375)</f>
        <v>1.202898551</v>
      </c>
      <c r="S619" s="30">
        <f>IFERROR(__xludf.DUMMYFUNCTION("""COMPUTED_VALUE"""),2.579710144927536)</f>
        <v>2.579710145</v>
      </c>
      <c r="T619" s="30">
        <f>IFERROR(__xludf.DUMMYFUNCTION("""COMPUTED_VALUE"""),337.5338842028912)</f>
        <v>337.5338842</v>
      </c>
      <c r="U619" s="30">
        <f>IFERROR(__xludf.DUMMYFUNCTION("""COMPUTED_VALUE"""),0.8058378354951867)</f>
        <v>0.8058378355</v>
      </c>
      <c r="V619" s="30">
        <f>IFERROR(__xludf.DUMMYFUNCTION("""COMPUTED_VALUE"""),0.5444884692727534)</f>
        <v>0.5444884693</v>
      </c>
      <c r="W619" s="30">
        <f>IFERROR(__xludf.DUMMYFUNCTION("""COMPUTED_VALUE"""),1.1666927621458831)</f>
        <v>1.166692762</v>
      </c>
      <c r="X619" s="30">
        <f>IFERROR(__xludf.DUMMYFUNCTION("""COMPUTED_VALUE"""),2.4793714945334147)</f>
        <v>2.479371495</v>
      </c>
      <c r="Y619" s="30">
        <f>IFERROR(__xludf.DUMMYFUNCTION("""COMPUTED_VALUE"""),335.210939448624)</f>
        <v>335.2109394</v>
      </c>
      <c r="Z619" s="30">
        <f>IFERROR(__xludf.DUMMYFUNCTION("""COMPUTED_VALUE"""),0.7836582676158801)</f>
        <v>0.7836582676</v>
      </c>
      <c r="AA619" s="30">
        <f>IFERROR(__xludf.DUMMYFUNCTION("""COMPUTED_VALUE"""),0.532823043718469)</f>
        <v>0.5328230437</v>
      </c>
      <c r="AB619" s="30">
        <f>IFERROR(__xludf.DUMMYFUNCTION("""COMPUTED_VALUE"""),1.206194573978701)</f>
        <v>1.206194574</v>
      </c>
      <c r="AC619" s="30">
        <f>IFERROR(__xludf.DUMMYFUNCTION("""COMPUTED_VALUE"""),2.4512976962154753)</f>
        <v>2.451297696</v>
      </c>
      <c r="AD619" s="30">
        <f>IFERROR(__xludf.DUMMYFUNCTION("""COMPUTED_VALUE"""),0.9155818243375073)</f>
        <v>0.9155818243</v>
      </c>
      <c r="AE619" s="30">
        <f>IFERROR(__xludf.DUMMYFUNCTION("""COMPUTED_VALUE"""),1.0541418251541448)</f>
        <v>1.054141825</v>
      </c>
      <c r="AF619" s="30">
        <f>IFERROR(__xludf.DUMMYFUNCTION("""COMPUTED_VALUE"""),0.734398319365562)</f>
        <v>0.7343983194</v>
      </c>
      <c r="AG619" s="30">
        <f>IFERROR(__xludf.DUMMYFUNCTION("""COMPUTED_VALUE"""),0.9011452589723918)</f>
        <v>0.901145259</v>
      </c>
      <c r="AH619" s="30">
        <f>IFERROR(__xludf.DUMMYFUNCTION("""COMPUTED_VALUE"""),0.8868417111616166)</f>
        <v>0.8868417112</v>
      </c>
      <c r="AI619" s="30">
        <f>IFERROR(__xludf.DUMMYFUNCTION("""COMPUTED_VALUE"""),1.061535936376422)</f>
        <v>1.061535936</v>
      </c>
      <c r="AJ619" s="30">
        <f>IFERROR(__xludf.DUMMYFUNCTION("""COMPUTED_VALUE"""),1.2409444629582336)</f>
        <v>1.240944463</v>
      </c>
      <c r="AK619" s="30">
        <f>IFERROR(__xludf.DUMMYFUNCTION("""COMPUTED_VALUE"""),1.0646876428840204)</f>
        <v>1.064687643</v>
      </c>
      <c r="AL619" s="30">
        <f>IFERROR(__xludf.DUMMYFUNCTION("""COMPUTED_VALUE"""),1.031032838938815)</f>
        <v>1.031032839</v>
      </c>
      <c r="AM619" s="30">
        <f>IFERROR(__xludf.DUMMYFUNCTION("""COMPUTED_VALUE"""),1.0404693893655512)</f>
        <v>1.040469389</v>
      </c>
      <c r="AN619" s="30">
        <f>IFERROR(__xludf.DUMMYFUNCTION("""COMPUTED_VALUE"""),0.9336839533341085)</f>
        <v>0.9336839533</v>
      </c>
      <c r="AO619" s="30">
        <f>IFERROR(__xludf.DUMMYFUNCTION("""COMPUTED_VALUE"""),1.089399357052674)</f>
        <v>1.089399357</v>
      </c>
      <c r="AP619" s="30">
        <f>IFERROR(__xludf.DUMMYFUNCTION("""COMPUTED_VALUE"""),0.7588979103932371)</f>
        <v>0.7588979104</v>
      </c>
      <c r="AQ619" s="30">
        <f>IFERROR(__xludf.DUMMYFUNCTION("""COMPUTED_VALUE"""),0.9063997718879365)</f>
        <v>0.9063997719</v>
      </c>
      <c r="AR619" s="30">
        <f>IFERROR(__xludf.DUMMYFUNCTION("""COMPUTED_VALUE"""),0.9062737797834554)</f>
        <v>0.9062737798</v>
      </c>
      <c r="AS619" s="30">
        <f>IFERROR(__xludf.DUMMYFUNCTION("""COMPUTED_VALUE"""),60.0)</f>
        <v>60</v>
      </c>
      <c r="AT619" s="30">
        <f>IFERROR(__xludf.DUMMYFUNCTION("""COMPUTED_VALUE"""),0.44293681224974746)</f>
        <v>0.4429368122</v>
      </c>
      <c r="AU619" s="30">
        <f>IFERROR(__xludf.DUMMYFUNCTION("""COMPUTED_VALUE"""),2.561500106526065)</f>
        <v>2.561500107</v>
      </c>
      <c r="AV619" s="32">
        <f>IFERROR(__xludf.DUMMYFUNCTION("""COMPUTED_VALUE"""),38.321671605250046)</f>
        <v>38.32167161</v>
      </c>
      <c r="AW619" s="32">
        <f>IFERROR(__xludf.DUMMYFUNCTION("""COMPUTED_VALUE"""),-3.1230255242171543)</f>
        <v>-3.123025524</v>
      </c>
      <c r="AX619" s="32">
        <f>IFERROR(__xludf.DUMMYFUNCTION("""COMPUTED_VALUE"""),29.614396997271335)</f>
        <v>29.614397</v>
      </c>
      <c r="AY619" s="32">
        <f>IFERROR(__xludf.DUMMYFUNCTION("""COMPUTED_VALUE"""),-4.8212569320989465)</f>
        <v>-4.821256932</v>
      </c>
      <c r="AZ619" s="30">
        <f>IFERROR(__xludf.DUMMYFUNCTION("""COMPUTED_VALUE"""),1.6982314078817922)</f>
        <v>1.698231408</v>
      </c>
      <c r="BA619" s="30">
        <f>IFERROR(__xludf.DUMMYFUNCTION("""COMPUTED_VALUE"""),2300.0)</f>
        <v>2300</v>
      </c>
    </row>
    <row r="620">
      <c r="A620" s="71" t="str">
        <f>IFERROR(__xludf.DUMMYFUNCTION("""COMPUTED_VALUE"""),"Challenger")</f>
        <v>Challenger</v>
      </c>
      <c r="B620" s="71" t="str">
        <f>IFERROR(__xludf.DUMMYFUNCTION("""COMPUTED_VALUE"""),"RSC004333")</f>
        <v>RSC004333</v>
      </c>
      <c r="C620" s="30" t="str">
        <f>IFERROR(__xludf.DUMMYFUNCTION("""COMPUTED_VALUE"""),"Penguin")</f>
        <v>Penguin</v>
      </c>
      <c r="D620" s="30" t="str">
        <f>IFERROR(__xludf.DUMMYFUNCTION("""COMPUTED_VALUE"""),"Mugged")</f>
        <v>Mugged</v>
      </c>
      <c r="E620" s="30">
        <f>IFERROR(__xludf.DUMMYFUNCTION("""COMPUTED_VALUE"""),33.0)</f>
        <v>33</v>
      </c>
      <c r="F620" s="30">
        <f>IFERROR(__xludf.DUMMYFUNCTION("""COMPUTED_VALUE"""),18.0)</f>
        <v>18</v>
      </c>
      <c r="G620" s="42">
        <f>IFERROR(__xludf.DUMMYFUNCTION("""COMPUTED_VALUE"""),15.0)</f>
        <v>15</v>
      </c>
      <c r="H620" s="42">
        <f>IFERROR(__xludf.DUMMYFUNCTION("""COMPUTED_VALUE"""),0.5454545454545454)</f>
        <v>0.5454545455</v>
      </c>
      <c r="I620" s="42">
        <f>IFERROR(__xludf.DUMMYFUNCTION("""COMPUTED_VALUE"""),0.3522727272727273)</f>
        <v>0.3522727273</v>
      </c>
      <c r="J620" s="30">
        <f>IFERROR(__xludf.DUMMYFUNCTION("""COMPUTED_VALUE"""),389.42424242424244)</f>
        <v>389.4242424</v>
      </c>
      <c r="K620" s="30">
        <f>IFERROR(__xludf.DUMMYFUNCTION("""COMPUTED_VALUE"""),0.9393939393939394)</f>
        <v>0.9393939394</v>
      </c>
      <c r="L620" s="30">
        <f>IFERROR(__xludf.DUMMYFUNCTION("""COMPUTED_VALUE"""),0.5757575757575758)</f>
        <v>0.5757575758</v>
      </c>
      <c r="M620" s="30">
        <f>IFERROR(__xludf.DUMMYFUNCTION("""COMPUTED_VALUE"""),1.393939393939394)</f>
        <v>1.393939394</v>
      </c>
      <c r="N620" s="30">
        <f>IFERROR(__xludf.DUMMYFUNCTION("""COMPUTED_VALUE"""),2.6666666666666665)</f>
        <v>2.666666667</v>
      </c>
      <c r="O620" s="30">
        <f>IFERROR(__xludf.DUMMYFUNCTION("""COMPUTED_VALUE"""),340.13131313131305)</f>
        <v>340.1313131</v>
      </c>
      <c r="P620" s="30">
        <f>IFERROR(__xludf.DUMMYFUNCTION("""COMPUTED_VALUE"""),0.8383838383838385)</f>
        <v>0.8383838384</v>
      </c>
      <c r="Q620" s="30">
        <f>IFERROR(__xludf.DUMMYFUNCTION("""COMPUTED_VALUE"""),0.5353535353535355)</f>
        <v>0.5353535354</v>
      </c>
      <c r="R620" s="30">
        <f>IFERROR(__xludf.DUMMYFUNCTION("""COMPUTED_VALUE"""),1.171717171717172)</f>
        <v>1.171717172</v>
      </c>
      <c r="S620" s="30">
        <f>IFERROR(__xludf.DUMMYFUNCTION("""COMPUTED_VALUE"""),2.777777777777778)</f>
        <v>2.777777778</v>
      </c>
      <c r="T620" s="30">
        <f>IFERROR(__xludf.DUMMYFUNCTION("""COMPUTED_VALUE"""),332.56694755209924)</f>
        <v>332.5669476</v>
      </c>
      <c r="U620" s="30">
        <f>IFERROR(__xludf.DUMMYFUNCTION("""COMPUTED_VALUE"""),0.7747719120473745)</f>
        <v>0.774771912</v>
      </c>
      <c r="V620" s="30">
        <f>IFERROR(__xludf.DUMMYFUNCTION("""COMPUTED_VALUE"""),0.5176983849160611)</f>
        <v>0.5176983849</v>
      </c>
      <c r="W620" s="30">
        <f>IFERROR(__xludf.DUMMYFUNCTION("""COMPUTED_VALUE"""),1.1896394928914626)</f>
        <v>1.189639493</v>
      </c>
      <c r="X620" s="30">
        <f>IFERROR(__xludf.DUMMYFUNCTION("""COMPUTED_VALUE"""),2.4917238496804033)</f>
        <v>2.49172385</v>
      </c>
      <c r="Y620" s="30">
        <f>IFERROR(__xludf.DUMMYFUNCTION("""COMPUTED_VALUE"""),332.0501418787398)</f>
        <v>332.0501419</v>
      </c>
      <c r="Z620" s="30">
        <f>IFERROR(__xludf.DUMMYFUNCTION("""COMPUTED_VALUE"""),0.7148972860969325)</f>
        <v>0.7148972861</v>
      </c>
      <c r="AA620" s="30">
        <f>IFERROR(__xludf.DUMMYFUNCTION("""COMPUTED_VALUE"""),0.5124522986469907)</f>
        <v>0.5124522986</v>
      </c>
      <c r="AB620" s="30">
        <f>IFERROR(__xludf.DUMMYFUNCTION("""COMPUTED_VALUE"""),1.2598437817770687)</f>
        <v>1.259843782</v>
      </c>
      <c r="AC620" s="30">
        <f>IFERROR(__xludf.DUMMYFUNCTION("""COMPUTED_VALUE"""),2.3456933886859765)</f>
        <v>2.345693389</v>
      </c>
      <c r="AD620" s="30">
        <f>IFERROR(__xludf.DUMMYFUNCTION("""COMPUTED_VALUE"""),1.1727874598121837)</f>
        <v>1.17278746</v>
      </c>
      <c r="AE620" s="30">
        <f>IFERROR(__xludf.DUMMYFUNCTION("""COMPUTED_VALUE"""),1.3140264450053705)</f>
        <v>1.314026445</v>
      </c>
      <c r="AF620" s="30">
        <f>IFERROR(__xludf.DUMMYFUNCTION("""COMPUTED_VALUE"""),1.1235339899493626)</f>
        <v>1.12353399</v>
      </c>
      <c r="AG620" s="30">
        <f>IFERROR(__xludf.DUMMYFUNCTION("""COMPUTED_VALUE"""),1.1064382855255095)</f>
        <v>1.106438286</v>
      </c>
      <c r="AH620" s="30">
        <f>IFERROR(__xludf.DUMMYFUNCTION("""COMPUTED_VALUE"""),1.1368351377587735)</f>
        <v>1.136835138</v>
      </c>
      <c r="AI620" s="30">
        <f>IFERROR(__xludf.DUMMYFUNCTION("""COMPUTED_VALUE"""),1.0227453919726306)</f>
        <v>1.022745392</v>
      </c>
      <c r="AJ620" s="30">
        <f>IFERROR(__xludf.DUMMYFUNCTION("""COMPUTED_VALUE"""),1.082104068755366)</f>
        <v>1.082104069</v>
      </c>
      <c r="AK620" s="30">
        <f>IFERROR(__xludf.DUMMYFUNCTION("""COMPUTED_VALUE"""),1.0341031591982597)</f>
        <v>1.034103159</v>
      </c>
      <c r="AL620" s="30">
        <f>IFERROR(__xludf.DUMMYFUNCTION("""COMPUTED_VALUE"""),0.9849346619027165)</f>
        <v>0.9849346619</v>
      </c>
      <c r="AM620" s="30">
        <f>IFERROR(__xludf.DUMMYFUNCTION("""COMPUTED_VALUE"""),1.1148016174160171)</f>
        <v>1.114801617</v>
      </c>
      <c r="AN620" s="30">
        <f>IFERROR(__xludf.DUMMYFUNCTION("""COMPUTED_VALUE"""),1.1846976657300692)</f>
        <v>1.184697666</v>
      </c>
      <c r="AO620" s="30">
        <f>IFERROR(__xludf.DUMMYFUNCTION("""COMPUTED_VALUE"""),1.238822554351765)</f>
        <v>1.238822554</v>
      </c>
      <c r="AP620" s="30">
        <f>IFERROR(__xludf.DUMMYFUNCTION("""COMPUTED_VALUE"""),1.116627565124056)</f>
        <v>1.116627565</v>
      </c>
      <c r="AQ620" s="30">
        <f>IFERROR(__xludf.DUMMYFUNCTION("""COMPUTED_VALUE"""),1.1623890407968933)</f>
        <v>1.162389041</v>
      </c>
      <c r="AR620" s="30">
        <f>IFERROR(__xludf.DUMMYFUNCTION("""COMPUTED_VALUE"""),1.1116958365343719)</f>
        <v>1.111695837</v>
      </c>
      <c r="AS620" s="30">
        <f>IFERROR(__xludf.DUMMYFUNCTION("""COMPUTED_VALUE"""),84.0)</f>
        <v>84</v>
      </c>
      <c r="AT620" s="30">
        <f>IFERROR(__xludf.DUMMYFUNCTION("""COMPUTED_VALUE"""),0.5047681694933939)</f>
        <v>0.5047681695</v>
      </c>
      <c r="AU620" s="30">
        <f>IFERROR(__xludf.DUMMYFUNCTION("""COMPUTED_VALUE"""),3.7304497869191677)</f>
        <v>3.730449787</v>
      </c>
      <c r="AV620" s="32">
        <f>IFERROR(__xludf.DUMMYFUNCTION("""COMPUTED_VALUE"""),69.23122334900893)</f>
        <v>69.23122335</v>
      </c>
      <c r="AW620" s="32">
        <f>IFERROR(__xludf.DUMMYFUNCTION("""COMPUTED_VALUE"""),4.527493300486653)</f>
        <v>4.5274933</v>
      </c>
      <c r="AX620" s="32">
        <f>IFERROR(__xludf.DUMMYFUNCTION("""COMPUTED_VALUE"""),59.90401853238165)</f>
        <v>59.90401853</v>
      </c>
      <c r="AY620" s="32">
        <f>IFERROR(__xludf.DUMMYFUNCTION("""COMPUTED_VALUE"""),2.890229999908268)</f>
        <v>2.89023</v>
      </c>
      <c r="AZ620" s="30">
        <f>IFERROR(__xludf.DUMMYFUNCTION("""COMPUTED_VALUE"""),1.6372633005783852)</f>
        <v>1.637263301</v>
      </c>
      <c r="BA620" s="30">
        <f>IFERROR(__xludf.DUMMYFUNCTION("""COMPUTED_VALUE"""),2300.0)</f>
        <v>2300</v>
      </c>
    </row>
    <row r="621">
      <c r="A621" s="71" t="str">
        <f>IFERROR(__xludf.DUMMYFUNCTION("""COMPUTED_VALUE"""),"Challenger")</f>
        <v>Challenger</v>
      </c>
      <c r="B621" s="71" t="str">
        <f>IFERROR(__xludf.DUMMYFUNCTION("""COMPUTED_VALUE"""),"RSC008000")</f>
        <v>RSC008000</v>
      </c>
      <c r="C621" s="30" t="str">
        <f>IFERROR(__xludf.DUMMYFUNCTION("""COMPUTED_VALUE"""),"ChefHoffy")</f>
        <v>ChefHoffy</v>
      </c>
      <c r="D621" s="30" t="str">
        <f>IFERROR(__xludf.DUMMYFUNCTION("""COMPUTED_VALUE"""),"Ryujin")</f>
        <v>Ryujin</v>
      </c>
      <c r="E621" s="30">
        <f>IFERROR(__xludf.DUMMYFUNCTION("""COMPUTED_VALUE"""),36.0)</f>
        <v>36</v>
      </c>
      <c r="F621" s="30">
        <f>IFERROR(__xludf.DUMMYFUNCTION("""COMPUTED_VALUE"""),24.0)</f>
        <v>24</v>
      </c>
      <c r="G621" s="42">
        <f>IFERROR(__xludf.DUMMYFUNCTION("""COMPUTED_VALUE"""),12.0)</f>
        <v>12</v>
      </c>
      <c r="H621" s="42">
        <f>IFERROR(__xludf.DUMMYFUNCTION("""COMPUTED_VALUE"""),0.6666666666666666)</f>
        <v>0.6666666667</v>
      </c>
      <c r="I621" s="42">
        <f>IFERROR(__xludf.DUMMYFUNCTION("""COMPUTED_VALUE"""),0.3229166666666667)</f>
        <v>0.3229166667</v>
      </c>
      <c r="J621" s="30">
        <f>IFERROR(__xludf.DUMMYFUNCTION("""COMPUTED_VALUE"""),340.52777777777777)</f>
        <v>340.5277778</v>
      </c>
      <c r="K621" s="30">
        <f>IFERROR(__xludf.DUMMYFUNCTION("""COMPUTED_VALUE"""),0.8611111111111112)</f>
        <v>0.8611111111</v>
      </c>
      <c r="L621" s="30">
        <f>IFERROR(__xludf.DUMMYFUNCTION("""COMPUTED_VALUE"""),0.6111111111111112)</f>
        <v>0.6111111111</v>
      </c>
      <c r="M621" s="30">
        <f>IFERROR(__xludf.DUMMYFUNCTION("""COMPUTED_VALUE"""),1.0555555555555556)</f>
        <v>1.055555556</v>
      </c>
      <c r="N621" s="30">
        <f>IFERROR(__xludf.DUMMYFUNCTION("""COMPUTED_VALUE"""),2.6666666666666665)</f>
        <v>2.666666667</v>
      </c>
      <c r="O621" s="30">
        <f>IFERROR(__xludf.DUMMYFUNCTION("""COMPUTED_VALUE"""),291.35185185185185)</f>
        <v>291.3518519</v>
      </c>
      <c r="P621" s="30">
        <f>IFERROR(__xludf.DUMMYFUNCTION("""COMPUTED_VALUE"""),0.5185185185185186)</f>
        <v>0.5185185185</v>
      </c>
      <c r="Q621" s="30">
        <f>IFERROR(__xludf.DUMMYFUNCTION("""COMPUTED_VALUE"""),0.3796296296296296)</f>
        <v>0.3796296296</v>
      </c>
      <c r="R621" s="30">
        <f>IFERROR(__xludf.DUMMYFUNCTION("""COMPUTED_VALUE"""),1.2037037037037037)</f>
        <v>1.203703704</v>
      </c>
      <c r="S621" s="30">
        <f>IFERROR(__xludf.DUMMYFUNCTION("""COMPUTED_VALUE"""),1.9074074074074074)</f>
        <v>1.907407407</v>
      </c>
      <c r="T621" s="30">
        <f>IFERROR(__xludf.DUMMYFUNCTION("""COMPUTED_VALUE"""),329.0240049043056)</f>
        <v>329.0240049</v>
      </c>
      <c r="U621" s="30">
        <f>IFERROR(__xludf.DUMMYFUNCTION("""COMPUTED_VALUE"""),0.7648654839931854)</f>
        <v>0.764865484</v>
      </c>
      <c r="V621" s="30">
        <f>IFERROR(__xludf.DUMMYFUNCTION("""COMPUTED_VALUE"""),0.5212809906852512)</f>
        <v>0.5212809907</v>
      </c>
      <c r="W621" s="30">
        <f>IFERROR(__xludf.DUMMYFUNCTION("""COMPUTED_VALUE"""),1.1308448307067327)</f>
        <v>1.130844831</v>
      </c>
      <c r="X621" s="30">
        <f>IFERROR(__xludf.DUMMYFUNCTION("""COMPUTED_VALUE"""),2.4023496296629117)</f>
        <v>2.40234963</v>
      </c>
      <c r="Y621" s="30">
        <f>IFERROR(__xludf.DUMMYFUNCTION("""COMPUTED_VALUE"""),320.7943840207231)</f>
        <v>320.794384</v>
      </c>
      <c r="Z621" s="30">
        <f>IFERROR(__xludf.DUMMYFUNCTION("""COMPUTED_VALUE"""),0.736558250003069)</f>
        <v>0.73655825</v>
      </c>
      <c r="AA621" s="30">
        <f>IFERROR(__xludf.DUMMYFUNCTION("""COMPUTED_VALUE"""),0.4971573499519356)</f>
        <v>0.49715735</v>
      </c>
      <c r="AB621" s="30">
        <f>IFERROR(__xludf.DUMMYFUNCTION("""COMPUTED_VALUE"""),1.170011649857392)</f>
        <v>1.17001165</v>
      </c>
      <c r="AC621" s="30">
        <f>IFERROR(__xludf.DUMMYFUNCTION("""COMPUTED_VALUE"""),2.3062613458907024)</f>
        <v>2.306261346</v>
      </c>
      <c r="AD621" s="30">
        <f>IFERROR(__xludf.DUMMYFUNCTION("""COMPUTED_VALUE"""),1.0615141496859244)</f>
        <v>1.06151415</v>
      </c>
      <c r="AE621" s="30">
        <f>IFERROR(__xludf.DUMMYFUNCTION("""COMPUTED_VALUE"""),1.169101168994473)</f>
        <v>1.169101169</v>
      </c>
      <c r="AF621" s="30">
        <f>IFERROR(__xludf.DUMMYFUNCTION("""COMPUTED_VALUE"""),1.2292106536696932)</f>
        <v>1.229210654</v>
      </c>
      <c r="AG621" s="30">
        <f>IFERROR(__xludf.DUMMYFUNCTION("""COMPUTED_VALUE"""),0.9021752524295061)</f>
        <v>0.9021752524</v>
      </c>
      <c r="AH621" s="30">
        <f>IFERROR(__xludf.DUMMYFUNCTION("""COMPUTED_VALUE"""),1.1562725410188808)</f>
        <v>1.156272541</v>
      </c>
      <c r="AI621" s="30">
        <f>IFERROR(__xludf.DUMMYFUNCTION("""COMPUTED_VALUE"""),0.8855033295719245)</f>
        <v>0.8855033296</v>
      </c>
      <c r="AJ621" s="30">
        <f>IFERROR(__xludf.DUMMYFUNCTION("""COMPUTED_VALUE"""),0.6779211892416083)</f>
        <v>0.6779211892</v>
      </c>
      <c r="AK621" s="30">
        <f>IFERROR(__xludf.DUMMYFUNCTION("""COMPUTED_VALUE"""),0.7282629453465903)</f>
        <v>0.7282629453</v>
      </c>
      <c r="AL621" s="30">
        <f>IFERROR(__xludf.DUMMYFUNCTION("""COMPUTED_VALUE"""),1.064428709420228)</f>
        <v>1.064428709</v>
      </c>
      <c r="AM621" s="30">
        <f>IFERROR(__xludf.DUMMYFUNCTION("""COMPUTED_VALUE"""),0.7939757743235099)</f>
        <v>0.7939757743</v>
      </c>
      <c r="AN621" s="30">
        <f>IFERROR(__xludf.DUMMYFUNCTION("""COMPUTED_VALUE"""),1.035945941470405)</f>
        <v>1.035945941</v>
      </c>
      <c r="AO621" s="30">
        <f>IFERROR(__xludf.DUMMYFUNCTION("""COMPUTED_VALUE"""),1.135587341489118)</f>
        <v>1.135587341</v>
      </c>
      <c r="AP621" s="30">
        <f>IFERROR(__xludf.DUMMYFUNCTION("""COMPUTED_VALUE"""),1.1851924156141296)</f>
        <v>1.185192416</v>
      </c>
      <c r="AQ621" s="30">
        <f>IFERROR(__xludf.DUMMYFUNCTION("""COMPUTED_VALUE"""),0.8802148895889518)</f>
        <v>0.8802148896</v>
      </c>
      <c r="AR621" s="30">
        <f>IFERROR(__xludf.DUMMYFUNCTION("""COMPUTED_VALUE"""),1.1116958365343719)</f>
        <v>1.111695837</v>
      </c>
      <c r="AS621" s="30">
        <f>IFERROR(__xludf.DUMMYFUNCTION("""COMPUTED_VALUE"""),91.0)</f>
        <v>91</v>
      </c>
      <c r="AT621" s="30">
        <f>IFERROR(__xludf.DUMMYFUNCTION("""COMPUTED_VALUE"""),0.674155082745607)</f>
        <v>0.6741550827</v>
      </c>
      <c r="AU621" s="30">
        <f>IFERROR(__xludf.DUMMYFUNCTION("""COMPUTED_VALUE"""),3.916520735318277)</f>
        <v>3.916520735</v>
      </c>
      <c r="AV621" s="32">
        <f>IFERROR(__xludf.DUMMYFUNCTION("""COMPUTED_VALUE"""),74.15134070223705)</f>
        <v>74.1513407</v>
      </c>
      <c r="AW621" s="32">
        <f>IFERROR(__xludf.DUMMYFUNCTION("""COMPUTED_VALUE"""),5.987712970707619)</f>
        <v>5.987712971</v>
      </c>
      <c r="AX621" s="32">
        <f>IFERROR(__xludf.DUMMYFUNCTION("""COMPUTED_VALUE"""),69.06893631404662)</f>
        <v>69.06893631</v>
      </c>
      <c r="AY621" s="32">
        <f>IFERROR(__xludf.DUMMYFUNCTION("""COMPUTED_VALUE"""),4.488249158949173)</f>
        <v>4.488249159</v>
      </c>
      <c r="AZ621" s="30">
        <f>IFERROR(__xludf.DUMMYFUNCTION("""COMPUTED_VALUE"""),1.4994638117584467)</f>
        <v>1.499463812</v>
      </c>
      <c r="BA621" s="30">
        <f>IFERROR(__xludf.DUMMYFUNCTION("""COMPUTED_VALUE"""),2300.0)</f>
        <v>2300</v>
      </c>
    </row>
    <row r="622">
      <c r="A622" s="71" t="str">
        <f>IFERROR(__xludf.DUMMYFUNCTION("""COMPUTED_VALUE"""),"Challenger")</f>
        <v>Challenger</v>
      </c>
      <c r="B622" s="71" t="str">
        <f>IFERROR(__xludf.DUMMYFUNCTION("""COMPUTED_VALUE"""),"RSC004901")</f>
        <v>RSC004901</v>
      </c>
      <c r="C622" s="30" t="str">
        <f>IFERROR(__xludf.DUMMYFUNCTION("""COMPUTED_VALUE"""),"Dofri9976")</f>
        <v>Dofri9976</v>
      </c>
      <c r="D622" s="30" t="str">
        <f>IFERROR(__xludf.DUMMYFUNCTION("""COMPUTED_VALUE"""),"Lilac")</f>
        <v>Lilac</v>
      </c>
      <c r="E622" s="30">
        <f>IFERROR(__xludf.DUMMYFUNCTION("""COMPUTED_VALUE"""),16.0)</f>
        <v>16</v>
      </c>
      <c r="F622" s="30">
        <f>IFERROR(__xludf.DUMMYFUNCTION("""COMPUTED_VALUE"""),9.0)</f>
        <v>9</v>
      </c>
      <c r="G622" s="42">
        <f>IFERROR(__xludf.DUMMYFUNCTION("""COMPUTED_VALUE"""),7.0)</f>
        <v>7</v>
      </c>
      <c r="H622" s="42">
        <f>IFERROR(__xludf.DUMMYFUNCTION("""COMPUTED_VALUE"""),0.5625)</f>
        <v>0.5625</v>
      </c>
      <c r="I622" s="42">
        <f>IFERROR(__xludf.DUMMYFUNCTION("""COMPUTED_VALUE"""),0.30434782608695654)</f>
        <v>0.3043478261</v>
      </c>
      <c r="J622" s="30">
        <f>IFERROR(__xludf.DUMMYFUNCTION("""COMPUTED_VALUE"""),393.0)</f>
        <v>393</v>
      </c>
      <c r="K622" s="30">
        <f>IFERROR(__xludf.DUMMYFUNCTION("""COMPUTED_VALUE"""),0.875)</f>
        <v>0.875</v>
      </c>
      <c r="L622" s="30">
        <f>IFERROR(__xludf.DUMMYFUNCTION("""COMPUTED_VALUE"""),0.75)</f>
        <v>0.75</v>
      </c>
      <c r="M622" s="30">
        <f>IFERROR(__xludf.DUMMYFUNCTION("""COMPUTED_VALUE"""),1.6875)</f>
        <v>1.6875</v>
      </c>
      <c r="N622" s="30">
        <f>IFERROR(__xludf.DUMMYFUNCTION("""COMPUTED_VALUE"""),2.875)</f>
        <v>2.875</v>
      </c>
      <c r="O622" s="30">
        <f>IFERROR(__xludf.DUMMYFUNCTION("""COMPUTED_VALUE"""),367.06249999999994)</f>
        <v>367.0625</v>
      </c>
      <c r="P622" s="30">
        <f>IFERROR(__xludf.DUMMYFUNCTION("""COMPUTED_VALUE"""),0.6875)</f>
        <v>0.6875</v>
      </c>
      <c r="Q622" s="30">
        <f>IFERROR(__xludf.DUMMYFUNCTION("""COMPUTED_VALUE"""),0.6041666666666667)</f>
        <v>0.6041666667</v>
      </c>
      <c r="R622" s="30">
        <f>IFERROR(__xludf.DUMMYFUNCTION("""COMPUTED_VALUE"""),1.5833333333333333)</f>
        <v>1.583333333</v>
      </c>
      <c r="S622" s="30">
        <f>IFERROR(__xludf.DUMMYFUNCTION("""COMPUTED_VALUE"""),2.354166666666667)</f>
        <v>2.354166667</v>
      </c>
      <c r="T622" s="30">
        <f>IFERROR(__xludf.DUMMYFUNCTION("""COMPUTED_VALUE"""),340.12415703767255)</f>
        <v>340.124157</v>
      </c>
      <c r="U622" s="30">
        <f>IFERROR(__xludf.DUMMYFUNCTION("""COMPUTED_VALUE"""),0.7898009161811264)</f>
        <v>0.7898009162</v>
      </c>
      <c r="V622" s="30">
        <f>IFERROR(__xludf.DUMMYFUNCTION("""COMPUTED_VALUE"""),0.5604239795693841)</f>
        <v>0.5604239796</v>
      </c>
      <c r="W622" s="30">
        <f>IFERROR(__xludf.DUMMYFUNCTION("""COMPUTED_VALUE"""),1.26832582551741)</f>
        <v>1.268325826</v>
      </c>
      <c r="X622" s="30">
        <f>IFERROR(__xludf.DUMMYFUNCTION("""COMPUTED_VALUE"""),2.412463882057498)</f>
        <v>2.412463882</v>
      </c>
      <c r="Y622" s="30">
        <f>IFERROR(__xludf.DUMMYFUNCTION("""COMPUTED_VALUE"""),361.808877138682)</f>
        <v>361.8088771</v>
      </c>
      <c r="Z622" s="30">
        <f>IFERROR(__xludf.DUMMYFUNCTION("""COMPUTED_VALUE"""),0.8916885850977414)</f>
        <v>0.8916885851</v>
      </c>
      <c r="AA622" s="30">
        <f>IFERROR(__xludf.DUMMYFUNCTION("""COMPUTED_VALUE"""),0.6350215420691673)</f>
        <v>0.6350215421</v>
      </c>
      <c r="AB622" s="30">
        <f>IFERROR(__xludf.DUMMYFUNCTION("""COMPUTED_VALUE"""),1.261748561627861)</f>
        <v>1.261748562</v>
      </c>
      <c r="AC622" s="30">
        <f>IFERROR(__xludf.DUMMYFUNCTION("""COMPUTED_VALUE"""),2.676577104684161)</f>
        <v>2.676577105</v>
      </c>
      <c r="AD622" s="30">
        <f>IFERROR(__xludf.DUMMYFUNCTION("""COMPUTED_VALUE"""),1.0862088379588386)</f>
        <v>1.086208838</v>
      </c>
      <c r="AE622" s="30">
        <f>IFERROR(__xludf.DUMMYFUNCTION("""COMPUTED_VALUE"""),0.9812842898556203)</f>
        <v>0.9812842899</v>
      </c>
      <c r="AF622" s="30">
        <f>IFERROR(__xludf.DUMMYFUNCTION("""COMPUTED_VALUE"""),1.1810622952351892)</f>
        <v>1.181062295</v>
      </c>
      <c r="AG622" s="30">
        <f>IFERROR(__xludf.DUMMYFUNCTION("""COMPUTED_VALUE"""),1.3374296997991821)</f>
        <v>1.3374297</v>
      </c>
      <c r="AH622" s="30">
        <f>IFERROR(__xludf.DUMMYFUNCTION("""COMPUTED_VALUE"""),1.0741330765209745)</f>
        <v>1.074133077</v>
      </c>
      <c r="AI622" s="30">
        <f>IFERROR(__xludf.DUMMYFUNCTION("""COMPUTED_VALUE"""),1.0792014986437546)</f>
        <v>1.079201499</v>
      </c>
      <c r="AJ622" s="30">
        <f>IFERROR(__xludf.DUMMYFUNCTION("""COMPUTED_VALUE"""),0.8704725278418574)</f>
        <v>0.8704725278</v>
      </c>
      <c r="AK622" s="30">
        <f>IFERROR(__xludf.DUMMYFUNCTION("""COMPUTED_VALUE"""),1.0780528469372304)</f>
        <v>1.078052847</v>
      </c>
      <c r="AL622" s="30">
        <f>IFERROR(__xludf.DUMMYFUNCTION("""COMPUTED_VALUE"""),1.2483648140551085)</f>
        <v>1.248364814</v>
      </c>
      <c r="AM622" s="30">
        <f>IFERROR(__xludf.DUMMYFUNCTION("""COMPUTED_VALUE"""),0.9758349893549032)</f>
        <v>0.9758349894</v>
      </c>
      <c r="AN622" s="30">
        <f>IFERROR(__xludf.DUMMYFUNCTION("""COMPUTED_VALUE"""),1.1955757549492856)</f>
        <v>1.195575755</v>
      </c>
      <c r="AO622" s="30">
        <f>IFERROR(__xludf.DUMMYFUNCTION("""COMPUTED_VALUE"""),1.1539032663518456)</f>
        <v>1.153903266</v>
      </c>
      <c r="AP622" s="30">
        <f>IFERROR(__xludf.DUMMYFUNCTION("""COMPUTED_VALUE"""),1.4545543282537043)</f>
        <v>1.454554328</v>
      </c>
      <c r="AQ622" s="30">
        <f>IFERROR(__xludf.DUMMYFUNCTION("""COMPUTED_VALUE"""),1.4071856458560215)</f>
        <v>1.407185646</v>
      </c>
      <c r="AR622" s="30">
        <f>IFERROR(__xludf.DUMMYFUNCTION("""COMPUTED_VALUE"""),1.19854707376362)</f>
        <v>1.198547074</v>
      </c>
      <c r="AS622" s="30">
        <f>IFERROR(__xludf.DUMMYFUNCTION("""COMPUTED_VALUE"""),46.0)</f>
        <v>46</v>
      </c>
      <c r="AT622" s="30">
        <f>IFERROR(__xludf.DUMMYFUNCTION("""COMPUTED_VALUE"""),0.6283699382265279)</f>
        <v>0.6283699382</v>
      </c>
      <c r="AU622" s="30">
        <f>IFERROR(__xludf.DUMMYFUNCTION("""COMPUTED_VALUE"""),3.764522248624311)</f>
        <v>3.764522249</v>
      </c>
      <c r="AV622" s="32">
        <f>IFERROR(__xludf.DUMMYFUNCTION("""COMPUTED_VALUE"""),70.1321727532281)</f>
        <v>70.13217275</v>
      </c>
      <c r="AW622" s="32">
        <f>IFERROR(__xludf.DUMMYFUNCTION("""COMPUTED_VALUE"""),4.754499813067343)</f>
        <v>4.754499813</v>
      </c>
      <c r="AX622" s="32">
        <f>IFERROR(__xludf.DUMMYFUNCTION("""COMPUTED_VALUE"""),62.71217530004003)</f>
        <v>62.7121753</v>
      </c>
      <c r="AY622" s="32">
        <f>IFERROR(__xludf.DUMMYFUNCTION("""COMPUTED_VALUE"""),3.272723341075427)</f>
        <v>3.272723341</v>
      </c>
      <c r="AZ622" s="30">
        <f>IFERROR(__xludf.DUMMYFUNCTION("""COMPUTED_VALUE"""),1.4817764719919162)</f>
        <v>1.481776472</v>
      </c>
      <c r="BA622" s="30">
        <f>IFERROR(__xludf.DUMMYFUNCTION("""COMPUTED_VALUE"""),2300.0)</f>
        <v>2300</v>
      </c>
    </row>
    <row r="623">
      <c r="A623" s="71" t="str">
        <f>IFERROR(__xludf.DUMMYFUNCTION("""COMPUTED_VALUE"""),"Challenger")</f>
        <v>Challenger</v>
      </c>
      <c r="B623" s="71" t="str">
        <f>IFERROR(__xludf.DUMMYFUNCTION("""COMPUTED_VALUE"""),"RSC000347")</f>
        <v>RSC000347</v>
      </c>
      <c r="C623" s="30" t="str">
        <f>IFERROR(__xludf.DUMMYFUNCTION("""COMPUTED_VALUE"""),"Chris.")</f>
        <v>Chris.</v>
      </c>
      <c r="D623" s="30" t="str">
        <f>IFERROR(__xludf.DUMMYFUNCTION("""COMPUTED_VALUE"""),"Zombies")</f>
        <v>Zombies</v>
      </c>
      <c r="E623" s="30">
        <f>IFERROR(__xludf.DUMMYFUNCTION("""COMPUTED_VALUE"""),13.0)</f>
        <v>13</v>
      </c>
      <c r="F623" s="30">
        <f>IFERROR(__xludf.DUMMYFUNCTION("""COMPUTED_VALUE"""),6.0)</f>
        <v>6</v>
      </c>
      <c r="G623" s="42">
        <f>IFERROR(__xludf.DUMMYFUNCTION("""COMPUTED_VALUE"""),7.0)</f>
        <v>7</v>
      </c>
      <c r="H623" s="42">
        <f>IFERROR(__xludf.DUMMYFUNCTION("""COMPUTED_VALUE"""),0.46153846153846156)</f>
        <v>0.4615384615</v>
      </c>
      <c r="I623" s="42">
        <f>IFERROR(__xludf.DUMMYFUNCTION("""COMPUTED_VALUE"""),0.3478260869565218)</f>
        <v>0.347826087</v>
      </c>
      <c r="J623" s="30">
        <f>IFERROR(__xludf.DUMMYFUNCTION("""COMPUTED_VALUE"""),230.92307692307693)</f>
        <v>230.9230769</v>
      </c>
      <c r="K623" s="30">
        <f>IFERROR(__xludf.DUMMYFUNCTION("""COMPUTED_VALUE"""),0.6153846153846154)</f>
        <v>0.6153846154</v>
      </c>
      <c r="L623" s="30">
        <f>IFERROR(__xludf.DUMMYFUNCTION("""COMPUTED_VALUE"""),0.5384615384615384)</f>
        <v>0.5384615385</v>
      </c>
      <c r="M623" s="30">
        <f>IFERROR(__xludf.DUMMYFUNCTION("""COMPUTED_VALUE"""),0.23076923076923078)</f>
        <v>0.2307692308</v>
      </c>
      <c r="N623" s="30">
        <f>IFERROR(__xludf.DUMMYFUNCTION("""COMPUTED_VALUE"""),1.7692307692307692)</f>
        <v>1.769230769</v>
      </c>
      <c r="O623" s="30">
        <f>IFERROR(__xludf.DUMMYFUNCTION("""COMPUTED_VALUE"""),312.84615384615387)</f>
        <v>312.8461538</v>
      </c>
      <c r="P623" s="30">
        <f>IFERROR(__xludf.DUMMYFUNCTION("""COMPUTED_VALUE"""),0.7948717948717949)</f>
        <v>0.7948717949</v>
      </c>
      <c r="Q623" s="30">
        <f>IFERROR(__xludf.DUMMYFUNCTION("""COMPUTED_VALUE"""),0.5641025641025641)</f>
        <v>0.5641025641</v>
      </c>
      <c r="R623" s="30">
        <f>IFERROR(__xludf.DUMMYFUNCTION("""COMPUTED_VALUE"""),0.8974358974358974)</f>
        <v>0.8974358974</v>
      </c>
      <c r="S623" s="30">
        <f>IFERROR(__xludf.DUMMYFUNCTION("""COMPUTED_VALUE"""),2.4102564102564106)</f>
        <v>2.41025641</v>
      </c>
      <c r="T623" s="30">
        <f>IFERROR(__xludf.DUMMYFUNCTION("""COMPUTED_VALUE"""),336.64196511213254)</f>
        <v>336.6419651</v>
      </c>
      <c r="U623" s="30">
        <f>IFERROR(__xludf.DUMMYFUNCTION("""COMPUTED_VALUE"""),0.8088931013155578)</f>
        <v>0.8088931013</v>
      </c>
      <c r="V623" s="30">
        <f>IFERROR(__xludf.DUMMYFUNCTION("""COMPUTED_VALUE"""),0.5666805563703826)</f>
        <v>0.5666805564</v>
      </c>
      <c r="W623" s="30">
        <f>IFERROR(__xludf.DUMMYFUNCTION("""COMPUTED_VALUE"""),1.1133810349194961)</f>
        <v>1.113381035</v>
      </c>
      <c r="X623" s="30">
        <f>IFERROR(__xludf.DUMMYFUNCTION("""COMPUTED_VALUE"""),2.6193278175505217)</f>
        <v>2.619327818</v>
      </c>
      <c r="Y623" s="30">
        <f>IFERROR(__xludf.DUMMYFUNCTION("""COMPUTED_VALUE"""),318.46910444543505)</f>
        <v>318.4691044</v>
      </c>
      <c r="Z623" s="30">
        <f>IFERROR(__xludf.DUMMYFUNCTION("""COMPUTED_VALUE"""),0.6459352268140522)</f>
        <v>0.6459352268</v>
      </c>
      <c r="AA623" s="30">
        <f>IFERROR(__xludf.DUMMYFUNCTION("""COMPUTED_VALUE"""),0.4422593156774298)</f>
        <v>0.4422593157</v>
      </c>
      <c r="AB623" s="30">
        <f>IFERROR(__xludf.DUMMYFUNCTION("""COMPUTED_VALUE"""),1.3470051246581436)</f>
        <v>1.347005125</v>
      </c>
      <c r="AC623" s="30">
        <f>IFERROR(__xludf.DUMMYFUNCTION("""COMPUTED_VALUE"""),2.115756785834329)</f>
        <v>2.115756786</v>
      </c>
      <c r="AD623" s="30">
        <f>IFERROR(__xludf.DUMMYFUNCTION("""COMPUTED_VALUE"""),0.7251035459944974)</f>
        <v>0.725103546</v>
      </c>
      <c r="AE623" s="30">
        <f>IFERROR(__xludf.DUMMYFUNCTION("""COMPUTED_VALUE"""),0.9527032894921652)</f>
        <v>0.9527032895</v>
      </c>
      <c r="AF623" s="30">
        <f>IFERROR(__xludf.DUMMYFUNCTION("""COMPUTED_VALUE"""),1.2175244689572022)</f>
        <v>1.217524469</v>
      </c>
      <c r="AG623" s="30">
        <f>IFERROR(__xludf.DUMMYFUNCTION("""COMPUTED_VALUE"""),0.1713202322283649)</f>
        <v>0.1713202322</v>
      </c>
      <c r="AH623" s="30">
        <f>IFERROR(__xludf.DUMMYFUNCTION("""COMPUTED_VALUE"""),0.8362165165090512)</f>
        <v>0.8362165165</v>
      </c>
      <c r="AI623" s="30">
        <f>IFERROR(__xludf.DUMMYFUNCTION("""COMPUTED_VALUE"""),0.9293141861916934)</f>
        <v>0.9293141862</v>
      </c>
      <c r="AJ623" s="30">
        <f>IFERROR(__xludf.DUMMYFUNCTION("""COMPUTED_VALUE"""),0.9826660575779926)</f>
        <v>0.9826660576</v>
      </c>
      <c r="AK623" s="30">
        <f>IFERROR(__xludf.DUMMYFUNCTION("""COMPUTED_VALUE"""),0.9954507133889846)</f>
        <v>0.9954507134</v>
      </c>
      <c r="AL623" s="30">
        <f>IFERROR(__xludf.DUMMYFUNCTION("""COMPUTED_VALUE"""),0.8060456117799664)</f>
        <v>0.8060456118</v>
      </c>
      <c r="AM623" s="30">
        <f>IFERROR(__xludf.DUMMYFUNCTION("""COMPUTED_VALUE"""),0.9201812747937654)</f>
        <v>0.9201812748</v>
      </c>
      <c r="AN623" s="30">
        <f>IFERROR(__xludf.DUMMYFUNCTION("""COMPUTED_VALUE"""),0.7025089873473782)</f>
        <v>0.7025089873</v>
      </c>
      <c r="AO623" s="30">
        <f>IFERROR(__xludf.DUMMYFUNCTION("""COMPUTED_VALUE"""),0.8115363631485508)</f>
        <v>0.8115363631</v>
      </c>
      <c r="AP623" s="30">
        <f>IFERROR(__xludf.DUMMYFUNCTION("""COMPUTED_VALUE"""),1.0442954151565056)</f>
        <v>1.044295415</v>
      </c>
      <c r="AQ623" s="30">
        <f>IFERROR(__xludf.DUMMYFUNCTION("""COMPUTED_VALUE"""),0.19243564387774653)</f>
        <v>0.1924356439</v>
      </c>
      <c r="AR623" s="30">
        <f>IFERROR(__xludf.DUMMYFUNCTION("""COMPUTED_VALUE"""),0.7375674300083814)</f>
        <v>0.73756743</v>
      </c>
      <c r="AS623" s="30">
        <f>IFERROR(__xludf.DUMMYFUNCTION("""COMPUTED_VALUE"""),25.0)</f>
        <v>25</v>
      </c>
      <c r="AT623" s="30">
        <f>IFERROR(__xludf.DUMMYFUNCTION("""COMPUTED_VALUE"""),0.4189443762737412)</f>
        <v>0.4189443763</v>
      </c>
      <c r="AU623" s="30">
        <f>IFERROR(__xludf.DUMMYFUNCTION("""COMPUTED_VALUE"""),2.4782002617111836)</f>
        <v>2.478200262</v>
      </c>
      <c r="AV623" s="32">
        <f>IFERROR(__xludf.DUMMYFUNCTION("""COMPUTED_VALUE"""),36.11904397572984)</f>
        <v>36.11904398</v>
      </c>
      <c r="AW623" s="32">
        <f>IFERROR(__xludf.DUMMYFUNCTION("""COMPUTED_VALUE"""),-3.4558327228269348)</f>
        <v>-3.455832723</v>
      </c>
      <c r="AX623" s="32">
        <f>IFERROR(__xludf.DUMMYFUNCTION("""COMPUTED_VALUE"""),29.352787799954513)</f>
        <v>29.3527878</v>
      </c>
      <c r="AY623" s="32">
        <f>IFERROR(__xludf.DUMMYFUNCTION("""COMPUTED_VALUE"""),-4.891562000479754)</f>
        <v>-4.891562</v>
      </c>
      <c r="AZ623" s="30">
        <f>IFERROR(__xludf.DUMMYFUNCTION("""COMPUTED_VALUE"""),1.4357292776528197)</f>
        <v>1.435729278</v>
      </c>
      <c r="BA623" s="30">
        <f>IFERROR(__xludf.DUMMYFUNCTION("""COMPUTED_VALUE"""),2300.0)</f>
        <v>2300</v>
      </c>
    </row>
    <row r="624">
      <c r="A624" s="71" t="str">
        <f>IFERROR(__xludf.DUMMYFUNCTION("""COMPUTED_VALUE"""),"Challenger")</f>
        <v>Challenger</v>
      </c>
      <c r="B624" s="71" t="str">
        <f>IFERROR(__xludf.DUMMYFUNCTION("""COMPUTED_VALUE"""),"RSC004073")</f>
        <v>RSC004073</v>
      </c>
      <c r="C624" s="30" t="str">
        <f>IFERROR(__xludf.DUMMYFUNCTION("""COMPUTED_VALUE"""),"BusterChugs")</f>
        <v>BusterChugs</v>
      </c>
      <c r="D624" s="30" t="str">
        <f>IFERROR(__xludf.DUMMYFUNCTION("""COMPUTED_VALUE"""),"Spearmint")</f>
        <v>Spearmint</v>
      </c>
      <c r="E624" s="30">
        <f>IFERROR(__xludf.DUMMYFUNCTION("""COMPUTED_VALUE"""),32.0)</f>
        <v>32</v>
      </c>
      <c r="F624" s="30">
        <f>IFERROR(__xludf.DUMMYFUNCTION("""COMPUTED_VALUE"""),11.0)</f>
        <v>11</v>
      </c>
      <c r="G624" s="42">
        <f>IFERROR(__xludf.DUMMYFUNCTION("""COMPUTED_VALUE"""),21.0)</f>
        <v>21</v>
      </c>
      <c r="H624" s="42">
        <f>IFERROR(__xludf.DUMMYFUNCTION("""COMPUTED_VALUE"""),0.34375)</f>
        <v>0.34375</v>
      </c>
      <c r="I624" s="42">
        <f>IFERROR(__xludf.DUMMYFUNCTION("""COMPUTED_VALUE"""),0.4262295081967213)</f>
        <v>0.4262295082</v>
      </c>
      <c r="J624" s="30">
        <f>IFERROR(__xludf.DUMMYFUNCTION("""COMPUTED_VALUE"""),321.53125)</f>
        <v>321.53125</v>
      </c>
      <c r="K624" s="30">
        <f>IFERROR(__xludf.DUMMYFUNCTION("""COMPUTED_VALUE"""),0.8125)</f>
        <v>0.8125</v>
      </c>
      <c r="L624" s="30">
        <f>IFERROR(__xludf.DUMMYFUNCTION("""COMPUTED_VALUE"""),0.4375)</f>
        <v>0.4375</v>
      </c>
      <c r="M624" s="30">
        <f>IFERROR(__xludf.DUMMYFUNCTION("""COMPUTED_VALUE"""),0.96875)</f>
        <v>0.96875</v>
      </c>
      <c r="N624" s="30">
        <f>IFERROR(__xludf.DUMMYFUNCTION("""COMPUTED_VALUE"""),1.90625)</f>
        <v>1.90625</v>
      </c>
      <c r="O624" s="30">
        <f>IFERROR(__xludf.DUMMYFUNCTION("""COMPUTED_VALUE"""),342.96875000000006)</f>
        <v>342.96875</v>
      </c>
      <c r="P624" s="30">
        <f>IFERROR(__xludf.DUMMYFUNCTION("""COMPUTED_VALUE"""),0.9687499999999999)</f>
        <v>0.96875</v>
      </c>
      <c r="Q624" s="30">
        <f>IFERROR(__xludf.DUMMYFUNCTION("""COMPUTED_VALUE"""),0.59375)</f>
        <v>0.59375</v>
      </c>
      <c r="R624" s="30">
        <f>IFERROR(__xludf.DUMMYFUNCTION("""COMPUTED_VALUE"""),1.0625)</f>
        <v>1.0625</v>
      </c>
      <c r="S624" s="30">
        <f>IFERROR(__xludf.DUMMYFUNCTION("""COMPUTED_VALUE"""),2.53125)</f>
        <v>2.53125</v>
      </c>
      <c r="T624" s="30">
        <f>IFERROR(__xludf.DUMMYFUNCTION("""COMPUTED_VALUE"""),332.8946001894185)</f>
        <v>332.8946002</v>
      </c>
      <c r="U624" s="30">
        <f>IFERROR(__xludf.DUMMYFUNCTION("""COMPUTED_VALUE"""),0.7324991584511875)</f>
        <v>0.7324991585</v>
      </c>
      <c r="V624" s="30">
        <f>IFERROR(__xludf.DUMMYFUNCTION("""COMPUTED_VALUE"""),0.4927522128472148)</f>
        <v>0.4927522128</v>
      </c>
      <c r="W624" s="30">
        <f>IFERROR(__xludf.DUMMYFUNCTION("""COMPUTED_VALUE"""),1.304749779188201)</f>
        <v>1.304749779</v>
      </c>
      <c r="X624" s="30">
        <f>IFERROR(__xludf.DUMMYFUNCTION("""COMPUTED_VALUE"""),2.3489659051709513)</f>
        <v>2.348965905</v>
      </c>
      <c r="Y624" s="30">
        <f>IFERROR(__xludf.DUMMYFUNCTION("""COMPUTED_VALUE"""),334.998132331704)</f>
        <v>334.9981323</v>
      </c>
      <c r="Z624" s="30">
        <f>IFERROR(__xludf.DUMMYFUNCTION("""COMPUTED_VALUE"""),0.7693470184409197)</f>
        <v>0.7693470184</v>
      </c>
      <c r="AA624" s="30">
        <f>IFERROR(__xludf.DUMMYFUNCTION("""COMPUTED_VALUE"""),0.5262969756197038)</f>
        <v>0.5262969756</v>
      </c>
      <c r="AB624" s="30">
        <f>IFERROR(__xludf.DUMMYFUNCTION("""COMPUTED_VALUE"""),1.180287064264395)</f>
        <v>1.180287064</v>
      </c>
      <c r="AC624" s="30">
        <f>IFERROR(__xludf.DUMMYFUNCTION("""COMPUTED_VALUE"""),2.4827853969200775)</f>
        <v>2.482785397</v>
      </c>
      <c r="AD624" s="30">
        <f>IFERROR(__xludf.DUMMYFUNCTION("""COMPUTED_VALUE"""),0.959800127129158)</f>
        <v>0.9598001271</v>
      </c>
      <c r="AE624" s="30">
        <f>IFERROR(__xludf.DUMMYFUNCTION("""COMPUTED_VALUE"""),1.0560903994227855)</f>
        <v>1.056090399</v>
      </c>
      <c r="AF624" s="30">
        <f>IFERROR(__xludf.DUMMYFUNCTION("""COMPUTED_VALUE"""),0.8312797151928392)</f>
        <v>0.8312797152</v>
      </c>
      <c r="AG624" s="30">
        <f>IFERROR(__xludf.DUMMYFUNCTION("""COMPUTED_VALUE"""),0.8207749024206803)</f>
        <v>0.8207749024</v>
      </c>
      <c r="AH624" s="30">
        <f>IFERROR(__xludf.DUMMYFUNCTION("""COMPUTED_VALUE"""),0.7677868584069828)</f>
        <v>0.7677868584</v>
      </c>
      <c r="AI624" s="30">
        <f>IFERROR(__xludf.DUMMYFUNCTION("""COMPUTED_VALUE"""),1.030262280628311)</f>
        <v>1.030262281</v>
      </c>
      <c r="AJ624" s="30">
        <f>IFERROR(__xludf.DUMMYFUNCTION("""COMPUTED_VALUE"""),1.3225271166841288)</f>
        <v>1.322527117</v>
      </c>
      <c r="AK624" s="30">
        <f>IFERROR(__xludf.DUMMYFUNCTION("""COMPUTED_VALUE"""),1.2049666841051834)</f>
        <v>1.204966684</v>
      </c>
      <c r="AL624" s="30">
        <f>IFERROR(__xludf.DUMMYFUNCTION("""COMPUTED_VALUE"""),0.8143323853720629)</f>
        <v>0.8143323854</v>
      </c>
      <c r="AM624" s="30">
        <f>IFERROR(__xludf.DUMMYFUNCTION("""COMPUTED_VALUE"""),1.0776018478717693)</f>
        <v>1.077601848</v>
      </c>
      <c r="AN624" s="30">
        <f>IFERROR(__xludf.DUMMYFUNCTION("""COMPUTED_VALUE"""),0.9781551322100189)</f>
        <v>0.9781551322</v>
      </c>
      <c r="AO624" s="30">
        <f>IFERROR(__xludf.DUMMYFUNCTION("""COMPUTED_VALUE"""),1.071481604469571)</f>
        <v>1.071481604</v>
      </c>
      <c r="AP624" s="30">
        <f>IFERROR(__xludf.DUMMYFUNCTION("""COMPUTED_VALUE"""),0.8484900248146608)</f>
        <v>0.8484900248</v>
      </c>
      <c r="AQ624" s="30">
        <f>IFERROR(__xludf.DUMMYFUNCTION("""COMPUTED_VALUE"""),0.8078287966951234)</f>
        <v>0.8078287967</v>
      </c>
      <c r="AR624" s="30">
        <f>IFERROR(__xludf.DUMMYFUNCTION("""COMPUTED_VALUE"""),0.7946888206476175)</f>
        <v>0.7946888206</v>
      </c>
      <c r="AS624" s="30">
        <f>IFERROR(__xludf.DUMMYFUNCTION("""COMPUTED_VALUE"""),65.0)</f>
        <v>65</v>
      </c>
      <c r="AT624" s="30">
        <f>IFERROR(__xludf.DUMMYFUNCTION("""COMPUTED_VALUE"""),0.3620517442519526)</f>
        <v>0.3620517443</v>
      </c>
      <c r="AU624" s="30">
        <f>IFERROR(__xludf.DUMMYFUNCTION("""COMPUTED_VALUE"""),2.4589411241550465)</f>
        <v>2.458941124</v>
      </c>
      <c r="AV624" s="32">
        <f>IFERROR(__xludf.DUMMYFUNCTION("""COMPUTED_VALUE"""),35.60979082410452)</f>
        <v>35.60979082</v>
      </c>
      <c r="AW624" s="32">
        <f>IFERROR(__xludf.DUMMYFUNCTION("""COMPUTED_VALUE"""),-3.54057546374979)</f>
        <v>-3.540575464</v>
      </c>
      <c r="AX624" s="32">
        <f>IFERROR(__xludf.DUMMYFUNCTION("""COMPUTED_VALUE"""),47.99229510674045)</f>
        <v>47.99229511</v>
      </c>
      <c r="AY624" s="32">
        <f>IFERROR(__xludf.DUMMYFUNCTION("""COMPUTED_VALUE"""),-2.136770080096787)</f>
        <v>-2.13677008</v>
      </c>
      <c r="AZ624" s="30">
        <f>IFERROR(__xludf.DUMMYFUNCTION("""COMPUTED_VALUE"""),1.4038053836530033)</f>
        <v>1.403805384</v>
      </c>
      <c r="BA624" s="30">
        <f>IFERROR(__xludf.DUMMYFUNCTION("""COMPUTED_VALUE"""),2300.0)</f>
        <v>2300</v>
      </c>
    </row>
    <row r="625">
      <c r="A625" s="71" t="str">
        <f>IFERROR(__xludf.DUMMYFUNCTION("""COMPUTED_VALUE"""),"Challenger")</f>
        <v>Challenger</v>
      </c>
      <c r="B625" s="71" t="str">
        <f>IFERROR(__xludf.DUMMYFUNCTION("""COMPUTED_VALUE"""),"RSC007291")</f>
        <v>RSC007291</v>
      </c>
      <c r="C625" s="30" t="str">
        <f>IFERROR(__xludf.DUMMYFUNCTION("""COMPUTED_VALUE"""),"brdtrd999")</f>
        <v>brdtrd999</v>
      </c>
      <c r="D625" s="30" t="str">
        <f>IFERROR(__xludf.DUMMYFUNCTION("""COMPUTED_VALUE"""),"Hydras")</f>
        <v>Hydras</v>
      </c>
      <c r="E625" s="30">
        <f>IFERROR(__xludf.DUMMYFUNCTION("""COMPUTED_VALUE"""),26.0)</f>
        <v>26</v>
      </c>
      <c r="F625" s="30">
        <f>IFERROR(__xludf.DUMMYFUNCTION("""COMPUTED_VALUE"""),15.0)</f>
        <v>15</v>
      </c>
      <c r="G625" s="42">
        <f>IFERROR(__xludf.DUMMYFUNCTION("""COMPUTED_VALUE"""),11.0)</f>
        <v>11</v>
      </c>
      <c r="H625" s="42">
        <f>IFERROR(__xludf.DUMMYFUNCTION("""COMPUTED_VALUE"""),0.5769230769230769)</f>
        <v>0.5769230769</v>
      </c>
      <c r="I625" s="42">
        <f>IFERROR(__xludf.DUMMYFUNCTION("""COMPUTED_VALUE"""),0.29577464788732394)</f>
        <v>0.2957746479</v>
      </c>
      <c r="J625" s="30">
        <f>IFERROR(__xludf.DUMMYFUNCTION("""COMPUTED_VALUE"""),335.9230769230769)</f>
        <v>335.9230769</v>
      </c>
      <c r="K625" s="30">
        <f>IFERROR(__xludf.DUMMYFUNCTION("""COMPUTED_VALUE"""),0.8076923076923077)</f>
        <v>0.8076923077</v>
      </c>
      <c r="L625" s="30">
        <f>IFERROR(__xludf.DUMMYFUNCTION("""COMPUTED_VALUE"""),0.3076923076923077)</f>
        <v>0.3076923077</v>
      </c>
      <c r="M625" s="30">
        <f>IFERROR(__xludf.DUMMYFUNCTION("""COMPUTED_VALUE"""),1.2692307692307692)</f>
        <v>1.269230769</v>
      </c>
      <c r="N625" s="30">
        <f>IFERROR(__xludf.DUMMYFUNCTION("""COMPUTED_VALUE"""),2.730769230769231)</f>
        <v>2.730769231</v>
      </c>
      <c r="O625" s="30">
        <f>IFERROR(__xludf.DUMMYFUNCTION("""COMPUTED_VALUE"""),344.1410256410257)</f>
        <v>344.1410256</v>
      </c>
      <c r="P625" s="30">
        <f>IFERROR(__xludf.DUMMYFUNCTION("""COMPUTED_VALUE"""),0.7564102564102563)</f>
        <v>0.7564102564</v>
      </c>
      <c r="Q625" s="30">
        <f>IFERROR(__xludf.DUMMYFUNCTION("""COMPUTED_VALUE"""),0.5128205128205129)</f>
        <v>0.5128205128</v>
      </c>
      <c r="R625" s="30">
        <f>IFERROR(__xludf.DUMMYFUNCTION("""COMPUTED_VALUE"""),1.2948717948717952)</f>
        <v>1.294871795</v>
      </c>
      <c r="S625" s="30">
        <f>IFERROR(__xludf.DUMMYFUNCTION("""COMPUTED_VALUE"""),2.8589743589743595)</f>
        <v>2.858974359</v>
      </c>
      <c r="T625" s="30">
        <f>IFERROR(__xludf.DUMMYFUNCTION("""COMPUTED_VALUE"""),337.66950618541097)</f>
        <v>337.6695062</v>
      </c>
      <c r="U625" s="30">
        <f>IFERROR(__xludf.DUMMYFUNCTION("""COMPUTED_VALUE"""),0.7487659520634538)</f>
        <v>0.7487659521</v>
      </c>
      <c r="V625" s="30">
        <f>IFERROR(__xludf.DUMMYFUNCTION("""COMPUTED_VALUE"""),0.5233323943419715)</f>
        <v>0.5233323943</v>
      </c>
      <c r="W625" s="30">
        <f>IFERROR(__xludf.DUMMYFUNCTION("""COMPUTED_VALUE"""),1.2883208159416386)</f>
        <v>1.288320816</v>
      </c>
      <c r="X625" s="30">
        <f>IFERROR(__xludf.DUMMYFUNCTION("""COMPUTED_VALUE"""),2.5641713876307297)</f>
        <v>2.564171388</v>
      </c>
      <c r="Y625" s="30">
        <f>IFERROR(__xludf.DUMMYFUNCTION("""COMPUTED_VALUE"""),345.96498465421996)</f>
        <v>345.9649847</v>
      </c>
      <c r="Z625" s="30">
        <f>IFERROR(__xludf.DUMMYFUNCTION("""COMPUTED_VALUE"""),0.7560238337566765)</f>
        <v>0.7560238338</v>
      </c>
      <c r="AA625" s="30">
        <f>IFERROR(__xludf.DUMMYFUNCTION("""COMPUTED_VALUE"""),0.5121558596695694)</f>
        <v>0.5121558597</v>
      </c>
      <c r="AB625" s="30">
        <f>IFERROR(__xludf.DUMMYFUNCTION("""COMPUTED_VALUE"""),1.3562124029020977)</f>
        <v>1.356212403</v>
      </c>
      <c r="AC625" s="30">
        <f>IFERROR(__xludf.DUMMYFUNCTION("""COMPUTED_VALUE"""),2.52909842175662)</f>
        <v>2.529098422</v>
      </c>
      <c r="AD625" s="30">
        <f>IFERROR(__xludf.DUMMYFUNCTION("""COMPUTED_VALUE"""),0.97097420786332)</f>
        <v>0.9709742079</v>
      </c>
      <c r="AE625" s="30">
        <f>IFERROR(__xludf.DUMMYFUNCTION("""COMPUTED_VALUE"""),1.0683423876716835)</f>
        <v>1.068342388</v>
      </c>
      <c r="AF625" s="30">
        <f>IFERROR(__xludf.DUMMYFUNCTION("""COMPUTED_VALUE"""),0.600778653378726)</f>
        <v>0.6007786534</v>
      </c>
      <c r="AG625" s="30">
        <f>IFERROR(__xludf.DUMMYFUNCTION("""COMPUTED_VALUE"""),0.935864298626675)</f>
        <v>0.9358642986</v>
      </c>
      <c r="AH625" s="30">
        <f>IFERROR(__xludf.DUMMYFUNCTION("""COMPUTED_VALUE"""),1.0797401980396388)</f>
        <v>1.079740198</v>
      </c>
      <c r="AI625" s="30">
        <f>IFERROR(__xludf.DUMMYFUNCTION("""COMPUTED_VALUE"""),1.0191652468969503)</f>
        <v>1.019165247</v>
      </c>
      <c r="AJ625" s="30">
        <f>IFERROR(__xludf.DUMMYFUNCTION("""COMPUTED_VALUE"""),1.0102092039918966)</f>
        <v>1.010209204</v>
      </c>
      <c r="AK625" s="30">
        <f>IFERROR(__xludf.DUMMYFUNCTION("""COMPUTED_VALUE"""),0.9799135661481914)</f>
        <v>0.9799135661</v>
      </c>
      <c r="AL625" s="30">
        <f>IFERROR(__xludf.DUMMYFUNCTION("""COMPUTED_VALUE"""),1.0050848972158914)</f>
        <v>1.005084897</v>
      </c>
      <c r="AM625" s="30">
        <f>IFERROR(__xludf.DUMMYFUNCTION("""COMPUTED_VALUE"""),1.1149700728920562)</f>
        <v>1.114970073</v>
      </c>
      <c r="AN625" s="30">
        <f>IFERROR(__xludf.DUMMYFUNCTION("""COMPUTED_VALUE"""),1.0219376241658895)</f>
        <v>1.021937624</v>
      </c>
      <c r="AO625" s="30">
        <f>IFERROR(__xludf.DUMMYFUNCTION("""COMPUTED_VALUE"""),1.065141476632473)</f>
        <v>1.065141477</v>
      </c>
      <c r="AP625" s="30">
        <f>IFERROR(__xludf.DUMMYFUNCTION("""COMPUTED_VALUE"""),0.596740237232289)</f>
        <v>0.5967402372</v>
      </c>
      <c r="AQ625" s="30">
        <f>IFERROR(__xludf.DUMMYFUNCTION("""COMPUTED_VALUE"""),1.058396041327606)</f>
        <v>1.058396041</v>
      </c>
      <c r="AR625" s="30">
        <f>IFERROR(__xludf.DUMMYFUNCTION("""COMPUTED_VALUE"""),1.1384192941433713)</f>
        <v>1.138419294</v>
      </c>
      <c r="AS625" s="30">
        <f>IFERROR(__xludf.DUMMYFUNCTION("""COMPUTED_VALUE"""),56.0)</f>
        <v>56</v>
      </c>
      <c r="AT625" s="30">
        <f>IFERROR(__xludf.DUMMYFUNCTION("""COMPUTED_VALUE"""),0.4800205473785568)</f>
        <v>0.4800205474</v>
      </c>
      <c r="AU625" s="30">
        <f>IFERROR(__xludf.DUMMYFUNCTION("""COMPUTED_VALUE"""),2.8819112987548743)</f>
        <v>2.881911299</v>
      </c>
      <c r="AV625" s="32">
        <f>IFERROR(__xludf.DUMMYFUNCTION("""COMPUTED_VALUE"""),46.79403486569881)</f>
        <v>46.79403487</v>
      </c>
      <c r="AW625" s="32">
        <f>IFERROR(__xludf.DUMMYFUNCTION("""COMPUTED_VALUE"""),-2.2272703314115363)</f>
        <v>-2.227270331</v>
      </c>
      <c r="AX625" s="32">
        <f>IFERROR(__xludf.DUMMYFUNCTION("""COMPUTED_VALUE"""),35.2110352577525)</f>
        <v>35.21103526</v>
      </c>
      <c r="AY625" s="32">
        <f>IFERROR(__xludf.DUMMYFUNCTION("""COMPUTED_VALUE"""),-3.609155782239576)</f>
        <v>-3.609155782</v>
      </c>
      <c r="AZ625" s="30">
        <f>IFERROR(__xludf.DUMMYFUNCTION("""COMPUTED_VALUE"""),1.3818854508280398)</f>
        <v>1.381885451</v>
      </c>
      <c r="BA625" s="30">
        <f>IFERROR(__xludf.DUMMYFUNCTION("""COMPUTED_VALUE"""),2300.0)</f>
        <v>2300</v>
      </c>
    </row>
    <row r="626">
      <c r="A626" s="71" t="str">
        <f>IFERROR(__xludf.DUMMYFUNCTION("""COMPUTED_VALUE"""),"Challenger")</f>
        <v>Challenger</v>
      </c>
      <c r="B626" s="71" t="str">
        <f>IFERROR(__xludf.DUMMYFUNCTION("""COMPUTED_VALUE"""),"RSC007406")</f>
        <v>RSC007406</v>
      </c>
      <c r="C626" s="30" t="str">
        <f>IFERROR(__xludf.DUMMYFUNCTION("""COMPUTED_VALUE"""),"junior1000gsxr")</f>
        <v>junior1000gsxr</v>
      </c>
      <c r="D626" s="30"/>
      <c r="E626" s="30">
        <f>IFERROR(__xludf.DUMMYFUNCTION("""COMPUTED_VALUE"""),12.0)</f>
        <v>12</v>
      </c>
      <c r="F626" s="30">
        <f>IFERROR(__xludf.DUMMYFUNCTION("""COMPUTED_VALUE"""),5.0)</f>
        <v>5</v>
      </c>
      <c r="G626" s="42">
        <f>IFERROR(__xludf.DUMMYFUNCTION("""COMPUTED_VALUE"""),7.0)</f>
        <v>7</v>
      </c>
      <c r="H626" s="42">
        <f>IFERROR(__xludf.DUMMYFUNCTION("""COMPUTED_VALUE"""),0.4166666666666667)</f>
        <v>0.4166666667</v>
      </c>
      <c r="I626" s="42">
        <f>IFERROR(__xludf.DUMMYFUNCTION("""COMPUTED_VALUE"""),0.31818181818181823)</f>
        <v>0.3181818182</v>
      </c>
      <c r="J626" s="30">
        <f>IFERROR(__xludf.DUMMYFUNCTION("""COMPUTED_VALUE"""),334.9166666666667)</f>
        <v>334.9166667</v>
      </c>
      <c r="K626" s="30">
        <f>IFERROR(__xludf.DUMMYFUNCTION("""COMPUTED_VALUE"""),0.5833333333333334)</f>
        <v>0.5833333333</v>
      </c>
      <c r="L626" s="30">
        <f>IFERROR(__xludf.DUMMYFUNCTION("""COMPUTED_VALUE"""),0.6666666666666666)</f>
        <v>0.6666666667</v>
      </c>
      <c r="M626" s="30">
        <f>IFERROR(__xludf.DUMMYFUNCTION("""COMPUTED_VALUE"""),1.5833333333333333)</f>
        <v>1.583333333</v>
      </c>
      <c r="N626" s="30">
        <f>IFERROR(__xludf.DUMMYFUNCTION("""COMPUTED_VALUE"""),1.8333333333333333)</f>
        <v>1.833333333</v>
      </c>
      <c r="O626" s="30">
        <f>IFERROR(__xludf.DUMMYFUNCTION("""COMPUTED_VALUE"""),344.3333333333333)</f>
        <v>344.3333333</v>
      </c>
      <c r="P626" s="30">
        <f>IFERROR(__xludf.DUMMYFUNCTION("""COMPUTED_VALUE"""),0.9444444444444443)</f>
        <v>0.9444444444</v>
      </c>
      <c r="Q626" s="30">
        <f>IFERROR(__xludf.DUMMYFUNCTION("""COMPUTED_VALUE"""),0.6944444444444443)</f>
        <v>0.6944444444</v>
      </c>
      <c r="R626" s="30">
        <f>IFERROR(__xludf.DUMMYFUNCTION("""COMPUTED_VALUE"""),0.9166666666666666)</f>
        <v>0.9166666667</v>
      </c>
      <c r="S626" s="30">
        <f>IFERROR(__xludf.DUMMYFUNCTION("""COMPUTED_VALUE"""),3.0833333333333335)</f>
        <v>3.083333333</v>
      </c>
      <c r="T626" s="30">
        <f>IFERROR(__xludf.DUMMYFUNCTION("""COMPUTED_VALUE"""),329.2738253259086)</f>
        <v>329.2738253</v>
      </c>
      <c r="U626" s="30">
        <f>IFERROR(__xludf.DUMMYFUNCTION("""COMPUTED_VALUE"""),0.7708215050169075)</f>
        <v>0.770821505</v>
      </c>
      <c r="V626" s="30">
        <f>IFERROR(__xludf.DUMMYFUNCTION("""COMPUTED_VALUE"""),0.5334686599054416)</f>
        <v>0.5334686599</v>
      </c>
      <c r="W626" s="30">
        <f>IFERROR(__xludf.DUMMYFUNCTION("""COMPUTED_VALUE"""),1.1095809655436093)</f>
        <v>1.109580966</v>
      </c>
      <c r="X626" s="30">
        <f>IFERROR(__xludf.DUMMYFUNCTION("""COMPUTED_VALUE"""),2.351263173820645)</f>
        <v>2.351263174</v>
      </c>
      <c r="Y626" s="30">
        <f>IFERROR(__xludf.DUMMYFUNCTION("""COMPUTED_VALUE"""),353.71977373857163)</f>
        <v>353.7197737</v>
      </c>
      <c r="Z626" s="30">
        <f>IFERROR(__xludf.DUMMYFUNCTION("""COMPUTED_VALUE"""),0.9119385208944597)</f>
        <v>0.9119385209</v>
      </c>
      <c r="AA626" s="30">
        <f>IFERROR(__xludf.DUMMYFUNCTION("""COMPUTED_VALUE"""),0.5826308775303028)</f>
        <v>0.5826308775</v>
      </c>
      <c r="AB626" s="30">
        <f>IFERROR(__xludf.DUMMYFUNCTION("""COMPUTED_VALUE"""),1.1895049616553448)</f>
        <v>1.189504962</v>
      </c>
      <c r="AC626" s="30">
        <f>IFERROR(__xludf.DUMMYFUNCTION("""COMPUTED_VALUE"""),2.478275352078034)</f>
        <v>2.478275352</v>
      </c>
      <c r="AD626" s="30">
        <f>IFERROR(__xludf.DUMMYFUNCTION("""COMPUTED_VALUE"""),0.9468417983163079)</f>
        <v>0.9468417983</v>
      </c>
      <c r="AE626" s="30">
        <f>IFERROR(__xludf.DUMMYFUNCTION("""COMPUTED_VALUE"""),0.6396630035555254)</f>
        <v>0.6396630036</v>
      </c>
      <c r="AF626" s="30">
        <f>IFERROR(__xludf.DUMMYFUNCTION("""COMPUTED_VALUE"""),1.1442350420777228)</f>
        <v>1.144235042</v>
      </c>
      <c r="AG626" s="30">
        <f>IFERROR(__xludf.DUMMYFUNCTION("""COMPUTED_VALUE"""),1.331085942785751)</f>
        <v>1.331085943</v>
      </c>
      <c r="AH626" s="30">
        <f>IFERROR(__xludf.DUMMYFUNCTION("""COMPUTED_VALUE"""),0.7397617588360725)</f>
        <v>0.7397617588</v>
      </c>
      <c r="AI626" s="30">
        <f>IFERROR(__xludf.DUMMYFUNCTION("""COMPUTED_VALUE"""),1.0457355150914869)</f>
        <v>1.045735515</v>
      </c>
      <c r="AJ626" s="30">
        <f>IFERROR(__xludf.DUMMYFUNCTION("""COMPUTED_VALUE"""),1.225244026402362)</f>
        <v>1.225244026</v>
      </c>
      <c r="AK626" s="30">
        <f>IFERROR(__xludf.DUMMYFUNCTION("""COMPUTED_VALUE"""),1.3017530300046793)</f>
        <v>1.30175303</v>
      </c>
      <c r="AL626" s="30">
        <f>IFERROR(__xludf.DUMMYFUNCTION("""COMPUTED_VALUE"""),0.8261376998456084)</f>
        <v>0.8261376998</v>
      </c>
      <c r="AM626" s="30">
        <f>IFERROR(__xludf.DUMMYFUNCTION("""COMPUTED_VALUE"""),1.3113518587215924)</f>
        <v>1.311351859</v>
      </c>
      <c r="AN626" s="30">
        <f>IFERROR(__xludf.DUMMYFUNCTION("""COMPUTED_VALUE"""),1.018875945534601)</f>
        <v>1.018875946</v>
      </c>
      <c r="AO626" s="30">
        <f>IFERROR(__xludf.DUMMYFUNCTION("""COMPUTED_VALUE"""),0.7692688442345638)</f>
        <v>0.7692688442</v>
      </c>
      <c r="AP626" s="30">
        <f>IFERROR(__xludf.DUMMYFUNCTION("""COMPUTED_VALUE"""),1.2929371806699594)</f>
        <v>1.292937181</v>
      </c>
      <c r="AQ626" s="30">
        <f>IFERROR(__xludf.DUMMYFUNCTION("""COMPUTED_VALUE"""),1.3203223343834276)</f>
        <v>1.320322334</v>
      </c>
      <c r="AR626" s="30">
        <f>IFERROR(__xludf.DUMMYFUNCTION("""COMPUTED_VALUE"""),0.7642908876173807)</f>
        <v>0.7642908876</v>
      </c>
      <c r="AS626" s="30">
        <f>IFERROR(__xludf.DUMMYFUNCTION("""COMPUTED_VALUE"""),30.0)</f>
        <v>30</v>
      </c>
      <c r="AT626" s="30">
        <f>IFERROR(__xludf.DUMMYFUNCTION("""COMPUTED_VALUE"""),0.44958188361527557)</f>
        <v>0.4495818836</v>
      </c>
      <c r="AU626" s="30">
        <f>IFERROR(__xludf.DUMMYFUNCTION("""COMPUTED_VALUE"""),2.320056492715819)</f>
        <v>2.320056493</v>
      </c>
      <c r="AV626" s="32">
        <f>IFERROR(__xludf.DUMMYFUNCTION("""COMPUTED_VALUE"""),31.93738150325159)</f>
        <v>31.9373815</v>
      </c>
      <c r="AW626" s="32">
        <f>IFERROR(__xludf.DUMMYFUNCTION("""COMPUTED_VALUE"""),-4.255462093803406)</f>
        <v>-4.255462094</v>
      </c>
      <c r="AX626" s="32">
        <f>IFERROR(__xludf.DUMMYFUNCTION("""COMPUTED_VALUE"""),38.770174548453404)</f>
        <v>38.77017455</v>
      </c>
      <c r="AY626" s="32">
        <f>IFERROR(__xludf.DUMMYFUNCTION("""COMPUTED_VALUE"""),-3.0614161859715403)</f>
        <v>-3.061416186</v>
      </c>
      <c r="AZ626" s="30">
        <f>IFERROR(__xludf.DUMMYFUNCTION("""COMPUTED_VALUE"""),1.1940459078318653)</f>
        <v>1.194045908</v>
      </c>
      <c r="BA626" s="30">
        <f>IFERROR(__xludf.DUMMYFUNCTION("""COMPUTED_VALUE"""),2300.0)</f>
        <v>2300</v>
      </c>
    </row>
    <row r="627">
      <c r="A627" s="71" t="str">
        <f>IFERROR(__xludf.DUMMYFUNCTION("""COMPUTED_VALUE"""),"Challenger")</f>
        <v>Challenger</v>
      </c>
      <c r="B627" s="71" t="str">
        <f>IFERROR(__xludf.DUMMYFUNCTION("""COMPUTED_VALUE"""),"RSC002897")</f>
        <v>RSC002897</v>
      </c>
      <c r="C627" s="30" t="str">
        <f>IFERROR(__xludf.DUMMYFUNCTION("""COMPUTED_VALUE"""),"VickyViksta")</f>
        <v>VickyViksta</v>
      </c>
      <c r="D627" s="30" t="str">
        <f>IFERROR(__xludf.DUMMYFUNCTION("""COMPUTED_VALUE"""),"Panda Bears")</f>
        <v>Panda Bears</v>
      </c>
      <c r="E627" s="30">
        <f>IFERROR(__xludf.DUMMYFUNCTION("""COMPUTED_VALUE"""),31.0)</f>
        <v>31</v>
      </c>
      <c r="F627" s="30">
        <f>IFERROR(__xludf.DUMMYFUNCTION("""COMPUTED_VALUE"""),16.0)</f>
        <v>16</v>
      </c>
      <c r="G627" s="42">
        <f>IFERROR(__xludf.DUMMYFUNCTION("""COMPUTED_VALUE"""),15.0)</f>
        <v>15</v>
      </c>
      <c r="H627" s="42">
        <f>IFERROR(__xludf.DUMMYFUNCTION("""COMPUTED_VALUE"""),0.5161290322580645)</f>
        <v>0.5161290323</v>
      </c>
      <c r="I627" s="42">
        <f>IFERROR(__xludf.DUMMYFUNCTION("""COMPUTED_VALUE"""),0.25316455696202533)</f>
        <v>0.253164557</v>
      </c>
      <c r="J627" s="30">
        <f>IFERROR(__xludf.DUMMYFUNCTION("""COMPUTED_VALUE"""),334.0967741935484)</f>
        <v>334.0967742</v>
      </c>
      <c r="K627" s="30">
        <f>IFERROR(__xludf.DUMMYFUNCTION("""COMPUTED_VALUE"""),0.6451612903225806)</f>
        <v>0.6451612903</v>
      </c>
      <c r="L627" s="30">
        <f>IFERROR(__xludf.DUMMYFUNCTION("""COMPUTED_VALUE"""),0.41935483870967744)</f>
        <v>0.4193548387</v>
      </c>
      <c r="M627" s="30">
        <f>IFERROR(__xludf.DUMMYFUNCTION("""COMPUTED_VALUE"""),1.4838709677419355)</f>
        <v>1.483870968</v>
      </c>
      <c r="N627" s="30">
        <f>IFERROR(__xludf.DUMMYFUNCTION("""COMPUTED_VALUE"""),2.5483870967741935)</f>
        <v>2.548387097</v>
      </c>
      <c r="O627" s="30">
        <f>IFERROR(__xludf.DUMMYFUNCTION("""COMPUTED_VALUE"""),348.0322580645162)</f>
        <v>348.0322581</v>
      </c>
      <c r="P627" s="30">
        <f>IFERROR(__xludf.DUMMYFUNCTION("""COMPUTED_VALUE"""),0.6666666666666667)</f>
        <v>0.6666666667</v>
      </c>
      <c r="Q627" s="30">
        <f>IFERROR(__xludf.DUMMYFUNCTION("""COMPUTED_VALUE"""),0.4408602150537635)</f>
        <v>0.4408602151</v>
      </c>
      <c r="R627" s="30">
        <f>IFERROR(__xludf.DUMMYFUNCTION("""COMPUTED_VALUE"""),1.4623655913978497)</f>
        <v>1.462365591</v>
      </c>
      <c r="S627" s="30">
        <f>IFERROR(__xludf.DUMMYFUNCTION("""COMPUTED_VALUE"""),2.731182795698926)</f>
        <v>2.731182796</v>
      </c>
      <c r="T627" s="30">
        <f>IFERROR(__xludf.DUMMYFUNCTION("""COMPUTED_VALUE"""),342.87041490759043)</f>
        <v>342.8704149</v>
      </c>
      <c r="U627" s="30">
        <f>IFERROR(__xludf.DUMMYFUNCTION("""COMPUTED_VALUE"""),0.7818588119771317)</f>
        <v>0.781858812</v>
      </c>
      <c r="V627" s="30">
        <f>IFERROR(__xludf.DUMMYFUNCTION("""COMPUTED_VALUE"""),0.5401441175009063)</f>
        <v>0.5401441175</v>
      </c>
      <c r="W627" s="30">
        <f>IFERROR(__xludf.DUMMYFUNCTION("""COMPUTED_VALUE"""),1.3159143620423264)</f>
        <v>1.315914362</v>
      </c>
      <c r="X627" s="30">
        <f>IFERROR(__xludf.DUMMYFUNCTION("""COMPUTED_VALUE"""),2.4625511788358017)</f>
        <v>2.462551179</v>
      </c>
      <c r="Y627" s="30">
        <f>IFERROR(__xludf.DUMMYFUNCTION("""COMPUTED_VALUE"""),333.37533516969256)</f>
        <v>333.3753352</v>
      </c>
      <c r="Z627" s="30">
        <f>IFERROR(__xludf.DUMMYFUNCTION("""COMPUTED_VALUE"""),0.7759091015598786)</f>
        <v>0.7759091016</v>
      </c>
      <c r="AA627" s="30">
        <f>IFERROR(__xludf.DUMMYFUNCTION("""COMPUTED_VALUE"""),0.5320400944605296)</f>
        <v>0.5320400945</v>
      </c>
      <c r="AB627" s="30">
        <f>IFERROR(__xludf.DUMMYFUNCTION("""COMPUTED_VALUE"""),1.2135924757515746)</f>
        <v>1.213592476</v>
      </c>
      <c r="AC627" s="30">
        <f>IFERROR(__xludf.DUMMYFUNCTION("""COMPUTED_VALUE"""),2.532176977122308)</f>
        <v>2.532176977</v>
      </c>
      <c r="AD627" s="30">
        <f>IFERROR(__xludf.DUMMYFUNCTION("""COMPUTED_VALUE"""),1.0021640443900526)</f>
        <v>1.002164044</v>
      </c>
      <c r="AE627" s="30">
        <f>IFERROR(__xludf.DUMMYFUNCTION("""COMPUTED_VALUE"""),0.8314908138408944)</f>
        <v>0.8314908138</v>
      </c>
      <c r="AF627" s="30">
        <f>IFERROR(__xludf.DUMMYFUNCTION("""COMPUTED_VALUE"""),0.7882015717911051)</f>
        <v>0.7882015718</v>
      </c>
      <c r="AG627" s="30">
        <f>IFERROR(__xludf.DUMMYFUNCTION("""COMPUTED_VALUE"""),1.222709432853873)</f>
        <v>1.222709433</v>
      </c>
      <c r="AH627" s="30">
        <f>IFERROR(__xludf.DUMMYFUNCTION("""COMPUTED_VALUE"""),1.0064016535172464)</f>
        <v>1.006401654</v>
      </c>
      <c r="AI627" s="30">
        <f>IFERROR(__xludf.DUMMYFUNCTION("""COMPUTED_VALUE"""),1.0150547931011107)</f>
        <v>1.015054793</v>
      </c>
      <c r="AJ627" s="30">
        <f>IFERROR(__xludf.DUMMYFUNCTION("""COMPUTED_VALUE"""),0.8526688661100181)</f>
        <v>0.8526688661</v>
      </c>
      <c r="AK627" s="30">
        <f>IFERROR(__xludf.DUMMYFUNCTION("""COMPUTED_VALUE"""),0.8161899773962156)</f>
        <v>0.8161899774</v>
      </c>
      <c r="AL627" s="30">
        <f>IFERROR(__xludf.DUMMYFUNCTION("""COMPUTED_VALUE"""),1.1112923709778713)</f>
        <v>1.111292371</v>
      </c>
      <c r="AM627" s="30">
        <f>IFERROR(__xludf.DUMMYFUNCTION("""COMPUTED_VALUE"""),1.1090867142871415)</f>
        <v>1.109086714</v>
      </c>
      <c r="AN627" s="30">
        <f>IFERROR(__xludf.DUMMYFUNCTION("""COMPUTED_VALUE"""),1.0163816871057827)</f>
        <v>1.016381687</v>
      </c>
      <c r="AO627" s="30">
        <f>IFERROR(__xludf.DUMMYFUNCTION("""COMPUTED_VALUE"""),0.8508042516879968)</f>
        <v>0.8508042517</v>
      </c>
      <c r="AP627" s="30">
        <f>IFERROR(__xludf.DUMMYFUNCTION("""COMPUTED_VALUE"""),0.8132991942923938)</f>
        <v>0.8132991943</v>
      </c>
      <c r="AQ627" s="30">
        <f>IFERROR(__xludf.DUMMYFUNCTION("""COMPUTED_VALUE"""),1.2373818821386282)</f>
        <v>1.237381882</v>
      </c>
      <c r="AR627" s="30">
        <f>IFERROR(__xludf.DUMMYFUNCTION("""COMPUTED_VALUE"""),1.06238674701067)</f>
        <v>1.062386747</v>
      </c>
      <c r="AS627" s="30">
        <f>IFERROR(__xludf.DUMMYFUNCTION("""COMPUTED_VALUE"""),73.0)</f>
        <v>73</v>
      </c>
      <c r="AT627" s="30">
        <f>IFERROR(__xludf.DUMMYFUNCTION("""COMPUTED_VALUE"""),0.5619640151952143)</f>
        <v>0.5619640152</v>
      </c>
      <c r="AU627" s="30">
        <f>IFERROR(__xludf.DUMMYFUNCTION("""COMPUTED_VALUE"""),2.847267028933695)</f>
        <v>2.847267029</v>
      </c>
      <c r="AV627" s="32">
        <f>IFERROR(__xludf.DUMMYFUNCTION("""COMPUTED_VALUE"""),45.87796562112502)</f>
        <v>45.87796562</v>
      </c>
      <c r="AW627" s="32">
        <f>IFERROR(__xludf.DUMMYFUNCTION("""COMPUTED_VALUE"""),-2.301397051443134)</f>
        <v>-2.301397051</v>
      </c>
      <c r="AX627" s="32">
        <f>IFERROR(__xludf.DUMMYFUNCTION("""COMPUTED_VALUE"""),36.00289433693979)</f>
        <v>36.00289434</v>
      </c>
      <c r="AY627" s="32">
        <f>IFERROR(__xludf.DUMMYFUNCTION("""COMPUTED_VALUE"""),-3.4748862511764957)</f>
        <v>-3.474886251</v>
      </c>
      <c r="AZ627" s="30">
        <f>IFERROR(__xludf.DUMMYFUNCTION("""COMPUTED_VALUE"""),1.1734891997333619)</f>
        <v>1.1734892</v>
      </c>
      <c r="BA627" s="30">
        <f>IFERROR(__xludf.DUMMYFUNCTION("""COMPUTED_VALUE"""),2300.0)</f>
        <v>2300</v>
      </c>
    </row>
    <row r="628">
      <c r="A628" s="71" t="str">
        <f>IFERROR(__xludf.DUMMYFUNCTION("""COMPUTED_VALUE"""),"Challenger")</f>
        <v>Challenger</v>
      </c>
      <c r="B628" s="71" t="str">
        <f>IFERROR(__xludf.DUMMYFUNCTION("""COMPUTED_VALUE"""),"RSC007370")</f>
        <v>RSC007370</v>
      </c>
      <c r="C628" s="30" t="str">
        <f>IFERROR(__xludf.DUMMYFUNCTION("""COMPUTED_VALUE"""),"Jarrod81535")</f>
        <v>Jarrod81535</v>
      </c>
      <c r="D628" s="30" t="str">
        <f>IFERROR(__xludf.DUMMYFUNCTION("""COMPUTED_VALUE"""),"Trippy Hippies")</f>
        <v>Trippy Hippies</v>
      </c>
      <c r="E628" s="30">
        <f>IFERROR(__xludf.DUMMYFUNCTION("""COMPUTED_VALUE"""),32.0)</f>
        <v>32</v>
      </c>
      <c r="F628" s="30">
        <f>IFERROR(__xludf.DUMMYFUNCTION("""COMPUTED_VALUE"""),14.0)</f>
        <v>14</v>
      </c>
      <c r="G628" s="42">
        <f>IFERROR(__xludf.DUMMYFUNCTION("""COMPUTED_VALUE"""),18.0)</f>
        <v>18</v>
      </c>
      <c r="H628" s="42">
        <f>IFERROR(__xludf.DUMMYFUNCTION("""COMPUTED_VALUE"""),0.4375)</f>
        <v>0.4375</v>
      </c>
      <c r="I628" s="42">
        <f>IFERROR(__xludf.DUMMYFUNCTION("""COMPUTED_VALUE"""),0.2537313432835821)</f>
        <v>0.2537313433</v>
      </c>
      <c r="J628" s="30">
        <f>IFERROR(__xludf.DUMMYFUNCTION("""COMPUTED_VALUE"""),280.1875)</f>
        <v>280.1875</v>
      </c>
      <c r="K628" s="30">
        <f>IFERROR(__xludf.DUMMYFUNCTION("""COMPUTED_VALUE"""),0.53125)</f>
        <v>0.53125</v>
      </c>
      <c r="L628" s="30">
        <f>IFERROR(__xludf.DUMMYFUNCTION("""COMPUTED_VALUE"""),0.40625)</f>
        <v>0.40625</v>
      </c>
      <c r="M628" s="30">
        <f>IFERROR(__xludf.DUMMYFUNCTION("""COMPUTED_VALUE"""),1.1875)</f>
        <v>1.1875</v>
      </c>
      <c r="N628" s="30">
        <f>IFERROR(__xludf.DUMMYFUNCTION("""COMPUTED_VALUE"""),2.09375)</f>
        <v>2.09375</v>
      </c>
      <c r="O628" s="30">
        <f>IFERROR(__xludf.DUMMYFUNCTION("""COMPUTED_VALUE"""),323.25)</f>
        <v>323.25</v>
      </c>
      <c r="P628" s="30">
        <f>IFERROR(__xludf.DUMMYFUNCTION("""COMPUTED_VALUE"""),0.7812500000000001)</f>
        <v>0.78125</v>
      </c>
      <c r="Q628" s="30">
        <f>IFERROR(__xludf.DUMMYFUNCTION("""COMPUTED_VALUE"""),0.53125)</f>
        <v>0.53125</v>
      </c>
      <c r="R628" s="30">
        <f>IFERROR(__xludf.DUMMYFUNCTION("""COMPUTED_VALUE"""),1.208333333333333)</f>
        <v>1.208333333</v>
      </c>
      <c r="S628" s="30">
        <f>IFERROR(__xludf.DUMMYFUNCTION("""COMPUTED_VALUE"""),2.385416666666667)</f>
        <v>2.385416667</v>
      </c>
      <c r="T628" s="30">
        <f>IFERROR(__xludf.DUMMYFUNCTION("""COMPUTED_VALUE"""),334.63697752950554)</f>
        <v>334.6369775</v>
      </c>
      <c r="U628" s="30">
        <f>IFERROR(__xludf.DUMMYFUNCTION("""COMPUTED_VALUE"""),0.7448712411216452)</f>
        <v>0.7448712411</v>
      </c>
      <c r="V628" s="30">
        <f>IFERROR(__xludf.DUMMYFUNCTION("""COMPUTED_VALUE"""),0.5522630515034758)</f>
        <v>0.5522630515</v>
      </c>
      <c r="W628" s="30">
        <f>IFERROR(__xludf.DUMMYFUNCTION("""COMPUTED_VALUE"""),1.2815369093393745)</f>
        <v>1.281536909</v>
      </c>
      <c r="X628" s="30">
        <f>IFERROR(__xludf.DUMMYFUNCTION("""COMPUTED_VALUE"""),2.2942855738300048)</f>
        <v>2.294285574</v>
      </c>
      <c r="Y628" s="30">
        <f>IFERROR(__xludf.DUMMYFUNCTION("""COMPUTED_VALUE"""),336.19766386432696)</f>
        <v>336.1976639</v>
      </c>
      <c r="Z628" s="30">
        <f>IFERROR(__xludf.DUMMYFUNCTION("""COMPUTED_VALUE"""),0.8056879373647289)</f>
        <v>0.8056879374</v>
      </c>
      <c r="AA628" s="30">
        <f>IFERROR(__xludf.DUMMYFUNCTION("""COMPUTED_VALUE"""),0.5749607608899114)</f>
        <v>0.5749607609</v>
      </c>
      <c r="AB628" s="30">
        <f>IFERROR(__xludf.DUMMYFUNCTION("""COMPUTED_VALUE"""),1.1475763024657353)</f>
        <v>1.147576302</v>
      </c>
      <c r="AC628" s="30">
        <f>IFERROR(__xludf.DUMMYFUNCTION("""COMPUTED_VALUE"""),2.556004851432167)</f>
        <v>2.556004851</v>
      </c>
      <c r="AD628" s="30">
        <f>IFERROR(__xludf.DUMMYFUNCTION("""COMPUTED_VALUE"""),0.83340109142778)</f>
        <v>0.8334010914</v>
      </c>
      <c r="AE628" s="30">
        <f>IFERROR(__xludf.DUMMYFUNCTION("""COMPUTED_VALUE"""),0.6593743996436515)</f>
        <v>0.6593743996</v>
      </c>
      <c r="AF628" s="30">
        <f>IFERROR(__xludf.DUMMYFUNCTION("""COMPUTED_VALUE"""),0.7065699568283847)</f>
        <v>0.7065699568</v>
      </c>
      <c r="AG628" s="30">
        <f>IFERROR(__xludf.DUMMYFUNCTION("""COMPUTED_VALUE"""),1.034789579959505)</f>
        <v>1.03478958</v>
      </c>
      <c r="AH628" s="30">
        <f>IFERROR(__xludf.DUMMYFUNCTION("""COMPUTED_VALUE"""),0.819149462422515)</f>
        <v>0.8191494624</v>
      </c>
      <c r="AI628" s="30">
        <f>IFERROR(__xludf.DUMMYFUNCTION("""COMPUTED_VALUE"""),0.9659721480466051)</f>
        <v>0.965972148</v>
      </c>
      <c r="AJ628" s="30">
        <f>IFERROR(__xludf.DUMMYFUNCTION("""COMPUTED_VALUE"""),1.0488389897072343)</f>
        <v>1.04883899</v>
      </c>
      <c r="AK628" s="30">
        <f>IFERROR(__xludf.DUMMYFUNCTION("""COMPUTED_VALUE"""),0.9619510096750633)</f>
        <v>0.9619510097</v>
      </c>
      <c r="AL628" s="30">
        <f>IFERROR(__xludf.DUMMYFUNCTION("""COMPUTED_VALUE"""),0.9428782928743134)</f>
        <v>0.9428782929</v>
      </c>
      <c r="AM628" s="30">
        <f>IFERROR(__xludf.DUMMYFUNCTION("""COMPUTED_VALUE"""),1.0397209021737128)</f>
        <v>1.039720902</v>
      </c>
      <c r="AN628" s="30">
        <f>IFERROR(__xludf.DUMMYFUNCTION("""COMPUTED_VALUE"""),0.8523801064627301)</f>
        <v>0.8523801065</v>
      </c>
      <c r="AO628" s="30">
        <f>IFERROR(__xludf.DUMMYFUNCTION("""COMPUTED_VALUE"""),0.7005841259993348)</f>
        <v>0.700584126</v>
      </c>
      <c r="AP628" s="30">
        <f>IFERROR(__xludf.DUMMYFUNCTION("""COMPUTED_VALUE"""),0.7878835944707565)</f>
        <v>0.7878835945</v>
      </c>
      <c r="AQ628" s="30">
        <f>IFERROR(__xludf.DUMMYFUNCTION("""COMPUTED_VALUE"""),0.9902417507875707)</f>
        <v>0.9902417508</v>
      </c>
      <c r="AR628" s="30">
        <f>IFERROR(__xludf.DUMMYFUNCTION("""COMPUTED_VALUE"""),0.8728549341539406)</f>
        <v>0.8728549342</v>
      </c>
      <c r="AS628" s="30">
        <f>IFERROR(__xludf.DUMMYFUNCTION("""COMPUTED_VALUE"""),69.0)</f>
        <v>69</v>
      </c>
      <c r="AT628" s="30">
        <f>IFERROR(__xludf.DUMMYFUNCTION("""COMPUTED_VALUE"""),0.46794570435206917)</f>
        <v>0.4679457044</v>
      </c>
      <c r="AU628" s="30">
        <f>IFERROR(__xludf.DUMMYFUNCTION("""COMPUTED_VALUE"""),2.119236094970823)</f>
        <v>2.119236095</v>
      </c>
      <c r="AV628" s="32">
        <f>IFERROR(__xludf.DUMMYFUNCTION("""COMPUTED_VALUE"""),26.627256885044105)</f>
        <v>26.62725689</v>
      </c>
      <c r="AW628" s="32">
        <f>IFERROR(__xludf.DUMMYFUNCTION("""COMPUTED_VALUE"""),-5.716983721305904)</f>
        <v>-5.716983721</v>
      </c>
      <c r="AX628" s="32">
        <f>IFERROR(__xludf.DUMMYFUNCTION("""COMPUTED_VALUE"""),30.6736046314078)</f>
        <v>30.67360463</v>
      </c>
      <c r="AY628" s="32">
        <f>IFERROR(__xludf.DUMMYFUNCTION("""COMPUTED_VALUE"""),-4.550735993399191)</f>
        <v>-4.550735993</v>
      </c>
      <c r="AZ628" s="30">
        <f>IFERROR(__xludf.DUMMYFUNCTION("""COMPUTED_VALUE"""),1.166247727906713)</f>
        <v>1.166247728</v>
      </c>
      <c r="BA628" s="30">
        <f>IFERROR(__xludf.DUMMYFUNCTION("""COMPUTED_VALUE"""),2300.0)</f>
        <v>2300</v>
      </c>
    </row>
    <row r="629">
      <c r="A629" s="71" t="str">
        <f>IFERROR(__xludf.DUMMYFUNCTION("""COMPUTED_VALUE"""),"Challenger")</f>
        <v>Challenger</v>
      </c>
      <c r="B629" s="71" t="str">
        <f>IFERROR(__xludf.DUMMYFUNCTION("""COMPUTED_VALUE"""),"RSC007960")</f>
        <v>RSC007960</v>
      </c>
      <c r="C629" s="30" t="str">
        <f>IFERROR(__xludf.DUMMYFUNCTION("""COMPUTED_VALUE"""),"Kayo")</f>
        <v>Kayo</v>
      </c>
      <c r="D629" s="30" t="str">
        <f>IFERROR(__xludf.DUMMYFUNCTION("""COMPUTED_VALUE"""),"Warbirds")</f>
        <v>Warbirds</v>
      </c>
      <c r="E629" s="30">
        <f>IFERROR(__xludf.DUMMYFUNCTION("""COMPUTED_VALUE"""),32.0)</f>
        <v>32</v>
      </c>
      <c r="F629" s="30">
        <f>IFERROR(__xludf.DUMMYFUNCTION("""COMPUTED_VALUE"""),18.0)</f>
        <v>18</v>
      </c>
      <c r="G629" s="42">
        <f>IFERROR(__xludf.DUMMYFUNCTION("""COMPUTED_VALUE"""),14.0)</f>
        <v>14</v>
      </c>
      <c r="H629" s="42">
        <f>IFERROR(__xludf.DUMMYFUNCTION("""COMPUTED_VALUE"""),0.5625)</f>
        <v>0.5625</v>
      </c>
      <c r="I629" s="42">
        <f>IFERROR(__xludf.DUMMYFUNCTION("""COMPUTED_VALUE"""),0.34444444444444444)</f>
        <v>0.3444444444</v>
      </c>
      <c r="J629" s="30">
        <f>IFERROR(__xludf.DUMMYFUNCTION("""COMPUTED_VALUE"""),383.71875)</f>
        <v>383.71875</v>
      </c>
      <c r="K629" s="30">
        <f>IFERROR(__xludf.DUMMYFUNCTION("""COMPUTED_VALUE"""),0.96875)</f>
        <v>0.96875</v>
      </c>
      <c r="L629" s="30">
        <f>IFERROR(__xludf.DUMMYFUNCTION("""COMPUTED_VALUE"""),0.5)</f>
        <v>0.5</v>
      </c>
      <c r="M629" s="30">
        <f>IFERROR(__xludf.DUMMYFUNCTION("""COMPUTED_VALUE"""),1.5625)</f>
        <v>1.5625</v>
      </c>
      <c r="N629" s="30">
        <f>IFERROR(__xludf.DUMMYFUNCTION("""COMPUTED_VALUE"""),2.8125)</f>
        <v>2.8125</v>
      </c>
      <c r="O629" s="30">
        <f>IFERROR(__xludf.DUMMYFUNCTION("""COMPUTED_VALUE"""),347.15624999999994)</f>
        <v>347.15625</v>
      </c>
      <c r="P629" s="30">
        <f>IFERROR(__xludf.DUMMYFUNCTION("""COMPUTED_VALUE"""),0.78125)</f>
        <v>0.78125</v>
      </c>
      <c r="Q629" s="30">
        <f>IFERROR(__xludf.DUMMYFUNCTION("""COMPUTED_VALUE"""),0.5833333333333333)</f>
        <v>0.5833333333</v>
      </c>
      <c r="R629" s="30">
        <f>IFERROR(__xludf.DUMMYFUNCTION("""COMPUTED_VALUE"""),1.3125000000000002)</f>
        <v>1.3125</v>
      </c>
      <c r="S629" s="30">
        <f>IFERROR(__xludf.DUMMYFUNCTION("""COMPUTED_VALUE"""),2.635416666666666)</f>
        <v>2.635416667</v>
      </c>
      <c r="T629" s="30">
        <f>IFERROR(__xludf.DUMMYFUNCTION("""COMPUTED_VALUE"""),330.446850180411)</f>
        <v>330.4468502</v>
      </c>
      <c r="U629" s="30">
        <f>IFERROR(__xludf.DUMMYFUNCTION("""COMPUTED_VALUE"""),0.7305781860085017)</f>
        <v>0.730578186</v>
      </c>
      <c r="V629" s="30">
        <f>IFERROR(__xludf.DUMMYFUNCTION("""COMPUTED_VALUE"""),0.5066145759200308)</f>
        <v>0.5066145759</v>
      </c>
      <c r="W629" s="30">
        <f>IFERROR(__xludf.DUMMYFUNCTION("""COMPUTED_VALUE"""),1.2241101199047897)</f>
        <v>1.22411012</v>
      </c>
      <c r="X629" s="30">
        <f>IFERROR(__xludf.DUMMYFUNCTION("""COMPUTED_VALUE"""),2.465705240639669)</f>
        <v>2.465705241</v>
      </c>
      <c r="Y629" s="30">
        <f>IFERROR(__xludf.DUMMYFUNCTION("""COMPUTED_VALUE"""),329.9615513359829)</f>
        <v>329.9615513</v>
      </c>
      <c r="Z629" s="30">
        <f>IFERROR(__xludf.DUMMYFUNCTION("""COMPUTED_VALUE"""),0.7292725287628526)</f>
        <v>0.7292725288</v>
      </c>
      <c r="AA629" s="30">
        <f>IFERROR(__xludf.DUMMYFUNCTION("""COMPUTED_VALUE"""),0.5030737486778853)</f>
        <v>0.5030737487</v>
      </c>
      <c r="AB629" s="30">
        <f>IFERROR(__xludf.DUMMYFUNCTION("""COMPUTED_VALUE"""),1.254465469060495)</f>
        <v>1.254465469</v>
      </c>
      <c r="AC629" s="30">
        <f>IFERROR(__xludf.DUMMYFUNCTION("""COMPUTED_VALUE"""),2.352130927620573)</f>
        <v>2.352130928</v>
      </c>
      <c r="AD629" s="30">
        <f>IFERROR(__xludf.DUMMYFUNCTION("""COMPUTED_VALUE"""),1.162919583952613)</f>
        <v>1.162919584</v>
      </c>
      <c r="AE629" s="30">
        <f>IFERROR(__xludf.DUMMYFUNCTION("""COMPUTED_VALUE"""),1.3283785715107082)</f>
        <v>1.328378572</v>
      </c>
      <c r="AF629" s="30">
        <f>IFERROR(__xludf.DUMMYFUNCTION("""COMPUTED_VALUE"""),0.9938900634629348)</f>
        <v>0.9938900635</v>
      </c>
      <c r="AG629" s="30">
        <f>IFERROR(__xludf.DUMMYFUNCTION("""COMPUTED_VALUE"""),1.245550426485793)</f>
        <v>1.245550426</v>
      </c>
      <c r="AH629" s="30">
        <f>IFERROR(__xludf.DUMMYFUNCTION("""COMPUTED_VALUE"""),1.1957242545359235)</f>
        <v>1.195724255</v>
      </c>
      <c r="AI629" s="30">
        <f>IFERROR(__xludf.DUMMYFUNCTION("""COMPUTED_VALUE"""),1.0505660738193336)</f>
        <v>1.050566074</v>
      </c>
      <c r="AJ629" s="30">
        <f>IFERROR(__xludf.DUMMYFUNCTION("""COMPUTED_VALUE"""),1.0693585094134042)</f>
        <v>1.069358509</v>
      </c>
      <c r="AK629" s="30">
        <f>IFERROR(__xludf.DUMMYFUNCTION("""COMPUTED_VALUE"""),1.1514341692083738)</f>
        <v>1.151434169</v>
      </c>
      <c r="AL629" s="30">
        <f>IFERROR(__xludf.DUMMYFUNCTION("""COMPUTED_VALUE"""),1.072207458020268)</f>
        <v>1.072207458</v>
      </c>
      <c r="AM629" s="30">
        <f>IFERROR(__xludf.DUMMYFUNCTION("""COMPUTED_VALUE"""),1.068828756669621)</f>
        <v>1.068828757</v>
      </c>
      <c r="AN629" s="30">
        <f>IFERROR(__xludf.DUMMYFUNCTION("""COMPUTED_VALUE"""),1.1673405450876493)</f>
        <v>1.167340545</v>
      </c>
      <c r="AO629" s="30">
        <f>IFERROR(__xludf.DUMMYFUNCTION("""COMPUTED_VALUE"""),1.2775357591752576)</f>
        <v>1.277535759</v>
      </c>
      <c r="AP629" s="30">
        <f>IFERROR(__xludf.DUMMYFUNCTION("""COMPUTED_VALUE"""),0.9697028855024696)</f>
        <v>0.9697028855</v>
      </c>
      <c r="AQ629" s="30">
        <f>IFERROR(__xludf.DUMMYFUNCTION("""COMPUTED_VALUE"""),1.3029496720889089)</f>
        <v>1.302949672</v>
      </c>
      <c r="AR629" s="30">
        <f>IFERROR(__xludf.DUMMYFUNCTION("""COMPUTED_VALUE"""),1.1724917025948456)</f>
        <v>1.172491703</v>
      </c>
      <c r="AS629" s="30">
        <f>IFERROR(__xludf.DUMMYFUNCTION("""COMPUTED_VALUE"""),72.0)</f>
        <v>72</v>
      </c>
      <c r="AT629" s="30">
        <f>IFERROR(__xludf.DUMMYFUNCTION("""COMPUTED_VALUE"""),0.4841972892314587)</f>
        <v>0.4841972892</v>
      </c>
      <c r="AU629" s="30">
        <f>IFERROR(__xludf.DUMMYFUNCTION("""COMPUTED_VALUE"""),3.6711427008536224)</f>
        <v>3.671142701</v>
      </c>
      <c r="AV629" s="32">
        <f>IFERROR(__xludf.DUMMYFUNCTION("""COMPUTED_VALUE"""),67.66301602900003)</f>
        <v>67.66301603</v>
      </c>
      <c r="AW629" s="32">
        <f>IFERROR(__xludf.DUMMYFUNCTION("""COMPUTED_VALUE"""),4.167843899917158)</f>
        <v>4.1678439</v>
      </c>
      <c r="AX629" s="32">
        <f>IFERROR(__xludf.DUMMYFUNCTION("""COMPUTED_VALUE"""),61.27466685230008)</f>
        <v>61.27466685</v>
      </c>
      <c r="AY629" s="32">
        <f>IFERROR(__xludf.DUMMYFUNCTION("""COMPUTED_VALUE"""),3.0674886456860717)</f>
        <v>3.067488646</v>
      </c>
      <c r="AZ629" s="30">
        <f>IFERROR(__xludf.DUMMYFUNCTION("""COMPUTED_VALUE"""),1.1003552542310864)</f>
        <v>1.100355254</v>
      </c>
      <c r="BA629" s="30">
        <f>IFERROR(__xludf.DUMMYFUNCTION("""COMPUTED_VALUE"""),2300.0)</f>
        <v>2300</v>
      </c>
    </row>
    <row r="630">
      <c r="A630" s="71" t="str">
        <f>IFERROR(__xludf.DUMMYFUNCTION("""COMPUTED_VALUE"""),"Challenger")</f>
        <v>Challenger</v>
      </c>
      <c r="B630" s="71" t="str">
        <f>IFERROR(__xludf.DUMMYFUNCTION("""COMPUTED_VALUE"""),"RSC007307")</f>
        <v>RSC007307</v>
      </c>
      <c r="C630" s="30" t="str">
        <f>IFERROR(__xludf.DUMMYFUNCTION("""COMPUTED_VALUE"""),"Jmh187-")</f>
        <v>Jmh187-</v>
      </c>
      <c r="D630" s="30" t="str">
        <f>IFERROR(__xludf.DUMMYFUNCTION("""COMPUTED_VALUE"""),"Chromatic Chaos")</f>
        <v>Chromatic Chaos</v>
      </c>
      <c r="E630" s="30">
        <f>IFERROR(__xludf.DUMMYFUNCTION("""COMPUTED_VALUE"""),24.0)</f>
        <v>24</v>
      </c>
      <c r="F630" s="30">
        <f>IFERROR(__xludf.DUMMYFUNCTION("""COMPUTED_VALUE"""),8.0)</f>
        <v>8</v>
      </c>
      <c r="G630" s="42">
        <f>IFERROR(__xludf.DUMMYFUNCTION("""COMPUTED_VALUE"""),16.0)</f>
        <v>16</v>
      </c>
      <c r="H630" s="42">
        <f>IFERROR(__xludf.DUMMYFUNCTION("""COMPUTED_VALUE"""),0.3333333333333333)</f>
        <v>0.3333333333</v>
      </c>
      <c r="I630" s="42">
        <f>IFERROR(__xludf.DUMMYFUNCTION("""COMPUTED_VALUE"""),0.4067796610169491)</f>
        <v>0.406779661</v>
      </c>
      <c r="J630" s="30">
        <f>IFERROR(__xludf.DUMMYFUNCTION("""COMPUTED_VALUE"""),420.2083333333333)</f>
        <v>420.2083333</v>
      </c>
      <c r="K630" s="30">
        <f>IFERROR(__xludf.DUMMYFUNCTION("""COMPUTED_VALUE"""),1.0)</f>
        <v>1</v>
      </c>
      <c r="L630" s="30">
        <f>IFERROR(__xludf.DUMMYFUNCTION("""COMPUTED_VALUE"""),0.625)</f>
        <v>0.625</v>
      </c>
      <c r="M630" s="30">
        <f>IFERROR(__xludf.DUMMYFUNCTION("""COMPUTED_VALUE"""),2.0833333333333335)</f>
        <v>2.083333333</v>
      </c>
      <c r="N630" s="30">
        <f>IFERROR(__xludf.DUMMYFUNCTION("""COMPUTED_VALUE"""),2.4583333333333335)</f>
        <v>2.458333333</v>
      </c>
      <c r="O630" s="30">
        <f>IFERROR(__xludf.DUMMYFUNCTION("""COMPUTED_VALUE"""),338.48611111111114)</f>
        <v>338.4861111</v>
      </c>
      <c r="P630" s="30">
        <f>IFERROR(__xludf.DUMMYFUNCTION("""COMPUTED_VALUE"""),0.9166666666666665)</f>
        <v>0.9166666667</v>
      </c>
      <c r="Q630" s="30">
        <f>IFERROR(__xludf.DUMMYFUNCTION("""COMPUTED_VALUE"""),0.5277777777777778)</f>
        <v>0.5277777778</v>
      </c>
      <c r="R630" s="30">
        <f>IFERROR(__xludf.DUMMYFUNCTION("""COMPUTED_VALUE"""),1.0833333333333335)</f>
        <v>1.083333333</v>
      </c>
      <c r="S630" s="30">
        <f>IFERROR(__xludf.DUMMYFUNCTION("""COMPUTED_VALUE"""),2.736111111111111)</f>
        <v>2.736111111</v>
      </c>
      <c r="T630" s="30">
        <f>IFERROR(__xludf.DUMMYFUNCTION("""COMPUTED_VALUE"""),329.5249749529905)</f>
        <v>329.524975</v>
      </c>
      <c r="U630" s="30">
        <f>IFERROR(__xludf.DUMMYFUNCTION("""COMPUTED_VALUE"""),0.769772486862559)</f>
        <v>0.7697724869</v>
      </c>
      <c r="V630" s="30">
        <f>IFERROR(__xludf.DUMMYFUNCTION("""COMPUTED_VALUE"""),0.5131279637649674)</f>
        <v>0.5131279638</v>
      </c>
      <c r="W630" s="30">
        <f>IFERROR(__xludf.DUMMYFUNCTION("""COMPUTED_VALUE"""),1.1340059941643055)</f>
        <v>1.134005994</v>
      </c>
      <c r="X630" s="30">
        <f>IFERROR(__xludf.DUMMYFUNCTION("""COMPUTED_VALUE"""),2.4461905319557693)</f>
        <v>2.446190532</v>
      </c>
      <c r="Y630" s="30">
        <f>IFERROR(__xludf.DUMMYFUNCTION("""COMPUTED_VALUE"""),340.9974499206586)</f>
        <v>340.9974499</v>
      </c>
      <c r="Z630" s="30">
        <f>IFERROR(__xludf.DUMMYFUNCTION("""COMPUTED_VALUE"""),0.7899361190728308)</f>
        <v>0.7899361191</v>
      </c>
      <c r="AA630" s="30">
        <f>IFERROR(__xludf.DUMMYFUNCTION("""COMPUTED_VALUE"""),0.5303053476681084)</f>
        <v>0.5303053477</v>
      </c>
      <c r="AB630" s="30">
        <f>IFERROR(__xludf.DUMMYFUNCTION("""COMPUTED_VALUE"""),1.2539802643430489)</f>
        <v>1.253980264</v>
      </c>
      <c r="AC630" s="30">
        <f>IFERROR(__xludf.DUMMYFUNCTION("""COMPUTED_VALUE"""),2.399906603645663)</f>
        <v>2.399906604</v>
      </c>
      <c r="AD630" s="30">
        <f>IFERROR(__xludf.DUMMYFUNCTION("""COMPUTED_VALUE"""),1.2322917178152066)</f>
        <v>1.232291718</v>
      </c>
      <c r="AE630" s="30">
        <f>IFERROR(__xludf.DUMMYFUNCTION("""COMPUTED_VALUE"""),1.265925149964945)</f>
        <v>1.26592515</v>
      </c>
      <c r="AF630" s="30">
        <f>IFERROR(__xludf.DUMMYFUNCTION("""COMPUTED_VALUE"""),1.178566278368281)</f>
        <v>1.178566278</v>
      </c>
      <c r="AG630" s="30">
        <f>IFERROR(__xludf.DUMMYFUNCTION("""COMPUTED_VALUE"""),1.661376492575644)</f>
        <v>1.661376493</v>
      </c>
      <c r="AH630" s="30">
        <f>IFERROR(__xludf.DUMMYFUNCTION("""COMPUTED_VALUE"""),1.0243454181087361)</f>
        <v>1.024345418</v>
      </c>
      <c r="AI630" s="30">
        <f>IFERROR(__xludf.DUMMYFUNCTION("""COMPUTED_VALUE"""),1.0271941031462002)</f>
        <v>1.027194103</v>
      </c>
      <c r="AJ630" s="30">
        <f>IFERROR(__xludf.DUMMYFUNCTION("""COMPUTED_VALUE"""),1.1908280463527858)</f>
        <v>1.190828046</v>
      </c>
      <c r="AK630" s="30">
        <f>IFERROR(__xludf.DUMMYFUNCTION("""COMPUTED_VALUE"""),1.028550020749835)</f>
        <v>1.028550021</v>
      </c>
      <c r="AL630" s="30">
        <f>IFERROR(__xludf.DUMMYFUNCTION("""COMPUTED_VALUE"""),0.9553153501024351)</f>
        <v>0.9553153501</v>
      </c>
      <c r="AM630" s="30">
        <f>IFERROR(__xludf.DUMMYFUNCTION("""COMPUTED_VALUE"""),1.1185192140056015)</f>
        <v>1.118519214</v>
      </c>
      <c r="AN630" s="30">
        <f>IFERROR(__xludf.DUMMYFUNCTION("""COMPUTED_VALUE"""),1.27834833425186)</f>
        <v>1.278348334</v>
      </c>
      <c r="AO630" s="30">
        <f>IFERROR(__xludf.DUMMYFUNCTION("""COMPUTED_VALUE"""),1.318746590116395)</f>
        <v>1.31874659</v>
      </c>
      <c r="AP630" s="30">
        <f>IFERROR(__xludf.DUMMYFUNCTION("""COMPUTED_VALUE"""),1.212128606878087)</f>
        <v>1.212128607</v>
      </c>
      <c r="AQ630" s="30">
        <f>IFERROR(__xludf.DUMMYFUNCTION("""COMPUTED_VALUE"""),1.7372662294518786)</f>
        <v>1.737266229</v>
      </c>
      <c r="AR630" s="30">
        <f>IFERROR(__xludf.DUMMYFUNCTION("""COMPUTED_VALUE"""),1.0248445993051243)</f>
        <v>1.024844599</v>
      </c>
      <c r="AS630" s="30">
        <f>IFERROR(__xludf.DUMMYFUNCTION("""COMPUTED_VALUE"""),55.0)</f>
        <v>55</v>
      </c>
      <c r="AT630" s="30">
        <f>IFERROR(__xludf.DUMMYFUNCTION("""COMPUTED_VALUE"""),0.4279909844312013)</f>
        <v>0.4279909844</v>
      </c>
      <c r="AU630" s="30">
        <f>IFERROR(__xludf.DUMMYFUNCTION("""COMPUTED_VALUE"""),3.742422870230326)</f>
        <v>3.74242287</v>
      </c>
      <c r="AV630" s="32">
        <f>IFERROR(__xludf.DUMMYFUNCTION("""COMPUTED_VALUE"""),69.54781750558044)</f>
        <v>69.54781751</v>
      </c>
      <c r="AW630" s="32">
        <f>IFERROR(__xludf.DUMMYFUNCTION("""COMPUTED_VALUE"""),4.605473487642149)</f>
        <v>4.605473488</v>
      </c>
      <c r="AX630" s="32">
        <f>IFERROR(__xludf.DUMMYFUNCTION("""COMPUTED_VALUE"""),73.29975709913921)</f>
        <v>73.2997571</v>
      </c>
      <c r="AY630" s="32">
        <f>IFERROR(__xludf.DUMMYFUNCTION("""COMPUTED_VALUE"""),5.69246654400472)</f>
        <v>5.692466544</v>
      </c>
      <c r="AZ630" s="30">
        <f>IFERROR(__xludf.DUMMYFUNCTION("""COMPUTED_VALUE"""),1.0869930563625712)</f>
        <v>1.086993056</v>
      </c>
      <c r="BA630" s="30">
        <f>IFERROR(__xludf.DUMMYFUNCTION("""COMPUTED_VALUE"""),2300.0)</f>
        <v>2300</v>
      </c>
    </row>
    <row r="631">
      <c r="A631" s="71" t="str">
        <f>IFERROR(__xludf.DUMMYFUNCTION("""COMPUTED_VALUE"""),"Challenger")</f>
        <v>Challenger</v>
      </c>
      <c r="B631" s="71" t="str">
        <f>IFERROR(__xludf.DUMMYFUNCTION("""COMPUTED_VALUE"""),"RSC005150")</f>
        <v>RSC005150</v>
      </c>
      <c r="C631" s="30" t="str">
        <f>IFERROR(__xludf.DUMMYFUNCTION("""COMPUTED_VALUE"""),"Galatiq")</f>
        <v>Galatiq</v>
      </c>
      <c r="D631" s="30" t="str">
        <f>IFERROR(__xludf.DUMMYFUNCTION("""COMPUTED_VALUE"""),"Lions")</f>
        <v>Lions</v>
      </c>
      <c r="E631" s="30">
        <f>IFERROR(__xludf.DUMMYFUNCTION("""COMPUTED_VALUE"""),33.0)</f>
        <v>33</v>
      </c>
      <c r="F631" s="30">
        <f>IFERROR(__xludf.DUMMYFUNCTION("""COMPUTED_VALUE"""),16.0)</f>
        <v>16</v>
      </c>
      <c r="G631" s="42">
        <f>IFERROR(__xludf.DUMMYFUNCTION("""COMPUTED_VALUE"""),17.0)</f>
        <v>17</v>
      </c>
      <c r="H631" s="42">
        <f>IFERROR(__xludf.DUMMYFUNCTION("""COMPUTED_VALUE"""),0.48484848484848486)</f>
        <v>0.4848484848</v>
      </c>
      <c r="I631" s="42">
        <f>IFERROR(__xludf.DUMMYFUNCTION("""COMPUTED_VALUE"""),0.2705882352941177)</f>
        <v>0.2705882353</v>
      </c>
      <c r="J631" s="30">
        <f>IFERROR(__xludf.DUMMYFUNCTION("""COMPUTED_VALUE"""),345.72727272727275)</f>
        <v>345.7272727</v>
      </c>
      <c r="K631" s="30">
        <f>IFERROR(__xludf.DUMMYFUNCTION("""COMPUTED_VALUE"""),0.696969696969697)</f>
        <v>0.696969697</v>
      </c>
      <c r="L631" s="30">
        <f>IFERROR(__xludf.DUMMYFUNCTION("""COMPUTED_VALUE"""),0.9090909090909091)</f>
        <v>0.9090909091</v>
      </c>
      <c r="M631" s="30">
        <f>IFERROR(__xludf.DUMMYFUNCTION("""COMPUTED_VALUE"""),1.303030303030303)</f>
        <v>1.303030303</v>
      </c>
      <c r="N631" s="30">
        <f>IFERROR(__xludf.DUMMYFUNCTION("""COMPUTED_VALUE"""),2.5757575757575757)</f>
        <v>2.575757576</v>
      </c>
      <c r="O631" s="30">
        <f>IFERROR(__xludf.DUMMYFUNCTION("""COMPUTED_VALUE"""),331.67676767676767)</f>
        <v>331.6767677</v>
      </c>
      <c r="P631" s="30">
        <f>IFERROR(__xludf.DUMMYFUNCTION("""COMPUTED_VALUE"""),0.7373737373737375)</f>
        <v>0.7373737374</v>
      </c>
      <c r="Q631" s="30">
        <f>IFERROR(__xludf.DUMMYFUNCTION("""COMPUTED_VALUE"""),0.48484848484848486)</f>
        <v>0.4848484848</v>
      </c>
      <c r="R631" s="30">
        <f>IFERROR(__xludf.DUMMYFUNCTION("""COMPUTED_VALUE"""),1.3838383838383836)</f>
        <v>1.383838384</v>
      </c>
      <c r="S631" s="30">
        <f>IFERROR(__xludf.DUMMYFUNCTION("""COMPUTED_VALUE"""),2.1818181818181817)</f>
        <v>2.181818182</v>
      </c>
      <c r="T631" s="30">
        <f>IFERROR(__xludf.DUMMYFUNCTION("""COMPUTED_VALUE"""),334.23106984594637)</f>
        <v>334.2310698</v>
      </c>
      <c r="U631" s="30">
        <f>IFERROR(__xludf.DUMMYFUNCTION("""COMPUTED_VALUE"""),0.7428366056866924)</f>
        <v>0.7428366057</v>
      </c>
      <c r="V631" s="30">
        <f>IFERROR(__xludf.DUMMYFUNCTION("""COMPUTED_VALUE"""),0.5063938493346053)</f>
        <v>0.5063938493</v>
      </c>
      <c r="W631" s="30">
        <f>IFERROR(__xludf.DUMMYFUNCTION("""COMPUTED_VALUE"""),1.2685402195639603)</f>
        <v>1.26854022</v>
      </c>
      <c r="X631" s="30">
        <f>IFERROR(__xludf.DUMMYFUNCTION("""COMPUTED_VALUE"""),2.359500978394111)</f>
        <v>2.359500978</v>
      </c>
      <c r="Y631" s="30">
        <f>IFERROR(__xludf.DUMMYFUNCTION("""COMPUTED_VALUE"""),345.96860233429203)</f>
        <v>345.9686023</v>
      </c>
      <c r="Z631" s="30">
        <f>IFERROR(__xludf.DUMMYFUNCTION("""COMPUTED_VALUE"""),0.8380498080098412)</f>
        <v>0.838049808</v>
      </c>
      <c r="AA631" s="30">
        <f>IFERROR(__xludf.DUMMYFUNCTION("""COMPUTED_VALUE"""),0.5807820794628568)</f>
        <v>0.5807820795</v>
      </c>
      <c r="AB631" s="30">
        <f>IFERROR(__xludf.DUMMYFUNCTION("""COMPUTED_VALUE"""),1.2109124623472276)</f>
        <v>1.210912462</v>
      </c>
      <c r="AC631" s="30">
        <f>IFERROR(__xludf.DUMMYFUNCTION("""COMPUTED_VALUE"""),2.599384242560402)</f>
        <v>2.599384243</v>
      </c>
      <c r="AD631" s="30">
        <f>IFERROR(__xludf.DUMMYFUNCTION("""COMPUTED_VALUE"""),0.9993024522878926)</f>
        <v>0.9993024523</v>
      </c>
      <c r="AE631" s="30">
        <f>IFERROR(__xludf.DUMMYFUNCTION("""COMPUTED_VALUE"""),0.8316566513210305)</f>
        <v>0.8316566513</v>
      </c>
      <c r="AF631" s="30">
        <f>IFERROR(__xludf.DUMMYFUNCTION("""COMPUTED_VALUE"""),1.565287465363416)</f>
        <v>1.565287465</v>
      </c>
      <c r="AG631" s="30">
        <f>IFERROR(__xludf.DUMMYFUNCTION("""COMPUTED_VALUE"""),1.0760730800511495)</f>
        <v>1.07607308</v>
      </c>
      <c r="AH631" s="30">
        <f>IFERROR(__xludf.DUMMYFUNCTION("""COMPUTED_VALUE"""),0.990910667835874)</f>
        <v>0.9909106678</v>
      </c>
      <c r="AI631" s="30">
        <f>IFERROR(__xludf.DUMMYFUNCTION("""COMPUTED_VALUE"""),0.9923576758726949)</f>
        <v>0.9923576759</v>
      </c>
      <c r="AJ631" s="30">
        <f>IFERROR(__xludf.DUMMYFUNCTION("""COMPUTED_VALUE"""),0.9926459354976119)</f>
        <v>0.9926459355</v>
      </c>
      <c r="AK631" s="30">
        <f>IFERROR(__xludf.DUMMYFUNCTION("""COMPUTED_VALUE"""),0.9574533448334123)</f>
        <v>0.9574533448</v>
      </c>
      <c r="AL631" s="30">
        <f>IFERROR(__xludf.DUMMYFUNCTION("""COMPUTED_VALUE"""),1.0908904286172771)</f>
        <v>1.090890429</v>
      </c>
      <c r="AM631" s="30">
        <f>IFERROR(__xludf.DUMMYFUNCTION("""COMPUTED_VALUE"""),0.9246947561357396)</f>
        <v>0.9246947561</v>
      </c>
      <c r="AN631" s="30">
        <f>IFERROR(__xludf.DUMMYFUNCTION("""COMPUTED_VALUE"""),1.0517637279833756)</f>
        <v>1.051763728</v>
      </c>
      <c r="AO631" s="30">
        <f>IFERROR(__xludf.DUMMYFUNCTION("""COMPUTED_VALUE"""),0.919126411293245)</f>
        <v>0.9191264113</v>
      </c>
      <c r="AP631" s="30">
        <f>IFERROR(__xludf.DUMMYFUNCTION("""COMPUTED_VALUE"""),1.7630961554590356)</f>
        <v>1.763096155</v>
      </c>
      <c r="AQ631" s="30">
        <f>IFERROR(__xludf.DUMMYFUNCTION("""COMPUTED_VALUE"""),1.0865810598753567)</f>
        <v>1.08658106</v>
      </c>
      <c r="AR631" s="30">
        <f>IFERROR(__xludf.DUMMYFUNCTION("""COMPUTED_VALUE"""),1.0737971148343366)</f>
        <v>1.073797115</v>
      </c>
      <c r="AS631" s="30">
        <f>IFERROR(__xludf.DUMMYFUNCTION("""COMPUTED_VALUE"""),85.0)</f>
        <v>85</v>
      </c>
      <c r="AT631" s="30">
        <f>IFERROR(__xludf.DUMMYFUNCTION("""COMPUTED_VALUE"""),0.5593580432510219)</f>
        <v>0.5593580433</v>
      </c>
      <c r="AU631" s="30">
        <f>IFERROR(__xludf.DUMMYFUNCTION("""COMPUTED_VALUE"""),3.6182880922391174)</f>
        <v>3.618288092</v>
      </c>
      <c r="AV631" s="32">
        <f>IFERROR(__xludf.DUMMYFUNCTION("""COMPUTED_VALUE"""),66.26542613503918)</f>
        <v>66.26542614</v>
      </c>
      <c r="AW631" s="32">
        <f>IFERROR(__xludf.DUMMYFUNCTION("""COMPUTED_VALUE"""),3.881281501281101)</f>
        <v>3.881281501</v>
      </c>
      <c r="AX631" s="32">
        <f>IFERROR(__xludf.DUMMYFUNCTION("""COMPUTED_VALUE"""),59.718694153453804)</f>
        <v>59.71869415</v>
      </c>
      <c r="AY631" s="32">
        <f>IFERROR(__xludf.DUMMYFUNCTION("""COMPUTED_VALUE"""),2.867536678540614)</f>
        <v>2.867536679</v>
      </c>
      <c r="AZ631" s="30">
        <f>IFERROR(__xludf.DUMMYFUNCTION("""COMPUTED_VALUE"""),1.0137448227404873)</f>
        <v>1.013744823</v>
      </c>
      <c r="BA631" s="30">
        <f>IFERROR(__xludf.DUMMYFUNCTION("""COMPUTED_VALUE"""),2300.0)</f>
        <v>2300</v>
      </c>
    </row>
    <row r="632">
      <c r="A632" s="71" t="str">
        <f>IFERROR(__xludf.DUMMYFUNCTION("""COMPUTED_VALUE"""),"Challenger")</f>
        <v>Challenger</v>
      </c>
      <c r="B632" s="71" t="str">
        <f>IFERROR(__xludf.DUMMYFUNCTION("""COMPUTED_VALUE"""),"RSC007848")</f>
        <v>RSC007848</v>
      </c>
      <c r="C632" s="30" t="str">
        <f>IFERROR(__xludf.DUMMYFUNCTION("""COMPUTED_VALUE"""),"Ninji &lt;3")</f>
        <v>Ninji &lt;3</v>
      </c>
      <c r="D632" s="30" t="str">
        <f>IFERROR(__xludf.DUMMYFUNCTION("""COMPUTED_VALUE"""),"Squalls")</f>
        <v>Squalls</v>
      </c>
      <c r="E632" s="30">
        <f>IFERROR(__xludf.DUMMYFUNCTION("""COMPUTED_VALUE"""),19.0)</f>
        <v>19</v>
      </c>
      <c r="F632" s="30">
        <f>IFERROR(__xludf.DUMMYFUNCTION("""COMPUTED_VALUE"""),10.0)</f>
        <v>10</v>
      </c>
      <c r="G632" s="42">
        <f>IFERROR(__xludf.DUMMYFUNCTION("""COMPUTED_VALUE"""),9.0)</f>
        <v>9</v>
      </c>
      <c r="H632" s="42">
        <f>IFERROR(__xludf.DUMMYFUNCTION("""COMPUTED_VALUE"""),0.5263157894736842)</f>
        <v>0.5263157895</v>
      </c>
      <c r="I632" s="42">
        <f>IFERROR(__xludf.DUMMYFUNCTION("""COMPUTED_VALUE"""),0.24444444444444446)</f>
        <v>0.2444444444</v>
      </c>
      <c r="J632" s="30">
        <f>IFERROR(__xludf.DUMMYFUNCTION("""COMPUTED_VALUE"""),294.1578947368421)</f>
        <v>294.1578947</v>
      </c>
      <c r="K632" s="30">
        <f>IFERROR(__xludf.DUMMYFUNCTION("""COMPUTED_VALUE"""),0.5789473684210527)</f>
        <v>0.5789473684</v>
      </c>
      <c r="L632" s="30">
        <f>IFERROR(__xludf.DUMMYFUNCTION("""COMPUTED_VALUE"""),0.5263157894736842)</f>
        <v>0.5263157895</v>
      </c>
      <c r="M632" s="30">
        <f>IFERROR(__xludf.DUMMYFUNCTION("""COMPUTED_VALUE"""),1.0526315789473684)</f>
        <v>1.052631579</v>
      </c>
      <c r="N632" s="30">
        <f>IFERROR(__xludf.DUMMYFUNCTION("""COMPUTED_VALUE"""),2.3684210526315788)</f>
        <v>2.368421053</v>
      </c>
      <c r="O632" s="30">
        <f>IFERROR(__xludf.DUMMYFUNCTION("""COMPUTED_VALUE"""),341.14035087719304)</f>
        <v>341.1403509</v>
      </c>
      <c r="P632" s="30">
        <f>IFERROR(__xludf.DUMMYFUNCTION("""COMPUTED_VALUE"""),0.6140350877192983)</f>
        <v>0.6140350877</v>
      </c>
      <c r="Q632" s="30">
        <f>IFERROR(__xludf.DUMMYFUNCTION("""COMPUTED_VALUE"""),0.4385964912280701)</f>
        <v>0.4385964912</v>
      </c>
      <c r="R632" s="30">
        <f>IFERROR(__xludf.DUMMYFUNCTION("""COMPUTED_VALUE"""),1.5964912280701755)</f>
        <v>1.596491228</v>
      </c>
      <c r="S632" s="30">
        <f>IFERROR(__xludf.DUMMYFUNCTION("""COMPUTED_VALUE"""),2.0526315789473686)</f>
        <v>2.052631579</v>
      </c>
      <c r="T632" s="30">
        <f>IFERROR(__xludf.DUMMYFUNCTION("""COMPUTED_VALUE"""),357.7639226134029)</f>
        <v>357.7639226</v>
      </c>
      <c r="U632" s="30">
        <f>IFERROR(__xludf.DUMMYFUNCTION("""COMPUTED_VALUE"""),0.8134287593717339)</f>
        <v>0.8134287594</v>
      </c>
      <c r="V632" s="30">
        <f>IFERROR(__xludf.DUMMYFUNCTION("""COMPUTED_VALUE"""),0.5871279061439633)</f>
        <v>0.5871279061</v>
      </c>
      <c r="W632" s="30">
        <f>IFERROR(__xludf.DUMMYFUNCTION("""COMPUTED_VALUE"""),1.3611821584112977)</f>
        <v>1.361182158</v>
      </c>
      <c r="X632" s="30">
        <f>IFERROR(__xludf.DUMMYFUNCTION("""COMPUTED_VALUE"""),2.5816024661170025)</f>
        <v>2.581602466</v>
      </c>
      <c r="Y632" s="30">
        <f>IFERROR(__xludf.DUMMYFUNCTION("""COMPUTED_VALUE"""),336.4107240893963)</f>
        <v>336.4107241</v>
      </c>
      <c r="Z632" s="30">
        <f>IFERROR(__xludf.DUMMYFUNCTION("""COMPUTED_VALUE"""),0.7511353900571945)</f>
        <v>0.7511353901</v>
      </c>
      <c r="AA632" s="30">
        <f>IFERROR(__xludf.DUMMYFUNCTION("""COMPUTED_VALUE"""),0.504166882420435)</f>
        <v>0.5041668824</v>
      </c>
      <c r="AB632" s="30">
        <f>IFERROR(__xludf.DUMMYFUNCTION("""COMPUTED_VALUE"""),1.224911016457277)</f>
        <v>1.224911016</v>
      </c>
      <c r="AC632" s="30">
        <f>IFERROR(__xludf.DUMMYFUNCTION("""COMPUTED_VALUE"""),2.555708203570292)</f>
        <v>2.555708204</v>
      </c>
      <c r="AD632" s="30">
        <f>IFERROR(__xludf.DUMMYFUNCTION("""COMPUTED_VALUE"""),0.874401062965739)</f>
        <v>0.874401063</v>
      </c>
      <c r="AE632" s="30">
        <f>IFERROR(__xludf.DUMMYFUNCTION("""COMPUTED_VALUE"""),0.7707630023622895)</f>
        <v>0.7707630024</v>
      </c>
      <c r="AF632" s="30">
        <f>IFERROR(__xludf.DUMMYFUNCTION("""COMPUTED_VALUE"""),1.0439316976690642)</f>
        <v>1.043931698</v>
      </c>
      <c r="AG632" s="30">
        <f>IFERROR(__xludf.DUMMYFUNCTION("""COMPUTED_VALUE"""),0.859353507973028)</f>
        <v>0.859353508</v>
      </c>
      <c r="AH632" s="30">
        <f>IFERROR(__xludf.DUMMYFUNCTION("""COMPUTED_VALUE"""),0.9267181008078014)</f>
        <v>0.9267181008</v>
      </c>
      <c r="AI632" s="30">
        <f>IFERROR(__xludf.DUMMYFUNCTION("""COMPUTED_VALUE"""),0.953534801343921)</f>
        <v>0.9535348013</v>
      </c>
      <c r="AJ632" s="30">
        <f>IFERROR(__xludf.DUMMYFUNCTION("""COMPUTED_VALUE"""),0.7548726064143086)</f>
        <v>0.7548726064</v>
      </c>
      <c r="AK632" s="30">
        <f>IFERROR(__xludf.DUMMYFUNCTION("""COMPUTED_VALUE"""),0.7470203453768839)</f>
        <v>0.7470203454</v>
      </c>
      <c r="AL632" s="30">
        <f>IFERROR(__xludf.DUMMYFUNCTION("""COMPUTED_VALUE"""),1.1728711092815958)</f>
        <v>1.172871109</v>
      </c>
      <c r="AM632" s="30">
        <f>IFERROR(__xludf.DUMMYFUNCTION("""COMPUTED_VALUE"""),0.7950997901062354)</f>
        <v>0.7950997901</v>
      </c>
      <c r="AN632" s="30">
        <f>IFERROR(__xludf.DUMMYFUNCTION("""COMPUTED_VALUE"""),0.8948805269065965)</f>
        <v>0.8948805269</v>
      </c>
      <c r="AO632" s="30">
        <f>IFERROR(__xludf.DUMMYFUNCTION("""COMPUTED_VALUE"""),0.7634848679621234)</f>
        <v>0.763484868</v>
      </c>
      <c r="AP632" s="30">
        <f>IFERROR(__xludf.DUMMYFUNCTION("""COMPUTED_VALUE"""),1.0207398794762836)</f>
        <v>1.020739879</v>
      </c>
      <c r="AQ632" s="30">
        <f>IFERROR(__xludf.DUMMYFUNCTION("""COMPUTED_VALUE"""),0.8777766211967385)</f>
        <v>0.8777766212</v>
      </c>
      <c r="AR632" s="30">
        <f>IFERROR(__xludf.DUMMYFUNCTION("""COMPUTED_VALUE"""),0.9873614337640804)</f>
        <v>0.9873614338</v>
      </c>
      <c r="AS632" s="30">
        <f>IFERROR(__xludf.DUMMYFUNCTION("""COMPUTED_VALUE"""),40.0)</f>
        <v>40</v>
      </c>
      <c r="AT632" s="30">
        <f>IFERROR(__xludf.DUMMYFUNCTION("""COMPUTED_VALUE"""),0.5493455167673286)</f>
        <v>0.5493455168</v>
      </c>
      <c r="AU632" s="30">
        <f>IFERROR(__xludf.DUMMYFUNCTION("""COMPUTED_VALUE"""),2.8908939081516225)</f>
        <v>2.890893908</v>
      </c>
      <c r="AV632" s="32">
        <f>IFERROR(__xludf.DUMMYFUNCTION("""COMPUTED_VALUE"""),47.03155443955198)</f>
        <v>47.03155444</v>
      </c>
      <c r="AW632" s="32">
        <f>IFERROR(__xludf.DUMMYFUNCTION("""COMPUTED_VALUE"""),-2.208765757263457)</f>
        <v>-2.208765757</v>
      </c>
      <c r="AX632" s="32">
        <f>IFERROR(__xludf.DUMMYFUNCTION("""COMPUTED_VALUE"""),37.82014453957893)</f>
        <v>37.82014454</v>
      </c>
      <c r="AY632" s="32">
        <f>IFERROR(__xludf.DUMMYFUNCTION("""COMPUTED_VALUE"""),-3.1942722755430686)</f>
        <v>-3.194272276</v>
      </c>
      <c r="AZ632" s="30">
        <f>IFERROR(__xludf.DUMMYFUNCTION("""COMPUTED_VALUE"""),0.9855065182796117)</f>
        <v>0.9855065183</v>
      </c>
      <c r="BA632" s="30">
        <f>IFERROR(__xludf.DUMMYFUNCTION("""COMPUTED_VALUE"""),2300.0)</f>
        <v>2300</v>
      </c>
    </row>
    <row r="633">
      <c r="A633" s="71" t="str">
        <f>IFERROR(__xludf.DUMMYFUNCTION("""COMPUTED_VALUE"""),"Challenger")</f>
        <v>Challenger</v>
      </c>
      <c r="B633" s="71" t="str">
        <f>IFERROR(__xludf.DUMMYFUNCTION("""COMPUTED_VALUE"""),"RSC005859")</f>
        <v>RSC005859</v>
      </c>
      <c r="C633" s="30" t="str">
        <f>IFERROR(__xludf.DUMMYFUNCTION("""COMPUTED_VALUE"""),"LedTasso")</f>
        <v>LedTasso</v>
      </c>
      <c r="D633" s="30" t="str">
        <f>IFERROR(__xludf.DUMMYFUNCTION("""COMPUTED_VALUE"""),"Jock O Lanterns")</f>
        <v>Jock O Lanterns</v>
      </c>
      <c r="E633" s="30">
        <f>IFERROR(__xludf.DUMMYFUNCTION("""COMPUTED_VALUE"""),32.0)</f>
        <v>32</v>
      </c>
      <c r="F633" s="30">
        <f>IFERROR(__xludf.DUMMYFUNCTION("""COMPUTED_VALUE"""),13.0)</f>
        <v>13</v>
      </c>
      <c r="G633" s="42">
        <f>IFERROR(__xludf.DUMMYFUNCTION("""COMPUTED_VALUE"""),19.0)</f>
        <v>19</v>
      </c>
      <c r="H633" s="42">
        <f>IFERROR(__xludf.DUMMYFUNCTION("""COMPUTED_VALUE"""),0.40625)</f>
        <v>0.40625</v>
      </c>
      <c r="I633" s="42">
        <f>IFERROR(__xludf.DUMMYFUNCTION("""COMPUTED_VALUE"""),0.39285714285714285)</f>
        <v>0.3928571429</v>
      </c>
      <c r="J633" s="30">
        <f>IFERROR(__xludf.DUMMYFUNCTION("""COMPUTED_VALUE"""),348.46875)</f>
        <v>348.46875</v>
      </c>
      <c r="K633" s="30">
        <f>IFERROR(__xludf.DUMMYFUNCTION("""COMPUTED_VALUE"""),1.03125)</f>
        <v>1.03125</v>
      </c>
      <c r="L633" s="30">
        <f>IFERROR(__xludf.DUMMYFUNCTION("""COMPUTED_VALUE"""),0.5)</f>
        <v>0.5</v>
      </c>
      <c r="M633" s="30">
        <f>IFERROR(__xludf.DUMMYFUNCTION("""COMPUTED_VALUE"""),1.0625)</f>
        <v>1.0625</v>
      </c>
      <c r="N633" s="30">
        <f>IFERROR(__xludf.DUMMYFUNCTION("""COMPUTED_VALUE"""),2.625)</f>
        <v>2.625</v>
      </c>
      <c r="O633" s="30">
        <f>IFERROR(__xludf.DUMMYFUNCTION("""COMPUTED_VALUE"""),386.29166666666674)</f>
        <v>386.2916667</v>
      </c>
      <c r="P633" s="30">
        <f>IFERROR(__xludf.DUMMYFUNCTION("""COMPUTED_VALUE"""),0.9583333333333335)</f>
        <v>0.9583333333</v>
      </c>
      <c r="Q633" s="30">
        <f>IFERROR(__xludf.DUMMYFUNCTION("""COMPUTED_VALUE"""),0.6354166666666667)</f>
        <v>0.6354166667</v>
      </c>
      <c r="R633" s="30">
        <f>IFERROR(__xludf.DUMMYFUNCTION("""COMPUTED_VALUE"""),1.458333333333333)</f>
        <v>1.458333333</v>
      </c>
      <c r="S633" s="30">
        <f>IFERROR(__xludf.DUMMYFUNCTION("""COMPUTED_VALUE"""),2.4999999999999996)</f>
        <v>2.5</v>
      </c>
      <c r="T633" s="30">
        <f>IFERROR(__xludf.DUMMYFUNCTION("""COMPUTED_VALUE"""),346.07009731409534)</f>
        <v>346.0700973</v>
      </c>
      <c r="U633" s="30">
        <f>IFERROR(__xludf.DUMMYFUNCTION("""COMPUTED_VALUE"""),0.8180994170276144)</f>
        <v>0.818099417</v>
      </c>
      <c r="V633" s="30">
        <f>IFERROR(__xludf.DUMMYFUNCTION("""COMPUTED_VALUE"""),0.6083126811888674)</f>
        <v>0.6083126812</v>
      </c>
      <c r="W633" s="30">
        <f>IFERROR(__xludf.DUMMYFUNCTION("""COMPUTED_VALUE"""),1.258878630220542)</f>
        <v>1.25887863</v>
      </c>
      <c r="X633" s="30">
        <f>IFERROR(__xludf.DUMMYFUNCTION("""COMPUTED_VALUE"""),2.4972840059729955)</f>
        <v>2.497284006</v>
      </c>
      <c r="Y633" s="30">
        <f>IFERROR(__xludf.DUMMYFUNCTION("""COMPUTED_VALUE"""),333.85924432505686)</f>
        <v>333.8592443</v>
      </c>
      <c r="Z633" s="30">
        <f>IFERROR(__xludf.DUMMYFUNCTION("""COMPUTED_VALUE"""),0.7791027391862624)</f>
        <v>0.7791027392</v>
      </c>
      <c r="AA633" s="30">
        <f>IFERROR(__xludf.DUMMYFUNCTION("""COMPUTED_VALUE"""),0.5454355996400582)</f>
        <v>0.5454355996</v>
      </c>
      <c r="AB633" s="30">
        <f>IFERROR(__xludf.DUMMYFUNCTION("""COMPUTED_VALUE"""),1.1772255180393736)</f>
        <v>1.177225518</v>
      </c>
      <c r="AC633" s="30">
        <f>IFERROR(__xludf.DUMMYFUNCTION("""COMPUTED_VALUE"""),2.4944710273954174)</f>
        <v>2.494471027</v>
      </c>
      <c r="AD633" s="30">
        <f>IFERROR(__xludf.DUMMYFUNCTION("""COMPUTED_VALUE"""),1.043759476256164)</f>
        <v>1.043759476</v>
      </c>
      <c r="AE633" s="30">
        <f>IFERROR(__xludf.DUMMYFUNCTION("""COMPUTED_VALUE"""),1.3236380109215045)</f>
        <v>1.323638011</v>
      </c>
      <c r="AF633" s="30">
        <f>IFERROR(__xludf.DUMMYFUNCTION("""COMPUTED_VALUE"""),0.916698507266409)</f>
        <v>0.9166985073</v>
      </c>
      <c r="AG633" s="30">
        <f>IFERROR(__xludf.DUMMYFUNCTION("""COMPUTED_VALUE"""),0.9025458450557164)</f>
        <v>0.9025458451</v>
      </c>
      <c r="AH633" s="30">
        <f>IFERROR(__xludf.DUMMYFUNCTION("""COMPUTED_VALUE"""),1.052327315559513)</f>
        <v>1.052327316</v>
      </c>
      <c r="AI633" s="30">
        <f>IFERROR(__xludf.DUMMYFUNCTION("""COMPUTED_VALUE"""),1.1162237641007915)</f>
        <v>1.116223764</v>
      </c>
      <c r="AJ633" s="30">
        <f>IFERROR(__xludf.DUMMYFUNCTION("""COMPUTED_VALUE"""),1.171414272381746)</f>
        <v>1.171414272</v>
      </c>
      <c r="AK633" s="30">
        <f>IFERROR(__xludf.DUMMYFUNCTION("""COMPUTED_VALUE"""),1.044556009295792)</f>
        <v>1.044556009</v>
      </c>
      <c r="AL633" s="30">
        <f>IFERROR(__xludf.DUMMYFUNCTION("""COMPUTED_VALUE"""),1.1584383897896884)</f>
        <v>1.15843839</v>
      </c>
      <c r="AM633" s="30">
        <f>IFERROR(__xludf.DUMMYFUNCTION("""COMPUTED_VALUE"""),1.0010875791541962)</f>
        <v>1.001087579</v>
      </c>
      <c r="AN633" s="30">
        <f>IFERROR(__xludf.DUMMYFUNCTION("""COMPUTED_VALUE"""),1.0601037884414346)</f>
        <v>1.060103788</v>
      </c>
      <c r="AO633" s="30">
        <f>IFERROR(__xludf.DUMMYFUNCTION("""COMPUTED_VALUE"""),1.3599574210575323)</f>
        <v>1.359957421</v>
      </c>
      <c r="AP633" s="30">
        <f>IFERROR(__xludf.DUMMYFUNCTION("""COMPUTED_VALUE"""),0.9697028855024696)</f>
        <v>0.9697028855</v>
      </c>
      <c r="AQ633" s="30">
        <f>IFERROR(__xludf.DUMMYFUNCTION("""COMPUTED_VALUE"""),0.886005777020458)</f>
        <v>0.886005777</v>
      </c>
      <c r="AR633" s="30">
        <f>IFERROR(__xludf.DUMMYFUNCTION("""COMPUTED_VALUE"""),1.0943255890885224)</f>
        <v>1.094325589</v>
      </c>
      <c r="AS633" s="30">
        <f>IFERROR(__xludf.DUMMYFUNCTION("""COMPUTED_VALUE"""),70.0)</f>
        <v>70</v>
      </c>
      <c r="AT633" s="30">
        <f>IFERROR(__xludf.DUMMYFUNCTION("""COMPUTED_VALUE"""),0.39286309359466104)</f>
        <v>0.3928630936</v>
      </c>
      <c r="AU633" s="30">
        <f>IFERROR(__xludf.DUMMYFUNCTION("""COMPUTED_VALUE"""),3.4189507760344187)</f>
        <v>3.418950776</v>
      </c>
      <c r="AV633" s="32">
        <f>IFERROR(__xludf.DUMMYFUNCTION("""COMPUTED_VALUE"""),60.994517392740576)</f>
        <v>60.99451739</v>
      </c>
      <c r="AW633" s="32">
        <f>IFERROR(__xludf.DUMMYFUNCTION("""COMPUTED_VALUE"""),3.0298625504907943)</f>
        <v>3.02986255</v>
      </c>
      <c r="AX633" s="32">
        <f>IFERROR(__xludf.DUMMYFUNCTION("""COMPUTED_VALUE"""),50.92852217066237)</f>
        <v>50.92852217</v>
      </c>
      <c r="AY633" s="32">
        <f>IFERROR(__xludf.DUMMYFUNCTION("""COMPUTED_VALUE"""),2.061063814632679)</f>
        <v>2.061063815</v>
      </c>
      <c r="AZ633" s="30">
        <f>IFERROR(__xludf.DUMMYFUNCTION("""COMPUTED_VALUE"""),0.9687987358581154)</f>
        <v>0.9687987359</v>
      </c>
      <c r="BA633" s="30">
        <f>IFERROR(__xludf.DUMMYFUNCTION("""COMPUTED_VALUE"""),2300.0)</f>
        <v>2300</v>
      </c>
    </row>
    <row r="634">
      <c r="A634" s="71" t="str">
        <f>IFERROR(__xludf.DUMMYFUNCTION("""COMPUTED_VALUE"""),"Challenger")</f>
        <v>Challenger</v>
      </c>
      <c r="B634" s="71" t="str">
        <f>IFERROR(__xludf.DUMMYFUNCTION("""COMPUTED_VALUE"""),"RSC007457")</f>
        <v>RSC007457</v>
      </c>
      <c r="C634" s="30" t="str">
        <f>IFERROR(__xludf.DUMMYFUNCTION("""COMPUTED_VALUE"""),"Fyooze")</f>
        <v>Fyooze</v>
      </c>
      <c r="D634" s="30" t="str">
        <f>IFERROR(__xludf.DUMMYFUNCTION("""COMPUTED_VALUE"""),"Threshers")</f>
        <v>Threshers</v>
      </c>
      <c r="E634" s="30">
        <f>IFERROR(__xludf.DUMMYFUNCTION("""COMPUTED_VALUE"""),30.0)</f>
        <v>30</v>
      </c>
      <c r="F634" s="30">
        <f>IFERROR(__xludf.DUMMYFUNCTION("""COMPUTED_VALUE"""),10.0)</f>
        <v>10</v>
      </c>
      <c r="G634" s="42">
        <f>IFERROR(__xludf.DUMMYFUNCTION("""COMPUTED_VALUE"""),20.0)</f>
        <v>20</v>
      </c>
      <c r="H634" s="42">
        <f>IFERROR(__xludf.DUMMYFUNCTION("""COMPUTED_VALUE"""),0.3333333333333333)</f>
        <v>0.3333333333</v>
      </c>
      <c r="I634" s="42">
        <f>IFERROR(__xludf.DUMMYFUNCTION("""COMPUTED_VALUE"""),0.34545454545454546)</f>
        <v>0.3454545455</v>
      </c>
      <c r="J634" s="30">
        <f>IFERROR(__xludf.DUMMYFUNCTION("""COMPUTED_VALUE"""),264.43333333333334)</f>
        <v>264.4333333</v>
      </c>
      <c r="K634" s="30">
        <f>IFERROR(__xludf.DUMMYFUNCTION("""COMPUTED_VALUE"""),0.6333333333333333)</f>
        <v>0.6333333333</v>
      </c>
      <c r="L634" s="30">
        <f>IFERROR(__xludf.DUMMYFUNCTION("""COMPUTED_VALUE"""),0.4)</f>
        <v>0.4</v>
      </c>
      <c r="M634" s="30">
        <f>IFERROR(__xludf.DUMMYFUNCTION("""COMPUTED_VALUE"""),0.9)</f>
        <v>0.9</v>
      </c>
      <c r="N634" s="30">
        <f>IFERROR(__xludf.DUMMYFUNCTION("""COMPUTED_VALUE"""),1.8333333333333333)</f>
        <v>1.833333333</v>
      </c>
      <c r="O634" s="30">
        <f>IFERROR(__xludf.DUMMYFUNCTION("""COMPUTED_VALUE"""),360.23333333333335)</f>
        <v>360.2333333</v>
      </c>
      <c r="P634" s="30">
        <f>IFERROR(__xludf.DUMMYFUNCTION("""COMPUTED_VALUE"""),0.9777777777777777)</f>
        <v>0.9777777778</v>
      </c>
      <c r="Q634" s="30">
        <f>IFERROR(__xludf.DUMMYFUNCTION("""COMPUTED_VALUE"""),0.7333333333333332)</f>
        <v>0.7333333333</v>
      </c>
      <c r="R634" s="30">
        <f>IFERROR(__xludf.DUMMYFUNCTION("""COMPUTED_VALUE"""),1.1555555555555554)</f>
        <v>1.155555556</v>
      </c>
      <c r="S634" s="30">
        <f>IFERROR(__xludf.DUMMYFUNCTION("""COMPUTED_VALUE"""),2.633333333333333)</f>
        <v>2.633333333</v>
      </c>
      <c r="T634" s="30">
        <f>IFERROR(__xludf.DUMMYFUNCTION("""COMPUTED_VALUE"""),345.92929089504344)</f>
        <v>345.9292909</v>
      </c>
      <c r="U634" s="30">
        <f>IFERROR(__xludf.DUMMYFUNCTION("""COMPUTED_VALUE"""),0.8544177118735725)</f>
        <v>0.8544177119</v>
      </c>
      <c r="V634" s="30">
        <f>IFERROR(__xludf.DUMMYFUNCTION("""COMPUTED_VALUE"""),0.5862149425888605)</f>
        <v>0.5862149426</v>
      </c>
      <c r="W634" s="30">
        <f>IFERROR(__xludf.DUMMYFUNCTION("""COMPUTED_VALUE"""),1.168912281682566)</f>
        <v>1.168912282</v>
      </c>
      <c r="X634" s="30">
        <f>IFERROR(__xludf.DUMMYFUNCTION("""COMPUTED_VALUE"""),2.5859774219753984)</f>
        <v>2.585977422</v>
      </c>
      <c r="Y634" s="30">
        <f>IFERROR(__xludf.DUMMYFUNCTION("""COMPUTED_VALUE"""),326.56099782569413)</f>
        <v>326.5609978</v>
      </c>
      <c r="Z634" s="30">
        <f>IFERROR(__xludf.DUMMYFUNCTION("""COMPUTED_VALUE"""),0.7423817146447823)</f>
        <v>0.7423817146</v>
      </c>
      <c r="AA634" s="30">
        <f>IFERROR(__xludf.DUMMYFUNCTION("""COMPUTED_VALUE"""),0.4899996769504865)</f>
        <v>0.489999677</v>
      </c>
      <c r="AB634" s="30">
        <f>IFERROR(__xludf.DUMMYFUNCTION("""COMPUTED_VALUE"""),1.2125246907418645)</f>
        <v>1.212524691</v>
      </c>
      <c r="AC634" s="30">
        <f>IFERROR(__xludf.DUMMYFUNCTION("""COMPUTED_VALUE"""),2.3357936013043887)</f>
        <v>2.335793601</v>
      </c>
      <c r="AD634" s="30">
        <f>IFERROR(__xludf.DUMMYFUNCTION("""COMPUTED_VALUE"""),0.8097517312048325)</f>
        <v>0.8097517312</v>
      </c>
      <c r="AE634" s="30">
        <f>IFERROR(__xludf.DUMMYFUNCTION("""COMPUTED_VALUE"""),0.8531100926110136)</f>
        <v>0.8531100926</v>
      </c>
      <c r="AF634" s="30">
        <f>IFERROR(__xludf.DUMMYFUNCTION("""COMPUTED_VALUE"""),0.816327068804209)</f>
        <v>0.8163270688</v>
      </c>
      <c r="AG634" s="30">
        <f>IFERROR(__xludf.DUMMYFUNCTION("""COMPUTED_VALUE"""),0.7422529263708015)</f>
        <v>0.7422529264</v>
      </c>
      <c r="AH634" s="30">
        <f>IFERROR(__xludf.DUMMYFUNCTION("""COMPUTED_VALUE"""),0.784886700738257)</f>
        <v>0.7848867007</v>
      </c>
      <c r="AI634" s="30">
        <f>IFERROR(__xludf.DUMMYFUNCTION("""COMPUTED_VALUE"""),1.0413496133885634)</f>
        <v>1.041349613</v>
      </c>
      <c r="AJ634" s="30">
        <f>IFERROR(__xludf.DUMMYFUNCTION("""COMPUTED_VALUE"""),1.144379106600799)</f>
        <v>1.144379107</v>
      </c>
      <c r="AK634" s="30">
        <f>IFERROR(__xludf.DUMMYFUNCTION("""COMPUTED_VALUE"""),1.2509632219451177)</f>
        <v>1.250963222</v>
      </c>
      <c r="AL634" s="30">
        <f>IFERROR(__xludf.DUMMYFUNCTION("""COMPUTED_VALUE"""),0.9885733717265898)</f>
        <v>0.9885733717</v>
      </c>
      <c r="AM634" s="30">
        <f>IFERROR(__xludf.DUMMYFUNCTION("""COMPUTED_VALUE"""),1.01831257726982)</f>
        <v>1.018312577</v>
      </c>
      <c r="AN634" s="30">
        <f>IFERROR(__xludf.DUMMYFUNCTION("""COMPUTED_VALUE"""),0.8044531352003971)</f>
        <v>0.8044531352</v>
      </c>
      <c r="AO634" s="30">
        <f>IFERROR(__xludf.DUMMYFUNCTION("""COMPUTED_VALUE"""),0.8352061737403834)</f>
        <v>0.8352061737</v>
      </c>
      <c r="AP634" s="30">
        <f>IFERROR(__xludf.DUMMYFUNCTION("""COMPUTED_VALUE"""),0.7757623084019757)</f>
        <v>0.7757623084</v>
      </c>
      <c r="AQ634" s="30">
        <f>IFERROR(__xludf.DUMMYFUNCTION("""COMPUTED_VALUE"""),0.7504990111232115)</f>
        <v>0.7504990111</v>
      </c>
      <c r="AR634" s="30">
        <f>IFERROR(__xludf.DUMMYFUNCTION("""COMPUTED_VALUE"""),0.7642908876173807)</f>
        <v>0.7642908876</v>
      </c>
      <c r="AS634" s="30">
        <f>IFERROR(__xludf.DUMMYFUNCTION("""COMPUTED_VALUE"""),55.0)</f>
        <v>55</v>
      </c>
      <c r="AT634" s="30">
        <f>IFERROR(__xludf.DUMMYFUNCTION("""COMPUTED_VALUE"""),0.3239273051551027)</f>
        <v>0.3239273052</v>
      </c>
      <c r="AU634" s="30">
        <f>IFERROR(__xludf.DUMMYFUNCTION("""COMPUTED_VALUE"""),2.0486834535619094)</f>
        <v>2.048683454</v>
      </c>
      <c r="AV634" s="32">
        <f>IFERROR(__xludf.DUMMYFUNCTION("""COMPUTED_VALUE"""),24.761692817688935)</f>
        <v>24.76169282</v>
      </c>
      <c r="AW634" s="32">
        <f>IFERROR(__xludf.DUMMYFUNCTION("""COMPUTED_VALUE"""),-6.395509326004021)</f>
        <v>-6.395509326</v>
      </c>
      <c r="AX634" s="32">
        <f>IFERROR(__xludf.DUMMYFUNCTION("""COMPUTED_VALUE"""),22.652457418824646)</f>
        <v>22.65245742</v>
      </c>
      <c r="AY634" s="32">
        <f>IFERROR(__xludf.DUMMYFUNCTION("""COMPUTED_VALUE"""),-7.299320910419536)</f>
        <v>-7.29932091</v>
      </c>
      <c r="AZ634" s="30">
        <f>IFERROR(__xludf.DUMMYFUNCTION("""COMPUTED_VALUE"""),0.9038115844155152)</f>
        <v>0.9038115844</v>
      </c>
      <c r="BA634" s="30">
        <f>IFERROR(__xludf.DUMMYFUNCTION("""COMPUTED_VALUE"""),2300.0)</f>
        <v>2300</v>
      </c>
    </row>
    <row r="635">
      <c r="A635" s="71" t="str">
        <f>IFERROR(__xludf.DUMMYFUNCTION("""COMPUTED_VALUE"""),"Challenger")</f>
        <v>Challenger</v>
      </c>
      <c r="B635" s="71" t="str">
        <f>IFERROR(__xludf.DUMMYFUNCTION("""COMPUTED_VALUE"""),"RSC007613")</f>
        <v>RSC007613</v>
      </c>
      <c r="C635" s="30" t="str">
        <f>IFERROR(__xludf.DUMMYFUNCTION("""COMPUTED_VALUE"""),"Squatch70")</f>
        <v>Squatch70</v>
      </c>
      <c r="D635" s="30" t="str">
        <f>IFERROR(__xludf.DUMMYFUNCTION("""COMPUTED_VALUE"""),"Panda Bears")</f>
        <v>Panda Bears</v>
      </c>
      <c r="E635" s="30">
        <f>IFERROR(__xludf.DUMMYFUNCTION("""COMPUTED_VALUE"""),31.0)</f>
        <v>31</v>
      </c>
      <c r="F635" s="30">
        <f>IFERROR(__xludf.DUMMYFUNCTION("""COMPUTED_VALUE"""),17.0)</f>
        <v>17</v>
      </c>
      <c r="G635" s="42">
        <f>IFERROR(__xludf.DUMMYFUNCTION("""COMPUTED_VALUE"""),14.0)</f>
        <v>14</v>
      </c>
      <c r="H635" s="42">
        <f>IFERROR(__xludf.DUMMYFUNCTION("""COMPUTED_VALUE"""),0.5483870967741935)</f>
        <v>0.5483870968</v>
      </c>
      <c r="I635" s="42">
        <f>IFERROR(__xludf.DUMMYFUNCTION("""COMPUTED_VALUE"""),0.2597402597402597)</f>
        <v>0.2597402597</v>
      </c>
      <c r="J635" s="30">
        <f>IFERROR(__xludf.DUMMYFUNCTION("""COMPUTED_VALUE"""),364.4193548387097)</f>
        <v>364.4193548</v>
      </c>
      <c r="K635" s="30">
        <f>IFERROR(__xludf.DUMMYFUNCTION("""COMPUTED_VALUE"""),0.6451612903225806)</f>
        <v>0.6451612903</v>
      </c>
      <c r="L635" s="30">
        <f>IFERROR(__xludf.DUMMYFUNCTION("""COMPUTED_VALUE"""),0.7096774193548387)</f>
        <v>0.7096774194</v>
      </c>
      <c r="M635" s="30">
        <f>IFERROR(__xludf.DUMMYFUNCTION("""COMPUTED_VALUE"""),1.5483870967741935)</f>
        <v>1.548387097</v>
      </c>
      <c r="N635" s="30">
        <f>IFERROR(__xludf.DUMMYFUNCTION("""COMPUTED_VALUE"""),2.4838709677419355)</f>
        <v>2.483870968</v>
      </c>
      <c r="O635" s="30">
        <f>IFERROR(__xludf.DUMMYFUNCTION("""COMPUTED_VALUE"""),336.5376344086022)</f>
        <v>336.5376344</v>
      </c>
      <c r="P635" s="30">
        <f>IFERROR(__xludf.DUMMYFUNCTION("""COMPUTED_VALUE"""),0.6881720430107527)</f>
        <v>0.688172043</v>
      </c>
      <c r="Q635" s="30">
        <f>IFERROR(__xludf.DUMMYFUNCTION("""COMPUTED_VALUE"""),0.4838709677419356)</f>
        <v>0.4838709677</v>
      </c>
      <c r="R635" s="30">
        <f>IFERROR(__xludf.DUMMYFUNCTION("""COMPUTED_VALUE"""),1.3333333333333335)</f>
        <v>1.333333333</v>
      </c>
      <c r="S635" s="30">
        <f>IFERROR(__xludf.DUMMYFUNCTION("""COMPUTED_VALUE"""),2.5806451612903225)</f>
        <v>2.580645161</v>
      </c>
      <c r="T635" s="30">
        <f>IFERROR(__xludf.DUMMYFUNCTION("""COMPUTED_VALUE"""),345.60506230200224)</f>
        <v>345.6050623</v>
      </c>
      <c r="U635" s="30">
        <f>IFERROR(__xludf.DUMMYFUNCTION("""COMPUTED_VALUE"""),0.8075691909341287)</f>
        <v>0.8075691909</v>
      </c>
      <c r="V635" s="30">
        <f>IFERROR(__xludf.DUMMYFUNCTION("""COMPUTED_VALUE"""),0.5732616811335582)</f>
        <v>0.5732616811</v>
      </c>
      <c r="W635" s="30">
        <f>IFERROR(__xludf.DUMMYFUNCTION("""COMPUTED_VALUE"""),1.3020404100895504)</f>
        <v>1.30204041</v>
      </c>
      <c r="X635" s="30">
        <f>IFERROR(__xludf.DUMMYFUNCTION("""COMPUTED_VALUE"""),2.471154471042112)</f>
        <v>2.471154471</v>
      </c>
      <c r="Y635" s="30">
        <f>IFERROR(__xludf.DUMMYFUNCTION("""COMPUTED_VALUE"""),332.7635857460999)</f>
        <v>332.7635857</v>
      </c>
      <c r="Z635" s="30">
        <f>IFERROR(__xludf.DUMMYFUNCTION("""COMPUTED_VALUE"""),0.7649331171378312)</f>
        <v>0.7649331171</v>
      </c>
      <c r="AA635" s="30">
        <f>IFERROR(__xludf.DUMMYFUNCTION("""COMPUTED_VALUE"""),0.5311846667758441)</f>
        <v>0.5311846668</v>
      </c>
      <c r="AB635" s="30">
        <f>IFERROR(__xludf.DUMMYFUNCTION("""COMPUTED_VALUE"""),1.2206278659949954)</f>
        <v>1.220627866</v>
      </c>
      <c r="AC635" s="30">
        <f>IFERROR(__xludf.DUMMYFUNCTION("""COMPUTED_VALUE"""),2.491060759014675)</f>
        <v>2.491060759</v>
      </c>
      <c r="AD635" s="30">
        <f>IFERROR(__xludf.DUMMYFUNCTION("""COMPUTED_VALUE"""),1.0951299073834457)</f>
        <v>1.095129907</v>
      </c>
      <c r="AE635" s="30">
        <f>IFERROR(__xludf.DUMMYFUNCTION("""COMPUTED_VALUE"""),0.8434218310962875)</f>
        <v>0.8434218311</v>
      </c>
      <c r="AF635" s="30">
        <f>IFERROR(__xludf.DUMMYFUNCTION("""COMPUTED_VALUE"""),1.336027682542872)</f>
        <v>1.336027683</v>
      </c>
      <c r="AG635" s="30">
        <f>IFERROR(__xludf.DUMMYFUNCTION("""COMPUTED_VALUE"""),1.2685169165067562)</f>
        <v>1.268516917</v>
      </c>
      <c r="AH635" s="30">
        <f>IFERROR(__xludf.DUMMYFUNCTION("""COMPUTED_VALUE"""),0.9971137631843298)</f>
        <v>0.9971137632</v>
      </c>
      <c r="AI635" s="30">
        <f>IFERROR(__xludf.DUMMYFUNCTION("""COMPUTED_VALUE"""),0.9737636137821482)</f>
        <v>0.9737636138</v>
      </c>
      <c r="AJ635" s="30">
        <f>IFERROR(__xludf.DUMMYFUNCTION("""COMPUTED_VALUE"""),0.852152423267575)</f>
        <v>0.8521524233</v>
      </c>
      <c r="AK635" s="30">
        <f>IFERROR(__xludf.DUMMYFUNCTION("""COMPUTED_VALUE"""),0.8440664772589319)</f>
        <v>0.8440664773</v>
      </c>
      <c r="AL635" s="30">
        <f>IFERROR(__xludf.DUMMYFUNCTION("""COMPUTED_VALUE"""),1.0240337573252667)</f>
        <v>1.024033757</v>
      </c>
      <c r="AM635" s="30">
        <f>IFERROR(__xludf.DUMMYFUNCTION("""COMPUTED_VALUE"""),1.0443075054721436)</f>
        <v>1.044307505</v>
      </c>
      <c r="AN635" s="30">
        <f>IFERROR(__xludf.DUMMYFUNCTION("""COMPUTED_VALUE"""),1.1086283594896231)</f>
        <v>1.108628359</v>
      </c>
      <c r="AO635" s="30">
        <f>IFERROR(__xludf.DUMMYFUNCTION("""COMPUTED_VALUE"""),0.8508042516879968)</f>
        <v>0.8508042517</v>
      </c>
      <c r="AP635" s="30">
        <f>IFERROR(__xludf.DUMMYFUNCTION("""COMPUTED_VALUE"""),1.3763524826486666)</f>
        <v>1.376352483</v>
      </c>
      <c r="AQ635" s="30">
        <f>IFERROR(__xludf.DUMMYFUNCTION("""COMPUTED_VALUE"""),1.291181094405525)</f>
        <v>1.291181094</v>
      </c>
      <c r="AR635" s="30">
        <f>IFERROR(__xludf.DUMMYFUNCTION("""COMPUTED_VALUE"""),1.0354908799977416)</f>
        <v>1.03549088</v>
      </c>
      <c r="AS635" s="30">
        <f>IFERROR(__xludf.DUMMYFUNCTION("""COMPUTED_VALUE"""),75.0)</f>
        <v>75</v>
      </c>
      <c r="AT635" s="30">
        <f>IFERROR(__xludf.DUMMYFUNCTION("""COMPUTED_VALUE"""),0.560692448220067)</f>
        <v>0.5606924482</v>
      </c>
      <c r="AU635" s="30">
        <f>IFERROR(__xludf.DUMMYFUNCTION("""COMPUTED_VALUE"""),3.435055230544476)</f>
        <v>3.435055231</v>
      </c>
      <c r="AV635" s="32">
        <f>IFERROR(__xludf.DUMMYFUNCTION("""COMPUTED_VALUE"""),61.42035391789898)</f>
        <v>61.42035392</v>
      </c>
      <c r="AW635" s="32">
        <f>IFERROR(__xludf.DUMMYFUNCTION("""COMPUTED_VALUE"""),3.087350582206407)</f>
        <v>3.087350582</v>
      </c>
      <c r="AX635" s="32">
        <f>IFERROR(__xludf.DUMMYFUNCTION("""COMPUTED_VALUE"""),52.906372092683426)</f>
        <v>52.90637209</v>
      </c>
      <c r="AY635" s="32">
        <f>IFERROR(__xludf.DUMMYFUNCTION("""COMPUTED_VALUE"""),2.2039768674456446)</f>
        <v>2.203976867</v>
      </c>
      <c r="AZ635" s="30">
        <f>IFERROR(__xludf.DUMMYFUNCTION("""COMPUTED_VALUE"""),0.8833737147607623)</f>
        <v>0.8833737148</v>
      </c>
      <c r="BA635" s="30">
        <f>IFERROR(__xludf.DUMMYFUNCTION("""COMPUTED_VALUE"""),2300.0)</f>
        <v>2300</v>
      </c>
    </row>
    <row r="636">
      <c r="A636" s="71" t="str">
        <f>IFERROR(__xludf.DUMMYFUNCTION("""COMPUTED_VALUE"""),"Challenger")</f>
        <v>Challenger</v>
      </c>
      <c r="B636" s="71" t="str">
        <f>IFERROR(__xludf.DUMMYFUNCTION("""COMPUTED_VALUE"""),"RSC007934")</f>
        <v>RSC007934</v>
      </c>
      <c r="C636" s="30" t="str">
        <f>IFERROR(__xludf.DUMMYFUNCTION("""COMPUTED_VALUE"""),"Chicknn.")</f>
        <v>Chicknn.</v>
      </c>
      <c r="D636" s="30"/>
      <c r="E636" s="30">
        <f>IFERROR(__xludf.DUMMYFUNCTION("""COMPUTED_VALUE"""),26.0)</f>
        <v>26</v>
      </c>
      <c r="F636" s="30">
        <f>IFERROR(__xludf.DUMMYFUNCTION("""COMPUTED_VALUE"""),10.0)</f>
        <v>10</v>
      </c>
      <c r="G636" s="42">
        <f>IFERROR(__xludf.DUMMYFUNCTION("""COMPUTED_VALUE"""),16.0)</f>
        <v>16</v>
      </c>
      <c r="H636" s="42">
        <f>IFERROR(__xludf.DUMMYFUNCTION("""COMPUTED_VALUE"""),0.38461538461538464)</f>
        <v>0.3846153846</v>
      </c>
      <c r="I636" s="42">
        <f>IFERROR(__xludf.DUMMYFUNCTION("""COMPUTED_VALUE"""),0.30434782608695654)</f>
        <v>0.3043478261</v>
      </c>
      <c r="J636" s="30">
        <f>IFERROR(__xludf.DUMMYFUNCTION("""COMPUTED_VALUE"""),354.9230769230769)</f>
        <v>354.9230769</v>
      </c>
      <c r="K636" s="30">
        <f>IFERROR(__xludf.DUMMYFUNCTION("""COMPUTED_VALUE"""),0.8076923076923077)</f>
        <v>0.8076923077</v>
      </c>
      <c r="L636" s="30">
        <f>IFERROR(__xludf.DUMMYFUNCTION("""COMPUTED_VALUE"""),0.7692307692307693)</f>
        <v>0.7692307692</v>
      </c>
      <c r="M636" s="30">
        <f>IFERROR(__xludf.DUMMYFUNCTION("""COMPUTED_VALUE"""),1.1923076923076923)</f>
        <v>1.192307692</v>
      </c>
      <c r="N636" s="30">
        <f>IFERROR(__xludf.DUMMYFUNCTION("""COMPUTED_VALUE"""),2.6538461538461537)</f>
        <v>2.653846154</v>
      </c>
      <c r="O636" s="30">
        <f>IFERROR(__xludf.DUMMYFUNCTION("""COMPUTED_VALUE"""),353.3717948717949)</f>
        <v>353.3717949</v>
      </c>
      <c r="P636" s="30">
        <f>IFERROR(__xludf.DUMMYFUNCTION("""COMPUTED_VALUE"""),0.9871794871794871)</f>
        <v>0.9871794872</v>
      </c>
      <c r="Q636" s="30">
        <f>IFERROR(__xludf.DUMMYFUNCTION("""COMPUTED_VALUE"""),0.6538461538461539)</f>
        <v>0.6538461538</v>
      </c>
      <c r="R636" s="30">
        <f>IFERROR(__xludf.DUMMYFUNCTION("""COMPUTED_VALUE"""),1.1153846153846154)</f>
        <v>1.115384615</v>
      </c>
      <c r="S636" s="30">
        <f>IFERROR(__xludf.DUMMYFUNCTION("""COMPUTED_VALUE"""),2.7564102564102564)</f>
        <v>2.756410256</v>
      </c>
      <c r="T636" s="30">
        <f>IFERROR(__xludf.DUMMYFUNCTION("""COMPUTED_VALUE"""),337.17292366096297)</f>
        <v>337.1729237</v>
      </c>
      <c r="U636" s="30">
        <f>IFERROR(__xludf.DUMMYFUNCTION("""COMPUTED_VALUE"""),0.7840714644570089)</f>
        <v>0.7840714645</v>
      </c>
      <c r="V636" s="30">
        <f>IFERROR(__xludf.DUMMYFUNCTION("""COMPUTED_VALUE"""),0.5495095439086698)</f>
        <v>0.5495095439</v>
      </c>
      <c r="W636" s="30">
        <f>IFERROR(__xludf.DUMMYFUNCTION("""COMPUTED_VALUE"""),1.1894417672657946)</f>
        <v>1.189441767</v>
      </c>
      <c r="X636" s="30">
        <f>IFERROR(__xludf.DUMMYFUNCTION("""COMPUTED_VALUE"""),2.501457460695799)</f>
        <v>2.501457461</v>
      </c>
      <c r="Y636" s="30">
        <f>IFERROR(__xludf.DUMMYFUNCTION("""COMPUTED_VALUE"""),344.75001512275253)</f>
        <v>344.7500151</v>
      </c>
      <c r="Z636" s="30">
        <f>IFERROR(__xludf.DUMMYFUNCTION("""COMPUTED_VALUE"""),0.8040187226239965)</f>
        <v>0.8040187226</v>
      </c>
      <c r="AA636" s="30">
        <f>IFERROR(__xludf.DUMMYFUNCTION("""COMPUTED_VALUE"""),0.542441023597974)</f>
        <v>0.5424410236</v>
      </c>
      <c r="AB636" s="30">
        <f>IFERROR(__xludf.DUMMYFUNCTION("""COMPUTED_VALUE"""),1.285884627788924)</f>
        <v>1.285884628</v>
      </c>
      <c r="AC636" s="30">
        <f>IFERROR(__xludf.DUMMYFUNCTION("""COMPUTED_VALUE"""),2.4710138358097256)</f>
        <v>2.471013836</v>
      </c>
      <c r="AD636" s="30">
        <f>IFERROR(__xludf.DUMMYFUNCTION("""COMPUTED_VALUE"""),1.029508517343218)</f>
        <v>1.029508517</v>
      </c>
      <c r="AE636" s="30">
        <f>IFERROR(__xludf.DUMMYFUNCTION("""COMPUTED_VALUE"""),1.0045690292588239)</f>
        <v>1.004569029</v>
      </c>
      <c r="AF636" s="30">
        <f>IFERROR(__xludf.DUMMYFUNCTION("""COMPUTED_VALUE"""),1.4180910656950585)</f>
        <v>1.418091066</v>
      </c>
      <c r="AG636" s="30">
        <f>IFERROR(__xludf.DUMMYFUNCTION("""COMPUTED_VALUE"""),0.9272275805628557)</f>
        <v>0.9272275806</v>
      </c>
      <c r="AH636" s="30">
        <f>IFERROR(__xludf.DUMMYFUNCTION("""COMPUTED_VALUE"""),1.073990811134619)</f>
        <v>1.073990811</v>
      </c>
      <c r="AI636" s="30">
        <f>IFERROR(__xludf.DUMMYFUNCTION("""COMPUTED_VALUE"""),1.0480432148434327)</f>
        <v>1.048043215</v>
      </c>
      <c r="AJ636" s="30">
        <f>IFERROR(__xludf.DUMMYFUNCTION("""COMPUTED_VALUE"""),1.2590427428233677)</f>
        <v>1.259042743</v>
      </c>
      <c r="AK636" s="30">
        <f>IFERROR(__xludf.DUMMYFUNCTION("""COMPUTED_VALUE"""),1.1898722435198053)</f>
        <v>1.189872244</v>
      </c>
      <c r="AL636" s="30">
        <f>IFERROR(__xludf.DUMMYFUNCTION("""COMPUTED_VALUE"""),0.9377378919092302)</f>
        <v>0.9377378919</v>
      </c>
      <c r="AM636" s="30">
        <f>IFERROR(__xludf.DUMMYFUNCTION("""COMPUTED_VALUE"""),1.101921699537333)</f>
        <v>1.1019217</v>
      </c>
      <c r="AN636" s="30">
        <f>IFERROR(__xludf.DUMMYFUNCTION("""COMPUTED_VALUE"""),1.0797389965425725)</f>
        <v>1.079738997</v>
      </c>
      <c r="AO636" s="30">
        <f>IFERROR(__xludf.DUMMYFUNCTION("""COMPUTED_VALUE"""),1.065141476632473)</f>
        <v>1.065141477</v>
      </c>
      <c r="AP636" s="30">
        <f>IFERROR(__xludf.DUMMYFUNCTION("""COMPUTED_VALUE"""),1.4918505930807224)</f>
        <v>1.491850593</v>
      </c>
      <c r="AQ636" s="30">
        <f>IFERROR(__xludf.DUMMYFUNCTION("""COMPUTED_VALUE"""),0.9942508267016904)</f>
        <v>0.9942508267</v>
      </c>
      <c r="AR636" s="30">
        <f>IFERROR(__xludf.DUMMYFUNCTION("""COMPUTED_VALUE"""),1.106351145012572)</f>
        <v>1.106351145</v>
      </c>
      <c r="AS636" s="30">
        <f>IFERROR(__xludf.DUMMYFUNCTION("""COMPUTED_VALUE"""),65.0)</f>
        <v>65</v>
      </c>
      <c r="AT636" s="30">
        <f>IFERROR(__xludf.DUMMYFUNCTION("""COMPUTED_VALUE"""),0.43148764299191616)</f>
        <v>0.431487643</v>
      </c>
      <c r="AU636" s="30">
        <f>IFERROR(__xludf.DUMMYFUNCTION("""COMPUTED_VALUE"""),3.466614673122426)</f>
        <v>3.466614673</v>
      </c>
      <c r="AV636" s="32">
        <f>IFERROR(__xludf.DUMMYFUNCTION("""COMPUTED_VALUE"""),62.2548536741582)</f>
        <v>62.25485367</v>
      </c>
      <c r="AW636" s="32">
        <f>IFERROR(__xludf.DUMMYFUNCTION("""COMPUTED_VALUE"""),3.2051460688174895)</f>
        <v>3.205146069</v>
      </c>
      <c r="AX636" s="32">
        <f>IFERROR(__xludf.DUMMYFUNCTION("""COMPUTED_VALUE"""),54.47943173541511)</f>
        <v>54.47943174</v>
      </c>
      <c r="AY636" s="32">
        <f>IFERROR(__xludf.DUMMYFUNCTION("""COMPUTED_VALUE"""),2.3315498613409114)</f>
        <v>2.331549861</v>
      </c>
      <c r="AZ636" s="30">
        <f>IFERROR(__xludf.DUMMYFUNCTION("""COMPUTED_VALUE"""),0.8735962074765782)</f>
        <v>0.8735962075</v>
      </c>
      <c r="BA636" s="30">
        <f>IFERROR(__xludf.DUMMYFUNCTION("""COMPUTED_VALUE"""),2300.0)</f>
        <v>2300</v>
      </c>
    </row>
    <row r="637">
      <c r="A637" s="71" t="str">
        <f>IFERROR(__xludf.DUMMYFUNCTION("""COMPUTED_VALUE"""),"Challenger")</f>
        <v>Challenger</v>
      </c>
      <c r="B637" s="71" t="str">
        <f>IFERROR(__xludf.DUMMYFUNCTION("""COMPUTED_VALUE"""),"RSC006299")</f>
        <v>RSC006299</v>
      </c>
      <c r="C637" s="30" t="str">
        <f>IFERROR(__xludf.DUMMYFUNCTION("""COMPUTED_VALUE"""),"dr_zachattack")</f>
        <v>dr_zachattack</v>
      </c>
      <c r="D637" s="30" t="str">
        <f>IFERROR(__xludf.DUMMYFUNCTION("""COMPUTED_VALUE"""),"Trippy Hippies")</f>
        <v>Trippy Hippies</v>
      </c>
      <c r="E637" s="30">
        <f>IFERROR(__xludf.DUMMYFUNCTION("""COMPUTED_VALUE"""),32.0)</f>
        <v>32</v>
      </c>
      <c r="F637" s="30">
        <f>IFERROR(__xludf.DUMMYFUNCTION("""COMPUTED_VALUE"""),16.0)</f>
        <v>16</v>
      </c>
      <c r="G637" s="42">
        <f>IFERROR(__xludf.DUMMYFUNCTION("""COMPUTED_VALUE"""),16.0)</f>
        <v>16</v>
      </c>
      <c r="H637" s="42">
        <f>IFERROR(__xludf.DUMMYFUNCTION("""COMPUTED_VALUE"""),0.5)</f>
        <v>0.5</v>
      </c>
      <c r="I637" s="42">
        <f>IFERROR(__xludf.DUMMYFUNCTION("""COMPUTED_VALUE"""),0.30666666666666664)</f>
        <v>0.3066666667</v>
      </c>
      <c r="J637" s="30">
        <f>IFERROR(__xludf.DUMMYFUNCTION("""COMPUTED_VALUE"""),362.03125)</f>
        <v>362.03125</v>
      </c>
      <c r="K637" s="30">
        <f>IFERROR(__xludf.DUMMYFUNCTION("""COMPUTED_VALUE"""),0.71875)</f>
        <v>0.71875</v>
      </c>
      <c r="L637" s="30">
        <f>IFERROR(__xludf.DUMMYFUNCTION("""COMPUTED_VALUE"""),0.53125)</f>
        <v>0.53125</v>
      </c>
      <c r="M637" s="30">
        <f>IFERROR(__xludf.DUMMYFUNCTION("""COMPUTED_VALUE"""),1.375)</f>
        <v>1.375</v>
      </c>
      <c r="N637" s="30">
        <f>IFERROR(__xludf.DUMMYFUNCTION("""COMPUTED_VALUE"""),2.34375)</f>
        <v>2.34375</v>
      </c>
      <c r="O637" s="30">
        <f>IFERROR(__xludf.DUMMYFUNCTION("""COMPUTED_VALUE"""),321.68750000000006)</f>
        <v>321.6875</v>
      </c>
      <c r="P637" s="30">
        <f>IFERROR(__xludf.DUMMYFUNCTION("""COMPUTED_VALUE"""),0.7395833333333334)</f>
        <v>0.7395833333</v>
      </c>
      <c r="Q637" s="30">
        <f>IFERROR(__xludf.DUMMYFUNCTION("""COMPUTED_VALUE"""),0.5208333333333333)</f>
        <v>0.5208333333</v>
      </c>
      <c r="R637" s="30">
        <f>IFERROR(__xludf.DUMMYFUNCTION("""COMPUTED_VALUE"""),1.2499999999999998)</f>
        <v>1.25</v>
      </c>
      <c r="S637" s="30">
        <f>IFERROR(__xludf.DUMMYFUNCTION("""COMPUTED_VALUE"""),2.3125)</f>
        <v>2.3125</v>
      </c>
      <c r="T637" s="30">
        <f>IFERROR(__xludf.DUMMYFUNCTION("""COMPUTED_VALUE"""),339.48376580684294)</f>
        <v>339.4837658</v>
      </c>
      <c r="U637" s="30">
        <f>IFERROR(__xludf.DUMMYFUNCTION("""COMPUTED_VALUE"""),0.7856039688718363)</f>
        <v>0.7856039689</v>
      </c>
      <c r="V637" s="30">
        <f>IFERROR(__xludf.DUMMYFUNCTION("""COMPUTED_VALUE"""),0.5836855352697096)</f>
        <v>0.5836855353</v>
      </c>
      <c r="W637" s="30">
        <f>IFERROR(__xludf.DUMMYFUNCTION("""COMPUTED_VALUE"""),1.2679848976255979)</f>
        <v>1.267984898</v>
      </c>
      <c r="X637" s="30">
        <f>IFERROR(__xludf.DUMMYFUNCTION("""COMPUTED_VALUE"""),2.3440490137703747)</f>
        <v>2.344049014</v>
      </c>
      <c r="Y637" s="30">
        <f>IFERROR(__xludf.DUMMYFUNCTION("""COMPUTED_VALUE"""),335.01430060661863)</f>
        <v>335.0143006</v>
      </c>
      <c r="Z637" s="30">
        <f>IFERROR(__xludf.DUMMYFUNCTION("""COMPUTED_VALUE"""),0.7879260551497217)</f>
        <v>0.7879260551</v>
      </c>
      <c r="AA637" s="30">
        <f>IFERROR(__xludf.DUMMYFUNCTION("""COMPUTED_VALUE"""),0.561664490677281)</f>
        <v>0.5616644907</v>
      </c>
      <c r="AB637" s="30">
        <f>IFERROR(__xludf.DUMMYFUNCTION("""COMPUTED_VALUE"""),1.16487800139657)</f>
        <v>1.164878001</v>
      </c>
      <c r="AC637" s="30">
        <f>IFERROR(__xludf.DUMMYFUNCTION("""COMPUTED_VALUE"""),2.526924509541623)</f>
        <v>2.52692451</v>
      </c>
      <c r="AD637" s="30">
        <f>IFERROR(__xludf.DUMMYFUNCTION("""COMPUTED_VALUE"""),1.080644167560791)</f>
        <v>1.080644168</v>
      </c>
      <c r="AE637" s="30">
        <f>IFERROR(__xludf.DUMMYFUNCTION("""COMPUTED_VALUE"""),0.9122048894085919)</f>
        <v>0.9122048894</v>
      </c>
      <c r="AF637" s="30">
        <f>IFERROR(__xludf.DUMMYFUNCTION("""COMPUTED_VALUE"""),0.9458493617059434)</f>
        <v>0.9458493617</v>
      </c>
      <c r="AG637" s="30">
        <f>IFERROR(__xludf.DUMMYFUNCTION("""COMPUTED_VALUE"""),1.1803811200413392)</f>
        <v>1.18038112</v>
      </c>
      <c r="AH637" s="30">
        <f>IFERROR(__xludf.DUMMYFUNCTION("""COMPUTED_VALUE"""),0.927510889680337)</f>
        <v>0.9275108897</v>
      </c>
      <c r="AI637" s="30">
        <f>IFERROR(__xludf.DUMMYFUNCTION("""COMPUTED_VALUE"""),0.9475784482225625)</f>
        <v>0.9475784482</v>
      </c>
      <c r="AJ637" s="30">
        <f>IFERROR(__xludf.DUMMYFUNCTION("""COMPUTED_VALUE"""),0.9414200572273195)</f>
        <v>0.9414200572</v>
      </c>
      <c r="AK637" s="30">
        <f>IFERROR(__xludf.DUMMYFUNCTION("""COMPUTED_VALUE"""),0.8923183835499134)</f>
        <v>0.8923183835</v>
      </c>
      <c r="AL637" s="30">
        <f>IFERROR(__xludf.DUMMYFUNCTION("""COMPUTED_VALUE"""),0.9858161578586021)</f>
        <v>0.9858161579</v>
      </c>
      <c r="AM637" s="30">
        <f>IFERROR(__xludf.DUMMYFUNCTION("""COMPUTED_VALUE"""),0.9865408045714759)</f>
        <v>0.9865408046</v>
      </c>
      <c r="AN637" s="30">
        <f>IFERROR(__xludf.DUMMYFUNCTION("""COMPUTED_VALUE"""),1.1013633206971591)</f>
        <v>1.101363321</v>
      </c>
      <c r="AO637" s="30">
        <f>IFERROR(__xludf.DUMMYFUNCTION("""COMPUTED_VALUE"""),0.9478491116461589)</f>
        <v>0.9478491116</v>
      </c>
      <c r="AP637" s="30">
        <f>IFERROR(__xludf.DUMMYFUNCTION("""COMPUTED_VALUE"""),1.0303093158463739)</f>
        <v>1.030309316</v>
      </c>
      <c r="AQ637" s="30">
        <f>IFERROR(__xludf.DUMMYFUNCTION("""COMPUTED_VALUE"""),1.1465957114382397)</f>
        <v>1.146595711</v>
      </c>
      <c r="AR637" s="30">
        <f>IFERROR(__xludf.DUMMYFUNCTION("""COMPUTED_VALUE"""),0.977076418829038)</f>
        <v>0.9770764188</v>
      </c>
      <c r="AS637" s="30">
        <f>IFERROR(__xludf.DUMMYFUNCTION("""COMPUTED_VALUE"""),73.0)</f>
        <v>73</v>
      </c>
      <c r="AT637" s="30">
        <f>IFERROR(__xludf.DUMMYFUNCTION("""COMPUTED_VALUE"""),0.5106923019016073)</f>
        <v>0.5106923019</v>
      </c>
      <c r="AU637" s="30">
        <f>IFERROR(__xludf.DUMMYFUNCTION("""COMPUTED_VALUE"""),3.0950281288055255)</f>
        <v>3.095028129</v>
      </c>
      <c r="AV637" s="32">
        <f>IFERROR(__xludf.DUMMYFUNCTION("""COMPUTED_VALUE"""),52.429303685569)</f>
        <v>52.42930369</v>
      </c>
      <c r="AW637" s="32">
        <f>IFERROR(__xludf.DUMMYFUNCTION("""COMPUTED_VALUE"""),2.1678109232068077)</f>
        <v>2.167810923</v>
      </c>
      <c r="AX637" s="32">
        <f>IFERROR(__xludf.DUMMYFUNCTION("""COMPUTED_VALUE"""),60.74754543512881)</f>
        <v>60.74754544</v>
      </c>
      <c r="AY637" s="32">
        <f>IFERROR(__xludf.DUMMYFUNCTION("""COMPUTED_VALUE"""),2.9973006457764786)</f>
        <v>2.997300646</v>
      </c>
      <c r="AZ637" s="30">
        <f>IFERROR(__xludf.DUMMYFUNCTION("""COMPUTED_VALUE"""),0.8294897225696709)</f>
        <v>0.8294897226</v>
      </c>
      <c r="BA637" s="30">
        <f>IFERROR(__xludf.DUMMYFUNCTION("""COMPUTED_VALUE"""),2300.0)</f>
        <v>2300</v>
      </c>
    </row>
    <row r="638">
      <c r="A638" s="71" t="str">
        <f>IFERROR(__xludf.DUMMYFUNCTION("""COMPUTED_VALUE"""),"Challenger")</f>
        <v>Challenger</v>
      </c>
      <c r="B638" s="71" t="str">
        <f>IFERROR(__xludf.DUMMYFUNCTION("""COMPUTED_VALUE"""),"RSC007969")</f>
        <v>RSC007969</v>
      </c>
      <c r="C638" s="30" t="str">
        <f>IFERROR(__xludf.DUMMYFUNCTION("""COMPUTED_VALUE"""),"EcHo.rll")</f>
        <v>EcHo.rll</v>
      </c>
      <c r="D638" s="30" t="str">
        <f>IFERROR(__xludf.DUMMYFUNCTION("""COMPUTED_VALUE"""),"Shade")</f>
        <v>Shade</v>
      </c>
      <c r="E638" s="30">
        <f>IFERROR(__xludf.DUMMYFUNCTION("""COMPUTED_VALUE"""),10.0)</f>
        <v>10</v>
      </c>
      <c r="F638" s="30">
        <f>IFERROR(__xludf.DUMMYFUNCTION("""COMPUTED_VALUE"""),4.0)</f>
        <v>4</v>
      </c>
      <c r="G638" s="42">
        <f>IFERROR(__xludf.DUMMYFUNCTION("""COMPUTED_VALUE"""),6.0)</f>
        <v>6</v>
      </c>
      <c r="H638" s="42">
        <f>IFERROR(__xludf.DUMMYFUNCTION("""COMPUTED_VALUE"""),0.4)</f>
        <v>0.4</v>
      </c>
      <c r="I638" s="42">
        <f>IFERROR(__xludf.DUMMYFUNCTION("""COMPUTED_VALUE"""),0.3333333333333333)</f>
        <v>0.3333333333</v>
      </c>
      <c r="J638" s="30">
        <f>IFERROR(__xludf.DUMMYFUNCTION("""COMPUTED_VALUE"""),314.6)</f>
        <v>314.6</v>
      </c>
      <c r="K638" s="30">
        <f>IFERROR(__xludf.DUMMYFUNCTION("""COMPUTED_VALUE"""),0.6)</f>
        <v>0.6</v>
      </c>
      <c r="L638" s="30">
        <f>IFERROR(__xludf.DUMMYFUNCTION("""COMPUTED_VALUE"""),0.5)</f>
        <v>0.5</v>
      </c>
      <c r="M638" s="30">
        <f>IFERROR(__xludf.DUMMYFUNCTION("""COMPUTED_VALUE"""),1.3)</f>
        <v>1.3</v>
      </c>
      <c r="N638" s="30">
        <f>IFERROR(__xludf.DUMMYFUNCTION("""COMPUTED_VALUE"""),1.8)</f>
        <v>1.8</v>
      </c>
      <c r="O638" s="30">
        <f>IFERROR(__xludf.DUMMYFUNCTION("""COMPUTED_VALUE"""),328.6333333333333)</f>
        <v>328.6333333</v>
      </c>
      <c r="P638" s="30">
        <f>IFERROR(__xludf.DUMMYFUNCTION("""COMPUTED_VALUE"""),0.9)</f>
        <v>0.9</v>
      </c>
      <c r="Q638" s="30">
        <f>IFERROR(__xludf.DUMMYFUNCTION("""COMPUTED_VALUE"""),0.6666666666666666)</f>
        <v>0.6666666667</v>
      </c>
      <c r="R638" s="30">
        <f>IFERROR(__xludf.DUMMYFUNCTION("""COMPUTED_VALUE"""),0.7999999999999999)</f>
        <v>0.8</v>
      </c>
      <c r="S638" s="30">
        <f>IFERROR(__xludf.DUMMYFUNCTION("""COMPUTED_VALUE"""),2.7)</f>
        <v>2.7</v>
      </c>
      <c r="T638" s="30">
        <f>IFERROR(__xludf.DUMMYFUNCTION("""COMPUTED_VALUE"""),352.2902695405889)</f>
        <v>352.2902695</v>
      </c>
      <c r="U638" s="30">
        <f>IFERROR(__xludf.DUMMYFUNCTION("""COMPUTED_VALUE"""),0.8884286579258116)</f>
        <v>0.8884286579</v>
      </c>
      <c r="V638" s="30">
        <f>IFERROR(__xludf.DUMMYFUNCTION("""COMPUTED_VALUE"""),0.6349810452625129)</f>
        <v>0.6349810453</v>
      </c>
      <c r="W638" s="30">
        <f>IFERROR(__xludf.DUMMYFUNCTION("""COMPUTED_VALUE"""),1.139485813809027)</f>
        <v>1.139485814</v>
      </c>
      <c r="X638" s="30">
        <f>IFERROR(__xludf.DUMMYFUNCTION("""COMPUTED_VALUE"""),2.5611067502085842)</f>
        <v>2.56110675</v>
      </c>
      <c r="Y638" s="30">
        <f>IFERROR(__xludf.DUMMYFUNCTION("""COMPUTED_VALUE"""),316.51349564437476)</f>
        <v>316.5134956</v>
      </c>
      <c r="Z638" s="30">
        <f>IFERROR(__xludf.DUMMYFUNCTION("""COMPUTED_VALUE"""),0.7119305905127116)</f>
        <v>0.7119305905</v>
      </c>
      <c r="AA638" s="30">
        <f>IFERROR(__xludf.DUMMYFUNCTION("""COMPUTED_VALUE"""),0.45527475101795156)</f>
        <v>0.455274751</v>
      </c>
      <c r="AB638" s="30">
        <f>IFERROR(__xludf.DUMMYFUNCTION("""COMPUTED_VALUE"""),1.1846498899777416)</f>
        <v>1.18464989</v>
      </c>
      <c r="AC638" s="30">
        <f>IFERROR(__xludf.DUMMYFUNCTION("""COMPUTED_VALUE"""),2.2763567233712707)</f>
        <v>2.276356723</v>
      </c>
      <c r="AD638" s="30">
        <f>IFERROR(__xludf.DUMMYFUNCTION("""COMPUTED_VALUE"""),0.9939544579592755)</f>
        <v>0.993954458</v>
      </c>
      <c r="AE638" s="30">
        <f>IFERROR(__xludf.DUMMYFUNCTION("""COMPUTED_VALUE"""),0.8427787877016178)</f>
        <v>0.8427787877</v>
      </c>
      <c r="AF638" s="30">
        <f>IFERROR(__xludf.DUMMYFUNCTION("""COMPUTED_VALUE"""),1.0982379296942055)</f>
        <v>1.09823793</v>
      </c>
      <c r="AG638" s="30">
        <f>IFERROR(__xludf.DUMMYFUNCTION("""COMPUTED_VALUE"""),1.0973706332969193)</f>
        <v>1.097370633</v>
      </c>
      <c r="AH638" s="30">
        <f>IFERROR(__xludf.DUMMYFUNCTION("""COMPUTED_VALUE"""),0.7907372256375578)</f>
        <v>0.7907372256</v>
      </c>
      <c r="AI638" s="30">
        <f>IFERROR(__xludf.DUMMYFUNCTION("""COMPUTED_VALUE"""),0.932848170237271)</f>
        <v>0.9328481702</v>
      </c>
      <c r="AJ638" s="30">
        <f>IFERROR(__xludf.DUMMYFUNCTION("""COMPUTED_VALUE"""),1.0130245033981724)</f>
        <v>1.013024503</v>
      </c>
      <c r="AK638" s="30">
        <f>IFERROR(__xludf.DUMMYFUNCTION("""COMPUTED_VALUE"""),1.049900105901672)</f>
        <v>1.049900106</v>
      </c>
      <c r="AL638" s="30">
        <f>IFERROR(__xludf.DUMMYFUNCTION("""COMPUTED_VALUE"""),0.702071048454559)</f>
        <v>0.7020710485</v>
      </c>
      <c r="AM638" s="30">
        <f>IFERROR(__xludf.DUMMYFUNCTION("""COMPUTED_VALUE"""),1.0542317300050472)</f>
        <v>1.05423173</v>
      </c>
      <c r="AN638" s="30">
        <f>IFERROR(__xludf.DUMMYFUNCTION("""COMPUTED_VALUE"""),0.9570690394581304)</f>
        <v>0.9570690395</v>
      </c>
      <c r="AO638" s="30">
        <f>IFERROR(__xludf.DUMMYFUNCTION("""COMPUTED_VALUE"""),0.791247954069837)</f>
        <v>0.7912479541</v>
      </c>
      <c r="AP638" s="30">
        <f>IFERROR(__xludf.DUMMYFUNCTION("""COMPUTED_VALUE"""),0.9697028855024696)</f>
        <v>0.9697028855</v>
      </c>
      <c r="AQ638" s="30">
        <f>IFERROR(__xludf.DUMMYFUNCTION("""COMPUTED_VALUE"""),1.0840541271779722)</f>
        <v>1.084054127</v>
      </c>
      <c r="AR638" s="30">
        <f>IFERROR(__xludf.DUMMYFUNCTION("""COMPUTED_VALUE"""),0.7503946896607011)</f>
        <v>0.7503946897</v>
      </c>
      <c r="AS638" s="30">
        <f>IFERROR(__xludf.DUMMYFUNCTION("""COMPUTED_VALUE"""),20.0)</f>
        <v>20</v>
      </c>
      <c r="AT638" s="30">
        <f>IFERROR(__xludf.DUMMYFUNCTION("""COMPUTED_VALUE"""),0.3851104254671969)</f>
        <v>0.3851104255</v>
      </c>
      <c r="AU638" s="30">
        <f>IFERROR(__xludf.DUMMYFUNCTION("""COMPUTED_VALUE"""),2.5392489095460826)</f>
        <v>2.53924891</v>
      </c>
      <c r="AV638" s="32">
        <f>IFERROR(__xludf.DUMMYFUNCTION("""COMPUTED_VALUE"""),37.73330194661594)</f>
        <v>37.73330195</v>
      </c>
      <c r="AW638" s="32">
        <f>IFERROR(__xludf.DUMMYFUNCTION("""COMPUTED_VALUE"""),-3.206868661266453)</f>
        <v>-3.206868661</v>
      </c>
      <c r="AX638" s="32">
        <f>IFERROR(__xludf.DUMMYFUNCTION("""COMPUTED_VALUE"""),44.97677670372977)</f>
        <v>44.9767767</v>
      </c>
      <c r="AY638" s="32">
        <f>IFERROR(__xludf.DUMMYFUNCTION("""COMPUTED_VALUE"""),-2.3788167000418667)</f>
        <v>-2.3788167</v>
      </c>
      <c r="AZ638" s="30">
        <f>IFERROR(__xludf.DUMMYFUNCTION("""COMPUTED_VALUE"""),0.8280519612245865)</f>
        <v>0.8280519612</v>
      </c>
      <c r="BA638" s="30">
        <f>IFERROR(__xludf.DUMMYFUNCTION("""COMPUTED_VALUE"""),2300.0)</f>
        <v>2300</v>
      </c>
    </row>
    <row r="639">
      <c r="A639" s="71" t="str">
        <f>IFERROR(__xludf.DUMMYFUNCTION("""COMPUTED_VALUE"""),"Challenger")</f>
        <v>Challenger</v>
      </c>
      <c r="B639" s="71" t="str">
        <f>IFERROR(__xludf.DUMMYFUNCTION("""COMPUTED_VALUE"""),"RSC007313")</f>
        <v>RSC007313</v>
      </c>
      <c r="C639" s="30" t="str">
        <f>IFERROR(__xludf.DUMMYFUNCTION("""COMPUTED_VALUE"""),"xNunYaBidn3ss")</f>
        <v>xNunYaBidn3ss</v>
      </c>
      <c r="D639" s="30" t="str">
        <f>IFERROR(__xludf.DUMMYFUNCTION("""COMPUTED_VALUE"""),"Zombies")</f>
        <v>Zombies</v>
      </c>
      <c r="E639" s="30">
        <f>IFERROR(__xludf.DUMMYFUNCTION("""COMPUTED_VALUE"""),19.0)</f>
        <v>19</v>
      </c>
      <c r="F639" s="30">
        <f>IFERROR(__xludf.DUMMYFUNCTION("""COMPUTED_VALUE"""),11.0)</f>
        <v>11</v>
      </c>
      <c r="G639" s="42">
        <f>IFERROR(__xludf.DUMMYFUNCTION("""COMPUTED_VALUE"""),8.0)</f>
        <v>8</v>
      </c>
      <c r="H639" s="42">
        <f>IFERROR(__xludf.DUMMYFUNCTION("""COMPUTED_VALUE"""),0.5789473684210527)</f>
        <v>0.5789473684</v>
      </c>
      <c r="I639" s="42">
        <f>IFERROR(__xludf.DUMMYFUNCTION("""COMPUTED_VALUE"""),0.3125)</f>
        <v>0.3125</v>
      </c>
      <c r="J639" s="30">
        <f>IFERROR(__xludf.DUMMYFUNCTION("""COMPUTED_VALUE"""),364.2631578947368)</f>
        <v>364.2631579</v>
      </c>
      <c r="K639" s="30">
        <f>IFERROR(__xludf.DUMMYFUNCTION("""COMPUTED_VALUE"""),0.7894736842105263)</f>
        <v>0.7894736842</v>
      </c>
      <c r="L639" s="30">
        <f>IFERROR(__xludf.DUMMYFUNCTION("""COMPUTED_VALUE"""),0.5263157894736842)</f>
        <v>0.5263157895</v>
      </c>
      <c r="M639" s="30">
        <f>IFERROR(__xludf.DUMMYFUNCTION("""COMPUTED_VALUE"""),1.5789473684210527)</f>
        <v>1.578947368</v>
      </c>
      <c r="N639" s="30">
        <f>IFERROR(__xludf.DUMMYFUNCTION("""COMPUTED_VALUE"""),2.526315789473684)</f>
        <v>2.526315789</v>
      </c>
      <c r="O639" s="30">
        <f>IFERROR(__xludf.DUMMYFUNCTION("""COMPUTED_VALUE"""),294.7894736842105)</f>
        <v>294.7894737</v>
      </c>
      <c r="P639" s="30">
        <f>IFERROR(__xludf.DUMMYFUNCTION("""COMPUTED_VALUE"""),0.6140350877192983)</f>
        <v>0.6140350877</v>
      </c>
      <c r="Q639" s="30">
        <f>IFERROR(__xludf.DUMMYFUNCTION("""COMPUTED_VALUE"""),0.40350877192982454)</f>
        <v>0.4035087719</v>
      </c>
      <c r="R639" s="30">
        <f>IFERROR(__xludf.DUMMYFUNCTION("""COMPUTED_VALUE"""),1.192982456140351)</f>
        <v>1.192982456</v>
      </c>
      <c r="S639" s="30">
        <f>IFERROR(__xludf.DUMMYFUNCTION("""COMPUTED_VALUE"""),2.228070175438597)</f>
        <v>2.228070175</v>
      </c>
      <c r="T639" s="30">
        <f>IFERROR(__xludf.DUMMYFUNCTION("""COMPUTED_VALUE"""),341.7912754937941)</f>
        <v>341.7912755</v>
      </c>
      <c r="U639" s="30">
        <f>IFERROR(__xludf.DUMMYFUNCTION("""COMPUTED_VALUE"""),0.7982328612534345)</f>
        <v>0.7982328613</v>
      </c>
      <c r="V639" s="30">
        <f>IFERROR(__xludf.DUMMYFUNCTION("""COMPUTED_VALUE"""),0.5672100406676707)</f>
        <v>0.5672100407</v>
      </c>
      <c r="W639" s="30">
        <f>IFERROR(__xludf.DUMMYFUNCTION("""COMPUTED_VALUE"""),1.224043701101027)</f>
        <v>1.224043701</v>
      </c>
      <c r="X639" s="30">
        <f>IFERROR(__xludf.DUMMYFUNCTION("""COMPUTED_VALUE"""),2.4989507957836623)</f>
        <v>2.498950796</v>
      </c>
      <c r="Y639" s="30">
        <f>IFERROR(__xludf.DUMMYFUNCTION("""COMPUTED_VALUE"""),342.41480525373134)</f>
        <v>342.4148053</v>
      </c>
      <c r="Z639" s="30">
        <f>IFERROR(__xludf.DUMMYFUNCTION("""COMPUTED_VALUE"""),0.7743134955702368)</f>
        <v>0.7743134956</v>
      </c>
      <c r="AA639" s="30">
        <f>IFERROR(__xludf.DUMMYFUNCTION("""COMPUTED_VALUE"""),0.542177262712234)</f>
        <v>0.5421772627</v>
      </c>
      <c r="AB639" s="30">
        <f>IFERROR(__xludf.DUMMYFUNCTION("""COMPUTED_VALUE"""),1.2988312710311611)</f>
        <v>1.298831271</v>
      </c>
      <c r="AC639" s="30">
        <f>IFERROR(__xludf.DUMMYFUNCTION("""COMPUTED_VALUE"""),2.478604639165493)</f>
        <v>2.478604639</v>
      </c>
      <c r="AD639" s="30">
        <f>IFERROR(__xludf.DUMMYFUNCTION("""COMPUTED_VALUE"""),1.0638066821462808)</f>
        <v>1.063806682</v>
      </c>
      <c r="AE639" s="30">
        <f>IFERROR(__xludf.DUMMYFUNCTION("""COMPUTED_VALUE"""),1.0195788769368213)</f>
        <v>1.019578877</v>
      </c>
      <c r="AF639" s="30">
        <f>IFERROR(__xludf.DUMMYFUNCTION("""COMPUTED_VALUE"""),0.97074485720924)</f>
        <v>0.9707448572</v>
      </c>
      <c r="AG639" s="30">
        <f>IFERROR(__xludf.DUMMYFUNCTION("""COMPUTED_VALUE"""),1.2156678112373314)</f>
        <v>1.215667811</v>
      </c>
      <c r="AH639" s="30">
        <f>IFERROR(__xludf.DUMMYFUNCTION("""COMPUTED_VALUE"""),1.0192491975340832)</f>
        <v>1.019249198</v>
      </c>
      <c r="AI639" s="30">
        <f>IFERROR(__xludf.DUMMYFUNCTION("""COMPUTED_VALUE"""),0.8624839041263446)</f>
        <v>0.8624839041</v>
      </c>
      <c r="AJ639" s="30">
        <f>IFERROR(__xludf.DUMMYFUNCTION("""COMPUTED_VALUE"""),0.7692430586672446)</f>
        <v>0.7692430587</v>
      </c>
      <c r="AK639" s="30">
        <f>IFERROR(__xludf.DUMMYFUNCTION("""COMPUTED_VALUE"""),0.7113921528167041)</f>
        <v>0.7113921528</v>
      </c>
      <c r="AL639" s="30">
        <f>IFERROR(__xludf.DUMMYFUNCTION("""COMPUTED_VALUE"""),0.9746240718916029)</f>
        <v>0.9746240719</v>
      </c>
      <c r="AM639" s="30">
        <f>IFERROR(__xludf.DUMMYFUNCTION("""COMPUTED_VALUE"""),0.8916022593153469)</f>
        <v>0.8916022593</v>
      </c>
      <c r="AN639" s="30">
        <f>IFERROR(__xludf.DUMMYFUNCTION("""COMPUTED_VALUE"""),1.1081531806621139)</f>
        <v>1.108153181</v>
      </c>
      <c r="AO639" s="30">
        <f>IFERROR(__xludf.DUMMYFUNCTION("""COMPUTED_VALUE"""),1.0411157290392592)</f>
        <v>1.041115729</v>
      </c>
      <c r="AP639" s="30">
        <f>IFERROR(__xludf.DUMMYFUNCTION("""COMPUTED_VALUE"""),1.0207398794762836)</f>
        <v>1.020739879</v>
      </c>
      <c r="AQ639" s="30">
        <f>IFERROR(__xludf.DUMMYFUNCTION("""COMPUTED_VALUE"""),1.3166649317951078)</f>
        <v>1.316664932</v>
      </c>
      <c r="AR639" s="30">
        <f>IFERROR(__xludf.DUMMYFUNCTION("""COMPUTED_VALUE"""),1.0531855293483523)</f>
        <v>1.053185529</v>
      </c>
      <c r="AS639" s="30">
        <f>IFERROR(__xludf.DUMMYFUNCTION("""COMPUTED_VALUE"""),51.0)</f>
        <v>51</v>
      </c>
      <c r="AT639" s="30">
        <f>IFERROR(__xludf.DUMMYFUNCTION("""COMPUTED_VALUE"""),0.6412241705906524)</f>
        <v>0.6412241706</v>
      </c>
      <c r="AU639" s="30">
        <f>IFERROR(__xludf.DUMMYFUNCTION("""COMPUTED_VALUE"""),3.4842724493458563)</f>
        <v>3.484272449</v>
      </c>
      <c r="AV639" s="32">
        <f>IFERROR(__xludf.DUMMYFUNCTION("""COMPUTED_VALUE"""),62.72176337695592)</f>
        <v>62.72176338</v>
      </c>
      <c r="AW639" s="32">
        <f>IFERROR(__xludf.DUMMYFUNCTION("""COMPUTED_VALUE"""),3.2741638751417317)</f>
        <v>3.274163875</v>
      </c>
      <c r="AX639" s="32">
        <f>IFERROR(__xludf.DUMMYFUNCTION("""COMPUTED_VALUE"""),67.02301318525555)</f>
        <v>67.02301319</v>
      </c>
      <c r="AY639" s="32">
        <f>IFERROR(__xludf.DUMMYFUNCTION("""COMPUTED_VALUE"""),4.032894070797706)</f>
        <v>4.032894071</v>
      </c>
      <c r="AZ639" s="30">
        <f>IFERROR(__xludf.DUMMYFUNCTION("""COMPUTED_VALUE"""),0.7587301956559744)</f>
        <v>0.7587301957</v>
      </c>
      <c r="BA639" s="30">
        <f>IFERROR(__xludf.DUMMYFUNCTION("""COMPUTED_VALUE"""),2300.0)</f>
        <v>2300</v>
      </c>
    </row>
    <row r="640">
      <c r="A640" s="71" t="str">
        <f>IFERROR(__xludf.DUMMYFUNCTION("""COMPUTED_VALUE"""),"Challenger")</f>
        <v>Challenger</v>
      </c>
      <c r="B640" s="71" t="str">
        <f>IFERROR(__xludf.DUMMYFUNCTION("""COMPUTED_VALUE"""),"RSC006346")</f>
        <v>RSC006346</v>
      </c>
      <c r="C640" s="30" t="str">
        <f>IFERROR(__xludf.DUMMYFUNCTION("""COMPUTED_VALUE"""),"MobBossCitrus")</f>
        <v>MobBossCitrus</v>
      </c>
      <c r="D640" s="30" t="str">
        <f>IFERROR(__xludf.DUMMYFUNCTION("""COMPUTED_VALUE"""),"Jock O Lanterns")</f>
        <v>Jock O Lanterns</v>
      </c>
      <c r="E640" s="30">
        <f>IFERROR(__xludf.DUMMYFUNCTION("""COMPUTED_VALUE"""),29.0)</f>
        <v>29</v>
      </c>
      <c r="F640" s="30">
        <f>IFERROR(__xludf.DUMMYFUNCTION("""COMPUTED_VALUE"""),12.0)</f>
        <v>12</v>
      </c>
      <c r="G640" s="42">
        <f>IFERROR(__xludf.DUMMYFUNCTION("""COMPUTED_VALUE"""),17.0)</f>
        <v>17</v>
      </c>
      <c r="H640" s="42">
        <f>IFERROR(__xludf.DUMMYFUNCTION("""COMPUTED_VALUE"""),0.41379310344827586)</f>
        <v>0.4137931034</v>
      </c>
      <c r="I640" s="42">
        <f>IFERROR(__xludf.DUMMYFUNCTION("""COMPUTED_VALUE"""),0.2898550724637681)</f>
        <v>0.2898550725</v>
      </c>
      <c r="J640" s="30">
        <f>IFERROR(__xludf.DUMMYFUNCTION("""COMPUTED_VALUE"""),305.0)</f>
        <v>305</v>
      </c>
      <c r="K640" s="30">
        <f>IFERROR(__xludf.DUMMYFUNCTION("""COMPUTED_VALUE"""),0.6896551724137931)</f>
        <v>0.6896551724</v>
      </c>
      <c r="L640" s="30">
        <f>IFERROR(__xludf.DUMMYFUNCTION("""COMPUTED_VALUE"""),0.4827586206896552)</f>
        <v>0.4827586207</v>
      </c>
      <c r="M640" s="30">
        <f>IFERROR(__xludf.DUMMYFUNCTION("""COMPUTED_VALUE"""),1.103448275862069)</f>
        <v>1.103448276</v>
      </c>
      <c r="N640" s="30">
        <f>IFERROR(__xludf.DUMMYFUNCTION("""COMPUTED_VALUE"""),2.3793103448275863)</f>
        <v>2.379310345</v>
      </c>
      <c r="O640" s="30">
        <f>IFERROR(__xludf.DUMMYFUNCTION("""COMPUTED_VALUE"""),363.4827586206897)</f>
        <v>363.4827586</v>
      </c>
      <c r="P640" s="30">
        <f>IFERROR(__xludf.DUMMYFUNCTION("""COMPUTED_VALUE"""),0.942528735632184)</f>
        <v>0.9425287356</v>
      </c>
      <c r="Q640" s="30">
        <f>IFERROR(__xludf.DUMMYFUNCTION("""COMPUTED_VALUE"""),0.5862068965517241)</f>
        <v>0.5862068966</v>
      </c>
      <c r="R640" s="30">
        <f>IFERROR(__xludf.DUMMYFUNCTION("""COMPUTED_VALUE"""),1.275862068965517)</f>
        <v>1.275862069</v>
      </c>
      <c r="S640" s="30">
        <f>IFERROR(__xludf.DUMMYFUNCTION("""COMPUTED_VALUE"""),2.2643678160919536)</f>
        <v>2.264367816</v>
      </c>
      <c r="T640" s="30">
        <f>IFERROR(__xludf.DUMMYFUNCTION("""COMPUTED_VALUE"""),331.6023787192473)</f>
        <v>331.6023787</v>
      </c>
      <c r="U640" s="30">
        <f>IFERROR(__xludf.DUMMYFUNCTION("""COMPUTED_VALUE"""),0.7671286844804885)</f>
        <v>0.7671286845</v>
      </c>
      <c r="V640" s="30">
        <f>IFERROR(__xludf.DUMMYFUNCTION("""COMPUTED_VALUE"""),0.5469062721489605)</f>
        <v>0.5469062721</v>
      </c>
      <c r="W640" s="30">
        <f>IFERROR(__xludf.DUMMYFUNCTION("""COMPUTED_VALUE"""),1.194202949218162)</f>
        <v>1.194202949</v>
      </c>
      <c r="X640" s="30">
        <f>IFERROR(__xludf.DUMMYFUNCTION("""COMPUTED_VALUE"""),2.3267188154014944)</f>
        <v>2.326718815</v>
      </c>
      <c r="Y640" s="30">
        <f>IFERROR(__xludf.DUMMYFUNCTION("""COMPUTED_VALUE"""),338.6219979660986)</f>
        <v>338.621998</v>
      </c>
      <c r="Z640" s="30">
        <f>IFERROR(__xludf.DUMMYFUNCTION("""COMPUTED_VALUE"""),0.8445354812368402)</f>
        <v>0.8445354812</v>
      </c>
      <c r="AA640" s="30">
        <f>IFERROR(__xludf.DUMMYFUNCTION("""COMPUTED_VALUE"""),0.5729902678595554)</f>
        <v>0.5729902679</v>
      </c>
      <c r="AB640" s="30">
        <f>IFERROR(__xludf.DUMMYFUNCTION("""COMPUTED_VALUE"""),1.1144364224752747)</f>
        <v>1.114436422</v>
      </c>
      <c r="AC640" s="30">
        <f>IFERROR(__xludf.DUMMYFUNCTION("""COMPUTED_VALUE"""),2.5424760704012592)</f>
        <v>2.54247607</v>
      </c>
      <c r="AD640" s="30">
        <f>IFERROR(__xludf.DUMMYFUNCTION("""COMPUTED_VALUE"""),0.9007093509339441)</f>
        <v>0.9007093509</v>
      </c>
      <c r="AE640" s="30">
        <f>IFERROR(__xludf.DUMMYFUNCTION("""COMPUTED_VALUE"""),0.8166088787694017)</f>
        <v>0.8166088788</v>
      </c>
      <c r="AF640" s="30">
        <f>IFERROR(__xludf.DUMMYFUNCTION("""COMPUTED_VALUE"""),0.8425249917298477)</f>
        <v>0.8425249917</v>
      </c>
      <c r="AG640" s="30">
        <f>IFERROR(__xludf.DUMMYFUNCTION("""COMPUTED_VALUE"""),0.9901401763334332)</f>
        <v>0.9901401763</v>
      </c>
      <c r="AH640" s="30">
        <f>IFERROR(__xludf.DUMMYFUNCTION("""COMPUTED_VALUE"""),0.9358240860265317)</f>
        <v>0.935824086</v>
      </c>
      <c r="AI640" s="30">
        <f>IFERROR(__xludf.DUMMYFUNCTION("""COMPUTED_VALUE"""),1.0961403836262407)</f>
        <v>1.096140384</v>
      </c>
      <c r="AJ640" s="30">
        <f>IFERROR(__xludf.DUMMYFUNCTION("""COMPUTED_VALUE"""),1.2286448867056496)</f>
        <v>1.228644887</v>
      </c>
      <c r="AK640" s="30">
        <f>IFERROR(__xludf.DUMMYFUNCTION("""COMPUTED_VALUE"""),1.071859889718104)</f>
        <v>1.07185989</v>
      </c>
      <c r="AL640" s="30">
        <f>IFERROR(__xludf.DUMMYFUNCTION("""COMPUTED_VALUE"""),1.0683795997998637)</f>
        <v>1.0683796</v>
      </c>
      <c r="AM640" s="30">
        <f>IFERROR(__xludf.DUMMYFUNCTION("""COMPUTED_VALUE"""),0.973202176860902)</f>
        <v>0.9732021769</v>
      </c>
      <c r="AN640" s="30">
        <f>IFERROR(__xludf.DUMMYFUNCTION("""COMPUTED_VALUE"""),0.9278641355204379)</f>
        <v>0.9278641355</v>
      </c>
      <c r="AO640" s="30">
        <f>IFERROR(__xludf.DUMMYFUNCTION("""COMPUTED_VALUE"""),0.9094804069768242)</f>
        <v>0.909480407</v>
      </c>
      <c r="AP640" s="30">
        <f>IFERROR(__xludf.DUMMYFUNCTION("""COMPUTED_VALUE"""),0.9362648549679017)</f>
        <v>0.936264855</v>
      </c>
      <c r="AQ640" s="30">
        <f>IFERROR(__xludf.DUMMYFUNCTION("""COMPUTED_VALUE"""),0.9201520442889949)</f>
        <v>0.9201520443</v>
      </c>
      <c r="AR640" s="30">
        <f>IFERROR(__xludf.DUMMYFUNCTION("""COMPUTED_VALUE"""),0.9919010265629957)</f>
        <v>0.9919010266</v>
      </c>
      <c r="AS640" s="30">
        <f>IFERROR(__xludf.DUMMYFUNCTION("""COMPUTED_VALUE"""),64.0)</f>
        <v>64</v>
      </c>
      <c r="AT640" s="30">
        <f>IFERROR(__xludf.DUMMYFUNCTION("""COMPUTED_VALUE"""),0.40272648989525994)</f>
        <v>0.4027264899</v>
      </c>
      <c r="AU640" s="30">
        <f>IFERROR(__xludf.DUMMYFUNCTION("""COMPUTED_VALUE"""),2.5503253522295006)</f>
        <v>2.550325352</v>
      </c>
      <c r="AV640" s="32">
        <f>IFERROR(__xludf.DUMMYFUNCTION("""COMPUTED_VALUE"""),38.02618699034575)</f>
        <v>38.02618699</v>
      </c>
      <c r="AW640" s="32">
        <f>IFERROR(__xludf.DUMMYFUNCTION("""COMPUTED_VALUE"""),-3.1646951353962987)</f>
        <v>-3.164695135</v>
      </c>
      <c r="AX640" s="32">
        <f>IFERROR(__xludf.DUMMYFUNCTION("""COMPUTED_VALUE"""),44.517873412796604)</f>
        <v>44.51787341</v>
      </c>
      <c r="AY640" s="32">
        <f>IFERROR(__xludf.DUMMYFUNCTION("""COMPUTED_VALUE"""),-2.420053542194067)</f>
        <v>-2.420053542</v>
      </c>
      <c r="AZ640" s="30">
        <f>IFERROR(__xludf.DUMMYFUNCTION("""COMPUTED_VALUE"""),0.7446415932022314)</f>
        <v>0.7446415932</v>
      </c>
      <c r="BA640" s="30">
        <f>IFERROR(__xludf.DUMMYFUNCTION("""COMPUTED_VALUE"""),2300.0)</f>
        <v>2300</v>
      </c>
    </row>
    <row r="641">
      <c r="A641" s="71" t="str">
        <f>IFERROR(__xludf.DUMMYFUNCTION("""COMPUTED_VALUE"""),"Challenger")</f>
        <v>Challenger</v>
      </c>
      <c r="B641" s="71" t="str">
        <f>IFERROR(__xludf.DUMMYFUNCTION("""COMPUTED_VALUE"""),"RSC006908")</f>
        <v>RSC006908</v>
      </c>
      <c r="C641" s="30" t="str">
        <f>IFERROR(__xludf.DUMMYFUNCTION("""COMPUTED_VALUE"""),"OvrSizedFrog")</f>
        <v>OvrSizedFrog</v>
      </c>
      <c r="D641" s="30" t="str">
        <f>IFERROR(__xludf.DUMMYFUNCTION("""COMPUTED_VALUE"""),"Toucans")</f>
        <v>Toucans</v>
      </c>
      <c r="E641" s="30">
        <f>IFERROR(__xludf.DUMMYFUNCTION("""COMPUTED_VALUE"""),21.0)</f>
        <v>21</v>
      </c>
      <c r="F641" s="30">
        <f>IFERROR(__xludf.DUMMYFUNCTION("""COMPUTED_VALUE"""),12.0)</f>
        <v>12</v>
      </c>
      <c r="G641" s="42">
        <f>IFERROR(__xludf.DUMMYFUNCTION("""COMPUTED_VALUE"""),9.0)</f>
        <v>9</v>
      </c>
      <c r="H641" s="42">
        <f>IFERROR(__xludf.DUMMYFUNCTION("""COMPUTED_VALUE"""),0.5714285714285714)</f>
        <v>0.5714285714</v>
      </c>
      <c r="I641" s="42">
        <f>IFERROR(__xludf.DUMMYFUNCTION("""COMPUTED_VALUE"""),0.4347826086956521)</f>
        <v>0.4347826087</v>
      </c>
      <c r="J641" s="30">
        <f>IFERROR(__xludf.DUMMYFUNCTION("""COMPUTED_VALUE"""),305.4761904761905)</f>
        <v>305.4761905</v>
      </c>
      <c r="K641" s="30">
        <f>IFERROR(__xludf.DUMMYFUNCTION("""COMPUTED_VALUE"""),0.9523809523809523)</f>
        <v>0.9523809524</v>
      </c>
      <c r="L641" s="30">
        <f>IFERROR(__xludf.DUMMYFUNCTION("""COMPUTED_VALUE"""),0.2857142857142857)</f>
        <v>0.2857142857</v>
      </c>
      <c r="M641" s="30">
        <f>IFERROR(__xludf.DUMMYFUNCTION("""COMPUTED_VALUE"""),1.0)</f>
        <v>1</v>
      </c>
      <c r="N641" s="30">
        <f>IFERROR(__xludf.DUMMYFUNCTION("""COMPUTED_VALUE"""),2.1904761904761907)</f>
        <v>2.19047619</v>
      </c>
      <c r="O641" s="30">
        <f>IFERROR(__xludf.DUMMYFUNCTION("""COMPUTED_VALUE"""),322.9206349206349)</f>
        <v>322.9206349</v>
      </c>
      <c r="P641" s="30">
        <f>IFERROR(__xludf.DUMMYFUNCTION("""COMPUTED_VALUE"""),0.73015873015873)</f>
        <v>0.7301587302</v>
      </c>
      <c r="Q641" s="30">
        <f>IFERROR(__xludf.DUMMYFUNCTION("""COMPUTED_VALUE"""),0.5238095238095238)</f>
        <v>0.5238095238</v>
      </c>
      <c r="R641" s="30">
        <f>IFERROR(__xludf.DUMMYFUNCTION("""COMPUTED_VALUE"""),1.1904761904761902)</f>
        <v>1.19047619</v>
      </c>
      <c r="S641" s="30">
        <f>IFERROR(__xludf.DUMMYFUNCTION("""COMPUTED_VALUE"""),2.3333333333333335)</f>
        <v>2.333333333</v>
      </c>
      <c r="T641" s="30">
        <f>IFERROR(__xludf.DUMMYFUNCTION("""COMPUTED_VALUE"""),330.1844049872668)</f>
        <v>330.184405</v>
      </c>
      <c r="U641" s="30">
        <f>IFERROR(__xludf.DUMMYFUNCTION("""COMPUTED_VALUE"""),0.747338102819572)</f>
        <v>0.7473381028</v>
      </c>
      <c r="V641" s="30">
        <f>IFERROR(__xludf.DUMMYFUNCTION("""COMPUTED_VALUE"""),0.5135262757873066)</f>
        <v>0.5135262758</v>
      </c>
      <c r="W641" s="30">
        <f>IFERROR(__xludf.DUMMYFUNCTION("""COMPUTED_VALUE"""),1.14525285911384)</f>
        <v>1.145252859</v>
      </c>
      <c r="X641" s="30">
        <f>IFERROR(__xludf.DUMMYFUNCTION("""COMPUTED_VALUE"""),2.4882979270435452)</f>
        <v>2.488297927</v>
      </c>
      <c r="Y641" s="30">
        <f>IFERROR(__xludf.DUMMYFUNCTION("""COMPUTED_VALUE"""),320.51901614082084)</f>
        <v>320.5190161</v>
      </c>
      <c r="Z641" s="30">
        <f>IFERROR(__xludf.DUMMYFUNCTION("""COMPUTED_VALUE"""),0.6852053848117041)</f>
        <v>0.6852053848</v>
      </c>
      <c r="AA641" s="30">
        <f>IFERROR(__xludf.DUMMYFUNCTION("""COMPUTED_VALUE"""),0.4764438717279865)</f>
        <v>0.4764438717</v>
      </c>
      <c r="AB641" s="30">
        <f>IFERROR(__xludf.DUMMYFUNCTION("""COMPUTED_VALUE"""),1.1943034893011468)</f>
        <v>1.194303489</v>
      </c>
      <c r="AC641" s="30">
        <f>IFERROR(__xludf.DUMMYFUNCTION("""COMPUTED_VALUE"""),2.255892699342204)</f>
        <v>2.255892699</v>
      </c>
      <c r="AD641" s="30">
        <f>IFERROR(__xludf.DUMMYFUNCTION("""COMPUTED_VALUE"""),0.9530672911524811)</f>
        <v>0.9530672912</v>
      </c>
      <c r="AE641" s="30">
        <f>IFERROR(__xludf.DUMMYFUNCTION("""COMPUTED_VALUE"""),1.3899204143625763)</f>
        <v>1.389920414</v>
      </c>
      <c r="AF641" s="30">
        <f>IFERROR(__xludf.DUMMYFUNCTION("""COMPUTED_VALUE"""),0.5996808914301809)</f>
        <v>0.5996808914</v>
      </c>
      <c r="AG641" s="30">
        <f>IFERROR(__xludf.DUMMYFUNCTION("""COMPUTED_VALUE"""),0.8373081121827379)</f>
        <v>0.8373081122</v>
      </c>
      <c r="AH641" s="30">
        <f>IFERROR(__xludf.DUMMYFUNCTION("""COMPUTED_VALUE"""),0.9710019413223474)</f>
        <v>0.9710019413</v>
      </c>
      <c r="AI641" s="30">
        <f>IFERROR(__xludf.DUMMYFUNCTION("""COMPUTED_VALUE"""),0.9780008687360263)</f>
        <v>0.9780008687</v>
      </c>
      <c r="AJ641" s="30">
        <f>IFERROR(__xludf.DUMMYFUNCTION("""COMPUTED_VALUE"""),0.9770125829313033)</f>
        <v>0.9770125829</v>
      </c>
      <c r="AK641" s="30">
        <f>IFERROR(__xludf.DUMMYFUNCTION("""COMPUTED_VALUE"""),1.0200247747916142)</f>
        <v>1.020024775</v>
      </c>
      <c r="AL641" s="30">
        <f>IFERROR(__xludf.DUMMYFUNCTION("""COMPUTED_VALUE"""),1.0394876389108887)</f>
        <v>1.039487639</v>
      </c>
      <c r="AM641" s="30">
        <f>IFERROR(__xludf.DUMMYFUNCTION("""COMPUTED_VALUE"""),0.9377226528921592)</f>
        <v>0.9377226529</v>
      </c>
      <c r="AN641" s="30">
        <f>IFERROR(__xludf.DUMMYFUNCTION("""COMPUTED_VALUE"""),0.9293127914697281)</f>
        <v>0.9293127915</v>
      </c>
      <c r="AO641" s="30">
        <f>IFERROR(__xludf.DUMMYFUNCTION("""COMPUTED_VALUE"""),1.2559491334441857)</f>
        <v>1.255949133</v>
      </c>
      <c r="AP641" s="30">
        <f>IFERROR(__xludf.DUMMYFUNCTION("""COMPUTED_VALUE"""),0.5541159345728397)</f>
        <v>0.5541159346</v>
      </c>
      <c r="AQ641" s="30">
        <f>IFERROR(__xludf.DUMMYFUNCTION("""COMPUTED_VALUE"""),0.8338877901369016)</f>
        <v>0.8338877901</v>
      </c>
      <c r="AR641" s="30">
        <f>IFERROR(__xludf.DUMMYFUNCTION("""COMPUTED_VALUE"""),0.91317872286752)</f>
        <v>0.9131787229</v>
      </c>
      <c r="AS641" s="30">
        <f>IFERROR(__xludf.DUMMYFUNCTION("""COMPUTED_VALUE"""),48.0)</f>
        <v>48</v>
      </c>
      <c r="AT641" s="30">
        <f>IFERROR(__xludf.DUMMYFUNCTION("""COMPUTED_VALUE"""),0.5163528528322511)</f>
        <v>0.5163528528</v>
      </c>
      <c r="AU641" s="30">
        <f>IFERROR(__xludf.DUMMYFUNCTION("""COMPUTED_VALUE"""),2.9144334047537406)</f>
        <v>2.914433405</v>
      </c>
      <c r="AV641" s="32">
        <f>IFERROR(__xludf.DUMMYFUNCTION("""COMPUTED_VALUE"""),47.65398951990593)</f>
        <v>47.65398952</v>
      </c>
      <c r="AW641" s="32">
        <f>IFERROR(__xludf.DUMMYFUNCTION("""COMPUTED_VALUE"""),-2.16161083817433)</f>
        <v>-2.161610838</v>
      </c>
      <c r="AX641" s="32">
        <f>IFERROR(__xludf.DUMMYFUNCTION("""COMPUTED_VALUE"""),40.00432429877597)</f>
        <v>40.0043243</v>
      </c>
      <c r="AY641" s="32">
        <f>IFERROR(__xludf.DUMMYFUNCTION("""COMPUTED_VALUE"""),-2.901561948826336)</f>
        <v>-2.901561949</v>
      </c>
      <c r="AZ641" s="30">
        <f>IFERROR(__xludf.DUMMYFUNCTION("""COMPUTED_VALUE"""),0.7399511106520058)</f>
        <v>0.7399511107</v>
      </c>
      <c r="BA641" s="30">
        <f>IFERROR(__xludf.DUMMYFUNCTION("""COMPUTED_VALUE"""),2300.0)</f>
        <v>2300</v>
      </c>
    </row>
    <row r="642">
      <c r="A642" s="71" t="str">
        <f>IFERROR(__xludf.DUMMYFUNCTION("""COMPUTED_VALUE"""),"Challenger")</f>
        <v>Challenger</v>
      </c>
      <c r="B642" s="71" t="str">
        <f>IFERROR(__xludf.DUMMYFUNCTION("""COMPUTED_VALUE"""),"RSC001066")</f>
        <v>RSC001066</v>
      </c>
      <c r="C642" s="30" t="str">
        <f>IFERROR(__xludf.DUMMYFUNCTION("""COMPUTED_VALUE"""),"risu")</f>
        <v>risu</v>
      </c>
      <c r="D642" s="30" t="str">
        <f>IFERROR(__xludf.DUMMYFUNCTION("""COMPUTED_VALUE"""),"Trippy Hippies")</f>
        <v>Trippy Hippies</v>
      </c>
      <c r="E642" s="30">
        <f>IFERROR(__xludf.DUMMYFUNCTION("""COMPUTED_VALUE"""),31.0)</f>
        <v>31</v>
      </c>
      <c r="F642" s="30">
        <f>IFERROR(__xludf.DUMMYFUNCTION("""COMPUTED_VALUE"""),16.0)</f>
        <v>16</v>
      </c>
      <c r="G642" s="42">
        <f>IFERROR(__xludf.DUMMYFUNCTION("""COMPUTED_VALUE"""),15.0)</f>
        <v>15</v>
      </c>
      <c r="H642" s="42">
        <f>IFERROR(__xludf.DUMMYFUNCTION("""COMPUTED_VALUE"""),0.5161290322580645)</f>
        <v>0.5161290323</v>
      </c>
      <c r="I642" s="42">
        <f>IFERROR(__xludf.DUMMYFUNCTION("""COMPUTED_VALUE"""),0.32941176470588235)</f>
        <v>0.3294117647</v>
      </c>
      <c r="J642" s="30">
        <f>IFERROR(__xludf.DUMMYFUNCTION("""COMPUTED_VALUE"""),333.1290322580645)</f>
        <v>333.1290323</v>
      </c>
      <c r="K642" s="30">
        <f>IFERROR(__xludf.DUMMYFUNCTION("""COMPUTED_VALUE"""),0.9032258064516129)</f>
        <v>0.9032258065</v>
      </c>
      <c r="L642" s="30">
        <f>IFERROR(__xludf.DUMMYFUNCTION("""COMPUTED_VALUE"""),0.6129032258064516)</f>
        <v>0.6129032258</v>
      </c>
      <c r="M642" s="30">
        <f>IFERROR(__xludf.DUMMYFUNCTION("""COMPUTED_VALUE"""),1.0)</f>
        <v>1</v>
      </c>
      <c r="N642" s="30">
        <f>IFERROR(__xludf.DUMMYFUNCTION("""COMPUTED_VALUE"""),2.7419354838709675)</f>
        <v>2.741935484</v>
      </c>
      <c r="O642" s="30">
        <f>IFERROR(__xludf.DUMMYFUNCTION("""COMPUTED_VALUE"""),322.9139784946237)</f>
        <v>322.9139785</v>
      </c>
      <c r="P642" s="30">
        <f>IFERROR(__xludf.DUMMYFUNCTION("""COMPUTED_VALUE"""),0.7634408602150538)</f>
        <v>0.7634408602</v>
      </c>
      <c r="Q642" s="30">
        <f>IFERROR(__xludf.DUMMYFUNCTION("""COMPUTED_VALUE"""),0.5591397849462365)</f>
        <v>0.5591397849</v>
      </c>
      <c r="R642" s="30">
        <f>IFERROR(__xludf.DUMMYFUNCTION("""COMPUTED_VALUE"""),1.204301075268817)</f>
        <v>1.204301075</v>
      </c>
      <c r="S642" s="30">
        <f>IFERROR(__xludf.DUMMYFUNCTION("""COMPUTED_VALUE"""),2.4301075268817205)</f>
        <v>2.430107527</v>
      </c>
      <c r="T642" s="30">
        <f>IFERROR(__xludf.DUMMYFUNCTION("""COMPUTED_VALUE"""),336.69464875366964)</f>
        <v>336.6946488</v>
      </c>
      <c r="U642" s="30">
        <f>IFERROR(__xludf.DUMMYFUNCTION("""COMPUTED_VALUE"""),0.7566353999422688)</f>
        <v>0.7566353999</v>
      </c>
      <c r="V642" s="30">
        <f>IFERROR(__xludf.DUMMYFUNCTION("""COMPUTED_VALUE"""),0.5660235604007726)</f>
        <v>0.5660235604</v>
      </c>
      <c r="W642" s="30">
        <f>IFERROR(__xludf.DUMMYFUNCTION("""COMPUTED_VALUE"""),1.2871342368012977)</f>
        <v>1.287134237</v>
      </c>
      <c r="X642" s="30">
        <f>IFERROR(__xludf.DUMMYFUNCTION("""COMPUTED_VALUE"""),2.3276735865984826)</f>
        <v>2.327673587</v>
      </c>
      <c r="Y642" s="30">
        <f>IFERROR(__xludf.DUMMYFUNCTION("""COMPUTED_VALUE"""),341.7051515389518)</f>
        <v>341.7051515</v>
      </c>
      <c r="Z642" s="30">
        <f>IFERROR(__xludf.DUMMYFUNCTION("""COMPUTED_VALUE"""),0.8307973246518623)</f>
        <v>0.8307973247</v>
      </c>
      <c r="AA642" s="30">
        <f>IFERROR(__xludf.DUMMYFUNCTION("""COMPUTED_VALUE"""),0.5913818769915378)</f>
        <v>0.591381877</v>
      </c>
      <c r="AB642" s="30">
        <f>IFERROR(__xludf.DUMMYFUNCTION("""COMPUTED_VALUE"""),1.1722066712726444)</f>
        <v>1.172206671</v>
      </c>
      <c r="AC642" s="30">
        <f>IFERROR(__xludf.DUMMYFUNCTION("""COMPUTED_VALUE"""),2.5909020721361844)</f>
        <v>2.590902072</v>
      </c>
      <c r="AD642" s="30">
        <f>IFERROR(__xludf.DUMMYFUNCTION("""COMPUTED_VALUE"""),0.9749019900862992)</f>
        <v>0.9749019901</v>
      </c>
      <c r="AE642" s="30">
        <f>IFERROR(__xludf.DUMMYFUNCTION("""COMPUTED_VALUE"""),1.0871794836726287)</f>
        <v>1.087179484</v>
      </c>
      <c r="AF642" s="30">
        <f>IFERROR(__xludf.DUMMYFUNCTION("""COMPUTED_VALUE"""),1.0363916272246905)</f>
        <v>1.036391627</v>
      </c>
      <c r="AG642" s="30">
        <f>IFERROR(__xludf.DUMMYFUNCTION("""COMPUTED_VALUE"""),0.8530918860189708)</f>
        <v>0.853091886</v>
      </c>
      <c r="AH642" s="30">
        <f>IFERROR(__xludf.DUMMYFUNCTION("""COMPUTED_VALUE"""),1.0582937554294582)</f>
        <v>1.058293755</v>
      </c>
      <c r="AI642" s="30">
        <f>IFERROR(__xludf.DUMMYFUNCTION("""COMPUTED_VALUE"""),0.9590707179040197)</f>
        <v>0.9590707179</v>
      </c>
      <c r="AJ642" s="30">
        <f>IFERROR(__xludf.DUMMYFUNCTION("""COMPUTED_VALUE"""),1.008994372022911)</f>
        <v>1.008994372</v>
      </c>
      <c r="AK642" s="30">
        <f>IFERROR(__xludf.DUMMYFUNCTION("""COMPUTED_VALUE"""),0.9878383587961214)</f>
        <v>0.9878383588</v>
      </c>
      <c r="AL642" s="30">
        <f>IFERROR(__xludf.DUMMYFUNCTION("""COMPUTED_VALUE"""),0.9356452814600502)</f>
        <v>0.9356452815</v>
      </c>
      <c r="AM642" s="30">
        <f>IFERROR(__xludf.DUMMYFUNCTION("""COMPUTED_VALUE"""),1.0440070037624685)</f>
        <v>1.044007004</v>
      </c>
      <c r="AN642" s="30">
        <f>IFERROR(__xludf.DUMMYFUNCTION("""COMPUTED_VALUE"""),1.013437644370128)</f>
        <v>1.013437644</v>
      </c>
      <c r="AO642" s="30">
        <f>IFERROR(__xludf.DUMMYFUNCTION("""COMPUTED_VALUE"""),1.1911259523631954)</f>
        <v>1.191125952</v>
      </c>
      <c r="AP642" s="30">
        <f>IFERROR(__xludf.DUMMYFUNCTION("""COMPUTED_VALUE"""),1.1886680531965756)</f>
        <v>1.188668053</v>
      </c>
      <c r="AQ642" s="30">
        <f>IFERROR(__xludf.DUMMYFUNCTION("""COMPUTED_VALUE"""),0.8338877901369016)</f>
        <v>0.8338877901</v>
      </c>
      <c r="AR642" s="30">
        <f>IFERROR(__xludf.DUMMYFUNCTION("""COMPUTED_VALUE"""),1.143074348049455)</f>
        <v>1.143074348</v>
      </c>
      <c r="AS642" s="30">
        <f>IFERROR(__xludf.DUMMYFUNCTION("""COMPUTED_VALUE"""),71.0)</f>
        <v>71</v>
      </c>
      <c r="AT642" s="30">
        <f>IFERROR(__xludf.DUMMYFUNCTION("""COMPUTED_VALUE"""),0.5000000000000001)</f>
        <v>0.5</v>
      </c>
      <c r="AU642" s="30">
        <f>IFERROR(__xludf.DUMMYFUNCTION("""COMPUTED_VALUE"""),3.4383196269809466)</f>
        <v>3.438319627</v>
      </c>
      <c r="AV642" s="32">
        <f>IFERROR(__xludf.DUMMYFUNCTION("""COMPUTED_VALUE"""),61.50667160313184)</f>
        <v>61.5066716</v>
      </c>
      <c r="AW642" s="32">
        <f>IFERROR(__xludf.DUMMYFUNCTION("""COMPUTED_VALUE"""),3.099215099982533)</f>
        <v>3.0992151</v>
      </c>
      <c r="AX642" s="32">
        <f>IFERROR(__xludf.DUMMYFUNCTION("""COMPUTED_VALUE"""),55.499715756983)</f>
        <v>55.49971576</v>
      </c>
      <c r="AY642" s="32">
        <f>IFERROR(__xludf.DUMMYFUNCTION("""COMPUTED_VALUE"""),2.4216592929975285)</f>
        <v>2.421659293</v>
      </c>
      <c r="AZ642" s="30">
        <f>IFERROR(__xludf.DUMMYFUNCTION("""COMPUTED_VALUE"""),0.6775558069850045)</f>
        <v>0.677555807</v>
      </c>
      <c r="BA642" s="30">
        <f>IFERROR(__xludf.DUMMYFUNCTION("""COMPUTED_VALUE"""),2300.0)</f>
        <v>2300</v>
      </c>
    </row>
    <row r="643">
      <c r="A643" s="71" t="str">
        <f>IFERROR(__xludf.DUMMYFUNCTION("""COMPUTED_VALUE"""),"Challenger")</f>
        <v>Challenger</v>
      </c>
      <c r="B643" s="71" t="str">
        <f>IFERROR(__xludf.DUMMYFUNCTION("""COMPUTED_VALUE"""),"RSC006883")</f>
        <v>RSC006883</v>
      </c>
      <c r="C643" s="30" t="str">
        <f>IFERROR(__xludf.DUMMYFUNCTION("""COMPUTED_VALUE"""),"Kit")</f>
        <v>Kit</v>
      </c>
      <c r="D643" s="30" t="str">
        <f>IFERROR(__xludf.DUMMYFUNCTION("""COMPUTED_VALUE"""),"Trippy Hippies")</f>
        <v>Trippy Hippies</v>
      </c>
      <c r="E643" s="30">
        <f>IFERROR(__xludf.DUMMYFUNCTION("""COMPUTED_VALUE"""),13.0)</f>
        <v>13</v>
      </c>
      <c r="F643" s="30">
        <f>IFERROR(__xludf.DUMMYFUNCTION("""COMPUTED_VALUE"""),5.0)</f>
        <v>5</v>
      </c>
      <c r="G643" s="42">
        <f>IFERROR(__xludf.DUMMYFUNCTION("""COMPUTED_VALUE"""),8.0)</f>
        <v>8</v>
      </c>
      <c r="H643" s="42">
        <f>IFERROR(__xludf.DUMMYFUNCTION("""COMPUTED_VALUE"""),0.38461538461538464)</f>
        <v>0.3846153846</v>
      </c>
      <c r="I643" s="42">
        <f>IFERROR(__xludf.DUMMYFUNCTION("""COMPUTED_VALUE"""),0.39285714285714285)</f>
        <v>0.3928571429</v>
      </c>
      <c r="J643" s="30">
        <f>IFERROR(__xludf.DUMMYFUNCTION("""COMPUTED_VALUE"""),360.6923076923077)</f>
        <v>360.6923077</v>
      </c>
      <c r="K643" s="30">
        <f>IFERROR(__xludf.DUMMYFUNCTION("""COMPUTED_VALUE"""),0.8461538461538461)</f>
        <v>0.8461538462</v>
      </c>
      <c r="L643" s="30">
        <f>IFERROR(__xludf.DUMMYFUNCTION("""COMPUTED_VALUE"""),0.38461538461538464)</f>
        <v>0.3846153846</v>
      </c>
      <c r="M643" s="30">
        <f>IFERROR(__xludf.DUMMYFUNCTION("""COMPUTED_VALUE"""),1.6923076923076923)</f>
        <v>1.692307692</v>
      </c>
      <c r="N643" s="30">
        <f>IFERROR(__xludf.DUMMYFUNCTION("""COMPUTED_VALUE"""),2.1538461538461537)</f>
        <v>2.153846154</v>
      </c>
      <c r="O643" s="30">
        <f>IFERROR(__xludf.DUMMYFUNCTION("""COMPUTED_VALUE"""),304.6666666666667)</f>
        <v>304.6666667</v>
      </c>
      <c r="P643" s="30">
        <f>IFERROR(__xludf.DUMMYFUNCTION("""COMPUTED_VALUE"""),0.7435897435897435)</f>
        <v>0.7435897436</v>
      </c>
      <c r="Q643" s="30">
        <f>IFERROR(__xludf.DUMMYFUNCTION("""COMPUTED_VALUE"""),0.46153846153846156)</f>
        <v>0.4615384615</v>
      </c>
      <c r="R643" s="30">
        <f>IFERROR(__xludf.DUMMYFUNCTION("""COMPUTED_VALUE"""),1.0769230769230769)</f>
        <v>1.076923077</v>
      </c>
      <c r="S643" s="30">
        <f>IFERROR(__xludf.DUMMYFUNCTION("""COMPUTED_VALUE"""),2.4871794871794872)</f>
        <v>2.487179487</v>
      </c>
      <c r="T643" s="30">
        <f>IFERROR(__xludf.DUMMYFUNCTION("""COMPUTED_VALUE"""),326.2997354235759)</f>
        <v>326.2997354</v>
      </c>
      <c r="U643" s="30">
        <f>IFERROR(__xludf.DUMMYFUNCTION("""COMPUTED_VALUE"""),0.7688022949900777)</f>
        <v>0.768802295</v>
      </c>
      <c r="V643" s="30">
        <f>IFERROR(__xludf.DUMMYFUNCTION("""COMPUTED_VALUE"""),0.5201327874404797)</f>
        <v>0.5201327874</v>
      </c>
      <c r="W643" s="30">
        <f>IFERROR(__xludf.DUMMYFUNCTION("""COMPUTED_VALUE"""),1.1610486296006661)</f>
        <v>1.16104863</v>
      </c>
      <c r="X643" s="30">
        <f>IFERROR(__xludf.DUMMYFUNCTION("""COMPUTED_VALUE"""),2.518891378648166)</f>
        <v>2.518891379</v>
      </c>
      <c r="Y643" s="30">
        <f>IFERROR(__xludf.DUMMYFUNCTION("""COMPUTED_VALUE"""),320.79052816039064)</f>
        <v>320.7905282</v>
      </c>
      <c r="Z643" s="30">
        <f>IFERROR(__xludf.DUMMYFUNCTION("""COMPUTED_VALUE"""),0.6935028053617797)</f>
        <v>0.6935028054</v>
      </c>
      <c r="AA643" s="30">
        <f>IFERROR(__xludf.DUMMYFUNCTION("""COMPUTED_VALUE"""),0.48938489935850416)</f>
        <v>0.4893848994</v>
      </c>
      <c r="AB643" s="30">
        <f>IFERROR(__xludf.DUMMYFUNCTION("""COMPUTED_VALUE"""),1.2514080296414383)</f>
        <v>1.25140803</v>
      </c>
      <c r="AC643" s="30">
        <f>IFERROR(__xludf.DUMMYFUNCTION("""COMPUTED_VALUE"""),2.208922331160265)</f>
        <v>2.208922331</v>
      </c>
      <c r="AD643" s="30">
        <f>IFERROR(__xludf.DUMMYFUNCTION("""COMPUTED_VALUE"""),1.124385778348065)</f>
        <v>1.124385778</v>
      </c>
      <c r="AE643" s="30">
        <f>IFERROR(__xludf.DUMMYFUNCTION("""COMPUTED_VALUE"""),1.2201159672489472)</f>
        <v>1.220115967</v>
      </c>
      <c r="AF643" s="30">
        <f>IFERROR(__xludf.DUMMYFUNCTION("""COMPUTED_VALUE"""),0.7859159224560186)</f>
        <v>0.7859159225</v>
      </c>
      <c r="AG643" s="30">
        <f>IFERROR(__xludf.DUMMYFUNCTION("""COMPUTED_VALUE"""),1.352322865302841)</f>
        <v>1.352322865</v>
      </c>
      <c r="AH643" s="30">
        <f>IFERROR(__xludf.DUMMYFUNCTION("""COMPUTED_VALUE"""),0.9750664943999269)</f>
        <v>0.9750664944</v>
      </c>
      <c r="AI643" s="30">
        <f>IFERROR(__xludf.DUMMYFUNCTION("""COMPUTED_VALUE"""),0.9337018501445399)</f>
        <v>0.9337018501</v>
      </c>
      <c r="AJ643" s="30">
        <f>IFERROR(__xludf.DUMMYFUNCTION("""COMPUTED_VALUE"""),0.9672054160547744)</f>
        <v>0.9672054161</v>
      </c>
      <c r="AK643" s="30">
        <f>IFERROR(__xludf.DUMMYFUNCTION("""COMPUTED_VALUE"""),0.8873473710620035)</f>
        <v>0.8873473711</v>
      </c>
      <c r="AL643" s="30">
        <f>IFERROR(__xludf.DUMMYFUNCTION("""COMPUTED_VALUE"""),0.9275434718815149)</f>
        <v>0.9275434719</v>
      </c>
      <c r="AM643" s="30">
        <f>IFERROR(__xludf.DUMMYFUNCTION("""COMPUTED_VALUE"""),0.9874103775424814)</f>
        <v>0.9874103775</v>
      </c>
      <c r="AN643" s="30">
        <f>IFERROR(__xludf.DUMMYFUNCTION("""COMPUTED_VALUE"""),1.0972900205435896)</f>
        <v>1.097290021</v>
      </c>
      <c r="AO643" s="30">
        <f>IFERROR(__xludf.DUMMYFUNCTION("""COMPUTED_VALUE"""),1.1158624993292574)</f>
        <v>1.115862499</v>
      </c>
      <c r="AP643" s="30">
        <f>IFERROR(__xludf.DUMMYFUNCTION("""COMPUTED_VALUE"""),0.7459252965403612)</f>
        <v>0.7459252965</v>
      </c>
      <c r="AQ643" s="30">
        <f>IFERROR(__xludf.DUMMYFUNCTION("""COMPUTED_VALUE"""),1.4111947217701413)</f>
        <v>1.411194722</v>
      </c>
      <c r="AR643" s="30">
        <f>IFERROR(__xludf.DUMMYFUNCTION("""COMPUTED_VALUE"""),0.8979081756623774)</f>
        <v>0.8979081757</v>
      </c>
      <c r="AS643" s="30">
        <f>IFERROR(__xludf.DUMMYFUNCTION("""COMPUTED_VALUE"""),24.0)</f>
        <v>24</v>
      </c>
      <c r="AT643" s="30">
        <f>IFERROR(__xludf.DUMMYFUNCTION("""COMPUTED_VALUE"""),0.42965509149921094)</f>
        <v>0.4296550915</v>
      </c>
      <c r="AU643" s="30">
        <f>IFERROR(__xludf.DUMMYFUNCTION("""COMPUTED_VALUE"""),3.1424027779813013)</f>
        <v>3.142402778</v>
      </c>
      <c r="AV643" s="32">
        <f>IFERROR(__xludf.DUMMYFUNCTION("""COMPUTED_VALUE"""),53.681991628089015)</f>
        <v>53.68199163</v>
      </c>
      <c r="AW643" s="32">
        <f>IFERROR(__xludf.DUMMYFUNCTION("""COMPUTED_VALUE"""),2.2652332573486706)</f>
        <v>2.265233257</v>
      </c>
      <c r="AX643" s="32">
        <f>IFERROR(__xludf.DUMMYFUNCTION("""COMPUTED_VALUE"""),60.271675425453196)</f>
        <v>60.27167543</v>
      </c>
      <c r="AY643" s="32">
        <f>IFERROR(__xludf.DUMMYFUNCTION("""COMPUTED_VALUE"""),2.9361243989174537)</f>
        <v>2.936124399</v>
      </c>
      <c r="AZ643" s="30">
        <f>IFERROR(__xludf.DUMMYFUNCTION("""COMPUTED_VALUE"""),0.670891141568783)</f>
        <v>0.6708911416</v>
      </c>
      <c r="BA643" s="30">
        <f>IFERROR(__xludf.DUMMYFUNCTION("""COMPUTED_VALUE"""),2300.0)</f>
        <v>2300</v>
      </c>
    </row>
    <row r="644">
      <c r="A644" s="71" t="str">
        <f>IFERROR(__xludf.DUMMYFUNCTION("""COMPUTED_VALUE"""),"Challenger")</f>
        <v>Challenger</v>
      </c>
      <c r="B644" s="71" t="str">
        <f>IFERROR(__xludf.DUMMYFUNCTION("""COMPUTED_VALUE"""),"RSC006092")</f>
        <v>RSC006092</v>
      </c>
      <c r="C644" s="30" t="str">
        <f>IFERROR(__xludf.DUMMYFUNCTION("""COMPUTED_VALUE"""),"Mickstery")</f>
        <v>Mickstery</v>
      </c>
      <c r="D644" s="30" t="str">
        <f>IFERROR(__xludf.DUMMYFUNCTION("""COMPUTED_VALUE"""),"Void")</f>
        <v>Void</v>
      </c>
      <c r="E644" s="30">
        <f>IFERROR(__xludf.DUMMYFUNCTION("""COMPUTED_VALUE"""),19.0)</f>
        <v>19</v>
      </c>
      <c r="F644" s="30">
        <f>IFERROR(__xludf.DUMMYFUNCTION("""COMPUTED_VALUE"""),13.0)</f>
        <v>13</v>
      </c>
      <c r="G644" s="42">
        <f>IFERROR(__xludf.DUMMYFUNCTION("""COMPUTED_VALUE"""),6.0)</f>
        <v>6</v>
      </c>
      <c r="H644" s="42">
        <f>IFERROR(__xludf.DUMMYFUNCTION("""COMPUTED_VALUE"""),0.6842105263157895)</f>
        <v>0.6842105263</v>
      </c>
      <c r="I644" s="42">
        <f>IFERROR(__xludf.DUMMYFUNCTION("""COMPUTED_VALUE"""),0.39024390243902435)</f>
        <v>0.3902439024</v>
      </c>
      <c r="J644" s="30">
        <f>IFERROR(__xludf.DUMMYFUNCTION("""COMPUTED_VALUE"""),326.6842105263158)</f>
        <v>326.6842105</v>
      </c>
      <c r="K644" s="30">
        <f>IFERROR(__xludf.DUMMYFUNCTION("""COMPUTED_VALUE"""),0.8421052631578947)</f>
        <v>0.8421052632</v>
      </c>
      <c r="L644" s="30">
        <f>IFERROR(__xludf.DUMMYFUNCTION("""COMPUTED_VALUE"""),0.7368421052631579)</f>
        <v>0.7368421053</v>
      </c>
      <c r="M644" s="30">
        <f>IFERROR(__xludf.DUMMYFUNCTION("""COMPUTED_VALUE"""),1.0)</f>
        <v>1</v>
      </c>
      <c r="N644" s="30">
        <f>IFERROR(__xludf.DUMMYFUNCTION("""COMPUTED_VALUE"""),2.1578947368421053)</f>
        <v>2.157894737</v>
      </c>
      <c r="O644" s="30">
        <f>IFERROR(__xludf.DUMMYFUNCTION("""COMPUTED_VALUE"""),322.68421052631584)</f>
        <v>322.6842105</v>
      </c>
      <c r="P644" s="30">
        <f>IFERROR(__xludf.DUMMYFUNCTION("""COMPUTED_VALUE"""),0.6842105263157895)</f>
        <v>0.6842105263</v>
      </c>
      <c r="Q644" s="30">
        <f>IFERROR(__xludf.DUMMYFUNCTION("""COMPUTED_VALUE"""),0.4736842105263157)</f>
        <v>0.4736842105</v>
      </c>
      <c r="R644" s="30">
        <f>IFERROR(__xludf.DUMMYFUNCTION("""COMPUTED_VALUE"""),1.0175438596491226)</f>
        <v>1.01754386</v>
      </c>
      <c r="S644" s="30">
        <f>IFERROR(__xludf.DUMMYFUNCTION("""COMPUTED_VALUE"""),2.1578947368421053)</f>
        <v>2.157894737</v>
      </c>
      <c r="T644" s="30">
        <f>IFERROR(__xludf.DUMMYFUNCTION("""COMPUTED_VALUE"""),334.73583895049666)</f>
        <v>334.735839</v>
      </c>
      <c r="U644" s="30">
        <f>IFERROR(__xludf.DUMMYFUNCTION("""COMPUTED_VALUE"""),0.7854587126502314)</f>
        <v>0.7854587127</v>
      </c>
      <c r="V644" s="30">
        <f>IFERROR(__xludf.DUMMYFUNCTION("""COMPUTED_VALUE"""),0.5544980316815005)</f>
        <v>0.5544980317</v>
      </c>
      <c r="W644" s="30">
        <f>IFERROR(__xludf.DUMMYFUNCTION("""COMPUTED_VALUE"""),1.2086353554407732)</f>
        <v>1.208635355</v>
      </c>
      <c r="X644" s="30">
        <f>IFERROR(__xludf.DUMMYFUNCTION("""COMPUTED_VALUE"""),2.351852732771591)</f>
        <v>2.351852733</v>
      </c>
      <c r="Y644" s="30">
        <f>IFERROR(__xludf.DUMMYFUNCTION("""COMPUTED_VALUE"""),338.7387919669346)</f>
        <v>338.738792</v>
      </c>
      <c r="Z644" s="30">
        <f>IFERROR(__xludf.DUMMYFUNCTION("""COMPUTED_VALUE"""),0.7994308429487381)</f>
        <v>0.7994308429</v>
      </c>
      <c r="AA644" s="30">
        <f>IFERROR(__xludf.DUMMYFUNCTION("""COMPUTED_VALUE"""),0.5366170971169051)</f>
        <v>0.5366170971</v>
      </c>
      <c r="AB644" s="30">
        <f>IFERROR(__xludf.DUMMYFUNCTION("""COMPUTED_VALUE"""),1.1993845982005342)</f>
        <v>1.199384598</v>
      </c>
      <c r="AC644" s="30">
        <f>IFERROR(__xludf.DUMMYFUNCTION("""COMPUTED_VALUE"""),2.480498772981811)</f>
        <v>2.480498773</v>
      </c>
      <c r="AD644" s="30">
        <f>IFERROR(__xludf.DUMMYFUNCTION("""COMPUTED_VALUE"""),0.9644133422965164)</f>
        <v>0.9644133423</v>
      </c>
      <c r="AE644" s="30">
        <f>IFERROR(__xludf.DUMMYFUNCTION("""COMPUTED_VALUE"""),1.053381002979257)</f>
        <v>1.053381003</v>
      </c>
      <c r="AF644" s="30">
        <f>IFERROR(__xludf.DUMMYFUNCTION("""COMPUTED_VALUE"""),1.373124541170988)</f>
        <v>1.373124541</v>
      </c>
      <c r="AG644" s="30">
        <f>IFERROR(__xludf.DUMMYFUNCTION("""COMPUTED_VALUE"""),0.8337609149728321)</f>
        <v>0.833760915</v>
      </c>
      <c r="AH644" s="30">
        <f>IFERROR(__xludf.DUMMYFUNCTION("""COMPUTED_VALUE"""),0.8699438840068835)</f>
        <v>0.869943884</v>
      </c>
      <c r="AI644" s="30">
        <f>IFERROR(__xludf.DUMMYFUNCTION("""COMPUTED_VALUE"""),0.9639965996411782)</f>
        <v>0.9639965996</v>
      </c>
      <c r="AJ644" s="30">
        <f>IFERROR(__xludf.DUMMYFUNCTION("""COMPUTED_VALUE"""),0.8710967429556947)</f>
        <v>0.871096743</v>
      </c>
      <c r="AK644" s="30">
        <f>IFERROR(__xludf.DUMMYFUNCTION("""COMPUTED_VALUE"""),0.8542576951804157)</f>
        <v>0.8542576952</v>
      </c>
      <c r="AL644" s="30">
        <f>IFERROR(__xludf.DUMMYFUNCTION("""COMPUTED_VALUE"""),0.8418948321084303)</f>
        <v>0.8418948321</v>
      </c>
      <c r="AM644" s="30">
        <f>IFERROR(__xludf.DUMMYFUNCTION("""COMPUTED_VALUE"""),0.9175297019125378)</f>
        <v>0.9175297019</v>
      </c>
      <c r="AN644" s="30">
        <f>IFERROR(__xludf.DUMMYFUNCTION("""COMPUTED_VALUE"""),0.9938313527481204)</f>
        <v>0.9938313527</v>
      </c>
      <c r="AO644" s="30">
        <f>IFERROR(__xludf.DUMMYFUNCTION("""COMPUTED_VALUE"""),1.110523444308543)</f>
        <v>1.110523444</v>
      </c>
      <c r="AP644" s="30">
        <f>IFERROR(__xludf.DUMMYFUNCTION("""COMPUTED_VALUE"""),1.4290358312667972)</f>
        <v>1.429035831</v>
      </c>
      <c r="AQ644" s="30">
        <f>IFERROR(__xludf.DUMMYFUNCTION("""COMPUTED_VALUE"""),0.8338877901369016)</f>
        <v>0.8338877901</v>
      </c>
      <c r="AR644" s="30">
        <f>IFERROR(__xludf.DUMMYFUNCTION("""COMPUTED_VALUE"""),0.899595972985051)</f>
        <v>0.899595973</v>
      </c>
      <c r="AS644" s="30">
        <f>IFERROR(__xludf.DUMMYFUNCTION("""COMPUTED_VALUE"""),55.0)</f>
        <v>55</v>
      </c>
      <c r="AT644" s="30">
        <f>IFERROR(__xludf.DUMMYFUNCTION("""COMPUTED_VALUE"""),0.6327297460946073)</f>
        <v>0.6327297461</v>
      </c>
      <c r="AU644" s="30">
        <f>IFERROR(__xludf.DUMMYFUNCTION("""COMPUTED_VALUE"""),3.45412550437634)</f>
        <v>3.454125504</v>
      </c>
      <c r="AV644" s="32">
        <f>IFERROR(__xludf.DUMMYFUNCTION("""COMPUTED_VALUE"""),61.9246131051511)</f>
        <v>61.92461311</v>
      </c>
      <c r="AW644" s="32">
        <f>IFERROR(__xludf.DUMMYFUNCTION("""COMPUTED_VALUE"""),3.157696258431529)</f>
        <v>3.157696258</v>
      </c>
      <c r="AX644" s="32">
        <f>IFERROR(__xludf.DUMMYFUNCTION("""COMPUTED_VALUE"""),56.54276770125147)</f>
        <v>56.5427677</v>
      </c>
      <c r="AY644" s="32">
        <f>IFERROR(__xludf.DUMMYFUNCTION("""COMPUTED_VALUE"""),2.5203375984422207)</f>
        <v>2.520337598</v>
      </c>
      <c r="AZ644" s="30">
        <f>IFERROR(__xludf.DUMMYFUNCTION("""COMPUTED_VALUE"""),0.6373586599893084)</f>
        <v>0.63735866</v>
      </c>
      <c r="BA644" s="30">
        <f>IFERROR(__xludf.DUMMYFUNCTION("""COMPUTED_VALUE"""),2300.0)</f>
        <v>2300</v>
      </c>
    </row>
    <row r="645">
      <c r="A645" s="71" t="str">
        <f>IFERROR(__xludf.DUMMYFUNCTION("""COMPUTED_VALUE"""),"Challenger")</f>
        <v>Challenger</v>
      </c>
      <c r="B645" s="71" t="str">
        <f>IFERROR(__xludf.DUMMYFUNCTION("""COMPUTED_VALUE"""),"RSC005265")</f>
        <v>RSC005265</v>
      </c>
      <c r="C645" s="30" t="str">
        <f>IFERROR(__xludf.DUMMYFUNCTION("""COMPUTED_VALUE"""),"doctorprofessor_")</f>
        <v>doctorprofessor_</v>
      </c>
      <c r="D645" s="30" t="str">
        <f>IFERROR(__xludf.DUMMYFUNCTION("""COMPUTED_VALUE"""),"Decuriones")</f>
        <v>Decuriones</v>
      </c>
      <c r="E645" s="30">
        <f>IFERROR(__xludf.DUMMYFUNCTION("""COMPUTED_VALUE"""),35.0)</f>
        <v>35</v>
      </c>
      <c r="F645" s="30">
        <f>IFERROR(__xludf.DUMMYFUNCTION("""COMPUTED_VALUE"""),24.0)</f>
        <v>24</v>
      </c>
      <c r="G645" s="42">
        <f>IFERROR(__xludf.DUMMYFUNCTION("""COMPUTED_VALUE"""),11.0)</f>
        <v>11</v>
      </c>
      <c r="H645" s="42">
        <f>IFERROR(__xludf.DUMMYFUNCTION("""COMPUTED_VALUE"""),0.6857142857142857)</f>
        <v>0.6857142857</v>
      </c>
      <c r="I645" s="42">
        <f>IFERROR(__xludf.DUMMYFUNCTION("""COMPUTED_VALUE"""),0.26666666666666666)</f>
        <v>0.2666666667</v>
      </c>
      <c r="J645" s="30">
        <f>IFERROR(__xludf.DUMMYFUNCTION("""COMPUTED_VALUE"""),347.51428571428573)</f>
        <v>347.5142857</v>
      </c>
      <c r="K645" s="30">
        <f>IFERROR(__xludf.DUMMYFUNCTION("""COMPUTED_VALUE"""),0.8)</f>
        <v>0.8</v>
      </c>
      <c r="L645" s="30">
        <f>IFERROR(__xludf.DUMMYFUNCTION("""COMPUTED_VALUE"""),0.6571428571428571)</f>
        <v>0.6571428571</v>
      </c>
      <c r="M645" s="30">
        <f>IFERROR(__xludf.DUMMYFUNCTION("""COMPUTED_VALUE"""),0.8857142857142857)</f>
        <v>0.8857142857</v>
      </c>
      <c r="N645" s="30">
        <f>IFERROR(__xludf.DUMMYFUNCTION("""COMPUTED_VALUE"""),3.0)</f>
        <v>3</v>
      </c>
      <c r="O645" s="30">
        <f>IFERROR(__xludf.DUMMYFUNCTION("""COMPUTED_VALUE"""),285.39047619047625)</f>
        <v>285.3904762</v>
      </c>
      <c r="P645" s="30">
        <f>IFERROR(__xludf.DUMMYFUNCTION("""COMPUTED_VALUE"""),0.4857142857142858)</f>
        <v>0.4857142857</v>
      </c>
      <c r="Q645" s="30">
        <f>IFERROR(__xludf.DUMMYFUNCTION("""COMPUTED_VALUE"""),0.3333333333333334)</f>
        <v>0.3333333333</v>
      </c>
      <c r="R645" s="30">
        <f>IFERROR(__xludf.DUMMYFUNCTION("""COMPUTED_VALUE"""),1.257142857142857)</f>
        <v>1.257142857</v>
      </c>
      <c r="S645" s="30">
        <f>IFERROR(__xludf.DUMMYFUNCTION("""COMPUTED_VALUE"""),1.8)</f>
        <v>1.8</v>
      </c>
      <c r="T645" s="30">
        <f>IFERROR(__xludf.DUMMYFUNCTION("""COMPUTED_VALUE"""),329.8432515432575)</f>
        <v>329.8432515</v>
      </c>
      <c r="U645" s="30">
        <f>IFERROR(__xludf.DUMMYFUNCTION("""COMPUTED_VALUE"""),0.7029124663873172)</f>
        <v>0.7029124664</v>
      </c>
      <c r="V645" s="30">
        <f>IFERROR(__xludf.DUMMYFUNCTION("""COMPUTED_VALUE"""),0.4977426091868689)</f>
        <v>0.4977426092</v>
      </c>
      <c r="W645" s="30">
        <f>IFERROR(__xludf.DUMMYFUNCTION("""COMPUTED_VALUE"""),1.296753872789197)</f>
        <v>1.296753873</v>
      </c>
      <c r="X645" s="30">
        <f>IFERROR(__xludf.DUMMYFUNCTION("""COMPUTED_VALUE"""),2.186210247846305)</f>
        <v>2.186210248</v>
      </c>
      <c r="Y645" s="30">
        <f>IFERROR(__xludf.DUMMYFUNCTION("""COMPUTED_VALUE"""),335.25847644871817)</f>
        <v>335.2584764</v>
      </c>
      <c r="Z645" s="30">
        <f>IFERROR(__xludf.DUMMYFUNCTION("""COMPUTED_VALUE"""),0.8103188238888875)</f>
        <v>0.8103188239</v>
      </c>
      <c r="AA645" s="30">
        <f>IFERROR(__xludf.DUMMYFUNCTION("""COMPUTED_VALUE"""),0.5670658793879211)</f>
        <v>0.5670658794</v>
      </c>
      <c r="AB645" s="30">
        <f>IFERROR(__xludf.DUMMYFUNCTION("""COMPUTED_VALUE"""),1.0985597398917153)</f>
        <v>1.09855974</v>
      </c>
      <c r="AC645" s="30">
        <f>IFERROR(__xludf.DUMMYFUNCTION("""COMPUTED_VALUE"""),2.5859250786674686)</f>
        <v>2.585925079</v>
      </c>
      <c r="AD645" s="30">
        <f>IFERROR(__xludf.DUMMYFUNCTION("""COMPUTED_VALUE"""),1.0365562994719455)</f>
        <v>1.036556299</v>
      </c>
      <c r="AE645" s="30">
        <f>IFERROR(__xludf.DUMMYFUNCTION("""COMPUTED_VALUE"""),0.9872657235835084)</f>
        <v>0.9872657236</v>
      </c>
      <c r="AF645" s="30">
        <f>IFERROR(__xludf.DUMMYFUNCTION("""COMPUTED_VALUE"""),1.1588474655751873)</f>
        <v>1.158847466</v>
      </c>
      <c r="AG645" s="30">
        <f>IFERROR(__xludf.DUMMYFUNCTION("""COMPUTED_VALUE"""),0.8062504509782875)</f>
        <v>0.806250451</v>
      </c>
      <c r="AH645" s="30">
        <f>IFERROR(__xludf.DUMMYFUNCTION("""COMPUTED_VALUE"""),1.1601264184907882)</f>
        <v>1.160126418</v>
      </c>
      <c r="AI645" s="30">
        <f>IFERROR(__xludf.DUMMYFUNCTION("""COMPUTED_VALUE"""),0.8652306053108639)</f>
        <v>0.8652306053</v>
      </c>
      <c r="AJ645" s="30">
        <f>IFERROR(__xludf.DUMMYFUNCTION("""COMPUTED_VALUE"""),0.6910025201440213)</f>
        <v>0.6910025201</v>
      </c>
      <c r="AK645" s="30">
        <f>IFERROR(__xludf.DUMMYFUNCTION("""COMPUTED_VALUE"""),0.6696901715484622)</f>
        <v>0.6696901715</v>
      </c>
      <c r="AL645" s="30">
        <f>IFERROR(__xludf.DUMMYFUNCTION("""COMPUTED_VALUE"""),0.9694537132469553)</f>
        <v>0.9694537132</v>
      </c>
      <c r="AM645" s="30">
        <f>IFERROR(__xludf.DUMMYFUNCTION("""COMPUTED_VALUE"""),0.8233425864567367)</f>
        <v>0.8233425865</v>
      </c>
      <c r="AN645" s="30">
        <f>IFERROR(__xludf.DUMMYFUNCTION("""COMPUTED_VALUE"""),1.057200138673076)</f>
        <v>1.057200139</v>
      </c>
      <c r="AO645" s="30">
        <f>IFERROR(__xludf.DUMMYFUNCTION("""COMPUTED_VALUE"""),1.054997272093116)</f>
        <v>1.054997272</v>
      </c>
      <c r="AP645" s="30">
        <f>IFERROR(__xludf.DUMMYFUNCTION("""COMPUTED_VALUE"""),1.2744666495175314)</f>
        <v>1.27446665</v>
      </c>
      <c r="AQ645" s="30">
        <f>IFERROR(__xludf.DUMMYFUNCTION("""COMPUTED_VALUE"""),0.73858632840697)</f>
        <v>0.7385863284</v>
      </c>
      <c r="AR645" s="30">
        <f>IFERROR(__xludf.DUMMYFUNCTION("""COMPUTED_VALUE"""),1.2506578161011686)</f>
        <v>1.250657816</v>
      </c>
      <c r="AS645" s="30">
        <f>IFERROR(__xludf.DUMMYFUNCTION("""COMPUTED_VALUE"""),83.0)</f>
        <v>83</v>
      </c>
      <c r="AT645" s="30">
        <f>IFERROR(__xludf.DUMMYFUNCTION("""COMPUTED_VALUE"""),0.6717113470299899)</f>
        <v>0.671711347</v>
      </c>
      <c r="AU645" s="30">
        <f>IFERROR(__xludf.DUMMYFUNCTION("""COMPUTED_VALUE"""),3.9013972670366206)</f>
        <v>3.901397267</v>
      </c>
      <c r="AV645" s="32">
        <f>IFERROR(__xludf.DUMMYFUNCTION("""COMPUTED_VALUE"""),73.75144356959079)</f>
        <v>73.75144357</v>
      </c>
      <c r="AW645" s="32">
        <f>IFERROR(__xludf.DUMMYFUNCTION("""COMPUTED_VALUE"""),5.846535802962955)</f>
        <v>5.846535803</v>
      </c>
      <c r="AX645" s="32">
        <f>IFERROR(__xludf.DUMMYFUNCTION("""COMPUTED_VALUE"""),75.42329386305232)</f>
        <v>75.42329386</v>
      </c>
      <c r="AY645" s="32">
        <f>IFERROR(__xludf.DUMMYFUNCTION("""COMPUTED_VALUE"""),6.468600366914249)</f>
        <v>6.468600367</v>
      </c>
      <c r="AZ645" s="30">
        <f>IFERROR(__xludf.DUMMYFUNCTION("""COMPUTED_VALUE"""),0.6220645639512936)</f>
        <v>0.622064564</v>
      </c>
      <c r="BA645" s="30">
        <f>IFERROR(__xludf.DUMMYFUNCTION("""COMPUTED_VALUE"""),2300.0)</f>
        <v>2300</v>
      </c>
    </row>
    <row r="646">
      <c r="A646" s="71" t="str">
        <f>IFERROR(__xludf.DUMMYFUNCTION("""COMPUTED_VALUE"""),"Challenger")</f>
        <v>Challenger</v>
      </c>
      <c r="B646" s="71" t="str">
        <f>IFERROR(__xludf.DUMMYFUNCTION("""COMPUTED_VALUE"""),"RSC006928")</f>
        <v>RSC006928</v>
      </c>
      <c r="C646" s="30" t="str">
        <f>IFERROR(__xludf.DUMMYFUNCTION("""COMPUTED_VALUE"""),"Thunderbolt")</f>
        <v>Thunderbolt</v>
      </c>
      <c r="D646" s="30" t="str">
        <f>IFERROR(__xludf.DUMMYFUNCTION("""COMPUTED_VALUE"""),"Havarti Hustlers")</f>
        <v>Havarti Hustlers</v>
      </c>
      <c r="E646" s="30">
        <f>IFERROR(__xludf.DUMMYFUNCTION("""COMPUTED_VALUE"""),28.0)</f>
        <v>28</v>
      </c>
      <c r="F646" s="30">
        <f>IFERROR(__xludf.DUMMYFUNCTION("""COMPUTED_VALUE"""),14.0)</f>
        <v>14</v>
      </c>
      <c r="G646" s="42">
        <f>IFERROR(__xludf.DUMMYFUNCTION("""COMPUTED_VALUE"""),14.0)</f>
        <v>14</v>
      </c>
      <c r="H646" s="42">
        <f>IFERROR(__xludf.DUMMYFUNCTION("""COMPUTED_VALUE"""),0.5)</f>
        <v>0.5</v>
      </c>
      <c r="I646" s="42">
        <f>IFERROR(__xludf.DUMMYFUNCTION("""COMPUTED_VALUE"""),0.19)</f>
        <v>0.19</v>
      </c>
      <c r="J646" s="30">
        <f>IFERROR(__xludf.DUMMYFUNCTION("""COMPUTED_VALUE"""),368.07142857142856)</f>
        <v>368.0714286</v>
      </c>
      <c r="K646" s="30">
        <f>IFERROR(__xludf.DUMMYFUNCTION("""COMPUTED_VALUE"""),0.6785714285714286)</f>
        <v>0.6785714286</v>
      </c>
      <c r="L646" s="30">
        <f>IFERROR(__xludf.DUMMYFUNCTION("""COMPUTED_VALUE"""),0.75)</f>
        <v>0.75</v>
      </c>
      <c r="M646" s="30">
        <f>IFERROR(__xludf.DUMMYFUNCTION("""COMPUTED_VALUE"""),1.4285714285714286)</f>
        <v>1.428571429</v>
      </c>
      <c r="N646" s="30">
        <f>IFERROR(__xludf.DUMMYFUNCTION("""COMPUTED_VALUE"""),3.5714285714285716)</f>
        <v>3.571428571</v>
      </c>
      <c r="O646" s="30">
        <f>IFERROR(__xludf.DUMMYFUNCTION("""COMPUTED_VALUE"""),350.4166666666667)</f>
        <v>350.4166667</v>
      </c>
      <c r="P646" s="30">
        <f>IFERROR(__xludf.DUMMYFUNCTION("""COMPUTED_VALUE"""),0.7380952380952382)</f>
        <v>0.7380952381</v>
      </c>
      <c r="Q646" s="30">
        <f>IFERROR(__xludf.DUMMYFUNCTION("""COMPUTED_VALUE"""),0.4761904761904763)</f>
        <v>0.4761904762</v>
      </c>
      <c r="R646" s="30">
        <f>IFERROR(__xludf.DUMMYFUNCTION("""COMPUTED_VALUE"""),1.5357142857142854)</f>
        <v>1.535714286</v>
      </c>
      <c r="S646" s="30">
        <f>IFERROR(__xludf.DUMMYFUNCTION("""COMPUTED_VALUE"""),2.2857142857142856)</f>
        <v>2.285714286</v>
      </c>
      <c r="T646" s="30">
        <f>IFERROR(__xludf.DUMMYFUNCTION("""COMPUTED_VALUE"""),332.235056851065)</f>
        <v>332.2350569</v>
      </c>
      <c r="U646" s="30">
        <f>IFERROR(__xludf.DUMMYFUNCTION("""COMPUTED_VALUE"""),0.6955860728631128)</f>
        <v>0.6955860729</v>
      </c>
      <c r="V646" s="30">
        <f>IFERROR(__xludf.DUMMYFUNCTION("""COMPUTED_VALUE"""),0.48928265245074215)</f>
        <v>0.4892826525</v>
      </c>
      <c r="W646" s="30">
        <f>IFERROR(__xludf.DUMMYFUNCTION("""COMPUTED_VALUE"""),1.3061638806335873)</f>
        <v>1.306163881</v>
      </c>
      <c r="X646" s="30">
        <f>IFERROR(__xludf.DUMMYFUNCTION("""COMPUTED_VALUE"""),2.3609242090825857)</f>
        <v>2.360924209</v>
      </c>
      <c r="Y646" s="30">
        <f>IFERROR(__xludf.DUMMYFUNCTION("""COMPUTED_VALUE"""),343.30086247753104)</f>
        <v>343.3008625</v>
      </c>
      <c r="Z646" s="30">
        <f>IFERROR(__xludf.DUMMYFUNCTION("""COMPUTED_VALUE"""),0.8116936826196335)</f>
        <v>0.8116936826</v>
      </c>
      <c r="AA646" s="30">
        <f>IFERROR(__xludf.DUMMYFUNCTION("""COMPUTED_VALUE"""),0.585422080559087)</f>
        <v>0.5854220806</v>
      </c>
      <c r="AB646" s="30">
        <f>IFERROR(__xludf.DUMMYFUNCTION("""COMPUTED_VALUE"""),1.1864403361749076)</f>
        <v>1.186440336</v>
      </c>
      <c r="AC646" s="30">
        <f>IFERROR(__xludf.DUMMYFUNCTION("""COMPUTED_VALUE"""),2.5748474111637107)</f>
        <v>2.574847411</v>
      </c>
      <c r="AD646" s="30">
        <f>IFERROR(__xludf.DUMMYFUNCTION("""COMPUTED_VALUE"""),1.0721541038817481)</f>
        <v>1.072154104</v>
      </c>
      <c r="AE646" s="30">
        <f>IFERROR(__xludf.DUMMYFUNCTION("""COMPUTED_VALUE"""),0.8359944682351469)</f>
        <v>0.8359944682</v>
      </c>
      <c r="AF646" s="30">
        <f>IFERROR(__xludf.DUMMYFUNCTION("""COMPUTED_VALUE"""),1.2811269422631593)</f>
        <v>1.281126942</v>
      </c>
      <c r="AG646" s="30">
        <f>IFERROR(__xludf.DUMMYFUNCTION("""COMPUTED_VALUE"""),1.2040819795263817)</f>
        <v>1.20408198</v>
      </c>
      <c r="AH646" s="30">
        <f>IFERROR(__xludf.DUMMYFUNCTION("""COMPUTED_VALUE"""),1.3870447452318941)</f>
        <v>1.387044745</v>
      </c>
      <c r="AI646" s="30">
        <f>IFERROR(__xludf.DUMMYFUNCTION("""COMPUTED_VALUE"""),1.054725139447738)</f>
        <v>1.054725139</v>
      </c>
      <c r="AJ646" s="30">
        <f>IFERROR(__xludf.DUMMYFUNCTION("""COMPUTED_VALUE"""),1.061112731968817)</f>
        <v>1.061112732</v>
      </c>
      <c r="AK646" s="30">
        <f>IFERROR(__xludf.DUMMYFUNCTION("""COMPUTED_VALUE"""),0.9732421000526196)</f>
        <v>0.9732421001</v>
      </c>
      <c r="AL646" s="30">
        <f>IFERROR(__xludf.DUMMYFUNCTION("""COMPUTED_VALUE"""),1.1757439540965937)</f>
        <v>1.175743954</v>
      </c>
      <c r="AM646" s="30">
        <f>IFERROR(__xludf.DUMMYFUNCTION("""COMPUTED_VALUE"""),0.9681438637127935)</f>
        <v>0.9681438637</v>
      </c>
      <c r="AN646" s="30">
        <f>IFERROR(__xludf.DUMMYFUNCTION("""COMPUTED_VALUE"""),1.1197386160039382)</f>
        <v>1.119738616</v>
      </c>
      <c r="AO646" s="30">
        <f>IFERROR(__xludf.DUMMYFUNCTION("""COMPUTED_VALUE"""),0.8948637575789824)</f>
        <v>0.8948637576</v>
      </c>
      <c r="AP646" s="30">
        <f>IFERROR(__xludf.DUMMYFUNCTION("""COMPUTED_VALUE"""),1.4545543282537043)</f>
        <v>1.454554328</v>
      </c>
      <c r="AQ646" s="30">
        <f>IFERROR(__xludf.DUMMYFUNCTION("""COMPUTED_VALUE"""),1.1912682716241452)</f>
        <v>1.191268272</v>
      </c>
      <c r="AR646" s="30">
        <f>IFERROR(__xludf.DUMMYFUNCTION("""COMPUTED_VALUE"""),1.4888783525013911)</f>
        <v>1.488878353</v>
      </c>
      <c r="AS646" s="30">
        <f>IFERROR(__xludf.DUMMYFUNCTION("""COMPUTED_VALUE"""),64.0)</f>
        <v>64</v>
      </c>
      <c r="AT646" s="30">
        <f>IFERROR(__xludf.DUMMYFUNCTION("""COMPUTED_VALUE"""),0.5122194438387684)</f>
        <v>0.5122194438</v>
      </c>
      <c r="AU646" s="30">
        <f>IFERROR(__xludf.DUMMYFUNCTION("""COMPUTED_VALUE"""),3.882610074262686)</f>
        <v>3.882610074</v>
      </c>
      <c r="AV646" s="32">
        <f>IFERROR(__xludf.DUMMYFUNCTION("""COMPUTED_VALUE"""),73.25466965630255)</f>
        <v>73.25466966</v>
      </c>
      <c r="AW646" s="32">
        <f>IFERROR(__xludf.DUMMYFUNCTION("""COMPUTED_VALUE"""),5.677392682668324)</f>
        <v>5.677392683</v>
      </c>
      <c r="AX646" s="32">
        <f>IFERROR(__xludf.DUMMYFUNCTION("""COMPUTED_VALUE"""),71.26862827867332)</f>
        <v>71.26862828</v>
      </c>
      <c r="AY646" s="32">
        <f>IFERROR(__xludf.DUMMYFUNCTION("""COMPUTED_VALUE"""),5.064432918162619)</f>
        <v>5.064432918</v>
      </c>
      <c r="AZ646" s="30">
        <f>IFERROR(__xludf.DUMMYFUNCTION("""COMPUTED_VALUE"""),0.612959764505705)</f>
        <v>0.6129597645</v>
      </c>
      <c r="BA646" s="30">
        <f>IFERROR(__xludf.DUMMYFUNCTION("""COMPUTED_VALUE"""),2300.0)</f>
        <v>2300</v>
      </c>
    </row>
    <row r="647">
      <c r="A647" s="71" t="str">
        <f>IFERROR(__xludf.DUMMYFUNCTION("""COMPUTED_VALUE"""),"Challenger")</f>
        <v>Challenger</v>
      </c>
      <c r="B647" s="71" t="str">
        <f>IFERROR(__xludf.DUMMYFUNCTION("""COMPUTED_VALUE"""),"RSC004763")</f>
        <v>RSC004763</v>
      </c>
      <c r="C647" s="30" t="str">
        <f>IFERROR(__xludf.DUMMYFUNCTION("""COMPUTED_VALUE"""),"Rmuru-")</f>
        <v>Rmuru-</v>
      </c>
      <c r="D647" s="30" t="str">
        <f>IFERROR(__xludf.DUMMYFUNCTION("""COMPUTED_VALUE"""),"Warbirds")</f>
        <v>Warbirds</v>
      </c>
      <c r="E647" s="30">
        <f>IFERROR(__xludf.DUMMYFUNCTION("""COMPUTED_VALUE"""),36.0)</f>
        <v>36</v>
      </c>
      <c r="F647" s="30">
        <f>IFERROR(__xludf.DUMMYFUNCTION("""COMPUTED_VALUE"""),18.0)</f>
        <v>18</v>
      </c>
      <c r="G647" s="42">
        <f>IFERROR(__xludf.DUMMYFUNCTION("""COMPUTED_VALUE"""),18.0)</f>
        <v>18</v>
      </c>
      <c r="H647" s="42">
        <f>IFERROR(__xludf.DUMMYFUNCTION("""COMPUTED_VALUE"""),0.5)</f>
        <v>0.5</v>
      </c>
      <c r="I647" s="42">
        <f>IFERROR(__xludf.DUMMYFUNCTION("""COMPUTED_VALUE"""),0.2626262626262626)</f>
        <v>0.2626262626</v>
      </c>
      <c r="J647" s="30">
        <f>IFERROR(__xludf.DUMMYFUNCTION("""COMPUTED_VALUE"""),366.0)</f>
        <v>366</v>
      </c>
      <c r="K647" s="30">
        <f>IFERROR(__xludf.DUMMYFUNCTION("""COMPUTED_VALUE"""),0.7222222222222222)</f>
        <v>0.7222222222</v>
      </c>
      <c r="L647" s="30">
        <f>IFERROR(__xludf.DUMMYFUNCTION("""COMPUTED_VALUE"""),0.6388888888888888)</f>
        <v>0.6388888889</v>
      </c>
      <c r="M647" s="30">
        <f>IFERROR(__xludf.DUMMYFUNCTION("""COMPUTED_VALUE"""),1.6388888888888888)</f>
        <v>1.638888889</v>
      </c>
      <c r="N647" s="30">
        <f>IFERROR(__xludf.DUMMYFUNCTION("""COMPUTED_VALUE"""),2.75)</f>
        <v>2.75</v>
      </c>
      <c r="O647" s="30">
        <f>IFERROR(__xludf.DUMMYFUNCTION("""COMPUTED_VALUE"""),363.84259259259244)</f>
        <v>363.8425926</v>
      </c>
      <c r="P647" s="30">
        <f>IFERROR(__xludf.DUMMYFUNCTION("""COMPUTED_VALUE"""),0.8888888888888888)</f>
        <v>0.8888888889</v>
      </c>
      <c r="Q647" s="30">
        <f>IFERROR(__xludf.DUMMYFUNCTION("""COMPUTED_VALUE"""),0.6759259259259259)</f>
        <v>0.6759259259</v>
      </c>
      <c r="R647" s="30">
        <f>IFERROR(__xludf.DUMMYFUNCTION("""COMPUTED_VALUE"""),1.2777777777777777)</f>
        <v>1.277777778</v>
      </c>
      <c r="S647" s="30">
        <f>IFERROR(__xludf.DUMMYFUNCTION("""COMPUTED_VALUE"""),2.824074074074073)</f>
        <v>2.824074074</v>
      </c>
      <c r="T647" s="30">
        <f>IFERROR(__xludf.DUMMYFUNCTION("""COMPUTED_VALUE"""),336.5779210598363)</f>
        <v>336.5779211</v>
      </c>
      <c r="U647" s="30">
        <f>IFERROR(__xludf.DUMMYFUNCTION("""COMPUTED_VALUE"""),0.7660254069634652)</f>
        <v>0.766025407</v>
      </c>
      <c r="V647" s="30">
        <f>IFERROR(__xludf.DUMMYFUNCTION("""COMPUTED_VALUE"""),0.5368173067554889)</f>
        <v>0.5368173068</v>
      </c>
      <c r="W647" s="30">
        <f>IFERROR(__xludf.DUMMYFUNCTION("""COMPUTED_VALUE"""),1.2248740454415294)</f>
        <v>1.224874045</v>
      </c>
      <c r="X647" s="30">
        <f>IFERROR(__xludf.DUMMYFUNCTION("""COMPUTED_VALUE"""),2.5057444584639494)</f>
        <v>2.505744458</v>
      </c>
      <c r="Y647" s="30">
        <f>IFERROR(__xludf.DUMMYFUNCTION("""COMPUTED_VALUE"""),327.89358036645467)</f>
        <v>327.8935804</v>
      </c>
      <c r="Z647" s="30">
        <f>IFERROR(__xludf.DUMMYFUNCTION("""COMPUTED_VALUE"""),0.7176377014439153)</f>
        <v>0.7176377014</v>
      </c>
      <c r="AA647" s="30">
        <f>IFERROR(__xludf.DUMMYFUNCTION("""COMPUTED_VALUE"""),0.4973248626303914)</f>
        <v>0.4973248626</v>
      </c>
      <c r="AB647" s="30">
        <f>IFERROR(__xludf.DUMMYFUNCTION("""COMPUTED_VALUE"""),1.255788088900334)</f>
        <v>1.255788089</v>
      </c>
      <c r="AC647" s="30">
        <f>IFERROR(__xludf.DUMMYFUNCTION("""COMPUTED_VALUE"""),2.3346163311163863)</f>
        <v>2.334616331</v>
      </c>
      <c r="AD647" s="30">
        <f>IFERROR(__xludf.DUMMYFUNCTION("""COMPUTED_VALUE"""),1.1162158148718786)</f>
        <v>1.116215815</v>
      </c>
      <c r="AE647" s="30">
        <f>IFERROR(__xludf.DUMMYFUNCTION("""COMPUTED_VALUE"""),1.0063883499558102)</f>
        <v>1.00638835</v>
      </c>
      <c r="AF647" s="30">
        <f>IFERROR(__xludf.DUMMYFUNCTION("""COMPUTED_VALUE"""),1.2846510136447913)</f>
        <v>1.284651014</v>
      </c>
      <c r="AG647" s="30">
        <f>IFERROR(__xludf.DUMMYFUNCTION("""COMPUTED_VALUE"""),1.3050680312822744)</f>
        <v>1.305068031</v>
      </c>
      <c r="AH647" s="30">
        <f>IFERROR(__xludf.DUMMYFUNCTION("""COMPUTED_VALUE"""),1.1779237399084679)</f>
        <v>1.17792374</v>
      </c>
      <c r="AI647" s="30">
        <f>IFERROR(__xludf.DUMMYFUNCTION("""COMPUTED_VALUE"""),1.0810055259920306)</f>
        <v>1.081005526</v>
      </c>
      <c r="AJ647" s="30">
        <f>IFERROR(__xludf.DUMMYFUNCTION("""COMPUTED_VALUE"""),1.1603908706010888)</f>
        <v>1.160390871</v>
      </c>
      <c r="AK647" s="30">
        <f>IFERROR(__xludf.DUMMYFUNCTION("""COMPUTED_VALUE"""),1.2591358687953007)</f>
        <v>1.259135869</v>
      </c>
      <c r="AL647" s="30">
        <f>IFERROR(__xludf.DUMMYFUNCTION("""COMPUTED_VALUE"""),1.0431911611917437)</f>
        <v>1.043191161</v>
      </c>
      <c r="AM647" s="30">
        <f>IFERROR(__xludf.DUMMYFUNCTION("""COMPUTED_VALUE"""),1.1270399359898269)</f>
        <v>1.127039936</v>
      </c>
      <c r="AN647" s="30">
        <f>IFERROR(__xludf.DUMMYFUNCTION("""COMPUTED_VALUE"""),1.1134369626245255)</f>
        <v>1.113436963</v>
      </c>
      <c r="AO647" s="30">
        <f>IFERROR(__xludf.DUMMYFUNCTION("""COMPUTED_VALUE"""),0.9524280928618408)</f>
        <v>0.9524280929</v>
      </c>
      <c r="AP647" s="30">
        <f>IFERROR(__xludf.DUMMYFUNCTION("""COMPUTED_VALUE"""),1.2390647981420444)</f>
        <v>1.239064798</v>
      </c>
      <c r="AQ647" s="30">
        <f>IFERROR(__xludf.DUMMYFUNCTION("""COMPUTED_VALUE"""),1.3666494338354775)</f>
        <v>1.366649434</v>
      </c>
      <c r="AR647" s="30">
        <f>IFERROR(__xludf.DUMMYFUNCTION("""COMPUTED_VALUE"""),1.146436331426071)</f>
        <v>1.146436331</v>
      </c>
      <c r="AS647" s="30">
        <f>IFERROR(__xludf.DUMMYFUNCTION("""COMPUTED_VALUE"""),82.0)</f>
        <v>82</v>
      </c>
      <c r="AT647" s="30">
        <f>IFERROR(__xludf.DUMMYFUNCTION("""COMPUTED_VALUE"""),0.43797807717850157)</f>
        <v>0.4379780772</v>
      </c>
      <c r="AU647" s="30">
        <f>IFERROR(__xludf.DUMMYFUNCTION("""COMPUTED_VALUE"""),3.3810654782215765)</f>
        <v>3.381065478</v>
      </c>
      <c r="AV647" s="32">
        <f>IFERROR(__xludf.DUMMYFUNCTION("""COMPUTED_VALUE"""),59.99274837503576)</f>
        <v>59.99274838</v>
      </c>
      <c r="AW647" s="32">
        <f>IFERROR(__xludf.DUMMYFUNCTION("""COMPUTED_VALUE"""),2.901198914929645)</f>
        <v>2.901198915</v>
      </c>
      <c r="AX647" s="32">
        <f>IFERROR(__xludf.DUMMYFUNCTION("""COMPUTED_VALUE"""),54.288915524578364)</f>
        <v>54.28891552</v>
      </c>
      <c r="AY647" s="32">
        <f>IFERROR(__xludf.DUMMYFUNCTION("""COMPUTED_VALUE"""),2.315387998849585)</f>
        <v>2.315387999</v>
      </c>
      <c r="AZ647" s="30">
        <f>IFERROR(__xludf.DUMMYFUNCTION("""COMPUTED_VALUE"""),0.5858109160800598)</f>
        <v>0.5858109161</v>
      </c>
      <c r="BA647" s="30">
        <f>IFERROR(__xludf.DUMMYFUNCTION("""COMPUTED_VALUE"""),2300.0)</f>
        <v>2300</v>
      </c>
    </row>
    <row r="648">
      <c r="A648" s="71" t="str">
        <f>IFERROR(__xludf.DUMMYFUNCTION("""COMPUTED_VALUE"""),"Challenger")</f>
        <v>Challenger</v>
      </c>
      <c r="B648" s="71" t="str">
        <f>IFERROR(__xludf.DUMMYFUNCTION("""COMPUTED_VALUE"""),"RSC004028")</f>
        <v>RSC004028</v>
      </c>
      <c r="C648" s="30" t="str">
        <f>IFERROR(__xludf.DUMMYFUNCTION("""COMPUTED_VALUE"""),"parker on 3 legs")</f>
        <v>parker on 3 legs</v>
      </c>
      <c r="D648" s="30" t="str">
        <f>IFERROR(__xludf.DUMMYFUNCTION("""COMPUTED_VALUE"""),"Solstice Sake")</f>
        <v>Solstice Sake</v>
      </c>
      <c r="E648" s="30">
        <f>IFERROR(__xludf.DUMMYFUNCTION("""COMPUTED_VALUE"""),21.0)</f>
        <v>21</v>
      </c>
      <c r="F648" s="30">
        <f>IFERROR(__xludf.DUMMYFUNCTION("""COMPUTED_VALUE"""),12.0)</f>
        <v>12</v>
      </c>
      <c r="G648" s="42">
        <f>IFERROR(__xludf.DUMMYFUNCTION("""COMPUTED_VALUE"""),9.0)</f>
        <v>9</v>
      </c>
      <c r="H648" s="42">
        <f>IFERROR(__xludf.DUMMYFUNCTION("""COMPUTED_VALUE"""),0.5714285714285714)</f>
        <v>0.5714285714</v>
      </c>
      <c r="I648" s="42">
        <f>IFERROR(__xludf.DUMMYFUNCTION("""COMPUTED_VALUE"""),0.25490196078431376)</f>
        <v>0.2549019608</v>
      </c>
      <c r="J648" s="30">
        <f>IFERROR(__xludf.DUMMYFUNCTION("""COMPUTED_VALUE"""),395.6666666666667)</f>
        <v>395.6666667</v>
      </c>
      <c r="K648" s="30">
        <f>IFERROR(__xludf.DUMMYFUNCTION("""COMPUTED_VALUE"""),0.6190476190476191)</f>
        <v>0.619047619</v>
      </c>
      <c r="L648" s="30">
        <f>IFERROR(__xludf.DUMMYFUNCTION("""COMPUTED_VALUE"""),0.8095238095238095)</f>
        <v>0.8095238095</v>
      </c>
      <c r="M648" s="30">
        <f>IFERROR(__xludf.DUMMYFUNCTION("""COMPUTED_VALUE"""),1.8095238095238095)</f>
        <v>1.80952381</v>
      </c>
      <c r="N648" s="30">
        <f>IFERROR(__xludf.DUMMYFUNCTION("""COMPUTED_VALUE"""),2.4285714285714284)</f>
        <v>2.428571429</v>
      </c>
      <c r="O648" s="30">
        <f>IFERROR(__xludf.DUMMYFUNCTION("""COMPUTED_VALUE"""),336.95238095238096)</f>
        <v>336.952381</v>
      </c>
      <c r="P648" s="30">
        <f>IFERROR(__xludf.DUMMYFUNCTION("""COMPUTED_VALUE"""),0.7936507936507935)</f>
        <v>0.7936507937</v>
      </c>
      <c r="Q648" s="30">
        <f>IFERROR(__xludf.DUMMYFUNCTION("""COMPUTED_VALUE"""),0.5396825396825397)</f>
        <v>0.5396825397</v>
      </c>
      <c r="R648" s="30">
        <f>IFERROR(__xludf.DUMMYFUNCTION("""COMPUTED_VALUE"""),1.1269841269841272)</f>
        <v>1.126984127</v>
      </c>
      <c r="S648" s="30">
        <f>IFERROR(__xludf.DUMMYFUNCTION("""COMPUTED_VALUE"""),2.5238095238095237)</f>
        <v>2.523809524</v>
      </c>
      <c r="T648" s="30">
        <f>IFERROR(__xludf.DUMMYFUNCTION("""COMPUTED_VALUE"""),336.3579884780663)</f>
        <v>336.3579885</v>
      </c>
      <c r="U648" s="30">
        <f>IFERROR(__xludf.DUMMYFUNCTION("""COMPUTED_VALUE"""),0.7854926128422612)</f>
        <v>0.7854926128</v>
      </c>
      <c r="V648" s="30">
        <f>IFERROR(__xludf.DUMMYFUNCTION("""COMPUTED_VALUE"""),0.5512219811676197)</f>
        <v>0.5512219812</v>
      </c>
      <c r="W648" s="30">
        <f>IFERROR(__xludf.DUMMYFUNCTION("""COMPUTED_VALUE"""),1.2310489419994153)</f>
        <v>1.231048942</v>
      </c>
      <c r="X648" s="30">
        <f>IFERROR(__xludf.DUMMYFUNCTION("""COMPUTED_VALUE"""),2.4141594119157537)</f>
        <v>2.414159412</v>
      </c>
      <c r="Y648" s="30">
        <f>IFERROR(__xludf.DUMMYFUNCTION("""COMPUTED_VALUE"""),336.0754679064384)</f>
        <v>336.0754679</v>
      </c>
      <c r="Z648" s="30">
        <f>IFERROR(__xludf.DUMMYFUNCTION("""COMPUTED_VALUE"""),0.8086181002241197)</f>
        <v>0.8086181002</v>
      </c>
      <c r="AA648" s="30">
        <f>IFERROR(__xludf.DUMMYFUNCTION("""COMPUTED_VALUE"""),0.5554483950155651)</f>
        <v>0.555448395</v>
      </c>
      <c r="AB648" s="30">
        <f>IFERROR(__xludf.DUMMYFUNCTION("""COMPUTED_VALUE"""),1.142693272625434)</f>
        <v>1.142693273</v>
      </c>
      <c r="AC648" s="30">
        <f>IFERROR(__xludf.DUMMYFUNCTION("""COMPUTED_VALUE"""),2.4858586286369517)</f>
        <v>2.485858629</v>
      </c>
      <c r="AD648" s="30">
        <f>IFERROR(__xludf.DUMMYFUNCTION("""COMPUTED_VALUE"""),1.177314932064063)</f>
        <v>1.177314932</v>
      </c>
      <c r="AE648" s="30">
        <f>IFERROR(__xludf.DUMMYFUNCTION("""COMPUTED_VALUE"""),0.7655624068717253)</f>
        <v>0.7655624069</v>
      </c>
      <c r="AF648" s="30">
        <f>IFERROR(__xludf.DUMMYFUNCTION("""COMPUTED_VALUE"""),1.4574239781557468)</f>
        <v>1.457423978</v>
      </c>
      <c r="AG648" s="30">
        <f>IFERROR(__xludf.DUMMYFUNCTION("""COMPUTED_VALUE"""),1.5835603944410002)</f>
        <v>1.583560394</v>
      </c>
      <c r="AH648" s="30">
        <f>IFERROR(__xludf.DUMMYFUNCTION("""COMPUTED_VALUE"""),0.9769547634746489)</f>
        <v>0.9769547635</v>
      </c>
      <c r="AI648" s="30">
        <f>IFERROR(__xludf.DUMMYFUNCTION("""COMPUTED_VALUE"""),1.0017671424335843)</f>
        <v>1.001767142</v>
      </c>
      <c r="AJ648" s="30">
        <f>IFERROR(__xludf.DUMMYFUNCTION("""COMPUTED_VALUE"""),1.0103860694233804)</f>
        <v>1.010386069</v>
      </c>
      <c r="AK648" s="30">
        <f>IFERROR(__xludf.DUMMYFUNCTION("""COMPUTED_VALUE"""),0.9790657087719239)</f>
        <v>0.9790657088</v>
      </c>
      <c r="AL648" s="30">
        <f>IFERROR(__xludf.DUMMYFUNCTION("""COMPUTED_VALUE"""),0.9154665493264057)</f>
        <v>0.9154665493</v>
      </c>
      <c r="AM648" s="30">
        <f>IFERROR(__xludf.DUMMYFUNCTION("""COMPUTED_VALUE"""),1.0454195822167176)</f>
        <v>1.045419582</v>
      </c>
      <c r="AN648" s="30">
        <f>IFERROR(__xludf.DUMMYFUNCTION("""COMPUTED_VALUE"""),1.2036882282653112)</f>
        <v>1.203688228</v>
      </c>
      <c r="AO648" s="30">
        <f>IFERROR(__xludf.DUMMYFUNCTION("""COMPUTED_VALUE"""),0.8163669367387207)</f>
        <v>0.8163669367</v>
      </c>
      <c r="AP648" s="30">
        <f>IFERROR(__xludf.DUMMYFUNCTION("""COMPUTED_VALUE"""),1.5699951479563794)</f>
        <v>1.569995148</v>
      </c>
      <c r="AQ648" s="30">
        <f>IFERROR(__xludf.DUMMYFUNCTION("""COMPUTED_VALUE"""),1.5089398107239171)</f>
        <v>1.508939811</v>
      </c>
      <c r="AR648" s="30">
        <f>IFERROR(__xludf.DUMMYFUNCTION("""COMPUTED_VALUE"""),1.0124372797009458)</f>
        <v>1.01243728</v>
      </c>
      <c r="AS648" s="30">
        <f>IFERROR(__xludf.DUMMYFUNCTION("""COMPUTED_VALUE"""),57.0)</f>
        <v>57</v>
      </c>
      <c r="AT648" s="30">
        <f>IFERROR(__xludf.DUMMYFUNCTION("""COMPUTED_VALUE"""),0.5520814512577507)</f>
        <v>0.5520814513</v>
      </c>
      <c r="AU648" s="30">
        <f>IFERROR(__xludf.DUMMYFUNCTION("""COMPUTED_VALUE"""),3.477734407862947)</f>
        <v>3.477734408</v>
      </c>
      <c r="AV648" s="32">
        <f>IFERROR(__xludf.DUMMYFUNCTION("""COMPUTED_VALUE"""),62.54888345328729)</f>
        <v>62.54888345</v>
      </c>
      <c r="AW648" s="32">
        <f>IFERROR(__xludf.DUMMYFUNCTION("""COMPUTED_VALUE"""),3.248340833116206)</f>
        <v>3.248340833</v>
      </c>
      <c r="AX648" s="32">
        <f>IFERROR(__xludf.DUMMYFUNCTION("""COMPUTED_VALUE"""),65.89451938609639)</f>
        <v>65.89451939</v>
      </c>
      <c r="AY648" s="32">
        <f>IFERROR(__xludf.DUMMYFUNCTION("""COMPUTED_VALUE"""),3.8101093367069927)</f>
        <v>3.810109337</v>
      </c>
      <c r="AZ648" s="30">
        <f>IFERROR(__xludf.DUMMYFUNCTION("""COMPUTED_VALUE"""),0.5617685035907867)</f>
        <v>0.5617685036</v>
      </c>
      <c r="BA648" s="30">
        <f>IFERROR(__xludf.DUMMYFUNCTION("""COMPUTED_VALUE"""),2300.0)</f>
        <v>2300</v>
      </c>
    </row>
    <row r="649">
      <c r="A649" s="71" t="str">
        <f>IFERROR(__xludf.DUMMYFUNCTION("""COMPUTED_VALUE"""),"Challenger")</f>
        <v>Challenger</v>
      </c>
      <c r="B649" s="71" t="str">
        <f>IFERROR(__xludf.DUMMYFUNCTION("""COMPUTED_VALUE"""),"RSC006159")</f>
        <v>RSC006159</v>
      </c>
      <c r="C649" s="30" t="str">
        <f>IFERROR(__xludf.DUMMYFUNCTION("""COMPUTED_VALUE"""),"Peter Potamus")</f>
        <v>Peter Potamus</v>
      </c>
      <c r="D649" s="30" t="str">
        <f>IFERROR(__xludf.DUMMYFUNCTION("""COMPUTED_VALUE"""),"Lions")</f>
        <v>Lions</v>
      </c>
      <c r="E649" s="30">
        <f>IFERROR(__xludf.DUMMYFUNCTION("""COMPUTED_VALUE"""),28.0)</f>
        <v>28</v>
      </c>
      <c r="F649" s="30">
        <f>IFERROR(__xludf.DUMMYFUNCTION("""COMPUTED_VALUE"""),13.0)</f>
        <v>13</v>
      </c>
      <c r="G649" s="42">
        <f>IFERROR(__xludf.DUMMYFUNCTION("""COMPUTED_VALUE"""),15.0)</f>
        <v>15</v>
      </c>
      <c r="H649" s="42">
        <f>IFERROR(__xludf.DUMMYFUNCTION("""COMPUTED_VALUE"""),0.4642857142857143)</f>
        <v>0.4642857143</v>
      </c>
      <c r="I649" s="42">
        <f>IFERROR(__xludf.DUMMYFUNCTION("""COMPUTED_VALUE"""),0.37037037037037035)</f>
        <v>0.3703703704</v>
      </c>
      <c r="J649" s="30">
        <f>IFERROR(__xludf.DUMMYFUNCTION("""COMPUTED_VALUE"""),331.92857142857144)</f>
        <v>331.9285714</v>
      </c>
      <c r="K649" s="30">
        <f>IFERROR(__xludf.DUMMYFUNCTION("""COMPUTED_VALUE"""),1.0714285714285714)</f>
        <v>1.071428571</v>
      </c>
      <c r="L649" s="30">
        <f>IFERROR(__xludf.DUMMYFUNCTION("""COMPUTED_VALUE"""),0.32142857142857145)</f>
        <v>0.3214285714</v>
      </c>
      <c r="M649" s="30">
        <f>IFERROR(__xludf.DUMMYFUNCTION("""COMPUTED_VALUE"""),0.9642857142857143)</f>
        <v>0.9642857143</v>
      </c>
      <c r="N649" s="30">
        <f>IFERROR(__xludf.DUMMYFUNCTION("""COMPUTED_VALUE"""),2.892857142857143)</f>
        <v>2.892857143</v>
      </c>
      <c r="O649" s="30">
        <f>IFERROR(__xludf.DUMMYFUNCTION("""COMPUTED_VALUE"""),331.5357142857143)</f>
        <v>331.5357143</v>
      </c>
      <c r="P649" s="30">
        <f>IFERROR(__xludf.DUMMYFUNCTION("""COMPUTED_VALUE"""),0.7261904761904762)</f>
        <v>0.7261904762</v>
      </c>
      <c r="Q649" s="30">
        <f>IFERROR(__xludf.DUMMYFUNCTION("""COMPUTED_VALUE"""),0.47619047619047616)</f>
        <v>0.4761904762</v>
      </c>
      <c r="R649" s="30">
        <f>IFERROR(__xludf.DUMMYFUNCTION("""COMPUTED_VALUE"""),1.345238095238095)</f>
        <v>1.345238095</v>
      </c>
      <c r="S649" s="30">
        <f>IFERROR(__xludf.DUMMYFUNCTION("""COMPUTED_VALUE"""),2.130952380952381)</f>
        <v>2.130952381</v>
      </c>
      <c r="T649" s="30">
        <f>IFERROR(__xludf.DUMMYFUNCTION("""COMPUTED_VALUE"""),331.82033562561344)</f>
        <v>331.8203356</v>
      </c>
      <c r="U649" s="30">
        <f>IFERROR(__xludf.DUMMYFUNCTION("""COMPUTED_VALUE"""),0.7413581609768752)</f>
        <v>0.741358161</v>
      </c>
      <c r="V649" s="30">
        <f>IFERROR(__xludf.DUMMYFUNCTION("""COMPUTED_VALUE"""),0.498349519776538)</f>
        <v>0.4983495198</v>
      </c>
      <c r="W649" s="30">
        <f>IFERROR(__xludf.DUMMYFUNCTION("""COMPUTED_VALUE"""),1.249928077636298)</f>
        <v>1.249928078</v>
      </c>
      <c r="X649" s="30">
        <f>IFERROR(__xludf.DUMMYFUNCTION("""COMPUTED_VALUE"""),2.302067859204363)</f>
        <v>2.302067859</v>
      </c>
      <c r="Y649" s="30">
        <f>IFERROR(__xludf.DUMMYFUNCTION("""COMPUTED_VALUE"""),340.48152921657623)</f>
        <v>340.4815292</v>
      </c>
      <c r="Z649" s="30">
        <f>IFERROR(__xludf.DUMMYFUNCTION("""COMPUTED_VALUE"""),0.8427618365492512)</f>
        <v>0.8427618365</v>
      </c>
      <c r="AA649" s="30">
        <f>IFERROR(__xludf.DUMMYFUNCTION("""COMPUTED_VALUE"""),0.586836242970047)</f>
        <v>0.586836243</v>
      </c>
      <c r="AB649" s="30">
        <f>IFERROR(__xludf.DUMMYFUNCTION("""COMPUTED_VALUE"""),1.1563631674733372)</f>
        <v>1.156363167</v>
      </c>
      <c r="AC649" s="30">
        <f>IFERROR(__xludf.DUMMYFUNCTION("""COMPUTED_VALUE"""),2.593218100642058)</f>
        <v>2.593218101</v>
      </c>
      <c r="AD649" s="30">
        <f>IFERROR(__xludf.DUMMYFUNCTION("""COMPUTED_VALUE"""),0.9748798185684712)</f>
        <v>0.9748798186</v>
      </c>
      <c r="AE649" s="30">
        <f>IFERROR(__xludf.DUMMYFUNCTION("""COMPUTED_VALUE"""),1.2713301966966286)</f>
        <v>1.271330197</v>
      </c>
      <c r="AF649" s="30">
        <f>IFERROR(__xludf.DUMMYFUNCTION("""COMPUTED_VALUE"""),0.5477312883774591)</f>
        <v>0.5477312884</v>
      </c>
      <c r="AG649" s="30">
        <f>IFERROR(__xludf.DUMMYFUNCTION("""COMPUTED_VALUE"""),0.8338952168397807)</f>
        <v>0.8338952168</v>
      </c>
      <c r="AH649" s="30">
        <f>IFERROR(__xludf.DUMMYFUNCTION("""COMPUTED_VALUE"""),1.1155471813731737)</f>
        <v>1.115547181</v>
      </c>
      <c r="AI649" s="30">
        <f>IFERROR(__xludf.DUMMYFUNCTION("""COMPUTED_VALUE"""),0.9991422426254782)</f>
        <v>0.9991422426</v>
      </c>
      <c r="AJ649" s="30">
        <f>IFERROR(__xludf.DUMMYFUNCTION("""COMPUTED_VALUE"""),0.9795406787369645)</f>
        <v>0.9795406787</v>
      </c>
      <c r="AK649" s="30">
        <f>IFERROR(__xludf.DUMMYFUNCTION("""COMPUTED_VALUE"""),0.955535136070768)</f>
        <v>0.9555351361</v>
      </c>
      <c r="AL649" s="30">
        <f>IFERROR(__xludf.DUMMYFUNCTION("""COMPUTED_VALUE"""),1.0762524014837997)</f>
        <v>1.076252401</v>
      </c>
      <c r="AM649" s="30">
        <f>IFERROR(__xludf.DUMMYFUNCTION("""COMPUTED_VALUE"""),0.9256687948759588)</f>
        <v>0.9256687949</v>
      </c>
      <c r="AN649" s="30">
        <f>IFERROR(__xludf.DUMMYFUNCTION("""COMPUTED_VALUE"""),1.0097856294528045)</f>
        <v>1.009785629</v>
      </c>
      <c r="AO649" s="30">
        <f>IFERROR(__xludf.DUMMYFUNCTION("""COMPUTED_VALUE"""),1.4129427751247088)</f>
        <v>1.412942775</v>
      </c>
      <c r="AP649" s="30">
        <f>IFERROR(__xludf.DUMMYFUNCTION("""COMPUTED_VALUE"""),0.6233804263944448)</f>
        <v>0.6233804264</v>
      </c>
      <c r="AQ649" s="30">
        <f>IFERROR(__xludf.DUMMYFUNCTION("""COMPUTED_VALUE"""),0.804106083346298)</f>
        <v>0.8041060833</v>
      </c>
      <c r="AR649" s="30">
        <f>IFERROR(__xludf.DUMMYFUNCTION("""COMPUTED_VALUE"""),1.2059914655261268)</f>
        <v>1.205991466</v>
      </c>
      <c r="AS649" s="30">
        <f>IFERROR(__xludf.DUMMYFUNCTION("""COMPUTED_VALUE"""),70.0)</f>
        <v>70</v>
      </c>
      <c r="AT649" s="30">
        <f>IFERROR(__xludf.DUMMYFUNCTION("""COMPUTED_VALUE"""),0.5533692251576388)</f>
        <v>0.5533692252</v>
      </c>
      <c r="AU649" s="30">
        <f>IFERROR(__xludf.DUMMYFUNCTION("""COMPUTED_VALUE"""),3.3196098877903886)</f>
        <v>3.319609888</v>
      </c>
      <c r="AV649" s="32">
        <f>IFERROR(__xludf.DUMMYFUNCTION("""COMPUTED_VALUE"""),58.36772996386064)</f>
        <v>58.36772996</v>
      </c>
      <c r="AW649" s="32">
        <f>IFERROR(__xludf.DUMMYFUNCTION("""COMPUTED_VALUE"""),2.7105983758912333)</f>
        <v>2.710598376</v>
      </c>
      <c r="AX649" s="32">
        <f>IFERROR(__xludf.DUMMYFUNCTION("""COMPUTED_VALUE"""),52.61329457543195)</f>
        <v>52.61329458</v>
      </c>
      <c r="AY649" s="32">
        <f>IFERROR(__xludf.DUMMYFUNCTION("""COMPUTED_VALUE"""),2.181626165641229)</f>
        <v>2.181626166</v>
      </c>
      <c r="AZ649" s="30">
        <f>IFERROR(__xludf.DUMMYFUNCTION("""COMPUTED_VALUE"""),0.5289722102500045)</f>
        <v>0.5289722103</v>
      </c>
      <c r="BA649" s="30">
        <f>IFERROR(__xludf.DUMMYFUNCTION("""COMPUTED_VALUE"""),2300.0)</f>
        <v>2300</v>
      </c>
    </row>
    <row r="650">
      <c r="A650" s="71" t="str">
        <f>IFERROR(__xludf.DUMMYFUNCTION("""COMPUTED_VALUE"""),"Challenger")</f>
        <v>Challenger</v>
      </c>
      <c r="B650" s="71" t="str">
        <f>IFERROR(__xludf.DUMMYFUNCTION("""COMPUTED_VALUE"""),"RSC000426")</f>
        <v>RSC000426</v>
      </c>
      <c r="C650" s="30" t="str">
        <f>IFERROR(__xludf.DUMMYFUNCTION("""COMPUTED_VALUE"""),"struttrl")</f>
        <v>struttrl</v>
      </c>
      <c r="D650" s="30" t="str">
        <f>IFERROR(__xludf.DUMMYFUNCTION("""COMPUTED_VALUE"""),"Void")</f>
        <v>Void</v>
      </c>
      <c r="E650" s="30">
        <f>IFERROR(__xludf.DUMMYFUNCTION("""COMPUTED_VALUE"""),36.0)</f>
        <v>36</v>
      </c>
      <c r="F650" s="30">
        <f>IFERROR(__xludf.DUMMYFUNCTION("""COMPUTED_VALUE"""),24.0)</f>
        <v>24</v>
      </c>
      <c r="G650" s="42">
        <f>IFERROR(__xludf.DUMMYFUNCTION("""COMPUTED_VALUE"""),12.0)</f>
        <v>12</v>
      </c>
      <c r="H650" s="42">
        <f>IFERROR(__xludf.DUMMYFUNCTION("""COMPUTED_VALUE"""),0.6666666666666666)</f>
        <v>0.6666666667</v>
      </c>
      <c r="I650" s="42">
        <f>IFERROR(__xludf.DUMMYFUNCTION("""COMPUTED_VALUE"""),0.4177215189873417)</f>
        <v>0.417721519</v>
      </c>
      <c r="J650" s="30">
        <f>IFERROR(__xludf.DUMMYFUNCTION("""COMPUTED_VALUE"""),342.55555555555554)</f>
        <v>342.5555556</v>
      </c>
      <c r="K650" s="30">
        <f>IFERROR(__xludf.DUMMYFUNCTION("""COMPUTED_VALUE"""),0.9166666666666666)</f>
        <v>0.9166666667</v>
      </c>
      <c r="L650" s="30">
        <f>IFERROR(__xludf.DUMMYFUNCTION("""COMPUTED_VALUE"""),0.6111111111111112)</f>
        <v>0.6111111111</v>
      </c>
      <c r="M650" s="30">
        <f>IFERROR(__xludf.DUMMYFUNCTION("""COMPUTED_VALUE"""),1.0277777777777777)</f>
        <v>1.027777778</v>
      </c>
      <c r="N650" s="30">
        <f>IFERROR(__xludf.DUMMYFUNCTION("""COMPUTED_VALUE"""),2.1944444444444446)</f>
        <v>2.194444444</v>
      </c>
      <c r="O650" s="30">
        <f>IFERROR(__xludf.DUMMYFUNCTION("""COMPUTED_VALUE"""),314.43518518518505)</f>
        <v>314.4351852</v>
      </c>
      <c r="P650" s="30">
        <f>IFERROR(__xludf.DUMMYFUNCTION("""COMPUTED_VALUE"""),0.6296296296296295)</f>
        <v>0.6296296296</v>
      </c>
      <c r="Q650" s="30">
        <f>IFERROR(__xludf.DUMMYFUNCTION("""COMPUTED_VALUE"""),0.45370370370370366)</f>
        <v>0.4537037037</v>
      </c>
      <c r="R650" s="30">
        <f>IFERROR(__xludf.DUMMYFUNCTION("""COMPUTED_VALUE"""),1.1296296296296298)</f>
        <v>1.12962963</v>
      </c>
      <c r="S650" s="30">
        <f>IFERROR(__xludf.DUMMYFUNCTION("""COMPUTED_VALUE"""),2.148148148148148)</f>
        <v>2.148148148</v>
      </c>
      <c r="T650" s="30">
        <f>IFERROR(__xludf.DUMMYFUNCTION("""COMPUTED_VALUE"""),332.07572617432675)</f>
        <v>332.0757262</v>
      </c>
      <c r="U650" s="30">
        <f>IFERROR(__xludf.DUMMYFUNCTION("""COMPUTED_VALUE"""),0.7988504842524182)</f>
        <v>0.7988504843</v>
      </c>
      <c r="V650" s="30">
        <f>IFERROR(__xludf.DUMMYFUNCTION("""COMPUTED_VALUE"""),0.5160258608086107)</f>
        <v>0.5160258608</v>
      </c>
      <c r="W650" s="30">
        <f>IFERROR(__xludf.DUMMYFUNCTION("""COMPUTED_VALUE"""),1.1976392066948265)</f>
        <v>1.197639207</v>
      </c>
      <c r="X650" s="30">
        <f>IFERROR(__xludf.DUMMYFUNCTION("""COMPUTED_VALUE"""),2.3643704430832138)</f>
        <v>2.364370443</v>
      </c>
      <c r="Y650" s="30">
        <f>IFERROR(__xludf.DUMMYFUNCTION("""COMPUTED_VALUE"""),332.14237991948704)</f>
        <v>332.1423799</v>
      </c>
      <c r="Z650" s="30">
        <f>IFERROR(__xludf.DUMMYFUNCTION("""COMPUTED_VALUE"""),0.7846304463507026)</f>
        <v>0.7846304464</v>
      </c>
      <c r="AA650" s="30">
        <f>IFERROR(__xludf.DUMMYFUNCTION("""COMPUTED_VALUE"""),0.5230243852729618)</f>
        <v>0.5230243853</v>
      </c>
      <c r="AB650" s="30">
        <f>IFERROR(__xludf.DUMMYFUNCTION("""COMPUTED_VALUE"""),1.1835554321391006)</f>
        <v>1.183555432</v>
      </c>
      <c r="AC650" s="30">
        <f>IFERROR(__xludf.DUMMYFUNCTION("""COMPUTED_VALUE"""),2.428558704371798)</f>
        <v>2.428558704</v>
      </c>
      <c r="AD650" s="30">
        <f>IFERROR(__xludf.DUMMYFUNCTION("""COMPUTED_VALUE"""),1.0313515415846441)</f>
        <v>1.031351542</v>
      </c>
      <c r="AE650" s="30">
        <f>IFERROR(__xludf.DUMMYFUNCTION("""COMPUTED_VALUE"""),1.1682782269411816)</f>
        <v>1.168278227</v>
      </c>
      <c r="AF650" s="30">
        <f>IFERROR(__xludf.DUMMYFUNCTION("""COMPUTED_VALUE"""),1.1684180094053889)</f>
        <v>1.168418009</v>
      </c>
      <c r="AG650" s="30">
        <f>IFERROR(__xludf.DUMMYFUNCTION("""COMPUTED_VALUE"""),0.8683816151476927)</f>
        <v>0.8683816151</v>
      </c>
      <c r="AH650" s="30">
        <f>IFERROR(__xludf.DUMMYFUNCTION("""COMPUTED_VALUE"""),0.9035995055396808)</f>
        <v>0.9035995055</v>
      </c>
      <c r="AI650" s="30">
        <f>IFERROR(__xludf.DUMMYFUNCTION("""COMPUTED_VALUE"""),0.9468779570480225)</f>
        <v>0.946877957</v>
      </c>
      <c r="AJ650" s="30">
        <f>IFERROR(__xludf.DUMMYFUNCTION("""COMPUTED_VALUE"""),0.7881695536791853)</f>
        <v>0.7881695537</v>
      </c>
      <c r="AK650" s="30">
        <f>IFERROR(__xludf.DUMMYFUNCTION("""COMPUTED_VALUE"""),0.8792266786644212)</f>
        <v>0.8792266787</v>
      </c>
      <c r="AL650" s="30">
        <f>IFERROR(__xludf.DUMMYFUNCTION("""COMPUTED_VALUE"""),0.9432136350538444)</f>
        <v>0.9432136351</v>
      </c>
      <c r="AM650" s="30">
        <f>IFERROR(__xludf.DUMMYFUNCTION("""COMPUTED_VALUE"""),0.9085497386555446)</f>
        <v>0.9085497387</v>
      </c>
      <c r="AN650" s="30">
        <f>IFERROR(__xludf.DUMMYFUNCTION("""COMPUTED_VALUE"""),1.0421148013877994)</f>
        <v>1.042114801</v>
      </c>
      <c r="AO650" s="30">
        <f>IFERROR(__xludf.DUMMYFUNCTION("""COMPUTED_VALUE"""),1.2088510409400286)</f>
        <v>1.208851041</v>
      </c>
      <c r="AP650" s="30">
        <f>IFERROR(__xludf.DUMMYFUNCTION("""COMPUTED_VALUE"""),1.1851924156141296)</f>
        <v>1.185192416</v>
      </c>
      <c r="AQ650" s="30">
        <f>IFERROR(__xludf.DUMMYFUNCTION("""COMPUTED_VALUE"""),0.8570513398629266)</f>
        <v>0.8570513399</v>
      </c>
      <c r="AR650" s="30">
        <f>IFERROR(__xludf.DUMMYFUNCTION("""COMPUTED_VALUE"""),0.9148330321480771)</f>
        <v>0.9148330321</v>
      </c>
      <c r="AS650" s="30">
        <f>IFERROR(__xludf.DUMMYFUNCTION("""COMPUTED_VALUE"""),94.0)</f>
        <v>94</v>
      </c>
      <c r="AT650" s="30">
        <f>IFERROR(__xludf.DUMMYFUNCTION("""COMPUTED_VALUE"""),0.6221246637083208)</f>
        <v>0.6221246637</v>
      </c>
      <c r="AU650" s="30">
        <f>IFERROR(__xludf.DUMMYFUNCTION("""COMPUTED_VALUE"""),3.498645549527923)</f>
        <v>3.49864555</v>
      </c>
      <c r="AV650" s="32">
        <f>IFERROR(__xludf.DUMMYFUNCTION("""COMPUTED_VALUE"""),63.10181915801094)</f>
        <v>63.10181916</v>
      </c>
      <c r="AW650" s="32">
        <f>IFERROR(__xludf.DUMMYFUNCTION("""COMPUTED_VALUE"""),3.3320675387471)</f>
        <v>3.332067539</v>
      </c>
      <c r="AX650" s="32">
        <f>IFERROR(__xludf.DUMMYFUNCTION("""COMPUTED_VALUE"""),59.21070690262819)</f>
        <v>59.2107069</v>
      </c>
      <c r="AY650" s="32">
        <f>IFERROR(__xludf.DUMMYFUNCTION("""COMPUTED_VALUE"""),2.8068051457680454)</f>
        <v>2.806805146</v>
      </c>
      <c r="AZ650" s="30">
        <f>IFERROR(__xludf.DUMMYFUNCTION("""COMPUTED_VALUE"""),0.5252623929790547)</f>
        <v>0.525262393</v>
      </c>
      <c r="BA650" s="30">
        <f>IFERROR(__xludf.DUMMYFUNCTION("""COMPUTED_VALUE"""),2300.0)</f>
        <v>2300</v>
      </c>
    </row>
    <row r="651">
      <c r="A651" s="71" t="str">
        <f>IFERROR(__xludf.DUMMYFUNCTION("""COMPUTED_VALUE"""),"Challenger")</f>
        <v>Challenger</v>
      </c>
      <c r="B651" s="71" t="str">
        <f>IFERROR(__xludf.DUMMYFUNCTION("""COMPUTED_VALUE"""),"RSC002877")</f>
        <v>RSC002877</v>
      </c>
      <c r="C651" s="30" t="str">
        <f>IFERROR(__xludf.DUMMYFUNCTION("""COMPUTED_VALUE"""),"robophant")</f>
        <v>robophant</v>
      </c>
      <c r="D651" s="30" t="str">
        <f>IFERROR(__xludf.DUMMYFUNCTION("""COMPUTED_VALUE"""),"Hydras")</f>
        <v>Hydras</v>
      </c>
      <c r="E651" s="30">
        <f>IFERROR(__xludf.DUMMYFUNCTION("""COMPUTED_VALUE"""),36.0)</f>
        <v>36</v>
      </c>
      <c r="F651" s="30">
        <f>IFERROR(__xludf.DUMMYFUNCTION("""COMPUTED_VALUE"""),17.0)</f>
        <v>17</v>
      </c>
      <c r="G651" s="42">
        <f>IFERROR(__xludf.DUMMYFUNCTION("""COMPUTED_VALUE"""),19.0)</f>
        <v>19</v>
      </c>
      <c r="H651" s="42">
        <f>IFERROR(__xludf.DUMMYFUNCTION("""COMPUTED_VALUE"""),0.4722222222222222)</f>
        <v>0.4722222222</v>
      </c>
      <c r="I651" s="42">
        <f>IFERROR(__xludf.DUMMYFUNCTION("""COMPUTED_VALUE"""),0.2197802197802198)</f>
        <v>0.2197802198</v>
      </c>
      <c r="J651" s="30">
        <f>IFERROR(__xludf.DUMMYFUNCTION("""COMPUTED_VALUE"""),342.27777777777777)</f>
        <v>342.2777778</v>
      </c>
      <c r="K651" s="30">
        <f>IFERROR(__xludf.DUMMYFUNCTION("""COMPUTED_VALUE"""),0.5555555555555556)</f>
        <v>0.5555555556</v>
      </c>
      <c r="L651" s="30">
        <f>IFERROR(__xludf.DUMMYFUNCTION("""COMPUTED_VALUE"""),0.4444444444444444)</f>
        <v>0.4444444444</v>
      </c>
      <c r="M651" s="30">
        <f>IFERROR(__xludf.DUMMYFUNCTION("""COMPUTED_VALUE"""),1.5277777777777777)</f>
        <v>1.527777778</v>
      </c>
      <c r="N651" s="30">
        <f>IFERROR(__xludf.DUMMYFUNCTION("""COMPUTED_VALUE"""),2.5277777777777777)</f>
        <v>2.527777778</v>
      </c>
      <c r="O651" s="30">
        <f>IFERROR(__xludf.DUMMYFUNCTION("""COMPUTED_VALUE"""),340.5648148148148)</f>
        <v>340.5648148</v>
      </c>
      <c r="P651" s="30">
        <f>IFERROR(__xludf.DUMMYFUNCTION("""COMPUTED_VALUE"""),0.7777777777777777)</f>
        <v>0.7777777778</v>
      </c>
      <c r="Q651" s="30">
        <f>IFERROR(__xludf.DUMMYFUNCTION("""COMPUTED_VALUE"""),0.5462962962962963)</f>
        <v>0.5462962963</v>
      </c>
      <c r="R651" s="30">
        <f>IFERROR(__xludf.DUMMYFUNCTION("""COMPUTED_VALUE"""),1.185185185185185)</f>
        <v>1.185185185</v>
      </c>
      <c r="S651" s="30">
        <f>IFERROR(__xludf.DUMMYFUNCTION("""COMPUTED_VALUE"""),2.685185185185186)</f>
        <v>2.685185185</v>
      </c>
      <c r="T651" s="30">
        <f>IFERROR(__xludf.DUMMYFUNCTION("""COMPUTED_VALUE"""),336.4451726417841)</f>
        <v>336.4451726</v>
      </c>
      <c r="U651" s="30">
        <f>IFERROR(__xludf.DUMMYFUNCTION("""COMPUTED_VALUE"""),0.7773184461804328)</f>
        <v>0.7773184462</v>
      </c>
      <c r="V651" s="30">
        <f>IFERROR(__xludf.DUMMYFUNCTION("""COMPUTED_VALUE"""),0.523216980983884)</f>
        <v>0.523216981</v>
      </c>
      <c r="W651" s="30">
        <f>IFERROR(__xludf.DUMMYFUNCTION("""COMPUTED_VALUE"""),1.2193688794527564)</f>
        <v>1.219368879</v>
      </c>
      <c r="X651" s="30">
        <f>IFERROR(__xludf.DUMMYFUNCTION("""COMPUTED_VALUE"""),2.545841663863672)</f>
        <v>2.545841664</v>
      </c>
      <c r="Y651" s="30">
        <f>IFERROR(__xludf.DUMMYFUNCTION("""COMPUTED_VALUE"""),338.8151925503098)</f>
        <v>338.8151926</v>
      </c>
      <c r="Z651" s="30">
        <f>IFERROR(__xludf.DUMMYFUNCTION("""COMPUTED_VALUE"""),0.742617002421597)</f>
        <v>0.7426170024</v>
      </c>
      <c r="AA651" s="30">
        <f>IFERROR(__xludf.DUMMYFUNCTION("""COMPUTED_VALUE"""),0.5025543201065648)</f>
        <v>0.5025543201</v>
      </c>
      <c r="AB651" s="30">
        <f>IFERROR(__xludf.DUMMYFUNCTION("""COMPUTED_VALUE"""),1.3184274394650235)</f>
        <v>1.318427439</v>
      </c>
      <c r="AC651" s="30">
        <f>IFERROR(__xludf.DUMMYFUNCTION("""COMPUTED_VALUE"""),2.4306958944871764)</f>
        <v>2.430695894</v>
      </c>
      <c r="AD651" s="30">
        <f>IFERROR(__xludf.DUMMYFUNCTION("""COMPUTED_VALUE"""),1.010219687025852)</f>
        <v>1.010219687</v>
      </c>
      <c r="AE651" s="30">
        <f>IFERROR(__xludf.DUMMYFUNCTION("""COMPUTED_VALUE"""),0.7481050847798347)</f>
        <v>0.7481050848</v>
      </c>
      <c r="AF651" s="30">
        <f>IFERROR(__xludf.DUMMYFUNCTION("""COMPUTED_VALUE"""),0.8843709558604563)</f>
        <v>0.8843709559</v>
      </c>
      <c r="AG651" s="30">
        <f>IFERROR(__xludf.DUMMYFUNCTION("""COMPUTED_VALUE"""),1.1587879105411383)</f>
        <v>1.158787911</v>
      </c>
      <c r="AH651" s="30">
        <f>IFERROR(__xludf.DUMMYFUNCTION("""COMPUTED_VALUE"""),1.0399399544429986)</f>
        <v>1.039939954</v>
      </c>
      <c r="AI651" s="30">
        <f>IFERROR(__xludf.DUMMYFUNCTION("""COMPUTED_VALUE"""),1.0122446166805814)</f>
        <v>1.012244617</v>
      </c>
      <c r="AJ651" s="30">
        <f>IFERROR(__xludf.DUMMYFUNCTION("""COMPUTED_VALUE"""),1.000590918174658)</f>
        <v>1.000590918</v>
      </c>
      <c r="AK651" s="30">
        <f>IFERROR(__xludf.DUMMYFUNCTION("""COMPUTED_VALUE"""),1.0441104095456013)</f>
        <v>1.04411041</v>
      </c>
      <c r="AL651" s="30">
        <f>IFERROR(__xludf.DUMMYFUNCTION("""COMPUTED_VALUE"""),0.9719660761861391)</f>
        <v>0.9719660762</v>
      </c>
      <c r="AM651" s="30">
        <f>IFERROR(__xludf.DUMMYFUNCTION("""COMPUTED_VALUE"""),1.0547337736275557)</f>
        <v>1.054733774</v>
      </c>
      <c r="AN651" s="30">
        <f>IFERROR(__xludf.DUMMYFUNCTION("""COMPUTED_VALUE"""),1.0412697520840468)</f>
        <v>1.041269752</v>
      </c>
      <c r="AO651" s="30">
        <f>IFERROR(__xludf.DUMMYFUNCTION("""COMPUTED_VALUE"""),0.7326369945091084)</f>
        <v>0.7326369945</v>
      </c>
      <c r="AP651" s="30">
        <f>IFERROR(__xludf.DUMMYFUNCTION("""COMPUTED_VALUE"""),0.8619581204466396)</f>
        <v>0.8619581204</v>
      </c>
      <c r="AQ651" s="30">
        <f>IFERROR(__xludf.DUMMYFUNCTION("""COMPUTED_VALUE"""),1.2739952349313775)</f>
        <v>1.273995235</v>
      </c>
      <c r="AR651" s="30">
        <f>IFERROR(__xludf.DUMMYFUNCTION("""COMPUTED_VALUE"""),1.0537950117148733)</f>
        <v>1.053795012</v>
      </c>
      <c r="AS651" s="30">
        <f>IFERROR(__xludf.DUMMYFUNCTION("""COMPUTED_VALUE"""),66.0)</f>
        <v>66</v>
      </c>
      <c r="AT651" s="30">
        <f>IFERROR(__xludf.DUMMYFUNCTION("""COMPUTED_VALUE"""),0.4101765555054946)</f>
        <v>0.4101765555</v>
      </c>
      <c r="AU651" s="30">
        <f>IFERROR(__xludf.DUMMYFUNCTION("""COMPUTED_VALUE"""),2.7177105760654694)</f>
        <v>2.717710576</v>
      </c>
      <c r="AV651" s="32">
        <f>IFERROR(__xludf.DUMMYFUNCTION("""COMPUTED_VALUE"""),42.45221346871278)</f>
        <v>42.45221347</v>
      </c>
      <c r="AW651" s="32">
        <f>IFERROR(__xludf.DUMMYFUNCTION("""COMPUTED_VALUE"""),-2.6221957703202516)</f>
        <v>-2.62219577</v>
      </c>
      <c r="AX651" s="32">
        <f>IFERROR(__xludf.DUMMYFUNCTION("""COMPUTED_VALUE"""),47.49026846642873)</f>
        <v>47.49026847</v>
      </c>
      <c r="AY651" s="32">
        <f>IFERROR(__xludf.DUMMYFUNCTION("""COMPUTED_VALUE"""),-2.1738296466183673)</f>
        <v>-2.173829647</v>
      </c>
      <c r="AZ651" s="30">
        <f>IFERROR(__xludf.DUMMYFUNCTION("""COMPUTED_VALUE"""),0.44836612370188433)</f>
        <v>0.4483661237</v>
      </c>
      <c r="BA651" s="30">
        <f>IFERROR(__xludf.DUMMYFUNCTION("""COMPUTED_VALUE"""),2300.0)</f>
        <v>2300</v>
      </c>
    </row>
    <row r="652">
      <c r="A652" s="71" t="str">
        <f>IFERROR(__xludf.DUMMYFUNCTION("""COMPUTED_VALUE"""),"Challenger")</f>
        <v>Challenger</v>
      </c>
      <c r="B652" s="71" t="str">
        <f>IFERROR(__xludf.DUMMYFUNCTION("""COMPUTED_VALUE"""),"RSC007065")</f>
        <v>RSC007065</v>
      </c>
      <c r="C652" s="30" t="str">
        <f>IFERROR(__xludf.DUMMYFUNCTION("""COMPUTED_VALUE"""),"Rampage")</f>
        <v>Rampage</v>
      </c>
      <c r="D652" s="30" t="str">
        <f>IFERROR(__xludf.DUMMYFUNCTION("""COMPUTED_VALUE"""),"Havarti Hustlers")</f>
        <v>Havarti Hustlers</v>
      </c>
      <c r="E652" s="30">
        <f>IFERROR(__xludf.DUMMYFUNCTION("""COMPUTED_VALUE"""),15.0)</f>
        <v>15</v>
      </c>
      <c r="F652" s="30">
        <f>IFERROR(__xludf.DUMMYFUNCTION("""COMPUTED_VALUE"""),6.0)</f>
        <v>6</v>
      </c>
      <c r="G652" s="42">
        <f>IFERROR(__xludf.DUMMYFUNCTION("""COMPUTED_VALUE"""),9.0)</f>
        <v>9</v>
      </c>
      <c r="H652" s="42">
        <f>IFERROR(__xludf.DUMMYFUNCTION("""COMPUTED_VALUE"""),0.4)</f>
        <v>0.4</v>
      </c>
      <c r="I652" s="42">
        <f>IFERROR(__xludf.DUMMYFUNCTION("""COMPUTED_VALUE"""),0.25)</f>
        <v>0.25</v>
      </c>
      <c r="J652" s="30">
        <f>IFERROR(__xludf.DUMMYFUNCTION("""COMPUTED_VALUE"""),314.4)</f>
        <v>314.4</v>
      </c>
      <c r="K652" s="30">
        <f>IFERROR(__xludf.DUMMYFUNCTION("""COMPUTED_VALUE"""),0.6666666666666666)</f>
        <v>0.6666666667</v>
      </c>
      <c r="L652" s="30">
        <f>IFERROR(__xludf.DUMMYFUNCTION("""COMPUTED_VALUE"""),0.5333333333333333)</f>
        <v>0.5333333333</v>
      </c>
      <c r="M652" s="30">
        <f>IFERROR(__xludf.DUMMYFUNCTION("""COMPUTED_VALUE"""),1.0)</f>
        <v>1</v>
      </c>
      <c r="N652" s="30">
        <f>IFERROR(__xludf.DUMMYFUNCTION("""COMPUTED_VALUE"""),2.6666666666666665)</f>
        <v>2.666666667</v>
      </c>
      <c r="O652" s="30">
        <f>IFERROR(__xludf.DUMMYFUNCTION("""COMPUTED_VALUE"""),383.1555555555556)</f>
        <v>383.1555556</v>
      </c>
      <c r="P652" s="30">
        <f>IFERROR(__xludf.DUMMYFUNCTION("""COMPUTED_VALUE"""),0.8444444444444442)</f>
        <v>0.8444444444</v>
      </c>
      <c r="Q652" s="30">
        <f>IFERROR(__xludf.DUMMYFUNCTION("""COMPUTED_VALUE"""),0.511111111111111)</f>
        <v>0.5111111111</v>
      </c>
      <c r="R652" s="30">
        <f>IFERROR(__xludf.DUMMYFUNCTION("""COMPUTED_VALUE"""),1.6222222222222222)</f>
        <v>1.622222222</v>
      </c>
      <c r="S652" s="30">
        <f>IFERROR(__xludf.DUMMYFUNCTION("""COMPUTED_VALUE"""),2.288888888888889)</f>
        <v>2.288888889</v>
      </c>
      <c r="T652" s="30">
        <f>IFERROR(__xludf.DUMMYFUNCTION("""COMPUTED_VALUE"""),334.77510724917664)</f>
        <v>334.7751072</v>
      </c>
      <c r="U652" s="30">
        <f>IFERROR(__xludf.DUMMYFUNCTION("""COMPUTED_VALUE"""),0.7247776467447562)</f>
        <v>0.7247776467</v>
      </c>
      <c r="V652" s="30">
        <f>IFERROR(__xludf.DUMMYFUNCTION("""COMPUTED_VALUE"""),0.5334556719020667)</f>
        <v>0.5334556719</v>
      </c>
      <c r="W652" s="30">
        <f>IFERROR(__xludf.DUMMYFUNCTION("""COMPUTED_VALUE"""),1.2921248948067416)</f>
        <v>1.292124895</v>
      </c>
      <c r="X652" s="30">
        <f>IFERROR(__xludf.DUMMYFUNCTION("""COMPUTED_VALUE"""),2.1967320631496787)</f>
        <v>2.196732063</v>
      </c>
      <c r="Y652" s="30">
        <f>IFERROR(__xludf.DUMMYFUNCTION("""COMPUTED_VALUE"""),338.4541766586854)</f>
        <v>338.4541767</v>
      </c>
      <c r="Z652" s="30">
        <f>IFERROR(__xludf.DUMMYFUNCTION("""COMPUTED_VALUE"""),0.8228809637079718)</f>
        <v>0.8228809637</v>
      </c>
      <c r="AA652" s="30">
        <f>IFERROR(__xludf.DUMMYFUNCTION("""COMPUTED_VALUE"""),0.588487161338205)</f>
        <v>0.5884871613</v>
      </c>
      <c r="AB652" s="30">
        <f>IFERROR(__xludf.DUMMYFUNCTION("""COMPUTED_VALUE"""),1.082367336466799)</f>
        <v>1.082367336</v>
      </c>
      <c r="AC652" s="30">
        <f>IFERROR(__xludf.DUMMYFUNCTION("""COMPUTED_VALUE"""),2.6418694204238684)</f>
        <v>2.64186942</v>
      </c>
      <c r="AD652" s="30">
        <f>IFERROR(__xludf.DUMMYFUNCTION("""COMPUTED_VALUE"""),0.9289292958469149)</f>
        <v>0.9289292958</v>
      </c>
      <c r="AE652" s="30">
        <f>IFERROR(__xludf.DUMMYFUNCTION("""COMPUTED_VALUE"""),0.810161731853183)</f>
        <v>0.8101617319</v>
      </c>
      <c r="AF652" s="30">
        <f>IFERROR(__xludf.DUMMYFUNCTION("""COMPUTED_VALUE"""),0.9062786214750153)</f>
        <v>0.9062786215</v>
      </c>
      <c r="AG652" s="30">
        <f>IFERROR(__xludf.DUMMYFUNCTION("""COMPUTED_VALUE"""),0.9239007556014459)</f>
        <v>0.9239007556</v>
      </c>
      <c r="AH652" s="30">
        <f>IFERROR(__xludf.DUMMYFUNCTION("""COMPUTED_VALUE"""),1.009386249771126)</f>
        <v>1.00938625</v>
      </c>
      <c r="AI652" s="30">
        <f>IFERROR(__xludf.DUMMYFUNCTION("""COMPUTED_VALUE"""),1.1445162655727832)</f>
        <v>1.144516266</v>
      </c>
      <c r="AJ652" s="30">
        <f>IFERROR(__xludf.DUMMYFUNCTION("""COMPUTED_VALUE"""),1.1651082897453526)</f>
        <v>1.16510829</v>
      </c>
      <c r="AK652" s="30">
        <f>IFERROR(__xludf.DUMMYFUNCTION("""COMPUTED_VALUE"""),0.9581135566310789)</f>
        <v>0.9581135566</v>
      </c>
      <c r="AL652" s="30">
        <f>IFERROR(__xludf.DUMMYFUNCTION("""COMPUTED_VALUE"""),1.255468591884728)</f>
        <v>1.255468592</v>
      </c>
      <c r="AM652" s="30">
        <f>IFERROR(__xludf.DUMMYFUNCTION("""COMPUTED_VALUE"""),1.0419517825069098)</f>
        <v>1.041951783</v>
      </c>
      <c r="AN652" s="30">
        <f>IFERROR(__xludf.DUMMYFUNCTION("""COMPUTED_VALUE"""),0.9564606039594283)</f>
        <v>0.956460604</v>
      </c>
      <c r="AO652" s="30">
        <f>IFERROR(__xludf.DUMMYFUNCTION("""COMPUTED_VALUE"""),0.87916439341093)</f>
        <v>0.8791643934</v>
      </c>
      <c r="AP652" s="30">
        <f>IFERROR(__xludf.DUMMYFUNCTION("""COMPUTED_VALUE"""),1.0343497445359675)</f>
        <v>1.034349745</v>
      </c>
      <c r="AQ652" s="30">
        <f>IFERROR(__xludf.DUMMYFUNCTION("""COMPUTED_VALUE"""),0.8338877901369016)</f>
        <v>0.8338877901</v>
      </c>
      <c r="AR652" s="30">
        <f>IFERROR(__xludf.DUMMYFUNCTION("""COMPUTED_VALUE"""),1.1116958365343719)</f>
        <v>1.111695837</v>
      </c>
      <c r="AS652" s="30">
        <f>IFERROR(__xludf.DUMMYFUNCTION("""COMPUTED_VALUE"""),32.0)</f>
        <v>32</v>
      </c>
      <c r="AT652" s="30">
        <f>IFERROR(__xludf.DUMMYFUNCTION("""COMPUTED_VALUE"""),0.43354645047540313)</f>
        <v>0.4335464505</v>
      </c>
      <c r="AU652" s="30">
        <f>IFERROR(__xludf.DUMMYFUNCTION("""COMPUTED_VALUE"""),2.782788904710167)</f>
        <v>2.782788905</v>
      </c>
      <c r="AV652" s="32">
        <f>IFERROR(__xludf.DUMMYFUNCTION("""COMPUTED_VALUE"""),44.17302489488483)</f>
        <v>44.17302489</v>
      </c>
      <c r="AW652" s="32">
        <f>IFERROR(__xludf.DUMMYFUNCTION("""COMPUTED_VALUE"""),-2.451881644444211)</f>
        <v>-2.451881644</v>
      </c>
      <c r="AX652" s="32">
        <f>IFERROR(__xludf.DUMMYFUNCTION("""COMPUTED_VALUE"""),40.031071866642314)</f>
        <v>40.03107187</v>
      </c>
      <c r="AY652" s="32">
        <f>IFERROR(__xludf.DUMMYFUNCTION("""COMPUTED_VALUE"""),-2.898247578909778)</f>
        <v>-2.898247579</v>
      </c>
      <c r="AZ652" s="30">
        <f>IFERROR(__xludf.DUMMYFUNCTION("""COMPUTED_VALUE"""),0.4463659344655668)</f>
        <v>0.4463659345</v>
      </c>
      <c r="BA652" s="30">
        <f>IFERROR(__xludf.DUMMYFUNCTION("""COMPUTED_VALUE"""),2300.0)</f>
        <v>2300</v>
      </c>
    </row>
    <row r="653">
      <c r="A653" s="71" t="str">
        <f>IFERROR(__xludf.DUMMYFUNCTION("""COMPUTED_VALUE"""),"Challenger")</f>
        <v>Challenger</v>
      </c>
      <c r="B653" s="71" t="str">
        <f>IFERROR(__xludf.DUMMYFUNCTION("""COMPUTED_VALUE"""),"RSC006535")</f>
        <v>RSC006535</v>
      </c>
      <c r="C653" s="30" t="str">
        <f>IFERROR(__xludf.DUMMYFUNCTION("""COMPUTED_VALUE"""),"Westandalone0")</f>
        <v>Westandalone0</v>
      </c>
      <c r="D653" s="30" t="str">
        <f>IFERROR(__xludf.DUMMYFUNCTION("""COMPUTED_VALUE"""),"Deceased")</f>
        <v>Deceased</v>
      </c>
      <c r="E653" s="30">
        <f>IFERROR(__xludf.DUMMYFUNCTION("""COMPUTED_VALUE"""),28.0)</f>
        <v>28</v>
      </c>
      <c r="F653" s="30">
        <f>IFERROR(__xludf.DUMMYFUNCTION("""COMPUTED_VALUE"""),17.0)</f>
        <v>17</v>
      </c>
      <c r="G653" s="42">
        <f>IFERROR(__xludf.DUMMYFUNCTION("""COMPUTED_VALUE"""),11.0)</f>
        <v>11</v>
      </c>
      <c r="H653" s="42">
        <f>IFERROR(__xludf.DUMMYFUNCTION("""COMPUTED_VALUE"""),0.6071428571428571)</f>
        <v>0.6071428571</v>
      </c>
      <c r="I653" s="42">
        <f>IFERROR(__xludf.DUMMYFUNCTION("""COMPUTED_VALUE"""),0.225)</f>
        <v>0.225</v>
      </c>
      <c r="J653" s="30">
        <f>IFERROR(__xludf.DUMMYFUNCTION("""COMPUTED_VALUE"""),319.5)</f>
        <v>319.5</v>
      </c>
      <c r="K653" s="30">
        <f>IFERROR(__xludf.DUMMYFUNCTION("""COMPUTED_VALUE"""),0.6428571428571429)</f>
        <v>0.6428571429</v>
      </c>
      <c r="L653" s="30">
        <f>IFERROR(__xludf.DUMMYFUNCTION("""COMPUTED_VALUE"""),0.75)</f>
        <v>0.75</v>
      </c>
      <c r="M653" s="30">
        <f>IFERROR(__xludf.DUMMYFUNCTION("""COMPUTED_VALUE"""),0.8928571428571429)</f>
        <v>0.8928571429</v>
      </c>
      <c r="N653" s="30">
        <f>IFERROR(__xludf.DUMMYFUNCTION("""COMPUTED_VALUE"""),2.857142857142857)</f>
        <v>2.857142857</v>
      </c>
      <c r="O653" s="30">
        <f>IFERROR(__xludf.DUMMYFUNCTION("""COMPUTED_VALUE"""),317.5238095238095)</f>
        <v>317.5238095</v>
      </c>
      <c r="P653" s="30">
        <f>IFERROR(__xludf.DUMMYFUNCTION("""COMPUTED_VALUE"""),0.6071428571428571)</f>
        <v>0.6071428571</v>
      </c>
      <c r="Q653" s="30">
        <f>IFERROR(__xludf.DUMMYFUNCTION("""COMPUTED_VALUE"""),0.46428571428571425)</f>
        <v>0.4642857143</v>
      </c>
      <c r="R653" s="30">
        <f>IFERROR(__xludf.DUMMYFUNCTION("""COMPUTED_VALUE"""),1.3571428571428572)</f>
        <v>1.357142857</v>
      </c>
      <c r="S653" s="30">
        <f>IFERROR(__xludf.DUMMYFUNCTION("""COMPUTED_VALUE"""),2.011904761904762)</f>
        <v>2.011904762</v>
      </c>
      <c r="T653" s="30">
        <f>IFERROR(__xludf.DUMMYFUNCTION("""COMPUTED_VALUE"""),323.06508416227126)</f>
        <v>323.0650842</v>
      </c>
      <c r="U653" s="30">
        <f>IFERROR(__xludf.DUMMYFUNCTION("""COMPUTED_VALUE"""),0.7194701379179117)</f>
        <v>0.7194701379</v>
      </c>
      <c r="V653" s="30">
        <f>IFERROR(__xludf.DUMMYFUNCTION("""COMPUTED_VALUE"""),0.44619255896936616)</f>
        <v>0.446192559</v>
      </c>
      <c r="W653" s="30">
        <f>IFERROR(__xludf.DUMMYFUNCTION("""COMPUTED_VALUE"""),1.273323377569476)</f>
        <v>1.273323378</v>
      </c>
      <c r="X653" s="30">
        <f>IFERROR(__xludf.DUMMYFUNCTION("""COMPUTED_VALUE"""),2.219863692963934)</f>
        <v>2.219863693</v>
      </c>
      <c r="Y653" s="30">
        <f>IFERROR(__xludf.DUMMYFUNCTION("""COMPUTED_VALUE"""),347.2637415661408)</f>
        <v>347.2637416</v>
      </c>
      <c r="Z653" s="30">
        <f>IFERROR(__xludf.DUMMYFUNCTION("""COMPUTED_VALUE"""),0.8755756873095624)</f>
        <v>0.8755756873</v>
      </c>
      <c r="AA653" s="30">
        <f>IFERROR(__xludf.DUMMYFUNCTION("""COMPUTED_VALUE"""),0.6312968165076777)</f>
        <v>0.6312968165</v>
      </c>
      <c r="AB653" s="30">
        <f>IFERROR(__xludf.DUMMYFUNCTION("""COMPUTED_VALUE"""),1.1318533273362268)</f>
        <v>1.131853327</v>
      </c>
      <c r="AC653" s="30">
        <f>IFERROR(__xludf.DUMMYFUNCTION("""COMPUTED_VALUE"""),2.668730593619263)</f>
        <v>2.668730594</v>
      </c>
      <c r="AD653" s="30">
        <f>IFERROR(__xludf.DUMMYFUNCTION("""COMPUTED_VALUE"""),0.9200499843694367)</f>
        <v>0.9200499844</v>
      </c>
      <c r="AE653" s="30">
        <f>IFERROR(__xludf.DUMMYFUNCTION("""COMPUTED_VALUE"""),0.7342108194352579)</f>
        <v>0.7342108194</v>
      </c>
      <c r="AF653" s="30">
        <f>IFERROR(__xludf.DUMMYFUNCTION("""COMPUTED_VALUE"""),1.1880307018638019)</f>
        <v>1.188030702</v>
      </c>
      <c r="AG653" s="30">
        <f>IFERROR(__xludf.DUMMYFUNCTION("""COMPUTED_VALUE"""),0.7888452693410796)</f>
        <v>0.7888452693</v>
      </c>
      <c r="AH653" s="30">
        <f>IFERROR(__xludf.DUMMYFUNCTION("""COMPUTED_VALUE"""),1.0705999563890314)</f>
        <v>1.070599956</v>
      </c>
      <c r="AI653" s="30">
        <f>IFERROR(__xludf.DUMMYFUNCTION("""COMPUTED_VALUE"""),0.982847807113447)</f>
        <v>0.9828478071</v>
      </c>
      <c r="AJ653" s="30">
        <f>IFERROR(__xludf.DUMMYFUNCTION("""COMPUTED_VALUE"""),0.843874992365742)</f>
        <v>0.8438749924</v>
      </c>
      <c r="AK653" s="30">
        <f>IFERROR(__xludf.DUMMYFUNCTION("""COMPUTED_VALUE"""),1.0405501054480613)</f>
        <v>1.040550105</v>
      </c>
      <c r="AL653" s="30">
        <f>IFERROR(__xludf.DUMMYFUNCTION("""COMPUTED_VALUE"""),1.0658273311005853)</f>
        <v>1.065827331</v>
      </c>
      <c r="AM653" s="30">
        <f>IFERROR(__xludf.DUMMYFUNCTION("""COMPUTED_VALUE"""),0.9063190538597854)</f>
        <v>0.9063190539</v>
      </c>
      <c r="AN653" s="30">
        <f>IFERROR(__xludf.DUMMYFUNCTION("""COMPUTED_VALUE"""),0.9719757091763275)</f>
        <v>0.9719757092</v>
      </c>
      <c r="AO653" s="30">
        <f>IFERROR(__xludf.DUMMYFUNCTION("""COMPUTED_VALUE"""),0.8477656650748254)</f>
        <v>0.8477656651</v>
      </c>
      <c r="AP653" s="30">
        <f>IFERROR(__xludf.DUMMYFUNCTION("""COMPUTED_VALUE"""),1.4545543282537043)</f>
        <v>1.454554328</v>
      </c>
      <c r="AQ653" s="30">
        <f>IFERROR(__xludf.DUMMYFUNCTION("""COMPUTED_VALUE"""),0.7445426697650908)</f>
        <v>0.7445426698</v>
      </c>
      <c r="AR653" s="30">
        <f>IFERROR(__xludf.DUMMYFUNCTION("""COMPUTED_VALUE"""),1.1911026820011128)</f>
        <v>1.191102682</v>
      </c>
      <c r="AS653" s="30">
        <f>IFERROR(__xludf.DUMMYFUNCTION("""COMPUTED_VALUE"""),71.0)</f>
        <v>71</v>
      </c>
      <c r="AT653" s="30">
        <f>IFERROR(__xludf.DUMMYFUNCTION("""COMPUTED_VALUE"""),0.6235780303363988)</f>
        <v>0.6235780303</v>
      </c>
      <c r="AU653" s="30">
        <f>IFERROR(__xludf.DUMMYFUNCTION("""COMPUTED_VALUE"""),3.307371920424896)</f>
        <v>3.30737192</v>
      </c>
      <c r="AV653" s="32">
        <f>IFERROR(__xludf.DUMMYFUNCTION("""COMPUTED_VALUE"""),58.04413170136322)</f>
        <v>58.0441317</v>
      </c>
      <c r="AW653" s="32">
        <f>IFERROR(__xludf.DUMMYFUNCTION("""COMPUTED_VALUE"""),2.675118156123417)</f>
        <v>2.675118156</v>
      </c>
      <c r="AX653" s="32">
        <f>IFERROR(__xludf.DUMMYFUNCTION("""COMPUTED_VALUE"""),53.26861103672651)</f>
        <v>53.26861104</v>
      </c>
      <c r="AY653" s="32">
        <f>IFERROR(__xludf.DUMMYFUNCTION("""COMPUTED_VALUE"""),2.2321989738759442)</f>
        <v>2.232198974</v>
      </c>
      <c r="AZ653" s="30">
        <f>IFERROR(__xludf.DUMMYFUNCTION("""COMPUTED_VALUE"""),0.44291918224747295)</f>
        <v>0.4429191822</v>
      </c>
      <c r="BA653" s="30">
        <f>IFERROR(__xludf.DUMMYFUNCTION("""COMPUTED_VALUE"""),2300.0)</f>
        <v>2300</v>
      </c>
    </row>
    <row r="654">
      <c r="A654" s="71" t="str">
        <f>IFERROR(__xludf.DUMMYFUNCTION("""COMPUTED_VALUE"""),"Challenger")</f>
        <v>Challenger</v>
      </c>
      <c r="B654" s="71" t="str">
        <f>IFERROR(__xludf.DUMMYFUNCTION("""COMPUTED_VALUE"""),"RSC007589")</f>
        <v>RSC007589</v>
      </c>
      <c r="C654" s="30" t="str">
        <f>IFERROR(__xludf.DUMMYFUNCTION("""COMPUTED_VALUE"""),"LilBoneSamaTTV")</f>
        <v>LilBoneSamaTTV</v>
      </c>
      <c r="D654" s="30" t="str">
        <f>IFERROR(__xludf.DUMMYFUNCTION("""COMPUTED_VALUE"""),"Hydras")</f>
        <v>Hydras</v>
      </c>
      <c r="E654" s="30">
        <f>IFERROR(__xludf.DUMMYFUNCTION("""COMPUTED_VALUE"""),35.0)</f>
        <v>35</v>
      </c>
      <c r="F654" s="30">
        <f>IFERROR(__xludf.DUMMYFUNCTION("""COMPUTED_VALUE"""),17.0)</f>
        <v>17</v>
      </c>
      <c r="G654" s="42">
        <f>IFERROR(__xludf.DUMMYFUNCTION("""COMPUTED_VALUE"""),18.0)</f>
        <v>18</v>
      </c>
      <c r="H654" s="42">
        <f>IFERROR(__xludf.DUMMYFUNCTION("""COMPUTED_VALUE"""),0.4857142857142857)</f>
        <v>0.4857142857</v>
      </c>
      <c r="I654" s="42">
        <f>IFERROR(__xludf.DUMMYFUNCTION("""COMPUTED_VALUE"""),0.2894736842105263)</f>
        <v>0.2894736842</v>
      </c>
      <c r="J654" s="30">
        <f>IFERROR(__xludf.DUMMYFUNCTION("""COMPUTED_VALUE"""),357.0857142857143)</f>
        <v>357.0857143</v>
      </c>
      <c r="K654" s="30">
        <f>IFERROR(__xludf.DUMMYFUNCTION("""COMPUTED_VALUE"""),0.6285714285714286)</f>
        <v>0.6285714286</v>
      </c>
      <c r="L654" s="30">
        <f>IFERROR(__xludf.DUMMYFUNCTION("""COMPUTED_VALUE"""),0.45714285714285713)</f>
        <v>0.4571428571</v>
      </c>
      <c r="M654" s="30">
        <f>IFERROR(__xludf.DUMMYFUNCTION("""COMPUTED_VALUE"""),1.6857142857142857)</f>
        <v>1.685714286</v>
      </c>
      <c r="N654" s="30">
        <f>IFERROR(__xludf.DUMMYFUNCTION("""COMPUTED_VALUE"""),2.1714285714285713)</f>
        <v>2.171428571</v>
      </c>
      <c r="O654" s="30">
        <f>IFERROR(__xludf.DUMMYFUNCTION("""COMPUTED_VALUE"""),334.3142857142857)</f>
        <v>334.3142857</v>
      </c>
      <c r="P654" s="30">
        <f>IFERROR(__xludf.DUMMYFUNCTION("""COMPUTED_VALUE"""),0.7333333333333333)</f>
        <v>0.7333333333</v>
      </c>
      <c r="Q654" s="30">
        <f>IFERROR(__xludf.DUMMYFUNCTION("""COMPUTED_VALUE"""),0.5047619047619047)</f>
        <v>0.5047619048</v>
      </c>
      <c r="R654" s="30">
        <f>IFERROR(__xludf.DUMMYFUNCTION("""COMPUTED_VALUE"""),1.2095238095238094)</f>
        <v>1.20952381</v>
      </c>
      <c r="S654" s="30">
        <f>IFERROR(__xludf.DUMMYFUNCTION("""COMPUTED_VALUE"""),2.6285714285714294)</f>
        <v>2.628571429</v>
      </c>
      <c r="T654" s="30">
        <f>IFERROR(__xludf.DUMMYFUNCTION("""COMPUTED_VALUE"""),334.9969016862735)</f>
        <v>334.9969017</v>
      </c>
      <c r="U654" s="30">
        <f>IFERROR(__xludf.DUMMYFUNCTION("""COMPUTED_VALUE"""),0.7698979150131011)</f>
        <v>0.769897915</v>
      </c>
      <c r="V654" s="30">
        <f>IFERROR(__xludf.DUMMYFUNCTION("""COMPUTED_VALUE"""),0.515573444990831)</f>
        <v>0.515573445</v>
      </c>
      <c r="W654" s="30">
        <f>IFERROR(__xludf.DUMMYFUNCTION("""COMPUTED_VALUE"""),1.2178587839450574)</f>
        <v>1.217858784</v>
      </c>
      <c r="X654" s="30">
        <f>IFERROR(__xludf.DUMMYFUNCTION("""COMPUTED_VALUE"""),2.536183927577993)</f>
        <v>2.536183928</v>
      </c>
      <c r="Y654" s="30">
        <f>IFERROR(__xludf.DUMMYFUNCTION("""COMPUTED_VALUE"""),339.33991233746156)</f>
        <v>339.3399123</v>
      </c>
      <c r="Z654" s="30">
        <f>IFERROR(__xludf.DUMMYFUNCTION("""COMPUTED_VALUE"""),0.7437111742720907)</f>
        <v>0.7437111743</v>
      </c>
      <c r="AA654" s="30">
        <f>IFERROR(__xludf.DUMMYFUNCTION("""COMPUTED_VALUE"""),0.5042448365842883)</f>
        <v>0.5042448366</v>
      </c>
      <c r="AB654" s="30">
        <f>IFERROR(__xludf.DUMMYFUNCTION("""COMPUTED_VALUE"""),1.3198004985820138)</f>
        <v>1.319800499</v>
      </c>
      <c r="AC654" s="30">
        <f>IFERROR(__xludf.DUMMYFUNCTION("""COMPUTED_VALUE"""),2.432225477363177)</f>
        <v>2.432225477</v>
      </c>
      <c r="AD654" s="30">
        <f>IFERROR(__xludf.DUMMYFUNCTION("""COMPUTED_VALUE"""),1.052295062570197)</f>
        <v>1.052295063</v>
      </c>
      <c r="AE654" s="30">
        <f>IFERROR(__xludf.DUMMYFUNCTION("""COMPUTED_VALUE"""),0.8451821759793303)</f>
        <v>0.845182176</v>
      </c>
      <c r="AF654" s="30">
        <f>IFERROR(__xludf.DUMMYFUNCTION("""COMPUTED_VALUE"""),0.9065890693884027)</f>
        <v>0.9065890694</v>
      </c>
      <c r="AG654" s="30">
        <f>IFERROR(__xludf.DUMMYFUNCTION("""COMPUTED_VALUE"""),1.2772493172456048)</f>
        <v>1.277249317</v>
      </c>
      <c r="AH654" s="30">
        <f>IFERROR(__xludf.DUMMYFUNCTION("""COMPUTED_VALUE"""),0.8927743713065038)</f>
        <v>0.8927743713</v>
      </c>
      <c r="AI654" s="30">
        <f>IFERROR(__xludf.DUMMYFUNCTION("""COMPUTED_VALUE"""),0.9979623215362539)</f>
        <v>0.9979623215</v>
      </c>
      <c r="AJ654" s="30">
        <f>IFERROR(__xludf.DUMMYFUNCTION("""COMPUTED_VALUE"""),0.9525072337945666)</f>
        <v>0.9525072338</v>
      </c>
      <c r="AK654" s="30">
        <f>IFERROR(__xludf.DUMMYFUNCTION("""COMPUTED_VALUE"""),0.9790300677159225)</f>
        <v>0.9790300677</v>
      </c>
      <c r="AL654" s="30">
        <f>IFERROR(__xludf.DUMMYFUNCTION("""COMPUTED_VALUE"""),0.9931560419556624)</f>
        <v>0.993156042</v>
      </c>
      <c r="AM654" s="30">
        <f>IFERROR(__xludf.DUMMYFUNCTION("""COMPUTED_VALUE"""),1.036427760616583)</f>
        <v>1.036427761</v>
      </c>
      <c r="AN654" s="30">
        <f>IFERROR(__xludf.DUMMYFUNCTION("""COMPUTED_VALUE"""),1.086318123253811)</f>
        <v>1.086318123</v>
      </c>
      <c r="AO654" s="30">
        <f>IFERROR(__xludf.DUMMYFUNCTION("""COMPUTED_VALUE"""),0.8289264280731625)</f>
        <v>0.8289264281</v>
      </c>
      <c r="AP654" s="30">
        <f>IFERROR(__xludf.DUMMYFUNCTION("""COMPUTED_VALUE"""),0.8865854953165436)</f>
        <v>0.8865854953</v>
      </c>
      <c r="AQ654" s="30">
        <f>IFERROR(__xludf.DUMMYFUNCTION("""COMPUTED_VALUE"""),1.4056965605164913)</f>
        <v>1.405696561</v>
      </c>
      <c r="AR654" s="30">
        <f>IFERROR(__xludf.DUMMYFUNCTION("""COMPUTED_VALUE"""),0.9052380383208457)</f>
        <v>0.9052380383</v>
      </c>
      <c r="AS654" s="30">
        <f>IFERROR(__xludf.DUMMYFUNCTION("""COMPUTED_VALUE"""),65.0)</f>
        <v>65</v>
      </c>
      <c r="AT654" s="30">
        <f>IFERROR(__xludf.DUMMYFUNCTION("""COMPUTED_VALUE"""),0.4370280709050378)</f>
        <v>0.4370280709</v>
      </c>
      <c r="AU654" s="30">
        <f>IFERROR(__xludf.DUMMYFUNCTION("""COMPUTED_VALUE"""),2.7530981571944735)</f>
        <v>2.753098157</v>
      </c>
      <c r="AV654" s="32">
        <f>IFERROR(__xludf.DUMMYFUNCTION("""COMPUTED_VALUE"""),43.38793746807739)</f>
        <v>43.38793747</v>
      </c>
      <c r="AW654" s="32">
        <f>IFERROR(__xludf.DUMMYFUNCTION("""COMPUTED_VALUE"""),-2.527141030769156)</f>
        <v>-2.527141031</v>
      </c>
      <c r="AX654" s="32">
        <f>IFERROR(__xludf.DUMMYFUNCTION("""COMPUTED_VALUE"""),48.32440165840151)</f>
        <v>48.32440166</v>
      </c>
      <c r="AY654" s="32">
        <f>IFERROR(__xludf.DUMMYFUNCTION("""COMPUTED_VALUE"""),-2.112908216451349)</f>
        <v>-2.112908216</v>
      </c>
      <c r="AZ654" s="30">
        <f>IFERROR(__xludf.DUMMYFUNCTION("""COMPUTED_VALUE"""),0.4142328143178071)</f>
        <v>0.4142328143</v>
      </c>
      <c r="BA654" s="30">
        <f>IFERROR(__xludf.DUMMYFUNCTION("""COMPUTED_VALUE"""),2300.0)</f>
        <v>2300</v>
      </c>
    </row>
    <row r="655">
      <c r="A655" s="71" t="str">
        <f>IFERROR(__xludf.DUMMYFUNCTION("""COMPUTED_VALUE"""),"Challenger")</f>
        <v>Challenger</v>
      </c>
      <c r="B655" s="71" t="str">
        <f>IFERROR(__xludf.DUMMYFUNCTION("""COMPUTED_VALUE"""),"RSC000663")</f>
        <v>RSC000663</v>
      </c>
      <c r="C655" s="30" t="str">
        <f>IFERROR(__xludf.DUMMYFUNCTION("""COMPUTED_VALUE"""),"DrProfessorNoah")</f>
        <v>DrProfessorNoah</v>
      </c>
      <c r="D655" s="30" t="str">
        <f>IFERROR(__xludf.DUMMYFUNCTION("""COMPUTED_VALUE"""),"Apple Associates")</f>
        <v>Apple Associates</v>
      </c>
      <c r="E655" s="30">
        <f>IFERROR(__xludf.DUMMYFUNCTION("""COMPUTED_VALUE"""),34.0)</f>
        <v>34</v>
      </c>
      <c r="F655" s="30">
        <f>IFERROR(__xludf.DUMMYFUNCTION("""COMPUTED_VALUE"""),12.0)</f>
        <v>12</v>
      </c>
      <c r="G655" s="42">
        <f>IFERROR(__xludf.DUMMYFUNCTION("""COMPUTED_VALUE"""),22.0)</f>
        <v>22</v>
      </c>
      <c r="H655" s="42">
        <f>IFERROR(__xludf.DUMMYFUNCTION("""COMPUTED_VALUE"""),0.35294117647058826)</f>
        <v>0.3529411765</v>
      </c>
      <c r="I655" s="42">
        <f>IFERROR(__xludf.DUMMYFUNCTION("""COMPUTED_VALUE"""),0.20512820512820515)</f>
        <v>0.2051282051</v>
      </c>
      <c r="J655" s="30">
        <f>IFERROR(__xludf.DUMMYFUNCTION("""COMPUTED_VALUE"""),287.0882352941176)</f>
        <v>287.0882353</v>
      </c>
      <c r="K655" s="30">
        <f>IFERROR(__xludf.DUMMYFUNCTION("""COMPUTED_VALUE"""),0.47058823529411764)</f>
        <v>0.4705882353</v>
      </c>
      <c r="L655" s="30">
        <f>IFERROR(__xludf.DUMMYFUNCTION("""COMPUTED_VALUE"""),0.5)</f>
        <v>0.5</v>
      </c>
      <c r="M655" s="30">
        <f>IFERROR(__xludf.DUMMYFUNCTION("""COMPUTED_VALUE"""),1.088235294117647)</f>
        <v>1.088235294</v>
      </c>
      <c r="N655" s="30">
        <f>IFERROR(__xludf.DUMMYFUNCTION("""COMPUTED_VALUE"""),2.2941176470588234)</f>
        <v>2.294117647</v>
      </c>
      <c r="O655" s="30">
        <f>IFERROR(__xludf.DUMMYFUNCTION("""COMPUTED_VALUE"""),336.6470588235294)</f>
        <v>336.6470588</v>
      </c>
      <c r="P655" s="30">
        <f>IFERROR(__xludf.DUMMYFUNCTION("""COMPUTED_VALUE"""),0.8333333333333333)</f>
        <v>0.8333333333</v>
      </c>
      <c r="Q655" s="30">
        <f>IFERROR(__xludf.DUMMYFUNCTION("""COMPUTED_VALUE"""),0.5784313725490196)</f>
        <v>0.5784313725</v>
      </c>
      <c r="R655" s="30">
        <f>IFERROR(__xludf.DUMMYFUNCTION("""COMPUTED_VALUE"""),1.2254901960784312)</f>
        <v>1.225490196</v>
      </c>
      <c r="S655" s="30">
        <f>IFERROR(__xludf.DUMMYFUNCTION("""COMPUTED_VALUE"""),2.4215686274509802)</f>
        <v>2.421568627</v>
      </c>
      <c r="T655" s="30">
        <f>IFERROR(__xludf.DUMMYFUNCTION("""COMPUTED_VALUE"""),352.1167355065868)</f>
        <v>352.1167355</v>
      </c>
      <c r="U655" s="30">
        <f>IFERROR(__xludf.DUMMYFUNCTION("""COMPUTED_VALUE"""),0.8346887103493592)</f>
        <v>0.8346887103</v>
      </c>
      <c r="V655" s="30">
        <f>IFERROR(__xludf.DUMMYFUNCTION("""COMPUTED_VALUE"""),0.6136320748923064)</f>
        <v>0.6136320749</v>
      </c>
      <c r="W655" s="30">
        <f>IFERROR(__xludf.DUMMYFUNCTION("""COMPUTED_VALUE"""),1.2493355937723796)</f>
        <v>1.249335594</v>
      </c>
      <c r="X655" s="30">
        <f>IFERROR(__xludf.DUMMYFUNCTION("""COMPUTED_VALUE"""),2.5700782422376163)</f>
        <v>2.570078242</v>
      </c>
      <c r="Y655" s="30">
        <f>IFERROR(__xludf.DUMMYFUNCTION("""COMPUTED_VALUE"""),325.7141741698949)</f>
        <v>325.7141742</v>
      </c>
      <c r="Z655" s="30">
        <f>IFERROR(__xludf.DUMMYFUNCTION("""COMPUTED_VALUE"""),0.6897524986763152)</f>
        <v>0.6897524987</v>
      </c>
      <c r="AA655" s="30">
        <f>IFERROR(__xludf.DUMMYFUNCTION("""COMPUTED_VALUE"""),0.47565643511982403)</f>
        <v>0.4756564351</v>
      </c>
      <c r="AB655" s="30">
        <f>IFERROR(__xludf.DUMMYFUNCTION("""COMPUTED_VALUE"""),1.2681745155897004)</f>
        <v>1.268174516</v>
      </c>
      <c r="AC655" s="30">
        <f>IFERROR(__xludf.DUMMYFUNCTION("""COMPUTED_VALUE"""),2.3541301658520837)</f>
        <v>2.354130166</v>
      </c>
      <c r="AD655" s="30">
        <f>IFERROR(__xludf.DUMMYFUNCTION("""COMPUTED_VALUE"""),0.8814115505589583)</f>
        <v>0.8814115506</v>
      </c>
      <c r="AE655" s="30">
        <f>IFERROR(__xludf.DUMMYFUNCTION("""COMPUTED_VALUE"""),0.6822566590149517)</f>
        <v>0.682256659</v>
      </c>
      <c r="AF655" s="30">
        <f>IFERROR(__xludf.DUMMYFUNCTION("""COMPUTED_VALUE"""),1.0511788826614814)</f>
        <v>1.051178883</v>
      </c>
      <c r="AG655" s="30">
        <f>IFERROR(__xludf.DUMMYFUNCTION("""COMPUTED_VALUE"""),0.8581116248118408)</f>
        <v>0.8581116248</v>
      </c>
      <c r="AH655" s="30">
        <f>IFERROR(__xludf.DUMMYFUNCTION("""COMPUTED_VALUE"""),0.974507561364374)</f>
        <v>0.9745075614</v>
      </c>
      <c r="AI655" s="30">
        <f>IFERROR(__xludf.DUMMYFUNCTION("""COMPUTED_VALUE"""),0.9560666247209144)</f>
        <v>0.9560666247</v>
      </c>
      <c r="AJ655" s="30">
        <f>IFERROR(__xludf.DUMMYFUNCTION("""COMPUTED_VALUE"""),0.9983761886326956)</f>
        <v>0.9983761886</v>
      </c>
      <c r="AK655" s="30">
        <f>IFERROR(__xludf.DUMMYFUNCTION("""COMPUTED_VALUE"""),0.9426354915533633)</f>
        <v>0.9426354916</v>
      </c>
      <c r="AL655" s="30">
        <f>IFERROR(__xludf.DUMMYFUNCTION("""COMPUTED_VALUE"""),0.9809135369128906)</f>
        <v>0.9809135369</v>
      </c>
      <c r="AM655" s="30">
        <f>IFERROR(__xludf.DUMMYFUNCTION("""COMPUTED_VALUE"""),0.9422159168752242)</f>
        <v>0.9422159169</v>
      </c>
      <c r="AN655" s="30">
        <f>IFERROR(__xludf.DUMMYFUNCTION("""COMPUTED_VALUE"""),0.8733733680631623)</f>
        <v>0.8733733681</v>
      </c>
      <c r="AO655" s="30">
        <f>IFERROR(__xludf.DUMMYFUNCTION("""COMPUTED_VALUE"""),0.6205866306430095)</f>
        <v>0.6205866306</v>
      </c>
      <c r="AP655" s="30">
        <f>IFERROR(__xludf.DUMMYFUNCTION("""COMPUTED_VALUE"""),0.9697028855024696)</f>
        <v>0.9697028855</v>
      </c>
      <c r="AQ655" s="30">
        <f>IFERROR(__xludf.DUMMYFUNCTION("""COMPUTED_VALUE"""),0.9074661245607458)</f>
        <v>0.9074661246</v>
      </c>
      <c r="AR655" s="30">
        <f>IFERROR(__xludf.DUMMYFUNCTION("""COMPUTED_VALUE"""),0.9563853887832464)</f>
        <v>0.9563853888</v>
      </c>
      <c r="AS655" s="30">
        <f>IFERROR(__xludf.DUMMYFUNCTION("""COMPUTED_VALUE"""),60.0)</f>
        <v>60</v>
      </c>
      <c r="AT655" s="30">
        <f>IFERROR(__xludf.DUMMYFUNCTION("""COMPUTED_VALUE"""),0.3709533822763399)</f>
        <v>0.3709533823</v>
      </c>
      <c r="AU655" s="30">
        <f>IFERROR(__xludf.DUMMYFUNCTION("""COMPUTED_VALUE"""),2.544992257755433)</f>
        <v>2.544992258</v>
      </c>
      <c r="AV655" s="32">
        <f>IFERROR(__xludf.DUMMYFUNCTION("""COMPUTED_VALUE"""),37.88516846545501)</f>
        <v>37.88516847</v>
      </c>
      <c r="AW655" s="32">
        <f>IFERROR(__xludf.DUMMYFUNCTION("""COMPUTED_VALUE"""),-3.1848914117944727)</f>
        <v>-3.184891412</v>
      </c>
      <c r="AX655" s="32">
        <f>IFERROR(__xludf.DUMMYFUNCTION("""COMPUTED_VALUE"""),35.40891717223845)</f>
        <v>35.40891717</v>
      </c>
      <c r="AY655" s="32">
        <f>IFERROR(__xludf.DUMMYFUNCTION("""COMPUTED_VALUE"""),-3.574873772749976)</f>
        <v>-3.574873773</v>
      </c>
      <c r="AZ655" s="30">
        <f>IFERROR(__xludf.DUMMYFUNCTION("""COMPUTED_VALUE"""),0.38998236095550354)</f>
        <v>0.389982361</v>
      </c>
      <c r="BA655" s="30">
        <f>IFERROR(__xludf.DUMMYFUNCTION("""COMPUTED_VALUE"""),2300.0)</f>
        <v>2300</v>
      </c>
    </row>
    <row r="656">
      <c r="A656" s="71" t="str">
        <f>IFERROR(__xludf.DUMMYFUNCTION("""COMPUTED_VALUE"""),"Challenger")</f>
        <v>Challenger</v>
      </c>
      <c r="B656" s="71" t="str">
        <f>IFERROR(__xludf.DUMMYFUNCTION("""COMPUTED_VALUE"""),"RSC006072")</f>
        <v>RSC006072</v>
      </c>
      <c r="C656" s="30" t="str">
        <f>IFERROR(__xludf.DUMMYFUNCTION("""COMPUTED_VALUE"""),"AveX InceptionZ")</f>
        <v>AveX InceptionZ</v>
      </c>
      <c r="D656" s="30" t="str">
        <f>IFERROR(__xludf.DUMMYFUNCTION("""COMPUTED_VALUE"""),"Ryujin")</f>
        <v>Ryujin</v>
      </c>
      <c r="E656" s="30">
        <f>IFERROR(__xludf.DUMMYFUNCTION("""COMPUTED_VALUE"""),24.0)</f>
        <v>24</v>
      </c>
      <c r="F656" s="30">
        <f>IFERROR(__xludf.DUMMYFUNCTION("""COMPUTED_VALUE"""),17.0)</f>
        <v>17</v>
      </c>
      <c r="G656" s="42">
        <f>IFERROR(__xludf.DUMMYFUNCTION("""COMPUTED_VALUE"""),7.0)</f>
        <v>7</v>
      </c>
      <c r="H656" s="42">
        <f>IFERROR(__xludf.DUMMYFUNCTION("""COMPUTED_VALUE"""),0.7083333333333334)</f>
        <v>0.7083333333</v>
      </c>
      <c r="I656" s="42">
        <f>IFERROR(__xludf.DUMMYFUNCTION("""COMPUTED_VALUE"""),0.30909090909090914)</f>
        <v>0.3090909091</v>
      </c>
      <c r="J656" s="30">
        <f>IFERROR(__xludf.DUMMYFUNCTION("""COMPUTED_VALUE"""),330.875)</f>
        <v>330.875</v>
      </c>
      <c r="K656" s="30">
        <f>IFERROR(__xludf.DUMMYFUNCTION("""COMPUTED_VALUE"""),0.7083333333333334)</f>
        <v>0.7083333333</v>
      </c>
      <c r="L656" s="30">
        <f>IFERROR(__xludf.DUMMYFUNCTION("""COMPUTED_VALUE"""),0.5)</f>
        <v>0.5</v>
      </c>
      <c r="M656" s="30">
        <f>IFERROR(__xludf.DUMMYFUNCTION("""COMPUTED_VALUE"""),1.375)</f>
        <v>1.375</v>
      </c>
      <c r="N656" s="30">
        <f>IFERROR(__xludf.DUMMYFUNCTION("""COMPUTED_VALUE"""),2.2916666666666665)</f>
        <v>2.291666667</v>
      </c>
      <c r="O656" s="30">
        <f>IFERROR(__xludf.DUMMYFUNCTION("""COMPUTED_VALUE"""),299.6944444444444)</f>
        <v>299.6944444</v>
      </c>
      <c r="P656" s="30">
        <f>IFERROR(__xludf.DUMMYFUNCTION("""COMPUTED_VALUE"""),0.5416666666666666)</f>
        <v>0.5416666667</v>
      </c>
      <c r="Q656" s="30">
        <f>IFERROR(__xludf.DUMMYFUNCTION("""COMPUTED_VALUE"""),0.37500000000000006)</f>
        <v>0.375</v>
      </c>
      <c r="R656" s="30">
        <f>IFERROR(__xludf.DUMMYFUNCTION("""COMPUTED_VALUE"""),1.1944444444444442)</f>
        <v>1.194444444</v>
      </c>
      <c r="S656" s="30">
        <f>IFERROR(__xludf.DUMMYFUNCTION("""COMPUTED_VALUE"""),2.0277777777777772)</f>
        <v>2.027777778</v>
      </c>
      <c r="T656" s="30">
        <f>IFERROR(__xludf.DUMMYFUNCTION("""COMPUTED_VALUE"""),337.1796493415397)</f>
        <v>337.1796493</v>
      </c>
      <c r="U656" s="30">
        <f>IFERROR(__xludf.DUMMYFUNCTION("""COMPUTED_VALUE"""),0.7874146627603036)</f>
        <v>0.7874146628</v>
      </c>
      <c r="V656" s="30">
        <f>IFERROR(__xludf.DUMMYFUNCTION("""COMPUTED_VALUE"""),0.566303044561267)</f>
        <v>0.5663030446</v>
      </c>
      <c r="W656" s="30">
        <f>IFERROR(__xludf.DUMMYFUNCTION("""COMPUTED_VALUE"""),1.125468573055543)</f>
        <v>1.125468573</v>
      </c>
      <c r="X656" s="30">
        <f>IFERROR(__xludf.DUMMYFUNCTION("""COMPUTED_VALUE"""),2.496159130058297)</f>
        <v>2.49615913</v>
      </c>
      <c r="Y656" s="30">
        <f>IFERROR(__xludf.DUMMYFUNCTION("""COMPUTED_VALUE"""),310.5915518130125)</f>
        <v>310.5915518</v>
      </c>
      <c r="Z656" s="30">
        <f>IFERROR(__xludf.DUMMYFUNCTION("""COMPUTED_VALUE"""),0.6771747425598714)</f>
        <v>0.6771747426</v>
      </c>
      <c r="AA656" s="30">
        <f>IFERROR(__xludf.DUMMYFUNCTION("""COMPUTED_VALUE"""),0.440883045022786)</f>
        <v>0.440883045</v>
      </c>
      <c r="AB656" s="30">
        <f>IFERROR(__xludf.DUMMYFUNCTION("""COMPUTED_VALUE"""),1.1996249288271306)</f>
        <v>1.199624929</v>
      </c>
      <c r="AC656" s="30">
        <f>IFERROR(__xludf.DUMMYFUNCTION("""COMPUTED_VALUE"""),2.1881385032160297)</f>
        <v>2.188138503</v>
      </c>
      <c r="AD656" s="30">
        <f>IFERROR(__xludf.DUMMYFUNCTION("""COMPUTED_VALUE"""),1.0653058593145472)</f>
        <v>1.065305859</v>
      </c>
      <c r="AE656" s="30">
        <f>IFERROR(__xludf.DUMMYFUNCTION("""COMPUTED_VALUE"""),1.0460126298504218)</f>
        <v>1.04601263</v>
      </c>
      <c r="AF656" s="30">
        <f>IFERROR(__xludf.DUMMYFUNCTION("""COMPUTED_VALUE"""),1.1340876126777764)</f>
        <v>1.134087613</v>
      </c>
      <c r="AG656" s="30">
        <f>IFERROR(__xludf.DUMMYFUNCTION("""COMPUTED_VALUE"""),1.1461915861854697)</f>
        <v>1.146191586</v>
      </c>
      <c r="AH656" s="30">
        <f>IFERROR(__xludf.DUMMYFUNCTION("""COMPUTED_VALUE"""),1.0473133502739775)</f>
        <v>1.04731335</v>
      </c>
      <c r="AI656" s="30">
        <f>IFERROR(__xludf.DUMMYFUNCTION("""COMPUTED_VALUE"""),0.8888272024414933)</f>
        <v>0.8888272024</v>
      </c>
      <c r="AJ656" s="30">
        <f>IFERROR(__xludf.DUMMYFUNCTION("""COMPUTED_VALUE"""),0.6879052325084211)</f>
        <v>0.6879052325</v>
      </c>
      <c r="AK656" s="30">
        <f>IFERROR(__xludf.DUMMYFUNCTION("""COMPUTED_VALUE"""),0.6621896237385135)</f>
        <v>0.6621896237</v>
      </c>
      <c r="AL656" s="30">
        <f>IFERROR(__xludf.DUMMYFUNCTION("""COMPUTED_VALUE"""),1.0612863593353283)</f>
        <v>1.061286359</v>
      </c>
      <c r="AM656" s="30">
        <f>IFERROR(__xludf.DUMMYFUNCTION("""COMPUTED_VALUE"""),0.8123591774897857)</f>
        <v>0.8123591775</v>
      </c>
      <c r="AN656" s="30">
        <f>IFERROR(__xludf.DUMMYFUNCTION("""COMPUTED_VALUE"""),1.0065804781649996)</f>
        <v>1.006580478</v>
      </c>
      <c r="AO656" s="30">
        <f>IFERROR(__xludf.DUMMYFUNCTION("""COMPUTED_VALUE"""),0.9341121679991131)</f>
        <v>0.934112168</v>
      </c>
      <c r="AP656" s="30">
        <f>IFERROR(__xludf.DUMMYFUNCTION("""COMPUTED_VALUE"""),0.9697028855024696)</f>
        <v>0.9697028855</v>
      </c>
      <c r="AQ656" s="30">
        <f>IFERROR(__xludf.DUMMYFUNCTION("""COMPUTED_VALUE"""),1.1465957114382397)</f>
        <v>1.146595711</v>
      </c>
      <c r="AR656" s="30">
        <f>IFERROR(__xludf.DUMMYFUNCTION("""COMPUTED_VALUE"""),0.9553636095217258)</f>
        <v>0.9553636095</v>
      </c>
      <c r="AS656" s="30">
        <f>IFERROR(__xludf.DUMMYFUNCTION("""COMPUTED_VALUE"""),61.0)</f>
        <v>61</v>
      </c>
      <c r="AT656" s="30">
        <f>IFERROR(__xludf.DUMMYFUNCTION("""COMPUTED_VALUE"""),0.66233933874294)</f>
        <v>0.6623393387</v>
      </c>
      <c r="AU656" s="30">
        <f>IFERROR(__xludf.DUMMYFUNCTION("""COMPUTED_VALUE"""),3.425028948228819)</f>
        <v>3.425028948</v>
      </c>
      <c r="AV656" s="32">
        <f>IFERROR(__xludf.DUMMYFUNCTION("""COMPUTED_VALUE"""),61.15523738018017)</f>
        <v>61.15523738</v>
      </c>
      <c r="AW656" s="32">
        <f>IFERROR(__xludf.DUMMYFUNCTION("""COMPUTED_VALUE"""),3.0513577468052735)</f>
        <v>3.051357747</v>
      </c>
      <c r="AX656" s="32">
        <f>IFERROR(__xludf.DUMMYFUNCTION("""COMPUTED_VALUE"""),58.32852715741127)</f>
        <v>58.32852716</v>
      </c>
      <c r="AY656" s="32">
        <f>IFERROR(__xludf.DUMMYFUNCTION("""COMPUTED_VALUE"""),2.706258189735248)</f>
        <v>2.70625819</v>
      </c>
      <c r="AZ656" s="30">
        <f>IFERROR(__xludf.DUMMYFUNCTION("""COMPUTED_VALUE"""),0.3450995570700255)</f>
        <v>0.3450995571</v>
      </c>
      <c r="BA656" s="30">
        <f>IFERROR(__xludf.DUMMYFUNCTION("""COMPUTED_VALUE"""),2300.0)</f>
        <v>2300</v>
      </c>
    </row>
    <row r="657">
      <c r="A657" s="71" t="str">
        <f>IFERROR(__xludf.DUMMYFUNCTION("""COMPUTED_VALUE"""),"Challenger")</f>
        <v>Challenger</v>
      </c>
      <c r="B657" s="71" t="str">
        <f>IFERROR(__xludf.DUMMYFUNCTION("""COMPUTED_VALUE"""),"RSC007626")</f>
        <v>RSC007626</v>
      </c>
      <c r="C657" s="30" t="str">
        <f>IFERROR(__xludf.DUMMYFUNCTION("""COMPUTED_VALUE"""),"ACDye2")</f>
        <v>ACDye2</v>
      </c>
      <c r="D657" s="30" t="str">
        <f>IFERROR(__xludf.DUMMYFUNCTION("""COMPUTED_VALUE"""),"Squalls")</f>
        <v>Squalls</v>
      </c>
      <c r="E657" s="30">
        <f>IFERROR(__xludf.DUMMYFUNCTION("""COMPUTED_VALUE"""),30.0)</f>
        <v>30</v>
      </c>
      <c r="F657" s="30">
        <f>IFERROR(__xludf.DUMMYFUNCTION("""COMPUTED_VALUE"""),16.0)</f>
        <v>16</v>
      </c>
      <c r="G657" s="42">
        <f>IFERROR(__xludf.DUMMYFUNCTION("""COMPUTED_VALUE"""),14.0)</f>
        <v>14</v>
      </c>
      <c r="H657" s="42">
        <f>IFERROR(__xludf.DUMMYFUNCTION("""COMPUTED_VALUE"""),0.5333333333333333)</f>
        <v>0.5333333333</v>
      </c>
      <c r="I657" s="42">
        <f>IFERROR(__xludf.DUMMYFUNCTION("""COMPUTED_VALUE"""),0.2588235294117647)</f>
        <v>0.2588235294</v>
      </c>
      <c r="J657" s="30">
        <f>IFERROR(__xludf.DUMMYFUNCTION("""COMPUTED_VALUE"""),358.6666666666667)</f>
        <v>358.6666667</v>
      </c>
      <c r="K657" s="30">
        <f>IFERROR(__xludf.DUMMYFUNCTION("""COMPUTED_VALUE"""),0.7333333333333333)</f>
        <v>0.7333333333</v>
      </c>
      <c r="L657" s="30">
        <f>IFERROR(__xludf.DUMMYFUNCTION("""COMPUTED_VALUE"""),0.5)</f>
        <v>0.5</v>
      </c>
      <c r="M657" s="30">
        <f>IFERROR(__xludf.DUMMYFUNCTION("""COMPUTED_VALUE"""),1.3666666666666667)</f>
        <v>1.366666667</v>
      </c>
      <c r="N657" s="30">
        <f>IFERROR(__xludf.DUMMYFUNCTION("""COMPUTED_VALUE"""),2.8333333333333335)</f>
        <v>2.833333333</v>
      </c>
      <c r="O657" s="30">
        <f>IFERROR(__xludf.DUMMYFUNCTION("""COMPUTED_VALUE"""),324.24444444444435)</f>
        <v>324.2444444</v>
      </c>
      <c r="P657" s="30">
        <f>IFERROR(__xludf.DUMMYFUNCTION("""COMPUTED_VALUE"""),0.6333333333333332)</f>
        <v>0.6333333333</v>
      </c>
      <c r="Q657" s="30">
        <f>IFERROR(__xludf.DUMMYFUNCTION("""COMPUTED_VALUE"""),0.4000000000000001)</f>
        <v>0.4</v>
      </c>
      <c r="R657" s="30">
        <f>IFERROR(__xludf.DUMMYFUNCTION("""COMPUTED_VALUE"""),1.4444444444444442)</f>
        <v>1.444444444</v>
      </c>
      <c r="S657" s="30">
        <f>IFERROR(__xludf.DUMMYFUNCTION("""COMPUTED_VALUE"""),2.155555555555556)</f>
        <v>2.155555556</v>
      </c>
      <c r="T657" s="30">
        <f>IFERROR(__xludf.DUMMYFUNCTION("""COMPUTED_VALUE"""),338.6455646997075)</f>
        <v>338.6455647</v>
      </c>
      <c r="U657" s="30">
        <f>IFERROR(__xludf.DUMMYFUNCTION("""COMPUTED_VALUE"""),0.8027807219221714)</f>
        <v>0.8027807219</v>
      </c>
      <c r="V657" s="30">
        <f>IFERROR(__xludf.DUMMYFUNCTION("""COMPUTED_VALUE"""),0.5257560115773882)</f>
        <v>0.5257560116</v>
      </c>
      <c r="W657" s="30">
        <f>IFERROR(__xludf.DUMMYFUNCTION("""COMPUTED_VALUE"""),1.1959537825581414)</f>
        <v>1.195953783</v>
      </c>
      <c r="X657" s="30">
        <f>IFERROR(__xludf.DUMMYFUNCTION("""COMPUTED_VALUE"""),2.461350846508864)</f>
        <v>2.461350847</v>
      </c>
      <c r="Y657" s="30">
        <f>IFERROR(__xludf.DUMMYFUNCTION("""COMPUTED_VALUE"""),320.26712176804347)</f>
        <v>320.2671218</v>
      </c>
      <c r="Z657" s="30">
        <f>IFERROR(__xludf.DUMMYFUNCTION("""COMPUTED_VALUE"""),0.6747224002080282)</f>
        <v>0.6747224002</v>
      </c>
      <c r="AA657" s="30">
        <f>IFERROR(__xludf.DUMMYFUNCTION("""COMPUTED_VALUE"""),0.4635931756134382)</f>
        <v>0.4635931756</v>
      </c>
      <c r="AB657" s="30">
        <f>IFERROR(__xludf.DUMMYFUNCTION("""COMPUTED_VALUE"""),1.1917994345182703)</f>
        <v>1.191799435</v>
      </c>
      <c r="AC657" s="30">
        <f>IFERROR(__xludf.DUMMYFUNCTION("""COMPUTED_VALUE"""),2.330033236198721)</f>
        <v>2.330033236</v>
      </c>
      <c r="AD657" s="30">
        <f>IFERROR(__xludf.DUMMYFUNCTION("""COMPUTED_VALUE"""),1.1198984918796455)</f>
        <v>1.119898492</v>
      </c>
      <c r="AE657" s="30">
        <f>IFERROR(__xludf.DUMMYFUNCTION("""COMPUTED_VALUE"""),1.086866736760532)</f>
        <v>1.086866737</v>
      </c>
      <c r="AF657" s="30">
        <f>IFERROR(__xludf.DUMMYFUNCTION("""COMPUTED_VALUE"""),1.0785318384775344)</f>
        <v>1.078531838</v>
      </c>
      <c r="AG657" s="30">
        <f>IFERROR(__xludf.DUMMYFUNCTION("""COMPUTED_VALUE"""),1.1467253860705835)</f>
        <v>1.146725386</v>
      </c>
      <c r="AH657" s="30">
        <f>IFERROR(__xludf.DUMMYFUNCTION("""COMPUTED_VALUE"""),1.2160055441765758)</f>
        <v>1.216005544</v>
      </c>
      <c r="AI657" s="30">
        <f>IFERROR(__xludf.DUMMYFUNCTION("""COMPUTED_VALUE"""),0.9574743573918256)</f>
        <v>0.9574743574</v>
      </c>
      <c r="AJ657" s="30">
        <f>IFERROR(__xludf.DUMMYFUNCTION("""COMPUTED_VALUE"""),0.7889244423021086)</f>
        <v>0.7889244423</v>
      </c>
      <c r="AK657" s="30">
        <f>IFERROR(__xludf.DUMMYFUNCTION("""COMPUTED_VALUE"""),0.7608091799082024)</f>
        <v>0.7608091799</v>
      </c>
      <c r="AL657" s="30">
        <f>IFERROR(__xludf.DUMMYFUNCTION("""COMPUTED_VALUE"""),1.207776141110388)</f>
        <v>1.207776141</v>
      </c>
      <c r="AM657" s="30">
        <f>IFERROR(__xludf.DUMMYFUNCTION("""COMPUTED_VALUE"""),0.8757611937416226)</f>
        <v>0.8757611937</v>
      </c>
      <c r="AN657" s="30">
        <f>IFERROR(__xludf.DUMMYFUNCTION("""COMPUTED_VALUE"""),1.0911276610054548)</f>
        <v>1.091127661</v>
      </c>
      <c r="AO657" s="30">
        <f>IFERROR(__xludf.DUMMYFUNCTION("""COMPUTED_VALUE"""),0.967080832752023)</f>
        <v>0.9670808328</v>
      </c>
      <c r="AP657" s="30">
        <f>IFERROR(__xludf.DUMMYFUNCTION("""COMPUTED_VALUE"""),0.9697028855024696)</f>
        <v>0.9697028855</v>
      </c>
      <c r="AQ657" s="30">
        <f>IFERROR(__xludf.DUMMYFUNCTION("""COMPUTED_VALUE"""),1.1396466465204322)</f>
        <v>1.139646647</v>
      </c>
      <c r="AR657" s="30">
        <f>IFERROR(__xludf.DUMMYFUNCTION("""COMPUTED_VALUE"""),1.1811768263177702)</f>
        <v>1.181176826</v>
      </c>
      <c r="AS657" s="30">
        <f>IFERROR(__xludf.DUMMYFUNCTION("""COMPUTED_VALUE"""),65.0)</f>
        <v>65</v>
      </c>
      <c r="AT657" s="30">
        <f>IFERROR(__xludf.DUMMYFUNCTION("""COMPUTED_VALUE"""),0.5489532807110372)</f>
        <v>0.5489532807</v>
      </c>
      <c r="AU657" s="30">
        <f>IFERROR(__xludf.DUMMYFUNCTION("""COMPUTED_VALUE"""),3.6661535421604725)</f>
        <v>3.666153542</v>
      </c>
      <c r="AV657" s="32">
        <f>IFERROR(__xludf.DUMMYFUNCTION("""COMPUTED_VALUE"""),67.53109190825269)</f>
        <v>67.53109191</v>
      </c>
      <c r="AW657" s="32">
        <f>IFERROR(__xludf.DUMMYFUNCTION("""COMPUTED_VALUE"""),4.139492990995108)</f>
        <v>4.139492991</v>
      </c>
      <c r="AX657" s="32">
        <f>IFERROR(__xludf.DUMMYFUNCTION("""COMPUTED_VALUE"""),65.83780783345539)</f>
        <v>65.83780783</v>
      </c>
      <c r="AY657" s="32">
        <f>IFERROR(__xludf.DUMMYFUNCTION("""COMPUTED_VALUE"""),3.799398286581719)</f>
        <v>3.799398287</v>
      </c>
      <c r="AZ657" s="30">
        <f>IFERROR(__xludf.DUMMYFUNCTION("""COMPUTED_VALUE"""),0.34009470441338907)</f>
        <v>0.3400947044</v>
      </c>
      <c r="BA657" s="30">
        <f>IFERROR(__xludf.DUMMYFUNCTION("""COMPUTED_VALUE"""),2300.0)</f>
        <v>2300</v>
      </c>
    </row>
    <row r="658">
      <c r="A658" s="71" t="str">
        <f>IFERROR(__xludf.DUMMYFUNCTION("""COMPUTED_VALUE"""),"Challenger")</f>
        <v>Challenger</v>
      </c>
      <c r="B658" s="71" t="str">
        <f>IFERROR(__xludf.DUMMYFUNCTION("""COMPUTED_VALUE"""),"RSC005526")</f>
        <v>RSC005526</v>
      </c>
      <c r="C658" s="30" t="str">
        <f>IFERROR(__xludf.DUMMYFUNCTION("""COMPUTED_VALUE"""),"Vortex3524")</f>
        <v>Vortex3524</v>
      </c>
      <c r="D658" s="30" t="str">
        <f>IFERROR(__xludf.DUMMYFUNCTION("""COMPUTED_VALUE"""),"Zombies")</f>
        <v>Zombies</v>
      </c>
      <c r="E658" s="30">
        <f>IFERROR(__xludf.DUMMYFUNCTION("""COMPUTED_VALUE"""),30.0)</f>
        <v>30</v>
      </c>
      <c r="F658" s="30">
        <f>IFERROR(__xludf.DUMMYFUNCTION("""COMPUTED_VALUE"""),12.0)</f>
        <v>12</v>
      </c>
      <c r="G658" s="42">
        <f>IFERROR(__xludf.DUMMYFUNCTION("""COMPUTED_VALUE"""),18.0)</f>
        <v>18</v>
      </c>
      <c r="H658" s="42">
        <f>IFERROR(__xludf.DUMMYFUNCTION("""COMPUTED_VALUE"""),0.4)</f>
        <v>0.4</v>
      </c>
      <c r="I658" s="42">
        <f>IFERROR(__xludf.DUMMYFUNCTION("""COMPUTED_VALUE"""),0.375)</f>
        <v>0.375</v>
      </c>
      <c r="J658" s="30">
        <f>IFERROR(__xludf.DUMMYFUNCTION("""COMPUTED_VALUE"""),354.3)</f>
        <v>354.3</v>
      </c>
      <c r="K658" s="30">
        <f>IFERROR(__xludf.DUMMYFUNCTION("""COMPUTED_VALUE"""),0.9)</f>
        <v>0.9</v>
      </c>
      <c r="L658" s="30">
        <f>IFERROR(__xludf.DUMMYFUNCTION("""COMPUTED_VALUE"""),0.3333333333333333)</f>
        <v>0.3333333333</v>
      </c>
      <c r="M658" s="30">
        <f>IFERROR(__xludf.DUMMYFUNCTION("""COMPUTED_VALUE"""),1.3333333333333333)</f>
        <v>1.333333333</v>
      </c>
      <c r="N658" s="30">
        <f>IFERROR(__xludf.DUMMYFUNCTION("""COMPUTED_VALUE"""),2.4)</f>
        <v>2.4</v>
      </c>
      <c r="O658" s="30">
        <f>IFERROR(__xludf.DUMMYFUNCTION("""COMPUTED_VALUE"""),321.3444444444445)</f>
        <v>321.3444444</v>
      </c>
      <c r="P658" s="30">
        <f>IFERROR(__xludf.DUMMYFUNCTION("""COMPUTED_VALUE"""),0.7444444444444446)</f>
        <v>0.7444444444</v>
      </c>
      <c r="Q658" s="30">
        <f>IFERROR(__xludf.DUMMYFUNCTION("""COMPUTED_VALUE"""),0.5000000000000002)</f>
        <v>0.5</v>
      </c>
      <c r="R658" s="30">
        <f>IFERROR(__xludf.DUMMYFUNCTION("""COMPUTED_VALUE"""),1.1888888888888887)</f>
        <v>1.188888889</v>
      </c>
      <c r="S658" s="30">
        <f>IFERROR(__xludf.DUMMYFUNCTION("""COMPUTED_VALUE"""),2.5111111111111106)</f>
        <v>2.511111111</v>
      </c>
      <c r="T658" s="30">
        <f>IFERROR(__xludf.DUMMYFUNCTION("""COMPUTED_VALUE"""),337.11872895209734)</f>
        <v>337.118729</v>
      </c>
      <c r="U658" s="30">
        <f>IFERROR(__xludf.DUMMYFUNCTION("""COMPUTED_VALUE"""),0.7887118043295831)</f>
        <v>0.7887118043</v>
      </c>
      <c r="V658" s="30">
        <f>IFERROR(__xludf.DUMMYFUNCTION("""COMPUTED_VALUE"""),0.5587909612164565)</f>
        <v>0.5587909612</v>
      </c>
      <c r="W658" s="30">
        <f>IFERROR(__xludf.DUMMYFUNCTION("""COMPUTED_VALUE"""),1.190412676521205)</f>
        <v>1.190412677</v>
      </c>
      <c r="X658" s="30">
        <f>IFERROR(__xludf.DUMMYFUNCTION("""COMPUTED_VALUE"""),2.513433836617502)</f>
        <v>2.513433837</v>
      </c>
      <c r="Y658" s="30">
        <f>IFERROR(__xludf.DUMMYFUNCTION("""COMPUTED_VALUE"""),337.62414788326237)</f>
        <v>337.6241479</v>
      </c>
      <c r="Z658" s="30">
        <f>IFERROR(__xludf.DUMMYFUNCTION("""COMPUTED_VALUE"""),0.7509451573280109)</f>
        <v>0.7509451573</v>
      </c>
      <c r="AA658" s="30">
        <f>IFERROR(__xludf.DUMMYFUNCTION("""COMPUTED_VALUE"""),0.5191822125849466)</f>
        <v>0.5191822126</v>
      </c>
      <c r="AB658" s="30">
        <f>IFERROR(__xludf.DUMMYFUNCTION("""COMPUTED_VALUE"""),1.3218251215561985)</f>
        <v>1.321825122</v>
      </c>
      <c r="AC658" s="30">
        <f>IFERROR(__xludf.DUMMYFUNCTION("""COMPUTED_VALUE"""),2.3741152945898274)</f>
        <v>2.374115295</v>
      </c>
      <c r="AD658" s="30">
        <f>IFERROR(__xludf.DUMMYFUNCTION("""COMPUTED_VALUE"""),1.0493917636557901)</f>
        <v>1.049391764</v>
      </c>
      <c r="AE658" s="30">
        <f>IFERROR(__xludf.DUMMYFUNCTION("""COMPUTED_VALUE"""),1.1984896516309544)</f>
        <v>1.198489652</v>
      </c>
      <c r="AF658" s="30">
        <f>IFERROR(__xludf.DUMMYFUNCTION("""COMPUTED_VALUE"""),0.6420353495427091)</f>
        <v>0.6420353495</v>
      </c>
      <c r="AG658" s="30">
        <f>IFERROR(__xludf.DUMMYFUNCTION("""COMPUTED_VALUE"""),1.0087063043283562)</f>
        <v>1.008706304</v>
      </c>
      <c r="AH658" s="30">
        <f>IFERROR(__xludf.DUMMYFUNCTION("""COMPUTED_VALUE"""),1.0109028847373835)</f>
        <v>1.010902885</v>
      </c>
      <c r="AI658" s="30">
        <f>IFERROR(__xludf.DUMMYFUNCTION("""COMPUTED_VALUE"""),0.9532085192754323)</f>
        <v>0.9532085193</v>
      </c>
      <c r="AJ658" s="30">
        <f>IFERROR(__xludf.DUMMYFUNCTION("""COMPUTED_VALUE"""),0.9438738463883314)</f>
        <v>0.9438738464</v>
      </c>
      <c r="AK658" s="30">
        <f>IFERROR(__xludf.DUMMYFUNCTION("""COMPUTED_VALUE"""),0.8947889903435952)</f>
        <v>0.8947889903</v>
      </c>
      <c r="AL658" s="30">
        <f>IFERROR(__xludf.DUMMYFUNCTION("""COMPUTED_VALUE"""),0.9987199500959874)</f>
        <v>0.9987199501</v>
      </c>
      <c r="AM658" s="30">
        <f>IFERROR(__xludf.DUMMYFUNCTION("""COMPUTED_VALUE"""),0.9990758756118613)</f>
        <v>0.9990758756</v>
      </c>
      <c r="AN658" s="30">
        <f>IFERROR(__xludf.DUMMYFUNCTION("""COMPUTED_VALUE"""),1.0778434859504626)</f>
        <v>1.077843486</v>
      </c>
      <c r="AO658" s="30">
        <f>IFERROR(__xludf.DUMMYFUNCTION("""COMPUTED_VALUE"""),1.1868719311047555)</f>
        <v>1.186871931</v>
      </c>
      <c r="AP658" s="30">
        <f>IFERROR(__xludf.DUMMYFUNCTION("""COMPUTED_VALUE"""),0.6464685903349797)</f>
        <v>0.6464685903</v>
      </c>
      <c r="AQ658" s="30">
        <f>IFERROR(__xludf.DUMMYFUNCTION("""COMPUTED_VALUE"""),1.111850386849202)</f>
        <v>1.111850387</v>
      </c>
      <c r="AR658" s="30">
        <f>IFERROR(__xludf.DUMMYFUNCTION("""COMPUTED_VALUE"""),1.0005262528809347)</f>
        <v>1.000526253</v>
      </c>
      <c r="AS658" s="30">
        <f>IFERROR(__xludf.DUMMYFUNCTION("""COMPUTED_VALUE"""),63.0)</f>
        <v>63</v>
      </c>
      <c r="AT658" s="30">
        <f>IFERROR(__xludf.DUMMYFUNCTION("""COMPUTED_VALUE"""),0.4765753206038177)</f>
        <v>0.4765753206</v>
      </c>
      <c r="AU658" s="30">
        <f>IFERROR(__xludf.DUMMYFUNCTION("""COMPUTED_VALUE"""),3.1054218966946303)</f>
        <v>3.105421897</v>
      </c>
      <c r="AV658" s="32">
        <f>IFERROR(__xludf.DUMMYFUNCTION("""COMPUTED_VALUE"""),52.70413733475813)</f>
        <v>52.70413733</v>
      </c>
      <c r="AW658" s="32">
        <f>IFERROR(__xludf.DUMMYFUNCTION("""COMPUTED_VALUE"""),2.1885084523009875)</f>
        <v>2.188508452</v>
      </c>
      <c r="AX658" s="32">
        <f>IFERROR(__xludf.DUMMYFUNCTION("""COMPUTED_VALUE"""),56.55822713564793)</f>
        <v>56.55822714</v>
      </c>
      <c r="AY658" s="32">
        <f>IFERROR(__xludf.DUMMYFUNCTION("""COMPUTED_VALUE"""),2.521852672848333)</f>
        <v>2.521852673</v>
      </c>
      <c r="AZ658" s="30">
        <f>IFERROR(__xludf.DUMMYFUNCTION("""COMPUTED_VALUE"""),0.3333442205473456)</f>
        <v>0.3333442205</v>
      </c>
      <c r="BA658" s="30">
        <f>IFERROR(__xludf.DUMMYFUNCTION("""COMPUTED_VALUE"""),2300.0)</f>
        <v>2300</v>
      </c>
    </row>
    <row r="659">
      <c r="A659" s="71" t="str">
        <f>IFERROR(__xludf.DUMMYFUNCTION("""COMPUTED_VALUE"""),"Challenger")</f>
        <v>Challenger</v>
      </c>
      <c r="B659" s="71" t="str">
        <f>IFERROR(__xludf.DUMMYFUNCTION("""COMPUTED_VALUE"""),"RSC004844")</f>
        <v>RSC004844</v>
      </c>
      <c r="C659" s="30" t="str">
        <f>IFERROR(__xludf.DUMMYFUNCTION("""COMPUTED_VALUE"""),"Calicat01")</f>
        <v>Calicat01</v>
      </c>
      <c r="D659" s="30" t="str">
        <f>IFERROR(__xludf.DUMMYFUNCTION("""COMPUTED_VALUE"""),"Threshers")</f>
        <v>Threshers</v>
      </c>
      <c r="E659" s="30">
        <f>IFERROR(__xludf.DUMMYFUNCTION("""COMPUTED_VALUE"""),34.0)</f>
        <v>34</v>
      </c>
      <c r="F659" s="30">
        <f>IFERROR(__xludf.DUMMYFUNCTION("""COMPUTED_VALUE"""),12.0)</f>
        <v>12</v>
      </c>
      <c r="G659" s="42">
        <f>IFERROR(__xludf.DUMMYFUNCTION("""COMPUTED_VALUE"""),22.0)</f>
        <v>22</v>
      </c>
      <c r="H659" s="42">
        <f>IFERROR(__xludf.DUMMYFUNCTION("""COMPUTED_VALUE"""),0.35294117647058826)</f>
        <v>0.3529411765</v>
      </c>
      <c r="I659" s="42">
        <f>IFERROR(__xludf.DUMMYFUNCTION("""COMPUTED_VALUE"""),0.2289156626506024)</f>
        <v>0.2289156627</v>
      </c>
      <c r="J659" s="30">
        <f>IFERROR(__xludf.DUMMYFUNCTION("""COMPUTED_VALUE"""),326.29411764705884)</f>
        <v>326.2941176</v>
      </c>
      <c r="K659" s="30">
        <f>IFERROR(__xludf.DUMMYFUNCTION("""COMPUTED_VALUE"""),0.5588235294117647)</f>
        <v>0.5588235294</v>
      </c>
      <c r="L659" s="30">
        <f>IFERROR(__xludf.DUMMYFUNCTION("""COMPUTED_VALUE"""),0.4411764705882353)</f>
        <v>0.4411764706</v>
      </c>
      <c r="M659" s="30">
        <f>IFERROR(__xludf.DUMMYFUNCTION("""COMPUTED_VALUE"""),1.4705882352941178)</f>
        <v>1.470588235</v>
      </c>
      <c r="N659" s="30">
        <f>IFERROR(__xludf.DUMMYFUNCTION("""COMPUTED_VALUE"""),2.4411764705882355)</f>
        <v>2.441176471</v>
      </c>
      <c r="O659" s="30">
        <f>IFERROR(__xludf.DUMMYFUNCTION("""COMPUTED_VALUE"""),365.0588235294118)</f>
        <v>365.0588235</v>
      </c>
      <c r="P659" s="30">
        <f>IFERROR(__xludf.DUMMYFUNCTION("""COMPUTED_VALUE"""),0.9509803921568626)</f>
        <v>0.9509803922</v>
      </c>
      <c r="Q659" s="30">
        <f>IFERROR(__xludf.DUMMYFUNCTION("""COMPUTED_VALUE"""),0.7352941176470589)</f>
        <v>0.7352941176</v>
      </c>
      <c r="R659" s="30">
        <f>IFERROR(__xludf.DUMMYFUNCTION("""COMPUTED_VALUE"""),1.196078431372549)</f>
        <v>1.196078431</v>
      </c>
      <c r="S659" s="30">
        <f>IFERROR(__xludf.DUMMYFUNCTION("""COMPUTED_VALUE"""),2.8235294117647056)</f>
        <v>2.823529412</v>
      </c>
      <c r="T659" s="30">
        <f>IFERROR(__xludf.DUMMYFUNCTION("""COMPUTED_VALUE"""),347.30989897044265)</f>
        <v>347.309899</v>
      </c>
      <c r="U659" s="30">
        <f>IFERROR(__xludf.DUMMYFUNCTION("""COMPUTED_VALUE"""),0.8583916630878108)</f>
        <v>0.8583916631</v>
      </c>
      <c r="V659" s="30">
        <f>IFERROR(__xludf.DUMMYFUNCTION("""COMPUTED_VALUE"""),0.5975790490135405)</f>
        <v>0.597579049</v>
      </c>
      <c r="W659" s="30">
        <f>IFERROR(__xludf.DUMMYFUNCTION("""COMPUTED_VALUE"""),1.16540516462872)</f>
        <v>1.165405165</v>
      </c>
      <c r="X659" s="30">
        <f>IFERROR(__xludf.DUMMYFUNCTION("""COMPUTED_VALUE"""),2.634170440266727)</f>
        <v>2.63417044</v>
      </c>
      <c r="Y659" s="30">
        <f>IFERROR(__xludf.DUMMYFUNCTION("""COMPUTED_VALUE"""),325.2819621710357)</f>
        <v>325.2819622</v>
      </c>
      <c r="Z659" s="30">
        <f>IFERROR(__xludf.DUMMYFUNCTION("""COMPUTED_VALUE"""),0.7201035864167996)</f>
        <v>0.7201035864</v>
      </c>
      <c r="AA659" s="30">
        <f>IFERROR(__xludf.DUMMYFUNCTION("""COMPUTED_VALUE"""),0.48109191414498537)</f>
        <v>0.4810919141</v>
      </c>
      <c r="AB659" s="30">
        <f>IFERROR(__xludf.DUMMYFUNCTION("""COMPUTED_VALUE"""),1.2329016017120216)</f>
        <v>1.232901602</v>
      </c>
      <c r="AC659" s="30">
        <f>IFERROR(__xludf.DUMMYFUNCTION("""COMPUTED_VALUE"""),2.301934703067011)</f>
        <v>2.301934703</v>
      </c>
      <c r="AD659" s="30">
        <f>IFERROR(__xludf.DUMMYFUNCTION("""COMPUTED_VALUE"""),1.0031116249707415)</f>
        <v>1.003111625</v>
      </c>
      <c r="AE659" s="30">
        <f>IFERROR(__xludf.DUMMYFUNCTION("""COMPUTED_VALUE"""),0.7760321430871403)</f>
        <v>0.7760321431</v>
      </c>
      <c r="AF659" s="30">
        <f>IFERROR(__xludf.DUMMYFUNCTION("""COMPUTED_VALUE"""),0.9170315642745954)</f>
        <v>0.9170315643</v>
      </c>
      <c r="AG659" s="30">
        <f>IFERROR(__xludf.DUMMYFUNCTION("""COMPUTED_VALUE"""),1.1927863774789826)</f>
        <v>1.192786377</v>
      </c>
      <c r="AH659" s="30">
        <f>IFERROR(__xludf.DUMMYFUNCTION("""COMPUTED_VALUE"""),1.0604890170584353)</f>
        <v>1.060489017</v>
      </c>
      <c r="AI659" s="30">
        <f>IFERROR(__xludf.DUMMYFUNCTION("""COMPUTED_VALUE"""),1.0511039985084896)</f>
        <v>1.051103999</v>
      </c>
      <c r="AJ659" s="30">
        <f>IFERROR(__xludf.DUMMYFUNCTION("""COMPUTED_VALUE"""),1.1078630339162325)</f>
        <v>1.107863034</v>
      </c>
      <c r="AK659" s="30">
        <f>IFERROR(__xludf.DUMMYFUNCTION("""COMPUTED_VALUE"""),1.2304549814135097)</f>
        <v>1.230454981</v>
      </c>
      <c r="AL659" s="30">
        <f>IFERROR(__xludf.DUMMYFUNCTION("""COMPUTED_VALUE"""),1.0263198307977304)</f>
        <v>1.026319831</v>
      </c>
      <c r="AM659" s="30">
        <f>IFERROR(__xludf.DUMMYFUNCTION("""COMPUTED_VALUE"""),1.0718856185626335)</f>
        <v>1.071885619</v>
      </c>
      <c r="AN659" s="30">
        <f>IFERROR(__xludf.DUMMYFUNCTION("""COMPUTED_VALUE"""),0.9926446209704666)</f>
        <v>0.992644621</v>
      </c>
      <c r="AO659" s="30">
        <f>IFERROR(__xludf.DUMMYFUNCTION("""COMPUTED_VALUE"""),0.7369466238885737)</f>
        <v>0.7369466239</v>
      </c>
      <c r="AP659" s="30">
        <f>IFERROR(__xludf.DUMMYFUNCTION("""COMPUTED_VALUE"""),0.8556201930904143)</f>
        <v>0.8556201931</v>
      </c>
      <c r="AQ659" s="30">
        <f>IFERROR(__xludf.DUMMYFUNCTION("""COMPUTED_VALUE"""),1.2263055737307378)</f>
        <v>1.226305574</v>
      </c>
      <c r="AR659" s="30">
        <f>IFERROR(__xludf.DUMMYFUNCTION("""COMPUTED_VALUE"""),1.0176921444744804)</f>
        <v>1.017692144</v>
      </c>
      <c r="AS659" s="30">
        <f>IFERROR(__xludf.DUMMYFUNCTION("""COMPUTED_VALUE"""),62.0)</f>
        <v>62</v>
      </c>
      <c r="AT659" s="30">
        <f>IFERROR(__xludf.DUMMYFUNCTION("""COMPUTED_VALUE"""),0.33251292049002995)</f>
        <v>0.3325129205</v>
      </c>
      <c r="AU659" s="30">
        <f>IFERROR(__xludf.DUMMYFUNCTION("""COMPUTED_VALUE"""),2.5817339545974973)</f>
        <v>2.581733955</v>
      </c>
      <c r="AV659" s="32">
        <f>IFERROR(__xludf.DUMMYFUNCTION("""COMPUTED_VALUE"""),38.85669820599215)</f>
        <v>38.85669821</v>
      </c>
      <c r="AW659" s="32">
        <f>IFERROR(__xludf.DUMMYFUNCTION("""COMPUTED_VALUE"""),-3.049753086119993)</f>
        <v>-3.049753086</v>
      </c>
      <c r="AX659" s="32">
        <f>IFERROR(__xludf.DUMMYFUNCTION("""COMPUTED_VALUE"""),41.52770616848383)</f>
        <v>41.52770617</v>
      </c>
      <c r="AY659" s="32">
        <f>IFERROR(__xludf.DUMMYFUNCTION("""COMPUTED_VALUE"""),-2.722231857275668)</f>
        <v>-2.722231857</v>
      </c>
      <c r="AZ659" s="30">
        <f>IFERROR(__xludf.DUMMYFUNCTION("""COMPUTED_VALUE"""),0.3275212288443248)</f>
        <v>0.3275212288</v>
      </c>
      <c r="BA659" s="30">
        <f>IFERROR(__xludf.DUMMYFUNCTION("""COMPUTED_VALUE"""),2300.0)</f>
        <v>2300</v>
      </c>
    </row>
    <row r="660">
      <c r="A660" s="71" t="str">
        <f>IFERROR(__xludf.DUMMYFUNCTION("""COMPUTED_VALUE"""),"Challenger")</f>
        <v>Challenger</v>
      </c>
      <c r="B660" s="71" t="str">
        <f>IFERROR(__xludf.DUMMYFUNCTION("""COMPUTED_VALUE"""),"RSC000025")</f>
        <v>RSC000025</v>
      </c>
      <c r="C660" s="30" t="str">
        <f>IFERROR(__xludf.DUMMYFUNCTION("""COMPUTED_VALUE"""),"Slayerof666")</f>
        <v>Slayerof666</v>
      </c>
      <c r="D660" s="30" t="str">
        <f>IFERROR(__xludf.DUMMYFUNCTION("""COMPUTED_VALUE"""),"Apple Associates")</f>
        <v>Apple Associates</v>
      </c>
      <c r="E660" s="30">
        <f>IFERROR(__xludf.DUMMYFUNCTION("""COMPUTED_VALUE"""),32.0)</f>
        <v>32</v>
      </c>
      <c r="F660" s="30">
        <f>IFERROR(__xludf.DUMMYFUNCTION("""COMPUTED_VALUE"""),9.0)</f>
        <v>9</v>
      </c>
      <c r="G660" s="42">
        <f>IFERROR(__xludf.DUMMYFUNCTION("""COMPUTED_VALUE"""),23.0)</f>
        <v>23</v>
      </c>
      <c r="H660" s="42">
        <f>IFERROR(__xludf.DUMMYFUNCTION("""COMPUTED_VALUE"""),0.28125)</f>
        <v>0.28125</v>
      </c>
      <c r="I660" s="42">
        <f>IFERROR(__xludf.DUMMYFUNCTION("""COMPUTED_VALUE"""),0.2289156626506024)</f>
        <v>0.2289156627</v>
      </c>
      <c r="J660" s="30">
        <f>IFERROR(__xludf.DUMMYFUNCTION("""COMPUTED_VALUE"""),306.34375)</f>
        <v>306.34375</v>
      </c>
      <c r="K660" s="30">
        <f>IFERROR(__xludf.DUMMYFUNCTION("""COMPUTED_VALUE"""),0.59375)</f>
        <v>0.59375</v>
      </c>
      <c r="L660" s="30">
        <f>IFERROR(__xludf.DUMMYFUNCTION("""COMPUTED_VALUE"""),0.3125)</f>
        <v>0.3125</v>
      </c>
      <c r="M660" s="30">
        <f>IFERROR(__xludf.DUMMYFUNCTION("""COMPUTED_VALUE"""),1.34375)</f>
        <v>1.34375</v>
      </c>
      <c r="N660" s="30">
        <f>IFERROR(__xludf.DUMMYFUNCTION("""COMPUTED_VALUE"""),2.59375)</f>
        <v>2.59375</v>
      </c>
      <c r="O660" s="30">
        <f>IFERROR(__xludf.DUMMYFUNCTION("""COMPUTED_VALUE"""),346.4583333333333)</f>
        <v>346.4583333</v>
      </c>
      <c r="P660" s="30">
        <f>IFERROR(__xludf.DUMMYFUNCTION("""COMPUTED_VALUE"""),0.90625)</f>
        <v>0.90625</v>
      </c>
      <c r="Q660" s="30">
        <f>IFERROR(__xludf.DUMMYFUNCTION("""COMPUTED_VALUE"""),0.6458333333333334)</f>
        <v>0.6458333333</v>
      </c>
      <c r="R660" s="30">
        <f>IFERROR(__xludf.DUMMYFUNCTION("""COMPUTED_VALUE"""),1.166666666666667)</f>
        <v>1.166666667</v>
      </c>
      <c r="S660" s="30">
        <f>IFERROR(__xludf.DUMMYFUNCTION("""COMPUTED_VALUE"""),2.5312500000000004)</f>
        <v>2.53125</v>
      </c>
      <c r="T660" s="30">
        <f>IFERROR(__xludf.DUMMYFUNCTION("""COMPUTED_VALUE"""),354.6715367560864)</f>
        <v>354.6715368</v>
      </c>
      <c r="U660" s="30">
        <f>IFERROR(__xludf.DUMMYFUNCTION("""COMPUTED_VALUE"""),0.8671732550022105)</f>
        <v>0.867173255</v>
      </c>
      <c r="V660" s="30">
        <f>IFERROR(__xludf.DUMMYFUNCTION("""COMPUTED_VALUE"""),0.6433665680523383)</f>
        <v>0.6433665681</v>
      </c>
      <c r="W660" s="30">
        <f>IFERROR(__xludf.DUMMYFUNCTION("""COMPUTED_VALUE"""),1.2046673722746024)</f>
        <v>1.204667372</v>
      </c>
      <c r="X660" s="30">
        <f>IFERROR(__xludf.DUMMYFUNCTION("""COMPUTED_VALUE"""),2.655647328486018)</f>
        <v>2.655647328</v>
      </c>
      <c r="Y660" s="30">
        <f>IFERROR(__xludf.DUMMYFUNCTION("""COMPUTED_VALUE"""),320.48104310509507)</f>
        <v>320.4810431</v>
      </c>
      <c r="Z660" s="30">
        <f>IFERROR(__xludf.DUMMYFUNCTION("""COMPUTED_VALUE"""),0.6665701071605329)</f>
        <v>0.6665701072</v>
      </c>
      <c r="AA660" s="30">
        <f>IFERROR(__xludf.DUMMYFUNCTION("""COMPUTED_VALUE"""),0.4592179009562193)</f>
        <v>0.459217901</v>
      </c>
      <c r="AB660" s="30">
        <f>IFERROR(__xludf.DUMMYFUNCTION("""COMPUTED_VALUE"""),1.2955684766628364)</f>
        <v>1.295568477</v>
      </c>
      <c r="AC660" s="30">
        <f>IFERROR(__xludf.DUMMYFUNCTION("""COMPUTED_VALUE"""),2.251501289782441)</f>
        <v>2.25150129</v>
      </c>
      <c r="AD660" s="30">
        <f>IFERROR(__xludf.DUMMYFUNCTION("""COMPUTED_VALUE"""),0.9558872719330889)</f>
        <v>0.9558872719</v>
      </c>
      <c r="AE660" s="30">
        <f>IFERROR(__xludf.DUMMYFUNCTION("""COMPUTED_VALUE"""),0.8907540161518295)</f>
        <v>0.8907540162</v>
      </c>
      <c r="AF660" s="30">
        <f>IFERROR(__xludf.DUMMYFUNCTION("""COMPUTED_VALUE"""),0.6805048308205933)</f>
        <v>0.6805048308</v>
      </c>
      <c r="AG660" s="30">
        <f>IFERROR(__xludf.DUMMYFUNCTION("""COMPUTED_VALUE"""),1.037189484157002)</f>
        <v>1.037189484</v>
      </c>
      <c r="AH660" s="30">
        <f>IFERROR(__xludf.DUMMYFUNCTION("""COMPUTED_VALUE"""),1.1520091113297253)</f>
        <v>1.152009111</v>
      </c>
      <c r="AI660" s="30">
        <f>IFERROR(__xludf.DUMMYFUNCTION("""COMPUTED_VALUE"""),0.9768427895345843)</f>
        <v>0.9768427895</v>
      </c>
      <c r="AJ660" s="30">
        <f>IFERROR(__xludf.DUMMYFUNCTION("""COMPUTED_VALUE"""),1.0450622119309825)</f>
        <v>1.045062212</v>
      </c>
      <c r="AK660" s="30">
        <f>IFERROR(__xludf.DUMMYFUNCTION("""COMPUTED_VALUE"""),1.0038341521047056)</f>
        <v>1.003834152</v>
      </c>
      <c r="AL660" s="30">
        <f>IFERROR(__xludf.DUMMYFUNCTION("""COMPUTED_VALUE"""),0.9684554371750069)</f>
        <v>0.9684554372</v>
      </c>
      <c r="AM660" s="30">
        <f>IFERROR(__xludf.DUMMYFUNCTION("""COMPUTED_VALUE"""),0.9531574365497785)</f>
        <v>0.9531574365</v>
      </c>
      <c r="AN660" s="30">
        <f>IFERROR(__xludf.DUMMYFUNCTION("""COMPUTED_VALUE"""),0.9319520615273414)</f>
        <v>0.9319520615</v>
      </c>
      <c r="AO660" s="30">
        <f>IFERROR(__xludf.DUMMYFUNCTION("""COMPUTED_VALUE"""),0.7830057878816096)</f>
        <v>0.7830057879</v>
      </c>
      <c r="AP660" s="30">
        <f>IFERROR(__xludf.DUMMYFUNCTION("""COMPUTED_VALUE"""),0.6060643034390435)</f>
        <v>0.6060643034</v>
      </c>
      <c r="AQ660" s="30">
        <f>IFERROR(__xludf.DUMMYFUNCTION("""COMPUTED_VALUE"""),1.1205367179964616)</f>
        <v>1.120536718</v>
      </c>
      <c r="AR660" s="30">
        <f>IFERROR(__xludf.DUMMYFUNCTION("""COMPUTED_VALUE"""),1.0812979035041352)</f>
        <v>1.081297904</v>
      </c>
      <c r="AS660" s="30">
        <f>IFERROR(__xludf.DUMMYFUNCTION("""COMPUTED_VALUE"""),48.0)</f>
        <v>48</v>
      </c>
      <c r="AT660" s="30">
        <f>IFERROR(__xludf.DUMMYFUNCTION("""COMPUTED_VALUE"""),0.28926830351825444)</f>
        <v>0.2892683035</v>
      </c>
      <c r="AU660" s="30">
        <f>IFERROR(__xludf.DUMMYFUNCTION("""COMPUTED_VALUE"""),2.646421690470305)</f>
        <v>2.64642169</v>
      </c>
      <c r="AV660" s="32">
        <f>IFERROR(__xludf.DUMMYFUNCTION("""COMPUTED_VALUE"""),40.56718151650964)</f>
        <v>40.56718152</v>
      </c>
      <c r="AW660" s="32">
        <f>IFERROR(__xludf.DUMMYFUNCTION("""COMPUTED_VALUE"""),-2.8330971232895106)</f>
        <v>-2.833097123</v>
      </c>
      <c r="AX660" s="32">
        <f>IFERROR(__xludf.DUMMYFUNCTION("""COMPUTED_VALUE"""),43.60018458874471)</f>
        <v>43.60018459</v>
      </c>
      <c r="AY660" s="32">
        <f>IFERROR(__xludf.DUMMYFUNCTION("""COMPUTED_VALUE"""),-2.5064021700286863)</f>
        <v>-2.50640217</v>
      </c>
      <c r="AZ660" s="30">
        <f>IFERROR(__xludf.DUMMYFUNCTION("""COMPUTED_VALUE"""),0.3266949532608243)</f>
        <v>0.3266949533</v>
      </c>
      <c r="BA660" s="30">
        <f>IFERROR(__xludf.DUMMYFUNCTION("""COMPUTED_VALUE"""),2300.0)</f>
        <v>2300</v>
      </c>
    </row>
    <row r="661">
      <c r="A661" s="71" t="str">
        <f>IFERROR(__xludf.DUMMYFUNCTION("""COMPUTED_VALUE"""),"Challenger")</f>
        <v>Challenger</v>
      </c>
      <c r="B661" s="71" t="str">
        <f>IFERROR(__xludf.DUMMYFUNCTION("""COMPUTED_VALUE"""),"RSC007294")</f>
        <v>RSC007294</v>
      </c>
      <c r="C661" s="30" t="str">
        <f>IFERROR(__xludf.DUMMYFUNCTION("""COMPUTED_VALUE"""),"CF0UR_")</f>
        <v>CF0UR_</v>
      </c>
      <c r="D661" s="30" t="str">
        <f>IFERROR(__xludf.DUMMYFUNCTION("""COMPUTED_VALUE"""),"Havarti Hustlers")</f>
        <v>Havarti Hustlers</v>
      </c>
      <c r="E661" s="30">
        <f>IFERROR(__xludf.DUMMYFUNCTION("""COMPUTED_VALUE"""),32.0)</f>
        <v>32</v>
      </c>
      <c r="F661" s="30">
        <f>IFERROR(__xludf.DUMMYFUNCTION("""COMPUTED_VALUE"""),16.0)</f>
        <v>16</v>
      </c>
      <c r="G661" s="42">
        <f>IFERROR(__xludf.DUMMYFUNCTION("""COMPUTED_VALUE"""),16.0)</f>
        <v>16</v>
      </c>
      <c r="H661" s="42">
        <f>IFERROR(__xludf.DUMMYFUNCTION("""COMPUTED_VALUE"""),0.5)</f>
        <v>0.5</v>
      </c>
      <c r="I661" s="42">
        <f>IFERROR(__xludf.DUMMYFUNCTION("""COMPUTED_VALUE"""),0.4)</f>
        <v>0.4</v>
      </c>
      <c r="J661" s="30">
        <f>IFERROR(__xludf.DUMMYFUNCTION("""COMPUTED_VALUE"""),365.5)</f>
        <v>365.5</v>
      </c>
      <c r="K661" s="30">
        <f>IFERROR(__xludf.DUMMYFUNCTION("""COMPUTED_VALUE"""),1.0)</f>
        <v>1</v>
      </c>
      <c r="L661" s="30">
        <f>IFERROR(__xludf.DUMMYFUNCTION("""COMPUTED_VALUE"""),0.375)</f>
        <v>0.375</v>
      </c>
      <c r="M661" s="30">
        <f>IFERROR(__xludf.DUMMYFUNCTION("""COMPUTED_VALUE"""),1.15625)</f>
        <v>1.15625</v>
      </c>
      <c r="N661" s="30">
        <f>IFERROR(__xludf.DUMMYFUNCTION("""COMPUTED_VALUE"""),2.5)</f>
        <v>2.5</v>
      </c>
      <c r="O661" s="30">
        <f>IFERROR(__xludf.DUMMYFUNCTION("""COMPUTED_VALUE"""),353.05208333333337)</f>
        <v>353.0520833</v>
      </c>
      <c r="P661" s="30">
        <f>IFERROR(__xludf.DUMMYFUNCTION("""COMPUTED_VALUE"""),0.7187500000000001)</f>
        <v>0.71875</v>
      </c>
      <c r="Q661" s="30">
        <f>IFERROR(__xludf.DUMMYFUNCTION("""COMPUTED_VALUE"""),0.47916666666666674)</f>
        <v>0.4791666667</v>
      </c>
      <c r="R661" s="30">
        <f>IFERROR(__xludf.DUMMYFUNCTION("""COMPUTED_VALUE"""),1.5624999999999998)</f>
        <v>1.5625</v>
      </c>
      <c r="S661" s="30">
        <f>IFERROR(__xludf.DUMMYFUNCTION("""COMPUTED_VALUE"""),2.239583333333333)</f>
        <v>2.239583333</v>
      </c>
      <c r="T661" s="30">
        <f>IFERROR(__xludf.DUMMYFUNCTION("""COMPUTED_VALUE"""),330.2143731065052)</f>
        <v>330.2143731</v>
      </c>
      <c r="U661" s="30">
        <f>IFERROR(__xludf.DUMMYFUNCTION("""COMPUTED_VALUE"""),0.695300919168329)</f>
        <v>0.6953009192</v>
      </c>
      <c r="V661" s="30">
        <f>IFERROR(__xludf.DUMMYFUNCTION("""COMPUTED_VALUE"""),0.4872569362790148)</f>
        <v>0.4872569363</v>
      </c>
      <c r="W661" s="30">
        <f>IFERROR(__xludf.DUMMYFUNCTION("""COMPUTED_VALUE"""),1.2943446063806001)</f>
        <v>1.294344606</v>
      </c>
      <c r="X661" s="30">
        <f>IFERROR(__xludf.DUMMYFUNCTION("""COMPUTED_VALUE"""),2.3135472869358664)</f>
        <v>2.313547287</v>
      </c>
      <c r="Y661" s="30">
        <f>IFERROR(__xludf.DUMMYFUNCTION("""COMPUTED_VALUE"""),340.395543366795)</f>
        <v>340.3955434</v>
      </c>
      <c r="Z661" s="30">
        <f>IFERROR(__xludf.DUMMYFUNCTION("""COMPUTED_VALUE"""),0.8091606285125023)</f>
        <v>0.8091606285</v>
      </c>
      <c r="AA661" s="30">
        <f>IFERROR(__xludf.DUMMYFUNCTION("""COMPUTED_VALUE"""),0.578510346130227)</f>
        <v>0.5785103461</v>
      </c>
      <c r="AB661" s="30">
        <f>IFERROR(__xludf.DUMMYFUNCTION("""COMPUTED_VALUE"""),1.1707207642385138)</f>
        <v>1.170720764</v>
      </c>
      <c r="AC661" s="30">
        <f>IFERROR(__xludf.DUMMYFUNCTION("""COMPUTED_VALUE"""),2.5761989871424165)</f>
        <v>2.576198987</v>
      </c>
      <c r="AD661" s="30">
        <f>IFERROR(__xludf.DUMMYFUNCTION("""COMPUTED_VALUE"""),1.0737508381716783)</f>
        <v>1.073750838</v>
      </c>
      <c r="AE661" s="30">
        <f>IFERROR(__xludf.DUMMYFUNCTION("""COMPUTED_VALUE"""),1.2358485630205736)</f>
        <v>1.235848563</v>
      </c>
      <c r="AF661" s="30">
        <f>IFERROR(__xludf.DUMMYFUNCTION("""COMPUTED_VALUE"""),0.648216583347992)</f>
        <v>0.6482165833</v>
      </c>
      <c r="AG661" s="30">
        <f>IFERROR(__xludf.DUMMYFUNCTION("""COMPUTED_VALUE"""),0.9876394400094832)</f>
        <v>0.98763944</v>
      </c>
      <c r="AH661" s="30">
        <f>IFERROR(__xludf.DUMMYFUNCTION("""COMPUTED_VALUE"""),0.9704219326524391)</f>
        <v>0.9704219327</v>
      </c>
      <c r="AI661" s="30">
        <f>IFERROR(__xludf.DUMMYFUNCTION("""COMPUTED_VALUE"""),1.0691602549337313)</f>
        <v>1.069160255</v>
      </c>
      <c r="AJ661" s="30">
        <f>IFERROR(__xludf.DUMMYFUNCTION("""COMPUTED_VALUE"""),1.033725082457419)</f>
        <v>1.033725082</v>
      </c>
      <c r="AK661" s="30">
        <f>IFERROR(__xludf.DUMMYFUNCTION("""COMPUTED_VALUE"""),0.9833962966763897)</f>
        <v>0.9833962967</v>
      </c>
      <c r="AL661" s="30">
        <f>IFERROR(__xludf.DUMMYFUNCTION("""COMPUTED_VALUE"""),1.2071746521733864)</f>
        <v>1.207174652</v>
      </c>
      <c r="AM661" s="30">
        <f>IFERROR(__xludf.DUMMYFUNCTION("""COMPUTED_VALUE"""),0.9680300662017185)</f>
        <v>0.9680300662</v>
      </c>
      <c r="AN661" s="30">
        <f>IFERROR(__xludf.DUMMYFUNCTION("""COMPUTED_VALUE"""),1.1119158738777706)</f>
        <v>1.111915874</v>
      </c>
      <c r="AO661" s="30">
        <f>IFERROR(__xludf.DUMMYFUNCTION("""COMPUTED_VALUE"""),1.318746590116395)</f>
        <v>1.31874659</v>
      </c>
      <c r="AP661" s="30">
        <f>IFERROR(__xludf.DUMMYFUNCTION("""COMPUTED_VALUE"""),0.7272771641268522)</f>
        <v>0.7272771641</v>
      </c>
      <c r="AQ661" s="30">
        <f>IFERROR(__xludf.DUMMYFUNCTION("""COMPUTED_VALUE"""),0.9641827573457925)</f>
        <v>0.9641827573</v>
      </c>
      <c r="AR661" s="30">
        <f>IFERROR(__xludf.DUMMYFUNCTION("""COMPUTED_VALUE"""),1.0422148467509738)</f>
        <v>1.042214847</v>
      </c>
      <c r="AS661" s="30">
        <f>IFERROR(__xludf.DUMMYFUNCTION("""COMPUTED_VALUE"""),76.0)</f>
        <v>76</v>
      </c>
      <c r="AT661" s="30">
        <f>IFERROR(__xludf.DUMMYFUNCTION("""COMPUTED_VALUE"""),0.537202231288464)</f>
        <v>0.5372022313</v>
      </c>
      <c r="AU661" s="30">
        <f>IFERROR(__xludf.DUMMYFUNCTION("""COMPUTED_VALUE"""),3.1901208842072606)</f>
        <v>3.190120884</v>
      </c>
      <c r="AV661" s="32">
        <f>IFERROR(__xludf.DUMMYFUNCTION("""COMPUTED_VALUE"""),54.9437613160789)</f>
        <v>54.94376132</v>
      </c>
      <c r="AW661" s="32">
        <f>IFERROR(__xludf.DUMMYFUNCTION("""COMPUTED_VALUE"""),2.3718031120877017)</f>
        <v>2.371803112</v>
      </c>
      <c r="AX661" s="32">
        <f>IFERROR(__xludf.DUMMYFUNCTION("""COMPUTED_VALUE"""),50.813532332295196)</f>
        <v>50.81353233</v>
      </c>
      <c r="AY661" s="32">
        <f>IFERROR(__xludf.DUMMYFUNCTION("""COMPUTED_VALUE"""),2.0533029517049575)</f>
        <v>2.053302952</v>
      </c>
      <c r="AZ661" s="30">
        <f>IFERROR(__xludf.DUMMYFUNCTION("""COMPUTED_VALUE"""),0.3185001603827442)</f>
        <v>0.3185001604</v>
      </c>
      <c r="BA661" s="30">
        <f>IFERROR(__xludf.DUMMYFUNCTION("""COMPUTED_VALUE"""),2300.0)</f>
        <v>2300</v>
      </c>
    </row>
    <row r="662">
      <c r="A662" s="71" t="str">
        <f>IFERROR(__xludf.DUMMYFUNCTION("""COMPUTED_VALUE"""),"Challenger")</f>
        <v>Challenger</v>
      </c>
      <c r="B662" s="71" t="str">
        <f>IFERROR(__xludf.DUMMYFUNCTION("""COMPUTED_VALUE"""),"RSC007546")</f>
        <v>RSC007546</v>
      </c>
      <c r="C662" s="30" t="str">
        <f>IFERROR(__xludf.DUMMYFUNCTION("""COMPUTED_VALUE"""),"N0TTopmarx")</f>
        <v>N0TTopmarx</v>
      </c>
      <c r="D662" s="30" t="str">
        <f>IFERROR(__xludf.DUMMYFUNCTION("""COMPUTED_VALUE"""),"Metal")</f>
        <v>Metal</v>
      </c>
      <c r="E662" s="30">
        <f>IFERROR(__xludf.DUMMYFUNCTION("""COMPUTED_VALUE"""),25.0)</f>
        <v>25</v>
      </c>
      <c r="F662" s="30">
        <f>IFERROR(__xludf.DUMMYFUNCTION("""COMPUTED_VALUE"""),11.0)</f>
        <v>11</v>
      </c>
      <c r="G662" s="42">
        <f>IFERROR(__xludf.DUMMYFUNCTION("""COMPUTED_VALUE"""),14.0)</f>
        <v>14</v>
      </c>
      <c r="H662" s="42">
        <f>IFERROR(__xludf.DUMMYFUNCTION("""COMPUTED_VALUE"""),0.44)</f>
        <v>0.44</v>
      </c>
      <c r="I662" s="42">
        <f>IFERROR(__xludf.DUMMYFUNCTION("""COMPUTED_VALUE"""),0.29032258064516125)</f>
        <v>0.2903225806</v>
      </c>
      <c r="J662" s="30">
        <f>IFERROR(__xludf.DUMMYFUNCTION("""COMPUTED_VALUE"""),325.6)</f>
        <v>325.6</v>
      </c>
      <c r="K662" s="30">
        <f>IFERROR(__xludf.DUMMYFUNCTION("""COMPUTED_VALUE"""),0.72)</f>
        <v>0.72</v>
      </c>
      <c r="L662" s="30">
        <f>IFERROR(__xludf.DUMMYFUNCTION("""COMPUTED_VALUE"""),0.4)</f>
        <v>0.4</v>
      </c>
      <c r="M662" s="30">
        <f>IFERROR(__xludf.DUMMYFUNCTION("""COMPUTED_VALUE"""),1.04)</f>
        <v>1.04</v>
      </c>
      <c r="N662" s="30">
        <f>IFERROR(__xludf.DUMMYFUNCTION("""COMPUTED_VALUE"""),2.48)</f>
        <v>2.48</v>
      </c>
      <c r="O662" s="30">
        <f>IFERROR(__xludf.DUMMYFUNCTION("""COMPUTED_VALUE"""),323.8)</f>
        <v>323.8</v>
      </c>
      <c r="P662" s="30">
        <f>IFERROR(__xludf.DUMMYFUNCTION("""COMPUTED_VALUE"""),0.8)</f>
        <v>0.8</v>
      </c>
      <c r="Q662" s="30">
        <f>IFERROR(__xludf.DUMMYFUNCTION("""COMPUTED_VALUE"""),0.5333333333333332)</f>
        <v>0.5333333333</v>
      </c>
      <c r="R662" s="30">
        <f>IFERROR(__xludf.DUMMYFUNCTION("""COMPUTED_VALUE"""),1.0133333333333332)</f>
        <v>1.013333333</v>
      </c>
      <c r="S662" s="30">
        <f>IFERROR(__xludf.DUMMYFUNCTION("""COMPUTED_VALUE"""),2.4800000000000004)</f>
        <v>2.48</v>
      </c>
      <c r="T662" s="30">
        <f>IFERROR(__xludf.DUMMYFUNCTION("""COMPUTED_VALUE"""),325.85967483443324)</f>
        <v>325.8596748</v>
      </c>
      <c r="U662" s="30">
        <f>IFERROR(__xludf.DUMMYFUNCTION("""COMPUTED_VALUE"""),0.7236113614557148)</f>
        <v>0.7236113615</v>
      </c>
      <c r="V662" s="30">
        <f>IFERROR(__xludf.DUMMYFUNCTION("""COMPUTED_VALUE"""),0.4988205122782103)</f>
        <v>0.4988205123</v>
      </c>
      <c r="W662" s="30">
        <f>IFERROR(__xludf.DUMMYFUNCTION("""COMPUTED_VALUE"""),1.2415519367168584)</f>
        <v>1.241551937</v>
      </c>
      <c r="X662" s="30">
        <f>IFERROR(__xludf.DUMMYFUNCTION("""COMPUTED_VALUE"""),2.2957057587007204)</f>
        <v>2.295705759</v>
      </c>
      <c r="Y662" s="30">
        <f>IFERROR(__xludf.DUMMYFUNCTION("""COMPUTED_VALUE"""),346.44341766676416)</f>
        <v>346.4434177</v>
      </c>
      <c r="Z662" s="30">
        <f>IFERROR(__xludf.DUMMYFUNCTION("""COMPUTED_VALUE"""),0.8466167747278134)</f>
        <v>0.8466167747</v>
      </c>
      <c r="AA662" s="30">
        <f>IFERROR(__xludf.DUMMYFUNCTION("""COMPUTED_VALUE"""),0.6079816374658626)</f>
        <v>0.6079816375</v>
      </c>
      <c r="AB662" s="30">
        <f>IFERROR(__xludf.DUMMYFUNCTION("""COMPUTED_VALUE"""),1.1668701817156966)</f>
        <v>1.166870182</v>
      </c>
      <c r="AC662" s="30">
        <f>IFERROR(__xludf.DUMMYFUNCTION("""COMPUTED_VALUE"""),2.5685094382628453)</f>
        <v>2.568509438</v>
      </c>
      <c r="AD662" s="30">
        <f>IFERROR(__xludf.DUMMYFUNCTION("""COMPUTED_VALUE"""),0.9398360118742018)</f>
        <v>0.9398360119</v>
      </c>
      <c r="AE662" s="30">
        <f>IFERROR(__xludf.DUMMYFUNCTION("""COMPUTED_VALUE"""),0.8504438153041315)</f>
        <v>0.8504438153</v>
      </c>
      <c r="AF662" s="30">
        <f>IFERROR(__xludf.DUMMYFUNCTION("""COMPUTED_VALUE"""),0.6579146068740596)</f>
        <v>0.6579146069</v>
      </c>
      <c r="AG662" s="30">
        <f>IFERROR(__xludf.DUMMYFUNCTION("""COMPUTED_VALUE"""),0.891273096438925)</f>
        <v>0.8912730964</v>
      </c>
      <c r="AH662" s="30">
        <f>IFERROR(__xludf.DUMMYFUNCTION("""COMPUTED_VALUE"""),0.9655405438873113)</f>
        <v>0.9655405439</v>
      </c>
      <c r="AI662" s="30">
        <f>IFERROR(__xludf.DUMMYFUNCTION("""COMPUTED_VALUE"""),0.9936792583019678)</f>
        <v>0.9936792583</v>
      </c>
      <c r="AJ662" s="30">
        <f>IFERROR(__xludf.DUMMYFUNCTION("""COMPUTED_VALUE"""),1.1055658363221543)</f>
        <v>1.105565836</v>
      </c>
      <c r="AK662" s="30">
        <f>IFERROR(__xludf.DUMMYFUNCTION("""COMPUTED_VALUE"""),1.0691888569247006)</f>
        <v>1.069188857</v>
      </c>
      <c r="AL662" s="30">
        <f>IFERROR(__xludf.DUMMYFUNCTION("""COMPUTED_VALUE"""),0.8161827978078605)</f>
        <v>0.8161827978</v>
      </c>
      <c r="AM662" s="30">
        <f>IFERROR(__xludf.DUMMYFUNCTION("""COMPUTED_VALUE"""),1.0802778146113914)</f>
        <v>1.080277815</v>
      </c>
      <c r="AN662" s="30">
        <f>IFERROR(__xludf.DUMMYFUNCTION("""COMPUTED_VALUE"""),0.9905329918867364)</f>
        <v>0.9905329919</v>
      </c>
      <c r="AO662" s="30">
        <f>IFERROR(__xludf.DUMMYFUNCTION("""COMPUTED_VALUE"""),0.9494975448838043)</f>
        <v>0.9494975449</v>
      </c>
      <c r="AP662" s="30">
        <f>IFERROR(__xludf.DUMMYFUNCTION("""COMPUTED_VALUE"""),0.7757623084019757)</f>
        <v>0.7757623084</v>
      </c>
      <c r="AQ662" s="30">
        <f>IFERROR(__xludf.DUMMYFUNCTION("""COMPUTED_VALUE"""),0.8672433017423777)</f>
        <v>0.8672433017</v>
      </c>
      <c r="AR662" s="30">
        <f>IFERROR(__xludf.DUMMYFUNCTION("""COMPUTED_VALUE"""),1.033877127976966)</f>
        <v>1.033877128</v>
      </c>
      <c r="AS662" s="30">
        <f>IFERROR(__xludf.DUMMYFUNCTION("""COMPUTED_VALUE"""),61.0)</f>
        <v>61</v>
      </c>
      <c r="AT662" s="30">
        <f>IFERROR(__xludf.DUMMYFUNCTION("""COMPUTED_VALUE"""),0.5064971171164464)</f>
        <v>0.5064971171</v>
      </c>
      <c r="AU662" s="30">
        <f>IFERROR(__xludf.DUMMYFUNCTION("""COMPUTED_VALUE"""),2.5938692249713324)</f>
        <v>2.593869225</v>
      </c>
      <c r="AV662" s="32">
        <f>IFERROR(__xludf.DUMMYFUNCTION("""COMPUTED_VALUE"""),39.17758093844512)</f>
        <v>39.17758094</v>
      </c>
      <c r="AW662" s="32">
        <f>IFERROR(__xludf.DUMMYFUNCTION("""COMPUTED_VALUE"""),-3.0071128496740585)</f>
        <v>-3.00711285</v>
      </c>
      <c r="AX662" s="32">
        <f>IFERROR(__xludf.DUMMYFUNCTION("""COMPUTED_VALUE"""),41.67266264468354)</f>
        <v>41.67266264</v>
      </c>
      <c r="AY662" s="32">
        <f>IFERROR(__xludf.DUMMYFUNCTION("""COMPUTED_VALUE"""),-2.7061266472853083)</f>
        <v>-2.706126647</v>
      </c>
      <c r="AZ662" s="30">
        <f>IFERROR(__xludf.DUMMYFUNCTION("""COMPUTED_VALUE"""),0.3009862023887502)</f>
        <v>0.3009862024</v>
      </c>
      <c r="BA662" s="30">
        <f>IFERROR(__xludf.DUMMYFUNCTION("""COMPUTED_VALUE"""),2300.0)</f>
        <v>2300</v>
      </c>
    </row>
    <row r="663">
      <c r="A663" s="71" t="str">
        <f>IFERROR(__xludf.DUMMYFUNCTION("""COMPUTED_VALUE"""),"Challenger")</f>
        <v>Challenger</v>
      </c>
      <c r="B663" s="71" t="str">
        <f>IFERROR(__xludf.DUMMYFUNCTION("""COMPUTED_VALUE"""),"RSC006747")</f>
        <v>RSC006747</v>
      </c>
      <c r="C663" s="30" t="str">
        <f>IFERROR(__xludf.DUMMYFUNCTION("""COMPUTED_VALUE"""),"Panda")</f>
        <v>Panda</v>
      </c>
      <c r="D663" s="30" t="str">
        <f>IFERROR(__xludf.DUMMYFUNCTION("""COMPUTED_VALUE"""),"Toucans")</f>
        <v>Toucans</v>
      </c>
      <c r="E663" s="30">
        <f>IFERROR(__xludf.DUMMYFUNCTION("""COMPUTED_VALUE"""),31.0)</f>
        <v>31</v>
      </c>
      <c r="F663" s="30">
        <f>IFERROR(__xludf.DUMMYFUNCTION("""COMPUTED_VALUE"""),16.0)</f>
        <v>16</v>
      </c>
      <c r="G663" s="42">
        <f>IFERROR(__xludf.DUMMYFUNCTION("""COMPUTED_VALUE"""),15.0)</f>
        <v>15</v>
      </c>
      <c r="H663" s="42">
        <f>IFERROR(__xludf.DUMMYFUNCTION("""COMPUTED_VALUE"""),0.5161290322580645)</f>
        <v>0.5161290323</v>
      </c>
      <c r="I663" s="42">
        <f>IFERROR(__xludf.DUMMYFUNCTION("""COMPUTED_VALUE"""),0.2972972972972973)</f>
        <v>0.2972972973</v>
      </c>
      <c r="J663" s="30">
        <f>IFERROR(__xludf.DUMMYFUNCTION("""COMPUTED_VALUE"""),312.5806451612903)</f>
        <v>312.5806452</v>
      </c>
      <c r="K663" s="30">
        <f>IFERROR(__xludf.DUMMYFUNCTION("""COMPUTED_VALUE"""),0.7096774193548387)</f>
        <v>0.7096774194</v>
      </c>
      <c r="L663" s="30">
        <f>IFERROR(__xludf.DUMMYFUNCTION("""COMPUTED_VALUE"""),0.7096774193548387)</f>
        <v>0.7096774194</v>
      </c>
      <c r="M663" s="30">
        <f>IFERROR(__xludf.DUMMYFUNCTION("""COMPUTED_VALUE"""),0.967741935483871)</f>
        <v>0.9677419355</v>
      </c>
      <c r="N663" s="30">
        <f>IFERROR(__xludf.DUMMYFUNCTION("""COMPUTED_VALUE"""),2.3870967741935485)</f>
        <v>2.387096774</v>
      </c>
      <c r="O663" s="30">
        <f>IFERROR(__xludf.DUMMYFUNCTION("""COMPUTED_VALUE"""),309.3440860215053)</f>
        <v>309.344086</v>
      </c>
      <c r="P663" s="30">
        <f>IFERROR(__xludf.DUMMYFUNCTION("""COMPUTED_VALUE"""),0.7096774193548389)</f>
        <v>0.7096774194</v>
      </c>
      <c r="Q663" s="30">
        <f>IFERROR(__xludf.DUMMYFUNCTION("""COMPUTED_VALUE"""),0.4731182795698924)</f>
        <v>0.4731182796</v>
      </c>
      <c r="R663" s="30">
        <f>IFERROR(__xludf.DUMMYFUNCTION("""COMPUTED_VALUE"""),1.1075268817204302)</f>
        <v>1.107526882</v>
      </c>
      <c r="S663" s="30">
        <f>IFERROR(__xludf.DUMMYFUNCTION("""COMPUTED_VALUE"""),2.150537634408603)</f>
        <v>2.150537634</v>
      </c>
      <c r="T663" s="30">
        <f>IFERROR(__xludf.DUMMYFUNCTION("""COMPUTED_VALUE"""),320.40930290542633)</f>
        <v>320.4093029</v>
      </c>
      <c r="U663" s="30">
        <f>IFERROR(__xludf.DUMMYFUNCTION("""COMPUTED_VALUE"""),0.7121781185795439)</f>
        <v>0.7121781186</v>
      </c>
      <c r="V663" s="30">
        <f>IFERROR(__xludf.DUMMYFUNCTION("""COMPUTED_VALUE"""),0.4815137143412376)</f>
        <v>0.4815137143</v>
      </c>
      <c r="W663" s="30">
        <f>IFERROR(__xludf.DUMMYFUNCTION("""COMPUTED_VALUE"""),1.1376078481202523)</f>
        <v>1.137607848</v>
      </c>
      <c r="X663" s="30">
        <f>IFERROR(__xludf.DUMMYFUNCTION("""COMPUTED_VALUE"""),2.4014792579682256)</f>
        <v>2.401479258</v>
      </c>
      <c r="Y663" s="30">
        <f>IFERROR(__xludf.DUMMYFUNCTION("""COMPUTED_VALUE"""),321.5164958882612)</f>
        <v>321.5164959</v>
      </c>
      <c r="Z663" s="30">
        <f>IFERROR(__xludf.DUMMYFUNCTION("""COMPUTED_VALUE"""),0.7123216085800638)</f>
        <v>0.7123216086</v>
      </c>
      <c r="AA663" s="30">
        <f>IFERROR(__xludf.DUMMYFUNCTION("""COMPUTED_VALUE"""),0.49668603936954375)</f>
        <v>0.4966860394</v>
      </c>
      <c r="AB663" s="30">
        <f>IFERROR(__xludf.DUMMYFUNCTION("""COMPUTED_VALUE"""),1.1652104036386084)</f>
        <v>1.165210404</v>
      </c>
      <c r="AC663" s="30">
        <f>IFERROR(__xludf.DUMMYFUNCTION("""COMPUTED_VALUE"""),2.274796827208962)</f>
        <v>2.274796827</v>
      </c>
      <c r="AD663" s="30">
        <f>IFERROR(__xludf.DUMMYFUNCTION("""COMPUTED_VALUE"""),0.972207178041414)</f>
        <v>0.972207178</v>
      </c>
      <c r="AE663" s="30">
        <f>IFERROR(__xludf.DUMMYFUNCTION("""COMPUTED_VALUE"""),0.9962879278216816)</f>
        <v>0.9962879278</v>
      </c>
      <c r="AF663" s="30">
        <f>IFERROR(__xludf.DUMMYFUNCTION("""COMPUTED_VALUE"""),1.4288249781605507)</f>
        <v>1.428824978</v>
      </c>
      <c r="AG663" s="30">
        <f>IFERROR(__xludf.DUMMYFUNCTION("""COMPUTED_VALUE"""),0.8305297759631208)</f>
        <v>0.830529776</v>
      </c>
      <c r="AH663" s="30">
        <f>IFERROR(__xludf.DUMMYFUNCTION("""COMPUTED_VALUE"""),1.0493670228661132)</f>
        <v>1.049367023</v>
      </c>
      <c r="AI663" s="30">
        <f>IFERROR(__xludf.DUMMYFUNCTION("""COMPUTED_VALUE"""),0.9654653695021237)</f>
        <v>0.9654653695</v>
      </c>
      <c r="AJ663" s="30">
        <f>IFERROR(__xludf.DUMMYFUNCTION("""COMPUTED_VALUE"""),0.9964886604074655)</f>
        <v>0.9964886604</v>
      </c>
      <c r="AK663" s="30">
        <f>IFERROR(__xludf.DUMMYFUNCTION("""COMPUTED_VALUE"""),0.9825644950054412)</f>
        <v>0.982564495</v>
      </c>
      <c r="AL663" s="30">
        <f>IFERROR(__xludf.DUMMYFUNCTION("""COMPUTED_VALUE"""),0.9735577014086824)</f>
        <v>0.9735577014</v>
      </c>
      <c r="AM663" s="30">
        <f>IFERROR(__xludf.DUMMYFUNCTION("""COMPUTED_VALUE"""),0.8955053962148596)</f>
        <v>0.8955053962</v>
      </c>
      <c r="AN663" s="30">
        <f>IFERROR(__xludf.DUMMYFUNCTION("""COMPUTED_VALUE"""),0.9509258036163979)</f>
        <v>0.9509258036</v>
      </c>
      <c r="AO663" s="30">
        <f>IFERROR(__xludf.DUMMYFUNCTION("""COMPUTED_VALUE"""),0.9358846768567965)</f>
        <v>0.9358846769</v>
      </c>
      <c r="AP663" s="30">
        <f>IFERROR(__xludf.DUMMYFUNCTION("""COMPUTED_VALUE"""),1.3763524826486666)</f>
        <v>1.376352483</v>
      </c>
      <c r="AQ663" s="30">
        <f>IFERROR(__xludf.DUMMYFUNCTION("""COMPUTED_VALUE"""),0.8069881840034532)</f>
        <v>0.806988184</v>
      </c>
      <c r="AR663" s="30">
        <f>IFERROR(__xludf.DUMMYFUNCTION("""COMPUTED_VALUE"""),0.9951470794783491)</f>
        <v>0.9951470795</v>
      </c>
      <c r="AS663" s="30">
        <f>IFERROR(__xludf.DUMMYFUNCTION("""COMPUTED_VALUE"""),72.0)</f>
        <v>72</v>
      </c>
      <c r="AT663" s="30">
        <f>IFERROR(__xludf.DUMMYFUNCTION("""COMPUTED_VALUE"""),0.5333422998356856)</f>
        <v>0.5333422998</v>
      </c>
      <c r="AU663" s="30">
        <f>IFERROR(__xludf.DUMMYFUNCTION("""COMPUTED_VALUE"""),3.3876601644249975)</f>
        <v>3.387660164</v>
      </c>
      <c r="AV663" s="32">
        <f>IFERROR(__xludf.DUMMYFUNCTION("""COMPUTED_VALUE"""),60.167126107334674)</f>
        <v>60.16712611</v>
      </c>
      <c r="AW663" s="32">
        <f>IFERROR(__xludf.DUMMYFUNCTION("""COMPUTED_VALUE"""),2.9229538893293374)</f>
        <v>2.922953889</v>
      </c>
      <c r="AX663" s="32">
        <f>IFERROR(__xludf.DUMMYFUNCTION("""COMPUTED_VALUE"""),62.09488896486499)</f>
        <v>62.09488896</v>
      </c>
      <c r="AY663" s="32">
        <f>IFERROR(__xludf.DUMMYFUNCTION("""COMPUTED_VALUE"""),3.1820230086171897)</f>
        <v>3.182023009</v>
      </c>
      <c r="AZ663" s="30">
        <f>IFERROR(__xludf.DUMMYFUNCTION("""COMPUTED_VALUE"""),0.25906911928785226)</f>
        <v>0.2590691193</v>
      </c>
      <c r="BA663" s="30">
        <f>IFERROR(__xludf.DUMMYFUNCTION("""COMPUTED_VALUE"""),2300.0)</f>
        <v>2300</v>
      </c>
    </row>
    <row r="664">
      <c r="A664" s="71" t="str">
        <f>IFERROR(__xludf.DUMMYFUNCTION("""COMPUTED_VALUE"""),"Challenger")</f>
        <v>Challenger</v>
      </c>
      <c r="B664" s="71" t="str">
        <f>IFERROR(__xludf.DUMMYFUNCTION("""COMPUTED_VALUE"""),"RSC004059")</f>
        <v>RSC004059</v>
      </c>
      <c r="C664" s="30" t="str">
        <f>IFERROR(__xludf.DUMMYFUNCTION("""COMPUTED_VALUE"""),"turboalpaca")</f>
        <v>turboalpaca</v>
      </c>
      <c r="D664" s="30" t="str">
        <f>IFERROR(__xludf.DUMMYFUNCTION("""COMPUTED_VALUE"""),"Decuriones")</f>
        <v>Decuriones</v>
      </c>
      <c r="E664" s="30">
        <f>IFERROR(__xludf.DUMMYFUNCTION("""COMPUTED_VALUE"""),25.0)</f>
        <v>25</v>
      </c>
      <c r="F664" s="30">
        <f>IFERROR(__xludf.DUMMYFUNCTION("""COMPUTED_VALUE"""),15.0)</f>
        <v>15</v>
      </c>
      <c r="G664" s="42">
        <f>IFERROR(__xludf.DUMMYFUNCTION("""COMPUTED_VALUE"""),10.0)</f>
        <v>10</v>
      </c>
      <c r="H664" s="42">
        <f>IFERROR(__xludf.DUMMYFUNCTION("""COMPUTED_VALUE"""),0.6)</f>
        <v>0.6</v>
      </c>
      <c r="I664" s="42">
        <f>IFERROR(__xludf.DUMMYFUNCTION("""COMPUTED_VALUE"""),0.3442622950819672)</f>
        <v>0.3442622951</v>
      </c>
      <c r="J664" s="30">
        <f>IFERROR(__xludf.DUMMYFUNCTION("""COMPUTED_VALUE"""),327.04)</f>
        <v>327.04</v>
      </c>
      <c r="K664" s="30">
        <f>IFERROR(__xludf.DUMMYFUNCTION("""COMPUTED_VALUE"""),0.84)</f>
        <v>0.84</v>
      </c>
      <c r="L664" s="30">
        <f>IFERROR(__xludf.DUMMYFUNCTION("""COMPUTED_VALUE"""),0.72)</f>
        <v>0.72</v>
      </c>
      <c r="M664" s="30">
        <f>IFERROR(__xludf.DUMMYFUNCTION("""COMPUTED_VALUE"""),0.88)</f>
        <v>0.88</v>
      </c>
      <c r="N664" s="30">
        <f>IFERROR(__xludf.DUMMYFUNCTION("""COMPUTED_VALUE"""),2.44)</f>
        <v>2.44</v>
      </c>
      <c r="O664" s="30">
        <f>IFERROR(__xludf.DUMMYFUNCTION("""COMPUTED_VALUE"""),296.87999999999994)</f>
        <v>296.88</v>
      </c>
      <c r="P664" s="30">
        <f>IFERROR(__xludf.DUMMYFUNCTION("""COMPUTED_VALUE"""),0.5733333333333334)</f>
        <v>0.5733333333</v>
      </c>
      <c r="Q664" s="30">
        <f>IFERROR(__xludf.DUMMYFUNCTION("""COMPUTED_VALUE"""),0.3999999999999999)</f>
        <v>0.4</v>
      </c>
      <c r="R664" s="30">
        <f>IFERROR(__xludf.DUMMYFUNCTION("""COMPUTED_VALUE"""),1.2400000000000002)</f>
        <v>1.24</v>
      </c>
      <c r="S664" s="30">
        <f>IFERROR(__xludf.DUMMYFUNCTION("""COMPUTED_VALUE"""),1.8933333333333335)</f>
        <v>1.893333333</v>
      </c>
      <c r="T664" s="30">
        <f>IFERROR(__xludf.DUMMYFUNCTION("""COMPUTED_VALUE"""),327.9849846933521)</f>
        <v>327.9849847</v>
      </c>
      <c r="U664" s="30">
        <f>IFERROR(__xludf.DUMMYFUNCTION("""COMPUTED_VALUE"""),0.7140208095224126)</f>
        <v>0.7140208095</v>
      </c>
      <c r="V664" s="30">
        <f>IFERROR(__xludf.DUMMYFUNCTION("""COMPUTED_VALUE"""),0.5327288967964009)</f>
        <v>0.5327288968</v>
      </c>
      <c r="W664" s="30">
        <f>IFERROR(__xludf.DUMMYFUNCTION("""COMPUTED_VALUE"""),1.2589139540958558)</f>
        <v>1.258913954</v>
      </c>
      <c r="X664" s="30">
        <f>IFERROR(__xludf.DUMMYFUNCTION("""COMPUTED_VALUE"""),2.190903494025852)</f>
        <v>2.190903494</v>
      </c>
      <c r="Y664" s="30">
        <f>IFERROR(__xludf.DUMMYFUNCTION("""COMPUTED_VALUE"""),332.26603928540027)</f>
        <v>332.2660393</v>
      </c>
      <c r="Z664" s="30">
        <f>IFERROR(__xludf.DUMMYFUNCTION("""COMPUTED_VALUE"""),0.813710635188421)</f>
        <v>0.8137106352</v>
      </c>
      <c r="AA664" s="30">
        <f>IFERROR(__xludf.DUMMYFUNCTION("""COMPUTED_VALUE"""),0.5745110051303646)</f>
        <v>0.5745110051</v>
      </c>
      <c r="AB664" s="30">
        <f>IFERROR(__xludf.DUMMYFUNCTION("""COMPUTED_VALUE"""),1.079802696793078)</f>
        <v>1.079802697</v>
      </c>
      <c r="AC664" s="30">
        <f>IFERROR(__xludf.DUMMYFUNCTION("""COMPUTED_VALUE"""),2.533669499551351)</f>
        <v>2.5336695</v>
      </c>
      <c r="AD664" s="30">
        <f>IFERROR(__xludf.DUMMYFUNCTION("""COMPUTED_VALUE"""),0.9842715214090497)</f>
        <v>0.9842715214</v>
      </c>
      <c r="AE664" s="30">
        <f>IFERROR(__xludf.DUMMYFUNCTION("""COMPUTED_VALUE"""),1.0323080019784816)</f>
        <v>1.032308002</v>
      </c>
      <c r="AF664" s="30">
        <f>IFERROR(__xludf.DUMMYFUNCTION("""COMPUTED_VALUE"""),1.253239700493852)</f>
        <v>1.2532397</v>
      </c>
      <c r="AG664" s="30">
        <f>IFERROR(__xludf.DUMMYFUNCTION("""COMPUTED_VALUE"""),0.8149636990290217)</f>
        <v>0.814963699</v>
      </c>
      <c r="AH664" s="30">
        <f>IFERROR(__xludf.DUMMYFUNCTION("""COMPUTED_VALUE"""),0.9630301033469686)</f>
        <v>0.9630301033</v>
      </c>
      <c r="AI664" s="30">
        <f>IFERROR(__xludf.DUMMYFUNCTION("""COMPUTED_VALUE"""),0.9051633881275584)</f>
        <v>0.9051633881</v>
      </c>
      <c r="AJ664" s="30">
        <f>IFERROR(__xludf.DUMMYFUNCTION("""COMPUTED_VALUE"""),0.8029644594207542)</f>
        <v>0.8029644594</v>
      </c>
      <c r="AK664" s="30">
        <f>IFERROR(__xludf.DUMMYFUNCTION("""COMPUTED_VALUE"""),0.750850953281163)</f>
        <v>0.7508509533</v>
      </c>
      <c r="AL664" s="30">
        <f>IFERROR(__xludf.DUMMYFUNCTION("""COMPUTED_VALUE"""),0.9849759754951326)</f>
        <v>0.9849759755</v>
      </c>
      <c r="AM664" s="30">
        <f>IFERROR(__xludf.DUMMYFUNCTION("""COMPUTED_VALUE"""),0.8641792477377797)</f>
        <v>0.8641792477</v>
      </c>
      <c r="AN664" s="30">
        <f>IFERROR(__xludf.DUMMYFUNCTION("""COMPUTED_VALUE"""),0.9949137274773902)</f>
        <v>0.9949137275</v>
      </c>
      <c r="AO664" s="30">
        <f>IFERROR(__xludf.DUMMYFUNCTION("""COMPUTED_VALUE"""),1.1077471356977717)</f>
        <v>1.107747136</v>
      </c>
      <c r="AP664" s="30">
        <f>IFERROR(__xludf.DUMMYFUNCTION("""COMPUTED_VALUE"""),1.3963721551235562)</f>
        <v>1.396372155</v>
      </c>
      <c r="AQ664" s="30">
        <f>IFERROR(__xludf.DUMMYFUNCTION("""COMPUTED_VALUE"""),0.7338212553204735)</f>
        <v>0.7338212553</v>
      </c>
      <c r="AR664" s="30">
        <f>IFERROR(__xludf.DUMMYFUNCTION("""COMPUTED_VALUE"""),1.0172016904289503)</f>
        <v>1.01720169</v>
      </c>
      <c r="AS664" s="30">
        <f>IFERROR(__xludf.DUMMYFUNCTION("""COMPUTED_VALUE"""),56.0)</f>
        <v>56</v>
      </c>
      <c r="AT664" s="30">
        <f>IFERROR(__xludf.DUMMYFUNCTION("""COMPUTED_VALUE"""),0.5967870169720001)</f>
        <v>0.596787017</v>
      </c>
      <c r="AU664" s="30">
        <f>IFERROR(__xludf.DUMMYFUNCTION("""COMPUTED_VALUE"""),3.6186032338709433)</f>
        <v>3.618603234</v>
      </c>
      <c r="AV664" s="32">
        <f>IFERROR(__xludf.DUMMYFUNCTION("""COMPUTED_VALUE"""),66.27375915975266)</f>
        <v>66.27375916</v>
      </c>
      <c r="AW664" s="32">
        <f>IFERROR(__xludf.DUMMYFUNCTION("""COMPUTED_VALUE"""),3.8829030811440237)</f>
        <v>3.882903081</v>
      </c>
      <c r="AX664" s="32">
        <f>IFERROR(__xludf.DUMMYFUNCTION("""COMPUTED_VALUE"""),64.94332062322053)</f>
        <v>64.94332062</v>
      </c>
      <c r="AY664" s="32">
        <f>IFERROR(__xludf.DUMMYFUNCTION("""COMPUTED_VALUE"""),3.6362431816605807)</f>
        <v>3.636243182</v>
      </c>
      <c r="AZ664" s="30">
        <f>IFERROR(__xludf.DUMMYFUNCTION("""COMPUTED_VALUE"""),0.24665989948344302)</f>
        <v>0.2466598995</v>
      </c>
      <c r="BA664" s="30">
        <f>IFERROR(__xludf.DUMMYFUNCTION("""COMPUTED_VALUE"""),2300.0)</f>
        <v>2300</v>
      </c>
    </row>
    <row r="665">
      <c r="A665" s="71" t="str">
        <f>IFERROR(__xludf.DUMMYFUNCTION("""COMPUTED_VALUE"""),"Challenger")</f>
        <v>Challenger</v>
      </c>
      <c r="B665" s="71" t="str">
        <f>IFERROR(__xludf.DUMMYFUNCTION("""COMPUTED_VALUE"""),"RSC007824")</f>
        <v>RSC007824</v>
      </c>
      <c r="C665" s="30" t="str">
        <f>IFERROR(__xludf.DUMMYFUNCTION("""COMPUTED_VALUE"""),"Akki404")</f>
        <v>Akki404</v>
      </c>
      <c r="D665" s="30" t="str">
        <f>IFERROR(__xludf.DUMMYFUNCTION("""COMPUTED_VALUE"""),"Bingo")</f>
        <v>Bingo</v>
      </c>
      <c r="E665" s="30">
        <f>IFERROR(__xludf.DUMMYFUNCTION("""COMPUTED_VALUE"""),35.0)</f>
        <v>35</v>
      </c>
      <c r="F665" s="30">
        <f>IFERROR(__xludf.DUMMYFUNCTION("""COMPUTED_VALUE"""),12.0)</f>
        <v>12</v>
      </c>
      <c r="G665" s="42">
        <f>IFERROR(__xludf.DUMMYFUNCTION("""COMPUTED_VALUE"""),23.0)</f>
        <v>23</v>
      </c>
      <c r="H665" s="42">
        <f>IFERROR(__xludf.DUMMYFUNCTION("""COMPUTED_VALUE"""),0.34285714285714286)</f>
        <v>0.3428571429</v>
      </c>
      <c r="I665" s="42">
        <f>IFERROR(__xludf.DUMMYFUNCTION("""COMPUTED_VALUE"""),0.4444444444444445)</f>
        <v>0.4444444444</v>
      </c>
      <c r="J665" s="30">
        <f>IFERROR(__xludf.DUMMYFUNCTION("""COMPUTED_VALUE"""),362.51428571428573)</f>
        <v>362.5142857</v>
      </c>
      <c r="K665" s="30">
        <f>IFERROR(__xludf.DUMMYFUNCTION("""COMPUTED_VALUE"""),0.8)</f>
        <v>0.8</v>
      </c>
      <c r="L665" s="30">
        <f>IFERROR(__xludf.DUMMYFUNCTION("""COMPUTED_VALUE"""),0.6857142857142857)</f>
        <v>0.6857142857</v>
      </c>
      <c r="M665" s="30">
        <f>IFERROR(__xludf.DUMMYFUNCTION("""COMPUTED_VALUE"""),1.3142857142857143)</f>
        <v>1.314285714</v>
      </c>
      <c r="N665" s="30">
        <f>IFERROR(__xludf.DUMMYFUNCTION("""COMPUTED_VALUE"""),1.8)</f>
        <v>1.8</v>
      </c>
      <c r="O665" s="30">
        <f>IFERROR(__xludf.DUMMYFUNCTION("""COMPUTED_VALUE"""),359.0952380952381)</f>
        <v>359.0952381</v>
      </c>
      <c r="P665" s="30">
        <f>IFERROR(__xludf.DUMMYFUNCTION("""COMPUTED_VALUE"""),1.0095238095238097)</f>
        <v>1.00952381</v>
      </c>
      <c r="Q665" s="30">
        <f>IFERROR(__xludf.DUMMYFUNCTION("""COMPUTED_VALUE"""),0.7714285714285715)</f>
        <v>0.7714285714</v>
      </c>
      <c r="R665" s="30">
        <f>IFERROR(__xludf.DUMMYFUNCTION("""COMPUTED_VALUE"""),0.8857142857142856)</f>
        <v>0.8857142857</v>
      </c>
      <c r="S665" s="30">
        <f>IFERROR(__xludf.DUMMYFUNCTION("""COMPUTED_VALUE"""),2.8761904761904757)</f>
        <v>2.876190476</v>
      </c>
      <c r="T665" s="30">
        <f>IFERROR(__xludf.DUMMYFUNCTION("""COMPUTED_VALUE"""),337.9137669500177)</f>
        <v>337.913767</v>
      </c>
      <c r="U665" s="30">
        <f>IFERROR(__xludf.DUMMYFUNCTION("""COMPUTED_VALUE"""),0.8285901078306166)</f>
        <v>0.8285901078</v>
      </c>
      <c r="V665" s="30">
        <f>IFERROR(__xludf.DUMMYFUNCTION("""COMPUTED_VALUE"""),0.5709404475869451)</f>
        <v>0.5709404476</v>
      </c>
      <c r="W665" s="30">
        <f>IFERROR(__xludf.DUMMYFUNCTION("""COMPUTED_VALUE"""),1.0944687769227155)</f>
        <v>1.094468777</v>
      </c>
      <c r="X665" s="30">
        <f>IFERROR(__xludf.DUMMYFUNCTION("""COMPUTED_VALUE"""),2.674144622543499)</f>
        <v>2.674144623</v>
      </c>
      <c r="Y665" s="30">
        <f>IFERROR(__xludf.DUMMYFUNCTION("""COMPUTED_VALUE"""),328.9764505792231)</f>
        <v>328.9764506</v>
      </c>
      <c r="Z665" s="30">
        <f>IFERROR(__xludf.DUMMYFUNCTION("""COMPUTED_VALUE"""),0.7057303016317223)</f>
        <v>0.7057303016</v>
      </c>
      <c r="AA665" s="30">
        <f>IFERROR(__xludf.DUMMYFUNCTION("""COMPUTED_VALUE"""),0.49541568392547136)</f>
        <v>0.4954156839</v>
      </c>
      <c r="AB665" s="30">
        <f>IFERROR(__xludf.DUMMYFUNCTION("""COMPUTED_VALUE"""),1.3083649162665647)</f>
        <v>1.308364916</v>
      </c>
      <c r="AC665" s="30">
        <f>IFERROR(__xludf.DUMMYFUNCTION("""COMPUTED_VALUE"""),2.228588755411501)</f>
        <v>2.228588755</v>
      </c>
      <c r="AD665" s="30">
        <f>IFERROR(__xludf.DUMMYFUNCTION("""COMPUTED_VALUE"""),1.1019460057886001)</f>
        <v>1.101946006</v>
      </c>
      <c r="AE665" s="30">
        <f>IFERROR(__xludf.DUMMYFUNCTION("""COMPUTED_VALUE"""),1.1335775127556749)</f>
        <v>1.133577513</v>
      </c>
      <c r="AF665" s="30">
        <f>IFERROR(__xludf.DUMMYFUNCTION("""COMPUTED_VALUE"""),1.3841190498471223)</f>
        <v>1.38411905</v>
      </c>
      <c r="AG665" s="30">
        <f>IFERROR(__xludf.DUMMYFUNCTION("""COMPUTED_VALUE"""),1.0045253414743378)</f>
        <v>1.004525341</v>
      </c>
      <c r="AH665" s="30">
        <f>IFERROR(__xludf.DUMMYFUNCTION("""COMPUTED_VALUE"""),0.8076860280431758)</f>
        <v>0.807686028</v>
      </c>
      <c r="AI665" s="30">
        <f>IFERROR(__xludf.DUMMYFUNCTION("""COMPUTED_VALUE"""),1.0626830665598581)</f>
        <v>1.062683067</v>
      </c>
      <c r="AJ665" s="30">
        <f>IFERROR(__xludf.DUMMYFUNCTION("""COMPUTED_VALUE"""),1.2183633378956296)</f>
        <v>1.218363338</v>
      </c>
      <c r="AK665" s="30">
        <f>IFERROR(__xludf.DUMMYFUNCTION("""COMPUTED_VALUE"""),1.3511541784944134)</f>
        <v>1.351154178</v>
      </c>
      <c r="AL665" s="30">
        <f>IFERROR(__xludf.DUMMYFUNCTION("""COMPUTED_VALUE"""),0.809264096326824)</f>
        <v>0.8092640963</v>
      </c>
      <c r="AM665" s="30">
        <f>IFERROR(__xludf.DUMMYFUNCTION("""COMPUTED_VALUE"""),1.0755553203606474)</f>
        <v>1.07555532</v>
      </c>
      <c r="AN665" s="30">
        <f>IFERROR(__xludf.DUMMYFUNCTION("""COMPUTED_VALUE"""),1.1028328010757205)</f>
        <v>1.102832801</v>
      </c>
      <c r="AO665" s="30">
        <f>IFERROR(__xludf.DUMMYFUNCTION("""COMPUTED_VALUE"""),1.054997272093116)</f>
        <v>1.054997272</v>
      </c>
      <c r="AP665" s="30">
        <f>IFERROR(__xludf.DUMMYFUNCTION("""COMPUTED_VALUE"""),1.3298782429748155)</f>
        <v>1.329878243</v>
      </c>
      <c r="AQ665" s="30">
        <f>IFERROR(__xludf.DUMMYFUNCTION("""COMPUTED_VALUE"""),1.0959668098942135)</f>
        <v>1.09596681</v>
      </c>
      <c r="AR665" s="30">
        <f>IFERROR(__xludf.DUMMYFUNCTION("""COMPUTED_VALUE"""),0.7503946896607011)</f>
        <v>0.7503946897</v>
      </c>
      <c r="AS665" s="30">
        <f>IFERROR(__xludf.DUMMYFUNCTION("""COMPUTED_VALUE"""),70.0)</f>
        <v>70</v>
      </c>
      <c r="AT665" s="30">
        <f>IFERROR(__xludf.DUMMYFUNCTION("""COMPUTED_VALUE"""),0.34082152313608755)</f>
        <v>0.3408215231</v>
      </c>
      <c r="AU665" s="30">
        <f>IFERROR(__xludf.DUMMYFUNCTION("""COMPUTED_VALUE"""),3.054160979236033)</f>
        <v>3.054160979</v>
      </c>
      <c r="AV665" s="32">
        <f>IFERROR(__xludf.DUMMYFUNCTION("""COMPUTED_VALUE"""),51.34868807360069)</f>
        <v>51.34868807</v>
      </c>
      <c r="AW665" s="32">
        <f>IFERROR(__xludf.DUMMYFUNCTION("""COMPUTED_VALUE"""),2.0899144435856556)</f>
        <v>2.089914444</v>
      </c>
      <c r="AX665" s="32">
        <f>IFERROR(__xludf.DUMMYFUNCTION("""COMPUTED_VALUE"""),54.14887861113938)</f>
        <v>54.14887861</v>
      </c>
      <c r="AY665" s="32">
        <f>IFERROR(__xludf.DUMMYFUNCTION("""COMPUTED_VALUE"""),2.303637241288752)</f>
        <v>2.303637241</v>
      </c>
      <c r="AZ665" s="30">
        <f>IFERROR(__xludf.DUMMYFUNCTION("""COMPUTED_VALUE"""),0.2137227977030962)</f>
        <v>0.2137227977</v>
      </c>
      <c r="BA665" s="30">
        <f>IFERROR(__xludf.DUMMYFUNCTION("""COMPUTED_VALUE"""),2300.0)</f>
        <v>2300</v>
      </c>
    </row>
    <row r="666">
      <c r="A666" s="71" t="str">
        <f>IFERROR(__xludf.DUMMYFUNCTION("""COMPUTED_VALUE"""),"Challenger")</f>
        <v>Challenger</v>
      </c>
      <c r="B666" s="71" t="str">
        <f>IFERROR(__xludf.DUMMYFUNCTION("""COMPUTED_VALUE"""),"RSC003978")</f>
        <v>RSC003978</v>
      </c>
      <c r="C666" s="30" t="str">
        <f>IFERROR(__xludf.DUMMYFUNCTION("""COMPUTED_VALUE"""),"thenio")</f>
        <v>thenio</v>
      </c>
      <c r="D666" s="30" t="str">
        <f>IFERROR(__xludf.DUMMYFUNCTION("""COMPUTED_VALUE"""),"Quarter")</f>
        <v>Quarter</v>
      </c>
      <c r="E666" s="30">
        <f>IFERROR(__xludf.DUMMYFUNCTION("""COMPUTED_VALUE"""),24.0)</f>
        <v>24</v>
      </c>
      <c r="F666" s="30">
        <f>IFERROR(__xludf.DUMMYFUNCTION("""COMPUTED_VALUE"""),6.0)</f>
        <v>6</v>
      </c>
      <c r="G666" s="42">
        <f>IFERROR(__xludf.DUMMYFUNCTION("""COMPUTED_VALUE"""),18.0)</f>
        <v>18</v>
      </c>
      <c r="H666" s="42">
        <f>IFERROR(__xludf.DUMMYFUNCTION("""COMPUTED_VALUE"""),0.25)</f>
        <v>0.25</v>
      </c>
      <c r="I666" s="42">
        <f>IFERROR(__xludf.DUMMYFUNCTION("""COMPUTED_VALUE"""),0.4107142857142857)</f>
        <v>0.4107142857</v>
      </c>
      <c r="J666" s="30">
        <f>IFERROR(__xludf.DUMMYFUNCTION("""COMPUTED_VALUE"""),336.5)</f>
        <v>336.5</v>
      </c>
      <c r="K666" s="30">
        <f>IFERROR(__xludf.DUMMYFUNCTION("""COMPUTED_VALUE"""),0.9583333333333334)</f>
        <v>0.9583333333</v>
      </c>
      <c r="L666" s="30">
        <f>IFERROR(__xludf.DUMMYFUNCTION("""COMPUTED_VALUE"""),0.3333333333333333)</f>
        <v>0.3333333333</v>
      </c>
      <c r="M666" s="30">
        <f>IFERROR(__xludf.DUMMYFUNCTION("""COMPUTED_VALUE"""),1.1666666666666667)</f>
        <v>1.166666667</v>
      </c>
      <c r="N666" s="30">
        <f>IFERROR(__xludf.DUMMYFUNCTION("""COMPUTED_VALUE"""),2.3333333333333335)</f>
        <v>2.333333333</v>
      </c>
      <c r="O666" s="30">
        <f>IFERROR(__xludf.DUMMYFUNCTION("""COMPUTED_VALUE"""),374.2222222222222)</f>
        <v>374.2222222</v>
      </c>
      <c r="P666" s="30">
        <f>IFERROR(__xludf.DUMMYFUNCTION("""COMPUTED_VALUE"""),1.0555555555555556)</f>
        <v>1.055555556</v>
      </c>
      <c r="Q666" s="30">
        <f>IFERROR(__xludf.DUMMYFUNCTION("""COMPUTED_VALUE"""),0.7499999999999997)</f>
        <v>0.75</v>
      </c>
      <c r="R666" s="30">
        <f>IFERROR(__xludf.DUMMYFUNCTION("""COMPUTED_VALUE"""),0.9027777777777777)</f>
        <v>0.9027777778</v>
      </c>
      <c r="S666" s="30">
        <f>IFERROR(__xludf.DUMMYFUNCTION("""COMPUTED_VALUE"""),2.986111111111111)</f>
        <v>2.986111111</v>
      </c>
      <c r="T666" s="30">
        <f>IFERROR(__xludf.DUMMYFUNCTION("""COMPUTED_VALUE"""),344.39726969487816)</f>
        <v>344.3972697</v>
      </c>
      <c r="U666" s="30">
        <f>IFERROR(__xludf.DUMMYFUNCTION("""COMPUTED_VALUE"""),0.8401501200704021)</f>
        <v>0.8401501201</v>
      </c>
      <c r="V666" s="30">
        <f>IFERROR(__xludf.DUMMYFUNCTION("""COMPUTED_VALUE"""),0.6131683581015196)</f>
        <v>0.6131683581</v>
      </c>
      <c r="W666" s="30">
        <f>IFERROR(__xludf.DUMMYFUNCTION("""COMPUTED_VALUE"""),1.1274054131159368)</f>
        <v>1.127405413</v>
      </c>
      <c r="X666" s="30">
        <f>IFERROR(__xludf.DUMMYFUNCTION("""COMPUTED_VALUE"""),2.6286962869794794)</f>
        <v>2.628696287</v>
      </c>
      <c r="Y666" s="30">
        <f>IFERROR(__xludf.DUMMYFUNCTION("""COMPUTED_VALUE"""),324.01355766707184)</f>
        <v>324.0135577</v>
      </c>
      <c r="Z666" s="30">
        <f>IFERROR(__xludf.DUMMYFUNCTION("""COMPUTED_VALUE"""),0.6982278839860364)</f>
        <v>0.698227884</v>
      </c>
      <c r="AA666" s="30">
        <f>IFERROR(__xludf.DUMMYFUNCTION("""COMPUTED_VALUE"""),0.4702840954102489)</f>
        <v>0.4702840954</v>
      </c>
      <c r="AB666" s="30">
        <f>IFERROR(__xludf.DUMMYFUNCTION("""COMPUTED_VALUE"""),1.2485693205028412)</f>
        <v>1.248569321</v>
      </c>
      <c r="AC666" s="30">
        <f>IFERROR(__xludf.DUMMYFUNCTION("""COMPUTED_VALUE"""),2.2221209105669484)</f>
        <v>2.222120911</v>
      </c>
      <c r="AD666" s="30">
        <f>IFERROR(__xludf.DUMMYFUNCTION("""COMPUTED_VALUE"""),1.0385367897035906)</f>
        <v>1.03853679</v>
      </c>
      <c r="AE666" s="30">
        <f>IFERROR(__xludf.DUMMYFUNCTION("""COMPUTED_VALUE"""),1.3725222886579802)</f>
        <v>1.372522289</v>
      </c>
      <c r="AF666" s="30">
        <f>IFERROR(__xludf.DUMMYFUNCTION("""COMPUTED_VALUE"""),0.7087914232833079)</f>
        <v>0.7087914233</v>
      </c>
      <c r="AG666" s="30">
        <f>IFERROR(__xludf.DUMMYFUNCTION("""COMPUTED_VALUE"""),0.9344027980735667)</f>
        <v>0.9344027981</v>
      </c>
      <c r="AH666" s="30">
        <f>IFERROR(__xludf.DUMMYFUNCTION("""COMPUTED_VALUE"""),1.0500478719396105)</f>
        <v>1.050047872</v>
      </c>
      <c r="AI666" s="30">
        <f>IFERROR(__xludf.DUMMYFUNCTION("""COMPUTED_VALUE"""),1.0866004325579226)</f>
        <v>1.086600433</v>
      </c>
      <c r="AJ666" s="30">
        <f>IFERROR(__xludf.DUMMYFUNCTION("""COMPUTED_VALUE"""),1.256389221806102)</f>
        <v>1.256389222</v>
      </c>
      <c r="AK666" s="30">
        <f>IFERROR(__xludf.DUMMYFUNCTION("""COMPUTED_VALUE"""),1.223155092872267)</f>
        <v>1.223155093</v>
      </c>
      <c r="AL666" s="30">
        <f>IFERROR(__xludf.DUMMYFUNCTION("""COMPUTED_VALUE"""),0.8007570012305241)</f>
        <v>0.8007570012</v>
      </c>
      <c r="AM666" s="30">
        <f>IFERROR(__xludf.DUMMYFUNCTION("""COMPUTED_VALUE"""),1.1359665724420076)</f>
        <v>1.135966572</v>
      </c>
      <c r="AN666" s="30">
        <f>IFERROR(__xludf.DUMMYFUNCTION("""COMPUTED_VALUE"""),1.0236927265659912)</f>
        <v>1.023692727</v>
      </c>
      <c r="AO666" s="30">
        <f>IFERROR(__xludf.DUMMYFUNCTION("""COMPUTED_VALUE"""),1.2637988155282118)</f>
        <v>1.263798816</v>
      </c>
      <c r="AP666" s="30">
        <f>IFERROR(__xludf.DUMMYFUNCTION("""COMPUTED_VALUE"""),0.6464685903349797)</f>
        <v>0.6464685903</v>
      </c>
      <c r="AQ666" s="30">
        <f>IFERROR(__xludf.DUMMYFUNCTION("""COMPUTED_VALUE"""),0.972869088493052)</f>
        <v>0.9728690885</v>
      </c>
      <c r="AR666" s="30">
        <f>IFERROR(__xludf.DUMMYFUNCTION("""COMPUTED_VALUE"""),0.9727338569675755)</f>
        <v>0.972733857</v>
      </c>
      <c r="AS666" s="30">
        <f>IFERROR(__xludf.DUMMYFUNCTION("""COMPUTED_VALUE"""),49.0)</f>
        <v>49</v>
      </c>
      <c r="AT666" s="30">
        <f>IFERROR(__xludf.DUMMYFUNCTION("""COMPUTED_VALUE"""),0.33074702084228863)</f>
        <v>0.3307470208</v>
      </c>
      <c r="AU666" s="30">
        <f>IFERROR(__xludf.DUMMYFUNCTION("""COMPUTED_VALUE"""),2.92692014923038)</f>
        <v>2.926920149</v>
      </c>
      <c r="AV666" s="32">
        <f>IFERROR(__xludf.DUMMYFUNCTION("""COMPUTED_VALUE"""),47.98416598599811)</f>
        <v>47.98416599</v>
      </c>
      <c r="AW666" s="32">
        <f>IFERROR(__xludf.DUMMYFUNCTION("""COMPUTED_VALUE"""),-2.1373606116096835)</f>
        <v>-2.137360612</v>
      </c>
      <c r="AX666" s="32">
        <f>IFERROR(__xludf.DUMMYFUNCTION("""COMPUTED_VALUE"""),45.81360063833557)</f>
        <v>45.81360064</v>
      </c>
      <c r="AY666" s="32">
        <f>IFERROR(__xludf.DUMMYFUNCTION("""COMPUTED_VALUE"""),-2.3067750479968185)</f>
        <v>-2.306775048</v>
      </c>
      <c r="AZ666" s="30">
        <f>IFERROR(__xludf.DUMMYFUNCTION("""COMPUTED_VALUE"""),0.16941443638713505)</f>
        <v>0.1694144364</v>
      </c>
      <c r="BA666" s="30">
        <f>IFERROR(__xludf.DUMMYFUNCTION("""COMPUTED_VALUE"""),2300.0)</f>
        <v>2300</v>
      </c>
    </row>
    <row r="667">
      <c r="A667" s="71" t="str">
        <f>IFERROR(__xludf.DUMMYFUNCTION("""COMPUTED_VALUE"""),"Challenger")</f>
        <v>Challenger</v>
      </c>
      <c r="B667" s="71" t="str">
        <f>IFERROR(__xludf.DUMMYFUNCTION("""COMPUTED_VALUE"""),"RSC006923")</f>
        <v>RSC006923</v>
      </c>
      <c r="C667" s="30" t="str">
        <f>IFERROR(__xludf.DUMMYFUNCTION("""COMPUTED_VALUE"""),"LostZealous")</f>
        <v>LostZealous</v>
      </c>
      <c r="D667" s="30" t="str">
        <f>IFERROR(__xludf.DUMMYFUNCTION("""COMPUTED_VALUE"""),"Zombies")</f>
        <v>Zombies</v>
      </c>
      <c r="E667" s="30">
        <f>IFERROR(__xludf.DUMMYFUNCTION("""COMPUTED_VALUE"""),36.0)</f>
        <v>36</v>
      </c>
      <c r="F667" s="30">
        <f>IFERROR(__xludf.DUMMYFUNCTION("""COMPUTED_VALUE"""),16.0)</f>
        <v>16</v>
      </c>
      <c r="G667" s="42">
        <f>IFERROR(__xludf.DUMMYFUNCTION("""COMPUTED_VALUE"""),20.0)</f>
        <v>20</v>
      </c>
      <c r="H667" s="42">
        <f>IFERROR(__xludf.DUMMYFUNCTION("""COMPUTED_VALUE"""),0.4444444444444444)</f>
        <v>0.4444444444</v>
      </c>
      <c r="I667" s="42">
        <f>IFERROR(__xludf.DUMMYFUNCTION("""COMPUTED_VALUE"""),0.34210526315789475)</f>
        <v>0.3421052632</v>
      </c>
      <c r="J667" s="30">
        <f>IFERROR(__xludf.DUMMYFUNCTION("""COMPUTED_VALUE"""),319.97222222222223)</f>
        <v>319.9722222</v>
      </c>
      <c r="K667" s="30">
        <f>IFERROR(__xludf.DUMMYFUNCTION("""COMPUTED_VALUE"""),0.7222222222222222)</f>
        <v>0.7222222222</v>
      </c>
      <c r="L667" s="30">
        <f>IFERROR(__xludf.DUMMYFUNCTION("""COMPUTED_VALUE"""),0.4166666666666667)</f>
        <v>0.4166666667</v>
      </c>
      <c r="M667" s="30">
        <f>IFERROR(__xludf.DUMMYFUNCTION("""COMPUTED_VALUE"""),1.3611111111111112)</f>
        <v>1.361111111</v>
      </c>
      <c r="N667" s="30">
        <f>IFERROR(__xludf.DUMMYFUNCTION("""COMPUTED_VALUE"""),2.111111111111111)</f>
        <v>2.111111111</v>
      </c>
      <c r="O667" s="30">
        <f>IFERROR(__xludf.DUMMYFUNCTION("""COMPUTED_VALUE"""),313.5740740740741)</f>
        <v>313.5740741</v>
      </c>
      <c r="P667" s="30">
        <f>IFERROR(__xludf.DUMMYFUNCTION("""COMPUTED_VALUE"""),0.7407407407407408)</f>
        <v>0.7407407407</v>
      </c>
      <c r="Q667" s="30">
        <f>IFERROR(__xludf.DUMMYFUNCTION("""COMPUTED_VALUE"""),0.5000000000000001)</f>
        <v>0.5</v>
      </c>
      <c r="R667" s="30">
        <f>IFERROR(__xludf.DUMMYFUNCTION("""COMPUTED_VALUE"""),1.111111111111111)</f>
        <v>1.111111111</v>
      </c>
      <c r="S667" s="30">
        <f>IFERROR(__xludf.DUMMYFUNCTION("""COMPUTED_VALUE"""),2.4907407407407405)</f>
        <v>2.490740741</v>
      </c>
      <c r="T667" s="30">
        <f>IFERROR(__xludf.DUMMYFUNCTION("""COMPUTED_VALUE"""),337.60034588823396)</f>
        <v>337.6003459</v>
      </c>
      <c r="U667" s="30">
        <f>IFERROR(__xludf.DUMMYFUNCTION("""COMPUTED_VALUE"""),0.797659958082181)</f>
        <v>0.7976599581</v>
      </c>
      <c r="V667" s="30">
        <f>IFERROR(__xludf.DUMMYFUNCTION("""COMPUTED_VALUE"""),0.5660524413144286)</f>
        <v>0.5660524413</v>
      </c>
      <c r="W667" s="30">
        <f>IFERROR(__xludf.DUMMYFUNCTION("""COMPUTED_VALUE"""),1.1707920514843437)</f>
        <v>1.170792051</v>
      </c>
      <c r="X667" s="30">
        <f>IFERROR(__xludf.DUMMYFUNCTION("""COMPUTED_VALUE"""),2.542772829349495)</f>
        <v>2.542772829</v>
      </c>
      <c r="Y667" s="30">
        <f>IFERROR(__xludf.DUMMYFUNCTION("""COMPUTED_VALUE"""),333.0994048844733)</f>
        <v>333.0994049</v>
      </c>
      <c r="Z667" s="30">
        <f>IFERROR(__xludf.DUMMYFUNCTION("""COMPUTED_VALUE"""),0.7263373634388155)</f>
        <v>0.7263373634</v>
      </c>
      <c r="AA667" s="30">
        <f>IFERROR(__xludf.DUMMYFUNCTION("""COMPUTED_VALUE"""),0.5026457459520366)</f>
        <v>0.502645746</v>
      </c>
      <c r="AB667" s="30">
        <f>IFERROR(__xludf.DUMMYFUNCTION("""COMPUTED_VALUE"""),1.3231153009120316)</f>
        <v>1.323115301</v>
      </c>
      <c r="AC667" s="30">
        <f>IFERROR(__xludf.DUMMYFUNCTION("""COMPUTED_VALUE"""),2.318694120158237)</f>
        <v>2.31869412</v>
      </c>
      <c r="AD667" s="30">
        <f>IFERROR(__xludf.DUMMYFUNCTION("""COMPUTED_VALUE"""),0.9605907952108054)</f>
        <v>0.9605907952</v>
      </c>
      <c r="AE667" s="30">
        <f>IFERROR(__xludf.DUMMYFUNCTION("""COMPUTED_VALUE"""),0.9943343941483193)</f>
        <v>0.9943343941</v>
      </c>
      <c r="AF667" s="30">
        <f>IFERROR(__xludf.DUMMYFUNCTION("""COMPUTED_VALUE"""),0.8289469671676597)</f>
        <v>0.8289469672</v>
      </c>
      <c r="AG667" s="30">
        <f>IFERROR(__xludf.DUMMYFUNCTION("""COMPUTED_VALUE"""),1.02871693054482)</f>
        <v>1.028716931</v>
      </c>
      <c r="AH667" s="30">
        <f>IFERROR(__xludf.DUMMYFUNCTION("""COMPUTED_VALUE"""),0.9104741728361482)</f>
        <v>0.9104741728</v>
      </c>
      <c r="AI667" s="30">
        <f>IFERROR(__xludf.DUMMYFUNCTION("""COMPUTED_VALUE"""),0.9288322061668917)</f>
        <v>0.9288322062</v>
      </c>
      <c r="AJ667" s="30">
        <f>IFERROR(__xludf.DUMMYFUNCTION("""COMPUTED_VALUE"""),0.9286422531747845)</f>
        <v>0.9286422532</v>
      </c>
      <c r="AK667" s="30">
        <f>IFERROR(__xludf.DUMMYFUNCTION("""COMPUTED_VALUE"""),0.883310385233834)</f>
        <v>0.8833103852</v>
      </c>
      <c r="AL667" s="30">
        <f>IFERROR(__xludf.DUMMYFUNCTION("""COMPUTED_VALUE"""),0.9490251575439306)</f>
        <v>0.9490251575</v>
      </c>
      <c r="AM667" s="30">
        <f>IFERROR(__xludf.DUMMYFUNCTION("""COMPUTED_VALUE"""),0.9795372641990729)</f>
        <v>0.9795372642</v>
      </c>
      <c r="AN667" s="30">
        <f>IFERROR(__xludf.DUMMYFUNCTION("""COMPUTED_VALUE"""),0.973412292992707)</f>
        <v>0.973412293</v>
      </c>
      <c r="AO667" s="30">
        <f>IFERROR(__xludf.DUMMYFUNCTION("""COMPUTED_VALUE"""),0.9524280928618408)</f>
        <v>0.9524280929</v>
      </c>
      <c r="AP667" s="30">
        <f>IFERROR(__xludf.DUMMYFUNCTION("""COMPUTED_VALUE"""),0.8080857379187247)</f>
        <v>0.8080857379</v>
      </c>
      <c r="AQ667" s="30">
        <f>IFERROR(__xludf.DUMMYFUNCTION("""COMPUTED_VALUE"""),1.1350139365752272)</f>
        <v>1.135013937</v>
      </c>
      <c r="AR667" s="30">
        <f>IFERROR(__xludf.DUMMYFUNCTION("""COMPUTED_VALUE"""),0.8800925372563778)</f>
        <v>0.8800925373</v>
      </c>
      <c r="AS667" s="30">
        <f>IFERROR(__xludf.DUMMYFUNCTION("""COMPUTED_VALUE"""),80.0)</f>
        <v>80</v>
      </c>
      <c r="AT667" s="30">
        <f>IFERROR(__xludf.DUMMYFUNCTION("""COMPUTED_VALUE"""),0.5)</f>
        <v>0.5</v>
      </c>
      <c r="AU667" s="30">
        <f>IFERROR(__xludf.DUMMYFUNCTION("""COMPUTED_VALUE"""),2.787537412789264)</f>
        <v>2.787537413</v>
      </c>
      <c r="AV667" s="32">
        <f>IFERROR(__xludf.DUMMYFUNCTION("""COMPUTED_VALUE"""),44.29858569415478)</f>
        <v>44.29858569</v>
      </c>
      <c r="AW667" s="32">
        <f>IFERROR(__xludf.DUMMYFUNCTION("""COMPUTED_VALUE"""),-2.440208007759418)</f>
        <v>-2.440208008</v>
      </c>
      <c r="AX667" s="32">
        <f>IFERROR(__xludf.DUMMYFUNCTION("""COMPUTED_VALUE"""),46.13682074907566)</f>
        <v>46.13682075</v>
      </c>
      <c r="AY667" s="32">
        <f>IFERROR(__xludf.DUMMYFUNCTION("""COMPUTED_VALUE"""),-2.2799971215115122)</f>
        <v>-2.279997122</v>
      </c>
      <c r="AZ667" s="30">
        <f>IFERROR(__xludf.DUMMYFUNCTION("""COMPUTED_VALUE"""),0.16021088624790591)</f>
        <v>0.1602108862</v>
      </c>
      <c r="BA667" s="30">
        <f>IFERROR(__xludf.DUMMYFUNCTION("""COMPUTED_VALUE"""),2300.0)</f>
        <v>2300</v>
      </c>
    </row>
    <row r="668">
      <c r="A668" s="71" t="str">
        <f>IFERROR(__xludf.DUMMYFUNCTION("""COMPUTED_VALUE"""),"Challenger")</f>
        <v>Challenger</v>
      </c>
      <c r="B668" s="71" t="str">
        <f>IFERROR(__xludf.DUMMYFUNCTION("""COMPUTED_VALUE"""),"RSC007549")</f>
        <v>RSC007549</v>
      </c>
      <c r="C668" s="30" t="str">
        <f>IFERROR(__xludf.DUMMYFUNCTION("""COMPUTED_VALUE"""),"Whiffy_RL")</f>
        <v>Whiffy_RL</v>
      </c>
      <c r="D668" s="30" t="str">
        <f>IFERROR(__xludf.DUMMYFUNCTION("""COMPUTED_VALUE"""),"Apple Associates")</f>
        <v>Apple Associates</v>
      </c>
      <c r="E668" s="30">
        <f>IFERROR(__xludf.DUMMYFUNCTION("""COMPUTED_VALUE"""),32.0)</f>
        <v>32</v>
      </c>
      <c r="F668" s="30">
        <f>IFERROR(__xludf.DUMMYFUNCTION("""COMPUTED_VALUE"""),11.0)</f>
        <v>11</v>
      </c>
      <c r="G668" s="42">
        <f>IFERROR(__xludf.DUMMYFUNCTION("""COMPUTED_VALUE"""),21.0)</f>
        <v>21</v>
      </c>
      <c r="H668" s="42">
        <f>IFERROR(__xludf.DUMMYFUNCTION("""COMPUTED_VALUE"""),0.34375)</f>
        <v>0.34375</v>
      </c>
      <c r="I668" s="42">
        <f>IFERROR(__xludf.DUMMYFUNCTION("""COMPUTED_VALUE"""),0.3142857142857143)</f>
        <v>0.3142857143</v>
      </c>
      <c r="J668" s="30">
        <f>IFERROR(__xludf.DUMMYFUNCTION("""COMPUTED_VALUE"""),321.78125)</f>
        <v>321.78125</v>
      </c>
      <c r="K668" s="30">
        <f>IFERROR(__xludf.DUMMYFUNCTION("""COMPUTED_VALUE"""),0.6875)</f>
        <v>0.6875</v>
      </c>
      <c r="L668" s="30">
        <f>IFERROR(__xludf.DUMMYFUNCTION("""COMPUTED_VALUE"""),0.34375)</f>
        <v>0.34375</v>
      </c>
      <c r="M668" s="30">
        <f>IFERROR(__xludf.DUMMYFUNCTION("""COMPUTED_VALUE"""),1.28125)</f>
        <v>1.28125</v>
      </c>
      <c r="N668" s="30">
        <f>IFERROR(__xludf.DUMMYFUNCTION("""COMPUTED_VALUE"""),2.1875)</f>
        <v>2.1875</v>
      </c>
      <c r="O668" s="30">
        <f>IFERROR(__xludf.DUMMYFUNCTION("""COMPUTED_VALUE"""),337.03125)</f>
        <v>337.03125</v>
      </c>
      <c r="P668" s="30">
        <f>IFERROR(__xludf.DUMMYFUNCTION("""COMPUTED_VALUE"""),0.7916666666666665)</f>
        <v>0.7916666667</v>
      </c>
      <c r="Q668" s="30">
        <f>IFERROR(__xludf.DUMMYFUNCTION("""COMPUTED_VALUE"""),0.5625)</f>
        <v>0.5625</v>
      </c>
      <c r="R668" s="30">
        <f>IFERROR(__xludf.DUMMYFUNCTION("""COMPUTED_VALUE"""),1.3020833333333333)</f>
        <v>1.302083333</v>
      </c>
      <c r="S668" s="30">
        <f>IFERROR(__xludf.DUMMYFUNCTION("""COMPUTED_VALUE"""),2.3229166666666665)</f>
        <v>2.322916667</v>
      </c>
      <c r="T668" s="30">
        <f>IFERROR(__xludf.DUMMYFUNCTION("""COMPUTED_VALUE"""),358.1524621622405)</f>
        <v>358.1524622</v>
      </c>
      <c r="U668" s="30">
        <f>IFERROR(__xludf.DUMMYFUNCTION("""COMPUTED_VALUE"""),0.8595567424473677)</f>
        <v>0.8595567424</v>
      </c>
      <c r="V668" s="30">
        <f>IFERROR(__xludf.DUMMYFUNCTION("""COMPUTED_VALUE"""),0.6289664098409058)</f>
        <v>0.6289664098</v>
      </c>
      <c r="W668" s="30">
        <f>IFERROR(__xludf.DUMMYFUNCTION("""COMPUTED_VALUE"""),1.276315027005551)</f>
        <v>1.276315027</v>
      </c>
      <c r="X668" s="30">
        <f>IFERROR(__xludf.DUMMYFUNCTION("""COMPUTED_VALUE"""),2.630245403677863)</f>
        <v>2.630245404</v>
      </c>
      <c r="Y668" s="30">
        <f>IFERROR(__xludf.DUMMYFUNCTION("""COMPUTED_VALUE"""),326.0113644129791)</f>
        <v>326.0113644</v>
      </c>
      <c r="Z668" s="30">
        <f>IFERROR(__xludf.DUMMYFUNCTION("""COMPUTED_VALUE"""),0.6770584556261641)</f>
        <v>0.6770584556</v>
      </c>
      <c r="AA668" s="30">
        <f>IFERROR(__xludf.DUMMYFUNCTION("""COMPUTED_VALUE"""),0.47294475803716407)</f>
        <v>0.472944758</v>
      </c>
      <c r="AB668" s="30">
        <f>IFERROR(__xludf.DUMMYFUNCTION("""COMPUTED_VALUE"""),1.2885163760037752)</f>
        <v>1.288516376</v>
      </c>
      <c r="AC668" s="30">
        <f>IFERROR(__xludf.DUMMYFUNCTION("""COMPUTED_VALUE"""),2.356748343502376)</f>
        <v>2.356748344</v>
      </c>
      <c r="AD668" s="30">
        <f>IFERROR(__xludf.DUMMYFUNCTION("""COMPUTED_VALUE"""),0.987024641240357)</f>
        <v>0.9870246412</v>
      </c>
      <c r="AE668" s="30">
        <f>IFERROR(__xludf.DUMMYFUNCTION("""COMPUTED_VALUE"""),1.0154219244838754)</f>
        <v>1.015421924</v>
      </c>
      <c r="AF668" s="30">
        <f>IFERROR(__xludf.DUMMYFUNCTION("""COMPUTED_VALUE"""),0.7268290728639137)</f>
        <v>0.7268290729</v>
      </c>
      <c r="AG668" s="30">
        <f>IFERROR(__xludf.DUMMYFUNCTION("""COMPUTED_VALUE"""),0.9943606646069092)</f>
        <v>0.9943606646</v>
      </c>
      <c r="AH668" s="30">
        <f>IFERROR(__xludf.DUMMYFUNCTION("""COMPUTED_VALUE"""),0.9281856529276881)</f>
        <v>0.9281856529</v>
      </c>
      <c r="AI668" s="30">
        <f>IFERROR(__xludf.DUMMYFUNCTION("""COMPUTED_VALUE"""),0.9410273154769693)</f>
        <v>0.9410273155</v>
      </c>
      <c r="AJ668" s="30">
        <f>IFERROR(__xludf.DUMMYFUNCTION("""COMPUTED_VALUE"""),0.921017342511442)</f>
        <v>0.9210173425</v>
      </c>
      <c r="AK668" s="30">
        <f>IFERROR(__xludf.DUMMYFUNCTION("""COMPUTED_VALUE"""),0.8943243887098546)</f>
        <v>0.8943243887</v>
      </c>
      <c r="AL668" s="30">
        <f>IFERROR(__xludf.DUMMYFUNCTION("""COMPUTED_VALUE"""),1.0201896128953671)</f>
        <v>1.020189613</v>
      </c>
      <c r="AM668" s="30">
        <f>IFERROR(__xludf.DUMMYFUNCTION("""COMPUTED_VALUE"""),0.883155869569638)</f>
        <v>0.8831558696</v>
      </c>
      <c r="AN668" s="30">
        <f>IFERROR(__xludf.DUMMYFUNCTION("""COMPUTED_VALUE"""),0.9789156765833964)</f>
        <v>0.9789156766</v>
      </c>
      <c r="AO668" s="30">
        <f>IFERROR(__xludf.DUMMYFUNCTION("""COMPUTED_VALUE"""),0.9066382807050216)</f>
        <v>0.9066382807</v>
      </c>
      <c r="AP668" s="30">
        <f>IFERROR(__xludf.DUMMYFUNCTION("""COMPUTED_VALUE"""),0.6666707337829478)</f>
        <v>0.6666707338</v>
      </c>
      <c r="AQ668" s="30">
        <f>IFERROR(__xludf.DUMMYFUNCTION("""COMPUTED_VALUE"""),1.0684187311129052)</f>
        <v>1.068418731</v>
      </c>
      <c r="AR668" s="30">
        <f>IFERROR(__xludf.DUMMYFUNCTION("""COMPUTED_VALUE"""),0.911937990907102)</f>
        <v>0.9119379909</v>
      </c>
      <c r="AS668" s="30">
        <f>IFERROR(__xludf.DUMMYFUNCTION("""COMPUTED_VALUE"""),55.0)</f>
        <v>55</v>
      </c>
      <c r="AT668" s="30">
        <f>IFERROR(__xludf.DUMMYFUNCTION("""COMPUTED_VALUE"""),0.38115711341479763)</f>
        <v>0.3811571134</v>
      </c>
      <c r="AU668" s="30">
        <f>IFERROR(__xludf.DUMMYFUNCTION("""COMPUTED_VALUE"""),2.7365975445993156)</f>
        <v>2.736597545</v>
      </c>
      <c r="AV668" s="32">
        <f>IFERROR(__xludf.DUMMYFUNCTION("""COMPUTED_VALUE"""),42.95162566837508)</f>
        <v>42.95162567</v>
      </c>
      <c r="AW668" s="32">
        <f>IFERROR(__xludf.DUMMYFUNCTION("""COMPUTED_VALUE"""),-2.5707159878624757)</f>
        <v>-2.570715988</v>
      </c>
      <c r="AX668" s="32">
        <f>IFERROR(__xludf.DUMMYFUNCTION("""COMPUTED_VALUE"""),41.733950784044346)</f>
        <v>41.73395078</v>
      </c>
      <c r="AY668" s="32">
        <f>IFERROR(__xludf.DUMMYFUNCTION("""COMPUTED_VALUE"""),-2.6993651887683066)</f>
        <v>-2.699365189</v>
      </c>
      <c r="AZ668" s="30">
        <f>IFERROR(__xludf.DUMMYFUNCTION("""COMPUTED_VALUE"""),0.12864920090583087)</f>
        <v>0.1286492009</v>
      </c>
      <c r="BA668" s="30">
        <f>IFERROR(__xludf.DUMMYFUNCTION("""COMPUTED_VALUE"""),2300.0)</f>
        <v>2300</v>
      </c>
    </row>
    <row r="669">
      <c r="A669" s="71" t="str">
        <f>IFERROR(__xludf.DUMMYFUNCTION("""COMPUTED_VALUE"""),"Challenger")</f>
        <v>Challenger</v>
      </c>
      <c r="B669" s="71" t="str">
        <f>IFERROR(__xludf.DUMMYFUNCTION("""COMPUTED_VALUE"""),"RSC007604")</f>
        <v>RSC007604</v>
      </c>
      <c r="C669" s="30" t="str">
        <f>IFERROR(__xludf.DUMMYFUNCTION("""COMPUTED_VALUE"""),"RiisenJT")</f>
        <v>RiisenJT</v>
      </c>
      <c r="D669" s="30" t="str">
        <f>IFERROR(__xludf.DUMMYFUNCTION("""COMPUTED_VALUE"""),"Threshers")</f>
        <v>Threshers</v>
      </c>
      <c r="E669" s="30">
        <f>IFERROR(__xludf.DUMMYFUNCTION("""COMPUTED_VALUE"""),33.0)</f>
        <v>33</v>
      </c>
      <c r="F669" s="30">
        <f>IFERROR(__xludf.DUMMYFUNCTION("""COMPUTED_VALUE"""),10.0)</f>
        <v>10</v>
      </c>
      <c r="G669" s="42">
        <f>IFERROR(__xludf.DUMMYFUNCTION("""COMPUTED_VALUE"""),23.0)</f>
        <v>23</v>
      </c>
      <c r="H669" s="42">
        <f>IFERROR(__xludf.DUMMYFUNCTION("""COMPUTED_VALUE"""),0.30303030303030304)</f>
        <v>0.303030303</v>
      </c>
      <c r="I669" s="42">
        <f>IFERROR(__xludf.DUMMYFUNCTION("""COMPUTED_VALUE"""),0.2837837837837838)</f>
        <v>0.2837837838</v>
      </c>
      <c r="J669" s="30">
        <f>IFERROR(__xludf.DUMMYFUNCTION("""COMPUTED_VALUE"""),315.2121212121212)</f>
        <v>315.2121212</v>
      </c>
      <c r="K669" s="30">
        <f>IFERROR(__xludf.DUMMYFUNCTION("""COMPUTED_VALUE"""),0.6363636363636364)</f>
        <v>0.6363636364</v>
      </c>
      <c r="L669" s="30">
        <f>IFERROR(__xludf.DUMMYFUNCTION("""COMPUTED_VALUE"""),0.48484848484848486)</f>
        <v>0.4848484848</v>
      </c>
      <c r="M669" s="30">
        <f>IFERROR(__xludf.DUMMYFUNCTION("""COMPUTED_VALUE"""),1.121212121212121)</f>
        <v>1.121212121</v>
      </c>
      <c r="N669" s="30">
        <f>IFERROR(__xludf.DUMMYFUNCTION("""COMPUTED_VALUE"""),2.242424242424242)</f>
        <v>2.242424242</v>
      </c>
      <c r="O669" s="30">
        <f>IFERROR(__xludf.DUMMYFUNCTION("""COMPUTED_VALUE"""),366.7878787878788)</f>
        <v>366.7878788</v>
      </c>
      <c r="P669" s="30">
        <f>IFERROR(__xludf.DUMMYFUNCTION("""COMPUTED_VALUE"""),0.9797979797979797)</f>
        <v>0.9797979798</v>
      </c>
      <c r="Q669" s="30">
        <f>IFERROR(__xludf.DUMMYFUNCTION("""COMPUTED_VALUE"""),0.7575757575757576)</f>
        <v>0.7575757576</v>
      </c>
      <c r="R669" s="30">
        <f>IFERROR(__xludf.DUMMYFUNCTION("""COMPUTED_VALUE"""),1.1717171717171717)</f>
        <v>1.171717172</v>
      </c>
      <c r="S669" s="30">
        <f>IFERROR(__xludf.DUMMYFUNCTION("""COMPUTED_VALUE"""),2.8080808080808075)</f>
        <v>2.808080808</v>
      </c>
      <c r="T669" s="30">
        <f>IFERROR(__xludf.DUMMYFUNCTION("""COMPUTED_VALUE"""),347.3109136566253)</f>
        <v>347.3109137</v>
      </c>
      <c r="U669" s="30">
        <f>IFERROR(__xludf.DUMMYFUNCTION("""COMPUTED_VALUE"""),0.8392795198755508)</f>
        <v>0.8392795199</v>
      </c>
      <c r="V669" s="30">
        <f>IFERROR(__xludf.DUMMYFUNCTION("""COMPUTED_VALUE"""),0.5844958571859394)</f>
        <v>0.5844958572</v>
      </c>
      <c r="W669" s="30">
        <f>IFERROR(__xludf.DUMMYFUNCTION("""COMPUTED_VALUE"""),1.1929535482141809)</f>
        <v>1.192953548</v>
      </c>
      <c r="X669" s="30">
        <f>IFERROR(__xludf.DUMMYFUNCTION("""COMPUTED_VALUE"""),2.6172935735745964)</f>
        <v>2.617293574</v>
      </c>
      <c r="Y669" s="30">
        <f>IFERROR(__xludf.DUMMYFUNCTION("""COMPUTED_VALUE"""),328.5483052648254)</f>
        <v>328.5483053</v>
      </c>
      <c r="Z669" s="30">
        <f>IFERROR(__xludf.DUMMYFUNCTION("""COMPUTED_VALUE"""),0.7350324169914851)</f>
        <v>0.735032417</v>
      </c>
      <c r="AA669" s="30">
        <f>IFERROR(__xludf.DUMMYFUNCTION("""COMPUTED_VALUE"""),0.49036711836119173)</f>
        <v>0.4903671184</v>
      </c>
      <c r="AB669" s="30">
        <f>IFERROR(__xludf.DUMMYFUNCTION("""COMPUTED_VALUE"""),1.2328794744821294)</f>
        <v>1.232879474</v>
      </c>
      <c r="AC669" s="30">
        <f>IFERROR(__xludf.DUMMYFUNCTION("""COMPUTED_VALUE"""),2.353233653895223)</f>
        <v>2.353233654</v>
      </c>
      <c r="AD669" s="30">
        <f>IFERROR(__xludf.DUMMYFUNCTION("""COMPUTED_VALUE"""),0.9594087571325178)</f>
        <v>0.9594087571</v>
      </c>
      <c r="AE669" s="30">
        <f>IFERROR(__xludf.DUMMYFUNCTION("""COMPUTED_VALUE"""),0.8657626815539595)</f>
        <v>0.8657626816</v>
      </c>
      <c r="AF669" s="30">
        <f>IFERROR(__xludf.DUMMYFUNCTION("""COMPUTED_VALUE"""),0.9887459144260118)</f>
        <v>0.9887459144</v>
      </c>
      <c r="AG669" s="30">
        <f>IFERROR(__xludf.DUMMYFUNCTION("""COMPUTED_VALUE"""),0.9094255719384783)</f>
        <v>0.9094255719</v>
      </c>
      <c r="AH669" s="30">
        <f>IFERROR(__xludf.DUMMYFUNCTION("""COMPUTED_VALUE"""),0.9529118533182788)</f>
        <v>0.9529118533</v>
      </c>
      <c r="AI669" s="30">
        <f>IFERROR(__xludf.DUMMYFUNCTION("""COMPUTED_VALUE"""),1.0560793351587843)</f>
        <v>1.056079335</v>
      </c>
      <c r="AJ669" s="30">
        <f>IFERROR(__xludf.DUMMYFUNCTION("""COMPUTED_VALUE"""),1.167427485831258)</f>
        <v>1.167427486</v>
      </c>
      <c r="AK669" s="30">
        <f>IFERROR(__xludf.DUMMYFUNCTION("""COMPUTED_VALUE"""),1.2961182671560973)</f>
        <v>1.296118267</v>
      </c>
      <c r="AL669" s="30">
        <f>IFERROR(__xludf.DUMMYFUNCTION("""COMPUTED_VALUE"""),0.9821984883411433)</f>
        <v>0.9821984883</v>
      </c>
      <c r="AM669" s="30">
        <f>IFERROR(__xludf.DUMMYFUNCTION("""COMPUTED_VALUE"""),1.0728948546057222)</f>
        <v>1.072894855</v>
      </c>
      <c r="AN669" s="30">
        <f>IFERROR(__xludf.DUMMYFUNCTION("""COMPUTED_VALUE"""),0.9589312208329452)</f>
        <v>0.9589312208</v>
      </c>
      <c r="AO669" s="30">
        <f>IFERROR(__xludf.DUMMYFUNCTION("""COMPUTED_VALUE"""),0.839202375528615)</f>
        <v>0.8392023755</v>
      </c>
      <c r="AP669" s="30">
        <f>IFERROR(__xludf.DUMMYFUNCTION("""COMPUTED_VALUE"""),0.9403179495781524)</f>
        <v>0.9403179496</v>
      </c>
      <c r="AQ669" s="30">
        <f>IFERROR(__xludf.DUMMYFUNCTION("""COMPUTED_VALUE"""),0.9349650980322836)</f>
        <v>0.934965098</v>
      </c>
      <c r="AR669" s="30">
        <f>IFERROR(__xludf.DUMMYFUNCTION("""COMPUTED_VALUE"""),0.93483513526754)</f>
        <v>0.9348351353</v>
      </c>
      <c r="AS669" s="30">
        <f>IFERROR(__xludf.DUMMYFUNCTION("""COMPUTED_VALUE"""),62.0)</f>
        <v>62</v>
      </c>
      <c r="AT669" s="30">
        <f>IFERROR(__xludf.DUMMYFUNCTION("""COMPUTED_VALUE"""),0.33118344847707787)</f>
        <v>0.3311834485</v>
      </c>
      <c r="AU669" s="30">
        <f>IFERROR(__xludf.DUMMYFUNCTION("""COMPUTED_VALUE"""),2.5452344725171283)</f>
        <v>2.545234473</v>
      </c>
      <c r="AV669" s="32">
        <f>IFERROR(__xludf.DUMMYFUNCTION("""COMPUTED_VALUE"""),37.89157314637096)</f>
        <v>37.89157315</v>
      </c>
      <c r="AW669" s="32">
        <f>IFERROR(__xludf.DUMMYFUNCTION("""COMPUTED_VALUE"""),-3.183969763444245)</f>
        <v>-3.183969763</v>
      </c>
      <c r="AX669" s="32">
        <f>IFERROR(__xludf.DUMMYFUNCTION("""COMPUTED_VALUE"""),38.753402058657656)</f>
        <v>38.75340206</v>
      </c>
      <c r="AY669" s="32">
        <f>IFERROR(__xludf.DUMMYFUNCTION("""COMPUTED_VALUE"""),-3.063685287352485)</f>
        <v>-3.063685287</v>
      </c>
      <c r="AZ669" s="30">
        <f>IFERROR(__xludf.DUMMYFUNCTION("""COMPUTED_VALUE"""),0.12028447609176007)</f>
        <v>0.1202844761</v>
      </c>
      <c r="BA669" s="30">
        <f>IFERROR(__xludf.DUMMYFUNCTION("""COMPUTED_VALUE"""),2300.0)</f>
        <v>2300</v>
      </c>
    </row>
    <row r="670">
      <c r="A670" s="71" t="str">
        <f>IFERROR(__xludf.DUMMYFUNCTION("""COMPUTED_VALUE"""),"Challenger")</f>
        <v>Challenger</v>
      </c>
      <c r="B670" s="71" t="str">
        <f>IFERROR(__xludf.DUMMYFUNCTION("""COMPUTED_VALUE"""),"RSC002128")</f>
        <v>RSC002128</v>
      </c>
      <c r="C670" s="30" t="str">
        <f>IFERROR(__xludf.DUMMYFUNCTION("""COMPUTED_VALUE"""),"Velo")</f>
        <v>Velo</v>
      </c>
      <c r="D670" s="30" t="str">
        <f>IFERROR(__xludf.DUMMYFUNCTION("""COMPUTED_VALUE"""),"Jock O Lanterns")</f>
        <v>Jock O Lanterns</v>
      </c>
      <c r="E670" s="30">
        <f>IFERROR(__xludf.DUMMYFUNCTION("""COMPUTED_VALUE"""),36.0)</f>
        <v>36</v>
      </c>
      <c r="F670" s="30">
        <f>IFERROR(__xludf.DUMMYFUNCTION("""COMPUTED_VALUE"""),16.0)</f>
        <v>16</v>
      </c>
      <c r="G670" s="42">
        <f>IFERROR(__xludf.DUMMYFUNCTION("""COMPUTED_VALUE"""),20.0)</f>
        <v>20</v>
      </c>
      <c r="H670" s="42">
        <f>IFERROR(__xludf.DUMMYFUNCTION("""COMPUTED_VALUE"""),0.4444444444444444)</f>
        <v>0.4444444444</v>
      </c>
      <c r="I670" s="42">
        <f>IFERROR(__xludf.DUMMYFUNCTION("""COMPUTED_VALUE"""),0.2247191011235955)</f>
        <v>0.2247191011</v>
      </c>
      <c r="J670" s="30">
        <f>IFERROR(__xludf.DUMMYFUNCTION("""COMPUTED_VALUE"""),324.72222222222223)</f>
        <v>324.7222222</v>
      </c>
      <c r="K670" s="30">
        <f>IFERROR(__xludf.DUMMYFUNCTION("""COMPUTED_VALUE"""),0.5555555555555556)</f>
        <v>0.5555555556</v>
      </c>
      <c r="L670" s="30">
        <f>IFERROR(__xludf.DUMMYFUNCTION("""COMPUTED_VALUE"""),0.6388888888888888)</f>
        <v>0.6388888889</v>
      </c>
      <c r="M670" s="30">
        <f>IFERROR(__xludf.DUMMYFUNCTION("""COMPUTED_VALUE"""),1.1388888888888888)</f>
        <v>1.138888889</v>
      </c>
      <c r="N670" s="30">
        <f>IFERROR(__xludf.DUMMYFUNCTION("""COMPUTED_VALUE"""),2.4722222222222223)</f>
        <v>2.472222222</v>
      </c>
      <c r="O670" s="30">
        <f>IFERROR(__xludf.DUMMYFUNCTION("""COMPUTED_VALUE"""),378.49074074074076)</f>
        <v>378.4907407</v>
      </c>
      <c r="P670" s="30">
        <f>IFERROR(__xludf.DUMMYFUNCTION("""COMPUTED_VALUE"""),0.9351851851851851)</f>
        <v>0.9351851852</v>
      </c>
      <c r="Q670" s="30">
        <f>IFERROR(__xludf.DUMMYFUNCTION("""COMPUTED_VALUE"""),0.6111111111111112)</f>
        <v>0.6111111111</v>
      </c>
      <c r="R670" s="30">
        <f>IFERROR(__xludf.DUMMYFUNCTION("""COMPUTED_VALUE"""),1.398148148148148)</f>
        <v>1.398148148</v>
      </c>
      <c r="S670" s="30">
        <f>IFERROR(__xludf.DUMMYFUNCTION("""COMPUTED_VALUE"""),2.4537037037037037)</f>
        <v>2.453703704</v>
      </c>
      <c r="T670" s="30">
        <f>IFERROR(__xludf.DUMMYFUNCTION("""COMPUTED_VALUE"""),339.2224518212834)</f>
        <v>339.2224518</v>
      </c>
      <c r="U670" s="30">
        <f>IFERROR(__xludf.DUMMYFUNCTION("""COMPUTED_VALUE"""),0.7959073942602362)</f>
        <v>0.7959073943</v>
      </c>
      <c r="V670" s="30">
        <f>IFERROR(__xludf.DUMMYFUNCTION("""COMPUTED_VALUE"""),0.5882813058379158)</f>
        <v>0.5882813058</v>
      </c>
      <c r="W670" s="30">
        <f>IFERROR(__xludf.DUMMYFUNCTION("""COMPUTED_VALUE"""),1.2152784793879565)</f>
        <v>1.215278479</v>
      </c>
      <c r="X670" s="30">
        <f>IFERROR(__xludf.DUMMYFUNCTION("""COMPUTED_VALUE"""),2.435506658507983)</f>
        <v>2.435506659</v>
      </c>
      <c r="Y670" s="30">
        <f>IFERROR(__xludf.DUMMYFUNCTION("""COMPUTED_VALUE"""),335.9476602193547)</f>
        <v>335.9476602</v>
      </c>
      <c r="Z670" s="30">
        <f>IFERROR(__xludf.DUMMYFUNCTION("""COMPUTED_VALUE"""),0.8054005268636585)</f>
        <v>0.8054005269</v>
      </c>
      <c r="AA670" s="30">
        <f>IFERROR(__xludf.DUMMYFUNCTION("""COMPUTED_VALUE"""),0.5543462344724199)</f>
        <v>0.5543462345</v>
      </c>
      <c r="AB670" s="30">
        <f>IFERROR(__xludf.DUMMYFUNCTION("""COMPUTED_VALUE"""),1.1625492259115418)</f>
        <v>1.162549226</v>
      </c>
      <c r="AC670" s="30">
        <f>IFERROR(__xludf.DUMMYFUNCTION("""COMPUTED_VALUE"""),2.500065716831841)</f>
        <v>2.500065717</v>
      </c>
      <c r="AD670" s="30">
        <f>IFERROR(__xludf.DUMMYFUNCTION("""COMPUTED_VALUE"""),0.9665857532991808)</f>
        <v>0.9665857533</v>
      </c>
      <c r="AE670" s="30">
        <f>IFERROR(__xludf.DUMMYFUNCTION("""COMPUTED_VALUE"""),0.6897879216927831)</f>
        <v>0.6897879217</v>
      </c>
      <c r="AF670" s="30">
        <f>IFERROR(__xludf.DUMMYFUNCTION("""COMPUTED_VALUE"""),1.152508755646062)</f>
        <v>1.152508756</v>
      </c>
      <c r="AG670" s="30">
        <f>IFERROR(__xludf.DUMMYFUNCTION("""COMPUTED_VALUE"""),0.9796478837237184)</f>
        <v>0.9796478837</v>
      </c>
      <c r="AH670" s="30">
        <f>IFERROR(__xludf.DUMMYFUNCTION("""COMPUTED_VALUE"""),0.9888628949142573)</f>
        <v>0.9888628949</v>
      </c>
      <c r="AI670" s="30">
        <f>IFERROR(__xludf.DUMMYFUNCTION("""COMPUTED_VALUE"""),1.1157596990076162)</f>
        <v>1.115759699</v>
      </c>
      <c r="AJ670" s="30">
        <f>IFERROR(__xludf.DUMMYFUNCTION("""COMPUTED_VALUE"""),1.1749924575765527)</f>
        <v>1.174992458</v>
      </c>
      <c r="AK670" s="30">
        <f>IFERROR(__xludf.DUMMYFUNCTION("""COMPUTED_VALUE"""),1.0388076334342764)</f>
        <v>1.038807633</v>
      </c>
      <c r="AL670" s="30">
        <f>IFERROR(__xludf.DUMMYFUNCTION("""COMPUTED_VALUE"""),1.150475526277968)</f>
        <v>1.150475526</v>
      </c>
      <c r="AM670" s="30">
        <f>IFERROR(__xludf.DUMMYFUNCTION("""COMPUTED_VALUE"""),1.0074715645437275)</f>
        <v>1.007471565</v>
      </c>
      <c r="AN670" s="30">
        <f>IFERROR(__xludf.DUMMYFUNCTION("""COMPUTED_VALUE"""),0.9878626360868779)</f>
        <v>0.9878626361</v>
      </c>
      <c r="AO670" s="30">
        <f>IFERROR(__xludf.DUMMYFUNCTION("""COMPUTED_VALUE"""),0.7326369945091084)</f>
        <v>0.7326369945</v>
      </c>
      <c r="AP670" s="30">
        <f>IFERROR(__xludf.DUMMYFUNCTION("""COMPUTED_VALUE"""),1.2390647981420444)</f>
        <v>1.239064798</v>
      </c>
      <c r="AQ670" s="30">
        <f>IFERROR(__xludf.DUMMYFUNCTION("""COMPUTED_VALUE"""),0.9497055387670268)</f>
        <v>0.9497055388</v>
      </c>
      <c r="AR670" s="30">
        <f>IFERROR(__xludf.DUMMYFUNCTION("""COMPUTED_VALUE"""),1.0306346817870742)</f>
        <v>1.030634682</v>
      </c>
      <c r="AS670" s="30">
        <f>IFERROR(__xludf.DUMMYFUNCTION("""COMPUTED_VALUE"""),82.0)</f>
        <v>82</v>
      </c>
      <c r="AT670" s="30">
        <f>IFERROR(__xludf.DUMMYFUNCTION("""COMPUTED_VALUE"""),0.41767465187790215)</f>
        <v>0.4176746519</v>
      </c>
      <c r="AU670" s="30">
        <f>IFERROR(__xludf.DUMMYFUNCTION("""COMPUTED_VALUE"""),2.7904189744581567)</f>
        <v>2.790418974</v>
      </c>
      <c r="AV670" s="32">
        <f>IFERROR(__xludf.DUMMYFUNCTION("""COMPUTED_VALUE"""),44.37478040210621)</f>
        <v>44.3747804</v>
      </c>
      <c r="AW670" s="32">
        <f>IFERROR(__xludf.DUMMYFUNCTION("""COMPUTED_VALUE"""),-2.433171601008674)</f>
        <v>-2.433171601</v>
      </c>
      <c r="AX670" s="32">
        <f>IFERROR(__xludf.DUMMYFUNCTION("""COMPUTED_VALUE"""),45.63327712294735)</f>
        <v>45.63327712</v>
      </c>
      <c r="AY670" s="32">
        <f>IFERROR(__xludf.DUMMYFUNCTION("""COMPUTED_VALUE"""),-2.321964006521473)</f>
        <v>-2.321964007</v>
      </c>
      <c r="AZ670" s="30">
        <f>IFERROR(__xludf.DUMMYFUNCTION("""COMPUTED_VALUE"""),0.11120759448720108)</f>
        <v>0.1112075945</v>
      </c>
      <c r="BA670" s="30">
        <f>IFERROR(__xludf.DUMMYFUNCTION("""COMPUTED_VALUE"""),2300.0)</f>
        <v>2300</v>
      </c>
    </row>
    <row r="671">
      <c r="A671" s="71" t="str">
        <f>IFERROR(__xludf.DUMMYFUNCTION("""COMPUTED_VALUE"""),"Challenger")</f>
        <v>Challenger</v>
      </c>
      <c r="B671" s="71" t="str">
        <f>IFERROR(__xludf.DUMMYFUNCTION("""COMPUTED_VALUE"""),"RSC007911")</f>
        <v>RSC007911</v>
      </c>
      <c r="C671" s="30" t="str">
        <f>IFERROR(__xludf.DUMMYFUNCTION("""COMPUTED_VALUE"""),"Redhood913011")</f>
        <v>Redhood913011</v>
      </c>
      <c r="D671" s="30" t="str">
        <f>IFERROR(__xludf.DUMMYFUNCTION("""COMPUTED_VALUE"""),"Lions")</f>
        <v>Lions</v>
      </c>
      <c r="E671" s="30">
        <f>IFERROR(__xludf.DUMMYFUNCTION("""COMPUTED_VALUE"""),6.0)</f>
        <v>6</v>
      </c>
      <c r="F671" s="30">
        <f>IFERROR(__xludf.DUMMYFUNCTION("""COMPUTED_VALUE"""),1.0)</f>
        <v>1</v>
      </c>
      <c r="G671" s="42">
        <f>IFERROR(__xludf.DUMMYFUNCTION("""COMPUTED_VALUE"""),5.0)</f>
        <v>5</v>
      </c>
      <c r="H671" s="42">
        <f>IFERROR(__xludf.DUMMYFUNCTION("""COMPUTED_VALUE"""),0.16666666666666666)</f>
        <v>0.1666666667</v>
      </c>
      <c r="I671" s="42">
        <f>IFERROR(__xludf.DUMMYFUNCTION("""COMPUTED_VALUE"""),0.23076923076923078)</f>
        <v>0.2307692308</v>
      </c>
      <c r="J671" s="30">
        <f>IFERROR(__xludf.DUMMYFUNCTION("""COMPUTED_VALUE"""),270.1666666666667)</f>
        <v>270.1666667</v>
      </c>
      <c r="K671" s="30">
        <f>IFERROR(__xludf.DUMMYFUNCTION("""COMPUTED_VALUE"""),0.5)</f>
        <v>0.5</v>
      </c>
      <c r="L671" s="30">
        <f>IFERROR(__xludf.DUMMYFUNCTION("""COMPUTED_VALUE"""),0.5)</f>
        <v>0.5</v>
      </c>
      <c r="M671" s="30">
        <f>IFERROR(__xludf.DUMMYFUNCTION("""COMPUTED_VALUE"""),0.8333333333333334)</f>
        <v>0.8333333333</v>
      </c>
      <c r="N671" s="30">
        <f>IFERROR(__xludf.DUMMYFUNCTION("""COMPUTED_VALUE"""),2.1666666666666665)</f>
        <v>2.166666667</v>
      </c>
      <c r="O671" s="30">
        <f>IFERROR(__xludf.DUMMYFUNCTION("""COMPUTED_VALUE"""),336.5)</f>
        <v>336.5</v>
      </c>
      <c r="P671" s="30">
        <f>IFERROR(__xludf.DUMMYFUNCTION("""COMPUTED_VALUE"""),0.7777777777777777)</f>
        <v>0.7777777778</v>
      </c>
      <c r="Q671" s="30">
        <f>IFERROR(__xludf.DUMMYFUNCTION("""COMPUTED_VALUE"""),0.6666666666666666)</f>
        <v>0.6666666667</v>
      </c>
      <c r="R671" s="30">
        <f>IFERROR(__xludf.DUMMYFUNCTION("""COMPUTED_VALUE"""),1.277777777777778)</f>
        <v>1.277777778</v>
      </c>
      <c r="S671" s="30">
        <f>IFERROR(__xludf.DUMMYFUNCTION("""COMPUTED_VALUE"""),2.6666666666666665)</f>
        <v>2.666666667</v>
      </c>
      <c r="T671" s="30">
        <f>IFERROR(__xludf.DUMMYFUNCTION("""COMPUTED_VALUE"""),343.51565539945915)</f>
        <v>343.5156554</v>
      </c>
      <c r="U671" s="30">
        <f>IFERROR(__xludf.DUMMYFUNCTION("""COMPUTED_VALUE"""),0.7849119903891407)</f>
        <v>0.7849119904</v>
      </c>
      <c r="V671" s="30">
        <f>IFERROR(__xludf.DUMMYFUNCTION("""COMPUTED_VALUE"""),0.5218653484110473)</f>
        <v>0.5218653484</v>
      </c>
      <c r="W671" s="30">
        <f>IFERROR(__xludf.DUMMYFUNCTION("""COMPUTED_VALUE"""),1.2760812564576003)</f>
        <v>1.276081256</v>
      </c>
      <c r="X671" s="30">
        <f>IFERROR(__xludf.DUMMYFUNCTION("""COMPUTED_VALUE"""),2.6594475392190446)</f>
        <v>2.659447539</v>
      </c>
      <c r="Y671" s="30">
        <f>IFERROR(__xludf.DUMMYFUNCTION("""COMPUTED_VALUE"""),349.68713833375574)</f>
        <v>349.6871383</v>
      </c>
      <c r="Z671" s="30">
        <f>IFERROR(__xludf.DUMMYFUNCTION("""COMPUTED_VALUE"""),0.7619464159562725)</f>
        <v>0.761946416</v>
      </c>
      <c r="AA671" s="30">
        <f>IFERROR(__xludf.DUMMYFUNCTION("""COMPUTED_VALUE"""),0.5207731262166746)</f>
        <v>0.5207731262</v>
      </c>
      <c r="AB671" s="30">
        <f>IFERROR(__xludf.DUMMYFUNCTION("""COMPUTED_VALUE"""),1.3745902179593934)</f>
        <v>1.374590218</v>
      </c>
      <c r="AC671" s="30">
        <f>IFERROR(__xludf.DUMMYFUNCTION("""COMPUTED_VALUE"""),2.534480938300383)</f>
        <v>2.534480938</v>
      </c>
      <c r="AD671" s="30">
        <f>IFERROR(__xludf.DUMMYFUNCTION("""COMPUTED_VALUE"""),0.7725953775537736)</f>
        <v>0.7725953776</v>
      </c>
      <c r="AE671" s="30">
        <f>IFERROR(__xludf.DUMMYFUNCTION("""COMPUTED_VALUE"""),0.6562141241552799)</f>
        <v>0.6562141242</v>
      </c>
      <c r="AF671" s="30">
        <f>IFERROR(__xludf.DUMMYFUNCTION("""COMPUTED_VALUE"""),0.9601109865872156)</f>
        <v>0.9601109866</v>
      </c>
      <c r="AG671" s="30">
        <f>IFERROR(__xludf.DUMMYFUNCTION("""COMPUTED_VALUE"""),0.6062412800888641)</f>
        <v>0.6062412801</v>
      </c>
      <c r="AH671" s="30">
        <f>IFERROR(__xludf.DUMMYFUNCTION("""COMPUTED_VALUE"""),0.8548758974370618)</f>
        <v>0.8548758974</v>
      </c>
      <c r="AI671" s="30">
        <f>IFERROR(__xludf.DUMMYFUNCTION("""COMPUTED_VALUE"""),0.9795768976196996)</f>
        <v>0.9795768976</v>
      </c>
      <c r="AJ671" s="30">
        <f>IFERROR(__xludf.DUMMYFUNCTION("""COMPUTED_VALUE"""),0.9909108120417092)</f>
        <v>0.990910812</v>
      </c>
      <c r="AK671" s="30">
        <f>IFERROR(__xludf.DUMMYFUNCTION("""COMPUTED_VALUE"""),1.2774687353672822)</f>
        <v>1.277468735</v>
      </c>
      <c r="AL671" s="30">
        <f>IFERROR(__xludf.DUMMYFUNCTION("""COMPUTED_VALUE"""),1.0013294775012112)</f>
        <v>1.001329478</v>
      </c>
      <c r="AM671" s="30">
        <f>IFERROR(__xludf.DUMMYFUNCTION("""COMPUTED_VALUE"""),1.0027145214715316)</f>
        <v>1.002714521</v>
      </c>
      <c r="AN671" s="30">
        <f>IFERROR(__xludf.DUMMYFUNCTION("""COMPUTED_VALUE"""),0.8218949528298524)</f>
        <v>0.8218949528</v>
      </c>
      <c r="AO671" s="30">
        <f>IFERROR(__xludf.DUMMYFUNCTION("""COMPUTED_VALUE"""),0.6593732950581975)</f>
        <v>0.6593732951</v>
      </c>
      <c r="AP671" s="30">
        <f>IFERROR(__xludf.DUMMYFUNCTION("""COMPUTED_VALUE"""),0.9697028855024696)</f>
        <v>0.9697028855</v>
      </c>
      <c r="AQ671" s="30">
        <f>IFERROR(__xludf.DUMMYFUNCTION("""COMPUTED_VALUE"""),0.6949064917807514)</f>
        <v>0.6949064918</v>
      </c>
      <c r="AR671" s="30">
        <f>IFERROR(__xludf.DUMMYFUNCTION("""COMPUTED_VALUE"""),0.9032528671841772)</f>
        <v>0.9032528672</v>
      </c>
      <c r="AS671" s="30">
        <f>IFERROR(__xludf.DUMMYFUNCTION("""COMPUTED_VALUE"""),9.0)</f>
        <v>9</v>
      </c>
      <c r="AT671" s="30">
        <f>IFERROR(__xludf.DUMMYFUNCTION("""COMPUTED_VALUE"""),0.34304651772487854)</f>
        <v>0.3430465177</v>
      </c>
      <c r="AU671" s="30">
        <f>IFERROR(__xludf.DUMMYFUNCTION("""COMPUTED_VALUE"""),2.190992440764605)</f>
        <v>2.190992441</v>
      </c>
      <c r="AV671" s="32">
        <f>IFERROR(__xludf.DUMMYFUNCTION("""COMPUTED_VALUE"""),28.524649493518133)</f>
        <v>28.52464949</v>
      </c>
      <c r="AW671" s="32">
        <f>IFERROR(__xludf.DUMMYFUNCTION("""COMPUTED_VALUE"""),-5.123833041242918)</f>
        <v>-5.123833041</v>
      </c>
      <c r="AX671" s="32">
        <f>IFERROR(__xludf.DUMMYFUNCTION("""COMPUTED_VALUE"""),28.173387037567313)</f>
        <v>28.17338704</v>
      </c>
      <c r="AY671" s="32">
        <f>IFERROR(__xludf.DUMMYFUNCTION("""COMPUTED_VALUE"""),-5.227010201233076)</f>
        <v>-5.227010201</v>
      </c>
      <c r="AZ671" s="30">
        <f>IFERROR(__xludf.DUMMYFUNCTION("""COMPUTED_VALUE"""),0.10317715999015853)</f>
        <v>0.10317716</v>
      </c>
      <c r="BA671" s="30">
        <f>IFERROR(__xludf.DUMMYFUNCTION("""COMPUTED_VALUE"""),2300.0)</f>
        <v>2300</v>
      </c>
    </row>
    <row r="672">
      <c r="A672" s="71" t="str">
        <f>IFERROR(__xludf.DUMMYFUNCTION("""COMPUTED_VALUE"""),"Challenger")</f>
        <v>Challenger</v>
      </c>
      <c r="B672" s="71" t="str">
        <f>IFERROR(__xludf.DUMMYFUNCTION("""COMPUTED_VALUE"""),"RSC007001")</f>
        <v>RSC007001</v>
      </c>
      <c r="C672" s="30" t="str">
        <f>IFERROR(__xludf.DUMMYFUNCTION("""COMPUTED_VALUE"""),"tankersrul")</f>
        <v>tankersrul</v>
      </c>
      <c r="D672" s="30" t="str">
        <f>IFERROR(__xludf.DUMMYFUNCTION("""COMPUTED_VALUE"""),"Squalls")</f>
        <v>Squalls</v>
      </c>
      <c r="E672" s="30">
        <f>IFERROR(__xludf.DUMMYFUNCTION("""COMPUTED_VALUE"""),32.0)</f>
        <v>32</v>
      </c>
      <c r="F672" s="30">
        <f>IFERROR(__xludf.DUMMYFUNCTION("""COMPUTED_VALUE"""),17.0)</f>
        <v>17</v>
      </c>
      <c r="G672" s="42">
        <f>IFERROR(__xludf.DUMMYFUNCTION("""COMPUTED_VALUE"""),15.0)</f>
        <v>15</v>
      </c>
      <c r="H672" s="42">
        <f>IFERROR(__xludf.DUMMYFUNCTION("""COMPUTED_VALUE"""),0.53125)</f>
        <v>0.53125</v>
      </c>
      <c r="I672" s="42">
        <f>IFERROR(__xludf.DUMMYFUNCTION("""COMPUTED_VALUE"""),0.2702702702702703)</f>
        <v>0.2702702703</v>
      </c>
      <c r="J672" s="30">
        <f>IFERROR(__xludf.DUMMYFUNCTION("""COMPUTED_VALUE"""),327.21875)</f>
        <v>327.21875</v>
      </c>
      <c r="K672" s="30">
        <f>IFERROR(__xludf.DUMMYFUNCTION("""COMPUTED_VALUE"""),0.625)</f>
        <v>0.625</v>
      </c>
      <c r="L672" s="30">
        <f>IFERROR(__xludf.DUMMYFUNCTION("""COMPUTED_VALUE"""),0.53125)</f>
        <v>0.53125</v>
      </c>
      <c r="M672" s="30">
        <f>IFERROR(__xludf.DUMMYFUNCTION("""COMPUTED_VALUE"""),1.25)</f>
        <v>1.25</v>
      </c>
      <c r="N672" s="30">
        <f>IFERROR(__xludf.DUMMYFUNCTION("""COMPUTED_VALUE"""),2.3125)</f>
        <v>2.3125</v>
      </c>
      <c r="O672" s="30">
        <f>IFERROR(__xludf.DUMMYFUNCTION("""COMPUTED_VALUE"""),318.9583333333332)</f>
        <v>318.9583333</v>
      </c>
      <c r="P672" s="30">
        <f>IFERROR(__xludf.DUMMYFUNCTION("""COMPUTED_VALUE"""),0.6354166666666665)</f>
        <v>0.6354166667</v>
      </c>
      <c r="Q672" s="30">
        <f>IFERROR(__xludf.DUMMYFUNCTION("""COMPUTED_VALUE"""),0.41666666666666674)</f>
        <v>0.4166666667</v>
      </c>
      <c r="R672" s="30">
        <f>IFERROR(__xludf.DUMMYFUNCTION("""COMPUTED_VALUE"""),1.3541666666666667)</f>
        <v>1.354166667</v>
      </c>
      <c r="S672" s="30">
        <f>IFERROR(__xludf.DUMMYFUNCTION("""COMPUTED_VALUE"""),2.1458333333333335)</f>
        <v>2.145833333</v>
      </c>
      <c r="T672" s="30">
        <f>IFERROR(__xludf.DUMMYFUNCTION("""COMPUTED_VALUE"""),339.3316277033958)</f>
        <v>339.3316277</v>
      </c>
      <c r="U672" s="30">
        <f>IFERROR(__xludf.DUMMYFUNCTION("""COMPUTED_VALUE"""),0.7988922193547214)</f>
        <v>0.7988922194</v>
      </c>
      <c r="V672" s="30">
        <f>IFERROR(__xludf.DUMMYFUNCTION("""COMPUTED_VALUE"""),0.5276760708489496)</f>
        <v>0.5276760708</v>
      </c>
      <c r="W672" s="30">
        <f>IFERROR(__xludf.DUMMYFUNCTION("""COMPUTED_VALUE"""),1.2293363668756458)</f>
        <v>1.229336367</v>
      </c>
      <c r="X672" s="30">
        <f>IFERROR(__xludf.DUMMYFUNCTION("""COMPUTED_VALUE"""),2.4199178941482815)</f>
        <v>2.419917894</v>
      </c>
      <c r="Y672" s="30">
        <f>IFERROR(__xludf.DUMMYFUNCTION("""COMPUTED_VALUE"""),323.8659944113727)</f>
        <v>323.8659944</v>
      </c>
      <c r="Z672" s="30">
        <f>IFERROR(__xludf.DUMMYFUNCTION("""COMPUTED_VALUE"""),0.7173093099692716)</f>
        <v>0.71730931</v>
      </c>
      <c r="AA672" s="30">
        <f>IFERROR(__xludf.DUMMYFUNCTION("""COMPUTED_VALUE"""),0.4819732620560408)</f>
        <v>0.4819732621</v>
      </c>
      <c r="AB672" s="30">
        <f>IFERROR(__xludf.DUMMYFUNCTION("""COMPUTED_VALUE"""),1.17097187246289)</f>
        <v>1.170971872</v>
      </c>
      <c r="AC672" s="30">
        <f>IFERROR(__xludf.DUMMYFUNCTION("""COMPUTED_VALUE"""),2.3976102890091333)</f>
        <v>2.397610289</v>
      </c>
      <c r="AD672" s="30">
        <f>IFERROR(__xludf.DUMMYFUNCTION("""COMPUTED_VALUE"""),1.0103522927583706)</f>
        <v>1.010352293</v>
      </c>
      <c r="AE672" s="30">
        <f>IFERROR(__xludf.DUMMYFUNCTION("""COMPUTED_VALUE"""),0.8713117079531201)</f>
        <v>0.871311708</v>
      </c>
      <c r="AF672" s="30">
        <f>IFERROR(__xludf.DUMMYFUNCTION("""COMPUTED_VALUE"""),1.1022395676759131)</f>
        <v>1.102239568</v>
      </c>
      <c r="AG672" s="30">
        <f>IFERROR(__xludf.DUMMYFUNCTION("""COMPUTED_VALUE"""),1.0674893474348714)</f>
        <v>1.067489347</v>
      </c>
      <c r="AH672" s="30">
        <f>IFERROR(__xludf.DUMMYFUNCTION("""COMPUTED_VALUE"""),0.9645020337961984)</f>
        <v>0.9645020338</v>
      </c>
      <c r="AI672" s="30">
        <f>IFERROR(__xludf.DUMMYFUNCTION("""COMPUTED_VALUE"""),0.9399605203088509)</f>
        <v>0.9399605203</v>
      </c>
      <c r="AJ672" s="30">
        <f>IFERROR(__xludf.DUMMYFUNCTION("""COMPUTED_VALUE"""),0.7953722057524896)</f>
        <v>0.7953722058</v>
      </c>
      <c r="AK672" s="30">
        <f>IFERROR(__xludf.DUMMYFUNCTION("""COMPUTED_VALUE"""),0.7896258513226005)</f>
        <v>0.7896258513</v>
      </c>
      <c r="AL672" s="30">
        <f>IFERROR(__xludf.DUMMYFUNCTION("""COMPUTED_VALUE"""),1.101542834942951)</f>
        <v>1.101542835</v>
      </c>
      <c r="AM672" s="30">
        <f>IFERROR(__xludf.DUMMYFUNCTION("""COMPUTED_VALUE"""),0.8867380742637074)</f>
        <v>0.8867380743</v>
      </c>
      <c r="AN672" s="30">
        <f>IFERROR(__xludf.DUMMYFUNCTION("""COMPUTED_VALUE"""),0.995457516704355)</f>
        <v>0.9954575167</v>
      </c>
      <c r="AO672" s="30">
        <f>IFERROR(__xludf.DUMMYFUNCTION("""COMPUTED_VALUE"""),0.8242166188227469)</f>
        <v>0.8242166188</v>
      </c>
      <c r="AP672" s="30">
        <f>IFERROR(__xludf.DUMMYFUNCTION("""COMPUTED_VALUE"""),1.0303093158463739)</f>
        <v>1.030309316</v>
      </c>
      <c r="AQ672" s="30">
        <f>IFERROR(__xludf.DUMMYFUNCTION("""COMPUTED_VALUE"""),1.042359737671127)</f>
        <v>1.042359738</v>
      </c>
      <c r="AR672" s="30">
        <f>IFERROR(__xludf.DUMMYFUNCTION("""COMPUTED_VALUE"""),0.9640487332446507)</f>
        <v>0.9640487332</v>
      </c>
      <c r="AS672" s="30">
        <f>IFERROR(__xludf.DUMMYFUNCTION("""COMPUTED_VALUE"""),69.0)</f>
        <v>69</v>
      </c>
      <c r="AT672" s="30">
        <f>IFERROR(__xludf.DUMMYFUNCTION("""COMPUTED_VALUE"""),0.5459370424119446)</f>
        <v>0.5459370424</v>
      </c>
      <c r="AU672" s="30">
        <f>IFERROR(__xludf.DUMMYFUNCTION("""COMPUTED_VALUE"""),3.0924776669201153)</f>
        <v>3.092477667</v>
      </c>
      <c r="AV672" s="32">
        <f>IFERROR(__xludf.DUMMYFUNCTION("""COMPUTED_VALUE"""),52.36186397029309)</f>
        <v>52.36186397</v>
      </c>
      <c r="AW672" s="32">
        <f>IFERROR(__xludf.DUMMYFUNCTION("""COMPUTED_VALUE"""),2.1627883392683938)</f>
        <v>2.162788339</v>
      </c>
      <c r="AX672" s="32">
        <f>IFERROR(__xludf.DUMMYFUNCTION("""COMPUTED_VALUE"""),50.924978324533974)</f>
        <v>50.92497832</v>
      </c>
      <c r="AY672" s="32">
        <f>IFERROR(__xludf.DUMMYFUNCTION("""COMPUTED_VALUE"""),2.0608237772912106)</f>
        <v>2.060823777</v>
      </c>
      <c r="AZ672" s="30">
        <f>IFERROR(__xludf.DUMMYFUNCTION("""COMPUTED_VALUE"""),0.10196456197718318)</f>
        <v>0.101964562</v>
      </c>
      <c r="BA672" s="30">
        <f>IFERROR(__xludf.DUMMYFUNCTION("""COMPUTED_VALUE"""),2300.0)</f>
        <v>2300</v>
      </c>
    </row>
    <row r="673">
      <c r="A673" s="71" t="str">
        <f>IFERROR(__xludf.DUMMYFUNCTION("""COMPUTED_VALUE"""),"Challenger")</f>
        <v>Challenger</v>
      </c>
      <c r="B673" s="71" t="str">
        <f>IFERROR(__xludf.DUMMYFUNCTION("""COMPUTED_VALUE"""),"RSC007939")</f>
        <v>RSC007939</v>
      </c>
      <c r="C673" s="30" t="str">
        <f>IFERROR(__xludf.DUMMYFUNCTION("""COMPUTED_VALUE"""),"bryan_rown_")</f>
        <v>bryan_rown_</v>
      </c>
      <c r="D673" s="30" t="str">
        <f>IFERROR(__xludf.DUMMYFUNCTION("""COMPUTED_VALUE"""),"Metal")</f>
        <v>Metal</v>
      </c>
      <c r="E673" s="30">
        <f>IFERROR(__xludf.DUMMYFUNCTION("""COMPUTED_VALUE"""),25.0)</f>
        <v>25</v>
      </c>
      <c r="F673" s="30">
        <f>IFERROR(__xludf.DUMMYFUNCTION("""COMPUTED_VALUE"""),12.0)</f>
        <v>12</v>
      </c>
      <c r="G673" s="42">
        <f>IFERROR(__xludf.DUMMYFUNCTION("""COMPUTED_VALUE"""),13.0)</f>
        <v>13</v>
      </c>
      <c r="H673" s="42">
        <f>IFERROR(__xludf.DUMMYFUNCTION("""COMPUTED_VALUE"""),0.48)</f>
        <v>0.48</v>
      </c>
      <c r="I673" s="42">
        <f>IFERROR(__xludf.DUMMYFUNCTION("""COMPUTED_VALUE"""),0.44)</f>
        <v>0.44</v>
      </c>
      <c r="J673" s="30">
        <f>IFERROR(__xludf.DUMMYFUNCTION("""COMPUTED_VALUE"""),331.2)</f>
        <v>331.2</v>
      </c>
      <c r="K673" s="30">
        <f>IFERROR(__xludf.DUMMYFUNCTION("""COMPUTED_VALUE"""),0.88)</f>
        <v>0.88</v>
      </c>
      <c r="L673" s="30">
        <f>IFERROR(__xludf.DUMMYFUNCTION("""COMPUTED_VALUE"""),0.6)</f>
        <v>0.6</v>
      </c>
      <c r="M673" s="30">
        <f>IFERROR(__xludf.DUMMYFUNCTION("""COMPUTED_VALUE"""),1.12)</f>
        <v>1.12</v>
      </c>
      <c r="N673" s="30">
        <f>IFERROR(__xludf.DUMMYFUNCTION("""COMPUTED_VALUE"""),2.0)</f>
        <v>2</v>
      </c>
      <c r="O673" s="30">
        <f>IFERROR(__xludf.DUMMYFUNCTION("""COMPUTED_VALUE"""),322.5866666666667)</f>
        <v>322.5866667</v>
      </c>
      <c r="P673" s="30">
        <f>IFERROR(__xludf.DUMMYFUNCTION("""COMPUTED_VALUE"""),0.7866666666666667)</f>
        <v>0.7866666667</v>
      </c>
      <c r="Q673" s="30">
        <f>IFERROR(__xludf.DUMMYFUNCTION("""COMPUTED_VALUE"""),0.4933333333333333)</f>
        <v>0.4933333333</v>
      </c>
      <c r="R673" s="30">
        <f>IFERROR(__xludf.DUMMYFUNCTION("""COMPUTED_VALUE"""),1.04)</f>
        <v>1.04</v>
      </c>
      <c r="S673" s="30">
        <f>IFERROR(__xludf.DUMMYFUNCTION("""COMPUTED_VALUE"""),2.4000000000000004)</f>
        <v>2.4</v>
      </c>
      <c r="T673" s="30">
        <f>IFERROR(__xludf.DUMMYFUNCTION("""COMPUTED_VALUE"""),325.85967483443324)</f>
        <v>325.8596748</v>
      </c>
      <c r="U673" s="30">
        <f>IFERROR(__xludf.DUMMYFUNCTION("""COMPUTED_VALUE"""),0.7236113614557148)</f>
        <v>0.7236113615</v>
      </c>
      <c r="V673" s="30">
        <f>IFERROR(__xludf.DUMMYFUNCTION("""COMPUTED_VALUE"""),0.4988205122782103)</f>
        <v>0.4988205123</v>
      </c>
      <c r="W673" s="30">
        <f>IFERROR(__xludf.DUMMYFUNCTION("""COMPUTED_VALUE"""),1.2415519367168584)</f>
        <v>1.241551937</v>
      </c>
      <c r="X673" s="30">
        <f>IFERROR(__xludf.DUMMYFUNCTION("""COMPUTED_VALUE"""),2.2957057587007204)</f>
        <v>2.295705759</v>
      </c>
      <c r="Y673" s="30">
        <f>IFERROR(__xludf.DUMMYFUNCTION("""COMPUTED_VALUE"""),346.44341766676416)</f>
        <v>346.4434177</v>
      </c>
      <c r="Z673" s="30">
        <f>IFERROR(__xludf.DUMMYFUNCTION("""COMPUTED_VALUE"""),0.8466167747278134)</f>
        <v>0.8466167747</v>
      </c>
      <c r="AA673" s="30">
        <f>IFERROR(__xludf.DUMMYFUNCTION("""COMPUTED_VALUE"""),0.6079816374658626)</f>
        <v>0.6079816375</v>
      </c>
      <c r="AB673" s="30">
        <f>IFERROR(__xludf.DUMMYFUNCTION("""COMPUTED_VALUE"""),1.1668701817156966)</f>
        <v>1.166870182</v>
      </c>
      <c r="AC673" s="30">
        <f>IFERROR(__xludf.DUMMYFUNCTION("""COMPUTED_VALUE"""),2.5685094382628453)</f>
        <v>2.568509438</v>
      </c>
      <c r="AD673" s="30">
        <f>IFERROR(__xludf.DUMMYFUNCTION("""COMPUTED_VALUE"""),0.9560002676066819)</f>
        <v>0.9560002676</v>
      </c>
      <c r="AE673" s="30">
        <f>IFERROR(__xludf.DUMMYFUNCTION("""COMPUTED_VALUE"""),1.0394313298161606)</f>
        <v>1.03943133</v>
      </c>
      <c r="AF673" s="30">
        <f>IFERROR(__xludf.DUMMYFUNCTION("""COMPUTED_VALUE"""),0.9868719103110892)</f>
        <v>0.9868719103</v>
      </c>
      <c r="AG673" s="30">
        <f>IFERROR(__xludf.DUMMYFUNCTION("""COMPUTED_VALUE"""),0.9598325653957656)</f>
        <v>0.9598325654</v>
      </c>
      <c r="AH673" s="30">
        <f>IFERROR(__xludf.DUMMYFUNCTION("""COMPUTED_VALUE"""),0.7786617289413801)</f>
        <v>0.7786617289</v>
      </c>
      <c r="AI673" s="30">
        <f>IFERROR(__xludf.DUMMYFUNCTION("""COMPUTED_VALUE"""),0.9899557741551497)</f>
        <v>0.9899557742</v>
      </c>
      <c r="AJ673" s="30">
        <f>IFERROR(__xludf.DUMMYFUNCTION("""COMPUTED_VALUE"""),1.0871397390501185)</f>
        <v>1.087139739</v>
      </c>
      <c r="AK673" s="30">
        <f>IFERROR(__xludf.DUMMYFUNCTION("""COMPUTED_VALUE"""),0.9889996926553482)</f>
        <v>0.9889996927</v>
      </c>
      <c r="AL673" s="30">
        <f>IFERROR(__xludf.DUMMYFUNCTION("""COMPUTED_VALUE"""),0.8376612924870148)</f>
        <v>0.8376612925</v>
      </c>
      <c r="AM673" s="30">
        <f>IFERROR(__xludf.DUMMYFUNCTION("""COMPUTED_VALUE"""),1.0454301431723143)</f>
        <v>1.045430143</v>
      </c>
      <c r="AN673" s="30">
        <f>IFERROR(__xludf.DUMMYFUNCTION("""COMPUTED_VALUE"""),1.0075691858503901)</f>
        <v>1.007569186</v>
      </c>
      <c r="AO673" s="30">
        <f>IFERROR(__xludf.DUMMYFUNCTION("""COMPUTED_VALUE"""),1.1604969993024277)</f>
        <v>1.160496999</v>
      </c>
      <c r="AP673" s="30">
        <f>IFERROR(__xludf.DUMMYFUNCTION("""COMPUTED_VALUE"""),1.1636434626029635)</f>
        <v>1.163643463</v>
      </c>
      <c r="AQ673" s="30">
        <f>IFERROR(__xludf.DUMMYFUNCTION("""COMPUTED_VALUE"""),0.9339543249533299)</f>
        <v>0.933954325</v>
      </c>
      <c r="AR673" s="30">
        <f>IFERROR(__xludf.DUMMYFUNCTION("""COMPUTED_VALUE"""),0.833771877400779)</f>
        <v>0.8337718774</v>
      </c>
      <c r="AS673" s="30">
        <f>IFERROR(__xludf.DUMMYFUNCTION("""COMPUTED_VALUE"""),63.0)</f>
        <v>63</v>
      </c>
      <c r="AT673" s="30">
        <f>IFERROR(__xludf.DUMMYFUNCTION("""COMPUTED_VALUE"""),0.5258235383964952)</f>
        <v>0.5258235384</v>
      </c>
      <c r="AU673" s="30">
        <f>IFERROR(__xludf.DUMMYFUNCTION("""COMPUTED_VALUE"""),2.93981405201086)</f>
        <v>2.939814052</v>
      </c>
      <c r="AV673" s="32">
        <f>IFERROR(__xludf.DUMMYFUNCTION("""COMPUTED_VALUE"""),48.325108596152404)</f>
        <v>48.3251086</v>
      </c>
      <c r="AW673" s="32">
        <f>IFERROR(__xludf.DUMMYFUNCTION("""COMPUTED_VALUE"""),-2.1128579674878982)</f>
        <v>-2.112857967</v>
      </c>
      <c r="AX673" s="32">
        <f>IFERROR(__xludf.DUMMYFUNCTION("""COMPUTED_VALUE"""),47.4267567750079)</f>
        <v>47.42675678</v>
      </c>
      <c r="AY673" s="32">
        <f>IFERROR(__xludf.DUMMYFUNCTION("""COMPUTED_VALUE"""),-2.1786047572070824)</f>
        <v>-2.178604757</v>
      </c>
      <c r="AZ673" s="30">
        <f>IFERROR(__xludf.DUMMYFUNCTION("""COMPUTED_VALUE"""),0.06574678971918413)</f>
        <v>0.06574678972</v>
      </c>
      <c r="BA673" s="30">
        <f>IFERROR(__xludf.DUMMYFUNCTION("""COMPUTED_VALUE"""),2300.0)</f>
        <v>2300</v>
      </c>
    </row>
    <row r="674">
      <c r="A674" s="71" t="str">
        <f>IFERROR(__xludf.DUMMYFUNCTION("""COMPUTED_VALUE"""),"Challenger")</f>
        <v>Challenger</v>
      </c>
      <c r="B674" s="71" t="str">
        <f>IFERROR(__xludf.DUMMYFUNCTION("""COMPUTED_VALUE"""),"RSC000357")</f>
        <v>RSC000357</v>
      </c>
      <c r="C674" s="30" t="str">
        <f>IFERROR(__xludf.DUMMYFUNCTION("""COMPUTED_VALUE"""),"Primed")</f>
        <v>Primed</v>
      </c>
      <c r="D674" s="30" t="str">
        <f>IFERROR(__xludf.DUMMYFUNCTION("""COMPUTED_VALUE"""),"Decuriones")</f>
        <v>Decuriones</v>
      </c>
      <c r="E674" s="30">
        <f>IFERROR(__xludf.DUMMYFUNCTION("""COMPUTED_VALUE"""),32.0)</f>
        <v>32</v>
      </c>
      <c r="F674" s="30">
        <f>IFERROR(__xludf.DUMMYFUNCTION("""COMPUTED_VALUE"""),21.0)</f>
        <v>21</v>
      </c>
      <c r="G674" s="42">
        <f>IFERROR(__xludf.DUMMYFUNCTION("""COMPUTED_VALUE"""),11.0)</f>
        <v>11</v>
      </c>
      <c r="H674" s="42">
        <f>IFERROR(__xludf.DUMMYFUNCTION("""COMPUTED_VALUE"""),0.65625)</f>
        <v>0.65625</v>
      </c>
      <c r="I674" s="42">
        <f>IFERROR(__xludf.DUMMYFUNCTION("""COMPUTED_VALUE"""),0.24358974358974358)</f>
        <v>0.2435897436</v>
      </c>
      <c r="J674" s="30">
        <f>IFERROR(__xludf.DUMMYFUNCTION("""COMPUTED_VALUE"""),283.375)</f>
        <v>283.375</v>
      </c>
      <c r="K674" s="30">
        <f>IFERROR(__xludf.DUMMYFUNCTION("""COMPUTED_VALUE"""),0.59375)</f>
        <v>0.59375</v>
      </c>
      <c r="L674" s="30">
        <f>IFERROR(__xludf.DUMMYFUNCTION("""COMPUTED_VALUE"""),0.46875)</f>
        <v>0.46875</v>
      </c>
      <c r="M674" s="30">
        <f>IFERROR(__xludf.DUMMYFUNCTION("""COMPUTED_VALUE"""),0.9375)</f>
        <v>0.9375</v>
      </c>
      <c r="N674" s="30">
        <f>IFERROR(__xludf.DUMMYFUNCTION("""COMPUTED_VALUE"""),2.4375)</f>
        <v>2.4375</v>
      </c>
      <c r="O674" s="30">
        <f>IFERROR(__xludf.DUMMYFUNCTION("""COMPUTED_VALUE"""),288.25)</f>
        <v>288.25</v>
      </c>
      <c r="P674" s="30">
        <f>IFERROR(__xludf.DUMMYFUNCTION("""COMPUTED_VALUE"""),0.5104166666666667)</f>
        <v>0.5104166667</v>
      </c>
      <c r="Q674" s="30">
        <f>IFERROR(__xludf.DUMMYFUNCTION("""COMPUTED_VALUE"""),0.3541666666666667)</f>
        <v>0.3541666667</v>
      </c>
      <c r="R674" s="30">
        <f>IFERROR(__xludf.DUMMYFUNCTION("""COMPUTED_VALUE"""),1.2395833333333335)</f>
        <v>1.239583333</v>
      </c>
      <c r="S674" s="30">
        <f>IFERROR(__xludf.DUMMYFUNCTION("""COMPUTED_VALUE"""),1.791666666666667)</f>
        <v>1.791666667</v>
      </c>
      <c r="T674" s="30">
        <f>IFERROR(__xludf.DUMMYFUNCTION("""COMPUTED_VALUE"""),330.37598283450745)</f>
        <v>330.3759828</v>
      </c>
      <c r="U674" s="30">
        <f>IFERROR(__xludf.DUMMYFUNCTION("""COMPUTED_VALUE"""),0.7055610901202767)</f>
        <v>0.7055610901</v>
      </c>
      <c r="V674" s="30">
        <f>IFERROR(__xludf.DUMMYFUNCTION("""COMPUTED_VALUE"""),0.5148071544034465)</f>
        <v>0.5148071544</v>
      </c>
      <c r="W674" s="30">
        <f>IFERROR(__xludf.DUMMYFUNCTION("""COMPUTED_VALUE"""),1.2856604774430649)</f>
        <v>1.285660477</v>
      </c>
      <c r="X674" s="30">
        <f>IFERROR(__xludf.DUMMYFUNCTION("""COMPUTED_VALUE"""),2.200035224720327)</f>
        <v>2.200035225</v>
      </c>
      <c r="Y674" s="30">
        <f>IFERROR(__xludf.DUMMYFUNCTION("""COMPUTED_VALUE"""),334.1243972889888)</f>
        <v>334.1243973</v>
      </c>
      <c r="Z674" s="30">
        <f>IFERROR(__xludf.DUMMYFUNCTION("""COMPUTED_VALUE"""),0.7984859972118229)</f>
        <v>0.7984859972</v>
      </c>
      <c r="AA674" s="30">
        <f>IFERROR(__xludf.DUMMYFUNCTION("""COMPUTED_VALUE"""),0.5617944399390118)</f>
        <v>0.5617944399</v>
      </c>
      <c r="AB674" s="30">
        <f>IFERROR(__xludf.DUMMYFUNCTION("""COMPUTED_VALUE"""),1.1015454499655033)</f>
        <v>1.10154545</v>
      </c>
      <c r="AC674" s="30">
        <f>IFERROR(__xludf.DUMMYFUNCTION("""COMPUTED_VALUE"""),2.5720716197535682)</f>
        <v>2.57207162</v>
      </c>
      <c r="AD674" s="30">
        <f>IFERROR(__xludf.DUMMYFUNCTION("""COMPUTED_VALUE"""),0.8481122668659992)</f>
        <v>0.8481122669</v>
      </c>
      <c r="AE674" s="30">
        <f>IFERROR(__xludf.DUMMYFUNCTION("""COMPUTED_VALUE"""),0.7435947556666915)</f>
        <v>0.7435947557</v>
      </c>
      <c r="AF674" s="30">
        <f>IFERROR(__xludf.DUMMYFUNCTION("""COMPUTED_VALUE"""),0.8343799202620933)</f>
        <v>0.8343799203</v>
      </c>
      <c r="AG674" s="30">
        <f>IFERROR(__xludf.DUMMYFUNCTION("""COMPUTED_VALUE"""),0.8510770027958078)</f>
        <v>0.8510770028</v>
      </c>
      <c r="AH674" s="30">
        <f>IFERROR(__xludf.DUMMYFUNCTION("""COMPUTED_VALUE"""),0.9476796762889279)</f>
        <v>0.9476796763</v>
      </c>
      <c r="AI674" s="30">
        <f>IFERROR(__xludf.DUMMYFUNCTION("""COMPUTED_VALUE"""),0.8724907831583832)</f>
        <v>0.8724907832</v>
      </c>
      <c r="AJ674" s="30">
        <f>IFERROR(__xludf.DUMMYFUNCTION("""COMPUTED_VALUE"""),0.7234195221559855)</f>
        <v>0.7234195222</v>
      </c>
      <c r="AK674" s="30">
        <f>IFERROR(__xludf.DUMMYFUNCTION("""COMPUTED_VALUE"""),0.6879598770865404)</f>
        <v>0.6879598771</v>
      </c>
      <c r="AL674" s="30">
        <f>IFERROR(__xludf.DUMMYFUNCTION("""COMPUTED_VALUE"""),0.9641607213427218)</f>
        <v>0.9641607213</v>
      </c>
      <c r="AM674" s="30">
        <f>IFERROR(__xludf.DUMMYFUNCTION("""COMPUTED_VALUE"""),0.8143809001487362)</f>
        <v>0.8143809001</v>
      </c>
      <c r="AN674" s="30">
        <f>IFERROR(__xludf.DUMMYFUNCTION("""COMPUTED_VALUE"""),0.862077047223292)</f>
        <v>0.8620770472</v>
      </c>
      <c r="AO674" s="30">
        <f>IFERROR(__xludf.DUMMYFUNCTION("""COMPUTED_VALUE"""),0.7830057878816096)</f>
        <v>0.7830057879</v>
      </c>
      <c r="AP674" s="30">
        <f>IFERROR(__xludf.DUMMYFUNCTION("""COMPUTED_VALUE"""),0.9090964551585652)</f>
        <v>0.9090964552</v>
      </c>
      <c r="AQ674" s="30">
        <f>IFERROR(__xludf.DUMMYFUNCTION("""COMPUTED_VALUE"""),0.7817698032533452)</f>
        <v>0.7817698033</v>
      </c>
      <c r="AR674" s="30">
        <f>IFERROR(__xludf.DUMMYFUNCTION("""COMPUTED_VALUE"""),1.0161594755821994)</f>
        <v>1.016159476</v>
      </c>
      <c r="AS674" s="30">
        <f>IFERROR(__xludf.DUMMYFUNCTION("""COMPUTED_VALUE"""),73.0)</f>
        <v>73</v>
      </c>
      <c r="AT674" s="30">
        <f>IFERROR(__xludf.DUMMYFUNCTION("""COMPUTED_VALUE"""),0.6422886988853646)</f>
        <v>0.6422886989</v>
      </c>
      <c r="AU674" s="30">
        <f>IFERROR(__xludf.DUMMYFUNCTION("""COMPUTED_VALUE"""),2.8041768145385926)</f>
        <v>2.804176815</v>
      </c>
      <c r="AV674" s="32">
        <f>IFERROR(__xludf.DUMMYFUNCTION("""COMPUTED_VALUE"""),44.73856737855295)</f>
        <v>44.73856738</v>
      </c>
      <c r="AW674" s="32">
        <f>IFERROR(__xludf.DUMMYFUNCTION("""COMPUTED_VALUE"""),-2.400064980782625)</f>
        <v>-2.400064981</v>
      </c>
      <c r="AX674" s="32">
        <f>IFERROR(__xludf.DUMMYFUNCTION("""COMPUTED_VALUE"""),44.072848701558556)</f>
        <v>44.0728487</v>
      </c>
      <c r="AY674" s="32">
        <f>IFERROR(__xludf.DUMMYFUNCTION("""COMPUTED_VALUE"""),-2.4612657294599827)</f>
        <v>-2.461265729</v>
      </c>
      <c r="AZ674" s="30">
        <f>IFERROR(__xludf.DUMMYFUNCTION("""COMPUTED_VALUE"""),0.06120074867735781)</f>
        <v>0.06120074868</v>
      </c>
      <c r="BA674" s="30">
        <f>IFERROR(__xludf.DUMMYFUNCTION("""COMPUTED_VALUE"""),2300.0)</f>
        <v>2300</v>
      </c>
    </row>
    <row r="675">
      <c r="A675" s="71" t="str">
        <f>IFERROR(__xludf.DUMMYFUNCTION("""COMPUTED_VALUE"""),"Challenger")</f>
        <v>Challenger</v>
      </c>
      <c r="B675" s="71" t="str">
        <f>IFERROR(__xludf.DUMMYFUNCTION("""COMPUTED_VALUE"""),"RSC006643")</f>
        <v>RSC006643</v>
      </c>
      <c r="C675" s="30" t="str">
        <f>IFERROR(__xludf.DUMMYFUNCTION("""COMPUTED_VALUE"""),"Napkhan")</f>
        <v>Napkhan</v>
      </c>
      <c r="D675" s="30" t="str">
        <f>IFERROR(__xludf.DUMMYFUNCTION("""COMPUTED_VALUE"""),"Void")</f>
        <v>Void</v>
      </c>
      <c r="E675" s="30">
        <f>IFERROR(__xludf.DUMMYFUNCTION("""COMPUTED_VALUE"""),36.0)</f>
        <v>36</v>
      </c>
      <c r="F675" s="30">
        <f>IFERROR(__xludf.DUMMYFUNCTION("""COMPUTED_VALUE"""),24.0)</f>
        <v>24</v>
      </c>
      <c r="G675" s="42">
        <f>IFERROR(__xludf.DUMMYFUNCTION("""COMPUTED_VALUE"""),12.0)</f>
        <v>12</v>
      </c>
      <c r="H675" s="42">
        <f>IFERROR(__xludf.DUMMYFUNCTION("""COMPUTED_VALUE"""),0.6666666666666666)</f>
        <v>0.6666666667</v>
      </c>
      <c r="I675" s="42">
        <f>IFERROR(__xludf.DUMMYFUNCTION("""COMPUTED_VALUE"""),0.3333333333333333)</f>
        <v>0.3333333333</v>
      </c>
      <c r="J675" s="30">
        <f>IFERROR(__xludf.DUMMYFUNCTION("""COMPUTED_VALUE"""),323.22222222222223)</f>
        <v>323.2222222</v>
      </c>
      <c r="K675" s="30">
        <f>IFERROR(__xludf.DUMMYFUNCTION("""COMPUTED_VALUE"""),0.8611111111111112)</f>
        <v>0.8611111111</v>
      </c>
      <c r="L675" s="30">
        <f>IFERROR(__xludf.DUMMYFUNCTION("""COMPUTED_VALUE"""),0.2777777777777778)</f>
        <v>0.2777777778</v>
      </c>
      <c r="M675" s="30">
        <f>IFERROR(__xludf.DUMMYFUNCTION("""COMPUTED_VALUE"""),1.2222222222222223)</f>
        <v>1.222222222</v>
      </c>
      <c r="N675" s="30">
        <f>IFERROR(__xludf.DUMMYFUNCTION("""COMPUTED_VALUE"""),2.5833333333333335)</f>
        <v>2.583333333</v>
      </c>
      <c r="O675" s="30">
        <f>IFERROR(__xludf.DUMMYFUNCTION("""COMPUTED_VALUE"""),314.43518518518505)</f>
        <v>314.4351852</v>
      </c>
      <c r="P675" s="30">
        <f>IFERROR(__xludf.DUMMYFUNCTION("""COMPUTED_VALUE"""),0.6296296296296295)</f>
        <v>0.6296296296</v>
      </c>
      <c r="Q675" s="30">
        <f>IFERROR(__xludf.DUMMYFUNCTION("""COMPUTED_VALUE"""),0.45370370370370366)</f>
        <v>0.4537037037</v>
      </c>
      <c r="R675" s="30">
        <f>IFERROR(__xludf.DUMMYFUNCTION("""COMPUTED_VALUE"""),1.1296296296296298)</f>
        <v>1.12962963</v>
      </c>
      <c r="S675" s="30">
        <f>IFERROR(__xludf.DUMMYFUNCTION("""COMPUTED_VALUE"""),2.148148148148148)</f>
        <v>2.148148148</v>
      </c>
      <c r="T675" s="30">
        <f>IFERROR(__xludf.DUMMYFUNCTION("""COMPUTED_VALUE"""),332.07572617432675)</f>
        <v>332.0757262</v>
      </c>
      <c r="U675" s="30">
        <f>IFERROR(__xludf.DUMMYFUNCTION("""COMPUTED_VALUE"""),0.7988504842524182)</f>
        <v>0.7988504843</v>
      </c>
      <c r="V675" s="30">
        <f>IFERROR(__xludf.DUMMYFUNCTION("""COMPUTED_VALUE"""),0.5160258608086107)</f>
        <v>0.5160258608</v>
      </c>
      <c r="W675" s="30">
        <f>IFERROR(__xludf.DUMMYFUNCTION("""COMPUTED_VALUE"""),1.1976392066948265)</f>
        <v>1.197639207</v>
      </c>
      <c r="X675" s="30">
        <f>IFERROR(__xludf.DUMMYFUNCTION("""COMPUTED_VALUE"""),2.3643704430832138)</f>
        <v>2.364370443</v>
      </c>
      <c r="Y675" s="30">
        <f>IFERROR(__xludf.DUMMYFUNCTION("""COMPUTED_VALUE"""),332.14237991948704)</f>
        <v>332.1423799</v>
      </c>
      <c r="Z675" s="30">
        <f>IFERROR(__xludf.DUMMYFUNCTION("""COMPUTED_VALUE"""),0.7846304463507026)</f>
        <v>0.7846304464</v>
      </c>
      <c r="AA675" s="30">
        <f>IFERROR(__xludf.DUMMYFUNCTION("""COMPUTED_VALUE"""),0.5230243852729618)</f>
        <v>0.5230243853</v>
      </c>
      <c r="AB675" s="30">
        <f>IFERROR(__xludf.DUMMYFUNCTION("""COMPUTED_VALUE"""),1.1835554321391006)</f>
        <v>1.183555432</v>
      </c>
      <c r="AC675" s="30">
        <f>IFERROR(__xludf.DUMMYFUNCTION("""COMPUTED_VALUE"""),2.428558704371798)</f>
        <v>2.428558704</v>
      </c>
      <c r="AD675" s="30">
        <f>IFERROR(__xludf.DUMMYFUNCTION("""COMPUTED_VALUE"""),0.9731435726466852)</f>
        <v>0.9731435726</v>
      </c>
      <c r="AE675" s="30">
        <f>IFERROR(__xludf.DUMMYFUNCTION("""COMPUTED_VALUE"""),1.0974734859144433)</f>
        <v>1.097473486</v>
      </c>
      <c r="AF675" s="30">
        <f>IFERROR(__xludf.DUMMYFUNCTION("""COMPUTED_VALUE"""),0.5310990951842676)</f>
        <v>0.5310990952</v>
      </c>
      <c r="AG675" s="30">
        <f>IFERROR(__xludf.DUMMYFUNCTION("""COMPUTED_VALUE"""),1.0326700288242834)</f>
        <v>1.032670029</v>
      </c>
      <c r="AH675" s="30">
        <f>IFERROR(__xludf.DUMMYFUNCTION("""COMPUTED_VALUE"""),1.0637310634834218)</f>
        <v>1.063731063</v>
      </c>
      <c r="AI675" s="30">
        <f>IFERROR(__xludf.DUMMYFUNCTION("""COMPUTED_VALUE"""),0.9468779570480225)</f>
        <v>0.946877957</v>
      </c>
      <c r="AJ675" s="30">
        <f>IFERROR(__xludf.DUMMYFUNCTION("""COMPUTED_VALUE"""),0.7881695536791853)</f>
        <v>0.7881695537</v>
      </c>
      <c r="AK675" s="30">
        <f>IFERROR(__xludf.DUMMYFUNCTION("""COMPUTED_VALUE"""),0.8792266786644212)</f>
        <v>0.8792266787</v>
      </c>
      <c r="AL675" s="30">
        <f>IFERROR(__xludf.DUMMYFUNCTION("""COMPUTED_VALUE"""),0.9432136350538444)</f>
        <v>0.9432136351</v>
      </c>
      <c r="AM675" s="30">
        <f>IFERROR(__xludf.DUMMYFUNCTION("""COMPUTED_VALUE"""),0.9085497386555446)</f>
        <v>0.9085497387</v>
      </c>
      <c r="AN675" s="30">
        <f>IFERROR(__xludf.DUMMYFUNCTION("""COMPUTED_VALUE"""),0.9832993698466134)</f>
        <v>0.9832993698</v>
      </c>
      <c r="AO675" s="30">
        <f>IFERROR(__xludf.DUMMYFUNCTION("""COMPUTED_VALUE"""),1.135587341489118)</f>
        <v>1.135587341</v>
      </c>
      <c r="AP675" s="30">
        <f>IFERROR(__xludf.DUMMYFUNCTION("""COMPUTED_VALUE"""),0.5387238252791497)</f>
        <v>0.5387238253</v>
      </c>
      <c r="AQ675" s="30">
        <f>IFERROR(__xludf.DUMMYFUNCTION("""COMPUTED_VALUE"""),1.0191961879451021)</f>
        <v>1.019196188</v>
      </c>
      <c r="AR675" s="30">
        <f>IFERROR(__xludf.DUMMYFUNCTION("""COMPUTED_VALUE"""),1.076955341642673)</f>
        <v>1.076955342</v>
      </c>
      <c r="AS675" s="30">
        <f>IFERROR(__xludf.DUMMYFUNCTION("""COMPUTED_VALUE"""),94.0)</f>
        <v>94</v>
      </c>
      <c r="AT675" s="30">
        <f>IFERROR(__xludf.DUMMYFUNCTION("""COMPUTED_VALUE"""),0.6221246637083208)</f>
        <v>0.6221246637</v>
      </c>
      <c r="AU675" s="30">
        <f>IFERROR(__xludf.DUMMYFUNCTION("""COMPUTED_VALUE"""),3.006326708380993)</f>
        <v>3.006326708</v>
      </c>
      <c r="AV675" s="32">
        <f>IFERROR(__xludf.DUMMYFUNCTION("""COMPUTED_VALUE"""),50.083846742174316)</f>
        <v>50.08384674</v>
      </c>
      <c r="AW675" s="32">
        <f>IFERROR(__xludf.DUMMYFUNCTION("""COMPUTED_VALUE"""),2.005366351986277)</f>
        <v>2.005366352</v>
      </c>
      <c r="AX675" s="32">
        <f>IFERROR(__xludf.DUMMYFUNCTION("""COMPUTED_VALUE"""),50.35672585327983)</f>
        <v>50.35672585</v>
      </c>
      <c r="AY675" s="32">
        <f>IFERROR(__xludf.DUMMYFUNCTION("""COMPUTED_VALUE"""),2.0230315172948483)</f>
        <v>2.023031517</v>
      </c>
      <c r="AZ675" s="30">
        <f>IFERROR(__xludf.DUMMYFUNCTION("""COMPUTED_VALUE"""),0.017665165308571318)</f>
        <v>0.01766516531</v>
      </c>
      <c r="BA675" s="30">
        <f>IFERROR(__xludf.DUMMYFUNCTION("""COMPUTED_VALUE"""),2300.0)</f>
        <v>2300</v>
      </c>
    </row>
    <row r="676">
      <c r="A676" s="71" t="str">
        <f>IFERROR(__xludf.DUMMYFUNCTION("""COMPUTED_VALUE"""),"Challenger")</f>
        <v>Challenger</v>
      </c>
      <c r="B676" s="71" t="str">
        <f>IFERROR(__xludf.DUMMYFUNCTION("""COMPUTED_VALUE"""),"RSC004614")</f>
        <v>RSC004614</v>
      </c>
      <c r="C676" s="30" t="str">
        <f>IFERROR(__xludf.DUMMYFUNCTION("""COMPUTED_VALUE"""),"Ex ample")</f>
        <v>Ex ample</v>
      </c>
      <c r="D676" s="30" t="str">
        <f>IFERROR(__xludf.DUMMYFUNCTION("""COMPUTED_VALUE"""),"Pharaohs")</f>
        <v>Pharaohs</v>
      </c>
      <c r="E676" s="30">
        <f>IFERROR(__xludf.DUMMYFUNCTION("""COMPUTED_VALUE"""),31.0)</f>
        <v>31</v>
      </c>
      <c r="F676" s="30">
        <f>IFERROR(__xludf.DUMMYFUNCTION("""COMPUTED_VALUE"""),15.0)</f>
        <v>15</v>
      </c>
      <c r="G676" s="42">
        <f>IFERROR(__xludf.DUMMYFUNCTION("""COMPUTED_VALUE"""),16.0)</f>
        <v>16</v>
      </c>
      <c r="H676" s="42">
        <f>IFERROR(__xludf.DUMMYFUNCTION("""COMPUTED_VALUE"""),0.4838709677419355)</f>
        <v>0.4838709677</v>
      </c>
      <c r="I676" s="42">
        <f>IFERROR(__xludf.DUMMYFUNCTION("""COMPUTED_VALUE"""),0.3194444444444444)</f>
        <v>0.3194444444</v>
      </c>
      <c r="J676" s="30">
        <f>IFERROR(__xludf.DUMMYFUNCTION("""COMPUTED_VALUE"""),369.4193548387097)</f>
        <v>369.4193548</v>
      </c>
      <c r="K676" s="30">
        <f>IFERROR(__xludf.DUMMYFUNCTION("""COMPUTED_VALUE"""),0.7419354838709677)</f>
        <v>0.7419354839</v>
      </c>
      <c r="L676" s="30">
        <f>IFERROR(__xludf.DUMMYFUNCTION("""COMPUTED_VALUE"""),0.6129032258064516)</f>
        <v>0.6129032258</v>
      </c>
      <c r="M676" s="30">
        <f>IFERROR(__xludf.DUMMYFUNCTION("""COMPUTED_VALUE"""),1.6774193548387097)</f>
        <v>1.677419355</v>
      </c>
      <c r="N676" s="30">
        <f>IFERROR(__xludf.DUMMYFUNCTION("""COMPUTED_VALUE"""),2.3225806451612905)</f>
        <v>2.322580645</v>
      </c>
      <c r="O676" s="30">
        <f>IFERROR(__xludf.DUMMYFUNCTION("""COMPUTED_VALUE"""),342.68817204301064)</f>
        <v>342.688172</v>
      </c>
      <c r="P676" s="30">
        <f>IFERROR(__xludf.DUMMYFUNCTION("""COMPUTED_VALUE"""),0.7311827956989249)</f>
        <v>0.7311827957</v>
      </c>
      <c r="Q676" s="30">
        <f>IFERROR(__xludf.DUMMYFUNCTION("""COMPUTED_VALUE"""),0.5161290322580645)</f>
        <v>0.5161290323</v>
      </c>
      <c r="R676" s="30">
        <f>IFERROR(__xludf.DUMMYFUNCTION("""COMPUTED_VALUE"""),1.0537634408602152)</f>
        <v>1.053763441</v>
      </c>
      <c r="S676" s="30">
        <f>IFERROR(__xludf.DUMMYFUNCTION("""COMPUTED_VALUE"""),2.860215053763441)</f>
        <v>2.860215054</v>
      </c>
      <c r="T676" s="30">
        <f>IFERROR(__xludf.DUMMYFUNCTION("""COMPUTED_VALUE"""),330.782724721451)</f>
        <v>330.7827247</v>
      </c>
      <c r="U676" s="30">
        <f>IFERROR(__xludf.DUMMYFUNCTION("""COMPUTED_VALUE"""),0.7011163447029483)</f>
        <v>0.7011163447</v>
      </c>
      <c r="V676" s="30">
        <f>IFERROR(__xludf.DUMMYFUNCTION("""COMPUTED_VALUE"""),0.502516348856315)</f>
        <v>0.5025163489</v>
      </c>
      <c r="W676" s="30">
        <f>IFERROR(__xludf.DUMMYFUNCTION("""COMPUTED_VALUE"""),1.2174675347512556)</f>
        <v>1.217467535</v>
      </c>
      <c r="X676" s="30">
        <f>IFERROR(__xludf.DUMMYFUNCTION("""COMPUTED_VALUE"""),2.515376738370113)</f>
        <v>2.515376738</v>
      </c>
      <c r="Y676" s="30">
        <f>IFERROR(__xludf.DUMMYFUNCTION("""COMPUTED_VALUE"""),334.4461642322916)</f>
        <v>334.4461642</v>
      </c>
      <c r="Z676" s="30">
        <f>IFERROR(__xludf.DUMMYFUNCTION("""COMPUTED_VALUE"""),0.7198270142833879)</f>
        <v>0.7198270143</v>
      </c>
      <c r="AA676" s="30">
        <f>IFERROR(__xludf.DUMMYFUNCTION("""COMPUTED_VALUE"""),0.4877605128076425)</f>
        <v>0.4877605128</v>
      </c>
      <c r="AB676" s="30">
        <f>IFERROR(__xludf.DUMMYFUNCTION("""COMPUTED_VALUE"""),1.3326323183977513)</f>
        <v>1.332632318</v>
      </c>
      <c r="AC676" s="30">
        <f>IFERROR(__xludf.DUMMYFUNCTION("""COMPUTED_VALUE"""),2.35317638539859)</f>
        <v>2.353176385</v>
      </c>
      <c r="AD676" s="30">
        <f>IFERROR(__xludf.DUMMYFUNCTION("""COMPUTED_VALUE"""),1.1045704640885856)</f>
        <v>1.104570464</v>
      </c>
      <c r="AE676" s="30">
        <f>IFERROR(__xludf.DUMMYFUNCTION("""COMPUTED_VALUE"""),1.0307135869436486)</f>
        <v>1.030713587</v>
      </c>
      <c r="AF676" s="30">
        <f>IFERROR(__xludf.DUMMYFUNCTION("""COMPUTED_VALUE"""),1.256565895993638)</f>
        <v>1.256565896</v>
      </c>
      <c r="AG676" s="30">
        <f>IFERROR(__xludf.DUMMYFUNCTION("""COMPUTED_VALUE"""),1.2587263055840505)</f>
        <v>1.258726306</v>
      </c>
      <c r="AH676" s="30">
        <f>IFERROR(__xludf.DUMMYFUNCTION("""COMPUTED_VALUE"""),0.9869981101173948)</f>
        <v>0.9869981101</v>
      </c>
      <c r="AI676" s="30">
        <f>IFERROR(__xludf.DUMMYFUNCTION("""COMPUTED_VALUE"""),1.0359917445253075)</f>
        <v>1.035991745</v>
      </c>
      <c r="AJ676" s="30">
        <f>IFERROR(__xludf.DUMMYFUNCTION("""COMPUTED_VALUE"""),1.0428836828910546)</f>
        <v>1.042883683</v>
      </c>
      <c r="AK676" s="30">
        <f>IFERROR(__xludf.DUMMYFUNCTION("""COMPUTED_VALUE"""),1.0270890358746154)</f>
        <v>1.027089036</v>
      </c>
      <c r="AL676" s="30">
        <f>IFERROR(__xludf.DUMMYFUNCTION("""COMPUTED_VALUE"""),0.8655371997870258)</f>
        <v>0.8655371998</v>
      </c>
      <c r="AM676" s="30">
        <f>IFERROR(__xludf.DUMMYFUNCTION("""COMPUTED_VALUE"""),1.1370921143274835)</f>
        <v>1.137092114</v>
      </c>
      <c r="AN676" s="30">
        <f>IFERROR(__xludf.DUMMYFUNCTION("""COMPUTED_VALUE"""),1.1238392469571712)</f>
        <v>1.123839247</v>
      </c>
      <c r="AO676" s="30">
        <f>IFERROR(__xludf.DUMMYFUNCTION("""COMPUTED_VALUE"""),0.9784248894411963)</f>
        <v>0.9784248894</v>
      </c>
      <c r="AP676" s="30">
        <f>IFERROR(__xludf.DUMMYFUNCTION("""COMPUTED_VALUE"""),1.1886680531965756)</f>
        <v>1.188668053</v>
      </c>
      <c r="AQ676" s="30">
        <f>IFERROR(__xludf.DUMMYFUNCTION("""COMPUTED_VALUE"""),1.3987795189393188)</f>
        <v>1.398779519</v>
      </c>
      <c r="AR676" s="30">
        <f>IFERROR(__xludf.DUMMYFUNCTION("""COMPUTED_VALUE"""),0.9682512124654209)</f>
        <v>0.9682512125</v>
      </c>
      <c r="AS676" s="30">
        <f>IFERROR(__xludf.DUMMYFUNCTION("""COMPUTED_VALUE"""),63.0)</f>
        <v>63</v>
      </c>
      <c r="AT676" s="30">
        <f>IFERROR(__xludf.DUMMYFUNCTION("""COMPUTED_VALUE"""),0.4711574679737482)</f>
        <v>0.471157468</v>
      </c>
      <c r="AU676" s="30">
        <f>IFERROR(__xludf.DUMMYFUNCTION("""COMPUTED_VALUE"""),3.2703413398254124)</f>
        <v>3.27034134</v>
      </c>
      <c r="AV676" s="32">
        <f>IFERROR(__xludf.DUMMYFUNCTION("""COMPUTED_VALUE"""),57.06496325096742)</f>
        <v>57.06496325</v>
      </c>
      <c r="AW676" s="32">
        <f>IFERROR(__xludf.DUMMYFUNCTION("""COMPUTED_VALUE"""),2.5723981944835392)</f>
        <v>2.572398194</v>
      </c>
      <c r="AX676" s="32">
        <f>IFERROR(__xludf.DUMMYFUNCTION("""COMPUTED_VALUE"""),57.18331948021618)</f>
        <v>57.18331948</v>
      </c>
      <c r="AY676" s="32">
        <f>IFERROR(__xludf.DUMMYFUNCTION("""COMPUTED_VALUE"""),2.5844550609806807)</f>
        <v>2.584455061</v>
      </c>
      <c r="AZ676" s="30">
        <f>IFERROR(__xludf.DUMMYFUNCTION("""COMPUTED_VALUE"""),0.012056866497141439)</f>
        <v>0.0120568665</v>
      </c>
      <c r="BA676" s="30">
        <f>IFERROR(__xludf.DUMMYFUNCTION("""COMPUTED_VALUE"""),2300.0)</f>
        <v>2300</v>
      </c>
    </row>
    <row r="677">
      <c r="A677" s="71" t="str">
        <f>IFERROR(__xludf.DUMMYFUNCTION("""COMPUTED_VALUE"""),"Prospect")</f>
        <v>Prospect</v>
      </c>
      <c r="B677" s="71" t="str">
        <f>IFERROR(__xludf.DUMMYFUNCTION("""COMPUTED_VALUE"""),"RSC008002")</f>
        <v>RSC008002</v>
      </c>
      <c r="C677" s="30" t="str">
        <f>IFERROR(__xludf.DUMMYFUNCTION("""COMPUTED_VALUE"""),"majorpilots")</f>
        <v>majorpilots</v>
      </c>
      <c r="D677" s="30"/>
      <c r="E677" s="30">
        <f>IFERROR(__xludf.DUMMYFUNCTION("""COMPUTED_VALUE"""),4.0)</f>
        <v>4</v>
      </c>
      <c r="F677" s="30">
        <f>IFERROR(__xludf.DUMMYFUNCTION("""COMPUTED_VALUE"""),1.0)</f>
        <v>1</v>
      </c>
      <c r="G677" s="42">
        <f>IFERROR(__xludf.DUMMYFUNCTION("""COMPUTED_VALUE"""),3.0)</f>
        <v>3</v>
      </c>
      <c r="H677" s="42">
        <f>IFERROR(__xludf.DUMMYFUNCTION("""COMPUTED_VALUE"""),0.25)</f>
        <v>0.25</v>
      </c>
      <c r="I677" s="42">
        <f>IFERROR(__xludf.DUMMYFUNCTION("""COMPUTED_VALUE"""),0.0)</f>
        <v>0</v>
      </c>
      <c r="J677" s="30">
        <f>IFERROR(__xludf.DUMMYFUNCTION("""COMPUTED_VALUE"""),104.5)</f>
        <v>104.5</v>
      </c>
      <c r="K677" s="30">
        <f>IFERROR(__xludf.DUMMYFUNCTION("""COMPUTED_VALUE"""),0.0)</f>
        <v>0</v>
      </c>
      <c r="L677" s="30">
        <f>IFERROR(__xludf.DUMMYFUNCTION("""COMPUTED_VALUE"""),0.25)</f>
        <v>0.25</v>
      </c>
      <c r="M677" s="30">
        <f>IFERROR(__xludf.DUMMYFUNCTION("""COMPUTED_VALUE"""),0.25)</f>
        <v>0.25</v>
      </c>
      <c r="N677" s="30">
        <f>IFERROR(__xludf.DUMMYFUNCTION("""COMPUTED_VALUE"""),0.5)</f>
        <v>0.5</v>
      </c>
      <c r="O677" s="30">
        <f>IFERROR(__xludf.DUMMYFUNCTION("""COMPUTED_VALUE"""),398.50000000000006)</f>
        <v>398.5</v>
      </c>
      <c r="P677" s="30">
        <f>IFERROR(__xludf.DUMMYFUNCTION("""COMPUTED_VALUE"""),1.0833333333333333)</f>
        <v>1.083333333</v>
      </c>
      <c r="Q677" s="30">
        <f>IFERROR(__xludf.DUMMYFUNCTION("""COMPUTED_VALUE"""),0.8333333333333333)</f>
        <v>0.8333333333</v>
      </c>
      <c r="R677" s="30">
        <f>IFERROR(__xludf.DUMMYFUNCTION("""COMPUTED_VALUE"""),0.9166666666666665)</f>
        <v>0.9166666667</v>
      </c>
      <c r="S677" s="30">
        <f>IFERROR(__xludf.DUMMYFUNCTION("""COMPUTED_VALUE"""),4.25)</f>
        <v>4.25</v>
      </c>
      <c r="T677" s="30">
        <f>IFERROR(__xludf.DUMMYFUNCTION("""COMPUTED_VALUE"""),345.0904761904762)</f>
        <v>345.0904762</v>
      </c>
      <c r="U677" s="30">
        <f>IFERROR(__xludf.DUMMYFUNCTION("""COMPUTED_VALUE"""),0.8916305916305918)</f>
        <v>0.8916305916</v>
      </c>
      <c r="V677" s="30">
        <f>IFERROR(__xludf.DUMMYFUNCTION("""COMPUTED_VALUE"""),0.5978354978354977)</f>
        <v>0.5978354978</v>
      </c>
      <c r="W677" s="30">
        <f>IFERROR(__xludf.DUMMYFUNCTION("""COMPUTED_VALUE"""),0.9585858585858587)</f>
        <v>0.9585858586</v>
      </c>
      <c r="X677" s="30">
        <f>IFERROR(__xludf.DUMMYFUNCTION("""COMPUTED_VALUE"""),2.9267316017316016)</f>
        <v>2.926731602</v>
      </c>
      <c r="Y677" s="30">
        <f>IFERROR(__xludf.DUMMYFUNCTION("""COMPUTED_VALUE"""),322.3869769119769)</f>
        <v>322.3869769</v>
      </c>
      <c r="Z677" s="30">
        <f>IFERROR(__xludf.DUMMYFUNCTION("""COMPUTED_VALUE"""),0.6922919672919673)</f>
        <v>0.6922919673</v>
      </c>
      <c r="AA677" s="30">
        <f>IFERROR(__xludf.DUMMYFUNCTION("""COMPUTED_VALUE"""),0.4175324675324675)</f>
        <v>0.4175324675</v>
      </c>
      <c r="AB677" s="30">
        <f>IFERROR(__xludf.DUMMYFUNCTION("""COMPUTED_VALUE"""),1.3813852813852812)</f>
        <v>1.381385281</v>
      </c>
      <c r="AC677" s="30">
        <f>IFERROR(__xludf.DUMMYFUNCTION("""COMPUTED_VALUE"""),1.9980399230399224)</f>
        <v>1.998039923</v>
      </c>
      <c r="AD677" s="30">
        <f>IFERROR(__xludf.DUMMYFUNCTION("""COMPUTED_VALUE"""),0.32414460720766713)</f>
        <v>0.3241446072</v>
      </c>
      <c r="AE677" s="30">
        <f>IFERROR(__xludf.DUMMYFUNCTION("""COMPUTED_VALUE"""),0.0)</f>
        <v>0</v>
      </c>
      <c r="AF677" s="30">
        <f>IFERROR(__xludf.DUMMYFUNCTION("""COMPUTED_VALUE"""),0.5987558320373251)</f>
        <v>0.598755832</v>
      </c>
      <c r="AG677" s="30">
        <f>IFERROR(__xludf.DUMMYFUNCTION("""COMPUTED_VALUE"""),0.1809777499216547)</f>
        <v>0.1809777499</v>
      </c>
      <c r="AH677" s="30">
        <f>IFERROR(__xludf.DUMMYFUNCTION("""COMPUTED_VALUE"""),0.2502452499744219)</f>
        <v>0.25024525</v>
      </c>
      <c r="AI677" s="30">
        <f>IFERROR(__xludf.DUMMYFUNCTION("""COMPUTED_VALUE"""),1.1547696256330295)</f>
        <v>1.154769626</v>
      </c>
      <c r="AJ677" s="30">
        <f>IFERROR(__xludf.DUMMYFUNCTION("""COMPUTED_VALUE"""),1.2150024275772775)</f>
        <v>1.215002428</v>
      </c>
      <c r="AK677" s="30">
        <f>IFERROR(__xludf.DUMMYFUNCTION("""COMPUTED_VALUE"""),1.3939174511223753)</f>
        <v>1.393917451</v>
      </c>
      <c r="AL677" s="30">
        <f>IFERROR(__xludf.DUMMYFUNCTION("""COMPUTED_VALUE"""),0.9562697576396204)</f>
        <v>0.9562697576</v>
      </c>
      <c r="AM677" s="30">
        <f>IFERROR(__xludf.DUMMYFUNCTION("""COMPUTED_VALUE"""),1.4521317901120439)</f>
        <v>1.45213179</v>
      </c>
      <c r="AN677" s="30">
        <f>IFERROR(__xludf.DUMMYFUNCTION("""COMPUTED_VALUE"""),0.32278849359866885)</f>
        <v>0.3227884936</v>
      </c>
      <c r="AO677" s="30">
        <f>IFERROR(__xludf.DUMMYFUNCTION("""COMPUTED_VALUE"""),0.0)</f>
        <v>0</v>
      </c>
      <c r="AP677" s="30">
        <f>IFERROR(__xludf.DUMMYFUNCTION("""COMPUTED_VALUE"""),0.5066731708593164)</f>
        <v>0.5066731709</v>
      </c>
      <c r="AQ677" s="30">
        <f>IFERROR(__xludf.DUMMYFUNCTION("""COMPUTED_VALUE"""),0.20727858855541914)</f>
        <v>0.2072785886</v>
      </c>
      <c r="AR677" s="30">
        <f>IFERROR(__xludf.DUMMYFUNCTION("""COMPUTED_VALUE"""),0.2122762170672043)</f>
        <v>0.2122762171</v>
      </c>
      <c r="AS677" s="30">
        <f>IFERROR(__xludf.DUMMYFUNCTION("""COMPUTED_VALUE"""),7.0)</f>
        <v>7</v>
      </c>
      <c r="AT677" s="30">
        <f>IFERROR(__xludf.DUMMYFUNCTION("""COMPUTED_VALUE"""),0.2724004993386534)</f>
        <v>0.2724004993</v>
      </c>
      <c r="AU677" s="30">
        <f>IFERROR(__xludf.DUMMYFUNCTION("""COMPUTED_VALUE"""),-0.7597072327530349)</f>
        <v>-0.7597072328</v>
      </c>
      <c r="AV677" s="32">
        <f>IFERROR(__xludf.DUMMYFUNCTION("""COMPUTED_VALUE"""),-36.550467935717506)</f>
        <v>-36.55046794</v>
      </c>
      <c r="AW677" s="32">
        <f>IFERROR(__xludf.DUMMYFUNCTION("""COMPUTED_VALUE"""),-3730.369855451425)</f>
        <v>-3730.369855</v>
      </c>
      <c r="AX677" s="32">
        <f>IFERROR(__xludf.DUMMYFUNCTION("""COMPUTED_VALUE"""),-43.494167655150804)</f>
        <v>-43.49416766</v>
      </c>
      <c r="AY677" s="32">
        <f>IFERROR(__xludf.DUMMYFUNCTION("""COMPUTED_VALUE"""),-10858.286513225277)</f>
        <v>-10858.28651</v>
      </c>
      <c r="AZ677" s="30">
        <f>IFERROR(__xludf.DUMMYFUNCTION("""COMPUTED_VALUE"""),7127.916657773852)</f>
        <v>7127.916658</v>
      </c>
      <c r="BA677" s="30">
        <f>IFERROR(__xludf.DUMMYFUNCTION("""COMPUTED_VALUE"""),2700.0)</f>
        <v>2700</v>
      </c>
    </row>
    <row r="678">
      <c r="A678" s="71" t="str">
        <f>IFERROR(__xludf.DUMMYFUNCTION("""COMPUTED_VALUE"""),"Prospect")</f>
        <v>Prospect</v>
      </c>
      <c r="B678" s="71" t="str">
        <f>IFERROR(__xludf.DUMMYFUNCTION("""COMPUTED_VALUE"""),"RSC005252")</f>
        <v>RSC005252</v>
      </c>
      <c r="C678" s="30" t="str">
        <f>IFERROR(__xludf.DUMMYFUNCTION("""COMPUTED_VALUE"""),"MysticMax07")</f>
        <v>MysticMax07</v>
      </c>
      <c r="D678" s="30"/>
      <c r="E678" s="30">
        <f>IFERROR(__xludf.DUMMYFUNCTION("""COMPUTED_VALUE"""),2.0)</f>
        <v>2</v>
      </c>
      <c r="F678" s="30">
        <f>IFERROR(__xludf.DUMMYFUNCTION("""COMPUTED_VALUE"""),0.0)</f>
        <v>0</v>
      </c>
      <c r="G678" s="42">
        <f>IFERROR(__xludf.DUMMYFUNCTION("""COMPUTED_VALUE"""),2.0)</f>
        <v>2</v>
      </c>
      <c r="H678" s="42">
        <f>IFERROR(__xludf.DUMMYFUNCTION("""COMPUTED_VALUE"""),0.0)</f>
        <v>0</v>
      </c>
      <c r="I678" s="42">
        <f>IFERROR(__xludf.DUMMYFUNCTION("""COMPUTED_VALUE"""),0.0)</f>
        <v>0</v>
      </c>
      <c r="J678" s="30">
        <f>IFERROR(__xludf.DUMMYFUNCTION("""COMPUTED_VALUE"""),151.0)</f>
        <v>151</v>
      </c>
      <c r="K678" s="30">
        <f>IFERROR(__xludf.DUMMYFUNCTION("""COMPUTED_VALUE"""),0.0)</f>
        <v>0</v>
      </c>
      <c r="L678" s="30">
        <f>IFERROR(__xludf.DUMMYFUNCTION("""COMPUTED_VALUE"""),0.0)</f>
        <v>0</v>
      </c>
      <c r="M678" s="30">
        <f>IFERROR(__xludf.DUMMYFUNCTION("""COMPUTED_VALUE"""),0.5)</f>
        <v>0.5</v>
      </c>
      <c r="N678" s="30">
        <f>IFERROR(__xludf.DUMMYFUNCTION("""COMPUTED_VALUE"""),1.0)</f>
        <v>1</v>
      </c>
      <c r="O678" s="30">
        <f>IFERROR(__xludf.DUMMYFUNCTION("""COMPUTED_VALUE"""),347.33333333333337)</f>
        <v>347.3333333</v>
      </c>
      <c r="P678" s="30">
        <f>IFERROR(__xludf.DUMMYFUNCTION("""COMPUTED_VALUE"""),0.8333333333333333)</f>
        <v>0.8333333333</v>
      </c>
      <c r="Q678" s="30">
        <f>IFERROR(__xludf.DUMMYFUNCTION("""COMPUTED_VALUE"""),0.6666666666666666)</f>
        <v>0.6666666667</v>
      </c>
      <c r="R678" s="30">
        <f>IFERROR(__xludf.DUMMYFUNCTION("""COMPUTED_VALUE"""),1.1666666666666665)</f>
        <v>1.166666667</v>
      </c>
      <c r="S678" s="30">
        <f>IFERROR(__xludf.DUMMYFUNCTION("""COMPUTED_VALUE"""),2.0)</f>
        <v>2</v>
      </c>
      <c r="T678" s="30">
        <f>IFERROR(__xludf.DUMMYFUNCTION("""COMPUTED_VALUE"""),366.0266203703704)</f>
        <v>366.0266204</v>
      </c>
      <c r="U678" s="30">
        <f>IFERROR(__xludf.DUMMYFUNCTION("""COMPUTED_VALUE"""),0.9664351851851851)</f>
        <v>0.9664351852</v>
      </c>
      <c r="V678" s="30">
        <f>IFERROR(__xludf.DUMMYFUNCTION("""COMPUTED_VALUE"""),0.6412037037037037)</f>
        <v>0.6412037037</v>
      </c>
      <c r="W678" s="30">
        <f>IFERROR(__xludf.DUMMYFUNCTION("""COMPUTED_VALUE"""),1.1261574074074074)</f>
        <v>1.126157407</v>
      </c>
      <c r="X678" s="30">
        <f>IFERROR(__xludf.DUMMYFUNCTION("""COMPUTED_VALUE"""),2.5555555555555554)</f>
        <v>2.555555556</v>
      </c>
      <c r="Y678" s="30">
        <f>IFERROR(__xludf.DUMMYFUNCTION("""COMPUTED_VALUE"""),310.48032407407413)</f>
        <v>310.4803241</v>
      </c>
      <c r="Z678" s="30">
        <f>IFERROR(__xludf.DUMMYFUNCTION("""COMPUTED_VALUE"""),0.6300154320987655)</f>
        <v>0.6300154321</v>
      </c>
      <c r="AA678" s="30">
        <f>IFERROR(__xludf.DUMMYFUNCTION("""COMPUTED_VALUE"""),0.4537037037037037)</f>
        <v>0.4537037037</v>
      </c>
      <c r="AB678" s="30">
        <f>IFERROR(__xludf.DUMMYFUNCTION("""COMPUTED_VALUE"""),1.1620370370370368)</f>
        <v>1.162037037</v>
      </c>
      <c r="AC678" s="30">
        <f>IFERROR(__xludf.DUMMYFUNCTION("""COMPUTED_VALUE"""),2.1504629629629632)</f>
        <v>2.150462963</v>
      </c>
      <c r="AD678" s="30">
        <f>IFERROR(__xludf.DUMMYFUNCTION("""COMPUTED_VALUE"""),0.4863432182065571)</f>
        <v>0.4863432182</v>
      </c>
      <c r="AE678" s="30">
        <f>IFERROR(__xludf.DUMMYFUNCTION("""COMPUTED_VALUE"""),0.0)</f>
        <v>0</v>
      </c>
      <c r="AF678" s="30">
        <f>IFERROR(__xludf.DUMMYFUNCTION("""COMPUTED_VALUE"""),0.0)</f>
        <v>0</v>
      </c>
      <c r="AG678" s="30">
        <f>IFERROR(__xludf.DUMMYFUNCTION("""COMPUTED_VALUE"""),0.4302788844621515)</f>
        <v>0.4302788845</v>
      </c>
      <c r="AH678" s="30">
        <f>IFERROR(__xludf.DUMMYFUNCTION("""COMPUTED_VALUE"""),0.46501614639397193)</f>
        <v>0.4650161464</v>
      </c>
      <c r="AI678" s="30">
        <f>IFERROR(__xludf.DUMMYFUNCTION("""COMPUTED_VALUE"""),0.9489291598023065)</f>
        <v>0.9489291598</v>
      </c>
      <c r="AJ678" s="30">
        <f>IFERROR(__xludf.DUMMYFUNCTION("""COMPUTED_VALUE"""),0.8622754491017964)</f>
        <v>0.8622754491</v>
      </c>
      <c r="AK678" s="30">
        <f>IFERROR(__xludf.DUMMYFUNCTION("""COMPUTED_VALUE"""),1.03971119133574)</f>
        <v>1.039711191</v>
      </c>
      <c r="AL678" s="30">
        <f>IFERROR(__xludf.DUMMYFUNCTION("""COMPUTED_VALUE"""),1.0359712230215825)</f>
        <v>1.035971223</v>
      </c>
      <c r="AM678" s="30">
        <f>IFERROR(__xludf.DUMMYFUNCTION("""COMPUTED_VALUE"""),0.782608695652174)</f>
        <v>0.7826086957</v>
      </c>
      <c r="AN678" s="30">
        <f>IFERROR(__xludf.DUMMYFUNCTION("""COMPUTED_VALUE"""),0.466421651037311)</f>
        <v>0.466421651</v>
      </c>
      <c r="AO678" s="30">
        <f>IFERROR(__xludf.DUMMYFUNCTION("""COMPUTED_VALUE"""),0.0)</f>
        <v>0</v>
      </c>
      <c r="AP678" s="30">
        <f>IFERROR(__xludf.DUMMYFUNCTION("""COMPUTED_VALUE"""),0.0)</f>
        <v>0</v>
      </c>
      <c r="AQ678" s="30">
        <f>IFERROR(__xludf.DUMMYFUNCTION("""COMPUTED_VALUE"""),0.4145571771108383)</f>
        <v>0.4145571771</v>
      </c>
      <c r="AR678" s="30">
        <f>IFERROR(__xludf.DUMMYFUNCTION("""COMPUTED_VALUE"""),0.4245524341344086)</f>
        <v>0.4245524341</v>
      </c>
      <c r="AS678" s="30">
        <f>IFERROR(__xludf.DUMMYFUNCTION("""COMPUTED_VALUE"""),2.0)</f>
        <v>2</v>
      </c>
      <c r="AT678" s="30">
        <f>IFERROR(__xludf.DUMMYFUNCTION("""COMPUTED_VALUE"""),0.212027641721307)</f>
        <v>0.2120276417</v>
      </c>
      <c r="AU678" s="30">
        <f>IFERROR(__xludf.DUMMYFUNCTION("""COMPUTED_VALUE"""),-0.38681031281772404)</f>
        <v>-0.3868103128</v>
      </c>
      <c r="AV678" s="32">
        <f>IFERROR(__xludf.DUMMYFUNCTION("""COMPUTED_VALUE"""),-24.6877984876444)</f>
        <v>-24.68779849</v>
      </c>
      <c r="AW678" s="32">
        <f>IFERROR(__xludf.DUMMYFUNCTION("""COMPUTED_VALUE"""),-711.0901041821193)</f>
        <v>-711.0901042</v>
      </c>
      <c r="AX678" s="32">
        <f>IFERROR(__xludf.DUMMYFUNCTION("""COMPUTED_VALUE"""),-7.801763444499954)</f>
        <v>-7.801763444</v>
      </c>
      <c r="AY678" s="32">
        <f>IFERROR(__xludf.DUMMYFUNCTION("""COMPUTED_VALUE"""),-96.2751322433942)</f>
        <v>-96.27513224</v>
      </c>
      <c r="AZ678" s="30">
        <f>IFERROR(__xludf.DUMMYFUNCTION("""COMPUTED_VALUE"""),614.8149719387251)</f>
        <v>614.8149719</v>
      </c>
      <c r="BA678" s="30">
        <f>IFERROR(__xludf.DUMMYFUNCTION("""COMPUTED_VALUE"""),2700.0)</f>
        <v>2700</v>
      </c>
    </row>
    <row r="679">
      <c r="A679" s="71" t="str">
        <f>IFERROR(__xludf.DUMMYFUNCTION("""COMPUTED_VALUE"""),"Prospect")</f>
        <v>Prospect</v>
      </c>
      <c r="B679" s="71" t="str">
        <f>IFERROR(__xludf.DUMMYFUNCTION("""COMPUTED_VALUE"""),"RSC007904")</f>
        <v>RSC007904</v>
      </c>
      <c r="C679" s="30" t="str">
        <f>IFERROR(__xludf.DUMMYFUNCTION("""COMPUTED_VALUE"""),"Branthedan")</f>
        <v>Branthedan</v>
      </c>
      <c r="D679" s="30" t="str">
        <f>IFERROR(__xludf.DUMMYFUNCTION("""COMPUTED_VALUE"""),"Dime")</f>
        <v>Dime</v>
      </c>
      <c r="E679" s="30">
        <f>IFERROR(__xludf.DUMMYFUNCTION("""COMPUTED_VALUE"""),36.0)</f>
        <v>36</v>
      </c>
      <c r="F679" s="30">
        <f>IFERROR(__xludf.DUMMYFUNCTION("""COMPUTED_VALUE"""),22.0)</f>
        <v>22</v>
      </c>
      <c r="G679" s="42">
        <f>IFERROR(__xludf.DUMMYFUNCTION("""COMPUTED_VALUE"""),14.0)</f>
        <v>14</v>
      </c>
      <c r="H679" s="42">
        <f>IFERROR(__xludf.DUMMYFUNCTION("""COMPUTED_VALUE"""),0.6111111111111112)</f>
        <v>0.6111111111</v>
      </c>
      <c r="I679" s="42">
        <f>IFERROR(__xludf.DUMMYFUNCTION("""COMPUTED_VALUE"""),0.3888888888888889)</f>
        <v>0.3888888889</v>
      </c>
      <c r="J679" s="30">
        <f>IFERROR(__xludf.DUMMYFUNCTION("""COMPUTED_VALUE"""),417.4166666666667)</f>
        <v>417.4166667</v>
      </c>
      <c r="K679" s="30">
        <f>IFERROR(__xludf.DUMMYFUNCTION("""COMPUTED_VALUE"""),1.3611111111111112)</f>
        <v>1.361111111</v>
      </c>
      <c r="L679" s="30">
        <f>IFERROR(__xludf.DUMMYFUNCTION("""COMPUTED_VALUE"""),0.6388888888888888)</f>
        <v>0.6388888889</v>
      </c>
      <c r="M679" s="30">
        <f>IFERROR(__xludf.DUMMYFUNCTION("""COMPUTED_VALUE"""),1.1666666666666667)</f>
        <v>1.166666667</v>
      </c>
      <c r="N679" s="30">
        <f>IFERROR(__xludf.DUMMYFUNCTION("""COMPUTED_VALUE"""),3.5)</f>
        <v>3.5</v>
      </c>
      <c r="O679" s="30">
        <f>IFERROR(__xludf.DUMMYFUNCTION("""COMPUTED_VALUE"""),311.62962962962956)</f>
        <v>311.6296296</v>
      </c>
      <c r="P679" s="30">
        <f>IFERROR(__xludf.DUMMYFUNCTION("""COMPUTED_VALUE"""),0.648148148148148)</f>
        <v>0.6481481481</v>
      </c>
      <c r="Q679" s="30">
        <f>IFERROR(__xludf.DUMMYFUNCTION("""COMPUTED_VALUE"""),0.42592592592592593)</f>
        <v>0.4259259259</v>
      </c>
      <c r="R679" s="30">
        <f>IFERROR(__xludf.DUMMYFUNCTION("""COMPUTED_VALUE"""),1.351851851851852)</f>
        <v>1.351851852</v>
      </c>
      <c r="S679" s="30">
        <f>IFERROR(__xludf.DUMMYFUNCTION("""COMPUTED_VALUE"""),2.0185185185185186)</f>
        <v>2.018518519</v>
      </c>
      <c r="T679" s="30">
        <f>IFERROR(__xludf.DUMMYFUNCTION("""COMPUTED_VALUE"""),332.54798279586123)</f>
        <v>332.5479828</v>
      </c>
      <c r="U679" s="30">
        <f>IFERROR(__xludf.DUMMYFUNCTION("""COMPUTED_VALUE"""),0.7577368339013572)</f>
        <v>0.7577368339</v>
      </c>
      <c r="V679" s="30">
        <f>IFERROR(__xludf.DUMMYFUNCTION("""COMPUTED_VALUE"""),0.5058325126656262)</f>
        <v>0.5058325127</v>
      </c>
      <c r="W679" s="30">
        <f>IFERROR(__xludf.DUMMYFUNCTION("""COMPUTED_VALUE"""),1.2677489043393917)</f>
        <v>1.267748904</v>
      </c>
      <c r="X679" s="30">
        <f>IFERROR(__xludf.DUMMYFUNCTION("""COMPUTED_VALUE"""),2.432422106092958)</f>
        <v>2.432422106</v>
      </c>
      <c r="Y679" s="30">
        <f>IFERROR(__xludf.DUMMYFUNCTION("""COMPUTED_VALUE"""),338.31115046277637)</f>
        <v>338.3111505</v>
      </c>
      <c r="Z679" s="30">
        <f>IFERROR(__xludf.DUMMYFUNCTION("""COMPUTED_VALUE"""),0.7969387058139247)</f>
        <v>0.7969387058</v>
      </c>
      <c r="AA679" s="30">
        <f>IFERROR(__xludf.DUMMYFUNCTION("""COMPUTED_VALUE"""),0.5328016686187208)</f>
        <v>0.5328016686</v>
      </c>
      <c r="AB679" s="30">
        <f>IFERROR(__xludf.DUMMYFUNCTION("""COMPUTED_VALUE"""),1.2157942872692038)</f>
        <v>1.215794287</v>
      </c>
      <c r="AC679" s="30">
        <f>IFERROR(__xludf.DUMMYFUNCTION("""COMPUTED_VALUE"""),2.5740850485827362)</f>
        <v>2.574085049</v>
      </c>
      <c r="AD679" s="30">
        <f>IFERROR(__xludf.DUMMYFUNCTION("""COMPUTED_VALUE"""),1.2338247382496312)</f>
        <v>1.233824738</v>
      </c>
      <c r="AE679" s="30">
        <f>IFERROR(__xludf.DUMMYFUNCTION("""COMPUTED_VALUE"""),1.7079244629246477)</f>
        <v>1.707924463</v>
      </c>
      <c r="AF679" s="30">
        <f>IFERROR(__xludf.DUMMYFUNCTION("""COMPUTED_VALUE"""),1.19911202707979)</f>
        <v>1.199112027</v>
      </c>
      <c r="AG679" s="30">
        <f>IFERROR(__xludf.DUMMYFUNCTION("""COMPUTED_VALUE"""),0.9595921603539669)</f>
        <v>0.9595921604</v>
      </c>
      <c r="AH679" s="30">
        <f>IFERROR(__xludf.DUMMYFUNCTION("""COMPUTED_VALUE"""),1.3597064331371111)</f>
        <v>1.359706433</v>
      </c>
      <c r="AI679" s="30">
        <f>IFERROR(__xludf.DUMMYFUNCTION("""COMPUTED_VALUE"""),0.9370967371674822)</f>
        <v>0.9370967372</v>
      </c>
      <c r="AJ679" s="30">
        <f>IFERROR(__xludf.DUMMYFUNCTION("""COMPUTED_VALUE"""),0.855373685361222)</f>
        <v>0.8553736854</v>
      </c>
      <c r="AK679" s="30">
        <f>IFERROR(__xludf.DUMMYFUNCTION("""COMPUTED_VALUE"""),0.8420295557543145)</f>
        <v>0.8420295558</v>
      </c>
      <c r="AL679" s="30">
        <f>IFERROR(__xludf.DUMMYFUNCTION("""COMPUTED_VALUE"""),1.0663403827245155)</f>
        <v>1.066340383</v>
      </c>
      <c r="AM679" s="30">
        <f>IFERROR(__xludf.DUMMYFUNCTION("""COMPUTED_VALUE"""),0.8298389138391503)</f>
        <v>0.8298389138</v>
      </c>
      <c r="AN679" s="30">
        <f>IFERROR(__xludf.DUMMYFUNCTION("""COMPUTED_VALUE"""),1.289352124749388)</f>
        <v>1.289352125</v>
      </c>
      <c r="AO679" s="30">
        <f>IFERROR(__xludf.DUMMYFUNCTION("""COMPUTED_VALUE"""),1.8453904129917513)</f>
        <v>1.845390413</v>
      </c>
      <c r="AP679" s="30">
        <f>IFERROR(__xludf.DUMMYFUNCTION("""COMPUTED_VALUE"""),1.2948314366404752)</f>
        <v>1.294831437</v>
      </c>
      <c r="AQ679" s="30">
        <f>IFERROR(__xludf.DUMMYFUNCTION("""COMPUTED_VALUE"""),0.9673000799252894)</f>
        <v>0.9673000799</v>
      </c>
      <c r="AR679" s="30">
        <f>IFERROR(__xludf.DUMMYFUNCTION("""COMPUTED_VALUE"""),1.48593351947043)</f>
        <v>1.485933519</v>
      </c>
      <c r="AS679" s="30">
        <f>IFERROR(__xludf.DUMMYFUNCTION("""COMPUTED_VALUE"""),102.0)</f>
        <v>102</v>
      </c>
      <c r="AT679" s="30">
        <f>IFERROR(__xludf.DUMMYFUNCTION("""COMPUTED_VALUE"""),0.6433105880241531)</f>
        <v>0.643310588</v>
      </c>
      <c r="AU679" s="30">
        <f>IFERROR(__xludf.DUMMYFUNCTION("""COMPUTED_VALUE"""),3.7601804070938236)</f>
        <v>3.760180407</v>
      </c>
      <c r="AV679" s="32">
        <f>IFERROR(__xludf.DUMMYFUNCTION("""COMPUTED_VALUE"""),107.23707802533815)</f>
        <v>107.237078</v>
      </c>
      <c r="AW679" s="32">
        <f>IFERROR(__xludf.DUMMYFUNCTION("""COMPUTED_VALUE"""),90.69761083040937)</f>
        <v>90.69761083</v>
      </c>
      <c r="AX679" s="32">
        <f>IFERROR(__xludf.DUMMYFUNCTION("""COMPUTED_VALUE"""),85.71276284883353)</f>
        <v>85.71276285</v>
      </c>
      <c r="AY679" s="32">
        <f>IFERROR(__xludf.DUMMYFUNCTION("""COMPUTED_VALUE"""),13.059521266758285)</f>
        <v>13.05952127</v>
      </c>
      <c r="AZ679" s="30">
        <f>IFERROR(__xludf.DUMMYFUNCTION("""COMPUTED_VALUE"""),77.63808956365109)</f>
        <v>77.63808956</v>
      </c>
      <c r="BA679" s="30">
        <f>IFERROR(__xludf.DUMMYFUNCTION("""COMPUTED_VALUE"""),2700.0)</f>
        <v>2700</v>
      </c>
    </row>
    <row r="680">
      <c r="A680" s="71" t="str">
        <f>IFERROR(__xludf.DUMMYFUNCTION("""COMPUTED_VALUE"""),"Prospect")</f>
        <v>Prospect</v>
      </c>
      <c r="B680" s="71" t="str">
        <f>IFERROR(__xludf.DUMMYFUNCTION("""COMPUTED_VALUE"""),"RSC007929")</f>
        <v>RSC007929</v>
      </c>
      <c r="C680" s="30" t="str">
        <f>IFERROR(__xludf.DUMMYFUNCTION("""COMPUTED_VALUE"""),"Leaux Mane")</f>
        <v>Leaux Mane</v>
      </c>
      <c r="D680" s="30" t="str">
        <f>IFERROR(__xludf.DUMMYFUNCTION("""COMPUTED_VALUE"""),"Blacktips")</f>
        <v>Blacktips</v>
      </c>
      <c r="E680" s="30">
        <f>IFERROR(__xludf.DUMMYFUNCTION("""COMPUTED_VALUE"""),4.0)</f>
        <v>4</v>
      </c>
      <c r="F680" s="30">
        <f>IFERROR(__xludf.DUMMYFUNCTION("""COMPUTED_VALUE"""),0.0)</f>
        <v>0</v>
      </c>
      <c r="G680" s="42">
        <f>IFERROR(__xludf.DUMMYFUNCTION("""COMPUTED_VALUE"""),4.0)</f>
        <v>4</v>
      </c>
      <c r="H680" s="42">
        <f>IFERROR(__xludf.DUMMYFUNCTION("""COMPUTED_VALUE"""),0.0)</f>
        <v>0</v>
      </c>
      <c r="I680" s="42">
        <f>IFERROR(__xludf.DUMMYFUNCTION("""COMPUTED_VALUE"""),0.4)</f>
        <v>0.4</v>
      </c>
      <c r="J680" s="30">
        <f>IFERROR(__xludf.DUMMYFUNCTION("""COMPUTED_VALUE"""),281.75)</f>
        <v>281.75</v>
      </c>
      <c r="K680" s="30">
        <f>IFERROR(__xludf.DUMMYFUNCTION("""COMPUTED_VALUE"""),0.5)</f>
        <v>0.5</v>
      </c>
      <c r="L680" s="30">
        <f>IFERROR(__xludf.DUMMYFUNCTION("""COMPUTED_VALUE"""),0.25)</f>
        <v>0.25</v>
      </c>
      <c r="M680" s="30">
        <f>IFERROR(__xludf.DUMMYFUNCTION("""COMPUTED_VALUE"""),1.5)</f>
        <v>1.5</v>
      </c>
      <c r="N680" s="30">
        <f>IFERROR(__xludf.DUMMYFUNCTION("""COMPUTED_VALUE"""),1.25)</f>
        <v>1.25</v>
      </c>
      <c r="O680" s="30">
        <f>IFERROR(__xludf.DUMMYFUNCTION("""COMPUTED_VALUE"""),367.9166666666667)</f>
        <v>367.9166667</v>
      </c>
      <c r="P680" s="30">
        <f>IFERROR(__xludf.DUMMYFUNCTION("""COMPUTED_VALUE"""),1.0833333333333333)</f>
        <v>1.083333333</v>
      </c>
      <c r="Q680" s="30">
        <f>IFERROR(__xludf.DUMMYFUNCTION("""COMPUTED_VALUE"""),0.9166666666666666)</f>
        <v>0.9166666667</v>
      </c>
      <c r="R680" s="30">
        <f>IFERROR(__xludf.DUMMYFUNCTION("""COMPUTED_VALUE"""),0.5833333333333334)</f>
        <v>0.5833333333</v>
      </c>
      <c r="S680" s="30">
        <f>IFERROR(__xludf.DUMMYFUNCTION("""COMPUTED_VALUE"""),3.25)</f>
        <v>3.25</v>
      </c>
      <c r="T680" s="30">
        <f>IFERROR(__xludf.DUMMYFUNCTION("""COMPUTED_VALUE"""),348.71406024531024)</f>
        <v>348.7140602</v>
      </c>
      <c r="U680" s="30">
        <f>IFERROR(__xludf.DUMMYFUNCTION("""COMPUTED_VALUE"""),0.8121392496392495)</f>
        <v>0.8121392496</v>
      </c>
      <c r="V680" s="30">
        <f>IFERROR(__xludf.DUMMYFUNCTION("""COMPUTED_VALUE"""),0.5985299422799423)</f>
        <v>0.5985299423</v>
      </c>
      <c r="W680" s="30">
        <f>IFERROR(__xludf.DUMMYFUNCTION("""COMPUTED_VALUE"""),1.324179292929293)</f>
        <v>1.324179293</v>
      </c>
      <c r="X680" s="30">
        <f>IFERROR(__xludf.DUMMYFUNCTION("""COMPUTED_VALUE"""),2.495986652236652)</f>
        <v>2.495986652</v>
      </c>
      <c r="Y680" s="30">
        <f>IFERROR(__xludf.DUMMYFUNCTION("""COMPUTED_VALUE"""),338.59771825396825)</f>
        <v>338.5977183</v>
      </c>
      <c r="Z680" s="30">
        <f>IFERROR(__xludf.DUMMYFUNCTION("""COMPUTED_VALUE"""),0.720448532948533)</f>
        <v>0.7204485329</v>
      </c>
      <c r="AA680" s="30">
        <f>IFERROR(__xludf.DUMMYFUNCTION("""COMPUTED_VALUE"""),0.510431697931698)</f>
        <v>0.5104316979</v>
      </c>
      <c r="AB680" s="30">
        <f>IFERROR(__xludf.DUMMYFUNCTION("""COMPUTED_VALUE"""),1.3095388407888406)</f>
        <v>1.309538841</v>
      </c>
      <c r="AC680" s="30">
        <f>IFERROR(__xludf.DUMMYFUNCTION("""COMPUTED_VALUE"""),2.4131794131794138)</f>
        <v>2.413179413</v>
      </c>
      <c r="AD680" s="30">
        <f>IFERROR(__xludf.DUMMYFUNCTION("""COMPUTED_VALUE"""),0.8321083835203842)</f>
        <v>0.8321083835</v>
      </c>
      <c r="AE680" s="30">
        <f>IFERROR(__xludf.DUMMYFUNCTION("""COMPUTED_VALUE"""),0.6940121009805967)</f>
        <v>0.694012101</v>
      </c>
      <c r="AF680" s="30">
        <f>IFERROR(__xludf.DUMMYFUNCTION("""COMPUTED_VALUE"""),0.48978149478767885)</f>
        <v>0.4897814948</v>
      </c>
      <c r="AG680" s="30">
        <f>IFERROR(__xludf.DUMMYFUNCTION("""COMPUTED_VALUE"""),1.1454413975964464)</f>
        <v>1.145441398</v>
      </c>
      <c r="AH680" s="30">
        <f>IFERROR(__xludf.DUMMYFUNCTION("""COMPUTED_VALUE"""),0.5179888379509666)</f>
        <v>0.517988838</v>
      </c>
      <c r="AI680" s="30">
        <f>IFERROR(__xludf.DUMMYFUNCTION("""COMPUTED_VALUE"""),1.055066911864259)</f>
        <v>1.055066912</v>
      </c>
      <c r="AJ680" s="30">
        <f>IFERROR(__xludf.DUMMYFUNCTION("""COMPUTED_VALUE"""),1.3339255968906163)</f>
        <v>1.333925597</v>
      </c>
      <c r="AK680" s="30">
        <f>IFERROR(__xludf.DUMMYFUNCTION("""COMPUTED_VALUE"""),1.5315301740375198)</f>
        <v>1.531530174</v>
      </c>
      <c r="AL680" s="30">
        <f>IFERROR(__xludf.DUMMYFUNCTION("""COMPUTED_VALUE"""),0.4405244338498212)</f>
        <v>0.4405244338</v>
      </c>
      <c r="AM680" s="30">
        <f>IFERROR(__xludf.DUMMYFUNCTION("""COMPUTED_VALUE"""),1.3020902964716086)</f>
        <v>1.302090296</v>
      </c>
      <c r="AN680" s="30">
        <f>IFERROR(__xludf.DUMMYFUNCTION("""COMPUTED_VALUE"""),0.870293378673923)</f>
        <v>0.8702933787</v>
      </c>
      <c r="AO680" s="30">
        <f>IFERROR(__xludf.DUMMYFUNCTION("""COMPUTED_VALUE"""),0.6778985190581943)</f>
        <v>0.6778985191</v>
      </c>
      <c r="AP680" s="30">
        <f>IFERROR(__xludf.DUMMYFUNCTION("""COMPUTED_VALUE"""),0.5066731708593164)</f>
        <v>0.5066731709</v>
      </c>
      <c r="AQ680" s="30">
        <f>IFERROR(__xludf.DUMMYFUNCTION("""COMPUTED_VALUE"""),1.2436715313325148)</f>
        <v>1.243671531</v>
      </c>
      <c r="AR680" s="30">
        <f>IFERROR(__xludf.DUMMYFUNCTION("""COMPUTED_VALUE"""),0.5306905426680107)</f>
        <v>0.5306905427</v>
      </c>
      <c r="AS680" s="30">
        <f>IFERROR(__xludf.DUMMYFUNCTION("""COMPUTED_VALUE"""),7.0)</f>
        <v>7</v>
      </c>
      <c r="AT680" s="30">
        <f>IFERROR(__xludf.DUMMYFUNCTION("""COMPUTED_VALUE"""),0.2724004993386534)</f>
        <v>0.2724004993</v>
      </c>
      <c r="AU680" s="30">
        <f>IFERROR(__xludf.DUMMYFUNCTION("""COMPUTED_VALUE"""),0.5180589133042675)</f>
        <v>0.5180589133</v>
      </c>
      <c r="AV680" s="32">
        <f>IFERROR(__xludf.DUMMYFUNCTION("""COMPUTED_VALUE"""),4.098077579878598)</f>
        <v>4.09807758</v>
      </c>
      <c r="AW680" s="32">
        <f>IFERROR(__xludf.DUMMYFUNCTION("""COMPUTED_VALUE"""),-30.14486810435867)</f>
        <v>-30.1448681</v>
      </c>
      <c r="AX680" s="32">
        <f>IFERROR(__xludf.DUMMYFUNCTION("""COMPUTED_VALUE"""),20.0916568429606)</f>
        <v>20.09165684</v>
      </c>
      <c r="AY680" s="32">
        <f>IFERROR(__xludf.DUMMYFUNCTION("""COMPUTED_VALUE"""),-8.636833367301325)</f>
        <v>-8.636833367</v>
      </c>
      <c r="AZ680" s="30">
        <f>IFERROR(__xludf.DUMMYFUNCTION("""COMPUTED_VALUE"""),21.508034737057347)</f>
        <v>21.50803474</v>
      </c>
      <c r="BA680" s="30">
        <f>IFERROR(__xludf.DUMMYFUNCTION("""COMPUTED_VALUE"""),2700.0)</f>
        <v>2700</v>
      </c>
    </row>
    <row r="681">
      <c r="A681" s="71" t="str">
        <f>IFERROR(__xludf.DUMMYFUNCTION("""COMPUTED_VALUE"""),"Prospect")</f>
        <v>Prospect</v>
      </c>
      <c r="B681" s="71" t="str">
        <f>IFERROR(__xludf.DUMMYFUNCTION("""COMPUTED_VALUE"""),"RSC004879")</f>
        <v>RSC004879</v>
      </c>
      <c r="C681" s="30" t="str">
        <f>IFERROR(__xludf.DUMMYFUNCTION("""COMPUTED_VALUE"""),"DefNotMongo.")</f>
        <v>DefNotMongo.</v>
      </c>
      <c r="D681" s="30" t="str">
        <f>IFERROR(__xludf.DUMMYFUNCTION("""COMPUTED_VALUE"""),"Khans")</f>
        <v>Khans</v>
      </c>
      <c r="E681" s="30">
        <f>IFERROR(__xludf.DUMMYFUNCTION("""COMPUTED_VALUE"""),8.0)</f>
        <v>8</v>
      </c>
      <c r="F681" s="30">
        <f>IFERROR(__xludf.DUMMYFUNCTION("""COMPUTED_VALUE"""),2.0)</f>
        <v>2</v>
      </c>
      <c r="G681" s="42">
        <f>IFERROR(__xludf.DUMMYFUNCTION("""COMPUTED_VALUE"""),6.0)</f>
        <v>6</v>
      </c>
      <c r="H681" s="42">
        <f>IFERROR(__xludf.DUMMYFUNCTION("""COMPUTED_VALUE"""),0.25)</f>
        <v>0.25</v>
      </c>
      <c r="I681" s="42">
        <f>IFERROR(__xludf.DUMMYFUNCTION("""COMPUTED_VALUE"""),0.16666666666666666)</f>
        <v>0.1666666667</v>
      </c>
      <c r="J681" s="30">
        <f>IFERROR(__xludf.DUMMYFUNCTION("""COMPUTED_VALUE"""),284.625)</f>
        <v>284.625</v>
      </c>
      <c r="K681" s="30">
        <f>IFERROR(__xludf.DUMMYFUNCTION("""COMPUTED_VALUE"""),0.125)</f>
        <v>0.125</v>
      </c>
      <c r="L681" s="30">
        <f>IFERROR(__xludf.DUMMYFUNCTION("""COMPUTED_VALUE"""),0.75)</f>
        <v>0.75</v>
      </c>
      <c r="M681" s="30">
        <f>IFERROR(__xludf.DUMMYFUNCTION("""COMPUTED_VALUE"""),1.875)</f>
        <v>1.875</v>
      </c>
      <c r="N681" s="30">
        <f>IFERROR(__xludf.DUMMYFUNCTION("""COMPUTED_VALUE"""),0.75)</f>
        <v>0.75</v>
      </c>
      <c r="O681" s="30">
        <f>IFERROR(__xludf.DUMMYFUNCTION("""COMPUTED_VALUE"""),350.0)</f>
        <v>350</v>
      </c>
      <c r="P681" s="30">
        <f>IFERROR(__xludf.DUMMYFUNCTION("""COMPUTED_VALUE"""),1.0416666666666667)</f>
        <v>1.041666667</v>
      </c>
      <c r="Q681" s="30">
        <f>IFERROR(__xludf.DUMMYFUNCTION("""COMPUTED_VALUE"""),0.6666666666666665)</f>
        <v>0.6666666667</v>
      </c>
      <c r="R681" s="30">
        <f>IFERROR(__xludf.DUMMYFUNCTION("""COMPUTED_VALUE"""),1.0)</f>
        <v>1</v>
      </c>
      <c r="S681" s="30">
        <f>IFERROR(__xludf.DUMMYFUNCTION("""COMPUTED_VALUE"""),3.041666666666667)</f>
        <v>3.041666667</v>
      </c>
      <c r="T681" s="30">
        <f>IFERROR(__xludf.DUMMYFUNCTION("""COMPUTED_VALUE"""),331.9756216931217)</f>
        <v>331.9756217</v>
      </c>
      <c r="U681" s="30">
        <f>IFERROR(__xludf.DUMMYFUNCTION("""COMPUTED_VALUE"""),0.8252906352906353)</f>
        <v>0.8252906353</v>
      </c>
      <c r="V681" s="30">
        <f>IFERROR(__xludf.DUMMYFUNCTION("""COMPUTED_VALUE"""),0.49903864653864655)</f>
        <v>0.4990386465</v>
      </c>
      <c r="W681" s="30">
        <f>IFERROR(__xludf.DUMMYFUNCTION("""COMPUTED_VALUE"""),1.0814983164983165)</f>
        <v>1.081498316</v>
      </c>
      <c r="X681" s="30">
        <f>IFERROR(__xludf.DUMMYFUNCTION("""COMPUTED_VALUE"""),2.5328062215562217)</f>
        <v>2.532806222</v>
      </c>
      <c r="Y681" s="30">
        <f>IFERROR(__xludf.DUMMYFUNCTION("""COMPUTED_VALUE"""),327.35955897497564)</f>
        <v>327.359559</v>
      </c>
      <c r="Z681" s="30">
        <f>IFERROR(__xludf.DUMMYFUNCTION("""COMPUTED_VALUE"""),0.7291125386958719)</f>
        <v>0.7291125387</v>
      </c>
      <c r="AA681" s="30">
        <f>IFERROR(__xludf.DUMMYFUNCTION("""COMPUTED_VALUE"""),0.48139709056375724)</f>
        <v>0.4813970906</v>
      </c>
      <c r="AB681" s="30">
        <f>IFERROR(__xludf.DUMMYFUNCTION("""COMPUTED_VALUE"""),1.2883635500302166)</f>
        <v>1.28836355</v>
      </c>
      <c r="AC681" s="30">
        <f>IFERROR(__xludf.DUMMYFUNCTION("""COMPUTED_VALUE"""),2.17802680344347)</f>
        <v>2.178026803</v>
      </c>
      <c r="AD681" s="30">
        <f>IFERROR(__xludf.DUMMYFUNCTION("""COMPUTED_VALUE"""),0.8694568165084728)</f>
        <v>0.8694568165</v>
      </c>
      <c r="AE681" s="30">
        <f>IFERROR(__xludf.DUMMYFUNCTION("""COMPUTED_VALUE"""),0.17144129796969534)</f>
        <v>0.171441298</v>
      </c>
      <c r="AF681" s="30">
        <f>IFERROR(__xludf.DUMMYFUNCTION("""COMPUTED_VALUE"""),1.5579653776504667)</f>
        <v>1.557965378</v>
      </c>
      <c r="AG681" s="30">
        <f>IFERROR(__xludf.DUMMYFUNCTION("""COMPUTED_VALUE"""),1.4553345598422314)</f>
        <v>1.45533456</v>
      </c>
      <c r="AH681" s="30">
        <f>IFERROR(__xludf.DUMMYFUNCTION("""COMPUTED_VALUE"""),0.34434837937450846)</f>
        <v>0.3443483794</v>
      </c>
      <c r="AI681" s="30">
        <f>IFERROR(__xludf.DUMMYFUNCTION("""COMPUTED_VALUE"""),1.0542942828601434)</f>
        <v>1.054294283</v>
      </c>
      <c r="AJ681" s="30">
        <f>IFERROR(__xludf.DUMMYFUNCTION("""COMPUTED_VALUE"""),1.2621816147227118)</f>
        <v>1.262181615</v>
      </c>
      <c r="AK681" s="30">
        <f>IFERROR(__xludf.DUMMYFUNCTION("""COMPUTED_VALUE"""),1.3359018811282355)</f>
        <v>1.335901881</v>
      </c>
      <c r="AL681" s="30">
        <f>IFERROR(__xludf.DUMMYFUNCTION("""COMPUTED_VALUE"""),0.9246431406734017)</f>
        <v>0.9246431407</v>
      </c>
      <c r="AM681" s="30">
        <f>IFERROR(__xludf.DUMMYFUNCTION("""COMPUTED_VALUE"""),1.2009077681425577)</f>
        <v>1.200907768</v>
      </c>
      <c r="AN681" s="30">
        <f>IFERROR(__xludf.DUMMYFUNCTION("""COMPUTED_VALUE"""),0.8791739233542691)</f>
        <v>0.8791739234</v>
      </c>
      <c r="AO681" s="30">
        <f>IFERROR(__xludf.DUMMYFUNCTION("""COMPUTED_VALUE"""),0.16947462976454858)</f>
        <v>0.1694746298</v>
      </c>
      <c r="AP681" s="30">
        <f>IFERROR(__xludf.DUMMYFUNCTION("""COMPUTED_VALUE"""),1.5200195125779492)</f>
        <v>1.520019513</v>
      </c>
      <c r="AQ681" s="30">
        <f>IFERROR(__xludf.DUMMYFUNCTION("""COMPUTED_VALUE"""),1.5545894141656436)</f>
        <v>1.554589414</v>
      </c>
      <c r="AR681" s="30">
        <f>IFERROR(__xludf.DUMMYFUNCTION("""COMPUTED_VALUE"""),0.3184143256008064)</f>
        <v>0.3184143256</v>
      </c>
      <c r="AS681" s="30">
        <f>IFERROR(__xludf.DUMMYFUNCTION("""COMPUTED_VALUE"""),18.0)</f>
        <v>18</v>
      </c>
      <c r="AT681" s="30">
        <f>IFERROR(__xludf.DUMMYFUNCTION("""COMPUTED_VALUE"""),0.36997977956386313)</f>
        <v>0.3699797796</v>
      </c>
      <c r="AU681" s="30">
        <f>IFERROR(__xludf.DUMMYFUNCTION("""COMPUTED_VALUE"""),0.582510386361337)</f>
        <v>0.5825103864</v>
      </c>
      <c r="AV681" s="32">
        <f>IFERROR(__xludf.DUMMYFUNCTION("""COMPUTED_VALUE"""),6.148420394321903)</f>
        <v>6.148420394</v>
      </c>
      <c r="AW681" s="32">
        <f>IFERROR(__xludf.DUMMYFUNCTION("""COMPUTED_VALUE"""),-25.182674759542337)</f>
        <v>-25.18267476</v>
      </c>
      <c r="AX681" s="32">
        <f>IFERROR(__xludf.DUMMYFUNCTION("""COMPUTED_VALUE"""),25.1497437244071)</f>
        <v>25.14974372</v>
      </c>
      <c r="AY681" s="32">
        <f>IFERROR(__xludf.DUMMYFUNCTION("""COMPUTED_VALUE"""),-6.245747488822968)</f>
        <v>-6.245747489</v>
      </c>
      <c r="AZ681" s="30">
        <f>IFERROR(__xludf.DUMMYFUNCTION("""COMPUTED_VALUE"""),18.93692727071937)</f>
        <v>18.93692727</v>
      </c>
      <c r="BA681" s="30">
        <f>IFERROR(__xludf.DUMMYFUNCTION("""COMPUTED_VALUE"""),2700.0)</f>
        <v>2700</v>
      </c>
    </row>
    <row r="682">
      <c r="A682" s="71" t="str">
        <f>IFERROR(__xludf.DUMMYFUNCTION("""COMPUTED_VALUE"""),"Prospect")</f>
        <v>Prospect</v>
      </c>
      <c r="B682" s="71" t="str">
        <f>IFERROR(__xludf.DUMMYFUNCTION("""COMPUTED_VALUE"""),"RSC007297")</f>
        <v>RSC007297</v>
      </c>
      <c r="C682" s="30" t="str">
        <f>IFERROR(__xludf.DUMMYFUNCTION("""COMPUTED_VALUE"""),"Marc_Byy_8")</f>
        <v>Marc_Byy_8</v>
      </c>
      <c r="D682" s="30" t="str">
        <f>IFERROR(__xludf.DUMMYFUNCTION("""COMPUTED_VALUE"""),"Tic Tacs")</f>
        <v>Tic Tacs</v>
      </c>
      <c r="E682" s="30">
        <f>IFERROR(__xludf.DUMMYFUNCTION("""COMPUTED_VALUE"""),27.0)</f>
        <v>27</v>
      </c>
      <c r="F682" s="30">
        <f>IFERROR(__xludf.DUMMYFUNCTION("""COMPUTED_VALUE"""),14.0)</f>
        <v>14</v>
      </c>
      <c r="G682" s="42">
        <f>IFERROR(__xludf.DUMMYFUNCTION("""COMPUTED_VALUE"""),13.0)</f>
        <v>13</v>
      </c>
      <c r="H682" s="42">
        <f>IFERROR(__xludf.DUMMYFUNCTION("""COMPUTED_VALUE"""),0.5185185185185185)</f>
        <v>0.5185185185</v>
      </c>
      <c r="I682" s="42">
        <f>IFERROR(__xludf.DUMMYFUNCTION("""COMPUTED_VALUE"""),0.4574468085106383)</f>
        <v>0.4574468085</v>
      </c>
      <c r="J682" s="30">
        <f>IFERROR(__xludf.DUMMYFUNCTION("""COMPUTED_VALUE"""),421.3703703703704)</f>
        <v>421.3703704</v>
      </c>
      <c r="K682" s="30">
        <f>IFERROR(__xludf.DUMMYFUNCTION("""COMPUTED_VALUE"""),1.5925925925925926)</f>
        <v>1.592592593</v>
      </c>
      <c r="L682" s="30">
        <f>IFERROR(__xludf.DUMMYFUNCTION("""COMPUTED_VALUE"""),0.2222222222222222)</f>
        <v>0.2222222222</v>
      </c>
      <c r="M682" s="30">
        <f>IFERROR(__xludf.DUMMYFUNCTION("""COMPUTED_VALUE"""),1.1481481481481481)</f>
        <v>1.148148148</v>
      </c>
      <c r="N682" s="30">
        <f>IFERROR(__xludf.DUMMYFUNCTION("""COMPUTED_VALUE"""),3.4814814814814814)</f>
        <v>3.481481481</v>
      </c>
      <c r="O682" s="30">
        <f>IFERROR(__xludf.DUMMYFUNCTION("""COMPUTED_VALUE"""),338.2592592592592)</f>
        <v>338.2592593</v>
      </c>
      <c r="P682" s="30">
        <f>IFERROR(__xludf.DUMMYFUNCTION("""COMPUTED_VALUE"""),0.8888888888888888)</f>
        <v>0.8888888889</v>
      </c>
      <c r="Q682" s="30">
        <f>IFERROR(__xludf.DUMMYFUNCTION("""COMPUTED_VALUE"""),0.6049382716049384)</f>
        <v>0.6049382716</v>
      </c>
      <c r="R682" s="30">
        <f>IFERROR(__xludf.DUMMYFUNCTION("""COMPUTED_VALUE"""),0.91358024691358)</f>
        <v>0.9135802469</v>
      </c>
      <c r="S682" s="30">
        <f>IFERROR(__xludf.DUMMYFUNCTION("""COMPUTED_VALUE"""),2.7654320987654324)</f>
        <v>2.765432099</v>
      </c>
      <c r="T682" s="30">
        <f>IFERROR(__xludf.DUMMYFUNCTION("""COMPUTED_VALUE"""),333.401348320258)</f>
        <v>333.4013483</v>
      </c>
      <c r="U682" s="30">
        <f>IFERROR(__xludf.DUMMYFUNCTION("""COMPUTED_VALUE"""),0.7682807520844382)</f>
        <v>0.7682807521</v>
      </c>
      <c r="V682" s="30">
        <f>IFERROR(__xludf.DUMMYFUNCTION("""COMPUTED_VALUE"""),0.5049888402105268)</f>
        <v>0.5049888402</v>
      </c>
      <c r="W682" s="30">
        <f>IFERROR(__xludf.DUMMYFUNCTION("""COMPUTED_VALUE"""),1.2634684905148532)</f>
        <v>1.263468491</v>
      </c>
      <c r="X682" s="30">
        <f>IFERROR(__xludf.DUMMYFUNCTION("""COMPUTED_VALUE"""),2.454776186140732)</f>
        <v>2.454776186</v>
      </c>
      <c r="Y682" s="30">
        <f>IFERROR(__xludf.DUMMYFUNCTION("""COMPUTED_VALUE"""),338.3666952203038)</f>
        <v>338.3666952</v>
      </c>
      <c r="Z682" s="30">
        <f>IFERROR(__xludf.DUMMYFUNCTION("""COMPUTED_VALUE"""),0.7858204030899002)</f>
        <v>0.7858204031</v>
      </c>
      <c r="AA682" s="30">
        <f>IFERROR(__xludf.DUMMYFUNCTION("""COMPUTED_VALUE"""),0.5277942724155347)</f>
        <v>0.5277942724</v>
      </c>
      <c r="AB682" s="30">
        <f>IFERROR(__xludf.DUMMYFUNCTION("""COMPUTED_VALUE"""),1.242835318214758)</f>
        <v>1.242835318</v>
      </c>
      <c r="AC682" s="30">
        <f>IFERROR(__xludf.DUMMYFUNCTION("""COMPUTED_VALUE"""),2.5403754183923195)</f>
        <v>2.540375418</v>
      </c>
      <c r="AD682" s="30">
        <f>IFERROR(__xludf.DUMMYFUNCTION("""COMPUTED_VALUE"""),1.245306870689577)</f>
        <v>1.245306871</v>
      </c>
      <c r="AE682" s="30">
        <f>IFERROR(__xludf.DUMMYFUNCTION("""COMPUTED_VALUE"""),2.026662309009041)</f>
        <v>2.026662309</v>
      </c>
      <c r="AF682" s="30">
        <f>IFERROR(__xludf.DUMMYFUNCTION("""COMPUTED_VALUE"""),0.421039472833206)</f>
        <v>0.4210394728</v>
      </c>
      <c r="AG682" s="30">
        <f>IFERROR(__xludf.DUMMYFUNCTION("""COMPUTED_VALUE"""),0.9238135827982253)</f>
        <v>0.9238135828</v>
      </c>
      <c r="AH682" s="30">
        <f>IFERROR(__xludf.DUMMYFUNCTION("""COMPUTED_VALUE"""),1.370459443228569)</f>
        <v>1.370459443</v>
      </c>
      <c r="AI682" s="30">
        <f>IFERROR(__xludf.DUMMYFUNCTION("""COMPUTED_VALUE"""),1.0145707597269065)</f>
        <v>1.01457076</v>
      </c>
      <c r="AJ682" s="30">
        <f>IFERROR(__xludf.DUMMYFUNCTION("""COMPUTED_VALUE"""),1.1569844571495853)</f>
        <v>1.156984457</v>
      </c>
      <c r="AK682" s="30">
        <f>IFERROR(__xludf.DUMMYFUNCTION("""COMPUTED_VALUE"""),1.1979240399703552)</f>
        <v>1.19792404</v>
      </c>
      <c r="AL682" s="30">
        <f>IFERROR(__xludf.DUMMYFUNCTION("""COMPUTED_VALUE"""),0.7230732335408724)</f>
        <v>0.7230732335</v>
      </c>
      <c r="AM682" s="30">
        <f>IFERROR(__xludf.DUMMYFUNCTION("""COMPUTED_VALUE"""),1.126551623882704)</f>
        <v>1.126551624</v>
      </c>
      <c r="AN682" s="30">
        <f>IFERROR(__xludf.DUMMYFUNCTION("""COMPUTED_VALUE"""),1.3015646612341152)</f>
        <v>1.301564661</v>
      </c>
      <c r="AO682" s="30">
        <f>IFERROR(__xludf.DUMMYFUNCTION("""COMPUTED_VALUE"""),2.1592323199631376)</f>
        <v>2.15923232</v>
      </c>
      <c r="AP682" s="30">
        <f>IFERROR(__xludf.DUMMYFUNCTION("""COMPUTED_VALUE"""),0.4503761518749479)</f>
        <v>0.4503761519</v>
      </c>
      <c r="AQ682" s="30">
        <f>IFERROR(__xludf.DUMMYFUNCTION("""COMPUTED_VALUE"""),0.9519461104026656)</f>
        <v>0.9519461104</v>
      </c>
      <c r="AR682" s="30">
        <f>IFERROR(__xludf.DUMMYFUNCTION("""COMPUTED_VALUE"""),1.4780714373568298)</f>
        <v>1.478071437</v>
      </c>
      <c r="AS682" s="30">
        <f>IFERROR(__xludf.DUMMYFUNCTION("""COMPUTED_VALUE"""),76.0)</f>
        <v>76</v>
      </c>
      <c r="AT682" s="30">
        <f>IFERROR(__xludf.DUMMYFUNCTION("""COMPUTED_VALUE"""),0.5220118714339684)</f>
        <v>0.5220118714</v>
      </c>
      <c r="AU682" s="30">
        <f>IFERROR(__xludf.DUMMYFUNCTION("""COMPUTED_VALUE"""),3.2809915335836948)</f>
        <v>3.280991534</v>
      </c>
      <c r="AV682" s="32">
        <f>IFERROR(__xludf.DUMMYFUNCTION("""COMPUTED_VALUE"""),91.99302824710102)</f>
        <v>91.99302825</v>
      </c>
      <c r="AW682" s="32">
        <f>IFERROR(__xludf.DUMMYFUNCTION("""COMPUTED_VALUE"""),21.502697368287414)</f>
        <v>21.50269737</v>
      </c>
      <c r="AX682" s="32">
        <f>IFERROR(__xludf.DUMMYFUNCTION("""COMPUTED_VALUE"""),66.01716020923861)</f>
        <v>66.01716021</v>
      </c>
      <c r="AY682" s="32">
        <f>IFERROR(__xludf.DUMMYFUNCTION("""COMPUTED_VALUE"""),3.833426527225195)</f>
        <v>3.833426527</v>
      </c>
      <c r="AZ682" s="30">
        <f>IFERROR(__xludf.DUMMYFUNCTION("""COMPUTED_VALUE"""),17.669270841062218)</f>
        <v>17.66927084</v>
      </c>
      <c r="BA682" s="30">
        <f>IFERROR(__xludf.DUMMYFUNCTION("""COMPUTED_VALUE"""),2700.0)</f>
        <v>2700</v>
      </c>
    </row>
    <row r="683">
      <c r="A683" s="71" t="str">
        <f>IFERROR(__xludf.DUMMYFUNCTION("""COMPUTED_VALUE"""),"Prospect")</f>
        <v>Prospect</v>
      </c>
      <c r="B683" s="71" t="str">
        <f>IFERROR(__xludf.DUMMYFUNCTION("""COMPUTED_VALUE"""),"RSC006416")</f>
        <v>RSC006416</v>
      </c>
      <c r="C683" s="30" t="str">
        <f>IFERROR(__xludf.DUMMYFUNCTION("""COMPUTED_VALUE"""),"StaRazor")</f>
        <v>StaRazor</v>
      </c>
      <c r="D683" s="30"/>
      <c r="E683" s="30">
        <f>IFERROR(__xludf.DUMMYFUNCTION("""COMPUTED_VALUE"""),15.0)</f>
        <v>15</v>
      </c>
      <c r="F683" s="30">
        <f>IFERROR(__xludf.DUMMYFUNCTION("""COMPUTED_VALUE"""),4.0)</f>
        <v>4</v>
      </c>
      <c r="G683" s="42">
        <f>IFERROR(__xludf.DUMMYFUNCTION("""COMPUTED_VALUE"""),11.0)</f>
        <v>11</v>
      </c>
      <c r="H683" s="42">
        <f>IFERROR(__xludf.DUMMYFUNCTION("""COMPUTED_VALUE"""),0.26666666666666666)</f>
        <v>0.2666666667</v>
      </c>
      <c r="I683" s="42">
        <f>IFERROR(__xludf.DUMMYFUNCTION("""COMPUTED_VALUE"""),0.35294117647058826)</f>
        <v>0.3529411765</v>
      </c>
      <c r="J683" s="30">
        <f>IFERROR(__xludf.DUMMYFUNCTION("""COMPUTED_VALUE"""),273.26666666666665)</f>
        <v>273.2666667</v>
      </c>
      <c r="K683" s="30">
        <f>IFERROR(__xludf.DUMMYFUNCTION("""COMPUTED_VALUE"""),0.4)</f>
        <v>0.4</v>
      </c>
      <c r="L683" s="30">
        <f>IFERROR(__xludf.DUMMYFUNCTION("""COMPUTED_VALUE"""),0.4)</f>
        <v>0.4</v>
      </c>
      <c r="M683" s="30">
        <f>IFERROR(__xludf.DUMMYFUNCTION("""COMPUTED_VALUE"""),1.2666666666666666)</f>
        <v>1.266666667</v>
      </c>
      <c r="N683" s="30">
        <f>IFERROR(__xludf.DUMMYFUNCTION("""COMPUTED_VALUE"""),1.1333333333333333)</f>
        <v>1.133333333</v>
      </c>
      <c r="O683" s="30">
        <f>IFERROR(__xludf.DUMMYFUNCTION("""COMPUTED_VALUE"""),342.3777777777778)</f>
        <v>342.3777778</v>
      </c>
      <c r="P683" s="30">
        <f>IFERROR(__xludf.DUMMYFUNCTION("""COMPUTED_VALUE"""),1.0000000000000002)</f>
        <v>1</v>
      </c>
      <c r="Q683" s="30">
        <f>IFERROR(__xludf.DUMMYFUNCTION("""COMPUTED_VALUE"""),0.6222222222222222)</f>
        <v>0.6222222222</v>
      </c>
      <c r="R683" s="30">
        <f>IFERROR(__xludf.DUMMYFUNCTION("""COMPUTED_VALUE"""),0.8666666666666666)</f>
        <v>0.8666666667</v>
      </c>
      <c r="S683" s="30">
        <f>IFERROR(__xludf.DUMMYFUNCTION("""COMPUTED_VALUE"""),2.555555555555555)</f>
        <v>2.555555556</v>
      </c>
      <c r="T683" s="30">
        <f>IFERROR(__xludf.DUMMYFUNCTION("""COMPUTED_VALUE"""),333.5681301282212)</f>
        <v>333.5681301</v>
      </c>
      <c r="U683" s="30">
        <f>IFERROR(__xludf.DUMMYFUNCTION("""COMPUTED_VALUE"""),0.739777040829103)</f>
        <v>0.7397770408</v>
      </c>
      <c r="V683" s="30">
        <f>IFERROR(__xludf.DUMMYFUNCTION("""COMPUTED_VALUE"""),0.6264739357838299)</f>
        <v>0.6264739358</v>
      </c>
      <c r="W683" s="30">
        <f>IFERROR(__xludf.DUMMYFUNCTION("""COMPUTED_VALUE"""),1.190115851010149)</f>
        <v>1.190115851</v>
      </c>
      <c r="X683" s="30">
        <f>IFERROR(__xludf.DUMMYFUNCTION("""COMPUTED_VALUE"""),2.4005409727961)</f>
        <v>2.400540973</v>
      </c>
      <c r="Y683" s="30">
        <f>IFERROR(__xludf.DUMMYFUNCTION("""COMPUTED_VALUE"""),338.5766308957002)</f>
        <v>338.5766309</v>
      </c>
      <c r="Z683" s="30">
        <f>IFERROR(__xludf.DUMMYFUNCTION("""COMPUTED_VALUE"""),0.797894667524147)</f>
        <v>0.7978946675</v>
      </c>
      <c r="AA683" s="30">
        <f>IFERROR(__xludf.DUMMYFUNCTION("""COMPUTED_VALUE"""),0.5312182006203493)</f>
        <v>0.5312182006</v>
      </c>
      <c r="AB683" s="30">
        <f>IFERROR(__xludf.DUMMYFUNCTION("""COMPUTED_VALUE"""),1.275831668961261)</f>
        <v>1.275831669</v>
      </c>
      <c r="AC683" s="30">
        <f>IFERROR(__xludf.DUMMYFUNCTION("""COMPUTED_VALUE"""),2.3556047453354947)</f>
        <v>2.355604745</v>
      </c>
      <c r="AD683" s="30">
        <f>IFERROR(__xludf.DUMMYFUNCTION("""COMPUTED_VALUE"""),0.8071043354166032)</f>
        <v>0.8071043354</v>
      </c>
      <c r="AE683" s="30">
        <f>IFERROR(__xludf.DUMMYFUNCTION("""COMPUTED_VALUE"""),0.5013193047663709)</f>
        <v>0.5013193048</v>
      </c>
      <c r="AF683" s="30">
        <f>IFERROR(__xludf.DUMMYFUNCTION("""COMPUTED_VALUE"""),0.7529862484622807)</f>
        <v>0.7529862485</v>
      </c>
      <c r="AG683" s="30">
        <f>IFERROR(__xludf.DUMMYFUNCTION("""COMPUTED_VALUE"""),0.9928164486604599)</f>
        <v>0.9928164487</v>
      </c>
      <c r="AH683" s="30">
        <f>IFERROR(__xludf.DUMMYFUNCTION("""COMPUTED_VALUE"""),0.4811220284631917)</f>
        <v>0.4811220285</v>
      </c>
      <c r="AI683" s="30">
        <f>IFERROR(__xludf.DUMMYFUNCTION("""COMPUTED_VALUE"""),1.0264103397592876)</f>
        <v>1.02641034</v>
      </c>
      <c r="AJ683" s="30">
        <f>IFERROR(__xludf.DUMMYFUNCTION("""COMPUTED_VALUE"""),1.3517586310589649)</f>
        <v>1.351758631</v>
      </c>
      <c r="AK683" s="30">
        <f>IFERROR(__xludf.DUMMYFUNCTION("""COMPUTED_VALUE"""),0.9932132634436132)</f>
        <v>0.9932132634</v>
      </c>
      <c r="AL683" s="30">
        <f>IFERROR(__xludf.DUMMYFUNCTION("""COMPUTED_VALUE"""),0.7282204215085913)</f>
        <v>0.7282204215</v>
      </c>
      <c r="AM683" s="30">
        <f>IFERROR(__xludf.DUMMYFUNCTION("""COMPUTED_VALUE"""),1.064574853966728)</f>
        <v>1.064574854</v>
      </c>
      <c r="AN683" s="30">
        <f>IFERROR(__xludf.DUMMYFUNCTION("""COMPUTED_VALUE"""),0.8440893366895972)</f>
        <v>0.8440893367</v>
      </c>
      <c r="AO683" s="30">
        <f>IFERROR(__xludf.DUMMYFUNCTION("""COMPUTED_VALUE"""),0.5423188152465555)</f>
        <v>0.5423188152</v>
      </c>
      <c r="AP683" s="30">
        <f>IFERROR(__xludf.DUMMYFUNCTION("""COMPUTED_VALUE"""),0.8106770733749062)</f>
        <v>0.8106770734</v>
      </c>
      <c r="AQ683" s="30">
        <f>IFERROR(__xludf.DUMMYFUNCTION("""COMPUTED_VALUE"""),1.050211515347457)</f>
        <v>1.050211515</v>
      </c>
      <c r="AR683" s="30">
        <f>IFERROR(__xludf.DUMMYFUNCTION("""COMPUTED_VALUE"""),0.4811594253523297)</f>
        <v>0.4811594254</v>
      </c>
      <c r="AS683" s="30">
        <f>IFERROR(__xludf.DUMMYFUNCTION("""COMPUTED_VALUE"""),25.0)</f>
        <v>25</v>
      </c>
      <c r="AT683" s="30">
        <f>IFERROR(__xludf.DUMMYFUNCTION("""COMPUTED_VALUE"""),0.28606226303263577)</f>
        <v>0.286062263</v>
      </c>
      <c r="AU683" s="30">
        <f>IFERROR(__xludf.DUMMYFUNCTION("""COMPUTED_VALUE"""),0.6977224424265023)</f>
        <v>0.6977224424</v>
      </c>
      <c r="AV683" s="32">
        <f>IFERROR(__xludf.DUMMYFUNCTION("""COMPUTED_VALUE"""),9.813568762324024)</f>
        <v>9.813568762</v>
      </c>
      <c r="AW683" s="32">
        <f>IFERROR(__xludf.DUMMYFUNCTION("""COMPUTED_VALUE"""),-18.526392205420635)</f>
        <v>-18.52639221</v>
      </c>
      <c r="AX683" s="32">
        <f>IFERROR(__xludf.DUMMYFUNCTION("""COMPUTED_VALUE"""),31.480871243542925)</f>
        <v>31.48087124</v>
      </c>
      <c r="AY683" s="32">
        <f>IFERROR(__xludf.DUMMYFUNCTION("""COMPUTED_VALUE"""),-4.358857321867055)</f>
        <v>-4.358857322</v>
      </c>
      <c r="AZ683" s="30">
        <f>IFERROR(__xludf.DUMMYFUNCTION("""COMPUTED_VALUE"""),14.167534883553579)</f>
        <v>14.16753488</v>
      </c>
      <c r="BA683" s="30">
        <f>IFERROR(__xludf.DUMMYFUNCTION("""COMPUTED_VALUE"""),2700.0)</f>
        <v>2700</v>
      </c>
    </row>
    <row r="684">
      <c r="A684" s="71" t="str">
        <f>IFERROR(__xludf.DUMMYFUNCTION("""COMPUTED_VALUE"""),"Prospect")</f>
        <v>Prospect</v>
      </c>
      <c r="B684" s="71" t="str">
        <f>IFERROR(__xludf.DUMMYFUNCTION("""COMPUTED_VALUE"""),"RSC007045")</f>
        <v>RSC007045</v>
      </c>
      <c r="C684" s="30" t="str">
        <f>IFERROR(__xludf.DUMMYFUNCTION("""COMPUTED_VALUE"""),"fetty_steve98")</f>
        <v>fetty_steve98</v>
      </c>
      <c r="D684" s="30" t="str">
        <f>IFERROR(__xludf.DUMMYFUNCTION("""COMPUTED_VALUE"""),"Blacktips")</f>
        <v>Blacktips</v>
      </c>
      <c r="E684" s="30">
        <f>IFERROR(__xludf.DUMMYFUNCTION("""COMPUTED_VALUE"""),32.0)</f>
        <v>32</v>
      </c>
      <c r="F684" s="30">
        <f>IFERROR(__xludf.DUMMYFUNCTION("""COMPUTED_VALUE"""),24.0)</f>
        <v>24</v>
      </c>
      <c r="G684" s="42">
        <f>IFERROR(__xludf.DUMMYFUNCTION("""COMPUTED_VALUE"""),8.0)</f>
        <v>8</v>
      </c>
      <c r="H684" s="42">
        <f>IFERROR(__xludf.DUMMYFUNCTION("""COMPUTED_VALUE"""),0.75)</f>
        <v>0.75</v>
      </c>
      <c r="I684" s="42">
        <f>IFERROR(__xludf.DUMMYFUNCTION("""COMPUTED_VALUE"""),0.3645833333333333)</f>
        <v>0.3645833333</v>
      </c>
      <c r="J684" s="30">
        <f>IFERROR(__xludf.DUMMYFUNCTION("""COMPUTED_VALUE"""),409.71875)</f>
        <v>409.71875</v>
      </c>
      <c r="K684" s="30">
        <f>IFERROR(__xludf.DUMMYFUNCTION("""COMPUTED_VALUE"""),1.09375)</f>
        <v>1.09375</v>
      </c>
      <c r="L684" s="30">
        <f>IFERROR(__xludf.DUMMYFUNCTION("""COMPUTED_VALUE"""),0.8125)</f>
        <v>0.8125</v>
      </c>
      <c r="M684" s="30">
        <f>IFERROR(__xludf.DUMMYFUNCTION("""COMPUTED_VALUE"""),1.15625)</f>
        <v>1.15625</v>
      </c>
      <c r="N684" s="30">
        <f>IFERROR(__xludf.DUMMYFUNCTION("""COMPUTED_VALUE"""),3.0)</f>
        <v>3</v>
      </c>
      <c r="O684" s="30">
        <f>IFERROR(__xludf.DUMMYFUNCTION("""COMPUTED_VALUE"""),305.88541666666674)</f>
        <v>305.8854167</v>
      </c>
      <c r="P684" s="30">
        <f>IFERROR(__xludf.DUMMYFUNCTION("""COMPUTED_VALUE"""),0.5937500000000001)</f>
        <v>0.59375</v>
      </c>
      <c r="Q684" s="30">
        <f>IFERROR(__xludf.DUMMYFUNCTION("""COMPUTED_VALUE"""),0.41666666666666663)</f>
        <v>0.4166666667</v>
      </c>
      <c r="R684" s="30">
        <f>IFERROR(__xludf.DUMMYFUNCTION("""COMPUTED_VALUE"""),1.208333333333333)</f>
        <v>1.208333333</v>
      </c>
      <c r="S684" s="30">
        <f>IFERROR(__xludf.DUMMYFUNCTION("""COMPUTED_VALUE"""),2.0625)</f>
        <v>2.0625</v>
      </c>
      <c r="T684" s="30">
        <f>IFERROR(__xludf.DUMMYFUNCTION("""COMPUTED_VALUE"""),330.63409325214246)</f>
        <v>330.6340933</v>
      </c>
      <c r="U684" s="30">
        <f>IFERROR(__xludf.DUMMYFUNCTION("""COMPUTED_VALUE"""),0.7360952662017568)</f>
        <v>0.7360952662</v>
      </c>
      <c r="V684" s="30">
        <f>IFERROR(__xludf.DUMMYFUNCTION("""COMPUTED_VALUE"""),0.512071154580727)</f>
        <v>0.5120711546</v>
      </c>
      <c r="W684" s="30">
        <f>IFERROR(__xludf.DUMMYFUNCTION("""COMPUTED_VALUE"""),1.2303662382481795)</f>
        <v>1.230366238</v>
      </c>
      <c r="X684" s="30">
        <f>IFERROR(__xludf.DUMMYFUNCTION("""COMPUTED_VALUE"""),2.4065788350463846)</f>
        <v>2.406578835</v>
      </c>
      <c r="Y684" s="30">
        <f>IFERROR(__xludf.DUMMYFUNCTION("""COMPUTED_VALUE"""),339.87187240973253)</f>
        <v>339.8718724</v>
      </c>
      <c r="Z684" s="30">
        <f>IFERROR(__xludf.DUMMYFUNCTION("""COMPUTED_VALUE"""),0.8024309722111372)</f>
        <v>0.8024309722</v>
      </c>
      <c r="AA684" s="30">
        <f>IFERROR(__xludf.DUMMYFUNCTION("""COMPUTED_VALUE"""),0.5379257529195)</f>
        <v>0.5379257529</v>
      </c>
      <c r="AB684" s="30">
        <f>IFERROR(__xludf.DUMMYFUNCTION("""COMPUTED_VALUE"""),1.2131317850994596)</f>
        <v>1.213131785</v>
      </c>
      <c r="AC684" s="30">
        <f>IFERROR(__xludf.DUMMYFUNCTION("""COMPUTED_VALUE"""),2.527170388818144)</f>
        <v>2.527170389</v>
      </c>
      <c r="AD684" s="30">
        <f>IFERROR(__xludf.DUMMYFUNCTION("""COMPUTED_VALUE"""),1.2055094382922737)</f>
        <v>1.205509438</v>
      </c>
      <c r="AE684" s="30">
        <f>IFERROR(__xludf.DUMMYFUNCTION("""COMPUTED_VALUE"""),1.3630455925524898)</f>
        <v>1.363045593</v>
      </c>
      <c r="AF684" s="30">
        <f>IFERROR(__xludf.DUMMYFUNCTION("""COMPUTED_VALUE"""),1.5104314965221415)</f>
        <v>1.510431497</v>
      </c>
      <c r="AG684" s="30">
        <f>IFERROR(__xludf.DUMMYFUNCTION("""COMPUTED_VALUE"""),0.9531116192007152)</f>
        <v>0.9531116192</v>
      </c>
      <c r="AH684" s="30">
        <f>IFERROR(__xludf.DUMMYFUNCTION("""COMPUTED_VALUE"""),1.1870984296405038)</f>
        <v>1.18709843</v>
      </c>
      <c r="AI684" s="30">
        <f>IFERROR(__xludf.DUMMYFUNCTION("""COMPUTED_VALUE"""),0.9251478383791404)</f>
        <v>0.9251478384</v>
      </c>
      <c r="AJ684" s="30">
        <f>IFERROR(__xludf.DUMMYFUNCTION("""COMPUTED_VALUE"""),0.8066211362338238)</f>
        <v>0.8066211362</v>
      </c>
      <c r="AK684" s="30">
        <f>IFERROR(__xludf.DUMMYFUNCTION("""COMPUTED_VALUE"""),0.8136890018884669)</f>
        <v>0.8136890019</v>
      </c>
      <c r="AL684" s="30">
        <f>IFERROR(__xludf.DUMMYFUNCTION("""COMPUTED_VALUE"""),0.9820924012461384)</f>
        <v>0.9820924012</v>
      </c>
      <c r="AM684" s="30">
        <f>IFERROR(__xludf.DUMMYFUNCTION("""COMPUTED_VALUE"""),0.8570257371021246)</f>
        <v>0.8570257371</v>
      </c>
      <c r="AN684" s="30">
        <f>IFERROR(__xludf.DUMMYFUNCTION("""COMPUTED_VALUE"""),1.2655741446088957)</f>
        <v>1.265574145</v>
      </c>
      <c r="AO684" s="30">
        <f>IFERROR(__xludf.DUMMYFUNCTION("""COMPUTED_VALUE"""),1.4829030104398)</f>
        <v>1.48290301</v>
      </c>
      <c r="AP684" s="30">
        <f>IFERROR(__xludf.DUMMYFUNCTION("""COMPUTED_VALUE"""),1.6466878052927783)</f>
        <v>1.646687805</v>
      </c>
      <c r="AQ684" s="30">
        <f>IFERROR(__xludf.DUMMYFUNCTION("""COMPUTED_VALUE"""),0.9586634720688135)</f>
        <v>0.9586634721</v>
      </c>
      <c r="AR684" s="30">
        <f>IFERROR(__xludf.DUMMYFUNCTION("""COMPUTED_VALUE"""),1.2736573024032256)</f>
        <v>1.273657302</v>
      </c>
      <c r="AS684" s="30">
        <f>IFERROR(__xludf.DUMMYFUNCTION("""COMPUTED_VALUE"""),95.0)</f>
        <v>95</v>
      </c>
      <c r="AT684" s="30">
        <f>IFERROR(__xludf.DUMMYFUNCTION("""COMPUTED_VALUE"""),0.6897357138936779)</f>
        <v>0.6897357139</v>
      </c>
      <c r="AU684" s="30">
        <f>IFERROR(__xludf.DUMMYFUNCTION("""COMPUTED_VALUE"""),3.4271655994679513)</f>
        <v>3.427165599</v>
      </c>
      <c r="AV684" s="32">
        <f>IFERROR(__xludf.DUMMYFUNCTION("""COMPUTED_VALUE"""),96.6431461021013)</f>
        <v>96.6431461</v>
      </c>
      <c r="AW684" s="32">
        <f>IFERROR(__xludf.DUMMYFUNCTION("""COMPUTED_VALUE"""),32.21663395232047)</f>
        <v>32.21663395</v>
      </c>
      <c r="AX684" s="32">
        <f>IFERROR(__xludf.DUMMYFUNCTION("""COMPUTED_VALUE"""),90.11583628623421)</f>
        <v>90.11583629</v>
      </c>
      <c r="AY684" s="32">
        <f>IFERROR(__xludf.DUMMYFUNCTION("""COMPUTED_VALUE"""),18.420532337692794)</f>
        <v>18.42053234</v>
      </c>
      <c r="AZ684" s="30">
        <f>IFERROR(__xludf.DUMMYFUNCTION("""COMPUTED_VALUE"""),13.796101614627677)</f>
        <v>13.79610161</v>
      </c>
      <c r="BA684" s="30">
        <f>IFERROR(__xludf.DUMMYFUNCTION("""COMPUTED_VALUE"""),2700.0)</f>
        <v>2700</v>
      </c>
    </row>
    <row r="685">
      <c r="A685" s="71" t="str">
        <f>IFERROR(__xludf.DUMMYFUNCTION("""COMPUTED_VALUE"""),"Prospect")</f>
        <v>Prospect</v>
      </c>
      <c r="B685" s="71" t="str">
        <f>IFERROR(__xludf.DUMMYFUNCTION("""COMPUTED_VALUE"""),"RSC005915")</f>
        <v>RSC005915</v>
      </c>
      <c r="C685" s="30" t="str">
        <f>IFERROR(__xludf.DUMMYFUNCTION("""COMPUTED_VALUE"""),"BromzaTheOldMan")</f>
        <v>BromzaTheOldMan</v>
      </c>
      <c r="D685" s="30" t="str">
        <f>IFERROR(__xludf.DUMMYFUNCTION("""COMPUTED_VALUE"""),"Honey Badgers")</f>
        <v>Honey Badgers</v>
      </c>
      <c r="E685" s="30">
        <f>IFERROR(__xludf.DUMMYFUNCTION("""COMPUTED_VALUE"""),36.0)</f>
        <v>36</v>
      </c>
      <c r="F685" s="30">
        <f>IFERROR(__xludf.DUMMYFUNCTION("""COMPUTED_VALUE"""),21.0)</f>
        <v>21</v>
      </c>
      <c r="G685" s="42">
        <f>IFERROR(__xludf.DUMMYFUNCTION("""COMPUTED_VALUE"""),15.0)</f>
        <v>15</v>
      </c>
      <c r="H685" s="42">
        <f>IFERROR(__xludf.DUMMYFUNCTION("""COMPUTED_VALUE"""),0.5833333333333334)</f>
        <v>0.5833333333</v>
      </c>
      <c r="I685" s="42">
        <f>IFERROR(__xludf.DUMMYFUNCTION("""COMPUTED_VALUE"""),0.43636363636363634)</f>
        <v>0.4363636364</v>
      </c>
      <c r="J685" s="30">
        <f>IFERROR(__xludf.DUMMYFUNCTION("""COMPUTED_VALUE"""),408.1111111111111)</f>
        <v>408.1111111</v>
      </c>
      <c r="K685" s="30">
        <f>IFERROR(__xludf.DUMMYFUNCTION("""COMPUTED_VALUE"""),1.3333333333333333)</f>
        <v>1.333333333</v>
      </c>
      <c r="L685" s="30">
        <f>IFERROR(__xludf.DUMMYFUNCTION("""COMPUTED_VALUE"""),0.4444444444444444)</f>
        <v>0.4444444444</v>
      </c>
      <c r="M685" s="30">
        <f>IFERROR(__xludf.DUMMYFUNCTION("""COMPUTED_VALUE"""),1.2777777777777777)</f>
        <v>1.277777778</v>
      </c>
      <c r="N685" s="30">
        <f>IFERROR(__xludf.DUMMYFUNCTION("""COMPUTED_VALUE"""),3.0555555555555554)</f>
        <v>3.055555556</v>
      </c>
      <c r="O685" s="30">
        <f>IFERROR(__xludf.DUMMYFUNCTION("""COMPUTED_VALUE"""),334.6666666666667)</f>
        <v>334.6666667</v>
      </c>
      <c r="P685" s="30">
        <f>IFERROR(__xludf.DUMMYFUNCTION("""COMPUTED_VALUE"""),0.712962962962963)</f>
        <v>0.712962963</v>
      </c>
      <c r="Q685" s="30">
        <f>IFERROR(__xludf.DUMMYFUNCTION("""COMPUTED_VALUE"""),0.5370370370370371)</f>
        <v>0.537037037</v>
      </c>
      <c r="R685" s="30">
        <f>IFERROR(__xludf.DUMMYFUNCTION("""COMPUTED_VALUE"""),1.222222222222222)</f>
        <v>1.222222222</v>
      </c>
      <c r="S685" s="30">
        <f>IFERROR(__xludf.DUMMYFUNCTION("""COMPUTED_VALUE"""),2.4537037037037037)</f>
        <v>2.453703704</v>
      </c>
      <c r="T685" s="30">
        <f>IFERROR(__xludf.DUMMYFUNCTION("""COMPUTED_VALUE"""),337.4261043103597)</f>
        <v>337.4261043</v>
      </c>
      <c r="U685" s="30">
        <f>IFERROR(__xludf.DUMMYFUNCTION("""COMPUTED_VALUE"""),0.7790603041244454)</f>
        <v>0.7790603041</v>
      </c>
      <c r="V685" s="30">
        <f>IFERROR(__xludf.DUMMYFUNCTION("""COMPUTED_VALUE"""),0.5415746717608739)</f>
        <v>0.5415746718</v>
      </c>
      <c r="W685" s="30">
        <f>IFERROR(__xludf.DUMMYFUNCTION("""COMPUTED_VALUE"""),1.228065232490681)</f>
        <v>1.228065232</v>
      </c>
      <c r="X685" s="30">
        <f>IFERROR(__xludf.DUMMYFUNCTION("""COMPUTED_VALUE"""),2.395000271234211)</f>
        <v>2.395000271</v>
      </c>
      <c r="Y685" s="30">
        <f>IFERROR(__xludf.DUMMYFUNCTION("""COMPUTED_VALUE"""),334.439959497796)</f>
        <v>334.4399595</v>
      </c>
      <c r="Z685" s="30">
        <f>IFERROR(__xludf.DUMMYFUNCTION("""COMPUTED_VALUE"""),0.8105849774394914)</f>
        <v>0.8105849774</v>
      </c>
      <c r="AA685" s="30">
        <f>IFERROR(__xludf.DUMMYFUNCTION("""COMPUTED_VALUE"""),0.5229552365620439)</f>
        <v>0.5229552366</v>
      </c>
      <c r="AB685" s="30">
        <f>IFERROR(__xludf.DUMMYFUNCTION("""COMPUTED_VALUE"""),1.1730279987521535)</f>
        <v>1.173027999</v>
      </c>
      <c r="AC685" s="30">
        <f>IFERROR(__xludf.DUMMYFUNCTION("""COMPUTED_VALUE"""),2.4644456627528424)</f>
        <v>2.464445663</v>
      </c>
      <c r="AD685" s="30">
        <f>IFERROR(__xludf.DUMMYFUNCTION("""COMPUTED_VALUE"""),1.2202821448846652)</f>
        <v>1.220282145</v>
      </c>
      <c r="AE685" s="30">
        <f>IFERROR(__xludf.DUMMYFUNCTION("""COMPUTED_VALUE"""),1.6449025955861167)</f>
        <v>1.644902596</v>
      </c>
      <c r="AF685" s="30">
        <f>IFERROR(__xludf.DUMMYFUNCTION("""COMPUTED_VALUE"""),0.8498709131708161)</f>
        <v>0.8498709132</v>
      </c>
      <c r="AG685" s="30">
        <f>IFERROR(__xludf.DUMMYFUNCTION("""COMPUTED_VALUE"""),1.0892986178821435)</f>
        <v>1.089298618</v>
      </c>
      <c r="AH685" s="30">
        <f>IFERROR(__xludf.DUMMYFUNCTION("""COMPUTED_VALUE"""),1.23985511295162)</f>
        <v>1.239855113</v>
      </c>
      <c r="AI685" s="30">
        <f>IFERROR(__xludf.DUMMYFUNCTION("""COMPUTED_VALUE"""),0.9918220979099029)</f>
        <v>0.9918220979</v>
      </c>
      <c r="AJ685" s="30">
        <f>IFERROR(__xludf.DUMMYFUNCTION("""COMPUTED_VALUE"""),0.9151576061422273)</f>
        <v>0.9151576061</v>
      </c>
      <c r="AK685" s="30">
        <f>IFERROR(__xludf.DUMMYFUNCTION("""COMPUTED_VALUE"""),0.9916214052088456)</f>
        <v>0.9916214052</v>
      </c>
      <c r="AL685" s="30">
        <f>IFERROR(__xludf.DUMMYFUNCTION("""COMPUTED_VALUE"""),0.9952421010595599)</f>
        <v>0.9952421011</v>
      </c>
      <c r="AM685" s="30">
        <f>IFERROR(__xludf.DUMMYFUNCTION("""COMPUTED_VALUE"""),1.024510824977586)</f>
        <v>1.024510825</v>
      </c>
      <c r="AN685" s="30">
        <f>IFERROR(__xludf.DUMMYFUNCTION("""COMPUTED_VALUE"""),1.260608332788847)</f>
        <v>1.260608333</v>
      </c>
      <c r="AO685" s="30">
        <f>IFERROR(__xludf.DUMMYFUNCTION("""COMPUTED_VALUE"""),1.8077293841551847)</f>
        <v>1.807729384</v>
      </c>
      <c r="AP685" s="30">
        <f>IFERROR(__xludf.DUMMYFUNCTION("""COMPUTED_VALUE"""),0.9007523037498958)</f>
        <v>0.9007523037</v>
      </c>
      <c r="AQ685" s="30">
        <f>IFERROR(__xludf.DUMMYFUNCTION("""COMPUTED_VALUE"""),1.059423897061031)</f>
        <v>1.059423897</v>
      </c>
      <c r="AR685" s="30">
        <f>IFERROR(__xludf.DUMMYFUNCTION("""COMPUTED_VALUE"""),1.2972435487440261)</f>
        <v>1.297243549</v>
      </c>
      <c r="AS685" s="30">
        <f>IFERROR(__xludf.DUMMYFUNCTION("""COMPUTED_VALUE"""),98.0)</f>
        <v>98</v>
      </c>
      <c r="AT685" s="30">
        <f>IFERROR(__xludf.DUMMYFUNCTION("""COMPUTED_VALUE"""),0.5937926226789796)</f>
        <v>0.5937926227</v>
      </c>
      <c r="AU685" s="30">
        <f>IFERROR(__xludf.DUMMYFUNCTION("""COMPUTED_VALUE"""),3.1864453466458023)</f>
        <v>3.186445347</v>
      </c>
      <c r="AV685" s="32">
        <f>IFERROR(__xludf.DUMMYFUNCTION("""COMPUTED_VALUE"""),88.98530653297556)</f>
        <v>88.98530653</v>
      </c>
      <c r="AW685" s="32">
        <f>IFERROR(__xludf.DUMMYFUNCTION("""COMPUTED_VALUE"""),16.821022523127407)</f>
        <v>16.82102252</v>
      </c>
      <c r="AX685" s="32">
        <f>IFERROR(__xludf.DUMMYFUNCTION("""COMPUTED_VALUE"""),72.19986652866139)</f>
        <v>72.19986653</v>
      </c>
      <c r="AY685" s="32">
        <f>IFERROR(__xludf.DUMMYFUNCTION("""COMPUTED_VALUE"""),5.339831935241833)</f>
        <v>5.339831935</v>
      </c>
      <c r="AZ685" s="30">
        <f>IFERROR(__xludf.DUMMYFUNCTION("""COMPUTED_VALUE"""),11.481190587885575)</f>
        <v>11.48119059</v>
      </c>
      <c r="BA685" s="30">
        <f>IFERROR(__xludf.DUMMYFUNCTION("""COMPUTED_VALUE"""),2700.0)</f>
        <v>2700</v>
      </c>
    </row>
    <row r="686">
      <c r="A686" s="71" t="str">
        <f>IFERROR(__xludf.DUMMYFUNCTION("""COMPUTED_VALUE"""),"Prospect")</f>
        <v>Prospect</v>
      </c>
      <c r="B686" s="71" t="str">
        <f>IFERROR(__xludf.DUMMYFUNCTION("""COMPUTED_VALUE"""),"RSC006934")</f>
        <v>RSC006934</v>
      </c>
      <c r="C686" s="30" t="str">
        <f>IFERROR(__xludf.DUMMYFUNCTION("""COMPUTED_VALUE"""),"TPM_CheezeTV")</f>
        <v>TPM_CheezeTV</v>
      </c>
      <c r="D686" s="30" t="str">
        <f>IFERROR(__xludf.DUMMYFUNCTION("""COMPUTED_VALUE"""),"Gloom")</f>
        <v>Gloom</v>
      </c>
      <c r="E686" s="30">
        <f>IFERROR(__xludf.DUMMYFUNCTION("""COMPUTED_VALUE"""),6.0)</f>
        <v>6</v>
      </c>
      <c r="F686" s="30">
        <f>IFERROR(__xludf.DUMMYFUNCTION("""COMPUTED_VALUE"""),5.0)</f>
        <v>5</v>
      </c>
      <c r="G686" s="42">
        <f>IFERROR(__xludf.DUMMYFUNCTION("""COMPUTED_VALUE"""),1.0)</f>
        <v>1</v>
      </c>
      <c r="H686" s="42">
        <f>IFERROR(__xludf.DUMMYFUNCTION("""COMPUTED_VALUE"""),0.8333333333333334)</f>
        <v>0.8333333333</v>
      </c>
      <c r="I686" s="42">
        <f>IFERROR(__xludf.DUMMYFUNCTION("""COMPUTED_VALUE"""),0.5384615384615385)</f>
        <v>0.5384615385</v>
      </c>
      <c r="J686" s="30">
        <f>IFERROR(__xludf.DUMMYFUNCTION("""COMPUTED_VALUE"""),398.8333333333333)</f>
        <v>398.8333333</v>
      </c>
      <c r="K686" s="30">
        <f>IFERROR(__xludf.DUMMYFUNCTION("""COMPUTED_VALUE"""),1.1666666666666667)</f>
        <v>1.166666667</v>
      </c>
      <c r="L686" s="30">
        <f>IFERROR(__xludf.DUMMYFUNCTION("""COMPUTED_VALUE"""),0.5)</f>
        <v>0.5</v>
      </c>
      <c r="M686" s="30">
        <f>IFERROR(__xludf.DUMMYFUNCTION("""COMPUTED_VALUE"""),1.8333333333333333)</f>
        <v>1.833333333</v>
      </c>
      <c r="N686" s="30">
        <f>IFERROR(__xludf.DUMMYFUNCTION("""COMPUTED_VALUE"""),2.1666666666666665)</f>
        <v>2.166666667</v>
      </c>
      <c r="O686" s="30">
        <f>IFERROR(__xludf.DUMMYFUNCTION("""COMPUTED_VALUE"""),275.05555555555554)</f>
        <v>275.0555556</v>
      </c>
      <c r="P686" s="30">
        <f>IFERROR(__xludf.DUMMYFUNCTION("""COMPUTED_VALUE"""),0.611111111111111)</f>
        <v>0.6111111111</v>
      </c>
      <c r="Q686" s="30">
        <f>IFERROR(__xludf.DUMMYFUNCTION("""COMPUTED_VALUE"""),0.3333333333333333)</f>
        <v>0.3333333333</v>
      </c>
      <c r="R686" s="30">
        <f>IFERROR(__xludf.DUMMYFUNCTION("""COMPUTED_VALUE"""),1.0555555555555556)</f>
        <v>1.055555556</v>
      </c>
      <c r="S686" s="30">
        <f>IFERROR(__xludf.DUMMYFUNCTION("""COMPUTED_VALUE"""),3.0)</f>
        <v>3</v>
      </c>
      <c r="T686" s="30">
        <f>IFERROR(__xludf.DUMMYFUNCTION("""COMPUTED_VALUE"""),354.1812942203492)</f>
        <v>354.1812942</v>
      </c>
      <c r="U686" s="30">
        <f>IFERROR(__xludf.DUMMYFUNCTION("""COMPUTED_VALUE"""),0.9066045198304661)</f>
        <v>0.9066045198</v>
      </c>
      <c r="V686" s="30">
        <f>IFERROR(__xludf.DUMMYFUNCTION("""COMPUTED_VALUE"""),0.531081587648196)</f>
        <v>0.5310815876</v>
      </c>
      <c r="W686" s="30">
        <f>IFERROR(__xludf.DUMMYFUNCTION("""COMPUTED_VALUE"""),1.2717750466624997)</f>
        <v>1.271775047</v>
      </c>
      <c r="X686" s="30">
        <f>IFERROR(__xludf.DUMMYFUNCTION("""COMPUTED_VALUE"""),2.6581018585512983)</f>
        <v>2.658101859</v>
      </c>
      <c r="Y686" s="30">
        <f>IFERROR(__xludf.DUMMYFUNCTION("""COMPUTED_VALUE"""),343.103182194322)</f>
        <v>343.1031822</v>
      </c>
      <c r="Z686" s="30">
        <f>IFERROR(__xludf.DUMMYFUNCTION("""COMPUTED_VALUE"""),0.8138310461368747)</f>
        <v>0.8138310461</v>
      </c>
      <c r="AA686" s="30">
        <f>IFERROR(__xludf.DUMMYFUNCTION("""COMPUTED_VALUE"""),0.5220152250897628)</f>
        <v>0.5220152251</v>
      </c>
      <c r="AB686" s="30">
        <f>IFERROR(__xludf.DUMMYFUNCTION("""COMPUTED_VALUE"""),1.2357165934413257)</f>
        <v>1.235716593</v>
      </c>
      <c r="AC686" s="30">
        <f>IFERROR(__xludf.DUMMYFUNCTION("""COMPUTED_VALUE"""),2.564511501882066)</f>
        <v>2.564511502</v>
      </c>
      <c r="AD686" s="30">
        <f>IFERROR(__xludf.DUMMYFUNCTION("""COMPUTED_VALUE"""),1.162429712200826)</f>
        <v>1.162429712</v>
      </c>
      <c r="AE686" s="30">
        <f>IFERROR(__xludf.DUMMYFUNCTION("""COMPUTED_VALUE"""),1.4335489807185975)</f>
        <v>1.433548981</v>
      </c>
      <c r="AF686" s="30">
        <f>IFERROR(__xludf.DUMMYFUNCTION("""COMPUTED_VALUE"""),0.9578264693602045)</f>
        <v>0.9578264694</v>
      </c>
      <c r="AG686" s="30">
        <f>IFERROR(__xludf.DUMMYFUNCTION("""COMPUTED_VALUE"""),1.4836195799780556)</f>
        <v>1.48361958</v>
      </c>
      <c r="AH686" s="30">
        <f>IFERROR(__xludf.DUMMYFUNCTION("""COMPUTED_VALUE"""),0.8448652560445037)</f>
        <v>0.844865256</v>
      </c>
      <c r="AI686" s="30">
        <f>IFERROR(__xludf.DUMMYFUNCTION("""COMPUTED_VALUE"""),0.7765953765599868)</f>
        <v>0.7765953766</v>
      </c>
      <c r="AJ686" s="30">
        <f>IFERROR(__xludf.DUMMYFUNCTION("""COMPUTED_VALUE"""),0.6740658112154438)</f>
        <v>0.6740658112</v>
      </c>
      <c r="AK686" s="30">
        <f>IFERROR(__xludf.DUMMYFUNCTION("""COMPUTED_VALUE"""),0.6276499526361721)</f>
        <v>0.6276499526</v>
      </c>
      <c r="AL686" s="30">
        <f>IFERROR(__xludf.DUMMYFUNCTION("""COMPUTED_VALUE"""),0.8299860563592864)</f>
        <v>0.8299860564</v>
      </c>
      <c r="AM686" s="30">
        <f>IFERROR(__xludf.DUMMYFUNCTION("""COMPUTED_VALUE"""),1.1286249209558286)</f>
        <v>1.128624921</v>
      </c>
      <c r="AN686" s="30">
        <f>IFERROR(__xludf.DUMMYFUNCTION("""COMPUTED_VALUE"""),1.2319503431923677)</f>
        <v>1.231950343</v>
      </c>
      <c r="AO686" s="30">
        <f>IFERROR(__xludf.DUMMYFUNCTION("""COMPUTED_VALUE"""),1.5817632111357869)</f>
        <v>1.581763211</v>
      </c>
      <c r="AP686" s="30">
        <f>IFERROR(__xludf.DUMMYFUNCTION("""COMPUTED_VALUE"""),1.0133463417186328)</f>
        <v>1.013346342</v>
      </c>
      <c r="AQ686" s="30">
        <f>IFERROR(__xludf.DUMMYFUNCTION("""COMPUTED_VALUE"""),1.5200429827397404)</f>
        <v>1.520042983</v>
      </c>
      <c r="AR686" s="30">
        <f>IFERROR(__xludf.DUMMYFUNCTION("""COMPUTED_VALUE"""),0.9198636072912185)</f>
        <v>0.9198636073</v>
      </c>
      <c r="AS686" s="30">
        <f>IFERROR(__xludf.DUMMYFUNCTION("""COMPUTED_VALUE"""),20.0)</f>
        <v>20</v>
      </c>
      <c r="AT686" s="30">
        <f>IFERROR(__xludf.DUMMYFUNCTION("""COMPUTED_VALUE"""),0.7226808272582861)</f>
        <v>0.7226808273</v>
      </c>
      <c r="AU686" s="30">
        <f>IFERROR(__xludf.DUMMYFUNCTION("""COMPUTED_VALUE"""),2.8883996128042604)</f>
        <v>2.888399613</v>
      </c>
      <c r="AV686" s="32">
        <f>IFERROR(__xludf.DUMMYFUNCTION("""COMPUTED_VALUE"""),79.50381759607595)</f>
        <v>79.5038176</v>
      </c>
      <c r="AW686" s="32">
        <f>IFERROR(__xludf.DUMMYFUNCTION("""COMPUTED_VALUE"""),8.405498528817105)</f>
        <v>8.405498529</v>
      </c>
      <c r="AX686" s="32">
        <f>IFERROR(__xludf.DUMMYFUNCTION("""COMPUTED_VALUE"""),43.85999376227423)</f>
        <v>43.85999376</v>
      </c>
      <c r="AY686" s="32">
        <f>IFERROR(__xludf.DUMMYFUNCTION("""COMPUTED_VALUE"""),-2.481415143300746)</f>
        <v>-2.481415143</v>
      </c>
      <c r="AZ686" s="30">
        <f>IFERROR(__xludf.DUMMYFUNCTION("""COMPUTED_VALUE"""),10.886913672117851)</f>
        <v>10.88691367</v>
      </c>
      <c r="BA686" s="30">
        <f>IFERROR(__xludf.DUMMYFUNCTION("""COMPUTED_VALUE"""),2700.0)</f>
        <v>2700</v>
      </c>
    </row>
    <row r="687">
      <c r="A687" s="71" t="str">
        <f>IFERROR(__xludf.DUMMYFUNCTION("""COMPUTED_VALUE"""),"Prospect")</f>
        <v>Prospect</v>
      </c>
      <c r="B687" s="71" t="str">
        <f>IFERROR(__xludf.DUMMYFUNCTION("""COMPUTED_VALUE"""),"RSC000962")</f>
        <v>RSC000962</v>
      </c>
      <c r="C687" s="30" t="str">
        <f>IFERROR(__xludf.DUMMYFUNCTION("""COMPUTED_VALUE"""),"pythagorjags")</f>
        <v>pythagorjags</v>
      </c>
      <c r="D687" s="30" t="str">
        <f>IFERROR(__xludf.DUMMYFUNCTION("""COMPUTED_VALUE"""),"Hawaiian Pizza")</f>
        <v>Hawaiian Pizza</v>
      </c>
      <c r="E687" s="30">
        <f>IFERROR(__xludf.DUMMYFUNCTION("""COMPUTED_VALUE"""),32.0)</f>
        <v>32</v>
      </c>
      <c r="F687" s="30">
        <f>IFERROR(__xludf.DUMMYFUNCTION("""COMPUTED_VALUE"""),21.0)</f>
        <v>21</v>
      </c>
      <c r="G687" s="42">
        <f>IFERROR(__xludf.DUMMYFUNCTION("""COMPUTED_VALUE"""),11.0)</f>
        <v>11</v>
      </c>
      <c r="H687" s="42">
        <f>IFERROR(__xludf.DUMMYFUNCTION("""COMPUTED_VALUE"""),0.65625)</f>
        <v>0.65625</v>
      </c>
      <c r="I687" s="42">
        <f>IFERROR(__xludf.DUMMYFUNCTION("""COMPUTED_VALUE"""),0.4367816091954023)</f>
        <v>0.4367816092</v>
      </c>
      <c r="J687" s="30">
        <f>IFERROR(__xludf.DUMMYFUNCTION("""COMPUTED_VALUE"""),389.84375)</f>
        <v>389.84375</v>
      </c>
      <c r="K687" s="30">
        <f>IFERROR(__xludf.DUMMYFUNCTION("""COMPUTED_VALUE"""),1.1875)</f>
        <v>1.1875</v>
      </c>
      <c r="L687" s="30">
        <f>IFERROR(__xludf.DUMMYFUNCTION("""COMPUTED_VALUE"""),0.5625)</f>
        <v>0.5625</v>
      </c>
      <c r="M687" s="30">
        <f>IFERROR(__xludf.DUMMYFUNCTION("""COMPUTED_VALUE"""),1.1875)</f>
        <v>1.1875</v>
      </c>
      <c r="N687" s="30">
        <f>IFERROR(__xludf.DUMMYFUNCTION("""COMPUTED_VALUE"""),2.71875)</f>
        <v>2.71875</v>
      </c>
      <c r="O687" s="30">
        <f>IFERROR(__xludf.DUMMYFUNCTION("""COMPUTED_VALUE"""),313.09375000000006)</f>
        <v>313.09375</v>
      </c>
      <c r="P687" s="30">
        <f>IFERROR(__xludf.DUMMYFUNCTION("""COMPUTED_VALUE"""),0.6354166666666666)</f>
        <v>0.6354166667</v>
      </c>
      <c r="Q687" s="30">
        <f>IFERROR(__xludf.DUMMYFUNCTION("""COMPUTED_VALUE"""),0.4583333333333333)</f>
        <v>0.4583333333</v>
      </c>
      <c r="R687" s="30">
        <f>IFERROR(__xludf.DUMMYFUNCTION("""COMPUTED_VALUE"""),1.135416666666667)</f>
        <v>1.135416667</v>
      </c>
      <c r="S687" s="30">
        <f>IFERROR(__xludf.DUMMYFUNCTION("""COMPUTED_VALUE"""),2.354166666666668)</f>
        <v>2.354166667</v>
      </c>
      <c r="T687" s="30">
        <f>IFERROR(__xludf.DUMMYFUNCTION("""COMPUTED_VALUE"""),328.3428623366451)</f>
        <v>328.3428623</v>
      </c>
      <c r="U687" s="30">
        <f>IFERROR(__xludf.DUMMYFUNCTION("""COMPUTED_VALUE"""),0.7429877909937034)</f>
        <v>0.742987791</v>
      </c>
      <c r="V687" s="30">
        <f>IFERROR(__xludf.DUMMYFUNCTION("""COMPUTED_VALUE"""),0.524175116235864)</f>
        <v>0.5241751162</v>
      </c>
      <c r="W687" s="30">
        <f>IFERROR(__xludf.DUMMYFUNCTION("""COMPUTED_VALUE"""),1.154615000803836)</f>
        <v>1.154615001</v>
      </c>
      <c r="X687" s="30">
        <f>IFERROR(__xludf.DUMMYFUNCTION("""COMPUTED_VALUE"""),2.469281010318253)</f>
        <v>2.46928101</v>
      </c>
      <c r="Y687" s="30">
        <f>IFERROR(__xludf.DUMMYFUNCTION("""COMPUTED_VALUE"""),336.40714188829475)</f>
        <v>336.4071419</v>
      </c>
      <c r="Z687" s="30">
        <f>IFERROR(__xludf.DUMMYFUNCTION("""COMPUTED_VALUE"""),0.808506389576078)</f>
        <v>0.8085063896</v>
      </c>
      <c r="AA687" s="30">
        <f>IFERROR(__xludf.DUMMYFUNCTION("""COMPUTED_VALUE"""),0.523757404059358)</f>
        <v>0.5237574041</v>
      </c>
      <c r="AB687" s="30">
        <f>IFERROR(__xludf.DUMMYFUNCTION("""COMPUTED_VALUE"""),1.2580148985271742)</f>
        <v>1.258014899</v>
      </c>
      <c r="AC687" s="30">
        <f>IFERROR(__xludf.DUMMYFUNCTION("""COMPUTED_VALUE"""),2.3645145497251416)</f>
        <v>2.36451455</v>
      </c>
      <c r="AD687" s="30">
        <f>IFERROR(__xludf.DUMMYFUNCTION("""COMPUTED_VALUE"""),1.1588450465461553)</f>
        <v>1.158845047</v>
      </c>
      <c r="AE687" s="30">
        <f>IFERROR(__xludf.DUMMYFUNCTION("""COMPUTED_VALUE"""),1.4687577183188851)</f>
        <v>1.468757718</v>
      </c>
      <c r="AF687" s="30">
        <f>IFERROR(__xludf.DUMMYFUNCTION("""COMPUTED_VALUE"""),1.073970497868611)</f>
        <v>1.073970498</v>
      </c>
      <c r="AG687" s="30">
        <f>IFERROR(__xludf.DUMMYFUNCTION("""COMPUTED_VALUE"""),0.9439474853519384)</f>
        <v>0.9439474854</v>
      </c>
      <c r="AH687" s="30">
        <f>IFERROR(__xludf.DUMMYFUNCTION("""COMPUTED_VALUE"""),1.1498131827169495)</f>
        <v>1.149813183</v>
      </c>
      <c r="AI687" s="30">
        <f>IFERROR(__xludf.DUMMYFUNCTION("""COMPUTED_VALUE"""),0.9535573509101887)</f>
        <v>0.9535573509</v>
      </c>
      <c r="AJ687" s="30">
        <f>IFERROR(__xludf.DUMMYFUNCTION("""COMPUTED_VALUE"""),0.8552181803914078)</f>
        <v>0.8552181804</v>
      </c>
      <c r="AK687" s="30">
        <f>IFERROR(__xludf.DUMMYFUNCTION("""COMPUTED_VALUE"""),0.8743897204137715)</f>
        <v>0.8743897204</v>
      </c>
      <c r="AL687" s="30">
        <f>IFERROR(__xludf.DUMMYFUNCTION("""COMPUTED_VALUE"""),0.9833725232014106)</f>
        <v>0.9833725232</v>
      </c>
      <c r="AM687" s="30">
        <f>IFERROR(__xludf.DUMMYFUNCTION("""COMPUTED_VALUE"""),0.9533814324207885)</f>
        <v>0.9533814324</v>
      </c>
      <c r="AN687" s="30">
        <f>IFERROR(__xludf.DUMMYFUNCTION("""COMPUTED_VALUE"""),1.2041825531230246)</f>
        <v>1.204182553</v>
      </c>
      <c r="AO687" s="30">
        <f>IFERROR(__xludf.DUMMYFUNCTION("""COMPUTED_VALUE"""),1.6100089827632116)</f>
        <v>1.610008983</v>
      </c>
      <c r="AP687" s="30">
        <f>IFERROR(__xludf.DUMMYFUNCTION("""COMPUTED_VALUE"""),1.1400146344334618)</f>
        <v>1.140014634</v>
      </c>
      <c r="AQ687" s="30">
        <f>IFERROR(__xludf.DUMMYFUNCTION("""COMPUTED_VALUE"""),0.9845732956382409)</f>
        <v>0.9845732956</v>
      </c>
      <c r="AR687" s="30">
        <f>IFERROR(__xludf.DUMMYFUNCTION("""COMPUTED_VALUE"""),1.1542519303029233)</f>
        <v>1.15425193</v>
      </c>
      <c r="AS687" s="30">
        <f>IFERROR(__xludf.DUMMYFUNCTION("""COMPUTED_VALUE"""),89.0)</f>
        <v>89</v>
      </c>
      <c r="AT687" s="30">
        <f>IFERROR(__xludf.DUMMYFUNCTION("""COMPUTED_VALUE"""),0.643031021047631)</f>
        <v>0.643031021</v>
      </c>
      <c r="AU687" s="30">
        <f>IFERROR(__xludf.DUMMYFUNCTION("""COMPUTED_VALUE"""),3.0768971354810524)</f>
        <v>3.076897135</v>
      </c>
      <c r="AV687" s="32">
        <f>IFERROR(__xludf.DUMMYFUNCTION("""COMPUTED_VALUE"""),85.50033750212225)</f>
        <v>85.5003375</v>
      </c>
      <c r="AW687" s="32">
        <f>IFERROR(__xludf.DUMMYFUNCTION("""COMPUTED_VALUE"""),12.853160603607138)</f>
        <v>12.8531606</v>
      </c>
      <c r="AX687" s="32">
        <f>IFERROR(__xludf.DUMMYFUNCTION("""COMPUTED_VALUE"""),67.15807421364921)</f>
        <v>67.15807421</v>
      </c>
      <c r="AY687" s="32">
        <f>IFERROR(__xludf.DUMMYFUNCTION("""COMPUTED_VALUE"""),4.060835637044682)</f>
        <v>4.060835637</v>
      </c>
      <c r="AZ687" s="30">
        <f>IFERROR(__xludf.DUMMYFUNCTION("""COMPUTED_VALUE"""),8.792324966562457)</f>
        <v>8.792324967</v>
      </c>
      <c r="BA687" s="30">
        <f>IFERROR(__xludf.DUMMYFUNCTION("""COMPUTED_VALUE"""),2700.0)</f>
        <v>2700</v>
      </c>
    </row>
    <row r="688">
      <c r="A688" s="71" t="str">
        <f>IFERROR(__xludf.DUMMYFUNCTION("""COMPUTED_VALUE"""),"Prospect")</f>
        <v>Prospect</v>
      </c>
      <c r="B688" s="71" t="str">
        <f>IFERROR(__xludf.DUMMYFUNCTION("""COMPUTED_VALUE"""),"RSC005909")</f>
        <v>RSC005909</v>
      </c>
      <c r="C688" s="30" t="str">
        <f>IFERROR(__xludf.DUMMYFUNCTION("""COMPUTED_VALUE"""),"YadiCraft")</f>
        <v>YadiCraft</v>
      </c>
      <c r="D688" s="30"/>
      <c r="E688" s="30">
        <f>IFERROR(__xludf.DUMMYFUNCTION("""COMPUTED_VALUE"""),4.0)</f>
        <v>4</v>
      </c>
      <c r="F688" s="30">
        <f>IFERROR(__xludf.DUMMYFUNCTION("""COMPUTED_VALUE"""),2.0)</f>
        <v>2</v>
      </c>
      <c r="G688" s="42">
        <f>IFERROR(__xludf.DUMMYFUNCTION("""COMPUTED_VALUE"""),2.0)</f>
        <v>2</v>
      </c>
      <c r="H688" s="42">
        <f>IFERROR(__xludf.DUMMYFUNCTION("""COMPUTED_VALUE"""),0.5)</f>
        <v>0.5</v>
      </c>
      <c r="I688" s="42">
        <f>IFERROR(__xludf.DUMMYFUNCTION("""COMPUTED_VALUE"""),0.25)</f>
        <v>0.25</v>
      </c>
      <c r="J688" s="30">
        <f>IFERROR(__xludf.DUMMYFUNCTION("""COMPUTED_VALUE"""),305.5)</f>
        <v>305.5</v>
      </c>
      <c r="K688" s="30">
        <f>IFERROR(__xludf.DUMMYFUNCTION("""COMPUTED_VALUE"""),0.5)</f>
        <v>0.5</v>
      </c>
      <c r="L688" s="30">
        <f>IFERROR(__xludf.DUMMYFUNCTION("""COMPUTED_VALUE"""),0.25)</f>
        <v>0.25</v>
      </c>
      <c r="M688" s="30">
        <f>IFERROR(__xludf.DUMMYFUNCTION("""COMPUTED_VALUE"""),1.75)</f>
        <v>1.75</v>
      </c>
      <c r="N688" s="30">
        <f>IFERROR(__xludf.DUMMYFUNCTION("""COMPUTED_VALUE"""),2.0)</f>
        <v>2</v>
      </c>
      <c r="O688" s="30">
        <f>IFERROR(__xludf.DUMMYFUNCTION("""COMPUTED_VALUE"""),286.5)</f>
        <v>286.5</v>
      </c>
      <c r="P688" s="30">
        <f>IFERROR(__xludf.DUMMYFUNCTION("""COMPUTED_VALUE"""),0.6666666666666667)</f>
        <v>0.6666666667</v>
      </c>
      <c r="Q688" s="30">
        <f>IFERROR(__xludf.DUMMYFUNCTION("""COMPUTED_VALUE"""),0.5)</f>
        <v>0.5</v>
      </c>
      <c r="R688" s="30">
        <f>IFERROR(__xludf.DUMMYFUNCTION("""COMPUTED_VALUE"""),1.0)</f>
        <v>1</v>
      </c>
      <c r="S688" s="30">
        <f>IFERROR(__xludf.DUMMYFUNCTION("""COMPUTED_VALUE"""),2.166666666666667)</f>
        <v>2.166666667</v>
      </c>
      <c r="T688" s="30">
        <f>IFERROR(__xludf.DUMMYFUNCTION("""COMPUTED_VALUE"""),292.6103213166145)</f>
        <v>292.6103213</v>
      </c>
      <c r="U688" s="30">
        <f>IFERROR(__xludf.DUMMYFUNCTION("""COMPUTED_VALUE"""),0.6043416927899687)</f>
        <v>0.6043416928</v>
      </c>
      <c r="V688" s="30">
        <f>IFERROR(__xludf.DUMMYFUNCTION("""COMPUTED_VALUE"""),0.3980995297805643)</f>
        <v>0.3980995298</v>
      </c>
      <c r="W688" s="30">
        <f>IFERROR(__xludf.DUMMYFUNCTION("""COMPUTED_VALUE"""),1.0992058516196448)</f>
        <v>1.099205852</v>
      </c>
      <c r="X688" s="30">
        <f>IFERROR(__xludf.DUMMYFUNCTION("""COMPUTED_VALUE"""),1.9179754440961339)</f>
        <v>1.917975444</v>
      </c>
      <c r="Y688" s="30">
        <f>IFERROR(__xludf.DUMMYFUNCTION("""COMPUTED_VALUE"""),345.3427311912226)</f>
        <v>345.3427312</v>
      </c>
      <c r="Z688" s="30">
        <f>IFERROR(__xludf.DUMMYFUNCTION("""COMPUTED_VALUE"""),0.9278208812260534)</f>
        <v>0.9278208812</v>
      </c>
      <c r="AA688" s="30">
        <f>IFERROR(__xludf.DUMMYFUNCTION("""COMPUTED_VALUE"""),0.6116200801114594)</f>
        <v>0.6116200801</v>
      </c>
      <c r="AB688" s="30">
        <f>IFERROR(__xludf.DUMMYFUNCTION("""COMPUTED_VALUE"""),1.0101475966562172)</f>
        <v>1.010147597</v>
      </c>
      <c r="AC688" s="30">
        <f>IFERROR(__xludf.DUMMYFUNCTION("""COMPUTED_VALUE"""),2.6391932253570185)</f>
        <v>2.639193225</v>
      </c>
      <c r="AD688" s="30">
        <f>IFERROR(__xludf.DUMMYFUNCTION("""COMPUTED_VALUE"""),0.8846284354855556)</f>
        <v>0.8846284355</v>
      </c>
      <c r="AE688" s="30">
        <f>IFERROR(__xludf.DUMMYFUNCTION("""COMPUTED_VALUE"""),0.5388971191716264)</f>
        <v>0.5388971192</v>
      </c>
      <c r="AF688" s="30">
        <f>IFERROR(__xludf.DUMMYFUNCTION("""COMPUTED_VALUE"""),0.4087504778365696)</f>
        <v>0.4087504778</v>
      </c>
      <c r="AG688" s="30">
        <f>IFERROR(__xludf.DUMMYFUNCTION("""COMPUTED_VALUE"""),1.7324200995902346)</f>
        <v>1.7324201</v>
      </c>
      <c r="AH688" s="30">
        <f>IFERROR(__xludf.DUMMYFUNCTION("""COMPUTED_VALUE"""),0.7578073408131945)</f>
        <v>0.7578073408</v>
      </c>
      <c r="AI688" s="30">
        <f>IFERROR(__xludf.DUMMYFUNCTION("""COMPUTED_VALUE"""),0.9791178886338636)</f>
        <v>0.9791178886</v>
      </c>
      <c r="AJ688" s="30">
        <f>IFERROR(__xludf.DUMMYFUNCTION("""COMPUTED_VALUE"""),1.1031287012302133)</f>
        <v>1.103128701</v>
      </c>
      <c r="AK688" s="30">
        <f>IFERROR(__xludf.DUMMYFUNCTION("""COMPUTED_VALUE"""),1.2559673212264382)</f>
        <v>1.255967321</v>
      </c>
      <c r="AL688" s="30">
        <f>IFERROR(__xludf.DUMMYFUNCTION("""COMPUTED_VALUE"""),0.9097477042416867)</f>
        <v>0.9097477042</v>
      </c>
      <c r="AM688" s="30">
        <f>IFERROR(__xludf.DUMMYFUNCTION("""COMPUTED_VALUE"""),1.1296634028011403)</f>
        <v>1.129663403</v>
      </c>
      <c r="AN688" s="30">
        <f>IFERROR(__xludf.DUMMYFUNCTION("""COMPUTED_VALUE"""),0.9436543999463477)</f>
        <v>0.9436543999</v>
      </c>
      <c r="AO688" s="30">
        <f>IFERROR(__xludf.DUMMYFUNCTION("""COMPUTED_VALUE"""),0.6778985190581943)</f>
        <v>0.6778985191</v>
      </c>
      <c r="AP688" s="30">
        <f>IFERROR(__xludf.DUMMYFUNCTION("""COMPUTED_VALUE"""),0.5066731708593164)</f>
        <v>0.5066731709</v>
      </c>
      <c r="AQ688" s="30">
        <f>IFERROR(__xludf.DUMMYFUNCTION("""COMPUTED_VALUE"""),1.450950119887934)</f>
        <v>1.45095012</v>
      </c>
      <c r="AR688" s="30">
        <f>IFERROR(__xludf.DUMMYFUNCTION("""COMPUTED_VALUE"""),0.8491048682688171)</f>
        <v>0.8491048683</v>
      </c>
      <c r="AS688" s="30">
        <f>IFERROR(__xludf.DUMMYFUNCTION("""COMPUTED_VALUE"""),8.0)</f>
        <v>8</v>
      </c>
      <c r="AT688" s="30">
        <f>IFERROR(__xludf.DUMMYFUNCTION("""COMPUTED_VALUE"""),0.5)</f>
        <v>0.5</v>
      </c>
      <c r="AU688" s="30">
        <f>IFERROR(__xludf.DUMMYFUNCTION("""COMPUTED_VALUE"""),0.9284905876288383)</f>
        <v>0.9284905876</v>
      </c>
      <c r="AV688" s="32">
        <f>IFERROR(__xludf.DUMMYFUNCTION("""COMPUTED_VALUE"""),17.154809945424034)</f>
        <v>17.15480995</v>
      </c>
      <c r="AW688" s="32">
        <f>IFERROR(__xludf.DUMMYFUNCTION("""COMPUTED_VALUE"""),-10.586998309191781)</f>
        <v>-10.58699831</v>
      </c>
      <c r="AX688" s="32">
        <f>IFERROR(__xludf.DUMMYFUNCTION("""COMPUTED_VALUE"""),47.140875968954546)</f>
        <v>47.14087597</v>
      </c>
      <c r="AY688" s="32">
        <f>IFERROR(__xludf.DUMMYFUNCTION("""COMPUTED_VALUE"""),-2.200344711609522)</f>
        <v>-2.200344712</v>
      </c>
      <c r="AZ688" s="30">
        <f>IFERROR(__xludf.DUMMYFUNCTION("""COMPUTED_VALUE"""),8.38665359758226)</f>
        <v>8.386653598</v>
      </c>
      <c r="BA688" s="30">
        <f>IFERROR(__xludf.DUMMYFUNCTION("""COMPUTED_VALUE"""),2700.0)</f>
        <v>2700</v>
      </c>
    </row>
    <row r="689">
      <c r="A689" s="71" t="str">
        <f>IFERROR(__xludf.DUMMYFUNCTION("""COMPUTED_VALUE"""),"Prospect")</f>
        <v>Prospect</v>
      </c>
      <c r="B689" s="71" t="str">
        <f>IFERROR(__xludf.DUMMYFUNCTION("""COMPUTED_VALUE"""),"RSC007864")</f>
        <v>RSC007864</v>
      </c>
      <c r="C689" s="30" t="str">
        <f>IFERROR(__xludf.DUMMYFUNCTION("""COMPUTED_VALUE"""),"z . a . c")</f>
        <v>z . a . c</v>
      </c>
      <c r="D689" s="30" t="str">
        <f>IFERROR(__xludf.DUMMYFUNCTION("""COMPUTED_VALUE"""),"Khans")</f>
        <v>Khans</v>
      </c>
      <c r="E689" s="30">
        <f>IFERROR(__xludf.DUMMYFUNCTION("""COMPUTED_VALUE"""),12.0)</f>
        <v>12</v>
      </c>
      <c r="F689" s="30">
        <f>IFERROR(__xludf.DUMMYFUNCTION("""COMPUTED_VALUE"""),7.0)</f>
        <v>7</v>
      </c>
      <c r="G689" s="42">
        <f>IFERROR(__xludf.DUMMYFUNCTION("""COMPUTED_VALUE"""),5.0)</f>
        <v>5</v>
      </c>
      <c r="H689" s="42">
        <f>IFERROR(__xludf.DUMMYFUNCTION("""COMPUTED_VALUE"""),0.5833333333333334)</f>
        <v>0.5833333333</v>
      </c>
      <c r="I689" s="42">
        <f>IFERROR(__xludf.DUMMYFUNCTION("""COMPUTED_VALUE"""),0.4230769230769231)</f>
        <v>0.4230769231</v>
      </c>
      <c r="J689" s="30">
        <f>IFERROR(__xludf.DUMMYFUNCTION("""COMPUTED_VALUE"""),317.4166666666667)</f>
        <v>317.4166667</v>
      </c>
      <c r="K689" s="30">
        <f>IFERROR(__xludf.DUMMYFUNCTION("""COMPUTED_VALUE"""),0.9166666666666666)</f>
        <v>0.9166666667</v>
      </c>
      <c r="L689" s="30">
        <f>IFERROR(__xludf.DUMMYFUNCTION("""COMPUTED_VALUE"""),0.3333333333333333)</f>
        <v>0.3333333333</v>
      </c>
      <c r="M689" s="30">
        <f>IFERROR(__xludf.DUMMYFUNCTION("""COMPUTED_VALUE"""),1.3333333333333333)</f>
        <v>1.333333333</v>
      </c>
      <c r="N689" s="30">
        <f>IFERROR(__xludf.DUMMYFUNCTION("""COMPUTED_VALUE"""),2.1666666666666665)</f>
        <v>2.166666667</v>
      </c>
      <c r="O689" s="30">
        <f>IFERROR(__xludf.DUMMYFUNCTION("""COMPUTED_VALUE"""),320.02777777777777)</f>
        <v>320.0277778</v>
      </c>
      <c r="P689" s="30">
        <f>IFERROR(__xludf.DUMMYFUNCTION("""COMPUTED_VALUE"""),0.8055555555555557)</f>
        <v>0.8055555556</v>
      </c>
      <c r="Q689" s="30">
        <f>IFERROR(__xludf.DUMMYFUNCTION("""COMPUTED_VALUE"""),0.4166666666666666)</f>
        <v>0.4166666667</v>
      </c>
      <c r="R689" s="30">
        <f>IFERROR(__xludf.DUMMYFUNCTION("""COMPUTED_VALUE"""),1.0833333333333333)</f>
        <v>1.083333333</v>
      </c>
      <c r="S689" s="30">
        <f>IFERROR(__xludf.DUMMYFUNCTION("""COMPUTED_VALUE"""),2.972222222222222)</f>
        <v>2.972222222</v>
      </c>
      <c r="T689" s="30">
        <f>IFERROR(__xludf.DUMMYFUNCTION("""COMPUTED_VALUE"""),328.4301349420475)</f>
        <v>328.4301349</v>
      </c>
      <c r="U689" s="30">
        <f>IFERROR(__xludf.DUMMYFUNCTION("""COMPUTED_VALUE"""),0.797730514264183)</f>
        <v>0.7977305143</v>
      </c>
      <c r="V689" s="30">
        <f>IFERROR(__xludf.DUMMYFUNCTION("""COMPUTED_VALUE"""),0.5317964099468507)</f>
        <v>0.5317964099</v>
      </c>
      <c r="W689" s="30">
        <f>IFERROR(__xludf.DUMMYFUNCTION("""COMPUTED_VALUE"""),1.125916921605368)</f>
        <v>1.125916922</v>
      </c>
      <c r="X689" s="30">
        <f>IFERROR(__xludf.DUMMYFUNCTION("""COMPUTED_VALUE"""),2.5922681785395594)</f>
        <v>2.592268179</v>
      </c>
      <c r="Y689" s="30">
        <f>IFERROR(__xludf.DUMMYFUNCTION("""COMPUTED_VALUE"""),329.09143142383016)</f>
        <v>329.0914314</v>
      </c>
      <c r="Z689" s="30">
        <f>IFERROR(__xludf.DUMMYFUNCTION("""COMPUTED_VALUE"""),0.7741435505742867)</f>
        <v>0.7741435506</v>
      </c>
      <c r="AA689" s="30">
        <f>IFERROR(__xludf.DUMMYFUNCTION("""COMPUTED_VALUE"""),0.48353501394037574)</f>
        <v>0.4835350139</v>
      </c>
      <c r="AB689" s="30">
        <f>IFERROR(__xludf.DUMMYFUNCTION("""COMPUTED_VALUE"""),1.2963013819150264)</f>
        <v>1.296301382</v>
      </c>
      <c r="AC689" s="30">
        <f>IFERROR(__xludf.DUMMYFUNCTION("""COMPUTED_VALUE"""),2.3177866210963907)</f>
        <v>2.317786621</v>
      </c>
      <c r="AD689" s="30">
        <f>IFERROR(__xludf.DUMMYFUNCTION("""COMPUTED_VALUE"""),0.9645242517963715)</f>
        <v>0.9645242518</v>
      </c>
      <c r="AE689" s="30">
        <f>IFERROR(__xludf.DUMMYFUNCTION("""COMPUTED_VALUE"""),1.1841042478318797)</f>
        <v>1.184104248</v>
      </c>
      <c r="AF689" s="30">
        <f>IFERROR(__xludf.DUMMYFUNCTION("""COMPUTED_VALUE"""),0.6893675198761022)</f>
        <v>0.6893675199</v>
      </c>
      <c r="AG689" s="30">
        <f>IFERROR(__xludf.DUMMYFUNCTION("""COMPUTED_VALUE"""),1.0285673933044794)</f>
        <v>1.028567393</v>
      </c>
      <c r="AH689" s="30">
        <f>IFERROR(__xludf.DUMMYFUNCTION("""COMPUTED_VALUE"""),0.9347998849185525)</f>
        <v>0.9347998849</v>
      </c>
      <c r="AI689" s="30">
        <f>IFERROR(__xludf.DUMMYFUNCTION("""COMPUTED_VALUE"""),0.974416607155271)</f>
        <v>0.9744166072</v>
      </c>
      <c r="AJ689" s="30">
        <f>IFERROR(__xludf.DUMMYFUNCTION("""COMPUTED_VALUE"""),1.0098091287113298)</f>
        <v>1.009809129</v>
      </c>
      <c r="AK689" s="30">
        <f>IFERROR(__xludf.DUMMYFUNCTION("""COMPUTED_VALUE"""),0.7835078591604434)</f>
        <v>0.7835078592</v>
      </c>
      <c r="AL689" s="30">
        <f>IFERROR(__xludf.DUMMYFUNCTION("""COMPUTED_VALUE"""),0.9621787474236397)</f>
        <v>0.9621787474</v>
      </c>
      <c r="AM689" s="30">
        <f>IFERROR(__xludf.DUMMYFUNCTION("""COMPUTED_VALUE"""),1.1465720432894109)</f>
        <v>1.146572043</v>
      </c>
      <c r="AN689" s="30">
        <f>IFERROR(__xludf.DUMMYFUNCTION("""COMPUTED_VALUE"""),0.9804636141286521)</f>
        <v>0.9804636141</v>
      </c>
      <c r="AO689" s="30">
        <f>IFERROR(__xludf.DUMMYFUNCTION("""COMPUTED_VALUE"""),1.2428139516066896)</f>
        <v>1.242813952</v>
      </c>
      <c r="AP689" s="30">
        <f>IFERROR(__xludf.DUMMYFUNCTION("""COMPUTED_VALUE"""),0.6755642278124218)</f>
        <v>0.6755642278</v>
      </c>
      <c r="AQ689" s="30">
        <f>IFERROR(__xludf.DUMMYFUNCTION("""COMPUTED_VALUE"""),1.105485805628902)</f>
        <v>1.105485806</v>
      </c>
      <c r="AR689" s="30">
        <f>IFERROR(__xludf.DUMMYFUNCTION("""COMPUTED_VALUE"""),0.9198636072912185)</f>
        <v>0.9198636073</v>
      </c>
      <c r="AS689" s="30">
        <f>IFERROR(__xludf.DUMMYFUNCTION("""COMPUTED_VALUE"""),32.0)</f>
        <v>32</v>
      </c>
      <c r="AT689" s="30">
        <f>IFERROR(__xludf.DUMMYFUNCTION("""COMPUTED_VALUE"""),0.5391639098078604)</f>
        <v>0.5391639098</v>
      </c>
      <c r="AU689" s="30">
        <f>IFERROR(__xludf.DUMMYFUNCTION("""COMPUTED_VALUE"""),2.041993741536711)</f>
        <v>2.041993742</v>
      </c>
      <c r="AV689" s="32">
        <f>IFERROR(__xludf.DUMMYFUNCTION("""COMPUTED_VALUE"""),52.57778916039703)</f>
        <v>52.57778916</v>
      </c>
      <c r="AW689" s="32">
        <f>IFERROR(__xludf.DUMMYFUNCTION("""COMPUTED_VALUE"""),2.178947299225236)</f>
        <v>2.178947299</v>
      </c>
      <c r="AX689" s="32">
        <f>IFERROR(__xludf.DUMMYFUNCTION("""COMPUTED_VALUE"""),30.673948100506202)</f>
        <v>30.6739481</v>
      </c>
      <c r="AY689" s="32">
        <f>IFERROR(__xludf.DUMMYFUNCTION("""COMPUTED_VALUE"""),-4.550651806450452)</f>
        <v>-4.550651806</v>
      </c>
      <c r="AZ689" s="30">
        <f>IFERROR(__xludf.DUMMYFUNCTION("""COMPUTED_VALUE"""),6.729599105675689)</f>
        <v>6.729599106</v>
      </c>
      <c r="BA689" s="30">
        <f>IFERROR(__xludf.DUMMYFUNCTION("""COMPUTED_VALUE"""),2700.0)</f>
        <v>2700</v>
      </c>
    </row>
    <row r="690">
      <c r="A690" s="71" t="str">
        <f>IFERROR(__xludf.DUMMYFUNCTION("""COMPUTED_VALUE"""),"Prospect")</f>
        <v>Prospect</v>
      </c>
      <c r="B690" s="71" t="str">
        <f>IFERROR(__xludf.DUMMYFUNCTION("""COMPUTED_VALUE"""),"RSC006793")</f>
        <v>RSC006793</v>
      </c>
      <c r="C690" s="30" t="str">
        <f>IFERROR(__xludf.DUMMYFUNCTION("""COMPUTED_VALUE"""),"Yogibear8003")</f>
        <v>Yogibear8003</v>
      </c>
      <c r="D690" s="30"/>
      <c r="E690" s="30">
        <f>IFERROR(__xludf.DUMMYFUNCTION("""COMPUTED_VALUE"""),5.0)</f>
        <v>5</v>
      </c>
      <c r="F690" s="30">
        <f>IFERROR(__xludf.DUMMYFUNCTION("""COMPUTED_VALUE"""),0.0)</f>
        <v>0</v>
      </c>
      <c r="G690" s="42">
        <f>IFERROR(__xludf.DUMMYFUNCTION("""COMPUTED_VALUE"""),5.0)</f>
        <v>5</v>
      </c>
      <c r="H690" s="42">
        <f>IFERROR(__xludf.DUMMYFUNCTION("""COMPUTED_VALUE"""),0.0)</f>
        <v>0</v>
      </c>
      <c r="I690" s="42">
        <f>IFERROR(__xludf.DUMMYFUNCTION("""COMPUTED_VALUE"""),0.22222222222222224)</f>
        <v>0.2222222222</v>
      </c>
      <c r="J690" s="30">
        <f>IFERROR(__xludf.DUMMYFUNCTION("""COMPUTED_VALUE"""),320.2)</f>
        <v>320.2</v>
      </c>
      <c r="K690" s="30">
        <f>IFERROR(__xludf.DUMMYFUNCTION("""COMPUTED_VALUE"""),0.4)</f>
        <v>0.4</v>
      </c>
      <c r="L690" s="30">
        <f>IFERROR(__xludf.DUMMYFUNCTION("""COMPUTED_VALUE"""),0.6)</f>
        <v>0.6</v>
      </c>
      <c r="M690" s="30">
        <f>IFERROR(__xludf.DUMMYFUNCTION("""COMPUTED_VALUE"""),1.4)</f>
        <v>1.4</v>
      </c>
      <c r="N690" s="30">
        <f>IFERROR(__xludf.DUMMYFUNCTION("""COMPUTED_VALUE"""),1.8)</f>
        <v>1.8</v>
      </c>
      <c r="O690" s="30">
        <f>IFERROR(__xludf.DUMMYFUNCTION("""COMPUTED_VALUE"""),372.5333333333333)</f>
        <v>372.5333333</v>
      </c>
      <c r="P690" s="30">
        <f>IFERROR(__xludf.DUMMYFUNCTION("""COMPUTED_VALUE"""),1.0666666666666667)</f>
        <v>1.066666667</v>
      </c>
      <c r="Q690" s="30">
        <f>IFERROR(__xludf.DUMMYFUNCTION("""COMPUTED_VALUE"""),0.6666666666666667)</f>
        <v>0.6666666667</v>
      </c>
      <c r="R690" s="30">
        <f>IFERROR(__xludf.DUMMYFUNCTION("""COMPUTED_VALUE"""),1.3333333333333335)</f>
        <v>1.333333333</v>
      </c>
      <c r="S690" s="30">
        <f>IFERROR(__xludf.DUMMYFUNCTION("""COMPUTED_VALUE"""),2.4666666666666663)</f>
        <v>2.466666667</v>
      </c>
      <c r="T690" s="30">
        <f>IFERROR(__xludf.DUMMYFUNCTION("""COMPUTED_VALUE"""),346.5768062965407)</f>
        <v>346.5768063</v>
      </c>
      <c r="U690" s="30">
        <f>IFERROR(__xludf.DUMMYFUNCTION("""COMPUTED_VALUE"""),0.9327631337715075)</f>
        <v>0.9327631338</v>
      </c>
      <c r="V690" s="30">
        <f>IFERROR(__xludf.DUMMYFUNCTION("""COMPUTED_VALUE"""),0.5357198785700973)</f>
        <v>0.5357198786</v>
      </c>
      <c r="W690" s="30">
        <f>IFERROR(__xludf.DUMMYFUNCTION("""COMPUTED_VALUE"""),1.205279825035827)</f>
        <v>1.205279825</v>
      </c>
      <c r="X690" s="30">
        <f>IFERROR(__xludf.DUMMYFUNCTION("""COMPUTED_VALUE"""),2.5384230345558825)</f>
        <v>2.538423035</v>
      </c>
      <c r="Y690" s="30">
        <f>IFERROR(__xludf.DUMMYFUNCTION("""COMPUTED_VALUE"""),322.0914928063325)</f>
        <v>322.0914928</v>
      </c>
      <c r="Z690" s="30">
        <f>IFERROR(__xludf.DUMMYFUNCTION("""COMPUTED_VALUE"""),0.6710638344735848)</f>
        <v>0.6710638345</v>
      </c>
      <c r="AA690" s="30">
        <f>IFERROR(__xludf.DUMMYFUNCTION("""COMPUTED_VALUE"""),0.4943097481057771)</f>
        <v>0.4943097481</v>
      </c>
      <c r="AB690" s="30">
        <f>IFERROR(__xludf.DUMMYFUNCTION("""COMPUTED_VALUE"""),1.1736948768131221)</f>
        <v>1.173694877</v>
      </c>
      <c r="AC690" s="30">
        <f>IFERROR(__xludf.DUMMYFUNCTION("""COMPUTED_VALUE"""),2.3933222287408555)</f>
        <v>2.393322229</v>
      </c>
      <c r="AD690" s="30">
        <f>IFERROR(__xludf.DUMMYFUNCTION("""COMPUTED_VALUE"""),0.9941274673545326)</f>
        <v>0.9941274674</v>
      </c>
      <c r="AE690" s="30">
        <f>IFERROR(__xludf.DUMMYFUNCTION("""COMPUTED_VALUE"""),0.5960684803015492)</f>
        <v>0.5960684803</v>
      </c>
      <c r="AF690" s="30">
        <f>IFERROR(__xludf.DUMMYFUNCTION("""COMPUTED_VALUE"""),1.2138138126938298)</f>
        <v>1.213813813</v>
      </c>
      <c r="AG690" s="30">
        <f>IFERROR(__xludf.DUMMYFUNCTION("""COMPUTED_VALUE"""),1.1928142719693497)</f>
        <v>1.192814272</v>
      </c>
      <c r="AH690" s="30">
        <f>IFERROR(__xludf.DUMMYFUNCTION("""COMPUTED_VALUE"""),0.7520926260510242)</f>
        <v>0.7520926261</v>
      </c>
      <c r="AI690" s="30">
        <f>IFERROR(__xludf.DUMMYFUNCTION("""COMPUTED_VALUE"""),1.0748940106932126)</f>
        <v>1.074894011</v>
      </c>
      <c r="AJ690" s="30">
        <f>IFERROR(__xludf.DUMMYFUNCTION("""COMPUTED_VALUE"""),1.1435557732151542)</f>
        <v>1.143555773</v>
      </c>
      <c r="AK690" s="30">
        <f>IFERROR(__xludf.DUMMYFUNCTION("""COMPUTED_VALUE"""),1.2444314525831721)</f>
        <v>1.244431453</v>
      </c>
      <c r="AL690" s="30">
        <f>IFERROR(__xludf.DUMMYFUNCTION("""COMPUTED_VALUE"""),1.1062437996866827)</f>
        <v>1.1062438</v>
      </c>
      <c r="AM690" s="30">
        <f>IFERROR(__xludf.DUMMYFUNCTION("""COMPUTED_VALUE"""),0.971731911146256)</f>
        <v>0.9717319111</v>
      </c>
      <c r="AN690" s="30">
        <f>IFERROR(__xludf.DUMMYFUNCTION("""COMPUTED_VALUE"""),0.9890610110075958)</f>
        <v>0.989061011</v>
      </c>
      <c r="AO690" s="30">
        <f>IFERROR(__xludf.DUMMYFUNCTION("""COMPUTED_VALUE"""),0.5423188152465555)</f>
        <v>0.5423188152</v>
      </c>
      <c r="AP690" s="30">
        <f>IFERROR(__xludf.DUMMYFUNCTION("""COMPUTED_VALUE"""),1.2160156100623594)</f>
        <v>1.21601561</v>
      </c>
      <c r="AQ690" s="30">
        <f>IFERROR(__xludf.DUMMYFUNCTION("""COMPUTED_VALUE"""),1.160760095910347)</f>
        <v>1.160760096</v>
      </c>
      <c r="AR690" s="30">
        <f>IFERROR(__xludf.DUMMYFUNCTION("""COMPUTED_VALUE"""),0.7641943814419354)</f>
        <v>0.7641943814</v>
      </c>
      <c r="AS690" s="30">
        <f>IFERROR(__xludf.DUMMYFUNCTION("""COMPUTED_VALUE"""),6.0)</f>
        <v>6</v>
      </c>
      <c r="AT690" s="30">
        <f>IFERROR(__xludf.DUMMYFUNCTION("""COMPUTED_VALUE"""),0.18233636921178786)</f>
        <v>0.1823363692</v>
      </c>
      <c r="AU690" s="30">
        <f>IFERROR(__xludf.DUMMYFUNCTION("""COMPUTED_VALUE"""),1.369772879240105)</f>
        <v>1.369772879</v>
      </c>
      <c r="AV690" s="32">
        <f>IFERROR(__xludf.DUMMYFUNCTION("""COMPUTED_VALUE"""),31.192968157030545)</f>
        <v>31.19296816</v>
      </c>
      <c r="AW690" s="32">
        <f>IFERROR(__xludf.DUMMYFUNCTION("""COMPUTED_VALUE"""),-4.425934920612017)</f>
        <v>-4.425934921</v>
      </c>
      <c r="AX690" s="32">
        <f>IFERROR(__xludf.DUMMYFUNCTION("""COMPUTED_VALUE"""),52.48754648876308)</f>
        <v>52.48754649</v>
      </c>
      <c r="AY690" s="32">
        <f>IFERROR(__xludf.DUMMYFUNCTION("""COMPUTED_VALUE"""),2.1721663112369693)</f>
        <v>2.172166311</v>
      </c>
      <c r="AZ690" s="30">
        <f>IFERROR(__xludf.DUMMYFUNCTION("""COMPUTED_VALUE"""),6.598101231848986)</f>
        <v>6.598101232</v>
      </c>
      <c r="BA690" s="30">
        <f>IFERROR(__xludf.DUMMYFUNCTION("""COMPUTED_VALUE"""),2700.0)</f>
        <v>2700</v>
      </c>
    </row>
    <row r="691">
      <c r="A691" s="71" t="str">
        <f>IFERROR(__xludf.DUMMYFUNCTION("""COMPUTED_VALUE"""),"Prospect")</f>
        <v>Prospect</v>
      </c>
      <c r="B691" s="71" t="str">
        <f>IFERROR(__xludf.DUMMYFUNCTION("""COMPUTED_VALUE"""),"RSC006344")</f>
        <v>RSC006344</v>
      </c>
      <c r="C691" s="30" t="str">
        <f>IFERROR(__xludf.DUMMYFUNCTION("""COMPUTED_VALUE"""),"FerrisCrueller")</f>
        <v>FerrisCrueller</v>
      </c>
      <c r="D691" s="30" t="str">
        <f>IFERROR(__xludf.DUMMYFUNCTION("""COMPUTED_VALUE"""),"Poppy")</f>
        <v>Poppy</v>
      </c>
      <c r="E691" s="30">
        <f>IFERROR(__xludf.DUMMYFUNCTION("""COMPUTED_VALUE"""),9.0)</f>
        <v>9</v>
      </c>
      <c r="F691" s="30">
        <f>IFERROR(__xludf.DUMMYFUNCTION("""COMPUTED_VALUE"""),4.0)</f>
        <v>4</v>
      </c>
      <c r="G691" s="42">
        <f>IFERROR(__xludf.DUMMYFUNCTION("""COMPUTED_VALUE"""),5.0)</f>
        <v>5</v>
      </c>
      <c r="H691" s="42">
        <f>IFERROR(__xludf.DUMMYFUNCTION("""COMPUTED_VALUE"""),0.4444444444444444)</f>
        <v>0.4444444444</v>
      </c>
      <c r="I691" s="42">
        <f>IFERROR(__xludf.DUMMYFUNCTION("""COMPUTED_VALUE"""),0.3636363636363636)</f>
        <v>0.3636363636</v>
      </c>
      <c r="J691" s="30">
        <f>IFERROR(__xludf.DUMMYFUNCTION("""COMPUTED_VALUE"""),296.6666666666667)</f>
        <v>296.6666667</v>
      </c>
      <c r="K691" s="30">
        <f>IFERROR(__xludf.DUMMYFUNCTION("""COMPUTED_VALUE"""),0.8888888888888888)</f>
        <v>0.8888888889</v>
      </c>
      <c r="L691" s="30">
        <f>IFERROR(__xludf.DUMMYFUNCTION("""COMPUTED_VALUE"""),0.4444444444444444)</f>
        <v>0.4444444444</v>
      </c>
      <c r="M691" s="30">
        <f>IFERROR(__xludf.DUMMYFUNCTION("""COMPUTED_VALUE"""),0.5555555555555556)</f>
        <v>0.5555555556</v>
      </c>
      <c r="N691" s="30">
        <f>IFERROR(__xludf.DUMMYFUNCTION("""COMPUTED_VALUE"""),2.4444444444444446)</f>
        <v>2.444444444</v>
      </c>
      <c r="O691" s="30">
        <f>IFERROR(__xludf.DUMMYFUNCTION("""COMPUTED_VALUE"""),335.3703703703703)</f>
        <v>335.3703704</v>
      </c>
      <c r="P691" s="30">
        <f>IFERROR(__xludf.DUMMYFUNCTION("""COMPUTED_VALUE"""),0.7037037037037037)</f>
        <v>0.7037037037</v>
      </c>
      <c r="Q691" s="30">
        <f>IFERROR(__xludf.DUMMYFUNCTION("""COMPUTED_VALUE"""),0.48148148148148145)</f>
        <v>0.4814814815</v>
      </c>
      <c r="R691" s="30">
        <f>IFERROR(__xludf.DUMMYFUNCTION("""COMPUTED_VALUE"""),1.1851851851851853)</f>
        <v>1.185185185</v>
      </c>
      <c r="S691" s="30">
        <f>IFERROR(__xludf.DUMMYFUNCTION("""COMPUTED_VALUE"""),2.3333333333333335)</f>
        <v>2.333333333</v>
      </c>
      <c r="T691" s="30">
        <f>IFERROR(__xludf.DUMMYFUNCTION("""COMPUTED_VALUE"""),331.35452063049775)</f>
        <v>331.3545206</v>
      </c>
      <c r="U691" s="30">
        <f>IFERROR(__xludf.DUMMYFUNCTION("""COMPUTED_VALUE"""),0.7920033739142935)</f>
        <v>0.7920033739</v>
      </c>
      <c r="V691" s="30">
        <f>IFERROR(__xludf.DUMMYFUNCTION("""COMPUTED_VALUE"""),0.5169575475609958)</f>
        <v>0.5169575476</v>
      </c>
      <c r="W691" s="30">
        <f>IFERROR(__xludf.DUMMYFUNCTION("""COMPUTED_VALUE"""),1.175447675993653)</f>
        <v>1.175447676</v>
      </c>
      <c r="X691" s="30">
        <f>IFERROR(__xludf.DUMMYFUNCTION("""COMPUTED_VALUE"""),2.3736060177583167)</f>
        <v>2.373606018</v>
      </c>
      <c r="Y691" s="30">
        <f>IFERROR(__xludf.DUMMYFUNCTION("""COMPUTED_VALUE"""),331.2476277669046)</f>
        <v>331.2476278</v>
      </c>
      <c r="Z691" s="30">
        <f>IFERROR(__xludf.DUMMYFUNCTION("""COMPUTED_VALUE"""),0.7789525339142197)</f>
        <v>0.7789525339</v>
      </c>
      <c r="AA691" s="30">
        <f>IFERROR(__xludf.DUMMYFUNCTION("""COMPUTED_VALUE"""),0.5258828040485128)</f>
        <v>0.525882804</v>
      </c>
      <c r="AB691" s="30">
        <f>IFERROR(__xludf.DUMMYFUNCTION("""COMPUTED_VALUE"""),1.1478325906391038)</f>
        <v>1.147832591</v>
      </c>
      <c r="AC691" s="30">
        <f>IFERROR(__xludf.DUMMYFUNCTION("""COMPUTED_VALUE"""),2.424594768612968)</f>
        <v>2.424594769</v>
      </c>
      <c r="AD691" s="30">
        <f>IFERROR(__xludf.DUMMYFUNCTION("""COMPUTED_VALUE"""),0.8956038981067899)</f>
        <v>0.8956038981</v>
      </c>
      <c r="AE691" s="30">
        <f>IFERROR(__xludf.DUMMYFUNCTION("""COMPUTED_VALUE"""),1.1411335738549322)</f>
        <v>1.141133574</v>
      </c>
      <c r="AF691" s="30">
        <f>IFERROR(__xludf.DUMMYFUNCTION("""COMPUTED_VALUE"""),0.8451397174862639)</f>
        <v>0.8451397175</v>
      </c>
      <c r="AG691" s="30">
        <f>IFERROR(__xludf.DUMMYFUNCTION("""COMPUTED_VALUE"""),0.48400399159796187)</f>
        <v>0.4840039916</v>
      </c>
      <c r="AH691" s="30">
        <f>IFERROR(__xludf.DUMMYFUNCTION("""COMPUTED_VALUE"""),1.0081868013939632)</f>
        <v>1.008186801</v>
      </c>
      <c r="AI691" s="30">
        <f>IFERROR(__xludf.DUMMYFUNCTION("""COMPUTED_VALUE"""),1.0121194958566773)</f>
        <v>1.012119496</v>
      </c>
      <c r="AJ691" s="30">
        <f>IFERROR(__xludf.DUMMYFUNCTION("""COMPUTED_VALUE"""),0.8885109923532407)</f>
        <v>0.8885109924</v>
      </c>
      <c r="AK691" s="30">
        <f>IFERROR(__xludf.DUMMYFUNCTION("""COMPUTED_VALUE"""),0.9313752816901691)</f>
        <v>0.9313752817</v>
      </c>
      <c r="AL691" s="30">
        <f>IFERROR(__xludf.DUMMYFUNCTION("""COMPUTED_VALUE"""),1.0082840856215065)</f>
        <v>1.008284086</v>
      </c>
      <c r="AM691" s="30">
        <f>IFERROR(__xludf.DUMMYFUNCTION("""COMPUTED_VALUE"""),0.9830331217044109)</f>
        <v>0.9830331217</v>
      </c>
      <c r="AN691" s="30">
        <f>IFERROR(__xludf.DUMMYFUNCTION("""COMPUTED_VALUE"""),0.9163692481748494)</f>
        <v>0.9163692482</v>
      </c>
      <c r="AO691" s="30">
        <f>IFERROR(__xludf.DUMMYFUNCTION("""COMPUTED_VALUE"""),1.2051529227701232)</f>
        <v>1.205152923</v>
      </c>
      <c r="AP691" s="30">
        <f>IFERROR(__xludf.DUMMYFUNCTION("""COMPUTED_VALUE"""),0.9007523037498958)</f>
        <v>0.9007523037</v>
      </c>
      <c r="AQ691" s="30">
        <f>IFERROR(__xludf.DUMMYFUNCTION("""COMPUTED_VALUE"""),0.46061908567870924)</f>
        <v>0.4606190857</v>
      </c>
      <c r="AR691" s="30">
        <f>IFERROR(__xludf.DUMMYFUNCTION("""COMPUTED_VALUE"""),1.037794838995221)</f>
        <v>1.037794839</v>
      </c>
      <c r="AS691" s="30">
        <f>IFERROR(__xludf.DUMMYFUNCTION("""COMPUTED_VALUE"""),21.0)</f>
        <v>21</v>
      </c>
      <c r="AT691" s="30">
        <f>IFERROR(__xludf.DUMMYFUNCTION("""COMPUTED_VALUE"""),0.5383154260430724)</f>
        <v>0.538315426</v>
      </c>
      <c r="AU691" s="30">
        <f>IFERROR(__xludf.DUMMYFUNCTION("""COMPUTED_VALUE"""),2.189255686727668)</f>
        <v>2.189255687</v>
      </c>
      <c r="AV691" s="32">
        <f>IFERROR(__xludf.DUMMYFUNCTION("""COMPUTED_VALUE"""),57.26251484379402)</f>
        <v>57.26251484</v>
      </c>
      <c r="AW691" s="32">
        <f>IFERROR(__xludf.DUMMYFUNCTION("""COMPUTED_VALUE"""),2.592576712460439)</f>
        <v>2.592576712</v>
      </c>
      <c r="AX691" s="32">
        <f>IFERROR(__xludf.DUMMYFUNCTION("""COMPUTED_VALUE"""),39.16673035933756)</f>
        <v>39.16673036</v>
      </c>
      <c r="AY691" s="32">
        <f>IFERROR(__xludf.DUMMYFUNCTION("""COMPUTED_VALUE"""),-3.0085390950216304)</f>
        <v>-3.008539095</v>
      </c>
      <c r="AZ691" s="30">
        <f>IFERROR(__xludf.DUMMYFUNCTION("""COMPUTED_VALUE"""),5.601115807482069)</f>
        <v>5.601115807</v>
      </c>
      <c r="BA691" s="30">
        <f>IFERROR(__xludf.DUMMYFUNCTION("""COMPUTED_VALUE"""),2700.0)</f>
        <v>2700</v>
      </c>
    </row>
    <row r="692">
      <c r="A692" s="71" t="str">
        <f>IFERROR(__xludf.DUMMYFUNCTION("""COMPUTED_VALUE"""),"Prospect")</f>
        <v>Prospect</v>
      </c>
      <c r="B692" s="71" t="str">
        <f>IFERROR(__xludf.DUMMYFUNCTION("""COMPUTED_VALUE"""),"RSC002736")</f>
        <v>RSC002736</v>
      </c>
      <c r="C692" s="30" t="str">
        <f>IFERROR(__xludf.DUMMYFUNCTION("""COMPUTED_VALUE"""),"chulainn")</f>
        <v>chulainn</v>
      </c>
      <c r="D692" s="30" t="str">
        <f>IFERROR(__xludf.DUMMYFUNCTION("""COMPUTED_VALUE"""),"Earth")</f>
        <v>Earth</v>
      </c>
      <c r="E692" s="30">
        <f>IFERROR(__xludf.DUMMYFUNCTION("""COMPUTED_VALUE"""),35.0)</f>
        <v>35</v>
      </c>
      <c r="F692" s="30">
        <f>IFERROR(__xludf.DUMMYFUNCTION("""COMPUTED_VALUE"""),19.0)</f>
        <v>19</v>
      </c>
      <c r="G692" s="42">
        <f>IFERROR(__xludf.DUMMYFUNCTION("""COMPUTED_VALUE"""),16.0)</f>
        <v>16</v>
      </c>
      <c r="H692" s="42">
        <f>IFERROR(__xludf.DUMMYFUNCTION("""COMPUTED_VALUE"""),0.5428571428571428)</f>
        <v>0.5428571429</v>
      </c>
      <c r="I692" s="42">
        <f>IFERROR(__xludf.DUMMYFUNCTION("""COMPUTED_VALUE"""),0.33620689655172414)</f>
        <v>0.3362068966</v>
      </c>
      <c r="J692" s="30">
        <f>IFERROR(__xludf.DUMMYFUNCTION("""COMPUTED_VALUE"""),394.77142857142854)</f>
        <v>394.7714286</v>
      </c>
      <c r="K692" s="30">
        <f>IFERROR(__xludf.DUMMYFUNCTION("""COMPUTED_VALUE"""),1.1142857142857143)</f>
        <v>1.114285714</v>
      </c>
      <c r="L692" s="30">
        <f>IFERROR(__xludf.DUMMYFUNCTION("""COMPUTED_VALUE"""),0.6571428571428571)</f>
        <v>0.6571428571</v>
      </c>
      <c r="M692" s="30">
        <f>IFERROR(__xludf.DUMMYFUNCTION("""COMPUTED_VALUE"""),0.8)</f>
        <v>0.8</v>
      </c>
      <c r="N692" s="30">
        <f>IFERROR(__xludf.DUMMYFUNCTION("""COMPUTED_VALUE"""),3.3142857142857145)</f>
        <v>3.314285714</v>
      </c>
      <c r="O692" s="30">
        <f>IFERROR(__xludf.DUMMYFUNCTION("""COMPUTED_VALUE"""),331.65714285714284)</f>
        <v>331.6571429</v>
      </c>
      <c r="P692" s="30">
        <f>IFERROR(__xludf.DUMMYFUNCTION("""COMPUTED_VALUE"""),0.7523809523809524)</f>
        <v>0.7523809524</v>
      </c>
      <c r="Q692" s="30">
        <f>IFERROR(__xludf.DUMMYFUNCTION("""COMPUTED_VALUE"""),0.4571428571428571)</f>
        <v>0.4571428571</v>
      </c>
      <c r="R692" s="30">
        <f>IFERROR(__xludf.DUMMYFUNCTION("""COMPUTED_VALUE"""),1.3714285714285714)</f>
        <v>1.371428571</v>
      </c>
      <c r="S692" s="30">
        <f>IFERROR(__xludf.DUMMYFUNCTION("""COMPUTED_VALUE"""),2.0761904761904755)</f>
        <v>2.076190476</v>
      </c>
      <c r="T692" s="30">
        <f>IFERROR(__xludf.DUMMYFUNCTION("""COMPUTED_VALUE"""),326.28980341036737)</f>
        <v>326.2898034</v>
      </c>
      <c r="U692" s="30">
        <f>IFERROR(__xludf.DUMMYFUNCTION("""COMPUTED_VALUE"""),0.7519280905267445)</f>
        <v>0.7519280905</v>
      </c>
      <c r="V692" s="30">
        <f>IFERROR(__xludf.DUMMYFUNCTION("""COMPUTED_VALUE"""),0.46848171023972013)</f>
        <v>0.4684817102</v>
      </c>
      <c r="W692" s="30">
        <f>IFERROR(__xludf.DUMMYFUNCTION("""COMPUTED_VALUE"""),1.2303486795674676)</f>
        <v>1.23034868</v>
      </c>
      <c r="X692" s="30">
        <f>IFERROR(__xludf.DUMMYFUNCTION("""COMPUTED_VALUE"""),2.2377717961298944)</f>
        <v>2.237771796</v>
      </c>
      <c r="Y692" s="30">
        <f>IFERROR(__xludf.DUMMYFUNCTION("""COMPUTED_VALUE"""),338.71578932334387)</f>
        <v>338.7157893</v>
      </c>
      <c r="Z692" s="30">
        <f>IFERROR(__xludf.DUMMYFUNCTION("""COMPUTED_VALUE"""),0.8235408604376871)</f>
        <v>0.8235408604</v>
      </c>
      <c r="AA692" s="30">
        <f>IFERROR(__xludf.DUMMYFUNCTION("""COMPUTED_VALUE"""),0.5641204644315649)</f>
        <v>0.5641204644</v>
      </c>
      <c r="AB692" s="30">
        <f>IFERROR(__xludf.DUMMYFUNCTION("""COMPUTED_VALUE"""),1.1029113031134081)</f>
        <v>1.102911303</v>
      </c>
      <c r="AC692" s="30">
        <f>IFERROR(__xludf.DUMMYFUNCTION("""COMPUTED_VALUE"""),2.637427769456637)</f>
        <v>2.637427769</v>
      </c>
      <c r="AD692" s="30">
        <f>IFERROR(__xludf.DUMMYFUNCTION("""COMPUTED_VALUE"""),1.1654946152940422)</f>
        <v>1.165494615</v>
      </c>
      <c r="AE692" s="30">
        <f>IFERROR(__xludf.DUMMYFUNCTION("""COMPUTED_VALUE"""),1.3530424145482047)</f>
        <v>1.353042415</v>
      </c>
      <c r="AF692" s="30">
        <f>IFERROR(__xludf.DUMMYFUNCTION("""COMPUTED_VALUE"""),1.1648980999209557)</f>
        <v>1.1648981</v>
      </c>
      <c r="AG692" s="30">
        <f>IFERROR(__xludf.DUMMYFUNCTION("""COMPUTED_VALUE"""),0.7253529796473027)</f>
        <v>0.7253529796</v>
      </c>
      <c r="AH692" s="30">
        <f>IFERROR(__xludf.DUMMYFUNCTION("""COMPUTED_VALUE"""),1.256635632894896)</f>
        <v>1.256635633</v>
      </c>
      <c r="AI692" s="30">
        <f>IFERROR(__xludf.DUMMYFUNCTION("""COMPUTED_VALUE"""),1.016449608264421)</f>
        <v>1.016449608</v>
      </c>
      <c r="AJ692" s="30">
        <f>IFERROR(__xludf.DUMMYFUNCTION("""COMPUTED_VALUE"""),1.0006022675039188)</f>
        <v>1.000602268</v>
      </c>
      <c r="AK692" s="30">
        <f>IFERROR(__xludf.DUMMYFUNCTION("""COMPUTED_VALUE"""),0.9757965938711652)</f>
        <v>0.9757965939</v>
      </c>
      <c r="AL692" s="30">
        <f>IFERROR(__xludf.DUMMYFUNCTION("""COMPUTED_VALUE"""),1.1146665934657651)</f>
        <v>1.114666593</v>
      </c>
      <c r="AM692" s="30">
        <f>IFERROR(__xludf.DUMMYFUNCTION("""COMPUTED_VALUE"""),0.927793656073928)</f>
        <v>0.9277936561</v>
      </c>
      <c r="AN692" s="30">
        <f>IFERROR(__xludf.DUMMYFUNCTION("""COMPUTED_VALUE"""),1.2194035860704873)</f>
        <v>1.219403586</v>
      </c>
      <c r="AO692" s="30">
        <f>IFERROR(__xludf.DUMMYFUNCTION("""COMPUTED_VALUE"""),1.510745271043976)</f>
        <v>1.510745271</v>
      </c>
      <c r="AP692" s="30">
        <f>IFERROR(__xludf.DUMMYFUNCTION("""COMPUTED_VALUE"""),1.3318266205444889)</f>
        <v>1.331826621</v>
      </c>
      <c r="AQ692" s="30">
        <f>IFERROR(__xludf.DUMMYFUNCTION("""COMPUTED_VALUE"""),0.6632914833773413)</f>
        <v>0.6632914834</v>
      </c>
      <c r="AR692" s="30">
        <f>IFERROR(__xludf.DUMMYFUNCTION("""COMPUTED_VALUE"""),1.407088067416897)</f>
        <v>1.407088067</v>
      </c>
      <c r="AS692" s="30">
        <f>IFERROR(__xludf.DUMMYFUNCTION("""COMPUTED_VALUE"""),90.0)</f>
        <v>90</v>
      </c>
      <c r="AT692" s="30">
        <f>IFERROR(__xludf.DUMMYFUNCTION("""COMPUTED_VALUE"""),0.5510307057138046)</f>
        <v>0.5510307057</v>
      </c>
      <c r="AU692" s="30">
        <f>IFERROR(__xludf.DUMMYFUNCTION("""COMPUTED_VALUE"""),3.1309215312204914)</f>
        <v>3.130921531</v>
      </c>
      <c r="AV692" s="32">
        <f>IFERROR(__xludf.DUMMYFUNCTION("""COMPUTED_VALUE"""),87.21897210200049)</f>
        <v>87.2189721</v>
      </c>
      <c r="AW692" s="32">
        <f>IFERROR(__xludf.DUMMYFUNCTION("""COMPUTED_VALUE"""),14.646555950581977)</f>
        <v>14.64655595</v>
      </c>
      <c r="AX692" s="32">
        <f>IFERROR(__xludf.DUMMYFUNCTION("""COMPUTED_VALUE"""),81.02909404184985)</f>
        <v>81.02909404</v>
      </c>
      <c r="AY692" s="32">
        <f>IFERROR(__xludf.DUMMYFUNCTION("""COMPUTED_VALUE"""),9.322042401829073)</f>
        <v>9.322042402</v>
      </c>
      <c r="AZ692" s="30">
        <f>IFERROR(__xludf.DUMMYFUNCTION("""COMPUTED_VALUE"""),5.324513548752904)</f>
        <v>5.324513549</v>
      </c>
      <c r="BA692" s="30">
        <f>IFERROR(__xludf.DUMMYFUNCTION("""COMPUTED_VALUE"""),2700.0)</f>
        <v>2700</v>
      </c>
    </row>
    <row r="693">
      <c r="A693" s="71" t="str">
        <f>IFERROR(__xludf.DUMMYFUNCTION("""COMPUTED_VALUE"""),"Prospect")</f>
        <v>Prospect</v>
      </c>
      <c r="B693" s="71" t="str">
        <f>IFERROR(__xludf.DUMMYFUNCTION("""COMPUTED_VALUE"""),"RSC007138")</f>
        <v>RSC007138</v>
      </c>
      <c r="C693" s="30" t="str">
        <f>IFERROR(__xludf.DUMMYFUNCTION("""COMPUTED_VALUE"""),"GFC-RAIDER")</f>
        <v>GFC-RAIDER</v>
      </c>
      <c r="D693" s="30" t="str">
        <f>IFERROR(__xludf.DUMMYFUNCTION("""COMPUTED_VALUE"""),"Mop Tops")</f>
        <v>Mop Tops</v>
      </c>
      <c r="E693" s="30">
        <f>IFERROR(__xludf.DUMMYFUNCTION("""COMPUTED_VALUE"""),21.0)</f>
        <v>21</v>
      </c>
      <c r="F693" s="30">
        <f>IFERROR(__xludf.DUMMYFUNCTION("""COMPUTED_VALUE"""),13.0)</f>
        <v>13</v>
      </c>
      <c r="G693" s="42">
        <f>IFERROR(__xludf.DUMMYFUNCTION("""COMPUTED_VALUE"""),8.0)</f>
        <v>8</v>
      </c>
      <c r="H693" s="42">
        <f>IFERROR(__xludf.DUMMYFUNCTION("""COMPUTED_VALUE"""),0.6190476190476191)</f>
        <v>0.619047619</v>
      </c>
      <c r="I693" s="42">
        <f>IFERROR(__xludf.DUMMYFUNCTION("""COMPUTED_VALUE"""),0.32727272727272727)</f>
        <v>0.3272727273</v>
      </c>
      <c r="J693" s="30">
        <f>IFERROR(__xludf.DUMMYFUNCTION("""COMPUTED_VALUE"""),347.14285714285717)</f>
        <v>347.1428571</v>
      </c>
      <c r="K693" s="30">
        <f>IFERROR(__xludf.DUMMYFUNCTION("""COMPUTED_VALUE"""),0.8571428571428571)</f>
        <v>0.8571428571</v>
      </c>
      <c r="L693" s="30">
        <f>IFERROR(__xludf.DUMMYFUNCTION("""COMPUTED_VALUE"""),0.47619047619047616)</f>
        <v>0.4761904762</v>
      </c>
      <c r="M693" s="30">
        <f>IFERROR(__xludf.DUMMYFUNCTION("""COMPUTED_VALUE"""),1.3333333333333333)</f>
        <v>1.333333333</v>
      </c>
      <c r="N693" s="30">
        <f>IFERROR(__xludf.DUMMYFUNCTION("""COMPUTED_VALUE"""),2.619047619047619)</f>
        <v>2.619047619</v>
      </c>
      <c r="O693" s="30">
        <f>IFERROR(__xludf.DUMMYFUNCTION("""COMPUTED_VALUE"""),338.46031746031747)</f>
        <v>338.4603175</v>
      </c>
      <c r="P693" s="30">
        <f>IFERROR(__xludf.DUMMYFUNCTION("""COMPUTED_VALUE"""),0.7142857142857142)</f>
        <v>0.7142857143</v>
      </c>
      <c r="Q693" s="30">
        <f>IFERROR(__xludf.DUMMYFUNCTION("""COMPUTED_VALUE"""),0.4920634920634921)</f>
        <v>0.4920634921</v>
      </c>
      <c r="R693" s="30">
        <f>IFERROR(__xludf.DUMMYFUNCTION("""COMPUTED_VALUE"""),1.3968253968253965)</f>
        <v>1.396825397</v>
      </c>
      <c r="S693" s="30">
        <f>IFERROR(__xludf.DUMMYFUNCTION("""COMPUTED_VALUE"""),2.5079365079365084)</f>
        <v>2.507936508</v>
      </c>
      <c r="T693" s="30">
        <f>IFERROR(__xludf.DUMMYFUNCTION("""COMPUTED_VALUE"""),335.2235500200198)</f>
        <v>335.22355</v>
      </c>
      <c r="U693" s="30">
        <f>IFERROR(__xludf.DUMMYFUNCTION("""COMPUTED_VALUE"""),0.7995622081030478)</f>
        <v>0.7995622081</v>
      </c>
      <c r="V693" s="30">
        <f>IFERROR(__xludf.DUMMYFUNCTION("""COMPUTED_VALUE"""),0.5279620989948819)</f>
        <v>0.527962099</v>
      </c>
      <c r="W693" s="30">
        <f>IFERROR(__xludf.DUMMYFUNCTION("""COMPUTED_VALUE"""),1.1888542949385663)</f>
        <v>1.188854295</v>
      </c>
      <c r="X693" s="30">
        <f>IFERROR(__xludf.DUMMYFUNCTION("""COMPUTED_VALUE"""),2.5140953136021595)</f>
        <v>2.514095314</v>
      </c>
      <c r="Y693" s="30">
        <f>IFERROR(__xludf.DUMMYFUNCTION("""COMPUTED_VALUE"""),334.6867228548412)</f>
        <v>334.6867229</v>
      </c>
      <c r="Z693" s="30">
        <f>IFERROR(__xludf.DUMMYFUNCTION("""COMPUTED_VALUE"""),0.772991252854545)</f>
        <v>0.7729912529</v>
      </c>
      <c r="AA693" s="30">
        <f>IFERROR(__xludf.DUMMYFUNCTION("""COMPUTED_VALUE"""),0.5199463009720472)</f>
        <v>0.519946301</v>
      </c>
      <c r="AB693" s="30">
        <f>IFERROR(__xludf.DUMMYFUNCTION("""COMPUTED_VALUE"""),1.2501411714802322)</f>
        <v>1.250141171</v>
      </c>
      <c r="AC693" s="30">
        <f>IFERROR(__xludf.DUMMYFUNCTION("""COMPUTED_VALUE"""),2.4353571613086356)</f>
        <v>2.435357161</v>
      </c>
      <c r="AD693" s="30">
        <f>IFERROR(__xludf.DUMMYFUNCTION("""COMPUTED_VALUE"""),1.0372172943753684)</f>
        <v>1.037217294</v>
      </c>
      <c r="AE693" s="30">
        <f>IFERROR(__xludf.DUMMYFUNCTION("""COMPUTED_VALUE"""),1.1088648855696004)</f>
        <v>1.108864886</v>
      </c>
      <c r="AF693" s="30">
        <f>IFERROR(__xludf.DUMMYFUNCTION("""COMPUTED_VALUE"""),0.9158454926984404)</f>
        <v>0.9158454927</v>
      </c>
      <c r="AG693" s="30">
        <f>IFERROR(__xludf.DUMMYFUNCTION("""COMPUTED_VALUE"""),1.0665462139404602)</f>
        <v>1.066546214</v>
      </c>
      <c r="AH693" s="30">
        <f>IFERROR(__xludf.DUMMYFUNCTION("""COMPUTED_VALUE"""),1.0754264962270577)</f>
        <v>1.075426496</v>
      </c>
      <c r="AI693" s="30">
        <f>IFERROR(__xludf.DUMMYFUNCTION("""COMPUTED_VALUE"""),1.0096555490809174)</f>
        <v>1.009655549</v>
      </c>
      <c r="AJ693" s="30">
        <f>IFERROR(__xludf.DUMMYFUNCTION("""COMPUTED_VALUE"""),0.8933460174166421)</f>
        <v>0.8933460174</v>
      </c>
      <c r="AK693" s="30">
        <f>IFERROR(__xludf.DUMMYFUNCTION("""COMPUTED_VALUE"""),0.9320053333378807)</f>
        <v>0.9320053333</v>
      </c>
      <c r="AL693" s="30">
        <f>IFERROR(__xludf.DUMMYFUNCTION("""COMPUTED_VALUE"""),1.1749340543851734)</f>
        <v>1.174934054</v>
      </c>
      <c r="AM693" s="30">
        <f>IFERROR(__xludf.DUMMYFUNCTION("""COMPUTED_VALUE"""),0.9975502895087828)</f>
        <v>0.9975502895</v>
      </c>
      <c r="AN693" s="30">
        <f>IFERROR(__xludf.DUMMYFUNCTION("""COMPUTED_VALUE"""),1.0722844011548398)</f>
        <v>1.072284401</v>
      </c>
      <c r="AO693" s="30">
        <f>IFERROR(__xludf.DUMMYFUNCTION("""COMPUTED_VALUE"""),1.1621117469569044)</f>
        <v>1.162111747</v>
      </c>
      <c r="AP693" s="30">
        <f>IFERROR(__xludf.DUMMYFUNCTION("""COMPUTED_VALUE"""),0.9650917540177455)</f>
        <v>0.965091754</v>
      </c>
      <c r="AQ693" s="30">
        <f>IFERROR(__xludf.DUMMYFUNCTION("""COMPUTED_VALUE"""),1.105485805628902)</f>
        <v>1.105485806</v>
      </c>
      <c r="AR693" s="30">
        <f>IFERROR(__xludf.DUMMYFUNCTION("""COMPUTED_VALUE"""),1.1119230417805939)</f>
        <v>1.111923042</v>
      </c>
      <c r="AS693" s="30">
        <f>IFERROR(__xludf.DUMMYFUNCTION("""COMPUTED_VALUE"""),51.0)</f>
        <v>51</v>
      </c>
      <c r="AT693" s="30">
        <f>IFERROR(__xludf.DUMMYFUNCTION("""COMPUTED_VALUE"""),0.5482500551978903)</f>
        <v>0.5482500552</v>
      </c>
      <c r="AU693" s="30">
        <f>IFERROR(__xludf.DUMMYFUNCTION("""COMPUTED_VALUE"""),2.3419716963085175)</f>
        <v>2.341971696</v>
      </c>
      <c r="AV693" s="32">
        <f>IFERROR(__xludf.DUMMYFUNCTION("""COMPUTED_VALUE"""),62.120746285879044)</f>
        <v>62.12074629</v>
      </c>
      <c r="AW693" s="32">
        <f>IFERROR(__xludf.DUMMYFUNCTION("""COMPUTED_VALUE"""),3.185742930480877)</f>
        <v>3.18574293</v>
      </c>
      <c r="AX693" s="32">
        <f>IFERROR(__xludf.DUMMYFUNCTION("""COMPUTED_VALUE"""),48.207368477857194)</f>
        <v>48.20736848</v>
      </c>
      <c r="AY693" s="32">
        <f>IFERROR(__xludf.DUMMYFUNCTION("""COMPUTED_VALUE"""),-2.1212586328515766)</f>
        <v>-2.121258633</v>
      </c>
      <c r="AZ693" s="30">
        <f>IFERROR(__xludf.DUMMYFUNCTION("""COMPUTED_VALUE"""),5.307001563332454)</f>
        <v>5.307001563</v>
      </c>
      <c r="BA693" s="30">
        <f>IFERROR(__xludf.DUMMYFUNCTION("""COMPUTED_VALUE"""),2700.0)</f>
        <v>2700</v>
      </c>
    </row>
    <row r="694">
      <c r="A694" s="71" t="str">
        <f>IFERROR(__xludf.DUMMYFUNCTION("""COMPUTED_VALUE"""),"Prospect")</f>
        <v>Prospect</v>
      </c>
      <c r="B694" s="71" t="str">
        <f>IFERROR(__xludf.DUMMYFUNCTION("""COMPUTED_VALUE"""),"RSC000221")</f>
        <v>RSC000221</v>
      </c>
      <c r="C694" s="30" t="str">
        <f>IFERROR(__xludf.DUMMYFUNCTION("""COMPUTED_VALUE"""),"Treefrog")</f>
        <v>Treefrog</v>
      </c>
      <c r="D694" s="30" t="str">
        <f>IFERROR(__xludf.DUMMYFUNCTION("""COMPUTED_VALUE"""),"Dime")</f>
        <v>Dime</v>
      </c>
      <c r="E694" s="30">
        <f>IFERROR(__xludf.DUMMYFUNCTION("""COMPUTED_VALUE"""),31.0)</f>
        <v>31</v>
      </c>
      <c r="F694" s="30">
        <f>IFERROR(__xludf.DUMMYFUNCTION("""COMPUTED_VALUE"""),19.0)</f>
        <v>19</v>
      </c>
      <c r="G694" s="42">
        <f>IFERROR(__xludf.DUMMYFUNCTION("""COMPUTED_VALUE"""),12.0)</f>
        <v>12</v>
      </c>
      <c r="H694" s="42">
        <f>IFERROR(__xludf.DUMMYFUNCTION("""COMPUTED_VALUE"""),0.6129032258064516)</f>
        <v>0.6129032258</v>
      </c>
      <c r="I694" s="42">
        <f>IFERROR(__xludf.DUMMYFUNCTION("""COMPUTED_VALUE"""),0.3255813953488372)</f>
        <v>0.3255813953</v>
      </c>
      <c r="J694" s="30">
        <f>IFERROR(__xludf.DUMMYFUNCTION("""COMPUTED_VALUE"""),348.3225806451613)</f>
        <v>348.3225806</v>
      </c>
      <c r="K694" s="30">
        <f>IFERROR(__xludf.DUMMYFUNCTION("""COMPUTED_VALUE"""),0.9032258064516129)</f>
        <v>0.9032258065</v>
      </c>
      <c r="L694" s="30">
        <f>IFERROR(__xludf.DUMMYFUNCTION("""COMPUTED_VALUE"""),0.7741935483870968)</f>
        <v>0.7741935484</v>
      </c>
      <c r="M694" s="30">
        <f>IFERROR(__xludf.DUMMYFUNCTION("""COMPUTED_VALUE"""),0.9354838709677419)</f>
        <v>0.935483871</v>
      </c>
      <c r="N694" s="30">
        <f>IFERROR(__xludf.DUMMYFUNCTION("""COMPUTED_VALUE"""),2.774193548387097)</f>
        <v>2.774193548</v>
      </c>
      <c r="O694" s="30">
        <f>IFERROR(__xludf.DUMMYFUNCTION("""COMPUTED_VALUE"""),315.4623655913979)</f>
        <v>315.4623656</v>
      </c>
      <c r="P694" s="30">
        <f>IFERROR(__xludf.DUMMYFUNCTION("""COMPUTED_VALUE"""),0.6774193548387095)</f>
        <v>0.6774193548</v>
      </c>
      <c r="Q694" s="30">
        <f>IFERROR(__xludf.DUMMYFUNCTION("""COMPUTED_VALUE"""),0.4301075268817205)</f>
        <v>0.4301075269</v>
      </c>
      <c r="R694" s="30">
        <f>IFERROR(__xludf.DUMMYFUNCTION("""COMPUTED_VALUE"""),1.3440860215053763)</f>
        <v>1.344086022</v>
      </c>
      <c r="S694" s="30">
        <f>IFERROR(__xludf.DUMMYFUNCTION("""COMPUTED_VALUE"""),2.0537634408602155)</f>
        <v>2.053763441</v>
      </c>
      <c r="T694" s="30">
        <f>IFERROR(__xludf.DUMMYFUNCTION("""COMPUTED_VALUE"""),330.8602519962225)</f>
        <v>330.860252</v>
      </c>
      <c r="U694" s="30">
        <f>IFERROR(__xludf.DUMMYFUNCTION("""COMPUTED_VALUE"""),0.7825729502556424)</f>
        <v>0.7825729503</v>
      </c>
      <c r="V694" s="30">
        <f>IFERROR(__xludf.DUMMYFUNCTION("""COMPUTED_VALUE"""),0.5101826555009061)</f>
        <v>0.5101826555</v>
      </c>
      <c r="W694" s="30">
        <f>IFERROR(__xludf.DUMMYFUNCTION("""COMPUTED_VALUE"""),1.2088172247566518)</f>
        <v>1.208817225</v>
      </c>
      <c r="X694" s="30">
        <f>IFERROR(__xludf.DUMMYFUNCTION("""COMPUTED_VALUE"""),2.468810259339144)</f>
        <v>2.468810259</v>
      </c>
      <c r="Y694" s="30">
        <f>IFERROR(__xludf.DUMMYFUNCTION("""COMPUTED_VALUE"""),338.3628660185497)</f>
        <v>338.362866</v>
      </c>
      <c r="Z694" s="30">
        <f>IFERROR(__xludf.DUMMYFUNCTION("""COMPUTED_VALUE"""),0.7845273205371025)</f>
        <v>0.7845273205</v>
      </c>
      <c r="AA694" s="30">
        <f>IFERROR(__xludf.DUMMYFUNCTION("""COMPUTED_VALUE"""),0.5316076980112648)</f>
        <v>0.531607698</v>
      </c>
      <c r="AB694" s="30">
        <f>IFERROR(__xludf.DUMMYFUNCTION("""COMPUTED_VALUE"""),1.2474015127778704)</f>
        <v>1.247401513</v>
      </c>
      <c r="AC694" s="30">
        <f>IFERROR(__xludf.DUMMYFUNCTION("""COMPUTED_VALUE"""),2.5162267783362955)</f>
        <v>2.516226778</v>
      </c>
      <c r="AD694" s="30">
        <f>IFERROR(__xludf.DUMMYFUNCTION("""COMPUTED_VALUE"""),1.0294350108326176)</f>
        <v>1.029435011</v>
      </c>
      <c r="AE694" s="30">
        <f>IFERROR(__xludf.DUMMYFUNCTION("""COMPUTED_VALUE"""),1.1512993656272508)</f>
        <v>1.151299366</v>
      </c>
      <c r="AF694" s="30">
        <f>IFERROR(__xludf.DUMMYFUNCTION("""COMPUTED_VALUE"""),1.4563249390167625)</f>
        <v>1.456324939</v>
      </c>
      <c r="AG694" s="30">
        <f>IFERROR(__xludf.DUMMYFUNCTION("""COMPUTED_VALUE"""),0.7499460770129169)</f>
        <v>0.749946077</v>
      </c>
      <c r="AH694" s="30">
        <f>IFERROR(__xludf.DUMMYFUNCTION("""COMPUTED_VALUE"""),1.1025212720378752)</f>
        <v>1.102521272</v>
      </c>
      <c r="AI694" s="30">
        <f>IFERROR(__xludf.DUMMYFUNCTION("""COMPUTED_VALUE"""),0.9534610570114648)</f>
        <v>0.953461057</v>
      </c>
      <c r="AJ694" s="30">
        <f>IFERROR(__xludf.DUMMYFUNCTION("""COMPUTED_VALUE"""),0.8656309352596682)</f>
        <v>0.8656309353</v>
      </c>
      <c r="AK694" s="30">
        <f>IFERROR(__xludf.DUMMYFUNCTION("""COMPUTED_VALUE"""),0.8430461565954913)</f>
        <v>0.8430461566</v>
      </c>
      <c r="AL694" s="30">
        <f>IFERROR(__xludf.DUMMYFUNCTION("""COMPUTED_VALUE"""),1.1119017780177276)</f>
        <v>1.111901778</v>
      </c>
      <c r="AM694" s="30">
        <f>IFERROR(__xludf.DUMMYFUNCTION("""COMPUTED_VALUE"""),0.8318838732507419)</f>
        <v>0.8318838733</v>
      </c>
      <c r="AN694" s="30">
        <f>IFERROR(__xludf.DUMMYFUNCTION("""COMPUTED_VALUE"""),1.07592843151055)</f>
        <v>1.075928432</v>
      </c>
      <c r="AO694" s="30">
        <f>IFERROR(__xludf.DUMMYFUNCTION("""COMPUTED_VALUE"""),1.2245908731373834)</f>
        <v>1.224590873</v>
      </c>
      <c r="AP694" s="30">
        <f>IFERROR(__xludf.DUMMYFUNCTION("""COMPUTED_VALUE"""),1.5690524000804635)</f>
        <v>1.5690524</v>
      </c>
      <c r="AQ694" s="30">
        <f>IFERROR(__xludf.DUMMYFUNCTION("""COMPUTED_VALUE"""),0.7756231055622135)</f>
        <v>0.7756231056</v>
      </c>
      <c r="AR694" s="30">
        <f>IFERROR(__xludf.DUMMYFUNCTION("""COMPUTED_VALUE"""),1.1777906237277143)</f>
        <v>1.177790624</v>
      </c>
      <c r="AS694" s="30">
        <f>IFERROR(__xludf.DUMMYFUNCTION("""COMPUTED_VALUE"""),85.0)</f>
        <v>85</v>
      </c>
      <c r="AT694" s="30">
        <f>IFERROR(__xludf.DUMMYFUNCTION("""COMPUTED_VALUE"""),0.6151706317189368)</f>
        <v>0.6151706317</v>
      </c>
      <c r="AU694" s="30">
        <f>IFERROR(__xludf.DUMMYFUNCTION("""COMPUTED_VALUE"""),2.902956835400887)</f>
        <v>2.902956835</v>
      </c>
      <c r="AV694" s="32">
        <f>IFERROR(__xludf.DUMMYFUNCTION("""COMPUTED_VALUE"""),79.9669147967065)</f>
        <v>79.9669148</v>
      </c>
      <c r="AW694" s="32">
        <f>IFERROR(__xludf.DUMMYFUNCTION("""COMPUTED_VALUE"""),8.671006781069302)</f>
        <v>8.671006781</v>
      </c>
      <c r="AX694" s="32">
        <f>IFERROR(__xludf.DUMMYFUNCTION("""COMPUTED_VALUE"""),63.46337311155496)</f>
        <v>63.46337311</v>
      </c>
      <c r="AY694" s="32">
        <f>IFERROR(__xludf.DUMMYFUNCTION("""COMPUTED_VALUE"""),3.3886370150969403)</f>
        <v>3.388637015</v>
      </c>
      <c r="AZ694" s="30">
        <f>IFERROR(__xludf.DUMMYFUNCTION("""COMPUTED_VALUE"""),5.282369765972362)</f>
        <v>5.282369766</v>
      </c>
      <c r="BA694" s="30">
        <f>IFERROR(__xludf.DUMMYFUNCTION("""COMPUTED_VALUE"""),2700.0)</f>
        <v>2700</v>
      </c>
    </row>
    <row r="695">
      <c r="A695" s="71" t="str">
        <f>IFERROR(__xludf.DUMMYFUNCTION("""COMPUTED_VALUE"""),"Prospect")</f>
        <v>Prospect</v>
      </c>
      <c r="B695" s="71" t="str">
        <f>IFERROR(__xludf.DUMMYFUNCTION("""COMPUTED_VALUE"""),"RSC005603")</f>
        <v>RSC005603</v>
      </c>
      <c r="C695" s="30" t="str">
        <f>IFERROR(__xludf.DUMMYFUNCTION("""COMPUTED_VALUE"""),"Aiden_23-")</f>
        <v>Aiden_23-</v>
      </c>
      <c r="D695" s="30" t="str">
        <f>IFERROR(__xludf.DUMMYFUNCTION("""COMPUTED_VALUE"""),"Emus")</f>
        <v>Emus</v>
      </c>
      <c r="E695" s="30">
        <f>IFERROR(__xludf.DUMMYFUNCTION("""COMPUTED_VALUE"""),35.0)</f>
        <v>35</v>
      </c>
      <c r="F695" s="30">
        <f>IFERROR(__xludf.DUMMYFUNCTION("""COMPUTED_VALUE"""),19.0)</f>
        <v>19</v>
      </c>
      <c r="G695" s="42">
        <f>IFERROR(__xludf.DUMMYFUNCTION("""COMPUTED_VALUE"""),16.0)</f>
        <v>16</v>
      </c>
      <c r="H695" s="42">
        <f>IFERROR(__xludf.DUMMYFUNCTION("""COMPUTED_VALUE"""),0.5428571428571428)</f>
        <v>0.5428571429</v>
      </c>
      <c r="I695" s="42">
        <f>IFERROR(__xludf.DUMMYFUNCTION("""COMPUTED_VALUE"""),0.3090909090909091)</f>
        <v>0.3090909091</v>
      </c>
      <c r="J695" s="30">
        <f>IFERROR(__xludf.DUMMYFUNCTION("""COMPUTED_VALUE"""),362.42857142857144)</f>
        <v>362.4285714</v>
      </c>
      <c r="K695" s="30">
        <f>IFERROR(__xludf.DUMMYFUNCTION("""COMPUTED_VALUE"""),0.9714285714285714)</f>
        <v>0.9714285714</v>
      </c>
      <c r="L695" s="30">
        <f>IFERROR(__xludf.DUMMYFUNCTION("""COMPUTED_VALUE"""),0.6)</f>
        <v>0.6</v>
      </c>
      <c r="M695" s="30">
        <f>IFERROR(__xludf.DUMMYFUNCTION("""COMPUTED_VALUE"""),1.0)</f>
        <v>1</v>
      </c>
      <c r="N695" s="30">
        <f>IFERROR(__xludf.DUMMYFUNCTION("""COMPUTED_VALUE"""),3.142857142857143)</f>
        <v>3.142857143</v>
      </c>
      <c r="O695" s="30">
        <f>IFERROR(__xludf.DUMMYFUNCTION("""COMPUTED_VALUE"""),340.9142857142857)</f>
        <v>340.9142857</v>
      </c>
      <c r="P695" s="30">
        <f>IFERROR(__xludf.DUMMYFUNCTION("""COMPUTED_VALUE"""),0.7714285714285715)</f>
        <v>0.7714285714</v>
      </c>
      <c r="Q695" s="30">
        <f>IFERROR(__xludf.DUMMYFUNCTION("""COMPUTED_VALUE"""),0.4571428571428571)</f>
        <v>0.4571428571</v>
      </c>
      <c r="R695" s="30">
        <f>IFERROR(__xludf.DUMMYFUNCTION("""COMPUTED_VALUE"""),1.4285714285714286)</f>
        <v>1.428571429</v>
      </c>
      <c r="S695" s="30">
        <f>IFERROR(__xludf.DUMMYFUNCTION("""COMPUTED_VALUE"""),2.3904761904761913)</f>
        <v>2.39047619</v>
      </c>
      <c r="T695" s="30">
        <f>IFERROR(__xludf.DUMMYFUNCTION("""COMPUTED_VALUE"""),339.9396865250134)</f>
        <v>339.9396865</v>
      </c>
      <c r="U695" s="30">
        <f>IFERROR(__xludf.DUMMYFUNCTION("""COMPUTED_VALUE"""),0.8055409881514983)</f>
        <v>0.8055409882</v>
      </c>
      <c r="V695" s="30">
        <f>IFERROR(__xludf.DUMMYFUNCTION("""COMPUTED_VALUE"""),0.512414120719861)</f>
        <v>0.5124141207</v>
      </c>
      <c r="W695" s="30">
        <f>IFERROR(__xludf.DUMMYFUNCTION("""COMPUTED_VALUE"""),1.242538661582509)</f>
        <v>1.242538662</v>
      </c>
      <c r="X695" s="30">
        <f>IFERROR(__xludf.DUMMYFUNCTION("""COMPUTED_VALUE"""),2.491300572499391)</f>
        <v>2.491300572</v>
      </c>
      <c r="Y695" s="30">
        <f>IFERROR(__xludf.DUMMYFUNCTION("""COMPUTED_VALUE"""),333.2645004301388)</f>
        <v>333.2645004</v>
      </c>
      <c r="Z695" s="30">
        <f>IFERROR(__xludf.DUMMYFUNCTION("""COMPUTED_VALUE"""),0.7789050907342601)</f>
        <v>0.7789050907</v>
      </c>
      <c r="AA695" s="30">
        <f>IFERROR(__xludf.DUMMYFUNCTION("""COMPUTED_VALUE"""),0.5302786316607659)</f>
        <v>0.5302786317</v>
      </c>
      <c r="AB695" s="30">
        <f>IFERROR(__xludf.DUMMYFUNCTION("""COMPUTED_VALUE"""),1.206092507360063)</f>
        <v>1.206092507</v>
      </c>
      <c r="AC695" s="30">
        <f>IFERROR(__xludf.DUMMYFUNCTION("""COMPUTED_VALUE"""),2.429476249067396)</f>
        <v>2.429476249</v>
      </c>
      <c r="AD695" s="30">
        <f>IFERROR(__xludf.DUMMYFUNCTION("""COMPUTED_VALUE"""),1.0875102837559687)</f>
        <v>1.087510284</v>
      </c>
      <c r="AE695" s="30">
        <f>IFERROR(__xludf.DUMMYFUNCTION("""COMPUTED_VALUE"""),1.2471719378709194)</f>
        <v>1.247171938</v>
      </c>
      <c r="AF695" s="30">
        <f>IFERROR(__xludf.DUMMYFUNCTION("""COMPUTED_VALUE"""),1.1314806295718074)</f>
        <v>1.13148063</v>
      </c>
      <c r="AG695" s="30">
        <f>IFERROR(__xludf.DUMMYFUNCTION("""COMPUTED_VALUE"""),0.8291237976337608)</f>
        <v>0.8291237976</v>
      </c>
      <c r="AH695" s="30">
        <f>IFERROR(__xludf.DUMMYFUNCTION("""COMPUTED_VALUE"""),1.2936356731470797)</f>
        <v>1.293635673</v>
      </c>
      <c r="AI695" s="30">
        <f>IFERROR(__xludf.DUMMYFUNCTION("""COMPUTED_VALUE"""),1.0028669767841318)</f>
        <v>1.002866977</v>
      </c>
      <c r="AJ695" s="30">
        <f>IFERROR(__xludf.DUMMYFUNCTION("""COMPUTED_VALUE"""),0.9576527858610823)</f>
        <v>0.9576527859</v>
      </c>
      <c r="AK695" s="30">
        <f>IFERROR(__xludf.DUMMYFUNCTION("""COMPUTED_VALUE"""),0.8921355572727845)</f>
        <v>0.8921355573</v>
      </c>
      <c r="AL695" s="30">
        <f>IFERROR(__xludf.DUMMYFUNCTION("""COMPUTED_VALUE"""),1.1497199022781204)</f>
        <v>1.149719902</v>
      </c>
      <c r="AM695" s="30">
        <f>IFERROR(__xludf.DUMMYFUNCTION("""COMPUTED_VALUE"""),0.9595294188360227)</f>
        <v>0.9595294188</v>
      </c>
      <c r="AN695" s="30">
        <f>IFERROR(__xludf.DUMMYFUNCTION("""COMPUTED_VALUE"""),1.1195002163497239)</f>
        <v>1.119500216</v>
      </c>
      <c r="AO695" s="30">
        <f>IFERROR(__xludf.DUMMYFUNCTION("""COMPUTED_VALUE"""),1.3170599798844917)</f>
        <v>1.31705998</v>
      </c>
      <c r="AP695" s="30">
        <f>IFERROR(__xludf.DUMMYFUNCTION("""COMPUTED_VALUE"""),1.2160156100623594)</f>
        <v>1.21601561</v>
      </c>
      <c r="AQ695" s="30">
        <f>IFERROR(__xludf.DUMMYFUNCTION("""COMPUTED_VALUE"""),0.8291143542216766)</f>
        <v>0.8291143542</v>
      </c>
      <c r="AR695" s="30">
        <f>IFERROR(__xludf.DUMMYFUNCTION("""COMPUTED_VALUE"""),1.3343076501367126)</f>
        <v>1.33430765</v>
      </c>
      <c r="AS695" s="30">
        <f>IFERROR(__xludf.DUMMYFUNCTION("""COMPUTED_VALUE"""),83.0)</f>
        <v>83</v>
      </c>
      <c r="AT695" s="30">
        <f>IFERROR(__xludf.DUMMYFUNCTION("""COMPUTED_VALUE"""),0.5094981295940921)</f>
        <v>0.5094981296</v>
      </c>
      <c r="AU695" s="30">
        <f>IFERROR(__xludf.DUMMYFUNCTION("""COMPUTED_VALUE"""),2.8780227989936282)</f>
        <v>2.878022799</v>
      </c>
      <c r="AV695" s="32">
        <f>IFERROR(__xludf.DUMMYFUNCTION("""COMPUTED_VALUE"""),79.1737083739856)</f>
        <v>79.17370837</v>
      </c>
      <c r="AW695" s="32">
        <f>IFERROR(__xludf.DUMMYFUNCTION("""COMPUTED_VALUE"""),8.2226281642115)</f>
        <v>8.222628164</v>
      </c>
      <c r="AX695" s="32">
        <f>IFERROR(__xludf.DUMMYFUNCTION("""COMPUTED_VALUE"""),61.03859205272665)</f>
        <v>61.03859205</v>
      </c>
      <c r="AY695" s="32">
        <f>IFERROR(__xludf.DUMMYFUNCTION("""COMPUTED_VALUE"""),3.0357331054464702)</f>
        <v>3.035733105</v>
      </c>
      <c r="AZ695" s="30">
        <f>IFERROR(__xludf.DUMMYFUNCTION("""COMPUTED_VALUE"""),5.18689505876503)</f>
        <v>5.186895059</v>
      </c>
      <c r="BA695" s="30">
        <f>IFERROR(__xludf.DUMMYFUNCTION("""COMPUTED_VALUE"""),2700.0)</f>
        <v>2700</v>
      </c>
    </row>
    <row r="696">
      <c r="A696" s="71" t="str">
        <f>IFERROR(__xludf.DUMMYFUNCTION("""COMPUTED_VALUE"""),"Prospect")</f>
        <v>Prospect</v>
      </c>
      <c r="B696" s="71" t="str">
        <f>IFERROR(__xludf.DUMMYFUNCTION("""COMPUTED_VALUE"""),"RSC007886")</f>
        <v>RSC007886</v>
      </c>
      <c r="C696" s="30" t="str">
        <f>IFERROR(__xludf.DUMMYFUNCTION("""COMPUTED_VALUE"""),"BabyDino8453")</f>
        <v>BabyDino8453</v>
      </c>
      <c r="D696" s="30" t="str">
        <f>IFERROR(__xludf.DUMMYFUNCTION("""COMPUTED_VALUE"""),"Dime")</f>
        <v>Dime</v>
      </c>
      <c r="E696" s="30">
        <f>IFERROR(__xludf.DUMMYFUNCTION("""COMPUTED_VALUE"""),18.0)</f>
        <v>18</v>
      </c>
      <c r="F696" s="30">
        <f>IFERROR(__xludf.DUMMYFUNCTION("""COMPUTED_VALUE"""),9.0)</f>
        <v>9</v>
      </c>
      <c r="G696" s="42">
        <f>IFERROR(__xludf.DUMMYFUNCTION("""COMPUTED_VALUE"""),9.0)</f>
        <v>9</v>
      </c>
      <c r="H696" s="42">
        <f>IFERROR(__xludf.DUMMYFUNCTION("""COMPUTED_VALUE"""),0.5)</f>
        <v>0.5</v>
      </c>
      <c r="I696" s="42">
        <f>IFERROR(__xludf.DUMMYFUNCTION("""COMPUTED_VALUE"""),0.33333333333333337)</f>
        <v>0.3333333333</v>
      </c>
      <c r="J696" s="30">
        <f>IFERROR(__xludf.DUMMYFUNCTION("""COMPUTED_VALUE"""),297.8333333333333)</f>
        <v>297.8333333</v>
      </c>
      <c r="K696" s="30">
        <f>IFERROR(__xludf.DUMMYFUNCTION("""COMPUTED_VALUE"""),0.8333333333333334)</f>
        <v>0.8333333333</v>
      </c>
      <c r="L696" s="30">
        <f>IFERROR(__xludf.DUMMYFUNCTION("""COMPUTED_VALUE"""),0.4444444444444444)</f>
        <v>0.4444444444</v>
      </c>
      <c r="M696" s="30">
        <f>IFERROR(__xludf.DUMMYFUNCTION("""COMPUTED_VALUE"""),0.8888888888888888)</f>
        <v>0.8888888889</v>
      </c>
      <c r="N696" s="30">
        <f>IFERROR(__xludf.DUMMYFUNCTION("""COMPUTED_VALUE"""),2.5)</f>
        <v>2.5</v>
      </c>
      <c r="O696" s="30">
        <f>IFERROR(__xludf.DUMMYFUNCTION("""COMPUTED_VALUE"""),318.03703703703707)</f>
        <v>318.037037</v>
      </c>
      <c r="P696" s="30">
        <f>IFERROR(__xludf.DUMMYFUNCTION("""COMPUTED_VALUE"""),0.7037037037037037)</f>
        <v>0.7037037037</v>
      </c>
      <c r="Q696" s="30">
        <f>IFERROR(__xludf.DUMMYFUNCTION("""COMPUTED_VALUE"""),0.4259259259259259)</f>
        <v>0.4259259259</v>
      </c>
      <c r="R696" s="30">
        <f>IFERROR(__xludf.DUMMYFUNCTION("""COMPUTED_VALUE"""),1.3888888888888888)</f>
        <v>1.388888889</v>
      </c>
      <c r="S696" s="30">
        <f>IFERROR(__xludf.DUMMYFUNCTION("""COMPUTED_VALUE"""),2.074074074074074)</f>
        <v>2.074074074</v>
      </c>
      <c r="T696" s="30">
        <f>IFERROR(__xludf.DUMMYFUNCTION("""COMPUTED_VALUE"""),327.00866438115077)</f>
        <v>327.0086644</v>
      </c>
      <c r="U696" s="30">
        <f>IFERROR(__xludf.DUMMYFUNCTION("""COMPUTED_VALUE"""),0.6905311285236764)</f>
        <v>0.6905311285</v>
      </c>
      <c r="V696" s="30">
        <f>IFERROR(__xludf.DUMMYFUNCTION("""COMPUTED_VALUE"""),0.4734917097739976)</f>
        <v>0.4734917098</v>
      </c>
      <c r="W696" s="30">
        <f>IFERROR(__xludf.DUMMYFUNCTION("""COMPUTED_VALUE"""),1.3113649981696471)</f>
        <v>1.311364998</v>
      </c>
      <c r="X696" s="30">
        <f>IFERROR(__xludf.DUMMYFUNCTION("""COMPUTED_VALUE"""),2.3413142733481465)</f>
        <v>2.341314273</v>
      </c>
      <c r="Y696" s="30">
        <f>IFERROR(__xludf.DUMMYFUNCTION("""COMPUTED_VALUE"""),343.1543378516013)</f>
        <v>343.1543379</v>
      </c>
      <c r="Z696" s="30">
        <f>IFERROR(__xludf.DUMMYFUNCTION("""COMPUTED_VALUE"""),0.8491691807788336)</f>
        <v>0.8491691808</v>
      </c>
      <c r="AA696" s="30">
        <f>IFERROR(__xludf.DUMMYFUNCTION("""COMPUTED_VALUE"""),0.5527993089409767)</f>
        <v>0.5527993089</v>
      </c>
      <c r="AB696" s="30">
        <f>IFERROR(__xludf.DUMMYFUNCTION("""COMPUTED_VALUE"""),1.1694188465437274)</f>
        <v>1.169418847</v>
      </c>
      <c r="AC696" s="30">
        <f>IFERROR(__xludf.DUMMYFUNCTION("""COMPUTED_VALUE"""),2.6914667852775676)</f>
        <v>2.691466785</v>
      </c>
      <c r="AD696" s="30">
        <f>IFERROR(__xludf.DUMMYFUNCTION("""COMPUTED_VALUE"""),0.8679282191156001)</f>
        <v>0.8679282191</v>
      </c>
      <c r="AE696" s="30">
        <f>IFERROR(__xludf.DUMMYFUNCTION("""COMPUTED_VALUE"""),0.9813513634220968)</f>
        <v>0.9813513634</v>
      </c>
      <c r="AF696" s="30">
        <f>IFERROR(__xludf.DUMMYFUNCTION("""COMPUTED_VALUE"""),0.8039887844575769)</f>
        <v>0.8039887845</v>
      </c>
      <c r="AG696" s="30">
        <f>IFERROR(__xludf.DUMMYFUNCTION("""COMPUTED_VALUE"""),0.7601116499157183)</f>
        <v>0.7601116499</v>
      </c>
      <c r="AH696" s="30">
        <f>IFERROR(__xludf.DUMMYFUNCTION("""COMPUTED_VALUE"""),0.9288615463044543)</f>
        <v>0.9288615463</v>
      </c>
      <c r="AI696" s="30">
        <f>IFERROR(__xludf.DUMMYFUNCTION("""COMPUTED_VALUE"""),0.972564557697295)</f>
        <v>0.9725645577</v>
      </c>
      <c r="AJ696" s="30">
        <f>IFERROR(__xludf.DUMMYFUNCTION("""COMPUTED_VALUE"""),1.0190760048836462)</f>
        <v>1.019076005</v>
      </c>
      <c r="AK696" s="30">
        <f>IFERROR(__xludf.DUMMYFUNCTION("""COMPUTED_VALUE"""),0.8995425202464994)</f>
        <v>0.8995425202</v>
      </c>
      <c r="AL696" s="30">
        <f>IFERROR(__xludf.DUMMYFUNCTION("""COMPUTED_VALUE"""),1.0591169436636227)</f>
        <v>1.059116944</v>
      </c>
      <c r="AM696" s="30">
        <f>IFERROR(__xludf.DUMMYFUNCTION("""COMPUTED_VALUE"""),0.8858588945891868)</f>
        <v>0.8858588946</v>
      </c>
      <c r="AN696" s="30">
        <f>IFERROR(__xludf.DUMMYFUNCTION("""COMPUTED_VALUE"""),0.9199729474654246)</f>
        <v>0.9199729475</v>
      </c>
      <c r="AO696" s="30">
        <f>IFERROR(__xludf.DUMMYFUNCTION("""COMPUTED_VALUE"""),1.1298308650969906)</f>
        <v>1.129830865</v>
      </c>
      <c r="AP696" s="30">
        <f>IFERROR(__xludf.DUMMYFUNCTION("""COMPUTED_VALUE"""),0.9007523037498958)</f>
        <v>0.9007523037</v>
      </c>
      <c r="AQ696" s="30">
        <f>IFERROR(__xludf.DUMMYFUNCTION("""COMPUTED_VALUE"""),0.7369905370859346)</f>
        <v>0.7369905371</v>
      </c>
      <c r="AR696" s="30">
        <f>IFERROR(__xludf.DUMMYFUNCTION("""COMPUTED_VALUE"""),1.0613810853360215)</f>
        <v>1.061381085</v>
      </c>
      <c r="AS696" s="30">
        <f>IFERROR(__xludf.DUMMYFUNCTION("""COMPUTED_VALUE"""),52.0)</f>
        <v>52</v>
      </c>
      <c r="AT696" s="30">
        <f>IFERROR(__xludf.DUMMYFUNCTION("""COMPUTED_VALUE"""),0.6219436007703155)</f>
        <v>0.6219436008</v>
      </c>
      <c r="AU696" s="30">
        <f>IFERROR(__xludf.DUMMYFUNCTION("""COMPUTED_VALUE"""),2.023885280475823)</f>
        <v>2.02388528</v>
      </c>
      <c r="AV696" s="32">
        <f>IFERROR(__xludf.DUMMYFUNCTION("""COMPUTED_VALUE"""),52.00171927004803)</f>
        <v>52.00171927</v>
      </c>
      <c r="AW696" s="32">
        <f>IFERROR(__xludf.DUMMYFUNCTION("""COMPUTED_VALUE"""),2.1363354594283)</f>
        <v>2.136335459</v>
      </c>
      <c r="AX696" s="32">
        <f>IFERROR(__xludf.DUMMYFUNCTION("""COMPUTED_VALUE"""),39.575670528528505)</f>
        <v>39.57567053</v>
      </c>
      <c r="AY696" s="32">
        <f>IFERROR(__xludf.DUMMYFUNCTION("""COMPUTED_VALUE"""),-2.955528054266091)</f>
        <v>-2.955528054</v>
      </c>
      <c r="AZ696" s="30">
        <f>IFERROR(__xludf.DUMMYFUNCTION("""COMPUTED_VALUE"""),5.091863513694391)</f>
        <v>5.091863514</v>
      </c>
      <c r="BA696" s="30">
        <f>IFERROR(__xludf.DUMMYFUNCTION("""COMPUTED_VALUE"""),2700.0)</f>
        <v>2700</v>
      </c>
    </row>
    <row r="697">
      <c r="A697" s="71" t="str">
        <f>IFERROR(__xludf.DUMMYFUNCTION("""COMPUTED_VALUE"""),"Prospect")</f>
        <v>Prospect</v>
      </c>
      <c r="B697" s="71" t="str">
        <f>IFERROR(__xludf.DUMMYFUNCTION("""COMPUTED_VALUE"""),"RSC007865")</f>
        <v>RSC007865</v>
      </c>
      <c r="C697" s="30" t="str">
        <f>IFERROR(__xludf.DUMMYFUNCTION("""COMPUTED_VALUE"""),"StoveMessiah")</f>
        <v>StoveMessiah</v>
      </c>
      <c r="D697" s="30" t="str">
        <f>IFERROR(__xludf.DUMMYFUNCTION("""COMPUTED_VALUE"""),"Emus")</f>
        <v>Emus</v>
      </c>
      <c r="E697" s="30">
        <f>IFERROR(__xludf.DUMMYFUNCTION("""COMPUTED_VALUE"""),21.0)</f>
        <v>21</v>
      </c>
      <c r="F697" s="30">
        <f>IFERROR(__xludf.DUMMYFUNCTION("""COMPUTED_VALUE"""),11.0)</f>
        <v>11</v>
      </c>
      <c r="G697" s="42">
        <f>IFERROR(__xludf.DUMMYFUNCTION("""COMPUTED_VALUE"""),10.0)</f>
        <v>10</v>
      </c>
      <c r="H697" s="42">
        <f>IFERROR(__xludf.DUMMYFUNCTION("""COMPUTED_VALUE"""),0.5238095238095238)</f>
        <v>0.5238095238</v>
      </c>
      <c r="I697" s="42">
        <f>IFERROR(__xludf.DUMMYFUNCTION("""COMPUTED_VALUE"""),0.23636363636363636)</f>
        <v>0.2363636364</v>
      </c>
      <c r="J697" s="30">
        <f>IFERROR(__xludf.DUMMYFUNCTION("""COMPUTED_VALUE"""),299.3333333333333)</f>
        <v>299.3333333</v>
      </c>
      <c r="K697" s="30">
        <f>IFERROR(__xludf.DUMMYFUNCTION("""COMPUTED_VALUE"""),0.6190476190476191)</f>
        <v>0.619047619</v>
      </c>
      <c r="L697" s="30">
        <f>IFERROR(__xludf.DUMMYFUNCTION("""COMPUTED_VALUE"""),0.5238095238095238)</f>
        <v>0.5238095238</v>
      </c>
      <c r="M697" s="30">
        <f>IFERROR(__xludf.DUMMYFUNCTION("""COMPUTED_VALUE"""),0.9047619047619048)</f>
        <v>0.9047619048</v>
      </c>
      <c r="N697" s="30">
        <f>IFERROR(__xludf.DUMMYFUNCTION("""COMPUTED_VALUE"""),2.619047619047619)</f>
        <v>2.619047619</v>
      </c>
      <c r="O697" s="30">
        <f>IFERROR(__xludf.DUMMYFUNCTION("""COMPUTED_VALUE"""),348.031746031746)</f>
        <v>348.031746</v>
      </c>
      <c r="P697" s="30">
        <f>IFERROR(__xludf.DUMMYFUNCTION("""COMPUTED_VALUE"""),0.746031746031746)</f>
        <v>0.746031746</v>
      </c>
      <c r="Q697" s="30">
        <f>IFERROR(__xludf.DUMMYFUNCTION("""COMPUTED_VALUE"""),0.44444444444444436)</f>
        <v>0.4444444444</v>
      </c>
      <c r="R697" s="30">
        <f>IFERROR(__xludf.DUMMYFUNCTION("""COMPUTED_VALUE"""),1.5555555555555558)</f>
        <v>1.555555556</v>
      </c>
      <c r="S697" s="30">
        <f>IFERROR(__xludf.DUMMYFUNCTION("""COMPUTED_VALUE"""),2.1904761904761902)</f>
        <v>2.19047619</v>
      </c>
      <c r="T697" s="30">
        <f>IFERROR(__xludf.DUMMYFUNCTION("""COMPUTED_VALUE"""),337.2903932046439)</f>
        <v>337.2903932</v>
      </c>
      <c r="U697" s="30">
        <f>IFERROR(__xludf.DUMMYFUNCTION("""COMPUTED_VALUE"""),0.7980314344794819)</f>
        <v>0.7980314345</v>
      </c>
      <c r="V697" s="30">
        <f>IFERROR(__xludf.DUMMYFUNCTION("""COMPUTED_VALUE"""),0.5209515453292943)</f>
        <v>0.5209515453</v>
      </c>
      <c r="W697" s="30">
        <f>IFERROR(__xludf.DUMMYFUNCTION("""COMPUTED_VALUE"""),1.1962080655163583)</f>
        <v>1.196208066</v>
      </c>
      <c r="X697" s="30">
        <f>IFERROR(__xludf.DUMMYFUNCTION("""COMPUTED_VALUE"""),2.489278789726641)</f>
        <v>2.48927879</v>
      </c>
      <c r="Y697" s="30">
        <f>IFERROR(__xludf.DUMMYFUNCTION("""COMPUTED_VALUE"""),331.30068469950527)</f>
        <v>331.3006847</v>
      </c>
      <c r="Z697" s="30">
        <f>IFERROR(__xludf.DUMMYFUNCTION("""COMPUTED_VALUE"""),0.7803683849193008)</f>
        <v>0.7803683849</v>
      </c>
      <c r="AA697" s="30">
        <f>IFERROR(__xludf.DUMMYFUNCTION("""COMPUTED_VALUE"""),0.5196039197715903)</f>
        <v>0.5196039198</v>
      </c>
      <c r="AB697" s="30">
        <f>IFERROR(__xludf.DUMMYFUNCTION("""COMPUTED_VALUE"""),1.2055757918677596)</f>
        <v>1.205575792</v>
      </c>
      <c r="AC697" s="30">
        <f>IFERROR(__xludf.DUMMYFUNCTION("""COMPUTED_VALUE"""),2.3779280175779824)</f>
        <v>2.377928018</v>
      </c>
      <c r="AD697" s="30">
        <f>IFERROR(__xludf.DUMMYFUNCTION("""COMPUTED_VALUE"""),0.9035095523718376)</f>
        <v>0.9035095524</v>
      </c>
      <c r="AE697" s="30">
        <f>IFERROR(__xludf.DUMMYFUNCTION("""COMPUTED_VALUE"""),0.793276138565808)</f>
        <v>0.7932761386</v>
      </c>
      <c r="AF697" s="30">
        <f>IFERROR(__xludf.DUMMYFUNCTION("""COMPUTED_VALUE"""),1.0080938651112992)</f>
        <v>1.008093865</v>
      </c>
      <c r="AG697" s="30">
        <f>IFERROR(__xludf.DUMMYFUNCTION("""COMPUTED_VALUE"""),0.750481148398133)</f>
        <v>0.7504811484</v>
      </c>
      <c r="AH697" s="30">
        <f>IFERROR(__xludf.DUMMYFUNCTION("""COMPUTED_VALUE"""),1.1013990329762913)</f>
        <v>1.101399033</v>
      </c>
      <c r="AI697" s="30">
        <f>IFERROR(__xludf.DUMMYFUNCTION("""COMPUTED_VALUE"""),1.031846008790962)</f>
        <v>1.031846009</v>
      </c>
      <c r="AJ697" s="30">
        <f>IFERROR(__xludf.DUMMYFUNCTION("""COMPUTED_VALUE"""),0.934840049901477)</f>
        <v>0.9348400499</v>
      </c>
      <c r="AK697" s="30">
        <f>IFERROR(__xludf.DUMMYFUNCTION("""COMPUTED_VALUE"""),0.8531396987478179)</f>
        <v>0.8531396987</v>
      </c>
      <c r="AL697" s="30">
        <f>IFERROR(__xludf.DUMMYFUNCTION("""COMPUTED_VALUE"""),1.300405506699272)</f>
        <v>1.300405507</v>
      </c>
      <c r="AM697" s="30">
        <f>IFERROR(__xludf.DUMMYFUNCTION("""COMPUTED_VALUE"""),0.8799641886302082)</f>
        <v>0.8799641886</v>
      </c>
      <c r="AN697" s="30">
        <f>IFERROR(__xludf.DUMMYFUNCTION("""COMPUTED_VALUE"""),0.9246062751247356)</f>
        <v>0.9246062751</v>
      </c>
      <c r="AO697" s="30">
        <f>IFERROR(__xludf.DUMMYFUNCTION("""COMPUTED_VALUE"""),0.8393029283577644)</f>
        <v>0.8393029284</v>
      </c>
      <c r="AP697" s="30">
        <f>IFERROR(__xludf.DUMMYFUNCTION("""COMPUTED_VALUE"""),1.0616009294195201)</f>
        <v>1.061600929</v>
      </c>
      <c r="AQ697" s="30">
        <f>IFERROR(__xludf.DUMMYFUNCTION("""COMPUTED_VALUE"""),0.7501510823910407)</f>
        <v>0.7501510824</v>
      </c>
      <c r="AR697" s="30">
        <f>IFERROR(__xludf.DUMMYFUNCTION("""COMPUTED_VALUE"""),1.1119230417805939)</f>
        <v>1.111923042</v>
      </c>
      <c r="AS697" s="30">
        <f>IFERROR(__xludf.DUMMYFUNCTION("""COMPUTED_VALUE"""),50.0)</f>
        <v>50</v>
      </c>
      <c r="AT697" s="30">
        <f>IFERROR(__xludf.DUMMYFUNCTION("""COMPUTED_VALUE"""),0.5239801163704626)</f>
        <v>0.5239801164</v>
      </c>
      <c r="AU697" s="30">
        <f>IFERROR(__xludf.DUMMYFUNCTION("""COMPUTED_VALUE"""),2.011305431191717)</f>
        <v>2.011305431</v>
      </c>
      <c r="AV697" s="32">
        <f>IFERROR(__xludf.DUMMYFUNCTION("""COMPUTED_VALUE"""),51.60152665437876)</f>
        <v>51.60152665</v>
      </c>
      <c r="AW697" s="32">
        <f>IFERROR(__xludf.DUMMYFUNCTION("""COMPUTED_VALUE"""),2.1076556735928675)</f>
        <v>2.107655674</v>
      </c>
      <c r="AX697" s="32">
        <f>IFERROR(__xludf.DUMMYFUNCTION("""COMPUTED_VALUE"""),40.74061592148069)</f>
        <v>40.74061592</v>
      </c>
      <c r="AY697" s="32">
        <f>IFERROR(__xludf.DUMMYFUNCTION("""COMPUTED_VALUE"""),-2.8125327606864543)</f>
        <v>-2.812532761</v>
      </c>
      <c r="AZ697" s="30">
        <f>IFERROR(__xludf.DUMMYFUNCTION("""COMPUTED_VALUE"""),4.920188434279321)</f>
        <v>4.920188434</v>
      </c>
      <c r="BA697" s="30">
        <f>IFERROR(__xludf.DUMMYFUNCTION("""COMPUTED_VALUE"""),2700.0)</f>
        <v>2700</v>
      </c>
    </row>
    <row r="698">
      <c r="A698" s="71" t="str">
        <f>IFERROR(__xludf.DUMMYFUNCTION("""COMPUTED_VALUE"""),"Prospect")</f>
        <v>Prospect</v>
      </c>
      <c r="B698" s="71" t="str">
        <f>IFERROR(__xludf.DUMMYFUNCTION("""COMPUTED_VALUE"""),"RSC007487")</f>
        <v>RSC007487</v>
      </c>
      <c r="C698" s="30" t="str">
        <f>IFERROR(__xludf.DUMMYFUNCTION("""COMPUTED_VALUE"""),"YoloOnTinder")</f>
        <v>YoloOnTinder</v>
      </c>
      <c r="D698" s="30" t="str">
        <f>IFERROR(__xludf.DUMMYFUNCTION("""COMPUTED_VALUE"""),"Dime")</f>
        <v>Dime</v>
      </c>
      <c r="E698" s="30">
        <f>IFERROR(__xludf.DUMMYFUNCTION("""COMPUTED_VALUE"""),23.0)</f>
        <v>23</v>
      </c>
      <c r="F698" s="30">
        <f>IFERROR(__xludf.DUMMYFUNCTION("""COMPUTED_VALUE"""),16.0)</f>
        <v>16</v>
      </c>
      <c r="G698" s="42">
        <f>IFERROR(__xludf.DUMMYFUNCTION("""COMPUTED_VALUE"""),7.0)</f>
        <v>7</v>
      </c>
      <c r="H698" s="42">
        <f>IFERROR(__xludf.DUMMYFUNCTION("""COMPUTED_VALUE"""),0.6956521739130435)</f>
        <v>0.6956521739</v>
      </c>
      <c r="I698" s="42">
        <f>IFERROR(__xludf.DUMMYFUNCTION("""COMPUTED_VALUE"""),0.18867924528301885)</f>
        <v>0.1886792453</v>
      </c>
      <c r="J698" s="30">
        <f>IFERROR(__xludf.DUMMYFUNCTION("""COMPUTED_VALUE"""),282.0869565217391)</f>
        <v>282.0869565</v>
      </c>
      <c r="K698" s="30">
        <f>IFERROR(__xludf.DUMMYFUNCTION("""COMPUTED_VALUE"""),0.43478260869565216)</f>
        <v>0.4347826087</v>
      </c>
      <c r="L698" s="30">
        <f>IFERROR(__xludf.DUMMYFUNCTION("""COMPUTED_VALUE"""),0.9130434782608695)</f>
        <v>0.9130434783</v>
      </c>
      <c r="M698" s="30">
        <f>IFERROR(__xludf.DUMMYFUNCTION("""COMPUTED_VALUE"""),0.9130434782608695)</f>
        <v>0.9130434783</v>
      </c>
      <c r="N698" s="30">
        <f>IFERROR(__xludf.DUMMYFUNCTION("""COMPUTED_VALUE"""),2.3043478260869565)</f>
        <v>2.304347826</v>
      </c>
      <c r="O698" s="30">
        <f>IFERROR(__xludf.DUMMYFUNCTION("""COMPUTED_VALUE"""),301.44927536231893)</f>
        <v>301.4492754</v>
      </c>
      <c r="P698" s="30">
        <f>IFERROR(__xludf.DUMMYFUNCTION("""COMPUTED_VALUE"""),0.5652173913043479)</f>
        <v>0.5652173913</v>
      </c>
      <c r="Q698" s="30">
        <f>IFERROR(__xludf.DUMMYFUNCTION("""COMPUTED_VALUE"""),0.4202898550724637)</f>
        <v>0.4202898551</v>
      </c>
      <c r="R698" s="30">
        <f>IFERROR(__xludf.DUMMYFUNCTION("""COMPUTED_VALUE"""),1.3333333333333335)</f>
        <v>1.333333333</v>
      </c>
      <c r="S698" s="30">
        <f>IFERROR(__xludf.DUMMYFUNCTION("""COMPUTED_VALUE"""),1.9275362318840583)</f>
        <v>1.927536232</v>
      </c>
      <c r="T698" s="30">
        <f>IFERROR(__xludf.DUMMYFUNCTION("""COMPUTED_VALUE"""),339.15786915471256)</f>
        <v>339.1578692</v>
      </c>
      <c r="U698" s="30">
        <f>IFERROR(__xludf.DUMMYFUNCTION("""COMPUTED_VALUE"""),0.7768578378063739)</f>
        <v>0.7768578378</v>
      </c>
      <c r="V698" s="30">
        <f>IFERROR(__xludf.DUMMYFUNCTION("""COMPUTED_VALUE"""),0.5252794702376101)</f>
        <v>0.5252794702</v>
      </c>
      <c r="W698" s="30">
        <f>IFERROR(__xludf.DUMMYFUNCTION("""COMPUTED_VALUE"""),1.3130442251272323)</f>
        <v>1.313044225</v>
      </c>
      <c r="X698" s="30">
        <f>IFERROR(__xludf.DUMMYFUNCTION("""COMPUTED_VALUE"""),2.454678986039689)</f>
        <v>2.454678986</v>
      </c>
      <c r="Y698" s="30">
        <f>IFERROR(__xludf.DUMMYFUNCTION("""COMPUTED_VALUE"""),334.4511263224362)</f>
        <v>334.4511263</v>
      </c>
      <c r="Z698" s="30">
        <f>IFERROR(__xludf.DUMMYFUNCTION("""COMPUTED_VALUE"""),0.7727910707797137)</f>
        <v>0.7727910708</v>
      </c>
      <c r="AA698" s="30">
        <f>IFERROR(__xludf.DUMMYFUNCTION("""COMPUTED_VALUE"""),0.5187606061417863)</f>
        <v>0.5187606061</v>
      </c>
      <c r="AB698" s="30">
        <f>IFERROR(__xludf.DUMMYFUNCTION("""COMPUTED_VALUE"""),1.2094870673687652)</f>
        <v>1.209487067</v>
      </c>
      <c r="AC698" s="30">
        <f>IFERROR(__xludf.DUMMYFUNCTION("""COMPUTED_VALUE"""),2.560203966718942)</f>
        <v>2.560203967</v>
      </c>
      <c r="AD698" s="30">
        <f>IFERROR(__xludf.DUMMYFUNCTION("""COMPUTED_VALUE"""),0.8434325206899914)</f>
        <v>0.8434325207</v>
      </c>
      <c r="AE698" s="30">
        <f>IFERROR(__xludf.DUMMYFUNCTION("""COMPUTED_VALUE"""),0.5626133959557462)</f>
        <v>0.562613396</v>
      </c>
      <c r="AF698" s="30">
        <f>IFERROR(__xludf.DUMMYFUNCTION("""COMPUTED_VALUE"""),1.7600478283258825)</f>
        <v>1.760047828</v>
      </c>
      <c r="AG698" s="30">
        <f>IFERROR(__xludf.DUMMYFUNCTION("""COMPUTED_VALUE"""),0.75490139819948)</f>
        <v>0.7549013982</v>
      </c>
      <c r="AH698" s="30">
        <f>IFERROR(__xludf.DUMMYFUNCTION("""COMPUTED_VALUE"""),0.9000641574038803)</f>
        <v>0.9000641574</v>
      </c>
      <c r="AI698" s="30">
        <f>IFERROR(__xludf.DUMMYFUNCTION("""COMPUTED_VALUE"""),0.8888169869495429)</f>
        <v>0.8888169869</v>
      </c>
      <c r="AJ698" s="30">
        <f>IFERROR(__xludf.DUMMYFUNCTION("""COMPUTED_VALUE"""),0.7275686281293904)</f>
        <v>0.7275686281</v>
      </c>
      <c r="AK698" s="30">
        <f>IFERROR(__xludf.DUMMYFUNCTION("""COMPUTED_VALUE"""),0.8001261783224568)</f>
        <v>0.8001261783</v>
      </c>
      <c r="AL698" s="30">
        <f>IFERROR(__xludf.DUMMYFUNCTION("""COMPUTED_VALUE"""),1.0154519610366781)</f>
        <v>1.015451961</v>
      </c>
      <c r="AM698" s="30">
        <f>IFERROR(__xludf.DUMMYFUNCTION("""COMPUTED_VALUE"""),0.7852498199749907)</f>
        <v>0.78524982</v>
      </c>
      <c r="AN698" s="30">
        <f>IFERROR(__xludf.DUMMYFUNCTION("""COMPUTED_VALUE"""),0.8713341986553624)</f>
        <v>0.8713341987</v>
      </c>
      <c r="AO698" s="30">
        <f>IFERROR(__xludf.DUMMYFUNCTION("""COMPUTED_VALUE"""),0.589476973094082)</f>
        <v>0.5894769731</v>
      </c>
      <c r="AP698" s="30">
        <f>IFERROR(__xludf.DUMMYFUNCTION("""COMPUTED_VALUE"""),1.8504585370514162)</f>
        <v>1.850458537</v>
      </c>
      <c r="AQ698" s="30">
        <f>IFERROR(__xludf.DUMMYFUNCTION("""COMPUTED_VALUE"""),0.7570174538545742)</f>
        <v>0.7570174539</v>
      </c>
      <c r="AR698" s="30">
        <f>IFERROR(__xludf.DUMMYFUNCTION("""COMPUTED_VALUE"""),0.9783164786575502)</f>
        <v>0.9783164787</v>
      </c>
      <c r="AS698" s="30">
        <f>IFERROR(__xludf.DUMMYFUNCTION("""COMPUTED_VALUE"""),67.0)</f>
        <v>67</v>
      </c>
      <c r="AT698" s="30">
        <f>IFERROR(__xludf.DUMMYFUNCTION("""COMPUTED_VALUE"""),0.6982494040861325)</f>
        <v>0.6982494041</v>
      </c>
      <c r="AU698" s="30">
        <f>IFERROR(__xludf.DUMMYFUNCTION("""COMPUTED_VALUE"""),2.21800547670807)</f>
        <v>2.218005477</v>
      </c>
      <c r="AV698" s="32">
        <f>IFERROR(__xludf.DUMMYFUNCTION("""COMPUTED_VALUE"""),58.17710876239813)</f>
        <v>58.17710876</v>
      </c>
      <c r="AW698" s="32">
        <f>IFERROR(__xludf.DUMMYFUNCTION("""COMPUTED_VALUE"""),2.6896032882787693)</f>
        <v>2.689603288</v>
      </c>
      <c r="AX698" s="32">
        <f>IFERROR(__xludf.DUMMYFUNCTION("""COMPUTED_VALUE"""),48.718841594077595)</f>
        <v>48.71884159</v>
      </c>
      <c r="AY698" s="32">
        <f>IFERROR(__xludf.DUMMYFUNCTION("""COMPUTED_VALUE"""),-2.085224742194136)</f>
        <v>-2.085224742</v>
      </c>
      <c r="AZ698" s="30">
        <f>IFERROR(__xludf.DUMMYFUNCTION("""COMPUTED_VALUE"""),4.774828030472905)</f>
        <v>4.77482803</v>
      </c>
      <c r="BA698" s="30">
        <f>IFERROR(__xludf.DUMMYFUNCTION("""COMPUTED_VALUE"""),2700.0)</f>
        <v>2700</v>
      </c>
    </row>
    <row r="699">
      <c r="A699" s="71" t="str">
        <f>IFERROR(__xludf.DUMMYFUNCTION("""COMPUTED_VALUE"""),"Prospect")</f>
        <v>Prospect</v>
      </c>
      <c r="B699" s="71" t="str">
        <f>IFERROR(__xludf.DUMMYFUNCTION("""COMPUTED_VALUE"""),"RSC007423")</f>
        <v>RSC007423</v>
      </c>
      <c r="C699" s="30" t="str">
        <f>IFERROR(__xludf.DUMMYFUNCTION("""COMPUTED_VALUE"""),"Valuedsquash465")</f>
        <v>Valuedsquash465</v>
      </c>
      <c r="D699" s="30" t="str">
        <f>IFERROR(__xludf.DUMMYFUNCTION("""COMPUTED_VALUE"""),"Tic Tacs")</f>
        <v>Tic Tacs</v>
      </c>
      <c r="E699" s="30">
        <f>IFERROR(__xludf.DUMMYFUNCTION("""COMPUTED_VALUE"""),18.0)</f>
        <v>18</v>
      </c>
      <c r="F699" s="30">
        <f>IFERROR(__xludf.DUMMYFUNCTION("""COMPUTED_VALUE"""),7.0)</f>
        <v>7</v>
      </c>
      <c r="G699" s="42">
        <f>IFERROR(__xludf.DUMMYFUNCTION("""COMPUTED_VALUE"""),11.0)</f>
        <v>11</v>
      </c>
      <c r="H699" s="42">
        <f>IFERROR(__xludf.DUMMYFUNCTION("""COMPUTED_VALUE"""),0.3888888888888889)</f>
        <v>0.3888888889</v>
      </c>
      <c r="I699" s="42">
        <f>IFERROR(__xludf.DUMMYFUNCTION("""COMPUTED_VALUE"""),0.3095238095238095)</f>
        <v>0.3095238095</v>
      </c>
      <c r="J699" s="30">
        <f>IFERROR(__xludf.DUMMYFUNCTION("""COMPUTED_VALUE"""),346.1666666666667)</f>
        <v>346.1666667</v>
      </c>
      <c r="K699" s="30">
        <f>IFERROR(__xludf.DUMMYFUNCTION("""COMPUTED_VALUE"""),0.7222222222222222)</f>
        <v>0.7222222222</v>
      </c>
      <c r="L699" s="30">
        <f>IFERROR(__xludf.DUMMYFUNCTION("""COMPUTED_VALUE"""),0.8333333333333334)</f>
        <v>0.8333333333</v>
      </c>
      <c r="M699" s="30">
        <f>IFERROR(__xludf.DUMMYFUNCTION("""COMPUTED_VALUE"""),1.4444444444444444)</f>
        <v>1.444444444</v>
      </c>
      <c r="N699" s="30">
        <f>IFERROR(__xludf.DUMMYFUNCTION("""COMPUTED_VALUE"""),2.3333333333333335)</f>
        <v>2.333333333</v>
      </c>
      <c r="O699" s="30">
        <f>IFERROR(__xludf.DUMMYFUNCTION("""COMPUTED_VALUE"""),364.6111111111111)</f>
        <v>364.6111111</v>
      </c>
      <c r="P699" s="30">
        <f>IFERROR(__xludf.DUMMYFUNCTION("""COMPUTED_VALUE"""),1.074074074074074)</f>
        <v>1.074074074</v>
      </c>
      <c r="Q699" s="30">
        <f>IFERROR(__xludf.DUMMYFUNCTION("""COMPUTED_VALUE"""),0.5370370370370371)</f>
        <v>0.537037037</v>
      </c>
      <c r="R699" s="30">
        <f>IFERROR(__xludf.DUMMYFUNCTION("""COMPUTED_VALUE"""),1.0740740740740737)</f>
        <v>1.074074074</v>
      </c>
      <c r="S699" s="30">
        <f>IFERROR(__xludf.DUMMYFUNCTION("""COMPUTED_VALUE"""),3.0)</f>
        <v>3</v>
      </c>
      <c r="T699" s="30">
        <f>IFERROR(__xludf.DUMMYFUNCTION("""COMPUTED_VALUE"""),335.07573883297835)</f>
        <v>335.0757388</v>
      </c>
      <c r="U699" s="30">
        <f>IFERROR(__xludf.DUMMYFUNCTION("""COMPUTED_VALUE"""),0.7881498060948695)</f>
        <v>0.7881498061</v>
      </c>
      <c r="V699" s="30">
        <f>IFERROR(__xludf.DUMMYFUNCTION("""COMPUTED_VALUE"""),0.49719317306210936)</f>
        <v>0.4971931731</v>
      </c>
      <c r="W699" s="30">
        <f>IFERROR(__xludf.DUMMYFUNCTION("""COMPUTED_VALUE"""),1.2508303451486984)</f>
        <v>1.250830345</v>
      </c>
      <c r="X699" s="30">
        <f>IFERROR(__xludf.DUMMYFUNCTION("""COMPUTED_VALUE"""),2.3233429300002237)</f>
        <v>2.32334293</v>
      </c>
      <c r="Y699" s="30">
        <f>IFERROR(__xludf.DUMMYFUNCTION("""COMPUTED_VALUE"""),333.1421789153192)</f>
        <v>333.1421789</v>
      </c>
      <c r="Z699" s="30">
        <f>IFERROR(__xludf.DUMMYFUNCTION("""COMPUTED_VALUE"""),0.7908012023254806)</f>
        <v>0.7908012023</v>
      </c>
      <c r="AA699" s="30">
        <f>IFERROR(__xludf.DUMMYFUNCTION("""COMPUTED_VALUE"""),0.5393619703045979)</f>
        <v>0.5393619703</v>
      </c>
      <c r="AB699" s="30">
        <f>IFERROR(__xludf.DUMMYFUNCTION("""COMPUTED_VALUE"""),1.141411820335139)</f>
        <v>1.14141182</v>
      </c>
      <c r="AC699" s="30">
        <f>IFERROR(__xludf.DUMMYFUNCTION("""COMPUTED_VALUE"""),2.5225749686971066)</f>
        <v>2.522574969</v>
      </c>
      <c r="AD699" s="30">
        <f>IFERROR(__xludf.DUMMYFUNCTION("""COMPUTED_VALUE"""),1.039095883306503)</f>
        <v>1.039095883</v>
      </c>
      <c r="AE699" s="30">
        <f>IFERROR(__xludf.DUMMYFUNCTION("""COMPUTED_VALUE"""),0.9132791150271514)</f>
        <v>0.913279115</v>
      </c>
      <c r="AF699" s="30">
        <f>IFERROR(__xludf.DUMMYFUNCTION("""COMPUTED_VALUE"""),1.5450353922111322)</f>
        <v>1.545035392</v>
      </c>
      <c r="AG699" s="30">
        <f>IFERROR(__xludf.DUMMYFUNCTION("""COMPUTED_VALUE"""),1.265489299051003)</f>
        <v>1.265489299</v>
      </c>
      <c r="AH699" s="30">
        <f>IFERROR(__xludf.DUMMYFUNCTION("""COMPUTED_VALUE"""),0.9249807685749315)</f>
        <v>0.9249807686</v>
      </c>
      <c r="AI699" s="30">
        <f>IFERROR(__xludf.DUMMYFUNCTION("""COMPUTED_VALUE"""),1.0881453619441392)</f>
        <v>1.088145362</v>
      </c>
      <c r="AJ699" s="30">
        <f>IFERROR(__xludf.DUMMYFUNCTION("""COMPUTED_VALUE"""),1.3627790881481074)</f>
        <v>1.362779088</v>
      </c>
      <c r="AK699" s="30">
        <f>IFERROR(__xludf.DUMMYFUNCTION("""COMPUTED_VALUE"""),1.0801375926574728)</f>
        <v>1.080137593</v>
      </c>
      <c r="AL699" s="30">
        <f>IFERROR(__xludf.DUMMYFUNCTION("""COMPUTED_VALUE"""),0.8586888527607539)</f>
        <v>0.8586888528</v>
      </c>
      <c r="AM699" s="30">
        <f>IFERROR(__xludf.DUMMYFUNCTION("""COMPUTED_VALUE"""),1.2912428730440197)</f>
        <v>1.291242873</v>
      </c>
      <c r="AN699" s="30">
        <f>IFERROR(__xludf.DUMMYFUNCTION("""COMPUTED_VALUE"""),1.0692690609321136)</f>
        <v>1.069269061</v>
      </c>
      <c r="AO699" s="30">
        <f>IFERROR(__xludf.DUMMYFUNCTION("""COMPUTED_VALUE"""),0.9791867497507252)</f>
        <v>0.9791867498</v>
      </c>
      <c r="AP699" s="30">
        <f>IFERROR(__xludf.DUMMYFUNCTION("""COMPUTED_VALUE"""),1.6889105695310547)</f>
        <v>1.68891057</v>
      </c>
      <c r="AQ699" s="30">
        <f>IFERROR(__xludf.DUMMYFUNCTION("""COMPUTED_VALUE"""),1.197609622764644)</f>
        <v>1.197609623</v>
      </c>
      <c r="AR699" s="30">
        <f>IFERROR(__xludf.DUMMYFUNCTION("""COMPUTED_VALUE"""),0.99062234631362)</f>
        <v>0.9906223463</v>
      </c>
      <c r="AS699" s="30">
        <f>IFERROR(__xludf.DUMMYFUNCTION("""COMPUTED_VALUE"""),41.0)</f>
        <v>41</v>
      </c>
      <c r="AT699" s="30">
        <f>IFERROR(__xludf.DUMMYFUNCTION("""COMPUTED_VALUE"""),0.36220980590949137)</f>
        <v>0.3622098059</v>
      </c>
      <c r="AU699" s="30">
        <f>IFERROR(__xludf.DUMMYFUNCTION("""COMPUTED_VALUE"""),2.1604807737506384)</f>
        <v>2.160480774</v>
      </c>
      <c r="AV699" s="32">
        <f>IFERROR(__xludf.DUMMYFUNCTION("""COMPUTED_VALUE"""),56.34712170752788)</f>
        <v>56.34712171</v>
      </c>
      <c r="AW699" s="32">
        <f>IFERROR(__xludf.DUMMYFUNCTION("""COMPUTED_VALUE"""),2.5012990959230916)</f>
        <v>2.501299096</v>
      </c>
      <c r="AX699" s="32">
        <f>IFERROR(__xludf.DUMMYFUNCTION("""COMPUTED_VALUE"""),49.57942589640783)</f>
        <v>49.5794259</v>
      </c>
      <c r="AY699" s="32">
        <f>IFERROR(__xludf.DUMMYFUNCTION("""COMPUTED_VALUE"""),-2.027209510637978)</f>
        <v>-2.027209511</v>
      </c>
      <c r="AZ699" s="30">
        <f>IFERROR(__xludf.DUMMYFUNCTION("""COMPUTED_VALUE"""),4.52850860656107)</f>
        <v>4.528508607</v>
      </c>
      <c r="BA699" s="30">
        <f>IFERROR(__xludf.DUMMYFUNCTION("""COMPUTED_VALUE"""),2700.0)</f>
        <v>2700</v>
      </c>
    </row>
    <row r="700">
      <c r="A700" s="71" t="str">
        <f>IFERROR(__xludf.DUMMYFUNCTION("""COMPUTED_VALUE"""),"Prospect")</f>
        <v>Prospect</v>
      </c>
      <c r="B700" s="71" t="str">
        <f>IFERROR(__xludf.DUMMYFUNCTION("""COMPUTED_VALUE"""),"RSC003335")</f>
        <v>RSC003335</v>
      </c>
      <c r="C700" s="30" t="str">
        <f>IFERROR(__xludf.DUMMYFUNCTION("""COMPUTED_VALUE"""),"xEaglex20x")</f>
        <v>xEaglex20x</v>
      </c>
      <c r="D700" s="30" t="str">
        <f>IFERROR(__xludf.DUMMYFUNCTION("""COMPUTED_VALUE"""),"Earth")</f>
        <v>Earth</v>
      </c>
      <c r="E700" s="30">
        <f>IFERROR(__xludf.DUMMYFUNCTION("""COMPUTED_VALUE"""),33.0)</f>
        <v>33</v>
      </c>
      <c r="F700" s="30">
        <f>IFERROR(__xludf.DUMMYFUNCTION("""COMPUTED_VALUE"""),19.0)</f>
        <v>19</v>
      </c>
      <c r="G700" s="42">
        <f>IFERROR(__xludf.DUMMYFUNCTION("""COMPUTED_VALUE"""),14.0)</f>
        <v>14</v>
      </c>
      <c r="H700" s="42">
        <f>IFERROR(__xludf.DUMMYFUNCTION("""COMPUTED_VALUE"""),0.5757575757575758)</f>
        <v>0.5757575758</v>
      </c>
      <c r="I700" s="42">
        <f>IFERROR(__xludf.DUMMYFUNCTION("""COMPUTED_VALUE"""),0.3)</f>
        <v>0.3</v>
      </c>
      <c r="J700" s="30">
        <f>IFERROR(__xludf.DUMMYFUNCTION("""COMPUTED_VALUE"""),318.0)</f>
        <v>318</v>
      </c>
      <c r="K700" s="30">
        <f>IFERROR(__xludf.DUMMYFUNCTION("""COMPUTED_VALUE"""),0.7272727272727273)</f>
        <v>0.7272727273</v>
      </c>
      <c r="L700" s="30">
        <f>IFERROR(__xludf.DUMMYFUNCTION("""COMPUTED_VALUE"""),0.6363636363636364)</f>
        <v>0.6363636364</v>
      </c>
      <c r="M700" s="30">
        <f>IFERROR(__xludf.DUMMYFUNCTION("""COMPUTED_VALUE"""),1.2424242424242424)</f>
        <v>1.242424242</v>
      </c>
      <c r="N700" s="30">
        <f>IFERROR(__xludf.DUMMYFUNCTION("""COMPUTED_VALUE"""),2.4242424242424243)</f>
        <v>2.424242424</v>
      </c>
      <c r="O700" s="30">
        <f>IFERROR(__xludf.DUMMYFUNCTION("""COMPUTED_VALUE"""),326.32323232323233)</f>
        <v>326.3232323</v>
      </c>
      <c r="P700" s="30">
        <f>IFERROR(__xludf.DUMMYFUNCTION("""COMPUTED_VALUE"""),0.7272727272727271)</f>
        <v>0.7272727273</v>
      </c>
      <c r="Q700" s="30">
        <f>IFERROR(__xludf.DUMMYFUNCTION("""COMPUTED_VALUE"""),0.43434343434343425)</f>
        <v>0.4343434343</v>
      </c>
      <c r="R700" s="30">
        <f>IFERROR(__xludf.DUMMYFUNCTION("""COMPUTED_VALUE"""),1.3838383838383839)</f>
        <v>1.383838384</v>
      </c>
      <c r="S700" s="30">
        <f>IFERROR(__xludf.DUMMYFUNCTION("""COMPUTED_VALUE"""),2.07070707070707)</f>
        <v>2.070707071</v>
      </c>
      <c r="T700" s="30">
        <f>IFERROR(__xludf.DUMMYFUNCTION("""COMPUTED_VALUE"""),324.6303160514359)</f>
        <v>324.6303161</v>
      </c>
      <c r="U700" s="30">
        <f>IFERROR(__xludf.DUMMYFUNCTION("""COMPUTED_VALUE"""),0.742988806656082)</f>
        <v>0.7429888067</v>
      </c>
      <c r="V700" s="30">
        <f>IFERROR(__xludf.DUMMYFUNCTION("""COMPUTED_VALUE"""),0.46548462648489436)</f>
        <v>0.4654846265</v>
      </c>
      <c r="W700" s="30">
        <f>IFERROR(__xludf.DUMMYFUNCTION("""COMPUTED_VALUE"""),1.2318243661680957)</f>
        <v>1.231824366</v>
      </c>
      <c r="X700" s="30">
        <f>IFERROR(__xludf.DUMMYFUNCTION("""COMPUTED_VALUE"""),2.228587238005814)</f>
        <v>2.228587238</v>
      </c>
      <c r="Y700" s="30">
        <f>IFERROR(__xludf.DUMMYFUNCTION("""COMPUTED_VALUE"""),339.76775019327573)</f>
        <v>339.7677502</v>
      </c>
      <c r="Z700" s="30">
        <f>IFERROR(__xludf.DUMMYFUNCTION("""COMPUTED_VALUE"""),0.8280978213384278)</f>
        <v>0.8280978213</v>
      </c>
      <c r="AA700" s="30">
        <f>IFERROR(__xludf.DUMMYFUNCTION("""COMPUTED_VALUE"""),0.5676648244681153)</f>
        <v>0.5676648245</v>
      </c>
      <c r="AB700" s="30">
        <f>IFERROR(__xludf.DUMMYFUNCTION("""COMPUTED_VALUE"""),1.1060185873967296)</f>
        <v>1.106018587</v>
      </c>
      <c r="AC700" s="30">
        <f>IFERROR(__xludf.DUMMYFUNCTION("""COMPUTED_VALUE"""),2.6481925228231726)</f>
        <v>2.648192523</v>
      </c>
      <c r="AD700" s="30">
        <f>IFERROR(__xludf.DUMMYFUNCTION("""COMPUTED_VALUE"""),0.9359334422384313)</f>
        <v>0.9359334422</v>
      </c>
      <c r="AE700" s="30">
        <f>IFERROR(__xludf.DUMMYFUNCTION("""COMPUTED_VALUE"""),0.8782449470731125)</f>
        <v>0.8782449471</v>
      </c>
      <c r="AF700" s="30">
        <f>IFERROR(__xludf.DUMMYFUNCTION("""COMPUTED_VALUE"""),1.1210200261393504)</f>
        <v>1.121020026</v>
      </c>
      <c r="AG700" s="30">
        <f>IFERROR(__xludf.DUMMYFUNCTION("""COMPUTED_VALUE"""),1.123330345965139)</f>
        <v>1.123330346</v>
      </c>
      <c r="AH700" s="30">
        <f>IFERROR(__xludf.DUMMYFUNCTION("""COMPUTED_VALUE"""),0.9154328483859623)</f>
        <v>0.9154328484</v>
      </c>
      <c r="AI700" s="30">
        <f>IFERROR(__xludf.DUMMYFUNCTION("""COMPUTED_VALUE"""),1.0052149050414878)</f>
        <v>1.005214905</v>
      </c>
      <c r="AJ700" s="30">
        <f>IFERROR(__xludf.DUMMYFUNCTION("""COMPUTED_VALUE"""),0.978847488357076)</f>
        <v>0.9788474884</v>
      </c>
      <c r="AK700" s="30">
        <f>IFERROR(__xludf.DUMMYFUNCTION("""COMPUTED_VALUE"""),0.9330994186067482)</f>
        <v>0.9330994186</v>
      </c>
      <c r="AL700" s="30">
        <f>IFERROR(__xludf.DUMMYFUNCTION("""COMPUTED_VALUE"""),1.1234055940484167)</f>
        <v>1.123405594</v>
      </c>
      <c r="AM700" s="30">
        <f>IFERROR(__xludf.DUMMYFUNCTION("""COMPUTED_VALUE"""),0.9291568377462225)</f>
        <v>0.9291568377</v>
      </c>
      <c r="AN700" s="30">
        <f>IFERROR(__xludf.DUMMYFUNCTION("""COMPUTED_VALUE"""),0.9822654637739396)</f>
        <v>0.9822654638</v>
      </c>
      <c r="AO700" s="30">
        <f>IFERROR(__xludf.DUMMYFUNCTION("""COMPUTED_VALUE"""),0.9860342095391917)</f>
        <v>0.9860342095</v>
      </c>
      <c r="AP700" s="30">
        <f>IFERROR(__xludf.DUMMYFUNCTION("""COMPUTED_VALUE"""),1.2897135258237145)</f>
        <v>1.289713526</v>
      </c>
      <c r="AQ700" s="30">
        <f>IFERROR(__xludf.DUMMYFUNCTION("""COMPUTED_VALUE"""),1.0301117734269314)</f>
        <v>1.030111773</v>
      </c>
      <c r="AR700" s="30">
        <f>IFERROR(__xludf.DUMMYFUNCTION("""COMPUTED_VALUE"""),1.0292180221440208)</f>
        <v>1.029218022</v>
      </c>
      <c r="AS700" s="30">
        <f>IFERROR(__xludf.DUMMYFUNCTION("""COMPUTED_VALUE"""),89.0)</f>
        <v>89</v>
      </c>
      <c r="AT700" s="30">
        <f>IFERROR(__xludf.DUMMYFUNCTION("""COMPUTED_VALUE"""),0.5827461530572674)</f>
        <v>0.5827461531</v>
      </c>
      <c r="AU700" s="30">
        <f>IFERROR(__xludf.DUMMYFUNCTION("""COMPUTED_VALUE"""),2.121499928022303)</f>
        <v>2.121499928</v>
      </c>
      <c r="AV700" s="32">
        <f>IFERROR(__xludf.DUMMYFUNCTION("""COMPUTED_VALUE"""),55.107055450714086)</f>
        <v>55.10705545</v>
      </c>
      <c r="AW700" s="32">
        <f>IFERROR(__xludf.DUMMYFUNCTION("""COMPUTED_VALUE"""),2.386256219092894)</f>
        <v>2.386256219</v>
      </c>
      <c r="AX700" s="32">
        <f>IFERROR(__xludf.DUMMYFUNCTION("""COMPUTED_VALUE"""),48.45906367259316)</f>
        <v>48.45906367</v>
      </c>
      <c r="AY700" s="32">
        <f>IFERROR(__xludf.DUMMYFUNCTION("""COMPUTED_VALUE"""),-2.1033777556678683)</f>
        <v>-2.103377756</v>
      </c>
      <c r="AZ700" s="30">
        <f>IFERROR(__xludf.DUMMYFUNCTION("""COMPUTED_VALUE"""),4.489633974760762)</f>
        <v>4.489633975</v>
      </c>
      <c r="BA700" s="30">
        <f>IFERROR(__xludf.DUMMYFUNCTION("""COMPUTED_VALUE"""),2700.0)</f>
        <v>2700</v>
      </c>
    </row>
    <row r="701">
      <c r="A701" s="71" t="str">
        <f>IFERROR(__xludf.DUMMYFUNCTION("""COMPUTED_VALUE"""),"Prospect")</f>
        <v>Prospect</v>
      </c>
      <c r="B701" s="71" t="str">
        <f>IFERROR(__xludf.DUMMYFUNCTION("""COMPUTED_VALUE"""),"RSC007600")</f>
        <v>RSC007600</v>
      </c>
      <c r="C701" s="30" t="str">
        <f>IFERROR(__xludf.DUMMYFUNCTION("""COMPUTED_VALUE"""),"CN Tyson")</f>
        <v>CN Tyson</v>
      </c>
      <c r="D701" s="30" t="str">
        <f>IFERROR(__xludf.DUMMYFUNCTION("""COMPUTED_VALUE"""),"Mop Tops")</f>
        <v>Mop Tops</v>
      </c>
      <c r="E701" s="30">
        <f>IFERROR(__xludf.DUMMYFUNCTION("""COMPUTED_VALUE"""),30.0)</f>
        <v>30</v>
      </c>
      <c r="F701" s="30">
        <f>IFERROR(__xludf.DUMMYFUNCTION("""COMPUTED_VALUE"""),11.0)</f>
        <v>11</v>
      </c>
      <c r="G701" s="42">
        <f>IFERROR(__xludf.DUMMYFUNCTION("""COMPUTED_VALUE"""),19.0)</f>
        <v>19</v>
      </c>
      <c r="H701" s="42">
        <f>IFERROR(__xludf.DUMMYFUNCTION("""COMPUTED_VALUE"""),0.36666666666666664)</f>
        <v>0.3666666667</v>
      </c>
      <c r="I701" s="42">
        <f>IFERROR(__xludf.DUMMYFUNCTION("""COMPUTED_VALUE"""),0.2588235294117647)</f>
        <v>0.2588235294</v>
      </c>
      <c r="J701" s="30">
        <f>IFERROR(__xludf.DUMMYFUNCTION("""COMPUTED_VALUE"""),320.1)</f>
        <v>320.1</v>
      </c>
      <c r="K701" s="30">
        <f>IFERROR(__xludf.DUMMYFUNCTION("""COMPUTED_VALUE"""),0.7333333333333333)</f>
        <v>0.7333333333</v>
      </c>
      <c r="L701" s="30">
        <f>IFERROR(__xludf.DUMMYFUNCTION("""COMPUTED_VALUE"""),0.4)</f>
        <v>0.4</v>
      </c>
      <c r="M701" s="30">
        <f>IFERROR(__xludf.DUMMYFUNCTION("""COMPUTED_VALUE"""),1.3)</f>
        <v>1.3</v>
      </c>
      <c r="N701" s="30">
        <f>IFERROR(__xludf.DUMMYFUNCTION("""COMPUTED_VALUE"""),2.8333333333333335)</f>
        <v>2.833333333</v>
      </c>
      <c r="O701" s="30">
        <f>IFERROR(__xludf.DUMMYFUNCTION("""COMPUTED_VALUE"""),343.8666666666667)</f>
        <v>343.8666667</v>
      </c>
      <c r="P701" s="30">
        <f>IFERROR(__xludf.DUMMYFUNCTION("""COMPUTED_VALUE"""),0.9222222222222223)</f>
        <v>0.9222222222</v>
      </c>
      <c r="Q701" s="30">
        <f>IFERROR(__xludf.DUMMYFUNCTION("""COMPUTED_VALUE"""),0.5444444444444445)</f>
        <v>0.5444444444</v>
      </c>
      <c r="R701" s="30">
        <f>IFERROR(__xludf.DUMMYFUNCTION("""COMPUTED_VALUE"""),1.211111111111111)</f>
        <v>1.211111111</v>
      </c>
      <c r="S701" s="30">
        <f>IFERROR(__xludf.DUMMYFUNCTION("""COMPUTED_VALUE"""),2.644444444444445)</f>
        <v>2.644444444</v>
      </c>
      <c r="T701" s="30">
        <f>IFERROR(__xludf.DUMMYFUNCTION("""COMPUTED_VALUE"""),339.75599893725126)</f>
        <v>339.7559989</v>
      </c>
      <c r="U701" s="30">
        <f>IFERROR(__xludf.DUMMYFUNCTION("""COMPUTED_VALUE"""),0.8217563181960109)</f>
        <v>0.8217563182</v>
      </c>
      <c r="V701" s="30">
        <f>IFERROR(__xludf.DUMMYFUNCTION("""COMPUTED_VALUE"""),0.5444483920155597)</f>
        <v>0.544448392</v>
      </c>
      <c r="W701" s="30">
        <f>IFERROR(__xludf.DUMMYFUNCTION("""COMPUTED_VALUE"""),1.2224528220933548)</f>
        <v>1.222452822</v>
      </c>
      <c r="X701" s="30">
        <f>IFERROR(__xludf.DUMMYFUNCTION("""COMPUTED_VALUE"""),2.5522432126619163)</f>
        <v>2.552243213</v>
      </c>
      <c r="Y701" s="30">
        <f>IFERROR(__xludf.DUMMYFUNCTION("""COMPUTED_VALUE"""),333.754882585181)</f>
        <v>333.7548826</v>
      </c>
      <c r="Z701" s="30">
        <f>IFERROR(__xludf.DUMMYFUNCTION("""COMPUTED_VALUE"""),0.7466868872164859)</f>
        <v>0.7466868872</v>
      </c>
      <c r="AA701" s="30">
        <f>IFERROR(__xludf.DUMMYFUNCTION("""COMPUTED_VALUE"""),0.504255662793318)</f>
        <v>0.5042556628</v>
      </c>
      <c r="AB701" s="30">
        <f>IFERROR(__xludf.DUMMYFUNCTION("""COMPUTED_VALUE"""),1.2652092081689283)</f>
        <v>1.265209208</v>
      </c>
      <c r="AC701" s="30">
        <f>IFERROR(__xludf.DUMMYFUNCTION("""COMPUTED_VALUE"""),2.4735433954848753)</f>
        <v>2.473543395</v>
      </c>
      <c r="AD701" s="30">
        <f>IFERROR(__xludf.DUMMYFUNCTION("""COMPUTED_VALUE"""),0.9590870926608962)</f>
        <v>0.9590870927</v>
      </c>
      <c r="AE701" s="30">
        <f>IFERROR(__xludf.DUMMYFUNCTION("""COMPUTED_VALUE"""),0.9821162603605746)</f>
        <v>0.9821162604</v>
      </c>
      <c r="AF701" s="30">
        <f>IFERROR(__xludf.DUMMYFUNCTION("""COMPUTED_VALUE"""),0.7932484045577296)</f>
        <v>0.7932484046</v>
      </c>
      <c r="AG701" s="30">
        <f>IFERROR(__xludf.DUMMYFUNCTION("""COMPUTED_VALUE"""),1.0274980545560704)</f>
        <v>1.027498055</v>
      </c>
      <c r="AH701" s="30">
        <f>IFERROR(__xludf.DUMMYFUNCTION("""COMPUTED_VALUE"""),1.1454552762264882)</f>
        <v>1.145455276</v>
      </c>
      <c r="AI701" s="30">
        <f>IFERROR(__xludf.DUMMYFUNCTION("""COMPUTED_VALUE"""),1.012098881969041)</f>
        <v>1.012098882</v>
      </c>
      <c r="AJ701" s="30">
        <f>IFERROR(__xludf.DUMMYFUNCTION("""COMPUTED_VALUE"""),1.1222575376685422)</f>
        <v>1.122257538</v>
      </c>
      <c r="AK701" s="30">
        <f>IFERROR(__xludf.DUMMYFUNCTION("""COMPUTED_VALUE"""),0.9999927494117475)</f>
        <v>0.9999927494</v>
      </c>
      <c r="AL701" s="30">
        <f>IFERROR(__xludf.DUMMYFUNCTION("""COMPUTED_VALUE"""),0.9907221687600001)</f>
        <v>0.9907221688</v>
      </c>
      <c r="AM701" s="30">
        <f>IFERROR(__xludf.DUMMYFUNCTION("""COMPUTED_VALUE"""),1.0361255664527227)</f>
        <v>1.036125566</v>
      </c>
      <c r="AN701" s="30">
        <f>IFERROR(__xludf.DUMMYFUNCTION("""COMPUTED_VALUE"""),0.9887521224969752)</f>
        <v>0.9887521225</v>
      </c>
      <c r="AO701" s="30">
        <f>IFERROR(__xludf.DUMMYFUNCTION("""COMPUTED_VALUE"""),0.9942511612853516)</f>
        <v>0.9942511613</v>
      </c>
      <c r="AP701" s="30">
        <f>IFERROR(__xludf.DUMMYFUNCTION("""COMPUTED_VALUE"""),0.8106770733749062)</f>
        <v>0.8106770734</v>
      </c>
      <c r="AQ701" s="30">
        <f>IFERROR(__xludf.DUMMYFUNCTION("""COMPUTED_VALUE"""),1.0778486604881796)</f>
        <v>1.07784866</v>
      </c>
      <c r="AR701" s="30">
        <f>IFERROR(__xludf.DUMMYFUNCTION("""COMPUTED_VALUE"""),1.2028985633808242)</f>
        <v>1.202898563</v>
      </c>
      <c r="AS701" s="30">
        <f>IFERROR(__xludf.DUMMYFUNCTION("""COMPUTED_VALUE"""),60.0)</f>
        <v>60</v>
      </c>
      <c r="AT701" s="30">
        <f>IFERROR(__xludf.DUMMYFUNCTION("""COMPUTED_VALUE"""),0.3756643165031301)</f>
        <v>0.3756643165</v>
      </c>
      <c r="AU701" s="30">
        <f>IFERROR(__xludf.DUMMYFUNCTION("""COMPUTED_VALUE"""),2.0033201930845195)</f>
        <v>2.003320193</v>
      </c>
      <c r="AV701" s="32">
        <f>IFERROR(__xludf.DUMMYFUNCTION("""COMPUTED_VALUE"""),51.347498704385835)</f>
        <v>51.3474987</v>
      </c>
      <c r="AW701" s="32">
        <f>IFERROR(__xludf.DUMMYFUNCTION("""COMPUTED_VALUE"""),2.089831669355575)</f>
        <v>2.089831669</v>
      </c>
      <c r="AX701" s="32">
        <f>IFERROR(__xludf.DUMMYFUNCTION("""COMPUTED_VALUE"""),45.277398457627385)</f>
        <v>45.27739846</v>
      </c>
      <c r="AY701" s="32">
        <f>IFERROR(__xludf.DUMMYFUNCTION("""COMPUTED_VALUE"""),-2.352476188460301)</f>
        <v>-2.352476188</v>
      </c>
      <c r="AZ701" s="30">
        <f>IFERROR(__xludf.DUMMYFUNCTION("""COMPUTED_VALUE"""),4.442307857815877)</f>
        <v>4.442307858</v>
      </c>
      <c r="BA701" s="30">
        <f>IFERROR(__xludf.DUMMYFUNCTION("""COMPUTED_VALUE"""),2700.0)</f>
        <v>2700</v>
      </c>
    </row>
    <row r="702">
      <c r="A702" s="71" t="str">
        <f>IFERROR(__xludf.DUMMYFUNCTION("""COMPUTED_VALUE"""),"Prospect")</f>
        <v>Prospect</v>
      </c>
      <c r="B702" s="71" t="str">
        <f>IFERROR(__xludf.DUMMYFUNCTION("""COMPUTED_VALUE"""),"RSC007102")</f>
        <v>RSC007102</v>
      </c>
      <c r="C702" s="30" t="str">
        <f>IFERROR(__xludf.DUMMYFUNCTION("""COMPUTED_VALUE"""),"tepochtli_13")</f>
        <v>tepochtli_13</v>
      </c>
      <c r="D702" s="30"/>
      <c r="E702" s="30">
        <f>IFERROR(__xludf.DUMMYFUNCTION("""COMPUTED_VALUE"""),29.0)</f>
        <v>29</v>
      </c>
      <c r="F702" s="30">
        <f>IFERROR(__xludf.DUMMYFUNCTION("""COMPUTED_VALUE"""),14.0)</f>
        <v>14</v>
      </c>
      <c r="G702" s="42">
        <f>IFERROR(__xludf.DUMMYFUNCTION("""COMPUTED_VALUE"""),15.0)</f>
        <v>15</v>
      </c>
      <c r="H702" s="42">
        <f>IFERROR(__xludf.DUMMYFUNCTION("""COMPUTED_VALUE"""),0.4827586206896552)</f>
        <v>0.4827586207</v>
      </c>
      <c r="I702" s="42">
        <f>IFERROR(__xludf.DUMMYFUNCTION("""COMPUTED_VALUE"""),0.25)</f>
        <v>0.25</v>
      </c>
      <c r="J702" s="30">
        <f>IFERROR(__xludf.DUMMYFUNCTION("""COMPUTED_VALUE"""),274.9655172413793)</f>
        <v>274.9655172</v>
      </c>
      <c r="K702" s="30">
        <f>IFERROR(__xludf.DUMMYFUNCTION("""COMPUTED_VALUE"""),0.5517241379310345)</f>
        <v>0.5517241379</v>
      </c>
      <c r="L702" s="30">
        <f>IFERROR(__xludf.DUMMYFUNCTION("""COMPUTED_VALUE"""),0.4827586206896552)</f>
        <v>0.4827586207</v>
      </c>
      <c r="M702" s="30">
        <f>IFERROR(__xludf.DUMMYFUNCTION("""COMPUTED_VALUE"""),1.0689655172413792)</f>
        <v>1.068965517</v>
      </c>
      <c r="N702" s="30">
        <f>IFERROR(__xludf.DUMMYFUNCTION("""COMPUTED_VALUE"""),2.206896551724138)</f>
        <v>2.206896552</v>
      </c>
      <c r="O702" s="30">
        <f>IFERROR(__xludf.DUMMYFUNCTION("""COMPUTED_VALUE"""),354.39080459770116)</f>
        <v>354.3908046</v>
      </c>
      <c r="P702" s="30">
        <f>IFERROR(__xludf.DUMMYFUNCTION("""COMPUTED_VALUE"""),0.8160919540229886)</f>
        <v>0.816091954</v>
      </c>
      <c r="Q702" s="30">
        <f>IFERROR(__xludf.DUMMYFUNCTION("""COMPUTED_VALUE"""),0.5862068965517241)</f>
        <v>0.5862068966</v>
      </c>
      <c r="R702" s="30">
        <f>IFERROR(__xludf.DUMMYFUNCTION("""COMPUTED_VALUE"""),1.2758620689655173)</f>
        <v>1.275862069</v>
      </c>
      <c r="S702" s="30">
        <f>IFERROR(__xludf.DUMMYFUNCTION("""COMPUTED_VALUE"""),2.781609195402298)</f>
        <v>2.781609195</v>
      </c>
      <c r="T702" s="30">
        <f>IFERROR(__xludf.DUMMYFUNCTION("""COMPUTED_VALUE"""),344.3595600622334)</f>
        <v>344.3595601</v>
      </c>
      <c r="U702" s="30">
        <f>IFERROR(__xludf.DUMMYFUNCTION("""COMPUTED_VALUE"""),0.8094378235371564)</f>
        <v>0.8094378235</v>
      </c>
      <c r="V702" s="30">
        <f>IFERROR(__xludf.DUMMYFUNCTION("""COMPUTED_VALUE"""),0.527181589426129)</f>
        <v>0.5271815894</v>
      </c>
      <c r="W702" s="30">
        <f>IFERROR(__xludf.DUMMYFUNCTION("""COMPUTED_VALUE"""),1.2738676832511546)</f>
        <v>1.273867683</v>
      </c>
      <c r="X702" s="30">
        <f>IFERROR(__xludf.DUMMYFUNCTION("""COMPUTED_VALUE"""),2.5608575439110544)</f>
        <v>2.560857544</v>
      </c>
      <c r="Y702" s="30">
        <f>IFERROR(__xludf.DUMMYFUNCTION("""COMPUTED_VALUE"""),336.0252340559915)</f>
        <v>336.0252341</v>
      </c>
      <c r="Z702" s="30">
        <f>IFERROR(__xludf.DUMMYFUNCTION("""COMPUTED_VALUE"""),0.7987986698266445)</f>
        <v>0.7987986698</v>
      </c>
      <c r="AA702" s="30">
        <f>IFERROR(__xludf.DUMMYFUNCTION("""COMPUTED_VALUE"""),0.517716721268979)</f>
        <v>0.5177167213</v>
      </c>
      <c r="AB702" s="30">
        <f>IFERROR(__xludf.DUMMYFUNCTION("""COMPUTED_VALUE"""),1.2213996582126854)</f>
        <v>1.221399658</v>
      </c>
      <c r="AC702" s="30">
        <f>IFERROR(__xludf.DUMMYFUNCTION("""COMPUTED_VALUE"""),2.496896534721308)</f>
        <v>2.496896535</v>
      </c>
      <c r="AD702" s="30">
        <f>IFERROR(__xludf.DUMMYFUNCTION("""COMPUTED_VALUE"""),0.8182882991328029)</f>
        <v>0.8182882991</v>
      </c>
      <c r="AE702" s="30">
        <f>IFERROR(__xludf.DUMMYFUNCTION("""COMPUTED_VALUE"""),0.6906923593785775)</f>
        <v>0.6906923594</v>
      </c>
      <c r="AF702" s="30">
        <f>IFERROR(__xludf.DUMMYFUNCTION("""COMPUTED_VALUE"""),0.9324763927005529)</f>
        <v>0.9324763927</v>
      </c>
      <c r="AG702" s="30">
        <f>IFERROR(__xludf.DUMMYFUNCTION("""COMPUTED_VALUE"""),0.8751971642153822)</f>
        <v>0.8751971642</v>
      </c>
      <c r="AH702" s="30">
        <f>IFERROR(__xludf.DUMMYFUNCTION("""COMPUTED_VALUE"""),0.8838558270378878)</f>
        <v>0.883855827</v>
      </c>
      <c r="AI702" s="30">
        <f>IFERROR(__xludf.DUMMYFUNCTION("""COMPUTED_VALUE"""),1.0291301467967229)</f>
        <v>1.029130147</v>
      </c>
      <c r="AJ702" s="30">
        <f>IFERROR(__xludf.DUMMYFUNCTION("""COMPUTED_VALUE"""),1.0082206814314092)</f>
        <v>1.008220681</v>
      </c>
      <c r="AK702" s="30">
        <f>IFERROR(__xludf.DUMMYFUNCTION("""COMPUTED_VALUE"""),1.1119639006928295)</f>
        <v>1.111963901</v>
      </c>
      <c r="AL702" s="30">
        <f>IFERROR(__xludf.DUMMYFUNCTION("""COMPUTED_VALUE"""),1.0015656144987308)</f>
        <v>1.001565614</v>
      </c>
      <c r="AM702" s="30">
        <f>IFERROR(__xludf.DUMMYFUNCTION("""COMPUTED_VALUE"""),1.0862022380027052)</f>
        <v>1.086202238</v>
      </c>
      <c r="AN702" s="30">
        <f>IFERROR(__xludf.DUMMYFUNCTION("""COMPUTED_VALUE"""),0.8493368909274989)</f>
        <v>0.8493368909</v>
      </c>
      <c r="AO702" s="30">
        <f>IFERROR(__xludf.DUMMYFUNCTION("""COMPUTED_VALUE"""),0.7480259520642144)</f>
        <v>0.7480259521</v>
      </c>
      <c r="AP702" s="30">
        <f>IFERROR(__xludf.DUMMYFUNCTION("""COMPUTED_VALUE"""),0.9784033644179904)</f>
        <v>0.9784033644</v>
      </c>
      <c r="AQ702" s="30">
        <f>IFERROR(__xludf.DUMMYFUNCTION("""COMPUTED_VALUE"""),0.8862946545128266)</f>
        <v>0.8862946545</v>
      </c>
      <c r="AR702" s="30">
        <f>IFERROR(__xludf.DUMMYFUNCTION("""COMPUTED_VALUE"""),0.9369433029173154)</f>
        <v>0.9369433029</v>
      </c>
      <c r="AS702" s="30">
        <f>IFERROR(__xludf.DUMMYFUNCTION("""COMPUTED_VALUE"""),72.0)</f>
        <v>72</v>
      </c>
      <c r="AT702" s="30">
        <f>IFERROR(__xludf.DUMMYFUNCTION("""COMPUTED_VALUE"""),0.5055270904680857)</f>
        <v>0.5055270905</v>
      </c>
      <c r="AU702" s="30">
        <f>IFERROR(__xludf.DUMMYFUNCTION("""COMPUTED_VALUE"""),1.4813727520893987)</f>
        <v>1.481372752</v>
      </c>
      <c r="AV702" s="32">
        <f>IFERROR(__xludf.DUMMYFUNCTION("""COMPUTED_VALUE"""),34.74320504900547)</f>
        <v>34.74320505</v>
      </c>
      <c r="AW702" s="32">
        <f>IFERROR(__xludf.DUMMYFUNCTION("""COMPUTED_VALUE"""),-3.6922047048486624)</f>
        <v>-3.692204705</v>
      </c>
      <c r="AX702" s="32">
        <f>IFERROR(__xludf.DUMMYFUNCTION("""COMPUTED_VALUE"""),20.998438061286823)</f>
        <v>20.99843806</v>
      </c>
      <c r="AY702" s="32">
        <f>IFERROR(__xludf.DUMMYFUNCTION("""COMPUTED_VALUE"""),-8.129309024985798)</f>
        <v>-8.129309025</v>
      </c>
      <c r="AZ702" s="30">
        <f>IFERROR(__xludf.DUMMYFUNCTION("""COMPUTED_VALUE"""),4.437104320137135)</f>
        <v>4.43710432</v>
      </c>
      <c r="BA702" s="30">
        <f>IFERROR(__xludf.DUMMYFUNCTION("""COMPUTED_VALUE"""),2700.0)</f>
        <v>2700</v>
      </c>
    </row>
    <row r="703">
      <c r="A703" s="71" t="str">
        <f>IFERROR(__xludf.DUMMYFUNCTION("""COMPUTED_VALUE"""),"Prospect")</f>
        <v>Prospect</v>
      </c>
      <c r="B703" s="71" t="str">
        <f>IFERROR(__xludf.DUMMYFUNCTION("""COMPUTED_VALUE"""),"RSC004106")</f>
        <v>RSC004106</v>
      </c>
      <c r="C703" s="30" t="str">
        <f>IFERROR(__xludf.DUMMYFUNCTION("""COMPUTED_VALUE"""),"K.Doughboy")</f>
        <v>K.Doughboy</v>
      </c>
      <c r="D703" s="30" t="str">
        <f>IFERROR(__xludf.DUMMYFUNCTION("""COMPUTED_VALUE"""),"Blacktips")</f>
        <v>Blacktips</v>
      </c>
      <c r="E703" s="30">
        <f>IFERROR(__xludf.DUMMYFUNCTION("""COMPUTED_VALUE"""),36.0)</f>
        <v>36</v>
      </c>
      <c r="F703" s="30">
        <f>IFERROR(__xludf.DUMMYFUNCTION("""COMPUTED_VALUE"""),24.0)</f>
        <v>24</v>
      </c>
      <c r="G703" s="42">
        <f>IFERROR(__xludf.DUMMYFUNCTION("""COMPUTED_VALUE"""),12.0)</f>
        <v>12</v>
      </c>
      <c r="H703" s="42">
        <f>IFERROR(__xludf.DUMMYFUNCTION("""COMPUTED_VALUE"""),0.6666666666666666)</f>
        <v>0.6666666667</v>
      </c>
      <c r="I703" s="42">
        <f>IFERROR(__xludf.DUMMYFUNCTION("""COMPUTED_VALUE"""),0.3835616438356165)</f>
        <v>0.3835616438</v>
      </c>
      <c r="J703" s="30">
        <f>IFERROR(__xludf.DUMMYFUNCTION("""COMPUTED_VALUE"""),318.05555555555554)</f>
        <v>318.0555556</v>
      </c>
      <c r="K703" s="30">
        <f>IFERROR(__xludf.DUMMYFUNCTION("""COMPUTED_VALUE"""),0.7777777777777778)</f>
        <v>0.7777777778</v>
      </c>
      <c r="L703" s="30">
        <f>IFERROR(__xludf.DUMMYFUNCTION("""COMPUTED_VALUE"""),0.5277777777777778)</f>
        <v>0.5277777778</v>
      </c>
      <c r="M703" s="30">
        <f>IFERROR(__xludf.DUMMYFUNCTION("""COMPUTED_VALUE"""),1.0)</f>
        <v>1</v>
      </c>
      <c r="N703" s="30">
        <f>IFERROR(__xludf.DUMMYFUNCTION("""COMPUTED_VALUE"""),2.0277777777777777)</f>
        <v>2.027777778</v>
      </c>
      <c r="O703" s="30">
        <f>IFERROR(__xludf.DUMMYFUNCTION("""COMPUTED_VALUE"""),312.7777777777778)</f>
        <v>312.7777778</v>
      </c>
      <c r="P703" s="30">
        <f>IFERROR(__xludf.DUMMYFUNCTION("""COMPUTED_VALUE"""),0.6481481481481483)</f>
        <v>0.6481481481</v>
      </c>
      <c r="Q703" s="30">
        <f>IFERROR(__xludf.DUMMYFUNCTION("""COMPUTED_VALUE"""),0.4722222222222222)</f>
        <v>0.4722222222</v>
      </c>
      <c r="R703" s="30">
        <f>IFERROR(__xludf.DUMMYFUNCTION("""COMPUTED_VALUE"""),1.1388888888888886)</f>
        <v>1.138888889</v>
      </c>
      <c r="S703" s="30">
        <f>IFERROR(__xludf.DUMMYFUNCTION("""COMPUTED_VALUE"""),2.1944444444444446)</f>
        <v>2.194444444</v>
      </c>
      <c r="T703" s="30">
        <f>IFERROR(__xludf.DUMMYFUNCTION("""COMPUTED_VALUE"""),332.6429784736055)</f>
        <v>332.6429785</v>
      </c>
      <c r="U703" s="30">
        <f>IFERROR(__xludf.DUMMYFUNCTION("""COMPUTED_VALUE"""),0.7445445976948115)</f>
        <v>0.7445445977</v>
      </c>
      <c r="V703" s="30">
        <f>IFERROR(__xludf.DUMMYFUNCTION("""COMPUTED_VALUE"""),0.5216776865473066)</f>
        <v>0.5216776865</v>
      </c>
      <c r="W703" s="30">
        <f>IFERROR(__xludf.DUMMYFUNCTION("""COMPUTED_VALUE"""),1.2407899109905254)</f>
        <v>1.240789911</v>
      </c>
      <c r="X703" s="30">
        <f>IFERROR(__xludf.DUMMYFUNCTION("""COMPUTED_VALUE"""),2.416513036956415)</f>
        <v>2.416513037</v>
      </c>
      <c r="Y703" s="30">
        <f>IFERROR(__xludf.DUMMYFUNCTION("""COMPUTED_VALUE"""),339.73029972575875)</f>
        <v>339.7302997</v>
      </c>
      <c r="Z703" s="30">
        <f>IFERROR(__xludf.DUMMYFUNCTION("""COMPUTED_VALUE"""),0.7933218122930701)</f>
        <v>0.7933218123</v>
      </c>
      <c r="AA703" s="30">
        <f>IFERROR(__xludf.DUMMYFUNCTION("""COMPUTED_VALUE"""),0.5348708579208551)</f>
        <v>0.5348708579</v>
      </c>
      <c r="AB703" s="30">
        <f>IFERROR(__xludf.DUMMYFUNCTION("""COMPUTED_VALUE"""),1.223843680176057)</f>
        <v>1.22384368</v>
      </c>
      <c r="AC703" s="30">
        <f>IFERROR(__xludf.DUMMYFUNCTION("""COMPUTED_VALUE"""),2.5145047248582855)</f>
        <v>2.514504725</v>
      </c>
      <c r="AD703" s="30">
        <f>IFERROR(__xludf.DUMMYFUNCTION("""COMPUTED_VALUE"""),0.9362001440916522)</f>
        <v>0.9362001441</v>
      </c>
      <c r="AE703" s="30">
        <f>IFERROR(__xludf.DUMMYFUNCTION("""COMPUTED_VALUE"""),0.9804063946378043)</f>
        <v>0.9804063946</v>
      </c>
      <c r="AF703" s="30">
        <f>IFERROR(__xludf.DUMMYFUNCTION("""COMPUTED_VALUE"""),0.9867387051696003)</f>
        <v>0.9867387052</v>
      </c>
      <c r="AG703" s="30">
        <f>IFERROR(__xludf.DUMMYFUNCTION("""COMPUTED_VALUE"""),0.817097817473016)</f>
        <v>0.8170978175</v>
      </c>
      <c r="AH703" s="30">
        <f>IFERROR(__xludf.DUMMYFUNCTION("""COMPUTED_VALUE"""),0.8064322797771083)</f>
        <v>0.8064322798</v>
      </c>
      <c r="AI703" s="30">
        <f>IFERROR(__xludf.DUMMYFUNCTION("""COMPUTED_VALUE"""),0.940280715417524)</f>
        <v>0.9402807154</v>
      </c>
      <c r="AJ703" s="30">
        <f>IFERROR(__xludf.DUMMYFUNCTION("""COMPUTED_VALUE"""),0.8705296501443744)</f>
        <v>0.8705296501</v>
      </c>
      <c r="AK703" s="30">
        <f>IFERROR(__xludf.DUMMYFUNCTION("""COMPUTED_VALUE"""),0.905199195594501)</f>
        <v>0.9051991956</v>
      </c>
      <c r="AL703" s="30">
        <f>IFERROR(__xludf.DUMMYFUNCTION("""COMPUTED_VALUE"""),0.9178740726378981)</f>
        <v>0.9178740726</v>
      </c>
      <c r="AM703" s="30">
        <f>IFERROR(__xludf.DUMMYFUNCTION("""COMPUTED_VALUE"""),0.9081037059946242)</f>
        <v>0.908103706</v>
      </c>
      <c r="AN703" s="30">
        <f>IFERROR(__xludf.DUMMYFUNCTION("""COMPUTED_VALUE"""),0.9824370685020622)</f>
        <v>0.9824370685</v>
      </c>
      <c r="AO703" s="30">
        <f>IFERROR(__xludf.DUMMYFUNCTION("""COMPUTED_VALUE"""),1.0545088074238578)</f>
        <v>1.054508807</v>
      </c>
      <c r="AP703" s="30">
        <f>IFERROR(__xludf.DUMMYFUNCTION("""COMPUTED_VALUE"""),1.0696433607030014)</f>
        <v>1.069643361</v>
      </c>
      <c r="AQ703" s="30">
        <f>IFERROR(__xludf.DUMMYFUNCTION("""COMPUTED_VALUE"""),0.8291143542216766)</f>
        <v>0.8291143542</v>
      </c>
      <c r="AR703" s="30">
        <f>IFERROR(__xludf.DUMMYFUNCTION("""COMPUTED_VALUE"""),0.8608979914392173)</f>
        <v>0.8608979914</v>
      </c>
      <c r="AS703" s="30">
        <f>IFERROR(__xludf.DUMMYFUNCTION("""COMPUTED_VALUE"""),102.0)</f>
        <v>102</v>
      </c>
      <c r="AT703" s="30">
        <f>IFERROR(__xludf.DUMMYFUNCTION("""COMPUTED_VALUE"""),0.6433105880241531)</f>
        <v>0.643310588</v>
      </c>
      <c r="AU703" s="30">
        <f>IFERROR(__xludf.DUMMYFUNCTION("""COMPUTED_VALUE"""),2.0420203926030718)</f>
        <v>2.042020393</v>
      </c>
      <c r="AV703" s="32">
        <f>IFERROR(__xludf.DUMMYFUNCTION("""COMPUTED_VALUE"""),52.57863698931108)</f>
        <v>52.57863699</v>
      </c>
      <c r="AW703" s="32">
        <f>IFERROR(__xludf.DUMMYFUNCTION("""COMPUTED_VALUE"""),2.1790111954208222)</f>
        <v>2.179011195</v>
      </c>
      <c r="AX703" s="32">
        <f>IFERROR(__xludf.DUMMYFUNCTION("""COMPUTED_VALUE"""),47.24118634352699)</f>
        <v>47.24118634</v>
      </c>
      <c r="AY703" s="32">
        <f>IFERROR(__xludf.DUMMYFUNCTION("""COMPUTED_VALUE"""),-2.192670419425528)</f>
        <v>-2.192670419</v>
      </c>
      <c r="AZ703" s="30">
        <f>IFERROR(__xludf.DUMMYFUNCTION("""COMPUTED_VALUE"""),4.37168161484635)</f>
        <v>4.371681615</v>
      </c>
      <c r="BA703" s="30">
        <f>IFERROR(__xludf.DUMMYFUNCTION("""COMPUTED_VALUE"""),2700.0)</f>
        <v>2700</v>
      </c>
    </row>
    <row r="704">
      <c r="A704" s="71" t="str">
        <f>IFERROR(__xludf.DUMMYFUNCTION("""COMPUTED_VALUE"""),"Prospect")</f>
        <v>Prospect</v>
      </c>
      <c r="B704" s="71" t="str">
        <f>IFERROR(__xludf.DUMMYFUNCTION("""COMPUTED_VALUE"""),"RSC006587")</f>
        <v>RSC006587</v>
      </c>
      <c r="C704" s="30" t="str">
        <f>IFERROR(__xludf.DUMMYFUNCTION("""COMPUTED_VALUE"""),"Enterprise15")</f>
        <v>Enterprise15</v>
      </c>
      <c r="D704" s="30" t="str">
        <f>IFERROR(__xludf.DUMMYFUNCTION("""COMPUTED_VALUE"""),"Skeletons")</f>
        <v>Skeletons</v>
      </c>
      <c r="E704" s="30">
        <f>IFERROR(__xludf.DUMMYFUNCTION("""COMPUTED_VALUE"""),36.0)</f>
        <v>36</v>
      </c>
      <c r="F704" s="30">
        <f>IFERROR(__xludf.DUMMYFUNCTION("""COMPUTED_VALUE"""),15.0)</f>
        <v>15</v>
      </c>
      <c r="G704" s="42">
        <f>IFERROR(__xludf.DUMMYFUNCTION("""COMPUTED_VALUE"""),21.0)</f>
        <v>21</v>
      </c>
      <c r="H704" s="42">
        <f>IFERROR(__xludf.DUMMYFUNCTION("""COMPUTED_VALUE"""),0.4166666666666667)</f>
        <v>0.4166666667</v>
      </c>
      <c r="I704" s="42">
        <f>IFERROR(__xludf.DUMMYFUNCTION("""COMPUTED_VALUE"""),0.3378378378378379)</f>
        <v>0.3378378378</v>
      </c>
      <c r="J704" s="30">
        <f>IFERROR(__xludf.DUMMYFUNCTION("""COMPUTED_VALUE"""),339.05555555555554)</f>
        <v>339.0555556</v>
      </c>
      <c r="K704" s="30">
        <f>IFERROR(__xludf.DUMMYFUNCTION("""COMPUTED_VALUE"""),0.6944444444444444)</f>
        <v>0.6944444444</v>
      </c>
      <c r="L704" s="30">
        <f>IFERROR(__xludf.DUMMYFUNCTION("""COMPUTED_VALUE"""),0.5)</f>
        <v>0.5</v>
      </c>
      <c r="M704" s="30">
        <f>IFERROR(__xludf.DUMMYFUNCTION("""COMPUTED_VALUE"""),1.4444444444444444)</f>
        <v>1.444444444</v>
      </c>
      <c r="N704" s="30">
        <f>IFERROR(__xludf.DUMMYFUNCTION("""COMPUTED_VALUE"""),2.0555555555555554)</f>
        <v>2.055555556</v>
      </c>
      <c r="O704" s="30">
        <f>IFERROR(__xludf.DUMMYFUNCTION("""COMPUTED_VALUE"""),329.5370370370371)</f>
        <v>329.537037</v>
      </c>
      <c r="P704" s="30">
        <f>IFERROR(__xludf.DUMMYFUNCTION("""COMPUTED_VALUE"""),0.8148148148148148)</f>
        <v>0.8148148148</v>
      </c>
      <c r="Q704" s="30">
        <f>IFERROR(__xludf.DUMMYFUNCTION("""COMPUTED_VALUE"""),0.537037037037037)</f>
        <v>0.537037037</v>
      </c>
      <c r="R704" s="30">
        <f>IFERROR(__xludf.DUMMYFUNCTION("""COMPUTED_VALUE"""),1.1111111111111112)</f>
        <v>1.111111111</v>
      </c>
      <c r="S704" s="30">
        <f>IFERROR(__xludf.DUMMYFUNCTION("""COMPUTED_VALUE"""),2.5277777777777772)</f>
        <v>2.527777778</v>
      </c>
      <c r="T704" s="30">
        <f>IFERROR(__xludf.DUMMYFUNCTION("""COMPUTED_VALUE"""),335.48029010837183)</f>
        <v>335.4802901</v>
      </c>
      <c r="U704" s="30">
        <f>IFERROR(__xludf.DUMMYFUNCTION("""COMPUTED_VALUE"""),0.789205789127254)</f>
        <v>0.7892057891</v>
      </c>
      <c r="V704" s="30">
        <f>IFERROR(__xludf.DUMMYFUNCTION("""COMPUTED_VALUE"""),0.5382089552301272)</f>
        <v>0.5382089552</v>
      </c>
      <c r="W704" s="30">
        <f>IFERROR(__xludf.DUMMYFUNCTION("""COMPUTED_VALUE"""),1.2153951461703985)</f>
        <v>1.215395146</v>
      </c>
      <c r="X704" s="30">
        <f>IFERROR(__xludf.DUMMYFUNCTION("""COMPUTED_VALUE"""),2.4222630235778513)</f>
        <v>2.422263024</v>
      </c>
      <c r="Y704" s="30">
        <f>IFERROR(__xludf.DUMMYFUNCTION("""COMPUTED_VALUE"""),334.0644058822623)</f>
        <v>334.0644059</v>
      </c>
      <c r="Z704" s="30">
        <f>IFERROR(__xludf.DUMMYFUNCTION("""COMPUTED_VALUE"""),0.7962669253418664)</f>
        <v>0.7962669253</v>
      </c>
      <c r="AA704" s="30">
        <f>IFERROR(__xludf.DUMMYFUNCTION("""COMPUTED_VALUE"""),0.5205628081958663)</f>
        <v>0.5205628082</v>
      </c>
      <c r="AB704" s="30">
        <f>IFERROR(__xludf.DUMMYFUNCTION("""COMPUTED_VALUE"""),1.2018055121070153)</f>
        <v>1.201805512</v>
      </c>
      <c r="AC704" s="30">
        <f>IFERROR(__xludf.DUMMYFUNCTION("""COMPUTED_VALUE"""),2.4299464906751473)</f>
        <v>2.429946491</v>
      </c>
      <c r="AD704" s="30">
        <f>IFERROR(__xludf.DUMMYFUNCTION("""COMPUTED_VALUE"""),1.0149406808549737)</f>
        <v>1.014940681</v>
      </c>
      <c r="AE704" s="30">
        <f>IFERROR(__xludf.DUMMYFUNCTION("""COMPUTED_VALUE"""),0.8721251911176571)</f>
        <v>0.8721251911</v>
      </c>
      <c r="AF704" s="30">
        <f>IFERROR(__xludf.DUMMYFUNCTION("""COMPUTED_VALUE"""),0.9604988910615194)</f>
        <v>0.9604988911</v>
      </c>
      <c r="AG704" s="30">
        <f>IFERROR(__xludf.DUMMYFUNCTION("""COMPUTED_VALUE"""),1.2018953398807704)</f>
        <v>1.20189534</v>
      </c>
      <c r="AH704" s="30">
        <f>IFERROR(__xludf.DUMMYFUNCTION("""COMPUTED_VALUE"""),0.8459262635797509)</f>
        <v>0.8459262636</v>
      </c>
      <c r="AI704" s="30">
        <f>IFERROR(__xludf.DUMMYFUNCTION("""COMPUTED_VALUE"""),0.9822843450224309)</f>
        <v>0.982284345</v>
      </c>
      <c r="AJ704" s="30">
        <f>IFERROR(__xludf.DUMMYFUNCTION("""COMPUTED_VALUE"""),1.0324491102832387)</f>
        <v>1.03244911</v>
      </c>
      <c r="AK704" s="30">
        <f>IFERROR(__xludf.DUMMYFUNCTION("""COMPUTED_VALUE"""),0.9978225590977222)</f>
        <v>0.9978225591</v>
      </c>
      <c r="AL704" s="30">
        <f>IFERROR(__xludf.DUMMYFUNCTION("""COMPUTED_VALUE"""),0.914197423456991)</f>
        <v>0.9141974235</v>
      </c>
      <c r="AM704" s="30">
        <f>IFERROR(__xludf.DUMMYFUNCTION("""COMPUTED_VALUE"""),1.0435604032976045)</f>
        <v>1.043560403</v>
      </c>
      <c r="AN704" s="30">
        <f>IFERROR(__xludf.DUMMYFUNCTION("""COMPUTED_VALUE"""),1.0473036557324167)</f>
        <v>1.047303656</v>
      </c>
      <c r="AO704" s="30">
        <f>IFERROR(__xludf.DUMMYFUNCTION("""COMPUTED_VALUE"""),0.9415257209141588)</f>
        <v>0.9415257209</v>
      </c>
      <c r="AP704" s="30">
        <f>IFERROR(__xludf.DUMMYFUNCTION("""COMPUTED_VALUE"""),1.0133463417186328)</f>
        <v>1.013346342</v>
      </c>
      <c r="AQ704" s="30">
        <f>IFERROR(__xludf.DUMMYFUNCTION("""COMPUTED_VALUE"""),1.197609622764644)</f>
        <v>1.197609623</v>
      </c>
      <c r="AR704" s="30">
        <f>IFERROR(__xludf.DUMMYFUNCTION("""COMPUTED_VALUE"""),0.8726911146096176)</f>
        <v>0.8726911146</v>
      </c>
      <c r="AS704" s="30">
        <f>IFERROR(__xludf.DUMMYFUNCTION("""COMPUTED_VALUE"""),78.0)</f>
        <v>78</v>
      </c>
      <c r="AT704" s="30">
        <f>IFERROR(__xludf.DUMMYFUNCTION("""COMPUTED_VALUE"""),0.45337309256942804)</f>
        <v>0.4533730926</v>
      </c>
      <c r="AU704" s="30">
        <f>IFERROR(__xludf.DUMMYFUNCTION("""COMPUTED_VALUE"""),1.833137729408875)</f>
        <v>1.833137729</v>
      </c>
      <c r="AV704" s="32">
        <f>IFERROR(__xludf.DUMMYFUNCTION("""COMPUTED_VALUE"""),45.933621022604235)</f>
        <v>45.93362102</v>
      </c>
      <c r="AW704" s="32">
        <f>IFERROR(__xludf.DUMMYFUNCTION("""COMPUTED_VALUE"""),-2.2967651263373616)</f>
        <v>-2.296765126</v>
      </c>
      <c r="AX704" s="32">
        <f>IFERROR(__xludf.DUMMYFUNCTION("""COMPUTED_VALUE"""),50.545816472413115)</f>
        <v>50.54581647</v>
      </c>
      <c r="AY704" s="32">
        <f>IFERROR(__xludf.DUMMYFUNCTION("""COMPUTED_VALUE"""),2.0354546847520787)</f>
        <v>2.035454685</v>
      </c>
      <c r="AZ704" s="30">
        <f>IFERROR(__xludf.DUMMYFUNCTION("""COMPUTED_VALUE"""),4.33221981108944)</f>
        <v>4.332219811</v>
      </c>
      <c r="BA704" s="30">
        <f>IFERROR(__xludf.DUMMYFUNCTION("""COMPUTED_VALUE"""),2700.0)</f>
        <v>2700</v>
      </c>
    </row>
    <row r="705">
      <c r="A705" s="71" t="str">
        <f>IFERROR(__xludf.DUMMYFUNCTION("""COMPUTED_VALUE"""),"Prospect")</f>
        <v>Prospect</v>
      </c>
      <c r="B705" s="71" t="str">
        <f>IFERROR(__xludf.DUMMYFUNCTION("""COMPUTED_VALUE"""),"RSC006115")</f>
        <v>RSC006115</v>
      </c>
      <c r="C705" s="30" t="str">
        <f>IFERROR(__xludf.DUMMYFUNCTION("""COMPUTED_VALUE"""),"Shame")</f>
        <v>Shame</v>
      </c>
      <c r="D705" s="30" t="str">
        <f>IFERROR(__xludf.DUMMYFUNCTION("""COMPUTED_VALUE"""),"Gloom")</f>
        <v>Gloom</v>
      </c>
      <c r="E705" s="30">
        <f>IFERROR(__xludf.DUMMYFUNCTION("""COMPUTED_VALUE"""),35.0)</f>
        <v>35</v>
      </c>
      <c r="F705" s="30">
        <f>IFERROR(__xludf.DUMMYFUNCTION("""COMPUTED_VALUE"""),14.0)</f>
        <v>14</v>
      </c>
      <c r="G705" s="42">
        <f>IFERROR(__xludf.DUMMYFUNCTION("""COMPUTED_VALUE"""),21.0)</f>
        <v>21</v>
      </c>
      <c r="H705" s="42">
        <f>IFERROR(__xludf.DUMMYFUNCTION("""COMPUTED_VALUE"""),0.4)</f>
        <v>0.4</v>
      </c>
      <c r="I705" s="42">
        <f>IFERROR(__xludf.DUMMYFUNCTION("""COMPUTED_VALUE"""),0.30120481927710846)</f>
        <v>0.3012048193</v>
      </c>
      <c r="J705" s="30">
        <f>IFERROR(__xludf.DUMMYFUNCTION("""COMPUTED_VALUE"""),381.57142857142856)</f>
        <v>381.5714286</v>
      </c>
      <c r="K705" s="30">
        <f>IFERROR(__xludf.DUMMYFUNCTION("""COMPUTED_VALUE"""),0.7142857142857143)</f>
        <v>0.7142857143</v>
      </c>
      <c r="L705" s="30">
        <f>IFERROR(__xludf.DUMMYFUNCTION("""COMPUTED_VALUE"""),0.34285714285714286)</f>
        <v>0.3428571429</v>
      </c>
      <c r="M705" s="30">
        <f>IFERROR(__xludf.DUMMYFUNCTION("""COMPUTED_VALUE"""),1.9428571428571428)</f>
        <v>1.942857143</v>
      </c>
      <c r="N705" s="30">
        <f>IFERROR(__xludf.DUMMYFUNCTION("""COMPUTED_VALUE"""),2.3714285714285714)</f>
        <v>2.371428571</v>
      </c>
      <c r="O705" s="30">
        <f>IFERROR(__xludf.DUMMYFUNCTION("""COMPUTED_VALUE"""),333.3904761904762)</f>
        <v>333.3904762</v>
      </c>
      <c r="P705" s="30">
        <f>IFERROR(__xludf.DUMMYFUNCTION("""COMPUTED_VALUE"""),0.8857142857142856)</f>
        <v>0.8857142857</v>
      </c>
      <c r="Q705" s="30">
        <f>IFERROR(__xludf.DUMMYFUNCTION("""COMPUTED_VALUE"""),0.5619047619047618)</f>
        <v>0.5619047619</v>
      </c>
      <c r="R705" s="30">
        <f>IFERROR(__xludf.DUMMYFUNCTION("""COMPUTED_VALUE"""),0.9238095238095239)</f>
        <v>0.9238095238</v>
      </c>
      <c r="S705" s="30">
        <f>IFERROR(__xludf.DUMMYFUNCTION("""COMPUTED_VALUE"""),3.0952380952380953)</f>
        <v>3.095238095</v>
      </c>
      <c r="T705" s="30">
        <f>IFERROR(__xludf.DUMMYFUNCTION("""COMPUTED_VALUE"""),350.28227884505105)</f>
        <v>350.2822788</v>
      </c>
      <c r="U705" s="30">
        <f>IFERROR(__xludf.DUMMYFUNCTION("""COMPUTED_VALUE"""),0.902340887899927)</f>
        <v>0.9023408879</v>
      </c>
      <c r="V705" s="30">
        <f>IFERROR(__xludf.DUMMYFUNCTION("""COMPUTED_VALUE"""),0.5768123034661197)</f>
        <v>0.5768123035</v>
      </c>
      <c r="W705" s="30">
        <f>IFERROR(__xludf.DUMMYFUNCTION("""COMPUTED_VALUE"""),1.1567566062786476)</f>
        <v>1.156756606</v>
      </c>
      <c r="X705" s="30">
        <f>IFERROR(__xludf.DUMMYFUNCTION("""COMPUTED_VALUE"""),2.7056114627031818)</f>
        <v>2.705611463</v>
      </c>
      <c r="Y705" s="30">
        <f>IFERROR(__xludf.DUMMYFUNCTION("""COMPUTED_VALUE"""),329.6563924761642)</f>
        <v>329.6563925</v>
      </c>
      <c r="Z705" s="30">
        <f>IFERROR(__xludf.DUMMYFUNCTION("""COMPUTED_VALUE"""),0.7201339179966894)</f>
        <v>0.720133918</v>
      </c>
      <c r="AA705" s="30">
        <f>IFERROR(__xludf.DUMMYFUNCTION("""COMPUTED_VALUE"""),0.4878606005569719)</f>
        <v>0.4878606006</v>
      </c>
      <c r="AB705" s="30">
        <f>IFERROR(__xludf.DUMMYFUNCTION("""COMPUTED_VALUE"""),1.280340973376939)</f>
        <v>1.280340973</v>
      </c>
      <c r="AC705" s="30">
        <f>IFERROR(__xludf.DUMMYFUNCTION("""COMPUTED_VALUE"""),2.305877276068351)</f>
        <v>2.305877276</v>
      </c>
      <c r="AD705" s="30">
        <f>IFERROR(__xludf.DUMMYFUNCTION("""COMPUTED_VALUE"""),1.1574822672338079)</f>
        <v>1.157482267</v>
      </c>
      <c r="AE705" s="30">
        <f>IFERROR(__xludf.DUMMYFUNCTION("""COMPUTED_VALUE"""),0.9918790053282812)</f>
        <v>0.9918790053</v>
      </c>
      <c r="AF705" s="30">
        <f>IFERROR(__xludf.DUMMYFUNCTION("""COMPUTED_VALUE"""),0.7027768638535596)</f>
        <v>0.7027768639</v>
      </c>
      <c r="AG705" s="30">
        <f>IFERROR(__xludf.DUMMYFUNCTION("""COMPUTED_VALUE"""),1.517452915478286)</f>
        <v>1.517452915</v>
      </c>
      <c r="AH705" s="30">
        <f>IFERROR(__xludf.DUMMYFUNCTION("""COMPUTED_VALUE"""),1.028427920271624)</f>
        <v>1.02842792</v>
      </c>
      <c r="AI705" s="30">
        <f>IFERROR(__xludf.DUMMYFUNCTION("""COMPUTED_VALUE"""),0.9517765994035713)</f>
        <v>0.9517765994</v>
      </c>
      <c r="AJ705" s="30">
        <f>IFERROR(__xludf.DUMMYFUNCTION("""COMPUTED_VALUE"""),0.9815739235486297)</f>
        <v>0.9815739235</v>
      </c>
      <c r="AK705" s="30">
        <f>IFERROR(__xludf.DUMMYFUNCTION("""COMPUTED_VALUE"""),0.9741552989217167)</f>
        <v>0.9741552989</v>
      </c>
      <c r="AL705" s="30">
        <f>IFERROR(__xludf.DUMMYFUNCTION("""COMPUTED_VALUE"""),0.7986204866220493)</f>
        <v>0.7986204866</v>
      </c>
      <c r="AM705" s="30">
        <f>IFERROR(__xludf.DUMMYFUNCTION("""COMPUTED_VALUE"""),1.1440068679135609)</f>
        <v>1.144006868</v>
      </c>
      <c r="AN705" s="30">
        <f>IFERROR(__xludf.DUMMYFUNCTION("""COMPUTED_VALUE"""),1.1786303026685503)</f>
        <v>1.178630303</v>
      </c>
      <c r="AO705" s="30">
        <f>IFERROR(__xludf.DUMMYFUNCTION("""COMPUTED_VALUE"""),0.9684264557974205)</f>
        <v>0.9684264558</v>
      </c>
      <c r="AP705" s="30">
        <f>IFERROR(__xludf.DUMMYFUNCTION("""COMPUTED_VALUE"""),0.6948660628927767)</f>
        <v>0.6948660629</v>
      </c>
      <c r="AQ705" s="30">
        <f>IFERROR(__xludf.DUMMYFUNCTION("""COMPUTED_VALUE"""),1.6108507453449716)</f>
        <v>1.610850745</v>
      </c>
      <c r="AR705" s="30">
        <f>IFERROR(__xludf.DUMMYFUNCTION("""COMPUTED_VALUE"""),1.0067957723758831)</f>
        <v>1.006795772</v>
      </c>
      <c r="AS705" s="30">
        <f>IFERROR(__xludf.DUMMYFUNCTION("""COMPUTED_VALUE"""),60.0)</f>
        <v>60</v>
      </c>
      <c r="AT705" s="30">
        <f>IFERROR(__xludf.DUMMYFUNCTION("""COMPUTED_VALUE"""),0.33866571563997877)</f>
        <v>0.3386657156</v>
      </c>
      <c r="AU705" s="30">
        <f>IFERROR(__xludf.DUMMYFUNCTION("""COMPUTED_VALUE"""),1.9546396603886573)</f>
        <v>1.95463966</v>
      </c>
      <c r="AV705" s="32">
        <f>IFERROR(__xludf.DUMMYFUNCTION("""COMPUTED_VALUE"""),49.798864116502116)</f>
        <v>49.79886412</v>
      </c>
      <c r="AW705" s="32">
        <f>IFERROR(__xludf.DUMMYFUNCTION("""COMPUTED_VALUE"""),-2.0129214650166665)</f>
        <v>-2.012921465</v>
      </c>
      <c r="AX705" s="32">
        <f>IFERROR(__xludf.DUMMYFUNCTION("""COMPUTED_VALUE"""),50.686392793679914)</f>
        <v>50.68639279</v>
      </c>
      <c r="AY705" s="32">
        <f>IFERROR(__xludf.DUMMYFUNCTION("""COMPUTED_VALUE"""),2.0447885088517954)</f>
        <v>2.044788509</v>
      </c>
      <c r="AZ705" s="30">
        <f>IFERROR(__xludf.DUMMYFUNCTION("""COMPUTED_VALUE"""),4.057709973868462)</f>
        <v>4.057709974</v>
      </c>
      <c r="BA705" s="30">
        <f>IFERROR(__xludf.DUMMYFUNCTION("""COMPUTED_VALUE"""),2700.0)</f>
        <v>2700</v>
      </c>
    </row>
    <row r="706">
      <c r="A706" s="71" t="str">
        <f>IFERROR(__xludf.DUMMYFUNCTION("""COMPUTED_VALUE"""),"Prospect")</f>
        <v>Prospect</v>
      </c>
      <c r="B706" s="71" t="str">
        <f>IFERROR(__xludf.DUMMYFUNCTION("""COMPUTED_VALUE"""),"RSC000253")</f>
        <v>RSC000253</v>
      </c>
      <c r="C706" s="30" t="str">
        <f>IFERROR(__xludf.DUMMYFUNCTION("""COMPUTED_VALUE"""),"musah")</f>
        <v>musah</v>
      </c>
      <c r="D706" s="30" t="str">
        <f>IFERROR(__xludf.DUMMYFUNCTION("""COMPUTED_VALUE"""),"Khans")</f>
        <v>Khans</v>
      </c>
      <c r="E706" s="30">
        <f>IFERROR(__xludf.DUMMYFUNCTION("""COMPUTED_VALUE"""),29.0)</f>
        <v>29</v>
      </c>
      <c r="F706" s="30">
        <f>IFERROR(__xludf.DUMMYFUNCTION("""COMPUTED_VALUE"""),13.0)</f>
        <v>13</v>
      </c>
      <c r="G706" s="42">
        <f>IFERROR(__xludf.DUMMYFUNCTION("""COMPUTED_VALUE"""),16.0)</f>
        <v>16</v>
      </c>
      <c r="H706" s="42">
        <f>IFERROR(__xludf.DUMMYFUNCTION("""COMPUTED_VALUE"""),0.4482758620689655)</f>
        <v>0.4482758621</v>
      </c>
      <c r="I706" s="42">
        <f>IFERROR(__xludf.DUMMYFUNCTION("""COMPUTED_VALUE"""),0.2537313432835821)</f>
        <v>0.2537313433</v>
      </c>
      <c r="J706" s="30">
        <f>IFERROR(__xludf.DUMMYFUNCTION("""COMPUTED_VALUE"""),274.41379310344826)</f>
        <v>274.4137931</v>
      </c>
      <c r="K706" s="30">
        <f>IFERROR(__xludf.DUMMYFUNCTION("""COMPUTED_VALUE"""),0.5862068965517241)</f>
        <v>0.5862068966</v>
      </c>
      <c r="L706" s="30">
        <f>IFERROR(__xludf.DUMMYFUNCTION("""COMPUTED_VALUE"""),0.27586206896551724)</f>
        <v>0.275862069</v>
      </c>
      <c r="M706" s="30">
        <f>IFERROR(__xludf.DUMMYFUNCTION("""COMPUTED_VALUE"""),1.0)</f>
        <v>1</v>
      </c>
      <c r="N706" s="30">
        <f>IFERROR(__xludf.DUMMYFUNCTION("""COMPUTED_VALUE"""),2.310344827586207)</f>
        <v>2.310344828</v>
      </c>
      <c r="O706" s="30">
        <f>IFERROR(__xludf.DUMMYFUNCTION("""COMPUTED_VALUE"""),357.60919540229884)</f>
        <v>357.6091954</v>
      </c>
      <c r="P706" s="30">
        <f>IFERROR(__xludf.DUMMYFUNCTION("""COMPUTED_VALUE"""),0.8390804597701148)</f>
        <v>0.8390804598</v>
      </c>
      <c r="Q706" s="30">
        <f>IFERROR(__xludf.DUMMYFUNCTION("""COMPUTED_VALUE"""),0.574712643678161)</f>
        <v>0.5747126437</v>
      </c>
      <c r="R706" s="30">
        <f>IFERROR(__xludf.DUMMYFUNCTION("""COMPUTED_VALUE"""),1.344827586206897)</f>
        <v>1.344827586</v>
      </c>
      <c r="S706" s="30">
        <f>IFERROR(__xludf.DUMMYFUNCTION("""COMPUTED_VALUE"""),2.816091954022988)</f>
        <v>2.816091954</v>
      </c>
      <c r="T706" s="30">
        <f>IFERROR(__xludf.DUMMYFUNCTION("""COMPUTED_VALUE"""),339.6794032405513)</f>
        <v>339.6794032</v>
      </c>
      <c r="U706" s="30">
        <f>IFERROR(__xludf.DUMMYFUNCTION("""COMPUTED_VALUE"""),0.8247211162970193)</f>
        <v>0.8247211163</v>
      </c>
      <c r="V706" s="30">
        <f>IFERROR(__xludf.DUMMYFUNCTION("""COMPUTED_VALUE"""),0.5802453779082097)</f>
        <v>0.5802453779</v>
      </c>
      <c r="W706" s="30">
        <f>IFERROR(__xludf.DUMMYFUNCTION("""COMPUTED_VALUE"""),1.1433814145018664)</f>
        <v>1.143381415</v>
      </c>
      <c r="X706" s="30">
        <f>IFERROR(__xludf.DUMMYFUNCTION("""COMPUTED_VALUE"""),2.6314084089094743)</f>
        <v>2.631408409</v>
      </c>
      <c r="Y706" s="30">
        <f>IFERROR(__xludf.DUMMYFUNCTION("""COMPUTED_VALUE"""),332.7648613057385)</f>
        <v>332.7648613</v>
      </c>
      <c r="Z706" s="30">
        <f>IFERROR(__xludf.DUMMYFUNCTION("""COMPUTED_VALUE"""),0.7418457713883084)</f>
        <v>0.7418457714</v>
      </c>
      <c r="AA706" s="30">
        <f>IFERROR(__xludf.DUMMYFUNCTION("""COMPUTED_VALUE"""),0.49606351144769706)</f>
        <v>0.4960635114</v>
      </c>
      <c r="AB706" s="30">
        <f>IFERROR(__xludf.DUMMYFUNCTION("""COMPUTED_VALUE"""),1.2981679456180157)</f>
        <v>1.298167946</v>
      </c>
      <c r="AC706" s="30">
        <f>IFERROR(__xludf.DUMMYFUNCTION("""COMPUTED_VALUE"""),2.3022751077967922)</f>
        <v>2.302275108</v>
      </c>
      <c r="AD706" s="30">
        <f>IFERROR(__xludf.DUMMYFUNCTION("""COMPUTED_VALUE"""),0.8246477468404384)</f>
        <v>0.8246477468</v>
      </c>
      <c r="AE706" s="30">
        <f>IFERROR(__xludf.DUMMYFUNCTION("""COMPUTED_VALUE"""),0.7902004960609024)</f>
        <v>0.7902004961</v>
      </c>
      <c r="AF706" s="30">
        <f>IFERROR(__xludf.DUMMYFUNCTION("""COMPUTED_VALUE"""),0.5561023187544062)</f>
        <v>0.5561023188</v>
      </c>
      <c r="AG706" s="30">
        <f>IFERROR(__xludf.DUMMYFUNCTION("""COMPUTED_VALUE"""),0.7703163549643282)</f>
        <v>0.770316355</v>
      </c>
      <c r="AH706" s="30">
        <f>IFERROR(__xludf.DUMMYFUNCTION("""COMPUTED_VALUE"""),1.0035051066495424)</f>
        <v>1.003505107</v>
      </c>
      <c r="AI706" s="30">
        <f>IFERROR(__xludf.DUMMYFUNCTION("""COMPUTED_VALUE"""),1.0527844549616396)</f>
        <v>1.052784455</v>
      </c>
      <c r="AJ706" s="30">
        <f>IFERROR(__xludf.DUMMYFUNCTION("""COMPUTED_VALUE"""),1.017411150496023)</f>
        <v>1.01741115</v>
      </c>
      <c r="AK706" s="30">
        <f>IFERROR(__xludf.DUMMYFUNCTION("""COMPUTED_VALUE"""),0.990464837048777)</f>
        <v>0.990464837</v>
      </c>
      <c r="AL706" s="30">
        <f>IFERROR(__xludf.DUMMYFUNCTION("""COMPUTED_VALUE"""),1.1761845777358504)</f>
        <v>1.176184578</v>
      </c>
      <c r="AM706" s="30">
        <f>IFERROR(__xludf.DUMMYFUNCTION("""COMPUTED_VALUE"""),1.0701842954093361)</f>
        <v>1.070184295</v>
      </c>
      <c r="AN706" s="30">
        <f>IFERROR(__xludf.DUMMYFUNCTION("""COMPUTED_VALUE"""),0.8476326784551086)</f>
        <v>0.8476326785</v>
      </c>
      <c r="AO706" s="30">
        <f>IFERROR(__xludf.DUMMYFUNCTION("""COMPUTED_VALUE"""),0.7947775740682278)</f>
        <v>0.7947775741</v>
      </c>
      <c r="AP706" s="30">
        <f>IFERROR(__xludf.DUMMYFUNCTION("""COMPUTED_VALUE"""),0.5590876368102802)</f>
        <v>0.5590876368</v>
      </c>
      <c r="AQ706" s="30">
        <f>IFERROR(__xludf.DUMMYFUNCTION("""COMPUTED_VALUE"""),0.8291143542216766)</f>
        <v>0.8291143542</v>
      </c>
      <c r="AR706" s="30">
        <f>IFERROR(__xludf.DUMMYFUNCTION("""COMPUTED_VALUE"""),0.9808625202415646)</f>
        <v>0.9808625202</v>
      </c>
      <c r="AS706" s="30">
        <f>IFERROR(__xludf.DUMMYFUNCTION("""COMPUTED_VALUE"""),55.0)</f>
        <v>55</v>
      </c>
      <c r="AT706" s="30">
        <f>IFERROR(__xludf.DUMMYFUNCTION("""COMPUTED_VALUE"""),0.39327846942774686)</f>
        <v>0.3932784694</v>
      </c>
      <c r="AU706" s="30">
        <f>IFERROR(__xludf.DUMMYFUNCTION("""COMPUTED_VALUE"""),1.403838190408355)</f>
        <v>1.40383819</v>
      </c>
      <c r="AV706" s="32">
        <f>IFERROR(__xludf.DUMMYFUNCTION("""COMPUTED_VALUE"""),32.27666047099443)</f>
        <v>32.27666047</v>
      </c>
      <c r="AW706" s="32">
        <f>IFERROR(__xludf.DUMMYFUNCTION("""COMPUTED_VALUE"""),-4.180901812189211)</f>
        <v>-4.180901812</v>
      </c>
      <c r="AX706" s="32">
        <f>IFERROR(__xludf.DUMMYFUNCTION("""COMPUTED_VALUE"""),21.017462248310544)</f>
        <v>21.01746225</v>
      </c>
      <c r="AY706" s="32">
        <f>IFERROR(__xludf.DUMMYFUNCTION("""COMPUTED_VALUE"""),-8.11908072360484)</f>
        <v>-8.119080724</v>
      </c>
      <c r="AZ706" s="30">
        <f>IFERROR(__xludf.DUMMYFUNCTION("""COMPUTED_VALUE"""),3.938178911415629)</f>
        <v>3.938178911</v>
      </c>
      <c r="BA706" s="30">
        <f>IFERROR(__xludf.DUMMYFUNCTION("""COMPUTED_VALUE"""),2700.0)</f>
        <v>2700</v>
      </c>
    </row>
    <row r="707">
      <c r="A707" s="71" t="str">
        <f>IFERROR(__xludf.DUMMYFUNCTION("""COMPUTED_VALUE"""),"Prospect")</f>
        <v>Prospect</v>
      </c>
      <c r="B707" s="71" t="str">
        <f>IFERROR(__xludf.DUMMYFUNCTION("""COMPUTED_VALUE"""),"RSC005561")</f>
        <v>RSC005561</v>
      </c>
      <c r="C707" s="30" t="str">
        <f>IFERROR(__xludf.DUMMYFUNCTION("""COMPUTED_VALUE"""),"Angelofthebronx")</f>
        <v>Angelofthebronx</v>
      </c>
      <c r="D707" s="30" t="str">
        <f>IFERROR(__xludf.DUMMYFUNCTION("""COMPUTED_VALUE"""),"Earth")</f>
        <v>Earth</v>
      </c>
      <c r="E707" s="30">
        <f>IFERROR(__xludf.DUMMYFUNCTION("""COMPUTED_VALUE"""),11.0)</f>
        <v>11</v>
      </c>
      <c r="F707" s="30">
        <f>IFERROR(__xludf.DUMMYFUNCTION("""COMPUTED_VALUE"""),3.0)</f>
        <v>3</v>
      </c>
      <c r="G707" s="42">
        <f>IFERROR(__xludf.DUMMYFUNCTION("""COMPUTED_VALUE"""),8.0)</f>
        <v>8</v>
      </c>
      <c r="H707" s="42">
        <f>IFERROR(__xludf.DUMMYFUNCTION("""COMPUTED_VALUE"""),0.2727272727272727)</f>
        <v>0.2727272727</v>
      </c>
      <c r="I707" s="42">
        <f>IFERROR(__xludf.DUMMYFUNCTION("""COMPUTED_VALUE"""),0.3)</f>
        <v>0.3</v>
      </c>
      <c r="J707" s="30">
        <f>IFERROR(__xludf.DUMMYFUNCTION("""COMPUTED_VALUE"""),232.63636363636363)</f>
        <v>232.6363636</v>
      </c>
      <c r="K707" s="30">
        <f>IFERROR(__xludf.DUMMYFUNCTION("""COMPUTED_VALUE"""),0.5454545454545454)</f>
        <v>0.5454545455</v>
      </c>
      <c r="L707" s="30">
        <f>IFERROR(__xludf.DUMMYFUNCTION("""COMPUTED_VALUE"""),0.45454545454545453)</f>
        <v>0.4545454545</v>
      </c>
      <c r="M707" s="30">
        <f>IFERROR(__xludf.DUMMYFUNCTION("""COMPUTED_VALUE"""),0.45454545454545453)</f>
        <v>0.4545454545</v>
      </c>
      <c r="N707" s="30">
        <f>IFERROR(__xludf.DUMMYFUNCTION("""COMPUTED_VALUE"""),1.8181818181818181)</f>
        <v>1.818181818</v>
      </c>
      <c r="O707" s="30">
        <f>IFERROR(__xludf.DUMMYFUNCTION("""COMPUTED_VALUE"""),373.7575757575758)</f>
        <v>373.7575758</v>
      </c>
      <c r="P707" s="30">
        <f>IFERROR(__xludf.DUMMYFUNCTION("""COMPUTED_VALUE"""),0.9999999999999999)</f>
        <v>1</v>
      </c>
      <c r="Q707" s="30">
        <f>IFERROR(__xludf.DUMMYFUNCTION("""COMPUTED_VALUE"""),0.6969696969696971)</f>
        <v>0.696969697</v>
      </c>
      <c r="R707" s="30">
        <f>IFERROR(__xludf.DUMMYFUNCTION("""COMPUTED_VALUE"""),1.303030303030303)</f>
        <v>1.303030303</v>
      </c>
      <c r="S707" s="30">
        <f>IFERROR(__xludf.DUMMYFUNCTION("""COMPUTED_VALUE"""),2.484848484848485)</f>
        <v>2.484848485</v>
      </c>
      <c r="T707" s="30">
        <f>IFERROR(__xludf.DUMMYFUNCTION("""COMPUTED_VALUE"""),343.07620813967145)</f>
        <v>343.0762081</v>
      </c>
      <c r="U707" s="30">
        <f>IFERROR(__xludf.DUMMYFUNCTION("""COMPUTED_VALUE"""),0.8582104533946346)</f>
        <v>0.8582104534</v>
      </c>
      <c r="V707" s="30">
        <f>IFERROR(__xludf.DUMMYFUNCTION("""COMPUTED_VALUE"""),0.5182609348336155)</f>
        <v>0.5182609348</v>
      </c>
      <c r="W707" s="30">
        <f>IFERROR(__xludf.DUMMYFUNCTION("""COMPUTED_VALUE"""),1.213979635110786)</f>
        <v>1.213979635</v>
      </c>
      <c r="X707" s="30">
        <f>IFERROR(__xludf.DUMMYFUNCTION("""COMPUTED_VALUE"""),2.417030603065015)</f>
        <v>2.417030603</v>
      </c>
      <c r="Y707" s="30">
        <f>IFERROR(__xludf.DUMMYFUNCTION("""COMPUTED_VALUE"""),328.42882823343274)</f>
        <v>328.4288282</v>
      </c>
      <c r="Z707" s="30">
        <f>IFERROR(__xludf.DUMMYFUNCTION("""COMPUTED_VALUE"""),0.7663225256484076)</f>
        <v>0.7663225256</v>
      </c>
      <c r="AA707" s="30">
        <f>IFERROR(__xludf.DUMMYFUNCTION("""COMPUTED_VALUE"""),0.5284768485482728)</f>
        <v>0.5284768485</v>
      </c>
      <c r="AB707" s="30">
        <f>IFERROR(__xludf.DUMMYFUNCTION("""COMPUTED_VALUE"""),1.0967747186347365)</f>
        <v>1.096774719</v>
      </c>
      <c r="AC707" s="30">
        <f>IFERROR(__xludf.DUMMYFUNCTION("""COMPUTED_VALUE"""),2.459017710629801)</f>
        <v>2.459017711</v>
      </c>
      <c r="AD707" s="30">
        <f>IFERROR(__xludf.DUMMYFUNCTION("""COMPUTED_VALUE"""),0.7083311318548929)</f>
        <v>0.7083311319</v>
      </c>
      <c r="AE707" s="30">
        <f>IFERROR(__xludf.DUMMYFUNCTION("""COMPUTED_VALUE"""),0.7117819549843202)</f>
        <v>0.711781955</v>
      </c>
      <c r="AF707" s="30">
        <f>IFERROR(__xludf.DUMMYFUNCTION("""COMPUTED_VALUE"""),0.8601047629505285)</f>
        <v>0.860104763</v>
      </c>
      <c r="AG707" s="30">
        <f>IFERROR(__xludf.DUMMYFUNCTION("""COMPUTED_VALUE"""),0.4144383042593031)</f>
        <v>0.4144383043</v>
      </c>
      <c r="AH707" s="30">
        <f>IFERROR(__xludf.DUMMYFUNCTION("""COMPUTED_VALUE"""),0.7393935433332635)</f>
        <v>0.7393935433</v>
      </c>
      <c r="AI707" s="30">
        <f>IFERROR(__xludf.DUMMYFUNCTION("""COMPUTED_VALUE"""),1.0894301816621847)</f>
        <v>1.089430182</v>
      </c>
      <c r="AJ707" s="30">
        <f>IFERROR(__xludf.DUMMYFUNCTION("""COMPUTED_VALUE"""),1.1652153571941701)</f>
        <v>1.165215357</v>
      </c>
      <c r="AK707" s="30">
        <f>IFERROR(__xludf.DUMMYFUNCTION("""COMPUTED_VALUE"""),1.3448239103598558)</f>
        <v>1.34482391</v>
      </c>
      <c r="AL707" s="30">
        <f>IFERROR(__xludf.DUMMYFUNCTION("""COMPUTED_VALUE"""),1.0733543342441574)</f>
        <v>1.073354334</v>
      </c>
      <c r="AM707" s="30">
        <f>IFERROR(__xludf.DUMMYFUNCTION("""COMPUTED_VALUE"""),1.028058346343431)</f>
        <v>1.028058346</v>
      </c>
      <c r="AN707" s="30">
        <f>IFERROR(__xludf.DUMMYFUNCTION("""COMPUTED_VALUE"""),0.7185869987986025)</f>
        <v>0.7185869988</v>
      </c>
      <c r="AO707" s="30">
        <f>IFERROR(__xludf.DUMMYFUNCTION("""COMPUTED_VALUE"""),0.7395256571543938)</f>
        <v>0.7395256572</v>
      </c>
      <c r="AP707" s="30">
        <f>IFERROR(__xludf.DUMMYFUNCTION("""COMPUTED_VALUE"""),0.9212239470169389)</f>
        <v>0.921223947</v>
      </c>
      <c r="AQ707" s="30">
        <f>IFERROR(__xludf.DUMMYFUNCTION("""COMPUTED_VALUE"""),0.376870161009853)</f>
        <v>0.376870161</v>
      </c>
      <c r="AR707" s="30">
        <f>IFERROR(__xludf.DUMMYFUNCTION("""COMPUTED_VALUE"""),0.7719135166080155)</f>
        <v>0.7719135166</v>
      </c>
      <c r="AS707" s="30">
        <f>IFERROR(__xludf.DUMMYFUNCTION("""COMPUTED_VALUE"""),22.0)</f>
        <v>22</v>
      </c>
      <c r="AT707" s="30">
        <f>IFERROR(__xludf.DUMMYFUNCTION("""COMPUTED_VALUE"""),0.34445266793706497)</f>
        <v>0.3444526679</v>
      </c>
      <c r="AU707" s="30">
        <f>IFERROR(__xludf.DUMMYFUNCTION("""COMPUTED_VALUE"""),1.104109441554992)</f>
        <v>1.104109442</v>
      </c>
      <c r="AV707" s="32">
        <f>IFERROR(__xludf.DUMMYFUNCTION("""COMPUTED_VALUE"""),22.7416311327291)</f>
        <v>22.74163113</v>
      </c>
      <c r="AW707" s="32">
        <f>IFERROR(__xludf.DUMMYFUNCTION("""COMPUTED_VALUE"""),-7.257797033807684)</f>
        <v>-7.257797034</v>
      </c>
      <c r="AX707" s="32">
        <f>IFERROR(__xludf.DUMMYFUNCTION("""COMPUTED_VALUE"""),16.63682569052326)</f>
        <v>16.63682569</v>
      </c>
      <c r="AY707" s="32">
        <f>IFERROR(__xludf.DUMMYFUNCTION("""COMPUTED_VALUE"""),-10.987126679213388)</f>
        <v>-10.98712668</v>
      </c>
      <c r="AZ707" s="30">
        <f>IFERROR(__xludf.DUMMYFUNCTION("""COMPUTED_VALUE"""),3.729329645405704)</f>
        <v>3.729329645</v>
      </c>
      <c r="BA707" s="30">
        <f>IFERROR(__xludf.DUMMYFUNCTION("""COMPUTED_VALUE"""),2700.0)</f>
        <v>2700</v>
      </c>
    </row>
    <row r="708">
      <c r="A708" s="71" t="str">
        <f>IFERROR(__xludf.DUMMYFUNCTION("""COMPUTED_VALUE"""),"Prospect")</f>
        <v>Prospect</v>
      </c>
      <c r="B708" s="71" t="str">
        <f>IFERROR(__xludf.DUMMYFUNCTION("""COMPUTED_VALUE"""),"RSC006369")</f>
        <v>RSC006369</v>
      </c>
      <c r="C708" s="30" t="str">
        <f>IFERROR(__xludf.DUMMYFUNCTION("""COMPUTED_VALUE"""),"nate")</f>
        <v>nate</v>
      </c>
      <c r="D708" s="30" t="str">
        <f>IFERROR(__xludf.DUMMYFUNCTION("""COMPUTED_VALUE"""),"Emus")</f>
        <v>Emus</v>
      </c>
      <c r="E708" s="30">
        <f>IFERROR(__xludf.DUMMYFUNCTION("""COMPUTED_VALUE"""),19.0)</f>
        <v>19</v>
      </c>
      <c r="F708" s="30">
        <f>IFERROR(__xludf.DUMMYFUNCTION("""COMPUTED_VALUE"""),9.0)</f>
        <v>9</v>
      </c>
      <c r="G708" s="42">
        <f>IFERROR(__xludf.DUMMYFUNCTION("""COMPUTED_VALUE"""),10.0)</f>
        <v>10</v>
      </c>
      <c r="H708" s="42">
        <f>IFERROR(__xludf.DUMMYFUNCTION("""COMPUTED_VALUE"""),0.47368421052631576)</f>
        <v>0.4736842105</v>
      </c>
      <c r="I708" s="42">
        <f>IFERROR(__xludf.DUMMYFUNCTION("""COMPUTED_VALUE"""),0.34375000000000006)</f>
        <v>0.34375</v>
      </c>
      <c r="J708" s="30">
        <f>IFERROR(__xludf.DUMMYFUNCTION("""COMPUTED_VALUE"""),284.1578947368421)</f>
        <v>284.1578947</v>
      </c>
      <c r="K708" s="30">
        <f>IFERROR(__xludf.DUMMYFUNCTION("""COMPUTED_VALUE"""),0.5789473684210527)</f>
        <v>0.5789473684</v>
      </c>
      <c r="L708" s="30">
        <f>IFERROR(__xludf.DUMMYFUNCTION("""COMPUTED_VALUE"""),0.42105263157894735)</f>
        <v>0.4210526316</v>
      </c>
      <c r="M708" s="30">
        <f>IFERROR(__xludf.DUMMYFUNCTION("""COMPUTED_VALUE"""),1.2105263157894737)</f>
        <v>1.210526316</v>
      </c>
      <c r="N708" s="30">
        <f>IFERROR(__xludf.DUMMYFUNCTION("""COMPUTED_VALUE"""),1.6842105263157894)</f>
        <v>1.684210526</v>
      </c>
      <c r="O708" s="30">
        <f>IFERROR(__xludf.DUMMYFUNCTION("""COMPUTED_VALUE"""),340.45614035087726)</f>
        <v>340.4561404</v>
      </c>
      <c r="P708" s="30">
        <f>IFERROR(__xludf.DUMMYFUNCTION("""COMPUTED_VALUE"""),0.8245614035087719)</f>
        <v>0.8245614035</v>
      </c>
      <c r="Q708" s="30">
        <f>IFERROR(__xludf.DUMMYFUNCTION("""COMPUTED_VALUE"""),0.47368421052631576)</f>
        <v>0.4736842105</v>
      </c>
      <c r="R708" s="30">
        <f>IFERROR(__xludf.DUMMYFUNCTION("""COMPUTED_VALUE"""),1.3333333333333335)</f>
        <v>1.333333333</v>
      </c>
      <c r="S708" s="30">
        <f>IFERROR(__xludf.DUMMYFUNCTION("""COMPUTED_VALUE"""),2.596491228070175)</f>
        <v>2.596491228</v>
      </c>
      <c r="T708" s="30">
        <f>IFERROR(__xludf.DUMMYFUNCTION("""COMPUTED_VALUE"""),345.6064627434172)</f>
        <v>345.6064627</v>
      </c>
      <c r="U708" s="30">
        <f>IFERROR(__xludf.DUMMYFUNCTION("""COMPUTED_VALUE"""),0.8253241021664786)</f>
        <v>0.8253241022</v>
      </c>
      <c r="V708" s="30">
        <f>IFERROR(__xludf.DUMMYFUNCTION("""COMPUTED_VALUE"""),0.5294333844897965)</f>
        <v>0.5294333845</v>
      </c>
      <c r="W708" s="30">
        <f>IFERROR(__xludf.DUMMYFUNCTION("""COMPUTED_VALUE"""),1.288190039003773)</f>
        <v>1.288190039</v>
      </c>
      <c r="X708" s="30">
        <f>IFERROR(__xludf.DUMMYFUNCTION("""COMPUTED_VALUE"""),2.5350944707276977)</f>
        <v>2.535094471</v>
      </c>
      <c r="Y708" s="30">
        <f>IFERROR(__xludf.DUMMYFUNCTION("""COMPUTED_VALUE"""),335.1494942985453)</f>
        <v>335.1494943</v>
      </c>
      <c r="Z708" s="30">
        <f>IFERROR(__xludf.DUMMYFUNCTION("""COMPUTED_VALUE"""),0.7531938283492914)</f>
        <v>0.7531938283</v>
      </c>
      <c r="AA708" s="30">
        <f>IFERROR(__xludf.DUMMYFUNCTION("""COMPUTED_VALUE"""),0.5301975230241485)</f>
        <v>0.530197523</v>
      </c>
      <c r="AB708" s="30">
        <f>IFERROR(__xludf.DUMMYFUNCTION("""COMPUTED_VALUE"""),1.2440040301727804)</f>
        <v>1.24400403</v>
      </c>
      <c r="AC708" s="30">
        <f>IFERROR(__xludf.DUMMYFUNCTION("""COMPUTED_VALUE"""),2.4436539120849154)</f>
        <v>2.443653912</v>
      </c>
      <c r="AD708" s="30">
        <f>IFERROR(__xludf.DUMMYFUNCTION("""COMPUTED_VALUE"""),0.8478541652929341)</f>
        <v>0.8478541653</v>
      </c>
      <c r="AE708" s="30">
        <f>IFERROR(__xludf.DUMMYFUNCTION("""COMPUTED_VALUE"""),0.7686565484609461)</f>
        <v>0.7686565485</v>
      </c>
      <c r="AF708" s="30">
        <f>IFERROR(__xludf.DUMMYFUNCTION("""COMPUTED_VALUE"""),0.7941429623762501)</f>
        <v>0.7941429624</v>
      </c>
      <c r="AG708" s="30">
        <f>IFERROR(__xludf.DUMMYFUNCTION("""COMPUTED_VALUE"""),0.9730887412168134)</f>
        <v>0.9730887412</v>
      </c>
      <c r="AH708" s="30">
        <f>IFERROR(__xludf.DUMMYFUNCTION("""COMPUTED_VALUE"""),0.6892181081726209)</f>
        <v>0.6892181082</v>
      </c>
      <c r="AI708" s="30">
        <f>IFERROR(__xludf.DUMMYFUNCTION("""COMPUTED_VALUE"""),0.9850977254543889)</f>
        <v>0.9850977255</v>
      </c>
      <c r="AJ708" s="30">
        <f>IFERROR(__xludf.DUMMYFUNCTION("""COMPUTED_VALUE"""),0.9990758798201766)</f>
        <v>0.9990758798</v>
      </c>
      <c r="AK708" s="30">
        <f>IFERROR(__xludf.DUMMYFUNCTION("""COMPUTED_VALUE"""),0.8947003048982168)</f>
        <v>0.8947003049</v>
      </c>
      <c r="AL708" s="30">
        <f>IFERROR(__xludf.DUMMYFUNCTION("""COMPUTED_VALUE"""),1.0350439709691222)</f>
        <v>1.035043971</v>
      </c>
      <c r="AM708" s="30">
        <f>IFERROR(__xludf.DUMMYFUNCTION("""COMPUTED_VALUE"""),1.0242187255944168)</f>
        <v>1.024218726</v>
      </c>
      <c r="AN708" s="30">
        <f>IFERROR(__xludf.DUMMYFUNCTION("""COMPUTED_VALUE"""),0.8777310888638695)</f>
        <v>0.8777310889</v>
      </c>
      <c r="AO708" s="30">
        <f>IFERROR(__xludf.DUMMYFUNCTION("""COMPUTED_VALUE"""),0.7849351273305408)</f>
        <v>0.7849351273</v>
      </c>
      <c r="AP708" s="30">
        <f>IFERROR(__xludf.DUMMYFUNCTION("""COMPUTED_VALUE"""),0.8533442877630592)</f>
        <v>0.8533442878</v>
      </c>
      <c r="AQ708" s="30">
        <f>IFERROR(__xludf.DUMMYFUNCTION("""COMPUTED_VALUE"""),1.0036647445841347)</f>
        <v>1.003664745</v>
      </c>
      <c r="AR708" s="30">
        <f>IFERROR(__xludf.DUMMYFUNCTION("""COMPUTED_VALUE"""),0.7150356785421618)</f>
        <v>0.7150356785</v>
      </c>
      <c r="AS708" s="30">
        <f>IFERROR(__xludf.DUMMYFUNCTION("""COMPUTED_VALUE"""),41.0)</f>
        <v>41</v>
      </c>
      <c r="AT708" s="30">
        <f>IFERROR(__xludf.DUMMYFUNCTION("""COMPUTED_VALUE"""),0.4471853895325621)</f>
        <v>0.4471853895</v>
      </c>
      <c r="AU708" s="30">
        <f>IFERROR(__xludf.DUMMYFUNCTION("""COMPUTED_VALUE"""),1.3899538846184698)</f>
        <v>1.389953885</v>
      </c>
      <c r="AV708" s="32">
        <f>IFERROR(__xludf.DUMMYFUNCTION("""COMPUTED_VALUE"""),31.834970230887468)</f>
        <v>31.83497023</v>
      </c>
      <c r="AW708" s="32">
        <f>IFERROR(__xludf.DUMMYFUNCTION("""COMPUTED_VALUE"""),-4.278346680177707)</f>
        <v>-4.27834668</v>
      </c>
      <c r="AX708" s="32">
        <f>IFERROR(__xludf.DUMMYFUNCTION("""COMPUTED_VALUE"""),21.270492555361457)</f>
        <v>21.27049256</v>
      </c>
      <c r="AY708" s="32">
        <f>IFERROR(__xludf.DUMMYFUNCTION("""COMPUTED_VALUE"""),-7.984617052558551)</f>
        <v>-7.984617053</v>
      </c>
      <c r="AZ708" s="30">
        <f>IFERROR(__xludf.DUMMYFUNCTION("""COMPUTED_VALUE"""),3.7062703723808443)</f>
        <v>3.706270372</v>
      </c>
      <c r="BA708" s="30">
        <f>IFERROR(__xludf.DUMMYFUNCTION("""COMPUTED_VALUE"""),2700.0)</f>
        <v>2700</v>
      </c>
    </row>
    <row r="709">
      <c r="A709" s="71" t="str">
        <f>IFERROR(__xludf.DUMMYFUNCTION("""COMPUTED_VALUE"""),"Prospect")</f>
        <v>Prospect</v>
      </c>
      <c r="B709" s="71" t="str">
        <f>IFERROR(__xludf.DUMMYFUNCTION("""COMPUTED_VALUE"""),"RSC003737")</f>
        <v>RSC003737</v>
      </c>
      <c r="C709" s="30" t="str">
        <f>IFERROR(__xludf.DUMMYFUNCTION("""COMPUTED_VALUE"""),"MeOnDisplay")</f>
        <v>MeOnDisplay</v>
      </c>
      <c r="D709" s="30" t="str">
        <f>IFERROR(__xludf.DUMMYFUNCTION("""COMPUTED_VALUE"""),"Honey Badgers")</f>
        <v>Honey Badgers</v>
      </c>
      <c r="E709" s="30">
        <f>IFERROR(__xludf.DUMMYFUNCTION("""COMPUTED_VALUE"""),23.0)</f>
        <v>23</v>
      </c>
      <c r="F709" s="30">
        <f>IFERROR(__xludf.DUMMYFUNCTION("""COMPUTED_VALUE"""),14.0)</f>
        <v>14</v>
      </c>
      <c r="G709" s="42">
        <f>IFERROR(__xludf.DUMMYFUNCTION("""COMPUTED_VALUE"""),9.0)</f>
        <v>9</v>
      </c>
      <c r="H709" s="42">
        <f>IFERROR(__xludf.DUMMYFUNCTION("""COMPUTED_VALUE"""),0.6086956521739131)</f>
        <v>0.6086956522</v>
      </c>
      <c r="I709" s="42">
        <f>IFERROR(__xludf.DUMMYFUNCTION("""COMPUTED_VALUE"""),0.36363636363636365)</f>
        <v>0.3636363636</v>
      </c>
      <c r="J709" s="30">
        <f>IFERROR(__xludf.DUMMYFUNCTION("""COMPUTED_VALUE"""),280.95652173913044)</f>
        <v>280.9565217</v>
      </c>
      <c r="K709" s="30">
        <f>IFERROR(__xludf.DUMMYFUNCTION("""COMPUTED_VALUE"""),0.8695652173913043)</f>
        <v>0.8695652174</v>
      </c>
      <c r="L709" s="30">
        <f>IFERROR(__xludf.DUMMYFUNCTION("""COMPUTED_VALUE"""),0.34782608695652173)</f>
        <v>0.347826087</v>
      </c>
      <c r="M709" s="30">
        <f>IFERROR(__xludf.DUMMYFUNCTION("""COMPUTED_VALUE"""),0.8695652173913043)</f>
        <v>0.8695652174</v>
      </c>
      <c r="N709" s="30">
        <f>IFERROR(__xludf.DUMMYFUNCTION("""COMPUTED_VALUE"""),2.391304347826087)</f>
        <v>2.391304348</v>
      </c>
      <c r="O709" s="30">
        <f>IFERROR(__xludf.DUMMYFUNCTION("""COMPUTED_VALUE"""),356.9420289855073)</f>
        <v>356.942029</v>
      </c>
      <c r="P709" s="30">
        <f>IFERROR(__xludf.DUMMYFUNCTION("""COMPUTED_VALUE"""),0.782608695652174)</f>
        <v>0.7826086957</v>
      </c>
      <c r="Q709" s="30">
        <f>IFERROR(__xludf.DUMMYFUNCTION("""COMPUTED_VALUE"""),0.5942028985507245)</f>
        <v>0.5942028986</v>
      </c>
      <c r="R709" s="30">
        <f>IFERROR(__xludf.DUMMYFUNCTION("""COMPUTED_VALUE"""),1.3478260869565217)</f>
        <v>1.347826087</v>
      </c>
      <c r="S709" s="30">
        <f>IFERROR(__xludf.DUMMYFUNCTION("""COMPUTED_VALUE"""),2.5072463768115947)</f>
        <v>2.507246377</v>
      </c>
      <c r="T709" s="30">
        <f>IFERROR(__xludf.DUMMYFUNCTION("""COMPUTED_VALUE"""),341.5075126481742)</f>
        <v>341.5075126</v>
      </c>
      <c r="U709" s="30">
        <f>IFERROR(__xludf.DUMMYFUNCTION("""COMPUTED_VALUE"""),0.7776848393934388)</f>
        <v>0.7776848394</v>
      </c>
      <c r="V709" s="30">
        <f>IFERROR(__xludf.DUMMYFUNCTION("""COMPUTED_VALUE"""),0.5395732206838347)</f>
        <v>0.5395732207</v>
      </c>
      <c r="W709" s="30">
        <f>IFERROR(__xludf.DUMMYFUNCTION("""COMPUTED_VALUE"""),1.2782474082856294)</f>
        <v>1.278247408</v>
      </c>
      <c r="X709" s="30">
        <f>IFERROR(__xludf.DUMMYFUNCTION("""COMPUTED_VALUE"""),2.367500822459025)</f>
        <v>2.367500822</v>
      </c>
      <c r="Y709" s="30">
        <f>IFERROR(__xludf.DUMMYFUNCTION("""COMPUTED_VALUE"""),333.5851029822883)</f>
        <v>333.585103</v>
      </c>
      <c r="Z709" s="30">
        <f>IFERROR(__xludf.DUMMYFUNCTION("""COMPUTED_VALUE"""),0.8154845403120876)</f>
        <v>0.8154845403</v>
      </c>
      <c r="AA709" s="30">
        <f>IFERROR(__xludf.DUMMYFUNCTION("""COMPUTED_VALUE"""),0.5229736897418359)</f>
        <v>0.5229736897</v>
      </c>
      <c r="AB709" s="30">
        <f>IFERROR(__xludf.DUMMYFUNCTION("""COMPUTED_VALUE"""),1.1456313792341413)</f>
        <v>1.145631379</v>
      </c>
      <c r="AC709" s="30">
        <f>IFERROR(__xludf.DUMMYFUNCTION("""COMPUTED_VALUE"""),2.5368063229714397)</f>
        <v>2.536806323</v>
      </c>
      <c r="AD709" s="30">
        <f>IFERROR(__xludf.DUMMYFUNCTION("""COMPUTED_VALUE"""),0.8422334187808376)</f>
        <v>0.8422334188</v>
      </c>
      <c r="AE709" s="30">
        <f>IFERROR(__xludf.DUMMYFUNCTION("""COMPUTED_VALUE"""),1.0663172315425133)</f>
        <v>1.066317232</v>
      </c>
      <c r="AF709" s="30">
        <f>IFERROR(__xludf.DUMMYFUNCTION("""COMPUTED_VALUE"""),0.6650928981307355)</f>
        <v>0.6650928981</v>
      </c>
      <c r="AG709" s="30">
        <f>IFERROR(__xludf.DUMMYFUNCTION("""COMPUTED_VALUE"""),0.7590270597970281)</f>
        <v>0.7590270598</v>
      </c>
      <c r="AH709" s="30">
        <f>IFERROR(__xludf.DUMMYFUNCTION("""COMPUTED_VALUE"""),0.9426436406170252)</f>
        <v>0.9426436406</v>
      </c>
      <c r="AI709" s="30">
        <f>IFERROR(__xludf.DUMMYFUNCTION("""COMPUTED_VALUE"""),1.0451952468560595)</f>
        <v>1.045195247</v>
      </c>
      <c r="AJ709" s="30">
        <f>IFERROR(__xludf.DUMMYFUNCTION("""COMPUTED_VALUE"""),1.00633142888908)</f>
        <v>1.006331429</v>
      </c>
      <c r="AK709" s="30">
        <f>IFERROR(__xludf.DUMMYFUNCTION("""COMPUTED_VALUE"""),1.1012460881539936)</f>
        <v>1.101246088</v>
      </c>
      <c r="AL709" s="30">
        <f>IFERROR(__xludf.DUMMYFUNCTION("""COMPUTED_VALUE"""),1.0544328728694317)</f>
        <v>1.054432873</v>
      </c>
      <c r="AM709" s="30">
        <f>IFERROR(__xludf.DUMMYFUNCTION("""COMPUTED_VALUE"""),1.0590266128006756)</f>
        <v>1.059026613</v>
      </c>
      <c r="AN709" s="30">
        <f>IFERROR(__xludf.DUMMYFUNCTION("""COMPUTED_VALUE"""),0.8678424154918237)</f>
        <v>0.8678424155</v>
      </c>
      <c r="AO709" s="30">
        <f>IFERROR(__xludf.DUMMYFUNCTION("""COMPUTED_VALUE"""),1.178953946188164)</f>
        <v>1.178953946</v>
      </c>
      <c r="AP709" s="30">
        <f>IFERROR(__xludf.DUMMYFUNCTION("""COMPUTED_VALUE"""),0.7049365855433967)</f>
        <v>0.7049365855</v>
      </c>
      <c r="AQ709" s="30">
        <f>IFERROR(__xludf.DUMMYFUNCTION("""COMPUTED_VALUE"""),0.7209690036710231)</f>
        <v>0.7209690037</v>
      </c>
      <c r="AR709" s="30">
        <f>IFERROR(__xludf.DUMMYFUNCTION("""COMPUTED_VALUE"""),1.0152340816257597)</f>
        <v>1.015234082</v>
      </c>
      <c r="AS709" s="30">
        <f>IFERROR(__xludf.DUMMYFUNCTION("""COMPUTED_VALUE"""),66.0)</f>
        <v>66</v>
      </c>
      <c r="AT709" s="30">
        <f>IFERROR(__xludf.DUMMYFUNCTION("""COMPUTED_VALUE"""),0.5799086865197419)</f>
        <v>0.5799086865</v>
      </c>
      <c r="AU709" s="30">
        <f>IFERROR(__xludf.DUMMYFUNCTION("""COMPUTED_VALUE"""),1.8253640010312486)</f>
        <v>1.825364001</v>
      </c>
      <c r="AV709" s="32">
        <f>IFERROR(__xludf.DUMMYFUNCTION("""COMPUTED_VALUE"""),45.686321661325294)</f>
        <v>45.68632166</v>
      </c>
      <c r="AW709" s="32">
        <f>IFERROR(__xludf.DUMMYFUNCTION("""COMPUTED_VALUE"""),-2.3174772051480605)</f>
        <v>-2.317477205</v>
      </c>
      <c r="AX709" s="32">
        <f>IFERROR(__xludf.DUMMYFUNCTION("""COMPUTED_VALUE"""),26.609278005673577)</f>
        <v>26.60927801</v>
      </c>
      <c r="AY709" s="32">
        <f>IFERROR(__xludf.DUMMYFUNCTION("""COMPUTED_VALUE"""),-5.723045246195426)</f>
        <v>-5.723045246</v>
      </c>
      <c r="AZ709" s="30">
        <f>IFERROR(__xludf.DUMMYFUNCTION("""COMPUTED_VALUE"""),3.405568041047365)</f>
        <v>3.405568041</v>
      </c>
      <c r="BA709" s="30">
        <f>IFERROR(__xludf.DUMMYFUNCTION("""COMPUTED_VALUE"""),2700.0)</f>
        <v>2700</v>
      </c>
    </row>
    <row r="710">
      <c r="A710" s="71" t="str">
        <f>IFERROR(__xludf.DUMMYFUNCTION("""COMPUTED_VALUE"""),"Prospect")</f>
        <v>Prospect</v>
      </c>
      <c r="B710" s="71" t="str">
        <f>IFERROR(__xludf.DUMMYFUNCTION("""COMPUTED_VALUE"""),"RSC006832")</f>
        <v>RSC006832</v>
      </c>
      <c r="C710" s="30" t="str">
        <f>IFERROR(__xludf.DUMMYFUNCTION("""COMPUTED_VALUE"""),"Pandaliciously")</f>
        <v>Pandaliciously</v>
      </c>
      <c r="D710" s="30" t="str">
        <f>IFERROR(__xludf.DUMMYFUNCTION("""COMPUTED_VALUE"""),"Horizon Highball")</f>
        <v>Horizon Highball</v>
      </c>
      <c r="E710" s="30">
        <f>IFERROR(__xludf.DUMMYFUNCTION("""COMPUTED_VALUE"""),21.0)</f>
        <v>21</v>
      </c>
      <c r="F710" s="30">
        <f>IFERROR(__xludf.DUMMYFUNCTION("""COMPUTED_VALUE"""),13.0)</f>
        <v>13</v>
      </c>
      <c r="G710" s="42">
        <f>IFERROR(__xludf.DUMMYFUNCTION("""COMPUTED_VALUE"""),8.0)</f>
        <v>8</v>
      </c>
      <c r="H710" s="42">
        <f>IFERROR(__xludf.DUMMYFUNCTION("""COMPUTED_VALUE"""),0.6190476190476191)</f>
        <v>0.619047619</v>
      </c>
      <c r="I710" s="42">
        <f>IFERROR(__xludf.DUMMYFUNCTION("""COMPUTED_VALUE"""),0.3283582089552239)</f>
        <v>0.328358209</v>
      </c>
      <c r="J710" s="30">
        <f>IFERROR(__xludf.DUMMYFUNCTION("""COMPUTED_VALUE"""),384.3333333333333)</f>
        <v>384.3333333</v>
      </c>
      <c r="K710" s="30">
        <f>IFERROR(__xludf.DUMMYFUNCTION("""COMPUTED_VALUE"""),1.0476190476190477)</f>
        <v>1.047619048</v>
      </c>
      <c r="L710" s="30">
        <f>IFERROR(__xludf.DUMMYFUNCTION("""COMPUTED_VALUE"""),0.38095238095238093)</f>
        <v>0.380952381</v>
      </c>
      <c r="M710" s="30">
        <f>IFERROR(__xludf.DUMMYFUNCTION("""COMPUTED_VALUE"""),1.3333333333333333)</f>
        <v>1.333333333</v>
      </c>
      <c r="N710" s="30">
        <f>IFERROR(__xludf.DUMMYFUNCTION("""COMPUTED_VALUE"""),3.1904761904761907)</f>
        <v>3.19047619</v>
      </c>
      <c r="O710" s="30">
        <f>IFERROR(__xludf.DUMMYFUNCTION("""COMPUTED_VALUE"""),343.06349206349205)</f>
        <v>343.0634921</v>
      </c>
      <c r="P710" s="30">
        <f>IFERROR(__xludf.DUMMYFUNCTION("""COMPUTED_VALUE"""),0.6666666666666666)</f>
        <v>0.6666666667</v>
      </c>
      <c r="Q710" s="30">
        <f>IFERROR(__xludf.DUMMYFUNCTION("""COMPUTED_VALUE"""),0.492063492063492)</f>
        <v>0.4920634921</v>
      </c>
      <c r="R710" s="30">
        <f>IFERROR(__xludf.DUMMYFUNCTION("""COMPUTED_VALUE"""),1.492063492063492)</f>
        <v>1.492063492</v>
      </c>
      <c r="S710" s="30">
        <f>IFERROR(__xludf.DUMMYFUNCTION("""COMPUTED_VALUE"""),2.253968253968254)</f>
        <v>2.253968254</v>
      </c>
      <c r="T710" s="30">
        <f>IFERROR(__xludf.DUMMYFUNCTION("""COMPUTED_VALUE"""),335.965834298238)</f>
        <v>335.9658343</v>
      </c>
      <c r="U710" s="30">
        <f>IFERROR(__xludf.DUMMYFUNCTION("""COMPUTED_VALUE"""),0.7422951025169805)</f>
        <v>0.7422951025</v>
      </c>
      <c r="V710" s="30">
        <f>IFERROR(__xludf.DUMMYFUNCTION("""COMPUTED_VALUE"""),0.4887927809753781)</f>
        <v>0.488792781</v>
      </c>
      <c r="W710" s="30">
        <f>IFERROR(__xludf.DUMMYFUNCTION("""COMPUTED_VALUE"""),1.3172213068458607)</f>
        <v>1.317221307</v>
      </c>
      <c r="X710" s="30">
        <f>IFERROR(__xludf.DUMMYFUNCTION("""COMPUTED_VALUE"""),2.394957035103108)</f>
        <v>2.394957035</v>
      </c>
      <c r="Y710" s="30">
        <f>IFERROR(__xludf.DUMMYFUNCTION("""COMPUTED_VALUE"""),337.65648993189325)</f>
        <v>337.6564899</v>
      </c>
      <c r="Z710" s="30">
        <f>IFERROR(__xludf.DUMMYFUNCTION("""COMPUTED_VALUE"""),0.8093002342834038)</f>
        <v>0.8093002343</v>
      </c>
      <c r="AA710" s="30">
        <f>IFERROR(__xludf.DUMMYFUNCTION("""COMPUTED_VALUE"""),0.5286423016501806)</f>
        <v>0.5286423017</v>
      </c>
      <c r="AB710" s="30">
        <f>IFERROR(__xludf.DUMMYFUNCTION("""COMPUTED_VALUE"""),1.1728249072069858)</f>
        <v>1.172824907</v>
      </c>
      <c r="AC710" s="30">
        <f>IFERROR(__xludf.DUMMYFUNCTION("""COMPUTED_VALUE"""),2.594728624764542)</f>
        <v>2.594728625</v>
      </c>
      <c r="AD710" s="30">
        <f>IFERROR(__xludf.DUMMYFUNCTION("""COMPUTED_VALUE"""),1.1382376610349025)</f>
        <v>1.138237661</v>
      </c>
      <c r="AE710" s="30">
        <f>IFERROR(__xludf.DUMMYFUNCTION("""COMPUTED_VALUE"""),1.294475156734217)</f>
        <v>1.294475157</v>
      </c>
      <c r="AF710" s="30">
        <f>IFERROR(__xludf.DUMMYFUNCTION("""COMPUTED_VALUE"""),0.7206240964130586)</f>
        <v>0.7206240964</v>
      </c>
      <c r="AG710" s="30">
        <f>IFERROR(__xludf.DUMMYFUNCTION("""COMPUTED_VALUE"""),1.1368562563260947)</f>
        <v>1.136856256</v>
      </c>
      <c r="AH710" s="30">
        <f>IFERROR(__xludf.DUMMYFUNCTION("""COMPUTED_VALUE"""),1.2295991804405788)</f>
        <v>1.22959918</v>
      </c>
      <c r="AI710" s="30">
        <f>IFERROR(__xludf.DUMMYFUNCTION("""COMPUTED_VALUE"""),1.0211261296258876)</f>
        <v>1.02112613</v>
      </c>
      <c r="AJ710" s="30">
        <f>IFERROR(__xludf.DUMMYFUNCTION("""COMPUTED_VALUE"""),0.8981154050540381)</f>
        <v>0.8981154051</v>
      </c>
      <c r="AK710" s="30">
        <f>IFERROR(__xludf.DUMMYFUNCTION("""COMPUTED_VALUE"""),1.0066914062879309)</f>
        <v>1.006691406</v>
      </c>
      <c r="AL710" s="30">
        <f>IFERROR(__xludf.DUMMYFUNCTION("""COMPUTED_VALUE"""),1.1327356187672806)</f>
        <v>1.132735619</v>
      </c>
      <c r="AM710" s="30">
        <f>IFERROR(__xludf.DUMMYFUNCTION("""COMPUTED_VALUE"""),0.9411309768532927)</f>
        <v>0.9411309769</v>
      </c>
      <c r="AN710" s="30">
        <f>IFERROR(__xludf.DUMMYFUNCTION("""COMPUTED_VALUE"""),1.187161509152361)</f>
        <v>1.187161509</v>
      </c>
      <c r="AO710" s="30">
        <f>IFERROR(__xludf.DUMMYFUNCTION("""COMPUTED_VALUE"""),1.4203588018362168)</f>
        <v>1.420358802</v>
      </c>
      <c r="AP710" s="30">
        <f>IFERROR(__xludf.DUMMYFUNCTION("""COMPUTED_VALUE"""),0.7720734032141964)</f>
        <v>0.7720734032</v>
      </c>
      <c r="AQ710" s="30">
        <f>IFERROR(__xludf.DUMMYFUNCTION("""COMPUTED_VALUE"""),1.105485805628902)</f>
        <v>1.105485806</v>
      </c>
      <c r="AR710" s="30">
        <f>IFERROR(__xludf.DUMMYFUNCTION("""COMPUTED_VALUE"""),1.3545244327145418)</f>
        <v>1.354524433</v>
      </c>
      <c r="AS710" s="30">
        <f>IFERROR(__xludf.DUMMYFUNCTION("""COMPUTED_VALUE"""),57.0)</f>
        <v>57</v>
      </c>
      <c r="AT710" s="30">
        <f>IFERROR(__xludf.DUMMYFUNCTION("""COMPUTED_VALUE"""),0.6169341287360022)</f>
        <v>0.6169341287</v>
      </c>
      <c r="AU710" s="30">
        <f>IFERROR(__xludf.DUMMYFUNCTION("""COMPUTED_VALUE"""),2.6890222389951077)</f>
        <v>2.689022239</v>
      </c>
      <c r="AV710" s="32">
        <f>IFERROR(__xludf.DUMMYFUNCTION("""COMPUTED_VALUE"""),73.16118574668124)</f>
        <v>73.16118575</v>
      </c>
      <c r="AW710" s="32">
        <f>IFERROR(__xludf.DUMMYFUNCTION("""COMPUTED_VALUE"""),5.646312100216595)</f>
        <v>5.6463121</v>
      </c>
      <c r="AX710" s="32">
        <f>IFERROR(__xludf.DUMMYFUNCTION("""COMPUTED_VALUE"""),57.07582084864939)</f>
        <v>57.07582085</v>
      </c>
      <c r="AY710" s="32">
        <f>IFERROR(__xludf.DUMMYFUNCTION("""COMPUTED_VALUE"""),2.573500235474401)</f>
        <v>2.573500235</v>
      </c>
      <c r="AZ710" s="30">
        <f>IFERROR(__xludf.DUMMYFUNCTION("""COMPUTED_VALUE"""),3.072811864742194)</f>
        <v>3.072811865</v>
      </c>
      <c r="BA710" s="30">
        <f>IFERROR(__xludf.DUMMYFUNCTION("""COMPUTED_VALUE"""),2700.0)</f>
        <v>2700</v>
      </c>
    </row>
    <row r="711">
      <c r="A711" s="71" t="str">
        <f>IFERROR(__xludf.DUMMYFUNCTION("""COMPUTED_VALUE"""),"Prospect")</f>
        <v>Prospect</v>
      </c>
      <c r="B711" s="71" t="str">
        <f>IFERROR(__xludf.DUMMYFUNCTION("""COMPUTED_VALUE"""),"RSC007262")</f>
        <v>RSC007262</v>
      </c>
      <c r="C711" s="30" t="str">
        <f>IFERROR(__xludf.DUMMYFUNCTION("""COMPUTED_VALUE"""),"Vvreze")</f>
        <v>Vvreze</v>
      </c>
      <c r="D711" s="30" t="str">
        <f>IFERROR(__xludf.DUMMYFUNCTION("""COMPUTED_VALUE"""),"Poppy")</f>
        <v>Poppy</v>
      </c>
      <c r="E711" s="30">
        <f>IFERROR(__xludf.DUMMYFUNCTION("""COMPUTED_VALUE"""),34.0)</f>
        <v>34</v>
      </c>
      <c r="F711" s="30">
        <f>IFERROR(__xludf.DUMMYFUNCTION("""COMPUTED_VALUE"""),16.0)</f>
        <v>16</v>
      </c>
      <c r="G711" s="42">
        <f>IFERROR(__xludf.DUMMYFUNCTION("""COMPUTED_VALUE"""),18.0)</f>
        <v>18</v>
      </c>
      <c r="H711" s="42">
        <f>IFERROR(__xludf.DUMMYFUNCTION("""COMPUTED_VALUE"""),0.47058823529411764)</f>
        <v>0.4705882353</v>
      </c>
      <c r="I711" s="42">
        <f>IFERROR(__xludf.DUMMYFUNCTION("""COMPUTED_VALUE"""),0.3592233009708738)</f>
        <v>0.359223301</v>
      </c>
      <c r="J711" s="30">
        <f>IFERROR(__xludf.DUMMYFUNCTION("""COMPUTED_VALUE"""),387.11764705882354)</f>
        <v>387.1176471</v>
      </c>
      <c r="K711" s="30">
        <f>IFERROR(__xludf.DUMMYFUNCTION("""COMPUTED_VALUE"""),1.088235294117647)</f>
        <v>1.088235294</v>
      </c>
      <c r="L711" s="30">
        <f>IFERROR(__xludf.DUMMYFUNCTION("""COMPUTED_VALUE"""),0.4411764705882353)</f>
        <v>0.4411764706</v>
      </c>
      <c r="M711" s="30">
        <f>IFERROR(__xludf.DUMMYFUNCTION("""COMPUTED_VALUE"""),1.3529411764705883)</f>
        <v>1.352941176</v>
      </c>
      <c r="N711" s="30">
        <f>IFERROR(__xludf.DUMMYFUNCTION("""COMPUTED_VALUE"""),3.0294117647058822)</f>
        <v>3.029411765</v>
      </c>
      <c r="O711" s="30">
        <f>IFERROR(__xludf.DUMMYFUNCTION("""COMPUTED_VALUE"""),349.6176470588236)</f>
        <v>349.6176471</v>
      </c>
      <c r="P711" s="30">
        <f>IFERROR(__xludf.DUMMYFUNCTION("""COMPUTED_VALUE"""),0.803921568627451)</f>
        <v>0.8039215686</v>
      </c>
      <c r="Q711" s="30">
        <f>IFERROR(__xludf.DUMMYFUNCTION("""COMPUTED_VALUE"""),0.588235294117647)</f>
        <v>0.5882352941</v>
      </c>
      <c r="R711" s="30">
        <f>IFERROR(__xludf.DUMMYFUNCTION("""COMPUTED_VALUE"""),1.303921568627451)</f>
        <v>1.303921569</v>
      </c>
      <c r="S711" s="30">
        <f>IFERROR(__xludf.DUMMYFUNCTION("""COMPUTED_VALUE"""),2.598039215686274)</f>
        <v>2.598039216</v>
      </c>
      <c r="T711" s="30">
        <f>IFERROR(__xludf.DUMMYFUNCTION("""COMPUTED_VALUE"""),338.3679837058167)</f>
        <v>338.3679837</v>
      </c>
      <c r="U711" s="30">
        <f>IFERROR(__xludf.DUMMYFUNCTION("""COMPUTED_VALUE"""),0.786352544325454)</f>
        <v>0.7863525443</v>
      </c>
      <c r="V711" s="30">
        <f>IFERROR(__xludf.DUMMYFUNCTION("""COMPUTED_VALUE"""),0.5110608590174086)</f>
        <v>0.511060859</v>
      </c>
      <c r="W711" s="30">
        <f>IFERROR(__xludf.DUMMYFUNCTION("""COMPUTED_VALUE"""),1.265193007899904)</f>
        <v>1.265193008</v>
      </c>
      <c r="X711" s="30">
        <f>IFERROR(__xludf.DUMMYFUNCTION("""COMPUTED_VALUE"""),2.5119147267948003)</f>
        <v>2.511914727</v>
      </c>
      <c r="Y711" s="30">
        <f>IFERROR(__xludf.DUMMYFUNCTION("""COMPUTED_VALUE"""),337.7658570949881)</f>
        <v>337.7658571</v>
      </c>
      <c r="Z711" s="30">
        <f>IFERROR(__xludf.DUMMYFUNCTION("""COMPUTED_VALUE"""),0.8134021324060473)</f>
        <v>0.8134021324</v>
      </c>
      <c r="AA711" s="30">
        <f>IFERROR(__xludf.DUMMYFUNCTION("""COMPUTED_VALUE"""),0.5274092746594763)</f>
        <v>0.5274092747</v>
      </c>
      <c r="AB711" s="30">
        <f>IFERROR(__xludf.DUMMYFUNCTION("""COMPUTED_VALUE"""),1.2089098604638728)</f>
        <v>1.20890986</v>
      </c>
      <c r="AC711" s="30">
        <f>IFERROR(__xludf.DUMMYFUNCTION("""COMPUTED_VALUE"""),2.518514722723024)</f>
        <v>2.518514723</v>
      </c>
      <c r="AD711" s="30">
        <f>IFERROR(__xludf.DUMMYFUNCTION("""COMPUTED_VALUE"""),1.1461124294453375)</f>
        <v>1.146112429</v>
      </c>
      <c r="AE711" s="30">
        <f>IFERROR(__xludf.DUMMYFUNCTION("""COMPUTED_VALUE"""),1.337881044027561)</f>
        <v>1.337881044</v>
      </c>
      <c r="AF711" s="30">
        <f>IFERROR(__xludf.DUMMYFUNCTION("""COMPUTED_VALUE"""),0.8364973689040309)</f>
        <v>0.8364973689</v>
      </c>
      <c r="AG711" s="30">
        <f>IFERROR(__xludf.DUMMYFUNCTION("""COMPUTED_VALUE"""),1.119141484999923)</f>
        <v>1.119141485</v>
      </c>
      <c r="AH711" s="30">
        <f>IFERROR(__xludf.DUMMYFUNCTION("""COMPUTED_VALUE"""),1.2028564841703508)</f>
        <v>1.202856484</v>
      </c>
      <c r="AI711" s="30">
        <f>IFERROR(__xludf.DUMMYFUNCTION("""COMPUTED_VALUE"""),1.0332468315406211)</f>
        <v>1.033246832</v>
      </c>
      <c r="AJ711" s="30">
        <f>IFERROR(__xludf.DUMMYFUNCTION("""COMPUTED_VALUE"""),1.0223424269798327)</f>
        <v>1.022342427</v>
      </c>
      <c r="AK711" s="30">
        <f>IFERROR(__xludf.DUMMYFUNCTION("""COMPUTED_VALUE"""),1.1510083070118455)</f>
        <v>1.151008307</v>
      </c>
      <c r="AL711" s="30">
        <f>IFERROR(__xludf.DUMMYFUNCTION("""COMPUTED_VALUE"""),1.0306107925713506)</f>
        <v>1.030610793</v>
      </c>
      <c r="AM711" s="30">
        <f>IFERROR(__xludf.DUMMYFUNCTION("""COMPUTED_VALUE"""),1.0342863903669886)</f>
        <v>1.03428639</v>
      </c>
      <c r="AN711" s="30">
        <f>IFERROR(__xludf.DUMMYFUNCTION("""COMPUTED_VALUE"""),1.1957619343500365)</f>
        <v>1.195761934</v>
      </c>
      <c r="AO711" s="30">
        <f>IFERROR(__xludf.DUMMYFUNCTION("""COMPUTED_VALUE"""),1.4754261885384228)</f>
        <v>1.475426189</v>
      </c>
      <c r="AP711" s="30">
        <f>IFERROR(__xludf.DUMMYFUNCTION("""COMPUTED_VALUE"""),0.8941291250458524)</f>
        <v>0.894129125</v>
      </c>
      <c r="AQ711" s="30">
        <f>IFERROR(__xludf.DUMMYFUNCTION("""COMPUTED_VALUE"""),1.1217429498293272)</f>
        <v>1.12174295</v>
      </c>
      <c r="AR711" s="30">
        <f>IFERROR(__xludf.DUMMYFUNCTION("""COMPUTED_VALUE"""),1.2861441387012964)</f>
        <v>1.286144139</v>
      </c>
      <c r="AS711" s="30">
        <f>IFERROR(__xludf.DUMMYFUNCTION("""COMPUTED_VALUE"""),85.0)</f>
        <v>85</v>
      </c>
      <c r="AT711" s="30">
        <f>IFERROR(__xludf.DUMMYFUNCTION("""COMPUTED_VALUE"""),0.5141804563795682)</f>
        <v>0.5141804564</v>
      </c>
      <c r="AU711" s="30">
        <f>IFERROR(__xludf.DUMMYFUNCTION("""COMPUTED_VALUE"""),2.669141335284739)</f>
        <v>2.669141335</v>
      </c>
      <c r="AV711" s="32">
        <f>IFERROR(__xludf.DUMMYFUNCTION("""COMPUTED_VALUE"""),72.52873056553898)</f>
        <v>72.52873057</v>
      </c>
      <c r="AW711" s="32">
        <f>IFERROR(__xludf.DUMMYFUNCTION("""COMPUTED_VALUE"""),5.442043823926509)</f>
        <v>5.442043824</v>
      </c>
      <c r="AX711" s="32">
        <f>IFERROR(__xludf.DUMMYFUNCTION("""COMPUTED_VALUE"""),55.8279997029726)</f>
        <v>55.8279997</v>
      </c>
      <c r="AY711" s="32">
        <f>IFERROR(__xludf.DUMMYFUNCTION("""COMPUTED_VALUE"""),2.451977306712085)</f>
        <v>2.451977307</v>
      </c>
      <c r="AZ711" s="30">
        <f>IFERROR(__xludf.DUMMYFUNCTION("""COMPUTED_VALUE"""),2.9900665172144243)</f>
        <v>2.990066517</v>
      </c>
      <c r="BA711" s="30">
        <f>IFERROR(__xludf.DUMMYFUNCTION("""COMPUTED_VALUE"""),2700.0)</f>
        <v>2700</v>
      </c>
    </row>
    <row r="712">
      <c r="A712" s="71" t="str">
        <f>IFERROR(__xludf.DUMMYFUNCTION("""COMPUTED_VALUE"""),"Prospect")</f>
        <v>Prospect</v>
      </c>
      <c r="B712" s="71" t="str">
        <f>IFERROR(__xludf.DUMMYFUNCTION("""COMPUTED_VALUE"""),"RSC001619")</f>
        <v>RSC001619</v>
      </c>
      <c r="C712" s="30" t="str">
        <f>IFERROR(__xludf.DUMMYFUNCTION("""COMPUTED_VALUE"""),"Rob")</f>
        <v>Rob</v>
      </c>
      <c r="D712" s="30" t="str">
        <f>IFERROR(__xludf.DUMMYFUNCTION("""COMPUTED_VALUE"""),"Gloom")</f>
        <v>Gloom</v>
      </c>
      <c r="E712" s="30">
        <f>IFERROR(__xludf.DUMMYFUNCTION("""COMPUTED_VALUE"""),23.0)</f>
        <v>23</v>
      </c>
      <c r="F712" s="30">
        <f>IFERROR(__xludf.DUMMYFUNCTION("""COMPUTED_VALUE"""),8.0)</f>
        <v>8</v>
      </c>
      <c r="G712" s="42">
        <f>IFERROR(__xludf.DUMMYFUNCTION("""COMPUTED_VALUE"""),15.0)</f>
        <v>15</v>
      </c>
      <c r="H712" s="42">
        <f>IFERROR(__xludf.DUMMYFUNCTION("""COMPUTED_VALUE"""),0.34782608695652173)</f>
        <v>0.347826087</v>
      </c>
      <c r="I712" s="42">
        <f>IFERROR(__xludf.DUMMYFUNCTION("""COMPUTED_VALUE"""),0.37209302325581395)</f>
        <v>0.3720930233</v>
      </c>
      <c r="J712" s="30">
        <f>IFERROR(__xludf.DUMMYFUNCTION("""COMPUTED_VALUE"""),310.7391304347826)</f>
        <v>310.7391304</v>
      </c>
      <c r="K712" s="30">
        <f>IFERROR(__xludf.DUMMYFUNCTION("""COMPUTED_VALUE"""),0.6956521739130435)</f>
        <v>0.6956521739</v>
      </c>
      <c r="L712" s="30">
        <f>IFERROR(__xludf.DUMMYFUNCTION("""COMPUTED_VALUE"""),0.21739130434782608)</f>
        <v>0.2173913043</v>
      </c>
      <c r="M712" s="30">
        <f>IFERROR(__xludf.DUMMYFUNCTION("""COMPUTED_VALUE"""),1.565217391304348)</f>
        <v>1.565217391</v>
      </c>
      <c r="N712" s="30">
        <f>IFERROR(__xludf.DUMMYFUNCTION("""COMPUTED_VALUE"""),1.8695652173913044)</f>
        <v>1.869565217</v>
      </c>
      <c r="O712" s="30">
        <f>IFERROR(__xludf.DUMMYFUNCTION("""COMPUTED_VALUE"""),347.0289855072464)</f>
        <v>347.0289855</v>
      </c>
      <c r="P712" s="30">
        <f>IFERROR(__xludf.DUMMYFUNCTION("""COMPUTED_VALUE"""),0.9130434782608695)</f>
        <v>0.9130434783</v>
      </c>
      <c r="Q712" s="30">
        <f>IFERROR(__xludf.DUMMYFUNCTION("""COMPUTED_VALUE"""),0.5942028985507247)</f>
        <v>0.5942028986</v>
      </c>
      <c r="R712" s="30">
        <f>IFERROR(__xludf.DUMMYFUNCTION("""COMPUTED_VALUE"""),0.9565217391304346)</f>
        <v>0.9565217391</v>
      </c>
      <c r="S712" s="30">
        <f>IFERROR(__xludf.DUMMYFUNCTION("""COMPUTED_VALUE"""),3.1739130434782608)</f>
        <v>3.173913043</v>
      </c>
      <c r="T712" s="30">
        <f>IFERROR(__xludf.DUMMYFUNCTION("""COMPUTED_VALUE"""),351.29228961694497)</f>
        <v>351.2922896</v>
      </c>
      <c r="U712" s="30">
        <f>IFERROR(__xludf.DUMMYFUNCTION("""COMPUTED_VALUE"""),0.8998418146446113)</f>
        <v>0.8998418146</v>
      </c>
      <c r="V712" s="30">
        <f>IFERROR(__xludf.DUMMYFUNCTION("""COMPUTED_VALUE"""),0.5715428225544107)</f>
        <v>0.5715428226</v>
      </c>
      <c r="W712" s="30">
        <f>IFERROR(__xludf.DUMMYFUNCTION("""COMPUTED_VALUE"""),1.172924468267773)</f>
        <v>1.172924468</v>
      </c>
      <c r="X712" s="30">
        <f>IFERROR(__xludf.DUMMYFUNCTION("""COMPUTED_VALUE"""),2.7012040286145105)</f>
        <v>2.701204029</v>
      </c>
      <c r="Y712" s="30">
        <f>IFERROR(__xludf.DUMMYFUNCTION("""COMPUTED_VALUE"""),330.3584722209922)</f>
        <v>330.3584722</v>
      </c>
      <c r="Z712" s="30">
        <f>IFERROR(__xludf.DUMMYFUNCTION("""COMPUTED_VALUE"""),0.7289439937747939)</f>
        <v>0.7289439938</v>
      </c>
      <c r="AA712" s="30">
        <f>IFERROR(__xludf.DUMMYFUNCTION("""COMPUTED_VALUE"""),0.49342127197339)</f>
        <v>0.493421272</v>
      </c>
      <c r="AB712" s="30">
        <f>IFERROR(__xludf.DUMMYFUNCTION("""COMPUTED_VALUE"""),1.2602327607119574)</f>
        <v>1.260232761</v>
      </c>
      <c r="AC712" s="30">
        <f>IFERROR(__xludf.DUMMYFUNCTION("""COMPUTED_VALUE"""),2.3391983005415256)</f>
        <v>2.339198301</v>
      </c>
      <c r="AD712" s="30">
        <f>IFERROR(__xludf.DUMMYFUNCTION("""COMPUTED_VALUE"""),0.9406119611393369)</f>
        <v>0.9406119611</v>
      </c>
      <c r="AE712" s="30">
        <f>IFERROR(__xludf.DUMMYFUNCTION("""COMPUTED_VALUE"""),0.9543286999466849)</f>
        <v>0.9543286999</v>
      </c>
      <c r="AF712" s="30">
        <f>IFERROR(__xludf.DUMMYFUNCTION("""COMPUTED_VALUE"""),0.44057951429291015)</f>
        <v>0.4405795143</v>
      </c>
      <c r="AG712" s="30">
        <f>IFERROR(__xludf.DUMMYFUNCTION("""COMPUTED_VALUE"""),1.2420065880687723)</f>
        <v>1.242006588</v>
      </c>
      <c r="AH712" s="30">
        <f>IFERROR(__xludf.DUMMYFUNCTION("""COMPUTED_VALUE"""),0.7992333172260339)</f>
        <v>0.7992333172</v>
      </c>
      <c r="AI712" s="30">
        <f>IFERROR(__xludf.DUMMYFUNCTION("""COMPUTED_VALUE"""),0.9878639405540401)</f>
        <v>0.9878639406</v>
      </c>
      <c r="AJ712" s="30">
        <f>IFERROR(__xludf.DUMMYFUNCTION("""COMPUTED_VALUE"""),1.0146710937427064)</f>
        <v>1.014671094</v>
      </c>
      <c r="AK712" s="30">
        <f>IFERROR(__xludf.DUMMYFUNCTION("""COMPUTED_VALUE"""),1.0396472059521957)</f>
        <v>1.039647206</v>
      </c>
      <c r="AL712" s="30">
        <f>IFERROR(__xludf.DUMMYFUNCTION("""COMPUTED_VALUE"""),0.8155015646856343)</f>
        <v>0.8155015647</v>
      </c>
      <c r="AM712" s="30">
        <f>IFERROR(__xludf.DUMMYFUNCTION("""COMPUTED_VALUE"""),1.1749993742998415)</f>
        <v>1.174999374</v>
      </c>
      <c r="AN712" s="30">
        <f>IFERROR(__xludf.DUMMYFUNCTION("""COMPUTED_VALUE"""),0.9598374719158255)</f>
        <v>0.9598374719</v>
      </c>
      <c r="AO712" s="30">
        <f>IFERROR(__xludf.DUMMYFUNCTION("""COMPUTED_VALUE"""),0.9431631569505312)</f>
        <v>0.943163157</v>
      </c>
      <c r="AP712" s="30">
        <f>IFERROR(__xludf.DUMMYFUNCTION("""COMPUTED_VALUE"""),0.44058536596462294)</f>
        <v>0.440585366</v>
      </c>
      <c r="AQ712" s="30">
        <f>IFERROR(__xludf.DUMMYFUNCTION("""COMPUTED_VALUE"""),1.2977442066078417)</f>
        <v>1.297744207</v>
      </c>
      <c r="AR712" s="30">
        <f>IFERROR(__xludf.DUMMYFUNCTION("""COMPUTED_VALUE"""),0.793728463816503)</f>
        <v>0.7937284638</v>
      </c>
      <c r="AS712" s="30">
        <f>IFERROR(__xludf.DUMMYFUNCTION("""COMPUTED_VALUE"""),37.0)</f>
        <v>37</v>
      </c>
      <c r="AT712" s="30">
        <f>IFERROR(__xludf.DUMMYFUNCTION("""COMPUTED_VALUE"""),0.3075772433539399)</f>
        <v>0.3075772434</v>
      </c>
      <c r="AU712" s="30">
        <f>IFERROR(__xludf.DUMMYFUNCTION("""COMPUTED_VALUE"""),1.3762821952753483)</f>
        <v>1.376282195</v>
      </c>
      <c r="AV712" s="32">
        <f>IFERROR(__xludf.DUMMYFUNCTION("""COMPUTED_VALUE"""),31.40004378659737)</f>
        <v>31.40004379</v>
      </c>
      <c r="AW712" s="32">
        <f>IFERROR(__xludf.DUMMYFUNCTION("""COMPUTED_VALUE"""),-4.377540693225972)</f>
        <v>-4.377540693</v>
      </c>
      <c r="AX712" s="32">
        <f>IFERROR(__xludf.DUMMYFUNCTION("""COMPUTED_VALUE"""),22.884243517288716)</f>
        <v>22.88424352</v>
      </c>
      <c r="AY712" s="32">
        <f>IFERROR(__xludf.DUMMYFUNCTION("""COMPUTED_VALUE"""),-7.192034024450851)</f>
        <v>-7.192034024</v>
      </c>
      <c r="AZ712" s="30">
        <f>IFERROR(__xludf.DUMMYFUNCTION("""COMPUTED_VALUE"""),2.8144933312248783)</f>
        <v>2.814493331</v>
      </c>
      <c r="BA712" s="30">
        <f>IFERROR(__xludf.DUMMYFUNCTION("""COMPUTED_VALUE"""),2700.0)</f>
        <v>2700</v>
      </c>
    </row>
    <row r="713">
      <c r="A713" s="71" t="str">
        <f>IFERROR(__xludf.DUMMYFUNCTION("""COMPUTED_VALUE"""),"Prospect")</f>
        <v>Prospect</v>
      </c>
      <c r="B713" s="71" t="str">
        <f>IFERROR(__xludf.DUMMYFUNCTION("""COMPUTED_VALUE"""),"RSC007834")</f>
        <v>RSC007834</v>
      </c>
      <c r="C713" s="30" t="str">
        <f>IFERROR(__xludf.DUMMYFUNCTION("""COMPUTED_VALUE"""),"Kyyrbes")</f>
        <v>Kyyrbes</v>
      </c>
      <c r="D713" s="30" t="str">
        <f>IFERROR(__xludf.DUMMYFUNCTION("""COMPUTED_VALUE"""),"Gloom")</f>
        <v>Gloom</v>
      </c>
      <c r="E713" s="30">
        <f>IFERROR(__xludf.DUMMYFUNCTION("""COMPUTED_VALUE"""),29.0)</f>
        <v>29</v>
      </c>
      <c r="F713" s="30">
        <f>IFERROR(__xludf.DUMMYFUNCTION("""COMPUTED_VALUE"""),10.0)</f>
        <v>10</v>
      </c>
      <c r="G713" s="42">
        <f>IFERROR(__xludf.DUMMYFUNCTION("""COMPUTED_VALUE"""),19.0)</f>
        <v>19</v>
      </c>
      <c r="H713" s="42">
        <f>IFERROR(__xludf.DUMMYFUNCTION("""COMPUTED_VALUE"""),0.3448275862068966)</f>
        <v>0.3448275862</v>
      </c>
      <c r="I713" s="42">
        <f>IFERROR(__xludf.DUMMYFUNCTION("""COMPUTED_VALUE"""),0.19230769230769232)</f>
        <v>0.1923076923</v>
      </c>
      <c r="J713" s="30">
        <f>IFERROR(__xludf.DUMMYFUNCTION("""COMPUTED_VALUE"""),298.13793103448273)</f>
        <v>298.137931</v>
      </c>
      <c r="K713" s="30">
        <f>IFERROR(__xludf.DUMMYFUNCTION("""COMPUTED_VALUE"""),0.3448275862068966)</f>
        <v>0.3448275862</v>
      </c>
      <c r="L713" s="30">
        <f>IFERROR(__xludf.DUMMYFUNCTION("""COMPUTED_VALUE"""),0.4482758620689655)</f>
        <v>0.4482758621</v>
      </c>
      <c r="M713" s="30">
        <f>IFERROR(__xludf.DUMMYFUNCTION("""COMPUTED_VALUE"""),1.3793103448275863)</f>
        <v>1.379310345</v>
      </c>
      <c r="N713" s="30">
        <f>IFERROR(__xludf.DUMMYFUNCTION("""COMPUTED_VALUE"""),1.793103448275862)</f>
        <v>1.793103448</v>
      </c>
      <c r="O713" s="30">
        <f>IFERROR(__xludf.DUMMYFUNCTION("""COMPUTED_VALUE"""),339.0)</f>
        <v>339</v>
      </c>
      <c r="P713" s="30">
        <f>IFERROR(__xludf.DUMMYFUNCTION("""COMPUTED_VALUE"""),0.9310344827586206)</f>
        <v>0.9310344828</v>
      </c>
      <c r="Q713" s="30">
        <f>IFERROR(__xludf.DUMMYFUNCTION("""COMPUTED_VALUE"""),0.5747126436781611)</f>
        <v>0.5747126437</v>
      </c>
      <c r="R713" s="30">
        <f>IFERROR(__xludf.DUMMYFUNCTION("""COMPUTED_VALUE"""),0.9540229885057472)</f>
        <v>0.9540229885</v>
      </c>
      <c r="S713" s="30">
        <f>IFERROR(__xludf.DUMMYFUNCTION("""COMPUTED_VALUE"""),3.0)</f>
        <v>3</v>
      </c>
      <c r="T713" s="30">
        <f>IFERROR(__xludf.DUMMYFUNCTION("""COMPUTED_VALUE"""),349.7473674925522)</f>
        <v>349.7473675</v>
      </c>
      <c r="U713" s="30">
        <f>IFERROR(__xludf.DUMMYFUNCTION("""COMPUTED_VALUE"""),0.8994050196774235)</f>
        <v>0.8994050197</v>
      </c>
      <c r="V713" s="30">
        <f>IFERROR(__xludf.DUMMYFUNCTION("""COMPUTED_VALUE"""),0.5730815090430116)</f>
        <v>0.573081509</v>
      </c>
      <c r="W713" s="30">
        <f>IFERROR(__xludf.DUMMYFUNCTION("""COMPUTED_VALUE"""),1.177655666504107)</f>
        <v>1.177655667</v>
      </c>
      <c r="X713" s="30">
        <f>IFERROR(__xludf.DUMMYFUNCTION("""COMPUTED_VALUE"""),2.6674051088376434)</f>
        <v>2.667405109</v>
      </c>
      <c r="Y713" s="30">
        <f>IFERROR(__xludf.DUMMYFUNCTION("""COMPUTED_VALUE"""),329.65459679213745)</f>
        <v>329.6545968</v>
      </c>
      <c r="Z713" s="30">
        <f>IFERROR(__xludf.DUMMYFUNCTION("""COMPUTED_VALUE"""),0.7171379566275083)</f>
        <v>0.7171379566</v>
      </c>
      <c r="AA713" s="30">
        <f>IFERROR(__xludf.DUMMYFUNCTION("""COMPUTED_VALUE"""),0.49446795890993955)</f>
        <v>0.4944679589</v>
      </c>
      <c r="AB713" s="30">
        <f>IFERROR(__xludf.DUMMYFUNCTION("""COMPUTED_VALUE"""),1.268465494849898)</f>
        <v>1.268465495</v>
      </c>
      <c r="AC713" s="30">
        <f>IFERROR(__xludf.DUMMYFUNCTION("""COMPUTED_VALUE"""),2.338966936170724)</f>
        <v>2.338966936</v>
      </c>
      <c r="AD713" s="30">
        <f>IFERROR(__xludf.DUMMYFUNCTION("""COMPUTED_VALUE"""),0.9043948846327556)</f>
        <v>0.9043948846</v>
      </c>
      <c r="AE713" s="30">
        <f>IFERROR(__xludf.DUMMYFUNCTION("""COMPUTED_VALUE"""),0.4808385653278215)</f>
        <v>0.4808385653</v>
      </c>
      <c r="AF713" s="30">
        <f>IFERROR(__xludf.DUMMYFUNCTION("""COMPUTED_VALUE"""),0.9065822243714131)</f>
        <v>0.9065822244</v>
      </c>
      <c r="AG713" s="30">
        <f>IFERROR(__xludf.DUMMYFUNCTION("""COMPUTED_VALUE"""),1.0873849942530798)</f>
        <v>1.087384994</v>
      </c>
      <c r="AH713" s="30">
        <f>IFERROR(__xludf.DUMMYFUNCTION("""COMPUTED_VALUE"""),0.766621973379183)</f>
        <v>0.7666219734</v>
      </c>
      <c r="AI713" s="30">
        <f>IFERROR(__xludf.DUMMYFUNCTION("""COMPUTED_VALUE"""),0.9692710553631799)</f>
        <v>0.9692710554</v>
      </c>
      <c r="AJ713" s="30">
        <f>IFERROR(__xludf.DUMMYFUNCTION("""COMPUTED_VALUE"""),1.0351670964573236)</f>
        <v>1.035167096</v>
      </c>
      <c r="AK713" s="30">
        <f>IFERROR(__xludf.DUMMYFUNCTION("""COMPUTED_VALUE"""),1.0028462524255466)</f>
        <v>1.002846252</v>
      </c>
      <c r="AL713" s="30">
        <f>IFERROR(__xludf.DUMMYFUNCTION("""COMPUTED_VALUE"""),0.8101035095749018)</f>
        <v>0.8101035096</v>
      </c>
      <c r="AM713" s="30">
        <f>IFERROR(__xludf.DUMMYFUNCTION("""COMPUTED_VALUE"""),1.124688555952901)</f>
        <v>1.124688556</v>
      </c>
      <c r="AN713" s="30">
        <f>IFERROR(__xludf.DUMMYFUNCTION("""COMPUTED_VALUE"""),0.92091381476789)</f>
        <v>0.9209138148</v>
      </c>
      <c r="AO713" s="30">
        <f>IFERROR(__xludf.DUMMYFUNCTION("""COMPUTED_VALUE"""),0.46751622004013405)</f>
        <v>0.46751622</v>
      </c>
      <c r="AP713" s="30">
        <f>IFERROR(__xludf.DUMMYFUNCTION("""COMPUTED_VALUE"""),0.9085174098167053)</f>
        <v>0.9085174098</v>
      </c>
      <c r="AQ713" s="30">
        <f>IFERROR(__xludf.DUMMYFUNCTION("""COMPUTED_VALUE"""),1.1436060058230022)</f>
        <v>1.143606006</v>
      </c>
      <c r="AR713" s="30">
        <f>IFERROR(__xludf.DUMMYFUNCTION("""COMPUTED_VALUE"""),0.7612664336203189)</f>
        <v>0.7612664336</v>
      </c>
      <c r="AS713" s="30">
        <f>IFERROR(__xludf.DUMMYFUNCTION("""COMPUTED_VALUE"""),48.0)</f>
        <v>48</v>
      </c>
      <c r="AT713" s="30">
        <f>IFERROR(__xludf.DUMMYFUNCTION("""COMPUTED_VALUE"""),0.3093750010264921)</f>
        <v>0.309375001</v>
      </c>
      <c r="AU713" s="30">
        <f>IFERROR(__xludf.DUMMYFUNCTION("""COMPUTED_VALUE"""),1.1327795160607095)</f>
        <v>1.132779516</v>
      </c>
      <c r="AV713" s="32">
        <f>IFERROR(__xludf.DUMMYFUNCTION("""COMPUTED_VALUE"""),23.653689127125933)</f>
        <v>23.65368913</v>
      </c>
      <c r="AW713" s="32">
        <f>IFERROR(__xludf.DUMMYFUNCTION("""COMPUTED_VALUE"""),-6.850476772097469)</f>
        <v>-6.850476772</v>
      </c>
      <c r="AX713" s="32">
        <f>IFERROR(__xludf.DUMMYFUNCTION("""COMPUTED_VALUE"""),31.463625053197486)</f>
        <v>31.46362505</v>
      </c>
      <c r="AY713" s="32">
        <f>IFERROR(__xludf.DUMMYFUNCTION("""COMPUTED_VALUE"""),-4.362834158370947)</f>
        <v>-4.362834158</v>
      </c>
      <c r="AZ713" s="30">
        <f>IFERROR(__xludf.DUMMYFUNCTION("""COMPUTED_VALUE"""),2.487642613726522)</f>
        <v>2.487642614</v>
      </c>
      <c r="BA713" s="30">
        <f>IFERROR(__xludf.DUMMYFUNCTION("""COMPUTED_VALUE"""),2700.0)</f>
        <v>2700</v>
      </c>
    </row>
    <row r="714">
      <c r="A714" s="71" t="str">
        <f>IFERROR(__xludf.DUMMYFUNCTION("""COMPUTED_VALUE"""),"Prospect")</f>
        <v>Prospect</v>
      </c>
      <c r="B714" s="71" t="str">
        <f>IFERROR(__xludf.DUMMYFUNCTION("""COMPUTED_VALUE"""),"RSC005136")</f>
        <v>RSC005136</v>
      </c>
      <c r="C714" s="30" t="str">
        <f>IFERROR(__xludf.DUMMYFUNCTION("""COMPUTED_VALUE"""),"tdogplayz")</f>
        <v>tdogplayz</v>
      </c>
      <c r="D714" s="30" t="str">
        <f>IFERROR(__xludf.DUMMYFUNCTION("""COMPUTED_VALUE"""),"Principales")</f>
        <v>Principales</v>
      </c>
      <c r="E714" s="30">
        <f>IFERROR(__xludf.DUMMYFUNCTION("""COMPUTED_VALUE"""),31.0)</f>
        <v>31</v>
      </c>
      <c r="F714" s="30">
        <f>IFERROR(__xludf.DUMMYFUNCTION("""COMPUTED_VALUE"""),11.0)</f>
        <v>11</v>
      </c>
      <c r="G714" s="42">
        <f>IFERROR(__xludf.DUMMYFUNCTION("""COMPUTED_VALUE"""),20.0)</f>
        <v>20</v>
      </c>
      <c r="H714" s="42">
        <f>IFERROR(__xludf.DUMMYFUNCTION("""COMPUTED_VALUE"""),0.3548387096774194)</f>
        <v>0.3548387097</v>
      </c>
      <c r="I714" s="42">
        <f>IFERROR(__xludf.DUMMYFUNCTION("""COMPUTED_VALUE"""),0.31481481481481477)</f>
        <v>0.3148148148</v>
      </c>
      <c r="J714" s="30">
        <f>IFERROR(__xludf.DUMMYFUNCTION("""COMPUTED_VALUE"""),306.80645161290323)</f>
        <v>306.8064516</v>
      </c>
      <c r="K714" s="30">
        <f>IFERROR(__xludf.DUMMYFUNCTION("""COMPUTED_VALUE"""),0.5483870967741935)</f>
        <v>0.5483870968</v>
      </c>
      <c r="L714" s="30">
        <f>IFERROR(__xludf.DUMMYFUNCTION("""COMPUTED_VALUE"""),0.45161290322580644)</f>
        <v>0.4516129032</v>
      </c>
      <c r="M714" s="30">
        <f>IFERROR(__xludf.DUMMYFUNCTION("""COMPUTED_VALUE"""),1.064516129032258)</f>
        <v>1.064516129</v>
      </c>
      <c r="N714" s="30">
        <f>IFERROR(__xludf.DUMMYFUNCTION("""COMPUTED_VALUE"""),1.7419354838709677)</f>
        <v>1.741935484</v>
      </c>
      <c r="O714" s="30">
        <f>IFERROR(__xludf.DUMMYFUNCTION("""COMPUTED_VALUE"""),339.2258064516129)</f>
        <v>339.2258065</v>
      </c>
      <c r="P714" s="30">
        <f>IFERROR(__xludf.DUMMYFUNCTION("""COMPUTED_VALUE"""),0.903225806451613)</f>
        <v>0.9032258065</v>
      </c>
      <c r="Q714" s="30">
        <f>IFERROR(__xludf.DUMMYFUNCTION("""COMPUTED_VALUE"""),0.6021505376344084)</f>
        <v>0.6021505376</v>
      </c>
      <c r="R714" s="30">
        <f>IFERROR(__xludf.DUMMYFUNCTION("""COMPUTED_VALUE"""),1.032258064516129)</f>
        <v>1.032258065</v>
      </c>
      <c r="S714" s="30">
        <f>IFERROR(__xludf.DUMMYFUNCTION("""COMPUTED_VALUE"""),2.462365591397849)</f>
        <v>2.462365591</v>
      </c>
      <c r="T714" s="30">
        <f>IFERROR(__xludf.DUMMYFUNCTION("""COMPUTED_VALUE"""),329.4551293092649)</f>
        <v>329.4551293</v>
      </c>
      <c r="U714" s="30">
        <f>IFERROR(__xludf.DUMMYFUNCTION("""COMPUTED_VALUE"""),0.752892462422137)</f>
        <v>0.7528924624</v>
      </c>
      <c r="V714" s="30">
        <f>IFERROR(__xludf.DUMMYFUNCTION("""COMPUTED_VALUE"""),0.5641596629165105)</f>
        <v>0.5641596629</v>
      </c>
      <c r="W714" s="30">
        <f>IFERROR(__xludf.DUMMYFUNCTION("""COMPUTED_VALUE"""),1.155610323044001)</f>
        <v>1.155610323</v>
      </c>
      <c r="X714" s="30">
        <f>IFERROR(__xludf.DUMMYFUNCTION("""COMPUTED_VALUE"""),2.4504633391329924)</f>
        <v>2.450463339</v>
      </c>
      <c r="Y714" s="30">
        <f>IFERROR(__xludf.DUMMYFUNCTION("""COMPUTED_VALUE"""),336.4004014810794)</f>
        <v>336.4004015</v>
      </c>
      <c r="Z714" s="30">
        <f>IFERROR(__xludf.DUMMYFUNCTION("""COMPUTED_VALUE"""),0.8008479044804652)</f>
        <v>0.8008479045</v>
      </c>
      <c r="AA714" s="30">
        <f>IFERROR(__xludf.DUMMYFUNCTION("""COMPUTED_VALUE"""),0.5178003939545089)</f>
        <v>0.517800394</v>
      </c>
      <c r="AB714" s="30">
        <f>IFERROR(__xludf.DUMMYFUNCTION("""COMPUTED_VALUE"""),1.2511503406086688)</f>
        <v>1.251150341</v>
      </c>
      <c r="AC714" s="30">
        <f>IFERROR(__xludf.DUMMYFUNCTION("""COMPUTED_VALUE"""),2.376922252306036)</f>
        <v>2.376922252</v>
      </c>
      <c r="AD714" s="30">
        <f>IFERROR(__xludf.DUMMYFUNCTION("""COMPUTED_VALUE"""),0.9120276024110492)</f>
        <v>0.9120276024</v>
      </c>
      <c r="AE714" s="30">
        <f>IFERROR(__xludf.DUMMYFUNCTION("""COMPUTED_VALUE"""),0.6847581091317823)</f>
        <v>0.6847581091</v>
      </c>
      <c r="AF714" s="30">
        <f>IFERROR(__xludf.DUMMYFUNCTION("""COMPUTED_VALUE"""),0.8721756655625152)</f>
        <v>0.8721756656</v>
      </c>
      <c r="AG714" s="30">
        <f>IFERROR(__xludf.DUMMYFUNCTION("""COMPUTED_VALUE"""),0.8508299078705317)</f>
        <v>0.8508299079</v>
      </c>
      <c r="AH714" s="30">
        <f>IFERROR(__xludf.DUMMYFUNCTION("""COMPUTED_VALUE"""),0.7328533704377506)</f>
        <v>0.7328533704</v>
      </c>
      <c r="AI714" s="30">
        <f>IFERROR(__xludf.DUMMYFUNCTION("""COMPUTED_VALUE"""),1.0296570800486038)</f>
        <v>1.02965708</v>
      </c>
      <c r="AJ714" s="30">
        <f>IFERROR(__xludf.DUMMYFUNCTION("""COMPUTED_VALUE"""),1.1996743911419132)</f>
        <v>1.199674391</v>
      </c>
      <c r="AK714" s="30">
        <f>IFERROR(__xludf.DUMMYFUNCTION("""COMPUTED_VALUE"""),1.0673406434651818)</f>
        <v>1.067340643</v>
      </c>
      <c r="AL714" s="30">
        <f>IFERROR(__xludf.DUMMYFUNCTION("""COMPUTED_VALUE"""),0.8932579122320845)</f>
        <v>0.8932579122</v>
      </c>
      <c r="AM714" s="30">
        <f>IFERROR(__xludf.DUMMYFUNCTION("""COMPUTED_VALUE"""),1.0048571435755769)</f>
        <v>1.004857144</v>
      </c>
      <c r="AN714" s="30">
        <f>IFERROR(__xludf.DUMMYFUNCTION("""COMPUTED_VALUE"""),0.9476898788754251)</f>
        <v>0.9476898789</v>
      </c>
      <c r="AO714" s="30">
        <f>IFERROR(__xludf.DUMMYFUNCTION("""COMPUTED_VALUE"""),0.743501601547697)</f>
        <v>0.7435016015</v>
      </c>
      <c r="AP714" s="30">
        <f>IFERROR(__xludf.DUMMYFUNCTION("""COMPUTED_VALUE"""),0.9152805667136038)</f>
        <v>0.9152805667</v>
      </c>
      <c r="AQ714" s="30">
        <f>IFERROR(__xludf.DUMMYFUNCTION("""COMPUTED_VALUE"""),0.8826056028811395)</f>
        <v>0.8826056029</v>
      </c>
      <c r="AR714" s="30">
        <f>IFERROR(__xludf.DUMMYFUNCTION("""COMPUTED_VALUE"""),0.7395429497825181)</f>
        <v>0.7395429498</v>
      </c>
      <c r="AS714" s="30">
        <f>IFERROR(__xludf.DUMMYFUNCTION("""COMPUTED_VALUE"""),59.0)</f>
        <v>59</v>
      </c>
      <c r="AT714" s="30">
        <f>IFERROR(__xludf.DUMMYFUNCTION("""COMPUTED_VALUE"""),0.36635832360279674)</f>
        <v>0.3663583236</v>
      </c>
      <c r="AU714" s="30">
        <f>IFERROR(__xludf.DUMMYFUNCTION("""COMPUTED_VALUE"""),1.3089237297045746)</f>
        <v>1.30892373</v>
      </c>
      <c r="AV714" s="32">
        <f>IFERROR(__xludf.DUMMYFUNCTION("""COMPUTED_VALUE"""),29.257223160097908)</f>
        <v>29.25722316</v>
      </c>
      <c r="AW714" s="32">
        <f>IFERROR(__xludf.DUMMYFUNCTION("""COMPUTED_VALUE"""),-4.9176035964683935)</f>
        <v>-4.917603596</v>
      </c>
      <c r="AX714" s="32">
        <f>IFERROR(__xludf.DUMMYFUNCTION("""COMPUTED_VALUE"""),43.4679709388263)</f>
        <v>43.46797094</v>
      </c>
      <c r="AY714" s="32">
        <f>IFERROR(__xludf.DUMMYFUNCTION("""COMPUTED_VALUE"""),-2.5192861039679344)</f>
        <v>-2.519286104</v>
      </c>
      <c r="AZ714" s="30">
        <f>IFERROR(__xludf.DUMMYFUNCTION("""COMPUTED_VALUE"""),2.398317492500459)</f>
        <v>2.398317493</v>
      </c>
      <c r="BA714" s="30">
        <f>IFERROR(__xludf.DUMMYFUNCTION("""COMPUTED_VALUE"""),2700.0)</f>
        <v>2700</v>
      </c>
    </row>
    <row r="715">
      <c r="A715" s="71" t="str">
        <f>IFERROR(__xludf.DUMMYFUNCTION("""COMPUTED_VALUE"""),"Prospect")</f>
        <v>Prospect</v>
      </c>
      <c r="B715" s="71" t="str">
        <f>IFERROR(__xludf.DUMMYFUNCTION("""COMPUTED_VALUE"""),"RSC007518")</f>
        <v>RSC007518</v>
      </c>
      <c r="C715" s="30" t="str">
        <f>IFERROR(__xludf.DUMMYFUNCTION("""COMPUTED_VALUE"""),"LoneDrifter.")</f>
        <v>LoneDrifter.</v>
      </c>
      <c r="D715" s="30" t="str">
        <f>IFERROR(__xludf.DUMMYFUNCTION("""COMPUTED_VALUE"""),"Blacktips")</f>
        <v>Blacktips</v>
      </c>
      <c r="E715" s="30">
        <f>IFERROR(__xludf.DUMMYFUNCTION("""COMPUTED_VALUE"""),36.0)</f>
        <v>36</v>
      </c>
      <c r="F715" s="30">
        <f>IFERROR(__xludf.DUMMYFUNCTION("""COMPUTED_VALUE"""),24.0)</f>
        <v>24</v>
      </c>
      <c r="G715" s="42">
        <f>IFERROR(__xludf.DUMMYFUNCTION("""COMPUTED_VALUE"""),12.0)</f>
        <v>12</v>
      </c>
      <c r="H715" s="42">
        <f>IFERROR(__xludf.DUMMYFUNCTION("""COMPUTED_VALUE"""),0.6666666666666666)</f>
        <v>0.6666666667</v>
      </c>
      <c r="I715" s="42">
        <f>IFERROR(__xludf.DUMMYFUNCTION("""COMPUTED_VALUE"""),0.3894736842105263)</f>
        <v>0.3894736842</v>
      </c>
      <c r="J715" s="30">
        <f>IFERROR(__xludf.DUMMYFUNCTION("""COMPUTED_VALUE"""),370.30555555555554)</f>
        <v>370.3055556</v>
      </c>
      <c r="K715" s="30">
        <f>IFERROR(__xludf.DUMMYFUNCTION("""COMPUTED_VALUE"""),1.0277777777777777)</f>
        <v>1.027777778</v>
      </c>
      <c r="L715" s="30">
        <f>IFERROR(__xludf.DUMMYFUNCTION("""COMPUTED_VALUE"""),0.5833333333333334)</f>
        <v>0.5833333333</v>
      </c>
      <c r="M715" s="30">
        <f>IFERROR(__xludf.DUMMYFUNCTION("""COMPUTED_VALUE"""),1.2222222222222223)</f>
        <v>1.222222222</v>
      </c>
      <c r="N715" s="30">
        <f>IFERROR(__xludf.DUMMYFUNCTION("""COMPUTED_VALUE"""),2.638888888888889)</f>
        <v>2.638888889</v>
      </c>
      <c r="O715" s="30">
        <f>IFERROR(__xludf.DUMMYFUNCTION("""COMPUTED_VALUE"""),312.7777777777778)</f>
        <v>312.7777778</v>
      </c>
      <c r="P715" s="30">
        <f>IFERROR(__xludf.DUMMYFUNCTION("""COMPUTED_VALUE"""),0.6481481481481483)</f>
        <v>0.6481481481</v>
      </c>
      <c r="Q715" s="30">
        <f>IFERROR(__xludf.DUMMYFUNCTION("""COMPUTED_VALUE"""),0.4722222222222222)</f>
        <v>0.4722222222</v>
      </c>
      <c r="R715" s="30">
        <f>IFERROR(__xludf.DUMMYFUNCTION("""COMPUTED_VALUE"""),1.1388888888888886)</f>
        <v>1.138888889</v>
      </c>
      <c r="S715" s="30">
        <f>IFERROR(__xludf.DUMMYFUNCTION("""COMPUTED_VALUE"""),2.1944444444444446)</f>
        <v>2.194444444</v>
      </c>
      <c r="T715" s="30">
        <f>IFERROR(__xludf.DUMMYFUNCTION("""COMPUTED_VALUE"""),332.6429784736055)</f>
        <v>332.6429785</v>
      </c>
      <c r="U715" s="30">
        <f>IFERROR(__xludf.DUMMYFUNCTION("""COMPUTED_VALUE"""),0.7445445976948115)</f>
        <v>0.7445445977</v>
      </c>
      <c r="V715" s="30">
        <f>IFERROR(__xludf.DUMMYFUNCTION("""COMPUTED_VALUE"""),0.5216776865473066)</f>
        <v>0.5216776865</v>
      </c>
      <c r="W715" s="30">
        <f>IFERROR(__xludf.DUMMYFUNCTION("""COMPUTED_VALUE"""),1.2407899109905254)</f>
        <v>1.240789911</v>
      </c>
      <c r="X715" s="30">
        <f>IFERROR(__xludf.DUMMYFUNCTION("""COMPUTED_VALUE"""),2.416513036956415)</f>
        <v>2.416513037</v>
      </c>
      <c r="Y715" s="30">
        <f>IFERROR(__xludf.DUMMYFUNCTION("""COMPUTED_VALUE"""),339.73029972575875)</f>
        <v>339.7302997</v>
      </c>
      <c r="Z715" s="30">
        <f>IFERROR(__xludf.DUMMYFUNCTION("""COMPUTED_VALUE"""),0.7933218122930701)</f>
        <v>0.7933218123</v>
      </c>
      <c r="AA715" s="30">
        <f>IFERROR(__xludf.DUMMYFUNCTION("""COMPUTED_VALUE"""),0.5348708579208551)</f>
        <v>0.5348708579</v>
      </c>
      <c r="AB715" s="30">
        <f>IFERROR(__xludf.DUMMYFUNCTION("""COMPUTED_VALUE"""),1.223843680176057)</f>
        <v>1.22384368</v>
      </c>
      <c r="AC715" s="30">
        <f>IFERROR(__xludf.DUMMYFUNCTION("""COMPUTED_VALUE"""),2.5145047248582855)</f>
        <v>2.514504725</v>
      </c>
      <c r="AD715" s="30">
        <f>IFERROR(__xludf.DUMMYFUNCTION("""COMPUTED_VALUE"""),1.0899986131778006)</f>
        <v>1.089998613</v>
      </c>
      <c r="AE715" s="30">
        <f>IFERROR(__xludf.DUMMYFUNCTION("""COMPUTED_VALUE"""),1.2955370214856698)</f>
        <v>1.295537021</v>
      </c>
      <c r="AF715" s="30">
        <f>IFERROR(__xludf.DUMMYFUNCTION("""COMPUTED_VALUE"""),1.0906059372927162)</f>
        <v>1.090605937</v>
      </c>
      <c r="AG715" s="30">
        <f>IFERROR(__xludf.DUMMYFUNCTION("""COMPUTED_VALUE"""),0.9986751102447974)</f>
        <v>0.9986751102</v>
      </c>
      <c r="AH715" s="30">
        <f>IFERROR(__xludf.DUMMYFUNCTION("""COMPUTED_VALUE"""),1.0494666654633602)</f>
        <v>1.049466665</v>
      </c>
      <c r="AI715" s="30">
        <f>IFERROR(__xludf.DUMMYFUNCTION("""COMPUTED_VALUE"""),0.940280715417524)</f>
        <v>0.9402807154</v>
      </c>
      <c r="AJ715" s="30">
        <f>IFERROR(__xludf.DUMMYFUNCTION("""COMPUTED_VALUE"""),0.8705296501443744)</f>
        <v>0.8705296501</v>
      </c>
      <c r="AK715" s="30">
        <f>IFERROR(__xludf.DUMMYFUNCTION("""COMPUTED_VALUE"""),0.905199195594501)</f>
        <v>0.9051991956</v>
      </c>
      <c r="AL715" s="30">
        <f>IFERROR(__xludf.DUMMYFUNCTION("""COMPUTED_VALUE"""),0.9178740726378981)</f>
        <v>0.9178740726</v>
      </c>
      <c r="AM715" s="30">
        <f>IFERROR(__xludf.DUMMYFUNCTION("""COMPUTED_VALUE"""),0.9081037059946242)</f>
        <v>0.908103706</v>
      </c>
      <c r="AN715" s="30">
        <f>IFERROR(__xludf.DUMMYFUNCTION("""COMPUTED_VALUE"""),1.1438313153013968)</f>
        <v>1.143831315</v>
      </c>
      <c r="AO715" s="30">
        <f>IFERROR(__xludf.DUMMYFUNCTION("""COMPUTED_VALUE"""),1.3934580669529548)</f>
        <v>1.393458067</v>
      </c>
      <c r="AP715" s="30">
        <f>IFERROR(__xludf.DUMMYFUNCTION("""COMPUTED_VALUE"""),1.1822373986717383)</f>
        <v>1.182237399</v>
      </c>
      <c r="AQ715" s="30">
        <f>IFERROR(__xludf.DUMMYFUNCTION("""COMPUTED_VALUE"""),1.0133619884931604)</f>
        <v>1.013361988</v>
      </c>
      <c r="AR715" s="30">
        <f>IFERROR(__xludf.DUMMYFUNCTION("""COMPUTED_VALUE"""),1.1203467011880226)</f>
        <v>1.120346701</v>
      </c>
      <c r="AS715" s="30">
        <f>IFERROR(__xludf.DUMMYFUNCTION("""COMPUTED_VALUE"""),102.0)</f>
        <v>102</v>
      </c>
      <c r="AT715" s="30">
        <f>IFERROR(__xludf.DUMMYFUNCTION("""COMPUTED_VALUE"""),0.6433105880241531)</f>
        <v>0.643310588</v>
      </c>
      <c r="AU715" s="30">
        <f>IFERROR(__xludf.DUMMYFUNCTION("""COMPUTED_VALUE"""),2.7865163264427064)</f>
        <v>2.786516326</v>
      </c>
      <c r="AV715" s="32">
        <f>IFERROR(__xludf.DUMMYFUNCTION("""COMPUTED_VALUE"""),76.26268664599957)</f>
        <v>76.26268665</v>
      </c>
      <c r="AW715" s="32">
        <f>IFERROR(__xludf.DUMMYFUNCTION("""COMPUTED_VALUE"""),6.81466157519418)</f>
        <v>6.814661575</v>
      </c>
      <c r="AX715" s="32">
        <f>IFERROR(__xludf.DUMMYFUNCTION("""COMPUTED_VALUE"""),68.8651564193395)</f>
        <v>68.86515642</v>
      </c>
      <c r="AY715" s="32">
        <f>IFERROR(__xludf.DUMMYFUNCTION("""COMPUTED_VALUE"""),4.43965683283827)</f>
        <v>4.439656833</v>
      </c>
      <c r="AZ715" s="30">
        <f>IFERROR(__xludf.DUMMYFUNCTION("""COMPUTED_VALUE"""),2.3750047423559106)</f>
        <v>2.375004742</v>
      </c>
      <c r="BA715" s="30">
        <f>IFERROR(__xludf.DUMMYFUNCTION("""COMPUTED_VALUE"""),2700.0)</f>
        <v>2700</v>
      </c>
    </row>
    <row r="716">
      <c r="A716" s="71" t="str">
        <f>IFERROR(__xludf.DUMMYFUNCTION("""COMPUTED_VALUE"""),"Prospect")</f>
        <v>Prospect</v>
      </c>
      <c r="B716" s="71" t="str">
        <f>IFERROR(__xludf.DUMMYFUNCTION("""COMPUTED_VALUE"""),"RSC007572")</f>
        <v>RSC007572</v>
      </c>
      <c r="C716" s="30" t="str">
        <f>IFERROR(__xludf.DUMMYFUNCTION("""COMPUTED_VALUE"""),"Mexalato")</f>
        <v>Mexalato</v>
      </c>
      <c r="D716" s="30" t="str">
        <f>IFERROR(__xludf.DUMMYFUNCTION("""COMPUTED_VALUE"""),"Horizon Highball")</f>
        <v>Horizon Highball</v>
      </c>
      <c r="E716" s="30">
        <f>IFERROR(__xludf.DUMMYFUNCTION("""COMPUTED_VALUE"""),36.0)</f>
        <v>36</v>
      </c>
      <c r="F716" s="30">
        <f>IFERROR(__xludf.DUMMYFUNCTION("""COMPUTED_VALUE"""),24.0)</f>
        <v>24</v>
      </c>
      <c r="G716" s="42">
        <f>IFERROR(__xludf.DUMMYFUNCTION("""COMPUTED_VALUE"""),12.0)</f>
        <v>12</v>
      </c>
      <c r="H716" s="42">
        <f>IFERROR(__xludf.DUMMYFUNCTION("""COMPUTED_VALUE"""),0.6666666666666666)</f>
        <v>0.6666666667</v>
      </c>
      <c r="I716" s="42">
        <f>IFERROR(__xludf.DUMMYFUNCTION("""COMPUTED_VALUE"""),0.30769230769230765)</f>
        <v>0.3076923077</v>
      </c>
      <c r="J716" s="30">
        <f>IFERROR(__xludf.DUMMYFUNCTION("""COMPUTED_VALUE"""),352.75)</f>
        <v>352.75</v>
      </c>
      <c r="K716" s="30">
        <f>IFERROR(__xludf.DUMMYFUNCTION("""COMPUTED_VALUE"""),0.8888888888888888)</f>
        <v>0.8888888889</v>
      </c>
      <c r="L716" s="30">
        <f>IFERROR(__xludf.DUMMYFUNCTION("""COMPUTED_VALUE"""),0.6944444444444444)</f>
        <v>0.6944444444</v>
      </c>
      <c r="M716" s="30">
        <f>IFERROR(__xludf.DUMMYFUNCTION("""COMPUTED_VALUE"""),0.9444444444444444)</f>
        <v>0.9444444444</v>
      </c>
      <c r="N716" s="30">
        <f>IFERROR(__xludf.DUMMYFUNCTION("""COMPUTED_VALUE"""),2.888888888888889)</f>
        <v>2.888888889</v>
      </c>
      <c r="O716" s="30">
        <f>IFERROR(__xludf.DUMMYFUNCTION("""COMPUTED_VALUE"""),334.9722222222222)</f>
        <v>334.9722222</v>
      </c>
      <c r="P716" s="30">
        <f>IFERROR(__xludf.DUMMYFUNCTION("""COMPUTED_VALUE"""),0.6574074074074073)</f>
        <v>0.6574074074</v>
      </c>
      <c r="Q716" s="30">
        <f>IFERROR(__xludf.DUMMYFUNCTION("""COMPUTED_VALUE"""),0.48148148148148134)</f>
        <v>0.4814814815</v>
      </c>
      <c r="R716" s="30">
        <f>IFERROR(__xludf.DUMMYFUNCTION("""COMPUTED_VALUE"""),1.462962962962963)</f>
        <v>1.462962963</v>
      </c>
      <c r="S716" s="30">
        <f>IFERROR(__xludf.DUMMYFUNCTION("""COMPUTED_VALUE"""),1.9722222222222219)</f>
        <v>1.972222222</v>
      </c>
      <c r="T716" s="30">
        <f>IFERROR(__xludf.DUMMYFUNCTION("""COMPUTED_VALUE"""),331.32122950103997)</f>
        <v>331.3212295</v>
      </c>
      <c r="U716" s="30">
        <f>IFERROR(__xludf.DUMMYFUNCTION("""COMPUTED_VALUE"""),0.7294358763854468)</f>
        <v>0.7294358764</v>
      </c>
      <c r="V716" s="30">
        <f>IFERROR(__xludf.DUMMYFUNCTION("""COMPUTED_VALUE"""),0.4870230558923276)</f>
        <v>0.4870230559</v>
      </c>
      <c r="W716" s="30">
        <f>IFERROR(__xludf.DUMMYFUNCTION("""COMPUTED_VALUE"""),1.28988231127963)</f>
        <v>1.289882311</v>
      </c>
      <c r="X716" s="30">
        <f>IFERROR(__xludf.DUMMYFUNCTION("""COMPUTED_VALUE"""),2.2981014942274447)</f>
        <v>2.298101494</v>
      </c>
      <c r="Y716" s="30">
        <f>IFERROR(__xludf.DUMMYFUNCTION("""COMPUTED_VALUE"""),335.3255343637726)</f>
        <v>335.3255344</v>
      </c>
      <c r="Z716" s="30">
        <f>IFERROR(__xludf.DUMMYFUNCTION("""COMPUTED_VALUE"""),0.8063963287278403)</f>
        <v>0.8063963287</v>
      </c>
      <c r="AA716" s="30">
        <f>IFERROR(__xludf.DUMMYFUNCTION("""COMPUTED_VALUE"""),0.5344518512440377)</f>
        <v>0.5344518512</v>
      </c>
      <c r="AB716" s="30">
        <f>IFERROR(__xludf.DUMMYFUNCTION("""COMPUTED_VALUE"""),1.1501251780399355)</f>
        <v>1.150125178</v>
      </c>
      <c r="AC716" s="30">
        <f>IFERROR(__xludf.DUMMYFUNCTION("""COMPUTED_VALUE"""),2.556930271826415)</f>
        <v>2.556930272</v>
      </c>
      <c r="AD716" s="30">
        <f>IFERROR(__xludf.DUMMYFUNCTION("""COMPUTED_VALUE"""),1.0519628356644166)</f>
        <v>1.051962836</v>
      </c>
      <c r="AE716" s="30">
        <f>IFERROR(__xludf.DUMMYFUNCTION("""COMPUTED_VALUE"""),1.1022977873562343)</f>
        <v>1.102297787</v>
      </c>
      <c r="AF716" s="30">
        <f>IFERROR(__xludf.DUMMYFUNCTION("""COMPUTED_VALUE"""),1.2993582917301039)</f>
        <v>1.299358292</v>
      </c>
      <c r="AG716" s="30">
        <f>IFERROR(__xludf.DUMMYFUNCTION("""COMPUTED_VALUE"""),0.8211666542714803)</f>
        <v>0.8211666543</v>
      </c>
      <c r="AH716" s="30">
        <f>IFERROR(__xludf.DUMMYFUNCTION("""COMPUTED_VALUE"""),1.1298270119917488)</f>
        <v>1.129827012</v>
      </c>
      <c r="AI716" s="30">
        <f>IFERROR(__xludf.DUMMYFUNCTION("""COMPUTED_VALUE"""),1.011019495269532)</f>
        <v>1.011019495</v>
      </c>
      <c r="AJ716" s="30">
        <f>IFERROR(__xludf.DUMMYFUNCTION("""COMPUTED_VALUE"""),0.9012545566925496)</f>
        <v>0.9012545567</v>
      </c>
      <c r="AK716" s="30">
        <f>IFERROR(__xludf.DUMMYFUNCTION("""COMPUTED_VALUE"""),0.9886215357901426)</f>
        <v>0.9886215358</v>
      </c>
      <c r="AL716" s="30">
        <f>IFERROR(__xludf.DUMMYFUNCTION("""COMPUTED_VALUE"""),1.1341832895681994)</f>
        <v>1.13418329</v>
      </c>
      <c r="AM716" s="30">
        <f>IFERROR(__xludf.DUMMYFUNCTION("""COMPUTED_VALUE"""),0.8581963099437547)</f>
        <v>0.8581963099</v>
      </c>
      <c r="AN716" s="30">
        <f>IFERROR(__xludf.DUMMYFUNCTION("""COMPUTED_VALUE"""),1.0896042212146453)</f>
        <v>1.089604221</v>
      </c>
      <c r="AO716" s="30">
        <f>IFERROR(__xludf.DUMMYFUNCTION("""COMPUTED_VALUE"""),1.2051529227701232)</f>
        <v>1.205152923</v>
      </c>
      <c r="AP716" s="30">
        <f>IFERROR(__xludf.DUMMYFUNCTION("""COMPUTED_VALUE"""),1.407425474609212)</f>
        <v>1.407425475</v>
      </c>
      <c r="AQ716" s="30">
        <f>IFERROR(__xludf.DUMMYFUNCTION("""COMPUTED_VALUE"""),0.7830524456538056)</f>
        <v>0.7830524457</v>
      </c>
      <c r="AR716" s="30">
        <f>IFERROR(__xludf.DUMMYFUNCTION("""COMPUTED_VALUE"""),1.2264848097216248)</f>
        <v>1.22648481</v>
      </c>
      <c r="AS716" s="30">
        <f>IFERROR(__xludf.DUMMYFUNCTION("""COMPUTED_VALUE"""),96.0)</f>
        <v>96</v>
      </c>
      <c r="AT716" s="30">
        <f>IFERROR(__xludf.DUMMYFUNCTION("""COMPUTED_VALUE"""),0.6150493328309246)</f>
        <v>0.6150493328</v>
      </c>
      <c r="AU716" s="30">
        <f>IFERROR(__xludf.DUMMYFUNCTION("""COMPUTED_VALUE"""),2.7288672600606096)</f>
        <v>2.72886726</v>
      </c>
      <c r="AV716" s="32">
        <f>IFERROR(__xludf.DUMMYFUNCTION("""COMPUTED_VALUE"""),74.42874331764095)</f>
        <v>74.42874332</v>
      </c>
      <c r="AW716" s="32">
        <f>IFERROR(__xludf.DUMMYFUNCTION("""COMPUTED_VALUE"""),6.088372181578206)</f>
        <v>6.088372182</v>
      </c>
      <c r="AX716" s="32">
        <f>IFERROR(__xludf.DUMMYFUNCTION("""COMPUTED_VALUE"""),66.87923436069707)</f>
        <v>66.87923436</v>
      </c>
      <c r="AY716" s="32">
        <f>IFERROR(__xludf.DUMMYFUNCTION("""COMPUTED_VALUE"""),4.003457692729366)</f>
        <v>4.003457693</v>
      </c>
      <c r="AZ716" s="30">
        <f>IFERROR(__xludf.DUMMYFUNCTION("""COMPUTED_VALUE"""),2.08491448884884)</f>
        <v>2.084914489</v>
      </c>
      <c r="BA716" s="30">
        <f>IFERROR(__xludf.DUMMYFUNCTION("""COMPUTED_VALUE"""),2700.0)</f>
        <v>2700</v>
      </c>
    </row>
    <row r="717">
      <c r="A717" s="71" t="str">
        <f>IFERROR(__xludf.DUMMYFUNCTION("""COMPUTED_VALUE"""),"Prospect")</f>
        <v>Prospect</v>
      </c>
      <c r="B717" s="71" t="str">
        <f>IFERROR(__xludf.DUMMYFUNCTION("""COMPUTED_VALUE"""),"RSC007453")</f>
        <v>RSC007453</v>
      </c>
      <c r="C717" s="30" t="str">
        <f>IFERROR(__xludf.DUMMYFUNCTION("""COMPUTED_VALUE"""),"TheDoy420")</f>
        <v>TheDoy420</v>
      </c>
      <c r="D717" s="30" t="str">
        <f>IFERROR(__xludf.DUMMYFUNCTION("""COMPUTED_VALUE"""),"Emus")</f>
        <v>Emus</v>
      </c>
      <c r="E717" s="30">
        <f>IFERROR(__xludf.DUMMYFUNCTION("""COMPUTED_VALUE"""),33.0)</f>
        <v>33</v>
      </c>
      <c r="F717" s="30">
        <f>IFERROR(__xludf.DUMMYFUNCTION("""COMPUTED_VALUE"""),18.0)</f>
        <v>18</v>
      </c>
      <c r="G717" s="42">
        <f>IFERROR(__xludf.DUMMYFUNCTION("""COMPUTED_VALUE"""),15.0)</f>
        <v>15</v>
      </c>
      <c r="H717" s="42">
        <f>IFERROR(__xludf.DUMMYFUNCTION("""COMPUTED_VALUE"""),0.5454545454545454)</f>
        <v>0.5454545455</v>
      </c>
      <c r="I717" s="42">
        <f>IFERROR(__xludf.DUMMYFUNCTION("""COMPUTED_VALUE"""),0.25510204081632654)</f>
        <v>0.2551020408</v>
      </c>
      <c r="J717" s="30">
        <f>IFERROR(__xludf.DUMMYFUNCTION("""COMPUTED_VALUE"""),373.93939393939394)</f>
        <v>373.9393939</v>
      </c>
      <c r="K717" s="30">
        <f>IFERROR(__xludf.DUMMYFUNCTION("""COMPUTED_VALUE"""),0.7575757575757576)</f>
        <v>0.7575757576</v>
      </c>
      <c r="L717" s="30">
        <f>IFERROR(__xludf.DUMMYFUNCTION("""COMPUTED_VALUE"""),0.6666666666666666)</f>
        <v>0.6666666667</v>
      </c>
      <c r="M717" s="30">
        <f>IFERROR(__xludf.DUMMYFUNCTION("""COMPUTED_VALUE"""),1.5454545454545454)</f>
        <v>1.545454545</v>
      </c>
      <c r="N717" s="30">
        <f>IFERROR(__xludf.DUMMYFUNCTION("""COMPUTED_VALUE"""),2.9696969696969697)</f>
        <v>2.96969697</v>
      </c>
      <c r="O717" s="30">
        <f>IFERROR(__xludf.DUMMYFUNCTION("""COMPUTED_VALUE"""),338.2020202020202)</f>
        <v>338.2020202</v>
      </c>
      <c r="P717" s="30">
        <f>IFERROR(__xludf.DUMMYFUNCTION("""COMPUTED_VALUE"""),0.7171717171717171)</f>
        <v>0.7171717172</v>
      </c>
      <c r="Q717" s="30">
        <f>IFERROR(__xludf.DUMMYFUNCTION("""COMPUTED_VALUE"""),0.4444444444444444)</f>
        <v>0.4444444444</v>
      </c>
      <c r="R717" s="30">
        <f>IFERROR(__xludf.DUMMYFUNCTION("""COMPUTED_VALUE"""),1.4848484848484849)</f>
        <v>1.484848485</v>
      </c>
      <c r="S717" s="30">
        <f>IFERROR(__xludf.DUMMYFUNCTION("""COMPUTED_VALUE"""),2.333333333333334)</f>
        <v>2.333333333</v>
      </c>
      <c r="T717" s="30">
        <f>IFERROR(__xludf.DUMMYFUNCTION("""COMPUTED_VALUE"""),339.37653974063784)</f>
        <v>339.3765397</v>
      </c>
      <c r="U717" s="30">
        <f>IFERROR(__xludf.DUMMYFUNCTION("""COMPUTED_VALUE"""),0.8001688712240703)</f>
        <v>0.8001688712</v>
      </c>
      <c r="V717" s="30">
        <f>IFERROR(__xludf.DUMMYFUNCTION("""COMPUTED_VALUE"""),0.5051749325884861)</f>
        <v>0.5051749326</v>
      </c>
      <c r="W717" s="30">
        <f>IFERROR(__xludf.DUMMYFUNCTION("""COMPUTED_VALUE"""),1.2532743015586725)</f>
        <v>1.253274302</v>
      </c>
      <c r="X717" s="30">
        <f>IFERROR(__xludf.DUMMYFUNCTION("""COMPUTED_VALUE"""),2.4704221390958083)</f>
        <v>2.470422139</v>
      </c>
      <c r="Y717" s="30">
        <f>IFERROR(__xludf.DUMMYFUNCTION("""COMPUTED_VALUE"""),333.81024820740686)</f>
        <v>333.8102482</v>
      </c>
      <c r="Z717" s="30">
        <f>IFERROR(__xludf.DUMMYFUNCTION("""COMPUTED_VALUE"""),0.7871351702266498)</f>
        <v>0.7871351702</v>
      </c>
      <c r="AA717" s="30">
        <f>IFERROR(__xludf.DUMMYFUNCTION("""COMPUTED_VALUE"""),0.5349095846678401)</f>
        <v>0.5349095847</v>
      </c>
      <c r="AB717" s="30">
        <f>IFERROR(__xludf.DUMMYFUNCTION("""COMPUTED_VALUE"""),1.194363908246979)</f>
        <v>1.194363908</v>
      </c>
      <c r="AC717" s="30">
        <f>IFERROR(__xludf.DUMMYFUNCTION("""COMPUTED_VALUE"""),2.451891877302239)</f>
        <v>2.451891877</v>
      </c>
      <c r="AD717" s="30">
        <f>IFERROR(__xludf.DUMMYFUNCTION("""COMPUTED_VALUE"""),1.1202154396022423)</f>
        <v>1.12021544</v>
      </c>
      <c r="AE717" s="30">
        <f>IFERROR(__xludf.DUMMYFUNCTION("""COMPUTED_VALUE"""),0.9624468404297309)</f>
        <v>0.9624468404</v>
      </c>
      <c r="AF717" s="30">
        <f>IFERROR(__xludf.DUMMYFUNCTION("""COMPUTED_VALUE"""),1.246316547273392)</f>
        <v>1.246316547</v>
      </c>
      <c r="AG717" s="30">
        <f>IFERROR(__xludf.DUMMYFUNCTION("""COMPUTED_VALUE"""),1.2939561676163487)</f>
        <v>1.293956168</v>
      </c>
      <c r="AH717" s="30">
        <f>IFERROR(__xludf.DUMMYFUNCTION("""COMPUTED_VALUE"""),1.2111859406151546)</f>
        <v>1.211185941</v>
      </c>
      <c r="AI717" s="30">
        <f>IFERROR(__xludf.DUMMYFUNCTION("""COMPUTED_VALUE"""),0.9965391846486642)</f>
        <v>0.9965391846</v>
      </c>
      <c r="AJ717" s="30">
        <f>IFERROR(__xludf.DUMMYFUNCTION("""COMPUTED_VALUE"""),0.8962754525486764)</f>
        <v>0.8962754525</v>
      </c>
      <c r="AK717" s="30">
        <f>IFERROR(__xludf.DUMMYFUNCTION("""COMPUTED_VALUE"""),0.8797832508575548)</f>
        <v>0.8797832509</v>
      </c>
      <c r="AL717" s="30">
        <f>IFERROR(__xludf.DUMMYFUNCTION("""COMPUTED_VALUE"""),1.1847753384887953)</f>
        <v>1.184775338</v>
      </c>
      <c r="AM717" s="30">
        <f>IFERROR(__xludf.DUMMYFUNCTION("""COMPUTED_VALUE"""),0.9445079431596052)</f>
        <v>0.9445079432</v>
      </c>
      <c r="AN717" s="30">
        <f>IFERROR(__xludf.DUMMYFUNCTION("""COMPUTED_VALUE"""),1.1550558245635998)</f>
        <v>1.155055825</v>
      </c>
      <c r="AO717" s="30">
        <f>IFERROR(__xludf.DUMMYFUNCTION("""COMPUTED_VALUE"""),1.0271189682699915)</f>
        <v>1.027118968</v>
      </c>
      <c r="AP717" s="30">
        <f>IFERROR(__xludf.DUMMYFUNCTION("""COMPUTED_VALUE"""),1.3511284556248435)</f>
        <v>1.351128456</v>
      </c>
      <c r="AQ717" s="30">
        <f>IFERROR(__xludf.DUMMYFUNCTION("""COMPUTED_VALUE"""),1.2813585474335)</f>
        <v>1.281358547</v>
      </c>
      <c r="AR717" s="30">
        <f>IFERROR(__xludf.DUMMYFUNCTION("""COMPUTED_VALUE"""),1.2607920771264254)</f>
        <v>1.260792077</v>
      </c>
      <c r="AS717" s="30">
        <f>IFERROR(__xludf.DUMMYFUNCTION("""COMPUTED_VALUE"""),75.0)</f>
        <v>75</v>
      </c>
      <c r="AT717" s="30">
        <f>IFERROR(__xludf.DUMMYFUNCTION("""COMPUTED_VALUE"""),0.5209839110768636)</f>
        <v>0.5209839111</v>
      </c>
      <c r="AU717" s="30">
        <f>IFERROR(__xludf.DUMMYFUNCTION("""COMPUTED_VALUE"""),2.6305543577627795)</f>
        <v>2.630554358</v>
      </c>
      <c r="AV717" s="32">
        <f>IFERROR(__xludf.DUMMYFUNCTION("""COMPUTED_VALUE"""),71.3011941208222)</f>
        <v>71.30119412</v>
      </c>
      <c r="AW717" s="32">
        <f>IFERROR(__xludf.DUMMYFUNCTION("""COMPUTED_VALUE"""),5.073726549439607)</f>
        <v>5.073726549</v>
      </c>
      <c r="AX717" s="32">
        <f>IFERROR(__xludf.DUMMYFUNCTION("""COMPUTED_VALUE"""),63.47406769776014)</f>
        <v>63.4740677</v>
      </c>
      <c r="AY717" s="32">
        <f>IFERROR(__xludf.DUMMYFUNCTION("""COMPUTED_VALUE"""),3.390332814097052)</f>
        <v>3.390332814</v>
      </c>
      <c r="AZ717" s="30">
        <f>IFERROR(__xludf.DUMMYFUNCTION("""COMPUTED_VALUE"""),1.6833937353425554)</f>
        <v>1.683393735</v>
      </c>
      <c r="BA717" s="30">
        <f>IFERROR(__xludf.DUMMYFUNCTION("""COMPUTED_VALUE"""),2700.0)</f>
        <v>2700</v>
      </c>
    </row>
    <row r="718">
      <c r="A718" s="71" t="str">
        <f>IFERROR(__xludf.DUMMYFUNCTION("""COMPUTED_VALUE"""),"Prospect")</f>
        <v>Prospect</v>
      </c>
      <c r="B718" s="71" t="str">
        <f>IFERROR(__xludf.DUMMYFUNCTION("""COMPUTED_VALUE"""),"RSC007431")</f>
        <v>RSC007431</v>
      </c>
      <c r="C718" s="30" t="str">
        <f>IFERROR(__xludf.DUMMYFUNCTION("""COMPUTED_VALUE"""),"xPotatodactylx")</f>
        <v>xPotatodactylx</v>
      </c>
      <c r="D718" s="30" t="str">
        <f>IFERROR(__xludf.DUMMYFUNCTION("""COMPUTED_VALUE"""),"Hawaiian Pizza")</f>
        <v>Hawaiian Pizza</v>
      </c>
      <c r="E718" s="30">
        <f>IFERROR(__xludf.DUMMYFUNCTION("""COMPUTED_VALUE"""),31.0)</f>
        <v>31</v>
      </c>
      <c r="F718" s="30">
        <f>IFERROR(__xludf.DUMMYFUNCTION("""COMPUTED_VALUE"""),21.0)</f>
        <v>21</v>
      </c>
      <c r="G718" s="42">
        <f>IFERROR(__xludf.DUMMYFUNCTION("""COMPUTED_VALUE"""),10.0)</f>
        <v>10</v>
      </c>
      <c r="H718" s="42">
        <f>IFERROR(__xludf.DUMMYFUNCTION("""COMPUTED_VALUE"""),0.6774193548387096)</f>
        <v>0.6774193548</v>
      </c>
      <c r="I718" s="42">
        <f>IFERROR(__xludf.DUMMYFUNCTION("""COMPUTED_VALUE"""),0.3424657534246575)</f>
        <v>0.3424657534</v>
      </c>
      <c r="J718" s="30">
        <f>IFERROR(__xludf.DUMMYFUNCTION("""COMPUTED_VALUE"""),334.61290322580646)</f>
        <v>334.6129032</v>
      </c>
      <c r="K718" s="30">
        <f>IFERROR(__xludf.DUMMYFUNCTION("""COMPUTED_VALUE"""),0.8064516129032258)</f>
        <v>0.8064516129</v>
      </c>
      <c r="L718" s="30">
        <f>IFERROR(__xludf.DUMMYFUNCTION("""COMPUTED_VALUE"""),0.7419354838709677)</f>
        <v>0.7419354839</v>
      </c>
      <c r="M718" s="30">
        <f>IFERROR(__xludf.DUMMYFUNCTION("""COMPUTED_VALUE"""),1.2258064516129032)</f>
        <v>1.225806452</v>
      </c>
      <c r="N718" s="30">
        <f>IFERROR(__xludf.DUMMYFUNCTION("""COMPUTED_VALUE"""),2.3548387096774195)</f>
        <v>2.35483871</v>
      </c>
      <c r="O718" s="30">
        <f>IFERROR(__xludf.DUMMYFUNCTION("""COMPUTED_VALUE"""),311.54838709677426)</f>
        <v>311.5483871</v>
      </c>
      <c r="P718" s="30">
        <f>IFERROR(__xludf.DUMMYFUNCTION("""COMPUTED_VALUE"""),0.6129032258064516)</f>
        <v>0.6129032258</v>
      </c>
      <c r="Q718" s="30">
        <f>IFERROR(__xludf.DUMMYFUNCTION("""COMPUTED_VALUE"""),0.4408602150537635)</f>
        <v>0.4408602151</v>
      </c>
      <c r="R718" s="30">
        <f>IFERROR(__xludf.DUMMYFUNCTION("""COMPUTED_VALUE"""),1.1935483870967745)</f>
        <v>1.193548387</v>
      </c>
      <c r="S718" s="30">
        <f>IFERROR(__xludf.DUMMYFUNCTION("""COMPUTED_VALUE"""),2.279569892473119)</f>
        <v>2.279569892</v>
      </c>
      <c r="T718" s="30">
        <f>IFERROR(__xludf.DUMMYFUNCTION("""COMPUTED_VALUE"""),323.3456102903271)</f>
        <v>323.3456103</v>
      </c>
      <c r="U718" s="30">
        <f>IFERROR(__xludf.DUMMYFUNCTION("""COMPUTED_VALUE"""),0.7172890724497918)</f>
        <v>0.7172890724</v>
      </c>
      <c r="V718" s="30">
        <f>IFERROR(__xludf.DUMMYFUNCTION("""COMPUTED_VALUE"""),0.4923785792388391)</f>
        <v>0.4923785792</v>
      </c>
      <c r="W718" s="30">
        <f>IFERROR(__xludf.DUMMYFUNCTION("""COMPUTED_VALUE"""),1.1804611807095002)</f>
        <v>1.180461181</v>
      </c>
      <c r="X718" s="30">
        <f>IFERROR(__xludf.DUMMYFUNCTION("""COMPUTED_VALUE"""),2.369003828928814)</f>
        <v>2.369003829</v>
      </c>
      <c r="Y718" s="30">
        <f>IFERROR(__xludf.DUMMYFUNCTION("""COMPUTED_VALUE"""),336.61567575280014)</f>
        <v>336.6156758</v>
      </c>
      <c r="Z718" s="30">
        <f>IFERROR(__xludf.DUMMYFUNCTION("""COMPUTED_VALUE"""),0.8310202142842161)</f>
        <v>0.8310202143</v>
      </c>
      <c r="AA718" s="30">
        <f>IFERROR(__xludf.DUMMYFUNCTION("""COMPUTED_VALUE"""),0.5375392752907177)</f>
        <v>0.5375392753</v>
      </c>
      <c r="AB718" s="30">
        <f>IFERROR(__xludf.DUMMYFUNCTION("""COMPUTED_VALUE"""),1.2001925039267178)</f>
        <v>1.200192504</v>
      </c>
      <c r="AC718" s="30">
        <f>IFERROR(__xludf.DUMMYFUNCTION("""COMPUTED_VALUE"""),2.437859336291404)</f>
        <v>2.437859336</v>
      </c>
      <c r="AD718" s="30">
        <f>IFERROR(__xludf.DUMMYFUNCTION("""COMPUTED_VALUE"""),0.9940502695766775)</f>
        <v>0.9940502696</v>
      </c>
      <c r="AE718" s="30">
        <f>IFERROR(__xludf.DUMMYFUNCTION("""COMPUTED_VALUE"""),0.9704356152128597)</f>
        <v>0.9704356152</v>
      </c>
      <c r="AF718" s="30">
        <f>IFERROR(__xludf.DUMMYFUNCTION("""COMPUTED_VALUE"""),1.3802442314000338)</f>
        <v>1.380244231</v>
      </c>
      <c r="AG718" s="30">
        <f>IFERROR(__xludf.DUMMYFUNCTION("""COMPUTED_VALUE"""),1.0213415327977664)</f>
        <v>1.021341533</v>
      </c>
      <c r="AH718" s="30">
        <f>IFERROR(__xludf.DUMMYFUNCTION("""COMPUTED_VALUE"""),0.9659452760960853)</f>
        <v>0.9659452761</v>
      </c>
      <c r="AI718" s="30">
        <f>IFERROR(__xludf.DUMMYFUNCTION("""COMPUTED_VALUE"""),0.9635151280298493)</f>
        <v>0.963515128</v>
      </c>
      <c r="AJ718" s="30">
        <f>IFERROR(__xludf.DUMMYFUNCTION("""COMPUTED_VALUE"""),0.8544717176760742)</f>
        <v>0.8544717177</v>
      </c>
      <c r="AK718" s="30">
        <f>IFERROR(__xludf.DUMMYFUNCTION("""COMPUTED_VALUE"""),0.8953683885584196)</f>
        <v>0.8953683886</v>
      </c>
      <c r="AL718" s="30">
        <f>IFERROR(__xludf.DUMMYFUNCTION("""COMPUTED_VALUE"""),1.0110865199136903)</f>
        <v>1.01108652</v>
      </c>
      <c r="AM718" s="30">
        <f>IFERROR(__xludf.DUMMYFUNCTION("""COMPUTED_VALUE"""),0.9622482938340653)</f>
        <v>0.9622482938</v>
      </c>
      <c r="AN718" s="30">
        <f>IFERROR(__xludf.DUMMYFUNCTION("""COMPUTED_VALUE"""),1.0335808131189974)</f>
        <v>1.033580813</v>
      </c>
      <c r="AO718" s="30">
        <f>IFERROR(__xludf.DUMMYFUNCTION("""COMPUTED_VALUE"""),1.0933847081583778)</f>
        <v>1.093384708</v>
      </c>
      <c r="AP718" s="30">
        <f>IFERROR(__xludf.DUMMYFUNCTION("""COMPUTED_VALUE"""),1.5036752167437777)</f>
        <v>1.503675217</v>
      </c>
      <c r="AQ718" s="30">
        <f>IFERROR(__xludf.DUMMYFUNCTION("""COMPUTED_VALUE"""),1.0163337245297972)</f>
        <v>1.016333725</v>
      </c>
      <c r="AR718" s="30">
        <f>IFERROR(__xludf.DUMMYFUNCTION("""COMPUTED_VALUE"""),0.9997525061874784)</f>
        <v>0.9997525062</v>
      </c>
      <c r="AS718" s="30">
        <f>IFERROR(__xludf.DUMMYFUNCTION("""COMPUTED_VALUE"""),85.0)</f>
        <v>85</v>
      </c>
      <c r="AT718" s="30">
        <f>IFERROR(__xludf.DUMMYFUNCTION("""COMPUTED_VALUE"""),0.6498681537799031)</f>
        <v>0.6498681538</v>
      </c>
      <c r="AU718" s="30">
        <f>IFERROR(__xludf.DUMMYFUNCTION("""COMPUTED_VALUE"""),2.4804908207459357)</f>
        <v>2.480490821</v>
      </c>
      <c r="AV718" s="32">
        <f>IFERROR(__xludf.DUMMYFUNCTION("""COMPUTED_VALUE"""),66.52734365257936)</f>
        <v>66.52734365</v>
      </c>
      <c r="AW718" s="32">
        <f>IFERROR(__xludf.DUMMYFUNCTION("""COMPUTED_VALUE"""),3.932732995664811)</f>
        <v>3.932732996</v>
      </c>
      <c r="AX718" s="32">
        <f>IFERROR(__xludf.DUMMYFUNCTION("""COMPUTED_VALUE"""),55.2681821986175)</f>
        <v>55.2681822</v>
      </c>
      <c r="AY718" s="32">
        <f>IFERROR(__xludf.DUMMYFUNCTION("""COMPUTED_VALUE"""),2.4006719576707183)</f>
        <v>2.400671958</v>
      </c>
      <c r="AZ718" s="30">
        <f>IFERROR(__xludf.DUMMYFUNCTION("""COMPUTED_VALUE"""),1.5320610379940929)</f>
        <v>1.532061038</v>
      </c>
      <c r="BA718" s="30">
        <f>IFERROR(__xludf.DUMMYFUNCTION("""COMPUTED_VALUE"""),2700.0)</f>
        <v>2700</v>
      </c>
    </row>
    <row r="719">
      <c r="A719" s="71" t="str">
        <f>IFERROR(__xludf.DUMMYFUNCTION("""COMPUTED_VALUE"""),"Prospect")</f>
        <v>Prospect</v>
      </c>
      <c r="B719" s="71" t="str">
        <f>IFERROR(__xludf.DUMMYFUNCTION("""COMPUTED_VALUE"""),"RSC004012")</f>
        <v>RSC004012</v>
      </c>
      <c r="C719" s="30" t="str">
        <f>IFERROR(__xludf.DUMMYFUNCTION("""COMPUTED_VALUE"""),"kgfan3")</f>
        <v>kgfan3</v>
      </c>
      <c r="D719" s="30" t="str">
        <f>IFERROR(__xludf.DUMMYFUNCTION("""COMPUTED_VALUE"""),"Undead")</f>
        <v>Undead</v>
      </c>
      <c r="E719" s="30">
        <f>IFERROR(__xludf.DUMMYFUNCTION("""COMPUTED_VALUE"""),25.0)</f>
        <v>25</v>
      </c>
      <c r="F719" s="30">
        <f>IFERROR(__xludf.DUMMYFUNCTION("""COMPUTED_VALUE"""),7.0)</f>
        <v>7</v>
      </c>
      <c r="G719" s="42">
        <f>IFERROR(__xludf.DUMMYFUNCTION("""COMPUTED_VALUE"""),18.0)</f>
        <v>18</v>
      </c>
      <c r="H719" s="42">
        <f>IFERROR(__xludf.DUMMYFUNCTION("""COMPUTED_VALUE"""),0.28)</f>
        <v>0.28</v>
      </c>
      <c r="I719" s="42">
        <f>IFERROR(__xludf.DUMMYFUNCTION("""COMPUTED_VALUE"""),0.33333333333333337)</f>
        <v>0.3333333333</v>
      </c>
      <c r="J719" s="30">
        <f>IFERROR(__xludf.DUMMYFUNCTION("""COMPUTED_VALUE"""),244.08)</f>
        <v>244.08</v>
      </c>
      <c r="K719" s="30">
        <f>IFERROR(__xludf.DUMMYFUNCTION("""COMPUTED_VALUE"""),0.56)</f>
        <v>0.56</v>
      </c>
      <c r="L719" s="30">
        <f>IFERROR(__xludf.DUMMYFUNCTION("""COMPUTED_VALUE"""),0.4)</f>
        <v>0.4</v>
      </c>
      <c r="M719" s="30">
        <f>IFERROR(__xludf.DUMMYFUNCTION("""COMPUTED_VALUE"""),0.68)</f>
        <v>0.68</v>
      </c>
      <c r="N719" s="30">
        <f>IFERROR(__xludf.DUMMYFUNCTION("""COMPUTED_VALUE"""),1.68)</f>
        <v>1.68</v>
      </c>
      <c r="O719" s="30">
        <f>IFERROR(__xludf.DUMMYFUNCTION("""COMPUTED_VALUE"""),344.4666666666667)</f>
        <v>344.4666667</v>
      </c>
      <c r="P719" s="30">
        <f>IFERROR(__xludf.DUMMYFUNCTION("""COMPUTED_VALUE"""),0.9866666666666665)</f>
        <v>0.9866666667</v>
      </c>
      <c r="Q719" s="30">
        <f>IFERROR(__xludf.DUMMYFUNCTION("""COMPUTED_VALUE"""),0.6533333333333334)</f>
        <v>0.6533333333</v>
      </c>
      <c r="R719" s="30">
        <f>IFERROR(__xludf.DUMMYFUNCTION("""COMPUTED_VALUE"""),0.9599999999999999)</f>
        <v>0.96</v>
      </c>
      <c r="S719" s="30">
        <f>IFERROR(__xludf.DUMMYFUNCTION("""COMPUTED_VALUE"""),2.7200000000000006)</f>
        <v>2.72</v>
      </c>
      <c r="T719" s="30">
        <f>IFERROR(__xludf.DUMMYFUNCTION("""COMPUTED_VALUE"""),335.18841557999747)</f>
        <v>335.1884156</v>
      </c>
      <c r="U719" s="30">
        <f>IFERROR(__xludf.DUMMYFUNCTION("""COMPUTED_VALUE"""),0.8418243051533304)</f>
        <v>0.8418243052</v>
      </c>
      <c r="V719" s="30">
        <f>IFERROR(__xludf.DUMMYFUNCTION("""COMPUTED_VALUE"""),0.5208624812286581)</f>
        <v>0.5208624812</v>
      </c>
      <c r="W719" s="30">
        <f>IFERROR(__xludf.DUMMYFUNCTION("""COMPUTED_VALUE"""),1.119504522014075)</f>
        <v>1.119504522</v>
      </c>
      <c r="X719" s="30">
        <f>IFERROR(__xludf.DUMMYFUNCTION("""COMPUTED_VALUE"""),2.5984165984881495)</f>
        <v>2.598416598</v>
      </c>
      <c r="Y719" s="30">
        <f>IFERROR(__xludf.DUMMYFUNCTION("""COMPUTED_VALUE"""),327.8797997252539)</f>
        <v>327.8797997</v>
      </c>
      <c r="Z719" s="30">
        <f>IFERROR(__xludf.DUMMYFUNCTION("""COMPUTED_VALUE"""),0.7457562516807928)</f>
        <v>0.7457562517</v>
      </c>
      <c r="AA719" s="30">
        <f>IFERROR(__xludf.DUMMYFUNCTION("""COMPUTED_VALUE"""),0.5003586009811015)</f>
        <v>0.500358601</v>
      </c>
      <c r="AB719" s="30">
        <f>IFERROR(__xludf.DUMMYFUNCTION("""COMPUTED_VALUE"""),1.2363991696246976)</f>
        <v>1.23639917</v>
      </c>
      <c r="AC719" s="30">
        <f>IFERROR(__xludf.DUMMYFUNCTION("""COMPUTED_VALUE"""),2.288905807615503)</f>
        <v>2.288905808</v>
      </c>
      <c r="AD719" s="30">
        <f>IFERROR(__xludf.DUMMYFUNCTION("""COMPUTED_VALUE"""),0.7444191444685713)</f>
        <v>0.7444191445</v>
      </c>
      <c r="AE719" s="30">
        <f>IFERROR(__xludf.DUMMYFUNCTION("""COMPUTED_VALUE"""),0.7509155957296589)</f>
        <v>0.7509155957</v>
      </c>
      <c r="AF719" s="30">
        <f>IFERROR(__xludf.DUMMYFUNCTION("""COMPUTED_VALUE"""),0.7994266496382421)</f>
        <v>0.7994266496</v>
      </c>
      <c r="AG719" s="30">
        <f>IFERROR(__xludf.DUMMYFUNCTION("""COMPUTED_VALUE"""),0.5499841933785918)</f>
        <v>0.5499841934</v>
      </c>
      <c r="AH719" s="30">
        <f>IFERROR(__xludf.DUMMYFUNCTION("""COMPUTED_VALUE"""),0.7339751572172214)</f>
        <v>0.7339751572</v>
      </c>
      <c r="AI719" s="30">
        <f>IFERROR(__xludf.DUMMYFUNCTION("""COMPUTED_VALUE"""),1.027680703316117)</f>
        <v>1.027680703</v>
      </c>
      <c r="AJ719" s="30">
        <f>IFERROR(__xludf.DUMMYFUNCTION("""COMPUTED_VALUE"""),1.1720577092234874)</f>
        <v>1.172057709</v>
      </c>
      <c r="AK719" s="30">
        <f>IFERROR(__xludf.DUMMYFUNCTION("""COMPUTED_VALUE"""),1.2543298027383178)</f>
        <v>1.254329803</v>
      </c>
      <c r="AL719" s="30">
        <f>IFERROR(__xludf.DUMMYFUNCTION("""COMPUTED_VALUE"""),0.8575222173045678)</f>
        <v>0.8575222173</v>
      </c>
      <c r="AM719" s="30">
        <f>IFERROR(__xludf.DUMMYFUNCTION("""COMPUTED_VALUE"""),1.046791342690234)</f>
        <v>1.046791343</v>
      </c>
      <c r="AN719" s="30">
        <f>IFERROR(__xludf.DUMMYFUNCTION("""COMPUTED_VALUE"""),0.7539350767230919)</f>
        <v>0.7539350767</v>
      </c>
      <c r="AO719" s="30">
        <f>IFERROR(__xludf.DUMMYFUNCTION("""COMPUTED_VALUE"""),0.7592463413451778)</f>
        <v>0.7592463413</v>
      </c>
      <c r="AP719" s="30">
        <f>IFERROR(__xludf.DUMMYFUNCTION("""COMPUTED_VALUE"""),0.8106770733749062)</f>
        <v>0.8106770734</v>
      </c>
      <c r="AQ719" s="30">
        <f>IFERROR(__xludf.DUMMYFUNCTION("""COMPUTED_VALUE"""),0.5637977608707401)</f>
        <v>0.5637977609</v>
      </c>
      <c r="AR719" s="30">
        <f>IFERROR(__xludf.DUMMYFUNCTION("""COMPUTED_VALUE"""),0.7132480893458064)</f>
        <v>0.7132480893</v>
      </c>
      <c r="AS719" s="30">
        <f>IFERROR(__xludf.DUMMYFUNCTION("""COMPUTED_VALUE"""),40.0)</f>
        <v>40</v>
      </c>
      <c r="AT719" s="30">
        <f>IFERROR(__xludf.DUMMYFUNCTION("""COMPUTED_VALUE"""),0.2787063911035385)</f>
        <v>0.2787063911</v>
      </c>
      <c r="AU719" s="30">
        <f>IFERROR(__xludf.DUMMYFUNCTION("""COMPUTED_VALUE"""),1.1106340892981377)</f>
        <v>1.110634089</v>
      </c>
      <c r="AV719" s="32">
        <f>IFERROR(__xludf.DUMMYFUNCTION("""COMPUTED_VALUE"""),22.94919449757395)</f>
        <v>22.9491945</v>
      </c>
      <c r="AW719" s="32">
        <f>IFERROR(__xludf.DUMMYFUNCTION("""COMPUTED_VALUE"""),-7.1623435429830336)</f>
        <v>-7.162343543</v>
      </c>
      <c r="AX719" s="32">
        <f>IFERROR(__xludf.DUMMYFUNCTION("""COMPUTED_VALUE"""),26.329540894106874)</f>
        <v>26.32954089</v>
      </c>
      <c r="AY719" s="32">
        <f>IFERROR(__xludf.DUMMYFUNCTION("""COMPUTED_VALUE"""),-5.818497628318799)</f>
        <v>-5.818497628</v>
      </c>
      <c r="AZ719" s="30">
        <f>IFERROR(__xludf.DUMMYFUNCTION("""COMPUTED_VALUE"""),1.343845914664235)</f>
        <v>1.343845915</v>
      </c>
      <c r="BA719" s="30">
        <f>IFERROR(__xludf.DUMMYFUNCTION("""COMPUTED_VALUE"""),2700.0)</f>
        <v>2700</v>
      </c>
    </row>
    <row r="720">
      <c r="A720" s="71" t="str">
        <f>IFERROR(__xludf.DUMMYFUNCTION("""COMPUTED_VALUE"""),"Prospect")</f>
        <v>Prospect</v>
      </c>
      <c r="B720" s="71" t="str">
        <f>IFERROR(__xludf.DUMMYFUNCTION("""COMPUTED_VALUE"""),"RSC006966")</f>
        <v>RSC006966</v>
      </c>
      <c r="C720" s="30" t="str">
        <f>IFERROR(__xludf.DUMMYFUNCTION("""COMPUTED_VALUE"""),"Pivot97")</f>
        <v>Pivot97</v>
      </c>
      <c r="D720" s="30" t="str">
        <f>IFERROR(__xludf.DUMMYFUNCTION("""COMPUTED_VALUE"""),"Prism Proteges")</f>
        <v>Prism Proteges</v>
      </c>
      <c r="E720" s="30">
        <f>IFERROR(__xludf.DUMMYFUNCTION("""COMPUTED_VALUE"""),22.0)</f>
        <v>22</v>
      </c>
      <c r="F720" s="30">
        <f>IFERROR(__xludf.DUMMYFUNCTION("""COMPUTED_VALUE"""),11.0)</f>
        <v>11</v>
      </c>
      <c r="G720" s="42">
        <f>IFERROR(__xludf.DUMMYFUNCTION("""COMPUTED_VALUE"""),11.0)</f>
        <v>11</v>
      </c>
      <c r="H720" s="42">
        <f>IFERROR(__xludf.DUMMYFUNCTION("""COMPUTED_VALUE"""),0.5)</f>
        <v>0.5</v>
      </c>
      <c r="I720" s="42">
        <f>IFERROR(__xludf.DUMMYFUNCTION("""COMPUTED_VALUE"""),0.33999999999999997)</f>
        <v>0.34</v>
      </c>
      <c r="J720" s="30">
        <f>IFERROR(__xludf.DUMMYFUNCTION("""COMPUTED_VALUE"""),318.6363636363636)</f>
        <v>318.6363636</v>
      </c>
      <c r="K720" s="30">
        <f>IFERROR(__xludf.DUMMYFUNCTION("""COMPUTED_VALUE"""),0.7727272727272727)</f>
        <v>0.7727272727</v>
      </c>
      <c r="L720" s="30">
        <f>IFERROR(__xludf.DUMMYFUNCTION("""COMPUTED_VALUE"""),0.45454545454545453)</f>
        <v>0.4545454545</v>
      </c>
      <c r="M720" s="30">
        <f>IFERROR(__xludf.DUMMYFUNCTION("""COMPUTED_VALUE"""),1.3181818181818181)</f>
        <v>1.318181818</v>
      </c>
      <c r="N720" s="30">
        <f>IFERROR(__xludf.DUMMYFUNCTION("""COMPUTED_VALUE"""),2.272727272727273)</f>
        <v>2.272727273</v>
      </c>
      <c r="O720" s="30">
        <f>IFERROR(__xludf.DUMMYFUNCTION("""COMPUTED_VALUE"""),352.1212121212121)</f>
        <v>352.1212121</v>
      </c>
      <c r="P720" s="30">
        <f>IFERROR(__xludf.DUMMYFUNCTION("""COMPUTED_VALUE"""),0.7575757575757577)</f>
        <v>0.7575757576</v>
      </c>
      <c r="Q720" s="30">
        <f>IFERROR(__xludf.DUMMYFUNCTION("""COMPUTED_VALUE"""),0.5454545454545454)</f>
        <v>0.5454545455</v>
      </c>
      <c r="R720" s="30">
        <f>IFERROR(__xludf.DUMMYFUNCTION("""COMPUTED_VALUE"""),1.3484848484848482)</f>
        <v>1.348484848</v>
      </c>
      <c r="S720" s="30">
        <f>IFERROR(__xludf.DUMMYFUNCTION("""COMPUTED_VALUE"""),2.606060606060606)</f>
        <v>2.606060606</v>
      </c>
      <c r="T720" s="30">
        <f>IFERROR(__xludf.DUMMYFUNCTION("""COMPUTED_VALUE"""),340.43835114766995)</f>
        <v>340.4383511</v>
      </c>
      <c r="U720" s="30">
        <f>IFERROR(__xludf.DUMMYFUNCTION("""COMPUTED_VALUE"""),0.8113750702031886)</f>
        <v>0.8113750702</v>
      </c>
      <c r="V720" s="30">
        <f>IFERROR(__xludf.DUMMYFUNCTION("""COMPUTED_VALUE"""),0.5137690292346462)</f>
        <v>0.5137690292</v>
      </c>
      <c r="W720" s="30">
        <f>IFERROR(__xludf.DUMMYFUNCTION("""COMPUTED_VALUE"""),1.2354643876961702)</f>
        <v>1.235464388</v>
      </c>
      <c r="X720" s="30">
        <f>IFERROR(__xludf.DUMMYFUNCTION("""COMPUTED_VALUE"""),2.504928681888883)</f>
        <v>2.504928682</v>
      </c>
      <c r="Y720" s="30">
        <f>IFERROR(__xludf.DUMMYFUNCTION("""COMPUTED_VALUE"""),339.2257741438779)</f>
        <v>339.2257741</v>
      </c>
      <c r="Z720" s="30">
        <f>IFERROR(__xludf.DUMMYFUNCTION("""COMPUTED_VALUE"""),0.8106457964830492)</f>
        <v>0.8106457965</v>
      </c>
      <c r="AA720" s="30">
        <f>IFERROR(__xludf.DUMMYFUNCTION("""COMPUTED_VALUE"""),0.5334603159916061)</f>
        <v>0.533460316</v>
      </c>
      <c r="AB720" s="30">
        <f>IFERROR(__xludf.DUMMYFUNCTION("""COMPUTED_VALUE"""),1.2149716634009244)</f>
        <v>1.214971663</v>
      </c>
      <c r="AC720" s="30">
        <f>IFERROR(__xludf.DUMMYFUNCTION("""COMPUTED_VALUE"""),2.5257870966140015)</f>
        <v>2.525787097</v>
      </c>
      <c r="AD720" s="30">
        <f>IFERROR(__xludf.DUMMYFUNCTION("""COMPUTED_VALUE"""),0.939304698885346)</f>
        <v>0.9393046989</v>
      </c>
      <c r="AE720" s="30">
        <f>IFERROR(__xludf.DUMMYFUNCTION("""COMPUTED_VALUE"""),0.9532243010198975)</f>
        <v>0.953224301</v>
      </c>
      <c r="AF720" s="30">
        <f>IFERROR(__xludf.DUMMYFUNCTION("""COMPUTED_VALUE"""),0.852069855843985)</f>
        <v>0.8520698558</v>
      </c>
      <c r="AG720" s="30">
        <f>IFERROR(__xludf.DUMMYFUNCTION("""COMPUTED_VALUE"""),1.0849486106465973)</f>
        <v>1.084948611</v>
      </c>
      <c r="AH720" s="30">
        <f>IFERROR(__xludf.DUMMYFUNCTION("""COMPUTED_VALUE"""),0.8998095190897232)</f>
        <v>0.8998095191</v>
      </c>
      <c r="AI720" s="30">
        <f>IFERROR(__xludf.DUMMYFUNCTION("""COMPUTED_VALUE"""),1.0343171118475856)</f>
        <v>1.034317112</v>
      </c>
      <c r="AJ720" s="30">
        <f>IFERROR(__xludf.DUMMYFUNCTION("""COMPUTED_VALUE"""),0.9336936583299777)</f>
        <v>0.9336936583</v>
      </c>
      <c r="AK720" s="30">
        <f>IFERROR(__xludf.DUMMYFUNCTION("""COMPUTED_VALUE"""),1.0616726863958708)</f>
        <v>1.061672686</v>
      </c>
      <c r="AL720" s="30">
        <f>IFERROR(__xludf.DUMMYFUNCTION("""COMPUTED_VALUE"""),1.0914801445628333)</f>
        <v>1.091480145</v>
      </c>
      <c r="AM720" s="30">
        <f>IFERROR(__xludf.DUMMYFUNCTION("""COMPUTED_VALUE"""),1.0403731750540148)</f>
        <v>1.040373175</v>
      </c>
      <c r="AN720" s="30">
        <f>IFERROR(__xludf.DUMMYFUNCTION("""COMPUTED_VALUE"""),0.9842311179324352)</f>
        <v>0.9842311179</v>
      </c>
      <c r="AO720" s="30">
        <f>IFERROR(__xludf.DUMMYFUNCTION("""COMPUTED_VALUE"""),1.047661347635391)</f>
        <v>1.047661348</v>
      </c>
      <c r="AP720" s="30">
        <f>IFERROR(__xludf.DUMMYFUNCTION("""COMPUTED_VALUE"""),0.9212239470169389)</f>
        <v>0.921223947</v>
      </c>
      <c r="AQ720" s="30">
        <f>IFERROR(__xludf.DUMMYFUNCTION("""COMPUTED_VALUE"""),1.0929234669285737)</f>
        <v>1.092923467</v>
      </c>
      <c r="AR720" s="30">
        <f>IFERROR(__xludf.DUMMYFUNCTION("""COMPUTED_VALUE"""),0.9648918957600195)</f>
        <v>0.9648918958</v>
      </c>
      <c r="AS720" s="30">
        <f>IFERROR(__xludf.DUMMYFUNCTION("""COMPUTED_VALUE"""),51.0)</f>
        <v>51</v>
      </c>
      <c r="AT720" s="30">
        <f>IFERROR(__xludf.DUMMYFUNCTION("""COMPUTED_VALUE"""),0.5076664394511384)</f>
        <v>0.5076664395</v>
      </c>
      <c r="AU720" s="30">
        <f>IFERROR(__xludf.DUMMYFUNCTION("""COMPUTED_VALUE"""),1.8930360859727031)</f>
        <v>1.893036086</v>
      </c>
      <c r="AV720" s="32">
        <f>IFERROR(__xludf.DUMMYFUNCTION("""COMPUTED_VALUE"""),47.83911920833014)</f>
        <v>47.83911921</v>
      </c>
      <c r="AW720" s="32">
        <f>IFERROR(__xludf.DUMMYFUNCTION("""COMPUTED_VALUE"""),-2.1479498377988255)</f>
        <v>-2.147949838</v>
      </c>
      <c r="AX720" s="32">
        <f>IFERROR(__xludf.DUMMYFUNCTION("""COMPUTED_VALUE"""),35.918169135273885)</f>
        <v>35.91816914</v>
      </c>
      <c r="AY720" s="32">
        <f>IFERROR(__xludf.DUMMYFUNCTION("""COMPUTED_VALUE"""),-3.4888862519025707)</f>
        <v>-3.488886252</v>
      </c>
      <c r="AZ720" s="30">
        <f>IFERROR(__xludf.DUMMYFUNCTION("""COMPUTED_VALUE"""),1.3409364141037452)</f>
        <v>1.340936414</v>
      </c>
      <c r="BA720" s="30">
        <f>IFERROR(__xludf.DUMMYFUNCTION("""COMPUTED_VALUE"""),2700.0)</f>
        <v>2700</v>
      </c>
    </row>
    <row r="721">
      <c r="A721" s="71" t="str">
        <f>IFERROR(__xludf.DUMMYFUNCTION("""COMPUTED_VALUE"""),"Prospect")</f>
        <v>Prospect</v>
      </c>
      <c r="B721" s="71" t="str">
        <f>IFERROR(__xludf.DUMMYFUNCTION("""COMPUTED_VALUE"""),"RSC007866")</f>
        <v>RSC007866</v>
      </c>
      <c r="C721" s="30" t="str">
        <f>IFERROR(__xludf.DUMMYFUNCTION("""COMPUTED_VALUE"""),"Swzyy GN")</f>
        <v>Swzyy GN</v>
      </c>
      <c r="D721" s="30" t="str">
        <f>IFERROR(__xludf.DUMMYFUNCTION("""COMPUTED_VALUE"""),"Prism Proteges")</f>
        <v>Prism Proteges</v>
      </c>
      <c r="E721" s="30">
        <f>IFERROR(__xludf.DUMMYFUNCTION("""COMPUTED_VALUE"""),8.0)</f>
        <v>8</v>
      </c>
      <c r="F721" s="30">
        <f>IFERROR(__xludf.DUMMYFUNCTION("""COMPUTED_VALUE"""),3.0)</f>
        <v>3</v>
      </c>
      <c r="G721" s="42">
        <f>IFERROR(__xludf.DUMMYFUNCTION("""COMPUTED_VALUE"""),5.0)</f>
        <v>5</v>
      </c>
      <c r="H721" s="42">
        <f>IFERROR(__xludf.DUMMYFUNCTION("""COMPUTED_VALUE"""),0.375)</f>
        <v>0.375</v>
      </c>
      <c r="I721" s="42">
        <f>IFERROR(__xludf.DUMMYFUNCTION("""COMPUTED_VALUE"""),0.17391304347826086)</f>
        <v>0.1739130435</v>
      </c>
      <c r="J721" s="30">
        <f>IFERROR(__xludf.DUMMYFUNCTION("""COMPUTED_VALUE"""),309.375)</f>
        <v>309.375</v>
      </c>
      <c r="K721" s="30">
        <f>IFERROR(__xludf.DUMMYFUNCTION("""COMPUTED_VALUE"""),0.5)</f>
        <v>0.5</v>
      </c>
      <c r="L721" s="30">
        <f>IFERROR(__xludf.DUMMYFUNCTION("""COMPUTED_VALUE"""),0.75)</f>
        <v>0.75</v>
      </c>
      <c r="M721" s="30">
        <f>IFERROR(__xludf.DUMMYFUNCTION("""COMPUTED_VALUE"""),1.125)</f>
        <v>1.125</v>
      </c>
      <c r="N721" s="30">
        <f>IFERROR(__xludf.DUMMYFUNCTION("""COMPUTED_VALUE"""),2.875)</f>
        <v>2.875</v>
      </c>
      <c r="O721" s="30">
        <f>IFERROR(__xludf.DUMMYFUNCTION("""COMPUTED_VALUE"""),363.20833333333337)</f>
        <v>363.2083333</v>
      </c>
      <c r="P721" s="30">
        <f>IFERROR(__xludf.DUMMYFUNCTION("""COMPUTED_VALUE"""),0.9166666666666666)</f>
        <v>0.9166666667</v>
      </c>
      <c r="Q721" s="30">
        <f>IFERROR(__xludf.DUMMYFUNCTION("""COMPUTED_VALUE"""),0.5)</f>
        <v>0.5</v>
      </c>
      <c r="R721" s="30">
        <f>IFERROR(__xludf.DUMMYFUNCTION("""COMPUTED_VALUE"""),1.4583333333333335)</f>
        <v>1.458333333</v>
      </c>
      <c r="S721" s="30">
        <f>IFERROR(__xludf.DUMMYFUNCTION("""COMPUTED_VALUE"""),2.708333333333333)</f>
        <v>2.708333333</v>
      </c>
      <c r="T721" s="30">
        <f>IFERROR(__xludf.DUMMYFUNCTION("""COMPUTED_VALUE"""),343.2950457641549)</f>
        <v>343.2950458</v>
      </c>
      <c r="U721" s="30">
        <f>IFERROR(__xludf.DUMMYFUNCTION("""COMPUTED_VALUE"""),0.8515591741166453)</f>
        <v>0.8515591741</v>
      </c>
      <c r="V721" s="30">
        <f>IFERROR(__xludf.DUMMYFUNCTION("""COMPUTED_VALUE"""),0.4279214559386973)</f>
        <v>0.4279214559</v>
      </c>
      <c r="W721" s="30">
        <f>IFERROR(__xludf.DUMMYFUNCTION("""COMPUTED_VALUE"""),1.3441358024691357)</f>
        <v>1.344135802</v>
      </c>
      <c r="X721" s="30">
        <f>IFERROR(__xludf.DUMMYFUNCTION("""COMPUTED_VALUE"""),2.428267347807578)</f>
        <v>2.428267348</v>
      </c>
      <c r="Y721" s="30">
        <f>IFERROR(__xludf.DUMMYFUNCTION("""COMPUTED_VALUE"""),342.6269955300127)</f>
        <v>342.6269955</v>
      </c>
      <c r="Z721" s="30">
        <f>IFERROR(__xludf.DUMMYFUNCTION("""COMPUTED_VALUE"""),0.8759578544061304)</f>
        <v>0.8759578544</v>
      </c>
      <c r="AA721" s="30">
        <f>IFERROR(__xludf.DUMMYFUNCTION("""COMPUTED_VALUE"""),0.54923194267064)</f>
        <v>0.5492319427</v>
      </c>
      <c r="AB721" s="30">
        <f>IFERROR(__xludf.DUMMYFUNCTION("""COMPUTED_VALUE"""),1.1063395771250177)</f>
        <v>1.106339577</v>
      </c>
      <c r="AC721" s="30">
        <f>IFERROR(__xludf.DUMMYFUNCTION("""COMPUTED_VALUE"""),2.833031786575847)</f>
        <v>2.833031787</v>
      </c>
      <c r="AD721" s="30">
        <f>IFERROR(__xludf.DUMMYFUNCTION("""COMPUTED_VALUE"""),0.9029498668703121)</f>
        <v>0.9029498669</v>
      </c>
      <c r="AE721" s="30">
        <f>IFERROR(__xludf.DUMMYFUNCTION("""COMPUTED_VALUE"""),0.5708037178786222)</f>
        <v>0.5708037179</v>
      </c>
      <c r="AF721" s="30">
        <f>IFERROR(__xludf.DUMMYFUNCTION("""COMPUTED_VALUE"""),1.365543300983416)</f>
        <v>1.365543301</v>
      </c>
      <c r="AG721" s="30">
        <f>IFERROR(__xludf.DUMMYFUNCTION("""COMPUTED_VALUE"""),1.0168668131022431)</f>
        <v>1.016866813</v>
      </c>
      <c r="AH721" s="30">
        <f>IFERROR(__xludf.DUMMYFUNCTION("""COMPUTED_VALUE"""),1.0148138872366406)</f>
        <v>1.014813887</v>
      </c>
      <c r="AI721" s="30">
        <f>IFERROR(__xludf.DUMMYFUNCTION("""COMPUTED_VALUE"""),1.0580063354099756)</f>
        <v>1.058006335</v>
      </c>
      <c r="AJ721" s="30">
        <f>IFERROR(__xludf.DUMMYFUNCTION("""COMPUTED_VALUE"""),1.0764568036244337)</f>
        <v>1.076456804</v>
      </c>
      <c r="AK721" s="30">
        <f>IFERROR(__xludf.DUMMYFUNCTION("""COMPUTED_VALUE"""),1.1684387241186347)</f>
        <v>1.168438724</v>
      </c>
      <c r="AL721" s="30">
        <f>IFERROR(__xludf.DUMMYFUNCTION("""COMPUTED_VALUE"""),1.0849598163031)</f>
        <v>1.084959816</v>
      </c>
      <c r="AM721" s="30">
        <f>IFERROR(__xludf.DUMMYFUNCTION("""COMPUTED_VALUE"""),1.1153357293127628)</f>
        <v>1.115335729</v>
      </c>
      <c r="AN721" s="30">
        <f>IFERROR(__xludf.DUMMYFUNCTION("""COMPUTED_VALUE"""),0.9556238297329013)</f>
        <v>0.9556238297</v>
      </c>
      <c r="AO721" s="30">
        <f>IFERROR(__xludf.DUMMYFUNCTION("""COMPUTED_VALUE"""),0.6778985190581943)</f>
        <v>0.6778985191</v>
      </c>
      <c r="AP721" s="30">
        <f>IFERROR(__xludf.DUMMYFUNCTION("""COMPUTED_VALUE"""),1.5200195125779492)</f>
        <v>1.520019513</v>
      </c>
      <c r="AQ721" s="30">
        <f>IFERROR(__xludf.DUMMYFUNCTION("""COMPUTED_VALUE"""),0.9327536484993861)</f>
        <v>0.9327536485</v>
      </c>
      <c r="AR721" s="30">
        <f>IFERROR(__xludf.DUMMYFUNCTION("""COMPUTED_VALUE"""),1.2205882481364245)</f>
        <v>1.220588248</v>
      </c>
      <c r="AS721" s="30">
        <f>IFERROR(__xludf.DUMMYFUNCTION("""COMPUTED_VALUE"""),19.0)</f>
        <v>19</v>
      </c>
      <c r="AT721" s="30">
        <f>IFERROR(__xludf.DUMMYFUNCTION("""COMPUTED_VALUE"""),0.441684300805893)</f>
        <v>0.4416843008</v>
      </c>
      <c r="AU721" s="30">
        <f>IFERROR(__xludf.DUMMYFUNCTION("""COMPUTED_VALUE"""),1.887732471725792)</f>
        <v>1.887732472</v>
      </c>
      <c r="AV721" s="32">
        <f>IFERROR(__xludf.DUMMYFUNCTION("""COMPUTED_VALUE"""),47.67039959889461)</f>
        <v>47.6703996</v>
      </c>
      <c r="AW721" s="32">
        <f>IFERROR(__xludf.DUMMYFUNCTION("""COMPUTED_VALUE"""),-2.1603932730638187)</f>
        <v>-2.160393273</v>
      </c>
      <c r="AX721" s="32">
        <f>IFERROR(__xludf.DUMMYFUNCTION("""COMPUTED_VALUE"""),36.6227205372467)</f>
        <v>36.62272054</v>
      </c>
      <c r="AY721" s="32">
        <f>IFERROR(__xludf.DUMMYFUNCTION("""COMPUTED_VALUE"""),-3.375032936145992)</f>
        <v>-3.375032936</v>
      </c>
      <c r="AZ721" s="30">
        <f>IFERROR(__xludf.DUMMYFUNCTION("""COMPUTED_VALUE"""),1.2146396630821732)</f>
        <v>1.214639663</v>
      </c>
      <c r="BA721" s="30">
        <f>IFERROR(__xludf.DUMMYFUNCTION("""COMPUTED_VALUE"""),2700.0)</f>
        <v>2700</v>
      </c>
    </row>
    <row r="722">
      <c r="A722" s="71" t="str">
        <f>IFERROR(__xludf.DUMMYFUNCTION("""COMPUTED_VALUE"""),"Prospect")</f>
        <v>Prospect</v>
      </c>
      <c r="B722" s="71" t="str">
        <f>IFERROR(__xludf.DUMMYFUNCTION("""COMPUTED_VALUE"""),"RSC007092")</f>
        <v>RSC007092</v>
      </c>
      <c r="C722" s="30" t="str">
        <f>IFERROR(__xludf.DUMMYFUNCTION("""COMPUTED_VALUE"""),"Minjaaa")</f>
        <v>Minjaaa</v>
      </c>
      <c r="D722" s="30" t="str">
        <f>IFERROR(__xludf.DUMMYFUNCTION("""COMPUTED_VALUE"""),"Horizon Highball")</f>
        <v>Horizon Highball</v>
      </c>
      <c r="E722" s="30">
        <f>IFERROR(__xludf.DUMMYFUNCTION("""COMPUTED_VALUE"""),25.0)</f>
        <v>25</v>
      </c>
      <c r="F722" s="30">
        <f>IFERROR(__xludf.DUMMYFUNCTION("""COMPUTED_VALUE"""),17.0)</f>
        <v>17</v>
      </c>
      <c r="G722" s="42">
        <f>IFERROR(__xludf.DUMMYFUNCTION("""COMPUTED_VALUE"""),8.0)</f>
        <v>8</v>
      </c>
      <c r="H722" s="42">
        <f>IFERROR(__xludf.DUMMYFUNCTION("""COMPUTED_VALUE"""),0.68)</f>
        <v>0.68</v>
      </c>
      <c r="I722" s="42">
        <f>IFERROR(__xludf.DUMMYFUNCTION("""COMPUTED_VALUE"""),0.31884057971014496)</f>
        <v>0.3188405797</v>
      </c>
      <c r="J722" s="30">
        <f>IFERROR(__xludf.DUMMYFUNCTION("""COMPUTED_VALUE"""),325.44)</f>
        <v>325.44</v>
      </c>
      <c r="K722" s="30">
        <f>IFERROR(__xludf.DUMMYFUNCTION("""COMPUTED_VALUE"""),0.88)</f>
        <v>0.88</v>
      </c>
      <c r="L722" s="30">
        <f>IFERROR(__xludf.DUMMYFUNCTION("""COMPUTED_VALUE"""),0.68)</f>
        <v>0.68</v>
      </c>
      <c r="M722" s="30">
        <f>IFERROR(__xludf.DUMMYFUNCTION("""COMPUTED_VALUE"""),0.88)</f>
        <v>0.88</v>
      </c>
      <c r="N722" s="30">
        <f>IFERROR(__xludf.DUMMYFUNCTION("""COMPUTED_VALUE"""),2.76)</f>
        <v>2.76</v>
      </c>
      <c r="O722" s="30">
        <f>IFERROR(__xludf.DUMMYFUNCTION("""COMPUTED_VALUE"""),339.44)</f>
        <v>339.44</v>
      </c>
      <c r="P722" s="30">
        <f>IFERROR(__xludf.DUMMYFUNCTION("""COMPUTED_VALUE"""),0.6933333333333332)</f>
        <v>0.6933333333</v>
      </c>
      <c r="Q722" s="30">
        <f>IFERROR(__xludf.DUMMYFUNCTION("""COMPUTED_VALUE"""),0.5066666666666666)</f>
        <v>0.5066666667</v>
      </c>
      <c r="R722" s="30">
        <f>IFERROR(__xludf.DUMMYFUNCTION("""COMPUTED_VALUE"""),1.56)</f>
        <v>1.56</v>
      </c>
      <c r="S722" s="30">
        <f>IFERROR(__xludf.DUMMYFUNCTION("""COMPUTED_VALUE"""),1.853333333333333)</f>
        <v>1.853333333</v>
      </c>
      <c r="T722" s="30">
        <f>IFERROR(__xludf.DUMMYFUNCTION("""COMPUTED_VALUE"""),329.7768069120413)</f>
        <v>329.7768069</v>
      </c>
      <c r="U722" s="30">
        <f>IFERROR(__xludf.DUMMYFUNCTION("""COMPUTED_VALUE"""),0.7102797495987514)</f>
        <v>0.7102797496</v>
      </c>
      <c r="V722" s="30">
        <f>IFERROR(__xludf.DUMMYFUNCTION("""COMPUTED_VALUE"""),0.478311953334457)</f>
        <v>0.4783119533</v>
      </c>
      <c r="W722" s="30">
        <f>IFERROR(__xludf.DUMMYFUNCTION("""COMPUTED_VALUE"""),1.3189938296801282)</f>
        <v>1.31899383</v>
      </c>
      <c r="X722" s="30">
        <f>IFERROR(__xludf.DUMMYFUNCTION("""COMPUTED_VALUE"""),2.2056472854899214)</f>
        <v>2.205647285</v>
      </c>
      <c r="Y722" s="30">
        <f>IFERROR(__xludf.DUMMYFUNCTION("""COMPUTED_VALUE"""),333.0768851132735)</f>
        <v>333.0768851</v>
      </c>
      <c r="Z722" s="30">
        <f>IFERROR(__xludf.DUMMYFUNCTION("""COMPUTED_VALUE"""),0.8141166762549343)</f>
        <v>0.8141166763</v>
      </c>
      <c r="AA722" s="30">
        <f>IFERROR(__xludf.DUMMYFUNCTION("""COMPUTED_VALUE"""),0.5415129056915721)</f>
        <v>0.5415129057</v>
      </c>
      <c r="AB722" s="30">
        <f>IFERROR(__xludf.DUMMYFUNCTION("""COMPUTED_VALUE"""),1.095253165350686)</f>
        <v>1.095253165</v>
      </c>
      <c r="AC722" s="30">
        <f>IFERROR(__xludf.DUMMYFUNCTION("""COMPUTED_VALUE"""),2.587789777593025)</f>
        <v>2.587789778</v>
      </c>
      <c r="AD722" s="30">
        <f>IFERROR(__xludf.DUMMYFUNCTION("""COMPUTED_VALUE"""),0.9770717048987764)</f>
        <v>0.9770717049</v>
      </c>
      <c r="AE722" s="30">
        <f>IFERROR(__xludf.DUMMYFUNCTION("""COMPUTED_VALUE"""),1.0809261444540597)</f>
        <v>1.080926144</v>
      </c>
      <c r="AF722" s="30">
        <f>IFERROR(__xludf.DUMMYFUNCTION("""COMPUTED_VALUE"""),1.2557410781033271)</f>
        <v>1.255741078</v>
      </c>
      <c r="AG722" s="30">
        <f>IFERROR(__xludf.DUMMYFUNCTION("""COMPUTED_VALUE"""),0.8034672054275555)</f>
        <v>0.8034672054</v>
      </c>
      <c r="AH722" s="30">
        <f>IFERROR(__xludf.DUMMYFUNCTION("""COMPUTED_VALUE"""),1.0665472226137134)</f>
        <v>1.066547223</v>
      </c>
      <c r="AI722" s="30">
        <f>IFERROR(__xludf.DUMMYFUNCTION("""COMPUTED_VALUE"""),1.0293022216402747)</f>
        <v>1.029302222</v>
      </c>
      <c r="AJ722" s="30">
        <f>IFERROR(__xludf.DUMMYFUNCTION("""COMPUTED_VALUE"""),0.9761412087631789)</f>
        <v>0.9761412088</v>
      </c>
      <c r="AK722" s="30">
        <f>IFERROR(__xludf.DUMMYFUNCTION("""COMPUTED_VALUE"""),1.0592807960046584)</f>
        <v>1.059280796</v>
      </c>
      <c r="AL722" s="30">
        <f>IFERROR(__xludf.DUMMYFUNCTION("""COMPUTED_VALUE"""),1.1827197102038898)</f>
        <v>1.18271971</v>
      </c>
      <c r="AM722" s="30">
        <f>IFERROR(__xludf.DUMMYFUNCTION("""COMPUTED_VALUE"""),0.840267319949875)</f>
        <v>0.8402673199</v>
      </c>
      <c r="AN722" s="30">
        <f>IFERROR(__xludf.DUMMYFUNCTION("""COMPUTED_VALUE"""),1.0052467689641225)</f>
        <v>1.005246769</v>
      </c>
      <c r="AO722" s="30">
        <f>IFERROR(__xludf.DUMMYFUNCTION("""COMPUTED_VALUE"""),1.193101393542422)</f>
        <v>1.193101394</v>
      </c>
      <c r="AP722" s="30">
        <f>IFERROR(__xludf.DUMMYFUNCTION("""COMPUTED_VALUE"""),1.3781510247373407)</f>
        <v>1.378151025</v>
      </c>
      <c r="AQ722" s="30">
        <f>IFERROR(__xludf.DUMMYFUNCTION("""COMPUTED_VALUE"""),0.7296206317150754)</f>
        <v>0.7296206317</v>
      </c>
      <c r="AR722" s="30">
        <f>IFERROR(__xludf.DUMMYFUNCTION("""COMPUTED_VALUE"""),1.1717647182109676)</f>
        <v>1.171764718</v>
      </c>
      <c r="AS722" s="30">
        <f>IFERROR(__xludf.DUMMYFUNCTION("""COMPUTED_VALUE"""),64.0)</f>
        <v>64</v>
      </c>
      <c r="AT722" s="30">
        <f>IFERROR(__xludf.DUMMYFUNCTION("""COMPUTED_VALUE"""),0.5799461787824696)</f>
        <v>0.5799461788</v>
      </c>
      <c r="AU722" s="30">
        <f>IFERROR(__xludf.DUMMYFUNCTION("""COMPUTED_VALUE"""),2.5380975480342327)</f>
        <v>2.538097548</v>
      </c>
      <c r="AV722" s="32">
        <f>IFERROR(__xludf.DUMMYFUNCTION("""COMPUTED_VALUE"""),68.35994008143939)</f>
        <v>68.35994008</v>
      </c>
      <c r="AW722" s="32">
        <f>IFERROR(__xludf.DUMMYFUNCTION("""COMPUTED_VALUE"""),4.322394927691266)</f>
        <v>4.322394928</v>
      </c>
      <c r="AX722" s="32">
        <f>IFERROR(__xludf.DUMMYFUNCTION("""COMPUTED_VALUE"""),61.67317514767557)</f>
        <v>61.67317515</v>
      </c>
      <c r="AY722" s="32">
        <f>IFERROR(__xludf.DUMMYFUNCTION("""COMPUTED_VALUE"""),3.1223065081979913)</f>
        <v>3.122306508</v>
      </c>
      <c r="AZ722" s="30">
        <f>IFERROR(__xludf.DUMMYFUNCTION("""COMPUTED_VALUE"""),1.2000884194932748)</f>
        <v>1.200088419</v>
      </c>
      <c r="BA722" s="30">
        <f>IFERROR(__xludf.DUMMYFUNCTION("""COMPUTED_VALUE"""),2700.0)</f>
        <v>2700</v>
      </c>
    </row>
    <row r="723">
      <c r="A723" s="71" t="str">
        <f>IFERROR(__xludf.DUMMYFUNCTION("""COMPUTED_VALUE"""),"Prospect")</f>
        <v>Prospect</v>
      </c>
      <c r="B723" s="71" t="str">
        <f>IFERROR(__xludf.DUMMYFUNCTION("""COMPUTED_VALUE"""),"RSC007442")</f>
        <v>RSC007442</v>
      </c>
      <c r="C723" s="30" t="str">
        <f>IFERROR(__xludf.DUMMYFUNCTION("""COMPUTED_VALUE"""),"willbong")</f>
        <v>willbong</v>
      </c>
      <c r="D723" s="30" t="str">
        <f>IFERROR(__xludf.DUMMYFUNCTION("""COMPUTED_VALUE"""),"Mop Tops")</f>
        <v>Mop Tops</v>
      </c>
      <c r="E723" s="30">
        <f>IFERROR(__xludf.DUMMYFUNCTION("""COMPUTED_VALUE"""),32.0)</f>
        <v>32</v>
      </c>
      <c r="F723" s="30">
        <f>IFERROR(__xludf.DUMMYFUNCTION("""COMPUTED_VALUE"""),17.0)</f>
        <v>17</v>
      </c>
      <c r="G723" s="42">
        <f>IFERROR(__xludf.DUMMYFUNCTION("""COMPUTED_VALUE"""),15.0)</f>
        <v>15</v>
      </c>
      <c r="H723" s="42">
        <f>IFERROR(__xludf.DUMMYFUNCTION("""COMPUTED_VALUE"""),0.53125)</f>
        <v>0.53125</v>
      </c>
      <c r="I723" s="42">
        <f>IFERROR(__xludf.DUMMYFUNCTION("""COMPUTED_VALUE"""),0.32098765432098764)</f>
        <v>0.3209876543</v>
      </c>
      <c r="J723" s="30">
        <f>IFERROR(__xludf.DUMMYFUNCTION("""COMPUTED_VALUE"""),346.15625)</f>
        <v>346.15625</v>
      </c>
      <c r="K723" s="30">
        <f>IFERROR(__xludf.DUMMYFUNCTION("""COMPUTED_VALUE"""),0.8125)</f>
        <v>0.8125</v>
      </c>
      <c r="L723" s="30">
        <f>IFERROR(__xludf.DUMMYFUNCTION("""COMPUTED_VALUE"""),0.71875)</f>
        <v>0.71875</v>
      </c>
      <c r="M723" s="30">
        <f>IFERROR(__xludf.DUMMYFUNCTION("""COMPUTED_VALUE"""),1.21875)</f>
        <v>1.21875</v>
      </c>
      <c r="N723" s="30">
        <f>IFERROR(__xludf.DUMMYFUNCTION("""COMPUTED_VALUE"""),2.53125)</f>
        <v>2.53125</v>
      </c>
      <c r="O723" s="30">
        <f>IFERROR(__xludf.DUMMYFUNCTION("""COMPUTED_VALUE"""),337.28125000000006)</f>
        <v>337.28125</v>
      </c>
      <c r="P723" s="30">
        <f>IFERROR(__xludf.DUMMYFUNCTION("""COMPUTED_VALUE"""),0.7291666666666667)</f>
        <v>0.7291666667</v>
      </c>
      <c r="Q723" s="30">
        <f>IFERROR(__xludf.DUMMYFUNCTION("""COMPUTED_VALUE"""),0.5208333333333333)</f>
        <v>0.5208333333</v>
      </c>
      <c r="R723" s="30">
        <f>IFERROR(__xludf.DUMMYFUNCTION("""COMPUTED_VALUE"""),1.2812500000000002)</f>
        <v>1.28125</v>
      </c>
      <c r="S723" s="30">
        <f>IFERROR(__xludf.DUMMYFUNCTION("""COMPUTED_VALUE"""),2.333333333333334)</f>
        <v>2.333333333</v>
      </c>
      <c r="T723" s="30">
        <f>IFERROR(__xludf.DUMMYFUNCTION("""COMPUTED_VALUE"""),336.29431649205907)</f>
        <v>336.2943165</v>
      </c>
      <c r="U723" s="30">
        <f>IFERROR(__xludf.DUMMYFUNCTION("""COMPUTED_VALUE"""),0.8094857816837971)</f>
        <v>0.8094857817</v>
      </c>
      <c r="V723" s="30">
        <f>IFERROR(__xludf.DUMMYFUNCTION("""COMPUTED_VALUE"""),0.5305843186898594)</f>
        <v>0.5305843187</v>
      </c>
      <c r="W723" s="30">
        <f>IFERROR(__xludf.DUMMYFUNCTION("""COMPUTED_VALUE"""),1.1869748649911531)</f>
        <v>1.186974865</v>
      </c>
      <c r="X723" s="30">
        <f>IFERROR(__xludf.DUMMYFUNCTION("""COMPUTED_VALUE"""),2.5213005899320655)</f>
        <v>2.52130059</v>
      </c>
      <c r="Y723" s="30">
        <f>IFERROR(__xludf.DUMMYFUNCTION("""COMPUTED_VALUE"""),334.46189975409027)</f>
        <v>334.4618998</v>
      </c>
      <c r="Z723" s="30">
        <f>IFERROR(__xludf.DUMMYFUNCTION("""COMPUTED_VALUE"""),0.7766438234920606)</f>
        <v>0.7766438235</v>
      </c>
      <c r="AA723" s="30">
        <f>IFERROR(__xludf.DUMMYFUNCTION("""COMPUTED_VALUE"""),0.5221053246022742)</f>
        <v>0.5221053246</v>
      </c>
      <c r="AB723" s="30">
        <f>IFERROR(__xludf.DUMMYFUNCTION("""COMPUTED_VALUE"""),1.2394980403237217)</f>
        <v>1.23949804</v>
      </c>
      <c r="AC723" s="30">
        <f>IFERROR(__xludf.DUMMYFUNCTION("""COMPUTED_VALUE"""),2.424481436083534)</f>
        <v>2.424481436</v>
      </c>
      <c r="AD723" s="30">
        <f>IFERROR(__xludf.DUMMYFUNCTION("""COMPUTED_VALUE"""),1.0349646708773343)</f>
        <v>1.034964671</v>
      </c>
      <c r="AE723" s="30">
        <f>IFERROR(__xludf.DUMMYFUNCTION("""COMPUTED_VALUE"""),1.0461681087563635)</f>
        <v>1.046168109</v>
      </c>
      <c r="AF723" s="30">
        <f>IFERROR(__xludf.DUMMYFUNCTION("""COMPUTED_VALUE"""),1.3766379428279618)</f>
        <v>1.376637943</v>
      </c>
      <c r="AG723" s="30">
        <f>IFERROR(__xludf.DUMMYFUNCTION("""COMPUTED_VALUE"""),0.9832609333385449)</f>
        <v>0.9832609333</v>
      </c>
      <c r="AH723" s="30">
        <f>IFERROR(__xludf.DUMMYFUNCTION("""COMPUTED_VALUE"""),1.044037690834597)</f>
        <v>1.044037691</v>
      </c>
      <c r="AI723" s="30">
        <f>IFERROR(__xludf.DUMMYFUNCTION("""COMPUTED_VALUE"""),1.0029347314526034)</f>
        <v>1.002934731</v>
      </c>
      <c r="AJ723" s="30">
        <f>IFERROR(__xludf.DUMMYFUNCTION("""COMPUTED_VALUE"""),0.9007776086566215)</f>
        <v>0.9007776087</v>
      </c>
      <c r="AK723" s="30">
        <f>IFERROR(__xludf.DUMMYFUNCTION("""COMPUTED_VALUE"""),0.9816221757540748)</f>
        <v>0.9816221758</v>
      </c>
      <c r="AL723" s="30">
        <f>IFERROR(__xludf.DUMMYFUNCTION("""COMPUTED_VALUE"""),1.07942471048833)</f>
        <v>1.07942471</v>
      </c>
      <c r="AM723" s="30">
        <f>IFERROR(__xludf.DUMMYFUNCTION("""COMPUTED_VALUE"""),0.9254482954752348)</f>
        <v>0.9254482955</v>
      </c>
      <c r="AN723" s="30">
        <f>IFERROR(__xludf.DUMMYFUNCTION("""COMPUTED_VALUE"""),1.0692368850455907)</f>
        <v>1.069236885</v>
      </c>
      <c r="AO723" s="30">
        <f>IFERROR(__xludf.DUMMYFUNCTION("""COMPUTED_VALUE"""),1.1015850934695657)</f>
        <v>1.101585093</v>
      </c>
      <c r="AP723" s="30">
        <f>IFERROR(__xludf.DUMMYFUNCTION("""COMPUTED_VALUE"""),1.4566853662205346)</f>
        <v>1.456685366</v>
      </c>
      <c r="AQ723" s="30">
        <f>IFERROR(__xludf.DUMMYFUNCTION("""COMPUTED_VALUE"""),1.0104831192076684)</f>
        <v>1.010483119</v>
      </c>
      <c r="AR723" s="30">
        <f>IFERROR(__xludf.DUMMYFUNCTION("""COMPUTED_VALUE"""),1.0746483489027217)</f>
        <v>1.074648349</v>
      </c>
      <c r="AS723" s="30">
        <f>IFERROR(__xludf.DUMMYFUNCTION("""COMPUTED_VALUE"""),76.0)</f>
        <v>76</v>
      </c>
      <c r="AT723" s="30">
        <f>IFERROR(__xludf.DUMMYFUNCTION("""COMPUTED_VALUE"""),0.5317409467675499)</f>
        <v>0.5317409468</v>
      </c>
      <c r="AU723" s="30">
        <f>IFERROR(__xludf.DUMMYFUNCTION("""COMPUTED_VALUE"""),2.5517757430779593)</f>
        <v>2.551775743</v>
      </c>
      <c r="AV723" s="32">
        <f>IFERROR(__xludf.DUMMYFUNCTION("""COMPUTED_VALUE"""),68.7950734863443)</f>
        <v>68.79507349</v>
      </c>
      <c r="AW723" s="32">
        <f>IFERROR(__xludf.DUMMYFUNCTION("""COMPUTED_VALUE"""),4.423119366655075)</f>
        <v>4.423119367</v>
      </c>
      <c r="AX723" s="32">
        <f>IFERROR(__xludf.DUMMYFUNCTION("""COMPUTED_VALUE"""),62.67537248297617)</f>
        <v>62.67537248</v>
      </c>
      <c r="AY723" s="32">
        <f>IFERROR(__xludf.DUMMYFUNCTION("""COMPUTED_VALUE"""),3.2672031568668385)</f>
        <v>3.267203157</v>
      </c>
      <c r="AZ723" s="30">
        <f>IFERROR(__xludf.DUMMYFUNCTION("""COMPUTED_VALUE"""),1.1559162097882365)</f>
        <v>1.15591621</v>
      </c>
      <c r="BA723" s="30">
        <f>IFERROR(__xludf.DUMMYFUNCTION("""COMPUTED_VALUE"""),2700.0)</f>
        <v>2700</v>
      </c>
    </row>
    <row r="724">
      <c r="A724" s="71" t="str">
        <f>IFERROR(__xludf.DUMMYFUNCTION("""COMPUTED_VALUE"""),"Prospect")</f>
        <v>Prospect</v>
      </c>
      <c r="B724" s="71" t="str">
        <f>IFERROR(__xludf.DUMMYFUNCTION("""COMPUTED_VALUE"""),"RSC007897")</f>
        <v>RSC007897</v>
      </c>
      <c r="C724" s="30" t="str">
        <f>IFERROR(__xludf.DUMMYFUNCTION("""COMPUTED_VALUE"""),"Synnicall")</f>
        <v>Synnicall</v>
      </c>
      <c r="D724" s="30" t="str">
        <f>IFERROR(__xludf.DUMMYFUNCTION("""COMPUTED_VALUE"""),"Poppy")</f>
        <v>Poppy</v>
      </c>
      <c r="E724" s="30">
        <f>IFERROR(__xludf.DUMMYFUNCTION("""COMPUTED_VALUE"""),36.0)</f>
        <v>36</v>
      </c>
      <c r="F724" s="30">
        <f>IFERROR(__xludf.DUMMYFUNCTION("""COMPUTED_VALUE"""),17.0)</f>
        <v>17</v>
      </c>
      <c r="G724" s="42">
        <f>IFERROR(__xludf.DUMMYFUNCTION("""COMPUTED_VALUE"""),19.0)</f>
        <v>19</v>
      </c>
      <c r="H724" s="42">
        <f>IFERROR(__xludf.DUMMYFUNCTION("""COMPUTED_VALUE"""),0.4722222222222222)</f>
        <v>0.4722222222</v>
      </c>
      <c r="I724" s="42">
        <f>IFERROR(__xludf.DUMMYFUNCTION("""COMPUTED_VALUE"""),0.27722772277227725)</f>
        <v>0.2772277228</v>
      </c>
      <c r="J724" s="30">
        <f>IFERROR(__xludf.DUMMYFUNCTION("""COMPUTED_VALUE"""),364.19444444444446)</f>
        <v>364.1944444</v>
      </c>
      <c r="K724" s="30">
        <f>IFERROR(__xludf.DUMMYFUNCTION("""COMPUTED_VALUE"""),0.7777777777777778)</f>
        <v>0.7777777778</v>
      </c>
      <c r="L724" s="30">
        <f>IFERROR(__xludf.DUMMYFUNCTION("""COMPUTED_VALUE"""),0.6111111111111112)</f>
        <v>0.6111111111</v>
      </c>
      <c r="M724" s="30">
        <f>IFERROR(__xludf.DUMMYFUNCTION("""COMPUTED_VALUE"""),1.4444444444444444)</f>
        <v>1.444444444</v>
      </c>
      <c r="N724" s="30">
        <f>IFERROR(__xludf.DUMMYFUNCTION("""COMPUTED_VALUE"""),2.8055555555555554)</f>
        <v>2.805555556</v>
      </c>
      <c r="O724" s="30">
        <f>IFERROR(__xludf.DUMMYFUNCTION("""COMPUTED_VALUE"""),349.75925925925935)</f>
        <v>349.7592593</v>
      </c>
      <c r="P724" s="30">
        <f>IFERROR(__xludf.DUMMYFUNCTION("""COMPUTED_VALUE"""),0.7962962962962964)</f>
        <v>0.7962962963</v>
      </c>
      <c r="Q724" s="30">
        <f>IFERROR(__xludf.DUMMYFUNCTION("""COMPUTED_VALUE"""),0.574074074074074)</f>
        <v>0.5740740741</v>
      </c>
      <c r="R724" s="30">
        <f>IFERROR(__xludf.DUMMYFUNCTION("""COMPUTED_VALUE"""),1.2777777777777777)</f>
        <v>1.277777778</v>
      </c>
      <c r="S724" s="30">
        <f>IFERROR(__xludf.DUMMYFUNCTION("""COMPUTED_VALUE"""),2.6388888888888884)</f>
        <v>2.638888889</v>
      </c>
      <c r="T724" s="30">
        <f>IFERROR(__xludf.DUMMYFUNCTION("""COMPUTED_VALUE"""),339.9045746316253)</f>
        <v>339.9045746</v>
      </c>
      <c r="U724" s="30">
        <f>IFERROR(__xludf.DUMMYFUNCTION("""COMPUTED_VALUE"""),0.7963571354843277)</f>
        <v>0.7963571355</v>
      </c>
      <c r="V724" s="30">
        <f>IFERROR(__xludf.DUMMYFUNCTION("""COMPUTED_VALUE"""),0.5182910170555362)</f>
        <v>0.5182910171</v>
      </c>
      <c r="W724" s="30">
        <f>IFERROR(__xludf.DUMMYFUNCTION("""COMPUTED_VALUE"""),1.257468807872543)</f>
        <v>1.257468808</v>
      </c>
      <c r="X724" s="30">
        <f>IFERROR(__xludf.DUMMYFUNCTION("""COMPUTED_VALUE"""),2.514339217281509)</f>
        <v>2.514339217</v>
      </c>
      <c r="Y724" s="30">
        <f>IFERROR(__xludf.DUMMYFUNCTION("""COMPUTED_VALUE"""),336.2499941493818)</f>
        <v>336.2499941</v>
      </c>
      <c r="Z724" s="30">
        <f>IFERROR(__xludf.DUMMYFUNCTION("""COMPUTED_VALUE"""),0.8032139823889761)</f>
        <v>0.8032139824</v>
      </c>
      <c r="AA724" s="30">
        <f>IFERROR(__xludf.DUMMYFUNCTION("""COMPUTED_VALUE"""),0.5233145207174889)</f>
        <v>0.5233145207</v>
      </c>
      <c r="AB724" s="30">
        <f>IFERROR(__xludf.DUMMYFUNCTION("""COMPUTED_VALUE"""),1.2063058147179375)</f>
        <v>1.206305815</v>
      </c>
      <c r="AC724" s="30">
        <f>IFERROR(__xludf.DUMMYFUNCTION("""COMPUTED_VALUE"""),2.498067402736354)</f>
        <v>2.498067403</v>
      </c>
      <c r="AD724" s="30">
        <f>IFERROR(__xludf.DUMMYFUNCTION("""COMPUTED_VALUE"""),1.083106173327242)</f>
        <v>1.083106173</v>
      </c>
      <c r="AE724" s="30">
        <f>IFERROR(__xludf.DUMMYFUNCTION("""COMPUTED_VALUE"""),0.9683319698499967)</f>
        <v>0.9683319698</v>
      </c>
      <c r="AF724" s="30">
        <f>IFERROR(__xludf.DUMMYFUNCTION("""COMPUTED_VALUE"""),1.1677702164144979)</f>
        <v>1.167770216</v>
      </c>
      <c r="AG724" s="30">
        <f>IFERROR(__xludf.DUMMYFUNCTION("""COMPUTED_VALUE"""),1.1974114911998408)</f>
        <v>1.197411491</v>
      </c>
      <c r="AH724" s="30">
        <f>IFERROR(__xludf.DUMMYFUNCTION("""COMPUTED_VALUE"""),1.1230904148072156)</f>
        <v>1.123090415</v>
      </c>
      <c r="AI724" s="30">
        <f>IFERROR(__xludf.DUMMYFUNCTION("""COMPUTED_VALUE"""),1.0289925036705203)</f>
        <v>1.028992504</v>
      </c>
      <c r="AJ724" s="30">
        <f>IFERROR(__xludf.DUMMYFUNCTION("""COMPUTED_VALUE"""),0.9999236031356782)</f>
        <v>0.9999236031</v>
      </c>
      <c r="AK724" s="30">
        <f>IFERROR(__xludf.DUMMYFUNCTION("""COMPUTED_VALUE"""),1.1076288324182175)</f>
        <v>1.107628832</v>
      </c>
      <c r="AL724" s="30">
        <f>IFERROR(__xludf.DUMMYFUNCTION("""COMPUTED_VALUE"""),1.016150674893952)</f>
        <v>1.016150675</v>
      </c>
      <c r="AM724" s="30">
        <f>IFERROR(__xludf.DUMMYFUNCTION("""COMPUTED_VALUE"""),1.0495357471065667)</f>
        <v>1.049535747</v>
      </c>
      <c r="AN724" s="30">
        <f>IFERROR(__xludf.DUMMYFUNCTION("""COMPUTED_VALUE"""),1.1249547952079073)</f>
        <v>1.124954795</v>
      </c>
      <c r="AO724" s="30">
        <f>IFERROR(__xludf.DUMMYFUNCTION("""COMPUTED_VALUE"""),1.0545088074238578)</f>
        <v>1.054508807</v>
      </c>
      <c r="AP724" s="30">
        <f>IFERROR(__xludf.DUMMYFUNCTION("""COMPUTED_VALUE"""),1.2385344176561068)</f>
        <v>1.238534418</v>
      </c>
      <c r="AQ724" s="30">
        <f>IFERROR(__xludf.DUMMYFUNCTION("""COMPUTED_VALUE"""),1.197609622764644)</f>
        <v>1.197609623</v>
      </c>
      <c r="AR724" s="30">
        <f>IFERROR(__xludf.DUMMYFUNCTION("""COMPUTED_VALUE"""),1.191105440210424)</f>
        <v>1.19110544</v>
      </c>
      <c r="AS724" s="30">
        <f>IFERROR(__xludf.DUMMYFUNCTION("""COMPUTED_VALUE"""),89.0)</f>
        <v>89</v>
      </c>
      <c r="AT724" s="30">
        <f>IFERROR(__xludf.DUMMYFUNCTION("""COMPUTED_VALUE"""),0.513492220058788)</f>
        <v>0.5134922201</v>
      </c>
      <c r="AU724" s="30">
        <f>IFERROR(__xludf.DUMMYFUNCTION("""COMPUTED_VALUE"""),2.357190572785891)</f>
        <v>2.357190573</v>
      </c>
      <c r="AV724" s="32">
        <f>IFERROR(__xludf.DUMMYFUNCTION("""COMPUTED_VALUE"""),62.60489214863772)</f>
        <v>62.60489215</v>
      </c>
      <c r="AW724" s="32">
        <f>IFERROR(__xludf.DUMMYFUNCTION("""COMPUTED_VALUE"""),3.2566719715413512)</f>
        <v>3.256671972</v>
      </c>
      <c r="AX724" s="32">
        <f>IFERROR(__xludf.DUMMYFUNCTION("""COMPUTED_VALUE"""),52.41844962268383)</f>
        <v>52.41844962</v>
      </c>
      <c r="AY724" s="32">
        <f>IFERROR(__xludf.DUMMYFUNCTION("""COMPUTED_VALUE"""),2.1670010786471416)</f>
        <v>2.167001079</v>
      </c>
      <c r="AZ724" s="30">
        <f>IFERROR(__xludf.DUMMYFUNCTION("""COMPUTED_VALUE"""),1.0896708928942096)</f>
        <v>1.089670893</v>
      </c>
      <c r="BA724" s="30">
        <f>IFERROR(__xludf.DUMMYFUNCTION("""COMPUTED_VALUE"""),2700.0)</f>
        <v>2700</v>
      </c>
    </row>
    <row r="725">
      <c r="A725" s="71" t="str">
        <f>IFERROR(__xludf.DUMMYFUNCTION("""COMPUTED_VALUE"""),"Prospect")</f>
        <v>Prospect</v>
      </c>
      <c r="B725" s="71" t="str">
        <f>IFERROR(__xludf.DUMMYFUNCTION("""COMPUTED_VALUE"""),"RSC007851")</f>
        <v>RSC007851</v>
      </c>
      <c r="C725" s="30" t="str">
        <f>IFERROR(__xludf.DUMMYFUNCTION("""COMPUTED_VALUE"""),"Carridripdrip")</f>
        <v>Carridripdrip</v>
      </c>
      <c r="D725" s="30" t="str">
        <f>IFERROR(__xludf.DUMMYFUNCTION("""COMPUTED_VALUE"""),"Undead")</f>
        <v>Undead</v>
      </c>
      <c r="E725" s="30">
        <f>IFERROR(__xludf.DUMMYFUNCTION("""COMPUTED_VALUE"""),29.0)</f>
        <v>29</v>
      </c>
      <c r="F725" s="30">
        <f>IFERROR(__xludf.DUMMYFUNCTION("""COMPUTED_VALUE"""),12.0)</f>
        <v>12</v>
      </c>
      <c r="G725" s="42">
        <f>IFERROR(__xludf.DUMMYFUNCTION("""COMPUTED_VALUE"""),17.0)</f>
        <v>17</v>
      </c>
      <c r="H725" s="42">
        <f>IFERROR(__xludf.DUMMYFUNCTION("""COMPUTED_VALUE"""),0.41379310344827586)</f>
        <v>0.4137931034</v>
      </c>
      <c r="I725" s="42">
        <f>IFERROR(__xludf.DUMMYFUNCTION("""COMPUTED_VALUE"""),0.2982456140350877)</f>
        <v>0.298245614</v>
      </c>
      <c r="J725" s="30">
        <f>IFERROR(__xludf.DUMMYFUNCTION("""COMPUTED_VALUE"""),328.3448275862069)</f>
        <v>328.3448276</v>
      </c>
      <c r="K725" s="30">
        <f>IFERROR(__xludf.DUMMYFUNCTION("""COMPUTED_VALUE"""),0.5862068965517241)</f>
        <v>0.5862068966</v>
      </c>
      <c r="L725" s="30">
        <f>IFERROR(__xludf.DUMMYFUNCTION("""COMPUTED_VALUE"""),0.4482758620689655)</f>
        <v>0.4482758621</v>
      </c>
      <c r="M725" s="30">
        <f>IFERROR(__xludf.DUMMYFUNCTION("""COMPUTED_VALUE"""),1.3103448275862069)</f>
        <v>1.310344828</v>
      </c>
      <c r="N725" s="30">
        <f>IFERROR(__xludf.DUMMYFUNCTION("""COMPUTED_VALUE"""),1.9655172413793103)</f>
        <v>1.965517241</v>
      </c>
      <c r="O725" s="30">
        <f>IFERROR(__xludf.DUMMYFUNCTION("""COMPUTED_VALUE"""),348.5977011494253)</f>
        <v>348.5977011</v>
      </c>
      <c r="P725" s="30">
        <f>IFERROR(__xludf.DUMMYFUNCTION("""COMPUTED_VALUE"""),0.9080459770114939)</f>
        <v>0.908045977</v>
      </c>
      <c r="Q725" s="30">
        <f>IFERROR(__xludf.DUMMYFUNCTION("""COMPUTED_VALUE"""),0.5977011494252874)</f>
        <v>0.5977011494</v>
      </c>
      <c r="R725" s="30">
        <f>IFERROR(__xludf.DUMMYFUNCTION("""COMPUTED_VALUE"""),1.0689655172413792)</f>
        <v>1.068965517</v>
      </c>
      <c r="S725" s="30">
        <f>IFERROR(__xludf.DUMMYFUNCTION("""COMPUTED_VALUE"""),2.6436781609195408)</f>
        <v>2.643678161</v>
      </c>
      <c r="T725" s="30">
        <f>IFERROR(__xludf.DUMMYFUNCTION("""COMPUTED_VALUE"""),339.73510787418627)</f>
        <v>339.7351079</v>
      </c>
      <c r="U725" s="30">
        <f>IFERROR(__xludf.DUMMYFUNCTION("""COMPUTED_VALUE"""),0.8430447400617652)</f>
        <v>0.8430447401</v>
      </c>
      <c r="V725" s="30">
        <f>IFERROR(__xludf.DUMMYFUNCTION("""COMPUTED_VALUE"""),0.5175634174860584)</f>
        <v>0.5175634175</v>
      </c>
      <c r="W725" s="30">
        <f>IFERROR(__xludf.DUMMYFUNCTION("""COMPUTED_VALUE"""),1.18147326118686)</f>
        <v>1.181473261</v>
      </c>
      <c r="X725" s="30">
        <f>IFERROR(__xludf.DUMMYFUNCTION("""COMPUTED_VALUE"""),2.6205652520237486)</f>
        <v>2.620565252</v>
      </c>
      <c r="Y725" s="30">
        <f>IFERROR(__xludf.DUMMYFUNCTION("""COMPUTED_VALUE"""),329.9198403203053)</f>
        <v>329.9198403</v>
      </c>
      <c r="Z725" s="30">
        <f>IFERROR(__xludf.DUMMYFUNCTION("""COMPUTED_VALUE"""),0.7293102920566038)</f>
        <v>0.7293102921</v>
      </c>
      <c r="AA725" s="30">
        <f>IFERROR(__xludf.DUMMYFUNCTION("""COMPUTED_VALUE"""),0.5012393021889722)</f>
        <v>0.5012393022</v>
      </c>
      <c r="AB725" s="30">
        <f>IFERROR(__xludf.DUMMYFUNCTION("""COMPUTED_VALUE"""),1.277039199301041)</f>
        <v>1.277039199</v>
      </c>
      <c r="AC725" s="30">
        <f>IFERROR(__xludf.DUMMYFUNCTION("""COMPUTED_VALUE"""),2.3138968741065056)</f>
        <v>2.313896874</v>
      </c>
      <c r="AD725" s="30">
        <f>IFERROR(__xludf.DUMMYFUNCTION("""COMPUTED_VALUE"""),0.9952260745138296)</f>
        <v>0.9952260745</v>
      </c>
      <c r="AE725" s="30">
        <f>IFERROR(__xludf.DUMMYFUNCTION("""COMPUTED_VALUE"""),0.8037825640697621)</f>
        <v>0.8037825641</v>
      </c>
      <c r="AF725" s="30">
        <f>IFERROR(__xludf.DUMMYFUNCTION("""COMPUTED_VALUE"""),0.8943350214384448)</f>
        <v>0.8943350214</v>
      </c>
      <c r="AG725" s="30">
        <f>IFERROR(__xludf.DUMMYFUNCTION("""COMPUTED_VALUE"""),1.0260803492198163)</f>
        <v>1.026080349</v>
      </c>
      <c r="AH725" s="30">
        <f>IFERROR(__xludf.DUMMYFUNCTION("""COMPUTED_VALUE"""),0.8494402941523833)</f>
        <v>0.8494402942</v>
      </c>
      <c r="AI725" s="30">
        <f>IFERROR(__xludf.DUMMYFUNCTION("""COMPUTED_VALUE"""),1.0260867748720308)</f>
        <v>1.026086775</v>
      </c>
      <c r="AJ725" s="30">
        <f>IFERROR(__xludf.DUMMYFUNCTION("""COMPUTED_VALUE"""),1.0771029506037442)</f>
        <v>1.077102951</v>
      </c>
      <c r="AK725" s="30">
        <f>IFERROR(__xludf.DUMMYFUNCTION("""COMPUTED_VALUE"""),1.154836546076767)</f>
        <v>1.154836546</v>
      </c>
      <c r="AL725" s="30">
        <f>IFERROR(__xludf.DUMMYFUNCTION("""COMPUTED_VALUE"""),0.9047733472762134)</f>
        <v>0.9047733473</v>
      </c>
      <c r="AM725" s="30">
        <f>IFERROR(__xludf.DUMMYFUNCTION("""COMPUTED_VALUE"""),1.0088198181205155)</f>
        <v>1.008819818</v>
      </c>
      <c r="AN725" s="30">
        <f>IFERROR(__xludf.DUMMYFUNCTION("""COMPUTED_VALUE"""),1.0142194476312572)</f>
        <v>1.014219448</v>
      </c>
      <c r="AO725" s="30">
        <f>IFERROR(__xludf.DUMMYFUNCTION("""COMPUTED_VALUE"""),0.7947775740682278)</f>
        <v>0.7947775741</v>
      </c>
      <c r="AP725" s="30">
        <f>IFERROR(__xludf.DUMMYFUNCTION("""COMPUTED_VALUE"""),0.9085174098167053)</f>
        <v>0.9085174098</v>
      </c>
      <c r="AQ725" s="30">
        <f>IFERROR(__xludf.DUMMYFUNCTION("""COMPUTED_VALUE"""),1.086425705531852)</f>
        <v>1.086425706</v>
      </c>
      <c r="AR725" s="30">
        <f>IFERROR(__xludf.DUMMYFUNCTION("""COMPUTED_VALUE"""),0.834465129160734)</f>
        <v>0.8344651292</v>
      </c>
      <c r="AS725" s="30">
        <f>IFERROR(__xludf.DUMMYFUNCTION("""COMPUTED_VALUE"""),58.0)</f>
        <v>58</v>
      </c>
      <c r="AT725" s="30">
        <f>IFERROR(__xludf.DUMMYFUNCTION("""COMPUTED_VALUE"""),0.3816623423381927)</f>
        <v>0.3816623423</v>
      </c>
      <c r="AU725" s="30">
        <f>IFERROR(__xludf.DUMMYFUNCTION("""COMPUTED_VALUE"""),1.555924850080062)</f>
        <v>1.55592485</v>
      </c>
      <c r="AV725" s="32">
        <f>IFERROR(__xludf.DUMMYFUNCTION("""COMPUTED_VALUE"""),37.11487091118802)</f>
        <v>37.11487091</v>
      </c>
      <c r="AW725" s="32">
        <f>IFERROR(__xludf.DUMMYFUNCTION("""COMPUTED_VALUE"""),-3.2988606519798203)</f>
        <v>-3.298860652</v>
      </c>
      <c r="AX725" s="32">
        <f>IFERROR(__xludf.DUMMYFUNCTION("""COMPUTED_VALUE"""),46.95802931097698)</f>
        <v>46.95802931</v>
      </c>
      <c r="AY725" s="32">
        <f>IFERROR(__xludf.DUMMYFUNCTION("""COMPUTED_VALUE"""),-2.214463279815631)</f>
        <v>-2.21446328</v>
      </c>
      <c r="AZ725" s="30">
        <f>IFERROR(__xludf.DUMMYFUNCTION("""COMPUTED_VALUE"""),1.0843973721641893)</f>
        <v>1.084397372</v>
      </c>
      <c r="BA725" s="30">
        <f>IFERROR(__xludf.DUMMYFUNCTION("""COMPUTED_VALUE"""),2700.0)</f>
        <v>2700</v>
      </c>
    </row>
    <row r="726">
      <c r="A726" s="71" t="str">
        <f>IFERROR(__xludf.DUMMYFUNCTION("""COMPUTED_VALUE"""),"Prospect")</f>
        <v>Prospect</v>
      </c>
      <c r="B726" s="71" t="str">
        <f>IFERROR(__xludf.DUMMYFUNCTION("""COMPUTED_VALUE"""),"RSC005018")</f>
        <v>RSC005018</v>
      </c>
      <c r="C726" s="30" t="str">
        <f>IFERROR(__xludf.DUMMYFUNCTION("""COMPUTED_VALUE"""),"Smitty")</f>
        <v>Smitty</v>
      </c>
      <c r="D726" s="30" t="str">
        <f>IFERROR(__xludf.DUMMYFUNCTION("""COMPUTED_VALUE"""),"Hawaiian Pizza")</f>
        <v>Hawaiian Pizza</v>
      </c>
      <c r="E726" s="30">
        <f>IFERROR(__xludf.DUMMYFUNCTION("""COMPUTED_VALUE"""),10.0)</f>
        <v>10</v>
      </c>
      <c r="F726" s="30">
        <f>IFERROR(__xludf.DUMMYFUNCTION("""COMPUTED_VALUE"""),6.0)</f>
        <v>6</v>
      </c>
      <c r="G726" s="42">
        <f>IFERROR(__xludf.DUMMYFUNCTION("""COMPUTED_VALUE"""),4.0)</f>
        <v>4</v>
      </c>
      <c r="H726" s="42">
        <f>IFERROR(__xludf.DUMMYFUNCTION("""COMPUTED_VALUE"""),0.6)</f>
        <v>0.6</v>
      </c>
      <c r="I726" s="42">
        <f>IFERROR(__xludf.DUMMYFUNCTION("""COMPUTED_VALUE"""),0.35294117647058826)</f>
        <v>0.3529411765</v>
      </c>
      <c r="J726" s="30">
        <f>IFERROR(__xludf.DUMMYFUNCTION("""COMPUTED_VALUE"""),277.2)</f>
        <v>277.2</v>
      </c>
      <c r="K726" s="30">
        <f>IFERROR(__xludf.DUMMYFUNCTION("""COMPUTED_VALUE"""),0.6)</f>
        <v>0.6</v>
      </c>
      <c r="L726" s="30">
        <f>IFERROR(__xludf.DUMMYFUNCTION("""COMPUTED_VALUE"""),0.5)</f>
        <v>0.5</v>
      </c>
      <c r="M726" s="30">
        <f>IFERROR(__xludf.DUMMYFUNCTION("""COMPUTED_VALUE"""),1.0)</f>
        <v>1</v>
      </c>
      <c r="N726" s="30">
        <f>IFERROR(__xludf.DUMMYFUNCTION("""COMPUTED_VALUE"""),1.7)</f>
        <v>1.7</v>
      </c>
      <c r="O726" s="30">
        <f>IFERROR(__xludf.DUMMYFUNCTION("""COMPUTED_VALUE"""),286.4)</f>
        <v>286.4</v>
      </c>
      <c r="P726" s="30">
        <f>IFERROR(__xludf.DUMMYFUNCTION("""COMPUTED_VALUE"""),0.5)</f>
        <v>0.5</v>
      </c>
      <c r="Q726" s="30">
        <f>IFERROR(__xludf.DUMMYFUNCTION("""COMPUTED_VALUE"""),0.3666666666666666)</f>
        <v>0.3666666667</v>
      </c>
      <c r="R726" s="30">
        <f>IFERROR(__xludf.DUMMYFUNCTION("""COMPUTED_VALUE"""),1.0666666666666667)</f>
        <v>1.066666667</v>
      </c>
      <c r="S726" s="30">
        <f>IFERROR(__xludf.DUMMYFUNCTION("""COMPUTED_VALUE"""),2.3000000000000003)</f>
        <v>2.3</v>
      </c>
      <c r="T726" s="30">
        <f>IFERROR(__xludf.DUMMYFUNCTION("""COMPUTED_VALUE"""),325.87679962690714)</f>
        <v>325.8767996</v>
      </c>
      <c r="U726" s="30">
        <f>IFERROR(__xludf.DUMMYFUNCTION("""COMPUTED_VALUE"""),0.7624600592957221)</f>
        <v>0.7624600593</v>
      </c>
      <c r="V726" s="30">
        <f>IFERROR(__xludf.DUMMYFUNCTION("""COMPUTED_VALUE"""),0.5817302675382184)</f>
        <v>0.5817302675</v>
      </c>
      <c r="W726" s="30">
        <f>IFERROR(__xludf.DUMMYFUNCTION("""COMPUTED_VALUE"""),1.0403825247277392)</f>
        <v>1.040382525</v>
      </c>
      <c r="X726" s="30">
        <f>IFERROR(__xludf.DUMMYFUNCTION("""COMPUTED_VALUE"""),2.61663183789856)</f>
        <v>2.616631838</v>
      </c>
      <c r="Y726" s="30">
        <f>IFERROR(__xludf.DUMMYFUNCTION("""COMPUTED_VALUE"""),337.9774715927592)</f>
        <v>337.9774716</v>
      </c>
      <c r="Z726" s="30">
        <f>IFERROR(__xludf.DUMMYFUNCTION("""COMPUTED_VALUE"""),0.7848535762578097)</f>
        <v>0.7848535763</v>
      </c>
      <c r="AA726" s="30">
        <f>IFERROR(__xludf.DUMMYFUNCTION("""COMPUTED_VALUE"""),0.5116880884641197)</f>
        <v>0.5116880885</v>
      </c>
      <c r="AB726" s="30">
        <f>IFERROR(__xludf.DUMMYFUNCTION("""COMPUTED_VALUE"""),1.3907774190132367)</f>
        <v>1.390777419</v>
      </c>
      <c r="AC726" s="30">
        <f>IFERROR(__xludf.DUMMYFUNCTION("""COMPUTED_VALUE"""),2.2064055663962487)</f>
        <v>2.206405566</v>
      </c>
      <c r="AD726" s="30">
        <f>IFERROR(__xludf.DUMMYFUNCTION("""COMPUTED_VALUE"""),0.8201730094424989)</f>
        <v>0.8201730094</v>
      </c>
      <c r="AE726" s="30">
        <f>IFERROR(__xludf.DUMMYFUNCTION("""COMPUTED_VALUE"""),0.7644738052425096)</f>
        <v>0.7644738052</v>
      </c>
      <c r="AF726" s="30">
        <f>IFERROR(__xludf.DUMMYFUNCTION("""COMPUTED_VALUE"""),0.9771577866914928)</f>
        <v>0.9771577867</v>
      </c>
      <c r="AG726" s="30">
        <f>IFERROR(__xludf.DUMMYFUNCTION("""COMPUTED_VALUE"""),0.7190223153820723)</f>
        <v>0.7190223154</v>
      </c>
      <c r="AH726" s="30">
        <f>IFERROR(__xludf.DUMMYFUNCTION("""COMPUTED_VALUE"""),0.7704839155099814)</f>
        <v>0.7704839155</v>
      </c>
      <c r="AI726" s="30">
        <f>IFERROR(__xludf.DUMMYFUNCTION("""COMPUTED_VALUE"""),0.8788597418653192)</f>
        <v>0.8788597419</v>
      </c>
      <c r="AJ726" s="30">
        <f>IFERROR(__xludf.DUMMYFUNCTION("""COMPUTED_VALUE"""),0.6557720550789844)</f>
        <v>0.6557720551</v>
      </c>
      <c r="AK726" s="30">
        <f>IFERROR(__xludf.DUMMYFUNCTION("""COMPUTED_VALUE"""),0.6303035738854302)</f>
        <v>0.6303035739</v>
      </c>
      <c r="AL726" s="30">
        <f>IFERROR(__xludf.DUMMYFUNCTION("""COMPUTED_VALUE"""),1.0252639210234773)</f>
        <v>1.025263921</v>
      </c>
      <c r="AM726" s="30">
        <f>IFERROR(__xludf.DUMMYFUNCTION("""COMPUTED_VALUE"""),0.878992591425147)</f>
        <v>0.8789925914</v>
      </c>
      <c r="AN726" s="30">
        <f>IFERROR(__xludf.DUMMYFUNCTION("""COMPUTED_VALUE"""),0.8562389514406795)</f>
        <v>0.8562389514</v>
      </c>
      <c r="AO726" s="30">
        <f>IFERROR(__xludf.DUMMYFUNCTION("""COMPUTED_VALUE"""),0.8134782228698332)</f>
        <v>0.8134782229</v>
      </c>
      <c r="AP726" s="30">
        <f>IFERROR(__xludf.DUMMYFUNCTION("""COMPUTED_VALUE"""),1.0133463417186328)</f>
        <v>1.013346342</v>
      </c>
      <c r="AQ726" s="30">
        <f>IFERROR(__xludf.DUMMYFUNCTION("""COMPUTED_VALUE"""),0.8291143542216766)</f>
        <v>0.8291143542</v>
      </c>
      <c r="AR726" s="30">
        <f>IFERROR(__xludf.DUMMYFUNCTION("""COMPUTED_VALUE"""),0.7217391380284945)</f>
        <v>0.721739138</v>
      </c>
      <c r="AS726" s="30">
        <f>IFERROR(__xludf.DUMMYFUNCTION("""COMPUTED_VALUE"""),21.0)</f>
        <v>21</v>
      </c>
      <c r="AT726" s="30">
        <f>IFERROR(__xludf.DUMMYFUNCTION("""COMPUTED_VALUE"""),0.6191562375257209)</f>
        <v>0.6191562375</v>
      </c>
      <c r="AU726" s="30">
        <f>IFERROR(__xludf.DUMMYFUNCTION("""COMPUTED_VALUE"""),1.7988914768980708)</f>
        <v>1.798891477</v>
      </c>
      <c r="AV726" s="32">
        <f>IFERROR(__xludf.DUMMYFUNCTION("""COMPUTED_VALUE"""),44.84417256740812)</f>
        <v>44.84417257</v>
      </c>
      <c r="AW726" s="32">
        <f>IFERROR(__xludf.DUMMYFUNCTION("""COMPUTED_VALUE"""),-2.390603487453174)</f>
        <v>-2.390603487</v>
      </c>
      <c r="AX726" s="32">
        <f>IFERROR(__xludf.DUMMYFUNCTION("""COMPUTED_VALUE"""),36.19162901693645)</f>
        <v>36.19162902</v>
      </c>
      <c r="AY726" s="32">
        <f>IFERROR(__xludf.DUMMYFUNCTION("""COMPUTED_VALUE"""),-3.4440066877294218)</f>
        <v>-3.444006688</v>
      </c>
      <c r="AZ726" s="30">
        <f>IFERROR(__xludf.DUMMYFUNCTION("""COMPUTED_VALUE"""),1.053403200276248)</f>
        <v>1.0534032</v>
      </c>
      <c r="BA726" s="30">
        <f>IFERROR(__xludf.DUMMYFUNCTION("""COMPUTED_VALUE"""),2700.0)</f>
        <v>2700</v>
      </c>
    </row>
    <row r="727">
      <c r="A727" s="71" t="str">
        <f>IFERROR(__xludf.DUMMYFUNCTION("""COMPUTED_VALUE"""),"Prospect")</f>
        <v>Prospect</v>
      </c>
      <c r="B727" s="71" t="str">
        <f>IFERROR(__xludf.DUMMYFUNCTION("""COMPUTED_VALUE"""),"RSC005884")</f>
        <v>RSC005884</v>
      </c>
      <c r="C727" s="30" t="str">
        <f>IFERROR(__xludf.DUMMYFUNCTION("""COMPUTED_VALUE"""),"Zachthebull36")</f>
        <v>Zachthebull36</v>
      </c>
      <c r="D727" s="30" t="str">
        <f>IFERROR(__xludf.DUMMYFUNCTION("""COMPUTED_VALUE"""),"Earth")</f>
        <v>Earth</v>
      </c>
      <c r="E727" s="30">
        <f>IFERROR(__xludf.DUMMYFUNCTION("""COMPUTED_VALUE"""),24.0)</f>
        <v>24</v>
      </c>
      <c r="F727" s="30">
        <f>IFERROR(__xludf.DUMMYFUNCTION("""COMPUTED_VALUE"""),16.0)</f>
        <v>16</v>
      </c>
      <c r="G727" s="42">
        <f>IFERROR(__xludf.DUMMYFUNCTION("""COMPUTED_VALUE"""),8.0)</f>
        <v>8</v>
      </c>
      <c r="H727" s="42">
        <f>IFERROR(__xludf.DUMMYFUNCTION("""COMPUTED_VALUE"""),0.6666666666666666)</f>
        <v>0.6666666667</v>
      </c>
      <c r="I727" s="42">
        <f>IFERROR(__xludf.DUMMYFUNCTION("""COMPUTED_VALUE"""),0.27397260273972607)</f>
        <v>0.2739726027</v>
      </c>
      <c r="J727" s="30">
        <f>IFERROR(__xludf.DUMMYFUNCTION("""COMPUTED_VALUE"""),322.5)</f>
        <v>322.5</v>
      </c>
      <c r="K727" s="30">
        <f>IFERROR(__xludf.DUMMYFUNCTION("""COMPUTED_VALUE"""),0.8333333333333334)</f>
        <v>0.8333333333</v>
      </c>
      <c r="L727" s="30">
        <f>IFERROR(__xludf.DUMMYFUNCTION("""COMPUTED_VALUE"""),0.5)</f>
        <v>0.5</v>
      </c>
      <c r="M727" s="30">
        <f>IFERROR(__xludf.DUMMYFUNCTION("""COMPUTED_VALUE"""),0.8333333333333334)</f>
        <v>0.8333333333</v>
      </c>
      <c r="N727" s="30">
        <f>IFERROR(__xludf.DUMMYFUNCTION("""COMPUTED_VALUE"""),3.0416666666666665)</f>
        <v>3.041666667</v>
      </c>
      <c r="O727" s="30">
        <f>IFERROR(__xludf.DUMMYFUNCTION("""COMPUTED_VALUE"""),309.1805555555555)</f>
        <v>309.1805556</v>
      </c>
      <c r="P727" s="30">
        <f>IFERROR(__xludf.DUMMYFUNCTION("""COMPUTED_VALUE"""),0.5972222222222223)</f>
        <v>0.5972222222</v>
      </c>
      <c r="Q727" s="30">
        <f>IFERROR(__xludf.DUMMYFUNCTION("""COMPUTED_VALUE"""),0.3611111111111111)</f>
        <v>0.3611111111</v>
      </c>
      <c r="R727" s="30">
        <f>IFERROR(__xludf.DUMMYFUNCTION("""COMPUTED_VALUE"""),1.3888888888888886)</f>
        <v>1.388888889</v>
      </c>
      <c r="S727" s="30">
        <f>IFERROR(__xludf.DUMMYFUNCTION("""COMPUTED_VALUE"""),1.847222222222222)</f>
        <v>1.847222222</v>
      </c>
      <c r="T727" s="30">
        <f>IFERROR(__xludf.DUMMYFUNCTION("""COMPUTED_VALUE"""),320.76858115361074)</f>
        <v>320.7685812</v>
      </c>
      <c r="U727" s="30">
        <f>IFERROR(__xludf.DUMMYFUNCTION("""COMPUTED_VALUE"""),0.701869431306061)</f>
        <v>0.7018694313</v>
      </c>
      <c r="V727" s="30">
        <f>IFERROR(__xludf.DUMMYFUNCTION("""COMPUTED_VALUE"""),0.45710816985150254)</f>
        <v>0.4571081699</v>
      </c>
      <c r="W727" s="30">
        <f>IFERROR(__xludf.DUMMYFUNCTION("""COMPUTED_VALUE"""),1.2442572306695066)</f>
        <v>1.244257231</v>
      </c>
      <c r="X727" s="30">
        <f>IFERROR(__xludf.DUMMYFUNCTION("""COMPUTED_VALUE"""),2.152874055269612)</f>
        <v>2.152874055</v>
      </c>
      <c r="Y727" s="30">
        <f>IFERROR(__xludf.DUMMYFUNCTION("""COMPUTED_VALUE"""),342.3176731469794)</f>
        <v>342.3176731</v>
      </c>
      <c r="Z727" s="30">
        <f>IFERROR(__xludf.DUMMYFUNCTION("""COMPUTED_VALUE"""),0.8539067701582308)</f>
        <v>0.8539067702</v>
      </c>
      <c r="AA727" s="30">
        <f>IFERROR(__xludf.DUMMYFUNCTION("""COMPUTED_VALUE"""),0.5785842420352932)</f>
        <v>0.578584242</v>
      </c>
      <c r="AB727" s="30">
        <f>IFERROR(__xludf.DUMMYFUNCTION("""COMPUTED_VALUE"""),1.090235946983103)</f>
        <v>1.090235947</v>
      </c>
      <c r="AC727" s="30">
        <f>IFERROR(__xludf.DUMMYFUNCTION("""COMPUTED_VALUE"""),2.7185571112363824)</f>
        <v>2.718557111</v>
      </c>
      <c r="AD727" s="30">
        <f>IFERROR(__xludf.DUMMYFUNCTION("""COMPUTED_VALUE"""),0.942107361957703)</f>
        <v>0.942107362</v>
      </c>
      <c r="AE727" s="30">
        <f>IFERROR(__xludf.DUMMYFUNCTION("""COMPUTED_VALUE"""),0.9759066943325849)</f>
        <v>0.9759066943</v>
      </c>
      <c r="AF727" s="30">
        <f>IFERROR(__xludf.DUMMYFUNCTION("""COMPUTED_VALUE"""),0.8641783921406908)</f>
        <v>0.8641783921</v>
      </c>
      <c r="AG727" s="30">
        <f>IFERROR(__xludf.DUMMYFUNCTION("""COMPUTED_VALUE"""),0.7643605364869231)</f>
        <v>0.7643605365</v>
      </c>
      <c r="AH727" s="30">
        <f>IFERROR(__xludf.DUMMYFUNCTION("""COMPUTED_VALUE"""),1.1188533263085785)</f>
        <v>1.118853326</v>
      </c>
      <c r="AI727" s="30">
        <f>IFERROR(__xludf.DUMMYFUNCTION("""COMPUTED_VALUE"""),0.9638741875641931)</f>
        <v>0.9638741876</v>
      </c>
      <c r="AJ727" s="30">
        <f>IFERROR(__xludf.DUMMYFUNCTION("""COMPUTED_VALUE"""),0.8509021700957857)</f>
        <v>0.8509021701</v>
      </c>
      <c r="AK727" s="30">
        <f>IFERROR(__xludf.DUMMYFUNCTION("""COMPUTED_VALUE"""),0.7899904988099922)</f>
        <v>0.7899904988</v>
      </c>
      <c r="AL727" s="30">
        <f>IFERROR(__xludf.DUMMYFUNCTION("""COMPUTED_VALUE"""),1.1162393552188232)</f>
        <v>1.116239355</v>
      </c>
      <c r="AM727" s="30">
        <f>IFERROR(__xludf.DUMMYFUNCTION("""COMPUTED_VALUE"""),0.8580261430996193)</f>
        <v>0.8580261431</v>
      </c>
      <c r="AN727" s="30">
        <f>IFERROR(__xludf.DUMMYFUNCTION("""COMPUTED_VALUE"""),0.9961654467518728)</f>
        <v>0.9961654468</v>
      </c>
      <c r="AO727" s="30">
        <f>IFERROR(__xludf.DUMMYFUNCTION("""COMPUTED_VALUE"""),1.1298308650969906)</f>
        <v>1.129830865</v>
      </c>
      <c r="AP727" s="30">
        <f>IFERROR(__xludf.DUMMYFUNCTION("""COMPUTED_VALUE"""),1.0133463417186328)</f>
        <v>1.013346342</v>
      </c>
      <c r="AQ727" s="30">
        <f>IFERROR(__xludf.DUMMYFUNCTION("""COMPUTED_VALUE"""),0.6909286285180638)</f>
        <v>0.6909286285</v>
      </c>
      <c r="AR727" s="30">
        <f>IFERROR(__xludf.DUMMYFUNCTION("""COMPUTED_VALUE"""),1.291346987158826)</f>
        <v>1.291346987</v>
      </c>
      <c r="AS727" s="30">
        <f>IFERROR(__xludf.DUMMYFUNCTION("""COMPUTED_VALUE"""),66.0)</f>
        <v>66</v>
      </c>
      <c r="AT727" s="30">
        <f>IFERROR(__xludf.DUMMYFUNCTION("""COMPUTED_VALUE"""),0.659595814315728)</f>
        <v>0.6595958143</v>
      </c>
      <c r="AU727" s="30">
        <f>IFERROR(__xludf.DUMMYFUNCTION("""COMPUTED_VALUE"""),2.410818613476908)</f>
        <v>2.410818613</v>
      </c>
      <c r="AV727" s="32">
        <f>IFERROR(__xludf.DUMMYFUNCTION("""COMPUTED_VALUE"""),64.31091782451541)</f>
        <v>64.31091782</v>
      </c>
      <c r="AW727" s="32">
        <f>IFERROR(__xludf.DUMMYFUNCTION("""COMPUTED_VALUE"""),3.527174189507851)</f>
        <v>3.52717419</v>
      </c>
      <c r="AX727" s="32">
        <f>IFERROR(__xludf.DUMMYFUNCTION("""COMPUTED_VALUE"""),56.51609688948992)</f>
        <v>56.51609689</v>
      </c>
      <c r="AY727" s="32">
        <f>IFERROR(__xludf.DUMMYFUNCTION("""COMPUTED_VALUE"""),2.5177274733652246)</f>
        <v>2.517727473</v>
      </c>
      <c r="AZ727" s="30">
        <f>IFERROR(__xludf.DUMMYFUNCTION("""COMPUTED_VALUE"""),1.0094467161426266)</f>
        <v>1.009446716</v>
      </c>
      <c r="BA727" s="30">
        <f>IFERROR(__xludf.DUMMYFUNCTION("""COMPUTED_VALUE"""),2700.0)</f>
        <v>2700</v>
      </c>
    </row>
    <row r="728">
      <c r="A728" s="71" t="str">
        <f>IFERROR(__xludf.DUMMYFUNCTION("""COMPUTED_VALUE"""),"Prospect")</f>
        <v>Prospect</v>
      </c>
      <c r="B728" s="71" t="str">
        <f>IFERROR(__xludf.DUMMYFUNCTION("""COMPUTED_VALUE"""),"RSC002796")</f>
        <v>RSC002796</v>
      </c>
      <c r="C728" s="30" t="str">
        <f>IFERROR(__xludf.DUMMYFUNCTION("""COMPUTED_VALUE"""),"Carno")</f>
        <v>Carno</v>
      </c>
      <c r="D728" s="30" t="str">
        <f>IFERROR(__xludf.DUMMYFUNCTION("""COMPUTED_VALUE"""),"Undead")</f>
        <v>Undead</v>
      </c>
      <c r="E728" s="30">
        <f>IFERROR(__xludf.DUMMYFUNCTION("""COMPUTED_VALUE"""),32.0)</f>
        <v>32</v>
      </c>
      <c r="F728" s="30">
        <f>IFERROR(__xludf.DUMMYFUNCTION("""COMPUTED_VALUE"""),11.0)</f>
        <v>11</v>
      </c>
      <c r="G728" s="42">
        <f>IFERROR(__xludf.DUMMYFUNCTION("""COMPUTED_VALUE"""),21.0)</f>
        <v>21</v>
      </c>
      <c r="H728" s="42">
        <f>IFERROR(__xludf.DUMMYFUNCTION("""COMPUTED_VALUE"""),0.34375)</f>
        <v>0.34375</v>
      </c>
      <c r="I728" s="42">
        <f>IFERROR(__xludf.DUMMYFUNCTION("""COMPUTED_VALUE"""),0.3225806451612903)</f>
        <v>0.3225806452</v>
      </c>
      <c r="J728" s="30">
        <f>IFERROR(__xludf.DUMMYFUNCTION("""COMPUTED_VALUE"""),284.0625)</f>
        <v>284.0625</v>
      </c>
      <c r="K728" s="30">
        <f>IFERROR(__xludf.DUMMYFUNCTION("""COMPUTED_VALUE"""),0.625)</f>
        <v>0.625</v>
      </c>
      <c r="L728" s="30">
        <f>IFERROR(__xludf.DUMMYFUNCTION("""COMPUTED_VALUE"""),0.34375)</f>
        <v>0.34375</v>
      </c>
      <c r="M728" s="30">
        <f>IFERROR(__xludf.DUMMYFUNCTION("""COMPUTED_VALUE"""),1.125)</f>
        <v>1.125</v>
      </c>
      <c r="N728" s="30">
        <f>IFERROR(__xludf.DUMMYFUNCTION("""COMPUTED_VALUE"""),1.9375)</f>
        <v>1.9375</v>
      </c>
      <c r="O728" s="30">
        <f>IFERROR(__xludf.DUMMYFUNCTION("""COMPUTED_VALUE"""),344.1979166666667)</f>
        <v>344.1979167</v>
      </c>
      <c r="P728" s="30">
        <f>IFERROR(__xludf.DUMMYFUNCTION("""COMPUTED_VALUE"""),0.9270833333333333)</f>
        <v>0.9270833333</v>
      </c>
      <c r="Q728" s="30">
        <f>IFERROR(__xludf.DUMMYFUNCTION("""COMPUTED_VALUE"""),0.6145833333333333)</f>
        <v>0.6145833333</v>
      </c>
      <c r="R728" s="30">
        <f>IFERROR(__xludf.DUMMYFUNCTION("""COMPUTED_VALUE"""),0.9687499999999999)</f>
        <v>0.96875</v>
      </c>
      <c r="S728" s="30">
        <f>IFERROR(__xludf.DUMMYFUNCTION("""COMPUTED_VALUE"""),2.59375)</f>
        <v>2.59375</v>
      </c>
      <c r="T728" s="30">
        <f>IFERROR(__xludf.DUMMYFUNCTION("""COMPUTED_VALUE"""),336.59924861413344)</f>
        <v>336.5992486</v>
      </c>
      <c r="U728" s="30">
        <f>IFERROR(__xludf.DUMMYFUNCTION("""COMPUTED_VALUE"""),0.8268417244399462)</f>
        <v>0.8268417244</v>
      </c>
      <c r="V728" s="30">
        <f>IFERROR(__xludf.DUMMYFUNCTION("""COMPUTED_VALUE"""),0.508287891305788)</f>
        <v>0.5082878913</v>
      </c>
      <c r="W728" s="30">
        <f>IFERROR(__xludf.DUMMYFUNCTION("""COMPUTED_VALUE"""),1.1674675022634076)</f>
        <v>1.167467502</v>
      </c>
      <c r="X728" s="30">
        <f>IFERROR(__xludf.DUMMYFUNCTION("""COMPUTED_VALUE"""),2.591197965929616)</f>
        <v>2.591197966</v>
      </c>
      <c r="Y728" s="30">
        <f>IFERROR(__xludf.DUMMYFUNCTION("""COMPUTED_VALUE"""),330.16371244386323)</f>
        <v>330.1637124</v>
      </c>
      <c r="Z728" s="30">
        <f>IFERROR(__xludf.DUMMYFUNCTION("""COMPUTED_VALUE"""),0.7432531394600838)</f>
        <v>0.7432531395</v>
      </c>
      <c r="AA728" s="30">
        <f>IFERROR(__xludf.DUMMYFUNCTION("""COMPUTED_VALUE"""),0.5059003571669629)</f>
        <v>0.5059003572</v>
      </c>
      <c r="AB728" s="30">
        <f>IFERROR(__xludf.DUMMYFUNCTION("""COMPUTED_VALUE"""),1.250221824564239)</f>
        <v>1.250221825</v>
      </c>
      <c r="AC728" s="30">
        <f>IFERROR(__xludf.DUMMYFUNCTION("""COMPUTED_VALUE"""),2.3379132371133187)</f>
        <v>2.337913237</v>
      </c>
      <c r="AD728" s="30">
        <f>IFERROR(__xludf.DUMMYFUNCTION("""COMPUTED_VALUE"""),0.8603686271194879)</f>
        <v>0.8603686271</v>
      </c>
      <c r="AE728" s="30">
        <f>IFERROR(__xludf.DUMMYFUNCTION("""COMPUTED_VALUE"""),0.8408978944293656)</f>
        <v>0.8408978944</v>
      </c>
      <c r="AF728" s="30">
        <f>IFERROR(__xludf.DUMMYFUNCTION("""COMPUTED_VALUE"""),0.6794816313730171)</f>
        <v>0.6794816314</v>
      </c>
      <c r="AG728" s="30">
        <f>IFERROR(__xludf.DUMMYFUNCTION("""COMPUTED_VALUE"""),0.8998403146514543)</f>
        <v>0.8998403147</v>
      </c>
      <c r="AH728" s="30">
        <f>IFERROR(__xludf.DUMMYFUNCTION("""COMPUTED_VALUE"""),0.8287304974551924)</f>
        <v>0.8287304975</v>
      </c>
      <c r="AI728" s="30">
        <f>IFERROR(__xludf.DUMMYFUNCTION("""COMPUTED_VALUE"""),1.0225748217912516)</f>
        <v>1.022574822</v>
      </c>
      <c r="AJ728" s="30">
        <f>IFERROR(__xludf.DUMMYFUNCTION("""COMPUTED_VALUE"""),1.1212343377582752)</f>
        <v>1.121234338</v>
      </c>
      <c r="AK728" s="30">
        <f>IFERROR(__xludf.DUMMYFUNCTION("""COMPUTED_VALUE"""),1.2091244821010254)</f>
        <v>1.209124482</v>
      </c>
      <c r="AL728" s="30">
        <f>IFERROR(__xludf.DUMMYFUNCTION("""COMPUTED_VALUE"""),0.8297875513638302)</f>
        <v>0.8297875514</v>
      </c>
      <c r="AM728" s="30">
        <f>IFERROR(__xludf.DUMMYFUNCTION("""COMPUTED_VALUE"""),1.0009848857956587)</f>
        <v>1.000984886</v>
      </c>
      <c r="AN728" s="30">
        <f>IFERROR(__xludf.DUMMYFUNCTION("""COMPUTED_VALUE"""),0.8774364254820275)</f>
        <v>0.8774364255</v>
      </c>
      <c r="AO728" s="30">
        <f>IFERROR(__xludf.DUMMYFUNCTION("""COMPUTED_VALUE"""),0.847373148822743)</f>
        <v>0.8473731488</v>
      </c>
      <c r="AP728" s="30">
        <f>IFERROR(__xludf.DUMMYFUNCTION("""COMPUTED_VALUE"""),0.6966756099315601)</f>
        <v>0.6966756099</v>
      </c>
      <c r="AQ728" s="30">
        <f>IFERROR(__xludf.DUMMYFUNCTION("""COMPUTED_VALUE"""),0.9327536484993861)</f>
        <v>0.9327536485</v>
      </c>
      <c r="AR728" s="30">
        <f>IFERROR(__xludf.DUMMYFUNCTION("""COMPUTED_VALUE"""),0.8225703411354166)</f>
        <v>0.8225703411</v>
      </c>
      <c r="AS728" s="30">
        <f>IFERROR(__xludf.DUMMYFUNCTION("""COMPUTED_VALUE"""),58.0)</f>
        <v>58</v>
      </c>
      <c r="AT728" s="30">
        <f>IFERROR(__xludf.DUMMYFUNCTION("""COMPUTED_VALUE"""),0.3400083116573916)</f>
        <v>0.3400083117</v>
      </c>
      <c r="AU728" s="30">
        <f>IFERROR(__xludf.DUMMYFUNCTION("""COMPUTED_VALUE"""),1.3398993428152628)</f>
        <v>1.339899343</v>
      </c>
      <c r="AV728" s="32">
        <f>IFERROR(__xludf.DUMMYFUNCTION("""COMPUTED_VALUE"""),30.24262539765793)</f>
        <v>30.2426254</v>
      </c>
      <c r="AW728" s="32">
        <f>IFERROR(__xludf.DUMMYFUNCTION("""COMPUTED_VALUE"""),-4.658144423401407)</f>
        <v>-4.658144423</v>
      </c>
      <c r="AX728" s="32">
        <f>IFERROR(__xludf.DUMMYFUNCTION("""COMPUTED_VALUE"""),34.94050931346384)</f>
        <v>34.94050931</v>
      </c>
      <c r="AY728" s="32">
        <f>IFERROR(__xludf.DUMMYFUNCTION("""COMPUTED_VALUE"""),-3.656832137372581)</f>
        <v>-3.656832137</v>
      </c>
      <c r="AZ728" s="30">
        <f>IFERROR(__xludf.DUMMYFUNCTION("""COMPUTED_VALUE"""),1.0013122860288264)</f>
        <v>1.001312286</v>
      </c>
      <c r="BA728" s="30">
        <f>IFERROR(__xludf.DUMMYFUNCTION("""COMPUTED_VALUE"""),2700.0)</f>
        <v>2700</v>
      </c>
    </row>
    <row r="729">
      <c r="A729" s="71" t="str">
        <f>IFERROR(__xludf.DUMMYFUNCTION("""COMPUTED_VALUE"""),"Prospect")</f>
        <v>Prospect</v>
      </c>
      <c r="B729" s="71" t="str">
        <f>IFERROR(__xludf.DUMMYFUNCTION("""COMPUTED_VALUE"""),"RSC006308")</f>
        <v>RSC006308</v>
      </c>
      <c r="C729" s="30" t="str">
        <f>IFERROR(__xludf.DUMMYFUNCTION("""COMPUTED_VALUE"""),"SqueezySponge")</f>
        <v>SqueezySponge</v>
      </c>
      <c r="D729" s="30" t="str">
        <f>IFERROR(__xludf.DUMMYFUNCTION("""COMPUTED_VALUE"""),"Hawaiian Pizza")</f>
        <v>Hawaiian Pizza</v>
      </c>
      <c r="E729" s="30">
        <f>IFERROR(__xludf.DUMMYFUNCTION("""COMPUTED_VALUE"""),31.0)</f>
        <v>31</v>
      </c>
      <c r="F729" s="30">
        <f>IFERROR(__xludf.DUMMYFUNCTION("""COMPUTED_VALUE"""),19.0)</f>
        <v>19</v>
      </c>
      <c r="G729" s="42">
        <f>IFERROR(__xludf.DUMMYFUNCTION("""COMPUTED_VALUE"""),12.0)</f>
        <v>12</v>
      </c>
      <c r="H729" s="42">
        <f>IFERROR(__xludf.DUMMYFUNCTION("""COMPUTED_VALUE"""),0.6129032258064516)</f>
        <v>0.6129032258</v>
      </c>
      <c r="I729" s="42">
        <f>IFERROR(__xludf.DUMMYFUNCTION("""COMPUTED_VALUE"""),0.3023255813953488)</f>
        <v>0.3023255814</v>
      </c>
      <c r="J729" s="30">
        <f>IFERROR(__xludf.DUMMYFUNCTION("""COMPUTED_VALUE"""),353.2258064516129)</f>
        <v>353.2258065</v>
      </c>
      <c r="K729" s="30">
        <f>IFERROR(__xludf.DUMMYFUNCTION("""COMPUTED_VALUE"""),0.8387096774193549)</f>
        <v>0.8387096774</v>
      </c>
      <c r="L729" s="30">
        <f>IFERROR(__xludf.DUMMYFUNCTION("""COMPUTED_VALUE"""),0.6129032258064516)</f>
        <v>0.6129032258</v>
      </c>
      <c r="M729" s="30">
        <f>IFERROR(__xludf.DUMMYFUNCTION("""COMPUTED_VALUE"""),1.3548387096774193)</f>
        <v>1.35483871</v>
      </c>
      <c r="N729" s="30">
        <f>IFERROR(__xludf.DUMMYFUNCTION("""COMPUTED_VALUE"""),2.774193548387097)</f>
        <v>2.774193548</v>
      </c>
      <c r="O729" s="30">
        <f>IFERROR(__xludf.DUMMYFUNCTION("""COMPUTED_VALUE"""),316.3870967741936)</f>
        <v>316.3870968</v>
      </c>
      <c r="P729" s="30">
        <f>IFERROR(__xludf.DUMMYFUNCTION("""COMPUTED_VALUE"""),0.7096774193548386)</f>
        <v>0.7096774194</v>
      </c>
      <c r="Q729" s="30">
        <f>IFERROR(__xludf.DUMMYFUNCTION("""COMPUTED_VALUE"""),0.5161290322580646)</f>
        <v>0.5161290323</v>
      </c>
      <c r="R729" s="30">
        <f>IFERROR(__xludf.DUMMYFUNCTION("""COMPUTED_VALUE"""),1.0645161290322582)</f>
        <v>1.064516129</v>
      </c>
      <c r="S729" s="30">
        <f>IFERROR(__xludf.DUMMYFUNCTION("""COMPUTED_VALUE"""),2.3978494623655924)</f>
        <v>2.397849462</v>
      </c>
      <c r="T729" s="30">
        <f>IFERROR(__xludf.DUMMYFUNCTION("""COMPUTED_VALUE"""),324.91431757448356)</f>
        <v>324.9143176</v>
      </c>
      <c r="U729" s="30">
        <f>IFERROR(__xludf.DUMMYFUNCTION("""COMPUTED_VALUE"""),0.7266254944198708)</f>
        <v>0.7266254944</v>
      </c>
      <c r="V729" s="30">
        <f>IFERROR(__xludf.DUMMYFUNCTION("""COMPUTED_VALUE"""),0.5048698401791483)</f>
        <v>0.5048698402</v>
      </c>
      <c r="W729" s="30">
        <f>IFERROR(__xludf.DUMMYFUNCTION("""COMPUTED_VALUE"""),1.1513188714558313)</f>
        <v>1.151318871</v>
      </c>
      <c r="X729" s="30">
        <f>IFERROR(__xludf.DUMMYFUNCTION("""COMPUTED_VALUE"""),2.379753262495434)</f>
        <v>2.379753262</v>
      </c>
      <c r="Y729" s="30">
        <f>IFERROR(__xludf.DUMMYFUNCTION("""COMPUTED_VALUE"""),337.998008584395)</f>
        <v>337.9980086</v>
      </c>
      <c r="Z729" s="30">
        <f>IFERROR(__xludf.DUMMYFUNCTION("""COMPUTED_VALUE"""),0.8244133412028593)</f>
        <v>0.8244133412</v>
      </c>
      <c r="AA729" s="30">
        <f>IFERROR(__xludf.DUMMYFUNCTION("""COMPUTED_VALUE"""),0.536543099420553)</f>
        <v>0.5365430994</v>
      </c>
      <c r="AB729" s="30">
        <f>IFERROR(__xludf.DUMMYFUNCTION("""COMPUTED_VALUE"""),1.2090449182944598)</f>
        <v>1.209044918</v>
      </c>
      <c r="AC729" s="30">
        <f>IFERROR(__xludf.DUMMYFUNCTION("""COMPUTED_VALUE"""),2.4130574805248117)</f>
        <v>2.413057481</v>
      </c>
      <c r="AD729" s="30">
        <f>IFERROR(__xludf.DUMMYFUNCTION("""COMPUTED_VALUE"""),1.045052921852987)</f>
        <v>1.045052922</v>
      </c>
      <c r="AE729" s="30">
        <f>IFERROR(__xludf.DUMMYFUNCTION("""COMPUTED_VALUE"""),1.0173412237551087)</f>
        <v>1.017341224</v>
      </c>
      <c r="AF729" s="30">
        <f>IFERROR(__xludf.DUMMYFUNCTION("""COMPUTED_VALUE"""),1.1423187186050194)</f>
        <v>1.142318719</v>
      </c>
      <c r="AG729" s="30">
        <f>IFERROR(__xludf.DUMMYFUNCTION("""COMPUTED_VALUE"""),1.1205859180059443)</f>
        <v>1.120585918</v>
      </c>
      <c r="AH729" s="30">
        <f>IFERROR(__xludf.DUMMYFUNCTION("""COMPUTED_VALUE"""),1.149659123654088)</f>
        <v>1.149659124</v>
      </c>
      <c r="AI729" s="30">
        <f>IFERROR(__xludf.DUMMYFUNCTION("""COMPUTED_VALUE"""),0.9737554784783062)</f>
        <v>0.9737554785</v>
      </c>
      <c r="AJ729" s="30">
        <f>IFERROR(__xludf.DUMMYFUNCTION("""COMPUTED_VALUE"""),0.9766756393834443)</f>
        <v>0.9766756394</v>
      </c>
      <c r="AK729" s="30">
        <f>IFERROR(__xludf.DUMMYFUNCTION("""COMPUTED_VALUE"""),1.0223011778143078)</f>
        <v>1.022301178</v>
      </c>
      <c r="AL729" s="30">
        <f>IFERROR(__xludf.DUMMYFUNCTION("""COMPUTED_VALUE"""),0.9246058198335515)</f>
        <v>0.9246058198</v>
      </c>
      <c r="AM729" s="30">
        <f>IFERROR(__xludf.DUMMYFUNCTION("""COMPUTED_VALUE"""),1.0076042336637803)</f>
        <v>1.007604234</v>
      </c>
      <c r="AN729" s="30">
        <f>IFERROR(__xludf.DUMMYFUNCTION("""COMPUTED_VALUE"""),1.0910739326764698)</f>
        <v>1.091073933</v>
      </c>
      <c r="AO729" s="30">
        <f>IFERROR(__xludf.DUMMYFUNCTION("""COMPUTED_VALUE"""),1.137120096484713)</f>
        <v>1.137120096</v>
      </c>
      <c r="AP729" s="30">
        <f>IFERROR(__xludf.DUMMYFUNCTION("""COMPUTED_VALUE"""),1.2421664833970338)</f>
        <v>1.242166483</v>
      </c>
      <c r="AQ729" s="30">
        <f>IFERROR(__xludf.DUMMYFUNCTION("""COMPUTED_VALUE"""),1.123316221848723)</f>
        <v>1.123316222</v>
      </c>
      <c r="AR729" s="30">
        <f>IFERROR(__xludf.DUMMYFUNCTION("""COMPUTED_VALUE"""),1.1777906237277143)</f>
        <v>1.177790624</v>
      </c>
      <c r="AS729" s="30">
        <f>IFERROR(__xludf.DUMMYFUNCTION("""COMPUTED_VALUE"""),88.0)</f>
        <v>88</v>
      </c>
      <c r="AT729" s="30">
        <f>IFERROR(__xludf.DUMMYFUNCTION("""COMPUTED_VALUE"""),0.6120014288565654)</f>
        <v>0.6120014289</v>
      </c>
      <c r="AU729" s="30">
        <f>IFERROR(__xludf.DUMMYFUNCTION("""COMPUTED_VALUE"""),2.4656603959140053)</f>
        <v>2.465660396</v>
      </c>
      <c r="AV729" s="32">
        <f>IFERROR(__xludf.DUMMYFUNCTION("""COMPUTED_VALUE"""),66.05555528922628)</f>
        <v>66.05555529</v>
      </c>
      <c r="AW729" s="32">
        <f>IFERROR(__xludf.DUMMYFUNCTION("""COMPUTED_VALUE"""),3.8407700232397834)</f>
        <v>3.840770023</v>
      </c>
      <c r="AX729" s="32">
        <f>IFERROR(__xludf.DUMMYFUNCTION("""COMPUTED_VALUE"""),59.90725964718912)</f>
        <v>59.90725965</v>
      </c>
      <c r="AY729" s="32">
        <f>IFERROR(__xludf.DUMMYFUNCTION("""COMPUTED_VALUE"""),2.8906294829417702)</f>
        <v>2.890629483</v>
      </c>
      <c r="AZ729" s="30">
        <f>IFERROR(__xludf.DUMMYFUNCTION("""COMPUTED_VALUE"""),0.9501405402980132)</f>
        <v>0.9501405403</v>
      </c>
      <c r="BA729" s="30">
        <f>IFERROR(__xludf.DUMMYFUNCTION("""COMPUTED_VALUE"""),2700.0)</f>
        <v>2700</v>
      </c>
    </row>
    <row r="730">
      <c r="A730" s="71" t="str">
        <f>IFERROR(__xludf.DUMMYFUNCTION("""COMPUTED_VALUE"""),"Prospect")</f>
        <v>Prospect</v>
      </c>
      <c r="B730" s="71" t="str">
        <f>IFERROR(__xludf.DUMMYFUNCTION("""COMPUTED_VALUE"""),"RSC003127")</f>
        <v>RSC003127</v>
      </c>
      <c r="C730" s="30" t="str">
        <f>IFERROR(__xludf.DUMMYFUNCTION("""COMPUTED_VALUE"""),"Lim")</f>
        <v>Lim</v>
      </c>
      <c r="D730" s="30" t="str">
        <f>IFERROR(__xludf.DUMMYFUNCTION("""COMPUTED_VALUE"""),"Skeletons")</f>
        <v>Skeletons</v>
      </c>
      <c r="E730" s="30">
        <f>IFERROR(__xludf.DUMMYFUNCTION("""COMPUTED_VALUE"""),26.0)</f>
        <v>26</v>
      </c>
      <c r="F730" s="30">
        <f>IFERROR(__xludf.DUMMYFUNCTION("""COMPUTED_VALUE"""),10.0)</f>
        <v>10</v>
      </c>
      <c r="G730" s="42">
        <f>IFERROR(__xludf.DUMMYFUNCTION("""COMPUTED_VALUE"""),16.0)</f>
        <v>16</v>
      </c>
      <c r="H730" s="42">
        <f>IFERROR(__xludf.DUMMYFUNCTION("""COMPUTED_VALUE"""),0.38461538461538464)</f>
        <v>0.3846153846</v>
      </c>
      <c r="I730" s="42">
        <f>IFERROR(__xludf.DUMMYFUNCTION("""COMPUTED_VALUE"""),0.25)</f>
        <v>0.25</v>
      </c>
      <c r="J730" s="30">
        <f>IFERROR(__xludf.DUMMYFUNCTION("""COMPUTED_VALUE"""),319.5)</f>
        <v>319.5</v>
      </c>
      <c r="K730" s="30">
        <f>IFERROR(__xludf.DUMMYFUNCTION("""COMPUTED_VALUE"""),0.5384615384615384)</f>
        <v>0.5384615385</v>
      </c>
      <c r="L730" s="30">
        <f>IFERROR(__xludf.DUMMYFUNCTION("""COMPUTED_VALUE"""),0.5769230769230769)</f>
        <v>0.5769230769</v>
      </c>
      <c r="M730" s="30">
        <f>IFERROR(__xludf.DUMMYFUNCTION("""COMPUTED_VALUE"""),1.3846153846153846)</f>
        <v>1.384615385</v>
      </c>
      <c r="N730" s="30">
        <f>IFERROR(__xludf.DUMMYFUNCTION("""COMPUTED_VALUE"""),2.1538461538461537)</f>
        <v>2.153846154</v>
      </c>
      <c r="O730" s="30">
        <f>IFERROR(__xludf.DUMMYFUNCTION("""COMPUTED_VALUE"""),338.6923076923077)</f>
        <v>338.6923077</v>
      </c>
      <c r="P730" s="30">
        <f>IFERROR(__xludf.DUMMYFUNCTION("""COMPUTED_VALUE"""),0.8846153846153845)</f>
        <v>0.8846153846</v>
      </c>
      <c r="Q730" s="30">
        <f>IFERROR(__xludf.DUMMYFUNCTION("""COMPUTED_VALUE"""),0.6025641025641025)</f>
        <v>0.6025641026</v>
      </c>
      <c r="R730" s="30">
        <f>IFERROR(__xludf.DUMMYFUNCTION("""COMPUTED_VALUE"""),1.0384615384615385)</f>
        <v>1.038461538</v>
      </c>
      <c r="S730" s="30">
        <f>IFERROR(__xludf.DUMMYFUNCTION("""COMPUTED_VALUE"""),2.7564102564102564)</f>
        <v>2.756410256</v>
      </c>
      <c r="T730" s="30">
        <f>IFERROR(__xludf.DUMMYFUNCTION("""COMPUTED_VALUE"""),333.572902722427)</f>
        <v>333.5729027</v>
      </c>
      <c r="U730" s="30">
        <f>IFERROR(__xludf.DUMMYFUNCTION("""COMPUTED_VALUE"""),0.7880822652129785)</f>
        <v>0.7880822652</v>
      </c>
      <c r="V730" s="30">
        <f>IFERROR(__xludf.DUMMYFUNCTION("""COMPUTED_VALUE"""),0.5210199696559845)</f>
        <v>0.5210199697</v>
      </c>
      <c r="W730" s="30">
        <f>IFERROR(__xludf.DUMMYFUNCTION("""COMPUTED_VALUE"""),1.1855804404193753)</f>
        <v>1.18558044</v>
      </c>
      <c r="X730" s="30">
        <f>IFERROR(__xludf.DUMMYFUNCTION("""COMPUTED_VALUE"""),2.433925387789964)</f>
        <v>2.433925388</v>
      </c>
      <c r="Y730" s="30">
        <f>IFERROR(__xludf.DUMMYFUNCTION("""COMPUTED_VALUE"""),334.62760554382385)</f>
        <v>334.6276055</v>
      </c>
      <c r="Z730" s="30">
        <f>IFERROR(__xludf.DUMMYFUNCTION("""COMPUTED_VALUE"""),0.8127617975365713)</f>
        <v>0.8127617975</v>
      </c>
      <c r="AA730" s="30">
        <f>IFERROR(__xludf.DUMMYFUNCTION("""COMPUTED_VALUE"""),0.5259145996803063)</f>
        <v>0.5259145997</v>
      </c>
      <c r="AB730" s="30">
        <f>IFERROR(__xludf.DUMMYFUNCTION("""COMPUTED_VALUE"""),1.1810289645409293)</f>
        <v>1.181028965</v>
      </c>
      <c r="AC730" s="30">
        <f>IFERROR(__xludf.DUMMYFUNCTION("""COMPUTED_VALUE"""),2.4278761219640206)</f>
        <v>2.427876122</v>
      </c>
      <c r="AD730" s="30">
        <f>IFERROR(__xludf.DUMMYFUNCTION("""COMPUTED_VALUE"""),0.9547927149667194)</f>
        <v>0.954792715</v>
      </c>
      <c r="AE730" s="30">
        <f>IFERROR(__xludf.DUMMYFUNCTION("""COMPUTED_VALUE"""),0.6625084250927894)</f>
        <v>0.6625084251</v>
      </c>
      <c r="AF730" s="30">
        <f>IFERROR(__xludf.DUMMYFUNCTION("""COMPUTED_VALUE"""),1.096990038446884)</f>
        <v>1.096990038</v>
      </c>
      <c r="AG730" s="30">
        <f>IFERROR(__xludf.DUMMYFUNCTION("""COMPUTED_VALUE"""),1.172380547968686)</f>
        <v>1.172380548</v>
      </c>
      <c r="AH730" s="30">
        <f>IFERROR(__xludf.DUMMYFUNCTION("""COMPUTED_VALUE"""),0.8871318163069245)</f>
        <v>0.8871318163</v>
      </c>
      <c r="AI730" s="30">
        <f>IFERROR(__xludf.DUMMYFUNCTION("""COMPUTED_VALUE"""),1.0153471847626083)</f>
        <v>1.015347185</v>
      </c>
      <c r="AJ730" s="30">
        <f>IFERROR(__xludf.DUMMYFUNCTION("""COMPUTED_VALUE"""),1.1224911708631307)</f>
        <v>1.122491171</v>
      </c>
      <c r="AK730" s="30">
        <f>IFERROR(__xludf.DUMMYFUNCTION("""COMPUTED_VALUE"""),1.1565086516011265)</f>
        <v>1.156508652</v>
      </c>
      <c r="AL730" s="30">
        <f>IFERROR(__xludf.DUMMYFUNCTION("""COMPUTED_VALUE"""),0.8759098101299677)</f>
        <v>0.8759098101</v>
      </c>
      <c r="AM730" s="30">
        <f>IFERROR(__xludf.DUMMYFUNCTION("""COMPUTED_VALUE"""),1.1324957906425852)</f>
        <v>1.132495791</v>
      </c>
      <c r="AN730" s="30">
        <f>IFERROR(__xludf.DUMMYFUNCTION("""COMPUTED_VALUE"""),0.9868987914332508)</f>
        <v>0.9868987914</v>
      </c>
      <c r="AO730" s="30">
        <f>IFERROR(__xludf.DUMMYFUNCTION("""COMPUTED_VALUE"""),0.7300445589857477)</f>
        <v>0.730044559</v>
      </c>
      <c r="AP730" s="30">
        <f>IFERROR(__xludf.DUMMYFUNCTION("""COMPUTED_VALUE"""),1.1692457789061146)</f>
        <v>1.169245779</v>
      </c>
      <c r="AQ730" s="30">
        <f>IFERROR(__xludf.DUMMYFUNCTION("""COMPUTED_VALUE"""),1.148004490460783)</f>
        <v>1.14800449</v>
      </c>
      <c r="AR730" s="30">
        <f>IFERROR(__xludf.DUMMYFUNCTION("""COMPUTED_VALUE"""),0.9144206273664184)</f>
        <v>0.9144206274</v>
      </c>
      <c r="AS730" s="30">
        <f>IFERROR(__xludf.DUMMYFUNCTION("""COMPUTED_VALUE"""),54.0)</f>
        <v>54</v>
      </c>
      <c r="AT730" s="30">
        <f>IFERROR(__xludf.DUMMYFUNCTION("""COMPUTED_VALUE"""),0.40542697312318876)</f>
        <v>0.4054269731</v>
      </c>
      <c r="AU730" s="30">
        <f>IFERROR(__xludf.DUMMYFUNCTION("""COMPUTED_VALUE"""),1.5881830930018297)</f>
        <v>1.588183093</v>
      </c>
      <c r="AV730" s="32">
        <f>IFERROR(__xludf.DUMMYFUNCTION("""COMPUTED_VALUE"""),38.14107641812264)</f>
        <v>38.14107642</v>
      </c>
      <c r="AW730" s="32">
        <f>IFERROR(__xludf.DUMMYFUNCTION("""COMPUTED_VALUE"""),-3.1483896254735075)</f>
        <v>-3.148389625</v>
      </c>
      <c r="AX730" s="32">
        <f>IFERROR(__xludf.DUMMYFUNCTION("""COMPUTED_VALUE"""),46.46307863235107)</f>
        <v>46.46307863</v>
      </c>
      <c r="AY730" s="32">
        <f>IFERROR(__xludf.DUMMYFUNCTION("""COMPUTED_VALUE"""),-2.253538283132857)</f>
        <v>-2.253538283</v>
      </c>
      <c r="AZ730" s="30">
        <f>IFERROR(__xludf.DUMMYFUNCTION("""COMPUTED_VALUE"""),0.8948513423406506)</f>
        <v>0.8948513423</v>
      </c>
      <c r="BA730" s="30">
        <f>IFERROR(__xludf.DUMMYFUNCTION("""COMPUTED_VALUE"""),2700.0)</f>
        <v>2700</v>
      </c>
    </row>
    <row r="731">
      <c r="A731" s="71" t="str">
        <f>IFERROR(__xludf.DUMMYFUNCTION("""COMPUTED_VALUE"""),"Prospect")</f>
        <v>Prospect</v>
      </c>
      <c r="B731" s="71" t="str">
        <f>IFERROR(__xludf.DUMMYFUNCTION("""COMPUTED_VALUE"""),"RSC007502")</f>
        <v>RSC007502</v>
      </c>
      <c r="C731" s="30" t="str">
        <f>IFERROR(__xludf.DUMMYFUNCTION("""COMPUTED_VALUE"""),"Cr1m5on_RL")</f>
        <v>Cr1m5on_RL</v>
      </c>
      <c r="D731" s="30"/>
      <c r="E731" s="30">
        <f>IFERROR(__xludf.DUMMYFUNCTION("""COMPUTED_VALUE"""),22.0)</f>
        <v>22</v>
      </c>
      <c r="F731" s="30">
        <f>IFERROR(__xludf.DUMMYFUNCTION("""COMPUTED_VALUE"""),7.0)</f>
        <v>7</v>
      </c>
      <c r="G731" s="42">
        <f>IFERROR(__xludf.DUMMYFUNCTION("""COMPUTED_VALUE"""),15.0)</f>
        <v>15</v>
      </c>
      <c r="H731" s="42">
        <f>IFERROR(__xludf.DUMMYFUNCTION("""COMPUTED_VALUE"""),0.3181818181818182)</f>
        <v>0.3181818182</v>
      </c>
      <c r="I731" s="42">
        <f>IFERROR(__xludf.DUMMYFUNCTION("""COMPUTED_VALUE"""),0.196078431372549)</f>
        <v>0.1960784314</v>
      </c>
      <c r="J731" s="30">
        <f>IFERROR(__xludf.DUMMYFUNCTION("""COMPUTED_VALUE"""),334.8636363636364)</f>
        <v>334.8636364</v>
      </c>
      <c r="K731" s="30">
        <f>IFERROR(__xludf.DUMMYFUNCTION("""COMPUTED_VALUE"""),0.45454545454545453)</f>
        <v>0.4545454545</v>
      </c>
      <c r="L731" s="30">
        <f>IFERROR(__xludf.DUMMYFUNCTION("""COMPUTED_VALUE"""),0.45454545454545453)</f>
        <v>0.4545454545</v>
      </c>
      <c r="M731" s="30">
        <f>IFERROR(__xludf.DUMMYFUNCTION("""COMPUTED_VALUE"""),1.6363636363636365)</f>
        <v>1.636363636</v>
      </c>
      <c r="N731" s="30">
        <f>IFERROR(__xludf.DUMMYFUNCTION("""COMPUTED_VALUE"""),2.3181818181818183)</f>
        <v>2.318181818</v>
      </c>
      <c r="O731" s="30">
        <f>IFERROR(__xludf.DUMMYFUNCTION("""COMPUTED_VALUE"""),362.98484848484844)</f>
        <v>362.9848485</v>
      </c>
      <c r="P731" s="30">
        <f>IFERROR(__xludf.DUMMYFUNCTION("""COMPUTED_VALUE"""),0.8484848484848484)</f>
        <v>0.8484848485</v>
      </c>
      <c r="Q731" s="30">
        <f>IFERROR(__xludf.DUMMYFUNCTION("""COMPUTED_VALUE"""),0.6212121212121212)</f>
        <v>0.6212121212</v>
      </c>
      <c r="R731" s="30">
        <f>IFERROR(__xludf.DUMMYFUNCTION("""COMPUTED_VALUE"""),1.3484848484848486)</f>
        <v>1.348484848</v>
      </c>
      <c r="S731" s="30">
        <f>IFERROR(__xludf.DUMMYFUNCTION("""COMPUTED_VALUE"""),2.8030303030303028)</f>
        <v>2.803030303</v>
      </c>
      <c r="T731" s="30">
        <f>IFERROR(__xludf.DUMMYFUNCTION("""COMPUTED_VALUE"""),340.1623080751647)</f>
        <v>340.1623081</v>
      </c>
      <c r="U731" s="30">
        <f>IFERROR(__xludf.DUMMYFUNCTION("""COMPUTED_VALUE"""),0.8231161168568968)</f>
        <v>0.8231161169</v>
      </c>
      <c r="V731" s="30">
        <f>IFERROR(__xludf.DUMMYFUNCTION("""COMPUTED_VALUE"""),0.5579219903386647)</f>
        <v>0.5579219903</v>
      </c>
      <c r="W731" s="30">
        <f>IFERROR(__xludf.DUMMYFUNCTION("""COMPUTED_VALUE"""),1.1622851567956907)</f>
        <v>1.162285157</v>
      </c>
      <c r="X731" s="30">
        <f>IFERROR(__xludf.DUMMYFUNCTION("""COMPUTED_VALUE"""),2.549854942571958)</f>
        <v>2.549854943</v>
      </c>
      <c r="Y731" s="30">
        <f>IFERROR(__xludf.DUMMYFUNCTION("""COMPUTED_VALUE"""),334.19162646827357)</f>
        <v>334.1916265</v>
      </c>
      <c r="Z731" s="30">
        <f>IFERROR(__xludf.DUMMYFUNCTION("""COMPUTED_VALUE"""),0.7398666066081858)</f>
        <v>0.7398666066</v>
      </c>
      <c r="AA731" s="30">
        <f>IFERROR(__xludf.DUMMYFUNCTION("""COMPUTED_VALUE"""),0.5109558767525605)</f>
        <v>0.5109558768</v>
      </c>
      <c r="AB731" s="30">
        <f>IFERROR(__xludf.DUMMYFUNCTION("""COMPUTED_VALUE"""),1.2604181894684154)</f>
        <v>1.260418189</v>
      </c>
      <c r="AC731" s="30">
        <f>IFERROR(__xludf.DUMMYFUNCTION("""COMPUTED_VALUE"""),2.327989636284861)</f>
        <v>2.327989636</v>
      </c>
      <c r="AD731" s="30">
        <f>IFERROR(__xludf.DUMMYFUNCTION("""COMPUTED_VALUE"""),1.0020108519847268)</f>
        <v>1.002010852</v>
      </c>
      <c r="AE731" s="30">
        <f>IFERROR(__xludf.DUMMYFUNCTION("""COMPUTED_VALUE"""),0.6143613598527633)</f>
        <v>0.6143613599</v>
      </c>
      <c r="AF731" s="30">
        <f>IFERROR(__xludf.DUMMYFUNCTION("""COMPUTED_VALUE"""),0.8895982514857663)</f>
        <v>0.8895982515</v>
      </c>
      <c r="AG731" s="30">
        <f>IFERROR(__xludf.DUMMYFUNCTION("""COMPUTED_VALUE"""),1.2982704074222993)</f>
        <v>1.298270407</v>
      </c>
      <c r="AH731" s="30">
        <f>IFERROR(__xludf.DUMMYFUNCTION("""COMPUTED_VALUE"""),0.995787000959895)</f>
        <v>0.995787001</v>
      </c>
      <c r="AI731" s="30">
        <f>IFERROR(__xludf.DUMMYFUNCTION("""COMPUTED_VALUE"""),1.0670930901745903)</f>
        <v>1.06709309</v>
      </c>
      <c r="AJ731" s="30">
        <f>IFERROR(__xludf.DUMMYFUNCTION("""COMPUTED_VALUE"""),1.0308203558506706)</f>
        <v>1.030820356</v>
      </c>
      <c r="AK731" s="30">
        <f>IFERROR(__xludf.DUMMYFUNCTION("""COMPUTED_VALUE"""),1.1134390326415324)</f>
        <v>1.113439033</v>
      </c>
      <c r="AL731" s="30">
        <f>IFERROR(__xludf.DUMMYFUNCTION("""COMPUTED_VALUE"""),1.1602013848326969)</f>
        <v>1.160201385</v>
      </c>
      <c r="AM731" s="30">
        <f>IFERROR(__xludf.DUMMYFUNCTION("""COMPUTED_VALUE"""),1.0992901032256268)</f>
        <v>1.099290103</v>
      </c>
      <c r="AN731" s="30">
        <f>IFERROR(__xludf.DUMMYFUNCTION("""COMPUTED_VALUE"""),1.034355298974073)</f>
        <v>1.034355299</v>
      </c>
      <c r="AO731" s="30">
        <f>IFERROR(__xludf.DUMMYFUNCTION("""COMPUTED_VALUE"""),0.6162713809619949)</f>
        <v>0.616271381</v>
      </c>
      <c r="AP731" s="30">
        <f>IFERROR(__xludf.DUMMYFUNCTION("""COMPUTED_VALUE"""),0.9212239470169389)</f>
        <v>0.921223947</v>
      </c>
      <c r="AQ731" s="30">
        <f>IFERROR(__xludf.DUMMYFUNCTION("""COMPUTED_VALUE"""),1.3567325796354708)</f>
        <v>1.35673258</v>
      </c>
      <c r="AR731" s="30">
        <f>IFERROR(__xludf.DUMMYFUNCTION("""COMPUTED_VALUE"""),0.9841897336752199)</f>
        <v>0.9841897337</v>
      </c>
      <c r="AS731" s="30">
        <f>IFERROR(__xludf.DUMMYFUNCTION("""COMPUTED_VALUE"""),33.0)</f>
        <v>33</v>
      </c>
      <c r="AT731" s="30">
        <f>IFERROR(__xludf.DUMMYFUNCTION("""COMPUTED_VALUE"""),0.31220763917021954)</f>
        <v>0.3122076392</v>
      </c>
      <c r="AU731" s="30">
        <f>IFERROR(__xludf.DUMMYFUNCTION("""COMPUTED_VALUE"""),1.4944837332474945)</f>
        <v>1.494483733</v>
      </c>
      <c r="AV731" s="32">
        <f>IFERROR(__xludf.DUMMYFUNCTION("""COMPUTED_VALUE"""),35.160294135301456)</f>
        <v>35.16029414</v>
      </c>
      <c r="AW731" s="32">
        <f>IFERROR(__xludf.DUMMYFUNCTION("""COMPUTED_VALUE"""),-3.618026477499825)</f>
        <v>-3.618026477</v>
      </c>
      <c r="AX731" s="32">
        <f>IFERROR(__xludf.DUMMYFUNCTION("""COMPUTED_VALUE"""),40.968545191858276)</f>
        <v>40.96854519</v>
      </c>
      <c r="AY731" s="32">
        <f>IFERROR(__xludf.DUMMYFUNCTION("""COMPUTED_VALUE"""),-2.7858783227540007)</f>
        <v>-2.785878323</v>
      </c>
      <c r="AZ731" s="30">
        <f>IFERROR(__xludf.DUMMYFUNCTION("""COMPUTED_VALUE"""),0.8321481547458243)</f>
        <v>0.8321481547</v>
      </c>
      <c r="BA731" s="30">
        <f>IFERROR(__xludf.DUMMYFUNCTION("""COMPUTED_VALUE"""),2700.0)</f>
        <v>2700</v>
      </c>
    </row>
    <row r="732">
      <c r="A732" s="71" t="str">
        <f>IFERROR(__xludf.DUMMYFUNCTION("""COMPUTED_VALUE"""),"Prospect")</f>
        <v>Prospect</v>
      </c>
      <c r="B732" s="71" t="str">
        <f>IFERROR(__xludf.DUMMYFUNCTION("""COMPUTED_VALUE"""),"RSC008010")</f>
        <v>RSC008010</v>
      </c>
      <c r="C732" s="30" t="str">
        <f>IFERROR(__xludf.DUMMYFUNCTION("""COMPUTED_VALUE"""),"WamBamTYMan-")</f>
        <v>WamBamTYMan-</v>
      </c>
      <c r="D732" s="30" t="str">
        <f>IFERROR(__xludf.DUMMYFUNCTION("""COMPUTED_VALUE"""),"Khans")</f>
        <v>Khans</v>
      </c>
      <c r="E732" s="30">
        <f>IFERROR(__xludf.DUMMYFUNCTION("""COMPUTED_VALUE"""),36.0)</f>
        <v>36</v>
      </c>
      <c r="F732" s="30">
        <f>IFERROR(__xludf.DUMMYFUNCTION("""COMPUTED_VALUE"""),15.0)</f>
        <v>15</v>
      </c>
      <c r="G732" s="42">
        <f>IFERROR(__xludf.DUMMYFUNCTION("""COMPUTED_VALUE"""),21.0)</f>
        <v>21</v>
      </c>
      <c r="H732" s="42">
        <f>IFERROR(__xludf.DUMMYFUNCTION("""COMPUTED_VALUE"""),0.4166666666666667)</f>
        <v>0.4166666667</v>
      </c>
      <c r="I732" s="42">
        <f>IFERROR(__xludf.DUMMYFUNCTION("""COMPUTED_VALUE"""),0.3225806451612903)</f>
        <v>0.3225806452</v>
      </c>
      <c r="J732" s="30">
        <f>IFERROR(__xludf.DUMMYFUNCTION("""COMPUTED_VALUE"""),369.9166666666667)</f>
        <v>369.9166667</v>
      </c>
      <c r="K732" s="30">
        <f>IFERROR(__xludf.DUMMYFUNCTION("""COMPUTED_VALUE"""),0.8333333333333334)</f>
        <v>0.8333333333</v>
      </c>
      <c r="L732" s="30">
        <f>IFERROR(__xludf.DUMMYFUNCTION("""COMPUTED_VALUE"""),0.4444444444444444)</f>
        <v>0.4444444444</v>
      </c>
      <c r="M732" s="30">
        <f>IFERROR(__xludf.DUMMYFUNCTION("""COMPUTED_VALUE"""),1.5833333333333333)</f>
        <v>1.583333333</v>
      </c>
      <c r="N732" s="30">
        <f>IFERROR(__xludf.DUMMYFUNCTION("""COMPUTED_VALUE"""),2.5833333333333335)</f>
        <v>2.583333333</v>
      </c>
      <c r="O732" s="30">
        <f>IFERROR(__xludf.DUMMYFUNCTION("""COMPUTED_VALUE"""),349.7685185185185)</f>
        <v>349.7685185</v>
      </c>
      <c r="P732" s="30">
        <f>IFERROR(__xludf.DUMMYFUNCTION("""COMPUTED_VALUE"""),0.8518518518518517)</f>
        <v>0.8518518519</v>
      </c>
      <c r="Q732" s="30">
        <f>IFERROR(__xludf.DUMMYFUNCTION("""COMPUTED_VALUE"""),0.5648148148148147)</f>
        <v>0.5648148148</v>
      </c>
      <c r="R732" s="30">
        <f>IFERROR(__xludf.DUMMYFUNCTION("""COMPUTED_VALUE"""),1.2500000000000007)</f>
        <v>1.25</v>
      </c>
      <c r="S732" s="30">
        <f>IFERROR(__xludf.DUMMYFUNCTION("""COMPUTED_VALUE"""),2.851851851851852)</f>
        <v>2.851851852</v>
      </c>
      <c r="T732" s="30">
        <f>IFERROR(__xludf.DUMMYFUNCTION("""COMPUTED_VALUE"""),336.3486909207961)</f>
        <v>336.3486909</v>
      </c>
      <c r="U732" s="30">
        <f>IFERROR(__xludf.DUMMYFUNCTION("""COMPUTED_VALUE"""),0.8171942005470112)</f>
        <v>0.8171942005</v>
      </c>
      <c r="V732" s="30">
        <f>IFERROR(__xludf.DUMMYFUNCTION("""COMPUTED_VALUE"""),0.5536048075206998)</f>
        <v>0.5536048075</v>
      </c>
      <c r="W732" s="30">
        <f>IFERROR(__xludf.DUMMYFUNCTION("""COMPUTED_VALUE"""),1.138370662467693)</f>
        <v>1.138370662</v>
      </c>
      <c r="X732" s="30">
        <f>IFERROR(__xludf.DUMMYFUNCTION("""COMPUTED_VALUE"""),2.580153230987422)</f>
        <v>2.580153231</v>
      </c>
      <c r="Y732" s="30">
        <f>IFERROR(__xludf.DUMMYFUNCTION("""COMPUTED_VALUE"""),332.126417192251)</f>
        <v>332.1264172</v>
      </c>
      <c r="Z732" s="30">
        <f>IFERROR(__xludf.DUMMYFUNCTION("""COMPUTED_VALUE"""),0.74762375106311)</f>
        <v>0.7476237511</v>
      </c>
      <c r="AA732" s="30">
        <f>IFERROR(__xludf.DUMMYFUNCTION("""COMPUTED_VALUE"""),0.4983315913609817)</f>
        <v>0.4983315914</v>
      </c>
      <c r="AB732" s="30">
        <f>IFERROR(__xludf.DUMMYFUNCTION("""COMPUTED_VALUE"""),1.281182619510454)</f>
        <v>1.28118262</v>
      </c>
      <c r="AC732" s="30">
        <f>IFERROR(__xludf.DUMMYFUNCTION("""COMPUTED_VALUE"""),2.3033915188696352)</f>
        <v>2.303391519</v>
      </c>
      <c r="AD732" s="30">
        <f>IFERROR(__xludf.DUMMYFUNCTION("""COMPUTED_VALUE"""),1.1137827270528164)</f>
        <v>1.113782727</v>
      </c>
      <c r="AE732" s="30">
        <f>IFERROR(__xludf.DUMMYFUNCTION("""COMPUTED_VALUE"""),1.1146426690542477)</f>
        <v>1.114642669</v>
      </c>
      <c r="AF732" s="30">
        <f>IFERROR(__xludf.DUMMYFUNCTION("""COMPUTED_VALUE"""),0.8918648790268998)</f>
        <v>0.891864879</v>
      </c>
      <c r="AG732" s="30">
        <f>IFERROR(__xludf.DUMMYFUNCTION("""COMPUTED_VALUE"""),1.2358373499777358)</f>
        <v>1.23583735</v>
      </c>
      <c r="AH732" s="30">
        <f>IFERROR(__xludf.DUMMYFUNCTION("""COMPUTED_VALUE"""),1.1215346206541026)</f>
        <v>1.121534621</v>
      </c>
      <c r="AI732" s="30">
        <f>IFERROR(__xludf.DUMMYFUNCTION("""COMPUTED_VALUE"""),1.0398985575385589)</f>
        <v>1.039898558</v>
      </c>
      <c r="AJ732" s="30">
        <f>IFERROR(__xludf.DUMMYFUNCTION("""COMPUTED_VALUE"""),1.0424105448639278)</f>
        <v>1.042410545</v>
      </c>
      <c r="AK732" s="30">
        <f>IFERROR(__xludf.DUMMYFUNCTION("""COMPUTED_VALUE"""),1.0202491147869877)</f>
        <v>1.020249115</v>
      </c>
      <c r="AL732" s="30">
        <f>IFERROR(__xludf.DUMMYFUNCTION("""COMPUTED_VALUE"""),1.0980606240240978)</f>
        <v>1.098060624</v>
      </c>
      <c r="AM732" s="30">
        <f>IFERROR(__xludf.DUMMYFUNCTION("""COMPUTED_VALUE"""),1.105303288812987)</f>
        <v>1.105303289</v>
      </c>
      <c r="AN732" s="30">
        <f>IFERROR(__xludf.DUMMYFUNCTION("""COMPUTED_VALUE"""),1.1426300822045383)</f>
        <v>1.142630082</v>
      </c>
      <c r="AO732" s="30">
        <f>IFERROR(__xludf.DUMMYFUNCTION("""COMPUTED_VALUE"""),1.1298308650969906)</f>
        <v>1.129830865</v>
      </c>
      <c r="AP732" s="30">
        <f>IFERROR(__xludf.DUMMYFUNCTION("""COMPUTED_VALUE"""),0.9007523037498958)</f>
        <v>0.9007523037</v>
      </c>
      <c r="AQ732" s="30">
        <f>IFERROR(__xludf.DUMMYFUNCTION("""COMPUTED_VALUE"""),1.3127643941843212)</f>
        <v>1.312764394</v>
      </c>
      <c r="AR732" s="30">
        <f>IFERROR(__xludf.DUMMYFUNCTION("""COMPUTED_VALUE"""),1.0967604548472223)</f>
        <v>1.096760455</v>
      </c>
      <c r="AS732" s="30">
        <f>IFERROR(__xludf.DUMMYFUNCTION("""COMPUTED_VALUE"""),70.0)</f>
        <v>70</v>
      </c>
      <c r="AT732" s="30">
        <f>IFERROR(__xludf.DUMMYFUNCTION("""COMPUTED_VALUE"""),0.39631946772274024)</f>
        <v>0.3963194677</v>
      </c>
      <c r="AU732" s="30">
        <f>IFERROR(__xludf.DUMMYFUNCTION("""COMPUTED_VALUE"""),2.242112167130031)</f>
        <v>2.242112167</v>
      </c>
      <c r="AV732" s="32">
        <f>IFERROR(__xludf.DUMMYFUNCTION("""COMPUTED_VALUE"""),58.94399549348821)</f>
        <v>58.94399549</v>
      </c>
      <c r="AW732" s="32">
        <f>IFERROR(__xludf.DUMMYFUNCTION("""COMPUTED_VALUE"""),2.7757612559439755)</f>
        <v>2.775761256</v>
      </c>
      <c r="AX732" s="32">
        <f>IFERROR(__xludf.DUMMYFUNCTION("""COMPUTED_VALUE"""),51.62276429165395)</f>
        <v>51.62276429</v>
      </c>
      <c r="AY732" s="32">
        <f>IFERROR(__xludf.DUMMYFUNCTION("""COMPUTED_VALUE"""),2.1091591002853876)</f>
        <v>2.1091591</v>
      </c>
      <c r="AZ732" s="30">
        <f>IFERROR(__xludf.DUMMYFUNCTION("""COMPUTED_VALUE"""),0.6666021556585879)</f>
        <v>0.6666021557</v>
      </c>
      <c r="BA732" s="30">
        <f>IFERROR(__xludf.DUMMYFUNCTION("""COMPUTED_VALUE"""),2700.0)</f>
        <v>2700</v>
      </c>
    </row>
    <row r="733">
      <c r="A733" s="71" t="str">
        <f>IFERROR(__xludf.DUMMYFUNCTION("""COMPUTED_VALUE"""),"Prospect")</f>
        <v>Prospect</v>
      </c>
      <c r="B733" s="71" t="str">
        <f>IFERROR(__xludf.DUMMYFUNCTION("""COMPUTED_VALUE"""),"RSC003374")</f>
        <v>RSC003374</v>
      </c>
      <c r="C733" s="30" t="str">
        <f>IFERROR(__xludf.DUMMYFUNCTION("""COMPUTED_VALUE"""),"Raisonbran")</f>
        <v>Raisonbran</v>
      </c>
      <c r="D733" s="30" t="str">
        <f>IFERROR(__xludf.DUMMYFUNCTION("""COMPUTED_VALUE"""),"Skeletons")</f>
        <v>Skeletons</v>
      </c>
      <c r="E733" s="30">
        <f>IFERROR(__xludf.DUMMYFUNCTION("""COMPUTED_VALUE"""),28.0)</f>
        <v>28</v>
      </c>
      <c r="F733" s="30">
        <f>IFERROR(__xludf.DUMMYFUNCTION("""COMPUTED_VALUE"""),12.0)</f>
        <v>12</v>
      </c>
      <c r="G733" s="42">
        <f>IFERROR(__xludf.DUMMYFUNCTION("""COMPUTED_VALUE"""),16.0)</f>
        <v>16</v>
      </c>
      <c r="H733" s="42">
        <f>IFERROR(__xludf.DUMMYFUNCTION("""COMPUTED_VALUE"""),0.42857142857142855)</f>
        <v>0.4285714286</v>
      </c>
      <c r="I733" s="42">
        <f>IFERROR(__xludf.DUMMYFUNCTION("""COMPUTED_VALUE"""),0.40625000000000006)</f>
        <v>0.40625</v>
      </c>
      <c r="J733" s="30">
        <f>IFERROR(__xludf.DUMMYFUNCTION("""COMPUTED_VALUE"""),325.67857142857144)</f>
        <v>325.6785714</v>
      </c>
      <c r="K733" s="30">
        <f>IFERROR(__xludf.DUMMYFUNCTION("""COMPUTED_VALUE"""),0.9285714285714286)</f>
        <v>0.9285714286</v>
      </c>
      <c r="L733" s="30">
        <f>IFERROR(__xludf.DUMMYFUNCTION("""COMPUTED_VALUE"""),0.25)</f>
        <v>0.25</v>
      </c>
      <c r="M733" s="30">
        <f>IFERROR(__xludf.DUMMYFUNCTION("""COMPUTED_VALUE"""),1.25)</f>
        <v>1.25</v>
      </c>
      <c r="N733" s="30">
        <f>IFERROR(__xludf.DUMMYFUNCTION("""COMPUTED_VALUE"""),2.2857142857142856)</f>
        <v>2.285714286</v>
      </c>
      <c r="O733" s="30">
        <f>IFERROR(__xludf.DUMMYFUNCTION("""COMPUTED_VALUE"""),318.89285714285717)</f>
        <v>318.8928571</v>
      </c>
      <c r="P733" s="30">
        <f>IFERROR(__xludf.DUMMYFUNCTION("""COMPUTED_VALUE"""),0.7976190476190476)</f>
        <v>0.7976190476</v>
      </c>
      <c r="Q733" s="30">
        <f>IFERROR(__xludf.DUMMYFUNCTION("""COMPUTED_VALUE"""),0.4880952380952381)</f>
        <v>0.4880952381</v>
      </c>
      <c r="R733" s="30">
        <f>IFERROR(__xludf.DUMMYFUNCTION("""COMPUTED_VALUE"""),1.0476190476190474)</f>
        <v>1.047619048</v>
      </c>
      <c r="S733" s="30">
        <f>IFERROR(__xludf.DUMMYFUNCTION("""COMPUTED_VALUE"""),2.5714285714285725)</f>
        <v>2.571428571</v>
      </c>
      <c r="T733" s="30">
        <f>IFERROR(__xludf.DUMMYFUNCTION("""COMPUTED_VALUE"""),330.9682127680341)</f>
        <v>330.9682128</v>
      </c>
      <c r="U733" s="30">
        <f>IFERROR(__xludf.DUMMYFUNCTION("""COMPUTED_VALUE"""),0.7720177136516213)</f>
        <v>0.7720177137</v>
      </c>
      <c r="V733" s="30">
        <f>IFERROR(__xludf.DUMMYFUNCTION("""COMPUTED_VALUE"""),0.529567225192898)</f>
        <v>0.5295672252</v>
      </c>
      <c r="W733" s="30">
        <f>IFERROR(__xludf.DUMMYFUNCTION("""COMPUTED_VALUE"""),1.204134811598033)</f>
        <v>1.204134812</v>
      </c>
      <c r="X733" s="30">
        <f>IFERROR(__xludf.DUMMYFUNCTION("""COMPUTED_VALUE"""),2.359570965966518)</f>
        <v>2.359570966</v>
      </c>
      <c r="Y733" s="30">
        <f>IFERROR(__xludf.DUMMYFUNCTION("""COMPUTED_VALUE"""),334.0445276396334)</f>
        <v>334.0445276</v>
      </c>
      <c r="Z733" s="30">
        <f>IFERROR(__xludf.DUMMYFUNCTION("""COMPUTED_VALUE"""),0.804277618260209)</f>
        <v>0.8042776183</v>
      </c>
      <c r="AA733" s="30">
        <f>IFERROR(__xludf.DUMMYFUNCTION("""COMPUTED_VALUE"""),0.5292107672271275)</f>
        <v>0.5292107672</v>
      </c>
      <c r="AB733" s="30">
        <f>IFERROR(__xludf.DUMMYFUNCTION("""COMPUTED_VALUE"""),1.1866112016977086)</f>
        <v>1.186611202</v>
      </c>
      <c r="AC733" s="30">
        <f>IFERROR(__xludf.DUMMYFUNCTION("""COMPUTED_VALUE"""),2.4205690707559535)</f>
        <v>2.420569071</v>
      </c>
      <c r="AD733" s="30">
        <f>IFERROR(__xludf.DUMMYFUNCTION("""COMPUTED_VALUE"""),0.9749555657439565)</f>
        <v>0.9749555657</v>
      </c>
      <c r="AE733" s="30">
        <f>IFERROR(__xludf.DUMMYFUNCTION("""COMPUTED_VALUE"""),1.1545409290141486)</f>
        <v>1.154540929</v>
      </c>
      <c r="AF733" s="30">
        <f>IFERROR(__xludf.DUMMYFUNCTION("""COMPUTED_VALUE"""),0.47240157510382746)</f>
        <v>0.4724015751</v>
      </c>
      <c r="AG733" s="30">
        <f>IFERROR(__xludf.DUMMYFUNCTION("""COMPUTED_VALUE"""),1.0534200235187396)</f>
        <v>1.053420024</v>
      </c>
      <c r="AH733" s="30">
        <f>IFERROR(__xludf.DUMMYFUNCTION("""COMPUTED_VALUE"""),0.9442879830735207)</f>
        <v>0.9442879831</v>
      </c>
      <c r="AI733" s="30">
        <f>IFERROR(__xludf.DUMMYFUNCTION("""COMPUTED_VALUE"""),0.9635150592735617)</f>
        <v>0.9635150593</v>
      </c>
      <c r="AJ733" s="30">
        <f>IFERROR(__xludf.DUMMYFUNCTION("""COMPUTED_VALUE"""),1.0331615888012888)</f>
        <v>1.033161589</v>
      </c>
      <c r="AK733" s="30">
        <f>IFERROR(__xludf.DUMMYFUNCTION("""COMPUTED_VALUE"""),0.9216870207884306)</f>
        <v>0.9216870208</v>
      </c>
      <c r="AL733" s="30">
        <f>IFERROR(__xludf.DUMMYFUNCTION("""COMPUTED_VALUE"""),0.8700180723358789)</f>
        <v>0.8700180723</v>
      </c>
      <c r="AM733" s="30">
        <f>IFERROR(__xludf.DUMMYFUNCTION("""COMPUTED_VALUE"""),1.08978649445929)</f>
        <v>1.089786494</v>
      </c>
      <c r="AN733" s="30">
        <f>IFERROR(__xludf.DUMMYFUNCTION("""COMPUTED_VALUE"""),1.0059836886966034)</f>
        <v>1.005983689</v>
      </c>
      <c r="AO733" s="30">
        <f>IFERROR(__xludf.DUMMYFUNCTION("""COMPUTED_VALUE"""),1.2589543925366466)</f>
        <v>1.258954393</v>
      </c>
      <c r="AP733" s="30">
        <f>IFERROR(__xludf.DUMMYFUNCTION("""COMPUTED_VALUE"""),0.5066731708593164)</f>
        <v>0.5066731709</v>
      </c>
      <c r="AQ733" s="30">
        <f>IFERROR(__xludf.DUMMYFUNCTION("""COMPUTED_VALUE"""),1.0363929427770957)</f>
        <v>1.036392943</v>
      </c>
      <c r="AR733" s="30">
        <f>IFERROR(__xludf.DUMMYFUNCTION("""COMPUTED_VALUE"""),0.970405563735791)</f>
        <v>0.9704055637</v>
      </c>
      <c r="AS733" s="30">
        <f>IFERROR(__xludf.DUMMYFUNCTION("""COMPUTED_VALUE"""),61.0)</f>
        <v>61</v>
      </c>
      <c r="AT733" s="30">
        <f>IFERROR(__xludf.DUMMYFUNCTION("""COMPUTED_VALUE"""),0.4637837611505417)</f>
        <v>0.4637837612</v>
      </c>
      <c r="AU733" s="30">
        <f>IFERROR(__xludf.DUMMYFUNCTION("""COMPUTED_VALUE"""),1.9171120133269433)</f>
        <v>1.917112013</v>
      </c>
      <c r="AV733" s="32">
        <f>IFERROR(__xludf.DUMMYFUNCTION("""COMPUTED_VALUE"""),48.60502729871801)</f>
        <v>48.6050273</v>
      </c>
      <c r="AW733" s="32">
        <f>IFERROR(__xludf.DUMMYFUNCTION("""COMPUTED_VALUE"""),-2.093140558440064)</f>
        <v>-2.093140558</v>
      </c>
      <c r="AX733" s="32">
        <f>IFERROR(__xludf.DUMMYFUNCTION("""COMPUTED_VALUE"""),41.87540321236446)</f>
        <v>41.87540321</v>
      </c>
      <c r="AY733" s="32">
        <f>IFERROR(__xludf.DUMMYFUNCTION("""COMPUTED_VALUE"""),-2.683867471628006)</f>
        <v>-2.683867472</v>
      </c>
      <c r="AZ733" s="30">
        <f>IFERROR(__xludf.DUMMYFUNCTION("""COMPUTED_VALUE"""),0.5907269131879422)</f>
        <v>0.5907269132</v>
      </c>
      <c r="BA733" s="30">
        <f>IFERROR(__xludf.DUMMYFUNCTION("""COMPUTED_VALUE"""),2700.0)</f>
        <v>2700</v>
      </c>
    </row>
    <row r="734">
      <c r="A734" s="71" t="str">
        <f>IFERROR(__xludf.DUMMYFUNCTION("""COMPUTED_VALUE"""),"Prospect")</f>
        <v>Prospect</v>
      </c>
      <c r="B734" s="71" t="str">
        <f>IFERROR(__xludf.DUMMYFUNCTION("""COMPUTED_VALUE"""),"RSC005139")</f>
        <v>RSC005139</v>
      </c>
      <c r="C734" s="30" t="str">
        <f>IFERROR(__xludf.DUMMYFUNCTION("""COMPUTED_VALUE"""),"brillo_padd")</f>
        <v>brillo_padd</v>
      </c>
      <c r="D734" s="30" t="str">
        <f>IFERROR(__xludf.DUMMYFUNCTION("""COMPUTED_VALUE"""),"Principales")</f>
        <v>Principales</v>
      </c>
      <c r="E734" s="30">
        <f>IFERROR(__xludf.DUMMYFUNCTION("""COMPUTED_VALUE"""),34.0)</f>
        <v>34</v>
      </c>
      <c r="F734" s="30">
        <f>IFERROR(__xludf.DUMMYFUNCTION("""COMPUTED_VALUE"""),12.0)</f>
        <v>12</v>
      </c>
      <c r="G734" s="42">
        <f>IFERROR(__xludf.DUMMYFUNCTION("""COMPUTED_VALUE"""),22.0)</f>
        <v>22</v>
      </c>
      <c r="H734" s="42">
        <f>IFERROR(__xludf.DUMMYFUNCTION("""COMPUTED_VALUE"""),0.35294117647058826)</f>
        <v>0.3529411765</v>
      </c>
      <c r="I734" s="42">
        <f>IFERROR(__xludf.DUMMYFUNCTION("""COMPUTED_VALUE"""),0.32051282051282054)</f>
        <v>0.3205128205</v>
      </c>
      <c r="J734" s="30">
        <f>IFERROR(__xludf.DUMMYFUNCTION("""COMPUTED_VALUE"""),293.29411764705884)</f>
        <v>293.2941176</v>
      </c>
      <c r="K734" s="30">
        <f>IFERROR(__xludf.DUMMYFUNCTION("""COMPUTED_VALUE"""),0.7352941176470589)</f>
        <v>0.7352941176</v>
      </c>
      <c r="L734" s="30">
        <f>IFERROR(__xludf.DUMMYFUNCTION("""COMPUTED_VALUE"""),0.4117647058823529)</f>
        <v>0.4117647059</v>
      </c>
      <c r="M734" s="30">
        <f>IFERROR(__xludf.DUMMYFUNCTION("""COMPUTED_VALUE"""),1.0294117647058822)</f>
        <v>1.029411765</v>
      </c>
      <c r="N734" s="30">
        <f>IFERROR(__xludf.DUMMYFUNCTION("""COMPUTED_VALUE"""),2.2941176470588234)</f>
        <v>2.294117647</v>
      </c>
      <c r="O734" s="30">
        <f>IFERROR(__xludf.DUMMYFUNCTION("""COMPUTED_VALUE"""),339.3137254901961)</f>
        <v>339.3137255</v>
      </c>
      <c r="P734" s="30">
        <f>IFERROR(__xludf.DUMMYFUNCTION("""COMPUTED_VALUE"""),0.9509803921568628)</f>
        <v>0.9509803922</v>
      </c>
      <c r="Q734" s="30">
        <f>IFERROR(__xludf.DUMMYFUNCTION("""COMPUTED_VALUE"""),0.607843137254902)</f>
        <v>0.6078431373</v>
      </c>
      <c r="R734" s="30">
        <f>IFERROR(__xludf.DUMMYFUNCTION("""COMPUTED_VALUE"""),0.9509803921568628)</f>
        <v>0.9509803922</v>
      </c>
      <c r="S734" s="30">
        <f>IFERROR(__xludf.DUMMYFUNCTION("""COMPUTED_VALUE"""),2.4411764705882346)</f>
        <v>2.441176471</v>
      </c>
      <c r="T734" s="30">
        <f>IFERROR(__xludf.DUMMYFUNCTION("""COMPUTED_VALUE"""),331.3859318576751)</f>
        <v>331.3859319</v>
      </c>
      <c r="U734" s="30">
        <f>IFERROR(__xludf.DUMMYFUNCTION("""COMPUTED_VALUE"""),0.7651449491972315)</f>
        <v>0.7651449492</v>
      </c>
      <c r="V734" s="30">
        <f>IFERROR(__xludf.DUMMYFUNCTION("""COMPUTED_VALUE"""),0.5719491098985532)</f>
        <v>0.5719491099</v>
      </c>
      <c r="W734" s="30">
        <f>IFERROR(__xludf.DUMMYFUNCTION("""COMPUTED_VALUE"""),1.1674690746755987)</f>
        <v>1.167469075</v>
      </c>
      <c r="X734" s="30">
        <f>IFERROR(__xludf.DUMMYFUNCTION("""COMPUTED_VALUE"""),2.433501119638098)</f>
        <v>2.43350112</v>
      </c>
      <c r="Y734" s="30">
        <f>IFERROR(__xludf.DUMMYFUNCTION("""COMPUTED_VALUE"""),334.7546606118471)</f>
        <v>334.7546606</v>
      </c>
      <c r="Z734" s="30">
        <f>IFERROR(__xludf.DUMMYFUNCTION("""COMPUTED_VALUE"""),0.789330367824139)</f>
        <v>0.7893303678</v>
      </c>
      <c r="AA734" s="30">
        <f>IFERROR(__xludf.DUMMYFUNCTION("""COMPUTED_VALUE"""),0.519344053778967)</f>
        <v>0.5193440538</v>
      </c>
      <c r="AB734" s="30">
        <f>IFERROR(__xludf.DUMMYFUNCTION("""COMPUTED_VALUE"""),1.2329980501560456)</f>
        <v>1.23299805</v>
      </c>
      <c r="AC734" s="30">
        <f>IFERROR(__xludf.DUMMYFUNCTION("""COMPUTED_VALUE"""),2.3832643646717417)</f>
        <v>2.383264365</v>
      </c>
      <c r="AD734" s="30">
        <f>IFERROR(__xludf.DUMMYFUNCTION("""COMPUTED_VALUE"""),0.8761464802640572)</f>
        <v>0.8761464803</v>
      </c>
      <c r="AE734" s="30">
        <f>IFERROR(__xludf.DUMMYFUNCTION("""COMPUTED_VALUE"""),0.9315416555858151)</f>
        <v>0.9315416556</v>
      </c>
      <c r="AF734" s="30">
        <f>IFERROR(__xludf.DUMMYFUNCTION("""COMPUTED_VALUE"""),0.7928553391266903)</f>
        <v>0.7928553391</v>
      </c>
      <c r="AG734" s="30">
        <f>IFERROR(__xludf.DUMMYFUNCTION("""COMPUTED_VALUE"""),0.8348851521505668)</f>
        <v>0.8348851522</v>
      </c>
      <c r="AH734" s="30">
        <f>IFERROR(__xludf.DUMMYFUNCTION("""COMPUTED_VALUE"""),0.9625947003889361)</f>
        <v>0.9625947004</v>
      </c>
      <c r="AI734" s="30">
        <f>IFERROR(__xludf.DUMMYFUNCTION("""COMPUTED_VALUE"""),1.0239231448000208)</f>
        <v>1.023923145</v>
      </c>
      <c r="AJ734" s="30">
        <f>IFERROR(__xludf.DUMMYFUNCTION("""COMPUTED_VALUE"""),1.2428761284441654)</f>
        <v>1.242876128</v>
      </c>
      <c r="AK734" s="30">
        <f>IFERROR(__xludf.DUMMYFUNCTION("""COMPUTED_VALUE"""),1.062757379520558)</f>
        <v>1.06275738</v>
      </c>
      <c r="AL734" s="30">
        <f>IFERROR(__xludf.DUMMYFUNCTION("""COMPUTED_VALUE"""),0.8145658097377089)</f>
        <v>0.8145658097</v>
      </c>
      <c r="AM734" s="30">
        <f>IFERROR(__xludf.DUMMYFUNCTION("""COMPUTED_VALUE"""),1.003154036333987)</f>
        <v>1.003154036</v>
      </c>
      <c r="AN734" s="30">
        <f>IFERROR(__xludf.DUMMYFUNCTION("""COMPUTED_VALUE"""),0.9059518317382286)</f>
        <v>0.9059518317</v>
      </c>
      <c r="AO734" s="30">
        <f>IFERROR(__xludf.DUMMYFUNCTION("""COMPUTED_VALUE"""),0.9969095868502859)</f>
        <v>0.9969095869</v>
      </c>
      <c r="AP734" s="30">
        <f>IFERROR(__xludf.DUMMYFUNCTION("""COMPUTED_VALUE"""),0.8345205167094623)</f>
        <v>0.8345205167</v>
      </c>
      <c r="AQ734" s="30">
        <f>IFERROR(__xludf.DUMMYFUNCTION("""COMPUTED_VALUE"""),0.853500070522314)</f>
        <v>0.8535000705</v>
      </c>
      <c r="AR734" s="30">
        <f>IFERROR(__xludf.DUMMYFUNCTION("""COMPUTED_VALUE"""),0.9739732312495255)</f>
        <v>0.9739732312</v>
      </c>
      <c r="AS734" s="30">
        <f>IFERROR(__xludf.DUMMYFUNCTION("""COMPUTED_VALUE"""),66.0)</f>
        <v>66</v>
      </c>
      <c r="AT734" s="30">
        <f>IFERROR(__xludf.DUMMYFUNCTION("""COMPUTED_VALUE"""),0.3534765601740342)</f>
        <v>0.3534765602</v>
      </c>
      <c r="AU734" s="30">
        <f>IFERROR(__xludf.DUMMYFUNCTION("""COMPUTED_VALUE"""),1.697121227690697)</f>
        <v>1.697121228</v>
      </c>
      <c r="AV734" s="32">
        <f>IFERROR(__xludf.DUMMYFUNCTION("""COMPUTED_VALUE"""),41.60663757729736)</f>
        <v>41.60663758</v>
      </c>
      <c r="AW734" s="32">
        <f>IFERROR(__xludf.DUMMYFUNCTION("""COMPUTED_VALUE"""),-2.7134424732911198)</f>
        <v>-2.713442473</v>
      </c>
      <c r="AX734" s="32">
        <f>IFERROR(__xludf.DUMMYFUNCTION("""COMPUTED_VALUE"""),47.72453193617054)</f>
        <v>47.72453194</v>
      </c>
      <c r="AY734" s="32">
        <f>IFERROR(__xludf.DUMMYFUNCTION("""COMPUTED_VALUE"""),-2.1563860446853234)</f>
        <v>-2.156386045</v>
      </c>
      <c r="AZ734" s="30">
        <f>IFERROR(__xludf.DUMMYFUNCTION("""COMPUTED_VALUE"""),0.5570564286057964)</f>
        <v>0.5570564286</v>
      </c>
      <c r="BA734" s="30">
        <f>IFERROR(__xludf.DUMMYFUNCTION("""COMPUTED_VALUE"""),2700.0)</f>
        <v>2700</v>
      </c>
    </row>
    <row r="735">
      <c r="A735" s="71" t="str">
        <f>IFERROR(__xludf.DUMMYFUNCTION("""COMPUTED_VALUE"""),"Prospect")</f>
        <v>Prospect</v>
      </c>
      <c r="B735" s="71" t="str">
        <f>IFERROR(__xludf.DUMMYFUNCTION("""COMPUTED_VALUE"""),"RSC005608")</f>
        <v>RSC005608</v>
      </c>
      <c r="C735" s="30" t="str">
        <f>IFERROR(__xludf.DUMMYFUNCTION("""COMPUTED_VALUE"""),"wolverine36535")</f>
        <v>wolverine36535</v>
      </c>
      <c r="D735" s="30" t="str">
        <f>IFERROR(__xludf.DUMMYFUNCTION("""COMPUTED_VALUE"""),"Prism Proteges")</f>
        <v>Prism Proteges</v>
      </c>
      <c r="E735" s="30">
        <f>IFERROR(__xludf.DUMMYFUNCTION("""COMPUTED_VALUE"""),26.0)</f>
        <v>26</v>
      </c>
      <c r="F735" s="30">
        <f>IFERROR(__xludf.DUMMYFUNCTION("""COMPUTED_VALUE"""),10.0)</f>
        <v>10</v>
      </c>
      <c r="G735" s="42">
        <f>IFERROR(__xludf.DUMMYFUNCTION("""COMPUTED_VALUE"""),16.0)</f>
        <v>16</v>
      </c>
      <c r="H735" s="42">
        <f>IFERROR(__xludf.DUMMYFUNCTION("""COMPUTED_VALUE"""),0.38461538461538464)</f>
        <v>0.3846153846</v>
      </c>
      <c r="I735" s="42">
        <f>IFERROR(__xludf.DUMMYFUNCTION("""COMPUTED_VALUE"""),0.3064516129032258)</f>
        <v>0.3064516129</v>
      </c>
      <c r="J735" s="30">
        <f>IFERROR(__xludf.DUMMYFUNCTION("""COMPUTED_VALUE"""),310.03846153846155)</f>
        <v>310.0384615</v>
      </c>
      <c r="K735" s="30">
        <f>IFERROR(__xludf.DUMMYFUNCTION("""COMPUTED_VALUE"""),0.7307692307692307)</f>
        <v>0.7307692308</v>
      </c>
      <c r="L735" s="30">
        <f>IFERROR(__xludf.DUMMYFUNCTION("""COMPUTED_VALUE"""),0.4230769230769231)</f>
        <v>0.4230769231</v>
      </c>
      <c r="M735" s="30">
        <f>IFERROR(__xludf.DUMMYFUNCTION("""COMPUTED_VALUE"""),1.1153846153846154)</f>
        <v>1.115384615</v>
      </c>
      <c r="N735" s="30">
        <f>IFERROR(__xludf.DUMMYFUNCTION("""COMPUTED_VALUE"""),2.3846153846153846)</f>
        <v>2.384615385</v>
      </c>
      <c r="O735" s="30">
        <f>IFERROR(__xludf.DUMMYFUNCTION("""COMPUTED_VALUE"""),340.9871794871796)</f>
        <v>340.9871795</v>
      </c>
      <c r="P735" s="30">
        <f>IFERROR(__xludf.DUMMYFUNCTION("""COMPUTED_VALUE"""),0.858974358974359)</f>
        <v>0.858974359</v>
      </c>
      <c r="Q735" s="30">
        <f>IFERROR(__xludf.DUMMYFUNCTION("""COMPUTED_VALUE"""),0.5)</f>
        <v>0.5</v>
      </c>
      <c r="R735" s="30">
        <f>IFERROR(__xludf.DUMMYFUNCTION("""COMPUTED_VALUE"""),1.4102564102564101)</f>
        <v>1.41025641</v>
      </c>
      <c r="S735" s="30">
        <f>IFERROR(__xludf.DUMMYFUNCTION("""COMPUTED_VALUE"""),2.3205128205128203)</f>
        <v>2.320512821</v>
      </c>
      <c r="T735" s="30">
        <f>IFERROR(__xludf.DUMMYFUNCTION("""COMPUTED_VALUE"""),328.65980819218964)</f>
        <v>328.6598082</v>
      </c>
      <c r="U735" s="30">
        <f>IFERROR(__xludf.DUMMYFUNCTION("""COMPUTED_VALUE"""),0.7544048304179716)</f>
        <v>0.7544048304</v>
      </c>
      <c r="V735" s="30">
        <f>IFERROR(__xludf.DUMMYFUNCTION("""COMPUTED_VALUE"""),0.4943415302202476)</f>
        <v>0.4943415302</v>
      </c>
      <c r="W735" s="30">
        <f>IFERROR(__xludf.DUMMYFUNCTION("""COMPUTED_VALUE"""),1.2520772037649552)</f>
        <v>1.252077204</v>
      </c>
      <c r="X735" s="30">
        <f>IFERROR(__xludf.DUMMYFUNCTION("""COMPUTED_VALUE"""),2.336578183941395)</f>
        <v>2.336578184</v>
      </c>
      <c r="Y735" s="30">
        <f>IFERROR(__xludf.DUMMYFUNCTION("""COMPUTED_VALUE"""),336.41896579470256)</f>
        <v>336.4189658</v>
      </c>
      <c r="Z735" s="30">
        <f>IFERROR(__xludf.DUMMYFUNCTION("""COMPUTED_VALUE"""),0.7919521846742672)</f>
        <v>0.7919521847</v>
      </c>
      <c r="AA735" s="30">
        <f>IFERROR(__xludf.DUMMYFUNCTION("""COMPUTED_VALUE"""),0.5269484325224849)</f>
        <v>0.5269484325</v>
      </c>
      <c r="AB735" s="30">
        <f>IFERROR(__xludf.DUMMYFUNCTION("""COMPUTED_VALUE"""),1.197038480883197)</f>
        <v>1.197038481</v>
      </c>
      <c r="AC735" s="30">
        <f>IFERROR(__xludf.DUMMYFUNCTION("""COMPUTED_VALUE"""),2.5500003733215206)</f>
        <v>2.550000373</v>
      </c>
      <c r="AD735" s="30">
        <f>IFERROR(__xludf.DUMMYFUNCTION("""COMPUTED_VALUE"""),0.9215843726469942)</f>
        <v>0.9215843726</v>
      </c>
      <c r="AE735" s="30">
        <f>IFERROR(__xludf.DUMMYFUNCTION("""COMPUTED_VALUE"""),0.9227441314146999)</f>
        <v>0.9227441314</v>
      </c>
      <c r="AF735" s="30">
        <f>IFERROR(__xludf.DUMMYFUNCTION("""COMPUTED_VALUE"""),0.8028810732990849)</f>
        <v>0.8028810733</v>
      </c>
      <c r="AG735" s="30">
        <f>IFERROR(__xludf.DUMMYFUNCTION("""COMPUTED_VALUE"""),0.9317867664217979)</f>
        <v>0.9317867664</v>
      </c>
      <c r="AH735" s="30">
        <f>IFERROR(__xludf.DUMMYFUNCTION("""COMPUTED_VALUE"""),0.9351431511789495)</f>
        <v>0.9351431512</v>
      </c>
      <c r="AI735" s="30">
        <f>IFERROR(__xludf.DUMMYFUNCTION("""COMPUTED_VALUE"""),1.0375079975942216)</f>
        <v>1.037507998</v>
      </c>
      <c r="AJ735" s="30">
        <f>IFERROR(__xludf.DUMMYFUNCTION("""COMPUTED_VALUE"""),1.138611955199772)</f>
        <v>1.138611955</v>
      </c>
      <c r="AK735" s="30">
        <f>IFERROR(__xludf.DUMMYFUNCTION("""COMPUTED_VALUE"""),1.0114464786667454)</f>
        <v>1.011446479</v>
      </c>
      <c r="AL735" s="30">
        <f>IFERROR(__xludf.DUMMYFUNCTION("""COMPUTED_VALUE"""),1.1263334289737208)</f>
        <v>1.126333429</v>
      </c>
      <c r="AM735" s="30">
        <f>IFERROR(__xludf.DUMMYFUNCTION("""COMPUTED_VALUE"""),0.9931244057917741)</f>
        <v>0.9931244058</v>
      </c>
      <c r="AN735" s="30">
        <f>IFERROR(__xludf.DUMMYFUNCTION("""COMPUTED_VALUE"""),0.9576731861975966)</f>
        <v>0.9576731862</v>
      </c>
      <c r="AO735" s="30">
        <f>IFERROR(__xludf.DUMMYFUNCTION("""COMPUTED_VALUE"""),0.9907747586235147)</f>
        <v>0.9907747586</v>
      </c>
      <c r="AP735" s="30">
        <f>IFERROR(__xludf.DUMMYFUNCTION("""COMPUTED_VALUE"""),0.8574469045311508)</f>
        <v>0.8574469045</v>
      </c>
      <c r="AQ735" s="30">
        <f>IFERROR(__xludf.DUMMYFUNCTION("""COMPUTED_VALUE"""),0.9247813950934085)</f>
        <v>0.9247813951</v>
      </c>
      <c r="AR735" s="30">
        <f>IFERROR(__xludf.DUMMYFUNCTION("""COMPUTED_VALUE"""),1.0123942660128205)</f>
        <v>1.012394266</v>
      </c>
      <c r="AS735" s="30">
        <f>IFERROR(__xludf.DUMMYFUNCTION("""COMPUTED_VALUE"""),54.0)</f>
        <v>54</v>
      </c>
      <c r="AT735" s="30">
        <f>IFERROR(__xludf.DUMMYFUNCTION("""COMPUTED_VALUE"""),0.41693361135534673)</f>
        <v>0.4169336114</v>
      </c>
      <c r="AU735" s="30">
        <f>IFERROR(__xludf.DUMMYFUNCTION("""COMPUTED_VALUE"""),1.7872030371318497)</f>
        <v>1.787203037</v>
      </c>
      <c r="AV735" s="32">
        <f>IFERROR(__xludf.DUMMYFUNCTION("""COMPUTED_VALUE"""),44.47233764494631)</f>
        <v>44.47233764</v>
      </c>
      <c r="AW735" s="32">
        <f>IFERROR(__xludf.DUMMYFUNCTION("""COMPUTED_VALUE"""),-2.4242144686276905)</f>
        <v>-2.424214469</v>
      </c>
      <c r="AX735" s="32">
        <f>IFERROR(__xludf.DUMMYFUNCTION("""COMPUTED_VALUE"""),39.79417737224627)</f>
        <v>39.79417737</v>
      </c>
      <c r="AY735" s="32">
        <f>IFERROR(__xludf.DUMMYFUNCTION("""COMPUTED_VALUE"""),-2.9278174742402907)</f>
        <v>-2.927817474</v>
      </c>
      <c r="AZ735" s="30">
        <f>IFERROR(__xludf.DUMMYFUNCTION("""COMPUTED_VALUE"""),0.5036030056126002)</f>
        <v>0.5036030056</v>
      </c>
      <c r="BA735" s="30">
        <f>IFERROR(__xludf.DUMMYFUNCTION("""COMPUTED_VALUE"""),2700.0)</f>
        <v>2700</v>
      </c>
    </row>
    <row r="736">
      <c r="A736" s="71" t="str">
        <f>IFERROR(__xludf.DUMMYFUNCTION("""COMPUTED_VALUE"""),"Prospect")</f>
        <v>Prospect</v>
      </c>
      <c r="B736" s="71" t="str">
        <f>IFERROR(__xludf.DUMMYFUNCTION("""COMPUTED_VALUE"""),"RSC006495")</f>
        <v>RSC006495</v>
      </c>
      <c r="C736" s="30" t="str">
        <f>IFERROR(__xludf.DUMMYFUNCTION("""COMPUTED_VALUE"""),"Hype.56")</f>
        <v>Hype.56</v>
      </c>
      <c r="D736" s="30" t="str">
        <f>IFERROR(__xludf.DUMMYFUNCTION("""COMPUTED_VALUE"""),"Prism Proteges")</f>
        <v>Prism Proteges</v>
      </c>
      <c r="E736" s="30">
        <f>IFERROR(__xludf.DUMMYFUNCTION("""COMPUTED_VALUE"""),29.0)</f>
        <v>29</v>
      </c>
      <c r="F736" s="30">
        <f>IFERROR(__xludf.DUMMYFUNCTION("""COMPUTED_VALUE"""),12.0)</f>
        <v>12</v>
      </c>
      <c r="G736" s="42">
        <f>IFERROR(__xludf.DUMMYFUNCTION("""COMPUTED_VALUE"""),17.0)</f>
        <v>17</v>
      </c>
      <c r="H736" s="42">
        <f>IFERROR(__xludf.DUMMYFUNCTION("""COMPUTED_VALUE"""),0.41379310344827586)</f>
        <v>0.4137931034</v>
      </c>
      <c r="I736" s="42">
        <f>IFERROR(__xludf.DUMMYFUNCTION("""COMPUTED_VALUE"""),0.2608695652173913)</f>
        <v>0.2608695652</v>
      </c>
      <c r="J736" s="30">
        <f>IFERROR(__xludf.DUMMYFUNCTION("""COMPUTED_VALUE"""),298.2413793103448)</f>
        <v>298.2413793</v>
      </c>
      <c r="K736" s="30">
        <f>IFERROR(__xludf.DUMMYFUNCTION("""COMPUTED_VALUE"""),0.6206896551724138)</f>
        <v>0.6206896552</v>
      </c>
      <c r="L736" s="30">
        <f>IFERROR(__xludf.DUMMYFUNCTION("""COMPUTED_VALUE"""),0.5517241379310345)</f>
        <v>0.5517241379</v>
      </c>
      <c r="M736" s="30">
        <f>IFERROR(__xludf.DUMMYFUNCTION("""COMPUTED_VALUE"""),1.103448275862069)</f>
        <v>1.103448276</v>
      </c>
      <c r="N736" s="30">
        <f>IFERROR(__xludf.DUMMYFUNCTION("""COMPUTED_VALUE"""),2.3793103448275863)</f>
        <v>2.379310345</v>
      </c>
      <c r="O736" s="30">
        <f>IFERROR(__xludf.DUMMYFUNCTION("""COMPUTED_VALUE"""),326.36781609195407)</f>
        <v>326.3678161</v>
      </c>
      <c r="P736" s="30">
        <f>IFERROR(__xludf.DUMMYFUNCTION("""COMPUTED_VALUE"""),0.7471264367816093)</f>
        <v>0.7471264368</v>
      </c>
      <c r="Q736" s="30">
        <f>IFERROR(__xludf.DUMMYFUNCTION("""COMPUTED_VALUE"""),0.4827586206896553)</f>
        <v>0.4827586207</v>
      </c>
      <c r="R736" s="30">
        <f>IFERROR(__xludf.DUMMYFUNCTION("""COMPUTED_VALUE"""),1.436781609195402)</f>
        <v>1.436781609</v>
      </c>
      <c r="S736" s="30">
        <f>IFERROR(__xludf.DUMMYFUNCTION("""COMPUTED_VALUE"""),2.1839080459770113)</f>
        <v>2.183908046</v>
      </c>
      <c r="T736" s="30">
        <f>IFERROR(__xludf.DUMMYFUNCTION("""COMPUTED_VALUE"""),336.3114441395093)</f>
        <v>336.3114441</v>
      </c>
      <c r="U736" s="30">
        <f>IFERROR(__xludf.DUMMYFUNCTION("""COMPUTED_VALUE"""),0.8012927991331528)</f>
        <v>0.8012927991</v>
      </c>
      <c r="V736" s="30">
        <f>IFERROR(__xludf.DUMMYFUNCTION("""COMPUTED_VALUE"""),0.5382177448909077)</f>
        <v>0.5382177449</v>
      </c>
      <c r="W736" s="30">
        <f>IFERROR(__xludf.DUMMYFUNCTION("""COMPUTED_VALUE"""),1.2333118235678646)</f>
        <v>1.233311824</v>
      </c>
      <c r="X736" s="30">
        <f>IFERROR(__xludf.DUMMYFUNCTION("""COMPUTED_VALUE"""),2.38083378369104)</f>
        <v>2.380833784</v>
      </c>
      <c r="Y736" s="30">
        <f>IFERROR(__xludf.DUMMYFUNCTION("""COMPUTED_VALUE"""),331.4921288937761)</f>
        <v>331.4921289</v>
      </c>
      <c r="Z736" s="30">
        <f>IFERROR(__xludf.DUMMYFUNCTION("""COMPUTED_VALUE"""),0.7814639524225458)</f>
        <v>0.7814639524</v>
      </c>
      <c r="AA736" s="30">
        <f>IFERROR(__xludf.DUMMYFUNCTION("""COMPUTED_VALUE"""),0.5252832183676119)</f>
        <v>0.5252832184</v>
      </c>
      <c r="AB736" s="30">
        <f>IFERROR(__xludf.DUMMYFUNCTION("""COMPUTED_VALUE"""),1.1558344004730103)</f>
        <v>1.1558344</v>
      </c>
      <c r="AC736" s="30">
        <f>IFERROR(__xludf.DUMMYFUNCTION("""COMPUTED_VALUE"""),2.4866931584614864)</f>
        <v>2.486693158</v>
      </c>
      <c r="AD736" s="30">
        <f>IFERROR(__xludf.DUMMYFUNCTION("""COMPUTED_VALUE"""),0.8996936980241658)</f>
        <v>0.899693698</v>
      </c>
      <c r="AE736" s="30">
        <f>IFERROR(__xludf.DUMMYFUNCTION("""COMPUTED_VALUE"""),0.7942652418557118)</f>
        <v>0.7942652419</v>
      </c>
      <c r="AF736" s="30">
        <f>IFERROR(__xludf.DUMMYFUNCTION("""COMPUTED_VALUE"""),1.0503365016030615)</f>
        <v>1.050336502</v>
      </c>
      <c r="AG736" s="30">
        <f>IFERROR(__xludf.DUMMYFUNCTION("""COMPUTED_VALUE"""),0.9546767905597003)</f>
        <v>0.9546767906</v>
      </c>
      <c r="AH736" s="30">
        <f>IFERROR(__xludf.DUMMYFUNCTION("""COMPUTED_VALUE"""),0.9568170229332446)</f>
        <v>0.9568170229</v>
      </c>
      <c r="AI736" s="30">
        <f>IFERROR(__xludf.DUMMYFUNCTION("""COMPUTED_VALUE"""),0.9704332748087204)</f>
        <v>0.9704332748</v>
      </c>
      <c r="AJ736" s="30">
        <f>IFERROR(__xludf.DUMMYFUNCTION("""COMPUTED_VALUE"""),0.932401286508326)</f>
        <v>0.9324012865</v>
      </c>
      <c r="AK736" s="30">
        <f>IFERROR(__xludf.DUMMYFUNCTION("""COMPUTED_VALUE"""),0.8969578303062202)</f>
        <v>0.8969578303</v>
      </c>
      <c r="AL736" s="30">
        <f>IFERROR(__xludf.DUMMYFUNCTION("""COMPUTED_VALUE"""),1.1649783791409027)</f>
        <v>1.164978379</v>
      </c>
      <c r="AM736" s="30">
        <f>IFERROR(__xludf.DUMMYFUNCTION("""COMPUTED_VALUE"""),0.9172870701587861)</f>
        <v>0.9172870702</v>
      </c>
      <c r="AN736" s="30">
        <f>IFERROR(__xludf.DUMMYFUNCTION("""COMPUTED_VALUE"""),0.9212333546064633)</f>
        <v>0.9212333546</v>
      </c>
      <c r="AO736" s="30">
        <f>IFERROR(__xludf.DUMMYFUNCTION("""COMPUTED_VALUE"""),0.8415291960722413)</f>
        <v>0.8415291961</v>
      </c>
      <c r="AP736" s="30">
        <f>IFERROR(__xludf.DUMMYFUNCTION("""COMPUTED_VALUE"""),1.1181752736205604)</f>
        <v>1.118175274</v>
      </c>
      <c r="AQ736" s="30">
        <f>IFERROR(__xludf.DUMMYFUNCTION("""COMPUTED_VALUE"""),0.9148848046584017)</f>
        <v>0.9148848047</v>
      </c>
      <c r="AR736" s="30">
        <f>IFERROR(__xludf.DUMMYFUNCTION("""COMPUTED_VALUE"""),1.0101419984577307)</f>
        <v>1.010141998</v>
      </c>
      <c r="AS736" s="30">
        <f>IFERROR(__xludf.DUMMYFUNCTION("""COMPUTED_VALUE"""),59.0)</f>
        <v>59</v>
      </c>
      <c r="AT736" s="30">
        <f>IFERROR(__xludf.DUMMYFUNCTION("""COMPUTED_VALUE"""),0.4633256865845878)</f>
        <v>0.4633256866</v>
      </c>
      <c r="AU736" s="30">
        <f>IFERROR(__xludf.DUMMYFUNCTION("""COMPUTED_VALUE"""),1.9322343931507293)</f>
        <v>1.932234393</v>
      </c>
      <c r="AV736" s="32">
        <f>IFERROR(__xludf.DUMMYFUNCTION("""COMPUTED_VALUE"""),49.08610339113761)</f>
        <v>49.08610339</v>
      </c>
      <c r="AW736" s="32">
        <f>IFERROR(__xludf.DUMMYFUNCTION("""COMPUTED_VALUE"""),-2.0600735257017635)</f>
        <v>-2.060073526</v>
      </c>
      <c r="AX736" s="32">
        <f>IFERROR(__xludf.DUMMYFUNCTION("""COMPUTED_VALUE"""),43.92030338208255)</f>
        <v>43.92030338</v>
      </c>
      <c r="AY736" s="32">
        <f>IFERROR(__xludf.DUMMYFUNCTION("""COMPUTED_VALUE"""),-2.4756768853164415)</f>
        <v>-2.475676885</v>
      </c>
      <c r="AZ736" s="30">
        <f>IFERROR(__xludf.DUMMYFUNCTION("""COMPUTED_VALUE"""),0.415603359614678)</f>
        <v>0.4156033596</v>
      </c>
      <c r="BA736" s="30">
        <f>IFERROR(__xludf.DUMMYFUNCTION("""COMPUTED_VALUE"""),2700.0)</f>
        <v>2700</v>
      </c>
    </row>
    <row r="737">
      <c r="A737" s="71" t="str">
        <f>IFERROR(__xludf.DUMMYFUNCTION("""COMPUTED_VALUE"""),"Prospect")</f>
        <v>Prospect</v>
      </c>
      <c r="B737" s="71" t="str">
        <f>IFERROR(__xludf.DUMMYFUNCTION("""COMPUTED_VALUE"""),"RSC006758")</f>
        <v>RSC006758</v>
      </c>
      <c r="C737" s="30" t="str">
        <f>IFERROR(__xludf.DUMMYFUNCTION("""COMPUTED_VALUE"""),"El Booger Sugar")</f>
        <v>El Booger Sugar</v>
      </c>
      <c r="D737" s="30" t="str">
        <f>IFERROR(__xludf.DUMMYFUNCTION("""COMPUTED_VALUE"""),"Principales")</f>
        <v>Principales</v>
      </c>
      <c r="E737" s="30">
        <f>IFERROR(__xludf.DUMMYFUNCTION("""COMPUTED_VALUE"""),12.0)</f>
        <v>12</v>
      </c>
      <c r="F737" s="30">
        <f>IFERROR(__xludf.DUMMYFUNCTION("""COMPUTED_VALUE"""),6.0)</f>
        <v>6</v>
      </c>
      <c r="G737" s="42">
        <f>IFERROR(__xludf.DUMMYFUNCTION("""COMPUTED_VALUE"""),6.0)</f>
        <v>6</v>
      </c>
      <c r="H737" s="42">
        <f>IFERROR(__xludf.DUMMYFUNCTION("""COMPUTED_VALUE"""),0.5)</f>
        <v>0.5</v>
      </c>
      <c r="I737" s="42">
        <f>IFERROR(__xludf.DUMMYFUNCTION("""COMPUTED_VALUE"""),0.2857142857142857)</f>
        <v>0.2857142857</v>
      </c>
      <c r="J737" s="30">
        <f>IFERROR(__xludf.DUMMYFUNCTION("""COMPUTED_VALUE"""),302.3333333333333)</f>
        <v>302.3333333</v>
      </c>
      <c r="K737" s="30">
        <f>IFERROR(__xludf.DUMMYFUNCTION("""COMPUTED_VALUE"""),0.6666666666666666)</f>
        <v>0.6666666667</v>
      </c>
      <c r="L737" s="30">
        <f>IFERROR(__xludf.DUMMYFUNCTION("""COMPUTED_VALUE"""),0.5833333333333334)</f>
        <v>0.5833333333</v>
      </c>
      <c r="M737" s="30">
        <f>IFERROR(__xludf.DUMMYFUNCTION("""COMPUTED_VALUE"""),0.9166666666666666)</f>
        <v>0.9166666667</v>
      </c>
      <c r="N737" s="30">
        <f>IFERROR(__xludf.DUMMYFUNCTION("""COMPUTED_VALUE"""),2.3333333333333335)</f>
        <v>2.333333333</v>
      </c>
      <c r="O737" s="30">
        <f>IFERROR(__xludf.DUMMYFUNCTION("""COMPUTED_VALUE"""),350.4444444444444)</f>
        <v>350.4444444</v>
      </c>
      <c r="P737" s="30">
        <f>IFERROR(__xludf.DUMMYFUNCTION("""COMPUTED_VALUE"""),0.8611111111111112)</f>
        <v>0.8611111111</v>
      </c>
      <c r="Q737" s="30">
        <f>IFERROR(__xludf.DUMMYFUNCTION("""COMPUTED_VALUE"""),0.5833333333333333)</f>
        <v>0.5833333333</v>
      </c>
      <c r="R737" s="30">
        <f>IFERROR(__xludf.DUMMYFUNCTION("""COMPUTED_VALUE"""),1.3888888888888886)</f>
        <v>1.388888889</v>
      </c>
      <c r="S737" s="30">
        <f>IFERROR(__xludf.DUMMYFUNCTION("""COMPUTED_VALUE"""),1.9999999999999993)</f>
        <v>2</v>
      </c>
      <c r="T737" s="30">
        <f>IFERROR(__xludf.DUMMYFUNCTION("""COMPUTED_VALUE"""),322.3619078948985)</f>
        <v>322.3619079</v>
      </c>
      <c r="U737" s="30">
        <f>IFERROR(__xludf.DUMMYFUNCTION("""COMPUTED_VALUE"""),0.7351214352866381)</f>
        <v>0.7351214353</v>
      </c>
      <c r="V737" s="30">
        <f>IFERROR(__xludf.DUMMYFUNCTION("""COMPUTED_VALUE"""),0.48781839071543454)</f>
        <v>0.4878183907</v>
      </c>
      <c r="W737" s="30">
        <f>IFERROR(__xludf.DUMMYFUNCTION("""COMPUTED_VALUE"""),1.2251226101905368)</f>
        <v>1.22512261</v>
      </c>
      <c r="X737" s="30">
        <f>IFERROR(__xludf.DUMMYFUNCTION("""COMPUTED_VALUE"""),2.2403047988210627)</f>
        <v>2.240304799</v>
      </c>
      <c r="Y737" s="30">
        <f>IFERROR(__xludf.DUMMYFUNCTION("""COMPUTED_VALUE"""),333.27083328912585)</f>
        <v>333.2708333</v>
      </c>
      <c r="Z737" s="30">
        <f>IFERROR(__xludf.DUMMYFUNCTION("""COMPUTED_VALUE"""),0.8154566776238096)</f>
        <v>0.8154566776</v>
      </c>
      <c r="AA737" s="30">
        <f>IFERROR(__xludf.DUMMYFUNCTION("""COMPUTED_VALUE"""),0.5448253828744747)</f>
        <v>0.5448253829</v>
      </c>
      <c r="AB737" s="30">
        <f>IFERROR(__xludf.DUMMYFUNCTION("""COMPUTED_VALUE"""),1.1061004945854396)</f>
        <v>1.106100495</v>
      </c>
      <c r="AC737" s="30">
        <f>IFERROR(__xludf.DUMMYFUNCTION("""COMPUTED_VALUE"""),2.542507986430344)</f>
        <v>2.542507986</v>
      </c>
      <c r="AD737" s="30">
        <f>IFERROR(__xludf.DUMMYFUNCTION("""COMPUTED_VALUE"""),0.9071700945130323)</f>
        <v>0.9071700945</v>
      </c>
      <c r="AE737" s="30">
        <f>IFERROR(__xludf.DUMMYFUNCTION("""COMPUTED_VALUE"""),0.817537810358353)</f>
        <v>0.8175378104</v>
      </c>
      <c r="AF737" s="30">
        <f>IFERROR(__xludf.DUMMYFUNCTION("""COMPUTED_VALUE"""),1.0706794354104656)</f>
        <v>1.070679435</v>
      </c>
      <c r="AG737" s="30">
        <f>IFERROR(__xludf.DUMMYFUNCTION("""COMPUTED_VALUE"""),0.8287372360413131)</f>
        <v>0.828737236</v>
      </c>
      <c r="AH737" s="30">
        <f>IFERROR(__xludf.DUMMYFUNCTION("""COMPUTED_VALUE"""),0.917729008438361)</f>
        <v>0.9177290084</v>
      </c>
      <c r="AI737" s="30">
        <f>IFERROR(__xludf.DUMMYFUNCTION("""COMPUTED_VALUE"""),1.0871149346798812)</f>
        <v>1.087114935</v>
      </c>
      <c r="AJ737" s="30">
        <f>IFERROR(__xludf.DUMMYFUNCTION("""COMPUTED_VALUE"""),1.1713862088313984)</f>
        <v>1.171386209</v>
      </c>
      <c r="AK737" s="30">
        <f>IFERROR(__xludf.DUMMYFUNCTION("""COMPUTED_VALUE"""),1.1958002085116481)</f>
        <v>1.195800209</v>
      </c>
      <c r="AL737" s="30">
        <f>IFERROR(__xludf.DUMMYFUNCTION("""COMPUTED_VALUE"""),1.1336733787591122)</f>
        <v>1.133673379</v>
      </c>
      <c r="AM737" s="30">
        <f>IFERROR(__xludf.DUMMYFUNCTION("""COMPUTED_VALUE"""),0.8927356675093847)</f>
        <v>0.8927356675</v>
      </c>
      <c r="AN737" s="30">
        <f>IFERROR(__xludf.DUMMYFUNCTION("""COMPUTED_VALUE"""),0.9338729304433577)</f>
        <v>0.9338729304</v>
      </c>
      <c r="AO737" s="30">
        <f>IFERROR(__xludf.DUMMYFUNCTION("""COMPUTED_VALUE"""),0.9038646920775923)</f>
        <v>0.9038646921</v>
      </c>
      <c r="AP737" s="30">
        <f>IFERROR(__xludf.DUMMYFUNCTION("""COMPUTED_VALUE"""),1.1822373986717383)</f>
        <v>1.182237399</v>
      </c>
      <c r="AQ737" s="30">
        <f>IFERROR(__xludf.DUMMYFUNCTION("""COMPUTED_VALUE"""),0.7600214913698702)</f>
        <v>0.7600214914</v>
      </c>
      <c r="AR737" s="30">
        <f>IFERROR(__xludf.DUMMYFUNCTION("""COMPUTED_VALUE"""),0.99062234631362)</f>
        <v>0.9906223463</v>
      </c>
      <c r="AS737" s="30">
        <f>IFERROR(__xludf.DUMMYFUNCTION("""COMPUTED_VALUE"""),28.0)</f>
        <v>28</v>
      </c>
      <c r="AT737" s="30">
        <f>IFERROR(__xludf.DUMMYFUNCTION("""COMPUTED_VALUE"""),0.4598958304271462)</f>
        <v>0.4598958304</v>
      </c>
      <c r="AU737" s="30">
        <f>IFERROR(__xludf.DUMMYFUNCTION("""COMPUTED_VALUE"""),1.7870201333124858)</f>
        <v>1.787020133</v>
      </c>
      <c r="AV737" s="32">
        <f>IFERROR(__xludf.DUMMYFUNCTION("""COMPUTED_VALUE"""),44.46651907301957)</f>
        <v>44.46651907</v>
      </c>
      <c r="AW737" s="32">
        <f>IFERROR(__xludf.DUMMYFUNCTION("""COMPUTED_VALUE"""),-2.4247470633454364)</f>
        <v>-2.424747063</v>
      </c>
      <c r="AX737" s="32">
        <f>IFERROR(__xludf.DUMMYFUNCTION("""COMPUTED_VALUE"""),49.53862613281692)</f>
        <v>49.53862613</v>
      </c>
      <c r="AY737" s="32">
        <f>IFERROR(__xludf.DUMMYFUNCTION("""COMPUTED_VALUE"""),-2.029888252466115)</f>
        <v>-2.029888252</v>
      </c>
      <c r="AZ737" s="30">
        <f>IFERROR(__xludf.DUMMYFUNCTION("""COMPUTED_VALUE"""),0.3948588108793216)</f>
        <v>0.3948588109</v>
      </c>
      <c r="BA737" s="30">
        <f>IFERROR(__xludf.DUMMYFUNCTION("""COMPUTED_VALUE"""),2700.0)</f>
        <v>2700</v>
      </c>
    </row>
    <row r="738">
      <c r="A738" s="71" t="str">
        <f>IFERROR(__xludf.DUMMYFUNCTION("""COMPUTED_VALUE"""),"Prospect")</f>
        <v>Prospect</v>
      </c>
      <c r="B738" s="71" t="str">
        <f>IFERROR(__xludf.DUMMYFUNCTION("""COMPUTED_VALUE"""),"RSC006402")</f>
        <v>RSC006402</v>
      </c>
      <c r="C738" s="30" t="str">
        <f>IFERROR(__xludf.DUMMYFUNCTION("""COMPUTED_VALUE"""),"DEADLYFEET1001")</f>
        <v>DEADLYFEET1001</v>
      </c>
      <c r="D738" s="30" t="str">
        <f>IFERROR(__xludf.DUMMYFUNCTION("""COMPUTED_VALUE"""),"Principales")</f>
        <v>Principales</v>
      </c>
      <c r="E738" s="30">
        <f>IFERROR(__xludf.DUMMYFUNCTION("""COMPUTED_VALUE"""),16.0)</f>
        <v>16</v>
      </c>
      <c r="F738" s="30">
        <f>IFERROR(__xludf.DUMMYFUNCTION("""COMPUTED_VALUE"""),3.0)</f>
        <v>3</v>
      </c>
      <c r="G738" s="42">
        <f>IFERROR(__xludf.DUMMYFUNCTION("""COMPUTED_VALUE"""),13.0)</f>
        <v>13</v>
      </c>
      <c r="H738" s="42">
        <f>IFERROR(__xludf.DUMMYFUNCTION("""COMPUTED_VALUE"""),0.1875)</f>
        <v>0.1875</v>
      </c>
      <c r="I738" s="42">
        <f>IFERROR(__xludf.DUMMYFUNCTION("""COMPUTED_VALUE"""),0.30952380952380953)</f>
        <v>0.3095238095</v>
      </c>
      <c r="J738" s="30">
        <f>IFERROR(__xludf.DUMMYFUNCTION("""COMPUTED_VALUE"""),333.0)</f>
        <v>333</v>
      </c>
      <c r="K738" s="30">
        <f>IFERROR(__xludf.DUMMYFUNCTION("""COMPUTED_VALUE"""),0.8125)</f>
        <v>0.8125</v>
      </c>
      <c r="L738" s="30">
        <f>IFERROR(__xludf.DUMMYFUNCTION("""COMPUTED_VALUE"""),0.1875)</f>
        <v>0.1875</v>
      </c>
      <c r="M738" s="30">
        <f>IFERROR(__xludf.DUMMYFUNCTION("""COMPUTED_VALUE"""),1.125)</f>
        <v>1.125</v>
      </c>
      <c r="N738" s="30">
        <f>IFERROR(__xludf.DUMMYFUNCTION("""COMPUTED_VALUE"""),2.625)</f>
        <v>2.625</v>
      </c>
      <c r="O738" s="30">
        <f>IFERROR(__xludf.DUMMYFUNCTION("""COMPUTED_VALUE"""),354.2083333333333)</f>
        <v>354.2083333</v>
      </c>
      <c r="P738" s="30">
        <f>IFERROR(__xludf.DUMMYFUNCTION("""COMPUTED_VALUE"""),1.0833333333333333)</f>
        <v>1.083333333</v>
      </c>
      <c r="Q738" s="30">
        <f>IFERROR(__xludf.DUMMYFUNCTION("""COMPUTED_VALUE"""),0.6458333333333335)</f>
        <v>0.6458333333</v>
      </c>
      <c r="R738" s="30">
        <f>IFERROR(__xludf.DUMMYFUNCTION("""COMPUTED_VALUE"""),0.8749999999999999)</f>
        <v>0.875</v>
      </c>
      <c r="S738" s="30">
        <f>IFERROR(__xludf.DUMMYFUNCTION("""COMPUTED_VALUE"""),2.5833333333333335)</f>
        <v>2.583333333</v>
      </c>
      <c r="T738" s="30">
        <f>IFERROR(__xludf.DUMMYFUNCTION("""COMPUTED_VALUE"""),345.31186025139124)</f>
        <v>345.3118603</v>
      </c>
      <c r="U738" s="30">
        <f>IFERROR(__xludf.DUMMYFUNCTION("""COMPUTED_VALUE"""),0.8521159257935825)</f>
        <v>0.8521159258</v>
      </c>
      <c r="V738" s="30">
        <f>IFERROR(__xludf.DUMMYFUNCTION("""COMPUTED_VALUE"""),0.6161355667226158)</f>
        <v>0.6161355667</v>
      </c>
      <c r="W738" s="30">
        <f>IFERROR(__xludf.DUMMYFUNCTION("""COMPUTED_VALUE"""),1.1390647946210093)</f>
        <v>1.139064795</v>
      </c>
      <c r="X738" s="30">
        <f>IFERROR(__xludf.DUMMYFUNCTION("""COMPUTED_VALUE"""),2.651426451364189)</f>
        <v>2.651426451</v>
      </c>
      <c r="Y738" s="30">
        <f>IFERROR(__xludf.DUMMYFUNCTION("""COMPUTED_VALUE"""),329.131584519805)</f>
        <v>329.1315845</v>
      </c>
      <c r="Z738" s="30">
        <f>IFERROR(__xludf.DUMMYFUNCTION("""COMPUTED_VALUE"""),0.7145044315515933)</f>
        <v>0.7145044316</v>
      </c>
      <c r="AA738" s="30">
        <f>IFERROR(__xludf.DUMMYFUNCTION("""COMPUTED_VALUE"""),0.4803891411022973)</f>
        <v>0.4803891411</v>
      </c>
      <c r="AB738" s="30">
        <f>IFERROR(__xludf.DUMMYFUNCTION("""COMPUTED_VALUE"""),1.288204537068982)</f>
        <v>1.288204537</v>
      </c>
      <c r="AC738" s="30">
        <f>IFERROR(__xludf.DUMMYFUNCTION("""COMPUTED_VALUE"""),2.2971752592641272)</f>
        <v>2.297175259</v>
      </c>
      <c r="AD738" s="30">
        <f>IFERROR(__xludf.DUMMYFUNCTION("""COMPUTED_VALUE"""),1.0117534009561522)</f>
        <v>1.011753401</v>
      </c>
      <c r="AE738" s="30">
        <f>IFERROR(__xludf.DUMMYFUNCTION("""COMPUTED_VALUE"""),1.137151799374572)</f>
        <v>1.137151799</v>
      </c>
      <c r="AF738" s="30">
        <f>IFERROR(__xludf.DUMMYFUNCTION("""COMPUTED_VALUE"""),0.3903085726912226)</f>
        <v>0.3903085727</v>
      </c>
      <c r="AG738" s="30">
        <f>IFERROR(__xludf.DUMMYFUNCTION("""COMPUTED_VALUE"""),0.8733085217660256)</f>
        <v>0.8733085218</v>
      </c>
      <c r="AH738" s="30">
        <f>IFERROR(__xludf.DUMMYFUNCTION("""COMPUTED_VALUE"""),1.142707762245745)</f>
        <v>1.142707762</v>
      </c>
      <c r="AI738" s="30">
        <f>IFERROR(__xludf.DUMMYFUNCTION("""COMPUTED_VALUE"""),1.025763589688073)</f>
        <v>1.02576359</v>
      </c>
      <c r="AJ738" s="30">
        <f>IFERROR(__xludf.DUMMYFUNCTION("""COMPUTED_VALUE"""),1.271345013678058)</f>
        <v>1.271345014</v>
      </c>
      <c r="AK738" s="30">
        <f>IFERROR(__xludf.DUMMYFUNCTION("""COMPUTED_VALUE"""),1.0482000524149055)</f>
        <v>1.048200052</v>
      </c>
      <c r="AL738" s="30">
        <f>IFERROR(__xludf.DUMMYFUNCTION("""COMPUTED_VALUE"""),0.7681740355175587)</f>
        <v>0.7681740355</v>
      </c>
      <c r="AM738" s="30">
        <f>IFERROR(__xludf.DUMMYFUNCTION("""COMPUTED_VALUE"""),0.9743183077939722)</f>
        <v>0.9743183078</v>
      </c>
      <c r="AN738" s="30">
        <f>IFERROR(__xludf.DUMMYFUNCTION("""COMPUTED_VALUE"""),1.02859874036705)</f>
        <v>1.02859874</v>
      </c>
      <c r="AO738" s="30">
        <f>IFERROR(__xludf.DUMMYFUNCTION("""COMPUTED_VALUE"""),1.1015850934695657)</f>
        <v>1.101585093</v>
      </c>
      <c r="AP738" s="30">
        <f>IFERROR(__xludf.DUMMYFUNCTION("""COMPUTED_VALUE"""),0.3800048781444873)</f>
        <v>0.3800048781</v>
      </c>
      <c r="AQ738" s="30">
        <f>IFERROR(__xludf.DUMMYFUNCTION("""COMPUTED_VALUE"""),0.9327536484993861)</f>
        <v>0.9327536485</v>
      </c>
      <c r="AR738" s="30">
        <f>IFERROR(__xludf.DUMMYFUNCTION("""COMPUTED_VALUE"""),1.1144501396028226)</f>
        <v>1.11445014</v>
      </c>
      <c r="AS738" s="30">
        <f>IFERROR(__xludf.DUMMYFUNCTION("""COMPUTED_VALUE"""),29.0)</f>
        <v>29</v>
      </c>
      <c r="AT738" s="30">
        <f>IFERROR(__xludf.DUMMYFUNCTION("""COMPUTED_VALUE"""),0.28290563776983474)</f>
        <v>0.2829056378</v>
      </c>
      <c r="AU738" s="30">
        <f>IFERROR(__xludf.DUMMYFUNCTION("""COMPUTED_VALUE"""),1.8048587418170738)</f>
        <v>1.804858742</v>
      </c>
      <c r="AV738" s="32">
        <f>IFERROR(__xludf.DUMMYFUNCTION("""COMPUTED_VALUE"""),45.03400436128696)</f>
        <v>45.03400436</v>
      </c>
      <c r="AW738" s="32">
        <f>IFERROR(__xludf.DUMMYFUNCTION("""COMPUTED_VALUE"""),-2.3737618661094797)</f>
        <v>-2.373761866</v>
      </c>
      <c r="AX738" s="32">
        <f>IFERROR(__xludf.DUMMYFUNCTION("""COMPUTED_VALUE"""),49.67767142473395)</f>
        <v>49.67767142</v>
      </c>
      <c r="AY738" s="32">
        <f>IFERROR(__xludf.DUMMYFUNCTION("""COMPUTED_VALUE"""),-2.0207877521498894)</f>
        <v>-2.020787752</v>
      </c>
      <c r="AZ738" s="30">
        <f>IFERROR(__xludf.DUMMYFUNCTION("""COMPUTED_VALUE"""),0.35297411395959033)</f>
        <v>0.352974114</v>
      </c>
      <c r="BA738" s="30">
        <f>IFERROR(__xludf.DUMMYFUNCTION("""COMPUTED_VALUE"""),2700.0)</f>
        <v>2700</v>
      </c>
    </row>
    <row r="739">
      <c r="A739" s="71" t="str">
        <f>IFERROR(__xludf.DUMMYFUNCTION("""COMPUTED_VALUE"""),"Prospect")</f>
        <v>Prospect</v>
      </c>
      <c r="B739" s="71" t="str">
        <f>IFERROR(__xludf.DUMMYFUNCTION("""COMPUTED_VALUE"""),"RSC001820")</f>
        <v>RSC001820</v>
      </c>
      <c r="C739" s="30" t="str">
        <f>IFERROR(__xludf.DUMMYFUNCTION("""COMPUTED_VALUE"""),"YourEvilTwin")</f>
        <v>YourEvilTwin</v>
      </c>
      <c r="D739" s="30" t="str">
        <f>IFERROR(__xludf.DUMMYFUNCTION("""COMPUTED_VALUE"""),"Tic Tacs")</f>
        <v>Tic Tacs</v>
      </c>
      <c r="E739" s="30">
        <f>IFERROR(__xludf.DUMMYFUNCTION("""COMPUTED_VALUE"""),27.0)</f>
        <v>27</v>
      </c>
      <c r="F739" s="30">
        <f>IFERROR(__xludf.DUMMYFUNCTION("""COMPUTED_VALUE"""),13.0)</f>
        <v>13</v>
      </c>
      <c r="G739" s="42">
        <f>IFERROR(__xludf.DUMMYFUNCTION("""COMPUTED_VALUE"""),14.0)</f>
        <v>14</v>
      </c>
      <c r="H739" s="42">
        <f>IFERROR(__xludf.DUMMYFUNCTION("""COMPUTED_VALUE"""),0.48148148148148145)</f>
        <v>0.4814814815</v>
      </c>
      <c r="I739" s="42">
        <f>IFERROR(__xludf.DUMMYFUNCTION("""COMPUTED_VALUE"""),0.27906976744186046)</f>
        <v>0.2790697674</v>
      </c>
      <c r="J739" s="30">
        <f>IFERROR(__xludf.DUMMYFUNCTION("""COMPUTED_VALUE"""),279.51851851851853)</f>
        <v>279.5185185</v>
      </c>
      <c r="K739" s="30">
        <f>IFERROR(__xludf.DUMMYFUNCTION("""COMPUTED_VALUE"""),0.4444444444444444)</f>
        <v>0.4444444444</v>
      </c>
      <c r="L739" s="30">
        <f>IFERROR(__xludf.DUMMYFUNCTION("""COMPUTED_VALUE"""),0.48148148148148145)</f>
        <v>0.4814814815</v>
      </c>
      <c r="M739" s="30">
        <f>IFERROR(__xludf.DUMMYFUNCTION("""COMPUTED_VALUE"""),1.1851851851851851)</f>
        <v>1.185185185</v>
      </c>
      <c r="N739" s="30">
        <f>IFERROR(__xludf.DUMMYFUNCTION("""COMPUTED_VALUE"""),1.5925925925925926)</f>
        <v>1.592592593</v>
      </c>
      <c r="O739" s="30">
        <f>IFERROR(__xludf.DUMMYFUNCTION("""COMPUTED_VALUE"""),338.61728395061726)</f>
        <v>338.617284</v>
      </c>
      <c r="P739" s="30">
        <f>IFERROR(__xludf.DUMMYFUNCTION("""COMPUTED_VALUE"""),0.8888888888888891)</f>
        <v>0.8888888889</v>
      </c>
      <c r="Q739" s="30">
        <f>IFERROR(__xludf.DUMMYFUNCTION("""COMPUTED_VALUE"""),0.5679012345679013)</f>
        <v>0.5679012346</v>
      </c>
      <c r="R739" s="30">
        <f>IFERROR(__xludf.DUMMYFUNCTION("""COMPUTED_VALUE"""),1.0370370370370368)</f>
        <v>1.037037037</v>
      </c>
      <c r="S739" s="30">
        <f>IFERROR(__xludf.DUMMYFUNCTION("""COMPUTED_VALUE"""),2.716049382716049)</f>
        <v>2.716049383</v>
      </c>
      <c r="T739" s="30">
        <f>IFERROR(__xludf.DUMMYFUNCTION("""COMPUTED_VALUE"""),329.70387298646483)</f>
        <v>329.703873</v>
      </c>
      <c r="U739" s="30">
        <f>IFERROR(__xludf.DUMMYFUNCTION("""COMPUTED_VALUE"""),0.7658575345436923)</f>
        <v>0.7658575345</v>
      </c>
      <c r="V739" s="30">
        <f>IFERROR(__xludf.DUMMYFUNCTION("""COMPUTED_VALUE"""),0.5194727408252235)</f>
        <v>0.5194727408</v>
      </c>
      <c r="W739" s="30">
        <f>IFERROR(__xludf.DUMMYFUNCTION("""COMPUTED_VALUE"""),1.1815952061477653)</f>
        <v>1.181595206</v>
      </c>
      <c r="X739" s="30">
        <f>IFERROR(__xludf.DUMMYFUNCTION("""COMPUTED_VALUE"""),2.3611433994894777)</f>
        <v>2.361143399</v>
      </c>
      <c r="Y739" s="30">
        <f>IFERROR(__xludf.DUMMYFUNCTION("""COMPUTED_VALUE"""),334.2015306732185)</f>
        <v>334.2015307</v>
      </c>
      <c r="Z739" s="30">
        <f>IFERROR(__xludf.DUMMYFUNCTION("""COMPUTED_VALUE"""),0.7803342776712406)</f>
        <v>0.7803342777</v>
      </c>
      <c r="AA739" s="30">
        <f>IFERROR(__xludf.DUMMYFUNCTION("""COMPUTED_VALUE"""),0.5236454044818452)</f>
        <v>0.5236454045</v>
      </c>
      <c r="AB739" s="30">
        <f>IFERROR(__xludf.DUMMYFUNCTION("""COMPUTED_VALUE"""),1.200906341693134)</f>
        <v>1.200906342</v>
      </c>
      <c r="AC739" s="30">
        <f>IFERROR(__xludf.DUMMYFUNCTION("""COMPUTED_VALUE"""),2.4150604677857803)</f>
        <v>2.415060468</v>
      </c>
      <c r="AD739" s="30">
        <f>IFERROR(__xludf.DUMMYFUNCTION("""COMPUTED_VALUE"""),0.8363771343460157)</f>
        <v>0.8363771343</v>
      </c>
      <c r="AE739" s="30">
        <f>IFERROR(__xludf.DUMMYFUNCTION("""COMPUTED_VALUE"""),0.5695564800393037)</f>
        <v>0.56955648</v>
      </c>
      <c r="AF739" s="30">
        <f>IFERROR(__xludf.DUMMYFUNCTION("""COMPUTED_VALUE"""),0.9194800094883187)</f>
        <v>0.9194800095</v>
      </c>
      <c r="AG739" s="30">
        <f>IFERROR(__xludf.DUMMYFUNCTION("""COMPUTED_VALUE"""),0.9869089237335661)</f>
        <v>0.9869089237</v>
      </c>
      <c r="AH739" s="30">
        <f>IFERROR(__xludf.DUMMYFUNCTION("""COMPUTED_VALUE"""),0.6594421190839757)</f>
        <v>0.6594421191</v>
      </c>
      <c r="AI739" s="30">
        <f>IFERROR(__xludf.DUMMYFUNCTION("""COMPUTED_VALUE"""),1.027034595873608)</f>
        <v>1.027034596</v>
      </c>
      <c r="AJ739" s="30">
        <f>IFERROR(__xludf.DUMMYFUNCTION("""COMPUTED_VALUE"""),1.160645222898408)</f>
        <v>1.160645223</v>
      </c>
      <c r="AK739" s="30">
        <f>IFERROR(__xludf.DUMMYFUNCTION("""COMPUTED_VALUE"""),1.0932262464162128)</f>
        <v>1.093226246</v>
      </c>
      <c r="AL739" s="30">
        <f>IFERROR(__xludf.DUMMYFUNCTION("""COMPUTED_VALUE"""),0.8776584668263704)</f>
        <v>0.8776584668</v>
      </c>
      <c r="AM739" s="30">
        <f>IFERROR(__xludf.DUMMYFUNCTION("""COMPUTED_VALUE"""),1.1503110667921772)</f>
        <v>1.150311067</v>
      </c>
      <c r="AN739" s="30">
        <f>IFERROR(__xludf.DUMMYFUNCTION("""COMPUTED_VALUE"""),0.8634005887609973)</f>
        <v>0.8634005888</v>
      </c>
      <c r="AO739" s="30">
        <f>IFERROR(__xludf.DUMMYFUNCTION("""COMPUTED_VALUE"""),0.6025764613850616)</f>
        <v>0.6025764614</v>
      </c>
      <c r="AP739" s="30">
        <f>IFERROR(__xludf.DUMMYFUNCTION("""COMPUTED_VALUE"""),0.9758149957290537)</f>
        <v>0.9758149957</v>
      </c>
      <c r="AQ739" s="30">
        <f>IFERROR(__xludf.DUMMYFUNCTION("""COMPUTED_VALUE"""),0.9826540494479129)</f>
        <v>0.9826540494</v>
      </c>
      <c r="AR739" s="30">
        <f>IFERROR(__xludf.DUMMYFUNCTION("""COMPUTED_VALUE"""),0.6761390617696136)</f>
        <v>0.6761390618</v>
      </c>
      <c r="AS739" s="30">
        <f>IFERROR(__xludf.DUMMYFUNCTION("""COMPUTED_VALUE"""),67.0)</f>
        <v>67</v>
      </c>
      <c r="AT739" s="30">
        <f>IFERROR(__xludf.DUMMYFUNCTION("""COMPUTED_VALUE"""),0.47123418836158226)</f>
        <v>0.4712341884</v>
      </c>
      <c r="AU739" s="30">
        <f>IFERROR(__xludf.DUMMYFUNCTION("""COMPUTED_VALUE"""),1.0667794969899673)</f>
        <v>1.066779497</v>
      </c>
      <c r="AV739" s="32">
        <f>IFERROR(__xludf.DUMMYFUNCTION("""COMPUTED_VALUE"""),21.554083665277236)</f>
        <v>21.55408367</v>
      </c>
      <c r="AW739" s="32">
        <f>IFERROR(__xludf.DUMMYFUNCTION("""COMPUTED_VALUE"""),-7.837337728902368)</f>
        <v>-7.837337729</v>
      </c>
      <c r="AX739" s="32">
        <f>IFERROR(__xludf.DUMMYFUNCTION("""COMPUTED_VALUE"""),20.92859249381651)</f>
        <v>20.92859249</v>
      </c>
      <c r="AY739" s="32">
        <f>IFERROR(__xludf.DUMMYFUNCTION("""COMPUTED_VALUE"""),-8.16700512443656)</f>
        <v>-8.167005124</v>
      </c>
      <c r="AZ739" s="30">
        <f>IFERROR(__xludf.DUMMYFUNCTION("""COMPUTED_VALUE"""),0.32966739553419266)</f>
        <v>0.3296673955</v>
      </c>
      <c r="BA739" s="30">
        <f>IFERROR(__xludf.DUMMYFUNCTION("""COMPUTED_VALUE"""),2700.0)</f>
        <v>2700</v>
      </c>
    </row>
    <row r="740">
      <c r="A740" s="71" t="str">
        <f>IFERROR(__xludf.DUMMYFUNCTION("""COMPUTED_VALUE"""),"Prospect")</f>
        <v>Prospect</v>
      </c>
      <c r="B740" s="71" t="str">
        <f>IFERROR(__xludf.DUMMYFUNCTION("""COMPUTED_VALUE"""),"RSC004303")</f>
        <v>RSC004303</v>
      </c>
      <c r="C740" s="30" t="str">
        <f>IFERROR(__xludf.DUMMYFUNCTION("""COMPUTED_VALUE"""),"Shogun")</f>
        <v>Shogun</v>
      </c>
      <c r="D740" s="30" t="str">
        <f>IFERROR(__xludf.DUMMYFUNCTION("""COMPUTED_VALUE"""),"Honey Badgers")</f>
        <v>Honey Badgers</v>
      </c>
      <c r="E740" s="30">
        <f>IFERROR(__xludf.DUMMYFUNCTION("""COMPUTED_VALUE"""),34.0)</f>
        <v>34</v>
      </c>
      <c r="F740" s="30">
        <f>IFERROR(__xludf.DUMMYFUNCTION("""COMPUTED_VALUE"""),21.0)</f>
        <v>21</v>
      </c>
      <c r="G740" s="42">
        <f>IFERROR(__xludf.DUMMYFUNCTION("""COMPUTED_VALUE"""),13.0)</f>
        <v>13</v>
      </c>
      <c r="H740" s="42">
        <f>IFERROR(__xludf.DUMMYFUNCTION("""COMPUTED_VALUE"""),0.6176470588235294)</f>
        <v>0.6176470588</v>
      </c>
      <c r="I740" s="42">
        <f>IFERROR(__xludf.DUMMYFUNCTION("""COMPUTED_VALUE"""),0.30136986301369867)</f>
        <v>0.301369863</v>
      </c>
      <c r="J740" s="30">
        <f>IFERROR(__xludf.DUMMYFUNCTION("""COMPUTED_VALUE"""),322.44117647058823)</f>
        <v>322.4411765</v>
      </c>
      <c r="K740" s="30">
        <f>IFERROR(__xludf.DUMMYFUNCTION("""COMPUTED_VALUE"""),0.6470588235294118)</f>
        <v>0.6470588235</v>
      </c>
      <c r="L740" s="30">
        <f>IFERROR(__xludf.DUMMYFUNCTION("""COMPUTED_VALUE"""),0.47058823529411764)</f>
        <v>0.4705882353</v>
      </c>
      <c r="M740" s="30">
        <f>IFERROR(__xludf.DUMMYFUNCTION("""COMPUTED_VALUE"""),1.3529411764705883)</f>
        <v>1.352941176</v>
      </c>
      <c r="N740" s="30">
        <f>IFERROR(__xludf.DUMMYFUNCTION("""COMPUTED_VALUE"""),2.1470588235294117)</f>
        <v>2.147058824</v>
      </c>
      <c r="O740" s="30">
        <f>IFERROR(__xludf.DUMMYFUNCTION("""COMPUTED_VALUE"""),325.1078431372549)</f>
        <v>325.1078431</v>
      </c>
      <c r="P740" s="30">
        <f>IFERROR(__xludf.DUMMYFUNCTION("""COMPUTED_VALUE"""),0.6568627450980392)</f>
        <v>0.6568627451</v>
      </c>
      <c r="Q740" s="30">
        <f>IFERROR(__xludf.DUMMYFUNCTION("""COMPUTED_VALUE"""),0.4901960784313726)</f>
        <v>0.4901960784</v>
      </c>
      <c r="R740" s="30">
        <f>IFERROR(__xludf.DUMMYFUNCTION("""COMPUTED_VALUE"""),1.2058823529411764)</f>
        <v>1.205882353</v>
      </c>
      <c r="S740" s="30">
        <f>IFERROR(__xludf.DUMMYFUNCTION("""COMPUTED_VALUE"""),2.431372549019607)</f>
        <v>2.431372549</v>
      </c>
      <c r="T740" s="30">
        <f>IFERROR(__xludf.DUMMYFUNCTION("""COMPUTED_VALUE"""),335.743721012712)</f>
        <v>335.743721</v>
      </c>
      <c r="U740" s="30">
        <f>IFERROR(__xludf.DUMMYFUNCTION("""COMPUTED_VALUE"""),0.7680382522973431)</f>
        <v>0.7680382523</v>
      </c>
      <c r="V740" s="30">
        <f>IFERROR(__xludf.DUMMYFUNCTION("""COMPUTED_VALUE"""),0.5357141404701192)</f>
        <v>0.5357141405</v>
      </c>
      <c r="W740" s="30">
        <f>IFERROR(__xludf.DUMMYFUNCTION("""COMPUTED_VALUE"""),1.2340598104367562)</f>
        <v>1.23405981</v>
      </c>
      <c r="X740" s="30">
        <f>IFERROR(__xludf.DUMMYFUNCTION("""COMPUTED_VALUE"""),2.38555584274472)</f>
        <v>2.385555843</v>
      </c>
      <c r="Y740" s="30">
        <f>IFERROR(__xludf.DUMMYFUNCTION("""COMPUTED_VALUE"""),335.8493498168384)</f>
        <v>335.8493498</v>
      </c>
      <c r="Z740" s="30">
        <f>IFERROR(__xludf.DUMMYFUNCTION("""COMPUTED_VALUE"""),0.8212067154007106)</f>
        <v>0.8212067154</v>
      </c>
      <c r="AA740" s="30">
        <f>IFERROR(__xludf.DUMMYFUNCTION("""COMPUTED_VALUE"""),0.5270288561419462)</f>
        <v>0.5270288561</v>
      </c>
      <c r="AB740" s="30">
        <f>IFERROR(__xludf.DUMMYFUNCTION("""COMPUTED_VALUE"""),1.1736745259118662)</f>
        <v>1.173674526</v>
      </c>
      <c r="AC740" s="30">
        <f>IFERROR(__xludf.DUMMYFUNCTION("""COMPUTED_VALUE"""),2.482915233328718)</f>
        <v>2.482915233</v>
      </c>
      <c r="AD740" s="30">
        <f>IFERROR(__xludf.DUMMYFUNCTION("""COMPUTED_VALUE"""),0.9600768220823933)</f>
        <v>0.9600768221</v>
      </c>
      <c r="AE740" s="30">
        <f>IFERROR(__xludf.DUMMYFUNCTION("""COMPUTED_VALUE"""),0.7879365954937148)</f>
        <v>0.7879365955</v>
      </c>
      <c r="AF740" s="30">
        <f>IFERROR(__xludf.DUMMYFUNCTION("""COMPUTED_VALUE"""),0.8929079116065948)</f>
        <v>0.8929079116</v>
      </c>
      <c r="AG740" s="30">
        <f>IFERROR(__xludf.DUMMYFUNCTION("""COMPUTED_VALUE"""),1.1527396621473436)</f>
        <v>1.152739662</v>
      </c>
      <c r="AH740" s="30">
        <f>IFERROR(__xludf.DUMMYFUNCTION("""COMPUTED_VALUE"""),0.8647330342610848)</f>
        <v>0.8647330343</v>
      </c>
      <c r="AI740" s="30">
        <f>IFERROR(__xludf.DUMMYFUNCTION("""COMPUTED_VALUE"""),0.9683214392115038)</f>
        <v>0.9683214392</v>
      </c>
      <c r="AJ740" s="30">
        <f>IFERROR(__xludf.DUMMYFUNCTION("""COMPUTED_VALUE"""),0.8552474347901845)</f>
        <v>0.8552474348</v>
      </c>
      <c r="AK740" s="30">
        <f>IFERROR(__xludf.DUMMYFUNCTION("""COMPUTED_VALUE"""),0.9150329278245259)</f>
        <v>0.9150329278</v>
      </c>
      <c r="AL740" s="30">
        <f>IFERROR(__xludf.DUMMYFUNCTION("""COMPUTED_VALUE"""),0.9771668623698172)</f>
        <v>0.9771668624</v>
      </c>
      <c r="AM740" s="30">
        <f>IFERROR(__xludf.DUMMYFUNCTION("""COMPUTED_VALUE"""),1.0192058829451558)</f>
        <v>1.019205883</v>
      </c>
      <c r="AN740" s="30">
        <f>IFERROR(__xludf.DUMMYFUNCTION("""COMPUTED_VALUE"""),0.9959837476279783)</f>
        <v>0.9959837476</v>
      </c>
      <c r="AO740" s="30">
        <f>IFERROR(__xludf.DUMMYFUNCTION("""COMPUTED_VALUE"""),0.8772804364282515)</f>
        <v>0.8772804364</v>
      </c>
      <c r="AP740" s="30">
        <f>IFERROR(__xludf.DUMMYFUNCTION("""COMPUTED_VALUE"""),0.9537377333822425)</f>
        <v>0.9537377334</v>
      </c>
      <c r="AQ740" s="30">
        <f>IFERROR(__xludf.DUMMYFUNCTION("""COMPUTED_VALUE"""),1.1217429498293272)</f>
        <v>1.12174295</v>
      </c>
      <c r="AR740" s="30">
        <f>IFERROR(__xludf.DUMMYFUNCTION("""COMPUTED_VALUE"""),0.9115390497591713)</f>
        <v>0.9115390498</v>
      </c>
      <c r="AS740" s="30">
        <f>IFERROR(__xludf.DUMMYFUNCTION("""COMPUTED_VALUE"""),94.0)</f>
        <v>94</v>
      </c>
      <c r="AT740" s="30">
        <f>IFERROR(__xludf.DUMMYFUNCTION("""COMPUTED_VALUE"""),0.6292665103077605)</f>
        <v>0.6292665103</v>
      </c>
      <c r="AU740" s="30">
        <f>IFERROR(__xludf.DUMMYFUNCTION("""COMPUTED_VALUE"""),1.8012892431441263)</f>
        <v>1.801289243</v>
      </c>
      <c r="AV740" s="32">
        <f>IFERROR(__xludf.DUMMYFUNCTION("""COMPUTED_VALUE"""),44.920450774253155)</f>
        <v>44.92045077</v>
      </c>
      <c r="AW740" s="32">
        <f>IFERROR(__xludf.DUMMYFUNCTION("""COMPUTED_VALUE"""),-2.383810667781937)</f>
        <v>-2.383810668</v>
      </c>
      <c r="AX740" s="32">
        <f>IFERROR(__xludf.DUMMYFUNCTION("""COMPUTED_VALUE"""),42.42835299004548)</f>
        <v>42.42835299</v>
      </c>
      <c r="AY740" s="32">
        <f>IFERROR(__xludf.DUMMYFUNCTION("""COMPUTED_VALUE"""),-2.6246992158211064)</f>
        <v>-2.624699216</v>
      </c>
      <c r="AZ740" s="30">
        <f>IFERROR(__xludf.DUMMYFUNCTION("""COMPUTED_VALUE"""),0.2408885480391696)</f>
        <v>0.240888548</v>
      </c>
      <c r="BA740" s="30">
        <f>IFERROR(__xludf.DUMMYFUNCTION("""COMPUTED_VALUE"""),2700.0)</f>
        <v>2700</v>
      </c>
    </row>
    <row r="741">
      <c r="A741" s="71" t="str">
        <f>IFERROR(__xludf.DUMMYFUNCTION("""COMPUTED_VALUE"""),"Prospect")</f>
        <v>Prospect</v>
      </c>
      <c r="B741" s="71" t="str">
        <f>IFERROR(__xludf.DUMMYFUNCTION("""COMPUTED_VALUE"""),"RSC006569")</f>
        <v>RSC006569</v>
      </c>
      <c r="C741" s="30" t="str">
        <f>IFERROR(__xludf.DUMMYFUNCTION("""COMPUTED_VALUE"""),"mulliganisoup")</f>
        <v>mulliganisoup</v>
      </c>
      <c r="D741" s="30" t="str">
        <f>IFERROR(__xludf.DUMMYFUNCTION("""COMPUTED_VALUE"""),"Poppy")</f>
        <v>Poppy</v>
      </c>
      <c r="E741" s="30">
        <f>IFERROR(__xludf.DUMMYFUNCTION("""COMPUTED_VALUE"""),9.0)</f>
        <v>9</v>
      </c>
      <c r="F741" s="30">
        <f>IFERROR(__xludf.DUMMYFUNCTION("""COMPUTED_VALUE"""),4.0)</f>
        <v>4</v>
      </c>
      <c r="G741" s="42">
        <f>IFERROR(__xludf.DUMMYFUNCTION("""COMPUTED_VALUE"""),5.0)</f>
        <v>5</v>
      </c>
      <c r="H741" s="42">
        <f>IFERROR(__xludf.DUMMYFUNCTION("""COMPUTED_VALUE"""),0.4444444444444444)</f>
        <v>0.4444444444</v>
      </c>
      <c r="I741" s="42">
        <f>IFERROR(__xludf.DUMMYFUNCTION("""COMPUTED_VALUE"""),0.23809523809523808)</f>
        <v>0.2380952381</v>
      </c>
      <c r="J741" s="30">
        <f>IFERROR(__xludf.DUMMYFUNCTION("""COMPUTED_VALUE"""),354.1111111111111)</f>
        <v>354.1111111</v>
      </c>
      <c r="K741" s="30">
        <f>IFERROR(__xludf.DUMMYFUNCTION("""COMPUTED_VALUE"""),0.5555555555555556)</f>
        <v>0.5555555556</v>
      </c>
      <c r="L741" s="30">
        <f>IFERROR(__xludf.DUMMYFUNCTION("""COMPUTED_VALUE"""),0.6666666666666666)</f>
        <v>0.6666666667</v>
      </c>
      <c r="M741" s="30">
        <f>IFERROR(__xludf.DUMMYFUNCTION("""COMPUTED_VALUE"""),1.8888888888888888)</f>
        <v>1.888888889</v>
      </c>
      <c r="N741" s="30">
        <f>IFERROR(__xludf.DUMMYFUNCTION("""COMPUTED_VALUE"""),2.3333333333333335)</f>
        <v>2.333333333</v>
      </c>
      <c r="O741" s="30">
        <f>IFERROR(__xludf.DUMMYFUNCTION("""COMPUTED_VALUE"""),340.2962962962963)</f>
        <v>340.2962963</v>
      </c>
      <c r="P741" s="30">
        <f>IFERROR(__xludf.DUMMYFUNCTION("""COMPUTED_VALUE"""),0.925925925925926)</f>
        <v>0.9259259259</v>
      </c>
      <c r="Q741" s="30">
        <f>IFERROR(__xludf.DUMMYFUNCTION("""COMPUTED_VALUE"""),0.48148148148148157)</f>
        <v>0.4814814815</v>
      </c>
      <c r="R741" s="30">
        <f>IFERROR(__xludf.DUMMYFUNCTION("""COMPUTED_VALUE"""),0.9629629629629629)</f>
        <v>0.962962963</v>
      </c>
      <c r="S741" s="30">
        <f>IFERROR(__xludf.DUMMYFUNCTION("""COMPUTED_VALUE"""),3.0740740740740744)</f>
        <v>3.074074074</v>
      </c>
      <c r="T741" s="30">
        <f>IFERROR(__xludf.DUMMYFUNCTION("""COMPUTED_VALUE"""),342.90421095552443)</f>
        <v>342.904211</v>
      </c>
      <c r="U741" s="30">
        <f>IFERROR(__xludf.DUMMYFUNCTION("""COMPUTED_VALUE"""),0.8737191332749435)</f>
        <v>0.8737191333</v>
      </c>
      <c r="V741" s="30">
        <f>IFERROR(__xludf.DUMMYFUNCTION("""COMPUTED_VALUE"""),0.5874244265977812)</f>
        <v>0.5874244266</v>
      </c>
      <c r="W741" s="30">
        <f>IFERROR(__xludf.DUMMYFUNCTION("""COMPUTED_VALUE"""),1.1103031055278458)</f>
        <v>1.110303106</v>
      </c>
      <c r="X741" s="30">
        <f>IFERROR(__xludf.DUMMYFUNCTION("""COMPUTED_VALUE"""),2.79839741971529)</f>
        <v>2.79839742</v>
      </c>
      <c r="Y741" s="30">
        <f>IFERROR(__xludf.DUMMYFUNCTION("""COMPUTED_VALUE"""),333.5954852478315)</f>
        <v>333.5954852</v>
      </c>
      <c r="Z741" s="30">
        <f>IFERROR(__xludf.DUMMYFUNCTION("""COMPUTED_VALUE"""),0.7056429410567048)</f>
        <v>0.7056429411</v>
      </c>
      <c r="AA741" s="30">
        <f>IFERROR(__xludf.DUMMYFUNCTION("""COMPUTED_VALUE"""),0.5000966235421556)</f>
        <v>0.5000966235</v>
      </c>
      <c r="AB741" s="30">
        <f>IFERROR(__xludf.DUMMYFUNCTION("""COMPUTED_VALUE"""),1.382962438274586)</f>
        <v>1.382962438</v>
      </c>
      <c r="AC741" s="30">
        <f>IFERROR(__xludf.DUMMYFUNCTION("""COMPUTED_VALUE"""),2.2353544371086578)</f>
        <v>2.235354437</v>
      </c>
      <c r="AD741" s="30">
        <f>IFERROR(__xludf.DUMMYFUNCTION("""COMPUTED_VALUE"""),1.0614985117320708)</f>
        <v>1.061498512</v>
      </c>
      <c r="AE741" s="30">
        <f>IFERROR(__xludf.DUMMYFUNCTION("""COMPUTED_VALUE"""),0.7873040644658156)</f>
        <v>0.7873040645</v>
      </c>
      <c r="AF741" s="30">
        <f>IFERROR(__xludf.DUMMYFUNCTION("""COMPUTED_VALUE"""),1.3330757203372121)</f>
        <v>1.33307572</v>
      </c>
      <c r="AG741" s="30">
        <f>IFERROR(__xludf.DUMMYFUNCTION("""COMPUTED_VALUE"""),1.3658280489855585)</f>
        <v>1.365828049</v>
      </c>
      <c r="AH741" s="30">
        <f>IFERROR(__xludf.DUMMYFUNCTION("""COMPUTED_VALUE"""),1.0438314813070126)</f>
        <v>1.043831481</v>
      </c>
      <c r="AI741" s="30">
        <f>IFERROR(__xludf.DUMMYFUNCTION("""COMPUTED_VALUE"""),0.9923946263244741)</f>
        <v>0.9923946263</v>
      </c>
      <c r="AJ741" s="30">
        <f>IFERROR(__xludf.DUMMYFUNCTION("""COMPUTED_VALUE"""),1.0597523742616197)</f>
        <v>1.059752374</v>
      </c>
      <c r="AK741" s="30">
        <f>IFERROR(__xludf.DUMMYFUNCTION("""COMPUTED_VALUE"""),0.8196483831462453)</f>
        <v>0.8196483831</v>
      </c>
      <c r="AL741" s="30">
        <f>IFERROR(__xludf.DUMMYFUNCTION("""COMPUTED_VALUE"""),0.8672973696720082)</f>
        <v>0.8672973697</v>
      </c>
      <c r="AM741" s="30">
        <f>IFERROR(__xludf.DUMMYFUNCTION("""COMPUTED_VALUE"""),1.0985123315282472)</f>
        <v>1.098512332</v>
      </c>
      <c r="AN741" s="30">
        <f>IFERROR(__xludf.DUMMYFUNCTION("""COMPUTED_VALUE"""),1.0938085370536497)</f>
        <v>1.093808537</v>
      </c>
      <c r="AO741" s="30">
        <f>IFERROR(__xludf.DUMMYFUNCTION("""COMPUTED_VALUE"""),0.753220576731327)</f>
        <v>0.7532205767</v>
      </c>
      <c r="AP741" s="30">
        <f>IFERROR(__xludf.DUMMYFUNCTION("""COMPUTED_VALUE"""),1.3511284556248435)</f>
        <v>1.351128456</v>
      </c>
      <c r="AQ741" s="30">
        <f>IFERROR(__xludf.DUMMYFUNCTION("""COMPUTED_VALUE"""),1.5661048913076112)</f>
        <v>1.566104891</v>
      </c>
      <c r="AR741" s="30">
        <f>IFERROR(__xludf.DUMMYFUNCTION("""COMPUTED_VALUE"""),0.99062234631362)</f>
        <v>0.9906223463</v>
      </c>
      <c r="AS741" s="30">
        <f>IFERROR(__xludf.DUMMYFUNCTION("""COMPUTED_VALUE"""),15.0)</f>
        <v>15</v>
      </c>
      <c r="AT741" s="30">
        <f>IFERROR(__xludf.DUMMYFUNCTION("""COMPUTED_VALUE"""),0.31350496075656675)</f>
        <v>0.3135049608</v>
      </c>
      <c r="AU741" s="30">
        <f>IFERROR(__xludf.DUMMYFUNCTION("""COMPUTED_VALUE"""),2.1058991183786877)</f>
        <v>2.105899118</v>
      </c>
      <c r="AV741" s="32">
        <f>IFERROR(__xludf.DUMMYFUNCTION("""COMPUTED_VALUE"""),54.61075945567978)</f>
        <v>54.61075946</v>
      </c>
      <c r="AW741" s="32">
        <f>IFERROR(__xludf.DUMMYFUNCTION("""COMPUTED_VALUE"""),2.3428096542928762)</f>
        <v>2.342809654</v>
      </c>
      <c r="AX741" s="32">
        <f>IFERROR(__xludf.DUMMYFUNCTION("""COMPUTED_VALUE"""),51.63409244123165)</f>
        <v>51.63409244</v>
      </c>
      <c r="AY741" s="32">
        <f>IFERROR(__xludf.DUMMYFUNCTION("""COMPUTED_VALUE"""),2.1099618712467354)</f>
        <v>2.109961871</v>
      </c>
      <c r="AZ741" s="30">
        <f>IFERROR(__xludf.DUMMYFUNCTION("""COMPUTED_VALUE"""),0.23284778304614084)</f>
        <v>0.232847783</v>
      </c>
      <c r="BA741" s="30">
        <f>IFERROR(__xludf.DUMMYFUNCTION("""COMPUTED_VALUE"""),2700.0)</f>
        <v>2700</v>
      </c>
    </row>
    <row r="742">
      <c r="A742" s="71" t="str">
        <f>IFERROR(__xludf.DUMMYFUNCTION("""COMPUTED_VALUE"""),"Prospect")</f>
        <v>Prospect</v>
      </c>
      <c r="B742" s="71" t="str">
        <f>IFERROR(__xludf.DUMMYFUNCTION("""COMPUTED_VALUE"""),"RSC002596")</f>
        <v>RSC002596</v>
      </c>
      <c r="C742" s="30" t="str">
        <f>IFERROR(__xludf.DUMMYFUNCTION("""COMPUTED_VALUE"""),"Jeff Wadowski")</f>
        <v>Jeff Wadowski</v>
      </c>
      <c r="D742" s="30" t="str">
        <f>IFERROR(__xludf.DUMMYFUNCTION("""COMPUTED_VALUE"""),"Tic Tacs")</f>
        <v>Tic Tacs</v>
      </c>
      <c r="E742" s="30">
        <f>IFERROR(__xludf.DUMMYFUNCTION("""COMPUTED_VALUE"""),36.0)</f>
        <v>36</v>
      </c>
      <c r="F742" s="30">
        <f>IFERROR(__xludf.DUMMYFUNCTION("""COMPUTED_VALUE"""),17.0)</f>
        <v>17</v>
      </c>
      <c r="G742" s="42">
        <f>IFERROR(__xludf.DUMMYFUNCTION("""COMPUTED_VALUE"""),19.0)</f>
        <v>19</v>
      </c>
      <c r="H742" s="42">
        <f>IFERROR(__xludf.DUMMYFUNCTION("""COMPUTED_VALUE"""),0.4722222222222222)</f>
        <v>0.4722222222</v>
      </c>
      <c r="I742" s="42">
        <f>IFERROR(__xludf.DUMMYFUNCTION("""COMPUTED_VALUE"""),0.2962962962962963)</f>
        <v>0.2962962963</v>
      </c>
      <c r="J742" s="30">
        <f>IFERROR(__xludf.DUMMYFUNCTION("""COMPUTED_VALUE"""),380.47222222222223)</f>
        <v>380.4722222</v>
      </c>
      <c r="K742" s="30">
        <f>IFERROR(__xludf.DUMMYFUNCTION("""COMPUTED_VALUE"""),0.6666666666666666)</f>
        <v>0.6666666667</v>
      </c>
      <c r="L742" s="30">
        <f>IFERROR(__xludf.DUMMYFUNCTION("""COMPUTED_VALUE"""),0.7222222222222222)</f>
        <v>0.7222222222</v>
      </c>
      <c r="M742" s="30">
        <f>IFERROR(__xludf.DUMMYFUNCTION("""COMPUTED_VALUE"""),1.75)</f>
        <v>1.75</v>
      </c>
      <c r="N742" s="30">
        <f>IFERROR(__xludf.DUMMYFUNCTION("""COMPUTED_VALUE"""),2.25)</f>
        <v>2.25</v>
      </c>
      <c r="O742" s="30">
        <f>IFERROR(__xludf.DUMMYFUNCTION("""COMPUTED_VALUE"""),344.9814814814815)</f>
        <v>344.9814815</v>
      </c>
      <c r="P742" s="30">
        <f>IFERROR(__xludf.DUMMYFUNCTION("""COMPUTED_VALUE"""),0.9351851851851851)</f>
        <v>0.9351851852</v>
      </c>
      <c r="Q742" s="30">
        <f>IFERROR(__xludf.DUMMYFUNCTION("""COMPUTED_VALUE"""),0.574074074074074)</f>
        <v>0.5740740741</v>
      </c>
      <c r="R742" s="30">
        <f>IFERROR(__xludf.DUMMYFUNCTION("""COMPUTED_VALUE"""),1.0)</f>
        <v>1</v>
      </c>
      <c r="S742" s="30">
        <f>IFERROR(__xludf.DUMMYFUNCTION("""COMPUTED_VALUE"""),2.805555555555554)</f>
        <v>2.805555556</v>
      </c>
      <c r="T742" s="30">
        <f>IFERROR(__xludf.DUMMYFUNCTION("""COMPUTED_VALUE"""),332.43339269826566)</f>
        <v>332.4333927</v>
      </c>
      <c r="U742" s="30">
        <f>IFERROR(__xludf.DUMMYFUNCTION("""COMPUTED_VALUE"""),0.7723393090092662)</f>
        <v>0.772339309</v>
      </c>
      <c r="V742" s="30">
        <f>IFERROR(__xludf.DUMMYFUNCTION("""COMPUTED_VALUE"""),0.5084713861539336)</f>
        <v>0.5084713862</v>
      </c>
      <c r="W742" s="30">
        <f>IFERROR(__xludf.DUMMYFUNCTION("""COMPUTED_VALUE"""),1.2296064725356564)</f>
        <v>1.229606473</v>
      </c>
      <c r="X742" s="30">
        <f>IFERROR(__xludf.DUMMYFUNCTION("""COMPUTED_VALUE"""),2.386805577111385)</f>
        <v>2.386805577</v>
      </c>
      <c r="Y742" s="30">
        <f>IFERROR(__xludf.DUMMYFUNCTION("""COMPUTED_VALUE"""),335.4986294389007)</f>
        <v>335.4986294</v>
      </c>
      <c r="Z742" s="30">
        <f>IFERROR(__xludf.DUMMYFUNCTION("""COMPUTED_VALUE"""),0.785008305866798)</f>
        <v>0.7850083059</v>
      </c>
      <c r="AA742" s="30">
        <f>IFERROR(__xludf.DUMMYFUNCTION("""COMPUTED_VALUE"""),0.5291303714126673)</f>
        <v>0.5291303714</v>
      </c>
      <c r="AB742" s="30">
        <f>IFERROR(__xludf.DUMMYFUNCTION("""COMPUTED_VALUE"""),1.201756077549244)</f>
        <v>1.201756078</v>
      </c>
      <c r="AC742" s="30">
        <f>IFERROR(__xludf.DUMMYFUNCTION("""COMPUTED_VALUE"""),2.4889321994910643)</f>
        <v>2.488932199</v>
      </c>
      <c r="AD742" s="30">
        <f>IFERROR(__xludf.DUMMYFUNCTION("""COMPUTED_VALUE"""),1.1340500044919315)</f>
        <v>1.134050004</v>
      </c>
      <c r="AE742" s="30">
        <f>IFERROR(__xludf.DUMMYFUNCTION("""COMPUTED_VALUE"""),0.8492479145561909)</f>
        <v>0.8492479146</v>
      </c>
      <c r="AF742" s="30">
        <f>IFERROR(__xludf.DUMMYFUNCTION("""COMPUTED_VALUE"""),1.3649230156530991)</f>
        <v>1.364923016</v>
      </c>
      <c r="AG742" s="30">
        <f>IFERROR(__xludf.DUMMYFUNCTION("""COMPUTED_VALUE"""),1.456202329817875)</f>
        <v>1.45620233</v>
      </c>
      <c r="AH742" s="30">
        <f>IFERROR(__xludf.DUMMYFUNCTION("""COMPUTED_VALUE"""),0.904002126076427)</f>
        <v>0.9040021261</v>
      </c>
      <c r="AI742" s="30">
        <f>IFERROR(__xludf.DUMMYFUNCTION("""COMPUTED_VALUE"""),1.0377461742978544)</f>
        <v>1.037746174</v>
      </c>
      <c r="AJ742" s="30">
        <f>IFERROR(__xludf.DUMMYFUNCTION("""COMPUTED_VALUE"""),1.2108475825020648)</f>
        <v>1.210847583</v>
      </c>
      <c r="AK742" s="30">
        <f>IFERROR(__xludf.DUMMYFUNCTION("""COMPUTED_VALUE"""),1.1290194290309188)</f>
        <v>1.129019429</v>
      </c>
      <c r="AL742" s="30">
        <f>IFERROR(__xludf.DUMMYFUNCTION("""COMPUTED_VALUE"""),0.8132683279861328)</f>
        <v>0.813268328</v>
      </c>
      <c r="AM742" s="30">
        <f>IFERROR(__xludf.DUMMYFUNCTION("""COMPUTED_VALUE"""),1.1754436902862269)</f>
        <v>1.17544369</v>
      </c>
      <c r="AN742" s="30">
        <f>IFERROR(__xludf.DUMMYFUNCTION("""COMPUTED_VALUE"""),1.1752349805478381)</f>
        <v>1.175234981</v>
      </c>
      <c r="AO742" s="30">
        <f>IFERROR(__xludf.DUMMYFUNCTION("""COMPUTED_VALUE"""),0.9038646920775923)</f>
        <v>0.9038646921</v>
      </c>
      <c r="AP742" s="30">
        <f>IFERROR(__xludf.DUMMYFUNCTION("""COMPUTED_VALUE"""),1.4637224935935806)</f>
        <v>1.463722494</v>
      </c>
      <c r="AQ742" s="30">
        <f>IFERROR(__xludf.DUMMYFUNCTION("""COMPUTED_VALUE"""),1.450950119887934)</f>
        <v>1.45095012</v>
      </c>
      <c r="AR742" s="30">
        <f>IFERROR(__xludf.DUMMYFUNCTION("""COMPUTED_VALUE"""),0.9552429768024193)</f>
        <v>0.9552429768</v>
      </c>
      <c r="AS742" s="30">
        <f>IFERROR(__xludf.DUMMYFUNCTION("""COMPUTED_VALUE"""),92.0)</f>
        <v>92</v>
      </c>
      <c r="AT742" s="30">
        <f>IFERROR(__xludf.DUMMYFUNCTION("""COMPUTED_VALUE"""),0.462291348198378)</f>
        <v>0.4622913482</v>
      </c>
      <c r="AU742" s="30">
        <f>IFERROR(__xludf.DUMMYFUNCTION("""COMPUTED_VALUE"""),2.0678402511492546)</f>
        <v>2.067840251</v>
      </c>
      <c r="AV742" s="32">
        <f>IFERROR(__xludf.DUMMYFUNCTION("""COMPUTED_VALUE"""),53.40002335845166)</f>
        <v>53.40002336</v>
      </c>
      <c r="AW742" s="32">
        <f>IFERROR(__xludf.DUMMYFUNCTION("""COMPUTED_VALUE"""),2.2426036462080225)</f>
        <v>2.242603646</v>
      </c>
      <c r="AX742" s="32">
        <f>IFERROR(__xludf.DUMMYFUNCTION("""COMPUTED_VALUE"""),55.598016164830504)</f>
        <v>55.59801616</v>
      </c>
      <c r="AY742" s="32">
        <f>IFERROR(__xludf.DUMMYFUNCTION("""COMPUTED_VALUE"""),2.430668079577711)</f>
        <v>2.43066808</v>
      </c>
      <c r="AZ742" s="30">
        <f>IFERROR(__xludf.DUMMYFUNCTION("""COMPUTED_VALUE"""),0.18806443336968837)</f>
        <v>0.1880644334</v>
      </c>
      <c r="BA742" s="30">
        <f>IFERROR(__xludf.DUMMYFUNCTION("""COMPUTED_VALUE"""),2700.0)</f>
        <v>2700</v>
      </c>
    </row>
    <row r="743">
      <c r="A743" s="71" t="str">
        <f>IFERROR(__xludf.DUMMYFUNCTION("""COMPUTED_VALUE"""),"Prospect")</f>
        <v>Prospect</v>
      </c>
      <c r="B743" s="71" t="str">
        <f>IFERROR(__xludf.DUMMYFUNCTION("""COMPUTED_VALUE"""),"RSC006755")</f>
        <v>RSC006755</v>
      </c>
      <c r="C743" s="30" t="str">
        <f>IFERROR(__xludf.DUMMYFUNCTION("""COMPUTED_VALUE"""),"Fox_gt_400")</f>
        <v>Fox_gt_400</v>
      </c>
      <c r="D743" s="30" t="str">
        <f>IFERROR(__xludf.DUMMYFUNCTION("""COMPUTED_VALUE"""),"Undead")</f>
        <v>Undead</v>
      </c>
      <c r="E743" s="30">
        <f>IFERROR(__xludf.DUMMYFUNCTION("""COMPUTED_VALUE"""),22.0)</f>
        <v>22</v>
      </c>
      <c r="F743" s="30">
        <f>IFERROR(__xludf.DUMMYFUNCTION("""COMPUTED_VALUE"""),9.0)</f>
        <v>9</v>
      </c>
      <c r="G743" s="42">
        <f>IFERROR(__xludf.DUMMYFUNCTION("""COMPUTED_VALUE"""),13.0)</f>
        <v>13</v>
      </c>
      <c r="H743" s="42">
        <f>IFERROR(__xludf.DUMMYFUNCTION("""COMPUTED_VALUE"""),0.4090909090909091)</f>
        <v>0.4090909091</v>
      </c>
      <c r="I743" s="42">
        <f>IFERROR(__xludf.DUMMYFUNCTION("""COMPUTED_VALUE"""),0.3076923076923077)</f>
        <v>0.3076923077</v>
      </c>
      <c r="J743" s="30">
        <f>IFERROR(__xludf.DUMMYFUNCTION("""COMPUTED_VALUE"""),329.45454545454544)</f>
        <v>329.4545455</v>
      </c>
      <c r="K743" s="30">
        <f>IFERROR(__xludf.DUMMYFUNCTION("""COMPUTED_VALUE"""),0.7272727272727273)</f>
        <v>0.7272727273</v>
      </c>
      <c r="L743" s="30">
        <f>IFERROR(__xludf.DUMMYFUNCTION("""COMPUTED_VALUE"""),0.4090909090909091)</f>
        <v>0.4090909091</v>
      </c>
      <c r="M743" s="30">
        <f>IFERROR(__xludf.DUMMYFUNCTION("""COMPUTED_VALUE"""),1.4090909090909092)</f>
        <v>1.409090909</v>
      </c>
      <c r="N743" s="30">
        <f>IFERROR(__xludf.DUMMYFUNCTION("""COMPUTED_VALUE"""),2.3636363636363638)</f>
        <v>2.363636364</v>
      </c>
      <c r="O743" s="30">
        <f>IFERROR(__xludf.DUMMYFUNCTION("""COMPUTED_VALUE"""),339.53030303030295)</f>
        <v>339.530303</v>
      </c>
      <c r="P743" s="30">
        <f>IFERROR(__xludf.DUMMYFUNCTION("""COMPUTED_VALUE"""),0.8333333333333333)</f>
        <v>0.8333333333</v>
      </c>
      <c r="Q743" s="30">
        <f>IFERROR(__xludf.DUMMYFUNCTION("""COMPUTED_VALUE"""),0.5303030303030303)</f>
        <v>0.5303030303</v>
      </c>
      <c r="R743" s="30">
        <f>IFERROR(__xludf.DUMMYFUNCTION("""COMPUTED_VALUE"""),1.0909090909090908)</f>
        <v>1.090909091</v>
      </c>
      <c r="S743" s="30">
        <f>IFERROR(__xludf.DUMMYFUNCTION("""COMPUTED_VALUE"""),2.560606060606061)</f>
        <v>2.560606061</v>
      </c>
      <c r="T743" s="30">
        <f>IFERROR(__xludf.DUMMYFUNCTION("""COMPUTED_VALUE"""),330.50107116749035)</f>
        <v>330.5010712</v>
      </c>
      <c r="U743" s="30">
        <f>IFERROR(__xludf.DUMMYFUNCTION("""COMPUTED_VALUE"""),0.7819207216754284)</f>
        <v>0.7819207217</v>
      </c>
      <c r="V743" s="30">
        <f>IFERROR(__xludf.DUMMYFUNCTION("""COMPUTED_VALUE"""),0.467791523509762)</f>
        <v>0.4677915235</v>
      </c>
      <c r="W743" s="30">
        <f>IFERROR(__xludf.DUMMYFUNCTION("""COMPUTED_VALUE"""),1.1916044935895156)</f>
        <v>1.191604494</v>
      </c>
      <c r="X743" s="30">
        <f>IFERROR(__xludf.DUMMYFUNCTION("""COMPUTED_VALUE"""),2.4626204006481016)</f>
        <v>2.462620401</v>
      </c>
      <c r="Y743" s="30">
        <f>IFERROR(__xludf.DUMMYFUNCTION("""COMPUTED_VALUE"""),337.095712060029)</f>
        <v>337.0957121</v>
      </c>
      <c r="Z743" s="30">
        <f>IFERROR(__xludf.DUMMYFUNCTION("""COMPUTED_VALUE"""),0.7798411150760667)</f>
        <v>0.7798411151</v>
      </c>
      <c r="AA743" s="30">
        <f>IFERROR(__xludf.DUMMYFUNCTION("""COMPUTED_VALUE"""),0.5388813232194405)</f>
        <v>0.5388813232</v>
      </c>
      <c r="AB743" s="30">
        <f>IFERROR(__xludf.DUMMYFUNCTION("""COMPUTED_VALUE"""),1.2241071323483466)</f>
        <v>1.224107132</v>
      </c>
      <c r="AC743" s="30">
        <f>IFERROR(__xludf.DUMMYFUNCTION("""COMPUTED_VALUE"""),2.4332635337471626)</f>
        <v>2.433263534</v>
      </c>
      <c r="AD743" s="30">
        <f>IFERROR(__xludf.DUMMYFUNCTION("""COMPUTED_VALUE"""),0.9773323530020969)</f>
        <v>0.977332353</v>
      </c>
      <c r="AE743" s="30">
        <f>IFERROR(__xludf.DUMMYFUNCTION("""COMPUTED_VALUE"""),0.9325908998806612)</f>
        <v>0.9325908999</v>
      </c>
      <c r="AF743" s="30">
        <f>IFERROR(__xludf.DUMMYFUNCTION("""COMPUTED_VALUE"""),0.7591484274253113)</f>
        <v>0.7591484274</v>
      </c>
      <c r="AG743" s="30">
        <f>IFERROR(__xludf.DUMMYFUNCTION("""COMPUTED_VALUE"""),1.1511173097959873)</f>
        <v>1.15111731</v>
      </c>
      <c r="AH743" s="30">
        <f>IFERROR(__xludf.DUMMYFUNCTION("""COMPUTED_VALUE"""),0.9713852736684156)</f>
        <v>0.9713852737</v>
      </c>
      <c r="AI743" s="30">
        <f>IFERROR(__xludf.DUMMYFUNCTION("""COMPUTED_VALUE"""),1.0273198263198269)</f>
        <v>1.027319826</v>
      </c>
      <c r="AJ743" s="30">
        <f>IFERROR(__xludf.DUMMYFUNCTION("""COMPUTED_VALUE"""),1.0657516935319769)</f>
        <v>1.065751694</v>
      </c>
      <c r="AK743" s="30">
        <f>IFERROR(__xludf.DUMMYFUNCTION("""COMPUTED_VALUE"""),1.1336311233778988)</f>
        <v>1.133631123</v>
      </c>
      <c r="AL743" s="30">
        <f>IFERROR(__xludf.DUMMYFUNCTION("""COMPUTED_VALUE"""),0.9154959525395073)</f>
        <v>0.9154959525</v>
      </c>
      <c r="AM743" s="30">
        <f>IFERROR(__xludf.DUMMYFUNCTION("""COMPUTED_VALUE"""),1.0397891855083194)</f>
        <v>1.039789186</v>
      </c>
      <c r="AN743" s="30">
        <f>IFERROR(__xludf.DUMMYFUNCTION("""COMPUTED_VALUE"""),1.0176472386268602)</f>
        <v>1.017647239</v>
      </c>
      <c r="AO743" s="30">
        <f>IFERROR(__xludf.DUMMYFUNCTION("""COMPUTED_VALUE"""),0.9860342095391917)</f>
        <v>0.9860342095</v>
      </c>
      <c r="AP743" s="30">
        <f>IFERROR(__xludf.DUMMYFUNCTION("""COMPUTED_VALUE"""),0.8291015523152451)</f>
        <v>0.8291015523</v>
      </c>
      <c r="AQ743" s="30">
        <f>IFERROR(__xludf.DUMMYFUNCTION("""COMPUTED_VALUE"""),1.1682974991305444)</f>
        <v>1.168297499</v>
      </c>
      <c r="AR743" s="30">
        <f>IFERROR(__xludf.DUMMYFUNCTION("""COMPUTED_VALUE"""),1.0034875715904203)</f>
        <v>1.003487572</v>
      </c>
      <c r="AS743" s="30">
        <f>IFERROR(__xludf.DUMMYFUNCTION("""COMPUTED_VALUE"""),45.0)</f>
        <v>45</v>
      </c>
      <c r="AT743" s="30">
        <f>IFERROR(__xludf.DUMMYFUNCTION("""COMPUTED_VALUE"""),0.42314139997229583)</f>
        <v>0.4231414</v>
      </c>
      <c r="AU743" s="30">
        <f>IFERROR(__xludf.DUMMYFUNCTION("""COMPUTED_VALUE"""),1.791613717576678)</f>
        <v>1.791613718</v>
      </c>
      <c r="AV743" s="32">
        <f>IFERROR(__xludf.DUMMYFUNCTION("""COMPUTED_VALUE"""),44.612651070348576)</f>
        <v>44.61265107</v>
      </c>
      <c r="AW743" s="32">
        <f>IFERROR(__xludf.DUMMYFUNCTION("""COMPUTED_VALUE"""),-2.411433407727645)</f>
        <v>-2.411433408</v>
      </c>
      <c r="AX743" s="32">
        <f>IFERROR(__xludf.DUMMYFUNCTION("""COMPUTED_VALUE"""),46.609775710400136)</f>
        <v>46.60977571</v>
      </c>
      <c r="AY743" s="32">
        <f>IFERROR(__xludf.DUMMYFUNCTION("""COMPUTED_VALUE"""),-2.241824705869198)</f>
        <v>-2.241824706</v>
      </c>
      <c r="AZ743" s="30">
        <f>IFERROR(__xludf.DUMMYFUNCTION("""COMPUTED_VALUE"""),0.16960870185844712)</f>
        <v>0.1696087019</v>
      </c>
      <c r="BA743" s="30">
        <f>IFERROR(__xludf.DUMMYFUNCTION("""COMPUTED_VALUE"""),2700.0)</f>
        <v>2700</v>
      </c>
    </row>
    <row r="744">
      <c r="A744" s="71" t="str">
        <f>IFERROR(__xludf.DUMMYFUNCTION("""COMPUTED_VALUE"""),"Prospect")</f>
        <v>Prospect</v>
      </c>
      <c r="B744" s="71" t="str">
        <f>IFERROR(__xludf.DUMMYFUNCTION("""COMPUTED_VALUE"""),"RSC007202")</f>
        <v>RSC007202</v>
      </c>
      <c r="C744" s="30" t="str">
        <f>IFERROR(__xludf.DUMMYFUNCTION("""COMPUTED_VALUE"""),"GreatHonda")</f>
        <v>GreatHonda</v>
      </c>
      <c r="D744" s="30" t="str">
        <f>IFERROR(__xludf.DUMMYFUNCTION("""COMPUTED_VALUE"""),"Horizon Highball")</f>
        <v>Horizon Highball</v>
      </c>
      <c r="E744" s="30">
        <f>IFERROR(__xludf.DUMMYFUNCTION("""COMPUTED_VALUE"""),26.0)</f>
        <v>26</v>
      </c>
      <c r="F744" s="30">
        <f>IFERROR(__xludf.DUMMYFUNCTION("""COMPUTED_VALUE"""),18.0)</f>
        <v>18</v>
      </c>
      <c r="G744" s="42">
        <f>IFERROR(__xludf.DUMMYFUNCTION("""COMPUTED_VALUE"""),8.0)</f>
        <v>8</v>
      </c>
      <c r="H744" s="42">
        <f>IFERROR(__xludf.DUMMYFUNCTION("""COMPUTED_VALUE"""),0.6923076923076923)</f>
        <v>0.6923076923</v>
      </c>
      <c r="I744" s="42">
        <f>IFERROR(__xludf.DUMMYFUNCTION("""COMPUTED_VALUE"""),0.29411764705882354)</f>
        <v>0.2941176471</v>
      </c>
      <c r="J744" s="30">
        <f>IFERROR(__xludf.DUMMYFUNCTION("""COMPUTED_VALUE"""),338.0)</f>
        <v>338</v>
      </c>
      <c r="K744" s="30">
        <f>IFERROR(__xludf.DUMMYFUNCTION("""COMPUTED_VALUE"""),0.7692307692307693)</f>
        <v>0.7692307692</v>
      </c>
      <c r="L744" s="30">
        <f>IFERROR(__xludf.DUMMYFUNCTION("""COMPUTED_VALUE"""),0.6538461538461539)</f>
        <v>0.6538461538</v>
      </c>
      <c r="M744" s="30">
        <f>IFERROR(__xludf.DUMMYFUNCTION("""COMPUTED_VALUE"""),1.0)</f>
        <v>1</v>
      </c>
      <c r="N744" s="30">
        <f>IFERROR(__xludf.DUMMYFUNCTION("""COMPUTED_VALUE"""),2.6153846153846154)</f>
        <v>2.615384615</v>
      </c>
      <c r="O744" s="30">
        <f>IFERROR(__xludf.DUMMYFUNCTION("""COMPUTED_VALUE"""),324.14102564102564)</f>
        <v>324.1410256</v>
      </c>
      <c r="P744" s="30">
        <f>IFERROR(__xludf.DUMMYFUNCTION("""COMPUTED_VALUE"""),0.6153846153846154)</f>
        <v>0.6153846154</v>
      </c>
      <c r="Q744" s="30">
        <f>IFERROR(__xludf.DUMMYFUNCTION("""COMPUTED_VALUE"""),0.4487179487179488)</f>
        <v>0.4487179487</v>
      </c>
      <c r="R744" s="30">
        <f>IFERROR(__xludf.DUMMYFUNCTION("""COMPUTED_VALUE"""),1.3461538461538463)</f>
        <v>1.346153846</v>
      </c>
      <c r="S744" s="30">
        <f>IFERROR(__xludf.DUMMYFUNCTION("""COMPUTED_VALUE"""),1.858974358974359)</f>
        <v>1.858974359</v>
      </c>
      <c r="T744" s="30">
        <f>IFERROR(__xludf.DUMMYFUNCTION("""COMPUTED_VALUE"""),329.0548396542637)</f>
        <v>329.0548397</v>
      </c>
      <c r="U744" s="30">
        <f>IFERROR(__xludf.DUMMYFUNCTION("""COMPUTED_VALUE"""),0.7374689310356455)</f>
        <v>0.737468931</v>
      </c>
      <c r="V744" s="30">
        <f>IFERROR(__xludf.DUMMYFUNCTION("""COMPUTED_VALUE"""),0.4939697227078158)</f>
        <v>0.4939697227</v>
      </c>
      <c r="W744" s="30">
        <f>IFERROR(__xludf.DUMMYFUNCTION("""COMPUTED_VALUE"""),1.2398089702448882)</f>
        <v>1.23980897</v>
      </c>
      <c r="X744" s="30">
        <f>IFERROR(__xludf.DUMMYFUNCTION("""COMPUTED_VALUE"""),2.30877029653703)</f>
        <v>2.308770297</v>
      </c>
      <c r="Y744" s="30">
        <f>IFERROR(__xludf.DUMMYFUNCTION("""COMPUTED_VALUE"""),335.60500222269417)</f>
        <v>335.6050022</v>
      </c>
      <c r="Z744" s="30">
        <f>IFERROR(__xludf.DUMMYFUNCTION("""COMPUTED_VALUE"""),0.7966274554646025)</f>
        <v>0.7966274555</v>
      </c>
      <c r="AA744" s="30">
        <f>IFERROR(__xludf.DUMMYFUNCTION("""COMPUTED_VALUE"""),0.5323547043318309)</f>
        <v>0.5323547043</v>
      </c>
      <c r="AB744" s="30">
        <f>IFERROR(__xludf.DUMMYFUNCTION("""COMPUTED_VALUE"""),1.1845523320677491)</f>
        <v>1.184552332</v>
      </c>
      <c r="AC744" s="30">
        <f>IFERROR(__xludf.DUMMYFUNCTION("""COMPUTED_VALUE"""),2.4967282312161916)</f>
        <v>2.496728231</v>
      </c>
      <c r="AD744" s="30">
        <f>IFERROR(__xludf.DUMMYFUNCTION("""COMPUTED_VALUE"""),1.007136358997762)</f>
        <v>1.007136359</v>
      </c>
      <c r="AE744" s="30">
        <f>IFERROR(__xludf.DUMMYFUNCTION("""COMPUTED_VALUE"""),0.9656091614142835)</f>
        <v>0.9656091614</v>
      </c>
      <c r="AF744" s="30">
        <f>IFERROR(__xludf.DUMMYFUNCTION("""COMPUTED_VALUE"""),1.2282152266632251)</f>
        <v>1.228215227</v>
      </c>
      <c r="AG744" s="30">
        <f>IFERROR(__xludf.DUMMYFUNCTION("""COMPUTED_VALUE"""),0.8442007777355051)</f>
        <v>0.8442007777</v>
      </c>
      <c r="AH744" s="30">
        <f>IFERROR(__xludf.DUMMYFUNCTION("""COMPUTED_VALUE"""),1.0475247496643336)</f>
        <v>1.04752475</v>
      </c>
      <c r="AI744" s="30">
        <f>IFERROR(__xludf.DUMMYFUNCTION("""COMPUTED_VALUE"""),0.9850668842360716)</f>
        <v>0.9850668842</v>
      </c>
      <c r="AJ744" s="30">
        <f>IFERROR(__xludf.DUMMYFUNCTION("""COMPUTED_VALUE"""),0.8344549708967616)</f>
        <v>0.8344549709</v>
      </c>
      <c r="AK744" s="30">
        <f>IFERROR(__xludf.DUMMYFUNCTION("""COMPUTED_VALUE"""),0.9083916039594323)</f>
        <v>0.908391604</v>
      </c>
      <c r="AL744" s="30">
        <f>IFERROR(__xludf.DUMMYFUNCTION("""COMPUTED_VALUE"""),1.0857752109084617)</f>
        <v>1.085775211</v>
      </c>
      <c r="AM744" s="30">
        <f>IFERROR(__xludf.DUMMYFUNCTION("""COMPUTED_VALUE"""),0.8051794332951491)</f>
        <v>0.8051794333</v>
      </c>
      <c r="AN744" s="30">
        <f>IFERROR(__xludf.DUMMYFUNCTION("""COMPUTED_VALUE"""),1.0440431658980869)</f>
        <v>1.044043166</v>
      </c>
      <c r="AO744" s="30">
        <f>IFERROR(__xludf.DUMMYFUNCTION("""COMPUTED_VALUE"""),1.0429207985510682)</f>
        <v>1.042920799</v>
      </c>
      <c r="AP744" s="30">
        <f>IFERROR(__xludf.DUMMYFUNCTION("""COMPUTED_VALUE"""),1.3251452160935968)</f>
        <v>1.325145216</v>
      </c>
      <c r="AQ744" s="30">
        <f>IFERROR(__xludf.DUMMYFUNCTION("""COMPUTED_VALUE"""),0.8291143542216766)</f>
        <v>0.8291143542</v>
      </c>
      <c r="AR744" s="30">
        <f>IFERROR(__xludf.DUMMYFUNCTION("""COMPUTED_VALUE"""),1.1103679046592225)</f>
        <v>1.110367905</v>
      </c>
      <c r="AS744" s="30">
        <f>IFERROR(__xludf.DUMMYFUNCTION("""COMPUTED_VALUE"""),71.0)</f>
        <v>71</v>
      </c>
      <c r="AT744" s="30">
        <f>IFERROR(__xludf.DUMMYFUNCTION("""COMPUTED_VALUE"""),0.64697056014436)</f>
        <v>0.6469705601</v>
      </c>
      <c r="AU744" s="30">
        <f>IFERROR(__xludf.DUMMYFUNCTION("""COMPUTED_VALUE"""),2.4675258706361323)</f>
        <v>2.467525871</v>
      </c>
      <c r="AV744" s="32">
        <f>IFERROR(__xludf.DUMMYFUNCTION("""COMPUTED_VALUE"""),66.11490013443488)</f>
        <v>66.11490013</v>
      </c>
      <c r="AW744" s="32">
        <f>IFERROR(__xludf.DUMMYFUNCTION("""COMPUTED_VALUE"""),3.852161557087978)</f>
        <v>3.852161557</v>
      </c>
      <c r="AX744" s="32">
        <f>IFERROR(__xludf.DUMMYFUNCTION("""COMPUTED_VALUE"""),65.24401304840443)</f>
        <v>65.24401305</v>
      </c>
      <c r="AY744" s="32">
        <f>IFERROR(__xludf.DUMMYFUNCTION("""COMPUTED_VALUE"""),3.6898976342870426)</f>
        <v>3.689897634</v>
      </c>
      <c r="AZ744" s="30">
        <f>IFERROR(__xludf.DUMMYFUNCTION("""COMPUTED_VALUE"""),0.1622639228009355)</f>
        <v>0.1622639228</v>
      </c>
      <c r="BA744" s="30">
        <f>IFERROR(__xludf.DUMMYFUNCTION("""COMPUTED_VALUE"""),2700.0)</f>
        <v>2700</v>
      </c>
    </row>
    <row r="745">
      <c r="A745" s="71" t="str">
        <f>IFERROR(__xludf.DUMMYFUNCTION("""COMPUTED_VALUE"""),"Prospect")</f>
        <v>Prospect</v>
      </c>
      <c r="B745" s="71" t="str">
        <f>IFERROR(__xludf.DUMMYFUNCTION("""COMPUTED_VALUE"""),"RSC003295")</f>
        <v>RSC003295</v>
      </c>
      <c r="C745" s="30" t="str">
        <f>IFERROR(__xludf.DUMMYFUNCTION("""COMPUTED_VALUE"""),"ConfuciusDragon")</f>
        <v>ConfuciusDragon</v>
      </c>
      <c r="D745" s="30" t="str">
        <f>IFERROR(__xludf.DUMMYFUNCTION("""COMPUTED_VALUE"""),"Mop Tops")</f>
        <v>Mop Tops</v>
      </c>
      <c r="E745" s="30">
        <f>IFERROR(__xludf.DUMMYFUNCTION("""COMPUTED_VALUE"""),33.0)</f>
        <v>33</v>
      </c>
      <c r="F745" s="30">
        <f>IFERROR(__xludf.DUMMYFUNCTION("""COMPUTED_VALUE"""),18.0)</f>
        <v>18</v>
      </c>
      <c r="G745" s="42">
        <f>IFERROR(__xludf.DUMMYFUNCTION("""COMPUTED_VALUE"""),15.0)</f>
        <v>15</v>
      </c>
      <c r="H745" s="42">
        <f>IFERROR(__xludf.DUMMYFUNCTION("""COMPUTED_VALUE"""),0.5454545454545454)</f>
        <v>0.5454545455</v>
      </c>
      <c r="I745" s="42">
        <f>IFERROR(__xludf.DUMMYFUNCTION("""COMPUTED_VALUE"""),0.32499999999999996)</f>
        <v>0.325</v>
      </c>
      <c r="J745" s="30">
        <f>IFERROR(__xludf.DUMMYFUNCTION("""COMPUTED_VALUE"""),359.969696969697)</f>
        <v>359.969697</v>
      </c>
      <c r="K745" s="30">
        <f>IFERROR(__xludf.DUMMYFUNCTION("""COMPUTED_VALUE"""),0.7878787878787878)</f>
        <v>0.7878787879</v>
      </c>
      <c r="L745" s="30">
        <f>IFERROR(__xludf.DUMMYFUNCTION("""COMPUTED_VALUE"""),0.6060606060606061)</f>
        <v>0.6060606061</v>
      </c>
      <c r="M745" s="30">
        <f>IFERROR(__xludf.DUMMYFUNCTION("""COMPUTED_VALUE"""),1.4242424242424243)</f>
        <v>1.424242424</v>
      </c>
      <c r="N745" s="30">
        <f>IFERROR(__xludf.DUMMYFUNCTION("""COMPUTED_VALUE"""),2.4242424242424243)</f>
        <v>2.424242424</v>
      </c>
      <c r="O745" s="30">
        <f>IFERROR(__xludf.DUMMYFUNCTION("""COMPUTED_VALUE"""),336.6363636363637)</f>
        <v>336.6363636</v>
      </c>
      <c r="P745" s="30">
        <f>IFERROR(__xludf.DUMMYFUNCTION("""COMPUTED_VALUE"""),0.7070707070707072)</f>
        <v>0.7070707071</v>
      </c>
      <c r="Q745" s="30">
        <f>IFERROR(__xludf.DUMMYFUNCTION("""COMPUTED_VALUE"""),0.505050505050505)</f>
        <v>0.5050505051</v>
      </c>
      <c r="R745" s="30">
        <f>IFERROR(__xludf.DUMMYFUNCTION("""COMPUTED_VALUE"""),1.2626262626262625)</f>
        <v>1.262626263</v>
      </c>
      <c r="S745" s="30">
        <f>IFERROR(__xludf.DUMMYFUNCTION("""COMPUTED_VALUE"""),2.373737373737374)</f>
        <v>2.373737374</v>
      </c>
      <c r="T745" s="30">
        <f>IFERROR(__xludf.DUMMYFUNCTION("""COMPUTED_VALUE"""),336.0160291386173)</f>
        <v>336.0160291</v>
      </c>
      <c r="U745" s="30">
        <f>IFERROR(__xludf.DUMMYFUNCTION("""COMPUTED_VALUE"""),0.8138200538837265)</f>
        <v>0.8138200539</v>
      </c>
      <c r="V745" s="30">
        <f>IFERROR(__xludf.DUMMYFUNCTION("""COMPUTED_VALUE"""),0.5239562507466504)</f>
        <v>0.5239562507</v>
      </c>
      <c r="W745" s="30">
        <f>IFERROR(__xludf.DUMMYFUNCTION("""COMPUTED_VALUE"""),1.1742497420587632)</f>
        <v>1.174249742</v>
      </c>
      <c r="X745" s="30">
        <f>IFERROR(__xludf.DUMMYFUNCTION("""COMPUTED_VALUE"""),2.5372095936009)</f>
        <v>2.537209594</v>
      </c>
      <c r="Y745" s="30">
        <f>IFERROR(__xludf.DUMMYFUNCTION("""COMPUTED_VALUE"""),335.411256242602)</f>
        <v>335.4112562</v>
      </c>
      <c r="Z745" s="30">
        <f>IFERROR(__xludf.DUMMYFUNCTION("""COMPUTED_VALUE"""),0.778700516969277)</f>
        <v>0.778700517</v>
      </c>
      <c r="AA745" s="30">
        <f>IFERROR(__xludf.DUMMYFUNCTION("""COMPUTED_VALUE"""),0.5235040827286945)</f>
        <v>0.5235040827</v>
      </c>
      <c r="AB745" s="30">
        <f>IFERROR(__xludf.DUMMYFUNCTION("""COMPUTED_VALUE"""),1.243449664274092)</f>
        <v>1.243449664</v>
      </c>
      <c r="AC745" s="30">
        <f>IFERROR(__xludf.DUMMYFUNCTION("""COMPUTED_VALUE"""),2.4286927790104396)</f>
        <v>2.428692779</v>
      </c>
      <c r="AD745" s="30">
        <f>IFERROR(__xludf.DUMMYFUNCTION("""COMPUTED_VALUE"""),1.0732188925386927)</f>
        <v>1.073218893</v>
      </c>
      <c r="AE745" s="30">
        <f>IFERROR(__xludf.DUMMYFUNCTION("""COMPUTED_VALUE"""),1.0117866505922366)</f>
        <v>1.011786651</v>
      </c>
      <c r="AF745" s="30">
        <f>IFERROR(__xludf.DUMMYFUNCTION("""COMPUTED_VALUE"""),1.1576998653030495)</f>
        <v>1.157699865</v>
      </c>
      <c r="AG745" s="30">
        <f>IFERROR(__xludf.DUMMYFUNCTION("""COMPUTED_VALUE"""),1.1453961227082534)</f>
        <v>1.145396123</v>
      </c>
      <c r="AH745" s="30">
        <f>IFERROR(__xludf.DUMMYFUNCTION("""COMPUTED_VALUE"""),0.9981675925392965)</f>
        <v>0.9981675925</v>
      </c>
      <c r="AI745" s="30">
        <f>IFERROR(__xludf.DUMMYFUNCTION("""COMPUTED_VALUE"""),1.0018461455524508)</f>
        <v>1.001846146</v>
      </c>
      <c r="AJ745" s="30">
        <f>IFERROR(__xludf.DUMMYFUNCTION("""COMPUTED_VALUE"""),0.8688292991754281)</f>
        <v>0.8688292992</v>
      </c>
      <c r="AK745" s="30">
        <f>IFERROR(__xludf.DUMMYFUNCTION("""COMPUTED_VALUE"""),0.9639173200640239)</f>
        <v>0.9639173201</v>
      </c>
      <c r="AL745" s="30">
        <f>IFERROR(__xludf.DUMMYFUNCTION("""COMPUTED_VALUE"""),1.0752621162279776)</f>
        <v>1.075262116</v>
      </c>
      <c r="AM745" s="30">
        <f>IFERROR(__xludf.DUMMYFUNCTION("""COMPUTED_VALUE"""),0.9355700765613455)</f>
        <v>0.9355700766</v>
      </c>
      <c r="AN745" s="30">
        <f>IFERROR(__xludf.DUMMYFUNCTION("""COMPUTED_VALUE"""),1.1119050356556728)</f>
        <v>1.111905036</v>
      </c>
      <c r="AO745" s="30">
        <f>IFERROR(__xludf.DUMMYFUNCTION("""COMPUTED_VALUE"""),1.068203727000791)</f>
        <v>1.068203727</v>
      </c>
      <c r="AP745" s="30">
        <f>IFERROR(__xludf.DUMMYFUNCTION("""COMPUTED_VALUE"""),1.2282985960225852)</f>
        <v>1.228298596</v>
      </c>
      <c r="AQ745" s="30">
        <f>IFERROR(__xludf.DUMMYFUNCTION("""COMPUTED_VALUE"""),1.1808598378308728)</f>
        <v>1.180859838</v>
      </c>
      <c r="AR745" s="30">
        <f>IFERROR(__xludf.DUMMYFUNCTION("""COMPUTED_VALUE"""),1.0292180221440208)</f>
        <v>1.029218022</v>
      </c>
      <c r="AS745" s="30">
        <f>IFERROR(__xludf.DUMMYFUNCTION("""COMPUTED_VALUE"""),80.0)</f>
        <v>80</v>
      </c>
      <c r="AT745" s="30">
        <f>IFERROR(__xludf.DUMMYFUNCTION("""COMPUTED_VALUE"""),0.5513704005830359)</f>
        <v>0.5513704006</v>
      </c>
      <c r="AU745" s="30">
        <f>IFERROR(__xludf.DUMMYFUNCTION("""COMPUTED_VALUE"""),2.3700717036183234)</f>
        <v>2.370071704</v>
      </c>
      <c r="AV745" s="32">
        <f>IFERROR(__xludf.DUMMYFUNCTION("""COMPUTED_VALUE"""),63.014669191604554)</f>
        <v>63.01466919</v>
      </c>
      <c r="AW745" s="32">
        <f>IFERROR(__xludf.DUMMYFUNCTION("""COMPUTED_VALUE"""),3.318650136010773)</f>
        <v>3.318650136</v>
      </c>
      <c r="AX745" s="32">
        <f>IFERROR(__xludf.DUMMYFUNCTION("""COMPUTED_VALUE"""),61.921925586531174)</f>
        <v>61.92192559</v>
      </c>
      <c r="AY745" s="32">
        <f>IFERROR(__xludf.DUMMYFUNCTION("""COMPUTED_VALUE"""),3.1573146510195844)</f>
        <v>3.157314651</v>
      </c>
      <c r="AZ745" s="30">
        <f>IFERROR(__xludf.DUMMYFUNCTION("""COMPUTED_VALUE"""),0.16133548499118877)</f>
        <v>0.161335485</v>
      </c>
      <c r="BA745" s="30">
        <f>IFERROR(__xludf.DUMMYFUNCTION("""COMPUTED_VALUE"""),2700.0)</f>
        <v>2700</v>
      </c>
    </row>
    <row r="746">
      <c r="A746" s="71" t="str">
        <f>IFERROR(__xludf.DUMMYFUNCTION("""COMPUTED_VALUE"""),"Prospect")</f>
        <v>Prospect</v>
      </c>
      <c r="B746" s="71" t="str">
        <f>IFERROR(__xludf.DUMMYFUNCTION("""COMPUTED_VALUE"""),"RSC006586")</f>
        <v>RSC006586</v>
      </c>
      <c r="C746" s="30" t="str">
        <f>IFERROR(__xludf.DUMMYFUNCTION("""COMPUTED_VALUE"""),"dino_chick3n")</f>
        <v>dino_chick3n</v>
      </c>
      <c r="D746" s="30"/>
      <c r="E746" s="30">
        <f>IFERROR(__xludf.DUMMYFUNCTION("""COMPUTED_VALUE"""),14.0)</f>
        <v>14</v>
      </c>
      <c r="F746" s="30">
        <f>IFERROR(__xludf.DUMMYFUNCTION("""COMPUTED_VALUE"""),4.0)</f>
        <v>4</v>
      </c>
      <c r="G746" s="42">
        <f>IFERROR(__xludf.DUMMYFUNCTION("""COMPUTED_VALUE"""),10.0)</f>
        <v>10</v>
      </c>
      <c r="H746" s="42">
        <f>IFERROR(__xludf.DUMMYFUNCTION("""COMPUTED_VALUE"""),0.2857142857142857)</f>
        <v>0.2857142857</v>
      </c>
      <c r="I746" s="42">
        <f>IFERROR(__xludf.DUMMYFUNCTION("""COMPUTED_VALUE"""),0.2857142857142857)</f>
        <v>0.2857142857</v>
      </c>
      <c r="J746" s="30">
        <f>IFERROR(__xludf.DUMMYFUNCTION("""COMPUTED_VALUE"""),342.0)</f>
        <v>342</v>
      </c>
      <c r="K746" s="30">
        <f>IFERROR(__xludf.DUMMYFUNCTION("""COMPUTED_VALUE"""),0.7142857142857143)</f>
        <v>0.7142857143</v>
      </c>
      <c r="L746" s="30">
        <f>IFERROR(__xludf.DUMMYFUNCTION("""COMPUTED_VALUE"""),0.5714285714285714)</f>
        <v>0.5714285714</v>
      </c>
      <c r="M746" s="30">
        <f>IFERROR(__xludf.DUMMYFUNCTION("""COMPUTED_VALUE"""),1.1428571428571428)</f>
        <v>1.142857143</v>
      </c>
      <c r="N746" s="30">
        <f>IFERROR(__xludf.DUMMYFUNCTION("""COMPUTED_VALUE"""),2.5)</f>
        <v>2.5</v>
      </c>
      <c r="O746" s="30">
        <f>IFERROR(__xludf.DUMMYFUNCTION("""COMPUTED_VALUE"""),358.4047619047619)</f>
        <v>358.4047619</v>
      </c>
      <c r="P746" s="30">
        <f>IFERROR(__xludf.DUMMYFUNCTION("""COMPUTED_VALUE"""),0.9285714285714287)</f>
        <v>0.9285714286</v>
      </c>
      <c r="Q746" s="30">
        <f>IFERROR(__xludf.DUMMYFUNCTION("""COMPUTED_VALUE"""),0.6904761904761905)</f>
        <v>0.6904761905</v>
      </c>
      <c r="R746" s="30">
        <f>IFERROR(__xludf.DUMMYFUNCTION("""COMPUTED_VALUE"""),1.4047619047619047)</f>
        <v>1.404761905</v>
      </c>
      <c r="S746" s="30">
        <f>IFERROR(__xludf.DUMMYFUNCTION("""COMPUTED_VALUE"""),2.3095238095238098)</f>
        <v>2.30952381</v>
      </c>
      <c r="T746" s="30">
        <f>IFERROR(__xludf.DUMMYFUNCTION("""COMPUTED_VALUE"""),328.95923237895715)</f>
        <v>328.9592324</v>
      </c>
      <c r="U746" s="30">
        <f>IFERROR(__xludf.DUMMYFUNCTION("""COMPUTED_VALUE"""),0.7721348620027929)</f>
        <v>0.772134862</v>
      </c>
      <c r="V746" s="30">
        <f>IFERROR(__xludf.DUMMYFUNCTION("""COMPUTED_VALUE"""),0.5822542145225995)</f>
        <v>0.5822542145</v>
      </c>
      <c r="W746" s="30">
        <f>IFERROR(__xludf.DUMMYFUNCTION("""COMPUTED_VALUE"""),1.112333505761312)</f>
        <v>1.112333506</v>
      </c>
      <c r="X746" s="30">
        <f>IFERROR(__xludf.DUMMYFUNCTION("""COMPUTED_VALUE"""),2.423601754503806)</f>
        <v>2.423601755</v>
      </c>
      <c r="Y746" s="30">
        <f>IFERROR(__xludf.DUMMYFUNCTION("""COMPUTED_VALUE"""),326.9035084169159)</f>
        <v>326.9035084</v>
      </c>
      <c r="Z746" s="30">
        <f>IFERROR(__xludf.DUMMYFUNCTION("""COMPUTED_VALUE"""),0.755016141010155)</f>
        <v>0.755016141</v>
      </c>
      <c r="AA746" s="30">
        <f>IFERROR(__xludf.DUMMYFUNCTION("""COMPUTED_VALUE"""),0.48605047231472115)</f>
        <v>0.4860504723</v>
      </c>
      <c r="AB746" s="30">
        <f>IFERROR(__xludf.DUMMYFUNCTION("""COMPUTED_VALUE"""),1.2332138511427164)</f>
        <v>1.233213851</v>
      </c>
      <c r="AC746" s="30">
        <f>IFERROR(__xludf.DUMMYFUNCTION("""COMPUTED_VALUE"""),2.2933058840004317)</f>
        <v>2.293305884</v>
      </c>
      <c r="AD746" s="30">
        <f>IFERROR(__xludf.DUMMYFUNCTION("""COMPUTED_VALUE"""),1.0461802678600525)</f>
        <v>1.046180268</v>
      </c>
      <c r="AE746" s="30">
        <f>IFERROR(__xludf.DUMMYFUNCTION("""COMPUTED_VALUE"""),0.9460535682456451)</f>
        <v>0.9460535682</v>
      </c>
      <c r="AF746" s="30">
        <f>IFERROR(__xludf.DUMMYFUNCTION("""COMPUTED_VALUE"""),1.1756568586534926)</f>
        <v>1.175656859</v>
      </c>
      <c r="AG746" s="30">
        <f>IFERROR(__xludf.DUMMYFUNCTION("""COMPUTED_VALUE"""),0.9267307059502716)</f>
        <v>0.926730706</v>
      </c>
      <c r="AH746" s="30">
        <f>IFERROR(__xludf.DUMMYFUNCTION("""COMPUTED_VALUE"""),1.0901293270302923)</f>
        <v>1.090129327</v>
      </c>
      <c r="AI746" s="30">
        <f>IFERROR(__xludf.DUMMYFUNCTION("""COMPUTED_VALUE"""),1.0895111814095062)</f>
        <v>1.089511181</v>
      </c>
      <c r="AJ746" s="30">
        <f>IFERROR(__xludf.DUMMYFUNCTION("""COMPUTED_VALUE"""),1.2026026465931932)</f>
        <v>1.202602647</v>
      </c>
      <c r="AK746" s="30">
        <f>IFERROR(__xludf.DUMMYFUNCTION("""COMPUTED_VALUE"""),1.1858672264696686)</f>
        <v>1.185867226</v>
      </c>
      <c r="AL746" s="30">
        <f>IFERROR(__xludf.DUMMYFUNCTION("""COMPUTED_VALUE"""),1.2628963323373474)</f>
        <v>1.262896332</v>
      </c>
      <c r="AM746" s="30">
        <f>IFERROR(__xludf.DUMMYFUNCTION("""COMPUTED_VALUE"""),0.9529304083197645)</f>
        <v>0.9529304083</v>
      </c>
      <c r="AN746" s="30">
        <f>IFERROR(__xludf.DUMMYFUNCTION("""COMPUTED_VALUE"""),1.0563987063229163)</f>
        <v>1.056398706</v>
      </c>
      <c r="AO746" s="30">
        <f>IFERROR(__xludf.DUMMYFUNCTION("""COMPUTED_VALUE"""),0.9684264557974205)</f>
        <v>0.9684264558</v>
      </c>
      <c r="AP746" s="30">
        <f>IFERROR(__xludf.DUMMYFUNCTION("""COMPUTED_VALUE"""),1.1581101048212945)</f>
        <v>1.158110105</v>
      </c>
      <c r="AQ746" s="30">
        <f>IFERROR(__xludf.DUMMYFUNCTION("""COMPUTED_VALUE"""),0.9475592619676303)</f>
        <v>0.947559262</v>
      </c>
      <c r="AR746" s="30">
        <f>IFERROR(__xludf.DUMMYFUNCTION("""COMPUTED_VALUE"""),1.0613810853360215)</f>
        <v>1.061381085</v>
      </c>
      <c r="AS746" s="30">
        <f>IFERROR(__xludf.DUMMYFUNCTION("""COMPUTED_VALUE"""),29.0)</f>
        <v>29</v>
      </c>
      <c r="AT746" s="30">
        <f>IFERROR(__xludf.DUMMYFUNCTION("""COMPUTED_VALUE"""),0.38549046449711494)</f>
        <v>0.3854904645</v>
      </c>
      <c r="AU746" s="30">
        <f>IFERROR(__xludf.DUMMYFUNCTION("""COMPUTED_VALUE"""),2.0749492586435974)</f>
        <v>2.074949259</v>
      </c>
      <c r="AV746" s="32">
        <f>IFERROR(__xludf.DUMMYFUNCTION("""COMPUTED_VALUE"""),53.62617648952041)</f>
        <v>53.62617649</v>
      </c>
      <c r="AW746" s="32">
        <f>IFERROR(__xludf.DUMMYFUNCTION("""COMPUTED_VALUE"""),2.260720492523202)</f>
        <v>2.260720493</v>
      </c>
      <c r="AX746" s="32">
        <f>IFERROR(__xludf.DUMMYFUNCTION("""COMPUTED_VALUE"""),55.250005026947875)</f>
        <v>55.25000503</v>
      </c>
      <c r="AY746" s="32">
        <f>IFERROR(__xludf.DUMMYFUNCTION("""COMPUTED_VALUE"""),2.3990379394452974)</f>
        <v>2.399037939</v>
      </c>
      <c r="AZ746" s="30">
        <f>IFERROR(__xludf.DUMMYFUNCTION("""COMPUTED_VALUE"""),0.13831744692209558)</f>
        <v>0.1383174469</v>
      </c>
      <c r="BA746" s="30">
        <f>IFERROR(__xludf.DUMMYFUNCTION("""COMPUTED_VALUE"""),2700.0)</f>
        <v>2700</v>
      </c>
    </row>
    <row r="747">
      <c r="A747" s="71" t="str">
        <f>IFERROR(__xludf.DUMMYFUNCTION("""COMPUTED_VALUE"""),"Prospect")</f>
        <v>Prospect</v>
      </c>
      <c r="B747" s="71" t="str">
        <f>IFERROR(__xludf.DUMMYFUNCTION("""COMPUTED_VALUE"""),"RSC007141")</f>
        <v>RSC007141</v>
      </c>
      <c r="C747" s="30" t="str">
        <f>IFERROR(__xludf.DUMMYFUNCTION("""COMPUTED_VALUE"""),"Cuddlingus")</f>
        <v>Cuddlingus</v>
      </c>
      <c r="D747" s="30" t="str">
        <f>IFERROR(__xludf.DUMMYFUNCTION("""COMPUTED_VALUE"""),"Skeletons")</f>
        <v>Skeletons</v>
      </c>
      <c r="E747" s="30">
        <f>IFERROR(__xludf.DUMMYFUNCTION("""COMPUTED_VALUE"""),18.0)</f>
        <v>18</v>
      </c>
      <c r="F747" s="30">
        <f>IFERROR(__xludf.DUMMYFUNCTION("""COMPUTED_VALUE"""),8.0)</f>
        <v>8</v>
      </c>
      <c r="G747" s="42">
        <f>IFERROR(__xludf.DUMMYFUNCTION("""COMPUTED_VALUE"""),10.0)</f>
        <v>10</v>
      </c>
      <c r="H747" s="42">
        <f>IFERROR(__xludf.DUMMYFUNCTION("""COMPUTED_VALUE"""),0.4444444444444444)</f>
        <v>0.4444444444</v>
      </c>
      <c r="I747" s="42">
        <f>IFERROR(__xludf.DUMMYFUNCTION("""COMPUTED_VALUE"""),0.3095238095238095)</f>
        <v>0.3095238095</v>
      </c>
      <c r="J747" s="30">
        <f>IFERROR(__xludf.DUMMYFUNCTION("""COMPUTED_VALUE"""),301.3888888888889)</f>
        <v>301.3888889</v>
      </c>
      <c r="K747" s="30">
        <f>IFERROR(__xludf.DUMMYFUNCTION("""COMPUTED_VALUE"""),0.7222222222222222)</f>
        <v>0.7222222222</v>
      </c>
      <c r="L747" s="30">
        <f>IFERROR(__xludf.DUMMYFUNCTION("""COMPUTED_VALUE"""),0.3333333333333333)</f>
        <v>0.3333333333</v>
      </c>
      <c r="M747" s="30">
        <f>IFERROR(__xludf.DUMMYFUNCTION("""COMPUTED_VALUE"""),0.9444444444444444)</f>
        <v>0.9444444444</v>
      </c>
      <c r="N747" s="30">
        <f>IFERROR(__xludf.DUMMYFUNCTION("""COMPUTED_VALUE"""),2.3333333333333335)</f>
        <v>2.333333333</v>
      </c>
      <c r="O747" s="30">
        <f>IFERROR(__xludf.DUMMYFUNCTION("""COMPUTED_VALUE"""),332.87037037037027)</f>
        <v>332.8703704</v>
      </c>
      <c r="P747" s="30">
        <f>IFERROR(__xludf.DUMMYFUNCTION("""COMPUTED_VALUE"""),0.7407407407407407)</f>
        <v>0.7407407407</v>
      </c>
      <c r="Q747" s="30">
        <f>IFERROR(__xludf.DUMMYFUNCTION("""COMPUTED_VALUE"""),0.5185185185185185)</f>
        <v>0.5185185185</v>
      </c>
      <c r="R747" s="30">
        <f>IFERROR(__xludf.DUMMYFUNCTION("""COMPUTED_VALUE"""),1.3148148148148147)</f>
        <v>1.314814815</v>
      </c>
      <c r="S747" s="30">
        <f>IFERROR(__xludf.DUMMYFUNCTION("""COMPUTED_VALUE"""),2.129629629629629)</f>
        <v>2.12962963</v>
      </c>
      <c r="T747" s="30">
        <f>IFERROR(__xludf.DUMMYFUNCTION("""COMPUTED_VALUE"""),345.25419219526134)</f>
        <v>345.2541922</v>
      </c>
      <c r="U747" s="30">
        <f>IFERROR(__xludf.DUMMYFUNCTION("""COMPUTED_VALUE"""),0.8175656632988583)</f>
        <v>0.8175656633</v>
      </c>
      <c r="V747" s="30">
        <f>IFERROR(__xludf.DUMMYFUNCTION("""COMPUTED_VALUE"""),0.5764801811173565)</f>
        <v>0.5764801811</v>
      </c>
      <c r="W747" s="30">
        <f>IFERROR(__xludf.DUMMYFUNCTION("""COMPUTED_VALUE"""),1.2759769082566665)</f>
        <v>1.275976908</v>
      </c>
      <c r="X747" s="30">
        <f>IFERROR(__xludf.DUMMYFUNCTION("""COMPUTED_VALUE"""),2.5029383648890984)</f>
        <v>2.502938365</v>
      </c>
      <c r="Y747" s="30">
        <f>IFERROR(__xludf.DUMMYFUNCTION("""COMPUTED_VALUE"""),333.28181697076275)</f>
        <v>333.281817</v>
      </c>
      <c r="Z747" s="30">
        <f>IFERROR(__xludf.DUMMYFUNCTION("""COMPUTED_VALUE"""),0.759979920965427)</f>
        <v>0.759979921</v>
      </c>
      <c r="AA747" s="30">
        <f>IFERROR(__xludf.DUMMYFUNCTION("""COMPUTED_VALUE"""),0.49938006200304713)</f>
        <v>0.499380062</v>
      </c>
      <c r="AB747" s="30">
        <f>IFERROR(__xludf.DUMMYFUNCTION("""COMPUTED_VALUE"""),1.2554516747836142)</f>
        <v>1.255451675</v>
      </c>
      <c r="AC747" s="30">
        <f>IFERROR(__xludf.DUMMYFUNCTION("""COMPUTED_VALUE"""),2.4475241209099603)</f>
        <v>2.447524121</v>
      </c>
      <c r="AD747" s="30">
        <f>IFERROR(__xludf.DUMMYFUNCTION("""COMPUTED_VALUE"""),0.9043064263998787)</f>
        <v>0.9043064264</v>
      </c>
      <c r="AE747" s="30">
        <f>IFERROR(__xludf.DUMMYFUNCTION("""COMPUTED_VALUE"""),0.9503175048424438)</f>
        <v>0.9503175048</v>
      </c>
      <c r="AF747" s="30">
        <f>IFERROR(__xludf.DUMMYFUNCTION("""COMPUTED_VALUE"""),0.6674942767965362)</f>
        <v>0.6674942768</v>
      </c>
      <c r="AG747" s="30">
        <f>IFERROR(__xludf.DUMMYFUNCTION("""COMPUTED_VALUE"""),0.7522746302498867)</f>
        <v>0.7522746302</v>
      </c>
      <c r="AH747" s="30">
        <f>IFERROR(__xludf.DUMMYFUNCTION("""COMPUTED_VALUE"""),0.9533443668231666)</f>
        <v>0.9533443668</v>
      </c>
      <c r="AI747" s="30">
        <f>IFERROR(__xludf.DUMMYFUNCTION("""COMPUTED_VALUE"""),0.9641312919442053)</f>
        <v>0.9641312919</v>
      </c>
      <c r="AJ747" s="30">
        <f>IFERROR(__xludf.DUMMYFUNCTION("""COMPUTED_VALUE"""),0.9060321072583567)</f>
        <v>0.9060321073</v>
      </c>
      <c r="AK747" s="30">
        <f>IFERROR(__xludf.DUMMYFUNCTION("""COMPUTED_VALUE"""),0.8994559318821777)</f>
        <v>0.8994559319</v>
      </c>
      <c r="AL747" s="30">
        <f>IFERROR(__xludf.DUMMYFUNCTION("""COMPUTED_VALUE"""),1.030437781676795)</f>
        <v>1.030437782</v>
      </c>
      <c r="AM747" s="30">
        <f>IFERROR(__xludf.DUMMYFUNCTION("""COMPUTED_VALUE"""),0.8508518066220898)</f>
        <v>0.8508518066</v>
      </c>
      <c r="AN747" s="30">
        <f>IFERROR(__xludf.DUMMYFUNCTION("""COMPUTED_VALUE"""),0.9309556500652731)</f>
        <v>0.9309556501</v>
      </c>
      <c r="AO747" s="30">
        <f>IFERROR(__xludf.DUMMYFUNCTION("""COMPUTED_VALUE"""),0.9791867497507252)</f>
        <v>0.9791867498</v>
      </c>
      <c r="AP747" s="30">
        <f>IFERROR(__xludf.DUMMYFUNCTION("""COMPUTED_VALUE"""),0.6755642278124218)</f>
        <v>0.6755642278</v>
      </c>
      <c r="AQ747" s="30">
        <f>IFERROR(__xludf.DUMMYFUNCTION("""COMPUTED_VALUE"""),0.7830524456538056)</f>
        <v>0.7830524457</v>
      </c>
      <c r="AR747" s="30">
        <f>IFERROR(__xludf.DUMMYFUNCTION("""COMPUTED_VALUE"""),0.99062234631362)</f>
        <v>0.9906223463</v>
      </c>
      <c r="AS747" s="30">
        <f>IFERROR(__xludf.DUMMYFUNCTION("""COMPUTED_VALUE"""),41.0)</f>
        <v>41</v>
      </c>
      <c r="AT747" s="30">
        <f>IFERROR(__xludf.DUMMYFUNCTION("""COMPUTED_VALUE"""),0.509504444206562)</f>
        <v>0.5095044442</v>
      </c>
      <c r="AU747" s="30">
        <f>IFERROR(__xludf.DUMMYFUNCTION("""COMPUTED_VALUE"""),1.8425691341973953)</f>
        <v>1.842569134</v>
      </c>
      <c r="AV747" s="32">
        <f>IFERROR(__xludf.DUMMYFUNCTION("""COMPUTED_VALUE"""),46.23365470874087)</f>
        <v>46.23365471</v>
      </c>
      <c r="AW747" s="32">
        <f>IFERROR(__xludf.DUMMYFUNCTION("""COMPUTED_VALUE"""),-2.2720848659699535)</f>
        <v>-2.272084866</v>
      </c>
      <c r="AX747" s="32">
        <f>IFERROR(__xludf.DUMMYFUNCTION("""COMPUTED_VALUE"""),45.138529560125235)</f>
        <v>45.13852956</v>
      </c>
      <c r="AY747" s="32">
        <f>IFERROR(__xludf.DUMMYFUNCTION("""COMPUTED_VALUE"""),-2.364578689803801)</f>
        <v>-2.36457869</v>
      </c>
      <c r="AZ747" s="30">
        <f>IFERROR(__xludf.DUMMYFUNCTION("""COMPUTED_VALUE"""),0.09249382383384752)</f>
        <v>0.09249382383</v>
      </c>
      <c r="BA747" s="30">
        <f>IFERROR(__xludf.DUMMYFUNCTION("""COMPUTED_VALUE"""),2700.0)</f>
        <v>2700</v>
      </c>
    </row>
    <row r="748">
      <c r="A748" s="71" t="str">
        <f>IFERROR(__xludf.DUMMYFUNCTION("""COMPUTED_VALUE"""),"Prospect")</f>
        <v>Prospect</v>
      </c>
      <c r="B748" s="71" t="str">
        <f>IFERROR(__xludf.DUMMYFUNCTION("""COMPUTED_VALUE"""),"RSC006667")</f>
        <v>RSC006667</v>
      </c>
      <c r="C748" s="30" t="str">
        <f>IFERROR(__xludf.DUMMYFUNCTION("""COMPUTED_VALUE"""),"GET2DACHOPPA5")</f>
        <v>GET2DACHOPPA5</v>
      </c>
      <c r="D748" s="30" t="str">
        <f>IFERROR(__xludf.DUMMYFUNCTION("""COMPUTED_VALUE"""),"Honey Badgers")</f>
        <v>Honey Badgers</v>
      </c>
      <c r="E748" s="30">
        <f>IFERROR(__xludf.DUMMYFUNCTION("""COMPUTED_VALUE"""),15.0)</f>
        <v>15</v>
      </c>
      <c r="F748" s="30">
        <f>IFERROR(__xludf.DUMMYFUNCTION("""COMPUTED_VALUE"""),7.0)</f>
        <v>7</v>
      </c>
      <c r="G748" s="42">
        <f>IFERROR(__xludf.DUMMYFUNCTION("""COMPUTED_VALUE"""),8.0)</f>
        <v>8</v>
      </c>
      <c r="H748" s="42">
        <f>IFERROR(__xludf.DUMMYFUNCTION("""COMPUTED_VALUE"""),0.4666666666666667)</f>
        <v>0.4666666667</v>
      </c>
      <c r="I748" s="42">
        <f>IFERROR(__xludf.DUMMYFUNCTION("""COMPUTED_VALUE"""),0.2857142857142857)</f>
        <v>0.2857142857</v>
      </c>
      <c r="J748" s="30">
        <f>IFERROR(__xludf.DUMMYFUNCTION("""COMPUTED_VALUE"""),309.46666666666664)</f>
        <v>309.4666667</v>
      </c>
      <c r="K748" s="30">
        <f>IFERROR(__xludf.DUMMYFUNCTION("""COMPUTED_VALUE"""),0.5333333333333333)</f>
        <v>0.5333333333</v>
      </c>
      <c r="L748" s="30">
        <f>IFERROR(__xludf.DUMMYFUNCTION("""COMPUTED_VALUE"""),1.0)</f>
        <v>1</v>
      </c>
      <c r="M748" s="30">
        <f>IFERROR(__xludf.DUMMYFUNCTION("""COMPUTED_VALUE"""),1.1333333333333333)</f>
        <v>1.133333333</v>
      </c>
      <c r="N748" s="30">
        <f>IFERROR(__xludf.DUMMYFUNCTION("""COMPUTED_VALUE"""),1.8666666666666667)</f>
        <v>1.866666667</v>
      </c>
      <c r="O748" s="30">
        <f>IFERROR(__xludf.DUMMYFUNCTION("""COMPUTED_VALUE"""),322.17777777777775)</f>
        <v>322.1777778</v>
      </c>
      <c r="P748" s="30">
        <f>IFERROR(__xludf.DUMMYFUNCTION("""COMPUTED_VALUE"""),0.7333333333333333)</f>
        <v>0.7333333333</v>
      </c>
      <c r="Q748" s="30">
        <f>IFERROR(__xludf.DUMMYFUNCTION("""COMPUTED_VALUE"""),0.5555555555555555)</f>
        <v>0.5555555556</v>
      </c>
      <c r="R748" s="30">
        <f>IFERROR(__xludf.DUMMYFUNCTION("""COMPUTED_VALUE"""),1.0666666666666667)</f>
        <v>1.066666667</v>
      </c>
      <c r="S748" s="30">
        <f>IFERROR(__xludf.DUMMYFUNCTION("""COMPUTED_VALUE"""),2.4222222222222225)</f>
        <v>2.422222222</v>
      </c>
      <c r="T748" s="30">
        <f>IFERROR(__xludf.DUMMYFUNCTION("""COMPUTED_VALUE"""),334.9813470003791)</f>
        <v>334.981347</v>
      </c>
      <c r="U748" s="30">
        <f>IFERROR(__xludf.DUMMYFUNCTION("""COMPUTED_VALUE"""),0.8061526675200874)</f>
        <v>0.8061526675</v>
      </c>
      <c r="V748" s="30">
        <f>IFERROR(__xludf.DUMMYFUNCTION("""COMPUTED_VALUE"""),0.5579274343380444)</f>
        <v>0.5579274343</v>
      </c>
      <c r="W748" s="30">
        <f>IFERROR(__xludf.DUMMYFUNCTION("""COMPUTED_VALUE"""),1.137531519593991)</f>
        <v>1.13753152</v>
      </c>
      <c r="X748" s="30">
        <f>IFERROR(__xludf.DUMMYFUNCTION("""COMPUTED_VALUE"""),2.4585734639323404)</f>
        <v>2.458573464</v>
      </c>
      <c r="Y748" s="30">
        <f>IFERROR(__xludf.DUMMYFUNCTION("""COMPUTED_VALUE"""),332.55612143174443)</f>
        <v>332.5561214</v>
      </c>
      <c r="Z748" s="30">
        <f>IFERROR(__xludf.DUMMYFUNCTION("""COMPUTED_VALUE"""),0.7789963749894145)</f>
        <v>0.778996375</v>
      </c>
      <c r="AA748" s="30">
        <f>IFERROR(__xludf.DUMMYFUNCTION("""COMPUTED_VALUE"""),0.5136934039719177)</f>
        <v>0.513693404</v>
      </c>
      <c r="AB748" s="30">
        <f>IFERROR(__xludf.DUMMYFUNCTION("""COMPUTED_VALUE"""),1.213570687117756)</f>
        <v>1.213570687</v>
      </c>
      <c r="AC748" s="30">
        <f>IFERROR(__xludf.DUMMYFUNCTION("""COMPUTED_VALUE"""),2.3116282904456766)</f>
        <v>2.31162829</v>
      </c>
      <c r="AD748" s="30">
        <f>IFERROR(__xludf.DUMMYFUNCTION("""COMPUTED_VALUE"""),0.9305697496540691)</f>
        <v>0.9305697497</v>
      </c>
      <c r="AE748" s="30">
        <f>IFERROR(__xludf.DUMMYFUNCTION("""COMPUTED_VALUE"""),0.6846416112534293)</f>
        <v>0.6846416113</v>
      </c>
      <c r="AF748" s="30">
        <f>IFERROR(__xludf.DUMMYFUNCTION("""COMPUTED_VALUE"""),1.946686471478749)</f>
        <v>1.946686471</v>
      </c>
      <c r="AG748" s="30">
        <f>IFERROR(__xludf.DUMMYFUNCTION("""COMPUTED_VALUE"""),0.9338832466570305)</f>
        <v>0.9338832467</v>
      </c>
      <c r="AH748" s="30">
        <f>IFERROR(__xludf.DUMMYFUNCTION("""COMPUTED_VALUE"""),0.8075116031335546)</f>
        <v>0.8075116031</v>
      </c>
      <c r="AI748" s="30">
        <f>IFERROR(__xludf.DUMMYFUNCTION("""COMPUTED_VALUE"""),0.9617782621711565)</f>
        <v>0.9617782622</v>
      </c>
      <c r="AJ748" s="30">
        <f>IFERROR(__xludf.DUMMYFUNCTION("""COMPUTED_VALUE"""),0.9096705411758256)</f>
        <v>0.9096705412</v>
      </c>
      <c r="AK748" s="30">
        <f>IFERROR(__xludf.DUMMYFUNCTION("""COMPUTED_VALUE"""),0.9957487683227066)</f>
        <v>0.9957487683</v>
      </c>
      <c r="AL748" s="30">
        <f>IFERROR(__xludf.DUMMYFUNCTION("""COMPUTED_VALUE"""),0.9377029544178103)</f>
        <v>0.9377029544</v>
      </c>
      <c r="AM748" s="30">
        <f>IFERROR(__xludf.DUMMYFUNCTION("""COMPUTED_VALUE"""),0.9852144984710051)</f>
        <v>0.9852144985</v>
      </c>
      <c r="AN748" s="30">
        <f>IFERROR(__xludf.DUMMYFUNCTION("""COMPUTED_VALUE"""),0.9559069775343035)</f>
        <v>0.9559069775</v>
      </c>
      <c r="AO748" s="30">
        <f>IFERROR(__xludf.DUMMYFUNCTION("""COMPUTED_VALUE"""),0.7230917536620739)</f>
        <v>0.7230917537</v>
      </c>
      <c r="AP748" s="30">
        <f>IFERROR(__xludf.DUMMYFUNCTION("""COMPUTED_VALUE"""),2.0266926834372656)</f>
        <v>2.026692683</v>
      </c>
      <c r="AQ748" s="30">
        <f>IFERROR(__xludf.DUMMYFUNCTION("""COMPUTED_VALUE"""),0.9396629347845668)</f>
        <v>0.9396629348</v>
      </c>
      <c r="AR748" s="30">
        <f>IFERROR(__xludf.DUMMYFUNCTION("""COMPUTED_VALUE"""),0.792497877050896)</f>
        <v>0.7924978771</v>
      </c>
      <c r="AS748" s="30">
        <f>IFERROR(__xludf.DUMMYFUNCTION("""COMPUTED_VALUE"""),36.0)</f>
        <v>36</v>
      </c>
      <c r="AT748" s="30">
        <f>IFERROR(__xludf.DUMMYFUNCTION("""COMPUTED_VALUE"""),0.5336566058755772)</f>
        <v>0.5336566059</v>
      </c>
      <c r="AU748" s="30">
        <f>IFERROR(__xludf.DUMMYFUNCTION("""COMPUTED_VALUE"""),2.2112660684008603)</f>
        <v>2.211266068</v>
      </c>
      <c r="AV748" s="32">
        <f>IFERROR(__xludf.DUMMYFUNCTION("""COMPUTED_VALUE"""),57.962713392659225)</f>
        <v>57.96271339</v>
      </c>
      <c r="AW748" s="32">
        <f>IFERROR(__xludf.DUMMYFUNCTION("""COMPUTED_VALUE"""),2.6663139276474976)</f>
        <v>2.666313928</v>
      </c>
      <c r="AX748" s="32">
        <f>IFERROR(__xludf.DUMMYFUNCTION("""COMPUTED_VALUE"""),57.32822809431036)</f>
        <v>57.32822809</v>
      </c>
      <c r="AY748" s="32">
        <f>IFERROR(__xludf.DUMMYFUNCTION("""COMPUTED_VALUE"""),2.5993488802693916)</f>
        <v>2.59934888</v>
      </c>
      <c r="AZ748" s="30">
        <f>IFERROR(__xludf.DUMMYFUNCTION("""COMPUTED_VALUE"""),0.06696504737810605)</f>
        <v>0.06696504738</v>
      </c>
      <c r="BA748" s="30">
        <f>IFERROR(__xludf.DUMMYFUNCTION("""COMPUTED_VALUE"""),2700.0)</f>
        <v>2700</v>
      </c>
    </row>
    <row r="749">
      <c r="A749" s="71" t="str">
        <f>IFERROR(__xludf.DUMMYFUNCTION("""COMPUTED_VALUE"""),"Contender")</f>
        <v>Contender</v>
      </c>
      <c r="B749" s="71" t="str">
        <f>IFERROR(__xludf.DUMMYFUNCTION("""COMPUTED_VALUE"""),"RSC005527")</f>
        <v>RSC005527</v>
      </c>
      <c r="C749" s="30" t="str">
        <f>IFERROR(__xludf.DUMMYFUNCTION("""COMPUTED_VALUE"""),"Colossus4203316")</f>
        <v>Colossus4203316</v>
      </c>
      <c r="D749" s="30" t="str">
        <f>IFERROR(__xludf.DUMMYFUNCTION("""COMPUTED_VALUE"""),"Zebras")</f>
        <v>Zebras</v>
      </c>
      <c r="E749" s="30">
        <f>IFERROR(__xludf.DUMMYFUNCTION("""COMPUTED_VALUE"""),13.0)</f>
        <v>13</v>
      </c>
      <c r="F749" s="30">
        <f>IFERROR(__xludf.DUMMYFUNCTION("""COMPUTED_VALUE"""),3.0)</f>
        <v>3</v>
      </c>
      <c r="G749" s="42">
        <f>IFERROR(__xludf.DUMMYFUNCTION("""COMPUTED_VALUE"""),10.0)</f>
        <v>10</v>
      </c>
      <c r="H749" s="42">
        <f>IFERROR(__xludf.DUMMYFUNCTION("""COMPUTED_VALUE"""),0.23076923076923078)</f>
        <v>0.2307692308</v>
      </c>
      <c r="I749" s="42">
        <f>IFERROR(__xludf.DUMMYFUNCTION("""COMPUTED_VALUE"""),0.3125)</f>
        <v>0.3125</v>
      </c>
      <c r="J749" s="30">
        <f>IFERROR(__xludf.DUMMYFUNCTION("""COMPUTED_VALUE"""),223.15384615384616)</f>
        <v>223.1538462</v>
      </c>
      <c r="K749" s="30">
        <f>IFERROR(__xludf.DUMMYFUNCTION("""COMPUTED_VALUE"""),0.38461538461538464)</f>
        <v>0.3846153846</v>
      </c>
      <c r="L749" s="30">
        <f>IFERROR(__xludf.DUMMYFUNCTION("""COMPUTED_VALUE"""),0.3076923076923077)</f>
        <v>0.3076923077</v>
      </c>
      <c r="M749" s="30">
        <f>IFERROR(__xludf.DUMMYFUNCTION("""COMPUTED_VALUE"""),0.8461538461538461)</f>
        <v>0.8461538462</v>
      </c>
      <c r="N749" s="30">
        <f>IFERROR(__xludf.DUMMYFUNCTION("""COMPUTED_VALUE"""),1.2307692307692308)</f>
        <v>1.230769231</v>
      </c>
      <c r="O749" s="30">
        <f>IFERROR(__xludf.DUMMYFUNCTION("""COMPUTED_VALUE"""),387.7435897435898)</f>
        <v>387.7435897</v>
      </c>
      <c r="P749" s="30">
        <f>IFERROR(__xludf.DUMMYFUNCTION("""COMPUTED_VALUE"""),1.128205128205128)</f>
        <v>1.128205128</v>
      </c>
      <c r="Q749" s="30">
        <f>IFERROR(__xludf.DUMMYFUNCTION("""COMPUTED_VALUE"""),0.7692307692307693)</f>
        <v>0.7692307692</v>
      </c>
      <c r="R749" s="30">
        <f>IFERROR(__xludf.DUMMYFUNCTION("""COMPUTED_VALUE"""),1.0769230769230769)</f>
        <v>1.076923077</v>
      </c>
      <c r="S749" s="30">
        <f>IFERROR(__xludf.DUMMYFUNCTION("""COMPUTED_VALUE"""),2.8205128205128207)</f>
        <v>2.820512821</v>
      </c>
      <c r="T749" s="30">
        <f>IFERROR(__xludf.DUMMYFUNCTION("""COMPUTED_VALUE"""),335.2524401343991)</f>
        <v>335.2524401</v>
      </c>
      <c r="U749" s="30">
        <f>IFERROR(__xludf.DUMMYFUNCTION("""COMPUTED_VALUE"""),0.8596688726748015)</f>
        <v>0.8596688727</v>
      </c>
      <c r="V749" s="30">
        <f>IFERROR(__xludf.DUMMYFUNCTION("""COMPUTED_VALUE"""),0.5109446722841948)</f>
        <v>0.5109446723</v>
      </c>
      <c r="W749" s="30">
        <f>IFERROR(__xludf.DUMMYFUNCTION("""COMPUTED_VALUE"""),1.1194036849404299)</f>
        <v>1.119403685</v>
      </c>
      <c r="X749" s="30">
        <f>IFERROR(__xludf.DUMMYFUNCTION("""COMPUTED_VALUE"""),2.294179501231304)</f>
        <v>2.294179501</v>
      </c>
      <c r="Y749" s="30">
        <f>IFERROR(__xludf.DUMMYFUNCTION("""COMPUTED_VALUE"""),321.0981755190732)</f>
        <v>321.0981755</v>
      </c>
      <c r="Z749" s="30">
        <f>IFERROR(__xludf.DUMMYFUNCTION("""COMPUTED_VALUE"""),0.7488871358083924)</f>
        <v>0.7488871358</v>
      </c>
      <c r="AA749" s="30">
        <f>IFERROR(__xludf.DUMMYFUNCTION("""COMPUTED_VALUE"""),0.5071546733116402)</f>
        <v>0.5071546733</v>
      </c>
      <c r="AB749" s="30">
        <f>IFERROR(__xludf.DUMMYFUNCTION("""COMPUTED_VALUE"""),1.0786512748225445)</f>
        <v>1.078651275</v>
      </c>
      <c r="AC749" s="30">
        <f>IFERROR(__xludf.DUMMYFUNCTION("""COMPUTED_VALUE"""),2.2898067330480085)</f>
        <v>2.289806733</v>
      </c>
      <c r="AD749" s="30">
        <f>IFERROR(__xludf.DUMMYFUNCTION("""COMPUTED_VALUE"""),0.6949707695881655)</f>
        <v>0.6949707696</v>
      </c>
      <c r="AE749" s="30">
        <f>IFERROR(__xludf.DUMMYFUNCTION("""COMPUTED_VALUE"""),0.513582576365407)</f>
        <v>0.5135825764</v>
      </c>
      <c r="AF749" s="30">
        <f>IFERROR(__xludf.DUMMYFUNCTION("""COMPUTED_VALUE"""),0.6067030905643152)</f>
        <v>0.6067030906</v>
      </c>
      <c r="AG749" s="30">
        <f>IFERROR(__xludf.DUMMYFUNCTION("""COMPUTED_VALUE"""),0.7844554267949594)</f>
        <v>0.7844554268</v>
      </c>
      <c r="AH749" s="30">
        <f>IFERROR(__xludf.DUMMYFUNCTION("""COMPUTED_VALUE"""),0.5374991753696736)</f>
        <v>0.5374991754</v>
      </c>
      <c r="AI749" s="30">
        <f>IFERROR(__xludf.DUMMYFUNCTION("""COMPUTED_VALUE"""),1.1565720135792228)</f>
        <v>1.156572014</v>
      </c>
      <c r="AJ749" s="30">
        <f>IFERROR(__xludf.DUMMYFUNCTION("""COMPUTED_VALUE"""),1.3123717329613134)</f>
        <v>1.312371733</v>
      </c>
      <c r="AK749" s="30">
        <f>IFERROR(__xludf.DUMMYFUNCTION("""COMPUTED_VALUE"""),1.5055069774813348)</f>
        <v>1.505506977</v>
      </c>
      <c r="AL749" s="30">
        <f>IFERROR(__xludf.DUMMYFUNCTION("""COMPUTED_VALUE"""),0.9620506805642562)</f>
        <v>0.9620506806</v>
      </c>
      <c r="AM749" s="30">
        <f>IFERROR(__xludf.DUMMYFUNCTION("""COMPUTED_VALUE"""),1.2294211586316717)</f>
        <v>1.229421159</v>
      </c>
      <c r="AN749" s="30">
        <f>IFERROR(__xludf.DUMMYFUNCTION("""COMPUTED_VALUE"""),0.7159039775698265)</f>
        <v>0.7159039776</v>
      </c>
      <c r="AO749" s="30">
        <f>IFERROR(__xludf.DUMMYFUNCTION("""COMPUTED_VALUE"""),0.5133124192378076)</f>
        <v>0.5133124192</v>
      </c>
      <c r="AP749" s="30">
        <f>IFERROR(__xludf.DUMMYFUNCTION("""COMPUTED_VALUE"""),0.6002303162949824)</f>
        <v>0.6002303163</v>
      </c>
      <c r="AQ749" s="30">
        <f>IFERROR(__xludf.DUMMYFUNCTION("""COMPUTED_VALUE"""),0.8076533821438742)</f>
        <v>0.8076533821</v>
      </c>
      <c r="AR749" s="30">
        <f>IFERROR(__xludf.DUMMYFUNCTION("""COMPUTED_VALUE"""),0.5723535993320601)</f>
        <v>0.5723535993</v>
      </c>
      <c r="AS749" s="30">
        <f>IFERROR(__xludf.DUMMYFUNCTION("""COMPUTED_VALUE"""),22.0)</f>
        <v>22</v>
      </c>
      <c r="AT749" s="30">
        <f>IFERROR(__xludf.DUMMYFUNCTION("""COMPUTED_VALUE"""),0.24881822207255677)</f>
        <v>0.2488182221</v>
      </c>
      <c r="AU749" s="30">
        <f>IFERROR(__xludf.DUMMYFUNCTION("""COMPUTED_VALUE"""),0.9345294772321062)</f>
        <v>0.9345294772</v>
      </c>
      <c r="AV749" s="32">
        <f>IFERROR(__xludf.DUMMYFUNCTION("""COMPUTED_VALUE"""),11.177981276695853)</f>
        <v>11.17798128</v>
      </c>
      <c r="AW749" s="32">
        <f>IFERROR(__xludf.DUMMYFUNCTION("""COMPUTED_VALUE"""),-16.604175918319736)</f>
        <v>-16.60417592</v>
      </c>
      <c r="AX749" s="32">
        <f>IFERROR(__xludf.DUMMYFUNCTION("""COMPUTED_VALUE"""),-1.1414604160703732)</f>
        <v>-1.141460416</v>
      </c>
      <c r="AY749" s="32">
        <f>IFERROR(__xludf.DUMMYFUNCTION("""COMPUTED_VALUE"""),-49.03163779242019)</f>
        <v>-49.03163779</v>
      </c>
      <c r="AZ749" s="30">
        <f>IFERROR(__xludf.DUMMYFUNCTION("""COMPUTED_VALUE"""),32.42746187410046)</f>
        <v>32.42746187</v>
      </c>
      <c r="BA749" s="30">
        <f>IFERROR(__xludf.DUMMYFUNCTION("""COMPUTED_VALUE"""),3200.0)</f>
        <v>3200</v>
      </c>
    </row>
    <row r="750">
      <c r="A750" s="71" t="str">
        <f>IFERROR(__xludf.DUMMYFUNCTION("""COMPUTED_VALUE"""),"Contender")</f>
        <v>Contender</v>
      </c>
      <c r="B750" s="71" t="str">
        <f>IFERROR(__xludf.DUMMYFUNCTION("""COMPUTED_VALUE"""),"RSC007284")</f>
        <v>RSC007284</v>
      </c>
      <c r="C750" s="30" t="str">
        <f>IFERROR(__xludf.DUMMYFUNCTION("""COMPUTED_VALUE"""),"7aco104")</f>
        <v>7aco104</v>
      </c>
      <c r="D750" s="30" t="str">
        <f>IFERROR(__xludf.DUMMYFUNCTION("""COMPUTED_VALUE"""),"Cheese Pizza")</f>
        <v>Cheese Pizza</v>
      </c>
      <c r="E750" s="30">
        <f>IFERROR(__xludf.DUMMYFUNCTION("""COMPUTED_VALUE"""),35.0)</f>
        <v>35</v>
      </c>
      <c r="F750" s="30">
        <f>IFERROR(__xludf.DUMMYFUNCTION("""COMPUTED_VALUE"""),25.0)</f>
        <v>25</v>
      </c>
      <c r="G750" s="42">
        <f>IFERROR(__xludf.DUMMYFUNCTION("""COMPUTED_VALUE"""),10.0)</f>
        <v>10</v>
      </c>
      <c r="H750" s="42">
        <f>IFERROR(__xludf.DUMMYFUNCTION("""COMPUTED_VALUE"""),0.7142857142857143)</f>
        <v>0.7142857143</v>
      </c>
      <c r="I750" s="42">
        <f>IFERROR(__xludf.DUMMYFUNCTION("""COMPUTED_VALUE"""),0.4495412844036697)</f>
        <v>0.4495412844</v>
      </c>
      <c r="J750" s="30">
        <f>IFERROR(__xludf.DUMMYFUNCTION("""COMPUTED_VALUE"""),421.2)</f>
        <v>421.2</v>
      </c>
      <c r="K750" s="30">
        <f>IFERROR(__xludf.DUMMYFUNCTION("""COMPUTED_VALUE"""),1.4)</f>
        <v>1.4</v>
      </c>
      <c r="L750" s="30">
        <f>IFERROR(__xludf.DUMMYFUNCTION("""COMPUTED_VALUE"""),0.7428571428571429)</f>
        <v>0.7428571429</v>
      </c>
      <c r="M750" s="30">
        <f>IFERROR(__xludf.DUMMYFUNCTION("""COMPUTED_VALUE"""),1.2)</f>
        <v>1.2</v>
      </c>
      <c r="N750" s="30">
        <f>IFERROR(__xludf.DUMMYFUNCTION("""COMPUTED_VALUE"""),3.1142857142857143)</f>
        <v>3.114285714</v>
      </c>
      <c r="O750" s="30">
        <f>IFERROR(__xludf.DUMMYFUNCTION("""COMPUTED_VALUE"""),306.3142857142857)</f>
        <v>306.3142857</v>
      </c>
      <c r="P750" s="30">
        <f>IFERROR(__xludf.DUMMYFUNCTION("""COMPUTED_VALUE"""),0.6095238095238094)</f>
        <v>0.6095238095</v>
      </c>
      <c r="Q750" s="30">
        <f>IFERROR(__xludf.DUMMYFUNCTION("""COMPUTED_VALUE"""),0.3809523809523811)</f>
        <v>0.380952381</v>
      </c>
      <c r="R750" s="30">
        <f>IFERROR(__xludf.DUMMYFUNCTION("""COMPUTED_VALUE"""),1.2476190476190478)</f>
        <v>1.247619048</v>
      </c>
      <c r="S750" s="30">
        <f>IFERROR(__xludf.DUMMYFUNCTION("""COMPUTED_VALUE"""),2.0000000000000004)</f>
        <v>2</v>
      </c>
      <c r="T750" s="30">
        <f>IFERROR(__xludf.DUMMYFUNCTION("""COMPUTED_VALUE"""),325.54878677131535)</f>
        <v>325.5487868</v>
      </c>
      <c r="U750" s="30">
        <f>IFERROR(__xludf.DUMMYFUNCTION("""COMPUTED_VALUE"""),0.7856479577429777)</f>
        <v>0.7856479577</v>
      </c>
      <c r="V750" s="30">
        <f>IFERROR(__xludf.DUMMYFUNCTION("""COMPUTED_VALUE"""),0.5405530043060564)</f>
        <v>0.5405530043</v>
      </c>
      <c r="W750" s="30">
        <f>IFERROR(__xludf.DUMMYFUNCTION("""COMPUTED_VALUE"""),1.0731094605293774)</f>
        <v>1.073109461</v>
      </c>
      <c r="X750" s="30">
        <f>IFERROR(__xludf.DUMMYFUNCTION("""COMPUTED_VALUE"""),2.242640440299134)</f>
        <v>2.24264044</v>
      </c>
      <c r="Y750" s="30">
        <f>IFERROR(__xludf.DUMMYFUNCTION("""COMPUTED_VALUE"""),325.47037830330055)</f>
        <v>325.4703783</v>
      </c>
      <c r="Z750" s="30">
        <f>IFERROR(__xludf.DUMMYFUNCTION("""COMPUTED_VALUE"""),0.7996734045879141)</f>
        <v>0.7996734046</v>
      </c>
      <c r="AA750" s="30">
        <f>IFERROR(__xludf.DUMMYFUNCTION("""COMPUTED_VALUE"""),0.5390681063655498)</f>
        <v>0.5390681064</v>
      </c>
      <c r="AB750" s="30">
        <f>IFERROR(__xludf.DUMMYFUNCTION("""COMPUTED_VALUE"""),1.0529608490872542)</f>
        <v>1.052960849</v>
      </c>
      <c r="AC750" s="30">
        <f>IFERROR(__xludf.DUMMYFUNCTION("""COMPUTED_VALUE"""),2.2764213335279395)</f>
        <v>2.276421334</v>
      </c>
      <c r="AD750" s="30">
        <f>IFERROR(__xludf.DUMMYFUNCTION("""COMPUTED_VALUE"""),1.2941269869035226)</f>
        <v>1.294126987</v>
      </c>
      <c r="AE750" s="30">
        <f>IFERROR(__xludf.DUMMYFUNCTION("""COMPUTED_VALUE"""),1.7507147192439703)</f>
        <v>1.750714719</v>
      </c>
      <c r="AF750" s="30">
        <f>IFERROR(__xludf.DUMMYFUNCTION("""COMPUTED_VALUE"""),1.3780394983215736)</f>
        <v>1.378039498</v>
      </c>
      <c r="AG750" s="30">
        <f>IFERROR(__xludf.DUMMYFUNCTION("""COMPUTED_VALUE"""),1.13964351195033)</f>
        <v>1.139643512</v>
      </c>
      <c r="AH750" s="30">
        <f>IFERROR(__xludf.DUMMYFUNCTION("""COMPUTED_VALUE"""),1.3680620842975821)</f>
        <v>1.368062084</v>
      </c>
      <c r="AI750" s="30">
        <f>IFERROR(__xludf.DUMMYFUNCTION("""COMPUTED_VALUE"""),0.9409166864119168)</f>
        <v>0.9409166864</v>
      </c>
      <c r="AJ750" s="30">
        <f>IFERROR(__xludf.DUMMYFUNCTION("""COMPUTED_VALUE"""),0.7758230687378853)</f>
        <v>0.7758230687</v>
      </c>
      <c r="AK750" s="30">
        <f>IFERROR(__xludf.DUMMYFUNCTION("""COMPUTED_VALUE"""),0.704745654760415)</f>
        <v>0.7047456548</v>
      </c>
      <c r="AL750" s="30">
        <f>IFERROR(__xludf.DUMMYFUNCTION("""COMPUTED_VALUE"""),1.1626204907406024)</f>
        <v>1.162620491</v>
      </c>
      <c r="AM750" s="30">
        <f>IFERROR(__xludf.DUMMYFUNCTION("""COMPUTED_VALUE"""),0.8918059105958293)</f>
        <v>0.8918059106</v>
      </c>
      <c r="AN750" s="30">
        <f>IFERROR(__xludf.DUMMYFUNCTION("""COMPUTED_VALUE"""),1.3512595034751265)</f>
        <v>1.351259503</v>
      </c>
      <c r="AO750" s="30">
        <f>IFERROR(__xludf.DUMMYFUNCTION("""COMPUTED_VALUE"""),1.8684572060256195)</f>
        <v>1.868457206</v>
      </c>
      <c r="AP750" s="30">
        <f>IFERROR(__xludf.DUMMYFUNCTION("""COMPUTED_VALUE"""),1.449127477912172)</f>
        <v>1.449127478</v>
      </c>
      <c r="AQ750" s="30">
        <f>IFERROR(__xludf.DUMMYFUNCTION("""COMPUTED_VALUE"""),1.1453993419494943)</f>
        <v>1.145399342</v>
      </c>
      <c r="AR750" s="30">
        <f>IFERROR(__xludf.DUMMYFUNCTION("""COMPUTED_VALUE"""),1.4482590183098734)</f>
        <v>1.448259018</v>
      </c>
      <c r="AS750" s="30">
        <f>IFERROR(__xludf.DUMMYFUNCTION("""COMPUTED_VALUE"""),110.0)</f>
        <v>110</v>
      </c>
      <c r="AT750" s="30">
        <f>IFERROR(__xludf.DUMMYFUNCTION("""COMPUTED_VALUE"""),0.7022753859311203)</f>
        <v>0.7022753859</v>
      </c>
      <c r="AU750" s="30">
        <f>IFERROR(__xludf.DUMMYFUNCTION("""COMPUTED_VALUE"""),5.8402632112832364)</f>
        <v>5.840263211</v>
      </c>
      <c r="AV750" s="32">
        <f>IFERROR(__xludf.DUMMYFUNCTION("""COMPUTED_VALUE"""),95.76416989930809)</f>
        <v>95.7641699</v>
      </c>
      <c r="AW750" s="32">
        <f>IFERROR(__xludf.DUMMYFUNCTION("""COMPUTED_VALUE"""),29.77731259317379)</f>
        <v>29.77731259</v>
      </c>
      <c r="AX750" s="32">
        <f>IFERROR(__xludf.DUMMYFUNCTION("""COMPUTED_VALUE"""),81.16429048384819)</f>
        <v>81.16429048</v>
      </c>
      <c r="AY750" s="32">
        <f>IFERROR(__xludf.DUMMYFUNCTION("""COMPUTED_VALUE"""),9.40934646340052)</f>
        <v>9.409346463</v>
      </c>
      <c r="AZ750" s="30">
        <f>IFERROR(__xludf.DUMMYFUNCTION("""COMPUTED_VALUE"""),20.36796612977327)</f>
        <v>20.36796613</v>
      </c>
      <c r="BA750" s="30">
        <f>IFERROR(__xludf.DUMMYFUNCTION("""COMPUTED_VALUE"""),3200.0)</f>
        <v>3200</v>
      </c>
    </row>
    <row r="751">
      <c r="A751" s="71" t="str">
        <f>IFERROR(__xludf.DUMMYFUNCTION("""COMPUTED_VALUE"""),"Contender")</f>
        <v>Contender</v>
      </c>
      <c r="B751" s="71" t="str">
        <f>IFERROR(__xludf.DUMMYFUNCTION("""COMPUTED_VALUE"""),"RSC001765")</f>
        <v>RSC001765</v>
      </c>
      <c r="C751" s="30" t="str">
        <f>IFERROR(__xludf.DUMMYFUNCTION("""COMPUTED_VALUE"""),"Trios")</f>
        <v>Trios</v>
      </c>
      <c r="D751" s="30"/>
      <c r="E751" s="30">
        <f>IFERROR(__xludf.DUMMYFUNCTION("""COMPUTED_VALUE"""),4.0)</f>
        <v>4</v>
      </c>
      <c r="F751" s="30">
        <f>IFERROR(__xludf.DUMMYFUNCTION("""COMPUTED_VALUE"""),1.0)</f>
        <v>1</v>
      </c>
      <c r="G751" s="42">
        <f>IFERROR(__xludf.DUMMYFUNCTION("""COMPUTED_VALUE"""),3.0)</f>
        <v>3</v>
      </c>
      <c r="H751" s="42">
        <f>IFERROR(__xludf.DUMMYFUNCTION("""COMPUTED_VALUE"""),0.25)</f>
        <v>0.25</v>
      </c>
      <c r="I751" s="42">
        <f>IFERROR(__xludf.DUMMYFUNCTION("""COMPUTED_VALUE"""),0.16666666666666666)</f>
        <v>0.1666666667</v>
      </c>
      <c r="J751" s="30">
        <f>IFERROR(__xludf.DUMMYFUNCTION("""COMPUTED_VALUE"""),204.75)</f>
        <v>204.75</v>
      </c>
      <c r="K751" s="30">
        <f>IFERROR(__xludf.DUMMYFUNCTION("""COMPUTED_VALUE"""),0.25)</f>
        <v>0.25</v>
      </c>
      <c r="L751" s="30">
        <f>IFERROR(__xludf.DUMMYFUNCTION("""COMPUTED_VALUE"""),0.25)</f>
        <v>0.25</v>
      </c>
      <c r="M751" s="30">
        <f>IFERROR(__xludf.DUMMYFUNCTION("""COMPUTED_VALUE"""),0.75)</f>
        <v>0.75</v>
      </c>
      <c r="N751" s="30">
        <f>IFERROR(__xludf.DUMMYFUNCTION("""COMPUTED_VALUE"""),1.5)</f>
        <v>1.5</v>
      </c>
      <c r="O751" s="30">
        <f>IFERROR(__xludf.DUMMYFUNCTION("""COMPUTED_VALUE"""),376.25)</f>
        <v>376.25</v>
      </c>
      <c r="P751" s="30">
        <f>IFERROR(__xludf.DUMMYFUNCTION("""COMPUTED_VALUE"""),1.5)</f>
        <v>1.5</v>
      </c>
      <c r="Q751" s="30">
        <f>IFERROR(__xludf.DUMMYFUNCTION("""COMPUTED_VALUE"""),0.9166666666666666)</f>
        <v>0.9166666667</v>
      </c>
      <c r="R751" s="30">
        <f>IFERROR(__xludf.DUMMYFUNCTION("""COMPUTED_VALUE"""),0.6666666666666666)</f>
        <v>0.6666666667</v>
      </c>
      <c r="S751" s="30">
        <f>IFERROR(__xludf.DUMMYFUNCTION("""COMPUTED_VALUE"""),2.7499999999999996)</f>
        <v>2.75</v>
      </c>
      <c r="T751" s="30">
        <f>IFERROR(__xludf.DUMMYFUNCTION("""COMPUTED_VALUE"""),307.50123456790124)</f>
        <v>307.5012346</v>
      </c>
      <c r="U751" s="30">
        <f>IFERROR(__xludf.DUMMYFUNCTION("""COMPUTED_VALUE"""),0.7275132275132276)</f>
        <v>0.7275132275</v>
      </c>
      <c r="V751" s="30">
        <f>IFERROR(__xludf.DUMMYFUNCTION("""COMPUTED_VALUE"""),0.45255731922398584)</f>
        <v>0.4525573192</v>
      </c>
      <c r="W751" s="30">
        <f>IFERROR(__xludf.DUMMYFUNCTION("""COMPUTED_VALUE"""),0.9481481481481482)</f>
        <v>0.9481481481</v>
      </c>
      <c r="X751" s="30">
        <f>IFERROR(__xludf.DUMMYFUNCTION("""COMPUTED_VALUE"""),2.2606701940035276)</f>
        <v>2.260670194</v>
      </c>
      <c r="Y751" s="30">
        <f>IFERROR(__xludf.DUMMYFUNCTION("""COMPUTED_VALUE"""),323.3660787771899)</f>
        <v>323.3660788</v>
      </c>
      <c r="Z751" s="30">
        <f>IFERROR(__xludf.DUMMYFUNCTION("""COMPUTED_VALUE"""),0.8556731334509111)</f>
        <v>0.8556731335</v>
      </c>
      <c r="AA751" s="30">
        <f>IFERROR(__xludf.DUMMYFUNCTION("""COMPUTED_VALUE"""),0.5726631393298061)</f>
        <v>0.5726631393</v>
      </c>
      <c r="AB751" s="30">
        <f>IFERROR(__xludf.DUMMYFUNCTION("""COMPUTED_VALUE"""),0.996355085243974)</f>
        <v>0.9963550852</v>
      </c>
      <c r="AC751" s="30">
        <f>IFERROR(__xludf.DUMMYFUNCTION("""COMPUTED_VALUE"""),2.1648442092886544)</f>
        <v>2.164844209</v>
      </c>
      <c r="AD751" s="30">
        <f>IFERROR(__xludf.DUMMYFUNCTION("""COMPUTED_VALUE"""),0.633183297315114)</f>
        <v>0.6331832973</v>
      </c>
      <c r="AE751" s="30">
        <f>IFERROR(__xludf.DUMMYFUNCTION("""COMPUTED_VALUE"""),0.29216763998625905)</f>
        <v>0.29216764</v>
      </c>
      <c r="AF751" s="30">
        <f>IFERROR(__xludf.DUMMYFUNCTION("""COMPUTED_VALUE"""),0.43655682168155213)</f>
        <v>0.4365568217</v>
      </c>
      <c r="AG751" s="30">
        <f>IFERROR(__xludf.DUMMYFUNCTION("""COMPUTED_VALUE"""),0.7527436865706869)</f>
        <v>0.7527436866</v>
      </c>
      <c r="AH751" s="30">
        <f>IFERROR(__xludf.DUMMYFUNCTION("""COMPUTED_VALUE"""),0.692890506191614)</f>
        <v>0.6928905062</v>
      </c>
      <c r="AI751" s="30">
        <f>IFERROR(__xludf.DUMMYFUNCTION("""COMPUTED_VALUE"""),1.2235723233069424)</f>
        <v>1.223572323</v>
      </c>
      <c r="AJ751" s="30">
        <f>IFERROR(__xludf.DUMMYFUNCTION("""COMPUTED_VALUE"""),2.0618181818181816)</f>
        <v>2.061818182</v>
      </c>
      <c r="AK751" s="30">
        <f>IFERROR(__xludf.DUMMYFUNCTION("""COMPUTED_VALUE"""),2.0255261106780984)</f>
        <v>2.025526111</v>
      </c>
      <c r="AL751" s="30">
        <f>IFERROR(__xludf.DUMMYFUNCTION("""COMPUTED_VALUE"""),0.7031249999999999)</f>
        <v>0.703125</v>
      </c>
      <c r="AM751" s="30">
        <f>IFERROR(__xludf.DUMMYFUNCTION("""COMPUTED_VALUE"""),1.2164534248712744)</f>
        <v>1.216453425</v>
      </c>
      <c r="AN751" s="30">
        <f>IFERROR(__xludf.DUMMYFUNCTION("""COMPUTED_VALUE"""),0.656862258633742)</f>
        <v>0.6568622586</v>
      </c>
      <c r="AO751" s="30">
        <f>IFERROR(__xludf.DUMMYFUNCTION("""COMPUTED_VALUE"""),0.33365307250457493)</f>
        <v>0.3336530725</v>
      </c>
      <c r="AP751" s="30">
        <f>IFERROR(__xludf.DUMMYFUNCTION("""COMPUTED_VALUE"""),0.4876871319896732)</f>
        <v>0.487687132</v>
      </c>
      <c r="AQ751" s="30">
        <f>IFERROR(__xludf.DUMMYFUNCTION("""COMPUTED_VALUE"""),0.715874588718434)</f>
        <v>0.7158745887</v>
      </c>
      <c r="AR751" s="30">
        <f>IFERROR(__xludf.DUMMYFUNCTION("""COMPUTED_VALUE"""),0.6975559491859481)</f>
        <v>0.6975559492</v>
      </c>
      <c r="AS751" s="30">
        <f>IFERROR(__xludf.DUMMYFUNCTION("""COMPUTED_VALUE"""),10.0)</f>
        <v>10</v>
      </c>
      <c r="AT751" s="30">
        <f>IFERROR(__xludf.DUMMYFUNCTION("""COMPUTED_VALUE"""),0.26357777693216294)</f>
        <v>0.2635777769</v>
      </c>
      <c r="AU751" s="30">
        <f>IFERROR(__xludf.DUMMYFUNCTION("""COMPUTED_VALUE"""),0.11332600123641218)</f>
        <v>0.1133260012</v>
      </c>
      <c r="AV751" s="32">
        <f>IFERROR(__xludf.DUMMYFUNCTION("""COMPUTED_VALUE"""),-2.981464768239576)</f>
        <v>-2.981464768</v>
      </c>
      <c r="AW751" s="32">
        <f>IFERROR(__xludf.DUMMYFUNCTION("""COMPUTED_VALUE"""),-58.705050295234564)</f>
        <v>-58.7050503</v>
      </c>
      <c r="AX751" s="32">
        <f>IFERROR(__xludf.DUMMYFUNCTION("""COMPUTED_VALUE"""),-0.9567060663569151)</f>
        <v>-0.9567060664</v>
      </c>
      <c r="AY751" s="32">
        <f>IFERROR(__xludf.DUMMYFUNCTION("""COMPUTED_VALUE"""),-48.165944378503745)</f>
        <v>-48.16594438</v>
      </c>
      <c r="AZ751" s="30">
        <f>IFERROR(__xludf.DUMMYFUNCTION("""COMPUTED_VALUE"""),10.539105916730819)</f>
        <v>10.53910592</v>
      </c>
      <c r="BA751" s="30">
        <f>IFERROR(__xludf.DUMMYFUNCTION("""COMPUTED_VALUE"""),3200.0)</f>
        <v>3200</v>
      </c>
    </row>
    <row r="752">
      <c r="A752" s="71" t="str">
        <f>IFERROR(__xludf.DUMMYFUNCTION("""COMPUTED_VALUE"""),"Contender")</f>
        <v>Contender</v>
      </c>
      <c r="B752" s="71" t="str">
        <f>IFERROR(__xludf.DUMMYFUNCTION("""COMPUTED_VALUE"""),"RSC006640")</f>
        <v>RSC006640</v>
      </c>
      <c r="C752" s="30" t="str">
        <f>IFERROR(__xludf.DUMMYFUNCTION("""COMPUTED_VALUE"""),"VeryBadKittyCat")</f>
        <v>VeryBadKittyCat</v>
      </c>
      <c r="D752" s="30" t="str">
        <f>IFERROR(__xludf.DUMMYFUNCTION("""COMPUTED_VALUE"""),"Cheese Pizza")</f>
        <v>Cheese Pizza</v>
      </c>
      <c r="E752" s="30">
        <f>IFERROR(__xludf.DUMMYFUNCTION("""COMPUTED_VALUE"""),24.0)</f>
        <v>24</v>
      </c>
      <c r="F752" s="30">
        <f>IFERROR(__xludf.DUMMYFUNCTION("""COMPUTED_VALUE"""),18.0)</f>
        <v>18</v>
      </c>
      <c r="G752" s="42">
        <f>IFERROR(__xludf.DUMMYFUNCTION("""COMPUTED_VALUE"""),6.0)</f>
        <v>6</v>
      </c>
      <c r="H752" s="42">
        <f>IFERROR(__xludf.DUMMYFUNCTION("""COMPUTED_VALUE"""),0.75)</f>
        <v>0.75</v>
      </c>
      <c r="I752" s="42">
        <f>IFERROR(__xludf.DUMMYFUNCTION("""COMPUTED_VALUE"""),0.3066666666666667)</f>
        <v>0.3066666667</v>
      </c>
      <c r="J752" s="30">
        <f>IFERROR(__xludf.DUMMYFUNCTION("""COMPUTED_VALUE"""),371.5)</f>
        <v>371.5</v>
      </c>
      <c r="K752" s="30">
        <f>IFERROR(__xludf.DUMMYFUNCTION("""COMPUTED_VALUE"""),0.9583333333333334)</f>
        <v>0.9583333333</v>
      </c>
      <c r="L752" s="30">
        <f>IFERROR(__xludf.DUMMYFUNCTION("""COMPUTED_VALUE"""),0.7916666666666666)</f>
        <v>0.7916666667</v>
      </c>
      <c r="M752" s="30">
        <f>IFERROR(__xludf.DUMMYFUNCTION("""COMPUTED_VALUE"""),1.0)</f>
        <v>1</v>
      </c>
      <c r="N752" s="30">
        <f>IFERROR(__xludf.DUMMYFUNCTION("""COMPUTED_VALUE"""),3.125)</f>
        <v>3.125</v>
      </c>
      <c r="O752" s="30">
        <f>IFERROR(__xludf.DUMMYFUNCTION("""COMPUTED_VALUE"""),304.5833333333333)</f>
        <v>304.5833333</v>
      </c>
      <c r="P752" s="30">
        <f>IFERROR(__xludf.DUMMYFUNCTION("""COMPUTED_VALUE"""),0.5555555555555557)</f>
        <v>0.5555555556</v>
      </c>
      <c r="Q752" s="30">
        <f>IFERROR(__xludf.DUMMYFUNCTION("""COMPUTED_VALUE"""),0.31944444444444436)</f>
        <v>0.3194444444</v>
      </c>
      <c r="R752" s="30">
        <f>IFERROR(__xludf.DUMMYFUNCTION("""COMPUTED_VALUE"""),1.4027777777777777)</f>
        <v>1.402777778</v>
      </c>
      <c r="S752" s="30">
        <f>IFERROR(__xludf.DUMMYFUNCTION("""COMPUTED_VALUE"""),1.986111111111111)</f>
        <v>1.986111111</v>
      </c>
      <c r="T752" s="30">
        <f>IFERROR(__xludf.DUMMYFUNCTION("""COMPUTED_VALUE"""),327.01421972233203)</f>
        <v>327.0142197</v>
      </c>
      <c r="U752" s="30">
        <f>IFERROR(__xludf.DUMMYFUNCTION("""COMPUTED_VALUE"""),0.8012497329171332)</f>
        <v>0.8012497329</v>
      </c>
      <c r="V752" s="30">
        <f>IFERROR(__xludf.DUMMYFUNCTION("""COMPUTED_VALUE"""),0.5594062439997639)</f>
        <v>0.559406244</v>
      </c>
      <c r="W752" s="30">
        <f>IFERROR(__xludf.DUMMYFUNCTION("""COMPUTED_VALUE"""),1.056406350477736)</f>
        <v>1.05640635</v>
      </c>
      <c r="X752" s="30">
        <f>IFERROR(__xludf.DUMMYFUNCTION("""COMPUTED_VALUE"""),2.2793403916348383)</f>
        <v>2.279340392</v>
      </c>
      <c r="Y752" s="30">
        <f>IFERROR(__xludf.DUMMYFUNCTION("""COMPUTED_VALUE"""),321.27004398523866)</f>
        <v>321.270044</v>
      </c>
      <c r="Z752" s="30">
        <f>IFERROR(__xludf.DUMMYFUNCTION("""COMPUTED_VALUE"""),0.7745878370939089)</f>
        <v>0.7745878371</v>
      </c>
      <c r="AA752" s="30">
        <f>IFERROR(__xludf.DUMMYFUNCTION("""COMPUTED_VALUE"""),0.5113537658961606)</f>
        <v>0.5113537659</v>
      </c>
      <c r="AB752" s="30">
        <f>IFERROR(__xludf.DUMMYFUNCTION("""COMPUTED_VALUE"""),1.060535692923397)</f>
        <v>1.060535693</v>
      </c>
      <c r="AC752" s="30">
        <f>IFERROR(__xludf.DUMMYFUNCTION("""COMPUTED_VALUE"""),2.2499064107425832)</f>
        <v>2.249906411</v>
      </c>
      <c r="AD752" s="30">
        <f>IFERROR(__xludf.DUMMYFUNCTION("""COMPUTED_VALUE"""),1.1563480845947445)</f>
        <v>1.156348085</v>
      </c>
      <c r="AE752" s="30">
        <f>IFERROR(__xludf.DUMMYFUNCTION("""COMPUTED_VALUE"""),1.237217120435042)</f>
        <v>1.23721712</v>
      </c>
      <c r="AF752" s="30">
        <f>IFERROR(__xludf.DUMMYFUNCTION("""COMPUTED_VALUE"""),1.5481780314636981)</f>
        <v>1.548178031</v>
      </c>
      <c r="AG752" s="30">
        <f>IFERROR(__xludf.DUMMYFUNCTION("""COMPUTED_VALUE"""),0.9429197024415757)</f>
        <v>0.9429197024</v>
      </c>
      <c r="AH752" s="30">
        <f>IFERROR(__xludf.DUMMYFUNCTION("""COMPUTED_VALUE"""),1.3889466624385463)</f>
        <v>1.388946662</v>
      </c>
      <c r="AI752" s="30">
        <f>IFERROR(__xludf.DUMMYFUNCTION("""COMPUTED_VALUE"""),0.9314069999523421)</f>
        <v>0.931407</v>
      </c>
      <c r="AJ752" s="30">
        <f>IFERROR(__xludf.DUMMYFUNCTION("""COMPUTED_VALUE"""),0.6933612988960738)</f>
        <v>0.6933612989</v>
      </c>
      <c r="AK752" s="30">
        <f>IFERROR(__xludf.DUMMYFUNCTION("""COMPUTED_VALUE"""),0.571041971502519)</f>
        <v>0.5710419715</v>
      </c>
      <c r="AL752" s="30">
        <f>IFERROR(__xludf.DUMMYFUNCTION("""COMPUTED_VALUE"""),1.3278770779287754)</f>
        <v>1.327877078</v>
      </c>
      <c r="AM752" s="30">
        <f>IFERROR(__xludf.DUMMYFUNCTION("""COMPUTED_VALUE"""),0.8713534487433836)</f>
        <v>0.8713534487</v>
      </c>
      <c r="AN752" s="30">
        <f>IFERROR(__xludf.DUMMYFUNCTION("""COMPUTED_VALUE"""),1.1918160150546284)</f>
        <v>1.191816015</v>
      </c>
      <c r="AO752" s="30">
        <f>IFERROR(__xludf.DUMMYFUNCTION("""COMPUTED_VALUE"""),1.2790034446008707)</f>
        <v>1.279003445</v>
      </c>
      <c r="AP752" s="30">
        <f>IFERROR(__xludf.DUMMYFUNCTION("""COMPUTED_VALUE"""),1.544342584633965)</f>
        <v>1.544342585</v>
      </c>
      <c r="AQ752" s="30">
        <f>IFERROR(__xludf.DUMMYFUNCTION("""COMPUTED_VALUE"""),0.9544994516245786)</f>
        <v>0.9544994516</v>
      </c>
      <c r="AR752" s="30">
        <f>IFERROR(__xludf.DUMMYFUNCTION("""COMPUTED_VALUE"""),1.4532415608040585)</f>
        <v>1.453241561</v>
      </c>
      <c r="AS752" s="30">
        <f>IFERROR(__xludf.DUMMYFUNCTION("""COMPUTED_VALUE"""),78.0)</f>
        <v>78</v>
      </c>
      <c r="AT752" s="30">
        <f>IFERROR(__xludf.DUMMYFUNCTION("""COMPUTED_VALUE"""),0.7416978474667394)</f>
        <v>0.7416978475</v>
      </c>
      <c r="AU752" s="30">
        <f>IFERROR(__xludf.DUMMYFUNCTION("""COMPUTED_VALUE"""),5.288937543207137)</f>
        <v>5.288937543</v>
      </c>
      <c r="AV752" s="32">
        <f>IFERROR(__xludf.DUMMYFUNCTION("""COMPUTED_VALUE"""),86.25804105487484)</f>
        <v>86.25804105</v>
      </c>
      <c r="AW752" s="32">
        <f>IFERROR(__xludf.DUMMYFUNCTION("""COMPUTED_VALUE"""),13.608326158292401)</f>
        <v>13.60832616</v>
      </c>
      <c r="AX752" s="32">
        <f>IFERROR(__xludf.DUMMYFUNCTION("""COMPUTED_VALUE"""),63.12822612926782)</f>
        <v>63.12822613</v>
      </c>
      <c r="AY752" s="32">
        <f>IFERROR(__xludf.DUMMYFUNCTION("""COMPUTED_VALUE"""),3.336149677011989)</f>
        <v>3.336149677</v>
      </c>
      <c r="AZ752" s="30">
        <f>IFERROR(__xludf.DUMMYFUNCTION("""COMPUTED_VALUE"""),10.272176481280413)</f>
        <v>10.27217648</v>
      </c>
      <c r="BA752" s="30">
        <f>IFERROR(__xludf.DUMMYFUNCTION("""COMPUTED_VALUE"""),3200.0)</f>
        <v>3200</v>
      </c>
    </row>
    <row r="753">
      <c r="A753" s="71" t="str">
        <f>IFERROR(__xludf.DUMMYFUNCTION("""COMPUTED_VALUE"""),"Contender")</f>
        <v>Contender</v>
      </c>
      <c r="B753" s="71" t="str">
        <f>IFERROR(__xludf.DUMMYFUNCTION("""COMPUTED_VALUE"""),"RSC007119")</f>
        <v>RSC007119</v>
      </c>
      <c r="C753" s="30" t="str">
        <f>IFERROR(__xludf.DUMMYFUNCTION("""COMPUTED_VALUE"""),"EvilSuperman_")</f>
        <v>EvilSuperman_</v>
      </c>
      <c r="D753" s="30" t="str">
        <f>IFERROR(__xludf.DUMMYFUNCTION("""COMPUTED_VALUE"""),"Celestial Cider")</f>
        <v>Celestial Cider</v>
      </c>
      <c r="E753" s="30">
        <f>IFERROR(__xludf.DUMMYFUNCTION("""COMPUTED_VALUE"""),15.0)</f>
        <v>15</v>
      </c>
      <c r="F753" s="30">
        <f>IFERROR(__xludf.DUMMYFUNCTION("""COMPUTED_VALUE"""),7.0)</f>
        <v>7</v>
      </c>
      <c r="G753" s="42">
        <f>IFERROR(__xludf.DUMMYFUNCTION("""COMPUTED_VALUE"""),8.0)</f>
        <v>8</v>
      </c>
      <c r="H753" s="42">
        <f>IFERROR(__xludf.DUMMYFUNCTION("""COMPUTED_VALUE"""),0.4666666666666667)</f>
        <v>0.4666666667</v>
      </c>
      <c r="I753" s="42">
        <f>IFERROR(__xludf.DUMMYFUNCTION("""COMPUTED_VALUE"""),0.411764705882353)</f>
        <v>0.4117647059</v>
      </c>
      <c r="J753" s="30">
        <f>IFERROR(__xludf.DUMMYFUNCTION("""COMPUTED_VALUE"""),221.2)</f>
        <v>221.2</v>
      </c>
      <c r="K753" s="30">
        <f>IFERROR(__xludf.DUMMYFUNCTION("""COMPUTED_VALUE"""),0.4666666666666667)</f>
        <v>0.4666666667</v>
      </c>
      <c r="L753" s="30">
        <f>IFERROR(__xludf.DUMMYFUNCTION("""COMPUTED_VALUE"""),0.4)</f>
        <v>0.4</v>
      </c>
      <c r="M753" s="30">
        <f>IFERROR(__xludf.DUMMYFUNCTION("""COMPUTED_VALUE"""),0.6666666666666666)</f>
        <v>0.6666666667</v>
      </c>
      <c r="N753" s="30">
        <f>IFERROR(__xludf.DUMMYFUNCTION("""COMPUTED_VALUE"""),1.1333333333333333)</f>
        <v>1.133333333</v>
      </c>
      <c r="O753" s="30">
        <f>IFERROR(__xludf.DUMMYFUNCTION("""COMPUTED_VALUE"""),315.5777777777777)</f>
        <v>315.5777778</v>
      </c>
      <c r="P753" s="30">
        <f>IFERROR(__xludf.DUMMYFUNCTION("""COMPUTED_VALUE"""),0.8000000000000002)</f>
        <v>0.8</v>
      </c>
      <c r="Q753" s="30">
        <f>IFERROR(__xludf.DUMMYFUNCTION("""COMPUTED_VALUE"""),0.4666666666666667)</f>
        <v>0.4666666667</v>
      </c>
      <c r="R753" s="30">
        <f>IFERROR(__xludf.DUMMYFUNCTION("""COMPUTED_VALUE"""),0.9777777777777777)</f>
        <v>0.9777777778</v>
      </c>
      <c r="S753" s="30">
        <f>IFERROR(__xludf.DUMMYFUNCTION("""COMPUTED_VALUE"""),2.2222222222222223)</f>
        <v>2.222222222</v>
      </c>
      <c r="T753" s="30">
        <f>IFERROR(__xludf.DUMMYFUNCTION("""COMPUTED_VALUE"""),332.32357419965837)</f>
        <v>332.3235742</v>
      </c>
      <c r="U753" s="30">
        <f>IFERROR(__xludf.DUMMYFUNCTION("""COMPUTED_VALUE"""),0.8285426505429838)</f>
        <v>0.8285426505</v>
      </c>
      <c r="V753" s="30">
        <f>IFERROR(__xludf.DUMMYFUNCTION("""COMPUTED_VALUE"""),0.547474429563105)</f>
        <v>0.5474744296</v>
      </c>
      <c r="W753" s="30">
        <f>IFERROR(__xludf.DUMMYFUNCTION("""COMPUTED_VALUE"""),1.0951958809754436)</f>
        <v>1.095195881</v>
      </c>
      <c r="X753" s="30">
        <f>IFERROR(__xludf.DUMMYFUNCTION("""COMPUTED_VALUE"""),2.290782810521605)</f>
        <v>2.290782811</v>
      </c>
      <c r="Y753" s="30">
        <f>IFERROR(__xludf.DUMMYFUNCTION("""COMPUTED_VALUE"""),323.50031870355144)</f>
        <v>323.5003187</v>
      </c>
      <c r="Z753" s="30">
        <f>IFERROR(__xludf.DUMMYFUNCTION("""COMPUTED_VALUE"""),0.7768971141793517)</f>
        <v>0.7768971142</v>
      </c>
      <c r="AA753" s="30">
        <f>IFERROR(__xludf.DUMMYFUNCTION("""COMPUTED_VALUE"""),0.5127985345443588)</f>
        <v>0.5127985345</v>
      </c>
      <c r="AB753" s="30">
        <f>IFERROR(__xludf.DUMMYFUNCTION("""COMPUTED_VALUE"""),1.068579891857091)</f>
        <v>1.068579892</v>
      </c>
      <c r="AC753" s="30">
        <f>IFERROR(__xludf.DUMMYFUNCTION("""COMPUTED_VALUE"""),2.222215189822975)</f>
        <v>2.22221519</v>
      </c>
      <c r="AD753" s="30">
        <f>IFERROR(__xludf.DUMMYFUNCTION("""COMPUTED_VALUE"""),0.6837705782995002)</f>
        <v>0.6837705783</v>
      </c>
      <c r="AE753" s="30">
        <f>IFERROR(__xludf.DUMMYFUNCTION("""COMPUTED_VALUE"""),0.6006801391708267)</f>
        <v>0.6006801392</v>
      </c>
      <c r="AF753" s="30">
        <f>IFERROR(__xludf.DUMMYFUNCTION("""COMPUTED_VALUE"""),0.780033430390778)</f>
        <v>0.7800334304</v>
      </c>
      <c r="AG753" s="30">
        <f>IFERROR(__xludf.DUMMYFUNCTION("""COMPUTED_VALUE"""),0.6238809767494903)</f>
        <v>0.6238809767</v>
      </c>
      <c r="AH753" s="30">
        <f>IFERROR(__xludf.DUMMYFUNCTION("""COMPUTED_VALUE"""),0.5100016139407347)</f>
        <v>0.5100016139</v>
      </c>
      <c r="AI753" s="30">
        <f>IFERROR(__xludf.DUMMYFUNCTION("""COMPUTED_VALUE"""),0.9496099653411291)</f>
        <v>0.9496099653</v>
      </c>
      <c r="AJ753" s="30">
        <f>IFERROR(__xludf.DUMMYFUNCTION("""COMPUTED_VALUE"""),0.9655507769886339)</f>
        <v>0.965550777</v>
      </c>
      <c r="AK753" s="30">
        <f>IFERROR(__xludf.DUMMYFUNCTION("""COMPUTED_VALUE"""),0.8523990189625396)</f>
        <v>0.852399019</v>
      </c>
      <c r="AL753" s="30">
        <f>IFERROR(__xludf.DUMMYFUNCTION("""COMPUTED_VALUE"""),0.8927880343257988)</f>
        <v>0.8927880343</v>
      </c>
      <c r="AM753" s="30">
        <f>IFERROR(__xludf.DUMMYFUNCTION("""COMPUTED_VALUE"""),0.9700711093236414)</f>
        <v>0.9700711093</v>
      </c>
      <c r="AN753" s="30">
        <f>IFERROR(__xludf.DUMMYFUNCTION("""COMPUTED_VALUE"""),0.7096358076179914)</f>
        <v>0.7096358076</v>
      </c>
      <c r="AO753" s="30">
        <f>IFERROR(__xludf.DUMMYFUNCTION("""COMPUTED_VALUE"""),0.6228190686752065)</f>
        <v>0.6228190687</v>
      </c>
      <c r="AP753" s="30">
        <f>IFERROR(__xludf.DUMMYFUNCTION("""COMPUTED_VALUE"""),0.7802994111834771)</f>
        <v>0.7802994112</v>
      </c>
      <c r="AQ753" s="30">
        <f>IFERROR(__xludf.DUMMYFUNCTION("""COMPUTED_VALUE"""),0.636332967749719)</f>
        <v>0.6363329677</v>
      </c>
      <c r="AR753" s="30">
        <f>IFERROR(__xludf.DUMMYFUNCTION("""COMPUTED_VALUE"""),0.5270422727182719)</f>
        <v>0.5270422727</v>
      </c>
      <c r="AS753" s="30">
        <f>IFERROR(__xludf.DUMMYFUNCTION("""COMPUTED_VALUE"""),24.0)</f>
        <v>24</v>
      </c>
      <c r="AT753" s="30">
        <f>IFERROR(__xludf.DUMMYFUNCTION("""COMPUTED_VALUE"""),0.3535219407449015)</f>
        <v>0.3535219407</v>
      </c>
      <c r="AU753" s="30">
        <f>IFERROR(__xludf.DUMMYFUNCTION("""COMPUTED_VALUE"""),1.7402914747838647)</f>
        <v>1.740291475</v>
      </c>
      <c r="AV753" s="32">
        <f>IFERROR(__xludf.DUMMYFUNCTION("""COMPUTED_VALUE"""),25.071180542030362)</f>
        <v>25.07118054</v>
      </c>
      <c r="AW753" s="32">
        <f>IFERROR(__xludf.DUMMYFUNCTION("""COMPUTED_VALUE"""),-6.275684060238588)</f>
        <v>-6.27568406</v>
      </c>
      <c r="AX753" s="32">
        <f>IFERROR(__xludf.DUMMYFUNCTION("""COMPUTED_VALUE"""),12.397565578013086)</f>
        <v>12.39756558</v>
      </c>
      <c r="AY753" s="32">
        <f>IFERROR(__xludf.DUMMYFUNCTION("""COMPUTED_VALUE"""),-15.08792917410814)</f>
        <v>-15.08792917</v>
      </c>
      <c r="AZ753" s="30">
        <f>IFERROR(__xludf.DUMMYFUNCTION("""COMPUTED_VALUE"""),8.812245113869551)</f>
        <v>8.812245114</v>
      </c>
      <c r="BA753" s="30">
        <f>IFERROR(__xludf.DUMMYFUNCTION("""COMPUTED_VALUE"""),3200.0)</f>
        <v>3200</v>
      </c>
    </row>
    <row r="754">
      <c r="A754" s="71" t="str">
        <f>IFERROR(__xludf.DUMMYFUNCTION("""COMPUTED_VALUE"""),"Contender")</f>
        <v>Contender</v>
      </c>
      <c r="B754" s="71" t="str">
        <f>IFERROR(__xludf.DUMMYFUNCTION("""COMPUTED_VALUE"""),"RSC007910")</f>
        <v>RSC007910</v>
      </c>
      <c r="C754" s="30" t="str">
        <f>IFERROR(__xludf.DUMMYFUNCTION("""COMPUTED_VALUE"""),"TTVCAPTAINDRC")</f>
        <v>TTVCAPTAINDRC</v>
      </c>
      <c r="D754" s="30"/>
      <c r="E754" s="30">
        <f>IFERROR(__xludf.DUMMYFUNCTION("""COMPUTED_VALUE"""),3.0)</f>
        <v>3</v>
      </c>
      <c r="F754" s="30">
        <f>IFERROR(__xludf.DUMMYFUNCTION("""COMPUTED_VALUE"""),0.0)</f>
        <v>0</v>
      </c>
      <c r="G754" s="42">
        <f>IFERROR(__xludf.DUMMYFUNCTION("""COMPUTED_VALUE"""),3.0)</f>
        <v>3</v>
      </c>
      <c r="H754" s="42">
        <f>IFERROR(__xludf.DUMMYFUNCTION("""COMPUTED_VALUE"""),0.0)</f>
        <v>0</v>
      </c>
      <c r="I754" s="42">
        <f>IFERROR(__xludf.DUMMYFUNCTION("""COMPUTED_VALUE"""),0.5)</f>
        <v>0.5</v>
      </c>
      <c r="J754" s="30">
        <f>IFERROR(__xludf.DUMMYFUNCTION("""COMPUTED_VALUE"""),225.66666666666666)</f>
        <v>225.6666667</v>
      </c>
      <c r="K754" s="30">
        <f>IFERROR(__xludf.DUMMYFUNCTION("""COMPUTED_VALUE"""),0.3333333333333333)</f>
        <v>0.3333333333</v>
      </c>
      <c r="L754" s="30">
        <f>IFERROR(__xludf.DUMMYFUNCTION("""COMPUTED_VALUE"""),0.3333333333333333)</f>
        <v>0.3333333333</v>
      </c>
      <c r="M754" s="30">
        <f>IFERROR(__xludf.DUMMYFUNCTION("""COMPUTED_VALUE"""),1.3333333333333333)</f>
        <v>1.333333333</v>
      </c>
      <c r="N754" s="30">
        <f>IFERROR(__xludf.DUMMYFUNCTION("""COMPUTED_VALUE"""),0.6666666666666666)</f>
        <v>0.6666666667</v>
      </c>
      <c r="O754" s="30">
        <f>IFERROR(__xludf.DUMMYFUNCTION("""COMPUTED_VALUE"""),338.4444444444444)</f>
        <v>338.4444444</v>
      </c>
      <c r="P754" s="30">
        <f>IFERROR(__xludf.DUMMYFUNCTION("""COMPUTED_VALUE"""),1.111111111111111)</f>
        <v>1.111111111</v>
      </c>
      <c r="Q754" s="30">
        <f>IFERROR(__xludf.DUMMYFUNCTION("""COMPUTED_VALUE"""),0.5555555555555555)</f>
        <v>0.5555555556</v>
      </c>
      <c r="R754" s="30">
        <f>IFERROR(__xludf.DUMMYFUNCTION("""COMPUTED_VALUE"""),1.0)</f>
        <v>1</v>
      </c>
      <c r="S754" s="30">
        <f>IFERROR(__xludf.DUMMYFUNCTION("""COMPUTED_VALUE"""),2.111111111111111)</f>
        <v>2.111111111</v>
      </c>
      <c r="T754" s="30">
        <f>IFERROR(__xludf.DUMMYFUNCTION("""COMPUTED_VALUE"""),323.7785714285714)</f>
        <v>323.7785714</v>
      </c>
      <c r="U754" s="30">
        <f>IFERROR(__xludf.DUMMYFUNCTION("""COMPUTED_VALUE"""),0.8116971916971917)</f>
        <v>0.8116971917</v>
      </c>
      <c r="V754" s="30">
        <f>IFERROR(__xludf.DUMMYFUNCTION("""COMPUTED_VALUE"""),0.48449328449328455)</f>
        <v>0.4844932845</v>
      </c>
      <c r="W754" s="30">
        <f>IFERROR(__xludf.DUMMYFUNCTION("""COMPUTED_VALUE"""),1.0862026862026861)</f>
        <v>1.086202686</v>
      </c>
      <c r="X754" s="30">
        <f>IFERROR(__xludf.DUMMYFUNCTION("""COMPUTED_VALUE"""),2.220964590964591)</f>
        <v>2.220964591</v>
      </c>
      <c r="Y754" s="30">
        <f>IFERROR(__xludf.DUMMYFUNCTION("""COMPUTED_VALUE"""),325.3235856735857)</f>
        <v>325.3235857</v>
      </c>
      <c r="Z754" s="30">
        <f>IFERROR(__xludf.DUMMYFUNCTION("""COMPUTED_VALUE"""),0.7603011803011802)</f>
        <v>0.7603011803</v>
      </c>
      <c r="AA754" s="30">
        <f>IFERROR(__xludf.DUMMYFUNCTION("""COMPUTED_VALUE"""),0.49997964997965)</f>
        <v>0.49997965</v>
      </c>
      <c r="AB754" s="30">
        <f>IFERROR(__xludf.DUMMYFUNCTION("""COMPUTED_VALUE"""),1.124139194139194)</f>
        <v>1.124139194</v>
      </c>
      <c r="AC754" s="30">
        <f>IFERROR(__xludf.DUMMYFUNCTION("""COMPUTED_VALUE"""),2.2817053317053317)</f>
        <v>2.281705332</v>
      </c>
      <c r="AD754" s="30">
        <f>IFERROR(__xludf.DUMMYFUNCTION("""COMPUTED_VALUE"""),0.6936683247217431)</f>
        <v>0.6936683247</v>
      </c>
      <c r="AE754" s="30">
        <f>IFERROR(__xludf.DUMMYFUNCTION("""COMPUTED_VALUE"""),0.43842274873398074)</f>
        <v>0.4384227487</v>
      </c>
      <c r="AF754" s="30">
        <f>IFERROR(__xludf.DUMMYFUNCTION("""COMPUTED_VALUE"""),0.6666938011315071)</f>
        <v>0.6666938011</v>
      </c>
      <c r="AG754" s="30">
        <f>IFERROR(__xludf.DUMMYFUNCTION("""COMPUTED_VALUE"""),1.1860927368112353)</f>
        <v>1.186092737</v>
      </c>
      <c r="AH754" s="30">
        <f>IFERROR(__xludf.DUMMYFUNCTION("""COMPUTED_VALUE"""),0.29217912471125457)</f>
        <v>0.2921791247</v>
      </c>
      <c r="AI754" s="30">
        <f>IFERROR(__xludf.DUMMYFUNCTION("""COMPUTED_VALUE"""),1.0452959964310313)</f>
        <v>1.045295996</v>
      </c>
      <c r="AJ754" s="30">
        <f>IFERROR(__xludf.DUMMYFUNCTION("""COMPUTED_VALUE"""),1.368873913174283)</f>
        <v>1.368873913</v>
      </c>
      <c r="AK754" s="30">
        <f>IFERROR(__xludf.DUMMYFUNCTION("""COMPUTED_VALUE"""),1.1466733870967738)</f>
        <v>1.146673387</v>
      </c>
      <c r="AL754" s="30">
        <f>IFERROR(__xludf.DUMMYFUNCTION("""COMPUTED_VALUE"""),0.9206384892086331)</f>
        <v>0.9206384892</v>
      </c>
      <c r="AM754" s="30">
        <f>IFERROR(__xludf.DUMMYFUNCTION("""COMPUTED_VALUE"""),0.9505379418022287)</f>
        <v>0.9505379418</v>
      </c>
      <c r="AN754" s="30">
        <f>IFERROR(__xludf.DUMMYFUNCTION("""COMPUTED_VALUE"""),0.7239654034921341)</f>
        <v>0.7239654035</v>
      </c>
      <c r="AO754" s="30">
        <f>IFERROR(__xludf.DUMMYFUNCTION("""COMPUTED_VALUE"""),0.4448707633394332)</f>
        <v>0.4448707633</v>
      </c>
      <c r="AP754" s="30">
        <f>IFERROR(__xludf.DUMMYFUNCTION("""COMPUTED_VALUE"""),0.6502495093195642)</f>
        <v>0.6502495093</v>
      </c>
      <c r="AQ754" s="30">
        <f>IFERROR(__xludf.DUMMYFUNCTION("""COMPUTED_VALUE"""),1.272665935499438)</f>
        <v>1.272665935</v>
      </c>
      <c r="AR754" s="30">
        <f>IFERROR(__xludf.DUMMYFUNCTION("""COMPUTED_VALUE"""),0.3100248663048658)</f>
        <v>0.3100248663</v>
      </c>
      <c r="AS754" s="30">
        <f>IFERROR(__xludf.DUMMYFUNCTION("""COMPUTED_VALUE"""),3.0)</f>
        <v>3</v>
      </c>
      <c r="AT754" s="30">
        <f>IFERROR(__xludf.DUMMYFUNCTION("""COMPUTED_VALUE"""),0.13776982850528816)</f>
        <v>0.1377698285</v>
      </c>
      <c r="AU754" s="30">
        <f>IFERROR(__xludf.DUMMYFUNCTION("""COMPUTED_VALUE"""),0.8556523764957877)</f>
        <v>0.8556523765</v>
      </c>
      <c r="AV754" s="32">
        <f>IFERROR(__xludf.DUMMYFUNCTION("""COMPUTED_VALUE"""),9.817957744522325)</f>
        <v>9.817957745</v>
      </c>
      <c r="AW754" s="32">
        <f>IFERROR(__xludf.DUMMYFUNCTION("""COMPUTED_VALUE"""),-18.51978935875559)</f>
        <v>-18.51978936</v>
      </c>
      <c r="AX754" s="32">
        <f>IFERROR(__xludf.DUMMYFUNCTION("""COMPUTED_VALUE"""),18.360159532905058)</f>
        <v>18.36015953</v>
      </c>
      <c r="AY754" s="32">
        <f>IFERROR(__xludf.DUMMYFUNCTION("""COMPUTED_VALUE"""),-9.724854123823249)</f>
        <v>-9.724854124</v>
      </c>
      <c r="AZ754" s="30">
        <f>IFERROR(__xludf.DUMMYFUNCTION("""COMPUTED_VALUE"""),8.794935234932343)</f>
        <v>8.794935235</v>
      </c>
      <c r="BA754" s="30">
        <f>IFERROR(__xludf.DUMMYFUNCTION("""COMPUTED_VALUE"""),3200.0)</f>
        <v>3200</v>
      </c>
    </row>
    <row r="755">
      <c r="A755" s="71" t="str">
        <f>IFERROR(__xludf.DUMMYFUNCTION("""COMPUTED_VALUE"""),"Contender")</f>
        <v>Contender</v>
      </c>
      <c r="B755" s="71" t="str">
        <f>IFERROR(__xludf.DUMMYFUNCTION("""COMPUTED_VALUE"""),"RSC004708")</f>
        <v>RSC004708</v>
      </c>
      <c r="C755" s="30" t="str">
        <f>IFERROR(__xludf.DUMMYFUNCTION("""COMPUTED_VALUE"""),"loganskito")</f>
        <v>loganskito</v>
      </c>
      <c r="D755" s="30"/>
      <c r="E755" s="30">
        <f>IFERROR(__xludf.DUMMYFUNCTION("""COMPUTED_VALUE"""),14.0)</f>
        <v>14</v>
      </c>
      <c r="F755" s="30">
        <f>IFERROR(__xludf.DUMMYFUNCTION("""COMPUTED_VALUE"""),5.0)</f>
        <v>5</v>
      </c>
      <c r="G755" s="42">
        <f>IFERROR(__xludf.DUMMYFUNCTION("""COMPUTED_VALUE"""),9.0)</f>
        <v>9</v>
      </c>
      <c r="H755" s="42">
        <f>IFERROR(__xludf.DUMMYFUNCTION("""COMPUTED_VALUE"""),0.35714285714285715)</f>
        <v>0.3571428571</v>
      </c>
      <c r="I755" s="42">
        <f>IFERROR(__xludf.DUMMYFUNCTION("""COMPUTED_VALUE"""),0.30952380952380953)</f>
        <v>0.3095238095</v>
      </c>
      <c r="J755" s="30">
        <f>IFERROR(__xludf.DUMMYFUNCTION("""COMPUTED_VALUE"""),354.0)</f>
        <v>354</v>
      </c>
      <c r="K755" s="30">
        <f>IFERROR(__xludf.DUMMYFUNCTION("""COMPUTED_VALUE"""),0.9285714285714286)</f>
        <v>0.9285714286</v>
      </c>
      <c r="L755" s="30">
        <f>IFERROR(__xludf.DUMMYFUNCTION("""COMPUTED_VALUE"""),0.5714285714285714)</f>
        <v>0.5714285714</v>
      </c>
      <c r="M755" s="30">
        <f>IFERROR(__xludf.DUMMYFUNCTION("""COMPUTED_VALUE"""),1.3571428571428572)</f>
        <v>1.357142857</v>
      </c>
      <c r="N755" s="30">
        <f>IFERROR(__xludf.DUMMYFUNCTION("""COMPUTED_VALUE"""),3.0)</f>
        <v>3</v>
      </c>
      <c r="O755" s="30">
        <f>IFERROR(__xludf.DUMMYFUNCTION("""COMPUTED_VALUE"""),362.4047619047619)</f>
        <v>362.4047619</v>
      </c>
      <c r="P755" s="30">
        <f>IFERROR(__xludf.DUMMYFUNCTION("""COMPUTED_VALUE"""),0.9047619047619048)</f>
        <v>0.9047619048</v>
      </c>
      <c r="Q755" s="30">
        <f>IFERROR(__xludf.DUMMYFUNCTION("""COMPUTED_VALUE"""),0.5952380952380952)</f>
        <v>0.5952380952</v>
      </c>
      <c r="R755" s="30">
        <f>IFERROR(__xludf.DUMMYFUNCTION("""COMPUTED_VALUE"""),1.2142857142857142)</f>
        <v>1.214285714</v>
      </c>
      <c r="S755" s="30">
        <f>IFERROR(__xludf.DUMMYFUNCTION("""COMPUTED_VALUE"""),2.880952380952381)</f>
        <v>2.880952381</v>
      </c>
      <c r="T755" s="30">
        <f>IFERROR(__xludf.DUMMYFUNCTION("""COMPUTED_VALUE"""),341.69072862359377)</f>
        <v>341.6907286</v>
      </c>
      <c r="U755" s="30">
        <f>IFERROR(__xludf.DUMMYFUNCTION("""COMPUTED_VALUE"""),0.899009015992611)</f>
        <v>0.899009016</v>
      </c>
      <c r="V755" s="30">
        <f>IFERROR(__xludf.DUMMYFUNCTION("""COMPUTED_VALUE"""),0.6029779487105714)</f>
        <v>0.6029779487</v>
      </c>
      <c r="W755" s="30">
        <f>IFERROR(__xludf.DUMMYFUNCTION("""COMPUTED_VALUE"""),1.0369137756178075)</f>
        <v>1.036913776</v>
      </c>
      <c r="X755" s="30">
        <f>IFERROR(__xludf.DUMMYFUNCTION("""COMPUTED_VALUE"""),2.5119286525286713)</f>
        <v>2.511928653</v>
      </c>
      <c r="Y755" s="30">
        <f>IFERROR(__xludf.DUMMYFUNCTION("""COMPUTED_VALUE"""),310.76037172341915)</f>
        <v>310.7603717</v>
      </c>
      <c r="Z755" s="30">
        <f>IFERROR(__xludf.DUMMYFUNCTION("""COMPUTED_VALUE"""),0.7043139395668873)</f>
        <v>0.7043139396</v>
      </c>
      <c r="AA755" s="30">
        <f>IFERROR(__xludf.DUMMYFUNCTION("""COMPUTED_VALUE"""),0.4521329336303716)</f>
        <v>0.4521329336</v>
      </c>
      <c r="AB755" s="30">
        <f>IFERROR(__xludf.DUMMYFUNCTION("""COMPUTED_VALUE"""),1.0875519361405377)</f>
        <v>1.087551936</v>
      </c>
      <c r="AC755" s="30">
        <f>IFERROR(__xludf.DUMMYFUNCTION("""COMPUTED_VALUE"""),2.0797647053910278)</f>
        <v>2.079764705</v>
      </c>
      <c r="AD755" s="30">
        <f>IFERROR(__xludf.DUMMYFUNCTION("""COMPUTED_VALUE"""),1.1391413842015374)</f>
        <v>1.139141384</v>
      </c>
      <c r="AE755" s="30">
        <f>IFERROR(__xludf.DUMMYFUNCTION("""COMPUTED_VALUE"""),1.318405580815917)</f>
        <v>1.318405581</v>
      </c>
      <c r="AF755" s="30">
        <f>IFERROR(__xludf.DUMMYFUNCTION("""COMPUTED_VALUE"""),1.2638508034358906)</f>
        <v>1.263850803</v>
      </c>
      <c r="AG755" s="30">
        <f>IFERROR(__xludf.DUMMYFUNCTION("""COMPUTED_VALUE"""),1.2478878590010454)</f>
        <v>1.247887859</v>
      </c>
      <c r="AH755" s="30">
        <f>IFERROR(__xludf.DUMMYFUNCTION("""COMPUTED_VALUE"""),1.4424708680859906)</f>
        <v>1.442470868</v>
      </c>
      <c r="AI755" s="30">
        <f>IFERROR(__xludf.DUMMYFUNCTION("""COMPUTED_VALUE"""),1.0606221695408853)</f>
        <v>1.06062217</v>
      </c>
      <c r="AJ755" s="30">
        <f>IFERROR(__xludf.DUMMYFUNCTION("""COMPUTED_VALUE"""),1.0063991446881564)</f>
        <v>1.006399145</v>
      </c>
      <c r="AK755" s="30">
        <f>IFERROR(__xludf.DUMMYFUNCTION("""COMPUTED_VALUE"""),0.9871639526967324)</f>
        <v>0.9871639527</v>
      </c>
      <c r="AL755" s="30">
        <f>IFERROR(__xludf.DUMMYFUNCTION("""COMPUTED_VALUE"""),1.1710575583415566)</f>
        <v>1.171057558</v>
      </c>
      <c r="AM755" s="30">
        <f>IFERROR(__xludf.DUMMYFUNCTION("""COMPUTED_VALUE"""),1.1469085230793583)</f>
        <v>1.146908523</v>
      </c>
      <c r="AN755" s="30">
        <f>IFERROR(__xludf.DUMMYFUNCTION("""COMPUTED_VALUE"""),1.135673941667129)</f>
        <v>1.135673942</v>
      </c>
      <c r="AO755" s="30">
        <f>IFERROR(__xludf.DUMMYFUNCTION("""COMPUTED_VALUE"""),1.2392828407312784)</f>
        <v>1.239282841</v>
      </c>
      <c r="AP755" s="30">
        <f>IFERROR(__xludf.DUMMYFUNCTION("""COMPUTED_VALUE"""),1.1147134445478244)</f>
        <v>1.114713445</v>
      </c>
      <c r="AQ755" s="30">
        <f>IFERROR(__xludf.DUMMYFUNCTION("""COMPUTED_VALUE"""),1.295392112919071)</f>
        <v>1.295392113</v>
      </c>
      <c r="AR755" s="30">
        <f>IFERROR(__xludf.DUMMYFUNCTION("""COMPUTED_VALUE"""),1.3951118983718962)</f>
        <v>1.395111898</v>
      </c>
      <c r="AS755" s="30">
        <f>IFERROR(__xludf.DUMMYFUNCTION("""COMPUTED_VALUE"""),36.0)</f>
        <v>36</v>
      </c>
      <c r="AT755" s="30">
        <f>IFERROR(__xludf.DUMMYFUNCTION("""COMPUTED_VALUE"""),0.4782163920949985)</f>
        <v>0.4782163921</v>
      </c>
      <c r="AU755" s="30">
        <f>IFERROR(__xludf.DUMMYFUNCTION("""COMPUTED_VALUE"""),4.4179616161170605)</f>
        <v>4.417961616</v>
      </c>
      <c r="AV755" s="32">
        <f>IFERROR(__xludf.DUMMYFUNCTION("""COMPUTED_VALUE"""),71.24040290969215)</f>
        <v>71.24040291</v>
      </c>
      <c r="AW755" s="32">
        <f>IFERROR(__xludf.DUMMYFUNCTION("""COMPUTED_VALUE"""),5.0563971737372215)</f>
        <v>5.056397174</v>
      </c>
      <c r="AX755" s="32">
        <f>IFERROR(__xludf.DUMMYFUNCTION("""COMPUTED_VALUE"""),48.712461314360475)</f>
        <v>48.71246131</v>
      </c>
      <c r="AY755" s="32">
        <f>IFERROR(__xludf.DUMMYFUNCTION("""COMPUTED_VALUE"""),-2.085666958235516)</f>
        <v>-2.085666958</v>
      </c>
      <c r="AZ755" s="30">
        <f>IFERROR(__xludf.DUMMYFUNCTION("""COMPUTED_VALUE"""),7.142064131972738)</f>
        <v>7.142064132</v>
      </c>
      <c r="BA755" s="30">
        <f>IFERROR(__xludf.DUMMYFUNCTION("""COMPUTED_VALUE"""),3200.0)</f>
        <v>3200</v>
      </c>
    </row>
    <row r="756">
      <c r="A756" s="71" t="str">
        <f>IFERROR(__xludf.DUMMYFUNCTION("""COMPUTED_VALUE"""),"Contender")</f>
        <v>Contender</v>
      </c>
      <c r="B756" s="71" t="str">
        <f>IFERROR(__xludf.DUMMYFUNCTION("""COMPUTED_VALUE"""),"RSC005974")</f>
        <v>RSC005974</v>
      </c>
      <c r="C756" s="30" t="str">
        <f>IFERROR(__xludf.DUMMYFUNCTION("""COMPUTED_VALUE"""),"Angry-Hermit")</f>
        <v>Angry-Hermit</v>
      </c>
      <c r="D756" s="30" t="str">
        <f>IFERROR(__xludf.DUMMYFUNCTION("""COMPUTED_VALUE"""),"Devoured")</f>
        <v>Devoured</v>
      </c>
      <c r="E756" s="30">
        <f>IFERROR(__xludf.DUMMYFUNCTION("""COMPUTED_VALUE"""),28.0)</f>
        <v>28</v>
      </c>
      <c r="F756" s="30">
        <f>IFERROR(__xludf.DUMMYFUNCTION("""COMPUTED_VALUE"""),11.0)</f>
        <v>11</v>
      </c>
      <c r="G756" s="42">
        <f>IFERROR(__xludf.DUMMYFUNCTION("""COMPUTED_VALUE"""),17.0)</f>
        <v>17</v>
      </c>
      <c r="H756" s="42">
        <f>IFERROR(__xludf.DUMMYFUNCTION("""COMPUTED_VALUE"""),0.39285714285714285)</f>
        <v>0.3928571429</v>
      </c>
      <c r="I756" s="42">
        <f>IFERROR(__xludf.DUMMYFUNCTION("""COMPUTED_VALUE"""),0.30769230769230765)</f>
        <v>0.3076923077</v>
      </c>
      <c r="J756" s="30">
        <f>IFERROR(__xludf.DUMMYFUNCTION("""COMPUTED_VALUE"""),279.5)</f>
        <v>279.5</v>
      </c>
      <c r="K756" s="30">
        <f>IFERROR(__xludf.DUMMYFUNCTION("""COMPUTED_VALUE"""),0.5714285714285714)</f>
        <v>0.5714285714</v>
      </c>
      <c r="L756" s="30">
        <f>IFERROR(__xludf.DUMMYFUNCTION("""COMPUTED_VALUE"""),0.7142857142857143)</f>
        <v>0.7142857143</v>
      </c>
      <c r="M756" s="30">
        <f>IFERROR(__xludf.DUMMYFUNCTION("""COMPUTED_VALUE"""),0.7142857142857143)</f>
        <v>0.7142857143</v>
      </c>
      <c r="N756" s="30">
        <f>IFERROR(__xludf.DUMMYFUNCTION("""COMPUTED_VALUE"""),1.8571428571428572)</f>
        <v>1.857142857</v>
      </c>
      <c r="O756" s="30">
        <f>IFERROR(__xludf.DUMMYFUNCTION("""COMPUTED_VALUE"""),333.1666666666667)</f>
        <v>333.1666667</v>
      </c>
      <c r="P756" s="30">
        <f>IFERROR(__xludf.DUMMYFUNCTION("""COMPUTED_VALUE"""),0.8214285714285715)</f>
        <v>0.8214285714</v>
      </c>
      <c r="Q756" s="30">
        <f>IFERROR(__xludf.DUMMYFUNCTION("""COMPUTED_VALUE"""),0.5238095238095238)</f>
        <v>0.5238095238</v>
      </c>
      <c r="R756" s="30">
        <f>IFERROR(__xludf.DUMMYFUNCTION("""COMPUTED_VALUE"""),1.2142857142857142)</f>
        <v>1.214285714</v>
      </c>
      <c r="S756" s="30">
        <f>IFERROR(__xludf.DUMMYFUNCTION("""COMPUTED_VALUE"""),2.3690476190476195)</f>
        <v>2.369047619</v>
      </c>
      <c r="T756" s="30">
        <f>IFERROR(__xludf.DUMMYFUNCTION("""COMPUTED_VALUE"""),331.1746771213595)</f>
        <v>331.1746771</v>
      </c>
      <c r="U756" s="30">
        <f>IFERROR(__xludf.DUMMYFUNCTION("""COMPUTED_VALUE"""),0.8261242296702077)</f>
        <v>0.8261242297</v>
      </c>
      <c r="V756" s="30">
        <f>IFERROR(__xludf.DUMMYFUNCTION("""COMPUTED_VALUE"""),0.5183037408342048)</f>
        <v>0.5183037408</v>
      </c>
      <c r="W756" s="30">
        <f>IFERROR(__xludf.DUMMYFUNCTION("""COMPUTED_VALUE"""),1.0876131458695486)</f>
        <v>1.087613146</v>
      </c>
      <c r="X756" s="30">
        <f>IFERROR(__xludf.DUMMYFUNCTION("""COMPUTED_VALUE"""),2.313429017209743)</f>
        <v>2.313429017</v>
      </c>
      <c r="Y756" s="30">
        <f>IFERROR(__xludf.DUMMYFUNCTION("""COMPUTED_VALUE"""),311.83155216751254)</f>
        <v>311.8315522</v>
      </c>
      <c r="Z756" s="30">
        <f>IFERROR(__xludf.DUMMYFUNCTION("""COMPUTED_VALUE"""),0.7118117541211516)</f>
        <v>0.7118117541</v>
      </c>
      <c r="AA756" s="30">
        <f>IFERROR(__xludf.DUMMYFUNCTION("""COMPUTED_VALUE"""),0.4653291939208302)</f>
        <v>0.4653291939</v>
      </c>
      <c r="AB756" s="30">
        <f>IFERROR(__xludf.DUMMYFUNCTION("""COMPUTED_VALUE"""),1.0613416117635353)</f>
        <v>1.061341612</v>
      </c>
      <c r="AC756" s="30">
        <f>IFERROR(__xludf.DUMMYFUNCTION("""COMPUTED_VALUE"""),2.1735850836411252)</f>
        <v>2.173585084</v>
      </c>
      <c r="AD756" s="30">
        <f>IFERROR(__xludf.DUMMYFUNCTION("""COMPUTED_VALUE"""),0.8963172522383355)</f>
        <v>0.8963172522</v>
      </c>
      <c r="AE756" s="30">
        <f>IFERROR(__xludf.DUMMYFUNCTION("""COMPUTED_VALUE"""),0.8027804656500702)</f>
        <v>0.8027804657</v>
      </c>
      <c r="AF756" s="30">
        <f>IFERROR(__xludf.DUMMYFUNCTION("""COMPUTED_VALUE"""),1.5350116081632326)</f>
        <v>1.535011608</v>
      </c>
      <c r="AG756" s="30">
        <f>IFERROR(__xludf.DUMMYFUNCTION("""COMPUTED_VALUE"""),0.6730026471861876)</f>
        <v>0.6730026472</v>
      </c>
      <c r="AH756" s="30">
        <f>IFERROR(__xludf.DUMMYFUNCTION("""COMPUTED_VALUE"""),0.8544146125772204)</f>
        <v>0.8544146126</v>
      </c>
      <c r="AI756" s="30">
        <f>IFERROR(__xludf.DUMMYFUNCTION("""COMPUTED_VALUE"""),1.0060149210761584)</f>
        <v>1.006014921</v>
      </c>
      <c r="AJ756" s="30">
        <f>IFERROR(__xludf.DUMMYFUNCTION("""COMPUTED_VALUE"""),0.9943160385896069)</f>
        <v>0.9943160386</v>
      </c>
      <c r="AK756" s="30">
        <f>IFERROR(__xludf.DUMMYFUNCTION("""COMPUTED_VALUE"""),1.0106226958085571)</f>
        <v>1.010622696</v>
      </c>
      <c r="AL756" s="30">
        <f>IFERROR(__xludf.DUMMYFUNCTION("""COMPUTED_VALUE"""),1.1164684050548972)</f>
        <v>1.116468405</v>
      </c>
      <c r="AM756" s="30">
        <f>IFERROR(__xludf.DUMMYFUNCTION("""COMPUTED_VALUE"""),1.0240416288652585)</f>
        <v>1.024041629</v>
      </c>
      <c r="AN756" s="30">
        <f>IFERROR(__xludf.DUMMYFUNCTION("""COMPUTED_VALUE"""),0.8966691149603463)</f>
        <v>0.896669115</v>
      </c>
      <c r="AO756" s="30">
        <f>IFERROR(__xludf.DUMMYFUNCTION("""COMPUTED_VALUE"""),0.7626355942961712)</f>
        <v>0.7626355943</v>
      </c>
      <c r="AP756" s="30">
        <f>IFERROR(__xludf.DUMMYFUNCTION("""COMPUTED_VALUE"""),1.3933918056847805)</f>
        <v>1.393391806</v>
      </c>
      <c r="AQ756" s="30">
        <f>IFERROR(__xludf.DUMMYFUNCTION("""COMPUTED_VALUE"""),0.6817853225889847)</f>
        <v>0.6817853226</v>
      </c>
      <c r="AR756" s="30">
        <f>IFERROR(__xludf.DUMMYFUNCTION("""COMPUTED_VALUE"""),0.8636406989921263)</f>
        <v>0.863640699</v>
      </c>
      <c r="AS756" s="30">
        <f>IFERROR(__xludf.DUMMYFUNCTION("""COMPUTED_VALUE"""),63.0)</f>
        <v>63</v>
      </c>
      <c r="AT756" s="30">
        <f>IFERROR(__xludf.DUMMYFUNCTION("""COMPUTED_VALUE"""),0.46456858257646)</f>
        <v>0.4645685826</v>
      </c>
      <c r="AU756" s="30">
        <f>IFERROR(__xludf.DUMMYFUNCTION("""COMPUTED_VALUE"""),3.286756317162293)</f>
        <v>3.286756317</v>
      </c>
      <c r="AV756" s="32">
        <f>IFERROR(__xludf.DUMMYFUNCTION("""COMPUTED_VALUE"""),51.73580890286032)</f>
        <v>51.7358089</v>
      </c>
      <c r="AW756" s="32">
        <f>IFERROR(__xludf.DUMMYFUNCTION("""COMPUTED_VALUE"""),2.1171964020083465)</f>
        <v>2.117196402</v>
      </c>
      <c r="AX756" s="32">
        <f>IFERROR(__xludf.DUMMYFUNCTION("""COMPUTED_VALUE"""),34.48263632910054)</f>
        <v>34.48263633</v>
      </c>
      <c r="AY756" s="32">
        <f>IFERROR(__xludf.DUMMYFUNCTION("""COMPUTED_VALUE"""),-3.7397114596900063)</f>
        <v>-3.73971146</v>
      </c>
      <c r="AZ756" s="30">
        <f>IFERROR(__xludf.DUMMYFUNCTION("""COMPUTED_VALUE"""),5.856907861698353)</f>
        <v>5.856907862</v>
      </c>
      <c r="BA756" s="30">
        <f>IFERROR(__xludf.DUMMYFUNCTION("""COMPUTED_VALUE"""),3200.0)</f>
        <v>3200</v>
      </c>
    </row>
    <row r="757">
      <c r="A757" s="71" t="str">
        <f>IFERROR(__xludf.DUMMYFUNCTION("""COMPUTED_VALUE"""),"Contender")</f>
        <v>Contender</v>
      </c>
      <c r="B757" s="71" t="str">
        <f>IFERROR(__xludf.DUMMYFUNCTION("""COMPUTED_VALUE"""),"RSC004509")</f>
        <v>RSC004509</v>
      </c>
      <c r="C757" s="30" t="str">
        <f>IFERROR(__xludf.DUMMYFUNCTION("""COMPUTED_VALUE"""),"tazlien")</f>
        <v>tazlien</v>
      </c>
      <c r="D757" s="30" t="str">
        <f>IFERROR(__xludf.DUMMYFUNCTION("""COMPUTED_VALUE"""),"Zebras")</f>
        <v>Zebras</v>
      </c>
      <c r="E757" s="30">
        <f>IFERROR(__xludf.DUMMYFUNCTION("""COMPUTED_VALUE"""),24.0)</f>
        <v>24</v>
      </c>
      <c r="F757" s="30">
        <f>IFERROR(__xludf.DUMMYFUNCTION("""COMPUTED_VALUE"""),9.0)</f>
        <v>9</v>
      </c>
      <c r="G757" s="42">
        <f>IFERROR(__xludf.DUMMYFUNCTION("""COMPUTED_VALUE"""),15.0)</f>
        <v>15</v>
      </c>
      <c r="H757" s="42">
        <f>IFERROR(__xludf.DUMMYFUNCTION("""COMPUTED_VALUE"""),0.375)</f>
        <v>0.375</v>
      </c>
      <c r="I757" s="42">
        <f>IFERROR(__xludf.DUMMYFUNCTION("""COMPUTED_VALUE"""),0.3958333333333333)</f>
        <v>0.3958333333</v>
      </c>
      <c r="J757" s="30">
        <f>IFERROR(__xludf.DUMMYFUNCTION("""COMPUTED_VALUE"""),345.5833333333333)</f>
        <v>345.5833333</v>
      </c>
      <c r="K757" s="30">
        <f>IFERROR(__xludf.DUMMYFUNCTION("""COMPUTED_VALUE"""),0.7916666666666666)</f>
        <v>0.7916666667</v>
      </c>
      <c r="L757" s="30">
        <f>IFERROR(__xludf.DUMMYFUNCTION("""COMPUTED_VALUE"""),0.625)</f>
        <v>0.625</v>
      </c>
      <c r="M757" s="30">
        <f>IFERROR(__xludf.DUMMYFUNCTION("""COMPUTED_VALUE"""),1.25)</f>
        <v>1.25</v>
      </c>
      <c r="N757" s="30">
        <f>IFERROR(__xludf.DUMMYFUNCTION("""COMPUTED_VALUE"""),2.0)</f>
        <v>2</v>
      </c>
      <c r="O757" s="30">
        <f>IFERROR(__xludf.DUMMYFUNCTION("""COMPUTED_VALUE"""),355.2638888888889)</f>
        <v>355.2638889</v>
      </c>
      <c r="P757" s="30">
        <f>IFERROR(__xludf.DUMMYFUNCTION("""COMPUTED_VALUE"""),0.9166666666666669)</f>
        <v>0.9166666667</v>
      </c>
      <c r="Q757" s="30">
        <f>IFERROR(__xludf.DUMMYFUNCTION("""COMPUTED_VALUE"""),0.6666666666666666)</f>
        <v>0.6666666667</v>
      </c>
      <c r="R757" s="30">
        <f>IFERROR(__xludf.DUMMYFUNCTION("""COMPUTED_VALUE"""),1.1111111111111114)</f>
        <v>1.111111111</v>
      </c>
      <c r="S757" s="30">
        <f>IFERROR(__xludf.DUMMYFUNCTION("""COMPUTED_VALUE"""),2.6388888888888884)</f>
        <v>2.638888889</v>
      </c>
      <c r="T757" s="30">
        <f>IFERROR(__xludf.DUMMYFUNCTION("""COMPUTED_VALUE"""),339.0207099886033)</f>
        <v>339.02071</v>
      </c>
      <c r="U757" s="30">
        <f>IFERROR(__xludf.DUMMYFUNCTION("""COMPUTED_VALUE"""),0.8573975537253822)</f>
        <v>0.8573975537</v>
      </c>
      <c r="V757" s="30">
        <f>IFERROR(__xludf.DUMMYFUNCTION("""COMPUTED_VALUE"""),0.5586308100692993)</f>
        <v>0.5586308101</v>
      </c>
      <c r="W757" s="30">
        <f>IFERROR(__xludf.DUMMYFUNCTION("""COMPUTED_VALUE"""),1.09928192040394)</f>
        <v>1.09928192</v>
      </c>
      <c r="X757" s="30">
        <f>IFERROR(__xludf.DUMMYFUNCTION("""COMPUTED_VALUE"""),2.4452322180400246)</f>
        <v>2.445232218</v>
      </c>
      <c r="Y757" s="30">
        <f>IFERROR(__xludf.DUMMYFUNCTION("""COMPUTED_VALUE"""),318.23363536203834)</f>
        <v>318.2336354</v>
      </c>
      <c r="Z757" s="30">
        <f>IFERROR(__xludf.DUMMYFUNCTION("""COMPUTED_VALUE"""),0.7347664820523692)</f>
        <v>0.7347664821</v>
      </c>
      <c r="AA757" s="30">
        <f>IFERROR(__xludf.DUMMYFUNCTION("""COMPUTED_VALUE"""),0.47295299927060985)</f>
        <v>0.4729529993</v>
      </c>
      <c r="AB757" s="30">
        <f>IFERROR(__xludf.DUMMYFUNCTION("""COMPUTED_VALUE"""),1.1229720767150713)</f>
        <v>1.122972077</v>
      </c>
      <c r="AC757" s="30">
        <f>IFERROR(__xludf.DUMMYFUNCTION("""COMPUTED_VALUE"""),2.178876408330637)</f>
        <v>2.178876408</v>
      </c>
      <c r="AD757" s="30">
        <f>IFERROR(__xludf.DUMMYFUNCTION("""COMPUTED_VALUE"""),1.0859421975938546)</f>
        <v>1.085942198</v>
      </c>
      <c r="AE757" s="30">
        <f>IFERROR(__xludf.DUMMYFUNCTION("""COMPUTED_VALUE"""),1.0774398206833855)</f>
        <v>1.077439821</v>
      </c>
      <c r="AF757" s="30">
        <f>IFERROR(__xludf.DUMMYFUNCTION("""COMPUTED_VALUE"""),1.3214843778639267)</f>
        <v>1.321484378</v>
      </c>
      <c r="AG757" s="30">
        <f>IFERROR(__xludf.DUMMYFUNCTION("""COMPUTED_VALUE"""),1.1131176152273634)</f>
        <v>1.113117615</v>
      </c>
      <c r="AH757" s="30">
        <f>IFERROR(__xludf.DUMMYFUNCTION("""COMPUTED_VALUE"""),0.9179042888129278)</f>
        <v>0.9179042888</v>
      </c>
      <c r="AI757" s="30">
        <f>IFERROR(__xludf.DUMMYFUNCTION("""COMPUTED_VALUE"""),1.04791205499166)</f>
        <v>1.047912055</v>
      </c>
      <c r="AJ757" s="30">
        <f>IFERROR(__xludf.DUMMYFUNCTION("""COMPUTED_VALUE"""),1.069126757691063)</f>
        <v>1.069126758</v>
      </c>
      <c r="AK757" s="30">
        <f>IFERROR(__xludf.DUMMYFUNCTION("""COMPUTED_VALUE"""),1.1933940173904216)</f>
        <v>1.193394017</v>
      </c>
      <c r="AL757" s="30">
        <f>IFERROR(__xludf.DUMMYFUNCTION("""COMPUTED_VALUE"""),1.0107608344025387)</f>
        <v>1.010760834</v>
      </c>
      <c r="AM757" s="30">
        <f>IFERROR(__xludf.DUMMYFUNCTION("""COMPUTED_VALUE"""),1.0791976604185631)</f>
        <v>1.07919766</v>
      </c>
      <c r="AN757" s="30">
        <f>IFERROR(__xludf.DUMMYFUNCTION("""COMPUTED_VALUE"""),1.108672277799808)</f>
        <v>1.108672278</v>
      </c>
      <c r="AO757" s="30">
        <f>IFERROR(__xludf.DUMMYFUNCTION("""COMPUTED_VALUE"""),1.0565680629311538)</f>
        <v>1.056568063</v>
      </c>
      <c r="AP757" s="30">
        <f>IFERROR(__xludf.DUMMYFUNCTION("""COMPUTED_VALUE"""),1.219217829974183)</f>
        <v>1.21921783</v>
      </c>
      <c r="AQ757" s="30">
        <f>IFERROR(__xludf.DUMMYFUNCTION("""COMPUTED_VALUE"""),1.1931243145307233)</f>
        <v>1.193124315</v>
      </c>
      <c r="AR757" s="30">
        <f>IFERROR(__xludf.DUMMYFUNCTION("""COMPUTED_VALUE"""),0.9300745989145975)</f>
        <v>0.9300745989</v>
      </c>
      <c r="AS757" s="30">
        <f>IFERROR(__xludf.DUMMYFUNCTION("""COMPUTED_VALUE"""),60.0)</f>
        <v>60</v>
      </c>
      <c r="AT757" s="30">
        <f>IFERROR(__xludf.DUMMYFUNCTION("""COMPUTED_VALUE"""),0.4617250571853034)</f>
        <v>0.4617250572</v>
      </c>
      <c r="AU757" s="30">
        <f>IFERROR(__xludf.DUMMYFUNCTION("""COMPUTED_VALUE"""),3.571869966446652)</f>
        <v>3.571869966</v>
      </c>
      <c r="AV757" s="32">
        <f>IFERROR(__xludf.DUMMYFUNCTION("""COMPUTED_VALUE"""),56.65182722441172)</f>
        <v>56.65182722</v>
      </c>
      <c r="AW757" s="32">
        <f>IFERROR(__xludf.DUMMYFUNCTION("""COMPUTED_VALUE"""),2.531059517016097)</f>
        <v>2.531059517</v>
      </c>
      <c r="AX757" s="32">
        <f>IFERROR(__xludf.DUMMYFUNCTION("""COMPUTED_VALUE"""),42.508314870873946)</f>
        <v>42.50831487</v>
      </c>
      <c r="AY757" s="32">
        <f>IFERROR(__xludf.DUMMYFUNCTION("""COMPUTED_VALUE"""),-2.6163255507735714)</f>
        <v>-2.616325551</v>
      </c>
      <c r="AZ757" s="30">
        <f>IFERROR(__xludf.DUMMYFUNCTION("""COMPUTED_VALUE"""),5.147385067789669)</f>
        <v>5.147385068</v>
      </c>
      <c r="BA757" s="30">
        <f>IFERROR(__xludf.DUMMYFUNCTION("""COMPUTED_VALUE"""),3200.0)</f>
        <v>3200</v>
      </c>
    </row>
    <row r="758">
      <c r="A758" s="71" t="str">
        <f>IFERROR(__xludf.DUMMYFUNCTION("""COMPUTED_VALUE"""),"Contender")</f>
        <v>Contender</v>
      </c>
      <c r="B758" s="71" t="str">
        <f>IFERROR(__xludf.DUMMYFUNCTION("""COMPUTED_VALUE"""),"RSC007537")</f>
        <v>RSC007537</v>
      </c>
      <c r="C758" s="30" t="str">
        <f>IFERROR(__xludf.DUMMYFUNCTION("""COMPUTED_VALUE"""),"yoshawatt")</f>
        <v>yoshawatt</v>
      </c>
      <c r="D758" s="30" t="str">
        <f>IFERROR(__xludf.DUMMYFUNCTION("""COMPUTED_VALUE"""),"Rheas")</f>
        <v>Rheas</v>
      </c>
      <c r="E758" s="30">
        <f>IFERROR(__xludf.DUMMYFUNCTION("""COMPUTED_VALUE"""),28.0)</f>
        <v>28</v>
      </c>
      <c r="F758" s="30">
        <f>IFERROR(__xludf.DUMMYFUNCTION("""COMPUTED_VALUE"""),23.0)</f>
        <v>23</v>
      </c>
      <c r="G758" s="42">
        <f>IFERROR(__xludf.DUMMYFUNCTION("""COMPUTED_VALUE"""),5.0)</f>
        <v>5</v>
      </c>
      <c r="H758" s="42">
        <f>IFERROR(__xludf.DUMMYFUNCTION("""COMPUTED_VALUE"""),0.8214285714285714)</f>
        <v>0.8214285714</v>
      </c>
      <c r="I758" s="42">
        <f>IFERROR(__xludf.DUMMYFUNCTION("""COMPUTED_VALUE"""),0.36363636363636365)</f>
        <v>0.3636363636</v>
      </c>
      <c r="J758" s="30">
        <f>IFERROR(__xludf.DUMMYFUNCTION("""COMPUTED_VALUE"""),369.75)</f>
        <v>369.75</v>
      </c>
      <c r="K758" s="30">
        <f>IFERROR(__xludf.DUMMYFUNCTION("""COMPUTED_VALUE"""),1.1428571428571428)</f>
        <v>1.142857143</v>
      </c>
      <c r="L758" s="30">
        <f>IFERROR(__xludf.DUMMYFUNCTION("""COMPUTED_VALUE"""),0.7142857142857143)</f>
        <v>0.7142857143</v>
      </c>
      <c r="M758" s="30">
        <f>IFERROR(__xludf.DUMMYFUNCTION("""COMPUTED_VALUE"""),0.8214285714285714)</f>
        <v>0.8214285714</v>
      </c>
      <c r="N758" s="30">
        <f>IFERROR(__xludf.DUMMYFUNCTION("""COMPUTED_VALUE"""),3.142857142857143)</f>
        <v>3.142857143</v>
      </c>
      <c r="O758" s="30">
        <f>IFERROR(__xludf.DUMMYFUNCTION("""COMPUTED_VALUE"""),270.11904761904765)</f>
        <v>270.1190476</v>
      </c>
      <c r="P758" s="30">
        <f>IFERROR(__xludf.DUMMYFUNCTION("""COMPUTED_VALUE"""),0.47619047619047616)</f>
        <v>0.4761904762</v>
      </c>
      <c r="Q758" s="30">
        <f>IFERROR(__xludf.DUMMYFUNCTION("""COMPUTED_VALUE"""),0.33333333333333337)</f>
        <v>0.3333333333</v>
      </c>
      <c r="R758" s="30">
        <f>IFERROR(__xludf.DUMMYFUNCTION("""COMPUTED_VALUE"""),1.0595238095238098)</f>
        <v>1.05952381</v>
      </c>
      <c r="S758" s="30">
        <f>IFERROR(__xludf.DUMMYFUNCTION("""COMPUTED_VALUE"""),1.8452380952380951)</f>
        <v>1.845238095</v>
      </c>
      <c r="T758" s="30">
        <f>IFERROR(__xludf.DUMMYFUNCTION("""COMPUTED_VALUE"""),327.22141537590954)</f>
        <v>327.2214154</v>
      </c>
      <c r="U758" s="30">
        <f>IFERROR(__xludf.DUMMYFUNCTION("""COMPUTED_VALUE"""),0.8035082992768003)</f>
        <v>0.8035082993</v>
      </c>
      <c r="V758" s="30">
        <f>IFERROR(__xludf.DUMMYFUNCTION("""COMPUTED_VALUE"""),0.5185046224628993)</f>
        <v>0.5185046225</v>
      </c>
      <c r="W758" s="30">
        <f>IFERROR(__xludf.DUMMYFUNCTION("""COMPUTED_VALUE"""),1.0977427119399028)</f>
        <v>1.097742712</v>
      </c>
      <c r="X758" s="30">
        <f>IFERROR(__xludf.DUMMYFUNCTION("""COMPUTED_VALUE"""),2.3042527216363564)</f>
        <v>2.304252722</v>
      </c>
      <c r="Y758" s="30">
        <f>IFERROR(__xludf.DUMMYFUNCTION("""COMPUTED_VALUE"""),330.3937690907579)</f>
        <v>330.3937691</v>
      </c>
      <c r="Z758" s="30">
        <f>IFERROR(__xludf.DUMMYFUNCTION("""COMPUTED_VALUE"""),0.8149983315321238)</f>
        <v>0.8149983315</v>
      </c>
      <c r="AA758" s="30">
        <f>IFERROR(__xludf.DUMMYFUNCTION("""COMPUTED_VALUE"""),0.53821393458462)</f>
        <v>0.5382139346</v>
      </c>
      <c r="AB758" s="30">
        <f>IFERROR(__xludf.DUMMYFUNCTION("""COMPUTED_VALUE"""),1.110731377534081)</f>
        <v>1.110731378</v>
      </c>
      <c r="AC758" s="30">
        <f>IFERROR(__xludf.DUMMYFUNCTION("""COMPUTED_VALUE"""),2.3350364020140533)</f>
        <v>2.335036402</v>
      </c>
      <c r="AD758" s="30">
        <f>IFERROR(__xludf.DUMMYFUNCTION("""COMPUTED_VALUE"""),1.1191191680689083)</f>
        <v>1.119119168</v>
      </c>
      <c r="AE758" s="30">
        <f>IFERROR(__xludf.DUMMYFUNCTION("""COMPUTED_VALUE"""),1.4022815736428245)</f>
        <v>1.402281574</v>
      </c>
      <c r="AF758" s="30">
        <f>IFERROR(__xludf.DUMMYFUNCTION("""COMPUTED_VALUE"""),1.3271408790948196)</f>
        <v>1.327140879</v>
      </c>
      <c r="AG758" s="30">
        <f>IFERROR(__xludf.DUMMYFUNCTION("""COMPUTED_VALUE"""),0.7395384591117011)</f>
        <v>0.7395384591</v>
      </c>
      <c r="AH758" s="30">
        <f>IFERROR(__xludf.DUMMYFUNCTION("""COMPUTED_VALUE"""),1.3459563800145964)</f>
        <v>1.34595638</v>
      </c>
      <c r="AI758" s="30">
        <f>IFERROR(__xludf.DUMMYFUNCTION("""COMPUTED_VALUE"""),0.825493182677964)</f>
        <v>0.8254931827</v>
      </c>
      <c r="AJ758" s="30">
        <f>IFERROR(__xludf.DUMMYFUNCTION("""COMPUTED_VALUE"""),0.5926391508576484)</f>
        <v>0.5926391509</v>
      </c>
      <c r="AK758" s="30">
        <f>IFERROR(__xludf.DUMMYFUNCTION("""COMPUTED_VALUE"""),0.6428743715919031)</f>
        <v>0.6428743716</v>
      </c>
      <c r="AL758" s="30">
        <f>IFERROR(__xludf.DUMMYFUNCTION("""COMPUTED_VALUE"""),0.9651840982405125)</f>
        <v>0.9651840982</v>
      </c>
      <c r="AM758" s="30">
        <f>IFERROR(__xludf.DUMMYFUNCTION("""COMPUTED_VALUE"""),0.8007967519846114)</f>
        <v>0.800796752</v>
      </c>
      <c r="AN758" s="30">
        <f>IFERROR(__xludf.DUMMYFUNCTION("""COMPUTED_VALUE"""),1.1862018077158785)</f>
        <v>1.186201808</v>
      </c>
      <c r="AO758" s="30">
        <f>IFERROR(__xludf.DUMMYFUNCTION("""COMPUTED_VALUE"""),1.5252711885923425)</f>
        <v>1.525271189</v>
      </c>
      <c r="AP758" s="30">
        <f>IFERROR(__xludf.DUMMYFUNCTION("""COMPUTED_VALUE"""),1.3933918056847805)</f>
        <v>1.393391806</v>
      </c>
      <c r="AQ758" s="30">
        <f>IFERROR(__xludf.DUMMYFUNCTION("""COMPUTED_VALUE"""),0.7840531209773324)</f>
        <v>0.784053121</v>
      </c>
      <c r="AR758" s="30">
        <f>IFERROR(__xludf.DUMMYFUNCTION("""COMPUTED_VALUE"""),1.4615457982943676)</f>
        <v>1.461545798</v>
      </c>
      <c r="AS758" s="30">
        <f>IFERROR(__xludf.DUMMYFUNCTION("""COMPUTED_VALUE"""),79.0)</f>
        <v>79</v>
      </c>
      <c r="AT758" s="30">
        <f>IFERROR(__xludf.DUMMYFUNCTION("""COMPUTED_VALUE"""),0.7370916591148846)</f>
        <v>0.7370916591</v>
      </c>
      <c r="AU758" s="30">
        <f>IFERROR(__xludf.DUMMYFUNCTION("""COMPUTED_VALUE"""),5.337744797618289)</f>
        <v>5.337744798</v>
      </c>
      <c r="AV758" s="32">
        <f>IFERROR(__xludf.DUMMYFUNCTION("""COMPUTED_VALUE"""),87.09959093336046)</f>
        <v>87.09959093</v>
      </c>
      <c r="AW758" s="32">
        <f>IFERROR(__xludf.DUMMYFUNCTION("""COMPUTED_VALUE"""),14.51239146016233)</f>
        <v>14.51239146</v>
      </c>
      <c r="AX758" s="32">
        <f>IFERROR(__xludf.DUMMYFUNCTION("""COMPUTED_VALUE"""),81.14585136299755)</f>
        <v>81.14585136</v>
      </c>
      <c r="AY758" s="32">
        <f>IFERROR(__xludf.DUMMYFUNCTION("""COMPUTED_VALUE"""),9.397377898235705)</f>
        <v>9.397377898</v>
      </c>
      <c r="AZ758" s="30">
        <f>IFERROR(__xludf.DUMMYFUNCTION("""COMPUTED_VALUE"""),5.1150135619266255)</f>
        <v>5.115013562</v>
      </c>
      <c r="BA758" s="30">
        <f>IFERROR(__xludf.DUMMYFUNCTION("""COMPUTED_VALUE"""),3200.0)</f>
        <v>3200</v>
      </c>
    </row>
    <row r="759">
      <c r="A759" s="71" t="str">
        <f>IFERROR(__xludf.DUMMYFUNCTION("""COMPUTED_VALUE"""),"Contender")</f>
        <v>Contender</v>
      </c>
      <c r="B759" s="71" t="str">
        <f>IFERROR(__xludf.DUMMYFUNCTION("""COMPUTED_VALUE"""),"RSC007538")</f>
        <v>RSC007538</v>
      </c>
      <c r="C759" s="30" t="str">
        <f>IFERROR(__xludf.DUMMYFUNCTION("""COMPUTED_VALUE"""),"FattyMcChef04")</f>
        <v>FattyMcChef04</v>
      </c>
      <c r="D759" s="30" t="str">
        <f>IFERROR(__xludf.DUMMYFUNCTION("""COMPUTED_VALUE"""),"Cheese Pizza")</f>
        <v>Cheese Pizza</v>
      </c>
      <c r="E759" s="30">
        <f>IFERROR(__xludf.DUMMYFUNCTION("""COMPUTED_VALUE"""),11.0)</f>
        <v>11</v>
      </c>
      <c r="F759" s="30">
        <f>IFERROR(__xludf.DUMMYFUNCTION("""COMPUTED_VALUE"""),6.0)</f>
        <v>6</v>
      </c>
      <c r="G759" s="42">
        <f>IFERROR(__xludf.DUMMYFUNCTION("""COMPUTED_VALUE"""),5.0)</f>
        <v>5</v>
      </c>
      <c r="H759" s="42">
        <f>IFERROR(__xludf.DUMMYFUNCTION("""COMPUTED_VALUE"""),0.5454545454545454)</f>
        <v>0.5454545455</v>
      </c>
      <c r="I759" s="42">
        <f>IFERROR(__xludf.DUMMYFUNCTION("""COMPUTED_VALUE"""),0.4444444444444444)</f>
        <v>0.4444444444</v>
      </c>
      <c r="J759" s="30">
        <f>IFERROR(__xludf.DUMMYFUNCTION("""COMPUTED_VALUE"""),252.9090909090909)</f>
        <v>252.9090909</v>
      </c>
      <c r="K759" s="30">
        <f>IFERROR(__xludf.DUMMYFUNCTION("""COMPUTED_VALUE"""),0.7272727272727273)</f>
        <v>0.7272727273</v>
      </c>
      <c r="L759" s="30">
        <f>IFERROR(__xludf.DUMMYFUNCTION("""COMPUTED_VALUE"""),0.2727272727272727)</f>
        <v>0.2727272727</v>
      </c>
      <c r="M759" s="30">
        <f>IFERROR(__xludf.DUMMYFUNCTION("""COMPUTED_VALUE"""),0.7272727272727273)</f>
        <v>0.7272727273</v>
      </c>
      <c r="N759" s="30">
        <f>IFERROR(__xludf.DUMMYFUNCTION("""COMPUTED_VALUE"""),1.6363636363636365)</f>
        <v>1.636363636</v>
      </c>
      <c r="O759" s="30">
        <f>IFERROR(__xludf.DUMMYFUNCTION("""COMPUTED_VALUE"""),322.48484848484844)</f>
        <v>322.4848485</v>
      </c>
      <c r="P759" s="30">
        <f>IFERROR(__xludf.DUMMYFUNCTION("""COMPUTED_VALUE"""),0.7575757575757577)</f>
        <v>0.7575757576</v>
      </c>
      <c r="Q759" s="30">
        <f>IFERROR(__xludf.DUMMYFUNCTION("""COMPUTED_VALUE"""),0.5757575757575757)</f>
        <v>0.5757575758</v>
      </c>
      <c r="R759" s="30">
        <f>IFERROR(__xludf.DUMMYFUNCTION("""COMPUTED_VALUE"""),0.9090909090909093)</f>
        <v>0.9090909091</v>
      </c>
      <c r="S759" s="30">
        <f>IFERROR(__xludf.DUMMYFUNCTION("""COMPUTED_VALUE"""),2.151515151515152)</f>
        <v>2.151515152</v>
      </c>
      <c r="T759" s="30">
        <f>IFERROR(__xludf.DUMMYFUNCTION("""COMPUTED_VALUE"""),330.11649419141355)</f>
        <v>330.1164942</v>
      </c>
      <c r="U759" s="30">
        <f>IFERROR(__xludf.DUMMYFUNCTION("""COMPUTED_VALUE"""),0.7921997413466694)</f>
        <v>0.7921997413</v>
      </c>
      <c r="V759" s="30">
        <f>IFERROR(__xludf.DUMMYFUNCTION("""COMPUTED_VALUE"""),0.5350371130126415)</f>
        <v>0.535037113</v>
      </c>
      <c r="W759" s="30">
        <f>IFERROR(__xludf.DUMMYFUNCTION("""COMPUTED_VALUE"""),1.1228092075001221)</f>
        <v>1.122809208</v>
      </c>
      <c r="X759" s="30">
        <f>IFERROR(__xludf.DUMMYFUNCTION("""COMPUTED_VALUE"""),2.2565923636447254)</f>
        <v>2.256592364</v>
      </c>
      <c r="Y759" s="30">
        <f>IFERROR(__xludf.DUMMYFUNCTION("""COMPUTED_VALUE"""),320.4776360929566)</f>
        <v>320.4776361</v>
      </c>
      <c r="Z759" s="30">
        <f>IFERROR(__xludf.DUMMYFUNCTION("""COMPUTED_VALUE"""),0.7696015044276457)</f>
        <v>0.7696015044</v>
      </c>
      <c r="AA759" s="30">
        <f>IFERROR(__xludf.DUMMYFUNCTION("""COMPUTED_VALUE"""),0.5402740165935654)</f>
        <v>0.5402740166</v>
      </c>
      <c r="AB759" s="30">
        <f>IFERROR(__xludf.DUMMYFUNCTION("""COMPUTED_VALUE"""),1.0409840395029546)</f>
        <v>1.04098404</v>
      </c>
      <c r="AC759" s="30">
        <f>IFERROR(__xludf.DUMMYFUNCTION("""COMPUTED_VALUE"""),2.2422504437807387)</f>
        <v>2.242250444</v>
      </c>
      <c r="AD759" s="30">
        <f>IFERROR(__xludf.DUMMYFUNCTION("""COMPUTED_VALUE"""),0.7891629943118185)</f>
        <v>0.7891629943</v>
      </c>
      <c r="AE759" s="30">
        <f>IFERROR(__xludf.DUMMYFUNCTION("""COMPUTED_VALUE"""),0.9449990977000513)</f>
        <v>0.9449990977</v>
      </c>
      <c r="AF759" s="30">
        <f>IFERROR(__xludf.DUMMYFUNCTION("""COMPUTED_VALUE"""),0.5047943531447646)</f>
        <v>0.5047943531</v>
      </c>
      <c r="AG759" s="30">
        <f>IFERROR(__xludf.DUMMYFUNCTION("""COMPUTED_VALUE"""),0.698639652169867)</f>
        <v>0.6986396522</v>
      </c>
      <c r="AH759" s="30">
        <f>IFERROR(__xludf.DUMMYFUNCTION("""COMPUTED_VALUE"""),0.7297862916706598)</f>
        <v>0.7297862917</v>
      </c>
      <c r="AI759" s="30">
        <f>IFERROR(__xludf.DUMMYFUNCTION("""COMPUTED_VALUE"""),0.9768819618502915)</f>
        <v>0.9768819619</v>
      </c>
      <c r="AJ759" s="30">
        <f>IFERROR(__xludf.DUMMYFUNCTION("""COMPUTED_VALUE"""),0.9562938714016064)</f>
        <v>0.9562938714</v>
      </c>
      <c r="AK759" s="30">
        <f>IFERROR(__xludf.DUMMYFUNCTION("""COMPUTED_VALUE"""),1.076107734874033)</f>
        <v>1.076107735</v>
      </c>
      <c r="AL759" s="30">
        <f>IFERROR(__xludf.DUMMYFUNCTION("""COMPUTED_VALUE"""),0.8096575117289554)</f>
        <v>0.8096575117</v>
      </c>
      <c r="AM759" s="30">
        <f>IFERROR(__xludf.DUMMYFUNCTION("""COMPUTED_VALUE"""),0.953435448146311)</f>
        <v>0.9534354481</v>
      </c>
      <c r="AN759" s="30">
        <f>IFERROR(__xludf.DUMMYFUNCTION("""COMPUTED_VALUE"""),0.8113623281247954)</f>
        <v>0.8113623281</v>
      </c>
      <c r="AO759" s="30">
        <f>IFERROR(__xludf.DUMMYFUNCTION("""COMPUTED_VALUE"""),0.9706271200133089)</f>
        <v>0.97062712</v>
      </c>
      <c r="AP759" s="30">
        <f>IFERROR(__xludf.DUMMYFUNCTION("""COMPUTED_VALUE"""),0.5320223258069161)</f>
        <v>0.5320223258</v>
      </c>
      <c r="AQ759" s="30">
        <f>IFERROR(__xludf.DUMMYFUNCTION("""COMPUTED_VALUE"""),0.6941814193633299)</f>
        <v>0.6941814194</v>
      </c>
      <c r="AR759" s="30">
        <f>IFERROR(__xludf.DUMMYFUNCTION("""COMPUTED_VALUE"""),0.7609701263846708)</f>
        <v>0.7609701264</v>
      </c>
      <c r="AS759" s="30">
        <f>IFERROR(__xludf.DUMMYFUNCTION("""COMPUTED_VALUE"""),27.0)</f>
        <v>27</v>
      </c>
      <c r="AT759" s="30">
        <f>IFERROR(__xludf.DUMMYFUNCTION("""COMPUTED_VALUE"""),0.530012474141499)</f>
        <v>0.5300124741</v>
      </c>
      <c r="AU759" s="30">
        <f>IFERROR(__xludf.DUMMYFUNCTION("""COMPUTED_VALUE"""),2.1329972887430912)</f>
        <v>2.132997289</v>
      </c>
      <c r="AV759" s="32">
        <f>IFERROR(__xludf.DUMMYFUNCTION("""COMPUTED_VALUE"""),31.84233646967195)</f>
        <v>31.84233647</v>
      </c>
      <c r="AW759" s="32">
        <f>IFERROR(__xludf.DUMMYFUNCTION("""COMPUTED_VALUE"""),-4.276694703832363)</f>
        <v>-4.276694704</v>
      </c>
      <c r="AX759" s="32">
        <f>IFERROR(__xludf.DUMMYFUNCTION("""COMPUTED_VALUE"""),19.070995167619344)</f>
        <v>19.07099517</v>
      </c>
      <c r="AY759" s="32">
        <f>IFERROR(__xludf.DUMMYFUNCTION("""COMPUTED_VALUE"""),-9.258075574143936)</f>
        <v>-9.258075574</v>
      </c>
      <c r="AZ759" s="30">
        <f>IFERROR(__xludf.DUMMYFUNCTION("""COMPUTED_VALUE"""),4.981380870311573)</f>
        <v>4.98138087</v>
      </c>
      <c r="BA759" s="30">
        <f>IFERROR(__xludf.DUMMYFUNCTION("""COMPUTED_VALUE"""),3200.0)</f>
        <v>3200</v>
      </c>
    </row>
    <row r="760">
      <c r="A760" s="71" t="str">
        <f>IFERROR(__xludf.DUMMYFUNCTION("""COMPUTED_VALUE"""),"Contender")</f>
        <v>Contender</v>
      </c>
      <c r="B760" s="71" t="str">
        <f>IFERROR(__xludf.DUMMYFUNCTION("""COMPUTED_VALUE"""),"RSC007165")</f>
        <v>RSC007165</v>
      </c>
      <c r="C760" s="30" t="str">
        <f>IFERROR(__xludf.DUMMYFUNCTION("""COMPUTED_VALUE"""),"BRG")</f>
        <v>BRG</v>
      </c>
      <c r="D760" s="30" t="str">
        <f>IFERROR(__xludf.DUMMYFUNCTION("""COMPUTED_VALUE"""),"Rheas")</f>
        <v>Rheas</v>
      </c>
      <c r="E760" s="30">
        <f>IFERROR(__xludf.DUMMYFUNCTION("""COMPUTED_VALUE"""),30.0)</f>
        <v>30</v>
      </c>
      <c r="F760" s="30">
        <f>IFERROR(__xludf.DUMMYFUNCTION("""COMPUTED_VALUE"""),22.0)</f>
        <v>22</v>
      </c>
      <c r="G760" s="42">
        <f>IFERROR(__xludf.DUMMYFUNCTION("""COMPUTED_VALUE"""),8.0)</f>
        <v>8</v>
      </c>
      <c r="H760" s="42">
        <f>IFERROR(__xludf.DUMMYFUNCTION("""COMPUTED_VALUE"""),0.7333333333333333)</f>
        <v>0.7333333333</v>
      </c>
      <c r="I760" s="42">
        <f>IFERROR(__xludf.DUMMYFUNCTION("""COMPUTED_VALUE"""),0.2777777777777778)</f>
        <v>0.2777777778</v>
      </c>
      <c r="J760" s="30">
        <f>IFERROR(__xludf.DUMMYFUNCTION("""COMPUTED_VALUE"""),294.6333333333333)</f>
        <v>294.6333333</v>
      </c>
      <c r="K760" s="30">
        <f>IFERROR(__xludf.DUMMYFUNCTION("""COMPUTED_VALUE"""),0.5)</f>
        <v>0.5</v>
      </c>
      <c r="L760" s="30">
        <f>IFERROR(__xludf.DUMMYFUNCTION("""COMPUTED_VALUE"""),0.6333333333333333)</f>
        <v>0.6333333333</v>
      </c>
      <c r="M760" s="30">
        <f>IFERROR(__xludf.DUMMYFUNCTION("""COMPUTED_VALUE"""),1.2)</f>
        <v>1.2</v>
      </c>
      <c r="N760" s="30">
        <f>IFERROR(__xludf.DUMMYFUNCTION("""COMPUTED_VALUE"""),1.8)</f>
        <v>1.8</v>
      </c>
      <c r="O760" s="30">
        <f>IFERROR(__xludf.DUMMYFUNCTION("""COMPUTED_VALUE"""),270.2555555555556)</f>
        <v>270.2555556</v>
      </c>
      <c r="P760" s="30">
        <f>IFERROR(__xludf.DUMMYFUNCTION("""COMPUTED_VALUE"""),0.4666666666666667)</f>
        <v>0.4666666667</v>
      </c>
      <c r="Q760" s="30">
        <f>IFERROR(__xludf.DUMMYFUNCTION("""COMPUTED_VALUE"""),0.2888888888888889)</f>
        <v>0.2888888889</v>
      </c>
      <c r="R760" s="30">
        <f>IFERROR(__xludf.DUMMYFUNCTION("""COMPUTED_VALUE"""),1.088888888888889)</f>
        <v>1.088888889</v>
      </c>
      <c r="S760" s="30">
        <f>IFERROR(__xludf.DUMMYFUNCTION("""COMPUTED_VALUE"""),1.811111111111111)</f>
        <v>1.811111111</v>
      </c>
      <c r="T760" s="30">
        <f>IFERROR(__xludf.DUMMYFUNCTION("""COMPUTED_VALUE"""),322.3237010194605)</f>
        <v>322.323701</v>
      </c>
      <c r="U760" s="30">
        <f>IFERROR(__xludf.DUMMYFUNCTION("""COMPUTED_VALUE"""),0.7882916751356032)</f>
        <v>0.7882916751</v>
      </c>
      <c r="V760" s="30">
        <f>IFERROR(__xludf.DUMMYFUNCTION("""COMPUTED_VALUE"""),0.4885230898719197)</f>
        <v>0.4885230899</v>
      </c>
      <c r="W760" s="30">
        <f>IFERROR(__xludf.DUMMYFUNCTION("""COMPUTED_VALUE"""),1.084042103663783)</f>
        <v>1.084042104</v>
      </c>
      <c r="X760" s="30">
        <f>IFERROR(__xludf.DUMMYFUNCTION("""COMPUTED_VALUE"""),2.246429768544174)</f>
        <v>2.246429769</v>
      </c>
      <c r="Y760" s="30">
        <f>IFERROR(__xludf.DUMMYFUNCTION("""COMPUTED_VALUE"""),328.08215000755314)</f>
        <v>328.08215</v>
      </c>
      <c r="Z760" s="30">
        <f>IFERROR(__xludf.DUMMYFUNCTION("""COMPUTED_VALUE"""),0.8123335033800193)</f>
        <v>0.8123335034</v>
      </c>
      <c r="AA760" s="30">
        <f>IFERROR(__xludf.DUMMYFUNCTION("""COMPUTED_VALUE"""),0.5317266499635254)</f>
        <v>0.53172665</v>
      </c>
      <c r="AB760" s="30">
        <f>IFERROR(__xludf.DUMMYFUNCTION("""COMPUTED_VALUE"""),1.0868694494698339)</f>
        <v>1.086869449</v>
      </c>
      <c r="AC760" s="30">
        <f>IFERROR(__xludf.DUMMYFUNCTION("""COMPUTED_VALUE"""),2.3107686822727413)</f>
        <v>2.310768682</v>
      </c>
      <c r="AD760" s="30">
        <f>IFERROR(__xludf.DUMMYFUNCTION("""COMPUTED_VALUE"""),0.8980474351516846)</f>
        <v>0.8980474352</v>
      </c>
      <c r="AE760" s="30">
        <f>IFERROR(__xludf.DUMMYFUNCTION("""COMPUTED_VALUE"""),0.6155107451798575)</f>
        <v>0.6155107452</v>
      </c>
      <c r="AF760" s="30">
        <f>IFERROR(__xludf.DUMMYFUNCTION("""COMPUTED_VALUE"""),1.1910881904767756)</f>
        <v>1.19108819</v>
      </c>
      <c r="AG760" s="30">
        <f>IFERROR(__xludf.DUMMYFUNCTION("""COMPUTED_VALUE"""),1.1040884446474692)</f>
        <v>1.104088445</v>
      </c>
      <c r="AH760" s="30">
        <f>IFERROR(__xludf.DUMMYFUNCTION("""COMPUTED_VALUE"""),0.7789615697187059)</f>
        <v>0.7789615697</v>
      </c>
      <c r="AI760" s="30">
        <f>IFERROR(__xludf.DUMMYFUNCTION("""COMPUTED_VALUE"""),0.8384600781784853)</f>
        <v>0.8384600782</v>
      </c>
      <c r="AJ760" s="30">
        <f>IFERROR(__xludf.DUMMYFUNCTION("""COMPUTED_VALUE"""),0.591997456507948)</f>
        <v>0.5919974565</v>
      </c>
      <c r="AK760" s="30">
        <f>IFERROR(__xludf.DUMMYFUNCTION("""COMPUTED_VALUE"""),0.5913515550813154)</f>
        <v>0.5913515551</v>
      </c>
      <c r="AL760" s="30">
        <f>IFERROR(__xludf.DUMMYFUNCTION("""COMPUTED_VALUE"""),1.0044710304228268)</f>
        <v>1.00447103</v>
      </c>
      <c r="AM760" s="30">
        <f>IFERROR(__xludf.DUMMYFUNCTION("""COMPUTED_VALUE"""),0.8062175530574558)</f>
        <v>0.8062175531</v>
      </c>
      <c r="AN760" s="30">
        <f>IFERROR(__xludf.DUMMYFUNCTION("""COMPUTED_VALUE"""),0.9452186412802028)</f>
        <v>0.9452186413</v>
      </c>
      <c r="AO760" s="30">
        <f>IFERROR(__xludf.DUMMYFUNCTION("""COMPUTED_VALUE"""),0.6673061450091499)</f>
        <v>0.667306145</v>
      </c>
      <c r="AP760" s="30">
        <f>IFERROR(__xludf.DUMMYFUNCTION("""COMPUTED_VALUE"""),1.235474067707172)</f>
        <v>1.235474068</v>
      </c>
      <c r="AQ760" s="30">
        <f>IFERROR(__xludf.DUMMYFUNCTION("""COMPUTED_VALUE"""),1.1453993419494943)</f>
        <v>1.145399342</v>
      </c>
      <c r="AR760" s="30">
        <f>IFERROR(__xludf.DUMMYFUNCTION("""COMPUTED_VALUE"""),0.8370671390231378)</f>
        <v>0.837067139</v>
      </c>
      <c r="AS760" s="30">
        <f>IFERROR(__xludf.DUMMYFUNCTION("""COMPUTED_VALUE"""),74.0)</f>
        <v>74</v>
      </c>
      <c r="AT760" s="30">
        <f>IFERROR(__xludf.DUMMYFUNCTION("""COMPUTED_VALUE"""),0.6974106852590306)</f>
        <v>0.6974106853</v>
      </c>
      <c r="AU760" s="30">
        <f>IFERROR(__xludf.DUMMYFUNCTION("""COMPUTED_VALUE"""),3.2464000950646485)</f>
        <v>3.246400095</v>
      </c>
      <c r="AV760" s="32">
        <f>IFERROR(__xludf.DUMMYFUNCTION("""COMPUTED_VALUE"""),51.03997435506303)</f>
        <v>51.03997436</v>
      </c>
      <c r="AW760" s="32">
        <f>IFERROR(__xludf.DUMMYFUNCTION("""COMPUTED_VALUE"""),2.068640831215907)</f>
        <v>2.068640831</v>
      </c>
      <c r="AX760" s="32">
        <f>IFERROR(__xludf.DUMMYFUNCTION("""COMPUTED_VALUE"""),47.491321037706086)</f>
        <v>47.49132104</v>
      </c>
      <c r="AY760" s="32">
        <f>IFERROR(__xludf.DUMMYFUNCTION("""COMPUTED_VALUE"""),-2.1737506753131135)</f>
        <v>-2.173750675</v>
      </c>
      <c r="AZ760" s="30">
        <f>IFERROR(__xludf.DUMMYFUNCTION("""COMPUTED_VALUE"""),4.242391506529021)</f>
        <v>4.242391507</v>
      </c>
      <c r="BA760" s="30">
        <f>IFERROR(__xludf.DUMMYFUNCTION("""COMPUTED_VALUE"""),3200.0)</f>
        <v>3200</v>
      </c>
    </row>
    <row r="761">
      <c r="A761" s="71" t="str">
        <f>IFERROR(__xludf.DUMMYFUNCTION("""COMPUTED_VALUE"""),"Contender")</f>
        <v>Contender</v>
      </c>
      <c r="B761" s="71" t="str">
        <f>IFERROR(__xludf.DUMMYFUNCTION("""COMPUTED_VALUE"""),"RSC000323")</f>
        <v>RSC000323</v>
      </c>
      <c r="C761" s="30" t="str">
        <f>IFERROR(__xludf.DUMMYFUNCTION("""COMPUTED_VALUE"""),"Styk75")</f>
        <v>Styk75</v>
      </c>
      <c r="D761" s="30" t="str">
        <f>IFERROR(__xludf.DUMMYFUNCTION("""COMPUTED_VALUE"""),"Legionaries")</f>
        <v>Legionaries</v>
      </c>
      <c r="E761" s="30">
        <f>IFERROR(__xludf.DUMMYFUNCTION("""COMPUTED_VALUE"""),13.0)</f>
        <v>13</v>
      </c>
      <c r="F761" s="30">
        <f>IFERROR(__xludf.DUMMYFUNCTION("""COMPUTED_VALUE"""),3.0)</f>
        <v>3</v>
      </c>
      <c r="G761" s="42">
        <f>IFERROR(__xludf.DUMMYFUNCTION("""COMPUTED_VALUE"""),10.0)</f>
        <v>10</v>
      </c>
      <c r="H761" s="42">
        <f>IFERROR(__xludf.DUMMYFUNCTION("""COMPUTED_VALUE"""),0.23076923076923078)</f>
        <v>0.2307692308</v>
      </c>
      <c r="I761" s="42">
        <f>IFERROR(__xludf.DUMMYFUNCTION("""COMPUTED_VALUE"""),0.35294117647058826)</f>
        <v>0.3529411765</v>
      </c>
      <c r="J761" s="30">
        <f>IFERROR(__xludf.DUMMYFUNCTION("""COMPUTED_VALUE"""),221.92307692307693)</f>
        <v>221.9230769</v>
      </c>
      <c r="K761" s="30">
        <f>IFERROR(__xludf.DUMMYFUNCTION("""COMPUTED_VALUE"""),0.46153846153846156)</f>
        <v>0.4615384615</v>
      </c>
      <c r="L761" s="30">
        <f>IFERROR(__xludf.DUMMYFUNCTION("""COMPUTED_VALUE"""),0.3076923076923077)</f>
        <v>0.3076923077</v>
      </c>
      <c r="M761" s="30">
        <f>IFERROR(__xludf.DUMMYFUNCTION("""COMPUTED_VALUE"""),1.0)</f>
        <v>1</v>
      </c>
      <c r="N761" s="30">
        <f>IFERROR(__xludf.DUMMYFUNCTION("""COMPUTED_VALUE"""),1.3076923076923077)</f>
        <v>1.307692308</v>
      </c>
      <c r="O761" s="30">
        <f>IFERROR(__xludf.DUMMYFUNCTION("""COMPUTED_VALUE"""),353.2820512820512)</f>
        <v>353.2820513</v>
      </c>
      <c r="P761" s="30">
        <f>IFERROR(__xludf.DUMMYFUNCTION("""COMPUTED_VALUE"""),0.9999999999999998)</f>
        <v>1</v>
      </c>
      <c r="Q761" s="30">
        <f>IFERROR(__xludf.DUMMYFUNCTION("""COMPUTED_VALUE"""),0.6923076923076922)</f>
        <v>0.6923076923</v>
      </c>
      <c r="R761" s="30">
        <f>IFERROR(__xludf.DUMMYFUNCTION("""COMPUTED_VALUE"""),1.0512820512820513)</f>
        <v>1.051282051</v>
      </c>
      <c r="S761" s="30">
        <f>IFERROR(__xludf.DUMMYFUNCTION("""COMPUTED_VALUE"""),2.3333333333333335)</f>
        <v>2.333333333</v>
      </c>
      <c r="T761" s="30">
        <f>IFERROR(__xludf.DUMMYFUNCTION("""COMPUTED_VALUE"""),322.6883541295193)</f>
        <v>322.6883541</v>
      </c>
      <c r="U761" s="30">
        <f>IFERROR(__xludf.DUMMYFUNCTION("""COMPUTED_VALUE"""),0.7704193800949748)</f>
        <v>0.7704193801</v>
      </c>
      <c r="V761" s="30">
        <f>IFERROR(__xludf.DUMMYFUNCTION("""COMPUTED_VALUE"""),0.49432140469458613)</f>
        <v>0.4943214047</v>
      </c>
      <c r="W761" s="30">
        <f>IFERROR(__xludf.DUMMYFUNCTION("""COMPUTED_VALUE"""),1.1042582016919704)</f>
        <v>1.104258202</v>
      </c>
      <c r="X761" s="30">
        <f>IFERROR(__xludf.DUMMYFUNCTION("""COMPUTED_VALUE"""),2.2350406453971017)</f>
        <v>2.235040645</v>
      </c>
      <c r="Y761" s="30">
        <f>IFERROR(__xludf.DUMMYFUNCTION("""COMPUTED_VALUE"""),326.88792466874753)</f>
        <v>326.8879247</v>
      </c>
      <c r="Z761" s="30">
        <f>IFERROR(__xludf.DUMMYFUNCTION("""COMPUTED_VALUE"""),0.8233220568543677)</f>
        <v>0.8233220569</v>
      </c>
      <c r="AA761" s="30">
        <f>IFERROR(__xludf.DUMMYFUNCTION("""COMPUTED_VALUE"""),0.5465316260638111)</f>
        <v>0.5465316261</v>
      </c>
      <c r="AB761" s="30">
        <f>IFERROR(__xludf.DUMMYFUNCTION("""COMPUTED_VALUE"""),1.0733998495236716)</f>
        <v>1.07339985</v>
      </c>
      <c r="AC761" s="30">
        <f>IFERROR(__xludf.DUMMYFUNCTION("""COMPUTED_VALUE"""),2.294721738723628)</f>
        <v>2.294721739</v>
      </c>
      <c r="AD761" s="30">
        <f>IFERROR(__xludf.DUMMYFUNCTION("""COMPUTED_VALUE"""),0.6788965274503886)</f>
        <v>0.6788965275</v>
      </c>
      <c r="AE761" s="30">
        <f>IFERROR(__xludf.DUMMYFUNCTION("""COMPUTED_VALUE"""),0.5605807079939561)</f>
        <v>0.560580708</v>
      </c>
      <c r="AF761" s="30">
        <f>IFERROR(__xludf.DUMMYFUNCTION("""COMPUTED_VALUE"""),0.5629908554576174)</f>
        <v>0.5629908555</v>
      </c>
      <c r="AG761" s="30">
        <f>IFERROR(__xludf.DUMMYFUNCTION("""COMPUTED_VALUE"""),0.9316192846903758)</f>
        <v>0.9316192847</v>
      </c>
      <c r="AH761" s="30">
        <f>IFERROR(__xludf.DUMMYFUNCTION("""COMPUTED_VALUE"""),0.5698696646416368)</f>
        <v>0.5698696646</v>
      </c>
      <c r="AI761" s="30">
        <f>IFERROR(__xludf.DUMMYFUNCTION("""COMPUTED_VALUE"""),1.0948088047213886)</f>
        <v>1.094808805</v>
      </c>
      <c r="AJ761" s="30">
        <f>IFERROR(__xludf.DUMMYFUNCTION("""COMPUTED_VALUE"""),1.2979943467630877)</f>
        <v>1.297994347</v>
      </c>
      <c r="AK761" s="30">
        <f>IFERROR(__xludf.DUMMYFUNCTION("""COMPUTED_VALUE"""),1.4005213728008215)</f>
        <v>1.400521373</v>
      </c>
      <c r="AL761" s="30">
        <f>IFERROR(__xludf.DUMMYFUNCTION("""COMPUTED_VALUE"""),0.9520255766914406)</f>
        <v>0.9520255767</v>
      </c>
      <c r="AM761" s="30">
        <f>IFERROR(__xludf.DUMMYFUNCTION("""COMPUTED_VALUE"""),1.0439780315130547)</f>
        <v>1.043978032</v>
      </c>
      <c r="AN761" s="30">
        <f>IFERROR(__xludf.DUMMYFUNCTION("""COMPUTED_VALUE"""),0.7119555240568596)</f>
        <v>0.7119555241</v>
      </c>
      <c r="AO761" s="30">
        <f>IFERROR(__xludf.DUMMYFUNCTION("""COMPUTED_VALUE"""),0.6159749030853692)</f>
        <v>0.6159749031</v>
      </c>
      <c r="AP761" s="30">
        <f>IFERROR(__xludf.DUMMYFUNCTION("""COMPUTED_VALUE"""),0.6002303162949824)</f>
        <v>0.6002303163</v>
      </c>
      <c r="AQ761" s="30">
        <f>IFERROR(__xludf.DUMMYFUNCTION("""COMPUTED_VALUE"""),0.9544994516245786)</f>
        <v>0.9544994516</v>
      </c>
      <c r="AR761" s="30">
        <f>IFERROR(__xludf.DUMMYFUNCTION("""COMPUTED_VALUE"""),0.6081256992903138)</f>
        <v>0.6081256993</v>
      </c>
      <c r="AS761" s="30">
        <f>IFERROR(__xludf.DUMMYFUNCTION("""COMPUTED_VALUE"""),22.0)</f>
        <v>22</v>
      </c>
      <c r="AT761" s="30">
        <f>IFERROR(__xludf.DUMMYFUNCTION("""COMPUTED_VALUE"""),0.29064936145291087)</f>
        <v>0.2906493615</v>
      </c>
      <c r="AU761" s="30">
        <f>IFERROR(__xludf.DUMMYFUNCTION("""COMPUTED_VALUE"""),1.1479620263794306)</f>
        <v>1.147962026</v>
      </c>
      <c r="AV761" s="32">
        <f>IFERROR(__xludf.DUMMYFUNCTION("""COMPUTED_VALUE"""),14.858051749145261)</f>
        <v>14.85805175</v>
      </c>
      <c r="AW761" s="32">
        <f>IFERROR(__xludf.DUMMYFUNCTION("""COMPUTED_VALUE"""),-12.514095298461497)</f>
        <v>-12.5140953</v>
      </c>
      <c r="AX761" s="32">
        <f>IFERROR(__xludf.DUMMYFUNCTION("""COMPUTED_VALUE"""),11.53543170803222)</f>
        <v>11.53543171</v>
      </c>
      <c r="AY761" s="32">
        <f>IFERROR(__xludf.DUMMYFUNCTION("""COMPUTED_VALUE"""),-16.141242726382863)</f>
        <v>-16.14124273</v>
      </c>
      <c r="AZ761" s="30">
        <f>IFERROR(__xludf.DUMMYFUNCTION("""COMPUTED_VALUE"""),3.6271474279213667)</f>
        <v>3.627147428</v>
      </c>
      <c r="BA761" s="30">
        <f>IFERROR(__xludf.DUMMYFUNCTION("""COMPUTED_VALUE"""),3200.0)</f>
        <v>3200</v>
      </c>
    </row>
    <row r="762">
      <c r="A762" s="71" t="str">
        <f>IFERROR(__xludf.DUMMYFUNCTION("""COMPUTED_VALUE"""),"Contender")</f>
        <v>Contender</v>
      </c>
      <c r="B762" s="71" t="str">
        <f>IFERROR(__xludf.DUMMYFUNCTION("""COMPUTED_VALUE"""),"RSC003223")</f>
        <v>RSC003223</v>
      </c>
      <c r="C762" s="30" t="str">
        <f>IFERROR(__xludf.DUMMYFUNCTION("""COMPUTED_VALUE"""),"AZoroARK")</f>
        <v>AZoroARK</v>
      </c>
      <c r="D762" s="30" t="str">
        <f>IFERROR(__xludf.DUMMYFUNCTION("""COMPUTED_VALUE"""),"Cheese Pizza")</f>
        <v>Cheese Pizza</v>
      </c>
      <c r="E762" s="30">
        <f>IFERROR(__xludf.DUMMYFUNCTION("""COMPUTED_VALUE"""),33.0)</f>
        <v>33</v>
      </c>
      <c r="F762" s="30">
        <f>IFERROR(__xludf.DUMMYFUNCTION("""COMPUTED_VALUE"""),24.0)</f>
        <v>24</v>
      </c>
      <c r="G762" s="42">
        <f>IFERROR(__xludf.DUMMYFUNCTION("""COMPUTED_VALUE"""),9.0)</f>
        <v>9</v>
      </c>
      <c r="H762" s="42">
        <f>IFERROR(__xludf.DUMMYFUNCTION("""COMPUTED_VALUE"""),0.7272727272727273)</f>
        <v>0.7272727273</v>
      </c>
      <c r="I762" s="42">
        <f>IFERROR(__xludf.DUMMYFUNCTION("""COMPUTED_VALUE"""),0.3111111111111111)</f>
        <v>0.3111111111</v>
      </c>
      <c r="J762" s="30">
        <f>IFERROR(__xludf.DUMMYFUNCTION("""COMPUTED_VALUE"""),343.57575757575756)</f>
        <v>343.5757576</v>
      </c>
      <c r="K762" s="30">
        <f>IFERROR(__xludf.DUMMYFUNCTION("""COMPUTED_VALUE"""),0.8484848484848485)</f>
        <v>0.8484848485</v>
      </c>
      <c r="L762" s="30">
        <f>IFERROR(__xludf.DUMMYFUNCTION("""COMPUTED_VALUE"""),0.7272727272727273)</f>
        <v>0.7272727273</v>
      </c>
      <c r="M762" s="30">
        <f>IFERROR(__xludf.DUMMYFUNCTION("""COMPUTED_VALUE"""),1.0303030303030303)</f>
        <v>1.03030303</v>
      </c>
      <c r="N762" s="30">
        <f>IFERROR(__xludf.DUMMYFUNCTION("""COMPUTED_VALUE"""),2.727272727272727)</f>
        <v>2.727272727</v>
      </c>
      <c r="O762" s="30">
        <f>IFERROR(__xludf.DUMMYFUNCTION("""COMPUTED_VALUE"""),305.8686868686869)</f>
        <v>305.8686869</v>
      </c>
      <c r="P762" s="30">
        <f>IFERROR(__xludf.DUMMYFUNCTION("""COMPUTED_VALUE"""),0.606060606060606)</f>
        <v>0.6060606061</v>
      </c>
      <c r="Q762" s="30">
        <f>IFERROR(__xludf.DUMMYFUNCTION("""COMPUTED_VALUE"""),0.37373737373737387)</f>
        <v>0.3737373737</v>
      </c>
      <c r="R762" s="30">
        <f>IFERROR(__xludf.DUMMYFUNCTION("""COMPUTED_VALUE"""),1.2525252525252526)</f>
        <v>1.252525253</v>
      </c>
      <c r="S762" s="30">
        <f>IFERROR(__xludf.DUMMYFUNCTION("""COMPUTED_VALUE"""),1.9898989898989905)</f>
        <v>1.98989899</v>
      </c>
      <c r="T762" s="30">
        <f>IFERROR(__xludf.DUMMYFUNCTION("""COMPUTED_VALUE"""),324.2101049370292)</f>
        <v>324.2101049</v>
      </c>
      <c r="U762" s="30">
        <f>IFERROR(__xludf.DUMMYFUNCTION("""COMPUTED_VALUE"""),0.7787495976382551)</f>
        <v>0.7787495976</v>
      </c>
      <c r="V762" s="30">
        <f>IFERROR(__xludf.DUMMYFUNCTION("""COMPUTED_VALUE"""),0.5314988172975089)</f>
        <v>0.5314988173</v>
      </c>
      <c r="W762" s="30">
        <f>IFERROR(__xludf.DUMMYFUNCTION("""COMPUTED_VALUE"""),1.0726180986695257)</f>
        <v>1.072618099</v>
      </c>
      <c r="X762" s="30">
        <f>IFERROR(__xludf.DUMMYFUNCTION("""COMPUTED_VALUE"""),2.2237079545580847)</f>
        <v>2.223707955</v>
      </c>
      <c r="Y762" s="30">
        <f>IFERROR(__xludf.DUMMYFUNCTION("""COMPUTED_VALUE"""),328.77414662118537)</f>
        <v>328.7741466</v>
      </c>
      <c r="Z762" s="30">
        <f>IFERROR(__xludf.DUMMYFUNCTION("""COMPUTED_VALUE"""),0.8193639417480175)</f>
        <v>0.8193639417</v>
      </c>
      <c r="AA762" s="30">
        <f>IFERROR(__xludf.DUMMYFUNCTION("""COMPUTED_VALUE"""),0.5528088595384713)</f>
        <v>0.5528088595</v>
      </c>
      <c r="AB762" s="30">
        <f>IFERROR(__xludf.DUMMYFUNCTION("""COMPUTED_VALUE"""),1.0516759152443247)</f>
        <v>1.051675915</v>
      </c>
      <c r="AC762" s="30">
        <f>IFERROR(__xludf.DUMMYFUNCTION("""COMPUTED_VALUE"""),2.303483585263318)</f>
        <v>2.303483585</v>
      </c>
      <c r="AD762" s="30">
        <f>IFERROR(__xludf.DUMMYFUNCTION("""COMPUTED_VALUE"""),1.0450206048945407)</f>
        <v>1.045020605</v>
      </c>
      <c r="AE762" s="30">
        <f>IFERROR(__xludf.DUMMYFUNCTION("""COMPUTED_VALUE"""),1.035540869268307)</f>
        <v>1.035540869</v>
      </c>
      <c r="AF762" s="30">
        <f>IFERROR(__xludf.DUMMYFUNCTION("""COMPUTED_VALUE"""),1.3155952816673602)</f>
        <v>1.315595282</v>
      </c>
      <c r="AG762" s="30">
        <f>IFERROR(__xludf.DUMMYFUNCTION("""COMPUTED_VALUE"""),0.9796773087302955)</f>
        <v>0.9796773087</v>
      </c>
      <c r="AH762" s="30">
        <f>IFERROR(__xludf.DUMMYFUNCTION("""COMPUTED_VALUE"""),1.183977495963343)</f>
        <v>1.183977496</v>
      </c>
      <c r="AI762" s="30">
        <f>IFERROR(__xludf.DUMMYFUNCTION("""COMPUTED_VALUE"""),0.943427370741869)</f>
        <v>0.9434273707</v>
      </c>
      <c r="AJ762" s="30">
        <f>IFERROR(__xludf.DUMMYFUNCTION("""COMPUTED_VALUE"""),0.7782483713617703)</f>
        <v>0.7782483714</v>
      </c>
      <c r="AK762" s="30">
        <f>IFERROR(__xludf.DUMMYFUNCTION("""COMPUTED_VALUE"""),0.7031763036420318)</f>
        <v>0.7031763036</v>
      </c>
      <c r="AL762" s="30">
        <f>IFERROR(__xludf.DUMMYFUNCTION("""COMPUTED_VALUE"""),1.1677271286759785)</f>
        <v>1.167727129</v>
      </c>
      <c r="AM762" s="30">
        <f>IFERROR(__xludf.DUMMYFUNCTION("""COMPUTED_VALUE"""),0.8948562628559923)</f>
        <v>0.8948562629</v>
      </c>
      <c r="AN762" s="30">
        <f>IFERROR(__xludf.DUMMYFUNCTION("""COMPUTED_VALUE"""),1.1022317369133632)</f>
        <v>1.102231737</v>
      </c>
      <c r="AO762" s="30">
        <f>IFERROR(__xludf.DUMMYFUNCTION("""COMPUTED_VALUE"""),1.1323983066821937)</f>
        <v>1.132398307</v>
      </c>
      <c r="AP762" s="30">
        <f>IFERROR(__xludf.DUMMYFUNCTION("""COMPUTED_VALUE"""),1.4187262021517766)</f>
        <v>1.418726202</v>
      </c>
      <c r="AQ762" s="30">
        <f>IFERROR(__xludf.DUMMYFUNCTION("""COMPUTED_VALUE"""),0.983423677431384)</f>
        <v>0.9834236774</v>
      </c>
      <c r="AR762" s="30">
        <f>IFERROR(__xludf.DUMMYFUNCTION("""COMPUTED_VALUE"""),1.268283543974451)</f>
        <v>1.268283544</v>
      </c>
      <c r="AS762" s="30">
        <f>IFERROR(__xludf.DUMMYFUNCTION("""COMPUTED_VALUE"""),107.0)</f>
        <v>107</v>
      </c>
      <c r="AT762" s="30">
        <f>IFERROR(__xludf.DUMMYFUNCTION("""COMPUTED_VALUE"""),0.7153054516355195)</f>
        <v>0.7153054516</v>
      </c>
      <c r="AU762" s="30">
        <f>IFERROR(__xludf.DUMMYFUNCTION("""COMPUTED_VALUE"""),4.434863214504032)</f>
        <v>4.434863215</v>
      </c>
      <c r="AV762" s="32">
        <f>IFERROR(__xludf.DUMMYFUNCTION("""COMPUTED_VALUE"""),71.5318255320128)</f>
        <v>71.53182553</v>
      </c>
      <c r="AW762" s="32">
        <f>IFERROR(__xludf.DUMMYFUNCTION("""COMPUTED_VALUE"""),5.1402294310612735)</f>
        <v>5.140229431</v>
      </c>
      <c r="AX762" s="32">
        <f>IFERROR(__xludf.DUMMYFUNCTION("""COMPUTED_VALUE"""),55.02766956626269)</f>
        <v>55.02766957</v>
      </c>
      <c r="AY762" s="32">
        <f>IFERROR(__xludf.DUMMYFUNCTION("""COMPUTED_VALUE"""),2.379210236671157)</f>
        <v>2.379210237</v>
      </c>
      <c r="AZ762" s="30">
        <f>IFERROR(__xludf.DUMMYFUNCTION("""COMPUTED_VALUE"""),2.7610191943901166)</f>
        <v>2.761019194</v>
      </c>
      <c r="BA762" s="30">
        <f>IFERROR(__xludf.DUMMYFUNCTION("""COMPUTED_VALUE"""),3200.0)</f>
        <v>3200</v>
      </c>
    </row>
    <row r="763">
      <c r="A763" s="71" t="str">
        <f>IFERROR(__xludf.DUMMYFUNCTION("""COMPUTED_VALUE"""),"Contender")</f>
        <v>Contender</v>
      </c>
      <c r="B763" s="71" t="str">
        <f>IFERROR(__xludf.DUMMYFUNCTION("""COMPUTED_VALUE"""),"RSC007271")</f>
        <v>RSC007271</v>
      </c>
      <c r="C763" s="30" t="str">
        <f>IFERROR(__xludf.DUMMYFUNCTION("""COMPUTED_VALUE"""),"Darth. -.-")</f>
        <v>Darth. -.-</v>
      </c>
      <c r="D763" s="30" t="str">
        <f>IFERROR(__xludf.DUMMYFUNCTION("""COMPUTED_VALUE"""),"Toothpaste")</f>
        <v>Toothpaste</v>
      </c>
      <c r="E763" s="30">
        <f>IFERROR(__xludf.DUMMYFUNCTION("""COMPUTED_VALUE"""),28.0)</f>
        <v>28</v>
      </c>
      <c r="F763" s="30">
        <f>IFERROR(__xludf.DUMMYFUNCTION("""COMPUTED_VALUE"""),6.0)</f>
        <v>6</v>
      </c>
      <c r="G763" s="42">
        <f>IFERROR(__xludf.DUMMYFUNCTION("""COMPUTED_VALUE"""),22.0)</f>
        <v>22</v>
      </c>
      <c r="H763" s="42">
        <f>IFERROR(__xludf.DUMMYFUNCTION("""COMPUTED_VALUE"""),0.21428571428571427)</f>
        <v>0.2142857143</v>
      </c>
      <c r="I763" s="42">
        <f>IFERROR(__xludf.DUMMYFUNCTION("""COMPUTED_VALUE"""),0.32692307692307687)</f>
        <v>0.3269230769</v>
      </c>
      <c r="J763" s="30">
        <f>IFERROR(__xludf.DUMMYFUNCTION("""COMPUTED_VALUE"""),292.82142857142856)</f>
        <v>292.8214286</v>
      </c>
      <c r="K763" s="30">
        <f>IFERROR(__xludf.DUMMYFUNCTION("""COMPUTED_VALUE"""),0.6071428571428571)</f>
        <v>0.6071428571</v>
      </c>
      <c r="L763" s="30">
        <f>IFERROR(__xludf.DUMMYFUNCTION("""COMPUTED_VALUE"""),0.21428571428571427)</f>
        <v>0.2142857143</v>
      </c>
      <c r="M763" s="30">
        <f>IFERROR(__xludf.DUMMYFUNCTION("""COMPUTED_VALUE"""),0.9642857142857143)</f>
        <v>0.9642857143</v>
      </c>
      <c r="N763" s="30">
        <f>IFERROR(__xludf.DUMMYFUNCTION("""COMPUTED_VALUE"""),1.8571428571428572)</f>
        <v>1.857142857</v>
      </c>
      <c r="O763" s="30">
        <f>IFERROR(__xludf.DUMMYFUNCTION("""COMPUTED_VALUE"""),350.8214285714285)</f>
        <v>350.8214286</v>
      </c>
      <c r="P763" s="30">
        <f>IFERROR(__xludf.DUMMYFUNCTION("""COMPUTED_VALUE"""),1.0238095238095235)</f>
        <v>1.023809524</v>
      </c>
      <c r="Q763" s="30">
        <f>IFERROR(__xludf.DUMMYFUNCTION("""COMPUTED_VALUE"""),0.5595238095238096)</f>
        <v>0.5595238095</v>
      </c>
      <c r="R763" s="30">
        <f>IFERROR(__xludf.DUMMYFUNCTION("""COMPUTED_VALUE"""),1.0595238095238095)</f>
        <v>1.05952381</v>
      </c>
      <c r="S763" s="30">
        <f>IFERROR(__xludf.DUMMYFUNCTION("""COMPUTED_VALUE"""),2.2142857142857144)</f>
        <v>2.214285714</v>
      </c>
      <c r="T763" s="30">
        <f>IFERROR(__xludf.DUMMYFUNCTION("""COMPUTED_VALUE"""),321.7932898060647)</f>
        <v>321.7932898</v>
      </c>
      <c r="U763" s="30">
        <f>IFERROR(__xludf.DUMMYFUNCTION("""COMPUTED_VALUE"""),0.7692739321567921)</f>
        <v>0.7692739322</v>
      </c>
      <c r="V763" s="30">
        <f>IFERROR(__xludf.DUMMYFUNCTION("""COMPUTED_VALUE"""),0.5043394772193189)</f>
        <v>0.5043394772</v>
      </c>
      <c r="W763" s="30">
        <f>IFERROR(__xludf.DUMMYFUNCTION("""COMPUTED_VALUE"""),1.0634423906944555)</f>
        <v>1.063442391</v>
      </c>
      <c r="X763" s="30">
        <f>IFERROR(__xludf.DUMMYFUNCTION("""COMPUTED_VALUE"""),2.2056218721021805)</f>
        <v>2.205621872</v>
      </c>
      <c r="Y763" s="30">
        <f>IFERROR(__xludf.DUMMYFUNCTION("""COMPUTED_VALUE"""),317.75980478823016)</f>
        <v>317.7598048</v>
      </c>
      <c r="Z763" s="30">
        <f>IFERROR(__xludf.DUMMYFUNCTION("""COMPUTED_VALUE"""),0.7730837515718508)</f>
        <v>0.7730837516</v>
      </c>
      <c r="AA763" s="30">
        <f>IFERROR(__xludf.DUMMYFUNCTION("""COMPUTED_VALUE"""),0.516192740526267)</f>
        <v>0.5161927405</v>
      </c>
      <c r="AB763" s="30">
        <f>IFERROR(__xludf.DUMMYFUNCTION("""COMPUTED_VALUE"""),1.0311071363910114)</f>
        <v>1.031107136</v>
      </c>
      <c r="AC763" s="30">
        <f>IFERROR(__xludf.DUMMYFUNCTION("""COMPUTED_VALUE"""),2.2212661143923014)</f>
        <v>2.221266114</v>
      </c>
      <c r="AD763" s="30">
        <f>IFERROR(__xludf.DUMMYFUNCTION("""COMPUTED_VALUE"""),0.9215181535203243)</f>
        <v>0.9215181535</v>
      </c>
      <c r="AE763" s="30">
        <f>IFERROR(__xludf.DUMMYFUNCTION("""COMPUTED_VALUE"""),0.7853519827682329)</f>
        <v>0.7853519828</v>
      </c>
      <c r="AF763" s="30">
        <f>IFERROR(__xludf.DUMMYFUNCTION("""COMPUTED_VALUE"""),0.41512733028218585)</f>
        <v>0.4151273303</v>
      </c>
      <c r="AG763" s="30">
        <f>IFERROR(__xludf.DUMMYFUNCTION("""COMPUTED_VALUE"""),0.9351944916808748)</f>
        <v>0.9351944917</v>
      </c>
      <c r="AH763" s="30">
        <f>IFERROR(__xludf.DUMMYFUNCTION("""COMPUTED_VALUE"""),0.8360740053205818)</f>
        <v>0.8360740053</v>
      </c>
      <c r="AI763" s="30">
        <f>IFERROR(__xludf.DUMMYFUNCTION("""COMPUTED_VALUE"""),1.0902074085598807)</f>
        <v>1.090207409</v>
      </c>
      <c r="AJ763" s="30">
        <f>IFERROR(__xludf.DUMMYFUNCTION("""COMPUTED_VALUE"""),1.3308777030037884)</f>
        <v>1.330877703</v>
      </c>
      <c r="AK763" s="30">
        <f>IFERROR(__xludf.DUMMYFUNCTION("""COMPUTED_VALUE"""),1.1094190219031637)</f>
        <v>1.109419022</v>
      </c>
      <c r="AL763" s="30">
        <f>IFERROR(__xludf.DUMMYFUNCTION("""COMPUTED_VALUE"""),0.9963151918665881)</f>
        <v>0.9963151919</v>
      </c>
      <c r="AM763" s="30">
        <f>IFERROR(__xludf.DUMMYFUNCTION("""COMPUTED_VALUE"""),1.0039280723015664)</f>
        <v>1.003928072</v>
      </c>
      <c r="AN763" s="30">
        <f>IFERROR(__xludf.DUMMYFUNCTION("""COMPUTED_VALUE"""),0.9394058361308304)</f>
        <v>0.9394058361</v>
      </c>
      <c r="AO763" s="30">
        <f>IFERROR(__xludf.DUMMYFUNCTION("""COMPUTED_VALUE"""),0.8103003189396819)</f>
        <v>0.8103003189</v>
      </c>
      <c r="AP763" s="30">
        <f>IFERROR(__xludf.DUMMYFUNCTION("""COMPUTED_VALUE"""),0.41801754170543415)</f>
        <v>0.4180175417</v>
      </c>
      <c r="AQ763" s="30">
        <f>IFERROR(__xludf.DUMMYFUNCTION("""COMPUTED_VALUE"""),0.9204101854951294)</f>
        <v>0.9204101855</v>
      </c>
      <c r="AR763" s="30">
        <f>IFERROR(__xludf.DUMMYFUNCTION("""COMPUTED_VALUE"""),0.8636406989921263)</f>
        <v>0.863640699</v>
      </c>
      <c r="AS763" s="30">
        <f>IFERROR(__xludf.DUMMYFUNCTION("""COMPUTED_VALUE"""),45.0)</f>
        <v>45</v>
      </c>
      <c r="AT763" s="30">
        <f>IFERROR(__xludf.DUMMYFUNCTION("""COMPUTED_VALUE"""),0.26726881538953084)</f>
        <v>0.2672688154</v>
      </c>
      <c r="AU763" s="30">
        <f>IFERROR(__xludf.DUMMYFUNCTION("""COMPUTED_VALUE"""),1.882803661885334)</f>
        <v>1.882803662</v>
      </c>
      <c r="AV763" s="32">
        <f>IFERROR(__xludf.DUMMYFUNCTION("""COMPUTED_VALUE"""),27.5284200484296)</f>
        <v>27.52842005</v>
      </c>
      <c r="AW763" s="32">
        <f>IFERROR(__xludf.DUMMYFUNCTION("""COMPUTED_VALUE"""),-5.424088714105682)</f>
        <v>-5.424088714</v>
      </c>
      <c r="AX763" s="32">
        <f>IFERROR(__xludf.DUMMYFUNCTION("""COMPUTED_VALUE"""),39.5611764860798)</f>
        <v>39.56117649</v>
      </c>
      <c r="AY763" s="32">
        <f>IFERROR(__xludf.DUMMYFUNCTION("""COMPUTED_VALUE"""),-2.957381136932279)</f>
        <v>-2.957381137</v>
      </c>
      <c r="AZ763" s="30">
        <f>IFERROR(__xludf.DUMMYFUNCTION("""COMPUTED_VALUE"""),2.4667075771734033)</f>
        <v>2.466707577</v>
      </c>
      <c r="BA763" s="30">
        <f>IFERROR(__xludf.DUMMYFUNCTION("""COMPUTED_VALUE"""),3200.0)</f>
        <v>3200</v>
      </c>
    </row>
    <row r="764">
      <c r="A764" s="71" t="str">
        <f>IFERROR(__xludf.DUMMYFUNCTION("""COMPUTED_VALUE"""),"Contender")</f>
        <v>Contender</v>
      </c>
      <c r="B764" s="71" t="str">
        <f>IFERROR(__xludf.DUMMYFUNCTION("""COMPUTED_VALUE"""),"RSC007203")</f>
        <v>RSC007203</v>
      </c>
      <c r="C764" s="30" t="str">
        <f>IFERROR(__xludf.DUMMYFUNCTION("""COMPUTED_VALUE"""),"CoachJimmy_TECT")</f>
        <v>CoachJimmy_TECT</v>
      </c>
      <c r="D764" s="30" t="str">
        <f>IFERROR(__xludf.DUMMYFUNCTION("""COMPUTED_VALUE"""),"Celestial Cider")</f>
        <v>Celestial Cider</v>
      </c>
      <c r="E764" s="30">
        <f>IFERROR(__xludf.DUMMYFUNCTION("""COMPUTED_VALUE"""),27.0)</f>
        <v>27</v>
      </c>
      <c r="F764" s="30">
        <f>IFERROR(__xludf.DUMMYFUNCTION("""COMPUTED_VALUE"""),13.0)</f>
        <v>13</v>
      </c>
      <c r="G764" s="42">
        <f>IFERROR(__xludf.DUMMYFUNCTION("""COMPUTED_VALUE"""),14.0)</f>
        <v>14</v>
      </c>
      <c r="H764" s="42">
        <f>IFERROR(__xludf.DUMMYFUNCTION("""COMPUTED_VALUE"""),0.48148148148148145)</f>
        <v>0.4814814815</v>
      </c>
      <c r="I764" s="42">
        <f>IFERROR(__xludf.DUMMYFUNCTION("""COMPUTED_VALUE"""),0.29577464788732394)</f>
        <v>0.2957746479</v>
      </c>
      <c r="J764" s="30">
        <f>IFERROR(__xludf.DUMMYFUNCTION("""COMPUTED_VALUE"""),359.7037037037037)</f>
        <v>359.7037037</v>
      </c>
      <c r="K764" s="30">
        <f>IFERROR(__xludf.DUMMYFUNCTION("""COMPUTED_VALUE"""),0.7777777777777778)</f>
        <v>0.7777777778</v>
      </c>
      <c r="L764" s="30">
        <f>IFERROR(__xludf.DUMMYFUNCTION("""COMPUTED_VALUE"""),0.48148148148148145)</f>
        <v>0.4814814815</v>
      </c>
      <c r="M764" s="30">
        <f>IFERROR(__xludf.DUMMYFUNCTION("""COMPUTED_VALUE"""),1.4444444444444444)</f>
        <v>1.444444444</v>
      </c>
      <c r="N764" s="30">
        <f>IFERROR(__xludf.DUMMYFUNCTION("""COMPUTED_VALUE"""),2.6296296296296298)</f>
        <v>2.62962963</v>
      </c>
      <c r="O764" s="30">
        <f>IFERROR(__xludf.DUMMYFUNCTION("""COMPUTED_VALUE"""),323.0617283950618)</f>
        <v>323.0617284</v>
      </c>
      <c r="P764" s="30">
        <f>IFERROR(__xludf.DUMMYFUNCTION("""COMPUTED_VALUE"""),0.8765432098765431)</f>
        <v>0.8765432099</v>
      </c>
      <c r="Q764" s="30">
        <f>IFERROR(__xludf.DUMMYFUNCTION("""COMPUTED_VALUE"""),0.5925925925925926)</f>
        <v>0.5925925926</v>
      </c>
      <c r="R764" s="30">
        <f>IFERROR(__xludf.DUMMYFUNCTION("""COMPUTED_VALUE"""),0.9382716049382714)</f>
        <v>0.9382716049</v>
      </c>
      <c r="S764" s="30">
        <f>IFERROR(__xludf.DUMMYFUNCTION("""COMPUTED_VALUE"""),2.246913580246914)</f>
        <v>2.24691358</v>
      </c>
      <c r="T764" s="30">
        <f>IFERROR(__xludf.DUMMYFUNCTION("""COMPUTED_VALUE"""),306.46715740652195)</f>
        <v>306.4671574</v>
      </c>
      <c r="U764" s="30">
        <f>IFERROR(__xludf.DUMMYFUNCTION("""COMPUTED_VALUE"""),0.7183409976183536)</f>
        <v>0.7183409976</v>
      </c>
      <c r="V764" s="30">
        <f>IFERROR(__xludf.DUMMYFUNCTION("""COMPUTED_VALUE"""),0.443750757913735)</f>
        <v>0.4437507579</v>
      </c>
      <c r="W764" s="30">
        <f>IFERROR(__xludf.DUMMYFUNCTION("""COMPUTED_VALUE"""),1.0214057757529715)</f>
        <v>1.021405776</v>
      </c>
      <c r="X764" s="30">
        <f>IFERROR(__xludf.DUMMYFUNCTION("""COMPUTED_VALUE"""),2.144419050068165)</f>
        <v>2.14441905</v>
      </c>
      <c r="Y764" s="30">
        <f>IFERROR(__xludf.DUMMYFUNCTION("""COMPUTED_VALUE"""),328.6084496621458)</f>
        <v>328.6084497</v>
      </c>
      <c r="Z764" s="30">
        <f>IFERROR(__xludf.DUMMYFUNCTION("""COMPUTED_VALUE"""),0.8481501400790356)</f>
        <v>0.8481501401</v>
      </c>
      <c r="AA764" s="30">
        <f>IFERROR(__xludf.DUMMYFUNCTION("""COMPUTED_VALUE"""),0.528979782578068)</f>
        <v>0.5289797826</v>
      </c>
      <c r="AB764" s="30">
        <f>IFERROR(__xludf.DUMMYFUNCTION("""COMPUTED_VALUE"""),1.0593171435698143)</f>
        <v>1.059317144</v>
      </c>
      <c r="AC764" s="30">
        <f>IFERROR(__xludf.DUMMYFUNCTION("""COMPUTED_VALUE"""),2.2837245388733542)</f>
        <v>2.283724539</v>
      </c>
      <c r="AD764" s="30">
        <f>IFERROR(__xludf.DUMMYFUNCTION("""COMPUTED_VALUE"""),1.094627067786991)</f>
        <v>1.094627068</v>
      </c>
      <c r="AE764" s="30">
        <f>IFERROR(__xludf.DUMMYFUNCTION("""COMPUTED_VALUE"""),0.9170284139849343)</f>
        <v>0.917028414</v>
      </c>
      <c r="AF764" s="30">
        <f>IFERROR(__xludf.DUMMYFUNCTION("""COMPUTED_VALUE"""),0.9102077193478059)</f>
        <v>0.9102077193</v>
      </c>
      <c r="AG764" s="30">
        <f>IFERROR(__xludf.DUMMYFUNCTION("""COMPUTED_VALUE"""),1.3635618503980609)</f>
        <v>1.36356185</v>
      </c>
      <c r="AH764" s="30">
        <f>IFERROR(__xludf.DUMMYFUNCTION("""COMPUTED_VALUE"""),1.1514653299328839)</f>
        <v>1.15146533</v>
      </c>
      <c r="AI764" s="30">
        <f>IFERROR(__xludf.DUMMYFUNCTION("""COMPUTED_VALUE"""),1.0541479587208344)</f>
        <v>1.054147959</v>
      </c>
      <c r="AJ764" s="30">
        <f>IFERROR(__xludf.DUMMYFUNCTION("""COMPUTED_VALUE"""),1.2202327484895141)</f>
        <v>1.220232748</v>
      </c>
      <c r="AK764" s="30">
        <f>IFERROR(__xludf.DUMMYFUNCTION("""COMPUTED_VALUE"""),1.335417646109784)</f>
        <v>1.335417646</v>
      </c>
      <c r="AL764" s="30">
        <f>IFERROR(__xludf.DUMMYFUNCTION("""COMPUTED_VALUE"""),0.9186080862393653)</f>
        <v>0.9186080862</v>
      </c>
      <c r="AM764" s="30">
        <f>IFERROR(__xludf.DUMMYFUNCTION("""COMPUTED_VALUE"""),1.0477959427638412)</f>
        <v>1.047795943</v>
      </c>
      <c r="AN764" s="30">
        <f>IFERROR(__xludf.DUMMYFUNCTION("""COMPUTED_VALUE"""),1.1539720989193512)</f>
        <v>1.153972099</v>
      </c>
      <c r="AO764" s="30">
        <f>IFERROR(__xludf.DUMMYFUNCTION("""COMPUTED_VALUE"""),1.0380317811253443)</f>
        <v>1.038031781</v>
      </c>
      <c r="AP764" s="30">
        <f>IFERROR(__xludf.DUMMYFUNCTION("""COMPUTED_VALUE"""),0.9392492912393705)</f>
        <v>0.9392492912</v>
      </c>
      <c r="AQ764" s="30">
        <f>IFERROR(__xludf.DUMMYFUNCTION("""COMPUTED_VALUE"""),1.3787214301243913)</f>
        <v>1.37872143</v>
      </c>
      <c r="AR764" s="30">
        <f>IFERROR(__xludf.DUMMYFUNCTION("""COMPUTED_VALUE"""),1.2228758615358597)</f>
        <v>1.222875862</v>
      </c>
      <c r="AS764" s="30">
        <f>IFERROR(__xludf.DUMMYFUNCTION("""COMPUTED_VALUE"""),65.0)</f>
        <v>65</v>
      </c>
      <c r="AT764" s="30">
        <f>IFERROR(__xludf.DUMMYFUNCTION("""COMPUTED_VALUE"""),0.4649509895205337)</f>
        <v>0.4649509895</v>
      </c>
      <c r="AU764" s="30">
        <f>IFERROR(__xludf.DUMMYFUNCTION("""COMPUTED_VALUE"""),3.2993463347683187)</f>
        <v>3.299346335</v>
      </c>
      <c r="AV764" s="32">
        <f>IFERROR(__xludf.DUMMYFUNCTION("""COMPUTED_VALUE"""),51.95288990678711)</f>
        <v>51.95288991</v>
      </c>
      <c r="AW764" s="32">
        <f>IFERROR(__xludf.DUMMYFUNCTION("""COMPUTED_VALUE"""),2.1327962074947355)</f>
        <v>2.132796207</v>
      </c>
      <c r="AX764" s="32">
        <f>IFERROR(__xludf.DUMMYFUNCTION("""COMPUTED_VALUE"""),67.84502490892515)</f>
        <v>67.84502491</v>
      </c>
      <c r="AY764" s="32">
        <f>IFERROR(__xludf.DUMMYFUNCTION("""COMPUTED_VALUE"""),4.2074239519145165)</f>
        <v>4.207423952</v>
      </c>
      <c r="AZ764" s="30">
        <f>IFERROR(__xludf.DUMMYFUNCTION("""COMPUTED_VALUE"""),2.074627744419781)</f>
        <v>2.074627744</v>
      </c>
      <c r="BA764" s="30">
        <f>IFERROR(__xludf.DUMMYFUNCTION("""COMPUTED_VALUE"""),3200.0)</f>
        <v>3200</v>
      </c>
    </row>
    <row r="765">
      <c r="A765" s="71" t="str">
        <f>IFERROR(__xludf.DUMMYFUNCTION("""COMPUTED_VALUE"""),"Contender")</f>
        <v>Contender</v>
      </c>
      <c r="B765" s="71" t="str">
        <f>IFERROR(__xludf.DUMMYFUNCTION("""COMPUTED_VALUE"""),"RSC000086")</f>
        <v>RSC000086</v>
      </c>
      <c r="C765" s="30" t="str">
        <f>IFERROR(__xludf.DUMMYFUNCTION("""COMPUTED_VALUE"""),"Stale Popcorn")</f>
        <v>Stale Popcorn</v>
      </c>
      <c r="D765" s="30" t="str">
        <f>IFERROR(__xludf.DUMMYFUNCTION("""COMPUTED_VALUE"""),"Toothpaste")</f>
        <v>Toothpaste</v>
      </c>
      <c r="E765" s="30">
        <f>IFERROR(__xludf.DUMMYFUNCTION("""COMPUTED_VALUE"""),32.0)</f>
        <v>32</v>
      </c>
      <c r="F765" s="30">
        <f>IFERROR(__xludf.DUMMYFUNCTION("""COMPUTED_VALUE"""),9.0)</f>
        <v>9</v>
      </c>
      <c r="G765" s="42">
        <f>IFERROR(__xludf.DUMMYFUNCTION("""COMPUTED_VALUE"""),23.0)</f>
        <v>23</v>
      </c>
      <c r="H765" s="42">
        <f>IFERROR(__xludf.DUMMYFUNCTION("""COMPUTED_VALUE"""),0.28125)</f>
        <v>0.28125</v>
      </c>
      <c r="I765" s="42">
        <f>IFERROR(__xludf.DUMMYFUNCTION("""COMPUTED_VALUE"""),0.2727272727272727)</f>
        <v>0.2727272727</v>
      </c>
      <c r="J765" s="30">
        <f>IFERROR(__xludf.DUMMYFUNCTION("""COMPUTED_VALUE"""),291.875)</f>
        <v>291.875</v>
      </c>
      <c r="K765" s="30">
        <f>IFERROR(__xludf.DUMMYFUNCTION("""COMPUTED_VALUE"""),0.5625)</f>
        <v>0.5625</v>
      </c>
      <c r="L765" s="30">
        <f>IFERROR(__xludf.DUMMYFUNCTION("""COMPUTED_VALUE"""),0.25)</f>
        <v>0.25</v>
      </c>
      <c r="M765" s="30">
        <f>IFERROR(__xludf.DUMMYFUNCTION("""COMPUTED_VALUE"""),1.125)</f>
        <v>1.125</v>
      </c>
      <c r="N765" s="30">
        <f>IFERROR(__xludf.DUMMYFUNCTION("""COMPUTED_VALUE"""),2.0625)</f>
        <v>2.0625</v>
      </c>
      <c r="O765" s="30">
        <f>IFERROR(__xludf.DUMMYFUNCTION("""COMPUTED_VALUE"""),323.01041666666674)</f>
        <v>323.0104167</v>
      </c>
      <c r="P765" s="30">
        <f>IFERROR(__xludf.DUMMYFUNCTION("""COMPUTED_VALUE"""),0.8749999999999999)</f>
        <v>0.875</v>
      </c>
      <c r="Q765" s="30">
        <f>IFERROR(__xludf.DUMMYFUNCTION("""COMPUTED_VALUE"""),0.4791666666666667)</f>
        <v>0.4791666667</v>
      </c>
      <c r="R765" s="30">
        <f>IFERROR(__xludf.DUMMYFUNCTION("""COMPUTED_VALUE"""),0.8958333333333333)</f>
        <v>0.8958333333</v>
      </c>
      <c r="S765" s="30">
        <f>IFERROR(__xludf.DUMMYFUNCTION("""COMPUTED_VALUE"""),2.3125)</f>
        <v>2.3125</v>
      </c>
      <c r="T765" s="30">
        <f>IFERROR(__xludf.DUMMYFUNCTION("""COMPUTED_VALUE"""),326.0006337764254)</f>
        <v>326.0006338</v>
      </c>
      <c r="U765" s="30">
        <f>IFERROR(__xludf.DUMMYFUNCTION("""COMPUTED_VALUE"""),0.7951800637628208)</f>
        <v>0.7951800638</v>
      </c>
      <c r="V765" s="30">
        <f>IFERROR(__xludf.DUMMYFUNCTION("""COMPUTED_VALUE"""),0.5176533356942863)</f>
        <v>0.5176533357</v>
      </c>
      <c r="W765" s="30">
        <f>IFERROR(__xludf.DUMMYFUNCTION("""COMPUTED_VALUE"""),1.0823930474673273)</f>
        <v>1.082393047</v>
      </c>
      <c r="X765" s="30">
        <f>IFERROR(__xludf.DUMMYFUNCTION("""COMPUTED_VALUE"""),2.198699546518313)</f>
        <v>2.198699547</v>
      </c>
      <c r="Y765" s="30">
        <f>IFERROR(__xludf.DUMMYFUNCTION("""COMPUTED_VALUE"""),320.31520398906014)</f>
        <v>320.315204</v>
      </c>
      <c r="Z765" s="30">
        <f>IFERROR(__xludf.DUMMYFUNCTION("""COMPUTED_VALUE"""),0.7760745592296829)</f>
        <v>0.7760745592</v>
      </c>
      <c r="AA765" s="30">
        <f>IFERROR(__xludf.DUMMYFUNCTION("""COMPUTED_VALUE"""),0.5187386736124436)</f>
        <v>0.5187386736</v>
      </c>
      <c r="AB765" s="30">
        <f>IFERROR(__xludf.DUMMYFUNCTION("""COMPUTED_VALUE"""),1.034942182912875)</f>
        <v>1.034942183</v>
      </c>
      <c r="AC765" s="30">
        <f>IFERROR(__xludf.DUMMYFUNCTION("""COMPUTED_VALUE"""),2.242822573810665)</f>
        <v>2.242822574</v>
      </c>
      <c r="AD765" s="30">
        <f>IFERROR(__xludf.DUMMYFUNCTION("""COMPUTED_VALUE"""),0.9112118199983056)</f>
        <v>0.91121182</v>
      </c>
      <c r="AE765" s="30">
        <f>IFERROR(__xludf.DUMMYFUNCTION("""COMPUTED_VALUE"""),0.7248014940192434)</f>
        <v>0.724801494</v>
      </c>
      <c r="AF765" s="30">
        <f>IFERROR(__xludf.DUMMYFUNCTION("""COMPUTED_VALUE"""),0.4819382334828157)</f>
        <v>0.4819382335</v>
      </c>
      <c r="AG765" s="30">
        <f>IFERROR(__xludf.DUMMYFUNCTION("""COMPUTED_VALUE"""),1.0870172446094086)</f>
        <v>1.087017245</v>
      </c>
      <c r="AH765" s="30">
        <f>IFERROR(__xludf.DUMMYFUNCTION("""COMPUTED_VALUE"""),0.9196001610130541)</f>
        <v>0.919600161</v>
      </c>
      <c r="AI765" s="30">
        <f>IFERROR(__xludf.DUMMYFUNCTION("""COMPUTED_VALUE"""),0.990827572710152)</f>
        <v>0.9908275727</v>
      </c>
      <c r="AJ765" s="30">
        <f>IFERROR(__xludf.DUMMYFUNCTION("""COMPUTED_VALUE"""),1.1003796999882873)</f>
        <v>1.1003797</v>
      </c>
      <c r="AK765" s="30">
        <f>IFERROR(__xludf.DUMMYFUNCTION("""COMPUTED_VALUE"""),0.9256516545459896)</f>
        <v>0.9256516545</v>
      </c>
      <c r="AL765" s="30">
        <f>IFERROR(__xludf.DUMMYFUNCTION("""COMPUTED_VALUE"""),0.8276414334233558)</f>
        <v>0.8276414334</v>
      </c>
      <c r="AM765" s="30">
        <f>IFERROR(__xludf.DUMMYFUNCTION("""COMPUTED_VALUE"""),1.051758073840463)</f>
        <v>1.051758074</v>
      </c>
      <c r="AN765" s="30">
        <f>IFERROR(__xludf.DUMMYFUNCTION("""COMPUTED_VALUE"""),0.9363695811415066)</f>
        <v>0.9363695811</v>
      </c>
      <c r="AO765" s="30">
        <f>IFERROR(__xludf.DUMMYFUNCTION("""COMPUTED_VALUE"""),0.7507194131352936)</f>
        <v>0.7507194131</v>
      </c>
      <c r="AP765" s="30">
        <f>IFERROR(__xludf.DUMMYFUNCTION("""COMPUTED_VALUE"""),0.4876871319896732)</f>
        <v>0.487687132</v>
      </c>
      <c r="AQ765" s="30">
        <f>IFERROR(__xludf.DUMMYFUNCTION("""COMPUTED_VALUE"""),1.0738118830776509)</f>
        <v>1.073811883</v>
      </c>
      <c r="AR765" s="30">
        <f>IFERROR(__xludf.DUMMYFUNCTION("""COMPUTED_VALUE"""),0.9591394301306787)</f>
        <v>0.9591394301</v>
      </c>
      <c r="AS765" s="30">
        <f>IFERROR(__xludf.DUMMYFUNCTION("""COMPUTED_VALUE"""),43.0)</f>
        <v>43</v>
      </c>
      <c r="AT765" s="30">
        <f>IFERROR(__xludf.DUMMYFUNCTION("""COMPUTED_VALUE"""),0.27000831593783425)</f>
        <v>0.2700083159</v>
      </c>
      <c r="AU765" s="30">
        <f>IFERROR(__xludf.DUMMYFUNCTION("""COMPUTED_VALUE"""),2.177097811536996)</f>
        <v>2.177097812</v>
      </c>
      <c r="AV765" s="32">
        <f>IFERROR(__xludf.DUMMYFUNCTION("""COMPUTED_VALUE"""),32.60273141599949)</f>
        <v>32.60273142</v>
      </c>
      <c r="AW765" s="32">
        <f>IFERROR(__xludf.DUMMYFUNCTION("""COMPUTED_VALUE"""),-4.1110201146548135)</f>
        <v>-4.111020115</v>
      </c>
      <c r="AX765" s="32">
        <f>IFERROR(__xludf.DUMMYFUNCTION("""COMPUTED_VALUE"""),46.0916975438361)</f>
        <v>46.09169754</v>
      </c>
      <c r="AY765" s="32">
        <f>IFERROR(__xludf.DUMMYFUNCTION("""COMPUTED_VALUE"""),-2.283701348779673)</f>
        <v>-2.283701349</v>
      </c>
      <c r="AZ765" s="30">
        <f>IFERROR(__xludf.DUMMYFUNCTION("""COMPUTED_VALUE"""),1.8273187658751406)</f>
        <v>1.827318766</v>
      </c>
      <c r="BA765" s="30">
        <f>IFERROR(__xludf.DUMMYFUNCTION("""COMPUTED_VALUE"""),3200.0)</f>
        <v>3200</v>
      </c>
    </row>
    <row r="766">
      <c r="A766" s="71" t="str">
        <f>IFERROR(__xludf.DUMMYFUNCTION("""COMPUTED_VALUE"""),"Contender")</f>
        <v>Contender</v>
      </c>
      <c r="B766" s="71" t="str">
        <f>IFERROR(__xludf.DUMMYFUNCTION("""COMPUTED_VALUE"""),"RSC007885")</f>
        <v>RSC007885</v>
      </c>
      <c r="C766" s="30" t="str">
        <f>IFERROR(__xludf.DUMMYFUNCTION("""COMPUTED_VALUE"""),"Larkspur")</f>
        <v>Larkspur</v>
      </c>
      <c r="D766" s="30" t="str">
        <f>IFERROR(__xludf.DUMMYFUNCTION("""COMPUTED_VALUE"""),"Rheas")</f>
        <v>Rheas</v>
      </c>
      <c r="E766" s="30">
        <f>IFERROR(__xludf.DUMMYFUNCTION("""COMPUTED_VALUE"""),36.0)</f>
        <v>36</v>
      </c>
      <c r="F766" s="30">
        <f>IFERROR(__xludf.DUMMYFUNCTION("""COMPUTED_VALUE"""),28.0)</f>
        <v>28</v>
      </c>
      <c r="G766" s="42">
        <f>IFERROR(__xludf.DUMMYFUNCTION("""COMPUTED_VALUE"""),8.0)</f>
        <v>8</v>
      </c>
      <c r="H766" s="42">
        <f>IFERROR(__xludf.DUMMYFUNCTION("""COMPUTED_VALUE"""),0.7777777777777778)</f>
        <v>0.7777777778</v>
      </c>
      <c r="I766" s="42">
        <f>IFERROR(__xludf.DUMMYFUNCTION("""COMPUTED_VALUE"""),0.3877551020408163)</f>
        <v>0.387755102</v>
      </c>
      <c r="J766" s="30">
        <f>IFERROR(__xludf.DUMMYFUNCTION("""COMPUTED_VALUE"""),378.52777777777777)</f>
        <v>378.5277778</v>
      </c>
      <c r="K766" s="30">
        <f>IFERROR(__xludf.DUMMYFUNCTION("""COMPUTED_VALUE"""),1.0555555555555556)</f>
        <v>1.055555556</v>
      </c>
      <c r="L766" s="30">
        <f>IFERROR(__xludf.DUMMYFUNCTION("""COMPUTED_VALUE"""),0.7222222222222222)</f>
        <v>0.7222222222</v>
      </c>
      <c r="M766" s="30">
        <f>IFERROR(__xludf.DUMMYFUNCTION("""COMPUTED_VALUE"""),1.2222222222222223)</f>
        <v>1.222222222</v>
      </c>
      <c r="N766" s="30">
        <f>IFERROR(__xludf.DUMMYFUNCTION("""COMPUTED_VALUE"""),2.7222222222222223)</f>
        <v>2.722222222</v>
      </c>
      <c r="O766" s="30">
        <f>IFERROR(__xludf.DUMMYFUNCTION("""COMPUTED_VALUE"""),272.50000000000006)</f>
        <v>272.5</v>
      </c>
      <c r="P766" s="30">
        <f>IFERROR(__xludf.DUMMYFUNCTION("""COMPUTED_VALUE"""),0.48148148148148145)</f>
        <v>0.4814814815</v>
      </c>
      <c r="Q766" s="30">
        <f>IFERROR(__xludf.DUMMYFUNCTION("""COMPUTED_VALUE"""),0.3148148148148148)</f>
        <v>0.3148148148</v>
      </c>
      <c r="R766" s="30">
        <f>IFERROR(__xludf.DUMMYFUNCTION("""COMPUTED_VALUE"""),1.0740740740740737)</f>
        <v>1.074074074</v>
      </c>
      <c r="S766" s="30">
        <f>IFERROR(__xludf.DUMMYFUNCTION("""COMPUTED_VALUE"""),1.8333333333333333)</f>
        <v>1.833333333</v>
      </c>
      <c r="T766" s="30">
        <f>IFERROR(__xludf.DUMMYFUNCTION("""COMPUTED_VALUE"""),321.7841828640536)</f>
        <v>321.7841829</v>
      </c>
      <c r="U766" s="30">
        <f>IFERROR(__xludf.DUMMYFUNCTION("""COMPUTED_VALUE"""),0.779156023319923)</f>
        <v>0.7791560233</v>
      </c>
      <c r="V766" s="30">
        <f>IFERROR(__xludf.DUMMYFUNCTION("""COMPUTED_VALUE"""),0.4974215370061881)</f>
        <v>0.497421537</v>
      </c>
      <c r="W766" s="30">
        <f>IFERROR(__xludf.DUMMYFUNCTION("""COMPUTED_VALUE"""),1.0821675327931262)</f>
        <v>1.082167533</v>
      </c>
      <c r="X766" s="30">
        <f>IFERROR(__xludf.DUMMYFUNCTION("""COMPUTED_VALUE"""),2.246810488910887)</f>
        <v>2.246810489</v>
      </c>
      <c r="Y766" s="30">
        <f>IFERROR(__xludf.DUMMYFUNCTION("""COMPUTED_VALUE"""),330.2647125060126)</f>
        <v>330.2647125</v>
      </c>
      <c r="Z766" s="30">
        <f>IFERROR(__xludf.DUMMYFUNCTION("""COMPUTED_VALUE"""),0.8247339107788938)</f>
        <v>0.8247339108</v>
      </c>
      <c r="AA766" s="30">
        <f>IFERROR(__xludf.DUMMYFUNCTION("""COMPUTED_VALUE"""),0.5383366220402378)</f>
        <v>0.538336622</v>
      </c>
      <c r="AB766" s="30">
        <f>IFERROR(__xludf.DUMMYFUNCTION("""COMPUTED_VALUE"""),1.095254004858268)</f>
        <v>1.095254005</v>
      </c>
      <c r="AC766" s="30">
        <f>IFERROR(__xludf.DUMMYFUNCTION("""COMPUTED_VALUE"""),2.327791784295009)</f>
        <v>2.327791784</v>
      </c>
      <c r="AD766" s="30">
        <f>IFERROR(__xludf.DUMMYFUNCTION("""COMPUTED_VALUE"""),1.1461344898325658)</f>
        <v>1.14613449</v>
      </c>
      <c r="AE766" s="30">
        <f>IFERROR(__xludf.DUMMYFUNCTION("""COMPUTED_VALUE"""),1.279874080306301)</f>
        <v>1.27987408</v>
      </c>
      <c r="AF766" s="30">
        <f>IFERROR(__xludf.DUMMYFUNCTION("""COMPUTED_VALUE"""),1.3415810714958938)</f>
        <v>1.341581071</v>
      </c>
      <c r="AG766" s="30">
        <f>IFERROR(__xludf.DUMMYFUNCTION("""COMPUTED_VALUE"""),1.1159258188518424)</f>
        <v>1.115925819</v>
      </c>
      <c r="AH766" s="30">
        <f>IFERROR(__xludf.DUMMYFUNCTION("""COMPUTED_VALUE"""),1.1694440373010724)</f>
        <v>1.169444037</v>
      </c>
      <c r="AI766" s="30">
        <f>IFERROR(__xludf.DUMMYFUNCTION("""COMPUTED_VALUE"""),0.8468408781768028)</f>
        <v>0.8468408782</v>
      </c>
      <c r="AJ766" s="30">
        <f>IFERROR(__xludf.DUMMYFUNCTION("""COMPUTED_VALUE"""),0.6179525885328159)</f>
        <v>0.6179525885</v>
      </c>
      <c r="AK766" s="30">
        <f>IFERROR(__xludf.DUMMYFUNCTION("""COMPUTED_VALUE"""),0.6328934141243233)</f>
        <v>0.6328934141</v>
      </c>
      <c r="AL766" s="30">
        <f>IFERROR(__xludf.DUMMYFUNCTION("""COMPUTED_VALUE"""),0.9925210667722004)</f>
        <v>0.9925210668</v>
      </c>
      <c r="AM766" s="30">
        <f>IFERROR(__xludf.DUMMYFUNCTION("""COMPUTED_VALUE"""),0.8159715037746769)</f>
        <v>0.8159715038</v>
      </c>
      <c r="AN766" s="30">
        <f>IFERROR(__xludf.DUMMYFUNCTION("""COMPUTED_VALUE"""),1.2143619588118306)</f>
        <v>1.214361959</v>
      </c>
      <c r="AO766" s="30">
        <f>IFERROR(__xludf.DUMMYFUNCTION("""COMPUTED_VALUE"""),1.4087574172415387)</f>
        <v>1.408757417</v>
      </c>
      <c r="AP766" s="30">
        <f>IFERROR(__xludf.DUMMYFUNCTION("""COMPUTED_VALUE"""),1.408873936859056)</f>
        <v>1.408873937</v>
      </c>
      <c r="AQ766" s="30">
        <f>IFERROR(__xludf.DUMMYFUNCTION("""COMPUTED_VALUE"""),1.166610440874485)</f>
        <v>1.166610441</v>
      </c>
      <c r="AR766" s="30">
        <f>IFERROR(__xludf.DUMMYFUNCTION("""COMPUTED_VALUE"""),1.265934870744869)</f>
        <v>1.265934871</v>
      </c>
      <c r="AS766" s="30">
        <f>IFERROR(__xludf.DUMMYFUNCTION("""COMPUTED_VALUE"""),97.0)</f>
        <v>97</v>
      </c>
      <c r="AT766" s="30">
        <f>IFERROR(__xludf.DUMMYFUNCTION("""COMPUTED_VALUE"""),0.7185455136541756)</f>
        <v>0.7185455137</v>
      </c>
      <c r="AU766" s="30">
        <f>IFERROR(__xludf.DUMMYFUNCTION("""COMPUTED_VALUE"""),5.013844077029006)</f>
        <v>5.013844077</v>
      </c>
      <c r="AV766" s="32">
        <f>IFERROR(__xludf.DUMMYFUNCTION("""COMPUTED_VALUE"""),81.51479385059251)</f>
        <v>81.51479385</v>
      </c>
      <c r="AW766" s="32">
        <f>IFERROR(__xludf.DUMMYFUNCTION("""COMPUTED_VALUE"""),9.640599831584346)</f>
        <v>9.640599832</v>
      </c>
      <c r="AX766" s="32">
        <f>IFERROR(__xludf.DUMMYFUNCTION("""COMPUTED_VALUE"""),83.8413270806391)</f>
        <v>83.84132708</v>
      </c>
      <c r="AY766" s="32">
        <f>IFERROR(__xludf.DUMMYFUNCTION("""COMPUTED_VALUE"""),11.373518214470158)</f>
        <v>11.37351821</v>
      </c>
      <c r="AZ766" s="30">
        <f>IFERROR(__xludf.DUMMYFUNCTION("""COMPUTED_VALUE"""),1.7329183828858117)</f>
        <v>1.732918383</v>
      </c>
      <c r="BA766" s="30">
        <f>IFERROR(__xludf.DUMMYFUNCTION("""COMPUTED_VALUE"""),3200.0)</f>
        <v>3200</v>
      </c>
    </row>
    <row r="767">
      <c r="A767" s="71" t="str">
        <f>IFERROR(__xludf.DUMMYFUNCTION("""COMPUTED_VALUE"""),"Contender")</f>
        <v>Contender</v>
      </c>
      <c r="B767" s="71" t="str">
        <f>IFERROR(__xludf.DUMMYFUNCTION("""COMPUTED_VALUE"""),"RSC007513")</f>
        <v>RSC007513</v>
      </c>
      <c r="C767" s="30" t="str">
        <f>IFERROR(__xludf.DUMMYFUNCTION("""COMPUTED_VALUE"""),"Russ")</f>
        <v>Russ</v>
      </c>
      <c r="D767" s="30" t="str">
        <f>IFERROR(__xludf.DUMMYFUNCTION("""COMPUTED_VALUE"""),"Toothpaste")</f>
        <v>Toothpaste</v>
      </c>
      <c r="E767" s="30">
        <f>IFERROR(__xludf.DUMMYFUNCTION("""COMPUTED_VALUE"""),5.0)</f>
        <v>5</v>
      </c>
      <c r="F767" s="30">
        <f>IFERROR(__xludf.DUMMYFUNCTION("""COMPUTED_VALUE"""),2.0)</f>
        <v>2</v>
      </c>
      <c r="G767" s="42">
        <f>IFERROR(__xludf.DUMMYFUNCTION("""COMPUTED_VALUE"""),3.0)</f>
        <v>3</v>
      </c>
      <c r="H767" s="42">
        <f>IFERROR(__xludf.DUMMYFUNCTION("""COMPUTED_VALUE"""),0.4)</f>
        <v>0.4</v>
      </c>
      <c r="I767" s="42">
        <f>IFERROR(__xludf.DUMMYFUNCTION("""COMPUTED_VALUE"""),0.25)</f>
        <v>0.25</v>
      </c>
      <c r="J767" s="30">
        <f>IFERROR(__xludf.DUMMYFUNCTION("""COMPUTED_VALUE"""),313.4)</f>
        <v>313.4</v>
      </c>
      <c r="K767" s="30">
        <f>IFERROR(__xludf.DUMMYFUNCTION("""COMPUTED_VALUE"""),0.6)</f>
        <v>0.6</v>
      </c>
      <c r="L767" s="30">
        <f>IFERROR(__xludf.DUMMYFUNCTION("""COMPUTED_VALUE"""),0.8)</f>
        <v>0.8</v>
      </c>
      <c r="M767" s="30">
        <f>IFERROR(__xludf.DUMMYFUNCTION("""COMPUTED_VALUE"""),1.0)</f>
        <v>1</v>
      </c>
      <c r="N767" s="30">
        <f>IFERROR(__xludf.DUMMYFUNCTION("""COMPUTED_VALUE"""),2.4)</f>
        <v>2.4</v>
      </c>
      <c r="O767" s="30">
        <f>IFERROR(__xludf.DUMMYFUNCTION("""COMPUTED_VALUE"""),335.19999999999993)</f>
        <v>335.2</v>
      </c>
      <c r="P767" s="30">
        <f>IFERROR(__xludf.DUMMYFUNCTION("""COMPUTED_VALUE"""),0.7333333333333333)</f>
        <v>0.7333333333</v>
      </c>
      <c r="Q767" s="30">
        <f>IFERROR(__xludf.DUMMYFUNCTION("""COMPUTED_VALUE"""),0.3333333333333333)</f>
        <v>0.3333333333</v>
      </c>
      <c r="R767" s="30">
        <f>IFERROR(__xludf.DUMMYFUNCTION("""COMPUTED_VALUE"""),1.2)</f>
        <v>1.2</v>
      </c>
      <c r="S767" s="30">
        <f>IFERROR(__xludf.DUMMYFUNCTION("""COMPUTED_VALUE"""),1.8)</f>
        <v>1.8</v>
      </c>
      <c r="T767" s="30">
        <f>IFERROR(__xludf.DUMMYFUNCTION("""COMPUTED_VALUE"""),302.1565173894206)</f>
        <v>302.1565174</v>
      </c>
      <c r="U767" s="30">
        <f>IFERROR(__xludf.DUMMYFUNCTION("""COMPUTED_VALUE"""),0.6287210209145695)</f>
        <v>0.6287210209</v>
      </c>
      <c r="V767" s="30">
        <f>IFERROR(__xludf.DUMMYFUNCTION("""COMPUTED_VALUE"""),0.35987730907085747)</f>
        <v>0.3598773091</v>
      </c>
      <c r="W767" s="30">
        <f>IFERROR(__xludf.DUMMYFUNCTION("""COMPUTED_VALUE"""),1.170539111426208)</f>
        <v>1.170539111</v>
      </c>
      <c r="X767" s="30">
        <f>IFERROR(__xludf.DUMMYFUNCTION("""COMPUTED_VALUE"""),1.9614224467288985)</f>
        <v>1.961422447</v>
      </c>
      <c r="Y767" s="30">
        <f>IFERROR(__xludf.DUMMYFUNCTION("""COMPUTED_VALUE"""),324.426434643612)</f>
        <v>324.4264346</v>
      </c>
      <c r="Z767" s="30">
        <f>IFERROR(__xludf.DUMMYFUNCTION("""COMPUTED_VALUE"""),0.7994345123216091)</f>
        <v>0.7994345123</v>
      </c>
      <c r="AA767" s="30">
        <f>IFERROR(__xludf.DUMMYFUNCTION("""COMPUTED_VALUE"""),0.508345379232476)</f>
        <v>0.5083453792</v>
      </c>
      <c r="AB767" s="30">
        <f>IFERROR(__xludf.DUMMYFUNCTION("""COMPUTED_VALUE"""),1.0248871361613296)</f>
        <v>1.024887136</v>
      </c>
      <c r="AC767" s="30">
        <f>IFERROR(__xludf.DUMMYFUNCTION("""COMPUTED_VALUE"""),2.448141452335001)</f>
        <v>2.448141452</v>
      </c>
      <c r="AD767" s="30">
        <f>IFERROR(__xludf.DUMMYFUNCTION("""COMPUTED_VALUE"""),0.9660125271366226)</f>
        <v>0.9660125271</v>
      </c>
      <c r="AE767" s="30">
        <f>IFERROR(__xludf.DUMMYFUNCTION("""COMPUTED_VALUE"""),0.7505305197014344)</f>
        <v>0.7505305197</v>
      </c>
      <c r="AF767" s="30">
        <f>IFERROR(__xludf.DUMMYFUNCTION("""COMPUTED_VALUE"""),1.5737331992824997)</f>
        <v>1.573733199</v>
      </c>
      <c r="AG767" s="30">
        <f>IFERROR(__xludf.DUMMYFUNCTION("""COMPUTED_VALUE"""),0.9757171933540474)</f>
        <v>0.9757171934</v>
      </c>
      <c r="AH767" s="30">
        <f>IFERROR(__xludf.DUMMYFUNCTION("""COMPUTED_VALUE"""),0.9803355103157603)</f>
        <v>0.9803355103</v>
      </c>
      <c r="AI767" s="30">
        <f>IFERROR(__xludf.DUMMYFUNCTION("""COMPUTED_VALUE"""),1.10935882798779)</f>
        <v>1.109358828</v>
      </c>
      <c r="AJ767" s="30">
        <f>IFERROR(__xludf.DUMMYFUNCTION("""COMPUTED_VALUE"""),1.1663890802737746)</f>
        <v>1.16638908</v>
      </c>
      <c r="AK767" s="30">
        <f>IFERROR(__xludf.DUMMYFUNCTION("""COMPUTED_VALUE"""),0.9262415965984179)</f>
        <v>0.9262415966</v>
      </c>
      <c r="AL767" s="30">
        <f>IFERROR(__xludf.DUMMYFUNCTION("""COMPUTED_VALUE"""),1.025168649459219)</f>
        <v>1.025168649</v>
      </c>
      <c r="AM767" s="30">
        <f>IFERROR(__xludf.DUMMYFUNCTION("""COMPUTED_VALUE"""),0.9177013360899863)</f>
        <v>0.9177013361</v>
      </c>
      <c r="AN767" s="30">
        <f>IFERROR(__xludf.DUMMYFUNCTION("""COMPUTED_VALUE"""),1.0054243314081306)</f>
        <v>1.005424331</v>
      </c>
      <c r="AO767" s="30">
        <f>IFERROR(__xludf.DUMMYFUNCTION("""COMPUTED_VALUE"""),0.8007673740109797)</f>
        <v>0.800767374</v>
      </c>
      <c r="AP767" s="30">
        <f>IFERROR(__xludf.DUMMYFUNCTION("""COMPUTED_VALUE"""),1.5605988223669542)</f>
        <v>1.560598822</v>
      </c>
      <c r="AQ767" s="30">
        <f>IFERROR(__xludf.DUMMYFUNCTION("""COMPUTED_VALUE"""),0.9544994516245786)</f>
        <v>0.9544994516</v>
      </c>
      <c r="AR767" s="30">
        <f>IFERROR(__xludf.DUMMYFUNCTION("""COMPUTED_VALUE"""),1.116089518697517)</f>
        <v>1.116089519</v>
      </c>
      <c r="AS767" s="30">
        <f>IFERROR(__xludf.DUMMYFUNCTION("""COMPUTED_VALUE"""),10.0)</f>
        <v>10</v>
      </c>
      <c r="AT767" s="30">
        <f>IFERROR(__xludf.DUMMYFUNCTION("""COMPUTED_VALUE"""),0.46409098458579207)</f>
        <v>0.4640909846</v>
      </c>
      <c r="AU767" s="30">
        <f>IFERROR(__xludf.DUMMYFUNCTION("""COMPUTED_VALUE"""),3.6936293433026868)</f>
        <v>3.693629343</v>
      </c>
      <c r="AV767" s="32">
        <f>IFERROR(__xludf.DUMMYFUNCTION("""COMPUTED_VALUE"""),58.75124031441065)</f>
        <v>58.75124031</v>
      </c>
      <c r="AW767" s="32">
        <f>IFERROR(__xludf.DUMMYFUNCTION("""COMPUTED_VALUE"""),2.7536774978832823)</f>
        <v>2.753677498</v>
      </c>
      <c r="AX767" s="32">
        <f>IFERROR(__xludf.DUMMYFUNCTION("""COMPUTED_VALUE"""),68.97738418314812)</f>
        <v>68.97738418</v>
      </c>
      <c r="AY767" s="32">
        <f>IFERROR(__xludf.DUMMYFUNCTION("""COMPUTED_VALUE"""),4.466324369877385)</f>
        <v>4.46632437</v>
      </c>
      <c r="AZ767" s="30">
        <f>IFERROR(__xludf.DUMMYFUNCTION("""COMPUTED_VALUE"""),1.7126468719941026)</f>
        <v>1.712646872</v>
      </c>
      <c r="BA767" s="30">
        <f>IFERROR(__xludf.DUMMYFUNCTION("""COMPUTED_VALUE"""),3200.0)</f>
        <v>3200</v>
      </c>
    </row>
    <row r="768">
      <c r="A768" s="71" t="str">
        <f>IFERROR(__xludf.DUMMYFUNCTION("""COMPUTED_VALUE"""),"Contender")</f>
        <v>Contender</v>
      </c>
      <c r="B768" s="71" t="str">
        <f>IFERROR(__xludf.DUMMYFUNCTION("""COMPUTED_VALUE"""),"RSC006024")</f>
        <v>RSC006024</v>
      </c>
      <c r="C768" s="30" t="str">
        <f>IFERROR(__xludf.DUMMYFUNCTION("""COMPUTED_VALUE"""),"DrizzyDaDizzy")</f>
        <v>DrizzyDaDizzy</v>
      </c>
      <c r="D768" s="30"/>
      <c r="E768" s="30">
        <f>IFERROR(__xludf.DUMMYFUNCTION("""COMPUTED_VALUE"""),7.0)</f>
        <v>7</v>
      </c>
      <c r="F768" s="30">
        <f>IFERROR(__xludf.DUMMYFUNCTION("""COMPUTED_VALUE"""),2.0)</f>
        <v>2</v>
      </c>
      <c r="G768" s="42">
        <f>IFERROR(__xludf.DUMMYFUNCTION("""COMPUTED_VALUE"""),5.0)</f>
        <v>5</v>
      </c>
      <c r="H768" s="42">
        <f>IFERROR(__xludf.DUMMYFUNCTION("""COMPUTED_VALUE"""),0.2857142857142857)</f>
        <v>0.2857142857</v>
      </c>
      <c r="I768" s="42">
        <f>IFERROR(__xludf.DUMMYFUNCTION("""COMPUTED_VALUE"""),0.6)</f>
        <v>0.6</v>
      </c>
      <c r="J768" s="30">
        <f>IFERROR(__xludf.DUMMYFUNCTION("""COMPUTED_VALUE"""),287.14285714285717)</f>
        <v>287.1428571</v>
      </c>
      <c r="K768" s="30">
        <f>IFERROR(__xludf.DUMMYFUNCTION("""COMPUTED_VALUE"""),0.8571428571428571)</f>
        <v>0.8571428571</v>
      </c>
      <c r="L768" s="30">
        <f>IFERROR(__xludf.DUMMYFUNCTION("""COMPUTED_VALUE"""),0.0)</f>
        <v>0</v>
      </c>
      <c r="M768" s="30">
        <f>IFERROR(__xludf.DUMMYFUNCTION("""COMPUTED_VALUE"""),1.1428571428571428)</f>
        <v>1.142857143</v>
      </c>
      <c r="N768" s="30">
        <f>IFERROR(__xludf.DUMMYFUNCTION("""COMPUTED_VALUE"""),1.4285714285714286)</f>
        <v>1.428571429</v>
      </c>
      <c r="O768" s="30">
        <f>IFERROR(__xludf.DUMMYFUNCTION("""COMPUTED_VALUE"""),341.85714285714283)</f>
        <v>341.8571429</v>
      </c>
      <c r="P768" s="30">
        <f>IFERROR(__xludf.DUMMYFUNCTION("""COMPUTED_VALUE"""),1.0)</f>
        <v>1</v>
      </c>
      <c r="Q768" s="30">
        <f>IFERROR(__xludf.DUMMYFUNCTION("""COMPUTED_VALUE"""),0.7619047619047619)</f>
        <v>0.7619047619</v>
      </c>
      <c r="R768" s="30">
        <f>IFERROR(__xludf.DUMMYFUNCTION("""COMPUTED_VALUE"""),1.0)</f>
        <v>1</v>
      </c>
      <c r="S768" s="30">
        <f>IFERROR(__xludf.DUMMYFUNCTION("""COMPUTED_VALUE"""),2.4761904761904767)</f>
        <v>2.476190476</v>
      </c>
      <c r="T768" s="30">
        <f>IFERROR(__xludf.DUMMYFUNCTION("""COMPUTED_VALUE"""),326.4536878996613)</f>
        <v>326.4536879</v>
      </c>
      <c r="U768" s="30">
        <f>IFERROR(__xludf.DUMMYFUNCTION("""COMPUTED_VALUE"""),0.8071993327245429)</f>
        <v>0.8071993327</v>
      </c>
      <c r="V768" s="30">
        <f>IFERROR(__xludf.DUMMYFUNCTION("""COMPUTED_VALUE"""),0.5127497722735818)</f>
        <v>0.5127497723</v>
      </c>
      <c r="W768" s="30">
        <f>IFERROR(__xludf.DUMMYFUNCTION("""COMPUTED_VALUE"""),1.1066065315014897)</f>
        <v>1.106606532</v>
      </c>
      <c r="X768" s="30">
        <f>IFERROR(__xludf.DUMMYFUNCTION("""COMPUTED_VALUE"""),2.2561456491428484)</f>
        <v>2.256145649</v>
      </c>
      <c r="Y768" s="30">
        <f>IFERROR(__xludf.DUMMYFUNCTION("""COMPUTED_VALUE"""),303.04581751741534)</f>
        <v>303.0458175</v>
      </c>
      <c r="Z768" s="30">
        <f>IFERROR(__xludf.DUMMYFUNCTION("""COMPUTED_VALUE"""),0.6734367203671593)</f>
        <v>0.6734367204</v>
      </c>
      <c r="AA768" s="30">
        <f>IFERROR(__xludf.DUMMYFUNCTION("""COMPUTED_VALUE"""),0.45367550153964714)</f>
        <v>0.4536755015</v>
      </c>
      <c r="AB768" s="30">
        <f>IFERROR(__xludf.DUMMYFUNCTION("""COMPUTED_VALUE"""),1.0398542512921598)</f>
        <v>1.039854251</v>
      </c>
      <c r="AC768" s="30">
        <f>IFERROR(__xludf.DUMMYFUNCTION("""COMPUTED_VALUE"""),2.114597258656549)</f>
        <v>2.114597259</v>
      </c>
      <c r="AD768" s="30">
        <f>IFERROR(__xludf.DUMMYFUNCTION("""COMPUTED_VALUE"""),0.9475229174755257)</f>
        <v>0.9475229175</v>
      </c>
      <c r="AE768" s="30">
        <f>IFERROR(__xludf.DUMMYFUNCTION("""COMPUTED_VALUE"""),1.2727890107856619)</f>
        <v>1.272789011</v>
      </c>
      <c r="AF768" s="30">
        <f>IFERROR(__xludf.DUMMYFUNCTION("""COMPUTED_VALUE"""),0.0)</f>
        <v>0</v>
      </c>
      <c r="AG768" s="30">
        <f>IFERROR(__xludf.DUMMYFUNCTION("""COMPUTED_VALUE"""),1.099055123770459)</f>
        <v>1.099055124</v>
      </c>
      <c r="AH768" s="30">
        <f>IFERROR(__xludf.DUMMYFUNCTION("""COMPUTED_VALUE"""),0.6755761281365853)</f>
        <v>0.6755761281</v>
      </c>
      <c r="AI768" s="30">
        <f>IFERROR(__xludf.DUMMYFUNCTION("""COMPUTED_VALUE"""),1.0471841964983895)</f>
        <v>1.047184196</v>
      </c>
      <c r="AJ768" s="30">
        <f>IFERROR(__xludf.DUMMYFUNCTION("""COMPUTED_VALUE"""),1.2388513709800728)</f>
        <v>1.238851371</v>
      </c>
      <c r="AK768" s="30">
        <f>IFERROR(__xludf.DUMMYFUNCTION("""COMPUTED_VALUE"""),1.4859192594594492)</f>
        <v>1.485919259</v>
      </c>
      <c r="AL768" s="30">
        <f>IFERROR(__xludf.DUMMYFUNCTION("""COMPUTED_VALUE"""),0.9036635620098487)</f>
        <v>0.903663562</v>
      </c>
      <c r="AM768" s="30">
        <f>IFERROR(__xludf.DUMMYFUNCTION("""COMPUTED_VALUE"""),1.0975313039436205)</f>
        <v>1.097531304</v>
      </c>
      <c r="AN768" s="30">
        <f>IFERROR(__xludf.DUMMYFUNCTION("""COMPUTED_VALUE"""),0.9211883061948869)</f>
        <v>0.9211883062</v>
      </c>
      <c r="AO768" s="30">
        <f>IFERROR(__xludf.DUMMYFUNCTION("""COMPUTED_VALUE"""),1.1439533914442568)</f>
        <v>1.143953391</v>
      </c>
      <c r="AP768" s="30">
        <f>IFERROR(__xludf.DUMMYFUNCTION("""COMPUTED_VALUE"""),0.0)</f>
        <v>0</v>
      </c>
      <c r="AQ768" s="30">
        <f>IFERROR(__xludf.DUMMYFUNCTION("""COMPUTED_VALUE"""),1.0908565161423756)</f>
        <v>1.090856516</v>
      </c>
      <c r="AR768" s="30">
        <f>IFERROR(__xludf.DUMMYFUNCTION("""COMPUTED_VALUE"""),0.6643389992247125)</f>
        <v>0.6643389992</v>
      </c>
      <c r="AS768" s="30">
        <f>IFERROR(__xludf.DUMMYFUNCTION("""COMPUTED_VALUE"""),16.0)</f>
        <v>16</v>
      </c>
      <c r="AT768" s="30">
        <f>IFERROR(__xludf.DUMMYFUNCTION("""COMPUTED_VALUE"""),0.3920926190615662)</f>
        <v>0.3920926191</v>
      </c>
      <c r="AU768" s="30">
        <f>IFERROR(__xludf.DUMMYFUNCTION("""COMPUTED_VALUE"""),1.5294957917104766)</f>
        <v>1.529495792</v>
      </c>
      <c r="AV768" s="32">
        <f>IFERROR(__xludf.DUMMYFUNCTION("""COMPUTED_VALUE"""),21.436575735512715)</f>
        <v>21.43657574</v>
      </c>
      <c r="AW768" s="32">
        <f>IFERROR(__xludf.DUMMYFUNCTION("""COMPUTED_VALUE"""),-7.897930690569477)</f>
        <v>-7.897930691</v>
      </c>
      <c r="AX768" s="32">
        <f>IFERROR(__xludf.DUMMYFUNCTION("""COMPUTED_VALUE"""),25.245379163909043)</f>
        <v>25.24537916</v>
      </c>
      <c r="AY768" s="32">
        <f>IFERROR(__xludf.DUMMYFUNCTION("""COMPUTED_VALUE"""),-6.209564398130382)</f>
        <v>-6.209564398</v>
      </c>
      <c r="AZ768" s="30">
        <f>IFERROR(__xludf.DUMMYFUNCTION("""COMPUTED_VALUE"""),1.6883662924390945)</f>
        <v>1.688366292</v>
      </c>
      <c r="BA768" s="30">
        <f>IFERROR(__xludf.DUMMYFUNCTION("""COMPUTED_VALUE"""),3200.0)</f>
        <v>3200</v>
      </c>
    </row>
    <row r="769">
      <c r="A769" s="71" t="str">
        <f>IFERROR(__xludf.DUMMYFUNCTION("""COMPUTED_VALUE"""),"Contender")</f>
        <v>Contender</v>
      </c>
      <c r="B769" s="71" t="str">
        <f>IFERROR(__xludf.DUMMYFUNCTION("""COMPUTED_VALUE"""),"RSC007515")</f>
        <v>RSC007515</v>
      </c>
      <c r="C769" s="30" t="str">
        <f>IFERROR(__xludf.DUMMYFUNCTION("""COMPUTED_VALUE"""),"superstrikzz")</f>
        <v>superstrikzz</v>
      </c>
      <c r="D769" s="30" t="str">
        <f>IFERROR(__xludf.DUMMYFUNCTION("""COMPUTED_VALUE"""),"Clover")</f>
        <v>Clover</v>
      </c>
      <c r="E769" s="30">
        <f>IFERROR(__xludf.DUMMYFUNCTION("""COMPUTED_VALUE"""),35.0)</f>
        <v>35</v>
      </c>
      <c r="F769" s="30">
        <f>IFERROR(__xludf.DUMMYFUNCTION("""COMPUTED_VALUE"""),20.0)</f>
        <v>20</v>
      </c>
      <c r="G769" s="42">
        <f>IFERROR(__xludf.DUMMYFUNCTION("""COMPUTED_VALUE"""),15.0)</f>
        <v>15</v>
      </c>
      <c r="H769" s="42">
        <f>IFERROR(__xludf.DUMMYFUNCTION("""COMPUTED_VALUE"""),0.5714285714285714)</f>
        <v>0.5714285714</v>
      </c>
      <c r="I769" s="42">
        <f>IFERROR(__xludf.DUMMYFUNCTION("""COMPUTED_VALUE"""),0.3469387755102041)</f>
        <v>0.3469387755</v>
      </c>
      <c r="J769" s="30">
        <f>IFERROR(__xludf.DUMMYFUNCTION("""COMPUTED_VALUE"""),377.65714285714284)</f>
        <v>377.6571429</v>
      </c>
      <c r="K769" s="30">
        <f>IFERROR(__xludf.DUMMYFUNCTION("""COMPUTED_VALUE"""),0.9714285714285714)</f>
        <v>0.9714285714</v>
      </c>
      <c r="L769" s="30">
        <f>IFERROR(__xludf.DUMMYFUNCTION("""COMPUTED_VALUE"""),0.7142857142857143)</f>
        <v>0.7142857143</v>
      </c>
      <c r="M769" s="30">
        <f>IFERROR(__xludf.DUMMYFUNCTION("""COMPUTED_VALUE"""),1.0)</f>
        <v>1</v>
      </c>
      <c r="N769" s="30">
        <f>IFERROR(__xludf.DUMMYFUNCTION("""COMPUTED_VALUE"""),2.8)</f>
        <v>2.8</v>
      </c>
      <c r="O769" s="30">
        <f>IFERROR(__xludf.DUMMYFUNCTION("""COMPUTED_VALUE"""),312.2857142857143)</f>
        <v>312.2857143</v>
      </c>
      <c r="P769" s="30">
        <f>IFERROR(__xludf.DUMMYFUNCTION("""COMPUTED_VALUE"""),0.6666666666666666)</f>
        <v>0.6666666667</v>
      </c>
      <c r="Q769" s="30">
        <f>IFERROR(__xludf.DUMMYFUNCTION("""COMPUTED_VALUE"""),0.4380952380952382)</f>
        <v>0.4380952381</v>
      </c>
      <c r="R769" s="30">
        <f>IFERROR(__xludf.DUMMYFUNCTION("""COMPUTED_VALUE"""),1.1523809523809525)</f>
        <v>1.152380952</v>
      </c>
      <c r="S769" s="30">
        <f>IFERROR(__xludf.DUMMYFUNCTION("""COMPUTED_VALUE"""),2.257142857142857)</f>
        <v>2.257142857</v>
      </c>
      <c r="T769" s="30">
        <f>IFERROR(__xludf.DUMMYFUNCTION("""COMPUTED_VALUE"""),318.6070831078885)</f>
        <v>318.6070831</v>
      </c>
      <c r="U769" s="30">
        <f>IFERROR(__xludf.DUMMYFUNCTION("""COMPUTED_VALUE"""),0.7410504320369856)</f>
        <v>0.741050432</v>
      </c>
      <c r="V769" s="30">
        <f>IFERROR(__xludf.DUMMYFUNCTION("""COMPUTED_VALUE"""),0.5108004991725933)</f>
        <v>0.5108004992</v>
      </c>
      <c r="W769" s="30">
        <f>IFERROR(__xludf.DUMMYFUNCTION("""COMPUTED_VALUE"""),1.0893027242275122)</f>
        <v>1.089302724</v>
      </c>
      <c r="X769" s="30">
        <f>IFERROR(__xludf.DUMMYFUNCTION("""COMPUTED_VALUE"""),2.1818374090437707)</f>
        <v>2.181837409</v>
      </c>
      <c r="Y769" s="30">
        <f>IFERROR(__xludf.DUMMYFUNCTION("""COMPUTED_VALUE"""),326.88940974090303)</f>
        <v>326.8894097</v>
      </c>
      <c r="Z769" s="30">
        <f>IFERROR(__xludf.DUMMYFUNCTION("""COMPUTED_VALUE"""),0.808456839517047)</f>
        <v>0.8084568395</v>
      </c>
      <c r="AA769" s="30">
        <f>IFERROR(__xludf.DUMMYFUNCTION("""COMPUTED_VALUE"""),0.5259404132187464)</f>
        <v>0.5259404132</v>
      </c>
      <c r="AB769" s="30">
        <f>IFERROR(__xludf.DUMMYFUNCTION("""COMPUTED_VALUE"""),1.0766026370463648)</f>
        <v>1.076602637</v>
      </c>
      <c r="AC769" s="30">
        <f>IFERROR(__xludf.DUMMYFUNCTION("""COMPUTED_VALUE"""),2.273185905040323)</f>
        <v>2.273185905</v>
      </c>
      <c r="AD769" s="30">
        <f>IFERROR(__xludf.DUMMYFUNCTION("""COMPUTED_VALUE"""),1.1553055302601543)</f>
        <v>1.15530553</v>
      </c>
      <c r="AE769" s="30">
        <f>IFERROR(__xludf.DUMMYFUNCTION("""COMPUTED_VALUE"""),1.2015837134965421)</f>
        <v>1.201583713</v>
      </c>
      <c r="AF769" s="30">
        <f>IFERROR(__xludf.DUMMYFUNCTION("""COMPUTED_VALUE"""),1.3581114824668024)</f>
        <v>1.358111482</v>
      </c>
      <c r="AG769" s="30">
        <f>IFERROR(__xludf.DUMMYFUNCTION("""COMPUTED_VALUE"""),0.9288478084574245)</f>
        <v>0.9288478085</v>
      </c>
      <c r="AH769" s="30">
        <f>IFERROR(__xludf.DUMMYFUNCTION("""COMPUTED_VALUE"""),1.231751434755765)</f>
        <v>1.231751435</v>
      </c>
      <c r="AI769" s="30">
        <f>IFERROR(__xludf.DUMMYFUNCTION("""COMPUTED_VALUE"""),0.9801593587923039)</f>
        <v>0.9801593588</v>
      </c>
      <c r="AJ769" s="30">
        <f>IFERROR(__xludf.DUMMYFUNCTION("""COMPUTED_VALUE"""),0.8996238823235629)</f>
        <v>0.8996238823</v>
      </c>
      <c r="AK769" s="30">
        <f>IFERROR(__xludf.DUMMYFUNCTION("""COMPUTED_VALUE"""),0.8576640759061027)</f>
        <v>0.8576640759</v>
      </c>
      <c r="AL769" s="30">
        <f>IFERROR(__xludf.DUMMYFUNCTION("""COMPUTED_VALUE"""),1.0579069773264111)</f>
        <v>1.057906977</v>
      </c>
      <c r="AM769" s="30">
        <f>IFERROR(__xludf.DUMMYFUNCTION("""COMPUTED_VALUE"""),1.0345146928854292)</f>
        <v>1.034514693</v>
      </c>
      <c r="AN769" s="30">
        <f>IFERROR(__xludf.DUMMYFUNCTION("""COMPUTED_VALUE"""),1.2115688588342302)</f>
        <v>1.211568859</v>
      </c>
      <c r="AO769" s="30">
        <f>IFERROR(__xludf.DUMMYFUNCTION("""COMPUTED_VALUE"""),1.296480510303491)</f>
        <v>1.29648051</v>
      </c>
      <c r="AP769" s="30">
        <f>IFERROR(__xludf.DUMMYFUNCTION("""COMPUTED_VALUE"""),1.3933918056847805)</f>
        <v>1.393391806</v>
      </c>
      <c r="AQ769" s="30">
        <f>IFERROR(__xludf.DUMMYFUNCTION("""COMPUTED_VALUE"""),0.9544994516245786)</f>
        <v>0.9544994516</v>
      </c>
      <c r="AR769" s="30">
        <f>IFERROR(__xludf.DUMMYFUNCTION("""COMPUTED_VALUE"""),1.3021044384804366)</f>
        <v>1.302104438</v>
      </c>
      <c r="AS769" s="30">
        <f>IFERROR(__xludf.DUMMYFUNCTION("""COMPUTED_VALUE"""),92.0)</f>
        <v>92</v>
      </c>
      <c r="AT769" s="30">
        <f>IFERROR(__xludf.DUMMYFUNCTION("""COMPUTED_VALUE"""),0.6044975631766126)</f>
        <v>0.6044975632</v>
      </c>
      <c r="AU769" s="30">
        <f>IFERROR(__xludf.DUMMYFUNCTION("""COMPUTED_VALUE"""),4.652398476862137)</f>
        <v>4.652398477</v>
      </c>
      <c r="AV769" s="32">
        <f>IFERROR(__xludf.DUMMYFUNCTION("""COMPUTED_VALUE"""),75.28263626317269)</f>
        <v>75.28263626</v>
      </c>
      <c r="AW769" s="32">
        <f>IFERROR(__xludf.DUMMYFUNCTION("""COMPUTED_VALUE"""),6.412923155473492)</f>
        <v>6.412923155</v>
      </c>
      <c r="AX769" s="32">
        <f>IFERROR(__xludf.DUMMYFUNCTION("""COMPUTED_VALUE"""),70.22610515618805)</f>
        <v>70.22610516</v>
      </c>
      <c r="AY769" s="32">
        <f>IFERROR(__xludf.DUMMYFUNCTION("""COMPUTED_VALUE"""),4.779089923777346)</f>
        <v>4.779089924</v>
      </c>
      <c r="AZ769" s="30">
        <f>IFERROR(__xludf.DUMMYFUNCTION("""COMPUTED_VALUE"""),1.633833231696146)</f>
        <v>1.633833232</v>
      </c>
      <c r="BA769" s="30">
        <f>IFERROR(__xludf.DUMMYFUNCTION("""COMPUTED_VALUE"""),3200.0)</f>
        <v>3200</v>
      </c>
    </row>
    <row r="770">
      <c r="A770" s="71" t="str">
        <f>IFERROR(__xludf.DUMMYFUNCTION("""COMPUTED_VALUE"""),"Contender")</f>
        <v>Contender</v>
      </c>
      <c r="B770" s="71" t="str">
        <f>IFERROR(__xludf.DUMMYFUNCTION("""COMPUTED_VALUE"""),"RSC007894")</f>
        <v>RSC007894</v>
      </c>
      <c r="C770" s="30" t="str">
        <f>IFERROR(__xludf.DUMMYFUNCTION("""COMPUTED_VALUE"""),"BlackCoop03")</f>
        <v>BlackCoop03</v>
      </c>
      <c r="D770" s="30" t="str">
        <f>IFERROR(__xludf.DUMMYFUNCTION("""COMPUTED_VALUE"""),"Clover")</f>
        <v>Clover</v>
      </c>
      <c r="E770" s="30">
        <f>IFERROR(__xludf.DUMMYFUNCTION("""COMPUTED_VALUE"""),20.0)</f>
        <v>20</v>
      </c>
      <c r="F770" s="30">
        <f>IFERROR(__xludf.DUMMYFUNCTION("""COMPUTED_VALUE"""),10.0)</f>
        <v>10</v>
      </c>
      <c r="G770" s="42">
        <f>IFERROR(__xludf.DUMMYFUNCTION("""COMPUTED_VALUE"""),10.0)</f>
        <v>10</v>
      </c>
      <c r="H770" s="42">
        <f>IFERROR(__xludf.DUMMYFUNCTION("""COMPUTED_VALUE"""),0.5)</f>
        <v>0.5</v>
      </c>
      <c r="I770" s="42">
        <f>IFERROR(__xludf.DUMMYFUNCTION("""COMPUTED_VALUE"""),0.3333333333333333)</f>
        <v>0.3333333333</v>
      </c>
      <c r="J770" s="30">
        <f>IFERROR(__xludf.DUMMYFUNCTION("""COMPUTED_VALUE"""),362.15)</f>
        <v>362.15</v>
      </c>
      <c r="K770" s="30">
        <f>IFERROR(__xludf.DUMMYFUNCTION("""COMPUTED_VALUE"""),0.75)</f>
        <v>0.75</v>
      </c>
      <c r="L770" s="30">
        <f>IFERROR(__xludf.DUMMYFUNCTION("""COMPUTED_VALUE"""),0.75)</f>
        <v>0.75</v>
      </c>
      <c r="M770" s="30">
        <f>IFERROR(__xludf.DUMMYFUNCTION("""COMPUTED_VALUE"""),1.35)</f>
        <v>1.35</v>
      </c>
      <c r="N770" s="30">
        <f>IFERROR(__xludf.DUMMYFUNCTION("""COMPUTED_VALUE"""),2.25)</f>
        <v>2.25</v>
      </c>
      <c r="O770" s="30">
        <f>IFERROR(__xludf.DUMMYFUNCTION("""COMPUTED_VALUE"""),323.1833333333333)</f>
        <v>323.1833333</v>
      </c>
      <c r="P770" s="30">
        <f>IFERROR(__xludf.DUMMYFUNCTION("""COMPUTED_VALUE"""),0.6666666666666666)</f>
        <v>0.6666666667</v>
      </c>
      <c r="Q770" s="30">
        <f>IFERROR(__xludf.DUMMYFUNCTION("""COMPUTED_VALUE"""),0.5000000000000001)</f>
        <v>0.5</v>
      </c>
      <c r="R770" s="30">
        <f>IFERROR(__xludf.DUMMYFUNCTION("""COMPUTED_VALUE"""),1.1)</f>
        <v>1.1</v>
      </c>
      <c r="S770" s="30">
        <f>IFERROR(__xludf.DUMMYFUNCTION("""COMPUTED_VALUE"""),2.416666666666667)</f>
        <v>2.416666667</v>
      </c>
      <c r="T770" s="30">
        <f>IFERROR(__xludf.DUMMYFUNCTION("""COMPUTED_VALUE"""),331.9462443749595)</f>
        <v>331.9462444</v>
      </c>
      <c r="U770" s="30">
        <f>IFERROR(__xludf.DUMMYFUNCTION("""COMPUTED_VALUE"""),0.8196435555524495)</f>
        <v>0.8196435556</v>
      </c>
      <c r="V770" s="30">
        <f>IFERROR(__xludf.DUMMYFUNCTION("""COMPUTED_VALUE"""),0.5736793291939534)</f>
        <v>0.5736793292</v>
      </c>
      <c r="W770" s="30">
        <f>IFERROR(__xludf.DUMMYFUNCTION("""COMPUTED_VALUE"""),1.0702532072364364)</f>
        <v>1.070253207</v>
      </c>
      <c r="X770" s="30">
        <f>IFERROR(__xludf.DUMMYFUNCTION("""COMPUTED_VALUE"""),2.34090180752017)</f>
        <v>2.340901808</v>
      </c>
      <c r="Y770" s="30">
        <f>IFERROR(__xludf.DUMMYFUNCTION("""COMPUTED_VALUE"""),321.52719434360563)</f>
        <v>321.5271943</v>
      </c>
      <c r="Z770" s="30">
        <f>IFERROR(__xludf.DUMMYFUNCTION("""COMPUTED_VALUE"""),0.7687642671454)</f>
        <v>0.7687642671</v>
      </c>
      <c r="AA770" s="30">
        <f>IFERROR(__xludf.DUMMYFUNCTION("""COMPUTED_VALUE"""),0.5036480886005957)</f>
        <v>0.5036480886</v>
      </c>
      <c r="AB770" s="30">
        <f>IFERROR(__xludf.DUMMYFUNCTION("""COMPUTED_VALUE"""),1.1077481339899893)</f>
        <v>1.107748134</v>
      </c>
      <c r="AC770" s="30">
        <f>IFERROR(__xludf.DUMMYFUNCTION("""COMPUTED_VALUE"""),2.2056052956191596)</f>
        <v>2.205605296</v>
      </c>
      <c r="AD770" s="30">
        <f>IFERROR(__xludf.DUMMYFUNCTION("""COMPUTED_VALUE"""),1.1263432965268314)</f>
        <v>1.126343297</v>
      </c>
      <c r="AE770" s="30">
        <f>IFERROR(__xludf.DUMMYFUNCTION("""COMPUTED_VALUE"""),0.9755916502010739)</f>
        <v>0.9755916502</v>
      </c>
      <c r="AF770" s="30">
        <f>IFERROR(__xludf.DUMMYFUNCTION("""COMPUTED_VALUE"""),1.489135007111616)</f>
        <v>1.489135007</v>
      </c>
      <c r="AG770" s="30">
        <f>IFERROR(__xludf.DUMMYFUNCTION("""COMPUTED_VALUE"""),1.2186885796299614)</f>
        <v>1.21868858</v>
      </c>
      <c r="AH770" s="30">
        <f>IFERROR(__xludf.DUMMYFUNCTION("""COMPUTED_VALUE"""),1.0201281273984146)</f>
        <v>1.020128127</v>
      </c>
      <c r="AI770" s="30">
        <f>IFERROR(__xludf.DUMMYFUNCTION("""COMPUTED_VALUE"""),0.9736014153191387)</f>
        <v>0.9736014153</v>
      </c>
      <c r="AJ770" s="30">
        <f>IFERROR(__xludf.DUMMYFUNCTION("""COMPUTED_VALUE"""),0.813361688932362)</f>
        <v>0.8133616889</v>
      </c>
      <c r="AK770" s="30">
        <f>IFERROR(__xludf.DUMMYFUNCTION("""COMPUTED_VALUE"""),0.8715670489688443)</f>
        <v>0.871567049</v>
      </c>
      <c r="AL770" s="30">
        <f>IFERROR(__xludf.DUMMYFUNCTION("""COMPUTED_VALUE"""),1.027794163626358)</f>
        <v>1.027794164</v>
      </c>
      <c r="AM770" s="30">
        <f>IFERROR(__xludf.DUMMYFUNCTION("""COMPUTED_VALUE"""),1.0323656715984846)</f>
        <v>1.032365672</v>
      </c>
      <c r="AN770" s="30">
        <f>IFERROR(__xludf.DUMMYFUNCTION("""COMPUTED_VALUE"""),1.1618201072733074)</f>
        <v>1.161820107</v>
      </c>
      <c r="AO770" s="30">
        <f>IFERROR(__xludf.DUMMYFUNCTION("""COMPUTED_VALUE"""),1.0009592175137247)</f>
        <v>1.000959218</v>
      </c>
      <c r="AP770" s="30">
        <f>IFERROR(__xludf.DUMMYFUNCTION("""COMPUTED_VALUE"""),1.4630613959690195)</f>
        <v>1.463061396</v>
      </c>
      <c r="AQ770" s="30">
        <f>IFERROR(__xludf.DUMMYFUNCTION("""COMPUTED_VALUE"""),1.2885742596931813)</f>
        <v>1.28857426</v>
      </c>
      <c r="AR770" s="30">
        <f>IFERROR(__xludf.DUMMYFUNCTION("""COMPUTED_VALUE"""),1.0463339237789222)</f>
        <v>1.046333924</v>
      </c>
      <c r="AS770" s="30">
        <f>IFERROR(__xludf.DUMMYFUNCTION("""COMPUTED_VALUE"""),49.0)</f>
        <v>49</v>
      </c>
      <c r="AT770" s="30">
        <f>IFERROR(__xludf.DUMMYFUNCTION("""COMPUTED_VALUE"""),0.5772497300471773)</f>
        <v>0.57724973</v>
      </c>
      <c r="AU770" s="30">
        <f>IFERROR(__xludf.DUMMYFUNCTION("""COMPUTED_VALUE"""),4.179815817290709)</f>
        <v>4.179815817</v>
      </c>
      <c r="AV770" s="32">
        <f>IFERROR(__xludf.DUMMYFUNCTION("""COMPUTED_VALUE"""),67.1342188909004)</f>
        <v>67.13421889</v>
      </c>
      <c r="AW770" s="32">
        <f>IFERROR(__xludf.DUMMYFUNCTION("""COMPUTED_VALUE"""),4.055879844353178)</f>
        <v>4.055879844</v>
      </c>
      <c r="AX770" s="32">
        <f>IFERROR(__xludf.DUMMYFUNCTION("""COMPUTED_VALUE"""),58.1673439541212)</f>
        <v>58.16734395</v>
      </c>
      <c r="AY770" s="32">
        <f>IFERROR(__xludf.DUMMYFUNCTION("""COMPUTED_VALUE"""),2.688535133631012)</f>
        <v>2.688535134</v>
      </c>
      <c r="AZ770" s="30">
        <f>IFERROR(__xludf.DUMMYFUNCTION("""COMPUTED_VALUE"""),1.3673447107221657)</f>
        <v>1.367344711</v>
      </c>
      <c r="BA770" s="30">
        <f>IFERROR(__xludf.DUMMYFUNCTION("""COMPUTED_VALUE"""),3200.0)</f>
        <v>3200</v>
      </c>
    </row>
    <row r="771">
      <c r="A771" s="71" t="str">
        <f>IFERROR(__xludf.DUMMYFUNCTION("""COMPUTED_VALUE"""),"Contender")</f>
        <v>Contender</v>
      </c>
      <c r="B771" s="71" t="str">
        <f>IFERROR(__xludf.DUMMYFUNCTION("""COMPUTED_VALUE"""),"RSC006919")</f>
        <v>RSC006919</v>
      </c>
      <c r="C771" s="30" t="str">
        <f>IFERROR(__xludf.DUMMYFUNCTION("""COMPUTED_VALUE"""),"rinny_b0y")</f>
        <v>rinny_b0y</v>
      </c>
      <c r="D771" s="30" t="str">
        <f>IFERROR(__xludf.DUMMYFUNCTION("""COMPUTED_VALUE"""),"Zebras")</f>
        <v>Zebras</v>
      </c>
      <c r="E771" s="30">
        <f>IFERROR(__xludf.DUMMYFUNCTION("""COMPUTED_VALUE"""),30.0)</f>
        <v>30</v>
      </c>
      <c r="F771" s="30">
        <f>IFERROR(__xludf.DUMMYFUNCTION("""COMPUTED_VALUE"""),12.0)</f>
        <v>12</v>
      </c>
      <c r="G771" s="42">
        <f>IFERROR(__xludf.DUMMYFUNCTION("""COMPUTED_VALUE"""),18.0)</f>
        <v>18</v>
      </c>
      <c r="H771" s="42">
        <f>IFERROR(__xludf.DUMMYFUNCTION("""COMPUTED_VALUE"""),0.4)</f>
        <v>0.4</v>
      </c>
      <c r="I771" s="42">
        <f>IFERROR(__xludf.DUMMYFUNCTION("""COMPUTED_VALUE"""),0.29508196721311475)</f>
        <v>0.2950819672</v>
      </c>
      <c r="J771" s="30">
        <f>IFERROR(__xludf.DUMMYFUNCTION("""COMPUTED_VALUE"""),275.93333333333334)</f>
        <v>275.9333333</v>
      </c>
      <c r="K771" s="30">
        <f>IFERROR(__xludf.DUMMYFUNCTION("""COMPUTED_VALUE"""),0.6)</f>
        <v>0.6</v>
      </c>
      <c r="L771" s="30">
        <f>IFERROR(__xludf.DUMMYFUNCTION("""COMPUTED_VALUE"""),0.23333333333333334)</f>
        <v>0.2333333333</v>
      </c>
      <c r="M771" s="30">
        <f>IFERROR(__xludf.DUMMYFUNCTION("""COMPUTED_VALUE"""),1.1)</f>
        <v>1.1</v>
      </c>
      <c r="N771" s="30">
        <f>IFERROR(__xludf.DUMMYFUNCTION("""COMPUTED_VALUE"""),2.033333333333333)</f>
        <v>2.033333333</v>
      </c>
      <c r="O771" s="30">
        <f>IFERROR(__xludf.DUMMYFUNCTION("""COMPUTED_VALUE"""),356.9444444444444)</f>
        <v>356.9444444</v>
      </c>
      <c r="P771" s="30">
        <f>IFERROR(__xludf.DUMMYFUNCTION("""COMPUTED_VALUE"""),0.9555555555555557)</f>
        <v>0.9555555556</v>
      </c>
      <c r="Q771" s="30">
        <f>IFERROR(__xludf.DUMMYFUNCTION("""COMPUTED_VALUE"""),0.6555555555555554)</f>
        <v>0.6555555556</v>
      </c>
      <c r="R771" s="30">
        <f>IFERROR(__xludf.DUMMYFUNCTION("""COMPUTED_VALUE"""),1.1666666666666667)</f>
        <v>1.166666667</v>
      </c>
      <c r="S771" s="30">
        <f>IFERROR(__xludf.DUMMYFUNCTION("""COMPUTED_VALUE"""),2.4222222222222225)</f>
        <v>2.422222222</v>
      </c>
      <c r="T771" s="30">
        <f>IFERROR(__xludf.DUMMYFUNCTION("""COMPUTED_VALUE"""),334.17980412305934)</f>
        <v>334.1798041</v>
      </c>
      <c r="U771" s="30">
        <f>IFERROR(__xludf.DUMMYFUNCTION("""COMPUTED_VALUE"""),0.8600995794078957)</f>
        <v>0.8600995794</v>
      </c>
      <c r="V771" s="30">
        <f>IFERROR(__xludf.DUMMYFUNCTION("""COMPUTED_VALUE"""),0.5405414374188321)</f>
        <v>0.5405414374</v>
      </c>
      <c r="W771" s="30">
        <f>IFERROR(__xludf.DUMMYFUNCTION("""COMPUTED_VALUE"""),1.0917704121811629)</f>
        <v>1.091770412</v>
      </c>
      <c r="X771" s="30">
        <f>IFERROR(__xludf.DUMMYFUNCTION("""COMPUTED_VALUE"""),2.319670231975055)</f>
        <v>2.319670232</v>
      </c>
      <c r="Y771" s="30">
        <f>IFERROR(__xludf.DUMMYFUNCTION("""COMPUTED_VALUE"""),319.4539375468213)</f>
        <v>319.4539375</v>
      </c>
      <c r="Z771" s="30">
        <f>IFERROR(__xludf.DUMMYFUNCTION("""COMPUTED_VALUE"""),0.7385373710908606)</f>
        <v>0.7385373711</v>
      </c>
      <c r="AA771" s="30">
        <f>IFERROR(__xludf.DUMMYFUNCTION("""COMPUTED_VALUE"""),0.5003194682595178)</f>
        <v>0.5003194683</v>
      </c>
      <c r="AB771" s="30">
        <f>IFERROR(__xludf.DUMMYFUNCTION("""COMPUTED_VALUE"""),1.082310238456997)</f>
        <v>1.082310238</v>
      </c>
      <c r="AC771" s="30">
        <f>IFERROR(__xludf.DUMMYFUNCTION("""COMPUTED_VALUE"""),2.2479820180098145)</f>
        <v>2.247982018</v>
      </c>
      <c r="AD771" s="30">
        <f>IFERROR(__xludf.DUMMYFUNCTION("""COMPUTED_VALUE"""),0.8637656353598419)</f>
        <v>0.8637656354</v>
      </c>
      <c r="AE771" s="30">
        <f>IFERROR(__xludf.DUMMYFUNCTION("""COMPUTED_VALUE"""),0.8124165729267928)</f>
        <v>0.8124165729</v>
      </c>
      <c r="AF771" s="30">
        <f>IFERROR(__xludf.DUMMYFUNCTION("""COMPUTED_VALUE"""),0.46636868668141124)</f>
        <v>0.4663686867</v>
      </c>
      <c r="AG771" s="30">
        <f>IFERROR(__xludf.DUMMYFUNCTION("""COMPUTED_VALUE"""),1.0163444462728384)</f>
        <v>1.016344446</v>
      </c>
      <c r="AH771" s="30">
        <f>IFERROR(__xludf.DUMMYFUNCTION("""COMPUTED_VALUE"""),0.904514945868422)</f>
        <v>0.9045149459</v>
      </c>
      <c r="AI771" s="30">
        <f>IFERROR(__xludf.DUMMYFUNCTION("""COMPUTED_VALUE"""),1.068120933822207)</f>
        <v>1.068120934</v>
      </c>
      <c r="AJ771" s="30">
        <f>IFERROR(__xludf.DUMMYFUNCTION("""COMPUTED_VALUE"""),1.110982470440659)</f>
        <v>1.11098247</v>
      </c>
      <c r="AK771" s="30">
        <f>IFERROR(__xludf.DUMMYFUNCTION("""COMPUTED_VALUE"""),1.2127757655101028)</f>
        <v>1.212775766</v>
      </c>
      <c r="AL771" s="30">
        <f>IFERROR(__xludf.DUMMYFUNCTION("""COMPUTED_VALUE"""),1.0686007366107995)</f>
        <v>1.068600737</v>
      </c>
      <c r="AM771" s="30">
        <f>IFERROR(__xludf.DUMMYFUNCTION("""COMPUTED_VALUE"""),1.044209728104262)</f>
        <v>1.044209728</v>
      </c>
      <c r="AN771" s="30">
        <f>IFERROR(__xludf.DUMMYFUNCTION("""COMPUTED_VALUE"""),0.8852268257175607)</f>
        <v>0.8852268257</v>
      </c>
      <c r="AO771" s="30">
        <f>IFERROR(__xludf.DUMMYFUNCTION("""COMPUTED_VALUE"""),0.8007673740109797)</f>
        <v>0.800767374</v>
      </c>
      <c r="AP771" s="30">
        <f>IFERROR(__xludf.DUMMYFUNCTION("""COMPUTED_VALUE"""),0.455174656523695)</f>
        <v>0.4551746565</v>
      </c>
      <c r="AQ771" s="30">
        <f>IFERROR(__xludf.DUMMYFUNCTION("""COMPUTED_VALUE"""),1.0499493967870366)</f>
        <v>1.049949397</v>
      </c>
      <c r="AR771" s="30">
        <f>IFERROR(__xludf.DUMMYFUNCTION("""COMPUTED_VALUE"""),0.9455758422298407)</f>
        <v>0.9455758422</v>
      </c>
      <c r="AS771" s="30">
        <f>IFERROR(__xludf.DUMMYFUNCTION("""COMPUTED_VALUE"""),64.0)</f>
        <v>64</v>
      </c>
      <c r="AT771" s="30">
        <f>IFERROR(__xludf.DUMMYFUNCTION("""COMPUTED_VALUE"""),0.3848692075732533)</f>
        <v>0.3848692076</v>
      </c>
      <c r="AU771" s="30">
        <f>IFERROR(__xludf.DUMMYFUNCTION("""COMPUTED_VALUE"""),2.0143772104576287)</f>
        <v>2.01437721</v>
      </c>
      <c r="AV771" s="32">
        <f>IFERROR(__xludf.DUMMYFUNCTION("""COMPUTED_VALUE"""),29.797052143162556)</f>
        <v>29.79705214</v>
      </c>
      <c r="AW771" s="32">
        <f>IFERROR(__xludf.DUMMYFUNCTION("""COMPUTED_VALUE"""),-4.773011037579903)</f>
        <v>-4.773011038</v>
      </c>
      <c r="AX771" s="32">
        <f>IFERROR(__xludf.DUMMYFUNCTION("""COMPUTED_VALUE"""),26.035577436433247)</f>
        <v>26.03557744</v>
      </c>
      <c r="AY771" s="32">
        <f>IFERROR(__xludf.DUMMYFUNCTION("""COMPUTED_VALUE"""),-5.921155088900593)</f>
        <v>-5.921155089</v>
      </c>
      <c r="AZ771" s="30">
        <f>IFERROR(__xludf.DUMMYFUNCTION("""COMPUTED_VALUE"""),1.1481440513206902)</f>
        <v>1.148144051</v>
      </c>
      <c r="BA771" s="30">
        <f>IFERROR(__xludf.DUMMYFUNCTION("""COMPUTED_VALUE"""),3200.0)</f>
        <v>3200</v>
      </c>
    </row>
    <row r="772">
      <c r="A772" s="71" t="str">
        <f>IFERROR(__xludf.DUMMYFUNCTION("""COMPUTED_VALUE"""),"Contender")</f>
        <v>Contender</v>
      </c>
      <c r="B772" s="71" t="str">
        <f>IFERROR(__xludf.DUMMYFUNCTION("""COMPUTED_VALUE"""),"RSC003153")</f>
        <v>RSC003153</v>
      </c>
      <c r="C772" s="30" t="str">
        <f>IFERROR(__xludf.DUMMYFUNCTION("""COMPUTED_VALUE"""),"Theman")</f>
        <v>Theman</v>
      </c>
      <c r="D772" s="30" t="str">
        <f>IFERROR(__xludf.DUMMYFUNCTION("""COMPUTED_VALUE"""),"Clover")</f>
        <v>Clover</v>
      </c>
      <c r="E772" s="30">
        <f>IFERROR(__xludf.DUMMYFUNCTION("""COMPUTED_VALUE"""),26.0)</f>
        <v>26</v>
      </c>
      <c r="F772" s="30">
        <f>IFERROR(__xludf.DUMMYFUNCTION("""COMPUTED_VALUE"""),14.0)</f>
        <v>14</v>
      </c>
      <c r="G772" s="42">
        <f>IFERROR(__xludf.DUMMYFUNCTION("""COMPUTED_VALUE"""),12.0)</f>
        <v>12</v>
      </c>
      <c r="H772" s="42">
        <f>IFERROR(__xludf.DUMMYFUNCTION("""COMPUTED_VALUE"""),0.5384615384615384)</f>
        <v>0.5384615385</v>
      </c>
      <c r="I772" s="42">
        <f>IFERROR(__xludf.DUMMYFUNCTION("""COMPUTED_VALUE"""),0.4074074074074074)</f>
        <v>0.4074074074</v>
      </c>
      <c r="J772" s="30">
        <f>IFERROR(__xludf.DUMMYFUNCTION("""COMPUTED_VALUE"""),323.53846153846155)</f>
        <v>323.5384615</v>
      </c>
      <c r="K772" s="30">
        <f>IFERROR(__xludf.DUMMYFUNCTION("""COMPUTED_VALUE"""),0.8461538461538461)</f>
        <v>0.8461538462</v>
      </c>
      <c r="L772" s="30">
        <f>IFERROR(__xludf.DUMMYFUNCTION("""COMPUTED_VALUE"""),0.2692307692307692)</f>
        <v>0.2692307692</v>
      </c>
      <c r="M772" s="30">
        <f>IFERROR(__xludf.DUMMYFUNCTION("""COMPUTED_VALUE"""),1.2307692307692308)</f>
        <v>1.230769231</v>
      </c>
      <c r="N772" s="30">
        <f>IFERROR(__xludf.DUMMYFUNCTION("""COMPUTED_VALUE"""),2.076923076923077)</f>
        <v>2.076923077</v>
      </c>
      <c r="O772" s="30">
        <f>IFERROR(__xludf.DUMMYFUNCTION("""COMPUTED_VALUE"""),326.4615384615384)</f>
        <v>326.4615385</v>
      </c>
      <c r="P772" s="30">
        <f>IFERROR(__xludf.DUMMYFUNCTION("""COMPUTED_VALUE"""),0.6923076923076923)</f>
        <v>0.6923076923</v>
      </c>
      <c r="Q772" s="30">
        <f>IFERROR(__xludf.DUMMYFUNCTION("""COMPUTED_VALUE"""),0.4358974358974359)</f>
        <v>0.4358974359</v>
      </c>
      <c r="R772" s="30">
        <f>IFERROR(__xludf.DUMMYFUNCTION("""COMPUTED_VALUE"""),1.205128205128205)</f>
        <v>1.205128205</v>
      </c>
      <c r="S772" s="30">
        <f>IFERROR(__xludf.DUMMYFUNCTION("""COMPUTED_VALUE"""),2.3974358974358974)</f>
        <v>2.397435897</v>
      </c>
      <c r="T772" s="30">
        <f>IFERROR(__xludf.DUMMYFUNCTION("""COMPUTED_VALUE"""),319.2951350402153)</f>
        <v>319.295135</v>
      </c>
      <c r="U772" s="30">
        <f>IFERROR(__xludf.DUMMYFUNCTION("""COMPUTED_VALUE"""),0.7486486524030123)</f>
        <v>0.7486486524</v>
      </c>
      <c r="V772" s="30">
        <f>IFERROR(__xludf.DUMMYFUNCTION("""COMPUTED_VALUE"""),0.5287960827279276)</f>
        <v>0.5287960827</v>
      </c>
      <c r="W772" s="30">
        <f>IFERROR(__xludf.DUMMYFUNCTION("""COMPUTED_VALUE"""),1.0868384543302065)</f>
        <v>1.086838454</v>
      </c>
      <c r="X772" s="30">
        <f>IFERROR(__xludf.DUMMYFUNCTION("""COMPUTED_VALUE"""),2.192249173852319)</f>
        <v>2.192249174</v>
      </c>
      <c r="Y772" s="30">
        <f>IFERROR(__xludf.DUMMYFUNCTION("""COMPUTED_VALUE"""),327.61210287628546)</f>
        <v>327.6121029</v>
      </c>
      <c r="Z772" s="30">
        <f>IFERROR(__xludf.DUMMYFUNCTION("""COMPUTED_VALUE"""),0.8046466219316332)</f>
        <v>0.8046466219</v>
      </c>
      <c r="AA772" s="30">
        <f>IFERROR(__xludf.DUMMYFUNCTION("""COMPUTED_VALUE"""),0.5243844974455658)</f>
        <v>0.5243844974</v>
      </c>
      <c r="AB772" s="30">
        <f>IFERROR(__xludf.DUMMYFUNCTION("""COMPUTED_VALUE"""),1.0980112155943837)</f>
        <v>1.098011216</v>
      </c>
      <c r="AC772" s="30">
        <f>IFERROR(__xludf.DUMMYFUNCTION("""COMPUTED_VALUE"""),2.277046584920152)</f>
        <v>2.277046585</v>
      </c>
      <c r="AD772" s="30">
        <f>IFERROR(__xludf.DUMMYFUNCTION("""COMPUTED_VALUE"""),0.9875656567566974)</f>
        <v>0.9875656568</v>
      </c>
      <c r="AE772" s="30">
        <f>IFERROR(__xludf.DUMMYFUNCTION("""COMPUTED_VALUE"""),1.0515844136927721)</f>
        <v>1.051584414</v>
      </c>
      <c r="AF772" s="30">
        <f>IFERROR(__xludf.DUMMYFUNCTION("""COMPUTED_VALUE"""),0.513422442010153)</f>
        <v>0.513422442</v>
      </c>
      <c r="AG772" s="30">
        <f>IFERROR(__xludf.DUMMYFUNCTION("""COMPUTED_VALUE"""),1.1209077041193805)</f>
        <v>1.120907704</v>
      </c>
      <c r="AH772" s="30">
        <f>IFERROR(__xludf.DUMMYFUNCTION("""COMPUTED_VALUE"""),0.9121126860897786)</f>
        <v>0.9121126861</v>
      </c>
      <c r="AI772" s="30">
        <f>IFERROR(__xludf.DUMMYFUNCTION("""COMPUTED_VALUE"""),1.0224444491470892)</f>
        <v>1.022444449</v>
      </c>
      <c r="AJ772" s="30">
        <f>IFERROR(__xludf.DUMMYFUNCTION("""COMPUTED_VALUE"""),0.9247431222717402)</f>
        <v>0.9247431223</v>
      </c>
      <c r="AK772" s="30">
        <f>IFERROR(__xludf.DUMMYFUNCTION("""COMPUTED_VALUE"""),0.824320470849083)</f>
        <v>0.8243204708</v>
      </c>
      <c r="AL772" s="30">
        <f>IFERROR(__xludf.DUMMYFUNCTION("""COMPUTED_VALUE"""),1.108838392979845)</f>
        <v>1.108838393</v>
      </c>
      <c r="AM772" s="30">
        <f>IFERROR(__xludf.DUMMYFUNCTION("""COMPUTED_VALUE"""),1.0935964424258466)</f>
        <v>1.093596442</v>
      </c>
      <c r="AN772" s="30">
        <f>IFERROR(__xludf.DUMMYFUNCTION("""COMPUTED_VALUE"""),1.0379497172211962)</f>
        <v>1.037949717</v>
      </c>
      <c r="AO772" s="30">
        <f>IFERROR(__xludf.DUMMYFUNCTION("""COMPUTED_VALUE"""),1.1292873223231767)</f>
        <v>1.129287322</v>
      </c>
      <c r="AP772" s="30">
        <f>IFERROR(__xludf.DUMMYFUNCTION("""COMPUTED_VALUE"""),0.5252015267581096)</f>
        <v>0.5252015268</v>
      </c>
      <c r="AQ772" s="30">
        <f>IFERROR(__xludf.DUMMYFUNCTION("""COMPUTED_VALUE"""),1.1747685558456353)</f>
        <v>1.174768556</v>
      </c>
      <c r="AR772" s="30">
        <f>IFERROR(__xludf.DUMMYFUNCTION("""COMPUTED_VALUE"""),0.9658466988728514)</f>
        <v>0.9658466989</v>
      </c>
      <c r="AS772" s="30">
        <f>IFERROR(__xludf.DUMMYFUNCTION("""COMPUTED_VALUE"""),69.0)</f>
        <v>69</v>
      </c>
      <c r="AT772" s="30">
        <f>IFERROR(__xludf.DUMMYFUNCTION("""COMPUTED_VALUE"""),0.5945730268768114)</f>
        <v>0.5945730269</v>
      </c>
      <c r="AU772" s="30">
        <f>IFERROR(__xludf.DUMMYFUNCTION("""COMPUTED_VALUE"""),2.817336830985511)</f>
        <v>2.817336831</v>
      </c>
      <c r="AV772" s="32">
        <f>IFERROR(__xludf.DUMMYFUNCTION("""COMPUTED_VALUE"""),43.641931951228536)</f>
        <v>43.64193195</v>
      </c>
      <c r="AW772" s="32">
        <f>IFERROR(__xludf.DUMMYFUNCTION("""COMPUTED_VALUE"""),-2.502357698944759)</f>
        <v>-2.502357699</v>
      </c>
      <c r="AX772" s="32">
        <f>IFERROR(__xludf.DUMMYFUNCTION("""COMPUTED_VALUE"""),35.861135835060196)</f>
        <v>35.86113584</v>
      </c>
      <c r="AY772" s="32">
        <f>IFERROR(__xludf.DUMMYFUNCTION("""COMPUTED_VALUE"""),-3.4983589694752206)</f>
        <v>-3.498358969</v>
      </c>
      <c r="AZ772" s="30">
        <f>IFERROR(__xludf.DUMMYFUNCTION("""COMPUTED_VALUE"""),0.9960012705304617)</f>
        <v>0.9960012705</v>
      </c>
      <c r="BA772" s="30">
        <f>IFERROR(__xludf.DUMMYFUNCTION("""COMPUTED_VALUE"""),3200.0)</f>
        <v>3200</v>
      </c>
    </row>
    <row r="773">
      <c r="A773" s="71" t="str">
        <f>IFERROR(__xludf.DUMMYFUNCTION("""COMPUTED_VALUE"""),"Contender")</f>
        <v>Contender</v>
      </c>
      <c r="B773" s="71" t="str">
        <f>IFERROR(__xludf.DUMMYFUNCTION("""COMPUTED_VALUE"""),"RSC007630")</f>
        <v>RSC007630</v>
      </c>
      <c r="C773" s="30" t="str">
        <f>IFERROR(__xludf.DUMMYFUNCTION("""COMPUTED_VALUE"""),"Grey")</f>
        <v>Grey</v>
      </c>
      <c r="D773" s="30" t="str">
        <f>IFERROR(__xludf.DUMMYFUNCTION("""COMPUTED_VALUE"""),"Rad Lads")</f>
        <v>Rad Lads</v>
      </c>
      <c r="E773" s="30">
        <f>IFERROR(__xludf.DUMMYFUNCTION("""COMPUTED_VALUE"""),19.0)</f>
        <v>19</v>
      </c>
      <c r="F773" s="30">
        <f>IFERROR(__xludf.DUMMYFUNCTION("""COMPUTED_VALUE"""),10.0)</f>
        <v>10</v>
      </c>
      <c r="G773" s="42">
        <f>IFERROR(__xludf.DUMMYFUNCTION("""COMPUTED_VALUE"""),9.0)</f>
        <v>9</v>
      </c>
      <c r="H773" s="42">
        <f>IFERROR(__xludf.DUMMYFUNCTION("""COMPUTED_VALUE"""),0.5263157894736842)</f>
        <v>0.5263157895</v>
      </c>
      <c r="I773" s="42">
        <f>IFERROR(__xludf.DUMMYFUNCTION("""COMPUTED_VALUE"""),0.39215686274509803)</f>
        <v>0.3921568627</v>
      </c>
      <c r="J773" s="30">
        <f>IFERROR(__xludf.DUMMYFUNCTION("""COMPUTED_VALUE"""),336.57894736842104)</f>
        <v>336.5789474</v>
      </c>
      <c r="K773" s="30">
        <f>IFERROR(__xludf.DUMMYFUNCTION("""COMPUTED_VALUE"""),1.0526315789473684)</f>
        <v>1.052631579</v>
      </c>
      <c r="L773" s="30">
        <f>IFERROR(__xludf.DUMMYFUNCTION("""COMPUTED_VALUE"""),0.5789473684210527)</f>
        <v>0.5789473684</v>
      </c>
      <c r="M773" s="30">
        <f>IFERROR(__xludf.DUMMYFUNCTION("""COMPUTED_VALUE"""),0.8947368421052632)</f>
        <v>0.8947368421</v>
      </c>
      <c r="N773" s="30">
        <f>IFERROR(__xludf.DUMMYFUNCTION("""COMPUTED_VALUE"""),2.6842105263157894)</f>
        <v>2.684210526</v>
      </c>
      <c r="O773" s="30">
        <f>IFERROR(__xludf.DUMMYFUNCTION("""COMPUTED_VALUE"""),331.280701754386)</f>
        <v>331.2807018</v>
      </c>
      <c r="P773" s="30">
        <f>IFERROR(__xludf.DUMMYFUNCTION("""COMPUTED_VALUE"""),0.8596491228070177)</f>
        <v>0.8596491228</v>
      </c>
      <c r="Q773" s="30">
        <f>IFERROR(__xludf.DUMMYFUNCTION("""COMPUTED_VALUE"""),0.5087719298245613)</f>
        <v>0.5087719298</v>
      </c>
      <c r="R773" s="30">
        <f>IFERROR(__xludf.DUMMYFUNCTION("""COMPUTED_VALUE"""),0.9473684210526315)</f>
        <v>0.9473684211</v>
      </c>
      <c r="S773" s="30">
        <f>IFERROR(__xludf.DUMMYFUNCTION("""COMPUTED_VALUE"""),2.12280701754386)</f>
        <v>2.122807018</v>
      </c>
      <c r="T773" s="30">
        <f>IFERROR(__xludf.DUMMYFUNCTION("""COMPUTED_VALUE"""),319.1906513442698)</f>
        <v>319.1906513</v>
      </c>
      <c r="U773" s="30">
        <f>IFERROR(__xludf.DUMMYFUNCTION("""COMPUTED_VALUE"""),0.7581992525877974)</f>
        <v>0.7581992526</v>
      </c>
      <c r="V773" s="30">
        <f>IFERROR(__xludf.DUMMYFUNCTION("""COMPUTED_VALUE"""),0.5340463458110515)</f>
        <v>0.5340463458</v>
      </c>
      <c r="W773" s="30">
        <f>IFERROR(__xludf.DUMMYFUNCTION("""COMPUTED_VALUE"""),1.084738891569387)</f>
        <v>1.084738892</v>
      </c>
      <c r="X773" s="30">
        <f>IFERROR(__xludf.DUMMYFUNCTION("""COMPUTED_VALUE"""),2.2268737518931023)</f>
        <v>2.226873752</v>
      </c>
      <c r="Y773" s="30">
        <f>IFERROR(__xludf.DUMMYFUNCTION("""COMPUTED_VALUE"""),327.33656455272177)</f>
        <v>327.3365646</v>
      </c>
      <c r="Z773" s="30">
        <f>IFERROR(__xludf.DUMMYFUNCTION("""COMPUTED_VALUE"""),0.8028151651410166)</f>
        <v>0.8028151651</v>
      </c>
      <c r="AA773" s="30">
        <f>IFERROR(__xludf.DUMMYFUNCTION("""COMPUTED_VALUE"""),0.5289364230540704)</f>
        <v>0.5289364231</v>
      </c>
      <c r="AB773" s="30">
        <f>IFERROR(__xludf.DUMMYFUNCTION("""COMPUTED_VALUE"""),1.0832044181308884)</f>
        <v>1.083204418</v>
      </c>
      <c r="AC773" s="30">
        <f>IFERROR(__xludf.DUMMYFUNCTION("""COMPUTED_VALUE"""),2.3592665747851513)</f>
        <v>2.359266575</v>
      </c>
      <c r="AD773" s="30">
        <f>IFERROR(__xludf.DUMMYFUNCTION("""COMPUTED_VALUE"""),1.0282351066656064)</f>
        <v>1.028235107</v>
      </c>
      <c r="AE773" s="30">
        <f>IFERROR(__xludf.DUMMYFUNCTION("""COMPUTED_VALUE"""),1.311175504217675)</f>
        <v>1.311175504</v>
      </c>
      <c r="AF773" s="30">
        <f>IFERROR(__xludf.DUMMYFUNCTION("""COMPUTED_VALUE"""),1.0945500124158964)</f>
        <v>1.094550012</v>
      </c>
      <c r="AG773" s="30">
        <f>IFERROR(__xludf.DUMMYFUNCTION("""COMPUTED_VALUE"""),0.8260092251554574)</f>
        <v>0.8260092252</v>
      </c>
      <c r="AH773" s="30">
        <f>IFERROR(__xludf.DUMMYFUNCTION("""COMPUTED_VALUE"""),1.1377309181605428)</f>
        <v>1.137730918</v>
      </c>
      <c r="AI773" s="30">
        <f>IFERROR(__xludf.DUMMYFUNCTION("""COMPUTED_VALUE"""),1.0378772071149296)</f>
        <v>1.037877207</v>
      </c>
      <c r="AJ773" s="30">
        <f>IFERROR(__xludf.DUMMYFUNCTION("""COMPUTED_VALUE"""),1.1338037064438713)</f>
        <v>1.133803706</v>
      </c>
      <c r="AK773" s="30">
        <f>IFERROR(__xludf.DUMMYFUNCTION("""COMPUTED_VALUE"""),0.9526737404258312)</f>
        <v>0.9526737404</v>
      </c>
      <c r="AL773" s="30">
        <f>IFERROR(__xludf.DUMMYFUNCTION("""COMPUTED_VALUE"""),0.8733607953172864)</f>
        <v>0.8733607953</v>
      </c>
      <c r="AM773" s="30">
        <f>IFERROR(__xludf.DUMMYFUNCTION("""COMPUTED_VALUE"""),0.9532677888628516)</f>
        <v>0.9532677889</v>
      </c>
      <c r="AN773" s="30">
        <f>IFERROR(__xludf.DUMMYFUNCTION("""COMPUTED_VALUE"""),1.0797851407911523)</f>
        <v>1.079785141</v>
      </c>
      <c r="AO773" s="30">
        <f>IFERROR(__xludf.DUMMYFUNCTION("""COMPUTED_VALUE"""),1.4048550421245258)</f>
        <v>1.404855042</v>
      </c>
      <c r="AP773" s="30">
        <f>IFERROR(__xludf.DUMMYFUNCTION("""COMPUTED_VALUE"""),1.1293807267129274)</f>
        <v>1.129380727</v>
      </c>
      <c r="AQ773" s="30">
        <f>IFERROR(__xludf.DUMMYFUNCTION("""COMPUTED_VALUE"""),0.8540258251377809)</f>
        <v>0.8540258251</v>
      </c>
      <c r="AR773" s="30">
        <f>IFERROR(__xludf.DUMMYFUNCTION("""COMPUTED_VALUE"""),1.2482580143327493)</f>
        <v>1.248258014</v>
      </c>
      <c r="AS773" s="30">
        <f>IFERROR(__xludf.DUMMYFUNCTION("""COMPUTED_VALUE"""),55.0)</f>
        <v>55</v>
      </c>
      <c r="AT773" s="30">
        <f>IFERROR(__xludf.DUMMYFUNCTION("""COMPUTED_VALUE"""),0.5469005692495142)</f>
        <v>0.5469005692</v>
      </c>
      <c r="AU773" s="30">
        <f>IFERROR(__xludf.DUMMYFUNCTION("""COMPUTED_VALUE"""),4.090786144506623)</f>
        <v>4.090786145</v>
      </c>
      <c r="AV773" s="32">
        <f>IFERROR(__xludf.DUMMYFUNCTION("""COMPUTED_VALUE"""),65.59914155010364)</f>
        <v>65.59914155</v>
      </c>
      <c r="AW773" s="32">
        <f>IFERROR(__xludf.DUMMYFUNCTION("""COMPUTED_VALUE"""),3.7548098915101993)</f>
        <v>3.754809892</v>
      </c>
      <c r="AX773" s="32">
        <f>IFERROR(__xludf.DUMMYFUNCTION("""COMPUTED_VALUE"""),59.07058281304424)</f>
        <v>59.07058281</v>
      </c>
      <c r="AY773" s="32">
        <f>IFERROR(__xludf.DUMMYFUNCTION("""COMPUTED_VALUE"""),2.790424306335687)</f>
        <v>2.790424306</v>
      </c>
      <c r="AZ773" s="30">
        <f>IFERROR(__xludf.DUMMYFUNCTION("""COMPUTED_VALUE"""),0.9643855851745124)</f>
        <v>0.9643855852</v>
      </c>
      <c r="BA773" s="30">
        <f>IFERROR(__xludf.DUMMYFUNCTION("""COMPUTED_VALUE"""),3200.0)</f>
        <v>3200</v>
      </c>
    </row>
    <row r="774">
      <c r="A774" s="71" t="str">
        <f>IFERROR(__xludf.DUMMYFUNCTION("""COMPUTED_VALUE"""),"Contender")</f>
        <v>Contender</v>
      </c>
      <c r="B774" s="71" t="str">
        <f>IFERROR(__xludf.DUMMYFUNCTION("""COMPUTED_VALUE"""),"RSC007520")</f>
        <v>RSC007520</v>
      </c>
      <c r="C774" s="30" t="str">
        <f>IFERROR(__xludf.DUMMYFUNCTION("""COMPUTED_VALUE"""),"Blitzzzzz.")</f>
        <v>Blitzzzzz.</v>
      </c>
      <c r="D774" s="30" t="str">
        <f>IFERROR(__xludf.DUMMYFUNCTION("""COMPUTED_VALUE"""),"Devoured")</f>
        <v>Devoured</v>
      </c>
      <c r="E774" s="30">
        <f>IFERROR(__xludf.DUMMYFUNCTION("""COMPUTED_VALUE"""),34.0)</f>
        <v>34</v>
      </c>
      <c r="F774" s="30">
        <f>IFERROR(__xludf.DUMMYFUNCTION("""COMPUTED_VALUE"""),15.0)</f>
        <v>15</v>
      </c>
      <c r="G774" s="42">
        <f>IFERROR(__xludf.DUMMYFUNCTION("""COMPUTED_VALUE"""),19.0)</f>
        <v>19</v>
      </c>
      <c r="H774" s="42">
        <f>IFERROR(__xludf.DUMMYFUNCTION("""COMPUTED_VALUE"""),0.4411764705882353)</f>
        <v>0.4411764706</v>
      </c>
      <c r="I774" s="42">
        <f>IFERROR(__xludf.DUMMYFUNCTION("""COMPUTED_VALUE"""),0.39999999999999997)</f>
        <v>0.4</v>
      </c>
      <c r="J774" s="30">
        <f>IFERROR(__xludf.DUMMYFUNCTION("""COMPUTED_VALUE"""),327.8529411764706)</f>
        <v>327.8529412</v>
      </c>
      <c r="K774" s="30">
        <f>IFERROR(__xludf.DUMMYFUNCTION("""COMPUTED_VALUE"""),0.7647058823529411)</f>
        <v>0.7647058824</v>
      </c>
      <c r="L774" s="30">
        <f>IFERROR(__xludf.DUMMYFUNCTION("""COMPUTED_VALUE"""),0.7647058823529411)</f>
        <v>0.7647058824</v>
      </c>
      <c r="M774" s="30">
        <f>IFERROR(__xludf.DUMMYFUNCTION("""COMPUTED_VALUE"""),1.0)</f>
        <v>1</v>
      </c>
      <c r="N774" s="30">
        <f>IFERROR(__xludf.DUMMYFUNCTION("""COMPUTED_VALUE"""),1.911764705882353)</f>
        <v>1.911764706</v>
      </c>
      <c r="O774" s="30">
        <f>IFERROR(__xludf.DUMMYFUNCTION("""COMPUTED_VALUE"""),343.2941176470588)</f>
        <v>343.2941176</v>
      </c>
      <c r="P774" s="30">
        <f>IFERROR(__xludf.DUMMYFUNCTION("""COMPUTED_VALUE"""),0.9019607843137253)</f>
        <v>0.9019607843</v>
      </c>
      <c r="Q774" s="30">
        <f>IFERROR(__xludf.DUMMYFUNCTION("""COMPUTED_VALUE"""),0.5686274509803924)</f>
        <v>0.568627451</v>
      </c>
      <c r="R774" s="30">
        <f>IFERROR(__xludf.DUMMYFUNCTION("""COMPUTED_VALUE"""),1.1666666666666663)</f>
        <v>1.166666667</v>
      </c>
      <c r="S774" s="30">
        <f>IFERROR(__xludf.DUMMYFUNCTION("""COMPUTED_VALUE"""),2.3725490196078427)</f>
        <v>2.37254902</v>
      </c>
      <c r="T774" s="30">
        <f>IFERROR(__xludf.DUMMYFUNCTION("""COMPUTED_VALUE"""),329.3709158247151)</f>
        <v>329.3709158</v>
      </c>
      <c r="U774" s="30">
        <f>IFERROR(__xludf.DUMMYFUNCTION("""COMPUTED_VALUE"""),0.8177123445763271)</f>
        <v>0.8177123446</v>
      </c>
      <c r="V774" s="30">
        <f>IFERROR(__xludf.DUMMYFUNCTION("""COMPUTED_VALUE"""),0.5165567850756989)</f>
        <v>0.5165567851</v>
      </c>
      <c r="W774" s="30">
        <f>IFERROR(__xludf.DUMMYFUNCTION("""COMPUTED_VALUE"""),1.081008320815211)</f>
        <v>1.081008321</v>
      </c>
      <c r="X774" s="30">
        <f>IFERROR(__xludf.DUMMYFUNCTION("""COMPUTED_VALUE"""),2.3041896954019676)</f>
        <v>2.304189695</v>
      </c>
      <c r="Y774" s="30">
        <f>IFERROR(__xludf.DUMMYFUNCTION("""COMPUTED_VALUE"""),312.4303172203347)</f>
        <v>312.4303172</v>
      </c>
      <c r="Z774" s="30">
        <f>IFERROR(__xludf.DUMMYFUNCTION("""COMPUTED_VALUE"""),0.7198300093757962)</f>
        <v>0.7198300094</v>
      </c>
      <c r="AA774" s="30">
        <f>IFERROR(__xludf.DUMMYFUNCTION("""COMPUTED_VALUE"""),0.4683596258595421)</f>
        <v>0.4683596259</v>
      </c>
      <c r="AB774" s="30">
        <f>IFERROR(__xludf.DUMMYFUNCTION("""COMPUTED_VALUE"""),1.05824802837074)</f>
        <v>1.058248028</v>
      </c>
      <c r="AC774" s="30">
        <f>IFERROR(__xludf.DUMMYFUNCTION("""COMPUTED_VALUE"""),2.169677431678126)</f>
        <v>2.169677432</v>
      </c>
      <c r="AD774" s="30">
        <f>IFERROR(__xludf.DUMMYFUNCTION("""COMPUTED_VALUE"""),1.0493634039530788)</f>
        <v>1.049363404</v>
      </c>
      <c r="AE774" s="30">
        <f>IFERROR(__xludf.DUMMYFUNCTION("""COMPUTED_VALUE"""),1.0623423202598337)</f>
        <v>1.06234232</v>
      </c>
      <c r="AF774" s="30">
        <f>IFERROR(__xludf.DUMMYFUNCTION("""COMPUTED_VALUE"""),1.632732285473025)</f>
        <v>1.632732285</v>
      </c>
      <c r="AG774" s="30">
        <f>IFERROR(__xludf.DUMMYFUNCTION("""COMPUTED_VALUE"""),0.9449580563259657)</f>
        <v>0.9449580563</v>
      </c>
      <c r="AH774" s="30">
        <f>IFERROR(__xludf.DUMMYFUNCTION("""COMPUTED_VALUE"""),0.8811285391873704)</f>
        <v>0.8811285392</v>
      </c>
      <c r="AI774" s="30">
        <f>IFERROR(__xludf.DUMMYFUNCTION("""COMPUTED_VALUE"""),1.0422721046498027)</f>
        <v>1.042272105</v>
      </c>
      <c r="AJ774" s="30">
        <f>IFERROR(__xludf.DUMMYFUNCTION("""COMPUTED_VALUE"""),1.1030294336342066)</f>
        <v>1.103029434</v>
      </c>
      <c r="AK774" s="30">
        <f>IFERROR(__xludf.DUMMYFUNCTION("""COMPUTED_VALUE"""),1.1008033722702195)</f>
        <v>1.100803372</v>
      </c>
      <c r="AL774" s="30">
        <f>IFERROR(__xludf.DUMMYFUNCTION("""COMPUTED_VALUE"""),1.0792393029748915)</f>
        <v>1.079239303</v>
      </c>
      <c r="AM774" s="30">
        <f>IFERROR(__xludf.DUMMYFUNCTION("""COMPUTED_VALUE"""),1.0296674029669897)</f>
        <v>1.029667403</v>
      </c>
      <c r="AN774" s="30">
        <f>IFERROR(__xludf.DUMMYFUNCTION("""COMPUTED_VALUE"""),1.051791079076395)</f>
        <v>1.051791079</v>
      </c>
      <c r="AO774" s="30">
        <f>IFERROR(__xludf.DUMMYFUNCTION("""COMPUTED_VALUE"""),1.0205858688375233)</f>
        <v>1.020585869</v>
      </c>
      <c r="AP774" s="30">
        <f>IFERROR(__xludf.DUMMYFUNCTION("""COMPUTED_VALUE"""),1.4917488743213532)</f>
        <v>1.491748874</v>
      </c>
      <c r="AQ774" s="30">
        <f>IFERROR(__xludf.DUMMYFUNCTION("""COMPUTED_VALUE"""),0.9544994516245786)</f>
        <v>0.9544994516</v>
      </c>
      <c r="AR774" s="30">
        <f>IFERROR(__xludf.DUMMYFUNCTION("""COMPUTED_VALUE"""),0.8890418960213065)</f>
        <v>0.889041896</v>
      </c>
      <c r="AS774" s="30">
        <f>IFERROR(__xludf.DUMMYFUNCTION("""COMPUTED_VALUE"""),78.0)</f>
        <v>78</v>
      </c>
      <c r="AT774" s="30">
        <f>IFERROR(__xludf.DUMMYFUNCTION("""COMPUTED_VALUE"""),0.4348725867149809)</f>
        <v>0.4348725867</v>
      </c>
      <c r="AU774" s="30">
        <f>IFERROR(__xludf.DUMMYFUNCTION("""COMPUTED_VALUE"""),3.825520196567904)</f>
        <v>3.825520197</v>
      </c>
      <c r="AV774" s="32">
        <f>IFERROR(__xludf.DUMMYFUNCTION("""COMPUTED_VALUE"""),61.02534347546344)</f>
        <v>61.02534348</v>
      </c>
      <c r="AW774" s="32">
        <f>IFERROR(__xludf.DUMMYFUNCTION("""COMPUTED_VALUE"""),3.0339665419154818)</f>
        <v>3.033966542</v>
      </c>
      <c r="AX774" s="32">
        <f>IFERROR(__xludf.DUMMYFUNCTION("""COMPUTED_VALUE"""),51.07357817321217)</f>
        <v>51.07357817</v>
      </c>
      <c r="AY774" s="32">
        <f>IFERROR(__xludf.DUMMYFUNCTION("""COMPUTED_VALUE"""),2.070936041184811)</f>
        <v>2.070936041</v>
      </c>
      <c r="AZ774" s="30">
        <f>IFERROR(__xludf.DUMMYFUNCTION("""COMPUTED_VALUE"""),0.963030500730671)</f>
        <v>0.9630305007</v>
      </c>
      <c r="BA774" s="30">
        <f>IFERROR(__xludf.DUMMYFUNCTION("""COMPUTED_VALUE"""),3200.0)</f>
        <v>3200</v>
      </c>
    </row>
    <row r="775">
      <c r="A775" s="71" t="str">
        <f>IFERROR(__xludf.DUMMYFUNCTION("""COMPUTED_VALUE"""),"Contender")</f>
        <v>Contender</v>
      </c>
      <c r="B775" s="71" t="str">
        <f>IFERROR(__xludf.DUMMYFUNCTION("""COMPUTED_VALUE"""),"RSC007153")</f>
        <v>RSC007153</v>
      </c>
      <c r="C775" s="30" t="str">
        <f>IFERROR(__xludf.DUMMYFUNCTION("""COMPUTED_VALUE"""),"Washyman111670")</f>
        <v>Washyman111670</v>
      </c>
      <c r="D775" s="30" t="str">
        <f>IFERROR(__xludf.DUMMYFUNCTION("""COMPUTED_VALUE"""),"Ice")</f>
        <v>Ice</v>
      </c>
      <c r="E775" s="30">
        <f>IFERROR(__xludf.DUMMYFUNCTION("""COMPUTED_VALUE"""),32.0)</f>
        <v>32</v>
      </c>
      <c r="F775" s="30">
        <f>IFERROR(__xludf.DUMMYFUNCTION("""COMPUTED_VALUE"""),18.0)</f>
        <v>18</v>
      </c>
      <c r="G775" s="42">
        <f>IFERROR(__xludf.DUMMYFUNCTION("""COMPUTED_VALUE"""),14.0)</f>
        <v>14</v>
      </c>
      <c r="H775" s="42">
        <f>IFERROR(__xludf.DUMMYFUNCTION("""COMPUTED_VALUE"""),0.5625)</f>
        <v>0.5625</v>
      </c>
      <c r="I775" s="42">
        <f>IFERROR(__xludf.DUMMYFUNCTION("""COMPUTED_VALUE"""),0.4367816091954023)</f>
        <v>0.4367816092</v>
      </c>
      <c r="J775" s="30">
        <f>IFERROR(__xludf.DUMMYFUNCTION("""COMPUTED_VALUE"""),404.65625)</f>
        <v>404.65625</v>
      </c>
      <c r="K775" s="30">
        <f>IFERROR(__xludf.DUMMYFUNCTION("""COMPUTED_VALUE"""),1.1875)</f>
        <v>1.1875</v>
      </c>
      <c r="L775" s="30">
        <f>IFERROR(__xludf.DUMMYFUNCTION("""COMPUTED_VALUE"""),0.5)</f>
        <v>0.5</v>
      </c>
      <c r="M775" s="30">
        <f>IFERROR(__xludf.DUMMYFUNCTION("""COMPUTED_VALUE"""),1.46875)</f>
        <v>1.46875</v>
      </c>
      <c r="N775" s="30">
        <f>IFERROR(__xludf.DUMMYFUNCTION("""COMPUTED_VALUE"""),2.71875)</f>
        <v>2.71875</v>
      </c>
      <c r="O775" s="30">
        <f>IFERROR(__xludf.DUMMYFUNCTION("""COMPUTED_VALUE"""),318.73958333333337)</f>
        <v>318.7395833</v>
      </c>
      <c r="P775" s="30">
        <f>IFERROR(__xludf.DUMMYFUNCTION("""COMPUTED_VALUE"""),0.71875)</f>
        <v>0.71875</v>
      </c>
      <c r="Q775" s="30">
        <f>IFERROR(__xludf.DUMMYFUNCTION("""COMPUTED_VALUE"""),0.5416666666666666)</f>
        <v>0.5416666667</v>
      </c>
      <c r="R775" s="30">
        <f>IFERROR(__xludf.DUMMYFUNCTION("""COMPUTED_VALUE"""),1.0520833333333335)</f>
        <v>1.052083333</v>
      </c>
      <c r="S775" s="30">
        <f>IFERROR(__xludf.DUMMYFUNCTION("""COMPUTED_VALUE"""),2.3958333333333326)</f>
        <v>2.395833333</v>
      </c>
      <c r="T775" s="30">
        <f>IFERROR(__xludf.DUMMYFUNCTION("""COMPUTED_VALUE"""),307.677098748083)</f>
        <v>307.6770987</v>
      </c>
      <c r="U775" s="30">
        <f>IFERROR(__xludf.DUMMYFUNCTION("""COMPUTED_VALUE"""),0.7289508959057623)</f>
        <v>0.7289508959</v>
      </c>
      <c r="V775" s="30">
        <f>IFERROR(__xludf.DUMMYFUNCTION("""COMPUTED_VALUE"""),0.470055782867236)</f>
        <v>0.4700557829</v>
      </c>
      <c r="W775" s="30">
        <f>IFERROR(__xludf.DUMMYFUNCTION("""COMPUTED_VALUE"""),1.0231423712534395)</f>
        <v>1.023142371</v>
      </c>
      <c r="X775" s="30">
        <f>IFERROR(__xludf.DUMMYFUNCTION("""COMPUTED_VALUE"""),2.1213990925283346)</f>
        <v>2.121399093</v>
      </c>
      <c r="Y775" s="30">
        <f>IFERROR(__xludf.DUMMYFUNCTION("""COMPUTED_VALUE"""),325.2817088861314)</f>
        <v>325.2817089</v>
      </c>
      <c r="Z775" s="30">
        <f>IFERROR(__xludf.DUMMYFUNCTION("""COMPUTED_VALUE"""),0.8067797706146383)</f>
        <v>0.8067797706</v>
      </c>
      <c r="AA775" s="30">
        <f>IFERROR(__xludf.DUMMYFUNCTION("""COMPUTED_VALUE"""),0.522641891963532)</f>
        <v>0.522641892</v>
      </c>
      <c r="AB775" s="30">
        <f>IFERROR(__xludf.DUMMYFUNCTION("""COMPUTED_VALUE"""),1.0565500960990124)</f>
        <v>1.056550096</v>
      </c>
      <c r="AC775" s="30">
        <f>IFERROR(__xludf.DUMMYFUNCTION("""COMPUTED_VALUE"""),2.2598212883774913)</f>
        <v>2.259821288</v>
      </c>
      <c r="AD775" s="30">
        <f>IFERROR(__xludf.DUMMYFUNCTION("""COMPUTED_VALUE"""),1.2440178434430649)</f>
        <v>1.244017843</v>
      </c>
      <c r="AE775" s="30">
        <f>IFERROR(__xludf.DUMMYFUNCTION("""COMPUTED_VALUE"""),1.4719010605525138)</f>
        <v>1.471901061</v>
      </c>
      <c r="AF775" s="30">
        <f>IFERROR(__xludf.DUMMYFUNCTION("""COMPUTED_VALUE"""),0.9566780001532831)</f>
        <v>0.9566780002</v>
      </c>
      <c r="AG775" s="30">
        <f>IFERROR(__xludf.DUMMYFUNCTION("""COMPUTED_VALUE"""),1.3901375859250873)</f>
        <v>1.390137586</v>
      </c>
      <c r="AH775" s="30">
        <f>IFERROR(__xludf.DUMMYFUNCTION("""COMPUTED_VALUE"""),1.2030818604917253)</f>
        <v>1.20308186</v>
      </c>
      <c r="AI775" s="30">
        <f>IFERROR(__xludf.DUMMYFUNCTION("""COMPUTED_VALUE"""),1.0359548521169202)</f>
        <v>1.035954852</v>
      </c>
      <c r="AJ775" s="30">
        <f>IFERROR(__xludf.DUMMYFUNCTION("""COMPUTED_VALUE"""),0.9860060588949724)</f>
        <v>0.9860060589</v>
      </c>
      <c r="AK775" s="30">
        <f>IFERROR(__xludf.DUMMYFUNCTION("""COMPUTED_VALUE"""),1.1523455011288664)</f>
        <v>1.152345501</v>
      </c>
      <c r="AL775" s="30">
        <f>IFERROR(__xludf.DUMMYFUNCTION("""COMPUTED_VALUE"""),1.0282863488924212)</f>
        <v>1.028286349</v>
      </c>
      <c r="AM775" s="30">
        <f>IFERROR(__xludf.DUMMYFUNCTION("""COMPUTED_VALUE"""),1.1293647394172874)</f>
        <v>1.129364739</v>
      </c>
      <c r="AN775" s="30">
        <f>IFERROR(__xludf.DUMMYFUNCTION("""COMPUTED_VALUE"""),1.298185193383444)</f>
        <v>1.298185193</v>
      </c>
      <c r="AO775" s="30">
        <f>IFERROR(__xludf.DUMMYFUNCTION("""COMPUTED_VALUE"""),1.5848520943967308)</f>
        <v>1.584852094</v>
      </c>
      <c r="AP775" s="30">
        <f>IFERROR(__xludf.DUMMYFUNCTION("""COMPUTED_VALUE"""),0.9753742639793463)</f>
        <v>0.975374264</v>
      </c>
      <c r="AQ775" s="30">
        <f>IFERROR(__xludf.DUMMYFUNCTION("""COMPUTED_VALUE"""),1.4019210695735997)</f>
        <v>1.40192107</v>
      </c>
      <c r="AR775" s="30">
        <f>IFERROR(__xludf.DUMMYFUNCTION("""COMPUTED_VALUE"""),1.264320157899531)</f>
        <v>1.264320158</v>
      </c>
      <c r="AS775" s="30">
        <f>IFERROR(__xludf.DUMMYFUNCTION("""COMPUTED_VALUE"""),82.0)</f>
        <v>82</v>
      </c>
      <c r="AT775" s="30">
        <f>IFERROR(__xludf.DUMMYFUNCTION("""COMPUTED_VALUE"""),0.5669552871030954)</f>
        <v>0.5669552871</v>
      </c>
      <c r="AU775" s="30">
        <f>IFERROR(__xludf.DUMMYFUNCTION("""COMPUTED_VALUE"""),4.356738894435728)</f>
        <v>4.356738894</v>
      </c>
      <c r="AV775" s="32">
        <f>IFERROR(__xludf.DUMMYFUNCTION("""COMPUTED_VALUE"""),70.18478167852305)</f>
        <v>70.18478168</v>
      </c>
      <c r="AW775" s="32">
        <f>IFERROR(__xludf.DUMMYFUNCTION("""COMPUTED_VALUE"""),4.768249978529691)</f>
        <v>4.768249979</v>
      </c>
      <c r="AX775" s="32">
        <f>IFERROR(__xludf.DUMMYFUNCTION("""COMPUTED_VALUE"""),73.34723587492547)</f>
        <v>73.34723587</v>
      </c>
      <c r="AY775" s="32">
        <f>IFERROR(__xludf.DUMMYFUNCTION("""COMPUTED_VALUE"""),5.708399063459606)</f>
        <v>5.708399063</v>
      </c>
      <c r="AZ775" s="30">
        <f>IFERROR(__xludf.DUMMYFUNCTION("""COMPUTED_VALUE"""),0.9401490849299146)</f>
        <v>0.9401490849</v>
      </c>
      <c r="BA775" s="30">
        <f>IFERROR(__xludf.DUMMYFUNCTION("""COMPUTED_VALUE"""),3200.0)</f>
        <v>3200</v>
      </c>
    </row>
    <row r="776">
      <c r="A776" s="71" t="str">
        <f>IFERROR(__xludf.DUMMYFUNCTION("""COMPUTED_VALUE"""),"Contender")</f>
        <v>Contender</v>
      </c>
      <c r="B776" s="71" t="str">
        <f>IFERROR(__xludf.DUMMYFUNCTION("""COMPUTED_VALUE"""),"RSC005870")</f>
        <v>RSC005870</v>
      </c>
      <c r="C776" s="30" t="str">
        <f>IFERROR(__xludf.DUMMYFUNCTION("""COMPUTED_VALUE"""),"Evil twin")</f>
        <v>Evil twin</v>
      </c>
      <c r="D776" s="30" t="str">
        <f>IFERROR(__xludf.DUMMYFUNCTION("""COMPUTED_VALUE"""),"Toothpaste")</f>
        <v>Toothpaste</v>
      </c>
      <c r="E776" s="30">
        <f>IFERROR(__xludf.DUMMYFUNCTION("""COMPUTED_VALUE"""),28.0)</f>
        <v>28</v>
      </c>
      <c r="F776" s="30">
        <f>IFERROR(__xludf.DUMMYFUNCTION("""COMPUTED_VALUE"""),8.0)</f>
        <v>8</v>
      </c>
      <c r="G776" s="42">
        <f>IFERROR(__xludf.DUMMYFUNCTION("""COMPUTED_VALUE"""),20.0)</f>
        <v>20</v>
      </c>
      <c r="H776" s="42">
        <f>IFERROR(__xludf.DUMMYFUNCTION("""COMPUTED_VALUE"""),0.2857142857142857)</f>
        <v>0.2857142857</v>
      </c>
      <c r="I776" s="42">
        <f>IFERROR(__xludf.DUMMYFUNCTION("""COMPUTED_VALUE"""),0.29310344827586204)</f>
        <v>0.2931034483</v>
      </c>
      <c r="J776" s="30">
        <f>IFERROR(__xludf.DUMMYFUNCTION("""COMPUTED_VALUE"""),280.14285714285717)</f>
        <v>280.1428571</v>
      </c>
      <c r="K776" s="30">
        <f>IFERROR(__xludf.DUMMYFUNCTION("""COMPUTED_VALUE"""),0.6071428571428571)</f>
        <v>0.6071428571</v>
      </c>
      <c r="L776" s="30">
        <f>IFERROR(__xludf.DUMMYFUNCTION("""COMPUTED_VALUE"""),0.39285714285714285)</f>
        <v>0.3928571429</v>
      </c>
      <c r="M776" s="30">
        <f>IFERROR(__xludf.DUMMYFUNCTION("""COMPUTED_VALUE"""),0.9642857142857143)</f>
        <v>0.9642857143</v>
      </c>
      <c r="N776" s="30">
        <f>IFERROR(__xludf.DUMMYFUNCTION("""COMPUTED_VALUE"""),2.0714285714285716)</f>
        <v>2.071428571</v>
      </c>
      <c r="O776" s="30">
        <f>IFERROR(__xludf.DUMMYFUNCTION("""COMPUTED_VALUE"""),328.23809523809524)</f>
        <v>328.2380952</v>
      </c>
      <c r="P776" s="30">
        <f>IFERROR(__xludf.DUMMYFUNCTION("""COMPUTED_VALUE"""),0.8809523809523807)</f>
        <v>0.880952381</v>
      </c>
      <c r="Q776" s="30">
        <f>IFERROR(__xludf.DUMMYFUNCTION("""COMPUTED_VALUE"""),0.511904761904762)</f>
        <v>0.5119047619</v>
      </c>
      <c r="R776" s="30">
        <f>IFERROR(__xludf.DUMMYFUNCTION("""COMPUTED_VALUE"""),1.0357142857142858)</f>
        <v>1.035714286</v>
      </c>
      <c r="S776" s="30">
        <f>IFERROR(__xludf.DUMMYFUNCTION("""COMPUTED_VALUE"""),2.0952380952380953)</f>
        <v>2.095238095</v>
      </c>
      <c r="T776" s="30">
        <f>IFERROR(__xludf.DUMMYFUNCTION("""COMPUTED_VALUE"""),326.45658755020895)</f>
        <v>326.4565876</v>
      </c>
      <c r="U776" s="30">
        <f>IFERROR(__xludf.DUMMYFUNCTION("""COMPUTED_VALUE"""),0.7843327323643455)</f>
        <v>0.7843327324</v>
      </c>
      <c r="V776" s="30">
        <f>IFERROR(__xludf.DUMMYFUNCTION("""COMPUTED_VALUE"""),0.5207878925839944)</f>
        <v>0.5207878926</v>
      </c>
      <c r="W776" s="30">
        <f>IFERROR(__xludf.DUMMYFUNCTION("""COMPUTED_VALUE"""),1.0889639681626986)</f>
        <v>1.088963968</v>
      </c>
      <c r="X776" s="30">
        <f>IFERROR(__xludf.DUMMYFUNCTION("""COMPUTED_VALUE"""),2.2362774603436093)</f>
        <v>2.23627746</v>
      </c>
      <c r="Y776" s="30">
        <f>IFERROR(__xludf.DUMMYFUNCTION("""COMPUTED_VALUE"""),321.4366807985883)</f>
        <v>321.4366808</v>
      </c>
      <c r="Z776" s="30">
        <f>IFERROR(__xludf.DUMMYFUNCTION("""COMPUTED_VALUE"""),0.7848664249487156)</f>
        <v>0.7848664249</v>
      </c>
      <c r="AA776" s="30">
        <f>IFERROR(__xludf.DUMMYFUNCTION("""COMPUTED_VALUE"""),0.5245860923841418)</f>
        <v>0.5245860924</v>
      </c>
      <c r="AB776" s="30">
        <f>IFERROR(__xludf.DUMMYFUNCTION("""COMPUTED_VALUE"""),1.0518680732429917)</f>
        <v>1.051868073</v>
      </c>
      <c r="AC776" s="30">
        <f>IFERROR(__xludf.DUMMYFUNCTION("""COMPUTED_VALUE"""),2.236875216219251)</f>
        <v>2.236875216</v>
      </c>
      <c r="AD776" s="30">
        <f>IFERROR(__xludf.DUMMYFUNCTION("""COMPUTED_VALUE"""),0.8715335675034369)</f>
        <v>0.8715335675</v>
      </c>
      <c r="AE776" s="30">
        <f>IFERROR(__xludf.DUMMYFUNCTION("""COMPUTED_VALUE"""),0.7735620200373953)</f>
        <v>0.77356202</v>
      </c>
      <c r="AF776" s="30">
        <f>IFERROR(__xludf.DUMMYFUNCTION("""COMPUTED_VALUE"""),0.7488897409988197)</f>
        <v>0.748889741</v>
      </c>
      <c r="AG776" s="30">
        <f>IFERROR(__xludf.DUMMYFUNCTION("""COMPUTED_VALUE"""),0.9167363653435605)</f>
        <v>0.9167363653</v>
      </c>
      <c r="AH776" s="30">
        <f>IFERROR(__xludf.DUMMYFUNCTION("""COMPUTED_VALUE"""),0.9260367124678882)</f>
        <v>0.9260367125</v>
      </c>
      <c r="AI776" s="30">
        <f>IFERROR(__xludf.DUMMYFUNCTION("""COMPUTED_VALUE"""),1.0054571044231488)</f>
        <v>1.005457104</v>
      </c>
      <c r="AJ776" s="30">
        <f>IFERROR(__xludf.DUMMYFUNCTION("""COMPUTED_VALUE"""),1.123187066663377)</f>
        <v>1.123187067</v>
      </c>
      <c r="AK776" s="30">
        <f>IFERROR(__xludf.DUMMYFUNCTION("""COMPUTED_VALUE"""),0.9829429009281361)</f>
        <v>0.9829429009</v>
      </c>
      <c r="AL776" s="30">
        <f>IFERROR(__xludf.DUMMYFUNCTION("""COMPUTED_VALUE"""),0.9511006020352945)</f>
        <v>0.951100602</v>
      </c>
      <c r="AM776" s="30">
        <f>IFERROR(__xludf.DUMMYFUNCTION("""COMPUTED_VALUE"""),0.9369311869360598)</f>
        <v>0.9369311869</v>
      </c>
      <c r="AN776" s="30">
        <f>IFERROR(__xludf.DUMMYFUNCTION("""COMPUTED_VALUE"""),0.8987314768398872)</f>
        <v>0.8987314768</v>
      </c>
      <c r="AO776" s="30">
        <f>IFERROR(__xludf.DUMMYFUNCTION("""COMPUTED_VALUE"""),0.8103003189396819)</f>
        <v>0.8103003189</v>
      </c>
      <c r="AP776" s="30">
        <f>IFERROR(__xludf.DUMMYFUNCTION("""COMPUTED_VALUE"""),0.7663654931266293)</f>
        <v>0.7663654931</v>
      </c>
      <c r="AQ776" s="30">
        <f>IFERROR(__xludf.DUMMYFUNCTION("""COMPUTED_VALUE"""),0.9204101854951294)</f>
        <v>0.9204101855</v>
      </c>
      <c r="AR776" s="30">
        <f>IFERROR(__xludf.DUMMYFUNCTION("""COMPUTED_VALUE"""),0.9632915488758332)</f>
        <v>0.9632915489</v>
      </c>
      <c r="AS776" s="30">
        <f>IFERROR(__xludf.DUMMYFUNCTION("""COMPUTED_VALUE"""),45.0)</f>
        <v>45</v>
      </c>
      <c r="AT776" s="30">
        <f>IFERROR(__xludf.DUMMYFUNCTION("""COMPUTED_VALUE"""),0.32006956017144716)</f>
        <v>0.3200695602</v>
      </c>
      <c r="AU776" s="30">
        <f>IFERROR(__xludf.DUMMYFUNCTION("""COMPUTED_VALUE"""),2.5261581475850727)</f>
        <v>2.526158148</v>
      </c>
      <c r="AV776" s="32">
        <f>IFERROR(__xludf.DUMMYFUNCTION("""COMPUTED_VALUE"""),38.6213384228769)</f>
        <v>38.62133842</v>
      </c>
      <c r="AW776" s="32">
        <f>IFERROR(__xludf.DUMMYFUNCTION("""COMPUTED_VALUE"""),-3.081645707349789)</f>
        <v>-3.081645707</v>
      </c>
      <c r="AX776" s="32">
        <f>IFERROR(__xludf.DUMMYFUNCTION("""COMPUTED_VALUE"""),46.48554611041989)</f>
        <v>46.48554611</v>
      </c>
      <c r="AY776" s="32">
        <f>IFERROR(__xludf.DUMMYFUNCTION("""COMPUTED_VALUE"""),-2.2517369742946136)</f>
        <v>-2.251736974</v>
      </c>
      <c r="AZ776" s="30">
        <f>IFERROR(__xludf.DUMMYFUNCTION("""COMPUTED_VALUE"""),0.8299087330551753)</f>
        <v>0.8299087331</v>
      </c>
      <c r="BA776" s="30">
        <f>IFERROR(__xludf.DUMMYFUNCTION("""COMPUTED_VALUE"""),3200.0)</f>
        <v>3200</v>
      </c>
    </row>
    <row r="777">
      <c r="A777" s="71" t="str">
        <f>IFERROR(__xludf.DUMMYFUNCTION("""COMPUTED_VALUE"""),"Contender")</f>
        <v>Contender</v>
      </c>
      <c r="B777" s="71" t="str">
        <f>IFERROR(__xludf.DUMMYFUNCTION("""COMPUTED_VALUE"""),"RSC006880")</f>
        <v>RSC006880</v>
      </c>
      <c r="C777" s="30" t="str">
        <f>IFERROR(__xludf.DUMMYFUNCTION("""COMPUTED_VALUE"""),"Kenjicat17")</f>
        <v>Kenjicat17</v>
      </c>
      <c r="D777" s="30" t="str">
        <f>IFERROR(__xludf.DUMMYFUNCTION("""COMPUTED_VALUE"""),"Ice")</f>
        <v>Ice</v>
      </c>
      <c r="E777" s="30">
        <f>IFERROR(__xludf.DUMMYFUNCTION("""COMPUTED_VALUE"""),35.0)</f>
        <v>35</v>
      </c>
      <c r="F777" s="30">
        <f>IFERROR(__xludf.DUMMYFUNCTION("""COMPUTED_VALUE"""),21.0)</f>
        <v>21</v>
      </c>
      <c r="G777" s="42">
        <f>IFERROR(__xludf.DUMMYFUNCTION("""COMPUTED_VALUE"""),14.0)</f>
        <v>14</v>
      </c>
      <c r="H777" s="42">
        <f>IFERROR(__xludf.DUMMYFUNCTION("""COMPUTED_VALUE"""),0.6)</f>
        <v>0.6</v>
      </c>
      <c r="I777" s="42">
        <f>IFERROR(__xludf.DUMMYFUNCTION("""COMPUTED_VALUE"""),0.4)</f>
        <v>0.4</v>
      </c>
      <c r="J777" s="30">
        <f>IFERROR(__xludf.DUMMYFUNCTION("""COMPUTED_VALUE"""),312.8)</f>
        <v>312.8</v>
      </c>
      <c r="K777" s="30">
        <f>IFERROR(__xludf.DUMMYFUNCTION("""COMPUTED_VALUE"""),0.8)</f>
        <v>0.8</v>
      </c>
      <c r="L777" s="30">
        <f>IFERROR(__xludf.DUMMYFUNCTION("""COMPUTED_VALUE"""),0.42857142857142855)</f>
        <v>0.4285714286</v>
      </c>
      <c r="M777" s="30">
        <f>IFERROR(__xludf.DUMMYFUNCTION("""COMPUTED_VALUE"""),1.0)</f>
        <v>1</v>
      </c>
      <c r="N777" s="30">
        <f>IFERROR(__xludf.DUMMYFUNCTION("""COMPUTED_VALUE"""),2.0)</f>
        <v>2</v>
      </c>
      <c r="O777" s="30">
        <f>IFERROR(__xludf.DUMMYFUNCTION("""COMPUTED_VALUE"""),318.5238095238096)</f>
        <v>318.5238095</v>
      </c>
      <c r="P777" s="30">
        <f>IFERROR(__xludf.DUMMYFUNCTION("""COMPUTED_VALUE"""),0.7238095238095238)</f>
        <v>0.7238095238</v>
      </c>
      <c r="Q777" s="30">
        <f>IFERROR(__xludf.DUMMYFUNCTION("""COMPUTED_VALUE"""),0.5428571428571427)</f>
        <v>0.5428571429</v>
      </c>
      <c r="R777" s="30">
        <f>IFERROR(__xludf.DUMMYFUNCTION("""COMPUTED_VALUE"""),1.0190476190476192)</f>
        <v>1.019047619</v>
      </c>
      <c r="S777" s="30">
        <f>IFERROR(__xludf.DUMMYFUNCTION("""COMPUTED_VALUE"""),2.4190476190476193)</f>
        <v>2.419047619</v>
      </c>
      <c r="T777" s="30">
        <f>IFERROR(__xludf.DUMMYFUNCTION("""COMPUTED_VALUE"""),311.0566004172146)</f>
        <v>311.0566004</v>
      </c>
      <c r="U777" s="30">
        <f>IFERROR(__xludf.DUMMYFUNCTION("""COMPUTED_VALUE"""),0.7449622733210083)</f>
        <v>0.7449622733</v>
      </c>
      <c r="V777" s="30">
        <f>IFERROR(__xludf.DUMMYFUNCTION("""COMPUTED_VALUE"""),0.48258638144256716)</f>
        <v>0.4825863814</v>
      </c>
      <c r="W777" s="30">
        <f>IFERROR(__xludf.DUMMYFUNCTION("""COMPUTED_VALUE"""),1.0286063183078664)</f>
        <v>1.028606318</v>
      </c>
      <c r="X777" s="30">
        <f>IFERROR(__xludf.DUMMYFUNCTION("""COMPUTED_VALUE"""),2.151659403834711)</f>
        <v>2.151659404</v>
      </c>
      <c r="Y777" s="30">
        <f>IFERROR(__xludf.DUMMYFUNCTION("""COMPUTED_VALUE"""),323.20492441325365)</f>
        <v>323.2049244</v>
      </c>
      <c r="Z777" s="30">
        <f>IFERROR(__xludf.DUMMYFUNCTION("""COMPUTED_VALUE"""),0.7892761695442392)</f>
        <v>0.7892761695</v>
      </c>
      <c r="AA777" s="30">
        <f>IFERROR(__xludf.DUMMYFUNCTION("""COMPUTED_VALUE"""),0.5125247492378676)</f>
        <v>0.5125247492</v>
      </c>
      <c r="AB777" s="30">
        <f>IFERROR(__xludf.DUMMYFUNCTION("""COMPUTED_VALUE"""),1.0620765749022507)</f>
        <v>1.062076575</v>
      </c>
      <c r="AC777" s="30">
        <f>IFERROR(__xludf.DUMMYFUNCTION("""COMPUTED_VALUE"""),2.2442398646341077)</f>
        <v>2.244239865</v>
      </c>
      <c r="AD777" s="30">
        <f>IFERROR(__xludf.DUMMYFUNCTION("""COMPUTED_VALUE"""),0.9678070362568184)</f>
        <v>0.9678070363</v>
      </c>
      <c r="AE777" s="30">
        <f>IFERROR(__xludf.DUMMYFUNCTION("""COMPUTED_VALUE"""),1.0135869178236476)</f>
        <v>1.013586918</v>
      </c>
      <c r="AF777" s="30">
        <f>IFERROR(__xludf.DUMMYFUNCTION("""COMPUTED_VALUE"""),0.8361965528664148)</f>
        <v>0.8361965529</v>
      </c>
      <c r="AG777" s="30">
        <f>IFERROR(__xludf.DUMMYFUNCTION("""COMPUTED_VALUE"""),0.9415516956411886)</f>
        <v>0.9415516956</v>
      </c>
      <c r="AH777" s="30">
        <f>IFERROR(__xludf.DUMMYFUNCTION("""COMPUTED_VALUE"""),0.8911703385707714)</f>
        <v>0.8911703386</v>
      </c>
      <c r="AI777" s="30">
        <f>IFERROR(__xludf.DUMMYFUNCTION("""COMPUTED_VALUE"""),1.0240059497100507)</f>
        <v>1.02400595</v>
      </c>
      <c r="AJ777" s="30">
        <f>IFERROR(__xludf.DUMMYFUNCTION("""COMPUTED_VALUE"""),0.9716056097482809)</f>
        <v>0.9716056097</v>
      </c>
      <c r="AK777" s="30">
        <f>IFERROR(__xludf.DUMMYFUNCTION("""COMPUTED_VALUE"""),1.1248911360374731)</f>
        <v>1.124891136</v>
      </c>
      <c r="AL777" s="30">
        <f>IFERROR(__xludf.DUMMYFUNCTION("""COMPUTED_VALUE"""),0.9907071353829792)</f>
        <v>0.9907071354</v>
      </c>
      <c r="AM777" s="30">
        <f>IFERROR(__xludf.DUMMYFUNCTION("""COMPUTED_VALUE"""),1.124270697646833)</f>
        <v>1.124270698</v>
      </c>
      <c r="AN777" s="30">
        <f>IFERROR(__xludf.DUMMYFUNCTION("""COMPUTED_VALUE"""),1.0034994603205594)</f>
        <v>1.00349946</v>
      </c>
      <c r="AO777" s="30">
        <f>IFERROR(__xludf.DUMMYFUNCTION("""COMPUTED_VALUE"""),1.0676898320146397)</f>
        <v>1.067689832</v>
      </c>
      <c r="AP777" s="30">
        <f>IFERROR(__xludf.DUMMYFUNCTION("""COMPUTED_VALUE"""),0.8360350834108683)</f>
        <v>0.8360350834</v>
      </c>
      <c r="AQ777" s="30">
        <f>IFERROR(__xludf.DUMMYFUNCTION("""COMPUTED_VALUE"""),0.9544994516245786)</f>
        <v>0.9544994516</v>
      </c>
      <c r="AR777" s="30">
        <f>IFERROR(__xludf.DUMMYFUNCTION("""COMPUTED_VALUE"""),0.9300745989145975)</f>
        <v>0.9300745989</v>
      </c>
      <c r="AS777" s="30">
        <f>IFERROR(__xludf.DUMMYFUNCTION("""COMPUTED_VALUE"""),90.0)</f>
        <v>90</v>
      </c>
      <c r="AT777" s="30">
        <f>IFERROR(__xludf.DUMMYFUNCTION("""COMPUTED_VALUE"""),0.5656943985970159)</f>
        <v>0.5656943986</v>
      </c>
      <c r="AU777" s="30">
        <f>IFERROR(__xludf.DUMMYFUNCTION("""COMPUTED_VALUE"""),2.9355797756498676)</f>
        <v>2.935579776</v>
      </c>
      <c r="AV777" s="32">
        <f>IFERROR(__xludf.DUMMYFUNCTION("""COMPUTED_VALUE"""),45.68071362240843)</f>
        <v>45.68071362</v>
      </c>
      <c r="AW777" s="32">
        <f>IFERROR(__xludf.DUMMYFUNCTION("""COMPUTED_VALUE"""),-2.3179508222074885)</f>
        <v>-2.317950822</v>
      </c>
      <c r="AX777" s="32">
        <f>IFERROR(__xludf.DUMMYFUNCTION("""COMPUTED_VALUE"""),38.629898523506796)</f>
        <v>38.62989852</v>
      </c>
      <c r="AY777" s="32">
        <f>IFERROR(__xludf.DUMMYFUNCTION("""COMPUTED_VALUE"""),-3.0804764785329612)</f>
        <v>-3.080476479</v>
      </c>
      <c r="AZ777" s="30">
        <f>IFERROR(__xludf.DUMMYFUNCTION("""COMPUTED_VALUE"""),0.7625256563254728)</f>
        <v>0.7625256563</v>
      </c>
      <c r="BA777" s="30">
        <f>IFERROR(__xludf.DUMMYFUNCTION("""COMPUTED_VALUE"""),3200.0)</f>
        <v>3200</v>
      </c>
    </row>
    <row r="778">
      <c r="A778" s="71" t="str">
        <f>IFERROR(__xludf.DUMMYFUNCTION("""COMPUTED_VALUE"""),"Contender")</f>
        <v>Contender</v>
      </c>
      <c r="B778" s="71" t="str">
        <f>IFERROR(__xludf.DUMMYFUNCTION("""COMPUTED_VALUE"""),"RSC005937")</f>
        <v>RSC005937</v>
      </c>
      <c r="C778" s="30" t="str">
        <f>IFERROR(__xludf.DUMMYFUNCTION("""COMPUTED_VALUE"""),"SlashFabo420")</f>
        <v>SlashFabo420</v>
      </c>
      <c r="D778" s="30" t="str">
        <f>IFERROR(__xludf.DUMMYFUNCTION("""COMPUTED_VALUE"""),"Celestial Cider")</f>
        <v>Celestial Cider</v>
      </c>
      <c r="E778" s="30">
        <f>IFERROR(__xludf.DUMMYFUNCTION("""COMPUTED_VALUE"""),30.0)</f>
        <v>30</v>
      </c>
      <c r="F778" s="30">
        <f>IFERROR(__xludf.DUMMYFUNCTION("""COMPUTED_VALUE"""),14.0)</f>
        <v>14</v>
      </c>
      <c r="G778" s="42">
        <f>IFERROR(__xludf.DUMMYFUNCTION("""COMPUTED_VALUE"""),16.0)</f>
        <v>16</v>
      </c>
      <c r="H778" s="42">
        <f>IFERROR(__xludf.DUMMYFUNCTION("""COMPUTED_VALUE"""),0.4666666666666667)</f>
        <v>0.4666666667</v>
      </c>
      <c r="I778" s="42">
        <f>IFERROR(__xludf.DUMMYFUNCTION("""COMPUTED_VALUE"""),0.26)</f>
        <v>0.26</v>
      </c>
      <c r="J778" s="30">
        <f>IFERROR(__xludf.DUMMYFUNCTION("""COMPUTED_VALUE"""),257.0)</f>
        <v>257</v>
      </c>
      <c r="K778" s="30">
        <f>IFERROR(__xludf.DUMMYFUNCTION("""COMPUTED_VALUE"""),0.43333333333333335)</f>
        <v>0.4333333333</v>
      </c>
      <c r="L778" s="30">
        <f>IFERROR(__xludf.DUMMYFUNCTION("""COMPUTED_VALUE"""),0.5333333333333333)</f>
        <v>0.5333333333</v>
      </c>
      <c r="M778" s="30">
        <f>IFERROR(__xludf.DUMMYFUNCTION("""COMPUTED_VALUE"""),0.8)</f>
        <v>0.8</v>
      </c>
      <c r="N778" s="30">
        <f>IFERROR(__xludf.DUMMYFUNCTION("""COMPUTED_VALUE"""),1.6666666666666667)</f>
        <v>1.666666667</v>
      </c>
      <c r="O778" s="30">
        <f>IFERROR(__xludf.DUMMYFUNCTION("""COMPUTED_VALUE"""),315.9222222222222)</f>
        <v>315.9222222</v>
      </c>
      <c r="P778" s="30">
        <f>IFERROR(__xludf.DUMMYFUNCTION("""COMPUTED_VALUE"""),0.8333333333333333)</f>
        <v>0.8333333333</v>
      </c>
      <c r="Q778" s="30">
        <f>IFERROR(__xludf.DUMMYFUNCTION("""COMPUTED_VALUE"""),0.5444444444444445)</f>
        <v>0.5444444444</v>
      </c>
      <c r="R778" s="30">
        <f>IFERROR(__xludf.DUMMYFUNCTION("""COMPUTED_VALUE"""),0.9555555555555555)</f>
        <v>0.9555555556</v>
      </c>
      <c r="S778" s="30">
        <f>IFERROR(__xludf.DUMMYFUNCTION("""COMPUTED_VALUE"""),2.2000000000000006)</f>
        <v>2.2</v>
      </c>
      <c r="T778" s="30">
        <f>IFERROR(__xludf.DUMMYFUNCTION("""COMPUTED_VALUE"""),313.86314695941286)</f>
        <v>313.863147</v>
      </c>
      <c r="U778" s="30">
        <f>IFERROR(__xludf.DUMMYFUNCTION("""COMPUTED_VALUE"""),0.7672317556568118)</f>
        <v>0.7672317557</v>
      </c>
      <c r="V778" s="30">
        <f>IFERROR(__xludf.DUMMYFUNCTION("""COMPUTED_VALUE"""),0.4617553516216376)</f>
        <v>0.4617553516</v>
      </c>
      <c r="W778" s="30">
        <f>IFERROR(__xludf.DUMMYFUNCTION("""COMPUTED_VALUE"""),1.031655972275434)</f>
        <v>1.031655972</v>
      </c>
      <c r="X778" s="30">
        <f>IFERROR(__xludf.DUMMYFUNCTION("""COMPUTED_VALUE"""),2.181127866672866)</f>
        <v>2.181127867</v>
      </c>
      <c r="Y778" s="30">
        <f>IFERROR(__xludf.DUMMYFUNCTION("""COMPUTED_VALUE"""),326.2865863802927)</f>
        <v>326.2865864</v>
      </c>
      <c r="Z778" s="30">
        <f>IFERROR(__xludf.DUMMYFUNCTION("""COMPUTED_VALUE"""),0.82986158561147)</f>
        <v>0.8298615856</v>
      </c>
      <c r="AA778" s="30">
        <f>IFERROR(__xludf.DUMMYFUNCTION("""COMPUTED_VALUE"""),0.5289322674163961)</f>
        <v>0.5289322674</v>
      </c>
      <c r="AB778" s="30">
        <f>IFERROR(__xludf.DUMMYFUNCTION("""COMPUTED_VALUE"""),1.0396372875154767)</f>
        <v>1.039637288</v>
      </c>
      <c r="AC778" s="30">
        <f>IFERROR(__xludf.DUMMYFUNCTION("""COMPUTED_VALUE"""),2.2629235724366685)</f>
        <v>2.262923572</v>
      </c>
      <c r="AD778" s="30">
        <f>IFERROR(__xludf.DUMMYFUNCTION("""COMPUTED_VALUE"""),0.7876511347005298)</f>
        <v>0.7876511347</v>
      </c>
      <c r="AE778" s="30">
        <f>IFERROR(__xludf.DUMMYFUNCTION("""COMPUTED_VALUE"""),0.5221754336466107)</f>
        <v>0.5221754336</v>
      </c>
      <c r="AF778" s="30">
        <f>IFERROR(__xludf.DUMMYFUNCTION("""COMPUTED_VALUE"""),1.0083206606744461)</f>
        <v>1.008320661</v>
      </c>
      <c r="AG778" s="30">
        <f>IFERROR(__xludf.DUMMYFUNCTION("""COMPUTED_VALUE"""),0.769499141293632)</f>
        <v>0.7694991413</v>
      </c>
      <c r="AH778" s="30">
        <f>IFERROR(__xludf.DUMMYFUNCTION("""COMPUTED_VALUE"""),0.7365103651609564)</f>
        <v>0.7365103652</v>
      </c>
      <c r="AI778" s="30">
        <f>IFERROR(__xludf.DUMMYFUNCTION("""COMPUTED_VALUE"""),1.0065604238113233)</f>
        <v>1.006560424</v>
      </c>
      <c r="AJ778" s="30">
        <f>IFERROR(__xludf.DUMMYFUNCTION("""COMPUTED_VALUE"""),1.0861559459565555)</f>
        <v>1.086155946</v>
      </c>
      <c r="AK778" s="30">
        <f>IFERROR(__xludf.DUMMYFUNCTION("""COMPUTED_VALUE"""),1.1790755484098046)</f>
        <v>1.179075548</v>
      </c>
      <c r="AL778" s="30">
        <f>IFERROR(__xludf.DUMMYFUNCTION("""COMPUTED_VALUE"""),0.9262346957076879)</f>
        <v>0.9262346957</v>
      </c>
      <c r="AM778" s="30">
        <f>IFERROR(__xludf.DUMMYFUNCTION("""COMPUTED_VALUE"""),1.008652465366885)</f>
        <v>1.008652465</v>
      </c>
      <c r="AN778" s="30">
        <f>IFERROR(__xludf.DUMMYFUNCTION("""COMPUTED_VALUE"""),0.8244864491764187)</f>
        <v>0.8244864492</v>
      </c>
      <c r="AO778" s="30">
        <f>IFERROR(__xludf.DUMMYFUNCTION("""COMPUTED_VALUE"""),0.5783319923412632)</f>
        <v>0.5783319923</v>
      </c>
      <c r="AP778" s="30">
        <f>IFERROR(__xludf.DUMMYFUNCTION("""COMPUTED_VALUE"""),1.0403992149113028)</f>
        <v>1.040399215</v>
      </c>
      <c r="AQ778" s="30">
        <f>IFERROR(__xludf.DUMMYFUNCTION("""COMPUTED_VALUE"""),0.7635995612996629)</f>
        <v>0.7635995613</v>
      </c>
      <c r="AR778" s="30">
        <f>IFERROR(__xludf.DUMMYFUNCTION("""COMPUTED_VALUE"""),0.7750621657621646)</f>
        <v>0.7750621658</v>
      </c>
      <c r="AS778" s="30">
        <f>IFERROR(__xludf.DUMMYFUNCTION("""COMPUTED_VALUE"""),65.0)</f>
        <v>65</v>
      </c>
      <c r="AT778" s="30">
        <f>IFERROR(__xludf.DUMMYFUNCTION("""COMPUTED_VALUE"""),0.4445632182061791)</f>
        <v>0.4445632182</v>
      </c>
      <c r="AU778" s="30">
        <f>IFERROR(__xludf.DUMMYFUNCTION("""COMPUTED_VALUE"""),2.1756921504961904)</f>
        <v>2.17569215</v>
      </c>
      <c r="AV778" s="32">
        <f>IFERROR(__xludf.DUMMYFUNCTION("""COMPUTED_VALUE"""),32.57849457062981)</f>
        <v>32.57849457</v>
      </c>
      <c r="AW778" s="32">
        <f>IFERROR(__xludf.DUMMYFUNCTION("""COMPUTED_VALUE"""),-4.116155634419816)</f>
        <v>-4.116155634</v>
      </c>
      <c r="AX778" s="32">
        <f>IFERROR(__xludf.DUMMYFUNCTION("""COMPUTED_VALUE"""),29.49171459437834)</f>
        <v>29.49171459</v>
      </c>
      <c r="AY778" s="32">
        <f>IFERROR(__xludf.DUMMYFUNCTION("""COMPUTED_VALUE"""),-4.854048452949081)</f>
        <v>-4.854048453</v>
      </c>
      <c r="AZ778" s="30">
        <f>IFERROR(__xludf.DUMMYFUNCTION("""COMPUTED_VALUE"""),0.7378928185292644)</f>
        <v>0.7378928185</v>
      </c>
      <c r="BA778" s="30">
        <f>IFERROR(__xludf.DUMMYFUNCTION("""COMPUTED_VALUE"""),3200.0)</f>
        <v>3200</v>
      </c>
    </row>
    <row r="779">
      <c r="A779" s="71" t="str">
        <f>IFERROR(__xludf.DUMMYFUNCTION("""COMPUTED_VALUE"""),"Contender")</f>
        <v>Contender</v>
      </c>
      <c r="B779" s="71" t="str">
        <f>IFERROR(__xludf.DUMMYFUNCTION("""COMPUTED_VALUE"""),"RSC001262")</f>
        <v>RSC001262</v>
      </c>
      <c r="C779" s="30" t="str">
        <f>IFERROR(__xludf.DUMMYFUNCTION("""COMPUTED_VALUE"""),"droogin01")</f>
        <v>droogin01</v>
      </c>
      <c r="D779" s="30" t="str">
        <f>IFERROR(__xludf.DUMMYFUNCTION("""COMPUTED_VALUE"""),"Zebras")</f>
        <v>Zebras</v>
      </c>
      <c r="E779" s="30">
        <f>IFERROR(__xludf.DUMMYFUNCTION("""COMPUTED_VALUE"""),31.0)</f>
        <v>31</v>
      </c>
      <c r="F779" s="30">
        <f>IFERROR(__xludf.DUMMYFUNCTION("""COMPUTED_VALUE"""),11.0)</f>
        <v>11</v>
      </c>
      <c r="G779" s="42">
        <f>IFERROR(__xludf.DUMMYFUNCTION("""COMPUTED_VALUE"""),20.0)</f>
        <v>20</v>
      </c>
      <c r="H779" s="42">
        <f>IFERROR(__xludf.DUMMYFUNCTION("""COMPUTED_VALUE"""),0.3548387096774194)</f>
        <v>0.3548387097</v>
      </c>
      <c r="I779" s="42">
        <f>IFERROR(__xludf.DUMMYFUNCTION("""COMPUTED_VALUE"""),0.25675675675675674)</f>
        <v>0.2567567568</v>
      </c>
      <c r="J779" s="30">
        <f>IFERROR(__xludf.DUMMYFUNCTION("""COMPUTED_VALUE"""),334.19354838709677)</f>
        <v>334.1935484</v>
      </c>
      <c r="K779" s="30">
        <f>IFERROR(__xludf.DUMMYFUNCTION("""COMPUTED_VALUE"""),0.6129032258064516)</f>
        <v>0.6129032258</v>
      </c>
      <c r="L779" s="30">
        <f>IFERROR(__xludf.DUMMYFUNCTION("""COMPUTED_VALUE"""),0.6129032258064516)</f>
        <v>0.6129032258</v>
      </c>
      <c r="M779" s="30">
        <f>IFERROR(__xludf.DUMMYFUNCTION("""COMPUTED_VALUE"""),1.2258064516129032)</f>
        <v>1.225806452</v>
      </c>
      <c r="N779" s="30">
        <f>IFERROR(__xludf.DUMMYFUNCTION("""COMPUTED_VALUE"""),2.3870967741935485)</f>
        <v>2.387096774</v>
      </c>
      <c r="O779" s="30">
        <f>IFERROR(__xludf.DUMMYFUNCTION("""COMPUTED_VALUE"""),337.6451612903225)</f>
        <v>337.6451613</v>
      </c>
      <c r="P779" s="30">
        <f>IFERROR(__xludf.DUMMYFUNCTION("""COMPUTED_VALUE"""),0.8924731182795701)</f>
        <v>0.8924731183</v>
      </c>
      <c r="Q779" s="30">
        <f>IFERROR(__xludf.DUMMYFUNCTION("""COMPUTED_VALUE"""),0.5591397849462365)</f>
        <v>0.5591397849</v>
      </c>
      <c r="R779" s="30">
        <f>IFERROR(__xludf.DUMMYFUNCTION("""COMPUTED_VALUE"""),1.118279569892473)</f>
        <v>1.11827957</v>
      </c>
      <c r="S779" s="30">
        <f>IFERROR(__xludf.DUMMYFUNCTION("""COMPUTED_VALUE"""),2.279569892473119)</f>
        <v>2.279569892</v>
      </c>
      <c r="T779" s="30">
        <f>IFERROR(__xludf.DUMMYFUNCTION("""COMPUTED_VALUE"""),327.5628802081192)</f>
        <v>327.5628802</v>
      </c>
      <c r="U779" s="30">
        <f>IFERROR(__xludf.DUMMYFUNCTION("""COMPUTED_VALUE"""),0.8389286877814978)</f>
        <v>0.8389286878</v>
      </c>
      <c r="V779" s="30">
        <f>IFERROR(__xludf.DUMMYFUNCTION("""COMPUTED_VALUE"""),0.5222335386499274)</f>
        <v>0.5222335386</v>
      </c>
      <c r="W779" s="30">
        <f>IFERROR(__xludf.DUMMYFUNCTION("""COMPUTED_VALUE"""),1.061360474561826)</f>
        <v>1.061360475</v>
      </c>
      <c r="X779" s="30">
        <f>IFERROR(__xludf.DUMMYFUNCTION("""COMPUTED_VALUE"""),2.286171754081168)</f>
        <v>2.286171754</v>
      </c>
      <c r="Y779" s="30">
        <f>IFERROR(__xludf.DUMMYFUNCTION("""COMPUTED_VALUE"""),319.88657579023686)</f>
        <v>319.8865758</v>
      </c>
      <c r="Z779" s="30">
        <f>IFERROR(__xludf.DUMMYFUNCTION("""COMPUTED_VALUE"""),0.75126930278214)</f>
        <v>0.7512693028</v>
      </c>
      <c r="AA779" s="30">
        <f>IFERROR(__xludf.DUMMYFUNCTION("""COMPUTED_VALUE"""),0.5045174113556192)</f>
        <v>0.5045174114</v>
      </c>
      <c r="AB779" s="30">
        <f>IFERROR(__xludf.DUMMYFUNCTION("""COMPUTED_VALUE"""),1.0746877143820464)</f>
        <v>1.074687714</v>
      </c>
      <c r="AC779" s="30">
        <f>IFERROR(__xludf.DUMMYFUNCTION("""COMPUTED_VALUE"""),2.228881879126068)</f>
        <v>2.228881879</v>
      </c>
      <c r="AD779" s="30">
        <f>IFERROR(__xludf.DUMMYFUNCTION("""COMPUTED_VALUE"""),1.0447251422211652)</f>
        <v>1.044725142</v>
      </c>
      <c r="AE779" s="30">
        <f>IFERROR(__xludf.DUMMYFUNCTION("""COMPUTED_VALUE"""),0.8158235981913758)</f>
        <v>0.8158235982</v>
      </c>
      <c r="AF779" s="30">
        <f>IFERROR(__xludf.DUMMYFUNCTION("""COMPUTED_VALUE"""),1.2148306718683977)</f>
        <v>1.214830672</v>
      </c>
      <c r="AG779" s="30">
        <f>IFERROR(__xludf.DUMMYFUNCTION("""COMPUTED_VALUE"""),1.1406164183404213)</f>
        <v>1.140616418</v>
      </c>
      <c r="AH779" s="30">
        <f>IFERROR(__xludf.DUMMYFUNCTION("""COMPUTED_VALUE"""),1.0709839747674363)</f>
        <v>1.070983975</v>
      </c>
      <c r="AI779" s="30">
        <f>IFERROR(__xludf.DUMMYFUNCTION("""COMPUTED_VALUE"""),1.0307796813723138)</f>
        <v>1.030779681</v>
      </c>
      <c r="AJ779" s="30">
        <f>IFERROR(__xludf.DUMMYFUNCTION("""COMPUTED_VALUE"""),1.0638247699451877)</f>
        <v>1.06382477</v>
      </c>
      <c r="AK779" s="30">
        <f>IFERROR(__xludf.DUMMYFUNCTION("""COMPUTED_VALUE"""),1.0706700040593309)</f>
        <v>1.070670004</v>
      </c>
      <c r="AL779" s="30">
        <f>IFERROR(__xludf.DUMMYFUNCTION("""COMPUTED_VALUE"""),1.0536284294496134)</f>
        <v>1.053628429</v>
      </c>
      <c r="AM779" s="30">
        <f>IFERROR(__xludf.DUMMYFUNCTION("""COMPUTED_VALUE"""),0.9971122635050215)</f>
        <v>0.9971122635</v>
      </c>
      <c r="AN779" s="30">
        <f>IFERROR(__xludf.DUMMYFUNCTION("""COMPUTED_VALUE"""),1.0721324982386966)</f>
        <v>1.072132498</v>
      </c>
      <c r="AO779" s="30">
        <f>IFERROR(__xludf.DUMMYFUNCTION("""COMPUTED_VALUE"""),0.8179881777531515)</f>
        <v>0.8179881778</v>
      </c>
      <c r="AP779" s="30">
        <f>IFERROR(__xludf.DUMMYFUNCTION("""COMPUTED_VALUE"""),1.1956200655230698)</f>
        <v>1.195620066</v>
      </c>
      <c r="AQ779" s="30">
        <f>IFERROR(__xludf.DUMMYFUNCTION("""COMPUTED_VALUE"""),1.1700315858623866)</f>
        <v>1.170031586</v>
      </c>
      <c r="AR779" s="30">
        <f>IFERROR(__xludf.DUMMYFUNCTION("""COMPUTED_VALUE"""),1.1100890374141972)</f>
        <v>1.110089037</v>
      </c>
      <c r="AS779" s="30">
        <f>IFERROR(__xludf.DUMMYFUNCTION("""COMPUTED_VALUE"""),58.0)</f>
        <v>58</v>
      </c>
      <c r="AT779" s="30">
        <f>IFERROR(__xludf.DUMMYFUNCTION("""COMPUTED_VALUE"""),0.36503724141469296)</f>
        <v>0.3650372414</v>
      </c>
      <c r="AU779" s="30">
        <f>IFERROR(__xludf.DUMMYFUNCTION("""COMPUTED_VALUE"""),3.435626899655957)</f>
        <v>3.4356269</v>
      </c>
      <c r="AV779" s="32">
        <f>IFERROR(__xludf.DUMMYFUNCTION("""COMPUTED_VALUE"""),54.30268184253136)</f>
        <v>54.30268184</v>
      </c>
      <c r="AW779" s="32">
        <f>IFERROR(__xludf.DUMMYFUNCTION("""COMPUTED_VALUE"""),2.3165490238841793)</f>
        <v>2.316549024</v>
      </c>
      <c r="AX779" s="32">
        <f>IFERROR(__xludf.DUMMYFUNCTION("""COMPUTED_VALUE"""),61.0653548817009)</f>
        <v>61.06535488</v>
      </c>
      <c r="AY779" s="32">
        <f>IFERROR(__xludf.DUMMYFUNCTION("""COMPUTED_VALUE"""),3.039306675186809)</f>
        <v>3.039306675</v>
      </c>
      <c r="AZ779" s="30">
        <f>IFERROR(__xludf.DUMMYFUNCTION("""COMPUTED_VALUE"""),0.7227576513026297)</f>
        <v>0.7227576513</v>
      </c>
      <c r="BA779" s="30">
        <f>IFERROR(__xludf.DUMMYFUNCTION("""COMPUTED_VALUE"""),3200.0)</f>
        <v>3200</v>
      </c>
    </row>
    <row r="780">
      <c r="A780" s="71" t="str">
        <f>IFERROR(__xludf.DUMMYFUNCTION("""COMPUTED_VALUE"""),"Contender")</f>
        <v>Contender</v>
      </c>
      <c r="B780" s="71" t="str">
        <f>IFERROR(__xludf.DUMMYFUNCTION("""COMPUTED_VALUE"""),"RSC006900")</f>
        <v>RSC006900</v>
      </c>
      <c r="C780" s="30" t="str">
        <f>IFERROR(__xludf.DUMMYFUNCTION("""COMPUTED_VALUE"""),"VeloxcityX")</f>
        <v>VeloxcityX</v>
      </c>
      <c r="D780" s="30" t="str">
        <f>IFERROR(__xludf.DUMMYFUNCTION("""COMPUTED_VALUE"""),"Rad Lads")</f>
        <v>Rad Lads</v>
      </c>
      <c r="E780" s="30">
        <f>IFERROR(__xludf.DUMMYFUNCTION("""COMPUTED_VALUE"""),24.0)</f>
        <v>24</v>
      </c>
      <c r="F780" s="30">
        <f>IFERROR(__xludf.DUMMYFUNCTION("""COMPUTED_VALUE"""),8.0)</f>
        <v>8</v>
      </c>
      <c r="G780" s="42">
        <f>IFERROR(__xludf.DUMMYFUNCTION("""COMPUTED_VALUE"""),16.0)</f>
        <v>16</v>
      </c>
      <c r="H780" s="42">
        <f>IFERROR(__xludf.DUMMYFUNCTION("""COMPUTED_VALUE"""),0.3333333333333333)</f>
        <v>0.3333333333</v>
      </c>
      <c r="I780" s="42">
        <f>IFERROR(__xludf.DUMMYFUNCTION("""COMPUTED_VALUE"""),0.4324324324324324)</f>
        <v>0.4324324324</v>
      </c>
      <c r="J780" s="30">
        <f>IFERROR(__xludf.DUMMYFUNCTION("""COMPUTED_VALUE"""),318.9166666666667)</f>
        <v>318.9166667</v>
      </c>
      <c r="K780" s="30">
        <f>IFERROR(__xludf.DUMMYFUNCTION("""COMPUTED_VALUE"""),0.6666666666666666)</f>
        <v>0.6666666667</v>
      </c>
      <c r="L780" s="30">
        <f>IFERROR(__xludf.DUMMYFUNCTION("""COMPUTED_VALUE"""),0.5)</f>
        <v>0.5</v>
      </c>
      <c r="M780" s="30">
        <f>IFERROR(__xludf.DUMMYFUNCTION("""COMPUTED_VALUE"""),1.2916666666666667)</f>
        <v>1.291666667</v>
      </c>
      <c r="N780" s="30">
        <f>IFERROR(__xludf.DUMMYFUNCTION("""COMPUTED_VALUE"""),1.5416666666666667)</f>
        <v>1.541666667</v>
      </c>
      <c r="O780" s="30">
        <f>IFERROR(__xludf.DUMMYFUNCTION("""COMPUTED_VALUE"""),345.4166666666666)</f>
        <v>345.4166667</v>
      </c>
      <c r="P780" s="30">
        <f>IFERROR(__xludf.DUMMYFUNCTION("""COMPUTED_VALUE"""),0.9583333333333334)</f>
        <v>0.9583333333</v>
      </c>
      <c r="Q780" s="30">
        <f>IFERROR(__xludf.DUMMYFUNCTION("""COMPUTED_VALUE"""),0.638888888888889)</f>
        <v>0.6388888889</v>
      </c>
      <c r="R780" s="30">
        <f>IFERROR(__xludf.DUMMYFUNCTION("""COMPUTED_VALUE"""),0.9444444444444445)</f>
        <v>0.9444444444</v>
      </c>
      <c r="S780" s="30">
        <f>IFERROR(__xludf.DUMMYFUNCTION("""COMPUTED_VALUE"""),2.263888888888889)</f>
        <v>2.263888889</v>
      </c>
      <c r="T780" s="30">
        <f>IFERROR(__xludf.DUMMYFUNCTION("""COMPUTED_VALUE"""),321.73307035931117)</f>
        <v>321.7330704</v>
      </c>
      <c r="U780" s="30">
        <f>IFERROR(__xludf.DUMMYFUNCTION("""COMPUTED_VALUE"""),0.7836510051767407)</f>
        <v>0.7836510052</v>
      </c>
      <c r="V780" s="30">
        <f>IFERROR(__xludf.DUMMYFUNCTION("""COMPUTED_VALUE"""),0.543921227193286)</f>
        <v>0.5439212272</v>
      </c>
      <c r="W780" s="30">
        <f>IFERROR(__xludf.DUMMYFUNCTION("""COMPUTED_VALUE"""),1.0463395077825226)</f>
        <v>1.046339508</v>
      </c>
      <c r="X780" s="30">
        <f>IFERROR(__xludf.DUMMYFUNCTION("""COMPUTED_VALUE"""),2.2684833987499435)</f>
        <v>2.268483399</v>
      </c>
      <c r="Y780" s="30">
        <f>IFERROR(__xludf.DUMMYFUNCTION("""COMPUTED_VALUE"""),320.9257540395562)</f>
        <v>320.925754</v>
      </c>
      <c r="Z780" s="30">
        <f>IFERROR(__xludf.DUMMYFUNCTION("""COMPUTED_VALUE"""),0.7754622881430479)</f>
        <v>0.7754622881</v>
      </c>
      <c r="AA780" s="30">
        <f>IFERROR(__xludf.DUMMYFUNCTION("""COMPUTED_VALUE"""),0.4794920380091951)</f>
        <v>0.479492038</v>
      </c>
      <c r="AB780" s="30">
        <f>IFERROR(__xludf.DUMMYFUNCTION("""COMPUTED_VALUE"""),1.0930457463515064)</f>
        <v>1.093045746</v>
      </c>
      <c r="AC780" s="30">
        <f>IFERROR(__xludf.DUMMYFUNCTION("""COMPUTED_VALUE"""),2.2316950694095308)</f>
        <v>2.231695069</v>
      </c>
      <c r="AD780" s="30">
        <f>IFERROR(__xludf.DUMMYFUNCTION("""COMPUTED_VALUE"""),0.9937397128538277)</f>
        <v>0.9937397129</v>
      </c>
      <c r="AE780" s="30">
        <f>IFERROR(__xludf.DUMMYFUNCTION("""COMPUTED_VALUE"""),0.8597022406635564)</f>
        <v>0.8597022407</v>
      </c>
      <c r="AF780" s="30">
        <f>IFERROR(__xludf.DUMMYFUNCTION("""COMPUTED_VALUE"""),1.0427701825372366)</f>
        <v>1.042770183</v>
      </c>
      <c r="AG780" s="30">
        <f>IFERROR(__xludf.DUMMYFUNCTION("""COMPUTED_VALUE"""),1.1817132731892879)</f>
        <v>1.181713273</v>
      </c>
      <c r="AH780" s="30">
        <f>IFERROR(__xludf.DUMMYFUNCTION("""COMPUTED_VALUE"""),0.690805248350782)</f>
        <v>0.6908052484</v>
      </c>
      <c r="AI780" s="30">
        <f>IFERROR(__xludf.DUMMYFUNCTION("""COMPUTED_VALUE"""),1.073612564231913)</f>
        <v>1.073612564</v>
      </c>
      <c r="AJ780" s="30">
        <f>IFERROR(__xludf.DUMMYFUNCTION("""COMPUTED_VALUE"""),1.222908318885134)</f>
        <v>1.222908319</v>
      </c>
      <c r="AK780" s="30">
        <f>IFERROR(__xludf.DUMMYFUNCTION("""COMPUTED_VALUE"""),1.174598189862253)</f>
        <v>1.17459819</v>
      </c>
      <c r="AL780" s="30">
        <f>IFERROR(__xludf.DUMMYFUNCTION("""COMPUTED_VALUE"""),0.9026175896253584)</f>
        <v>0.9026175896</v>
      </c>
      <c r="AM780" s="30">
        <f>IFERROR(__xludf.DUMMYFUNCTION("""COMPUTED_VALUE"""),0.9979746336854012)</f>
        <v>0.9979746337</v>
      </c>
      <c r="AN780" s="30">
        <f>IFERROR(__xludf.DUMMYFUNCTION("""COMPUTED_VALUE"""),1.0231224516855235)</f>
        <v>1.023122452</v>
      </c>
      <c r="AO780" s="30">
        <f>IFERROR(__xludf.DUMMYFUNCTION("""COMPUTED_VALUE"""),0.8897415266788664)</f>
        <v>0.8897415267</v>
      </c>
      <c r="AP780" s="30">
        <f>IFERROR(__xludf.DUMMYFUNCTION("""COMPUTED_VALUE"""),0.9753742639793463)</f>
        <v>0.975374264</v>
      </c>
      <c r="AQ780" s="30">
        <f>IFERROR(__xludf.DUMMYFUNCTION("""COMPUTED_VALUE"""),1.2328951250150808)</f>
        <v>1.232895125</v>
      </c>
      <c r="AR780" s="30">
        <f>IFERROR(__xludf.DUMMYFUNCTION("""COMPUTED_VALUE"""),0.7169325033300022)</f>
        <v>0.7169325033</v>
      </c>
      <c r="AS780" s="30">
        <f>IFERROR(__xludf.DUMMYFUNCTION("""COMPUTED_VALUE"""),51.0)</f>
        <v>51</v>
      </c>
      <c r="AT780" s="30">
        <f>IFERROR(__xludf.DUMMYFUNCTION("""COMPUTED_VALUE"""),0.3823111415168781)</f>
        <v>0.3823111415</v>
      </c>
      <c r="AU780" s="30">
        <f>IFERROR(__xludf.DUMMYFUNCTION("""COMPUTED_VALUE"""),2.6329919138896924)</f>
        <v>2.632991914</v>
      </c>
      <c r="AV780" s="32">
        <f>IFERROR(__xludf.DUMMYFUNCTION("""COMPUTED_VALUE"""),40.46339948811214)</f>
        <v>40.46339949</v>
      </c>
      <c r="AW780" s="32">
        <f>IFERROR(__xludf.DUMMYFUNCTION("""COMPUTED_VALUE"""),-2.8455210822907135)</f>
        <v>-2.845521082</v>
      </c>
      <c r="AX780" s="32">
        <f>IFERROR(__xludf.DUMMYFUNCTION("""COMPUTED_VALUE"""),47.39454503314186)</f>
        <v>47.39454503</v>
      </c>
      <c r="AY780" s="32">
        <f>IFERROR(__xludf.DUMMYFUNCTION("""COMPUTED_VALUE"""),-2.181034138524063)</f>
        <v>-2.181034139</v>
      </c>
      <c r="AZ780" s="30">
        <f>IFERROR(__xludf.DUMMYFUNCTION("""COMPUTED_VALUE"""),0.6644869437666507)</f>
        <v>0.6644869438</v>
      </c>
      <c r="BA780" s="30">
        <f>IFERROR(__xludf.DUMMYFUNCTION("""COMPUTED_VALUE"""),3200.0)</f>
        <v>3200</v>
      </c>
    </row>
    <row r="781">
      <c r="A781" s="71" t="str">
        <f>IFERROR(__xludf.DUMMYFUNCTION("""COMPUTED_VALUE"""),"Contender")</f>
        <v>Contender</v>
      </c>
      <c r="B781" s="71" t="str">
        <f>IFERROR(__xludf.DUMMYFUNCTION("""COMPUTED_VALUE"""),"RSC006779")</f>
        <v>RSC006779</v>
      </c>
      <c r="C781" s="30" t="str">
        <f>IFERROR(__xludf.DUMMYFUNCTION("""COMPUTED_VALUE"""),"I am CANDYMAN")</f>
        <v>I am CANDYMAN</v>
      </c>
      <c r="D781" s="30"/>
      <c r="E781" s="30">
        <f>IFERROR(__xludf.DUMMYFUNCTION("""COMPUTED_VALUE"""),4.0)</f>
        <v>4</v>
      </c>
      <c r="F781" s="30">
        <f>IFERROR(__xludf.DUMMYFUNCTION("""COMPUTED_VALUE"""),2.0)</f>
        <v>2</v>
      </c>
      <c r="G781" s="42">
        <f>IFERROR(__xludf.DUMMYFUNCTION("""COMPUTED_VALUE"""),2.0)</f>
        <v>2</v>
      </c>
      <c r="H781" s="42">
        <f>IFERROR(__xludf.DUMMYFUNCTION("""COMPUTED_VALUE"""),0.5)</f>
        <v>0.5</v>
      </c>
      <c r="I781" s="42">
        <f>IFERROR(__xludf.DUMMYFUNCTION("""COMPUTED_VALUE"""),0.4444444444444444)</f>
        <v>0.4444444444</v>
      </c>
      <c r="J781" s="30">
        <f>IFERROR(__xludf.DUMMYFUNCTION("""COMPUTED_VALUE"""),281.25)</f>
        <v>281.25</v>
      </c>
      <c r="K781" s="30">
        <f>IFERROR(__xludf.DUMMYFUNCTION("""COMPUTED_VALUE"""),1.0)</f>
        <v>1</v>
      </c>
      <c r="L781" s="30">
        <f>IFERROR(__xludf.DUMMYFUNCTION("""COMPUTED_VALUE"""),0.25)</f>
        <v>0.25</v>
      </c>
      <c r="M781" s="30">
        <f>IFERROR(__xludf.DUMMYFUNCTION("""COMPUTED_VALUE"""),0.5)</f>
        <v>0.5</v>
      </c>
      <c r="N781" s="30">
        <f>IFERROR(__xludf.DUMMYFUNCTION("""COMPUTED_VALUE"""),2.25)</f>
        <v>2.25</v>
      </c>
      <c r="O781" s="30">
        <f>IFERROR(__xludf.DUMMYFUNCTION("""COMPUTED_VALUE"""),336.33333333333337)</f>
        <v>336.3333333</v>
      </c>
      <c r="P781" s="30">
        <f>IFERROR(__xludf.DUMMYFUNCTION("""COMPUTED_VALUE"""),0.8333333333333334)</f>
        <v>0.8333333333</v>
      </c>
      <c r="Q781" s="30">
        <f>IFERROR(__xludf.DUMMYFUNCTION("""COMPUTED_VALUE"""),0.5833333333333334)</f>
        <v>0.5833333333</v>
      </c>
      <c r="R781" s="30">
        <f>IFERROR(__xludf.DUMMYFUNCTION("""COMPUTED_VALUE"""),1.0)</f>
        <v>1</v>
      </c>
      <c r="S781" s="30">
        <f>IFERROR(__xludf.DUMMYFUNCTION("""COMPUTED_VALUE"""),2.5)</f>
        <v>2.5</v>
      </c>
      <c r="T781" s="30">
        <f>IFERROR(__xludf.DUMMYFUNCTION("""COMPUTED_VALUE"""),307.50123456790124)</f>
        <v>307.5012346</v>
      </c>
      <c r="U781" s="30">
        <f>IFERROR(__xludf.DUMMYFUNCTION("""COMPUTED_VALUE"""),0.7275132275132274)</f>
        <v>0.7275132275</v>
      </c>
      <c r="V781" s="30">
        <f>IFERROR(__xludf.DUMMYFUNCTION("""COMPUTED_VALUE"""),0.45255731922398584)</f>
        <v>0.4525573192</v>
      </c>
      <c r="W781" s="30">
        <f>IFERROR(__xludf.DUMMYFUNCTION("""COMPUTED_VALUE"""),0.9481481481481481)</f>
        <v>0.9481481481</v>
      </c>
      <c r="X781" s="30">
        <f>IFERROR(__xludf.DUMMYFUNCTION("""COMPUTED_VALUE"""),2.2606701940035276)</f>
        <v>2.260670194</v>
      </c>
      <c r="Y781" s="30">
        <f>IFERROR(__xludf.DUMMYFUNCTION("""COMPUTED_VALUE"""),323.3660787771899)</f>
        <v>323.3660788</v>
      </c>
      <c r="Z781" s="30">
        <f>IFERROR(__xludf.DUMMYFUNCTION("""COMPUTED_VALUE"""),0.8556731334509111)</f>
        <v>0.8556731335</v>
      </c>
      <c r="AA781" s="30">
        <f>IFERROR(__xludf.DUMMYFUNCTION("""COMPUTED_VALUE"""),0.5726631393298061)</f>
        <v>0.5726631393</v>
      </c>
      <c r="AB781" s="30">
        <f>IFERROR(__xludf.DUMMYFUNCTION("""COMPUTED_VALUE"""),0.996355085243974)</f>
        <v>0.9963550852</v>
      </c>
      <c r="AC781" s="30">
        <f>IFERROR(__xludf.DUMMYFUNCTION("""COMPUTED_VALUE"""),2.1648442092886544)</f>
        <v>2.164844209</v>
      </c>
      <c r="AD781" s="30">
        <f>IFERROR(__xludf.DUMMYFUNCTION("""COMPUTED_VALUE"""),0.86975727653175)</f>
        <v>0.8697572765</v>
      </c>
      <c r="AE781" s="30">
        <f>IFERROR(__xludf.DUMMYFUNCTION("""COMPUTED_VALUE"""),1.1686705599450362)</f>
        <v>1.16867056</v>
      </c>
      <c r="AF781" s="30">
        <f>IFERROR(__xludf.DUMMYFUNCTION("""COMPUTED_VALUE"""),0.43655682168155213)</f>
        <v>0.4365568217</v>
      </c>
      <c r="AG781" s="30">
        <f>IFERROR(__xludf.DUMMYFUNCTION("""COMPUTED_VALUE"""),0.5018291243804579)</f>
        <v>0.5018291244</v>
      </c>
      <c r="AH781" s="30">
        <f>IFERROR(__xludf.DUMMYFUNCTION("""COMPUTED_VALUE"""),1.0393357592874208)</f>
        <v>1.039335759</v>
      </c>
      <c r="AI781" s="30">
        <f>IFERROR(__xludf.DUMMYFUNCTION("""COMPUTED_VALUE"""),1.0937625463713887)</f>
        <v>1.093762546</v>
      </c>
      <c r="AJ781" s="30">
        <f>IFERROR(__xludf.DUMMYFUNCTION("""COMPUTED_VALUE"""),1.1454545454545455)</f>
        <v>1.145454545</v>
      </c>
      <c r="AK781" s="30">
        <f>IFERROR(__xludf.DUMMYFUNCTION("""COMPUTED_VALUE"""),1.288971161340608)</f>
        <v>1.288971161</v>
      </c>
      <c r="AL781" s="30">
        <f>IFERROR(__xludf.DUMMYFUNCTION("""COMPUTED_VALUE"""),1.0546875)</f>
        <v>1.0546875</v>
      </c>
      <c r="AM781" s="30">
        <f>IFERROR(__xludf.DUMMYFUNCTION("""COMPUTED_VALUE"""),1.1058667498829768)</f>
        <v>1.10586675</v>
      </c>
      <c r="AN781" s="30">
        <f>IFERROR(__xludf.DUMMYFUNCTION("""COMPUTED_VALUE"""),0.9022833222990962)</f>
        <v>0.9022833223</v>
      </c>
      <c r="AO781" s="30">
        <f>IFERROR(__xludf.DUMMYFUNCTION("""COMPUTED_VALUE"""),1.3346122900182997)</f>
        <v>1.33461229</v>
      </c>
      <c r="AP781" s="30">
        <f>IFERROR(__xludf.DUMMYFUNCTION("""COMPUTED_VALUE"""),0.4876871319896732)</f>
        <v>0.487687132</v>
      </c>
      <c r="AQ781" s="30">
        <f>IFERROR(__xludf.DUMMYFUNCTION("""COMPUTED_VALUE"""),0.4772497258122893)</f>
        <v>0.4772497258</v>
      </c>
      <c r="AR781" s="30">
        <f>IFERROR(__xludf.DUMMYFUNCTION("""COMPUTED_VALUE"""),1.0463339237789222)</f>
        <v>1.046333924</v>
      </c>
      <c r="AS781" s="30">
        <f>IFERROR(__xludf.DUMMYFUNCTION("""COMPUTED_VALUE"""),6.0)</f>
        <v>6</v>
      </c>
      <c r="AT781" s="30">
        <f>IFERROR(__xludf.DUMMYFUNCTION("""COMPUTED_VALUE"""),0.31855114860921924)</f>
        <v>0.3185511486</v>
      </c>
      <c r="AU781" s="30">
        <f>IFERROR(__xludf.DUMMYFUNCTION("""COMPUTED_VALUE"""),2.6178515051451283)</f>
        <v>2.617851505</v>
      </c>
      <c r="AV781" s="32">
        <f>IFERROR(__xludf.DUMMYFUNCTION("""COMPUTED_VALUE"""),40.202343846016866)</f>
        <v>40.20234385</v>
      </c>
      <c r="AW781" s="32">
        <f>IFERROR(__xludf.DUMMYFUNCTION("""COMPUTED_VALUE"""),-2.8771700666341786)</f>
        <v>-2.877170067</v>
      </c>
      <c r="AX781" s="32">
        <f>IFERROR(__xludf.DUMMYFUNCTION("""COMPUTED_VALUE"""),35.763390688088386)</f>
        <v>35.76339069</v>
      </c>
      <c r="AY781" s="32">
        <f>IFERROR(__xludf.DUMMYFUNCTION("""COMPUTED_VALUE"""),-3.514684973111304)</f>
        <v>-3.514684973</v>
      </c>
      <c r="AZ781" s="30">
        <f>IFERROR(__xludf.DUMMYFUNCTION("""COMPUTED_VALUE"""),0.6375149064771253)</f>
        <v>0.6375149065</v>
      </c>
      <c r="BA781" s="30">
        <f>IFERROR(__xludf.DUMMYFUNCTION("""COMPUTED_VALUE"""),3200.0)</f>
        <v>3200</v>
      </c>
    </row>
    <row r="782">
      <c r="A782" s="71" t="str">
        <f>IFERROR(__xludf.DUMMYFUNCTION("""COMPUTED_VALUE"""),"Contender")</f>
        <v>Contender</v>
      </c>
      <c r="B782" s="71" t="str">
        <f>IFERROR(__xludf.DUMMYFUNCTION("""COMPUTED_VALUE"""),"RSC006381")</f>
        <v>RSC006381</v>
      </c>
      <c r="C782" s="30" t="str">
        <f>IFERROR(__xludf.DUMMYFUNCTION("""COMPUTED_VALUE"""),"YERP_YERP02")</f>
        <v>YERP_YERP02</v>
      </c>
      <c r="D782" s="30" t="str">
        <f>IFERROR(__xludf.DUMMYFUNCTION("""COMPUTED_VALUE"""),"Rad Lads")</f>
        <v>Rad Lads</v>
      </c>
      <c r="E782" s="30">
        <f>IFERROR(__xludf.DUMMYFUNCTION("""COMPUTED_VALUE"""),29.0)</f>
        <v>29</v>
      </c>
      <c r="F782" s="30">
        <f>IFERROR(__xludf.DUMMYFUNCTION("""COMPUTED_VALUE"""),14.0)</f>
        <v>14</v>
      </c>
      <c r="G782" s="42">
        <f>IFERROR(__xludf.DUMMYFUNCTION("""COMPUTED_VALUE"""),15.0)</f>
        <v>15</v>
      </c>
      <c r="H782" s="42">
        <f>IFERROR(__xludf.DUMMYFUNCTION("""COMPUTED_VALUE"""),0.4827586206896552)</f>
        <v>0.4827586207</v>
      </c>
      <c r="I782" s="42">
        <f>IFERROR(__xludf.DUMMYFUNCTION("""COMPUTED_VALUE"""),0.38461538461538464)</f>
        <v>0.3846153846</v>
      </c>
      <c r="J782" s="30">
        <f>IFERROR(__xludf.DUMMYFUNCTION("""COMPUTED_VALUE"""),327.9310344827586)</f>
        <v>327.9310345</v>
      </c>
      <c r="K782" s="30">
        <f>IFERROR(__xludf.DUMMYFUNCTION("""COMPUTED_VALUE"""),0.8620689655172413)</f>
        <v>0.8620689655</v>
      </c>
      <c r="L782" s="30">
        <f>IFERROR(__xludf.DUMMYFUNCTION("""COMPUTED_VALUE"""),0.7241379310344828)</f>
        <v>0.724137931</v>
      </c>
      <c r="M782" s="30">
        <f>IFERROR(__xludf.DUMMYFUNCTION("""COMPUTED_VALUE"""),0.7241379310344828)</f>
        <v>0.724137931</v>
      </c>
      <c r="N782" s="30">
        <f>IFERROR(__xludf.DUMMYFUNCTION("""COMPUTED_VALUE"""),2.2413793103448274)</f>
        <v>2.24137931</v>
      </c>
      <c r="O782" s="30">
        <f>IFERROR(__xludf.DUMMYFUNCTION("""COMPUTED_VALUE"""),326.919540229885)</f>
        <v>326.9195402</v>
      </c>
      <c r="P782" s="30">
        <f>IFERROR(__xludf.DUMMYFUNCTION("""COMPUTED_VALUE"""),0.8390804597701149)</f>
        <v>0.8390804598</v>
      </c>
      <c r="Q782" s="30">
        <f>IFERROR(__xludf.DUMMYFUNCTION("""COMPUTED_VALUE"""),0.6436781609195401)</f>
        <v>0.6436781609</v>
      </c>
      <c r="R782" s="30">
        <f>IFERROR(__xludf.DUMMYFUNCTION("""COMPUTED_VALUE"""),0.9310344827586207)</f>
        <v>0.9310344828</v>
      </c>
      <c r="S782" s="30">
        <f>IFERROR(__xludf.DUMMYFUNCTION("""COMPUTED_VALUE"""),2.1149425287356323)</f>
        <v>2.114942529</v>
      </c>
      <c r="T782" s="30">
        <f>IFERROR(__xludf.DUMMYFUNCTION("""COMPUTED_VALUE"""),324.74662058217393)</f>
        <v>324.7466206</v>
      </c>
      <c r="U782" s="30">
        <f>IFERROR(__xludf.DUMMYFUNCTION("""COMPUTED_VALUE"""),0.7810052552230137)</f>
        <v>0.7810052552</v>
      </c>
      <c r="V782" s="30">
        <f>IFERROR(__xludf.DUMMYFUNCTION("""COMPUTED_VALUE"""),0.5283659078676418)</f>
        <v>0.5283659079</v>
      </c>
      <c r="W782" s="30">
        <f>IFERROR(__xludf.DUMMYFUNCTION("""COMPUTED_VALUE"""),1.09957231701899)</f>
        <v>1.099572317</v>
      </c>
      <c r="X782" s="30">
        <f>IFERROR(__xludf.DUMMYFUNCTION("""COMPUTED_VALUE"""),2.2877996467715445)</f>
        <v>2.287799647</v>
      </c>
      <c r="Y782" s="30">
        <f>IFERROR(__xludf.DUMMYFUNCTION("""COMPUTED_VALUE"""),325.4035452047982)</f>
        <v>325.4035452</v>
      </c>
      <c r="Z782" s="30">
        <f>IFERROR(__xludf.DUMMYFUNCTION("""COMPUTED_VALUE"""),0.7944007674356751)</f>
        <v>0.7944007674</v>
      </c>
      <c r="AA782" s="30">
        <f>IFERROR(__xludf.DUMMYFUNCTION("""COMPUTED_VALUE"""),0.5077869359587609)</f>
        <v>0.507786936</v>
      </c>
      <c r="AB782" s="30">
        <f>IFERROR(__xludf.DUMMYFUNCTION("""COMPUTED_VALUE"""),1.092953655570125)</f>
        <v>1.092953656</v>
      </c>
      <c r="AC782" s="30">
        <f>IFERROR(__xludf.DUMMYFUNCTION("""COMPUTED_VALUE"""),2.289046114896734)</f>
        <v>2.289046115</v>
      </c>
      <c r="AD782" s="30">
        <f>IFERROR(__xludf.DUMMYFUNCTION("""COMPUTED_VALUE"""),1.0077672456714315)</f>
        <v>1.007767246</v>
      </c>
      <c r="AE782" s="30">
        <f>IFERROR(__xludf.DUMMYFUNCTION("""COMPUTED_VALUE"""),1.085181435939443)</f>
        <v>1.085181436</v>
      </c>
      <c r="AF782" s="30">
        <f>IFERROR(__xludf.DUMMYFUNCTION("""COMPUTED_VALUE"""),1.4260664852813236)</f>
        <v>1.426066485</v>
      </c>
      <c r="AG782" s="30">
        <f>IFERROR(__xludf.DUMMYFUNCTION("""COMPUTED_VALUE"""),0.6625513601093596)</f>
        <v>0.6625513601</v>
      </c>
      <c r="AH782" s="30">
        <f>IFERROR(__xludf.DUMMYFUNCTION("""COMPUTED_VALUE"""),0.9791761274525232)</f>
        <v>0.9791761275</v>
      </c>
      <c r="AI782" s="30">
        <f>IFERROR(__xludf.DUMMYFUNCTION("""COMPUTED_VALUE"""),1.006691123201885)</f>
        <v>1.006691123</v>
      </c>
      <c r="AJ782" s="30">
        <f>IFERROR(__xludf.DUMMYFUNCTION("""COMPUTED_VALUE"""),1.0743595566850803)</f>
        <v>1.074359557</v>
      </c>
      <c r="AK782" s="30">
        <f>IFERROR(__xludf.DUMMYFUNCTION("""COMPUTED_VALUE"""),1.2182431745402933)</f>
        <v>1.218243175</v>
      </c>
      <c r="AL782" s="30">
        <f>IFERROR(__xludf.DUMMYFUNCTION("""COMPUTED_VALUE"""),0.8467241929868824)</f>
        <v>0.846724193</v>
      </c>
      <c r="AM782" s="30">
        <f>IFERROR(__xludf.DUMMYFUNCTION("""COMPUTED_VALUE"""),0.9244439440840715)</f>
        <v>0.9244439441</v>
      </c>
      <c r="AN782" s="30">
        <f>IFERROR(__xludf.DUMMYFUNCTION("""COMPUTED_VALUE"""),1.0520416116554059)</f>
        <v>1.052041612</v>
      </c>
      <c r="AO782" s="30">
        <f>IFERROR(__xludf.DUMMYFUNCTION("""COMPUTED_VALUE"""),1.150527836222672)</f>
        <v>1.150527836</v>
      </c>
      <c r="AP782" s="30">
        <f>IFERROR(__xludf.DUMMYFUNCTION("""COMPUTED_VALUE"""),1.4126110030045707)</f>
        <v>1.412611003</v>
      </c>
      <c r="AQ782" s="30">
        <f>IFERROR(__xludf.DUMMYFUNCTION("""COMPUTED_VALUE"""),0.6911892580729707)</f>
        <v>0.6911892581</v>
      </c>
      <c r="AR782" s="30">
        <f>IFERROR(__xludf.DUMMYFUNCTION("""COMPUTED_VALUE"""),1.0423249815422213)</f>
        <v>1.042324982</v>
      </c>
      <c r="AS782" s="30">
        <f>IFERROR(__xludf.DUMMYFUNCTION("""COMPUTED_VALUE"""),77.0)</f>
        <v>77</v>
      </c>
      <c r="AT782" s="30">
        <f>IFERROR(__xludf.DUMMYFUNCTION("""COMPUTED_VALUE"""),0.5213602959737075)</f>
        <v>0.521360296</v>
      </c>
      <c r="AU782" s="30">
        <f>IFERROR(__xludf.DUMMYFUNCTION("""COMPUTED_VALUE"""),3.8869253099940915)</f>
        <v>3.88692531</v>
      </c>
      <c r="AV782" s="32">
        <f>IFERROR(__xludf.DUMMYFUNCTION("""COMPUTED_VALUE"""),62.08410956189169)</f>
        <v>62.08410956</v>
      </c>
      <c r="AW782" s="32">
        <f>IFERROR(__xludf.DUMMYFUNCTION("""COMPUTED_VALUE"""),3.1804742627138407)</f>
        <v>3.180474263</v>
      </c>
      <c r="AX782" s="32">
        <f>IFERROR(__xludf.DUMMYFUNCTION("""COMPUTED_VALUE"""),57.00497459887541)</f>
        <v>57.0049746</v>
      </c>
      <c r="AY782" s="32">
        <f>IFERROR(__xludf.DUMMYFUNCTION("""COMPUTED_VALUE"""),2.5663239275456773)</f>
        <v>2.566323928</v>
      </c>
      <c r="AZ782" s="30">
        <f>IFERROR(__xludf.DUMMYFUNCTION("""COMPUTED_VALUE"""),0.6141503351681634)</f>
        <v>0.6141503352</v>
      </c>
      <c r="BA782" s="30">
        <f>IFERROR(__xludf.DUMMYFUNCTION("""COMPUTED_VALUE"""),3200.0)</f>
        <v>3200</v>
      </c>
    </row>
    <row r="783">
      <c r="A783" s="71" t="str">
        <f>IFERROR(__xludf.DUMMYFUNCTION("""COMPUTED_VALUE"""),"Contender")</f>
        <v>Contender</v>
      </c>
      <c r="B783" s="71" t="str">
        <f>IFERROR(__xludf.DUMMYFUNCTION("""COMPUTED_VALUE"""),"RSC007635")</f>
        <v>RSC007635</v>
      </c>
      <c r="C783" s="30" t="str">
        <f>IFERROR(__xludf.DUMMYFUNCTION("""COMPUTED_VALUE"""),"MungsApprentice")</f>
        <v>MungsApprentice</v>
      </c>
      <c r="D783" s="30" t="str">
        <f>IFERROR(__xludf.DUMMYFUNCTION("""COMPUTED_VALUE"""),"Ice")</f>
        <v>Ice</v>
      </c>
      <c r="E783" s="30">
        <f>IFERROR(__xludf.DUMMYFUNCTION("""COMPUTED_VALUE"""),7.0)</f>
        <v>7</v>
      </c>
      <c r="F783" s="30">
        <f>IFERROR(__xludf.DUMMYFUNCTION("""COMPUTED_VALUE"""),4.0)</f>
        <v>4</v>
      </c>
      <c r="G783" s="42">
        <f>IFERROR(__xludf.DUMMYFUNCTION("""COMPUTED_VALUE"""),3.0)</f>
        <v>3</v>
      </c>
      <c r="H783" s="42">
        <f>IFERROR(__xludf.DUMMYFUNCTION("""COMPUTED_VALUE"""),0.5714285714285714)</f>
        <v>0.5714285714</v>
      </c>
      <c r="I783" s="42">
        <f>IFERROR(__xludf.DUMMYFUNCTION("""COMPUTED_VALUE"""),0.3)</f>
        <v>0.3</v>
      </c>
      <c r="J783" s="30">
        <f>IFERROR(__xludf.DUMMYFUNCTION("""COMPUTED_VALUE"""),266.14285714285717)</f>
        <v>266.1428571</v>
      </c>
      <c r="K783" s="30">
        <f>IFERROR(__xludf.DUMMYFUNCTION("""COMPUTED_VALUE"""),0.42857142857142855)</f>
        <v>0.4285714286</v>
      </c>
      <c r="L783" s="30">
        <f>IFERROR(__xludf.DUMMYFUNCTION("""COMPUTED_VALUE"""),0.5714285714285714)</f>
        <v>0.5714285714</v>
      </c>
      <c r="M783" s="30">
        <f>IFERROR(__xludf.DUMMYFUNCTION("""COMPUTED_VALUE"""),1.1428571428571428)</f>
        <v>1.142857143</v>
      </c>
      <c r="N783" s="30">
        <f>IFERROR(__xludf.DUMMYFUNCTION("""COMPUTED_VALUE"""),1.4285714285714286)</f>
        <v>1.428571429</v>
      </c>
      <c r="O783" s="30">
        <f>IFERROR(__xludf.DUMMYFUNCTION("""COMPUTED_VALUE"""),341.57142857142856)</f>
        <v>341.5714286</v>
      </c>
      <c r="P783" s="30">
        <f>IFERROR(__xludf.DUMMYFUNCTION("""COMPUTED_VALUE"""),0.9523809523809524)</f>
        <v>0.9523809524</v>
      </c>
      <c r="Q783" s="30">
        <f>IFERROR(__xludf.DUMMYFUNCTION("""COMPUTED_VALUE"""),0.857142857142857)</f>
        <v>0.8571428571</v>
      </c>
      <c r="R783" s="30">
        <f>IFERROR(__xludf.DUMMYFUNCTION("""COMPUTED_VALUE"""),0.9047619047619049)</f>
        <v>0.9047619048</v>
      </c>
      <c r="S783" s="30">
        <f>IFERROR(__xludf.DUMMYFUNCTION("""COMPUTED_VALUE"""),2.380952380952381)</f>
        <v>2.380952381</v>
      </c>
      <c r="T783" s="30">
        <f>IFERROR(__xludf.DUMMYFUNCTION("""COMPUTED_VALUE"""),345.28333670285963)</f>
        <v>345.2833367</v>
      </c>
      <c r="U783" s="30">
        <f>IFERROR(__xludf.DUMMYFUNCTION("""COMPUTED_VALUE"""),0.9290670901612047)</f>
        <v>0.9290670902</v>
      </c>
      <c r="V783" s="30">
        <f>IFERROR(__xludf.DUMMYFUNCTION("""COMPUTED_VALUE"""),0.6253305783510607)</f>
        <v>0.6253305784</v>
      </c>
      <c r="W783" s="30">
        <f>IFERROR(__xludf.DUMMYFUNCTION("""COMPUTED_VALUE"""),1.0214980484231198)</f>
        <v>1.021498048</v>
      </c>
      <c r="X783" s="30">
        <f>IFERROR(__xludf.DUMMYFUNCTION("""COMPUTED_VALUE"""),2.493106341319979)</f>
        <v>2.493106341</v>
      </c>
      <c r="Y783" s="30">
        <f>IFERROR(__xludf.DUMMYFUNCTION("""COMPUTED_VALUE"""),313.67329041002876)</f>
        <v>313.6732904</v>
      </c>
      <c r="Z783" s="30">
        <f>IFERROR(__xludf.DUMMYFUNCTION("""COMPUTED_VALUE"""),0.6949628062652)</f>
        <v>0.6949628063</v>
      </c>
      <c r="AA783" s="30">
        <f>IFERROR(__xludf.DUMMYFUNCTION("""COMPUTED_VALUE"""),0.46704872570398454)</f>
        <v>0.4670487257</v>
      </c>
      <c r="AB783" s="30">
        <f>IFERROR(__xludf.DUMMYFUNCTION("""COMPUTED_VALUE"""),1.0829807446288304)</f>
        <v>1.082980745</v>
      </c>
      <c r="AC783" s="30">
        <f>IFERROR(__xludf.DUMMYFUNCTION("""COMPUTED_VALUE"""),2.1217277738537788)</f>
        <v>2.121727774</v>
      </c>
      <c r="AD783" s="30">
        <f>IFERROR(__xludf.DUMMYFUNCTION("""COMPUTED_VALUE"""),0.8484715316211956)</f>
        <v>0.8484715316</v>
      </c>
      <c r="AE783" s="30">
        <f>IFERROR(__xludf.DUMMYFUNCTION("""COMPUTED_VALUE"""),0.6166825399975209)</f>
        <v>0.61668254</v>
      </c>
      <c r="AF783" s="30">
        <f>IFERROR(__xludf.DUMMYFUNCTION("""COMPUTED_VALUE"""),1.223488128711313)</f>
        <v>1.223488129</v>
      </c>
      <c r="AG783" s="30">
        <f>IFERROR(__xludf.DUMMYFUNCTION("""COMPUTED_VALUE"""),1.0552885160011167)</f>
        <v>1.055288516</v>
      </c>
      <c r="AH783" s="30">
        <f>IFERROR(__xludf.DUMMYFUNCTION("""COMPUTED_VALUE"""),0.6733057115883709)</f>
        <v>0.6733057116</v>
      </c>
      <c r="AI783" s="30">
        <f>IFERROR(__xludf.DUMMYFUNCTION("""COMPUTED_VALUE"""),0.9892496748702778)</f>
        <v>0.9892496749</v>
      </c>
      <c r="AJ783" s="30">
        <f>IFERROR(__xludf.DUMMYFUNCTION("""COMPUTED_VALUE"""),1.0250938414099917)</f>
        <v>1.025093841</v>
      </c>
      <c r="AK783" s="30">
        <f>IFERROR(__xludf.DUMMYFUNCTION("""COMPUTED_VALUE"""),1.3707035715462117)</f>
        <v>1.370703572</v>
      </c>
      <c r="AL783" s="30">
        <f>IFERROR(__xludf.DUMMYFUNCTION("""COMPUTED_VALUE"""),0.8857206395632182)</f>
        <v>0.8857206396</v>
      </c>
      <c r="AM783" s="30">
        <f>IFERROR(__xludf.DUMMYFUNCTION("""COMPUTED_VALUE"""),0.9550143696204239)</f>
        <v>0.9550143696</v>
      </c>
      <c r="AN783" s="30">
        <f>IFERROR(__xludf.DUMMYFUNCTION("""COMPUTED_VALUE"""),0.8538178181298878)</f>
        <v>0.8538178181</v>
      </c>
      <c r="AO783" s="30">
        <f>IFERROR(__xludf.DUMMYFUNCTION("""COMPUTED_VALUE"""),0.5719766957221284)</f>
        <v>0.5719766957</v>
      </c>
      <c r="AP783" s="30">
        <f>IFERROR(__xludf.DUMMYFUNCTION("""COMPUTED_VALUE"""),1.1147134445478244)</f>
        <v>1.114713445</v>
      </c>
      <c r="AQ783" s="30">
        <f>IFERROR(__xludf.DUMMYFUNCTION("""COMPUTED_VALUE"""),1.0908565161423756)</f>
        <v>1.090856516</v>
      </c>
      <c r="AR783" s="30">
        <f>IFERROR(__xludf.DUMMYFUNCTION("""COMPUTED_VALUE"""),0.6643389992247125)</f>
        <v>0.6643389992</v>
      </c>
      <c r="AS783" s="30">
        <f>IFERROR(__xludf.DUMMYFUNCTION("""COMPUTED_VALUE"""),16.0)</f>
        <v>16</v>
      </c>
      <c r="AT783" s="30">
        <f>IFERROR(__xludf.DUMMYFUNCTION("""COMPUTED_VALUE"""),0.41167964248460837)</f>
        <v>0.4116796425</v>
      </c>
      <c r="AU783" s="30">
        <f>IFERROR(__xludf.DUMMYFUNCTION("""COMPUTED_VALUE"""),2.3224429977820353)</f>
        <v>2.322442998</v>
      </c>
      <c r="AV783" s="32">
        <f>IFERROR(__xludf.DUMMYFUNCTION("""COMPUTED_VALUE"""),35.10881837579034)</f>
        <v>35.10881838</v>
      </c>
      <c r="AW783" s="32">
        <f>IFERROR(__xludf.DUMMYFUNCTION("""COMPUTED_VALUE"""),-3.6270592767139234)</f>
        <v>-3.627059277</v>
      </c>
      <c r="AX783" s="32">
        <f>IFERROR(__xludf.DUMMYFUNCTION("""COMPUTED_VALUE"""),32.004635456626175)</f>
        <v>32.00463546</v>
      </c>
      <c r="AY783" s="32">
        <f>IFERROR(__xludf.DUMMYFUNCTION("""COMPUTED_VALUE"""),-4.240529933834353)</f>
        <v>-4.240529934</v>
      </c>
      <c r="AZ783" s="30">
        <f>IFERROR(__xludf.DUMMYFUNCTION("""COMPUTED_VALUE"""),0.61347065712043)</f>
        <v>0.6134706571</v>
      </c>
      <c r="BA783" s="30">
        <f>IFERROR(__xludf.DUMMYFUNCTION("""COMPUTED_VALUE"""),3200.0)</f>
        <v>3200</v>
      </c>
    </row>
    <row r="784">
      <c r="A784" s="71" t="str">
        <f>IFERROR(__xludf.DUMMYFUNCTION("""COMPUTED_VALUE"""),"Contender")</f>
        <v>Contender</v>
      </c>
      <c r="B784" s="71" t="str">
        <f>IFERROR(__xludf.DUMMYFUNCTION("""COMPUTED_VALUE"""),"RSC007465")</f>
        <v>RSC007465</v>
      </c>
      <c r="C784" s="30" t="str">
        <f>IFERROR(__xludf.DUMMYFUNCTION("""COMPUTED_VALUE"""),"xReaperDenTTV")</f>
        <v>xReaperDenTTV</v>
      </c>
      <c r="D784" s="30"/>
      <c r="E784" s="30">
        <f>IFERROR(__xludf.DUMMYFUNCTION("""COMPUTED_VALUE"""),26.0)</f>
        <v>26</v>
      </c>
      <c r="F784" s="30">
        <f>IFERROR(__xludf.DUMMYFUNCTION("""COMPUTED_VALUE"""),11.0)</f>
        <v>11</v>
      </c>
      <c r="G784" s="42">
        <f>IFERROR(__xludf.DUMMYFUNCTION("""COMPUTED_VALUE"""),15.0)</f>
        <v>15</v>
      </c>
      <c r="H784" s="42">
        <f>IFERROR(__xludf.DUMMYFUNCTION("""COMPUTED_VALUE"""),0.4230769230769231)</f>
        <v>0.4230769231</v>
      </c>
      <c r="I784" s="42">
        <f>IFERROR(__xludf.DUMMYFUNCTION("""COMPUTED_VALUE"""),0.34920634920634924)</f>
        <v>0.3492063492</v>
      </c>
      <c r="J784" s="30">
        <f>IFERROR(__xludf.DUMMYFUNCTION("""COMPUTED_VALUE"""),344.38461538461536)</f>
        <v>344.3846154</v>
      </c>
      <c r="K784" s="30">
        <f>IFERROR(__xludf.DUMMYFUNCTION("""COMPUTED_VALUE"""),0.8461538461538461)</f>
        <v>0.8461538462</v>
      </c>
      <c r="L784" s="30">
        <f>IFERROR(__xludf.DUMMYFUNCTION("""COMPUTED_VALUE"""),0.5)</f>
        <v>0.5</v>
      </c>
      <c r="M784" s="30">
        <f>IFERROR(__xludf.DUMMYFUNCTION("""COMPUTED_VALUE"""),1.1153846153846154)</f>
        <v>1.115384615</v>
      </c>
      <c r="N784" s="30">
        <f>IFERROR(__xludf.DUMMYFUNCTION("""COMPUTED_VALUE"""),2.423076923076923)</f>
        <v>2.423076923</v>
      </c>
      <c r="O784" s="30">
        <f>IFERROR(__xludf.DUMMYFUNCTION("""COMPUTED_VALUE"""),323.03846153846155)</f>
        <v>323.0384615</v>
      </c>
      <c r="P784" s="30">
        <f>IFERROR(__xludf.DUMMYFUNCTION("""COMPUTED_VALUE"""),0.8333333333333333)</f>
        <v>0.8333333333</v>
      </c>
      <c r="Q784" s="30">
        <f>IFERROR(__xludf.DUMMYFUNCTION("""COMPUTED_VALUE"""),0.48717948717948717)</f>
        <v>0.4871794872</v>
      </c>
      <c r="R784" s="30">
        <f>IFERROR(__xludf.DUMMYFUNCTION("""COMPUTED_VALUE"""),1.0384615384615383)</f>
        <v>1.038461538</v>
      </c>
      <c r="S784" s="30">
        <f>IFERROR(__xludf.DUMMYFUNCTION("""COMPUTED_VALUE"""),2.294871794871795)</f>
        <v>2.294871795</v>
      </c>
      <c r="T784" s="30">
        <f>IFERROR(__xludf.DUMMYFUNCTION("""COMPUTED_VALUE"""),323.27863602814983)</f>
        <v>323.278636</v>
      </c>
      <c r="U784" s="30">
        <f>IFERROR(__xludf.DUMMYFUNCTION("""COMPUTED_VALUE"""),0.825250982439311)</f>
        <v>0.8252509824</v>
      </c>
      <c r="V784" s="30">
        <f>IFERROR(__xludf.DUMMYFUNCTION("""COMPUTED_VALUE"""),0.5228229076814401)</f>
        <v>0.5228229077</v>
      </c>
      <c r="W784" s="30">
        <f>IFERROR(__xludf.DUMMYFUNCTION("""COMPUTED_VALUE"""),1.0237246396397592)</f>
        <v>1.02372464</v>
      </c>
      <c r="X784" s="30">
        <f>IFERROR(__xludf.DUMMYFUNCTION("""COMPUTED_VALUE"""),2.266866984899699)</f>
        <v>2.266866985</v>
      </c>
      <c r="Y784" s="30">
        <f>IFERROR(__xludf.DUMMYFUNCTION("""COMPUTED_VALUE"""),321.04565513516286)</f>
        <v>321.0456551</v>
      </c>
      <c r="Z784" s="30">
        <f>IFERROR(__xludf.DUMMYFUNCTION("""COMPUTED_VALUE"""),0.7673965142606463)</f>
        <v>0.7673965143</v>
      </c>
      <c r="AA784" s="30">
        <f>IFERROR(__xludf.DUMMYFUNCTION("""COMPUTED_VALUE"""),0.5144065442694972)</f>
        <v>0.5144065443</v>
      </c>
      <c r="AB784" s="30">
        <f>IFERROR(__xludf.DUMMYFUNCTION("""COMPUTED_VALUE"""),1.0659949622917497)</f>
        <v>1.065994962</v>
      </c>
      <c r="AC784" s="30">
        <f>IFERROR(__xludf.DUMMYFUNCTION("""COMPUTED_VALUE"""),2.211957153542771)</f>
        <v>2.211957154</v>
      </c>
      <c r="AD784" s="30">
        <f>IFERROR(__xludf.DUMMYFUNCTION("""COMPUTED_VALUE"""),1.072696701781018)</f>
        <v>1.072696702</v>
      </c>
      <c r="AE784" s="30">
        <f>IFERROR(__xludf.DUMMYFUNCTION("""COMPUTED_VALUE"""),1.1026292541465075)</f>
        <v>1.102629254</v>
      </c>
      <c r="AF784" s="30">
        <f>IFERROR(__xludf.DUMMYFUNCTION("""COMPUTED_VALUE"""),0.9719938549966238)</f>
        <v>0.971993855</v>
      </c>
      <c r="AG784" s="30">
        <f>IFERROR(__xludf.DUMMYFUNCTION("""COMPUTED_VALUE"""),1.0463319760786527)</f>
        <v>1.046331976</v>
      </c>
      <c r="AH784" s="30">
        <f>IFERROR(__xludf.DUMMYFUNCTION("""COMPUTED_VALUE"""),1.0954447825519644)</f>
        <v>1.095444783</v>
      </c>
      <c r="AI784" s="30">
        <f>IFERROR(__xludf.DUMMYFUNCTION("""COMPUTED_VALUE"""),0.9992570666201791)</f>
        <v>0.9992570666</v>
      </c>
      <c r="AJ784" s="30">
        <f>IFERROR(__xludf.DUMMYFUNCTION("""COMPUTED_VALUE"""),1.0097938094785808)</f>
        <v>1.009793809</v>
      </c>
      <c r="AK784" s="30">
        <f>IFERROR(__xludf.DUMMYFUNCTION("""COMPUTED_VALUE"""),0.9318250597319451)</f>
        <v>0.9318250597</v>
      </c>
      <c r="AL784" s="30">
        <f>IFERROR(__xludf.DUMMYFUNCTION("""COMPUTED_VALUE"""),1.0143953737666849)</f>
        <v>1.014395374</v>
      </c>
      <c r="AM784" s="30">
        <f>IFERROR(__xludf.DUMMYFUNCTION("""COMPUTED_VALUE"""),1.0123539714322212)</f>
        <v>1.012353971</v>
      </c>
      <c r="AN784" s="30">
        <f>IFERROR(__xludf.DUMMYFUNCTION("""COMPUTED_VALUE"""),1.1048266485970746)</f>
        <v>1.104826649</v>
      </c>
      <c r="AO784" s="30">
        <f>IFERROR(__xludf.DUMMYFUNCTION("""COMPUTED_VALUE"""),1.1292873223231767)</f>
        <v>1.129287322</v>
      </c>
      <c r="AP784" s="30">
        <f>IFERROR(__xludf.DUMMYFUNCTION("""COMPUTED_VALUE"""),0.9753742639793463)</f>
        <v>0.975374264</v>
      </c>
      <c r="AQ784" s="30">
        <f>IFERROR(__xludf.DUMMYFUNCTION("""COMPUTED_VALUE"""),1.064634003735107)</f>
        <v>1.064634004</v>
      </c>
      <c r="AR784" s="30">
        <f>IFERROR(__xludf.DUMMYFUNCTION("""COMPUTED_VALUE"""),1.126821148684993)</f>
        <v>1.126821149</v>
      </c>
      <c r="AS784" s="30">
        <f>IFERROR(__xludf.DUMMYFUNCTION("""COMPUTED_VALUE"""),52.0)</f>
        <v>52</v>
      </c>
      <c r="AT784" s="30">
        <f>IFERROR(__xludf.DUMMYFUNCTION("""COMPUTED_VALUE"""),0.41493464975825695)</f>
        <v>0.4149346498</v>
      </c>
      <c r="AU784" s="30">
        <f>IFERROR(__xludf.DUMMYFUNCTION("""COMPUTED_VALUE"""),3.6426932755047874)</f>
        <v>3.642693276</v>
      </c>
      <c r="AV784" s="32">
        <f>IFERROR(__xludf.DUMMYFUNCTION("""COMPUTED_VALUE"""),57.872984772626616)</f>
        <v>57.87298477</v>
      </c>
      <c r="AW784" s="32">
        <f>IFERROR(__xludf.DUMMYFUNCTION("""COMPUTED_VALUE"""),2.656667472088828)</f>
        <v>2.656667472</v>
      </c>
      <c r="AX784" s="32">
        <f>IFERROR(__xludf.DUMMYFUNCTION("""COMPUTED_VALUE"""),61.77696303317568)</f>
        <v>61.77696303</v>
      </c>
      <c r="AY784" s="32">
        <f>IFERROR(__xludf.DUMMYFUNCTION("""COMPUTED_VALUE"""),3.136838316469553)</f>
        <v>3.136838316</v>
      </c>
      <c r="AZ784" s="30">
        <f>IFERROR(__xludf.DUMMYFUNCTION("""COMPUTED_VALUE"""),0.48017084438072466)</f>
        <v>0.4801708444</v>
      </c>
      <c r="BA784" s="30">
        <f>IFERROR(__xludf.DUMMYFUNCTION("""COMPUTED_VALUE"""),3200.0)</f>
        <v>3200</v>
      </c>
    </row>
    <row r="785">
      <c r="A785" s="71" t="str">
        <f>IFERROR(__xludf.DUMMYFUNCTION("""COMPUTED_VALUE"""),"Contender")</f>
        <v>Contender</v>
      </c>
      <c r="B785" s="71" t="str">
        <f>IFERROR(__xludf.DUMMYFUNCTION("""COMPUTED_VALUE"""),"RSC007918")</f>
        <v>RSC007918</v>
      </c>
      <c r="C785" s="30" t="str">
        <f>IFERROR(__xludf.DUMMYFUNCTION("""COMPUTED_VALUE"""),"TheBLKBoy")</f>
        <v>TheBLKBoy</v>
      </c>
      <c r="D785" s="30" t="str">
        <f>IFERROR(__xludf.DUMMYFUNCTION("""COMPUTED_VALUE"""),"Clover")</f>
        <v>Clover</v>
      </c>
      <c r="E785" s="30">
        <f>IFERROR(__xludf.DUMMYFUNCTION("""COMPUTED_VALUE"""),25.0)</f>
        <v>25</v>
      </c>
      <c r="F785" s="30">
        <f>IFERROR(__xludf.DUMMYFUNCTION("""COMPUTED_VALUE"""),14.0)</f>
        <v>14</v>
      </c>
      <c r="G785" s="42">
        <f>IFERROR(__xludf.DUMMYFUNCTION("""COMPUTED_VALUE"""),11.0)</f>
        <v>11</v>
      </c>
      <c r="H785" s="42">
        <f>IFERROR(__xludf.DUMMYFUNCTION("""COMPUTED_VALUE"""),0.56)</f>
        <v>0.56</v>
      </c>
      <c r="I785" s="42">
        <f>IFERROR(__xludf.DUMMYFUNCTION("""COMPUTED_VALUE"""),0.4150943396226415)</f>
        <v>0.4150943396</v>
      </c>
      <c r="J785" s="30">
        <f>IFERROR(__xludf.DUMMYFUNCTION("""COMPUTED_VALUE"""),341.6)</f>
        <v>341.6</v>
      </c>
      <c r="K785" s="30">
        <f>IFERROR(__xludf.DUMMYFUNCTION("""COMPUTED_VALUE"""),0.88)</f>
        <v>0.88</v>
      </c>
      <c r="L785" s="30">
        <f>IFERROR(__xludf.DUMMYFUNCTION("""COMPUTED_VALUE"""),0.6)</f>
        <v>0.6</v>
      </c>
      <c r="M785" s="30">
        <f>IFERROR(__xludf.DUMMYFUNCTION("""COMPUTED_VALUE"""),1.4)</f>
        <v>1.4</v>
      </c>
      <c r="N785" s="30">
        <f>IFERROR(__xludf.DUMMYFUNCTION("""COMPUTED_VALUE"""),2.12)</f>
        <v>2.12</v>
      </c>
      <c r="O785" s="30">
        <f>IFERROR(__xludf.DUMMYFUNCTION("""COMPUTED_VALUE"""),314.5999999999999)</f>
        <v>314.6</v>
      </c>
      <c r="P785" s="30">
        <f>IFERROR(__xludf.DUMMYFUNCTION("""COMPUTED_VALUE"""),0.72)</f>
        <v>0.72</v>
      </c>
      <c r="Q785" s="30">
        <f>IFERROR(__xludf.DUMMYFUNCTION("""COMPUTED_VALUE"""),0.4666666666666666)</f>
        <v>0.4666666667</v>
      </c>
      <c r="R785" s="30">
        <f>IFERROR(__xludf.DUMMYFUNCTION("""COMPUTED_VALUE"""),1.12)</f>
        <v>1.12</v>
      </c>
      <c r="S785" s="30">
        <f>IFERROR(__xludf.DUMMYFUNCTION("""COMPUTED_VALUE"""),2.333333333333333)</f>
        <v>2.333333333</v>
      </c>
      <c r="T785" s="30">
        <f>IFERROR(__xludf.DUMMYFUNCTION("""COMPUTED_VALUE"""),315.32118103158115)</f>
        <v>315.321181</v>
      </c>
      <c r="U785" s="30">
        <f>IFERROR(__xludf.DUMMYFUNCTION("""COMPUTED_VALUE"""),0.7186505257812263)</f>
        <v>0.7186505258</v>
      </c>
      <c r="V785" s="30">
        <f>IFERROR(__xludf.DUMMYFUNCTION("""COMPUTED_VALUE"""),0.4833298062708519)</f>
        <v>0.4833298063</v>
      </c>
      <c r="W785" s="30">
        <f>IFERROR(__xludf.DUMMYFUNCTION("""COMPUTED_VALUE"""),1.0934912225026243)</f>
        <v>1.093491223</v>
      </c>
      <c r="X785" s="30">
        <f>IFERROR(__xludf.DUMMYFUNCTION("""COMPUTED_VALUE"""),2.1510512580671097)</f>
        <v>2.151051258</v>
      </c>
      <c r="Y785" s="30">
        <f>IFERROR(__xludf.DUMMYFUNCTION("""COMPUTED_VALUE"""),328.2231173624196)</f>
        <v>328.2231174</v>
      </c>
      <c r="Z785" s="30">
        <f>IFERROR(__xludf.DUMMYFUNCTION("""COMPUTED_VALUE"""),0.8197020129892766)</f>
        <v>0.819702013</v>
      </c>
      <c r="AA785" s="30">
        <f>IFERROR(__xludf.DUMMYFUNCTION("""COMPUTED_VALUE"""),0.5280080074418227)</f>
        <v>0.5280080074</v>
      </c>
      <c r="AB785" s="30">
        <f>IFERROR(__xludf.DUMMYFUNCTION("""COMPUTED_VALUE"""),1.0620931430556013)</f>
        <v>1.062093143</v>
      </c>
      <c r="AC785" s="30">
        <f>IFERROR(__xludf.DUMMYFUNCTION("""COMPUTED_VALUE"""),2.2692001051928754)</f>
        <v>2.269200105</v>
      </c>
      <c r="AD785" s="30">
        <f>IFERROR(__xludf.DUMMYFUNCTION("""COMPUTED_VALUE"""),1.0407554554507805)</f>
        <v>1.040755455</v>
      </c>
      <c r="AE785" s="30">
        <f>IFERROR(__xludf.DUMMYFUNCTION("""COMPUTED_VALUE"""),1.0735608624295427)</f>
        <v>1.073560862</v>
      </c>
      <c r="AF785" s="30">
        <f>IFERROR(__xludf.DUMMYFUNCTION("""COMPUTED_VALUE"""),1.1363464029778174)</f>
        <v>1.136346403</v>
      </c>
      <c r="AG785" s="30">
        <f>IFERROR(__xludf.DUMMYFUNCTION("""COMPUTED_VALUE"""),1.3181518110287893)</f>
        <v>1.318151811</v>
      </c>
      <c r="AH785" s="30">
        <f>IFERROR(__xludf.DUMMYFUNCTION("""COMPUTED_VALUE"""),0.9342499126227594)</f>
        <v>0.9342499126</v>
      </c>
      <c r="AI785" s="30">
        <f>IFERROR(__xludf.DUMMYFUNCTION("""COMPUTED_VALUE"""),0.9977128684180939)</f>
        <v>0.9977128684</v>
      </c>
      <c r="AJ785" s="30">
        <f>IFERROR(__xludf.DUMMYFUNCTION("""COMPUTED_VALUE"""),1.0018777892318476)</f>
        <v>1.001877789</v>
      </c>
      <c r="AK785" s="30">
        <f>IFERROR(__xludf.DUMMYFUNCTION("""COMPUTED_VALUE"""),0.9655242871679064)</f>
        <v>0.9655242872</v>
      </c>
      <c r="AL785" s="30">
        <f>IFERROR(__xludf.DUMMYFUNCTION("""COMPUTED_VALUE"""),1.0242423322216583)</f>
        <v>1.024242332</v>
      </c>
      <c r="AM785" s="30">
        <f>IFERROR(__xludf.DUMMYFUNCTION("""COMPUTED_VALUE"""),1.0847409258996543)</f>
        <v>1.084740926</v>
      </c>
      <c r="AN785" s="30">
        <f>IFERROR(__xludf.DUMMYFUNCTION("""COMPUTED_VALUE"""),1.095893272523987)</f>
        <v>1.095893273</v>
      </c>
      <c r="AO785" s="30">
        <f>IFERROR(__xludf.DUMMYFUNCTION("""COMPUTED_VALUE"""),1.1744588152161037)</f>
        <v>1.174458815</v>
      </c>
      <c r="AP785" s="30">
        <f>IFERROR(__xludf.DUMMYFUNCTION("""COMPUTED_VALUE"""),1.1704491167752156)</f>
        <v>1.170449117</v>
      </c>
      <c r="AQ785" s="30">
        <f>IFERROR(__xludf.DUMMYFUNCTION("""COMPUTED_VALUE"""),1.33629923227441)</f>
        <v>1.336299232</v>
      </c>
      <c r="AR785" s="30">
        <f>IFERROR(__xludf.DUMMYFUNCTION("""COMPUTED_VALUE"""),0.9858790748494735)</f>
        <v>0.9858790748</v>
      </c>
      <c r="AS785" s="30">
        <f>IFERROR(__xludf.DUMMYFUNCTION("""COMPUTED_VALUE"""),67.0)</f>
        <v>67</v>
      </c>
      <c r="AT785" s="30">
        <f>IFERROR(__xludf.DUMMYFUNCTION("""COMPUTED_VALUE"""),0.5839890044147312)</f>
        <v>0.5839890044</v>
      </c>
      <c r="AU785" s="30">
        <f>IFERROR(__xludf.DUMMYFUNCTION("""COMPUTED_VALUE"""),3.6401540504823267)</f>
        <v>3.64015405</v>
      </c>
      <c r="AV785" s="32">
        <f>IFERROR(__xludf.DUMMYFUNCTION("""COMPUTED_VALUE"""),57.82920266410852)</f>
        <v>57.82920266</v>
      </c>
      <c r="AW785" s="32">
        <f>IFERROR(__xludf.DUMMYFUNCTION("""COMPUTED_VALUE"""),2.6519819431391887)</f>
        <v>2.651981943</v>
      </c>
      <c r="AX785" s="32">
        <f>IFERROR(__xludf.DUMMYFUNCTION("""COMPUTED_VALUE"""),53.15181148454002)</f>
        <v>53.15181148</v>
      </c>
      <c r="AY785" s="32">
        <f>IFERROR(__xludf.DUMMYFUNCTION("""COMPUTED_VALUE"""),2.2230260493530447)</f>
        <v>2.223026049</v>
      </c>
      <c r="AZ785" s="30">
        <f>IFERROR(__xludf.DUMMYFUNCTION("""COMPUTED_VALUE"""),0.42895589378614396)</f>
        <v>0.4289558938</v>
      </c>
      <c r="BA785" s="30">
        <f>IFERROR(__xludf.DUMMYFUNCTION("""COMPUTED_VALUE"""),3200.0)</f>
        <v>3200</v>
      </c>
    </row>
    <row r="786">
      <c r="A786" s="71" t="str">
        <f>IFERROR(__xludf.DUMMYFUNCTION("""COMPUTED_VALUE"""),"Contender")</f>
        <v>Contender</v>
      </c>
      <c r="B786" s="71" t="str">
        <f>IFERROR(__xludf.DUMMYFUNCTION("""COMPUTED_VALUE"""),"RSC005550")</f>
        <v>RSC005550</v>
      </c>
      <c r="C786" s="30" t="str">
        <f>IFERROR(__xludf.DUMMYFUNCTION("""COMPUTED_VALUE"""),"Shraggaholic")</f>
        <v>Shraggaholic</v>
      </c>
      <c r="D786" s="30" t="str">
        <f>IFERROR(__xludf.DUMMYFUNCTION("""COMPUTED_VALUE"""),"Ice")</f>
        <v>Ice</v>
      </c>
      <c r="E786" s="30">
        <f>IFERROR(__xludf.DUMMYFUNCTION("""COMPUTED_VALUE"""),34.0)</f>
        <v>34</v>
      </c>
      <c r="F786" s="30">
        <f>IFERROR(__xludf.DUMMYFUNCTION("""COMPUTED_VALUE"""),20.0)</f>
        <v>20</v>
      </c>
      <c r="G786" s="42">
        <f>IFERROR(__xludf.DUMMYFUNCTION("""COMPUTED_VALUE"""),14.0)</f>
        <v>14</v>
      </c>
      <c r="H786" s="42">
        <f>IFERROR(__xludf.DUMMYFUNCTION("""COMPUTED_VALUE"""),0.5882352941176471)</f>
        <v>0.5882352941</v>
      </c>
      <c r="I786" s="42">
        <f>IFERROR(__xludf.DUMMYFUNCTION("""COMPUTED_VALUE"""),0.31506849315068497)</f>
        <v>0.3150684932</v>
      </c>
      <c r="J786" s="30">
        <f>IFERROR(__xludf.DUMMYFUNCTION("""COMPUTED_VALUE"""),318.1470588235294)</f>
        <v>318.1470588</v>
      </c>
      <c r="K786" s="30">
        <f>IFERROR(__xludf.DUMMYFUNCTION("""COMPUTED_VALUE"""),0.6764705882352942)</f>
        <v>0.6764705882</v>
      </c>
      <c r="L786" s="30">
        <f>IFERROR(__xludf.DUMMYFUNCTION("""COMPUTED_VALUE"""),0.5)</f>
        <v>0.5</v>
      </c>
      <c r="M786" s="30">
        <f>IFERROR(__xludf.DUMMYFUNCTION("""COMPUTED_VALUE"""),1.2647058823529411)</f>
        <v>1.264705882</v>
      </c>
      <c r="N786" s="30">
        <f>IFERROR(__xludf.DUMMYFUNCTION("""COMPUTED_VALUE"""),2.1470588235294117)</f>
        <v>2.147058824</v>
      </c>
      <c r="O786" s="30">
        <f>IFERROR(__xludf.DUMMYFUNCTION("""COMPUTED_VALUE"""),320.82352941176475)</f>
        <v>320.8235294</v>
      </c>
      <c r="P786" s="30">
        <f>IFERROR(__xludf.DUMMYFUNCTION("""COMPUTED_VALUE"""),0.7352941176470589)</f>
        <v>0.7352941176</v>
      </c>
      <c r="Q786" s="30">
        <f>IFERROR(__xludf.DUMMYFUNCTION("""COMPUTED_VALUE"""),0.5490196078431372)</f>
        <v>0.5490196078</v>
      </c>
      <c r="R786" s="30">
        <f>IFERROR(__xludf.DUMMYFUNCTION("""COMPUTED_VALUE"""),1.0098039215686274)</f>
        <v>1.009803922</v>
      </c>
      <c r="S786" s="30">
        <f>IFERROR(__xludf.DUMMYFUNCTION("""COMPUTED_VALUE"""),2.4705882352941178)</f>
        <v>2.470588235</v>
      </c>
      <c r="T786" s="30">
        <f>IFERROR(__xludf.DUMMYFUNCTION("""COMPUTED_VALUE"""),309.5667579429293)</f>
        <v>309.5667579</v>
      </c>
      <c r="U786" s="30">
        <f>IFERROR(__xludf.DUMMYFUNCTION("""COMPUTED_VALUE"""),0.740093995870029)</f>
        <v>0.7400939959</v>
      </c>
      <c r="V786" s="30">
        <f>IFERROR(__xludf.DUMMYFUNCTION("""COMPUTED_VALUE"""),0.47797764108170543)</f>
        <v>0.4779776411</v>
      </c>
      <c r="W786" s="30">
        <f>IFERROR(__xludf.DUMMYFUNCTION("""COMPUTED_VALUE"""),1.0174218765039922)</f>
        <v>1.017421877</v>
      </c>
      <c r="X786" s="30">
        <f>IFERROR(__xludf.DUMMYFUNCTION("""COMPUTED_VALUE"""),2.1470098883299906)</f>
        <v>2.147009888</v>
      </c>
      <c r="Y786" s="30">
        <f>IFERROR(__xludf.DUMMYFUNCTION("""COMPUTED_VALUE"""),324.00240004416787)</f>
        <v>324.0024</v>
      </c>
      <c r="Z786" s="30">
        <f>IFERROR(__xludf.DUMMYFUNCTION("""COMPUTED_VALUE"""),0.7982333048688188)</f>
        <v>0.7982333049</v>
      </c>
      <c r="AA786" s="30">
        <f>IFERROR(__xludf.DUMMYFUNCTION("""COMPUTED_VALUE"""),0.517603508983486)</f>
        <v>0.517603509</v>
      </c>
      <c r="AB786" s="30">
        <f>IFERROR(__xludf.DUMMYFUNCTION("""COMPUTED_VALUE"""),1.055610768346071)</f>
        <v>1.055610768</v>
      </c>
      <c r="AC786" s="30">
        <f>IFERROR(__xludf.DUMMYFUNCTION("""COMPUTED_VALUE"""),2.243620792774896)</f>
        <v>2.243620793</v>
      </c>
      <c r="AD786" s="30">
        <f>IFERROR(__xludf.DUMMYFUNCTION("""COMPUTED_VALUE"""),0.9819280930640011)</f>
        <v>0.9819280931</v>
      </c>
      <c r="AE786" s="30">
        <f>IFERROR(__xludf.DUMMYFUNCTION("""COMPUTED_VALUE"""),0.847459739037655)</f>
        <v>0.847459739</v>
      </c>
      <c r="AF786" s="30">
        <f>IFERROR(__xludf.DUMMYFUNCTION("""COMPUTED_VALUE"""),0.965990360038213)</f>
        <v>0.96599036</v>
      </c>
      <c r="AG786" s="30">
        <f>IFERROR(__xludf.DUMMYFUNCTION("""COMPUTED_VALUE"""),1.1980797470780638)</f>
        <v>1.198079747</v>
      </c>
      <c r="AH786" s="30">
        <f>IFERROR(__xludf.DUMMYFUNCTION("""COMPUTED_VALUE"""),0.9569615464625566)</f>
        <v>0.9569615465</v>
      </c>
      <c r="AI786" s="30">
        <f>IFERROR(__xludf.DUMMYFUNCTION("""COMPUTED_VALUE"""),1.0363629853012535)</f>
        <v>1.036362985</v>
      </c>
      <c r="AJ786" s="30">
        <f>IFERROR(__xludf.DUMMYFUNCTION("""COMPUTED_VALUE"""),0.9935145018744173)</f>
        <v>0.9935145019</v>
      </c>
      <c r="AK786" s="30">
        <f>IFERROR(__xludf.DUMMYFUNCTION("""COMPUTED_VALUE"""),1.1486303137541278)</f>
        <v>1.148630314</v>
      </c>
      <c r="AL786" s="30">
        <f>IFERROR(__xludf.DUMMYFUNCTION("""COMPUTED_VALUE"""),0.9925124915128215)</f>
        <v>0.9925124915</v>
      </c>
      <c r="AM786" s="30">
        <f>IFERROR(__xludf.DUMMYFUNCTION("""COMPUTED_VALUE"""),1.1507111582126044)</f>
        <v>1.150711158</v>
      </c>
      <c r="AN786" s="30">
        <f>IFERROR(__xludf.DUMMYFUNCTION("""COMPUTED_VALUE"""),1.0206534585421514)</f>
        <v>1.020653459</v>
      </c>
      <c r="AO786" s="30">
        <f>IFERROR(__xludf.DUMMYFUNCTION("""COMPUTED_VALUE"""),0.9028259608947322)</f>
        <v>0.9028259609</v>
      </c>
      <c r="AP786" s="30">
        <f>IFERROR(__xludf.DUMMYFUNCTION("""COMPUTED_VALUE"""),0.9753742639793463)</f>
        <v>0.975374264</v>
      </c>
      <c r="AQ786" s="30">
        <f>IFERROR(__xludf.DUMMYFUNCTION("""COMPUTED_VALUE"""),1.2071610711722611)</f>
        <v>1.207161071</v>
      </c>
      <c r="AR786" s="30">
        <f>IFERROR(__xludf.DUMMYFUNCTION("""COMPUTED_VALUE"""),0.9984624370700826)</f>
        <v>0.9984624371</v>
      </c>
      <c r="AS786" s="30">
        <f>IFERROR(__xludf.DUMMYFUNCTION("""COMPUTED_VALUE"""),88.0)</f>
        <v>88</v>
      </c>
      <c r="AT786" s="30">
        <f>IFERROR(__xludf.DUMMYFUNCTION("""COMPUTED_VALUE"""),0.5623371627426441)</f>
        <v>0.5623371627</v>
      </c>
      <c r="AU786" s="30">
        <f>IFERROR(__xludf.DUMMYFUNCTION("""COMPUTED_VALUE"""),2.975058424694159)</f>
        <v>2.975058425</v>
      </c>
      <c r="AV786" s="32">
        <f>IFERROR(__xludf.DUMMYFUNCTION("""COMPUTED_VALUE"""),46.361416782355256)</f>
        <v>46.36141678</v>
      </c>
      <c r="AW786" s="32">
        <f>IFERROR(__xludf.DUMMYFUNCTION("""COMPUTED_VALUE"""),-2.2617221732464627)</f>
        <v>-2.261722173</v>
      </c>
      <c r="AX786" s="32">
        <f>IFERROR(__xludf.DUMMYFUNCTION("""COMPUTED_VALUE"""),42.69154574618104)</f>
        <v>42.69154575</v>
      </c>
      <c r="AY786" s="32">
        <f>IFERROR(__xludf.DUMMYFUNCTION("""COMPUTED_VALUE"""),-2.597307889287533)</f>
        <v>-2.597307889</v>
      </c>
      <c r="AZ786" s="30">
        <f>IFERROR(__xludf.DUMMYFUNCTION("""COMPUTED_VALUE"""),0.33558571604107046)</f>
        <v>0.335585716</v>
      </c>
      <c r="BA786" s="30">
        <f>IFERROR(__xludf.DUMMYFUNCTION("""COMPUTED_VALUE"""),3200.0)</f>
        <v>3200</v>
      </c>
    </row>
    <row r="787">
      <c r="A787" s="71" t="str">
        <f>IFERROR(__xludf.DUMMYFUNCTION("""COMPUTED_VALUE"""),"Contender")</f>
        <v>Contender</v>
      </c>
      <c r="B787" s="71" t="str">
        <f>IFERROR(__xludf.DUMMYFUNCTION("""COMPUTED_VALUE"""),"RSC000963")</f>
        <v>RSC000963</v>
      </c>
      <c r="C787" s="30" t="str">
        <f>IFERROR(__xludf.DUMMYFUNCTION("""COMPUTED_VALUE"""),"Sup3rm4n")</f>
        <v>Sup3rm4n</v>
      </c>
      <c r="D787" s="30" t="str">
        <f>IFERROR(__xludf.DUMMYFUNCTION("""COMPUTED_VALUE"""),"Rheas")</f>
        <v>Rheas</v>
      </c>
      <c r="E787" s="30">
        <f>IFERROR(__xludf.DUMMYFUNCTION("""COMPUTED_VALUE"""),14.0)</f>
        <v>14</v>
      </c>
      <c r="F787" s="30">
        <f>IFERROR(__xludf.DUMMYFUNCTION("""COMPUTED_VALUE"""),11.0)</f>
        <v>11</v>
      </c>
      <c r="G787" s="42">
        <f>IFERROR(__xludf.DUMMYFUNCTION("""COMPUTED_VALUE"""),3.0)</f>
        <v>3</v>
      </c>
      <c r="H787" s="42">
        <f>IFERROR(__xludf.DUMMYFUNCTION("""COMPUTED_VALUE"""),0.7857142857142857)</f>
        <v>0.7857142857</v>
      </c>
      <c r="I787" s="42">
        <f>IFERROR(__xludf.DUMMYFUNCTION("""COMPUTED_VALUE"""),0.4799999999999999)</f>
        <v>0.48</v>
      </c>
      <c r="J787" s="30">
        <f>IFERROR(__xludf.DUMMYFUNCTION("""COMPUTED_VALUE"""),296.2142857142857)</f>
        <v>296.2142857</v>
      </c>
      <c r="K787" s="30">
        <f>IFERROR(__xludf.DUMMYFUNCTION("""COMPUTED_VALUE"""),0.8571428571428571)</f>
        <v>0.8571428571</v>
      </c>
      <c r="L787" s="30">
        <f>IFERROR(__xludf.DUMMYFUNCTION("""COMPUTED_VALUE"""),0.2857142857142857)</f>
        <v>0.2857142857</v>
      </c>
      <c r="M787" s="30">
        <f>IFERROR(__xludf.DUMMYFUNCTION("""COMPUTED_VALUE"""),0.9285714285714286)</f>
        <v>0.9285714286</v>
      </c>
      <c r="N787" s="30">
        <f>IFERROR(__xludf.DUMMYFUNCTION("""COMPUTED_VALUE"""),1.7857142857142858)</f>
        <v>1.785714286</v>
      </c>
      <c r="O787" s="30">
        <f>IFERROR(__xludf.DUMMYFUNCTION("""COMPUTED_VALUE"""),282.07142857142856)</f>
        <v>282.0714286</v>
      </c>
      <c r="P787" s="30">
        <f>IFERROR(__xludf.DUMMYFUNCTION("""COMPUTED_VALUE"""),0.5238095238095238)</f>
        <v>0.5238095238</v>
      </c>
      <c r="Q787" s="30">
        <f>IFERROR(__xludf.DUMMYFUNCTION("""COMPUTED_VALUE"""),0.33333333333333337)</f>
        <v>0.3333333333</v>
      </c>
      <c r="R787" s="30">
        <f>IFERROR(__xludf.DUMMYFUNCTION("""COMPUTED_VALUE"""),1.0714285714285716)</f>
        <v>1.071428571</v>
      </c>
      <c r="S787" s="30">
        <f>IFERROR(__xludf.DUMMYFUNCTION("""COMPUTED_VALUE"""),1.8571428571428572)</f>
        <v>1.857142857</v>
      </c>
      <c r="T787" s="30">
        <f>IFERROR(__xludf.DUMMYFUNCTION("""COMPUTED_VALUE"""),309.7536075073269)</f>
        <v>309.7536075</v>
      </c>
      <c r="U787" s="30">
        <f>IFERROR(__xludf.DUMMYFUNCTION("""COMPUTED_VALUE"""),0.7108750746582814)</f>
        <v>0.7108750747</v>
      </c>
      <c r="V787" s="30">
        <f>IFERROR(__xludf.DUMMYFUNCTION("""COMPUTED_VALUE"""),0.4743234670947691)</f>
        <v>0.4743234671</v>
      </c>
      <c r="W787" s="30">
        <f>IFERROR(__xludf.DUMMYFUNCTION("""COMPUTED_VALUE"""),1.0470002369195917)</f>
        <v>1.047000237</v>
      </c>
      <c r="X787" s="30">
        <f>IFERROR(__xludf.DUMMYFUNCTION("""COMPUTED_VALUE"""),2.1327418528171895)</f>
        <v>2.132741853</v>
      </c>
      <c r="Y787" s="30">
        <f>IFERROR(__xludf.DUMMYFUNCTION("""COMPUTED_VALUE"""),334.6835189760786)</f>
        <v>334.683519</v>
      </c>
      <c r="Z787" s="30">
        <f>IFERROR(__xludf.DUMMYFUNCTION("""COMPUTED_VALUE"""),0.8707773708414503)</f>
        <v>0.8707773708</v>
      </c>
      <c r="AA787" s="30">
        <f>IFERROR(__xludf.DUMMYFUNCTION("""COMPUTED_VALUE"""),0.5527462228301435)</f>
        <v>0.5527462228</v>
      </c>
      <c r="AB787" s="30">
        <f>IFERROR(__xludf.DUMMYFUNCTION("""COMPUTED_VALUE"""),1.0822661639104292)</f>
        <v>1.082266164</v>
      </c>
      <c r="AC787" s="30">
        <f>IFERROR(__xludf.DUMMYFUNCTION("""COMPUTED_VALUE"""),2.3497806246189197)</f>
        <v>2.349780625</v>
      </c>
      <c r="AD787" s="30">
        <f>IFERROR(__xludf.DUMMYFUNCTION("""COMPUTED_VALUE"""),0.8850578798158794)</f>
        <v>0.8850578798</v>
      </c>
      <c r="AE787" s="30">
        <f>IFERROR(__xludf.DUMMYFUNCTION("""COMPUTED_VALUE"""),0.9843421359406505)</f>
        <v>0.9843421359</v>
      </c>
      <c r="AF787" s="30">
        <f>IFERROR(__xludf.DUMMYFUNCTION("""COMPUTED_VALUE"""),0.5168995714731178)</f>
        <v>0.5168995715</v>
      </c>
      <c r="AG787" s="30">
        <f>IFERROR(__xludf.DUMMYFUNCTION("""COMPUTED_VALUE"""),0.8579880435477416)</f>
        <v>0.8579880435</v>
      </c>
      <c r="AH787" s="30">
        <f>IFERROR(__xludf.DUMMYFUNCTION("""COMPUTED_VALUE"""),0.7599493616574898)</f>
        <v>0.7599493617</v>
      </c>
      <c r="AI787" s="30">
        <f>IFERROR(__xludf.DUMMYFUNCTION("""COMPUTED_VALUE"""),0.9106316173081421)</f>
        <v>0.9106316173</v>
      </c>
      <c r="AJ787" s="30">
        <f>IFERROR(__xludf.DUMMYFUNCTION("""COMPUTED_VALUE"""),0.7368517232951511)</f>
        <v>0.7368517233</v>
      </c>
      <c r="AK787" s="30">
        <f>IFERROR(__xludf.DUMMYFUNCTION("""COMPUTED_VALUE"""),0.7027553061521493)</f>
        <v>0.7027553062</v>
      </c>
      <c r="AL787" s="30">
        <f>IFERROR(__xludf.DUMMYFUNCTION("""COMPUTED_VALUE"""),1.0233317373268713)</f>
        <v>1.023331737</v>
      </c>
      <c r="AM787" s="30">
        <f>IFERROR(__xludf.DUMMYFUNCTION("""COMPUTED_VALUE"""),0.8707771429016189)</f>
        <v>0.8707771429</v>
      </c>
      <c r="AN787" s="30">
        <f>IFERROR(__xludf.DUMMYFUNCTION("""COMPUTED_VALUE"""),0.950290523828407)</f>
        <v>0.9502905238</v>
      </c>
      <c r="AO787" s="30">
        <f>IFERROR(__xludf.DUMMYFUNCTION("""COMPUTED_VALUE"""),1.1439533914442568)</f>
        <v>1.143953391</v>
      </c>
      <c r="AP787" s="30">
        <f>IFERROR(__xludf.DUMMYFUNCTION("""COMPUTED_VALUE"""),0.5573567222739122)</f>
        <v>0.5573567223</v>
      </c>
      <c r="AQ787" s="30">
        <f>IFERROR(__xludf.DUMMYFUNCTION("""COMPUTED_VALUE"""),0.8863209193656801)</f>
        <v>0.8863209194</v>
      </c>
      <c r="AR787" s="30">
        <f>IFERROR(__xludf.DUMMYFUNCTION("""COMPUTED_VALUE"""),0.8304237490308907)</f>
        <v>0.830423749</v>
      </c>
      <c r="AS787" s="30">
        <f>IFERROR(__xludf.DUMMYFUNCTION("""COMPUTED_VALUE"""),41.0)</f>
        <v>41</v>
      </c>
      <c r="AT787" s="30">
        <f>IFERROR(__xludf.DUMMYFUNCTION("""COMPUTED_VALUE"""),0.7228390184748954)</f>
        <v>0.7228390185</v>
      </c>
      <c r="AU787" s="30">
        <f>IFERROR(__xludf.DUMMYFUNCTION("""COMPUTED_VALUE"""),2.758771353492561)</f>
        <v>2.758771353</v>
      </c>
      <c r="AV787" s="32">
        <f>IFERROR(__xludf.DUMMYFUNCTION("""COMPUTED_VALUE"""),42.63212775178594)</f>
        <v>42.63212775</v>
      </c>
      <c r="AW787" s="32">
        <f>IFERROR(__xludf.DUMMYFUNCTION("""COMPUTED_VALUE"""),-2.6034490652105284)</f>
        <v>-2.603449065</v>
      </c>
      <c r="AX787" s="32">
        <f>IFERROR(__xludf.DUMMYFUNCTION("""COMPUTED_VALUE"""),39.7789690907854)</f>
        <v>39.77896909</v>
      </c>
      <c r="AY787" s="32">
        <f>IFERROR(__xludf.DUMMYFUNCTION("""COMPUTED_VALUE"""),-2.929732522566997)</f>
        <v>-2.929732523</v>
      </c>
      <c r="AZ787" s="30">
        <f>IFERROR(__xludf.DUMMYFUNCTION("""COMPUTED_VALUE"""),0.32628345735646835)</f>
        <v>0.3262834574</v>
      </c>
      <c r="BA787" s="30">
        <f>IFERROR(__xludf.DUMMYFUNCTION("""COMPUTED_VALUE"""),3200.0)</f>
        <v>3200</v>
      </c>
    </row>
    <row r="788">
      <c r="A788" s="71" t="str">
        <f>IFERROR(__xludf.DUMMYFUNCTION("""COMPUTED_VALUE"""),"Contender")</f>
        <v>Contender</v>
      </c>
      <c r="B788" s="71" t="str">
        <f>IFERROR(__xludf.DUMMYFUNCTION("""COMPUTED_VALUE"""),"RSC005714")</f>
        <v>RSC005714</v>
      </c>
      <c r="C788" s="30" t="str">
        <f>IFERROR(__xludf.DUMMYFUNCTION("""COMPUTED_VALUE"""),"T_i_m_o_g")</f>
        <v>T_i_m_o_g</v>
      </c>
      <c r="D788" s="30" t="str">
        <f>IFERROR(__xludf.DUMMYFUNCTION("""COMPUTED_VALUE"""),"Legionaries")</f>
        <v>Legionaries</v>
      </c>
      <c r="E788" s="30">
        <f>IFERROR(__xludf.DUMMYFUNCTION("""COMPUTED_VALUE"""),16.0)</f>
        <v>16</v>
      </c>
      <c r="F788" s="30">
        <f>IFERROR(__xludf.DUMMYFUNCTION("""COMPUTED_VALUE"""),8.0)</f>
        <v>8</v>
      </c>
      <c r="G788" s="42">
        <f>IFERROR(__xludf.DUMMYFUNCTION("""COMPUTED_VALUE"""),8.0)</f>
        <v>8</v>
      </c>
      <c r="H788" s="42">
        <f>IFERROR(__xludf.DUMMYFUNCTION("""COMPUTED_VALUE"""),0.5)</f>
        <v>0.5</v>
      </c>
      <c r="I788" s="42">
        <f>IFERROR(__xludf.DUMMYFUNCTION("""COMPUTED_VALUE"""),0.2962962962962963)</f>
        <v>0.2962962963</v>
      </c>
      <c r="J788" s="30">
        <f>IFERROR(__xludf.DUMMYFUNCTION("""COMPUTED_VALUE"""),285.75)</f>
        <v>285.75</v>
      </c>
      <c r="K788" s="30">
        <f>IFERROR(__xludf.DUMMYFUNCTION("""COMPUTED_VALUE"""),0.5)</f>
        <v>0.5</v>
      </c>
      <c r="L788" s="30">
        <f>IFERROR(__xludf.DUMMYFUNCTION("""COMPUTED_VALUE"""),0.25)</f>
        <v>0.25</v>
      </c>
      <c r="M788" s="30">
        <f>IFERROR(__xludf.DUMMYFUNCTION("""COMPUTED_VALUE"""),1.1875)</f>
        <v>1.1875</v>
      </c>
      <c r="N788" s="30">
        <f>IFERROR(__xludf.DUMMYFUNCTION("""COMPUTED_VALUE"""),1.6875)</f>
        <v>1.6875</v>
      </c>
      <c r="O788" s="30">
        <f>IFERROR(__xludf.DUMMYFUNCTION("""COMPUTED_VALUE"""),301.31249999999994)</f>
        <v>301.3125</v>
      </c>
      <c r="P788" s="30">
        <f>IFERROR(__xludf.DUMMYFUNCTION("""COMPUTED_VALUE"""),0.6875)</f>
        <v>0.6875</v>
      </c>
      <c r="Q788" s="30">
        <f>IFERROR(__xludf.DUMMYFUNCTION("""COMPUTED_VALUE"""),0.3958333333333333)</f>
        <v>0.3958333333</v>
      </c>
      <c r="R788" s="30">
        <f>IFERROR(__xludf.DUMMYFUNCTION("""COMPUTED_VALUE"""),0.9791666666666666)</f>
        <v>0.9791666667</v>
      </c>
      <c r="S788" s="30">
        <f>IFERROR(__xludf.DUMMYFUNCTION("""COMPUTED_VALUE"""),2.3333333333333335)</f>
        <v>2.333333333</v>
      </c>
      <c r="T788" s="30">
        <f>IFERROR(__xludf.DUMMYFUNCTION("""COMPUTED_VALUE"""),321.07698811605076)</f>
        <v>321.0769881</v>
      </c>
      <c r="U788" s="30">
        <f>IFERROR(__xludf.DUMMYFUNCTION("""COMPUTED_VALUE"""),0.7675000122426595)</f>
        <v>0.7675000122</v>
      </c>
      <c r="V788" s="30">
        <f>IFERROR(__xludf.DUMMYFUNCTION("""COMPUTED_VALUE"""),0.49711605796164626)</f>
        <v>0.497116058</v>
      </c>
      <c r="W788" s="30">
        <f>IFERROR(__xludf.DUMMYFUNCTION("""COMPUTED_VALUE"""),1.0900684181015063)</f>
        <v>1.090068418</v>
      </c>
      <c r="X788" s="30">
        <f>IFERROR(__xludf.DUMMYFUNCTION("""COMPUTED_VALUE"""),2.248335714530567)</f>
        <v>2.248335715</v>
      </c>
      <c r="Y788" s="30">
        <f>IFERROR(__xludf.DUMMYFUNCTION("""COMPUTED_VALUE"""),327.4798824541471)</f>
        <v>327.4798825</v>
      </c>
      <c r="Z788" s="30">
        <f>IFERROR(__xludf.DUMMYFUNCTION("""COMPUTED_VALUE"""),0.8162269735982972)</f>
        <v>0.8162269736</v>
      </c>
      <c r="AA788" s="30">
        <f>IFERROR(__xludf.DUMMYFUNCTION("""COMPUTED_VALUE"""),0.5108847851494911)</f>
        <v>0.5108847851</v>
      </c>
      <c r="AB788" s="30">
        <f>IFERROR(__xludf.DUMMYFUNCTION("""COMPUTED_VALUE"""),1.0684824183169772)</f>
        <v>1.068482418</v>
      </c>
      <c r="AC788" s="30">
        <f>IFERROR(__xludf.DUMMYFUNCTION("""COMPUTED_VALUE"""),2.3052060072280653)</f>
        <v>2.305206007</v>
      </c>
      <c r="AD788" s="30">
        <f>IFERROR(__xludf.DUMMYFUNCTION("""COMPUTED_VALUE"""),0.8725726840335298)</f>
        <v>0.872572684</v>
      </c>
      <c r="AE788" s="30">
        <f>IFERROR(__xludf.DUMMYFUNCTION("""COMPUTED_VALUE"""),0.6125747079832147)</f>
        <v>0.612574708</v>
      </c>
      <c r="AF788" s="30">
        <f>IFERROR(__xludf.DUMMYFUNCTION("""COMPUTED_VALUE"""),0.48934712339661274)</f>
        <v>0.4893471234</v>
      </c>
      <c r="AG788" s="30">
        <f>IFERROR(__xludf.DUMMYFUNCTION("""COMPUTED_VALUE"""),1.1113893683627416)</f>
        <v>1.111389368</v>
      </c>
      <c r="AH788" s="30">
        <f>IFERROR(__xludf.DUMMYFUNCTION("""COMPUTED_VALUE"""),0.7320386961984207)</f>
        <v>0.7320386962</v>
      </c>
      <c r="AI788" s="30">
        <f>IFERROR(__xludf.DUMMYFUNCTION("""COMPUTED_VALUE"""),0.938443149625824)</f>
        <v>0.9384431496</v>
      </c>
      <c r="AJ788" s="30">
        <f>IFERROR(__xludf.DUMMYFUNCTION("""COMPUTED_VALUE"""),0.8957654580240372)</f>
        <v>0.895765458</v>
      </c>
      <c r="AK788" s="30">
        <f>IFERROR(__xludf.DUMMYFUNCTION("""COMPUTED_VALUE"""),0.7962593985726223)</f>
        <v>0.7962593986</v>
      </c>
      <c r="AL788" s="30">
        <f>IFERROR(__xludf.DUMMYFUNCTION("""COMPUTED_VALUE"""),0.8982616599167332)</f>
        <v>0.8982616599</v>
      </c>
      <c r="AM788" s="30">
        <f>IFERROR(__xludf.DUMMYFUNCTION("""COMPUTED_VALUE"""),1.037804682927662)</f>
        <v>1.037804683</v>
      </c>
      <c r="AN788" s="30">
        <f>IFERROR(__xludf.DUMMYFUNCTION("""COMPUTED_VALUE"""),0.9167198554558817)</f>
        <v>0.9167198555</v>
      </c>
      <c r="AO788" s="30">
        <f>IFERROR(__xludf.DUMMYFUNCTION("""COMPUTED_VALUE"""),0.6673061450091499)</f>
        <v>0.667306145</v>
      </c>
      <c r="AP788" s="30">
        <f>IFERROR(__xludf.DUMMYFUNCTION("""COMPUTED_VALUE"""),0.4876871319896732)</f>
        <v>0.487687132</v>
      </c>
      <c r="AQ788" s="30">
        <f>IFERROR(__xludf.DUMMYFUNCTION("""COMPUTED_VALUE"""),1.1334680988041872)</f>
        <v>1.133468099</v>
      </c>
      <c r="AR788" s="30">
        <f>IFERROR(__xludf.DUMMYFUNCTION("""COMPUTED_VALUE"""),0.7847504428341917)</f>
        <v>0.7847504428</v>
      </c>
      <c r="AS788" s="30">
        <f>IFERROR(__xludf.DUMMYFUNCTION("""COMPUTED_VALUE"""),30.0)</f>
        <v>30</v>
      </c>
      <c r="AT788" s="30">
        <f>IFERROR(__xludf.DUMMYFUNCTION("""COMPUTED_VALUE"""),0.4647477827835407)</f>
        <v>0.4647477828</v>
      </c>
      <c r="AU788" s="30">
        <f>IFERROR(__xludf.DUMMYFUNCTION("""COMPUTED_VALUE"""),1.9773923278632481)</f>
        <v>1.977392328</v>
      </c>
      <c r="AV788" s="32">
        <f>IFERROR(__xludf.DUMMYFUNCTION("""COMPUTED_VALUE"""),29.15934728087073)</f>
        <v>29.15934728</v>
      </c>
      <c r="AW788" s="32">
        <f>IFERROR(__xludf.DUMMYFUNCTION("""COMPUTED_VALUE"""),-4.944477127333381)</f>
        <v>-4.944477127</v>
      </c>
      <c r="AX788" s="32">
        <f>IFERROR(__xludf.DUMMYFUNCTION("""COMPUTED_VALUE"""),30.29437822060917)</f>
        <v>30.29437822</v>
      </c>
      <c r="AY788" s="32">
        <f>IFERROR(__xludf.DUMMYFUNCTION("""COMPUTED_VALUE"""),-4.645057417159267)</f>
        <v>-4.645057417</v>
      </c>
      <c r="AZ788" s="30">
        <f>IFERROR(__xludf.DUMMYFUNCTION("""COMPUTED_VALUE"""),0.2994197101741145)</f>
        <v>0.2994197102</v>
      </c>
      <c r="BA788" s="30">
        <f>IFERROR(__xludf.DUMMYFUNCTION("""COMPUTED_VALUE"""),3200.0)</f>
        <v>3200</v>
      </c>
    </row>
    <row r="789">
      <c r="A789" s="71" t="str">
        <f>IFERROR(__xludf.DUMMYFUNCTION("""COMPUTED_VALUE"""),"Contender")</f>
        <v>Contender</v>
      </c>
      <c r="B789" s="71" t="str">
        <f>IFERROR(__xludf.DUMMYFUNCTION("""COMPUTED_VALUE"""),"RSC005759")</f>
        <v>RSC005759</v>
      </c>
      <c r="C789" s="30" t="str">
        <f>IFERROR(__xludf.DUMMYFUNCTION("""COMPUTED_VALUE"""),"XerNaut")</f>
        <v>XerNaut</v>
      </c>
      <c r="D789" s="30" t="str">
        <f>IFERROR(__xludf.DUMMYFUNCTION("""COMPUTED_VALUE"""),"Devoured")</f>
        <v>Devoured</v>
      </c>
      <c r="E789" s="30">
        <f>IFERROR(__xludf.DUMMYFUNCTION("""COMPUTED_VALUE"""),33.0)</f>
        <v>33</v>
      </c>
      <c r="F789" s="30">
        <f>IFERROR(__xludf.DUMMYFUNCTION("""COMPUTED_VALUE"""),15.0)</f>
        <v>15</v>
      </c>
      <c r="G789" s="42">
        <f>IFERROR(__xludf.DUMMYFUNCTION("""COMPUTED_VALUE"""),18.0)</f>
        <v>18</v>
      </c>
      <c r="H789" s="42">
        <f>IFERROR(__xludf.DUMMYFUNCTION("""COMPUTED_VALUE"""),0.45454545454545453)</f>
        <v>0.4545454545</v>
      </c>
      <c r="I789" s="42">
        <f>IFERROR(__xludf.DUMMYFUNCTION("""COMPUTED_VALUE"""),0.3225806451612903)</f>
        <v>0.3225806452</v>
      </c>
      <c r="J789" s="30">
        <f>IFERROR(__xludf.DUMMYFUNCTION("""COMPUTED_VALUE"""),330.8787878787879)</f>
        <v>330.8787879</v>
      </c>
      <c r="K789" s="30">
        <f>IFERROR(__xludf.DUMMYFUNCTION("""COMPUTED_VALUE"""),0.9090909090909091)</f>
        <v>0.9090909091</v>
      </c>
      <c r="L789" s="30">
        <f>IFERROR(__xludf.DUMMYFUNCTION("""COMPUTED_VALUE"""),0.3333333333333333)</f>
        <v>0.3333333333</v>
      </c>
      <c r="M789" s="30">
        <f>IFERROR(__xludf.DUMMYFUNCTION("""COMPUTED_VALUE"""),1.121212121212121)</f>
        <v>1.121212121</v>
      </c>
      <c r="N789" s="30">
        <f>IFERROR(__xludf.DUMMYFUNCTION("""COMPUTED_VALUE"""),2.8181818181818183)</f>
        <v>2.818181818</v>
      </c>
      <c r="O789" s="30">
        <f>IFERROR(__xludf.DUMMYFUNCTION("""COMPUTED_VALUE"""),343.73737373737373)</f>
        <v>343.7373737</v>
      </c>
      <c r="P789" s="30">
        <f>IFERROR(__xludf.DUMMYFUNCTION("""COMPUTED_VALUE"""),0.9292929292929291)</f>
        <v>0.9292929293</v>
      </c>
      <c r="Q789" s="30">
        <f>IFERROR(__xludf.DUMMYFUNCTION("""COMPUTED_VALUE"""),0.6060606060606063)</f>
        <v>0.6060606061</v>
      </c>
      <c r="R789" s="30">
        <f>IFERROR(__xludf.DUMMYFUNCTION("""COMPUTED_VALUE"""),1.121212121212121)</f>
        <v>1.121212121</v>
      </c>
      <c r="S789" s="30">
        <f>IFERROR(__xludf.DUMMYFUNCTION("""COMPUTED_VALUE"""),2.383838383838383)</f>
        <v>2.383838384</v>
      </c>
      <c r="T789" s="30">
        <f>IFERROR(__xludf.DUMMYFUNCTION("""COMPUTED_VALUE"""),331.0771466322754)</f>
        <v>331.0771466</v>
      </c>
      <c r="U789" s="30">
        <f>IFERROR(__xludf.DUMMYFUNCTION("""COMPUTED_VALUE"""),0.827737642024419)</f>
        <v>0.827737642</v>
      </c>
      <c r="V789" s="30">
        <f>IFERROR(__xludf.DUMMYFUNCTION("""COMPUTED_VALUE"""),0.5211029182133142)</f>
        <v>0.5211029182</v>
      </c>
      <c r="W789" s="30">
        <f>IFERROR(__xludf.DUMMYFUNCTION("""COMPUTED_VALUE"""),1.0814181000716339)</f>
        <v>1.0814181</v>
      </c>
      <c r="X789" s="30">
        <f>IFERROR(__xludf.DUMMYFUNCTION("""COMPUTED_VALUE"""),2.323173230485073)</f>
        <v>2.32317323</v>
      </c>
      <c r="Y789" s="30">
        <f>IFERROR(__xludf.DUMMYFUNCTION("""COMPUTED_VALUE"""),313.71293202834886)</f>
        <v>313.712932</v>
      </c>
      <c r="Z789" s="30">
        <f>IFERROR(__xludf.DUMMYFUNCTION("""COMPUTED_VALUE"""),0.7254187247598681)</f>
        <v>0.7254187248</v>
      </c>
      <c r="AA789" s="30">
        <f>IFERROR(__xludf.DUMMYFUNCTION("""COMPUTED_VALUE"""),0.4751076411310249)</f>
        <v>0.4751076411</v>
      </c>
      <c r="AB789" s="30">
        <f>IFERROR(__xludf.DUMMYFUNCTION("""COMPUTED_VALUE"""),1.0600323169316228)</f>
        <v>1.060032317</v>
      </c>
      <c r="AC789" s="30">
        <f>IFERROR(__xludf.DUMMYFUNCTION("""COMPUTED_VALUE"""),2.178656683467559)</f>
        <v>2.178656683</v>
      </c>
      <c r="AD789" s="30">
        <f>IFERROR(__xludf.DUMMYFUNCTION("""COMPUTED_VALUE"""),1.054718355853076)</f>
        <v>1.054718356</v>
      </c>
      <c r="AE789" s="30">
        <f>IFERROR(__xludf.DUMMYFUNCTION("""COMPUTED_VALUE"""),1.2531947109468964)</f>
        <v>1.253194711</v>
      </c>
      <c r="AF789" s="30">
        <f>IFERROR(__xludf.DUMMYFUNCTION("""COMPUTED_VALUE"""),0.7015953953925292)</f>
        <v>0.7015953954</v>
      </c>
      <c r="AG789" s="30">
        <f>IFERROR(__xludf.DUMMYFUNCTION("""COMPUTED_VALUE"""),1.0577150368939598)</f>
        <v>1.057715037</v>
      </c>
      <c r="AH789" s="30">
        <f>IFERROR(__xludf.DUMMYFUNCTION("""COMPUTED_VALUE"""),1.2935410335952466)</f>
        <v>1.293541034</v>
      </c>
      <c r="AI789" s="30">
        <f>IFERROR(__xludf.DUMMYFUNCTION("""COMPUTED_VALUE"""),1.0382395077216247)</f>
        <v>1.038239508</v>
      </c>
      <c r="AJ789" s="30">
        <f>IFERROR(__xludf.DUMMYFUNCTION("""COMPUTED_VALUE"""),1.1226901884274993)</f>
        <v>1.122690188</v>
      </c>
      <c r="AK789" s="30">
        <f>IFERROR(__xludf.DUMMYFUNCTION("""COMPUTED_VALUE"""),1.1630343735908892)</f>
        <v>1.163034374</v>
      </c>
      <c r="AL789" s="30">
        <f>IFERROR(__xludf.DUMMYFUNCTION("""COMPUTED_VALUE"""),1.0367979980526045)</f>
        <v>1.036797998</v>
      </c>
      <c r="AM789" s="30">
        <f>IFERROR(__xludf.DUMMYFUNCTION("""COMPUTED_VALUE"""),1.0261130562961263)</f>
        <v>1.026113056</v>
      </c>
      <c r="AN789" s="30">
        <f>IFERROR(__xludf.DUMMYFUNCTION("""COMPUTED_VALUE"""),1.0614983537975846)</f>
        <v>1.061498354</v>
      </c>
      <c r="AO789" s="30">
        <f>IFERROR(__xludf.DUMMYFUNCTION("""COMPUTED_VALUE"""),1.213283900016636)</f>
        <v>1.2132839</v>
      </c>
      <c r="AP789" s="30">
        <f>IFERROR(__xludf.DUMMYFUNCTION("""COMPUTED_VALUE"""),0.6502495093195642)</f>
        <v>0.6502495093</v>
      </c>
      <c r="AQ789" s="30">
        <f>IFERROR(__xludf.DUMMYFUNCTION("""COMPUTED_VALUE"""),1.0701963548518)</f>
        <v>1.070196355</v>
      </c>
      <c r="AR789" s="30">
        <f>IFERROR(__xludf.DUMMYFUNCTION("""COMPUTED_VALUE"""),1.3105596621069329)</f>
        <v>1.310559662</v>
      </c>
      <c r="AS789" s="30">
        <f>IFERROR(__xludf.DUMMYFUNCTION("""COMPUTED_VALUE"""),79.0)</f>
        <v>79</v>
      </c>
      <c r="AT789" s="30">
        <f>IFERROR(__xludf.DUMMYFUNCTION("""COMPUTED_VALUE"""),0.4392340320692428)</f>
        <v>0.4392340321</v>
      </c>
      <c r="AU789" s="30">
        <f>IFERROR(__xludf.DUMMYFUNCTION("""COMPUTED_VALUE"""),3.454149427899113)</f>
        <v>3.454149428</v>
      </c>
      <c r="AV789" s="32">
        <f>IFERROR(__xludf.DUMMYFUNCTION("""COMPUTED_VALUE"""),54.62205304216829)</f>
        <v>54.62205304</v>
      </c>
      <c r="AW789" s="32">
        <f>IFERROR(__xludf.DUMMYFUNCTION("""COMPUTED_VALUE"""),2.3437825179495313)</f>
        <v>2.343782518</v>
      </c>
      <c r="AX789" s="32">
        <f>IFERROR(__xludf.DUMMYFUNCTION("""COMPUTED_VALUE"""),51.98205042749776)</f>
        <v>51.98205043</v>
      </c>
      <c r="AY789" s="32">
        <f>IFERROR(__xludf.DUMMYFUNCTION("""COMPUTED_VALUE"""),2.1349084755289227)</f>
        <v>2.134908476</v>
      </c>
      <c r="AZ789" s="30">
        <f>IFERROR(__xludf.DUMMYFUNCTION("""COMPUTED_VALUE"""),0.20887404242060859)</f>
        <v>0.2088740424</v>
      </c>
      <c r="BA789" s="30">
        <f>IFERROR(__xludf.DUMMYFUNCTION("""COMPUTED_VALUE"""),3200.0)</f>
        <v>3200</v>
      </c>
    </row>
    <row r="790">
      <c r="A790" s="71" t="str">
        <f>IFERROR(__xludf.DUMMYFUNCTION("""COMPUTED_VALUE"""),"Contender")</f>
        <v>Contender</v>
      </c>
      <c r="B790" s="71" t="str">
        <f>IFERROR(__xludf.DUMMYFUNCTION("""COMPUTED_VALUE"""),"RSC006441")</f>
        <v>RSC006441</v>
      </c>
      <c r="C790" s="30" t="str">
        <f>IFERROR(__xludf.DUMMYFUNCTION("""COMPUTED_VALUE"""),"tvitchyramrod420")</f>
        <v>tvitchyramrod420</v>
      </c>
      <c r="D790" s="30" t="str">
        <f>IFERROR(__xludf.DUMMYFUNCTION("""COMPUTED_VALUE"""),"Legionaries")</f>
        <v>Legionaries</v>
      </c>
      <c r="E790" s="30">
        <f>IFERROR(__xludf.DUMMYFUNCTION("""COMPUTED_VALUE"""),24.0)</f>
        <v>24</v>
      </c>
      <c r="F790" s="30">
        <f>IFERROR(__xludf.DUMMYFUNCTION("""COMPUTED_VALUE"""),12.0)</f>
        <v>12</v>
      </c>
      <c r="G790" s="42">
        <f>IFERROR(__xludf.DUMMYFUNCTION("""COMPUTED_VALUE"""),12.0)</f>
        <v>12</v>
      </c>
      <c r="H790" s="42">
        <f>IFERROR(__xludf.DUMMYFUNCTION("""COMPUTED_VALUE"""),0.5)</f>
        <v>0.5</v>
      </c>
      <c r="I790" s="42">
        <f>IFERROR(__xludf.DUMMYFUNCTION("""COMPUTED_VALUE"""),0.3111111111111111)</f>
        <v>0.3111111111</v>
      </c>
      <c r="J790" s="30">
        <f>IFERROR(__xludf.DUMMYFUNCTION("""COMPUTED_VALUE"""),279.4166666666667)</f>
        <v>279.4166667</v>
      </c>
      <c r="K790" s="30">
        <f>IFERROR(__xludf.DUMMYFUNCTION("""COMPUTED_VALUE"""),0.5833333333333334)</f>
        <v>0.5833333333</v>
      </c>
      <c r="L790" s="30">
        <f>IFERROR(__xludf.DUMMYFUNCTION("""COMPUTED_VALUE"""),0.20833333333333334)</f>
        <v>0.2083333333</v>
      </c>
      <c r="M790" s="30">
        <f>IFERROR(__xludf.DUMMYFUNCTION("""COMPUTED_VALUE"""),1.0833333333333333)</f>
        <v>1.083333333</v>
      </c>
      <c r="N790" s="30">
        <f>IFERROR(__xludf.DUMMYFUNCTION("""COMPUTED_VALUE"""),1.875)</f>
        <v>1.875</v>
      </c>
      <c r="O790" s="30">
        <f>IFERROR(__xludf.DUMMYFUNCTION("""COMPUTED_VALUE"""),314.5833333333333)</f>
        <v>314.5833333</v>
      </c>
      <c r="P790" s="30">
        <f>IFERROR(__xludf.DUMMYFUNCTION("""COMPUTED_VALUE"""),0.8055555555555557)</f>
        <v>0.8055555556</v>
      </c>
      <c r="Q790" s="30">
        <f>IFERROR(__xludf.DUMMYFUNCTION("""COMPUTED_VALUE"""),0.513888888888889)</f>
        <v>0.5138888889</v>
      </c>
      <c r="R790" s="30">
        <f>IFERROR(__xludf.DUMMYFUNCTION("""COMPUTED_VALUE"""),0.8749999999999999)</f>
        <v>0.875</v>
      </c>
      <c r="S790" s="30">
        <f>IFERROR(__xludf.DUMMYFUNCTION("""COMPUTED_VALUE"""),2.527777777777778)</f>
        <v>2.527777778</v>
      </c>
      <c r="T790" s="30">
        <f>IFERROR(__xludf.DUMMYFUNCTION("""COMPUTED_VALUE"""),325.14709752476546)</f>
        <v>325.1470975</v>
      </c>
      <c r="U790" s="30">
        <f>IFERROR(__xludf.DUMMYFUNCTION("""COMPUTED_VALUE"""),0.7913951672971353)</f>
        <v>0.7913951673</v>
      </c>
      <c r="V790" s="30">
        <f>IFERROR(__xludf.DUMMYFUNCTION("""COMPUTED_VALUE"""),0.5192584908294594)</f>
        <v>0.5192584908</v>
      </c>
      <c r="W790" s="30">
        <f>IFERROR(__xludf.DUMMYFUNCTION("""COMPUTED_VALUE"""),1.053465660825583)</f>
        <v>1.053465661</v>
      </c>
      <c r="X790" s="30">
        <f>IFERROR(__xludf.DUMMYFUNCTION("""COMPUTED_VALUE"""),2.346341891936193)</f>
        <v>2.346341892</v>
      </c>
      <c r="Y790" s="30">
        <f>IFERROR(__xludf.DUMMYFUNCTION("""COMPUTED_VALUE"""),326.08225460446454)</f>
        <v>326.0822546</v>
      </c>
      <c r="Z790" s="30">
        <f>IFERROR(__xludf.DUMMYFUNCTION("""COMPUTED_VALUE"""),0.8087467782946239)</f>
        <v>0.8087467783</v>
      </c>
      <c r="AA790" s="30">
        <f>IFERROR(__xludf.DUMMYFUNCTION("""COMPUTED_VALUE"""),0.5131827802966554)</f>
        <v>0.5131827803</v>
      </c>
      <c r="AB790" s="30">
        <f>IFERROR(__xludf.DUMMYFUNCTION("""COMPUTED_VALUE"""),1.0826618001514696)</f>
        <v>1.0826618</v>
      </c>
      <c r="AC790" s="30">
        <f>IFERROR(__xludf.DUMMYFUNCTION("""COMPUTED_VALUE"""),2.2371344552389223)</f>
        <v>2.237134455</v>
      </c>
      <c r="AD790" s="30">
        <f>IFERROR(__xludf.DUMMYFUNCTION("""COMPUTED_VALUE"""),0.8568901334591087)</f>
        <v>0.8568901335</v>
      </c>
      <c r="AE790" s="30">
        <f>IFERROR(__xludf.DUMMYFUNCTION("""COMPUTED_VALUE"""),0.7212805651768877)</f>
        <v>0.7212805652</v>
      </c>
      <c r="AF790" s="30">
        <f>IFERROR(__xludf.DUMMYFUNCTION("""COMPUTED_VALUE"""),0.40596321882215564)</f>
        <v>0.4059632188</v>
      </c>
      <c r="AG790" s="30">
        <f>IFERROR(__xludf.DUMMYFUNCTION("""COMPUTED_VALUE"""),1.0006202612688189)</f>
        <v>1.000620261</v>
      </c>
      <c r="AH790" s="30">
        <f>IFERROR(__xludf.DUMMYFUNCTION("""COMPUTED_VALUE"""),0.8381257530628632)</f>
        <v>0.8381257531</v>
      </c>
      <c r="AI790" s="30">
        <f>IFERROR(__xludf.DUMMYFUNCTION("""COMPUTED_VALUE"""),0.9675108150377153)</f>
        <v>0.967510815</v>
      </c>
      <c r="AJ790" s="30">
        <f>IFERROR(__xludf.DUMMYFUNCTION("""COMPUTED_VALUE"""),1.0178929425444718)</f>
        <v>1.017892943</v>
      </c>
      <c r="AK790" s="30">
        <f>IFERROR(__xludf.DUMMYFUNCTION("""COMPUTED_VALUE"""),0.9896590965089601)</f>
        <v>0.9896590965</v>
      </c>
      <c r="AL790" s="30">
        <f>IFERROR(__xludf.DUMMYFUNCTION("""COMPUTED_VALUE"""),0.8305918574643215)</f>
        <v>0.8305918575</v>
      </c>
      <c r="AM790" s="30">
        <f>IFERROR(__xludf.DUMMYFUNCTION("""COMPUTED_VALUE"""),1.0773271305708414)</f>
        <v>1.077327131</v>
      </c>
      <c r="AN790" s="30">
        <f>IFERROR(__xludf.DUMMYFUNCTION("""COMPUTED_VALUE"""),0.8964017717537393)</f>
        <v>0.8964017718</v>
      </c>
      <c r="AO790" s="30">
        <f>IFERROR(__xludf.DUMMYFUNCTION("""COMPUTED_VALUE"""),0.7785238358440082)</f>
        <v>0.7785238358</v>
      </c>
      <c r="AP790" s="30">
        <f>IFERROR(__xludf.DUMMYFUNCTION("""COMPUTED_VALUE"""),0.4064059433247277)</f>
        <v>0.4064059433</v>
      </c>
      <c r="AQ790" s="30">
        <f>IFERROR(__xludf.DUMMYFUNCTION("""COMPUTED_VALUE"""),1.0340410725932934)</f>
        <v>1.034041073</v>
      </c>
      <c r="AR790" s="30">
        <f>IFERROR(__xludf.DUMMYFUNCTION("""COMPUTED_VALUE"""),0.8719449364824352)</f>
        <v>0.8719449365</v>
      </c>
      <c r="AS790" s="30">
        <f>IFERROR(__xludf.DUMMYFUNCTION("""COMPUTED_VALUE"""),43.0)</f>
        <v>43</v>
      </c>
      <c r="AT790" s="30">
        <f>IFERROR(__xludf.DUMMYFUNCTION("""COMPUTED_VALUE"""),0.38888411169548337)</f>
        <v>0.3888841117</v>
      </c>
      <c r="AU790" s="30">
        <f>IFERROR(__xludf.DUMMYFUNCTION("""COMPUTED_VALUE"""),1.9539387705264182)</f>
        <v>1.953938771</v>
      </c>
      <c r="AV790" s="32">
        <f>IFERROR(__xludf.DUMMYFUNCTION("""COMPUTED_VALUE"""),28.754953742143936)</f>
        <v>28.75495374</v>
      </c>
      <c r="AW790" s="32">
        <f>IFERROR(__xludf.DUMMYFUNCTION("""COMPUTED_VALUE"""),-5.057717908526734)</f>
        <v>-5.057717909</v>
      </c>
      <c r="AX790" s="32">
        <f>IFERROR(__xludf.DUMMYFUNCTION("""COMPUTED_VALUE"""),29.417324301937818)</f>
        <v>29.4173243</v>
      </c>
      <c r="AY790" s="32">
        <f>IFERROR(__xludf.DUMMYFUNCTION("""COMPUTED_VALUE"""),-4.87408510232645)</f>
        <v>-4.874085102</v>
      </c>
      <c r="AZ790" s="30">
        <f>IFERROR(__xludf.DUMMYFUNCTION("""COMPUTED_VALUE"""),0.18363280620028366)</f>
        <v>0.1836328062</v>
      </c>
      <c r="BA790" s="30">
        <f>IFERROR(__xludf.DUMMYFUNCTION("""COMPUTED_VALUE"""),3200.0)</f>
        <v>3200</v>
      </c>
    </row>
    <row r="791">
      <c r="A791" s="71" t="str">
        <f>IFERROR(__xludf.DUMMYFUNCTION("""COMPUTED_VALUE"""),"Contender")</f>
        <v>Contender</v>
      </c>
      <c r="B791" s="71" t="str">
        <f>IFERROR(__xludf.DUMMYFUNCTION("""COMPUTED_VALUE"""),"RSC000989")</f>
        <v>RSC000989</v>
      </c>
      <c r="C791" s="30" t="str">
        <f>IFERROR(__xludf.DUMMYFUNCTION("""COMPUTED_VALUE"""),"Piky Life88")</f>
        <v>Piky Life88</v>
      </c>
      <c r="D791" s="30" t="str">
        <f>IFERROR(__xludf.DUMMYFUNCTION("""COMPUTED_VALUE"""),"Devoured")</f>
        <v>Devoured</v>
      </c>
      <c r="E791" s="30">
        <f>IFERROR(__xludf.DUMMYFUNCTION("""COMPUTED_VALUE"""),8.0)</f>
        <v>8</v>
      </c>
      <c r="F791" s="30">
        <f>IFERROR(__xludf.DUMMYFUNCTION("""COMPUTED_VALUE"""),4.0)</f>
        <v>4</v>
      </c>
      <c r="G791" s="42">
        <f>IFERROR(__xludf.DUMMYFUNCTION("""COMPUTED_VALUE"""),4.0)</f>
        <v>4</v>
      </c>
      <c r="H791" s="42">
        <f>IFERROR(__xludf.DUMMYFUNCTION("""COMPUTED_VALUE"""),0.5)</f>
        <v>0.5</v>
      </c>
      <c r="I791" s="42">
        <f>IFERROR(__xludf.DUMMYFUNCTION("""COMPUTED_VALUE"""),0.25)</f>
        <v>0.25</v>
      </c>
      <c r="J791" s="30">
        <f>IFERROR(__xludf.DUMMYFUNCTION("""COMPUTED_VALUE"""),260.875)</f>
        <v>260.875</v>
      </c>
      <c r="K791" s="30">
        <f>IFERROR(__xludf.DUMMYFUNCTION("""COMPUTED_VALUE"""),0.625)</f>
        <v>0.625</v>
      </c>
      <c r="L791" s="30">
        <f>IFERROR(__xludf.DUMMYFUNCTION("""COMPUTED_VALUE"""),0.375)</f>
        <v>0.375</v>
      </c>
      <c r="M791" s="30">
        <f>IFERROR(__xludf.DUMMYFUNCTION("""COMPUTED_VALUE"""),0.875)</f>
        <v>0.875</v>
      </c>
      <c r="N791" s="30">
        <f>IFERROR(__xludf.DUMMYFUNCTION("""COMPUTED_VALUE"""),2.5)</f>
        <v>2.5</v>
      </c>
      <c r="O791" s="30">
        <f>IFERROR(__xludf.DUMMYFUNCTION("""COMPUTED_VALUE"""),323.2916666666667)</f>
        <v>323.2916667</v>
      </c>
      <c r="P791" s="30">
        <f>IFERROR(__xludf.DUMMYFUNCTION("""COMPUTED_VALUE"""),1.0)</f>
        <v>1</v>
      </c>
      <c r="Q791" s="30">
        <f>IFERROR(__xludf.DUMMYFUNCTION("""COMPUTED_VALUE"""),0.5416666666666666)</f>
        <v>0.5416666667</v>
      </c>
      <c r="R791" s="30">
        <f>IFERROR(__xludf.DUMMYFUNCTION("""COMPUTED_VALUE"""),0.8333333333333333)</f>
        <v>0.8333333333</v>
      </c>
      <c r="S791" s="30">
        <f>IFERROR(__xludf.DUMMYFUNCTION("""COMPUTED_VALUE"""),2.25)</f>
        <v>2.25</v>
      </c>
      <c r="T791" s="30">
        <f>IFERROR(__xludf.DUMMYFUNCTION("""COMPUTED_VALUE"""),325.9084666560165)</f>
        <v>325.9084667</v>
      </c>
      <c r="U791" s="30">
        <f>IFERROR(__xludf.DUMMYFUNCTION("""COMPUTED_VALUE"""),0.765744497193)</f>
        <v>0.7657444972</v>
      </c>
      <c r="V791" s="30">
        <f>IFERROR(__xludf.DUMMYFUNCTION("""COMPUTED_VALUE"""),0.504803277568704)</f>
        <v>0.5048032776</v>
      </c>
      <c r="W791" s="30">
        <f>IFERROR(__xludf.DUMMYFUNCTION("""COMPUTED_VALUE"""),1.1351013238206977)</f>
        <v>1.135101324</v>
      </c>
      <c r="X791" s="30">
        <f>IFERROR(__xludf.DUMMYFUNCTION("""COMPUTED_VALUE"""),2.2605524745554235)</f>
        <v>2.260552475</v>
      </c>
      <c r="Y791" s="30">
        <f>IFERROR(__xludf.DUMMYFUNCTION("""COMPUTED_VALUE"""),307.0100810302489)</f>
        <v>307.010081</v>
      </c>
      <c r="Z791" s="30">
        <f>IFERROR(__xludf.DUMMYFUNCTION("""COMPUTED_VALUE"""),0.6926874659727806)</f>
        <v>0.692687466</v>
      </c>
      <c r="AA791" s="30">
        <f>IFERROR(__xludf.DUMMYFUNCTION("""COMPUTED_VALUE"""),0.43979264347156055)</f>
        <v>0.4397926435</v>
      </c>
      <c r="AB791" s="30">
        <f>IFERROR(__xludf.DUMMYFUNCTION("""COMPUTED_VALUE"""),1.0370250047503524)</f>
        <v>1.037025005</v>
      </c>
      <c r="AC791" s="30">
        <f>IFERROR(__xludf.DUMMYFUNCTION("""COMPUTED_VALUE"""),2.2260858847746325)</f>
        <v>2.226085885</v>
      </c>
      <c r="AD791" s="30">
        <f>IFERROR(__xludf.DUMMYFUNCTION("""COMPUTED_VALUE"""),0.8497277976168368)</f>
        <v>0.8497277976</v>
      </c>
      <c r="AE791" s="30">
        <f>IFERROR(__xludf.DUMMYFUNCTION("""COMPUTED_VALUE"""),0.9022828197450877)</f>
        <v>0.9022828197</v>
      </c>
      <c r="AF791" s="30">
        <f>IFERROR(__xludf.DUMMYFUNCTION("""COMPUTED_VALUE"""),0.8526745628118939)</f>
        <v>0.8526745628</v>
      </c>
      <c r="AG791" s="30">
        <f>IFERROR(__xludf.DUMMYFUNCTION("""COMPUTED_VALUE"""),0.8437597897754091)</f>
        <v>0.8437597898</v>
      </c>
      <c r="AH791" s="30">
        <f>IFERROR(__xludf.DUMMYFUNCTION("""COMPUTED_VALUE"""),1.123047415689938)</f>
        <v>1.123047416</v>
      </c>
      <c r="AI791" s="30">
        <f>IFERROR(__xludf.DUMMYFUNCTION("""COMPUTED_VALUE"""),0.9919707517383654)</f>
        <v>0.9919707517</v>
      </c>
      <c r="AJ791" s="30">
        <f>IFERROR(__xludf.DUMMYFUNCTION("""COMPUTED_VALUE"""),1.305918623856539)</f>
        <v>1.305918624</v>
      </c>
      <c r="AK791" s="30">
        <f>IFERROR(__xludf.DUMMYFUNCTION("""COMPUTED_VALUE"""),1.0730252570377685)</f>
        <v>1.073025257</v>
      </c>
      <c r="AL791" s="30">
        <f>IFERROR(__xludf.DUMMYFUNCTION("""COMPUTED_VALUE"""),0.7341488516006416)</f>
        <v>0.7341488516</v>
      </c>
      <c r="AM791" s="30">
        <f>IFERROR(__xludf.DUMMYFUNCTION("""COMPUTED_VALUE"""),0.9953319046232276)</f>
        <v>0.9953319046</v>
      </c>
      <c r="AN791" s="30">
        <f>IFERROR(__xludf.DUMMYFUNCTION("""COMPUTED_VALUE"""),0.8369179082836506)</f>
        <v>0.8369179083</v>
      </c>
      <c r="AO791" s="30">
        <f>IFERROR(__xludf.DUMMYFUNCTION("""COMPUTED_VALUE"""),0.8341326812614374)</f>
        <v>0.8341326813</v>
      </c>
      <c r="AP791" s="30">
        <f>IFERROR(__xludf.DUMMYFUNCTION("""COMPUTED_VALUE"""),0.7315306979845098)</f>
        <v>0.731530698</v>
      </c>
      <c r="AQ791" s="30">
        <f>IFERROR(__xludf.DUMMYFUNCTION("""COMPUTED_VALUE"""),0.8351870201715063)</f>
        <v>0.8351870202</v>
      </c>
      <c r="AR791" s="30">
        <f>IFERROR(__xludf.DUMMYFUNCTION("""COMPUTED_VALUE"""),1.1625932486432469)</f>
        <v>1.162593249</v>
      </c>
      <c r="AS791" s="30">
        <f>IFERROR(__xludf.DUMMYFUNCTION("""COMPUTED_VALUE"""),15.0)</f>
        <v>15</v>
      </c>
      <c r="AT791" s="30">
        <f>IFERROR(__xludf.DUMMYFUNCTION("""COMPUTED_VALUE"""),0.32288554788827534)</f>
        <v>0.3228855479</v>
      </c>
      <c r="AU791" s="30">
        <f>IFERROR(__xludf.DUMMYFUNCTION("""COMPUTED_VALUE"""),2.7102059801444316)</f>
        <v>2.71020598</v>
      </c>
      <c r="AV791" s="32">
        <f>IFERROR(__xludf.DUMMYFUNCTION("""COMPUTED_VALUE"""),41.794748461907496)</f>
        <v>41.79474846</v>
      </c>
      <c r="AW791" s="32">
        <f>IFERROR(__xludf.DUMMYFUNCTION("""COMPUTED_VALUE"""),-2.6926857630184005)</f>
        <v>-2.692685763</v>
      </c>
      <c r="AX791" s="32">
        <f>IFERROR(__xludf.DUMMYFUNCTION("""COMPUTED_VALUE"""),41.25996181426)</f>
        <v>41.25996181</v>
      </c>
      <c r="AY791" s="32">
        <f>IFERROR(__xludf.DUMMYFUNCTION("""COMPUTED_VALUE"""),-2.7524030511532978)</f>
        <v>-2.752403051</v>
      </c>
      <c r="AZ791" s="30">
        <f>IFERROR(__xludf.DUMMYFUNCTION("""COMPUTED_VALUE"""),0.059717288134897295)</f>
        <v>0.05971728813</v>
      </c>
      <c r="BA791" s="30">
        <f>IFERROR(__xludf.DUMMYFUNCTION("""COMPUTED_VALUE"""),3200.0)</f>
        <v>3200</v>
      </c>
    </row>
    <row r="792">
      <c r="A792" s="71" t="str">
        <f>IFERROR(__xludf.DUMMYFUNCTION("""COMPUTED_VALUE"""),"Contender")</f>
        <v>Contender</v>
      </c>
      <c r="B792" s="71" t="str">
        <f>IFERROR(__xludf.DUMMYFUNCTION("""COMPUTED_VALUE"""),"RSC006251")</f>
        <v>RSC006251</v>
      </c>
      <c r="C792" s="30" t="str">
        <f>IFERROR(__xludf.DUMMYFUNCTION("""COMPUTED_VALUE"""),"MiniTechniks")</f>
        <v>MiniTechniks</v>
      </c>
      <c r="D792" s="30" t="str">
        <f>IFERROR(__xludf.DUMMYFUNCTION("""COMPUTED_VALUE"""),"Rad Lads")</f>
        <v>Rad Lads</v>
      </c>
      <c r="E792" s="30">
        <f>IFERROR(__xludf.DUMMYFUNCTION("""COMPUTED_VALUE"""),29.0)</f>
        <v>29</v>
      </c>
      <c r="F792" s="30">
        <f>IFERROR(__xludf.DUMMYFUNCTION("""COMPUTED_VALUE"""),11.0)</f>
        <v>11</v>
      </c>
      <c r="G792" s="42">
        <f>IFERROR(__xludf.DUMMYFUNCTION("""COMPUTED_VALUE"""),18.0)</f>
        <v>18</v>
      </c>
      <c r="H792" s="42">
        <f>IFERROR(__xludf.DUMMYFUNCTION("""COMPUTED_VALUE"""),0.3793103448275862)</f>
        <v>0.3793103448</v>
      </c>
      <c r="I792" s="42">
        <f>IFERROR(__xludf.DUMMYFUNCTION("""COMPUTED_VALUE"""),0.3333333333333333)</f>
        <v>0.3333333333</v>
      </c>
      <c r="J792" s="30">
        <f>IFERROR(__xludf.DUMMYFUNCTION("""COMPUTED_VALUE"""),349.44827586206895)</f>
        <v>349.4482759</v>
      </c>
      <c r="K792" s="30">
        <f>IFERROR(__xludf.DUMMYFUNCTION("""COMPUTED_VALUE"""),0.9310344827586207)</f>
        <v>0.9310344828</v>
      </c>
      <c r="L792" s="30">
        <f>IFERROR(__xludf.DUMMYFUNCTION("""COMPUTED_VALUE"""),0.5862068965517241)</f>
        <v>0.5862068966</v>
      </c>
      <c r="M792" s="30">
        <f>IFERROR(__xludf.DUMMYFUNCTION("""COMPUTED_VALUE"""),0.8620689655172413)</f>
        <v>0.8620689655</v>
      </c>
      <c r="N792" s="30">
        <f>IFERROR(__xludf.DUMMYFUNCTION("""COMPUTED_VALUE"""),2.793103448275862)</f>
        <v>2.793103448</v>
      </c>
      <c r="O792" s="30">
        <f>IFERROR(__xludf.DUMMYFUNCTION("""COMPUTED_VALUE"""),338.2643678160919)</f>
        <v>338.2643678</v>
      </c>
      <c r="P792" s="30">
        <f>IFERROR(__xludf.DUMMYFUNCTION("""COMPUTED_VALUE"""),0.8735632183908046)</f>
        <v>0.8735632184</v>
      </c>
      <c r="Q792" s="30">
        <f>IFERROR(__xludf.DUMMYFUNCTION("""COMPUTED_VALUE"""),0.5632183908045978)</f>
        <v>0.5632183908</v>
      </c>
      <c r="R792" s="30">
        <f>IFERROR(__xludf.DUMMYFUNCTION("""COMPUTED_VALUE"""),1.0574712643678161)</f>
        <v>1.057471264</v>
      </c>
      <c r="S792" s="30">
        <f>IFERROR(__xludf.DUMMYFUNCTION("""COMPUTED_VALUE"""),2.1149425287356323)</f>
        <v>2.114942529</v>
      </c>
      <c r="T792" s="30">
        <f>IFERROR(__xludf.DUMMYFUNCTION("""COMPUTED_VALUE"""),327.01794617876584)</f>
        <v>327.0179462</v>
      </c>
      <c r="U792" s="30">
        <f>IFERROR(__xludf.DUMMYFUNCTION("""COMPUTED_VALUE"""),0.7863932777256406)</f>
        <v>0.7863932777</v>
      </c>
      <c r="V792" s="30">
        <f>IFERROR(__xludf.DUMMYFUNCTION("""COMPUTED_VALUE"""),0.5257016237631955)</f>
        <v>0.5257016238</v>
      </c>
      <c r="W792" s="30">
        <f>IFERROR(__xludf.DUMMYFUNCTION("""COMPUTED_VALUE"""),1.1205283457209616)</f>
        <v>1.120528346</v>
      </c>
      <c r="X792" s="30">
        <f>IFERROR(__xludf.DUMMYFUNCTION("""COMPUTED_VALUE"""),2.2886886622523446)</f>
        <v>2.288688662</v>
      </c>
      <c r="Y792" s="30">
        <f>IFERROR(__xludf.DUMMYFUNCTION("""COMPUTED_VALUE"""),325.09217103740224)</f>
        <v>325.092171</v>
      </c>
      <c r="Z792" s="30">
        <f>IFERROR(__xludf.DUMMYFUNCTION("""COMPUTED_VALUE"""),0.7867501218413175)</f>
        <v>0.7867501218</v>
      </c>
      <c r="AA792" s="30">
        <f>IFERROR(__xludf.DUMMYFUNCTION("""COMPUTED_VALUE"""),0.5078375727233936)</f>
        <v>0.5078375727</v>
      </c>
      <c r="AB792" s="30">
        <f>IFERROR(__xludf.DUMMYFUNCTION("""COMPUTED_VALUE"""),1.090349417253412)</f>
        <v>1.090349417</v>
      </c>
      <c r="AC792" s="30">
        <f>IFERROR(__xludf.DUMMYFUNCTION("""COMPUTED_VALUE"""),2.3030270939132094)</f>
        <v>2.303027094</v>
      </c>
      <c r="AD792" s="30">
        <f>IFERROR(__xludf.DUMMYFUNCTION("""COMPUTED_VALUE"""),1.0749206132739029)</f>
        <v>1.074920613</v>
      </c>
      <c r="AE792" s="30">
        <f>IFERROR(__xludf.DUMMYFUNCTION("""COMPUTED_VALUE"""),1.1833928675849692)</f>
        <v>1.183392868</v>
      </c>
      <c r="AF792" s="30">
        <f>IFERROR(__xludf.DUMMYFUNCTION("""COMPUTED_VALUE"""),1.154319664470782)</f>
        <v>1.154319664</v>
      </c>
      <c r="AG792" s="30">
        <f>IFERROR(__xludf.DUMMYFUNCTION("""COMPUTED_VALUE"""),0.7906355081005053)</f>
        <v>0.7906355081</v>
      </c>
      <c r="AH792" s="30">
        <f>IFERROR(__xludf.DUMMYFUNCTION("""COMPUTED_VALUE"""),1.212796608280424)</f>
        <v>1.212796608</v>
      </c>
      <c r="AI792" s="30">
        <f>IFERROR(__xludf.DUMMYFUNCTION("""COMPUTED_VALUE"""),1.0343908393063486)</f>
        <v>1.034390839</v>
      </c>
      <c r="AJ792" s="30">
        <f>IFERROR(__xludf.DUMMYFUNCTION("""COMPUTED_VALUE"""),1.110847769346747)</f>
        <v>1.110847769</v>
      </c>
      <c r="AK792" s="30">
        <f>IFERROR(__xludf.DUMMYFUNCTION("""COMPUTED_VALUE"""),1.071365134413779)</f>
        <v>1.071365134</v>
      </c>
      <c r="AL792" s="30">
        <f>IFERROR(__xludf.DUMMYFUNCTION("""COMPUTED_VALUE"""),0.9437255812457169)</f>
        <v>0.9437255812</v>
      </c>
      <c r="AM792" s="30">
        <f>IFERROR(__xludf.DUMMYFUNCTION("""COMPUTED_VALUE"""),0.924084854186447)</f>
        <v>0.9240848542</v>
      </c>
      <c r="AN792" s="30">
        <f>IFERROR(__xludf.DUMMYFUNCTION("""COMPUTED_VALUE"""),1.121071471347622)</f>
        <v>1.121071471</v>
      </c>
      <c r="AO792" s="30">
        <f>IFERROR(__xludf.DUMMYFUNCTION("""COMPUTED_VALUE"""),1.242570063120486)</f>
        <v>1.242570063</v>
      </c>
      <c r="AP792" s="30">
        <f>IFERROR(__xludf.DUMMYFUNCTION("""COMPUTED_VALUE"""),1.1435422405275095)</f>
        <v>1.143542241</v>
      </c>
      <c r="AQ792" s="30">
        <f>IFERROR(__xludf.DUMMYFUNCTION("""COMPUTED_VALUE"""),0.8228443548487746)</f>
        <v>0.8228443548</v>
      </c>
      <c r="AR792" s="30">
        <f>IFERROR(__xludf.DUMMYFUNCTION("""COMPUTED_VALUE"""),1.2988972846910758)</f>
        <v>1.298897285</v>
      </c>
      <c r="AS792" s="30">
        <f>IFERROR(__xludf.DUMMYFUNCTION("""COMPUTED_VALUE"""),72.0)</f>
        <v>72</v>
      </c>
      <c r="AT792" s="30">
        <f>IFERROR(__xludf.DUMMYFUNCTION("""COMPUTED_VALUE"""),0.4784344061210306)</f>
        <v>0.4784344061</v>
      </c>
      <c r="AU792" s="30">
        <f>IFERROR(__xludf.DUMMYFUNCTION("""COMPUTED_VALUE"""),4.069243366358037)</f>
        <v>4.069243366</v>
      </c>
      <c r="AV792" s="32">
        <f>IFERROR(__xludf.DUMMYFUNCTION("""COMPUTED_VALUE"""),65.22769426113172)</f>
        <v>65.22769426</v>
      </c>
      <c r="AW792" s="32">
        <f>IFERROR(__xludf.DUMMYFUNCTION("""COMPUTED_VALUE"""),3.686955317200997)</f>
        <v>3.686955317</v>
      </c>
      <c r="AX792" s="32">
        <f>IFERROR(__xludf.DUMMYFUNCTION("""COMPUTED_VALUE"""),64.93541340168481)</f>
        <v>64.9354134</v>
      </c>
      <c r="AY792" s="32">
        <f>IFERROR(__xludf.DUMMYFUNCTION("""COMPUTED_VALUE"""),3.6348481282026297)</f>
        <v>3.634848128</v>
      </c>
      <c r="AZ792" s="30">
        <f>IFERROR(__xludf.DUMMYFUNCTION("""COMPUTED_VALUE"""),0.05210718899836708)</f>
        <v>0.052107189</v>
      </c>
      <c r="BA792" s="30">
        <f>IFERROR(__xludf.DUMMYFUNCTION("""COMPUTED_VALUE"""),3200.0)</f>
        <v>3200</v>
      </c>
    </row>
    <row r="793">
      <c r="A793" s="71" t="str">
        <f>IFERROR(__xludf.DUMMYFUNCTION("""COMPUTED_VALUE"""),"Contender")</f>
        <v>Contender</v>
      </c>
      <c r="B793" s="71" t="str">
        <f>IFERROR(__xludf.DUMMYFUNCTION("""COMPUTED_VALUE"""),"RSC006784")</f>
        <v>RSC006784</v>
      </c>
      <c r="C793" s="30" t="str">
        <f>IFERROR(__xludf.DUMMYFUNCTION("""COMPUTED_VALUE"""),"KittyMeowMeow360")</f>
        <v>KittyMeowMeow360</v>
      </c>
      <c r="D793" s="30" t="str">
        <f>IFERROR(__xludf.DUMMYFUNCTION("""COMPUTED_VALUE"""),"Legionaries")</f>
        <v>Legionaries</v>
      </c>
      <c r="E793" s="30">
        <f>IFERROR(__xludf.DUMMYFUNCTION("""COMPUTED_VALUE"""),35.0)</f>
        <v>35</v>
      </c>
      <c r="F793" s="30">
        <f>IFERROR(__xludf.DUMMYFUNCTION("""COMPUTED_VALUE"""),16.0)</f>
        <v>16</v>
      </c>
      <c r="G793" s="42">
        <f>IFERROR(__xludf.DUMMYFUNCTION("""COMPUTED_VALUE"""),19.0)</f>
        <v>19</v>
      </c>
      <c r="H793" s="42">
        <f>IFERROR(__xludf.DUMMYFUNCTION("""COMPUTED_VALUE"""),0.45714285714285713)</f>
        <v>0.4571428571</v>
      </c>
      <c r="I793" s="42">
        <f>IFERROR(__xludf.DUMMYFUNCTION("""COMPUTED_VALUE"""),0.3098591549295775)</f>
        <v>0.3098591549</v>
      </c>
      <c r="J793" s="30">
        <f>IFERROR(__xludf.DUMMYFUNCTION("""COMPUTED_VALUE"""),320.25714285714287)</f>
        <v>320.2571429</v>
      </c>
      <c r="K793" s="30">
        <f>IFERROR(__xludf.DUMMYFUNCTION("""COMPUTED_VALUE"""),0.6285714285714286)</f>
        <v>0.6285714286</v>
      </c>
      <c r="L793" s="30">
        <f>IFERROR(__xludf.DUMMYFUNCTION("""COMPUTED_VALUE"""),0.42857142857142855)</f>
        <v>0.4285714286</v>
      </c>
      <c r="M793" s="30">
        <f>IFERROR(__xludf.DUMMYFUNCTION("""COMPUTED_VALUE"""),1.3142857142857143)</f>
        <v>1.314285714</v>
      </c>
      <c r="N793" s="30">
        <f>IFERROR(__xludf.DUMMYFUNCTION("""COMPUTED_VALUE"""),2.0285714285714285)</f>
        <v>2.028571429</v>
      </c>
      <c r="O793" s="30">
        <f>IFERROR(__xludf.DUMMYFUNCTION("""COMPUTED_VALUE"""),327.6761904761905)</f>
        <v>327.6761905</v>
      </c>
      <c r="P793" s="30">
        <f>IFERROR(__xludf.DUMMYFUNCTION("""COMPUTED_VALUE"""),0.8190476190476189)</f>
        <v>0.819047619</v>
      </c>
      <c r="Q793" s="30">
        <f>IFERROR(__xludf.DUMMYFUNCTION("""COMPUTED_VALUE"""),0.5238095238095237)</f>
        <v>0.5238095238</v>
      </c>
      <c r="R793" s="30">
        <f>IFERROR(__xludf.DUMMYFUNCTION("""COMPUTED_VALUE"""),0.9904761904761904)</f>
        <v>0.9904761905</v>
      </c>
      <c r="S793" s="30">
        <f>IFERROR(__xludf.DUMMYFUNCTION("""COMPUTED_VALUE"""),2.5428571428571427)</f>
        <v>2.542857143</v>
      </c>
      <c r="T793" s="30">
        <f>IFERROR(__xludf.DUMMYFUNCTION("""COMPUTED_VALUE"""),328.33420810580276)</f>
        <v>328.3342081</v>
      </c>
      <c r="U793" s="30">
        <f>IFERROR(__xludf.DUMMYFUNCTION("""COMPUTED_VALUE"""),0.8140900888211792)</f>
        <v>0.8140900888</v>
      </c>
      <c r="V793" s="30">
        <f>IFERROR(__xludf.DUMMYFUNCTION("""COMPUTED_VALUE"""),0.5361790468187118)</f>
        <v>0.5361790468</v>
      </c>
      <c r="W793" s="30">
        <f>IFERROR(__xludf.DUMMYFUNCTION("""COMPUTED_VALUE"""),1.051984346248827)</f>
        <v>1.051984346</v>
      </c>
      <c r="X793" s="30">
        <f>IFERROR(__xludf.DUMMYFUNCTION("""COMPUTED_VALUE"""),2.3693886615005404)</f>
        <v>2.369388662</v>
      </c>
      <c r="Y793" s="30">
        <f>IFERROR(__xludf.DUMMYFUNCTION("""COMPUTED_VALUE"""),320.9510544978292)</f>
        <v>320.9510545</v>
      </c>
      <c r="Z793" s="30">
        <f>IFERROR(__xludf.DUMMYFUNCTION("""COMPUTED_VALUE"""),0.7780607691026123)</f>
        <v>0.7780607691</v>
      </c>
      <c r="AA793" s="30">
        <f>IFERROR(__xludf.DUMMYFUNCTION("""COMPUTED_VALUE"""),0.49595053822874013)</f>
        <v>0.4959505382</v>
      </c>
      <c r="AB793" s="30">
        <f>IFERROR(__xludf.DUMMYFUNCTION("""COMPUTED_VALUE"""),1.0751153581408108)</f>
        <v>1.075115358</v>
      </c>
      <c r="AC793" s="30">
        <f>IFERROR(__xludf.DUMMYFUNCTION("""COMPUTED_VALUE"""),2.1916103440627643)</f>
        <v>2.191610344</v>
      </c>
      <c r="AD793" s="30">
        <f>IFERROR(__xludf.DUMMYFUNCTION("""COMPUTED_VALUE"""),0.9978379518279756)</f>
        <v>0.9978379518</v>
      </c>
      <c r="AE793" s="30">
        <f>IFERROR(__xludf.DUMMYFUNCTION("""COMPUTED_VALUE"""),0.8078693252924196)</f>
        <v>0.8078693253</v>
      </c>
      <c r="AF793" s="30">
        <f>IFERROR(__xludf.DUMMYFUNCTION("""COMPUTED_VALUE"""),0.8641414728614827)</f>
        <v>0.8641414729</v>
      </c>
      <c r="AG793" s="30">
        <f>IFERROR(__xludf.DUMMYFUNCTION("""COMPUTED_VALUE"""),1.2224601800484918)</f>
        <v>1.22246018</v>
      </c>
      <c r="AH793" s="30">
        <f>IFERROR(__xludf.DUMMYFUNCTION("""COMPUTED_VALUE"""),0.9256077085358625)</f>
        <v>0.9256077085</v>
      </c>
      <c r="AI793" s="30">
        <f>IFERROR(__xludf.DUMMYFUNCTION("""COMPUTED_VALUE"""),0.9979958907315555)</f>
        <v>0.9979958907</v>
      </c>
      <c r="AJ793" s="30">
        <f>IFERROR(__xludf.DUMMYFUNCTION("""COMPUTED_VALUE"""),1.0060896580053178)</f>
        <v>1.006089658</v>
      </c>
      <c r="AK793" s="30">
        <f>IFERROR(__xludf.DUMMYFUNCTION("""COMPUTED_VALUE"""),0.9769302379819211)</f>
        <v>0.976930238</v>
      </c>
      <c r="AL793" s="30">
        <f>IFERROR(__xludf.DUMMYFUNCTION("""COMPUTED_VALUE"""),0.9415313013050406)</f>
        <v>0.9415313013</v>
      </c>
      <c r="AM793" s="30">
        <f>IFERROR(__xludf.DUMMYFUNCTION("""COMPUTED_VALUE"""),1.0732123370788582)</f>
        <v>1.073212337</v>
      </c>
      <c r="AN793" s="30">
        <f>IFERROR(__xludf.DUMMYFUNCTION("""COMPUTED_VALUE"""),1.0274228581232325)</f>
        <v>1.027422858</v>
      </c>
      <c r="AO793" s="30">
        <f>IFERROR(__xludf.DUMMYFUNCTION("""COMPUTED_VALUE"""),0.8388991537257884)</f>
        <v>0.8388991537</v>
      </c>
      <c r="AP793" s="30">
        <f>IFERROR(__xludf.DUMMYFUNCTION("""COMPUTED_VALUE"""),0.8360350834108683)</f>
        <v>0.8360350834</v>
      </c>
      <c r="AQ793" s="30">
        <f>IFERROR(__xludf.DUMMYFUNCTION("""COMPUTED_VALUE"""),1.2544849935637319)</f>
        <v>1.254484994</v>
      </c>
      <c r="AR793" s="30">
        <f>IFERROR(__xludf.DUMMYFUNCTION("""COMPUTED_VALUE"""),0.9433613788990918)</f>
        <v>0.9433613789</v>
      </c>
      <c r="AS793" s="30">
        <f>IFERROR(__xludf.DUMMYFUNCTION("""COMPUTED_VALUE"""),70.0)</f>
        <v>70</v>
      </c>
      <c r="AT793" s="30">
        <f>IFERROR(__xludf.DUMMYFUNCTION("""COMPUTED_VALUE"""),0.421624736318254)</f>
        <v>0.4216247363</v>
      </c>
      <c r="AU793" s="30">
        <f>IFERROR(__xludf.DUMMYFUNCTION("""COMPUTED_VALUE"""),2.825799087689537)</f>
        <v>2.825799088</v>
      </c>
      <c r="AV793" s="32">
        <f>IFERROR(__xludf.DUMMYFUNCTION("""COMPUTED_VALUE"""),43.7878408163533)</f>
        <v>43.78784082</v>
      </c>
      <c r="AW793" s="32">
        <f>IFERROR(__xludf.DUMMYFUNCTION("""COMPUTED_VALUE"""),-2.4883107971628604)</f>
        <v>-2.488310797</v>
      </c>
      <c r="AX793" s="32">
        <f>IFERROR(__xludf.DUMMYFUNCTION("""COMPUTED_VALUE"""),43.40555203774414)</f>
        <v>43.40555204</v>
      </c>
      <c r="AY793" s="32">
        <f>IFERROR(__xludf.DUMMYFUNCTION("""COMPUTED_VALUE"""),-2.5254086075534117)</f>
        <v>-2.525408608</v>
      </c>
      <c r="AZ793" s="30">
        <f>IFERROR(__xludf.DUMMYFUNCTION("""COMPUTED_VALUE"""),0.03709781039055127)</f>
        <v>0.03709781039</v>
      </c>
      <c r="BA793" s="30">
        <f>IFERROR(__xludf.DUMMYFUNCTION("""COMPUTED_VALUE"""),3200.0)</f>
        <v>3200</v>
      </c>
    </row>
    <row r="794">
      <c r="A794" s="71" t="str">
        <f>IFERROR(__xludf.DUMMYFUNCTION("""COMPUTED_VALUE"""),"Contender")</f>
        <v>Contender</v>
      </c>
      <c r="B794" s="71" t="str">
        <f>IFERROR(__xludf.DUMMYFUNCTION("""COMPUTED_VALUE"""),"RSC006817")</f>
        <v>RSC006817</v>
      </c>
      <c r="C794" s="30" t="str">
        <f>IFERROR(__xludf.DUMMYFUNCTION("""COMPUTED_VALUE"""),"Froz3nSlack5r")</f>
        <v>Froz3nSlack5r</v>
      </c>
      <c r="D794" s="30" t="str">
        <f>IFERROR(__xludf.DUMMYFUNCTION("""COMPUTED_VALUE"""),"Celestial Cider")</f>
        <v>Celestial Cider</v>
      </c>
      <c r="E794" s="30">
        <f>IFERROR(__xludf.DUMMYFUNCTION("""COMPUTED_VALUE"""),35.0)</f>
        <v>35</v>
      </c>
      <c r="F794" s="30">
        <f>IFERROR(__xludf.DUMMYFUNCTION("""COMPUTED_VALUE"""),16.0)</f>
        <v>16</v>
      </c>
      <c r="G794" s="42">
        <f>IFERROR(__xludf.DUMMYFUNCTION("""COMPUTED_VALUE"""),19.0)</f>
        <v>19</v>
      </c>
      <c r="H794" s="42">
        <f>IFERROR(__xludf.DUMMYFUNCTION("""COMPUTED_VALUE"""),0.45714285714285713)</f>
        <v>0.4571428571</v>
      </c>
      <c r="I794" s="42">
        <f>IFERROR(__xludf.DUMMYFUNCTION("""COMPUTED_VALUE"""),0.3908045977011494)</f>
        <v>0.3908045977</v>
      </c>
      <c r="J794" s="30">
        <f>IFERROR(__xludf.DUMMYFUNCTION("""COMPUTED_VALUE"""),305.8)</f>
        <v>305.8</v>
      </c>
      <c r="K794" s="30">
        <f>IFERROR(__xludf.DUMMYFUNCTION("""COMPUTED_VALUE"""),0.9714285714285714)</f>
        <v>0.9714285714</v>
      </c>
      <c r="L794" s="30">
        <f>IFERROR(__xludf.DUMMYFUNCTION("""COMPUTED_VALUE"""),0.34285714285714286)</f>
        <v>0.3428571429</v>
      </c>
      <c r="M794" s="30">
        <f>IFERROR(__xludf.DUMMYFUNCTION("""COMPUTED_VALUE"""),0.6)</f>
        <v>0.6</v>
      </c>
      <c r="N794" s="30">
        <f>IFERROR(__xludf.DUMMYFUNCTION("""COMPUTED_VALUE"""),2.4857142857142858)</f>
        <v>2.485714286</v>
      </c>
      <c r="O794" s="30">
        <f>IFERROR(__xludf.DUMMYFUNCTION("""COMPUTED_VALUE"""),331.11428571428576)</f>
        <v>331.1142857</v>
      </c>
      <c r="P794" s="30">
        <f>IFERROR(__xludf.DUMMYFUNCTION("""COMPUTED_VALUE"""),0.857142857142857)</f>
        <v>0.8571428571</v>
      </c>
      <c r="Q794" s="30">
        <f>IFERROR(__xludf.DUMMYFUNCTION("""COMPUTED_VALUE"""),0.580952380952381)</f>
        <v>0.580952381</v>
      </c>
      <c r="R794" s="30">
        <f>IFERROR(__xludf.DUMMYFUNCTION("""COMPUTED_VALUE"""),1.0952380952380953)</f>
        <v>1.095238095</v>
      </c>
      <c r="S794" s="30">
        <f>IFERROR(__xludf.DUMMYFUNCTION("""COMPUTED_VALUE"""),2.047619047619048)</f>
        <v>2.047619048</v>
      </c>
      <c r="T794" s="30">
        <f>IFERROR(__xludf.DUMMYFUNCTION("""COMPUTED_VALUE"""),312.7810719811022)</f>
        <v>312.781072</v>
      </c>
      <c r="U794" s="30">
        <f>IFERROR(__xludf.DUMMYFUNCTION("""COMPUTED_VALUE"""),0.7370319474758349)</f>
        <v>0.7370319475</v>
      </c>
      <c r="V794" s="30">
        <f>IFERROR(__xludf.DUMMYFUNCTION("""COMPUTED_VALUE"""),0.4630241742033556)</f>
        <v>0.4630241742</v>
      </c>
      <c r="W794" s="30">
        <f>IFERROR(__xludf.DUMMYFUNCTION("""COMPUTED_VALUE"""),1.054026962152132)</f>
        <v>1.054026962</v>
      </c>
      <c r="X794" s="30">
        <f>IFERROR(__xludf.DUMMYFUNCTION("""COMPUTED_VALUE"""),2.191129142523491)</f>
        <v>2.191129143</v>
      </c>
      <c r="Y794" s="30">
        <f>IFERROR(__xludf.DUMMYFUNCTION("""COMPUTED_VALUE"""),326.8105851938614)</f>
        <v>326.8105852</v>
      </c>
      <c r="Z794" s="30">
        <f>IFERROR(__xludf.DUMMYFUNCTION("""COMPUTED_VALUE"""),0.829831912466886)</f>
        <v>0.8298319125</v>
      </c>
      <c r="AA794" s="30">
        <f>IFERROR(__xludf.DUMMYFUNCTION("""COMPUTED_VALUE"""),0.5222201882900356)</f>
        <v>0.5222201883</v>
      </c>
      <c r="AB794" s="30">
        <f>IFERROR(__xludf.DUMMYFUNCTION("""COMPUTED_VALUE"""),1.0687517301036091)</f>
        <v>1.06875173</v>
      </c>
      <c r="AC794" s="30">
        <f>IFERROR(__xludf.DUMMYFUNCTION("""COMPUTED_VALUE"""),2.2732748875423043)</f>
        <v>2.273274888</v>
      </c>
      <c r="AD794" s="30">
        <f>IFERROR(__xludf.DUMMYFUNCTION("""COMPUTED_VALUE"""),0.9357102060161299)</f>
        <v>0.935710206</v>
      </c>
      <c r="AE794" s="30">
        <f>IFERROR(__xludf.DUMMYFUNCTION("""COMPUTED_VALUE"""),1.1706329400381257)</f>
        <v>1.17063294</v>
      </c>
      <c r="AF794" s="30">
        <f>IFERROR(__xludf.DUMMYFUNCTION("""COMPUTED_VALUE"""),0.6565375114658026)</f>
        <v>0.6565375115</v>
      </c>
      <c r="AG794" s="30">
        <f>IFERROR(__xludf.DUMMYFUNCTION("""COMPUTED_VALUE"""),0.5614025999675655)</f>
        <v>0.5614026</v>
      </c>
      <c r="AH794" s="30">
        <f>IFERROR(__xludf.DUMMYFUNCTION("""COMPUTED_VALUE"""),1.0934508181725682)</f>
        <v>1.093450818</v>
      </c>
      <c r="AI794" s="30">
        <f>IFERROR(__xludf.DUMMYFUNCTION("""COMPUTED_VALUE"""),1.058613565127404)</f>
        <v>1.058613565</v>
      </c>
      <c r="AJ794" s="30">
        <f>IFERROR(__xludf.DUMMYFUNCTION("""COMPUTED_VALUE"""),1.1629656761533531)</f>
        <v>1.162965676</v>
      </c>
      <c r="AK794" s="30">
        <f>IFERROR(__xludf.DUMMYFUNCTION("""COMPUTED_VALUE"""),1.2546912522481655)</f>
        <v>1.254691252</v>
      </c>
      <c r="AL794" s="30">
        <f>IFERROR(__xludf.DUMMYFUNCTION("""COMPUTED_VALUE"""),1.03909874658407)</f>
        <v>1.039098747</v>
      </c>
      <c r="AM794" s="30">
        <f>IFERROR(__xludf.DUMMYFUNCTION("""COMPUTED_VALUE"""),0.9345040453712534)</f>
        <v>0.9345040454</v>
      </c>
      <c r="AN794" s="30">
        <f>IFERROR(__xludf.DUMMYFUNCTION("""COMPUTED_VALUE"""),0.9810426309655597)</f>
        <v>0.981042631</v>
      </c>
      <c r="AO794" s="30">
        <f>IFERROR(__xludf.DUMMYFUNCTION("""COMPUTED_VALUE"""),1.296480510303491)</f>
        <v>1.29648051</v>
      </c>
      <c r="AP794" s="30">
        <f>IFERROR(__xludf.DUMMYFUNCTION("""COMPUTED_VALUE"""),0.6688280667286947)</f>
        <v>0.6688280667</v>
      </c>
      <c r="AQ794" s="30">
        <f>IFERROR(__xludf.DUMMYFUNCTION("""COMPUTED_VALUE"""),0.5726996709747472)</f>
        <v>0.572699671</v>
      </c>
      <c r="AR794" s="30">
        <f>IFERROR(__xludf.DUMMYFUNCTION("""COMPUTED_VALUE"""),1.1559498586509998)</f>
        <v>1.155949859</v>
      </c>
      <c r="AS794" s="30">
        <f>IFERROR(__xludf.DUMMYFUNCTION("""COMPUTED_VALUE"""),82.0)</f>
        <v>82</v>
      </c>
      <c r="AT794" s="30">
        <f>IFERROR(__xludf.DUMMYFUNCTION("""COMPUTED_VALUE"""),0.46331293708188087)</f>
        <v>0.4633129371</v>
      </c>
      <c r="AU794" s="30">
        <f>IFERROR(__xludf.DUMMYFUNCTION("""COMPUTED_VALUE"""),3.0895727244484394)</f>
        <v>3.089572724</v>
      </c>
      <c r="AV794" s="32">
        <f>IFERROR(__xludf.DUMMYFUNCTION("""COMPUTED_VALUE"""),48.33590799694529)</f>
        <v>48.335908</v>
      </c>
      <c r="AW794" s="32">
        <f>IFERROR(__xludf.DUMMYFUNCTION("""COMPUTED_VALUE"""),-2.1120906339261754)</f>
        <v>-2.112090634</v>
      </c>
      <c r="AX794" s="32">
        <f>IFERROR(__xludf.DUMMYFUNCTION("""COMPUTED_VALUE"""),48.26591560456107)</f>
        <v>48.2659156</v>
      </c>
      <c r="AY794" s="32">
        <f>IFERROR(__xludf.DUMMYFUNCTION("""COMPUTED_VALUE"""),-2.1170733506584307)</f>
        <v>-2.117073351</v>
      </c>
      <c r="AZ794" s="30">
        <f>IFERROR(__xludf.DUMMYFUNCTION("""COMPUTED_VALUE"""),0.004982716732255366)</f>
        <v>0.004982716732</v>
      </c>
      <c r="BA794" s="30">
        <f>IFERROR(__xludf.DUMMYFUNCTION("""COMPUTED_VALUE"""),3200.0)</f>
        <v>3200</v>
      </c>
    </row>
    <row r="795">
      <c r="A795" s="71" t="str">
        <f>IFERROR(__xludf.DUMMYFUNCTION("""COMPUTED_VALUE"""),"Amateur")</f>
        <v>Amateur</v>
      </c>
      <c r="B795" s="71" t="str">
        <f>IFERROR(__xludf.DUMMYFUNCTION("""COMPUTED_VALUE"""),"RSC007587")</f>
        <v>RSC007587</v>
      </c>
      <c r="C795" s="30" t="str">
        <f>IFERROR(__xludf.DUMMYFUNCTION("""COMPUTED_VALUE"""),"ShortyoShire")</f>
        <v>ShortyoShire</v>
      </c>
      <c r="D795" s="30" t="str">
        <f>IFERROR(__xludf.DUMMYFUNCTION("""COMPUTED_VALUE"""),"Aloof Goofs")</f>
        <v>Aloof Goofs</v>
      </c>
      <c r="E795" s="30">
        <f>IFERROR(__xludf.DUMMYFUNCTION("""COMPUTED_VALUE"""),6.0)</f>
        <v>6</v>
      </c>
      <c r="F795" s="30">
        <f>IFERROR(__xludf.DUMMYFUNCTION("""COMPUTED_VALUE"""),1.0)</f>
        <v>1</v>
      </c>
      <c r="G795" s="42">
        <f>IFERROR(__xludf.DUMMYFUNCTION("""COMPUTED_VALUE"""),5.0)</f>
        <v>5</v>
      </c>
      <c r="H795" s="42">
        <f>IFERROR(__xludf.DUMMYFUNCTION("""COMPUTED_VALUE"""),0.16666666666666666)</f>
        <v>0.1666666667</v>
      </c>
      <c r="I795" s="42">
        <f>IFERROR(__xludf.DUMMYFUNCTION("""COMPUTED_VALUE"""),0.0)</f>
        <v>0</v>
      </c>
      <c r="J795" s="30">
        <f>IFERROR(__xludf.DUMMYFUNCTION("""COMPUTED_VALUE"""),122.16666666666667)</f>
        <v>122.1666667</v>
      </c>
      <c r="K795" s="30">
        <f>IFERROR(__xludf.DUMMYFUNCTION("""COMPUTED_VALUE"""),0.0)</f>
        <v>0</v>
      </c>
      <c r="L795" s="30">
        <f>IFERROR(__xludf.DUMMYFUNCTION("""COMPUTED_VALUE"""),0.0)</f>
        <v>0</v>
      </c>
      <c r="M795" s="30">
        <f>IFERROR(__xludf.DUMMYFUNCTION("""COMPUTED_VALUE"""),0.8333333333333334)</f>
        <v>0.8333333333</v>
      </c>
      <c r="N795" s="30">
        <f>IFERROR(__xludf.DUMMYFUNCTION("""COMPUTED_VALUE"""),0.6666666666666666)</f>
        <v>0.6666666667</v>
      </c>
      <c r="O795" s="30">
        <f>IFERROR(__xludf.DUMMYFUNCTION("""COMPUTED_VALUE"""),395.97222222222223)</f>
        <v>395.9722222</v>
      </c>
      <c r="P795" s="30">
        <f>IFERROR(__xludf.DUMMYFUNCTION("""COMPUTED_VALUE"""),1.5972222222222223)</f>
        <v>1.597222222</v>
      </c>
      <c r="Q795" s="30">
        <f>IFERROR(__xludf.DUMMYFUNCTION("""COMPUTED_VALUE"""),1.0416666666666665)</f>
        <v>1.041666667</v>
      </c>
      <c r="R795" s="30">
        <f>IFERROR(__xludf.DUMMYFUNCTION("""COMPUTED_VALUE"""),0.49999999999999994)</f>
        <v>0.5</v>
      </c>
      <c r="S795" s="30">
        <f>IFERROR(__xludf.DUMMYFUNCTION("""COMPUTED_VALUE"""),3.0416666666666665)</f>
        <v>3.041666667</v>
      </c>
      <c r="T795" s="30">
        <f>IFERROR(__xludf.DUMMYFUNCTION("""COMPUTED_VALUE"""),278.0637641029368)</f>
        <v>278.0637641</v>
      </c>
      <c r="U795" s="30">
        <f>IFERROR(__xludf.DUMMYFUNCTION("""COMPUTED_VALUE"""),0.6595597455636335)</f>
        <v>0.6595597456</v>
      </c>
      <c r="V795" s="30">
        <f>IFERROR(__xludf.DUMMYFUNCTION("""COMPUTED_VALUE"""),0.44626767818826024)</f>
        <v>0.4462676782</v>
      </c>
      <c r="W795" s="30">
        <f>IFERROR(__xludf.DUMMYFUNCTION("""COMPUTED_VALUE"""),0.7693636630399273)</f>
        <v>0.769363663</v>
      </c>
      <c r="X795" s="30">
        <f>IFERROR(__xludf.DUMMYFUNCTION("""COMPUTED_VALUE"""),1.9772941391916206)</f>
        <v>1.977294139</v>
      </c>
      <c r="Y795" s="30">
        <f>IFERROR(__xludf.DUMMYFUNCTION("""COMPUTED_VALUE"""),310.28641660450484)</f>
        <v>310.2864166</v>
      </c>
      <c r="Z795" s="30">
        <f>IFERROR(__xludf.DUMMYFUNCTION("""COMPUTED_VALUE"""),0.8788775689306018)</f>
        <v>0.8788775689</v>
      </c>
      <c r="AA795" s="30">
        <f>IFERROR(__xludf.DUMMYFUNCTION("""COMPUTED_VALUE"""),0.4892295816975866)</f>
        <v>0.4892295817</v>
      </c>
      <c r="AB795" s="30">
        <f>IFERROR(__xludf.DUMMYFUNCTION("""COMPUTED_VALUE"""),0.8939865815139747)</f>
        <v>0.8939865815</v>
      </c>
      <c r="AC795" s="30">
        <f>IFERROR(__xludf.DUMMYFUNCTION("""COMPUTED_VALUE"""),2.1450590346650125)</f>
        <v>2.145059035</v>
      </c>
      <c r="AD795" s="30">
        <f>IFERROR(__xludf.DUMMYFUNCTION("""COMPUTED_VALUE"""),0.3937222518586172)</f>
        <v>0.3937222519</v>
      </c>
      <c r="AE795" s="30">
        <f>IFERROR(__xludf.DUMMYFUNCTION("""COMPUTED_VALUE"""),0.0)</f>
        <v>0</v>
      </c>
      <c r="AF795" s="30">
        <f>IFERROR(__xludf.DUMMYFUNCTION("""COMPUTED_VALUE"""),0.0)</f>
        <v>0</v>
      </c>
      <c r="AG795" s="30">
        <f>IFERROR(__xludf.DUMMYFUNCTION("""COMPUTED_VALUE"""),0.9321541850461285)</f>
        <v>0.932154185</v>
      </c>
      <c r="AH795" s="30">
        <f>IFERROR(__xludf.DUMMYFUNCTION("""COMPUTED_VALUE"""),0.3107917571931898)</f>
        <v>0.3107917572</v>
      </c>
      <c r="AI795" s="30">
        <f>IFERROR(__xludf.DUMMYFUNCTION("""COMPUTED_VALUE"""),1.424033884816566)</f>
        <v>1.424033885</v>
      </c>
      <c r="AJ795" s="30">
        <f>IFERROR(__xludf.DUMMYFUNCTION("""COMPUTED_VALUE"""),2.4216490362935956)</f>
        <v>2.421649036</v>
      </c>
      <c r="AK795" s="30">
        <f>IFERROR(__xludf.DUMMYFUNCTION("""COMPUTED_VALUE"""),2.3341745718524436)</f>
        <v>2.334174572</v>
      </c>
      <c r="AL795" s="30">
        <f>IFERROR(__xludf.DUMMYFUNCTION("""COMPUTED_VALUE"""),0.6498877241282601)</f>
        <v>0.6498877241</v>
      </c>
      <c r="AM795" s="30">
        <f>IFERROR(__xludf.DUMMYFUNCTION("""COMPUTED_VALUE"""),1.5382975179960805)</f>
        <v>1.538297518</v>
      </c>
      <c r="AN795" s="30">
        <f>IFERROR(__xludf.DUMMYFUNCTION("""COMPUTED_VALUE"""),0.4398088469303641)</f>
        <v>0.4398088469</v>
      </c>
      <c r="AO795" s="30">
        <f>IFERROR(__xludf.DUMMYFUNCTION("""COMPUTED_VALUE"""),0.0)</f>
        <v>0</v>
      </c>
      <c r="AP795" s="30">
        <f>IFERROR(__xludf.DUMMYFUNCTION("""COMPUTED_VALUE"""),0.0)</f>
        <v>0</v>
      </c>
      <c r="AQ795" s="30">
        <f>IFERROR(__xludf.DUMMYFUNCTION("""COMPUTED_VALUE"""),1.057199604199124)</f>
        <v>1.057199604</v>
      </c>
      <c r="AR795" s="30">
        <f>IFERROR(__xludf.DUMMYFUNCTION("""COMPUTED_VALUE"""),0.3491166045973925)</f>
        <v>0.3491166046</v>
      </c>
      <c r="AS795" s="30">
        <f>IFERROR(__xludf.DUMMYFUNCTION("""COMPUTED_VALUE"""),28.0)</f>
        <v>28</v>
      </c>
      <c r="AT795" s="30">
        <f>IFERROR(__xludf.DUMMYFUNCTION("""COMPUTED_VALUE"""),0.48740907437443864)</f>
        <v>0.4874090744</v>
      </c>
      <c r="AU795" s="30">
        <f>IFERROR(__xludf.DUMMYFUNCTION("""COMPUTED_VALUE"""),-2.2189371315323374)</f>
        <v>-2.218937132</v>
      </c>
      <c r="AV795" s="32">
        <f>IFERROR(__xludf.DUMMYFUNCTION("""COMPUTED_VALUE"""),-29.180718098475253)</f>
        <v>-29.1807181</v>
      </c>
      <c r="AW795" s="32">
        <f>IFERROR(__xludf.DUMMYFUNCTION("""COMPUTED_VALUE"""),-1299.55172968214)</f>
        <v>-1299.55173</v>
      </c>
      <c r="AX795" s="32">
        <f>IFERROR(__xludf.DUMMYFUNCTION("""COMPUTED_VALUE"""),-15.162276683420245)</f>
        <v>-15.16227668</v>
      </c>
      <c r="AY795" s="32">
        <f>IFERROR(__xludf.DUMMYFUNCTION("""COMPUTED_VALUE"""),-218.63847071448785)</f>
        <v>-218.6384707</v>
      </c>
      <c r="AZ795" s="30">
        <f>IFERROR(__xludf.DUMMYFUNCTION("""COMPUTED_VALUE"""),1080.9132589676522)</f>
        <v>1080.913259</v>
      </c>
      <c r="BA795" s="30">
        <f>IFERROR(__xludf.DUMMYFUNCTION("""COMPUTED_VALUE"""),4000.0)</f>
        <v>4000</v>
      </c>
    </row>
    <row r="796">
      <c r="A796" s="71" t="str">
        <f>IFERROR(__xludf.DUMMYFUNCTION("""COMPUTED_VALUE"""),"Amateur")</f>
        <v>Amateur</v>
      </c>
      <c r="B796" s="71" t="str">
        <f>IFERROR(__xludf.DUMMYFUNCTION("""COMPUTED_VALUE"""),"RSC000968")</f>
        <v>RSC000968</v>
      </c>
      <c r="C796" s="30" t="str">
        <f>IFERROR(__xludf.DUMMYFUNCTION("""COMPUTED_VALUE"""),"Tsg_raven5336")</f>
        <v>Tsg_raven5336</v>
      </c>
      <c r="D796" s="30"/>
      <c r="E796" s="30">
        <f>IFERROR(__xludf.DUMMYFUNCTION("""COMPUTED_VALUE"""),6.0)</f>
        <v>6</v>
      </c>
      <c r="F796" s="30">
        <f>IFERROR(__xludf.DUMMYFUNCTION("""COMPUTED_VALUE"""),3.0)</f>
        <v>3</v>
      </c>
      <c r="G796" s="42">
        <f>IFERROR(__xludf.DUMMYFUNCTION("""COMPUTED_VALUE"""),3.0)</f>
        <v>3</v>
      </c>
      <c r="H796" s="42">
        <f>IFERROR(__xludf.DUMMYFUNCTION("""COMPUTED_VALUE"""),0.5)</f>
        <v>0.5</v>
      </c>
      <c r="I796" s="42">
        <f>IFERROR(__xludf.DUMMYFUNCTION("""COMPUTED_VALUE"""),0.0)</f>
        <v>0</v>
      </c>
      <c r="J796" s="30">
        <f>IFERROR(__xludf.DUMMYFUNCTION("""COMPUTED_VALUE"""),160.0)</f>
        <v>160</v>
      </c>
      <c r="K796" s="30">
        <f>IFERROR(__xludf.DUMMYFUNCTION("""COMPUTED_VALUE"""),0.0)</f>
        <v>0</v>
      </c>
      <c r="L796" s="30">
        <f>IFERROR(__xludf.DUMMYFUNCTION("""COMPUTED_VALUE"""),0.0)</f>
        <v>0</v>
      </c>
      <c r="M796" s="30">
        <f>IFERROR(__xludf.DUMMYFUNCTION("""COMPUTED_VALUE"""),0.8333333333333334)</f>
        <v>0.8333333333</v>
      </c>
      <c r="N796" s="30">
        <f>IFERROR(__xludf.DUMMYFUNCTION("""COMPUTED_VALUE"""),0.6666666666666666)</f>
        <v>0.6666666667</v>
      </c>
      <c r="O796" s="30">
        <f>IFERROR(__xludf.DUMMYFUNCTION("""COMPUTED_VALUE"""),281.23611111111114)</f>
        <v>281.2361111</v>
      </c>
      <c r="P796" s="30">
        <f>IFERROR(__xludf.DUMMYFUNCTION("""COMPUTED_VALUE"""),0.5694444444444444)</f>
        <v>0.5694444444</v>
      </c>
      <c r="Q796" s="30">
        <f>IFERROR(__xludf.DUMMYFUNCTION("""COMPUTED_VALUE"""),0.27777777777777773)</f>
        <v>0.2777777778</v>
      </c>
      <c r="R796" s="30">
        <f>IFERROR(__xludf.DUMMYFUNCTION("""COMPUTED_VALUE"""),1.125)</f>
        <v>1.125</v>
      </c>
      <c r="S796" s="30">
        <f>IFERROR(__xludf.DUMMYFUNCTION("""COMPUTED_VALUE"""),1.8472222222222223)</f>
        <v>1.847222222</v>
      </c>
      <c r="T796" s="30">
        <f>IFERROR(__xludf.DUMMYFUNCTION("""COMPUTED_VALUE"""),280.5863045156404)</f>
        <v>280.5863045</v>
      </c>
      <c r="U796" s="30">
        <f>IFERROR(__xludf.DUMMYFUNCTION("""COMPUTED_VALUE"""),0.6568778617545221)</f>
        <v>0.6568778618</v>
      </c>
      <c r="V796" s="30">
        <f>IFERROR(__xludf.DUMMYFUNCTION("""COMPUTED_VALUE"""),0.35541389245374067)</f>
        <v>0.3554138925</v>
      </c>
      <c r="W796" s="30">
        <f>IFERROR(__xludf.DUMMYFUNCTION("""COMPUTED_VALUE"""),0.8361967486445665)</f>
        <v>0.8361967486</v>
      </c>
      <c r="X796" s="30">
        <f>IFERROR(__xludf.DUMMYFUNCTION("""COMPUTED_VALUE"""),2.091692496834812)</f>
        <v>2.091692497</v>
      </c>
      <c r="Y796" s="30">
        <f>IFERROR(__xludf.DUMMYFUNCTION("""COMPUTED_VALUE"""),314.5052367878332)</f>
        <v>314.5052368</v>
      </c>
      <c r="Z796" s="30">
        <f>IFERROR(__xludf.DUMMYFUNCTION("""COMPUTED_VALUE"""),0.8587000397405208)</f>
        <v>0.8587000397</v>
      </c>
      <c r="AA796" s="30">
        <f>IFERROR(__xludf.DUMMYFUNCTION("""COMPUTED_VALUE"""),0.509447984372083)</f>
        <v>0.5094479844</v>
      </c>
      <c r="AB796" s="30">
        <f>IFERROR(__xludf.DUMMYFUNCTION("""COMPUTED_VALUE"""),0.994900153960875)</f>
        <v>0.994900154</v>
      </c>
      <c r="AC796" s="30">
        <f>IFERROR(__xludf.DUMMYFUNCTION("""COMPUTED_VALUE"""),2.1073274091616914)</f>
        <v>2.107327409</v>
      </c>
      <c r="AD796" s="30">
        <f>IFERROR(__xludf.DUMMYFUNCTION("""COMPUTED_VALUE"""),0.5087355671216909)</f>
        <v>0.5087355671</v>
      </c>
      <c r="AE796" s="30">
        <f>IFERROR(__xludf.DUMMYFUNCTION("""COMPUTED_VALUE"""),0.0)</f>
        <v>0</v>
      </c>
      <c r="AF796" s="30">
        <f>IFERROR(__xludf.DUMMYFUNCTION("""COMPUTED_VALUE"""),0.0)</f>
        <v>0</v>
      </c>
      <c r="AG796" s="30">
        <f>IFERROR(__xludf.DUMMYFUNCTION("""COMPUTED_VALUE"""),0.8376049898230337)</f>
        <v>0.8376049898</v>
      </c>
      <c r="AH796" s="30">
        <f>IFERROR(__xludf.DUMMYFUNCTION("""COMPUTED_VALUE"""),0.3163564730227995)</f>
        <v>0.316356473</v>
      </c>
      <c r="AI796" s="30">
        <f>IFERROR(__xludf.DUMMYFUNCTION("""COMPUTED_VALUE"""),1.0023158884985226)</f>
        <v>1.002315888</v>
      </c>
      <c r="AJ796" s="30">
        <f>IFERROR(__xludf.DUMMYFUNCTION("""COMPUTED_VALUE"""),0.8668954726582765)</f>
        <v>0.8668954727</v>
      </c>
      <c r="AK796" s="30">
        <f>IFERROR(__xludf.DUMMYFUNCTION("""COMPUTED_VALUE"""),0.7815613955324839)</f>
        <v>0.7815613955</v>
      </c>
      <c r="AL796" s="30">
        <f>IFERROR(__xludf.DUMMYFUNCTION("""COMPUTED_VALUE"""),1.3453771517571305)</f>
        <v>1.345377152</v>
      </c>
      <c r="AM796" s="30">
        <f>IFERROR(__xludf.DUMMYFUNCTION("""COMPUTED_VALUE"""),0.8831232243828734)</f>
        <v>0.8831232244</v>
      </c>
      <c r="AN796" s="30">
        <f>IFERROR(__xludf.DUMMYFUNCTION("""COMPUTED_VALUE"""),0.5760115867027961)</f>
        <v>0.5760115867</v>
      </c>
      <c r="AO796" s="30">
        <f>IFERROR(__xludf.DUMMYFUNCTION("""COMPUTED_VALUE"""),0.0)</f>
        <v>0</v>
      </c>
      <c r="AP796" s="30">
        <f>IFERROR(__xludf.DUMMYFUNCTION("""COMPUTED_VALUE"""),0.0)</f>
        <v>0</v>
      </c>
      <c r="AQ796" s="30">
        <f>IFERROR(__xludf.DUMMYFUNCTION("""COMPUTED_VALUE"""),1.057199604199124)</f>
        <v>1.057199604</v>
      </c>
      <c r="AR796" s="30">
        <f>IFERROR(__xludf.DUMMYFUNCTION("""COMPUTED_VALUE"""),0.3491166045973925)</f>
        <v>0.3491166046</v>
      </c>
      <c r="AS796" s="30">
        <f>IFERROR(__xludf.DUMMYFUNCTION("""COMPUTED_VALUE"""),23.0)</f>
        <v>23</v>
      </c>
      <c r="AT796" s="30">
        <f>IFERROR(__xludf.DUMMYFUNCTION("""COMPUTED_VALUE"""),0.7893731668945888)</f>
        <v>0.7893731669</v>
      </c>
      <c r="AU796" s="30">
        <f>IFERROR(__xludf.DUMMYFUNCTION("""COMPUTED_VALUE"""),-0.5416038125462908)</f>
        <v>-0.5416038125</v>
      </c>
      <c r="AV796" s="32">
        <f>IFERROR(__xludf.DUMMYFUNCTION("""COMPUTED_VALUE"""),5.115929998894877)</f>
        <v>5.115929999</v>
      </c>
      <c r="AW796" s="32">
        <f>IFERROR(__xludf.DUMMYFUNCTION("""COMPUTED_VALUE"""),-27.54975938848299)</f>
        <v>-27.54975939</v>
      </c>
      <c r="AX796" s="32">
        <f>IFERROR(__xludf.DUMMYFUNCTION("""COMPUTED_VALUE"""),-7.766953469920409)</f>
        <v>-7.76695347</v>
      </c>
      <c r="AY796" s="32">
        <f>IFERROR(__xludf.DUMMYFUNCTION("""COMPUTED_VALUE"""),-95.9203187836438)</f>
        <v>-95.92031878</v>
      </c>
      <c r="AZ796" s="30">
        <f>IFERROR(__xludf.DUMMYFUNCTION("""COMPUTED_VALUE"""),68.3705593951608)</f>
        <v>68.3705594</v>
      </c>
      <c r="BA796" s="30">
        <f>IFERROR(__xludf.DUMMYFUNCTION("""COMPUTED_VALUE"""),4000.0)</f>
        <v>4000</v>
      </c>
    </row>
    <row r="797">
      <c r="A797" s="71" t="str">
        <f>IFERROR(__xludf.DUMMYFUNCTION("""COMPUTED_VALUE"""),"Amateur")</f>
        <v>Amateur</v>
      </c>
      <c r="B797" s="71" t="str">
        <f>IFERROR(__xludf.DUMMYFUNCTION("""COMPUTED_VALUE"""),"RSC007393")</f>
        <v>RSC007393</v>
      </c>
      <c r="C797" s="30" t="str">
        <f>IFERROR(__xludf.DUMMYFUNCTION("""COMPUTED_VALUE"""),"Ubfghki9442")</f>
        <v>Ubfghki9442</v>
      </c>
      <c r="D797" s="30" t="str">
        <f>IFERROR(__xludf.DUMMYFUNCTION("""COMPUTED_VALUE"""),"Garlic Knots")</f>
        <v>Garlic Knots</v>
      </c>
      <c r="E797" s="30">
        <f>IFERROR(__xludf.DUMMYFUNCTION("""COMPUTED_VALUE"""),6.0)</f>
        <v>6</v>
      </c>
      <c r="F797" s="30">
        <f>IFERROR(__xludf.DUMMYFUNCTION("""COMPUTED_VALUE"""),3.0)</f>
        <v>3</v>
      </c>
      <c r="G797" s="42">
        <f>IFERROR(__xludf.DUMMYFUNCTION("""COMPUTED_VALUE"""),3.0)</f>
        <v>3</v>
      </c>
      <c r="H797" s="42">
        <f>IFERROR(__xludf.DUMMYFUNCTION("""COMPUTED_VALUE"""),0.5)</f>
        <v>0.5</v>
      </c>
      <c r="I797" s="42">
        <f>IFERROR(__xludf.DUMMYFUNCTION("""COMPUTED_VALUE"""),0.5)</f>
        <v>0.5</v>
      </c>
      <c r="J797" s="30">
        <f>IFERROR(__xludf.DUMMYFUNCTION("""COMPUTED_VALUE"""),158.16666666666666)</f>
        <v>158.1666667</v>
      </c>
      <c r="K797" s="30">
        <f>IFERROR(__xludf.DUMMYFUNCTION("""COMPUTED_VALUE"""),0.5)</f>
        <v>0.5</v>
      </c>
      <c r="L797" s="30">
        <f>IFERROR(__xludf.DUMMYFUNCTION("""COMPUTED_VALUE"""),0.3333333333333333)</f>
        <v>0.3333333333</v>
      </c>
      <c r="M797" s="30">
        <f>IFERROR(__xludf.DUMMYFUNCTION("""COMPUTED_VALUE"""),0.16666666666666666)</f>
        <v>0.1666666667</v>
      </c>
      <c r="N797" s="30">
        <f>IFERROR(__xludf.DUMMYFUNCTION("""COMPUTED_VALUE"""),1.0)</f>
        <v>1</v>
      </c>
      <c r="O797" s="30">
        <f>IFERROR(__xludf.DUMMYFUNCTION("""COMPUTED_VALUE"""),267.69444444444446)</f>
        <v>267.6944444</v>
      </c>
      <c r="P797" s="30">
        <f>IFERROR(__xludf.DUMMYFUNCTION("""COMPUTED_VALUE"""),0.5972222222222222)</f>
        <v>0.5972222222</v>
      </c>
      <c r="Q797" s="30">
        <f>IFERROR(__xludf.DUMMYFUNCTION("""COMPUTED_VALUE"""),0.4305555555555556)</f>
        <v>0.4305555556</v>
      </c>
      <c r="R797" s="30">
        <f>IFERROR(__xludf.DUMMYFUNCTION("""COMPUTED_VALUE"""),0.6249999999999999)</f>
        <v>0.625</v>
      </c>
      <c r="S797" s="30">
        <f>IFERROR(__xludf.DUMMYFUNCTION("""COMPUTED_VALUE"""),2.4722222222222223)</f>
        <v>2.472222222</v>
      </c>
      <c r="T797" s="30">
        <f>IFERROR(__xludf.DUMMYFUNCTION("""COMPUTED_VALUE"""),292.09512497107943)</f>
        <v>292.095125</v>
      </c>
      <c r="U797" s="30">
        <f>IFERROR(__xludf.DUMMYFUNCTION("""COMPUTED_VALUE"""),0.7224644238762986)</f>
        <v>0.7224644239</v>
      </c>
      <c r="V797" s="30">
        <f>IFERROR(__xludf.DUMMYFUNCTION("""COMPUTED_VALUE"""),0.41552244397691696)</f>
        <v>0.415522444</v>
      </c>
      <c r="W797" s="30">
        <f>IFERROR(__xludf.DUMMYFUNCTION("""COMPUTED_VALUE"""),0.8214457935171985)</f>
        <v>0.8214457935</v>
      </c>
      <c r="X797" s="30">
        <f>IFERROR(__xludf.DUMMYFUNCTION("""COMPUTED_VALUE"""),2.1431080741766055)</f>
        <v>2.143108074</v>
      </c>
      <c r="Y797" s="30">
        <f>IFERROR(__xludf.DUMMYFUNCTION("""COMPUTED_VALUE"""),300.46315471994694)</f>
        <v>300.4631547</v>
      </c>
      <c r="Z797" s="30">
        <f>IFERROR(__xludf.DUMMYFUNCTION("""COMPUTED_VALUE"""),0.8087598173073679)</f>
        <v>0.8087598173</v>
      </c>
      <c r="AA797" s="30">
        <f>IFERROR(__xludf.DUMMYFUNCTION("""COMPUTED_VALUE"""),0.4394668801138289)</f>
        <v>0.4394668801</v>
      </c>
      <c r="AB797" s="30">
        <f>IFERROR(__xludf.DUMMYFUNCTION("""COMPUTED_VALUE"""),0.9453695086315586)</f>
        <v>0.9453695086</v>
      </c>
      <c r="AC797" s="30">
        <f>IFERROR(__xludf.DUMMYFUNCTION("""COMPUTED_VALUE"""),2.00619898825607)</f>
        <v>2.006198988</v>
      </c>
      <c r="AD797" s="30">
        <f>IFERROR(__xludf.DUMMYFUNCTION("""COMPUTED_VALUE"""),0.5264095253678917)</f>
        <v>0.5264095254</v>
      </c>
      <c r="AE797" s="30">
        <f>IFERROR(__xludf.DUMMYFUNCTION("""COMPUTED_VALUE"""),0.618230517021317)</f>
        <v>0.618230517</v>
      </c>
      <c r="AF797" s="30">
        <f>IFERROR(__xludf.DUMMYFUNCTION("""COMPUTED_VALUE"""),0.7584947772332574)</f>
        <v>0.7584947772</v>
      </c>
      <c r="AG797" s="30">
        <f>IFERROR(__xludf.DUMMYFUNCTION("""COMPUTED_VALUE"""),0.17629790800839348)</f>
        <v>0.176297908</v>
      </c>
      <c r="AH797" s="30">
        <f>IFERROR(__xludf.DUMMYFUNCTION("""COMPUTED_VALUE"""),0.4984550415257017)</f>
        <v>0.4984550415</v>
      </c>
      <c r="AI797" s="30">
        <f>IFERROR(__xludf.DUMMYFUNCTION("""COMPUTED_VALUE"""),0.9164632394017158)</f>
        <v>0.9164632394</v>
      </c>
      <c r="AJ797" s="30">
        <f>IFERROR(__xludf.DUMMYFUNCTION("""COMPUTED_VALUE"""),0.826645856162572)</f>
        <v>0.8266458562</v>
      </c>
      <c r="AK797" s="30">
        <f>IFERROR(__xludf.DUMMYFUNCTION("""COMPUTED_VALUE"""),1.0361788196920447)</f>
        <v>1.03617882</v>
      </c>
      <c r="AL797" s="30">
        <f>IFERROR(__xludf.DUMMYFUNCTION("""COMPUTED_VALUE"""),0.7608536131446078)</f>
        <v>0.7608536131</v>
      </c>
      <c r="AM797" s="30">
        <f>IFERROR(__xludf.DUMMYFUNCTION("""COMPUTED_VALUE"""),1.1535686193390244)</f>
        <v>1.153568619</v>
      </c>
      <c r="AN797" s="30">
        <f>IFERROR(__xludf.DUMMYFUNCTION("""COMPUTED_VALUE"""),0.5694114539384931)</f>
        <v>0.5694114539</v>
      </c>
      <c r="AO797" s="30">
        <f>IFERROR(__xludf.DUMMYFUNCTION("""COMPUTED_VALUE"""),0.6730024591323897)</f>
        <v>0.6730024591</v>
      </c>
      <c r="AP797" s="30">
        <f>IFERROR(__xludf.DUMMYFUNCTION("""COMPUTED_VALUE"""),0.7931767776898992)</f>
        <v>0.7931767777</v>
      </c>
      <c r="AQ797" s="30">
        <f>IFERROR(__xludf.DUMMYFUNCTION("""COMPUTED_VALUE"""),0.21143992083982477)</f>
        <v>0.2114399208</v>
      </c>
      <c r="AR797" s="30">
        <f>IFERROR(__xludf.DUMMYFUNCTION("""COMPUTED_VALUE"""),0.5236749068960888)</f>
        <v>0.5236749069</v>
      </c>
      <c r="AS797" s="30">
        <f>IFERROR(__xludf.DUMMYFUNCTION("""COMPUTED_VALUE"""),30.0)</f>
        <v>30</v>
      </c>
      <c r="AT797" s="30">
        <f>IFERROR(__xludf.DUMMYFUNCTION("""COMPUTED_VALUE"""),0.8555085771982943)</f>
        <v>0.8555085772</v>
      </c>
      <c r="AU797" s="30">
        <f>IFERROR(__xludf.DUMMYFUNCTION("""COMPUTED_VALUE"""),0.5790590582412163)</f>
        <v>0.5790590582</v>
      </c>
      <c r="AV797" s="32">
        <f>IFERROR(__xludf.DUMMYFUNCTION("""COMPUTED_VALUE"""),28.03026651158145)</f>
        <v>28.03026651</v>
      </c>
      <c r="AW797" s="32">
        <f>IFERROR(__xludf.DUMMYFUNCTION("""COMPUTED_VALUE"""),-5.269876883964961)</f>
        <v>-5.269876884</v>
      </c>
      <c r="AX797" s="32">
        <f>IFERROR(__xludf.DUMMYFUNCTION("""COMPUTED_VALUE"""),2.773333740745386)</f>
        <v>2.773333741</v>
      </c>
      <c r="AY797" s="32">
        <f>IFERROR(__xludf.DUMMYFUNCTION("""COMPUTED_VALUE"""),-33.965719298415095)</f>
        <v>-33.9657193</v>
      </c>
      <c r="AZ797" s="30">
        <f>IFERROR(__xludf.DUMMYFUNCTION("""COMPUTED_VALUE"""),28.695842414450134)</f>
        <v>28.69584241</v>
      </c>
      <c r="BA797" s="30">
        <f>IFERROR(__xludf.DUMMYFUNCTION("""COMPUTED_VALUE"""),4000.0)</f>
        <v>4000</v>
      </c>
    </row>
    <row r="798">
      <c r="A798" s="71" t="str">
        <f>IFERROR(__xludf.DUMMYFUNCTION("""COMPUTED_VALUE"""),"Amateur")</f>
        <v>Amateur</v>
      </c>
      <c r="B798" s="71" t="str">
        <f>IFERROR(__xludf.DUMMYFUNCTION("""COMPUTED_VALUE"""),"RSC007993")</f>
        <v>RSC007993</v>
      </c>
      <c r="C798" s="30" t="str">
        <f>IFERROR(__xludf.DUMMYFUNCTION("""COMPUTED_VALUE"""),"Origami Box")</f>
        <v>Origami Box</v>
      </c>
      <c r="D798" s="30" t="str">
        <f>IFERROR(__xludf.DUMMYFUNCTION("""COMPUTED_VALUE"""),"Aeon Ale")</f>
        <v>Aeon Ale</v>
      </c>
      <c r="E798" s="30">
        <f>IFERROR(__xludf.DUMMYFUNCTION("""COMPUTED_VALUE"""),12.0)</f>
        <v>12</v>
      </c>
      <c r="F798" s="30">
        <f>IFERROR(__xludf.DUMMYFUNCTION("""COMPUTED_VALUE"""),5.0)</f>
        <v>5</v>
      </c>
      <c r="G798" s="42">
        <f>IFERROR(__xludf.DUMMYFUNCTION("""COMPUTED_VALUE"""),7.0)</f>
        <v>7</v>
      </c>
      <c r="H798" s="42">
        <f>IFERROR(__xludf.DUMMYFUNCTION("""COMPUTED_VALUE"""),0.4166666666666667)</f>
        <v>0.4166666667</v>
      </c>
      <c r="I798" s="42">
        <f>IFERROR(__xludf.DUMMYFUNCTION("""COMPUTED_VALUE"""),0.3333333333333333)</f>
        <v>0.3333333333</v>
      </c>
      <c r="J798" s="30">
        <f>IFERROR(__xludf.DUMMYFUNCTION("""COMPUTED_VALUE"""),190.5)</f>
        <v>190.5</v>
      </c>
      <c r="K798" s="30">
        <f>IFERROR(__xludf.DUMMYFUNCTION("""COMPUTED_VALUE"""),0.5)</f>
        <v>0.5</v>
      </c>
      <c r="L798" s="30">
        <f>IFERROR(__xludf.DUMMYFUNCTION("""COMPUTED_VALUE"""),0.25)</f>
        <v>0.25</v>
      </c>
      <c r="M798" s="30">
        <f>IFERROR(__xludf.DUMMYFUNCTION("""COMPUTED_VALUE"""),0.5833333333333334)</f>
        <v>0.5833333333</v>
      </c>
      <c r="N798" s="30">
        <f>IFERROR(__xludf.DUMMYFUNCTION("""COMPUTED_VALUE"""),1.5)</f>
        <v>1.5</v>
      </c>
      <c r="O798" s="30">
        <f>IFERROR(__xludf.DUMMYFUNCTION("""COMPUTED_VALUE"""),295.0763888888889)</f>
        <v>295.0763889</v>
      </c>
      <c r="P798" s="30">
        <f>IFERROR(__xludf.DUMMYFUNCTION("""COMPUTED_VALUE"""),0.8055555555555557)</f>
        <v>0.8055555556</v>
      </c>
      <c r="Q798" s="30">
        <f>IFERROR(__xludf.DUMMYFUNCTION("""COMPUTED_VALUE"""),0.4305555555555555)</f>
        <v>0.4305555556</v>
      </c>
      <c r="R798" s="30">
        <f>IFERROR(__xludf.DUMMYFUNCTION("""COMPUTED_VALUE"""),0.7569444444444443)</f>
        <v>0.7569444444</v>
      </c>
      <c r="S798" s="30">
        <f>IFERROR(__xludf.DUMMYFUNCTION("""COMPUTED_VALUE"""),2.263888888888889)</f>
        <v>2.263888889</v>
      </c>
      <c r="T798" s="30">
        <f>IFERROR(__xludf.DUMMYFUNCTION("""COMPUTED_VALUE"""),292.9718094685565)</f>
        <v>292.9718095</v>
      </c>
      <c r="U798" s="30">
        <f>IFERROR(__xludf.DUMMYFUNCTION("""COMPUTED_VALUE"""),0.7651164782992237)</f>
        <v>0.7651164783</v>
      </c>
      <c r="V798" s="30">
        <f>IFERROR(__xludf.DUMMYFUNCTION("""COMPUTED_VALUE"""),0.45169499572325494)</f>
        <v>0.4516949957</v>
      </c>
      <c r="W798" s="30">
        <f>IFERROR(__xludf.DUMMYFUNCTION("""COMPUTED_VALUE"""),0.8679783851286249)</f>
        <v>0.8679783851</v>
      </c>
      <c r="X798" s="30">
        <f>IFERROR(__xludf.DUMMYFUNCTION("""COMPUTED_VALUE"""),2.059827543787911)</f>
        <v>2.059827544</v>
      </c>
      <c r="Y798" s="30">
        <f>IFERROR(__xludf.DUMMYFUNCTION("""COMPUTED_VALUE"""),312.74556715193404)</f>
        <v>312.7455672</v>
      </c>
      <c r="Z798" s="30">
        <f>IFERROR(__xludf.DUMMYFUNCTION("""COMPUTED_VALUE"""),0.9013991790405047)</f>
        <v>0.901399179</v>
      </c>
      <c r="AA798" s="30">
        <f>IFERROR(__xludf.DUMMYFUNCTION("""COMPUTED_VALUE"""),0.5522386904106608)</f>
        <v>0.5522386904</v>
      </c>
      <c r="AB798" s="30">
        <f>IFERROR(__xludf.DUMMYFUNCTION("""COMPUTED_VALUE"""),0.8670065249168474)</f>
        <v>0.8670065249</v>
      </c>
      <c r="AC798" s="30">
        <f>IFERROR(__xludf.DUMMYFUNCTION("""COMPUTED_VALUE"""),2.173701100435989)</f>
        <v>2.1737011</v>
      </c>
      <c r="AD798" s="30">
        <f>IFERROR(__xludf.DUMMYFUNCTION("""COMPUTED_VALUE"""),0.6091213433808759)</f>
        <v>0.6091213434</v>
      </c>
      <c r="AE798" s="30">
        <f>IFERROR(__xludf.DUMMYFUNCTION("""COMPUTED_VALUE"""),0.554693205436714)</f>
        <v>0.5546932054</v>
      </c>
      <c r="AF798" s="30">
        <f>IFERROR(__xludf.DUMMYFUNCTION("""COMPUTED_VALUE"""),0.4527027974336473)</f>
        <v>0.4527027974</v>
      </c>
      <c r="AG798" s="30">
        <f>IFERROR(__xludf.DUMMYFUNCTION("""COMPUTED_VALUE"""),0.6728130833724458)</f>
        <v>0.6728130834</v>
      </c>
      <c r="AH798" s="30">
        <f>IFERROR(__xludf.DUMMYFUNCTION("""COMPUTED_VALUE"""),0.6900672772807347)</f>
        <v>0.6900672773</v>
      </c>
      <c r="AI798" s="30">
        <f>IFERROR(__xludf.DUMMYFUNCTION("""COMPUTED_VALUE"""),1.0071835560702924)</f>
        <v>1.007183556</v>
      </c>
      <c r="AJ798" s="30">
        <f>IFERROR(__xludf.DUMMYFUNCTION("""COMPUTED_VALUE"""),1.0528534914660628)</f>
        <v>1.052853491</v>
      </c>
      <c r="AK798" s="30">
        <f>IFERROR(__xludf.DUMMYFUNCTION("""COMPUTED_VALUE"""),0.9531997468029264)</f>
        <v>0.9531997468</v>
      </c>
      <c r="AL798" s="30">
        <f>IFERROR(__xludf.DUMMYFUNCTION("""COMPUTED_VALUE"""),0.8720775279816138)</f>
        <v>0.872077528</v>
      </c>
      <c r="AM798" s="30">
        <f>IFERROR(__xludf.DUMMYFUNCTION("""COMPUTED_VALUE"""),1.0990671989586662)</f>
        <v>1.099067199</v>
      </c>
      <c r="AN798" s="30">
        <f>IFERROR(__xludf.DUMMYFUNCTION("""COMPUTED_VALUE"""),0.6858137954180166)</f>
        <v>0.6858137954</v>
      </c>
      <c r="AO798" s="30">
        <f>IFERROR(__xludf.DUMMYFUNCTION("""COMPUTED_VALUE"""),0.6730024591323897)</f>
        <v>0.6730024591</v>
      </c>
      <c r="AP798" s="30">
        <f>IFERROR(__xludf.DUMMYFUNCTION("""COMPUTED_VALUE"""),0.5948825832674244)</f>
        <v>0.5948825833</v>
      </c>
      <c r="AQ798" s="30">
        <f>IFERROR(__xludf.DUMMYFUNCTION("""COMPUTED_VALUE"""),0.7400397229393868)</f>
        <v>0.7400397229</v>
      </c>
      <c r="AR798" s="30">
        <f>IFERROR(__xludf.DUMMYFUNCTION("""COMPUTED_VALUE"""),0.7855123603441332)</f>
        <v>0.7855123603</v>
      </c>
      <c r="AS798" s="30">
        <f>IFERROR(__xludf.DUMMYFUNCTION("""COMPUTED_VALUE"""),47.0)</f>
        <v>47</v>
      </c>
      <c r="AT798" s="30">
        <f>IFERROR(__xludf.DUMMYFUNCTION("""COMPUTED_VALUE"""),0.6942637801494581)</f>
        <v>0.6942637801</v>
      </c>
      <c r="AU798" s="30">
        <f>IFERROR(__xludf.DUMMYFUNCTION("""COMPUTED_VALUE"""),0.5728661217943789)</f>
        <v>0.5728661218</v>
      </c>
      <c r="AV798" s="32">
        <f>IFERROR(__xludf.DUMMYFUNCTION("""COMPUTED_VALUE"""),27.90363875095546)</f>
        <v>27.90363875</v>
      </c>
      <c r="AW798" s="32">
        <f>IFERROR(__xludf.DUMMYFUNCTION("""COMPUTED_VALUE"""),-5.3082107928768325)</f>
        <v>-5.308210793</v>
      </c>
      <c r="AX798" s="32">
        <f>IFERROR(__xludf.DUMMYFUNCTION("""COMPUTED_VALUE"""),13.084138009518036)</f>
        <v>13.08413801</v>
      </c>
      <c r="AY798" s="32">
        <f>IFERROR(__xludf.DUMMYFUNCTION("""COMPUTED_VALUE"""),-14.308849241635635)</f>
        <v>-14.30884924</v>
      </c>
      <c r="AZ798" s="30">
        <f>IFERROR(__xludf.DUMMYFUNCTION("""COMPUTED_VALUE"""),9.000638448758803)</f>
        <v>9.000638449</v>
      </c>
      <c r="BA798" s="30">
        <f>IFERROR(__xludf.DUMMYFUNCTION("""COMPUTED_VALUE"""),4000.0)</f>
        <v>4000</v>
      </c>
    </row>
    <row r="799">
      <c r="A799" s="71" t="str">
        <f>IFERROR(__xludf.DUMMYFUNCTION("""COMPUTED_VALUE"""),"Amateur")</f>
        <v>Amateur</v>
      </c>
      <c r="B799" s="71" t="str">
        <f>IFERROR(__xludf.DUMMYFUNCTION("""COMPUTED_VALUE"""),"RSC006022")</f>
        <v>RSC006022</v>
      </c>
      <c r="C799" s="30" t="str">
        <f>IFERROR(__xludf.DUMMYFUNCTION("""COMPUTED_VALUE"""),"N0MrThomasMn")</f>
        <v>N0MrThomasMn</v>
      </c>
      <c r="D799" s="30"/>
      <c r="E799" s="30">
        <f>IFERROR(__xludf.DUMMYFUNCTION("""COMPUTED_VALUE"""),4.0)</f>
        <v>4</v>
      </c>
      <c r="F799" s="30">
        <f>IFERROR(__xludf.DUMMYFUNCTION("""COMPUTED_VALUE"""),0.0)</f>
        <v>0</v>
      </c>
      <c r="G799" s="42">
        <f>IFERROR(__xludf.DUMMYFUNCTION("""COMPUTED_VALUE"""),4.0)</f>
        <v>4</v>
      </c>
      <c r="H799" s="42">
        <f>IFERROR(__xludf.DUMMYFUNCTION("""COMPUTED_VALUE"""),0.0)</f>
        <v>0</v>
      </c>
      <c r="I799" s="42">
        <f>IFERROR(__xludf.DUMMYFUNCTION("""COMPUTED_VALUE"""),0.6)</f>
        <v>0.6</v>
      </c>
      <c r="J799" s="30">
        <f>IFERROR(__xludf.DUMMYFUNCTION("""COMPUTED_VALUE"""),233.0)</f>
        <v>233</v>
      </c>
      <c r="K799" s="30">
        <f>IFERROR(__xludf.DUMMYFUNCTION("""COMPUTED_VALUE"""),0.75)</f>
        <v>0.75</v>
      </c>
      <c r="L799" s="30">
        <f>IFERROR(__xludf.DUMMYFUNCTION("""COMPUTED_VALUE"""),0.25)</f>
        <v>0.25</v>
      </c>
      <c r="M799" s="30">
        <f>IFERROR(__xludf.DUMMYFUNCTION("""COMPUTED_VALUE"""),0.5)</f>
        <v>0.5</v>
      </c>
      <c r="N799" s="30">
        <f>IFERROR(__xludf.DUMMYFUNCTION("""COMPUTED_VALUE"""),1.25)</f>
        <v>1.25</v>
      </c>
      <c r="O799" s="30">
        <f>IFERROR(__xludf.DUMMYFUNCTION("""COMPUTED_VALUE"""),393.375)</f>
        <v>393.375</v>
      </c>
      <c r="P799" s="30">
        <f>IFERROR(__xludf.DUMMYFUNCTION("""COMPUTED_VALUE"""),1.5208333333333333)</f>
        <v>1.520833333</v>
      </c>
      <c r="Q799" s="30">
        <f>IFERROR(__xludf.DUMMYFUNCTION("""COMPUTED_VALUE"""),1.1041666666666665)</f>
        <v>1.104166667</v>
      </c>
      <c r="R799" s="30">
        <f>IFERROR(__xludf.DUMMYFUNCTION("""COMPUTED_VALUE"""),0.41666666666666663)</f>
        <v>0.4166666667</v>
      </c>
      <c r="S799" s="30">
        <f>IFERROR(__xludf.DUMMYFUNCTION("""COMPUTED_VALUE"""),2.770833333333333)</f>
        <v>2.770833333</v>
      </c>
      <c r="T799" s="30">
        <f>IFERROR(__xludf.DUMMYFUNCTION("""COMPUTED_VALUE"""),280.96254963622806)</f>
        <v>280.9625496</v>
      </c>
      <c r="U799" s="30">
        <f>IFERROR(__xludf.DUMMYFUNCTION("""COMPUTED_VALUE"""),0.6793437786117072)</f>
        <v>0.6793437786</v>
      </c>
      <c r="V799" s="30">
        <f>IFERROR(__xludf.DUMMYFUNCTION("""COMPUTED_VALUE"""),0.4954303831298046)</f>
        <v>0.4954303831</v>
      </c>
      <c r="W799" s="30">
        <f>IFERROR(__xludf.DUMMYFUNCTION("""COMPUTED_VALUE"""),0.7581161550821645)</f>
        <v>0.7581161551</v>
      </c>
      <c r="X799" s="30">
        <f>IFERROR(__xludf.DUMMYFUNCTION("""COMPUTED_VALUE"""),1.9796300848755009)</f>
        <v>1.979630085</v>
      </c>
      <c r="Y799" s="30">
        <f>IFERROR(__xludf.DUMMYFUNCTION("""COMPUTED_VALUE"""),296.9697794766497)</f>
        <v>296.9697795</v>
      </c>
      <c r="Z799" s="30">
        <f>IFERROR(__xludf.DUMMYFUNCTION("""COMPUTED_VALUE"""),0.7559483618444434)</f>
        <v>0.7559483618</v>
      </c>
      <c r="AA799" s="30">
        <f>IFERROR(__xludf.DUMMYFUNCTION("""COMPUTED_VALUE"""),0.43596530828626723)</f>
        <v>0.4359653083</v>
      </c>
      <c r="AB799" s="30">
        <f>IFERROR(__xludf.DUMMYFUNCTION("""COMPUTED_VALUE"""),0.9214803576353586)</f>
        <v>0.9214803576</v>
      </c>
      <c r="AC799" s="30">
        <f>IFERROR(__xludf.DUMMYFUNCTION("""COMPUTED_VALUE"""),2.0175637504102175)</f>
        <v>2.01756375</v>
      </c>
      <c r="AD799" s="30">
        <f>IFERROR(__xludf.DUMMYFUNCTION("""COMPUTED_VALUE"""),0.7845916187519695)</f>
        <v>0.7845916188</v>
      </c>
      <c r="AE799" s="30">
        <f>IFERROR(__xludf.DUMMYFUNCTION("""COMPUTED_VALUE"""),0.992131259032125)</f>
        <v>0.992131259</v>
      </c>
      <c r="AF799" s="30">
        <f>IFERROR(__xludf.DUMMYFUNCTION("""COMPUTED_VALUE"""),0.5734401229830033)</f>
        <v>0.573440123</v>
      </c>
      <c r="AG799" s="30">
        <f>IFERROR(__xludf.DUMMYFUNCTION("""COMPUTED_VALUE"""),0.5426051633732776)</f>
        <v>0.5426051634</v>
      </c>
      <c r="AH799" s="30">
        <f>IFERROR(__xludf.DUMMYFUNCTION("""COMPUTED_VALUE"""),0.6195591092206361)</f>
        <v>0.6195591092</v>
      </c>
      <c r="AI799" s="30">
        <f>IFERROR(__xludf.DUMMYFUNCTION("""COMPUTED_VALUE"""),1.4000976304824833)</f>
        <v>1.40009763</v>
      </c>
      <c r="AJ799" s="30">
        <f>IFERROR(__xludf.DUMMYFUNCTION("""COMPUTED_VALUE"""),2.238680004461477)</f>
        <v>2.238680004</v>
      </c>
      <c r="AK799" s="30">
        <f>IFERROR(__xludf.DUMMYFUNCTION("""COMPUTED_VALUE"""),2.228701961497123)</f>
        <v>2.228701961</v>
      </c>
      <c r="AL799" s="30">
        <f>IFERROR(__xludf.DUMMYFUNCTION("""COMPUTED_VALUE"""),0.5496079510685383)</f>
        <v>0.5496079511</v>
      </c>
      <c r="AM799" s="30">
        <f>IFERROR(__xludf.DUMMYFUNCTION("""COMPUTED_VALUE"""),1.399672269330859)</f>
        <v>1.399672269</v>
      </c>
      <c r="AN799" s="30">
        <f>IFERROR(__xludf.DUMMYFUNCTION("""COMPUTED_VALUE"""),0.8388168731359468)</f>
        <v>0.8388168731</v>
      </c>
      <c r="AO799" s="30">
        <f>IFERROR(__xludf.DUMMYFUNCTION("""COMPUTED_VALUE"""),1.0095036886985846)</f>
        <v>1.009503689</v>
      </c>
      <c r="AP799" s="30">
        <f>IFERROR(__xludf.DUMMYFUNCTION("""COMPUTED_VALUE"""),0.5948825832674244)</f>
        <v>0.5948825833</v>
      </c>
      <c r="AQ799" s="30">
        <f>IFERROR(__xludf.DUMMYFUNCTION("""COMPUTED_VALUE"""),0.6343197625194744)</f>
        <v>0.6343197625</v>
      </c>
      <c r="AR799" s="30">
        <f>IFERROR(__xludf.DUMMYFUNCTION("""COMPUTED_VALUE"""),0.654593633620111)</f>
        <v>0.6545936336</v>
      </c>
      <c r="AS799" s="30">
        <f>IFERROR(__xludf.DUMMYFUNCTION("""COMPUTED_VALUE"""),12.0)</f>
        <v>12</v>
      </c>
      <c r="AT799" s="30">
        <f>IFERROR(__xludf.DUMMYFUNCTION("""COMPUTED_VALUE"""),0.3209727042004221)</f>
        <v>0.3209727042</v>
      </c>
      <c r="AU799" s="30">
        <f>IFERROR(__xludf.DUMMYFUNCTION("""COMPUTED_VALUE"""),-0.17574718883429435)</f>
        <v>-0.1757471888</v>
      </c>
      <c r="AV799" s="32">
        <f>IFERROR(__xludf.DUMMYFUNCTION("""COMPUTED_VALUE"""),12.59664700100356)</f>
        <v>12.596647</v>
      </c>
      <c r="AW799" s="32">
        <f>IFERROR(__xludf.DUMMYFUNCTION("""COMPUTED_VALUE"""),-14.856776062571216)</f>
        <v>-14.85677606</v>
      </c>
      <c r="AX799" s="32">
        <f>IFERROR(__xludf.DUMMYFUNCTION("""COMPUTED_VALUE"""),25.506400930179215)</f>
        <v>25.50640093</v>
      </c>
      <c r="AY799" s="32">
        <f>IFERROR(__xludf.DUMMYFUNCTION("""COMPUTED_VALUE"""),-6.112235571103329)</f>
        <v>-6.112235571</v>
      </c>
      <c r="AZ799" s="30">
        <f>IFERROR(__xludf.DUMMYFUNCTION("""COMPUTED_VALUE"""),8.744540491467887)</f>
        <v>8.744540491</v>
      </c>
      <c r="BA799" s="30">
        <f>IFERROR(__xludf.DUMMYFUNCTION("""COMPUTED_VALUE"""),4000.0)</f>
        <v>4000</v>
      </c>
    </row>
    <row r="800">
      <c r="A800" s="71" t="str">
        <f>IFERROR(__xludf.DUMMYFUNCTION("""COMPUTED_VALUE"""),"Amateur")</f>
        <v>Amateur</v>
      </c>
      <c r="B800" s="71" t="str">
        <f>IFERROR(__xludf.DUMMYFUNCTION("""COMPUTED_VALUE"""),"RSC000146")</f>
        <v>RSC000146</v>
      </c>
      <c r="C800" s="30" t="str">
        <f>IFERROR(__xludf.DUMMYFUNCTION("""COMPUTED_VALUE"""),"EtherealDoom989")</f>
        <v>EtherealDoom989</v>
      </c>
      <c r="D800" s="30" t="str">
        <f>IFERROR(__xludf.DUMMYFUNCTION("""COMPUTED_VALUE"""),"Surprise")</f>
        <v>Surprise</v>
      </c>
      <c r="E800" s="30">
        <f>IFERROR(__xludf.DUMMYFUNCTION("""COMPUTED_VALUE"""),22.0)</f>
        <v>22</v>
      </c>
      <c r="F800" s="30">
        <f>IFERROR(__xludf.DUMMYFUNCTION("""COMPUTED_VALUE"""),11.0)</f>
        <v>11</v>
      </c>
      <c r="G800" s="42">
        <f>IFERROR(__xludf.DUMMYFUNCTION("""COMPUTED_VALUE"""),11.0)</f>
        <v>11</v>
      </c>
      <c r="H800" s="42">
        <f>IFERROR(__xludf.DUMMYFUNCTION("""COMPUTED_VALUE"""),0.5)</f>
        <v>0.5</v>
      </c>
      <c r="I800" s="42">
        <f>IFERROR(__xludf.DUMMYFUNCTION("""COMPUTED_VALUE"""),0.4)</f>
        <v>0.4</v>
      </c>
      <c r="J800" s="30">
        <f>IFERROR(__xludf.DUMMYFUNCTION("""COMPUTED_VALUE"""),191.9090909090909)</f>
        <v>191.9090909</v>
      </c>
      <c r="K800" s="30">
        <f>IFERROR(__xludf.DUMMYFUNCTION("""COMPUTED_VALUE"""),0.5454545454545454)</f>
        <v>0.5454545455</v>
      </c>
      <c r="L800" s="30">
        <f>IFERROR(__xludf.DUMMYFUNCTION("""COMPUTED_VALUE"""),0.2727272727272727)</f>
        <v>0.2727272727</v>
      </c>
      <c r="M800" s="30">
        <f>IFERROR(__xludf.DUMMYFUNCTION("""COMPUTED_VALUE"""),0.18181818181818182)</f>
        <v>0.1818181818</v>
      </c>
      <c r="N800" s="30">
        <f>IFERROR(__xludf.DUMMYFUNCTION("""COMPUTED_VALUE"""),1.3636363636363635)</f>
        <v>1.363636364</v>
      </c>
      <c r="O800" s="30">
        <f>IFERROR(__xludf.DUMMYFUNCTION("""COMPUTED_VALUE"""),284.3371212121212)</f>
        <v>284.3371212</v>
      </c>
      <c r="P800" s="30">
        <f>IFERROR(__xludf.DUMMYFUNCTION("""COMPUTED_VALUE"""),0.7878787878787878)</f>
        <v>0.7878787879</v>
      </c>
      <c r="Q800" s="30">
        <f>IFERROR(__xludf.DUMMYFUNCTION("""COMPUTED_VALUE"""),0.40909090909090917)</f>
        <v>0.4090909091</v>
      </c>
      <c r="R800" s="30">
        <f>IFERROR(__xludf.DUMMYFUNCTION("""COMPUTED_VALUE"""),0.7613636363636364)</f>
        <v>0.7613636364</v>
      </c>
      <c r="S800" s="30">
        <f>IFERROR(__xludf.DUMMYFUNCTION("""COMPUTED_VALUE"""),1.8712121212121209)</f>
        <v>1.871212121</v>
      </c>
      <c r="T800" s="30">
        <f>IFERROR(__xludf.DUMMYFUNCTION("""COMPUTED_VALUE"""),299.6755557749123)</f>
        <v>299.6755558</v>
      </c>
      <c r="U800" s="30">
        <f>IFERROR(__xludf.DUMMYFUNCTION("""COMPUTED_VALUE"""),0.7986250333251406)</f>
        <v>0.7986250333</v>
      </c>
      <c r="V800" s="30">
        <f>IFERROR(__xludf.DUMMYFUNCTION("""COMPUTED_VALUE"""),0.4671772464198831)</f>
        <v>0.4671772464</v>
      </c>
      <c r="W800" s="30">
        <f>IFERROR(__xludf.DUMMYFUNCTION("""COMPUTED_VALUE"""),0.8682094385522319)</f>
        <v>0.8682094386</v>
      </c>
      <c r="X800" s="30">
        <f>IFERROR(__xludf.DUMMYFUNCTION("""COMPUTED_VALUE"""),2.021700235218097)</f>
        <v>2.021700235</v>
      </c>
      <c r="Y800" s="30">
        <f>IFERROR(__xludf.DUMMYFUNCTION("""COMPUTED_VALUE"""),298.76625985066823)</f>
        <v>298.7662599</v>
      </c>
      <c r="Z800" s="30">
        <f>IFERROR(__xludf.DUMMYFUNCTION("""COMPUTED_VALUE"""),0.8178064776013051)</f>
        <v>0.8178064776</v>
      </c>
      <c r="AA800" s="30">
        <f>IFERROR(__xludf.DUMMYFUNCTION("""COMPUTED_VALUE"""),0.4511450482034654)</f>
        <v>0.4511450482</v>
      </c>
      <c r="AB800" s="30">
        <f>IFERROR(__xludf.DUMMYFUNCTION("""COMPUTED_VALUE"""),0.8304757574390265)</f>
        <v>0.8304757574</v>
      </c>
      <c r="AC800" s="30">
        <f>IFERROR(__xludf.DUMMYFUNCTION("""COMPUTED_VALUE"""),2.140562887680806)</f>
        <v>2.140562888</v>
      </c>
      <c r="AD800" s="30">
        <f>IFERROR(__xludf.DUMMYFUNCTION("""COMPUTED_VALUE"""),0.6423385659579246)</f>
        <v>0.642338566</v>
      </c>
      <c r="AE800" s="30">
        <f>IFERROR(__xludf.DUMMYFUNCTION("""COMPUTED_VALUE"""),0.6669726400974584)</f>
        <v>0.6669726401</v>
      </c>
      <c r="AF800" s="30">
        <f>IFERROR(__xludf.DUMMYFUNCTION("""COMPUTED_VALUE"""),0.6045223677247884)</f>
        <v>0.6045223677</v>
      </c>
      <c r="AG800" s="30">
        <f>IFERROR(__xludf.DUMMYFUNCTION("""COMPUTED_VALUE"""),0.2189325578616073)</f>
        <v>0.2189325579</v>
      </c>
      <c r="AH800" s="30">
        <f>IFERROR(__xludf.DUMMYFUNCTION("""COMPUTED_VALUE"""),0.6370456908714306)</f>
        <v>0.6370456909</v>
      </c>
      <c r="AI800" s="30">
        <f>IFERROR(__xludf.DUMMYFUNCTION("""COMPUTED_VALUE"""),0.9488165308540818)</f>
        <v>0.9488165309</v>
      </c>
      <c r="AJ800" s="30">
        <f>IFERROR(__xludf.DUMMYFUNCTION("""COMPUTED_VALUE"""),0.9865440663666529)</f>
        <v>0.9865440664</v>
      </c>
      <c r="AK800" s="30">
        <f>IFERROR(__xludf.DUMMYFUNCTION("""COMPUTED_VALUE"""),0.8756653116689508)</f>
        <v>0.8756653117</v>
      </c>
      <c r="AL800" s="30">
        <f>IFERROR(__xludf.DUMMYFUNCTION("""COMPUTED_VALUE"""),0.8769354519264794)</f>
        <v>0.8769354519</v>
      </c>
      <c r="AM800" s="30">
        <f>IFERROR(__xludf.DUMMYFUNCTION("""COMPUTED_VALUE"""),0.925563586834256)</f>
        <v>0.9255635868</v>
      </c>
      <c r="AN800" s="30">
        <f>IFERROR(__xludf.DUMMYFUNCTION("""COMPUTED_VALUE"""),0.6908866247327287)</f>
        <v>0.6908866247</v>
      </c>
      <c r="AO800" s="30">
        <f>IFERROR(__xludf.DUMMYFUNCTION("""COMPUTED_VALUE"""),0.7341845008716978)</f>
        <v>0.7341845009</v>
      </c>
      <c r="AP800" s="30">
        <f>IFERROR(__xludf.DUMMYFUNCTION("""COMPUTED_VALUE"""),0.6489628181099175)</f>
        <v>0.6489628181</v>
      </c>
      <c r="AQ800" s="30">
        <f>IFERROR(__xludf.DUMMYFUNCTION("""COMPUTED_VALUE"""),0.23066173182526342)</f>
        <v>0.2306617318</v>
      </c>
      <c r="AR800" s="30">
        <f>IFERROR(__xludf.DUMMYFUNCTION("""COMPUTED_VALUE"""),0.7141021457673937)</f>
        <v>0.7141021458</v>
      </c>
      <c r="AS800" s="30">
        <f>IFERROR(__xludf.DUMMYFUNCTION("""COMPUTED_VALUE"""),94.0)</f>
        <v>94</v>
      </c>
      <c r="AT800" s="30">
        <f>IFERROR(__xludf.DUMMYFUNCTION("""COMPUTED_VALUE"""),0.7348138639025179)</f>
        <v>0.7348138639</v>
      </c>
      <c r="AU800" s="30">
        <f>IFERROR(__xludf.DUMMYFUNCTION("""COMPUTED_VALUE"""),0.8146652440292048)</f>
        <v>0.814665244</v>
      </c>
      <c r="AV800" s="32">
        <f>IFERROR(__xludf.DUMMYFUNCTION("""COMPUTED_VALUE"""),32.84773621308296)</f>
        <v>32.84773621</v>
      </c>
      <c r="AW800" s="32">
        <f>IFERROR(__xludf.DUMMYFUNCTION("""COMPUTED_VALUE"""),-4.059627741226624)</f>
        <v>-4.059627741</v>
      </c>
      <c r="AX800" s="32">
        <f>IFERROR(__xludf.DUMMYFUNCTION("""COMPUTED_VALUE"""),16.8885635029255)</f>
        <v>16.8885635</v>
      </c>
      <c r="AY800" s="32">
        <f>IFERROR(__xludf.DUMMYFUNCTION("""COMPUTED_VALUE"""),-10.790328885811565)</f>
        <v>-10.79032889</v>
      </c>
      <c r="AZ800" s="30">
        <f>IFERROR(__xludf.DUMMYFUNCTION("""COMPUTED_VALUE"""),6.730701144584941)</f>
        <v>6.730701145</v>
      </c>
      <c r="BA800" s="30">
        <f>IFERROR(__xludf.DUMMYFUNCTION("""COMPUTED_VALUE"""),4000.0)</f>
        <v>4000</v>
      </c>
    </row>
    <row r="801">
      <c r="A801" s="71" t="str">
        <f>IFERROR(__xludf.DUMMYFUNCTION("""COMPUTED_VALUE"""),"Amateur")</f>
        <v>Amateur</v>
      </c>
      <c r="B801" s="71" t="str">
        <f>IFERROR(__xludf.DUMMYFUNCTION("""COMPUTED_VALUE"""),"RSC007306")</f>
        <v>RSC007306</v>
      </c>
      <c r="C801" s="30" t="str">
        <f>IFERROR(__xludf.DUMMYFUNCTION("""COMPUTED_VALUE"""),"SAMCRO-8640")</f>
        <v>SAMCRO-8640</v>
      </c>
      <c r="D801" s="30"/>
      <c r="E801" s="30">
        <f>IFERROR(__xludf.DUMMYFUNCTION("""COMPUTED_VALUE"""),8.0)</f>
        <v>8</v>
      </c>
      <c r="F801" s="30">
        <f>IFERROR(__xludf.DUMMYFUNCTION("""COMPUTED_VALUE"""),5.0)</f>
        <v>5</v>
      </c>
      <c r="G801" s="42">
        <f>IFERROR(__xludf.DUMMYFUNCTION("""COMPUTED_VALUE"""),3.0)</f>
        <v>3</v>
      </c>
      <c r="H801" s="42">
        <f>IFERROR(__xludf.DUMMYFUNCTION("""COMPUTED_VALUE"""),0.625)</f>
        <v>0.625</v>
      </c>
      <c r="I801" s="42">
        <f>IFERROR(__xludf.DUMMYFUNCTION("""COMPUTED_VALUE"""),0.8125)</f>
        <v>0.8125</v>
      </c>
      <c r="J801" s="30">
        <f>IFERROR(__xludf.DUMMYFUNCTION("""COMPUTED_VALUE"""),333.5)</f>
        <v>333.5</v>
      </c>
      <c r="K801" s="30">
        <f>IFERROR(__xludf.DUMMYFUNCTION("""COMPUTED_VALUE"""),1.625)</f>
        <v>1.625</v>
      </c>
      <c r="L801" s="30">
        <f>IFERROR(__xludf.DUMMYFUNCTION("""COMPUTED_VALUE"""),0.25)</f>
        <v>0.25</v>
      </c>
      <c r="M801" s="30">
        <f>IFERROR(__xludf.DUMMYFUNCTION("""COMPUTED_VALUE"""),0.5)</f>
        <v>0.5</v>
      </c>
      <c r="N801" s="30">
        <f>IFERROR(__xludf.DUMMYFUNCTION("""COMPUTED_VALUE"""),2.0)</f>
        <v>2</v>
      </c>
      <c r="O801" s="30">
        <f>IFERROR(__xludf.DUMMYFUNCTION("""COMPUTED_VALUE"""),297.8229166666667)</f>
        <v>297.8229167</v>
      </c>
      <c r="P801" s="30">
        <f>IFERROR(__xludf.DUMMYFUNCTION("""COMPUTED_VALUE"""),0.9062500000000001)</f>
        <v>0.90625</v>
      </c>
      <c r="Q801" s="30">
        <f>IFERROR(__xludf.DUMMYFUNCTION("""COMPUTED_VALUE"""),0.53125)</f>
        <v>0.53125</v>
      </c>
      <c r="R801" s="30">
        <f>IFERROR(__xludf.DUMMYFUNCTION("""COMPUTED_VALUE"""),0.8229166666666666)</f>
        <v>0.8229166667</v>
      </c>
      <c r="S801" s="30">
        <f>IFERROR(__xludf.DUMMYFUNCTION("""COMPUTED_VALUE"""),1.9270833333333333)</f>
        <v>1.927083333</v>
      </c>
      <c r="T801" s="30">
        <f>IFERROR(__xludf.DUMMYFUNCTION("""COMPUTED_VALUE"""),295.5121166631634)</f>
        <v>295.5121167</v>
      </c>
      <c r="U801" s="30">
        <f>IFERROR(__xludf.DUMMYFUNCTION("""COMPUTED_VALUE"""),0.7939767645185927)</f>
        <v>0.7939767645</v>
      </c>
      <c r="V801" s="30">
        <f>IFERROR(__xludf.DUMMYFUNCTION("""COMPUTED_VALUE"""),0.49691710456962906)</f>
        <v>0.4969171046</v>
      </c>
      <c r="W801" s="30">
        <f>IFERROR(__xludf.DUMMYFUNCTION("""COMPUTED_VALUE"""),0.8202053276851148)</f>
        <v>0.8202053277</v>
      </c>
      <c r="X801" s="30">
        <f>IFERROR(__xludf.DUMMYFUNCTION("""COMPUTED_VALUE"""),2.0667949464222466)</f>
        <v>2.066794946</v>
      </c>
      <c r="Y801" s="30">
        <f>IFERROR(__xludf.DUMMYFUNCTION("""COMPUTED_VALUE"""),298.01212547922313)</f>
        <v>298.0121255</v>
      </c>
      <c r="Z801" s="30">
        <f>IFERROR(__xludf.DUMMYFUNCTION("""COMPUTED_VALUE"""),0.8208481673491608)</f>
        <v>0.8208481673</v>
      </c>
      <c r="AA801" s="30">
        <f>IFERROR(__xludf.DUMMYFUNCTION("""COMPUTED_VALUE"""),0.46570377356959863)</f>
        <v>0.4657037736</v>
      </c>
      <c r="AB801" s="30">
        <f>IFERROR(__xludf.DUMMYFUNCTION("""COMPUTED_VALUE"""),0.86922270650064)</f>
        <v>0.8692227065</v>
      </c>
      <c r="AC801" s="30">
        <f>IFERROR(__xludf.DUMMYFUNCTION("""COMPUTED_VALUE"""),1.9755183675561188)</f>
        <v>1.975518368</v>
      </c>
      <c r="AD801" s="30">
        <f>IFERROR(__xludf.DUMMYFUNCTION("""COMPUTED_VALUE"""),1.1190819818613422)</f>
        <v>1.119081982</v>
      </c>
      <c r="AE801" s="30">
        <f>IFERROR(__xludf.DUMMYFUNCTION("""COMPUTED_VALUE"""),1.979659655265796)</f>
        <v>1.979659655</v>
      </c>
      <c r="AF801" s="30">
        <f>IFERROR(__xludf.DUMMYFUNCTION("""COMPUTED_VALUE"""),0.5368219331438119)</f>
        <v>0.5368219331</v>
      </c>
      <c r="AG801" s="30">
        <f>IFERROR(__xludf.DUMMYFUNCTION("""COMPUTED_VALUE"""),0.5752265745713487)</f>
        <v>0.5752265746</v>
      </c>
      <c r="AH801" s="30">
        <f>IFERROR(__xludf.DUMMYFUNCTION("""COMPUTED_VALUE"""),1.0123925106675506)</f>
        <v>1.012392511</v>
      </c>
      <c r="AI801" s="30">
        <f>IFERROR(__xludf.DUMMYFUNCTION("""COMPUTED_VALUE"""),1.0078196455346609)</f>
        <v>1.007819646</v>
      </c>
      <c r="AJ801" s="30">
        <f>IFERROR(__xludf.DUMMYFUNCTION("""COMPUTED_VALUE"""),1.141406197887266)</f>
        <v>1.141406198</v>
      </c>
      <c r="AK801" s="30">
        <f>IFERROR(__xludf.DUMMYFUNCTION("""COMPUTED_VALUE"""),1.069091796427708)</f>
        <v>1.069091796</v>
      </c>
      <c r="AL801" s="30">
        <f>IFERROR(__xludf.DUMMYFUNCTION("""COMPUTED_VALUE"""),1.0033056832113052)</f>
        <v>1.003305683</v>
      </c>
      <c r="AM801" s="30">
        <f>IFERROR(__xludf.DUMMYFUNCTION("""COMPUTED_VALUE"""),0.9324018024474257)</f>
        <v>0.9324018024</v>
      </c>
      <c r="AN801" s="30">
        <f>IFERROR(__xludf.DUMMYFUNCTION("""COMPUTED_VALUE"""),1.2006241510336406)</f>
        <v>1.200624151</v>
      </c>
      <c r="AO801" s="30">
        <f>IFERROR(__xludf.DUMMYFUNCTION("""COMPUTED_VALUE"""),2.1872579921802666)</f>
        <v>2.187257992</v>
      </c>
      <c r="AP801" s="30">
        <f>IFERROR(__xludf.DUMMYFUNCTION("""COMPUTED_VALUE"""),0.5948825832674244)</f>
        <v>0.5948825833</v>
      </c>
      <c r="AQ801" s="30">
        <f>IFERROR(__xludf.DUMMYFUNCTION("""COMPUTED_VALUE"""),0.6343197625194744)</f>
        <v>0.6343197625</v>
      </c>
      <c r="AR801" s="30">
        <f>IFERROR(__xludf.DUMMYFUNCTION("""COMPUTED_VALUE"""),1.0473498137921775)</f>
        <v>1.047349814</v>
      </c>
      <c r="AS801" s="30">
        <f>IFERROR(__xludf.DUMMYFUNCTION("""COMPUTED_VALUE"""),35.0)</f>
        <v>35</v>
      </c>
      <c r="AT801" s="30">
        <f>IFERROR(__xludf.DUMMYFUNCTION("""COMPUTED_VALUE"""),0.6973621750239064)</f>
        <v>0.697362175</v>
      </c>
      <c r="AU801" s="30">
        <f>IFERROR(__xludf.DUMMYFUNCTION("""COMPUTED_VALUE"""),2.533026509449772)</f>
        <v>2.533026509</v>
      </c>
      <c r="AV801" s="32">
        <f>IFERROR(__xludf.DUMMYFUNCTION("""COMPUTED_VALUE"""),67.9832879589379)</f>
        <v>67.98328796</v>
      </c>
      <c r="AW801" s="32">
        <f>IFERROR(__xludf.DUMMYFUNCTION("""COMPUTED_VALUE"""),4.237856651014692)</f>
        <v>4.237856651</v>
      </c>
      <c r="AX801" s="32">
        <f>IFERROR(__xludf.DUMMYFUNCTION("""COMPUTED_VALUE"""),47.80902554614019)</f>
        <v>47.80902555</v>
      </c>
      <c r="AY801" s="32">
        <f>IFERROR(__xludf.DUMMYFUNCTION("""COMPUTED_VALUE"""),-2.150159342160683)</f>
        <v>-2.150159342</v>
      </c>
      <c r="AZ801" s="30">
        <f>IFERROR(__xludf.DUMMYFUNCTION("""COMPUTED_VALUE"""),6.388015993175374)</f>
        <v>6.388015993</v>
      </c>
      <c r="BA801" s="30">
        <f>IFERROR(__xludf.DUMMYFUNCTION("""COMPUTED_VALUE"""),4000.0)</f>
        <v>4000</v>
      </c>
    </row>
    <row r="802">
      <c r="A802" s="71" t="str">
        <f>IFERROR(__xludf.DUMMYFUNCTION("""COMPUTED_VALUE"""),"Amateur")</f>
        <v>Amateur</v>
      </c>
      <c r="B802" s="71" t="str">
        <f>IFERROR(__xludf.DUMMYFUNCTION("""COMPUTED_VALUE"""),"RSC007899")</f>
        <v>RSC007899</v>
      </c>
      <c r="C802" s="30" t="str">
        <f>IFERROR(__xludf.DUMMYFUNCTION("""COMPUTED_VALUE"""),"SeaSpay12")</f>
        <v>SeaSpay12</v>
      </c>
      <c r="D802" s="30" t="str">
        <f>IFERROR(__xludf.DUMMYFUNCTION("""COMPUTED_VALUE"""),"Surprise")</f>
        <v>Surprise</v>
      </c>
      <c r="E802" s="30">
        <f>IFERROR(__xludf.DUMMYFUNCTION("""COMPUTED_VALUE"""),31.0)</f>
        <v>31</v>
      </c>
      <c r="F802" s="30">
        <f>IFERROR(__xludf.DUMMYFUNCTION("""COMPUTED_VALUE"""),18.0)</f>
        <v>18</v>
      </c>
      <c r="G802" s="42">
        <f>IFERROR(__xludf.DUMMYFUNCTION("""COMPUTED_VALUE"""),13.0)</f>
        <v>13</v>
      </c>
      <c r="H802" s="42">
        <f>IFERROR(__xludf.DUMMYFUNCTION("""COMPUTED_VALUE"""),0.5806451612903226)</f>
        <v>0.5806451613</v>
      </c>
      <c r="I802" s="42">
        <f>IFERROR(__xludf.DUMMYFUNCTION("""COMPUTED_VALUE"""),0.367816091954023)</f>
        <v>0.367816092</v>
      </c>
      <c r="J802" s="30">
        <f>IFERROR(__xludf.DUMMYFUNCTION("""COMPUTED_VALUE"""),405.8709677419355)</f>
        <v>405.8709677</v>
      </c>
      <c r="K802" s="30">
        <f>IFERROR(__xludf.DUMMYFUNCTION("""COMPUTED_VALUE"""),1.032258064516129)</f>
        <v>1.032258065</v>
      </c>
      <c r="L802" s="30">
        <f>IFERROR(__xludf.DUMMYFUNCTION("""COMPUTED_VALUE"""),0.45161290322580644)</f>
        <v>0.4516129032</v>
      </c>
      <c r="M802" s="30">
        <f>IFERROR(__xludf.DUMMYFUNCTION("""COMPUTED_VALUE"""),1.3225806451612903)</f>
        <v>1.322580645</v>
      </c>
      <c r="N802" s="30">
        <f>IFERROR(__xludf.DUMMYFUNCTION("""COMPUTED_VALUE"""),2.806451612903226)</f>
        <v>2.806451613</v>
      </c>
      <c r="O802" s="30">
        <f>IFERROR(__xludf.DUMMYFUNCTION("""COMPUTED_VALUE"""),273.80645161290323)</f>
        <v>273.8064516</v>
      </c>
      <c r="P802" s="30">
        <f>IFERROR(__xludf.DUMMYFUNCTION("""COMPUTED_VALUE"""),0.7096774193548389)</f>
        <v>0.7096774194</v>
      </c>
      <c r="Q802" s="30">
        <f>IFERROR(__xludf.DUMMYFUNCTION("""COMPUTED_VALUE"""),0.27956989247311825)</f>
        <v>0.2795698925</v>
      </c>
      <c r="R802" s="30">
        <f>IFERROR(__xludf.DUMMYFUNCTION("""COMPUTED_VALUE"""),0.8817204301075268)</f>
        <v>0.8817204301</v>
      </c>
      <c r="S802" s="30">
        <f>IFERROR(__xludf.DUMMYFUNCTION("""COMPUTED_VALUE"""),1.7526881720430108)</f>
        <v>1.752688172</v>
      </c>
      <c r="T802" s="30">
        <f>IFERROR(__xludf.DUMMYFUNCTION("""COMPUTED_VALUE"""),302.0507169430382)</f>
        <v>302.0507169</v>
      </c>
      <c r="U802" s="30">
        <f>IFERROR(__xludf.DUMMYFUNCTION("""COMPUTED_VALUE"""),0.836384251931782)</f>
        <v>0.8363842519</v>
      </c>
      <c r="V802" s="30">
        <f>IFERROR(__xludf.DUMMYFUNCTION("""COMPUTED_VALUE"""),0.4592557210188966)</f>
        <v>0.459255721</v>
      </c>
      <c r="W802" s="30">
        <f>IFERROR(__xludf.DUMMYFUNCTION("""COMPUTED_VALUE"""),0.8634791088362737)</f>
        <v>0.8634791088</v>
      </c>
      <c r="X802" s="30">
        <f>IFERROR(__xludf.DUMMYFUNCTION("""COMPUTED_VALUE"""),2.0482631288149444)</f>
        <v>2.048263129</v>
      </c>
      <c r="Y802" s="30">
        <f>IFERROR(__xludf.DUMMYFUNCTION("""COMPUTED_VALUE"""),300.65287056482504)</f>
        <v>300.6528706</v>
      </c>
      <c r="Z802" s="30">
        <f>IFERROR(__xludf.DUMMYFUNCTION("""COMPUTED_VALUE"""),0.8339402461373799)</f>
        <v>0.8339402461</v>
      </c>
      <c r="AA802" s="30">
        <f>IFERROR(__xludf.DUMMYFUNCTION("""COMPUTED_VALUE"""),0.47439707345149473)</f>
        <v>0.4743970735</v>
      </c>
      <c r="AB802" s="30">
        <f>IFERROR(__xludf.DUMMYFUNCTION("""COMPUTED_VALUE"""),0.832692469210292)</f>
        <v>0.8326924692</v>
      </c>
      <c r="AC802" s="30">
        <f>IFERROR(__xludf.DUMMYFUNCTION("""COMPUTED_VALUE"""),2.1126371837323203)</f>
        <v>2.112637184</v>
      </c>
      <c r="AD802" s="30">
        <f>IFERROR(__xludf.DUMMYFUNCTION("""COMPUTED_VALUE"""),1.3499653835981718)</f>
        <v>1.349965384</v>
      </c>
      <c r="AE802" s="30">
        <f>IFERROR(__xludf.DUMMYFUNCTION("""COMPUTED_VALUE"""),1.2378081874538513)</f>
        <v>1.237808187</v>
      </c>
      <c r="AF802" s="30">
        <f>IFERROR(__xludf.DUMMYFUNCTION("""COMPUTED_VALUE"""),0.9519723634466773)</f>
        <v>0.9519723634</v>
      </c>
      <c r="AG802" s="30">
        <f>IFERROR(__xludf.DUMMYFUNCTION("""COMPUTED_VALUE"""),1.588318249612126)</f>
        <v>1.58831825</v>
      </c>
      <c r="AH802" s="30">
        <f>IFERROR(__xludf.DUMMYFUNCTION("""COMPUTED_VALUE"""),1.3284115391480371)</f>
        <v>1.328411539</v>
      </c>
      <c r="AI802" s="30">
        <f>IFERROR(__xludf.DUMMYFUNCTION("""COMPUTED_VALUE"""),0.9064916461182863)</f>
        <v>0.9064916461</v>
      </c>
      <c r="AJ802" s="30">
        <f>IFERROR(__xludf.DUMMYFUNCTION("""COMPUTED_VALUE"""),0.848506434352045)</f>
        <v>0.8485064344</v>
      </c>
      <c r="AK802" s="30">
        <f>IFERROR(__xludf.DUMMYFUNCTION("""COMPUTED_VALUE"""),0.6087455848189968)</f>
        <v>0.6087455848</v>
      </c>
      <c r="AL802" s="30">
        <f>IFERROR(__xludf.DUMMYFUNCTION("""COMPUTED_VALUE"""),1.02112537649676)</f>
        <v>1.021125376</v>
      </c>
      <c r="AM802" s="30">
        <f>IFERROR(__xludf.DUMMYFUNCTION("""COMPUTED_VALUE"""),0.8556948310918708)</f>
        <v>0.8556948311</v>
      </c>
      <c r="AN802" s="30">
        <f>IFERROR(__xludf.DUMMYFUNCTION("""COMPUTED_VALUE"""),1.4611648757851976)</f>
        <v>1.461164876</v>
      </c>
      <c r="AO802" s="30">
        <f>IFERROR(__xludf.DUMMYFUNCTION("""COMPUTED_VALUE"""),1.3894244317571915)</f>
        <v>1.389424432</v>
      </c>
      <c r="AP802" s="30">
        <f>IFERROR(__xludf.DUMMYFUNCTION("""COMPUTED_VALUE"""),1.0746266020314763)</f>
        <v>1.074626602</v>
      </c>
      <c r="AQ802" s="30">
        <f>IFERROR(__xludf.DUMMYFUNCTION("""COMPUTED_VALUE"""),1.6778780815031258)</f>
        <v>1.677878082</v>
      </c>
      <c r="AR802" s="30">
        <f>IFERROR(__xludf.DUMMYFUNCTION("""COMPUTED_VALUE"""),1.4696682870954751)</f>
        <v>1.469668287</v>
      </c>
      <c r="AS802" s="30">
        <f>IFERROR(__xludf.DUMMYFUNCTION("""COMPUTED_VALUE"""),212.0)</f>
        <v>212</v>
      </c>
      <c r="AT802" s="30">
        <f>IFERROR(__xludf.DUMMYFUNCTION("""COMPUTED_VALUE"""),0.8993576340001779)</f>
        <v>0.899357634</v>
      </c>
      <c r="AU802" s="30">
        <f>IFERROR(__xludf.DUMMYFUNCTION("""COMPUTED_VALUE"""),3.0551676871086855)</f>
        <v>3.055167687</v>
      </c>
      <c r="AV802" s="32">
        <f>IFERROR(__xludf.DUMMYFUNCTION("""COMPUTED_VALUE"""),78.65957514921408)</f>
        <v>78.65957515</v>
      </c>
      <c r="AW802" s="32">
        <f>IFERROR(__xludf.DUMMYFUNCTION("""COMPUTED_VALUE"""),7.947965902484177)</f>
        <v>7.947965902</v>
      </c>
      <c r="AX802" s="32">
        <f>IFERROR(__xludf.DUMMYFUNCTION("""COMPUTED_VALUE"""),85.76266783178494)</f>
        <v>85.76266783</v>
      </c>
      <c r="AY802" s="32">
        <f>IFERROR(__xludf.DUMMYFUNCTION("""COMPUTED_VALUE"""),13.108596029261314)</f>
        <v>13.10859603</v>
      </c>
      <c r="AZ802" s="30">
        <f>IFERROR(__xludf.DUMMYFUNCTION("""COMPUTED_VALUE"""),5.160630126777137)</f>
        <v>5.160630127</v>
      </c>
      <c r="BA802" s="30">
        <f>IFERROR(__xludf.DUMMYFUNCTION("""COMPUTED_VALUE"""),4000.0)</f>
        <v>4000</v>
      </c>
    </row>
    <row r="803">
      <c r="A803" s="71" t="str">
        <f>IFERROR(__xludf.DUMMYFUNCTION("""COMPUTED_VALUE"""),"Amateur")</f>
        <v>Amateur</v>
      </c>
      <c r="B803" s="71" t="str">
        <f>IFERROR(__xludf.DUMMYFUNCTION("""COMPUTED_VALUE"""),"RSC007220")</f>
        <v>RSC007220</v>
      </c>
      <c r="C803" s="30" t="str">
        <f>IFERROR(__xludf.DUMMYFUNCTION("""COMPUTED_VALUE"""),"maxf")</f>
        <v>maxf</v>
      </c>
      <c r="D803" s="30" t="str">
        <f>IFERROR(__xludf.DUMMYFUNCTION("""COMPUTED_VALUE"""),"Garlic Knots")</f>
        <v>Garlic Knots</v>
      </c>
      <c r="E803" s="30">
        <f>IFERROR(__xludf.DUMMYFUNCTION("""COMPUTED_VALUE"""),30.0)</f>
        <v>30</v>
      </c>
      <c r="F803" s="30">
        <f>IFERROR(__xludf.DUMMYFUNCTION("""COMPUTED_VALUE"""),23.0)</f>
        <v>23</v>
      </c>
      <c r="G803" s="42">
        <f>IFERROR(__xludf.DUMMYFUNCTION("""COMPUTED_VALUE"""),7.0)</f>
        <v>7</v>
      </c>
      <c r="H803" s="42">
        <f>IFERROR(__xludf.DUMMYFUNCTION("""COMPUTED_VALUE"""),0.7666666666666667)</f>
        <v>0.7666666667</v>
      </c>
      <c r="I803" s="42">
        <f>IFERROR(__xludf.DUMMYFUNCTION("""COMPUTED_VALUE"""),0.48)</f>
        <v>0.48</v>
      </c>
      <c r="J803" s="30">
        <f>IFERROR(__xludf.DUMMYFUNCTION("""COMPUTED_VALUE"""),270.46666666666664)</f>
        <v>270.4666667</v>
      </c>
      <c r="K803" s="30">
        <f>IFERROR(__xludf.DUMMYFUNCTION("""COMPUTED_VALUE"""),0.8)</f>
        <v>0.8</v>
      </c>
      <c r="L803" s="30">
        <f>IFERROR(__xludf.DUMMYFUNCTION("""COMPUTED_VALUE"""),0.5333333333333333)</f>
        <v>0.5333333333</v>
      </c>
      <c r="M803" s="30">
        <f>IFERROR(__xludf.DUMMYFUNCTION("""COMPUTED_VALUE"""),0.9333333333333333)</f>
        <v>0.9333333333</v>
      </c>
      <c r="N803" s="30">
        <f>IFERROR(__xludf.DUMMYFUNCTION("""COMPUTED_VALUE"""),1.6666666666666667)</f>
        <v>1.666666667</v>
      </c>
      <c r="O803" s="30">
        <f>IFERROR(__xludf.DUMMYFUNCTION("""COMPUTED_VALUE"""),249.3277777777779)</f>
        <v>249.3277778</v>
      </c>
      <c r="P803" s="30">
        <f>IFERROR(__xludf.DUMMYFUNCTION("""COMPUTED_VALUE"""),0.5138888888888891)</f>
        <v>0.5138888889</v>
      </c>
      <c r="Q803" s="30">
        <f>IFERROR(__xludf.DUMMYFUNCTION("""COMPUTED_VALUE"""),0.26944444444444443)</f>
        <v>0.2694444444</v>
      </c>
      <c r="R803" s="30">
        <f>IFERROR(__xludf.DUMMYFUNCTION("""COMPUTED_VALUE"""),0.675)</f>
        <v>0.675</v>
      </c>
      <c r="S803" s="30">
        <f>IFERROR(__xludf.DUMMYFUNCTION("""COMPUTED_VALUE"""),2.0277777777777777)</f>
        <v>2.027777778</v>
      </c>
      <c r="T803" s="30">
        <f>IFERROR(__xludf.DUMMYFUNCTION("""COMPUTED_VALUE"""),288.01979902647236)</f>
        <v>288.019799</v>
      </c>
      <c r="U803" s="30">
        <f>IFERROR(__xludf.DUMMYFUNCTION("""COMPUTED_VALUE"""),0.7337291591445952)</f>
        <v>0.7337291591</v>
      </c>
      <c r="V803" s="30">
        <f>IFERROR(__xludf.DUMMYFUNCTION("""COMPUTED_VALUE"""),0.4298891362360135)</f>
        <v>0.4298891362</v>
      </c>
      <c r="W803" s="30">
        <f>IFERROR(__xludf.DUMMYFUNCTION("""COMPUTED_VALUE"""),0.8328298347159413)</f>
        <v>0.8328298347</v>
      </c>
      <c r="X803" s="30">
        <f>IFERROR(__xludf.DUMMYFUNCTION("""COMPUTED_VALUE"""),2.0597474856893645)</f>
        <v>2.059747486</v>
      </c>
      <c r="Y803" s="30">
        <f>IFERROR(__xludf.DUMMYFUNCTION("""COMPUTED_VALUE"""),302.4733763229893)</f>
        <v>302.4733763</v>
      </c>
      <c r="Z803" s="30">
        <f>IFERROR(__xludf.DUMMYFUNCTION("""COMPUTED_VALUE"""),0.809720410830124)</f>
        <v>0.8097204108</v>
      </c>
      <c r="AA803" s="30">
        <f>IFERROR(__xludf.DUMMYFUNCTION("""COMPUTED_VALUE"""),0.46459965010341064)</f>
        <v>0.4645996501</v>
      </c>
      <c r="AB803" s="30">
        <f>IFERROR(__xludf.DUMMYFUNCTION("""COMPUTED_VALUE"""),0.9209640304064753)</f>
        <v>0.9209640304</v>
      </c>
      <c r="AC803" s="30">
        <f>IFERROR(__xludf.DUMMYFUNCTION("""COMPUTED_VALUE"""),2.044362547588732)</f>
        <v>2.044362548</v>
      </c>
      <c r="AD803" s="30">
        <f>IFERROR(__xludf.DUMMYFUNCTION("""COMPUTED_VALUE"""),0.8941833822023892)</f>
        <v>0.8941833822</v>
      </c>
      <c r="AE803" s="30">
        <f>IFERROR(__xludf.DUMMYFUNCTION("""COMPUTED_VALUE"""),0.9879953491351927)</f>
        <v>0.9879953491</v>
      </c>
      <c r="AF803" s="30">
        <f>IFERROR(__xludf.DUMMYFUNCTION("""COMPUTED_VALUE"""),1.1479417455751935)</f>
        <v>1.147941746</v>
      </c>
      <c r="AG803" s="30">
        <f>IFERROR(__xludf.DUMMYFUNCTION("""COMPUTED_VALUE"""),1.013430820877335)</f>
        <v>1.013430821</v>
      </c>
      <c r="AH803" s="30">
        <f>IFERROR(__xludf.DUMMYFUNCTION("""COMPUTED_VALUE"""),0.8152500487902467)</f>
        <v>0.8152500488</v>
      </c>
      <c r="AI803" s="30">
        <f>IFERROR(__xludf.DUMMYFUNCTION("""COMPUTED_VALUE"""),0.8656619392851593)</f>
        <v>0.8656619393</v>
      </c>
      <c r="AJ803" s="30">
        <f>IFERROR(__xludf.DUMMYFUNCTION("""COMPUTED_VALUE"""),0.7003795371687246)</f>
        <v>0.7003795372</v>
      </c>
      <c r="AK803" s="30">
        <f>IFERROR(__xludf.DUMMYFUNCTION("""COMPUTED_VALUE"""),0.6267765843157216)</f>
        <v>0.6267765843</v>
      </c>
      <c r="AL803" s="30">
        <f>IFERROR(__xludf.DUMMYFUNCTION("""COMPUTED_VALUE"""),0.8104896965299361)</f>
        <v>0.8104896965</v>
      </c>
      <c r="AM803" s="30">
        <f>IFERROR(__xludf.DUMMYFUNCTION("""COMPUTED_VALUE"""),0.9844788217324187)</f>
        <v>0.9844788217</v>
      </c>
      <c r="AN803" s="30">
        <f>IFERROR(__xludf.DUMMYFUNCTION("""COMPUTED_VALUE"""),0.9736995863555181)</f>
        <v>0.9736995864</v>
      </c>
      <c r="AO803" s="30">
        <f>IFERROR(__xludf.DUMMYFUNCTION("""COMPUTED_VALUE"""),1.0768039346118237)</f>
        <v>1.076803935</v>
      </c>
      <c r="AP803" s="30">
        <f>IFERROR(__xludf.DUMMYFUNCTION("""COMPUTED_VALUE"""),1.2690828443038387)</f>
        <v>1.269082844</v>
      </c>
      <c r="AQ803" s="30">
        <f>IFERROR(__xludf.DUMMYFUNCTION("""COMPUTED_VALUE"""),1.1840635567030189)</f>
        <v>1.184063557</v>
      </c>
      <c r="AR803" s="30">
        <f>IFERROR(__xludf.DUMMYFUNCTION("""COMPUTED_VALUE"""),0.8727915114934813)</f>
        <v>0.8727915115</v>
      </c>
      <c r="AS803" s="30">
        <f>IFERROR(__xludf.DUMMYFUNCTION("""COMPUTED_VALUE"""),191.0)</f>
        <v>191</v>
      </c>
      <c r="AT803" s="30">
        <f>IFERROR(__xludf.DUMMYFUNCTION("""COMPUTED_VALUE"""),0.928733015379862)</f>
        <v>0.9287330154</v>
      </c>
      <c r="AU803" s="30">
        <f>IFERROR(__xludf.DUMMYFUNCTION("""COMPUTED_VALUE"""),2.1182454193019984)</f>
        <v>2.118245419</v>
      </c>
      <c r="AV803" s="32">
        <f>IFERROR(__xludf.DUMMYFUNCTION("""COMPUTED_VALUE"""),59.50220615771238)</f>
        <v>59.50220616</v>
      </c>
      <c r="AW803" s="32">
        <f>IFERROR(__xludf.DUMMYFUNCTION("""COMPUTED_VALUE"""),2.84139378130659)</f>
        <v>2.841393781</v>
      </c>
      <c r="AX803" s="32">
        <f>IFERROR(__xludf.DUMMYFUNCTION("""COMPUTED_VALUE"""),48.336385776693305)</f>
        <v>48.33638578</v>
      </c>
      <c r="AY803" s="32">
        <f>IFERROR(__xludf.DUMMYFUNCTION("""COMPUTED_VALUE"""),-2.1120566984400817)</f>
        <v>-2.112056698</v>
      </c>
      <c r="AZ803" s="30">
        <f>IFERROR(__xludf.DUMMYFUNCTION("""COMPUTED_VALUE"""),4.953450479746672)</f>
        <v>4.95345048</v>
      </c>
      <c r="BA803" s="30">
        <f>IFERROR(__xludf.DUMMYFUNCTION("""COMPUTED_VALUE"""),4000.0)</f>
        <v>4000</v>
      </c>
    </row>
    <row r="804">
      <c r="A804" s="71" t="str">
        <f>IFERROR(__xludf.DUMMYFUNCTION("""COMPUTED_VALUE"""),"Amateur")</f>
        <v>Amateur</v>
      </c>
      <c r="B804" s="71" t="str">
        <f>IFERROR(__xludf.DUMMYFUNCTION("""COMPUTED_VALUE"""),"RSC006147")</f>
        <v>RSC006147</v>
      </c>
      <c r="C804" s="30" t="str">
        <f>IFERROR(__xludf.DUMMYFUNCTION("""COMPUTED_VALUE"""),"Stolris")</f>
        <v>Stolris</v>
      </c>
      <c r="D804" s="30"/>
      <c r="E804" s="30">
        <f>IFERROR(__xludf.DUMMYFUNCTION("""COMPUTED_VALUE"""),3.0)</f>
        <v>3</v>
      </c>
      <c r="F804" s="30">
        <f>IFERROR(__xludf.DUMMYFUNCTION("""COMPUTED_VALUE"""),1.0)</f>
        <v>1</v>
      </c>
      <c r="G804" s="42">
        <f>IFERROR(__xludf.DUMMYFUNCTION("""COMPUTED_VALUE"""),2.0)</f>
        <v>2</v>
      </c>
      <c r="H804" s="42">
        <f>IFERROR(__xludf.DUMMYFUNCTION("""COMPUTED_VALUE"""),0.3333333333333333)</f>
        <v>0.3333333333</v>
      </c>
      <c r="I804" s="42">
        <f>IFERROR(__xludf.DUMMYFUNCTION("""COMPUTED_VALUE"""),0.2857142857142857)</f>
        <v>0.2857142857</v>
      </c>
      <c r="J804" s="30">
        <f>IFERROR(__xludf.DUMMYFUNCTION("""COMPUTED_VALUE"""),198.0)</f>
        <v>198</v>
      </c>
      <c r="K804" s="30">
        <f>IFERROR(__xludf.DUMMYFUNCTION("""COMPUTED_VALUE"""),0.6666666666666666)</f>
        <v>0.6666666667</v>
      </c>
      <c r="L804" s="30">
        <f>IFERROR(__xludf.DUMMYFUNCTION("""COMPUTED_VALUE"""),0.3333333333333333)</f>
        <v>0.3333333333</v>
      </c>
      <c r="M804" s="30">
        <f>IFERROR(__xludf.DUMMYFUNCTION("""COMPUTED_VALUE"""),0.3333333333333333)</f>
        <v>0.3333333333</v>
      </c>
      <c r="N804" s="30">
        <f>IFERROR(__xludf.DUMMYFUNCTION("""COMPUTED_VALUE"""),2.3333333333333335)</f>
        <v>2.333333333</v>
      </c>
      <c r="O804" s="30">
        <f>IFERROR(__xludf.DUMMYFUNCTION("""COMPUTED_VALUE"""),293.5555555555556)</f>
        <v>293.5555556</v>
      </c>
      <c r="P804" s="30">
        <f>IFERROR(__xludf.DUMMYFUNCTION("""COMPUTED_VALUE"""),0.7777777777777777)</f>
        <v>0.7777777778</v>
      </c>
      <c r="Q804" s="30">
        <f>IFERROR(__xludf.DUMMYFUNCTION("""COMPUTED_VALUE"""),0.4444444444444444)</f>
        <v>0.4444444444</v>
      </c>
      <c r="R804" s="30">
        <f>IFERROR(__xludf.DUMMYFUNCTION("""COMPUTED_VALUE"""),0.9999999999999999)</f>
        <v>1</v>
      </c>
      <c r="S804" s="30">
        <f>IFERROR(__xludf.DUMMYFUNCTION("""COMPUTED_VALUE"""),1.888888888888889)</f>
        <v>1.888888889</v>
      </c>
      <c r="T804" s="30">
        <f>IFERROR(__xludf.DUMMYFUNCTION("""COMPUTED_VALUE"""),295.0908013555072)</f>
        <v>295.0908014</v>
      </c>
      <c r="U804" s="30">
        <f>IFERROR(__xludf.DUMMYFUNCTION("""COMPUTED_VALUE"""),0.7914340561399383)</f>
        <v>0.7914340561</v>
      </c>
      <c r="V804" s="30">
        <f>IFERROR(__xludf.DUMMYFUNCTION("""COMPUTED_VALUE"""),0.419025419025419)</f>
        <v>0.419025419</v>
      </c>
      <c r="W804" s="30">
        <f>IFERROR(__xludf.DUMMYFUNCTION("""COMPUTED_VALUE"""),0.8265329441800029)</f>
        <v>0.8265329442</v>
      </c>
      <c r="X804" s="30">
        <f>IFERROR(__xludf.DUMMYFUNCTION("""COMPUTED_VALUE"""),2.1791215320627084)</f>
        <v>2.179121532</v>
      </c>
      <c r="Y804" s="30">
        <f>IFERROR(__xludf.DUMMYFUNCTION("""COMPUTED_VALUE"""),295.22969160469165)</f>
        <v>295.2296916</v>
      </c>
      <c r="Z804" s="30">
        <f>IFERROR(__xludf.DUMMYFUNCTION("""COMPUTED_VALUE"""),0.7017380767380766)</f>
        <v>0.7017380767</v>
      </c>
      <c r="AA804" s="30">
        <f>IFERROR(__xludf.DUMMYFUNCTION("""COMPUTED_VALUE"""),0.40214415214415206)</f>
        <v>0.4021441521</v>
      </c>
      <c r="AB804" s="30">
        <f>IFERROR(__xludf.DUMMYFUNCTION("""COMPUTED_VALUE"""),1.0166777666777669)</f>
        <v>1.016677767</v>
      </c>
      <c r="AC804" s="30">
        <f>IFERROR(__xludf.DUMMYFUNCTION("""COMPUTED_VALUE"""),2.0339475339475332)</f>
        <v>2.033947534</v>
      </c>
      <c r="AD804" s="30">
        <f>IFERROR(__xludf.DUMMYFUNCTION("""COMPUTED_VALUE"""),0.6706642510236375)</f>
        <v>0.670664251</v>
      </c>
      <c r="AE804" s="30">
        <f>IFERROR(__xludf.DUMMYFUNCTION("""COMPUTED_VALUE"""),0.950022079128962)</f>
        <v>0.9500220791</v>
      </c>
      <c r="AF804" s="30">
        <f>IFERROR(__xludf.DUMMYFUNCTION("""COMPUTED_VALUE"""),0.8288901667625074)</f>
        <v>0.8288901668</v>
      </c>
      <c r="AG804" s="30">
        <f>IFERROR(__xludf.DUMMYFUNCTION("""COMPUTED_VALUE"""),0.3278652728116384)</f>
        <v>0.3278652728</v>
      </c>
      <c r="AH804" s="30">
        <f>IFERROR(__xludf.DUMMYFUNCTION("""COMPUTED_VALUE"""),1.1471944553086604)</f>
        <v>1.147194455</v>
      </c>
      <c r="AI804" s="30">
        <f>IFERROR(__xludf.DUMMYFUNCTION("""COMPUTED_VALUE"""),0.9947973783225387)</f>
        <v>0.9947973783</v>
      </c>
      <c r="AJ804" s="30">
        <f>IFERROR(__xludf.DUMMYFUNCTION("""COMPUTED_VALUE"""),0.9827448942129602)</f>
        <v>0.9827448942</v>
      </c>
      <c r="AK804" s="30">
        <f>IFERROR(__xludf.DUMMYFUNCTION("""COMPUTED_VALUE"""),1.0606622516556292)</f>
        <v>1.060662252</v>
      </c>
      <c r="AL804" s="30">
        <f>IFERROR(__xludf.DUMMYFUNCTION("""COMPUTED_VALUE"""),1.209873129729986)</f>
        <v>1.20987313</v>
      </c>
      <c r="AM804" s="30">
        <f>IFERROR(__xludf.DUMMYFUNCTION("""COMPUTED_VALUE"""),0.8668120896868512)</f>
        <v>0.8668120897</v>
      </c>
      <c r="AN804" s="30">
        <f>IFERROR(__xludf.DUMMYFUNCTION("""COMPUTED_VALUE"""),0.7128143385447101)</f>
        <v>0.7128143385</v>
      </c>
      <c r="AO804" s="30">
        <f>IFERROR(__xludf.DUMMYFUNCTION("""COMPUTED_VALUE"""),0.8973366121765195)</f>
        <v>0.8973366122</v>
      </c>
      <c r="AP804" s="30">
        <f>IFERROR(__xludf.DUMMYFUNCTION("""COMPUTED_VALUE"""),0.7931767776898992)</f>
        <v>0.7931767777</v>
      </c>
      <c r="AQ804" s="30">
        <f>IFERROR(__xludf.DUMMYFUNCTION("""COMPUTED_VALUE"""),0.42287984167964954)</f>
        <v>0.4228798417</v>
      </c>
      <c r="AR804" s="30">
        <f>IFERROR(__xludf.DUMMYFUNCTION("""COMPUTED_VALUE"""),1.221908116090874)</f>
        <v>1.221908116</v>
      </c>
      <c r="AS804" s="30">
        <f>IFERROR(__xludf.DUMMYFUNCTION("""COMPUTED_VALUE"""),6.0)</f>
        <v>6</v>
      </c>
      <c r="AT804" s="30">
        <f>IFERROR(__xludf.DUMMYFUNCTION("""COMPUTED_VALUE"""),0.441566165189672)</f>
        <v>0.4415661652</v>
      </c>
      <c r="AU804" s="30">
        <f>IFERROR(__xludf.DUMMYFUNCTION("""COMPUTED_VALUE"""),1.4631793492597918)</f>
        <v>1.463179349</v>
      </c>
      <c r="AV804" s="32">
        <f>IFERROR(__xludf.DUMMYFUNCTION("""COMPUTED_VALUE"""),46.107986755723815)</f>
        <v>46.10798676</v>
      </c>
      <c r="AW804" s="32">
        <f>IFERROR(__xludf.DUMMYFUNCTION("""COMPUTED_VALUE"""),-2.282362877050933)</f>
        <v>-2.282362877</v>
      </c>
      <c r="AX804" s="32">
        <f>IFERROR(__xludf.DUMMYFUNCTION("""COMPUTED_VALUE"""),22.8895847507368)</f>
        <v>22.88958475</v>
      </c>
      <c r="AY804" s="32">
        <f>IFERROR(__xludf.DUMMYFUNCTION("""COMPUTED_VALUE"""),-7.189586310830696)</f>
        <v>-7.189586311</v>
      </c>
      <c r="AZ804" s="30">
        <f>IFERROR(__xludf.DUMMYFUNCTION("""COMPUTED_VALUE"""),4.9072234337797624)</f>
        <v>4.907223434</v>
      </c>
      <c r="BA804" s="30">
        <f>IFERROR(__xludf.DUMMYFUNCTION("""COMPUTED_VALUE"""),4000.0)</f>
        <v>4000</v>
      </c>
    </row>
    <row r="805">
      <c r="A805" s="71" t="str">
        <f>IFERROR(__xludf.DUMMYFUNCTION("""COMPUTED_VALUE"""),"Amateur")</f>
        <v>Amateur</v>
      </c>
      <c r="B805" s="71" t="str">
        <f>IFERROR(__xludf.DUMMYFUNCTION("""COMPUTED_VALUE"""),"RSC006797")</f>
        <v>RSC006797</v>
      </c>
      <c r="C805" s="30" t="str">
        <f>IFERROR(__xludf.DUMMYFUNCTION("""COMPUTED_VALUE"""),"The-Manimal")</f>
        <v>The-Manimal</v>
      </c>
      <c r="D805" s="30" t="str">
        <f>IFERROR(__xludf.DUMMYFUNCTION("""COMPUTED_VALUE"""),"Aloof Goofs")</f>
        <v>Aloof Goofs</v>
      </c>
      <c r="E805" s="30">
        <f>IFERROR(__xludf.DUMMYFUNCTION("""COMPUTED_VALUE"""),25.0)</f>
        <v>25</v>
      </c>
      <c r="F805" s="30">
        <f>IFERROR(__xludf.DUMMYFUNCTION("""COMPUTED_VALUE"""),7.0)</f>
        <v>7</v>
      </c>
      <c r="G805" s="42">
        <f>IFERROR(__xludf.DUMMYFUNCTION("""COMPUTED_VALUE"""),18.0)</f>
        <v>18</v>
      </c>
      <c r="H805" s="42">
        <f>IFERROR(__xludf.DUMMYFUNCTION("""COMPUTED_VALUE"""),0.28)</f>
        <v>0.28</v>
      </c>
      <c r="I805" s="42">
        <f>IFERROR(__xludf.DUMMYFUNCTION("""COMPUTED_VALUE"""),0.27868852459016397)</f>
        <v>0.2786885246</v>
      </c>
      <c r="J805" s="30">
        <f>IFERROR(__xludf.DUMMYFUNCTION("""COMPUTED_VALUE"""),286.84)</f>
        <v>286.84</v>
      </c>
      <c r="K805" s="30">
        <f>IFERROR(__xludf.DUMMYFUNCTION("""COMPUTED_VALUE"""),0.68)</f>
        <v>0.68</v>
      </c>
      <c r="L805" s="30">
        <f>IFERROR(__xludf.DUMMYFUNCTION("""COMPUTED_VALUE"""),0.28)</f>
        <v>0.28</v>
      </c>
      <c r="M805" s="30">
        <f>IFERROR(__xludf.DUMMYFUNCTION("""COMPUTED_VALUE"""),0.84)</f>
        <v>0.84</v>
      </c>
      <c r="N805" s="30">
        <f>IFERROR(__xludf.DUMMYFUNCTION("""COMPUTED_VALUE"""),2.44)</f>
        <v>2.44</v>
      </c>
      <c r="O805" s="30">
        <f>IFERROR(__xludf.DUMMYFUNCTION("""COMPUTED_VALUE"""),312.48)</f>
        <v>312.48</v>
      </c>
      <c r="P805" s="30">
        <f>IFERROR(__xludf.DUMMYFUNCTION("""COMPUTED_VALUE"""),0.8000000000000002)</f>
        <v>0.8</v>
      </c>
      <c r="Q805" s="30">
        <f>IFERROR(__xludf.DUMMYFUNCTION("""COMPUTED_VALUE"""),0.43999999999999984)</f>
        <v>0.44</v>
      </c>
      <c r="R805" s="30">
        <f>IFERROR(__xludf.DUMMYFUNCTION("""COMPUTED_VALUE"""),1.133333333333333)</f>
        <v>1.133333333</v>
      </c>
      <c r="S805" s="30">
        <f>IFERROR(__xludf.DUMMYFUNCTION("""COMPUTED_VALUE"""),1.9999999999999993)</f>
        <v>2</v>
      </c>
      <c r="T805" s="30">
        <f>IFERROR(__xludf.DUMMYFUNCTION("""COMPUTED_VALUE"""),304.7150439648078)</f>
        <v>304.715044</v>
      </c>
      <c r="U805" s="30">
        <f>IFERROR(__xludf.DUMMYFUNCTION("""COMPUTED_VALUE"""),0.824021478178066)</f>
        <v>0.8240214782</v>
      </c>
      <c r="V805" s="30">
        <f>IFERROR(__xludf.DUMMYFUNCTION("""COMPUTED_VALUE"""),0.48343924020501844)</f>
        <v>0.4834392402</v>
      </c>
      <c r="W805" s="30">
        <f>IFERROR(__xludf.DUMMYFUNCTION("""COMPUTED_VALUE"""),0.946512865507503)</f>
        <v>0.9465128655</v>
      </c>
      <c r="X805" s="30">
        <f>IFERROR(__xludf.DUMMYFUNCTION("""COMPUTED_VALUE"""),2.02813587447182)</f>
        <v>2.028135874</v>
      </c>
      <c r="Y805" s="30">
        <f>IFERROR(__xludf.DUMMYFUNCTION("""COMPUTED_VALUE"""),271.0340733740139)</f>
        <v>271.0340734</v>
      </c>
      <c r="Z805" s="30">
        <f>IFERROR(__xludf.DUMMYFUNCTION("""COMPUTED_VALUE"""),0.606771113809917)</f>
        <v>0.6067711138</v>
      </c>
      <c r="AA805" s="30">
        <f>IFERROR(__xludf.DUMMYFUNCTION("""COMPUTED_VALUE"""),0.3407157165034677)</f>
        <v>0.3407157165</v>
      </c>
      <c r="AB805" s="30">
        <f>IFERROR(__xludf.DUMMYFUNCTION("""COMPUTED_VALUE"""),0.846579617065358)</f>
        <v>0.8465796171</v>
      </c>
      <c r="AC805" s="30">
        <f>IFERROR(__xludf.DUMMYFUNCTION("""COMPUTED_VALUE"""),1.9522640337170492)</f>
        <v>1.952264034</v>
      </c>
      <c r="AD805" s="30">
        <f>IFERROR(__xludf.DUMMYFUNCTION("""COMPUTED_VALUE"""),1.0583171201658277)</f>
        <v>1.05831712</v>
      </c>
      <c r="AE805" s="30">
        <f>IFERROR(__xludf.DUMMYFUNCTION("""COMPUTED_VALUE"""),1.1206861772477579)</f>
        <v>1.120686177</v>
      </c>
      <c r="AF805" s="30">
        <f>IFERROR(__xludf.DUMMYFUNCTION("""COMPUTED_VALUE"""),0.8217994839611406)</f>
        <v>0.821799484</v>
      </c>
      <c r="AG805" s="30">
        <f>IFERROR(__xludf.DUMMYFUNCTION("""COMPUTED_VALUE"""),0.9922279996674547)</f>
        <v>0.9922279997</v>
      </c>
      <c r="AH805" s="30">
        <f>IFERROR(__xludf.DUMMYFUNCTION("""COMPUTED_VALUE"""),1.2498309438986677)</f>
        <v>1.249830944</v>
      </c>
      <c r="AI805" s="30">
        <f>IFERROR(__xludf.DUMMYFUNCTION("""COMPUTED_VALUE"""),1.0254826802581136)</f>
        <v>1.02548268</v>
      </c>
      <c r="AJ805" s="30">
        <f>IFERROR(__xludf.DUMMYFUNCTION("""COMPUTED_VALUE"""),0.9708484805139084)</f>
        <v>0.9708484805</v>
      </c>
      <c r="AK805" s="30">
        <f>IFERROR(__xludf.DUMMYFUNCTION("""COMPUTED_VALUE"""),0.9101453986511382)</f>
        <v>0.9101453987</v>
      </c>
      <c r="AL805" s="30">
        <f>IFERROR(__xludf.DUMMYFUNCTION("""COMPUTED_VALUE"""),1.1973776317616776)</f>
        <v>1.197377632</v>
      </c>
      <c r="AM805" s="30">
        <f>IFERROR(__xludf.DUMMYFUNCTION("""COMPUTED_VALUE"""),0.9861272241046729)</f>
        <v>0.9861272241</v>
      </c>
      <c r="AN805" s="30">
        <f>IFERROR(__xludf.DUMMYFUNCTION("""COMPUTED_VALUE"""),1.0326447720614376)</f>
        <v>1.032644772</v>
      </c>
      <c r="AO805" s="30">
        <f>IFERROR(__xludf.DUMMYFUNCTION("""COMPUTED_VALUE"""),0.9152833444200501)</f>
        <v>0.9152833444</v>
      </c>
      <c r="AP805" s="30">
        <f>IFERROR(__xludf.DUMMYFUNCTION("""COMPUTED_VALUE"""),0.6662684932595154)</f>
        <v>0.6662684933</v>
      </c>
      <c r="AQ805" s="30">
        <f>IFERROR(__xludf.DUMMYFUNCTION("""COMPUTED_VALUE"""),1.065657201032717)</f>
        <v>1.065657201</v>
      </c>
      <c r="AR805" s="30">
        <f>IFERROR(__xludf.DUMMYFUNCTION("""COMPUTED_VALUE"""),1.2777667728264566)</f>
        <v>1.277766773</v>
      </c>
      <c r="AS805" s="30">
        <f>IFERROR(__xludf.DUMMYFUNCTION("""COMPUTED_VALUE"""),80.0)</f>
        <v>80</v>
      </c>
      <c r="AT805" s="30">
        <f>IFERROR(__xludf.DUMMYFUNCTION("""COMPUTED_VALUE"""),0.6157801051471309)</f>
        <v>0.6157801051</v>
      </c>
      <c r="AU805" s="30">
        <f>IFERROR(__xludf.DUMMYFUNCTION("""COMPUTED_VALUE"""),1.8813427389009738)</f>
        <v>1.881342739</v>
      </c>
      <c r="AV805" s="32">
        <f>IFERROR(__xludf.DUMMYFUNCTION("""COMPUTED_VALUE"""),54.658226865660126)</f>
        <v>54.65822687</v>
      </c>
      <c r="AW805" s="32">
        <f>IFERROR(__xludf.DUMMYFUNCTION("""COMPUTED_VALUE"""),2.346903536753637)</f>
        <v>2.346903537</v>
      </c>
      <c r="AX805" s="32">
        <f>IFERROR(__xludf.DUMMYFUNCTION("""COMPUTED_VALUE"""),43.362011319801375)</f>
        <v>43.36201132</v>
      </c>
      <c r="AY805" s="32">
        <f>IFERROR(__xludf.DUMMYFUNCTION("""COMPUTED_VALUE"""),-2.5296946511637093)</f>
        <v>-2.529694651</v>
      </c>
      <c r="AZ805" s="30">
        <f>IFERROR(__xludf.DUMMYFUNCTION("""COMPUTED_VALUE"""),4.876598187917346)</f>
        <v>4.876598188</v>
      </c>
      <c r="BA805" s="30">
        <f>IFERROR(__xludf.DUMMYFUNCTION("""COMPUTED_VALUE"""),4000.0)</f>
        <v>4000</v>
      </c>
    </row>
    <row r="806">
      <c r="A806" s="71" t="str">
        <f>IFERROR(__xludf.DUMMYFUNCTION("""COMPUTED_VALUE"""),"Amateur")</f>
        <v>Amateur</v>
      </c>
      <c r="B806" s="71" t="str">
        <f>IFERROR(__xludf.DUMMYFUNCTION("""COMPUTED_VALUE"""),"RSC006375")</f>
        <v>RSC006375</v>
      </c>
      <c r="C806" s="30" t="str">
        <f>IFERROR(__xludf.DUMMYFUNCTION("""COMPUTED_VALUE"""),"Rich-Rollin6060")</f>
        <v>Rich-Rollin6060</v>
      </c>
      <c r="D806" s="30" t="str">
        <f>IFERROR(__xludf.DUMMYFUNCTION("""COMPUTED_VALUE"""),"Hyenas")</f>
        <v>Hyenas</v>
      </c>
      <c r="E806" s="30">
        <f>IFERROR(__xludf.DUMMYFUNCTION("""COMPUTED_VALUE"""),28.0)</f>
        <v>28</v>
      </c>
      <c r="F806" s="30">
        <f>IFERROR(__xludf.DUMMYFUNCTION("""COMPUTED_VALUE"""),23.0)</f>
        <v>23</v>
      </c>
      <c r="G806" s="42">
        <f>IFERROR(__xludf.DUMMYFUNCTION("""COMPUTED_VALUE"""),5.0)</f>
        <v>5</v>
      </c>
      <c r="H806" s="42">
        <f>IFERROR(__xludf.DUMMYFUNCTION("""COMPUTED_VALUE"""),0.8214285714285714)</f>
        <v>0.8214285714</v>
      </c>
      <c r="I806" s="42">
        <f>IFERROR(__xludf.DUMMYFUNCTION("""COMPUTED_VALUE"""),0.49295774647887325)</f>
        <v>0.4929577465</v>
      </c>
      <c r="J806" s="30">
        <f>IFERROR(__xludf.DUMMYFUNCTION("""COMPUTED_VALUE"""),322.89285714285717)</f>
        <v>322.8928571</v>
      </c>
      <c r="K806" s="30">
        <f>IFERROR(__xludf.DUMMYFUNCTION("""COMPUTED_VALUE"""),1.25)</f>
        <v>1.25</v>
      </c>
      <c r="L806" s="30">
        <f>IFERROR(__xludf.DUMMYFUNCTION("""COMPUTED_VALUE"""),0.4642857142857143)</f>
        <v>0.4642857143</v>
      </c>
      <c r="M806" s="30">
        <f>IFERROR(__xludf.DUMMYFUNCTION("""COMPUTED_VALUE"""),0.5)</f>
        <v>0.5</v>
      </c>
      <c r="N806" s="30">
        <f>IFERROR(__xludf.DUMMYFUNCTION("""COMPUTED_VALUE"""),2.5357142857142856)</f>
        <v>2.535714286</v>
      </c>
      <c r="O806" s="30">
        <f>IFERROR(__xludf.DUMMYFUNCTION("""COMPUTED_VALUE"""),257.0238095238095)</f>
        <v>257.0238095</v>
      </c>
      <c r="P806" s="30">
        <f>IFERROR(__xludf.DUMMYFUNCTION("""COMPUTED_VALUE"""),0.5357142857142856)</f>
        <v>0.5357142857</v>
      </c>
      <c r="Q806" s="30">
        <f>IFERROR(__xludf.DUMMYFUNCTION("""COMPUTED_VALUE"""),0.2976190476190477)</f>
        <v>0.2976190476</v>
      </c>
      <c r="R806" s="30">
        <f>IFERROR(__xludf.DUMMYFUNCTION("""COMPUTED_VALUE"""),0.9523809523809526)</f>
        <v>0.9523809524</v>
      </c>
      <c r="S806" s="30">
        <f>IFERROR(__xludf.DUMMYFUNCTION("""COMPUTED_VALUE"""),1.7142857142857137)</f>
        <v>1.714285714</v>
      </c>
      <c r="T806" s="30">
        <f>IFERROR(__xludf.DUMMYFUNCTION("""COMPUTED_VALUE"""),292.77540966292736)</f>
        <v>292.7754097</v>
      </c>
      <c r="U806" s="30">
        <f>IFERROR(__xludf.DUMMYFUNCTION("""COMPUTED_VALUE"""),0.736886079461126)</f>
        <v>0.7368860795</v>
      </c>
      <c r="V806" s="30">
        <f>IFERROR(__xludf.DUMMYFUNCTION("""COMPUTED_VALUE"""),0.45270583499928685)</f>
        <v>0.452705835</v>
      </c>
      <c r="W806" s="30">
        <f>IFERROR(__xludf.DUMMYFUNCTION("""COMPUTED_VALUE"""),0.8694290291639933)</f>
        <v>0.8694290292</v>
      </c>
      <c r="X806" s="30">
        <f>IFERROR(__xludf.DUMMYFUNCTION("""COMPUTED_VALUE"""),2.0311299425249527)</f>
        <v>2.031129943</v>
      </c>
      <c r="Y806" s="30">
        <f>IFERROR(__xludf.DUMMYFUNCTION("""COMPUTED_VALUE"""),301.44866281533774)</f>
        <v>301.4486628</v>
      </c>
      <c r="Z806" s="30">
        <f>IFERROR(__xludf.DUMMYFUNCTION("""COMPUTED_VALUE"""),0.8313641759235247)</f>
        <v>0.8313641759</v>
      </c>
      <c r="AA806" s="30">
        <f>IFERROR(__xludf.DUMMYFUNCTION("""COMPUTED_VALUE"""),0.4738770988833747)</f>
        <v>0.4738770989</v>
      </c>
      <c r="AB806" s="30">
        <f>IFERROR(__xludf.DUMMYFUNCTION("""COMPUTED_VALUE"""),0.8431554852234626)</f>
        <v>0.8431554852</v>
      </c>
      <c r="AC806" s="30">
        <f>IFERROR(__xludf.DUMMYFUNCTION("""COMPUTED_VALUE"""),2.096743510982327)</f>
        <v>2.096743511</v>
      </c>
      <c r="AD806" s="30">
        <f>IFERROR(__xludf.DUMMYFUNCTION("""COMPUTED_VALUE"""),1.0711371353491648)</f>
        <v>1.071137135</v>
      </c>
      <c r="AE806" s="30">
        <f>IFERROR(__xludf.DUMMYFUNCTION("""COMPUTED_VALUE"""),1.5035528787506771)</f>
        <v>1.503552879</v>
      </c>
      <c r="AF806" s="30">
        <f>IFERROR(__xludf.DUMMYFUNCTION("""COMPUTED_VALUE"""),0.9797597634064589)</f>
        <v>0.9797597634</v>
      </c>
      <c r="AG806" s="30">
        <f>IFERROR(__xludf.DUMMYFUNCTION("""COMPUTED_VALUE"""),0.5930104337368858)</f>
        <v>0.5930104337</v>
      </c>
      <c r="AH806" s="30">
        <f>IFERROR(__xludf.DUMMYFUNCTION("""COMPUTED_VALUE"""),1.2093583561521553)</f>
        <v>1.209358356</v>
      </c>
      <c r="AI806" s="30">
        <f>IFERROR(__xludf.DUMMYFUNCTION("""COMPUTED_VALUE"""),0.8778872850685148)</f>
        <v>0.8778872851</v>
      </c>
      <c r="AJ806" s="30">
        <f>IFERROR(__xludf.DUMMYFUNCTION("""COMPUTED_VALUE"""),0.7269974296516031)</f>
        <v>0.7269974297</v>
      </c>
      <c r="AK806" s="30">
        <f>IFERROR(__xludf.DUMMYFUNCTION("""COMPUTED_VALUE"""),0.6574226011898358)</f>
        <v>0.6574226012</v>
      </c>
      <c r="AL806" s="30">
        <f>IFERROR(__xludf.DUMMYFUNCTION("""COMPUTED_VALUE"""),1.0954096544219627)</f>
        <v>1.095409654</v>
      </c>
      <c r="AM806" s="30">
        <f>IFERROR(__xludf.DUMMYFUNCTION("""COMPUTED_VALUE"""),0.8440059291108862)</f>
        <v>0.8440059291</v>
      </c>
      <c r="AN806" s="30">
        <f>IFERROR(__xludf.DUMMYFUNCTION("""COMPUTED_VALUE"""),1.1624376686116025)</f>
        <v>1.162437669</v>
      </c>
      <c r="AO806" s="30">
        <f>IFERROR(__xludf.DUMMYFUNCTION("""COMPUTED_VALUE"""),1.6825061478309742)</f>
        <v>1.682506148</v>
      </c>
      <c r="AP806" s="30">
        <f>IFERROR(__xludf.DUMMYFUNCTION("""COMPUTED_VALUE"""),1.1047819403537882)</f>
        <v>1.10478194</v>
      </c>
      <c r="AQ806" s="30">
        <f>IFERROR(__xludf.DUMMYFUNCTION("""COMPUTED_VALUE"""),0.6343197625194744)</f>
        <v>0.6343197625</v>
      </c>
      <c r="AR806" s="30">
        <f>IFERROR(__xludf.DUMMYFUNCTION("""COMPUTED_VALUE"""),1.327889942486511)</f>
        <v>1.327889942</v>
      </c>
      <c r="AS806" s="30">
        <f>IFERROR(__xludf.DUMMYFUNCTION("""COMPUTED_VALUE"""),278.0)</f>
        <v>278</v>
      </c>
      <c r="AT806" s="30">
        <f>IFERROR(__xludf.DUMMYFUNCTION("""COMPUTED_VALUE"""),0.9752465808985018)</f>
        <v>0.9752465809</v>
      </c>
      <c r="AU806" s="30">
        <f>IFERROR(__xludf.DUMMYFUNCTION("""COMPUTED_VALUE"""),2.9915725803295294)</f>
        <v>2.99157258</v>
      </c>
      <c r="AV806" s="32">
        <f>IFERROR(__xludf.DUMMYFUNCTION("""COMPUTED_VALUE"""),77.35923789767848)</f>
        <v>77.3592379</v>
      </c>
      <c r="AW806" s="32">
        <f>IFERROR(__xludf.DUMMYFUNCTION("""COMPUTED_VALUE"""),7.304790039361886)</f>
        <v>7.304790039</v>
      </c>
      <c r="AX806" s="32">
        <f>IFERROR(__xludf.DUMMYFUNCTION("""COMPUTED_VALUE"""),55.780801522570016)</f>
        <v>55.78080152</v>
      </c>
      <c r="AY806" s="32">
        <f>IFERROR(__xludf.DUMMYFUNCTION("""COMPUTED_VALUE"""),2.44757740820231)</f>
        <v>2.447577408</v>
      </c>
      <c r="AZ806" s="30">
        <f>IFERROR(__xludf.DUMMYFUNCTION("""COMPUTED_VALUE"""),4.857212631159576)</f>
        <v>4.857212631</v>
      </c>
      <c r="BA806" s="30">
        <f>IFERROR(__xludf.DUMMYFUNCTION("""COMPUTED_VALUE"""),4000.0)</f>
        <v>4000</v>
      </c>
    </row>
    <row r="807">
      <c r="A807" s="71" t="str">
        <f>IFERROR(__xludf.DUMMYFUNCTION("""COMPUTED_VALUE"""),"Amateur")</f>
        <v>Amateur</v>
      </c>
      <c r="B807" s="71" t="str">
        <f>IFERROR(__xludf.DUMMYFUNCTION("""COMPUTED_VALUE"""),"RSC007573")</f>
        <v>RSC007573</v>
      </c>
      <c r="C807" s="30" t="str">
        <f>IFERROR(__xludf.DUMMYFUNCTION("""COMPUTED_VALUE"""),"zag_42")</f>
        <v>zag_42</v>
      </c>
      <c r="D807" s="30" t="str">
        <f>IFERROR(__xludf.DUMMYFUNCTION("""COMPUTED_VALUE"""),"Amaranth")</f>
        <v>Amaranth</v>
      </c>
      <c r="E807" s="30">
        <f>IFERROR(__xludf.DUMMYFUNCTION("""COMPUTED_VALUE"""),26.0)</f>
        <v>26</v>
      </c>
      <c r="F807" s="30">
        <f>IFERROR(__xludf.DUMMYFUNCTION("""COMPUTED_VALUE"""),12.0)</f>
        <v>12</v>
      </c>
      <c r="G807" s="42">
        <f>IFERROR(__xludf.DUMMYFUNCTION("""COMPUTED_VALUE"""),14.0)</f>
        <v>14</v>
      </c>
      <c r="H807" s="42">
        <f>IFERROR(__xludf.DUMMYFUNCTION("""COMPUTED_VALUE"""),0.46153846153846156)</f>
        <v>0.4615384615</v>
      </c>
      <c r="I807" s="42">
        <f>IFERROR(__xludf.DUMMYFUNCTION("""COMPUTED_VALUE"""),0.4285714285714285)</f>
        <v>0.4285714286</v>
      </c>
      <c r="J807" s="30">
        <f>IFERROR(__xludf.DUMMYFUNCTION("""COMPUTED_VALUE"""),216.34615384615384)</f>
        <v>216.3461538</v>
      </c>
      <c r="K807" s="30">
        <f>IFERROR(__xludf.DUMMYFUNCTION("""COMPUTED_VALUE"""),0.5769230769230769)</f>
        <v>0.5769230769</v>
      </c>
      <c r="L807" s="30">
        <f>IFERROR(__xludf.DUMMYFUNCTION("""COMPUTED_VALUE"""),0.3076923076923077)</f>
        <v>0.3076923077</v>
      </c>
      <c r="M807" s="30">
        <f>IFERROR(__xludf.DUMMYFUNCTION("""COMPUTED_VALUE"""),0.5769230769230769)</f>
        <v>0.5769230769</v>
      </c>
      <c r="N807" s="30">
        <f>IFERROR(__xludf.DUMMYFUNCTION("""COMPUTED_VALUE"""),1.3461538461538463)</f>
        <v>1.346153846</v>
      </c>
      <c r="O807" s="30">
        <f>IFERROR(__xludf.DUMMYFUNCTION("""COMPUTED_VALUE"""),284.474358974359)</f>
        <v>284.474359</v>
      </c>
      <c r="P807" s="30">
        <f>IFERROR(__xludf.DUMMYFUNCTION("""COMPUTED_VALUE"""),0.6602564102564101)</f>
        <v>0.6602564103</v>
      </c>
      <c r="Q807" s="30">
        <f>IFERROR(__xludf.DUMMYFUNCTION("""COMPUTED_VALUE"""),0.3653846153846153)</f>
        <v>0.3653846154</v>
      </c>
      <c r="R807" s="30">
        <f>IFERROR(__xludf.DUMMYFUNCTION("""COMPUTED_VALUE"""),0.9294871794871796)</f>
        <v>0.9294871795</v>
      </c>
      <c r="S807" s="30">
        <f>IFERROR(__xludf.DUMMYFUNCTION("""COMPUTED_VALUE"""),1.9871794871794868)</f>
        <v>1.987179487</v>
      </c>
      <c r="T807" s="30">
        <f>IFERROR(__xludf.DUMMYFUNCTION("""COMPUTED_VALUE"""),279.7284746517099)</f>
        <v>279.7284747</v>
      </c>
      <c r="U807" s="30">
        <f>IFERROR(__xludf.DUMMYFUNCTION("""COMPUTED_VALUE"""),0.73418805928768)</f>
        <v>0.7341880593</v>
      </c>
      <c r="V807" s="30">
        <f>IFERROR(__xludf.DUMMYFUNCTION("""COMPUTED_VALUE"""),0.41182051757715893)</f>
        <v>0.4118205176</v>
      </c>
      <c r="W807" s="30">
        <f>IFERROR(__xludf.DUMMYFUNCTION("""COMPUTED_VALUE"""),0.8619055836109916)</f>
        <v>0.8619055836</v>
      </c>
      <c r="X807" s="30">
        <f>IFERROR(__xludf.DUMMYFUNCTION("""COMPUTED_VALUE"""),1.887908035372456)</f>
        <v>1.887908035</v>
      </c>
      <c r="Y807" s="30">
        <f>IFERROR(__xludf.DUMMYFUNCTION("""COMPUTED_VALUE"""),304.7830685432034)</f>
        <v>304.7830685</v>
      </c>
      <c r="Z807" s="30">
        <f>IFERROR(__xludf.DUMMYFUNCTION("""COMPUTED_VALUE"""),0.8708147111807771)</f>
        <v>0.8708147112</v>
      </c>
      <c r="AA807" s="30">
        <f>IFERROR(__xludf.DUMMYFUNCTION("""COMPUTED_VALUE"""),0.5162573360296319)</f>
        <v>0.516257336</v>
      </c>
      <c r="AB807" s="30">
        <f>IFERROR(__xludf.DUMMYFUNCTION("""COMPUTED_VALUE"""),0.8032364895248357)</f>
        <v>0.8032364895</v>
      </c>
      <c r="AC807" s="30">
        <f>IFERROR(__xludf.DUMMYFUNCTION("""COMPUTED_VALUE"""),2.1780107021963446)</f>
        <v>2.178010702</v>
      </c>
      <c r="AD807" s="30">
        <f>IFERROR(__xludf.DUMMYFUNCTION("""COMPUTED_VALUE"""),0.7098365236633428)</f>
        <v>0.7098365237</v>
      </c>
      <c r="AE807" s="30">
        <f>IFERROR(__xludf.DUMMYFUNCTION("""COMPUTED_VALUE"""),0.6625095666342162)</f>
        <v>0.6625095666</v>
      </c>
      <c r="AF807" s="30">
        <f>IFERROR(__xludf.DUMMYFUNCTION("""COMPUTED_VALUE"""),0.5960056859601641)</f>
        <v>0.596005686</v>
      </c>
      <c r="AG807" s="30">
        <f>IFERROR(__xludf.DUMMYFUNCTION("""COMPUTED_VALUE"""),0.7182480931168387)</f>
        <v>0.7182480931</v>
      </c>
      <c r="AH807" s="30">
        <f>IFERROR(__xludf.DUMMYFUNCTION("""COMPUTED_VALUE"""),0.6180657628524786)</f>
        <v>0.6180657629</v>
      </c>
      <c r="AI807" s="30">
        <f>IFERROR(__xludf.DUMMYFUNCTION("""COMPUTED_VALUE"""),1.0169660394014524)</f>
        <v>1.016966039</v>
      </c>
      <c r="AJ807" s="30">
        <f>IFERROR(__xludf.DUMMYFUNCTION("""COMPUTED_VALUE"""),0.8993014826432897)</f>
        <v>0.8993014826</v>
      </c>
      <c r="AK807" s="30">
        <f>IFERROR(__xludf.DUMMYFUNCTION("""COMPUTED_VALUE"""),0.8872423781463405)</f>
        <v>0.8872423781</v>
      </c>
      <c r="AL807" s="30">
        <f>IFERROR(__xludf.DUMMYFUNCTION("""COMPUTED_VALUE"""),1.0784095116231316)</f>
        <v>1.078409512</v>
      </c>
      <c r="AM807" s="30">
        <f>IFERROR(__xludf.DUMMYFUNCTION("""COMPUTED_VALUE"""),1.052582779429426)</f>
        <v>1.052582779</v>
      </c>
      <c r="AN807" s="30">
        <f>IFERROR(__xludf.DUMMYFUNCTION("""COMPUTED_VALUE"""),0.7788618209623144)</f>
        <v>0.778861821</v>
      </c>
      <c r="AO807" s="30">
        <f>IFERROR(__xludf.DUMMYFUNCTION("""COMPUTED_VALUE"""),0.7765412989989111)</f>
        <v>0.776541299</v>
      </c>
      <c r="AP807" s="30">
        <f>IFERROR(__xludf.DUMMYFUNCTION("""COMPUTED_VALUE"""),0.7321631794060609)</f>
        <v>0.7321631794</v>
      </c>
      <c r="AQ807" s="30">
        <f>IFERROR(__xludf.DUMMYFUNCTION("""COMPUTED_VALUE"""),0.7319074182917011)</f>
        <v>0.7319074183</v>
      </c>
      <c r="AR807" s="30">
        <f>IFERROR(__xludf.DUMMYFUNCTION("""COMPUTED_VALUE"""),0.7049469900524273)</f>
        <v>0.7049469901</v>
      </c>
      <c r="AS807" s="30">
        <f>IFERROR(__xludf.DUMMYFUNCTION("""COMPUTED_VALUE"""),102.0)</f>
        <v>102</v>
      </c>
      <c r="AT807" s="30">
        <f>IFERROR(__xludf.DUMMYFUNCTION("""COMPUTED_VALUE"""),0.757236522769635)</f>
        <v>0.7572365228</v>
      </c>
      <c r="AU807" s="30">
        <f>IFERROR(__xludf.DUMMYFUNCTION("""COMPUTED_VALUE"""),0.8913778842406943)</f>
        <v>0.8913778842</v>
      </c>
      <c r="AV807" s="32">
        <f>IFERROR(__xludf.DUMMYFUNCTION("""COMPUTED_VALUE"""),34.41628934213191)</f>
        <v>34.41628934</v>
      </c>
      <c r="AW807" s="32">
        <f>IFERROR(__xludf.DUMMYFUNCTION("""COMPUTED_VALUE"""),-3.7519539616544737)</f>
        <v>-3.751953962</v>
      </c>
      <c r="AX807" s="32">
        <f>IFERROR(__xludf.DUMMYFUNCTION("""COMPUTED_VALUE"""),21.011143145005807)</f>
        <v>21.01114315</v>
      </c>
      <c r="AY807" s="32">
        <f>IFERROR(__xludf.DUMMYFUNCTION("""COMPUTED_VALUE"""),-8.122476316723814)</f>
        <v>-8.122476317</v>
      </c>
      <c r="AZ807" s="30">
        <f>IFERROR(__xludf.DUMMYFUNCTION("""COMPUTED_VALUE"""),4.37052235506934)</f>
        <v>4.370522355</v>
      </c>
      <c r="BA807" s="30">
        <f>IFERROR(__xludf.DUMMYFUNCTION("""COMPUTED_VALUE"""),4000.0)</f>
        <v>4000</v>
      </c>
    </row>
    <row r="808">
      <c r="A808" s="71" t="str">
        <f>IFERROR(__xludf.DUMMYFUNCTION("""COMPUTED_VALUE"""),"Amateur")</f>
        <v>Amateur</v>
      </c>
      <c r="B808" s="71" t="str">
        <f>IFERROR(__xludf.DUMMYFUNCTION("""COMPUTED_VALUE"""),"RSC008012")</f>
        <v>RSC008012</v>
      </c>
      <c r="C808" s="30" t="str">
        <f>IFERROR(__xludf.DUMMYFUNCTION("""COMPUTED_VALUE"""),"mushxie")</f>
        <v>mushxie</v>
      </c>
      <c r="D808" s="30" t="str">
        <f>IFERROR(__xludf.DUMMYFUNCTION("""COMPUTED_VALUE"""),"Amaranth")</f>
        <v>Amaranth</v>
      </c>
      <c r="E808" s="30">
        <f>IFERROR(__xludf.DUMMYFUNCTION("""COMPUTED_VALUE"""),23.0)</f>
        <v>23</v>
      </c>
      <c r="F808" s="30">
        <f>IFERROR(__xludf.DUMMYFUNCTION("""COMPUTED_VALUE"""),14.0)</f>
        <v>14</v>
      </c>
      <c r="G808" s="42">
        <f>IFERROR(__xludf.DUMMYFUNCTION("""COMPUTED_VALUE"""),9.0)</f>
        <v>9</v>
      </c>
      <c r="H808" s="42">
        <f>IFERROR(__xludf.DUMMYFUNCTION("""COMPUTED_VALUE"""),0.6086956521739131)</f>
        <v>0.6086956522</v>
      </c>
      <c r="I808" s="42">
        <f>IFERROR(__xludf.DUMMYFUNCTION("""COMPUTED_VALUE"""),0.27450980392156865)</f>
        <v>0.2745098039</v>
      </c>
      <c r="J808" s="30">
        <f>IFERROR(__xludf.DUMMYFUNCTION("""COMPUTED_VALUE"""),322.82608695652175)</f>
        <v>322.826087</v>
      </c>
      <c r="K808" s="30">
        <f>IFERROR(__xludf.DUMMYFUNCTION("""COMPUTED_VALUE"""),0.6086956521739131)</f>
        <v>0.6086956522</v>
      </c>
      <c r="L808" s="30">
        <f>IFERROR(__xludf.DUMMYFUNCTION("""COMPUTED_VALUE"""),0.8260869565217391)</f>
        <v>0.8260869565</v>
      </c>
      <c r="M808" s="30">
        <f>IFERROR(__xludf.DUMMYFUNCTION("""COMPUTED_VALUE"""),0.8695652173913043)</f>
        <v>0.8695652174</v>
      </c>
      <c r="N808" s="30">
        <f>IFERROR(__xludf.DUMMYFUNCTION("""COMPUTED_VALUE"""),2.217391304347826)</f>
        <v>2.217391304</v>
      </c>
      <c r="O808" s="30">
        <f>IFERROR(__xludf.DUMMYFUNCTION("""COMPUTED_VALUE"""),276.88405797101456)</f>
        <v>276.884058</v>
      </c>
      <c r="P808" s="30">
        <f>IFERROR(__xludf.DUMMYFUNCTION("""COMPUTED_VALUE"""),0.5797101449275364)</f>
        <v>0.5797101449</v>
      </c>
      <c r="Q808" s="30">
        <f>IFERROR(__xludf.DUMMYFUNCTION("""COMPUTED_VALUE"""),0.39130434782608686)</f>
        <v>0.3913043478</v>
      </c>
      <c r="R808" s="30">
        <f>IFERROR(__xludf.DUMMYFUNCTION("""COMPUTED_VALUE"""),0.9275362318840581)</f>
        <v>0.9275362319</v>
      </c>
      <c r="S808" s="30">
        <f>IFERROR(__xludf.DUMMYFUNCTION("""COMPUTED_VALUE"""),1.6956521739130435)</f>
        <v>1.695652174</v>
      </c>
      <c r="T808" s="30">
        <f>IFERROR(__xludf.DUMMYFUNCTION("""COMPUTED_VALUE"""),286.066656552204)</f>
        <v>286.0666566</v>
      </c>
      <c r="U808" s="30">
        <f>IFERROR(__xludf.DUMMYFUNCTION("""COMPUTED_VALUE"""),0.7832892736337173)</f>
        <v>0.7832892736</v>
      </c>
      <c r="V808" s="30">
        <f>IFERROR(__xludf.DUMMYFUNCTION("""COMPUTED_VALUE"""),0.43715335613611334)</f>
        <v>0.4371533561</v>
      </c>
      <c r="W808" s="30">
        <f>IFERROR(__xludf.DUMMYFUNCTION("""COMPUTED_VALUE"""),0.8307110164110413)</f>
        <v>0.8307110164</v>
      </c>
      <c r="X808" s="30">
        <f>IFERROR(__xludf.DUMMYFUNCTION("""COMPUTED_VALUE"""),1.947809277932205)</f>
        <v>1.947809278</v>
      </c>
      <c r="Y808" s="30">
        <f>IFERROR(__xludf.DUMMYFUNCTION("""COMPUTED_VALUE"""),297.0685024564154)</f>
        <v>297.0685025</v>
      </c>
      <c r="Z808" s="30">
        <f>IFERROR(__xludf.DUMMYFUNCTION("""COMPUTED_VALUE"""),0.8105315192056866)</f>
        <v>0.8105315192</v>
      </c>
      <c r="AA808" s="30">
        <f>IFERROR(__xludf.DUMMYFUNCTION("""COMPUTED_VALUE"""),0.48368018898994736)</f>
        <v>0.483680189</v>
      </c>
      <c r="AB808" s="30">
        <f>IFERROR(__xludf.DUMMYFUNCTION("""COMPUTED_VALUE"""),0.8104816788824228)</f>
        <v>0.8104816789</v>
      </c>
      <c r="AC808" s="30">
        <f>IFERROR(__xludf.DUMMYFUNCTION("""COMPUTED_VALUE"""),2.085051468311409)</f>
        <v>2.085051468</v>
      </c>
      <c r="AD808" s="30">
        <f>IFERROR(__xludf.DUMMYFUNCTION("""COMPUTED_VALUE"""),1.0867058752009073)</f>
        <v>1.086705875</v>
      </c>
      <c r="AE808" s="30">
        <f>IFERROR(__xludf.DUMMYFUNCTION("""COMPUTED_VALUE"""),0.7509833211303482)</f>
        <v>0.7509833211</v>
      </c>
      <c r="AF808" s="30">
        <f>IFERROR(__xludf.DUMMYFUNCTION("""COMPUTED_VALUE"""),1.7079197687356764)</f>
        <v>1.707919769</v>
      </c>
      <c r="AG808" s="30">
        <f>IFERROR(__xludf.DUMMYFUNCTION("""COMPUTED_VALUE"""),1.0728992894575384)</f>
        <v>1.072899289</v>
      </c>
      <c r="AH808" s="30">
        <f>IFERROR(__xludf.DUMMYFUNCTION("""COMPUTED_VALUE"""),1.0634707766439901)</f>
        <v>1.063470777</v>
      </c>
      <c r="AI808" s="30">
        <f>IFERROR(__xludf.DUMMYFUNCTION("""COMPUTED_VALUE"""),0.9679004932211884)</f>
        <v>0.9679004932</v>
      </c>
      <c r="AJ808" s="30">
        <f>IFERROR(__xludf.DUMMYFUNCTION("""COMPUTED_VALUE"""),0.74009713198067)</f>
        <v>0.740097132</v>
      </c>
      <c r="AK808" s="30">
        <f>IFERROR(__xludf.DUMMYFUNCTION("""COMPUTED_VALUE"""),0.895119166611749)</f>
        <v>0.8951191666</v>
      </c>
      <c r="AL808" s="30">
        <f>IFERROR(__xludf.DUMMYFUNCTION("""COMPUTED_VALUE"""),1.1165570379592835)</f>
        <v>1.116557038</v>
      </c>
      <c r="AM808" s="30">
        <f>IFERROR(__xludf.DUMMYFUNCTION("""COMPUTED_VALUE"""),0.8705432267542891)</f>
        <v>0.8705432268</v>
      </c>
      <c r="AN808" s="30">
        <f>IFERROR(__xludf.DUMMYFUNCTION("""COMPUTED_VALUE"""),1.1621972911055056)</f>
        <v>1.162197291</v>
      </c>
      <c r="AO808" s="30">
        <f>IFERROR(__xludf.DUMMYFUNCTION("""COMPUTED_VALUE"""),0.8193073415524744)</f>
        <v>0.8193073416</v>
      </c>
      <c r="AP808" s="30">
        <f>IFERROR(__xludf.DUMMYFUNCTION("""COMPUTED_VALUE"""),1.9656989707967067)</f>
        <v>1.965698971</v>
      </c>
      <c r="AQ808" s="30">
        <f>IFERROR(__xludf.DUMMYFUNCTION("""COMPUTED_VALUE"""),1.1031648043816946)</f>
        <v>1.103164804</v>
      </c>
      <c r="AR808" s="30">
        <f>IFERROR(__xludf.DUMMYFUNCTION("""COMPUTED_VALUE"""),1.1611921848565447)</f>
        <v>1.161192185</v>
      </c>
      <c r="AS808" s="30">
        <f>IFERROR(__xludf.DUMMYFUNCTION("""COMPUTED_VALUE"""),124.0)</f>
        <v>124</v>
      </c>
      <c r="AT808" s="30">
        <f>IFERROR(__xludf.DUMMYFUNCTION("""COMPUTED_VALUE"""),0.8795531633371888)</f>
        <v>0.8795531633</v>
      </c>
      <c r="AU808" s="30">
        <f>IFERROR(__xludf.DUMMYFUNCTION("""COMPUTED_VALUE"""),2.6226604797240247)</f>
        <v>2.62266048</v>
      </c>
      <c r="AV808" s="32">
        <f>IFERROR(__xludf.DUMMYFUNCTION("""COMPUTED_VALUE"""),69.81604517020256)</f>
        <v>69.81604517</v>
      </c>
      <c r="AW808" s="32">
        <f>IFERROR(__xludf.DUMMYFUNCTION("""COMPUTED_VALUE"""),4.673044115199317)</f>
        <v>4.673044115</v>
      </c>
      <c r="AX808" s="32">
        <f>IFERROR(__xludf.DUMMYFUNCTION("""COMPUTED_VALUE"""),79.13278840975846)</f>
        <v>79.13278841</v>
      </c>
      <c r="AY808" s="32">
        <f>IFERROR(__xludf.DUMMYFUNCTION("""COMPUTED_VALUE"""),8.200320343060554)</f>
        <v>8.200320343</v>
      </c>
      <c r="AZ808" s="30">
        <f>IFERROR(__xludf.DUMMYFUNCTION("""COMPUTED_VALUE"""),3.527276227861237)</f>
        <v>3.527276228</v>
      </c>
      <c r="BA808" s="30">
        <f>IFERROR(__xludf.DUMMYFUNCTION("""COMPUTED_VALUE"""),4000.0)</f>
        <v>4000</v>
      </c>
    </row>
    <row r="809">
      <c r="A809" s="71" t="str">
        <f>IFERROR(__xludf.DUMMYFUNCTION("""COMPUTED_VALUE"""),"Amateur")</f>
        <v>Amateur</v>
      </c>
      <c r="B809" s="71" t="str">
        <f>IFERROR(__xludf.DUMMYFUNCTION("""COMPUTED_VALUE"""),"RSC007464")</f>
        <v>RSC007464</v>
      </c>
      <c r="C809" s="30" t="str">
        <f>IFERROR(__xludf.DUMMYFUNCTION("""COMPUTED_VALUE"""),"MoonKnight2")</f>
        <v>MoonKnight2</v>
      </c>
      <c r="D809" s="30" t="str">
        <f>IFERROR(__xludf.DUMMYFUNCTION("""COMPUTED_VALUE"""),"Hyenas")</f>
        <v>Hyenas</v>
      </c>
      <c r="E809" s="30">
        <f>IFERROR(__xludf.DUMMYFUNCTION("""COMPUTED_VALUE"""),35.0)</f>
        <v>35</v>
      </c>
      <c r="F809" s="30">
        <f>IFERROR(__xludf.DUMMYFUNCTION("""COMPUTED_VALUE"""),25.0)</f>
        <v>25</v>
      </c>
      <c r="G809" s="42">
        <f>IFERROR(__xludf.DUMMYFUNCTION("""COMPUTED_VALUE"""),10.0)</f>
        <v>10</v>
      </c>
      <c r="H809" s="42">
        <f>IFERROR(__xludf.DUMMYFUNCTION("""COMPUTED_VALUE"""),0.7142857142857143)</f>
        <v>0.7142857143</v>
      </c>
      <c r="I809" s="42">
        <f>IFERROR(__xludf.DUMMYFUNCTION("""COMPUTED_VALUE"""),0.3939393939393939)</f>
        <v>0.3939393939</v>
      </c>
      <c r="J809" s="30">
        <f>IFERROR(__xludf.DUMMYFUNCTION("""COMPUTED_VALUE"""),371.0571428571429)</f>
        <v>371.0571429</v>
      </c>
      <c r="K809" s="30">
        <f>IFERROR(__xludf.DUMMYFUNCTION("""COMPUTED_VALUE"""),1.1142857142857143)</f>
        <v>1.114285714</v>
      </c>
      <c r="L809" s="30">
        <f>IFERROR(__xludf.DUMMYFUNCTION("""COMPUTED_VALUE"""),0.5714285714285714)</f>
        <v>0.5714285714</v>
      </c>
      <c r="M809" s="30">
        <f>IFERROR(__xludf.DUMMYFUNCTION("""COMPUTED_VALUE"""),1.2285714285714286)</f>
        <v>1.228571429</v>
      </c>
      <c r="N809" s="30">
        <f>IFERROR(__xludf.DUMMYFUNCTION("""COMPUTED_VALUE"""),2.8285714285714287)</f>
        <v>2.828571429</v>
      </c>
      <c r="O809" s="30">
        <f>IFERROR(__xludf.DUMMYFUNCTION("""COMPUTED_VALUE"""),266.7976190476191)</f>
        <v>266.797619</v>
      </c>
      <c r="P809" s="30">
        <f>IFERROR(__xludf.DUMMYFUNCTION("""COMPUTED_VALUE"""),0.569047619047619)</f>
        <v>0.569047619</v>
      </c>
      <c r="Q809" s="30">
        <f>IFERROR(__xludf.DUMMYFUNCTION("""COMPUTED_VALUE"""),0.3047619047619047)</f>
        <v>0.3047619048</v>
      </c>
      <c r="R809" s="30">
        <f>IFERROR(__xludf.DUMMYFUNCTION("""COMPUTED_VALUE"""),0.9976190476190477)</f>
        <v>0.9976190476</v>
      </c>
      <c r="S809" s="30">
        <f>IFERROR(__xludf.DUMMYFUNCTION("""COMPUTED_VALUE"""),1.7880952380952386)</f>
        <v>1.788095238</v>
      </c>
      <c r="T809" s="30">
        <f>IFERROR(__xludf.DUMMYFUNCTION("""COMPUTED_VALUE"""),291.09881974198987)</f>
        <v>291.0988197</v>
      </c>
      <c r="U809" s="30">
        <f>IFERROR(__xludf.DUMMYFUNCTION("""COMPUTED_VALUE"""),0.7250996311640054)</f>
        <v>0.7250996312</v>
      </c>
      <c r="V809" s="30">
        <f>IFERROR(__xludf.DUMMYFUNCTION("""COMPUTED_VALUE"""),0.4301305801030482)</f>
        <v>0.4301305801</v>
      </c>
      <c r="W809" s="30">
        <f>IFERROR(__xludf.DUMMYFUNCTION("""COMPUTED_VALUE"""),0.8636539690055076)</f>
        <v>0.863653969</v>
      </c>
      <c r="X809" s="30">
        <f>IFERROR(__xludf.DUMMYFUNCTION("""COMPUTED_VALUE"""),2.05351818464341)</f>
        <v>2.053518185</v>
      </c>
      <c r="Y809" s="30">
        <f>IFERROR(__xludf.DUMMYFUNCTION("""COMPUTED_VALUE"""),301.5850457930751)</f>
        <v>301.5850458</v>
      </c>
      <c r="Z809" s="30">
        <f>IFERROR(__xludf.DUMMYFUNCTION("""COMPUTED_VALUE"""),0.8146887433763418)</f>
        <v>0.8146887434</v>
      </c>
      <c r="AA809" s="30">
        <f>IFERROR(__xludf.DUMMYFUNCTION("""COMPUTED_VALUE"""),0.46158100129651264)</f>
        <v>0.4615810013</v>
      </c>
      <c r="AB809" s="30">
        <f>IFERROR(__xludf.DUMMYFUNCTION("""COMPUTED_VALUE"""),0.8836818022535056)</f>
        <v>0.8836818023</v>
      </c>
      <c r="AC809" s="30">
        <f>IFERROR(__xludf.DUMMYFUNCTION("""COMPUTED_VALUE"""),2.0839570380588515)</f>
        <v>2.083957038</v>
      </c>
      <c r="AD809" s="30">
        <f>IFERROR(__xludf.DUMMYFUNCTION("""COMPUTED_VALUE"""),1.2303565711667757)</f>
        <v>1.230356571</v>
      </c>
      <c r="AE809" s="30">
        <f>IFERROR(__xludf.DUMMYFUNCTION("""COMPUTED_VALUE"""),1.3677440904212605)</f>
        <v>1.36774409</v>
      </c>
      <c r="AF809" s="30">
        <f>IFERROR(__xludf.DUMMYFUNCTION("""COMPUTED_VALUE"""),1.2379811340230928)</f>
        <v>1.237981134</v>
      </c>
      <c r="AG809" s="30">
        <f>IFERROR(__xludf.DUMMYFUNCTION("""COMPUTED_VALUE"""),1.390287120814765)</f>
        <v>1.390287121</v>
      </c>
      <c r="AH809" s="30">
        <f>IFERROR(__xludf.DUMMYFUNCTION("""COMPUTED_VALUE"""),1.3573079372145622)</f>
        <v>1.357307937</v>
      </c>
      <c r="AI809" s="30">
        <f>IFERROR(__xludf.DUMMYFUNCTION("""COMPUTED_VALUE"""),0.9165190682809717)</f>
        <v>0.9165190683</v>
      </c>
      <c r="AJ809" s="30">
        <f>IFERROR(__xludf.DUMMYFUNCTION("""COMPUTED_VALUE"""),0.7847854206381605)</f>
        <v>0.7847854206</v>
      </c>
      <c r="AK809" s="30">
        <f>IFERROR(__xludf.DUMMYFUNCTION("""COMPUTED_VALUE"""),0.708533452071442)</f>
        <v>0.7085334521</v>
      </c>
      <c r="AL809" s="30">
        <f>IFERROR(__xludf.DUMMYFUNCTION("""COMPUTED_VALUE"""),1.1551142974168231)</f>
        <v>1.155114297</v>
      </c>
      <c r="AM809" s="30">
        <f>IFERROR(__xludf.DUMMYFUNCTION("""COMPUTED_VALUE"""),0.870747213960386)</f>
        <v>0.870747214</v>
      </c>
      <c r="AN809" s="30">
        <f>IFERROR(__xludf.DUMMYFUNCTION("""COMPUTED_VALUE"""),1.335832585090931)</f>
        <v>1.335832585</v>
      </c>
      <c r="AO809" s="30">
        <f>IFERROR(__xludf.DUMMYFUNCTION("""COMPUTED_VALUE"""),1.4998340517807542)</f>
        <v>1.499834052</v>
      </c>
      <c r="AP809" s="30">
        <f>IFERROR(__xludf.DUMMYFUNCTION("""COMPUTED_VALUE"""),1.3597316188969701)</f>
        <v>1.359731619</v>
      </c>
      <c r="AQ809" s="30">
        <f>IFERROR(__xludf.DUMMYFUNCTION("""COMPUTED_VALUE"""),1.55861427361928)</f>
        <v>1.558614274</v>
      </c>
      <c r="AR809" s="30">
        <f>IFERROR(__xludf.DUMMYFUNCTION("""COMPUTED_VALUE"""),1.4812518795060798)</f>
        <v>1.48125188</v>
      </c>
      <c r="AS809" s="30">
        <f>IFERROR(__xludf.DUMMYFUNCTION("""COMPUTED_VALUE"""),273.0)</f>
        <v>273</v>
      </c>
      <c r="AT809" s="30">
        <f>IFERROR(__xludf.DUMMYFUNCTION("""COMPUTED_VALUE"""),0.9478288214857298)</f>
        <v>0.9478288215</v>
      </c>
      <c r="AU809" s="30">
        <f>IFERROR(__xludf.DUMMYFUNCTION("""COMPUTED_VALUE"""),3.240207955806829)</f>
        <v>3.240207956</v>
      </c>
      <c r="AV809" s="32">
        <f>IFERROR(__xludf.DUMMYFUNCTION("""COMPUTED_VALUE"""),82.4431171009231)</f>
        <v>82.4431171</v>
      </c>
      <c r="AW809" s="32">
        <f>IFERROR(__xludf.DUMMYFUNCTION("""COMPUTED_VALUE"""),10.289020734466282)</f>
        <v>10.28902073</v>
      </c>
      <c r="AX809" s="32">
        <f>IFERROR(__xludf.DUMMYFUNCTION("""COMPUTED_VALUE"""),77.79934450306605)</f>
        <v>77.7993445</v>
      </c>
      <c r="AY809" s="32">
        <f>IFERROR(__xludf.DUMMYFUNCTION("""COMPUTED_VALUE"""),7.514575721982121)</f>
        <v>7.514575722</v>
      </c>
      <c r="AZ809" s="30">
        <f>IFERROR(__xludf.DUMMYFUNCTION("""COMPUTED_VALUE"""),2.7744450124841613)</f>
        <v>2.774445012</v>
      </c>
      <c r="BA809" s="30">
        <f>IFERROR(__xludf.DUMMYFUNCTION("""COMPUTED_VALUE"""),4000.0)</f>
        <v>4000</v>
      </c>
    </row>
    <row r="810">
      <c r="A810" s="71" t="str">
        <f>IFERROR(__xludf.DUMMYFUNCTION("""COMPUTED_VALUE"""),"Amateur")</f>
        <v>Amateur</v>
      </c>
      <c r="B810" s="71" t="str">
        <f>IFERROR(__xludf.DUMMYFUNCTION("""COMPUTED_VALUE"""),"RSC007463")</f>
        <v>RSC007463</v>
      </c>
      <c r="C810" s="30" t="str">
        <f>IFERROR(__xludf.DUMMYFUNCTION("""COMPUTED_VALUE"""),"xproteusx05")</f>
        <v>xproteusx05</v>
      </c>
      <c r="D810" s="30" t="str">
        <f>IFERROR(__xludf.DUMMYFUNCTION("""COMPUTED_VALUE"""),"Surprise")</f>
        <v>Surprise</v>
      </c>
      <c r="E810" s="30">
        <f>IFERROR(__xludf.DUMMYFUNCTION("""COMPUTED_VALUE"""),27.0)</f>
        <v>27</v>
      </c>
      <c r="F810" s="30">
        <f>IFERROR(__xludf.DUMMYFUNCTION("""COMPUTED_VALUE"""),18.0)</f>
        <v>18</v>
      </c>
      <c r="G810" s="42">
        <f>IFERROR(__xludf.DUMMYFUNCTION("""COMPUTED_VALUE"""),9.0)</f>
        <v>9</v>
      </c>
      <c r="H810" s="42">
        <f>IFERROR(__xludf.DUMMYFUNCTION("""COMPUTED_VALUE"""),0.6666666666666666)</f>
        <v>0.6666666667</v>
      </c>
      <c r="I810" s="42">
        <f>IFERROR(__xludf.DUMMYFUNCTION("""COMPUTED_VALUE"""),0.4769230769230769)</f>
        <v>0.4769230769</v>
      </c>
      <c r="J810" s="30">
        <f>IFERROR(__xludf.DUMMYFUNCTION("""COMPUTED_VALUE"""),318.44444444444446)</f>
        <v>318.4444444</v>
      </c>
      <c r="K810" s="30">
        <f>IFERROR(__xludf.DUMMYFUNCTION("""COMPUTED_VALUE"""),1.1481481481481481)</f>
        <v>1.148148148</v>
      </c>
      <c r="L810" s="30">
        <f>IFERROR(__xludf.DUMMYFUNCTION("""COMPUTED_VALUE"""),0.4074074074074074)</f>
        <v>0.4074074074</v>
      </c>
      <c r="M810" s="30">
        <f>IFERROR(__xludf.DUMMYFUNCTION("""COMPUTED_VALUE"""),0.7037037037037037)</f>
        <v>0.7037037037</v>
      </c>
      <c r="N810" s="30">
        <f>IFERROR(__xludf.DUMMYFUNCTION("""COMPUTED_VALUE"""),2.4074074074074074)</f>
        <v>2.407407407</v>
      </c>
      <c r="O810" s="30">
        <f>IFERROR(__xludf.DUMMYFUNCTION("""COMPUTED_VALUE"""),263.1851851851851)</f>
        <v>263.1851852</v>
      </c>
      <c r="P810" s="30">
        <f>IFERROR(__xludf.DUMMYFUNCTION("""COMPUTED_VALUE"""),0.6265432098765431)</f>
        <v>0.6265432099</v>
      </c>
      <c r="Q810" s="30">
        <f>IFERROR(__xludf.DUMMYFUNCTION("""COMPUTED_VALUE"""),0.22839506172839497)</f>
        <v>0.2283950617</v>
      </c>
      <c r="R810" s="30">
        <f>IFERROR(__xludf.DUMMYFUNCTION("""COMPUTED_VALUE"""),0.8919753086419754)</f>
        <v>0.8919753086</v>
      </c>
      <c r="S810" s="30">
        <f>IFERROR(__xludf.DUMMYFUNCTION("""COMPUTED_VALUE"""),1.6790123456790123)</f>
        <v>1.679012346</v>
      </c>
      <c r="T810" s="30">
        <f>IFERROR(__xludf.DUMMYFUNCTION("""COMPUTED_VALUE"""),296.1229249565219)</f>
        <v>296.122925</v>
      </c>
      <c r="U810" s="30">
        <f>IFERROR(__xludf.DUMMYFUNCTION("""COMPUTED_VALUE"""),0.8106623573364031)</f>
        <v>0.8106623573</v>
      </c>
      <c r="V810" s="30">
        <f>IFERROR(__xludf.DUMMYFUNCTION("""COMPUTED_VALUE"""),0.446298081159983)</f>
        <v>0.4462980812</v>
      </c>
      <c r="W810" s="30">
        <f>IFERROR(__xludf.DUMMYFUNCTION("""COMPUTED_VALUE"""),0.82941120693598)</f>
        <v>0.8294112069</v>
      </c>
      <c r="X810" s="30">
        <f>IFERROR(__xludf.DUMMYFUNCTION("""COMPUTED_VALUE"""),2.0363742948394017)</f>
        <v>2.036374295</v>
      </c>
      <c r="Y810" s="30">
        <f>IFERROR(__xludf.DUMMYFUNCTION("""COMPUTED_VALUE"""),310.54014562581966)</f>
        <v>310.5401456</v>
      </c>
      <c r="Z810" s="30">
        <f>IFERROR(__xludf.DUMMYFUNCTION("""COMPUTED_VALUE"""),0.9003577884758039)</f>
        <v>0.9003577885</v>
      </c>
      <c r="AA810" s="30">
        <f>IFERROR(__xludf.DUMMYFUNCTION("""COMPUTED_VALUE"""),0.5118296651595722)</f>
        <v>0.5118296652</v>
      </c>
      <c r="AB810" s="30">
        <f>IFERROR(__xludf.DUMMYFUNCTION("""COMPUTED_VALUE"""),0.8519647049713293)</f>
        <v>0.851964705</v>
      </c>
      <c r="AC810" s="30">
        <f>IFERROR(__xludf.DUMMYFUNCTION("""COMPUTED_VALUE"""),2.1372435350749885)</f>
        <v>2.137243535</v>
      </c>
      <c r="AD810" s="30">
        <f>IFERROR(__xludf.DUMMYFUNCTION("""COMPUTED_VALUE"""),1.025453388007839)</f>
        <v>1.025453388</v>
      </c>
      <c r="AE810" s="30">
        <f>IFERROR(__xludf.DUMMYFUNCTION("""COMPUTED_VALUE"""),1.2752132128404454)</f>
        <v>1.275213213</v>
      </c>
      <c r="AF810" s="30">
        <f>IFERROR(__xludf.DUMMYFUNCTION("""COMPUTED_VALUE"""),0.7959824041859527)</f>
        <v>0.7959824042</v>
      </c>
      <c r="AG810" s="30">
        <f>IFERROR(__xludf.DUMMYFUNCTION("""COMPUTED_VALUE"""),0.8259775312257626)</f>
        <v>0.8259775312</v>
      </c>
      <c r="AH810" s="30">
        <f>IFERROR(__xludf.DUMMYFUNCTION("""COMPUTED_VALUE"""),1.1264076217327006)</f>
        <v>1.126407622</v>
      </c>
      <c r="AI810" s="30">
        <f>IFERROR(__xludf.DUMMYFUNCTION("""COMPUTED_VALUE"""),0.8887700444800994)</f>
        <v>0.8887700445</v>
      </c>
      <c r="AJ810" s="30">
        <f>IFERROR(__xludf.DUMMYFUNCTION("""COMPUTED_VALUE"""),0.7728781337956518)</f>
        <v>0.7728781338</v>
      </c>
      <c r="AK810" s="30">
        <f>IFERROR(__xludf.DUMMYFUNCTION("""COMPUTED_VALUE"""),0.5117545231984157)</f>
        <v>0.5117545232</v>
      </c>
      <c r="AL810" s="30">
        <f>IFERROR(__xludf.DUMMYFUNCTION("""COMPUTED_VALUE"""),1.0754319464010142)</f>
        <v>1.075431946</v>
      </c>
      <c r="AM810" s="30">
        <f>IFERROR(__xludf.DUMMYFUNCTION("""COMPUTED_VALUE"""),0.8245106756326578)</f>
        <v>0.8245106756</v>
      </c>
      <c r="AN810" s="30">
        <f>IFERROR(__xludf.DUMMYFUNCTION("""COMPUTED_VALUE"""),1.1464230607570927)</f>
        <v>1.146423061</v>
      </c>
      <c r="AO810" s="30">
        <f>IFERROR(__xludf.DUMMYFUNCTION("""COMPUTED_VALUE"""),1.5454130543040059)</f>
        <v>1.545413054</v>
      </c>
      <c r="AP810" s="30">
        <f>IFERROR(__xludf.DUMMYFUNCTION("""COMPUTED_VALUE"""),0.9694382838432102)</f>
        <v>0.9694382838</v>
      </c>
      <c r="AQ810" s="30">
        <f>IFERROR(__xludf.DUMMYFUNCTION("""COMPUTED_VALUE"""),0.8927463324348158)</f>
        <v>0.8927463324</v>
      </c>
      <c r="AR810" s="30">
        <f>IFERROR(__xludf.DUMMYFUNCTION("""COMPUTED_VALUE"""),1.2606988499350287)</f>
        <v>1.26069885</v>
      </c>
      <c r="AS810" s="30">
        <f>IFERROR(__xludf.DUMMYFUNCTION("""COMPUTED_VALUE"""),200.0)</f>
        <v>200</v>
      </c>
      <c r="AT810" s="30">
        <f>IFERROR(__xludf.DUMMYFUNCTION("""COMPUTED_VALUE"""),0.9308513179227831)</f>
        <v>0.9308513179</v>
      </c>
      <c r="AU810" s="30">
        <f>IFERROR(__xludf.DUMMYFUNCTION("""COMPUTED_VALUE"""),2.683078533870878)</f>
        <v>2.683078534</v>
      </c>
      <c r="AV810" s="32">
        <f>IFERROR(__xludf.DUMMYFUNCTION("""COMPUTED_VALUE"""),71.05142082174872)</f>
        <v>71.05142082</v>
      </c>
      <c r="AW810" s="32">
        <f>IFERROR(__xludf.DUMMYFUNCTION("""COMPUTED_VALUE"""),5.003050080973428)</f>
        <v>5.003050081</v>
      </c>
      <c r="AX810" s="32">
        <f>IFERROR(__xludf.DUMMYFUNCTION("""COMPUTED_VALUE"""),59.73773470130255)</f>
        <v>59.7377347</v>
      </c>
      <c r="AY810" s="32">
        <f>IFERROR(__xludf.DUMMYFUNCTION("""COMPUTED_VALUE"""),2.869854808246433)</f>
        <v>2.869854808</v>
      </c>
      <c r="AZ810" s="30">
        <f>IFERROR(__xludf.DUMMYFUNCTION("""COMPUTED_VALUE"""),2.133195272726995)</f>
        <v>2.133195273</v>
      </c>
      <c r="BA810" s="30">
        <f>IFERROR(__xludf.DUMMYFUNCTION("""COMPUTED_VALUE"""),4000.0)</f>
        <v>4000</v>
      </c>
    </row>
    <row r="811">
      <c r="A811" s="71" t="str">
        <f>IFERROR(__xludf.DUMMYFUNCTION("""COMPUTED_VALUE"""),"Amateur")</f>
        <v>Amateur</v>
      </c>
      <c r="B811" s="71" t="str">
        <f>IFERROR(__xludf.DUMMYFUNCTION("""COMPUTED_VALUE"""),"RSC007581")</f>
        <v>RSC007581</v>
      </c>
      <c r="C811" s="30" t="str">
        <f>IFERROR(__xludf.DUMMYFUNCTION("""COMPUTED_VALUE"""),"Wrecklessjay02")</f>
        <v>Wrecklessjay02</v>
      </c>
      <c r="D811" s="30" t="str">
        <f>IFERROR(__xludf.DUMMYFUNCTION("""COMPUTED_VALUE"""),"Hyenas")</f>
        <v>Hyenas</v>
      </c>
      <c r="E811" s="30">
        <f>IFERROR(__xludf.DUMMYFUNCTION("""COMPUTED_VALUE"""),36.0)</f>
        <v>36</v>
      </c>
      <c r="F811" s="30">
        <f>IFERROR(__xludf.DUMMYFUNCTION("""COMPUTED_VALUE"""),26.0)</f>
        <v>26</v>
      </c>
      <c r="G811" s="42">
        <f>IFERROR(__xludf.DUMMYFUNCTION("""COMPUTED_VALUE"""),10.0)</f>
        <v>10</v>
      </c>
      <c r="H811" s="42">
        <f>IFERROR(__xludf.DUMMYFUNCTION("""COMPUTED_VALUE"""),0.7222222222222222)</f>
        <v>0.7222222222</v>
      </c>
      <c r="I811" s="42">
        <f>IFERROR(__xludf.DUMMYFUNCTION("""COMPUTED_VALUE"""),0.3875)</f>
        <v>0.3875</v>
      </c>
      <c r="J811" s="30">
        <f>IFERROR(__xludf.DUMMYFUNCTION("""COMPUTED_VALUE"""),316.22222222222223)</f>
        <v>316.2222222</v>
      </c>
      <c r="K811" s="30">
        <f>IFERROR(__xludf.DUMMYFUNCTION("""COMPUTED_VALUE"""),0.8611111111111112)</f>
        <v>0.8611111111</v>
      </c>
      <c r="L811" s="30">
        <f>IFERROR(__xludf.DUMMYFUNCTION("""COMPUTED_VALUE"""),0.5555555555555556)</f>
        <v>0.5555555556</v>
      </c>
      <c r="M811" s="30">
        <f>IFERROR(__xludf.DUMMYFUNCTION("""COMPUTED_VALUE"""),0.9166666666666666)</f>
        <v>0.9166666667</v>
      </c>
      <c r="N811" s="30">
        <f>IFERROR(__xludf.DUMMYFUNCTION("""COMPUTED_VALUE"""),2.2222222222222223)</f>
        <v>2.222222222</v>
      </c>
      <c r="O811" s="30">
        <f>IFERROR(__xludf.DUMMYFUNCTION("""COMPUTED_VALUE"""),265.3148148148149)</f>
        <v>265.3148148</v>
      </c>
      <c r="P811" s="30">
        <f>IFERROR(__xludf.DUMMYFUNCTION("""COMPUTED_VALUE"""),0.5648148148148148)</f>
        <v>0.5648148148</v>
      </c>
      <c r="Q811" s="30">
        <f>IFERROR(__xludf.DUMMYFUNCTION("""COMPUTED_VALUE"""),0.3055555555555554)</f>
        <v>0.3055555556</v>
      </c>
      <c r="R811" s="30">
        <f>IFERROR(__xludf.DUMMYFUNCTION("""COMPUTED_VALUE"""),0.9907407407407409)</f>
        <v>0.9907407407</v>
      </c>
      <c r="S811" s="30">
        <f>IFERROR(__xludf.DUMMYFUNCTION("""COMPUTED_VALUE"""),1.768518518518519)</f>
        <v>1.768518519</v>
      </c>
      <c r="T811" s="30">
        <f>IFERROR(__xludf.DUMMYFUNCTION("""COMPUTED_VALUE"""),291.04111656516636)</f>
        <v>291.0411166</v>
      </c>
      <c r="U811" s="30">
        <f>IFERROR(__xludf.DUMMYFUNCTION("""COMPUTED_VALUE"""),0.7267620368694259)</f>
        <v>0.7267620369</v>
      </c>
      <c r="V811" s="30">
        <f>IFERROR(__xludf.DUMMYFUNCTION("""COMPUTED_VALUE"""),0.4322207402136864)</f>
        <v>0.4322207402</v>
      </c>
      <c r="W811" s="30">
        <f>IFERROR(__xludf.DUMMYFUNCTION("""COMPUTED_VALUE"""),0.8620650146693332)</f>
        <v>0.8620650147</v>
      </c>
      <c r="X811" s="30">
        <f>IFERROR(__xludf.DUMMYFUNCTION("""COMPUTED_VALUE"""),2.053226311533542)</f>
        <v>2.053226312</v>
      </c>
      <c r="Y811" s="30">
        <f>IFERROR(__xludf.DUMMYFUNCTION("""COMPUTED_VALUE"""),302.34388412678)</f>
        <v>302.3438841</v>
      </c>
      <c r="Z811" s="30">
        <f>IFERROR(__xludf.DUMMYFUNCTION("""COMPUTED_VALUE"""),0.8201349640651112)</f>
        <v>0.8201349641</v>
      </c>
      <c r="AA811" s="30">
        <f>IFERROR(__xludf.DUMMYFUNCTION("""COMPUTED_VALUE"""),0.46787519689968604)</f>
        <v>0.4678751969</v>
      </c>
      <c r="AB811" s="30">
        <f>IFERROR(__xludf.DUMMYFUNCTION("""COMPUTED_VALUE"""),0.8827312623462248)</f>
        <v>0.8827312623</v>
      </c>
      <c r="AC811" s="30">
        <f>IFERROR(__xludf.DUMMYFUNCTION("""COMPUTED_VALUE"""),2.0887933568941346)</f>
        <v>2.088793357</v>
      </c>
      <c r="AD811" s="30">
        <f>IFERROR(__xludf.DUMMYFUNCTION("""COMPUTED_VALUE"""),1.0459024932339056)</f>
        <v>1.045902493</v>
      </c>
      <c r="AE811" s="30">
        <f>IFERROR(__xludf.DUMMYFUNCTION("""COMPUTED_VALUE"""),1.0499626876567925)</f>
        <v>1.049962688</v>
      </c>
      <c r="AF811" s="30">
        <f>IFERROR(__xludf.DUMMYFUNCTION("""COMPUTED_VALUE"""),1.18740116859554)</f>
        <v>1.187401169</v>
      </c>
      <c r="AG811" s="30">
        <f>IFERROR(__xludf.DUMMYFUNCTION("""COMPUTED_VALUE"""),1.0384436416472262)</f>
        <v>1.038443642</v>
      </c>
      <c r="AH811" s="30">
        <f>IFERROR(__xludf.DUMMYFUNCTION("""COMPUTED_VALUE"""),1.0638784420142382)</f>
        <v>1.063878442</v>
      </c>
      <c r="AI811" s="30">
        <f>IFERROR(__xludf.DUMMYFUNCTION("""COMPUTED_VALUE"""),0.9116059543271057)</f>
        <v>0.9116059543</v>
      </c>
      <c r="AJ811" s="30">
        <f>IFERROR(__xludf.DUMMYFUNCTION("""COMPUTED_VALUE"""),0.7771660958623965)</f>
        <v>0.7771660959</v>
      </c>
      <c r="AK811" s="30">
        <f>IFERROR(__xludf.DUMMYFUNCTION("""COMPUTED_VALUE"""),0.7069432980113154)</f>
        <v>0.706943298</v>
      </c>
      <c r="AL811" s="30">
        <f>IFERROR(__xludf.DUMMYFUNCTION("""COMPUTED_VALUE"""),1.1492645263197052)</f>
        <v>1.149264526</v>
      </c>
      <c r="AM811" s="30">
        <f>IFERROR(__xludf.DUMMYFUNCTION("""COMPUTED_VALUE"""),0.8613363800104546)</f>
        <v>0.86133638</v>
      </c>
      <c r="AN811" s="30">
        <f>IFERROR(__xludf.DUMMYFUNCTION("""COMPUTED_VALUE"""),1.138422899830665)</f>
        <v>1.1384229</v>
      </c>
      <c r="AO811" s="30">
        <f>IFERROR(__xludf.DUMMYFUNCTION("""COMPUTED_VALUE"""),1.1590597907280045)</f>
        <v>1.159059791</v>
      </c>
      <c r="AP811" s="30">
        <f>IFERROR(__xludf.DUMMYFUNCTION("""COMPUTED_VALUE"""),1.3219612961498322)</f>
        <v>1.321961296</v>
      </c>
      <c r="AQ811" s="30">
        <f>IFERROR(__xludf.DUMMYFUNCTION("""COMPUTED_VALUE"""),1.1629195646190362)</f>
        <v>1.162919565</v>
      </c>
      <c r="AR811" s="30">
        <f>IFERROR(__xludf.DUMMYFUNCTION("""COMPUTED_VALUE"""),1.163722015324642)</f>
        <v>1.163722015</v>
      </c>
      <c r="AS811" s="30">
        <f>IFERROR(__xludf.DUMMYFUNCTION("""COMPUTED_VALUE"""),290.0)</f>
        <v>290</v>
      </c>
      <c r="AT811" s="30">
        <f>IFERROR(__xludf.DUMMYFUNCTION("""COMPUTED_VALUE"""),0.9524401830485362)</f>
        <v>0.952440183</v>
      </c>
      <c r="AU811" s="30">
        <f>IFERROR(__xludf.DUMMYFUNCTION("""COMPUTED_VALUE"""),2.5263714571577407)</f>
        <v>2.526371457</v>
      </c>
      <c r="AV811" s="32">
        <f>IFERROR(__xludf.DUMMYFUNCTION("""COMPUTED_VALUE"""),67.8472112567429)</f>
        <v>67.84721126</v>
      </c>
      <c r="AW811" s="32">
        <f>IFERROR(__xludf.DUMMYFUNCTION("""COMPUTED_VALUE"""),4.207902712759496)</f>
        <v>4.207902713</v>
      </c>
      <c r="AX811" s="32">
        <f>IFERROR(__xludf.DUMMYFUNCTION("""COMPUTED_VALUE"""),58.421466392417514)</f>
        <v>58.42146639</v>
      </c>
      <c r="AY811" s="32">
        <f>IFERROR(__xludf.DUMMYFUNCTION("""COMPUTED_VALUE"""),2.716566540153609)</f>
        <v>2.71656654</v>
      </c>
      <c r="AZ811" s="30">
        <f>IFERROR(__xludf.DUMMYFUNCTION("""COMPUTED_VALUE"""),1.4913361726058865)</f>
        <v>1.491336173</v>
      </c>
      <c r="BA811" s="30">
        <f>IFERROR(__xludf.DUMMYFUNCTION("""COMPUTED_VALUE"""),4000.0)</f>
        <v>4000</v>
      </c>
    </row>
    <row r="812">
      <c r="A812" s="71" t="str">
        <f>IFERROR(__xludf.DUMMYFUNCTION("""COMPUTED_VALUE"""),"Amateur")</f>
        <v>Amateur</v>
      </c>
      <c r="B812" s="71" t="str">
        <f>IFERROR(__xludf.DUMMYFUNCTION("""COMPUTED_VALUE"""),"RSC007808")</f>
        <v>RSC007808</v>
      </c>
      <c r="C812" s="30" t="str">
        <f>IFERROR(__xludf.DUMMYFUNCTION("""COMPUTED_VALUE"""),"Navybrat44")</f>
        <v>Navybrat44</v>
      </c>
      <c r="D812" s="30" t="str">
        <f>IFERROR(__xludf.DUMMYFUNCTION("""COMPUTED_VALUE"""),"Amaranth")</f>
        <v>Amaranth</v>
      </c>
      <c r="E812" s="30">
        <f>IFERROR(__xludf.DUMMYFUNCTION("""COMPUTED_VALUE"""),22.0)</f>
        <v>22</v>
      </c>
      <c r="F812" s="30">
        <f>IFERROR(__xludf.DUMMYFUNCTION("""COMPUTED_VALUE"""),11.0)</f>
        <v>11</v>
      </c>
      <c r="G812" s="42">
        <f>IFERROR(__xludf.DUMMYFUNCTION("""COMPUTED_VALUE"""),11.0)</f>
        <v>11</v>
      </c>
      <c r="H812" s="42">
        <f>IFERROR(__xludf.DUMMYFUNCTION("""COMPUTED_VALUE"""),0.5)</f>
        <v>0.5</v>
      </c>
      <c r="I812" s="42">
        <f>IFERROR(__xludf.DUMMYFUNCTION("""COMPUTED_VALUE"""),0.33333333333333337)</f>
        <v>0.3333333333</v>
      </c>
      <c r="J812" s="30">
        <f>IFERROR(__xludf.DUMMYFUNCTION("""COMPUTED_VALUE"""),342.77272727272725)</f>
        <v>342.7727273</v>
      </c>
      <c r="K812" s="30">
        <f>IFERROR(__xludf.DUMMYFUNCTION("""COMPUTED_VALUE"""),0.8636363636363636)</f>
        <v>0.8636363636</v>
      </c>
      <c r="L812" s="30">
        <f>IFERROR(__xludf.DUMMYFUNCTION("""COMPUTED_VALUE"""),0.4090909090909091)</f>
        <v>0.4090909091</v>
      </c>
      <c r="M812" s="30">
        <f>IFERROR(__xludf.DUMMYFUNCTION("""COMPUTED_VALUE"""),1.1818181818181819)</f>
        <v>1.181818182</v>
      </c>
      <c r="N812" s="30">
        <f>IFERROR(__xludf.DUMMYFUNCTION("""COMPUTED_VALUE"""),2.590909090909091)</f>
        <v>2.590909091</v>
      </c>
      <c r="O812" s="30">
        <f>IFERROR(__xludf.DUMMYFUNCTION("""COMPUTED_VALUE"""),305.08333333333337)</f>
        <v>305.0833333</v>
      </c>
      <c r="P812" s="30">
        <f>IFERROR(__xludf.DUMMYFUNCTION("""COMPUTED_VALUE"""),0.6865079365079366)</f>
        <v>0.6865079365</v>
      </c>
      <c r="Q812" s="30">
        <f>IFERROR(__xludf.DUMMYFUNCTION("""COMPUTED_VALUE"""),0.4246031746031745)</f>
        <v>0.4246031746</v>
      </c>
      <c r="R812" s="30">
        <f>IFERROR(__xludf.DUMMYFUNCTION("""COMPUTED_VALUE"""),1.1507936507936511)</f>
        <v>1.150793651</v>
      </c>
      <c r="S812" s="30">
        <f>IFERROR(__xludf.DUMMYFUNCTION("""COMPUTED_VALUE"""),2.091269841269841)</f>
        <v>2.091269841</v>
      </c>
      <c r="T812" s="30">
        <f>IFERROR(__xludf.DUMMYFUNCTION("""COMPUTED_VALUE"""),303.91319764464924)</f>
        <v>303.9131976</v>
      </c>
      <c r="U812" s="30">
        <f>IFERROR(__xludf.DUMMYFUNCTION("""COMPUTED_VALUE"""),0.8298259088581671)</f>
        <v>0.8298259089</v>
      </c>
      <c r="V812" s="30">
        <f>IFERROR(__xludf.DUMMYFUNCTION("""COMPUTED_VALUE"""),0.46393033916075377)</f>
        <v>0.4639303392</v>
      </c>
      <c r="W812" s="30">
        <f>IFERROR(__xludf.DUMMYFUNCTION("""COMPUTED_VALUE"""),0.9635068961873878)</f>
        <v>0.9635068962</v>
      </c>
      <c r="X812" s="30">
        <f>IFERROR(__xludf.DUMMYFUNCTION("""COMPUTED_VALUE"""),2.069471671583807)</f>
        <v>2.069471672</v>
      </c>
      <c r="Y812" s="30">
        <f>IFERROR(__xludf.DUMMYFUNCTION("""COMPUTED_VALUE"""),279.4756687581445)</f>
        <v>279.4756688</v>
      </c>
      <c r="Z812" s="30">
        <f>IFERROR(__xludf.DUMMYFUNCTION("""COMPUTED_VALUE"""),0.6845724390911282)</f>
        <v>0.6845724391</v>
      </c>
      <c r="AA812" s="30">
        <f>IFERROR(__xludf.DUMMYFUNCTION("""COMPUTED_VALUE"""),0.37723452184537676)</f>
        <v>0.3772345218</v>
      </c>
      <c r="AB812" s="30">
        <f>IFERROR(__xludf.DUMMYFUNCTION("""COMPUTED_VALUE"""),0.8218591090358884)</f>
        <v>0.821859109</v>
      </c>
      <c r="AC812" s="30">
        <f>IFERROR(__xludf.DUMMYFUNCTION("""COMPUTED_VALUE"""),2.035068657092467)</f>
        <v>2.035068657</v>
      </c>
      <c r="AD812" s="30">
        <f>IFERROR(__xludf.DUMMYFUNCTION("""COMPUTED_VALUE"""),1.2264850417778566)</f>
        <v>1.226485042</v>
      </c>
      <c r="AE812" s="30">
        <f>IFERROR(__xludf.DUMMYFUNCTION("""COMPUTED_VALUE"""),1.2615704552508271)</f>
        <v>1.261570455</v>
      </c>
      <c r="AF812" s="30">
        <f>IFERROR(__xludf.DUMMYFUNCTION("""COMPUTED_VALUE"""),1.0844471685403962)</f>
        <v>1.084447169</v>
      </c>
      <c r="AG812" s="30">
        <f>IFERROR(__xludf.DUMMYFUNCTION("""COMPUTED_VALUE"""),1.437981484690918)</f>
        <v>1.437981485</v>
      </c>
      <c r="AH812" s="30">
        <f>IFERROR(__xludf.DUMMYFUNCTION("""COMPUTED_VALUE"""),1.273131047387247)</f>
        <v>1.273131047</v>
      </c>
      <c r="AI812" s="30">
        <f>IFERROR(__xludf.DUMMYFUNCTION("""COMPUTED_VALUE"""),1.003850229926679)</f>
        <v>1.00385023</v>
      </c>
      <c r="AJ812" s="30">
        <f>IFERROR(__xludf.DUMMYFUNCTION("""COMPUTED_VALUE"""),0.8272915188350353)</f>
        <v>0.8272915188</v>
      </c>
      <c r="AK812" s="30">
        <f>IFERROR(__xludf.DUMMYFUNCTION("""COMPUTED_VALUE"""),0.9152304532858925)</f>
        <v>0.9152304533</v>
      </c>
      <c r="AL812" s="30">
        <f>IFERROR(__xludf.DUMMYFUNCTION("""COMPUTED_VALUE"""),1.1943802948866895)</f>
        <v>1.194380295</v>
      </c>
      <c r="AM812" s="30">
        <f>IFERROR(__xludf.DUMMYFUNCTION("""COMPUTED_VALUE"""),1.0105332051582767)</f>
        <v>1.010533205</v>
      </c>
      <c r="AN812" s="30">
        <f>IFERROR(__xludf.DUMMYFUNCTION("""COMPUTED_VALUE"""),1.2340066407175525)</f>
        <v>1.234006641</v>
      </c>
      <c r="AO812" s="30">
        <f>IFERROR(__xludf.DUMMYFUNCTION("""COMPUTED_VALUE"""),1.1624587930468548)</f>
        <v>1.162458793</v>
      </c>
      <c r="AP812" s="30">
        <f>IFERROR(__xludf.DUMMYFUNCTION("""COMPUTED_VALUE"""),0.9734442271648764)</f>
        <v>0.9734442272</v>
      </c>
      <c r="AQ812" s="30">
        <f>IFERROR(__xludf.DUMMYFUNCTION("""COMPUTED_VALUE"""),1.4993012568642123)</f>
        <v>1.499301257</v>
      </c>
      <c r="AR812" s="30">
        <f>IFERROR(__xludf.DUMMYFUNCTION("""COMPUTED_VALUE"""),1.3567940769580482)</f>
        <v>1.356794077</v>
      </c>
      <c r="AS812" s="30">
        <f>IFERROR(__xludf.DUMMYFUNCTION("""COMPUTED_VALUE"""),114.0)</f>
        <v>114</v>
      </c>
      <c r="AT812" s="30">
        <f>IFERROR(__xludf.DUMMYFUNCTION("""COMPUTED_VALUE"""),0.8359804933568313)</f>
        <v>0.8359804934</v>
      </c>
      <c r="AU812" s="30">
        <f>IFERROR(__xludf.DUMMYFUNCTION("""COMPUTED_VALUE"""),2.5263965501872754)</f>
        <v>2.52639655</v>
      </c>
      <c r="AV812" s="32">
        <f>IFERROR(__xludf.DUMMYFUNCTION("""COMPUTED_VALUE"""),67.84772433711512)</f>
        <v>67.84772434</v>
      </c>
      <c r="AW812" s="32">
        <f>IFERROR(__xludf.DUMMYFUNCTION("""COMPUTED_VALUE"""),4.208015077239624)</f>
        <v>4.208015077</v>
      </c>
      <c r="AX812" s="32">
        <f>IFERROR(__xludf.DUMMYFUNCTION("""COMPUTED_VALUE"""),59.715153918063706)</f>
        <v>59.71515392</v>
      </c>
      <c r="AY812" s="32">
        <f>IFERROR(__xludf.DUMMYFUNCTION("""COMPUTED_VALUE"""),2.867106002668641)</f>
        <v>2.867106003</v>
      </c>
      <c r="AZ812" s="30">
        <f>IFERROR(__xludf.DUMMYFUNCTION("""COMPUTED_VALUE"""),1.340909074570983)</f>
        <v>1.340909075</v>
      </c>
      <c r="BA812" s="30">
        <f>IFERROR(__xludf.DUMMYFUNCTION("""COMPUTED_VALUE"""),4000.0)</f>
        <v>4000</v>
      </c>
    </row>
    <row r="813">
      <c r="A813" s="71" t="str">
        <f>IFERROR(__xludf.DUMMYFUNCTION("""COMPUTED_VALUE"""),"Amateur")</f>
        <v>Amateur</v>
      </c>
      <c r="B813" s="71" t="str">
        <f>IFERROR(__xludf.DUMMYFUNCTION("""COMPUTED_VALUE"""),"RSC007179")</f>
        <v>RSC007179</v>
      </c>
      <c r="C813" s="30" t="str">
        <f>IFERROR(__xludf.DUMMYFUNCTION("""COMPUTED_VALUE"""),"B0A._.")</f>
        <v>B0A._.</v>
      </c>
      <c r="D813" s="30" t="str">
        <f>IFERROR(__xludf.DUMMYFUNCTION("""COMPUTED_VALUE"""),"Aeon Ale")</f>
        <v>Aeon Ale</v>
      </c>
      <c r="E813" s="30">
        <f>IFERROR(__xludf.DUMMYFUNCTION("""COMPUTED_VALUE"""),8.0)</f>
        <v>8</v>
      </c>
      <c r="F813" s="30">
        <f>IFERROR(__xludf.DUMMYFUNCTION("""COMPUTED_VALUE"""),5.0)</f>
        <v>5</v>
      </c>
      <c r="G813" s="42">
        <f>IFERROR(__xludf.DUMMYFUNCTION("""COMPUTED_VALUE"""),3.0)</f>
        <v>3</v>
      </c>
      <c r="H813" s="42">
        <f>IFERROR(__xludf.DUMMYFUNCTION("""COMPUTED_VALUE"""),0.625)</f>
        <v>0.625</v>
      </c>
      <c r="I813" s="42">
        <f>IFERROR(__xludf.DUMMYFUNCTION("""COMPUTED_VALUE"""),0.6470588235294118)</f>
        <v>0.6470588235</v>
      </c>
      <c r="J813" s="30">
        <f>IFERROR(__xludf.DUMMYFUNCTION("""COMPUTED_VALUE"""),398.375)</f>
        <v>398.375</v>
      </c>
      <c r="K813" s="30">
        <f>IFERROR(__xludf.DUMMYFUNCTION("""COMPUTED_VALUE"""),1.375)</f>
        <v>1.375</v>
      </c>
      <c r="L813" s="30">
        <f>IFERROR(__xludf.DUMMYFUNCTION("""COMPUTED_VALUE"""),0.875)</f>
        <v>0.875</v>
      </c>
      <c r="M813" s="30">
        <f>IFERROR(__xludf.DUMMYFUNCTION("""COMPUTED_VALUE"""),0.875)</f>
        <v>0.875</v>
      </c>
      <c r="N813" s="30">
        <f>IFERROR(__xludf.DUMMYFUNCTION("""COMPUTED_VALUE"""),2.125)</f>
        <v>2.125</v>
      </c>
      <c r="O813" s="30">
        <f>IFERROR(__xludf.DUMMYFUNCTION("""COMPUTED_VALUE"""),297.125)</f>
        <v>297.125</v>
      </c>
      <c r="P813" s="30">
        <f>IFERROR(__xludf.DUMMYFUNCTION("""COMPUTED_VALUE"""),0.75)</f>
        <v>0.75</v>
      </c>
      <c r="Q813" s="30">
        <f>IFERROR(__xludf.DUMMYFUNCTION("""COMPUTED_VALUE"""),0.41666666666666663)</f>
        <v>0.4166666667</v>
      </c>
      <c r="R813" s="30">
        <f>IFERROR(__xludf.DUMMYFUNCTION("""COMPUTED_VALUE"""),0.9583333333333331)</f>
        <v>0.9583333333</v>
      </c>
      <c r="S813" s="30">
        <f>IFERROR(__xludf.DUMMYFUNCTION("""COMPUTED_VALUE"""),2.0)</f>
        <v>2</v>
      </c>
      <c r="T813" s="30">
        <f>IFERROR(__xludf.DUMMYFUNCTION("""COMPUTED_VALUE"""),297.2148365374171)</f>
        <v>297.2148365</v>
      </c>
      <c r="U813" s="30">
        <f>IFERROR(__xludf.DUMMYFUNCTION("""COMPUTED_VALUE"""),0.8467832446327072)</f>
        <v>0.8467832446</v>
      </c>
      <c r="V813" s="30">
        <f>IFERROR(__xludf.DUMMYFUNCTION("""COMPUTED_VALUE"""),0.4413127692697585)</f>
        <v>0.4413127693</v>
      </c>
      <c r="W813" s="30">
        <f>IFERROR(__xludf.DUMMYFUNCTION("""COMPUTED_VALUE"""),0.7712428948988088)</f>
        <v>0.7712428949</v>
      </c>
      <c r="X813" s="30">
        <f>IFERROR(__xludf.DUMMYFUNCTION("""COMPUTED_VALUE"""),2.1177546070019186)</f>
        <v>2.117754607</v>
      </c>
      <c r="Y813" s="30">
        <f>IFERROR(__xludf.DUMMYFUNCTION("""COMPUTED_VALUE"""),301.33973923826073)</f>
        <v>301.3397392</v>
      </c>
      <c r="Z813" s="30">
        <f>IFERROR(__xludf.DUMMYFUNCTION("""COMPUTED_VALUE"""),0.859392913604383)</f>
        <v>0.8593929136</v>
      </c>
      <c r="AA813" s="30">
        <f>IFERROR(__xludf.DUMMYFUNCTION("""COMPUTED_VALUE"""),0.49692866538744673)</f>
        <v>0.4969286654</v>
      </c>
      <c r="AB813" s="30">
        <f>IFERROR(__xludf.DUMMYFUNCTION("""COMPUTED_VALUE"""),0.8472410786478886)</f>
        <v>0.8472410786</v>
      </c>
      <c r="AC813" s="30">
        <f>IFERROR(__xludf.DUMMYFUNCTION("""COMPUTED_VALUE"""),2.012851031220207)</f>
        <v>2.012851031</v>
      </c>
      <c r="AD813" s="30">
        <f>IFERROR(__xludf.DUMMYFUNCTION("""COMPUTED_VALUE"""),1.3220128251488803)</f>
        <v>1.322012825</v>
      </c>
      <c r="AE813" s="30">
        <f>IFERROR(__xludf.DUMMYFUNCTION("""COMPUTED_VALUE"""),1.5999666488208606)</f>
        <v>1.599966649</v>
      </c>
      <c r="AF813" s="30">
        <f>IFERROR(__xludf.DUMMYFUNCTION("""COMPUTED_VALUE"""),1.7608161109357165)</f>
        <v>1.760816111</v>
      </c>
      <c r="AG813" s="30">
        <f>IFERROR(__xludf.DUMMYFUNCTION("""COMPUTED_VALUE"""),1.0327638992627834)</f>
        <v>1.032763899</v>
      </c>
      <c r="AH813" s="30">
        <f>IFERROR(__xludf.DUMMYFUNCTION("""COMPUTED_VALUE"""),1.0557164772952956)</f>
        <v>1.055716477</v>
      </c>
      <c r="AI813" s="30">
        <f>IFERROR(__xludf.DUMMYFUNCTION("""COMPUTED_VALUE"""),0.9996977387183503)</f>
        <v>0.9996977387</v>
      </c>
      <c r="AJ813" s="30">
        <f>IFERROR(__xludf.DUMMYFUNCTION("""COMPUTED_VALUE"""),0.885704818504425)</f>
        <v>0.8857048185</v>
      </c>
      <c r="AK813" s="30">
        <f>IFERROR(__xludf.DUMMYFUNCTION("""COMPUTED_VALUE"""),0.9441527544197875)</f>
        <v>0.9441527544</v>
      </c>
      <c r="AL813" s="30">
        <f>IFERROR(__xludf.DUMMYFUNCTION("""COMPUTED_VALUE"""),1.2425830301607792)</f>
        <v>1.24258303</v>
      </c>
      <c r="AM813" s="30">
        <f>IFERROR(__xludf.DUMMYFUNCTION("""COMPUTED_VALUE"""),0.9443964817205037)</f>
        <v>0.9443964817</v>
      </c>
      <c r="AN813" s="30">
        <f>IFERROR(__xludf.DUMMYFUNCTION("""COMPUTED_VALUE"""),1.43417884907954)</f>
        <v>1.434178849</v>
      </c>
      <c r="AO813" s="30">
        <f>IFERROR(__xludf.DUMMYFUNCTION("""COMPUTED_VALUE"""),1.8507567626140717)</f>
        <v>1.850756763</v>
      </c>
      <c r="AP813" s="30">
        <f>IFERROR(__xludf.DUMMYFUNCTION("""COMPUTED_VALUE"""),2.0820890414359856)</f>
        <v>2.082089041</v>
      </c>
      <c r="AQ813" s="30">
        <f>IFERROR(__xludf.DUMMYFUNCTION("""COMPUTED_VALUE"""),1.1100595844090801)</f>
        <v>1.110059584</v>
      </c>
      <c r="AR813" s="30">
        <f>IFERROR(__xludf.DUMMYFUNCTION("""COMPUTED_VALUE"""),1.1128091771541888)</f>
        <v>1.112809177</v>
      </c>
      <c r="AS813" s="30">
        <f>IFERROR(__xludf.DUMMYFUNCTION("""COMPUTED_VALUE"""),24.0)</f>
        <v>24</v>
      </c>
      <c r="AT813" s="30">
        <f>IFERROR(__xludf.DUMMYFUNCTION("""COMPUTED_VALUE"""),0.6137300477595808)</f>
        <v>0.6137300478</v>
      </c>
      <c r="AU813" s="30">
        <f>IFERROR(__xludf.DUMMYFUNCTION("""COMPUTED_VALUE"""),3.6089807048602887)</f>
        <v>3.608980705</v>
      </c>
      <c r="AV813" s="32">
        <f>IFERROR(__xludf.DUMMYFUNCTION("""COMPUTED_VALUE"""),89.98346048945834)</f>
        <v>89.98346049</v>
      </c>
      <c r="AW813" s="32">
        <f>IFERROR(__xludf.DUMMYFUNCTION("""COMPUTED_VALUE"""),18.22399393801347)</f>
        <v>18.22399394</v>
      </c>
      <c r="AX813" s="32">
        <f>IFERROR(__xludf.DUMMYFUNCTION("""COMPUTED_VALUE"""),90.76411677002521)</f>
        <v>90.76411677</v>
      </c>
      <c r="AY813" s="32">
        <f>IFERROR(__xludf.DUMMYFUNCTION("""COMPUTED_VALUE"""),19.4208302694358)</f>
        <v>19.42083027</v>
      </c>
      <c r="AZ813" s="30">
        <f>IFERROR(__xludf.DUMMYFUNCTION("""COMPUTED_VALUE"""),1.196836331422329)</f>
        <v>1.196836331</v>
      </c>
      <c r="BA813" s="30">
        <f>IFERROR(__xludf.DUMMYFUNCTION("""COMPUTED_VALUE"""),4000.0)</f>
        <v>4000</v>
      </c>
    </row>
    <row r="814">
      <c r="A814" s="71" t="str">
        <f>IFERROR(__xludf.DUMMYFUNCTION("""COMPUTED_VALUE"""),"Amateur")</f>
        <v>Amateur</v>
      </c>
      <c r="B814" s="71" t="str">
        <f>IFERROR(__xludf.DUMMYFUNCTION("""COMPUTED_VALUE"""),"RSC007468")</f>
        <v>RSC007468</v>
      </c>
      <c r="C814" s="30" t="str">
        <f>IFERROR(__xludf.DUMMYFUNCTION("""COMPUTED_VALUE"""),"im_link42")</f>
        <v>im_link42</v>
      </c>
      <c r="D814" s="30" t="str">
        <f>IFERROR(__xludf.DUMMYFUNCTION("""COMPUTED_VALUE"""),"Amaranth")</f>
        <v>Amaranth</v>
      </c>
      <c r="E814" s="30">
        <f>IFERROR(__xludf.DUMMYFUNCTION("""COMPUTED_VALUE"""),34.0)</f>
        <v>34</v>
      </c>
      <c r="F814" s="30">
        <f>IFERROR(__xludf.DUMMYFUNCTION("""COMPUTED_VALUE"""),19.0)</f>
        <v>19</v>
      </c>
      <c r="G814" s="42">
        <f>IFERROR(__xludf.DUMMYFUNCTION("""COMPUTED_VALUE"""),15.0)</f>
        <v>15</v>
      </c>
      <c r="H814" s="42">
        <f>IFERROR(__xludf.DUMMYFUNCTION("""COMPUTED_VALUE"""),0.5588235294117647)</f>
        <v>0.5588235294</v>
      </c>
      <c r="I814" s="42">
        <f>IFERROR(__xludf.DUMMYFUNCTION("""COMPUTED_VALUE"""),0.38271604938271603)</f>
        <v>0.3827160494</v>
      </c>
      <c r="J814" s="30">
        <f>IFERROR(__xludf.DUMMYFUNCTION("""COMPUTED_VALUE"""),312.4117647058824)</f>
        <v>312.4117647</v>
      </c>
      <c r="K814" s="30">
        <f>IFERROR(__xludf.DUMMYFUNCTION("""COMPUTED_VALUE"""),0.9117647058823529)</f>
        <v>0.9117647059</v>
      </c>
      <c r="L814" s="30">
        <f>IFERROR(__xludf.DUMMYFUNCTION("""COMPUTED_VALUE"""),0.5)</f>
        <v>0.5</v>
      </c>
      <c r="M814" s="30">
        <f>IFERROR(__xludf.DUMMYFUNCTION("""COMPUTED_VALUE"""),0.7941176470588235)</f>
        <v>0.7941176471</v>
      </c>
      <c r="N814" s="30">
        <f>IFERROR(__xludf.DUMMYFUNCTION("""COMPUTED_VALUE"""),2.3823529411764706)</f>
        <v>2.382352941</v>
      </c>
      <c r="O814" s="30">
        <f>IFERROR(__xludf.DUMMYFUNCTION("""COMPUTED_VALUE"""),289.6010101010101)</f>
        <v>289.6010101</v>
      </c>
      <c r="P814" s="30">
        <f>IFERROR(__xludf.DUMMYFUNCTION("""COMPUTED_VALUE"""),0.6590909090909088)</f>
        <v>0.6590909091</v>
      </c>
      <c r="Q814" s="30">
        <f>IFERROR(__xludf.DUMMYFUNCTION("""COMPUTED_VALUE"""),0.3914141414141414)</f>
        <v>0.3914141414</v>
      </c>
      <c r="R814" s="30">
        <f>IFERROR(__xludf.DUMMYFUNCTION("""COMPUTED_VALUE"""),0.9898989898989901)</f>
        <v>0.9898989899</v>
      </c>
      <c r="S814" s="30">
        <f>IFERROR(__xludf.DUMMYFUNCTION("""COMPUTED_VALUE"""),1.9873737373737372)</f>
        <v>1.987373737</v>
      </c>
      <c r="T814" s="30">
        <f>IFERROR(__xludf.DUMMYFUNCTION("""COMPUTED_VALUE"""),288.0948785448202)</f>
        <v>288.0948785</v>
      </c>
      <c r="U814" s="30">
        <f>IFERROR(__xludf.DUMMYFUNCTION("""COMPUTED_VALUE"""),0.7799707398980013)</f>
        <v>0.7799707399</v>
      </c>
      <c r="V814" s="30">
        <f>IFERROR(__xludf.DUMMYFUNCTION("""COMPUTED_VALUE"""),0.4305672046260568)</f>
        <v>0.4305672046</v>
      </c>
      <c r="W814" s="30">
        <f>IFERROR(__xludf.DUMMYFUNCTION("""COMPUTED_VALUE"""),0.8684771780193263)</f>
        <v>0.868477178</v>
      </c>
      <c r="X814" s="30">
        <f>IFERROR(__xludf.DUMMYFUNCTION("""COMPUTED_VALUE"""),1.97997314344836)</f>
        <v>1.979973143</v>
      </c>
      <c r="Y814" s="30">
        <f>IFERROR(__xludf.DUMMYFUNCTION("""COMPUTED_VALUE"""),296.2118225074737)</f>
        <v>296.2118225</v>
      </c>
      <c r="Z814" s="30">
        <f>IFERROR(__xludf.DUMMYFUNCTION("""COMPUTED_VALUE"""),0.8041453863620024)</f>
        <v>0.8041453864</v>
      </c>
      <c r="AA814" s="30">
        <f>IFERROR(__xludf.DUMMYFUNCTION("""COMPUTED_VALUE"""),0.47081642062053375)</f>
        <v>0.4708164206</v>
      </c>
      <c r="AB814" s="30">
        <f>IFERROR(__xludf.DUMMYFUNCTION("""COMPUTED_VALUE"""),0.8271040022230773)</f>
        <v>0.8271040022</v>
      </c>
      <c r="AC814" s="30">
        <f>IFERROR(__xludf.DUMMYFUNCTION("""COMPUTED_VALUE"""),2.0979564132461705)</f>
        <v>2.097956413</v>
      </c>
      <c r="AD814" s="30">
        <f>IFERROR(__xludf.DUMMYFUNCTION("""COMPUTED_VALUE"""),1.0546903970991905)</f>
        <v>1.054690397</v>
      </c>
      <c r="AE814" s="30">
        <f>IFERROR(__xludf.DUMMYFUNCTION("""COMPUTED_VALUE"""),1.133830674583891)</f>
        <v>1.133830675</v>
      </c>
      <c r="AF814" s="30">
        <f>IFERROR(__xludf.DUMMYFUNCTION("""COMPUTED_VALUE"""),1.0619850500137664)</f>
        <v>1.06198505</v>
      </c>
      <c r="AG814" s="30">
        <f>IFERROR(__xludf.DUMMYFUNCTION("""COMPUTED_VALUE"""),0.9601182498505706)</f>
        <v>0.9601182499</v>
      </c>
      <c r="AH814" s="30">
        <f>IFERROR(__xludf.DUMMYFUNCTION("""COMPUTED_VALUE"""),1.1355588353192967)</f>
        <v>1.135558835</v>
      </c>
      <c r="AI814" s="30">
        <f>IFERROR(__xludf.DUMMYFUNCTION("""COMPUTED_VALUE"""),1.0052279011824072)</f>
        <v>1.005227901</v>
      </c>
      <c r="AJ814" s="30">
        <f>IFERROR(__xludf.DUMMYFUNCTION("""COMPUTED_VALUE"""),0.8450200441840932)</f>
        <v>0.8450200442</v>
      </c>
      <c r="AK814" s="30">
        <f>IFERROR(__xludf.DUMMYFUNCTION("""COMPUTED_VALUE"""),0.9090663134784744)</f>
        <v>0.9090663135</v>
      </c>
      <c r="AL814" s="30">
        <f>IFERROR(__xludf.DUMMYFUNCTION("""COMPUTED_VALUE"""),1.1398100202892858)</f>
        <v>1.13981002</v>
      </c>
      <c r="AM814" s="30">
        <f>IFERROR(__xludf.DUMMYFUNCTION("""COMPUTED_VALUE"""),1.0037377243978614)</f>
        <v>1.003737724</v>
      </c>
      <c r="AN814" s="30">
        <f>IFERROR(__xludf.DUMMYFUNCTION("""COMPUTED_VALUE"""),1.1247049768303492)</f>
        <v>1.124704977</v>
      </c>
      <c r="AO814" s="30">
        <f>IFERROR(__xludf.DUMMYFUNCTION("""COMPUTED_VALUE"""),1.227239778417887)</f>
        <v>1.227239778</v>
      </c>
      <c r="AP814" s="30">
        <f>IFERROR(__xludf.DUMMYFUNCTION("""COMPUTED_VALUE"""),1.1897651665348488)</f>
        <v>1.189765167</v>
      </c>
      <c r="AQ814" s="30">
        <f>IFERROR(__xludf.DUMMYFUNCTION("""COMPUTED_VALUE"""),1.0074490345897533)</f>
        <v>1.007449035</v>
      </c>
      <c r="AR814" s="30">
        <f>IFERROR(__xludf.DUMMYFUNCTION("""COMPUTED_VALUE"""),1.2475784546642115)</f>
        <v>1.247578455</v>
      </c>
      <c r="AS814" s="30">
        <f>IFERROR(__xludf.DUMMYFUNCTION("""COMPUTED_VALUE"""),148.0)</f>
        <v>148</v>
      </c>
      <c r="AT814" s="30">
        <f>IFERROR(__xludf.DUMMYFUNCTION("""COMPUTED_VALUE"""),0.7925166458703833)</f>
        <v>0.7925166459</v>
      </c>
      <c r="AU814" s="30">
        <f>IFERROR(__xludf.DUMMYFUNCTION("""COMPUTED_VALUE"""),2.369213515363606)</f>
        <v>2.369213515</v>
      </c>
      <c r="AV814" s="32">
        <f>IFERROR(__xludf.DUMMYFUNCTION("""COMPUTED_VALUE"""),64.63378279597717)</f>
        <v>64.6337828</v>
      </c>
      <c r="AW814" s="32">
        <f>IFERROR(__xludf.DUMMYFUNCTION("""COMPUTED_VALUE"""),3.5822295088102662)</f>
        <v>3.582229509</v>
      </c>
      <c r="AX814" s="32">
        <f>IFERROR(__xludf.DUMMYFUNCTION("""COMPUTED_VALUE"""),56.97834113786346)</f>
        <v>56.97834114</v>
      </c>
      <c r="AY814" s="32">
        <f>IFERROR(__xludf.DUMMYFUNCTION("""COMPUTED_VALUE"""),2.5636349850379503)</f>
        <v>2.563634985</v>
      </c>
      <c r="AZ814" s="30">
        <f>IFERROR(__xludf.DUMMYFUNCTION("""COMPUTED_VALUE"""),1.018594523772316)</f>
        <v>1.018594524</v>
      </c>
      <c r="BA814" s="30">
        <f>IFERROR(__xludf.DUMMYFUNCTION("""COMPUTED_VALUE"""),4000.0)</f>
        <v>4000</v>
      </c>
    </row>
    <row r="815">
      <c r="A815" s="71" t="str">
        <f>IFERROR(__xludf.DUMMYFUNCTION("""COMPUTED_VALUE"""),"Amateur")</f>
        <v>Amateur</v>
      </c>
      <c r="B815" s="71" t="str">
        <f>IFERROR(__xludf.DUMMYFUNCTION("""COMPUTED_VALUE"""),"RSC006137")</f>
        <v>RSC006137</v>
      </c>
      <c r="C815" s="30" t="str">
        <f>IFERROR(__xludf.DUMMYFUNCTION("""COMPUTED_VALUE"""),"FULLBL00DN8V")</f>
        <v>FULLBL00DN8V</v>
      </c>
      <c r="D815" s="30" t="str">
        <f>IFERROR(__xludf.DUMMYFUNCTION("""COMPUTED_VALUE"""),"Winter Fresh")</f>
        <v>Winter Fresh</v>
      </c>
      <c r="E815" s="30">
        <f>IFERROR(__xludf.DUMMYFUNCTION("""COMPUTED_VALUE"""),31.0)</f>
        <v>31</v>
      </c>
      <c r="F815" s="30">
        <f>IFERROR(__xludf.DUMMYFUNCTION("""COMPUTED_VALUE"""),12.0)</f>
        <v>12</v>
      </c>
      <c r="G815" s="42">
        <f>IFERROR(__xludf.DUMMYFUNCTION("""COMPUTED_VALUE"""),19.0)</f>
        <v>19</v>
      </c>
      <c r="H815" s="42">
        <f>IFERROR(__xludf.DUMMYFUNCTION("""COMPUTED_VALUE"""),0.3870967741935484)</f>
        <v>0.3870967742</v>
      </c>
      <c r="I815" s="42">
        <f>IFERROR(__xludf.DUMMYFUNCTION("""COMPUTED_VALUE"""),0.39999999999999997)</f>
        <v>0.4</v>
      </c>
      <c r="J815" s="30">
        <f>IFERROR(__xludf.DUMMYFUNCTION("""COMPUTED_VALUE"""),256.7741935483871)</f>
        <v>256.7741935</v>
      </c>
      <c r="K815" s="30">
        <f>IFERROR(__xludf.DUMMYFUNCTION("""COMPUTED_VALUE"""),0.7741935483870968)</f>
        <v>0.7741935484</v>
      </c>
      <c r="L815" s="30">
        <f>IFERROR(__xludf.DUMMYFUNCTION("""COMPUTED_VALUE"""),0.4838709677419355)</f>
        <v>0.4838709677</v>
      </c>
      <c r="M815" s="30">
        <f>IFERROR(__xludf.DUMMYFUNCTION("""COMPUTED_VALUE"""),0.7096774193548387)</f>
        <v>0.7096774194</v>
      </c>
      <c r="N815" s="30">
        <f>IFERROR(__xludf.DUMMYFUNCTION("""COMPUTED_VALUE"""),1.935483870967742)</f>
        <v>1.935483871</v>
      </c>
      <c r="O815" s="30">
        <f>IFERROR(__xludf.DUMMYFUNCTION("""COMPUTED_VALUE"""),328.9032258064516)</f>
        <v>328.9032258</v>
      </c>
      <c r="P815" s="30">
        <f>IFERROR(__xludf.DUMMYFUNCTION("""COMPUTED_VALUE"""),1.010752688172043)</f>
        <v>1.010752688</v>
      </c>
      <c r="Q815" s="30">
        <f>IFERROR(__xludf.DUMMYFUNCTION("""COMPUTED_VALUE"""),0.6881720430107525)</f>
        <v>0.688172043</v>
      </c>
      <c r="R815" s="30">
        <f>IFERROR(__xludf.DUMMYFUNCTION("""COMPUTED_VALUE"""),0.8494623655913979)</f>
        <v>0.8494623656</v>
      </c>
      <c r="S815" s="30">
        <f>IFERROR(__xludf.DUMMYFUNCTION("""COMPUTED_VALUE"""),2.258064516129033)</f>
        <v>2.258064516</v>
      </c>
      <c r="T815" s="30">
        <f>IFERROR(__xludf.DUMMYFUNCTION("""COMPUTED_VALUE"""),301.0478192436625)</f>
        <v>301.0478192</v>
      </c>
      <c r="U815" s="30">
        <f>IFERROR(__xludf.DUMMYFUNCTION("""COMPUTED_VALUE"""),0.8345179024958497)</f>
        <v>0.8345179025</v>
      </c>
      <c r="V815" s="30">
        <f>IFERROR(__xludf.DUMMYFUNCTION("""COMPUTED_VALUE"""),0.4550801103288611)</f>
        <v>0.4550801103</v>
      </c>
      <c r="W815" s="30">
        <f>IFERROR(__xludf.DUMMYFUNCTION("""COMPUTED_VALUE"""),0.8572527234926979)</f>
        <v>0.8572527235</v>
      </c>
      <c r="X815" s="30">
        <f>IFERROR(__xludf.DUMMYFUNCTION("""COMPUTED_VALUE"""),2.047713478477477)</f>
        <v>2.047713478</v>
      </c>
      <c r="Y815" s="30">
        <f>IFERROR(__xludf.DUMMYFUNCTION("""COMPUTED_VALUE"""),290.5865796995714)</f>
        <v>290.5865797</v>
      </c>
      <c r="Z815" s="30">
        <f>IFERROR(__xludf.DUMMYFUNCTION("""COMPUTED_VALUE"""),0.7593163585479327)</f>
        <v>0.7593163585</v>
      </c>
      <c r="AA815" s="30">
        <f>IFERROR(__xludf.DUMMYFUNCTION("""COMPUTED_VALUE"""),0.41225334937212366)</f>
        <v>0.4122533494</v>
      </c>
      <c r="AB815" s="30">
        <f>IFERROR(__xludf.DUMMYFUNCTION("""COMPUTED_VALUE"""),0.85539741333374)</f>
        <v>0.8553974133</v>
      </c>
      <c r="AC815" s="30">
        <f>IFERROR(__xludf.DUMMYFUNCTION("""COMPUTED_VALUE"""),2.0210295743597144)</f>
        <v>2.021029574</v>
      </c>
      <c r="AD815" s="30">
        <f>IFERROR(__xludf.DUMMYFUNCTION("""COMPUTED_VALUE"""),0.8836409231763492)</f>
        <v>0.8836409232</v>
      </c>
      <c r="AE815" s="30">
        <f>IFERROR(__xludf.DUMMYFUNCTION("""COMPUTED_VALUE"""),1.0195928741316918)</f>
        <v>1.019592874</v>
      </c>
      <c r="AF815" s="30">
        <f>IFERROR(__xludf.DUMMYFUNCTION("""COMPUTED_VALUE"""),1.1737223444730964)</f>
        <v>1.173722344</v>
      </c>
      <c r="AG815" s="30">
        <f>IFERROR(__xludf.DUMMYFUNCTION("""COMPUTED_VALUE"""),0.8296464406982635)</f>
        <v>0.8296464407</v>
      </c>
      <c r="AH815" s="30">
        <f>IFERROR(__xludf.DUMMYFUNCTION("""COMPUTED_VALUE"""),0.9576722159451455)</f>
        <v>0.9576722159</v>
      </c>
      <c r="AI815" s="30">
        <f>IFERROR(__xludf.DUMMYFUNCTION("""COMPUTED_VALUE"""),1.0925281791868535)</f>
        <v>1.092528179</v>
      </c>
      <c r="AJ815" s="30">
        <f>IFERROR(__xludf.DUMMYFUNCTION("""COMPUTED_VALUE"""),1.2111815518266487)</f>
        <v>1.211181552</v>
      </c>
      <c r="AK815" s="30">
        <f>IFERROR(__xludf.DUMMYFUNCTION("""COMPUTED_VALUE"""),1.5121997806352137)</f>
        <v>1.512199781</v>
      </c>
      <c r="AL815" s="30">
        <f>IFERROR(__xludf.DUMMYFUNCTION("""COMPUTED_VALUE"""),0.9909124139383777)</f>
        <v>0.9909124139</v>
      </c>
      <c r="AM815" s="30">
        <f>IFERROR(__xludf.DUMMYFUNCTION("""COMPUTED_VALUE"""),1.1027248391254214)</f>
        <v>1.102724839</v>
      </c>
      <c r="AN815" s="30">
        <f>IFERROR(__xludf.DUMMYFUNCTION("""COMPUTED_VALUE"""),0.9244056915633581)</f>
        <v>0.9244056916</v>
      </c>
      <c r="AO815" s="30">
        <f>IFERROR(__xludf.DUMMYFUNCTION("""COMPUTED_VALUE"""),1.0420683238178936)</f>
        <v>1.042068324</v>
      </c>
      <c r="AP815" s="30">
        <f>IFERROR(__xludf.DUMMYFUNCTION("""COMPUTED_VALUE"""),1.1513856450337248)</f>
        <v>1.151385645</v>
      </c>
      <c r="AQ815" s="30">
        <f>IFERROR(__xludf.DUMMYFUNCTION("""COMPUTED_VALUE"""),0.9003248242211895)</f>
        <v>0.9003248242</v>
      </c>
      <c r="AR815" s="30">
        <f>IFERROR(__xludf.DUMMYFUNCTION("""COMPUTED_VALUE"""),1.0135643359279138)</f>
        <v>1.013564336</v>
      </c>
      <c r="AS815" s="30">
        <f>IFERROR(__xludf.DUMMYFUNCTION("""COMPUTED_VALUE"""),194.0)</f>
        <v>194</v>
      </c>
      <c r="AT815" s="30">
        <f>IFERROR(__xludf.DUMMYFUNCTION("""COMPUTED_VALUE"""),0.797982038107352)</f>
        <v>0.7979820381</v>
      </c>
      <c r="AU815" s="30">
        <f>IFERROR(__xludf.DUMMYFUNCTION("""COMPUTED_VALUE"""),1.4883615279748508)</f>
        <v>1.488361528</v>
      </c>
      <c r="AV815" s="32">
        <f>IFERROR(__xludf.DUMMYFUNCTION("""COMPUTED_VALUE"""),46.62288997259758)</f>
        <v>46.62288997</v>
      </c>
      <c r="AW815" s="32">
        <f>IFERROR(__xludf.DUMMYFUNCTION("""COMPUTED_VALUE"""),-2.2407830182332207)</f>
        <v>-2.240783018</v>
      </c>
      <c r="AX815" s="32">
        <f>IFERROR(__xludf.DUMMYFUNCTION("""COMPUTED_VALUE"""),38.04425639830199)</f>
        <v>38.0442564</v>
      </c>
      <c r="AY815" s="32">
        <f>IFERROR(__xludf.DUMMYFUNCTION("""COMPUTED_VALUE"""),-3.1621218556988357)</f>
        <v>-3.162121856</v>
      </c>
      <c r="AZ815" s="30">
        <f>IFERROR(__xludf.DUMMYFUNCTION("""COMPUTED_VALUE"""),0.9213388374656151)</f>
        <v>0.9213388375</v>
      </c>
      <c r="BA815" s="30">
        <f>IFERROR(__xludf.DUMMYFUNCTION("""COMPUTED_VALUE"""),4000.0)</f>
        <v>4000</v>
      </c>
    </row>
    <row r="816">
      <c r="A816" s="71" t="str">
        <f>IFERROR(__xludf.DUMMYFUNCTION("""COMPUTED_VALUE"""),"Amateur")</f>
        <v>Amateur</v>
      </c>
      <c r="B816" s="71" t="str">
        <f>IFERROR(__xludf.DUMMYFUNCTION("""COMPUTED_VALUE"""),"RSC006256")</f>
        <v>RSC006256</v>
      </c>
      <c r="C816" s="30" t="str">
        <f>IFERROR(__xludf.DUMMYFUNCTION("""COMPUTED_VALUE"""),"CascaUnbroken")</f>
        <v>CascaUnbroken</v>
      </c>
      <c r="D816" s="30" t="str">
        <f>IFERROR(__xludf.DUMMYFUNCTION("""COMPUTED_VALUE"""),"Aeon Ale")</f>
        <v>Aeon Ale</v>
      </c>
      <c r="E816" s="30">
        <f>IFERROR(__xludf.DUMMYFUNCTION("""COMPUTED_VALUE"""),35.0)</f>
        <v>35</v>
      </c>
      <c r="F816" s="30">
        <f>IFERROR(__xludf.DUMMYFUNCTION("""COMPUTED_VALUE"""),19.0)</f>
        <v>19</v>
      </c>
      <c r="G816" s="42">
        <f>IFERROR(__xludf.DUMMYFUNCTION("""COMPUTED_VALUE"""),16.0)</f>
        <v>16</v>
      </c>
      <c r="H816" s="42">
        <f>IFERROR(__xludf.DUMMYFUNCTION("""COMPUTED_VALUE"""),0.5428571428571428)</f>
        <v>0.5428571429</v>
      </c>
      <c r="I816" s="42">
        <f>IFERROR(__xludf.DUMMYFUNCTION("""COMPUTED_VALUE"""),0.42391304347826086)</f>
        <v>0.4239130435</v>
      </c>
      <c r="J816" s="30">
        <f>IFERROR(__xludf.DUMMYFUNCTION("""COMPUTED_VALUE"""),351.6857142857143)</f>
        <v>351.6857143</v>
      </c>
      <c r="K816" s="30">
        <f>IFERROR(__xludf.DUMMYFUNCTION("""COMPUTED_VALUE"""),1.1142857142857143)</f>
        <v>1.114285714</v>
      </c>
      <c r="L816" s="30">
        <f>IFERROR(__xludf.DUMMYFUNCTION("""COMPUTED_VALUE"""),0.42857142857142855)</f>
        <v>0.4285714286</v>
      </c>
      <c r="M816" s="30">
        <f>IFERROR(__xludf.DUMMYFUNCTION("""COMPUTED_VALUE"""),0.8285714285714286)</f>
        <v>0.8285714286</v>
      </c>
      <c r="N816" s="30">
        <f>IFERROR(__xludf.DUMMYFUNCTION("""COMPUTED_VALUE"""),2.6285714285714286)</f>
        <v>2.628571429</v>
      </c>
      <c r="O816" s="30">
        <f>IFERROR(__xludf.DUMMYFUNCTION("""COMPUTED_VALUE"""),285.5714285714285)</f>
        <v>285.5714286</v>
      </c>
      <c r="P816" s="30">
        <f>IFERROR(__xludf.DUMMYFUNCTION("""COMPUTED_VALUE"""),0.7142857142857142)</f>
        <v>0.7142857143</v>
      </c>
      <c r="Q816" s="30">
        <f>IFERROR(__xludf.DUMMYFUNCTION("""COMPUTED_VALUE"""),0.38095238095238093)</f>
        <v>0.380952381</v>
      </c>
      <c r="R816" s="30">
        <f>IFERROR(__xludf.DUMMYFUNCTION("""COMPUTED_VALUE"""),0.7904761904761903)</f>
        <v>0.7904761905</v>
      </c>
      <c r="S816" s="30">
        <f>IFERROR(__xludf.DUMMYFUNCTION("""COMPUTED_VALUE"""),1.9619047619047612)</f>
        <v>1.961904762</v>
      </c>
      <c r="T816" s="30">
        <f>IFERROR(__xludf.DUMMYFUNCTION("""COMPUTED_VALUE"""),301.4787912591225)</f>
        <v>301.4787913</v>
      </c>
      <c r="U816" s="30">
        <f>IFERROR(__xludf.DUMMYFUNCTION("""COMPUTED_VALUE"""),0.8008949616162442)</f>
        <v>0.8008949616</v>
      </c>
      <c r="V816" s="30">
        <f>IFERROR(__xludf.DUMMYFUNCTION("""COMPUTED_VALUE"""),0.4511074274644622)</f>
        <v>0.4511074275</v>
      </c>
      <c r="W816" s="30">
        <f>IFERROR(__xludf.DUMMYFUNCTION("""COMPUTED_VALUE"""),0.8785143229255883)</f>
        <v>0.8785143229</v>
      </c>
      <c r="X816" s="30">
        <f>IFERROR(__xludf.DUMMYFUNCTION("""COMPUTED_VALUE"""),2.1279217237432526)</f>
        <v>2.127921724</v>
      </c>
      <c r="Y816" s="30">
        <f>IFERROR(__xludf.DUMMYFUNCTION("""COMPUTED_VALUE"""),297.390812153722)</f>
        <v>297.3908122</v>
      </c>
      <c r="Z816" s="30">
        <f>IFERROR(__xludf.DUMMYFUNCTION("""COMPUTED_VALUE"""),0.8039675753498216)</f>
        <v>0.8039675753</v>
      </c>
      <c r="AA816" s="30">
        <f>IFERROR(__xludf.DUMMYFUNCTION("""COMPUTED_VALUE"""),0.45667517822141734)</f>
        <v>0.4566751782</v>
      </c>
      <c r="AB816" s="30">
        <f>IFERROR(__xludf.DUMMYFUNCTION("""COMPUTED_VALUE"""),0.8776213933904704)</f>
        <v>0.8776213934</v>
      </c>
      <c r="AC816" s="30">
        <f>IFERROR(__xludf.DUMMYFUNCTION("""COMPUTED_VALUE"""),2.0451136449173957)</f>
        <v>2.045113645</v>
      </c>
      <c r="AD816" s="30">
        <f>IFERROR(__xludf.DUMMYFUNCTION("""COMPUTED_VALUE"""),1.1825708795062813)</f>
        <v>1.18257088</v>
      </c>
      <c r="AE816" s="30">
        <f>IFERROR(__xludf.DUMMYFUNCTION("""COMPUTED_VALUE"""),1.3859834008863696)</f>
        <v>1.385983401</v>
      </c>
      <c r="AF816" s="30">
        <f>IFERROR(__xludf.DUMMYFUNCTION("""COMPUTED_VALUE"""),0.9384600893802842)</f>
        <v>0.9384600894</v>
      </c>
      <c r="AG816" s="30">
        <f>IFERROR(__xludf.DUMMYFUNCTION("""COMPUTED_VALUE"""),0.9441103359735232)</f>
        <v>0.944110336</v>
      </c>
      <c r="AH816" s="30">
        <f>IFERROR(__xludf.DUMMYFUNCTION("""COMPUTED_VALUE"""),1.2852935753003591)</f>
        <v>1.285293575</v>
      </c>
      <c r="AI816" s="30">
        <f>IFERROR(__xludf.DUMMYFUNCTION("""COMPUTED_VALUE"""),0.94723554973384)</f>
        <v>0.9472355497</v>
      </c>
      <c r="AJ816" s="30">
        <f>IFERROR(__xludf.DUMMYFUNCTION("""COMPUTED_VALUE"""),0.8918594179244824)</f>
        <v>0.8918594179</v>
      </c>
      <c r="AK816" s="30">
        <f>IFERROR(__xludf.DUMMYFUNCTION("""COMPUTED_VALUE"""),0.8444826171309094)</f>
        <v>0.8444826171</v>
      </c>
      <c r="AL816" s="30">
        <f>IFERROR(__xludf.DUMMYFUNCTION("""COMPUTED_VALUE"""),0.8997874819431317)</f>
        <v>0.8997874819</v>
      </c>
      <c r="AM816" s="30">
        <f>IFERROR(__xludf.DUMMYFUNCTION("""COMPUTED_VALUE"""),0.9219816405904024)</f>
        <v>0.9219816406</v>
      </c>
      <c r="AN816" s="30">
        <f>IFERROR(__xludf.DUMMYFUNCTION("""COMPUTED_VALUE"""),1.266094039415128)</f>
        <v>1.266094039</v>
      </c>
      <c r="AO816" s="30">
        <f>IFERROR(__xludf.DUMMYFUNCTION("""COMPUTED_VALUE"""),1.4998340517807542)</f>
        <v>1.499834052</v>
      </c>
      <c r="AP816" s="30">
        <f>IFERROR(__xludf.DUMMYFUNCTION("""COMPUTED_VALUE"""),1.0197987141727276)</f>
        <v>1.019798714</v>
      </c>
      <c r="AQ816" s="30">
        <f>IFERROR(__xludf.DUMMYFUNCTION("""COMPUTED_VALUE"""),1.0511584636037004)</f>
        <v>1.051158464</v>
      </c>
      <c r="AR816" s="30">
        <f>IFERROR(__xludf.DUMMYFUNCTION("""COMPUTED_VALUE"""),1.376516898126862)</f>
        <v>1.376516898</v>
      </c>
      <c r="AS816" s="30">
        <f>IFERROR(__xludf.DUMMYFUNCTION("""COMPUTED_VALUE"""),169.0)</f>
        <v>169</v>
      </c>
      <c r="AT816" s="30">
        <f>IFERROR(__xludf.DUMMYFUNCTION("""COMPUTED_VALUE"""),0.805092697446159)</f>
        <v>0.8050926974</v>
      </c>
      <c r="AU816" s="30">
        <f>IFERROR(__xludf.DUMMYFUNCTION("""COMPUTED_VALUE"""),2.7718408520738924)</f>
        <v>2.771840852</v>
      </c>
      <c r="AV816" s="32">
        <f>IFERROR(__xludf.DUMMYFUNCTION("""COMPUTED_VALUE"""),72.86635525204778)</f>
        <v>72.86635525</v>
      </c>
      <c r="AW816" s="32">
        <f>IFERROR(__xludf.DUMMYFUNCTION("""COMPUTED_VALUE"""),5.549802413793076)</f>
        <v>5.549802414</v>
      </c>
      <c r="AX816" s="32">
        <f>IFERROR(__xludf.DUMMYFUNCTION("""COMPUTED_VALUE"""),70.28647512374434)</f>
        <v>70.28647512</v>
      </c>
      <c r="AY816" s="32">
        <f>IFERROR(__xludf.DUMMYFUNCTION("""COMPUTED_VALUE"""),4.794988745145068)</f>
        <v>4.794988745</v>
      </c>
      <c r="AZ816" s="30">
        <f>IFERROR(__xludf.DUMMYFUNCTION("""COMPUTED_VALUE"""),0.7548136686480076)</f>
        <v>0.7548136686</v>
      </c>
      <c r="BA816" s="30">
        <f>IFERROR(__xludf.DUMMYFUNCTION("""COMPUTED_VALUE"""),4000.0)</f>
        <v>4000</v>
      </c>
    </row>
    <row r="817">
      <c r="A817" s="71" t="str">
        <f>IFERROR(__xludf.DUMMYFUNCTION("""COMPUTED_VALUE"""),"Amateur")</f>
        <v>Amateur</v>
      </c>
      <c r="B817" s="71" t="str">
        <f>IFERROR(__xludf.DUMMYFUNCTION("""COMPUTED_VALUE"""),"RSC007948")</f>
        <v>RSC007948</v>
      </c>
      <c r="C817" s="30" t="str">
        <f>IFERROR(__xludf.DUMMYFUNCTION("""COMPUTED_VALUE"""),"MasterOfDaTurtle")</f>
        <v>MasterOfDaTurtle</v>
      </c>
      <c r="D817" s="30" t="str">
        <f>IFERROR(__xludf.DUMMYFUNCTION("""COMPUTED_VALUE"""),"Kiwis")</f>
        <v>Kiwis</v>
      </c>
      <c r="E817" s="30">
        <f>IFERROR(__xludf.DUMMYFUNCTION("""COMPUTED_VALUE"""),14.0)</f>
        <v>14</v>
      </c>
      <c r="F817" s="30">
        <f>IFERROR(__xludf.DUMMYFUNCTION("""COMPUTED_VALUE"""),3.0)</f>
        <v>3</v>
      </c>
      <c r="G817" s="42">
        <f>IFERROR(__xludf.DUMMYFUNCTION("""COMPUTED_VALUE"""),11.0)</f>
        <v>11</v>
      </c>
      <c r="H817" s="42">
        <f>IFERROR(__xludf.DUMMYFUNCTION("""COMPUTED_VALUE"""),0.21428571428571427)</f>
        <v>0.2142857143</v>
      </c>
      <c r="I817" s="42">
        <f>IFERROR(__xludf.DUMMYFUNCTION("""COMPUTED_VALUE"""),0.32142857142857145)</f>
        <v>0.3214285714</v>
      </c>
      <c r="J817" s="30">
        <f>IFERROR(__xludf.DUMMYFUNCTION("""COMPUTED_VALUE"""),257.57142857142856)</f>
        <v>257.5714286</v>
      </c>
      <c r="K817" s="30">
        <f>IFERROR(__xludf.DUMMYFUNCTION("""COMPUTED_VALUE"""),0.6428571428571429)</f>
        <v>0.6428571429</v>
      </c>
      <c r="L817" s="30">
        <f>IFERROR(__xludf.DUMMYFUNCTION("""COMPUTED_VALUE"""),0.42857142857142855)</f>
        <v>0.4285714286</v>
      </c>
      <c r="M817" s="30">
        <f>IFERROR(__xludf.DUMMYFUNCTION("""COMPUTED_VALUE"""),0.35714285714285715)</f>
        <v>0.3571428571</v>
      </c>
      <c r="N817" s="30">
        <f>IFERROR(__xludf.DUMMYFUNCTION("""COMPUTED_VALUE"""),2.0)</f>
        <v>2</v>
      </c>
      <c r="O817" s="30">
        <f>IFERROR(__xludf.DUMMYFUNCTION("""COMPUTED_VALUE"""),304.0654761904762)</f>
        <v>304.0654762</v>
      </c>
      <c r="P817" s="30">
        <f>IFERROR(__xludf.DUMMYFUNCTION("""COMPUTED_VALUE"""),0.9583333333333331)</f>
        <v>0.9583333333</v>
      </c>
      <c r="Q817" s="30">
        <f>IFERROR(__xludf.DUMMYFUNCTION("""COMPUTED_VALUE"""),0.4404761904761905)</f>
        <v>0.4404761905</v>
      </c>
      <c r="R817" s="30">
        <f>IFERROR(__xludf.DUMMYFUNCTION("""COMPUTED_VALUE"""),0.8690476190476188)</f>
        <v>0.869047619</v>
      </c>
      <c r="S817" s="30">
        <f>IFERROR(__xludf.DUMMYFUNCTION("""COMPUTED_VALUE"""),2.0952380952380945)</f>
        <v>2.095238095</v>
      </c>
      <c r="T817" s="30">
        <f>IFERROR(__xludf.DUMMYFUNCTION("""COMPUTED_VALUE"""),281.3077007668495)</f>
        <v>281.3077008</v>
      </c>
      <c r="U817" s="30">
        <f>IFERROR(__xludf.DUMMYFUNCTION("""COMPUTED_VALUE"""),0.7460195417365385)</f>
        <v>0.7460195417</v>
      </c>
      <c r="V817" s="30">
        <f>IFERROR(__xludf.DUMMYFUNCTION("""COMPUTED_VALUE"""),0.37412916290660947)</f>
        <v>0.3741291629</v>
      </c>
      <c r="W817" s="30">
        <f>IFERROR(__xludf.DUMMYFUNCTION("""COMPUTED_VALUE"""),0.8103822597791154)</f>
        <v>0.8103822598</v>
      </c>
      <c r="X817" s="30">
        <f>IFERROR(__xludf.DUMMYFUNCTION("""COMPUTED_VALUE"""),1.9420951860705185)</f>
        <v>1.942095186</v>
      </c>
      <c r="Y817" s="30">
        <f>IFERROR(__xludf.DUMMYFUNCTION("""COMPUTED_VALUE"""),289.9221998205168)</f>
        <v>289.9221998</v>
      </c>
      <c r="Z817" s="30">
        <f>IFERROR(__xludf.DUMMYFUNCTION("""COMPUTED_VALUE"""),0.789689062602341)</f>
        <v>0.7896890626</v>
      </c>
      <c r="AA817" s="30">
        <f>IFERROR(__xludf.DUMMYFUNCTION("""COMPUTED_VALUE"""),0.4242756402550159)</f>
        <v>0.4242756403</v>
      </c>
      <c r="AB817" s="30">
        <f>IFERROR(__xludf.DUMMYFUNCTION("""COMPUTED_VALUE"""),0.8030980074228017)</f>
        <v>0.8030980074</v>
      </c>
      <c r="AC817" s="30">
        <f>IFERROR(__xludf.DUMMYFUNCTION("""COMPUTED_VALUE"""),2.0330211733330237)</f>
        <v>2.033021173</v>
      </c>
      <c r="AD817" s="30">
        <f>IFERROR(__xludf.DUMMYFUNCTION("""COMPUTED_VALUE"""),0.888415680934003)</f>
        <v>0.8884156809</v>
      </c>
      <c r="AE817" s="30">
        <f>IFERROR(__xludf.DUMMYFUNCTION("""COMPUTED_VALUE"""),0.8140636274468229)</f>
        <v>0.8140636274</v>
      </c>
      <c r="AF817" s="30">
        <f>IFERROR(__xludf.DUMMYFUNCTION("""COMPUTED_VALUE"""),1.0101249940105697)</f>
        <v>1.010124994</v>
      </c>
      <c r="AG817" s="30">
        <f>IFERROR(__xludf.DUMMYFUNCTION("""COMPUTED_VALUE"""),0.44470644160723777)</f>
        <v>0.4447064416</v>
      </c>
      <c r="AH817" s="30">
        <f>IFERROR(__xludf.DUMMYFUNCTION("""COMPUTED_VALUE"""),0.9837575851318423)</f>
        <v>0.9837575851</v>
      </c>
      <c r="AI817" s="30">
        <f>IFERROR(__xludf.DUMMYFUNCTION("""COMPUTED_VALUE"""),1.0808999375473498)</f>
        <v>1.080899938</v>
      </c>
      <c r="AJ817" s="30">
        <f>IFERROR(__xludf.DUMMYFUNCTION("""COMPUTED_VALUE"""),1.284595482716959)</f>
        <v>1.284595483</v>
      </c>
      <c r="AK817" s="30">
        <f>IFERROR(__xludf.DUMMYFUNCTION("""COMPUTED_VALUE"""),1.1773372250752414)</f>
        <v>1.177337225</v>
      </c>
      <c r="AL817" s="30">
        <f>IFERROR(__xludf.DUMMYFUNCTION("""COMPUTED_VALUE"""),1.0723922057283113)</f>
        <v>1.072392206</v>
      </c>
      <c r="AM817" s="30">
        <f>IFERROR(__xludf.DUMMYFUNCTION("""COMPUTED_VALUE"""),1.078854481626842)</f>
        <v>1.078854482</v>
      </c>
      <c r="AN817" s="30">
        <f>IFERROR(__xludf.DUMMYFUNCTION("""COMPUTED_VALUE"""),0.9272757953795904)</f>
        <v>0.9272757954</v>
      </c>
      <c r="AO817" s="30">
        <f>IFERROR(__xludf.DUMMYFUNCTION("""COMPUTED_VALUE"""),0.8652888760273583)</f>
        <v>0.865288876</v>
      </c>
      <c r="AP817" s="30">
        <f>IFERROR(__xludf.DUMMYFUNCTION("""COMPUTED_VALUE"""),1.0197987141727276)</f>
        <v>1.019798714</v>
      </c>
      <c r="AQ817" s="30">
        <f>IFERROR(__xludf.DUMMYFUNCTION("""COMPUTED_VALUE"""),0.4530855446567674)</f>
        <v>0.4530855447</v>
      </c>
      <c r="AR817" s="30">
        <f>IFERROR(__xludf.DUMMYFUNCTION("""COMPUTED_VALUE"""),1.0473498137921775)</f>
        <v>1.047349814</v>
      </c>
      <c r="AS817" s="30">
        <f>IFERROR(__xludf.DUMMYFUNCTION("""COMPUTED_VALUE"""),82.0)</f>
        <v>82</v>
      </c>
      <c r="AT817" s="30">
        <f>IFERROR(__xludf.DUMMYFUNCTION("""COMPUTED_VALUE"""),0.790076846643886)</f>
        <v>0.7900768466</v>
      </c>
      <c r="AU817" s="30">
        <f>IFERROR(__xludf.DUMMYFUNCTION("""COMPUTED_VALUE"""),1.3594944829382285)</f>
        <v>1.359494483</v>
      </c>
      <c r="AV817" s="32">
        <f>IFERROR(__xludf.DUMMYFUNCTION("""COMPUTED_VALUE"""),43.98792908262926)</f>
        <v>43.98792908</v>
      </c>
      <c r="AW817" s="32">
        <f>IFERROR(__xludf.DUMMYFUNCTION("""COMPUTED_VALUE"""),-2.469270035478073)</f>
        <v>-2.469270035</v>
      </c>
      <c r="AX817" s="32">
        <f>IFERROR(__xludf.DUMMYFUNCTION("""COMPUTED_VALUE"""),38.58994434687939)</f>
        <v>38.58994435</v>
      </c>
      <c r="AY817" s="32">
        <f>IFERROR(__xludf.DUMMYFUNCTION("""COMPUTED_VALUE"""),-3.0859398835132277)</f>
        <v>-3.085939884</v>
      </c>
      <c r="AZ817" s="30">
        <f>IFERROR(__xludf.DUMMYFUNCTION("""COMPUTED_VALUE"""),0.6166698480351545)</f>
        <v>0.616669848</v>
      </c>
      <c r="BA817" s="30">
        <f>IFERROR(__xludf.DUMMYFUNCTION("""COMPUTED_VALUE"""),4000.0)</f>
        <v>4000</v>
      </c>
    </row>
    <row r="818">
      <c r="A818" s="71" t="str">
        <f>IFERROR(__xludf.DUMMYFUNCTION("""COMPUTED_VALUE"""),"Amateur")</f>
        <v>Amateur</v>
      </c>
      <c r="B818" s="71" t="str">
        <f>IFERROR(__xludf.DUMMYFUNCTION("""COMPUTED_VALUE"""),"RSC004190")</f>
        <v>RSC004190</v>
      </c>
      <c r="C818" s="30" t="str">
        <f>IFERROR(__xludf.DUMMYFUNCTION("""COMPUTED_VALUE"""),"demonikgoat4061")</f>
        <v>demonikgoat4061</v>
      </c>
      <c r="D818" s="30" t="str">
        <f>IFERROR(__xludf.DUMMYFUNCTION("""COMPUTED_VALUE"""),"Aloof Goofs")</f>
        <v>Aloof Goofs</v>
      </c>
      <c r="E818" s="30">
        <f>IFERROR(__xludf.DUMMYFUNCTION("""COMPUTED_VALUE"""),35.0)</f>
        <v>35</v>
      </c>
      <c r="F818" s="30">
        <f>IFERROR(__xludf.DUMMYFUNCTION("""COMPUTED_VALUE"""),11.0)</f>
        <v>11</v>
      </c>
      <c r="G818" s="42">
        <f>IFERROR(__xludf.DUMMYFUNCTION("""COMPUTED_VALUE"""),24.0)</f>
        <v>24</v>
      </c>
      <c r="H818" s="42">
        <f>IFERROR(__xludf.DUMMYFUNCTION("""COMPUTED_VALUE"""),0.3142857142857143)</f>
        <v>0.3142857143</v>
      </c>
      <c r="I818" s="42">
        <f>IFERROR(__xludf.DUMMYFUNCTION("""COMPUTED_VALUE"""),0.36065573770491804)</f>
        <v>0.3606557377</v>
      </c>
      <c r="J818" s="30">
        <f>IFERROR(__xludf.DUMMYFUNCTION("""COMPUTED_VALUE"""),276.9142857142857)</f>
        <v>276.9142857</v>
      </c>
      <c r="K818" s="30">
        <f>IFERROR(__xludf.DUMMYFUNCTION("""COMPUTED_VALUE"""),0.6285714285714286)</f>
        <v>0.6285714286</v>
      </c>
      <c r="L818" s="30">
        <f>IFERROR(__xludf.DUMMYFUNCTION("""COMPUTED_VALUE"""),0.37142857142857144)</f>
        <v>0.3714285714</v>
      </c>
      <c r="M818" s="30">
        <f>IFERROR(__xludf.DUMMYFUNCTION("""COMPUTED_VALUE"""),0.8857142857142857)</f>
        <v>0.8857142857</v>
      </c>
      <c r="N818" s="30">
        <f>IFERROR(__xludf.DUMMYFUNCTION("""COMPUTED_VALUE"""),1.7428571428571429)</f>
        <v>1.742857143</v>
      </c>
      <c r="O818" s="30">
        <f>IFERROR(__xludf.DUMMYFUNCTION("""COMPUTED_VALUE"""),317.48333333333323)</f>
        <v>317.4833333</v>
      </c>
      <c r="P818" s="30">
        <f>IFERROR(__xludf.DUMMYFUNCTION("""COMPUTED_VALUE"""),0.8928571428571432)</f>
        <v>0.8928571429</v>
      </c>
      <c r="Q818" s="30">
        <f>IFERROR(__xludf.DUMMYFUNCTION("""COMPUTED_VALUE"""),0.5214285714285716)</f>
        <v>0.5214285714</v>
      </c>
      <c r="R818" s="30">
        <f>IFERROR(__xludf.DUMMYFUNCTION("""COMPUTED_VALUE"""),0.9880952380952384)</f>
        <v>0.9880952381</v>
      </c>
      <c r="S818" s="30">
        <f>IFERROR(__xludf.DUMMYFUNCTION("""COMPUTED_VALUE"""),2.1357142857142857)</f>
        <v>2.135714286</v>
      </c>
      <c r="T818" s="30">
        <f>IFERROR(__xludf.DUMMYFUNCTION("""COMPUTED_VALUE"""),300.7559189490684)</f>
        <v>300.7559189</v>
      </c>
      <c r="U818" s="30">
        <f>IFERROR(__xludf.DUMMYFUNCTION("""COMPUTED_VALUE"""),0.8020084014059642)</f>
        <v>0.8020084014</v>
      </c>
      <c r="V818" s="30">
        <f>IFERROR(__xludf.DUMMYFUNCTION("""COMPUTED_VALUE"""),0.4711218016457447)</f>
        <v>0.4711218016</v>
      </c>
      <c r="W818" s="30">
        <f>IFERROR(__xludf.DUMMYFUNCTION("""COMPUTED_VALUE"""),0.9091814310439601)</f>
        <v>0.909181431</v>
      </c>
      <c r="X818" s="30">
        <f>IFERROR(__xludf.DUMMYFUNCTION("""COMPUTED_VALUE"""),2.041050775184746)</f>
        <v>2.041050775</v>
      </c>
      <c r="Y818" s="30">
        <f>IFERROR(__xludf.DUMMYFUNCTION("""COMPUTED_VALUE"""),283.9099810357451)</f>
        <v>283.909981</v>
      </c>
      <c r="Z818" s="30">
        <f>IFERROR(__xludf.DUMMYFUNCTION("""COMPUTED_VALUE"""),0.7124122212609824)</f>
        <v>0.7124122213</v>
      </c>
      <c r="AA818" s="30">
        <f>IFERROR(__xludf.DUMMYFUNCTION("""COMPUTED_VALUE"""),0.39642633318332887)</f>
        <v>0.3964263332</v>
      </c>
      <c r="AB818" s="30">
        <f>IFERROR(__xludf.DUMMYFUNCTION("""COMPUTED_VALUE"""),0.8459348826969711)</f>
        <v>0.8459348827</v>
      </c>
      <c r="AC818" s="30">
        <f>IFERROR(__xludf.DUMMYFUNCTION("""COMPUTED_VALUE"""),2.010362666335251)</f>
        <v>2.010362666</v>
      </c>
      <c r="AD818" s="30">
        <f>IFERROR(__xludf.DUMMYFUNCTION("""COMPUTED_VALUE"""),0.9753594597275586)</f>
        <v>0.9753594597</v>
      </c>
      <c r="AE818" s="30">
        <f>IFERROR(__xludf.DUMMYFUNCTION("""COMPUTED_VALUE"""),0.8823142133340244)</f>
        <v>0.8823142133</v>
      </c>
      <c r="AF818" s="30">
        <f>IFERROR(__xludf.DUMMYFUNCTION("""COMPUTED_VALUE"""),0.93694222693527)</f>
        <v>0.9369422269</v>
      </c>
      <c r="AG818" s="30">
        <f>IFERROR(__xludf.DUMMYFUNCTION("""COMPUTED_VALUE"""),1.0470241904323554)</f>
        <v>1.04702419</v>
      </c>
      <c r="AH818" s="30">
        <f>IFERROR(__xludf.DUMMYFUNCTION("""COMPUTED_VALUE"""),0.8669366836354199)</f>
        <v>0.8669366836</v>
      </c>
      <c r="AI818" s="30">
        <f>IFERROR(__xludf.DUMMYFUNCTION("""COMPUTED_VALUE"""),1.0556179058510815)</f>
        <v>1.055617906</v>
      </c>
      <c r="AJ818" s="30">
        <f>IFERROR(__xludf.DUMMYFUNCTION("""COMPUTED_VALUE"""),1.1132765458465477)</f>
        <v>1.113276546</v>
      </c>
      <c r="AK818" s="30">
        <f>IFERROR(__xludf.DUMMYFUNCTION("""COMPUTED_VALUE"""),1.106780814657893)</f>
        <v>1.106780815</v>
      </c>
      <c r="AL818" s="30">
        <f>IFERROR(__xludf.DUMMYFUNCTION("""COMPUTED_VALUE"""),1.086796545064351)</f>
        <v>1.086796545</v>
      </c>
      <c r="AM818" s="30">
        <f>IFERROR(__xludf.DUMMYFUNCTION("""COMPUTED_VALUE"""),1.0463797920563593)</f>
        <v>1.046379792</v>
      </c>
      <c r="AN818" s="30">
        <f>IFERROR(__xludf.DUMMYFUNCTION("""COMPUTED_VALUE"""),0.996911481843482)</f>
        <v>0.9969114818</v>
      </c>
      <c r="AO818" s="30">
        <f>IFERROR(__xludf.DUMMYFUNCTION("""COMPUTED_VALUE"""),0.8460602343378613)</f>
        <v>0.8460602343</v>
      </c>
      <c r="AP818" s="30">
        <f>IFERROR(__xludf.DUMMYFUNCTION("""COMPUTED_VALUE"""),0.8838255522830306)</f>
        <v>0.8838255523</v>
      </c>
      <c r="AQ818" s="30">
        <f>IFERROR(__xludf.DUMMYFUNCTION("""COMPUTED_VALUE"""),1.123652150748783)</f>
        <v>1.123652151</v>
      </c>
      <c r="AR818" s="30">
        <f>IFERROR(__xludf.DUMMYFUNCTION("""COMPUTED_VALUE"""),0.9126905520188976)</f>
        <v>0.912690552</v>
      </c>
      <c r="AS818" s="30">
        <f>IFERROR(__xludf.DUMMYFUNCTION("""COMPUTED_VALUE"""),142.0)</f>
        <v>142</v>
      </c>
      <c r="AT818" s="30">
        <f>IFERROR(__xludf.DUMMYFUNCTION("""COMPUTED_VALUE"""),0.6721206230938511)</f>
        <v>0.6721206231</v>
      </c>
      <c r="AU818" s="30">
        <f>IFERROR(__xludf.DUMMYFUNCTION("""COMPUTED_VALUE"""),1.388647932622963)</f>
        <v>1.388647933</v>
      </c>
      <c r="AV818" s="32">
        <f>IFERROR(__xludf.DUMMYFUNCTION("""COMPUTED_VALUE"""),44.584033383035184)</f>
        <v>44.58403338</v>
      </c>
      <c r="AW818" s="32">
        <f>IFERROR(__xludf.DUMMYFUNCTION("""COMPUTED_VALUE"""),-2.4140304866605726)</f>
        <v>-2.414030487</v>
      </c>
      <c r="AX818" s="32">
        <f>IFERROR(__xludf.DUMMYFUNCTION("""COMPUTED_VALUE"""),39.07594675878976)</f>
        <v>39.07594676</v>
      </c>
      <c r="AY818" s="32">
        <f>IFERROR(__xludf.DUMMYFUNCTION("""COMPUTED_VALUE"""),-3.020514673921006)</f>
        <v>-3.020514674</v>
      </c>
      <c r="AZ818" s="30">
        <f>IFERROR(__xludf.DUMMYFUNCTION("""COMPUTED_VALUE"""),0.6064841872604334)</f>
        <v>0.6064841873</v>
      </c>
      <c r="BA818" s="30">
        <f>IFERROR(__xludf.DUMMYFUNCTION("""COMPUTED_VALUE"""),4000.0)</f>
        <v>4000</v>
      </c>
    </row>
    <row r="819">
      <c r="A819" s="71" t="str">
        <f>IFERROR(__xludf.DUMMYFUNCTION("""COMPUTED_VALUE"""),"Amateur")</f>
        <v>Amateur</v>
      </c>
      <c r="B819" s="71" t="str">
        <f>IFERROR(__xludf.DUMMYFUNCTION("""COMPUTED_VALUE"""),"RSC007161")</f>
        <v>RSC007161</v>
      </c>
      <c r="C819" s="30" t="str">
        <f>IFERROR(__xludf.DUMMYFUNCTION("""COMPUTED_VALUE"""),"MrAnderpants")</f>
        <v>MrAnderpants</v>
      </c>
      <c r="D819" s="30" t="str">
        <f>IFERROR(__xludf.DUMMYFUNCTION("""COMPUTED_VALUE"""),"Aloof Goofs")</f>
        <v>Aloof Goofs</v>
      </c>
      <c r="E819" s="30">
        <f>IFERROR(__xludf.DUMMYFUNCTION("""COMPUTED_VALUE"""),34.0)</f>
        <v>34</v>
      </c>
      <c r="F819" s="30">
        <f>IFERROR(__xludf.DUMMYFUNCTION("""COMPUTED_VALUE"""),9.0)</f>
        <v>9</v>
      </c>
      <c r="G819" s="42">
        <f>IFERROR(__xludf.DUMMYFUNCTION("""COMPUTED_VALUE"""),25.0)</f>
        <v>25</v>
      </c>
      <c r="H819" s="42">
        <f>IFERROR(__xludf.DUMMYFUNCTION("""COMPUTED_VALUE"""),0.2647058823529412)</f>
        <v>0.2647058824</v>
      </c>
      <c r="I819" s="42">
        <f>IFERROR(__xludf.DUMMYFUNCTION("""COMPUTED_VALUE"""),0.2222222222222222)</f>
        <v>0.2222222222</v>
      </c>
      <c r="J819" s="30">
        <f>IFERROR(__xludf.DUMMYFUNCTION("""COMPUTED_VALUE"""),264.2352941176471)</f>
        <v>264.2352941</v>
      </c>
      <c r="K819" s="30">
        <f>IFERROR(__xludf.DUMMYFUNCTION("""COMPUTED_VALUE"""),0.47058823529411764)</f>
        <v>0.4705882353</v>
      </c>
      <c r="L819" s="30">
        <f>IFERROR(__xludf.DUMMYFUNCTION("""COMPUTED_VALUE"""),0.2647058823529412)</f>
        <v>0.2647058824</v>
      </c>
      <c r="M819" s="30">
        <f>IFERROR(__xludf.DUMMYFUNCTION("""COMPUTED_VALUE"""),0.7941176470588235)</f>
        <v>0.7941176471</v>
      </c>
      <c r="N819" s="30">
        <f>IFERROR(__xludf.DUMMYFUNCTION("""COMPUTED_VALUE"""),2.1176470588235294)</f>
        <v>2.117647059</v>
      </c>
      <c r="O819" s="30">
        <f>IFERROR(__xludf.DUMMYFUNCTION("""COMPUTED_VALUE"""),318.8431372549019)</f>
        <v>318.8431373</v>
      </c>
      <c r="P819" s="30">
        <f>IFERROR(__xludf.DUMMYFUNCTION("""COMPUTED_VALUE"""),0.9117647058823533)</f>
        <v>0.9117647059</v>
      </c>
      <c r="Q819" s="30">
        <f>IFERROR(__xludf.DUMMYFUNCTION("""COMPUTED_VALUE"""),0.519607843137255)</f>
        <v>0.5196078431</v>
      </c>
      <c r="R819" s="30">
        <f>IFERROR(__xludf.DUMMYFUNCTION("""COMPUTED_VALUE"""),0.9509803921568626)</f>
        <v>0.9509803922</v>
      </c>
      <c r="S819" s="30">
        <f>IFERROR(__xludf.DUMMYFUNCTION("""COMPUTED_VALUE"""),2.1372549019607843)</f>
        <v>2.137254902</v>
      </c>
      <c r="T819" s="30">
        <f>IFERROR(__xludf.DUMMYFUNCTION("""COMPUTED_VALUE"""),302.92236609229735)</f>
        <v>302.9223661</v>
      </c>
      <c r="U819" s="30">
        <f>IFERROR(__xludf.DUMMYFUNCTION("""COMPUTED_VALUE"""),0.8113702215397176)</f>
        <v>0.8113702215</v>
      </c>
      <c r="V819" s="30">
        <f>IFERROR(__xludf.DUMMYFUNCTION("""COMPUTED_VALUE"""),0.47129119164601657)</f>
        <v>0.4712911916</v>
      </c>
      <c r="W819" s="30">
        <f>IFERROR(__xludf.DUMMYFUNCTION("""COMPUTED_VALUE"""),0.9149425734174536)</f>
        <v>0.9149425734</v>
      </c>
      <c r="X819" s="30">
        <f>IFERROR(__xludf.DUMMYFUNCTION("""COMPUTED_VALUE"""),2.0583312307421617)</f>
        <v>2.058331231</v>
      </c>
      <c r="Y819" s="30">
        <f>IFERROR(__xludf.DUMMYFUNCTION("""COMPUTED_VALUE"""),283.5766889575685)</f>
        <v>283.576689</v>
      </c>
      <c r="Z819" s="30">
        <f>IFERROR(__xludf.DUMMYFUNCTION("""COMPUTED_VALUE"""),0.7170146374255519)</f>
        <v>0.7170146374</v>
      </c>
      <c r="AA819" s="30">
        <f>IFERROR(__xludf.DUMMYFUNCTION("""COMPUTED_VALUE"""),0.3948955218484569)</f>
        <v>0.3948955218</v>
      </c>
      <c r="AB819" s="30">
        <f>IFERROR(__xludf.DUMMYFUNCTION("""COMPUTED_VALUE"""),0.8408075297362084)</f>
        <v>0.8408075297</v>
      </c>
      <c r="AC819" s="30">
        <f>IFERROR(__xludf.DUMMYFUNCTION("""COMPUTED_VALUE"""),2.0071080574500377)</f>
        <v>2.007108057</v>
      </c>
      <c r="AD819" s="30">
        <f>IFERROR(__xludf.DUMMYFUNCTION("""COMPUTED_VALUE"""),0.9317948350725843)</f>
        <v>0.9317948351</v>
      </c>
      <c r="AE819" s="30">
        <f>IFERROR(__xludf.DUMMYFUNCTION("""COMPUTED_VALUE"""),0.6563160788233966)</f>
        <v>0.6563160788</v>
      </c>
      <c r="AF819" s="30">
        <f>IFERROR(__xludf.DUMMYFUNCTION("""COMPUTED_VALUE"""),0.6703187747328352)</f>
        <v>0.6703187747</v>
      </c>
      <c r="AG819" s="30">
        <f>IFERROR(__xludf.DUMMYFUNCTION("""COMPUTED_VALUE"""),0.9444701896377721)</f>
        <v>0.9444701896</v>
      </c>
      <c r="AH819" s="30">
        <f>IFERROR(__xludf.DUMMYFUNCTION("""COMPUTED_VALUE"""),1.0550737669370565)</f>
        <v>1.055073767</v>
      </c>
      <c r="AI819" s="30">
        <f>IFERROR(__xludf.DUMMYFUNCTION("""COMPUTED_VALUE"""),1.052557265308543)</f>
        <v>1.052557265</v>
      </c>
      <c r="AJ819" s="30">
        <f>IFERROR(__xludf.DUMMYFUNCTION("""COMPUTED_VALUE"""),1.1237344946578387)</f>
        <v>1.123734495</v>
      </c>
      <c r="AK819" s="30">
        <f>IFERROR(__xludf.DUMMYFUNCTION("""COMPUTED_VALUE"""),1.1025197422478643)</f>
        <v>1.102519742</v>
      </c>
      <c r="AL819" s="30">
        <f>IFERROR(__xludf.DUMMYFUNCTION("""COMPUTED_VALUE"""),1.0393880662966661)</f>
        <v>1.039388066</v>
      </c>
      <c r="AM819" s="30">
        <f>IFERROR(__xludf.DUMMYFUNCTION("""COMPUTED_VALUE"""),1.0383435231608305)</f>
        <v>1.038343523</v>
      </c>
      <c r="AN819" s="30">
        <f>IFERROR(__xludf.DUMMYFUNCTION("""COMPUTED_VALUE"""),0.9512661939224117)</f>
        <v>0.9512661939</v>
      </c>
      <c r="AO819" s="30">
        <f>IFERROR(__xludf.DUMMYFUNCTION("""COMPUTED_VALUE"""),0.6334140791834256)</f>
        <v>0.6334140792</v>
      </c>
      <c r="AP819" s="30">
        <f>IFERROR(__xludf.DUMMYFUNCTION("""COMPUTED_VALUE"""),0.6298756764008023)</f>
        <v>0.6298756764</v>
      </c>
      <c r="AQ819" s="30">
        <f>IFERROR(__xludf.DUMMYFUNCTION("""COMPUTED_VALUE"""),1.0074490345897533)</f>
        <v>1.007449035</v>
      </c>
      <c r="AR819" s="30">
        <f>IFERROR(__xludf.DUMMYFUNCTION("""COMPUTED_VALUE"""),1.108958626368188)</f>
        <v>1.108958626</v>
      </c>
      <c r="AS819" s="30">
        <f>IFERROR(__xludf.DUMMYFUNCTION("""COMPUTED_VALUE"""),137.0)</f>
        <v>137</v>
      </c>
      <c r="AT819" s="30">
        <f>IFERROR(__xludf.DUMMYFUNCTION("""COMPUTED_VALUE"""),0.661622525721359)</f>
        <v>0.6616225257</v>
      </c>
      <c r="AU819" s="30">
        <f>IFERROR(__xludf.DUMMYFUNCTION("""COMPUTED_VALUE"""),1.1181534913674787)</f>
        <v>1.118153491</v>
      </c>
      <c r="AV819" s="32">
        <f>IFERROR(__xludf.DUMMYFUNCTION("""COMPUTED_VALUE"""),39.05319907656465)</f>
        <v>39.05319908</v>
      </c>
      <c r="AW819" s="32">
        <f>IFERROR(__xludf.DUMMYFUNCTION("""COMPUTED_VALUE"""),-3.0235273640539186)</f>
        <v>-3.023527364</v>
      </c>
      <c r="AX819" s="32">
        <f>IFERROR(__xludf.DUMMYFUNCTION("""COMPUTED_VALUE"""),35.887052095061826)</f>
        <v>35.8870521</v>
      </c>
      <c r="AY819" s="32">
        <f>IFERROR(__xludf.DUMMYFUNCTION("""COMPUTED_VALUE"""),-3.4940496559287353)</f>
        <v>-3.494049656</v>
      </c>
      <c r="AZ819" s="30">
        <f>IFERROR(__xludf.DUMMYFUNCTION("""COMPUTED_VALUE"""),0.47052229187481664)</f>
        <v>0.4705222919</v>
      </c>
      <c r="BA819" s="30">
        <f>IFERROR(__xludf.DUMMYFUNCTION("""COMPUTED_VALUE"""),4000.0)</f>
        <v>4000</v>
      </c>
    </row>
    <row r="820">
      <c r="A820" s="71" t="str">
        <f>IFERROR(__xludf.DUMMYFUNCTION("""COMPUTED_VALUE"""),"Amateur")</f>
        <v>Amateur</v>
      </c>
      <c r="B820" s="71" t="str">
        <f>IFERROR(__xludf.DUMMYFUNCTION("""COMPUTED_VALUE"""),"RSC007678")</f>
        <v>RSC007678</v>
      </c>
      <c r="C820" s="30" t="str">
        <f>IFERROR(__xludf.DUMMYFUNCTION("""COMPUTED_VALUE"""),"SavedHawk")</f>
        <v>SavedHawk</v>
      </c>
      <c r="D820" s="30" t="str">
        <f>IFERROR(__xludf.DUMMYFUNCTION("""COMPUTED_VALUE"""),"Kiwis")</f>
        <v>Kiwis</v>
      </c>
      <c r="E820" s="30">
        <f>IFERROR(__xludf.DUMMYFUNCTION("""COMPUTED_VALUE"""),24.0)</f>
        <v>24</v>
      </c>
      <c r="F820" s="30">
        <f>IFERROR(__xludf.DUMMYFUNCTION("""COMPUTED_VALUE"""),4.0)</f>
        <v>4</v>
      </c>
      <c r="G820" s="42">
        <f>IFERROR(__xludf.DUMMYFUNCTION("""COMPUTED_VALUE"""),20.0)</f>
        <v>20</v>
      </c>
      <c r="H820" s="42">
        <f>IFERROR(__xludf.DUMMYFUNCTION("""COMPUTED_VALUE"""),0.16666666666666666)</f>
        <v>0.1666666667</v>
      </c>
      <c r="I820" s="42">
        <f>IFERROR(__xludf.DUMMYFUNCTION("""COMPUTED_VALUE"""),0.21739130434782608)</f>
        <v>0.2173913043</v>
      </c>
      <c r="J820" s="30">
        <f>IFERROR(__xludf.DUMMYFUNCTION("""COMPUTED_VALUE"""),172.91666666666666)</f>
        <v>172.9166667</v>
      </c>
      <c r="K820" s="30">
        <f>IFERROR(__xludf.DUMMYFUNCTION("""COMPUTED_VALUE"""),0.20833333333333334)</f>
        <v>0.2083333333</v>
      </c>
      <c r="L820" s="30">
        <f>IFERROR(__xludf.DUMMYFUNCTION("""COMPUTED_VALUE"""),0.2916666666666667)</f>
        <v>0.2916666667</v>
      </c>
      <c r="M820" s="30">
        <f>IFERROR(__xludf.DUMMYFUNCTION("""COMPUTED_VALUE"""),0.75)</f>
        <v>0.75</v>
      </c>
      <c r="N820" s="30">
        <f>IFERROR(__xludf.DUMMYFUNCTION("""COMPUTED_VALUE"""),0.9583333333333334)</f>
        <v>0.9583333333</v>
      </c>
      <c r="O820" s="30">
        <f>IFERROR(__xludf.DUMMYFUNCTION("""COMPUTED_VALUE"""),366.1875)</f>
        <v>366.1875</v>
      </c>
      <c r="P820" s="30">
        <f>IFERROR(__xludf.DUMMYFUNCTION("""COMPUTED_VALUE"""),1.2916666666666667)</f>
        <v>1.291666667</v>
      </c>
      <c r="Q820" s="30">
        <f>IFERROR(__xludf.DUMMYFUNCTION("""COMPUTED_VALUE"""),0.7708333333333334)</f>
        <v>0.7708333333</v>
      </c>
      <c r="R820" s="30">
        <f>IFERROR(__xludf.DUMMYFUNCTION("""COMPUTED_VALUE"""),0.7743055555555555)</f>
        <v>0.7743055556</v>
      </c>
      <c r="S820" s="30">
        <f>IFERROR(__xludf.DUMMYFUNCTION("""COMPUTED_VALUE"""),2.6875000000000004)</f>
        <v>2.6875</v>
      </c>
      <c r="T820" s="30">
        <f>IFERROR(__xludf.DUMMYFUNCTION("""COMPUTED_VALUE"""),300.50840477583245)</f>
        <v>300.5084048</v>
      </c>
      <c r="U820" s="30">
        <f>IFERROR(__xludf.DUMMYFUNCTION("""COMPUTED_VALUE"""),0.8513195800668787)</f>
        <v>0.8513195801</v>
      </c>
      <c r="V820" s="30">
        <f>IFERROR(__xludf.DUMMYFUNCTION("""COMPUTED_VALUE"""),0.45542273909637676)</f>
        <v>0.4554227391</v>
      </c>
      <c r="W820" s="30">
        <f>IFERROR(__xludf.DUMMYFUNCTION("""COMPUTED_VALUE"""),0.8499691730228837)</f>
        <v>0.849969173</v>
      </c>
      <c r="X820" s="30">
        <f>IFERROR(__xludf.DUMMYFUNCTION("""COMPUTED_VALUE"""),2.1030049779974016)</f>
        <v>2.103004978</v>
      </c>
      <c r="Y820" s="30">
        <f>IFERROR(__xludf.DUMMYFUNCTION("""COMPUTED_VALUE"""),287.0240607895272)</f>
        <v>287.0240608</v>
      </c>
      <c r="Z820" s="30">
        <f>IFERROR(__xludf.DUMMYFUNCTION("""COMPUTED_VALUE"""),0.7263659910519702)</f>
        <v>0.7263659911</v>
      </c>
      <c r="AA820" s="30">
        <f>IFERROR(__xludf.DUMMYFUNCTION("""COMPUTED_VALUE"""),0.4134747903916227)</f>
        <v>0.4134747904</v>
      </c>
      <c r="AB820" s="30">
        <f>IFERROR(__xludf.DUMMYFUNCTION("""COMPUTED_VALUE"""),0.8629157661664996)</f>
        <v>0.8629157662</v>
      </c>
      <c r="AC820" s="30">
        <f>IFERROR(__xludf.DUMMYFUNCTION("""COMPUTED_VALUE"""),1.9911754668086095)</f>
        <v>1.991175467</v>
      </c>
      <c r="AD820" s="30">
        <f>IFERROR(__xludf.DUMMYFUNCTION("""COMPUTED_VALUE"""),0.6024465899862844)</f>
        <v>0.60244659</v>
      </c>
      <c r="AE820" s="30">
        <f>IFERROR(__xludf.DUMMYFUNCTION("""COMPUTED_VALUE"""),0.2868159246162001)</f>
        <v>0.2868159246</v>
      </c>
      <c r="AF820" s="30">
        <f>IFERROR(__xludf.DUMMYFUNCTION("""COMPUTED_VALUE"""),0.7054037475668458)</f>
        <v>0.7054037476</v>
      </c>
      <c r="AG820" s="30">
        <f>IFERROR(__xludf.DUMMYFUNCTION("""COMPUTED_VALUE"""),0.8691462474163295)</f>
        <v>0.8691462474</v>
      </c>
      <c r="AH820" s="30">
        <f>IFERROR(__xludf.DUMMYFUNCTION("""COMPUTED_VALUE"""),0.48129024754876)</f>
        <v>0.4812902475</v>
      </c>
      <c r="AI820" s="30">
        <f>IFERROR(__xludf.DUMMYFUNCTION("""COMPUTED_VALUE"""),1.21855992771038)</f>
        <v>1.218559928</v>
      </c>
      <c r="AJ820" s="30">
        <f>IFERROR(__xludf.DUMMYFUNCTION("""COMPUTED_VALUE"""),1.5172523890090663)</f>
        <v>1.517252389</v>
      </c>
      <c r="AK820" s="30">
        <f>IFERROR(__xludf.DUMMYFUNCTION("""COMPUTED_VALUE"""),1.6925666356993414)</f>
        <v>1.692566636</v>
      </c>
      <c r="AL820" s="30">
        <f>IFERROR(__xludf.DUMMYFUNCTION("""COMPUTED_VALUE"""),0.9109807509862583)</f>
        <v>0.910980751</v>
      </c>
      <c r="AM820" s="30">
        <f>IFERROR(__xludf.DUMMYFUNCTION("""COMPUTED_VALUE"""),1.2779332565152497)</f>
        <v>1.277933257</v>
      </c>
      <c r="AN820" s="30">
        <f>IFERROR(__xludf.DUMMYFUNCTION("""COMPUTED_VALUE"""),0.6225125220876572)</f>
        <v>0.6225125221</v>
      </c>
      <c r="AO820" s="30">
        <f>IFERROR(__xludf.DUMMYFUNCTION("""COMPUTED_VALUE"""),0.28041769130516236)</f>
        <v>0.2804176913</v>
      </c>
      <c r="AP820" s="30">
        <f>IFERROR(__xludf.DUMMYFUNCTION("""COMPUTED_VALUE"""),0.6940296804786619)</f>
        <v>0.6940296805</v>
      </c>
      <c r="AQ820" s="30">
        <f>IFERROR(__xludf.DUMMYFUNCTION("""COMPUTED_VALUE"""),0.9514796437792116)</f>
        <v>0.9514796438</v>
      </c>
      <c r="AR820" s="30">
        <f>IFERROR(__xludf.DUMMYFUNCTION("""COMPUTED_VALUE"""),0.5018551191087518)</f>
        <v>0.5018551191</v>
      </c>
      <c r="AS820" s="30">
        <f>IFERROR(__xludf.DUMMYFUNCTION("""COMPUTED_VALUE"""),78.0)</f>
        <v>78</v>
      </c>
      <c r="AT820" s="30">
        <f>IFERROR(__xludf.DUMMYFUNCTION("""COMPUTED_VALUE"""),0.42335301468983083)</f>
        <v>0.4233530147</v>
      </c>
      <c r="AU820" s="30">
        <f>IFERROR(__xludf.DUMMYFUNCTION("""COMPUTED_VALUE"""),-0.4193072291808238)</f>
        <v>-0.4193072292</v>
      </c>
      <c r="AV820" s="32">
        <f>IFERROR(__xludf.DUMMYFUNCTION("""COMPUTED_VALUE"""),7.616543821871716)</f>
        <v>7.616543822</v>
      </c>
      <c r="AW820" s="32">
        <f>IFERROR(__xludf.DUMMYFUNCTION("""COMPUTED_VALUE"""),-22.219439062237143)</f>
        <v>-22.21943906</v>
      </c>
      <c r="AX820" s="32">
        <f>IFERROR(__xludf.DUMMYFUNCTION("""COMPUTED_VALUE"""),7.391317867310043)</f>
        <v>7.391317867</v>
      </c>
      <c r="AY820" s="32">
        <f>IFERROR(__xludf.DUMMYFUNCTION("""COMPUTED_VALUE"""),-22.64589523714142)</f>
        <v>-22.64589524</v>
      </c>
      <c r="AZ820" s="30">
        <f>IFERROR(__xludf.DUMMYFUNCTION("""COMPUTED_VALUE"""),0.4264561749042777)</f>
        <v>0.4264561749</v>
      </c>
      <c r="BA820" s="30">
        <f>IFERROR(__xludf.DUMMYFUNCTION("""COMPUTED_VALUE"""),4000.0)</f>
        <v>4000</v>
      </c>
    </row>
    <row r="821">
      <c r="A821" s="71" t="str">
        <f>IFERROR(__xludf.DUMMYFUNCTION("""COMPUTED_VALUE"""),"Amateur")</f>
        <v>Amateur</v>
      </c>
      <c r="B821" s="71" t="str">
        <f>IFERROR(__xludf.DUMMYFUNCTION("""COMPUTED_VALUE"""),"RSC007852")</f>
        <v>RSC007852</v>
      </c>
      <c r="C821" s="30" t="str">
        <f>IFERROR(__xludf.DUMMYFUNCTION("""COMPUTED_VALUE"""),"Medicmac121")</f>
        <v>Medicmac121</v>
      </c>
      <c r="D821" s="30"/>
      <c r="E821" s="30">
        <f>IFERROR(__xludf.DUMMYFUNCTION("""COMPUTED_VALUE"""),6.0)</f>
        <v>6</v>
      </c>
      <c r="F821" s="30">
        <f>IFERROR(__xludf.DUMMYFUNCTION("""COMPUTED_VALUE"""),2.0)</f>
        <v>2</v>
      </c>
      <c r="G821" s="42">
        <f>IFERROR(__xludf.DUMMYFUNCTION("""COMPUTED_VALUE"""),4.0)</f>
        <v>4</v>
      </c>
      <c r="H821" s="42">
        <f>IFERROR(__xludf.DUMMYFUNCTION("""COMPUTED_VALUE"""),0.3333333333333333)</f>
        <v>0.3333333333</v>
      </c>
      <c r="I821" s="42">
        <f>IFERROR(__xludf.DUMMYFUNCTION("""COMPUTED_VALUE"""),0.3)</f>
        <v>0.3</v>
      </c>
      <c r="J821" s="30">
        <f>IFERROR(__xludf.DUMMYFUNCTION("""COMPUTED_VALUE"""),252.16666666666666)</f>
        <v>252.1666667</v>
      </c>
      <c r="K821" s="30">
        <f>IFERROR(__xludf.DUMMYFUNCTION("""COMPUTED_VALUE"""),0.5)</f>
        <v>0.5</v>
      </c>
      <c r="L821" s="30">
        <f>IFERROR(__xludf.DUMMYFUNCTION("""COMPUTED_VALUE"""),0.6666666666666666)</f>
        <v>0.6666666667</v>
      </c>
      <c r="M821" s="30">
        <f>IFERROR(__xludf.DUMMYFUNCTION("""COMPUTED_VALUE"""),0.6666666666666666)</f>
        <v>0.6666666667</v>
      </c>
      <c r="N821" s="30">
        <f>IFERROR(__xludf.DUMMYFUNCTION("""COMPUTED_VALUE"""),1.6666666666666667)</f>
        <v>1.666666667</v>
      </c>
      <c r="O821" s="30">
        <f>IFERROR(__xludf.DUMMYFUNCTION("""COMPUTED_VALUE"""),294.63888888888886)</f>
        <v>294.6388889</v>
      </c>
      <c r="P821" s="30">
        <f>IFERROR(__xludf.DUMMYFUNCTION("""COMPUTED_VALUE"""),0.9166666666666666)</f>
        <v>0.9166666667</v>
      </c>
      <c r="Q821" s="30">
        <f>IFERROR(__xludf.DUMMYFUNCTION("""COMPUTED_VALUE"""),0.47222222222222215)</f>
        <v>0.4722222222</v>
      </c>
      <c r="R821" s="30">
        <f>IFERROR(__xludf.DUMMYFUNCTION("""COMPUTED_VALUE"""),0.5833333333333334)</f>
        <v>0.5833333333</v>
      </c>
      <c r="S821" s="30">
        <f>IFERROR(__xludf.DUMMYFUNCTION("""COMPUTED_VALUE"""),1.9166666666666667)</f>
        <v>1.916666667</v>
      </c>
      <c r="T821" s="30">
        <f>IFERROR(__xludf.DUMMYFUNCTION("""COMPUTED_VALUE"""),330.31069114079867)</f>
        <v>330.3106911</v>
      </c>
      <c r="U821" s="30">
        <f>IFERROR(__xludf.DUMMYFUNCTION("""COMPUTED_VALUE"""),1.0095272575559313)</f>
        <v>1.009527258</v>
      </c>
      <c r="V821" s="30">
        <f>IFERROR(__xludf.DUMMYFUNCTION("""COMPUTED_VALUE"""),0.5197692921707259)</f>
        <v>0.5197692922</v>
      </c>
      <c r="W821" s="30">
        <f>IFERROR(__xludf.DUMMYFUNCTION("""COMPUTED_VALUE"""),0.8735794538661921)</f>
        <v>0.8735794539</v>
      </c>
      <c r="X821" s="30">
        <f>IFERROR(__xludf.DUMMYFUNCTION("""COMPUTED_VALUE"""),2.43187498814739)</f>
        <v>2.431874988</v>
      </c>
      <c r="Y821" s="30">
        <f>IFERROR(__xludf.DUMMYFUNCTION("""COMPUTED_VALUE"""),267.20906086811107)</f>
        <v>267.2090609</v>
      </c>
      <c r="Z821" s="30">
        <f>IFERROR(__xludf.DUMMYFUNCTION("""COMPUTED_VALUE"""),0.6192334823457882)</f>
        <v>0.6192334823</v>
      </c>
      <c r="AA821" s="30">
        <f>IFERROR(__xludf.DUMMYFUNCTION("""COMPUTED_VALUE"""),0.30281701350996443)</f>
        <v>0.3028170135</v>
      </c>
      <c r="AB821" s="30">
        <f>IFERROR(__xludf.DUMMYFUNCTION("""COMPUTED_VALUE"""),0.9355920817091666)</f>
        <v>0.9355920817</v>
      </c>
      <c r="AC821" s="30">
        <f>IFERROR(__xludf.DUMMYFUNCTION("""COMPUTED_VALUE"""),1.7470554955023294)</f>
        <v>1.747055496</v>
      </c>
      <c r="AD821" s="30">
        <f>IFERROR(__xludf.DUMMYFUNCTION("""COMPUTED_VALUE"""),0.9437055234857136)</f>
        <v>0.9437055235</v>
      </c>
      <c r="AE821" s="30">
        <f>IFERROR(__xludf.DUMMYFUNCTION("""COMPUTED_VALUE"""),0.807449878365578)</f>
        <v>0.8074498784</v>
      </c>
      <c r="AF821" s="30">
        <f>IFERROR(__xludf.DUMMYFUNCTION("""COMPUTED_VALUE"""),2.2015495725927217)</f>
        <v>2.201549573</v>
      </c>
      <c r="AG821" s="30">
        <f>IFERROR(__xludf.DUMMYFUNCTION("""COMPUTED_VALUE"""),0.7125612536702756)</f>
        <v>0.7125612537</v>
      </c>
      <c r="AH821" s="30">
        <f>IFERROR(__xludf.DUMMYFUNCTION("""COMPUTED_VALUE"""),0.9539861045956365)</f>
        <v>0.9539861046</v>
      </c>
      <c r="AI821" s="30">
        <f>IFERROR(__xludf.DUMMYFUNCTION("""COMPUTED_VALUE"""),0.8920053052817951)</f>
        <v>0.8920053053</v>
      </c>
      <c r="AJ821" s="30">
        <f>IFERROR(__xludf.DUMMYFUNCTION("""COMPUTED_VALUE"""),0.908015766593484)</f>
        <v>0.9080157666</v>
      </c>
      <c r="AK821" s="30">
        <f>IFERROR(__xludf.DUMMYFUNCTION("""COMPUTED_VALUE"""),0.9085227414071892)</f>
        <v>0.9085227414</v>
      </c>
      <c r="AL821" s="30">
        <f>IFERROR(__xludf.DUMMYFUNCTION("""COMPUTED_VALUE"""),0.6677507475155016)</f>
        <v>0.6677507475</v>
      </c>
      <c r="AM821" s="30">
        <f>IFERROR(__xludf.DUMMYFUNCTION("""COMPUTED_VALUE"""),0.7881435830411618)</f>
        <v>0.788143583</v>
      </c>
      <c r="AN821" s="30">
        <f>IFERROR(__xludf.DUMMYFUNCTION("""COMPUTED_VALUE"""),0.9078182611263859)</f>
        <v>0.9078182611</v>
      </c>
      <c r="AO821" s="30">
        <f>IFERROR(__xludf.DUMMYFUNCTION("""COMPUTED_VALUE"""),0.6730024591323897)</f>
        <v>0.6730024591</v>
      </c>
      <c r="AP821" s="30">
        <f>IFERROR(__xludf.DUMMYFUNCTION("""COMPUTED_VALUE"""),1.5863535553797985)</f>
        <v>1.586353555</v>
      </c>
      <c r="AQ821" s="30">
        <f>IFERROR(__xludf.DUMMYFUNCTION("""COMPUTED_VALUE"""),0.8457596833592991)</f>
        <v>0.8457596834</v>
      </c>
      <c r="AR821" s="30">
        <f>IFERROR(__xludf.DUMMYFUNCTION("""COMPUTED_VALUE"""),0.8727915114934813)</f>
        <v>0.8727915115</v>
      </c>
      <c r="AS821" s="30">
        <f>IFERROR(__xludf.DUMMYFUNCTION("""COMPUTED_VALUE"""),17.0)</f>
        <v>17</v>
      </c>
      <c r="AT821" s="30">
        <f>IFERROR(__xludf.DUMMYFUNCTION("""COMPUTED_VALUE"""),0.5122236065029399)</f>
        <v>0.5122236065</v>
      </c>
      <c r="AU821" s="30">
        <f>IFERROR(__xludf.DUMMYFUNCTION("""COMPUTED_VALUE"""),2.198833768222455)</f>
        <v>2.198833768</v>
      </c>
      <c r="AV821" s="32">
        <f>IFERROR(__xludf.DUMMYFUNCTION("""COMPUTED_VALUE"""),61.15000639657234)</f>
        <v>61.1500064</v>
      </c>
      <c r="AW821" s="32">
        <f>IFERROR(__xludf.DUMMYFUNCTION("""COMPUTED_VALUE"""),3.0506543098757795)</f>
        <v>3.05065431</v>
      </c>
      <c r="AX821" s="32">
        <f>IFERROR(__xludf.DUMMYFUNCTION("""COMPUTED_VALUE"""),58.03854462970224)</f>
        <v>58.03854463</v>
      </c>
      <c r="AY821" s="32">
        <f>IFERROR(__xludf.DUMMYFUNCTION("""COMPUTED_VALUE"""),2.674512430955419)</f>
        <v>2.674512431</v>
      </c>
      <c r="AZ821" s="30">
        <f>IFERROR(__xludf.DUMMYFUNCTION("""COMPUTED_VALUE"""),0.37614187892036055)</f>
        <v>0.3761418789</v>
      </c>
      <c r="BA821" s="30">
        <f>IFERROR(__xludf.DUMMYFUNCTION("""COMPUTED_VALUE"""),4000.0)</f>
        <v>4000</v>
      </c>
    </row>
    <row r="822">
      <c r="A822" s="71" t="str">
        <f>IFERROR(__xludf.DUMMYFUNCTION("""COMPUTED_VALUE"""),"Amateur")</f>
        <v>Amateur</v>
      </c>
      <c r="B822" s="71" t="str">
        <f>IFERROR(__xludf.DUMMYFUNCTION("""COMPUTED_VALUE"""),"RSC005925")</f>
        <v>RSC005925</v>
      </c>
      <c r="C822" s="30" t="str">
        <f>IFERROR(__xludf.DUMMYFUNCTION("""COMPUTED_VALUE"""),"Emily26210")</f>
        <v>Emily26210</v>
      </c>
      <c r="D822" s="30" t="str">
        <f>IFERROR(__xludf.DUMMYFUNCTION("""COMPUTED_VALUE"""),"Kiwis")</f>
        <v>Kiwis</v>
      </c>
      <c r="E822" s="30">
        <f>IFERROR(__xludf.DUMMYFUNCTION("""COMPUTED_VALUE"""),31.0)</f>
        <v>31</v>
      </c>
      <c r="F822" s="30">
        <f>IFERROR(__xludf.DUMMYFUNCTION("""COMPUTED_VALUE"""),7.0)</f>
        <v>7</v>
      </c>
      <c r="G822" s="42">
        <f>IFERROR(__xludf.DUMMYFUNCTION("""COMPUTED_VALUE"""),24.0)</f>
        <v>24</v>
      </c>
      <c r="H822" s="42">
        <f>IFERROR(__xludf.DUMMYFUNCTION("""COMPUTED_VALUE"""),0.22580645161290322)</f>
        <v>0.2258064516</v>
      </c>
      <c r="I822" s="42">
        <f>IFERROR(__xludf.DUMMYFUNCTION("""COMPUTED_VALUE"""),0.29333333333333333)</f>
        <v>0.2933333333</v>
      </c>
      <c r="J822" s="30">
        <f>IFERROR(__xludf.DUMMYFUNCTION("""COMPUTED_VALUE"""),306.93548387096774)</f>
        <v>306.9354839</v>
      </c>
      <c r="K822" s="30">
        <f>IFERROR(__xludf.DUMMYFUNCTION("""COMPUTED_VALUE"""),0.7096774193548387)</f>
        <v>0.7096774194</v>
      </c>
      <c r="L822" s="30">
        <f>IFERROR(__xludf.DUMMYFUNCTION("""COMPUTED_VALUE"""),0.3548387096774194)</f>
        <v>0.3548387097</v>
      </c>
      <c r="M822" s="30">
        <f>IFERROR(__xludf.DUMMYFUNCTION("""COMPUTED_VALUE"""),1.1612903225806452)</f>
        <v>1.161290323</v>
      </c>
      <c r="N822" s="30">
        <f>IFERROR(__xludf.DUMMYFUNCTION("""COMPUTED_VALUE"""),2.4193548387096775)</f>
        <v>2.419354839</v>
      </c>
      <c r="O822" s="30">
        <f>IFERROR(__xludf.DUMMYFUNCTION("""COMPUTED_VALUE"""),346.7069892473119)</f>
        <v>346.7069892</v>
      </c>
      <c r="P822" s="30">
        <f>IFERROR(__xludf.DUMMYFUNCTION("""COMPUTED_VALUE"""),1.1532258064516125)</f>
        <v>1.153225806</v>
      </c>
      <c r="Q822" s="30">
        <f>IFERROR(__xludf.DUMMYFUNCTION("""COMPUTED_VALUE"""),0.6451612903225805)</f>
        <v>0.6451612903</v>
      </c>
      <c r="R822" s="30">
        <f>IFERROR(__xludf.DUMMYFUNCTION("""COMPUTED_VALUE"""),0.8494623655913982)</f>
        <v>0.8494623656</v>
      </c>
      <c r="S822" s="30">
        <f>IFERROR(__xludf.DUMMYFUNCTION("""COMPUTED_VALUE"""),2.4999999999999996)</f>
        <v>2.5</v>
      </c>
      <c r="T822" s="30">
        <f>IFERROR(__xludf.DUMMYFUNCTION("""COMPUTED_VALUE"""),293.1427623197593)</f>
        <v>293.1427623</v>
      </c>
      <c r="U822" s="30">
        <f>IFERROR(__xludf.DUMMYFUNCTION("""COMPUTED_VALUE"""),0.8146067934288945)</f>
        <v>0.8146067934</v>
      </c>
      <c r="V822" s="30">
        <f>IFERROR(__xludf.DUMMYFUNCTION("""COMPUTED_VALUE"""),0.4216487194594151)</f>
        <v>0.4216487195</v>
      </c>
      <c r="W822" s="30">
        <f>IFERROR(__xludf.DUMMYFUNCTION("""COMPUTED_VALUE"""),0.8231507495917525)</f>
        <v>0.8231507496</v>
      </c>
      <c r="X822" s="30">
        <f>IFERROR(__xludf.DUMMYFUNCTION("""COMPUTED_VALUE"""),2.054609525698669)</f>
        <v>2.054609526</v>
      </c>
      <c r="Y822" s="30">
        <f>IFERROR(__xludf.DUMMYFUNCTION("""COMPUTED_VALUE"""),291.0146477130986)</f>
        <v>291.0146477</v>
      </c>
      <c r="Z822" s="30">
        <f>IFERROR(__xludf.DUMMYFUNCTION("""COMPUTED_VALUE"""),0.7637239021906919)</f>
        <v>0.7637239022</v>
      </c>
      <c r="AA822" s="30">
        <f>IFERROR(__xludf.DUMMYFUNCTION("""COMPUTED_VALUE"""),0.428973158238442)</f>
        <v>0.4289731582</v>
      </c>
      <c r="AB822" s="30">
        <f>IFERROR(__xludf.DUMMYFUNCTION("""COMPUTED_VALUE"""),0.8545688124214712)</f>
        <v>0.8545688124</v>
      </c>
      <c r="AC822" s="30">
        <f>IFERROR(__xludf.DUMMYFUNCTION("""COMPUTED_VALUE"""),2.008188292187378)</f>
        <v>2.008188292</v>
      </c>
      <c r="AD822" s="30">
        <f>IFERROR(__xludf.DUMMYFUNCTION("""COMPUTED_VALUE"""),1.0547080234035675)</f>
        <v>1.054708023</v>
      </c>
      <c r="AE822" s="30">
        <f>IFERROR(__xludf.DUMMYFUNCTION("""COMPUTED_VALUE"""),0.929232956202072)</f>
        <v>0.9292329562</v>
      </c>
      <c r="AF822" s="30">
        <f>IFERROR(__xludf.DUMMYFUNCTION("""COMPUTED_VALUE"""),0.8271816146598723)</f>
        <v>0.8271816147</v>
      </c>
      <c r="AG822" s="30">
        <f>IFERROR(__xludf.DUMMYFUNCTION("""COMPUTED_VALUE"""),1.3589196161863906)</f>
        <v>1.358919616</v>
      </c>
      <c r="AH822" s="30">
        <f>IFERROR(__xludf.DUMMYFUNCTION("""COMPUTED_VALUE"""),1.2047450172485792)</f>
        <v>1.204745017</v>
      </c>
      <c r="AI822" s="30">
        <f>IFERROR(__xludf.DUMMYFUNCTION("""COMPUTED_VALUE"""),1.182724030106276)</f>
        <v>1.18272403</v>
      </c>
      <c r="AJ822" s="30">
        <f>IFERROR(__xludf.DUMMYFUNCTION("""COMPUTED_VALUE"""),1.4156840033181917)</f>
        <v>1.415684003</v>
      </c>
      <c r="AK822" s="30">
        <f>IFERROR(__xludf.DUMMYFUNCTION("""COMPUTED_VALUE"""),1.5300919000767395)</f>
        <v>1.5300919</v>
      </c>
      <c r="AL822" s="30">
        <f>IFERROR(__xludf.DUMMYFUNCTION("""COMPUTED_VALUE"""),1.0319645168429903)</f>
        <v>1.031964517</v>
      </c>
      <c r="AM822" s="30">
        <f>IFERROR(__xludf.DUMMYFUNCTION("""COMPUTED_VALUE"""),1.2167762140350613)</f>
        <v>1.216776214</v>
      </c>
      <c r="AN822" s="30">
        <f>IFERROR(__xludf.DUMMYFUNCTION("""COMPUTED_VALUE"""),1.1049899692494163)</f>
        <v>1.104989969</v>
      </c>
      <c r="AO822" s="30">
        <f>IFERROR(__xludf.DUMMYFUNCTION("""COMPUTED_VALUE"""),0.9552292968330693)</f>
        <v>0.9552292968</v>
      </c>
      <c r="AP822" s="30">
        <f>IFERROR(__xludf.DUMMYFUNCTION("""COMPUTED_VALUE"""),0.8443494730247315)</f>
        <v>0.844349473</v>
      </c>
      <c r="AQ822" s="30">
        <f>IFERROR(__xludf.DUMMYFUNCTION("""COMPUTED_VALUE"""),1.4732588032710374)</f>
        <v>1.473258803</v>
      </c>
      <c r="AR822" s="30">
        <f>IFERROR(__xludf.DUMMYFUNCTION("""COMPUTED_VALUE"""),1.2669554199098922)</f>
        <v>1.26695542</v>
      </c>
      <c r="AS822" s="30">
        <f>IFERROR(__xludf.DUMMYFUNCTION("""COMPUTED_VALUE"""),136.0)</f>
        <v>136</v>
      </c>
      <c r="AT822" s="30">
        <f>IFERROR(__xludf.DUMMYFUNCTION("""COMPUTED_VALUE"""),0.6056274571601609)</f>
        <v>0.6056274572</v>
      </c>
      <c r="AU822" s="30">
        <f>IFERROR(__xludf.DUMMYFUNCTION("""COMPUTED_VALUE"""),1.3764108473829115)</f>
        <v>1.376410847</v>
      </c>
      <c r="AV822" s="32">
        <f>IFERROR(__xludf.DUMMYFUNCTION("""COMPUTED_VALUE"""),44.33382014189521)</f>
        <v>44.33382014</v>
      </c>
      <c r="AW822" s="32">
        <f>IFERROR(__xludf.DUMMYFUNCTION("""COMPUTED_VALUE"""),-2.436949739672897)</f>
        <v>-2.43694974</v>
      </c>
      <c r="AX822" s="32">
        <f>IFERROR(__xludf.DUMMYFUNCTION("""COMPUTED_VALUE"""),49.050845447884235)</f>
        <v>49.05084545</v>
      </c>
      <c r="AY822" s="32">
        <f>IFERROR(__xludf.DUMMYFUNCTION("""COMPUTED_VALUE"""),-2.062462405368249)</f>
        <v>-2.062462405</v>
      </c>
      <c r="AZ822" s="30">
        <f>IFERROR(__xludf.DUMMYFUNCTION("""COMPUTED_VALUE"""),0.37448733430464776)</f>
        <v>0.3744873343</v>
      </c>
      <c r="BA822" s="30">
        <f>IFERROR(__xludf.DUMMYFUNCTION("""COMPUTED_VALUE"""),4000.0)</f>
        <v>4000</v>
      </c>
    </row>
    <row r="823">
      <c r="A823" s="71" t="str">
        <f>IFERROR(__xludf.DUMMYFUNCTION("""COMPUTED_VALUE"""),"Amateur")</f>
        <v>Amateur</v>
      </c>
      <c r="B823" s="71" t="str">
        <f>IFERROR(__xludf.DUMMYFUNCTION("""COMPUTED_VALUE"""),"RSC007875")</f>
        <v>RSC007875</v>
      </c>
      <c r="C823" s="30" t="str">
        <f>IFERROR(__xludf.DUMMYFUNCTION("""COMPUTED_VALUE"""),"Flying__ferret")</f>
        <v>Flying__ferret</v>
      </c>
      <c r="D823" s="30" t="str">
        <f>IFERROR(__xludf.DUMMYFUNCTION("""COMPUTED_VALUE"""),"Winter Fresh")</f>
        <v>Winter Fresh</v>
      </c>
      <c r="E823" s="30">
        <f>IFERROR(__xludf.DUMMYFUNCTION("""COMPUTED_VALUE"""),31.0)</f>
        <v>31</v>
      </c>
      <c r="F823" s="30">
        <f>IFERROR(__xludf.DUMMYFUNCTION("""COMPUTED_VALUE"""),12.0)</f>
        <v>12</v>
      </c>
      <c r="G823" s="42">
        <f>IFERROR(__xludf.DUMMYFUNCTION("""COMPUTED_VALUE"""),19.0)</f>
        <v>19</v>
      </c>
      <c r="H823" s="42">
        <f>IFERROR(__xludf.DUMMYFUNCTION("""COMPUTED_VALUE"""),0.3870967741935484)</f>
        <v>0.3870967742</v>
      </c>
      <c r="I823" s="42">
        <f>IFERROR(__xludf.DUMMYFUNCTION("""COMPUTED_VALUE"""),0.32758620689655177)</f>
        <v>0.3275862069</v>
      </c>
      <c r="J823" s="30">
        <f>IFERROR(__xludf.DUMMYFUNCTION("""COMPUTED_VALUE"""),269.4516129032258)</f>
        <v>269.4516129</v>
      </c>
      <c r="K823" s="30">
        <f>IFERROR(__xludf.DUMMYFUNCTION("""COMPUTED_VALUE"""),0.6129032258064516)</f>
        <v>0.6129032258</v>
      </c>
      <c r="L823" s="30">
        <f>IFERROR(__xludf.DUMMYFUNCTION("""COMPUTED_VALUE"""),0.5161290322580645)</f>
        <v>0.5161290323</v>
      </c>
      <c r="M823" s="30">
        <f>IFERROR(__xludf.DUMMYFUNCTION("""COMPUTED_VALUE"""),0.8709677419354839)</f>
        <v>0.8709677419</v>
      </c>
      <c r="N823" s="30">
        <f>IFERROR(__xludf.DUMMYFUNCTION("""COMPUTED_VALUE"""),1.8709677419354838)</f>
        <v>1.870967742</v>
      </c>
      <c r="O823" s="30">
        <f>IFERROR(__xludf.DUMMYFUNCTION("""COMPUTED_VALUE"""),328.9032258064516)</f>
        <v>328.9032258</v>
      </c>
      <c r="P823" s="30">
        <f>IFERROR(__xludf.DUMMYFUNCTION("""COMPUTED_VALUE"""),1.010752688172043)</f>
        <v>1.010752688</v>
      </c>
      <c r="Q823" s="30">
        <f>IFERROR(__xludf.DUMMYFUNCTION("""COMPUTED_VALUE"""),0.6881720430107525)</f>
        <v>0.688172043</v>
      </c>
      <c r="R823" s="30">
        <f>IFERROR(__xludf.DUMMYFUNCTION("""COMPUTED_VALUE"""),0.8494623655913979)</f>
        <v>0.8494623656</v>
      </c>
      <c r="S823" s="30">
        <f>IFERROR(__xludf.DUMMYFUNCTION("""COMPUTED_VALUE"""),2.258064516129033)</f>
        <v>2.258064516</v>
      </c>
      <c r="T823" s="30">
        <f>IFERROR(__xludf.DUMMYFUNCTION("""COMPUTED_VALUE"""),301.0478192436625)</f>
        <v>301.0478192</v>
      </c>
      <c r="U823" s="30">
        <f>IFERROR(__xludf.DUMMYFUNCTION("""COMPUTED_VALUE"""),0.8345179024958497)</f>
        <v>0.8345179025</v>
      </c>
      <c r="V823" s="30">
        <f>IFERROR(__xludf.DUMMYFUNCTION("""COMPUTED_VALUE"""),0.4550801103288611)</f>
        <v>0.4550801103</v>
      </c>
      <c r="W823" s="30">
        <f>IFERROR(__xludf.DUMMYFUNCTION("""COMPUTED_VALUE"""),0.8572527234926979)</f>
        <v>0.8572527235</v>
      </c>
      <c r="X823" s="30">
        <f>IFERROR(__xludf.DUMMYFUNCTION("""COMPUTED_VALUE"""),2.047713478477477)</f>
        <v>2.047713478</v>
      </c>
      <c r="Y823" s="30">
        <f>IFERROR(__xludf.DUMMYFUNCTION("""COMPUTED_VALUE"""),290.5865796995714)</f>
        <v>290.5865797</v>
      </c>
      <c r="Z823" s="30">
        <f>IFERROR(__xludf.DUMMYFUNCTION("""COMPUTED_VALUE"""),0.7593163585479327)</f>
        <v>0.7593163585</v>
      </c>
      <c r="AA823" s="30">
        <f>IFERROR(__xludf.DUMMYFUNCTION("""COMPUTED_VALUE"""),0.41225334937212366)</f>
        <v>0.4122533494</v>
      </c>
      <c r="AB823" s="30">
        <f>IFERROR(__xludf.DUMMYFUNCTION("""COMPUTED_VALUE"""),0.85539741333374)</f>
        <v>0.8553974133</v>
      </c>
      <c r="AC823" s="30">
        <f>IFERROR(__xludf.DUMMYFUNCTION("""COMPUTED_VALUE"""),2.0210295743597144)</f>
        <v>2.021029574</v>
      </c>
      <c r="AD823" s="30">
        <f>IFERROR(__xludf.DUMMYFUNCTION("""COMPUTED_VALUE"""),0.9272679185040258)</f>
        <v>0.9272679185</v>
      </c>
      <c r="AE823" s="30">
        <f>IFERROR(__xludf.DUMMYFUNCTION("""COMPUTED_VALUE"""),0.8071776920209226)</f>
        <v>0.807177692</v>
      </c>
      <c r="AF823" s="30">
        <f>IFERROR(__xludf.DUMMYFUNCTION("""COMPUTED_VALUE"""),1.251970500771303)</f>
        <v>1.251970501</v>
      </c>
      <c r="AG823" s="30">
        <f>IFERROR(__xludf.DUMMYFUNCTION("""COMPUTED_VALUE"""),1.0182024499478688)</f>
        <v>1.01820245</v>
      </c>
      <c r="AH823" s="30">
        <f>IFERROR(__xludf.DUMMYFUNCTION("""COMPUTED_VALUE"""),0.925749808746974)</f>
        <v>0.9257498087</v>
      </c>
      <c r="AI823" s="30">
        <f>IFERROR(__xludf.DUMMYFUNCTION("""COMPUTED_VALUE"""),1.0925281791868535)</f>
        <v>1.092528179</v>
      </c>
      <c r="AJ823" s="30">
        <f>IFERROR(__xludf.DUMMYFUNCTION("""COMPUTED_VALUE"""),1.2111815518266487)</f>
        <v>1.211181552</v>
      </c>
      <c r="AK823" s="30">
        <f>IFERROR(__xludf.DUMMYFUNCTION("""COMPUTED_VALUE"""),1.5121997806352137)</f>
        <v>1.512199781</v>
      </c>
      <c r="AL823" s="30">
        <f>IFERROR(__xludf.DUMMYFUNCTION("""COMPUTED_VALUE"""),0.9909124139383777)</f>
        <v>0.9909124139</v>
      </c>
      <c r="AM823" s="30">
        <f>IFERROR(__xludf.DUMMYFUNCTION("""COMPUTED_VALUE"""),1.1027248391254214)</f>
        <v>1.102724839</v>
      </c>
      <c r="AN823" s="30">
        <f>IFERROR(__xludf.DUMMYFUNCTION("""COMPUTED_VALUE"""),0.9700453193000917)</f>
        <v>0.9700453193</v>
      </c>
      <c r="AO823" s="30">
        <f>IFERROR(__xludf.DUMMYFUNCTION("""COMPUTED_VALUE"""),0.8249707563558325)</f>
        <v>0.8249707564</v>
      </c>
      <c r="AP823" s="30">
        <f>IFERROR(__xludf.DUMMYFUNCTION("""COMPUTED_VALUE"""),1.228144688035973)</f>
        <v>1.228144688</v>
      </c>
      <c r="AQ823" s="30">
        <f>IFERROR(__xludf.DUMMYFUNCTION("""COMPUTED_VALUE"""),1.104944102453278)</f>
        <v>1.104944102</v>
      </c>
      <c r="AR823" s="30">
        <f>IFERROR(__xludf.DUMMYFUNCTION("""COMPUTED_VALUE"""),0.97977885806365)</f>
        <v>0.9797788581</v>
      </c>
      <c r="AS823" s="30">
        <f>IFERROR(__xludf.DUMMYFUNCTION("""COMPUTED_VALUE"""),194.0)</f>
        <v>194</v>
      </c>
      <c r="AT823" s="30">
        <f>IFERROR(__xludf.DUMMYFUNCTION("""COMPUTED_VALUE"""),0.797982038107352)</f>
        <v>0.7979820381</v>
      </c>
      <c r="AU823" s="30">
        <f>IFERROR(__xludf.DUMMYFUNCTION("""COMPUTED_VALUE"""),1.3762252469170033)</f>
        <v>1.376225247</v>
      </c>
      <c r="AV823" s="32">
        <f>IFERROR(__xludf.DUMMYFUNCTION("""COMPUTED_VALUE"""),44.33002514551977)</f>
        <v>44.33002515</v>
      </c>
      <c r="AW823" s="32">
        <f>IFERROR(__xludf.DUMMYFUNCTION("""COMPUTED_VALUE"""),-2.437300309827406)</f>
        <v>-2.43730031</v>
      </c>
      <c r="AX823" s="32">
        <f>IFERROR(__xludf.DUMMYFUNCTION("""COMPUTED_VALUE"""),41.51975856464725)</f>
        <v>41.51975856</v>
      </c>
      <c r="AY823" s="32">
        <f>IFERROR(__xludf.DUMMYFUNCTION("""COMPUTED_VALUE"""),-2.7231194951687874)</f>
        <v>-2.723119495</v>
      </c>
      <c r="AZ823" s="30">
        <f>IFERROR(__xludf.DUMMYFUNCTION("""COMPUTED_VALUE"""),0.2858191853413814)</f>
        <v>0.2858191853</v>
      </c>
      <c r="BA823" s="30">
        <f>IFERROR(__xludf.DUMMYFUNCTION("""COMPUTED_VALUE"""),4000.0)</f>
        <v>4000</v>
      </c>
    </row>
    <row r="824">
      <c r="A824" s="71" t="str">
        <f>IFERROR(__xludf.DUMMYFUNCTION("""COMPUTED_VALUE"""),"Amateur")</f>
        <v>Amateur</v>
      </c>
      <c r="B824" s="71" t="str">
        <f>IFERROR(__xludf.DUMMYFUNCTION("""COMPUTED_VALUE"""),"RSC007921")</f>
        <v>RSC007921</v>
      </c>
      <c r="C824" s="30" t="str">
        <f>IFERROR(__xludf.DUMMYFUNCTION("""COMPUTED_VALUE"""),"sXCyBeast")</f>
        <v>sXCyBeast</v>
      </c>
      <c r="D824" s="30" t="str">
        <f>IFERROR(__xludf.DUMMYFUNCTION("""COMPUTED_VALUE"""),"Surprise")</f>
        <v>Surprise</v>
      </c>
      <c r="E824" s="30">
        <f>IFERROR(__xludf.DUMMYFUNCTION("""COMPUTED_VALUE"""),22.0)</f>
        <v>22</v>
      </c>
      <c r="F824" s="30">
        <f>IFERROR(__xludf.DUMMYFUNCTION("""COMPUTED_VALUE"""),10.0)</f>
        <v>10</v>
      </c>
      <c r="G824" s="42">
        <f>IFERROR(__xludf.DUMMYFUNCTION("""COMPUTED_VALUE"""),12.0)</f>
        <v>12</v>
      </c>
      <c r="H824" s="42">
        <f>IFERROR(__xludf.DUMMYFUNCTION("""COMPUTED_VALUE"""),0.45454545454545453)</f>
        <v>0.4545454545</v>
      </c>
      <c r="I824" s="42">
        <f>IFERROR(__xludf.DUMMYFUNCTION("""COMPUTED_VALUE"""),0.30303030303030304)</f>
        <v>0.303030303</v>
      </c>
      <c r="J824" s="30">
        <f>IFERROR(__xludf.DUMMYFUNCTION("""COMPUTED_VALUE"""),228.13636363636363)</f>
        <v>228.1363636</v>
      </c>
      <c r="K824" s="30">
        <f>IFERROR(__xludf.DUMMYFUNCTION("""COMPUTED_VALUE"""),0.45454545454545453)</f>
        <v>0.4545454545</v>
      </c>
      <c r="L824" s="30">
        <f>IFERROR(__xludf.DUMMYFUNCTION("""COMPUTED_VALUE"""),0.6363636363636364)</f>
        <v>0.6363636364</v>
      </c>
      <c r="M824" s="30">
        <f>IFERROR(__xludf.DUMMYFUNCTION("""COMPUTED_VALUE"""),0.5454545454545454)</f>
        <v>0.5454545455</v>
      </c>
      <c r="N824" s="30">
        <f>IFERROR(__xludf.DUMMYFUNCTION("""COMPUTED_VALUE"""),1.5)</f>
        <v>1.5</v>
      </c>
      <c r="O824" s="30">
        <f>IFERROR(__xludf.DUMMYFUNCTION("""COMPUTED_VALUE"""),289.61742424242425)</f>
        <v>289.6174242</v>
      </c>
      <c r="P824" s="30">
        <f>IFERROR(__xludf.DUMMYFUNCTION("""COMPUTED_VALUE"""),0.8977272727272727)</f>
        <v>0.8977272727</v>
      </c>
      <c r="Q824" s="30">
        <f>IFERROR(__xludf.DUMMYFUNCTION("""COMPUTED_VALUE"""),0.40151515151515155)</f>
        <v>0.4015151515</v>
      </c>
      <c r="R824" s="30">
        <f>IFERROR(__xludf.DUMMYFUNCTION("""COMPUTED_VALUE"""),0.7651515151515152)</f>
        <v>0.7651515152</v>
      </c>
      <c r="S824" s="30">
        <f>IFERROR(__xludf.DUMMYFUNCTION("""COMPUTED_VALUE"""),1.75)</f>
        <v>1.75</v>
      </c>
      <c r="T824" s="30">
        <f>IFERROR(__xludf.DUMMYFUNCTION("""COMPUTED_VALUE"""),299.07067453274453)</f>
        <v>299.0706745</v>
      </c>
      <c r="U824" s="30">
        <f>IFERROR(__xludf.DUMMYFUNCTION("""COMPUTED_VALUE"""),0.8251738183653866)</f>
        <v>0.8251738184</v>
      </c>
      <c r="V824" s="30">
        <f>IFERROR(__xludf.DUMMYFUNCTION("""COMPUTED_VALUE"""),0.47675192836173785)</f>
        <v>0.4767519284</v>
      </c>
      <c r="W824" s="30">
        <f>IFERROR(__xludf.DUMMYFUNCTION("""COMPUTED_VALUE"""),0.8541199806771953)</f>
        <v>0.8541199807</v>
      </c>
      <c r="X824" s="30">
        <f>IFERROR(__xludf.DUMMYFUNCTION("""COMPUTED_VALUE"""),2.0364676002938116)</f>
        <v>2.0364676</v>
      </c>
      <c r="Y824" s="30">
        <f>IFERROR(__xludf.DUMMYFUNCTION("""COMPUTED_VALUE"""),290.99614299717643)</f>
        <v>290.996143</v>
      </c>
      <c r="Z824" s="30">
        <f>IFERROR(__xludf.DUMMYFUNCTION("""COMPUTED_VALUE"""),0.7547378727019761)</f>
        <v>0.7547378727</v>
      </c>
      <c r="AA824" s="30">
        <f>IFERROR(__xludf.DUMMYFUNCTION("""COMPUTED_VALUE"""),0.4463956162540809)</f>
        <v>0.4463956163</v>
      </c>
      <c r="AB824" s="30">
        <f>IFERROR(__xludf.DUMMYFUNCTION("""COMPUTED_VALUE"""),0.8427308970858486)</f>
        <v>0.8427308971</v>
      </c>
      <c r="AC824" s="30">
        <f>IFERROR(__xludf.DUMMYFUNCTION("""COMPUTED_VALUE"""),2.036758877616913)</f>
        <v>2.036758878</v>
      </c>
      <c r="AD824" s="30">
        <f>IFERROR(__xludf.DUMMYFUNCTION("""COMPUTED_VALUE"""),0.7839841493657779)</f>
        <v>0.7839841494</v>
      </c>
      <c r="AE824" s="30">
        <f>IFERROR(__xludf.DUMMYFUNCTION("""COMPUTED_VALUE"""),0.6022560560240247)</f>
        <v>0.602256056</v>
      </c>
      <c r="AF824" s="30">
        <f>IFERROR(__xludf.DUMMYFUNCTION("""COMPUTED_VALUE"""),1.4255597796942272)</f>
        <v>1.42555978</v>
      </c>
      <c r="AG824" s="30">
        <f>IFERROR(__xludf.DUMMYFUNCTION("""COMPUTED_VALUE"""),0.6472464072940952)</f>
        <v>0.6472464073</v>
      </c>
      <c r="AH824" s="30">
        <f>IFERROR(__xludf.DUMMYFUNCTION("""COMPUTED_VALUE"""),0.7364642012779923)</f>
        <v>0.7364642013</v>
      </c>
      <c r="AI824" s="30">
        <f>IFERROR(__xludf.DUMMYFUNCTION("""COMPUTED_VALUE"""),0.9683912496432837)</f>
        <v>0.9683912496</v>
      </c>
      <c r="AJ824" s="30">
        <f>IFERROR(__xludf.DUMMYFUNCTION("""COMPUTED_VALUE"""),1.0879250562088962)</f>
        <v>1.087925056</v>
      </c>
      <c r="AK824" s="30">
        <f>IFERROR(__xludf.DUMMYFUNCTION("""COMPUTED_VALUE"""),0.8421888358058197)</f>
        <v>0.8421888358</v>
      </c>
      <c r="AL824" s="30">
        <f>IFERROR(__xludf.DUMMYFUNCTION("""COMPUTED_VALUE"""),0.895836103195782)</f>
        <v>0.8958361032</v>
      </c>
      <c r="AM824" s="30">
        <f>IFERROR(__xludf.DUMMYFUNCTION("""COMPUTED_VALUE"""),0.8593311279528918)</f>
        <v>0.859331128</v>
      </c>
      <c r="AN824" s="30">
        <f>IFERROR(__xludf.DUMMYFUNCTION("""COMPUTED_VALUE"""),0.8213074300174242)</f>
        <v>0.82130743</v>
      </c>
      <c r="AO824" s="30">
        <f>IFERROR(__xludf.DUMMYFUNCTION("""COMPUTED_VALUE"""),0.6118204173930816)</f>
        <v>0.6118204174</v>
      </c>
      <c r="AP824" s="30">
        <f>IFERROR(__xludf.DUMMYFUNCTION("""COMPUTED_VALUE"""),1.5142465755898076)</f>
        <v>1.514246576</v>
      </c>
      <c r="AQ824" s="30">
        <f>IFERROR(__xludf.DUMMYFUNCTION("""COMPUTED_VALUE"""),0.6919851954757902)</f>
        <v>0.6919851955</v>
      </c>
      <c r="AR824" s="30">
        <f>IFERROR(__xludf.DUMMYFUNCTION("""COMPUTED_VALUE"""),0.7855123603441332)</f>
        <v>0.7855123603</v>
      </c>
      <c r="AS824" s="30">
        <f>IFERROR(__xludf.DUMMYFUNCTION("""COMPUTED_VALUE"""),141.0)</f>
        <v>141</v>
      </c>
      <c r="AT824" s="30">
        <f>IFERROR(__xludf.DUMMYFUNCTION("""COMPUTED_VALUE"""),0.8367374747050543)</f>
        <v>0.8367374747</v>
      </c>
      <c r="AU824" s="30">
        <f>IFERROR(__xludf.DUMMYFUNCTION("""COMPUTED_VALUE"""),1.5172868105068886)</f>
        <v>1.517286811</v>
      </c>
      <c r="AV824" s="32">
        <f>IFERROR(__xludf.DUMMYFUNCTION("""COMPUTED_VALUE"""),47.214328910159495)</f>
        <v>47.21432891</v>
      </c>
      <c r="AW824" s="32">
        <f>IFERROR(__xludf.DUMMYFUNCTION("""COMPUTED_VALUE"""),-2.194720245034624)</f>
        <v>-2.194720245</v>
      </c>
      <c r="AX824" s="32">
        <f>IFERROR(__xludf.DUMMYFUNCTION("""COMPUTED_VALUE"""),44.03050616300011)</f>
        <v>44.03050616</v>
      </c>
      <c r="AY824" s="32">
        <f>IFERROR(__xludf.DUMMYFUNCTION("""COMPUTED_VALUE"""),-2.4652511432520434)</f>
        <v>-2.465251143</v>
      </c>
      <c r="AZ824" s="30">
        <f>IFERROR(__xludf.DUMMYFUNCTION("""COMPUTED_VALUE"""),0.2705308982174195)</f>
        <v>0.2705308982</v>
      </c>
      <c r="BA824" s="30">
        <f>IFERROR(__xludf.DUMMYFUNCTION("""COMPUTED_VALUE"""),4000.0)</f>
        <v>4000</v>
      </c>
    </row>
    <row r="825">
      <c r="A825" s="71" t="str">
        <f>IFERROR(__xludf.DUMMYFUNCTION("""COMPUTED_VALUE"""),"Amateur")</f>
        <v>Amateur</v>
      </c>
      <c r="B825" s="71" t="str">
        <f>IFERROR(__xludf.DUMMYFUNCTION("""COMPUTED_VALUE"""),"RSC007621")</f>
        <v>RSC007621</v>
      </c>
      <c r="C825" s="30" t="str">
        <f>IFERROR(__xludf.DUMMYFUNCTION("""COMPUTED_VALUE"""),"Classy-God57")</f>
        <v>Classy-God57</v>
      </c>
      <c r="D825" s="30" t="str">
        <f>IFERROR(__xludf.DUMMYFUNCTION("""COMPUTED_VALUE"""),"Winter Fresh")</f>
        <v>Winter Fresh</v>
      </c>
      <c r="E825" s="30">
        <f>IFERROR(__xludf.DUMMYFUNCTION("""COMPUTED_VALUE"""),31.0)</f>
        <v>31</v>
      </c>
      <c r="F825" s="30">
        <f>IFERROR(__xludf.DUMMYFUNCTION("""COMPUTED_VALUE"""),12.0)</f>
        <v>12</v>
      </c>
      <c r="G825" s="42">
        <f>IFERROR(__xludf.DUMMYFUNCTION("""COMPUTED_VALUE"""),19.0)</f>
        <v>19</v>
      </c>
      <c r="H825" s="42">
        <f>IFERROR(__xludf.DUMMYFUNCTION("""COMPUTED_VALUE"""),0.3870967741935484)</f>
        <v>0.3870967742</v>
      </c>
      <c r="I825" s="42">
        <f>IFERROR(__xludf.DUMMYFUNCTION("""COMPUTED_VALUE"""),0.41666666666666663)</f>
        <v>0.4166666667</v>
      </c>
      <c r="J825" s="30">
        <f>IFERROR(__xludf.DUMMYFUNCTION("""COMPUTED_VALUE"""),340.83870967741933)</f>
        <v>340.8387097</v>
      </c>
      <c r="K825" s="30">
        <f>IFERROR(__xludf.DUMMYFUNCTION("""COMPUTED_VALUE"""),0.967741935483871)</f>
        <v>0.9677419355</v>
      </c>
      <c r="L825" s="30">
        <f>IFERROR(__xludf.DUMMYFUNCTION("""COMPUTED_VALUE"""),0.5161290322580645)</f>
        <v>0.5161290323</v>
      </c>
      <c r="M825" s="30">
        <f>IFERROR(__xludf.DUMMYFUNCTION("""COMPUTED_VALUE"""),0.8387096774193549)</f>
        <v>0.8387096774</v>
      </c>
      <c r="N825" s="30">
        <f>IFERROR(__xludf.DUMMYFUNCTION("""COMPUTED_VALUE"""),2.3225806451612905)</f>
        <v>2.322580645</v>
      </c>
      <c r="O825" s="30">
        <f>IFERROR(__xludf.DUMMYFUNCTION("""COMPUTED_VALUE"""),328.9032258064516)</f>
        <v>328.9032258</v>
      </c>
      <c r="P825" s="30">
        <f>IFERROR(__xludf.DUMMYFUNCTION("""COMPUTED_VALUE"""),1.010752688172043)</f>
        <v>1.010752688</v>
      </c>
      <c r="Q825" s="30">
        <f>IFERROR(__xludf.DUMMYFUNCTION("""COMPUTED_VALUE"""),0.6881720430107525)</f>
        <v>0.688172043</v>
      </c>
      <c r="R825" s="30">
        <f>IFERROR(__xludf.DUMMYFUNCTION("""COMPUTED_VALUE"""),0.8494623655913979)</f>
        <v>0.8494623656</v>
      </c>
      <c r="S825" s="30">
        <f>IFERROR(__xludf.DUMMYFUNCTION("""COMPUTED_VALUE"""),2.258064516129033)</f>
        <v>2.258064516</v>
      </c>
      <c r="T825" s="30">
        <f>IFERROR(__xludf.DUMMYFUNCTION("""COMPUTED_VALUE"""),301.0478192436625)</f>
        <v>301.0478192</v>
      </c>
      <c r="U825" s="30">
        <f>IFERROR(__xludf.DUMMYFUNCTION("""COMPUTED_VALUE"""),0.8345179024958497)</f>
        <v>0.8345179025</v>
      </c>
      <c r="V825" s="30">
        <f>IFERROR(__xludf.DUMMYFUNCTION("""COMPUTED_VALUE"""),0.4550801103288611)</f>
        <v>0.4550801103</v>
      </c>
      <c r="W825" s="30">
        <f>IFERROR(__xludf.DUMMYFUNCTION("""COMPUTED_VALUE"""),0.8572527234926979)</f>
        <v>0.8572527235</v>
      </c>
      <c r="X825" s="30">
        <f>IFERROR(__xludf.DUMMYFUNCTION("""COMPUTED_VALUE"""),2.047713478477477)</f>
        <v>2.047713478</v>
      </c>
      <c r="Y825" s="30">
        <f>IFERROR(__xludf.DUMMYFUNCTION("""COMPUTED_VALUE"""),290.5865796995714)</f>
        <v>290.5865797</v>
      </c>
      <c r="Z825" s="30">
        <f>IFERROR(__xludf.DUMMYFUNCTION("""COMPUTED_VALUE"""),0.7593163585479327)</f>
        <v>0.7593163585</v>
      </c>
      <c r="AA825" s="30">
        <f>IFERROR(__xludf.DUMMYFUNCTION("""COMPUTED_VALUE"""),0.41225334937212366)</f>
        <v>0.4122533494</v>
      </c>
      <c r="AB825" s="30">
        <f>IFERROR(__xludf.DUMMYFUNCTION("""COMPUTED_VALUE"""),0.85539741333374)</f>
        <v>0.8553974133</v>
      </c>
      <c r="AC825" s="30">
        <f>IFERROR(__xludf.DUMMYFUNCTION("""COMPUTED_VALUE"""),2.0210295743597144)</f>
        <v>2.021029574</v>
      </c>
      <c r="AD825" s="30">
        <f>IFERROR(__xludf.DUMMYFUNCTION("""COMPUTED_VALUE"""),1.1729334163669982)</f>
        <v>1.172933416</v>
      </c>
      <c r="AE825" s="30">
        <f>IFERROR(__xludf.DUMMYFUNCTION("""COMPUTED_VALUE"""),1.2744910926646147)</f>
        <v>1.274491093</v>
      </c>
      <c r="AF825" s="30">
        <f>IFERROR(__xludf.DUMMYFUNCTION("""COMPUTED_VALUE"""),1.251970500771303)</f>
        <v>1.251970501</v>
      </c>
      <c r="AG825" s="30">
        <f>IFERROR(__xludf.DUMMYFUNCTION("""COMPUTED_VALUE"""),0.9804912480979479)</f>
        <v>0.9804912481</v>
      </c>
      <c r="AH825" s="30">
        <f>IFERROR(__xludf.DUMMYFUNCTION("""COMPUTED_VALUE"""),1.1492066591341747)</f>
        <v>1.149206659</v>
      </c>
      <c r="AI825" s="30">
        <f>IFERROR(__xludf.DUMMYFUNCTION("""COMPUTED_VALUE"""),1.0925281791868535)</f>
        <v>1.092528179</v>
      </c>
      <c r="AJ825" s="30">
        <f>IFERROR(__xludf.DUMMYFUNCTION("""COMPUTED_VALUE"""),1.2111815518266487)</f>
        <v>1.211181552</v>
      </c>
      <c r="AK825" s="30">
        <f>IFERROR(__xludf.DUMMYFUNCTION("""COMPUTED_VALUE"""),1.5121997806352137)</f>
        <v>1.512199781</v>
      </c>
      <c r="AL825" s="30">
        <f>IFERROR(__xludf.DUMMYFUNCTION("""COMPUTED_VALUE"""),0.9909124139383777)</f>
        <v>0.9909124139</v>
      </c>
      <c r="AM825" s="30">
        <f>IFERROR(__xludf.DUMMYFUNCTION("""COMPUTED_VALUE"""),1.1027248391254214)</f>
        <v>1.102724839</v>
      </c>
      <c r="AN825" s="30">
        <f>IFERROR(__xludf.DUMMYFUNCTION("""COMPUTED_VALUE"""),1.2270440373188998)</f>
        <v>1.227044037</v>
      </c>
      <c r="AO825" s="30">
        <f>IFERROR(__xludf.DUMMYFUNCTION("""COMPUTED_VALUE"""),1.3025854047723673)</f>
        <v>1.302585405</v>
      </c>
      <c r="AP825" s="30">
        <f>IFERROR(__xludf.DUMMYFUNCTION("""COMPUTED_VALUE"""),1.228144688035973)</f>
        <v>1.228144688</v>
      </c>
      <c r="AQ825" s="30">
        <f>IFERROR(__xludf.DUMMYFUNCTION("""COMPUTED_VALUE"""),1.0640202468068602)</f>
        <v>1.064020247</v>
      </c>
      <c r="AR825" s="30">
        <f>IFERROR(__xludf.DUMMYFUNCTION("""COMPUTED_VALUE"""),1.2162772031134967)</f>
        <v>1.216277203</v>
      </c>
      <c r="AS825" s="30">
        <f>IFERROR(__xludf.DUMMYFUNCTION("""COMPUTED_VALUE"""),194.0)</f>
        <v>194</v>
      </c>
      <c r="AT825" s="30">
        <f>IFERROR(__xludf.DUMMYFUNCTION("""COMPUTED_VALUE"""),0.797982038107352)</f>
        <v>0.7979820381</v>
      </c>
      <c r="AU825" s="30">
        <f>IFERROR(__xludf.DUMMYFUNCTION("""COMPUTED_VALUE"""),2.1900870391284193)</f>
        <v>2.190087039</v>
      </c>
      <c r="AV825" s="32">
        <f>IFERROR(__xludf.DUMMYFUNCTION("""COMPUTED_VALUE"""),60.97116091228749)</f>
        <v>60.97116091</v>
      </c>
      <c r="AW825" s="32">
        <f>IFERROR(__xludf.DUMMYFUNCTION("""COMPUTED_VALUE"""),3.026758923175093)</f>
        <v>3.026758923</v>
      </c>
      <c r="AX825" s="32">
        <f>IFERROR(__xludf.DUMMYFUNCTION("""COMPUTED_VALUE"""),58.78111137384204)</f>
        <v>58.78111137</v>
      </c>
      <c r="AY825" s="32">
        <f>IFERROR(__xludf.DUMMYFUNCTION("""COMPUTED_VALUE"""),2.7570806724808175)</f>
        <v>2.757080672</v>
      </c>
      <c r="AZ825" s="30">
        <f>IFERROR(__xludf.DUMMYFUNCTION("""COMPUTED_VALUE"""),0.2696782506942754)</f>
        <v>0.2696782507</v>
      </c>
      <c r="BA825" s="30">
        <f>IFERROR(__xludf.DUMMYFUNCTION("""COMPUTED_VALUE"""),4000.0)</f>
        <v>4000</v>
      </c>
    </row>
    <row r="826">
      <c r="A826" s="71" t="str">
        <f>IFERROR(__xludf.DUMMYFUNCTION("""COMPUTED_VALUE"""),"Amateur")</f>
        <v>Amateur</v>
      </c>
      <c r="B826" s="71" t="str">
        <f>IFERROR(__xludf.DUMMYFUNCTION("""COMPUTED_VALUE"""),"RSC007571")</f>
        <v>RSC007571</v>
      </c>
      <c r="C826" s="30" t="str">
        <f>IFERROR(__xludf.DUMMYFUNCTION("""COMPUTED_VALUE"""),"StephMoney2")</f>
        <v>StephMoney2</v>
      </c>
      <c r="D826" s="30" t="str">
        <f>IFERROR(__xludf.DUMMYFUNCTION("""COMPUTED_VALUE"""),"Garlic Knots")</f>
        <v>Garlic Knots</v>
      </c>
      <c r="E826" s="30">
        <f>IFERROR(__xludf.DUMMYFUNCTION("""COMPUTED_VALUE"""),36.0)</f>
        <v>36</v>
      </c>
      <c r="F826" s="30">
        <f>IFERROR(__xludf.DUMMYFUNCTION("""COMPUTED_VALUE"""),26.0)</f>
        <v>26</v>
      </c>
      <c r="G826" s="42">
        <f>IFERROR(__xludf.DUMMYFUNCTION("""COMPUTED_VALUE"""),10.0)</f>
        <v>10</v>
      </c>
      <c r="H826" s="42">
        <f>IFERROR(__xludf.DUMMYFUNCTION("""COMPUTED_VALUE"""),0.7222222222222222)</f>
        <v>0.7222222222</v>
      </c>
      <c r="I826" s="42">
        <f>IFERROR(__xludf.DUMMYFUNCTION("""COMPUTED_VALUE"""),0.4125)</f>
        <v>0.4125</v>
      </c>
      <c r="J826" s="30">
        <f>IFERROR(__xludf.DUMMYFUNCTION("""COMPUTED_VALUE"""),356.4166666666667)</f>
        <v>356.4166667</v>
      </c>
      <c r="K826" s="30">
        <f>IFERROR(__xludf.DUMMYFUNCTION("""COMPUTED_VALUE"""),0.9166666666666666)</f>
        <v>0.9166666667</v>
      </c>
      <c r="L826" s="30">
        <f>IFERROR(__xludf.DUMMYFUNCTION("""COMPUTED_VALUE"""),0.6111111111111112)</f>
        <v>0.6111111111</v>
      </c>
      <c r="M826" s="30">
        <f>IFERROR(__xludf.DUMMYFUNCTION("""COMPUTED_VALUE"""),1.1111111111111112)</f>
        <v>1.111111111</v>
      </c>
      <c r="N826" s="30">
        <f>IFERROR(__xludf.DUMMYFUNCTION("""COMPUTED_VALUE"""),2.2222222222222223)</f>
        <v>2.222222222</v>
      </c>
      <c r="O826" s="30">
        <f>IFERROR(__xludf.DUMMYFUNCTION("""COMPUTED_VALUE"""),252.38888888888889)</f>
        <v>252.3888889</v>
      </c>
      <c r="P826" s="30">
        <f>IFERROR(__xludf.DUMMYFUNCTION("""COMPUTED_VALUE"""),0.5277777777777777)</f>
        <v>0.5277777778</v>
      </c>
      <c r="Q826" s="30">
        <f>IFERROR(__xludf.DUMMYFUNCTION("""COMPUTED_VALUE"""),0.29629629629629634)</f>
        <v>0.2962962963</v>
      </c>
      <c r="R826" s="30">
        <f>IFERROR(__xludf.DUMMYFUNCTION("""COMPUTED_VALUE"""),0.6666666666666669)</f>
        <v>0.6666666667</v>
      </c>
      <c r="S826" s="30">
        <f>IFERROR(__xludf.DUMMYFUNCTION("""COMPUTED_VALUE"""),2.1018518518518525)</f>
        <v>2.101851852</v>
      </c>
      <c r="T826" s="30">
        <f>IFERROR(__xludf.DUMMYFUNCTION("""COMPUTED_VALUE"""),288.6990200172403)</f>
        <v>288.69902</v>
      </c>
      <c r="U826" s="30">
        <f>IFERROR(__xludf.DUMMYFUNCTION("""COMPUTED_VALUE"""),0.7318517032665457)</f>
        <v>0.7318517033</v>
      </c>
      <c r="V826" s="30">
        <f>IFERROR(__xludf.DUMMYFUNCTION("""COMPUTED_VALUE"""),0.42749468752616404)</f>
        <v>0.4274946875</v>
      </c>
      <c r="W826" s="30">
        <f>IFERROR(__xludf.DUMMYFUNCTION("""COMPUTED_VALUE"""),0.8309324945161509)</f>
        <v>0.8309324945</v>
      </c>
      <c r="X826" s="30">
        <f>IFERROR(__xludf.DUMMYFUNCTION("""COMPUTED_VALUE"""),2.0736409171039045)</f>
        <v>2.073640917</v>
      </c>
      <c r="Y826" s="30">
        <f>IFERROR(__xludf.DUMMYFUNCTION("""COMPUTED_VALUE"""),302.138339389149)</f>
        <v>302.1383394</v>
      </c>
      <c r="Z826" s="30">
        <f>IFERROR(__xludf.DUMMYFUNCTION("""COMPUTED_VALUE"""),0.8095603119096649)</f>
        <v>0.8095603119</v>
      </c>
      <c r="AA826" s="30">
        <f>IFERROR(__xludf.DUMMYFUNCTION("""COMPUTED_VALUE"""),0.460410855105147)</f>
        <v>0.4604108551</v>
      </c>
      <c r="AB826" s="30">
        <f>IFERROR(__xludf.DUMMYFUNCTION("""COMPUTED_VALUE"""),0.9250316101106559)</f>
        <v>0.9250316101</v>
      </c>
      <c r="AC826" s="30">
        <f>IFERROR(__xludf.DUMMYFUNCTION("""COMPUTED_VALUE"""),2.0380019543666226)</f>
        <v>2.038001954</v>
      </c>
      <c r="AD826" s="30">
        <f>IFERROR(__xludf.DUMMYFUNCTION("""COMPUTED_VALUE"""),1.1796472681595305)</f>
        <v>1.179647268</v>
      </c>
      <c r="AE826" s="30">
        <f>IFERROR(__xludf.DUMMYFUNCTION("""COMPUTED_VALUE"""),1.1323018843455275)</f>
        <v>1.132301884</v>
      </c>
      <c r="AF826" s="30">
        <f>IFERROR(__xludf.DUMMYFUNCTION("""COMPUTED_VALUE"""),1.3273169047492326)</f>
        <v>1.327316905</v>
      </c>
      <c r="AG826" s="30">
        <f>IFERROR(__xludf.DUMMYFUNCTION("""COMPUTED_VALUE"""),1.2011601538440353)</f>
        <v>1.201160154</v>
      </c>
      <c r="AH826" s="30">
        <f>IFERROR(__xludf.DUMMYFUNCTION("""COMPUTED_VALUE"""),1.0903925864550275)</f>
        <v>1.090392586</v>
      </c>
      <c r="AI826" s="30">
        <f>IFERROR(__xludf.DUMMYFUNCTION("""COMPUTED_VALUE"""),0.8742284226452065)</f>
        <v>0.8742284226</v>
      </c>
      <c r="AJ826" s="30">
        <f>IFERROR(__xludf.DUMMYFUNCTION("""COMPUTED_VALUE"""),0.7211539925672035)</f>
        <v>0.7211539926</v>
      </c>
      <c r="AK826" s="30">
        <f>IFERROR(__xludf.DUMMYFUNCTION("""COMPUTED_VALUE"""),0.6930993646047637)</f>
        <v>0.6930993646</v>
      </c>
      <c r="AL826" s="30">
        <f>IFERROR(__xludf.DUMMYFUNCTION("""COMPUTED_VALUE"""),0.8023114646092454)</f>
        <v>0.8023114646</v>
      </c>
      <c r="AM826" s="30">
        <f>IFERROR(__xludf.DUMMYFUNCTION("""COMPUTED_VALUE"""),1.0136045419027264)</f>
        <v>1.013604542</v>
      </c>
      <c r="AN826" s="30">
        <f>IFERROR(__xludf.DUMMYFUNCTION("""COMPUTED_VALUE"""),1.2831258105874266)</f>
        <v>1.283125811</v>
      </c>
      <c r="AO826" s="30">
        <f>IFERROR(__xludf.DUMMYFUNCTION("""COMPUTED_VALUE"""),1.2338378417427145)</f>
        <v>1.233837842</v>
      </c>
      <c r="AP826" s="30">
        <f>IFERROR(__xludf.DUMMYFUNCTION("""COMPUTED_VALUE"""),1.4541574257648153)</f>
        <v>1.454157426</v>
      </c>
      <c r="AQ826" s="30">
        <f>IFERROR(__xludf.DUMMYFUNCTION("""COMPUTED_VALUE"""),1.4095994722654988)</f>
        <v>1.409599472</v>
      </c>
      <c r="AR826" s="30">
        <f>IFERROR(__xludf.DUMMYFUNCTION("""COMPUTED_VALUE"""),1.163722015324642)</f>
        <v>1.163722015</v>
      </c>
      <c r="AS826" s="30">
        <f>IFERROR(__xludf.DUMMYFUNCTION("""COMPUTED_VALUE"""),221.0)</f>
        <v>221</v>
      </c>
      <c r="AT826" s="30">
        <f>IFERROR(__xludf.DUMMYFUNCTION("""COMPUTED_VALUE"""),0.9195647130121115)</f>
        <v>0.919564713</v>
      </c>
      <c r="AU826" s="30">
        <f>IFERROR(__xludf.DUMMYFUNCTION("""COMPUTED_VALUE"""),2.824077081513932)</f>
        <v>2.824077082</v>
      </c>
      <c r="AV826" s="32">
        <f>IFERROR(__xludf.DUMMYFUNCTION("""COMPUTED_VALUE"""),73.93443609129416)</f>
        <v>73.93443609</v>
      </c>
      <c r="AW826" s="32">
        <f>IFERROR(__xludf.DUMMYFUNCTION("""COMPUTED_VALUE"""),5.910571063145628)</f>
        <v>5.910571063</v>
      </c>
      <c r="AX826" s="32">
        <f>IFERROR(__xludf.DUMMYFUNCTION("""COMPUTED_VALUE"""),73.24021876732658)</f>
        <v>73.24021877</v>
      </c>
      <c r="AY826" s="32">
        <f>IFERROR(__xludf.DUMMYFUNCTION("""COMPUTED_VALUE"""),5.672572935213097)</f>
        <v>5.672572935</v>
      </c>
      <c r="AZ826" s="30">
        <f>IFERROR(__xludf.DUMMYFUNCTION("""COMPUTED_VALUE"""),0.2379981279325314)</f>
        <v>0.2379981279</v>
      </c>
      <c r="BA826" s="30">
        <f>IFERROR(__xludf.DUMMYFUNCTION("""COMPUTED_VALUE"""),4000.0)</f>
        <v>4000</v>
      </c>
    </row>
    <row r="827">
      <c r="A827" s="71" t="str">
        <f>IFERROR(__xludf.DUMMYFUNCTION("""COMPUTED_VALUE"""),"Amateur")</f>
        <v>Amateur</v>
      </c>
      <c r="B827" s="71" t="str">
        <f>IFERROR(__xludf.DUMMYFUNCTION("""COMPUTED_VALUE"""),"RSC007955")</f>
        <v>RSC007955</v>
      </c>
      <c r="C827" s="30" t="str">
        <f>IFERROR(__xludf.DUMMYFUNCTION("""COMPUTED_VALUE"""),"JonathanVanDyk")</f>
        <v>JonathanVanDyk</v>
      </c>
      <c r="D827" s="30" t="str">
        <f>IFERROR(__xludf.DUMMYFUNCTION("""COMPUTED_VALUE"""),"Garlic Knots")</f>
        <v>Garlic Knots</v>
      </c>
      <c r="E827" s="30">
        <f>IFERROR(__xludf.DUMMYFUNCTION("""COMPUTED_VALUE"""),36.0)</f>
        <v>36</v>
      </c>
      <c r="F827" s="30">
        <f>IFERROR(__xludf.DUMMYFUNCTION("""COMPUTED_VALUE"""),26.0)</f>
        <v>26</v>
      </c>
      <c r="G827" s="42">
        <f>IFERROR(__xludf.DUMMYFUNCTION("""COMPUTED_VALUE"""),10.0)</f>
        <v>10</v>
      </c>
      <c r="H827" s="42">
        <f>IFERROR(__xludf.DUMMYFUNCTION("""COMPUTED_VALUE"""),0.7222222222222222)</f>
        <v>0.7222222222</v>
      </c>
      <c r="I827" s="42">
        <f>IFERROR(__xludf.DUMMYFUNCTION("""COMPUTED_VALUE"""),0.4605263157894737)</f>
        <v>0.4605263158</v>
      </c>
      <c r="J827" s="30">
        <f>IFERROR(__xludf.DUMMYFUNCTION("""COMPUTED_VALUE"""),359.19444444444446)</f>
        <v>359.1944444</v>
      </c>
      <c r="K827" s="30">
        <f>IFERROR(__xludf.DUMMYFUNCTION("""COMPUTED_VALUE"""),0.9722222222222222)</f>
        <v>0.9722222222</v>
      </c>
      <c r="L827" s="30">
        <f>IFERROR(__xludf.DUMMYFUNCTION("""COMPUTED_VALUE"""),0.4166666666666667)</f>
        <v>0.4166666667</v>
      </c>
      <c r="M827" s="30">
        <f>IFERROR(__xludf.DUMMYFUNCTION("""COMPUTED_VALUE"""),1.3333333333333333)</f>
        <v>1.333333333</v>
      </c>
      <c r="N827" s="30">
        <f>IFERROR(__xludf.DUMMYFUNCTION("""COMPUTED_VALUE"""),2.111111111111111)</f>
        <v>2.111111111</v>
      </c>
      <c r="O827" s="30">
        <f>IFERROR(__xludf.DUMMYFUNCTION("""COMPUTED_VALUE"""),252.38888888888889)</f>
        <v>252.3888889</v>
      </c>
      <c r="P827" s="30">
        <f>IFERROR(__xludf.DUMMYFUNCTION("""COMPUTED_VALUE"""),0.5277777777777777)</f>
        <v>0.5277777778</v>
      </c>
      <c r="Q827" s="30">
        <f>IFERROR(__xludf.DUMMYFUNCTION("""COMPUTED_VALUE"""),0.29629629629629634)</f>
        <v>0.2962962963</v>
      </c>
      <c r="R827" s="30">
        <f>IFERROR(__xludf.DUMMYFUNCTION("""COMPUTED_VALUE"""),0.6666666666666669)</f>
        <v>0.6666666667</v>
      </c>
      <c r="S827" s="30">
        <f>IFERROR(__xludf.DUMMYFUNCTION("""COMPUTED_VALUE"""),2.1018518518518525)</f>
        <v>2.101851852</v>
      </c>
      <c r="T827" s="30">
        <f>IFERROR(__xludf.DUMMYFUNCTION("""COMPUTED_VALUE"""),288.6990200172403)</f>
        <v>288.69902</v>
      </c>
      <c r="U827" s="30">
        <f>IFERROR(__xludf.DUMMYFUNCTION("""COMPUTED_VALUE"""),0.7318517032665457)</f>
        <v>0.7318517033</v>
      </c>
      <c r="V827" s="30">
        <f>IFERROR(__xludf.DUMMYFUNCTION("""COMPUTED_VALUE"""),0.42749468752616404)</f>
        <v>0.4274946875</v>
      </c>
      <c r="W827" s="30">
        <f>IFERROR(__xludf.DUMMYFUNCTION("""COMPUTED_VALUE"""),0.8309324945161509)</f>
        <v>0.8309324945</v>
      </c>
      <c r="X827" s="30">
        <f>IFERROR(__xludf.DUMMYFUNCTION("""COMPUTED_VALUE"""),2.0736409171039045)</f>
        <v>2.073640917</v>
      </c>
      <c r="Y827" s="30">
        <f>IFERROR(__xludf.DUMMYFUNCTION("""COMPUTED_VALUE"""),302.138339389149)</f>
        <v>302.1383394</v>
      </c>
      <c r="Z827" s="30">
        <f>IFERROR(__xludf.DUMMYFUNCTION("""COMPUTED_VALUE"""),0.8095603119096649)</f>
        <v>0.8095603119</v>
      </c>
      <c r="AA827" s="30">
        <f>IFERROR(__xludf.DUMMYFUNCTION("""COMPUTED_VALUE"""),0.460410855105147)</f>
        <v>0.4604108551</v>
      </c>
      <c r="AB827" s="30">
        <f>IFERROR(__xludf.DUMMYFUNCTION("""COMPUTED_VALUE"""),0.9250316101106559)</f>
        <v>0.9250316101</v>
      </c>
      <c r="AC827" s="30">
        <f>IFERROR(__xludf.DUMMYFUNCTION("""COMPUTED_VALUE"""),2.0380019543666226)</f>
        <v>2.038001954</v>
      </c>
      <c r="AD827" s="30">
        <f>IFERROR(__xludf.DUMMYFUNCTION("""COMPUTED_VALUE"""),1.1888409963814892)</f>
        <v>1.188840996</v>
      </c>
      <c r="AE827" s="30">
        <f>IFERROR(__xludf.DUMMYFUNCTION("""COMPUTED_VALUE"""),1.2009262409725292)</f>
        <v>1.200926241</v>
      </c>
      <c r="AF827" s="30">
        <f>IFERROR(__xludf.DUMMYFUNCTION("""COMPUTED_VALUE"""),0.9049887986926586)</f>
        <v>0.9049887987</v>
      </c>
      <c r="AG827" s="30">
        <f>IFERROR(__xludf.DUMMYFUNCTION("""COMPUTED_VALUE"""),1.4413921846128421)</f>
        <v>1.441392185</v>
      </c>
      <c r="AH827" s="30">
        <f>IFERROR(__xludf.DUMMYFUNCTION("""COMPUTED_VALUE"""),1.035872957132276)</f>
        <v>1.035872957</v>
      </c>
      <c r="AI827" s="30">
        <f>IFERROR(__xludf.DUMMYFUNCTION("""COMPUTED_VALUE"""),0.8742284226452065)</f>
        <v>0.8742284226</v>
      </c>
      <c r="AJ827" s="30">
        <f>IFERROR(__xludf.DUMMYFUNCTION("""COMPUTED_VALUE"""),0.7211539925672035)</f>
        <v>0.7211539926</v>
      </c>
      <c r="AK827" s="30">
        <f>IFERROR(__xludf.DUMMYFUNCTION("""COMPUTED_VALUE"""),0.6930993646047637)</f>
        <v>0.6930993646</v>
      </c>
      <c r="AL827" s="30">
        <f>IFERROR(__xludf.DUMMYFUNCTION("""COMPUTED_VALUE"""),0.8023114646092454)</f>
        <v>0.8023114646</v>
      </c>
      <c r="AM827" s="30">
        <f>IFERROR(__xludf.DUMMYFUNCTION("""COMPUTED_VALUE"""),1.0136045419027264)</f>
        <v>1.013604542</v>
      </c>
      <c r="AN827" s="30">
        <f>IFERROR(__xludf.DUMMYFUNCTION("""COMPUTED_VALUE"""),1.293126011745461)</f>
        <v>1.293126012</v>
      </c>
      <c r="AO827" s="30">
        <f>IFERROR(__xludf.DUMMYFUNCTION("""COMPUTED_VALUE"""),1.3086158927574243)</f>
        <v>1.308615893</v>
      </c>
      <c r="AP827" s="30">
        <f>IFERROR(__xludf.DUMMYFUNCTION("""COMPUTED_VALUE"""),0.9914709721123741)</f>
        <v>0.9914709721</v>
      </c>
      <c r="AQ827" s="30">
        <f>IFERROR(__xludf.DUMMYFUNCTION("""COMPUTED_VALUE"""),1.6915193667185981)</f>
        <v>1.691519367</v>
      </c>
      <c r="AR827" s="30">
        <f>IFERROR(__xludf.DUMMYFUNCTION("""COMPUTED_VALUE"""),1.1055359145584098)</f>
        <v>1.105535915</v>
      </c>
      <c r="AS827" s="30">
        <f>IFERROR(__xludf.DUMMYFUNCTION("""COMPUTED_VALUE"""),221.0)</f>
        <v>221</v>
      </c>
      <c r="AT827" s="30">
        <f>IFERROR(__xludf.DUMMYFUNCTION("""COMPUTED_VALUE"""),0.9195647130121115)</f>
        <v>0.919564713</v>
      </c>
      <c r="AU827" s="30">
        <f>IFERROR(__xludf.DUMMYFUNCTION("""COMPUTED_VALUE"""),2.532397302804721)</f>
        <v>2.532397303</v>
      </c>
      <c r="AV827" s="32">
        <f>IFERROR(__xludf.DUMMYFUNCTION("""COMPUTED_VALUE"""),67.97042249049368)</f>
        <v>67.97042249</v>
      </c>
      <c r="AW827" s="32">
        <f>IFERROR(__xludf.DUMMYFUNCTION("""COMPUTED_VALUE"""),4.235011425602192)</f>
        <v>4.235011426</v>
      </c>
      <c r="AX827" s="32">
        <f>IFERROR(__xludf.DUMMYFUNCTION("""COMPUTED_VALUE"""),66.86181042003815)</f>
        <v>66.86181042</v>
      </c>
      <c r="AY827" s="32">
        <f>IFERROR(__xludf.DUMMYFUNCTION("""COMPUTED_VALUE"""),3.9999118710791084)</f>
        <v>3.999911871</v>
      </c>
      <c r="AZ827" s="30">
        <f>IFERROR(__xludf.DUMMYFUNCTION("""COMPUTED_VALUE"""),0.2350995545230834)</f>
        <v>0.2350995545</v>
      </c>
      <c r="BA827" s="30">
        <f>IFERROR(__xludf.DUMMYFUNCTION("""COMPUTED_VALUE"""),4000.0)</f>
        <v>4000</v>
      </c>
    </row>
    <row r="828">
      <c r="A828" s="71" t="str">
        <f>IFERROR(__xludf.DUMMYFUNCTION("""COMPUTED_VALUE"""),"Amateur")</f>
        <v>Amateur</v>
      </c>
      <c r="B828" s="71" t="str">
        <f>IFERROR(__xludf.DUMMYFUNCTION("""COMPUTED_VALUE"""),"RSC007216")</f>
        <v>RSC007216</v>
      </c>
      <c r="C828" s="30" t="str">
        <f>IFERROR(__xludf.DUMMYFUNCTION("""COMPUTED_VALUE"""),"ASAPxLEG")</f>
        <v>ASAPxLEG</v>
      </c>
      <c r="D828" s="30" t="str">
        <f>IFERROR(__xludf.DUMMYFUNCTION("""COMPUTED_VALUE"""),"Aeon Ale")</f>
        <v>Aeon Ale</v>
      </c>
      <c r="E828" s="30">
        <f>IFERROR(__xludf.DUMMYFUNCTION("""COMPUTED_VALUE"""),28.0)</f>
        <v>28</v>
      </c>
      <c r="F828" s="30">
        <f>IFERROR(__xludf.DUMMYFUNCTION("""COMPUTED_VALUE"""),16.0)</f>
        <v>16</v>
      </c>
      <c r="G828" s="42">
        <f>IFERROR(__xludf.DUMMYFUNCTION("""COMPUTED_VALUE"""),12.0)</f>
        <v>12</v>
      </c>
      <c r="H828" s="42">
        <f>IFERROR(__xludf.DUMMYFUNCTION("""COMPUTED_VALUE"""),0.5714285714285714)</f>
        <v>0.5714285714</v>
      </c>
      <c r="I828" s="42">
        <f>IFERROR(__xludf.DUMMYFUNCTION("""COMPUTED_VALUE"""),0.47058823529411764)</f>
        <v>0.4705882353</v>
      </c>
      <c r="J828" s="30">
        <f>IFERROR(__xludf.DUMMYFUNCTION("""COMPUTED_VALUE"""),302.64285714285717)</f>
        <v>302.6428571</v>
      </c>
      <c r="K828" s="30">
        <f>IFERROR(__xludf.DUMMYFUNCTION("""COMPUTED_VALUE"""),0.8571428571428571)</f>
        <v>0.8571428571</v>
      </c>
      <c r="L828" s="30">
        <f>IFERROR(__xludf.DUMMYFUNCTION("""COMPUTED_VALUE"""),0.5714285714285714)</f>
        <v>0.5714285714</v>
      </c>
      <c r="M828" s="30">
        <f>IFERROR(__xludf.DUMMYFUNCTION("""COMPUTED_VALUE"""),0.8571428571428571)</f>
        <v>0.8571428571</v>
      </c>
      <c r="N828" s="30">
        <f>IFERROR(__xludf.DUMMYFUNCTION("""COMPUTED_VALUE"""),1.8214285714285714)</f>
        <v>1.821428571</v>
      </c>
      <c r="O828" s="30">
        <f>IFERROR(__xludf.DUMMYFUNCTION("""COMPUTED_VALUE"""),285.8958333333333)</f>
        <v>285.8958333</v>
      </c>
      <c r="P828" s="30">
        <f>IFERROR(__xludf.DUMMYFUNCTION("""COMPUTED_VALUE"""),0.7142857142857141)</f>
        <v>0.7142857143</v>
      </c>
      <c r="Q828" s="30">
        <f>IFERROR(__xludf.DUMMYFUNCTION("""COMPUTED_VALUE"""),0.3988095238095239)</f>
        <v>0.3988095238</v>
      </c>
      <c r="R828" s="30">
        <f>IFERROR(__xludf.DUMMYFUNCTION("""COMPUTED_VALUE"""),0.7708333333333336)</f>
        <v>0.7708333333</v>
      </c>
      <c r="S828" s="30">
        <f>IFERROR(__xludf.DUMMYFUNCTION("""COMPUTED_VALUE"""),1.8988095238095237)</f>
        <v>1.898809524</v>
      </c>
      <c r="T828" s="30">
        <f>IFERROR(__xludf.DUMMYFUNCTION("""COMPUTED_VALUE"""),300.3176879857405)</f>
        <v>300.317688</v>
      </c>
      <c r="U828" s="30">
        <f>IFERROR(__xludf.DUMMYFUNCTION("""COMPUTED_VALUE"""),0.7936262035669988)</f>
        <v>0.7936262036</v>
      </c>
      <c r="V828" s="30">
        <f>IFERROR(__xludf.DUMMYFUNCTION("""COMPUTED_VALUE"""),0.44579354627611584)</f>
        <v>0.4457935463</v>
      </c>
      <c r="W828" s="30">
        <f>IFERROR(__xludf.DUMMYFUNCTION("""COMPUTED_VALUE"""),0.879323112970963)</f>
        <v>0.879323113</v>
      </c>
      <c r="X828" s="30">
        <f>IFERROR(__xludf.DUMMYFUNCTION("""COMPUTED_VALUE"""),2.1164000641916574)</f>
        <v>2.116400064</v>
      </c>
      <c r="Y828" s="30">
        <f>IFERROR(__xludf.DUMMYFUNCTION("""COMPUTED_VALUE"""),298.4399066087877)</f>
        <v>298.4399066</v>
      </c>
      <c r="Z828" s="30">
        <f>IFERROR(__xludf.DUMMYFUNCTION("""COMPUTED_VALUE"""),0.8149849581786954)</f>
        <v>0.8149849582</v>
      </c>
      <c r="AA828" s="30">
        <f>IFERROR(__xludf.DUMMYFUNCTION("""COMPUTED_VALUE"""),0.4577735875001964)</f>
        <v>0.4577735875</v>
      </c>
      <c r="AB828" s="30">
        <f>IFERROR(__xludf.DUMMYFUNCTION("""COMPUTED_VALUE"""),0.8743309973774359)</f>
        <v>0.8743309974</v>
      </c>
      <c r="AC828" s="30">
        <f>IFERROR(__xludf.DUMMYFUNCTION("""COMPUTED_VALUE"""),2.0516194720304073)</f>
        <v>2.051619472</v>
      </c>
      <c r="AD828" s="30">
        <f>IFERROR(__xludf.DUMMYFUNCTION("""COMPUTED_VALUE"""),1.0140830714693225)</f>
        <v>1.014083071</v>
      </c>
      <c r="AE828" s="30">
        <f>IFERROR(__xludf.DUMMYFUNCTION("""COMPUTED_VALUE"""),1.0517284381031706)</f>
        <v>1.051728438</v>
      </c>
      <c r="AF828" s="30">
        <f>IFERROR(__xludf.DUMMYFUNCTION("""COMPUTED_VALUE"""),1.2482777229438258)</f>
        <v>1.248277723</v>
      </c>
      <c r="AG828" s="30">
        <f>IFERROR(__xludf.DUMMYFUNCTION("""COMPUTED_VALUE"""),0.9803413806829052)</f>
        <v>0.9803413807</v>
      </c>
      <c r="AH828" s="30">
        <f>IFERROR(__xludf.DUMMYFUNCTION("""COMPUTED_VALUE"""),0.8878003919635131)</f>
        <v>0.887800392</v>
      </c>
      <c r="AI828" s="30">
        <f>IFERROR(__xludf.DUMMYFUNCTION("""COMPUTED_VALUE"""),0.9519780045286844)</f>
        <v>0.9519780045</v>
      </c>
      <c r="AJ828" s="30">
        <f>IFERROR(__xludf.DUMMYFUNCTION("""COMPUTED_VALUE"""),0.9000278860190298)</f>
        <v>0.900027886</v>
      </c>
      <c r="AK828" s="30">
        <f>IFERROR(__xludf.DUMMYFUNCTION("""COMPUTED_VALUE"""),0.8946058711278629)</f>
        <v>0.8946058711</v>
      </c>
      <c r="AL828" s="30">
        <f>IFERROR(__xludf.DUMMYFUNCTION("""COMPUTED_VALUE"""),0.8766212578319752)</f>
        <v>0.8766212578</v>
      </c>
      <c r="AM828" s="30">
        <f>IFERROR(__xludf.DUMMYFUNCTION("""COMPUTED_VALUE"""),0.8971883699761459)</f>
        <v>0.89718837</v>
      </c>
      <c r="AN828" s="30">
        <f>IFERROR(__xludf.DUMMYFUNCTION("""COMPUTED_VALUE"""),1.0895362021695298)</f>
        <v>1.089536202</v>
      </c>
      <c r="AO828" s="30">
        <f>IFERROR(__xludf.DUMMYFUNCTION("""COMPUTED_VALUE"""),1.1537185013698108)</f>
        <v>1.153718501</v>
      </c>
      <c r="AP828" s="30">
        <f>IFERROR(__xludf.DUMMYFUNCTION("""COMPUTED_VALUE"""),1.3597316188969701)</f>
        <v>1.359731619</v>
      </c>
      <c r="AQ828" s="30">
        <f>IFERROR(__xludf.DUMMYFUNCTION("""COMPUTED_VALUE"""),1.0874053071762417)</f>
        <v>1.087405307</v>
      </c>
      <c r="AR828" s="30">
        <f>IFERROR(__xludf.DUMMYFUNCTION("""COMPUTED_VALUE"""),0.9538364375607331)</f>
        <v>0.9538364376</v>
      </c>
      <c r="AS828" s="30">
        <f>IFERROR(__xludf.DUMMYFUNCTION("""COMPUTED_VALUE"""),145.0)</f>
        <v>145</v>
      </c>
      <c r="AT828" s="30">
        <f>IFERROR(__xludf.DUMMYFUNCTION("""COMPUTED_VALUE"""),0.8267010482799774)</f>
        <v>0.8267010483</v>
      </c>
      <c r="AU828" s="30">
        <f>IFERROR(__xludf.DUMMYFUNCTION("""COMPUTED_VALUE"""),2.229411995588192)</f>
        <v>2.229411996</v>
      </c>
      <c r="AV828" s="32">
        <f>IFERROR(__xludf.DUMMYFUNCTION("""COMPUTED_VALUE"""),61.77524330776541)</f>
        <v>61.77524331</v>
      </c>
      <c r="AW828" s="32">
        <f>IFERROR(__xludf.DUMMYFUNCTION("""COMPUTED_VALUE"""),3.136596659799069)</f>
        <v>3.13659666</v>
      </c>
      <c r="AX828" s="32">
        <f>IFERROR(__xludf.DUMMYFUNCTION("""COMPUTED_VALUE"""),60.25629291046699)</f>
        <v>60.25629291</v>
      </c>
      <c r="AY828" s="32">
        <f>IFERROR(__xludf.DUMMYFUNCTION("""COMPUTED_VALUE"""),2.9341805765832776)</f>
        <v>2.934180577</v>
      </c>
      <c r="AZ828" s="30">
        <f>IFERROR(__xludf.DUMMYFUNCTION("""COMPUTED_VALUE"""),0.20241608321579152)</f>
        <v>0.2024160832</v>
      </c>
      <c r="BA828" s="30">
        <f>IFERROR(__xludf.DUMMYFUNCTION("""COMPUTED_VALUE"""),4000.0)</f>
        <v>4000</v>
      </c>
    </row>
    <row r="829">
      <c r="A829" s="71" t="str">
        <f>IFERROR(__xludf.DUMMYFUNCTION("""COMPUTED_VALUE"""),"Amateur")</f>
        <v>Amateur</v>
      </c>
      <c r="B829" s="71" t="str">
        <f>IFERROR(__xludf.DUMMYFUNCTION("""COMPUTED_VALUE"""),"RSC000654")</f>
        <v>RSC000654</v>
      </c>
      <c r="C829" s="30" t="str">
        <f>IFERROR(__xludf.DUMMYFUNCTION("""COMPUTED_VALUE"""),"Rocci")</f>
        <v>Rocci</v>
      </c>
      <c r="D829" s="30" t="str">
        <f>IFERROR(__xludf.DUMMYFUNCTION("""COMPUTED_VALUE"""),"Aeon Ale")</f>
        <v>Aeon Ale</v>
      </c>
      <c r="E829" s="30">
        <f>IFERROR(__xludf.DUMMYFUNCTION("""COMPUTED_VALUE"""),20.0)</f>
        <v>20</v>
      </c>
      <c r="F829" s="30">
        <f>IFERROR(__xludf.DUMMYFUNCTION("""COMPUTED_VALUE"""),11.0)</f>
        <v>11</v>
      </c>
      <c r="G829" s="42">
        <f>IFERROR(__xludf.DUMMYFUNCTION("""COMPUTED_VALUE"""),9.0)</f>
        <v>9</v>
      </c>
      <c r="H829" s="42">
        <f>IFERROR(__xludf.DUMMYFUNCTION("""COMPUTED_VALUE"""),0.55)</f>
        <v>0.55</v>
      </c>
      <c r="I829" s="42">
        <f>IFERROR(__xludf.DUMMYFUNCTION("""COMPUTED_VALUE"""),0.35714285714285715)</f>
        <v>0.3571428571</v>
      </c>
      <c r="J829" s="30">
        <f>IFERROR(__xludf.DUMMYFUNCTION("""COMPUTED_VALUE"""),253.4)</f>
        <v>253.4</v>
      </c>
      <c r="K829" s="30">
        <f>IFERROR(__xludf.DUMMYFUNCTION("""COMPUTED_VALUE"""),0.5)</f>
        <v>0.5</v>
      </c>
      <c r="L829" s="30">
        <f>IFERROR(__xludf.DUMMYFUNCTION("""COMPUTED_VALUE"""),0.45)</f>
        <v>0.45</v>
      </c>
      <c r="M829" s="30">
        <f>IFERROR(__xludf.DUMMYFUNCTION("""COMPUTED_VALUE"""),1.1)</f>
        <v>1.1</v>
      </c>
      <c r="N829" s="30">
        <f>IFERROR(__xludf.DUMMYFUNCTION("""COMPUTED_VALUE"""),1.4)</f>
        <v>1.4</v>
      </c>
      <c r="O829" s="30">
        <f>IFERROR(__xludf.DUMMYFUNCTION("""COMPUTED_VALUE"""),287.29999999999995)</f>
        <v>287.3</v>
      </c>
      <c r="P829" s="30">
        <f>IFERROR(__xludf.DUMMYFUNCTION("""COMPUTED_VALUE"""),0.6833333333333333)</f>
        <v>0.6833333333</v>
      </c>
      <c r="Q829" s="30">
        <f>IFERROR(__xludf.DUMMYFUNCTION("""COMPUTED_VALUE"""),0.35000000000000003)</f>
        <v>0.35</v>
      </c>
      <c r="R829" s="30">
        <f>IFERROR(__xludf.DUMMYFUNCTION("""COMPUTED_VALUE"""),0.8333333333333336)</f>
        <v>0.8333333333</v>
      </c>
      <c r="S829" s="30">
        <f>IFERROR(__xludf.DUMMYFUNCTION("""COMPUTED_VALUE"""),1.9000000000000004)</f>
        <v>1.9</v>
      </c>
      <c r="T829" s="30">
        <f>IFERROR(__xludf.DUMMYFUNCTION("""COMPUTED_VALUE"""),301.47123554174715)</f>
        <v>301.4712355</v>
      </c>
      <c r="U829" s="30">
        <f>IFERROR(__xludf.DUMMYFUNCTION("""COMPUTED_VALUE"""),0.757791559011267)</f>
        <v>0.757791559</v>
      </c>
      <c r="V829" s="30">
        <f>IFERROR(__xludf.DUMMYFUNCTION("""COMPUTED_VALUE"""),0.4314309871993781)</f>
        <v>0.4314309872</v>
      </c>
      <c r="W829" s="30">
        <f>IFERROR(__xludf.DUMMYFUNCTION("""COMPUTED_VALUE"""),0.9172068136690967)</f>
        <v>0.9172068137</v>
      </c>
      <c r="X829" s="30">
        <f>IFERROR(__xludf.DUMMYFUNCTION("""COMPUTED_VALUE"""),2.1040564008013196)</f>
        <v>2.104056401</v>
      </c>
      <c r="Y829" s="30">
        <f>IFERROR(__xludf.DUMMYFUNCTION("""COMPUTED_VALUE"""),293.5361997499807)</f>
        <v>293.5361997</v>
      </c>
      <c r="Z829" s="30">
        <f>IFERROR(__xludf.DUMMYFUNCTION("""COMPUTED_VALUE"""),0.7637346012963085)</f>
        <v>0.7637346013</v>
      </c>
      <c r="AA829" s="30">
        <f>IFERROR(__xludf.DUMMYFUNCTION("""COMPUTED_VALUE"""),0.4163982367774507)</f>
        <v>0.4163982368</v>
      </c>
      <c r="AB829" s="30">
        <f>IFERROR(__xludf.DUMMYFUNCTION("""COMPUTED_VALUE"""),0.8927409881076009)</f>
        <v>0.8927409881</v>
      </c>
      <c r="AC829" s="30">
        <f>IFERROR(__xludf.DUMMYFUNCTION("""COMPUTED_VALUE"""),2.030472239004055)</f>
        <v>2.030472239</v>
      </c>
      <c r="AD829" s="30">
        <f>IFERROR(__xludf.DUMMYFUNCTION("""COMPUTED_VALUE"""),0.86326660976)</f>
        <v>0.8632666098</v>
      </c>
      <c r="AE829" s="30">
        <f>IFERROR(__xludf.DUMMYFUNCTION("""COMPUTED_VALUE"""),0.6546776840427757)</f>
        <v>0.654677684</v>
      </c>
      <c r="AF829" s="30">
        <f>IFERROR(__xludf.DUMMYFUNCTION("""COMPUTED_VALUE"""),1.080696218799092)</f>
        <v>1.080696219</v>
      </c>
      <c r="AG829" s="30">
        <f>IFERROR(__xludf.DUMMYFUNCTION("""COMPUTED_VALUE"""),1.2321602958230238)</f>
        <v>1.232160296</v>
      </c>
      <c r="AH829" s="30">
        <f>IFERROR(__xludf.DUMMYFUNCTION("""COMPUTED_VALUE"""),0.6894947752088937)</f>
        <v>0.6894947752</v>
      </c>
      <c r="AI829" s="30">
        <f>IFERROR(__xludf.DUMMYFUNCTION("""COMPUTED_VALUE"""),0.9529930757198731)</f>
        <v>0.9529930757</v>
      </c>
      <c r="AJ829" s="30">
        <f>IFERROR(__xludf.DUMMYFUNCTION("""COMPUTED_VALUE"""),0.9017431313498879)</f>
        <v>0.9017431313</v>
      </c>
      <c r="AK829" s="30">
        <f>IFERROR(__xludf.DUMMYFUNCTION("""COMPUTED_VALUE"""),0.811253735555749)</f>
        <v>0.8112537356</v>
      </c>
      <c r="AL829" s="30">
        <f>IFERROR(__xludf.DUMMYFUNCTION("""COMPUTED_VALUE"""),0.9085555415792818)</f>
        <v>0.9085555416</v>
      </c>
      <c r="AM829" s="30">
        <f>IFERROR(__xludf.DUMMYFUNCTION("""COMPUTED_VALUE"""),0.9030176183853221)</f>
        <v>0.9030176184</v>
      </c>
      <c r="AN829" s="30">
        <f>IFERROR(__xludf.DUMMYFUNCTION("""COMPUTED_VALUE"""),0.9122583504405533)</f>
        <v>0.9122583504</v>
      </c>
      <c r="AO829" s="30">
        <f>IFERROR(__xludf.DUMMYFUNCTION("""COMPUTED_VALUE"""),0.6730024591323897)</f>
        <v>0.6730024591</v>
      </c>
      <c r="AP829" s="30">
        <f>IFERROR(__xludf.DUMMYFUNCTION("""COMPUTED_VALUE"""),1.070788649881364)</f>
        <v>1.07078865</v>
      </c>
      <c r="AQ829" s="30">
        <f>IFERROR(__xludf.DUMMYFUNCTION("""COMPUTED_VALUE"""),1.3955034775428437)</f>
        <v>1.395503478</v>
      </c>
      <c r="AR829" s="30">
        <f>IFERROR(__xludf.DUMMYFUNCTION("""COMPUTED_VALUE"""),0.7331448696545243)</f>
        <v>0.7331448697</v>
      </c>
      <c r="AS829" s="30">
        <f>IFERROR(__xludf.DUMMYFUNCTION("""COMPUTED_VALUE"""),120.0)</f>
        <v>120</v>
      </c>
      <c r="AT829" s="30">
        <f>IFERROR(__xludf.DUMMYFUNCTION("""COMPUTED_VALUE"""),0.8758873594265086)</f>
        <v>0.8758873594</v>
      </c>
      <c r="AU829" s="30">
        <f>IFERROR(__xludf.DUMMYFUNCTION("""COMPUTED_VALUE"""),1.394432590895022)</f>
        <v>1.394432591</v>
      </c>
      <c r="AV829" s="32">
        <f>IFERROR(__xludf.DUMMYFUNCTION("""COMPUTED_VALUE"""),44.7023130277991)</f>
        <v>44.70231303</v>
      </c>
      <c r="AW829" s="32">
        <f>IFERROR(__xludf.DUMMYFUNCTION("""COMPUTED_VALUE"""),-2.4033284682616802)</f>
        <v>-2.403328468</v>
      </c>
      <c r="AX829" s="32">
        <f>IFERROR(__xludf.DUMMYFUNCTION("""COMPUTED_VALUE"""),42.77240199804201)</f>
        <v>42.772402</v>
      </c>
      <c r="AY829" s="32">
        <f>IFERROR(__xludf.DUMMYFUNCTION("""COMPUTED_VALUE"""),-2.5889905507032718)</f>
        <v>-2.588990551</v>
      </c>
      <c r="AZ829" s="30">
        <f>IFERROR(__xludf.DUMMYFUNCTION("""COMPUTED_VALUE"""),0.18566208244159155)</f>
        <v>0.1856620824</v>
      </c>
      <c r="BA829" s="30">
        <f>IFERROR(__xludf.DUMMYFUNCTION("""COMPUTED_VALUE"""),4000.0)</f>
        <v>4000</v>
      </c>
    </row>
    <row r="830">
      <c r="A830" s="71" t="str">
        <f>IFERROR(__xludf.DUMMYFUNCTION("""COMPUTED_VALUE"""),"Amateur")</f>
        <v>Amateur</v>
      </c>
      <c r="B830" s="71" t="str">
        <f>IFERROR(__xludf.DUMMYFUNCTION("""COMPUTED_VALUE"""),"RSC007632")</f>
        <v>RSC007632</v>
      </c>
      <c r="C830" s="30" t="str">
        <f>IFERROR(__xludf.DUMMYFUNCTION("""COMPUTED_VALUE"""),"yournewSTEPDADDI")</f>
        <v>yournewSTEPDADDI</v>
      </c>
      <c r="D830" s="30" t="str">
        <f>IFERROR(__xludf.DUMMYFUNCTION("""COMPUTED_VALUE"""),"Kiwis")</f>
        <v>Kiwis</v>
      </c>
      <c r="E830" s="30">
        <f>IFERROR(__xludf.DUMMYFUNCTION("""COMPUTED_VALUE"""),28.0)</f>
        <v>28</v>
      </c>
      <c r="F830" s="30">
        <f>IFERROR(__xludf.DUMMYFUNCTION("""COMPUTED_VALUE"""),7.0)</f>
        <v>7</v>
      </c>
      <c r="G830" s="42">
        <f>IFERROR(__xludf.DUMMYFUNCTION("""COMPUTED_VALUE"""),21.0)</f>
        <v>21</v>
      </c>
      <c r="H830" s="42">
        <f>IFERROR(__xludf.DUMMYFUNCTION("""COMPUTED_VALUE"""),0.25)</f>
        <v>0.25</v>
      </c>
      <c r="I830" s="42">
        <f>IFERROR(__xludf.DUMMYFUNCTION("""COMPUTED_VALUE"""),0.36170212765957444)</f>
        <v>0.3617021277</v>
      </c>
      <c r="J830" s="30">
        <f>IFERROR(__xludf.DUMMYFUNCTION("""COMPUTED_VALUE"""),278.75)</f>
        <v>278.75</v>
      </c>
      <c r="K830" s="30">
        <f>IFERROR(__xludf.DUMMYFUNCTION("""COMPUTED_VALUE"""),0.6071428571428571)</f>
        <v>0.6071428571</v>
      </c>
      <c r="L830" s="30">
        <f>IFERROR(__xludf.DUMMYFUNCTION("""COMPUTED_VALUE"""),0.25)</f>
        <v>0.25</v>
      </c>
      <c r="M830" s="30">
        <f>IFERROR(__xludf.DUMMYFUNCTION("""COMPUTED_VALUE"""),0.8928571428571429)</f>
        <v>0.8928571429</v>
      </c>
      <c r="N830" s="30">
        <f>IFERROR(__xludf.DUMMYFUNCTION("""COMPUTED_VALUE"""),1.6785714285714286)</f>
        <v>1.678571429</v>
      </c>
      <c r="O830" s="30">
        <f>IFERROR(__xludf.DUMMYFUNCTION("""COMPUTED_VALUE"""),357.91964285714295)</f>
        <v>357.9196429</v>
      </c>
      <c r="P830" s="30">
        <f>IFERROR(__xludf.DUMMYFUNCTION("""COMPUTED_VALUE"""),1.25297619047619)</f>
        <v>1.25297619</v>
      </c>
      <c r="Q830" s="30">
        <f>IFERROR(__xludf.DUMMYFUNCTION("""COMPUTED_VALUE"""),0.6785714285714286)</f>
        <v>0.6785714286</v>
      </c>
      <c r="R830" s="30">
        <f>IFERROR(__xludf.DUMMYFUNCTION("""COMPUTED_VALUE"""),0.8065476190476193)</f>
        <v>0.806547619</v>
      </c>
      <c r="S830" s="30">
        <f>IFERROR(__xludf.DUMMYFUNCTION("""COMPUTED_VALUE"""),2.577380952380952)</f>
        <v>2.577380952</v>
      </c>
      <c r="T830" s="30">
        <f>IFERROR(__xludf.DUMMYFUNCTION("""COMPUTED_VALUE"""),296.62545135500375)</f>
        <v>296.6254514</v>
      </c>
      <c r="U830" s="30">
        <f>IFERROR(__xludf.DUMMYFUNCTION("""COMPUTED_VALUE"""),0.8285448002232699)</f>
        <v>0.8285448002</v>
      </c>
      <c r="V830" s="30">
        <f>IFERROR(__xludf.DUMMYFUNCTION("""COMPUTED_VALUE"""),0.42936250662006303)</f>
        <v>0.4293625066</v>
      </c>
      <c r="W830" s="30">
        <f>IFERROR(__xludf.DUMMYFUNCTION("""COMPUTED_VALUE"""),0.8390965335428603)</f>
        <v>0.8390965335</v>
      </c>
      <c r="X830" s="30">
        <f>IFERROR(__xludf.DUMMYFUNCTION("""COMPUTED_VALUE"""),2.078061220634581)</f>
        <v>2.078061221</v>
      </c>
      <c r="Y830" s="30">
        <f>IFERROR(__xludf.DUMMYFUNCTION("""COMPUTED_VALUE"""),290.169575731111)</f>
        <v>290.1695757</v>
      </c>
      <c r="Z830" s="30">
        <f>IFERROR(__xludf.DUMMYFUNCTION("""COMPUTED_VALUE"""),0.7524681829452629)</f>
        <v>0.7524681829</v>
      </c>
      <c r="AA830" s="30">
        <f>IFERROR(__xludf.DUMMYFUNCTION("""COMPUTED_VALUE"""),0.42666807915852073)</f>
        <v>0.4266680792</v>
      </c>
      <c r="AB830" s="30">
        <f>IFERROR(__xludf.DUMMYFUNCTION("""COMPUTED_VALUE"""),0.8583703264643784)</f>
        <v>0.8583703265</v>
      </c>
      <c r="AC830" s="30">
        <f>IFERROR(__xludf.DUMMYFUNCTION("""COMPUTED_VALUE"""),2.0108505541261006)</f>
        <v>2.010850554</v>
      </c>
      <c r="AD830" s="30">
        <f>IFERROR(__xludf.DUMMYFUNCTION("""COMPUTED_VALUE"""),0.9606451651509699)</f>
        <v>0.9606451652</v>
      </c>
      <c r="AE830" s="30">
        <f>IFERROR(__xludf.DUMMYFUNCTION("""COMPUTED_VALUE"""),0.8068684775034837)</f>
        <v>0.8068684775</v>
      </c>
      <c r="AF830" s="30">
        <f>IFERROR(__xludf.DUMMYFUNCTION("""COMPUTED_VALUE"""),0.5859355602440488)</f>
        <v>0.5859355602</v>
      </c>
      <c r="AG830" s="30">
        <f>IFERROR(__xludf.DUMMYFUNCTION("""COMPUTED_VALUE"""),1.0401770836310424)</f>
        <v>1.040177084</v>
      </c>
      <c r="AH830" s="30">
        <f>IFERROR(__xludf.DUMMYFUNCTION("""COMPUTED_VALUE"""),0.8347569266781848)</f>
        <v>0.8347569267</v>
      </c>
      <c r="AI830" s="30">
        <f>IFERROR(__xludf.DUMMYFUNCTION("""COMPUTED_VALUE"""),1.2066383421319495)</f>
        <v>1.206638342</v>
      </c>
      <c r="AJ830" s="30">
        <f>IFERROR(__xludf.DUMMYFUNCTION("""COMPUTED_VALUE"""),1.5122612442182337)</f>
        <v>1.512261244</v>
      </c>
      <c r="AK830" s="30">
        <f>IFERROR(__xludf.DUMMYFUNCTION("""COMPUTED_VALUE"""),1.5804161241584307)</f>
        <v>1.580416124</v>
      </c>
      <c r="AL830" s="30">
        <f>IFERROR(__xludf.DUMMYFUNCTION("""COMPUTED_VALUE"""),0.9612095710158497)</f>
        <v>0.961209571</v>
      </c>
      <c r="AM830" s="30">
        <f>IFERROR(__xludf.DUMMYFUNCTION("""COMPUTED_VALUE"""),1.2402815310676423)</f>
        <v>1.240281531</v>
      </c>
      <c r="AN830" s="30">
        <f>IFERROR(__xludf.DUMMYFUNCTION("""COMPUTED_VALUE"""),1.0035201862087775)</f>
        <v>1.003520186</v>
      </c>
      <c r="AO830" s="30">
        <f>IFERROR(__xludf.DUMMYFUNCTION("""COMPUTED_VALUE"""),0.817217271803616)</f>
        <v>0.8172172718</v>
      </c>
      <c r="AP830" s="30">
        <f>IFERROR(__xludf.DUMMYFUNCTION("""COMPUTED_VALUE"""),0.5948825832674244)</f>
        <v>0.5948825833</v>
      </c>
      <c r="AQ830" s="30">
        <f>IFERROR(__xludf.DUMMYFUNCTION("""COMPUTED_VALUE"""),1.1327138616419186)</f>
        <v>1.132713862</v>
      </c>
      <c r="AR830" s="30">
        <f>IFERROR(__xludf.DUMMYFUNCTION("""COMPUTED_VALUE"""),0.8790257365755777)</f>
        <v>0.8790257366</v>
      </c>
      <c r="AS830" s="30">
        <f>IFERROR(__xludf.DUMMYFUNCTION("""COMPUTED_VALUE"""),118.0)</f>
        <v>118</v>
      </c>
      <c r="AT830" s="30">
        <f>IFERROR(__xludf.DUMMYFUNCTION("""COMPUTED_VALUE"""),0.5516863901085332)</f>
        <v>0.5516863901</v>
      </c>
      <c r="AU830" s="30">
        <f>IFERROR(__xludf.DUMMYFUNCTION("""COMPUTED_VALUE"""),0.6394075841897499)</f>
        <v>0.6394075842</v>
      </c>
      <c r="AV830" s="32">
        <f>IFERROR(__xludf.DUMMYFUNCTION("""COMPUTED_VALUE"""),29.26422051119736)</f>
        <v>29.26422051</v>
      </c>
      <c r="AW830" s="32">
        <f>IFERROR(__xludf.DUMMYFUNCTION("""COMPUTED_VALUE"""),-4.915690206182857)</f>
        <v>-4.915690206</v>
      </c>
      <c r="AX830" s="32">
        <f>IFERROR(__xludf.DUMMYFUNCTION("""COMPUTED_VALUE"""),29.383792348130854)</f>
        <v>29.38379235</v>
      </c>
      <c r="AY830" s="32">
        <f>IFERROR(__xludf.DUMMYFUNCTION("""COMPUTED_VALUE"""),-4.883154798365516)</f>
        <v>-4.883154798</v>
      </c>
      <c r="AZ830" s="30">
        <f>IFERROR(__xludf.DUMMYFUNCTION("""COMPUTED_VALUE"""),0.03253540781734099)</f>
        <v>0.03253540782</v>
      </c>
      <c r="BA830" s="30">
        <f>IFERROR(__xludf.DUMMYFUNCTION("""COMPUTED_VALUE"""),4000.0)</f>
        <v>4000</v>
      </c>
    </row>
    <row r="831">
      <c r="AV831" s="32"/>
      <c r="AW831" s="32"/>
      <c r="AX831" s="32"/>
      <c r="AY831" s="32"/>
    </row>
    <row r="832">
      <c r="AV832" s="32"/>
      <c r="AW832" s="32"/>
      <c r="AX832" s="32"/>
      <c r="AY832" s="32"/>
    </row>
    <row r="833">
      <c r="AV833" s="32"/>
      <c r="AW833" s="32"/>
      <c r="AX833" s="32"/>
      <c r="AY833" s="32"/>
    </row>
    <row r="834">
      <c r="AV834" s="32"/>
      <c r="AW834" s="32"/>
      <c r="AX834" s="32"/>
      <c r="AY834" s="32"/>
    </row>
    <row r="835">
      <c r="AV835" s="32"/>
      <c r="AW835" s="32"/>
      <c r="AX835" s="32"/>
      <c r="AY835" s="32"/>
    </row>
    <row r="836">
      <c r="AV836" s="32"/>
      <c r="AW836" s="32"/>
      <c r="AX836" s="32"/>
      <c r="AY836" s="32"/>
    </row>
    <row r="837">
      <c r="AV837" s="32"/>
      <c r="AW837" s="32"/>
      <c r="AX837" s="32"/>
      <c r="AY837" s="32"/>
    </row>
    <row r="838">
      <c r="AV838" s="32"/>
      <c r="AW838" s="32"/>
      <c r="AX838" s="32"/>
      <c r="AY838" s="32"/>
    </row>
    <row r="839">
      <c r="AV839" s="32"/>
      <c r="AW839" s="32"/>
      <c r="AX839" s="32"/>
      <c r="AY839" s="32"/>
    </row>
    <row r="840">
      <c r="AV840" s="32"/>
      <c r="AW840" s="32"/>
      <c r="AX840" s="32"/>
      <c r="AY840" s="32"/>
    </row>
    <row r="841">
      <c r="AV841" s="32"/>
      <c r="AW841" s="32"/>
      <c r="AX841" s="32"/>
      <c r="AY841" s="32"/>
    </row>
    <row r="842">
      <c r="AV842" s="32"/>
      <c r="AW842" s="32"/>
      <c r="AX842" s="32"/>
      <c r="AY842" s="32"/>
    </row>
    <row r="843">
      <c r="AV843" s="32"/>
      <c r="AW843" s="32"/>
      <c r="AX843" s="32"/>
      <c r="AY843" s="32"/>
    </row>
    <row r="844">
      <c r="AV844" s="32"/>
      <c r="AW844" s="32"/>
      <c r="AX844" s="32"/>
      <c r="AY844" s="32"/>
    </row>
    <row r="845">
      <c r="AV845" s="32"/>
      <c r="AW845" s="32"/>
      <c r="AX845" s="32"/>
      <c r="AY845" s="32"/>
    </row>
    <row r="846">
      <c r="AV846" s="32"/>
      <c r="AW846" s="32"/>
      <c r="AX846" s="32"/>
      <c r="AY846" s="32"/>
    </row>
    <row r="847">
      <c r="AV847" s="32"/>
      <c r="AW847" s="32"/>
      <c r="AX847" s="32"/>
      <c r="AY847" s="32"/>
    </row>
    <row r="848">
      <c r="AV848" s="32"/>
      <c r="AW848" s="32"/>
      <c r="AX848" s="32"/>
      <c r="AY848" s="32"/>
    </row>
    <row r="849">
      <c r="AV849" s="32"/>
      <c r="AW849" s="32"/>
      <c r="AX849" s="32"/>
      <c r="AY849" s="32"/>
    </row>
    <row r="850">
      <c r="AV850" s="32"/>
      <c r="AW850" s="32"/>
      <c r="AX850" s="32"/>
      <c r="AY850" s="32"/>
    </row>
    <row r="851">
      <c r="AV851" s="32"/>
      <c r="AW851" s="32"/>
      <c r="AX851" s="32"/>
      <c r="AY851" s="32"/>
    </row>
    <row r="852">
      <c r="AV852" s="32"/>
      <c r="AW852" s="32"/>
      <c r="AX852" s="32"/>
      <c r="AY852" s="32"/>
    </row>
    <row r="853">
      <c r="AV853" s="32"/>
      <c r="AW853" s="32"/>
      <c r="AX853" s="32"/>
      <c r="AY853" s="32"/>
    </row>
    <row r="854">
      <c r="AV854" s="32"/>
      <c r="AW854" s="32"/>
      <c r="AX854" s="32"/>
      <c r="AY854" s="32"/>
    </row>
    <row r="855">
      <c r="AV855" s="32"/>
      <c r="AW855" s="32"/>
      <c r="AX855" s="32"/>
      <c r="AY855" s="32"/>
    </row>
    <row r="856">
      <c r="AV856" s="32"/>
      <c r="AW856" s="32"/>
      <c r="AX856" s="32"/>
      <c r="AY856" s="32"/>
    </row>
    <row r="857">
      <c r="AV857" s="32"/>
      <c r="AW857" s="32"/>
      <c r="AX857" s="32"/>
      <c r="AY857" s="32"/>
    </row>
    <row r="858">
      <c r="AV858" s="32"/>
      <c r="AW858" s="32"/>
      <c r="AX858" s="32"/>
      <c r="AY858" s="32"/>
    </row>
    <row r="859">
      <c r="AV859" s="32"/>
      <c r="AW859" s="32"/>
      <c r="AX859" s="32"/>
      <c r="AY859" s="32"/>
    </row>
    <row r="860">
      <c r="AV860" s="32"/>
      <c r="AW860" s="32"/>
      <c r="AX860" s="32"/>
      <c r="AY860" s="32"/>
    </row>
    <row r="861">
      <c r="AV861" s="32"/>
      <c r="AW861" s="32"/>
      <c r="AX861" s="32"/>
      <c r="AY861" s="32"/>
    </row>
    <row r="862">
      <c r="AV862" s="32"/>
      <c r="AW862" s="32"/>
      <c r="AX862" s="32"/>
      <c r="AY862" s="32"/>
    </row>
    <row r="863">
      <c r="AV863" s="32"/>
      <c r="AW863" s="32"/>
      <c r="AX863" s="32"/>
      <c r="AY863" s="32"/>
    </row>
    <row r="864">
      <c r="AV864" s="32"/>
      <c r="AW864" s="32"/>
      <c r="AX864" s="32"/>
      <c r="AY864" s="32"/>
    </row>
    <row r="865">
      <c r="AV865" s="32"/>
      <c r="AW865" s="32"/>
      <c r="AX865" s="32"/>
      <c r="AY865" s="32"/>
    </row>
    <row r="866">
      <c r="AV866" s="32"/>
      <c r="AW866" s="32"/>
      <c r="AX866" s="32"/>
      <c r="AY866" s="32"/>
    </row>
    <row r="867">
      <c r="AV867" s="32"/>
      <c r="AW867" s="32"/>
      <c r="AX867" s="32"/>
      <c r="AY867" s="32"/>
    </row>
    <row r="868">
      <c r="AV868" s="32"/>
      <c r="AW868" s="32"/>
      <c r="AX868" s="32"/>
      <c r="AY868" s="32"/>
    </row>
    <row r="869">
      <c r="AV869" s="32"/>
      <c r="AW869" s="32"/>
      <c r="AX869" s="32"/>
      <c r="AY869" s="32"/>
    </row>
    <row r="870">
      <c r="AV870" s="32"/>
      <c r="AW870" s="32"/>
      <c r="AX870" s="32"/>
      <c r="AY870" s="32"/>
    </row>
    <row r="871">
      <c r="AV871" s="32"/>
      <c r="AW871" s="32"/>
      <c r="AX871" s="32"/>
      <c r="AY871" s="32"/>
    </row>
    <row r="872">
      <c r="AV872" s="32"/>
      <c r="AW872" s="32"/>
      <c r="AX872" s="32"/>
      <c r="AY872" s="32"/>
    </row>
    <row r="873">
      <c r="AV873" s="32"/>
      <c r="AW873" s="32"/>
      <c r="AX873" s="32"/>
      <c r="AY873" s="32"/>
    </row>
    <row r="874">
      <c r="AV874" s="32"/>
      <c r="AW874" s="32"/>
      <c r="AX874" s="32"/>
      <c r="AY874" s="32"/>
    </row>
    <row r="875">
      <c r="AV875" s="32"/>
      <c r="AW875" s="32"/>
      <c r="AX875" s="32"/>
      <c r="AY875" s="32"/>
    </row>
    <row r="876">
      <c r="AV876" s="32"/>
      <c r="AW876" s="32"/>
      <c r="AX876" s="32"/>
      <c r="AY876" s="32"/>
    </row>
    <row r="877">
      <c r="AV877" s="32"/>
      <c r="AW877" s="32"/>
      <c r="AX877" s="32"/>
      <c r="AY877" s="32"/>
    </row>
    <row r="878">
      <c r="AV878" s="32"/>
      <c r="AW878" s="32"/>
      <c r="AX878" s="32"/>
      <c r="AY878" s="32"/>
    </row>
    <row r="879">
      <c r="AV879" s="32"/>
      <c r="AW879" s="32"/>
      <c r="AX879" s="32"/>
      <c r="AY879" s="32"/>
    </row>
    <row r="880">
      <c r="AV880" s="32"/>
      <c r="AW880" s="32"/>
      <c r="AX880" s="32"/>
      <c r="AY880" s="32"/>
    </row>
    <row r="881">
      <c r="AV881" s="32"/>
      <c r="AW881" s="32"/>
      <c r="AX881" s="32"/>
      <c r="AY881" s="32"/>
    </row>
    <row r="882">
      <c r="AV882" s="32"/>
      <c r="AW882" s="32"/>
      <c r="AX882" s="32"/>
      <c r="AY882" s="32"/>
    </row>
    <row r="883">
      <c r="AV883" s="32"/>
      <c r="AW883" s="32"/>
      <c r="AX883" s="32"/>
      <c r="AY883" s="32"/>
    </row>
    <row r="884">
      <c r="AV884" s="32"/>
      <c r="AW884" s="32"/>
      <c r="AX884" s="32"/>
      <c r="AY884" s="32"/>
    </row>
    <row r="885">
      <c r="AV885" s="32"/>
      <c r="AW885" s="32"/>
      <c r="AX885" s="32"/>
      <c r="AY885" s="32"/>
    </row>
    <row r="886">
      <c r="AV886" s="32"/>
      <c r="AW886" s="32"/>
      <c r="AX886" s="32"/>
      <c r="AY886" s="32"/>
    </row>
    <row r="887">
      <c r="AV887" s="32"/>
      <c r="AW887" s="32"/>
      <c r="AX887" s="32"/>
      <c r="AY887" s="32"/>
    </row>
    <row r="888">
      <c r="AV888" s="32"/>
      <c r="AW888" s="32"/>
      <c r="AX888" s="32"/>
      <c r="AY888" s="32"/>
    </row>
    <row r="889">
      <c r="AV889" s="32"/>
      <c r="AW889" s="32"/>
      <c r="AX889" s="32"/>
      <c r="AY889" s="32"/>
    </row>
    <row r="890">
      <c r="AV890" s="32"/>
      <c r="AW890" s="32"/>
      <c r="AX890" s="32"/>
      <c r="AY890" s="32"/>
    </row>
    <row r="891">
      <c r="AV891" s="32"/>
      <c r="AW891" s="32"/>
      <c r="AX891" s="32"/>
      <c r="AY891" s="32"/>
    </row>
    <row r="892">
      <c r="AV892" s="32"/>
      <c r="AW892" s="32"/>
      <c r="AX892" s="32"/>
      <c r="AY892" s="32"/>
    </row>
    <row r="893">
      <c r="AV893" s="32"/>
      <c r="AW893" s="32"/>
      <c r="AX893" s="32"/>
      <c r="AY893" s="32"/>
    </row>
    <row r="894">
      <c r="AV894" s="32"/>
      <c r="AW894" s="32"/>
      <c r="AX894" s="32"/>
      <c r="AY894" s="32"/>
    </row>
    <row r="895">
      <c r="AV895" s="32"/>
      <c r="AW895" s="32"/>
      <c r="AX895" s="32"/>
      <c r="AY895" s="32"/>
    </row>
  </sheetData>
  <conditionalFormatting sqref="A1:A1000">
    <cfRule type="expression" dxfId="15" priority="1">
      <formula>$A1="Veteran"</formula>
    </cfRule>
  </conditionalFormatting>
  <conditionalFormatting sqref="A1:A1000">
    <cfRule type="expression" dxfId="16" priority="2">
      <formula>$A1="Premier"</formula>
    </cfRule>
  </conditionalFormatting>
  <conditionalFormatting sqref="A1:A1000">
    <cfRule type="expression" dxfId="17" priority="3">
      <formula>$A1="Master"</formula>
    </cfRule>
  </conditionalFormatting>
  <conditionalFormatting sqref="A1:A1000">
    <cfRule type="expression" dxfId="18" priority="4">
      <formula>$A1="Rival"</formula>
    </cfRule>
  </conditionalFormatting>
  <conditionalFormatting sqref="A1:A1000">
    <cfRule type="expression" dxfId="19" priority="5">
      <formula>$A1="Elite"</formula>
    </cfRule>
  </conditionalFormatting>
  <conditionalFormatting sqref="A1:A1000">
    <cfRule type="expression" dxfId="20" priority="6">
      <formula>$A1="Challenger"</formula>
    </cfRule>
  </conditionalFormatting>
  <conditionalFormatting sqref="A1:A1000">
    <cfRule type="expression" dxfId="21" priority="7">
      <formula>$A1="Prospect"</formula>
    </cfRule>
  </conditionalFormatting>
  <conditionalFormatting sqref="A1:A1000">
    <cfRule type="expression" dxfId="22" priority="8">
      <formula>$A1="Contender"</formula>
    </cfRule>
  </conditionalFormatting>
  <conditionalFormatting sqref="A1:A1000">
    <cfRule type="expression" dxfId="23" priority="9">
      <formula>$A1="Amateur"</formula>
    </cfRule>
  </conditionalFormatting>
  <conditionalFormatting sqref="BI885:BI888">
    <cfRule type="notContainsBlanks" dxfId="24" priority="10">
      <formula>LEN(TRIM(BI885))&gt;0</formula>
    </cfRule>
  </conditionalFormatting>
  <conditionalFormatting sqref="AW1:AW1000">
    <cfRule type="colorScale" priority="11">
      <colorScale>
        <cfvo type="formula" val="-141.9162703"/>
        <cfvo type="formula" val="10"/>
        <cfvo type="formula" val="20"/>
        <color rgb="FFFFFFFF"/>
        <color rgb="FFFFFFFF"/>
        <color rgb="FFE67C73"/>
      </colorScale>
    </cfRule>
  </conditionalFormatting>
  <conditionalFormatting sqref="AV1:AV1000">
    <cfRule type="colorScale" priority="12">
      <colorScale>
        <cfvo type="min"/>
        <cfvo type="percentile" val="50"/>
        <cfvo type="max"/>
        <color rgb="FFE67C73"/>
        <color rgb="FFFFFFFF"/>
        <color rgb="FF57BB8A"/>
      </colorScale>
    </cfRule>
  </conditionalFormatting>
  <conditionalFormatting sqref="AX1:AX1000">
    <cfRule type="colorScale" priority="13">
      <colorScale>
        <cfvo type="min"/>
        <cfvo type="percentile" val="50"/>
        <cfvo type="max"/>
        <color rgb="FFE67C73"/>
        <color rgb="FFFFFFFF"/>
        <color rgb="FF57BB8A"/>
      </colorScale>
    </cfRule>
  </conditionalFormatting>
  <conditionalFormatting sqref="AY1:AY1000 AZ1">
    <cfRule type="colorScale" priority="14">
      <colorScale>
        <cfvo type="formula" val="-64.05199938"/>
        <cfvo type="percentile" val="50"/>
        <cfvo type="formula" val="15"/>
        <color rgb="FF57BB8A"/>
        <color rgb="FFFFFFFF"/>
        <color rgb="FFE67C73"/>
      </colorScale>
    </cfRule>
  </conditionalFormatting>
  <conditionalFormatting sqref="AY1:AY1000 AZ1">
    <cfRule type="colorScale" priority="15">
      <colorScale>
        <cfvo type="formula" val="-64.05199938"/>
        <cfvo type="percentile" val="50"/>
        <cfvo type="formula" val="15"/>
        <color rgb="FFE67C73"/>
        <color rgb="FFFFFFFF"/>
        <color rgb="FF57BB8A"/>
      </colorScale>
    </cfRule>
  </conditionalFormatting>
  <conditionalFormatting sqref="AZ2:AZ828">
    <cfRule type="colorScale" priority="16">
      <colorScale>
        <cfvo type="min"/>
        <cfvo type="max"/>
        <color rgb="FFFFFFFF"/>
        <color rgb="FFE67C73"/>
      </colorScale>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sheetData>
    <row r="1">
      <c r="A1" s="72" t="s">
        <v>127</v>
      </c>
      <c r="B1" s="73" t="s">
        <v>132</v>
      </c>
      <c r="C1" s="74" t="s">
        <v>133</v>
      </c>
      <c r="D1" s="73" t="s">
        <v>134</v>
      </c>
      <c r="E1" s="74" t="s">
        <v>12</v>
      </c>
      <c r="F1" s="74" t="s">
        <v>14</v>
      </c>
      <c r="G1" s="74" t="s">
        <v>16</v>
      </c>
      <c r="H1" s="75" t="s">
        <v>138</v>
      </c>
      <c r="I1" s="73" t="s">
        <v>139</v>
      </c>
      <c r="J1" s="73" t="s">
        <v>26</v>
      </c>
      <c r="K1" s="73" t="s">
        <v>29</v>
      </c>
      <c r="L1" s="73" t="s">
        <v>32</v>
      </c>
      <c r="M1" s="73" t="s">
        <v>35</v>
      </c>
      <c r="N1" s="73" t="s">
        <v>38</v>
      </c>
      <c r="O1" s="73" t="s">
        <v>41</v>
      </c>
      <c r="P1" s="73" t="s">
        <v>45</v>
      </c>
      <c r="Q1" s="73" t="s">
        <v>49</v>
      </c>
      <c r="R1" s="73" t="s">
        <v>53</v>
      </c>
      <c r="S1" s="73" t="s">
        <v>57</v>
      </c>
      <c r="T1" s="73" t="s">
        <v>140</v>
      </c>
      <c r="U1" s="73" t="s">
        <v>62</v>
      </c>
      <c r="V1" s="73" t="s">
        <v>65</v>
      </c>
      <c r="W1" s="73" t="s">
        <v>68</v>
      </c>
      <c r="X1" s="73" t="s">
        <v>71</v>
      </c>
      <c r="Y1" s="73" t="s">
        <v>141</v>
      </c>
      <c r="Z1" s="73" t="s">
        <v>75</v>
      </c>
      <c r="AA1" s="73" t="s">
        <v>78</v>
      </c>
      <c r="AB1" s="73" t="s">
        <v>81</v>
      </c>
      <c r="AC1" s="73" t="s">
        <v>84</v>
      </c>
      <c r="AD1" s="73" t="s">
        <v>87</v>
      </c>
      <c r="AE1" s="73" t="s">
        <v>91</v>
      </c>
      <c r="AF1" s="73" t="s">
        <v>95</v>
      </c>
      <c r="AG1" s="73" t="s">
        <v>99</v>
      </c>
      <c r="AH1" s="73" t="s">
        <v>103</v>
      </c>
      <c r="AI1" s="73" t="s">
        <v>107</v>
      </c>
      <c r="AJ1" s="73" t="s">
        <v>111</v>
      </c>
      <c r="AK1" s="73" t="s">
        <v>115</v>
      </c>
      <c r="AL1" s="73" t="s">
        <v>119</v>
      </c>
      <c r="AM1" s="73" t="s">
        <v>123</v>
      </c>
      <c r="AN1" s="73" t="s">
        <v>143</v>
      </c>
      <c r="AO1" s="73" t="s">
        <v>144</v>
      </c>
      <c r="AP1" s="73" t="s">
        <v>145</v>
      </c>
      <c r="AQ1" s="73" t="s">
        <v>146</v>
      </c>
      <c r="AR1" s="73" t="s">
        <v>147</v>
      </c>
      <c r="AS1" s="73" t="s">
        <v>148</v>
      </c>
      <c r="AT1" s="73" t="s">
        <v>22</v>
      </c>
      <c r="AU1" s="73" t="s">
        <v>149</v>
      </c>
      <c r="AV1" s="73" t="s">
        <v>4</v>
      </c>
      <c r="AW1" s="76" t="s">
        <v>135</v>
      </c>
      <c r="AX1" s="77" t="s">
        <v>136</v>
      </c>
      <c r="AY1" s="77" t="s">
        <v>137</v>
      </c>
      <c r="AZ1" s="77" t="s">
        <v>142</v>
      </c>
      <c r="BA1" s="77" t="s">
        <v>150</v>
      </c>
      <c r="BB1" s="77" t="s">
        <v>151</v>
      </c>
    </row>
    <row r="2">
      <c r="A2" s="78" t="str">
        <f>IFERROR(__xludf.DUMMYFUNCTION("query(IMPORTRANGE(Constants!$B2, ""'Player Stats'!A2:AV""), ""Select * where Col3 &lt;&gt; '' order by Col48 desc"")"),"Premier")</f>
        <v>Premier</v>
      </c>
      <c r="B2" s="79" t="str">
        <f>IFERROR(__xludf.DUMMYFUNCTION("""COMPUTED_VALUE"""),"RSC004216")</f>
        <v>RSC004216</v>
      </c>
      <c r="C2" s="80" t="str">
        <f>IFERROR(__xludf.DUMMYFUNCTION("""COMPUTED_VALUE"""),"GrEh")</f>
        <v>GrEh</v>
      </c>
      <c r="D2" s="80" t="str">
        <f>IFERROR(__xludf.DUMMYFUNCTION("""COMPUTED_VALUE"""),"Long Beards")</f>
        <v>Long Beards</v>
      </c>
      <c r="E2" s="80">
        <f>IFERROR(__xludf.DUMMYFUNCTION("""COMPUTED_VALUE"""),36.0)</f>
        <v>36</v>
      </c>
      <c r="F2" s="80">
        <f>IFERROR(__xludf.DUMMYFUNCTION("""COMPUTED_VALUE"""),24.0)</f>
        <v>24</v>
      </c>
      <c r="G2" s="80">
        <f>IFERROR(__xludf.DUMMYFUNCTION("""COMPUTED_VALUE"""),12.0)</f>
        <v>12</v>
      </c>
      <c r="H2" s="81">
        <f>IFERROR(__xludf.DUMMYFUNCTION("""COMPUTED_VALUE"""),0.6666666666666666)</f>
        <v>0.6666666667</v>
      </c>
      <c r="I2" s="81">
        <f>IFERROR(__xludf.DUMMYFUNCTION("""COMPUTED_VALUE"""),0.33076923076923076)</f>
        <v>0.3307692308</v>
      </c>
      <c r="J2" s="80">
        <f>IFERROR(__xludf.DUMMYFUNCTION("""COMPUTED_VALUE"""),399.9166666666667)</f>
        <v>399.9166667</v>
      </c>
      <c r="K2" s="80">
        <f>IFERROR(__xludf.DUMMYFUNCTION("""COMPUTED_VALUE"""),1.1944444444444444)</f>
        <v>1.194444444</v>
      </c>
      <c r="L2" s="80">
        <f>IFERROR(__xludf.DUMMYFUNCTION("""COMPUTED_VALUE"""),0.9722222222222222)</f>
        <v>0.9722222222</v>
      </c>
      <c r="M2" s="80">
        <f>IFERROR(__xludf.DUMMYFUNCTION("""COMPUTED_VALUE"""),0.9722222222222222)</f>
        <v>0.9722222222</v>
      </c>
      <c r="N2" s="80">
        <f>IFERROR(__xludf.DUMMYFUNCTION("""COMPUTED_VALUE"""),3.611111111111111)</f>
        <v>3.611111111</v>
      </c>
      <c r="O2" s="80">
        <f>IFERROR(__xludf.DUMMYFUNCTION("""COMPUTED_VALUE"""),382.2314814814814)</f>
        <v>382.2314815</v>
      </c>
      <c r="P2" s="80">
        <f>IFERROR(__xludf.DUMMYFUNCTION("""COMPUTED_VALUE"""),0.7129629629629629)</f>
        <v>0.712962963</v>
      </c>
      <c r="Q2" s="80">
        <f>IFERROR(__xludf.DUMMYFUNCTION("""COMPUTED_VALUE"""),0.5277777777777776)</f>
        <v>0.5277777778</v>
      </c>
      <c r="R2" s="80">
        <f>IFERROR(__xludf.DUMMYFUNCTION("""COMPUTED_VALUE"""),1.8888888888888888)</f>
        <v>1.888888889</v>
      </c>
      <c r="S2" s="80">
        <f>IFERROR(__xludf.DUMMYFUNCTION("""COMPUTED_VALUE"""),2.407407407407407)</f>
        <v>2.407407407</v>
      </c>
      <c r="T2" s="80">
        <f>IFERROR(__xludf.DUMMYFUNCTION("""COMPUTED_VALUE"""),370.01895017664566)</f>
        <v>370.0189502</v>
      </c>
      <c r="U2" s="80">
        <f>IFERROR(__xludf.DUMMYFUNCTION("""COMPUTED_VALUE"""),0.779393888180521)</f>
        <v>0.7793938882</v>
      </c>
      <c r="V2" s="80">
        <f>IFERROR(__xludf.DUMMYFUNCTION("""COMPUTED_VALUE"""),0.5934895865288902)</f>
        <v>0.5934895865</v>
      </c>
      <c r="W2" s="80">
        <f>IFERROR(__xludf.DUMMYFUNCTION("""COMPUTED_VALUE"""),1.5223464120149595)</f>
        <v>1.522346412</v>
      </c>
      <c r="X2" s="80">
        <f>IFERROR(__xludf.DUMMYFUNCTION("""COMPUTED_VALUE"""),2.6667100263044285)</f>
        <v>2.666710026</v>
      </c>
      <c r="Y2" s="80">
        <f>IFERROR(__xludf.DUMMYFUNCTION("""COMPUTED_VALUE"""),382.53383702047114)</f>
        <v>382.533837</v>
      </c>
      <c r="Z2" s="80">
        <f>IFERROR(__xludf.DUMMYFUNCTION("""COMPUTED_VALUE"""),0.8780200513321835)</f>
        <v>0.8780200513</v>
      </c>
      <c r="AA2" s="80">
        <f>IFERROR(__xludf.DUMMYFUNCTION("""COMPUTED_VALUE"""),0.6960303120982895)</f>
        <v>0.6960303121</v>
      </c>
      <c r="AB2" s="80">
        <f>IFERROR(__xludf.DUMMYFUNCTION("""COMPUTED_VALUE"""),1.4268370701747664)</f>
        <v>1.42683707</v>
      </c>
      <c r="AC2" s="80">
        <f>IFERROR(__xludf.DUMMYFUNCTION("""COMPUTED_VALUE"""),2.8134877733118993)</f>
        <v>2.813487773</v>
      </c>
      <c r="AD2" s="80">
        <f>IFERROR(__xludf.DUMMYFUNCTION("""COMPUTED_VALUE"""),1.0454412864011957)</f>
        <v>1.045441286</v>
      </c>
      <c r="AE2" s="80">
        <f>IFERROR(__xludf.DUMMYFUNCTION("""COMPUTED_VALUE"""),1.3603840170075425)</f>
        <v>1.360384017</v>
      </c>
      <c r="AF2" s="80">
        <f>IFERROR(__xludf.DUMMYFUNCTION("""COMPUTED_VALUE"""),1.3968101752512907)</f>
        <v>1.396810175</v>
      </c>
      <c r="AG2" s="80">
        <f>IFERROR(__xludf.DUMMYFUNCTION("""COMPUTED_VALUE"""),0.681382788928479)</f>
        <v>0.6813827889</v>
      </c>
      <c r="AH2" s="80">
        <f>IFERROR(__xludf.DUMMYFUNCTION("""COMPUTED_VALUE"""),1.283499841501102)</f>
        <v>1.283499842</v>
      </c>
      <c r="AI2" s="80">
        <f>IFERROR(__xludf.DUMMYFUNCTION("""COMPUTED_VALUE"""),1.0330051509497162)</f>
        <v>1.033005151</v>
      </c>
      <c r="AJ2" s="80">
        <f>IFERROR(__xludf.DUMMYFUNCTION("""COMPUTED_VALUE"""),0.9147659146100828)</f>
        <v>0.9147659146</v>
      </c>
      <c r="AK2" s="80">
        <f>IFERROR(__xludf.DUMMYFUNCTION("""COMPUTED_VALUE"""),0.88927891871627)</f>
        <v>0.8892789187</v>
      </c>
      <c r="AL2" s="80">
        <f>IFERROR(__xludf.DUMMYFUNCTION("""COMPUTED_VALUE"""),1.2407746843826288)</f>
        <v>1.240774684</v>
      </c>
      <c r="AM2" s="80">
        <f>IFERROR(__xludf.DUMMYFUNCTION("""COMPUTED_VALUE"""),0.902763098972419)</f>
        <v>0.902763099</v>
      </c>
      <c r="AN2" s="80">
        <f>IFERROR(__xludf.DUMMYFUNCTION("""COMPUTED_VALUE"""),1.0858062629597787)</f>
        <v>1.085806263</v>
      </c>
      <c r="AO2" s="80">
        <f>IFERROR(__xludf.DUMMYFUNCTION("""COMPUTED_VALUE"""),1.4909126915265403)</f>
        <v>1.490912692</v>
      </c>
      <c r="AP2" s="80">
        <f>IFERROR(__xludf.DUMMYFUNCTION("""COMPUTED_VALUE"""),1.5987669022151827)</f>
        <v>1.598766902</v>
      </c>
      <c r="AQ2" s="80">
        <f>IFERROR(__xludf.DUMMYFUNCTION("""COMPUTED_VALUE"""),0.658040743532007)</f>
        <v>0.6580407435</v>
      </c>
      <c r="AR2" s="80">
        <f>IFERROR(__xludf.DUMMYFUNCTION("""COMPUTED_VALUE"""),1.3604232539406462)</f>
        <v>1.360423254</v>
      </c>
      <c r="AS2" s="80">
        <f>IFERROR(__xludf.DUMMYFUNCTION("""COMPUTED_VALUE"""),117.0)</f>
        <v>117</v>
      </c>
      <c r="AT2" s="80">
        <f>IFERROR(__xludf.DUMMYFUNCTION("""COMPUTED_VALUE"""),0.6633861855324868)</f>
        <v>0.6633861855</v>
      </c>
      <c r="AU2" s="80">
        <f>IFERROR(__xludf.DUMMYFUNCTION("""COMPUTED_VALUE"""),4.1142451832689275)</f>
        <v>4.114245183</v>
      </c>
      <c r="AV2" s="80">
        <f>IFERROR(__xludf.DUMMYFUNCTION("""COMPUTED_VALUE"""),94.98862403153811)</f>
        <v>94.98862403</v>
      </c>
      <c r="AW2" s="82">
        <f t="shared" ref="AW2:AW4492" si="1">IFERROR(IF(AV2="",,ABS(((AV2-50)/25))/((AV2-50)/25)*2/(1-ERF(ABS(((AV2-50)/25))/SQRT(2)))))</f>
        <v>27.80383676</v>
      </c>
      <c r="AX2" s="83">
        <f t="array" ref="AX2">IFERROR(DGET('SBV Import'!A:G,"SBV",{"RSC ID","Tier";B2,A2}))</f>
        <v>66.69891776</v>
      </c>
      <c r="AY2" s="82">
        <f t="shared" ref="AY2:AY4492" si="2">IFERROR(IF(AX2="",,ABS(((AX2-50)/25))/((AX2-50)/25)*2/(1-ERF(ABS(((AX2-50)/25))/SQRT(2)))))</f>
        <v>3.966984959</v>
      </c>
      <c r="AZ2" s="82">
        <f t="array" ref="AZ2:AZ4492">IF(C2:C4492="",,ABS(AW2:AW4492-AY2:AY4492))</f>
        <v>23.8368518</v>
      </c>
      <c r="BA2" s="84">
        <f t="array" ref="BA2:BA4492">if(A2:A4492="","",MATCH(A2:A4492,A:A,0))</f>
        <v>2</v>
      </c>
      <c r="BB2" s="84" t="b">
        <f>IFERROR(__xludf.DUMMYFUNCTION("iferror(if(A2="""",,E2&gt;=FILTER(Constants!$F$2:$F$10,Constants!$A$2:$A$10=A2)))"),TRUE)</f>
        <v>1</v>
      </c>
    </row>
    <row r="3">
      <c r="A3" s="80" t="str">
        <f>IFERROR(__xludf.DUMMYFUNCTION("""COMPUTED_VALUE"""),"Premier")</f>
        <v>Premier</v>
      </c>
      <c r="B3" s="79" t="str">
        <f>IFERROR(__xludf.DUMMYFUNCTION("""COMPUTED_VALUE"""),"RSC007982")</f>
        <v>RSC007982</v>
      </c>
      <c r="C3" s="80" t="str">
        <f>IFERROR(__xludf.DUMMYFUNCTION("""COMPUTED_VALUE"""),"Cadomac")</f>
        <v>Cadomac</v>
      </c>
      <c r="D3" s="80" t="str">
        <f>IFERROR(__xludf.DUMMYFUNCTION("""COMPUTED_VALUE"""),"Hurricanes")</f>
        <v>Hurricanes</v>
      </c>
      <c r="E3" s="80">
        <f>IFERROR(__xludf.DUMMYFUNCTION("""COMPUTED_VALUE"""),31.0)</f>
        <v>31</v>
      </c>
      <c r="F3" s="80">
        <f>IFERROR(__xludf.DUMMYFUNCTION("""COMPUTED_VALUE"""),19.0)</f>
        <v>19</v>
      </c>
      <c r="G3" s="80">
        <f>IFERROR(__xludf.DUMMYFUNCTION("""COMPUTED_VALUE"""),12.0)</f>
        <v>12</v>
      </c>
      <c r="H3" s="81">
        <f>IFERROR(__xludf.DUMMYFUNCTION("""COMPUTED_VALUE"""),0.6129032258064516)</f>
        <v>0.6129032258</v>
      </c>
      <c r="I3" s="81">
        <f>IFERROR(__xludf.DUMMYFUNCTION("""COMPUTED_VALUE"""),0.26495726495726496)</f>
        <v>0.264957265</v>
      </c>
      <c r="J3" s="80">
        <f>IFERROR(__xludf.DUMMYFUNCTION("""COMPUTED_VALUE"""),462.2258064516129)</f>
        <v>462.2258065</v>
      </c>
      <c r="K3" s="80">
        <f>IFERROR(__xludf.DUMMYFUNCTION("""COMPUTED_VALUE"""),1.0)</f>
        <v>1</v>
      </c>
      <c r="L3" s="80">
        <f>IFERROR(__xludf.DUMMYFUNCTION("""COMPUTED_VALUE"""),0.9354838709677419)</f>
        <v>0.935483871</v>
      </c>
      <c r="M3" s="80">
        <f>IFERROR(__xludf.DUMMYFUNCTION("""COMPUTED_VALUE"""),1.6451612903225807)</f>
        <v>1.64516129</v>
      </c>
      <c r="N3" s="80">
        <f>IFERROR(__xludf.DUMMYFUNCTION("""COMPUTED_VALUE"""),3.774193548387097)</f>
        <v>3.774193548</v>
      </c>
      <c r="O3" s="80">
        <f>IFERROR(__xludf.DUMMYFUNCTION("""COMPUTED_VALUE"""),386.9032258064516)</f>
        <v>386.9032258</v>
      </c>
      <c r="P3" s="80">
        <f>IFERROR(__xludf.DUMMYFUNCTION("""COMPUTED_VALUE"""),0.6881720430107525)</f>
        <v>0.688172043</v>
      </c>
      <c r="Q3" s="80">
        <f>IFERROR(__xludf.DUMMYFUNCTION("""COMPUTED_VALUE"""),0.5376344086021505)</f>
        <v>0.5376344086</v>
      </c>
      <c r="R3" s="80">
        <f>IFERROR(__xludf.DUMMYFUNCTION("""COMPUTED_VALUE"""),1.8602150537634408)</f>
        <v>1.860215054</v>
      </c>
      <c r="S3" s="80">
        <f>IFERROR(__xludf.DUMMYFUNCTION("""COMPUTED_VALUE"""),2.6236559139784945)</f>
        <v>2.623655914</v>
      </c>
      <c r="T3" s="80">
        <f>IFERROR(__xludf.DUMMYFUNCTION("""COMPUTED_VALUE"""),374.96665069111987)</f>
        <v>374.9666507</v>
      </c>
      <c r="U3" s="80">
        <f>IFERROR(__xludf.DUMMYFUNCTION("""COMPUTED_VALUE"""),0.8528681699732722)</f>
        <v>0.85286817</v>
      </c>
      <c r="V3" s="80">
        <f>IFERROR(__xludf.DUMMYFUNCTION("""COMPUTED_VALUE"""),0.6298439461166467)</f>
        <v>0.6298439461</v>
      </c>
      <c r="W3" s="80">
        <f>IFERROR(__xludf.DUMMYFUNCTION("""COMPUTED_VALUE"""),1.4626437645521873)</f>
        <v>1.462643765</v>
      </c>
      <c r="X3" s="80">
        <f>IFERROR(__xludf.DUMMYFUNCTION("""COMPUTED_VALUE"""),2.6643529723249784)</f>
        <v>2.664352972</v>
      </c>
      <c r="Y3" s="80">
        <f>IFERROR(__xludf.DUMMYFUNCTION("""COMPUTED_VALUE"""),377.8469868118932)</f>
        <v>377.8469868</v>
      </c>
      <c r="Z3" s="80">
        <f>IFERROR(__xludf.DUMMYFUNCTION("""COMPUTED_VALUE"""),0.8632378814330715)</f>
        <v>0.8632378814</v>
      </c>
      <c r="AA3" s="80">
        <f>IFERROR(__xludf.DUMMYFUNCTION("""COMPUTED_VALUE"""),0.6699881294030299)</f>
        <v>0.6699881294</v>
      </c>
      <c r="AB3" s="80">
        <f>IFERROR(__xludf.DUMMYFUNCTION("""COMPUTED_VALUE"""),1.430109412295505)</f>
        <v>1.430109412</v>
      </c>
      <c r="AC3" s="80">
        <f>IFERROR(__xludf.DUMMYFUNCTION("""COMPUTED_VALUE"""),2.8016798122899926)</f>
        <v>2.801679812</v>
      </c>
      <c r="AD3" s="80">
        <f>IFERROR(__xludf.DUMMYFUNCTION("""COMPUTED_VALUE"""),1.2233147876913644)</f>
        <v>1.223314788</v>
      </c>
      <c r="AE3" s="80">
        <f>IFERROR(__xludf.DUMMYFUNCTION("""COMPUTED_VALUE"""),1.15842923660844)</f>
        <v>1.158429237</v>
      </c>
      <c r="AF3" s="80">
        <f>IFERROR(__xludf.DUMMYFUNCTION("""COMPUTED_VALUE"""),1.3962693216688375)</f>
        <v>1.396269322</v>
      </c>
      <c r="AG3" s="80">
        <f>IFERROR(__xludf.DUMMYFUNCTION("""COMPUTED_VALUE"""),1.1503744232281434)</f>
        <v>1.150374423</v>
      </c>
      <c r="AH3" s="80">
        <f>IFERROR(__xludf.DUMMYFUNCTION("""COMPUTED_VALUE"""),1.3471180867389005)</f>
        <v>1.347118087</v>
      </c>
      <c r="AI3" s="80">
        <f>IFERROR(__xludf.DUMMYFUNCTION("""COMPUTED_VALUE"""),1.0318336979924236)</f>
        <v>1.031833698</v>
      </c>
      <c r="AJ3" s="80">
        <f>IFERROR(__xludf.DUMMYFUNCTION("""COMPUTED_VALUE"""),0.80689146017997)</f>
        <v>0.8068914602</v>
      </c>
      <c r="AK3" s="80">
        <f>IFERROR(__xludf.DUMMYFUNCTION("""COMPUTED_VALUE"""),0.8535993906379167)</f>
        <v>0.8535993906</v>
      </c>
      <c r="AL3" s="80">
        <f>IFERROR(__xludf.DUMMYFUNCTION("""COMPUTED_VALUE"""),1.2718168968046546)</f>
        <v>1.271816897</v>
      </c>
      <c r="AM3" s="80">
        <f>IFERROR(__xludf.DUMMYFUNCTION("""COMPUTED_VALUE"""),0.9847253502935946)</f>
        <v>0.9847253503</v>
      </c>
      <c r="AN3" s="80">
        <f>IFERROR(__xludf.DUMMYFUNCTION("""COMPUTED_VALUE"""),1.2549806431676493)</f>
        <v>1.254980643</v>
      </c>
      <c r="AO3" s="80">
        <f>IFERROR(__xludf.DUMMYFUNCTION("""COMPUTED_VALUE"""),1.2482059743012897)</f>
        <v>1.248205974</v>
      </c>
      <c r="AP3" s="80">
        <f>IFERROR(__xludf.DUMMYFUNCTION("""COMPUTED_VALUE"""),1.5383526690439175)</f>
        <v>1.538352669</v>
      </c>
      <c r="AQ3" s="80">
        <f>IFERROR(__xludf.DUMMYFUNCTION("""COMPUTED_VALUE"""),1.1135141061057743)</f>
        <v>1.113514106</v>
      </c>
      <c r="AR3" s="80">
        <f>IFERROR(__xludf.DUMMYFUNCTION("""COMPUTED_VALUE"""),1.4218617234734496)</f>
        <v>1.421861723</v>
      </c>
      <c r="AS3" s="80">
        <f>IFERROR(__xludf.DUMMYFUNCTION("""COMPUTED_VALUE"""),87.0)</f>
        <v>87</v>
      </c>
      <c r="AT3" s="80">
        <f>IFERROR(__xludf.DUMMYFUNCTION("""COMPUTED_VALUE"""),0.618606291138452)</f>
        <v>0.6186062911</v>
      </c>
      <c r="AU3" s="80">
        <f>IFERROR(__xludf.DUMMYFUNCTION("""COMPUTED_VALUE"""),4.111480377804052)</f>
        <v>4.111480378</v>
      </c>
      <c r="AV3" s="80">
        <f>IFERROR(__xludf.DUMMYFUNCTION("""COMPUTED_VALUE"""),94.91088548865778)</f>
        <v>94.91088549</v>
      </c>
      <c r="AW3" s="82">
        <f t="shared" si="1"/>
        <v>27.61466144</v>
      </c>
      <c r="AX3" s="83">
        <f t="array" ref="AX3">IFERROR(DGET('SBV Import'!A:G,"SBV",{"RSC ID","Tier";B3,A3}))</f>
        <v>72.94521285</v>
      </c>
      <c r="AY3" s="82">
        <f t="shared" si="2"/>
        <v>5.57539274</v>
      </c>
      <c r="AZ3" s="82">
        <v>22.039268698022155</v>
      </c>
      <c r="BA3" s="84">
        <v>2.0</v>
      </c>
      <c r="BB3" s="84" t="b">
        <f>IFERROR(__xludf.DUMMYFUNCTION("iferror(if(A3="""",,E3&gt;=FILTER(Constants!$F$2:$F$10,Constants!$A$2:$A$10=A3)))"),TRUE)</f>
        <v>1</v>
      </c>
    </row>
    <row r="4">
      <c r="A4" s="80" t="str">
        <f>IFERROR(__xludf.DUMMYFUNCTION("""COMPUTED_VALUE"""),"Premier")</f>
        <v>Premier</v>
      </c>
      <c r="B4" s="79" t="str">
        <f>IFERROR(__xludf.DUMMYFUNCTION("""COMPUTED_VALUE"""),"RSC005157")</f>
        <v>RSC005157</v>
      </c>
      <c r="C4" s="80" t="str">
        <f>IFERROR(__xludf.DUMMYFUNCTION("""COMPUTED_VALUE"""),"ScuLa")</f>
        <v>ScuLa</v>
      </c>
      <c r="D4" s="80" t="str">
        <f>IFERROR(__xludf.DUMMYFUNCTION("""COMPUTED_VALUE"""),"Excavators")</f>
        <v>Excavators</v>
      </c>
      <c r="E4" s="80">
        <f>IFERROR(__xludf.DUMMYFUNCTION("""COMPUTED_VALUE"""),34.0)</f>
        <v>34</v>
      </c>
      <c r="F4" s="80">
        <f>IFERROR(__xludf.DUMMYFUNCTION("""COMPUTED_VALUE"""),25.0)</f>
        <v>25</v>
      </c>
      <c r="G4" s="80">
        <f>IFERROR(__xludf.DUMMYFUNCTION("""COMPUTED_VALUE"""),9.0)</f>
        <v>9</v>
      </c>
      <c r="H4" s="81">
        <f>IFERROR(__xludf.DUMMYFUNCTION("""COMPUTED_VALUE"""),0.7352941176470589)</f>
        <v>0.7352941176</v>
      </c>
      <c r="I4" s="81">
        <f>IFERROR(__xludf.DUMMYFUNCTION("""COMPUTED_VALUE"""),0.36792452830188677)</f>
        <v>0.3679245283</v>
      </c>
      <c r="J4" s="80">
        <f>IFERROR(__xludf.DUMMYFUNCTION("""COMPUTED_VALUE"""),456.52941176470586)</f>
        <v>456.5294118</v>
      </c>
      <c r="K4" s="80">
        <f>IFERROR(__xludf.DUMMYFUNCTION("""COMPUTED_VALUE"""),1.1470588235294117)</f>
        <v>1.147058824</v>
      </c>
      <c r="L4" s="80">
        <f>IFERROR(__xludf.DUMMYFUNCTION("""COMPUTED_VALUE"""),0.8823529411764706)</f>
        <v>0.8823529412</v>
      </c>
      <c r="M4" s="80">
        <f>IFERROR(__xludf.DUMMYFUNCTION("""COMPUTED_VALUE"""),1.5588235294117647)</f>
        <v>1.558823529</v>
      </c>
      <c r="N4" s="80">
        <f>IFERROR(__xludf.DUMMYFUNCTION("""COMPUTED_VALUE"""),3.1176470588235294)</f>
        <v>3.117647059</v>
      </c>
      <c r="O4" s="80">
        <f>IFERROR(__xludf.DUMMYFUNCTION("""COMPUTED_VALUE"""),344.3529411764705)</f>
        <v>344.3529412</v>
      </c>
      <c r="P4" s="80">
        <f>IFERROR(__xludf.DUMMYFUNCTION("""COMPUTED_VALUE"""),0.6470588235294119)</f>
        <v>0.6470588235</v>
      </c>
      <c r="Q4" s="80">
        <f>IFERROR(__xludf.DUMMYFUNCTION("""COMPUTED_VALUE"""),0.4411764705882353)</f>
        <v>0.4411764706</v>
      </c>
      <c r="R4" s="80">
        <f>IFERROR(__xludf.DUMMYFUNCTION("""COMPUTED_VALUE"""),1.588235294117647)</f>
        <v>1.588235294</v>
      </c>
      <c r="S4" s="80">
        <f>IFERROR(__xludf.DUMMYFUNCTION("""COMPUTED_VALUE"""),2.3235294117647065)</f>
        <v>2.323529412</v>
      </c>
      <c r="T4" s="80">
        <f>IFERROR(__xludf.DUMMYFUNCTION("""COMPUTED_VALUE"""),375.6762129019212)</f>
        <v>375.6762129</v>
      </c>
      <c r="U4" s="80">
        <f>IFERROR(__xludf.DUMMYFUNCTION("""COMPUTED_VALUE"""),0.8074839606845319)</f>
        <v>0.8074839607</v>
      </c>
      <c r="V4" s="80">
        <f>IFERROR(__xludf.DUMMYFUNCTION("""COMPUTED_VALUE"""),0.6175631220352301)</f>
        <v>0.617563122</v>
      </c>
      <c r="W4" s="80">
        <f>IFERROR(__xludf.DUMMYFUNCTION("""COMPUTED_VALUE"""),1.5179917749381493)</f>
        <v>1.517991775</v>
      </c>
      <c r="X4" s="80">
        <f>IFERROR(__xludf.DUMMYFUNCTION("""COMPUTED_VALUE"""),2.736094894621674)</f>
        <v>2.736094895</v>
      </c>
      <c r="Y4" s="80">
        <f>IFERROR(__xludf.DUMMYFUNCTION("""COMPUTED_VALUE"""),384.19002910675175)</f>
        <v>384.1900291</v>
      </c>
      <c r="Z4" s="80">
        <f>IFERROR(__xludf.DUMMYFUNCTION("""COMPUTED_VALUE"""),0.8846196911685399)</f>
        <v>0.8846196912</v>
      </c>
      <c r="AA4" s="80">
        <f>IFERROR(__xludf.DUMMYFUNCTION("""COMPUTED_VALUE"""),0.6920906060786814)</f>
        <v>0.6920906061</v>
      </c>
      <c r="AB4" s="80">
        <f>IFERROR(__xludf.DUMMYFUNCTION("""COMPUTED_VALUE"""),1.4308141689871674)</f>
        <v>1.430814169</v>
      </c>
      <c r="AC4" s="80">
        <f>IFERROR(__xludf.DUMMYFUNCTION("""COMPUTED_VALUE"""),2.8375003046407983)</f>
        <v>2.837500305</v>
      </c>
      <c r="AD4" s="80">
        <f>IFERROR(__xludf.DUMMYFUNCTION("""COMPUTED_VALUE"""),1.1882906300981948)</f>
        <v>1.18829063</v>
      </c>
      <c r="AE4" s="80">
        <f>IFERROR(__xludf.DUMMYFUNCTION("""COMPUTED_VALUE"""),1.296668879271953)</f>
        <v>1.296668879</v>
      </c>
      <c r="AF4" s="80">
        <f>IFERROR(__xludf.DUMMYFUNCTION("""COMPUTED_VALUE"""),1.2749095760391795)</f>
        <v>1.274909576</v>
      </c>
      <c r="AG4" s="80">
        <f>IFERROR(__xludf.DUMMYFUNCTION("""COMPUTED_VALUE"""),1.0894660978338029)</f>
        <v>1.089466098</v>
      </c>
      <c r="AH4" s="80">
        <f>IFERROR(__xludf.DUMMYFUNCTION("""COMPUTED_VALUE"""),1.098730123032778)</f>
        <v>1.098730123</v>
      </c>
      <c r="AI4" s="80">
        <f>IFERROR(__xludf.DUMMYFUNCTION("""COMPUTED_VALUE"""),0.9166216261511656)</f>
        <v>0.9166216262</v>
      </c>
      <c r="AJ4" s="80">
        <f>IFERROR(__xludf.DUMMYFUNCTION("""COMPUTED_VALUE"""),0.8013271532735807)</f>
        <v>0.8013271533</v>
      </c>
      <c r="AK4" s="80">
        <f>IFERROR(__xludf.DUMMYFUNCTION("""COMPUTED_VALUE"""),0.7143827972342356)</f>
        <v>0.7143827972</v>
      </c>
      <c r="AL4" s="80">
        <f>IFERROR(__xludf.DUMMYFUNCTION("""COMPUTED_VALUE"""),1.0462739787785476)</f>
        <v>1.046273979</v>
      </c>
      <c r="AM4" s="80">
        <f>IFERROR(__xludf.DUMMYFUNCTION("""COMPUTED_VALUE"""),0.8492137521736014)</f>
        <v>0.8492137522</v>
      </c>
      <c r="AN4" s="80">
        <f>IFERROR(__xludf.DUMMYFUNCTION("""COMPUTED_VALUE"""),1.2395144684795862)</f>
        <v>1.239514468</v>
      </c>
      <c r="AO4" s="80">
        <f>IFERROR(__xludf.DUMMYFUNCTION("""COMPUTED_VALUE"""),1.4317656764044202)</f>
        <v>1.431765676</v>
      </c>
      <c r="AP4" s="80">
        <f>IFERROR(__xludf.DUMMYFUNCTION("""COMPUTED_VALUE"""),1.4509817263801659)</f>
        <v>1.450981726</v>
      </c>
      <c r="AQ4" s="80">
        <f>IFERROR(__xludf.DUMMYFUNCTION("""COMPUTED_VALUE"""),1.0550770913101424)</f>
        <v>1.055077091</v>
      </c>
      <c r="AR4" s="80">
        <f>IFERROR(__xludf.DUMMYFUNCTION("""COMPUTED_VALUE"""),1.1745192617731912)</f>
        <v>1.174519262</v>
      </c>
      <c r="AS4" s="80">
        <f>IFERROR(__xludf.DUMMYFUNCTION("""COMPUTED_VALUE"""),104.0)</f>
        <v>104</v>
      </c>
      <c r="AT4" s="80">
        <f>IFERROR(__xludf.DUMMYFUNCTION("""COMPUTED_VALUE"""),0.6729838821753815)</f>
        <v>0.6729838822</v>
      </c>
      <c r="AU4" s="80">
        <f>IFERROR(__xludf.DUMMYFUNCTION("""COMPUTED_VALUE"""),4.0008569903146665)</f>
        <v>4.00085699</v>
      </c>
      <c r="AV4" s="80">
        <f>IFERROR(__xludf.DUMMYFUNCTION("""COMPUTED_VALUE"""),91.80046739191887)</f>
        <v>91.80046739</v>
      </c>
      <c r="AW4" s="82">
        <f t="shared" si="1"/>
        <v>21.15940069</v>
      </c>
      <c r="AX4" s="83">
        <f t="array" ref="AX4">IFERROR(DGET('SBV Import'!A:G,"SBV",{"RSC ID","Tier";B4,A4}))</f>
        <v>82.42728677</v>
      </c>
      <c r="AY4" s="82">
        <f t="shared" si="2"/>
        <v>10.27750729</v>
      </c>
      <c r="AZ4" s="82">
        <v>10.881893391574733</v>
      </c>
      <c r="BA4" s="84">
        <v>2.0</v>
      </c>
      <c r="BB4" s="84" t="b">
        <f>IFERROR(__xludf.DUMMYFUNCTION("iferror(if(A4="""",,E4&gt;=FILTER(Constants!$F$2:$F$10,Constants!$A$2:$A$10=A4)))"),TRUE)</f>
        <v>1</v>
      </c>
    </row>
    <row r="5">
      <c r="A5" s="80" t="str">
        <f>IFERROR(__xludf.DUMMYFUNCTION("""COMPUTED_VALUE"""),"Premier")</f>
        <v>Premier</v>
      </c>
      <c r="B5" s="79" t="str">
        <f>IFERROR(__xludf.DUMMYFUNCTION("""COMPUTED_VALUE"""),"RSC004459")</f>
        <v>RSC004459</v>
      </c>
      <c r="C5" s="80" t="str">
        <f>IFERROR(__xludf.DUMMYFUNCTION("""COMPUTED_VALUE"""),"phoenix")</f>
        <v>phoenix</v>
      </c>
      <c r="D5" s="80" t="str">
        <f>IFERROR(__xludf.DUMMYFUNCTION("""COMPUTED_VALUE"""),"Long Beards")</f>
        <v>Long Beards</v>
      </c>
      <c r="E5" s="80">
        <f>IFERROR(__xludf.DUMMYFUNCTION("""COMPUTED_VALUE"""),36.0)</f>
        <v>36</v>
      </c>
      <c r="F5" s="80">
        <f>IFERROR(__xludf.DUMMYFUNCTION("""COMPUTED_VALUE"""),24.0)</f>
        <v>24</v>
      </c>
      <c r="G5" s="80">
        <f>IFERROR(__xludf.DUMMYFUNCTION("""COMPUTED_VALUE"""),12.0)</f>
        <v>12</v>
      </c>
      <c r="H5" s="81">
        <f>IFERROR(__xludf.DUMMYFUNCTION("""COMPUTED_VALUE"""),0.6666666666666666)</f>
        <v>0.6666666667</v>
      </c>
      <c r="I5" s="81">
        <f>IFERROR(__xludf.DUMMYFUNCTION("""COMPUTED_VALUE"""),0.3053435114503817)</f>
        <v>0.3053435115</v>
      </c>
      <c r="J5" s="80">
        <f>IFERROR(__xludf.DUMMYFUNCTION("""COMPUTED_VALUE"""),434.19444444444446)</f>
        <v>434.1944444</v>
      </c>
      <c r="K5" s="80">
        <f>IFERROR(__xludf.DUMMYFUNCTION("""COMPUTED_VALUE"""),1.1111111111111112)</f>
        <v>1.111111111</v>
      </c>
      <c r="L5" s="80">
        <f>IFERROR(__xludf.DUMMYFUNCTION("""COMPUTED_VALUE"""),0.8888888888888888)</f>
        <v>0.8888888889</v>
      </c>
      <c r="M5" s="80">
        <f>IFERROR(__xludf.DUMMYFUNCTION("""COMPUTED_VALUE"""),1.8055555555555556)</f>
        <v>1.805555556</v>
      </c>
      <c r="N5" s="80">
        <f>IFERROR(__xludf.DUMMYFUNCTION("""COMPUTED_VALUE"""),3.638888888888889)</f>
        <v>3.638888889</v>
      </c>
      <c r="O5" s="80">
        <f>IFERROR(__xludf.DUMMYFUNCTION("""COMPUTED_VALUE"""),382.2314814814814)</f>
        <v>382.2314815</v>
      </c>
      <c r="P5" s="80">
        <f>IFERROR(__xludf.DUMMYFUNCTION("""COMPUTED_VALUE"""),0.7129629629629629)</f>
        <v>0.712962963</v>
      </c>
      <c r="Q5" s="80">
        <f>IFERROR(__xludf.DUMMYFUNCTION("""COMPUTED_VALUE"""),0.5277777777777776)</f>
        <v>0.5277777778</v>
      </c>
      <c r="R5" s="80">
        <f>IFERROR(__xludf.DUMMYFUNCTION("""COMPUTED_VALUE"""),1.8888888888888888)</f>
        <v>1.888888889</v>
      </c>
      <c r="S5" s="80">
        <f>IFERROR(__xludf.DUMMYFUNCTION("""COMPUTED_VALUE"""),2.407407407407407)</f>
        <v>2.407407407</v>
      </c>
      <c r="T5" s="80">
        <f>IFERROR(__xludf.DUMMYFUNCTION("""COMPUTED_VALUE"""),370.01895017664566)</f>
        <v>370.0189502</v>
      </c>
      <c r="U5" s="80">
        <f>IFERROR(__xludf.DUMMYFUNCTION("""COMPUTED_VALUE"""),0.779393888180521)</f>
        <v>0.7793938882</v>
      </c>
      <c r="V5" s="80">
        <f>IFERROR(__xludf.DUMMYFUNCTION("""COMPUTED_VALUE"""),0.5934895865288902)</f>
        <v>0.5934895865</v>
      </c>
      <c r="W5" s="80">
        <f>IFERROR(__xludf.DUMMYFUNCTION("""COMPUTED_VALUE"""),1.5223464120149595)</f>
        <v>1.522346412</v>
      </c>
      <c r="X5" s="80">
        <f>IFERROR(__xludf.DUMMYFUNCTION("""COMPUTED_VALUE"""),2.6667100263044285)</f>
        <v>2.666710026</v>
      </c>
      <c r="Y5" s="80">
        <f>IFERROR(__xludf.DUMMYFUNCTION("""COMPUTED_VALUE"""),382.53383702047114)</f>
        <v>382.533837</v>
      </c>
      <c r="Z5" s="80">
        <f>IFERROR(__xludf.DUMMYFUNCTION("""COMPUTED_VALUE"""),0.8780200513321835)</f>
        <v>0.8780200513</v>
      </c>
      <c r="AA5" s="80">
        <f>IFERROR(__xludf.DUMMYFUNCTION("""COMPUTED_VALUE"""),0.6960303120982895)</f>
        <v>0.6960303121</v>
      </c>
      <c r="AB5" s="80">
        <f>IFERROR(__xludf.DUMMYFUNCTION("""COMPUTED_VALUE"""),1.4268370701747664)</f>
        <v>1.42683707</v>
      </c>
      <c r="AC5" s="80">
        <f>IFERROR(__xludf.DUMMYFUNCTION("""COMPUTED_VALUE"""),2.8134877733118993)</f>
        <v>2.813487773</v>
      </c>
      <c r="AD5" s="80">
        <f>IFERROR(__xludf.DUMMYFUNCTION("""COMPUTED_VALUE"""),1.1350484648007981)</f>
        <v>1.135048465</v>
      </c>
      <c r="AE5" s="80">
        <f>IFERROR(__xludf.DUMMYFUNCTION("""COMPUTED_VALUE"""),1.2654735041930627)</f>
        <v>1.265473504</v>
      </c>
      <c r="AF5" s="80">
        <f>IFERROR(__xludf.DUMMYFUNCTION("""COMPUTED_VALUE"""),1.27708358880118)</f>
        <v>1.277083589</v>
      </c>
      <c r="AG5" s="80">
        <f>IFERROR(__xludf.DUMMYFUNCTION("""COMPUTED_VALUE"""),1.265425179438604)</f>
        <v>1.265425179</v>
      </c>
      <c r="AH5" s="80">
        <f>IFERROR(__xludf.DUMMYFUNCTION("""COMPUTED_VALUE"""),1.2933729172049566)</f>
        <v>1.293372917</v>
      </c>
      <c r="AI5" s="80">
        <f>IFERROR(__xludf.DUMMYFUNCTION("""COMPUTED_VALUE"""),1.0330051509497162)</f>
        <v>1.033005151</v>
      </c>
      <c r="AJ5" s="80">
        <f>IFERROR(__xludf.DUMMYFUNCTION("""COMPUTED_VALUE"""),0.9147659146100828)</f>
        <v>0.9147659146</v>
      </c>
      <c r="AK5" s="80">
        <f>IFERROR(__xludf.DUMMYFUNCTION("""COMPUTED_VALUE"""),0.88927891871627)</f>
        <v>0.8892789187</v>
      </c>
      <c r="AL5" s="80">
        <f>IFERROR(__xludf.DUMMYFUNCTION("""COMPUTED_VALUE"""),1.2407746843826288)</f>
        <v>1.240774684</v>
      </c>
      <c r="AM5" s="80">
        <f>IFERROR(__xludf.DUMMYFUNCTION("""COMPUTED_VALUE"""),0.902763098972419)</f>
        <v>0.902763099</v>
      </c>
      <c r="AN5" s="80">
        <f>IFERROR(__xludf.DUMMYFUNCTION("""COMPUTED_VALUE"""),1.178873216387046)</f>
        <v>1.178873216</v>
      </c>
      <c r="AO5" s="80">
        <f>IFERROR(__xludf.DUMMYFUNCTION("""COMPUTED_VALUE"""),1.386895527001433)</f>
        <v>1.386895527</v>
      </c>
      <c r="AP5" s="80">
        <f>IFERROR(__xludf.DUMMYFUNCTION("""COMPUTED_VALUE"""),1.461729739168167)</f>
        <v>1.461729739</v>
      </c>
      <c r="AQ5" s="80">
        <f>IFERROR(__xludf.DUMMYFUNCTION("""COMPUTED_VALUE"""),1.2220756665594417)</f>
        <v>1.222075667</v>
      </c>
      <c r="AR5" s="80">
        <f>IFERROR(__xludf.DUMMYFUNCTION("""COMPUTED_VALUE"""),1.370888048201728)</f>
        <v>1.370888048</v>
      </c>
      <c r="AS5" s="80">
        <f>IFERROR(__xludf.DUMMYFUNCTION("""COMPUTED_VALUE"""),117.0)</f>
        <v>117</v>
      </c>
      <c r="AT5" s="80">
        <f>IFERROR(__xludf.DUMMYFUNCTION("""COMPUTED_VALUE"""),0.6633861855324868)</f>
        <v>0.6633861855</v>
      </c>
      <c r="AU5" s="80">
        <f>IFERROR(__xludf.DUMMYFUNCTION("""COMPUTED_VALUE"""),3.9679370667920164)</f>
        <v>3.967937067</v>
      </c>
      <c r="AV5" s="80">
        <f>IFERROR(__xludf.DUMMYFUNCTION("""COMPUTED_VALUE"""),90.87485185806138)</f>
        <v>90.87485186</v>
      </c>
      <c r="AW5" s="82">
        <f t="shared" si="1"/>
        <v>19.5981805</v>
      </c>
      <c r="AX5" s="83">
        <f t="array" ref="AX5">IFERROR(DGET('SBV Import'!A:G,"SBV",{"RSC ID","Tier";B5,A5}))</f>
        <v>68.4769479</v>
      </c>
      <c r="AY5" s="82">
        <f t="shared" si="2"/>
        <v>4.34915271</v>
      </c>
      <c r="AZ5" s="82">
        <v>15.249027786790585</v>
      </c>
      <c r="BA5" s="84">
        <v>2.0</v>
      </c>
      <c r="BB5" s="84" t="b">
        <f>IFERROR(__xludf.DUMMYFUNCTION("iferror(if(A5="""",,E5&gt;=FILTER(Constants!$F$2:$F$10,Constants!$A$2:$A$10=A5)))"),TRUE)</f>
        <v>1</v>
      </c>
    </row>
    <row r="6">
      <c r="A6" s="80" t="str">
        <f>IFERROR(__xludf.DUMMYFUNCTION("""COMPUTED_VALUE"""),"Premier")</f>
        <v>Premier</v>
      </c>
      <c r="B6" s="79" t="str">
        <f>IFERROR(__xludf.DUMMYFUNCTION("""COMPUTED_VALUE"""),"RSC000672")</f>
        <v>RSC000672</v>
      </c>
      <c r="C6" s="80" t="str">
        <f>IFERROR(__xludf.DUMMYFUNCTION("""COMPUTED_VALUE"""),"Feathers McGraw")</f>
        <v>Feathers McGraw</v>
      </c>
      <c r="D6" s="80" t="str">
        <f>IFERROR(__xludf.DUMMYFUNCTION("""COMPUTED_VALUE"""),"Hurricanes")</f>
        <v>Hurricanes</v>
      </c>
      <c r="E6" s="80">
        <f>IFERROR(__xludf.DUMMYFUNCTION("""COMPUTED_VALUE"""),12.0)</f>
        <v>12</v>
      </c>
      <c r="F6" s="80">
        <f>IFERROR(__xludf.DUMMYFUNCTION("""COMPUTED_VALUE"""),8.0)</f>
        <v>8</v>
      </c>
      <c r="G6" s="80">
        <f>IFERROR(__xludf.DUMMYFUNCTION("""COMPUTED_VALUE"""),4.0)</f>
        <v>4</v>
      </c>
      <c r="H6" s="81">
        <f>IFERROR(__xludf.DUMMYFUNCTION("""COMPUTED_VALUE"""),0.6666666666666666)</f>
        <v>0.6666666667</v>
      </c>
      <c r="I6" s="81">
        <f>IFERROR(__xludf.DUMMYFUNCTION("""COMPUTED_VALUE"""),0.19999999999999998)</f>
        <v>0.2</v>
      </c>
      <c r="J6" s="80">
        <f>IFERROR(__xludf.DUMMYFUNCTION("""COMPUTED_VALUE"""),384.8333333333333)</f>
        <v>384.8333333</v>
      </c>
      <c r="K6" s="80">
        <f>IFERROR(__xludf.DUMMYFUNCTION("""COMPUTED_VALUE"""),0.6666666666666666)</f>
        <v>0.6666666667</v>
      </c>
      <c r="L6" s="80">
        <f>IFERROR(__xludf.DUMMYFUNCTION("""COMPUTED_VALUE"""),1.0833333333333333)</f>
        <v>1.083333333</v>
      </c>
      <c r="M6" s="80">
        <f>IFERROR(__xludf.DUMMYFUNCTION("""COMPUTED_VALUE"""),1.25)</f>
        <v>1.25</v>
      </c>
      <c r="N6" s="80">
        <f>IFERROR(__xludf.DUMMYFUNCTION("""COMPUTED_VALUE"""),3.3333333333333335)</f>
        <v>3.333333333</v>
      </c>
      <c r="O6" s="80">
        <f>IFERROR(__xludf.DUMMYFUNCTION("""COMPUTED_VALUE"""),399.8055555555555)</f>
        <v>399.8055556</v>
      </c>
      <c r="P6" s="80">
        <f>IFERROR(__xludf.DUMMYFUNCTION("""COMPUTED_VALUE"""),0.777777777777778)</f>
        <v>0.7777777778</v>
      </c>
      <c r="Q6" s="80">
        <f>IFERROR(__xludf.DUMMYFUNCTION("""COMPUTED_VALUE"""),0.5833333333333333)</f>
        <v>0.5833333333</v>
      </c>
      <c r="R6" s="80">
        <f>IFERROR(__xludf.DUMMYFUNCTION("""COMPUTED_VALUE"""),1.861111111111111)</f>
        <v>1.861111111</v>
      </c>
      <c r="S6" s="80">
        <f>IFERROR(__xludf.DUMMYFUNCTION("""COMPUTED_VALUE"""),2.555555555555556)</f>
        <v>2.555555556</v>
      </c>
      <c r="T6" s="80">
        <f>IFERROR(__xludf.DUMMYFUNCTION("""COMPUTED_VALUE"""),370.8164239028945)</f>
        <v>370.8164239</v>
      </c>
      <c r="U6" s="80">
        <f>IFERROR(__xludf.DUMMYFUNCTION("""COMPUTED_VALUE"""),0.8766865079365079)</f>
        <v>0.8766865079</v>
      </c>
      <c r="V6" s="80">
        <f>IFERROR(__xludf.DUMMYFUNCTION("""COMPUTED_VALUE"""),0.6711356209150326)</f>
        <v>0.6711356209</v>
      </c>
      <c r="W6" s="80">
        <f>IFERROR(__xludf.DUMMYFUNCTION("""COMPUTED_VALUE"""),1.300765639589169)</f>
        <v>1.30076564</v>
      </c>
      <c r="X6" s="80">
        <f>IFERROR(__xludf.DUMMYFUNCTION("""COMPUTED_VALUE"""),2.7046650326797383)</f>
        <v>2.704665033</v>
      </c>
      <c r="Y6" s="80">
        <f>IFERROR(__xludf.DUMMYFUNCTION("""COMPUTED_VALUE"""),372.98463546529723)</f>
        <v>372.9846355</v>
      </c>
      <c r="Z6" s="80">
        <f>IFERROR(__xludf.DUMMYFUNCTION("""COMPUTED_VALUE"""),0.8651104886399003)</f>
        <v>0.8651104886</v>
      </c>
      <c r="AA6" s="80">
        <f>IFERROR(__xludf.DUMMYFUNCTION("""COMPUTED_VALUE"""),0.6582314036725803)</f>
        <v>0.6582314037</v>
      </c>
      <c r="AB6" s="80">
        <f>IFERROR(__xludf.DUMMYFUNCTION("""COMPUTED_VALUE"""),1.3800190631808278)</f>
        <v>1.380019063</v>
      </c>
      <c r="AC6" s="80">
        <f>IFERROR(__xludf.DUMMYFUNCTION("""COMPUTED_VALUE"""),2.643903283535636)</f>
        <v>2.643903284</v>
      </c>
      <c r="AD6" s="80">
        <f>IFERROR(__xludf.DUMMYFUNCTION("""COMPUTED_VALUE"""),1.0317672545767331)</f>
        <v>1.031767255</v>
      </c>
      <c r="AE6" s="80">
        <f>IFERROR(__xludf.DUMMYFUNCTION("""COMPUTED_VALUE"""),0.7706144769031517)</f>
        <v>0.7706144769</v>
      </c>
      <c r="AF6" s="80">
        <f>IFERROR(__xludf.DUMMYFUNCTION("""COMPUTED_VALUE"""),1.6458244430285625)</f>
        <v>1.645824443</v>
      </c>
      <c r="AG6" s="80">
        <f>IFERROR(__xludf.DUMMYFUNCTION("""COMPUTED_VALUE"""),0.9057845890323103)</f>
        <v>0.905784589</v>
      </c>
      <c r="AH6" s="80">
        <f>IFERROR(__xludf.DUMMYFUNCTION("""COMPUTED_VALUE"""),1.2607622049153542)</f>
        <v>1.260762205</v>
      </c>
      <c r="AI6" s="80">
        <f>IFERROR(__xludf.DUMMYFUNCTION("""COMPUTED_VALUE"""),1.078176504016587)</f>
        <v>1.078176504</v>
      </c>
      <c r="AJ6" s="80">
        <f>IFERROR(__xludf.DUMMYFUNCTION("""COMPUTED_VALUE"""),0.8871789068688472)</f>
        <v>0.8871789069</v>
      </c>
      <c r="AK6" s="80">
        <f>IFERROR(__xludf.DUMMYFUNCTION("""COMPUTED_VALUE"""),0.869173554725066)</f>
        <v>0.8691735547</v>
      </c>
      <c r="AL6" s="80">
        <f>IFERROR(__xludf.DUMMYFUNCTION("""COMPUTED_VALUE"""),1.4307812679453313)</f>
        <v>1.430781268</v>
      </c>
      <c r="AM6" s="80">
        <f>IFERROR(__xludf.DUMMYFUNCTION("""COMPUTED_VALUE"""),0.9448695216144946)</f>
        <v>0.9448695216</v>
      </c>
      <c r="AN6" s="80">
        <f>IFERROR(__xludf.DUMMYFUNCTION("""COMPUTED_VALUE"""),1.0448537866947816)</f>
        <v>1.044853787</v>
      </c>
      <c r="AO6" s="80">
        <f>IFERROR(__xludf.DUMMYFUNCTION("""COMPUTED_VALUE"""),0.8321373162008596)</f>
        <v>0.8321373162</v>
      </c>
      <c r="AP6" s="80">
        <f>IFERROR(__xludf.DUMMYFUNCTION("""COMPUTED_VALUE"""),1.7814831196112035)</f>
        <v>1.78148312</v>
      </c>
      <c r="AQ6" s="80">
        <f>IFERROR(__xludf.DUMMYFUNCTION("""COMPUTED_VALUE"""),0.846052384541152)</f>
        <v>0.8460523845</v>
      </c>
      <c r="AR6" s="80">
        <f>IFERROR(__xludf.DUMMYFUNCTION("""COMPUTED_VALUE"""),1.2557753113298273)</f>
        <v>1.255775311</v>
      </c>
      <c r="AS6" s="80">
        <f>IFERROR(__xludf.DUMMYFUNCTION("""COMPUTED_VALUE"""),36.0)</f>
        <v>36</v>
      </c>
      <c r="AT6" s="80">
        <f>IFERROR(__xludf.DUMMYFUNCTION("""COMPUTED_VALUE"""),0.6002046755760305)</f>
        <v>0.6002046756</v>
      </c>
      <c r="AU6" s="80">
        <f>IFERROR(__xludf.DUMMYFUNCTION("""COMPUTED_VALUE"""),3.6551643586013505)</f>
        <v>3.655164359</v>
      </c>
      <c r="AV6" s="80">
        <f>IFERROR(__xludf.DUMMYFUNCTION("""COMPUTED_VALUE"""),82.08056419609991)</f>
        <v>82.0805642</v>
      </c>
      <c r="AW6" s="82">
        <f t="shared" si="1"/>
        <v>10.02938049</v>
      </c>
      <c r="AX6" s="83">
        <f t="array" ref="AX6">IFERROR(DGET('SBV Import'!A:G,"SBV",{"RSC ID","Tier";B6,A6}))</f>
        <v>54.64413503</v>
      </c>
      <c r="AY6" s="82">
        <f t="shared" si="2"/>
        <v>2.345686828</v>
      </c>
      <c r="AZ6" s="82">
        <v>7.683693660350721</v>
      </c>
      <c r="BA6" s="84">
        <v>2.0</v>
      </c>
      <c r="BB6" s="84" t="b">
        <f>IFERROR(__xludf.DUMMYFUNCTION("iferror(if(A6="""",,E6&gt;=FILTER(Constants!$F$2:$F$10,Constants!$A$2:$A$10=A6)))"),TRUE)</f>
        <v>1</v>
      </c>
    </row>
    <row r="7">
      <c r="A7" s="80" t="str">
        <f>IFERROR(__xludf.DUMMYFUNCTION("""COMPUTED_VALUE"""),"Premier")</f>
        <v>Premier</v>
      </c>
      <c r="B7" s="79" t="str">
        <f>IFERROR(__xludf.DUMMYFUNCTION("""COMPUTED_VALUE"""),"RSC002062")</f>
        <v>RSC002062</v>
      </c>
      <c r="C7" s="80" t="str">
        <f>IFERROR(__xludf.DUMMYFUNCTION("""COMPUTED_VALUE"""),"Gromit")</f>
        <v>Gromit</v>
      </c>
      <c r="D7" s="80" t="str">
        <f>IFERROR(__xludf.DUMMYFUNCTION("""COMPUTED_VALUE"""),"Excavators")</f>
        <v>Excavators</v>
      </c>
      <c r="E7" s="80">
        <f>IFERROR(__xludf.DUMMYFUNCTION("""COMPUTED_VALUE"""),34.0)</f>
        <v>34</v>
      </c>
      <c r="F7" s="80">
        <f>IFERROR(__xludf.DUMMYFUNCTION("""COMPUTED_VALUE"""),25.0)</f>
        <v>25</v>
      </c>
      <c r="G7" s="80">
        <f>IFERROR(__xludf.DUMMYFUNCTION("""COMPUTED_VALUE"""),9.0)</f>
        <v>9</v>
      </c>
      <c r="H7" s="81">
        <f>IFERROR(__xludf.DUMMYFUNCTION("""COMPUTED_VALUE"""),0.7352941176470589)</f>
        <v>0.7352941176</v>
      </c>
      <c r="I7" s="81">
        <f>IFERROR(__xludf.DUMMYFUNCTION("""COMPUTED_VALUE"""),0.2931034482758621)</f>
        <v>0.2931034483</v>
      </c>
      <c r="J7" s="80">
        <f>IFERROR(__xludf.DUMMYFUNCTION("""COMPUTED_VALUE"""),367.29411764705884)</f>
        <v>367.2941176</v>
      </c>
      <c r="K7" s="80">
        <f>IFERROR(__xludf.DUMMYFUNCTION("""COMPUTED_VALUE"""),1.0)</f>
        <v>1</v>
      </c>
      <c r="L7" s="80">
        <f>IFERROR(__xludf.DUMMYFUNCTION("""COMPUTED_VALUE"""),0.7941176470588235)</f>
        <v>0.7941176471</v>
      </c>
      <c r="M7" s="80">
        <f>IFERROR(__xludf.DUMMYFUNCTION("""COMPUTED_VALUE"""),0.8529411764705882)</f>
        <v>0.8529411765</v>
      </c>
      <c r="N7" s="80">
        <f>IFERROR(__xludf.DUMMYFUNCTION("""COMPUTED_VALUE"""),3.411764705882353)</f>
        <v>3.411764706</v>
      </c>
      <c r="O7" s="80">
        <f>IFERROR(__xludf.DUMMYFUNCTION("""COMPUTED_VALUE"""),344.3529411764705)</f>
        <v>344.3529412</v>
      </c>
      <c r="P7" s="80">
        <f>IFERROR(__xludf.DUMMYFUNCTION("""COMPUTED_VALUE"""),0.6470588235294119)</f>
        <v>0.6470588235</v>
      </c>
      <c r="Q7" s="80">
        <f>IFERROR(__xludf.DUMMYFUNCTION("""COMPUTED_VALUE"""),0.4411764705882353)</f>
        <v>0.4411764706</v>
      </c>
      <c r="R7" s="80">
        <f>IFERROR(__xludf.DUMMYFUNCTION("""COMPUTED_VALUE"""),1.588235294117647)</f>
        <v>1.588235294</v>
      </c>
      <c r="S7" s="80">
        <f>IFERROR(__xludf.DUMMYFUNCTION("""COMPUTED_VALUE"""),2.3235294117647065)</f>
        <v>2.323529412</v>
      </c>
      <c r="T7" s="80">
        <f>IFERROR(__xludf.DUMMYFUNCTION("""COMPUTED_VALUE"""),375.6762129019212)</f>
        <v>375.6762129</v>
      </c>
      <c r="U7" s="80">
        <f>IFERROR(__xludf.DUMMYFUNCTION("""COMPUTED_VALUE"""),0.8074839606845319)</f>
        <v>0.8074839607</v>
      </c>
      <c r="V7" s="80">
        <f>IFERROR(__xludf.DUMMYFUNCTION("""COMPUTED_VALUE"""),0.6175631220352301)</f>
        <v>0.617563122</v>
      </c>
      <c r="W7" s="80">
        <f>IFERROR(__xludf.DUMMYFUNCTION("""COMPUTED_VALUE"""),1.5179917749381493)</f>
        <v>1.517991775</v>
      </c>
      <c r="X7" s="80">
        <f>IFERROR(__xludf.DUMMYFUNCTION("""COMPUTED_VALUE"""),2.736094894621674)</f>
        <v>2.736094895</v>
      </c>
      <c r="Y7" s="80">
        <f>IFERROR(__xludf.DUMMYFUNCTION("""COMPUTED_VALUE"""),384.19002910675175)</f>
        <v>384.1900291</v>
      </c>
      <c r="Z7" s="80">
        <f>IFERROR(__xludf.DUMMYFUNCTION("""COMPUTED_VALUE"""),0.8846196911685399)</f>
        <v>0.8846196912</v>
      </c>
      <c r="AA7" s="80">
        <f>IFERROR(__xludf.DUMMYFUNCTION("""COMPUTED_VALUE"""),0.6920906060786814)</f>
        <v>0.6920906061</v>
      </c>
      <c r="AB7" s="80">
        <f>IFERROR(__xludf.DUMMYFUNCTION("""COMPUTED_VALUE"""),1.4308141689871674)</f>
        <v>1.430814169</v>
      </c>
      <c r="AC7" s="80">
        <f>IFERROR(__xludf.DUMMYFUNCTION("""COMPUTED_VALUE"""),2.8375003046407983)</f>
        <v>2.837500305</v>
      </c>
      <c r="AD7" s="80">
        <f>IFERROR(__xludf.DUMMYFUNCTION("""COMPUTED_VALUE"""),0.9560219938581536)</f>
        <v>0.9560219939</v>
      </c>
      <c r="AE7" s="80">
        <f>IFERROR(__xludf.DUMMYFUNCTION("""COMPUTED_VALUE"""),1.1304292793652924)</f>
        <v>1.130429279</v>
      </c>
      <c r="AF7" s="80">
        <f>IFERROR(__xludf.DUMMYFUNCTION("""COMPUTED_VALUE"""),1.1474186184352615)</f>
        <v>1.147418618</v>
      </c>
      <c r="AG7" s="80">
        <f>IFERROR(__xludf.DUMMYFUNCTION("""COMPUTED_VALUE"""),0.5961229591920808)</f>
        <v>0.5961229592</v>
      </c>
      <c r="AH7" s="80">
        <f>IFERROR(__xludf.DUMMYFUNCTION("""COMPUTED_VALUE"""),1.2023839082245495)</f>
        <v>1.202383908</v>
      </c>
      <c r="AI7" s="80">
        <f>IFERROR(__xludf.DUMMYFUNCTION("""COMPUTED_VALUE"""),0.9166216261511656)</f>
        <v>0.9166216262</v>
      </c>
      <c r="AJ7" s="80">
        <f>IFERROR(__xludf.DUMMYFUNCTION("""COMPUTED_VALUE"""),0.8013271532735807)</f>
        <v>0.8013271533</v>
      </c>
      <c r="AK7" s="80">
        <f>IFERROR(__xludf.DUMMYFUNCTION("""COMPUTED_VALUE"""),0.7143827972342356)</f>
        <v>0.7143827972</v>
      </c>
      <c r="AL7" s="80">
        <f>IFERROR(__xludf.DUMMYFUNCTION("""COMPUTED_VALUE"""),1.0462739787785476)</f>
        <v>1.046273979</v>
      </c>
      <c r="AM7" s="80">
        <f>IFERROR(__xludf.DUMMYFUNCTION("""COMPUTED_VALUE"""),0.8492137521736014)</f>
        <v>0.8492137522</v>
      </c>
      <c r="AN7" s="80">
        <f>IFERROR(__xludf.DUMMYFUNCTION("""COMPUTED_VALUE"""),0.9972333901799431)</f>
        <v>0.9972333902</v>
      </c>
      <c r="AO7" s="80">
        <f>IFERROR(__xludf.DUMMYFUNCTION("""COMPUTED_VALUE"""),1.2482059743012897)</f>
        <v>1.248205974</v>
      </c>
      <c r="AP7" s="80">
        <f>IFERROR(__xludf.DUMMYFUNCTION("""COMPUTED_VALUE"""),1.3058835537421492)</f>
        <v>1.305883554</v>
      </c>
      <c r="AQ7" s="80">
        <f>IFERROR(__xludf.DUMMYFUNCTION("""COMPUTED_VALUE"""),0.5773063329810213)</f>
        <v>0.577306333</v>
      </c>
      <c r="AR7" s="80">
        <f>IFERROR(__xludf.DUMMYFUNCTION("""COMPUTED_VALUE"""),1.2853229657140584)</f>
        <v>1.285322966</v>
      </c>
      <c r="AS7" s="80">
        <f>IFERROR(__xludf.DUMMYFUNCTION("""COMPUTED_VALUE"""),104.0)</f>
        <v>104</v>
      </c>
      <c r="AT7" s="80">
        <f>IFERROR(__xludf.DUMMYFUNCTION("""COMPUTED_VALUE"""),0.6729838821753815)</f>
        <v>0.6729838822</v>
      </c>
      <c r="AU7" s="80">
        <f>IFERROR(__xludf.DUMMYFUNCTION("""COMPUTED_VALUE"""),3.5851017600171122)</f>
        <v>3.58510176</v>
      </c>
      <c r="AV7" s="80">
        <f>IFERROR(__xludf.DUMMYFUNCTION("""COMPUTED_VALUE"""),80.11060124805805)</f>
        <v>80.11060125</v>
      </c>
      <c r="AW7" s="82">
        <f t="shared" si="1"/>
        <v>8.75558142</v>
      </c>
      <c r="AX7" s="83">
        <f t="array" ref="AX7">IFERROR(DGET('SBV Import'!A:G,"SBV",{"RSC ID","Tier";B7,A7}))</f>
        <v>65.50039517</v>
      </c>
      <c r="AY7" s="82">
        <f t="shared" si="2"/>
        <v>3.736589983</v>
      </c>
      <c r="AZ7" s="82">
        <v>5.018991437377956</v>
      </c>
      <c r="BA7" s="84">
        <v>2.0</v>
      </c>
      <c r="BB7" s="84" t="b">
        <f>IFERROR(__xludf.DUMMYFUNCTION("iferror(if(A7="""",,E7&gt;=FILTER(Constants!$F$2:$F$10,Constants!$A$2:$A$10=A7)))"),TRUE)</f>
        <v>1</v>
      </c>
    </row>
    <row r="8">
      <c r="A8" s="80" t="str">
        <f>IFERROR(__xludf.DUMMYFUNCTION("""COMPUTED_VALUE"""),"Premier")</f>
        <v>Premier</v>
      </c>
      <c r="B8" s="79" t="str">
        <f>IFERROR(__xludf.DUMMYFUNCTION("""COMPUTED_VALUE"""),"RSC004923")</f>
        <v>RSC004923</v>
      </c>
      <c r="C8" s="80" t="str">
        <f>IFERROR(__xludf.DUMMYFUNCTION("""COMPUTED_VALUE"""),"Monster.")</f>
        <v>Monster.</v>
      </c>
      <c r="D8" s="80" t="str">
        <f>IFERROR(__xludf.DUMMYFUNCTION("""COMPUTED_VALUE"""),"Long Beards")</f>
        <v>Long Beards</v>
      </c>
      <c r="E8" s="80">
        <f>IFERROR(__xludf.DUMMYFUNCTION("""COMPUTED_VALUE"""),36.0)</f>
        <v>36</v>
      </c>
      <c r="F8" s="80">
        <f>IFERROR(__xludf.DUMMYFUNCTION("""COMPUTED_VALUE"""),24.0)</f>
        <v>24</v>
      </c>
      <c r="G8" s="80">
        <f>IFERROR(__xludf.DUMMYFUNCTION("""COMPUTED_VALUE"""),12.0)</f>
        <v>12</v>
      </c>
      <c r="H8" s="81">
        <f>IFERROR(__xludf.DUMMYFUNCTION("""COMPUTED_VALUE"""),0.6666666666666666)</f>
        <v>0.6666666667</v>
      </c>
      <c r="I8" s="81">
        <f>IFERROR(__xludf.DUMMYFUNCTION("""COMPUTED_VALUE"""),0.2809917355371901)</f>
        <v>0.2809917355</v>
      </c>
      <c r="J8" s="80">
        <f>IFERROR(__xludf.DUMMYFUNCTION("""COMPUTED_VALUE"""),393.0833333333333)</f>
        <v>393.0833333</v>
      </c>
      <c r="K8" s="80">
        <f>IFERROR(__xludf.DUMMYFUNCTION("""COMPUTED_VALUE"""),0.9444444444444444)</f>
        <v>0.9444444444</v>
      </c>
      <c r="L8" s="80">
        <f>IFERROR(__xludf.DUMMYFUNCTION("""COMPUTED_VALUE"""),0.8888888888888888)</f>
        <v>0.8888888889</v>
      </c>
      <c r="M8" s="80">
        <f>IFERROR(__xludf.DUMMYFUNCTION("""COMPUTED_VALUE"""),1.2777777777777777)</f>
        <v>1.277777778</v>
      </c>
      <c r="N8" s="80">
        <f>IFERROR(__xludf.DUMMYFUNCTION("""COMPUTED_VALUE"""),3.361111111111111)</f>
        <v>3.361111111</v>
      </c>
      <c r="O8" s="80">
        <f>IFERROR(__xludf.DUMMYFUNCTION("""COMPUTED_VALUE"""),382.2314814814814)</f>
        <v>382.2314815</v>
      </c>
      <c r="P8" s="80">
        <f>IFERROR(__xludf.DUMMYFUNCTION("""COMPUTED_VALUE"""),0.7129629629629629)</f>
        <v>0.712962963</v>
      </c>
      <c r="Q8" s="80">
        <f>IFERROR(__xludf.DUMMYFUNCTION("""COMPUTED_VALUE"""),0.5277777777777776)</f>
        <v>0.5277777778</v>
      </c>
      <c r="R8" s="80">
        <f>IFERROR(__xludf.DUMMYFUNCTION("""COMPUTED_VALUE"""),1.8888888888888888)</f>
        <v>1.888888889</v>
      </c>
      <c r="S8" s="80">
        <f>IFERROR(__xludf.DUMMYFUNCTION("""COMPUTED_VALUE"""),2.407407407407407)</f>
        <v>2.407407407</v>
      </c>
      <c r="T8" s="80">
        <f>IFERROR(__xludf.DUMMYFUNCTION("""COMPUTED_VALUE"""),370.01895017664566)</f>
        <v>370.0189502</v>
      </c>
      <c r="U8" s="80">
        <f>IFERROR(__xludf.DUMMYFUNCTION("""COMPUTED_VALUE"""),0.779393888180521)</f>
        <v>0.7793938882</v>
      </c>
      <c r="V8" s="80">
        <f>IFERROR(__xludf.DUMMYFUNCTION("""COMPUTED_VALUE"""),0.5934895865288902)</f>
        <v>0.5934895865</v>
      </c>
      <c r="W8" s="80">
        <f>IFERROR(__xludf.DUMMYFUNCTION("""COMPUTED_VALUE"""),1.5223464120149595)</f>
        <v>1.522346412</v>
      </c>
      <c r="X8" s="80">
        <f>IFERROR(__xludf.DUMMYFUNCTION("""COMPUTED_VALUE"""),2.6667100263044285)</f>
        <v>2.666710026</v>
      </c>
      <c r="Y8" s="80">
        <f>IFERROR(__xludf.DUMMYFUNCTION("""COMPUTED_VALUE"""),382.53383702047114)</f>
        <v>382.533837</v>
      </c>
      <c r="Z8" s="80">
        <f>IFERROR(__xludf.DUMMYFUNCTION("""COMPUTED_VALUE"""),0.8780200513321835)</f>
        <v>0.8780200513</v>
      </c>
      <c r="AA8" s="80">
        <f>IFERROR(__xludf.DUMMYFUNCTION("""COMPUTED_VALUE"""),0.6960303120982895)</f>
        <v>0.6960303121</v>
      </c>
      <c r="AB8" s="80">
        <f>IFERROR(__xludf.DUMMYFUNCTION("""COMPUTED_VALUE"""),1.4268370701747664)</f>
        <v>1.42683707</v>
      </c>
      <c r="AC8" s="80">
        <f>IFERROR(__xludf.DUMMYFUNCTION("""COMPUTED_VALUE"""),2.8134877733118993)</f>
        <v>2.813487773</v>
      </c>
      <c r="AD8" s="80">
        <f>IFERROR(__xludf.DUMMYFUNCTION("""COMPUTED_VALUE"""),1.027577942895278)</f>
        <v>1.027577943</v>
      </c>
      <c r="AE8" s="80">
        <f>IFERROR(__xludf.DUMMYFUNCTION("""COMPUTED_VALUE"""),1.0756524785641033)</f>
        <v>1.075652479</v>
      </c>
      <c r="AF8" s="80">
        <f>IFERROR(__xludf.DUMMYFUNCTION("""COMPUTED_VALUE"""),1.27708358880118)</f>
        <v>1.277083589</v>
      </c>
      <c r="AG8" s="80">
        <f>IFERROR(__xludf.DUMMYFUNCTION("""COMPUTED_VALUE"""),0.8955316654488581)</f>
        <v>0.8955316654</v>
      </c>
      <c r="AH8" s="80">
        <f>IFERROR(__xludf.DUMMYFUNCTION("""COMPUTED_VALUE"""),1.1946421601664103)</f>
        <v>1.19464216</v>
      </c>
      <c r="AI8" s="80">
        <f>IFERROR(__xludf.DUMMYFUNCTION("""COMPUTED_VALUE"""),1.0330051509497162)</f>
        <v>1.033005151</v>
      </c>
      <c r="AJ8" s="80">
        <f>IFERROR(__xludf.DUMMYFUNCTION("""COMPUTED_VALUE"""),0.9147659146100828)</f>
        <v>0.9147659146</v>
      </c>
      <c r="AK8" s="80">
        <f>IFERROR(__xludf.DUMMYFUNCTION("""COMPUTED_VALUE"""),0.88927891871627)</f>
        <v>0.8892789187</v>
      </c>
      <c r="AL8" s="80">
        <f>IFERROR(__xludf.DUMMYFUNCTION("""COMPUTED_VALUE"""),1.2407746843826288)</f>
        <v>1.240774684</v>
      </c>
      <c r="AM8" s="80">
        <f>IFERROR(__xludf.DUMMYFUNCTION("""COMPUTED_VALUE"""),0.902763098972419)</f>
        <v>0.902763099</v>
      </c>
      <c r="AN8" s="80">
        <f>IFERROR(__xludf.DUMMYFUNCTION("""COMPUTED_VALUE"""),1.0672532074143104)</f>
        <v>1.067253207</v>
      </c>
      <c r="AO8" s="80">
        <f>IFERROR(__xludf.DUMMYFUNCTION("""COMPUTED_VALUE"""),1.1788611979512178)</f>
        <v>1.178861198</v>
      </c>
      <c r="AP8" s="80">
        <f>IFERROR(__xludf.DUMMYFUNCTION("""COMPUTED_VALUE"""),1.461729739168167)</f>
        <v>1.461729739</v>
      </c>
      <c r="AQ8" s="80">
        <f>IFERROR(__xludf.DUMMYFUNCTION("""COMPUTED_VALUE"""),0.8648535486420663)</f>
        <v>0.8648535486</v>
      </c>
      <c r="AR8" s="80">
        <f>IFERROR(__xludf.DUMMYFUNCTION("""COMPUTED_VALUE"""),1.2662401055909092)</f>
        <v>1.266240106</v>
      </c>
      <c r="AS8" s="80">
        <f>IFERROR(__xludf.DUMMYFUNCTION("""COMPUTED_VALUE"""),117.0)</f>
        <v>117</v>
      </c>
      <c r="AT8" s="80">
        <f>IFERROR(__xludf.DUMMYFUNCTION("""COMPUTED_VALUE"""),0.6633861855324868)</f>
        <v>0.6633861855</v>
      </c>
      <c r="AU8" s="80">
        <f>IFERROR(__xludf.DUMMYFUNCTION("""COMPUTED_VALUE"""),3.5725105392308087)</f>
        <v>3.572510539</v>
      </c>
      <c r="AV8" s="80">
        <f>IFERROR(__xludf.DUMMYFUNCTION("""COMPUTED_VALUE"""),79.75657158143342)</f>
        <v>79.75657158</v>
      </c>
      <c r="AW8" s="82">
        <f t="shared" si="1"/>
        <v>8.54908765</v>
      </c>
      <c r="AX8" s="83">
        <f t="array" ref="AX8">IFERROR(DGET('SBV Import'!A:G,"SBV",{"RSC ID","Tier";B8,A8}))</f>
        <v>57.4435654</v>
      </c>
      <c r="AY8" s="82">
        <f t="shared" si="2"/>
        <v>2.611308273</v>
      </c>
      <c r="AZ8" s="82">
        <v>5.937779376927383</v>
      </c>
      <c r="BA8" s="84">
        <v>2.0</v>
      </c>
      <c r="BB8" s="84" t="b">
        <f>IFERROR(__xludf.DUMMYFUNCTION("iferror(if(A8="""",,E8&gt;=FILTER(Constants!$F$2:$F$10,Constants!$A$2:$A$10=A8)))"),TRUE)</f>
        <v>1</v>
      </c>
    </row>
    <row r="9">
      <c r="A9" s="80" t="str">
        <f>IFERROR(__xludf.DUMMYFUNCTION("""COMPUTED_VALUE"""),"Premier")</f>
        <v>Premier</v>
      </c>
      <c r="B9" s="79" t="str">
        <f>IFERROR(__xludf.DUMMYFUNCTION("""COMPUTED_VALUE"""),"RSC007896")</f>
        <v>RSC007896</v>
      </c>
      <c r="C9" s="80" t="str">
        <f>IFERROR(__xludf.DUMMYFUNCTION("""COMPUTED_VALUE"""),"Notice")</f>
        <v>Notice</v>
      </c>
      <c r="D9" s="80" t="str">
        <f>IFERROR(__xludf.DUMMYFUNCTION("""COMPUTED_VALUE"""),"Hurricanes")</f>
        <v>Hurricanes</v>
      </c>
      <c r="E9" s="80">
        <f>IFERROR(__xludf.DUMMYFUNCTION("""COMPUTED_VALUE"""),31.0)</f>
        <v>31</v>
      </c>
      <c r="F9" s="80">
        <f>IFERROR(__xludf.DUMMYFUNCTION("""COMPUTED_VALUE"""),20.0)</f>
        <v>20</v>
      </c>
      <c r="G9" s="80">
        <f>IFERROR(__xludf.DUMMYFUNCTION("""COMPUTED_VALUE"""),11.0)</f>
        <v>11</v>
      </c>
      <c r="H9" s="81">
        <f>IFERROR(__xludf.DUMMYFUNCTION("""COMPUTED_VALUE"""),0.6451612903225806)</f>
        <v>0.6451612903</v>
      </c>
      <c r="I9" s="81">
        <f>IFERROR(__xludf.DUMMYFUNCTION("""COMPUTED_VALUE"""),0.3018867924528302)</f>
        <v>0.3018867925</v>
      </c>
      <c r="J9" s="80">
        <f>IFERROR(__xludf.DUMMYFUNCTION("""COMPUTED_VALUE"""),418.9032258064516)</f>
        <v>418.9032258</v>
      </c>
      <c r="K9" s="80">
        <f>IFERROR(__xludf.DUMMYFUNCTION("""COMPUTED_VALUE"""),1.032258064516129)</f>
        <v>1.032258065</v>
      </c>
      <c r="L9" s="80">
        <f>IFERROR(__xludf.DUMMYFUNCTION("""COMPUTED_VALUE"""),0.7096774193548387)</f>
        <v>0.7096774194</v>
      </c>
      <c r="M9" s="80">
        <f>IFERROR(__xludf.DUMMYFUNCTION("""COMPUTED_VALUE"""),1.5483870967741935)</f>
        <v>1.548387097</v>
      </c>
      <c r="N9" s="80">
        <f>IFERROR(__xludf.DUMMYFUNCTION("""COMPUTED_VALUE"""),3.4193548387096775)</f>
        <v>3.419354839</v>
      </c>
      <c r="O9" s="80">
        <f>IFERROR(__xludf.DUMMYFUNCTION("""COMPUTED_VALUE"""),376.2580645161291)</f>
        <v>376.2580645</v>
      </c>
      <c r="P9" s="80">
        <f>IFERROR(__xludf.DUMMYFUNCTION("""COMPUTED_VALUE"""),0.6666666666666664)</f>
        <v>0.6666666667</v>
      </c>
      <c r="Q9" s="80">
        <f>IFERROR(__xludf.DUMMYFUNCTION("""COMPUTED_VALUE"""),0.5268817204301075)</f>
        <v>0.5268817204</v>
      </c>
      <c r="R9" s="80">
        <f>IFERROR(__xludf.DUMMYFUNCTION("""COMPUTED_VALUE"""),1.7096774193548387)</f>
        <v>1.709677419</v>
      </c>
      <c r="S9" s="80">
        <f>IFERROR(__xludf.DUMMYFUNCTION("""COMPUTED_VALUE"""),2.7419354838709684)</f>
        <v>2.741935484</v>
      </c>
      <c r="T9" s="80">
        <f>IFERROR(__xludf.DUMMYFUNCTION("""COMPUTED_VALUE"""),377.86159512050455)</f>
        <v>377.8615951</v>
      </c>
      <c r="U9" s="80">
        <f>IFERROR(__xludf.DUMMYFUNCTION("""COMPUTED_VALUE"""),0.866193822815054)</f>
        <v>0.8661938228</v>
      </c>
      <c r="V9" s="80">
        <f>IFERROR(__xludf.DUMMYFUNCTION("""COMPUTED_VALUE"""),0.6453833876997314)</f>
        <v>0.6453833877</v>
      </c>
      <c r="W9" s="80">
        <f>IFERROR(__xludf.DUMMYFUNCTION("""COMPUTED_VALUE"""),1.4638003562211128)</f>
        <v>1.463800356</v>
      </c>
      <c r="X9" s="80">
        <f>IFERROR(__xludf.DUMMYFUNCTION("""COMPUTED_VALUE"""),2.665344659322357)</f>
        <v>2.665344659</v>
      </c>
      <c r="Y9" s="80">
        <f>IFERROR(__xludf.DUMMYFUNCTION("""COMPUTED_VALUE"""),374.86885287014445)</f>
        <v>374.8688529</v>
      </c>
      <c r="Z9" s="80">
        <f>IFERROR(__xludf.DUMMYFUNCTION("""COMPUTED_VALUE"""),0.8544685672557877)</f>
        <v>0.8544685673</v>
      </c>
      <c r="AA9" s="80">
        <f>IFERROR(__xludf.DUMMYFUNCTION("""COMPUTED_VALUE"""),0.6625139569383452)</f>
        <v>0.6625139569</v>
      </c>
      <c r="AB9" s="80">
        <f>IFERROR(__xludf.DUMMYFUNCTION("""COMPUTED_VALUE"""),1.405815716322492)</f>
        <v>1.405815716</v>
      </c>
      <c r="AC9" s="80">
        <f>IFERROR(__xludf.DUMMYFUNCTION("""COMPUTED_VALUE"""),2.7687975195879657)</f>
        <v>2.76879752</v>
      </c>
      <c r="AD9" s="80">
        <f>IFERROR(__xludf.DUMMYFUNCTION("""COMPUTED_VALUE"""),1.11746607539987)</f>
        <v>1.117466075</v>
      </c>
      <c r="AE9" s="80">
        <f>IFERROR(__xludf.DUMMYFUNCTION("""COMPUTED_VALUE"""),1.208070260362333)</f>
        <v>1.20807026</v>
      </c>
      <c r="AF9" s="80">
        <f>IFERROR(__xludf.DUMMYFUNCTION("""COMPUTED_VALUE"""),1.0711886322130457)</f>
        <v>1.071188632</v>
      </c>
      <c r="AG9" s="80">
        <f>IFERROR(__xludf.DUMMYFUNCTION("""COMPUTED_VALUE"""),1.1014154122737065)</f>
        <v>1.101415412</v>
      </c>
      <c r="AH9" s="80">
        <f>IFERROR(__xludf.DUMMYFUNCTION("""COMPUTED_VALUE"""),1.2349602361744831)</f>
        <v>1.234960236</v>
      </c>
      <c r="AI9" s="80">
        <f>IFERROR(__xludf.DUMMYFUNCTION("""COMPUTED_VALUE"""),0.9957563017118369)</f>
        <v>0.9957563017</v>
      </c>
      <c r="AJ9" s="80">
        <f>IFERROR(__xludf.DUMMYFUNCTION("""COMPUTED_VALUE"""),0.7696506822226672)</f>
        <v>0.7696506822</v>
      </c>
      <c r="AK9" s="80">
        <f>IFERROR(__xludf.DUMMYFUNCTION("""COMPUTED_VALUE"""),0.8163856251522273)</f>
        <v>0.8163856252</v>
      </c>
      <c r="AL9" s="80">
        <f>IFERROR(__xludf.DUMMYFUNCTION("""COMPUTED_VALUE"""),1.167971719701225)</f>
        <v>1.16797172</v>
      </c>
      <c r="AM9" s="80">
        <f>IFERROR(__xludf.DUMMYFUNCTION("""COMPUTED_VALUE"""),1.0287358050602298)</f>
        <v>1.028735805</v>
      </c>
      <c r="AN9" s="80">
        <f>IFERROR(__xludf.DUMMYFUNCTION("""COMPUTED_VALUE"""),1.137356314618961)</f>
        <v>1.137356315</v>
      </c>
      <c r="AO9" s="80">
        <f>IFERROR(__xludf.DUMMYFUNCTION("""COMPUTED_VALUE"""),1.2884706831497181)</f>
        <v>1.288470683</v>
      </c>
      <c r="AP9" s="80">
        <f>IFERROR(__xludf.DUMMYFUNCTION("""COMPUTED_VALUE"""),1.167026162722972)</f>
        <v>1.167026163</v>
      </c>
      <c r="AQ9" s="80">
        <f>IFERROR(__xludf.DUMMYFUNCTION("""COMPUTED_VALUE"""),1.0480132763348462)</f>
        <v>1.048013276</v>
      </c>
      <c r="AR9" s="80">
        <f>IFERROR(__xludf.DUMMYFUNCTION("""COMPUTED_VALUE"""),1.2881824161383388)</f>
        <v>1.288182416</v>
      </c>
      <c r="AS9" s="80">
        <f>IFERROR(__xludf.DUMMYFUNCTION("""COMPUTED_VALUE"""),83.0)</f>
        <v>83</v>
      </c>
      <c r="AT9" s="80">
        <f>IFERROR(__xludf.DUMMYFUNCTION("""COMPUTED_VALUE"""),0.6116349650733587)</f>
        <v>0.6116349651</v>
      </c>
      <c r="AU9" s="80">
        <f>IFERROR(__xludf.DUMMYFUNCTION("""COMPUTED_VALUE"""),3.550861659282302)</f>
        <v>3.550861659</v>
      </c>
      <c r="AV9" s="80">
        <f>IFERROR(__xludf.DUMMYFUNCTION("""COMPUTED_VALUE"""),79.14786604913877)</f>
        <v>79.14786605</v>
      </c>
      <c r="AW9" s="82">
        <f t="shared" si="1"/>
        <v>8.208530883</v>
      </c>
      <c r="AX9" s="83">
        <f t="array" ref="AX9">IFERROR(DGET('SBV Import'!A:G,"SBV",{"RSC ID","Tier";B9,A9}))</f>
        <v>58.99060978</v>
      </c>
      <c r="AY9" s="82">
        <f t="shared" si="2"/>
        <v>2.781145897</v>
      </c>
      <c r="AZ9" s="82">
        <v>5.427384986139424</v>
      </c>
      <c r="BA9" s="84">
        <v>2.0</v>
      </c>
      <c r="BB9" s="84" t="b">
        <f>IFERROR(__xludf.DUMMYFUNCTION("iferror(if(A9="""",,E9&gt;=FILTER(Constants!$F$2:$F$10,Constants!$A$2:$A$10=A9)))"),TRUE)</f>
        <v>1</v>
      </c>
    </row>
    <row r="10">
      <c r="A10" s="80" t="str">
        <f>IFERROR(__xludf.DUMMYFUNCTION("""COMPUTED_VALUE"""),"Premier")</f>
        <v>Premier</v>
      </c>
      <c r="B10" s="79" t="str">
        <f>IFERROR(__xludf.DUMMYFUNCTION("""COMPUTED_VALUE"""),"RSC007460")</f>
        <v>RSC007460</v>
      </c>
      <c r="C10" s="80" t="str">
        <f>IFERROR(__xludf.DUMMYFUNCTION("""COMPUTED_VALUE"""),"mogii")</f>
        <v>mogii</v>
      </c>
      <c r="D10" s="80" t="str">
        <f>IFERROR(__xludf.DUMMYFUNCTION("""COMPUTED_VALUE"""),"Gummy Bears")</f>
        <v>Gummy Bears</v>
      </c>
      <c r="E10" s="80">
        <f>IFERROR(__xludf.DUMMYFUNCTION("""COMPUTED_VALUE"""),28.0)</f>
        <v>28</v>
      </c>
      <c r="F10" s="80">
        <f>IFERROR(__xludf.DUMMYFUNCTION("""COMPUTED_VALUE"""),15.0)</f>
        <v>15</v>
      </c>
      <c r="G10" s="80">
        <f>IFERROR(__xludf.DUMMYFUNCTION("""COMPUTED_VALUE"""),13.0)</f>
        <v>13</v>
      </c>
      <c r="H10" s="81">
        <f>IFERROR(__xludf.DUMMYFUNCTION("""COMPUTED_VALUE"""),0.5357142857142857)</f>
        <v>0.5357142857</v>
      </c>
      <c r="I10" s="81">
        <f>IFERROR(__xludf.DUMMYFUNCTION("""COMPUTED_VALUE"""),0.3368421052631579)</f>
        <v>0.3368421053</v>
      </c>
      <c r="J10" s="80">
        <f>IFERROR(__xludf.DUMMYFUNCTION("""COMPUTED_VALUE"""),435.5)</f>
        <v>435.5</v>
      </c>
      <c r="K10" s="80">
        <f>IFERROR(__xludf.DUMMYFUNCTION("""COMPUTED_VALUE"""),1.1428571428571428)</f>
        <v>1.142857143</v>
      </c>
      <c r="L10" s="80">
        <f>IFERROR(__xludf.DUMMYFUNCTION("""COMPUTED_VALUE"""),0.6428571428571429)</f>
        <v>0.6428571429</v>
      </c>
      <c r="M10" s="80">
        <f>IFERROR(__xludf.DUMMYFUNCTION("""COMPUTED_VALUE"""),1.7142857142857142)</f>
        <v>1.714285714</v>
      </c>
      <c r="N10" s="80">
        <f>IFERROR(__xludf.DUMMYFUNCTION("""COMPUTED_VALUE"""),3.392857142857143)</f>
        <v>3.392857143</v>
      </c>
      <c r="O10" s="80">
        <f>IFERROR(__xludf.DUMMYFUNCTION("""COMPUTED_VALUE"""),354.0952380952381)</f>
        <v>354.0952381</v>
      </c>
      <c r="P10" s="80">
        <f>IFERROR(__xludf.DUMMYFUNCTION("""COMPUTED_VALUE"""),0.8452380952380952)</f>
        <v>0.8452380952</v>
      </c>
      <c r="Q10" s="80">
        <f>IFERROR(__xludf.DUMMYFUNCTION("""COMPUTED_VALUE"""),0.6190476190476192)</f>
        <v>0.619047619</v>
      </c>
      <c r="R10" s="80">
        <f>IFERROR(__xludf.DUMMYFUNCTION("""COMPUTED_VALUE"""),1.3095238095238095)</f>
        <v>1.30952381</v>
      </c>
      <c r="S10" s="80">
        <f>IFERROR(__xludf.DUMMYFUNCTION("""COMPUTED_VALUE"""),2.7142857142857144)</f>
        <v>2.714285714</v>
      </c>
      <c r="T10" s="80">
        <f>IFERROR(__xludf.DUMMYFUNCTION("""COMPUTED_VALUE"""),370.8313078624891)</f>
        <v>370.8313079</v>
      </c>
      <c r="U10" s="80">
        <f>IFERROR(__xludf.DUMMYFUNCTION("""COMPUTED_VALUE"""),0.8080828649049784)</f>
        <v>0.8080828649</v>
      </c>
      <c r="V10" s="80">
        <f>IFERROR(__xludf.DUMMYFUNCTION("""COMPUTED_VALUE"""),0.6958440483771843)</f>
        <v>0.6958440484</v>
      </c>
      <c r="W10" s="80">
        <f>IFERROR(__xludf.DUMMYFUNCTION("""COMPUTED_VALUE"""),1.405633031667847)</f>
        <v>1.405633032</v>
      </c>
      <c r="X10" s="80">
        <f>IFERROR(__xludf.DUMMYFUNCTION("""COMPUTED_VALUE"""),2.692327725194106)</f>
        <v>2.692327725</v>
      </c>
      <c r="Y10" s="80">
        <f>IFERROR(__xludf.DUMMYFUNCTION("""COMPUTED_VALUE"""),376.4962374793028)</f>
        <v>376.4962375</v>
      </c>
      <c r="Z10" s="80">
        <f>IFERROR(__xludf.DUMMYFUNCTION("""COMPUTED_VALUE"""),0.8342114328253183)</f>
        <v>0.8342114328</v>
      </c>
      <c r="AA10" s="80">
        <f>IFERROR(__xludf.DUMMYFUNCTION("""COMPUTED_VALUE"""),0.6480015332921141)</f>
        <v>0.6480015333</v>
      </c>
      <c r="AB10" s="80">
        <f>IFERROR(__xludf.DUMMYFUNCTION("""COMPUTED_VALUE"""),1.4791966255155775)</f>
        <v>1.479196626</v>
      </c>
      <c r="AC10" s="80">
        <f>IFERROR(__xludf.DUMMYFUNCTION("""COMPUTED_VALUE"""),2.7647110071784495)</f>
        <v>2.764711007</v>
      </c>
      <c r="AD10" s="80">
        <f>IFERROR(__xludf.DUMMYFUNCTION("""COMPUTED_VALUE"""),1.1567180668676424)</f>
        <v>1.156718067</v>
      </c>
      <c r="AE10" s="80">
        <f>IFERROR(__xludf.DUMMYFUNCTION("""COMPUTED_VALUE"""),1.3699849916783076)</f>
        <v>1.369984992</v>
      </c>
      <c r="AF10" s="80">
        <f>IFERROR(__xludf.DUMMYFUNCTION("""COMPUTED_VALUE"""),0.9920611446568104)</f>
        <v>0.9920611447</v>
      </c>
      <c r="AG10" s="80">
        <f>IFERROR(__xludf.DUMMYFUNCTION("""COMPUTED_VALUE"""),1.158930249511755)</f>
        <v>1.15893025</v>
      </c>
      <c r="AH10" s="80">
        <f>IFERROR(__xludf.DUMMYFUNCTION("""COMPUTED_VALUE"""),1.2272013726019608)</f>
        <v>1.227201373</v>
      </c>
      <c r="AI10" s="80">
        <f>IFERROR(__xludf.DUMMYFUNCTION("""COMPUTED_VALUE"""),0.954868778842543)</f>
        <v>0.9548687788</v>
      </c>
      <c r="AJ10" s="80">
        <f>IFERROR(__xludf.DUMMYFUNCTION("""COMPUTED_VALUE"""),1.0459794805047449)</f>
        <v>1.045979481</v>
      </c>
      <c r="AK10" s="80">
        <f>IFERROR(__xludf.DUMMYFUNCTION("""COMPUTED_VALUE"""),0.8896355735043416)</f>
        <v>0.8896355735</v>
      </c>
      <c r="AL10" s="80">
        <f>IFERROR(__xludf.DUMMYFUNCTION("""COMPUTED_VALUE"""),0.9316256661740515)</f>
        <v>0.9316256662</v>
      </c>
      <c r="AM10" s="80">
        <f>IFERROR(__xludf.DUMMYFUNCTION("""COMPUTED_VALUE"""),1.0081557638344438)</f>
        <v>1.008155764</v>
      </c>
      <c r="AN10" s="80">
        <f>IFERROR(__xludf.DUMMYFUNCTION("""COMPUTED_VALUE"""),1.1824179058611801)</f>
        <v>1.182417906</v>
      </c>
      <c r="AO10" s="80">
        <f>IFERROR(__xludf.DUMMYFUNCTION("""COMPUTED_VALUE"""),1.426521113487188)</f>
        <v>1.426521113</v>
      </c>
      <c r="AP10" s="80">
        <f>IFERROR(__xludf.DUMMYFUNCTION("""COMPUTED_VALUE"""),1.0571438292198352)</f>
        <v>1.057143829</v>
      </c>
      <c r="AQ10" s="80">
        <f>IFERROR(__xludf.DUMMYFUNCTION("""COMPUTED_VALUE"""),1.1603004130850083)</f>
        <v>1.160300413</v>
      </c>
      <c r="AR10" s="80">
        <f>IFERROR(__xludf.DUMMYFUNCTION("""COMPUTED_VALUE"""),1.278199870460717)</f>
        <v>1.27819987</v>
      </c>
      <c r="AS10" s="80">
        <f>IFERROR(__xludf.DUMMYFUNCTION("""COMPUTED_VALUE"""),70.0)</f>
        <v>70</v>
      </c>
      <c r="AT10" s="80">
        <f>IFERROR(__xludf.DUMMYFUNCTION("""COMPUTED_VALUE"""),0.4943606209430952)</f>
        <v>0.4943606209</v>
      </c>
      <c r="AU10" s="80">
        <f>IFERROR(__xludf.DUMMYFUNCTION("""COMPUTED_VALUE"""),3.5011648247769562)</f>
        <v>3.501164825</v>
      </c>
      <c r="AV10" s="80">
        <f>IFERROR(__xludf.DUMMYFUNCTION("""COMPUTED_VALUE"""),77.75053102890267)</f>
        <v>77.75053103</v>
      </c>
      <c r="AW10" s="82">
        <f t="shared" si="1"/>
        <v>7.490920814</v>
      </c>
      <c r="AX10" s="83">
        <f t="array" ref="AX10">IFERROR(DGET('SBV Import'!A:G,"SBV",{"RSC ID","Tier";B10,A10}))</f>
        <v>75.61339931</v>
      </c>
      <c r="AY10" s="82">
        <f t="shared" si="2"/>
        <v>6.544884065</v>
      </c>
      <c r="AZ10" s="82">
        <v>0.9460367493552386</v>
      </c>
      <c r="BA10" s="84">
        <v>2.0</v>
      </c>
      <c r="BB10" s="84" t="b">
        <f>IFERROR(__xludf.DUMMYFUNCTION("iferror(if(A10="""",,E10&gt;=FILTER(Constants!$F$2:$F$10,Constants!$A$2:$A$10=A10)))"),TRUE)</f>
        <v>1</v>
      </c>
    </row>
    <row r="11">
      <c r="A11" s="80" t="str">
        <f>IFERROR(__xludf.DUMMYFUNCTION("""COMPUTED_VALUE"""),"Premier")</f>
        <v>Premier</v>
      </c>
      <c r="B11" s="79" t="str">
        <f>IFERROR(__xludf.DUMMYFUNCTION("""COMPUTED_VALUE"""),"RSC006677")</f>
        <v>RSC006677</v>
      </c>
      <c r="C11" s="80" t="str">
        <f>IFERROR(__xludf.DUMMYFUNCTION("""COMPUTED_VALUE"""),"luigi")</f>
        <v>luigi</v>
      </c>
      <c r="D11" s="80" t="str">
        <f>IFERROR(__xludf.DUMMYFUNCTION("""COMPUTED_VALUE"""),"Punks")</f>
        <v>Punks</v>
      </c>
      <c r="E11" s="80">
        <f>IFERROR(__xludf.DUMMYFUNCTION("""COMPUTED_VALUE"""),36.0)</f>
        <v>36</v>
      </c>
      <c r="F11" s="80">
        <f>IFERROR(__xludf.DUMMYFUNCTION("""COMPUTED_VALUE"""),17.0)</f>
        <v>17</v>
      </c>
      <c r="G11" s="80">
        <f>IFERROR(__xludf.DUMMYFUNCTION("""COMPUTED_VALUE"""),19.0)</f>
        <v>19</v>
      </c>
      <c r="H11" s="81">
        <f>IFERROR(__xludf.DUMMYFUNCTION("""COMPUTED_VALUE"""),0.4722222222222222)</f>
        <v>0.4722222222</v>
      </c>
      <c r="I11" s="81">
        <f>IFERROR(__xludf.DUMMYFUNCTION("""COMPUTED_VALUE"""),0.3225806451612903)</f>
        <v>0.3225806452</v>
      </c>
      <c r="J11" s="80">
        <f>IFERROR(__xludf.DUMMYFUNCTION("""COMPUTED_VALUE"""),388.9166666666667)</f>
        <v>388.9166667</v>
      </c>
      <c r="K11" s="80">
        <f>IFERROR(__xludf.DUMMYFUNCTION("""COMPUTED_VALUE"""),1.1111111111111112)</f>
        <v>1.111111111</v>
      </c>
      <c r="L11" s="80">
        <f>IFERROR(__xludf.DUMMYFUNCTION("""COMPUTED_VALUE"""),0.6666666666666666)</f>
        <v>0.6666666667</v>
      </c>
      <c r="M11" s="80">
        <f>IFERROR(__xludf.DUMMYFUNCTION("""COMPUTED_VALUE"""),1.25)</f>
        <v>1.25</v>
      </c>
      <c r="N11" s="80">
        <f>IFERROR(__xludf.DUMMYFUNCTION("""COMPUTED_VALUE"""),3.4444444444444446)</f>
        <v>3.444444444</v>
      </c>
      <c r="O11" s="80">
        <f>IFERROR(__xludf.DUMMYFUNCTION("""COMPUTED_VALUE"""),368.5462962962963)</f>
        <v>368.5462963</v>
      </c>
      <c r="P11" s="80">
        <f>IFERROR(__xludf.DUMMYFUNCTION("""COMPUTED_VALUE"""),0.8148148148148147)</f>
        <v>0.8148148148</v>
      </c>
      <c r="Q11" s="80">
        <f>IFERROR(__xludf.DUMMYFUNCTION("""COMPUTED_VALUE"""),0.6666666666666665)</f>
        <v>0.6666666667</v>
      </c>
      <c r="R11" s="80">
        <f>IFERROR(__xludf.DUMMYFUNCTION("""COMPUTED_VALUE"""),1.37037037037037)</f>
        <v>1.37037037</v>
      </c>
      <c r="S11" s="80">
        <f>IFERROR(__xludf.DUMMYFUNCTION("""COMPUTED_VALUE"""),2.583333333333334)</f>
        <v>2.583333333</v>
      </c>
      <c r="T11" s="80">
        <f>IFERROR(__xludf.DUMMYFUNCTION("""COMPUTED_VALUE"""),378.4003589201298)</f>
        <v>378.4003589</v>
      </c>
      <c r="U11" s="80">
        <f>IFERROR(__xludf.DUMMYFUNCTION("""COMPUTED_VALUE"""),0.8235086535983653)</f>
        <v>0.8235086536</v>
      </c>
      <c r="V11" s="80">
        <f>IFERROR(__xludf.DUMMYFUNCTION("""COMPUTED_VALUE"""),0.6715462862562256)</f>
        <v>0.6715462863</v>
      </c>
      <c r="W11" s="80">
        <f>IFERROR(__xludf.DUMMYFUNCTION("""COMPUTED_VALUE"""),1.4814346936595006)</f>
        <v>1.481434694</v>
      </c>
      <c r="X11" s="80">
        <f>IFERROR(__xludf.DUMMYFUNCTION("""COMPUTED_VALUE"""),2.684275822504537)</f>
        <v>2.684275823</v>
      </c>
      <c r="Y11" s="80">
        <f>IFERROR(__xludf.DUMMYFUNCTION("""COMPUTED_VALUE"""),374.9531450243783)</f>
        <v>374.953145</v>
      </c>
      <c r="Z11" s="80">
        <f>IFERROR(__xludf.DUMMYFUNCTION("""COMPUTED_VALUE"""),0.8585351157763442)</f>
        <v>0.8585351158</v>
      </c>
      <c r="AA11" s="80">
        <f>IFERROR(__xludf.DUMMYFUNCTION("""COMPUTED_VALUE"""),0.6609887361499618)</f>
        <v>0.6609887361</v>
      </c>
      <c r="AB11" s="80">
        <f>IFERROR(__xludf.DUMMYFUNCTION("""COMPUTED_VALUE"""),1.4095618808526647)</f>
        <v>1.409561881</v>
      </c>
      <c r="AC11" s="80">
        <f>IFERROR(__xludf.DUMMYFUNCTION("""COMPUTED_VALUE"""),2.798498352298782)</f>
        <v>2.798498352</v>
      </c>
      <c r="AD11" s="80">
        <f>IFERROR(__xludf.DUMMYFUNCTION("""COMPUTED_VALUE"""),1.0372407108130286)</f>
        <v>1.037240711</v>
      </c>
      <c r="AE11" s="80">
        <f>IFERROR(__xludf.DUMMYFUNCTION("""COMPUTED_VALUE"""),1.294194134512915)</f>
        <v>1.294194135</v>
      </c>
      <c r="AF11" s="80">
        <f>IFERROR(__xludf.DUMMYFUNCTION("""COMPUTED_VALUE"""),1.008590056390033)</f>
        <v>1.008590056</v>
      </c>
      <c r="AG11" s="80">
        <f>IFERROR(__xludf.DUMMYFUNCTION("""COMPUTED_VALUE"""),0.8868003717891808)</f>
        <v>0.8868003718</v>
      </c>
      <c r="AH11" s="80">
        <f>IFERROR(__xludf.DUMMYFUNCTION("""COMPUTED_VALUE"""),1.2308188216780833)</f>
        <v>1.230818822</v>
      </c>
      <c r="AI11" s="80">
        <f>IFERROR(__xludf.DUMMYFUNCTION("""COMPUTED_VALUE"""),0.973958632988735)</f>
        <v>0.973958633</v>
      </c>
      <c r="AJ11" s="80">
        <f>IFERROR(__xludf.DUMMYFUNCTION("""COMPUTED_VALUE"""),0.9894429296576758)</f>
        <v>0.9894429297</v>
      </c>
      <c r="AK11" s="80">
        <f>IFERROR(__xludf.DUMMYFUNCTION("""COMPUTED_VALUE"""),0.9927337553800465)</f>
        <v>0.9927337554</v>
      </c>
      <c r="AL11" s="80">
        <f>IFERROR(__xludf.DUMMYFUNCTION("""COMPUTED_VALUE"""),0.9250292140689813)</f>
        <v>0.9250292141</v>
      </c>
      <c r="AM11" s="80">
        <f>IFERROR(__xludf.DUMMYFUNCTION("""COMPUTED_VALUE"""),0.9623948894055829)</f>
        <v>0.9623948894</v>
      </c>
      <c r="AN11" s="80">
        <f>IFERROR(__xludf.DUMMYFUNCTION("""COMPUTED_VALUE"""),1.0559403686670736)</f>
        <v>1.055940369</v>
      </c>
      <c r="AO11" s="80">
        <f>IFERROR(__xludf.DUMMYFUNCTION("""COMPUTED_VALUE"""),1.386895527001433)</f>
        <v>1.386895527</v>
      </c>
      <c r="AP11" s="80">
        <f>IFERROR(__xludf.DUMMYFUNCTION("""COMPUTED_VALUE"""),1.0962973043761253)</f>
        <v>1.096297304</v>
      </c>
      <c r="AQ11" s="80">
        <f>IFERROR(__xludf.DUMMYFUNCTION("""COMPUTED_VALUE"""),0.846052384541152)</f>
        <v>0.8460523845</v>
      </c>
      <c r="AR11" s="80">
        <f>IFERROR(__xludf.DUMMYFUNCTION("""COMPUTED_VALUE"""),1.2976344883741548)</f>
        <v>1.297634488</v>
      </c>
      <c r="AS11" s="80">
        <f>IFERROR(__xludf.DUMMYFUNCTION("""COMPUTED_VALUE"""),88.0)</f>
        <v>88</v>
      </c>
      <c r="AT11" s="80">
        <f>IFERROR(__xludf.DUMMYFUNCTION("""COMPUTED_VALUE"""),0.5000000000000001)</f>
        <v>0.5</v>
      </c>
      <c r="AU11" s="80">
        <f>IFERROR(__xludf.DUMMYFUNCTION("""COMPUTED_VALUE"""),3.373532179068236)</f>
        <v>3.373532179</v>
      </c>
      <c r="AV11" s="80">
        <f>IFERROR(__xludf.DUMMYFUNCTION("""COMPUTED_VALUE"""),74.16186049587311)</f>
        <v>74.1618605</v>
      </c>
      <c r="AW11" s="82">
        <f t="shared" si="1"/>
        <v>5.991488953</v>
      </c>
      <c r="AX11" s="83">
        <f t="array" ref="AX11">IFERROR(DGET('SBV Import'!A:G,"SBV",{"RSC ID","Tier";B11,A11}))</f>
        <v>70.20757247</v>
      </c>
      <c r="AY11" s="82">
        <f t="shared" si="2"/>
        <v>4.774224146</v>
      </c>
      <c r="AZ11" s="82">
        <v>1.217264807353562</v>
      </c>
      <c r="BA11" s="84">
        <v>2.0</v>
      </c>
      <c r="BB11" s="84" t="b">
        <f>IFERROR(__xludf.DUMMYFUNCTION("iferror(if(A11="""",,E11&gt;=FILTER(Constants!$F$2:$F$10,Constants!$A$2:$A$10=A11)))"),TRUE)</f>
        <v>1</v>
      </c>
    </row>
    <row r="12">
      <c r="A12" s="80" t="str">
        <f>IFERROR(__xludf.DUMMYFUNCTION("""COMPUTED_VALUE"""),"Premier")</f>
        <v>Premier</v>
      </c>
      <c r="B12" s="79" t="str">
        <f>IFERROR(__xludf.DUMMYFUNCTION("""COMPUTED_VALUE"""),"RSC001605")</f>
        <v>RSC001605</v>
      </c>
      <c r="C12" s="80" t="str">
        <f>IFERROR(__xludf.DUMMYFUNCTION("""COMPUTED_VALUE"""),"Reeves")</f>
        <v>Reeves</v>
      </c>
      <c r="D12" s="80" t="str">
        <f>IFERROR(__xludf.DUMMYFUNCTION("""COMPUTED_VALUE"""),"Crooked Capos")</f>
        <v>Crooked Capos</v>
      </c>
      <c r="E12" s="80">
        <f>IFERROR(__xludf.DUMMYFUNCTION("""COMPUTED_VALUE"""),20.0)</f>
        <v>20</v>
      </c>
      <c r="F12" s="80">
        <f>IFERROR(__xludf.DUMMYFUNCTION("""COMPUTED_VALUE"""),11.0)</f>
        <v>11</v>
      </c>
      <c r="G12" s="80">
        <f>IFERROR(__xludf.DUMMYFUNCTION("""COMPUTED_VALUE"""),9.0)</f>
        <v>9</v>
      </c>
      <c r="H12" s="81">
        <f>IFERROR(__xludf.DUMMYFUNCTION("""COMPUTED_VALUE"""),0.55)</f>
        <v>0.55</v>
      </c>
      <c r="I12" s="81">
        <f>IFERROR(__xludf.DUMMYFUNCTION("""COMPUTED_VALUE"""),0.2027027027027027)</f>
        <v>0.2027027027</v>
      </c>
      <c r="J12" s="80">
        <f>IFERROR(__xludf.DUMMYFUNCTION("""COMPUTED_VALUE"""),390.8)</f>
        <v>390.8</v>
      </c>
      <c r="K12" s="80">
        <f>IFERROR(__xludf.DUMMYFUNCTION("""COMPUTED_VALUE"""),0.75)</f>
        <v>0.75</v>
      </c>
      <c r="L12" s="80">
        <f>IFERROR(__xludf.DUMMYFUNCTION("""COMPUTED_VALUE"""),0.7)</f>
        <v>0.7</v>
      </c>
      <c r="M12" s="80">
        <f>IFERROR(__xludf.DUMMYFUNCTION("""COMPUTED_VALUE"""),1.6)</f>
        <v>1.6</v>
      </c>
      <c r="N12" s="80">
        <f>IFERROR(__xludf.DUMMYFUNCTION("""COMPUTED_VALUE"""),3.7)</f>
        <v>3.7</v>
      </c>
      <c r="O12" s="80">
        <f>IFERROR(__xludf.DUMMYFUNCTION("""COMPUTED_VALUE"""),375.28333333333336)</f>
        <v>375.2833333</v>
      </c>
      <c r="P12" s="80">
        <f>IFERROR(__xludf.DUMMYFUNCTION("""COMPUTED_VALUE"""),0.75)</f>
        <v>0.75</v>
      </c>
      <c r="Q12" s="80">
        <f>IFERROR(__xludf.DUMMYFUNCTION("""COMPUTED_VALUE"""),0.5833333333333334)</f>
        <v>0.5833333333</v>
      </c>
      <c r="R12" s="80">
        <f>IFERROR(__xludf.DUMMYFUNCTION("""COMPUTED_VALUE"""),1.5666666666666662)</f>
        <v>1.566666667</v>
      </c>
      <c r="S12" s="80">
        <f>IFERROR(__xludf.DUMMYFUNCTION("""COMPUTED_VALUE"""),2.6999999999999997)</f>
        <v>2.7</v>
      </c>
      <c r="T12" s="80">
        <f>IFERROR(__xludf.DUMMYFUNCTION("""COMPUTED_VALUE"""),384.0764112910865)</f>
        <v>384.0764113</v>
      </c>
      <c r="U12" s="80">
        <f>IFERROR(__xludf.DUMMYFUNCTION("""COMPUTED_VALUE"""),0.895444999255741)</f>
        <v>0.8954449993</v>
      </c>
      <c r="V12" s="80">
        <f>IFERROR(__xludf.DUMMYFUNCTION("""COMPUTED_VALUE"""),0.7022810322196512)</f>
        <v>0.7022810322</v>
      </c>
      <c r="W12" s="80">
        <f>IFERROR(__xludf.DUMMYFUNCTION("""COMPUTED_VALUE"""),1.4239425296688724)</f>
        <v>1.42394253</v>
      </c>
      <c r="X12" s="80">
        <f>IFERROR(__xludf.DUMMYFUNCTION("""COMPUTED_VALUE"""),2.862314280301492)</f>
        <v>2.86231428</v>
      </c>
      <c r="Y12" s="80">
        <f>IFERROR(__xludf.DUMMYFUNCTION("""COMPUTED_VALUE"""),370.7062353482455)</f>
        <v>370.7062353</v>
      </c>
      <c r="Z12" s="80">
        <f>IFERROR(__xludf.DUMMYFUNCTION("""COMPUTED_VALUE"""),0.8149283481508546)</f>
        <v>0.8149283482</v>
      </c>
      <c r="AA12" s="80">
        <f>IFERROR(__xludf.DUMMYFUNCTION("""COMPUTED_VALUE"""),0.6213439153439152)</f>
        <v>0.6213439153</v>
      </c>
      <c r="AB12" s="80">
        <f>IFERROR(__xludf.DUMMYFUNCTION("""COMPUTED_VALUE"""),1.4606073559858728)</f>
        <v>1.460607356</v>
      </c>
      <c r="AC12" s="80">
        <f>IFERROR(__xludf.DUMMYFUNCTION("""COMPUTED_VALUE"""),2.6796495487083734)</f>
        <v>2.679649549</v>
      </c>
      <c r="AD12" s="80">
        <f>IFERROR(__xludf.DUMMYFUNCTION("""COMPUTED_VALUE"""),1.0542040104420638)</f>
        <v>1.05420401</v>
      </c>
      <c r="AE12" s="80">
        <f>IFERROR(__xludf.DUMMYFUNCTION("""COMPUTED_VALUE"""),0.9203263105300205)</f>
        <v>0.9203263105</v>
      </c>
      <c r="AF12" s="80">
        <f>IFERROR(__xludf.DUMMYFUNCTION("""COMPUTED_VALUE"""),1.1265902549517177)</f>
        <v>1.126590255</v>
      </c>
      <c r="AG12" s="80">
        <f>IFERROR(__xludf.DUMMYFUNCTION("""COMPUTED_VALUE"""),1.0954347131300326)</f>
        <v>1.095434713</v>
      </c>
      <c r="AH12" s="80">
        <f>IFERROR(__xludf.DUMMYFUNCTION("""COMPUTED_VALUE"""),1.3807775728671121)</f>
        <v>1.380777573</v>
      </c>
      <c r="AI12" s="80">
        <f>IFERROR(__xludf.DUMMYFUNCTION("""COMPUTED_VALUE"""),0.977105915127162)</f>
        <v>0.9771059151</v>
      </c>
      <c r="AJ12" s="80">
        <f>IFERROR(__xludf.DUMMYFUNCTION("""COMPUTED_VALUE"""),0.8375723809093477)</f>
        <v>0.8375723809</v>
      </c>
      <c r="AK12" s="80">
        <f>IFERROR(__xludf.DUMMYFUNCTION("""COMPUTED_VALUE"""),0.8306266388679642)</f>
        <v>0.8306266389</v>
      </c>
      <c r="AL12" s="80">
        <f>IFERROR(__xludf.DUMMYFUNCTION("""COMPUTED_VALUE"""),1.1002316694838683)</f>
        <v>1.100231669</v>
      </c>
      <c r="AM12" s="80">
        <f>IFERROR(__xludf.DUMMYFUNCTION("""COMPUTED_VALUE"""),0.9432926421048372)</f>
        <v>0.9432926421</v>
      </c>
      <c r="AN12" s="80">
        <f>IFERROR(__xludf.DUMMYFUNCTION("""COMPUTED_VALUE"""),1.0610537717808246)</f>
        <v>1.061053772</v>
      </c>
      <c r="AO12" s="80">
        <f>IFERROR(__xludf.DUMMYFUNCTION("""COMPUTED_VALUE"""),0.9361544807259672)</f>
        <v>0.9361544807</v>
      </c>
      <c r="AP12" s="80">
        <f>IFERROR(__xludf.DUMMYFUNCTION("""COMPUTED_VALUE"""),1.1511121695949316)</f>
        <v>1.15111217</v>
      </c>
      <c r="AQ12" s="80">
        <f>IFERROR(__xludf.DUMMYFUNCTION("""COMPUTED_VALUE"""),1.0829470522126745)</f>
        <v>1.082947052</v>
      </c>
      <c r="AR12" s="80">
        <f>IFERROR(__xludf.DUMMYFUNCTION("""COMPUTED_VALUE"""),1.3939105955761082)</f>
        <v>1.393910596</v>
      </c>
      <c r="AS12" s="80">
        <f>IFERROR(__xludf.DUMMYFUNCTION("""COMPUTED_VALUE"""),49.0)</f>
        <v>49</v>
      </c>
      <c r="AT12" s="80">
        <f>IFERROR(__xludf.DUMMYFUNCTION("""COMPUTED_VALUE"""),0.5331450899641901)</f>
        <v>0.53314509</v>
      </c>
      <c r="AU12" s="80">
        <f>IFERROR(__xludf.DUMMYFUNCTION("""COMPUTED_VALUE"""),3.3407528121093)</f>
        <v>3.340752812</v>
      </c>
      <c r="AV12" s="80">
        <f>IFERROR(__xludf.DUMMYFUNCTION("""COMPUTED_VALUE"""),73.24019701672407)</f>
        <v>73.24019702</v>
      </c>
      <c r="AW12" s="82">
        <f t="shared" si="1"/>
        <v>5.672565685</v>
      </c>
      <c r="AX12" s="83">
        <f t="array" ref="AX12">IFERROR(DGET('SBV Import'!A:G,"SBV",{"RSC ID","Tier";B12,A12}))</f>
        <v>61.97121392</v>
      </c>
      <c r="AY12" s="82">
        <f t="shared" si="2"/>
        <v>3.164324794</v>
      </c>
      <c r="AZ12" s="82">
        <v>2.50824089062222</v>
      </c>
      <c r="BA12" s="84">
        <v>2.0</v>
      </c>
      <c r="BB12" s="84" t="b">
        <f>IFERROR(__xludf.DUMMYFUNCTION("iferror(if(A12="""",,E12&gt;=FILTER(Constants!$F$2:$F$10,Constants!$A$2:$A$10=A12)))"),TRUE)</f>
        <v>1</v>
      </c>
    </row>
    <row r="13">
      <c r="A13" s="80" t="str">
        <f>IFERROR(__xludf.DUMMYFUNCTION("""COMPUTED_VALUE"""),"Premier")</f>
        <v>Premier</v>
      </c>
      <c r="B13" s="79" t="str">
        <f>IFERROR(__xludf.DUMMYFUNCTION("""COMPUTED_VALUE"""),"RSC004079")</f>
        <v>RSC004079</v>
      </c>
      <c r="C13" s="80" t="str">
        <f>IFERROR(__xludf.DUMMYFUNCTION("""COMPUTED_VALUE"""),"tox")</f>
        <v>tox</v>
      </c>
      <c r="D13" s="80" t="str">
        <f>IFERROR(__xludf.DUMMYFUNCTION("""COMPUTED_VALUE"""),"Super Clusters")</f>
        <v>Super Clusters</v>
      </c>
      <c r="E13" s="80">
        <f>IFERROR(__xludf.DUMMYFUNCTION("""COMPUTED_VALUE"""),35.0)</f>
        <v>35</v>
      </c>
      <c r="F13" s="80">
        <f>IFERROR(__xludf.DUMMYFUNCTION("""COMPUTED_VALUE"""),18.0)</f>
        <v>18</v>
      </c>
      <c r="G13" s="80">
        <f>IFERROR(__xludf.DUMMYFUNCTION("""COMPUTED_VALUE"""),17.0)</f>
        <v>17</v>
      </c>
      <c r="H13" s="81">
        <f>IFERROR(__xludf.DUMMYFUNCTION("""COMPUTED_VALUE"""),0.5142857142857142)</f>
        <v>0.5142857143</v>
      </c>
      <c r="I13" s="81">
        <f>IFERROR(__xludf.DUMMYFUNCTION("""COMPUTED_VALUE"""),0.37499999999999994)</f>
        <v>0.375</v>
      </c>
      <c r="J13" s="80">
        <f>IFERROR(__xludf.DUMMYFUNCTION("""COMPUTED_VALUE"""),390.74285714285713)</f>
        <v>390.7428571</v>
      </c>
      <c r="K13" s="80">
        <f>IFERROR(__xludf.DUMMYFUNCTION("""COMPUTED_VALUE"""),1.0285714285714285)</f>
        <v>1.028571429</v>
      </c>
      <c r="L13" s="80">
        <f>IFERROR(__xludf.DUMMYFUNCTION("""COMPUTED_VALUE"""),0.7428571428571429)</f>
        <v>0.7428571429</v>
      </c>
      <c r="M13" s="80">
        <f>IFERROR(__xludf.DUMMYFUNCTION("""COMPUTED_VALUE"""),1.2285714285714286)</f>
        <v>1.228571429</v>
      </c>
      <c r="N13" s="80">
        <f>IFERROR(__xludf.DUMMYFUNCTION("""COMPUTED_VALUE"""),2.742857142857143)</f>
        <v>2.742857143</v>
      </c>
      <c r="O13" s="80">
        <f>IFERROR(__xludf.DUMMYFUNCTION("""COMPUTED_VALUE"""),367.43809523809523)</f>
        <v>367.4380952</v>
      </c>
      <c r="P13" s="80">
        <f>IFERROR(__xludf.DUMMYFUNCTION("""COMPUTED_VALUE"""),0.8190476190476191)</f>
        <v>0.819047619</v>
      </c>
      <c r="Q13" s="80">
        <f>IFERROR(__xludf.DUMMYFUNCTION("""COMPUTED_VALUE"""),0.6285714285714287)</f>
        <v>0.6285714286</v>
      </c>
      <c r="R13" s="80">
        <f>IFERROR(__xludf.DUMMYFUNCTION("""COMPUTED_VALUE"""),1.3619047619047622)</f>
        <v>1.361904762</v>
      </c>
      <c r="S13" s="80">
        <f>IFERROR(__xludf.DUMMYFUNCTION("""COMPUTED_VALUE"""),2.4190476190476184)</f>
        <v>2.419047619</v>
      </c>
      <c r="T13" s="80">
        <f>IFERROR(__xludf.DUMMYFUNCTION("""COMPUTED_VALUE"""),376.87690050100395)</f>
        <v>376.8769005</v>
      </c>
      <c r="U13" s="80">
        <f>IFERROR(__xludf.DUMMYFUNCTION("""COMPUTED_VALUE"""),0.8746352881843171)</f>
        <v>0.8746352882</v>
      </c>
      <c r="V13" s="80">
        <f>IFERROR(__xludf.DUMMYFUNCTION("""COMPUTED_VALUE"""),0.5932661513325697)</f>
        <v>0.5932661513</v>
      </c>
      <c r="W13" s="80">
        <f>IFERROR(__xludf.DUMMYFUNCTION("""COMPUTED_VALUE"""),1.4598286046481725)</f>
        <v>1.459828605</v>
      </c>
      <c r="X13" s="80">
        <f>IFERROR(__xludf.DUMMYFUNCTION("""COMPUTED_VALUE"""),2.7948488167196714)</f>
        <v>2.794848817</v>
      </c>
      <c r="Y13" s="80">
        <f>IFERROR(__xludf.DUMMYFUNCTION("""COMPUTED_VALUE"""),379.3990816705229)</f>
        <v>379.3990817</v>
      </c>
      <c r="Z13" s="80">
        <f>IFERROR(__xludf.DUMMYFUNCTION("""COMPUTED_VALUE"""),0.8384013469145024)</f>
        <v>0.8384013469</v>
      </c>
      <c r="AA13" s="80">
        <f>IFERROR(__xludf.DUMMYFUNCTION("""COMPUTED_VALUE"""),0.6476945497434339)</f>
        <v>0.6476945497</v>
      </c>
      <c r="AB13" s="80">
        <f>IFERROR(__xludf.DUMMYFUNCTION("""COMPUTED_VALUE"""),1.496912088443082)</f>
        <v>1.496912088</v>
      </c>
      <c r="AC13" s="80">
        <f>IFERROR(__xludf.DUMMYFUNCTION("""COMPUTED_VALUE"""),2.776740979105597)</f>
        <v>2.776740979</v>
      </c>
      <c r="AD13" s="80">
        <f>IFERROR(__xludf.DUMMYFUNCTION("""COMPUTED_VALUE"""),1.0298993224295292)</f>
        <v>1.029899322</v>
      </c>
      <c r="AE13" s="80">
        <f>IFERROR(__xludf.DUMMYFUNCTION("""COMPUTED_VALUE"""),1.2268246375757779)</f>
        <v>1.226824638</v>
      </c>
      <c r="AF13" s="80">
        <f>IFERROR(__xludf.DUMMYFUNCTION("""COMPUTED_VALUE"""),1.1469251102258078)</f>
        <v>1.14692511</v>
      </c>
      <c r="AG13" s="80">
        <f>IFERROR(__xludf.DUMMYFUNCTION("""COMPUTED_VALUE"""),0.8207371949606267)</f>
        <v>0.820737195</v>
      </c>
      <c r="AH13" s="80">
        <f>IFERROR(__xludf.DUMMYFUNCTION("""COMPUTED_VALUE"""),0.9877972643096987)</f>
        <v>0.9877972643</v>
      </c>
      <c r="AI13" s="80">
        <f>IFERROR(__xludf.DUMMYFUNCTION("""COMPUTED_VALUE"""),0.9749552035416308)</f>
        <v>0.9749552035</v>
      </c>
      <c r="AJ13" s="80">
        <f>IFERROR(__xludf.DUMMYFUNCTION("""COMPUTED_VALUE"""),0.9364447445836604)</f>
        <v>0.9364447446</v>
      </c>
      <c r="AK13" s="80">
        <f>IFERROR(__xludf.DUMMYFUNCTION("""COMPUTED_VALUE"""),1.05951001445061)</f>
        <v>1.059510014</v>
      </c>
      <c r="AL13" s="80">
        <f>IFERROR(__xludf.DUMMYFUNCTION("""COMPUTED_VALUE"""),0.9329210001560351)</f>
        <v>0.9329210002</v>
      </c>
      <c r="AM13" s="80">
        <f>IFERROR(__xludf.DUMMYFUNCTION("""COMPUTED_VALUE"""),0.8655379155309256)</f>
        <v>0.8655379155</v>
      </c>
      <c r="AN13" s="80">
        <f>IFERROR(__xludf.DUMMYFUNCTION("""COMPUTED_VALUE"""),1.0608986242780054)</f>
        <v>1.060898624</v>
      </c>
      <c r="AO13" s="80">
        <f>IFERROR(__xludf.DUMMYFUNCTION("""COMPUTED_VALUE"""),1.283869002138469)</f>
        <v>1.283869002</v>
      </c>
      <c r="AP13" s="80">
        <f>IFERROR(__xludf.DUMMYFUNCTION("""COMPUTED_VALUE"""),1.2215884248762539)</f>
        <v>1.221588425</v>
      </c>
      <c r="AQ13" s="80">
        <f>IFERROR(__xludf.DUMMYFUNCTION("""COMPUTED_VALUE"""),0.8315486293775893)</f>
        <v>0.8315486294</v>
      </c>
      <c r="AR13" s="80">
        <f>IFERROR(__xludf.DUMMYFUNCTION("""COMPUTED_VALUE"""),1.0333236847514007)</f>
        <v>1.033323685</v>
      </c>
      <c r="AS13" s="80">
        <f>IFERROR(__xludf.DUMMYFUNCTION("""COMPUTED_VALUE"""),97.0)</f>
        <v>97</v>
      </c>
      <c r="AT13" s="80">
        <f>IFERROR(__xludf.DUMMYFUNCTION("""COMPUTED_VALUE"""),0.5482235679150733)</f>
        <v>0.5482235679</v>
      </c>
      <c r="AU13" s="80">
        <f>IFERROR(__xludf.DUMMYFUNCTION("""COMPUTED_VALUE"""),3.190897879366976)</f>
        <v>3.190897879</v>
      </c>
      <c r="AV13" s="80">
        <f>IFERROR(__xludf.DUMMYFUNCTION("""COMPUTED_VALUE"""),69.02669835910937)</f>
        <v>69.02669836</v>
      </c>
      <c r="AW13" s="82">
        <f t="shared" si="1"/>
        <v>4.478114975</v>
      </c>
      <c r="AX13" s="83">
        <f t="array" ref="AX13">IFERROR(DGET('SBV Import'!A:G,"SBV",{"RSC ID","Tier";B13,A13}))</f>
        <v>66.89509584</v>
      </c>
      <c r="AY13" s="82">
        <f t="shared" si="2"/>
        <v>4.006689565</v>
      </c>
      <c r="AZ13" s="82">
        <v>0.4714254102934383</v>
      </c>
      <c r="BA13" s="84">
        <v>2.0</v>
      </c>
      <c r="BB13" s="84" t="b">
        <f>IFERROR(__xludf.DUMMYFUNCTION("iferror(if(A13="""",,E13&gt;=FILTER(Constants!$F$2:$F$10,Constants!$A$2:$A$10=A13)))"),TRUE)</f>
        <v>1</v>
      </c>
    </row>
    <row r="14">
      <c r="A14" s="80" t="str">
        <f>IFERROR(__xludf.DUMMYFUNCTION("""COMPUTED_VALUE"""),"Premier")</f>
        <v>Premier</v>
      </c>
      <c r="B14" s="79" t="str">
        <f>IFERROR(__xludf.DUMMYFUNCTION("""COMPUTED_VALUE"""),"RSC004924")</f>
        <v>RSC004924</v>
      </c>
      <c r="C14" s="80" t="str">
        <f>IFERROR(__xludf.DUMMYFUNCTION("""COMPUTED_VALUE"""),"comet")</f>
        <v>comet</v>
      </c>
      <c r="D14" s="80" t="str">
        <f>IFERROR(__xludf.DUMMYFUNCTION("""COMPUTED_VALUE"""),"Excavators")</f>
        <v>Excavators</v>
      </c>
      <c r="E14" s="80">
        <f>IFERROR(__xludf.DUMMYFUNCTION("""COMPUTED_VALUE"""),30.0)</f>
        <v>30</v>
      </c>
      <c r="F14" s="80">
        <f>IFERROR(__xludf.DUMMYFUNCTION("""COMPUTED_VALUE"""),24.0)</f>
        <v>24</v>
      </c>
      <c r="G14" s="80">
        <f>IFERROR(__xludf.DUMMYFUNCTION("""COMPUTED_VALUE"""),6.0)</f>
        <v>6</v>
      </c>
      <c r="H14" s="81">
        <f>IFERROR(__xludf.DUMMYFUNCTION("""COMPUTED_VALUE"""),0.8)</f>
        <v>0.8</v>
      </c>
      <c r="I14" s="81">
        <f>IFERROR(__xludf.DUMMYFUNCTION("""COMPUTED_VALUE"""),0.30120481927710846)</f>
        <v>0.3012048193</v>
      </c>
      <c r="J14" s="80">
        <f>IFERROR(__xludf.DUMMYFUNCTION("""COMPUTED_VALUE"""),387.53333333333336)</f>
        <v>387.5333333</v>
      </c>
      <c r="K14" s="80">
        <f>IFERROR(__xludf.DUMMYFUNCTION("""COMPUTED_VALUE"""),0.8333333333333334)</f>
        <v>0.8333333333</v>
      </c>
      <c r="L14" s="80">
        <f>IFERROR(__xludf.DUMMYFUNCTION("""COMPUTED_VALUE"""),0.7333333333333333)</f>
        <v>0.7333333333</v>
      </c>
      <c r="M14" s="80">
        <f>IFERROR(__xludf.DUMMYFUNCTION("""COMPUTED_VALUE"""),1.4)</f>
        <v>1.4</v>
      </c>
      <c r="N14" s="80">
        <f>IFERROR(__xludf.DUMMYFUNCTION("""COMPUTED_VALUE"""),2.7666666666666666)</f>
        <v>2.766666667</v>
      </c>
      <c r="O14" s="80">
        <f>IFERROR(__xludf.DUMMYFUNCTION("""COMPUTED_VALUE"""),336.6777777777778)</f>
        <v>336.6777778</v>
      </c>
      <c r="P14" s="80">
        <f>IFERROR(__xludf.DUMMYFUNCTION("""COMPUTED_VALUE"""),0.5888888888888888)</f>
        <v>0.5888888889</v>
      </c>
      <c r="Q14" s="80">
        <f>IFERROR(__xludf.DUMMYFUNCTION("""COMPUTED_VALUE"""),0.4)</f>
        <v>0.4</v>
      </c>
      <c r="R14" s="80">
        <f>IFERROR(__xludf.DUMMYFUNCTION("""COMPUTED_VALUE"""),1.6111111111111112)</f>
        <v>1.611111111</v>
      </c>
      <c r="S14" s="80">
        <f>IFERROR(__xludf.DUMMYFUNCTION("""COMPUTED_VALUE"""),2.233333333333334)</f>
        <v>2.233333333</v>
      </c>
      <c r="T14" s="80">
        <f>IFERROR(__xludf.DUMMYFUNCTION("""COMPUTED_VALUE"""),374.88425744197207)</f>
        <v>374.8842574</v>
      </c>
      <c r="U14" s="80">
        <f>IFERROR(__xludf.DUMMYFUNCTION("""COMPUTED_VALUE"""),0.7916564252837391)</f>
        <v>0.7916564253</v>
      </c>
      <c r="V14" s="80">
        <f>IFERROR(__xludf.DUMMYFUNCTION("""COMPUTED_VALUE"""),0.603490305813597)</f>
        <v>0.6034903058</v>
      </c>
      <c r="W14" s="80">
        <f>IFERROR(__xludf.DUMMYFUNCTION("""COMPUTED_VALUE"""),1.5461796605228064)</f>
        <v>1.546179661</v>
      </c>
      <c r="X14" s="80">
        <f>IFERROR(__xludf.DUMMYFUNCTION("""COMPUTED_VALUE"""),2.7306367722612395)</f>
        <v>2.730636772</v>
      </c>
      <c r="Y14" s="80">
        <f>IFERROR(__xludf.DUMMYFUNCTION("""COMPUTED_VALUE"""),385.90229520364943)</f>
        <v>385.9022952</v>
      </c>
      <c r="Z14" s="80">
        <f>IFERROR(__xludf.DUMMYFUNCTION("""COMPUTED_VALUE"""),0.8902681741117715)</f>
        <v>0.8902681741</v>
      </c>
      <c r="AA14" s="80">
        <f>IFERROR(__xludf.DUMMYFUNCTION("""COMPUTED_VALUE"""),0.6980450460550607)</f>
        <v>0.6980450461</v>
      </c>
      <c r="AB14" s="80">
        <f>IFERROR(__xludf.DUMMYFUNCTION("""COMPUTED_VALUE"""),1.4415341471988394)</f>
        <v>1.441534147</v>
      </c>
      <c r="AC14" s="80">
        <f>IFERROR(__xludf.DUMMYFUNCTION("""COMPUTED_VALUE"""),2.887841148247433)</f>
        <v>2.887841148</v>
      </c>
      <c r="AD14" s="80">
        <f>IFERROR(__xludf.DUMMYFUNCTION("""COMPUTED_VALUE"""),1.0042265572139788)</f>
        <v>1.004226557</v>
      </c>
      <c r="AE14" s="80">
        <f>IFERROR(__xludf.DUMMYFUNCTION("""COMPUTED_VALUE"""),0.9360475388943983)</f>
        <v>0.9360475389</v>
      </c>
      <c r="AF14" s="80">
        <f>IFERROR(__xludf.DUMMYFUNCTION("""COMPUTED_VALUE"""),1.0505530230143474)</f>
        <v>1.050553023</v>
      </c>
      <c r="AG14" s="80">
        <f>IFERROR(__xludf.DUMMYFUNCTION("""COMPUTED_VALUE"""),0.9711875384432982)</f>
        <v>0.9711875384</v>
      </c>
      <c r="AH14" s="80">
        <f>IFERROR(__xludf.DUMMYFUNCTION("""COMPUTED_VALUE"""),0.9580397690315119)</f>
        <v>0.958039769</v>
      </c>
      <c r="AI14" s="80">
        <f>IFERROR(__xludf.DUMMYFUNCTION("""COMPUTED_VALUE"""),0.8980845983640479)</f>
        <v>0.8980845984</v>
      </c>
      <c r="AJ14" s="80">
        <f>IFERROR(__xludf.DUMMYFUNCTION("""COMPUTED_VALUE"""),0.7438692721755198)</f>
        <v>0.7438692722</v>
      </c>
      <c r="AK14" s="80">
        <f>IFERROR(__xludf.DUMMYFUNCTION("""COMPUTED_VALUE"""),0.6628109783151181)</f>
        <v>0.6628109783</v>
      </c>
      <c r="AL14" s="80">
        <f>IFERROR(__xludf.DUMMYFUNCTION("""COMPUTED_VALUE"""),1.0419947644158956)</f>
        <v>1.041994764</v>
      </c>
      <c r="AM14" s="80">
        <f>IFERROR(__xludf.DUMMYFUNCTION("""COMPUTED_VALUE"""),0.8178800476212408)</f>
        <v>0.8178800476</v>
      </c>
      <c r="AN14" s="80">
        <f>IFERROR(__xludf.DUMMYFUNCTION("""COMPUTED_VALUE"""),1.052184506202991)</f>
        <v>1.052184506</v>
      </c>
      <c r="AO14" s="80">
        <f>IFERROR(__xludf.DUMMYFUNCTION("""COMPUTED_VALUE"""),1.0401716452510748)</f>
        <v>1.040171645</v>
      </c>
      <c r="AP14" s="80">
        <f>IFERROR(__xludf.DUMMYFUNCTION("""COMPUTED_VALUE"""),1.2059270348137376)</f>
        <v>1.205927035</v>
      </c>
      <c r="AQ14" s="80">
        <f>IFERROR(__xludf.DUMMYFUNCTION("""COMPUTED_VALUE"""),0.94757867068609)</f>
        <v>0.9475786707</v>
      </c>
      <c r="AR14" s="80">
        <f>IFERROR(__xludf.DUMMYFUNCTION("""COMPUTED_VALUE"""),1.0422935084037566)</f>
        <v>1.042293508</v>
      </c>
      <c r="AS14" s="80">
        <f>IFERROR(__xludf.DUMMYFUNCTION("""COMPUTED_VALUE"""),91.0)</f>
        <v>91</v>
      </c>
      <c r="AT14" s="80">
        <f>IFERROR(__xludf.DUMMYFUNCTION("""COMPUTED_VALUE"""),0.7001352904919365)</f>
        <v>0.7001352905</v>
      </c>
      <c r="AU14" s="80">
        <f>IFERROR(__xludf.DUMMYFUNCTION("""COMPUTED_VALUE"""),3.127048026188196)</f>
        <v>3.127048026</v>
      </c>
      <c r="AV14" s="80">
        <f>IFERROR(__xludf.DUMMYFUNCTION("""COMPUTED_VALUE"""),67.23142031430663)</f>
        <v>67.23142031</v>
      </c>
      <c r="AW14" s="82">
        <f t="shared" si="1"/>
        <v>4.076128462</v>
      </c>
      <c r="AX14" s="83">
        <f t="array" ref="AX14">IFERROR(DGET('SBV Import'!A:G,"SBV",{"RSC ID","Tier";B14,A14}))</f>
        <v>57.45508678</v>
      </c>
      <c r="AY14" s="82">
        <f t="shared" si="2"/>
        <v>2.612508076</v>
      </c>
      <c r="AZ14" s="82">
        <v>1.463620385129465</v>
      </c>
      <c r="BA14" s="84">
        <v>2.0</v>
      </c>
      <c r="BB14" s="84" t="b">
        <f>IFERROR(__xludf.DUMMYFUNCTION("iferror(if(A14="""",,E14&gt;=FILTER(Constants!$F$2:$F$10,Constants!$A$2:$A$10=A14)))"),TRUE)</f>
        <v>1</v>
      </c>
    </row>
    <row r="15">
      <c r="A15" s="80" t="str">
        <f>IFERROR(__xludf.DUMMYFUNCTION("""COMPUTED_VALUE"""),"Premier")</f>
        <v>Premier</v>
      </c>
      <c r="B15" s="79" t="str">
        <f>IFERROR(__xludf.DUMMYFUNCTION("""COMPUTED_VALUE"""),"RSC001177")</f>
        <v>RSC001177</v>
      </c>
      <c r="C15" s="80" t="str">
        <f>IFERROR(__xludf.DUMMYFUNCTION("""COMPUTED_VALUE"""),"Calster")</f>
        <v>Calster</v>
      </c>
      <c r="D15" s="80" t="str">
        <f>IFERROR(__xludf.DUMMYFUNCTION("""COMPUTED_VALUE"""),"Crooked Capos")</f>
        <v>Crooked Capos</v>
      </c>
      <c r="E15" s="80">
        <f>IFERROR(__xludf.DUMMYFUNCTION("""COMPUTED_VALUE"""),16.0)</f>
        <v>16</v>
      </c>
      <c r="F15" s="80">
        <f>IFERROR(__xludf.DUMMYFUNCTION("""COMPUTED_VALUE"""),7.0)</f>
        <v>7</v>
      </c>
      <c r="G15" s="80">
        <f>IFERROR(__xludf.DUMMYFUNCTION("""COMPUTED_VALUE"""),9.0)</f>
        <v>9</v>
      </c>
      <c r="H15" s="81">
        <f>IFERROR(__xludf.DUMMYFUNCTION("""COMPUTED_VALUE"""),0.4375)</f>
        <v>0.4375</v>
      </c>
      <c r="I15" s="81">
        <f>IFERROR(__xludf.DUMMYFUNCTION("""COMPUTED_VALUE"""),0.3448275862068966)</f>
        <v>0.3448275862</v>
      </c>
      <c r="J15" s="80">
        <f>IFERROR(__xludf.DUMMYFUNCTION("""COMPUTED_VALUE"""),368.0625)</f>
        <v>368.0625</v>
      </c>
      <c r="K15" s="80">
        <f>IFERROR(__xludf.DUMMYFUNCTION("""COMPUTED_VALUE"""),0.625)</f>
        <v>0.625</v>
      </c>
      <c r="L15" s="80">
        <f>IFERROR(__xludf.DUMMYFUNCTION("""COMPUTED_VALUE"""),1.125)</f>
        <v>1.125</v>
      </c>
      <c r="M15" s="80">
        <f>IFERROR(__xludf.DUMMYFUNCTION("""COMPUTED_VALUE"""),1.3125)</f>
        <v>1.3125</v>
      </c>
      <c r="N15" s="80">
        <f>IFERROR(__xludf.DUMMYFUNCTION("""COMPUTED_VALUE"""),1.8125)</f>
        <v>1.8125</v>
      </c>
      <c r="O15" s="80">
        <f>IFERROR(__xludf.DUMMYFUNCTION("""COMPUTED_VALUE"""),383.3333333333333)</f>
        <v>383.3333333</v>
      </c>
      <c r="P15" s="80">
        <f>IFERROR(__xludf.DUMMYFUNCTION("""COMPUTED_VALUE"""),0.8958333333333335)</f>
        <v>0.8958333333</v>
      </c>
      <c r="Q15" s="80">
        <f>IFERROR(__xludf.DUMMYFUNCTION("""COMPUTED_VALUE"""),0.6875)</f>
        <v>0.6875</v>
      </c>
      <c r="R15" s="80">
        <f>IFERROR(__xludf.DUMMYFUNCTION("""COMPUTED_VALUE"""),1.3125)</f>
        <v>1.3125</v>
      </c>
      <c r="S15" s="80">
        <f>IFERROR(__xludf.DUMMYFUNCTION("""COMPUTED_VALUE"""),2.9166666666666665)</f>
        <v>2.916666667</v>
      </c>
      <c r="T15" s="80">
        <f>IFERROR(__xludf.DUMMYFUNCTION("""COMPUTED_VALUE"""),381.8760377536456)</f>
        <v>381.8760378</v>
      </c>
      <c r="U15" s="80">
        <f>IFERROR(__xludf.DUMMYFUNCTION("""COMPUTED_VALUE"""),0.904599762756513)</f>
        <v>0.9045997628</v>
      </c>
      <c r="V15" s="80">
        <f>IFERROR(__xludf.DUMMYFUNCTION("""COMPUTED_VALUE"""),0.683310329849175)</f>
        <v>0.6833103298</v>
      </c>
      <c r="W15" s="80">
        <f>IFERROR(__xludf.DUMMYFUNCTION("""COMPUTED_VALUE"""),1.3596625199869572)</f>
        <v>1.35966252</v>
      </c>
      <c r="X15" s="80">
        <f>IFERROR(__xludf.DUMMYFUNCTION("""COMPUTED_VALUE"""),2.832803713691726)</f>
        <v>2.832803714</v>
      </c>
      <c r="Y15" s="80">
        <f>IFERROR(__xludf.DUMMYFUNCTION("""COMPUTED_VALUE"""),361.2991407269104)</f>
        <v>361.2991407</v>
      </c>
      <c r="Z15" s="80">
        <f>IFERROR(__xludf.DUMMYFUNCTION("""COMPUTED_VALUE"""),0.7914813074891014)</f>
        <v>0.7914813075</v>
      </c>
      <c r="AA15" s="80">
        <f>IFERROR(__xludf.DUMMYFUNCTION("""COMPUTED_VALUE"""),0.6022827719797597)</f>
        <v>0.602282772</v>
      </c>
      <c r="AB15" s="80">
        <f>IFERROR(__xludf.DUMMYFUNCTION("""COMPUTED_VALUE"""),1.431526408528452)</f>
        <v>1.431526409</v>
      </c>
      <c r="AC15" s="80">
        <f>IFERROR(__xludf.DUMMYFUNCTION("""COMPUTED_VALUE"""),2.6027000060029994)</f>
        <v>2.602700006</v>
      </c>
      <c r="AD15" s="80">
        <f>IFERROR(__xludf.DUMMYFUNCTION("""COMPUTED_VALUE"""),1.0187195553786321)</f>
        <v>1.018719555</v>
      </c>
      <c r="AE15" s="80">
        <f>IFERROR(__xludf.DUMMYFUNCTION("""COMPUTED_VALUE"""),0.7896585732172913)</f>
        <v>0.7896585732</v>
      </c>
      <c r="AF15" s="80">
        <f>IFERROR(__xludf.DUMMYFUNCTION("""COMPUTED_VALUE"""),1.8678933755684561)</f>
        <v>1.867893376</v>
      </c>
      <c r="AG15" s="80">
        <f>IFERROR(__xludf.DUMMYFUNCTION("""COMPUTED_VALUE"""),0.9168535013958938)</f>
        <v>0.9168535014</v>
      </c>
      <c r="AH15" s="80">
        <f>IFERROR(__xludf.DUMMYFUNCTION("""COMPUTED_VALUE"""),0.6963922064854028)</f>
        <v>0.6963922065</v>
      </c>
      <c r="AI15" s="80">
        <f>IFERROR(__xludf.DUMMYFUNCTION("""COMPUTED_VALUE"""),1.0038161482670138)</f>
        <v>1.003816148</v>
      </c>
      <c r="AJ15" s="80">
        <f>IFERROR(__xludf.DUMMYFUNCTION("""COMPUTED_VALUE"""),0.9903090518214749)</f>
        <v>0.9903090518</v>
      </c>
      <c r="AK15" s="80">
        <f>IFERROR(__xludf.DUMMYFUNCTION("""COMPUTED_VALUE"""),1.0061314310172214)</f>
        <v>1.006131431</v>
      </c>
      <c r="AL15" s="80">
        <f>IFERROR(__xludf.DUMMYFUNCTION("""COMPUTED_VALUE"""),0.9653130690199435)</f>
        <v>0.965313069</v>
      </c>
      <c r="AM15" s="80">
        <f>IFERROR(__xludf.DUMMYFUNCTION("""COMPUTED_VALUE"""),1.0296042230422136)</f>
        <v>1.029604223</v>
      </c>
      <c r="AN15" s="80">
        <f>IFERROR(__xludf.DUMMYFUNCTION("""COMPUTED_VALUE"""),0.999319610737154)</f>
        <v>0.9993196107</v>
      </c>
      <c r="AO15" s="80">
        <f>IFERROR(__xludf.DUMMYFUNCTION("""COMPUTED_VALUE"""),0.780128733938306)</f>
        <v>0.7801287339</v>
      </c>
      <c r="AP15" s="80">
        <f>IFERROR(__xludf.DUMMYFUNCTION("""COMPUTED_VALUE"""),1.8500017011347114)</f>
        <v>1.850001701</v>
      </c>
      <c r="AQ15" s="80">
        <f>IFERROR(__xludf.DUMMYFUNCTION("""COMPUTED_VALUE"""),0.8883550037682095)</f>
        <v>0.8883550038</v>
      </c>
      <c r="AR15" s="80">
        <f>IFERROR(__xludf.DUMMYFUNCTION("""COMPUTED_VALUE"""),0.6828278255355935)</f>
        <v>0.6828278255</v>
      </c>
      <c r="AS15" s="80">
        <f>IFERROR(__xludf.DUMMYFUNCTION("""COMPUTED_VALUE"""),44.0)</f>
        <v>44</v>
      </c>
      <c r="AT15" s="80">
        <f>IFERROR(__xludf.DUMMYFUNCTION("""COMPUTED_VALUE"""),0.50934284010562)</f>
        <v>0.5093428401</v>
      </c>
      <c r="AU15" s="80">
        <f>IFERROR(__xludf.DUMMYFUNCTION("""COMPUTED_VALUE"""),3.050111144815638)</f>
        <v>3.050111145</v>
      </c>
      <c r="AV15" s="80">
        <f>IFERROR(__xludf.DUMMYFUNCTION("""COMPUTED_VALUE"""),65.06817189497197)</f>
        <v>65.06817189</v>
      </c>
      <c r="AW15" s="82">
        <f t="shared" si="1"/>
        <v>3.658377762</v>
      </c>
      <c r="AX15" s="83">
        <f t="array" ref="AX15">IFERROR(DGET('SBV Import'!A:G,"SBV",{"RSC ID","Tier";B15,A15}))</f>
        <v>43.9018577</v>
      </c>
      <c r="AY15" s="82">
        <f t="shared" si="2"/>
        <v>-2.477429469</v>
      </c>
      <c r="AZ15" s="82">
        <v>6.135807231318915</v>
      </c>
      <c r="BA15" s="84">
        <v>2.0</v>
      </c>
      <c r="BB15" s="84" t="b">
        <f>IFERROR(__xludf.DUMMYFUNCTION("iferror(if(A15="""",,E15&gt;=FILTER(Constants!$F$2:$F$10,Constants!$A$2:$A$10=A15)))"),TRUE)</f>
        <v>1</v>
      </c>
    </row>
    <row r="16">
      <c r="A16" s="80" t="str">
        <f>IFERROR(__xludf.DUMMYFUNCTION("""COMPUTED_VALUE"""),"Premier")</f>
        <v>Premier</v>
      </c>
      <c r="B16" s="79" t="str">
        <f>IFERROR(__xludf.DUMMYFUNCTION("""COMPUTED_VALUE"""),"RSC004090")</f>
        <v>RSC004090</v>
      </c>
      <c r="C16" s="80" t="str">
        <f>IFERROR(__xludf.DUMMYFUNCTION("""COMPUTED_VALUE"""),"LikeWisse")</f>
        <v>LikeWisse</v>
      </c>
      <c r="D16" s="80" t="str">
        <f>IFERROR(__xludf.DUMMYFUNCTION("""COMPUTED_VALUE"""),"Super Clusters")</f>
        <v>Super Clusters</v>
      </c>
      <c r="E16" s="80">
        <f>IFERROR(__xludf.DUMMYFUNCTION("""COMPUTED_VALUE"""),34.0)</f>
        <v>34</v>
      </c>
      <c r="F16" s="80">
        <f>IFERROR(__xludf.DUMMYFUNCTION("""COMPUTED_VALUE"""),17.0)</f>
        <v>17</v>
      </c>
      <c r="G16" s="80">
        <f>IFERROR(__xludf.DUMMYFUNCTION("""COMPUTED_VALUE"""),17.0)</f>
        <v>17</v>
      </c>
      <c r="H16" s="81">
        <f>IFERROR(__xludf.DUMMYFUNCTION("""COMPUTED_VALUE"""),0.5)</f>
        <v>0.5</v>
      </c>
      <c r="I16" s="81">
        <f>IFERROR(__xludf.DUMMYFUNCTION("""COMPUTED_VALUE"""),0.38636363636363635)</f>
        <v>0.3863636364</v>
      </c>
      <c r="J16" s="80">
        <f>IFERROR(__xludf.DUMMYFUNCTION("""COMPUTED_VALUE"""),391.3235294117647)</f>
        <v>391.3235294</v>
      </c>
      <c r="K16" s="80">
        <f>IFERROR(__xludf.DUMMYFUNCTION("""COMPUTED_VALUE"""),1.0)</f>
        <v>1</v>
      </c>
      <c r="L16" s="80">
        <f>IFERROR(__xludf.DUMMYFUNCTION("""COMPUTED_VALUE"""),0.6764705882352942)</f>
        <v>0.6764705882</v>
      </c>
      <c r="M16" s="80">
        <f>IFERROR(__xludf.DUMMYFUNCTION("""COMPUTED_VALUE"""),1.4411764705882353)</f>
        <v>1.441176471</v>
      </c>
      <c r="N16" s="80">
        <f>IFERROR(__xludf.DUMMYFUNCTION("""COMPUTED_VALUE"""),2.588235294117647)</f>
        <v>2.588235294</v>
      </c>
      <c r="O16" s="80">
        <f>IFERROR(__xludf.DUMMYFUNCTION("""COMPUTED_VALUE"""),368.8039215686274)</f>
        <v>368.8039216</v>
      </c>
      <c r="P16" s="80">
        <f>IFERROR(__xludf.DUMMYFUNCTION("""COMPUTED_VALUE"""),0.8431372549019608)</f>
        <v>0.8431372549</v>
      </c>
      <c r="Q16" s="80">
        <f>IFERROR(__xludf.DUMMYFUNCTION("""COMPUTED_VALUE"""),0.6470588235294119)</f>
        <v>0.6470588235</v>
      </c>
      <c r="R16" s="80">
        <f>IFERROR(__xludf.DUMMYFUNCTION("""COMPUTED_VALUE"""),1.3039215686274512)</f>
        <v>1.303921569</v>
      </c>
      <c r="S16" s="80">
        <f>IFERROR(__xludf.DUMMYFUNCTION("""COMPUTED_VALUE"""),2.4607843137254894)</f>
        <v>2.460784314</v>
      </c>
      <c r="T16" s="80">
        <f>IFERROR(__xludf.DUMMYFUNCTION("""COMPUTED_VALUE"""),377.0175098888717)</f>
        <v>377.0175099</v>
      </c>
      <c r="U16" s="80">
        <f>IFERROR(__xludf.DUMMYFUNCTION("""COMPUTED_VALUE"""),0.8885105770061943)</f>
        <v>0.888510577</v>
      </c>
      <c r="V16" s="80">
        <f>IFERROR(__xludf.DUMMYFUNCTION("""COMPUTED_VALUE"""),0.6082253810268665)</f>
        <v>0.608225381</v>
      </c>
      <c r="W16" s="80">
        <f>IFERROR(__xludf.DUMMYFUNCTION("""COMPUTED_VALUE"""),1.4292331265909977)</f>
        <v>1.429233127</v>
      </c>
      <c r="X16" s="80">
        <f>IFERROR(__xludf.DUMMYFUNCTION("""COMPUTED_VALUE"""),2.8129780569417884)</f>
        <v>2.812978057</v>
      </c>
      <c r="Y16" s="80">
        <f>IFERROR(__xludf.DUMMYFUNCTION("""COMPUTED_VALUE"""),378.4495995521209)</f>
        <v>378.4495996</v>
      </c>
      <c r="Z16" s="80">
        <f>IFERROR(__xludf.DUMMYFUNCTION("""COMPUTED_VALUE"""),0.8321823031311159)</f>
        <v>0.8321823031</v>
      </c>
      <c r="AA16" s="80">
        <f>IFERROR(__xludf.DUMMYFUNCTION("""COMPUTED_VALUE"""),0.6404160061108234)</f>
        <v>0.6404160061</v>
      </c>
      <c r="AB16" s="80">
        <f>IFERROR(__xludf.DUMMYFUNCTION("""COMPUTED_VALUE"""),1.5064544527809112)</f>
        <v>1.506454453</v>
      </c>
      <c r="AC16" s="80">
        <f>IFERROR(__xludf.DUMMYFUNCTION("""COMPUTED_VALUE"""),2.7501609606080426)</f>
        <v>2.750160961</v>
      </c>
      <c r="AD16" s="80">
        <f>IFERROR(__xludf.DUMMYFUNCTION("""COMPUTED_VALUE"""),1.0340175544507897)</f>
        <v>1.034017554</v>
      </c>
      <c r="AE16" s="80">
        <f>IFERROR(__xludf.DUMMYFUNCTION("""COMPUTED_VALUE"""),1.201659776034006)</f>
        <v>1.201659776</v>
      </c>
      <c r="AF16" s="80">
        <f>IFERROR(__xludf.DUMMYFUNCTION("""COMPUTED_VALUE"""),1.0562986898835123)</f>
        <v>1.05629869</v>
      </c>
      <c r="AG16" s="80">
        <f>IFERROR(__xludf.DUMMYFUNCTION("""COMPUTED_VALUE"""),0.9566678022875681)</f>
        <v>0.9566678023</v>
      </c>
      <c r="AH16" s="80">
        <f>IFERROR(__xludf.DUMMYFUNCTION("""COMPUTED_VALUE"""),0.941121385689878)</f>
        <v>0.9411213857</v>
      </c>
      <c r="AI16" s="80">
        <f>IFERROR(__xludf.DUMMYFUNCTION("""COMPUTED_VALUE"""),0.9782143054239966)</f>
        <v>0.9782143054</v>
      </c>
      <c r="AJ16" s="80">
        <f>IFERROR(__xludf.DUMMYFUNCTION("""COMPUTED_VALUE"""),0.9489332785917785)</f>
        <v>0.9489332786</v>
      </c>
      <c r="AK16" s="80">
        <f>IFERROR(__xludf.DUMMYFUNCTION("""COMPUTED_VALUE"""),1.0638471259403592)</f>
        <v>1.063847126</v>
      </c>
      <c r="AL16" s="80">
        <f>IFERROR(__xludf.DUMMYFUNCTION("""COMPUTED_VALUE"""),0.9123225206356369)</f>
        <v>0.9123225206</v>
      </c>
      <c r="AM16" s="80">
        <f>IFERROR(__xludf.DUMMYFUNCTION("""COMPUTED_VALUE"""),0.8747968394751018)</f>
        <v>0.8747968395</v>
      </c>
      <c r="AN16" s="80">
        <f>IFERROR(__xludf.DUMMYFUNCTION("""COMPUTED_VALUE"""),1.0624751966963597)</f>
        <v>1.062475197</v>
      </c>
      <c r="AO16" s="80">
        <f>IFERROR(__xludf.DUMMYFUNCTION("""COMPUTED_VALUE"""),1.2482059743012897)</f>
        <v>1.248205974</v>
      </c>
      <c r="AP16" s="80">
        <f>IFERROR(__xludf.DUMMYFUNCTION("""COMPUTED_VALUE"""),1.1124193235581272)</f>
        <v>1.112419324</v>
      </c>
      <c r="AQ16" s="80">
        <f>IFERROR(__xludf.DUMMYFUNCTION("""COMPUTED_VALUE"""),0.9754486315886222)</f>
        <v>0.9754486316</v>
      </c>
      <c r="AR16" s="80">
        <f>IFERROR(__xludf.DUMMYFUNCTION("""COMPUTED_VALUE"""),0.9750725946796306)</f>
        <v>0.9750725947</v>
      </c>
      <c r="AS16" s="80">
        <f>IFERROR(__xludf.DUMMYFUNCTION("""COMPUTED_VALUE"""),95.0)</f>
        <v>95</v>
      </c>
      <c r="AT16" s="80">
        <f>IFERROR(__xludf.DUMMYFUNCTION("""COMPUTED_VALUE"""),0.5401214672917835)</f>
        <v>0.5401214673</v>
      </c>
      <c r="AU16" s="80">
        <f>IFERROR(__xludf.DUMMYFUNCTION("""COMPUTED_VALUE"""),2.9840898790625423)</f>
        <v>2.984089879</v>
      </c>
      <c r="AV16" s="80">
        <f>IFERROR(__xludf.DUMMYFUNCTION("""COMPUTED_VALUE"""),63.211839844141025)</f>
        <v>63.21183984</v>
      </c>
      <c r="AW16" s="82">
        <f t="shared" si="1"/>
        <v>3.349126305</v>
      </c>
      <c r="AX16" s="83">
        <f t="array" ref="AX16">IFERROR(DGET('SBV Import'!A:G,"SBV",{"RSC ID","Tier";B16,A16}))</f>
        <v>62.58292382</v>
      </c>
      <c r="AY16" s="82">
        <f t="shared" si="2"/>
        <v>3.253400275</v>
      </c>
      <c r="AZ16" s="82">
        <v>0.0957260302520413</v>
      </c>
      <c r="BA16" s="84">
        <v>2.0</v>
      </c>
      <c r="BB16" s="84" t="b">
        <f>IFERROR(__xludf.DUMMYFUNCTION("iferror(if(A16="""",,E16&gt;=FILTER(Constants!$F$2:$F$10,Constants!$A$2:$A$10=A16)))"),TRUE)</f>
        <v>1</v>
      </c>
    </row>
    <row r="17">
      <c r="A17" s="80" t="str">
        <f>IFERROR(__xludf.DUMMYFUNCTION("""COMPUTED_VALUE"""),"Premier")</f>
        <v>Premier</v>
      </c>
      <c r="B17" s="79" t="str">
        <f>IFERROR(__xludf.DUMMYFUNCTION("""COMPUTED_VALUE"""),"RSC007188")</f>
        <v>RSC007188</v>
      </c>
      <c r="C17" s="80" t="str">
        <f>IFERROR(__xludf.DUMMYFUNCTION("""COMPUTED_VALUE"""),"spoody")</f>
        <v>spoody</v>
      </c>
      <c r="D17" s="80"/>
      <c r="E17" s="80">
        <f>IFERROR(__xludf.DUMMYFUNCTION("""COMPUTED_VALUE"""),28.0)</f>
        <v>28</v>
      </c>
      <c r="F17" s="80">
        <f>IFERROR(__xludf.DUMMYFUNCTION("""COMPUTED_VALUE"""),12.0)</f>
        <v>12</v>
      </c>
      <c r="G17" s="80">
        <f>IFERROR(__xludf.DUMMYFUNCTION("""COMPUTED_VALUE"""),16.0)</f>
        <v>16</v>
      </c>
      <c r="H17" s="81">
        <f>IFERROR(__xludf.DUMMYFUNCTION("""COMPUTED_VALUE"""),0.42857142857142855)</f>
        <v>0.4285714286</v>
      </c>
      <c r="I17" s="81">
        <f>IFERROR(__xludf.DUMMYFUNCTION("""COMPUTED_VALUE"""),0.29069767441860467)</f>
        <v>0.2906976744</v>
      </c>
      <c r="J17" s="80">
        <f>IFERROR(__xludf.DUMMYFUNCTION("""COMPUTED_VALUE"""),389.64285714285717)</f>
        <v>389.6428571</v>
      </c>
      <c r="K17" s="80">
        <f>IFERROR(__xludf.DUMMYFUNCTION("""COMPUTED_VALUE"""),0.8928571428571429)</f>
        <v>0.8928571429</v>
      </c>
      <c r="L17" s="80">
        <f>IFERROR(__xludf.DUMMYFUNCTION("""COMPUTED_VALUE"""),0.6785714285714286)</f>
        <v>0.6785714286</v>
      </c>
      <c r="M17" s="80">
        <f>IFERROR(__xludf.DUMMYFUNCTION("""COMPUTED_VALUE"""),1.5357142857142858)</f>
        <v>1.535714286</v>
      </c>
      <c r="N17" s="80">
        <f>IFERROR(__xludf.DUMMYFUNCTION("""COMPUTED_VALUE"""),3.0714285714285716)</f>
        <v>3.071428571</v>
      </c>
      <c r="O17" s="80">
        <f>IFERROR(__xludf.DUMMYFUNCTION("""COMPUTED_VALUE"""),394.38095238095235)</f>
        <v>394.3809524</v>
      </c>
      <c r="P17" s="80">
        <f>IFERROR(__xludf.DUMMYFUNCTION("""COMPUTED_VALUE"""),0.9047619047619049)</f>
        <v>0.9047619048</v>
      </c>
      <c r="Q17" s="80">
        <f>IFERROR(__xludf.DUMMYFUNCTION("""COMPUTED_VALUE"""),0.7142857142857143)</f>
        <v>0.7142857143</v>
      </c>
      <c r="R17" s="80">
        <f>IFERROR(__xludf.DUMMYFUNCTION("""COMPUTED_VALUE"""),1.5357142857142854)</f>
        <v>1.535714286</v>
      </c>
      <c r="S17" s="80">
        <f>IFERROR(__xludf.DUMMYFUNCTION("""COMPUTED_VALUE"""),2.75)</f>
        <v>2.75</v>
      </c>
      <c r="T17" s="80">
        <f>IFERROR(__xludf.DUMMYFUNCTION("""COMPUTED_VALUE"""),384.46262091674674)</f>
        <v>384.4626209</v>
      </c>
      <c r="U17" s="80">
        <f>IFERROR(__xludf.DUMMYFUNCTION("""COMPUTED_VALUE"""),0.8204017865071113)</f>
        <v>0.8204017865</v>
      </c>
      <c r="V17" s="80">
        <f>IFERROR(__xludf.DUMMYFUNCTION("""COMPUTED_VALUE"""),0.6811146180597404)</f>
        <v>0.6811146181</v>
      </c>
      <c r="W17" s="80">
        <f>IFERROR(__xludf.DUMMYFUNCTION("""COMPUTED_VALUE"""),1.520638335472199)</f>
        <v>1.520638335</v>
      </c>
      <c r="X17" s="80">
        <f>IFERROR(__xludf.DUMMYFUNCTION("""COMPUTED_VALUE"""),2.838015038372656)</f>
        <v>2.838015038</v>
      </c>
      <c r="Y17" s="80">
        <f>IFERROR(__xludf.DUMMYFUNCTION("""COMPUTED_VALUE"""),379.05518349207387)</f>
        <v>379.0551835</v>
      </c>
      <c r="Z17" s="80">
        <f>IFERROR(__xludf.DUMMYFUNCTION("""COMPUTED_VALUE"""),0.8232554106120176)</f>
        <v>0.8232554106</v>
      </c>
      <c r="AA17" s="80">
        <f>IFERROR(__xludf.DUMMYFUNCTION("""COMPUTED_VALUE"""),0.6260481667986316)</f>
        <v>0.6260481668</v>
      </c>
      <c r="AB17" s="80">
        <f>IFERROR(__xludf.DUMMYFUNCTION("""COMPUTED_VALUE"""),1.5186368759419846)</f>
        <v>1.518636876</v>
      </c>
      <c r="AC17" s="80">
        <f>IFERROR(__xludf.DUMMYFUNCTION("""COMPUTED_VALUE"""),2.810087542814397)</f>
        <v>2.810087543</v>
      </c>
      <c r="AD17" s="80">
        <f>IFERROR(__xludf.DUMMYFUNCTION("""COMPUTED_VALUE"""),1.0279317474391025)</f>
        <v>1.027931747</v>
      </c>
      <c r="AE17" s="80">
        <f>IFERROR(__xludf.DUMMYFUNCTION("""COMPUTED_VALUE"""),1.084544518442196)</f>
        <v>1.084544518</v>
      </c>
      <c r="AF17" s="80">
        <f>IFERROR(__xludf.DUMMYFUNCTION("""COMPUTED_VALUE"""),1.0838965187636929)</f>
        <v>1.083896519</v>
      </c>
      <c r="AG17" s="80">
        <f>IFERROR(__xludf.DUMMYFUNCTION("""COMPUTED_VALUE"""),1.0112452226354034)</f>
        <v>1.011245223</v>
      </c>
      <c r="AH17" s="80">
        <f>IFERROR(__xludf.DUMMYFUNCTION("""COMPUTED_VALUE"""),1.093001027417257)</f>
        <v>1.093001027</v>
      </c>
      <c r="AI17" s="80">
        <f>IFERROR(__xludf.DUMMYFUNCTION("""COMPUTED_VALUE"""),1.025797908365072)</f>
        <v>1.025797908</v>
      </c>
      <c r="AJ17" s="80">
        <f>IFERROR(__xludf.DUMMYFUNCTION("""COMPUTED_VALUE"""),1.1028278090592167)</f>
        <v>1.102827809</v>
      </c>
      <c r="AK17" s="80">
        <f>IFERROR(__xludf.DUMMYFUNCTION("""COMPUTED_VALUE"""),1.0487011955791918)</f>
        <v>1.048701196</v>
      </c>
      <c r="AL17" s="80">
        <f>IFERROR(__xludf.DUMMYFUNCTION("""COMPUTED_VALUE"""),1.009914224763645)</f>
        <v>1.009914225</v>
      </c>
      <c r="AM17" s="80">
        <f>IFERROR(__xludf.DUMMYFUNCTION("""COMPUTED_VALUE"""),0.9689871134639495)</f>
        <v>0.9689871135</v>
      </c>
      <c r="AN17" s="80">
        <f>IFERROR(__xludf.DUMMYFUNCTION("""COMPUTED_VALUE"""),1.057912034848735)</f>
        <v>1.057912035</v>
      </c>
      <c r="AO17" s="80">
        <f>IFERROR(__xludf.DUMMYFUNCTION("""COMPUTED_VALUE"""),1.1144696199118658)</f>
        <v>1.11446962</v>
      </c>
      <c r="AP17" s="80">
        <f>IFERROR(__xludf.DUMMYFUNCTION("""COMPUTED_VALUE"""),1.1158740419542705)</f>
        <v>1.115874042</v>
      </c>
      <c r="AQ17" s="80">
        <f>IFERROR(__xludf.DUMMYFUNCTION("""COMPUTED_VALUE"""),1.0394357867219868)</f>
        <v>1.039435787</v>
      </c>
      <c r="AR17" s="80">
        <f>IFERROR(__xludf.DUMMYFUNCTION("""COMPUTED_VALUE"""),1.1571072511539122)</f>
        <v>1.157107251</v>
      </c>
      <c r="AS17" s="80">
        <f>IFERROR(__xludf.DUMMYFUNCTION("""COMPUTED_VALUE"""),70.0)</f>
        <v>70</v>
      </c>
      <c r="AT17" s="80">
        <f>IFERROR(__xludf.DUMMYFUNCTION("""COMPUTED_VALUE"""),0.4670225509757698)</f>
        <v>0.467022551</v>
      </c>
      <c r="AU17" s="80">
        <f>IFERROR(__xludf.DUMMYFUNCTION("""COMPUTED_VALUE"""),2.960945839613248)</f>
        <v>2.96094584</v>
      </c>
      <c r="AV17" s="80">
        <f>IFERROR(__xludf.DUMMYFUNCTION("""COMPUTED_VALUE"""),62.561094637648125)</f>
        <v>62.56109464</v>
      </c>
      <c r="AW17" s="82">
        <f t="shared" si="1"/>
        <v>3.250154376</v>
      </c>
      <c r="AX17" s="83">
        <f t="array" ref="AX17">IFERROR(DGET('SBV Import'!A:G,"SBV",{"RSC ID","Tier";B17,A17}))</f>
        <v>57.13621879</v>
      </c>
      <c r="AY17" s="82">
        <f t="shared" si="2"/>
        <v>2.579645383</v>
      </c>
      <c r="AZ17" s="82">
        <v>0.6705089929659107</v>
      </c>
      <c r="BA17" s="84">
        <v>2.0</v>
      </c>
      <c r="BB17" s="84" t="b">
        <f>IFERROR(__xludf.DUMMYFUNCTION("iferror(if(A17="""",,E17&gt;=FILTER(Constants!$F$2:$F$10,Constants!$A$2:$A$10=A17)))"),TRUE)</f>
        <v>1</v>
      </c>
    </row>
    <row r="18">
      <c r="A18" s="80" t="str">
        <f>IFERROR(__xludf.DUMMYFUNCTION("""COMPUTED_VALUE"""),"Premier")</f>
        <v>Premier</v>
      </c>
      <c r="B18" s="79" t="str">
        <f>IFERROR(__xludf.DUMMYFUNCTION("""COMPUTED_VALUE"""),"RSC004370")</f>
        <v>RSC004370</v>
      </c>
      <c r="C18" s="80" t="str">
        <f>IFERROR(__xludf.DUMMYFUNCTION("""COMPUTED_VALUE"""),"Nightfang")</f>
        <v>Nightfang</v>
      </c>
      <c r="D18" s="80" t="str">
        <f>IFERROR(__xludf.DUMMYFUNCTION("""COMPUTED_VALUE"""),"Old Heads")</f>
        <v>Old Heads</v>
      </c>
      <c r="E18" s="80">
        <f>IFERROR(__xludf.DUMMYFUNCTION("""COMPUTED_VALUE"""),31.0)</f>
        <v>31</v>
      </c>
      <c r="F18" s="80">
        <f>IFERROR(__xludf.DUMMYFUNCTION("""COMPUTED_VALUE"""),18.0)</f>
        <v>18</v>
      </c>
      <c r="G18" s="80">
        <f>IFERROR(__xludf.DUMMYFUNCTION("""COMPUTED_VALUE"""),13.0)</f>
        <v>13</v>
      </c>
      <c r="H18" s="81">
        <f>IFERROR(__xludf.DUMMYFUNCTION("""COMPUTED_VALUE"""),0.5806451612903226)</f>
        <v>0.5806451613</v>
      </c>
      <c r="I18" s="81">
        <f>IFERROR(__xludf.DUMMYFUNCTION("""COMPUTED_VALUE"""),0.36708860759493667)</f>
        <v>0.3670886076</v>
      </c>
      <c r="J18" s="80">
        <f>IFERROR(__xludf.DUMMYFUNCTION("""COMPUTED_VALUE"""),362.03225806451616)</f>
        <v>362.0322581</v>
      </c>
      <c r="K18" s="80">
        <f>IFERROR(__xludf.DUMMYFUNCTION("""COMPUTED_VALUE"""),0.9354838709677419)</f>
        <v>0.935483871</v>
      </c>
      <c r="L18" s="80">
        <f>IFERROR(__xludf.DUMMYFUNCTION("""COMPUTED_VALUE"""),0.7419354838709677)</f>
        <v>0.7419354839</v>
      </c>
      <c r="M18" s="80">
        <f>IFERROR(__xludf.DUMMYFUNCTION("""COMPUTED_VALUE"""),1.1612903225806452)</f>
        <v>1.161290323</v>
      </c>
      <c r="N18" s="80">
        <f>IFERROR(__xludf.DUMMYFUNCTION("""COMPUTED_VALUE"""),2.5483870967741935)</f>
        <v>2.548387097</v>
      </c>
      <c r="O18" s="80">
        <f>IFERROR(__xludf.DUMMYFUNCTION("""COMPUTED_VALUE"""),366.5698924731182)</f>
        <v>366.5698925</v>
      </c>
      <c r="P18" s="80">
        <f>IFERROR(__xludf.DUMMYFUNCTION("""COMPUTED_VALUE"""),0.8709677419354839)</f>
        <v>0.8709677419</v>
      </c>
      <c r="Q18" s="80">
        <f>IFERROR(__xludf.DUMMYFUNCTION("""COMPUTED_VALUE"""),0.6559139784946236)</f>
        <v>0.6559139785</v>
      </c>
      <c r="R18" s="80">
        <f>IFERROR(__xludf.DUMMYFUNCTION("""COMPUTED_VALUE"""),1.4408602150537635)</f>
        <v>1.440860215</v>
      </c>
      <c r="S18" s="80">
        <f>IFERROR(__xludf.DUMMYFUNCTION("""COMPUTED_VALUE"""),2.6559139784946235)</f>
        <v>2.655913978</v>
      </c>
      <c r="T18" s="80">
        <f>IFERROR(__xludf.DUMMYFUNCTION("""COMPUTED_VALUE"""),379.0792591697208)</f>
        <v>379.0792592</v>
      </c>
      <c r="U18" s="80">
        <f>IFERROR(__xludf.DUMMYFUNCTION("""COMPUTED_VALUE"""),0.8497533993263212)</f>
        <v>0.8497533993</v>
      </c>
      <c r="V18" s="80">
        <f>IFERROR(__xludf.DUMMYFUNCTION("""COMPUTED_VALUE"""),0.6882951542025771)</f>
        <v>0.6882951542</v>
      </c>
      <c r="W18" s="80">
        <f>IFERROR(__xludf.DUMMYFUNCTION("""COMPUTED_VALUE"""),1.4533217789068607)</f>
        <v>1.453321779</v>
      </c>
      <c r="X18" s="80">
        <f>IFERROR(__xludf.DUMMYFUNCTION("""COMPUTED_VALUE"""),2.757562507939128)</f>
        <v>2.757562508</v>
      </c>
      <c r="Y18" s="80">
        <f>IFERROR(__xludf.DUMMYFUNCTION("""COMPUTED_VALUE"""),376.7940498957167)</f>
        <v>376.7940499</v>
      </c>
      <c r="Z18" s="80">
        <f>IFERROR(__xludf.DUMMYFUNCTION("""COMPUTED_VALUE"""),0.8360630034277218)</f>
        <v>0.8360630034</v>
      </c>
      <c r="AA18" s="80">
        <f>IFERROR(__xludf.DUMMYFUNCTION("""COMPUTED_VALUE"""),0.6421739002765713)</f>
        <v>0.6421739003</v>
      </c>
      <c r="AB18" s="80">
        <f>IFERROR(__xludf.DUMMYFUNCTION("""COMPUTED_VALUE"""),1.4553381221075057)</f>
        <v>1.455338122</v>
      </c>
      <c r="AC18" s="80">
        <f>IFERROR(__xludf.DUMMYFUNCTION("""COMPUTED_VALUE"""),2.7599339037268273)</f>
        <v>2.759933904</v>
      </c>
      <c r="AD18" s="80">
        <f>IFERROR(__xludf.DUMMYFUNCTION("""COMPUTED_VALUE"""),0.9608226514317674)</f>
        <v>0.9608226514</v>
      </c>
      <c r="AE18" s="80">
        <f>IFERROR(__xludf.DUMMYFUNCTION("""COMPUTED_VALUE"""),1.1189155208787027)</f>
        <v>1.118915521</v>
      </c>
      <c r="AF18" s="80">
        <f>IFERROR(__xludf.DUMMYFUNCTION("""COMPUTED_VALUE"""),1.1553497947385143)</f>
        <v>1.155349795</v>
      </c>
      <c r="AG18" s="80">
        <f>IFERROR(__xludf.DUMMYFUNCTION("""COMPUTED_VALUE"""),0.7979522455571743)</f>
        <v>0.7979522456</v>
      </c>
      <c r="AH18" s="80">
        <f>IFERROR(__xludf.DUMMYFUNCTION("""COMPUTED_VALUE"""),0.9233507705865799)</f>
        <v>0.9233507706</v>
      </c>
      <c r="AI18" s="80">
        <f>IFERROR(__xludf.DUMMYFUNCTION("""COMPUTED_VALUE"""),0.9670006564748458)</f>
        <v>0.9670006565</v>
      </c>
      <c r="AJ18" s="80">
        <f>IFERROR(__xludf.DUMMYFUNCTION("""COMPUTED_VALUE"""),1.0249652930202824)</f>
        <v>1.024965293</v>
      </c>
      <c r="AK18" s="80">
        <f>IFERROR(__xludf.DUMMYFUNCTION("""COMPUTED_VALUE"""),0.9529545202951942)</f>
        <v>0.9529545203</v>
      </c>
      <c r="AL18" s="80">
        <f>IFERROR(__xludf.DUMMYFUNCTION("""COMPUTED_VALUE"""),0.9914254612887792)</f>
        <v>0.9914254613</v>
      </c>
      <c r="AM18" s="80">
        <f>IFERROR(__xludf.DUMMYFUNCTION("""COMPUTED_VALUE"""),0.9631382682525402)</f>
        <v>0.9631382683</v>
      </c>
      <c r="AN18" s="80">
        <f>IFERROR(__xludf.DUMMYFUNCTION("""COMPUTED_VALUE"""),0.9829470136276452)</f>
        <v>0.9829470136</v>
      </c>
      <c r="AO18" s="80">
        <f>IFERROR(__xludf.DUMMYFUNCTION("""COMPUTED_VALUE"""),1.167676556604432)</f>
        <v>1.167676557</v>
      </c>
      <c r="AP18" s="80">
        <f>IFERROR(__xludf.DUMMYFUNCTION("""COMPUTED_VALUE"""),1.2200728064831072)</f>
        <v>1.220072806</v>
      </c>
      <c r="AQ18" s="80">
        <f>IFERROR(__xludf.DUMMYFUNCTION("""COMPUTED_VALUE"""),0.7860099572511348)</f>
        <v>0.7860099573</v>
      </c>
      <c r="AR18" s="80">
        <f>IFERROR(__xludf.DUMMYFUNCTION("""COMPUTED_VALUE"""),0.9600604799521582)</f>
        <v>0.96006048</v>
      </c>
      <c r="AS18" s="80">
        <f>IFERROR(__xludf.DUMMYFUNCTION("""COMPUTED_VALUE"""),84.0)</f>
        <v>84</v>
      </c>
      <c r="AT18" s="80">
        <f>IFERROR(__xludf.DUMMYFUNCTION("""COMPUTED_VALUE"""),0.5146868044558263)</f>
        <v>0.5146868045</v>
      </c>
      <c r="AU18" s="80">
        <f>IFERROR(__xludf.DUMMYFUNCTION("""COMPUTED_VALUE"""),2.927071062691828)</f>
        <v>2.927071063</v>
      </c>
      <c r="AV18" s="80">
        <f>IFERROR(__xludf.DUMMYFUNCTION("""COMPUTED_VALUE"""),61.60863131546421)</f>
        <v>61.60863132</v>
      </c>
      <c r="AW18" s="82">
        <f t="shared" si="1"/>
        <v>3.113323057</v>
      </c>
      <c r="AX18" s="83">
        <f t="array" ref="AX18">IFERROR(DGET('SBV Import'!A:G,"SBV",{"RSC ID","Tier";B18,A18}))</f>
        <v>53.78219962</v>
      </c>
      <c r="AY18" s="82">
        <f t="shared" si="2"/>
        <v>2.273376872</v>
      </c>
      <c r="AZ18" s="82">
        <v>0.8399461849151204</v>
      </c>
      <c r="BA18" s="84">
        <v>2.0</v>
      </c>
      <c r="BB18" s="84" t="b">
        <f>IFERROR(__xludf.DUMMYFUNCTION("iferror(if(A18="""",,E18&gt;=FILTER(Constants!$F$2:$F$10,Constants!$A$2:$A$10=A18)))"),TRUE)</f>
        <v>1</v>
      </c>
    </row>
    <row r="19">
      <c r="A19" s="80" t="str">
        <f>IFERROR(__xludf.DUMMYFUNCTION("""COMPUTED_VALUE"""),"Premier")</f>
        <v>Premier</v>
      </c>
      <c r="B19" s="79" t="str">
        <f>IFERROR(__xludf.DUMMYFUNCTION("""COMPUTED_VALUE"""),"RSC006203")</f>
        <v>RSC006203</v>
      </c>
      <c r="C19" s="80" t="str">
        <f>IFERROR(__xludf.DUMMYFUNCTION("""COMPUTED_VALUE"""),"Lonzo Ball")</f>
        <v>Lonzo Ball</v>
      </c>
      <c r="D19" s="80" t="str">
        <f>IFERROR(__xludf.DUMMYFUNCTION("""COMPUTED_VALUE"""),"Capybaras")</f>
        <v>Capybaras</v>
      </c>
      <c r="E19" s="80">
        <f>IFERROR(__xludf.DUMMYFUNCTION("""COMPUTED_VALUE"""),32.0)</f>
        <v>32</v>
      </c>
      <c r="F19" s="80">
        <f>IFERROR(__xludf.DUMMYFUNCTION("""COMPUTED_VALUE"""),14.0)</f>
        <v>14</v>
      </c>
      <c r="G19" s="80">
        <f>IFERROR(__xludf.DUMMYFUNCTION("""COMPUTED_VALUE"""),18.0)</f>
        <v>18</v>
      </c>
      <c r="H19" s="81">
        <f>IFERROR(__xludf.DUMMYFUNCTION("""COMPUTED_VALUE"""),0.4375)</f>
        <v>0.4375</v>
      </c>
      <c r="I19" s="81">
        <f>IFERROR(__xludf.DUMMYFUNCTION("""COMPUTED_VALUE"""),0.31313131313131315)</f>
        <v>0.3131313131</v>
      </c>
      <c r="J19" s="80">
        <f>IFERROR(__xludf.DUMMYFUNCTION("""COMPUTED_VALUE"""),384.21875)</f>
        <v>384.21875</v>
      </c>
      <c r="K19" s="80">
        <f>IFERROR(__xludf.DUMMYFUNCTION("""COMPUTED_VALUE"""),0.96875)</f>
        <v>0.96875</v>
      </c>
      <c r="L19" s="80">
        <f>IFERROR(__xludf.DUMMYFUNCTION("""COMPUTED_VALUE"""),0.59375)</f>
        <v>0.59375</v>
      </c>
      <c r="M19" s="80">
        <f>IFERROR(__xludf.DUMMYFUNCTION("""COMPUTED_VALUE"""),1.25)</f>
        <v>1.25</v>
      </c>
      <c r="N19" s="80">
        <f>IFERROR(__xludf.DUMMYFUNCTION("""COMPUTED_VALUE"""),3.09375)</f>
        <v>3.09375</v>
      </c>
      <c r="O19" s="80">
        <f>IFERROR(__xludf.DUMMYFUNCTION("""COMPUTED_VALUE"""),394.8333333333333)</f>
        <v>394.8333333</v>
      </c>
      <c r="P19" s="80">
        <f>IFERROR(__xludf.DUMMYFUNCTION("""COMPUTED_VALUE"""),0.8854166666666667)</f>
        <v>0.8854166667</v>
      </c>
      <c r="Q19" s="80">
        <f>IFERROR(__xludf.DUMMYFUNCTION("""COMPUTED_VALUE"""),0.6875)</f>
        <v>0.6875</v>
      </c>
      <c r="R19" s="80">
        <f>IFERROR(__xludf.DUMMYFUNCTION("""COMPUTED_VALUE"""),1.6041666666666663)</f>
        <v>1.604166667</v>
      </c>
      <c r="S19" s="80">
        <f>IFERROR(__xludf.DUMMYFUNCTION("""COMPUTED_VALUE"""),2.65625)</f>
        <v>2.65625</v>
      </c>
      <c r="T19" s="80">
        <f>IFERROR(__xludf.DUMMYFUNCTION("""COMPUTED_VALUE"""),385.04416081816566)</f>
        <v>385.0441608</v>
      </c>
      <c r="U19" s="80">
        <f>IFERROR(__xludf.DUMMYFUNCTION("""COMPUTED_VALUE"""),0.8234628135418149)</f>
        <v>0.8234628135</v>
      </c>
      <c r="V19" s="80">
        <f>IFERROR(__xludf.DUMMYFUNCTION("""COMPUTED_VALUE"""),0.6780903005488617)</f>
        <v>0.6780903005</v>
      </c>
      <c r="W19" s="80">
        <f>IFERROR(__xludf.DUMMYFUNCTION("""COMPUTED_VALUE"""),1.5440436451811708)</f>
        <v>1.544043645</v>
      </c>
      <c r="X19" s="80">
        <f>IFERROR(__xludf.DUMMYFUNCTION("""COMPUTED_VALUE"""),2.7711617244351654)</f>
        <v>2.771161724</v>
      </c>
      <c r="Y19" s="80">
        <f>IFERROR(__xludf.DUMMYFUNCTION("""COMPUTED_VALUE"""),375.4928460308269)</f>
        <v>375.492846</v>
      </c>
      <c r="Z19" s="80">
        <f>IFERROR(__xludf.DUMMYFUNCTION("""COMPUTED_VALUE"""),0.8247530141286418)</f>
        <v>0.8247530141</v>
      </c>
      <c r="AA19" s="80">
        <f>IFERROR(__xludf.DUMMYFUNCTION("""COMPUTED_VALUE"""),0.6300754003811799)</f>
        <v>0.6300754004</v>
      </c>
      <c r="AB19" s="80">
        <f>IFERROR(__xludf.DUMMYFUNCTION("""COMPUTED_VALUE"""),1.4704837957354153)</f>
        <v>1.470483796</v>
      </c>
      <c r="AC19" s="80">
        <f>IFERROR(__xludf.DUMMYFUNCTION("""COMPUTED_VALUE"""),2.8323820162811715)</f>
        <v>2.832382016</v>
      </c>
      <c r="AD19" s="80">
        <f>IFERROR(__xludf.DUMMYFUNCTION("""COMPUTED_VALUE"""),1.0232385358640275)</f>
        <v>1.023238536</v>
      </c>
      <c r="AE19" s="80">
        <f>IFERROR(__xludf.DUMMYFUNCTION("""COMPUTED_VALUE"""),1.1745940704727127)</f>
        <v>1.17459407</v>
      </c>
      <c r="AF19" s="80">
        <f>IFERROR(__xludf.DUMMYFUNCTION("""COMPUTED_VALUE"""),0.9423475343439786)</f>
        <v>0.9423475343</v>
      </c>
      <c r="AG19" s="80">
        <f>IFERROR(__xludf.DUMMYFUNCTION("""COMPUTED_VALUE"""),0.8500603703523659)</f>
        <v>0.8500603704</v>
      </c>
      <c r="AH19" s="80">
        <f>IFERROR(__xludf.DUMMYFUNCTION("""COMPUTED_VALUE"""),1.0922785070009717)</f>
        <v>1.092278507</v>
      </c>
      <c r="AI19" s="80">
        <f>IFERROR(__xludf.DUMMYFUNCTION("""COMPUTED_VALUE"""),1.0254235059541406)</f>
        <v>1.025423506</v>
      </c>
      <c r="AJ19" s="80">
        <f>IFERROR(__xludf.DUMMYFUNCTION("""COMPUTED_VALUE"""),1.0752357630557483)</f>
        <v>1.075235763</v>
      </c>
      <c r="AK19" s="80">
        <f>IFERROR(__xludf.DUMMYFUNCTION("""COMPUTED_VALUE"""),1.013876764560003)</f>
        <v>1.013876765</v>
      </c>
      <c r="AL19" s="80">
        <f>IFERROR(__xludf.DUMMYFUNCTION("""COMPUTED_VALUE"""),1.0389386800516516)</f>
        <v>1.03893868</v>
      </c>
      <c r="AM19" s="80">
        <f>IFERROR(__xludf.DUMMYFUNCTION("""COMPUTED_VALUE"""),0.9585330139984568)</f>
        <v>0.958533014</v>
      </c>
      <c r="AN19" s="80">
        <f>IFERROR(__xludf.DUMMYFUNCTION("""COMPUTED_VALUE"""),1.0431851429795642)</f>
        <v>1.043185143</v>
      </c>
      <c r="AO19" s="80">
        <f>IFERROR(__xludf.DUMMYFUNCTION("""COMPUTED_VALUE"""),1.2091995376043743)</f>
        <v>1.209199538</v>
      </c>
      <c r="AP19" s="80">
        <f>IFERROR(__xludf.DUMMYFUNCTION("""COMPUTED_VALUE"""),0.9763897867099866)</f>
        <v>0.9763897867</v>
      </c>
      <c r="AQ19" s="80">
        <f>IFERROR(__xludf.DUMMYFUNCTION("""COMPUTED_VALUE"""),0.846052384541152)</f>
        <v>0.8460523845</v>
      </c>
      <c r="AR19" s="80">
        <f>IFERROR(__xludf.DUMMYFUNCTION("""COMPUTED_VALUE"""),1.1655164608279958)</f>
        <v>1.165516461</v>
      </c>
      <c r="AS19" s="80">
        <f>IFERROR(__xludf.DUMMYFUNCTION("""COMPUTED_VALUE"""),81.0)</f>
        <v>81</v>
      </c>
      <c r="AT19" s="80">
        <f>IFERROR(__xludf.DUMMYFUNCTION("""COMPUTED_VALUE"""),0.48068108617701755)</f>
        <v>0.4806810862</v>
      </c>
      <c r="AU19" s="80">
        <f>IFERROR(__xludf.DUMMYFUNCTION("""COMPUTED_VALUE"""),2.914007089998022)</f>
        <v>2.91400709</v>
      </c>
      <c r="AV19" s="80">
        <f>IFERROR(__xludf.DUMMYFUNCTION("""COMPUTED_VALUE"""),61.241309196658044)</f>
        <v>61.2413092</v>
      </c>
      <c r="AW19" s="82">
        <f t="shared" si="1"/>
        <v>3.062969499</v>
      </c>
      <c r="AX19" s="83">
        <f t="array" ref="AX19">IFERROR(DGET('SBV Import'!A:G,"SBV",{"RSC ID","Tier";B19,A19}))</f>
        <v>54.9897586</v>
      </c>
      <c r="AY19" s="82">
        <f t="shared" si="2"/>
        <v>2.375858483</v>
      </c>
      <c r="AZ19" s="82">
        <v>0.6871110158703027</v>
      </c>
      <c r="BA19" s="84">
        <v>2.0</v>
      </c>
      <c r="BB19" s="84" t="b">
        <f>IFERROR(__xludf.DUMMYFUNCTION("iferror(if(A19="""",,E19&gt;=FILTER(Constants!$F$2:$F$10,Constants!$A$2:$A$10=A19)))"),TRUE)</f>
        <v>1</v>
      </c>
    </row>
    <row r="20">
      <c r="A20" s="80" t="str">
        <f>IFERROR(__xludf.DUMMYFUNCTION("""COMPUTED_VALUE"""),"Premier")</f>
        <v>Premier</v>
      </c>
      <c r="B20" s="79" t="str">
        <f>IFERROR(__xludf.DUMMYFUNCTION("""COMPUTED_VALUE"""),"RSC000462")</f>
        <v>RSC000462</v>
      </c>
      <c r="C20" s="80" t="str">
        <f>IFERROR(__xludf.DUMMYFUNCTION("""COMPUTED_VALUE"""),"Kruncho")</f>
        <v>Kruncho</v>
      </c>
      <c r="D20" s="80" t="str">
        <f>IFERROR(__xludf.DUMMYFUNCTION("""COMPUTED_VALUE"""),"Super Clusters")</f>
        <v>Super Clusters</v>
      </c>
      <c r="E20" s="80">
        <f>IFERROR(__xludf.DUMMYFUNCTION("""COMPUTED_VALUE"""),32.0)</f>
        <v>32</v>
      </c>
      <c r="F20" s="80">
        <f>IFERROR(__xludf.DUMMYFUNCTION("""COMPUTED_VALUE"""),15.0)</f>
        <v>15</v>
      </c>
      <c r="G20" s="80">
        <f>IFERROR(__xludf.DUMMYFUNCTION("""COMPUTED_VALUE"""),17.0)</f>
        <v>17</v>
      </c>
      <c r="H20" s="81">
        <f>IFERROR(__xludf.DUMMYFUNCTION("""COMPUTED_VALUE"""),0.46875)</f>
        <v>0.46875</v>
      </c>
      <c r="I20" s="81">
        <f>IFERROR(__xludf.DUMMYFUNCTION("""COMPUTED_VALUE"""),0.25)</f>
        <v>0.25</v>
      </c>
      <c r="J20" s="80">
        <f>IFERROR(__xludf.DUMMYFUNCTION("""COMPUTED_VALUE"""),362.78125)</f>
        <v>362.78125</v>
      </c>
      <c r="K20" s="80">
        <f>IFERROR(__xludf.DUMMYFUNCTION("""COMPUTED_VALUE"""),0.75)</f>
        <v>0.75</v>
      </c>
      <c r="L20" s="80">
        <f>IFERROR(__xludf.DUMMYFUNCTION("""COMPUTED_VALUE"""),0.75)</f>
        <v>0.75</v>
      </c>
      <c r="M20" s="80">
        <f>IFERROR(__xludf.DUMMYFUNCTION("""COMPUTED_VALUE"""),1.25)</f>
        <v>1.25</v>
      </c>
      <c r="N20" s="80">
        <f>IFERROR(__xludf.DUMMYFUNCTION("""COMPUTED_VALUE"""),3.0)</f>
        <v>3</v>
      </c>
      <c r="O20" s="80">
        <f>IFERROR(__xludf.DUMMYFUNCTION("""COMPUTED_VALUE"""),377.8020833333333)</f>
        <v>377.8020833</v>
      </c>
      <c r="P20" s="80">
        <f>IFERROR(__xludf.DUMMYFUNCTION("""COMPUTED_VALUE"""),0.8645833333333334)</f>
        <v>0.8645833333</v>
      </c>
      <c r="Q20" s="80">
        <f>IFERROR(__xludf.DUMMYFUNCTION("""COMPUTED_VALUE"""),0.6666666666666667)</f>
        <v>0.6666666667</v>
      </c>
      <c r="R20" s="80">
        <f>IFERROR(__xludf.DUMMYFUNCTION("""COMPUTED_VALUE"""),1.385416666666667)</f>
        <v>1.385416667</v>
      </c>
      <c r="S20" s="80">
        <f>IFERROR(__xludf.DUMMYFUNCTION("""COMPUTED_VALUE"""),2.499999999999999)</f>
        <v>2.5</v>
      </c>
      <c r="T20" s="80">
        <f>IFERROR(__xludf.DUMMYFUNCTION("""COMPUTED_VALUE"""),381.3408447540022)</f>
        <v>381.3408448</v>
      </c>
      <c r="U20" s="80">
        <f>IFERROR(__xludf.DUMMYFUNCTION("""COMPUTED_VALUE"""),0.8941382134937542)</f>
        <v>0.8941382135</v>
      </c>
      <c r="V20" s="80">
        <f>IFERROR(__xludf.DUMMYFUNCTION("""COMPUTED_VALUE"""),0.6050839164267229)</f>
        <v>0.6050839164</v>
      </c>
      <c r="W20" s="80">
        <f>IFERROR(__xludf.DUMMYFUNCTION("""COMPUTED_VALUE"""),1.474905342273519)</f>
        <v>1.474905342</v>
      </c>
      <c r="X20" s="80">
        <f>IFERROR(__xludf.DUMMYFUNCTION("""COMPUTED_VALUE"""),2.8487803091430886)</f>
        <v>2.848780309</v>
      </c>
      <c r="Y20" s="80">
        <f>IFERROR(__xludf.DUMMYFUNCTION("""COMPUTED_VALUE"""),377.9286312515953)</f>
        <v>377.9286313</v>
      </c>
      <c r="Z20" s="80">
        <f>IFERROR(__xludf.DUMMYFUNCTION("""COMPUTED_VALUE"""),0.8250654559493004)</f>
        <v>0.8250654559</v>
      </c>
      <c r="AA20" s="80">
        <f>IFERROR(__xludf.DUMMYFUNCTION("""COMPUTED_VALUE"""),0.6374705732800886)</f>
        <v>0.6374705733</v>
      </c>
      <c r="AB20" s="80">
        <f>IFERROR(__xludf.DUMMYFUNCTION("""COMPUTED_VALUE"""),1.5105127301476036)</f>
        <v>1.51051273</v>
      </c>
      <c r="AC20" s="80">
        <f>IFERROR(__xludf.DUMMYFUNCTION("""COMPUTED_VALUE"""),2.7604052288517447)</f>
        <v>2.760405229</v>
      </c>
      <c r="AD20" s="80">
        <f>IFERROR(__xludf.DUMMYFUNCTION("""COMPUTED_VALUE"""),0.9599199954726073)</f>
        <v>0.9599199955</v>
      </c>
      <c r="AE20" s="80">
        <f>IFERROR(__xludf.DUMMYFUNCTION("""COMPUTED_VALUE"""),0.9090187870452874)</f>
        <v>0.909018787</v>
      </c>
      <c r="AF20" s="80">
        <f>IFERROR(__xludf.DUMMYFUNCTION("""COMPUTED_VALUE"""),1.1765248961075867)</f>
        <v>1.176524896</v>
      </c>
      <c r="AG20" s="80">
        <f>IFERROR(__xludf.DUMMYFUNCTION("""COMPUTED_VALUE"""),0.8275335752237276)</f>
        <v>0.8275335752</v>
      </c>
      <c r="AH20" s="80">
        <f>IFERROR(__xludf.DUMMYFUNCTION("""COMPUTED_VALUE"""),1.0867969559845823)</f>
        <v>1.086796956</v>
      </c>
      <c r="AI20" s="80">
        <f>IFERROR(__xludf.DUMMYFUNCTION("""COMPUTED_VALUE"""),0.9907202140307008)</f>
        <v>0.990720214</v>
      </c>
      <c r="AJ20" s="80">
        <f>IFERROR(__xludf.DUMMYFUNCTION("""COMPUTED_VALUE"""),0.9669459601274191)</f>
        <v>0.9669459601</v>
      </c>
      <c r="AK20" s="80">
        <f>IFERROR(__xludf.DUMMYFUNCTION("""COMPUTED_VALUE"""),1.101775553056535)</f>
        <v>1.101775553</v>
      </c>
      <c r="AL20" s="80">
        <f>IFERROR(__xludf.DUMMYFUNCTION("""COMPUTED_VALUE"""),0.9393258177037259)</f>
        <v>0.9393258177</v>
      </c>
      <c r="AM20" s="80">
        <f>IFERROR(__xludf.DUMMYFUNCTION("""COMPUTED_VALUE"""),0.8775685481875567)</f>
        <v>0.8775685482</v>
      </c>
      <c r="AN20" s="80">
        <f>IFERROR(__xludf.DUMMYFUNCTION("""COMPUTED_VALUE"""),0.9849805876250315)</f>
        <v>0.9849805876</v>
      </c>
      <c r="AO20" s="80">
        <f>IFERROR(__xludf.DUMMYFUNCTION("""COMPUTED_VALUE"""),0.9361544807259672)</f>
        <v>0.9361544807</v>
      </c>
      <c r="AP20" s="80">
        <f>IFERROR(__xludf.DUMMYFUNCTION("""COMPUTED_VALUE"""),1.233334467423141)</f>
        <v>1.233334467</v>
      </c>
      <c r="AQ20" s="80">
        <f>IFERROR(__xludf.DUMMYFUNCTION("""COMPUTED_VALUE"""),0.846052384541152)</f>
        <v>0.8460523845</v>
      </c>
      <c r="AR20" s="80">
        <f>IFERROR(__xludf.DUMMYFUNCTION("""COMPUTED_VALUE"""),1.1301977801968444)</f>
        <v>1.13019778</v>
      </c>
      <c r="AS20" s="80">
        <f>IFERROR(__xludf.DUMMYFUNCTION("""COMPUTED_VALUE"""),84.0)</f>
        <v>84</v>
      </c>
      <c r="AT20" s="80">
        <f>IFERROR(__xludf.DUMMYFUNCTION("""COMPUTED_VALUE"""),0.5048104633165253)</f>
        <v>0.5048104633</v>
      </c>
      <c r="AU20" s="80">
        <f>IFERROR(__xludf.DUMMYFUNCTION("""COMPUTED_VALUE"""),2.90140242733922)</f>
        <v>2.901402427</v>
      </c>
      <c r="AV20" s="80">
        <f>IFERROR(__xludf.DUMMYFUNCTION("""COMPUTED_VALUE"""),60.88690158243642)</f>
        <v>60.88690158</v>
      </c>
      <c r="AW20" s="82">
        <f t="shared" si="1"/>
        <v>3.015604654</v>
      </c>
      <c r="AX20" s="83">
        <f t="array" ref="AX20">IFERROR(DGET('SBV Import'!A:G,"SBV",{"RSC ID","Tier";B20,A20}))</f>
        <v>59.65875978</v>
      </c>
      <c r="AY20" s="82">
        <f t="shared" si="2"/>
        <v>2.860259783</v>
      </c>
      <c r="AZ20" s="82">
        <v>0.15534487039342748</v>
      </c>
      <c r="BA20" s="84">
        <v>2.0</v>
      </c>
      <c r="BB20" s="84" t="b">
        <f>IFERROR(__xludf.DUMMYFUNCTION("iferror(if(A20="""",,E20&gt;=FILTER(Constants!$F$2:$F$10,Constants!$A$2:$A$10=A20)))"),TRUE)</f>
        <v>1</v>
      </c>
    </row>
    <row r="21">
      <c r="A21" s="80" t="str">
        <f>IFERROR(__xludf.DUMMYFUNCTION("""COMPUTED_VALUE"""),"Premier")</f>
        <v>Premier</v>
      </c>
      <c r="B21" s="79" t="str">
        <f>IFERROR(__xludf.DUMMYFUNCTION("""COMPUTED_VALUE"""),"RSC006029")</f>
        <v>RSC006029</v>
      </c>
      <c r="C21" s="80" t="str">
        <f>IFERROR(__xludf.DUMMYFUNCTION("""COMPUTED_VALUE"""),"bman.")</f>
        <v>bman.</v>
      </c>
      <c r="D21" s="80"/>
      <c r="E21" s="80">
        <f>IFERROR(__xludf.DUMMYFUNCTION("""COMPUTED_VALUE"""),12.0)</f>
        <v>12</v>
      </c>
      <c r="F21" s="80">
        <f>IFERROR(__xludf.DUMMYFUNCTION("""COMPUTED_VALUE"""),6.0)</f>
        <v>6</v>
      </c>
      <c r="G21" s="80">
        <f>IFERROR(__xludf.DUMMYFUNCTION("""COMPUTED_VALUE"""),6.0)</f>
        <v>6</v>
      </c>
      <c r="H21" s="81">
        <f>IFERROR(__xludf.DUMMYFUNCTION("""COMPUTED_VALUE"""),0.5)</f>
        <v>0.5</v>
      </c>
      <c r="I21" s="81">
        <f>IFERROR(__xludf.DUMMYFUNCTION("""COMPUTED_VALUE"""),0.29268292682926833)</f>
        <v>0.2926829268</v>
      </c>
      <c r="J21" s="80">
        <f>IFERROR(__xludf.DUMMYFUNCTION("""COMPUTED_VALUE"""),434.1666666666667)</f>
        <v>434.1666667</v>
      </c>
      <c r="K21" s="80">
        <f>IFERROR(__xludf.DUMMYFUNCTION("""COMPUTED_VALUE"""),1.0)</f>
        <v>1</v>
      </c>
      <c r="L21" s="80">
        <f>IFERROR(__xludf.DUMMYFUNCTION("""COMPUTED_VALUE"""),0.5833333333333334)</f>
        <v>0.5833333333</v>
      </c>
      <c r="M21" s="80">
        <f>IFERROR(__xludf.DUMMYFUNCTION("""COMPUTED_VALUE"""),1.5)</f>
        <v>1.5</v>
      </c>
      <c r="N21" s="80">
        <f>IFERROR(__xludf.DUMMYFUNCTION("""COMPUTED_VALUE"""),3.4166666666666665)</f>
        <v>3.416666667</v>
      </c>
      <c r="O21" s="80">
        <f>IFERROR(__xludf.DUMMYFUNCTION("""COMPUTED_VALUE"""),399.1111111111111)</f>
        <v>399.1111111</v>
      </c>
      <c r="P21" s="80">
        <f>IFERROR(__xludf.DUMMYFUNCTION("""COMPUTED_VALUE"""),0.861111111111111)</f>
        <v>0.8611111111</v>
      </c>
      <c r="Q21" s="80">
        <f>IFERROR(__xludf.DUMMYFUNCTION("""COMPUTED_VALUE"""),0.5833333333333334)</f>
        <v>0.5833333333</v>
      </c>
      <c r="R21" s="80">
        <f>IFERROR(__xludf.DUMMYFUNCTION("""COMPUTED_VALUE"""),1.611111111111111)</f>
        <v>1.611111111</v>
      </c>
      <c r="S21" s="80">
        <f>IFERROR(__xludf.DUMMYFUNCTION("""COMPUTED_VALUE"""),3.0833333333333335)</f>
        <v>3.083333333</v>
      </c>
      <c r="T21" s="80">
        <f>IFERROR(__xludf.DUMMYFUNCTION("""COMPUTED_VALUE"""),357.3909502137961)</f>
        <v>357.3909502</v>
      </c>
      <c r="U21" s="80">
        <f>IFERROR(__xludf.DUMMYFUNCTION("""COMPUTED_VALUE"""),0.7328151808733302)</f>
        <v>0.7328151809</v>
      </c>
      <c r="V21" s="80">
        <f>IFERROR(__xludf.DUMMYFUNCTION("""COMPUTED_VALUE"""),0.5403770714620083)</f>
        <v>0.5403770715</v>
      </c>
      <c r="W21" s="80">
        <f>IFERROR(__xludf.DUMMYFUNCTION("""COMPUTED_VALUE"""),1.4832434032113337)</f>
        <v>1.483243403</v>
      </c>
      <c r="X21" s="80">
        <f>IFERROR(__xludf.DUMMYFUNCTION("""COMPUTED_VALUE"""),2.5766627777628055)</f>
        <v>2.576662778</v>
      </c>
      <c r="Y21" s="80">
        <f>IFERROR(__xludf.DUMMYFUNCTION("""COMPUTED_VALUE"""),385.1724058253958)</f>
        <v>385.1724058</v>
      </c>
      <c r="Z21" s="80">
        <f>IFERROR(__xludf.DUMMYFUNCTION("""COMPUTED_VALUE"""),0.9105792179406439)</f>
        <v>0.9105792179</v>
      </c>
      <c r="AA21" s="80">
        <f>IFERROR(__xludf.DUMMYFUNCTION("""COMPUTED_VALUE"""),0.7184999411112408)</f>
        <v>0.7184999411</v>
      </c>
      <c r="AB21" s="80">
        <f>IFERROR(__xludf.DUMMYFUNCTION("""COMPUTED_VALUE"""),1.436106465719589)</f>
        <v>1.436106466</v>
      </c>
      <c r="AC21" s="80">
        <f>IFERROR(__xludf.DUMMYFUNCTION("""COMPUTED_VALUE"""),2.8939704460773608)</f>
        <v>2.893970446</v>
      </c>
      <c r="AD21" s="80">
        <f>IFERROR(__xludf.DUMMYFUNCTION("""COMPUTED_VALUE"""),1.1272008588888391)</f>
        <v>1.127200859</v>
      </c>
      <c r="AE21" s="80">
        <f>IFERROR(__xludf.DUMMYFUNCTION("""COMPUTED_VALUE"""),1.0982020897221763)</f>
        <v>1.09820209</v>
      </c>
      <c r="AF21" s="80">
        <f>IFERROR(__xludf.DUMMYFUNCTION("""COMPUTED_VALUE"""),0.8118766612995721)</f>
        <v>0.8118766613</v>
      </c>
      <c r="AG21" s="80">
        <f>IFERROR(__xludf.DUMMYFUNCTION("""COMPUTED_VALUE"""),1.0444908060826785)</f>
        <v>1.044490806</v>
      </c>
      <c r="AH21" s="80">
        <f>IFERROR(__xludf.DUMMYFUNCTION("""COMPUTED_VALUE"""),1.1806156041772284)</f>
        <v>1.180615604</v>
      </c>
      <c r="AI21" s="80">
        <f>IFERROR(__xludf.DUMMYFUNCTION("""COMPUTED_VALUE"""),1.1167353590580775)</f>
        <v>1.116735359</v>
      </c>
      <c r="AJ21" s="80">
        <f>IFERROR(__xludf.DUMMYFUNCTION("""COMPUTED_VALUE"""),1.175072697163403)</f>
        <v>1.175072697</v>
      </c>
      <c r="AK21" s="80">
        <f>IFERROR(__xludf.DUMMYFUNCTION("""COMPUTED_VALUE"""),1.0794931245974324)</f>
        <v>1.079493125</v>
      </c>
      <c r="AL21" s="80">
        <f>IFERROR(__xludf.DUMMYFUNCTION("""COMPUTED_VALUE"""),1.0862081756931694)</f>
        <v>1.086208176</v>
      </c>
      <c r="AM21" s="80">
        <f>IFERROR(__xludf.DUMMYFUNCTION("""COMPUTED_VALUE"""),1.196638287300617)</f>
        <v>1.196638287</v>
      </c>
      <c r="AN21" s="80">
        <f>IFERROR(__xludf.DUMMYFUNCTION("""COMPUTED_VALUE"""),1.1787977974620643)</f>
        <v>1.178797797</v>
      </c>
      <c r="AO21" s="80">
        <f>IFERROR(__xludf.DUMMYFUNCTION("""COMPUTED_VALUE"""),1.2482059743012897)</f>
        <v>1.248205974</v>
      </c>
      <c r="AP21" s="80">
        <f>IFERROR(__xludf.DUMMYFUNCTION("""COMPUTED_VALUE"""),0.9592601413291096)</f>
        <v>0.9592601413</v>
      </c>
      <c r="AQ21" s="80">
        <f>IFERROR(__xludf.DUMMYFUNCTION("""COMPUTED_VALUE"""),1.0152628614493824)</f>
        <v>1.015262861</v>
      </c>
      <c r="AR21" s="80">
        <f>IFERROR(__xludf.DUMMYFUNCTION("""COMPUTED_VALUE"""),1.2871696941130728)</f>
        <v>1.287169694</v>
      </c>
      <c r="AS21" s="80">
        <f>IFERROR(__xludf.DUMMYFUNCTION("""COMPUTED_VALUE"""),34.0)</f>
        <v>34</v>
      </c>
      <c r="AT21" s="80">
        <f>IFERROR(__xludf.DUMMYFUNCTION("""COMPUTED_VALUE"""),0.5374329717670739)</f>
        <v>0.5374329718</v>
      </c>
      <c r="AU21" s="80">
        <f>IFERROR(__xludf.DUMMYFUNCTION("""COMPUTED_VALUE"""),2.875601720855679)</f>
        <v>2.875601721</v>
      </c>
      <c r="AV21" s="80">
        <f>IFERROR(__xludf.DUMMYFUNCTION("""COMPUTED_VALUE"""),60.16145838117164)</f>
        <v>60.16145838</v>
      </c>
      <c r="AW21" s="82">
        <f t="shared" si="1"/>
        <v>2.922242639</v>
      </c>
      <c r="AX21" s="83">
        <f t="array" ref="AX21">IFERROR(DGET('SBV Import'!A:G,"SBV",{"RSC ID","Tier";B21,A21}))</f>
        <v>56.58139294</v>
      </c>
      <c r="AY21" s="82">
        <f t="shared" si="2"/>
        <v>2.524125948</v>
      </c>
      <c r="AZ21" s="82">
        <v>0.3981166912285721</v>
      </c>
      <c r="BA21" s="84">
        <v>2.0</v>
      </c>
      <c r="BB21" s="84" t="b">
        <f>IFERROR(__xludf.DUMMYFUNCTION("iferror(if(A21="""",,E21&gt;=FILTER(Constants!$F$2:$F$10,Constants!$A$2:$A$10=A21)))"),TRUE)</f>
        <v>1</v>
      </c>
    </row>
    <row r="22">
      <c r="A22" s="80" t="str">
        <f>IFERROR(__xludf.DUMMYFUNCTION("""COMPUTED_VALUE"""),"Premier")</f>
        <v>Premier</v>
      </c>
      <c r="B22" s="79" t="str">
        <f>IFERROR(__xludf.DUMMYFUNCTION("""COMPUTED_VALUE"""),"RSC007541")</f>
        <v>RSC007541</v>
      </c>
      <c r="C22" s="80" t="str">
        <f>IFERROR(__xludf.DUMMYFUNCTION("""COMPUTED_VALUE"""),"Water RL")</f>
        <v>Water RL</v>
      </c>
      <c r="D22" s="80" t="str">
        <f>IFERROR(__xludf.DUMMYFUNCTION("""COMPUTED_VALUE"""),"Interstellar")</f>
        <v>Interstellar</v>
      </c>
      <c r="E22" s="80">
        <f>IFERROR(__xludf.DUMMYFUNCTION("""COMPUTED_VALUE"""),28.0)</f>
        <v>28</v>
      </c>
      <c r="F22" s="80">
        <f>IFERROR(__xludf.DUMMYFUNCTION("""COMPUTED_VALUE"""),13.0)</f>
        <v>13</v>
      </c>
      <c r="G22" s="80">
        <f>IFERROR(__xludf.DUMMYFUNCTION("""COMPUTED_VALUE"""),15.0)</f>
        <v>15</v>
      </c>
      <c r="H22" s="81">
        <f>IFERROR(__xludf.DUMMYFUNCTION("""COMPUTED_VALUE"""),0.4642857142857143)</f>
        <v>0.4642857143</v>
      </c>
      <c r="I22" s="81">
        <f>IFERROR(__xludf.DUMMYFUNCTION("""COMPUTED_VALUE"""),0.33333333333333337)</f>
        <v>0.3333333333</v>
      </c>
      <c r="J22" s="80">
        <f>IFERROR(__xludf.DUMMYFUNCTION("""COMPUTED_VALUE"""),413.07142857142856)</f>
        <v>413.0714286</v>
      </c>
      <c r="K22" s="80">
        <f>IFERROR(__xludf.DUMMYFUNCTION("""COMPUTED_VALUE"""),0.8928571428571429)</f>
        <v>0.8928571429</v>
      </c>
      <c r="L22" s="80">
        <f>IFERROR(__xludf.DUMMYFUNCTION("""COMPUTED_VALUE"""),0.75)</f>
        <v>0.75</v>
      </c>
      <c r="M22" s="80">
        <f>IFERROR(__xludf.DUMMYFUNCTION("""COMPUTED_VALUE"""),1.7142857142857142)</f>
        <v>1.714285714</v>
      </c>
      <c r="N22" s="80">
        <f>IFERROR(__xludf.DUMMYFUNCTION("""COMPUTED_VALUE"""),2.6785714285714284)</f>
        <v>2.678571429</v>
      </c>
      <c r="O22" s="80">
        <f>IFERROR(__xludf.DUMMYFUNCTION("""COMPUTED_VALUE"""),356.38095238095235)</f>
        <v>356.3809524</v>
      </c>
      <c r="P22" s="80">
        <f>IFERROR(__xludf.DUMMYFUNCTION("""COMPUTED_VALUE"""),0.880952380952381)</f>
        <v>0.880952381</v>
      </c>
      <c r="Q22" s="80">
        <f>IFERROR(__xludf.DUMMYFUNCTION("""COMPUTED_VALUE"""),0.7023809523809524)</f>
        <v>0.7023809524</v>
      </c>
      <c r="R22" s="80">
        <f>IFERROR(__xludf.DUMMYFUNCTION("""COMPUTED_VALUE"""),1.1190476190476188)</f>
        <v>1.119047619</v>
      </c>
      <c r="S22" s="80">
        <f>IFERROR(__xludf.DUMMYFUNCTION("""COMPUTED_VALUE"""),3.023809523809524)</f>
        <v>3.023809524</v>
      </c>
      <c r="T22" s="80">
        <f>IFERROR(__xludf.DUMMYFUNCTION("""COMPUTED_VALUE"""),370.24950538514867)</f>
        <v>370.2495054</v>
      </c>
      <c r="U22" s="80">
        <f>IFERROR(__xludf.DUMMYFUNCTION("""COMPUTED_VALUE"""),0.8124479228247007)</f>
        <v>0.8124479228</v>
      </c>
      <c r="V22" s="80">
        <f>IFERROR(__xludf.DUMMYFUNCTION("""COMPUTED_VALUE"""),0.609762851265594)</f>
        <v>0.6097628513</v>
      </c>
      <c r="W22" s="80">
        <f>IFERROR(__xludf.DUMMYFUNCTION("""COMPUTED_VALUE"""),1.4455870966314535)</f>
        <v>1.445587097</v>
      </c>
      <c r="X22" s="80">
        <f>IFERROR(__xludf.DUMMYFUNCTION("""COMPUTED_VALUE"""),2.8112620978747684)</f>
        <v>2.811262098</v>
      </c>
      <c r="Y22" s="80">
        <f>IFERROR(__xludf.DUMMYFUNCTION("""COMPUTED_VALUE"""),385.5531497870794)</f>
        <v>385.5531498</v>
      </c>
      <c r="Z22" s="80">
        <f>IFERROR(__xludf.DUMMYFUNCTION("""COMPUTED_VALUE"""),0.8645673827487469)</f>
        <v>0.8645673827</v>
      </c>
      <c r="AA22" s="80">
        <f>IFERROR(__xludf.DUMMYFUNCTION("""COMPUTED_VALUE"""),0.695191198617637)</f>
        <v>0.6951911986</v>
      </c>
      <c r="AB22" s="80">
        <f>IFERROR(__xludf.DUMMYFUNCTION("""COMPUTED_VALUE"""),1.4802729576078686)</f>
        <v>1.480272958</v>
      </c>
      <c r="AC22" s="80">
        <f>IFERROR(__xludf.DUMMYFUNCTION("""COMPUTED_VALUE"""),2.7413951578556346)</f>
        <v>2.741395158</v>
      </c>
      <c r="AD22" s="80">
        <f>IFERROR(__xludf.DUMMYFUNCTION("""COMPUTED_VALUE"""),1.0713735027182272)</f>
        <v>1.071373503</v>
      </c>
      <c r="AE22" s="80">
        <f>IFERROR(__xludf.DUMMYFUNCTION("""COMPUTED_VALUE"""),1.032721290061225)</f>
        <v>1.03272129</v>
      </c>
      <c r="AF22" s="80">
        <f>IFERROR(__xludf.DUMMYFUNCTION("""COMPUTED_VALUE"""),1.0788398954005003)</f>
        <v>1.078839895</v>
      </c>
      <c r="AG22" s="80">
        <f>IFERROR(__xludf.DUMMYFUNCTION("""COMPUTED_VALUE"""),1.1580875712652428)</f>
        <v>1.158087571</v>
      </c>
      <c r="AH22" s="80">
        <f>IFERROR(__xludf.DUMMYFUNCTION("""COMPUTED_VALUE"""),0.9770833004121346)</f>
        <v>0.9770833004</v>
      </c>
      <c r="AI22" s="80">
        <f>IFERROR(__xludf.DUMMYFUNCTION("""COMPUTED_VALUE"""),0.9625426832379703)</f>
        <v>0.9625426832</v>
      </c>
      <c r="AJ22" s="80">
        <f>IFERROR(__xludf.DUMMYFUNCTION("""COMPUTED_VALUE"""),1.0843185836324198)</f>
        <v>1.084318584</v>
      </c>
      <c r="AK22" s="80">
        <f>IFERROR(__xludf.DUMMYFUNCTION("""COMPUTED_VALUE"""),1.1518920034618783)</f>
        <v>1.151892003</v>
      </c>
      <c r="AL22" s="80">
        <f>IFERROR(__xludf.DUMMYFUNCTION("""COMPUTED_VALUE"""),0.7741128996345181)</f>
        <v>0.7741128996</v>
      </c>
      <c r="AM22" s="80">
        <f>IFERROR(__xludf.DUMMYFUNCTION("""COMPUTED_VALUE"""),1.0756056954260633)</f>
        <v>1.075605695</v>
      </c>
      <c r="AN22" s="80">
        <f>IFERROR(__xludf.DUMMYFUNCTION("""COMPUTED_VALUE"""),1.1215225110046259)</f>
        <v>1.121522511</v>
      </c>
      <c r="AO22" s="80">
        <f>IFERROR(__xludf.DUMMYFUNCTION("""COMPUTED_VALUE"""),1.1144696199118658)</f>
        <v>1.11446962</v>
      </c>
      <c r="AP22" s="80">
        <f>IFERROR(__xludf.DUMMYFUNCTION("""COMPUTED_VALUE"""),1.233334467423141)</f>
        <v>1.233334467</v>
      </c>
      <c r="AQ22" s="80">
        <f>IFERROR(__xludf.DUMMYFUNCTION("""COMPUTED_VALUE"""),1.1603004130850083)</f>
        <v>1.160300413</v>
      </c>
      <c r="AR22" s="80">
        <f>IFERROR(__xludf.DUMMYFUNCTION("""COMPUTED_VALUE"""),1.0091051608900397)</f>
        <v>1.009105161</v>
      </c>
      <c r="AS22" s="80">
        <f>IFERROR(__xludf.DUMMYFUNCTION("""COMPUTED_VALUE"""),68.0)</f>
        <v>68</v>
      </c>
      <c r="AT22" s="80">
        <f>IFERROR(__xludf.DUMMYFUNCTION("""COMPUTED_VALUE"""),0.4663637529746043)</f>
        <v>0.466363753</v>
      </c>
      <c r="AU22" s="80">
        <f>IFERROR(__xludf.DUMMYFUNCTION("""COMPUTED_VALUE"""),2.859656447148579)</f>
        <v>2.859656447</v>
      </c>
      <c r="AV22" s="80">
        <f>IFERROR(__xludf.DUMMYFUNCTION("""COMPUTED_VALUE"""),59.713122192761396)</f>
        <v>59.71312219</v>
      </c>
      <c r="AW22" s="82">
        <f t="shared" si="1"/>
        <v>2.866858887</v>
      </c>
      <c r="AX22" s="83">
        <f t="array" ref="AX22">IFERROR(DGET('SBV Import'!A:G,"SBV",{"RSC ID","Tier";B22,A22}))</f>
        <v>66.31781538</v>
      </c>
      <c r="AY22" s="82">
        <f t="shared" si="2"/>
        <v>3.891492972</v>
      </c>
      <c r="AZ22" s="82">
        <v>1.02463408439657</v>
      </c>
      <c r="BA22" s="84">
        <v>2.0</v>
      </c>
      <c r="BB22" s="84" t="b">
        <f>IFERROR(__xludf.DUMMYFUNCTION("iferror(if(A22="""",,E22&gt;=FILTER(Constants!$F$2:$F$10,Constants!$A$2:$A$10=A22)))"),TRUE)</f>
        <v>1</v>
      </c>
    </row>
    <row r="23">
      <c r="A23" s="80" t="str">
        <f>IFERROR(__xludf.DUMMYFUNCTION("""COMPUTED_VALUE"""),"Premier")</f>
        <v>Premier</v>
      </c>
      <c r="B23" s="79" t="str">
        <f>IFERROR(__xludf.DUMMYFUNCTION("""COMPUTED_VALUE"""),"RSC005170")</f>
        <v>RSC005170</v>
      </c>
      <c r="C23" s="80" t="str">
        <f>IFERROR(__xludf.DUMMYFUNCTION("""COMPUTED_VALUE"""),"FrenchyNF")</f>
        <v>FrenchyNF</v>
      </c>
      <c r="D23" s="80" t="str">
        <f>IFERROR(__xludf.DUMMYFUNCTION("""COMPUTED_VALUE"""),"Super Clusters")</f>
        <v>Super Clusters</v>
      </c>
      <c r="E23" s="80">
        <f>IFERROR(__xludf.DUMMYFUNCTION("""COMPUTED_VALUE"""),7.0)</f>
        <v>7</v>
      </c>
      <c r="F23" s="80">
        <f>IFERROR(__xludf.DUMMYFUNCTION("""COMPUTED_VALUE"""),4.0)</f>
        <v>4</v>
      </c>
      <c r="G23" s="80">
        <f>IFERROR(__xludf.DUMMYFUNCTION("""COMPUTED_VALUE"""),3.0)</f>
        <v>3</v>
      </c>
      <c r="H23" s="81">
        <f>IFERROR(__xludf.DUMMYFUNCTION("""COMPUTED_VALUE"""),0.5714285714285714)</f>
        <v>0.5714285714</v>
      </c>
      <c r="I23" s="81">
        <f>IFERROR(__xludf.DUMMYFUNCTION("""COMPUTED_VALUE"""),0.3125)</f>
        <v>0.3125</v>
      </c>
      <c r="J23" s="80">
        <f>IFERROR(__xludf.DUMMYFUNCTION("""COMPUTED_VALUE"""),324.85714285714283)</f>
        <v>324.8571429</v>
      </c>
      <c r="K23" s="80">
        <f>IFERROR(__xludf.DUMMYFUNCTION("""COMPUTED_VALUE"""),0.7142857142857143)</f>
        <v>0.7142857143</v>
      </c>
      <c r="L23" s="80">
        <f>IFERROR(__xludf.DUMMYFUNCTION("""COMPUTED_VALUE"""),1.0)</f>
        <v>1</v>
      </c>
      <c r="M23" s="80">
        <f>IFERROR(__xludf.DUMMYFUNCTION("""COMPUTED_VALUE"""),1.1428571428571428)</f>
        <v>1.142857143</v>
      </c>
      <c r="N23" s="80">
        <f>IFERROR(__xludf.DUMMYFUNCTION("""COMPUTED_VALUE"""),2.2857142857142856)</f>
        <v>2.285714286</v>
      </c>
      <c r="O23" s="80">
        <f>IFERROR(__xludf.DUMMYFUNCTION("""COMPUTED_VALUE"""),326.5238095238095)</f>
        <v>326.5238095</v>
      </c>
      <c r="P23" s="80">
        <f>IFERROR(__xludf.DUMMYFUNCTION("""COMPUTED_VALUE"""),0.5714285714285714)</f>
        <v>0.5714285714</v>
      </c>
      <c r="Q23" s="80">
        <f>IFERROR(__xludf.DUMMYFUNCTION("""COMPUTED_VALUE"""),0.5238095238095238)</f>
        <v>0.5238095238</v>
      </c>
      <c r="R23" s="80">
        <f>IFERROR(__xludf.DUMMYFUNCTION("""COMPUTED_VALUE"""),1.3809523809523812)</f>
        <v>1.380952381</v>
      </c>
      <c r="S23" s="80">
        <f>IFERROR(__xludf.DUMMYFUNCTION("""COMPUTED_VALUE"""),2.238095238095238)</f>
        <v>2.238095238</v>
      </c>
      <c r="T23" s="80">
        <f>IFERROR(__xludf.DUMMYFUNCTION("""COMPUTED_VALUE"""),350.91613211215434)</f>
        <v>350.9161321</v>
      </c>
      <c r="U23" s="80">
        <f>IFERROR(__xludf.DUMMYFUNCTION("""COMPUTED_VALUE"""),0.722913402297346)</f>
        <v>0.7229134023</v>
      </c>
      <c r="V23" s="80">
        <f>IFERROR(__xludf.DUMMYFUNCTION("""COMPUTED_VALUE"""),0.48101524078159213)</f>
        <v>0.4810152408</v>
      </c>
      <c r="W23" s="80">
        <f>IFERROR(__xludf.DUMMYFUNCTION("""COMPUTED_VALUE"""),1.4845326749199332)</f>
        <v>1.484532675</v>
      </c>
      <c r="X23" s="80">
        <f>IFERROR(__xludf.DUMMYFUNCTION("""COMPUTED_VALUE"""),2.3923845070946697)</f>
        <v>2.392384507</v>
      </c>
      <c r="Y23" s="80">
        <f>IFERROR(__xludf.DUMMYFUNCTION("""COMPUTED_VALUE"""),386.7438183271799)</f>
        <v>386.7438183</v>
      </c>
      <c r="Z23" s="80">
        <f>IFERROR(__xludf.DUMMYFUNCTION("""COMPUTED_VALUE"""),0.9407130501910463)</f>
        <v>0.9407130502</v>
      </c>
      <c r="AA23" s="80">
        <f>IFERROR(__xludf.DUMMYFUNCTION("""COMPUTED_VALUE"""),0.7363804630196417)</f>
        <v>0.736380463</v>
      </c>
      <c r="AB23" s="80">
        <f>IFERROR(__xludf.DUMMYFUNCTION("""COMPUTED_VALUE"""),1.3706819389601612)</f>
        <v>1.370681939</v>
      </c>
      <c r="AC23" s="80">
        <f>IFERROR(__xludf.DUMMYFUNCTION("""COMPUTED_VALUE"""),2.9582658643536646)</f>
        <v>2.958265864</v>
      </c>
      <c r="AD23" s="80">
        <f>IFERROR(__xludf.DUMMYFUNCTION("""COMPUTED_VALUE"""),0.8399801818740854)</f>
        <v>0.8399801819</v>
      </c>
      <c r="AE23" s="80">
        <f>IFERROR(__xludf.DUMMYFUNCTION("""COMPUTED_VALUE"""),0.7593024399317649)</f>
        <v>0.7593024399</v>
      </c>
      <c r="AF23" s="80">
        <f>IFERROR(__xludf.DUMMYFUNCTION("""COMPUTED_VALUE"""),1.3579936598254465)</f>
        <v>1.35799366</v>
      </c>
      <c r="AG23" s="80">
        <f>IFERROR(__xludf.DUMMYFUNCTION("""COMPUTED_VALUE"""),0.833787263385222)</f>
        <v>0.8337872634</v>
      </c>
      <c r="AH23" s="80">
        <f>IFERROR(__xludf.DUMMYFUNCTION("""COMPUTED_VALUE"""),0.7726534363447685)</f>
        <v>0.7726534363</v>
      </c>
      <c r="AI23" s="80">
        <f>IFERROR(__xludf.DUMMYFUNCTION("""COMPUTED_VALUE"""),0.9304895946460822)</f>
        <v>0.9304895946</v>
      </c>
      <c r="AJ23" s="80">
        <f>IFERROR(__xludf.DUMMYFUNCTION("""COMPUTED_VALUE"""),0.7904523136694228)</f>
        <v>0.7904523137</v>
      </c>
      <c r="AK23" s="80">
        <f>IFERROR(__xludf.DUMMYFUNCTION("""COMPUTED_VALUE"""),1.0889665844233878)</f>
        <v>1.088966584</v>
      </c>
      <c r="AL23" s="80">
        <f>IFERROR(__xludf.DUMMYFUNCTION("""COMPUTED_VALUE"""),0.9302270029367062)</f>
        <v>0.9302270029</v>
      </c>
      <c r="AM23" s="80">
        <f>IFERROR(__xludf.DUMMYFUNCTION("""COMPUTED_VALUE"""),0.9355081641174806)</f>
        <v>0.9355081641</v>
      </c>
      <c r="AN23" s="80">
        <f>IFERROR(__xludf.DUMMYFUNCTION("""COMPUTED_VALUE"""),0.8820135535274145)</f>
        <v>0.8820135535</v>
      </c>
      <c r="AO23" s="80">
        <f>IFERROR(__xludf.DUMMYFUNCTION("""COMPUTED_VALUE"""),0.8915756959294926)</f>
        <v>0.8915756959</v>
      </c>
      <c r="AP23" s="80">
        <f>IFERROR(__xludf.DUMMYFUNCTION("""COMPUTED_VALUE"""),1.644445956564188)</f>
        <v>1.644445957</v>
      </c>
      <c r="AQ23" s="80">
        <f>IFERROR(__xludf.DUMMYFUNCTION("""COMPUTED_VALUE"""),0.7735336087233389)</f>
        <v>0.7735336087</v>
      </c>
      <c r="AR23" s="80">
        <f>IFERROR(__xludf.DUMMYFUNCTION("""COMPUTED_VALUE"""),0.8611030706261672)</f>
        <v>0.8611030706</v>
      </c>
      <c r="AS23" s="80">
        <f>IFERROR(__xludf.DUMMYFUNCTION("""COMPUTED_VALUE"""),21.0)</f>
        <v>21</v>
      </c>
      <c r="AT23" s="80">
        <f>IFERROR(__xludf.DUMMYFUNCTION("""COMPUTED_VALUE"""),0.7054305836588017)</f>
        <v>0.7054305837</v>
      </c>
      <c r="AU23" s="80">
        <f>IFERROR(__xludf.DUMMYFUNCTION("""COMPUTED_VALUE"""),2.814531858879632)</f>
        <v>2.814531859</v>
      </c>
      <c r="AV23" s="80">
        <f>IFERROR(__xludf.DUMMYFUNCTION("""COMPUTED_VALUE"""),58.4443458594287)</f>
        <v>58.44434586</v>
      </c>
      <c r="AW23" s="82">
        <f t="shared" si="1"/>
        <v>2.719114287</v>
      </c>
      <c r="AX23" s="83">
        <f t="array" ref="AX23">IFERROR(DGET('SBV Import'!A:G,"SBV",{"RSC ID","Tier";B23,A23}))</f>
        <v>49.98172769</v>
      </c>
      <c r="AY23" s="82">
        <f t="shared" si="2"/>
        <v>-2.001167016</v>
      </c>
      <c r="AZ23" s="82">
        <v>4.720281302981567</v>
      </c>
      <c r="BA23" s="84">
        <v>2.0</v>
      </c>
      <c r="BB23" s="84" t="b">
        <f>IFERROR(__xludf.DUMMYFUNCTION("iferror(if(A23="""",,E23&gt;=FILTER(Constants!$F$2:$F$10,Constants!$A$2:$A$10=A23)))"),TRUE)</f>
        <v>1</v>
      </c>
    </row>
    <row r="24">
      <c r="A24" s="80" t="str">
        <f>IFERROR(__xludf.DUMMYFUNCTION("""COMPUTED_VALUE"""),"Premier")</f>
        <v>Premier</v>
      </c>
      <c r="B24" s="79" t="str">
        <f>IFERROR(__xludf.DUMMYFUNCTION("""COMPUTED_VALUE"""),"RSC005670")</f>
        <v>RSC005670</v>
      </c>
      <c r="C24" s="80" t="str">
        <f>IFERROR(__xludf.DUMMYFUNCTION("""COMPUTED_VALUE"""),"mesi")</f>
        <v>mesi</v>
      </c>
      <c r="D24" s="80" t="str">
        <f>IFERROR(__xludf.DUMMYFUNCTION("""COMPUTED_VALUE"""),"Old Heads")</f>
        <v>Old Heads</v>
      </c>
      <c r="E24" s="80">
        <f>IFERROR(__xludf.DUMMYFUNCTION("""COMPUTED_VALUE"""),36.0)</f>
        <v>36</v>
      </c>
      <c r="F24" s="80">
        <f>IFERROR(__xludf.DUMMYFUNCTION("""COMPUTED_VALUE"""),21.0)</f>
        <v>21</v>
      </c>
      <c r="G24" s="80">
        <f>IFERROR(__xludf.DUMMYFUNCTION("""COMPUTED_VALUE"""),15.0)</f>
        <v>15</v>
      </c>
      <c r="H24" s="81">
        <f>IFERROR(__xludf.DUMMYFUNCTION("""COMPUTED_VALUE"""),0.5833333333333334)</f>
        <v>0.5833333333</v>
      </c>
      <c r="I24" s="81">
        <f>IFERROR(__xludf.DUMMYFUNCTION("""COMPUTED_VALUE"""),0.32407407407407407)</f>
        <v>0.3240740741</v>
      </c>
      <c r="J24" s="80">
        <f>IFERROR(__xludf.DUMMYFUNCTION("""COMPUTED_VALUE"""),368.47222222222223)</f>
        <v>368.4722222</v>
      </c>
      <c r="K24" s="80">
        <f>IFERROR(__xludf.DUMMYFUNCTION("""COMPUTED_VALUE"""),0.9722222222222222)</f>
        <v>0.9722222222</v>
      </c>
      <c r="L24" s="80">
        <f>IFERROR(__xludf.DUMMYFUNCTION("""COMPUTED_VALUE"""),0.5)</f>
        <v>0.5</v>
      </c>
      <c r="M24" s="80">
        <f>IFERROR(__xludf.DUMMYFUNCTION("""COMPUTED_VALUE"""),1.4444444444444444)</f>
        <v>1.444444444</v>
      </c>
      <c r="N24" s="80">
        <f>IFERROR(__xludf.DUMMYFUNCTION("""COMPUTED_VALUE"""),3.0)</f>
        <v>3</v>
      </c>
      <c r="O24" s="80">
        <f>IFERROR(__xludf.DUMMYFUNCTION("""COMPUTED_VALUE"""),371.8518518518518)</f>
        <v>371.8518519</v>
      </c>
      <c r="P24" s="80">
        <f>IFERROR(__xludf.DUMMYFUNCTION("""COMPUTED_VALUE"""),0.8611111111111112)</f>
        <v>0.8611111111</v>
      </c>
      <c r="Q24" s="80">
        <f>IFERROR(__xludf.DUMMYFUNCTION("""COMPUTED_VALUE"""),0.6666666666666666)</f>
        <v>0.6666666667</v>
      </c>
      <c r="R24" s="80">
        <f>IFERROR(__xludf.DUMMYFUNCTION("""COMPUTED_VALUE"""),1.4629629629629632)</f>
        <v>1.462962963</v>
      </c>
      <c r="S24" s="80">
        <f>IFERROR(__xludf.DUMMYFUNCTION("""COMPUTED_VALUE"""),2.759259259259259)</f>
        <v>2.759259259</v>
      </c>
      <c r="T24" s="80">
        <f>IFERROR(__xludf.DUMMYFUNCTION("""COMPUTED_VALUE"""),381.89487213258366)</f>
        <v>381.8948721</v>
      </c>
      <c r="U24" s="80">
        <f>IFERROR(__xludf.DUMMYFUNCTION("""COMPUTED_VALUE"""),0.8678445017904656)</f>
        <v>0.8678445018</v>
      </c>
      <c r="V24" s="80">
        <f>IFERROR(__xludf.DUMMYFUNCTION("""COMPUTED_VALUE"""),0.7020369699833945)</f>
        <v>0.70203697</v>
      </c>
      <c r="W24" s="80">
        <f>IFERROR(__xludf.DUMMYFUNCTION("""COMPUTED_VALUE"""),1.4289419644539552)</f>
        <v>1.428941964</v>
      </c>
      <c r="X24" s="80">
        <f>IFERROR(__xludf.DUMMYFUNCTION("""COMPUTED_VALUE"""),2.7960066611185557)</f>
        <v>2.796006661</v>
      </c>
      <c r="Y24" s="80">
        <f>IFERROR(__xludf.DUMMYFUNCTION("""COMPUTED_VALUE"""),372.75393871263515)</f>
        <v>372.7539387</v>
      </c>
      <c r="Z24" s="80">
        <f>IFERROR(__xludf.DUMMYFUNCTION("""COMPUTED_VALUE"""),0.8130801265727025)</f>
        <v>0.8130801266</v>
      </c>
      <c r="AA24" s="80">
        <f>IFERROR(__xludf.DUMMYFUNCTION("""COMPUTED_VALUE"""),0.6184618648999491)</f>
        <v>0.6184618649</v>
      </c>
      <c r="AB24" s="80">
        <f>IFERROR(__xludf.DUMMYFUNCTION("""COMPUTED_VALUE"""),1.4680371773202083)</f>
        <v>1.468037177</v>
      </c>
      <c r="AC24" s="80">
        <f>IFERROR(__xludf.DUMMYFUNCTION("""COMPUTED_VALUE"""),2.699770866729807)</f>
        <v>2.699770867</v>
      </c>
      <c r="AD24" s="80">
        <f>IFERROR(__xludf.DUMMYFUNCTION("""COMPUTED_VALUE"""),0.9885132897449709)</f>
        <v>0.9885132897</v>
      </c>
      <c r="AE24" s="80">
        <f>IFERROR(__xludf.DUMMYFUNCTION("""COMPUTED_VALUE"""),1.1957274448710682)</f>
        <v>1.195727445</v>
      </c>
      <c r="AF24" s="80">
        <f>IFERROR(__xludf.DUMMYFUNCTION("""COMPUTED_VALUE"""),0.8084572847201934)</f>
        <v>0.8084572847</v>
      </c>
      <c r="AG24" s="80">
        <f>IFERROR(__xludf.DUMMYFUNCTION("""COMPUTED_VALUE"""),0.9839290630780682)</f>
        <v>0.9839290631</v>
      </c>
      <c r="AH24" s="80">
        <f>IFERROR(__xludf.DUMMYFUNCTION("""COMPUTED_VALUE"""),1.111205412640761)</f>
        <v>1.111205413</v>
      </c>
      <c r="AI24" s="80">
        <f>IFERROR(__xludf.DUMMYFUNCTION("""COMPUTED_VALUE"""),0.9737021337190273)</f>
        <v>0.9737021337</v>
      </c>
      <c r="AJ24" s="80">
        <f>IFERROR(__xludf.DUMMYFUNCTION("""COMPUTED_VALUE"""),0.9922412475213443)</f>
        <v>0.9922412475</v>
      </c>
      <c r="AK24" s="80">
        <f>IFERROR(__xludf.DUMMYFUNCTION("""COMPUTED_VALUE"""),0.9496176058682999)</f>
        <v>0.9496176059</v>
      </c>
      <c r="AL24" s="80">
        <f>IFERROR(__xludf.DUMMYFUNCTION("""COMPUTED_VALUE"""),1.0238085236176884)</f>
        <v>1.023808524</v>
      </c>
      <c r="AM24" s="80">
        <f>IFERROR(__xludf.DUMMYFUNCTION("""COMPUTED_VALUE"""),0.986857183721946)</f>
        <v>0.9868571837</v>
      </c>
      <c r="AN24" s="80">
        <f>IFERROR(__xludf.DUMMYFUNCTION("""COMPUTED_VALUE"""),1.0004320398806323)</f>
        <v>1.00043204</v>
      </c>
      <c r="AO24" s="80">
        <f>IFERROR(__xludf.DUMMYFUNCTION("""COMPUTED_VALUE"""),1.2135335861262537)</f>
        <v>1.213533586</v>
      </c>
      <c r="AP24" s="80">
        <f>IFERROR(__xludf.DUMMYFUNCTION("""COMPUTED_VALUE"""),0.822222978282094)</f>
        <v>0.8222229783</v>
      </c>
      <c r="AQ24" s="80">
        <f>IFERROR(__xludf.DUMMYFUNCTION("""COMPUTED_VALUE"""),0.9776605332475533)</f>
        <v>0.9776605332</v>
      </c>
      <c r="AR24" s="80">
        <f>IFERROR(__xludf.DUMMYFUNCTION("""COMPUTED_VALUE"""),1.1301977801968444)</f>
        <v>1.13019778</v>
      </c>
      <c r="AS24" s="80">
        <f>IFERROR(__xludf.DUMMYFUNCTION("""COMPUTED_VALUE"""),98.0)</f>
        <v>98</v>
      </c>
      <c r="AT24" s="80">
        <f>IFERROR(__xludf.DUMMYFUNCTION("""COMPUTED_VALUE"""),0.5211224885017609)</f>
        <v>0.5211224885</v>
      </c>
      <c r="AU24" s="80">
        <f>IFERROR(__xludf.DUMMYFUNCTION("""COMPUTED_VALUE"""),2.777549789087248)</f>
        <v>2.777549789</v>
      </c>
      <c r="AV24" s="80">
        <f>IFERROR(__xludf.DUMMYFUNCTION("""COMPUTED_VALUE"""),57.40451421308602)</f>
        <v>57.40451421</v>
      </c>
      <c r="AW24" s="82">
        <f t="shared" si="1"/>
        <v>2.607248558</v>
      </c>
      <c r="AX24" s="83">
        <f t="array" ref="AX24">IFERROR(DGET('SBV Import'!A:G,"SBV",{"RSC ID","Tier";B24,A24}))</f>
        <v>50.59659075</v>
      </c>
      <c r="AY24" s="82">
        <f t="shared" si="2"/>
        <v>2.038816238</v>
      </c>
      <c r="AZ24" s="82">
        <v>0.5684323207135482</v>
      </c>
      <c r="BA24" s="84">
        <v>2.0</v>
      </c>
      <c r="BB24" s="84" t="b">
        <f>IFERROR(__xludf.DUMMYFUNCTION("iferror(if(A24="""",,E24&gt;=FILTER(Constants!$F$2:$F$10,Constants!$A$2:$A$10=A24)))"),TRUE)</f>
        <v>1</v>
      </c>
    </row>
    <row r="25">
      <c r="A25" s="80" t="str">
        <f>IFERROR(__xludf.DUMMYFUNCTION("""COMPUTED_VALUE"""),"Premier")</f>
        <v>Premier</v>
      </c>
      <c r="B25" s="79" t="str">
        <f>IFERROR(__xludf.DUMMYFUNCTION("""COMPUTED_VALUE"""),"RSC007450")</f>
        <v>RSC007450</v>
      </c>
      <c r="C25" s="80" t="str">
        <f>IFERROR(__xludf.DUMMYFUNCTION("""COMPUTED_VALUE"""),"kev")</f>
        <v>kev</v>
      </c>
      <c r="D25" s="80" t="str">
        <f>IFERROR(__xludf.DUMMYFUNCTION("""COMPUTED_VALUE"""),"Gummy Bears")</f>
        <v>Gummy Bears</v>
      </c>
      <c r="E25" s="80">
        <f>IFERROR(__xludf.DUMMYFUNCTION("""COMPUTED_VALUE"""),24.0)</f>
        <v>24</v>
      </c>
      <c r="F25" s="80">
        <f>IFERROR(__xludf.DUMMYFUNCTION("""COMPUTED_VALUE"""),13.0)</f>
        <v>13</v>
      </c>
      <c r="G25" s="80">
        <f>IFERROR(__xludf.DUMMYFUNCTION("""COMPUTED_VALUE"""),11.0)</f>
        <v>11</v>
      </c>
      <c r="H25" s="81">
        <f>IFERROR(__xludf.DUMMYFUNCTION("""COMPUTED_VALUE"""),0.5416666666666666)</f>
        <v>0.5416666667</v>
      </c>
      <c r="I25" s="81">
        <f>IFERROR(__xludf.DUMMYFUNCTION("""COMPUTED_VALUE"""),0.39062500000000006)</f>
        <v>0.390625</v>
      </c>
      <c r="J25" s="80">
        <f>IFERROR(__xludf.DUMMYFUNCTION("""COMPUTED_VALUE"""),405.0833333333333)</f>
        <v>405.0833333</v>
      </c>
      <c r="K25" s="80">
        <f>IFERROR(__xludf.DUMMYFUNCTION("""COMPUTED_VALUE"""),1.0416666666666667)</f>
        <v>1.041666667</v>
      </c>
      <c r="L25" s="80">
        <f>IFERROR(__xludf.DUMMYFUNCTION("""COMPUTED_VALUE"""),0.5416666666666666)</f>
        <v>0.5416666667</v>
      </c>
      <c r="M25" s="80">
        <f>IFERROR(__xludf.DUMMYFUNCTION("""COMPUTED_VALUE"""),1.4583333333333333)</f>
        <v>1.458333333</v>
      </c>
      <c r="N25" s="80">
        <f>IFERROR(__xludf.DUMMYFUNCTION("""COMPUTED_VALUE"""),2.6666666666666665)</f>
        <v>2.666666667</v>
      </c>
      <c r="O25" s="80">
        <f>IFERROR(__xludf.DUMMYFUNCTION("""COMPUTED_VALUE"""),360.2916666666667)</f>
        <v>360.2916667</v>
      </c>
      <c r="P25" s="80">
        <f>IFERROR(__xludf.DUMMYFUNCTION("""COMPUTED_VALUE"""),0.8472222222222222)</f>
        <v>0.8472222222</v>
      </c>
      <c r="Q25" s="80">
        <f>IFERROR(__xludf.DUMMYFUNCTION("""COMPUTED_VALUE"""),0.6666666666666666)</f>
        <v>0.6666666667</v>
      </c>
      <c r="R25" s="80">
        <f>IFERROR(__xludf.DUMMYFUNCTION("""COMPUTED_VALUE"""),1.2638888888888886)</f>
        <v>1.263888889</v>
      </c>
      <c r="S25" s="80">
        <f>IFERROR(__xludf.DUMMYFUNCTION("""COMPUTED_VALUE"""),2.8750000000000004)</f>
        <v>2.875</v>
      </c>
      <c r="T25" s="80">
        <f>IFERROR(__xludf.DUMMYFUNCTION("""COMPUTED_VALUE"""),358.05974088492945)</f>
        <v>358.0597409</v>
      </c>
      <c r="U25" s="80">
        <f>IFERROR(__xludf.DUMMYFUNCTION("""COMPUTED_VALUE"""),0.7616591456599447)</f>
        <v>0.7616591457</v>
      </c>
      <c r="V25" s="80">
        <f>IFERROR(__xludf.DUMMYFUNCTION("""COMPUTED_VALUE"""),0.6593993319447106)</f>
        <v>0.6593993319</v>
      </c>
      <c r="W25" s="80">
        <f>IFERROR(__xludf.DUMMYFUNCTION("""COMPUTED_VALUE"""),1.3904851195149845)</f>
        <v>1.39048512</v>
      </c>
      <c r="X25" s="80">
        <f>IFERROR(__xludf.DUMMYFUNCTION("""COMPUTED_VALUE"""),2.5713549361439387)</f>
        <v>2.571354936</v>
      </c>
      <c r="Y25" s="80">
        <f>IFERROR(__xludf.DUMMYFUNCTION("""COMPUTED_VALUE"""),371.104711300904)</f>
        <v>371.1047113</v>
      </c>
      <c r="Z25" s="80">
        <f>IFERROR(__xludf.DUMMYFUNCTION("""COMPUTED_VALUE"""),0.8340842298797307)</f>
        <v>0.8340842299</v>
      </c>
      <c r="AA25" s="80">
        <f>IFERROR(__xludf.DUMMYFUNCTION("""COMPUTED_VALUE"""),0.6560802423466724)</f>
        <v>0.6560802423</v>
      </c>
      <c r="AB25" s="80">
        <f>IFERROR(__xludf.DUMMYFUNCTION("""COMPUTED_VALUE"""),1.3920481889857117)</f>
        <v>1.392048189</v>
      </c>
      <c r="AC25" s="80">
        <f>IFERROR(__xludf.DUMMYFUNCTION("""COMPUTED_VALUE"""),2.7709144892210382)</f>
        <v>2.770914489</v>
      </c>
      <c r="AD25" s="80">
        <f>IFERROR(__xludf.DUMMYFUNCTION("""COMPUTED_VALUE"""),1.0915607401299692)</f>
        <v>1.09156074</v>
      </c>
      <c r="AE25" s="80">
        <f>IFERROR(__xludf.DUMMYFUNCTION("""COMPUTED_VALUE"""),1.2488746691888275)</f>
        <v>1.248874669</v>
      </c>
      <c r="AF25" s="80">
        <f>IFERROR(__xludf.DUMMYFUNCTION("""COMPUTED_VALUE"""),0.8256103929135703)</f>
        <v>0.8256103929</v>
      </c>
      <c r="AG25" s="80">
        <f>IFERROR(__xludf.DUMMYFUNCTION("""COMPUTED_VALUE"""),1.0476169897508498)</f>
        <v>1.04761699</v>
      </c>
      <c r="AH25" s="80">
        <f>IFERROR(__xludf.DUMMYFUNCTION("""COMPUTED_VALUE"""),0.9623778276233714)</f>
        <v>0.9623778276</v>
      </c>
      <c r="AI25" s="80">
        <f>IFERROR(__xludf.DUMMYFUNCTION("""COMPUTED_VALUE"""),1.0062333893674311)</f>
        <v>1.006233389</v>
      </c>
      <c r="AJ25" s="80">
        <f>IFERROR(__xludf.DUMMYFUNCTION("""COMPUTED_VALUE"""),1.1123377524576834)</f>
        <v>1.112337752</v>
      </c>
      <c r="AK25" s="80">
        <f>IFERROR(__xludf.DUMMYFUNCTION("""COMPUTED_VALUE"""),1.0110211435921888)</f>
        <v>1.011021144</v>
      </c>
      <c r="AL25" s="80">
        <f>IFERROR(__xludf.DUMMYFUNCTION("""COMPUTED_VALUE"""),0.9089553502951158)</f>
        <v>0.9089553503</v>
      </c>
      <c r="AM25" s="80">
        <f>IFERROR(__xludf.DUMMYFUNCTION("""COMPUTED_VALUE"""),1.1180875730487112)</f>
        <v>1.118087573</v>
      </c>
      <c r="AN25" s="80">
        <f>IFERROR(__xludf.DUMMYFUNCTION("""COMPUTED_VALUE"""),1.099834183006352)</f>
        <v>1.099834183</v>
      </c>
      <c r="AO25" s="80">
        <f>IFERROR(__xludf.DUMMYFUNCTION("""COMPUTED_VALUE"""),1.3002145565638434)</f>
        <v>1.300214557</v>
      </c>
      <c r="AP25" s="80">
        <f>IFERROR(__xludf.DUMMYFUNCTION("""COMPUTED_VALUE"""),0.8907415598056018)</f>
        <v>0.8907415598</v>
      </c>
      <c r="AQ25" s="80">
        <f>IFERROR(__xludf.DUMMYFUNCTION("""COMPUTED_VALUE"""),0.9870611152980105)</f>
        <v>0.9870611153</v>
      </c>
      <c r="AR25" s="80">
        <f>IFERROR(__xludf.DUMMYFUNCTION("""COMPUTED_VALUE"""),1.0046202490638616)</f>
        <v>1.004620249</v>
      </c>
      <c r="AS25" s="80">
        <f>IFERROR(__xludf.DUMMYFUNCTION("""COMPUTED_VALUE"""),60.0)</f>
        <v>60</v>
      </c>
      <c r="AT25" s="80">
        <f>IFERROR(__xludf.DUMMYFUNCTION("""COMPUTED_VALUE"""),0.49342632434844313)</f>
        <v>0.4934263243</v>
      </c>
      <c r="AU25" s="80">
        <f>IFERROR(__xludf.DUMMYFUNCTION("""COMPUTED_VALUE"""),2.715773869430782)</f>
        <v>2.715773869</v>
      </c>
      <c r="AV25" s="80">
        <f>IFERROR(__xludf.DUMMYFUNCTION("""COMPUTED_VALUE"""),55.66754933790899)</f>
        <v>55.66754934</v>
      </c>
      <c r="AW25" s="82">
        <f t="shared" si="1"/>
        <v>2.437076238</v>
      </c>
      <c r="AX25" s="83">
        <f t="array" ref="AX25">IFERROR(DGET('SBV Import'!A:G,"SBV",{"RSC ID","Tier";B25,A25}))</f>
        <v>53.83590236</v>
      </c>
      <c r="AY25" s="82">
        <f t="shared" si="2"/>
        <v>2.277763245</v>
      </c>
      <c r="AZ25" s="82">
        <v>0.15931299294410106</v>
      </c>
      <c r="BA25" s="84">
        <v>2.0</v>
      </c>
      <c r="BB25" s="84" t="b">
        <f>IFERROR(__xludf.DUMMYFUNCTION("iferror(if(A25="""",,E25&gt;=FILTER(Constants!$F$2:$F$10,Constants!$A$2:$A$10=A25)))"),TRUE)</f>
        <v>1</v>
      </c>
    </row>
    <row r="26">
      <c r="A26" s="80" t="str">
        <f>IFERROR(__xludf.DUMMYFUNCTION("""COMPUTED_VALUE"""),"Premier")</f>
        <v>Premier</v>
      </c>
      <c r="B26" s="79" t="str">
        <f>IFERROR(__xludf.DUMMYFUNCTION("""COMPUTED_VALUE"""),"RSC007721")</f>
        <v>RSC007721</v>
      </c>
      <c r="C26" s="80" t="str">
        <f>IFERROR(__xludf.DUMMYFUNCTION("""COMPUTED_VALUE"""),"Ace!")</f>
        <v>Ace!</v>
      </c>
      <c r="D26" s="80" t="str">
        <f>IFERROR(__xludf.DUMMYFUNCTION("""COMPUTED_VALUE"""),"Gummy Bears")</f>
        <v>Gummy Bears</v>
      </c>
      <c r="E26" s="80">
        <f>IFERROR(__xludf.DUMMYFUNCTION("""COMPUTED_VALUE"""),23.0)</f>
        <v>23</v>
      </c>
      <c r="F26" s="80">
        <f>IFERROR(__xludf.DUMMYFUNCTION("""COMPUTED_VALUE"""),14.0)</f>
        <v>14</v>
      </c>
      <c r="G26" s="80">
        <f>IFERROR(__xludf.DUMMYFUNCTION("""COMPUTED_VALUE"""),9.0)</f>
        <v>9</v>
      </c>
      <c r="H26" s="81">
        <f>IFERROR(__xludf.DUMMYFUNCTION("""COMPUTED_VALUE"""),0.6086956521739131)</f>
        <v>0.6086956522</v>
      </c>
      <c r="I26" s="81">
        <f>IFERROR(__xludf.DUMMYFUNCTION("""COMPUTED_VALUE"""),0.22033898305084745)</f>
        <v>0.2203389831</v>
      </c>
      <c r="J26" s="80">
        <f>IFERROR(__xludf.DUMMYFUNCTION("""COMPUTED_VALUE"""),391.95652173913044)</f>
        <v>391.9565217</v>
      </c>
      <c r="K26" s="80">
        <f>IFERROR(__xludf.DUMMYFUNCTION("""COMPUTED_VALUE"""),0.5652173913043478)</f>
        <v>0.5652173913</v>
      </c>
      <c r="L26" s="80">
        <f>IFERROR(__xludf.DUMMYFUNCTION("""COMPUTED_VALUE"""),0.9130434782608695)</f>
        <v>0.9130434783</v>
      </c>
      <c r="M26" s="80">
        <f>IFERROR(__xludf.DUMMYFUNCTION("""COMPUTED_VALUE"""),1.6956521739130435)</f>
        <v>1.695652174</v>
      </c>
      <c r="N26" s="80">
        <f>IFERROR(__xludf.DUMMYFUNCTION("""COMPUTED_VALUE"""),2.5652173913043477)</f>
        <v>2.565217391</v>
      </c>
      <c r="O26" s="80">
        <f>IFERROR(__xludf.DUMMYFUNCTION("""COMPUTED_VALUE"""),354.0144927536232)</f>
        <v>354.0144928</v>
      </c>
      <c r="P26" s="80">
        <f>IFERROR(__xludf.DUMMYFUNCTION("""COMPUTED_VALUE"""),0.898550724637681)</f>
        <v>0.8985507246</v>
      </c>
      <c r="Q26" s="80">
        <f>IFERROR(__xludf.DUMMYFUNCTION("""COMPUTED_VALUE"""),0.6666666666666665)</f>
        <v>0.6666666667</v>
      </c>
      <c r="R26" s="80">
        <f>IFERROR(__xludf.DUMMYFUNCTION("""COMPUTED_VALUE"""),1.2028985507246375)</f>
        <v>1.202898551</v>
      </c>
      <c r="S26" s="80">
        <f>IFERROR(__xludf.DUMMYFUNCTION("""COMPUTED_VALUE"""),3.0000000000000004)</f>
        <v>3</v>
      </c>
      <c r="T26" s="80">
        <f>IFERROR(__xludf.DUMMYFUNCTION("""COMPUTED_VALUE"""),352.19663668320527)</f>
        <v>352.1966367</v>
      </c>
      <c r="U26" s="80">
        <f>IFERROR(__xludf.DUMMYFUNCTION("""COMPUTED_VALUE"""),0.7514585250281565)</f>
        <v>0.751458525</v>
      </c>
      <c r="V26" s="80">
        <f>IFERROR(__xludf.DUMMYFUNCTION("""COMPUTED_VALUE"""),0.6206766247377584)</f>
        <v>0.6206766247</v>
      </c>
      <c r="W26" s="80">
        <f>IFERROR(__xludf.DUMMYFUNCTION("""COMPUTED_VALUE"""),1.3371701995856355)</f>
        <v>1.3371702</v>
      </c>
      <c r="X26" s="80">
        <f>IFERROR(__xludf.DUMMYFUNCTION("""COMPUTED_VALUE"""),2.6571084368976456)</f>
        <v>2.657108437</v>
      </c>
      <c r="Y26" s="80">
        <f>IFERROR(__xludf.DUMMYFUNCTION("""COMPUTED_VALUE"""),380.0511277489022)</f>
        <v>380.0511277</v>
      </c>
      <c r="Z26" s="80">
        <f>IFERROR(__xludf.DUMMYFUNCTION("""COMPUTED_VALUE"""),0.8596589914529855)</f>
        <v>0.8596589915</v>
      </c>
      <c r="AA26" s="80">
        <f>IFERROR(__xludf.DUMMYFUNCTION("""COMPUTED_VALUE"""),0.6952089771690051)</f>
        <v>0.6952089772</v>
      </c>
      <c r="AB26" s="80">
        <f>IFERROR(__xludf.DUMMYFUNCTION("""COMPUTED_VALUE"""),1.4509030415968787)</f>
        <v>1.450903042</v>
      </c>
      <c r="AC26" s="80">
        <f>IFERROR(__xludf.DUMMYFUNCTION("""COMPUTED_VALUE"""),2.7761977714570327)</f>
        <v>2.776197771</v>
      </c>
      <c r="AD26" s="80">
        <f>IFERROR(__xludf.DUMMYFUNCTION("""COMPUTED_VALUE"""),1.0313257694056734)</f>
        <v>1.031325769</v>
      </c>
      <c r="AE26" s="80">
        <f>IFERROR(__xludf.DUMMYFUNCTION("""COMPUTED_VALUE"""),0.6574902338298398)</f>
        <v>0.6574902338</v>
      </c>
      <c r="AF26" s="80">
        <f>IFERROR(__xludf.DUMMYFUNCTION("""COMPUTED_VALUE"""),1.3133367206777438)</f>
        <v>1.313336721</v>
      </c>
      <c r="AG26" s="80">
        <f>IFERROR(__xludf.DUMMYFUNCTION("""COMPUTED_VALUE"""),1.1686874486435643)</f>
        <v>1.168687449</v>
      </c>
      <c r="AH26" s="80">
        <f>IFERROR(__xludf.DUMMYFUNCTION("""COMPUTED_VALUE"""),0.9240038363542248)</f>
        <v>0.9240038364</v>
      </c>
      <c r="AI26" s="80">
        <f>IFERROR(__xludf.DUMMYFUNCTION("""COMPUTED_VALUE"""),1.0051614804943554)</f>
        <v>1.00516148</v>
      </c>
      <c r="AJ26" s="80">
        <f>IFERROR(__xludf.DUMMYFUNCTION("""COMPUTED_VALUE"""),1.1957422728074223)</f>
        <v>1.195742273</v>
      </c>
      <c r="AK26" s="80">
        <f>IFERROR(__xludf.DUMMYFUNCTION("""COMPUTED_VALUE"""),1.0740966230979607)</f>
        <v>1.074096623</v>
      </c>
      <c r="AL26" s="80">
        <f>IFERROR(__xludf.DUMMYFUNCTION("""COMPUTED_VALUE"""),0.8995852219092182)</f>
        <v>0.8995852219</v>
      </c>
      <c r="AM26" s="80">
        <f>IFERROR(__xludf.DUMMYFUNCTION("""COMPUTED_VALUE"""),1.1290468835749525)</f>
        <v>1.129046884</v>
      </c>
      <c r="AN26" s="80">
        <f>IFERROR(__xludf.DUMMYFUNCTION("""COMPUTED_VALUE"""),1.0641938223270142)</f>
        <v>1.064193822</v>
      </c>
      <c r="AO26" s="80">
        <f>IFERROR(__xludf.DUMMYFUNCTION("""COMPUTED_VALUE"""),0.7055077246050766)</f>
        <v>0.7055077246</v>
      </c>
      <c r="AP26" s="80">
        <f>IFERROR(__xludf.DUMMYFUNCTION("""COMPUTED_VALUE"""),1.501450655993389)</f>
        <v>1.501450656</v>
      </c>
      <c r="AQ26" s="80">
        <f>IFERROR(__xludf.DUMMYFUNCTION("""COMPUTED_VALUE"""),1.1476884520732147)</f>
        <v>1.147688452</v>
      </c>
      <c r="AR26" s="80">
        <f>IFERROR(__xludf.DUMMYFUNCTION("""COMPUTED_VALUE"""),0.9664010004581713)</f>
        <v>0.9664010005</v>
      </c>
      <c r="AS26" s="80">
        <f>IFERROR(__xludf.DUMMYFUNCTION("""COMPUTED_VALUE"""),62.0)</f>
        <v>62</v>
      </c>
      <c r="AT26" s="80">
        <f>IFERROR(__xludf.DUMMYFUNCTION("""COMPUTED_VALUE"""),0.5000000000000001)</f>
        <v>0.5</v>
      </c>
      <c r="AU26" s="80">
        <f>IFERROR(__xludf.DUMMYFUNCTION("""COMPUTED_VALUE"""),2.63746991246079)</f>
        <v>2.637469912</v>
      </c>
      <c r="AV26" s="80">
        <f>IFERROR(__xludf.DUMMYFUNCTION("""COMPUTED_VALUE"""),53.46586260300315)</f>
        <v>53.4658626</v>
      </c>
      <c r="AW26" s="82">
        <f t="shared" si="1"/>
        <v>2.247850272</v>
      </c>
      <c r="AX26" s="83">
        <f t="array" ref="AX26">IFERROR(DGET('SBV Import'!A:G,"SBV",{"RSC ID","Tier";B26,A26}))</f>
        <v>50.54008177</v>
      </c>
      <c r="AY26" s="82">
        <f t="shared" si="2"/>
        <v>2.035075701</v>
      </c>
      <c r="AZ26" s="82">
        <v>0.21277457114396015</v>
      </c>
      <c r="BA26" s="84">
        <v>2.0</v>
      </c>
      <c r="BB26" s="84" t="b">
        <f>IFERROR(__xludf.DUMMYFUNCTION("iferror(if(A26="""",,E26&gt;=FILTER(Constants!$F$2:$F$10,Constants!$A$2:$A$10=A26)))"),TRUE)</f>
        <v>1</v>
      </c>
    </row>
    <row r="27">
      <c r="A27" s="80" t="str">
        <f>IFERROR(__xludf.DUMMYFUNCTION("""COMPUTED_VALUE"""),"Premier")</f>
        <v>Premier</v>
      </c>
      <c r="B27" s="79" t="str">
        <f>IFERROR(__xludf.DUMMYFUNCTION("""COMPUTED_VALUE"""),"RSC007845")</f>
        <v>RSC007845</v>
      </c>
      <c r="C27" s="80" t="str">
        <f>IFERROR(__xludf.DUMMYFUNCTION("""COMPUTED_VALUE"""),"Enchanted")</f>
        <v>Enchanted</v>
      </c>
      <c r="D27" s="80" t="str">
        <f>IFERROR(__xludf.DUMMYFUNCTION("""COMPUTED_VALUE"""),"Old Heads")</f>
        <v>Old Heads</v>
      </c>
      <c r="E27" s="80">
        <f>IFERROR(__xludf.DUMMYFUNCTION("""COMPUTED_VALUE"""),36.0)</f>
        <v>36</v>
      </c>
      <c r="F27" s="80">
        <f>IFERROR(__xludf.DUMMYFUNCTION("""COMPUTED_VALUE"""),21.0)</f>
        <v>21</v>
      </c>
      <c r="G27" s="80">
        <f>IFERROR(__xludf.DUMMYFUNCTION("""COMPUTED_VALUE"""),15.0)</f>
        <v>15</v>
      </c>
      <c r="H27" s="81">
        <f>IFERROR(__xludf.DUMMYFUNCTION("""COMPUTED_VALUE"""),0.5833333333333334)</f>
        <v>0.5833333333</v>
      </c>
      <c r="I27" s="81">
        <f>IFERROR(__xludf.DUMMYFUNCTION("""COMPUTED_VALUE"""),0.3176470588235294)</f>
        <v>0.3176470588</v>
      </c>
      <c r="J27" s="80">
        <f>IFERROR(__xludf.DUMMYFUNCTION("""COMPUTED_VALUE"""),366.02777777777777)</f>
        <v>366.0277778</v>
      </c>
      <c r="K27" s="80">
        <f>IFERROR(__xludf.DUMMYFUNCTION("""COMPUTED_VALUE"""),0.75)</f>
        <v>0.75</v>
      </c>
      <c r="L27" s="80">
        <f>IFERROR(__xludf.DUMMYFUNCTION("""COMPUTED_VALUE"""),0.6388888888888888)</f>
        <v>0.6388888889</v>
      </c>
      <c r="M27" s="80">
        <f>IFERROR(__xludf.DUMMYFUNCTION("""COMPUTED_VALUE"""),1.3888888888888888)</f>
        <v>1.388888889</v>
      </c>
      <c r="N27" s="80">
        <f>IFERROR(__xludf.DUMMYFUNCTION("""COMPUTED_VALUE"""),2.361111111111111)</f>
        <v>2.361111111</v>
      </c>
      <c r="O27" s="80">
        <f>IFERROR(__xludf.DUMMYFUNCTION("""COMPUTED_VALUE"""),371.8518518518518)</f>
        <v>371.8518519</v>
      </c>
      <c r="P27" s="80">
        <f>IFERROR(__xludf.DUMMYFUNCTION("""COMPUTED_VALUE"""),0.8611111111111112)</f>
        <v>0.8611111111</v>
      </c>
      <c r="Q27" s="80">
        <f>IFERROR(__xludf.DUMMYFUNCTION("""COMPUTED_VALUE"""),0.6666666666666666)</f>
        <v>0.6666666667</v>
      </c>
      <c r="R27" s="80">
        <f>IFERROR(__xludf.DUMMYFUNCTION("""COMPUTED_VALUE"""),1.4629629629629632)</f>
        <v>1.462962963</v>
      </c>
      <c r="S27" s="80">
        <f>IFERROR(__xludf.DUMMYFUNCTION("""COMPUTED_VALUE"""),2.759259259259259)</f>
        <v>2.759259259</v>
      </c>
      <c r="T27" s="80">
        <f>IFERROR(__xludf.DUMMYFUNCTION("""COMPUTED_VALUE"""),381.89487213258366)</f>
        <v>381.8948721</v>
      </c>
      <c r="U27" s="80">
        <f>IFERROR(__xludf.DUMMYFUNCTION("""COMPUTED_VALUE"""),0.8678445017904656)</f>
        <v>0.8678445018</v>
      </c>
      <c r="V27" s="80">
        <f>IFERROR(__xludf.DUMMYFUNCTION("""COMPUTED_VALUE"""),0.7020369699833945)</f>
        <v>0.70203697</v>
      </c>
      <c r="W27" s="80">
        <f>IFERROR(__xludf.DUMMYFUNCTION("""COMPUTED_VALUE"""),1.4289419644539552)</f>
        <v>1.428941964</v>
      </c>
      <c r="X27" s="80">
        <f>IFERROR(__xludf.DUMMYFUNCTION("""COMPUTED_VALUE"""),2.7960066611185557)</f>
        <v>2.796006661</v>
      </c>
      <c r="Y27" s="80">
        <f>IFERROR(__xludf.DUMMYFUNCTION("""COMPUTED_VALUE"""),372.75393871263515)</f>
        <v>372.7539387</v>
      </c>
      <c r="Z27" s="80">
        <f>IFERROR(__xludf.DUMMYFUNCTION("""COMPUTED_VALUE"""),0.8130801265727025)</f>
        <v>0.8130801266</v>
      </c>
      <c r="AA27" s="80">
        <f>IFERROR(__xludf.DUMMYFUNCTION("""COMPUTED_VALUE"""),0.6184618648999491)</f>
        <v>0.6184618649</v>
      </c>
      <c r="AB27" s="80">
        <f>IFERROR(__xludf.DUMMYFUNCTION("""COMPUTED_VALUE"""),1.4680371773202083)</f>
        <v>1.468037177</v>
      </c>
      <c r="AC27" s="80">
        <f>IFERROR(__xludf.DUMMYFUNCTION("""COMPUTED_VALUE"""),2.699770866729807)</f>
        <v>2.699770867</v>
      </c>
      <c r="AD27" s="80">
        <f>IFERROR(__xludf.DUMMYFUNCTION("""COMPUTED_VALUE"""),0.9819554933260068)</f>
        <v>0.9819554933</v>
      </c>
      <c r="AE27" s="80">
        <f>IFERROR(__xludf.DUMMYFUNCTION("""COMPUTED_VALUE"""),0.922418314614824)</f>
        <v>0.9224183146</v>
      </c>
      <c r="AF27" s="80">
        <f>IFERROR(__xludf.DUMMYFUNCTION("""COMPUTED_VALUE"""),1.0330287526980249)</f>
        <v>1.033028753</v>
      </c>
      <c r="AG27" s="80">
        <f>IFERROR(__xludf.DUMMYFUNCTION("""COMPUTED_VALUE"""),0.9460856375750656)</f>
        <v>0.9460856376</v>
      </c>
      <c r="AH27" s="80">
        <f>IFERROR(__xludf.DUMMYFUNCTION("""COMPUTED_VALUE"""),0.8745598155043026)</f>
        <v>0.8745598155</v>
      </c>
      <c r="AI27" s="80">
        <f>IFERROR(__xludf.DUMMYFUNCTION("""COMPUTED_VALUE"""),0.9737021337190273)</f>
        <v>0.9737021337</v>
      </c>
      <c r="AJ27" s="80">
        <f>IFERROR(__xludf.DUMMYFUNCTION("""COMPUTED_VALUE"""),0.9922412475213443)</f>
        <v>0.9922412475</v>
      </c>
      <c r="AK27" s="80">
        <f>IFERROR(__xludf.DUMMYFUNCTION("""COMPUTED_VALUE"""),0.9496176058682999)</f>
        <v>0.9496176059</v>
      </c>
      <c r="AL27" s="80">
        <f>IFERROR(__xludf.DUMMYFUNCTION("""COMPUTED_VALUE"""),1.0238085236176884)</f>
        <v>1.023808524</v>
      </c>
      <c r="AM27" s="80">
        <f>IFERROR(__xludf.DUMMYFUNCTION("""COMPUTED_VALUE"""),0.986857183721946)</f>
        <v>0.9868571837</v>
      </c>
      <c r="AN27" s="80">
        <f>IFERROR(__xludf.DUMMYFUNCTION("""COMPUTED_VALUE"""),0.9937951744822534)</f>
        <v>0.9937951745</v>
      </c>
      <c r="AO27" s="80">
        <f>IFERROR(__xludf.DUMMYFUNCTION("""COMPUTED_VALUE"""),0.9361544807259672)</f>
        <v>0.9361544807</v>
      </c>
      <c r="AP27" s="80">
        <f>IFERROR(__xludf.DUMMYFUNCTION("""COMPUTED_VALUE"""),1.05061825002712)</f>
        <v>1.05061825</v>
      </c>
      <c r="AQ27" s="80">
        <f>IFERROR(__xludf.DUMMYFUNCTION("""COMPUTED_VALUE"""),0.9400582050457243)</f>
        <v>0.940058205</v>
      </c>
      <c r="AR27" s="80">
        <f>IFERROR(__xludf.DUMMYFUNCTION("""COMPUTED_VALUE"""),0.8895075121919609)</f>
        <v>0.8895075122</v>
      </c>
      <c r="AS27" s="80">
        <f>IFERROR(__xludf.DUMMYFUNCTION("""COMPUTED_VALUE"""),98.0)</f>
        <v>98</v>
      </c>
      <c r="AT27" s="80">
        <f>IFERROR(__xludf.DUMMYFUNCTION("""COMPUTED_VALUE"""),0.5211224885017609)</f>
        <v>0.5211224885</v>
      </c>
      <c r="AU27" s="80">
        <f>IFERROR(__xludf.DUMMYFUNCTION("""COMPUTED_VALUE"""),2.50972011618924)</f>
        <v>2.509720116</v>
      </c>
      <c r="AV27" s="80">
        <f>IFERROR(__xludf.DUMMYFUNCTION("""COMPUTED_VALUE"""),49.87389812608941)</f>
        <v>49.87389813</v>
      </c>
      <c r="AW27" s="82">
        <f t="shared" si="1"/>
        <v>-2.00808167</v>
      </c>
      <c r="AX27" s="83">
        <f t="array" ref="AX27">IFERROR(DGET('SBV Import'!A:G,"SBV",{"RSC ID","Tier";B27,A27}))</f>
        <v>43.93685318</v>
      </c>
      <c r="AY27" s="82">
        <f t="shared" si="2"/>
        <v>-2.474106277</v>
      </c>
      <c r="AZ27" s="82">
        <v>0.4660246071507883</v>
      </c>
      <c r="BA27" s="84">
        <v>2.0</v>
      </c>
      <c r="BB27" s="84" t="b">
        <f>IFERROR(__xludf.DUMMYFUNCTION("iferror(if(A27="""",,E27&gt;=FILTER(Constants!$F$2:$F$10,Constants!$A$2:$A$10=A27)))"),TRUE)</f>
        <v>1</v>
      </c>
    </row>
    <row r="28">
      <c r="A28" s="80" t="str">
        <f>IFERROR(__xludf.DUMMYFUNCTION("""COMPUTED_VALUE"""),"Premier")</f>
        <v>Premier</v>
      </c>
      <c r="B28" s="79" t="str">
        <f>IFERROR(__xludf.DUMMYFUNCTION("""COMPUTED_VALUE"""),"RSC007569")</f>
        <v>RSC007569</v>
      </c>
      <c r="C28" s="80" t="str">
        <f>IFERROR(__xludf.DUMMYFUNCTION("""COMPUTED_VALUE"""),"newo")</f>
        <v>newo</v>
      </c>
      <c r="D28" s="80" t="str">
        <f>IFERROR(__xludf.DUMMYFUNCTION("""COMPUTED_VALUE"""),"Gummy Bears")</f>
        <v>Gummy Bears</v>
      </c>
      <c r="E28" s="80">
        <f>IFERROR(__xludf.DUMMYFUNCTION("""COMPUTED_VALUE"""),25.0)</f>
        <v>25</v>
      </c>
      <c r="F28" s="80">
        <f>IFERROR(__xludf.DUMMYFUNCTION("""COMPUTED_VALUE"""),16.0)</f>
        <v>16</v>
      </c>
      <c r="G28" s="80">
        <f>IFERROR(__xludf.DUMMYFUNCTION("""COMPUTED_VALUE"""),9.0)</f>
        <v>9</v>
      </c>
      <c r="H28" s="81">
        <f>IFERROR(__xludf.DUMMYFUNCTION("""COMPUTED_VALUE"""),0.64)</f>
        <v>0.64</v>
      </c>
      <c r="I28" s="81">
        <f>IFERROR(__xludf.DUMMYFUNCTION("""COMPUTED_VALUE"""),0.37037037037037035)</f>
        <v>0.3703703704</v>
      </c>
      <c r="J28" s="80">
        <f>IFERROR(__xludf.DUMMYFUNCTION("""COMPUTED_VALUE"""),335.56)</f>
        <v>335.56</v>
      </c>
      <c r="K28" s="80">
        <f>IFERROR(__xludf.DUMMYFUNCTION("""COMPUTED_VALUE"""),0.8)</f>
        <v>0.8</v>
      </c>
      <c r="L28" s="80">
        <f>IFERROR(__xludf.DUMMYFUNCTION("""COMPUTED_VALUE"""),0.72)</f>
        <v>0.72</v>
      </c>
      <c r="M28" s="80">
        <f>IFERROR(__xludf.DUMMYFUNCTION("""COMPUTED_VALUE"""),1.08)</f>
        <v>1.08</v>
      </c>
      <c r="N28" s="80">
        <f>IFERROR(__xludf.DUMMYFUNCTION("""COMPUTED_VALUE"""),2.16)</f>
        <v>2.16</v>
      </c>
      <c r="O28" s="80">
        <f>IFERROR(__xludf.DUMMYFUNCTION("""COMPUTED_VALUE"""),332.78666666666663)</f>
        <v>332.7866667</v>
      </c>
      <c r="P28" s="80">
        <f>IFERROR(__xludf.DUMMYFUNCTION("""COMPUTED_VALUE"""),0.7333333333333333)</f>
        <v>0.7333333333</v>
      </c>
      <c r="Q28" s="80">
        <f>IFERROR(__xludf.DUMMYFUNCTION("""COMPUTED_VALUE"""),0.5466666666666667)</f>
        <v>0.5466666667</v>
      </c>
      <c r="R28" s="80">
        <f>IFERROR(__xludf.DUMMYFUNCTION("""COMPUTED_VALUE"""),1.2266666666666663)</f>
        <v>1.226666667</v>
      </c>
      <c r="S28" s="80">
        <f>IFERROR(__xludf.DUMMYFUNCTION("""COMPUTED_VALUE"""),2.7066666666666674)</f>
        <v>2.706666667</v>
      </c>
      <c r="T28" s="80">
        <f>IFERROR(__xludf.DUMMYFUNCTION("""COMPUTED_VALUE"""),357.20444243973924)</f>
        <v>357.2044424</v>
      </c>
      <c r="U28" s="80">
        <f>IFERROR(__xludf.DUMMYFUNCTION("""COMPUTED_VALUE"""),0.7443729026483946)</f>
        <v>0.7443729026</v>
      </c>
      <c r="V28" s="80">
        <f>IFERROR(__xludf.DUMMYFUNCTION("""COMPUTED_VALUE"""),0.6544685926093099)</f>
        <v>0.6544685926</v>
      </c>
      <c r="W28" s="80">
        <f>IFERROR(__xludf.DUMMYFUNCTION("""COMPUTED_VALUE"""),1.3873711307815473)</f>
        <v>1.387371131</v>
      </c>
      <c r="X28" s="80">
        <f>IFERROR(__xludf.DUMMYFUNCTION("""COMPUTED_VALUE"""),2.639155886909307)</f>
        <v>2.639155887</v>
      </c>
      <c r="Y28" s="80">
        <f>IFERROR(__xludf.DUMMYFUNCTION("""COMPUTED_VALUE"""),381.2717757495503)</f>
        <v>381.2717757</v>
      </c>
      <c r="Z28" s="80">
        <f>IFERROR(__xludf.DUMMYFUNCTION("""COMPUTED_VALUE"""),0.8588001865171878)</f>
        <v>0.8588001865</v>
      </c>
      <c r="AA28" s="80">
        <f>IFERROR(__xludf.DUMMYFUNCTION("""COMPUTED_VALUE"""),0.6889868706916379)</f>
        <v>0.6889868707</v>
      </c>
      <c r="AB28" s="80">
        <f>IFERROR(__xludf.DUMMYFUNCTION("""COMPUTED_VALUE"""),1.4661477405651313)</f>
        <v>1.466147741</v>
      </c>
      <c r="AC28" s="80">
        <f>IFERROR(__xludf.DUMMYFUNCTION("""COMPUTED_VALUE"""),2.834672970376607)</f>
        <v>2.83467297</v>
      </c>
      <c r="AD28" s="80">
        <f>IFERROR(__xludf.DUMMYFUNCTION("""COMPUTED_VALUE"""),0.8801071082177941)</f>
        <v>0.8801071082</v>
      </c>
      <c r="AE28" s="80">
        <f>IFERROR(__xludf.DUMMYFUNCTION("""COMPUTED_VALUE"""),0.931532168436469)</f>
        <v>0.9315321684</v>
      </c>
      <c r="AF28" s="80">
        <f>IFERROR(__xludf.DUMMYFUNCTION("""COMPUTED_VALUE"""),1.0450126564490694)</f>
        <v>1.045012656</v>
      </c>
      <c r="AG28" s="80">
        <f>IFERROR(__xludf.DUMMYFUNCTION("""COMPUTED_VALUE"""),0.7366242637892076)</f>
        <v>0.7366242638</v>
      </c>
      <c r="AH28" s="80">
        <f>IFERROR(__xludf.DUMMYFUNCTION("""COMPUTED_VALUE"""),0.7619926610839445)</f>
        <v>0.7619926611</v>
      </c>
      <c r="AI28" s="80">
        <f>IFERROR(__xludf.DUMMYFUNCTION("""COMPUTED_VALUE"""),0.931642015406368)</f>
        <v>0.9316420154</v>
      </c>
      <c r="AJ28" s="80">
        <f>IFERROR(__xludf.DUMMYFUNCTION("""COMPUTED_VALUE"""),0.9851693025420676)</f>
        <v>0.9851693025</v>
      </c>
      <c r="AK28" s="80">
        <f>IFERROR(__xludf.DUMMYFUNCTION("""COMPUTED_VALUE"""),0.8352832707940252)</f>
        <v>0.8352832708</v>
      </c>
      <c r="AL28" s="80">
        <f>IFERROR(__xludf.DUMMYFUNCTION("""COMPUTED_VALUE"""),0.8841662043058721)</f>
        <v>0.8841662043</v>
      </c>
      <c r="AM28" s="80">
        <f>IFERROR(__xludf.DUMMYFUNCTION("""COMPUTED_VALUE"""),1.0255804441458825)</f>
        <v>1.025580444</v>
      </c>
      <c r="AN28" s="80">
        <f>IFERROR(__xludf.DUMMYFUNCTION("""COMPUTED_VALUE"""),0.9110726808054594)</f>
        <v>0.9110726808</v>
      </c>
      <c r="AO28" s="80">
        <f>IFERROR(__xludf.DUMMYFUNCTION("""COMPUTED_VALUE"""),0.9985647794410317)</f>
        <v>0.9985647794</v>
      </c>
      <c r="AP28" s="80">
        <f>IFERROR(__xludf.DUMMYFUNCTION("""COMPUTED_VALUE"""),1.1840010887262153)</f>
        <v>1.184001089</v>
      </c>
      <c r="AQ28" s="80">
        <f>IFERROR(__xludf.DUMMYFUNCTION("""COMPUTED_VALUE"""),0.7309892602435553)</f>
        <v>0.7309892602</v>
      </c>
      <c r="AR28" s="80">
        <f>IFERROR(__xludf.DUMMYFUNCTION("""COMPUTED_VALUE"""),0.8137424017417281)</f>
        <v>0.8137424017</v>
      </c>
      <c r="AS28" s="80">
        <f>IFERROR(__xludf.DUMMYFUNCTION("""COMPUTED_VALUE"""),67.0)</f>
        <v>67</v>
      </c>
      <c r="AT28" s="80">
        <f>IFERROR(__xludf.DUMMYFUNCTION("""COMPUTED_VALUE"""),0.5771422631969931)</f>
        <v>0.5771422632</v>
      </c>
      <c r="AU28" s="80">
        <f>IFERROR(__xludf.DUMMYFUNCTION("""COMPUTED_VALUE"""),2.4996642740621757)</f>
        <v>2.499664274</v>
      </c>
      <c r="AV28" s="80">
        <f>IFERROR(__xludf.DUMMYFUNCTION("""COMPUTED_VALUE"""),49.59115616672777)</f>
        <v>49.59115617</v>
      </c>
      <c r="AW28" s="82">
        <f t="shared" si="1"/>
        <v>-2.026440644</v>
      </c>
      <c r="AX28" s="83">
        <f t="array" ref="AX28">IFERROR(DGET('SBV Import'!A:G,"SBV",{"RSC ID","Tier";B28,A28}))</f>
        <v>39.771868</v>
      </c>
      <c r="AY28" s="82">
        <f t="shared" si="2"/>
        <v>-2.930627397</v>
      </c>
      <c r="AZ28" s="82">
        <v>0.9041867528681977</v>
      </c>
      <c r="BA28" s="84">
        <v>2.0</v>
      </c>
      <c r="BB28" s="84" t="b">
        <f>IFERROR(__xludf.DUMMYFUNCTION("iferror(if(A28="""",,E28&gt;=FILTER(Constants!$F$2:$F$10,Constants!$A$2:$A$10=A28)))"),TRUE)</f>
        <v>1</v>
      </c>
    </row>
    <row r="29">
      <c r="A29" s="80" t="str">
        <f>IFERROR(__xludf.DUMMYFUNCTION("""COMPUTED_VALUE"""),"Premier")</f>
        <v>Premier</v>
      </c>
      <c r="B29" s="79" t="str">
        <f>IFERROR(__xludf.DUMMYFUNCTION("""COMPUTED_VALUE"""),"RSC005917")</f>
        <v>RSC005917</v>
      </c>
      <c r="C29" s="80" t="str">
        <f>IFERROR(__xludf.DUMMYFUNCTION("""COMPUTED_VALUE"""),"GAVALANCHE")</f>
        <v>GAVALANCHE</v>
      </c>
      <c r="D29" s="80" t="str">
        <f>IFERROR(__xludf.DUMMYFUNCTION("""COMPUTED_VALUE"""),"Crooked Capos")</f>
        <v>Crooked Capos</v>
      </c>
      <c r="E29" s="80">
        <f>IFERROR(__xludf.DUMMYFUNCTION("""COMPUTED_VALUE"""),32.0)</f>
        <v>32</v>
      </c>
      <c r="F29" s="80">
        <f>IFERROR(__xludf.DUMMYFUNCTION("""COMPUTED_VALUE"""),14.0)</f>
        <v>14</v>
      </c>
      <c r="G29" s="80">
        <f>IFERROR(__xludf.DUMMYFUNCTION("""COMPUTED_VALUE"""),18.0)</f>
        <v>18</v>
      </c>
      <c r="H29" s="81">
        <f>IFERROR(__xludf.DUMMYFUNCTION("""COMPUTED_VALUE"""),0.4375)</f>
        <v>0.4375</v>
      </c>
      <c r="I29" s="81">
        <f>IFERROR(__xludf.DUMMYFUNCTION("""COMPUTED_VALUE"""),0.34523809523809523)</f>
        <v>0.3452380952</v>
      </c>
      <c r="J29" s="80">
        <f>IFERROR(__xludf.DUMMYFUNCTION("""COMPUTED_VALUE"""),369.375)</f>
        <v>369.375</v>
      </c>
      <c r="K29" s="80">
        <f>IFERROR(__xludf.DUMMYFUNCTION("""COMPUTED_VALUE"""),0.90625)</f>
        <v>0.90625</v>
      </c>
      <c r="L29" s="80">
        <f>IFERROR(__xludf.DUMMYFUNCTION("""COMPUTED_VALUE"""),0.5625)</f>
        <v>0.5625</v>
      </c>
      <c r="M29" s="80">
        <f>IFERROR(__xludf.DUMMYFUNCTION("""COMPUTED_VALUE"""),1.59375)</f>
        <v>1.59375</v>
      </c>
      <c r="N29" s="80">
        <f>IFERROR(__xludf.DUMMYFUNCTION("""COMPUTED_VALUE"""),2.625)</f>
        <v>2.625</v>
      </c>
      <c r="O29" s="80">
        <f>IFERROR(__xludf.DUMMYFUNCTION("""COMPUTED_VALUE"""),399.75)</f>
        <v>399.75</v>
      </c>
      <c r="P29" s="80">
        <f>IFERROR(__xludf.DUMMYFUNCTION("""COMPUTED_VALUE"""),0.8749999999999999)</f>
        <v>0.875</v>
      </c>
      <c r="Q29" s="80">
        <f>IFERROR(__xludf.DUMMYFUNCTION("""COMPUTED_VALUE"""),0.6770833333333331)</f>
        <v>0.6770833333</v>
      </c>
      <c r="R29" s="80">
        <f>IFERROR(__xludf.DUMMYFUNCTION("""COMPUTED_VALUE"""),1.5625000000000002)</f>
        <v>1.5625</v>
      </c>
      <c r="S29" s="80">
        <f>IFERROR(__xludf.DUMMYFUNCTION("""COMPUTED_VALUE"""),2.989583333333334)</f>
        <v>2.989583333</v>
      </c>
      <c r="T29" s="80">
        <f>IFERROR(__xludf.DUMMYFUNCTION("""COMPUTED_VALUE"""),376.7806075028043)</f>
        <v>376.7806075</v>
      </c>
      <c r="U29" s="80">
        <f>IFERROR(__xludf.DUMMYFUNCTION("""COMPUTED_VALUE"""),0.8483807750342949)</f>
        <v>0.848380775</v>
      </c>
      <c r="V29" s="80">
        <f>IFERROR(__xludf.DUMMYFUNCTION("""COMPUTED_VALUE"""),0.6509371838792013)</f>
        <v>0.6509371839</v>
      </c>
      <c r="W29" s="80">
        <f>IFERROR(__xludf.DUMMYFUNCTION("""COMPUTED_VALUE"""),1.4428365197122817)</f>
        <v>1.44283652</v>
      </c>
      <c r="X29" s="80">
        <f>IFERROR(__xludf.DUMMYFUNCTION("""COMPUTED_VALUE"""),2.762046040612324)</f>
        <v>2.762046041</v>
      </c>
      <c r="Y29" s="80">
        <f>IFERROR(__xludf.DUMMYFUNCTION("""COMPUTED_VALUE"""),376.48126641264236)</f>
        <v>376.4812664</v>
      </c>
      <c r="Z29" s="80">
        <f>IFERROR(__xludf.DUMMYFUNCTION("""COMPUTED_VALUE"""),0.8542275811069615)</f>
        <v>0.8542275811</v>
      </c>
      <c r="AA29" s="80">
        <f>IFERROR(__xludf.DUMMYFUNCTION("""COMPUTED_VALUE"""),0.6553731299553082)</f>
        <v>0.65537313</v>
      </c>
      <c r="AB29" s="80">
        <f>IFERROR(__xludf.DUMMYFUNCTION("""COMPUTED_VALUE"""),1.4489250173896728)</f>
        <v>1.448925017</v>
      </c>
      <c r="AC29" s="80">
        <f>IFERROR(__xludf.DUMMYFUNCTION("""COMPUTED_VALUE"""),2.7445962157539565)</f>
        <v>2.744596216</v>
      </c>
      <c r="AD29" s="80">
        <f>IFERROR(__xludf.DUMMYFUNCTION("""COMPUTED_VALUE"""),0.9811245152239434)</f>
        <v>0.9811245152</v>
      </c>
      <c r="AE29" s="80">
        <f>IFERROR(__xludf.DUMMYFUNCTION("""COMPUTED_VALUE"""),1.0608999522417955)</f>
        <v>1.060899952</v>
      </c>
      <c r="AF29" s="80">
        <f>IFERROR(__xludf.DUMMYFUNCTION("""COMPUTED_VALUE"""),0.8582896891704402)</f>
        <v>0.8582896892</v>
      </c>
      <c r="AG29" s="80">
        <f>IFERROR(__xludf.DUMMYFUNCTION("""COMPUTED_VALUE"""),1.0999534005363771)</f>
        <v>1.099953401</v>
      </c>
      <c r="AH29" s="80">
        <f>IFERROR(__xludf.DUMMYFUNCTION("""COMPUTED_VALUE"""),0.9564248412690087)</f>
        <v>0.9564248413</v>
      </c>
      <c r="AI29" s="80">
        <f>IFERROR(__xludf.DUMMYFUNCTION("""COMPUTED_VALUE"""),1.0609622471003228)</f>
        <v>1.060962247</v>
      </c>
      <c r="AJ29" s="80">
        <f>IFERROR(__xludf.DUMMYFUNCTION("""COMPUTED_VALUE"""),1.031376506574691)</f>
        <v>1.031376507</v>
      </c>
      <c r="AK29" s="80">
        <f>IFERROR(__xludf.DUMMYFUNCTION("""COMPUTED_VALUE"""),1.040166931774148)</f>
        <v>1.040166932</v>
      </c>
      <c r="AL29" s="80">
        <f>IFERROR(__xludf.DUMMYFUNCTION("""COMPUTED_VALUE"""),1.0829362707783283)</f>
        <v>1.082936271</v>
      </c>
      <c r="AM29" s="80">
        <f>IFERROR(__xludf.DUMMYFUNCTION("""COMPUTED_VALUE"""),1.0823799782390908)</f>
        <v>1.082379978</v>
      </c>
      <c r="AN29" s="80">
        <f>IFERROR(__xludf.DUMMYFUNCTION("""COMPUTED_VALUE"""),1.0028831549425337)</f>
        <v>1.002883155</v>
      </c>
      <c r="AO29" s="80">
        <f>IFERROR(__xludf.DUMMYFUNCTION("""COMPUTED_VALUE"""),1.1311866642105437)</f>
        <v>1.131186664</v>
      </c>
      <c r="AP29" s="80">
        <f>IFERROR(__xludf.DUMMYFUNCTION("""COMPUTED_VALUE"""),0.9250008505673557)</f>
        <v>0.9250008506</v>
      </c>
      <c r="AQ29" s="80">
        <f>IFERROR(__xludf.DUMMYFUNCTION("""COMPUTED_VALUE"""),1.0787167902899686)</f>
        <v>1.07871679</v>
      </c>
      <c r="AR29" s="80">
        <f>IFERROR(__xludf.DUMMYFUNCTION("""COMPUTED_VALUE"""),0.9889230576722389)</f>
        <v>0.9889230577</v>
      </c>
      <c r="AS29" s="80">
        <f>IFERROR(__xludf.DUMMYFUNCTION("""COMPUTED_VALUE"""),77.0)</f>
        <v>77</v>
      </c>
      <c r="AT29" s="80">
        <f>IFERROR(__xludf.DUMMYFUNCTION("""COMPUTED_VALUE"""),0.4654693184805201)</f>
        <v>0.4654693185</v>
      </c>
      <c r="AU29" s="80">
        <f>IFERROR(__xludf.DUMMYFUNCTION("""COMPUTED_VALUE"""),2.4971514799704733)</f>
        <v>2.49715148</v>
      </c>
      <c r="AV29" s="80">
        <f>IFERROR(__xludf.DUMMYFUNCTION("""COMPUTED_VALUE"""),49.52050347389679)</f>
        <v>49.52050347</v>
      </c>
      <c r="AW29" s="82">
        <f t="shared" si="1"/>
        <v>-2.031080357</v>
      </c>
      <c r="AX29" s="83">
        <f t="array" ref="AX29">IFERROR(DGET('SBV Import'!A:G,"SBV",{"RSC ID","Tier";B29,A29}))</f>
        <v>39.40349396</v>
      </c>
      <c r="AY29" s="82">
        <f t="shared" si="2"/>
        <v>-2.97766273</v>
      </c>
      <c r="AZ29" s="82">
        <v>0.9465823731384702</v>
      </c>
      <c r="BA29" s="84">
        <v>2.0</v>
      </c>
      <c r="BB29" s="84" t="b">
        <f>IFERROR(__xludf.DUMMYFUNCTION("iferror(if(A29="""",,E29&gt;=FILTER(Constants!$F$2:$F$10,Constants!$A$2:$A$10=A29)))"),TRUE)</f>
        <v>1</v>
      </c>
    </row>
    <row r="30">
      <c r="A30" s="80" t="str">
        <f>IFERROR(__xludf.DUMMYFUNCTION("""COMPUTED_VALUE"""),"Premier")</f>
        <v>Premier</v>
      </c>
      <c r="B30" s="79" t="str">
        <f>IFERROR(__xludf.DUMMYFUNCTION("""COMPUTED_VALUE"""),"RSC003804")</f>
        <v>RSC003804</v>
      </c>
      <c r="C30" s="80" t="str">
        <f>IFERROR(__xludf.DUMMYFUNCTION("""COMPUTED_VALUE"""),"ayylo")</f>
        <v>ayylo</v>
      </c>
      <c r="D30" s="80" t="str">
        <f>IFERROR(__xludf.DUMMYFUNCTION("""COMPUTED_VALUE"""),"Hurricanes")</f>
        <v>Hurricanes</v>
      </c>
      <c r="E30" s="80">
        <f>IFERROR(__xludf.DUMMYFUNCTION("""COMPUTED_VALUE"""),31.0)</f>
        <v>31</v>
      </c>
      <c r="F30" s="80">
        <f>IFERROR(__xludf.DUMMYFUNCTION("""COMPUTED_VALUE"""),22.0)</f>
        <v>22</v>
      </c>
      <c r="G30" s="80">
        <f>IFERROR(__xludf.DUMMYFUNCTION("""COMPUTED_VALUE"""),9.0)</f>
        <v>9</v>
      </c>
      <c r="H30" s="81">
        <f>IFERROR(__xludf.DUMMYFUNCTION("""COMPUTED_VALUE"""),0.7096774193548387)</f>
        <v>0.7096774194</v>
      </c>
      <c r="I30" s="81">
        <f>IFERROR(__xludf.DUMMYFUNCTION("""COMPUTED_VALUE"""),0.3103448275862069)</f>
        <v>0.3103448276</v>
      </c>
      <c r="J30" s="80">
        <f>IFERROR(__xludf.DUMMYFUNCTION("""COMPUTED_VALUE"""),368.19354838709677)</f>
        <v>368.1935484</v>
      </c>
      <c r="K30" s="80">
        <f>IFERROR(__xludf.DUMMYFUNCTION("""COMPUTED_VALUE"""),0.8709677419354839)</f>
        <v>0.8709677419</v>
      </c>
      <c r="L30" s="80">
        <f>IFERROR(__xludf.DUMMYFUNCTION("""COMPUTED_VALUE"""),0.3870967741935484)</f>
        <v>0.3870967742</v>
      </c>
      <c r="M30" s="80">
        <f>IFERROR(__xludf.DUMMYFUNCTION("""COMPUTED_VALUE"""),1.6129032258064515)</f>
        <v>1.612903226</v>
      </c>
      <c r="N30" s="80">
        <f>IFERROR(__xludf.DUMMYFUNCTION("""COMPUTED_VALUE"""),2.806451612903226)</f>
        <v>2.806451613</v>
      </c>
      <c r="O30" s="80">
        <f>IFERROR(__xludf.DUMMYFUNCTION("""COMPUTED_VALUE"""),369.5913978494624)</f>
        <v>369.5913978</v>
      </c>
      <c r="P30" s="80">
        <f>IFERROR(__xludf.DUMMYFUNCTION("""COMPUTED_VALUE"""),0.6021505376344085)</f>
        <v>0.6021505376</v>
      </c>
      <c r="Q30" s="80">
        <f>IFERROR(__xludf.DUMMYFUNCTION("""COMPUTED_VALUE"""),0.48387096774193566)</f>
        <v>0.4838709677</v>
      </c>
      <c r="R30" s="80">
        <f>IFERROR(__xludf.DUMMYFUNCTION("""COMPUTED_VALUE"""),1.7741935483870965)</f>
        <v>1.774193548</v>
      </c>
      <c r="S30" s="80">
        <f>IFERROR(__xludf.DUMMYFUNCTION("""COMPUTED_VALUE"""),2.709677419354839)</f>
        <v>2.709677419</v>
      </c>
      <c r="T30" s="80">
        <f>IFERROR(__xludf.DUMMYFUNCTION("""COMPUTED_VALUE"""),376.25214043540467)</f>
        <v>376.2521404</v>
      </c>
      <c r="U30" s="80">
        <f>IFERROR(__xludf.DUMMYFUNCTION("""COMPUTED_VALUE"""),0.8587053435523812)</f>
        <v>0.8587053436</v>
      </c>
      <c r="V30" s="80">
        <f>IFERROR(__xludf.DUMMYFUNCTION("""COMPUTED_VALUE"""),0.6344233262557991)</f>
        <v>0.6344233263</v>
      </c>
      <c r="W30" s="80">
        <f>IFERROR(__xludf.DUMMYFUNCTION("""COMPUTED_VALUE"""),1.4637389122887012)</f>
        <v>1.463738912</v>
      </c>
      <c r="X30" s="80">
        <f>IFERROR(__xludf.DUMMYFUNCTION("""COMPUTED_VALUE"""),2.6913738451902534)</f>
        <v>2.691373845</v>
      </c>
      <c r="Y30" s="80">
        <f>IFERROR(__xludf.DUMMYFUNCTION("""COMPUTED_VALUE"""),380.19159736579206)</f>
        <v>380.1915974</v>
      </c>
      <c r="Z30" s="80">
        <f>IFERROR(__xludf.DUMMYFUNCTION("""COMPUTED_VALUE"""),0.8631603235281892)</f>
        <v>0.8631603235</v>
      </c>
      <c r="AA30" s="80">
        <f>IFERROR(__xludf.DUMMYFUNCTION("""COMPUTED_VALUE"""),0.6732820060934911)</f>
        <v>0.6732820061</v>
      </c>
      <c r="AB30" s="80">
        <f>IFERROR(__xludf.DUMMYFUNCTION("""COMPUTED_VALUE"""),1.442943212482246)</f>
        <v>1.442943212</v>
      </c>
      <c r="AC30" s="80">
        <f>IFERROR(__xludf.DUMMYFUNCTION("""COMPUTED_VALUE"""),2.7633520510779808)</f>
        <v>2.763352051</v>
      </c>
      <c r="AD30" s="80">
        <f>IFERROR(__xludf.DUMMYFUNCTION("""COMPUTED_VALUE"""),0.9684420985055289)</f>
        <v>0.9684420985</v>
      </c>
      <c r="AE30" s="80">
        <f>IFERROR(__xludf.DUMMYFUNCTION("""COMPUTED_VALUE"""),1.0090451544104595)</f>
        <v>1.009045154</v>
      </c>
      <c r="AF30" s="80">
        <f>IFERROR(__xludf.DUMMYFUNCTION("""COMPUTED_VALUE"""),0.5749400261556917)</f>
        <v>0.5749400262</v>
      </c>
      <c r="AG30" s="80">
        <f>IFERROR(__xludf.DUMMYFUNCTION("""COMPUTED_VALUE"""),1.1177870423825127)</f>
        <v>1.117787042</v>
      </c>
      <c r="AH30" s="80">
        <f>IFERROR(__xludf.DUMMYFUNCTION("""COMPUTED_VALUE"""),1.0155968407313256)</f>
        <v>1.015596841</v>
      </c>
      <c r="AI30" s="80">
        <f>IFERROR(__xludf.DUMMYFUNCTION("""COMPUTED_VALUE"""),0.9822971303811472)</f>
        <v>0.9822971304</v>
      </c>
      <c r="AJ30" s="80">
        <f>IFERROR(__xludf.DUMMYFUNCTION("""COMPUTED_VALUE"""),0.7012306865861226)</f>
        <v>0.7012306866</v>
      </c>
      <c r="AK30" s="80">
        <f>IFERROR(__xludf.DUMMYFUNCTION("""COMPUTED_VALUE"""),0.7626941628984795)</f>
        <v>0.7626941629</v>
      </c>
      <c r="AL30" s="80">
        <f>IFERROR(__xludf.DUMMYFUNCTION("""COMPUTED_VALUE"""),1.2120970027455022)</f>
        <v>1.212097003</v>
      </c>
      <c r="AM30" s="80">
        <f>IFERROR(__xludf.DUMMYFUNCTION("""COMPUTED_VALUE"""),1.006800829322651)</f>
        <v>1.006800829</v>
      </c>
      <c r="AN30" s="80">
        <f>IFERROR(__xludf.DUMMYFUNCTION("""COMPUTED_VALUE"""),0.9996754177622686)</f>
        <v>0.9996754178</v>
      </c>
      <c r="AO30" s="80">
        <f>IFERROR(__xludf.DUMMYFUNCTION("""COMPUTED_VALUE"""),1.0871471389075749)</f>
        <v>1.087147139</v>
      </c>
      <c r="AP30" s="80">
        <f>IFERROR(__xludf.DUMMYFUNCTION("""COMPUTED_VALUE"""),0.6365597251216211)</f>
        <v>0.6365597251</v>
      </c>
      <c r="AQ30" s="80">
        <f>IFERROR(__xludf.DUMMYFUNCTION("""COMPUTED_VALUE"""),1.0916804961821314)</f>
        <v>1.091680496</v>
      </c>
      <c r="AR30" s="80">
        <f>IFERROR(__xludf.DUMMYFUNCTION("""COMPUTED_VALUE"""),1.0572817943776933)</f>
        <v>1.057281794</v>
      </c>
      <c r="AS30" s="80">
        <f>IFERROR(__xludf.DUMMYFUNCTION("""COMPUTED_VALUE"""),88.0)</f>
        <v>88</v>
      </c>
      <c r="AT30" s="80">
        <f>IFERROR(__xludf.DUMMYFUNCTION("""COMPUTED_VALUE"""),0.6687085137247877)</f>
        <v>0.6687085137</v>
      </c>
      <c r="AU30" s="80">
        <f>IFERROR(__xludf.DUMMYFUNCTION("""COMPUTED_VALUE"""),2.4738098092752785)</f>
        <v>2.473809809</v>
      </c>
      <c r="AV30" s="80">
        <f>IFERROR(__xludf.DUMMYFUNCTION("""COMPUTED_VALUE"""),48.864201433377374)</f>
        <v>48.86420143</v>
      </c>
      <c r="AW30" s="82">
        <f t="shared" si="1"/>
        <v>-2.075198941</v>
      </c>
      <c r="AX30" s="83">
        <f t="array" ref="AX30">IFERROR(DGET('SBV Import'!A:G,"SBV",{"RSC ID","Tier";B30,A30}))</f>
        <v>31.53628996</v>
      </c>
      <c r="AY30" s="82">
        <f t="shared" si="2"/>
        <v>-4.346113471</v>
      </c>
      <c r="AZ30" s="82">
        <v>2.2709145304063827</v>
      </c>
      <c r="BA30" s="84">
        <v>2.0</v>
      </c>
      <c r="BB30" s="84" t="b">
        <f>IFERROR(__xludf.DUMMYFUNCTION("iferror(if(A30="""",,E30&gt;=FILTER(Constants!$F$2:$F$10,Constants!$A$2:$A$10=A30)))"),TRUE)</f>
        <v>1</v>
      </c>
    </row>
    <row r="31">
      <c r="A31" s="80" t="str">
        <f>IFERROR(__xludf.DUMMYFUNCTION("""COMPUTED_VALUE"""),"Premier")</f>
        <v>Premier</v>
      </c>
      <c r="B31" s="79" t="str">
        <f>IFERROR(__xludf.DUMMYFUNCTION("""COMPUTED_VALUE"""),"RSC007819")</f>
        <v>RSC007819</v>
      </c>
      <c r="C31" s="80" t="str">
        <f>IFERROR(__xludf.DUMMYFUNCTION("""COMPUTED_VALUE"""),"DivineRL_ TTV")</f>
        <v>DivineRL_ TTV</v>
      </c>
      <c r="D31" s="80" t="str">
        <f>IFERROR(__xludf.DUMMYFUNCTION("""COMPUTED_VALUE"""),"Interstellar")</f>
        <v>Interstellar</v>
      </c>
      <c r="E31" s="80">
        <f>IFERROR(__xludf.DUMMYFUNCTION("""COMPUTED_VALUE"""),36.0)</f>
        <v>36</v>
      </c>
      <c r="F31" s="80">
        <f>IFERROR(__xludf.DUMMYFUNCTION("""COMPUTED_VALUE"""),16.0)</f>
        <v>16</v>
      </c>
      <c r="G31" s="80">
        <f>IFERROR(__xludf.DUMMYFUNCTION("""COMPUTED_VALUE"""),20.0)</f>
        <v>20</v>
      </c>
      <c r="H31" s="81">
        <f>IFERROR(__xludf.DUMMYFUNCTION("""COMPUTED_VALUE"""),0.4444444444444444)</f>
        <v>0.4444444444</v>
      </c>
      <c r="I31" s="81">
        <f>IFERROR(__xludf.DUMMYFUNCTION("""COMPUTED_VALUE"""),0.29069767441860467)</f>
        <v>0.2906976744</v>
      </c>
      <c r="J31" s="80">
        <f>IFERROR(__xludf.DUMMYFUNCTION("""COMPUTED_VALUE"""),385.69444444444446)</f>
        <v>385.6944444</v>
      </c>
      <c r="K31" s="80">
        <f>IFERROR(__xludf.DUMMYFUNCTION("""COMPUTED_VALUE"""),0.6944444444444444)</f>
        <v>0.6944444444</v>
      </c>
      <c r="L31" s="80">
        <f>IFERROR(__xludf.DUMMYFUNCTION("""COMPUTED_VALUE"""),0.6944444444444444)</f>
        <v>0.6944444444</v>
      </c>
      <c r="M31" s="80">
        <f>IFERROR(__xludf.DUMMYFUNCTION("""COMPUTED_VALUE"""),1.7777777777777777)</f>
        <v>1.777777778</v>
      </c>
      <c r="N31" s="80">
        <f>IFERROR(__xludf.DUMMYFUNCTION("""COMPUTED_VALUE"""),2.388888888888889)</f>
        <v>2.388888889</v>
      </c>
      <c r="O31" s="80">
        <f>IFERROR(__xludf.DUMMYFUNCTION("""COMPUTED_VALUE"""),357.14814814814827)</f>
        <v>357.1481481</v>
      </c>
      <c r="P31" s="80">
        <f>IFERROR(__xludf.DUMMYFUNCTION("""COMPUTED_VALUE"""),0.8703703703703705)</f>
        <v>0.8703703704</v>
      </c>
      <c r="Q31" s="80">
        <f>IFERROR(__xludf.DUMMYFUNCTION("""COMPUTED_VALUE"""),0.675925925925926)</f>
        <v>0.6759259259</v>
      </c>
      <c r="R31" s="80">
        <f>IFERROR(__xludf.DUMMYFUNCTION("""COMPUTED_VALUE"""),1.1759259259259263)</f>
        <v>1.175925926</v>
      </c>
      <c r="S31" s="80">
        <f>IFERROR(__xludf.DUMMYFUNCTION("""COMPUTED_VALUE"""),2.888888888888889)</f>
        <v>2.888888889</v>
      </c>
      <c r="T31" s="80">
        <f>IFERROR(__xludf.DUMMYFUNCTION("""COMPUTED_VALUE"""),372.1450075735545)</f>
        <v>372.1450076</v>
      </c>
      <c r="U31" s="80">
        <f>IFERROR(__xludf.DUMMYFUNCTION("""COMPUTED_VALUE"""),0.8408754178530552)</f>
        <v>0.8408754179</v>
      </c>
      <c r="V31" s="80">
        <f>IFERROR(__xludf.DUMMYFUNCTION("""COMPUTED_VALUE"""),0.6144580762541165)</f>
        <v>0.6144580763</v>
      </c>
      <c r="W31" s="80">
        <f>IFERROR(__xludf.DUMMYFUNCTION("""COMPUTED_VALUE"""),1.4297989530664281)</f>
        <v>1.429798953</v>
      </c>
      <c r="X31" s="80">
        <f>IFERROR(__xludf.DUMMYFUNCTION("""COMPUTED_VALUE"""),2.7839083730658993)</f>
        <v>2.783908373</v>
      </c>
      <c r="Y31" s="80">
        <f>IFERROR(__xludf.DUMMYFUNCTION("""COMPUTED_VALUE"""),379.780122708669)</f>
        <v>379.7801227</v>
      </c>
      <c r="Z31" s="80">
        <f>IFERROR(__xludf.DUMMYFUNCTION("""COMPUTED_VALUE"""),0.8583295797287053)</f>
        <v>0.8583295797</v>
      </c>
      <c r="AA31" s="80">
        <f>IFERROR(__xludf.DUMMYFUNCTION("""COMPUTED_VALUE"""),0.6822460531547884)</f>
        <v>0.6822460532</v>
      </c>
      <c r="AB31" s="80">
        <f>IFERROR(__xludf.DUMMYFUNCTION("""COMPUTED_VALUE"""),1.4537999116971958)</f>
        <v>1.453799912</v>
      </c>
      <c r="AC31" s="80">
        <f>IFERROR(__xludf.DUMMYFUNCTION("""COMPUTED_VALUE"""),2.7422104886271796)</f>
        <v>2.742210489</v>
      </c>
      <c r="AD31" s="80">
        <f>IFERROR(__xludf.DUMMYFUNCTION("""COMPUTED_VALUE"""),1.0155730154953695)</f>
        <v>1.015573015</v>
      </c>
      <c r="AE31" s="80">
        <f>IFERROR(__xludf.DUMMYFUNCTION("""COMPUTED_VALUE"""),0.8090650268209788)</f>
        <v>0.8090650268</v>
      </c>
      <c r="AF31" s="80">
        <f>IFERROR(__xludf.DUMMYFUNCTION("""COMPUTED_VALUE"""),1.0178797535482238)</f>
        <v>1.017879754</v>
      </c>
      <c r="AG31" s="80">
        <f>IFERROR(__xludf.DUMMYFUNCTION("""COMPUTED_VALUE"""),1.2228490065750268)</f>
        <v>1.222849007</v>
      </c>
      <c r="AH31" s="80">
        <f>IFERROR(__xludf.DUMMYFUNCTION("""COMPUTED_VALUE"""),0.8711544568866512)</f>
        <v>0.8711544569</v>
      </c>
      <c r="AI31" s="80">
        <f>IFERROR(__xludf.DUMMYFUNCTION("""COMPUTED_VALUE"""),0.9597015703013506)</f>
        <v>0.9597015703</v>
      </c>
      <c r="AJ31" s="80">
        <f>IFERROR(__xludf.DUMMYFUNCTION("""COMPUTED_VALUE"""),1.0350764832591046)</f>
        <v>1.035076483</v>
      </c>
      <c r="AK31" s="80">
        <f>IFERROR(__xludf.DUMMYFUNCTION("""COMPUTED_VALUE"""),1.100035872335721)</f>
        <v>1.100035872</v>
      </c>
      <c r="AL31" s="80">
        <f>IFERROR(__xludf.DUMMYFUNCTION("""COMPUTED_VALUE"""),0.8224414512291877)</f>
        <v>0.8224414512</v>
      </c>
      <c r="AM31" s="80">
        <f>IFERROR(__xludf.DUMMYFUNCTION("""COMPUTED_VALUE"""),1.0377097597171905)</f>
        <v>1.03770976</v>
      </c>
      <c r="AN31" s="80">
        <f>IFERROR(__xludf.DUMMYFUNCTION("""COMPUTED_VALUE"""),1.0471917733692107)</f>
        <v>1.047191773</v>
      </c>
      <c r="AO31" s="80">
        <f>IFERROR(__xludf.DUMMYFUNCTION("""COMPUTED_VALUE"""),0.8668097043758956)</f>
        <v>0.8668097044</v>
      </c>
      <c r="AP31" s="80">
        <f>IFERROR(__xludf.DUMMYFUNCTION("""COMPUTED_VALUE"""),1.1419763587251304)</f>
        <v>1.141976359</v>
      </c>
      <c r="AQ31" s="80">
        <f>IFERROR(__xludf.DUMMYFUNCTION("""COMPUTED_VALUE"""),1.2032745024585272)</f>
        <v>1.203274502</v>
      </c>
      <c r="AR31" s="80">
        <f>IFERROR(__xludf.DUMMYFUNCTION("""COMPUTED_VALUE"""),0.8999723064530428)</f>
        <v>0.8999723065</v>
      </c>
      <c r="AS31" s="80">
        <f>IFERROR(__xludf.DUMMYFUNCTION("""COMPUTED_VALUE"""),85.0)</f>
        <v>85</v>
      </c>
      <c r="AT31" s="80">
        <f>IFERROR(__xludf.DUMMYFUNCTION("""COMPUTED_VALUE"""),0.46021523673211245)</f>
        <v>0.4602152367</v>
      </c>
      <c r="AU31" s="80">
        <f>IFERROR(__xludf.DUMMYFUNCTION("""COMPUTED_VALUE"""),2.4281075924177715)</f>
        <v>2.428107592</v>
      </c>
      <c r="AV31" s="80">
        <f>IFERROR(__xludf.DUMMYFUNCTION("""COMPUTED_VALUE"""),47.579183810966235)</f>
        <v>47.57918381</v>
      </c>
      <c r="AW31" s="82">
        <f t="shared" si="1"/>
        <v>-2.167177604</v>
      </c>
      <c r="AX31" s="83">
        <f t="array" ref="AX31">IFERROR(DGET('SBV Import'!A:G,"SBV",{"RSC ID","Tier";B31,A31}))</f>
        <v>55.72241037</v>
      </c>
      <c r="AY31" s="82">
        <f t="shared" si="2"/>
        <v>2.442153243</v>
      </c>
      <c r="AZ31" s="82">
        <v>4.609330847759768</v>
      </c>
      <c r="BA31" s="84">
        <v>2.0</v>
      </c>
      <c r="BB31" s="84" t="b">
        <f>IFERROR(__xludf.DUMMYFUNCTION("iferror(if(A31="""",,E31&gt;=FILTER(Constants!$F$2:$F$10,Constants!$A$2:$A$10=A31)))"),TRUE)</f>
        <v>1</v>
      </c>
    </row>
    <row r="32">
      <c r="A32" s="80" t="str">
        <f>IFERROR(__xludf.DUMMYFUNCTION("""COMPUTED_VALUE"""),"Premier")</f>
        <v>Premier</v>
      </c>
      <c r="B32" s="79" t="str">
        <f>IFERROR(__xludf.DUMMYFUNCTION("""COMPUTED_VALUE"""),"RSC001114")</f>
        <v>RSC001114</v>
      </c>
      <c r="C32" s="80" t="str">
        <f>IFERROR(__xludf.DUMMYFUNCTION("""COMPUTED_VALUE"""),"ashes.")</f>
        <v>ashes.</v>
      </c>
      <c r="D32" s="80" t="str">
        <f>IFERROR(__xludf.DUMMYFUNCTION("""COMPUTED_VALUE"""),"Punks")</f>
        <v>Punks</v>
      </c>
      <c r="E32" s="80">
        <f>IFERROR(__xludf.DUMMYFUNCTION("""COMPUTED_VALUE"""),36.0)</f>
        <v>36</v>
      </c>
      <c r="F32" s="80">
        <f>IFERROR(__xludf.DUMMYFUNCTION("""COMPUTED_VALUE"""),17.0)</f>
        <v>17</v>
      </c>
      <c r="G32" s="80">
        <f>IFERROR(__xludf.DUMMYFUNCTION("""COMPUTED_VALUE"""),19.0)</f>
        <v>19</v>
      </c>
      <c r="H32" s="81">
        <f>IFERROR(__xludf.DUMMYFUNCTION("""COMPUTED_VALUE"""),0.4722222222222222)</f>
        <v>0.4722222222</v>
      </c>
      <c r="I32" s="81">
        <f>IFERROR(__xludf.DUMMYFUNCTION("""COMPUTED_VALUE"""),0.31578947368421056)</f>
        <v>0.3157894737</v>
      </c>
      <c r="J32" s="80">
        <f>IFERROR(__xludf.DUMMYFUNCTION("""COMPUTED_VALUE"""),357.5)</f>
        <v>357.5</v>
      </c>
      <c r="K32" s="80">
        <f>IFERROR(__xludf.DUMMYFUNCTION("""COMPUTED_VALUE"""),0.8333333333333334)</f>
        <v>0.8333333333</v>
      </c>
      <c r="L32" s="80">
        <f>IFERROR(__xludf.DUMMYFUNCTION("""COMPUTED_VALUE"""),0.5277777777777778)</f>
        <v>0.5277777778</v>
      </c>
      <c r="M32" s="80">
        <f>IFERROR(__xludf.DUMMYFUNCTION("""COMPUTED_VALUE"""),1.4444444444444444)</f>
        <v>1.444444444</v>
      </c>
      <c r="N32" s="80">
        <f>IFERROR(__xludf.DUMMYFUNCTION("""COMPUTED_VALUE"""),2.638888888888889)</f>
        <v>2.638888889</v>
      </c>
      <c r="O32" s="80">
        <f>IFERROR(__xludf.DUMMYFUNCTION("""COMPUTED_VALUE"""),368.5462962962963)</f>
        <v>368.5462963</v>
      </c>
      <c r="P32" s="80">
        <f>IFERROR(__xludf.DUMMYFUNCTION("""COMPUTED_VALUE"""),0.8148148148148147)</f>
        <v>0.8148148148</v>
      </c>
      <c r="Q32" s="80">
        <f>IFERROR(__xludf.DUMMYFUNCTION("""COMPUTED_VALUE"""),0.6666666666666665)</f>
        <v>0.6666666667</v>
      </c>
      <c r="R32" s="80">
        <f>IFERROR(__xludf.DUMMYFUNCTION("""COMPUTED_VALUE"""),1.37037037037037)</f>
        <v>1.37037037</v>
      </c>
      <c r="S32" s="80">
        <f>IFERROR(__xludf.DUMMYFUNCTION("""COMPUTED_VALUE"""),2.583333333333334)</f>
        <v>2.583333333</v>
      </c>
      <c r="T32" s="80">
        <f>IFERROR(__xludf.DUMMYFUNCTION("""COMPUTED_VALUE"""),378.4003589201298)</f>
        <v>378.4003589</v>
      </c>
      <c r="U32" s="80">
        <f>IFERROR(__xludf.DUMMYFUNCTION("""COMPUTED_VALUE"""),0.8235086535983653)</f>
        <v>0.8235086536</v>
      </c>
      <c r="V32" s="80">
        <f>IFERROR(__xludf.DUMMYFUNCTION("""COMPUTED_VALUE"""),0.6715462862562256)</f>
        <v>0.6715462863</v>
      </c>
      <c r="W32" s="80">
        <f>IFERROR(__xludf.DUMMYFUNCTION("""COMPUTED_VALUE"""),1.4814346936595006)</f>
        <v>1.481434694</v>
      </c>
      <c r="X32" s="80">
        <f>IFERROR(__xludf.DUMMYFUNCTION("""COMPUTED_VALUE"""),2.684275822504537)</f>
        <v>2.684275823</v>
      </c>
      <c r="Y32" s="80">
        <f>IFERROR(__xludf.DUMMYFUNCTION("""COMPUTED_VALUE"""),374.9531450243783)</f>
        <v>374.953145</v>
      </c>
      <c r="Z32" s="80">
        <f>IFERROR(__xludf.DUMMYFUNCTION("""COMPUTED_VALUE"""),0.8585351157763442)</f>
        <v>0.8585351158</v>
      </c>
      <c r="AA32" s="80">
        <f>IFERROR(__xludf.DUMMYFUNCTION("""COMPUTED_VALUE"""),0.6609887361499618)</f>
        <v>0.6609887361</v>
      </c>
      <c r="AB32" s="80">
        <f>IFERROR(__xludf.DUMMYFUNCTION("""COMPUTED_VALUE"""),1.4095618808526647)</f>
        <v>1.409561881</v>
      </c>
      <c r="AC32" s="80">
        <f>IFERROR(__xludf.DUMMYFUNCTION("""COMPUTED_VALUE"""),2.798498352298782)</f>
        <v>2.798498352</v>
      </c>
      <c r="AD32" s="80">
        <f>IFERROR(__xludf.DUMMYFUNCTION("""COMPUTED_VALUE"""),0.9534524639785499)</f>
        <v>0.953452464</v>
      </c>
      <c r="AE32" s="80">
        <f>IFERROR(__xludf.DUMMYFUNCTION("""COMPUTED_VALUE"""),0.9706456008846863)</f>
        <v>0.9706456009</v>
      </c>
      <c r="AF32" s="80">
        <f>IFERROR(__xludf.DUMMYFUNCTION("""COMPUTED_VALUE"""),0.7984671279754428)</f>
        <v>0.798467128</v>
      </c>
      <c r="AG32" s="80">
        <f>IFERROR(__xludf.DUMMYFUNCTION("""COMPUTED_VALUE"""),1.02474709628972)</f>
        <v>1.024747096</v>
      </c>
      <c r="AH32" s="80">
        <f>IFERROR(__xludf.DUMMYFUNCTION("""COMPUTED_VALUE"""),0.9429660327372412)</f>
        <v>0.9429660327</v>
      </c>
      <c r="AI32" s="80">
        <f>IFERROR(__xludf.DUMMYFUNCTION("""COMPUTED_VALUE"""),0.973958632988735)</f>
        <v>0.973958633</v>
      </c>
      <c r="AJ32" s="80">
        <f>IFERROR(__xludf.DUMMYFUNCTION("""COMPUTED_VALUE"""),0.9894429296576758)</f>
        <v>0.9894429297</v>
      </c>
      <c r="AK32" s="80">
        <f>IFERROR(__xludf.DUMMYFUNCTION("""COMPUTED_VALUE"""),0.9927337553800465)</f>
        <v>0.9927337554</v>
      </c>
      <c r="AL32" s="80">
        <f>IFERROR(__xludf.DUMMYFUNCTION("""COMPUTED_VALUE"""),0.9250292140689813)</f>
        <v>0.9250292141</v>
      </c>
      <c r="AM32" s="80">
        <f>IFERROR(__xludf.DUMMYFUNCTION("""COMPUTED_VALUE"""),0.9623948894055829)</f>
        <v>0.9623948894</v>
      </c>
      <c r="AN32" s="80">
        <f>IFERROR(__xludf.DUMMYFUNCTION("""COMPUTED_VALUE"""),0.970641564512909)</f>
        <v>0.9706415645</v>
      </c>
      <c r="AO32" s="80">
        <f>IFERROR(__xludf.DUMMYFUNCTION("""COMPUTED_VALUE"""),1.0401716452510748)</f>
        <v>1.040171645</v>
      </c>
      <c r="AP32" s="80">
        <f>IFERROR(__xludf.DUMMYFUNCTION("""COMPUTED_VALUE"""),0.8679020326310992)</f>
        <v>0.8679020326</v>
      </c>
      <c r="AQ32" s="80">
        <f>IFERROR(__xludf.DUMMYFUNCTION("""COMPUTED_VALUE"""),0.9776605332475533)</f>
        <v>0.9776605332</v>
      </c>
      <c r="AR32" s="80">
        <f>IFERROR(__xludf.DUMMYFUNCTION("""COMPUTED_VALUE"""),0.9941554548027798)</f>
        <v>0.9941554548</v>
      </c>
      <c r="AS32" s="80">
        <f>IFERROR(__xludf.DUMMYFUNCTION("""COMPUTED_VALUE"""),88.0)</f>
        <v>88</v>
      </c>
      <c r="AT32" s="80">
        <f>IFERROR(__xludf.DUMMYFUNCTION("""COMPUTED_VALUE"""),0.5000000000000001)</f>
        <v>0.5</v>
      </c>
      <c r="AU32" s="80">
        <f>IFERROR(__xludf.DUMMYFUNCTION("""COMPUTED_VALUE"""),2.416809345213566)</f>
        <v>2.416809345</v>
      </c>
      <c r="AV32" s="80">
        <f>IFERROR(__xludf.DUMMYFUNCTION("""COMPUTED_VALUE"""),47.26150891994229)</f>
        <v>47.26150892</v>
      </c>
      <c r="AW32" s="82">
        <f t="shared" si="1"/>
        <v>-2.191121732</v>
      </c>
      <c r="AX32" s="83">
        <f t="array" ref="AX32">IFERROR(DGET('SBV Import'!A:G,"SBV",{"RSC ID","Tier";B32,A32}))</f>
        <v>46.07183688</v>
      </c>
      <c r="AY32" s="82">
        <f t="shared" si="2"/>
        <v>-2.285335224</v>
      </c>
      <c r="AZ32" s="82">
        <v>0.09421349220085506</v>
      </c>
      <c r="BA32" s="84">
        <v>2.0</v>
      </c>
      <c r="BB32" s="84" t="b">
        <f>IFERROR(__xludf.DUMMYFUNCTION("iferror(if(A32="""",,E32&gt;=FILTER(Constants!$F$2:$F$10,Constants!$A$2:$A$10=A32)))"),TRUE)</f>
        <v>1</v>
      </c>
    </row>
    <row r="33">
      <c r="A33" s="80" t="str">
        <f>IFERROR(__xludf.DUMMYFUNCTION("""COMPUTED_VALUE"""),"Premier")</f>
        <v>Premier</v>
      </c>
      <c r="B33" s="79" t="str">
        <f>IFERROR(__xludf.DUMMYFUNCTION("""COMPUTED_VALUE"""),"RSC001977")</f>
        <v>RSC001977</v>
      </c>
      <c r="C33" s="80" t="str">
        <f>IFERROR(__xludf.DUMMYFUNCTION("""COMPUTED_VALUE"""),"LaMelo Ball")</f>
        <v>LaMelo Ball</v>
      </c>
      <c r="D33" s="80" t="str">
        <f>IFERROR(__xludf.DUMMYFUNCTION("""COMPUTED_VALUE"""),"Capybaras")</f>
        <v>Capybaras</v>
      </c>
      <c r="E33" s="80">
        <f>IFERROR(__xludf.DUMMYFUNCTION("""COMPUTED_VALUE"""),20.0)</f>
        <v>20</v>
      </c>
      <c r="F33" s="80">
        <f>IFERROR(__xludf.DUMMYFUNCTION("""COMPUTED_VALUE"""),9.0)</f>
        <v>9</v>
      </c>
      <c r="G33" s="80">
        <f>IFERROR(__xludf.DUMMYFUNCTION("""COMPUTED_VALUE"""),11.0)</f>
        <v>11</v>
      </c>
      <c r="H33" s="81">
        <f>IFERROR(__xludf.DUMMYFUNCTION("""COMPUTED_VALUE"""),0.45)</f>
        <v>0.45</v>
      </c>
      <c r="I33" s="81">
        <f>IFERROR(__xludf.DUMMYFUNCTION("""COMPUTED_VALUE"""),0.3255813953488372)</f>
        <v>0.3255813953</v>
      </c>
      <c r="J33" s="80">
        <f>IFERROR(__xludf.DUMMYFUNCTION("""COMPUTED_VALUE"""),343.9)</f>
        <v>343.9</v>
      </c>
      <c r="K33" s="80">
        <f>IFERROR(__xludf.DUMMYFUNCTION("""COMPUTED_VALUE"""),0.7)</f>
        <v>0.7</v>
      </c>
      <c r="L33" s="80">
        <f>IFERROR(__xludf.DUMMYFUNCTION("""COMPUTED_VALUE"""),0.7)</f>
        <v>0.7</v>
      </c>
      <c r="M33" s="80">
        <f>IFERROR(__xludf.DUMMYFUNCTION("""COMPUTED_VALUE"""),1.1)</f>
        <v>1.1</v>
      </c>
      <c r="N33" s="80">
        <f>IFERROR(__xludf.DUMMYFUNCTION("""COMPUTED_VALUE"""),2.15)</f>
        <v>2.15</v>
      </c>
      <c r="O33" s="80">
        <f>IFERROR(__xludf.DUMMYFUNCTION("""COMPUTED_VALUE"""),372.65)</f>
        <v>372.65</v>
      </c>
      <c r="P33" s="80">
        <f>IFERROR(__xludf.DUMMYFUNCTION("""COMPUTED_VALUE"""),0.95)</f>
        <v>0.95</v>
      </c>
      <c r="Q33" s="80">
        <f>IFERROR(__xludf.DUMMYFUNCTION("""COMPUTED_VALUE"""),0.7)</f>
        <v>0.7</v>
      </c>
      <c r="R33" s="80">
        <f>IFERROR(__xludf.DUMMYFUNCTION("""COMPUTED_VALUE"""),1.2166666666666666)</f>
        <v>1.216666667</v>
      </c>
      <c r="S33" s="80">
        <f>IFERROR(__xludf.DUMMYFUNCTION("""COMPUTED_VALUE"""),2.8499999999999996)</f>
        <v>2.85</v>
      </c>
      <c r="T33" s="80">
        <f>IFERROR(__xludf.DUMMYFUNCTION("""COMPUTED_VALUE"""),381.10271674865015)</f>
        <v>381.1027167</v>
      </c>
      <c r="U33" s="80">
        <f>IFERROR(__xludf.DUMMYFUNCTION("""COMPUTED_VALUE"""),0.8719068280019044)</f>
        <v>0.871906828</v>
      </c>
      <c r="V33" s="80">
        <f>IFERROR(__xludf.DUMMYFUNCTION("""COMPUTED_VALUE"""),0.729590093724719)</f>
        <v>0.7295900937</v>
      </c>
      <c r="W33" s="80">
        <f>IFERROR(__xludf.DUMMYFUNCTION("""COMPUTED_VALUE"""),1.424961301630632)</f>
        <v>1.424961302</v>
      </c>
      <c r="X33" s="80">
        <f>IFERROR(__xludf.DUMMYFUNCTION("""COMPUTED_VALUE"""),2.7419612598859575)</f>
        <v>2.74196126</v>
      </c>
      <c r="Y33" s="80">
        <f>IFERROR(__xludf.DUMMYFUNCTION("""COMPUTED_VALUE"""),366.220973912045)</f>
        <v>366.2209739</v>
      </c>
      <c r="Z33" s="80">
        <f>IFERROR(__xludf.DUMMYFUNCTION("""COMPUTED_VALUE"""),0.7939715371780357)</f>
        <v>0.7939715372</v>
      </c>
      <c r="AA33" s="80">
        <f>IFERROR(__xludf.DUMMYFUNCTION("""COMPUTED_VALUE"""),0.6274223104320643)</f>
        <v>0.6274223104</v>
      </c>
      <c r="AB33" s="80">
        <f>IFERROR(__xludf.DUMMYFUNCTION("""COMPUTED_VALUE"""),1.4237277500448713)</f>
        <v>1.42372775</v>
      </c>
      <c r="AC33" s="80">
        <f>IFERROR(__xludf.DUMMYFUNCTION("""COMPUTED_VALUE"""),2.6619224408621522)</f>
        <v>2.661922441</v>
      </c>
      <c r="AD33" s="80">
        <f>IFERROR(__xludf.DUMMYFUNCTION("""COMPUTED_VALUE"""),0.9390505309578314)</f>
        <v>0.939050531</v>
      </c>
      <c r="AE33" s="80">
        <f>IFERROR(__xludf.DUMMYFUNCTION("""COMPUTED_VALUE"""),0.8816436952991628)</f>
        <v>0.8816436953</v>
      </c>
      <c r="AF33" s="80">
        <f>IFERROR(__xludf.DUMMYFUNCTION("""COMPUTED_VALUE"""),1.1156759783023276)</f>
        <v>1.115675978</v>
      </c>
      <c r="AG33" s="80">
        <f>IFERROR(__xludf.DUMMYFUNCTION("""COMPUTED_VALUE"""),0.7726196247599526)</f>
        <v>0.7726196248</v>
      </c>
      <c r="AH33" s="80">
        <f>IFERROR(__xludf.DUMMYFUNCTION("""COMPUTED_VALUE"""),0.807686943464683)</f>
        <v>0.8076869435</v>
      </c>
      <c r="AI33" s="80">
        <f>IFERROR(__xludf.DUMMYFUNCTION("""COMPUTED_VALUE"""),0.9778203713141593)</f>
        <v>0.9778203713</v>
      </c>
      <c r="AJ33" s="80">
        <f>IFERROR(__xludf.DUMMYFUNCTION("""COMPUTED_VALUE"""),1.0895659599054373)</f>
        <v>1.08956596</v>
      </c>
      <c r="AK33" s="80">
        <f>IFERROR(__xludf.DUMMYFUNCTION("""COMPUTED_VALUE"""),0.9594428515693586)</f>
        <v>0.9594428516</v>
      </c>
      <c r="AL33" s="80">
        <f>IFERROR(__xludf.DUMMYFUNCTION("""COMPUTED_VALUE"""),0.853824356685612)</f>
        <v>0.8538243567</v>
      </c>
      <c r="AM33" s="80">
        <f>IFERROR(__xludf.DUMMYFUNCTION("""COMPUTED_VALUE"""),1.0394019936366772)</f>
        <v>1.039401994</v>
      </c>
      <c r="AN33" s="80">
        <f>IFERROR(__xludf.DUMMYFUNCTION("""COMPUTED_VALUE"""),0.9337164588419283)</f>
        <v>0.9337164588</v>
      </c>
      <c r="AO33" s="80">
        <f>IFERROR(__xludf.DUMMYFUNCTION("""COMPUTED_VALUE"""),0.8737441820109026)</f>
        <v>0.873744182</v>
      </c>
      <c r="AP33" s="80">
        <f>IFERROR(__xludf.DUMMYFUNCTION("""COMPUTED_VALUE"""),1.1511121695949316)</f>
        <v>1.15111217</v>
      </c>
      <c r="AQ33" s="80">
        <f>IFERROR(__xludf.DUMMYFUNCTION("""COMPUTED_VALUE"""),0.7445260983962138)</f>
        <v>0.7445260984</v>
      </c>
      <c r="AR33" s="80">
        <f>IFERROR(__xludf.DUMMYFUNCTION("""COMPUTED_VALUE"""),0.8099750758077385)</f>
        <v>0.8099750758</v>
      </c>
      <c r="AS33" s="80">
        <f>IFERROR(__xludf.DUMMYFUNCTION("""COMPUTED_VALUE"""),52.0)</f>
        <v>52</v>
      </c>
      <c r="AT33" s="80">
        <f>IFERROR(__xludf.DUMMYFUNCTION("""COMPUTED_VALUE"""),0.46273012661169305)</f>
        <v>0.4627301266</v>
      </c>
      <c r="AU33" s="80">
        <f>IFERROR(__xludf.DUMMYFUNCTION("""COMPUTED_VALUE"""),2.3791738455571263)</f>
        <v>2.379173846</v>
      </c>
      <c r="AV33" s="80">
        <f>IFERROR(__xludf.DUMMYFUNCTION("""COMPUTED_VALUE"""),46.203304666140774)</f>
        <v>46.20330467</v>
      </c>
      <c r="AW33" s="82">
        <f t="shared" si="1"/>
        <v>-2.27455934</v>
      </c>
      <c r="AX33" s="83">
        <f t="array" ref="AX33">IFERROR(DGET('SBV Import'!A:G,"SBV",{"RSC ID","Tier";B33,A33}))</f>
        <v>40.03020331</v>
      </c>
      <c r="AY33" s="82">
        <f t="shared" si="2"/>
        <v>-2.898355108</v>
      </c>
      <c r="AZ33" s="82">
        <v>0.623795767757739</v>
      </c>
      <c r="BA33" s="84">
        <v>2.0</v>
      </c>
      <c r="BB33" s="84" t="b">
        <f>IFERROR(__xludf.DUMMYFUNCTION("iferror(if(A33="""",,E33&gt;=FILTER(Constants!$F$2:$F$10,Constants!$A$2:$A$10=A33)))"),TRUE)</f>
        <v>1</v>
      </c>
    </row>
    <row r="34">
      <c r="A34" s="80" t="str">
        <f>IFERROR(__xludf.DUMMYFUNCTION("""COMPUTED_VALUE"""),"Premier")</f>
        <v>Premier</v>
      </c>
      <c r="B34" s="79" t="str">
        <f>IFERROR(__xludf.DUMMYFUNCTION("""COMPUTED_VALUE"""),"RSC007409")</f>
        <v>RSC007409</v>
      </c>
      <c r="C34" s="80" t="str">
        <f>IFERROR(__xludf.DUMMYFUNCTION("""COMPUTED_VALUE"""),"Averded")</f>
        <v>Averded</v>
      </c>
      <c r="D34" s="80" t="str">
        <f>IFERROR(__xludf.DUMMYFUNCTION("""COMPUTED_VALUE"""),"Excavators")</f>
        <v>Excavators</v>
      </c>
      <c r="E34" s="80">
        <f>IFERROR(__xludf.DUMMYFUNCTION("""COMPUTED_VALUE"""),4.0)</f>
        <v>4</v>
      </c>
      <c r="F34" s="80">
        <f>IFERROR(__xludf.DUMMYFUNCTION("""COMPUTED_VALUE"""),1.0)</f>
        <v>1</v>
      </c>
      <c r="G34" s="80">
        <f>IFERROR(__xludf.DUMMYFUNCTION("""COMPUTED_VALUE"""),3.0)</f>
        <v>3</v>
      </c>
      <c r="H34" s="81">
        <f>IFERROR(__xludf.DUMMYFUNCTION("""COMPUTED_VALUE"""),0.25)</f>
        <v>0.25</v>
      </c>
      <c r="I34" s="81">
        <f>IFERROR(__xludf.DUMMYFUNCTION("""COMPUTED_VALUE"""),0.5454545454545454)</f>
        <v>0.5454545455</v>
      </c>
      <c r="J34" s="80">
        <f>IFERROR(__xludf.DUMMYFUNCTION("""COMPUTED_VALUE"""),367.0)</f>
        <v>367</v>
      </c>
      <c r="K34" s="80">
        <f>IFERROR(__xludf.DUMMYFUNCTION("""COMPUTED_VALUE"""),1.5)</f>
        <v>1.5</v>
      </c>
      <c r="L34" s="80">
        <f>IFERROR(__xludf.DUMMYFUNCTION("""COMPUTED_VALUE"""),0.0)</f>
        <v>0</v>
      </c>
      <c r="M34" s="80">
        <f>IFERROR(__xludf.DUMMYFUNCTION("""COMPUTED_VALUE"""),0.75)</f>
        <v>0.75</v>
      </c>
      <c r="N34" s="80">
        <f>IFERROR(__xludf.DUMMYFUNCTION("""COMPUTED_VALUE"""),2.75)</f>
        <v>2.75</v>
      </c>
      <c r="O34" s="80">
        <f>IFERROR(__xludf.DUMMYFUNCTION("""COMPUTED_VALUE"""),401.91666666666663)</f>
        <v>401.9166667</v>
      </c>
      <c r="P34" s="80">
        <f>IFERROR(__xludf.DUMMYFUNCTION("""COMPUTED_VALUE"""),1.0833333333333333)</f>
        <v>1.083333333</v>
      </c>
      <c r="Q34" s="80">
        <f>IFERROR(__xludf.DUMMYFUNCTION("""COMPUTED_VALUE"""),0.75)</f>
        <v>0.75</v>
      </c>
      <c r="R34" s="80">
        <f>IFERROR(__xludf.DUMMYFUNCTION("""COMPUTED_VALUE"""),1.4166666666666667)</f>
        <v>1.416666667</v>
      </c>
      <c r="S34" s="80">
        <f>IFERROR(__xludf.DUMMYFUNCTION("""COMPUTED_VALUE"""),3.0)</f>
        <v>3</v>
      </c>
      <c r="T34" s="80">
        <f>IFERROR(__xludf.DUMMYFUNCTION("""COMPUTED_VALUE"""),381.6158788515406)</f>
        <v>381.6158789</v>
      </c>
      <c r="U34" s="80">
        <f>IFERROR(__xludf.DUMMYFUNCTION("""COMPUTED_VALUE"""),0.9261904761904761)</f>
        <v>0.9261904762</v>
      </c>
      <c r="V34" s="80">
        <f>IFERROR(__xludf.DUMMYFUNCTION("""COMPUTED_VALUE"""),0.7231092436974791)</f>
        <v>0.7231092437</v>
      </c>
      <c r="W34" s="80">
        <f>IFERROR(__xludf.DUMMYFUNCTION("""COMPUTED_VALUE"""),1.3065826330532213)</f>
        <v>1.306582633</v>
      </c>
      <c r="X34" s="80">
        <f>IFERROR(__xludf.DUMMYFUNCTION("""COMPUTED_VALUE"""),2.7770308123249294)</f>
        <v>2.777030812</v>
      </c>
      <c r="Y34" s="80">
        <f>IFERROR(__xludf.DUMMYFUNCTION("""COMPUTED_VALUE"""),371.34803338001865)</f>
        <v>371.3480334</v>
      </c>
      <c r="Z34" s="80">
        <f>IFERROR(__xludf.DUMMYFUNCTION("""COMPUTED_VALUE"""),0.8422560690943044)</f>
        <v>0.8422560691</v>
      </c>
      <c r="AA34" s="80">
        <f>IFERROR(__xludf.DUMMYFUNCTION("""COMPUTED_VALUE"""),0.6474323062558357)</f>
        <v>0.6474323063</v>
      </c>
      <c r="AB34" s="80">
        <f>IFERROR(__xludf.DUMMYFUNCTION("""COMPUTED_VALUE"""),1.3504143323996267)</f>
        <v>1.350414332</v>
      </c>
      <c r="AC34" s="80">
        <f>IFERROR(__xludf.DUMMYFUNCTION("""COMPUTED_VALUE"""),2.4599439775910357)</f>
        <v>2.459943978</v>
      </c>
      <c r="AD34" s="80">
        <f>IFERROR(__xludf.DUMMYFUNCTION("""COMPUTED_VALUE"""),0.9882912174316834)</f>
        <v>0.9882912174</v>
      </c>
      <c r="AE34" s="80">
        <f>IFERROR(__xludf.DUMMYFUNCTION("""COMPUTED_VALUE"""),1.7809310672144891)</f>
        <v>1.780931067</v>
      </c>
      <c r="AF34" s="80">
        <f>IFERROR(__xludf.DUMMYFUNCTION("""COMPUTED_VALUE"""),0.0)</f>
        <v>0</v>
      </c>
      <c r="AG34" s="80">
        <f>IFERROR(__xludf.DUMMYFUNCTION("""COMPUTED_VALUE"""),0.5553851007100044)</f>
        <v>0.5553851007</v>
      </c>
      <c r="AH34" s="80">
        <f>IFERROR(__xludf.DUMMYFUNCTION("""COMPUTED_VALUE"""),1.117911637440219)</f>
        <v>1.117911637</v>
      </c>
      <c r="AI34" s="80">
        <f>IFERROR(__xludf.DUMMYFUNCTION("""COMPUTED_VALUE"""),1.0531969159046017)</f>
        <v>1.053196916</v>
      </c>
      <c r="AJ34" s="80">
        <f>IFERROR(__xludf.DUMMYFUNCTION("""COMPUTED_VALUE"""),1.1696658097686374)</f>
        <v>1.16966581</v>
      </c>
      <c r="AK34" s="80">
        <f>IFERROR(__xludf.DUMMYFUNCTION("""COMPUTED_VALUE"""),1.0371876815804764)</f>
        <v>1.037187682</v>
      </c>
      <c r="AL34" s="80">
        <f>IFERROR(__xludf.DUMMYFUNCTION("""COMPUTED_VALUE"""),1.0842534033658484)</f>
        <v>1.084253403</v>
      </c>
      <c r="AM34" s="80">
        <f>IFERROR(__xludf.DUMMYFUNCTION("""COMPUTED_VALUE"""),1.0802904982852535)</f>
        <v>1.080290498</v>
      </c>
      <c r="AN34" s="80">
        <f>IFERROR(__xludf.DUMMYFUNCTION("""COMPUTED_VALUE"""),0.9964348368566086)</f>
        <v>0.9964348369</v>
      </c>
      <c r="AO34" s="80">
        <f>IFERROR(__xludf.DUMMYFUNCTION("""COMPUTED_VALUE"""),1.8723089614519344)</f>
        <v>1.872308961</v>
      </c>
      <c r="AP34" s="80">
        <f>IFERROR(__xludf.DUMMYFUNCTION("""COMPUTED_VALUE"""),0.0)</f>
        <v>0</v>
      </c>
      <c r="AQ34" s="80">
        <f>IFERROR(__xludf.DUMMYFUNCTION("""COMPUTED_VALUE"""),0.5076314307246912)</f>
        <v>0.5076314307</v>
      </c>
      <c r="AR34" s="80">
        <f>IFERROR(__xludf.DUMMYFUNCTION("""COMPUTED_VALUE"""),1.0360146318471075)</f>
        <v>1.036014632</v>
      </c>
      <c r="AS34" s="80">
        <f>IFERROR(__xludf.DUMMYFUNCTION("""COMPUTED_VALUE"""),13.0)</f>
        <v>13</v>
      </c>
      <c r="AT34" s="80">
        <f>IFERROR(__xludf.DUMMYFUNCTION("""COMPUTED_VALUE"""),0.5)</f>
        <v>0.5</v>
      </c>
      <c r="AU34" s="80">
        <f>IFERROR(__xludf.DUMMYFUNCTION("""COMPUTED_VALUE"""),2.2458069974457353)</f>
        <v>2.245806997</v>
      </c>
      <c r="AV34" s="80">
        <f>IFERROR(__xludf.DUMMYFUNCTION("""COMPUTED_VALUE"""),42.45340451134301)</f>
        <v>42.45340451</v>
      </c>
      <c r="AW34" s="82">
        <f t="shared" si="1"/>
        <v>-2.622070912</v>
      </c>
      <c r="AX34" s="83">
        <f t="array" ref="AX34">IFERROR(DGET('SBV Import'!A:G,"SBV",{"RSC ID","Tier";B34,A34}))</f>
        <v>37.82526549</v>
      </c>
      <c r="AY34" s="82">
        <f t="shared" si="2"/>
        <v>-3.193531914</v>
      </c>
      <c r="AZ34" s="82">
        <v>0.5714610015091828</v>
      </c>
      <c r="BA34" s="84">
        <v>2.0</v>
      </c>
      <c r="BB34" s="84" t="b">
        <f>IFERROR(__xludf.DUMMYFUNCTION("iferror(if(A34="""",,E34&gt;=FILTER(Constants!$F$2:$F$10,Constants!$A$2:$A$10=A34)))"),TRUE)</f>
        <v>1</v>
      </c>
    </row>
    <row r="35">
      <c r="A35" s="80" t="str">
        <f>IFERROR(__xludf.DUMMYFUNCTION("""COMPUTED_VALUE"""),"Premier")</f>
        <v>Premier</v>
      </c>
      <c r="B35" s="79" t="str">
        <f>IFERROR(__xludf.DUMMYFUNCTION("""COMPUTED_VALUE"""),"RSC007691")</f>
        <v>RSC007691</v>
      </c>
      <c r="C35" s="80" t="str">
        <f>IFERROR(__xludf.DUMMYFUNCTION("""COMPUTED_VALUE"""),"exy")</f>
        <v>exy</v>
      </c>
      <c r="D35" s="80"/>
      <c r="E35" s="80">
        <f>IFERROR(__xludf.DUMMYFUNCTION("""COMPUTED_VALUE"""),4.0)</f>
        <v>4</v>
      </c>
      <c r="F35" s="80">
        <f>IFERROR(__xludf.DUMMYFUNCTION("""COMPUTED_VALUE"""),1.0)</f>
        <v>1</v>
      </c>
      <c r="G35" s="80">
        <f>IFERROR(__xludf.DUMMYFUNCTION("""COMPUTED_VALUE"""),3.0)</f>
        <v>3</v>
      </c>
      <c r="H35" s="81">
        <f>IFERROR(__xludf.DUMMYFUNCTION("""COMPUTED_VALUE"""),0.25)</f>
        <v>0.25</v>
      </c>
      <c r="I35" s="81">
        <f>IFERROR(__xludf.DUMMYFUNCTION("""COMPUTED_VALUE"""),0.07692307692307693)</f>
        <v>0.07692307692</v>
      </c>
      <c r="J35" s="80">
        <f>IFERROR(__xludf.DUMMYFUNCTION("""COMPUTED_VALUE"""),239.25)</f>
        <v>239.25</v>
      </c>
      <c r="K35" s="80">
        <f>IFERROR(__xludf.DUMMYFUNCTION("""COMPUTED_VALUE"""),0.25)</f>
        <v>0.25</v>
      </c>
      <c r="L35" s="80">
        <f>IFERROR(__xludf.DUMMYFUNCTION("""COMPUTED_VALUE"""),0.75)</f>
        <v>0.75</v>
      </c>
      <c r="M35" s="80">
        <f>IFERROR(__xludf.DUMMYFUNCTION("""COMPUTED_VALUE"""),0.5)</f>
        <v>0.5</v>
      </c>
      <c r="N35" s="80">
        <f>IFERROR(__xludf.DUMMYFUNCTION("""COMPUTED_VALUE"""),3.25)</f>
        <v>3.25</v>
      </c>
      <c r="O35" s="80">
        <f>IFERROR(__xludf.DUMMYFUNCTION("""COMPUTED_VALUE"""),373.8333333333333)</f>
        <v>373.8333333</v>
      </c>
      <c r="P35" s="80">
        <f>IFERROR(__xludf.DUMMYFUNCTION("""COMPUTED_VALUE"""),0.6666666666666667)</f>
        <v>0.6666666667</v>
      </c>
      <c r="Q35" s="80">
        <f>IFERROR(__xludf.DUMMYFUNCTION("""COMPUTED_VALUE"""),0.6666666666666667)</f>
        <v>0.6666666667</v>
      </c>
      <c r="R35" s="80">
        <f>IFERROR(__xludf.DUMMYFUNCTION("""COMPUTED_VALUE"""),1.6666666666666667)</f>
        <v>1.666666667</v>
      </c>
      <c r="S35" s="80">
        <f>IFERROR(__xludf.DUMMYFUNCTION("""COMPUTED_VALUE"""),2.583333333333333)</f>
        <v>2.583333333</v>
      </c>
      <c r="T35" s="80">
        <f>IFERROR(__xludf.DUMMYFUNCTION("""COMPUTED_VALUE"""),380.0680072463768)</f>
        <v>380.0680072</v>
      </c>
      <c r="U35" s="80">
        <f>IFERROR(__xludf.DUMMYFUNCTION("""COMPUTED_VALUE"""),0.8107272256728778)</f>
        <v>0.8107272257</v>
      </c>
      <c r="V35" s="80">
        <f>IFERROR(__xludf.DUMMYFUNCTION("""COMPUTED_VALUE"""),0.7333359213250518)</f>
        <v>0.7333359213</v>
      </c>
      <c r="W35" s="80">
        <f>IFERROR(__xludf.DUMMYFUNCTION("""COMPUTED_VALUE"""),1.4326578674948238)</f>
        <v>1.432657867</v>
      </c>
      <c r="X35" s="80">
        <f>IFERROR(__xludf.DUMMYFUNCTION("""COMPUTED_VALUE"""),2.524477225672878)</f>
        <v>2.524477226</v>
      </c>
      <c r="Y35" s="80">
        <f>IFERROR(__xludf.DUMMYFUNCTION("""COMPUTED_VALUE"""),348.5145729813664)</f>
        <v>348.514573</v>
      </c>
      <c r="Z35" s="80">
        <f>IFERROR(__xludf.DUMMYFUNCTION("""COMPUTED_VALUE"""),0.8262034161490683)</f>
        <v>0.8262034161</v>
      </c>
      <c r="AA35" s="80">
        <f>IFERROR(__xludf.DUMMYFUNCTION("""COMPUTED_VALUE"""),0.6226984126984126)</f>
        <v>0.6226984127</v>
      </c>
      <c r="AB35" s="80">
        <f>IFERROR(__xludf.DUMMYFUNCTION("""COMPUTED_VALUE"""),1.2349542788129741)</f>
        <v>1.234954279</v>
      </c>
      <c r="AC35" s="80">
        <f>IFERROR(__xludf.DUMMYFUNCTION("""COMPUTED_VALUE"""),2.847162698412699)</f>
        <v>2.847162698</v>
      </c>
      <c r="AD35" s="80">
        <f>IFERROR(__xludf.DUMMYFUNCTION("""COMPUTED_VALUE"""),0.6864849235810626)</f>
        <v>0.6864849236</v>
      </c>
      <c r="AE35" s="80">
        <f>IFERROR(__xludf.DUMMYFUNCTION("""COMPUTED_VALUE"""),0.3025889207348588)</f>
        <v>0.3025889207</v>
      </c>
      <c r="AF35" s="80">
        <f>IFERROR(__xludf.DUMMYFUNCTION("""COMPUTED_VALUE"""),1.2044353810859039)</f>
        <v>1.204435381</v>
      </c>
      <c r="AG35" s="80">
        <f>IFERROR(__xludf.DUMMYFUNCTION("""COMPUTED_VALUE"""),0.40487328849177723)</f>
        <v>0.4048732885</v>
      </c>
      <c r="AH35" s="80">
        <f>IFERROR(__xludf.DUMMYFUNCTION("""COMPUTED_VALUE"""),1.1414872784796892)</f>
        <v>1.141487278</v>
      </c>
      <c r="AI35" s="80">
        <f>IFERROR(__xludf.DUMMYFUNCTION("""COMPUTED_VALUE"""),0.9835958991702191)</f>
        <v>0.9835958992</v>
      </c>
      <c r="AJ35" s="80">
        <f>IFERROR(__xludf.DUMMYFUNCTION("""COMPUTED_VALUE"""),0.8223069924824032)</f>
        <v>0.8223069925</v>
      </c>
      <c r="AK35" s="80">
        <f>IFERROR(__xludf.DUMMYFUNCTION("""COMPUTED_VALUE"""),0.9090877008480349)</f>
        <v>0.9090877008</v>
      </c>
      <c r="AL35" s="80">
        <f>IFERROR(__xludf.DUMMYFUNCTION("""COMPUTED_VALUE"""),1.163338927235318)</f>
        <v>1.163338927</v>
      </c>
      <c r="AM35" s="80">
        <f>IFERROR(__xludf.DUMMYFUNCTION("""COMPUTED_VALUE"""),1.0233141765201577)</f>
        <v>1.023314177</v>
      </c>
      <c r="AN35" s="80">
        <f>IFERROR(__xludf.DUMMYFUNCTION("""COMPUTED_VALUE"""),0.6495832008663314)</f>
        <v>0.6495832009</v>
      </c>
      <c r="AO35" s="80">
        <f>IFERROR(__xludf.DUMMYFUNCTION("""COMPUTED_VALUE"""),0.3120514935753224)</f>
        <v>0.3120514936</v>
      </c>
      <c r="AP35" s="80">
        <f>IFERROR(__xludf.DUMMYFUNCTION("""COMPUTED_VALUE"""),1.233334467423141)</f>
        <v>1.233334467</v>
      </c>
      <c r="AQ35" s="80">
        <f>IFERROR(__xludf.DUMMYFUNCTION("""COMPUTED_VALUE"""),0.33842095381646076)</f>
        <v>0.3384209538</v>
      </c>
      <c r="AR35" s="80">
        <f>IFERROR(__xludf.DUMMYFUNCTION("""COMPUTED_VALUE"""),1.2243809285465814)</f>
        <v>1.224380929</v>
      </c>
      <c r="AS35" s="80">
        <f>IFERROR(__xludf.DUMMYFUNCTION("""COMPUTED_VALUE"""),6.0)</f>
        <v>6</v>
      </c>
      <c r="AT35" s="80">
        <f>IFERROR(__xludf.DUMMYFUNCTION("""COMPUTED_VALUE"""),0.39839556112833874)</f>
        <v>0.3983955611</v>
      </c>
      <c r="AU35" s="80">
        <f>IFERROR(__xludf.DUMMYFUNCTION("""COMPUTED_VALUE"""),2.2229103867988225)</f>
        <v>2.222910387</v>
      </c>
      <c r="AV35" s="80">
        <f>IFERROR(__xludf.DUMMYFUNCTION("""COMPUTED_VALUE"""),41.80961630591515)</f>
        <v>41.80961631</v>
      </c>
      <c r="AW35" s="82">
        <f t="shared" si="1"/>
        <v>-2.691056552</v>
      </c>
      <c r="AX35" s="83">
        <f t="array" ref="AX35">IFERROR(DGET('SBV Import'!A:G,"SBV",{"RSC ID","Tier";B35,A35}))</f>
        <v>25.63003786</v>
      </c>
      <c r="AY35" s="82">
        <f t="shared" si="2"/>
        <v>-6.066852558</v>
      </c>
      <c r="AZ35" s="82">
        <v>3.37579600577036</v>
      </c>
      <c r="BA35" s="84">
        <v>2.0</v>
      </c>
      <c r="BB35" s="84" t="b">
        <f>IFERROR(__xludf.DUMMYFUNCTION("iferror(if(A35="""",,E35&gt;=FILTER(Constants!$F$2:$F$10,Constants!$A$2:$A$10=A35)))"),TRUE)</f>
        <v>1</v>
      </c>
    </row>
    <row r="36">
      <c r="A36" s="80" t="str">
        <f>IFERROR(__xludf.DUMMYFUNCTION("""COMPUTED_VALUE"""),"Premier")</f>
        <v>Premier</v>
      </c>
      <c r="B36" s="79" t="str">
        <f>IFERROR(__xludf.DUMMYFUNCTION("""COMPUTED_VALUE"""),"RSC001214")</f>
        <v>RSC001214</v>
      </c>
      <c r="C36" s="80" t="str">
        <f>IFERROR(__xludf.DUMMYFUNCTION("""COMPUTED_VALUE"""),"Corrupt")</f>
        <v>Corrupt</v>
      </c>
      <c r="D36" s="80" t="str">
        <f>IFERROR(__xludf.DUMMYFUNCTION("""COMPUTED_VALUE"""),"Interstellar")</f>
        <v>Interstellar</v>
      </c>
      <c r="E36" s="80">
        <f>IFERROR(__xludf.DUMMYFUNCTION("""COMPUTED_VALUE"""),19.0)</f>
        <v>19</v>
      </c>
      <c r="F36" s="80">
        <f>IFERROR(__xludf.DUMMYFUNCTION("""COMPUTED_VALUE"""),11.0)</f>
        <v>11</v>
      </c>
      <c r="G36" s="80">
        <f>IFERROR(__xludf.DUMMYFUNCTION("""COMPUTED_VALUE"""),8.0)</f>
        <v>8</v>
      </c>
      <c r="H36" s="81">
        <f>IFERROR(__xludf.DUMMYFUNCTION("""COMPUTED_VALUE"""),0.5789473684210527)</f>
        <v>0.5789473684</v>
      </c>
      <c r="I36" s="81">
        <f>IFERROR(__xludf.DUMMYFUNCTION("""COMPUTED_VALUE"""),0.5142857142857142)</f>
        <v>0.5142857143</v>
      </c>
      <c r="J36" s="80">
        <f>IFERROR(__xludf.DUMMYFUNCTION("""COMPUTED_VALUE"""),368.57894736842104)</f>
        <v>368.5789474</v>
      </c>
      <c r="K36" s="80">
        <f>IFERROR(__xludf.DUMMYFUNCTION("""COMPUTED_VALUE"""),0.9473684210526315)</f>
        <v>0.9473684211</v>
      </c>
      <c r="L36" s="80">
        <f>IFERROR(__xludf.DUMMYFUNCTION("""COMPUTED_VALUE"""),0.5263157894736842)</f>
        <v>0.5263157895</v>
      </c>
      <c r="M36" s="80">
        <f>IFERROR(__xludf.DUMMYFUNCTION("""COMPUTED_VALUE"""),1.631578947368421)</f>
        <v>1.631578947</v>
      </c>
      <c r="N36" s="80">
        <f>IFERROR(__xludf.DUMMYFUNCTION("""COMPUTED_VALUE"""),1.8421052631578947)</f>
        <v>1.842105263</v>
      </c>
      <c r="O36" s="80">
        <f>IFERROR(__xludf.DUMMYFUNCTION("""COMPUTED_VALUE"""),338.14035087719293)</f>
        <v>338.1403509</v>
      </c>
      <c r="P36" s="80">
        <f>IFERROR(__xludf.DUMMYFUNCTION("""COMPUTED_VALUE"""),0.7543859649122806)</f>
        <v>0.7543859649</v>
      </c>
      <c r="Q36" s="80">
        <f>IFERROR(__xludf.DUMMYFUNCTION("""COMPUTED_VALUE"""),0.5964912280701754)</f>
        <v>0.5964912281</v>
      </c>
      <c r="R36" s="80">
        <f>IFERROR(__xludf.DUMMYFUNCTION("""COMPUTED_VALUE"""),1.1052631578947367)</f>
        <v>1.105263158</v>
      </c>
      <c r="S36" s="80">
        <f>IFERROR(__xludf.DUMMYFUNCTION("""COMPUTED_VALUE"""),3.0526315789473686)</f>
        <v>3.052631579</v>
      </c>
      <c r="T36" s="80">
        <f>IFERROR(__xludf.DUMMYFUNCTION("""COMPUTED_VALUE"""),362.78860725319254)</f>
        <v>362.7886073</v>
      </c>
      <c r="U36" s="80">
        <f>IFERROR(__xludf.DUMMYFUNCTION("""COMPUTED_VALUE"""),0.8257464834334644)</f>
        <v>0.8257464834</v>
      </c>
      <c r="V36" s="80">
        <f>IFERROR(__xludf.DUMMYFUNCTION("""COMPUTED_VALUE"""),0.5768832473810476)</f>
        <v>0.5768832474</v>
      </c>
      <c r="W36" s="80">
        <f>IFERROR(__xludf.DUMMYFUNCTION("""COMPUTED_VALUE"""),1.3497007035837087)</f>
        <v>1.349700704</v>
      </c>
      <c r="X36" s="80">
        <f>IFERROR(__xludf.DUMMYFUNCTION("""COMPUTED_VALUE"""),2.6986800886727558)</f>
        <v>2.698680089</v>
      </c>
      <c r="Y36" s="80">
        <f>IFERROR(__xludf.DUMMYFUNCTION("""COMPUTED_VALUE"""),375.6605792473961)</f>
        <v>375.6605792</v>
      </c>
      <c r="Z36" s="80">
        <f>IFERROR(__xludf.DUMMYFUNCTION("""COMPUTED_VALUE"""),0.8752813092555638)</f>
        <v>0.8752813093</v>
      </c>
      <c r="AA36" s="80">
        <f>IFERROR(__xludf.DUMMYFUNCTION("""COMPUTED_VALUE"""),0.6969844655733525)</f>
        <v>0.6969844656</v>
      </c>
      <c r="AB36" s="80">
        <f>IFERROR(__xludf.DUMMYFUNCTION("""COMPUTED_VALUE"""),1.3635518836651312)</f>
        <v>1.363551884</v>
      </c>
      <c r="AC36" s="80">
        <f>IFERROR(__xludf.DUMMYFUNCTION("""COMPUTED_VALUE"""),2.735491217724393)</f>
        <v>2.735491218</v>
      </c>
      <c r="AD36" s="80">
        <f>IFERROR(__xludf.DUMMYFUNCTION("""COMPUTED_VALUE"""),0.9811488554557348)</f>
        <v>0.9811488555</v>
      </c>
      <c r="AE36" s="80">
        <f>IFERROR(__xludf.DUMMYFUNCTION("""COMPUTED_VALUE"""),1.0823587925787865)</f>
        <v>1.082358793</v>
      </c>
      <c r="AF36" s="80">
        <f>IFERROR(__xludf.DUMMYFUNCTION("""COMPUTED_VALUE"""),0.7551327403555931)</f>
        <v>0.7551327404</v>
      </c>
      <c r="AG36" s="80">
        <f>IFERROR(__xludf.DUMMYFUNCTION("""COMPUTED_VALUE"""),1.1965653576619701)</f>
        <v>1.196565358</v>
      </c>
      <c r="AH36" s="80">
        <f>IFERROR(__xludf.DUMMYFUNCTION("""COMPUTED_VALUE"""),0.6734093135529456)</f>
        <v>0.6734093136</v>
      </c>
      <c r="AI36" s="80">
        <f>IFERROR(__xludf.DUMMYFUNCTION("""COMPUTED_VALUE"""),0.9320589018419825)</f>
        <v>0.9320589018</v>
      </c>
      <c r="AJ36" s="80">
        <f>IFERROR(__xludf.DUMMYFUNCTION("""COMPUTED_VALUE"""),0.9135805965234441)</f>
        <v>0.9135805965</v>
      </c>
      <c r="AK36" s="80">
        <f>IFERROR(__xludf.DUMMYFUNCTION("""COMPUTED_VALUE"""),1.0339895130915047)</f>
        <v>1.033989513</v>
      </c>
      <c r="AL36" s="80">
        <f>IFERROR(__xludf.DUMMYFUNCTION("""COMPUTED_VALUE"""),0.8188950001730425)</f>
        <v>0.8188950002</v>
      </c>
      <c r="AM36" s="80">
        <f>IFERROR(__xludf.DUMMYFUNCTION("""COMPUTED_VALUE"""),1.1311572615665944)</f>
        <v>1.131157262</v>
      </c>
      <c r="AN36" s="80">
        <f>IFERROR(__xludf.DUMMYFUNCTION("""COMPUTED_VALUE"""),1.0007218073292456)</f>
        <v>1.000721807</v>
      </c>
      <c r="AO36" s="80">
        <f>IFERROR(__xludf.DUMMYFUNCTION("""COMPUTED_VALUE"""),1.1825109230222743)</f>
        <v>1.182510923</v>
      </c>
      <c r="AP36" s="80">
        <f>IFERROR(__xludf.DUMMYFUNCTION("""COMPUTED_VALUE"""),0.8654978718758883)</f>
        <v>0.8654978719</v>
      </c>
      <c r="AQ36" s="80">
        <f>IFERROR(__xludf.DUMMYFUNCTION("""COMPUTED_VALUE"""),1.1043210071905563)</f>
        <v>1.104321007</v>
      </c>
      <c r="AR36" s="80">
        <f>IFERROR(__xludf.DUMMYFUNCTION("""COMPUTED_VALUE"""),0.6939810931033256)</f>
        <v>0.6939810931</v>
      </c>
      <c r="AS36" s="80">
        <f>IFERROR(__xludf.DUMMYFUNCTION("""COMPUTED_VALUE"""),47.0)</f>
        <v>47</v>
      </c>
      <c r="AT36" s="80">
        <f>IFERROR(__xludf.DUMMYFUNCTION("""COMPUTED_VALUE"""),0.5346928989174765)</f>
        <v>0.5346928989</v>
      </c>
      <c r="AU36" s="80">
        <f>IFERROR(__xludf.DUMMYFUNCTION("""COMPUTED_VALUE"""),2.1961466428436442)</f>
        <v>2.196146643</v>
      </c>
      <c r="AV36" s="80">
        <f>IFERROR(__xludf.DUMMYFUNCTION("""COMPUTED_VALUE"""),41.057095203244515)</f>
        <v>41.0570952</v>
      </c>
      <c r="AW36" s="82">
        <f t="shared" si="1"/>
        <v>-2.775635471</v>
      </c>
      <c r="AX36" s="83">
        <f t="array" ref="AX36">IFERROR(DGET('SBV Import'!A:G,"SBV",{"RSC ID","Tier";B36,A36}))</f>
        <v>37.50867365</v>
      </c>
      <c r="AY36" s="82">
        <f t="shared" si="2"/>
        <v>-3.239813975</v>
      </c>
      <c r="AZ36" s="82">
        <v>0.4641785043618687</v>
      </c>
      <c r="BA36" s="84">
        <v>2.0</v>
      </c>
      <c r="BB36" s="84" t="b">
        <f>IFERROR(__xludf.DUMMYFUNCTION("iferror(if(A36="""",,E36&gt;=FILTER(Constants!$F$2:$F$10,Constants!$A$2:$A$10=A36)))"),TRUE)</f>
        <v>1</v>
      </c>
    </row>
    <row r="37">
      <c r="A37" s="80" t="str">
        <f>IFERROR(__xludf.DUMMYFUNCTION("""COMPUTED_VALUE"""),"Premier")</f>
        <v>Premier</v>
      </c>
      <c r="B37" s="79" t="str">
        <f>IFERROR(__xludf.DUMMYFUNCTION("""COMPUTED_VALUE"""),"RSC005920")</f>
        <v>RSC005920</v>
      </c>
      <c r="C37" s="80" t="str">
        <f>IFERROR(__xludf.DUMMYFUNCTION("""COMPUTED_VALUE"""),"Lavar Ball")</f>
        <v>Lavar Ball</v>
      </c>
      <c r="D37" s="80" t="str">
        <f>IFERROR(__xludf.DUMMYFUNCTION("""COMPUTED_VALUE"""),"Capybaras")</f>
        <v>Capybaras</v>
      </c>
      <c r="E37" s="80">
        <f>IFERROR(__xludf.DUMMYFUNCTION("""COMPUTED_VALUE"""),8.0)</f>
        <v>8</v>
      </c>
      <c r="F37" s="80">
        <f>IFERROR(__xludf.DUMMYFUNCTION("""COMPUTED_VALUE"""),2.0)</f>
        <v>2</v>
      </c>
      <c r="G37" s="80">
        <f>IFERROR(__xludf.DUMMYFUNCTION("""COMPUTED_VALUE"""),6.0)</f>
        <v>6</v>
      </c>
      <c r="H37" s="81">
        <f>IFERROR(__xludf.DUMMYFUNCTION("""COMPUTED_VALUE"""),0.25)</f>
        <v>0.25</v>
      </c>
      <c r="I37" s="81">
        <f>IFERROR(__xludf.DUMMYFUNCTION("""COMPUTED_VALUE"""),0.20689655172413793)</f>
        <v>0.2068965517</v>
      </c>
      <c r="J37" s="80">
        <f>IFERROR(__xludf.DUMMYFUNCTION("""COMPUTED_VALUE"""),348.5)</f>
        <v>348.5</v>
      </c>
      <c r="K37" s="80">
        <f>IFERROR(__xludf.DUMMYFUNCTION("""COMPUTED_VALUE"""),0.75)</f>
        <v>0.75</v>
      </c>
      <c r="L37" s="80">
        <f>IFERROR(__xludf.DUMMYFUNCTION("""COMPUTED_VALUE"""),0.375)</f>
        <v>0.375</v>
      </c>
      <c r="M37" s="80">
        <f>IFERROR(__xludf.DUMMYFUNCTION("""COMPUTED_VALUE"""),1.0)</f>
        <v>1</v>
      </c>
      <c r="N37" s="80">
        <f>IFERROR(__xludf.DUMMYFUNCTION("""COMPUTED_VALUE"""),3.625)</f>
        <v>3.625</v>
      </c>
      <c r="O37" s="80">
        <f>IFERROR(__xludf.DUMMYFUNCTION("""COMPUTED_VALUE"""),440.1666666666667)</f>
        <v>440.1666667</v>
      </c>
      <c r="P37" s="80">
        <f>IFERROR(__xludf.DUMMYFUNCTION("""COMPUTED_VALUE"""),1.0833333333333335)</f>
        <v>1.083333333</v>
      </c>
      <c r="Q37" s="80">
        <f>IFERROR(__xludf.DUMMYFUNCTION("""COMPUTED_VALUE"""),0.875)</f>
        <v>0.875</v>
      </c>
      <c r="R37" s="80">
        <f>IFERROR(__xludf.DUMMYFUNCTION("""COMPUTED_VALUE"""),1.7083333333333333)</f>
        <v>1.708333333</v>
      </c>
      <c r="S37" s="80">
        <f>IFERROR(__xludf.DUMMYFUNCTION("""COMPUTED_VALUE"""),2.666666666666667)</f>
        <v>2.666666667</v>
      </c>
      <c r="T37" s="80">
        <f>IFERROR(__xludf.DUMMYFUNCTION("""COMPUTED_VALUE"""),385.36540948981934)</f>
        <v>385.3654095</v>
      </c>
      <c r="U37" s="80">
        <f>IFERROR(__xludf.DUMMYFUNCTION("""COMPUTED_VALUE"""),0.885540239487608)</f>
        <v>0.8855402395</v>
      </c>
      <c r="V37" s="80">
        <f>IFERROR(__xludf.DUMMYFUNCTION("""COMPUTED_VALUE"""),0.6900146608350943)</f>
        <v>0.6900146608</v>
      </c>
      <c r="W37" s="80">
        <f>IFERROR(__xludf.DUMMYFUNCTION("""COMPUTED_VALUE"""),1.507231723098596)</f>
        <v>1.507231723</v>
      </c>
      <c r="X37" s="80">
        <f>IFERROR(__xludf.DUMMYFUNCTION("""COMPUTED_VALUE"""),2.5401096695988334)</f>
        <v>2.54010967</v>
      </c>
      <c r="Y37" s="80">
        <f>IFERROR(__xludf.DUMMYFUNCTION("""COMPUTED_VALUE"""),360.95225859105824)</f>
        <v>360.9522586</v>
      </c>
      <c r="Z37" s="80">
        <f>IFERROR(__xludf.DUMMYFUNCTION("""COMPUTED_VALUE"""),0.8387461539196575)</f>
        <v>0.8387461539</v>
      </c>
      <c r="AA37" s="80">
        <f>IFERROR(__xludf.DUMMYFUNCTION("""COMPUTED_VALUE"""),0.6528491708574269)</f>
        <v>0.6528491709</v>
      </c>
      <c r="AB37" s="80">
        <f>IFERROR(__xludf.DUMMYFUNCTION("""COMPUTED_VALUE"""),1.2419132833445268)</f>
        <v>1.241913283</v>
      </c>
      <c r="AC37" s="80">
        <f>IFERROR(__xludf.DUMMYFUNCTION("""COMPUTED_VALUE"""),2.724193654069815)</f>
        <v>2.724193654</v>
      </c>
      <c r="AD37" s="80">
        <f>IFERROR(__xludf.DUMMYFUNCTION("""COMPUTED_VALUE"""),0.9655016465621675)</f>
        <v>0.9655016466</v>
      </c>
      <c r="AE37" s="80">
        <f>IFERROR(__xludf.DUMMYFUNCTION("""COMPUTED_VALUE"""),0.8941918797422488)</f>
        <v>0.8941918797</v>
      </c>
      <c r="AF37" s="80">
        <f>IFERROR(__xludf.DUMMYFUNCTION("""COMPUTED_VALUE"""),0.57440526348144)</f>
        <v>0.5744052635</v>
      </c>
      <c r="AG37" s="80">
        <f>IFERROR(__xludf.DUMMYFUNCTION("""COMPUTED_VALUE"""),0.8052091989119854)</f>
        <v>0.8052091989</v>
      </c>
      <c r="AH37" s="80">
        <f>IFERROR(__xludf.DUMMYFUNCTION("""COMPUTED_VALUE"""),1.3306689833097671)</f>
        <v>1.330668983</v>
      </c>
      <c r="AI37" s="80">
        <f>IFERROR(__xludf.DUMMYFUNCTION("""COMPUTED_VALUE"""),1.1422059578450439)</f>
        <v>1.142205958</v>
      </c>
      <c r="AJ37" s="80">
        <f>IFERROR(__xludf.DUMMYFUNCTION("""COMPUTED_VALUE"""),1.2233586742034137)</f>
        <v>1.223358674</v>
      </c>
      <c r="AK37" s="80">
        <f>IFERROR(__xludf.DUMMYFUNCTION("""COMPUTED_VALUE"""),1.2680889981975543)</f>
        <v>1.268088998</v>
      </c>
      <c r="AL37" s="80">
        <f>IFERROR(__xludf.DUMMYFUNCTION("""COMPUTED_VALUE"""),1.13342448088958)</f>
        <v>1.133424481</v>
      </c>
      <c r="AM37" s="80">
        <f>IFERROR(__xludf.DUMMYFUNCTION("""COMPUTED_VALUE"""),1.0498234381698255)</f>
        <v>1.049823438</v>
      </c>
      <c r="AN37" s="80">
        <f>IFERROR(__xludf.DUMMYFUNCTION("""COMPUTED_VALUE"""),0.9462058328188777)</f>
        <v>0.9462058328</v>
      </c>
      <c r="AO37" s="80">
        <f>IFERROR(__xludf.DUMMYFUNCTION("""COMPUTED_VALUE"""),0.9361544807259672)</f>
        <v>0.9361544807</v>
      </c>
      <c r="AP37" s="80">
        <f>IFERROR(__xludf.DUMMYFUNCTION("""COMPUTED_VALUE"""),0.6166672337115705)</f>
        <v>0.6166672337</v>
      </c>
      <c r="AQ37" s="80">
        <f>IFERROR(__xludf.DUMMYFUNCTION("""COMPUTED_VALUE"""),0.6768419076329215)</f>
        <v>0.6768419076</v>
      </c>
      <c r="AR37" s="80">
        <f>IFERROR(__xludf.DUMMYFUNCTION("""COMPUTED_VALUE"""),1.365655651071187)</f>
        <v>1.365655651</v>
      </c>
      <c r="AS37" s="80">
        <f>IFERROR(__xludf.DUMMYFUNCTION("""COMPUTED_VALUE"""),16.0)</f>
        <v>16</v>
      </c>
      <c r="AT37" s="80">
        <f>IFERROR(__xludf.DUMMYFUNCTION("""COMPUTED_VALUE"""),0.3140149230069259)</f>
        <v>0.314014923</v>
      </c>
      <c r="AU37" s="80">
        <f>IFERROR(__xludf.DUMMYFUNCTION("""COMPUTED_VALUE"""),2.1892413853951584)</f>
        <v>2.189241385</v>
      </c>
      <c r="AV37" s="80">
        <f>IFERROR(__xludf.DUMMYFUNCTION("""COMPUTED_VALUE"""),40.862938811744826)</f>
        <v>40.86293881</v>
      </c>
      <c r="AW37" s="82">
        <f t="shared" si="1"/>
        <v>-2.798176066</v>
      </c>
      <c r="AX37" s="83">
        <f t="array" ref="AX37">IFERROR(DGET('SBV Import'!A:G,"SBV",{"RSC ID","Tier";B37,A37}))</f>
        <v>49.22600649</v>
      </c>
      <c r="AY37" s="82">
        <f t="shared" si="2"/>
        <v>-2.050647619</v>
      </c>
      <c r="AZ37" s="82">
        <v>0.7475284469100583</v>
      </c>
      <c r="BA37" s="84">
        <v>2.0</v>
      </c>
      <c r="BB37" s="84" t="b">
        <f>IFERROR(__xludf.DUMMYFUNCTION("iferror(if(A37="""",,E37&gt;=FILTER(Constants!$F$2:$F$10,Constants!$A$2:$A$10=A37)))"),TRUE)</f>
        <v>1</v>
      </c>
    </row>
    <row r="38">
      <c r="A38" s="80" t="str">
        <f>IFERROR(__xludf.DUMMYFUNCTION("""COMPUTED_VALUE"""),"Premier")</f>
        <v>Premier</v>
      </c>
      <c r="B38" s="79" t="str">
        <f>IFERROR(__xludf.DUMMYFUNCTION("""COMPUTED_VALUE"""),"RSC007962")</f>
        <v>RSC007962</v>
      </c>
      <c r="C38" s="80" t="str">
        <f>IFERROR(__xludf.DUMMYFUNCTION("""COMPUTED_VALUE"""),"Kamikazi")</f>
        <v>Kamikazi</v>
      </c>
      <c r="D38" s="80"/>
      <c r="E38" s="80">
        <f>IFERROR(__xludf.DUMMYFUNCTION("""COMPUTED_VALUE"""),28.0)</f>
        <v>28</v>
      </c>
      <c r="F38" s="80">
        <f>IFERROR(__xludf.DUMMYFUNCTION("""COMPUTED_VALUE"""),12.0)</f>
        <v>12</v>
      </c>
      <c r="G38" s="80">
        <f>IFERROR(__xludf.DUMMYFUNCTION("""COMPUTED_VALUE"""),16.0)</f>
        <v>16</v>
      </c>
      <c r="H38" s="81">
        <f>IFERROR(__xludf.DUMMYFUNCTION("""COMPUTED_VALUE"""),0.42857142857142855)</f>
        <v>0.4285714286</v>
      </c>
      <c r="I38" s="81">
        <f>IFERROR(__xludf.DUMMYFUNCTION("""COMPUTED_VALUE"""),0.32)</f>
        <v>0.32</v>
      </c>
      <c r="J38" s="80">
        <f>IFERROR(__xludf.DUMMYFUNCTION("""COMPUTED_VALUE"""),367.39285714285717)</f>
        <v>367.3928571</v>
      </c>
      <c r="K38" s="80">
        <f>IFERROR(__xludf.DUMMYFUNCTION("""COMPUTED_VALUE"""),0.8571428571428571)</f>
        <v>0.8571428571</v>
      </c>
      <c r="L38" s="80">
        <f>IFERROR(__xludf.DUMMYFUNCTION("""COMPUTED_VALUE"""),0.2857142857142857)</f>
        <v>0.2857142857</v>
      </c>
      <c r="M38" s="80">
        <f>IFERROR(__xludf.DUMMYFUNCTION("""COMPUTED_VALUE"""),1.7142857142857142)</f>
        <v>1.714285714</v>
      </c>
      <c r="N38" s="80">
        <f>IFERROR(__xludf.DUMMYFUNCTION("""COMPUTED_VALUE"""),2.6785714285714284)</f>
        <v>2.678571429</v>
      </c>
      <c r="O38" s="80">
        <f>IFERROR(__xludf.DUMMYFUNCTION("""COMPUTED_VALUE"""),399.7857142857143)</f>
        <v>399.7857143</v>
      </c>
      <c r="P38" s="80">
        <f>IFERROR(__xludf.DUMMYFUNCTION("""COMPUTED_VALUE"""),0.9642857142857144)</f>
        <v>0.9642857143</v>
      </c>
      <c r="Q38" s="80">
        <f>IFERROR(__xludf.DUMMYFUNCTION("""COMPUTED_VALUE"""),0.7857142857142858)</f>
        <v>0.7857142857</v>
      </c>
      <c r="R38" s="80">
        <f>IFERROR(__xludf.DUMMYFUNCTION("""COMPUTED_VALUE"""),1.4404761904761902)</f>
        <v>1.44047619</v>
      </c>
      <c r="S38" s="80">
        <f>IFERROR(__xludf.DUMMYFUNCTION("""COMPUTED_VALUE"""),3.0952380952380953)</f>
        <v>3.095238095</v>
      </c>
      <c r="T38" s="80">
        <f>IFERROR(__xludf.DUMMYFUNCTION("""COMPUTED_VALUE"""),382.28579515139376)</f>
        <v>382.2857952</v>
      </c>
      <c r="U38" s="80">
        <f>IFERROR(__xludf.DUMMYFUNCTION("""COMPUTED_VALUE"""),0.9275354586278954)</f>
        <v>0.9275354586</v>
      </c>
      <c r="V38" s="80">
        <f>IFERROR(__xludf.DUMMYFUNCTION("""COMPUTED_VALUE"""),0.7718531857187323)</f>
        <v>0.7718531857</v>
      </c>
      <c r="W38" s="80">
        <f>IFERROR(__xludf.DUMMYFUNCTION("""COMPUTED_VALUE"""),1.2982037259348187)</f>
        <v>1.298203726</v>
      </c>
      <c r="X38" s="80">
        <f>IFERROR(__xludf.DUMMYFUNCTION("""COMPUTED_VALUE"""),2.920630474411987)</f>
        <v>2.920630474</v>
      </c>
      <c r="Y38" s="80">
        <f>IFERROR(__xludf.DUMMYFUNCTION("""COMPUTED_VALUE"""),360.2099720443734)</f>
        <v>360.209972</v>
      </c>
      <c r="Z38" s="80">
        <f>IFERROR(__xludf.DUMMYFUNCTION("""COMPUTED_VALUE"""),0.7342056266951223)</f>
        <v>0.7342056267</v>
      </c>
      <c r="AA38" s="80">
        <f>IFERROR(__xludf.DUMMYFUNCTION("""COMPUTED_VALUE"""),0.5632452981192475)</f>
        <v>0.5632452981</v>
      </c>
      <c r="AB38" s="80">
        <f>IFERROR(__xludf.DUMMYFUNCTION("""COMPUTED_VALUE"""),1.504789971544173)</f>
        <v>1.504789972</v>
      </c>
      <c r="AC38" s="80">
        <f>IFERROR(__xludf.DUMMYFUNCTION("""COMPUTED_VALUE"""),2.4223533857987642)</f>
        <v>2.422353386</v>
      </c>
      <c r="AD38" s="80">
        <f>IFERROR(__xludf.DUMMYFUNCTION("""COMPUTED_VALUE"""),1.0199408280057247)</f>
        <v>1.019940828</v>
      </c>
      <c r="AE38" s="80">
        <f>IFERROR(__xludf.DUMMYFUNCTION("""COMPUTED_VALUE"""),1.1674425065374556)</f>
        <v>1.167442507</v>
      </c>
      <c r="AF38" s="80">
        <f>IFERROR(__xludf.DUMMYFUNCTION("""COMPUTED_VALUE"""),0.5072643955809741)</f>
        <v>0.5072643956</v>
      </c>
      <c r="AG38" s="80">
        <f>IFERROR(__xludf.DUMMYFUNCTION("""COMPUTED_VALUE"""),1.1392192576393652)</f>
        <v>1.139219258</v>
      </c>
      <c r="AH38" s="80">
        <f>IFERROR(__xludf.DUMMYFUNCTION("""COMPUTED_VALUE"""),1.1057723634688326)</f>
        <v>1.105772363</v>
      </c>
      <c r="AI38" s="80">
        <f>IFERROR(__xludf.DUMMYFUNCTION("""COMPUTED_VALUE"""),1.0457770583063128)</f>
        <v>1.045777058</v>
      </c>
      <c r="AJ38" s="80">
        <f>IFERROR(__xludf.DUMMYFUNCTION("""COMPUTED_VALUE"""),1.0396214024121337)</f>
        <v>1.039621402</v>
      </c>
      <c r="AK38" s="80">
        <f>IFERROR(__xludf.DUMMYFUNCTION("""COMPUTED_VALUE"""),1.0179582079235008)</f>
        <v>1.017958208</v>
      </c>
      <c r="AL38" s="80">
        <f>IFERROR(__xludf.DUMMYFUNCTION("""COMPUTED_VALUE"""),1.1095917857106157)</f>
        <v>1.109591786</v>
      </c>
      <c r="AM38" s="80">
        <f>IFERROR(__xludf.DUMMYFUNCTION("""COMPUTED_VALUE"""),1.0597842220561169)</f>
        <v>1.059784222</v>
      </c>
      <c r="AN38" s="80">
        <f>IFERROR(__xludf.DUMMYFUNCTION("""COMPUTED_VALUE"""),0.997501475938491)</f>
        <v>0.9975014759</v>
      </c>
      <c r="AO38" s="80">
        <f>IFERROR(__xludf.DUMMYFUNCTION("""COMPUTED_VALUE"""),1.069890835115391)</f>
        <v>1.069890835</v>
      </c>
      <c r="AP38" s="80">
        <f>IFERROR(__xludf.DUMMYFUNCTION("""COMPUTED_VALUE"""),0.46984170187548224)</f>
        <v>0.4698417019</v>
      </c>
      <c r="AQ38" s="80">
        <f>IFERROR(__xludf.DUMMYFUNCTION("""COMPUTED_VALUE"""),1.1603004130850083)</f>
        <v>1.160300413</v>
      </c>
      <c r="AR38" s="80">
        <f>IFERROR(__xludf.DUMMYFUNCTION("""COMPUTED_VALUE"""),1.0091051608900397)</f>
        <v>1.009105161</v>
      </c>
      <c r="AS38" s="80">
        <f>IFERROR(__xludf.DUMMYFUNCTION("""COMPUTED_VALUE"""),57.0)</f>
        <v>57</v>
      </c>
      <c r="AT38" s="80">
        <f>IFERROR(__xludf.DUMMYFUNCTION("""COMPUTED_VALUE"""),0.3646112294033368)</f>
        <v>0.3646112294</v>
      </c>
      <c r="AU38" s="80">
        <f>IFERROR(__xludf.DUMMYFUNCTION("""COMPUTED_VALUE"""),2.170797211839839)</f>
        <v>2.170797212</v>
      </c>
      <c r="AV38" s="80">
        <f>IFERROR(__xludf.DUMMYFUNCTION("""COMPUTED_VALUE"""),40.344340597498636)</f>
        <v>40.3443406</v>
      </c>
      <c r="AW38" s="82">
        <f t="shared" si="1"/>
        <v>-2.859884174</v>
      </c>
      <c r="AX38" s="83">
        <f t="array" ref="AX38">IFERROR(DGET('SBV Import'!A:G,"SBV",{"RSC ID","Tier";B38,A38}))</f>
        <v>33.34584011</v>
      </c>
      <c r="AY38" s="82">
        <f t="shared" si="2"/>
        <v>-3.958007522</v>
      </c>
      <c r="AZ38" s="82">
        <v>1.0981233482930866</v>
      </c>
      <c r="BA38" s="84">
        <v>2.0</v>
      </c>
      <c r="BB38" s="84" t="b">
        <f>IFERROR(__xludf.DUMMYFUNCTION("iferror(if(A38="""",,E38&gt;=FILTER(Constants!$F$2:$F$10,Constants!$A$2:$A$10=A38)))"),TRUE)</f>
        <v>1</v>
      </c>
    </row>
    <row r="39">
      <c r="A39" s="80" t="str">
        <f>IFERROR(__xludf.DUMMYFUNCTION("""COMPUTED_VALUE"""),"Premier")</f>
        <v>Premier</v>
      </c>
      <c r="B39" s="79" t="str">
        <f>IFERROR(__xludf.DUMMYFUNCTION("""COMPUTED_VALUE"""),"RSC007596")</f>
        <v>RSC007596</v>
      </c>
      <c r="C39" s="80" t="str">
        <f>IFERROR(__xludf.DUMMYFUNCTION("""COMPUTED_VALUE"""),"Sean")</f>
        <v>Sean</v>
      </c>
      <c r="D39" s="80" t="str">
        <f>IFERROR(__xludf.DUMMYFUNCTION("""COMPUTED_VALUE"""),"Punks")</f>
        <v>Punks</v>
      </c>
      <c r="E39" s="80">
        <f>IFERROR(__xludf.DUMMYFUNCTION("""COMPUTED_VALUE"""),36.0)</f>
        <v>36</v>
      </c>
      <c r="F39" s="80">
        <f>IFERROR(__xludf.DUMMYFUNCTION("""COMPUTED_VALUE"""),17.0)</f>
        <v>17</v>
      </c>
      <c r="G39" s="80">
        <f>IFERROR(__xludf.DUMMYFUNCTION("""COMPUTED_VALUE"""),19.0)</f>
        <v>19</v>
      </c>
      <c r="H39" s="81">
        <f>IFERROR(__xludf.DUMMYFUNCTION("""COMPUTED_VALUE"""),0.4722222222222222)</f>
        <v>0.4722222222</v>
      </c>
      <c r="I39" s="81">
        <f>IFERROR(__xludf.DUMMYFUNCTION("""COMPUTED_VALUE"""),0.24)</f>
        <v>0.24</v>
      </c>
      <c r="J39" s="80">
        <f>IFERROR(__xludf.DUMMYFUNCTION("""COMPUTED_VALUE"""),333.3611111111111)</f>
        <v>333.3611111</v>
      </c>
      <c r="K39" s="80">
        <f>IFERROR(__xludf.DUMMYFUNCTION("""COMPUTED_VALUE"""),0.5)</f>
        <v>0.5</v>
      </c>
      <c r="L39" s="80">
        <f>IFERROR(__xludf.DUMMYFUNCTION("""COMPUTED_VALUE"""),0.75)</f>
        <v>0.75</v>
      </c>
      <c r="M39" s="80">
        <f>IFERROR(__xludf.DUMMYFUNCTION("""COMPUTED_VALUE"""),1.3055555555555556)</f>
        <v>1.305555556</v>
      </c>
      <c r="N39" s="80">
        <f>IFERROR(__xludf.DUMMYFUNCTION("""COMPUTED_VALUE"""),2.0833333333333335)</f>
        <v>2.083333333</v>
      </c>
      <c r="O39" s="80">
        <f>IFERROR(__xludf.DUMMYFUNCTION("""COMPUTED_VALUE"""),368.5462962962963)</f>
        <v>368.5462963</v>
      </c>
      <c r="P39" s="80">
        <f>IFERROR(__xludf.DUMMYFUNCTION("""COMPUTED_VALUE"""),0.8148148148148147)</f>
        <v>0.8148148148</v>
      </c>
      <c r="Q39" s="80">
        <f>IFERROR(__xludf.DUMMYFUNCTION("""COMPUTED_VALUE"""),0.6666666666666665)</f>
        <v>0.6666666667</v>
      </c>
      <c r="R39" s="80">
        <f>IFERROR(__xludf.DUMMYFUNCTION("""COMPUTED_VALUE"""),1.37037037037037)</f>
        <v>1.37037037</v>
      </c>
      <c r="S39" s="80">
        <f>IFERROR(__xludf.DUMMYFUNCTION("""COMPUTED_VALUE"""),2.583333333333334)</f>
        <v>2.583333333</v>
      </c>
      <c r="T39" s="80">
        <f>IFERROR(__xludf.DUMMYFUNCTION("""COMPUTED_VALUE"""),378.4003589201298)</f>
        <v>378.4003589</v>
      </c>
      <c r="U39" s="80">
        <f>IFERROR(__xludf.DUMMYFUNCTION("""COMPUTED_VALUE"""),0.8235086535983653)</f>
        <v>0.8235086536</v>
      </c>
      <c r="V39" s="80">
        <f>IFERROR(__xludf.DUMMYFUNCTION("""COMPUTED_VALUE"""),0.6715462862562256)</f>
        <v>0.6715462863</v>
      </c>
      <c r="W39" s="80">
        <f>IFERROR(__xludf.DUMMYFUNCTION("""COMPUTED_VALUE"""),1.4814346936595006)</f>
        <v>1.481434694</v>
      </c>
      <c r="X39" s="80">
        <f>IFERROR(__xludf.DUMMYFUNCTION("""COMPUTED_VALUE"""),2.684275822504537)</f>
        <v>2.684275823</v>
      </c>
      <c r="Y39" s="80">
        <f>IFERROR(__xludf.DUMMYFUNCTION("""COMPUTED_VALUE"""),374.9531450243783)</f>
        <v>374.953145</v>
      </c>
      <c r="Z39" s="80">
        <f>IFERROR(__xludf.DUMMYFUNCTION("""COMPUTED_VALUE"""),0.8585351157763442)</f>
        <v>0.8585351158</v>
      </c>
      <c r="AA39" s="80">
        <f>IFERROR(__xludf.DUMMYFUNCTION("""COMPUTED_VALUE"""),0.6609887361499618)</f>
        <v>0.6609887361</v>
      </c>
      <c r="AB39" s="80">
        <f>IFERROR(__xludf.DUMMYFUNCTION("""COMPUTED_VALUE"""),1.4095618808526647)</f>
        <v>1.409561881</v>
      </c>
      <c r="AC39" s="80">
        <f>IFERROR(__xludf.DUMMYFUNCTION("""COMPUTED_VALUE"""),2.798498352298782)</f>
        <v>2.798498352</v>
      </c>
      <c r="AD39" s="80">
        <f>IFERROR(__xludf.DUMMYFUNCTION("""COMPUTED_VALUE"""),0.8890740497441006)</f>
        <v>0.8890740497</v>
      </c>
      <c r="AE39" s="80">
        <f>IFERROR(__xludf.DUMMYFUNCTION("""COMPUTED_VALUE"""),0.5823873605308117)</f>
        <v>0.5823873605</v>
      </c>
      <c r="AF39" s="80">
        <f>IFERROR(__xludf.DUMMYFUNCTION("""COMPUTED_VALUE"""),1.1346638134387872)</f>
        <v>1.134663813</v>
      </c>
      <c r="AG39" s="80">
        <f>IFERROR(__xludf.DUMMYFUNCTION("""COMPUTED_VALUE"""),0.9262137216464778)</f>
        <v>0.9262137216</v>
      </c>
      <c r="AH39" s="80">
        <f>IFERROR(__xludf.DUMMYFUNCTION("""COMPUTED_VALUE"""),0.7444468679504537)</f>
        <v>0.744446868</v>
      </c>
      <c r="AI39" s="80">
        <f>IFERROR(__xludf.DUMMYFUNCTION("""COMPUTED_VALUE"""),0.973958632988735)</f>
        <v>0.973958633</v>
      </c>
      <c r="AJ39" s="80">
        <f>IFERROR(__xludf.DUMMYFUNCTION("""COMPUTED_VALUE"""),0.9894429296576758)</f>
        <v>0.9894429297</v>
      </c>
      <c r="AK39" s="80">
        <f>IFERROR(__xludf.DUMMYFUNCTION("""COMPUTED_VALUE"""),0.9927337553800465)</f>
        <v>0.9927337554</v>
      </c>
      <c r="AL39" s="80">
        <f>IFERROR(__xludf.DUMMYFUNCTION("""COMPUTED_VALUE"""),0.9250292140689813)</f>
        <v>0.9250292141</v>
      </c>
      <c r="AM39" s="80">
        <f>IFERROR(__xludf.DUMMYFUNCTION("""COMPUTED_VALUE"""),0.9623948894055829)</f>
        <v>0.9623948894</v>
      </c>
      <c r="AN39" s="80">
        <f>IFERROR(__xludf.DUMMYFUNCTION("""COMPUTED_VALUE"""),0.9051025187039176)</f>
        <v>0.9051025187</v>
      </c>
      <c r="AO39" s="80">
        <f>IFERROR(__xludf.DUMMYFUNCTION("""COMPUTED_VALUE"""),0.6241029871506448)</f>
        <v>0.6241029872</v>
      </c>
      <c r="AP39" s="80">
        <f>IFERROR(__xludf.DUMMYFUNCTION("""COMPUTED_VALUE"""),1.233334467423141)</f>
        <v>1.233334467</v>
      </c>
      <c r="AQ39" s="80">
        <f>IFERROR(__xludf.DUMMYFUNCTION("""COMPUTED_VALUE"""),0.8836547127429809)</f>
        <v>0.8836547127</v>
      </c>
      <c r="AR39" s="80">
        <f>IFERROR(__xludf.DUMMYFUNCTION("""COMPUTED_VALUE"""),0.784859569581142)</f>
        <v>0.7848595696</v>
      </c>
      <c r="AS39" s="80">
        <f>IFERROR(__xludf.DUMMYFUNCTION("""COMPUTED_VALUE"""),88.0)</f>
        <v>88</v>
      </c>
      <c r="AT39" s="80">
        <f>IFERROR(__xludf.DUMMYFUNCTION("""COMPUTED_VALUE"""),0.5000000000000001)</f>
        <v>0.5</v>
      </c>
      <c r="AU39" s="80">
        <f>IFERROR(__xludf.DUMMYFUNCTION("""COMPUTED_VALUE"""),2.154110773290137)</f>
        <v>2.154110773</v>
      </c>
      <c r="AV39" s="80">
        <f>IFERROR(__xludf.DUMMYFUNCTION("""COMPUTED_VALUE"""),39.875164941129455)</f>
        <v>39.87516494</v>
      </c>
      <c r="AW39" s="82">
        <f t="shared" si="1"/>
        <v>-2.917653487</v>
      </c>
      <c r="AX39" s="83">
        <f t="array" ref="AX39">IFERROR(DGET('SBV Import'!A:G,"SBV",{"RSC ID","Tier";B39,A39}))</f>
        <v>37.00249361</v>
      </c>
      <c r="AY39" s="82">
        <f t="shared" si="2"/>
        <v>-3.316017657</v>
      </c>
      <c r="AZ39" s="82">
        <v>0.3983641694572002</v>
      </c>
      <c r="BA39" s="84">
        <v>2.0</v>
      </c>
      <c r="BB39" s="84" t="b">
        <f>IFERROR(__xludf.DUMMYFUNCTION("iferror(if(A39="""",,E39&gt;=FILTER(Constants!$F$2:$F$10,Constants!$A$2:$A$10=A39)))"),TRUE)</f>
        <v>1</v>
      </c>
    </row>
    <row r="40">
      <c r="A40" s="80" t="str">
        <f>IFERROR(__xludf.DUMMYFUNCTION("""COMPUTED_VALUE"""),"Premier")</f>
        <v>Premier</v>
      </c>
      <c r="B40" s="79" t="str">
        <f>IFERROR(__xludf.DUMMYFUNCTION("""COMPUTED_VALUE"""),"RSC003334")</f>
        <v>RSC003334</v>
      </c>
      <c r="C40" s="80" t="str">
        <f>IFERROR(__xludf.DUMMYFUNCTION("""COMPUTED_VALUE"""),"hawk rl")</f>
        <v>hawk rl</v>
      </c>
      <c r="D40" s="80" t="str">
        <f>IFERROR(__xludf.DUMMYFUNCTION("""COMPUTED_VALUE"""),"Interstellar")</f>
        <v>Interstellar</v>
      </c>
      <c r="E40" s="80">
        <f>IFERROR(__xludf.DUMMYFUNCTION("""COMPUTED_VALUE"""),17.0)</f>
        <v>17</v>
      </c>
      <c r="F40" s="80">
        <f>IFERROR(__xludf.DUMMYFUNCTION("""COMPUTED_VALUE"""),7.0)</f>
        <v>7</v>
      </c>
      <c r="G40" s="80">
        <f>IFERROR(__xludf.DUMMYFUNCTION("""COMPUTED_VALUE"""),10.0)</f>
        <v>10</v>
      </c>
      <c r="H40" s="81">
        <f>IFERROR(__xludf.DUMMYFUNCTION("""COMPUTED_VALUE"""),0.4117647058823529)</f>
        <v>0.4117647059</v>
      </c>
      <c r="I40" s="81">
        <f>IFERROR(__xludf.DUMMYFUNCTION("""COMPUTED_VALUE"""),0.3448275862068966)</f>
        <v>0.3448275862</v>
      </c>
      <c r="J40" s="80">
        <f>IFERROR(__xludf.DUMMYFUNCTION("""COMPUTED_VALUE"""),287.4117647058824)</f>
        <v>287.4117647</v>
      </c>
      <c r="K40" s="80">
        <f>IFERROR(__xludf.DUMMYFUNCTION("""COMPUTED_VALUE"""),0.5882352941176471)</f>
        <v>0.5882352941</v>
      </c>
      <c r="L40" s="80">
        <f>IFERROR(__xludf.DUMMYFUNCTION("""COMPUTED_VALUE"""),0.7647058823529411)</f>
        <v>0.7647058824</v>
      </c>
      <c r="M40" s="80">
        <f>IFERROR(__xludf.DUMMYFUNCTION("""COMPUTED_VALUE"""),1.0)</f>
        <v>1</v>
      </c>
      <c r="N40" s="80">
        <f>IFERROR(__xludf.DUMMYFUNCTION("""COMPUTED_VALUE"""),1.7058823529411764)</f>
        <v>1.705882353</v>
      </c>
      <c r="O40" s="80">
        <f>IFERROR(__xludf.DUMMYFUNCTION("""COMPUTED_VALUE"""),353.0392156862745)</f>
        <v>353.0392157</v>
      </c>
      <c r="P40" s="80">
        <f>IFERROR(__xludf.DUMMYFUNCTION("""COMPUTED_VALUE"""),0.9019607843137255)</f>
        <v>0.9019607843</v>
      </c>
      <c r="Q40" s="80">
        <f>IFERROR(__xludf.DUMMYFUNCTION("""COMPUTED_VALUE"""),0.6470588235294118)</f>
        <v>0.6470588235</v>
      </c>
      <c r="R40" s="80">
        <f>IFERROR(__xludf.DUMMYFUNCTION("""COMPUTED_VALUE"""),1.2549019607843137)</f>
        <v>1.254901961</v>
      </c>
      <c r="S40" s="80">
        <f>IFERROR(__xludf.DUMMYFUNCTION("""COMPUTED_VALUE"""),2.588235294117647)</f>
        <v>2.588235294</v>
      </c>
      <c r="T40" s="80">
        <f>IFERROR(__xludf.DUMMYFUNCTION("""COMPUTED_VALUE"""),376.8626120640117)</f>
        <v>376.8626121</v>
      </c>
      <c r="U40" s="80">
        <f>IFERROR(__xludf.DUMMYFUNCTION("""COMPUTED_VALUE"""),0.8641605408766921)</f>
        <v>0.8641605409</v>
      </c>
      <c r="V40" s="80">
        <f>IFERROR(__xludf.DUMMYFUNCTION("""COMPUTED_VALUE"""),0.6464351002893249)</f>
        <v>0.6464351003</v>
      </c>
      <c r="W40" s="80">
        <f>IFERROR(__xludf.DUMMYFUNCTION("""COMPUTED_VALUE"""),1.4758826777601195)</f>
        <v>1.475882678</v>
      </c>
      <c r="X40" s="80">
        <f>IFERROR(__xludf.DUMMYFUNCTION("""COMPUTED_VALUE"""),2.7395183230365734)</f>
        <v>2.739518323</v>
      </c>
      <c r="Y40" s="80">
        <f>IFERROR(__xludf.DUMMYFUNCTION("""COMPUTED_VALUE"""),377.67223075413324)</f>
        <v>377.6722308</v>
      </c>
      <c r="Z40" s="80">
        <f>IFERROR(__xludf.DUMMYFUNCTION("""COMPUTED_VALUE"""),0.8761525019031439)</f>
        <v>0.8761525019</v>
      </c>
      <c r="AA40" s="80">
        <f>IFERROR(__xludf.DUMMYFUNCTION("""COMPUTED_VALUE"""),0.6880477377541778)</f>
        <v>0.6880477378</v>
      </c>
      <c r="AB40" s="80">
        <f>IFERROR(__xludf.DUMMYFUNCTION("""COMPUTED_VALUE"""),1.4335667935035428)</f>
        <v>1.433566794</v>
      </c>
      <c r="AC40" s="80">
        <f>IFERROR(__xludf.DUMMYFUNCTION("""COMPUTED_VALUE"""),2.767028776792887)</f>
        <v>2.767028777</v>
      </c>
      <c r="AD40" s="80">
        <f>IFERROR(__xludf.DUMMYFUNCTION("""COMPUTED_VALUE"""),0.7610084652821326)</f>
        <v>0.7610084653</v>
      </c>
      <c r="AE40" s="80">
        <f>IFERROR(__xludf.DUMMYFUNCTION("""COMPUTED_VALUE"""),0.6713845966768406)</f>
        <v>0.6713845967</v>
      </c>
      <c r="AF40" s="80">
        <f>IFERROR(__xludf.DUMMYFUNCTION("""COMPUTED_VALUE"""),1.1114139911991852)</f>
        <v>1.111413991</v>
      </c>
      <c r="AG40" s="80">
        <f>IFERROR(__xludf.DUMMYFUNCTION("""COMPUTED_VALUE"""),0.6975608004675289)</f>
        <v>0.6975608005</v>
      </c>
      <c r="AH40" s="80">
        <f>IFERROR(__xludf.DUMMYFUNCTION("""COMPUTED_VALUE"""),0.6165032930804472)</f>
        <v>0.6165032931</v>
      </c>
      <c r="AI40" s="80">
        <f>IFERROR(__xludf.DUMMYFUNCTION("""COMPUTED_VALUE"""),0.9367849300644057)</f>
        <v>0.9367849301</v>
      </c>
      <c r="AJ40" s="80">
        <f>IFERROR(__xludf.DUMMYFUNCTION("""COMPUTED_VALUE"""),1.0437421539737106)</f>
        <v>1.043742154</v>
      </c>
      <c r="AK40" s="80">
        <f>IFERROR(__xludf.DUMMYFUNCTION("""COMPUTED_VALUE"""),1.000964865985476)</f>
        <v>1.000964866</v>
      </c>
      <c r="AL40" s="80">
        <f>IFERROR(__xludf.DUMMYFUNCTION("""COMPUTED_VALUE"""),0.8502721657312367)</f>
        <v>0.8502721657</v>
      </c>
      <c r="AM40" s="80">
        <f>IFERROR(__xludf.DUMMYFUNCTION("""COMPUTED_VALUE"""),0.9447775079119606)</f>
        <v>0.9447775079</v>
      </c>
      <c r="AN40" s="80">
        <f>IFERROR(__xludf.DUMMYFUNCTION("""COMPUTED_VALUE"""),0.7803463075623321)</f>
        <v>0.7803463076</v>
      </c>
      <c r="AO40" s="80">
        <f>IFERROR(__xludf.DUMMYFUNCTION("""COMPUTED_VALUE"""),0.7342388084125233)</f>
        <v>0.7342388084</v>
      </c>
      <c r="AP40" s="80">
        <f>IFERROR(__xludf.DUMMYFUNCTION("""COMPUTED_VALUE"""),1.2575174961961437)</f>
        <v>1.257517496</v>
      </c>
      <c r="AQ40" s="80">
        <f>IFERROR(__xludf.DUMMYFUNCTION("""COMPUTED_VALUE"""),0.6768419076329215)</f>
        <v>0.6768419076</v>
      </c>
      <c r="AR40" s="80">
        <f>IFERROR(__xludf.DUMMYFUNCTION("""COMPUTED_VALUE"""),0.6426614828570292)</f>
        <v>0.6426614829</v>
      </c>
      <c r="AS40" s="80">
        <f>IFERROR(__xludf.DUMMYFUNCTION("""COMPUTED_VALUE"""),38.0)</f>
        <v>38</v>
      </c>
      <c r="AT40" s="80">
        <f>IFERROR(__xludf.DUMMYFUNCTION("""COMPUTED_VALUE"""),0.42502081735321345)</f>
        <v>0.4250208174</v>
      </c>
      <c r="AU40" s="80">
        <f>IFERROR(__xludf.DUMMYFUNCTION("""COMPUTED_VALUE"""),1.9877079294700692)</f>
        <v>1.987707929</v>
      </c>
      <c r="AV40" s="80">
        <f>IFERROR(__xludf.DUMMYFUNCTION("""COMPUTED_VALUE"""),35.196385629508576)</f>
        <v>35.19638563</v>
      </c>
      <c r="AW40" s="82">
        <f t="shared" si="1"/>
        <v>-3.611713493</v>
      </c>
      <c r="AX40" s="83">
        <f t="array" ref="AX40">IFERROR(DGET('SBV Import'!A:G,"SBV",{"RSC ID","Tier";B40,A40}))</f>
        <v>37.68091514</v>
      </c>
      <c r="AY40" s="82">
        <f t="shared" si="2"/>
        <v>-3.214504986</v>
      </c>
      <c r="AZ40" s="82">
        <v>0.39720850681799647</v>
      </c>
      <c r="BA40" s="84">
        <v>2.0</v>
      </c>
      <c r="BB40" s="84" t="b">
        <f>IFERROR(__xludf.DUMMYFUNCTION("iferror(if(A40="""",,E40&gt;=FILTER(Constants!$F$2:$F$10,Constants!$A$2:$A$10=A40)))"),TRUE)</f>
        <v>1</v>
      </c>
    </row>
    <row r="41">
      <c r="A41" s="80" t="str">
        <f>IFERROR(__xludf.DUMMYFUNCTION("""COMPUTED_VALUE"""),"Premier")</f>
        <v>Premier</v>
      </c>
      <c r="B41" s="79" t="str">
        <f>IFERROR(__xludf.DUMMYFUNCTION("""COMPUTED_VALUE"""),"RSC001945")</f>
        <v>RSC001945</v>
      </c>
      <c r="C41" s="80" t="str">
        <f>IFERROR(__xludf.DUMMYFUNCTION("""COMPUTED_VALUE"""),"Brody")</f>
        <v>Brody</v>
      </c>
      <c r="D41" s="80"/>
      <c r="E41" s="80">
        <f>IFERROR(__xludf.DUMMYFUNCTION("""COMPUTED_VALUE"""),27.0)</f>
        <v>27</v>
      </c>
      <c r="F41" s="80">
        <f>IFERROR(__xludf.DUMMYFUNCTION("""COMPUTED_VALUE"""),7.0)</f>
        <v>7</v>
      </c>
      <c r="G41" s="80">
        <f>IFERROR(__xludf.DUMMYFUNCTION("""COMPUTED_VALUE"""),20.0)</f>
        <v>20</v>
      </c>
      <c r="H41" s="81">
        <f>IFERROR(__xludf.DUMMYFUNCTION("""COMPUTED_VALUE"""),0.25925925925925924)</f>
        <v>0.2592592593</v>
      </c>
      <c r="I41" s="81">
        <f>IFERROR(__xludf.DUMMYFUNCTION("""COMPUTED_VALUE"""),0.19047619047619047)</f>
        <v>0.1904761905</v>
      </c>
      <c r="J41" s="80">
        <f>IFERROR(__xludf.DUMMYFUNCTION("""COMPUTED_VALUE"""),413.3333333333333)</f>
        <v>413.3333333</v>
      </c>
      <c r="K41" s="80">
        <f>IFERROR(__xludf.DUMMYFUNCTION("""COMPUTED_VALUE"""),0.4444444444444444)</f>
        <v>0.4444444444</v>
      </c>
      <c r="L41" s="80">
        <f>IFERROR(__xludf.DUMMYFUNCTION("""COMPUTED_VALUE"""),0.5185185185185185)</f>
        <v>0.5185185185</v>
      </c>
      <c r="M41" s="80">
        <f>IFERROR(__xludf.DUMMYFUNCTION("""COMPUTED_VALUE"""),2.2962962962962963)</f>
        <v>2.296296296</v>
      </c>
      <c r="N41" s="80">
        <f>IFERROR(__xludf.DUMMYFUNCTION("""COMPUTED_VALUE"""),2.3333333333333335)</f>
        <v>2.333333333</v>
      </c>
      <c r="O41" s="80">
        <f>IFERROR(__xludf.DUMMYFUNCTION("""COMPUTED_VALUE"""),401.59259259259267)</f>
        <v>401.5925926</v>
      </c>
      <c r="P41" s="80">
        <f>IFERROR(__xludf.DUMMYFUNCTION("""COMPUTED_VALUE"""),1.0123456790123455)</f>
        <v>1.012345679</v>
      </c>
      <c r="Q41" s="80">
        <f>IFERROR(__xludf.DUMMYFUNCTION("""COMPUTED_VALUE"""),0.8148148148148148)</f>
        <v>0.8148148148</v>
      </c>
      <c r="R41" s="80">
        <f>IFERROR(__xludf.DUMMYFUNCTION("""COMPUTED_VALUE"""),1.308641975308642)</f>
        <v>1.308641975</v>
      </c>
      <c r="S41" s="80">
        <f>IFERROR(__xludf.DUMMYFUNCTION("""COMPUTED_VALUE"""),3.407407407407408)</f>
        <v>3.407407407</v>
      </c>
      <c r="T41" s="80">
        <f>IFERROR(__xludf.DUMMYFUNCTION("""COMPUTED_VALUE"""),386.41073130699226)</f>
        <v>386.4107313</v>
      </c>
      <c r="U41" s="80">
        <f>IFERROR(__xludf.DUMMYFUNCTION("""COMPUTED_VALUE"""),0.9191590242893917)</f>
        <v>0.9191590243</v>
      </c>
      <c r="V41" s="80">
        <f>IFERROR(__xludf.DUMMYFUNCTION("""COMPUTED_VALUE"""),0.7018964641478525)</f>
        <v>0.7018964641</v>
      </c>
      <c r="W41" s="80">
        <f>IFERROR(__xludf.DUMMYFUNCTION("""COMPUTED_VALUE"""),1.3866347826798318)</f>
        <v>1.386634783</v>
      </c>
      <c r="X41" s="80">
        <f>IFERROR(__xludf.DUMMYFUNCTION("""COMPUTED_VALUE"""),2.9976982974259667)</f>
        <v>2.997698297</v>
      </c>
      <c r="Y41" s="80">
        <f>IFERROR(__xludf.DUMMYFUNCTION("""COMPUTED_VALUE"""),375.6485125485214)</f>
        <v>375.6485125</v>
      </c>
      <c r="Z41" s="80">
        <f>IFERROR(__xludf.DUMMYFUNCTION("""COMPUTED_VALUE"""),0.771609623538782)</f>
        <v>0.7716096235</v>
      </c>
      <c r="AA41" s="80">
        <f>IFERROR(__xludf.DUMMYFUNCTION("""COMPUTED_VALUE"""),0.5885170515836758)</f>
        <v>0.5885170516</v>
      </c>
      <c r="AB41" s="80">
        <f>IFERROR(__xludf.DUMMYFUNCTION("""COMPUTED_VALUE"""),1.5902649351257825)</f>
        <v>1.590264935</v>
      </c>
      <c r="AC41" s="80">
        <f>IFERROR(__xludf.DUMMYFUNCTION("""COMPUTED_VALUE"""),2.581636969137848)</f>
        <v>2.581636969</v>
      </c>
      <c r="AD41" s="80">
        <f>IFERROR(__xludf.DUMMYFUNCTION("""COMPUTED_VALUE"""),1.1003193664448339)</f>
        <v>1.100319366</v>
      </c>
      <c r="AE41" s="80">
        <f>IFERROR(__xludf.DUMMYFUNCTION("""COMPUTED_VALUE"""),0.5759965024880306)</f>
        <v>0.5759965025</v>
      </c>
      <c r="AF41" s="80">
        <f>IFERROR(__xludf.DUMMYFUNCTION("""COMPUTED_VALUE"""),0.8810594648416828)</f>
        <v>0.8810594648</v>
      </c>
      <c r="AG41" s="80">
        <f>IFERROR(__xludf.DUMMYFUNCTION("""COMPUTED_VALUE"""),1.4439709042032485)</f>
        <v>1.443970904</v>
      </c>
      <c r="AH41" s="80">
        <f>IFERROR(__xludf.DUMMYFUNCTION("""COMPUTED_VALUE"""),0.9038193058230659)</f>
        <v>0.9038193058</v>
      </c>
      <c r="AI41" s="80">
        <f>IFERROR(__xludf.DUMMYFUNCTION("""COMPUTED_VALUE"""),1.0392894401101371)</f>
        <v>1.03928944</v>
      </c>
      <c r="AJ41" s="80">
        <f>IFERROR(__xludf.DUMMYFUNCTION("""COMPUTED_VALUE"""),1.1013825162571809)</f>
        <v>1.101382516</v>
      </c>
      <c r="AK41" s="80">
        <f>IFERROR(__xludf.DUMMYFUNCTION("""COMPUTED_VALUE"""),1.1608760785026215)</f>
        <v>1.160876079</v>
      </c>
      <c r="AL41" s="80">
        <f>IFERROR(__xludf.DUMMYFUNCTION("""COMPUTED_VALUE"""),0.9437538937105994)</f>
        <v>0.9437538937</v>
      </c>
      <c r="AM41" s="80">
        <f>IFERROR(__xludf.DUMMYFUNCTION("""COMPUTED_VALUE"""),1.1366745647262921)</f>
        <v>1.136674565</v>
      </c>
      <c r="AN41" s="80">
        <f>IFERROR(__xludf.DUMMYFUNCTION("""COMPUTED_VALUE"""),1.1222336037258807)</f>
        <v>1.122233604</v>
      </c>
      <c r="AO41" s="80">
        <f>IFERROR(__xludf.DUMMYFUNCTION("""COMPUTED_VALUE"""),0.5547582108005731)</f>
        <v>0.5547582108</v>
      </c>
      <c r="AP41" s="80">
        <f>IFERROR(__xludf.DUMMYFUNCTION("""COMPUTED_VALUE"""),0.8526756811814308)</f>
        <v>0.8526756812</v>
      </c>
      <c r="AQ41" s="80">
        <f>IFERROR(__xludf.DUMMYFUNCTION("""COMPUTED_VALUE"""),1.5542295656755976)</f>
        <v>1.554229566</v>
      </c>
      <c r="AR41" s="80">
        <f>IFERROR(__xludf.DUMMYFUNCTION("""COMPUTED_VALUE"""),0.8790427179308791)</f>
        <v>0.8790427179</v>
      </c>
      <c r="AS41" s="80">
        <f>IFERROR(__xludf.DUMMYFUNCTION("""COMPUTED_VALUE"""),41.0)</f>
        <v>41</v>
      </c>
      <c r="AT41" s="80">
        <f>IFERROR(__xludf.DUMMYFUNCTION("""COMPUTED_VALUE"""),0.25519544699869356)</f>
        <v>0.255195447</v>
      </c>
      <c r="AU41" s="80">
        <f>IFERROR(__xludf.DUMMYFUNCTION("""COMPUTED_VALUE"""),1.8901145045503611)</f>
        <v>1.890114505</v>
      </c>
      <c r="AV41" s="80">
        <f>IFERROR(__xludf.DUMMYFUNCTION("""COMPUTED_VALUE"""),32.452333382671384)</f>
        <v>32.45233338</v>
      </c>
      <c r="AW41" s="82">
        <f t="shared" si="1"/>
        <v>-4.143039497</v>
      </c>
      <c r="AX41" s="83">
        <f t="array" ref="AX41">IFERROR(DGET('SBV Import'!A:G,"SBV",{"RSC ID","Tier";B41,A41}))</f>
        <v>39.20973667</v>
      </c>
      <c r="AY41" s="82">
        <f t="shared" si="2"/>
        <v>-3.002892529</v>
      </c>
      <c r="AZ41" s="82">
        <v>1.1401469675603462</v>
      </c>
      <c r="BA41" s="84">
        <v>2.0</v>
      </c>
      <c r="BB41" s="84" t="b">
        <f>IFERROR(__xludf.DUMMYFUNCTION("iferror(if(A41="""",,E41&gt;=FILTER(Constants!$F$2:$F$10,Constants!$A$2:$A$10=A41)))"),TRUE)</f>
        <v>1</v>
      </c>
    </row>
    <row r="42">
      <c r="A42" s="80" t="str">
        <f>IFERROR(__xludf.DUMMYFUNCTION("""COMPUTED_VALUE"""),"Premier")</f>
        <v>Premier</v>
      </c>
      <c r="B42" s="79" t="str">
        <f>IFERROR(__xludf.DUMMYFUNCTION("""COMPUTED_VALUE"""),"RSC004580")</f>
        <v>RSC004580</v>
      </c>
      <c r="C42" s="80" t="str">
        <f>IFERROR(__xludf.DUMMYFUNCTION("""COMPUTED_VALUE"""),"Stati_c")</f>
        <v>Stati_c</v>
      </c>
      <c r="D42" s="80"/>
      <c r="E42" s="80">
        <f>IFERROR(__xludf.DUMMYFUNCTION("""COMPUTED_VALUE"""),28.0)</f>
        <v>28</v>
      </c>
      <c r="F42" s="80">
        <f>IFERROR(__xludf.DUMMYFUNCTION("""COMPUTED_VALUE"""),13.0)</f>
        <v>13</v>
      </c>
      <c r="G42" s="80">
        <f>IFERROR(__xludf.DUMMYFUNCTION("""COMPUTED_VALUE"""),15.0)</f>
        <v>15</v>
      </c>
      <c r="H42" s="81">
        <f>IFERROR(__xludf.DUMMYFUNCTION("""COMPUTED_VALUE"""),0.4642857142857143)</f>
        <v>0.4642857143</v>
      </c>
      <c r="I42" s="81">
        <f>IFERROR(__xludf.DUMMYFUNCTION("""COMPUTED_VALUE"""),0.2833333333333333)</f>
        <v>0.2833333333</v>
      </c>
      <c r="J42" s="80">
        <f>IFERROR(__xludf.DUMMYFUNCTION("""COMPUTED_VALUE"""),303.67857142857144)</f>
        <v>303.6785714</v>
      </c>
      <c r="K42" s="80">
        <f>IFERROR(__xludf.DUMMYFUNCTION("""COMPUTED_VALUE"""),0.6071428571428571)</f>
        <v>0.6071428571</v>
      </c>
      <c r="L42" s="80">
        <f>IFERROR(__xludf.DUMMYFUNCTION("""COMPUTED_VALUE"""),0.5357142857142857)</f>
        <v>0.5357142857</v>
      </c>
      <c r="M42" s="80">
        <f>IFERROR(__xludf.DUMMYFUNCTION("""COMPUTED_VALUE"""),1.1071428571428572)</f>
        <v>1.107142857</v>
      </c>
      <c r="N42" s="80">
        <f>IFERROR(__xludf.DUMMYFUNCTION("""COMPUTED_VALUE"""),2.142857142857143)</f>
        <v>2.142857143</v>
      </c>
      <c r="O42" s="80">
        <f>IFERROR(__xludf.DUMMYFUNCTION("""COMPUTED_VALUE"""),394.07142857142856)</f>
        <v>394.0714286</v>
      </c>
      <c r="P42" s="80">
        <f>IFERROR(__xludf.DUMMYFUNCTION("""COMPUTED_VALUE"""),0.9404761904761906)</f>
        <v>0.9404761905</v>
      </c>
      <c r="Q42" s="80">
        <f>IFERROR(__xludf.DUMMYFUNCTION("""COMPUTED_VALUE"""),0.7142857142857143)</f>
        <v>0.7142857143</v>
      </c>
      <c r="R42" s="80">
        <f>IFERROR(__xludf.DUMMYFUNCTION("""COMPUTED_VALUE"""),1.476190476190476)</f>
        <v>1.476190476</v>
      </c>
      <c r="S42" s="80">
        <f>IFERROR(__xludf.DUMMYFUNCTION("""COMPUTED_VALUE"""),2.7380952380952386)</f>
        <v>2.738095238</v>
      </c>
      <c r="T42" s="80">
        <f>IFERROR(__xludf.DUMMYFUNCTION("""COMPUTED_VALUE"""),381.79152604401503)</f>
        <v>381.791526</v>
      </c>
      <c r="U42" s="80">
        <f>IFERROR(__xludf.DUMMYFUNCTION("""COMPUTED_VALUE"""),0.8315819107307137)</f>
        <v>0.8315819107</v>
      </c>
      <c r="V42" s="80">
        <f>IFERROR(__xludf.DUMMYFUNCTION("""COMPUTED_VALUE"""),0.6879444804394748)</f>
        <v>0.6879444804</v>
      </c>
      <c r="W42" s="80">
        <f>IFERROR(__xludf.DUMMYFUNCTION("""COMPUTED_VALUE"""),1.488384390415915)</f>
        <v>1.48838439</v>
      </c>
      <c r="X42" s="80">
        <f>IFERROR(__xludf.DUMMYFUNCTION("""COMPUTED_VALUE"""),2.814145142588256)</f>
        <v>2.814145143</v>
      </c>
      <c r="Y42" s="80">
        <f>IFERROR(__xludf.DUMMYFUNCTION("""COMPUTED_VALUE"""),380.0965848642168)</f>
        <v>380.0965849</v>
      </c>
      <c r="Z42" s="80">
        <f>IFERROR(__xludf.DUMMYFUNCTION("""COMPUTED_VALUE"""),0.8116597578581625)</f>
        <v>0.8116597579</v>
      </c>
      <c r="AA42" s="80">
        <f>IFERROR(__xludf.DUMMYFUNCTION("""COMPUTED_VALUE"""),0.6244795393476512)</f>
        <v>0.6244795393</v>
      </c>
      <c r="AB42" s="80">
        <f>IFERROR(__xludf.DUMMYFUNCTION("""COMPUTED_VALUE"""),1.5332887656833878)</f>
        <v>1.533288766</v>
      </c>
      <c r="AC42" s="80">
        <f>IFERROR(__xludf.DUMMYFUNCTION("""COMPUTED_VALUE"""),2.748038723286585)</f>
        <v>2.748038723</v>
      </c>
      <c r="AD42" s="80">
        <f>IFERROR(__xludf.DUMMYFUNCTION("""COMPUTED_VALUE"""),0.798951065390539)</f>
        <v>0.7989510654</v>
      </c>
      <c r="AE42" s="80">
        <f>IFERROR(__xludf.DUMMYFUNCTION("""COMPUTED_VALUE"""),0.7480263143081135)</f>
        <v>0.7480263143</v>
      </c>
      <c r="AF42" s="80">
        <f>IFERROR(__xludf.DUMMYFUNCTION("""COMPUTED_VALUE"""),0.8578572266337305)</f>
        <v>0.8578572266</v>
      </c>
      <c r="AG42" s="80">
        <f>IFERROR(__xludf.DUMMYFUNCTION("""COMPUTED_VALUE"""),0.7220706770452354)</f>
        <v>0.722070677</v>
      </c>
      <c r="AH42" s="80">
        <f>IFERROR(__xludf.DUMMYFUNCTION("""COMPUTED_VALUE"""),0.7797769095096082)</f>
        <v>0.7797769095</v>
      </c>
      <c r="AI42" s="80">
        <f>IFERROR(__xludf.DUMMYFUNCTION("""COMPUTED_VALUE"""),1.032163894926253)</f>
        <v>1.032163895</v>
      </c>
      <c r="AJ42" s="80">
        <f>IFERROR(__xludf.DUMMYFUNCTION("""COMPUTED_VALUE"""),1.1309483507761624)</f>
        <v>1.130948351</v>
      </c>
      <c r="AK42" s="80">
        <f>IFERROR(__xludf.DUMMYFUNCTION("""COMPUTED_VALUE"""),1.0382897669727826)</f>
        <v>1.038289767</v>
      </c>
      <c r="AL42" s="80">
        <f>IFERROR(__xludf.DUMMYFUNCTION("""COMPUTED_VALUE"""),0.9918072815705682)</f>
        <v>0.9918072816</v>
      </c>
      <c r="AM42" s="80">
        <f>IFERROR(__xludf.DUMMYFUNCTION("""COMPUTED_VALUE"""),0.972975841458173)</f>
        <v>0.9729758415</v>
      </c>
      <c r="AN42" s="80">
        <f>IFERROR(__xludf.DUMMYFUNCTION("""COMPUTED_VALUE"""),0.8245120102950315)</f>
        <v>0.8245120103</v>
      </c>
      <c r="AO42" s="80">
        <f>IFERROR(__xludf.DUMMYFUNCTION("""COMPUTED_VALUE"""),0.7578393415400686)</f>
        <v>0.7578393415</v>
      </c>
      <c r="AP42" s="80">
        <f>IFERROR(__xludf.DUMMYFUNCTION("""COMPUTED_VALUE"""),0.8809531910165292)</f>
        <v>0.880953191</v>
      </c>
      <c r="AQ42" s="80">
        <f>IFERROR(__xludf.DUMMYFUNCTION("""COMPUTED_VALUE"""),0.7493606834507346)</f>
        <v>0.7493606835</v>
      </c>
      <c r="AR42" s="80">
        <f>IFERROR(__xludf.DUMMYFUNCTION("""COMPUTED_VALUE"""),0.8072841287120317)</f>
        <v>0.8072841287</v>
      </c>
      <c r="AS42" s="80">
        <f>IFERROR(__xludf.DUMMYFUNCTION("""COMPUTED_VALUE"""),70.0)</f>
        <v>70</v>
      </c>
      <c r="AT42" s="80">
        <f>IFERROR(__xludf.DUMMYFUNCTION("""COMPUTED_VALUE"""),0.45129806457746646)</f>
        <v>0.4512980646</v>
      </c>
      <c r="AU42" s="80">
        <f>IFERROR(__xludf.DUMMYFUNCTION("""COMPUTED_VALUE"""),1.8023778718018975)</f>
        <v>1.802377872</v>
      </c>
      <c r="AV42" s="80">
        <f>IFERROR(__xludf.DUMMYFUNCTION("""COMPUTED_VALUE"""),29.98542637104202)</f>
        <v>29.98542637</v>
      </c>
      <c r="AW42" s="82">
        <f t="shared" si="1"/>
        <v>-4.723965388</v>
      </c>
      <c r="AX42" s="83">
        <f t="array" ref="AX42">IFERROR(DGET('SBV Import'!A:G,"SBV",{"RSC ID","Tier";B42,A42}))</f>
        <v>24.21410185</v>
      </c>
      <c r="AY42" s="82">
        <f t="shared" si="2"/>
        <v>-6.615147</v>
      </c>
      <c r="AZ42" s="82">
        <v>1.8911816115403228</v>
      </c>
      <c r="BA42" s="84">
        <v>2.0</v>
      </c>
      <c r="BB42" s="84" t="b">
        <f>IFERROR(__xludf.DUMMYFUNCTION("iferror(if(A42="""",,E42&gt;=FILTER(Constants!$F$2:$F$10,Constants!$A$2:$A$10=A42)))"),TRUE)</f>
        <v>1</v>
      </c>
    </row>
    <row r="43">
      <c r="A43" s="80" t="str">
        <f>IFERROR(__xludf.DUMMYFUNCTION("""COMPUTED_VALUE"""),"Premier")</f>
        <v>Premier</v>
      </c>
      <c r="B43" s="79" t="str">
        <f>IFERROR(__xludf.DUMMYFUNCTION("""COMPUTED_VALUE"""),"RSC000750")</f>
        <v>RSC000750</v>
      </c>
      <c r="C43" s="80" t="str">
        <f>IFERROR(__xludf.DUMMYFUNCTION("""COMPUTED_VALUE"""),"Jatt")</f>
        <v>Jatt</v>
      </c>
      <c r="D43" s="80" t="str">
        <f>IFERROR(__xludf.DUMMYFUNCTION("""COMPUTED_VALUE"""),"Crooked Capos")</f>
        <v>Crooked Capos</v>
      </c>
      <c r="E43" s="80">
        <f>IFERROR(__xludf.DUMMYFUNCTION("""COMPUTED_VALUE"""),20.0)</f>
        <v>20</v>
      </c>
      <c r="F43" s="80">
        <f>IFERROR(__xludf.DUMMYFUNCTION("""COMPUTED_VALUE"""),10.0)</f>
        <v>10</v>
      </c>
      <c r="G43" s="80">
        <f>IFERROR(__xludf.DUMMYFUNCTION("""COMPUTED_VALUE"""),10.0)</f>
        <v>10</v>
      </c>
      <c r="H43" s="81">
        <f>IFERROR(__xludf.DUMMYFUNCTION("""COMPUTED_VALUE"""),0.5)</f>
        <v>0.5</v>
      </c>
      <c r="I43" s="81">
        <f>IFERROR(__xludf.DUMMYFUNCTION("""COMPUTED_VALUE"""),0.28846153846153844)</f>
        <v>0.2884615385</v>
      </c>
      <c r="J43" s="80">
        <f>IFERROR(__xludf.DUMMYFUNCTION("""COMPUTED_VALUE"""),376.8)</f>
        <v>376.8</v>
      </c>
      <c r="K43" s="80">
        <f>IFERROR(__xludf.DUMMYFUNCTION("""COMPUTED_VALUE"""),0.75)</f>
        <v>0.75</v>
      </c>
      <c r="L43" s="80">
        <f>IFERROR(__xludf.DUMMYFUNCTION("""COMPUTED_VALUE"""),0.3)</f>
        <v>0.3</v>
      </c>
      <c r="M43" s="80">
        <f>IFERROR(__xludf.DUMMYFUNCTION("""COMPUTED_VALUE"""),1.85)</f>
        <v>1.85</v>
      </c>
      <c r="N43" s="80">
        <f>IFERROR(__xludf.DUMMYFUNCTION("""COMPUTED_VALUE"""),2.6)</f>
        <v>2.6</v>
      </c>
      <c r="O43" s="80">
        <f>IFERROR(__xludf.DUMMYFUNCTION("""COMPUTED_VALUE"""),404.55)</f>
        <v>404.55</v>
      </c>
      <c r="P43" s="80">
        <f>IFERROR(__xludf.DUMMYFUNCTION("""COMPUTED_VALUE"""),0.8333333333333333)</f>
        <v>0.8333333333</v>
      </c>
      <c r="Q43" s="80">
        <f>IFERROR(__xludf.DUMMYFUNCTION("""COMPUTED_VALUE"""),0.6333333333333334)</f>
        <v>0.6333333333</v>
      </c>
      <c r="R43" s="80">
        <f>IFERROR(__xludf.DUMMYFUNCTION("""COMPUTED_VALUE"""),1.7499999999999996)</f>
        <v>1.75</v>
      </c>
      <c r="S43" s="80">
        <f>IFERROR(__xludf.DUMMYFUNCTION("""COMPUTED_VALUE"""),2.8833333333333337)</f>
        <v>2.883333333</v>
      </c>
      <c r="T43" s="80">
        <f>IFERROR(__xludf.DUMMYFUNCTION("""COMPUTED_VALUE"""),369.33332698675576)</f>
        <v>369.333327</v>
      </c>
      <c r="U43" s="80">
        <f>IFERROR(__xludf.DUMMYFUNCTION("""COMPUTED_VALUE"""),0.7966923928126239)</f>
        <v>0.7966923928</v>
      </c>
      <c r="V43" s="80">
        <f>IFERROR(__xludf.DUMMYFUNCTION("""COMPUTED_VALUE"""),0.6244808599570117)</f>
        <v>0.62448086</v>
      </c>
      <c r="W43" s="80">
        <f>IFERROR(__xludf.DUMMYFUNCTION("""COMPUTED_VALUE"""),1.487475082216751)</f>
        <v>1.487475082</v>
      </c>
      <c r="X43" s="80">
        <f>IFERROR(__xludf.DUMMYFUNCTION("""COMPUTED_VALUE"""),2.697475138470782)</f>
        <v>2.697475138</v>
      </c>
      <c r="Y43" s="80">
        <f>IFERROR(__xludf.DUMMYFUNCTION("""COMPUTED_VALUE"""),387.03997293795857)</f>
        <v>387.0399729</v>
      </c>
      <c r="Z43" s="80">
        <f>IFERROR(__xludf.DUMMYFUNCTION("""COMPUTED_VALUE"""),0.8965420467428207)</f>
        <v>0.8965420467</v>
      </c>
      <c r="AA43" s="80">
        <f>IFERROR(__xludf.DUMMYFUNCTION("""COMPUTED_VALUE"""),0.700104123678019)</f>
        <v>0.7001041237</v>
      </c>
      <c r="AB43" s="80">
        <f>IFERROR(__xludf.DUMMYFUNCTION("""COMPUTED_VALUE"""),1.4471329750747899)</f>
        <v>1.447132975</v>
      </c>
      <c r="AC43" s="80">
        <f>IFERROR(__xludf.DUMMYFUNCTION("""COMPUTED_VALUE"""),2.8258606070705965)</f>
        <v>2.825860607</v>
      </c>
      <c r="AD43" s="80">
        <f>IFERROR(__xludf.DUMMYFUNCTION("""COMPUTED_VALUE"""),0.9735428543459516)</f>
        <v>0.9735428543</v>
      </c>
      <c r="AE43" s="80">
        <f>IFERROR(__xludf.DUMMYFUNCTION("""COMPUTED_VALUE"""),0.8365474912468246)</f>
        <v>0.8365474912</v>
      </c>
      <c r="AF43" s="80">
        <f>IFERROR(__xludf.DUMMYFUNCTION("""COMPUTED_VALUE"""),0.4285076888619661)</f>
        <v>0.4285076889</v>
      </c>
      <c r="AG43" s="80">
        <f>IFERROR(__xludf.DUMMYFUNCTION("""COMPUTED_VALUE"""),1.278389776104984)</f>
        <v>1.278389776</v>
      </c>
      <c r="AH43" s="80">
        <f>IFERROR(__xludf.DUMMYFUNCTION("""COMPUTED_VALUE"""),0.9200736913542481)</f>
        <v>0.9200736914</v>
      </c>
      <c r="AI43" s="80">
        <f>IFERROR(__xludf.DUMMYFUNCTION("""COMPUTED_VALUE"""),1.095352004381958)</f>
        <v>1.095352004</v>
      </c>
      <c r="AJ43" s="80">
        <f>IFERROR(__xludf.DUMMYFUNCTION("""COMPUTED_VALUE"""),1.0459913272064179)</f>
        <v>1.045991327</v>
      </c>
      <c r="AK43" s="80">
        <f>IFERROR(__xludf.DUMMYFUNCTION("""COMPUTED_VALUE"""),1.014175732106395)</f>
        <v>1.014175732</v>
      </c>
      <c r="AL43" s="80">
        <f>IFERROR(__xludf.DUMMYFUNCTION("""COMPUTED_VALUE"""),1.176490296154752)</f>
        <v>1.176490296</v>
      </c>
      <c r="AM43" s="80">
        <f>IFERROR(__xludf.DUMMYFUNCTION("""COMPUTED_VALUE"""),1.0689007999413542)</f>
        <v>1.0689008</v>
      </c>
      <c r="AN43" s="80">
        <f>IFERROR(__xludf.DUMMYFUNCTION("""COMPUTED_VALUE"""),1.0230426335901095)</f>
        <v>1.023042634</v>
      </c>
      <c r="AO43" s="80">
        <f>IFERROR(__xludf.DUMMYFUNCTION("""COMPUTED_VALUE"""),0.9361544807259672)</f>
        <v>0.9361544807</v>
      </c>
      <c r="AP43" s="80">
        <f>IFERROR(__xludf.DUMMYFUNCTION("""COMPUTED_VALUE"""),0.49333378696925634)</f>
        <v>0.493333787</v>
      </c>
      <c r="AQ43" s="80">
        <f>IFERROR(__xludf.DUMMYFUNCTION("""COMPUTED_VALUE"""),1.2521575291209048)</f>
        <v>1.252157529</v>
      </c>
      <c r="AR43" s="80">
        <f>IFERROR(__xludf.DUMMYFUNCTION("""COMPUTED_VALUE"""),0.9795047428372652)</f>
        <v>0.9795047428</v>
      </c>
      <c r="AS43" s="80">
        <f>IFERROR(__xludf.DUMMYFUNCTION("""COMPUTED_VALUE"""),44.0)</f>
        <v>44</v>
      </c>
      <c r="AT43" s="80">
        <f>IFERROR(__xludf.DUMMYFUNCTION("""COMPUTED_VALUE"""),0.4503359725912821)</f>
        <v>0.4503359726</v>
      </c>
      <c r="AU43" s="80">
        <f>IFERROR(__xludf.DUMMYFUNCTION("""COMPUTED_VALUE"""),1.802209501266307)</f>
        <v>1.802209501</v>
      </c>
      <c r="AV43" s="80">
        <f>IFERROR(__xludf.DUMMYFUNCTION("""COMPUTED_VALUE"""),29.98069226577962)</f>
        <v>29.98069227</v>
      </c>
      <c r="AW43" s="82">
        <f t="shared" si="1"/>
        <v>-4.725189227</v>
      </c>
      <c r="AX43" s="83">
        <f t="array" ref="AX43">IFERROR(DGET('SBV Import'!A:G,"SBV",{"RSC ID","Tier";B43,A43}))</f>
        <v>32.52383403</v>
      </c>
      <c r="AY43" s="82">
        <f t="shared" si="2"/>
        <v>-4.127772008</v>
      </c>
      <c r="AZ43" s="82">
        <v>0.5974172193715948</v>
      </c>
      <c r="BA43" s="84">
        <v>2.0</v>
      </c>
      <c r="BB43" s="84" t="b">
        <f>IFERROR(__xludf.DUMMYFUNCTION("iferror(if(A43="""",,E43&gt;=FILTER(Constants!$F$2:$F$10,Constants!$A$2:$A$10=A43)))"),TRUE)</f>
        <v>1</v>
      </c>
    </row>
    <row r="44">
      <c r="A44" s="80" t="str">
        <f>IFERROR(__xludf.DUMMYFUNCTION("""COMPUTED_VALUE"""),"Premier")</f>
        <v>Premier</v>
      </c>
      <c r="B44" s="79" t="str">
        <f>IFERROR(__xludf.DUMMYFUNCTION("""COMPUTED_VALUE"""),"RSC005481")</f>
        <v>RSC005481</v>
      </c>
      <c r="C44" s="80" t="str">
        <f>IFERROR(__xludf.DUMMYFUNCTION("""COMPUTED_VALUE"""),"Leonis")</f>
        <v>Leonis</v>
      </c>
      <c r="D44" s="80" t="str">
        <f>IFERROR(__xludf.DUMMYFUNCTION("""COMPUTED_VALUE"""),"Feta Forgers")</f>
        <v>Feta Forgers</v>
      </c>
      <c r="E44" s="80">
        <f>IFERROR(__xludf.DUMMYFUNCTION("""COMPUTED_VALUE"""),34.0)</f>
        <v>34</v>
      </c>
      <c r="F44" s="80">
        <f>IFERROR(__xludf.DUMMYFUNCTION("""COMPUTED_VALUE"""),7.0)</f>
        <v>7</v>
      </c>
      <c r="G44" s="80">
        <f>IFERROR(__xludf.DUMMYFUNCTION("""COMPUTED_VALUE"""),27.0)</f>
        <v>27</v>
      </c>
      <c r="H44" s="81">
        <f>IFERROR(__xludf.DUMMYFUNCTION("""COMPUTED_VALUE"""),0.20588235294117646)</f>
        <v>0.2058823529</v>
      </c>
      <c r="I44" s="81">
        <f>IFERROR(__xludf.DUMMYFUNCTION("""COMPUTED_VALUE"""),0.2121212121212121)</f>
        <v>0.2121212121</v>
      </c>
      <c r="J44" s="80">
        <f>IFERROR(__xludf.DUMMYFUNCTION("""COMPUTED_VALUE"""),356.3529411764706)</f>
        <v>356.3529412</v>
      </c>
      <c r="K44" s="80">
        <f>IFERROR(__xludf.DUMMYFUNCTION("""COMPUTED_VALUE"""),0.4117647058823529)</f>
        <v>0.4117647059</v>
      </c>
      <c r="L44" s="80">
        <f>IFERROR(__xludf.DUMMYFUNCTION("""COMPUTED_VALUE"""),0.7352941176470589)</f>
        <v>0.7352941176</v>
      </c>
      <c r="M44" s="80">
        <f>IFERROR(__xludf.DUMMYFUNCTION("""COMPUTED_VALUE"""),1.911764705882353)</f>
        <v>1.911764706</v>
      </c>
      <c r="N44" s="80">
        <f>IFERROR(__xludf.DUMMYFUNCTION("""COMPUTED_VALUE"""),1.9411764705882353)</f>
        <v>1.941176471</v>
      </c>
      <c r="O44" s="80">
        <f>IFERROR(__xludf.DUMMYFUNCTION("""COMPUTED_VALUE"""),412.34313725490205)</f>
        <v>412.3431373</v>
      </c>
      <c r="P44" s="80">
        <f>IFERROR(__xludf.DUMMYFUNCTION("""COMPUTED_VALUE"""),1.1176470588235292)</f>
        <v>1.117647059</v>
      </c>
      <c r="Q44" s="80">
        <f>IFERROR(__xludf.DUMMYFUNCTION("""COMPUTED_VALUE"""),0.8921568627450979)</f>
        <v>0.8921568627</v>
      </c>
      <c r="R44" s="80">
        <f>IFERROR(__xludf.DUMMYFUNCTION("""COMPUTED_VALUE"""),1.1666666666666665)</f>
        <v>1.166666667</v>
      </c>
      <c r="S44" s="80">
        <f>IFERROR(__xludf.DUMMYFUNCTION("""COMPUTED_VALUE"""),3.3039215686274503)</f>
        <v>3.303921569</v>
      </c>
      <c r="T44" s="80">
        <f>IFERROR(__xludf.DUMMYFUNCTION("""COMPUTED_VALUE"""),381.7754196039991)</f>
        <v>381.7754196</v>
      </c>
      <c r="U44" s="80">
        <f>IFERROR(__xludf.DUMMYFUNCTION("""COMPUTED_VALUE"""),0.8807221648846179)</f>
        <v>0.8807221649</v>
      </c>
      <c r="V44" s="80">
        <f>IFERROR(__xludf.DUMMYFUNCTION("""COMPUTED_VALUE"""),0.6864819744873081)</f>
        <v>0.6864819745</v>
      </c>
      <c r="W44" s="80">
        <f>IFERROR(__xludf.DUMMYFUNCTION("""COMPUTED_VALUE"""),1.437348518760143)</f>
        <v>1.437348519</v>
      </c>
      <c r="X44" s="80">
        <f>IFERROR(__xludf.DUMMYFUNCTION("""COMPUTED_VALUE"""),2.8796176269277534)</f>
        <v>2.879617627</v>
      </c>
      <c r="Y44" s="80">
        <f>IFERROR(__xludf.DUMMYFUNCTION("""COMPUTED_VALUE"""),372.09332783210294)</f>
        <v>372.0933278</v>
      </c>
      <c r="Z44" s="80">
        <f>IFERROR(__xludf.DUMMYFUNCTION("""COMPUTED_VALUE"""),0.8004135578519527)</f>
        <v>0.8004135579</v>
      </c>
      <c r="AA44" s="80">
        <f>IFERROR(__xludf.DUMMYFUNCTION("""COMPUTED_VALUE"""),0.6145732179300842)</f>
        <v>0.6145732179</v>
      </c>
      <c r="AB44" s="80">
        <f>IFERROR(__xludf.DUMMYFUNCTION("""COMPUTED_VALUE"""),1.5168544246190194)</f>
        <v>1.516854425</v>
      </c>
      <c r="AC44" s="80">
        <f>IFERROR(__xludf.DUMMYFUNCTION("""COMPUTED_VALUE"""),2.6804815494965992)</f>
        <v>2.680481549</v>
      </c>
      <c r="AD44" s="80">
        <f>IFERROR(__xludf.DUMMYFUNCTION("""COMPUTED_VALUE"""),0.9576977454894468)</f>
        <v>0.9576977455</v>
      </c>
      <c r="AE44" s="80">
        <f>IFERROR(__xludf.DUMMYFUNCTION("""COMPUTED_VALUE"""),0.5144399440051893)</f>
        <v>0.514439944</v>
      </c>
      <c r="AF44" s="80">
        <f>IFERROR(__xludf.DUMMYFUNCTION("""COMPUTED_VALUE"""),1.1964304596994466)</f>
        <v>1.19643046</v>
      </c>
      <c r="AG44" s="80">
        <f>IFERROR(__xludf.DUMMYFUNCTION("""COMPUTED_VALUE"""),1.2603481750481897)</f>
        <v>1.260348175</v>
      </c>
      <c r="AH44" s="80">
        <f>IFERROR(__xludf.DUMMYFUNCTION("""COMPUTED_VALUE"""),0.7241894542989087)</f>
        <v>0.7241894543</v>
      </c>
      <c r="AI44" s="80">
        <f>IFERROR(__xludf.DUMMYFUNCTION("""COMPUTED_VALUE"""),1.0800672753699272)</f>
        <v>1.080067275</v>
      </c>
      <c r="AJ44" s="80">
        <f>IFERROR(__xludf.DUMMYFUNCTION("""COMPUTED_VALUE"""),1.2690120714402033)</f>
        <v>1.269012071</v>
      </c>
      <c r="AK44" s="80">
        <f>IFERROR(__xludf.DUMMYFUNCTION("""COMPUTED_VALUE"""),1.29960712138348)</f>
        <v>1.299607121</v>
      </c>
      <c r="AL44" s="80">
        <f>IFERROR(__xludf.DUMMYFUNCTION("""COMPUTED_VALUE"""),0.811679736291817)</f>
        <v>0.8116797363</v>
      </c>
      <c r="AM44" s="80">
        <f>IFERROR(__xludf.DUMMYFUNCTION("""COMPUTED_VALUE"""),1.147347320606724)</f>
        <v>1.147347321</v>
      </c>
      <c r="AN44" s="80">
        <f>IFERROR(__xludf.DUMMYFUNCTION("""COMPUTED_VALUE"""),0.967527206551905)</f>
        <v>0.9675272066</v>
      </c>
      <c r="AO44" s="80">
        <f>IFERROR(__xludf.DUMMYFUNCTION("""COMPUTED_VALUE"""),0.5139671658887662)</f>
        <v>0.5139671659</v>
      </c>
      <c r="AP44" s="80">
        <f>IFERROR(__xludf.DUMMYFUNCTION("""COMPUTED_VALUE"""),1.2091514386501383)</f>
        <v>1.209151439</v>
      </c>
      <c r="AQ44" s="80">
        <f>IFERROR(__xludf.DUMMYFUNCTION("""COMPUTED_VALUE"""),1.293962470474703)</f>
        <v>1.29396247</v>
      </c>
      <c r="AR44" s="80">
        <f>IFERROR(__xludf.DUMMYFUNCTION("""COMPUTED_VALUE"""),0.7313044460097229)</f>
        <v>0.731304446</v>
      </c>
      <c r="AS44" s="80">
        <f>IFERROR(__xludf.DUMMYFUNCTION("""COMPUTED_VALUE"""),60.0)</f>
        <v>60</v>
      </c>
      <c r="AT44" s="80">
        <f>IFERROR(__xludf.DUMMYFUNCTION("""COMPUTED_VALUE"""),0.26395575733904725)</f>
        <v>0.2639557573</v>
      </c>
      <c r="AU44" s="80">
        <f>IFERROR(__xludf.DUMMYFUNCTION("""COMPUTED_VALUE"""),1.7820563843779114)</f>
        <v>1.782056384</v>
      </c>
      <c r="AV44" s="80">
        <f>IFERROR(__xludf.DUMMYFUNCTION("""COMPUTED_VALUE"""),29.41404337807154)</f>
        <v>29.41404338</v>
      </c>
      <c r="AW44" s="82">
        <f t="shared" si="1"/>
        <v>-4.874971478</v>
      </c>
      <c r="AX44" s="83">
        <f t="array" ref="AX44">IFERROR(DGET('SBV Import'!A:G,"SBV",{"RSC ID","Tier";B44,A44}))</f>
        <v>34.60241334</v>
      </c>
      <c r="AY44" s="82">
        <f t="shared" si="2"/>
        <v>-3.717760738</v>
      </c>
      <c r="AZ44" s="82">
        <v>1.157210740065986</v>
      </c>
      <c r="BA44" s="84">
        <v>2.0</v>
      </c>
      <c r="BB44" s="84" t="b">
        <f>IFERROR(__xludf.DUMMYFUNCTION("iferror(if(A44="""",,E44&gt;=FILTER(Constants!$F$2:$F$10,Constants!$A$2:$A$10=A44)))"),TRUE)</f>
        <v>1</v>
      </c>
    </row>
    <row r="45">
      <c r="A45" s="80" t="str">
        <f>IFERROR(__xludf.DUMMYFUNCTION("""COMPUTED_VALUE"""),"Premier")</f>
        <v>Premier</v>
      </c>
      <c r="B45" s="79" t="str">
        <f>IFERROR(__xludf.DUMMYFUNCTION("""COMPUTED_VALUE"""),"RSC002542")</f>
        <v>RSC002542</v>
      </c>
      <c r="C45" s="80" t="str">
        <f>IFERROR(__xludf.DUMMYFUNCTION("""COMPUTED_VALUE"""),"wicked.")</f>
        <v>wicked.</v>
      </c>
      <c r="D45" s="80" t="str">
        <f>IFERROR(__xludf.DUMMYFUNCTION("""COMPUTED_VALUE"""),"Fairies")</f>
        <v>Fairies</v>
      </c>
      <c r="E45" s="80">
        <f>IFERROR(__xludf.DUMMYFUNCTION("""COMPUTED_VALUE"""),11.0)</f>
        <v>11</v>
      </c>
      <c r="F45" s="80">
        <f>IFERROR(__xludf.DUMMYFUNCTION("""COMPUTED_VALUE"""),2.0)</f>
        <v>2</v>
      </c>
      <c r="G45" s="80">
        <f>IFERROR(__xludf.DUMMYFUNCTION("""COMPUTED_VALUE"""),9.0)</f>
        <v>9</v>
      </c>
      <c r="H45" s="81">
        <f>IFERROR(__xludf.DUMMYFUNCTION("""COMPUTED_VALUE"""),0.18181818181818182)</f>
        <v>0.1818181818</v>
      </c>
      <c r="I45" s="81">
        <f>IFERROR(__xludf.DUMMYFUNCTION("""COMPUTED_VALUE"""),0.32)</f>
        <v>0.32</v>
      </c>
      <c r="J45" s="80">
        <f>IFERROR(__xludf.DUMMYFUNCTION("""COMPUTED_VALUE"""),333.1818181818182)</f>
        <v>333.1818182</v>
      </c>
      <c r="K45" s="80">
        <f>IFERROR(__xludf.DUMMYFUNCTION("""COMPUTED_VALUE"""),0.7272727272727273)</f>
        <v>0.7272727273</v>
      </c>
      <c r="L45" s="80">
        <f>IFERROR(__xludf.DUMMYFUNCTION("""COMPUTED_VALUE"""),0.36363636363636365)</f>
        <v>0.3636363636</v>
      </c>
      <c r="M45" s="80">
        <f>IFERROR(__xludf.DUMMYFUNCTION("""COMPUTED_VALUE"""),1.5454545454545454)</f>
        <v>1.545454545</v>
      </c>
      <c r="N45" s="80">
        <f>IFERROR(__xludf.DUMMYFUNCTION("""COMPUTED_VALUE"""),2.272727272727273)</f>
        <v>2.272727273</v>
      </c>
      <c r="O45" s="80">
        <f>IFERROR(__xludf.DUMMYFUNCTION("""COMPUTED_VALUE"""),383.66666666666663)</f>
        <v>383.6666667</v>
      </c>
      <c r="P45" s="80">
        <f>IFERROR(__xludf.DUMMYFUNCTION("""COMPUTED_VALUE"""),0.9090909090909091)</f>
        <v>0.9090909091</v>
      </c>
      <c r="Q45" s="80">
        <f>IFERROR(__xludf.DUMMYFUNCTION("""COMPUTED_VALUE"""),0.8484848484848484)</f>
        <v>0.8484848485</v>
      </c>
      <c r="R45" s="80">
        <f>IFERROR(__xludf.DUMMYFUNCTION("""COMPUTED_VALUE"""),1.3333333333333335)</f>
        <v>1.333333333</v>
      </c>
      <c r="S45" s="80">
        <f>IFERROR(__xludf.DUMMYFUNCTION("""COMPUTED_VALUE"""),3.0)</f>
        <v>3</v>
      </c>
      <c r="T45" s="80">
        <f>IFERROR(__xludf.DUMMYFUNCTION("""COMPUTED_VALUE"""),393.2776700130055)</f>
        <v>393.27767</v>
      </c>
      <c r="U45" s="80">
        <f>IFERROR(__xludf.DUMMYFUNCTION("""COMPUTED_VALUE"""),0.8659722472983712)</f>
        <v>0.8659722473</v>
      </c>
      <c r="V45" s="80">
        <f>IFERROR(__xludf.DUMMYFUNCTION("""COMPUTED_VALUE"""),0.6902983692461068)</f>
        <v>0.6902983692</v>
      </c>
      <c r="W45" s="80">
        <f>IFERROR(__xludf.DUMMYFUNCTION("""COMPUTED_VALUE"""),1.5789642123144005)</f>
        <v>1.578964212</v>
      </c>
      <c r="X45" s="80">
        <f>IFERROR(__xludf.DUMMYFUNCTION("""COMPUTED_VALUE"""),2.6646057281984055)</f>
        <v>2.664605728</v>
      </c>
      <c r="Y45" s="80">
        <f>IFERROR(__xludf.DUMMYFUNCTION("""COMPUTED_VALUE"""),357.1851741187181)</f>
        <v>357.1851741</v>
      </c>
      <c r="Z45" s="80">
        <f>IFERROR(__xludf.DUMMYFUNCTION("""COMPUTED_VALUE"""),0.7820679878989221)</f>
        <v>0.7820679879</v>
      </c>
      <c r="AA45" s="80">
        <f>IFERROR(__xludf.DUMMYFUNCTION("""COMPUTED_VALUE"""),0.606567717218538)</f>
        <v>0.6065677172</v>
      </c>
      <c r="AB45" s="80">
        <f>IFERROR(__xludf.DUMMYFUNCTION("""COMPUTED_VALUE"""),1.3470501885377255)</f>
        <v>1.347050189</v>
      </c>
      <c r="AC45" s="80">
        <f>IFERROR(__xludf.DUMMYFUNCTION("""COMPUTED_VALUE"""),2.856153903004498)</f>
        <v>2.856153903</v>
      </c>
      <c r="AD45" s="80">
        <f>IFERROR(__xludf.DUMMYFUNCTION("""COMPUTED_VALUE"""),0.9327985659087801)</f>
        <v>0.9327985659</v>
      </c>
      <c r="AE45" s="80">
        <f>IFERROR(__xludf.DUMMYFUNCTION("""COMPUTED_VALUE"""),0.9299354257250627)</f>
        <v>0.9299354257</v>
      </c>
      <c r="AF45" s="80">
        <f>IFERROR(__xludf.DUMMYFUNCTION("""COMPUTED_VALUE"""),0.5994983796761318)</f>
        <v>0.5994983797</v>
      </c>
      <c r="AG45" s="80">
        <f>IFERROR(__xludf.DUMMYFUNCTION("""COMPUTED_VALUE"""),1.1472880213410575)</f>
        <v>1.147288021</v>
      </c>
      <c r="AH45" s="80">
        <f>IFERROR(__xludf.DUMMYFUNCTION("""COMPUTED_VALUE"""),0.7957299746125389)</f>
        <v>0.7957299746</v>
      </c>
      <c r="AI45" s="80">
        <f>IFERROR(__xludf.DUMMYFUNCTION("""COMPUTED_VALUE"""),0.9755617873091522)</f>
        <v>0.9755617873</v>
      </c>
      <c r="AJ45" s="80">
        <f>IFERROR(__xludf.DUMMYFUNCTION("""COMPUTED_VALUE"""),1.049792198222354)</f>
        <v>1.049792198</v>
      </c>
      <c r="AK45" s="80">
        <f>IFERROR(__xludf.DUMMYFUNCTION("""COMPUTED_VALUE"""),1.2291566752671041)</f>
        <v>1.229156675</v>
      </c>
      <c r="AL45" s="80">
        <f>IFERROR(__xludf.DUMMYFUNCTION("""COMPUTED_VALUE"""),0.8444354361768414)</f>
        <v>0.8444354362</v>
      </c>
      <c r="AM45" s="80">
        <f>IFERROR(__xludf.DUMMYFUNCTION("""COMPUTED_VALUE"""),1.1258701308986383)</f>
        <v>1.125870131</v>
      </c>
      <c r="AN45" s="80">
        <f>IFERROR(__xludf.DUMMYFUNCTION("""COMPUTED_VALUE"""),0.9046157238244912)</f>
        <v>0.9046157238</v>
      </c>
      <c r="AO45" s="80">
        <f>IFERROR(__xludf.DUMMYFUNCTION("""COMPUTED_VALUE"""),0.9077861631282106)</f>
        <v>0.9077861631</v>
      </c>
      <c r="AP45" s="80">
        <f>IFERROR(__xludf.DUMMYFUNCTION("""COMPUTED_VALUE"""),0.5979803478415229)</f>
        <v>0.5979803478</v>
      </c>
      <c r="AQ45" s="80">
        <f>IFERROR(__xludf.DUMMYFUNCTION("""COMPUTED_VALUE"""),1.046028402705424)</f>
        <v>1.046028403</v>
      </c>
      <c r="AR45" s="80">
        <f>IFERROR(__xludf.DUMMYFUNCTION("""COMPUTED_VALUE"""),0.8562104395430641)</f>
        <v>0.8562104395</v>
      </c>
      <c r="AS45" s="80">
        <f>IFERROR(__xludf.DUMMYFUNCTION("""COMPUTED_VALUE"""),18.0)</f>
        <v>18</v>
      </c>
      <c r="AT45" s="80">
        <f>IFERROR(__xludf.DUMMYFUNCTION("""COMPUTED_VALUE"""),0.3143916380650231)</f>
        <v>0.3143916381</v>
      </c>
      <c r="AU45" s="80">
        <f>IFERROR(__xludf.DUMMYFUNCTION("""COMPUTED_VALUE"""),1.6951239072796427)</f>
        <v>1.695123907</v>
      </c>
      <c r="AV45" s="80">
        <f>IFERROR(__xludf.DUMMYFUNCTION("""COMPUTED_VALUE"""),26.969746958503475)</f>
        <v>26.96974696</v>
      </c>
      <c r="AW45" s="82">
        <f t="shared" si="1"/>
        <v>-5.603171072</v>
      </c>
      <c r="AX45" s="83">
        <f t="array" ref="AX45">IFERROR(DGET('SBV Import'!A:G,"SBV",{"RSC ID","Tier";B45,A45}))</f>
        <v>29.10385018</v>
      </c>
      <c r="AY45" s="82">
        <f t="shared" si="2"/>
        <v>-4.959806369</v>
      </c>
      <c r="AZ45" s="82">
        <v>0.643364703708948</v>
      </c>
      <c r="BA45" s="84">
        <v>2.0</v>
      </c>
      <c r="BB45" s="84" t="b">
        <f>IFERROR(__xludf.DUMMYFUNCTION("iferror(if(A45="""",,E45&gt;=FILTER(Constants!$F$2:$F$10,Constants!$A$2:$A$10=A45)))"),TRUE)</f>
        <v>1</v>
      </c>
    </row>
    <row r="46">
      <c r="A46" s="80" t="str">
        <f>IFERROR(__xludf.DUMMYFUNCTION("""COMPUTED_VALUE"""),"Premier")</f>
        <v>Premier</v>
      </c>
      <c r="B46" s="80" t="str">
        <f>IFERROR(__xludf.DUMMYFUNCTION("""COMPUTED_VALUE"""),"RSC007471")</f>
        <v>RSC007471</v>
      </c>
      <c r="C46" s="80" t="str">
        <f>IFERROR(__xludf.DUMMYFUNCTION("""COMPUTED_VALUE"""),"ha ha boo.")</f>
        <v>ha ha boo.</v>
      </c>
      <c r="D46" s="80" t="str">
        <f>IFERROR(__xludf.DUMMYFUNCTION("""COMPUTED_VALUE"""),"Feta Forgers")</f>
        <v>Feta Forgers</v>
      </c>
      <c r="E46" s="80">
        <f>IFERROR(__xludf.DUMMYFUNCTION("""COMPUTED_VALUE"""),24.0)</f>
        <v>24</v>
      </c>
      <c r="F46" s="80">
        <f>IFERROR(__xludf.DUMMYFUNCTION("""COMPUTED_VALUE"""),5.0)</f>
        <v>5</v>
      </c>
      <c r="G46" s="80">
        <f>IFERROR(__xludf.DUMMYFUNCTION("""COMPUTED_VALUE"""),19.0)</f>
        <v>19</v>
      </c>
      <c r="H46" s="81">
        <f>IFERROR(__xludf.DUMMYFUNCTION("""COMPUTED_VALUE"""),0.20833333333333334)</f>
        <v>0.2083333333</v>
      </c>
      <c r="I46" s="81">
        <f>IFERROR(__xludf.DUMMYFUNCTION("""COMPUTED_VALUE"""),0.27272727272727276)</f>
        <v>0.2727272727</v>
      </c>
      <c r="J46" s="80">
        <f>IFERROR(__xludf.DUMMYFUNCTION("""COMPUTED_VALUE"""),339.9166666666667)</f>
        <v>339.9166667</v>
      </c>
      <c r="K46" s="80">
        <f>IFERROR(__xludf.DUMMYFUNCTION("""COMPUTED_VALUE"""),0.625)</f>
        <v>0.625</v>
      </c>
      <c r="L46" s="80">
        <f>IFERROR(__xludf.DUMMYFUNCTION("""COMPUTED_VALUE"""),0.4583333333333333)</f>
        <v>0.4583333333</v>
      </c>
      <c r="M46" s="80">
        <f>IFERROR(__xludf.DUMMYFUNCTION("""COMPUTED_VALUE"""),1.6666666666666667)</f>
        <v>1.666666667</v>
      </c>
      <c r="N46" s="80">
        <f>IFERROR(__xludf.DUMMYFUNCTION("""COMPUTED_VALUE"""),2.2916666666666665)</f>
        <v>2.291666667</v>
      </c>
      <c r="O46" s="80">
        <f>IFERROR(__xludf.DUMMYFUNCTION("""COMPUTED_VALUE"""),400.40277777777777)</f>
        <v>400.4027778</v>
      </c>
      <c r="P46" s="80">
        <f>IFERROR(__xludf.DUMMYFUNCTION("""COMPUTED_VALUE"""),1.0138888888888893)</f>
        <v>1.013888889</v>
      </c>
      <c r="Q46" s="80">
        <f>IFERROR(__xludf.DUMMYFUNCTION("""COMPUTED_VALUE"""),0.7777777777777778)</f>
        <v>0.7777777778</v>
      </c>
      <c r="R46" s="80">
        <f>IFERROR(__xludf.DUMMYFUNCTION("""COMPUTED_VALUE"""),1.2222222222222223)</f>
        <v>1.222222222</v>
      </c>
      <c r="S46" s="80">
        <f>IFERROR(__xludf.DUMMYFUNCTION("""COMPUTED_VALUE"""),3.2916666666666674)</f>
        <v>3.291666667</v>
      </c>
      <c r="T46" s="80">
        <f>IFERROR(__xludf.DUMMYFUNCTION("""COMPUTED_VALUE"""),378.67903813129055)</f>
        <v>378.6790381</v>
      </c>
      <c r="U46" s="80">
        <f>IFERROR(__xludf.DUMMYFUNCTION("""COMPUTED_VALUE"""),0.8634823469281745)</f>
        <v>0.8634823469</v>
      </c>
      <c r="V46" s="80">
        <f>IFERROR(__xludf.DUMMYFUNCTION("""COMPUTED_VALUE"""),0.630068781213592)</f>
        <v>0.6300687812</v>
      </c>
      <c r="W46" s="80">
        <f>IFERROR(__xludf.DUMMYFUNCTION("""COMPUTED_VALUE"""),1.4554936571013013)</f>
        <v>1.455493657</v>
      </c>
      <c r="X46" s="80">
        <f>IFERROR(__xludf.DUMMYFUNCTION("""COMPUTED_VALUE"""),2.8554309160810454)</f>
        <v>2.855430916</v>
      </c>
      <c r="Y46" s="80">
        <f>IFERROR(__xludf.DUMMYFUNCTION("""COMPUTED_VALUE"""),375.6902927218582)</f>
        <v>375.6902927</v>
      </c>
      <c r="Z46" s="80">
        <f>IFERROR(__xludf.DUMMYFUNCTION("""COMPUTED_VALUE"""),0.8153816684847538)</f>
        <v>0.8153816685</v>
      </c>
      <c r="AA46" s="80">
        <f>IFERROR(__xludf.DUMMYFUNCTION("""COMPUTED_VALUE"""),0.6345411973032941)</f>
        <v>0.6345411973</v>
      </c>
      <c r="AB46" s="80">
        <f>IFERROR(__xludf.DUMMYFUNCTION("""COMPUTED_VALUE"""),1.503858600315959)</f>
        <v>1.5038586</v>
      </c>
      <c r="AC46" s="80">
        <f>IFERROR(__xludf.DUMMYFUNCTION("""COMPUTED_VALUE"""),2.7327181947052033)</f>
        <v>2.732718195</v>
      </c>
      <c r="AD46" s="80">
        <f>IFERROR(__xludf.DUMMYFUNCTION("""COMPUTED_VALUE"""),0.9047789449229222)</f>
        <v>0.9047789449</v>
      </c>
      <c r="AE46" s="80">
        <f>IFERROR(__xludf.DUMMYFUNCTION("""COMPUTED_VALUE"""),0.7665122042312463)</f>
        <v>0.7665122042</v>
      </c>
      <c r="AF46" s="80">
        <f>IFERROR(__xludf.DUMMYFUNCTION("""COMPUTED_VALUE"""),0.7223066607513933)</f>
        <v>0.7223066608</v>
      </c>
      <c r="AG46" s="80">
        <f>IFERROR(__xludf.DUMMYFUNCTION("""COMPUTED_VALUE"""),1.10826022228187)</f>
        <v>1.108260222</v>
      </c>
      <c r="AH46" s="80">
        <f>IFERROR(__xludf.DUMMYFUNCTION("""COMPUTED_VALUE"""),0.8386033624348463)</f>
        <v>0.8386033624</v>
      </c>
      <c r="AI46" s="80">
        <f>IFERROR(__xludf.DUMMYFUNCTION("""COMPUTED_VALUE"""),1.0573671565072358)</f>
        <v>1.057367157</v>
      </c>
      <c r="AJ46" s="80">
        <f>IFERROR(__xludf.DUMMYFUNCTION("""COMPUTED_VALUE"""),1.1741860068081111)</f>
        <v>1.174186007</v>
      </c>
      <c r="AK46" s="80">
        <f>IFERROR(__xludf.DUMMYFUNCTION("""COMPUTED_VALUE"""),1.234433130109509)</f>
        <v>1.23443313</v>
      </c>
      <c r="AL46" s="80">
        <f>IFERROR(__xludf.DUMMYFUNCTION("""COMPUTED_VALUE"""),0.8397303665729108)</f>
        <v>0.8397303666</v>
      </c>
      <c r="AM46" s="80">
        <f>IFERROR(__xludf.DUMMYFUNCTION("""COMPUTED_VALUE"""),1.1527740517653065)</f>
        <v>1.152774052</v>
      </c>
      <c r="AN46" s="80">
        <f>IFERROR(__xludf.DUMMYFUNCTION("""COMPUTED_VALUE"""),0.9229013849995701)</f>
        <v>0.922901385</v>
      </c>
      <c r="AO46" s="80">
        <f>IFERROR(__xludf.DUMMYFUNCTION("""COMPUTED_VALUE"""),0.780128733938306)</f>
        <v>0.7801287339</v>
      </c>
      <c r="AP46" s="80">
        <f>IFERROR(__xludf.DUMMYFUNCTION("""COMPUTED_VALUE"""),0.7537043967585861)</f>
        <v>0.7537043968</v>
      </c>
      <c r="AQ46" s="80">
        <f>IFERROR(__xludf.DUMMYFUNCTION("""COMPUTED_VALUE"""),1.1280698460548693)</f>
        <v>1.128069846</v>
      </c>
      <c r="AR46" s="80">
        <f>IFERROR(__xludf.DUMMYFUNCTION("""COMPUTED_VALUE"""),0.8633455265392561)</f>
        <v>0.8633455265</v>
      </c>
      <c r="AS46" s="80">
        <f>IFERROR(__xludf.DUMMYFUNCTION("""COMPUTED_VALUE"""),42.0)</f>
        <v>42</v>
      </c>
      <c r="AT46" s="80">
        <f>IFERROR(__xludf.DUMMYFUNCTION("""COMPUTED_VALUE"""),0.29594521249798944)</f>
        <v>0.2959452125</v>
      </c>
      <c r="AU46" s="80">
        <f>IFERROR(__xludf.DUMMYFUNCTION("""COMPUTED_VALUE"""),1.6618177081709258)</f>
        <v>1.661817708</v>
      </c>
      <c r="AV46" s="80">
        <f>IFERROR(__xludf.DUMMYFUNCTION("""COMPUTED_VALUE"""),26.033270443071483)</f>
        <v>26.03327044</v>
      </c>
      <c r="AW46" s="82">
        <f t="shared" si="1"/>
        <v>-5.921970431</v>
      </c>
      <c r="AX46" s="83">
        <f t="array" ref="AX46">IFERROR(DGET('SBV Import'!A:G,"SBV",{"RSC ID","Tier";B46,A46}))</f>
        <v>28.52327178</v>
      </c>
      <c r="AY46" s="82">
        <f t="shared" si="2"/>
        <v>-5.124232165</v>
      </c>
      <c r="AZ46" s="82">
        <v>0.7977382660750401</v>
      </c>
      <c r="BA46" s="84">
        <v>2.0</v>
      </c>
      <c r="BB46" s="84" t="b">
        <f>IFERROR(__xludf.DUMMYFUNCTION("iferror(if(A46="""",,E46&gt;=FILTER(Constants!$F$2:$F$10,Constants!$A$2:$A$10=A46)))"),TRUE)</f>
        <v>1</v>
      </c>
    </row>
    <row r="47">
      <c r="A47" s="80" t="str">
        <f>IFERROR(__xludf.DUMMYFUNCTION("""COMPUTED_VALUE"""),"Premier")</f>
        <v>Premier</v>
      </c>
      <c r="B47" s="80" t="str">
        <f>IFERROR(__xludf.DUMMYFUNCTION("""COMPUTED_VALUE"""),"RSC005187")</f>
        <v>RSC005187</v>
      </c>
      <c r="C47" s="80" t="str">
        <f>IFERROR(__xludf.DUMMYFUNCTION("""COMPUTED_VALUE"""),"Wallace")</f>
        <v>Wallace</v>
      </c>
      <c r="D47" s="80" t="str">
        <f>IFERROR(__xludf.DUMMYFUNCTION("""COMPUTED_VALUE"""),"Old Heads")</f>
        <v>Old Heads</v>
      </c>
      <c r="E47" s="80">
        <f>IFERROR(__xludf.DUMMYFUNCTION("""COMPUTED_VALUE"""),1.0)</f>
        <v>1</v>
      </c>
      <c r="F47" s="80">
        <f>IFERROR(__xludf.DUMMYFUNCTION("""COMPUTED_VALUE"""),0.0)</f>
        <v>0</v>
      </c>
      <c r="G47" s="80">
        <f>IFERROR(__xludf.DUMMYFUNCTION("""COMPUTED_VALUE"""),1.0)</f>
        <v>1</v>
      </c>
      <c r="H47" s="81">
        <f>IFERROR(__xludf.DUMMYFUNCTION("""COMPUTED_VALUE"""),0.0)</f>
        <v>0</v>
      </c>
      <c r="I47" s="81">
        <f>IFERROR(__xludf.DUMMYFUNCTION("""COMPUTED_VALUE"""),0.5)</f>
        <v>0.5</v>
      </c>
      <c r="J47" s="80">
        <f>IFERROR(__xludf.DUMMYFUNCTION("""COMPUTED_VALUE"""),432.0)</f>
        <v>432</v>
      </c>
      <c r="K47" s="80">
        <f>IFERROR(__xludf.DUMMYFUNCTION("""COMPUTED_VALUE"""),1.0)</f>
        <v>1</v>
      </c>
      <c r="L47" s="80">
        <f>IFERROR(__xludf.DUMMYFUNCTION("""COMPUTED_VALUE"""),0.0)</f>
        <v>0</v>
      </c>
      <c r="M47" s="80">
        <f>IFERROR(__xludf.DUMMYFUNCTION("""COMPUTED_VALUE"""),3.0)</f>
        <v>3</v>
      </c>
      <c r="N47" s="80">
        <f>IFERROR(__xludf.DUMMYFUNCTION("""COMPUTED_VALUE"""),2.0)</f>
        <v>2</v>
      </c>
      <c r="O47" s="80">
        <f>IFERROR(__xludf.DUMMYFUNCTION("""COMPUTED_VALUE"""),377.0)</f>
        <v>377</v>
      </c>
      <c r="P47" s="80">
        <f>IFERROR(__xludf.DUMMYFUNCTION("""COMPUTED_VALUE"""),1.0)</f>
        <v>1</v>
      </c>
      <c r="Q47" s="80">
        <f>IFERROR(__xludf.DUMMYFUNCTION("""COMPUTED_VALUE"""),0.6666666666666666)</f>
        <v>0.6666666667</v>
      </c>
      <c r="R47" s="80">
        <f>IFERROR(__xludf.DUMMYFUNCTION("""COMPUTED_VALUE"""),0.6666666666666666)</f>
        <v>0.6666666667</v>
      </c>
      <c r="S47" s="80">
        <f>IFERROR(__xludf.DUMMYFUNCTION("""COMPUTED_VALUE"""),4.0)</f>
        <v>4</v>
      </c>
      <c r="T47" s="80">
        <f>IFERROR(__xludf.DUMMYFUNCTION("""COMPUTED_VALUE"""),381.6158788515406)</f>
        <v>381.6158789</v>
      </c>
      <c r="U47" s="80">
        <f>IFERROR(__xludf.DUMMYFUNCTION("""COMPUTED_VALUE"""),0.9261904761904761)</f>
        <v>0.9261904762</v>
      </c>
      <c r="V47" s="80">
        <f>IFERROR(__xludf.DUMMYFUNCTION("""COMPUTED_VALUE"""),0.7231092436974791)</f>
        <v>0.7231092437</v>
      </c>
      <c r="W47" s="80">
        <f>IFERROR(__xludf.DUMMYFUNCTION("""COMPUTED_VALUE"""),1.3065826330532213)</f>
        <v>1.306582633</v>
      </c>
      <c r="X47" s="80">
        <f>IFERROR(__xludf.DUMMYFUNCTION("""COMPUTED_VALUE"""),2.7770308123249294)</f>
        <v>2.777030812</v>
      </c>
      <c r="Y47" s="80">
        <f>IFERROR(__xludf.DUMMYFUNCTION("""COMPUTED_VALUE"""),371.34803338001865)</f>
        <v>371.3480334</v>
      </c>
      <c r="Z47" s="80">
        <f>IFERROR(__xludf.DUMMYFUNCTION("""COMPUTED_VALUE"""),0.8422560690943044)</f>
        <v>0.8422560691</v>
      </c>
      <c r="AA47" s="80">
        <f>IFERROR(__xludf.DUMMYFUNCTION("""COMPUTED_VALUE"""),0.6474323062558357)</f>
        <v>0.6474323063</v>
      </c>
      <c r="AB47" s="80">
        <f>IFERROR(__xludf.DUMMYFUNCTION("""COMPUTED_VALUE"""),1.3504143323996267)</f>
        <v>1.350414332</v>
      </c>
      <c r="AC47" s="80">
        <f>IFERROR(__xludf.DUMMYFUNCTION("""COMPUTED_VALUE"""),2.4599439775910357)</f>
        <v>2.459943978</v>
      </c>
      <c r="AD47" s="80">
        <f>IFERROR(__xludf.DUMMYFUNCTION("""COMPUTED_VALUE"""),1.1633291714727172)</f>
        <v>1.163329171</v>
      </c>
      <c r="AE47" s="80">
        <f>IFERROR(__xludf.DUMMYFUNCTION("""COMPUTED_VALUE"""),1.1872873781429927)</f>
        <v>1.187287378</v>
      </c>
      <c r="AF47" s="80">
        <f>IFERROR(__xludf.DUMMYFUNCTION("""COMPUTED_VALUE"""),0.0)</f>
        <v>0</v>
      </c>
      <c r="AG47" s="80">
        <f>IFERROR(__xludf.DUMMYFUNCTION("""COMPUTED_VALUE"""),2.2215404028400174)</f>
        <v>2.221540403</v>
      </c>
      <c r="AH47" s="80">
        <f>IFERROR(__xludf.DUMMYFUNCTION("""COMPUTED_VALUE"""),0.8130266454110684)</f>
        <v>0.8130266454</v>
      </c>
      <c r="AI47" s="80">
        <f>IFERROR(__xludf.DUMMYFUNCTION("""COMPUTED_VALUE"""),0.9879043847299229)</f>
        <v>0.9879043847</v>
      </c>
      <c r="AJ47" s="80">
        <f>IFERROR(__xludf.DUMMYFUNCTION("""COMPUTED_VALUE"""),1.0796915167095116)</f>
        <v>1.079691517</v>
      </c>
      <c r="AK47" s="80">
        <f>IFERROR(__xludf.DUMMYFUNCTION("""COMPUTED_VALUE"""),0.9219446058493123)</f>
        <v>0.9219446058</v>
      </c>
      <c r="AL47" s="80">
        <f>IFERROR(__xludf.DUMMYFUNCTION("""COMPUTED_VALUE"""),0.5102368957015757)</f>
        <v>0.5102368957</v>
      </c>
      <c r="AM47" s="80">
        <f>IFERROR(__xludf.DUMMYFUNCTION("""COMPUTED_VALUE"""),1.4403873310470046)</f>
        <v>1.440387331</v>
      </c>
      <c r="AN47" s="80">
        <f>IFERROR(__xludf.DUMMYFUNCTION("""COMPUTED_VALUE"""),1.1729151213135012)</f>
        <v>1.172915121</v>
      </c>
      <c r="AO47" s="80">
        <f>IFERROR(__xludf.DUMMYFUNCTION("""COMPUTED_VALUE"""),1.2482059743012897)</f>
        <v>1.248205974</v>
      </c>
      <c r="AP47" s="80">
        <f>IFERROR(__xludf.DUMMYFUNCTION("""COMPUTED_VALUE"""),0.0)</f>
        <v>0</v>
      </c>
      <c r="AQ47" s="80">
        <f>IFERROR(__xludf.DUMMYFUNCTION("""COMPUTED_VALUE"""),2.0305257228987648)</f>
        <v>2.030525723</v>
      </c>
      <c r="AR47" s="80">
        <f>IFERROR(__xludf.DUMMYFUNCTION("""COMPUTED_VALUE"""),0.7534651867978963)</f>
        <v>0.7534651868</v>
      </c>
      <c r="AS47" s="80">
        <f>IFERROR(__xludf.DUMMYFUNCTION("""COMPUTED_VALUE"""),2.0)</f>
        <v>2</v>
      </c>
      <c r="AT47" s="80">
        <f>IFERROR(__xludf.DUMMYFUNCTION("""COMPUTED_VALUE"""),0.34445266793706497)</f>
        <v>0.3444526679</v>
      </c>
      <c r="AU47" s="80">
        <f>IFERROR(__xludf.DUMMYFUNCTION("""COMPUTED_VALUE"""),1.4830803271963826)</f>
        <v>1.483080327</v>
      </c>
      <c r="AV47" s="80">
        <f>IFERROR(__xludf.DUMMYFUNCTION("""COMPUTED_VALUE"""),21.007678685629777)</f>
        <v>21.00767869</v>
      </c>
      <c r="AW47" s="82">
        <f t="shared" si="1"/>
        <v>-8.12433874</v>
      </c>
      <c r="AX47" s="83">
        <f t="array" ref="AX47">IFERROR(DGET('SBV Import'!A:G,"SBV",{"RSC ID","Tier";B47,A47}))</f>
        <v>35.88761955</v>
      </c>
      <c r="AY47" s="82">
        <f t="shared" si="2"/>
        <v>-3.49395539</v>
      </c>
      <c r="AZ47" s="82">
        <v>4.630383349201874</v>
      </c>
      <c r="BA47" s="84">
        <v>2.0</v>
      </c>
      <c r="BB47" s="84" t="b">
        <f>IFERROR(__xludf.DUMMYFUNCTION("iferror(if(A47="""",,E47&gt;=FILTER(Constants!$F$2:$F$10,Constants!$A$2:$A$10=A47)))"),TRUE)</f>
        <v>1</v>
      </c>
    </row>
    <row r="48">
      <c r="A48" s="80" t="str">
        <f>IFERROR(__xludf.DUMMYFUNCTION("""COMPUTED_VALUE"""),"Premier")</f>
        <v>Premier</v>
      </c>
      <c r="B48" s="80" t="str">
        <f>IFERROR(__xludf.DUMMYFUNCTION("""COMPUTED_VALUE"""),"RSC002714")</f>
        <v>RSC002714</v>
      </c>
      <c r="C48" s="80" t="str">
        <f>IFERROR(__xludf.DUMMYFUNCTION("""COMPUTED_VALUE"""),"Yujin")</f>
        <v>Yujin</v>
      </c>
      <c r="D48" s="80" t="str">
        <f>IFERROR(__xludf.DUMMYFUNCTION("""COMPUTED_VALUE"""),"Feta Forgers")</f>
        <v>Feta Forgers</v>
      </c>
      <c r="E48" s="80">
        <f>IFERROR(__xludf.DUMMYFUNCTION("""COMPUTED_VALUE"""),34.0)</f>
        <v>34</v>
      </c>
      <c r="F48" s="80">
        <f>IFERROR(__xludf.DUMMYFUNCTION("""COMPUTED_VALUE"""),7.0)</f>
        <v>7</v>
      </c>
      <c r="G48" s="80">
        <f>IFERROR(__xludf.DUMMYFUNCTION("""COMPUTED_VALUE"""),27.0)</f>
        <v>27</v>
      </c>
      <c r="H48" s="81">
        <f>IFERROR(__xludf.DUMMYFUNCTION("""COMPUTED_VALUE"""),0.20588235294117646)</f>
        <v>0.2058823529</v>
      </c>
      <c r="I48" s="81">
        <f>IFERROR(__xludf.DUMMYFUNCTION("""COMPUTED_VALUE"""),0.3866666666666666)</f>
        <v>0.3866666667</v>
      </c>
      <c r="J48" s="80">
        <f>IFERROR(__xludf.DUMMYFUNCTION("""COMPUTED_VALUE"""),342.20588235294116)</f>
        <v>342.2058824</v>
      </c>
      <c r="K48" s="80">
        <f>IFERROR(__xludf.DUMMYFUNCTION("""COMPUTED_VALUE"""),0.8529411764705882)</f>
        <v>0.8529411765</v>
      </c>
      <c r="L48" s="80">
        <f>IFERROR(__xludf.DUMMYFUNCTION("""COMPUTED_VALUE"""),0.23529411764705882)</f>
        <v>0.2352941176</v>
      </c>
      <c r="M48" s="80">
        <f>IFERROR(__xludf.DUMMYFUNCTION("""COMPUTED_VALUE"""),1.3529411764705883)</f>
        <v>1.352941176</v>
      </c>
      <c r="N48" s="80">
        <f>IFERROR(__xludf.DUMMYFUNCTION("""COMPUTED_VALUE"""),2.2058823529411766)</f>
        <v>2.205882353</v>
      </c>
      <c r="O48" s="80">
        <f>IFERROR(__xludf.DUMMYFUNCTION("""COMPUTED_VALUE"""),412.34313725490205)</f>
        <v>412.3431373</v>
      </c>
      <c r="P48" s="80">
        <f>IFERROR(__xludf.DUMMYFUNCTION("""COMPUTED_VALUE"""),1.1176470588235292)</f>
        <v>1.117647059</v>
      </c>
      <c r="Q48" s="80">
        <f>IFERROR(__xludf.DUMMYFUNCTION("""COMPUTED_VALUE"""),0.8921568627450979)</f>
        <v>0.8921568627</v>
      </c>
      <c r="R48" s="80">
        <f>IFERROR(__xludf.DUMMYFUNCTION("""COMPUTED_VALUE"""),1.1666666666666665)</f>
        <v>1.166666667</v>
      </c>
      <c r="S48" s="80">
        <f>IFERROR(__xludf.DUMMYFUNCTION("""COMPUTED_VALUE"""),3.3039215686274503)</f>
        <v>3.303921569</v>
      </c>
      <c r="T48" s="80">
        <f>IFERROR(__xludf.DUMMYFUNCTION("""COMPUTED_VALUE"""),381.7754196039991)</f>
        <v>381.7754196</v>
      </c>
      <c r="U48" s="80">
        <f>IFERROR(__xludf.DUMMYFUNCTION("""COMPUTED_VALUE"""),0.8807221648846179)</f>
        <v>0.8807221649</v>
      </c>
      <c r="V48" s="80">
        <f>IFERROR(__xludf.DUMMYFUNCTION("""COMPUTED_VALUE"""),0.6864819744873081)</f>
        <v>0.6864819745</v>
      </c>
      <c r="W48" s="80">
        <f>IFERROR(__xludf.DUMMYFUNCTION("""COMPUTED_VALUE"""),1.437348518760143)</f>
        <v>1.437348519</v>
      </c>
      <c r="X48" s="80">
        <f>IFERROR(__xludf.DUMMYFUNCTION("""COMPUTED_VALUE"""),2.8796176269277534)</f>
        <v>2.879617627</v>
      </c>
      <c r="Y48" s="80">
        <f>IFERROR(__xludf.DUMMYFUNCTION("""COMPUTED_VALUE"""),372.09332783210294)</f>
        <v>372.0933278</v>
      </c>
      <c r="Z48" s="80">
        <f>IFERROR(__xludf.DUMMYFUNCTION("""COMPUTED_VALUE"""),0.8004135578519527)</f>
        <v>0.8004135579</v>
      </c>
      <c r="AA48" s="80">
        <f>IFERROR(__xludf.DUMMYFUNCTION("""COMPUTED_VALUE"""),0.6145732179300842)</f>
        <v>0.6145732179</v>
      </c>
      <c r="AB48" s="80">
        <f>IFERROR(__xludf.DUMMYFUNCTION("""COMPUTED_VALUE"""),1.5168544246190194)</f>
        <v>1.516854425</v>
      </c>
      <c r="AC48" s="80">
        <f>IFERROR(__xludf.DUMMYFUNCTION("""COMPUTED_VALUE"""),2.6804815494965992)</f>
        <v>2.680481549</v>
      </c>
      <c r="AD48" s="80">
        <f>IFERROR(__xludf.DUMMYFUNCTION("""COMPUTED_VALUE"""),0.9196775560225909)</f>
        <v>0.919677556</v>
      </c>
      <c r="AE48" s="80">
        <f>IFERROR(__xludf.DUMMYFUNCTION("""COMPUTED_VALUE"""),1.0656255982964637)</f>
        <v>1.065625598</v>
      </c>
      <c r="AF48" s="80">
        <f>IFERROR(__xludf.DUMMYFUNCTION("""COMPUTED_VALUE"""),0.38285774710382287)</f>
        <v>0.3828577471</v>
      </c>
      <c r="AG48" s="80">
        <f>IFERROR(__xludf.DUMMYFUNCTION("""COMPUTED_VALUE"""),0.8919387084956419)</f>
        <v>0.8919387085</v>
      </c>
      <c r="AH48" s="80">
        <f>IFERROR(__xludf.DUMMYFUNCTION("""COMPUTED_VALUE"""),0.8229425617033054)</f>
        <v>0.8229425617</v>
      </c>
      <c r="AI48" s="80">
        <f>IFERROR(__xludf.DUMMYFUNCTION("""COMPUTED_VALUE"""),1.0800672753699272)</f>
        <v>1.080067275</v>
      </c>
      <c r="AJ48" s="80">
        <f>IFERROR(__xludf.DUMMYFUNCTION("""COMPUTED_VALUE"""),1.2690120714402033)</f>
        <v>1.269012071</v>
      </c>
      <c r="AK48" s="80">
        <f>IFERROR(__xludf.DUMMYFUNCTION("""COMPUTED_VALUE"""),1.29960712138348)</f>
        <v>1.299607121</v>
      </c>
      <c r="AL48" s="80">
        <f>IFERROR(__xludf.DUMMYFUNCTION("""COMPUTED_VALUE"""),0.811679736291817)</f>
        <v>0.8116797363</v>
      </c>
      <c r="AM48" s="80">
        <f>IFERROR(__xludf.DUMMYFUNCTION("""COMPUTED_VALUE"""),1.147347320606724)</f>
        <v>1.147347321</v>
      </c>
      <c r="AN48" s="80">
        <f>IFERROR(__xludf.DUMMYFUNCTION("""COMPUTED_VALUE"""),0.9291167916995224)</f>
        <v>0.9291167917</v>
      </c>
      <c r="AO48" s="80">
        <f>IFERROR(__xludf.DUMMYFUNCTION("""COMPUTED_VALUE"""),1.0646462721981587)</f>
        <v>1.064646272</v>
      </c>
      <c r="AP48" s="80">
        <f>IFERROR(__xludf.DUMMYFUNCTION("""COMPUTED_VALUE"""),0.38692846036804424)</f>
        <v>0.3869284604</v>
      </c>
      <c r="AQ48" s="80">
        <f>IFERROR(__xludf.DUMMYFUNCTION("""COMPUTED_VALUE"""),0.9157272867974822)</f>
        <v>0.9157272868</v>
      </c>
      <c r="AR48" s="80">
        <f>IFERROR(__xludf.DUMMYFUNCTION("""COMPUTED_VALUE"""),0.8310277795565033)</f>
        <v>0.8310277796</v>
      </c>
      <c r="AS48" s="80">
        <f>IFERROR(__xludf.DUMMYFUNCTION("""COMPUTED_VALUE"""),60.0)</f>
        <v>60</v>
      </c>
      <c r="AT48" s="80">
        <f>IFERROR(__xludf.DUMMYFUNCTION("""COMPUTED_VALUE"""),0.26395575733904725)</f>
        <v>0.2639557573</v>
      </c>
      <c r="AU48" s="80">
        <f>IFERROR(__xludf.DUMMYFUNCTION("""COMPUTED_VALUE"""),1.4565407874618472)</f>
        <v>1.456540787</v>
      </c>
      <c r="AV48" s="80">
        <f>IFERROR(__xludf.DUMMYFUNCTION("""COMPUTED_VALUE"""),20.261461574195355)</f>
        <v>20.26146157</v>
      </c>
      <c r="AW48" s="82">
        <f t="shared" si="1"/>
        <v>-8.538738525</v>
      </c>
      <c r="AX48" s="83">
        <f t="array" ref="AX48">IFERROR(DGET('SBV Import'!A:G,"SBV",{"RSC ID","Tier";B48,A48}))</f>
        <v>27.65742043</v>
      </c>
      <c r="AY48" s="82">
        <f t="shared" si="2"/>
        <v>-5.383859461</v>
      </c>
      <c r="AZ48" s="82">
        <v>3.154879064475713</v>
      </c>
      <c r="BA48" s="84">
        <v>2.0</v>
      </c>
      <c r="BB48" s="84" t="b">
        <f>IFERROR(__xludf.DUMMYFUNCTION("iferror(if(A48="""",,E48&gt;=FILTER(Constants!$F$2:$F$10,Constants!$A$2:$A$10=A48)))"),TRUE)</f>
        <v>1</v>
      </c>
    </row>
    <row r="49">
      <c r="A49" s="80" t="str">
        <f>IFERROR(__xludf.DUMMYFUNCTION("""COMPUTED_VALUE"""),"Premier")</f>
        <v>Premier</v>
      </c>
      <c r="B49" s="80" t="str">
        <f>IFERROR(__xludf.DUMMYFUNCTION("""COMPUTED_VALUE"""),"RSC003749")</f>
        <v>RSC003749</v>
      </c>
      <c r="C49" s="80" t="str">
        <f>IFERROR(__xludf.DUMMYFUNCTION("""COMPUTED_VALUE"""),"Rule")</f>
        <v>Rule</v>
      </c>
      <c r="D49" s="80" t="str">
        <f>IFERROR(__xludf.DUMMYFUNCTION("""COMPUTED_VALUE"""),"Fairies")</f>
        <v>Fairies</v>
      </c>
      <c r="E49" s="80">
        <f>IFERROR(__xludf.DUMMYFUNCTION("""COMPUTED_VALUE"""),19.0)</f>
        <v>19</v>
      </c>
      <c r="F49" s="80">
        <f>IFERROR(__xludf.DUMMYFUNCTION("""COMPUTED_VALUE"""),5.0)</f>
        <v>5</v>
      </c>
      <c r="G49" s="80">
        <f>IFERROR(__xludf.DUMMYFUNCTION("""COMPUTED_VALUE"""),14.0)</f>
        <v>14</v>
      </c>
      <c r="H49" s="81">
        <f>IFERROR(__xludf.DUMMYFUNCTION("""COMPUTED_VALUE"""),0.2631578947368421)</f>
        <v>0.2631578947</v>
      </c>
      <c r="I49" s="81">
        <f>IFERROR(__xludf.DUMMYFUNCTION("""COMPUTED_VALUE"""),0.2857142857142857)</f>
        <v>0.2857142857</v>
      </c>
      <c r="J49" s="80">
        <f>IFERROR(__xludf.DUMMYFUNCTION("""COMPUTED_VALUE"""),325.6842105263158)</f>
        <v>325.6842105</v>
      </c>
      <c r="K49" s="80">
        <f>IFERROR(__xludf.DUMMYFUNCTION("""COMPUTED_VALUE"""),0.631578947368421)</f>
        <v>0.6315789474</v>
      </c>
      <c r="L49" s="80">
        <f>IFERROR(__xludf.DUMMYFUNCTION("""COMPUTED_VALUE"""),0.2631578947368421)</f>
        <v>0.2631578947</v>
      </c>
      <c r="M49" s="80">
        <f>IFERROR(__xludf.DUMMYFUNCTION("""COMPUTED_VALUE"""),1.736842105263158)</f>
        <v>1.736842105</v>
      </c>
      <c r="N49" s="80">
        <f>IFERROR(__xludf.DUMMYFUNCTION("""COMPUTED_VALUE"""),2.210526315789474)</f>
        <v>2.210526316</v>
      </c>
      <c r="O49" s="80">
        <f>IFERROR(__xludf.DUMMYFUNCTION("""COMPUTED_VALUE"""),371.280701754386)</f>
        <v>371.2807018</v>
      </c>
      <c r="P49" s="80">
        <f>IFERROR(__xludf.DUMMYFUNCTION("""COMPUTED_VALUE"""),0.8947368421052632)</f>
        <v>0.8947368421</v>
      </c>
      <c r="Q49" s="80">
        <f>IFERROR(__xludf.DUMMYFUNCTION("""COMPUTED_VALUE"""),0.7368421052631579)</f>
        <v>0.7368421053</v>
      </c>
      <c r="R49" s="80">
        <f>IFERROR(__xludf.DUMMYFUNCTION("""COMPUTED_VALUE"""),1.192982456140351)</f>
        <v>1.192982456</v>
      </c>
      <c r="S49" s="80">
        <f>IFERROR(__xludf.DUMMYFUNCTION("""COMPUTED_VALUE"""),3.105263157894737)</f>
        <v>3.105263158</v>
      </c>
      <c r="T49" s="80">
        <f>IFERROR(__xludf.DUMMYFUNCTION("""COMPUTED_VALUE"""),384.128634693584)</f>
        <v>384.1286347</v>
      </c>
      <c r="U49" s="80">
        <f>IFERROR(__xludf.DUMMYFUNCTION("""COMPUTED_VALUE"""),0.8752844665899798)</f>
        <v>0.8752844666</v>
      </c>
      <c r="V49" s="80">
        <f>IFERROR(__xludf.DUMMYFUNCTION("""COMPUTED_VALUE"""),0.6371870362736186)</f>
        <v>0.6371870363</v>
      </c>
      <c r="W49" s="80">
        <f>IFERROR(__xludf.DUMMYFUNCTION("""COMPUTED_VALUE"""),1.4972404580533751)</f>
        <v>1.497240458</v>
      </c>
      <c r="X49" s="80">
        <f>IFERROR(__xludf.DUMMYFUNCTION("""COMPUTED_VALUE"""),2.77467367679605)</f>
        <v>2.774673677</v>
      </c>
      <c r="Y49" s="80">
        <f>IFERROR(__xludf.DUMMYFUNCTION("""COMPUTED_VALUE"""),377.60244470524907)</f>
        <v>377.6024447</v>
      </c>
      <c r="Z49" s="80">
        <f>IFERROR(__xludf.DUMMYFUNCTION("""COMPUTED_VALUE"""),0.8185588577974969)</f>
        <v>0.8185588578</v>
      </c>
      <c r="AA49" s="80">
        <f>IFERROR(__xludf.DUMMYFUNCTION("""COMPUTED_VALUE"""),0.6334443597499432)</f>
        <v>0.6334443597</v>
      </c>
      <c r="AB49" s="80">
        <f>IFERROR(__xludf.DUMMYFUNCTION("""COMPUTED_VALUE"""),1.4763327833011364)</f>
        <v>1.476332783</v>
      </c>
      <c r="AC49" s="80">
        <f>IFERROR(__xludf.DUMMYFUNCTION("""COMPUTED_VALUE"""),2.7642711745685773)</f>
        <v>2.764271175</v>
      </c>
      <c r="AD49" s="80">
        <f>IFERROR(__xludf.DUMMYFUNCTION("""COMPUTED_VALUE"""),0.8625055666166042)</f>
        <v>0.8625055666</v>
      </c>
      <c r="AE49" s="80">
        <f>IFERROR(__xludf.DUMMYFUNCTION("""COMPUTED_VALUE"""),0.771574262928161)</f>
        <v>0.7715742629</v>
      </c>
      <c r="AF49" s="80">
        <f>IFERROR(__xludf.DUMMYFUNCTION("""COMPUTED_VALUE"""),0.41543963678313534)</f>
        <v>0.4154396368</v>
      </c>
      <c r="AG49" s="80">
        <f>IFERROR(__xludf.DUMMYFUNCTION("""COMPUTED_VALUE"""),1.1764570460729815)</f>
        <v>1.176457046</v>
      </c>
      <c r="AH49" s="80">
        <f>IFERROR(__xludf.DUMMYFUNCTION("""COMPUTED_VALUE"""),0.7996778087932972)</f>
        <v>0.7996778088</v>
      </c>
      <c r="AI49" s="80">
        <f>IFERROR(__xludf.DUMMYFUNCTION("""COMPUTED_VALUE"""),0.9665530455717088)</f>
        <v>0.9665530456</v>
      </c>
      <c r="AJ49" s="80">
        <f>IFERROR(__xludf.DUMMYFUNCTION("""COMPUTED_VALUE"""),1.0222240611570177)</f>
        <v>1.022224061</v>
      </c>
      <c r="AK49" s="80">
        <f>IFERROR(__xludf.DUMMYFUNCTION("""COMPUTED_VALUE"""),1.1563984565228125)</f>
        <v>1.156398457</v>
      </c>
      <c r="AL49" s="80">
        <f>IFERROR(__xludf.DUMMYFUNCTION("""COMPUTED_VALUE"""),0.7967874830816403)</f>
        <v>0.7967874831</v>
      </c>
      <c r="AM49" s="80">
        <f>IFERROR(__xludf.DUMMYFUNCTION("""COMPUTED_VALUE"""),1.1191453553127095)</f>
        <v>1.119145355</v>
      </c>
      <c r="AN49" s="80">
        <f>IFERROR(__xludf.DUMMYFUNCTION("""COMPUTED_VALUE"""),0.8842591094892721)</f>
        <v>0.8842591095</v>
      </c>
      <c r="AO49" s="80">
        <f>IFERROR(__xludf.DUMMYFUNCTION("""COMPUTED_VALUE"""),0.7883406153481829)</f>
        <v>0.7883406153</v>
      </c>
      <c r="AP49" s="80">
        <f>IFERROR(__xludf.DUMMYFUNCTION("""COMPUTED_VALUE"""),0.43274893593794417)</f>
        <v>0.4327489359</v>
      </c>
      <c r="AQ49" s="80">
        <f>IFERROR(__xludf.DUMMYFUNCTION("""COMPUTED_VALUE"""),1.1755675237834953)</f>
        <v>1.175567524</v>
      </c>
      <c r="AR49" s="80">
        <f>IFERROR(__xludf.DUMMYFUNCTION("""COMPUTED_VALUE"""),0.8327773117239907)</f>
        <v>0.8327773117</v>
      </c>
      <c r="AS49" s="80">
        <f>IFERROR(__xludf.DUMMYFUNCTION("""COMPUTED_VALUE"""),28.0)</f>
        <v>28</v>
      </c>
      <c r="AT49" s="80">
        <f>IFERROR(__xludf.DUMMYFUNCTION("""COMPUTED_VALUE"""),0.2885172211429807)</f>
        <v>0.2885172211</v>
      </c>
      <c r="AU49" s="80">
        <f>IFERROR(__xludf.DUMMYFUNCTION("""COMPUTED_VALUE"""),1.3664404851233585)</f>
        <v>1.366440485</v>
      </c>
      <c r="AV49" s="80">
        <f>IFERROR(__xludf.DUMMYFUNCTION("""COMPUTED_VALUE"""),17.728094830728267)</f>
        <v>17.72809483</v>
      </c>
      <c r="AW49" s="82">
        <f t="shared" si="1"/>
        <v>-10.16535954</v>
      </c>
      <c r="AX49" s="83">
        <f t="array" ref="AX49">IFERROR(DGET('SBV Import'!A:G,"SBV",{"RSC ID","Tier";B49,A49}))</f>
        <v>25.19062613</v>
      </c>
      <c r="AY49" s="82">
        <f t="shared" si="2"/>
        <v>-6.230245222</v>
      </c>
      <c r="AZ49" s="82">
        <v>3.935114322158592</v>
      </c>
      <c r="BA49" s="84">
        <v>2.0</v>
      </c>
      <c r="BB49" s="84" t="b">
        <f>IFERROR(__xludf.DUMMYFUNCTION("iferror(if(A49="""",,E49&gt;=FILTER(Constants!$F$2:$F$10,Constants!$A$2:$A$10=A49)))"),TRUE)</f>
        <v>1</v>
      </c>
    </row>
    <row r="50">
      <c r="A50" s="80" t="str">
        <f>IFERROR(__xludf.DUMMYFUNCTION("""COMPUTED_VALUE"""),"Premier")</f>
        <v>Premier</v>
      </c>
      <c r="B50" s="80" t="str">
        <f>IFERROR(__xludf.DUMMYFUNCTION("""COMPUTED_VALUE"""),"RSC007150")</f>
        <v>RSC007150</v>
      </c>
      <c r="C50" s="80" t="str">
        <f>IFERROR(__xludf.DUMMYFUNCTION("""COMPUTED_VALUE"""),"peach")</f>
        <v>peach</v>
      </c>
      <c r="D50" s="80" t="str">
        <f>IFERROR(__xludf.DUMMYFUNCTION("""COMPUTED_VALUE"""),"Fairies")</f>
        <v>Fairies</v>
      </c>
      <c r="E50" s="80">
        <f>IFERROR(__xludf.DUMMYFUNCTION("""COMPUTED_VALUE"""),28.0)</f>
        <v>28</v>
      </c>
      <c r="F50" s="80">
        <f>IFERROR(__xludf.DUMMYFUNCTION("""COMPUTED_VALUE"""),7.0)</f>
        <v>7</v>
      </c>
      <c r="G50" s="80">
        <f>IFERROR(__xludf.DUMMYFUNCTION("""COMPUTED_VALUE"""),21.0)</f>
        <v>21</v>
      </c>
      <c r="H50" s="81">
        <f>IFERROR(__xludf.DUMMYFUNCTION("""COMPUTED_VALUE"""),0.25)</f>
        <v>0.25</v>
      </c>
      <c r="I50" s="81">
        <f>IFERROR(__xludf.DUMMYFUNCTION("""COMPUTED_VALUE"""),0.16176470588235295)</f>
        <v>0.1617647059</v>
      </c>
      <c r="J50" s="80">
        <f>IFERROR(__xludf.DUMMYFUNCTION("""COMPUTED_VALUE"""),303.42857142857144)</f>
        <v>303.4285714</v>
      </c>
      <c r="K50" s="80">
        <f>IFERROR(__xludf.DUMMYFUNCTION("""COMPUTED_VALUE"""),0.39285714285714285)</f>
        <v>0.3928571429</v>
      </c>
      <c r="L50" s="80">
        <f>IFERROR(__xludf.DUMMYFUNCTION("""COMPUTED_VALUE"""),0.39285714285714285)</f>
        <v>0.3928571429</v>
      </c>
      <c r="M50" s="80">
        <f>IFERROR(__xludf.DUMMYFUNCTION("""COMPUTED_VALUE"""),1.4285714285714286)</f>
        <v>1.428571429</v>
      </c>
      <c r="N50" s="80">
        <f>IFERROR(__xludf.DUMMYFUNCTION("""COMPUTED_VALUE"""),2.4285714285714284)</f>
        <v>2.428571429</v>
      </c>
      <c r="O50" s="80">
        <f>IFERROR(__xludf.DUMMYFUNCTION("""COMPUTED_VALUE"""),400.11904761904765)</f>
        <v>400.1190476</v>
      </c>
      <c r="P50" s="80">
        <f>IFERROR(__xludf.DUMMYFUNCTION("""COMPUTED_VALUE"""),0.9642857142857142)</f>
        <v>0.9642857143</v>
      </c>
      <c r="Q50" s="80">
        <f>IFERROR(__xludf.DUMMYFUNCTION("""COMPUTED_VALUE"""),0.8095238095238094)</f>
        <v>0.8095238095</v>
      </c>
      <c r="R50" s="80">
        <f>IFERROR(__xludf.DUMMYFUNCTION("""COMPUTED_VALUE"""),1.440476190476191)</f>
        <v>1.44047619</v>
      </c>
      <c r="S50" s="80">
        <f>IFERROR(__xludf.DUMMYFUNCTION("""COMPUTED_VALUE"""),3.2142857142857144)</f>
        <v>3.214285714</v>
      </c>
      <c r="T50" s="80">
        <f>IFERROR(__xludf.DUMMYFUNCTION("""COMPUTED_VALUE"""),384.94094153946844)</f>
        <v>384.9409415</v>
      </c>
      <c r="U50" s="80">
        <f>IFERROR(__xludf.DUMMYFUNCTION("""COMPUTED_VALUE"""),0.8936518231752402)</f>
        <v>0.8936518232</v>
      </c>
      <c r="V50" s="80">
        <f>IFERROR(__xludf.DUMMYFUNCTION("""COMPUTED_VALUE"""),0.6918516862631148)</f>
        <v>0.6918516863</v>
      </c>
      <c r="W50" s="80">
        <f>IFERROR(__xludf.DUMMYFUNCTION("""COMPUTED_VALUE"""),1.4345496879148307)</f>
        <v>1.434549688</v>
      </c>
      <c r="X50" s="80">
        <f>IFERROR(__xludf.DUMMYFUNCTION("""COMPUTED_VALUE"""),2.833645516559026)</f>
        <v>2.833645517</v>
      </c>
      <c r="Y50" s="80">
        <f>IFERROR(__xludf.DUMMYFUNCTION("""COMPUTED_VALUE"""),369.6012852005368)</f>
        <v>369.6012852</v>
      </c>
      <c r="Z50" s="80">
        <f>IFERROR(__xludf.DUMMYFUNCTION("""COMPUTED_VALUE"""),0.7976551447767851)</f>
        <v>0.7976551448</v>
      </c>
      <c r="AA50" s="80">
        <f>IFERROR(__xludf.DUMMYFUNCTION("""COMPUTED_VALUE"""),0.6056381451215964)</f>
        <v>0.6056381451</v>
      </c>
      <c r="AB50" s="80">
        <f>IFERROR(__xludf.DUMMYFUNCTION("""COMPUTED_VALUE"""),1.4861972169578057)</f>
        <v>1.486197217</v>
      </c>
      <c r="AC50" s="80">
        <f>IFERROR(__xludf.DUMMYFUNCTION("""COMPUTED_VALUE"""),2.688572747812575)</f>
        <v>2.688572748</v>
      </c>
      <c r="AD50" s="80">
        <f>IFERROR(__xludf.DUMMYFUNCTION("""COMPUTED_VALUE"""),0.8209618948265789)</f>
        <v>0.8209618948</v>
      </c>
      <c r="AE50" s="80">
        <f>IFERROR(__xludf.DUMMYFUNCTION("""COMPUTED_VALUE"""),0.4925150241049088)</f>
        <v>0.4925150241</v>
      </c>
      <c r="AF50" s="80">
        <f>IFERROR(__xludf.DUMMYFUNCTION("""COMPUTED_VALUE"""),0.6486664455031433)</f>
        <v>0.6486664455</v>
      </c>
      <c r="AG50" s="80">
        <f>IFERROR(__xludf.DUMMYFUNCTION("""COMPUTED_VALUE"""),0.961226015141964)</f>
        <v>0.9612260151</v>
      </c>
      <c r="AH50" s="80">
        <f>IFERROR(__xludf.DUMMYFUNCTION("""COMPUTED_VALUE"""),0.9032939244613396)</f>
        <v>0.9032939245</v>
      </c>
      <c r="AI50" s="80">
        <f>IFERROR(__xludf.DUMMYFUNCTION("""COMPUTED_VALUE"""),1.0394297006155762)</f>
        <v>1.039429701</v>
      </c>
      <c r="AJ50" s="80">
        <f>IFERROR(__xludf.DUMMYFUNCTION("""COMPUTED_VALUE"""),1.079039609475091)</f>
        <v>1.079039609</v>
      </c>
      <c r="AK50" s="80">
        <f>IFERROR(__xludf.DUMMYFUNCTION("""COMPUTED_VALUE"""),1.1700828741146456)</f>
        <v>1.170082874</v>
      </c>
      <c r="AL50" s="80">
        <f>IFERROR(__xludf.DUMMYFUNCTION("""COMPUTED_VALUE"""),1.0041312633583117)</f>
        <v>1.004131263</v>
      </c>
      <c r="AM50" s="80">
        <f>IFERROR(__xludf.DUMMYFUNCTION("""COMPUTED_VALUE"""),1.134328798539667)</f>
        <v>1.134328799</v>
      </c>
      <c r="AN50" s="80">
        <f>IFERROR(__xludf.DUMMYFUNCTION("""COMPUTED_VALUE"""),0.8238332399701973)</f>
        <v>0.82383324</v>
      </c>
      <c r="AO50" s="80">
        <f>IFERROR(__xludf.DUMMYFUNCTION("""COMPUTED_VALUE"""),0.4903666327612209)</f>
        <v>0.4903666328</v>
      </c>
      <c r="AP50" s="80">
        <f>IFERROR(__xludf.DUMMYFUNCTION("""COMPUTED_VALUE"""),0.6460323400787881)</f>
        <v>0.6460323401</v>
      </c>
      <c r="AQ50" s="80">
        <f>IFERROR(__xludf.DUMMYFUNCTION("""COMPUTED_VALUE"""),0.9669170109041736)</f>
        <v>0.9669170109</v>
      </c>
      <c r="AR50" s="80">
        <f>IFERROR(__xludf.DUMMYFUNCTION("""COMPUTED_VALUE"""),0.9149220125403026)</f>
        <v>0.9149220125</v>
      </c>
      <c r="AS50" s="80">
        <f>IFERROR(__xludf.DUMMYFUNCTION("""COMPUTED_VALUE"""),44.0)</f>
        <v>44</v>
      </c>
      <c r="AT50" s="80">
        <f>IFERROR(__xludf.DUMMYFUNCTION("""COMPUTED_VALUE"""),0.2813959575969064)</f>
        <v>0.2813959576</v>
      </c>
      <c r="AU50" s="80">
        <f>IFERROR(__xludf.DUMMYFUNCTION("""COMPUTED_VALUE"""),1.3438749049438665)</f>
        <v>1.343874905</v>
      </c>
      <c r="AV50" s="80">
        <f>IFERROR(__xludf.DUMMYFUNCTION("""COMPUTED_VALUE"""),17.093614269730807)</f>
        <v>17.09361427</v>
      </c>
      <c r="AW50" s="82">
        <f t="shared" si="1"/>
        <v>-10.63330219</v>
      </c>
      <c r="AX50" s="83">
        <f t="array" ref="AX50">IFERROR(DGET('SBV Import'!A:G,"SBV",{"RSC ID","Tier";B50,A50}))</f>
        <v>15.84101423</v>
      </c>
      <c r="AY50" s="82">
        <f t="shared" si="2"/>
        <v>-11.6396701</v>
      </c>
      <c r="AZ50" s="82">
        <v>1.0063679045365745</v>
      </c>
      <c r="BA50" s="84">
        <v>2.0</v>
      </c>
      <c r="BB50" s="84" t="b">
        <f>IFERROR(__xludf.DUMMYFUNCTION("iferror(if(A50="""",,E50&gt;=FILTER(Constants!$F$2:$F$10,Constants!$A$2:$A$10=A50)))"),TRUE)</f>
        <v>1</v>
      </c>
    </row>
    <row r="51">
      <c r="A51" s="80" t="str">
        <f>IFERROR(__xludf.DUMMYFUNCTION("""COMPUTED_VALUE"""),"Premier")</f>
        <v>Premier</v>
      </c>
      <c r="B51" s="80" t="str">
        <f>IFERROR(__xludf.DUMMYFUNCTION("""COMPUTED_VALUE"""),"RSC005340")</f>
        <v>RSC005340</v>
      </c>
      <c r="C51" s="80" t="str">
        <f>IFERROR(__xludf.DUMMYFUNCTION("""COMPUTED_VALUE"""),"Mystikal")</f>
        <v>Mystikal</v>
      </c>
      <c r="D51" s="80"/>
      <c r="E51" s="80">
        <f>IFERROR(__xludf.DUMMYFUNCTION("""COMPUTED_VALUE"""),4.0)</f>
        <v>4</v>
      </c>
      <c r="F51" s="80">
        <f>IFERROR(__xludf.DUMMYFUNCTION("""COMPUTED_VALUE"""),0.0)</f>
        <v>0</v>
      </c>
      <c r="G51" s="80">
        <f>IFERROR(__xludf.DUMMYFUNCTION("""COMPUTED_VALUE"""),4.0)</f>
        <v>4</v>
      </c>
      <c r="H51" s="81">
        <f>IFERROR(__xludf.DUMMYFUNCTION("""COMPUTED_VALUE"""),0.0)</f>
        <v>0</v>
      </c>
      <c r="I51" s="81">
        <f>IFERROR(__xludf.DUMMYFUNCTION("""COMPUTED_VALUE"""),0.2857142857142857)</f>
        <v>0.2857142857</v>
      </c>
      <c r="J51" s="80">
        <f>IFERROR(__xludf.DUMMYFUNCTION("""COMPUTED_VALUE"""),272.0)</f>
        <v>272</v>
      </c>
      <c r="K51" s="80">
        <f>IFERROR(__xludf.DUMMYFUNCTION("""COMPUTED_VALUE"""),0.5)</f>
        <v>0.5</v>
      </c>
      <c r="L51" s="80">
        <f>IFERROR(__xludf.DUMMYFUNCTION("""COMPUTED_VALUE"""),0.5)</f>
        <v>0.5</v>
      </c>
      <c r="M51" s="80">
        <f>IFERROR(__xludf.DUMMYFUNCTION("""COMPUTED_VALUE"""),1.0)</f>
        <v>1</v>
      </c>
      <c r="N51" s="80">
        <f>IFERROR(__xludf.DUMMYFUNCTION("""COMPUTED_VALUE"""),1.75)</f>
        <v>1.75</v>
      </c>
      <c r="O51" s="80">
        <f>IFERROR(__xludf.DUMMYFUNCTION("""COMPUTED_VALUE"""),403.66666666666663)</f>
        <v>403.6666667</v>
      </c>
      <c r="P51" s="80">
        <f>IFERROR(__xludf.DUMMYFUNCTION("""COMPUTED_VALUE"""),1.0)</f>
        <v>1</v>
      </c>
      <c r="Q51" s="80">
        <f>IFERROR(__xludf.DUMMYFUNCTION("""COMPUTED_VALUE"""),0.9166666666666666)</f>
        <v>0.9166666667</v>
      </c>
      <c r="R51" s="80">
        <f>IFERROR(__xludf.DUMMYFUNCTION("""COMPUTED_VALUE"""),1.5833333333333333)</f>
        <v>1.583333333</v>
      </c>
      <c r="S51" s="80">
        <f>IFERROR(__xludf.DUMMYFUNCTION("""COMPUTED_VALUE"""),2.916666666666667)</f>
        <v>2.916666667</v>
      </c>
      <c r="T51" s="80">
        <f>IFERROR(__xludf.DUMMYFUNCTION("""COMPUTED_VALUE"""),387.6721739130435)</f>
        <v>387.6721739</v>
      </c>
      <c r="U51" s="80">
        <f>IFERROR(__xludf.DUMMYFUNCTION("""COMPUTED_VALUE"""),0.8360248447204969)</f>
        <v>0.8360248447</v>
      </c>
      <c r="V51" s="80">
        <f>IFERROR(__xludf.DUMMYFUNCTION("""COMPUTED_VALUE"""),0.7586335403726707)</f>
        <v>0.7586335404</v>
      </c>
      <c r="W51" s="80">
        <f>IFERROR(__xludf.DUMMYFUNCTION("""COMPUTED_VALUE"""),1.4966459627329192)</f>
        <v>1.496645963</v>
      </c>
      <c r="X51" s="80">
        <f>IFERROR(__xludf.DUMMYFUNCTION("""COMPUTED_VALUE"""),2.706024844720497)</f>
        <v>2.706024845</v>
      </c>
      <c r="Y51" s="80">
        <f>IFERROR(__xludf.DUMMYFUNCTION("""COMPUTED_VALUE"""),346.9654658385093)</f>
        <v>346.9654658</v>
      </c>
      <c r="Z51" s="80">
        <f>IFERROR(__xludf.DUMMYFUNCTION("""COMPUTED_VALUE"""),0.8257073844030365)</f>
        <v>0.8257073844</v>
      </c>
      <c r="AA51" s="80">
        <f>IFERROR(__xludf.DUMMYFUNCTION("""COMPUTED_VALUE"""),0.6107936507936508)</f>
        <v>0.6107936508</v>
      </c>
      <c r="AB51" s="80">
        <f>IFERROR(__xludf.DUMMYFUNCTION("""COMPUTED_VALUE"""),1.2463630089717046)</f>
        <v>1.246363009</v>
      </c>
      <c r="AC51" s="80">
        <f>IFERROR(__xludf.DUMMYFUNCTION("""COMPUTED_VALUE"""),2.8069841269841276)</f>
        <v>2.806984127</v>
      </c>
      <c r="AD51" s="80">
        <f>IFERROR(__xludf.DUMMYFUNCTION("""COMPUTED_VALUE"""),0.7839396907777529)</f>
        <v>0.7839396908</v>
      </c>
      <c r="AE51" s="80">
        <f>IFERROR(__xludf.DUMMYFUNCTION("""COMPUTED_VALUE"""),0.6055413932884784)</f>
        <v>0.6055413933</v>
      </c>
      <c r="AF51" s="80">
        <f>IFERROR(__xludf.DUMMYFUNCTION("""COMPUTED_VALUE"""),0.8186070686070687)</f>
        <v>0.8186070686</v>
      </c>
      <c r="AG51" s="80">
        <f>IFERROR(__xludf.DUMMYFUNCTION("""COMPUTED_VALUE"""),0.8023344666053888)</f>
        <v>0.8023344666</v>
      </c>
      <c r="AH51" s="80">
        <f>IFERROR(__xludf.DUMMYFUNCTION("""COMPUTED_VALUE"""),0.6234449219633565)</f>
        <v>0.623444922</v>
      </c>
      <c r="AI51" s="80">
        <f>IFERROR(__xludf.DUMMYFUNCTION("""COMPUTED_VALUE"""),1.0412577786849637)</f>
        <v>1.041257779</v>
      </c>
      <c r="AJ51" s="80">
        <f>IFERROR(__xludf.DUMMYFUNCTION("""COMPUTED_VALUE"""),1.1961367013372957)</f>
        <v>1.196136701</v>
      </c>
      <c r="AK51" s="80">
        <f>IFERROR(__xludf.DUMMYFUNCTION("""COMPUTED_VALUE"""),1.208312865018285)</f>
        <v>1.208312865</v>
      </c>
      <c r="AL51" s="80">
        <f>IFERROR(__xludf.DUMMYFUNCTION("""COMPUTED_VALUE"""),1.0579210934041612)</f>
        <v>1.057921093</v>
      </c>
      <c r="AM51" s="80">
        <f>IFERROR(__xludf.DUMMYFUNCTION("""COMPUTED_VALUE"""),1.0778417915700722)</f>
        <v>1.077841792</v>
      </c>
      <c r="AN51" s="80">
        <f>IFERROR(__xludf.DUMMYFUNCTION("""COMPUTED_VALUE"""),0.7385021134196118)</f>
        <v>0.7385021134</v>
      </c>
      <c r="AO51" s="80">
        <f>IFERROR(__xludf.DUMMYFUNCTION("""COMPUTED_VALUE"""),0.6241029871506448)</f>
        <v>0.6241029872</v>
      </c>
      <c r="AP51" s="80">
        <f>IFERROR(__xludf.DUMMYFUNCTION("""COMPUTED_VALUE"""),0.822222978282094)</f>
        <v>0.8222229783</v>
      </c>
      <c r="AQ51" s="80">
        <f>IFERROR(__xludf.DUMMYFUNCTION("""COMPUTED_VALUE"""),0.6768419076329215)</f>
        <v>0.6768419076</v>
      </c>
      <c r="AR51" s="80">
        <f>IFERROR(__xludf.DUMMYFUNCTION("""COMPUTED_VALUE"""),0.6592820384481592)</f>
        <v>0.6592820384</v>
      </c>
      <c r="AS51" s="80">
        <f>IFERROR(__xludf.DUMMYFUNCTION("""COMPUTED_VALUE"""),6.0)</f>
        <v>6</v>
      </c>
      <c r="AT51" s="80">
        <f>IFERROR(__xludf.DUMMYFUNCTION("""COMPUTED_VALUE"""),0.25591176740996385)</f>
        <v>0.2559117674</v>
      </c>
      <c r="AU51" s="80">
        <f>IFERROR(__xludf.DUMMYFUNCTION("""COMPUTED_VALUE"""),1.2736528252756856)</f>
        <v>1.273652825</v>
      </c>
      <c r="AV51" s="80">
        <f>IFERROR(__xludf.DUMMYFUNCTION("""COMPUTED_VALUE"""),15.119167162770637)</f>
        <v>15.11916716</v>
      </c>
      <c r="AW51" s="82">
        <f t="shared" si="1"/>
        <v>-12.27404298</v>
      </c>
      <c r="AX51" s="83">
        <f t="array" ref="AX51">IFERROR(DGET('SBV Import'!A:G,"SBV",{"RSC ID","Tier";B51,A51}))</f>
        <v>13.14682277</v>
      </c>
      <c r="AY51" s="82">
        <f t="shared" si="2"/>
        <v>-14.24020908</v>
      </c>
      <c r="AZ51" s="82">
        <v>1.966166098161759</v>
      </c>
      <c r="BA51" s="84">
        <v>2.0</v>
      </c>
      <c r="BB51" s="84" t="b">
        <f>IFERROR(__xludf.DUMMYFUNCTION("iferror(if(A51="""",,E51&gt;=FILTER(Constants!$F$2:$F$10,Constants!$A$2:$A$10=A51)))"),TRUE)</f>
        <v>1</v>
      </c>
    </row>
    <row r="52">
      <c r="A52" s="80" t="str">
        <f>IFERROR(__xludf.DUMMYFUNCTION("""COMPUTED_VALUE"""),"Premier")</f>
        <v>Premier</v>
      </c>
      <c r="B52" s="80" t="str">
        <f>IFERROR(__xludf.DUMMYFUNCTION("""COMPUTED_VALUE"""),"RSC000330")</f>
        <v>RSC000330</v>
      </c>
      <c r="C52" s="80" t="str">
        <f>IFERROR(__xludf.DUMMYFUNCTION("""COMPUTED_VALUE"""),"Infinite")</f>
        <v>Infinite</v>
      </c>
      <c r="D52" s="80" t="str">
        <f>IFERROR(__xludf.DUMMYFUNCTION("""COMPUTED_VALUE"""),"Oblivion")</f>
        <v>Oblivion</v>
      </c>
      <c r="E52" s="80">
        <f>IFERROR(__xludf.DUMMYFUNCTION("""COMPUTED_VALUE"""),4.0)</f>
        <v>4</v>
      </c>
      <c r="F52" s="80">
        <f>IFERROR(__xludf.DUMMYFUNCTION("""COMPUTED_VALUE"""),0.0)</f>
        <v>0</v>
      </c>
      <c r="G52" s="80">
        <f>IFERROR(__xludf.DUMMYFUNCTION("""COMPUTED_VALUE"""),4.0)</f>
        <v>4</v>
      </c>
      <c r="H52" s="81">
        <f>IFERROR(__xludf.DUMMYFUNCTION("""COMPUTED_VALUE"""),0.0)</f>
        <v>0</v>
      </c>
      <c r="I52" s="81">
        <f>IFERROR(__xludf.DUMMYFUNCTION("""COMPUTED_VALUE"""),0.6666666666666666)</f>
        <v>0.6666666667</v>
      </c>
      <c r="J52" s="80">
        <f>IFERROR(__xludf.DUMMYFUNCTION("""COMPUTED_VALUE"""),349.0)</f>
        <v>349</v>
      </c>
      <c r="K52" s="80">
        <f>IFERROR(__xludf.DUMMYFUNCTION("""COMPUTED_VALUE"""),1.0)</f>
        <v>1</v>
      </c>
      <c r="L52" s="80">
        <f>IFERROR(__xludf.DUMMYFUNCTION("""COMPUTED_VALUE"""),0.0)</f>
        <v>0</v>
      </c>
      <c r="M52" s="80">
        <f>IFERROR(__xludf.DUMMYFUNCTION("""COMPUTED_VALUE"""),1.75)</f>
        <v>1.75</v>
      </c>
      <c r="N52" s="80">
        <f>IFERROR(__xludf.DUMMYFUNCTION("""COMPUTED_VALUE"""),1.5)</f>
        <v>1.5</v>
      </c>
      <c r="O52" s="80">
        <f>IFERROR(__xludf.DUMMYFUNCTION("""COMPUTED_VALUE"""),453.75000000000006)</f>
        <v>453.75</v>
      </c>
      <c r="P52" s="80">
        <f>IFERROR(__xludf.DUMMYFUNCTION("""COMPUTED_VALUE"""),1.0833333333333333)</f>
        <v>1.083333333</v>
      </c>
      <c r="Q52" s="80">
        <f>IFERROR(__xludf.DUMMYFUNCTION("""COMPUTED_VALUE"""),1.0)</f>
        <v>1</v>
      </c>
      <c r="R52" s="80">
        <f>IFERROR(__xludf.DUMMYFUNCTION("""COMPUTED_VALUE"""),1.3333333333333333)</f>
        <v>1.333333333</v>
      </c>
      <c r="S52" s="80">
        <f>IFERROR(__xludf.DUMMYFUNCTION("""COMPUTED_VALUE"""),3.5000000000000004)</f>
        <v>3.5</v>
      </c>
      <c r="T52" s="80">
        <f>IFERROR(__xludf.DUMMYFUNCTION("""COMPUTED_VALUE"""),416.44086021505376)</f>
        <v>416.4408602</v>
      </c>
      <c r="U52" s="80">
        <f>IFERROR(__xludf.DUMMYFUNCTION("""COMPUTED_VALUE"""),0.967741935483871)</f>
        <v>0.9677419355</v>
      </c>
      <c r="V52" s="80">
        <f>IFERROR(__xludf.DUMMYFUNCTION("""COMPUTED_VALUE"""),0.6774193548387096)</f>
        <v>0.6774193548</v>
      </c>
      <c r="W52" s="80">
        <f>IFERROR(__xludf.DUMMYFUNCTION("""COMPUTED_VALUE"""),1.6021505376344087)</f>
        <v>1.602150538</v>
      </c>
      <c r="X52" s="80">
        <f>IFERROR(__xludf.DUMMYFUNCTION("""COMPUTED_VALUE"""),3.3333333333333335)</f>
        <v>3.333333333</v>
      </c>
      <c r="Y52" s="80">
        <f>IFERROR(__xludf.DUMMYFUNCTION("""COMPUTED_VALUE"""),377.58422939068106)</f>
        <v>377.5842294</v>
      </c>
      <c r="Z52" s="80">
        <f>IFERROR(__xludf.DUMMYFUNCTION("""COMPUTED_VALUE"""),0.6523297491039425)</f>
        <v>0.6523297491</v>
      </c>
      <c r="AA52" s="80">
        <f>IFERROR(__xludf.DUMMYFUNCTION("""COMPUTED_VALUE"""),0.5161290322580646)</f>
        <v>0.5161290323</v>
      </c>
      <c r="AB52" s="80">
        <f>IFERROR(__xludf.DUMMYFUNCTION("""COMPUTED_VALUE"""),1.7813620071684586)</f>
        <v>1.781362007</v>
      </c>
      <c r="AC52" s="80">
        <f>IFERROR(__xludf.DUMMYFUNCTION("""COMPUTED_VALUE"""),2.691756272401434)</f>
        <v>2.691756272</v>
      </c>
      <c r="AD52" s="80">
        <f>IFERROR(__xludf.DUMMYFUNCTION("""COMPUTED_VALUE"""),0.924297078199457)</f>
        <v>0.9242970782</v>
      </c>
      <c r="AE52" s="80">
        <f>IFERROR(__xludf.DUMMYFUNCTION("""COMPUTED_VALUE"""),1.5329670329670333)</f>
        <v>1.532967033</v>
      </c>
      <c r="AF52" s="80">
        <f>IFERROR(__xludf.DUMMYFUNCTION("""COMPUTED_VALUE"""),0.0)</f>
        <v>0</v>
      </c>
      <c r="AG52" s="80">
        <f>IFERROR(__xludf.DUMMYFUNCTION("""COMPUTED_VALUE"""),0.9823943661971832)</f>
        <v>0.9823943662</v>
      </c>
      <c r="AH52" s="80">
        <f>IFERROR(__xludf.DUMMYFUNCTION("""COMPUTED_VALUE"""),0.5572569906790944)</f>
        <v>0.5572569907</v>
      </c>
      <c r="AI52" s="80">
        <f>IFERROR(__xludf.DUMMYFUNCTION("""COMPUTED_VALUE"""),1.0895904877481992)</f>
        <v>1.089590488</v>
      </c>
      <c r="AJ52" s="80">
        <f>IFERROR(__xludf.DUMMYFUNCTION("""COMPUTED_VALUE"""),1.1194444444444442)</f>
        <v>1.119444444</v>
      </c>
      <c r="AK52" s="80">
        <f>IFERROR(__xludf.DUMMYFUNCTION("""COMPUTED_VALUE"""),1.4761904761904763)</f>
        <v>1.476190476</v>
      </c>
      <c r="AL52" s="80">
        <f>IFERROR(__xludf.DUMMYFUNCTION("""COMPUTED_VALUE"""),0.832214765100671)</f>
        <v>0.8322147651</v>
      </c>
      <c r="AM52" s="80">
        <f>IFERROR(__xludf.DUMMYFUNCTION("""COMPUTED_VALUE"""),1.05)</f>
        <v>1.05</v>
      </c>
      <c r="AN52" s="80">
        <f>IFERROR(__xludf.DUMMYFUNCTION("""COMPUTED_VALUE"""),0.9475633734685461)</f>
        <v>0.9475633735</v>
      </c>
      <c r="AO52" s="80">
        <f>IFERROR(__xludf.DUMMYFUNCTION("""COMPUTED_VALUE"""),1.2482059743012897)</f>
        <v>1.248205974</v>
      </c>
      <c r="AP52" s="80">
        <f>IFERROR(__xludf.DUMMYFUNCTION("""COMPUTED_VALUE"""),0.0)</f>
        <v>0</v>
      </c>
      <c r="AQ52" s="80">
        <f>IFERROR(__xludf.DUMMYFUNCTION("""COMPUTED_VALUE"""),1.1844733383576127)</f>
        <v>1.184473338</v>
      </c>
      <c r="AR52" s="80">
        <f>IFERROR(__xludf.DUMMYFUNCTION("""COMPUTED_VALUE"""),0.5650988900984222)</f>
        <v>0.5650988901</v>
      </c>
      <c r="AS52" s="80">
        <f>IFERROR(__xludf.DUMMYFUNCTION("""COMPUTED_VALUE"""),8.0)</f>
        <v>8</v>
      </c>
      <c r="AT52" s="80">
        <f>IFERROR(__xludf.DUMMYFUNCTION("""COMPUTED_VALUE"""),0.31401492300692596)</f>
        <v>0.314014923</v>
      </c>
      <c r="AU52" s="80">
        <f>IFERROR(__xludf.DUMMYFUNCTION("""COMPUTED_VALUE"""),1.0569767604815419)</f>
        <v>1.05697676</v>
      </c>
      <c r="AV52" s="80">
        <f>IFERROR(__xludf.DUMMYFUNCTION("""COMPUTED_VALUE"""),9.026846466746534)</f>
        <v>9.026846467</v>
      </c>
      <c r="AW52" s="82">
        <f t="shared" si="1"/>
        <v>-19.75725395</v>
      </c>
      <c r="AX52" s="83">
        <f t="array" ref="AX52">IFERROR(DGET('SBV Import'!A:G,"SBV",{"RSC ID","Tier";B52,A52}))</f>
        <v>5.997171124</v>
      </c>
      <c r="AY52" s="82">
        <f t="shared" si="2"/>
        <v>-25.51390661</v>
      </c>
      <c r="AZ52" s="82">
        <v>5.756652666614254</v>
      </c>
      <c r="BA52" s="84">
        <v>2.0</v>
      </c>
      <c r="BB52" s="84" t="b">
        <f>IFERROR(__xludf.DUMMYFUNCTION("iferror(if(A52="""",,E52&gt;=FILTER(Constants!$F$2:$F$10,Constants!$A$2:$A$10=A52)))"),TRUE)</f>
        <v>1</v>
      </c>
    </row>
    <row r="53">
      <c r="A53" s="80" t="str">
        <f>IFERROR(__xludf.DUMMYFUNCTION("""COMPUTED_VALUE"""),"Premier")</f>
        <v>Premier</v>
      </c>
      <c r="B53" s="80" t="str">
        <f>IFERROR(__xludf.DUMMYFUNCTION("""COMPUTED_VALUE"""),"RSC007830")</f>
        <v>RSC007830</v>
      </c>
      <c r="C53" s="80" t="str">
        <f>IFERROR(__xludf.DUMMYFUNCTION("""COMPUTED_VALUE"""),"ghosty rl")</f>
        <v>ghosty rl</v>
      </c>
      <c r="D53" s="80"/>
      <c r="E53" s="80">
        <f>IFERROR(__xludf.DUMMYFUNCTION("""COMPUTED_VALUE"""),8.0)</f>
        <v>8</v>
      </c>
      <c r="F53" s="80">
        <f>IFERROR(__xludf.DUMMYFUNCTION("""COMPUTED_VALUE"""),2.0)</f>
        <v>2</v>
      </c>
      <c r="G53" s="80">
        <f>IFERROR(__xludf.DUMMYFUNCTION("""COMPUTED_VALUE"""),6.0)</f>
        <v>6</v>
      </c>
      <c r="H53" s="81">
        <f>IFERROR(__xludf.DUMMYFUNCTION("""COMPUTED_VALUE"""),0.25)</f>
        <v>0.25</v>
      </c>
      <c r="I53" s="81">
        <f>IFERROR(__xludf.DUMMYFUNCTION("""COMPUTED_VALUE"""),0.125)</f>
        <v>0.125</v>
      </c>
      <c r="J53" s="80">
        <f>IFERROR(__xludf.DUMMYFUNCTION("""COMPUTED_VALUE"""),336.625)</f>
        <v>336.625</v>
      </c>
      <c r="K53" s="80">
        <f>IFERROR(__xludf.DUMMYFUNCTION("""COMPUTED_VALUE"""),0.25)</f>
        <v>0.25</v>
      </c>
      <c r="L53" s="80">
        <f>IFERROR(__xludf.DUMMYFUNCTION("""COMPUTED_VALUE"""),0.25)</f>
        <v>0.25</v>
      </c>
      <c r="M53" s="80">
        <f>IFERROR(__xludf.DUMMYFUNCTION("""COMPUTED_VALUE"""),2.25)</f>
        <v>2.25</v>
      </c>
      <c r="N53" s="80">
        <f>IFERROR(__xludf.DUMMYFUNCTION("""COMPUTED_VALUE"""),2.0)</f>
        <v>2</v>
      </c>
      <c r="O53" s="80">
        <f>IFERROR(__xludf.DUMMYFUNCTION("""COMPUTED_VALUE"""),410.08333333333337)</f>
        <v>410.0833333</v>
      </c>
      <c r="P53" s="80">
        <f>IFERROR(__xludf.DUMMYFUNCTION("""COMPUTED_VALUE"""),1.1666666666666667)</f>
        <v>1.166666667</v>
      </c>
      <c r="Q53" s="80">
        <f>IFERROR(__xludf.DUMMYFUNCTION("""COMPUTED_VALUE"""),1.0833333333333333)</f>
        <v>1.083333333</v>
      </c>
      <c r="R53" s="80">
        <f>IFERROR(__xludf.DUMMYFUNCTION("""COMPUTED_VALUE"""),1.0833333333333333)</f>
        <v>1.083333333</v>
      </c>
      <c r="S53" s="80">
        <f>IFERROR(__xludf.DUMMYFUNCTION("""COMPUTED_VALUE"""),3.041666666666667)</f>
        <v>3.041666667</v>
      </c>
      <c r="T53" s="80">
        <f>IFERROR(__xludf.DUMMYFUNCTION("""COMPUTED_VALUE"""),385.5620136943666)</f>
        <v>385.5620137</v>
      </c>
      <c r="U53" s="80">
        <f>IFERROR(__xludf.DUMMYFUNCTION("""COMPUTED_VALUE"""),0.9042561469032058)</f>
        <v>0.9042561469</v>
      </c>
      <c r="V53" s="80">
        <f>IFERROR(__xludf.DUMMYFUNCTION("""COMPUTED_VALUE"""),0.826525054466231)</f>
        <v>0.8265250545</v>
      </c>
      <c r="W53" s="80">
        <f>IFERROR(__xludf.DUMMYFUNCTION("""COMPUTED_VALUE"""),1.4246031746031744)</f>
        <v>1.424603175</v>
      </c>
      <c r="X53" s="80">
        <f>IFERROR(__xludf.DUMMYFUNCTION("""COMPUTED_VALUE"""),2.8974089635854336)</f>
        <v>2.897408964</v>
      </c>
      <c r="Y53" s="80">
        <f>IFERROR(__xludf.DUMMYFUNCTION("""COMPUTED_VALUE"""),368.8771267766366)</f>
        <v>368.8771268</v>
      </c>
      <c r="Z53" s="80">
        <f>IFERROR(__xludf.DUMMYFUNCTION("""COMPUTED_VALUE"""),0.7986954040875609)</f>
        <v>0.7986954041</v>
      </c>
      <c r="AA53" s="80">
        <f>IFERROR(__xludf.DUMMYFUNCTION("""COMPUTED_VALUE"""),0.6014498391949371)</f>
        <v>0.6014498392</v>
      </c>
      <c r="AB53" s="80">
        <f>IFERROR(__xludf.DUMMYFUNCTION("""COMPUTED_VALUE"""),1.5360903620707542)</f>
        <v>1.536090362</v>
      </c>
      <c r="AC53" s="80">
        <f>IFERROR(__xludf.DUMMYFUNCTION("""COMPUTED_VALUE"""),2.6205259881730467)</f>
        <v>2.620525988</v>
      </c>
      <c r="AD53" s="80">
        <f>IFERROR(__xludf.DUMMYFUNCTION("""COMPUTED_VALUE"""),0.9125667480158888)</f>
        <v>0.912566748</v>
      </c>
      <c r="AE53" s="80">
        <f>IFERROR(__xludf.DUMMYFUNCTION("""COMPUTED_VALUE"""),0.3130104401760055)</f>
        <v>0.3130104402</v>
      </c>
      <c r="AF53" s="80">
        <f>IFERROR(__xludf.DUMMYFUNCTION("""COMPUTED_VALUE"""),0.4156622609370621)</f>
        <v>0.4156622609</v>
      </c>
      <c r="AG53" s="80">
        <f>IFERROR(__xludf.DUMMYFUNCTION("""COMPUTED_VALUE"""),1.464757579083334)</f>
        <v>1.464757579</v>
      </c>
      <c r="AH53" s="80">
        <f>IFERROR(__xludf.DUMMYFUNCTION("""COMPUTED_VALUE"""),0.7632055583598089)</f>
        <v>0.7632055584</v>
      </c>
      <c r="AI53" s="80">
        <f>IFERROR(__xludf.DUMMYFUNCTION("""COMPUTED_VALUE"""),1.0635988991861753)</f>
        <v>1.063598899</v>
      </c>
      <c r="AJ53" s="80">
        <f>IFERROR(__xludf.DUMMYFUNCTION("""COMPUTED_VALUE"""),1.2901948973884612)</f>
        <v>1.290194897</v>
      </c>
      <c r="AK53" s="80">
        <f>IFERROR(__xludf.DUMMYFUNCTION("""COMPUTED_VALUE"""),1.3107084019769355)</f>
        <v>1.310708402</v>
      </c>
      <c r="AL53" s="80">
        <f>IFERROR(__xludf.DUMMYFUNCTION("""COMPUTED_VALUE"""),0.7604456824512535)</f>
        <v>0.7604456825</v>
      </c>
      <c r="AM53" s="80">
        <f>IFERROR(__xludf.DUMMYFUNCTION("""COMPUTED_VALUE"""),1.0497885196374626)</f>
        <v>1.04978852</v>
      </c>
      <c r="AN53" s="80">
        <f>IFERROR(__xludf.DUMMYFUNCTION("""COMPUTED_VALUE"""),0.9139642423892531)</f>
        <v>0.9139642424</v>
      </c>
      <c r="AO53" s="80">
        <f>IFERROR(__xludf.DUMMYFUNCTION("""COMPUTED_VALUE"""),0.3120514935753224)</f>
        <v>0.3120514936</v>
      </c>
      <c r="AP53" s="80">
        <f>IFERROR(__xludf.DUMMYFUNCTION("""COMPUTED_VALUE"""),0.411111489141047)</f>
        <v>0.4111114891</v>
      </c>
      <c r="AQ53" s="80">
        <f>IFERROR(__xludf.DUMMYFUNCTION("""COMPUTED_VALUE"""),1.5228942921740733)</f>
        <v>1.522894292</v>
      </c>
      <c r="AR53" s="80">
        <f>IFERROR(__xludf.DUMMYFUNCTION("""COMPUTED_VALUE"""),0.7534651867978963)</f>
        <v>0.7534651868</v>
      </c>
      <c r="AS53" s="80">
        <f>IFERROR(__xludf.DUMMYFUNCTION("""COMPUTED_VALUE"""),16.0)</f>
        <v>16</v>
      </c>
      <c r="AT53" s="80">
        <f>IFERROR(__xludf.DUMMYFUNCTION("""COMPUTED_VALUE"""),0.28642789176939765)</f>
        <v>0.2864278918</v>
      </c>
      <c r="AU53" s="80">
        <f>IFERROR(__xludf.DUMMYFUNCTION("""COMPUTED_VALUE"""),0.7219566835115703)</f>
        <v>0.7219566835</v>
      </c>
      <c r="AV53" s="80">
        <f>IFERROR(__xludf.DUMMYFUNCTION("""COMPUTED_VALUE"""),-0.39297454784903607)</f>
        <v>-0.3929745478</v>
      </c>
      <c r="AW53" s="82">
        <f t="shared" si="1"/>
        <v>-45.6315028</v>
      </c>
      <c r="AX53" s="83">
        <f t="array" ref="AX53">IFERROR(DGET('SBV Import'!A:G,"SBV",{"RSC ID","Tier";B53,A53}))</f>
        <v>21.92860093</v>
      </c>
      <c r="AY53" s="82">
        <f t="shared" si="2"/>
        <v>-7.648222369</v>
      </c>
      <c r="AZ53" s="82">
        <v>37.98328042944876</v>
      </c>
      <c r="BA53" s="84">
        <v>2.0</v>
      </c>
      <c r="BB53" s="84" t="b">
        <f>IFERROR(__xludf.DUMMYFUNCTION("iferror(if(A53="""",,E53&gt;=FILTER(Constants!$F$2:$F$10,Constants!$A$2:$A$10=A53)))"),TRUE)</f>
        <v>1</v>
      </c>
    </row>
    <row r="54">
      <c r="A54" s="80" t="str">
        <f>IFERROR(__xludf.DUMMYFUNCTION("""COMPUTED_VALUE"""),"Premier")</f>
        <v>Premier</v>
      </c>
      <c r="B54" s="80" t="str">
        <f>IFERROR(__xludf.DUMMYFUNCTION("""COMPUTED_VALUE"""),"RSC004810")</f>
        <v>RSC004810</v>
      </c>
      <c r="C54" s="80" t="str">
        <f>IFERROR(__xludf.DUMMYFUNCTION("""COMPUTED_VALUE"""),"feed.")</f>
        <v>feed.</v>
      </c>
      <c r="D54" s="80" t="str">
        <f>IFERROR(__xludf.DUMMYFUNCTION("""COMPUTED_VALUE"""),"Fairies")</f>
        <v>Fairies</v>
      </c>
      <c r="E54" s="80">
        <f>IFERROR(__xludf.DUMMYFUNCTION("""COMPUTED_VALUE"""),2.0)</f>
        <v>2</v>
      </c>
      <c r="F54" s="80">
        <f>IFERROR(__xludf.DUMMYFUNCTION("""COMPUTED_VALUE"""),0.0)</f>
        <v>0</v>
      </c>
      <c r="G54" s="80">
        <f>IFERROR(__xludf.DUMMYFUNCTION("""COMPUTED_VALUE"""),2.0)</f>
        <v>2</v>
      </c>
      <c r="H54" s="81">
        <f>IFERROR(__xludf.DUMMYFUNCTION("""COMPUTED_VALUE"""),0.0)</f>
        <v>0</v>
      </c>
      <c r="I54" s="81">
        <f>IFERROR(__xludf.DUMMYFUNCTION("""COMPUTED_VALUE"""),0.0)</f>
        <v>0</v>
      </c>
      <c r="J54" s="80">
        <f>IFERROR(__xludf.DUMMYFUNCTION("""COMPUTED_VALUE"""),292.5)</f>
        <v>292.5</v>
      </c>
      <c r="K54" s="80">
        <f>IFERROR(__xludf.DUMMYFUNCTION("""COMPUTED_VALUE"""),0.0)</f>
        <v>0</v>
      </c>
      <c r="L54" s="80">
        <f>IFERROR(__xludf.DUMMYFUNCTION("""COMPUTED_VALUE"""),0.5)</f>
        <v>0.5</v>
      </c>
      <c r="M54" s="80">
        <f>IFERROR(__xludf.DUMMYFUNCTION("""COMPUTED_VALUE"""),2.5)</f>
        <v>2.5</v>
      </c>
      <c r="N54" s="80">
        <f>IFERROR(__xludf.DUMMYFUNCTION("""COMPUTED_VALUE"""),1.5)</f>
        <v>1.5</v>
      </c>
      <c r="O54" s="80">
        <f>IFERROR(__xludf.DUMMYFUNCTION("""COMPUTED_VALUE"""),564.6666666666666)</f>
        <v>564.6666667</v>
      </c>
      <c r="P54" s="80">
        <f>IFERROR(__xludf.DUMMYFUNCTION("""COMPUTED_VALUE"""),2.1666666666666665)</f>
        <v>2.166666667</v>
      </c>
      <c r="Q54" s="80">
        <f>IFERROR(__xludf.DUMMYFUNCTION("""COMPUTED_VALUE"""),1.5)</f>
        <v>1.5</v>
      </c>
      <c r="R54" s="80">
        <f>IFERROR(__xludf.DUMMYFUNCTION("""COMPUTED_VALUE"""),0.8333333333333333)</f>
        <v>0.8333333333</v>
      </c>
      <c r="S54" s="80">
        <f>IFERROR(__xludf.DUMMYFUNCTION("""COMPUTED_VALUE"""),4.5)</f>
        <v>4.5</v>
      </c>
      <c r="T54" s="80">
        <f>IFERROR(__xludf.DUMMYFUNCTION("""COMPUTED_VALUE"""),403.7856209150327)</f>
        <v>403.7856209</v>
      </c>
      <c r="U54" s="80">
        <f>IFERROR(__xludf.DUMMYFUNCTION("""COMPUTED_VALUE"""),0.9934640522875817)</f>
        <v>0.9934640523</v>
      </c>
      <c r="V54" s="80">
        <f>IFERROR(__xludf.DUMMYFUNCTION("""COMPUTED_VALUE"""),0.8032679738562091)</f>
        <v>0.8032679739</v>
      </c>
      <c r="W54" s="80">
        <f>IFERROR(__xludf.DUMMYFUNCTION("""COMPUTED_VALUE"""),1.2705882352941176)</f>
        <v>1.270588235</v>
      </c>
      <c r="X54" s="80">
        <f>IFERROR(__xludf.DUMMYFUNCTION("""COMPUTED_VALUE"""),3.098692810457516)</f>
        <v>3.09869281</v>
      </c>
      <c r="Y54" s="80">
        <f>IFERROR(__xludf.DUMMYFUNCTION("""COMPUTED_VALUE"""),341.7945533769063)</f>
        <v>341.7945534</v>
      </c>
      <c r="Z54" s="80">
        <f>IFERROR(__xludf.DUMMYFUNCTION("""COMPUTED_VALUE"""),0.6276688453159042)</f>
        <v>0.6276688453</v>
      </c>
      <c r="AA54" s="80">
        <f>IFERROR(__xludf.DUMMYFUNCTION("""COMPUTED_VALUE"""),0.42745098039215684)</f>
        <v>0.4274509804</v>
      </c>
      <c r="AB54" s="80">
        <f>IFERROR(__xludf.DUMMYFUNCTION("""COMPUTED_VALUE"""),1.5958605664488017)</f>
        <v>1.595860566</v>
      </c>
      <c r="AC54" s="80">
        <f>IFERROR(__xludf.DUMMYFUNCTION("""COMPUTED_VALUE"""),2.2934640522875824)</f>
        <v>2.293464052</v>
      </c>
      <c r="AD54" s="80">
        <f>IFERROR(__xludf.DUMMYFUNCTION("""COMPUTED_VALUE"""),0.8557772413577701)</f>
        <v>0.8557772414</v>
      </c>
      <c r="AE54" s="80">
        <f>IFERROR(__xludf.DUMMYFUNCTION("""COMPUTED_VALUE"""),0.0)</f>
        <v>0</v>
      </c>
      <c r="AF54" s="80">
        <f>IFERROR(__xludf.DUMMYFUNCTION("""COMPUTED_VALUE"""),1.1697247706422018)</f>
        <v>1.169724771</v>
      </c>
      <c r="AG54" s="80">
        <f>IFERROR(__xludf.DUMMYFUNCTION("""COMPUTED_VALUE"""),1.5665529010238908)</f>
        <v>1.566552901</v>
      </c>
      <c r="AH54" s="80">
        <f>IFERROR(__xludf.DUMMYFUNCTION("""COMPUTED_VALUE"""),0.654032487888287)</f>
        <v>0.6540324879</v>
      </c>
      <c r="AI54" s="80">
        <f>IFERROR(__xludf.DUMMYFUNCTION("""COMPUTED_VALUE"""),1.3984318346627989)</f>
        <v>1.398431835</v>
      </c>
      <c r="AJ54" s="80">
        <f>IFERROR(__xludf.DUMMYFUNCTION("""COMPUTED_VALUE"""),2.1809210526315788)</f>
        <v>2.180921053</v>
      </c>
      <c r="AK54" s="80">
        <f>IFERROR(__xludf.DUMMYFUNCTION("""COMPUTED_VALUE"""),1.867371847030106)</f>
        <v>1.867371847</v>
      </c>
      <c r="AL54" s="80">
        <f>IFERROR(__xludf.DUMMYFUNCTION("""COMPUTED_VALUE"""),0.6558641975308642)</f>
        <v>0.6558641975</v>
      </c>
      <c r="AM54" s="80">
        <f>IFERROR(__xludf.DUMMYFUNCTION("""COMPUTED_VALUE"""),1.4522252689306054)</f>
        <v>1.452225269</v>
      </c>
      <c r="AN54" s="80">
        <f>IFERROR(__xludf.DUMMYFUNCTION("""COMPUTED_VALUE"""),0.7941612800560164)</f>
        <v>0.7941612801</v>
      </c>
      <c r="AO54" s="80">
        <f>IFERROR(__xludf.DUMMYFUNCTION("""COMPUTED_VALUE"""),0.0)</f>
        <v>0</v>
      </c>
      <c r="AP54" s="80">
        <f>IFERROR(__xludf.DUMMYFUNCTION("""COMPUTED_VALUE"""),0.822222978282094)</f>
        <v>0.8222229783</v>
      </c>
      <c r="AQ54" s="80">
        <f>IFERROR(__xludf.DUMMYFUNCTION("""COMPUTED_VALUE"""),1.692104769082304)</f>
        <v>1.692104769</v>
      </c>
      <c r="AR54" s="80">
        <f>IFERROR(__xludf.DUMMYFUNCTION("""COMPUTED_VALUE"""),0.5650988900984222)</f>
        <v>0.5650988901</v>
      </c>
      <c r="AS54" s="80">
        <f>IFERROR(__xludf.DUMMYFUNCTION("""COMPUTED_VALUE"""),2.0)</f>
        <v>2</v>
      </c>
      <c r="AT54" s="80">
        <f>IFERROR(__xludf.DUMMYFUNCTION("""COMPUTED_VALUE"""),0.034311658509621715)</f>
        <v>0.03431165851</v>
      </c>
      <c r="AU54" s="80">
        <f>IFERROR(__xludf.DUMMYFUNCTION("""COMPUTED_VALUE"""),0.03571905451436336)</f>
        <v>0.03571905451</v>
      </c>
      <c r="AV54" s="80">
        <f>IFERROR(__xludf.DUMMYFUNCTION("""COMPUTED_VALUE"""),-19.688043957117657)</f>
        <v>-19.68804396</v>
      </c>
      <c r="AW54" s="82">
        <f t="shared" si="1"/>
        <v>-376.5564435</v>
      </c>
      <c r="AX54" s="83">
        <f t="array" ref="AX54">IFERROR(DGET('SBV Import'!A:G,"SBV",{"RSC ID","Tier";B54,A54}))</f>
        <v>4.608608224</v>
      </c>
      <c r="AY54" s="82">
        <f t="shared" si="2"/>
        <v>-28.80880986</v>
      </c>
      <c r="AZ54" s="82">
        <v>347.7476336690617</v>
      </c>
      <c r="BA54" s="84">
        <v>2.0</v>
      </c>
      <c r="BB54" s="84" t="b">
        <f>IFERROR(__xludf.DUMMYFUNCTION("iferror(if(A54="""",,E54&gt;=FILTER(Constants!$F$2:$F$10,Constants!$A$2:$A$10=A54)))"),TRUE)</f>
        <v>1</v>
      </c>
    </row>
    <row r="55">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c r="AJ55" s="80"/>
      <c r="AK55" s="80"/>
      <c r="AL55" s="80"/>
      <c r="AM55" s="80"/>
      <c r="AN55" s="80"/>
      <c r="AO55" s="80"/>
      <c r="AP55" s="80"/>
      <c r="AQ55" s="80"/>
      <c r="AR55" s="80"/>
      <c r="AS55" s="80"/>
      <c r="AT55" s="80"/>
      <c r="AU55" s="80"/>
      <c r="AV55" s="80"/>
      <c r="AW55" s="82" t="str">
        <f t="shared" si="1"/>
        <v/>
      </c>
      <c r="AX55" s="83" t="str">
        <f t="array" ref="AX55">IFERROR(DGET('SBV Import'!A:G,"SBV",{"RSC ID","Tier";B55,A55}))</f>
        <v/>
      </c>
      <c r="AY55" s="82" t="str">
        <f t="shared" si="2"/>
        <v/>
      </c>
      <c r="AZ55" s="82"/>
      <c r="BA55" s="84" t="s">
        <v>152</v>
      </c>
      <c r="BB55" s="84" t="str">
        <f>IFERROR(__xludf.DUMMYFUNCTION("iferror(if(A55="""",,E55&gt;=FILTER(Constants!$F$2:$F$10,Constants!$A$2:$A$10=A55)))"),"")</f>
        <v/>
      </c>
    </row>
    <row r="56">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c r="AJ56" s="80"/>
      <c r="AK56" s="80"/>
      <c r="AL56" s="80"/>
      <c r="AM56" s="80"/>
      <c r="AN56" s="80"/>
      <c r="AO56" s="80"/>
      <c r="AP56" s="80"/>
      <c r="AQ56" s="80"/>
      <c r="AR56" s="80"/>
      <c r="AS56" s="80"/>
      <c r="AT56" s="80"/>
      <c r="AU56" s="80"/>
      <c r="AV56" s="80"/>
      <c r="AW56" s="82" t="str">
        <f t="shared" si="1"/>
        <v/>
      </c>
      <c r="AX56" s="83" t="str">
        <f t="array" ref="AX56">IFERROR(DGET('SBV Import'!A:G,"SBV",{"RSC ID","Tier";B56,A56}))</f>
        <v/>
      </c>
      <c r="AY56" s="82" t="str">
        <f t="shared" si="2"/>
        <v/>
      </c>
      <c r="AZ56" s="82"/>
      <c r="BA56" s="84" t="s">
        <v>152</v>
      </c>
      <c r="BB56" s="84" t="str">
        <f>IFERROR(__xludf.DUMMYFUNCTION("iferror(if(A56="""",,E56&gt;=FILTER(Constants!$F$2:$F$10,Constants!$A$2:$A$10=A56)))"),"")</f>
        <v/>
      </c>
    </row>
    <row r="57">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c r="AJ57" s="80"/>
      <c r="AK57" s="80"/>
      <c r="AL57" s="80"/>
      <c r="AM57" s="80"/>
      <c r="AN57" s="80"/>
      <c r="AO57" s="80"/>
      <c r="AP57" s="80"/>
      <c r="AQ57" s="80"/>
      <c r="AR57" s="80"/>
      <c r="AS57" s="80"/>
      <c r="AT57" s="80"/>
      <c r="AU57" s="80"/>
      <c r="AV57" s="80"/>
      <c r="AW57" s="82" t="str">
        <f t="shared" si="1"/>
        <v/>
      </c>
      <c r="AX57" s="83" t="str">
        <f t="array" ref="AX57">IFERROR(DGET('SBV Import'!A:G,"SBV",{"RSC ID","Tier";B57,A57}))</f>
        <v/>
      </c>
      <c r="AY57" s="82" t="str">
        <f t="shared" si="2"/>
        <v/>
      </c>
      <c r="AZ57" s="82"/>
      <c r="BA57" s="84" t="s">
        <v>152</v>
      </c>
      <c r="BB57" s="84" t="str">
        <f>IFERROR(__xludf.DUMMYFUNCTION("iferror(if(A57="""",,E57&gt;=FILTER(Constants!$F$2:$F$10,Constants!$A$2:$A$10=A57)))"),"")</f>
        <v/>
      </c>
    </row>
    <row r="58">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c r="AJ58" s="80"/>
      <c r="AK58" s="80"/>
      <c r="AL58" s="80"/>
      <c r="AM58" s="80"/>
      <c r="AN58" s="80"/>
      <c r="AO58" s="80"/>
      <c r="AP58" s="80"/>
      <c r="AQ58" s="80"/>
      <c r="AR58" s="80"/>
      <c r="AS58" s="80"/>
      <c r="AT58" s="80"/>
      <c r="AU58" s="80"/>
      <c r="AV58" s="80"/>
      <c r="AW58" s="82" t="str">
        <f t="shared" si="1"/>
        <v/>
      </c>
      <c r="AX58" s="83" t="str">
        <f t="array" ref="AX58">IFERROR(DGET('SBV Import'!A:G,"SBV",{"RSC ID","Tier";B58,A58}))</f>
        <v/>
      </c>
      <c r="AY58" s="82" t="str">
        <f t="shared" si="2"/>
        <v/>
      </c>
      <c r="AZ58" s="82"/>
      <c r="BA58" s="84" t="s">
        <v>152</v>
      </c>
      <c r="BB58" s="84" t="str">
        <f>IFERROR(__xludf.DUMMYFUNCTION("iferror(if(A58="""",,E58&gt;=FILTER(Constants!$F$2:$F$10,Constants!$A$2:$A$10=A58)))"),"")</f>
        <v/>
      </c>
    </row>
    <row r="59">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c r="AJ59" s="80"/>
      <c r="AK59" s="80"/>
      <c r="AL59" s="80"/>
      <c r="AM59" s="80"/>
      <c r="AN59" s="80"/>
      <c r="AO59" s="80"/>
      <c r="AP59" s="80"/>
      <c r="AQ59" s="80"/>
      <c r="AR59" s="80"/>
      <c r="AS59" s="80"/>
      <c r="AT59" s="80"/>
      <c r="AU59" s="80"/>
      <c r="AV59" s="80"/>
      <c r="AW59" s="82" t="str">
        <f t="shared" si="1"/>
        <v/>
      </c>
      <c r="AX59" s="83" t="str">
        <f t="array" ref="AX59">IFERROR(DGET('SBV Import'!A:G,"SBV",{"RSC ID","Tier";B59,A59}))</f>
        <v/>
      </c>
      <c r="AY59" s="82" t="str">
        <f t="shared" si="2"/>
        <v/>
      </c>
      <c r="AZ59" s="82"/>
      <c r="BA59" s="84" t="s">
        <v>152</v>
      </c>
      <c r="BB59" s="84" t="str">
        <f>IFERROR(__xludf.DUMMYFUNCTION("iferror(if(A59="""",,E59&gt;=FILTER(Constants!$F$2:$F$10,Constants!$A$2:$A$10=A59)))"),"")</f>
        <v/>
      </c>
    </row>
    <row r="60">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0"/>
      <c r="AN60" s="80"/>
      <c r="AO60" s="80"/>
      <c r="AP60" s="80"/>
      <c r="AQ60" s="80"/>
      <c r="AR60" s="80"/>
      <c r="AS60" s="80"/>
      <c r="AT60" s="80"/>
      <c r="AU60" s="80"/>
      <c r="AV60" s="80"/>
      <c r="AW60" s="82" t="str">
        <f t="shared" si="1"/>
        <v/>
      </c>
      <c r="AX60" s="83" t="str">
        <f t="array" ref="AX60">IFERROR(DGET('SBV Import'!A:G,"SBV",{"RSC ID","Tier";B60,A60}))</f>
        <v/>
      </c>
      <c r="AY60" s="82" t="str">
        <f t="shared" si="2"/>
        <v/>
      </c>
      <c r="AZ60" s="82"/>
      <c r="BA60" s="84" t="s">
        <v>152</v>
      </c>
      <c r="BB60" s="84" t="str">
        <f>IFERROR(__xludf.DUMMYFUNCTION("iferror(if(A60="""",,E60&gt;=FILTER(Constants!$F$2:$F$10,Constants!$A$2:$A$10=A60)))"),"")</f>
        <v/>
      </c>
    </row>
    <row r="6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c r="AJ61" s="80"/>
      <c r="AK61" s="80"/>
      <c r="AL61" s="80"/>
      <c r="AM61" s="80"/>
      <c r="AN61" s="80"/>
      <c r="AO61" s="80"/>
      <c r="AP61" s="80"/>
      <c r="AQ61" s="80"/>
      <c r="AR61" s="80"/>
      <c r="AS61" s="80"/>
      <c r="AT61" s="80"/>
      <c r="AU61" s="80"/>
      <c r="AV61" s="80"/>
      <c r="AW61" s="82" t="str">
        <f t="shared" si="1"/>
        <v/>
      </c>
      <c r="AX61" s="83" t="str">
        <f t="array" ref="AX61">IFERROR(DGET('SBV Import'!A:G,"SBV",{"RSC ID","Tier";B61,A61}))</f>
        <v/>
      </c>
      <c r="AY61" s="82" t="str">
        <f t="shared" si="2"/>
        <v/>
      </c>
      <c r="AZ61" s="82"/>
      <c r="BA61" s="84" t="s">
        <v>152</v>
      </c>
      <c r="BB61" s="84" t="str">
        <f>IFERROR(__xludf.DUMMYFUNCTION("iferror(if(A61="""",,E61&gt;=FILTER(Constants!$F$2:$F$10,Constants!$A$2:$A$10=A61)))"),"")</f>
        <v/>
      </c>
    </row>
    <row r="6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c r="AJ62" s="80"/>
      <c r="AK62" s="80"/>
      <c r="AL62" s="80"/>
      <c r="AM62" s="80"/>
      <c r="AN62" s="80"/>
      <c r="AO62" s="80"/>
      <c r="AP62" s="80"/>
      <c r="AQ62" s="80"/>
      <c r="AR62" s="80"/>
      <c r="AS62" s="80"/>
      <c r="AT62" s="80"/>
      <c r="AU62" s="80"/>
      <c r="AV62" s="80"/>
      <c r="AW62" s="82" t="str">
        <f t="shared" si="1"/>
        <v/>
      </c>
      <c r="AX62" s="83" t="str">
        <f t="array" ref="AX62">IFERROR(DGET('SBV Import'!A:G,"SBV",{"RSC ID","Tier";B62,A62}))</f>
        <v/>
      </c>
      <c r="AY62" s="82" t="str">
        <f t="shared" si="2"/>
        <v/>
      </c>
      <c r="AZ62" s="82"/>
      <c r="BA62" s="84" t="s">
        <v>152</v>
      </c>
      <c r="BB62" s="84" t="str">
        <f>IFERROR(__xludf.DUMMYFUNCTION("iferror(if(A62="""",,E62&gt;=FILTER(Constants!$F$2:$F$10,Constants!$A$2:$A$10=A62)))"),"")</f>
        <v/>
      </c>
    </row>
    <row r="63">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c r="AJ63" s="80"/>
      <c r="AK63" s="80"/>
      <c r="AL63" s="80"/>
      <c r="AM63" s="80"/>
      <c r="AN63" s="80"/>
      <c r="AO63" s="80"/>
      <c r="AP63" s="80"/>
      <c r="AQ63" s="80"/>
      <c r="AR63" s="80"/>
      <c r="AS63" s="80"/>
      <c r="AT63" s="80"/>
      <c r="AU63" s="80"/>
      <c r="AV63" s="80"/>
      <c r="AW63" s="82" t="str">
        <f t="shared" si="1"/>
        <v/>
      </c>
      <c r="AX63" s="83" t="str">
        <f t="array" ref="AX63">IFERROR(DGET('SBV Import'!A:G,"SBV",{"RSC ID","Tier";B63,A63}))</f>
        <v/>
      </c>
      <c r="AY63" s="82" t="str">
        <f t="shared" si="2"/>
        <v/>
      </c>
      <c r="AZ63" s="82"/>
      <c r="BA63" s="84" t="s">
        <v>152</v>
      </c>
      <c r="BB63" s="84" t="str">
        <f>IFERROR(__xludf.DUMMYFUNCTION("iferror(if(A63="""",,E63&gt;=FILTER(Constants!$F$2:$F$10,Constants!$A$2:$A$10=A63)))"),"")</f>
        <v/>
      </c>
    </row>
    <row r="64">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c r="AJ64" s="80"/>
      <c r="AK64" s="80"/>
      <c r="AL64" s="80"/>
      <c r="AM64" s="80"/>
      <c r="AN64" s="80"/>
      <c r="AO64" s="80"/>
      <c r="AP64" s="80"/>
      <c r="AQ64" s="80"/>
      <c r="AR64" s="80"/>
      <c r="AS64" s="80"/>
      <c r="AT64" s="80"/>
      <c r="AU64" s="80"/>
      <c r="AV64" s="80"/>
      <c r="AW64" s="82" t="str">
        <f t="shared" si="1"/>
        <v/>
      </c>
      <c r="AX64" s="83" t="str">
        <f t="array" ref="AX64">IFERROR(DGET('SBV Import'!A:G,"SBV",{"RSC ID","Tier";B64,A64}))</f>
        <v/>
      </c>
      <c r="AY64" s="82" t="str">
        <f t="shared" si="2"/>
        <v/>
      </c>
      <c r="AZ64" s="82"/>
      <c r="BA64" s="84" t="s">
        <v>152</v>
      </c>
      <c r="BB64" s="84" t="str">
        <f>IFERROR(__xludf.DUMMYFUNCTION("iferror(if(A64="""",,E64&gt;=FILTER(Constants!$F$2:$F$10,Constants!$A$2:$A$10=A64)))"),"")</f>
        <v/>
      </c>
    </row>
    <row r="65">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c r="AJ65" s="80"/>
      <c r="AK65" s="80"/>
      <c r="AL65" s="80"/>
      <c r="AM65" s="80"/>
      <c r="AN65" s="80"/>
      <c r="AO65" s="80"/>
      <c r="AP65" s="80"/>
      <c r="AQ65" s="80"/>
      <c r="AR65" s="80"/>
      <c r="AS65" s="80"/>
      <c r="AT65" s="80"/>
      <c r="AU65" s="80"/>
      <c r="AV65" s="80"/>
      <c r="AW65" s="82" t="str">
        <f t="shared" si="1"/>
        <v/>
      </c>
      <c r="AX65" s="83" t="str">
        <f t="array" ref="AX65">IFERROR(DGET('SBV Import'!A:G,"SBV",{"RSC ID","Tier";B65,A65}))</f>
        <v/>
      </c>
      <c r="AY65" s="82" t="str">
        <f t="shared" si="2"/>
        <v/>
      </c>
      <c r="AZ65" s="82"/>
      <c r="BA65" s="84" t="s">
        <v>152</v>
      </c>
      <c r="BB65" s="84" t="str">
        <f>IFERROR(__xludf.DUMMYFUNCTION("iferror(if(A65="""",,E65&gt;=FILTER(Constants!$F$2:$F$10,Constants!$A$2:$A$10=A65)))"),"")</f>
        <v/>
      </c>
    </row>
    <row r="66">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c r="AJ66" s="80"/>
      <c r="AK66" s="80"/>
      <c r="AL66" s="80"/>
      <c r="AM66" s="80"/>
      <c r="AN66" s="80"/>
      <c r="AO66" s="80"/>
      <c r="AP66" s="80"/>
      <c r="AQ66" s="80"/>
      <c r="AR66" s="80"/>
      <c r="AS66" s="80"/>
      <c r="AT66" s="80"/>
      <c r="AU66" s="80"/>
      <c r="AV66" s="80"/>
      <c r="AW66" s="82" t="str">
        <f t="shared" si="1"/>
        <v/>
      </c>
      <c r="AX66" s="83" t="str">
        <f t="array" ref="AX66">IFERROR(DGET('SBV Import'!A:G,"SBV",{"RSC ID","Tier";B66,A66}))</f>
        <v/>
      </c>
      <c r="AY66" s="82" t="str">
        <f t="shared" si="2"/>
        <v/>
      </c>
      <c r="AZ66" s="82"/>
      <c r="BA66" s="84" t="s">
        <v>152</v>
      </c>
      <c r="BB66" s="84" t="str">
        <f>IFERROR(__xludf.DUMMYFUNCTION("iferror(if(A66="""",,E66&gt;=FILTER(Constants!$F$2:$F$10,Constants!$A$2:$A$10=A66)))"),"")</f>
        <v/>
      </c>
    </row>
    <row r="67">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c r="AJ67" s="80"/>
      <c r="AK67" s="80"/>
      <c r="AL67" s="80"/>
      <c r="AM67" s="80"/>
      <c r="AN67" s="80"/>
      <c r="AO67" s="80"/>
      <c r="AP67" s="80"/>
      <c r="AQ67" s="80"/>
      <c r="AR67" s="80"/>
      <c r="AS67" s="80"/>
      <c r="AT67" s="80"/>
      <c r="AU67" s="80"/>
      <c r="AV67" s="80"/>
      <c r="AW67" s="82" t="str">
        <f t="shared" si="1"/>
        <v/>
      </c>
      <c r="AX67" s="83" t="str">
        <f t="array" ref="AX67">IFERROR(DGET('SBV Import'!A:G,"SBV",{"RSC ID","Tier";B67,A67}))</f>
        <v/>
      </c>
      <c r="AY67" s="82" t="str">
        <f t="shared" si="2"/>
        <v/>
      </c>
      <c r="AZ67" s="82"/>
      <c r="BA67" s="84" t="s">
        <v>152</v>
      </c>
      <c r="BB67" s="84" t="str">
        <f>IFERROR(__xludf.DUMMYFUNCTION("iferror(if(A67="""",,E67&gt;=FILTER(Constants!$F$2:$F$10,Constants!$A$2:$A$10=A67)))"),"")</f>
        <v/>
      </c>
    </row>
    <row r="68">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2" t="str">
        <f t="shared" si="1"/>
        <v/>
      </c>
      <c r="AX68" s="83" t="str">
        <f t="array" ref="AX68">IFERROR(DGET('SBV Import'!A:G,"SBV",{"RSC ID","Tier";B68,A68}))</f>
        <v/>
      </c>
      <c r="AY68" s="82" t="str">
        <f t="shared" si="2"/>
        <v/>
      </c>
      <c r="AZ68" s="82"/>
      <c r="BA68" s="84" t="s">
        <v>152</v>
      </c>
      <c r="BB68" s="84" t="str">
        <f>IFERROR(__xludf.DUMMYFUNCTION("iferror(if(A68="""",,E68&gt;=FILTER(Constants!$F$2:$F$10,Constants!$A$2:$A$10=A68)))"),"")</f>
        <v/>
      </c>
    </row>
    <row r="69">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c r="AJ69" s="80"/>
      <c r="AK69" s="80"/>
      <c r="AL69" s="80"/>
      <c r="AM69" s="80"/>
      <c r="AN69" s="80"/>
      <c r="AO69" s="80"/>
      <c r="AP69" s="80"/>
      <c r="AQ69" s="80"/>
      <c r="AR69" s="80"/>
      <c r="AS69" s="80"/>
      <c r="AT69" s="80"/>
      <c r="AU69" s="80"/>
      <c r="AV69" s="80"/>
      <c r="AW69" s="82" t="str">
        <f t="shared" si="1"/>
        <v/>
      </c>
      <c r="AX69" s="83" t="str">
        <f t="array" ref="AX69">IFERROR(DGET('SBV Import'!A:G,"SBV",{"RSC ID","Tier";B69,A69}))</f>
        <v/>
      </c>
      <c r="AY69" s="82" t="str">
        <f t="shared" si="2"/>
        <v/>
      </c>
      <c r="AZ69" s="82"/>
      <c r="BA69" s="84" t="s">
        <v>152</v>
      </c>
      <c r="BB69" s="84" t="str">
        <f>IFERROR(__xludf.DUMMYFUNCTION("iferror(if(A69="""",,E69&gt;=FILTER(Constants!$F$2:$F$10,Constants!$A$2:$A$10=A69)))"),"")</f>
        <v/>
      </c>
    </row>
    <row r="70">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c r="AJ70" s="80"/>
      <c r="AK70" s="80"/>
      <c r="AL70" s="80"/>
      <c r="AM70" s="80"/>
      <c r="AN70" s="80"/>
      <c r="AO70" s="80"/>
      <c r="AP70" s="80"/>
      <c r="AQ70" s="80"/>
      <c r="AR70" s="80"/>
      <c r="AS70" s="80"/>
      <c r="AT70" s="80"/>
      <c r="AU70" s="80"/>
      <c r="AV70" s="80"/>
      <c r="AW70" s="82" t="str">
        <f t="shared" si="1"/>
        <v/>
      </c>
      <c r="AX70" s="83" t="str">
        <f t="array" ref="AX70">IFERROR(DGET('SBV Import'!A:G,"SBV",{"RSC ID","Tier";B70,A70}))</f>
        <v/>
      </c>
      <c r="AY70" s="82" t="str">
        <f t="shared" si="2"/>
        <v/>
      </c>
      <c r="AZ70" s="82"/>
      <c r="BA70" s="84" t="s">
        <v>152</v>
      </c>
      <c r="BB70" s="84" t="str">
        <f>IFERROR(__xludf.DUMMYFUNCTION("iferror(if(A70="""",,E70&gt;=FILTER(Constants!$F$2:$F$10,Constants!$A$2:$A$10=A70)))"),"")</f>
        <v/>
      </c>
    </row>
    <row r="7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c r="AJ71" s="80"/>
      <c r="AK71" s="80"/>
      <c r="AL71" s="80"/>
      <c r="AM71" s="80"/>
      <c r="AN71" s="80"/>
      <c r="AO71" s="80"/>
      <c r="AP71" s="80"/>
      <c r="AQ71" s="80"/>
      <c r="AR71" s="80"/>
      <c r="AS71" s="80"/>
      <c r="AT71" s="80"/>
      <c r="AU71" s="80"/>
      <c r="AV71" s="80"/>
      <c r="AW71" s="82" t="str">
        <f t="shared" si="1"/>
        <v/>
      </c>
      <c r="AX71" s="83" t="str">
        <f t="array" ref="AX71">IFERROR(DGET('SBV Import'!A:G,"SBV",{"RSC ID","Tier";B71,A71}))</f>
        <v/>
      </c>
      <c r="AY71" s="82" t="str">
        <f t="shared" si="2"/>
        <v/>
      </c>
      <c r="AZ71" s="82"/>
      <c r="BA71" s="84" t="s">
        <v>152</v>
      </c>
      <c r="BB71" s="84" t="str">
        <f>IFERROR(__xludf.DUMMYFUNCTION("iferror(if(A71="""",,E71&gt;=FILTER(Constants!$F$2:$F$10,Constants!$A$2:$A$10=A71)))"),"")</f>
        <v/>
      </c>
    </row>
    <row r="7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c r="AJ72" s="80"/>
      <c r="AK72" s="80"/>
      <c r="AL72" s="80"/>
      <c r="AM72" s="80"/>
      <c r="AN72" s="80"/>
      <c r="AO72" s="80"/>
      <c r="AP72" s="80"/>
      <c r="AQ72" s="80"/>
      <c r="AR72" s="80"/>
      <c r="AS72" s="80"/>
      <c r="AT72" s="80"/>
      <c r="AU72" s="80"/>
      <c r="AV72" s="80"/>
      <c r="AW72" s="82" t="str">
        <f t="shared" si="1"/>
        <v/>
      </c>
      <c r="AX72" s="83" t="str">
        <f t="array" ref="AX72">IFERROR(DGET('SBV Import'!A:G,"SBV",{"RSC ID","Tier";B72,A72}))</f>
        <v/>
      </c>
      <c r="AY72" s="82" t="str">
        <f t="shared" si="2"/>
        <v/>
      </c>
      <c r="AZ72" s="82"/>
      <c r="BA72" s="84" t="s">
        <v>152</v>
      </c>
      <c r="BB72" s="84" t="str">
        <f>IFERROR(__xludf.DUMMYFUNCTION("iferror(if(A72="""",,E72&gt;=FILTER(Constants!$F$2:$F$10,Constants!$A$2:$A$10=A72)))"),"")</f>
        <v/>
      </c>
    </row>
    <row r="73">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c r="AJ73" s="80"/>
      <c r="AK73" s="80"/>
      <c r="AL73" s="80"/>
      <c r="AM73" s="80"/>
      <c r="AN73" s="80"/>
      <c r="AO73" s="80"/>
      <c r="AP73" s="80"/>
      <c r="AQ73" s="80"/>
      <c r="AR73" s="80"/>
      <c r="AS73" s="80"/>
      <c r="AT73" s="80"/>
      <c r="AU73" s="80"/>
      <c r="AV73" s="80"/>
      <c r="AW73" s="82" t="str">
        <f t="shared" si="1"/>
        <v/>
      </c>
      <c r="AX73" s="83" t="str">
        <f t="array" ref="AX73">IFERROR(DGET('SBV Import'!A:G,"SBV",{"RSC ID","Tier";B73,A73}))</f>
        <v/>
      </c>
      <c r="AY73" s="82" t="str">
        <f t="shared" si="2"/>
        <v/>
      </c>
      <c r="AZ73" s="82"/>
      <c r="BA73" s="84" t="s">
        <v>152</v>
      </c>
      <c r="BB73" s="84" t="str">
        <f>IFERROR(__xludf.DUMMYFUNCTION("iferror(if(A73="""",,E73&gt;=FILTER(Constants!$F$2:$F$10,Constants!$A$2:$A$10=A73)))"),"")</f>
        <v/>
      </c>
    </row>
    <row r="74">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80"/>
      <c r="AN74" s="80"/>
      <c r="AO74" s="80"/>
      <c r="AP74" s="80"/>
      <c r="AQ74" s="80"/>
      <c r="AR74" s="80"/>
      <c r="AS74" s="80"/>
      <c r="AT74" s="80"/>
      <c r="AU74" s="80"/>
      <c r="AV74" s="80"/>
      <c r="AW74" s="82" t="str">
        <f t="shared" si="1"/>
        <v/>
      </c>
      <c r="AX74" s="83" t="str">
        <f t="array" ref="AX74">IFERROR(DGET('SBV Import'!A:G,"SBV",{"RSC ID","Tier";B74,A74}))</f>
        <v/>
      </c>
      <c r="AY74" s="82" t="str">
        <f t="shared" si="2"/>
        <v/>
      </c>
      <c r="AZ74" s="82"/>
      <c r="BA74" s="84" t="s">
        <v>152</v>
      </c>
      <c r="BB74" s="84" t="str">
        <f>IFERROR(__xludf.DUMMYFUNCTION("iferror(if(A74="""",,E74&gt;=FILTER(Constants!$F$2:$F$10,Constants!$A$2:$A$10=A74)))"),"")</f>
        <v/>
      </c>
    </row>
    <row r="75">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c r="AJ75" s="80"/>
      <c r="AK75" s="80"/>
      <c r="AL75" s="80"/>
      <c r="AM75" s="80"/>
      <c r="AN75" s="80"/>
      <c r="AO75" s="80"/>
      <c r="AP75" s="80"/>
      <c r="AQ75" s="80"/>
      <c r="AR75" s="80"/>
      <c r="AS75" s="80"/>
      <c r="AT75" s="80"/>
      <c r="AU75" s="80"/>
      <c r="AV75" s="80"/>
      <c r="AW75" s="82" t="str">
        <f t="shared" si="1"/>
        <v/>
      </c>
      <c r="AX75" s="83" t="str">
        <f t="array" ref="AX75">IFERROR(DGET('SBV Import'!A:G,"SBV",{"RSC ID","Tier";B75,A75}))</f>
        <v/>
      </c>
      <c r="AY75" s="82" t="str">
        <f t="shared" si="2"/>
        <v/>
      </c>
      <c r="AZ75" s="82"/>
      <c r="BA75" s="84" t="s">
        <v>152</v>
      </c>
      <c r="BB75" s="84" t="str">
        <f>IFERROR(__xludf.DUMMYFUNCTION("iferror(if(A75="""",,E75&gt;=FILTER(Constants!$F$2:$F$10,Constants!$A$2:$A$10=A75)))"),"")</f>
        <v/>
      </c>
    </row>
    <row r="76">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c r="AJ76" s="80"/>
      <c r="AK76" s="80"/>
      <c r="AL76" s="80"/>
      <c r="AM76" s="80"/>
      <c r="AN76" s="80"/>
      <c r="AO76" s="80"/>
      <c r="AP76" s="80"/>
      <c r="AQ76" s="80"/>
      <c r="AR76" s="80"/>
      <c r="AS76" s="80"/>
      <c r="AT76" s="80"/>
      <c r="AU76" s="80"/>
      <c r="AV76" s="80"/>
      <c r="AW76" s="82" t="str">
        <f t="shared" si="1"/>
        <v/>
      </c>
      <c r="AX76" s="83" t="str">
        <f t="array" ref="AX76">IFERROR(DGET('SBV Import'!A:G,"SBV",{"RSC ID","Tier";B76,A76}))</f>
        <v/>
      </c>
      <c r="AY76" s="82" t="str">
        <f t="shared" si="2"/>
        <v/>
      </c>
      <c r="AZ76" s="82"/>
      <c r="BA76" s="84" t="s">
        <v>152</v>
      </c>
      <c r="BB76" s="84" t="str">
        <f>IFERROR(__xludf.DUMMYFUNCTION("iferror(if(A76="""",,E76&gt;=FILTER(Constants!$F$2:$F$10,Constants!$A$2:$A$10=A76)))"),"")</f>
        <v/>
      </c>
    </row>
    <row r="77">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c r="AJ77" s="80"/>
      <c r="AK77" s="80"/>
      <c r="AL77" s="80"/>
      <c r="AM77" s="80"/>
      <c r="AN77" s="80"/>
      <c r="AO77" s="80"/>
      <c r="AP77" s="80"/>
      <c r="AQ77" s="80"/>
      <c r="AR77" s="80"/>
      <c r="AS77" s="80"/>
      <c r="AT77" s="80"/>
      <c r="AU77" s="80"/>
      <c r="AV77" s="80"/>
      <c r="AW77" s="82" t="str">
        <f t="shared" si="1"/>
        <v/>
      </c>
      <c r="AX77" s="83" t="str">
        <f t="array" ref="AX77">IFERROR(DGET('SBV Import'!A:G,"SBV",{"RSC ID","Tier";B77,A77}))</f>
        <v/>
      </c>
      <c r="AY77" s="82" t="str">
        <f t="shared" si="2"/>
        <v/>
      </c>
      <c r="AZ77" s="82"/>
      <c r="BA77" s="84" t="s">
        <v>152</v>
      </c>
      <c r="BB77" s="84" t="str">
        <f>IFERROR(__xludf.DUMMYFUNCTION("iferror(if(A77="""",,E77&gt;=FILTER(Constants!$F$2:$F$10,Constants!$A$2:$A$10=A77)))"),"")</f>
        <v/>
      </c>
    </row>
    <row r="78">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c r="AJ78" s="80"/>
      <c r="AK78" s="80"/>
      <c r="AL78" s="80"/>
      <c r="AM78" s="80"/>
      <c r="AN78" s="80"/>
      <c r="AO78" s="80"/>
      <c r="AP78" s="80"/>
      <c r="AQ78" s="80"/>
      <c r="AR78" s="80"/>
      <c r="AS78" s="80"/>
      <c r="AT78" s="80"/>
      <c r="AU78" s="80"/>
      <c r="AV78" s="80"/>
      <c r="AW78" s="82" t="str">
        <f t="shared" si="1"/>
        <v/>
      </c>
      <c r="AX78" s="83" t="str">
        <f t="array" ref="AX78">IFERROR(DGET('SBV Import'!A:G,"SBV",{"RSC ID","Tier";B78,A78}))</f>
        <v/>
      </c>
      <c r="AY78" s="82" t="str">
        <f t="shared" si="2"/>
        <v/>
      </c>
      <c r="AZ78" s="82"/>
      <c r="BA78" s="84" t="s">
        <v>152</v>
      </c>
      <c r="BB78" s="84" t="str">
        <f>IFERROR(__xludf.DUMMYFUNCTION("iferror(if(A78="""",,E78&gt;=FILTER(Constants!$F$2:$F$10,Constants!$A$2:$A$10=A78)))"),"")</f>
        <v/>
      </c>
    </row>
    <row r="79">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2" t="str">
        <f t="shared" si="1"/>
        <v/>
      </c>
      <c r="AX79" s="83" t="str">
        <f t="array" ref="AX79">IFERROR(DGET('SBV Import'!A:G,"SBV",{"RSC ID","Tier";B79,A79}))</f>
        <v/>
      </c>
      <c r="AY79" s="82" t="str">
        <f t="shared" si="2"/>
        <v/>
      </c>
      <c r="AZ79" s="82"/>
      <c r="BA79" s="84" t="s">
        <v>152</v>
      </c>
      <c r="BB79" s="84" t="str">
        <f>IFERROR(__xludf.DUMMYFUNCTION("iferror(if(A79="""",,E79&gt;=FILTER(Constants!$F$2:$F$10,Constants!$A$2:$A$10=A79)))"),"")</f>
        <v/>
      </c>
    </row>
    <row r="80">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c r="AJ80" s="80"/>
      <c r="AK80" s="80"/>
      <c r="AL80" s="80"/>
      <c r="AM80" s="80"/>
      <c r="AN80" s="80"/>
      <c r="AO80" s="80"/>
      <c r="AP80" s="80"/>
      <c r="AQ80" s="80"/>
      <c r="AR80" s="80"/>
      <c r="AS80" s="80"/>
      <c r="AT80" s="80"/>
      <c r="AU80" s="80"/>
      <c r="AV80" s="80"/>
      <c r="AW80" s="82" t="str">
        <f t="shared" si="1"/>
        <v/>
      </c>
      <c r="AX80" s="83" t="str">
        <f t="array" ref="AX80">IFERROR(DGET('SBV Import'!A:G,"SBV",{"RSC ID","Tier";B80,A80}))</f>
        <v/>
      </c>
      <c r="AY80" s="82" t="str">
        <f t="shared" si="2"/>
        <v/>
      </c>
      <c r="AZ80" s="82"/>
      <c r="BA80" s="84" t="s">
        <v>152</v>
      </c>
      <c r="BB80" s="84" t="str">
        <f>IFERROR(__xludf.DUMMYFUNCTION("iferror(if(A80="""",,E80&gt;=FILTER(Constants!$F$2:$F$10,Constants!$A$2:$A$10=A80)))"),"")</f>
        <v/>
      </c>
    </row>
    <row r="8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c r="AJ81" s="80"/>
      <c r="AK81" s="80"/>
      <c r="AL81" s="80"/>
      <c r="AM81" s="80"/>
      <c r="AN81" s="80"/>
      <c r="AO81" s="80"/>
      <c r="AP81" s="80"/>
      <c r="AQ81" s="80"/>
      <c r="AR81" s="80"/>
      <c r="AS81" s="80"/>
      <c r="AT81" s="80"/>
      <c r="AU81" s="80"/>
      <c r="AV81" s="80"/>
      <c r="AW81" s="82" t="str">
        <f t="shared" si="1"/>
        <v/>
      </c>
      <c r="AX81" s="83" t="str">
        <f t="array" ref="AX81">IFERROR(DGET('SBV Import'!A:G,"SBV",{"RSC ID","Tier";B81,A81}))</f>
        <v/>
      </c>
      <c r="AY81" s="82" t="str">
        <f t="shared" si="2"/>
        <v/>
      </c>
      <c r="AZ81" s="82"/>
      <c r="BA81" s="84" t="s">
        <v>152</v>
      </c>
      <c r="BB81" s="84" t="str">
        <f>IFERROR(__xludf.DUMMYFUNCTION("iferror(if(A81="""",,E81&gt;=FILTER(Constants!$F$2:$F$10,Constants!$A$2:$A$10=A81)))"),"")</f>
        <v/>
      </c>
    </row>
    <row r="8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c r="AJ82" s="80"/>
      <c r="AK82" s="80"/>
      <c r="AL82" s="80"/>
      <c r="AM82" s="80"/>
      <c r="AN82" s="80"/>
      <c r="AO82" s="80"/>
      <c r="AP82" s="80"/>
      <c r="AQ82" s="80"/>
      <c r="AR82" s="80"/>
      <c r="AS82" s="80"/>
      <c r="AT82" s="80"/>
      <c r="AU82" s="80"/>
      <c r="AV82" s="80"/>
      <c r="AW82" s="82" t="str">
        <f t="shared" si="1"/>
        <v/>
      </c>
      <c r="AX82" s="83" t="str">
        <f t="array" ref="AX82">IFERROR(DGET('SBV Import'!A:G,"SBV",{"RSC ID","Tier";B82,A82}))</f>
        <v/>
      </c>
      <c r="AY82" s="82" t="str">
        <f t="shared" si="2"/>
        <v/>
      </c>
      <c r="AZ82" s="82"/>
      <c r="BA82" s="84" t="s">
        <v>152</v>
      </c>
      <c r="BB82" s="84" t="str">
        <f>IFERROR(__xludf.DUMMYFUNCTION("iferror(if(A82="""",,E82&gt;=FILTER(Constants!$F$2:$F$10,Constants!$A$2:$A$10=A82)))"),"")</f>
        <v/>
      </c>
    </row>
    <row r="83">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c r="AJ83" s="80"/>
      <c r="AK83" s="80"/>
      <c r="AL83" s="80"/>
      <c r="AM83" s="80"/>
      <c r="AN83" s="80"/>
      <c r="AO83" s="80"/>
      <c r="AP83" s="80"/>
      <c r="AQ83" s="80"/>
      <c r="AR83" s="80"/>
      <c r="AS83" s="80"/>
      <c r="AT83" s="80"/>
      <c r="AU83" s="80"/>
      <c r="AV83" s="80"/>
      <c r="AW83" s="82" t="str">
        <f t="shared" si="1"/>
        <v/>
      </c>
      <c r="AX83" s="83" t="str">
        <f t="array" ref="AX83">IFERROR(DGET('SBV Import'!A:G,"SBV",{"RSC ID","Tier";B83,A83}))</f>
        <v/>
      </c>
      <c r="AY83" s="82" t="str">
        <f t="shared" si="2"/>
        <v/>
      </c>
      <c r="AZ83" s="82"/>
      <c r="BA83" s="84" t="s">
        <v>152</v>
      </c>
      <c r="BB83" s="84" t="str">
        <f>IFERROR(__xludf.DUMMYFUNCTION("iferror(if(A83="""",,E83&gt;=FILTER(Constants!$F$2:$F$10,Constants!$A$2:$A$10=A83)))"),"")</f>
        <v/>
      </c>
    </row>
    <row r="84">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c r="AJ84" s="80"/>
      <c r="AK84" s="80"/>
      <c r="AL84" s="80"/>
      <c r="AM84" s="80"/>
      <c r="AN84" s="80"/>
      <c r="AO84" s="80"/>
      <c r="AP84" s="80"/>
      <c r="AQ84" s="80"/>
      <c r="AR84" s="80"/>
      <c r="AS84" s="80"/>
      <c r="AT84" s="80"/>
      <c r="AU84" s="80"/>
      <c r="AV84" s="80"/>
      <c r="AW84" s="82" t="str">
        <f t="shared" si="1"/>
        <v/>
      </c>
      <c r="AX84" s="83" t="str">
        <f t="array" ref="AX84">IFERROR(DGET('SBV Import'!A:G,"SBV",{"RSC ID","Tier";B84,A84}))</f>
        <v/>
      </c>
      <c r="AY84" s="82" t="str">
        <f t="shared" si="2"/>
        <v/>
      </c>
      <c r="AZ84" s="82"/>
      <c r="BA84" s="84" t="s">
        <v>152</v>
      </c>
      <c r="BB84" s="84" t="str">
        <f>IFERROR(__xludf.DUMMYFUNCTION("iferror(if(A84="""",,E84&gt;=FILTER(Constants!$F$2:$F$10,Constants!$A$2:$A$10=A84)))"),"")</f>
        <v/>
      </c>
    </row>
    <row r="85">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c r="AJ85" s="80"/>
      <c r="AK85" s="80"/>
      <c r="AL85" s="80"/>
      <c r="AM85" s="80"/>
      <c r="AN85" s="80"/>
      <c r="AO85" s="80"/>
      <c r="AP85" s="80"/>
      <c r="AQ85" s="80"/>
      <c r="AR85" s="80"/>
      <c r="AS85" s="80"/>
      <c r="AT85" s="80"/>
      <c r="AU85" s="80"/>
      <c r="AV85" s="80"/>
      <c r="AW85" s="82" t="str">
        <f t="shared" si="1"/>
        <v/>
      </c>
      <c r="AX85" s="83" t="str">
        <f t="array" ref="AX85">IFERROR(DGET('SBV Import'!A:G,"SBV",{"RSC ID","Tier";B85,A85}))</f>
        <v/>
      </c>
      <c r="AY85" s="82" t="str">
        <f t="shared" si="2"/>
        <v/>
      </c>
      <c r="AZ85" s="82"/>
      <c r="BA85" s="84" t="s">
        <v>152</v>
      </c>
      <c r="BB85" s="84" t="str">
        <f>IFERROR(__xludf.DUMMYFUNCTION("iferror(if(A85="""",,E85&gt;=FILTER(Constants!$F$2:$F$10,Constants!$A$2:$A$10=A85)))"),"")</f>
        <v/>
      </c>
    </row>
    <row r="86">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c r="AJ86" s="80"/>
      <c r="AK86" s="80"/>
      <c r="AL86" s="80"/>
      <c r="AM86" s="80"/>
      <c r="AN86" s="80"/>
      <c r="AO86" s="80"/>
      <c r="AP86" s="80"/>
      <c r="AQ86" s="80"/>
      <c r="AR86" s="80"/>
      <c r="AS86" s="80"/>
      <c r="AT86" s="80"/>
      <c r="AU86" s="80"/>
      <c r="AV86" s="80"/>
      <c r="AW86" s="82" t="str">
        <f t="shared" si="1"/>
        <v/>
      </c>
      <c r="AX86" s="83" t="str">
        <f t="array" ref="AX86">IFERROR(DGET('SBV Import'!A:G,"SBV",{"RSC ID","Tier";B86,A86}))</f>
        <v/>
      </c>
      <c r="AY86" s="82" t="str">
        <f t="shared" si="2"/>
        <v/>
      </c>
      <c r="AZ86" s="82"/>
      <c r="BA86" s="84" t="s">
        <v>152</v>
      </c>
      <c r="BB86" s="84" t="str">
        <f>IFERROR(__xludf.DUMMYFUNCTION("iferror(if(A86="""",,E86&gt;=FILTER(Constants!$F$2:$F$10,Constants!$A$2:$A$10=A86)))"),"")</f>
        <v/>
      </c>
    </row>
    <row r="87">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c r="AJ87" s="80"/>
      <c r="AK87" s="80"/>
      <c r="AL87" s="80"/>
      <c r="AM87" s="80"/>
      <c r="AN87" s="80"/>
      <c r="AO87" s="80"/>
      <c r="AP87" s="80"/>
      <c r="AQ87" s="80"/>
      <c r="AR87" s="80"/>
      <c r="AS87" s="80"/>
      <c r="AT87" s="80"/>
      <c r="AU87" s="80"/>
      <c r="AV87" s="80"/>
      <c r="AW87" s="82" t="str">
        <f t="shared" si="1"/>
        <v/>
      </c>
      <c r="AX87" s="83" t="str">
        <f t="array" ref="AX87">IFERROR(DGET('SBV Import'!A:G,"SBV",{"RSC ID","Tier";B87,A87}))</f>
        <v/>
      </c>
      <c r="AY87" s="82" t="str">
        <f t="shared" si="2"/>
        <v/>
      </c>
      <c r="AZ87" s="82"/>
      <c r="BA87" s="84" t="s">
        <v>152</v>
      </c>
      <c r="BB87" s="84" t="str">
        <f>IFERROR(__xludf.DUMMYFUNCTION("iferror(if(A87="""",,E87&gt;=FILTER(Constants!$F$2:$F$10,Constants!$A$2:$A$10=A87)))"),"")</f>
        <v/>
      </c>
    </row>
    <row r="88">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c r="AJ88" s="80"/>
      <c r="AK88" s="80"/>
      <c r="AL88" s="80"/>
      <c r="AM88" s="80"/>
      <c r="AN88" s="80"/>
      <c r="AO88" s="80"/>
      <c r="AP88" s="80"/>
      <c r="AQ88" s="80"/>
      <c r="AR88" s="80"/>
      <c r="AS88" s="80"/>
      <c r="AT88" s="80"/>
      <c r="AU88" s="80"/>
      <c r="AV88" s="80"/>
      <c r="AW88" s="82" t="str">
        <f t="shared" si="1"/>
        <v/>
      </c>
      <c r="AX88" s="83" t="str">
        <f t="array" ref="AX88">IFERROR(DGET('SBV Import'!A:G,"SBV",{"RSC ID","Tier";B88,A88}))</f>
        <v/>
      </c>
      <c r="AY88" s="82" t="str">
        <f t="shared" si="2"/>
        <v/>
      </c>
      <c r="AZ88" s="82"/>
      <c r="BA88" s="84" t="s">
        <v>152</v>
      </c>
      <c r="BB88" s="84" t="str">
        <f>IFERROR(__xludf.DUMMYFUNCTION("iferror(if(A88="""",,E88&gt;=FILTER(Constants!$F$2:$F$10,Constants!$A$2:$A$10=A88)))"),"")</f>
        <v/>
      </c>
    </row>
    <row r="89">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c r="AJ89" s="80"/>
      <c r="AK89" s="80"/>
      <c r="AL89" s="80"/>
      <c r="AM89" s="80"/>
      <c r="AN89" s="80"/>
      <c r="AO89" s="80"/>
      <c r="AP89" s="80"/>
      <c r="AQ89" s="80"/>
      <c r="AR89" s="80"/>
      <c r="AS89" s="80"/>
      <c r="AT89" s="80"/>
      <c r="AU89" s="80"/>
      <c r="AV89" s="80"/>
      <c r="AW89" s="82" t="str">
        <f t="shared" si="1"/>
        <v/>
      </c>
      <c r="AX89" s="83" t="str">
        <f t="array" ref="AX89">IFERROR(DGET('SBV Import'!A:G,"SBV",{"RSC ID","Tier";B89,A89}))</f>
        <v/>
      </c>
      <c r="AY89" s="82" t="str">
        <f t="shared" si="2"/>
        <v/>
      </c>
      <c r="AZ89" s="82"/>
      <c r="BA89" s="84" t="s">
        <v>152</v>
      </c>
      <c r="BB89" s="84" t="str">
        <f>IFERROR(__xludf.DUMMYFUNCTION("iferror(if(A89="""",,E89&gt;=FILTER(Constants!$F$2:$F$10,Constants!$A$2:$A$10=A89)))"),"")</f>
        <v/>
      </c>
    </row>
    <row r="90">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2" t="str">
        <f t="shared" si="1"/>
        <v/>
      </c>
      <c r="AX90" s="83" t="str">
        <f t="array" ref="AX90">IFERROR(DGET('SBV Import'!A:G,"SBV",{"RSC ID","Tier";B90,A90}))</f>
        <v/>
      </c>
      <c r="AY90" s="82" t="str">
        <f t="shared" si="2"/>
        <v/>
      </c>
      <c r="AZ90" s="82"/>
      <c r="BA90" s="84" t="s">
        <v>152</v>
      </c>
      <c r="BB90" s="84" t="str">
        <f>IFERROR(__xludf.DUMMYFUNCTION("iferror(if(A90="""",,E90&gt;=FILTER(Constants!$F$2:$F$10,Constants!$A$2:$A$10=A90)))"),"")</f>
        <v/>
      </c>
    </row>
    <row r="9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c r="AJ91" s="80"/>
      <c r="AK91" s="80"/>
      <c r="AL91" s="80"/>
      <c r="AM91" s="80"/>
      <c r="AN91" s="80"/>
      <c r="AO91" s="80"/>
      <c r="AP91" s="80"/>
      <c r="AQ91" s="80"/>
      <c r="AR91" s="80"/>
      <c r="AS91" s="80"/>
      <c r="AT91" s="80"/>
      <c r="AU91" s="80"/>
      <c r="AV91" s="80"/>
      <c r="AW91" s="82" t="str">
        <f t="shared" si="1"/>
        <v/>
      </c>
      <c r="AX91" s="83" t="str">
        <f t="array" ref="AX91">IFERROR(DGET('SBV Import'!A:G,"SBV",{"RSC ID","Tier";B91,A91}))</f>
        <v/>
      </c>
      <c r="AY91" s="82" t="str">
        <f t="shared" si="2"/>
        <v/>
      </c>
      <c r="AZ91" s="82"/>
      <c r="BA91" s="84" t="s">
        <v>152</v>
      </c>
      <c r="BB91" s="84" t="str">
        <f>IFERROR(__xludf.DUMMYFUNCTION("iferror(if(A91="""",,E91&gt;=FILTER(Constants!$F$2:$F$10,Constants!$A$2:$A$10=A91)))"),"")</f>
        <v/>
      </c>
    </row>
    <row r="9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c r="AJ92" s="80"/>
      <c r="AK92" s="80"/>
      <c r="AL92" s="80"/>
      <c r="AM92" s="80"/>
      <c r="AN92" s="80"/>
      <c r="AO92" s="80"/>
      <c r="AP92" s="80"/>
      <c r="AQ92" s="80"/>
      <c r="AR92" s="80"/>
      <c r="AS92" s="80"/>
      <c r="AT92" s="80"/>
      <c r="AU92" s="80"/>
      <c r="AV92" s="80"/>
      <c r="AW92" s="82" t="str">
        <f t="shared" si="1"/>
        <v/>
      </c>
      <c r="AX92" s="83" t="str">
        <f t="array" ref="AX92">IFERROR(DGET('SBV Import'!A:G,"SBV",{"RSC ID","Tier";B92,A92}))</f>
        <v/>
      </c>
      <c r="AY92" s="82" t="str">
        <f t="shared" si="2"/>
        <v/>
      </c>
      <c r="AZ92" s="82"/>
      <c r="BA92" s="84" t="s">
        <v>152</v>
      </c>
      <c r="BB92" s="84" t="str">
        <f>IFERROR(__xludf.DUMMYFUNCTION("iferror(if(A92="""",,E92&gt;=FILTER(Constants!$F$2:$F$10,Constants!$A$2:$A$10=A92)))"),"")</f>
        <v/>
      </c>
    </row>
    <row r="93">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c r="AJ93" s="80"/>
      <c r="AK93" s="80"/>
      <c r="AL93" s="80"/>
      <c r="AM93" s="80"/>
      <c r="AN93" s="80"/>
      <c r="AO93" s="80"/>
      <c r="AP93" s="80"/>
      <c r="AQ93" s="80"/>
      <c r="AR93" s="80"/>
      <c r="AS93" s="80"/>
      <c r="AT93" s="80"/>
      <c r="AU93" s="80"/>
      <c r="AV93" s="80"/>
      <c r="AW93" s="82" t="str">
        <f t="shared" si="1"/>
        <v/>
      </c>
      <c r="AX93" s="83" t="str">
        <f t="array" ref="AX93">IFERROR(DGET('SBV Import'!A:G,"SBV",{"RSC ID","Tier";B93,A93}))</f>
        <v/>
      </c>
      <c r="AY93" s="82" t="str">
        <f t="shared" si="2"/>
        <v/>
      </c>
      <c r="AZ93" s="82"/>
      <c r="BA93" s="84" t="s">
        <v>152</v>
      </c>
      <c r="BB93" s="84" t="str">
        <f>IFERROR(__xludf.DUMMYFUNCTION("iferror(if(A93="""",,E93&gt;=FILTER(Constants!$F$2:$F$10,Constants!$A$2:$A$10=A93)))"),"")</f>
        <v/>
      </c>
    </row>
    <row r="94">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c r="AJ94" s="80"/>
      <c r="AK94" s="80"/>
      <c r="AL94" s="80"/>
      <c r="AM94" s="80"/>
      <c r="AN94" s="80"/>
      <c r="AO94" s="80"/>
      <c r="AP94" s="80"/>
      <c r="AQ94" s="80"/>
      <c r="AR94" s="80"/>
      <c r="AS94" s="80"/>
      <c r="AT94" s="80"/>
      <c r="AU94" s="80"/>
      <c r="AV94" s="80"/>
      <c r="AW94" s="82" t="str">
        <f t="shared" si="1"/>
        <v/>
      </c>
      <c r="AX94" s="83" t="str">
        <f t="array" ref="AX94">IFERROR(DGET('SBV Import'!A:G,"SBV",{"RSC ID","Tier";B94,A94}))</f>
        <v/>
      </c>
      <c r="AY94" s="82" t="str">
        <f t="shared" si="2"/>
        <v/>
      </c>
      <c r="AZ94" s="82"/>
      <c r="BA94" s="84" t="s">
        <v>152</v>
      </c>
      <c r="BB94" s="84" t="str">
        <f>IFERROR(__xludf.DUMMYFUNCTION("iferror(if(A94="""",,E94&gt;=FILTER(Constants!$F$2:$F$10,Constants!$A$2:$A$10=A94)))"),"")</f>
        <v/>
      </c>
    </row>
    <row r="95">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c r="AJ95" s="80"/>
      <c r="AK95" s="80"/>
      <c r="AL95" s="80"/>
      <c r="AM95" s="80"/>
      <c r="AN95" s="80"/>
      <c r="AO95" s="80"/>
      <c r="AP95" s="80"/>
      <c r="AQ95" s="80"/>
      <c r="AR95" s="80"/>
      <c r="AS95" s="80"/>
      <c r="AT95" s="80"/>
      <c r="AU95" s="80"/>
      <c r="AV95" s="80"/>
      <c r="AW95" s="82" t="str">
        <f t="shared" si="1"/>
        <v/>
      </c>
      <c r="AX95" s="83" t="str">
        <f t="array" ref="AX95">IFERROR(DGET('SBV Import'!A:G,"SBV",{"RSC ID","Tier";B95,A95}))</f>
        <v/>
      </c>
      <c r="AY95" s="82" t="str">
        <f t="shared" si="2"/>
        <v/>
      </c>
      <c r="AZ95" s="82"/>
      <c r="BA95" s="84" t="s">
        <v>152</v>
      </c>
      <c r="BB95" s="84" t="str">
        <f>IFERROR(__xludf.DUMMYFUNCTION("iferror(if(A95="""",,E95&gt;=FILTER(Constants!$F$2:$F$10,Constants!$A$2:$A$10=A95)))"),"")</f>
        <v/>
      </c>
    </row>
    <row r="96">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c r="AJ96" s="80"/>
      <c r="AK96" s="80"/>
      <c r="AL96" s="80"/>
      <c r="AM96" s="80"/>
      <c r="AN96" s="80"/>
      <c r="AO96" s="80"/>
      <c r="AP96" s="80"/>
      <c r="AQ96" s="80"/>
      <c r="AR96" s="80"/>
      <c r="AS96" s="80"/>
      <c r="AT96" s="80"/>
      <c r="AU96" s="80"/>
      <c r="AV96" s="80"/>
      <c r="AW96" s="82" t="str">
        <f t="shared" si="1"/>
        <v/>
      </c>
      <c r="AX96" s="83" t="str">
        <f t="array" ref="AX96">IFERROR(DGET('SBV Import'!A:G,"SBV",{"RSC ID","Tier";B96,A96}))</f>
        <v/>
      </c>
      <c r="AY96" s="82" t="str">
        <f t="shared" si="2"/>
        <v/>
      </c>
      <c r="AZ96" s="82"/>
      <c r="BA96" s="84" t="s">
        <v>152</v>
      </c>
      <c r="BB96" s="84" t="str">
        <f>IFERROR(__xludf.DUMMYFUNCTION("iferror(if(A96="""",,E96&gt;=FILTER(Constants!$F$2:$F$10,Constants!$A$2:$A$10=A96)))"),"")</f>
        <v/>
      </c>
    </row>
    <row r="97">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c r="AJ97" s="80"/>
      <c r="AK97" s="80"/>
      <c r="AL97" s="80"/>
      <c r="AM97" s="80"/>
      <c r="AN97" s="80"/>
      <c r="AO97" s="80"/>
      <c r="AP97" s="80"/>
      <c r="AQ97" s="80"/>
      <c r="AR97" s="80"/>
      <c r="AS97" s="80"/>
      <c r="AT97" s="80"/>
      <c r="AU97" s="80"/>
      <c r="AV97" s="80"/>
      <c r="AW97" s="82" t="str">
        <f t="shared" si="1"/>
        <v/>
      </c>
      <c r="AX97" s="83" t="str">
        <f t="array" ref="AX97">IFERROR(DGET('SBV Import'!A:G,"SBV",{"RSC ID","Tier";B97,A97}))</f>
        <v/>
      </c>
      <c r="AY97" s="82" t="str">
        <f t="shared" si="2"/>
        <v/>
      </c>
      <c r="AZ97" s="82"/>
      <c r="BA97" s="84" t="s">
        <v>152</v>
      </c>
      <c r="BB97" s="84" t="str">
        <f>IFERROR(__xludf.DUMMYFUNCTION("iferror(if(A97="""",,E97&gt;=FILTER(Constants!$F$2:$F$10,Constants!$A$2:$A$10=A97)))"),"")</f>
        <v/>
      </c>
    </row>
    <row r="98">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c r="AJ98" s="80"/>
      <c r="AK98" s="80"/>
      <c r="AL98" s="80"/>
      <c r="AM98" s="80"/>
      <c r="AN98" s="80"/>
      <c r="AO98" s="80"/>
      <c r="AP98" s="80"/>
      <c r="AQ98" s="80"/>
      <c r="AR98" s="80"/>
      <c r="AS98" s="80"/>
      <c r="AT98" s="80"/>
      <c r="AU98" s="80"/>
      <c r="AV98" s="80"/>
      <c r="AW98" s="82" t="str">
        <f t="shared" si="1"/>
        <v/>
      </c>
      <c r="AX98" s="83" t="str">
        <f t="array" ref="AX98">IFERROR(DGET('SBV Import'!A:G,"SBV",{"RSC ID","Tier";B98,A98}))</f>
        <v/>
      </c>
      <c r="AY98" s="82" t="str">
        <f t="shared" si="2"/>
        <v/>
      </c>
      <c r="AZ98" s="82"/>
      <c r="BA98" s="84" t="s">
        <v>152</v>
      </c>
      <c r="BB98" s="84" t="str">
        <f>IFERROR(__xludf.DUMMYFUNCTION("iferror(if(A98="""",,E98&gt;=FILTER(Constants!$F$2:$F$10,Constants!$A$2:$A$10=A98)))"),"")</f>
        <v/>
      </c>
    </row>
    <row r="99">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c r="AJ99" s="80"/>
      <c r="AK99" s="80"/>
      <c r="AL99" s="80"/>
      <c r="AM99" s="80"/>
      <c r="AN99" s="80"/>
      <c r="AO99" s="80"/>
      <c r="AP99" s="80"/>
      <c r="AQ99" s="80"/>
      <c r="AR99" s="80"/>
      <c r="AS99" s="80"/>
      <c r="AT99" s="80"/>
      <c r="AU99" s="80"/>
      <c r="AV99" s="80"/>
      <c r="AW99" s="82" t="str">
        <f t="shared" si="1"/>
        <v/>
      </c>
      <c r="AX99" s="83" t="str">
        <f t="array" ref="AX99">IFERROR(DGET('SBV Import'!A:G,"SBV",{"RSC ID","Tier";B99,A99}))</f>
        <v/>
      </c>
      <c r="AY99" s="82" t="str">
        <f t="shared" si="2"/>
        <v/>
      </c>
      <c r="AZ99" s="82"/>
      <c r="BA99" s="84" t="s">
        <v>152</v>
      </c>
      <c r="BB99" s="84" t="str">
        <f>IFERROR(__xludf.DUMMYFUNCTION("iferror(if(A99="""",,E99&gt;=FILTER(Constants!$F$2:$F$10,Constants!$A$2:$A$10=A99)))"),"")</f>
        <v/>
      </c>
    </row>
    <row r="100">
      <c r="A100" s="85"/>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c r="AJ100" s="80"/>
      <c r="AK100" s="80"/>
      <c r="AL100" s="80"/>
      <c r="AM100" s="80"/>
      <c r="AN100" s="80"/>
      <c r="AO100" s="80"/>
      <c r="AP100" s="80"/>
      <c r="AQ100" s="80"/>
      <c r="AR100" s="80"/>
      <c r="AS100" s="80"/>
      <c r="AT100" s="80"/>
      <c r="AU100" s="80"/>
      <c r="AV100" s="80"/>
      <c r="AW100" s="82" t="str">
        <f t="shared" si="1"/>
        <v/>
      </c>
      <c r="AX100" s="83" t="str">
        <f t="array" ref="AX100">IFERROR(DGET('SBV Import'!A:G,"SBV",{"RSC ID","Tier";B100,A100}))</f>
        <v/>
      </c>
      <c r="AY100" s="82" t="str">
        <f t="shared" si="2"/>
        <v/>
      </c>
      <c r="AZ100" s="82"/>
      <c r="BA100" s="84" t="s">
        <v>152</v>
      </c>
      <c r="BB100" s="84" t="str">
        <f>IFERROR(__xludf.DUMMYFUNCTION("iferror(if(A100="""",,E100&gt;=FILTER(Constants!$F$2:$F$10,Constants!$A$2:$A$10=A100)))"),"")</f>
        <v/>
      </c>
    </row>
    <row r="10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c r="AJ101" s="80"/>
      <c r="AK101" s="80"/>
      <c r="AL101" s="80"/>
      <c r="AM101" s="80"/>
      <c r="AN101" s="80"/>
      <c r="AO101" s="80"/>
      <c r="AP101" s="80"/>
      <c r="AQ101" s="80"/>
      <c r="AR101" s="80"/>
      <c r="AS101" s="80"/>
      <c r="AT101" s="80"/>
      <c r="AU101" s="80"/>
      <c r="AV101" s="80"/>
      <c r="AW101" s="82" t="str">
        <f t="shared" si="1"/>
        <v/>
      </c>
      <c r="AX101" s="83" t="str">
        <f t="array" ref="AX101">IFERROR(DGET('SBV Import'!A:G,"SBV",{"RSC ID","Tier";B101,A101}))</f>
        <v/>
      </c>
      <c r="AY101" s="82" t="str">
        <f t="shared" si="2"/>
        <v/>
      </c>
      <c r="AZ101" s="82"/>
      <c r="BA101" s="84" t="s">
        <v>152</v>
      </c>
      <c r="BB101" s="84" t="str">
        <f>IFERROR(__xludf.DUMMYFUNCTION("iferror(if(A101="""",,E101&gt;=FILTER(Constants!$F$2:$F$10,Constants!$A$2:$A$10=A101)))"),"")</f>
        <v/>
      </c>
    </row>
    <row r="1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80"/>
      <c r="AU102" s="80"/>
      <c r="AV102" s="80"/>
      <c r="AW102" s="82" t="str">
        <f t="shared" si="1"/>
        <v/>
      </c>
      <c r="AX102" s="83" t="str">
        <f t="array" ref="AX102">IFERROR(DGET('SBV Import'!A:G,"SBV",{"RSC ID","Tier";B102,A102}))</f>
        <v/>
      </c>
      <c r="AY102" s="82" t="str">
        <f t="shared" si="2"/>
        <v/>
      </c>
      <c r="AZ102" s="82"/>
      <c r="BA102" s="84" t="s">
        <v>152</v>
      </c>
      <c r="BB102" s="84" t="str">
        <f>IFERROR(__xludf.DUMMYFUNCTION("iferror(if(A102="""",,E102&gt;=FILTER(Constants!$F$2:$F$10,Constants!$A$2:$A$10=A102)))"),"")</f>
        <v/>
      </c>
    </row>
    <row r="103">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c r="AJ103" s="80"/>
      <c r="AK103" s="80"/>
      <c r="AL103" s="80"/>
      <c r="AM103" s="80"/>
      <c r="AN103" s="80"/>
      <c r="AO103" s="80"/>
      <c r="AP103" s="80"/>
      <c r="AQ103" s="80"/>
      <c r="AR103" s="80"/>
      <c r="AS103" s="80"/>
      <c r="AT103" s="80"/>
      <c r="AU103" s="80"/>
      <c r="AV103" s="80"/>
      <c r="AW103" s="82" t="str">
        <f t="shared" si="1"/>
        <v/>
      </c>
      <c r="AX103" s="83" t="str">
        <f t="array" ref="AX103">IFERROR(DGET('SBV Import'!A:G,"SBV",{"RSC ID","Tier";B103,A103}))</f>
        <v/>
      </c>
      <c r="AY103" s="82" t="str">
        <f t="shared" si="2"/>
        <v/>
      </c>
      <c r="AZ103" s="82"/>
      <c r="BA103" s="84" t="s">
        <v>152</v>
      </c>
      <c r="BB103" s="84" t="str">
        <f>IFERROR(__xludf.DUMMYFUNCTION("iferror(if(A103="""",,E103&gt;=FILTER(Constants!$F$2:$F$10,Constants!$A$2:$A$10=A103)))"),"")</f>
        <v/>
      </c>
    </row>
    <row r="104">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c r="AJ104" s="80"/>
      <c r="AK104" s="80"/>
      <c r="AL104" s="80"/>
      <c r="AM104" s="80"/>
      <c r="AN104" s="80"/>
      <c r="AO104" s="80"/>
      <c r="AP104" s="80"/>
      <c r="AQ104" s="80"/>
      <c r="AR104" s="80"/>
      <c r="AS104" s="80"/>
      <c r="AT104" s="80"/>
      <c r="AU104" s="80"/>
      <c r="AV104" s="80"/>
      <c r="AW104" s="82" t="str">
        <f t="shared" si="1"/>
        <v/>
      </c>
      <c r="AX104" s="83" t="str">
        <f t="array" ref="AX104">IFERROR(DGET('SBV Import'!A:G,"SBV",{"RSC ID","Tier";B104,A104}))</f>
        <v/>
      </c>
      <c r="AY104" s="82" t="str">
        <f t="shared" si="2"/>
        <v/>
      </c>
      <c r="AZ104" s="82"/>
      <c r="BA104" s="84" t="s">
        <v>152</v>
      </c>
      <c r="BB104" s="84" t="str">
        <f>IFERROR(__xludf.DUMMYFUNCTION("iferror(if(A104="""",,E104&gt;=FILTER(Constants!$F$2:$F$10,Constants!$A$2:$A$10=A104)))"),"")</f>
        <v/>
      </c>
    </row>
    <row r="105">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c r="AJ105" s="80"/>
      <c r="AK105" s="80"/>
      <c r="AL105" s="80"/>
      <c r="AM105" s="80"/>
      <c r="AN105" s="80"/>
      <c r="AO105" s="80"/>
      <c r="AP105" s="80"/>
      <c r="AQ105" s="80"/>
      <c r="AR105" s="80"/>
      <c r="AS105" s="80"/>
      <c r="AT105" s="80"/>
      <c r="AU105" s="80"/>
      <c r="AV105" s="80"/>
      <c r="AW105" s="82" t="str">
        <f t="shared" si="1"/>
        <v/>
      </c>
      <c r="AX105" s="83" t="str">
        <f t="array" ref="AX105">IFERROR(DGET('SBV Import'!A:G,"SBV",{"RSC ID","Tier";B105,A105}))</f>
        <v/>
      </c>
      <c r="AY105" s="82" t="str">
        <f t="shared" si="2"/>
        <v/>
      </c>
      <c r="AZ105" s="82"/>
      <c r="BA105" s="84" t="s">
        <v>152</v>
      </c>
      <c r="BB105" s="84" t="str">
        <f>IFERROR(__xludf.DUMMYFUNCTION("iferror(if(A105="""",,E105&gt;=FILTER(Constants!$F$2:$F$10,Constants!$A$2:$A$10=A105)))"),"")</f>
        <v/>
      </c>
    </row>
    <row r="106">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c r="AJ106" s="80"/>
      <c r="AK106" s="80"/>
      <c r="AL106" s="80"/>
      <c r="AM106" s="80"/>
      <c r="AN106" s="80"/>
      <c r="AO106" s="80"/>
      <c r="AP106" s="80"/>
      <c r="AQ106" s="80"/>
      <c r="AR106" s="80"/>
      <c r="AS106" s="80"/>
      <c r="AT106" s="80"/>
      <c r="AU106" s="80"/>
      <c r="AV106" s="80"/>
      <c r="AW106" s="82" t="str">
        <f t="shared" si="1"/>
        <v/>
      </c>
      <c r="AX106" s="83" t="str">
        <f t="array" ref="AX106">IFERROR(DGET('SBV Import'!A:G,"SBV",{"RSC ID","Tier";B106,A106}))</f>
        <v/>
      </c>
      <c r="AY106" s="82" t="str">
        <f t="shared" si="2"/>
        <v/>
      </c>
      <c r="AZ106" s="82"/>
      <c r="BA106" s="84" t="s">
        <v>152</v>
      </c>
      <c r="BB106" s="84" t="str">
        <f>IFERROR(__xludf.DUMMYFUNCTION("iferror(if(A106="""",,E106&gt;=FILTER(Constants!$F$2:$F$10,Constants!$A$2:$A$10=A106)))"),"")</f>
        <v/>
      </c>
    </row>
    <row r="107">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c r="AJ107" s="80"/>
      <c r="AK107" s="80"/>
      <c r="AL107" s="80"/>
      <c r="AM107" s="80"/>
      <c r="AN107" s="80"/>
      <c r="AO107" s="80"/>
      <c r="AP107" s="80"/>
      <c r="AQ107" s="80"/>
      <c r="AR107" s="80"/>
      <c r="AS107" s="80"/>
      <c r="AT107" s="80"/>
      <c r="AU107" s="80"/>
      <c r="AV107" s="80"/>
      <c r="AW107" s="82" t="str">
        <f t="shared" si="1"/>
        <v/>
      </c>
      <c r="AX107" s="83" t="str">
        <f t="array" ref="AX107">IFERROR(DGET('SBV Import'!A:G,"SBV",{"RSC ID","Tier";B107,A107}))</f>
        <v/>
      </c>
      <c r="AY107" s="82" t="str">
        <f t="shared" si="2"/>
        <v/>
      </c>
      <c r="AZ107" s="82"/>
      <c r="BA107" s="84" t="s">
        <v>152</v>
      </c>
      <c r="BB107" s="84" t="str">
        <f>IFERROR(__xludf.DUMMYFUNCTION("iferror(if(A107="""",,E107&gt;=FILTER(Constants!$F$2:$F$10,Constants!$A$2:$A$10=A107)))"),"")</f>
        <v/>
      </c>
    </row>
    <row r="108">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c r="AJ108" s="80"/>
      <c r="AK108" s="80"/>
      <c r="AL108" s="80"/>
      <c r="AM108" s="80"/>
      <c r="AN108" s="80"/>
      <c r="AO108" s="80"/>
      <c r="AP108" s="80"/>
      <c r="AQ108" s="80"/>
      <c r="AR108" s="80"/>
      <c r="AS108" s="80"/>
      <c r="AT108" s="80"/>
      <c r="AU108" s="80"/>
      <c r="AV108" s="80"/>
      <c r="AW108" s="82" t="str">
        <f t="shared" si="1"/>
        <v/>
      </c>
      <c r="AX108" s="83" t="str">
        <f t="array" ref="AX108">IFERROR(DGET('SBV Import'!A:G,"SBV",{"RSC ID","Tier";B108,A108}))</f>
        <v/>
      </c>
      <c r="AY108" s="82" t="str">
        <f t="shared" si="2"/>
        <v/>
      </c>
      <c r="AZ108" s="82"/>
      <c r="BA108" s="84" t="s">
        <v>152</v>
      </c>
      <c r="BB108" s="84" t="str">
        <f>IFERROR(__xludf.DUMMYFUNCTION("iferror(if(A108="""",,E108&gt;=FILTER(Constants!$F$2:$F$10,Constants!$A$2:$A$10=A108)))"),"")</f>
        <v/>
      </c>
    </row>
    <row r="109">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c r="AJ109" s="80"/>
      <c r="AK109" s="80"/>
      <c r="AL109" s="80"/>
      <c r="AM109" s="80"/>
      <c r="AN109" s="80"/>
      <c r="AO109" s="80"/>
      <c r="AP109" s="80"/>
      <c r="AQ109" s="80"/>
      <c r="AR109" s="80"/>
      <c r="AS109" s="80"/>
      <c r="AT109" s="80"/>
      <c r="AU109" s="80"/>
      <c r="AV109" s="80"/>
      <c r="AW109" s="82" t="str">
        <f t="shared" si="1"/>
        <v/>
      </c>
      <c r="AX109" s="83" t="str">
        <f t="array" ref="AX109">IFERROR(DGET('SBV Import'!A:G,"SBV",{"RSC ID","Tier";B109,A109}))</f>
        <v/>
      </c>
      <c r="AY109" s="82" t="str">
        <f t="shared" si="2"/>
        <v/>
      </c>
      <c r="AZ109" s="82"/>
      <c r="BA109" s="84" t="s">
        <v>152</v>
      </c>
      <c r="BB109" s="84" t="str">
        <f>IFERROR(__xludf.DUMMYFUNCTION("iferror(if(A109="""",,E109&gt;=FILTER(Constants!$F$2:$F$10,Constants!$A$2:$A$10=A109)))"),"")</f>
        <v/>
      </c>
    </row>
    <row r="110">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2" t="str">
        <f t="shared" si="1"/>
        <v/>
      </c>
      <c r="AX110" s="83" t="str">
        <f t="array" ref="AX110">IFERROR(DGET('SBV Import'!A:G,"SBV",{"RSC ID","Tier";B110,A110}))</f>
        <v/>
      </c>
      <c r="AY110" s="82" t="str">
        <f t="shared" si="2"/>
        <v/>
      </c>
      <c r="AZ110" s="82"/>
      <c r="BA110" s="84" t="s">
        <v>152</v>
      </c>
      <c r="BB110" s="84" t="str">
        <f>IFERROR(__xludf.DUMMYFUNCTION("iferror(if(A110="""",,E110&gt;=FILTER(Constants!$F$2:$F$10,Constants!$A$2:$A$10=A110)))"),"")</f>
        <v/>
      </c>
    </row>
    <row r="11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c r="AJ111" s="80"/>
      <c r="AK111" s="80"/>
      <c r="AL111" s="80"/>
      <c r="AM111" s="80"/>
      <c r="AN111" s="80"/>
      <c r="AO111" s="80"/>
      <c r="AP111" s="80"/>
      <c r="AQ111" s="80"/>
      <c r="AR111" s="80"/>
      <c r="AS111" s="80"/>
      <c r="AT111" s="80"/>
      <c r="AU111" s="80"/>
      <c r="AV111" s="80"/>
      <c r="AW111" s="82" t="str">
        <f t="shared" si="1"/>
        <v/>
      </c>
      <c r="AX111" s="83" t="str">
        <f t="array" ref="AX111">IFERROR(DGET('SBV Import'!A:G,"SBV",{"RSC ID","Tier";B111,A111}))</f>
        <v/>
      </c>
      <c r="AY111" s="82" t="str">
        <f t="shared" si="2"/>
        <v/>
      </c>
      <c r="AZ111" s="82"/>
      <c r="BA111" s="84" t="s">
        <v>152</v>
      </c>
      <c r="BB111" s="84" t="str">
        <f>IFERROR(__xludf.DUMMYFUNCTION("iferror(if(A111="""",,E111&gt;=FILTER(Constants!$F$2:$F$10,Constants!$A$2:$A$10=A111)))"),"")</f>
        <v/>
      </c>
    </row>
    <row r="11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c r="AJ112" s="80"/>
      <c r="AK112" s="80"/>
      <c r="AL112" s="80"/>
      <c r="AM112" s="80"/>
      <c r="AN112" s="80"/>
      <c r="AO112" s="80"/>
      <c r="AP112" s="80"/>
      <c r="AQ112" s="80"/>
      <c r="AR112" s="80"/>
      <c r="AS112" s="80"/>
      <c r="AT112" s="80"/>
      <c r="AU112" s="80"/>
      <c r="AV112" s="80"/>
      <c r="AW112" s="82" t="str">
        <f t="shared" si="1"/>
        <v/>
      </c>
      <c r="AX112" s="83" t="str">
        <f t="array" ref="AX112">IFERROR(DGET('SBV Import'!A:G,"SBV",{"RSC ID","Tier";B112,A112}))</f>
        <v/>
      </c>
      <c r="AY112" s="82" t="str">
        <f t="shared" si="2"/>
        <v/>
      </c>
      <c r="AZ112" s="82"/>
      <c r="BA112" s="84" t="s">
        <v>152</v>
      </c>
      <c r="BB112" s="84" t="str">
        <f>IFERROR(__xludf.DUMMYFUNCTION("iferror(if(A112="""",,E112&gt;=FILTER(Constants!$F$2:$F$10,Constants!$A$2:$A$10=A112)))"),"")</f>
        <v/>
      </c>
    </row>
    <row r="113">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c r="AJ113" s="80"/>
      <c r="AK113" s="80"/>
      <c r="AL113" s="80"/>
      <c r="AM113" s="80"/>
      <c r="AN113" s="80"/>
      <c r="AO113" s="80"/>
      <c r="AP113" s="80"/>
      <c r="AQ113" s="80"/>
      <c r="AR113" s="80"/>
      <c r="AS113" s="80"/>
      <c r="AT113" s="80"/>
      <c r="AU113" s="80"/>
      <c r="AV113" s="80"/>
      <c r="AW113" s="82" t="str">
        <f t="shared" si="1"/>
        <v/>
      </c>
      <c r="AX113" s="83" t="str">
        <f t="array" ref="AX113">IFERROR(DGET('SBV Import'!A:G,"SBV",{"RSC ID","Tier";B113,A113}))</f>
        <v/>
      </c>
      <c r="AY113" s="82" t="str">
        <f t="shared" si="2"/>
        <v/>
      </c>
      <c r="AZ113" s="82"/>
      <c r="BA113" s="84" t="s">
        <v>152</v>
      </c>
      <c r="BB113" s="84" t="str">
        <f>IFERROR(__xludf.DUMMYFUNCTION("iferror(if(A113="""",,E113&gt;=FILTER(Constants!$F$2:$F$10,Constants!$A$2:$A$10=A113)))"),"")</f>
        <v/>
      </c>
    </row>
    <row r="114">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c r="AJ114" s="80"/>
      <c r="AK114" s="80"/>
      <c r="AL114" s="80"/>
      <c r="AM114" s="80"/>
      <c r="AN114" s="80"/>
      <c r="AO114" s="80"/>
      <c r="AP114" s="80"/>
      <c r="AQ114" s="80"/>
      <c r="AR114" s="80"/>
      <c r="AS114" s="80"/>
      <c r="AT114" s="80"/>
      <c r="AU114" s="80"/>
      <c r="AV114" s="80"/>
      <c r="AW114" s="82" t="str">
        <f t="shared" si="1"/>
        <v/>
      </c>
      <c r="AX114" s="83" t="str">
        <f t="array" ref="AX114">IFERROR(DGET('SBV Import'!A:G,"SBV",{"RSC ID","Tier";B114,A114}))</f>
        <v/>
      </c>
      <c r="AY114" s="82" t="str">
        <f t="shared" si="2"/>
        <v/>
      </c>
      <c r="AZ114" s="82"/>
      <c r="BA114" s="84" t="s">
        <v>152</v>
      </c>
      <c r="BB114" s="84" t="str">
        <f>IFERROR(__xludf.DUMMYFUNCTION("iferror(if(A114="""",,E114&gt;=FILTER(Constants!$F$2:$F$10,Constants!$A$2:$A$10=A114)))"),"")</f>
        <v/>
      </c>
    </row>
    <row r="115">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c r="AJ115" s="80"/>
      <c r="AK115" s="80"/>
      <c r="AL115" s="80"/>
      <c r="AM115" s="80"/>
      <c r="AN115" s="80"/>
      <c r="AO115" s="80"/>
      <c r="AP115" s="80"/>
      <c r="AQ115" s="80"/>
      <c r="AR115" s="80"/>
      <c r="AS115" s="80"/>
      <c r="AT115" s="80"/>
      <c r="AU115" s="80"/>
      <c r="AV115" s="80"/>
      <c r="AW115" s="82" t="str">
        <f t="shared" si="1"/>
        <v/>
      </c>
      <c r="AX115" s="83" t="str">
        <f t="array" ref="AX115">IFERROR(DGET('SBV Import'!A:G,"SBV",{"RSC ID","Tier";B115,A115}))</f>
        <v/>
      </c>
      <c r="AY115" s="82" t="str">
        <f t="shared" si="2"/>
        <v/>
      </c>
      <c r="AZ115" s="82"/>
      <c r="BA115" s="84" t="s">
        <v>152</v>
      </c>
      <c r="BB115" s="84" t="str">
        <f>IFERROR(__xludf.DUMMYFUNCTION("iferror(if(A115="""",,E115&gt;=FILTER(Constants!$F$2:$F$10,Constants!$A$2:$A$10=A115)))"),"")</f>
        <v/>
      </c>
    </row>
    <row r="116">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c r="AJ116" s="80"/>
      <c r="AK116" s="80"/>
      <c r="AL116" s="80"/>
      <c r="AM116" s="80"/>
      <c r="AN116" s="80"/>
      <c r="AO116" s="80"/>
      <c r="AP116" s="80"/>
      <c r="AQ116" s="80"/>
      <c r="AR116" s="80"/>
      <c r="AS116" s="80"/>
      <c r="AT116" s="80"/>
      <c r="AU116" s="80"/>
      <c r="AV116" s="80"/>
      <c r="AW116" s="82" t="str">
        <f t="shared" si="1"/>
        <v/>
      </c>
      <c r="AX116" s="83" t="str">
        <f t="array" ref="AX116">IFERROR(DGET('SBV Import'!A:G,"SBV",{"RSC ID","Tier";B116,A116}))</f>
        <v/>
      </c>
      <c r="AY116" s="82" t="str">
        <f t="shared" si="2"/>
        <v/>
      </c>
      <c r="AZ116" s="82"/>
      <c r="BA116" s="84" t="s">
        <v>152</v>
      </c>
      <c r="BB116" s="84" t="str">
        <f>IFERROR(__xludf.DUMMYFUNCTION("iferror(if(A116="""",,E116&gt;=FILTER(Constants!$F$2:$F$10,Constants!$A$2:$A$10=A116)))"),"")</f>
        <v/>
      </c>
    </row>
    <row r="117">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c r="AJ117" s="80"/>
      <c r="AK117" s="80"/>
      <c r="AL117" s="80"/>
      <c r="AM117" s="80"/>
      <c r="AN117" s="80"/>
      <c r="AO117" s="80"/>
      <c r="AP117" s="80"/>
      <c r="AQ117" s="80"/>
      <c r="AR117" s="80"/>
      <c r="AS117" s="80"/>
      <c r="AT117" s="80"/>
      <c r="AU117" s="80"/>
      <c r="AV117" s="80"/>
      <c r="AW117" s="82" t="str">
        <f t="shared" si="1"/>
        <v/>
      </c>
      <c r="AX117" s="83" t="str">
        <f t="array" ref="AX117">IFERROR(DGET('SBV Import'!A:G,"SBV",{"RSC ID","Tier";B117,A117}))</f>
        <v/>
      </c>
      <c r="AY117" s="82" t="str">
        <f t="shared" si="2"/>
        <v/>
      </c>
      <c r="AZ117" s="82"/>
      <c r="BA117" s="84" t="s">
        <v>152</v>
      </c>
      <c r="BB117" s="84" t="str">
        <f>IFERROR(__xludf.DUMMYFUNCTION("iferror(if(A117="""",,E117&gt;=FILTER(Constants!$F$2:$F$10,Constants!$A$2:$A$10=A117)))"),"")</f>
        <v/>
      </c>
    </row>
    <row r="118">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c r="AJ118" s="80"/>
      <c r="AK118" s="80"/>
      <c r="AL118" s="80"/>
      <c r="AM118" s="80"/>
      <c r="AN118" s="80"/>
      <c r="AO118" s="80"/>
      <c r="AP118" s="80"/>
      <c r="AQ118" s="80"/>
      <c r="AR118" s="80"/>
      <c r="AS118" s="80"/>
      <c r="AT118" s="80"/>
      <c r="AU118" s="80"/>
      <c r="AV118" s="80"/>
      <c r="AW118" s="82" t="str">
        <f t="shared" si="1"/>
        <v/>
      </c>
      <c r="AX118" s="83" t="str">
        <f t="array" ref="AX118">IFERROR(DGET('SBV Import'!A:G,"SBV",{"RSC ID","Tier";B118,A118}))</f>
        <v/>
      </c>
      <c r="AY118" s="82" t="str">
        <f t="shared" si="2"/>
        <v/>
      </c>
      <c r="AZ118" s="82"/>
      <c r="BA118" s="84" t="s">
        <v>152</v>
      </c>
      <c r="BB118" s="84" t="str">
        <f>IFERROR(__xludf.DUMMYFUNCTION("iferror(if(A118="""",,E118&gt;=FILTER(Constants!$F$2:$F$10,Constants!$A$2:$A$10=A118)))"),"")</f>
        <v/>
      </c>
    </row>
    <row r="119">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c r="AJ119" s="80"/>
      <c r="AK119" s="80"/>
      <c r="AL119" s="80"/>
      <c r="AM119" s="80"/>
      <c r="AN119" s="80"/>
      <c r="AO119" s="80"/>
      <c r="AP119" s="80"/>
      <c r="AQ119" s="80"/>
      <c r="AR119" s="80"/>
      <c r="AS119" s="80"/>
      <c r="AT119" s="80"/>
      <c r="AU119" s="80"/>
      <c r="AV119" s="80"/>
      <c r="AW119" s="82" t="str">
        <f t="shared" si="1"/>
        <v/>
      </c>
      <c r="AX119" s="83" t="str">
        <f t="array" ref="AX119">IFERROR(DGET('SBV Import'!A:G,"SBV",{"RSC ID","Tier";B119,A119}))</f>
        <v/>
      </c>
      <c r="AY119" s="82" t="str">
        <f t="shared" si="2"/>
        <v/>
      </c>
      <c r="AZ119" s="82"/>
      <c r="BA119" s="84" t="s">
        <v>152</v>
      </c>
      <c r="BB119" s="84" t="str">
        <f>IFERROR(__xludf.DUMMYFUNCTION("iferror(if(A119="""",,E119&gt;=FILTER(Constants!$F$2:$F$10,Constants!$A$2:$A$10=A119)))"),"")</f>
        <v/>
      </c>
    </row>
    <row r="120">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c r="AJ120" s="80"/>
      <c r="AK120" s="80"/>
      <c r="AL120" s="80"/>
      <c r="AM120" s="80"/>
      <c r="AN120" s="80"/>
      <c r="AO120" s="80"/>
      <c r="AP120" s="80"/>
      <c r="AQ120" s="80"/>
      <c r="AR120" s="80"/>
      <c r="AS120" s="80"/>
      <c r="AT120" s="80"/>
      <c r="AU120" s="80"/>
      <c r="AV120" s="80"/>
      <c r="AW120" s="82" t="str">
        <f t="shared" si="1"/>
        <v/>
      </c>
      <c r="AX120" s="83" t="str">
        <f t="array" ref="AX120">IFERROR(DGET('SBV Import'!A:G,"SBV",{"RSC ID","Tier";B120,A120}))</f>
        <v/>
      </c>
      <c r="AY120" s="82" t="str">
        <f t="shared" si="2"/>
        <v/>
      </c>
      <c r="AZ120" s="82"/>
      <c r="BA120" s="84" t="s">
        <v>152</v>
      </c>
      <c r="BB120" s="84" t="str">
        <f>IFERROR(__xludf.DUMMYFUNCTION("iferror(if(A120="""",,E120&gt;=FILTER(Constants!$F$2:$F$10,Constants!$A$2:$A$10=A120)))"),"")</f>
        <v/>
      </c>
    </row>
    <row r="12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c r="AJ121" s="80"/>
      <c r="AK121" s="80"/>
      <c r="AL121" s="80"/>
      <c r="AM121" s="80"/>
      <c r="AN121" s="80"/>
      <c r="AO121" s="80"/>
      <c r="AP121" s="80"/>
      <c r="AQ121" s="80"/>
      <c r="AR121" s="80"/>
      <c r="AS121" s="80"/>
      <c r="AT121" s="80"/>
      <c r="AU121" s="80"/>
      <c r="AV121" s="80"/>
      <c r="AW121" s="82" t="str">
        <f t="shared" si="1"/>
        <v/>
      </c>
      <c r="AX121" s="83" t="str">
        <f t="array" ref="AX121">IFERROR(DGET('SBV Import'!A:G,"SBV",{"RSC ID","Tier";B121,A121}))</f>
        <v/>
      </c>
      <c r="AY121" s="82" t="str">
        <f t="shared" si="2"/>
        <v/>
      </c>
      <c r="AZ121" s="82"/>
      <c r="BA121" s="84" t="s">
        <v>152</v>
      </c>
      <c r="BB121" s="84" t="str">
        <f>IFERROR(__xludf.DUMMYFUNCTION("iferror(if(A121="""",,E121&gt;=FILTER(Constants!$F$2:$F$10,Constants!$A$2:$A$10=A121)))"),"")</f>
        <v/>
      </c>
    </row>
    <row r="12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c r="AJ122" s="80"/>
      <c r="AK122" s="80"/>
      <c r="AL122" s="80"/>
      <c r="AM122" s="80"/>
      <c r="AN122" s="80"/>
      <c r="AO122" s="80"/>
      <c r="AP122" s="80"/>
      <c r="AQ122" s="80"/>
      <c r="AR122" s="80"/>
      <c r="AS122" s="80"/>
      <c r="AT122" s="80"/>
      <c r="AU122" s="80"/>
      <c r="AV122" s="80"/>
      <c r="AW122" s="82" t="str">
        <f t="shared" si="1"/>
        <v/>
      </c>
      <c r="AX122" s="83" t="str">
        <f t="array" ref="AX122">IFERROR(DGET('SBV Import'!A:G,"SBV",{"RSC ID","Tier";B122,A122}))</f>
        <v/>
      </c>
      <c r="AY122" s="82" t="str">
        <f t="shared" si="2"/>
        <v/>
      </c>
      <c r="AZ122" s="82"/>
      <c r="BA122" s="84" t="s">
        <v>152</v>
      </c>
      <c r="BB122" s="84" t="str">
        <f>IFERROR(__xludf.DUMMYFUNCTION("iferror(if(A122="""",,E122&gt;=FILTER(Constants!$F$2:$F$10,Constants!$A$2:$A$10=A122)))"),"")</f>
        <v/>
      </c>
    </row>
    <row r="123">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c r="AJ123" s="80"/>
      <c r="AK123" s="80"/>
      <c r="AL123" s="80"/>
      <c r="AM123" s="80"/>
      <c r="AN123" s="80"/>
      <c r="AO123" s="80"/>
      <c r="AP123" s="80"/>
      <c r="AQ123" s="80"/>
      <c r="AR123" s="80"/>
      <c r="AS123" s="80"/>
      <c r="AT123" s="80"/>
      <c r="AU123" s="80"/>
      <c r="AV123" s="80"/>
      <c r="AW123" s="82" t="str">
        <f t="shared" si="1"/>
        <v/>
      </c>
      <c r="AX123" s="83" t="str">
        <f t="array" ref="AX123">IFERROR(DGET('SBV Import'!A:G,"SBV",{"RSC ID","Tier";B123,A123}))</f>
        <v/>
      </c>
      <c r="AY123" s="82" t="str">
        <f t="shared" si="2"/>
        <v/>
      </c>
      <c r="AZ123" s="82"/>
      <c r="BA123" s="84" t="s">
        <v>152</v>
      </c>
      <c r="BB123" s="84" t="str">
        <f>IFERROR(__xludf.DUMMYFUNCTION("iferror(if(A123="""",,E123&gt;=FILTER(Constants!$F$2:$F$10,Constants!$A$2:$A$10=A123)))"),"")</f>
        <v/>
      </c>
    </row>
    <row r="124">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c r="AJ124" s="80"/>
      <c r="AK124" s="80"/>
      <c r="AL124" s="80"/>
      <c r="AM124" s="80"/>
      <c r="AN124" s="80"/>
      <c r="AO124" s="80"/>
      <c r="AP124" s="80"/>
      <c r="AQ124" s="80"/>
      <c r="AR124" s="80"/>
      <c r="AS124" s="80"/>
      <c r="AT124" s="80"/>
      <c r="AU124" s="80"/>
      <c r="AV124" s="80"/>
      <c r="AW124" s="82" t="str">
        <f t="shared" si="1"/>
        <v/>
      </c>
      <c r="AX124" s="83" t="str">
        <f t="array" ref="AX124">IFERROR(DGET('SBV Import'!A:G,"SBV",{"RSC ID","Tier";B124,A124}))</f>
        <v/>
      </c>
      <c r="AY124" s="82" t="str">
        <f t="shared" si="2"/>
        <v/>
      </c>
      <c r="AZ124" s="82"/>
      <c r="BA124" s="84" t="s">
        <v>152</v>
      </c>
      <c r="BB124" s="84" t="str">
        <f>IFERROR(__xludf.DUMMYFUNCTION("iferror(if(A124="""",,E124&gt;=FILTER(Constants!$F$2:$F$10,Constants!$A$2:$A$10=A124)))"),"")</f>
        <v/>
      </c>
    </row>
    <row r="125">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c r="AJ125" s="80"/>
      <c r="AK125" s="80"/>
      <c r="AL125" s="80"/>
      <c r="AM125" s="80"/>
      <c r="AN125" s="80"/>
      <c r="AO125" s="80"/>
      <c r="AP125" s="80"/>
      <c r="AQ125" s="80"/>
      <c r="AR125" s="80"/>
      <c r="AS125" s="80"/>
      <c r="AT125" s="80"/>
      <c r="AU125" s="80"/>
      <c r="AV125" s="80"/>
      <c r="AW125" s="82" t="str">
        <f t="shared" si="1"/>
        <v/>
      </c>
      <c r="AX125" s="83" t="str">
        <f t="array" ref="AX125">IFERROR(DGET('SBV Import'!A:G,"SBV",{"RSC ID","Tier";B125,A125}))</f>
        <v/>
      </c>
      <c r="AY125" s="82" t="str">
        <f t="shared" si="2"/>
        <v/>
      </c>
      <c r="AZ125" s="82"/>
      <c r="BA125" s="84" t="s">
        <v>152</v>
      </c>
      <c r="BB125" s="84" t="str">
        <f>IFERROR(__xludf.DUMMYFUNCTION("iferror(if(A125="""",,E125&gt;=FILTER(Constants!$F$2:$F$10,Constants!$A$2:$A$10=A125)))"),"")</f>
        <v/>
      </c>
    </row>
    <row r="126">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c r="AJ126" s="80"/>
      <c r="AK126" s="80"/>
      <c r="AL126" s="80"/>
      <c r="AM126" s="80"/>
      <c r="AN126" s="80"/>
      <c r="AO126" s="80"/>
      <c r="AP126" s="80"/>
      <c r="AQ126" s="80"/>
      <c r="AR126" s="80"/>
      <c r="AS126" s="80"/>
      <c r="AT126" s="80"/>
      <c r="AU126" s="80"/>
      <c r="AV126" s="80"/>
      <c r="AW126" s="82" t="str">
        <f t="shared" si="1"/>
        <v/>
      </c>
      <c r="AX126" s="83" t="str">
        <f t="array" ref="AX126">IFERROR(DGET('SBV Import'!A:G,"SBV",{"RSC ID","Tier";B126,A126}))</f>
        <v/>
      </c>
      <c r="AY126" s="82" t="str">
        <f t="shared" si="2"/>
        <v/>
      </c>
      <c r="AZ126" s="82"/>
      <c r="BA126" s="84" t="s">
        <v>152</v>
      </c>
      <c r="BB126" s="84" t="str">
        <f>IFERROR(__xludf.DUMMYFUNCTION("iferror(if(A126="""",,E126&gt;=FILTER(Constants!$F$2:$F$10,Constants!$A$2:$A$10=A126)))"),"")</f>
        <v/>
      </c>
    </row>
    <row r="127">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c r="AJ127" s="80"/>
      <c r="AK127" s="80"/>
      <c r="AL127" s="80"/>
      <c r="AM127" s="80"/>
      <c r="AN127" s="80"/>
      <c r="AO127" s="80"/>
      <c r="AP127" s="80"/>
      <c r="AQ127" s="80"/>
      <c r="AR127" s="80"/>
      <c r="AS127" s="80"/>
      <c r="AT127" s="80"/>
      <c r="AU127" s="80"/>
      <c r="AV127" s="80"/>
      <c r="AW127" s="82" t="str">
        <f t="shared" si="1"/>
        <v/>
      </c>
      <c r="AX127" s="83" t="str">
        <f t="array" ref="AX127">IFERROR(DGET('SBV Import'!A:G,"SBV",{"RSC ID","Tier";B127,A127}))</f>
        <v/>
      </c>
      <c r="AY127" s="82" t="str">
        <f t="shared" si="2"/>
        <v/>
      </c>
      <c r="AZ127" s="82"/>
      <c r="BA127" s="84" t="s">
        <v>152</v>
      </c>
      <c r="BB127" s="84" t="str">
        <f>IFERROR(__xludf.DUMMYFUNCTION("iferror(if(A127="""",,E127&gt;=FILTER(Constants!$F$2:$F$10,Constants!$A$2:$A$10=A127)))"),"")</f>
        <v/>
      </c>
    </row>
    <row r="128">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c r="AJ128" s="80"/>
      <c r="AK128" s="80"/>
      <c r="AL128" s="80"/>
      <c r="AM128" s="80"/>
      <c r="AN128" s="80"/>
      <c r="AO128" s="80"/>
      <c r="AP128" s="80"/>
      <c r="AQ128" s="80"/>
      <c r="AR128" s="80"/>
      <c r="AS128" s="80"/>
      <c r="AT128" s="80"/>
      <c r="AU128" s="80"/>
      <c r="AV128" s="80"/>
      <c r="AW128" s="82" t="str">
        <f t="shared" si="1"/>
        <v/>
      </c>
      <c r="AX128" s="83" t="str">
        <f t="array" ref="AX128">IFERROR(DGET('SBV Import'!A:G,"SBV",{"RSC ID","Tier";B128,A128}))</f>
        <v/>
      </c>
      <c r="AY128" s="82" t="str">
        <f t="shared" si="2"/>
        <v/>
      </c>
      <c r="AZ128" s="82"/>
      <c r="BA128" s="84" t="s">
        <v>152</v>
      </c>
      <c r="BB128" s="84" t="str">
        <f>IFERROR(__xludf.DUMMYFUNCTION("iferror(if(A128="""",,E128&gt;=FILTER(Constants!$F$2:$F$10,Constants!$A$2:$A$10=A128)))"),"")</f>
        <v/>
      </c>
    </row>
    <row r="129">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c r="AJ129" s="80"/>
      <c r="AK129" s="80"/>
      <c r="AL129" s="80"/>
      <c r="AM129" s="80"/>
      <c r="AN129" s="80"/>
      <c r="AO129" s="80"/>
      <c r="AP129" s="80"/>
      <c r="AQ129" s="80"/>
      <c r="AR129" s="80"/>
      <c r="AS129" s="80"/>
      <c r="AT129" s="80"/>
      <c r="AU129" s="80"/>
      <c r="AV129" s="80"/>
      <c r="AW129" s="82" t="str">
        <f t="shared" si="1"/>
        <v/>
      </c>
      <c r="AX129" s="83" t="str">
        <f t="array" ref="AX129">IFERROR(DGET('SBV Import'!A:G,"SBV",{"RSC ID","Tier";B129,A129}))</f>
        <v/>
      </c>
      <c r="AY129" s="82" t="str">
        <f t="shared" si="2"/>
        <v/>
      </c>
      <c r="AZ129" s="82"/>
      <c r="BA129" s="84" t="s">
        <v>152</v>
      </c>
      <c r="BB129" s="84" t="str">
        <f>IFERROR(__xludf.DUMMYFUNCTION("iferror(if(A129="""",,E129&gt;=FILTER(Constants!$F$2:$F$10,Constants!$A$2:$A$10=A129)))"),"")</f>
        <v/>
      </c>
    </row>
    <row r="130">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c r="AJ130" s="80"/>
      <c r="AK130" s="80"/>
      <c r="AL130" s="80"/>
      <c r="AM130" s="80"/>
      <c r="AN130" s="80"/>
      <c r="AO130" s="80"/>
      <c r="AP130" s="80"/>
      <c r="AQ130" s="80"/>
      <c r="AR130" s="80"/>
      <c r="AS130" s="80"/>
      <c r="AT130" s="80"/>
      <c r="AU130" s="80"/>
      <c r="AV130" s="80"/>
      <c r="AW130" s="82" t="str">
        <f t="shared" si="1"/>
        <v/>
      </c>
      <c r="AX130" s="83" t="str">
        <f t="array" ref="AX130">IFERROR(DGET('SBV Import'!A:G,"SBV",{"RSC ID","Tier";B130,A130}))</f>
        <v/>
      </c>
      <c r="AY130" s="82" t="str">
        <f t="shared" si="2"/>
        <v/>
      </c>
      <c r="AZ130" s="82"/>
      <c r="BA130" s="84" t="s">
        <v>152</v>
      </c>
      <c r="BB130" s="84" t="str">
        <f>IFERROR(__xludf.DUMMYFUNCTION("iferror(if(A130="""",,E130&gt;=FILTER(Constants!$F$2:$F$10,Constants!$A$2:$A$10=A130)))"),"")</f>
        <v/>
      </c>
    </row>
    <row r="13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c r="AJ131" s="80"/>
      <c r="AK131" s="80"/>
      <c r="AL131" s="80"/>
      <c r="AM131" s="80"/>
      <c r="AN131" s="80"/>
      <c r="AO131" s="80"/>
      <c r="AP131" s="80"/>
      <c r="AQ131" s="80"/>
      <c r="AR131" s="80"/>
      <c r="AS131" s="80"/>
      <c r="AT131" s="80"/>
      <c r="AU131" s="80"/>
      <c r="AV131" s="80"/>
      <c r="AW131" s="82" t="str">
        <f t="shared" si="1"/>
        <v/>
      </c>
      <c r="AX131" s="83" t="str">
        <f t="array" ref="AX131">IFERROR(DGET('SBV Import'!A:G,"SBV",{"RSC ID","Tier";B131,A131}))</f>
        <v/>
      </c>
      <c r="AY131" s="82" t="str">
        <f t="shared" si="2"/>
        <v/>
      </c>
      <c r="AZ131" s="82"/>
      <c r="BA131" s="84" t="s">
        <v>152</v>
      </c>
      <c r="BB131" s="84" t="str">
        <f>IFERROR(__xludf.DUMMYFUNCTION("iferror(if(A131="""",,E131&gt;=FILTER(Constants!$F$2:$F$10,Constants!$A$2:$A$10=A131)))"),"")</f>
        <v/>
      </c>
    </row>
    <row r="13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c r="AJ132" s="80"/>
      <c r="AK132" s="80"/>
      <c r="AL132" s="80"/>
      <c r="AM132" s="80"/>
      <c r="AN132" s="80"/>
      <c r="AO132" s="80"/>
      <c r="AP132" s="80"/>
      <c r="AQ132" s="80"/>
      <c r="AR132" s="80"/>
      <c r="AS132" s="80"/>
      <c r="AT132" s="80"/>
      <c r="AU132" s="80"/>
      <c r="AV132" s="80"/>
      <c r="AW132" s="82" t="str">
        <f t="shared" si="1"/>
        <v/>
      </c>
      <c r="AX132" s="83" t="str">
        <f t="array" ref="AX132">IFERROR(DGET('SBV Import'!A:G,"SBV",{"RSC ID","Tier";B132,A132}))</f>
        <v/>
      </c>
      <c r="AY132" s="82" t="str">
        <f t="shared" si="2"/>
        <v/>
      </c>
      <c r="AZ132" s="82"/>
      <c r="BA132" s="84" t="s">
        <v>152</v>
      </c>
      <c r="BB132" s="84" t="str">
        <f>IFERROR(__xludf.DUMMYFUNCTION("iferror(if(A132="""",,E132&gt;=FILTER(Constants!$F$2:$F$10,Constants!$A$2:$A$10=A132)))"),"")</f>
        <v/>
      </c>
    </row>
    <row r="133">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c r="AJ133" s="80"/>
      <c r="AK133" s="80"/>
      <c r="AL133" s="80"/>
      <c r="AM133" s="80"/>
      <c r="AN133" s="80"/>
      <c r="AO133" s="80"/>
      <c r="AP133" s="80"/>
      <c r="AQ133" s="80"/>
      <c r="AR133" s="80"/>
      <c r="AS133" s="80"/>
      <c r="AT133" s="80"/>
      <c r="AU133" s="80"/>
      <c r="AV133" s="80"/>
      <c r="AW133" s="82" t="str">
        <f t="shared" si="1"/>
        <v/>
      </c>
      <c r="AX133" s="83" t="str">
        <f t="array" ref="AX133">IFERROR(DGET('SBV Import'!A:G,"SBV",{"RSC ID","Tier";B133,A133}))</f>
        <v/>
      </c>
      <c r="AY133" s="82" t="str">
        <f t="shared" si="2"/>
        <v/>
      </c>
      <c r="AZ133" s="82"/>
      <c r="BA133" s="84" t="s">
        <v>152</v>
      </c>
      <c r="BB133" s="84" t="str">
        <f>IFERROR(__xludf.DUMMYFUNCTION("iferror(if(A133="""",,E133&gt;=FILTER(Constants!$F$2:$F$10,Constants!$A$2:$A$10=A133)))"),"")</f>
        <v/>
      </c>
    </row>
    <row r="134">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c r="AJ134" s="80"/>
      <c r="AK134" s="80"/>
      <c r="AL134" s="80"/>
      <c r="AM134" s="80"/>
      <c r="AN134" s="80"/>
      <c r="AO134" s="80"/>
      <c r="AP134" s="80"/>
      <c r="AQ134" s="80"/>
      <c r="AR134" s="80"/>
      <c r="AS134" s="80"/>
      <c r="AT134" s="80"/>
      <c r="AU134" s="80"/>
      <c r="AV134" s="80"/>
      <c r="AW134" s="82" t="str">
        <f t="shared" si="1"/>
        <v/>
      </c>
      <c r="AX134" s="83" t="str">
        <f t="array" ref="AX134">IFERROR(DGET('SBV Import'!A:G,"SBV",{"RSC ID","Tier";B134,A134}))</f>
        <v/>
      </c>
      <c r="AY134" s="82" t="str">
        <f t="shared" si="2"/>
        <v/>
      </c>
      <c r="AZ134" s="82"/>
      <c r="BA134" s="84" t="s">
        <v>152</v>
      </c>
      <c r="BB134" s="84" t="str">
        <f>IFERROR(__xludf.DUMMYFUNCTION("iferror(if(A134="""",,E134&gt;=FILTER(Constants!$F$2:$F$10,Constants!$A$2:$A$10=A134)))"),"")</f>
        <v/>
      </c>
    </row>
    <row r="135">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c r="AJ135" s="80"/>
      <c r="AK135" s="80"/>
      <c r="AL135" s="80"/>
      <c r="AM135" s="80"/>
      <c r="AN135" s="80"/>
      <c r="AO135" s="80"/>
      <c r="AP135" s="80"/>
      <c r="AQ135" s="80"/>
      <c r="AR135" s="80"/>
      <c r="AS135" s="80"/>
      <c r="AT135" s="80"/>
      <c r="AU135" s="80"/>
      <c r="AV135" s="80"/>
      <c r="AW135" s="82" t="str">
        <f t="shared" si="1"/>
        <v/>
      </c>
      <c r="AX135" s="83" t="str">
        <f t="array" ref="AX135">IFERROR(DGET('SBV Import'!A:G,"SBV",{"RSC ID","Tier";B135,A135}))</f>
        <v/>
      </c>
      <c r="AY135" s="82" t="str">
        <f t="shared" si="2"/>
        <v/>
      </c>
      <c r="AZ135" s="82"/>
      <c r="BA135" s="84" t="s">
        <v>152</v>
      </c>
      <c r="BB135" s="84" t="str">
        <f>IFERROR(__xludf.DUMMYFUNCTION("iferror(if(A135="""",,E135&gt;=FILTER(Constants!$F$2:$F$10,Constants!$A$2:$A$10=A135)))"),"")</f>
        <v/>
      </c>
    </row>
    <row r="136">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c r="AJ136" s="80"/>
      <c r="AK136" s="80"/>
      <c r="AL136" s="80"/>
      <c r="AM136" s="80"/>
      <c r="AN136" s="80"/>
      <c r="AO136" s="80"/>
      <c r="AP136" s="80"/>
      <c r="AQ136" s="80"/>
      <c r="AR136" s="80"/>
      <c r="AS136" s="80"/>
      <c r="AT136" s="80"/>
      <c r="AU136" s="80"/>
      <c r="AV136" s="80"/>
      <c r="AW136" s="82" t="str">
        <f t="shared" si="1"/>
        <v/>
      </c>
      <c r="AX136" s="83" t="str">
        <f t="array" ref="AX136">IFERROR(DGET('SBV Import'!A:G,"SBV",{"RSC ID","Tier";B136,A136}))</f>
        <v/>
      </c>
      <c r="AY136" s="82" t="str">
        <f t="shared" si="2"/>
        <v/>
      </c>
      <c r="AZ136" s="82"/>
      <c r="BA136" s="84" t="s">
        <v>152</v>
      </c>
      <c r="BB136" s="84" t="str">
        <f>IFERROR(__xludf.DUMMYFUNCTION("iferror(if(A136="""",,E136&gt;=FILTER(Constants!$F$2:$F$10,Constants!$A$2:$A$10=A136)))"),"")</f>
        <v/>
      </c>
    </row>
    <row r="137">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c r="AJ137" s="80"/>
      <c r="AK137" s="80"/>
      <c r="AL137" s="80"/>
      <c r="AM137" s="80"/>
      <c r="AN137" s="80"/>
      <c r="AO137" s="80"/>
      <c r="AP137" s="80"/>
      <c r="AQ137" s="80"/>
      <c r="AR137" s="80"/>
      <c r="AS137" s="80"/>
      <c r="AT137" s="80"/>
      <c r="AU137" s="80"/>
      <c r="AV137" s="80"/>
      <c r="AW137" s="82" t="str">
        <f t="shared" si="1"/>
        <v/>
      </c>
      <c r="AX137" s="83" t="str">
        <f t="array" ref="AX137">IFERROR(DGET('SBV Import'!A:G,"SBV",{"RSC ID","Tier";B137,A137}))</f>
        <v/>
      </c>
      <c r="AY137" s="82" t="str">
        <f t="shared" si="2"/>
        <v/>
      </c>
      <c r="AZ137" s="82"/>
      <c r="BA137" s="84" t="s">
        <v>152</v>
      </c>
      <c r="BB137" s="84" t="str">
        <f>IFERROR(__xludf.DUMMYFUNCTION("iferror(if(A137="""",,E137&gt;=FILTER(Constants!$F$2:$F$10,Constants!$A$2:$A$10=A137)))"),"")</f>
        <v/>
      </c>
    </row>
    <row r="138">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c r="AJ138" s="80"/>
      <c r="AK138" s="80"/>
      <c r="AL138" s="80"/>
      <c r="AM138" s="80"/>
      <c r="AN138" s="80"/>
      <c r="AO138" s="80"/>
      <c r="AP138" s="80"/>
      <c r="AQ138" s="80"/>
      <c r="AR138" s="80"/>
      <c r="AS138" s="80"/>
      <c r="AT138" s="80"/>
      <c r="AU138" s="80"/>
      <c r="AV138" s="80"/>
      <c r="AW138" s="82" t="str">
        <f t="shared" si="1"/>
        <v/>
      </c>
      <c r="AX138" s="83" t="str">
        <f t="array" ref="AX138">IFERROR(DGET('SBV Import'!A:G,"SBV",{"RSC ID","Tier";B138,A138}))</f>
        <v/>
      </c>
      <c r="AY138" s="82" t="str">
        <f t="shared" si="2"/>
        <v/>
      </c>
      <c r="AZ138" s="82"/>
      <c r="BA138" s="84" t="s">
        <v>152</v>
      </c>
      <c r="BB138" s="84" t="str">
        <f>IFERROR(__xludf.DUMMYFUNCTION("iferror(if(A138="""",,E138&gt;=FILTER(Constants!$F$2:$F$10,Constants!$A$2:$A$10=A138)))"),"")</f>
        <v/>
      </c>
    </row>
    <row r="139">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c r="AJ139" s="80"/>
      <c r="AK139" s="80"/>
      <c r="AL139" s="80"/>
      <c r="AM139" s="80"/>
      <c r="AN139" s="80"/>
      <c r="AO139" s="80"/>
      <c r="AP139" s="80"/>
      <c r="AQ139" s="80"/>
      <c r="AR139" s="80"/>
      <c r="AS139" s="80"/>
      <c r="AT139" s="80"/>
      <c r="AU139" s="80"/>
      <c r="AV139" s="80"/>
      <c r="AW139" s="82" t="str">
        <f t="shared" si="1"/>
        <v/>
      </c>
      <c r="AX139" s="83" t="str">
        <f t="array" ref="AX139">IFERROR(DGET('SBV Import'!A:G,"SBV",{"RSC ID","Tier";B139,A139}))</f>
        <v/>
      </c>
      <c r="AY139" s="82" t="str">
        <f t="shared" si="2"/>
        <v/>
      </c>
      <c r="AZ139" s="82"/>
      <c r="BA139" s="84" t="s">
        <v>152</v>
      </c>
      <c r="BB139" s="84" t="str">
        <f>IFERROR(__xludf.DUMMYFUNCTION("iferror(if(A139="""",,E139&gt;=FILTER(Constants!$F$2:$F$10,Constants!$A$2:$A$10=A139)))"),"")</f>
        <v/>
      </c>
    </row>
    <row r="140">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c r="AJ140" s="80"/>
      <c r="AK140" s="80"/>
      <c r="AL140" s="80"/>
      <c r="AM140" s="80"/>
      <c r="AN140" s="80"/>
      <c r="AO140" s="80"/>
      <c r="AP140" s="80"/>
      <c r="AQ140" s="80"/>
      <c r="AR140" s="80"/>
      <c r="AS140" s="80"/>
      <c r="AT140" s="80"/>
      <c r="AU140" s="80"/>
      <c r="AV140" s="80"/>
      <c r="AW140" s="82" t="str">
        <f t="shared" si="1"/>
        <v/>
      </c>
      <c r="AX140" s="83" t="str">
        <f t="array" ref="AX140">IFERROR(DGET('SBV Import'!A:G,"SBV",{"RSC ID","Tier";B140,A140}))</f>
        <v/>
      </c>
      <c r="AY140" s="82" t="str">
        <f t="shared" si="2"/>
        <v/>
      </c>
      <c r="AZ140" s="82"/>
      <c r="BA140" s="84" t="s">
        <v>152</v>
      </c>
      <c r="BB140" s="84" t="str">
        <f>IFERROR(__xludf.DUMMYFUNCTION("iferror(if(A140="""",,E140&gt;=FILTER(Constants!$F$2:$F$10,Constants!$A$2:$A$10=A140)))"),"")</f>
        <v/>
      </c>
    </row>
    <row r="14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c r="AJ141" s="80"/>
      <c r="AK141" s="80"/>
      <c r="AL141" s="80"/>
      <c r="AM141" s="80"/>
      <c r="AN141" s="80"/>
      <c r="AO141" s="80"/>
      <c r="AP141" s="80"/>
      <c r="AQ141" s="80"/>
      <c r="AR141" s="80"/>
      <c r="AS141" s="80"/>
      <c r="AT141" s="80"/>
      <c r="AU141" s="80"/>
      <c r="AV141" s="80"/>
      <c r="AW141" s="82" t="str">
        <f t="shared" si="1"/>
        <v/>
      </c>
      <c r="AX141" s="83" t="str">
        <f t="array" ref="AX141">IFERROR(DGET('SBV Import'!A:G,"SBV",{"RSC ID","Tier";B141,A141}))</f>
        <v/>
      </c>
      <c r="AY141" s="82" t="str">
        <f t="shared" si="2"/>
        <v/>
      </c>
      <c r="AZ141" s="82"/>
      <c r="BA141" s="84" t="s">
        <v>152</v>
      </c>
      <c r="BB141" s="84" t="str">
        <f>IFERROR(__xludf.DUMMYFUNCTION("iferror(if(A141="""",,E141&gt;=FILTER(Constants!$F$2:$F$10,Constants!$A$2:$A$10=A141)))"),"")</f>
        <v/>
      </c>
    </row>
    <row r="14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c r="AJ142" s="80"/>
      <c r="AK142" s="80"/>
      <c r="AL142" s="80"/>
      <c r="AM142" s="80"/>
      <c r="AN142" s="80"/>
      <c r="AO142" s="80"/>
      <c r="AP142" s="80"/>
      <c r="AQ142" s="80"/>
      <c r="AR142" s="80"/>
      <c r="AS142" s="80"/>
      <c r="AT142" s="80"/>
      <c r="AU142" s="80"/>
      <c r="AV142" s="80"/>
      <c r="AW142" s="82" t="str">
        <f t="shared" si="1"/>
        <v/>
      </c>
      <c r="AX142" s="83" t="str">
        <f t="array" ref="AX142">IFERROR(DGET('SBV Import'!A:G,"SBV",{"RSC ID","Tier";B142,A142}))</f>
        <v/>
      </c>
      <c r="AY142" s="82" t="str">
        <f t="shared" si="2"/>
        <v/>
      </c>
      <c r="AZ142" s="82"/>
      <c r="BA142" s="84" t="s">
        <v>152</v>
      </c>
      <c r="BB142" s="84" t="str">
        <f>IFERROR(__xludf.DUMMYFUNCTION("iferror(if(A142="""",,E142&gt;=FILTER(Constants!$F$2:$F$10,Constants!$A$2:$A$10=A142)))"),"")</f>
        <v/>
      </c>
    </row>
    <row r="143">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c r="AJ143" s="80"/>
      <c r="AK143" s="80"/>
      <c r="AL143" s="80"/>
      <c r="AM143" s="80"/>
      <c r="AN143" s="80"/>
      <c r="AO143" s="80"/>
      <c r="AP143" s="80"/>
      <c r="AQ143" s="80"/>
      <c r="AR143" s="80"/>
      <c r="AS143" s="80"/>
      <c r="AT143" s="80"/>
      <c r="AU143" s="80"/>
      <c r="AV143" s="80"/>
      <c r="AW143" s="82" t="str">
        <f t="shared" si="1"/>
        <v/>
      </c>
      <c r="AX143" s="83" t="str">
        <f t="array" ref="AX143">IFERROR(DGET('SBV Import'!A:G,"SBV",{"RSC ID","Tier";B143,A143}))</f>
        <v/>
      </c>
      <c r="AY143" s="82" t="str">
        <f t="shared" si="2"/>
        <v/>
      </c>
      <c r="AZ143" s="82"/>
      <c r="BA143" s="84" t="s">
        <v>152</v>
      </c>
      <c r="BB143" s="84" t="str">
        <f>IFERROR(__xludf.DUMMYFUNCTION("iferror(if(A143="""",,E143&gt;=FILTER(Constants!$F$2:$F$10,Constants!$A$2:$A$10=A143)))"),"")</f>
        <v/>
      </c>
    </row>
    <row r="144">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c r="AJ144" s="80"/>
      <c r="AK144" s="80"/>
      <c r="AL144" s="80"/>
      <c r="AM144" s="80"/>
      <c r="AN144" s="80"/>
      <c r="AO144" s="80"/>
      <c r="AP144" s="80"/>
      <c r="AQ144" s="80"/>
      <c r="AR144" s="80"/>
      <c r="AS144" s="80"/>
      <c r="AT144" s="80"/>
      <c r="AU144" s="80"/>
      <c r="AV144" s="80"/>
      <c r="AW144" s="82" t="str">
        <f t="shared" si="1"/>
        <v/>
      </c>
      <c r="AX144" s="83" t="str">
        <f t="array" ref="AX144">IFERROR(DGET('SBV Import'!A:G,"SBV",{"RSC ID","Tier";B144,A144}))</f>
        <v/>
      </c>
      <c r="AY144" s="82" t="str">
        <f t="shared" si="2"/>
        <v/>
      </c>
      <c r="AZ144" s="82"/>
      <c r="BA144" s="84" t="s">
        <v>152</v>
      </c>
      <c r="BB144" s="84" t="str">
        <f>IFERROR(__xludf.DUMMYFUNCTION("iferror(if(A144="""",,E144&gt;=FILTER(Constants!$F$2:$F$10,Constants!$A$2:$A$10=A144)))"),"")</f>
        <v/>
      </c>
    </row>
    <row r="145">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c r="AJ145" s="80"/>
      <c r="AK145" s="80"/>
      <c r="AL145" s="80"/>
      <c r="AM145" s="80"/>
      <c r="AN145" s="80"/>
      <c r="AO145" s="80"/>
      <c r="AP145" s="80"/>
      <c r="AQ145" s="80"/>
      <c r="AR145" s="80"/>
      <c r="AS145" s="80"/>
      <c r="AT145" s="80"/>
      <c r="AU145" s="80"/>
      <c r="AV145" s="80"/>
      <c r="AW145" s="82" t="str">
        <f t="shared" si="1"/>
        <v/>
      </c>
      <c r="AX145" s="83" t="str">
        <f t="array" ref="AX145">IFERROR(DGET('SBV Import'!A:G,"SBV",{"RSC ID","Tier";B145,A145}))</f>
        <v/>
      </c>
      <c r="AY145" s="82" t="str">
        <f t="shared" si="2"/>
        <v/>
      </c>
      <c r="AZ145" s="82"/>
      <c r="BA145" s="84" t="s">
        <v>152</v>
      </c>
      <c r="BB145" s="84" t="str">
        <f>IFERROR(__xludf.DUMMYFUNCTION("iferror(if(A145="""",,E145&gt;=FILTER(Constants!$F$2:$F$10,Constants!$A$2:$A$10=A145)))"),"")</f>
        <v/>
      </c>
    </row>
    <row r="146">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c r="AJ146" s="80"/>
      <c r="AK146" s="80"/>
      <c r="AL146" s="80"/>
      <c r="AM146" s="80"/>
      <c r="AN146" s="80"/>
      <c r="AO146" s="80"/>
      <c r="AP146" s="80"/>
      <c r="AQ146" s="80"/>
      <c r="AR146" s="80"/>
      <c r="AS146" s="80"/>
      <c r="AT146" s="80"/>
      <c r="AU146" s="80"/>
      <c r="AV146" s="80"/>
      <c r="AW146" s="82" t="str">
        <f t="shared" si="1"/>
        <v/>
      </c>
      <c r="AX146" s="83" t="str">
        <f t="array" ref="AX146">IFERROR(DGET('SBV Import'!A:G,"SBV",{"RSC ID","Tier";B146,A146}))</f>
        <v/>
      </c>
      <c r="AY146" s="82" t="str">
        <f t="shared" si="2"/>
        <v/>
      </c>
      <c r="AZ146" s="82"/>
      <c r="BA146" s="84" t="s">
        <v>152</v>
      </c>
      <c r="BB146" s="84" t="str">
        <f>IFERROR(__xludf.DUMMYFUNCTION("iferror(if(A146="""",,E146&gt;=FILTER(Constants!$F$2:$F$10,Constants!$A$2:$A$10=A146)))"),"")</f>
        <v/>
      </c>
    </row>
    <row r="147">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c r="AJ147" s="80"/>
      <c r="AK147" s="80"/>
      <c r="AL147" s="80"/>
      <c r="AM147" s="80"/>
      <c r="AN147" s="80"/>
      <c r="AO147" s="80"/>
      <c r="AP147" s="80"/>
      <c r="AQ147" s="80"/>
      <c r="AR147" s="80"/>
      <c r="AS147" s="80"/>
      <c r="AT147" s="80"/>
      <c r="AU147" s="80"/>
      <c r="AV147" s="80"/>
      <c r="AW147" s="82" t="str">
        <f t="shared" si="1"/>
        <v/>
      </c>
      <c r="AX147" s="83" t="str">
        <f t="array" ref="AX147">IFERROR(DGET('SBV Import'!A:G,"SBV",{"RSC ID","Tier";B147,A147}))</f>
        <v/>
      </c>
      <c r="AY147" s="82" t="str">
        <f t="shared" si="2"/>
        <v/>
      </c>
      <c r="AZ147" s="82"/>
      <c r="BA147" s="84" t="s">
        <v>152</v>
      </c>
      <c r="BB147" s="84" t="str">
        <f>IFERROR(__xludf.DUMMYFUNCTION("iferror(if(A147="""",,E147&gt;=FILTER(Constants!$F$2:$F$10,Constants!$A$2:$A$10=A147)))"),"")</f>
        <v/>
      </c>
    </row>
    <row r="148">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c r="AJ148" s="80"/>
      <c r="AK148" s="80"/>
      <c r="AL148" s="80"/>
      <c r="AM148" s="80"/>
      <c r="AN148" s="80"/>
      <c r="AO148" s="80"/>
      <c r="AP148" s="80"/>
      <c r="AQ148" s="80"/>
      <c r="AR148" s="80"/>
      <c r="AS148" s="80"/>
      <c r="AT148" s="80"/>
      <c r="AU148" s="80"/>
      <c r="AV148" s="80"/>
      <c r="AW148" s="82" t="str">
        <f t="shared" si="1"/>
        <v/>
      </c>
      <c r="AX148" s="83" t="str">
        <f t="array" ref="AX148">IFERROR(DGET('SBV Import'!A:G,"SBV",{"RSC ID","Tier";B148,A148}))</f>
        <v/>
      </c>
      <c r="AY148" s="82" t="str">
        <f t="shared" si="2"/>
        <v/>
      </c>
      <c r="AZ148" s="82"/>
      <c r="BA148" s="84" t="s">
        <v>152</v>
      </c>
      <c r="BB148" s="84" t="str">
        <f>IFERROR(__xludf.DUMMYFUNCTION("iferror(if(A148="""",,E148&gt;=FILTER(Constants!$F$2:$F$10,Constants!$A$2:$A$10=A148)))"),"")</f>
        <v/>
      </c>
    </row>
    <row r="149">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c r="AJ149" s="80"/>
      <c r="AK149" s="80"/>
      <c r="AL149" s="80"/>
      <c r="AM149" s="80"/>
      <c r="AN149" s="80"/>
      <c r="AO149" s="80"/>
      <c r="AP149" s="80"/>
      <c r="AQ149" s="80"/>
      <c r="AR149" s="80"/>
      <c r="AS149" s="80"/>
      <c r="AT149" s="80"/>
      <c r="AU149" s="80"/>
      <c r="AV149" s="80"/>
      <c r="AW149" s="82" t="str">
        <f t="shared" si="1"/>
        <v/>
      </c>
      <c r="AX149" s="83" t="str">
        <f t="array" ref="AX149">IFERROR(DGET('SBV Import'!A:G,"SBV",{"RSC ID","Tier";B149,A149}))</f>
        <v/>
      </c>
      <c r="AY149" s="82" t="str">
        <f t="shared" si="2"/>
        <v/>
      </c>
      <c r="AZ149" s="82"/>
      <c r="BA149" s="84" t="s">
        <v>152</v>
      </c>
      <c r="BB149" s="84" t="str">
        <f>IFERROR(__xludf.DUMMYFUNCTION("iferror(if(A149="""",,E149&gt;=FILTER(Constants!$F$2:$F$10,Constants!$A$2:$A$10=A149)))"),"")</f>
        <v/>
      </c>
    </row>
    <row r="150">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c r="AJ150" s="80"/>
      <c r="AK150" s="80"/>
      <c r="AL150" s="80"/>
      <c r="AM150" s="80"/>
      <c r="AN150" s="80"/>
      <c r="AO150" s="80"/>
      <c r="AP150" s="80"/>
      <c r="AQ150" s="80"/>
      <c r="AR150" s="80"/>
      <c r="AS150" s="80"/>
      <c r="AT150" s="80"/>
      <c r="AU150" s="80"/>
      <c r="AV150" s="80"/>
      <c r="AW150" s="82" t="str">
        <f t="shared" si="1"/>
        <v/>
      </c>
      <c r="AX150" s="83" t="str">
        <f t="array" ref="AX150">IFERROR(DGET('SBV Import'!A:G,"SBV",{"RSC ID","Tier";B150,A150}))</f>
        <v/>
      </c>
      <c r="AY150" s="82" t="str">
        <f t="shared" si="2"/>
        <v/>
      </c>
      <c r="AZ150" s="82"/>
      <c r="BA150" s="84" t="s">
        <v>152</v>
      </c>
      <c r="BB150" s="84" t="str">
        <f>IFERROR(__xludf.DUMMYFUNCTION("iferror(if(A150="""",,E150&gt;=FILTER(Constants!$F$2:$F$10,Constants!$A$2:$A$10=A150)))"),"")</f>
        <v/>
      </c>
    </row>
    <row r="15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c r="AJ151" s="80"/>
      <c r="AK151" s="80"/>
      <c r="AL151" s="80"/>
      <c r="AM151" s="80"/>
      <c r="AN151" s="80"/>
      <c r="AO151" s="80"/>
      <c r="AP151" s="80"/>
      <c r="AQ151" s="80"/>
      <c r="AR151" s="80"/>
      <c r="AS151" s="80"/>
      <c r="AT151" s="80"/>
      <c r="AU151" s="80"/>
      <c r="AV151" s="80"/>
      <c r="AW151" s="82" t="str">
        <f t="shared" si="1"/>
        <v/>
      </c>
      <c r="AX151" s="83" t="str">
        <f t="array" ref="AX151">IFERROR(DGET('SBV Import'!A:G,"SBV",{"RSC ID","Tier";B151,A151}))</f>
        <v/>
      </c>
      <c r="AY151" s="82" t="str">
        <f t="shared" si="2"/>
        <v/>
      </c>
      <c r="AZ151" s="82"/>
      <c r="BA151" s="84" t="s">
        <v>152</v>
      </c>
      <c r="BB151" s="84" t="str">
        <f>IFERROR(__xludf.DUMMYFUNCTION("iferror(if(A151="""",,E151&gt;=FILTER(Constants!$F$2:$F$10,Constants!$A$2:$A$10=A151)))"),"")</f>
        <v/>
      </c>
    </row>
    <row r="15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c r="AJ152" s="80"/>
      <c r="AK152" s="80"/>
      <c r="AL152" s="80"/>
      <c r="AM152" s="80"/>
      <c r="AN152" s="80"/>
      <c r="AO152" s="80"/>
      <c r="AP152" s="80"/>
      <c r="AQ152" s="80"/>
      <c r="AR152" s="80"/>
      <c r="AS152" s="80"/>
      <c r="AT152" s="80"/>
      <c r="AU152" s="80"/>
      <c r="AV152" s="80"/>
      <c r="AW152" s="82" t="str">
        <f t="shared" si="1"/>
        <v/>
      </c>
      <c r="AX152" s="83" t="str">
        <f t="array" ref="AX152">IFERROR(DGET('SBV Import'!A:G,"SBV",{"RSC ID","Tier";B152,A152}))</f>
        <v/>
      </c>
      <c r="AY152" s="82" t="str">
        <f t="shared" si="2"/>
        <v/>
      </c>
      <c r="AZ152" s="82"/>
      <c r="BA152" s="84" t="s">
        <v>152</v>
      </c>
      <c r="BB152" s="84" t="str">
        <f>IFERROR(__xludf.DUMMYFUNCTION("iferror(if(A152="""",,E152&gt;=FILTER(Constants!$F$2:$F$10,Constants!$A$2:$A$10=A152)))"),"")</f>
        <v/>
      </c>
    </row>
    <row r="153">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c r="AJ153" s="80"/>
      <c r="AK153" s="80"/>
      <c r="AL153" s="80"/>
      <c r="AM153" s="80"/>
      <c r="AN153" s="80"/>
      <c r="AO153" s="80"/>
      <c r="AP153" s="80"/>
      <c r="AQ153" s="80"/>
      <c r="AR153" s="80"/>
      <c r="AS153" s="80"/>
      <c r="AT153" s="80"/>
      <c r="AU153" s="80"/>
      <c r="AV153" s="80"/>
      <c r="AW153" s="82" t="str">
        <f t="shared" si="1"/>
        <v/>
      </c>
      <c r="AX153" s="83" t="str">
        <f t="array" ref="AX153">IFERROR(DGET('SBV Import'!A:G,"SBV",{"RSC ID","Tier";B153,A153}))</f>
        <v/>
      </c>
      <c r="AY153" s="82" t="str">
        <f t="shared" si="2"/>
        <v/>
      </c>
      <c r="AZ153" s="82"/>
      <c r="BA153" s="84" t="s">
        <v>152</v>
      </c>
      <c r="BB153" s="84" t="str">
        <f>IFERROR(__xludf.DUMMYFUNCTION("iferror(if(A153="""",,E153&gt;=FILTER(Constants!$F$2:$F$10,Constants!$A$2:$A$10=A153)))"),"")</f>
        <v/>
      </c>
    </row>
    <row r="154">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c r="AJ154" s="80"/>
      <c r="AK154" s="80"/>
      <c r="AL154" s="80"/>
      <c r="AM154" s="80"/>
      <c r="AN154" s="80"/>
      <c r="AO154" s="80"/>
      <c r="AP154" s="80"/>
      <c r="AQ154" s="80"/>
      <c r="AR154" s="80"/>
      <c r="AS154" s="80"/>
      <c r="AT154" s="80"/>
      <c r="AU154" s="80"/>
      <c r="AV154" s="80"/>
      <c r="AW154" s="82" t="str">
        <f t="shared" si="1"/>
        <v/>
      </c>
      <c r="AX154" s="83" t="str">
        <f t="array" ref="AX154">IFERROR(DGET('SBV Import'!A:G,"SBV",{"RSC ID","Tier";B154,A154}))</f>
        <v/>
      </c>
      <c r="AY154" s="82" t="str">
        <f t="shared" si="2"/>
        <v/>
      </c>
      <c r="AZ154" s="82"/>
      <c r="BA154" s="84" t="s">
        <v>152</v>
      </c>
      <c r="BB154" s="84" t="str">
        <f>IFERROR(__xludf.DUMMYFUNCTION("iferror(if(A154="""",,E154&gt;=FILTER(Constants!$F$2:$F$10,Constants!$A$2:$A$10=A154)))"),"")</f>
        <v/>
      </c>
    </row>
    <row r="155">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c r="AJ155" s="80"/>
      <c r="AK155" s="80"/>
      <c r="AL155" s="80"/>
      <c r="AM155" s="80"/>
      <c r="AN155" s="80"/>
      <c r="AO155" s="80"/>
      <c r="AP155" s="80"/>
      <c r="AQ155" s="80"/>
      <c r="AR155" s="80"/>
      <c r="AS155" s="80"/>
      <c r="AT155" s="80"/>
      <c r="AU155" s="80"/>
      <c r="AV155" s="80"/>
      <c r="AW155" s="82" t="str">
        <f t="shared" si="1"/>
        <v/>
      </c>
      <c r="AX155" s="83" t="str">
        <f t="array" ref="AX155">IFERROR(DGET('SBV Import'!A:G,"SBV",{"RSC ID","Tier";B155,A155}))</f>
        <v/>
      </c>
      <c r="AY155" s="82" t="str">
        <f t="shared" si="2"/>
        <v/>
      </c>
      <c r="AZ155" s="82"/>
      <c r="BA155" s="84" t="s">
        <v>152</v>
      </c>
      <c r="BB155" s="84" t="str">
        <f>IFERROR(__xludf.DUMMYFUNCTION("iferror(if(A155="""",,E155&gt;=FILTER(Constants!$F$2:$F$10,Constants!$A$2:$A$10=A155)))"),"")</f>
        <v/>
      </c>
    </row>
    <row r="156">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c r="AJ156" s="80"/>
      <c r="AK156" s="80"/>
      <c r="AL156" s="80"/>
      <c r="AM156" s="80"/>
      <c r="AN156" s="80"/>
      <c r="AO156" s="80"/>
      <c r="AP156" s="80"/>
      <c r="AQ156" s="80"/>
      <c r="AR156" s="80"/>
      <c r="AS156" s="80"/>
      <c r="AT156" s="80"/>
      <c r="AU156" s="80"/>
      <c r="AV156" s="80"/>
      <c r="AW156" s="82" t="str">
        <f t="shared" si="1"/>
        <v/>
      </c>
      <c r="AX156" s="83" t="str">
        <f t="array" ref="AX156">IFERROR(DGET('SBV Import'!A:G,"SBV",{"RSC ID","Tier";B156,A156}))</f>
        <v/>
      </c>
      <c r="AY156" s="82" t="str">
        <f t="shared" si="2"/>
        <v/>
      </c>
      <c r="AZ156" s="82"/>
      <c r="BA156" s="84" t="s">
        <v>152</v>
      </c>
      <c r="BB156" s="84" t="str">
        <f>IFERROR(__xludf.DUMMYFUNCTION("iferror(if(A156="""",,E156&gt;=FILTER(Constants!$F$2:$F$10,Constants!$A$2:$A$10=A156)))"),"")</f>
        <v/>
      </c>
    </row>
    <row r="157">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c r="AJ157" s="80"/>
      <c r="AK157" s="80"/>
      <c r="AL157" s="80"/>
      <c r="AM157" s="80"/>
      <c r="AN157" s="80"/>
      <c r="AO157" s="80"/>
      <c r="AP157" s="80"/>
      <c r="AQ157" s="80"/>
      <c r="AR157" s="80"/>
      <c r="AS157" s="80"/>
      <c r="AT157" s="80"/>
      <c r="AU157" s="80"/>
      <c r="AV157" s="80"/>
      <c r="AW157" s="82" t="str">
        <f t="shared" si="1"/>
        <v/>
      </c>
      <c r="AX157" s="83" t="str">
        <f t="array" ref="AX157">IFERROR(DGET('SBV Import'!A:G,"SBV",{"RSC ID","Tier";B157,A157}))</f>
        <v/>
      </c>
      <c r="AY157" s="82" t="str">
        <f t="shared" si="2"/>
        <v/>
      </c>
      <c r="AZ157" s="82"/>
      <c r="BA157" s="84" t="s">
        <v>152</v>
      </c>
      <c r="BB157" s="84" t="str">
        <f>IFERROR(__xludf.DUMMYFUNCTION("iferror(if(A157="""",,E157&gt;=FILTER(Constants!$F$2:$F$10,Constants!$A$2:$A$10=A157)))"),"")</f>
        <v/>
      </c>
    </row>
    <row r="158">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c r="AJ158" s="80"/>
      <c r="AK158" s="80"/>
      <c r="AL158" s="80"/>
      <c r="AM158" s="80"/>
      <c r="AN158" s="80"/>
      <c r="AO158" s="80"/>
      <c r="AP158" s="80"/>
      <c r="AQ158" s="80"/>
      <c r="AR158" s="80"/>
      <c r="AS158" s="80"/>
      <c r="AT158" s="80"/>
      <c r="AU158" s="80"/>
      <c r="AV158" s="80"/>
      <c r="AW158" s="82" t="str">
        <f t="shared" si="1"/>
        <v/>
      </c>
      <c r="AX158" s="83" t="str">
        <f t="array" ref="AX158">IFERROR(DGET('SBV Import'!A:G,"SBV",{"RSC ID","Tier";B158,A158}))</f>
        <v/>
      </c>
      <c r="AY158" s="82" t="str">
        <f t="shared" si="2"/>
        <v/>
      </c>
      <c r="AZ158" s="82"/>
      <c r="BA158" s="84" t="s">
        <v>152</v>
      </c>
      <c r="BB158" s="84" t="str">
        <f>IFERROR(__xludf.DUMMYFUNCTION("iferror(if(A158="""",,E158&gt;=FILTER(Constants!$F$2:$F$10,Constants!$A$2:$A$10=A158)))"),"")</f>
        <v/>
      </c>
    </row>
    <row r="159">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c r="AJ159" s="80"/>
      <c r="AK159" s="80"/>
      <c r="AL159" s="80"/>
      <c r="AM159" s="80"/>
      <c r="AN159" s="80"/>
      <c r="AO159" s="80"/>
      <c r="AP159" s="80"/>
      <c r="AQ159" s="80"/>
      <c r="AR159" s="80"/>
      <c r="AS159" s="80"/>
      <c r="AT159" s="80"/>
      <c r="AU159" s="80"/>
      <c r="AV159" s="80"/>
      <c r="AW159" s="82" t="str">
        <f t="shared" si="1"/>
        <v/>
      </c>
      <c r="AX159" s="83" t="str">
        <f t="array" ref="AX159">IFERROR(DGET('SBV Import'!A:G,"SBV",{"RSC ID","Tier";B159,A159}))</f>
        <v/>
      </c>
      <c r="AY159" s="82" t="str">
        <f t="shared" si="2"/>
        <v/>
      </c>
      <c r="AZ159" s="82"/>
      <c r="BA159" s="84" t="s">
        <v>152</v>
      </c>
      <c r="BB159" s="84" t="str">
        <f>IFERROR(__xludf.DUMMYFUNCTION("iferror(if(A159="""",,E159&gt;=FILTER(Constants!$F$2:$F$10,Constants!$A$2:$A$10=A159)))"),"")</f>
        <v/>
      </c>
    </row>
    <row r="160">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c r="AJ160" s="80"/>
      <c r="AK160" s="80"/>
      <c r="AL160" s="80"/>
      <c r="AM160" s="80"/>
      <c r="AN160" s="80"/>
      <c r="AO160" s="80"/>
      <c r="AP160" s="80"/>
      <c r="AQ160" s="80"/>
      <c r="AR160" s="80"/>
      <c r="AS160" s="80"/>
      <c r="AT160" s="80"/>
      <c r="AU160" s="80"/>
      <c r="AV160" s="80"/>
      <c r="AW160" s="82" t="str">
        <f t="shared" si="1"/>
        <v/>
      </c>
      <c r="AX160" s="83" t="str">
        <f t="array" ref="AX160">IFERROR(DGET('SBV Import'!A:G,"SBV",{"RSC ID","Tier";B160,A160}))</f>
        <v/>
      </c>
      <c r="AY160" s="82" t="str">
        <f t="shared" si="2"/>
        <v/>
      </c>
      <c r="AZ160" s="82"/>
      <c r="BA160" s="84" t="s">
        <v>152</v>
      </c>
      <c r="BB160" s="84" t="str">
        <f>IFERROR(__xludf.DUMMYFUNCTION("iferror(if(A160="""",,E160&gt;=FILTER(Constants!$F$2:$F$10,Constants!$A$2:$A$10=A160)))"),"")</f>
        <v/>
      </c>
    </row>
    <row r="16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c r="AJ161" s="80"/>
      <c r="AK161" s="80"/>
      <c r="AL161" s="80"/>
      <c r="AM161" s="80"/>
      <c r="AN161" s="80"/>
      <c r="AO161" s="80"/>
      <c r="AP161" s="80"/>
      <c r="AQ161" s="80"/>
      <c r="AR161" s="80"/>
      <c r="AS161" s="80"/>
      <c r="AT161" s="80"/>
      <c r="AU161" s="80"/>
      <c r="AV161" s="80"/>
      <c r="AW161" s="82" t="str">
        <f t="shared" si="1"/>
        <v/>
      </c>
      <c r="AX161" s="83" t="str">
        <f t="array" ref="AX161">IFERROR(DGET('SBV Import'!A:G,"SBV",{"RSC ID","Tier";B161,A161}))</f>
        <v/>
      </c>
      <c r="AY161" s="82" t="str">
        <f t="shared" si="2"/>
        <v/>
      </c>
      <c r="AZ161" s="82"/>
      <c r="BA161" s="84" t="s">
        <v>152</v>
      </c>
      <c r="BB161" s="84" t="str">
        <f>IFERROR(__xludf.DUMMYFUNCTION("iferror(if(A161="""",,E161&gt;=FILTER(Constants!$F$2:$F$10,Constants!$A$2:$A$10=A161)))"),"")</f>
        <v/>
      </c>
    </row>
    <row r="16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c r="AJ162" s="80"/>
      <c r="AK162" s="80"/>
      <c r="AL162" s="80"/>
      <c r="AM162" s="80"/>
      <c r="AN162" s="80"/>
      <c r="AO162" s="80"/>
      <c r="AP162" s="80"/>
      <c r="AQ162" s="80"/>
      <c r="AR162" s="80"/>
      <c r="AS162" s="80"/>
      <c r="AT162" s="80"/>
      <c r="AU162" s="80"/>
      <c r="AV162" s="80"/>
      <c r="AW162" s="82" t="str">
        <f t="shared" si="1"/>
        <v/>
      </c>
      <c r="AX162" s="83" t="str">
        <f t="array" ref="AX162">IFERROR(DGET('SBV Import'!A:G,"SBV",{"RSC ID","Tier";B162,A162}))</f>
        <v/>
      </c>
      <c r="AY162" s="82" t="str">
        <f t="shared" si="2"/>
        <v/>
      </c>
      <c r="AZ162" s="82"/>
      <c r="BA162" s="84" t="s">
        <v>152</v>
      </c>
      <c r="BB162" s="84" t="str">
        <f>IFERROR(__xludf.DUMMYFUNCTION("iferror(if(A162="""",,E162&gt;=FILTER(Constants!$F$2:$F$10,Constants!$A$2:$A$10=A162)))"),"")</f>
        <v/>
      </c>
    </row>
    <row r="163">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c r="AJ163" s="80"/>
      <c r="AK163" s="80"/>
      <c r="AL163" s="80"/>
      <c r="AM163" s="80"/>
      <c r="AN163" s="80"/>
      <c r="AO163" s="80"/>
      <c r="AP163" s="80"/>
      <c r="AQ163" s="80"/>
      <c r="AR163" s="80"/>
      <c r="AS163" s="80"/>
      <c r="AT163" s="80"/>
      <c r="AU163" s="80"/>
      <c r="AV163" s="80"/>
      <c r="AW163" s="82" t="str">
        <f t="shared" si="1"/>
        <v/>
      </c>
      <c r="AX163" s="83" t="str">
        <f t="array" ref="AX163">IFERROR(DGET('SBV Import'!A:G,"SBV",{"RSC ID","Tier";B163,A163}))</f>
        <v/>
      </c>
      <c r="AY163" s="82" t="str">
        <f t="shared" si="2"/>
        <v/>
      </c>
      <c r="AZ163" s="82"/>
      <c r="BA163" s="84" t="s">
        <v>152</v>
      </c>
      <c r="BB163" s="84" t="str">
        <f>IFERROR(__xludf.DUMMYFUNCTION("iferror(if(A163="""",,E163&gt;=FILTER(Constants!$F$2:$F$10,Constants!$A$2:$A$10=A163)))"),"")</f>
        <v/>
      </c>
    </row>
    <row r="164">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c r="AJ164" s="80"/>
      <c r="AK164" s="80"/>
      <c r="AL164" s="80"/>
      <c r="AM164" s="80"/>
      <c r="AN164" s="80"/>
      <c r="AO164" s="80"/>
      <c r="AP164" s="80"/>
      <c r="AQ164" s="80"/>
      <c r="AR164" s="80"/>
      <c r="AS164" s="80"/>
      <c r="AT164" s="80"/>
      <c r="AU164" s="80"/>
      <c r="AV164" s="80"/>
      <c r="AW164" s="82" t="str">
        <f t="shared" si="1"/>
        <v/>
      </c>
      <c r="AX164" s="83" t="str">
        <f t="array" ref="AX164">IFERROR(DGET('SBV Import'!A:G,"SBV",{"RSC ID","Tier";B164,A164}))</f>
        <v/>
      </c>
      <c r="AY164" s="82" t="str">
        <f t="shared" si="2"/>
        <v/>
      </c>
      <c r="AZ164" s="82"/>
      <c r="BA164" s="84" t="s">
        <v>152</v>
      </c>
      <c r="BB164" s="84" t="str">
        <f>IFERROR(__xludf.DUMMYFUNCTION("iferror(if(A164="""",,E164&gt;=FILTER(Constants!$F$2:$F$10,Constants!$A$2:$A$10=A164)))"),"")</f>
        <v/>
      </c>
    </row>
    <row r="165">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c r="AJ165" s="80"/>
      <c r="AK165" s="80"/>
      <c r="AL165" s="80"/>
      <c r="AM165" s="80"/>
      <c r="AN165" s="80"/>
      <c r="AO165" s="80"/>
      <c r="AP165" s="80"/>
      <c r="AQ165" s="80"/>
      <c r="AR165" s="80"/>
      <c r="AS165" s="80"/>
      <c r="AT165" s="80"/>
      <c r="AU165" s="80"/>
      <c r="AV165" s="80"/>
      <c r="AW165" s="82" t="str">
        <f t="shared" si="1"/>
        <v/>
      </c>
      <c r="AX165" s="83" t="str">
        <f t="array" ref="AX165">IFERROR(DGET('SBV Import'!A:G,"SBV",{"RSC ID","Tier";B165,A165}))</f>
        <v/>
      </c>
      <c r="AY165" s="82" t="str">
        <f t="shared" si="2"/>
        <v/>
      </c>
      <c r="AZ165" s="82"/>
      <c r="BA165" s="84" t="s">
        <v>152</v>
      </c>
      <c r="BB165" s="84" t="str">
        <f>IFERROR(__xludf.DUMMYFUNCTION("iferror(if(A165="""",,E165&gt;=FILTER(Constants!$F$2:$F$10,Constants!$A$2:$A$10=A165)))"),"")</f>
        <v/>
      </c>
    </row>
    <row r="166">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c r="AJ166" s="80"/>
      <c r="AK166" s="80"/>
      <c r="AL166" s="80"/>
      <c r="AM166" s="80"/>
      <c r="AN166" s="80"/>
      <c r="AO166" s="80"/>
      <c r="AP166" s="80"/>
      <c r="AQ166" s="80"/>
      <c r="AR166" s="80"/>
      <c r="AS166" s="80"/>
      <c r="AT166" s="80"/>
      <c r="AU166" s="80"/>
      <c r="AV166" s="80"/>
      <c r="AW166" s="82" t="str">
        <f t="shared" si="1"/>
        <v/>
      </c>
      <c r="AX166" s="83" t="str">
        <f t="array" ref="AX166">IFERROR(DGET('SBV Import'!A:G,"SBV",{"RSC ID","Tier";B166,A166}))</f>
        <v/>
      </c>
      <c r="AY166" s="82" t="str">
        <f t="shared" si="2"/>
        <v/>
      </c>
      <c r="AZ166" s="82"/>
      <c r="BA166" s="84" t="s">
        <v>152</v>
      </c>
      <c r="BB166" s="84" t="str">
        <f>IFERROR(__xludf.DUMMYFUNCTION("iferror(if(A166="""",,E166&gt;=FILTER(Constants!$F$2:$F$10,Constants!$A$2:$A$10=A166)))"),"")</f>
        <v/>
      </c>
    </row>
    <row r="167">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c r="AJ167" s="80"/>
      <c r="AK167" s="80"/>
      <c r="AL167" s="80"/>
      <c r="AM167" s="80"/>
      <c r="AN167" s="80"/>
      <c r="AO167" s="80"/>
      <c r="AP167" s="80"/>
      <c r="AQ167" s="80"/>
      <c r="AR167" s="80"/>
      <c r="AS167" s="80"/>
      <c r="AT167" s="80"/>
      <c r="AU167" s="80"/>
      <c r="AV167" s="80"/>
      <c r="AW167" s="82" t="str">
        <f t="shared" si="1"/>
        <v/>
      </c>
      <c r="AX167" s="83" t="str">
        <f t="array" ref="AX167">IFERROR(DGET('SBV Import'!A:G,"SBV",{"RSC ID","Tier";B167,A167}))</f>
        <v/>
      </c>
      <c r="AY167" s="82" t="str">
        <f t="shared" si="2"/>
        <v/>
      </c>
      <c r="AZ167" s="82"/>
      <c r="BA167" s="84" t="s">
        <v>152</v>
      </c>
      <c r="BB167" s="84" t="str">
        <f>IFERROR(__xludf.DUMMYFUNCTION("iferror(if(A167="""",,E167&gt;=FILTER(Constants!$F$2:$F$10,Constants!$A$2:$A$10=A167)))"),"")</f>
        <v/>
      </c>
    </row>
    <row r="168">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c r="AJ168" s="80"/>
      <c r="AK168" s="80"/>
      <c r="AL168" s="80"/>
      <c r="AM168" s="80"/>
      <c r="AN168" s="80"/>
      <c r="AO168" s="80"/>
      <c r="AP168" s="80"/>
      <c r="AQ168" s="80"/>
      <c r="AR168" s="80"/>
      <c r="AS168" s="80"/>
      <c r="AT168" s="80"/>
      <c r="AU168" s="80"/>
      <c r="AV168" s="80"/>
      <c r="AW168" s="82" t="str">
        <f t="shared" si="1"/>
        <v/>
      </c>
      <c r="AX168" s="83" t="str">
        <f t="array" ref="AX168">IFERROR(DGET('SBV Import'!A:G,"SBV",{"RSC ID","Tier";B168,A168}))</f>
        <v/>
      </c>
      <c r="AY168" s="82" t="str">
        <f t="shared" si="2"/>
        <v/>
      </c>
      <c r="AZ168" s="82"/>
      <c r="BA168" s="84" t="s">
        <v>152</v>
      </c>
      <c r="BB168" s="84" t="str">
        <f>IFERROR(__xludf.DUMMYFUNCTION("iferror(if(A168="""",,E168&gt;=FILTER(Constants!$F$2:$F$10,Constants!$A$2:$A$10=A168)))"),"")</f>
        <v/>
      </c>
    </row>
    <row r="169">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c r="AJ169" s="80"/>
      <c r="AK169" s="80"/>
      <c r="AL169" s="80"/>
      <c r="AM169" s="80"/>
      <c r="AN169" s="80"/>
      <c r="AO169" s="80"/>
      <c r="AP169" s="80"/>
      <c r="AQ169" s="80"/>
      <c r="AR169" s="80"/>
      <c r="AS169" s="80"/>
      <c r="AT169" s="80"/>
      <c r="AU169" s="80"/>
      <c r="AV169" s="80"/>
      <c r="AW169" s="82" t="str">
        <f t="shared" si="1"/>
        <v/>
      </c>
      <c r="AX169" s="83" t="str">
        <f t="array" ref="AX169">IFERROR(DGET('SBV Import'!A:G,"SBV",{"RSC ID","Tier";B169,A169}))</f>
        <v/>
      </c>
      <c r="AY169" s="82" t="str">
        <f t="shared" si="2"/>
        <v/>
      </c>
      <c r="AZ169" s="82"/>
      <c r="BA169" s="84" t="s">
        <v>152</v>
      </c>
      <c r="BB169" s="84" t="str">
        <f>IFERROR(__xludf.DUMMYFUNCTION("iferror(if(A169="""",,E169&gt;=FILTER(Constants!$F$2:$F$10,Constants!$A$2:$A$10=A169)))"),"")</f>
        <v/>
      </c>
    </row>
    <row r="170">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c r="AJ170" s="80"/>
      <c r="AK170" s="80"/>
      <c r="AL170" s="80"/>
      <c r="AM170" s="80"/>
      <c r="AN170" s="80"/>
      <c r="AO170" s="80"/>
      <c r="AP170" s="80"/>
      <c r="AQ170" s="80"/>
      <c r="AR170" s="80"/>
      <c r="AS170" s="80"/>
      <c r="AT170" s="80"/>
      <c r="AU170" s="80"/>
      <c r="AV170" s="80"/>
      <c r="AW170" s="82" t="str">
        <f t="shared" si="1"/>
        <v/>
      </c>
      <c r="AX170" s="83" t="str">
        <f t="array" ref="AX170">IFERROR(DGET('SBV Import'!A:G,"SBV",{"RSC ID","Tier";B170,A170}))</f>
        <v/>
      </c>
      <c r="AY170" s="82" t="str">
        <f t="shared" si="2"/>
        <v/>
      </c>
      <c r="AZ170" s="82"/>
      <c r="BA170" s="84" t="s">
        <v>152</v>
      </c>
      <c r="BB170" s="84" t="str">
        <f>IFERROR(__xludf.DUMMYFUNCTION("iferror(if(A170="""",,E170&gt;=FILTER(Constants!$F$2:$F$10,Constants!$A$2:$A$10=A170)))"),"")</f>
        <v/>
      </c>
    </row>
    <row r="17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c r="AJ171" s="80"/>
      <c r="AK171" s="80"/>
      <c r="AL171" s="80"/>
      <c r="AM171" s="80"/>
      <c r="AN171" s="80"/>
      <c r="AO171" s="80"/>
      <c r="AP171" s="80"/>
      <c r="AQ171" s="80"/>
      <c r="AR171" s="80"/>
      <c r="AS171" s="80"/>
      <c r="AT171" s="80"/>
      <c r="AU171" s="80"/>
      <c r="AV171" s="80"/>
      <c r="AW171" s="82" t="str">
        <f t="shared" si="1"/>
        <v/>
      </c>
      <c r="AX171" s="83" t="str">
        <f t="array" ref="AX171">IFERROR(DGET('SBV Import'!A:G,"SBV",{"RSC ID","Tier";B171,A171}))</f>
        <v/>
      </c>
      <c r="AY171" s="82" t="str">
        <f t="shared" si="2"/>
        <v/>
      </c>
      <c r="AZ171" s="82"/>
      <c r="BA171" s="84" t="s">
        <v>152</v>
      </c>
      <c r="BB171" s="84" t="str">
        <f>IFERROR(__xludf.DUMMYFUNCTION("iferror(if(A171="""",,E171&gt;=FILTER(Constants!$F$2:$F$10,Constants!$A$2:$A$10=A171)))"),"")</f>
        <v/>
      </c>
    </row>
    <row r="17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c r="AJ172" s="80"/>
      <c r="AK172" s="80"/>
      <c r="AL172" s="80"/>
      <c r="AM172" s="80"/>
      <c r="AN172" s="80"/>
      <c r="AO172" s="80"/>
      <c r="AP172" s="80"/>
      <c r="AQ172" s="80"/>
      <c r="AR172" s="80"/>
      <c r="AS172" s="80"/>
      <c r="AT172" s="80"/>
      <c r="AU172" s="80"/>
      <c r="AV172" s="80"/>
      <c r="AW172" s="82" t="str">
        <f t="shared" si="1"/>
        <v/>
      </c>
      <c r="AX172" s="83" t="str">
        <f t="array" ref="AX172">IFERROR(DGET('SBV Import'!A:G,"SBV",{"RSC ID","Tier";B172,A172}))</f>
        <v/>
      </c>
      <c r="AY172" s="82" t="str">
        <f t="shared" si="2"/>
        <v/>
      </c>
      <c r="AZ172" s="82"/>
      <c r="BA172" s="84" t="s">
        <v>152</v>
      </c>
      <c r="BB172" s="84" t="str">
        <f>IFERROR(__xludf.DUMMYFUNCTION("iferror(if(A172="""",,E172&gt;=FILTER(Constants!$F$2:$F$10,Constants!$A$2:$A$10=A172)))"),"")</f>
        <v/>
      </c>
    </row>
    <row r="173">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c r="AJ173" s="80"/>
      <c r="AK173" s="80"/>
      <c r="AL173" s="80"/>
      <c r="AM173" s="80"/>
      <c r="AN173" s="80"/>
      <c r="AO173" s="80"/>
      <c r="AP173" s="80"/>
      <c r="AQ173" s="80"/>
      <c r="AR173" s="80"/>
      <c r="AS173" s="80"/>
      <c r="AT173" s="80"/>
      <c r="AU173" s="80"/>
      <c r="AV173" s="80"/>
      <c r="AW173" s="82" t="str">
        <f t="shared" si="1"/>
        <v/>
      </c>
      <c r="AX173" s="83" t="str">
        <f t="array" ref="AX173">IFERROR(DGET('SBV Import'!A:G,"SBV",{"RSC ID","Tier";B173,A173}))</f>
        <v/>
      </c>
      <c r="AY173" s="82" t="str">
        <f t="shared" si="2"/>
        <v/>
      </c>
      <c r="AZ173" s="82"/>
      <c r="BA173" s="84" t="s">
        <v>152</v>
      </c>
      <c r="BB173" s="84" t="str">
        <f>IFERROR(__xludf.DUMMYFUNCTION("iferror(if(A173="""",,E173&gt;=FILTER(Constants!$F$2:$F$10,Constants!$A$2:$A$10=A173)))"),"")</f>
        <v/>
      </c>
    </row>
    <row r="174">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c r="AJ174" s="80"/>
      <c r="AK174" s="80"/>
      <c r="AL174" s="80"/>
      <c r="AM174" s="80"/>
      <c r="AN174" s="80"/>
      <c r="AO174" s="80"/>
      <c r="AP174" s="80"/>
      <c r="AQ174" s="80"/>
      <c r="AR174" s="80"/>
      <c r="AS174" s="80"/>
      <c r="AT174" s="80"/>
      <c r="AU174" s="80"/>
      <c r="AV174" s="80"/>
      <c r="AW174" s="82" t="str">
        <f t="shared" si="1"/>
        <v/>
      </c>
      <c r="AX174" s="83" t="str">
        <f t="array" ref="AX174">IFERROR(DGET('SBV Import'!A:G,"SBV",{"RSC ID","Tier";B174,A174}))</f>
        <v/>
      </c>
      <c r="AY174" s="82" t="str">
        <f t="shared" si="2"/>
        <v/>
      </c>
      <c r="AZ174" s="82"/>
      <c r="BA174" s="84" t="s">
        <v>152</v>
      </c>
      <c r="BB174" s="84" t="str">
        <f>IFERROR(__xludf.DUMMYFUNCTION("iferror(if(A174="""",,E174&gt;=FILTER(Constants!$F$2:$F$10,Constants!$A$2:$A$10=A174)))"),"")</f>
        <v/>
      </c>
    </row>
    <row r="175">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c r="AJ175" s="80"/>
      <c r="AK175" s="80"/>
      <c r="AL175" s="80"/>
      <c r="AM175" s="80"/>
      <c r="AN175" s="80"/>
      <c r="AO175" s="80"/>
      <c r="AP175" s="80"/>
      <c r="AQ175" s="80"/>
      <c r="AR175" s="80"/>
      <c r="AS175" s="80"/>
      <c r="AT175" s="80"/>
      <c r="AU175" s="80"/>
      <c r="AV175" s="80"/>
      <c r="AW175" s="82" t="str">
        <f t="shared" si="1"/>
        <v/>
      </c>
      <c r="AX175" s="83" t="str">
        <f t="array" ref="AX175">IFERROR(DGET('SBV Import'!A:G,"SBV",{"RSC ID","Tier";B175,A175}))</f>
        <v/>
      </c>
      <c r="AY175" s="82" t="str">
        <f t="shared" si="2"/>
        <v/>
      </c>
      <c r="AZ175" s="82"/>
      <c r="BA175" s="84" t="s">
        <v>152</v>
      </c>
      <c r="BB175" s="84" t="str">
        <f>IFERROR(__xludf.DUMMYFUNCTION("iferror(if(A175="""",,E175&gt;=FILTER(Constants!$F$2:$F$10,Constants!$A$2:$A$10=A175)))"),"")</f>
        <v/>
      </c>
    </row>
    <row r="176">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c r="AJ176" s="80"/>
      <c r="AK176" s="80"/>
      <c r="AL176" s="80"/>
      <c r="AM176" s="80"/>
      <c r="AN176" s="80"/>
      <c r="AO176" s="80"/>
      <c r="AP176" s="80"/>
      <c r="AQ176" s="80"/>
      <c r="AR176" s="80"/>
      <c r="AS176" s="80"/>
      <c r="AT176" s="80"/>
      <c r="AU176" s="80"/>
      <c r="AV176" s="80"/>
      <c r="AW176" s="82" t="str">
        <f t="shared" si="1"/>
        <v/>
      </c>
      <c r="AX176" s="83" t="str">
        <f t="array" ref="AX176">IFERROR(DGET('SBV Import'!A:G,"SBV",{"RSC ID","Tier";B176,A176}))</f>
        <v/>
      </c>
      <c r="AY176" s="82" t="str">
        <f t="shared" si="2"/>
        <v/>
      </c>
      <c r="AZ176" s="82"/>
      <c r="BA176" s="84" t="s">
        <v>152</v>
      </c>
      <c r="BB176" s="84" t="str">
        <f>IFERROR(__xludf.DUMMYFUNCTION("iferror(if(A176="""",,E176&gt;=FILTER(Constants!$F$2:$F$10,Constants!$A$2:$A$10=A176)))"),"")</f>
        <v/>
      </c>
    </row>
    <row r="177">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c r="AJ177" s="80"/>
      <c r="AK177" s="80"/>
      <c r="AL177" s="80"/>
      <c r="AM177" s="80"/>
      <c r="AN177" s="80"/>
      <c r="AO177" s="80"/>
      <c r="AP177" s="80"/>
      <c r="AQ177" s="80"/>
      <c r="AR177" s="80"/>
      <c r="AS177" s="80"/>
      <c r="AT177" s="80"/>
      <c r="AU177" s="80"/>
      <c r="AV177" s="80"/>
      <c r="AW177" s="82" t="str">
        <f t="shared" si="1"/>
        <v/>
      </c>
      <c r="AX177" s="83" t="str">
        <f t="array" ref="AX177">IFERROR(DGET('SBV Import'!A:G,"SBV",{"RSC ID","Tier";B177,A177}))</f>
        <v/>
      </c>
      <c r="AY177" s="82" t="str">
        <f t="shared" si="2"/>
        <v/>
      </c>
      <c r="AZ177" s="82"/>
      <c r="BA177" s="84" t="s">
        <v>152</v>
      </c>
      <c r="BB177" s="84" t="str">
        <f>IFERROR(__xludf.DUMMYFUNCTION("iferror(if(A177="""",,E177&gt;=FILTER(Constants!$F$2:$F$10,Constants!$A$2:$A$10=A177)))"),"")</f>
        <v/>
      </c>
    </row>
    <row r="178">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c r="AJ178" s="80"/>
      <c r="AK178" s="80"/>
      <c r="AL178" s="80"/>
      <c r="AM178" s="80"/>
      <c r="AN178" s="80"/>
      <c r="AO178" s="80"/>
      <c r="AP178" s="80"/>
      <c r="AQ178" s="80"/>
      <c r="AR178" s="80"/>
      <c r="AS178" s="80"/>
      <c r="AT178" s="80"/>
      <c r="AU178" s="80"/>
      <c r="AV178" s="80"/>
      <c r="AW178" s="82" t="str">
        <f t="shared" si="1"/>
        <v/>
      </c>
      <c r="AX178" s="83" t="str">
        <f t="array" ref="AX178">IFERROR(DGET('SBV Import'!A:G,"SBV",{"RSC ID","Tier";B178,A178}))</f>
        <v/>
      </c>
      <c r="AY178" s="82" t="str">
        <f t="shared" si="2"/>
        <v/>
      </c>
      <c r="AZ178" s="82"/>
      <c r="BA178" s="84" t="s">
        <v>152</v>
      </c>
      <c r="BB178" s="84" t="str">
        <f>IFERROR(__xludf.DUMMYFUNCTION("iferror(if(A178="""",,E178&gt;=FILTER(Constants!$F$2:$F$10,Constants!$A$2:$A$10=A178)))"),"")</f>
        <v/>
      </c>
    </row>
    <row r="179">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c r="AJ179" s="80"/>
      <c r="AK179" s="80"/>
      <c r="AL179" s="80"/>
      <c r="AM179" s="80"/>
      <c r="AN179" s="80"/>
      <c r="AO179" s="80"/>
      <c r="AP179" s="80"/>
      <c r="AQ179" s="80"/>
      <c r="AR179" s="80"/>
      <c r="AS179" s="80"/>
      <c r="AT179" s="80"/>
      <c r="AU179" s="80"/>
      <c r="AV179" s="80"/>
      <c r="AW179" s="82" t="str">
        <f t="shared" si="1"/>
        <v/>
      </c>
      <c r="AX179" s="83" t="str">
        <f t="array" ref="AX179">IFERROR(DGET('SBV Import'!A:G,"SBV",{"RSC ID","Tier";B179,A179}))</f>
        <v/>
      </c>
      <c r="AY179" s="82" t="str">
        <f t="shared" si="2"/>
        <v/>
      </c>
      <c r="AZ179" s="82"/>
      <c r="BA179" s="84" t="s">
        <v>152</v>
      </c>
      <c r="BB179" s="84" t="str">
        <f>IFERROR(__xludf.DUMMYFUNCTION("iferror(if(A179="""",,E179&gt;=FILTER(Constants!$F$2:$F$10,Constants!$A$2:$A$10=A179)))"),"")</f>
        <v/>
      </c>
    </row>
    <row r="180">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c r="AJ180" s="80"/>
      <c r="AK180" s="80"/>
      <c r="AL180" s="80"/>
      <c r="AM180" s="80"/>
      <c r="AN180" s="80"/>
      <c r="AO180" s="80"/>
      <c r="AP180" s="80"/>
      <c r="AQ180" s="80"/>
      <c r="AR180" s="80"/>
      <c r="AS180" s="80"/>
      <c r="AT180" s="80"/>
      <c r="AU180" s="80"/>
      <c r="AV180" s="80"/>
      <c r="AW180" s="82" t="str">
        <f t="shared" si="1"/>
        <v/>
      </c>
      <c r="AX180" s="83" t="str">
        <f t="array" ref="AX180">IFERROR(DGET('SBV Import'!A:G,"SBV",{"RSC ID","Tier";B180,A180}))</f>
        <v/>
      </c>
      <c r="AY180" s="82" t="str">
        <f t="shared" si="2"/>
        <v/>
      </c>
      <c r="AZ180" s="82"/>
      <c r="BA180" s="84" t="s">
        <v>152</v>
      </c>
      <c r="BB180" s="84" t="str">
        <f>IFERROR(__xludf.DUMMYFUNCTION("iferror(if(A180="""",,E180&gt;=FILTER(Constants!$F$2:$F$10,Constants!$A$2:$A$10=A180)))"),"")</f>
        <v/>
      </c>
    </row>
    <row r="18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c r="AJ181" s="80"/>
      <c r="AK181" s="80"/>
      <c r="AL181" s="80"/>
      <c r="AM181" s="80"/>
      <c r="AN181" s="80"/>
      <c r="AO181" s="80"/>
      <c r="AP181" s="80"/>
      <c r="AQ181" s="80"/>
      <c r="AR181" s="80"/>
      <c r="AS181" s="80"/>
      <c r="AT181" s="80"/>
      <c r="AU181" s="80"/>
      <c r="AV181" s="80"/>
      <c r="AW181" s="82" t="str">
        <f t="shared" si="1"/>
        <v/>
      </c>
      <c r="AX181" s="83" t="str">
        <f t="array" ref="AX181">IFERROR(DGET('SBV Import'!A:G,"SBV",{"RSC ID","Tier";B181,A181}))</f>
        <v/>
      </c>
      <c r="AY181" s="82" t="str">
        <f t="shared" si="2"/>
        <v/>
      </c>
      <c r="AZ181" s="82"/>
      <c r="BA181" s="84" t="s">
        <v>152</v>
      </c>
      <c r="BB181" s="84" t="str">
        <f>IFERROR(__xludf.DUMMYFUNCTION("iferror(if(A181="""",,E181&gt;=FILTER(Constants!$F$2:$F$10,Constants!$A$2:$A$10=A181)))"),"")</f>
        <v/>
      </c>
    </row>
    <row r="18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c r="AJ182" s="80"/>
      <c r="AK182" s="80"/>
      <c r="AL182" s="80"/>
      <c r="AM182" s="80"/>
      <c r="AN182" s="80"/>
      <c r="AO182" s="80"/>
      <c r="AP182" s="80"/>
      <c r="AQ182" s="80"/>
      <c r="AR182" s="80"/>
      <c r="AS182" s="80"/>
      <c r="AT182" s="80"/>
      <c r="AU182" s="80"/>
      <c r="AV182" s="80"/>
      <c r="AW182" s="82" t="str">
        <f t="shared" si="1"/>
        <v/>
      </c>
      <c r="AX182" s="83" t="str">
        <f t="array" ref="AX182">IFERROR(DGET('SBV Import'!A:G,"SBV",{"RSC ID","Tier";B182,A182}))</f>
        <v/>
      </c>
      <c r="AY182" s="82" t="str">
        <f t="shared" si="2"/>
        <v/>
      </c>
      <c r="AZ182" s="82"/>
      <c r="BA182" s="84" t="s">
        <v>152</v>
      </c>
      <c r="BB182" s="84" t="str">
        <f>IFERROR(__xludf.DUMMYFUNCTION("iferror(if(A182="""",,E182&gt;=FILTER(Constants!$F$2:$F$10,Constants!$A$2:$A$10=A182)))"),"")</f>
        <v/>
      </c>
    </row>
    <row r="183">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c r="AJ183" s="80"/>
      <c r="AK183" s="80"/>
      <c r="AL183" s="80"/>
      <c r="AM183" s="80"/>
      <c r="AN183" s="80"/>
      <c r="AO183" s="80"/>
      <c r="AP183" s="80"/>
      <c r="AQ183" s="80"/>
      <c r="AR183" s="80"/>
      <c r="AS183" s="80"/>
      <c r="AT183" s="80"/>
      <c r="AU183" s="80"/>
      <c r="AV183" s="80"/>
      <c r="AW183" s="82" t="str">
        <f t="shared" si="1"/>
        <v/>
      </c>
      <c r="AX183" s="83" t="str">
        <f t="array" ref="AX183">IFERROR(DGET('SBV Import'!A:G,"SBV",{"RSC ID","Tier";B183,A183}))</f>
        <v/>
      </c>
      <c r="AY183" s="82" t="str">
        <f t="shared" si="2"/>
        <v/>
      </c>
      <c r="AZ183" s="82"/>
      <c r="BA183" s="84" t="s">
        <v>152</v>
      </c>
      <c r="BB183" s="84" t="str">
        <f>IFERROR(__xludf.DUMMYFUNCTION("iferror(if(A183="""",,E183&gt;=FILTER(Constants!$F$2:$F$10,Constants!$A$2:$A$10=A183)))"),"")</f>
        <v/>
      </c>
    </row>
    <row r="184">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c r="AJ184" s="80"/>
      <c r="AK184" s="80"/>
      <c r="AL184" s="80"/>
      <c r="AM184" s="80"/>
      <c r="AN184" s="80"/>
      <c r="AO184" s="80"/>
      <c r="AP184" s="80"/>
      <c r="AQ184" s="80"/>
      <c r="AR184" s="80"/>
      <c r="AS184" s="80"/>
      <c r="AT184" s="80"/>
      <c r="AU184" s="80"/>
      <c r="AV184" s="80"/>
      <c r="AW184" s="82" t="str">
        <f t="shared" si="1"/>
        <v/>
      </c>
      <c r="AX184" s="83" t="str">
        <f t="array" ref="AX184">IFERROR(DGET('SBV Import'!A:G,"SBV",{"RSC ID","Tier";B184,A184}))</f>
        <v/>
      </c>
      <c r="AY184" s="82" t="str">
        <f t="shared" si="2"/>
        <v/>
      </c>
      <c r="AZ184" s="82"/>
      <c r="BA184" s="84" t="s">
        <v>152</v>
      </c>
      <c r="BB184" s="84" t="str">
        <f>IFERROR(__xludf.DUMMYFUNCTION("iferror(if(A184="""",,E184&gt;=FILTER(Constants!$F$2:$F$10,Constants!$A$2:$A$10=A184)))"),"")</f>
        <v/>
      </c>
    </row>
    <row r="185">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c r="AJ185" s="80"/>
      <c r="AK185" s="80"/>
      <c r="AL185" s="80"/>
      <c r="AM185" s="80"/>
      <c r="AN185" s="80"/>
      <c r="AO185" s="80"/>
      <c r="AP185" s="80"/>
      <c r="AQ185" s="80"/>
      <c r="AR185" s="80"/>
      <c r="AS185" s="80"/>
      <c r="AT185" s="80"/>
      <c r="AU185" s="80"/>
      <c r="AV185" s="80"/>
      <c r="AW185" s="82" t="str">
        <f t="shared" si="1"/>
        <v/>
      </c>
      <c r="AX185" s="83" t="str">
        <f t="array" ref="AX185">IFERROR(DGET('SBV Import'!A:G,"SBV",{"RSC ID","Tier";B185,A185}))</f>
        <v/>
      </c>
      <c r="AY185" s="82" t="str">
        <f t="shared" si="2"/>
        <v/>
      </c>
      <c r="AZ185" s="82"/>
      <c r="BA185" s="84" t="s">
        <v>152</v>
      </c>
      <c r="BB185" s="84" t="str">
        <f>IFERROR(__xludf.DUMMYFUNCTION("iferror(if(A185="""",,E185&gt;=FILTER(Constants!$F$2:$F$10,Constants!$A$2:$A$10=A185)))"),"")</f>
        <v/>
      </c>
    </row>
    <row r="186">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c r="AJ186" s="80"/>
      <c r="AK186" s="80"/>
      <c r="AL186" s="80"/>
      <c r="AM186" s="80"/>
      <c r="AN186" s="80"/>
      <c r="AO186" s="80"/>
      <c r="AP186" s="80"/>
      <c r="AQ186" s="80"/>
      <c r="AR186" s="80"/>
      <c r="AS186" s="80"/>
      <c r="AT186" s="80"/>
      <c r="AU186" s="80"/>
      <c r="AV186" s="80"/>
      <c r="AW186" s="82" t="str">
        <f t="shared" si="1"/>
        <v/>
      </c>
      <c r="AX186" s="83" t="str">
        <f t="array" ref="AX186">IFERROR(DGET('SBV Import'!A:G,"SBV",{"RSC ID","Tier";B186,A186}))</f>
        <v/>
      </c>
      <c r="AY186" s="82" t="str">
        <f t="shared" si="2"/>
        <v/>
      </c>
      <c r="AZ186" s="82"/>
      <c r="BA186" s="84" t="s">
        <v>152</v>
      </c>
      <c r="BB186" s="84" t="str">
        <f>IFERROR(__xludf.DUMMYFUNCTION("iferror(if(A186="""",,E186&gt;=FILTER(Constants!$F$2:$F$10,Constants!$A$2:$A$10=A186)))"),"")</f>
        <v/>
      </c>
    </row>
    <row r="187">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c r="AJ187" s="80"/>
      <c r="AK187" s="80"/>
      <c r="AL187" s="80"/>
      <c r="AM187" s="80"/>
      <c r="AN187" s="80"/>
      <c r="AO187" s="80"/>
      <c r="AP187" s="80"/>
      <c r="AQ187" s="80"/>
      <c r="AR187" s="80"/>
      <c r="AS187" s="80"/>
      <c r="AT187" s="80"/>
      <c r="AU187" s="80"/>
      <c r="AV187" s="80"/>
      <c r="AW187" s="82" t="str">
        <f t="shared" si="1"/>
        <v/>
      </c>
      <c r="AX187" s="83" t="str">
        <f t="array" ref="AX187">IFERROR(DGET('SBV Import'!A:G,"SBV",{"RSC ID","Tier";B187,A187}))</f>
        <v/>
      </c>
      <c r="AY187" s="82" t="str">
        <f t="shared" si="2"/>
        <v/>
      </c>
      <c r="AZ187" s="82"/>
      <c r="BA187" s="84" t="s">
        <v>152</v>
      </c>
      <c r="BB187" s="84" t="str">
        <f>IFERROR(__xludf.DUMMYFUNCTION("iferror(if(A187="""",,E187&gt;=FILTER(Constants!$F$2:$F$10,Constants!$A$2:$A$10=A187)))"),"")</f>
        <v/>
      </c>
    </row>
    <row r="188">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c r="AJ188" s="80"/>
      <c r="AK188" s="80"/>
      <c r="AL188" s="80"/>
      <c r="AM188" s="80"/>
      <c r="AN188" s="80"/>
      <c r="AO188" s="80"/>
      <c r="AP188" s="80"/>
      <c r="AQ188" s="80"/>
      <c r="AR188" s="80"/>
      <c r="AS188" s="80"/>
      <c r="AT188" s="80"/>
      <c r="AU188" s="80"/>
      <c r="AV188" s="80"/>
      <c r="AW188" s="82" t="str">
        <f t="shared" si="1"/>
        <v/>
      </c>
      <c r="AX188" s="83" t="str">
        <f t="array" ref="AX188">IFERROR(DGET('SBV Import'!A:G,"SBV",{"RSC ID","Tier";B188,A188}))</f>
        <v/>
      </c>
      <c r="AY188" s="82" t="str">
        <f t="shared" si="2"/>
        <v/>
      </c>
      <c r="AZ188" s="82"/>
      <c r="BA188" s="84" t="s">
        <v>152</v>
      </c>
      <c r="BB188" s="84" t="str">
        <f>IFERROR(__xludf.DUMMYFUNCTION("iferror(if(A188="""",,E188&gt;=FILTER(Constants!$F$2:$F$10,Constants!$A$2:$A$10=A188)))"),"")</f>
        <v/>
      </c>
    </row>
    <row r="189">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c r="AJ189" s="80"/>
      <c r="AK189" s="80"/>
      <c r="AL189" s="80"/>
      <c r="AM189" s="80"/>
      <c r="AN189" s="80"/>
      <c r="AO189" s="80"/>
      <c r="AP189" s="80"/>
      <c r="AQ189" s="80"/>
      <c r="AR189" s="80"/>
      <c r="AS189" s="80"/>
      <c r="AT189" s="80"/>
      <c r="AU189" s="80"/>
      <c r="AV189" s="80"/>
      <c r="AW189" s="82" t="str">
        <f t="shared" si="1"/>
        <v/>
      </c>
      <c r="AX189" s="83" t="str">
        <f t="array" ref="AX189">IFERROR(DGET('SBV Import'!A:G,"SBV",{"RSC ID","Tier";B189,A189}))</f>
        <v/>
      </c>
      <c r="AY189" s="82" t="str">
        <f t="shared" si="2"/>
        <v/>
      </c>
      <c r="AZ189" s="82"/>
      <c r="BA189" s="84" t="s">
        <v>152</v>
      </c>
      <c r="BB189" s="84" t="str">
        <f>IFERROR(__xludf.DUMMYFUNCTION("iferror(if(A189="""",,E189&gt;=FILTER(Constants!$F$2:$F$10,Constants!$A$2:$A$10=A189)))"),"")</f>
        <v/>
      </c>
    </row>
    <row r="190">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c r="AJ190" s="80"/>
      <c r="AK190" s="80"/>
      <c r="AL190" s="80"/>
      <c r="AM190" s="80"/>
      <c r="AN190" s="80"/>
      <c r="AO190" s="80"/>
      <c r="AP190" s="80"/>
      <c r="AQ190" s="80"/>
      <c r="AR190" s="80"/>
      <c r="AS190" s="80"/>
      <c r="AT190" s="80"/>
      <c r="AU190" s="80"/>
      <c r="AV190" s="80"/>
      <c r="AW190" s="82" t="str">
        <f t="shared" si="1"/>
        <v/>
      </c>
      <c r="AX190" s="83" t="str">
        <f t="array" ref="AX190">IFERROR(DGET('SBV Import'!A:G,"SBV",{"RSC ID","Tier";B190,A190}))</f>
        <v/>
      </c>
      <c r="AY190" s="82" t="str">
        <f t="shared" si="2"/>
        <v/>
      </c>
      <c r="AZ190" s="82"/>
      <c r="BA190" s="84" t="s">
        <v>152</v>
      </c>
      <c r="BB190" s="84" t="str">
        <f>IFERROR(__xludf.DUMMYFUNCTION("iferror(if(A190="""",,E190&gt;=FILTER(Constants!$F$2:$F$10,Constants!$A$2:$A$10=A190)))"),"")</f>
        <v/>
      </c>
    </row>
    <row r="19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c r="AJ191" s="80"/>
      <c r="AK191" s="80"/>
      <c r="AL191" s="80"/>
      <c r="AM191" s="80"/>
      <c r="AN191" s="80"/>
      <c r="AO191" s="80"/>
      <c r="AP191" s="80"/>
      <c r="AQ191" s="80"/>
      <c r="AR191" s="80"/>
      <c r="AS191" s="80"/>
      <c r="AT191" s="80"/>
      <c r="AU191" s="80"/>
      <c r="AV191" s="80"/>
      <c r="AW191" s="82" t="str">
        <f t="shared" si="1"/>
        <v/>
      </c>
      <c r="AX191" s="83" t="str">
        <f t="array" ref="AX191">IFERROR(DGET('SBV Import'!A:G,"SBV",{"RSC ID","Tier";B191,A191}))</f>
        <v/>
      </c>
      <c r="AY191" s="82" t="str">
        <f t="shared" si="2"/>
        <v/>
      </c>
      <c r="AZ191" s="82"/>
      <c r="BA191" s="84" t="s">
        <v>152</v>
      </c>
      <c r="BB191" s="84" t="str">
        <f>IFERROR(__xludf.DUMMYFUNCTION("iferror(if(A191="""",,E191&gt;=FILTER(Constants!$F$2:$F$10,Constants!$A$2:$A$10=A191)))"),"")</f>
        <v/>
      </c>
    </row>
    <row r="19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c r="AJ192" s="80"/>
      <c r="AK192" s="80"/>
      <c r="AL192" s="80"/>
      <c r="AM192" s="80"/>
      <c r="AN192" s="80"/>
      <c r="AO192" s="80"/>
      <c r="AP192" s="80"/>
      <c r="AQ192" s="80"/>
      <c r="AR192" s="80"/>
      <c r="AS192" s="80"/>
      <c r="AT192" s="80"/>
      <c r="AU192" s="80"/>
      <c r="AV192" s="80"/>
      <c r="AW192" s="82" t="str">
        <f t="shared" si="1"/>
        <v/>
      </c>
      <c r="AX192" s="83" t="str">
        <f t="array" ref="AX192">IFERROR(DGET('SBV Import'!A:G,"SBV",{"RSC ID","Tier";B192,A192}))</f>
        <v/>
      </c>
      <c r="AY192" s="82" t="str">
        <f t="shared" si="2"/>
        <v/>
      </c>
      <c r="AZ192" s="82"/>
      <c r="BA192" s="84" t="s">
        <v>152</v>
      </c>
      <c r="BB192" s="84" t="str">
        <f>IFERROR(__xludf.DUMMYFUNCTION("iferror(if(A192="""",,E192&gt;=FILTER(Constants!$F$2:$F$10,Constants!$A$2:$A$10=A192)))"),"")</f>
        <v/>
      </c>
    </row>
    <row r="193">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c r="AJ193" s="80"/>
      <c r="AK193" s="80"/>
      <c r="AL193" s="80"/>
      <c r="AM193" s="80"/>
      <c r="AN193" s="80"/>
      <c r="AO193" s="80"/>
      <c r="AP193" s="80"/>
      <c r="AQ193" s="80"/>
      <c r="AR193" s="80"/>
      <c r="AS193" s="80"/>
      <c r="AT193" s="80"/>
      <c r="AU193" s="80"/>
      <c r="AV193" s="80"/>
      <c r="AW193" s="82" t="str">
        <f t="shared" si="1"/>
        <v/>
      </c>
      <c r="AX193" s="83" t="str">
        <f t="array" ref="AX193">IFERROR(DGET('SBV Import'!A:G,"SBV",{"RSC ID","Tier";B193,A193}))</f>
        <v/>
      </c>
      <c r="AY193" s="82" t="str">
        <f t="shared" si="2"/>
        <v/>
      </c>
      <c r="AZ193" s="82"/>
      <c r="BA193" s="84" t="s">
        <v>152</v>
      </c>
      <c r="BB193" s="84" t="str">
        <f>IFERROR(__xludf.DUMMYFUNCTION("iferror(if(A193="""",,E193&gt;=FILTER(Constants!$F$2:$F$10,Constants!$A$2:$A$10=A193)))"),"")</f>
        <v/>
      </c>
    </row>
    <row r="194">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c r="AJ194" s="80"/>
      <c r="AK194" s="80"/>
      <c r="AL194" s="80"/>
      <c r="AM194" s="80"/>
      <c r="AN194" s="80"/>
      <c r="AO194" s="80"/>
      <c r="AP194" s="80"/>
      <c r="AQ194" s="80"/>
      <c r="AR194" s="80"/>
      <c r="AS194" s="80"/>
      <c r="AT194" s="80"/>
      <c r="AU194" s="80"/>
      <c r="AV194" s="80"/>
      <c r="AW194" s="82" t="str">
        <f t="shared" si="1"/>
        <v/>
      </c>
      <c r="AX194" s="83" t="str">
        <f t="array" ref="AX194">IFERROR(DGET('SBV Import'!A:G,"SBV",{"RSC ID","Tier";B194,A194}))</f>
        <v/>
      </c>
      <c r="AY194" s="82" t="str">
        <f t="shared" si="2"/>
        <v/>
      </c>
      <c r="AZ194" s="82"/>
      <c r="BA194" s="84" t="s">
        <v>152</v>
      </c>
      <c r="BB194" s="84" t="str">
        <f>IFERROR(__xludf.DUMMYFUNCTION("iferror(if(A194="""",,E194&gt;=FILTER(Constants!$F$2:$F$10,Constants!$A$2:$A$10=A194)))"),"")</f>
        <v/>
      </c>
    </row>
    <row r="195">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c r="AJ195" s="80"/>
      <c r="AK195" s="80"/>
      <c r="AL195" s="80"/>
      <c r="AM195" s="80"/>
      <c r="AN195" s="80"/>
      <c r="AO195" s="80"/>
      <c r="AP195" s="80"/>
      <c r="AQ195" s="80"/>
      <c r="AR195" s="80"/>
      <c r="AS195" s="80"/>
      <c r="AT195" s="80"/>
      <c r="AU195" s="80"/>
      <c r="AV195" s="80"/>
      <c r="AW195" s="82" t="str">
        <f t="shared" si="1"/>
        <v/>
      </c>
      <c r="AX195" s="83" t="str">
        <f t="array" ref="AX195">IFERROR(DGET('SBV Import'!A:G,"SBV",{"RSC ID","Tier";B195,A195}))</f>
        <v/>
      </c>
      <c r="AY195" s="82" t="str">
        <f t="shared" si="2"/>
        <v/>
      </c>
      <c r="AZ195" s="82"/>
      <c r="BA195" s="84" t="s">
        <v>152</v>
      </c>
      <c r="BB195" s="84" t="str">
        <f>IFERROR(__xludf.DUMMYFUNCTION("iferror(if(A195="""",,E195&gt;=FILTER(Constants!$F$2:$F$10,Constants!$A$2:$A$10=A195)))"),"")</f>
        <v/>
      </c>
    </row>
    <row r="196">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c r="AJ196" s="80"/>
      <c r="AK196" s="80"/>
      <c r="AL196" s="80"/>
      <c r="AM196" s="80"/>
      <c r="AN196" s="80"/>
      <c r="AO196" s="80"/>
      <c r="AP196" s="80"/>
      <c r="AQ196" s="80"/>
      <c r="AR196" s="80"/>
      <c r="AS196" s="80"/>
      <c r="AT196" s="80"/>
      <c r="AU196" s="80"/>
      <c r="AV196" s="80"/>
      <c r="AW196" s="82" t="str">
        <f t="shared" si="1"/>
        <v/>
      </c>
      <c r="AX196" s="83" t="str">
        <f t="array" ref="AX196">IFERROR(DGET('SBV Import'!A:G,"SBV",{"RSC ID","Tier";B196,A196}))</f>
        <v/>
      </c>
      <c r="AY196" s="82" t="str">
        <f t="shared" si="2"/>
        <v/>
      </c>
      <c r="AZ196" s="82"/>
      <c r="BA196" s="84" t="s">
        <v>152</v>
      </c>
      <c r="BB196" s="84" t="str">
        <f>IFERROR(__xludf.DUMMYFUNCTION("iferror(if(A196="""",,E196&gt;=FILTER(Constants!$F$2:$F$10,Constants!$A$2:$A$10=A196)))"),"")</f>
        <v/>
      </c>
    </row>
    <row r="197">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c r="AJ197" s="80"/>
      <c r="AK197" s="80"/>
      <c r="AL197" s="80"/>
      <c r="AM197" s="80"/>
      <c r="AN197" s="80"/>
      <c r="AO197" s="80"/>
      <c r="AP197" s="80"/>
      <c r="AQ197" s="80"/>
      <c r="AR197" s="80"/>
      <c r="AS197" s="80"/>
      <c r="AT197" s="80"/>
      <c r="AU197" s="80"/>
      <c r="AV197" s="80"/>
      <c r="AW197" s="82" t="str">
        <f t="shared" si="1"/>
        <v/>
      </c>
      <c r="AX197" s="83" t="str">
        <f t="array" ref="AX197">IFERROR(DGET('SBV Import'!A:G,"SBV",{"RSC ID","Tier";B197,A197}))</f>
        <v/>
      </c>
      <c r="AY197" s="82" t="str">
        <f t="shared" si="2"/>
        <v/>
      </c>
      <c r="AZ197" s="82"/>
      <c r="BA197" s="84" t="s">
        <v>152</v>
      </c>
      <c r="BB197" s="84" t="str">
        <f>IFERROR(__xludf.DUMMYFUNCTION("iferror(if(A197="""",,E197&gt;=FILTER(Constants!$F$2:$F$10,Constants!$A$2:$A$10=A197)))"),"")</f>
        <v/>
      </c>
    </row>
    <row r="198">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c r="AJ198" s="80"/>
      <c r="AK198" s="80"/>
      <c r="AL198" s="80"/>
      <c r="AM198" s="80"/>
      <c r="AN198" s="80"/>
      <c r="AO198" s="80"/>
      <c r="AP198" s="80"/>
      <c r="AQ198" s="80"/>
      <c r="AR198" s="80"/>
      <c r="AS198" s="80"/>
      <c r="AT198" s="80"/>
      <c r="AU198" s="80"/>
      <c r="AV198" s="80"/>
      <c r="AW198" s="82" t="str">
        <f t="shared" si="1"/>
        <v/>
      </c>
      <c r="AX198" s="83" t="str">
        <f t="array" ref="AX198">IFERROR(DGET('SBV Import'!A:G,"SBV",{"RSC ID","Tier";B198,A198}))</f>
        <v/>
      </c>
      <c r="AY198" s="82" t="str">
        <f t="shared" si="2"/>
        <v/>
      </c>
      <c r="AZ198" s="82"/>
      <c r="BA198" s="84" t="s">
        <v>152</v>
      </c>
      <c r="BB198" s="84" t="str">
        <f>IFERROR(__xludf.DUMMYFUNCTION("iferror(if(A198="""",,E198&gt;=FILTER(Constants!$F$2:$F$10,Constants!$A$2:$A$10=A198)))"),"")</f>
        <v/>
      </c>
    </row>
    <row r="199">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c r="AJ199" s="80"/>
      <c r="AK199" s="80"/>
      <c r="AL199" s="80"/>
      <c r="AM199" s="80"/>
      <c r="AN199" s="80"/>
      <c r="AO199" s="80"/>
      <c r="AP199" s="80"/>
      <c r="AQ199" s="80"/>
      <c r="AR199" s="80"/>
      <c r="AS199" s="80"/>
      <c r="AT199" s="80"/>
      <c r="AU199" s="80"/>
      <c r="AV199" s="80"/>
      <c r="AW199" s="82" t="str">
        <f t="shared" si="1"/>
        <v/>
      </c>
      <c r="AX199" s="83" t="str">
        <f t="array" ref="AX199">IFERROR(DGET('SBV Import'!A:G,"SBV",{"RSC ID","Tier";B199,A199}))</f>
        <v/>
      </c>
      <c r="AY199" s="82" t="str">
        <f t="shared" si="2"/>
        <v/>
      </c>
      <c r="AZ199" s="82"/>
      <c r="BA199" s="84" t="s">
        <v>152</v>
      </c>
      <c r="BB199" s="84" t="str">
        <f>IFERROR(__xludf.DUMMYFUNCTION("iferror(if(A199="""",,E199&gt;=FILTER(Constants!$F$2:$F$10,Constants!$A$2:$A$10=A199)))"),"")</f>
        <v/>
      </c>
    </row>
    <row r="200">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c r="AJ200" s="80"/>
      <c r="AK200" s="80"/>
      <c r="AL200" s="80"/>
      <c r="AM200" s="80"/>
      <c r="AN200" s="80"/>
      <c r="AO200" s="80"/>
      <c r="AP200" s="80"/>
      <c r="AQ200" s="80"/>
      <c r="AR200" s="80"/>
      <c r="AS200" s="80"/>
      <c r="AT200" s="80"/>
      <c r="AU200" s="80"/>
      <c r="AV200" s="80"/>
      <c r="AW200" s="82" t="str">
        <f t="shared" si="1"/>
        <v/>
      </c>
      <c r="AX200" s="83" t="str">
        <f t="array" ref="AX200">IFERROR(DGET('SBV Import'!A:G,"SBV",{"RSC ID","Tier";B200,A200}))</f>
        <v/>
      </c>
      <c r="AY200" s="82" t="str">
        <f t="shared" si="2"/>
        <v/>
      </c>
      <c r="AZ200" s="82"/>
      <c r="BA200" s="84" t="s">
        <v>152</v>
      </c>
      <c r="BB200" s="84" t="str">
        <f>IFERROR(__xludf.DUMMYFUNCTION("iferror(if(A200="""",,E200&gt;=FILTER(Constants!$F$2:$F$10,Constants!$A$2:$A$10=A200)))"),"")</f>
        <v/>
      </c>
    </row>
    <row r="20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c r="AJ201" s="80"/>
      <c r="AK201" s="80"/>
      <c r="AL201" s="80"/>
      <c r="AM201" s="80"/>
      <c r="AN201" s="80"/>
      <c r="AO201" s="80"/>
      <c r="AP201" s="80"/>
      <c r="AQ201" s="80"/>
      <c r="AR201" s="80"/>
      <c r="AS201" s="80"/>
      <c r="AT201" s="80"/>
      <c r="AU201" s="80"/>
      <c r="AV201" s="80"/>
      <c r="AW201" s="82" t="str">
        <f t="shared" si="1"/>
        <v/>
      </c>
      <c r="AX201" s="83" t="str">
        <f t="array" ref="AX201">IFERROR(DGET('SBV Import'!A:G,"SBV",{"RSC ID","Tier";B201,A201}))</f>
        <v/>
      </c>
      <c r="AY201" s="82" t="str">
        <f t="shared" si="2"/>
        <v/>
      </c>
      <c r="AZ201" s="82"/>
      <c r="BA201" s="84" t="s">
        <v>152</v>
      </c>
      <c r="BB201" s="84" t="str">
        <f>IFERROR(__xludf.DUMMYFUNCTION("iferror(if(A201="""",,E201&gt;=FILTER(Constants!$F$2:$F$10,Constants!$A$2:$A$10=A201)))"),"")</f>
        <v/>
      </c>
    </row>
    <row r="2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c r="AJ202" s="80"/>
      <c r="AK202" s="80"/>
      <c r="AL202" s="80"/>
      <c r="AM202" s="80"/>
      <c r="AN202" s="80"/>
      <c r="AO202" s="80"/>
      <c r="AP202" s="80"/>
      <c r="AQ202" s="80"/>
      <c r="AR202" s="80"/>
      <c r="AS202" s="80"/>
      <c r="AT202" s="80"/>
      <c r="AU202" s="80"/>
      <c r="AV202" s="80"/>
      <c r="AW202" s="82" t="str">
        <f t="shared" si="1"/>
        <v/>
      </c>
      <c r="AX202" s="83" t="str">
        <f t="array" ref="AX202">IFERROR(DGET('SBV Import'!A:G,"SBV",{"RSC ID","Tier";B202,A202}))</f>
        <v/>
      </c>
      <c r="AY202" s="82" t="str">
        <f t="shared" si="2"/>
        <v/>
      </c>
      <c r="AZ202" s="82"/>
      <c r="BA202" s="84" t="s">
        <v>152</v>
      </c>
      <c r="BB202" s="84" t="str">
        <f>IFERROR(__xludf.DUMMYFUNCTION("iferror(if(A202="""",,E202&gt;=FILTER(Constants!$F$2:$F$10,Constants!$A$2:$A$10=A202)))"),"")</f>
        <v/>
      </c>
    </row>
    <row r="203">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c r="AJ203" s="80"/>
      <c r="AK203" s="80"/>
      <c r="AL203" s="80"/>
      <c r="AM203" s="80"/>
      <c r="AN203" s="80"/>
      <c r="AO203" s="80"/>
      <c r="AP203" s="80"/>
      <c r="AQ203" s="80"/>
      <c r="AR203" s="80"/>
      <c r="AS203" s="80"/>
      <c r="AT203" s="80"/>
      <c r="AU203" s="80"/>
      <c r="AV203" s="80"/>
      <c r="AW203" s="82" t="str">
        <f t="shared" si="1"/>
        <v/>
      </c>
      <c r="AX203" s="83" t="str">
        <f t="array" ref="AX203">IFERROR(DGET('SBV Import'!A:G,"SBV",{"RSC ID","Tier";B203,A203}))</f>
        <v/>
      </c>
      <c r="AY203" s="82" t="str">
        <f t="shared" si="2"/>
        <v/>
      </c>
      <c r="AZ203" s="82"/>
      <c r="BA203" s="84" t="s">
        <v>152</v>
      </c>
      <c r="BB203" s="84" t="str">
        <f>IFERROR(__xludf.DUMMYFUNCTION("iferror(if(A203="""",,E203&gt;=FILTER(Constants!$F$2:$F$10,Constants!$A$2:$A$10=A203)))"),"")</f>
        <v/>
      </c>
    </row>
    <row r="204">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c r="AJ204" s="80"/>
      <c r="AK204" s="80"/>
      <c r="AL204" s="80"/>
      <c r="AM204" s="80"/>
      <c r="AN204" s="80"/>
      <c r="AO204" s="80"/>
      <c r="AP204" s="80"/>
      <c r="AQ204" s="80"/>
      <c r="AR204" s="80"/>
      <c r="AS204" s="80"/>
      <c r="AT204" s="80"/>
      <c r="AU204" s="80"/>
      <c r="AV204" s="80"/>
      <c r="AW204" s="82" t="str">
        <f t="shared" si="1"/>
        <v/>
      </c>
      <c r="AX204" s="83" t="str">
        <f t="array" ref="AX204">IFERROR(DGET('SBV Import'!A:G,"SBV",{"RSC ID","Tier";B204,A204}))</f>
        <v/>
      </c>
      <c r="AY204" s="82" t="str">
        <f t="shared" si="2"/>
        <v/>
      </c>
      <c r="AZ204" s="82"/>
      <c r="BA204" s="84" t="s">
        <v>152</v>
      </c>
      <c r="BB204" s="84" t="str">
        <f>IFERROR(__xludf.DUMMYFUNCTION("iferror(if(A204="""",,E204&gt;=FILTER(Constants!$F$2:$F$10,Constants!$A$2:$A$10=A204)))"),"")</f>
        <v/>
      </c>
    </row>
    <row r="205">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c r="AJ205" s="80"/>
      <c r="AK205" s="80"/>
      <c r="AL205" s="80"/>
      <c r="AM205" s="80"/>
      <c r="AN205" s="80"/>
      <c r="AO205" s="80"/>
      <c r="AP205" s="80"/>
      <c r="AQ205" s="80"/>
      <c r="AR205" s="80"/>
      <c r="AS205" s="80"/>
      <c r="AT205" s="80"/>
      <c r="AU205" s="80"/>
      <c r="AV205" s="80"/>
      <c r="AW205" s="82" t="str">
        <f t="shared" si="1"/>
        <v/>
      </c>
      <c r="AX205" s="83" t="str">
        <f t="array" ref="AX205">IFERROR(DGET('SBV Import'!A:G,"SBV",{"RSC ID","Tier";B205,A205}))</f>
        <v/>
      </c>
      <c r="AY205" s="82" t="str">
        <f t="shared" si="2"/>
        <v/>
      </c>
      <c r="AZ205" s="82"/>
      <c r="BA205" s="84" t="s">
        <v>152</v>
      </c>
      <c r="BB205" s="84" t="str">
        <f>IFERROR(__xludf.DUMMYFUNCTION("iferror(if(A205="""",,E205&gt;=FILTER(Constants!$F$2:$F$10,Constants!$A$2:$A$10=A205)))"),"")</f>
        <v/>
      </c>
    </row>
    <row r="206">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c r="AJ206" s="80"/>
      <c r="AK206" s="80"/>
      <c r="AL206" s="80"/>
      <c r="AM206" s="80"/>
      <c r="AN206" s="80"/>
      <c r="AO206" s="80"/>
      <c r="AP206" s="80"/>
      <c r="AQ206" s="80"/>
      <c r="AR206" s="80"/>
      <c r="AS206" s="80"/>
      <c r="AT206" s="80"/>
      <c r="AU206" s="80"/>
      <c r="AV206" s="80"/>
      <c r="AW206" s="82" t="str">
        <f t="shared" si="1"/>
        <v/>
      </c>
      <c r="AX206" s="83" t="str">
        <f t="array" ref="AX206">IFERROR(DGET('SBV Import'!A:G,"SBV",{"RSC ID","Tier";B206,A206}))</f>
        <v/>
      </c>
      <c r="AY206" s="82" t="str">
        <f t="shared" si="2"/>
        <v/>
      </c>
      <c r="AZ206" s="82"/>
      <c r="BA206" s="84" t="s">
        <v>152</v>
      </c>
      <c r="BB206" s="84" t="str">
        <f>IFERROR(__xludf.DUMMYFUNCTION("iferror(if(A206="""",,E206&gt;=FILTER(Constants!$F$2:$F$10,Constants!$A$2:$A$10=A206)))"),"")</f>
        <v/>
      </c>
    </row>
    <row r="207">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c r="AJ207" s="80"/>
      <c r="AK207" s="80"/>
      <c r="AL207" s="80"/>
      <c r="AM207" s="80"/>
      <c r="AN207" s="80"/>
      <c r="AO207" s="80"/>
      <c r="AP207" s="80"/>
      <c r="AQ207" s="80"/>
      <c r="AR207" s="80"/>
      <c r="AS207" s="80"/>
      <c r="AT207" s="80"/>
      <c r="AU207" s="80"/>
      <c r="AV207" s="80"/>
      <c r="AW207" s="82" t="str">
        <f t="shared" si="1"/>
        <v/>
      </c>
      <c r="AX207" s="83" t="str">
        <f t="array" ref="AX207">IFERROR(DGET('SBV Import'!A:G,"SBV",{"RSC ID","Tier";B207,A207}))</f>
        <v/>
      </c>
      <c r="AY207" s="82" t="str">
        <f t="shared" si="2"/>
        <v/>
      </c>
      <c r="AZ207" s="82"/>
      <c r="BA207" s="84" t="s">
        <v>152</v>
      </c>
      <c r="BB207" s="84" t="str">
        <f>IFERROR(__xludf.DUMMYFUNCTION("iferror(if(A207="""",,E207&gt;=FILTER(Constants!$F$2:$F$10,Constants!$A$2:$A$10=A207)))"),"")</f>
        <v/>
      </c>
    </row>
    <row r="208">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c r="AJ208" s="80"/>
      <c r="AK208" s="80"/>
      <c r="AL208" s="80"/>
      <c r="AM208" s="80"/>
      <c r="AN208" s="80"/>
      <c r="AO208" s="80"/>
      <c r="AP208" s="80"/>
      <c r="AQ208" s="80"/>
      <c r="AR208" s="80"/>
      <c r="AS208" s="80"/>
      <c r="AT208" s="80"/>
      <c r="AU208" s="80"/>
      <c r="AV208" s="80"/>
      <c r="AW208" s="82" t="str">
        <f t="shared" si="1"/>
        <v/>
      </c>
      <c r="AX208" s="83" t="str">
        <f t="array" ref="AX208">IFERROR(DGET('SBV Import'!A:G,"SBV",{"RSC ID","Tier";B208,A208}))</f>
        <v/>
      </c>
      <c r="AY208" s="82" t="str">
        <f t="shared" si="2"/>
        <v/>
      </c>
      <c r="AZ208" s="82"/>
      <c r="BA208" s="84" t="s">
        <v>152</v>
      </c>
      <c r="BB208" s="84" t="str">
        <f>IFERROR(__xludf.DUMMYFUNCTION("iferror(if(A208="""",,E208&gt;=FILTER(Constants!$F$2:$F$10,Constants!$A$2:$A$10=A208)))"),"")</f>
        <v/>
      </c>
    </row>
    <row r="209">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c r="AJ209" s="80"/>
      <c r="AK209" s="80"/>
      <c r="AL209" s="80"/>
      <c r="AM209" s="80"/>
      <c r="AN209" s="80"/>
      <c r="AO209" s="80"/>
      <c r="AP209" s="80"/>
      <c r="AQ209" s="80"/>
      <c r="AR209" s="80"/>
      <c r="AS209" s="80"/>
      <c r="AT209" s="80"/>
      <c r="AU209" s="80"/>
      <c r="AV209" s="80"/>
      <c r="AW209" s="82" t="str">
        <f t="shared" si="1"/>
        <v/>
      </c>
      <c r="AX209" s="83" t="str">
        <f t="array" ref="AX209">IFERROR(DGET('SBV Import'!A:G,"SBV",{"RSC ID","Tier";B209,A209}))</f>
        <v/>
      </c>
      <c r="AY209" s="82" t="str">
        <f t="shared" si="2"/>
        <v/>
      </c>
      <c r="AZ209" s="82"/>
      <c r="BA209" s="84" t="s">
        <v>152</v>
      </c>
      <c r="BB209" s="84" t="str">
        <f>IFERROR(__xludf.DUMMYFUNCTION("iferror(if(A209="""",,E209&gt;=FILTER(Constants!$F$2:$F$10,Constants!$A$2:$A$10=A209)))"),"")</f>
        <v/>
      </c>
    </row>
    <row r="210">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c r="AJ210" s="80"/>
      <c r="AK210" s="80"/>
      <c r="AL210" s="80"/>
      <c r="AM210" s="80"/>
      <c r="AN210" s="80"/>
      <c r="AO210" s="80"/>
      <c r="AP210" s="80"/>
      <c r="AQ210" s="80"/>
      <c r="AR210" s="80"/>
      <c r="AS210" s="80"/>
      <c r="AT210" s="80"/>
      <c r="AU210" s="80"/>
      <c r="AV210" s="80"/>
      <c r="AW210" s="82" t="str">
        <f t="shared" si="1"/>
        <v/>
      </c>
      <c r="AX210" s="83" t="str">
        <f t="array" ref="AX210">IFERROR(DGET('SBV Import'!A:G,"SBV",{"RSC ID","Tier";B210,A210}))</f>
        <v/>
      </c>
      <c r="AY210" s="82" t="str">
        <f t="shared" si="2"/>
        <v/>
      </c>
      <c r="AZ210" s="82"/>
      <c r="BA210" s="84" t="s">
        <v>152</v>
      </c>
      <c r="BB210" s="84" t="str">
        <f>IFERROR(__xludf.DUMMYFUNCTION("iferror(if(A210="""",,E210&gt;=FILTER(Constants!$F$2:$F$10,Constants!$A$2:$A$10=A210)))"),"")</f>
        <v/>
      </c>
    </row>
    <row r="21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c r="AJ211" s="80"/>
      <c r="AK211" s="80"/>
      <c r="AL211" s="80"/>
      <c r="AM211" s="80"/>
      <c r="AN211" s="80"/>
      <c r="AO211" s="80"/>
      <c r="AP211" s="80"/>
      <c r="AQ211" s="80"/>
      <c r="AR211" s="80"/>
      <c r="AS211" s="80"/>
      <c r="AT211" s="80"/>
      <c r="AU211" s="80"/>
      <c r="AV211" s="80"/>
      <c r="AW211" s="82" t="str">
        <f t="shared" si="1"/>
        <v/>
      </c>
      <c r="AX211" s="83" t="str">
        <f t="array" ref="AX211">IFERROR(DGET('SBV Import'!A:G,"SBV",{"RSC ID","Tier";B211,A211}))</f>
        <v/>
      </c>
      <c r="AY211" s="82" t="str">
        <f t="shared" si="2"/>
        <v/>
      </c>
      <c r="AZ211" s="82"/>
      <c r="BA211" s="84" t="s">
        <v>152</v>
      </c>
      <c r="BB211" s="84" t="str">
        <f>IFERROR(__xludf.DUMMYFUNCTION("iferror(if(A211="""",,E211&gt;=FILTER(Constants!$F$2:$F$10,Constants!$A$2:$A$10=A211)))"),"")</f>
        <v/>
      </c>
    </row>
    <row r="21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c r="AJ212" s="80"/>
      <c r="AK212" s="80"/>
      <c r="AL212" s="80"/>
      <c r="AM212" s="80"/>
      <c r="AN212" s="80"/>
      <c r="AO212" s="80"/>
      <c r="AP212" s="80"/>
      <c r="AQ212" s="80"/>
      <c r="AR212" s="80"/>
      <c r="AS212" s="80"/>
      <c r="AT212" s="80"/>
      <c r="AU212" s="80"/>
      <c r="AV212" s="80"/>
      <c r="AW212" s="82" t="str">
        <f t="shared" si="1"/>
        <v/>
      </c>
      <c r="AX212" s="83" t="str">
        <f t="array" ref="AX212">IFERROR(DGET('SBV Import'!A:G,"SBV",{"RSC ID","Tier";B212,A212}))</f>
        <v/>
      </c>
      <c r="AY212" s="82" t="str">
        <f t="shared" si="2"/>
        <v/>
      </c>
      <c r="AZ212" s="82"/>
      <c r="BA212" s="84" t="s">
        <v>152</v>
      </c>
      <c r="BB212" s="84" t="str">
        <f>IFERROR(__xludf.DUMMYFUNCTION("iferror(if(A212="""",,E212&gt;=FILTER(Constants!$F$2:$F$10,Constants!$A$2:$A$10=A212)))"),"")</f>
        <v/>
      </c>
    </row>
    <row r="213">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c r="AJ213" s="80"/>
      <c r="AK213" s="80"/>
      <c r="AL213" s="80"/>
      <c r="AM213" s="80"/>
      <c r="AN213" s="80"/>
      <c r="AO213" s="80"/>
      <c r="AP213" s="80"/>
      <c r="AQ213" s="80"/>
      <c r="AR213" s="80"/>
      <c r="AS213" s="80"/>
      <c r="AT213" s="80"/>
      <c r="AU213" s="80"/>
      <c r="AV213" s="80"/>
      <c r="AW213" s="82" t="str">
        <f t="shared" si="1"/>
        <v/>
      </c>
      <c r="AX213" s="83" t="str">
        <f t="array" ref="AX213">IFERROR(DGET('SBV Import'!A:G,"SBV",{"RSC ID","Tier";B213,A213}))</f>
        <v/>
      </c>
      <c r="AY213" s="82" t="str">
        <f t="shared" si="2"/>
        <v/>
      </c>
      <c r="AZ213" s="82"/>
      <c r="BA213" s="84" t="s">
        <v>152</v>
      </c>
      <c r="BB213" s="84" t="str">
        <f>IFERROR(__xludf.DUMMYFUNCTION("iferror(if(A213="""",,E213&gt;=FILTER(Constants!$F$2:$F$10,Constants!$A$2:$A$10=A213)))"),"")</f>
        <v/>
      </c>
    </row>
    <row r="214">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c r="AJ214" s="80"/>
      <c r="AK214" s="80"/>
      <c r="AL214" s="80"/>
      <c r="AM214" s="80"/>
      <c r="AN214" s="80"/>
      <c r="AO214" s="80"/>
      <c r="AP214" s="80"/>
      <c r="AQ214" s="80"/>
      <c r="AR214" s="80"/>
      <c r="AS214" s="80"/>
      <c r="AT214" s="80"/>
      <c r="AU214" s="80"/>
      <c r="AV214" s="80"/>
      <c r="AW214" s="82" t="str">
        <f t="shared" si="1"/>
        <v/>
      </c>
      <c r="AX214" s="83" t="str">
        <f t="array" ref="AX214">IFERROR(DGET('SBV Import'!A:G,"SBV",{"RSC ID","Tier";B214,A214}))</f>
        <v/>
      </c>
      <c r="AY214" s="82" t="str">
        <f t="shared" si="2"/>
        <v/>
      </c>
      <c r="AZ214" s="82"/>
      <c r="BA214" s="84" t="s">
        <v>152</v>
      </c>
      <c r="BB214" s="84" t="str">
        <f>IFERROR(__xludf.DUMMYFUNCTION("iferror(if(A214="""",,E214&gt;=FILTER(Constants!$F$2:$F$10,Constants!$A$2:$A$10=A214)))"),"")</f>
        <v/>
      </c>
    </row>
    <row r="215">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c r="AJ215" s="80"/>
      <c r="AK215" s="80"/>
      <c r="AL215" s="80"/>
      <c r="AM215" s="80"/>
      <c r="AN215" s="80"/>
      <c r="AO215" s="80"/>
      <c r="AP215" s="80"/>
      <c r="AQ215" s="80"/>
      <c r="AR215" s="80"/>
      <c r="AS215" s="80"/>
      <c r="AT215" s="80"/>
      <c r="AU215" s="80"/>
      <c r="AV215" s="80"/>
      <c r="AW215" s="82" t="str">
        <f t="shared" si="1"/>
        <v/>
      </c>
      <c r="AX215" s="83" t="str">
        <f t="array" ref="AX215">IFERROR(DGET('SBV Import'!A:G,"SBV",{"RSC ID","Tier";B215,A215}))</f>
        <v/>
      </c>
      <c r="AY215" s="82" t="str">
        <f t="shared" si="2"/>
        <v/>
      </c>
      <c r="AZ215" s="82"/>
      <c r="BA215" s="84" t="s">
        <v>152</v>
      </c>
      <c r="BB215" s="84" t="str">
        <f>IFERROR(__xludf.DUMMYFUNCTION("iferror(if(A215="""",,E215&gt;=FILTER(Constants!$F$2:$F$10,Constants!$A$2:$A$10=A215)))"),"")</f>
        <v/>
      </c>
    </row>
    <row r="216">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c r="AJ216" s="80"/>
      <c r="AK216" s="80"/>
      <c r="AL216" s="80"/>
      <c r="AM216" s="80"/>
      <c r="AN216" s="80"/>
      <c r="AO216" s="80"/>
      <c r="AP216" s="80"/>
      <c r="AQ216" s="80"/>
      <c r="AR216" s="80"/>
      <c r="AS216" s="80"/>
      <c r="AT216" s="80"/>
      <c r="AU216" s="80"/>
      <c r="AV216" s="80"/>
      <c r="AW216" s="82" t="str">
        <f t="shared" si="1"/>
        <v/>
      </c>
      <c r="AX216" s="83" t="str">
        <f t="array" ref="AX216">IFERROR(DGET('SBV Import'!A:G,"SBV",{"RSC ID","Tier";B216,A216}))</f>
        <v/>
      </c>
      <c r="AY216" s="82" t="str">
        <f t="shared" si="2"/>
        <v/>
      </c>
      <c r="AZ216" s="82"/>
      <c r="BA216" s="84" t="s">
        <v>152</v>
      </c>
      <c r="BB216" s="84" t="str">
        <f>IFERROR(__xludf.DUMMYFUNCTION("iferror(if(A216="""",,E216&gt;=FILTER(Constants!$F$2:$F$10,Constants!$A$2:$A$10=A216)))"),"")</f>
        <v/>
      </c>
    </row>
    <row r="217">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c r="AJ217" s="80"/>
      <c r="AK217" s="80"/>
      <c r="AL217" s="80"/>
      <c r="AM217" s="80"/>
      <c r="AN217" s="80"/>
      <c r="AO217" s="80"/>
      <c r="AP217" s="80"/>
      <c r="AQ217" s="80"/>
      <c r="AR217" s="80"/>
      <c r="AS217" s="80"/>
      <c r="AT217" s="80"/>
      <c r="AU217" s="80"/>
      <c r="AV217" s="80"/>
      <c r="AW217" s="82" t="str">
        <f t="shared" si="1"/>
        <v/>
      </c>
      <c r="AX217" s="83" t="str">
        <f t="array" ref="AX217">IFERROR(DGET('SBV Import'!A:G,"SBV",{"RSC ID","Tier";B217,A217}))</f>
        <v/>
      </c>
      <c r="AY217" s="82" t="str">
        <f t="shared" si="2"/>
        <v/>
      </c>
      <c r="AZ217" s="82"/>
      <c r="BA217" s="84" t="s">
        <v>152</v>
      </c>
      <c r="BB217" s="84" t="str">
        <f>IFERROR(__xludf.DUMMYFUNCTION("iferror(if(A217="""",,E217&gt;=FILTER(Constants!$F$2:$F$10,Constants!$A$2:$A$10=A217)))"),"")</f>
        <v/>
      </c>
    </row>
    <row r="218">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c r="AJ218" s="80"/>
      <c r="AK218" s="80"/>
      <c r="AL218" s="80"/>
      <c r="AM218" s="80"/>
      <c r="AN218" s="80"/>
      <c r="AO218" s="80"/>
      <c r="AP218" s="80"/>
      <c r="AQ218" s="80"/>
      <c r="AR218" s="80"/>
      <c r="AS218" s="80"/>
      <c r="AT218" s="80"/>
      <c r="AU218" s="80"/>
      <c r="AV218" s="80"/>
      <c r="AW218" s="82" t="str">
        <f t="shared" si="1"/>
        <v/>
      </c>
      <c r="AX218" s="83" t="str">
        <f t="array" ref="AX218">IFERROR(DGET('SBV Import'!A:G,"SBV",{"RSC ID","Tier";B218,A218}))</f>
        <v/>
      </c>
      <c r="AY218" s="82" t="str">
        <f t="shared" si="2"/>
        <v/>
      </c>
      <c r="AZ218" s="82"/>
      <c r="BA218" s="84" t="s">
        <v>152</v>
      </c>
      <c r="BB218" s="84" t="str">
        <f>IFERROR(__xludf.DUMMYFUNCTION("iferror(if(A218="""",,E218&gt;=FILTER(Constants!$F$2:$F$10,Constants!$A$2:$A$10=A218)))"),"")</f>
        <v/>
      </c>
    </row>
    <row r="219">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c r="AJ219" s="80"/>
      <c r="AK219" s="80"/>
      <c r="AL219" s="80"/>
      <c r="AM219" s="80"/>
      <c r="AN219" s="80"/>
      <c r="AO219" s="80"/>
      <c r="AP219" s="80"/>
      <c r="AQ219" s="80"/>
      <c r="AR219" s="80"/>
      <c r="AS219" s="80"/>
      <c r="AT219" s="80"/>
      <c r="AU219" s="80"/>
      <c r="AV219" s="80"/>
      <c r="AW219" s="82" t="str">
        <f t="shared" si="1"/>
        <v/>
      </c>
      <c r="AX219" s="83" t="str">
        <f t="array" ref="AX219">IFERROR(DGET('SBV Import'!A:G,"SBV",{"RSC ID","Tier";B219,A219}))</f>
        <v/>
      </c>
      <c r="AY219" s="82" t="str">
        <f t="shared" si="2"/>
        <v/>
      </c>
      <c r="AZ219" s="82"/>
      <c r="BA219" s="84" t="s">
        <v>152</v>
      </c>
      <c r="BB219" s="84" t="str">
        <f>IFERROR(__xludf.DUMMYFUNCTION("iferror(if(A219="""",,E219&gt;=FILTER(Constants!$F$2:$F$10,Constants!$A$2:$A$10=A219)))"),"")</f>
        <v/>
      </c>
    </row>
    <row r="220">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c r="AJ220" s="80"/>
      <c r="AK220" s="80"/>
      <c r="AL220" s="80"/>
      <c r="AM220" s="80"/>
      <c r="AN220" s="80"/>
      <c r="AO220" s="80"/>
      <c r="AP220" s="80"/>
      <c r="AQ220" s="80"/>
      <c r="AR220" s="80"/>
      <c r="AS220" s="80"/>
      <c r="AT220" s="80"/>
      <c r="AU220" s="80"/>
      <c r="AV220" s="80"/>
      <c r="AW220" s="82" t="str">
        <f t="shared" si="1"/>
        <v/>
      </c>
      <c r="AX220" s="83" t="str">
        <f t="array" ref="AX220">IFERROR(DGET('SBV Import'!A:G,"SBV",{"RSC ID","Tier";B220,A220}))</f>
        <v/>
      </c>
      <c r="AY220" s="82" t="str">
        <f t="shared" si="2"/>
        <v/>
      </c>
      <c r="AZ220" s="82"/>
      <c r="BA220" s="84" t="s">
        <v>152</v>
      </c>
      <c r="BB220" s="84" t="str">
        <f>IFERROR(__xludf.DUMMYFUNCTION("iferror(if(A220="""",,E220&gt;=FILTER(Constants!$F$2:$F$10,Constants!$A$2:$A$10=A220)))"),"")</f>
        <v/>
      </c>
    </row>
    <row r="22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c r="AJ221" s="80"/>
      <c r="AK221" s="80"/>
      <c r="AL221" s="80"/>
      <c r="AM221" s="80"/>
      <c r="AN221" s="80"/>
      <c r="AO221" s="80"/>
      <c r="AP221" s="80"/>
      <c r="AQ221" s="80"/>
      <c r="AR221" s="80"/>
      <c r="AS221" s="80"/>
      <c r="AT221" s="80"/>
      <c r="AU221" s="80"/>
      <c r="AV221" s="80"/>
      <c r="AW221" s="82" t="str">
        <f t="shared" si="1"/>
        <v/>
      </c>
      <c r="AX221" s="83" t="str">
        <f t="array" ref="AX221">IFERROR(DGET('SBV Import'!A:G,"SBV",{"RSC ID","Tier";B221,A221}))</f>
        <v/>
      </c>
      <c r="AY221" s="82" t="str">
        <f t="shared" si="2"/>
        <v/>
      </c>
      <c r="AZ221" s="82"/>
      <c r="BA221" s="84" t="s">
        <v>152</v>
      </c>
      <c r="BB221" s="84" t="str">
        <f>IFERROR(__xludf.DUMMYFUNCTION("iferror(if(A221="""",,E221&gt;=FILTER(Constants!$F$2:$F$10,Constants!$A$2:$A$10=A221)))"),"")</f>
        <v/>
      </c>
    </row>
    <row r="22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c r="AJ222" s="80"/>
      <c r="AK222" s="80"/>
      <c r="AL222" s="80"/>
      <c r="AM222" s="80"/>
      <c r="AN222" s="80"/>
      <c r="AO222" s="80"/>
      <c r="AP222" s="80"/>
      <c r="AQ222" s="80"/>
      <c r="AR222" s="80"/>
      <c r="AS222" s="80"/>
      <c r="AT222" s="80"/>
      <c r="AU222" s="80"/>
      <c r="AV222" s="80"/>
      <c r="AW222" s="82" t="str">
        <f t="shared" si="1"/>
        <v/>
      </c>
      <c r="AX222" s="83" t="str">
        <f t="array" ref="AX222">IFERROR(DGET('SBV Import'!A:G,"SBV",{"RSC ID","Tier";B222,A222}))</f>
        <v/>
      </c>
      <c r="AY222" s="82" t="str">
        <f t="shared" si="2"/>
        <v/>
      </c>
      <c r="AZ222" s="82"/>
      <c r="BA222" s="84" t="s">
        <v>152</v>
      </c>
      <c r="BB222" s="84" t="str">
        <f>IFERROR(__xludf.DUMMYFUNCTION("iferror(if(A222="""",,E222&gt;=FILTER(Constants!$F$2:$F$10,Constants!$A$2:$A$10=A222)))"),"")</f>
        <v/>
      </c>
    </row>
    <row r="223">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c r="AJ223" s="80"/>
      <c r="AK223" s="80"/>
      <c r="AL223" s="80"/>
      <c r="AM223" s="80"/>
      <c r="AN223" s="80"/>
      <c r="AO223" s="80"/>
      <c r="AP223" s="80"/>
      <c r="AQ223" s="80"/>
      <c r="AR223" s="80"/>
      <c r="AS223" s="80"/>
      <c r="AT223" s="80"/>
      <c r="AU223" s="80"/>
      <c r="AV223" s="80"/>
      <c r="AW223" s="82" t="str">
        <f t="shared" si="1"/>
        <v/>
      </c>
      <c r="AX223" s="83" t="str">
        <f t="array" ref="AX223">IFERROR(DGET('SBV Import'!A:G,"SBV",{"RSC ID","Tier";B223,A223}))</f>
        <v/>
      </c>
      <c r="AY223" s="82" t="str">
        <f t="shared" si="2"/>
        <v/>
      </c>
      <c r="AZ223" s="82"/>
      <c r="BA223" s="84" t="s">
        <v>152</v>
      </c>
      <c r="BB223" s="84" t="str">
        <f>IFERROR(__xludf.DUMMYFUNCTION("iferror(if(A223="""",,E223&gt;=FILTER(Constants!$F$2:$F$10,Constants!$A$2:$A$10=A223)))"),"")</f>
        <v/>
      </c>
    </row>
    <row r="224">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c r="AJ224" s="80"/>
      <c r="AK224" s="80"/>
      <c r="AL224" s="80"/>
      <c r="AM224" s="80"/>
      <c r="AN224" s="80"/>
      <c r="AO224" s="80"/>
      <c r="AP224" s="80"/>
      <c r="AQ224" s="80"/>
      <c r="AR224" s="80"/>
      <c r="AS224" s="80"/>
      <c r="AT224" s="80"/>
      <c r="AU224" s="80"/>
      <c r="AV224" s="80"/>
      <c r="AW224" s="82" t="str">
        <f t="shared" si="1"/>
        <v/>
      </c>
      <c r="AX224" s="83" t="str">
        <f t="array" ref="AX224">IFERROR(DGET('SBV Import'!A:G,"SBV",{"RSC ID","Tier";B224,A224}))</f>
        <v/>
      </c>
      <c r="AY224" s="82" t="str">
        <f t="shared" si="2"/>
        <v/>
      </c>
      <c r="AZ224" s="82"/>
      <c r="BA224" s="84" t="s">
        <v>152</v>
      </c>
      <c r="BB224" s="84" t="str">
        <f>IFERROR(__xludf.DUMMYFUNCTION("iferror(if(A224="""",,E224&gt;=FILTER(Constants!$F$2:$F$10,Constants!$A$2:$A$10=A224)))"),"")</f>
        <v/>
      </c>
    </row>
    <row r="225">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c r="AJ225" s="80"/>
      <c r="AK225" s="80"/>
      <c r="AL225" s="80"/>
      <c r="AM225" s="80"/>
      <c r="AN225" s="80"/>
      <c r="AO225" s="80"/>
      <c r="AP225" s="80"/>
      <c r="AQ225" s="80"/>
      <c r="AR225" s="80"/>
      <c r="AS225" s="80"/>
      <c r="AT225" s="80"/>
      <c r="AU225" s="80"/>
      <c r="AV225" s="80"/>
      <c r="AW225" s="82" t="str">
        <f t="shared" si="1"/>
        <v/>
      </c>
      <c r="AX225" s="83" t="str">
        <f t="array" ref="AX225">IFERROR(DGET('SBV Import'!A:G,"SBV",{"RSC ID","Tier";B225,A225}))</f>
        <v/>
      </c>
      <c r="AY225" s="82" t="str">
        <f t="shared" si="2"/>
        <v/>
      </c>
      <c r="AZ225" s="82"/>
      <c r="BA225" s="84" t="s">
        <v>152</v>
      </c>
      <c r="BB225" s="84" t="str">
        <f>IFERROR(__xludf.DUMMYFUNCTION("iferror(if(A225="""",,E225&gt;=FILTER(Constants!$F$2:$F$10,Constants!$A$2:$A$10=A225)))"),"")</f>
        <v/>
      </c>
    </row>
    <row r="226">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c r="AJ226" s="80"/>
      <c r="AK226" s="80"/>
      <c r="AL226" s="80"/>
      <c r="AM226" s="80"/>
      <c r="AN226" s="80"/>
      <c r="AO226" s="80"/>
      <c r="AP226" s="80"/>
      <c r="AQ226" s="80"/>
      <c r="AR226" s="80"/>
      <c r="AS226" s="80"/>
      <c r="AT226" s="80"/>
      <c r="AU226" s="80"/>
      <c r="AV226" s="80"/>
      <c r="AW226" s="82" t="str">
        <f t="shared" si="1"/>
        <v/>
      </c>
      <c r="AX226" s="83" t="str">
        <f t="array" ref="AX226">IFERROR(DGET('SBV Import'!A:G,"SBV",{"RSC ID","Tier";B226,A226}))</f>
        <v/>
      </c>
      <c r="AY226" s="82" t="str">
        <f t="shared" si="2"/>
        <v/>
      </c>
      <c r="AZ226" s="82"/>
      <c r="BA226" s="84" t="s">
        <v>152</v>
      </c>
      <c r="BB226" s="84" t="str">
        <f>IFERROR(__xludf.DUMMYFUNCTION("iferror(if(A226="""",,E226&gt;=FILTER(Constants!$F$2:$F$10,Constants!$A$2:$A$10=A226)))"),"")</f>
        <v/>
      </c>
    </row>
    <row r="227">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c r="AJ227" s="80"/>
      <c r="AK227" s="80"/>
      <c r="AL227" s="80"/>
      <c r="AM227" s="80"/>
      <c r="AN227" s="80"/>
      <c r="AO227" s="80"/>
      <c r="AP227" s="80"/>
      <c r="AQ227" s="80"/>
      <c r="AR227" s="80"/>
      <c r="AS227" s="80"/>
      <c r="AT227" s="80"/>
      <c r="AU227" s="80"/>
      <c r="AV227" s="80"/>
      <c r="AW227" s="82" t="str">
        <f t="shared" si="1"/>
        <v/>
      </c>
      <c r="AX227" s="83" t="str">
        <f t="array" ref="AX227">IFERROR(DGET('SBV Import'!A:G,"SBV",{"RSC ID","Tier";B227,A227}))</f>
        <v/>
      </c>
      <c r="AY227" s="82" t="str">
        <f t="shared" si="2"/>
        <v/>
      </c>
      <c r="AZ227" s="82"/>
      <c r="BA227" s="84" t="s">
        <v>152</v>
      </c>
      <c r="BB227" s="84" t="str">
        <f>IFERROR(__xludf.DUMMYFUNCTION("iferror(if(A227="""",,E227&gt;=FILTER(Constants!$F$2:$F$10,Constants!$A$2:$A$10=A227)))"),"")</f>
        <v/>
      </c>
    </row>
    <row r="228">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c r="AJ228" s="80"/>
      <c r="AK228" s="80"/>
      <c r="AL228" s="80"/>
      <c r="AM228" s="80"/>
      <c r="AN228" s="80"/>
      <c r="AO228" s="80"/>
      <c r="AP228" s="80"/>
      <c r="AQ228" s="80"/>
      <c r="AR228" s="80"/>
      <c r="AS228" s="80"/>
      <c r="AT228" s="80"/>
      <c r="AU228" s="80"/>
      <c r="AV228" s="80"/>
      <c r="AW228" s="82" t="str">
        <f t="shared" si="1"/>
        <v/>
      </c>
      <c r="AX228" s="83" t="str">
        <f t="array" ref="AX228">IFERROR(DGET('SBV Import'!A:G,"SBV",{"RSC ID","Tier";B228,A228}))</f>
        <v/>
      </c>
      <c r="AY228" s="82" t="str">
        <f t="shared" si="2"/>
        <v/>
      </c>
      <c r="AZ228" s="82"/>
      <c r="BA228" s="84" t="s">
        <v>152</v>
      </c>
      <c r="BB228" s="84" t="str">
        <f>IFERROR(__xludf.DUMMYFUNCTION("iferror(if(A228="""",,E228&gt;=FILTER(Constants!$F$2:$F$10,Constants!$A$2:$A$10=A228)))"),"")</f>
        <v/>
      </c>
    </row>
    <row r="229">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c r="AJ229" s="80"/>
      <c r="AK229" s="80"/>
      <c r="AL229" s="80"/>
      <c r="AM229" s="80"/>
      <c r="AN229" s="80"/>
      <c r="AO229" s="80"/>
      <c r="AP229" s="80"/>
      <c r="AQ229" s="80"/>
      <c r="AR229" s="80"/>
      <c r="AS229" s="80"/>
      <c r="AT229" s="80"/>
      <c r="AU229" s="80"/>
      <c r="AV229" s="80"/>
      <c r="AW229" s="82" t="str">
        <f t="shared" si="1"/>
        <v/>
      </c>
      <c r="AX229" s="83" t="str">
        <f t="array" ref="AX229">IFERROR(DGET('SBV Import'!A:G,"SBV",{"RSC ID","Tier";B229,A229}))</f>
        <v/>
      </c>
      <c r="AY229" s="82" t="str">
        <f t="shared" si="2"/>
        <v/>
      </c>
      <c r="AZ229" s="82"/>
      <c r="BA229" s="84" t="s">
        <v>152</v>
      </c>
      <c r="BB229" s="84" t="str">
        <f>IFERROR(__xludf.DUMMYFUNCTION("iferror(if(A229="""",,E229&gt;=FILTER(Constants!$F$2:$F$10,Constants!$A$2:$A$10=A229)))"),"")</f>
        <v/>
      </c>
    </row>
    <row r="230">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c r="AJ230" s="80"/>
      <c r="AK230" s="80"/>
      <c r="AL230" s="80"/>
      <c r="AM230" s="80"/>
      <c r="AN230" s="80"/>
      <c r="AO230" s="80"/>
      <c r="AP230" s="80"/>
      <c r="AQ230" s="80"/>
      <c r="AR230" s="80"/>
      <c r="AS230" s="80"/>
      <c r="AT230" s="80"/>
      <c r="AU230" s="80"/>
      <c r="AV230" s="80"/>
      <c r="AW230" s="82" t="str">
        <f t="shared" si="1"/>
        <v/>
      </c>
      <c r="AX230" s="83" t="str">
        <f t="array" ref="AX230">IFERROR(DGET('SBV Import'!A:G,"SBV",{"RSC ID","Tier";B230,A230}))</f>
        <v/>
      </c>
      <c r="AY230" s="82" t="str">
        <f t="shared" si="2"/>
        <v/>
      </c>
      <c r="AZ230" s="82"/>
      <c r="BA230" s="84" t="s">
        <v>152</v>
      </c>
      <c r="BB230" s="84" t="str">
        <f>IFERROR(__xludf.DUMMYFUNCTION("iferror(if(A230="""",,E230&gt;=FILTER(Constants!$F$2:$F$10,Constants!$A$2:$A$10=A230)))"),"")</f>
        <v/>
      </c>
    </row>
    <row r="23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c r="AJ231" s="80"/>
      <c r="AK231" s="80"/>
      <c r="AL231" s="80"/>
      <c r="AM231" s="80"/>
      <c r="AN231" s="80"/>
      <c r="AO231" s="80"/>
      <c r="AP231" s="80"/>
      <c r="AQ231" s="80"/>
      <c r="AR231" s="80"/>
      <c r="AS231" s="80"/>
      <c r="AT231" s="80"/>
      <c r="AU231" s="80"/>
      <c r="AV231" s="80"/>
      <c r="AW231" s="82" t="str">
        <f t="shared" si="1"/>
        <v/>
      </c>
      <c r="AX231" s="83" t="str">
        <f t="array" ref="AX231">IFERROR(DGET('SBV Import'!A:G,"SBV",{"RSC ID","Tier";B231,A231}))</f>
        <v/>
      </c>
      <c r="AY231" s="82" t="str">
        <f t="shared" si="2"/>
        <v/>
      </c>
      <c r="AZ231" s="82"/>
      <c r="BA231" s="84" t="s">
        <v>152</v>
      </c>
      <c r="BB231" s="84" t="str">
        <f>IFERROR(__xludf.DUMMYFUNCTION("iferror(if(A231="""",,E231&gt;=FILTER(Constants!$F$2:$F$10,Constants!$A$2:$A$10=A231)))"),"")</f>
        <v/>
      </c>
    </row>
    <row r="23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c r="AJ232" s="80"/>
      <c r="AK232" s="80"/>
      <c r="AL232" s="80"/>
      <c r="AM232" s="80"/>
      <c r="AN232" s="80"/>
      <c r="AO232" s="80"/>
      <c r="AP232" s="80"/>
      <c r="AQ232" s="80"/>
      <c r="AR232" s="80"/>
      <c r="AS232" s="80"/>
      <c r="AT232" s="80"/>
      <c r="AU232" s="80"/>
      <c r="AV232" s="80"/>
      <c r="AW232" s="82" t="str">
        <f t="shared" si="1"/>
        <v/>
      </c>
      <c r="AX232" s="83" t="str">
        <f t="array" ref="AX232">IFERROR(DGET('SBV Import'!A:G,"SBV",{"RSC ID","Tier";B232,A232}))</f>
        <v/>
      </c>
      <c r="AY232" s="82" t="str">
        <f t="shared" si="2"/>
        <v/>
      </c>
      <c r="AZ232" s="82"/>
      <c r="BA232" s="84" t="s">
        <v>152</v>
      </c>
      <c r="BB232" s="84" t="str">
        <f>IFERROR(__xludf.DUMMYFUNCTION("iferror(if(A232="""",,E232&gt;=FILTER(Constants!$F$2:$F$10,Constants!$A$2:$A$10=A232)))"),"")</f>
        <v/>
      </c>
    </row>
    <row r="233">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c r="AJ233" s="80"/>
      <c r="AK233" s="80"/>
      <c r="AL233" s="80"/>
      <c r="AM233" s="80"/>
      <c r="AN233" s="80"/>
      <c r="AO233" s="80"/>
      <c r="AP233" s="80"/>
      <c r="AQ233" s="80"/>
      <c r="AR233" s="80"/>
      <c r="AS233" s="80"/>
      <c r="AT233" s="80"/>
      <c r="AU233" s="80"/>
      <c r="AV233" s="80"/>
      <c r="AW233" s="82" t="str">
        <f t="shared" si="1"/>
        <v/>
      </c>
      <c r="AX233" s="83" t="str">
        <f t="array" ref="AX233">IFERROR(DGET('SBV Import'!A:G,"SBV",{"RSC ID","Tier";B233,A233}))</f>
        <v/>
      </c>
      <c r="AY233" s="82" t="str">
        <f t="shared" si="2"/>
        <v/>
      </c>
      <c r="AZ233" s="82"/>
      <c r="BA233" s="84" t="s">
        <v>152</v>
      </c>
      <c r="BB233" s="84" t="str">
        <f>IFERROR(__xludf.DUMMYFUNCTION("iferror(if(A233="""",,E233&gt;=FILTER(Constants!$F$2:$F$10,Constants!$A$2:$A$10=A233)))"),"")</f>
        <v/>
      </c>
    </row>
    <row r="234">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c r="AJ234" s="80"/>
      <c r="AK234" s="80"/>
      <c r="AL234" s="80"/>
      <c r="AM234" s="80"/>
      <c r="AN234" s="80"/>
      <c r="AO234" s="80"/>
      <c r="AP234" s="80"/>
      <c r="AQ234" s="80"/>
      <c r="AR234" s="80"/>
      <c r="AS234" s="80"/>
      <c r="AT234" s="80"/>
      <c r="AU234" s="80"/>
      <c r="AV234" s="80"/>
      <c r="AW234" s="82" t="str">
        <f t="shared" si="1"/>
        <v/>
      </c>
      <c r="AX234" s="83" t="str">
        <f t="array" ref="AX234">IFERROR(DGET('SBV Import'!A:G,"SBV",{"RSC ID","Tier";B234,A234}))</f>
        <v/>
      </c>
      <c r="AY234" s="82" t="str">
        <f t="shared" si="2"/>
        <v/>
      </c>
      <c r="AZ234" s="82"/>
      <c r="BA234" s="84" t="s">
        <v>152</v>
      </c>
      <c r="BB234" s="84" t="str">
        <f>IFERROR(__xludf.DUMMYFUNCTION("iferror(if(A234="""",,E234&gt;=FILTER(Constants!$F$2:$F$10,Constants!$A$2:$A$10=A234)))"),"")</f>
        <v/>
      </c>
    </row>
    <row r="235">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c r="AJ235" s="80"/>
      <c r="AK235" s="80"/>
      <c r="AL235" s="80"/>
      <c r="AM235" s="80"/>
      <c r="AN235" s="80"/>
      <c r="AO235" s="80"/>
      <c r="AP235" s="80"/>
      <c r="AQ235" s="80"/>
      <c r="AR235" s="80"/>
      <c r="AS235" s="80"/>
      <c r="AT235" s="80"/>
      <c r="AU235" s="80"/>
      <c r="AV235" s="80"/>
      <c r="AW235" s="82" t="str">
        <f t="shared" si="1"/>
        <v/>
      </c>
      <c r="AX235" s="83" t="str">
        <f t="array" ref="AX235">IFERROR(DGET('SBV Import'!A:G,"SBV",{"RSC ID","Tier";B235,A235}))</f>
        <v/>
      </c>
      <c r="AY235" s="82" t="str">
        <f t="shared" si="2"/>
        <v/>
      </c>
      <c r="AZ235" s="82"/>
      <c r="BA235" s="84" t="s">
        <v>152</v>
      </c>
      <c r="BB235" s="84" t="str">
        <f>IFERROR(__xludf.DUMMYFUNCTION("iferror(if(A235="""",,E235&gt;=FILTER(Constants!$F$2:$F$10,Constants!$A$2:$A$10=A235)))"),"")</f>
        <v/>
      </c>
    </row>
    <row r="236">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c r="AJ236" s="80"/>
      <c r="AK236" s="80"/>
      <c r="AL236" s="80"/>
      <c r="AM236" s="80"/>
      <c r="AN236" s="80"/>
      <c r="AO236" s="80"/>
      <c r="AP236" s="80"/>
      <c r="AQ236" s="80"/>
      <c r="AR236" s="80"/>
      <c r="AS236" s="80"/>
      <c r="AT236" s="80"/>
      <c r="AU236" s="80"/>
      <c r="AV236" s="80"/>
      <c r="AW236" s="82" t="str">
        <f t="shared" si="1"/>
        <v/>
      </c>
      <c r="AX236" s="83" t="str">
        <f t="array" ref="AX236">IFERROR(DGET('SBV Import'!A:G,"SBV",{"RSC ID","Tier";B236,A236}))</f>
        <v/>
      </c>
      <c r="AY236" s="82" t="str">
        <f t="shared" si="2"/>
        <v/>
      </c>
      <c r="AZ236" s="82"/>
      <c r="BA236" s="84" t="s">
        <v>152</v>
      </c>
      <c r="BB236" s="84" t="str">
        <f>IFERROR(__xludf.DUMMYFUNCTION("iferror(if(A236="""",,E236&gt;=FILTER(Constants!$F$2:$F$10,Constants!$A$2:$A$10=A236)))"),"")</f>
        <v/>
      </c>
    </row>
    <row r="237">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c r="AJ237" s="80"/>
      <c r="AK237" s="80"/>
      <c r="AL237" s="80"/>
      <c r="AM237" s="80"/>
      <c r="AN237" s="80"/>
      <c r="AO237" s="80"/>
      <c r="AP237" s="80"/>
      <c r="AQ237" s="80"/>
      <c r="AR237" s="80"/>
      <c r="AS237" s="80"/>
      <c r="AT237" s="80"/>
      <c r="AU237" s="80"/>
      <c r="AV237" s="80"/>
      <c r="AW237" s="82" t="str">
        <f t="shared" si="1"/>
        <v/>
      </c>
      <c r="AX237" s="83" t="str">
        <f t="array" ref="AX237">IFERROR(DGET('SBV Import'!A:G,"SBV",{"RSC ID","Tier";B237,A237}))</f>
        <v/>
      </c>
      <c r="AY237" s="82" t="str">
        <f t="shared" si="2"/>
        <v/>
      </c>
      <c r="AZ237" s="82"/>
      <c r="BA237" s="84" t="s">
        <v>152</v>
      </c>
      <c r="BB237" s="84" t="str">
        <f>IFERROR(__xludf.DUMMYFUNCTION("iferror(if(A237="""",,E237&gt;=FILTER(Constants!$F$2:$F$10,Constants!$A$2:$A$10=A237)))"),"")</f>
        <v/>
      </c>
    </row>
    <row r="238">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c r="AJ238" s="80"/>
      <c r="AK238" s="80"/>
      <c r="AL238" s="80"/>
      <c r="AM238" s="80"/>
      <c r="AN238" s="80"/>
      <c r="AO238" s="80"/>
      <c r="AP238" s="80"/>
      <c r="AQ238" s="80"/>
      <c r="AR238" s="80"/>
      <c r="AS238" s="80"/>
      <c r="AT238" s="80"/>
      <c r="AU238" s="80"/>
      <c r="AV238" s="80"/>
      <c r="AW238" s="82" t="str">
        <f t="shared" si="1"/>
        <v/>
      </c>
      <c r="AX238" s="83" t="str">
        <f t="array" ref="AX238">IFERROR(DGET('SBV Import'!A:G,"SBV",{"RSC ID","Tier";B238,A238}))</f>
        <v/>
      </c>
      <c r="AY238" s="82" t="str">
        <f t="shared" si="2"/>
        <v/>
      </c>
      <c r="AZ238" s="82"/>
      <c r="BA238" s="84" t="s">
        <v>152</v>
      </c>
      <c r="BB238" s="84" t="str">
        <f>IFERROR(__xludf.DUMMYFUNCTION("iferror(if(A238="""",,E238&gt;=FILTER(Constants!$F$2:$F$10,Constants!$A$2:$A$10=A238)))"),"")</f>
        <v/>
      </c>
    </row>
    <row r="239">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c r="AJ239" s="80"/>
      <c r="AK239" s="80"/>
      <c r="AL239" s="80"/>
      <c r="AM239" s="80"/>
      <c r="AN239" s="80"/>
      <c r="AO239" s="80"/>
      <c r="AP239" s="80"/>
      <c r="AQ239" s="80"/>
      <c r="AR239" s="80"/>
      <c r="AS239" s="80"/>
      <c r="AT239" s="80"/>
      <c r="AU239" s="80"/>
      <c r="AV239" s="80"/>
      <c r="AW239" s="82" t="str">
        <f t="shared" si="1"/>
        <v/>
      </c>
      <c r="AX239" s="83" t="str">
        <f t="array" ref="AX239">IFERROR(DGET('SBV Import'!A:G,"SBV",{"RSC ID","Tier";B239,A239}))</f>
        <v/>
      </c>
      <c r="AY239" s="82" t="str">
        <f t="shared" si="2"/>
        <v/>
      </c>
      <c r="AZ239" s="82"/>
      <c r="BA239" s="84" t="s">
        <v>152</v>
      </c>
      <c r="BB239" s="84" t="str">
        <f>IFERROR(__xludf.DUMMYFUNCTION("iferror(if(A239="""",,E239&gt;=FILTER(Constants!$F$2:$F$10,Constants!$A$2:$A$10=A239)))"),"")</f>
        <v/>
      </c>
    </row>
    <row r="240">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c r="AJ240" s="80"/>
      <c r="AK240" s="80"/>
      <c r="AL240" s="80"/>
      <c r="AM240" s="80"/>
      <c r="AN240" s="80"/>
      <c r="AO240" s="80"/>
      <c r="AP240" s="80"/>
      <c r="AQ240" s="80"/>
      <c r="AR240" s="80"/>
      <c r="AS240" s="80"/>
      <c r="AT240" s="80"/>
      <c r="AU240" s="80"/>
      <c r="AV240" s="80"/>
      <c r="AW240" s="82" t="str">
        <f t="shared" si="1"/>
        <v/>
      </c>
      <c r="AX240" s="83" t="str">
        <f t="array" ref="AX240">IFERROR(DGET('SBV Import'!A:G,"SBV",{"RSC ID","Tier";B240,A240}))</f>
        <v/>
      </c>
      <c r="AY240" s="82" t="str">
        <f t="shared" si="2"/>
        <v/>
      </c>
      <c r="AZ240" s="82"/>
      <c r="BA240" s="84" t="s">
        <v>152</v>
      </c>
      <c r="BB240" s="84" t="str">
        <f>IFERROR(__xludf.DUMMYFUNCTION("iferror(if(A240="""",,E240&gt;=FILTER(Constants!$F$2:$F$10,Constants!$A$2:$A$10=A240)))"),"")</f>
        <v/>
      </c>
    </row>
    <row r="24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c r="AJ241" s="80"/>
      <c r="AK241" s="80"/>
      <c r="AL241" s="80"/>
      <c r="AM241" s="80"/>
      <c r="AN241" s="80"/>
      <c r="AO241" s="80"/>
      <c r="AP241" s="80"/>
      <c r="AQ241" s="80"/>
      <c r="AR241" s="80"/>
      <c r="AS241" s="80"/>
      <c r="AT241" s="80"/>
      <c r="AU241" s="80"/>
      <c r="AV241" s="80"/>
      <c r="AW241" s="82" t="str">
        <f t="shared" si="1"/>
        <v/>
      </c>
      <c r="AX241" s="83" t="str">
        <f t="array" ref="AX241">IFERROR(DGET('SBV Import'!A:G,"SBV",{"RSC ID","Tier";B241,A241}))</f>
        <v/>
      </c>
      <c r="AY241" s="82" t="str">
        <f t="shared" si="2"/>
        <v/>
      </c>
      <c r="AZ241" s="82"/>
      <c r="BA241" s="84" t="s">
        <v>152</v>
      </c>
      <c r="BB241" s="84" t="str">
        <f>IFERROR(__xludf.DUMMYFUNCTION("iferror(if(A241="""",,E241&gt;=FILTER(Constants!$F$2:$F$10,Constants!$A$2:$A$10=A241)))"),"")</f>
        <v/>
      </c>
    </row>
    <row r="24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c r="AJ242" s="80"/>
      <c r="AK242" s="80"/>
      <c r="AL242" s="80"/>
      <c r="AM242" s="80"/>
      <c r="AN242" s="80"/>
      <c r="AO242" s="80"/>
      <c r="AP242" s="80"/>
      <c r="AQ242" s="80"/>
      <c r="AR242" s="80"/>
      <c r="AS242" s="80"/>
      <c r="AT242" s="80"/>
      <c r="AU242" s="80"/>
      <c r="AV242" s="80"/>
      <c r="AW242" s="82" t="str">
        <f t="shared" si="1"/>
        <v/>
      </c>
      <c r="AX242" s="83" t="str">
        <f t="array" ref="AX242">IFERROR(DGET('SBV Import'!A:G,"SBV",{"RSC ID","Tier";B242,A242}))</f>
        <v/>
      </c>
      <c r="AY242" s="82" t="str">
        <f t="shared" si="2"/>
        <v/>
      </c>
      <c r="AZ242" s="82"/>
      <c r="BA242" s="84" t="s">
        <v>152</v>
      </c>
      <c r="BB242" s="84" t="str">
        <f>IFERROR(__xludf.DUMMYFUNCTION("iferror(if(A242="""",,E242&gt;=FILTER(Constants!$F$2:$F$10,Constants!$A$2:$A$10=A242)))"),"")</f>
        <v/>
      </c>
    </row>
    <row r="243">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c r="AJ243" s="80"/>
      <c r="AK243" s="80"/>
      <c r="AL243" s="80"/>
      <c r="AM243" s="80"/>
      <c r="AN243" s="80"/>
      <c r="AO243" s="80"/>
      <c r="AP243" s="80"/>
      <c r="AQ243" s="80"/>
      <c r="AR243" s="80"/>
      <c r="AS243" s="80"/>
      <c r="AT243" s="80"/>
      <c r="AU243" s="80"/>
      <c r="AV243" s="80"/>
      <c r="AW243" s="82" t="str">
        <f t="shared" si="1"/>
        <v/>
      </c>
      <c r="AX243" s="83" t="str">
        <f t="array" ref="AX243">IFERROR(DGET('SBV Import'!A:G,"SBV",{"RSC ID","Tier";B243,A243}))</f>
        <v/>
      </c>
      <c r="AY243" s="82" t="str">
        <f t="shared" si="2"/>
        <v/>
      </c>
      <c r="AZ243" s="82"/>
      <c r="BA243" s="84" t="s">
        <v>152</v>
      </c>
      <c r="BB243" s="84" t="str">
        <f>IFERROR(__xludf.DUMMYFUNCTION("iferror(if(A243="""",,E243&gt;=FILTER(Constants!$F$2:$F$10,Constants!$A$2:$A$10=A243)))"),"")</f>
        <v/>
      </c>
    </row>
    <row r="244">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c r="AJ244" s="80"/>
      <c r="AK244" s="80"/>
      <c r="AL244" s="80"/>
      <c r="AM244" s="80"/>
      <c r="AN244" s="80"/>
      <c r="AO244" s="80"/>
      <c r="AP244" s="80"/>
      <c r="AQ244" s="80"/>
      <c r="AR244" s="80"/>
      <c r="AS244" s="80"/>
      <c r="AT244" s="80"/>
      <c r="AU244" s="80"/>
      <c r="AV244" s="80"/>
      <c r="AW244" s="82" t="str">
        <f t="shared" si="1"/>
        <v/>
      </c>
      <c r="AX244" s="83" t="str">
        <f t="array" ref="AX244">IFERROR(DGET('SBV Import'!A:G,"SBV",{"RSC ID","Tier";B244,A244}))</f>
        <v/>
      </c>
      <c r="AY244" s="82" t="str">
        <f t="shared" si="2"/>
        <v/>
      </c>
      <c r="AZ244" s="82"/>
      <c r="BA244" s="84" t="s">
        <v>152</v>
      </c>
      <c r="BB244" s="84" t="str">
        <f>IFERROR(__xludf.DUMMYFUNCTION("iferror(if(A244="""",,E244&gt;=FILTER(Constants!$F$2:$F$10,Constants!$A$2:$A$10=A244)))"),"")</f>
        <v/>
      </c>
    </row>
    <row r="245">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c r="AJ245" s="80"/>
      <c r="AK245" s="80"/>
      <c r="AL245" s="80"/>
      <c r="AM245" s="80"/>
      <c r="AN245" s="80"/>
      <c r="AO245" s="80"/>
      <c r="AP245" s="80"/>
      <c r="AQ245" s="80"/>
      <c r="AR245" s="80"/>
      <c r="AS245" s="80"/>
      <c r="AT245" s="80"/>
      <c r="AU245" s="80"/>
      <c r="AV245" s="80"/>
      <c r="AW245" s="82" t="str">
        <f t="shared" si="1"/>
        <v/>
      </c>
      <c r="AX245" s="83" t="str">
        <f t="array" ref="AX245">IFERROR(DGET('SBV Import'!A:G,"SBV",{"RSC ID","Tier";B245,A245}))</f>
        <v/>
      </c>
      <c r="AY245" s="82" t="str">
        <f t="shared" si="2"/>
        <v/>
      </c>
      <c r="AZ245" s="82"/>
      <c r="BA245" s="84" t="s">
        <v>152</v>
      </c>
      <c r="BB245" s="84" t="str">
        <f>IFERROR(__xludf.DUMMYFUNCTION("iferror(if(A245="""",,E245&gt;=FILTER(Constants!$F$2:$F$10,Constants!$A$2:$A$10=A245)))"),"")</f>
        <v/>
      </c>
    </row>
    <row r="246">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c r="AJ246" s="80"/>
      <c r="AK246" s="80"/>
      <c r="AL246" s="80"/>
      <c r="AM246" s="80"/>
      <c r="AN246" s="80"/>
      <c r="AO246" s="80"/>
      <c r="AP246" s="80"/>
      <c r="AQ246" s="80"/>
      <c r="AR246" s="80"/>
      <c r="AS246" s="80"/>
      <c r="AT246" s="80"/>
      <c r="AU246" s="80"/>
      <c r="AV246" s="80"/>
      <c r="AW246" s="82" t="str">
        <f t="shared" si="1"/>
        <v/>
      </c>
      <c r="AX246" s="83" t="str">
        <f t="array" ref="AX246">IFERROR(DGET('SBV Import'!A:G,"SBV",{"RSC ID","Tier";B246,A246}))</f>
        <v/>
      </c>
      <c r="AY246" s="82" t="str">
        <f t="shared" si="2"/>
        <v/>
      </c>
      <c r="AZ246" s="82"/>
      <c r="BA246" s="84" t="s">
        <v>152</v>
      </c>
      <c r="BB246" s="84" t="str">
        <f>IFERROR(__xludf.DUMMYFUNCTION("iferror(if(A246="""",,E246&gt;=FILTER(Constants!$F$2:$F$10,Constants!$A$2:$A$10=A246)))"),"")</f>
        <v/>
      </c>
    </row>
    <row r="247">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c r="AJ247" s="80"/>
      <c r="AK247" s="80"/>
      <c r="AL247" s="80"/>
      <c r="AM247" s="80"/>
      <c r="AN247" s="80"/>
      <c r="AO247" s="80"/>
      <c r="AP247" s="80"/>
      <c r="AQ247" s="80"/>
      <c r="AR247" s="80"/>
      <c r="AS247" s="80"/>
      <c r="AT247" s="80"/>
      <c r="AU247" s="80"/>
      <c r="AV247" s="80"/>
      <c r="AW247" s="82" t="str">
        <f t="shared" si="1"/>
        <v/>
      </c>
      <c r="AX247" s="83" t="str">
        <f t="array" ref="AX247">IFERROR(DGET('SBV Import'!A:G,"SBV",{"RSC ID","Tier";B247,A247}))</f>
        <v/>
      </c>
      <c r="AY247" s="82" t="str">
        <f t="shared" si="2"/>
        <v/>
      </c>
      <c r="AZ247" s="82"/>
      <c r="BA247" s="84" t="s">
        <v>152</v>
      </c>
      <c r="BB247" s="84" t="str">
        <f>IFERROR(__xludf.DUMMYFUNCTION("iferror(if(A247="""",,E247&gt;=FILTER(Constants!$F$2:$F$10,Constants!$A$2:$A$10=A247)))"),"")</f>
        <v/>
      </c>
    </row>
    <row r="248">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c r="AJ248" s="80"/>
      <c r="AK248" s="80"/>
      <c r="AL248" s="80"/>
      <c r="AM248" s="80"/>
      <c r="AN248" s="80"/>
      <c r="AO248" s="80"/>
      <c r="AP248" s="80"/>
      <c r="AQ248" s="80"/>
      <c r="AR248" s="80"/>
      <c r="AS248" s="80"/>
      <c r="AT248" s="80"/>
      <c r="AU248" s="80"/>
      <c r="AV248" s="80"/>
      <c r="AW248" s="82" t="str">
        <f t="shared" si="1"/>
        <v/>
      </c>
      <c r="AX248" s="83" t="str">
        <f t="array" ref="AX248">IFERROR(DGET('SBV Import'!A:G,"SBV",{"RSC ID","Tier";B248,A248}))</f>
        <v/>
      </c>
      <c r="AY248" s="82" t="str">
        <f t="shared" si="2"/>
        <v/>
      </c>
      <c r="AZ248" s="82"/>
      <c r="BA248" s="84" t="s">
        <v>152</v>
      </c>
      <c r="BB248" s="84" t="str">
        <f>IFERROR(__xludf.DUMMYFUNCTION("iferror(if(A248="""",,E248&gt;=FILTER(Constants!$F$2:$F$10,Constants!$A$2:$A$10=A248)))"),"")</f>
        <v/>
      </c>
    </row>
    <row r="249">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c r="AJ249" s="80"/>
      <c r="AK249" s="80"/>
      <c r="AL249" s="80"/>
      <c r="AM249" s="80"/>
      <c r="AN249" s="80"/>
      <c r="AO249" s="80"/>
      <c r="AP249" s="80"/>
      <c r="AQ249" s="80"/>
      <c r="AR249" s="80"/>
      <c r="AS249" s="80"/>
      <c r="AT249" s="80"/>
      <c r="AU249" s="80"/>
      <c r="AV249" s="80"/>
      <c r="AW249" s="82" t="str">
        <f t="shared" si="1"/>
        <v/>
      </c>
      <c r="AX249" s="83" t="str">
        <f t="array" ref="AX249">IFERROR(DGET('SBV Import'!A:G,"SBV",{"RSC ID","Tier";B249,A249}))</f>
        <v/>
      </c>
      <c r="AY249" s="82" t="str">
        <f t="shared" si="2"/>
        <v/>
      </c>
      <c r="AZ249" s="82"/>
      <c r="BA249" s="84" t="s">
        <v>152</v>
      </c>
      <c r="BB249" s="84" t="str">
        <f>IFERROR(__xludf.DUMMYFUNCTION("iferror(if(A249="""",,E249&gt;=FILTER(Constants!$F$2:$F$10,Constants!$A$2:$A$10=A249)))"),"")</f>
        <v/>
      </c>
    </row>
    <row r="250">
      <c r="A250" s="85"/>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c r="AJ250" s="80"/>
      <c r="AK250" s="80"/>
      <c r="AL250" s="80"/>
      <c r="AM250" s="80"/>
      <c r="AN250" s="80"/>
      <c r="AO250" s="80"/>
      <c r="AP250" s="80"/>
      <c r="AQ250" s="80"/>
      <c r="AR250" s="80"/>
      <c r="AS250" s="80"/>
      <c r="AT250" s="80"/>
      <c r="AU250" s="80"/>
      <c r="AV250" s="80"/>
      <c r="AW250" s="82" t="str">
        <f t="shared" si="1"/>
        <v/>
      </c>
      <c r="AX250" s="83" t="str">
        <f t="array" ref="AX250">IFERROR(DGET('SBV Import'!A:G,"SBV",{"RSC ID","Tier";B250,A250}))</f>
        <v/>
      </c>
      <c r="AY250" s="82" t="str">
        <f t="shared" si="2"/>
        <v/>
      </c>
      <c r="AZ250" s="82"/>
      <c r="BA250" s="84" t="s">
        <v>152</v>
      </c>
      <c r="BB250" s="84" t="str">
        <f>IFERROR(__xludf.DUMMYFUNCTION("iferror(if(A250="""",,E250&gt;=FILTER(Constants!$F$2:$F$10,Constants!$A$2:$A$10=A250)))"),"")</f>
        <v/>
      </c>
    </row>
    <row r="25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c r="AI251" s="80"/>
      <c r="AJ251" s="80"/>
      <c r="AK251" s="80"/>
      <c r="AL251" s="80"/>
      <c r="AM251" s="80"/>
      <c r="AN251" s="80"/>
      <c r="AO251" s="80"/>
      <c r="AP251" s="80"/>
      <c r="AQ251" s="80"/>
      <c r="AR251" s="80"/>
      <c r="AS251" s="80"/>
      <c r="AT251" s="80"/>
      <c r="AU251" s="80"/>
      <c r="AV251" s="80"/>
      <c r="AW251" s="82" t="str">
        <f t="shared" si="1"/>
        <v/>
      </c>
      <c r="AX251" s="83" t="str">
        <f t="array" ref="AX251">IFERROR(DGET('SBV Import'!A:G,"SBV",{"RSC ID","Tier";B251,A251}))</f>
        <v/>
      </c>
      <c r="AY251" s="82" t="str">
        <f t="shared" si="2"/>
        <v/>
      </c>
      <c r="AZ251" s="82"/>
      <c r="BA251" s="84" t="s">
        <v>152</v>
      </c>
      <c r="BB251" s="84" t="str">
        <f>IFERROR(__xludf.DUMMYFUNCTION("iferror(if(A251="""",,E251&gt;=FILTER(Constants!$F$2:$F$10,Constants!$A$2:$A$10=A251)))"),"")</f>
        <v/>
      </c>
    </row>
    <row r="25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c r="AI252" s="80"/>
      <c r="AJ252" s="80"/>
      <c r="AK252" s="80"/>
      <c r="AL252" s="80"/>
      <c r="AM252" s="80"/>
      <c r="AN252" s="80"/>
      <c r="AO252" s="80"/>
      <c r="AP252" s="80"/>
      <c r="AQ252" s="80"/>
      <c r="AR252" s="80"/>
      <c r="AS252" s="80"/>
      <c r="AT252" s="80"/>
      <c r="AU252" s="80"/>
      <c r="AV252" s="80"/>
      <c r="AW252" s="82" t="str">
        <f t="shared" si="1"/>
        <v/>
      </c>
      <c r="AX252" s="83" t="str">
        <f t="array" ref="AX252">IFERROR(DGET('SBV Import'!A:G,"SBV",{"RSC ID","Tier";B252,A252}))</f>
        <v/>
      </c>
      <c r="AY252" s="82" t="str">
        <f t="shared" si="2"/>
        <v/>
      </c>
      <c r="AZ252" s="82"/>
      <c r="BA252" s="84" t="s">
        <v>152</v>
      </c>
      <c r="BB252" s="84" t="str">
        <f>IFERROR(__xludf.DUMMYFUNCTION("iferror(if(A252="""",,E252&gt;=FILTER(Constants!$F$2:$F$10,Constants!$A$2:$A$10=A252)))"),"")</f>
        <v/>
      </c>
    </row>
    <row r="253">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c r="AI253" s="80"/>
      <c r="AJ253" s="80"/>
      <c r="AK253" s="80"/>
      <c r="AL253" s="80"/>
      <c r="AM253" s="80"/>
      <c r="AN253" s="80"/>
      <c r="AO253" s="80"/>
      <c r="AP253" s="80"/>
      <c r="AQ253" s="80"/>
      <c r="AR253" s="80"/>
      <c r="AS253" s="80"/>
      <c r="AT253" s="80"/>
      <c r="AU253" s="80"/>
      <c r="AV253" s="80"/>
      <c r="AW253" s="82" t="str">
        <f t="shared" si="1"/>
        <v/>
      </c>
      <c r="AX253" s="83" t="str">
        <f t="array" ref="AX253">IFERROR(DGET('SBV Import'!A:G,"SBV",{"RSC ID","Tier";B253,A253}))</f>
        <v/>
      </c>
      <c r="AY253" s="82" t="str">
        <f t="shared" si="2"/>
        <v/>
      </c>
      <c r="AZ253" s="82"/>
      <c r="BA253" s="84" t="s">
        <v>152</v>
      </c>
      <c r="BB253" s="84" t="str">
        <f>IFERROR(__xludf.DUMMYFUNCTION("iferror(if(A253="""",,E253&gt;=FILTER(Constants!$F$2:$F$10,Constants!$A$2:$A$10=A253)))"),"")</f>
        <v/>
      </c>
    </row>
    <row r="254">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c r="AI254" s="80"/>
      <c r="AJ254" s="80"/>
      <c r="AK254" s="80"/>
      <c r="AL254" s="80"/>
      <c r="AM254" s="80"/>
      <c r="AN254" s="80"/>
      <c r="AO254" s="80"/>
      <c r="AP254" s="80"/>
      <c r="AQ254" s="80"/>
      <c r="AR254" s="80"/>
      <c r="AS254" s="80"/>
      <c r="AT254" s="80"/>
      <c r="AU254" s="80"/>
      <c r="AV254" s="80"/>
      <c r="AW254" s="82" t="str">
        <f t="shared" si="1"/>
        <v/>
      </c>
      <c r="AX254" s="83" t="str">
        <f t="array" ref="AX254">IFERROR(DGET('SBV Import'!A:G,"SBV",{"RSC ID","Tier";B254,A254}))</f>
        <v/>
      </c>
      <c r="AY254" s="82" t="str">
        <f t="shared" si="2"/>
        <v/>
      </c>
      <c r="AZ254" s="82"/>
      <c r="BA254" s="84" t="s">
        <v>152</v>
      </c>
      <c r="BB254" s="84" t="str">
        <f>IFERROR(__xludf.DUMMYFUNCTION("iferror(if(A254="""",,E254&gt;=FILTER(Constants!$F$2:$F$10,Constants!$A$2:$A$10=A254)))"),"")</f>
        <v/>
      </c>
    </row>
    <row r="255">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c r="AI255" s="80"/>
      <c r="AJ255" s="80"/>
      <c r="AK255" s="80"/>
      <c r="AL255" s="80"/>
      <c r="AM255" s="80"/>
      <c r="AN255" s="80"/>
      <c r="AO255" s="80"/>
      <c r="AP255" s="80"/>
      <c r="AQ255" s="80"/>
      <c r="AR255" s="80"/>
      <c r="AS255" s="80"/>
      <c r="AT255" s="80"/>
      <c r="AU255" s="80"/>
      <c r="AV255" s="80"/>
      <c r="AW255" s="82" t="str">
        <f t="shared" si="1"/>
        <v/>
      </c>
      <c r="AX255" s="83" t="str">
        <f t="array" ref="AX255">IFERROR(DGET('SBV Import'!A:G,"SBV",{"RSC ID","Tier";B255,A255}))</f>
        <v/>
      </c>
      <c r="AY255" s="82" t="str">
        <f t="shared" si="2"/>
        <v/>
      </c>
      <c r="AZ255" s="82"/>
      <c r="BA255" s="84" t="s">
        <v>152</v>
      </c>
      <c r="BB255" s="84" t="str">
        <f>IFERROR(__xludf.DUMMYFUNCTION("iferror(if(A255="""",,E255&gt;=FILTER(Constants!$F$2:$F$10,Constants!$A$2:$A$10=A255)))"),"")</f>
        <v/>
      </c>
    </row>
    <row r="256">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c r="AI256" s="80"/>
      <c r="AJ256" s="80"/>
      <c r="AK256" s="80"/>
      <c r="AL256" s="80"/>
      <c r="AM256" s="80"/>
      <c r="AN256" s="80"/>
      <c r="AO256" s="80"/>
      <c r="AP256" s="80"/>
      <c r="AQ256" s="80"/>
      <c r="AR256" s="80"/>
      <c r="AS256" s="80"/>
      <c r="AT256" s="80"/>
      <c r="AU256" s="80"/>
      <c r="AV256" s="80"/>
      <c r="AW256" s="82" t="str">
        <f t="shared" si="1"/>
        <v/>
      </c>
      <c r="AX256" s="83" t="str">
        <f t="array" ref="AX256">IFERROR(DGET('SBV Import'!A:G,"SBV",{"RSC ID","Tier";B256,A256}))</f>
        <v/>
      </c>
      <c r="AY256" s="82" t="str">
        <f t="shared" si="2"/>
        <v/>
      </c>
      <c r="AZ256" s="82"/>
      <c r="BA256" s="84" t="s">
        <v>152</v>
      </c>
      <c r="BB256" s="84" t="str">
        <f>IFERROR(__xludf.DUMMYFUNCTION("iferror(if(A256="""",,E256&gt;=FILTER(Constants!$F$2:$F$10,Constants!$A$2:$A$10=A256)))"),"")</f>
        <v/>
      </c>
    </row>
    <row r="257">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c r="AI257" s="80"/>
      <c r="AJ257" s="80"/>
      <c r="AK257" s="80"/>
      <c r="AL257" s="80"/>
      <c r="AM257" s="80"/>
      <c r="AN257" s="80"/>
      <c r="AO257" s="80"/>
      <c r="AP257" s="80"/>
      <c r="AQ257" s="80"/>
      <c r="AR257" s="80"/>
      <c r="AS257" s="80"/>
      <c r="AT257" s="80"/>
      <c r="AU257" s="80"/>
      <c r="AV257" s="80"/>
      <c r="AW257" s="82" t="str">
        <f t="shared" si="1"/>
        <v/>
      </c>
      <c r="AX257" s="83" t="str">
        <f t="array" ref="AX257">IFERROR(DGET('SBV Import'!A:G,"SBV",{"RSC ID","Tier";B257,A257}))</f>
        <v/>
      </c>
      <c r="AY257" s="82" t="str">
        <f t="shared" si="2"/>
        <v/>
      </c>
      <c r="AZ257" s="82"/>
      <c r="BA257" s="84" t="s">
        <v>152</v>
      </c>
      <c r="BB257" s="84" t="str">
        <f>IFERROR(__xludf.DUMMYFUNCTION("iferror(if(A257="""",,E257&gt;=FILTER(Constants!$F$2:$F$10,Constants!$A$2:$A$10=A257)))"),"")</f>
        <v/>
      </c>
    </row>
    <row r="258">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c r="AI258" s="80"/>
      <c r="AJ258" s="80"/>
      <c r="AK258" s="80"/>
      <c r="AL258" s="80"/>
      <c r="AM258" s="80"/>
      <c r="AN258" s="80"/>
      <c r="AO258" s="80"/>
      <c r="AP258" s="80"/>
      <c r="AQ258" s="80"/>
      <c r="AR258" s="80"/>
      <c r="AS258" s="80"/>
      <c r="AT258" s="80"/>
      <c r="AU258" s="80"/>
      <c r="AV258" s="80"/>
      <c r="AW258" s="82" t="str">
        <f t="shared" si="1"/>
        <v/>
      </c>
      <c r="AX258" s="83" t="str">
        <f t="array" ref="AX258">IFERROR(DGET('SBV Import'!A:G,"SBV",{"RSC ID","Tier";B258,A258}))</f>
        <v/>
      </c>
      <c r="AY258" s="82" t="str">
        <f t="shared" si="2"/>
        <v/>
      </c>
      <c r="AZ258" s="82"/>
      <c r="BA258" s="84" t="s">
        <v>152</v>
      </c>
      <c r="BB258" s="84" t="str">
        <f>IFERROR(__xludf.DUMMYFUNCTION("iferror(if(A258="""",,E258&gt;=FILTER(Constants!$F$2:$F$10,Constants!$A$2:$A$10=A258)))"),"")</f>
        <v/>
      </c>
    </row>
    <row r="259">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c r="AI259" s="80"/>
      <c r="AJ259" s="80"/>
      <c r="AK259" s="80"/>
      <c r="AL259" s="80"/>
      <c r="AM259" s="80"/>
      <c r="AN259" s="80"/>
      <c r="AO259" s="80"/>
      <c r="AP259" s="80"/>
      <c r="AQ259" s="80"/>
      <c r="AR259" s="80"/>
      <c r="AS259" s="80"/>
      <c r="AT259" s="80"/>
      <c r="AU259" s="80"/>
      <c r="AV259" s="80"/>
      <c r="AW259" s="82" t="str">
        <f t="shared" si="1"/>
        <v/>
      </c>
      <c r="AX259" s="83" t="str">
        <f t="array" ref="AX259">IFERROR(DGET('SBV Import'!A:G,"SBV",{"RSC ID","Tier";B259,A259}))</f>
        <v/>
      </c>
      <c r="AY259" s="82" t="str">
        <f t="shared" si="2"/>
        <v/>
      </c>
      <c r="AZ259" s="82"/>
      <c r="BA259" s="84" t="s">
        <v>152</v>
      </c>
      <c r="BB259" s="84" t="str">
        <f>IFERROR(__xludf.DUMMYFUNCTION("iferror(if(A259="""",,E259&gt;=FILTER(Constants!$F$2:$F$10,Constants!$A$2:$A$10=A259)))"),"")</f>
        <v/>
      </c>
    </row>
    <row r="260">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c r="AI260" s="80"/>
      <c r="AJ260" s="80"/>
      <c r="AK260" s="80"/>
      <c r="AL260" s="80"/>
      <c r="AM260" s="80"/>
      <c r="AN260" s="80"/>
      <c r="AO260" s="80"/>
      <c r="AP260" s="80"/>
      <c r="AQ260" s="80"/>
      <c r="AR260" s="80"/>
      <c r="AS260" s="80"/>
      <c r="AT260" s="80"/>
      <c r="AU260" s="80"/>
      <c r="AV260" s="80"/>
      <c r="AW260" s="82" t="str">
        <f t="shared" si="1"/>
        <v/>
      </c>
      <c r="AX260" s="83" t="str">
        <f t="array" ref="AX260">IFERROR(DGET('SBV Import'!A:G,"SBV",{"RSC ID","Tier";B260,A260}))</f>
        <v/>
      </c>
      <c r="AY260" s="82" t="str">
        <f t="shared" si="2"/>
        <v/>
      </c>
      <c r="AZ260" s="82"/>
      <c r="BA260" s="84" t="s">
        <v>152</v>
      </c>
      <c r="BB260" s="84" t="str">
        <f>IFERROR(__xludf.DUMMYFUNCTION("iferror(if(A260="""",,E260&gt;=FILTER(Constants!$F$2:$F$10,Constants!$A$2:$A$10=A260)))"),"")</f>
        <v/>
      </c>
    </row>
    <row r="26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c r="AJ261" s="80"/>
      <c r="AK261" s="80"/>
      <c r="AL261" s="80"/>
      <c r="AM261" s="80"/>
      <c r="AN261" s="80"/>
      <c r="AO261" s="80"/>
      <c r="AP261" s="80"/>
      <c r="AQ261" s="80"/>
      <c r="AR261" s="80"/>
      <c r="AS261" s="80"/>
      <c r="AT261" s="80"/>
      <c r="AU261" s="80"/>
      <c r="AV261" s="80"/>
      <c r="AW261" s="82" t="str">
        <f t="shared" si="1"/>
        <v/>
      </c>
      <c r="AX261" s="83" t="str">
        <f t="array" ref="AX261">IFERROR(DGET('SBV Import'!A:G,"SBV",{"RSC ID","Tier";B261,A261}))</f>
        <v/>
      </c>
      <c r="AY261" s="82" t="str">
        <f t="shared" si="2"/>
        <v/>
      </c>
      <c r="AZ261" s="82"/>
      <c r="BA261" s="84" t="s">
        <v>152</v>
      </c>
      <c r="BB261" s="84" t="str">
        <f>IFERROR(__xludf.DUMMYFUNCTION("iferror(if(A261="""",,E261&gt;=FILTER(Constants!$F$2:$F$10,Constants!$A$2:$A$10=A261)))"),"")</f>
        <v/>
      </c>
    </row>
    <row r="26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c r="AJ262" s="80"/>
      <c r="AK262" s="80"/>
      <c r="AL262" s="80"/>
      <c r="AM262" s="80"/>
      <c r="AN262" s="80"/>
      <c r="AO262" s="80"/>
      <c r="AP262" s="80"/>
      <c r="AQ262" s="80"/>
      <c r="AR262" s="80"/>
      <c r="AS262" s="80"/>
      <c r="AT262" s="80"/>
      <c r="AU262" s="80"/>
      <c r="AV262" s="80"/>
      <c r="AW262" s="82" t="str">
        <f t="shared" si="1"/>
        <v/>
      </c>
      <c r="AX262" s="83" t="str">
        <f t="array" ref="AX262">IFERROR(DGET('SBV Import'!A:G,"SBV",{"RSC ID","Tier";B262,A262}))</f>
        <v/>
      </c>
      <c r="AY262" s="82" t="str">
        <f t="shared" si="2"/>
        <v/>
      </c>
      <c r="AZ262" s="82"/>
      <c r="BA262" s="84" t="s">
        <v>152</v>
      </c>
      <c r="BB262" s="84" t="str">
        <f>IFERROR(__xludf.DUMMYFUNCTION("iferror(if(A262="""",,E262&gt;=FILTER(Constants!$F$2:$F$10,Constants!$A$2:$A$10=A262)))"),"")</f>
        <v/>
      </c>
    </row>
    <row r="263">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c r="AI263" s="80"/>
      <c r="AJ263" s="80"/>
      <c r="AK263" s="80"/>
      <c r="AL263" s="80"/>
      <c r="AM263" s="80"/>
      <c r="AN263" s="80"/>
      <c r="AO263" s="80"/>
      <c r="AP263" s="80"/>
      <c r="AQ263" s="80"/>
      <c r="AR263" s="80"/>
      <c r="AS263" s="80"/>
      <c r="AT263" s="80"/>
      <c r="AU263" s="80"/>
      <c r="AV263" s="80"/>
      <c r="AW263" s="82" t="str">
        <f t="shared" si="1"/>
        <v/>
      </c>
      <c r="AX263" s="83" t="str">
        <f t="array" ref="AX263">IFERROR(DGET('SBV Import'!A:G,"SBV",{"RSC ID","Tier";B263,A263}))</f>
        <v/>
      </c>
      <c r="AY263" s="82" t="str">
        <f t="shared" si="2"/>
        <v/>
      </c>
      <c r="AZ263" s="82"/>
      <c r="BA263" s="84" t="s">
        <v>152</v>
      </c>
      <c r="BB263" s="84" t="str">
        <f>IFERROR(__xludf.DUMMYFUNCTION("iferror(if(A263="""",,E263&gt;=FILTER(Constants!$F$2:$F$10,Constants!$A$2:$A$10=A263)))"),"")</f>
        <v/>
      </c>
    </row>
    <row r="264">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c r="AJ264" s="80"/>
      <c r="AK264" s="80"/>
      <c r="AL264" s="80"/>
      <c r="AM264" s="80"/>
      <c r="AN264" s="80"/>
      <c r="AO264" s="80"/>
      <c r="AP264" s="80"/>
      <c r="AQ264" s="80"/>
      <c r="AR264" s="80"/>
      <c r="AS264" s="80"/>
      <c r="AT264" s="80"/>
      <c r="AU264" s="80"/>
      <c r="AV264" s="80"/>
      <c r="AW264" s="82" t="str">
        <f t="shared" si="1"/>
        <v/>
      </c>
      <c r="AX264" s="83" t="str">
        <f t="array" ref="AX264">IFERROR(DGET('SBV Import'!A:G,"SBV",{"RSC ID","Tier";B264,A264}))</f>
        <v/>
      </c>
      <c r="AY264" s="82" t="str">
        <f t="shared" si="2"/>
        <v/>
      </c>
      <c r="AZ264" s="82"/>
      <c r="BA264" s="84" t="s">
        <v>152</v>
      </c>
      <c r="BB264" s="84" t="str">
        <f>IFERROR(__xludf.DUMMYFUNCTION("iferror(if(A264="""",,E264&gt;=FILTER(Constants!$F$2:$F$10,Constants!$A$2:$A$10=A264)))"),"")</f>
        <v/>
      </c>
    </row>
    <row r="265">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c r="AJ265" s="80"/>
      <c r="AK265" s="80"/>
      <c r="AL265" s="80"/>
      <c r="AM265" s="80"/>
      <c r="AN265" s="80"/>
      <c r="AO265" s="80"/>
      <c r="AP265" s="80"/>
      <c r="AQ265" s="80"/>
      <c r="AR265" s="80"/>
      <c r="AS265" s="80"/>
      <c r="AT265" s="80"/>
      <c r="AU265" s="80"/>
      <c r="AV265" s="80"/>
      <c r="AW265" s="82" t="str">
        <f t="shared" si="1"/>
        <v/>
      </c>
      <c r="AX265" s="83" t="str">
        <f t="array" ref="AX265">IFERROR(DGET('SBV Import'!A:G,"SBV",{"RSC ID","Tier";B265,A265}))</f>
        <v/>
      </c>
      <c r="AY265" s="82" t="str">
        <f t="shared" si="2"/>
        <v/>
      </c>
      <c r="AZ265" s="82"/>
      <c r="BA265" s="84" t="s">
        <v>152</v>
      </c>
      <c r="BB265" s="84" t="str">
        <f>IFERROR(__xludf.DUMMYFUNCTION("iferror(if(A265="""",,E265&gt;=FILTER(Constants!$F$2:$F$10,Constants!$A$2:$A$10=A265)))"),"")</f>
        <v/>
      </c>
    </row>
    <row r="266">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c r="AI266" s="80"/>
      <c r="AJ266" s="80"/>
      <c r="AK266" s="80"/>
      <c r="AL266" s="80"/>
      <c r="AM266" s="80"/>
      <c r="AN266" s="80"/>
      <c r="AO266" s="80"/>
      <c r="AP266" s="80"/>
      <c r="AQ266" s="80"/>
      <c r="AR266" s="80"/>
      <c r="AS266" s="80"/>
      <c r="AT266" s="80"/>
      <c r="AU266" s="80"/>
      <c r="AV266" s="80"/>
      <c r="AW266" s="82" t="str">
        <f t="shared" si="1"/>
        <v/>
      </c>
      <c r="AX266" s="83" t="str">
        <f t="array" ref="AX266">IFERROR(DGET('SBV Import'!A:G,"SBV",{"RSC ID","Tier";B266,A266}))</f>
        <v/>
      </c>
      <c r="AY266" s="82" t="str">
        <f t="shared" si="2"/>
        <v/>
      </c>
      <c r="AZ266" s="82"/>
      <c r="BA266" s="84" t="s">
        <v>152</v>
      </c>
      <c r="BB266" s="84" t="str">
        <f>IFERROR(__xludf.DUMMYFUNCTION("iferror(if(A266="""",,E266&gt;=FILTER(Constants!$F$2:$F$10,Constants!$A$2:$A$10=A266)))"),"")</f>
        <v/>
      </c>
    </row>
    <row r="267">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c r="AI267" s="80"/>
      <c r="AJ267" s="80"/>
      <c r="AK267" s="80"/>
      <c r="AL267" s="80"/>
      <c r="AM267" s="80"/>
      <c r="AN267" s="80"/>
      <c r="AO267" s="80"/>
      <c r="AP267" s="80"/>
      <c r="AQ267" s="80"/>
      <c r="AR267" s="80"/>
      <c r="AS267" s="80"/>
      <c r="AT267" s="80"/>
      <c r="AU267" s="80"/>
      <c r="AV267" s="80"/>
      <c r="AW267" s="82" t="str">
        <f t="shared" si="1"/>
        <v/>
      </c>
      <c r="AX267" s="83" t="str">
        <f t="array" ref="AX267">IFERROR(DGET('SBV Import'!A:G,"SBV",{"RSC ID","Tier";B267,A267}))</f>
        <v/>
      </c>
      <c r="AY267" s="82" t="str">
        <f t="shared" si="2"/>
        <v/>
      </c>
      <c r="AZ267" s="82"/>
      <c r="BA267" s="84" t="s">
        <v>152</v>
      </c>
      <c r="BB267" s="84" t="str">
        <f>IFERROR(__xludf.DUMMYFUNCTION("iferror(if(A267="""",,E267&gt;=FILTER(Constants!$F$2:$F$10,Constants!$A$2:$A$10=A267)))"),"")</f>
        <v/>
      </c>
    </row>
    <row r="268">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c r="AI268" s="80"/>
      <c r="AJ268" s="80"/>
      <c r="AK268" s="80"/>
      <c r="AL268" s="80"/>
      <c r="AM268" s="80"/>
      <c r="AN268" s="80"/>
      <c r="AO268" s="80"/>
      <c r="AP268" s="80"/>
      <c r="AQ268" s="80"/>
      <c r="AR268" s="80"/>
      <c r="AS268" s="80"/>
      <c r="AT268" s="80"/>
      <c r="AU268" s="80"/>
      <c r="AV268" s="80"/>
      <c r="AW268" s="82" t="str">
        <f t="shared" si="1"/>
        <v/>
      </c>
      <c r="AX268" s="83" t="str">
        <f t="array" ref="AX268">IFERROR(DGET('SBV Import'!A:G,"SBV",{"RSC ID","Tier";B268,A268}))</f>
        <v/>
      </c>
      <c r="AY268" s="82" t="str">
        <f t="shared" si="2"/>
        <v/>
      </c>
      <c r="AZ268" s="82"/>
      <c r="BA268" s="84" t="s">
        <v>152</v>
      </c>
      <c r="BB268" s="84" t="str">
        <f>IFERROR(__xludf.DUMMYFUNCTION("iferror(if(A268="""",,E268&gt;=FILTER(Constants!$F$2:$F$10,Constants!$A$2:$A$10=A268)))"),"")</f>
        <v/>
      </c>
    </row>
    <row r="269">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c r="AJ269" s="80"/>
      <c r="AK269" s="80"/>
      <c r="AL269" s="80"/>
      <c r="AM269" s="80"/>
      <c r="AN269" s="80"/>
      <c r="AO269" s="80"/>
      <c r="AP269" s="80"/>
      <c r="AQ269" s="80"/>
      <c r="AR269" s="80"/>
      <c r="AS269" s="80"/>
      <c r="AT269" s="80"/>
      <c r="AU269" s="80"/>
      <c r="AV269" s="80"/>
      <c r="AW269" s="82" t="str">
        <f t="shared" si="1"/>
        <v/>
      </c>
      <c r="AX269" s="83" t="str">
        <f t="array" ref="AX269">IFERROR(DGET('SBV Import'!A:G,"SBV",{"RSC ID","Tier";B269,A269}))</f>
        <v/>
      </c>
      <c r="AY269" s="82" t="str">
        <f t="shared" si="2"/>
        <v/>
      </c>
      <c r="AZ269" s="82"/>
      <c r="BA269" s="84" t="s">
        <v>152</v>
      </c>
      <c r="BB269" s="84" t="str">
        <f>IFERROR(__xludf.DUMMYFUNCTION("iferror(if(A269="""",,E269&gt;=FILTER(Constants!$F$2:$F$10,Constants!$A$2:$A$10=A269)))"),"")</f>
        <v/>
      </c>
    </row>
    <row r="270">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c r="AJ270" s="80"/>
      <c r="AK270" s="80"/>
      <c r="AL270" s="80"/>
      <c r="AM270" s="80"/>
      <c r="AN270" s="80"/>
      <c r="AO270" s="80"/>
      <c r="AP270" s="80"/>
      <c r="AQ270" s="80"/>
      <c r="AR270" s="80"/>
      <c r="AS270" s="80"/>
      <c r="AT270" s="80"/>
      <c r="AU270" s="80"/>
      <c r="AV270" s="80"/>
      <c r="AW270" s="82" t="str">
        <f t="shared" si="1"/>
        <v/>
      </c>
      <c r="AX270" s="83" t="str">
        <f t="array" ref="AX270">IFERROR(DGET('SBV Import'!A:G,"SBV",{"RSC ID","Tier";B270,A270}))</f>
        <v/>
      </c>
      <c r="AY270" s="82" t="str">
        <f t="shared" si="2"/>
        <v/>
      </c>
      <c r="AZ270" s="82"/>
      <c r="BA270" s="84" t="s">
        <v>152</v>
      </c>
      <c r="BB270" s="84" t="str">
        <f>IFERROR(__xludf.DUMMYFUNCTION("iferror(if(A270="""",,E270&gt;=FILTER(Constants!$F$2:$F$10,Constants!$A$2:$A$10=A270)))"),"")</f>
        <v/>
      </c>
    </row>
    <row r="27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c r="AI271" s="80"/>
      <c r="AJ271" s="80"/>
      <c r="AK271" s="80"/>
      <c r="AL271" s="80"/>
      <c r="AM271" s="80"/>
      <c r="AN271" s="80"/>
      <c r="AO271" s="80"/>
      <c r="AP271" s="80"/>
      <c r="AQ271" s="80"/>
      <c r="AR271" s="80"/>
      <c r="AS271" s="80"/>
      <c r="AT271" s="80"/>
      <c r="AU271" s="80"/>
      <c r="AV271" s="80"/>
      <c r="AW271" s="82" t="str">
        <f t="shared" si="1"/>
        <v/>
      </c>
      <c r="AX271" s="83" t="str">
        <f t="array" ref="AX271">IFERROR(DGET('SBV Import'!A:G,"SBV",{"RSC ID","Tier";B271,A271}))</f>
        <v/>
      </c>
      <c r="AY271" s="82" t="str">
        <f t="shared" si="2"/>
        <v/>
      </c>
      <c r="AZ271" s="82"/>
      <c r="BA271" s="84" t="s">
        <v>152</v>
      </c>
      <c r="BB271" s="84" t="str">
        <f>IFERROR(__xludf.DUMMYFUNCTION("iferror(if(A271="""",,E271&gt;=FILTER(Constants!$F$2:$F$10,Constants!$A$2:$A$10=A271)))"),"")</f>
        <v/>
      </c>
    </row>
    <row r="27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c r="AJ272" s="80"/>
      <c r="AK272" s="80"/>
      <c r="AL272" s="80"/>
      <c r="AM272" s="80"/>
      <c r="AN272" s="80"/>
      <c r="AO272" s="80"/>
      <c r="AP272" s="80"/>
      <c r="AQ272" s="80"/>
      <c r="AR272" s="80"/>
      <c r="AS272" s="80"/>
      <c r="AT272" s="80"/>
      <c r="AU272" s="80"/>
      <c r="AV272" s="80"/>
      <c r="AW272" s="82" t="str">
        <f t="shared" si="1"/>
        <v/>
      </c>
      <c r="AX272" s="83" t="str">
        <f t="array" ref="AX272">IFERROR(DGET('SBV Import'!A:G,"SBV",{"RSC ID","Tier";B272,A272}))</f>
        <v/>
      </c>
      <c r="AY272" s="82" t="str">
        <f t="shared" si="2"/>
        <v/>
      </c>
      <c r="AZ272" s="82"/>
      <c r="BA272" s="84" t="s">
        <v>152</v>
      </c>
      <c r="BB272" s="84" t="str">
        <f>IFERROR(__xludf.DUMMYFUNCTION("iferror(if(A272="""",,E272&gt;=FILTER(Constants!$F$2:$F$10,Constants!$A$2:$A$10=A272)))"),"")</f>
        <v/>
      </c>
    </row>
    <row r="273">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c r="AI273" s="80"/>
      <c r="AJ273" s="80"/>
      <c r="AK273" s="80"/>
      <c r="AL273" s="80"/>
      <c r="AM273" s="80"/>
      <c r="AN273" s="80"/>
      <c r="AO273" s="80"/>
      <c r="AP273" s="80"/>
      <c r="AQ273" s="80"/>
      <c r="AR273" s="80"/>
      <c r="AS273" s="80"/>
      <c r="AT273" s="80"/>
      <c r="AU273" s="80"/>
      <c r="AV273" s="80"/>
      <c r="AW273" s="82" t="str">
        <f t="shared" si="1"/>
        <v/>
      </c>
      <c r="AX273" s="83" t="str">
        <f t="array" ref="AX273">IFERROR(DGET('SBV Import'!A:G,"SBV",{"RSC ID","Tier";B273,A273}))</f>
        <v/>
      </c>
      <c r="AY273" s="82" t="str">
        <f t="shared" si="2"/>
        <v/>
      </c>
      <c r="AZ273" s="82"/>
      <c r="BA273" s="84" t="s">
        <v>152</v>
      </c>
      <c r="BB273" s="84" t="str">
        <f>IFERROR(__xludf.DUMMYFUNCTION("iferror(if(A273="""",,E273&gt;=FILTER(Constants!$F$2:$F$10,Constants!$A$2:$A$10=A273)))"),"")</f>
        <v/>
      </c>
    </row>
    <row r="274">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c r="AJ274" s="80"/>
      <c r="AK274" s="80"/>
      <c r="AL274" s="80"/>
      <c r="AM274" s="80"/>
      <c r="AN274" s="80"/>
      <c r="AO274" s="80"/>
      <c r="AP274" s="80"/>
      <c r="AQ274" s="80"/>
      <c r="AR274" s="80"/>
      <c r="AS274" s="80"/>
      <c r="AT274" s="80"/>
      <c r="AU274" s="80"/>
      <c r="AV274" s="80"/>
      <c r="AW274" s="82" t="str">
        <f t="shared" si="1"/>
        <v/>
      </c>
      <c r="AX274" s="83" t="str">
        <f t="array" ref="AX274">IFERROR(DGET('SBV Import'!A:G,"SBV",{"RSC ID","Tier";B274,A274}))</f>
        <v/>
      </c>
      <c r="AY274" s="82" t="str">
        <f t="shared" si="2"/>
        <v/>
      </c>
      <c r="AZ274" s="82"/>
      <c r="BA274" s="84" t="s">
        <v>152</v>
      </c>
      <c r="BB274" s="84" t="str">
        <f>IFERROR(__xludf.DUMMYFUNCTION("iferror(if(A274="""",,E274&gt;=FILTER(Constants!$F$2:$F$10,Constants!$A$2:$A$10=A274)))"),"")</f>
        <v/>
      </c>
    </row>
    <row r="275">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c r="AJ275" s="80"/>
      <c r="AK275" s="80"/>
      <c r="AL275" s="80"/>
      <c r="AM275" s="80"/>
      <c r="AN275" s="80"/>
      <c r="AO275" s="80"/>
      <c r="AP275" s="80"/>
      <c r="AQ275" s="80"/>
      <c r="AR275" s="80"/>
      <c r="AS275" s="80"/>
      <c r="AT275" s="80"/>
      <c r="AU275" s="80"/>
      <c r="AV275" s="80"/>
      <c r="AW275" s="82" t="str">
        <f t="shared" si="1"/>
        <v/>
      </c>
      <c r="AX275" s="83" t="str">
        <f t="array" ref="AX275">IFERROR(DGET('SBV Import'!A:G,"SBV",{"RSC ID","Tier";B275,A275}))</f>
        <v/>
      </c>
      <c r="AY275" s="82" t="str">
        <f t="shared" si="2"/>
        <v/>
      </c>
      <c r="AZ275" s="82"/>
      <c r="BA275" s="84" t="s">
        <v>152</v>
      </c>
      <c r="BB275" s="84" t="str">
        <f>IFERROR(__xludf.DUMMYFUNCTION("iferror(if(A275="""",,E275&gt;=FILTER(Constants!$F$2:$F$10,Constants!$A$2:$A$10=A275)))"),"")</f>
        <v/>
      </c>
    </row>
    <row r="276">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c r="AJ276" s="80"/>
      <c r="AK276" s="80"/>
      <c r="AL276" s="80"/>
      <c r="AM276" s="80"/>
      <c r="AN276" s="80"/>
      <c r="AO276" s="80"/>
      <c r="AP276" s="80"/>
      <c r="AQ276" s="80"/>
      <c r="AR276" s="80"/>
      <c r="AS276" s="80"/>
      <c r="AT276" s="80"/>
      <c r="AU276" s="80"/>
      <c r="AV276" s="80"/>
      <c r="AW276" s="82" t="str">
        <f t="shared" si="1"/>
        <v/>
      </c>
      <c r="AX276" s="83" t="str">
        <f t="array" ref="AX276">IFERROR(DGET('SBV Import'!A:G,"SBV",{"RSC ID","Tier";B276,A276}))</f>
        <v/>
      </c>
      <c r="AY276" s="82" t="str">
        <f t="shared" si="2"/>
        <v/>
      </c>
      <c r="AZ276" s="82"/>
      <c r="BA276" s="84" t="s">
        <v>152</v>
      </c>
      <c r="BB276" s="84" t="str">
        <f>IFERROR(__xludf.DUMMYFUNCTION("iferror(if(A276="""",,E276&gt;=FILTER(Constants!$F$2:$F$10,Constants!$A$2:$A$10=A276)))"),"")</f>
        <v/>
      </c>
    </row>
    <row r="277">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c r="AJ277" s="80"/>
      <c r="AK277" s="80"/>
      <c r="AL277" s="80"/>
      <c r="AM277" s="80"/>
      <c r="AN277" s="80"/>
      <c r="AO277" s="80"/>
      <c r="AP277" s="80"/>
      <c r="AQ277" s="80"/>
      <c r="AR277" s="80"/>
      <c r="AS277" s="80"/>
      <c r="AT277" s="80"/>
      <c r="AU277" s="80"/>
      <c r="AV277" s="80"/>
      <c r="AW277" s="82" t="str">
        <f t="shared" si="1"/>
        <v/>
      </c>
      <c r="AX277" s="83" t="str">
        <f t="array" ref="AX277">IFERROR(DGET('SBV Import'!A:G,"SBV",{"RSC ID","Tier";B277,A277}))</f>
        <v/>
      </c>
      <c r="AY277" s="82" t="str">
        <f t="shared" si="2"/>
        <v/>
      </c>
      <c r="AZ277" s="82"/>
      <c r="BA277" s="84" t="s">
        <v>152</v>
      </c>
      <c r="BB277" s="84" t="str">
        <f>IFERROR(__xludf.DUMMYFUNCTION("iferror(if(A277="""",,E277&gt;=FILTER(Constants!$F$2:$F$10,Constants!$A$2:$A$10=A277)))"),"")</f>
        <v/>
      </c>
    </row>
    <row r="278">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c r="AJ278" s="80"/>
      <c r="AK278" s="80"/>
      <c r="AL278" s="80"/>
      <c r="AM278" s="80"/>
      <c r="AN278" s="80"/>
      <c r="AO278" s="80"/>
      <c r="AP278" s="80"/>
      <c r="AQ278" s="80"/>
      <c r="AR278" s="80"/>
      <c r="AS278" s="80"/>
      <c r="AT278" s="80"/>
      <c r="AU278" s="80"/>
      <c r="AV278" s="80"/>
      <c r="AW278" s="82" t="str">
        <f t="shared" si="1"/>
        <v/>
      </c>
      <c r="AX278" s="83" t="str">
        <f t="array" ref="AX278">IFERROR(DGET('SBV Import'!A:G,"SBV",{"RSC ID","Tier";B278,A278}))</f>
        <v/>
      </c>
      <c r="AY278" s="82" t="str">
        <f t="shared" si="2"/>
        <v/>
      </c>
      <c r="AZ278" s="82"/>
      <c r="BA278" s="84" t="s">
        <v>152</v>
      </c>
      <c r="BB278" s="84" t="str">
        <f>IFERROR(__xludf.DUMMYFUNCTION("iferror(if(A278="""",,E278&gt;=FILTER(Constants!$F$2:$F$10,Constants!$A$2:$A$10=A278)))"),"")</f>
        <v/>
      </c>
    </row>
    <row r="279">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c r="AI279" s="80"/>
      <c r="AJ279" s="80"/>
      <c r="AK279" s="80"/>
      <c r="AL279" s="80"/>
      <c r="AM279" s="80"/>
      <c r="AN279" s="80"/>
      <c r="AO279" s="80"/>
      <c r="AP279" s="80"/>
      <c r="AQ279" s="80"/>
      <c r="AR279" s="80"/>
      <c r="AS279" s="80"/>
      <c r="AT279" s="80"/>
      <c r="AU279" s="80"/>
      <c r="AV279" s="80"/>
      <c r="AW279" s="82" t="str">
        <f t="shared" si="1"/>
        <v/>
      </c>
      <c r="AX279" s="83" t="str">
        <f t="array" ref="AX279">IFERROR(DGET('SBV Import'!A:G,"SBV",{"RSC ID","Tier";B279,A279}))</f>
        <v/>
      </c>
      <c r="AY279" s="82" t="str">
        <f t="shared" si="2"/>
        <v/>
      </c>
      <c r="AZ279" s="82"/>
      <c r="BA279" s="84" t="s">
        <v>152</v>
      </c>
      <c r="BB279" s="84" t="str">
        <f>IFERROR(__xludf.DUMMYFUNCTION("iferror(if(A279="""",,E279&gt;=FILTER(Constants!$F$2:$F$10,Constants!$A$2:$A$10=A279)))"),"")</f>
        <v/>
      </c>
    </row>
    <row r="280">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c r="AJ280" s="80"/>
      <c r="AK280" s="80"/>
      <c r="AL280" s="80"/>
      <c r="AM280" s="80"/>
      <c r="AN280" s="80"/>
      <c r="AO280" s="80"/>
      <c r="AP280" s="80"/>
      <c r="AQ280" s="80"/>
      <c r="AR280" s="80"/>
      <c r="AS280" s="80"/>
      <c r="AT280" s="80"/>
      <c r="AU280" s="80"/>
      <c r="AV280" s="80"/>
      <c r="AW280" s="82" t="str">
        <f t="shared" si="1"/>
        <v/>
      </c>
      <c r="AX280" s="83" t="str">
        <f t="array" ref="AX280">IFERROR(DGET('SBV Import'!A:G,"SBV",{"RSC ID","Tier";B280,A280}))</f>
        <v/>
      </c>
      <c r="AY280" s="82" t="str">
        <f t="shared" si="2"/>
        <v/>
      </c>
      <c r="AZ280" s="82"/>
      <c r="BA280" s="84" t="s">
        <v>152</v>
      </c>
      <c r="BB280" s="84" t="str">
        <f>IFERROR(__xludf.DUMMYFUNCTION("iferror(if(A280="""",,E280&gt;=FILTER(Constants!$F$2:$F$10,Constants!$A$2:$A$10=A280)))"),"")</f>
        <v/>
      </c>
    </row>
    <row r="28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c r="AI281" s="80"/>
      <c r="AJ281" s="80"/>
      <c r="AK281" s="80"/>
      <c r="AL281" s="80"/>
      <c r="AM281" s="80"/>
      <c r="AN281" s="80"/>
      <c r="AO281" s="80"/>
      <c r="AP281" s="80"/>
      <c r="AQ281" s="80"/>
      <c r="AR281" s="80"/>
      <c r="AS281" s="80"/>
      <c r="AT281" s="80"/>
      <c r="AU281" s="80"/>
      <c r="AV281" s="80"/>
      <c r="AW281" s="82" t="str">
        <f t="shared" si="1"/>
        <v/>
      </c>
      <c r="AX281" s="83" t="str">
        <f t="array" ref="AX281">IFERROR(DGET('SBV Import'!A:G,"SBV",{"RSC ID","Tier";B281,A281}))</f>
        <v/>
      </c>
      <c r="AY281" s="82" t="str">
        <f t="shared" si="2"/>
        <v/>
      </c>
      <c r="AZ281" s="82"/>
      <c r="BA281" s="84" t="s">
        <v>152</v>
      </c>
      <c r="BB281" s="84" t="str">
        <f>IFERROR(__xludf.DUMMYFUNCTION("iferror(if(A281="""",,E281&gt;=FILTER(Constants!$F$2:$F$10,Constants!$A$2:$A$10=A281)))"),"")</f>
        <v/>
      </c>
    </row>
    <row r="28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c r="AJ282" s="80"/>
      <c r="AK282" s="80"/>
      <c r="AL282" s="80"/>
      <c r="AM282" s="80"/>
      <c r="AN282" s="80"/>
      <c r="AO282" s="80"/>
      <c r="AP282" s="80"/>
      <c r="AQ282" s="80"/>
      <c r="AR282" s="80"/>
      <c r="AS282" s="80"/>
      <c r="AT282" s="80"/>
      <c r="AU282" s="80"/>
      <c r="AV282" s="80"/>
      <c r="AW282" s="82" t="str">
        <f t="shared" si="1"/>
        <v/>
      </c>
      <c r="AX282" s="83" t="str">
        <f t="array" ref="AX282">IFERROR(DGET('SBV Import'!A:G,"SBV",{"RSC ID","Tier";B282,A282}))</f>
        <v/>
      </c>
      <c r="AY282" s="82" t="str">
        <f t="shared" si="2"/>
        <v/>
      </c>
      <c r="AZ282" s="82"/>
      <c r="BA282" s="84" t="s">
        <v>152</v>
      </c>
      <c r="BB282" s="84" t="str">
        <f>IFERROR(__xludf.DUMMYFUNCTION("iferror(if(A282="""",,E282&gt;=FILTER(Constants!$F$2:$F$10,Constants!$A$2:$A$10=A282)))"),"")</f>
        <v/>
      </c>
    </row>
    <row r="283">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c r="AJ283" s="80"/>
      <c r="AK283" s="80"/>
      <c r="AL283" s="80"/>
      <c r="AM283" s="80"/>
      <c r="AN283" s="80"/>
      <c r="AO283" s="80"/>
      <c r="AP283" s="80"/>
      <c r="AQ283" s="80"/>
      <c r="AR283" s="80"/>
      <c r="AS283" s="80"/>
      <c r="AT283" s="80"/>
      <c r="AU283" s="80"/>
      <c r="AV283" s="80"/>
      <c r="AW283" s="82" t="str">
        <f t="shared" si="1"/>
        <v/>
      </c>
      <c r="AX283" s="83" t="str">
        <f t="array" ref="AX283">IFERROR(DGET('SBV Import'!A:G,"SBV",{"RSC ID","Tier";B283,A283}))</f>
        <v/>
      </c>
      <c r="AY283" s="82" t="str">
        <f t="shared" si="2"/>
        <v/>
      </c>
      <c r="AZ283" s="82"/>
      <c r="BA283" s="84" t="s">
        <v>152</v>
      </c>
      <c r="BB283" s="84" t="str">
        <f>IFERROR(__xludf.DUMMYFUNCTION("iferror(if(A283="""",,E283&gt;=FILTER(Constants!$F$2:$F$10,Constants!$A$2:$A$10=A283)))"),"")</f>
        <v/>
      </c>
    </row>
    <row r="284">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c r="AJ284" s="80"/>
      <c r="AK284" s="80"/>
      <c r="AL284" s="80"/>
      <c r="AM284" s="80"/>
      <c r="AN284" s="80"/>
      <c r="AO284" s="80"/>
      <c r="AP284" s="80"/>
      <c r="AQ284" s="80"/>
      <c r="AR284" s="80"/>
      <c r="AS284" s="80"/>
      <c r="AT284" s="80"/>
      <c r="AU284" s="80"/>
      <c r="AV284" s="80"/>
      <c r="AW284" s="82" t="str">
        <f t="shared" si="1"/>
        <v/>
      </c>
      <c r="AX284" s="83" t="str">
        <f t="array" ref="AX284">IFERROR(DGET('SBV Import'!A:G,"SBV",{"RSC ID","Tier";B284,A284}))</f>
        <v/>
      </c>
      <c r="AY284" s="82" t="str">
        <f t="shared" si="2"/>
        <v/>
      </c>
      <c r="AZ284" s="82"/>
      <c r="BA284" s="84" t="s">
        <v>152</v>
      </c>
      <c r="BB284" s="84" t="str">
        <f>IFERROR(__xludf.DUMMYFUNCTION("iferror(if(A284="""",,E284&gt;=FILTER(Constants!$F$2:$F$10,Constants!$A$2:$A$10=A284)))"),"")</f>
        <v/>
      </c>
    </row>
    <row r="285">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c r="AI285" s="80"/>
      <c r="AJ285" s="80"/>
      <c r="AK285" s="80"/>
      <c r="AL285" s="80"/>
      <c r="AM285" s="80"/>
      <c r="AN285" s="80"/>
      <c r="AO285" s="80"/>
      <c r="AP285" s="80"/>
      <c r="AQ285" s="80"/>
      <c r="AR285" s="80"/>
      <c r="AS285" s="80"/>
      <c r="AT285" s="80"/>
      <c r="AU285" s="80"/>
      <c r="AV285" s="80"/>
      <c r="AW285" s="82" t="str">
        <f t="shared" si="1"/>
        <v/>
      </c>
      <c r="AX285" s="83" t="str">
        <f t="array" ref="AX285">IFERROR(DGET('SBV Import'!A:G,"SBV",{"RSC ID","Tier";B285,A285}))</f>
        <v/>
      </c>
      <c r="AY285" s="82" t="str">
        <f t="shared" si="2"/>
        <v/>
      </c>
      <c r="AZ285" s="82"/>
      <c r="BA285" s="84" t="s">
        <v>152</v>
      </c>
      <c r="BB285" s="84" t="str">
        <f>IFERROR(__xludf.DUMMYFUNCTION("iferror(if(A285="""",,E285&gt;=FILTER(Constants!$F$2:$F$10,Constants!$A$2:$A$10=A285)))"),"")</f>
        <v/>
      </c>
    </row>
    <row r="286">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c r="AJ286" s="80"/>
      <c r="AK286" s="80"/>
      <c r="AL286" s="80"/>
      <c r="AM286" s="80"/>
      <c r="AN286" s="80"/>
      <c r="AO286" s="80"/>
      <c r="AP286" s="80"/>
      <c r="AQ286" s="80"/>
      <c r="AR286" s="80"/>
      <c r="AS286" s="80"/>
      <c r="AT286" s="80"/>
      <c r="AU286" s="80"/>
      <c r="AV286" s="80"/>
      <c r="AW286" s="82" t="str">
        <f t="shared" si="1"/>
        <v/>
      </c>
      <c r="AX286" s="83" t="str">
        <f t="array" ref="AX286">IFERROR(DGET('SBV Import'!A:G,"SBV",{"RSC ID","Tier";B286,A286}))</f>
        <v/>
      </c>
      <c r="AY286" s="82" t="str">
        <f t="shared" si="2"/>
        <v/>
      </c>
      <c r="AZ286" s="82"/>
      <c r="BA286" s="84" t="s">
        <v>152</v>
      </c>
      <c r="BB286" s="84" t="str">
        <f>IFERROR(__xludf.DUMMYFUNCTION("iferror(if(A286="""",,E286&gt;=FILTER(Constants!$F$2:$F$10,Constants!$A$2:$A$10=A286)))"),"")</f>
        <v/>
      </c>
    </row>
    <row r="287">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c r="AJ287" s="80"/>
      <c r="AK287" s="80"/>
      <c r="AL287" s="80"/>
      <c r="AM287" s="80"/>
      <c r="AN287" s="80"/>
      <c r="AO287" s="80"/>
      <c r="AP287" s="80"/>
      <c r="AQ287" s="80"/>
      <c r="AR287" s="80"/>
      <c r="AS287" s="80"/>
      <c r="AT287" s="80"/>
      <c r="AU287" s="80"/>
      <c r="AV287" s="80"/>
      <c r="AW287" s="82" t="str">
        <f t="shared" si="1"/>
        <v/>
      </c>
      <c r="AX287" s="83" t="str">
        <f t="array" ref="AX287">IFERROR(DGET('SBV Import'!A:G,"SBV",{"RSC ID","Tier";B287,A287}))</f>
        <v/>
      </c>
      <c r="AY287" s="82" t="str">
        <f t="shared" si="2"/>
        <v/>
      </c>
      <c r="AZ287" s="82"/>
      <c r="BA287" s="84" t="s">
        <v>152</v>
      </c>
      <c r="BB287" s="84" t="str">
        <f>IFERROR(__xludf.DUMMYFUNCTION("iferror(if(A287="""",,E287&gt;=FILTER(Constants!$F$2:$F$10,Constants!$A$2:$A$10=A287)))"),"")</f>
        <v/>
      </c>
    </row>
    <row r="288">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c r="AJ288" s="80"/>
      <c r="AK288" s="80"/>
      <c r="AL288" s="80"/>
      <c r="AM288" s="80"/>
      <c r="AN288" s="80"/>
      <c r="AO288" s="80"/>
      <c r="AP288" s="80"/>
      <c r="AQ288" s="80"/>
      <c r="AR288" s="80"/>
      <c r="AS288" s="80"/>
      <c r="AT288" s="80"/>
      <c r="AU288" s="80"/>
      <c r="AV288" s="80"/>
      <c r="AW288" s="82" t="str">
        <f t="shared" si="1"/>
        <v/>
      </c>
      <c r="AX288" s="83" t="str">
        <f t="array" ref="AX288">IFERROR(DGET('SBV Import'!A:G,"SBV",{"RSC ID","Tier";B288,A288}))</f>
        <v/>
      </c>
      <c r="AY288" s="82" t="str">
        <f t="shared" si="2"/>
        <v/>
      </c>
      <c r="AZ288" s="82"/>
      <c r="BA288" s="84" t="s">
        <v>152</v>
      </c>
      <c r="BB288" s="84" t="str">
        <f>IFERROR(__xludf.DUMMYFUNCTION("iferror(if(A288="""",,E288&gt;=FILTER(Constants!$F$2:$F$10,Constants!$A$2:$A$10=A288)))"),"")</f>
        <v/>
      </c>
    </row>
    <row r="289">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c r="AJ289" s="80"/>
      <c r="AK289" s="80"/>
      <c r="AL289" s="80"/>
      <c r="AM289" s="80"/>
      <c r="AN289" s="80"/>
      <c r="AO289" s="80"/>
      <c r="AP289" s="80"/>
      <c r="AQ289" s="80"/>
      <c r="AR289" s="80"/>
      <c r="AS289" s="80"/>
      <c r="AT289" s="80"/>
      <c r="AU289" s="80"/>
      <c r="AV289" s="80"/>
      <c r="AW289" s="82" t="str">
        <f t="shared" si="1"/>
        <v/>
      </c>
      <c r="AX289" s="83" t="str">
        <f t="array" ref="AX289">IFERROR(DGET('SBV Import'!A:G,"SBV",{"RSC ID","Tier";B289,A289}))</f>
        <v/>
      </c>
      <c r="AY289" s="82" t="str">
        <f t="shared" si="2"/>
        <v/>
      </c>
      <c r="AZ289" s="82"/>
      <c r="BA289" s="84" t="s">
        <v>152</v>
      </c>
      <c r="BB289" s="84" t="str">
        <f>IFERROR(__xludf.DUMMYFUNCTION("iferror(if(A289="""",,E289&gt;=FILTER(Constants!$F$2:$F$10,Constants!$A$2:$A$10=A289)))"),"")</f>
        <v/>
      </c>
    </row>
    <row r="290">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c r="AJ290" s="80"/>
      <c r="AK290" s="80"/>
      <c r="AL290" s="80"/>
      <c r="AM290" s="80"/>
      <c r="AN290" s="80"/>
      <c r="AO290" s="80"/>
      <c r="AP290" s="80"/>
      <c r="AQ290" s="80"/>
      <c r="AR290" s="80"/>
      <c r="AS290" s="80"/>
      <c r="AT290" s="80"/>
      <c r="AU290" s="80"/>
      <c r="AV290" s="80"/>
      <c r="AW290" s="82" t="str">
        <f t="shared" si="1"/>
        <v/>
      </c>
      <c r="AX290" s="83" t="str">
        <f t="array" ref="AX290">IFERROR(DGET('SBV Import'!A:G,"SBV",{"RSC ID","Tier";B290,A290}))</f>
        <v/>
      </c>
      <c r="AY290" s="82" t="str">
        <f t="shared" si="2"/>
        <v/>
      </c>
      <c r="AZ290" s="82"/>
      <c r="BA290" s="84" t="s">
        <v>152</v>
      </c>
      <c r="BB290" s="84" t="str">
        <f>IFERROR(__xludf.DUMMYFUNCTION("iferror(if(A290="""",,E290&gt;=FILTER(Constants!$F$2:$F$10,Constants!$A$2:$A$10=A290)))"),"")</f>
        <v/>
      </c>
    </row>
    <row r="29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c r="AI291" s="80"/>
      <c r="AJ291" s="80"/>
      <c r="AK291" s="80"/>
      <c r="AL291" s="80"/>
      <c r="AM291" s="80"/>
      <c r="AN291" s="80"/>
      <c r="AO291" s="80"/>
      <c r="AP291" s="80"/>
      <c r="AQ291" s="80"/>
      <c r="AR291" s="80"/>
      <c r="AS291" s="80"/>
      <c r="AT291" s="80"/>
      <c r="AU291" s="80"/>
      <c r="AV291" s="80"/>
      <c r="AW291" s="82" t="str">
        <f t="shared" si="1"/>
        <v/>
      </c>
      <c r="AX291" s="83" t="str">
        <f t="array" ref="AX291">IFERROR(DGET('SBV Import'!A:G,"SBV",{"RSC ID","Tier";B291,A291}))</f>
        <v/>
      </c>
      <c r="AY291" s="82" t="str">
        <f t="shared" si="2"/>
        <v/>
      </c>
      <c r="AZ291" s="82"/>
      <c r="BA291" s="84" t="s">
        <v>152</v>
      </c>
      <c r="BB291" s="84" t="str">
        <f>IFERROR(__xludf.DUMMYFUNCTION("iferror(if(A291="""",,E291&gt;=FILTER(Constants!$F$2:$F$10,Constants!$A$2:$A$10=A291)))"),"")</f>
        <v/>
      </c>
    </row>
    <row r="29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c r="AJ292" s="80"/>
      <c r="AK292" s="80"/>
      <c r="AL292" s="80"/>
      <c r="AM292" s="80"/>
      <c r="AN292" s="80"/>
      <c r="AO292" s="80"/>
      <c r="AP292" s="80"/>
      <c r="AQ292" s="80"/>
      <c r="AR292" s="80"/>
      <c r="AS292" s="80"/>
      <c r="AT292" s="80"/>
      <c r="AU292" s="80"/>
      <c r="AV292" s="80"/>
      <c r="AW292" s="82" t="str">
        <f t="shared" si="1"/>
        <v/>
      </c>
      <c r="AX292" s="83" t="str">
        <f t="array" ref="AX292">IFERROR(DGET('SBV Import'!A:G,"SBV",{"RSC ID","Tier";B292,A292}))</f>
        <v/>
      </c>
      <c r="AY292" s="82" t="str">
        <f t="shared" si="2"/>
        <v/>
      </c>
      <c r="AZ292" s="82"/>
      <c r="BA292" s="84" t="s">
        <v>152</v>
      </c>
      <c r="BB292" s="84" t="str">
        <f>IFERROR(__xludf.DUMMYFUNCTION("iferror(if(A292="""",,E292&gt;=FILTER(Constants!$F$2:$F$10,Constants!$A$2:$A$10=A292)))"),"")</f>
        <v/>
      </c>
    </row>
    <row r="293">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c r="AJ293" s="80"/>
      <c r="AK293" s="80"/>
      <c r="AL293" s="80"/>
      <c r="AM293" s="80"/>
      <c r="AN293" s="80"/>
      <c r="AO293" s="80"/>
      <c r="AP293" s="80"/>
      <c r="AQ293" s="80"/>
      <c r="AR293" s="80"/>
      <c r="AS293" s="80"/>
      <c r="AT293" s="80"/>
      <c r="AU293" s="80"/>
      <c r="AV293" s="80"/>
      <c r="AW293" s="82" t="str">
        <f t="shared" si="1"/>
        <v/>
      </c>
      <c r="AX293" s="83" t="str">
        <f t="array" ref="AX293">IFERROR(DGET('SBV Import'!A:G,"SBV",{"RSC ID","Tier";B293,A293}))</f>
        <v/>
      </c>
      <c r="AY293" s="82" t="str">
        <f t="shared" si="2"/>
        <v/>
      </c>
      <c r="AZ293" s="82"/>
      <c r="BA293" s="84" t="s">
        <v>152</v>
      </c>
      <c r="BB293" s="84" t="str">
        <f>IFERROR(__xludf.DUMMYFUNCTION("iferror(if(A293="""",,E293&gt;=FILTER(Constants!$F$2:$F$10,Constants!$A$2:$A$10=A293)))"),"")</f>
        <v/>
      </c>
    </row>
    <row r="294">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c r="AJ294" s="80"/>
      <c r="AK294" s="80"/>
      <c r="AL294" s="80"/>
      <c r="AM294" s="80"/>
      <c r="AN294" s="80"/>
      <c r="AO294" s="80"/>
      <c r="AP294" s="80"/>
      <c r="AQ294" s="80"/>
      <c r="AR294" s="80"/>
      <c r="AS294" s="80"/>
      <c r="AT294" s="80"/>
      <c r="AU294" s="80"/>
      <c r="AV294" s="80"/>
      <c r="AW294" s="82" t="str">
        <f t="shared" si="1"/>
        <v/>
      </c>
      <c r="AX294" s="83" t="str">
        <f t="array" ref="AX294">IFERROR(DGET('SBV Import'!A:G,"SBV",{"RSC ID","Tier";B294,A294}))</f>
        <v/>
      </c>
      <c r="AY294" s="82" t="str">
        <f t="shared" si="2"/>
        <v/>
      </c>
      <c r="AZ294" s="82"/>
      <c r="BA294" s="84" t="s">
        <v>152</v>
      </c>
      <c r="BB294" s="84" t="str">
        <f>IFERROR(__xludf.DUMMYFUNCTION("iferror(if(A294="""",,E294&gt;=FILTER(Constants!$F$2:$F$10,Constants!$A$2:$A$10=A294)))"),"")</f>
        <v/>
      </c>
    </row>
    <row r="295">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c r="AI295" s="80"/>
      <c r="AJ295" s="80"/>
      <c r="AK295" s="80"/>
      <c r="AL295" s="80"/>
      <c r="AM295" s="80"/>
      <c r="AN295" s="80"/>
      <c r="AO295" s="80"/>
      <c r="AP295" s="80"/>
      <c r="AQ295" s="80"/>
      <c r="AR295" s="80"/>
      <c r="AS295" s="80"/>
      <c r="AT295" s="80"/>
      <c r="AU295" s="80"/>
      <c r="AV295" s="80"/>
      <c r="AW295" s="82" t="str">
        <f t="shared" si="1"/>
        <v/>
      </c>
      <c r="AX295" s="83" t="str">
        <f t="array" ref="AX295">IFERROR(DGET('SBV Import'!A:G,"SBV",{"RSC ID","Tier";B295,A295}))</f>
        <v/>
      </c>
      <c r="AY295" s="82" t="str">
        <f t="shared" si="2"/>
        <v/>
      </c>
      <c r="AZ295" s="82"/>
      <c r="BA295" s="84" t="s">
        <v>152</v>
      </c>
      <c r="BB295" s="84" t="str">
        <f>IFERROR(__xludf.DUMMYFUNCTION("iferror(if(A295="""",,E295&gt;=FILTER(Constants!$F$2:$F$10,Constants!$A$2:$A$10=A295)))"),"")</f>
        <v/>
      </c>
    </row>
    <row r="296">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c r="AI296" s="80"/>
      <c r="AJ296" s="80"/>
      <c r="AK296" s="80"/>
      <c r="AL296" s="80"/>
      <c r="AM296" s="80"/>
      <c r="AN296" s="80"/>
      <c r="AO296" s="80"/>
      <c r="AP296" s="80"/>
      <c r="AQ296" s="80"/>
      <c r="AR296" s="80"/>
      <c r="AS296" s="80"/>
      <c r="AT296" s="80"/>
      <c r="AU296" s="80"/>
      <c r="AV296" s="80"/>
      <c r="AW296" s="82" t="str">
        <f t="shared" si="1"/>
        <v/>
      </c>
      <c r="AX296" s="83" t="str">
        <f t="array" ref="AX296">IFERROR(DGET('SBV Import'!A:G,"SBV",{"RSC ID","Tier";B296,A296}))</f>
        <v/>
      </c>
      <c r="AY296" s="82" t="str">
        <f t="shared" si="2"/>
        <v/>
      </c>
      <c r="AZ296" s="82"/>
      <c r="BA296" s="84" t="s">
        <v>152</v>
      </c>
      <c r="BB296" s="84" t="str">
        <f>IFERROR(__xludf.DUMMYFUNCTION("iferror(if(A296="""",,E296&gt;=FILTER(Constants!$F$2:$F$10,Constants!$A$2:$A$10=A296)))"),"")</f>
        <v/>
      </c>
    </row>
    <row r="297">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c r="AJ297" s="80"/>
      <c r="AK297" s="80"/>
      <c r="AL297" s="80"/>
      <c r="AM297" s="80"/>
      <c r="AN297" s="80"/>
      <c r="AO297" s="80"/>
      <c r="AP297" s="80"/>
      <c r="AQ297" s="80"/>
      <c r="AR297" s="80"/>
      <c r="AS297" s="80"/>
      <c r="AT297" s="80"/>
      <c r="AU297" s="80"/>
      <c r="AV297" s="80"/>
      <c r="AW297" s="82" t="str">
        <f t="shared" si="1"/>
        <v/>
      </c>
      <c r="AX297" s="83" t="str">
        <f t="array" ref="AX297">IFERROR(DGET('SBV Import'!A:G,"SBV",{"RSC ID","Tier";B297,A297}))</f>
        <v/>
      </c>
      <c r="AY297" s="82" t="str">
        <f t="shared" si="2"/>
        <v/>
      </c>
      <c r="AZ297" s="82"/>
      <c r="BA297" s="84" t="s">
        <v>152</v>
      </c>
      <c r="BB297" s="84" t="str">
        <f>IFERROR(__xludf.DUMMYFUNCTION("iferror(if(A297="""",,E297&gt;=FILTER(Constants!$F$2:$F$10,Constants!$A$2:$A$10=A297)))"),"")</f>
        <v/>
      </c>
    </row>
    <row r="298">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c r="AI298" s="80"/>
      <c r="AJ298" s="80"/>
      <c r="AK298" s="80"/>
      <c r="AL298" s="80"/>
      <c r="AM298" s="80"/>
      <c r="AN298" s="80"/>
      <c r="AO298" s="80"/>
      <c r="AP298" s="80"/>
      <c r="AQ298" s="80"/>
      <c r="AR298" s="80"/>
      <c r="AS298" s="80"/>
      <c r="AT298" s="80"/>
      <c r="AU298" s="80"/>
      <c r="AV298" s="80"/>
      <c r="AW298" s="82" t="str">
        <f t="shared" si="1"/>
        <v/>
      </c>
      <c r="AX298" s="83" t="str">
        <f t="array" ref="AX298">IFERROR(DGET('SBV Import'!A:G,"SBV",{"RSC ID","Tier";B298,A298}))</f>
        <v/>
      </c>
      <c r="AY298" s="82" t="str">
        <f t="shared" si="2"/>
        <v/>
      </c>
      <c r="AZ298" s="82"/>
      <c r="BA298" s="84" t="s">
        <v>152</v>
      </c>
      <c r="BB298" s="84" t="str">
        <f>IFERROR(__xludf.DUMMYFUNCTION("iferror(if(A298="""",,E298&gt;=FILTER(Constants!$F$2:$F$10,Constants!$A$2:$A$10=A298)))"),"")</f>
        <v/>
      </c>
    </row>
    <row r="299">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c r="AI299" s="80"/>
      <c r="AJ299" s="80"/>
      <c r="AK299" s="80"/>
      <c r="AL299" s="80"/>
      <c r="AM299" s="80"/>
      <c r="AN299" s="80"/>
      <c r="AO299" s="80"/>
      <c r="AP299" s="80"/>
      <c r="AQ299" s="80"/>
      <c r="AR299" s="80"/>
      <c r="AS299" s="80"/>
      <c r="AT299" s="80"/>
      <c r="AU299" s="80"/>
      <c r="AV299" s="80"/>
      <c r="AW299" s="82" t="str">
        <f t="shared" si="1"/>
        <v/>
      </c>
      <c r="AX299" s="83" t="str">
        <f t="array" ref="AX299">IFERROR(DGET('SBV Import'!A:G,"SBV",{"RSC ID","Tier";B299,A299}))</f>
        <v/>
      </c>
      <c r="AY299" s="82" t="str">
        <f t="shared" si="2"/>
        <v/>
      </c>
      <c r="AZ299" s="82"/>
      <c r="BA299" s="84" t="s">
        <v>152</v>
      </c>
      <c r="BB299" s="84" t="str">
        <f>IFERROR(__xludf.DUMMYFUNCTION("iferror(if(A299="""",,E299&gt;=FILTER(Constants!$F$2:$F$10,Constants!$A$2:$A$10=A299)))"),"")</f>
        <v/>
      </c>
    </row>
    <row r="300">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c r="AI300" s="80"/>
      <c r="AJ300" s="80"/>
      <c r="AK300" s="80"/>
      <c r="AL300" s="80"/>
      <c r="AM300" s="80"/>
      <c r="AN300" s="80"/>
      <c r="AO300" s="80"/>
      <c r="AP300" s="80"/>
      <c r="AQ300" s="80"/>
      <c r="AR300" s="80"/>
      <c r="AS300" s="80"/>
      <c r="AT300" s="80"/>
      <c r="AU300" s="80"/>
      <c r="AV300" s="80"/>
      <c r="AW300" s="82" t="str">
        <f t="shared" si="1"/>
        <v/>
      </c>
      <c r="AX300" s="83" t="str">
        <f t="array" ref="AX300">IFERROR(DGET('SBV Import'!A:G,"SBV",{"RSC ID","Tier";B300,A300}))</f>
        <v/>
      </c>
      <c r="AY300" s="82" t="str">
        <f t="shared" si="2"/>
        <v/>
      </c>
      <c r="AZ300" s="82"/>
      <c r="BA300" s="84" t="s">
        <v>152</v>
      </c>
      <c r="BB300" s="84" t="str">
        <f>IFERROR(__xludf.DUMMYFUNCTION("iferror(if(A300="""",,E300&gt;=FILTER(Constants!$F$2:$F$10,Constants!$A$2:$A$10=A300)))"),"")</f>
        <v/>
      </c>
    </row>
    <row r="30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c r="AI301" s="80"/>
      <c r="AJ301" s="80"/>
      <c r="AK301" s="80"/>
      <c r="AL301" s="80"/>
      <c r="AM301" s="80"/>
      <c r="AN301" s="80"/>
      <c r="AO301" s="80"/>
      <c r="AP301" s="80"/>
      <c r="AQ301" s="80"/>
      <c r="AR301" s="80"/>
      <c r="AS301" s="80"/>
      <c r="AT301" s="80"/>
      <c r="AU301" s="80"/>
      <c r="AV301" s="80"/>
      <c r="AW301" s="82" t="str">
        <f t="shared" si="1"/>
        <v/>
      </c>
      <c r="AX301" s="83" t="str">
        <f t="array" ref="AX301">IFERROR(DGET('SBV Import'!A:G,"SBV",{"RSC ID","Tier";B301,A301}))</f>
        <v/>
      </c>
      <c r="AY301" s="82" t="str">
        <f t="shared" si="2"/>
        <v/>
      </c>
      <c r="AZ301" s="82"/>
      <c r="BA301" s="84" t="s">
        <v>152</v>
      </c>
      <c r="BB301" s="84" t="str">
        <f>IFERROR(__xludf.DUMMYFUNCTION("iferror(if(A301="""",,E301&gt;=FILTER(Constants!$F$2:$F$10,Constants!$A$2:$A$10=A301)))"),"")</f>
        <v/>
      </c>
    </row>
    <row r="3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c r="AI302" s="80"/>
      <c r="AJ302" s="80"/>
      <c r="AK302" s="80"/>
      <c r="AL302" s="80"/>
      <c r="AM302" s="80"/>
      <c r="AN302" s="80"/>
      <c r="AO302" s="80"/>
      <c r="AP302" s="80"/>
      <c r="AQ302" s="80"/>
      <c r="AR302" s="80"/>
      <c r="AS302" s="80"/>
      <c r="AT302" s="80"/>
      <c r="AU302" s="80"/>
      <c r="AV302" s="80"/>
      <c r="AW302" s="82" t="str">
        <f t="shared" si="1"/>
        <v/>
      </c>
      <c r="AX302" s="83" t="str">
        <f t="array" ref="AX302">IFERROR(DGET('SBV Import'!A:G,"SBV",{"RSC ID","Tier";B302,A302}))</f>
        <v/>
      </c>
      <c r="AY302" s="82" t="str">
        <f t="shared" si="2"/>
        <v/>
      </c>
      <c r="AZ302" s="82"/>
      <c r="BA302" s="84" t="s">
        <v>152</v>
      </c>
      <c r="BB302" s="84" t="str">
        <f>IFERROR(__xludf.DUMMYFUNCTION("iferror(if(A302="""",,E302&gt;=FILTER(Constants!$F$2:$F$10,Constants!$A$2:$A$10=A302)))"),"")</f>
        <v/>
      </c>
    </row>
    <row r="303">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c r="AI303" s="80"/>
      <c r="AJ303" s="80"/>
      <c r="AK303" s="80"/>
      <c r="AL303" s="80"/>
      <c r="AM303" s="80"/>
      <c r="AN303" s="80"/>
      <c r="AO303" s="80"/>
      <c r="AP303" s="80"/>
      <c r="AQ303" s="80"/>
      <c r="AR303" s="80"/>
      <c r="AS303" s="80"/>
      <c r="AT303" s="80"/>
      <c r="AU303" s="80"/>
      <c r="AV303" s="80"/>
      <c r="AW303" s="82" t="str">
        <f t="shared" si="1"/>
        <v/>
      </c>
      <c r="AX303" s="83" t="str">
        <f t="array" ref="AX303">IFERROR(DGET('SBV Import'!A:G,"SBV",{"RSC ID","Tier";B303,A303}))</f>
        <v/>
      </c>
      <c r="AY303" s="82" t="str">
        <f t="shared" si="2"/>
        <v/>
      </c>
      <c r="AZ303" s="82"/>
      <c r="BA303" s="84" t="s">
        <v>152</v>
      </c>
      <c r="BB303" s="84" t="str">
        <f>IFERROR(__xludf.DUMMYFUNCTION("iferror(if(A303="""",,E303&gt;=FILTER(Constants!$F$2:$F$10,Constants!$A$2:$A$10=A303)))"),"")</f>
        <v/>
      </c>
    </row>
    <row r="304">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c r="AI304" s="80"/>
      <c r="AJ304" s="80"/>
      <c r="AK304" s="80"/>
      <c r="AL304" s="80"/>
      <c r="AM304" s="80"/>
      <c r="AN304" s="80"/>
      <c r="AO304" s="80"/>
      <c r="AP304" s="80"/>
      <c r="AQ304" s="80"/>
      <c r="AR304" s="80"/>
      <c r="AS304" s="80"/>
      <c r="AT304" s="80"/>
      <c r="AU304" s="80"/>
      <c r="AV304" s="80"/>
      <c r="AW304" s="82" t="str">
        <f t="shared" si="1"/>
        <v/>
      </c>
      <c r="AX304" s="83" t="str">
        <f t="array" ref="AX304">IFERROR(DGET('SBV Import'!A:G,"SBV",{"RSC ID","Tier";B304,A304}))</f>
        <v/>
      </c>
      <c r="AY304" s="82" t="str">
        <f t="shared" si="2"/>
        <v/>
      </c>
      <c r="AZ304" s="82"/>
      <c r="BA304" s="84" t="s">
        <v>152</v>
      </c>
      <c r="BB304" s="84" t="str">
        <f>IFERROR(__xludf.DUMMYFUNCTION("iferror(if(A304="""",,E304&gt;=FILTER(Constants!$F$2:$F$10,Constants!$A$2:$A$10=A304)))"),"")</f>
        <v/>
      </c>
    </row>
    <row r="305">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c r="AI305" s="80"/>
      <c r="AJ305" s="80"/>
      <c r="AK305" s="80"/>
      <c r="AL305" s="80"/>
      <c r="AM305" s="80"/>
      <c r="AN305" s="80"/>
      <c r="AO305" s="80"/>
      <c r="AP305" s="80"/>
      <c r="AQ305" s="80"/>
      <c r="AR305" s="80"/>
      <c r="AS305" s="80"/>
      <c r="AT305" s="80"/>
      <c r="AU305" s="80"/>
      <c r="AV305" s="80"/>
      <c r="AW305" s="82" t="str">
        <f t="shared" si="1"/>
        <v/>
      </c>
      <c r="AX305" s="83" t="str">
        <f t="array" ref="AX305">IFERROR(DGET('SBV Import'!A:G,"SBV",{"RSC ID","Tier";B305,A305}))</f>
        <v/>
      </c>
      <c r="AY305" s="82" t="str">
        <f t="shared" si="2"/>
        <v/>
      </c>
      <c r="AZ305" s="82"/>
      <c r="BA305" s="84" t="s">
        <v>152</v>
      </c>
      <c r="BB305" s="84" t="str">
        <f>IFERROR(__xludf.DUMMYFUNCTION("iferror(if(A305="""",,E305&gt;=FILTER(Constants!$F$2:$F$10,Constants!$A$2:$A$10=A305)))"),"")</f>
        <v/>
      </c>
    </row>
    <row r="306">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c r="AI306" s="80"/>
      <c r="AJ306" s="80"/>
      <c r="AK306" s="80"/>
      <c r="AL306" s="80"/>
      <c r="AM306" s="80"/>
      <c r="AN306" s="80"/>
      <c r="AO306" s="80"/>
      <c r="AP306" s="80"/>
      <c r="AQ306" s="80"/>
      <c r="AR306" s="80"/>
      <c r="AS306" s="80"/>
      <c r="AT306" s="80"/>
      <c r="AU306" s="80"/>
      <c r="AV306" s="80"/>
      <c r="AW306" s="82" t="str">
        <f t="shared" si="1"/>
        <v/>
      </c>
      <c r="AX306" s="83" t="str">
        <f t="array" ref="AX306">IFERROR(DGET('SBV Import'!A:G,"SBV",{"RSC ID","Tier";B306,A306}))</f>
        <v/>
      </c>
      <c r="AY306" s="82" t="str">
        <f t="shared" si="2"/>
        <v/>
      </c>
      <c r="AZ306" s="82"/>
      <c r="BA306" s="84" t="s">
        <v>152</v>
      </c>
      <c r="BB306" s="84" t="str">
        <f>IFERROR(__xludf.DUMMYFUNCTION("iferror(if(A306="""",,E306&gt;=FILTER(Constants!$F$2:$F$10,Constants!$A$2:$A$10=A306)))"),"")</f>
        <v/>
      </c>
    </row>
    <row r="307">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c r="AI307" s="80"/>
      <c r="AJ307" s="80"/>
      <c r="AK307" s="80"/>
      <c r="AL307" s="80"/>
      <c r="AM307" s="80"/>
      <c r="AN307" s="80"/>
      <c r="AO307" s="80"/>
      <c r="AP307" s="80"/>
      <c r="AQ307" s="80"/>
      <c r="AR307" s="80"/>
      <c r="AS307" s="80"/>
      <c r="AT307" s="80"/>
      <c r="AU307" s="80"/>
      <c r="AV307" s="80"/>
      <c r="AW307" s="82" t="str">
        <f t="shared" si="1"/>
        <v/>
      </c>
      <c r="AX307" s="83" t="str">
        <f t="array" ref="AX307">IFERROR(DGET('SBV Import'!A:G,"SBV",{"RSC ID","Tier";B307,A307}))</f>
        <v/>
      </c>
      <c r="AY307" s="82" t="str">
        <f t="shared" si="2"/>
        <v/>
      </c>
      <c r="AZ307" s="82"/>
      <c r="BA307" s="84" t="s">
        <v>152</v>
      </c>
      <c r="BB307" s="84" t="str">
        <f>IFERROR(__xludf.DUMMYFUNCTION("iferror(if(A307="""",,E307&gt;=FILTER(Constants!$F$2:$F$10,Constants!$A$2:$A$10=A307)))"),"")</f>
        <v/>
      </c>
    </row>
    <row r="308">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c r="AI308" s="80"/>
      <c r="AJ308" s="80"/>
      <c r="AK308" s="80"/>
      <c r="AL308" s="80"/>
      <c r="AM308" s="80"/>
      <c r="AN308" s="80"/>
      <c r="AO308" s="80"/>
      <c r="AP308" s="80"/>
      <c r="AQ308" s="80"/>
      <c r="AR308" s="80"/>
      <c r="AS308" s="80"/>
      <c r="AT308" s="80"/>
      <c r="AU308" s="80"/>
      <c r="AV308" s="80"/>
      <c r="AW308" s="82" t="str">
        <f t="shared" si="1"/>
        <v/>
      </c>
      <c r="AX308" s="83" t="str">
        <f t="array" ref="AX308">IFERROR(DGET('SBV Import'!A:G,"SBV",{"RSC ID","Tier";B308,A308}))</f>
        <v/>
      </c>
      <c r="AY308" s="82" t="str">
        <f t="shared" si="2"/>
        <v/>
      </c>
      <c r="AZ308" s="82"/>
      <c r="BA308" s="84" t="s">
        <v>152</v>
      </c>
      <c r="BB308" s="84" t="str">
        <f>IFERROR(__xludf.DUMMYFUNCTION("iferror(if(A308="""",,E308&gt;=FILTER(Constants!$F$2:$F$10,Constants!$A$2:$A$10=A308)))"),"")</f>
        <v/>
      </c>
    </row>
    <row r="309">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c r="AI309" s="80"/>
      <c r="AJ309" s="80"/>
      <c r="AK309" s="80"/>
      <c r="AL309" s="80"/>
      <c r="AM309" s="80"/>
      <c r="AN309" s="80"/>
      <c r="AO309" s="80"/>
      <c r="AP309" s="80"/>
      <c r="AQ309" s="80"/>
      <c r="AR309" s="80"/>
      <c r="AS309" s="80"/>
      <c r="AT309" s="80"/>
      <c r="AU309" s="80"/>
      <c r="AV309" s="80"/>
      <c r="AW309" s="82" t="str">
        <f t="shared" si="1"/>
        <v/>
      </c>
      <c r="AX309" s="83" t="str">
        <f t="array" ref="AX309">IFERROR(DGET('SBV Import'!A:G,"SBV",{"RSC ID","Tier";B309,A309}))</f>
        <v/>
      </c>
      <c r="AY309" s="82" t="str">
        <f t="shared" si="2"/>
        <v/>
      </c>
      <c r="AZ309" s="82"/>
      <c r="BA309" s="84" t="s">
        <v>152</v>
      </c>
      <c r="BB309" s="84" t="str">
        <f>IFERROR(__xludf.DUMMYFUNCTION("iferror(if(A309="""",,E309&gt;=FILTER(Constants!$F$2:$F$10,Constants!$A$2:$A$10=A309)))"),"")</f>
        <v/>
      </c>
    </row>
    <row r="310">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c r="AI310" s="80"/>
      <c r="AJ310" s="80"/>
      <c r="AK310" s="80"/>
      <c r="AL310" s="80"/>
      <c r="AM310" s="80"/>
      <c r="AN310" s="80"/>
      <c r="AO310" s="80"/>
      <c r="AP310" s="80"/>
      <c r="AQ310" s="80"/>
      <c r="AR310" s="80"/>
      <c r="AS310" s="80"/>
      <c r="AT310" s="80"/>
      <c r="AU310" s="80"/>
      <c r="AV310" s="80"/>
      <c r="AW310" s="82" t="str">
        <f t="shared" si="1"/>
        <v/>
      </c>
      <c r="AX310" s="83" t="str">
        <f t="array" ref="AX310">IFERROR(DGET('SBV Import'!A:G,"SBV",{"RSC ID","Tier";B310,A310}))</f>
        <v/>
      </c>
      <c r="AY310" s="82" t="str">
        <f t="shared" si="2"/>
        <v/>
      </c>
      <c r="AZ310" s="82"/>
      <c r="BA310" s="84" t="s">
        <v>152</v>
      </c>
      <c r="BB310" s="84" t="str">
        <f>IFERROR(__xludf.DUMMYFUNCTION("iferror(if(A310="""",,E310&gt;=FILTER(Constants!$F$2:$F$10,Constants!$A$2:$A$10=A310)))"),"")</f>
        <v/>
      </c>
    </row>
    <row r="31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c r="AI311" s="80"/>
      <c r="AJ311" s="80"/>
      <c r="AK311" s="80"/>
      <c r="AL311" s="80"/>
      <c r="AM311" s="80"/>
      <c r="AN311" s="80"/>
      <c r="AO311" s="80"/>
      <c r="AP311" s="80"/>
      <c r="AQ311" s="80"/>
      <c r="AR311" s="80"/>
      <c r="AS311" s="80"/>
      <c r="AT311" s="80"/>
      <c r="AU311" s="80"/>
      <c r="AV311" s="80"/>
      <c r="AW311" s="82" t="str">
        <f t="shared" si="1"/>
        <v/>
      </c>
      <c r="AX311" s="83" t="str">
        <f t="array" ref="AX311">IFERROR(DGET('SBV Import'!A:G,"SBV",{"RSC ID","Tier";B311,A311}))</f>
        <v/>
      </c>
      <c r="AY311" s="82" t="str">
        <f t="shared" si="2"/>
        <v/>
      </c>
      <c r="AZ311" s="82"/>
      <c r="BA311" s="84" t="s">
        <v>152</v>
      </c>
      <c r="BB311" s="84" t="str">
        <f>IFERROR(__xludf.DUMMYFUNCTION("iferror(if(A311="""",,E311&gt;=FILTER(Constants!$F$2:$F$10,Constants!$A$2:$A$10=A311)))"),"")</f>
        <v/>
      </c>
    </row>
    <row r="31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c r="AI312" s="80"/>
      <c r="AJ312" s="80"/>
      <c r="AK312" s="80"/>
      <c r="AL312" s="80"/>
      <c r="AM312" s="80"/>
      <c r="AN312" s="80"/>
      <c r="AO312" s="80"/>
      <c r="AP312" s="80"/>
      <c r="AQ312" s="80"/>
      <c r="AR312" s="80"/>
      <c r="AS312" s="80"/>
      <c r="AT312" s="80"/>
      <c r="AU312" s="80"/>
      <c r="AV312" s="80"/>
      <c r="AW312" s="82" t="str">
        <f t="shared" si="1"/>
        <v/>
      </c>
      <c r="AX312" s="83" t="str">
        <f t="array" ref="AX312">IFERROR(DGET('SBV Import'!A:G,"SBV",{"RSC ID","Tier";B312,A312}))</f>
        <v/>
      </c>
      <c r="AY312" s="82" t="str">
        <f t="shared" si="2"/>
        <v/>
      </c>
      <c r="AZ312" s="82"/>
      <c r="BA312" s="84" t="s">
        <v>152</v>
      </c>
      <c r="BB312" s="84" t="str">
        <f>IFERROR(__xludf.DUMMYFUNCTION("iferror(if(A312="""",,E312&gt;=FILTER(Constants!$F$2:$F$10,Constants!$A$2:$A$10=A312)))"),"")</f>
        <v/>
      </c>
    </row>
    <row r="313">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c r="AI313" s="80"/>
      <c r="AJ313" s="80"/>
      <c r="AK313" s="80"/>
      <c r="AL313" s="80"/>
      <c r="AM313" s="80"/>
      <c r="AN313" s="80"/>
      <c r="AO313" s="80"/>
      <c r="AP313" s="80"/>
      <c r="AQ313" s="80"/>
      <c r="AR313" s="80"/>
      <c r="AS313" s="80"/>
      <c r="AT313" s="80"/>
      <c r="AU313" s="80"/>
      <c r="AV313" s="80"/>
      <c r="AW313" s="82" t="str">
        <f t="shared" si="1"/>
        <v/>
      </c>
      <c r="AX313" s="83" t="str">
        <f t="array" ref="AX313">IFERROR(DGET('SBV Import'!A:G,"SBV",{"RSC ID","Tier";B313,A313}))</f>
        <v/>
      </c>
      <c r="AY313" s="82" t="str">
        <f t="shared" si="2"/>
        <v/>
      </c>
      <c r="AZ313" s="82"/>
      <c r="BA313" s="84" t="s">
        <v>152</v>
      </c>
      <c r="BB313" s="84" t="str">
        <f>IFERROR(__xludf.DUMMYFUNCTION("iferror(if(A313="""",,E313&gt;=FILTER(Constants!$F$2:$F$10,Constants!$A$2:$A$10=A313)))"),"")</f>
        <v/>
      </c>
    </row>
    <row r="314">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c r="AI314" s="80"/>
      <c r="AJ314" s="80"/>
      <c r="AK314" s="80"/>
      <c r="AL314" s="80"/>
      <c r="AM314" s="80"/>
      <c r="AN314" s="80"/>
      <c r="AO314" s="80"/>
      <c r="AP314" s="80"/>
      <c r="AQ314" s="80"/>
      <c r="AR314" s="80"/>
      <c r="AS314" s="80"/>
      <c r="AT314" s="80"/>
      <c r="AU314" s="80"/>
      <c r="AV314" s="80"/>
      <c r="AW314" s="82" t="str">
        <f t="shared" si="1"/>
        <v/>
      </c>
      <c r="AX314" s="83" t="str">
        <f t="array" ref="AX314">IFERROR(DGET('SBV Import'!A:G,"SBV",{"RSC ID","Tier";B314,A314}))</f>
        <v/>
      </c>
      <c r="AY314" s="82" t="str">
        <f t="shared" si="2"/>
        <v/>
      </c>
      <c r="AZ314" s="82"/>
      <c r="BA314" s="84" t="s">
        <v>152</v>
      </c>
      <c r="BB314" s="84" t="str">
        <f>IFERROR(__xludf.DUMMYFUNCTION("iferror(if(A314="""",,E314&gt;=FILTER(Constants!$F$2:$F$10,Constants!$A$2:$A$10=A314)))"),"")</f>
        <v/>
      </c>
    </row>
    <row r="315">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c r="AI315" s="80"/>
      <c r="AJ315" s="80"/>
      <c r="AK315" s="80"/>
      <c r="AL315" s="80"/>
      <c r="AM315" s="80"/>
      <c r="AN315" s="80"/>
      <c r="AO315" s="80"/>
      <c r="AP315" s="80"/>
      <c r="AQ315" s="80"/>
      <c r="AR315" s="80"/>
      <c r="AS315" s="80"/>
      <c r="AT315" s="80"/>
      <c r="AU315" s="80"/>
      <c r="AV315" s="80"/>
      <c r="AW315" s="82" t="str">
        <f t="shared" si="1"/>
        <v/>
      </c>
      <c r="AX315" s="83" t="str">
        <f t="array" ref="AX315">IFERROR(DGET('SBV Import'!A:G,"SBV",{"RSC ID","Tier";B315,A315}))</f>
        <v/>
      </c>
      <c r="AY315" s="82" t="str">
        <f t="shared" si="2"/>
        <v/>
      </c>
      <c r="AZ315" s="82"/>
      <c r="BA315" s="84" t="s">
        <v>152</v>
      </c>
      <c r="BB315" s="84" t="str">
        <f>IFERROR(__xludf.DUMMYFUNCTION("iferror(if(A315="""",,E315&gt;=FILTER(Constants!$F$2:$F$10,Constants!$A$2:$A$10=A315)))"),"")</f>
        <v/>
      </c>
    </row>
    <row r="316">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c r="AI316" s="80"/>
      <c r="AJ316" s="80"/>
      <c r="AK316" s="80"/>
      <c r="AL316" s="80"/>
      <c r="AM316" s="80"/>
      <c r="AN316" s="80"/>
      <c r="AO316" s="80"/>
      <c r="AP316" s="80"/>
      <c r="AQ316" s="80"/>
      <c r="AR316" s="80"/>
      <c r="AS316" s="80"/>
      <c r="AT316" s="80"/>
      <c r="AU316" s="80"/>
      <c r="AV316" s="80"/>
      <c r="AW316" s="82" t="str">
        <f t="shared" si="1"/>
        <v/>
      </c>
      <c r="AX316" s="83" t="str">
        <f t="array" ref="AX316">IFERROR(DGET('SBV Import'!A:G,"SBV",{"RSC ID","Tier";B316,A316}))</f>
        <v/>
      </c>
      <c r="AY316" s="82" t="str">
        <f t="shared" si="2"/>
        <v/>
      </c>
      <c r="AZ316" s="82"/>
      <c r="BA316" s="84" t="s">
        <v>152</v>
      </c>
      <c r="BB316" s="84" t="str">
        <f>IFERROR(__xludf.DUMMYFUNCTION("iferror(if(A316="""",,E316&gt;=FILTER(Constants!$F$2:$F$10,Constants!$A$2:$A$10=A316)))"),"")</f>
        <v/>
      </c>
    </row>
    <row r="317">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c r="AI317" s="80"/>
      <c r="AJ317" s="80"/>
      <c r="AK317" s="80"/>
      <c r="AL317" s="80"/>
      <c r="AM317" s="80"/>
      <c r="AN317" s="80"/>
      <c r="AO317" s="80"/>
      <c r="AP317" s="80"/>
      <c r="AQ317" s="80"/>
      <c r="AR317" s="80"/>
      <c r="AS317" s="80"/>
      <c r="AT317" s="80"/>
      <c r="AU317" s="80"/>
      <c r="AV317" s="80"/>
      <c r="AW317" s="82" t="str">
        <f t="shared" si="1"/>
        <v/>
      </c>
      <c r="AX317" s="83" t="str">
        <f t="array" ref="AX317">IFERROR(DGET('SBV Import'!A:G,"SBV",{"RSC ID","Tier";B317,A317}))</f>
        <v/>
      </c>
      <c r="AY317" s="82" t="str">
        <f t="shared" si="2"/>
        <v/>
      </c>
      <c r="AZ317" s="82"/>
      <c r="BA317" s="84" t="s">
        <v>152</v>
      </c>
      <c r="BB317" s="84" t="str">
        <f>IFERROR(__xludf.DUMMYFUNCTION("iferror(if(A317="""",,E317&gt;=FILTER(Constants!$F$2:$F$10,Constants!$A$2:$A$10=A317)))"),"")</f>
        <v/>
      </c>
    </row>
    <row r="318">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c r="AI318" s="80"/>
      <c r="AJ318" s="80"/>
      <c r="AK318" s="80"/>
      <c r="AL318" s="80"/>
      <c r="AM318" s="80"/>
      <c r="AN318" s="80"/>
      <c r="AO318" s="80"/>
      <c r="AP318" s="80"/>
      <c r="AQ318" s="80"/>
      <c r="AR318" s="80"/>
      <c r="AS318" s="80"/>
      <c r="AT318" s="80"/>
      <c r="AU318" s="80"/>
      <c r="AV318" s="80"/>
      <c r="AW318" s="82" t="str">
        <f t="shared" si="1"/>
        <v/>
      </c>
      <c r="AX318" s="83" t="str">
        <f t="array" ref="AX318">IFERROR(DGET('SBV Import'!A:G,"SBV",{"RSC ID","Tier";B318,A318}))</f>
        <v/>
      </c>
      <c r="AY318" s="82" t="str">
        <f t="shared" si="2"/>
        <v/>
      </c>
      <c r="AZ318" s="82"/>
      <c r="BA318" s="84" t="s">
        <v>152</v>
      </c>
      <c r="BB318" s="84" t="str">
        <f>IFERROR(__xludf.DUMMYFUNCTION("iferror(if(A318="""",,E318&gt;=FILTER(Constants!$F$2:$F$10,Constants!$A$2:$A$10=A318)))"),"")</f>
        <v/>
      </c>
    </row>
    <row r="319">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c r="AI319" s="80"/>
      <c r="AJ319" s="80"/>
      <c r="AK319" s="80"/>
      <c r="AL319" s="80"/>
      <c r="AM319" s="80"/>
      <c r="AN319" s="80"/>
      <c r="AO319" s="80"/>
      <c r="AP319" s="80"/>
      <c r="AQ319" s="80"/>
      <c r="AR319" s="80"/>
      <c r="AS319" s="80"/>
      <c r="AT319" s="80"/>
      <c r="AU319" s="80"/>
      <c r="AV319" s="80"/>
      <c r="AW319" s="82" t="str">
        <f t="shared" si="1"/>
        <v/>
      </c>
      <c r="AX319" s="83" t="str">
        <f t="array" ref="AX319">IFERROR(DGET('SBV Import'!A:G,"SBV",{"RSC ID","Tier";B319,A319}))</f>
        <v/>
      </c>
      <c r="AY319" s="82" t="str">
        <f t="shared" si="2"/>
        <v/>
      </c>
      <c r="AZ319" s="82"/>
      <c r="BA319" s="84" t="s">
        <v>152</v>
      </c>
      <c r="BB319" s="84" t="str">
        <f>IFERROR(__xludf.DUMMYFUNCTION("iferror(if(A319="""",,E319&gt;=FILTER(Constants!$F$2:$F$10,Constants!$A$2:$A$10=A319)))"),"")</f>
        <v/>
      </c>
    </row>
    <row r="320">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c r="AI320" s="80"/>
      <c r="AJ320" s="80"/>
      <c r="AK320" s="80"/>
      <c r="AL320" s="80"/>
      <c r="AM320" s="80"/>
      <c r="AN320" s="80"/>
      <c r="AO320" s="80"/>
      <c r="AP320" s="80"/>
      <c r="AQ320" s="80"/>
      <c r="AR320" s="80"/>
      <c r="AS320" s="80"/>
      <c r="AT320" s="80"/>
      <c r="AU320" s="80"/>
      <c r="AV320" s="80"/>
      <c r="AW320" s="82" t="str">
        <f t="shared" si="1"/>
        <v/>
      </c>
      <c r="AX320" s="83" t="str">
        <f t="array" ref="AX320">IFERROR(DGET('SBV Import'!A:G,"SBV",{"RSC ID","Tier";B320,A320}))</f>
        <v/>
      </c>
      <c r="AY320" s="82" t="str">
        <f t="shared" si="2"/>
        <v/>
      </c>
      <c r="AZ320" s="82"/>
      <c r="BA320" s="84" t="s">
        <v>152</v>
      </c>
      <c r="BB320" s="84" t="str">
        <f>IFERROR(__xludf.DUMMYFUNCTION("iferror(if(A320="""",,E320&gt;=FILTER(Constants!$F$2:$F$10,Constants!$A$2:$A$10=A320)))"),"")</f>
        <v/>
      </c>
    </row>
    <row r="32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c r="AI321" s="80"/>
      <c r="AJ321" s="80"/>
      <c r="AK321" s="80"/>
      <c r="AL321" s="80"/>
      <c r="AM321" s="80"/>
      <c r="AN321" s="80"/>
      <c r="AO321" s="80"/>
      <c r="AP321" s="80"/>
      <c r="AQ321" s="80"/>
      <c r="AR321" s="80"/>
      <c r="AS321" s="80"/>
      <c r="AT321" s="80"/>
      <c r="AU321" s="80"/>
      <c r="AV321" s="80"/>
      <c r="AW321" s="82" t="str">
        <f t="shared" si="1"/>
        <v/>
      </c>
      <c r="AX321" s="83" t="str">
        <f t="array" ref="AX321">IFERROR(DGET('SBV Import'!A:G,"SBV",{"RSC ID","Tier";B321,A321}))</f>
        <v/>
      </c>
      <c r="AY321" s="82" t="str">
        <f t="shared" si="2"/>
        <v/>
      </c>
      <c r="AZ321" s="82"/>
      <c r="BA321" s="84" t="s">
        <v>152</v>
      </c>
      <c r="BB321" s="84" t="str">
        <f>IFERROR(__xludf.DUMMYFUNCTION("iferror(if(A321="""",,E321&gt;=FILTER(Constants!$F$2:$F$10,Constants!$A$2:$A$10=A321)))"),"")</f>
        <v/>
      </c>
    </row>
    <row r="32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c r="AJ322" s="80"/>
      <c r="AK322" s="80"/>
      <c r="AL322" s="80"/>
      <c r="AM322" s="80"/>
      <c r="AN322" s="80"/>
      <c r="AO322" s="80"/>
      <c r="AP322" s="80"/>
      <c r="AQ322" s="80"/>
      <c r="AR322" s="80"/>
      <c r="AS322" s="80"/>
      <c r="AT322" s="80"/>
      <c r="AU322" s="80"/>
      <c r="AV322" s="80"/>
      <c r="AW322" s="82" t="str">
        <f t="shared" si="1"/>
        <v/>
      </c>
      <c r="AX322" s="83" t="str">
        <f t="array" ref="AX322">IFERROR(DGET('SBV Import'!A:G,"SBV",{"RSC ID","Tier";B322,A322}))</f>
        <v/>
      </c>
      <c r="AY322" s="82" t="str">
        <f t="shared" si="2"/>
        <v/>
      </c>
      <c r="AZ322" s="82"/>
      <c r="BA322" s="84" t="s">
        <v>152</v>
      </c>
      <c r="BB322" s="84" t="str">
        <f>IFERROR(__xludf.DUMMYFUNCTION("iferror(if(A322="""",,E322&gt;=FILTER(Constants!$F$2:$F$10,Constants!$A$2:$A$10=A322)))"),"")</f>
        <v/>
      </c>
    </row>
    <row r="323">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c r="AJ323" s="80"/>
      <c r="AK323" s="80"/>
      <c r="AL323" s="80"/>
      <c r="AM323" s="80"/>
      <c r="AN323" s="80"/>
      <c r="AO323" s="80"/>
      <c r="AP323" s="80"/>
      <c r="AQ323" s="80"/>
      <c r="AR323" s="80"/>
      <c r="AS323" s="80"/>
      <c r="AT323" s="80"/>
      <c r="AU323" s="80"/>
      <c r="AV323" s="80"/>
      <c r="AW323" s="82" t="str">
        <f t="shared" si="1"/>
        <v/>
      </c>
      <c r="AX323" s="83" t="str">
        <f t="array" ref="AX323">IFERROR(DGET('SBV Import'!A:G,"SBV",{"RSC ID","Tier";B323,A323}))</f>
        <v/>
      </c>
      <c r="AY323" s="82" t="str">
        <f t="shared" si="2"/>
        <v/>
      </c>
      <c r="AZ323" s="82"/>
      <c r="BA323" s="84" t="s">
        <v>152</v>
      </c>
      <c r="BB323" s="84" t="str">
        <f>IFERROR(__xludf.DUMMYFUNCTION("iferror(if(A323="""",,E323&gt;=FILTER(Constants!$F$2:$F$10,Constants!$A$2:$A$10=A323)))"),"")</f>
        <v/>
      </c>
    </row>
    <row r="324">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c r="AJ324" s="80"/>
      <c r="AK324" s="80"/>
      <c r="AL324" s="80"/>
      <c r="AM324" s="80"/>
      <c r="AN324" s="80"/>
      <c r="AO324" s="80"/>
      <c r="AP324" s="80"/>
      <c r="AQ324" s="80"/>
      <c r="AR324" s="80"/>
      <c r="AS324" s="80"/>
      <c r="AT324" s="80"/>
      <c r="AU324" s="80"/>
      <c r="AV324" s="80"/>
      <c r="AW324" s="82" t="str">
        <f t="shared" si="1"/>
        <v/>
      </c>
      <c r="AX324" s="83" t="str">
        <f t="array" ref="AX324">IFERROR(DGET('SBV Import'!A:G,"SBV",{"RSC ID","Tier";B324,A324}))</f>
        <v/>
      </c>
      <c r="AY324" s="82" t="str">
        <f t="shared" si="2"/>
        <v/>
      </c>
      <c r="AZ324" s="82"/>
      <c r="BA324" s="84" t="s">
        <v>152</v>
      </c>
      <c r="BB324" s="84" t="str">
        <f>IFERROR(__xludf.DUMMYFUNCTION("iferror(if(A324="""",,E324&gt;=FILTER(Constants!$F$2:$F$10,Constants!$A$2:$A$10=A324)))"),"")</f>
        <v/>
      </c>
    </row>
    <row r="325">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c r="AI325" s="80"/>
      <c r="AJ325" s="80"/>
      <c r="AK325" s="80"/>
      <c r="AL325" s="80"/>
      <c r="AM325" s="80"/>
      <c r="AN325" s="80"/>
      <c r="AO325" s="80"/>
      <c r="AP325" s="80"/>
      <c r="AQ325" s="80"/>
      <c r="AR325" s="80"/>
      <c r="AS325" s="80"/>
      <c r="AT325" s="80"/>
      <c r="AU325" s="80"/>
      <c r="AV325" s="80"/>
      <c r="AW325" s="82" t="str">
        <f t="shared" si="1"/>
        <v/>
      </c>
      <c r="AX325" s="83" t="str">
        <f t="array" ref="AX325">IFERROR(DGET('SBV Import'!A:G,"SBV",{"RSC ID","Tier";B325,A325}))</f>
        <v/>
      </c>
      <c r="AY325" s="82" t="str">
        <f t="shared" si="2"/>
        <v/>
      </c>
      <c r="AZ325" s="82"/>
      <c r="BA325" s="84" t="s">
        <v>152</v>
      </c>
      <c r="BB325" s="84" t="str">
        <f>IFERROR(__xludf.DUMMYFUNCTION("iferror(if(A325="""",,E325&gt;=FILTER(Constants!$F$2:$F$10,Constants!$A$2:$A$10=A325)))"),"")</f>
        <v/>
      </c>
    </row>
    <row r="326">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c r="AI326" s="80"/>
      <c r="AJ326" s="80"/>
      <c r="AK326" s="80"/>
      <c r="AL326" s="80"/>
      <c r="AM326" s="80"/>
      <c r="AN326" s="80"/>
      <c r="AO326" s="80"/>
      <c r="AP326" s="80"/>
      <c r="AQ326" s="80"/>
      <c r="AR326" s="80"/>
      <c r="AS326" s="80"/>
      <c r="AT326" s="80"/>
      <c r="AU326" s="80"/>
      <c r="AV326" s="80"/>
      <c r="AW326" s="82" t="str">
        <f t="shared" si="1"/>
        <v/>
      </c>
      <c r="AX326" s="83" t="str">
        <f t="array" ref="AX326">IFERROR(DGET('SBV Import'!A:G,"SBV",{"RSC ID","Tier";B326,A326}))</f>
        <v/>
      </c>
      <c r="AY326" s="82" t="str">
        <f t="shared" si="2"/>
        <v/>
      </c>
      <c r="AZ326" s="82"/>
      <c r="BA326" s="84" t="s">
        <v>152</v>
      </c>
      <c r="BB326" s="84" t="str">
        <f>IFERROR(__xludf.DUMMYFUNCTION("iferror(if(A326="""",,E326&gt;=FILTER(Constants!$F$2:$F$10,Constants!$A$2:$A$10=A326)))"),"")</f>
        <v/>
      </c>
    </row>
    <row r="327">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c r="AI327" s="80"/>
      <c r="AJ327" s="80"/>
      <c r="AK327" s="80"/>
      <c r="AL327" s="80"/>
      <c r="AM327" s="80"/>
      <c r="AN327" s="80"/>
      <c r="AO327" s="80"/>
      <c r="AP327" s="80"/>
      <c r="AQ327" s="80"/>
      <c r="AR327" s="80"/>
      <c r="AS327" s="80"/>
      <c r="AT327" s="80"/>
      <c r="AU327" s="80"/>
      <c r="AV327" s="80"/>
      <c r="AW327" s="82" t="str">
        <f t="shared" si="1"/>
        <v/>
      </c>
      <c r="AX327" s="83" t="str">
        <f t="array" ref="AX327">IFERROR(DGET('SBV Import'!A:G,"SBV",{"RSC ID","Tier";B327,A327}))</f>
        <v/>
      </c>
      <c r="AY327" s="82" t="str">
        <f t="shared" si="2"/>
        <v/>
      </c>
      <c r="AZ327" s="82"/>
      <c r="BA327" s="84" t="s">
        <v>152</v>
      </c>
      <c r="BB327" s="84" t="str">
        <f>IFERROR(__xludf.DUMMYFUNCTION("iferror(if(A327="""",,E327&gt;=FILTER(Constants!$F$2:$F$10,Constants!$A$2:$A$10=A327)))"),"")</f>
        <v/>
      </c>
    </row>
    <row r="328">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c r="AI328" s="80"/>
      <c r="AJ328" s="80"/>
      <c r="AK328" s="80"/>
      <c r="AL328" s="80"/>
      <c r="AM328" s="80"/>
      <c r="AN328" s="80"/>
      <c r="AO328" s="80"/>
      <c r="AP328" s="80"/>
      <c r="AQ328" s="80"/>
      <c r="AR328" s="80"/>
      <c r="AS328" s="80"/>
      <c r="AT328" s="80"/>
      <c r="AU328" s="80"/>
      <c r="AV328" s="80"/>
      <c r="AW328" s="82" t="str">
        <f t="shared" si="1"/>
        <v/>
      </c>
      <c r="AX328" s="83" t="str">
        <f t="array" ref="AX328">IFERROR(DGET('SBV Import'!A:G,"SBV",{"RSC ID","Tier";B328,A328}))</f>
        <v/>
      </c>
      <c r="AY328" s="82" t="str">
        <f t="shared" si="2"/>
        <v/>
      </c>
      <c r="AZ328" s="82"/>
      <c r="BA328" s="84" t="s">
        <v>152</v>
      </c>
      <c r="BB328" s="84" t="str">
        <f>IFERROR(__xludf.DUMMYFUNCTION("iferror(if(A328="""",,E328&gt;=FILTER(Constants!$F$2:$F$10,Constants!$A$2:$A$10=A328)))"),"")</f>
        <v/>
      </c>
    </row>
    <row r="329">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c r="AI329" s="80"/>
      <c r="AJ329" s="80"/>
      <c r="AK329" s="80"/>
      <c r="AL329" s="80"/>
      <c r="AM329" s="80"/>
      <c r="AN329" s="80"/>
      <c r="AO329" s="80"/>
      <c r="AP329" s="80"/>
      <c r="AQ329" s="80"/>
      <c r="AR329" s="80"/>
      <c r="AS329" s="80"/>
      <c r="AT329" s="80"/>
      <c r="AU329" s="80"/>
      <c r="AV329" s="80"/>
      <c r="AW329" s="82" t="str">
        <f t="shared" si="1"/>
        <v/>
      </c>
      <c r="AX329" s="83" t="str">
        <f t="array" ref="AX329">IFERROR(DGET('SBV Import'!A:G,"SBV",{"RSC ID","Tier";B329,A329}))</f>
        <v/>
      </c>
      <c r="AY329" s="82" t="str">
        <f t="shared" si="2"/>
        <v/>
      </c>
      <c r="AZ329" s="82"/>
      <c r="BA329" s="84" t="s">
        <v>152</v>
      </c>
      <c r="BB329" s="84" t="str">
        <f>IFERROR(__xludf.DUMMYFUNCTION("iferror(if(A329="""",,E329&gt;=FILTER(Constants!$F$2:$F$10,Constants!$A$2:$A$10=A329)))"),"")</f>
        <v/>
      </c>
    </row>
    <row r="330">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c r="AI330" s="80"/>
      <c r="AJ330" s="80"/>
      <c r="AK330" s="80"/>
      <c r="AL330" s="80"/>
      <c r="AM330" s="80"/>
      <c r="AN330" s="80"/>
      <c r="AO330" s="80"/>
      <c r="AP330" s="80"/>
      <c r="AQ330" s="80"/>
      <c r="AR330" s="80"/>
      <c r="AS330" s="80"/>
      <c r="AT330" s="80"/>
      <c r="AU330" s="80"/>
      <c r="AV330" s="80"/>
      <c r="AW330" s="82" t="str">
        <f t="shared" si="1"/>
        <v/>
      </c>
      <c r="AX330" s="83" t="str">
        <f t="array" ref="AX330">IFERROR(DGET('SBV Import'!A:G,"SBV",{"RSC ID","Tier";B330,A330}))</f>
        <v/>
      </c>
      <c r="AY330" s="82" t="str">
        <f t="shared" si="2"/>
        <v/>
      </c>
      <c r="AZ330" s="82"/>
      <c r="BA330" s="84" t="s">
        <v>152</v>
      </c>
      <c r="BB330" s="84" t="str">
        <f>IFERROR(__xludf.DUMMYFUNCTION("iferror(if(A330="""",,E330&gt;=FILTER(Constants!$F$2:$F$10,Constants!$A$2:$A$10=A330)))"),"")</f>
        <v/>
      </c>
    </row>
    <row r="33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c r="AI331" s="80"/>
      <c r="AJ331" s="80"/>
      <c r="AK331" s="80"/>
      <c r="AL331" s="80"/>
      <c r="AM331" s="80"/>
      <c r="AN331" s="80"/>
      <c r="AO331" s="80"/>
      <c r="AP331" s="80"/>
      <c r="AQ331" s="80"/>
      <c r="AR331" s="80"/>
      <c r="AS331" s="80"/>
      <c r="AT331" s="80"/>
      <c r="AU331" s="80"/>
      <c r="AV331" s="80"/>
      <c r="AW331" s="82" t="str">
        <f t="shared" si="1"/>
        <v/>
      </c>
      <c r="AX331" s="83" t="str">
        <f t="array" ref="AX331">IFERROR(DGET('SBV Import'!A:G,"SBV",{"RSC ID","Tier";B331,A331}))</f>
        <v/>
      </c>
      <c r="AY331" s="82" t="str">
        <f t="shared" si="2"/>
        <v/>
      </c>
      <c r="AZ331" s="82"/>
      <c r="BA331" s="84" t="s">
        <v>152</v>
      </c>
      <c r="BB331" s="84" t="str">
        <f>IFERROR(__xludf.DUMMYFUNCTION("iferror(if(A331="""",,E331&gt;=FILTER(Constants!$F$2:$F$10,Constants!$A$2:$A$10=A331)))"),"")</f>
        <v/>
      </c>
    </row>
    <row r="33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c r="AI332" s="80"/>
      <c r="AJ332" s="80"/>
      <c r="AK332" s="80"/>
      <c r="AL332" s="80"/>
      <c r="AM332" s="80"/>
      <c r="AN332" s="80"/>
      <c r="AO332" s="80"/>
      <c r="AP332" s="80"/>
      <c r="AQ332" s="80"/>
      <c r="AR332" s="80"/>
      <c r="AS332" s="80"/>
      <c r="AT332" s="80"/>
      <c r="AU332" s="80"/>
      <c r="AV332" s="80"/>
      <c r="AW332" s="82" t="str">
        <f t="shared" si="1"/>
        <v/>
      </c>
      <c r="AX332" s="83" t="str">
        <f t="array" ref="AX332">IFERROR(DGET('SBV Import'!A:G,"SBV",{"RSC ID","Tier";B332,A332}))</f>
        <v/>
      </c>
      <c r="AY332" s="82" t="str">
        <f t="shared" si="2"/>
        <v/>
      </c>
      <c r="AZ332" s="82"/>
      <c r="BA332" s="84" t="s">
        <v>152</v>
      </c>
      <c r="BB332" s="84" t="str">
        <f>IFERROR(__xludf.DUMMYFUNCTION("iferror(if(A332="""",,E332&gt;=FILTER(Constants!$F$2:$F$10,Constants!$A$2:$A$10=A332)))"),"")</f>
        <v/>
      </c>
    </row>
    <row r="333">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c r="AI333" s="80"/>
      <c r="AJ333" s="80"/>
      <c r="AK333" s="80"/>
      <c r="AL333" s="80"/>
      <c r="AM333" s="80"/>
      <c r="AN333" s="80"/>
      <c r="AO333" s="80"/>
      <c r="AP333" s="80"/>
      <c r="AQ333" s="80"/>
      <c r="AR333" s="80"/>
      <c r="AS333" s="80"/>
      <c r="AT333" s="80"/>
      <c r="AU333" s="80"/>
      <c r="AV333" s="80"/>
      <c r="AW333" s="82" t="str">
        <f t="shared" si="1"/>
        <v/>
      </c>
      <c r="AX333" s="83" t="str">
        <f t="array" ref="AX333">IFERROR(DGET('SBV Import'!A:G,"SBV",{"RSC ID","Tier";B333,A333}))</f>
        <v/>
      </c>
      <c r="AY333" s="82" t="str">
        <f t="shared" si="2"/>
        <v/>
      </c>
      <c r="AZ333" s="82"/>
      <c r="BA333" s="84" t="s">
        <v>152</v>
      </c>
      <c r="BB333" s="84" t="str">
        <f>IFERROR(__xludf.DUMMYFUNCTION("iferror(if(A333="""",,E333&gt;=FILTER(Constants!$F$2:$F$10,Constants!$A$2:$A$10=A333)))"),"")</f>
        <v/>
      </c>
    </row>
    <row r="334">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c r="AJ334" s="80"/>
      <c r="AK334" s="80"/>
      <c r="AL334" s="80"/>
      <c r="AM334" s="80"/>
      <c r="AN334" s="80"/>
      <c r="AO334" s="80"/>
      <c r="AP334" s="80"/>
      <c r="AQ334" s="80"/>
      <c r="AR334" s="80"/>
      <c r="AS334" s="80"/>
      <c r="AT334" s="80"/>
      <c r="AU334" s="80"/>
      <c r="AV334" s="80"/>
      <c r="AW334" s="82" t="str">
        <f t="shared" si="1"/>
        <v/>
      </c>
      <c r="AX334" s="83" t="str">
        <f t="array" ref="AX334">IFERROR(DGET('SBV Import'!A:G,"SBV",{"RSC ID","Tier";B334,A334}))</f>
        <v/>
      </c>
      <c r="AY334" s="82" t="str">
        <f t="shared" si="2"/>
        <v/>
      </c>
      <c r="AZ334" s="82"/>
      <c r="BA334" s="84" t="s">
        <v>152</v>
      </c>
      <c r="BB334" s="84" t="str">
        <f>IFERROR(__xludf.DUMMYFUNCTION("iferror(if(A334="""",,E334&gt;=FILTER(Constants!$F$2:$F$10,Constants!$A$2:$A$10=A334)))"),"")</f>
        <v/>
      </c>
    </row>
    <row r="335">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c r="AI335" s="80"/>
      <c r="AJ335" s="80"/>
      <c r="AK335" s="80"/>
      <c r="AL335" s="80"/>
      <c r="AM335" s="80"/>
      <c r="AN335" s="80"/>
      <c r="AO335" s="80"/>
      <c r="AP335" s="80"/>
      <c r="AQ335" s="80"/>
      <c r="AR335" s="80"/>
      <c r="AS335" s="80"/>
      <c r="AT335" s="80"/>
      <c r="AU335" s="80"/>
      <c r="AV335" s="80"/>
      <c r="AW335" s="82" t="str">
        <f t="shared" si="1"/>
        <v/>
      </c>
      <c r="AX335" s="83" t="str">
        <f t="array" ref="AX335">IFERROR(DGET('SBV Import'!A:G,"SBV",{"RSC ID","Tier";B335,A335}))</f>
        <v/>
      </c>
      <c r="AY335" s="82" t="str">
        <f t="shared" si="2"/>
        <v/>
      </c>
      <c r="AZ335" s="82"/>
      <c r="BA335" s="84" t="s">
        <v>152</v>
      </c>
      <c r="BB335" s="84" t="str">
        <f>IFERROR(__xludf.DUMMYFUNCTION("iferror(if(A335="""",,E335&gt;=FILTER(Constants!$F$2:$F$10,Constants!$A$2:$A$10=A335)))"),"")</f>
        <v/>
      </c>
    </row>
    <row r="336">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c r="AI336" s="80"/>
      <c r="AJ336" s="80"/>
      <c r="AK336" s="80"/>
      <c r="AL336" s="80"/>
      <c r="AM336" s="80"/>
      <c r="AN336" s="80"/>
      <c r="AO336" s="80"/>
      <c r="AP336" s="80"/>
      <c r="AQ336" s="80"/>
      <c r="AR336" s="80"/>
      <c r="AS336" s="80"/>
      <c r="AT336" s="80"/>
      <c r="AU336" s="80"/>
      <c r="AV336" s="80"/>
      <c r="AW336" s="82" t="str">
        <f t="shared" si="1"/>
        <v/>
      </c>
      <c r="AX336" s="83" t="str">
        <f t="array" ref="AX336">IFERROR(DGET('SBV Import'!A:G,"SBV",{"RSC ID","Tier";B336,A336}))</f>
        <v/>
      </c>
      <c r="AY336" s="82" t="str">
        <f t="shared" si="2"/>
        <v/>
      </c>
      <c r="AZ336" s="82"/>
      <c r="BA336" s="84" t="s">
        <v>152</v>
      </c>
      <c r="BB336" s="84" t="str">
        <f>IFERROR(__xludf.DUMMYFUNCTION("iferror(if(A336="""",,E336&gt;=FILTER(Constants!$F$2:$F$10,Constants!$A$2:$A$10=A336)))"),"")</f>
        <v/>
      </c>
    </row>
    <row r="337">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c r="AI337" s="80"/>
      <c r="AJ337" s="80"/>
      <c r="AK337" s="80"/>
      <c r="AL337" s="80"/>
      <c r="AM337" s="80"/>
      <c r="AN337" s="80"/>
      <c r="AO337" s="80"/>
      <c r="AP337" s="80"/>
      <c r="AQ337" s="80"/>
      <c r="AR337" s="80"/>
      <c r="AS337" s="80"/>
      <c r="AT337" s="80"/>
      <c r="AU337" s="80"/>
      <c r="AV337" s="80"/>
      <c r="AW337" s="82" t="str">
        <f t="shared" si="1"/>
        <v/>
      </c>
      <c r="AX337" s="83" t="str">
        <f t="array" ref="AX337">IFERROR(DGET('SBV Import'!A:G,"SBV",{"RSC ID","Tier";B337,A337}))</f>
        <v/>
      </c>
      <c r="AY337" s="82" t="str">
        <f t="shared" si="2"/>
        <v/>
      </c>
      <c r="AZ337" s="82"/>
      <c r="BA337" s="84" t="s">
        <v>152</v>
      </c>
      <c r="BB337" s="84" t="str">
        <f>IFERROR(__xludf.DUMMYFUNCTION("iferror(if(A337="""",,E337&gt;=FILTER(Constants!$F$2:$F$10,Constants!$A$2:$A$10=A337)))"),"")</f>
        <v/>
      </c>
    </row>
    <row r="338">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c r="AI338" s="80"/>
      <c r="AJ338" s="80"/>
      <c r="AK338" s="80"/>
      <c r="AL338" s="80"/>
      <c r="AM338" s="80"/>
      <c r="AN338" s="80"/>
      <c r="AO338" s="80"/>
      <c r="AP338" s="80"/>
      <c r="AQ338" s="80"/>
      <c r="AR338" s="80"/>
      <c r="AS338" s="80"/>
      <c r="AT338" s="80"/>
      <c r="AU338" s="80"/>
      <c r="AV338" s="80"/>
      <c r="AW338" s="82" t="str">
        <f t="shared" si="1"/>
        <v/>
      </c>
      <c r="AX338" s="83" t="str">
        <f t="array" ref="AX338">IFERROR(DGET('SBV Import'!A:G,"SBV",{"RSC ID","Tier";B338,A338}))</f>
        <v/>
      </c>
      <c r="AY338" s="82" t="str">
        <f t="shared" si="2"/>
        <v/>
      </c>
      <c r="AZ338" s="82"/>
      <c r="BA338" s="84" t="s">
        <v>152</v>
      </c>
      <c r="BB338" s="84" t="str">
        <f>IFERROR(__xludf.DUMMYFUNCTION("iferror(if(A338="""",,E338&gt;=FILTER(Constants!$F$2:$F$10,Constants!$A$2:$A$10=A338)))"),"")</f>
        <v/>
      </c>
    </row>
    <row r="339">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c r="AI339" s="80"/>
      <c r="AJ339" s="80"/>
      <c r="AK339" s="80"/>
      <c r="AL339" s="80"/>
      <c r="AM339" s="80"/>
      <c r="AN339" s="80"/>
      <c r="AO339" s="80"/>
      <c r="AP339" s="80"/>
      <c r="AQ339" s="80"/>
      <c r="AR339" s="80"/>
      <c r="AS339" s="80"/>
      <c r="AT339" s="80"/>
      <c r="AU339" s="80"/>
      <c r="AV339" s="80"/>
      <c r="AW339" s="82" t="str">
        <f t="shared" si="1"/>
        <v/>
      </c>
      <c r="AX339" s="83" t="str">
        <f t="array" ref="AX339">IFERROR(DGET('SBV Import'!A:G,"SBV",{"RSC ID","Tier";B339,A339}))</f>
        <v/>
      </c>
      <c r="AY339" s="82" t="str">
        <f t="shared" si="2"/>
        <v/>
      </c>
      <c r="AZ339" s="82"/>
      <c r="BA339" s="84" t="s">
        <v>152</v>
      </c>
      <c r="BB339" s="84" t="str">
        <f>IFERROR(__xludf.DUMMYFUNCTION("iferror(if(A339="""",,E339&gt;=FILTER(Constants!$F$2:$F$10,Constants!$A$2:$A$10=A339)))"),"")</f>
        <v/>
      </c>
    </row>
    <row r="340">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c r="AI340" s="80"/>
      <c r="AJ340" s="80"/>
      <c r="AK340" s="80"/>
      <c r="AL340" s="80"/>
      <c r="AM340" s="80"/>
      <c r="AN340" s="80"/>
      <c r="AO340" s="80"/>
      <c r="AP340" s="80"/>
      <c r="AQ340" s="80"/>
      <c r="AR340" s="80"/>
      <c r="AS340" s="80"/>
      <c r="AT340" s="80"/>
      <c r="AU340" s="80"/>
      <c r="AV340" s="80"/>
      <c r="AW340" s="82" t="str">
        <f t="shared" si="1"/>
        <v/>
      </c>
      <c r="AX340" s="83" t="str">
        <f t="array" ref="AX340">IFERROR(DGET('SBV Import'!A:G,"SBV",{"RSC ID","Tier";B340,A340}))</f>
        <v/>
      </c>
      <c r="AY340" s="82" t="str">
        <f t="shared" si="2"/>
        <v/>
      </c>
      <c r="AZ340" s="82"/>
      <c r="BA340" s="84" t="s">
        <v>152</v>
      </c>
      <c r="BB340" s="84" t="str">
        <f>IFERROR(__xludf.DUMMYFUNCTION("iferror(if(A340="""",,E340&gt;=FILTER(Constants!$F$2:$F$10,Constants!$A$2:$A$10=A340)))"),"")</f>
        <v/>
      </c>
    </row>
    <row r="34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c r="AJ341" s="80"/>
      <c r="AK341" s="80"/>
      <c r="AL341" s="80"/>
      <c r="AM341" s="80"/>
      <c r="AN341" s="80"/>
      <c r="AO341" s="80"/>
      <c r="AP341" s="80"/>
      <c r="AQ341" s="80"/>
      <c r="AR341" s="80"/>
      <c r="AS341" s="80"/>
      <c r="AT341" s="80"/>
      <c r="AU341" s="80"/>
      <c r="AV341" s="80"/>
      <c r="AW341" s="82" t="str">
        <f t="shared" si="1"/>
        <v/>
      </c>
      <c r="AX341" s="83" t="str">
        <f t="array" ref="AX341">IFERROR(DGET('SBV Import'!A:G,"SBV",{"RSC ID","Tier";B341,A341}))</f>
        <v/>
      </c>
      <c r="AY341" s="82" t="str">
        <f t="shared" si="2"/>
        <v/>
      </c>
      <c r="AZ341" s="82"/>
      <c r="BA341" s="84" t="s">
        <v>152</v>
      </c>
      <c r="BB341" s="84" t="str">
        <f>IFERROR(__xludf.DUMMYFUNCTION("iferror(if(A341="""",,E341&gt;=FILTER(Constants!$F$2:$F$10,Constants!$A$2:$A$10=A341)))"),"")</f>
        <v/>
      </c>
    </row>
    <row r="34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c r="AI342" s="80"/>
      <c r="AJ342" s="80"/>
      <c r="AK342" s="80"/>
      <c r="AL342" s="80"/>
      <c r="AM342" s="80"/>
      <c r="AN342" s="80"/>
      <c r="AO342" s="80"/>
      <c r="AP342" s="80"/>
      <c r="AQ342" s="80"/>
      <c r="AR342" s="80"/>
      <c r="AS342" s="80"/>
      <c r="AT342" s="80"/>
      <c r="AU342" s="80"/>
      <c r="AV342" s="80"/>
      <c r="AW342" s="82" t="str">
        <f t="shared" si="1"/>
        <v/>
      </c>
      <c r="AX342" s="83" t="str">
        <f t="array" ref="AX342">IFERROR(DGET('SBV Import'!A:G,"SBV",{"RSC ID","Tier";B342,A342}))</f>
        <v/>
      </c>
      <c r="AY342" s="82" t="str">
        <f t="shared" si="2"/>
        <v/>
      </c>
      <c r="AZ342" s="82"/>
      <c r="BA342" s="84" t="s">
        <v>152</v>
      </c>
      <c r="BB342" s="84" t="str">
        <f>IFERROR(__xludf.DUMMYFUNCTION("iferror(if(A342="""",,E342&gt;=FILTER(Constants!$F$2:$F$10,Constants!$A$2:$A$10=A342)))"),"")</f>
        <v/>
      </c>
    </row>
    <row r="343">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c r="AJ343" s="80"/>
      <c r="AK343" s="80"/>
      <c r="AL343" s="80"/>
      <c r="AM343" s="80"/>
      <c r="AN343" s="80"/>
      <c r="AO343" s="80"/>
      <c r="AP343" s="80"/>
      <c r="AQ343" s="80"/>
      <c r="AR343" s="80"/>
      <c r="AS343" s="80"/>
      <c r="AT343" s="80"/>
      <c r="AU343" s="80"/>
      <c r="AV343" s="80"/>
      <c r="AW343" s="82" t="str">
        <f t="shared" si="1"/>
        <v/>
      </c>
      <c r="AX343" s="83" t="str">
        <f t="array" ref="AX343">IFERROR(DGET('SBV Import'!A:G,"SBV",{"RSC ID","Tier";B343,A343}))</f>
        <v/>
      </c>
      <c r="AY343" s="82" t="str">
        <f t="shared" si="2"/>
        <v/>
      </c>
      <c r="AZ343" s="82"/>
      <c r="BA343" s="84" t="s">
        <v>152</v>
      </c>
      <c r="BB343" s="84" t="str">
        <f>IFERROR(__xludf.DUMMYFUNCTION("iferror(if(A343="""",,E343&gt;=FILTER(Constants!$F$2:$F$10,Constants!$A$2:$A$10=A343)))"),"")</f>
        <v/>
      </c>
    </row>
    <row r="344">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c r="AI344" s="80"/>
      <c r="AJ344" s="80"/>
      <c r="AK344" s="80"/>
      <c r="AL344" s="80"/>
      <c r="AM344" s="80"/>
      <c r="AN344" s="80"/>
      <c r="AO344" s="80"/>
      <c r="AP344" s="80"/>
      <c r="AQ344" s="80"/>
      <c r="AR344" s="80"/>
      <c r="AS344" s="80"/>
      <c r="AT344" s="80"/>
      <c r="AU344" s="80"/>
      <c r="AV344" s="80"/>
      <c r="AW344" s="82" t="str">
        <f t="shared" si="1"/>
        <v/>
      </c>
      <c r="AX344" s="83" t="str">
        <f t="array" ref="AX344">IFERROR(DGET('SBV Import'!A:G,"SBV",{"RSC ID","Tier";B344,A344}))</f>
        <v/>
      </c>
      <c r="AY344" s="82" t="str">
        <f t="shared" si="2"/>
        <v/>
      </c>
      <c r="AZ344" s="82"/>
      <c r="BA344" s="84" t="s">
        <v>152</v>
      </c>
      <c r="BB344" s="84" t="str">
        <f>IFERROR(__xludf.DUMMYFUNCTION("iferror(if(A344="""",,E344&gt;=FILTER(Constants!$F$2:$F$10,Constants!$A$2:$A$10=A344)))"),"")</f>
        <v/>
      </c>
    </row>
    <row r="345">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c r="AI345" s="80"/>
      <c r="AJ345" s="80"/>
      <c r="AK345" s="80"/>
      <c r="AL345" s="80"/>
      <c r="AM345" s="80"/>
      <c r="AN345" s="80"/>
      <c r="AO345" s="80"/>
      <c r="AP345" s="80"/>
      <c r="AQ345" s="80"/>
      <c r="AR345" s="80"/>
      <c r="AS345" s="80"/>
      <c r="AT345" s="80"/>
      <c r="AU345" s="80"/>
      <c r="AV345" s="80"/>
      <c r="AW345" s="82" t="str">
        <f t="shared" si="1"/>
        <v/>
      </c>
      <c r="AX345" s="83" t="str">
        <f t="array" ref="AX345">IFERROR(DGET('SBV Import'!A:G,"SBV",{"RSC ID","Tier";B345,A345}))</f>
        <v/>
      </c>
      <c r="AY345" s="82" t="str">
        <f t="shared" si="2"/>
        <v/>
      </c>
      <c r="AZ345" s="82"/>
      <c r="BA345" s="84" t="s">
        <v>152</v>
      </c>
      <c r="BB345" s="84" t="str">
        <f>IFERROR(__xludf.DUMMYFUNCTION("iferror(if(A345="""",,E345&gt;=FILTER(Constants!$F$2:$F$10,Constants!$A$2:$A$10=A345)))"),"")</f>
        <v/>
      </c>
    </row>
    <row r="346">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c r="AJ346" s="80"/>
      <c r="AK346" s="80"/>
      <c r="AL346" s="80"/>
      <c r="AM346" s="80"/>
      <c r="AN346" s="80"/>
      <c r="AO346" s="80"/>
      <c r="AP346" s="80"/>
      <c r="AQ346" s="80"/>
      <c r="AR346" s="80"/>
      <c r="AS346" s="80"/>
      <c r="AT346" s="80"/>
      <c r="AU346" s="80"/>
      <c r="AV346" s="80"/>
      <c r="AW346" s="82" t="str">
        <f t="shared" si="1"/>
        <v/>
      </c>
      <c r="AX346" s="83" t="str">
        <f t="array" ref="AX346">IFERROR(DGET('SBV Import'!A:G,"SBV",{"RSC ID","Tier";B346,A346}))</f>
        <v/>
      </c>
      <c r="AY346" s="82" t="str">
        <f t="shared" si="2"/>
        <v/>
      </c>
      <c r="AZ346" s="82"/>
      <c r="BA346" s="84" t="s">
        <v>152</v>
      </c>
      <c r="BB346" s="84" t="str">
        <f>IFERROR(__xludf.DUMMYFUNCTION("iferror(if(A346="""",,E346&gt;=FILTER(Constants!$F$2:$F$10,Constants!$A$2:$A$10=A346)))"),"")</f>
        <v/>
      </c>
    </row>
    <row r="347">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c r="AI347" s="80"/>
      <c r="AJ347" s="80"/>
      <c r="AK347" s="80"/>
      <c r="AL347" s="80"/>
      <c r="AM347" s="80"/>
      <c r="AN347" s="80"/>
      <c r="AO347" s="80"/>
      <c r="AP347" s="80"/>
      <c r="AQ347" s="80"/>
      <c r="AR347" s="80"/>
      <c r="AS347" s="80"/>
      <c r="AT347" s="80"/>
      <c r="AU347" s="80"/>
      <c r="AV347" s="80"/>
      <c r="AW347" s="82" t="str">
        <f t="shared" si="1"/>
        <v/>
      </c>
      <c r="AX347" s="83" t="str">
        <f t="array" ref="AX347">IFERROR(DGET('SBV Import'!A:G,"SBV",{"RSC ID","Tier";B347,A347}))</f>
        <v/>
      </c>
      <c r="AY347" s="82" t="str">
        <f t="shared" si="2"/>
        <v/>
      </c>
      <c r="AZ347" s="82"/>
      <c r="BA347" s="84" t="s">
        <v>152</v>
      </c>
      <c r="BB347" s="84" t="str">
        <f>IFERROR(__xludf.DUMMYFUNCTION("iferror(if(A347="""",,E347&gt;=FILTER(Constants!$F$2:$F$10,Constants!$A$2:$A$10=A347)))"),"")</f>
        <v/>
      </c>
    </row>
    <row r="348">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c r="AI348" s="80"/>
      <c r="AJ348" s="80"/>
      <c r="AK348" s="80"/>
      <c r="AL348" s="80"/>
      <c r="AM348" s="80"/>
      <c r="AN348" s="80"/>
      <c r="AO348" s="80"/>
      <c r="AP348" s="80"/>
      <c r="AQ348" s="80"/>
      <c r="AR348" s="80"/>
      <c r="AS348" s="80"/>
      <c r="AT348" s="80"/>
      <c r="AU348" s="80"/>
      <c r="AV348" s="80"/>
      <c r="AW348" s="82" t="str">
        <f t="shared" si="1"/>
        <v/>
      </c>
      <c r="AX348" s="83" t="str">
        <f t="array" ref="AX348">IFERROR(DGET('SBV Import'!A:G,"SBV",{"RSC ID","Tier";B348,A348}))</f>
        <v/>
      </c>
      <c r="AY348" s="82" t="str">
        <f t="shared" si="2"/>
        <v/>
      </c>
      <c r="AZ348" s="82"/>
      <c r="BA348" s="84" t="s">
        <v>152</v>
      </c>
      <c r="BB348" s="84" t="str">
        <f>IFERROR(__xludf.DUMMYFUNCTION("iferror(if(A348="""",,E348&gt;=FILTER(Constants!$F$2:$F$10,Constants!$A$2:$A$10=A348)))"),"")</f>
        <v/>
      </c>
    </row>
    <row r="349">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c r="AI349" s="80"/>
      <c r="AJ349" s="80"/>
      <c r="AK349" s="80"/>
      <c r="AL349" s="80"/>
      <c r="AM349" s="80"/>
      <c r="AN349" s="80"/>
      <c r="AO349" s="80"/>
      <c r="AP349" s="80"/>
      <c r="AQ349" s="80"/>
      <c r="AR349" s="80"/>
      <c r="AS349" s="80"/>
      <c r="AT349" s="80"/>
      <c r="AU349" s="80"/>
      <c r="AV349" s="80"/>
      <c r="AW349" s="82" t="str">
        <f t="shared" si="1"/>
        <v/>
      </c>
      <c r="AX349" s="83" t="str">
        <f t="array" ref="AX349">IFERROR(DGET('SBV Import'!A:G,"SBV",{"RSC ID","Tier";B349,A349}))</f>
        <v/>
      </c>
      <c r="AY349" s="82" t="str">
        <f t="shared" si="2"/>
        <v/>
      </c>
      <c r="AZ349" s="82"/>
      <c r="BA349" s="84" t="s">
        <v>152</v>
      </c>
      <c r="BB349" s="84" t="str">
        <f>IFERROR(__xludf.DUMMYFUNCTION("iferror(if(A349="""",,E349&gt;=FILTER(Constants!$F$2:$F$10,Constants!$A$2:$A$10=A349)))"),"")</f>
        <v/>
      </c>
    </row>
    <row r="350">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c r="AI350" s="80"/>
      <c r="AJ350" s="80"/>
      <c r="AK350" s="80"/>
      <c r="AL350" s="80"/>
      <c r="AM350" s="80"/>
      <c r="AN350" s="80"/>
      <c r="AO350" s="80"/>
      <c r="AP350" s="80"/>
      <c r="AQ350" s="80"/>
      <c r="AR350" s="80"/>
      <c r="AS350" s="80"/>
      <c r="AT350" s="80"/>
      <c r="AU350" s="80"/>
      <c r="AV350" s="80"/>
      <c r="AW350" s="82" t="str">
        <f t="shared" si="1"/>
        <v/>
      </c>
      <c r="AX350" s="83" t="str">
        <f t="array" ref="AX350">IFERROR(DGET('SBV Import'!A:G,"SBV",{"RSC ID","Tier";B350,A350}))</f>
        <v/>
      </c>
      <c r="AY350" s="82" t="str">
        <f t="shared" si="2"/>
        <v/>
      </c>
      <c r="AZ350" s="82"/>
      <c r="BA350" s="84" t="s">
        <v>152</v>
      </c>
      <c r="BB350" s="84" t="str">
        <f>IFERROR(__xludf.DUMMYFUNCTION("iferror(if(A350="""",,E350&gt;=FILTER(Constants!$F$2:$F$10,Constants!$A$2:$A$10=A350)))"),"")</f>
        <v/>
      </c>
    </row>
    <row r="35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c r="AI351" s="80"/>
      <c r="AJ351" s="80"/>
      <c r="AK351" s="80"/>
      <c r="AL351" s="80"/>
      <c r="AM351" s="80"/>
      <c r="AN351" s="80"/>
      <c r="AO351" s="80"/>
      <c r="AP351" s="80"/>
      <c r="AQ351" s="80"/>
      <c r="AR351" s="80"/>
      <c r="AS351" s="80"/>
      <c r="AT351" s="80"/>
      <c r="AU351" s="80"/>
      <c r="AV351" s="80"/>
      <c r="AW351" s="82" t="str">
        <f t="shared" si="1"/>
        <v/>
      </c>
      <c r="AX351" s="83" t="str">
        <f t="array" ref="AX351">IFERROR(DGET('SBV Import'!A:G,"SBV",{"RSC ID","Tier";B351,A351}))</f>
        <v/>
      </c>
      <c r="AY351" s="82" t="str">
        <f t="shared" si="2"/>
        <v/>
      </c>
      <c r="AZ351" s="82"/>
      <c r="BA351" s="84" t="s">
        <v>152</v>
      </c>
      <c r="BB351" s="84" t="str">
        <f>IFERROR(__xludf.DUMMYFUNCTION("iferror(if(A351="""",,E351&gt;=FILTER(Constants!$F$2:$F$10,Constants!$A$2:$A$10=A351)))"),"")</f>
        <v/>
      </c>
    </row>
    <row r="35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c r="AI352" s="80"/>
      <c r="AJ352" s="80"/>
      <c r="AK352" s="80"/>
      <c r="AL352" s="80"/>
      <c r="AM352" s="80"/>
      <c r="AN352" s="80"/>
      <c r="AO352" s="80"/>
      <c r="AP352" s="80"/>
      <c r="AQ352" s="80"/>
      <c r="AR352" s="80"/>
      <c r="AS352" s="80"/>
      <c r="AT352" s="80"/>
      <c r="AU352" s="80"/>
      <c r="AV352" s="80"/>
      <c r="AW352" s="82" t="str">
        <f t="shared" si="1"/>
        <v/>
      </c>
      <c r="AX352" s="83" t="str">
        <f t="array" ref="AX352">IFERROR(DGET('SBV Import'!A:G,"SBV",{"RSC ID","Tier";B352,A352}))</f>
        <v/>
      </c>
      <c r="AY352" s="82" t="str">
        <f t="shared" si="2"/>
        <v/>
      </c>
      <c r="AZ352" s="82"/>
      <c r="BA352" s="84" t="s">
        <v>152</v>
      </c>
      <c r="BB352" s="84" t="str">
        <f>IFERROR(__xludf.DUMMYFUNCTION("iferror(if(A352="""",,E352&gt;=FILTER(Constants!$F$2:$F$10,Constants!$A$2:$A$10=A352)))"),"")</f>
        <v/>
      </c>
    </row>
    <row r="353">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c r="AI353" s="80"/>
      <c r="AJ353" s="80"/>
      <c r="AK353" s="80"/>
      <c r="AL353" s="80"/>
      <c r="AM353" s="80"/>
      <c r="AN353" s="80"/>
      <c r="AO353" s="80"/>
      <c r="AP353" s="80"/>
      <c r="AQ353" s="80"/>
      <c r="AR353" s="80"/>
      <c r="AS353" s="80"/>
      <c r="AT353" s="80"/>
      <c r="AU353" s="80"/>
      <c r="AV353" s="80"/>
      <c r="AW353" s="82" t="str">
        <f t="shared" si="1"/>
        <v/>
      </c>
      <c r="AX353" s="83" t="str">
        <f t="array" ref="AX353">IFERROR(DGET('SBV Import'!A:G,"SBV",{"RSC ID","Tier";B353,A353}))</f>
        <v/>
      </c>
      <c r="AY353" s="82" t="str">
        <f t="shared" si="2"/>
        <v/>
      </c>
      <c r="AZ353" s="82"/>
      <c r="BA353" s="84" t="s">
        <v>152</v>
      </c>
      <c r="BB353" s="84" t="str">
        <f>IFERROR(__xludf.DUMMYFUNCTION("iferror(if(A353="""",,E353&gt;=FILTER(Constants!$F$2:$F$10,Constants!$A$2:$A$10=A353)))"),"")</f>
        <v/>
      </c>
    </row>
    <row r="354">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c r="AI354" s="80"/>
      <c r="AJ354" s="80"/>
      <c r="AK354" s="80"/>
      <c r="AL354" s="80"/>
      <c r="AM354" s="80"/>
      <c r="AN354" s="80"/>
      <c r="AO354" s="80"/>
      <c r="AP354" s="80"/>
      <c r="AQ354" s="80"/>
      <c r="AR354" s="80"/>
      <c r="AS354" s="80"/>
      <c r="AT354" s="80"/>
      <c r="AU354" s="80"/>
      <c r="AV354" s="80"/>
      <c r="AW354" s="82" t="str">
        <f t="shared" si="1"/>
        <v/>
      </c>
      <c r="AX354" s="83" t="str">
        <f t="array" ref="AX354">IFERROR(DGET('SBV Import'!A:G,"SBV",{"RSC ID","Tier";B354,A354}))</f>
        <v/>
      </c>
      <c r="AY354" s="82" t="str">
        <f t="shared" si="2"/>
        <v/>
      </c>
      <c r="AZ354" s="82"/>
      <c r="BA354" s="84" t="s">
        <v>152</v>
      </c>
      <c r="BB354" s="84" t="str">
        <f>IFERROR(__xludf.DUMMYFUNCTION("iferror(if(A354="""",,E354&gt;=FILTER(Constants!$F$2:$F$10,Constants!$A$2:$A$10=A354)))"),"")</f>
        <v/>
      </c>
    </row>
    <row r="355">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c r="AI355" s="80"/>
      <c r="AJ355" s="80"/>
      <c r="AK355" s="80"/>
      <c r="AL355" s="80"/>
      <c r="AM355" s="80"/>
      <c r="AN355" s="80"/>
      <c r="AO355" s="80"/>
      <c r="AP355" s="80"/>
      <c r="AQ355" s="80"/>
      <c r="AR355" s="80"/>
      <c r="AS355" s="80"/>
      <c r="AT355" s="80"/>
      <c r="AU355" s="80"/>
      <c r="AV355" s="80"/>
      <c r="AW355" s="82" t="str">
        <f t="shared" si="1"/>
        <v/>
      </c>
      <c r="AX355" s="83" t="str">
        <f t="array" ref="AX355">IFERROR(DGET('SBV Import'!A:G,"SBV",{"RSC ID","Tier";B355,A355}))</f>
        <v/>
      </c>
      <c r="AY355" s="82" t="str">
        <f t="shared" si="2"/>
        <v/>
      </c>
      <c r="AZ355" s="82"/>
      <c r="BA355" s="84" t="s">
        <v>152</v>
      </c>
      <c r="BB355" s="84" t="str">
        <f>IFERROR(__xludf.DUMMYFUNCTION("iferror(if(A355="""",,E355&gt;=FILTER(Constants!$F$2:$F$10,Constants!$A$2:$A$10=A355)))"),"")</f>
        <v/>
      </c>
    </row>
    <row r="356">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c r="AJ356" s="80"/>
      <c r="AK356" s="80"/>
      <c r="AL356" s="80"/>
      <c r="AM356" s="80"/>
      <c r="AN356" s="80"/>
      <c r="AO356" s="80"/>
      <c r="AP356" s="80"/>
      <c r="AQ356" s="80"/>
      <c r="AR356" s="80"/>
      <c r="AS356" s="80"/>
      <c r="AT356" s="80"/>
      <c r="AU356" s="80"/>
      <c r="AV356" s="80"/>
      <c r="AW356" s="82" t="str">
        <f t="shared" si="1"/>
        <v/>
      </c>
      <c r="AX356" s="83" t="str">
        <f t="array" ref="AX356">IFERROR(DGET('SBV Import'!A:G,"SBV",{"RSC ID","Tier";B356,A356}))</f>
        <v/>
      </c>
      <c r="AY356" s="82" t="str">
        <f t="shared" si="2"/>
        <v/>
      </c>
      <c r="AZ356" s="82"/>
      <c r="BA356" s="84" t="s">
        <v>152</v>
      </c>
      <c r="BB356" s="84" t="str">
        <f>IFERROR(__xludf.DUMMYFUNCTION("iferror(if(A356="""",,E356&gt;=FILTER(Constants!$F$2:$F$10,Constants!$A$2:$A$10=A356)))"),"")</f>
        <v/>
      </c>
    </row>
    <row r="357">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c r="AI357" s="80"/>
      <c r="AJ357" s="80"/>
      <c r="AK357" s="80"/>
      <c r="AL357" s="80"/>
      <c r="AM357" s="80"/>
      <c r="AN357" s="80"/>
      <c r="AO357" s="80"/>
      <c r="AP357" s="80"/>
      <c r="AQ357" s="80"/>
      <c r="AR357" s="80"/>
      <c r="AS357" s="80"/>
      <c r="AT357" s="80"/>
      <c r="AU357" s="80"/>
      <c r="AV357" s="80"/>
      <c r="AW357" s="82" t="str">
        <f t="shared" si="1"/>
        <v/>
      </c>
      <c r="AX357" s="83" t="str">
        <f t="array" ref="AX357">IFERROR(DGET('SBV Import'!A:G,"SBV",{"RSC ID","Tier";B357,A357}))</f>
        <v/>
      </c>
      <c r="AY357" s="82" t="str">
        <f t="shared" si="2"/>
        <v/>
      </c>
      <c r="AZ357" s="82"/>
      <c r="BA357" s="84" t="s">
        <v>152</v>
      </c>
      <c r="BB357" s="84" t="str">
        <f>IFERROR(__xludf.DUMMYFUNCTION("iferror(if(A357="""",,E357&gt;=FILTER(Constants!$F$2:$F$10,Constants!$A$2:$A$10=A357)))"),"")</f>
        <v/>
      </c>
    </row>
    <row r="358">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c r="AI358" s="80"/>
      <c r="AJ358" s="80"/>
      <c r="AK358" s="80"/>
      <c r="AL358" s="80"/>
      <c r="AM358" s="80"/>
      <c r="AN358" s="80"/>
      <c r="AO358" s="80"/>
      <c r="AP358" s="80"/>
      <c r="AQ358" s="80"/>
      <c r="AR358" s="80"/>
      <c r="AS358" s="80"/>
      <c r="AT358" s="80"/>
      <c r="AU358" s="80"/>
      <c r="AV358" s="80"/>
      <c r="AW358" s="82" t="str">
        <f t="shared" si="1"/>
        <v/>
      </c>
      <c r="AX358" s="83" t="str">
        <f t="array" ref="AX358">IFERROR(DGET('SBV Import'!A:G,"SBV",{"RSC ID","Tier";B358,A358}))</f>
        <v/>
      </c>
      <c r="AY358" s="82" t="str">
        <f t="shared" si="2"/>
        <v/>
      </c>
      <c r="AZ358" s="82"/>
      <c r="BA358" s="84" t="s">
        <v>152</v>
      </c>
      <c r="BB358" s="84" t="str">
        <f>IFERROR(__xludf.DUMMYFUNCTION("iferror(if(A358="""",,E358&gt;=FILTER(Constants!$F$2:$F$10,Constants!$A$2:$A$10=A358)))"),"")</f>
        <v/>
      </c>
    </row>
    <row r="359">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c r="AJ359" s="80"/>
      <c r="AK359" s="80"/>
      <c r="AL359" s="80"/>
      <c r="AM359" s="80"/>
      <c r="AN359" s="80"/>
      <c r="AO359" s="80"/>
      <c r="AP359" s="80"/>
      <c r="AQ359" s="80"/>
      <c r="AR359" s="80"/>
      <c r="AS359" s="80"/>
      <c r="AT359" s="80"/>
      <c r="AU359" s="80"/>
      <c r="AV359" s="80"/>
      <c r="AW359" s="82" t="str">
        <f t="shared" si="1"/>
        <v/>
      </c>
      <c r="AX359" s="83" t="str">
        <f t="array" ref="AX359">IFERROR(DGET('SBV Import'!A:G,"SBV",{"RSC ID","Tier";B359,A359}))</f>
        <v/>
      </c>
      <c r="AY359" s="82" t="str">
        <f t="shared" si="2"/>
        <v/>
      </c>
      <c r="AZ359" s="82"/>
      <c r="BA359" s="84" t="s">
        <v>152</v>
      </c>
      <c r="BB359" s="84" t="str">
        <f>IFERROR(__xludf.DUMMYFUNCTION("iferror(if(A359="""",,E359&gt;=FILTER(Constants!$F$2:$F$10,Constants!$A$2:$A$10=A359)))"),"")</f>
        <v/>
      </c>
    </row>
    <row r="360">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c r="AI360" s="80"/>
      <c r="AJ360" s="80"/>
      <c r="AK360" s="80"/>
      <c r="AL360" s="80"/>
      <c r="AM360" s="80"/>
      <c r="AN360" s="80"/>
      <c r="AO360" s="80"/>
      <c r="AP360" s="80"/>
      <c r="AQ360" s="80"/>
      <c r="AR360" s="80"/>
      <c r="AS360" s="80"/>
      <c r="AT360" s="80"/>
      <c r="AU360" s="80"/>
      <c r="AV360" s="80"/>
      <c r="AW360" s="82" t="str">
        <f t="shared" si="1"/>
        <v/>
      </c>
      <c r="AX360" s="83" t="str">
        <f t="array" ref="AX360">IFERROR(DGET('SBV Import'!A:G,"SBV",{"RSC ID","Tier";B360,A360}))</f>
        <v/>
      </c>
      <c r="AY360" s="82" t="str">
        <f t="shared" si="2"/>
        <v/>
      </c>
      <c r="AZ360" s="82"/>
      <c r="BA360" s="84" t="s">
        <v>152</v>
      </c>
      <c r="BB360" s="84" t="str">
        <f>IFERROR(__xludf.DUMMYFUNCTION("iferror(if(A360="""",,E360&gt;=FILTER(Constants!$F$2:$F$10,Constants!$A$2:$A$10=A360)))"),"")</f>
        <v/>
      </c>
    </row>
    <row r="36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c r="AI361" s="80"/>
      <c r="AJ361" s="80"/>
      <c r="AK361" s="80"/>
      <c r="AL361" s="80"/>
      <c r="AM361" s="80"/>
      <c r="AN361" s="80"/>
      <c r="AO361" s="80"/>
      <c r="AP361" s="80"/>
      <c r="AQ361" s="80"/>
      <c r="AR361" s="80"/>
      <c r="AS361" s="80"/>
      <c r="AT361" s="80"/>
      <c r="AU361" s="80"/>
      <c r="AV361" s="80"/>
      <c r="AW361" s="82" t="str">
        <f t="shared" si="1"/>
        <v/>
      </c>
      <c r="AX361" s="83" t="str">
        <f t="array" ref="AX361">IFERROR(DGET('SBV Import'!A:G,"SBV",{"RSC ID","Tier";B361,A361}))</f>
        <v/>
      </c>
      <c r="AY361" s="82" t="str">
        <f t="shared" si="2"/>
        <v/>
      </c>
      <c r="AZ361" s="82"/>
      <c r="BA361" s="84" t="s">
        <v>152</v>
      </c>
      <c r="BB361" s="84" t="str">
        <f>IFERROR(__xludf.DUMMYFUNCTION("iferror(if(A361="""",,E361&gt;=FILTER(Constants!$F$2:$F$10,Constants!$A$2:$A$10=A361)))"),"")</f>
        <v/>
      </c>
    </row>
    <row r="36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c r="AI362" s="80"/>
      <c r="AJ362" s="80"/>
      <c r="AK362" s="80"/>
      <c r="AL362" s="80"/>
      <c r="AM362" s="80"/>
      <c r="AN362" s="80"/>
      <c r="AO362" s="80"/>
      <c r="AP362" s="80"/>
      <c r="AQ362" s="80"/>
      <c r="AR362" s="80"/>
      <c r="AS362" s="80"/>
      <c r="AT362" s="80"/>
      <c r="AU362" s="80"/>
      <c r="AV362" s="80"/>
      <c r="AW362" s="82" t="str">
        <f t="shared" si="1"/>
        <v/>
      </c>
      <c r="AX362" s="83" t="str">
        <f t="array" ref="AX362">IFERROR(DGET('SBV Import'!A:G,"SBV",{"RSC ID","Tier";B362,A362}))</f>
        <v/>
      </c>
      <c r="AY362" s="82" t="str">
        <f t="shared" si="2"/>
        <v/>
      </c>
      <c r="AZ362" s="82"/>
      <c r="BA362" s="84" t="s">
        <v>152</v>
      </c>
      <c r="BB362" s="84" t="str">
        <f>IFERROR(__xludf.DUMMYFUNCTION("iferror(if(A362="""",,E362&gt;=FILTER(Constants!$F$2:$F$10,Constants!$A$2:$A$10=A362)))"),"")</f>
        <v/>
      </c>
    </row>
    <row r="363">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c r="AJ363" s="80"/>
      <c r="AK363" s="80"/>
      <c r="AL363" s="80"/>
      <c r="AM363" s="80"/>
      <c r="AN363" s="80"/>
      <c r="AO363" s="80"/>
      <c r="AP363" s="80"/>
      <c r="AQ363" s="80"/>
      <c r="AR363" s="80"/>
      <c r="AS363" s="80"/>
      <c r="AT363" s="80"/>
      <c r="AU363" s="80"/>
      <c r="AV363" s="80"/>
      <c r="AW363" s="82" t="str">
        <f t="shared" si="1"/>
        <v/>
      </c>
      <c r="AX363" s="83" t="str">
        <f t="array" ref="AX363">IFERROR(DGET('SBV Import'!A:G,"SBV",{"RSC ID","Tier";B363,A363}))</f>
        <v/>
      </c>
      <c r="AY363" s="82" t="str">
        <f t="shared" si="2"/>
        <v/>
      </c>
      <c r="AZ363" s="82"/>
      <c r="BA363" s="84" t="s">
        <v>152</v>
      </c>
      <c r="BB363" s="84" t="str">
        <f>IFERROR(__xludf.DUMMYFUNCTION("iferror(if(A363="""",,E363&gt;=FILTER(Constants!$F$2:$F$10,Constants!$A$2:$A$10=A363)))"),"")</f>
        <v/>
      </c>
    </row>
    <row r="364">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c r="AJ364" s="80"/>
      <c r="AK364" s="80"/>
      <c r="AL364" s="80"/>
      <c r="AM364" s="80"/>
      <c r="AN364" s="80"/>
      <c r="AO364" s="80"/>
      <c r="AP364" s="80"/>
      <c r="AQ364" s="80"/>
      <c r="AR364" s="80"/>
      <c r="AS364" s="80"/>
      <c r="AT364" s="80"/>
      <c r="AU364" s="80"/>
      <c r="AV364" s="80"/>
      <c r="AW364" s="82" t="str">
        <f t="shared" si="1"/>
        <v/>
      </c>
      <c r="AX364" s="83" t="str">
        <f t="array" ref="AX364">IFERROR(DGET('SBV Import'!A:G,"SBV",{"RSC ID","Tier";B364,A364}))</f>
        <v/>
      </c>
      <c r="AY364" s="82" t="str">
        <f t="shared" si="2"/>
        <v/>
      </c>
      <c r="AZ364" s="82"/>
      <c r="BA364" s="84" t="s">
        <v>152</v>
      </c>
      <c r="BB364" s="84" t="str">
        <f>IFERROR(__xludf.DUMMYFUNCTION("iferror(if(A364="""",,E364&gt;=FILTER(Constants!$F$2:$F$10,Constants!$A$2:$A$10=A364)))"),"")</f>
        <v/>
      </c>
    </row>
    <row r="365">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c r="AJ365" s="80"/>
      <c r="AK365" s="80"/>
      <c r="AL365" s="80"/>
      <c r="AM365" s="80"/>
      <c r="AN365" s="80"/>
      <c r="AO365" s="80"/>
      <c r="AP365" s="80"/>
      <c r="AQ365" s="80"/>
      <c r="AR365" s="80"/>
      <c r="AS365" s="80"/>
      <c r="AT365" s="80"/>
      <c r="AU365" s="80"/>
      <c r="AV365" s="80"/>
      <c r="AW365" s="82" t="str">
        <f t="shared" si="1"/>
        <v/>
      </c>
      <c r="AX365" s="83" t="str">
        <f t="array" ref="AX365">IFERROR(DGET('SBV Import'!A:G,"SBV",{"RSC ID","Tier";B365,A365}))</f>
        <v/>
      </c>
      <c r="AY365" s="82" t="str">
        <f t="shared" si="2"/>
        <v/>
      </c>
      <c r="AZ365" s="82"/>
      <c r="BA365" s="84" t="s">
        <v>152</v>
      </c>
      <c r="BB365" s="84" t="str">
        <f>IFERROR(__xludf.DUMMYFUNCTION("iferror(if(A365="""",,E365&gt;=FILTER(Constants!$F$2:$F$10,Constants!$A$2:$A$10=A365)))"),"")</f>
        <v/>
      </c>
    </row>
    <row r="366">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c r="AJ366" s="80"/>
      <c r="AK366" s="80"/>
      <c r="AL366" s="80"/>
      <c r="AM366" s="80"/>
      <c r="AN366" s="80"/>
      <c r="AO366" s="80"/>
      <c r="AP366" s="80"/>
      <c r="AQ366" s="80"/>
      <c r="AR366" s="80"/>
      <c r="AS366" s="80"/>
      <c r="AT366" s="80"/>
      <c r="AU366" s="80"/>
      <c r="AV366" s="80"/>
      <c r="AW366" s="82" t="str">
        <f t="shared" si="1"/>
        <v/>
      </c>
      <c r="AX366" s="83" t="str">
        <f t="array" ref="AX366">IFERROR(DGET('SBV Import'!A:G,"SBV",{"RSC ID","Tier";B366,A366}))</f>
        <v/>
      </c>
      <c r="AY366" s="82" t="str">
        <f t="shared" si="2"/>
        <v/>
      </c>
      <c r="AZ366" s="82"/>
      <c r="BA366" s="84" t="s">
        <v>152</v>
      </c>
      <c r="BB366" s="84" t="str">
        <f>IFERROR(__xludf.DUMMYFUNCTION("iferror(if(A366="""",,E366&gt;=FILTER(Constants!$F$2:$F$10,Constants!$A$2:$A$10=A366)))"),"")</f>
        <v/>
      </c>
    </row>
    <row r="367">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c r="AJ367" s="80"/>
      <c r="AK367" s="80"/>
      <c r="AL367" s="80"/>
      <c r="AM367" s="80"/>
      <c r="AN367" s="80"/>
      <c r="AO367" s="80"/>
      <c r="AP367" s="80"/>
      <c r="AQ367" s="80"/>
      <c r="AR367" s="80"/>
      <c r="AS367" s="80"/>
      <c r="AT367" s="80"/>
      <c r="AU367" s="80"/>
      <c r="AV367" s="80"/>
      <c r="AW367" s="82" t="str">
        <f t="shared" si="1"/>
        <v/>
      </c>
      <c r="AX367" s="83" t="str">
        <f t="array" ref="AX367">IFERROR(DGET('SBV Import'!A:G,"SBV",{"RSC ID","Tier";B367,A367}))</f>
        <v/>
      </c>
      <c r="AY367" s="82" t="str">
        <f t="shared" si="2"/>
        <v/>
      </c>
      <c r="AZ367" s="82"/>
      <c r="BA367" s="84" t="s">
        <v>152</v>
      </c>
      <c r="BB367" s="84" t="str">
        <f>IFERROR(__xludf.DUMMYFUNCTION("iferror(if(A367="""",,E367&gt;=FILTER(Constants!$F$2:$F$10,Constants!$A$2:$A$10=A367)))"),"")</f>
        <v/>
      </c>
    </row>
    <row r="368">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c r="AJ368" s="80"/>
      <c r="AK368" s="80"/>
      <c r="AL368" s="80"/>
      <c r="AM368" s="80"/>
      <c r="AN368" s="80"/>
      <c r="AO368" s="80"/>
      <c r="AP368" s="80"/>
      <c r="AQ368" s="80"/>
      <c r="AR368" s="80"/>
      <c r="AS368" s="80"/>
      <c r="AT368" s="80"/>
      <c r="AU368" s="80"/>
      <c r="AV368" s="80"/>
      <c r="AW368" s="82" t="str">
        <f t="shared" si="1"/>
        <v/>
      </c>
      <c r="AX368" s="83" t="str">
        <f t="array" ref="AX368">IFERROR(DGET('SBV Import'!A:G,"SBV",{"RSC ID","Tier";B368,A368}))</f>
        <v/>
      </c>
      <c r="AY368" s="82" t="str">
        <f t="shared" si="2"/>
        <v/>
      </c>
      <c r="AZ368" s="82"/>
      <c r="BA368" s="84" t="s">
        <v>152</v>
      </c>
      <c r="BB368" s="84" t="str">
        <f>IFERROR(__xludf.DUMMYFUNCTION("iferror(if(A368="""",,E368&gt;=FILTER(Constants!$F$2:$F$10,Constants!$A$2:$A$10=A368)))"),"")</f>
        <v/>
      </c>
    </row>
    <row r="369">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c r="AJ369" s="80"/>
      <c r="AK369" s="80"/>
      <c r="AL369" s="80"/>
      <c r="AM369" s="80"/>
      <c r="AN369" s="80"/>
      <c r="AO369" s="80"/>
      <c r="AP369" s="80"/>
      <c r="AQ369" s="80"/>
      <c r="AR369" s="80"/>
      <c r="AS369" s="80"/>
      <c r="AT369" s="80"/>
      <c r="AU369" s="80"/>
      <c r="AV369" s="80"/>
      <c r="AW369" s="82" t="str">
        <f t="shared" si="1"/>
        <v/>
      </c>
      <c r="AX369" s="83" t="str">
        <f t="array" ref="AX369">IFERROR(DGET('SBV Import'!A:G,"SBV",{"RSC ID","Tier";B369,A369}))</f>
        <v/>
      </c>
      <c r="AY369" s="82" t="str">
        <f t="shared" si="2"/>
        <v/>
      </c>
      <c r="AZ369" s="82"/>
      <c r="BA369" s="84" t="s">
        <v>152</v>
      </c>
      <c r="BB369" s="84" t="str">
        <f>IFERROR(__xludf.DUMMYFUNCTION("iferror(if(A369="""",,E369&gt;=FILTER(Constants!$F$2:$F$10,Constants!$A$2:$A$10=A369)))"),"")</f>
        <v/>
      </c>
    </row>
    <row r="370">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c r="AJ370" s="80"/>
      <c r="AK370" s="80"/>
      <c r="AL370" s="80"/>
      <c r="AM370" s="80"/>
      <c r="AN370" s="80"/>
      <c r="AO370" s="80"/>
      <c r="AP370" s="80"/>
      <c r="AQ370" s="80"/>
      <c r="AR370" s="80"/>
      <c r="AS370" s="80"/>
      <c r="AT370" s="80"/>
      <c r="AU370" s="80"/>
      <c r="AV370" s="80"/>
      <c r="AW370" s="82" t="str">
        <f t="shared" si="1"/>
        <v/>
      </c>
      <c r="AX370" s="83" t="str">
        <f t="array" ref="AX370">IFERROR(DGET('SBV Import'!A:G,"SBV",{"RSC ID","Tier";B370,A370}))</f>
        <v/>
      </c>
      <c r="AY370" s="82" t="str">
        <f t="shared" si="2"/>
        <v/>
      </c>
      <c r="AZ370" s="82"/>
      <c r="BA370" s="84" t="s">
        <v>152</v>
      </c>
      <c r="BB370" s="84" t="str">
        <f>IFERROR(__xludf.DUMMYFUNCTION("iferror(if(A370="""",,E370&gt;=FILTER(Constants!$F$2:$F$10,Constants!$A$2:$A$10=A370)))"),"")</f>
        <v/>
      </c>
    </row>
    <row r="37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c r="AJ371" s="80"/>
      <c r="AK371" s="80"/>
      <c r="AL371" s="80"/>
      <c r="AM371" s="80"/>
      <c r="AN371" s="80"/>
      <c r="AO371" s="80"/>
      <c r="AP371" s="80"/>
      <c r="AQ371" s="80"/>
      <c r="AR371" s="80"/>
      <c r="AS371" s="80"/>
      <c r="AT371" s="80"/>
      <c r="AU371" s="80"/>
      <c r="AV371" s="80"/>
      <c r="AW371" s="82" t="str">
        <f t="shared" si="1"/>
        <v/>
      </c>
      <c r="AX371" s="83" t="str">
        <f t="array" ref="AX371">IFERROR(DGET('SBV Import'!A:G,"SBV",{"RSC ID","Tier";B371,A371}))</f>
        <v/>
      </c>
      <c r="AY371" s="82" t="str">
        <f t="shared" si="2"/>
        <v/>
      </c>
      <c r="AZ371" s="82"/>
      <c r="BA371" s="84" t="s">
        <v>152</v>
      </c>
      <c r="BB371" s="84" t="str">
        <f>IFERROR(__xludf.DUMMYFUNCTION("iferror(if(A371="""",,E371&gt;=FILTER(Constants!$F$2:$F$10,Constants!$A$2:$A$10=A371)))"),"")</f>
        <v/>
      </c>
    </row>
    <row r="37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c r="AI372" s="80"/>
      <c r="AJ372" s="80"/>
      <c r="AK372" s="80"/>
      <c r="AL372" s="80"/>
      <c r="AM372" s="80"/>
      <c r="AN372" s="80"/>
      <c r="AO372" s="80"/>
      <c r="AP372" s="80"/>
      <c r="AQ372" s="80"/>
      <c r="AR372" s="80"/>
      <c r="AS372" s="80"/>
      <c r="AT372" s="80"/>
      <c r="AU372" s="80"/>
      <c r="AV372" s="80"/>
      <c r="AW372" s="82" t="str">
        <f t="shared" si="1"/>
        <v/>
      </c>
      <c r="AX372" s="83" t="str">
        <f t="array" ref="AX372">IFERROR(DGET('SBV Import'!A:G,"SBV",{"RSC ID","Tier";B372,A372}))</f>
        <v/>
      </c>
      <c r="AY372" s="82" t="str">
        <f t="shared" si="2"/>
        <v/>
      </c>
      <c r="AZ372" s="82"/>
      <c r="BA372" s="84" t="s">
        <v>152</v>
      </c>
      <c r="BB372" s="84" t="str">
        <f>IFERROR(__xludf.DUMMYFUNCTION("iferror(if(A372="""",,E372&gt;=FILTER(Constants!$F$2:$F$10,Constants!$A$2:$A$10=A372)))"),"")</f>
        <v/>
      </c>
    </row>
    <row r="373">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c r="AI373" s="80"/>
      <c r="AJ373" s="80"/>
      <c r="AK373" s="80"/>
      <c r="AL373" s="80"/>
      <c r="AM373" s="80"/>
      <c r="AN373" s="80"/>
      <c r="AO373" s="80"/>
      <c r="AP373" s="80"/>
      <c r="AQ373" s="80"/>
      <c r="AR373" s="80"/>
      <c r="AS373" s="80"/>
      <c r="AT373" s="80"/>
      <c r="AU373" s="80"/>
      <c r="AV373" s="80"/>
      <c r="AW373" s="82" t="str">
        <f t="shared" si="1"/>
        <v/>
      </c>
      <c r="AX373" s="83" t="str">
        <f t="array" ref="AX373">IFERROR(DGET('SBV Import'!A:G,"SBV",{"RSC ID","Tier";B373,A373}))</f>
        <v/>
      </c>
      <c r="AY373" s="82" t="str">
        <f t="shared" si="2"/>
        <v/>
      </c>
      <c r="AZ373" s="82"/>
      <c r="BA373" s="84" t="s">
        <v>152</v>
      </c>
      <c r="BB373" s="84" t="str">
        <f>IFERROR(__xludf.DUMMYFUNCTION("iferror(if(A373="""",,E373&gt;=FILTER(Constants!$F$2:$F$10,Constants!$A$2:$A$10=A373)))"),"")</f>
        <v/>
      </c>
    </row>
    <row r="374">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c r="AI374" s="80"/>
      <c r="AJ374" s="80"/>
      <c r="AK374" s="80"/>
      <c r="AL374" s="80"/>
      <c r="AM374" s="80"/>
      <c r="AN374" s="80"/>
      <c r="AO374" s="80"/>
      <c r="AP374" s="80"/>
      <c r="AQ374" s="80"/>
      <c r="AR374" s="80"/>
      <c r="AS374" s="80"/>
      <c r="AT374" s="80"/>
      <c r="AU374" s="80"/>
      <c r="AV374" s="80"/>
      <c r="AW374" s="82" t="str">
        <f t="shared" si="1"/>
        <v/>
      </c>
      <c r="AX374" s="83" t="str">
        <f t="array" ref="AX374">IFERROR(DGET('SBV Import'!A:G,"SBV",{"RSC ID","Tier";B374,A374}))</f>
        <v/>
      </c>
      <c r="AY374" s="82" t="str">
        <f t="shared" si="2"/>
        <v/>
      </c>
      <c r="AZ374" s="82"/>
      <c r="BA374" s="84" t="s">
        <v>152</v>
      </c>
      <c r="BB374" s="84" t="str">
        <f>IFERROR(__xludf.DUMMYFUNCTION("iferror(if(A374="""",,E374&gt;=FILTER(Constants!$F$2:$F$10,Constants!$A$2:$A$10=A374)))"),"")</f>
        <v/>
      </c>
    </row>
    <row r="375">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c r="AJ375" s="80"/>
      <c r="AK375" s="80"/>
      <c r="AL375" s="80"/>
      <c r="AM375" s="80"/>
      <c r="AN375" s="80"/>
      <c r="AO375" s="80"/>
      <c r="AP375" s="80"/>
      <c r="AQ375" s="80"/>
      <c r="AR375" s="80"/>
      <c r="AS375" s="80"/>
      <c r="AT375" s="80"/>
      <c r="AU375" s="80"/>
      <c r="AV375" s="80"/>
      <c r="AW375" s="82" t="str">
        <f t="shared" si="1"/>
        <v/>
      </c>
      <c r="AX375" s="83" t="str">
        <f t="array" ref="AX375">IFERROR(DGET('SBV Import'!A:G,"SBV",{"RSC ID","Tier";B375,A375}))</f>
        <v/>
      </c>
      <c r="AY375" s="82" t="str">
        <f t="shared" si="2"/>
        <v/>
      </c>
      <c r="AZ375" s="82"/>
      <c r="BA375" s="84" t="s">
        <v>152</v>
      </c>
      <c r="BB375" s="84" t="str">
        <f>IFERROR(__xludf.DUMMYFUNCTION("iferror(if(A375="""",,E375&gt;=FILTER(Constants!$F$2:$F$10,Constants!$A$2:$A$10=A375)))"),"")</f>
        <v/>
      </c>
    </row>
    <row r="376">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c r="AJ376" s="80"/>
      <c r="AK376" s="80"/>
      <c r="AL376" s="80"/>
      <c r="AM376" s="80"/>
      <c r="AN376" s="80"/>
      <c r="AO376" s="80"/>
      <c r="AP376" s="80"/>
      <c r="AQ376" s="80"/>
      <c r="AR376" s="80"/>
      <c r="AS376" s="80"/>
      <c r="AT376" s="80"/>
      <c r="AU376" s="80"/>
      <c r="AV376" s="80"/>
      <c r="AW376" s="82" t="str">
        <f t="shared" si="1"/>
        <v/>
      </c>
      <c r="AX376" s="83" t="str">
        <f t="array" ref="AX376">IFERROR(DGET('SBV Import'!A:G,"SBV",{"RSC ID","Tier";B376,A376}))</f>
        <v/>
      </c>
      <c r="AY376" s="82" t="str">
        <f t="shared" si="2"/>
        <v/>
      </c>
      <c r="AZ376" s="82"/>
      <c r="BA376" s="84" t="s">
        <v>152</v>
      </c>
      <c r="BB376" s="84" t="str">
        <f>IFERROR(__xludf.DUMMYFUNCTION("iferror(if(A376="""",,E376&gt;=FILTER(Constants!$F$2:$F$10,Constants!$A$2:$A$10=A376)))"),"")</f>
        <v/>
      </c>
    </row>
    <row r="377">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c r="AJ377" s="80"/>
      <c r="AK377" s="80"/>
      <c r="AL377" s="80"/>
      <c r="AM377" s="80"/>
      <c r="AN377" s="80"/>
      <c r="AO377" s="80"/>
      <c r="AP377" s="80"/>
      <c r="AQ377" s="80"/>
      <c r="AR377" s="80"/>
      <c r="AS377" s="80"/>
      <c r="AT377" s="80"/>
      <c r="AU377" s="80"/>
      <c r="AV377" s="80"/>
      <c r="AW377" s="82" t="str">
        <f t="shared" si="1"/>
        <v/>
      </c>
      <c r="AX377" s="83" t="str">
        <f t="array" ref="AX377">IFERROR(DGET('SBV Import'!A:G,"SBV",{"RSC ID","Tier";B377,A377}))</f>
        <v/>
      </c>
      <c r="AY377" s="82" t="str">
        <f t="shared" si="2"/>
        <v/>
      </c>
      <c r="AZ377" s="82"/>
      <c r="BA377" s="84" t="s">
        <v>152</v>
      </c>
      <c r="BB377" s="84" t="str">
        <f>IFERROR(__xludf.DUMMYFUNCTION("iferror(if(A377="""",,E377&gt;=FILTER(Constants!$F$2:$F$10,Constants!$A$2:$A$10=A377)))"),"")</f>
        <v/>
      </c>
    </row>
    <row r="378">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c r="AJ378" s="80"/>
      <c r="AK378" s="80"/>
      <c r="AL378" s="80"/>
      <c r="AM378" s="80"/>
      <c r="AN378" s="80"/>
      <c r="AO378" s="80"/>
      <c r="AP378" s="80"/>
      <c r="AQ378" s="80"/>
      <c r="AR378" s="80"/>
      <c r="AS378" s="80"/>
      <c r="AT378" s="80"/>
      <c r="AU378" s="80"/>
      <c r="AV378" s="80"/>
      <c r="AW378" s="82" t="str">
        <f t="shared" si="1"/>
        <v/>
      </c>
      <c r="AX378" s="83" t="str">
        <f t="array" ref="AX378">IFERROR(DGET('SBV Import'!A:G,"SBV",{"RSC ID","Tier";B378,A378}))</f>
        <v/>
      </c>
      <c r="AY378" s="82" t="str">
        <f t="shared" si="2"/>
        <v/>
      </c>
      <c r="AZ378" s="82"/>
      <c r="BA378" s="84" t="s">
        <v>152</v>
      </c>
      <c r="BB378" s="84" t="str">
        <f>IFERROR(__xludf.DUMMYFUNCTION("iferror(if(A378="""",,E378&gt;=FILTER(Constants!$F$2:$F$10,Constants!$A$2:$A$10=A378)))"),"")</f>
        <v/>
      </c>
    </row>
    <row r="379">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c r="AJ379" s="80"/>
      <c r="AK379" s="80"/>
      <c r="AL379" s="80"/>
      <c r="AM379" s="80"/>
      <c r="AN379" s="80"/>
      <c r="AO379" s="80"/>
      <c r="AP379" s="80"/>
      <c r="AQ379" s="80"/>
      <c r="AR379" s="80"/>
      <c r="AS379" s="80"/>
      <c r="AT379" s="80"/>
      <c r="AU379" s="80"/>
      <c r="AV379" s="80"/>
      <c r="AW379" s="82" t="str">
        <f t="shared" si="1"/>
        <v/>
      </c>
      <c r="AX379" s="83" t="str">
        <f t="array" ref="AX379">IFERROR(DGET('SBV Import'!A:G,"SBV",{"RSC ID","Tier";B379,A379}))</f>
        <v/>
      </c>
      <c r="AY379" s="82" t="str">
        <f t="shared" si="2"/>
        <v/>
      </c>
      <c r="AZ379" s="82"/>
      <c r="BA379" s="84" t="s">
        <v>152</v>
      </c>
      <c r="BB379" s="84" t="str">
        <f>IFERROR(__xludf.DUMMYFUNCTION("iferror(if(A379="""",,E379&gt;=FILTER(Constants!$F$2:$F$10,Constants!$A$2:$A$10=A379)))"),"")</f>
        <v/>
      </c>
    </row>
    <row r="380">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c r="AJ380" s="80"/>
      <c r="AK380" s="80"/>
      <c r="AL380" s="80"/>
      <c r="AM380" s="80"/>
      <c r="AN380" s="80"/>
      <c r="AO380" s="80"/>
      <c r="AP380" s="80"/>
      <c r="AQ380" s="80"/>
      <c r="AR380" s="80"/>
      <c r="AS380" s="80"/>
      <c r="AT380" s="80"/>
      <c r="AU380" s="80"/>
      <c r="AV380" s="80"/>
      <c r="AW380" s="82" t="str">
        <f t="shared" si="1"/>
        <v/>
      </c>
      <c r="AX380" s="83" t="str">
        <f t="array" ref="AX380">IFERROR(DGET('SBV Import'!A:G,"SBV",{"RSC ID","Tier";B380,A380}))</f>
        <v/>
      </c>
      <c r="AY380" s="82" t="str">
        <f t="shared" si="2"/>
        <v/>
      </c>
      <c r="AZ380" s="82"/>
      <c r="BA380" s="84" t="s">
        <v>152</v>
      </c>
      <c r="BB380" s="84" t="str">
        <f>IFERROR(__xludf.DUMMYFUNCTION("iferror(if(A380="""",,E380&gt;=FILTER(Constants!$F$2:$F$10,Constants!$A$2:$A$10=A380)))"),"")</f>
        <v/>
      </c>
    </row>
    <row r="38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c r="AJ381" s="80"/>
      <c r="AK381" s="80"/>
      <c r="AL381" s="80"/>
      <c r="AM381" s="80"/>
      <c r="AN381" s="80"/>
      <c r="AO381" s="80"/>
      <c r="AP381" s="80"/>
      <c r="AQ381" s="80"/>
      <c r="AR381" s="80"/>
      <c r="AS381" s="80"/>
      <c r="AT381" s="80"/>
      <c r="AU381" s="80"/>
      <c r="AV381" s="80"/>
      <c r="AW381" s="82" t="str">
        <f t="shared" si="1"/>
        <v/>
      </c>
      <c r="AX381" s="83" t="str">
        <f t="array" ref="AX381">IFERROR(DGET('SBV Import'!A:G,"SBV",{"RSC ID","Tier";B381,A381}))</f>
        <v/>
      </c>
      <c r="AY381" s="82" t="str">
        <f t="shared" si="2"/>
        <v/>
      </c>
      <c r="AZ381" s="82"/>
      <c r="BA381" s="84" t="s">
        <v>152</v>
      </c>
      <c r="BB381" s="84" t="str">
        <f>IFERROR(__xludf.DUMMYFUNCTION("iferror(if(A381="""",,E381&gt;=FILTER(Constants!$F$2:$F$10,Constants!$A$2:$A$10=A381)))"),"")</f>
        <v/>
      </c>
    </row>
    <row r="38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c r="AJ382" s="80"/>
      <c r="AK382" s="80"/>
      <c r="AL382" s="80"/>
      <c r="AM382" s="80"/>
      <c r="AN382" s="80"/>
      <c r="AO382" s="80"/>
      <c r="AP382" s="80"/>
      <c r="AQ382" s="80"/>
      <c r="AR382" s="80"/>
      <c r="AS382" s="80"/>
      <c r="AT382" s="80"/>
      <c r="AU382" s="80"/>
      <c r="AV382" s="80"/>
      <c r="AW382" s="82" t="str">
        <f t="shared" si="1"/>
        <v/>
      </c>
      <c r="AX382" s="83" t="str">
        <f t="array" ref="AX382">IFERROR(DGET('SBV Import'!A:G,"SBV",{"RSC ID","Tier";B382,A382}))</f>
        <v/>
      </c>
      <c r="AY382" s="82" t="str">
        <f t="shared" si="2"/>
        <v/>
      </c>
      <c r="AZ382" s="82"/>
      <c r="BA382" s="84" t="s">
        <v>152</v>
      </c>
      <c r="BB382" s="84" t="str">
        <f>IFERROR(__xludf.DUMMYFUNCTION("iferror(if(A382="""",,E382&gt;=FILTER(Constants!$F$2:$F$10,Constants!$A$2:$A$10=A382)))"),"")</f>
        <v/>
      </c>
    </row>
    <row r="383">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c r="AJ383" s="80"/>
      <c r="AK383" s="80"/>
      <c r="AL383" s="80"/>
      <c r="AM383" s="80"/>
      <c r="AN383" s="80"/>
      <c r="AO383" s="80"/>
      <c r="AP383" s="80"/>
      <c r="AQ383" s="80"/>
      <c r="AR383" s="80"/>
      <c r="AS383" s="80"/>
      <c r="AT383" s="80"/>
      <c r="AU383" s="80"/>
      <c r="AV383" s="80"/>
      <c r="AW383" s="82" t="str">
        <f t="shared" si="1"/>
        <v/>
      </c>
      <c r="AX383" s="83" t="str">
        <f t="array" ref="AX383">IFERROR(DGET('SBV Import'!A:G,"SBV",{"RSC ID","Tier";B383,A383}))</f>
        <v/>
      </c>
      <c r="AY383" s="82" t="str">
        <f t="shared" si="2"/>
        <v/>
      </c>
      <c r="AZ383" s="82"/>
      <c r="BA383" s="84" t="s">
        <v>152</v>
      </c>
      <c r="BB383" s="84" t="str">
        <f>IFERROR(__xludf.DUMMYFUNCTION("iferror(if(A383="""",,E383&gt;=FILTER(Constants!$F$2:$F$10,Constants!$A$2:$A$10=A383)))"),"")</f>
        <v/>
      </c>
    </row>
    <row r="384">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c r="AJ384" s="80"/>
      <c r="AK384" s="80"/>
      <c r="AL384" s="80"/>
      <c r="AM384" s="80"/>
      <c r="AN384" s="80"/>
      <c r="AO384" s="80"/>
      <c r="AP384" s="80"/>
      <c r="AQ384" s="80"/>
      <c r="AR384" s="80"/>
      <c r="AS384" s="80"/>
      <c r="AT384" s="80"/>
      <c r="AU384" s="80"/>
      <c r="AV384" s="80"/>
      <c r="AW384" s="82" t="str">
        <f t="shared" si="1"/>
        <v/>
      </c>
      <c r="AX384" s="83" t="str">
        <f t="array" ref="AX384">IFERROR(DGET('SBV Import'!A:G,"SBV",{"RSC ID","Tier";B384,A384}))</f>
        <v/>
      </c>
      <c r="AY384" s="82" t="str">
        <f t="shared" si="2"/>
        <v/>
      </c>
      <c r="AZ384" s="82"/>
      <c r="BA384" s="84" t="s">
        <v>152</v>
      </c>
      <c r="BB384" s="84" t="str">
        <f>IFERROR(__xludf.DUMMYFUNCTION("iferror(if(A384="""",,E384&gt;=FILTER(Constants!$F$2:$F$10,Constants!$A$2:$A$10=A384)))"),"")</f>
        <v/>
      </c>
    </row>
    <row r="385">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c r="AJ385" s="80"/>
      <c r="AK385" s="80"/>
      <c r="AL385" s="80"/>
      <c r="AM385" s="80"/>
      <c r="AN385" s="80"/>
      <c r="AO385" s="80"/>
      <c r="AP385" s="80"/>
      <c r="AQ385" s="80"/>
      <c r="AR385" s="80"/>
      <c r="AS385" s="80"/>
      <c r="AT385" s="80"/>
      <c r="AU385" s="80"/>
      <c r="AV385" s="80"/>
      <c r="AW385" s="82" t="str">
        <f t="shared" si="1"/>
        <v/>
      </c>
      <c r="AX385" s="83" t="str">
        <f t="array" ref="AX385">IFERROR(DGET('SBV Import'!A:G,"SBV",{"RSC ID","Tier";B385,A385}))</f>
        <v/>
      </c>
      <c r="AY385" s="82" t="str">
        <f t="shared" si="2"/>
        <v/>
      </c>
      <c r="AZ385" s="82"/>
      <c r="BA385" s="84" t="s">
        <v>152</v>
      </c>
      <c r="BB385" s="84" t="str">
        <f>IFERROR(__xludf.DUMMYFUNCTION("iferror(if(A385="""",,E385&gt;=FILTER(Constants!$F$2:$F$10,Constants!$A$2:$A$10=A385)))"),"")</f>
        <v/>
      </c>
    </row>
    <row r="386">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c r="AJ386" s="80"/>
      <c r="AK386" s="80"/>
      <c r="AL386" s="80"/>
      <c r="AM386" s="80"/>
      <c r="AN386" s="80"/>
      <c r="AO386" s="80"/>
      <c r="AP386" s="80"/>
      <c r="AQ386" s="80"/>
      <c r="AR386" s="80"/>
      <c r="AS386" s="80"/>
      <c r="AT386" s="80"/>
      <c r="AU386" s="80"/>
      <c r="AV386" s="80"/>
      <c r="AW386" s="82" t="str">
        <f t="shared" si="1"/>
        <v/>
      </c>
      <c r="AX386" s="83" t="str">
        <f t="array" ref="AX386">IFERROR(DGET('SBV Import'!A:G,"SBV",{"RSC ID","Tier";B386,A386}))</f>
        <v/>
      </c>
      <c r="AY386" s="82" t="str">
        <f t="shared" si="2"/>
        <v/>
      </c>
      <c r="AZ386" s="82"/>
      <c r="BA386" s="84" t="s">
        <v>152</v>
      </c>
      <c r="BB386" s="84" t="str">
        <f>IFERROR(__xludf.DUMMYFUNCTION("iferror(if(A386="""",,E386&gt;=FILTER(Constants!$F$2:$F$10,Constants!$A$2:$A$10=A386)))"),"")</f>
        <v/>
      </c>
    </row>
    <row r="387">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c r="AJ387" s="80"/>
      <c r="AK387" s="80"/>
      <c r="AL387" s="80"/>
      <c r="AM387" s="80"/>
      <c r="AN387" s="80"/>
      <c r="AO387" s="80"/>
      <c r="AP387" s="80"/>
      <c r="AQ387" s="80"/>
      <c r="AR387" s="80"/>
      <c r="AS387" s="80"/>
      <c r="AT387" s="80"/>
      <c r="AU387" s="80"/>
      <c r="AV387" s="80"/>
      <c r="AW387" s="82" t="str">
        <f t="shared" si="1"/>
        <v/>
      </c>
      <c r="AX387" s="83" t="str">
        <f t="array" ref="AX387">IFERROR(DGET('SBV Import'!A:G,"SBV",{"RSC ID","Tier";B387,A387}))</f>
        <v/>
      </c>
      <c r="AY387" s="82" t="str">
        <f t="shared" si="2"/>
        <v/>
      </c>
      <c r="AZ387" s="82"/>
      <c r="BA387" s="84" t="s">
        <v>152</v>
      </c>
      <c r="BB387" s="84" t="str">
        <f>IFERROR(__xludf.DUMMYFUNCTION("iferror(if(A387="""",,E387&gt;=FILTER(Constants!$F$2:$F$10,Constants!$A$2:$A$10=A387)))"),"")</f>
        <v/>
      </c>
    </row>
    <row r="388">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c r="AJ388" s="80"/>
      <c r="AK388" s="80"/>
      <c r="AL388" s="80"/>
      <c r="AM388" s="80"/>
      <c r="AN388" s="80"/>
      <c r="AO388" s="80"/>
      <c r="AP388" s="80"/>
      <c r="AQ388" s="80"/>
      <c r="AR388" s="80"/>
      <c r="AS388" s="80"/>
      <c r="AT388" s="80"/>
      <c r="AU388" s="80"/>
      <c r="AV388" s="80"/>
      <c r="AW388" s="82" t="str">
        <f t="shared" si="1"/>
        <v/>
      </c>
      <c r="AX388" s="83" t="str">
        <f t="array" ref="AX388">IFERROR(DGET('SBV Import'!A:G,"SBV",{"RSC ID","Tier";B388,A388}))</f>
        <v/>
      </c>
      <c r="AY388" s="82" t="str">
        <f t="shared" si="2"/>
        <v/>
      </c>
      <c r="AZ388" s="82"/>
      <c r="BA388" s="84" t="s">
        <v>152</v>
      </c>
      <c r="BB388" s="84" t="str">
        <f>IFERROR(__xludf.DUMMYFUNCTION("iferror(if(A388="""",,E388&gt;=FILTER(Constants!$F$2:$F$10,Constants!$A$2:$A$10=A388)))"),"")</f>
        <v/>
      </c>
    </row>
    <row r="389">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c r="AJ389" s="80"/>
      <c r="AK389" s="80"/>
      <c r="AL389" s="80"/>
      <c r="AM389" s="80"/>
      <c r="AN389" s="80"/>
      <c r="AO389" s="80"/>
      <c r="AP389" s="80"/>
      <c r="AQ389" s="80"/>
      <c r="AR389" s="80"/>
      <c r="AS389" s="80"/>
      <c r="AT389" s="80"/>
      <c r="AU389" s="80"/>
      <c r="AV389" s="80"/>
      <c r="AW389" s="82" t="str">
        <f t="shared" si="1"/>
        <v/>
      </c>
      <c r="AX389" s="83" t="str">
        <f t="array" ref="AX389">IFERROR(DGET('SBV Import'!A:G,"SBV",{"RSC ID","Tier";B389,A389}))</f>
        <v/>
      </c>
      <c r="AY389" s="82" t="str">
        <f t="shared" si="2"/>
        <v/>
      </c>
      <c r="AZ389" s="82"/>
      <c r="BA389" s="84" t="s">
        <v>152</v>
      </c>
      <c r="BB389" s="84" t="str">
        <f>IFERROR(__xludf.DUMMYFUNCTION("iferror(if(A389="""",,E389&gt;=FILTER(Constants!$F$2:$F$10,Constants!$A$2:$A$10=A389)))"),"")</f>
        <v/>
      </c>
    </row>
    <row r="390">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c r="AJ390" s="80"/>
      <c r="AK390" s="80"/>
      <c r="AL390" s="80"/>
      <c r="AM390" s="80"/>
      <c r="AN390" s="80"/>
      <c r="AO390" s="80"/>
      <c r="AP390" s="80"/>
      <c r="AQ390" s="80"/>
      <c r="AR390" s="80"/>
      <c r="AS390" s="80"/>
      <c r="AT390" s="80"/>
      <c r="AU390" s="80"/>
      <c r="AV390" s="80"/>
      <c r="AW390" s="82" t="str">
        <f t="shared" si="1"/>
        <v/>
      </c>
      <c r="AX390" s="83" t="str">
        <f t="array" ref="AX390">IFERROR(DGET('SBV Import'!A:G,"SBV",{"RSC ID","Tier";B390,A390}))</f>
        <v/>
      </c>
      <c r="AY390" s="82" t="str">
        <f t="shared" si="2"/>
        <v/>
      </c>
      <c r="AZ390" s="82"/>
      <c r="BA390" s="84" t="s">
        <v>152</v>
      </c>
      <c r="BB390" s="84" t="str">
        <f>IFERROR(__xludf.DUMMYFUNCTION("iferror(if(A390="""",,E390&gt;=FILTER(Constants!$F$2:$F$10,Constants!$A$2:$A$10=A390)))"),"")</f>
        <v/>
      </c>
    </row>
    <row r="39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c r="AJ391" s="80"/>
      <c r="AK391" s="80"/>
      <c r="AL391" s="80"/>
      <c r="AM391" s="80"/>
      <c r="AN391" s="80"/>
      <c r="AO391" s="80"/>
      <c r="AP391" s="80"/>
      <c r="AQ391" s="80"/>
      <c r="AR391" s="80"/>
      <c r="AS391" s="80"/>
      <c r="AT391" s="80"/>
      <c r="AU391" s="80"/>
      <c r="AV391" s="80"/>
      <c r="AW391" s="82" t="str">
        <f t="shared" si="1"/>
        <v/>
      </c>
      <c r="AX391" s="83" t="str">
        <f t="array" ref="AX391">IFERROR(DGET('SBV Import'!A:G,"SBV",{"RSC ID","Tier";B391,A391}))</f>
        <v/>
      </c>
      <c r="AY391" s="82" t="str">
        <f t="shared" si="2"/>
        <v/>
      </c>
      <c r="AZ391" s="82"/>
      <c r="BA391" s="84" t="s">
        <v>152</v>
      </c>
      <c r="BB391" s="84" t="str">
        <f>IFERROR(__xludf.DUMMYFUNCTION("iferror(if(A391="""",,E391&gt;=FILTER(Constants!$F$2:$F$10,Constants!$A$2:$A$10=A391)))"),"")</f>
        <v/>
      </c>
    </row>
    <row r="39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c r="AJ392" s="80"/>
      <c r="AK392" s="80"/>
      <c r="AL392" s="80"/>
      <c r="AM392" s="80"/>
      <c r="AN392" s="80"/>
      <c r="AO392" s="80"/>
      <c r="AP392" s="80"/>
      <c r="AQ392" s="80"/>
      <c r="AR392" s="80"/>
      <c r="AS392" s="80"/>
      <c r="AT392" s="80"/>
      <c r="AU392" s="80"/>
      <c r="AV392" s="80"/>
      <c r="AW392" s="82" t="str">
        <f t="shared" si="1"/>
        <v/>
      </c>
      <c r="AX392" s="83" t="str">
        <f t="array" ref="AX392">IFERROR(DGET('SBV Import'!A:G,"SBV",{"RSC ID","Tier";B392,A392}))</f>
        <v/>
      </c>
      <c r="AY392" s="82" t="str">
        <f t="shared" si="2"/>
        <v/>
      </c>
      <c r="AZ392" s="82"/>
      <c r="BA392" s="84" t="s">
        <v>152</v>
      </c>
      <c r="BB392" s="84" t="str">
        <f>IFERROR(__xludf.DUMMYFUNCTION("iferror(if(A392="""",,E392&gt;=FILTER(Constants!$F$2:$F$10,Constants!$A$2:$A$10=A392)))"),"")</f>
        <v/>
      </c>
    </row>
    <row r="393">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c r="AJ393" s="80"/>
      <c r="AK393" s="80"/>
      <c r="AL393" s="80"/>
      <c r="AM393" s="80"/>
      <c r="AN393" s="80"/>
      <c r="AO393" s="80"/>
      <c r="AP393" s="80"/>
      <c r="AQ393" s="80"/>
      <c r="AR393" s="80"/>
      <c r="AS393" s="80"/>
      <c r="AT393" s="80"/>
      <c r="AU393" s="80"/>
      <c r="AV393" s="80"/>
      <c r="AW393" s="82" t="str">
        <f t="shared" si="1"/>
        <v/>
      </c>
      <c r="AX393" s="83" t="str">
        <f t="array" ref="AX393">IFERROR(DGET('SBV Import'!A:G,"SBV",{"RSC ID","Tier";B393,A393}))</f>
        <v/>
      </c>
      <c r="AY393" s="82" t="str">
        <f t="shared" si="2"/>
        <v/>
      </c>
      <c r="AZ393" s="82"/>
      <c r="BA393" s="84" t="s">
        <v>152</v>
      </c>
      <c r="BB393" s="84" t="str">
        <f>IFERROR(__xludf.DUMMYFUNCTION("iferror(if(A393="""",,E393&gt;=FILTER(Constants!$F$2:$F$10,Constants!$A$2:$A$10=A393)))"),"")</f>
        <v/>
      </c>
    </row>
    <row r="394">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c r="AJ394" s="80"/>
      <c r="AK394" s="80"/>
      <c r="AL394" s="80"/>
      <c r="AM394" s="80"/>
      <c r="AN394" s="80"/>
      <c r="AO394" s="80"/>
      <c r="AP394" s="80"/>
      <c r="AQ394" s="80"/>
      <c r="AR394" s="80"/>
      <c r="AS394" s="80"/>
      <c r="AT394" s="80"/>
      <c r="AU394" s="80"/>
      <c r="AV394" s="80"/>
      <c r="AW394" s="82" t="str">
        <f t="shared" si="1"/>
        <v/>
      </c>
      <c r="AX394" s="83" t="str">
        <f t="array" ref="AX394">IFERROR(DGET('SBV Import'!A:G,"SBV",{"RSC ID","Tier";B394,A394}))</f>
        <v/>
      </c>
      <c r="AY394" s="82" t="str">
        <f t="shared" si="2"/>
        <v/>
      </c>
      <c r="AZ394" s="82"/>
      <c r="BA394" s="84" t="s">
        <v>152</v>
      </c>
      <c r="BB394" s="84" t="str">
        <f>IFERROR(__xludf.DUMMYFUNCTION("iferror(if(A394="""",,E394&gt;=FILTER(Constants!$F$2:$F$10,Constants!$A$2:$A$10=A394)))"),"")</f>
        <v/>
      </c>
    </row>
    <row r="395">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c r="AJ395" s="80"/>
      <c r="AK395" s="80"/>
      <c r="AL395" s="80"/>
      <c r="AM395" s="80"/>
      <c r="AN395" s="80"/>
      <c r="AO395" s="80"/>
      <c r="AP395" s="80"/>
      <c r="AQ395" s="80"/>
      <c r="AR395" s="80"/>
      <c r="AS395" s="80"/>
      <c r="AT395" s="80"/>
      <c r="AU395" s="80"/>
      <c r="AV395" s="80"/>
      <c r="AW395" s="82" t="str">
        <f t="shared" si="1"/>
        <v/>
      </c>
      <c r="AX395" s="83" t="str">
        <f t="array" ref="AX395">IFERROR(DGET('SBV Import'!A:G,"SBV",{"RSC ID","Tier";B395,A395}))</f>
        <v/>
      </c>
      <c r="AY395" s="82" t="str">
        <f t="shared" si="2"/>
        <v/>
      </c>
      <c r="AZ395" s="82"/>
      <c r="BA395" s="84" t="s">
        <v>152</v>
      </c>
      <c r="BB395" s="84" t="str">
        <f>IFERROR(__xludf.DUMMYFUNCTION("iferror(if(A395="""",,E395&gt;=FILTER(Constants!$F$2:$F$10,Constants!$A$2:$A$10=A395)))"),"")</f>
        <v/>
      </c>
    </row>
    <row r="396">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c r="AJ396" s="80"/>
      <c r="AK396" s="80"/>
      <c r="AL396" s="80"/>
      <c r="AM396" s="80"/>
      <c r="AN396" s="80"/>
      <c r="AO396" s="80"/>
      <c r="AP396" s="80"/>
      <c r="AQ396" s="80"/>
      <c r="AR396" s="80"/>
      <c r="AS396" s="80"/>
      <c r="AT396" s="80"/>
      <c r="AU396" s="80"/>
      <c r="AV396" s="80"/>
      <c r="AW396" s="82" t="str">
        <f t="shared" si="1"/>
        <v/>
      </c>
      <c r="AX396" s="83" t="str">
        <f t="array" ref="AX396">IFERROR(DGET('SBV Import'!A:G,"SBV",{"RSC ID","Tier";B396,A396}))</f>
        <v/>
      </c>
      <c r="AY396" s="82" t="str">
        <f t="shared" si="2"/>
        <v/>
      </c>
      <c r="AZ396" s="82"/>
      <c r="BA396" s="84" t="s">
        <v>152</v>
      </c>
      <c r="BB396" s="84" t="str">
        <f>IFERROR(__xludf.DUMMYFUNCTION("iferror(if(A396="""",,E396&gt;=FILTER(Constants!$F$2:$F$10,Constants!$A$2:$A$10=A396)))"),"")</f>
        <v/>
      </c>
    </row>
    <row r="397">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c r="AJ397" s="80"/>
      <c r="AK397" s="80"/>
      <c r="AL397" s="80"/>
      <c r="AM397" s="80"/>
      <c r="AN397" s="80"/>
      <c r="AO397" s="80"/>
      <c r="AP397" s="80"/>
      <c r="AQ397" s="80"/>
      <c r="AR397" s="80"/>
      <c r="AS397" s="80"/>
      <c r="AT397" s="80"/>
      <c r="AU397" s="80"/>
      <c r="AV397" s="80"/>
      <c r="AW397" s="82" t="str">
        <f t="shared" si="1"/>
        <v/>
      </c>
      <c r="AX397" s="83" t="str">
        <f t="array" ref="AX397">IFERROR(DGET('SBV Import'!A:G,"SBV",{"RSC ID","Tier";B397,A397}))</f>
        <v/>
      </c>
      <c r="AY397" s="82" t="str">
        <f t="shared" si="2"/>
        <v/>
      </c>
      <c r="AZ397" s="82"/>
      <c r="BA397" s="84" t="s">
        <v>152</v>
      </c>
      <c r="BB397" s="84" t="str">
        <f>IFERROR(__xludf.DUMMYFUNCTION("iferror(if(A397="""",,E397&gt;=FILTER(Constants!$F$2:$F$10,Constants!$A$2:$A$10=A397)))"),"")</f>
        <v/>
      </c>
    </row>
    <row r="398">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c r="AJ398" s="80"/>
      <c r="AK398" s="80"/>
      <c r="AL398" s="80"/>
      <c r="AM398" s="80"/>
      <c r="AN398" s="80"/>
      <c r="AO398" s="80"/>
      <c r="AP398" s="80"/>
      <c r="AQ398" s="80"/>
      <c r="AR398" s="80"/>
      <c r="AS398" s="80"/>
      <c r="AT398" s="80"/>
      <c r="AU398" s="80"/>
      <c r="AV398" s="80"/>
      <c r="AW398" s="82" t="str">
        <f t="shared" si="1"/>
        <v/>
      </c>
      <c r="AX398" s="83" t="str">
        <f t="array" ref="AX398">IFERROR(DGET('SBV Import'!A:G,"SBV",{"RSC ID","Tier";B398,A398}))</f>
        <v/>
      </c>
      <c r="AY398" s="82" t="str">
        <f t="shared" si="2"/>
        <v/>
      </c>
      <c r="AZ398" s="82"/>
      <c r="BA398" s="84" t="s">
        <v>152</v>
      </c>
      <c r="BB398" s="84" t="str">
        <f>IFERROR(__xludf.DUMMYFUNCTION("iferror(if(A398="""",,E398&gt;=FILTER(Constants!$F$2:$F$10,Constants!$A$2:$A$10=A398)))"),"")</f>
        <v/>
      </c>
    </row>
    <row r="399">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c r="AJ399" s="80"/>
      <c r="AK399" s="80"/>
      <c r="AL399" s="80"/>
      <c r="AM399" s="80"/>
      <c r="AN399" s="80"/>
      <c r="AO399" s="80"/>
      <c r="AP399" s="80"/>
      <c r="AQ399" s="80"/>
      <c r="AR399" s="80"/>
      <c r="AS399" s="80"/>
      <c r="AT399" s="80"/>
      <c r="AU399" s="80"/>
      <c r="AV399" s="80"/>
      <c r="AW399" s="82" t="str">
        <f t="shared" si="1"/>
        <v/>
      </c>
      <c r="AX399" s="83" t="str">
        <f t="array" ref="AX399">IFERROR(DGET('SBV Import'!A:G,"SBV",{"RSC ID","Tier";B399,A399}))</f>
        <v/>
      </c>
      <c r="AY399" s="82" t="str">
        <f t="shared" si="2"/>
        <v/>
      </c>
      <c r="AZ399" s="82"/>
      <c r="BA399" s="84" t="s">
        <v>152</v>
      </c>
      <c r="BB399" s="84" t="str">
        <f>IFERROR(__xludf.DUMMYFUNCTION("iferror(if(A399="""",,E399&gt;=FILTER(Constants!$F$2:$F$10,Constants!$A$2:$A$10=A399)))"),"")</f>
        <v/>
      </c>
    </row>
    <row r="400">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c r="AJ400" s="80"/>
      <c r="AK400" s="80"/>
      <c r="AL400" s="80"/>
      <c r="AM400" s="80"/>
      <c r="AN400" s="80"/>
      <c r="AO400" s="80"/>
      <c r="AP400" s="80"/>
      <c r="AQ400" s="80"/>
      <c r="AR400" s="80"/>
      <c r="AS400" s="80"/>
      <c r="AT400" s="80"/>
      <c r="AU400" s="80"/>
      <c r="AV400" s="80"/>
      <c r="AW400" s="82" t="str">
        <f t="shared" si="1"/>
        <v/>
      </c>
      <c r="AX400" s="83" t="str">
        <f t="array" ref="AX400">IFERROR(DGET('SBV Import'!A:G,"SBV",{"RSC ID","Tier";B400,A400}))</f>
        <v/>
      </c>
      <c r="AY400" s="82" t="str">
        <f t="shared" si="2"/>
        <v/>
      </c>
      <c r="AZ400" s="82"/>
      <c r="BA400" s="84" t="s">
        <v>152</v>
      </c>
      <c r="BB400" s="84" t="str">
        <f>IFERROR(__xludf.DUMMYFUNCTION("iferror(if(A400="""",,E400&gt;=FILTER(Constants!$F$2:$F$10,Constants!$A$2:$A$10=A400)))"),"")</f>
        <v/>
      </c>
    </row>
    <row r="40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c r="AJ401" s="80"/>
      <c r="AK401" s="80"/>
      <c r="AL401" s="80"/>
      <c r="AM401" s="80"/>
      <c r="AN401" s="80"/>
      <c r="AO401" s="80"/>
      <c r="AP401" s="80"/>
      <c r="AQ401" s="80"/>
      <c r="AR401" s="80"/>
      <c r="AS401" s="80"/>
      <c r="AT401" s="80"/>
      <c r="AU401" s="80"/>
      <c r="AV401" s="80"/>
      <c r="AW401" s="82" t="str">
        <f t="shared" si="1"/>
        <v/>
      </c>
      <c r="AX401" s="83" t="str">
        <f t="array" ref="AX401">IFERROR(DGET('SBV Import'!A:G,"SBV",{"RSC ID","Tier";B401,A401}))</f>
        <v/>
      </c>
      <c r="AY401" s="82" t="str">
        <f t="shared" si="2"/>
        <v/>
      </c>
      <c r="AZ401" s="82"/>
      <c r="BA401" s="84" t="s">
        <v>152</v>
      </c>
      <c r="BB401" s="84" t="str">
        <f>IFERROR(__xludf.DUMMYFUNCTION("iferror(if(A401="""",,E401&gt;=FILTER(Constants!$F$2:$F$10,Constants!$A$2:$A$10=A401)))"),"")</f>
        <v/>
      </c>
    </row>
    <row r="4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c r="AJ402" s="80"/>
      <c r="AK402" s="80"/>
      <c r="AL402" s="80"/>
      <c r="AM402" s="80"/>
      <c r="AN402" s="80"/>
      <c r="AO402" s="80"/>
      <c r="AP402" s="80"/>
      <c r="AQ402" s="80"/>
      <c r="AR402" s="80"/>
      <c r="AS402" s="80"/>
      <c r="AT402" s="80"/>
      <c r="AU402" s="80"/>
      <c r="AV402" s="80"/>
      <c r="AW402" s="82" t="str">
        <f t="shared" si="1"/>
        <v/>
      </c>
      <c r="AX402" s="83" t="str">
        <f t="array" ref="AX402">IFERROR(DGET('SBV Import'!A:G,"SBV",{"RSC ID","Tier";B402,A402}))</f>
        <v/>
      </c>
      <c r="AY402" s="82" t="str">
        <f t="shared" si="2"/>
        <v/>
      </c>
      <c r="AZ402" s="82"/>
      <c r="BA402" s="84" t="s">
        <v>152</v>
      </c>
      <c r="BB402" s="84" t="str">
        <f>IFERROR(__xludf.DUMMYFUNCTION("iferror(if(A402="""",,E402&gt;=FILTER(Constants!$F$2:$F$10,Constants!$A$2:$A$10=A402)))"),"")</f>
        <v/>
      </c>
    </row>
    <row r="403">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c r="AJ403" s="80"/>
      <c r="AK403" s="80"/>
      <c r="AL403" s="80"/>
      <c r="AM403" s="80"/>
      <c r="AN403" s="80"/>
      <c r="AO403" s="80"/>
      <c r="AP403" s="80"/>
      <c r="AQ403" s="80"/>
      <c r="AR403" s="80"/>
      <c r="AS403" s="80"/>
      <c r="AT403" s="80"/>
      <c r="AU403" s="80"/>
      <c r="AV403" s="80"/>
      <c r="AW403" s="82" t="str">
        <f t="shared" si="1"/>
        <v/>
      </c>
      <c r="AX403" s="83" t="str">
        <f t="array" ref="AX403">IFERROR(DGET('SBV Import'!A:G,"SBV",{"RSC ID","Tier";B403,A403}))</f>
        <v/>
      </c>
      <c r="AY403" s="82" t="str">
        <f t="shared" si="2"/>
        <v/>
      </c>
      <c r="AZ403" s="82"/>
      <c r="BA403" s="84" t="s">
        <v>152</v>
      </c>
      <c r="BB403" s="84" t="str">
        <f>IFERROR(__xludf.DUMMYFUNCTION("iferror(if(A403="""",,E403&gt;=FILTER(Constants!$F$2:$F$10,Constants!$A$2:$A$10=A403)))"),"")</f>
        <v/>
      </c>
    </row>
    <row r="404">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c r="AJ404" s="80"/>
      <c r="AK404" s="80"/>
      <c r="AL404" s="80"/>
      <c r="AM404" s="80"/>
      <c r="AN404" s="80"/>
      <c r="AO404" s="80"/>
      <c r="AP404" s="80"/>
      <c r="AQ404" s="80"/>
      <c r="AR404" s="80"/>
      <c r="AS404" s="80"/>
      <c r="AT404" s="80"/>
      <c r="AU404" s="80"/>
      <c r="AV404" s="80"/>
      <c r="AW404" s="82" t="str">
        <f t="shared" si="1"/>
        <v/>
      </c>
      <c r="AX404" s="83" t="str">
        <f t="array" ref="AX404">IFERROR(DGET('SBV Import'!A:G,"SBV",{"RSC ID","Tier";B404,A404}))</f>
        <v/>
      </c>
      <c r="AY404" s="82" t="str">
        <f t="shared" si="2"/>
        <v/>
      </c>
      <c r="AZ404" s="82"/>
      <c r="BA404" s="84" t="s">
        <v>152</v>
      </c>
      <c r="BB404" s="84" t="str">
        <f>IFERROR(__xludf.DUMMYFUNCTION("iferror(if(A404="""",,E404&gt;=FILTER(Constants!$F$2:$F$10,Constants!$A$2:$A$10=A404)))"),"")</f>
        <v/>
      </c>
    </row>
    <row r="405">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c r="AJ405" s="80"/>
      <c r="AK405" s="80"/>
      <c r="AL405" s="80"/>
      <c r="AM405" s="80"/>
      <c r="AN405" s="80"/>
      <c r="AO405" s="80"/>
      <c r="AP405" s="80"/>
      <c r="AQ405" s="80"/>
      <c r="AR405" s="80"/>
      <c r="AS405" s="80"/>
      <c r="AT405" s="80"/>
      <c r="AU405" s="80"/>
      <c r="AV405" s="80"/>
      <c r="AW405" s="82" t="str">
        <f t="shared" si="1"/>
        <v/>
      </c>
      <c r="AX405" s="83" t="str">
        <f t="array" ref="AX405">IFERROR(DGET('SBV Import'!A:G,"SBV",{"RSC ID","Tier";B405,A405}))</f>
        <v/>
      </c>
      <c r="AY405" s="82" t="str">
        <f t="shared" si="2"/>
        <v/>
      </c>
      <c r="AZ405" s="82"/>
      <c r="BA405" s="84" t="s">
        <v>152</v>
      </c>
      <c r="BB405" s="84" t="str">
        <f>IFERROR(__xludf.DUMMYFUNCTION("iferror(if(A405="""",,E405&gt;=FILTER(Constants!$F$2:$F$10,Constants!$A$2:$A$10=A405)))"),"")</f>
        <v/>
      </c>
    </row>
    <row r="406">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c r="AJ406" s="80"/>
      <c r="AK406" s="80"/>
      <c r="AL406" s="80"/>
      <c r="AM406" s="80"/>
      <c r="AN406" s="80"/>
      <c r="AO406" s="80"/>
      <c r="AP406" s="80"/>
      <c r="AQ406" s="80"/>
      <c r="AR406" s="80"/>
      <c r="AS406" s="80"/>
      <c r="AT406" s="80"/>
      <c r="AU406" s="80"/>
      <c r="AV406" s="80"/>
      <c r="AW406" s="82" t="str">
        <f t="shared" si="1"/>
        <v/>
      </c>
      <c r="AX406" s="83" t="str">
        <f t="array" ref="AX406">IFERROR(DGET('SBV Import'!A:G,"SBV",{"RSC ID","Tier";B406,A406}))</f>
        <v/>
      </c>
      <c r="AY406" s="82" t="str">
        <f t="shared" si="2"/>
        <v/>
      </c>
      <c r="AZ406" s="82"/>
      <c r="BA406" s="84" t="s">
        <v>152</v>
      </c>
      <c r="BB406" s="84" t="str">
        <f>IFERROR(__xludf.DUMMYFUNCTION("iferror(if(A406="""",,E406&gt;=FILTER(Constants!$F$2:$F$10,Constants!$A$2:$A$10=A406)))"),"")</f>
        <v/>
      </c>
    </row>
    <row r="407">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c r="AJ407" s="80"/>
      <c r="AK407" s="80"/>
      <c r="AL407" s="80"/>
      <c r="AM407" s="80"/>
      <c r="AN407" s="80"/>
      <c r="AO407" s="80"/>
      <c r="AP407" s="80"/>
      <c r="AQ407" s="80"/>
      <c r="AR407" s="80"/>
      <c r="AS407" s="80"/>
      <c r="AT407" s="80"/>
      <c r="AU407" s="80"/>
      <c r="AV407" s="80"/>
      <c r="AW407" s="82" t="str">
        <f t="shared" si="1"/>
        <v/>
      </c>
      <c r="AX407" s="83" t="str">
        <f t="array" ref="AX407">IFERROR(DGET('SBV Import'!A:G,"SBV",{"RSC ID","Tier";B407,A407}))</f>
        <v/>
      </c>
      <c r="AY407" s="82" t="str">
        <f t="shared" si="2"/>
        <v/>
      </c>
      <c r="AZ407" s="82"/>
      <c r="BA407" s="84" t="s">
        <v>152</v>
      </c>
      <c r="BB407" s="84" t="str">
        <f>IFERROR(__xludf.DUMMYFUNCTION("iferror(if(A407="""",,E407&gt;=FILTER(Constants!$F$2:$F$10,Constants!$A$2:$A$10=A407)))"),"")</f>
        <v/>
      </c>
    </row>
    <row r="408">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c r="AJ408" s="80"/>
      <c r="AK408" s="80"/>
      <c r="AL408" s="80"/>
      <c r="AM408" s="80"/>
      <c r="AN408" s="80"/>
      <c r="AO408" s="80"/>
      <c r="AP408" s="80"/>
      <c r="AQ408" s="80"/>
      <c r="AR408" s="80"/>
      <c r="AS408" s="80"/>
      <c r="AT408" s="80"/>
      <c r="AU408" s="80"/>
      <c r="AV408" s="80"/>
      <c r="AW408" s="82" t="str">
        <f t="shared" si="1"/>
        <v/>
      </c>
      <c r="AX408" s="83" t="str">
        <f t="array" ref="AX408">IFERROR(DGET('SBV Import'!A:G,"SBV",{"RSC ID","Tier";B408,A408}))</f>
        <v/>
      </c>
      <c r="AY408" s="82" t="str">
        <f t="shared" si="2"/>
        <v/>
      </c>
      <c r="AZ408" s="82"/>
      <c r="BA408" s="84" t="s">
        <v>152</v>
      </c>
      <c r="BB408" s="84" t="str">
        <f>IFERROR(__xludf.DUMMYFUNCTION("iferror(if(A408="""",,E408&gt;=FILTER(Constants!$F$2:$F$10,Constants!$A$2:$A$10=A408)))"),"")</f>
        <v/>
      </c>
    </row>
    <row r="409">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c r="AJ409" s="80"/>
      <c r="AK409" s="80"/>
      <c r="AL409" s="80"/>
      <c r="AM409" s="80"/>
      <c r="AN409" s="80"/>
      <c r="AO409" s="80"/>
      <c r="AP409" s="80"/>
      <c r="AQ409" s="80"/>
      <c r="AR409" s="80"/>
      <c r="AS409" s="80"/>
      <c r="AT409" s="80"/>
      <c r="AU409" s="80"/>
      <c r="AV409" s="80"/>
      <c r="AW409" s="82" t="str">
        <f t="shared" si="1"/>
        <v/>
      </c>
      <c r="AX409" s="83" t="str">
        <f t="array" ref="AX409">IFERROR(DGET('SBV Import'!A:G,"SBV",{"RSC ID","Tier";B409,A409}))</f>
        <v/>
      </c>
      <c r="AY409" s="82" t="str">
        <f t="shared" si="2"/>
        <v/>
      </c>
      <c r="AZ409" s="82"/>
      <c r="BA409" s="84" t="s">
        <v>152</v>
      </c>
      <c r="BB409" s="84" t="str">
        <f>IFERROR(__xludf.DUMMYFUNCTION("iferror(if(A409="""",,E409&gt;=FILTER(Constants!$F$2:$F$10,Constants!$A$2:$A$10=A409)))"),"")</f>
        <v/>
      </c>
    </row>
    <row r="410">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c r="AJ410" s="80"/>
      <c r="AK410" s="80"/>
      <c r="AL410" s="80"/>
      <c r="AM410" s="80"/>
      <c r="AN410" s="80"/>
      <c r="AO410" s="80"/>
      <c r="AP410" s="80"/>
      <c r="AQ410" s="80"/>
      <c r="AR410" s="80"/>
      <c r="AS410" s="80"/>
      <c r="AT410" s="80"/>
      <c r="AU410" s="80"/>
      <c r="AV410" s="80"/>
      <c r="AW410" s="82" t="str">
        <f t="shared" si="1"/>
        <v/>
      </c>
      <c r="AX410" s="83" t="str">
        <f t="array" ref="AX410">IFERROR(DGET('SBV Import'!A:G,"SBV",{"RSC ID","Tier";B410,A410}))</f>
        <v/>
      </c>
      <c r="AY410" s="82" t="str">
        <f t="shared" si="2"/>
        <v/>
      </c>
      <c r="AZ410" s="82"/>
      <c r="BA410" s="84" t="s">
        <v>152</v>
      </c>
      <c r="BB410" s="84" t="str">
        <f>IFERROR(__xludf.DUMMYFUNCTION("iferror(if(A410="""",,E410&gt;=FILTER(Constants!$F$2:$F$10,Constants!$A$2:$A$10=A410)))"),"")</f>
        <v/>
      </c>
    </row>
    <row r="41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c r="AI411" s="80"/>
      <c r="AJ411" s="80"/>
      <c r="AK411" s="80"/>
      <c r="AL411" s="80"/>
      <c r="AM411" s="80"/>
      <c r="AN411" s="80"/>
      <c r="AO411" s="80"/>
      <c r="AP411" s="80"/>
      <c r="AQ411" s="80"/>
      <c r="AR411" s="80"/>
      <c r="AS411" s="80"/>
      <c r="AT411" s="80"/>
      <c r="AU411" s="80"/>
      <c r="AV411" s="80"/>
      <c r="AW411" s="82" t="str">
        <f t="shared" si="1"/>
        <v/>
      </c>
      <c r="AX411" s="83" t="str">
        <f t="array" ref="AX411">IFERROR(DGET('SBV Import'!A:G,"SBV",{"RSC ID","Tier";B411,A411}))</f>
        <v/>
      </c>
      <c r="AY411" s="82" t="str">
        <f t="shared" si="2"/>
        <v/>
      </c>
      <c r="AZ411" s="82"/>
      <c r="BA411" s="84" t="s">
        <v>152</v>
      </c>
      <c r="BB411" s="84" t="str">
        <f>IFERROR(__xludf.DUMMYFUNCTION("iferror(if(A411="""",,E411&gt;=FILTER(Constants!$F$2:$F$10,Constants!$A$2:$A$10=A411)))"),"")</f>
        <v/>
      </c>
    </row>
    <row r="41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c r="AI412" s="80"/>
      <c r="AJ412" s="80"/>
      <c r="AK412" s="80"/>
      <c r="AL412" s="80"/>
      <c r="AM412" s="80"/>
      <c r="AN412" s="80"/>
      <c r="AO412" s="80"/>
      <c r="AP412" s="80"/>
      <c r="AQ412" s="80"/>
      <c r="AR412" s="80"/>
      <c r="AS412" s="80"/>
      <c r="AT412" s="80"/>
      <c r="AU412" s="80"/>
      <c r="AV412" s="80"/>
      <c r="AW412" s="82" t="str">
        <f t="shared" si="1"/>
        <v/>
      </c>
      <c r="AX412" s="83" t="str">
        <f t="array" ref="AX412">IFERROR(DGET('SBV Import'!A:G,"SBV",{"RSC ID","Tier";B412,A412}))</f>
        <v/>
      </c>
      <c r="AY412" s="82" t="str">
        <f t="shared" si="2"/>
        <v/>
      </c>
      <c r="AZ412" s="82"/>
      <c r="BA412" s="84" t="s">
        <v>152</v>
      </c>
      <c r="BB412" s="84" t="str">
        <f>IFERROR(__xludf.DUMMYFUNCTION("iferror(if(A412="""",,E412&gt;=FILTER(Constants!$F$2:$F$10,Constants!$A$2:$A$10=A412)))"),"")</f>
        <v/>
      </c>
    </row>
    <row r="413">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c r="AI413" s="80"/>
      <c r="AJ413" s="80"/>
      <c r="AK413" s="80"/>
      <c r="AL413" s="80"/>
      <c r="AM413" s="80"/>
      <c r="AN413" s="80"/>
      <c r="AO413" s="80"/>
      <c r="AP413" s="80"/>
      <c r="AQ413" s="80"/>
      <c r="AR413" s="80"/>
      <c r="AS413" s="80"/>
      <c r="AT413" s="80"/>
      <c r="AU413" s="80"/>
      <c r="AV413" s="80"/>
      <c r="AW413" s="82" t="str">
        <f t="shared" si="1"/>
        <v/>
      </c>
      <c r="AX413" s="83" t="str">
        <f t="array" ref="AX413">IFERROR(DGET('SBV Import'!A:G,"SBV",{"RSC ID","Tier";B413,A413}))</f>
        <v/>
      </c>
      <c r="AY413" s="82" t="str">
        <f t="shared" si="2"/>
        <v/>
      </c>
      <c r="AZ413" s="82"/>
      <c r="BA413" s="84" t="s">
        <v>152</v>
      </c>
      <c r="BB413" s="84" t="str">
        <f>IFERROR(__xludf.DUMMYFUNCTION("iferror(if(A413="""",,E413&gt;=FILTER(Constants!$F$2:$F$10,Constants!$A$2:$A$10=A413)))"),"")</f>
        <v/>
      </c>
    </row>
    <row r="414">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c r="AI414" s="80"/>
      <c r="AJ414" s="80"/>
      <c r="AK414" s="80"/>
      <c r="AL414" s="80"/>
      <c r="AM414" s="80"/>
      <c r="AN414" s="80"/>
      <c r="AO414" s="80"/>
      <c r="AP414" s="80"/>
      <c r="AQ414" s="80"/>
      <c r="AR414" s="80"/>
      <c r="AS414" s="80"/>
      <c r="AT414" s="80"/>
      <c r="AU414" s="80"/>
      <c r="AV414" s="80"/>
      <c r="AW414" s="82" t="str">
        <f t="shared" si="1"/>
        <v/>
      </c>
      <c r="AX414" s="83" t="str">
        <f t="array" ref="AX414">IFERROR(DGET('SBV Import'!A:G,"SBV",{"RSC ID","Tier";B414,A414}))</f>
        <v/>
      </c>
      <c r="AY414" s="82" t="str">
        <f t="shared" si="2"/>
        <v/>
      </c>
      <c r="AZ414" s="82"/>
      <c r="BA414" s="84" t="s">
        <v>152</v>
      </c>
      <c r="BB414" s="84" t="str">
        <f>IFERROR(__xludf.DUMMYFUNCTION("iferror(if(A414="""",,E414&gt;=FILTER(Constants!$F$2:$F$10,Constants!$A$2:$A$10=A414)))"),"")</f>
        <v/>
      </c>
    </row>
    <row r="415">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c r="AI415" s="80"/>
      <c r="AJ415" s="80"/>
      <c r="AK415" s="80"/>
      <c r="AL415" s="80"/>
      <c r="AM415" s="80"/>
      <c r="AN415" s="80"/>
      <c r="AO415" s="80"/>
      <c r="AP415" s="80"/>
      <c r="AQ415" s="80"/>
      <c r="AR415" s="80"/>
      <c r="AS415" s="80"/>
      <c r="AT415" s="80"/>
      <c r="AU415" s="80"/>
      <c r="AV415" s="80"/>
      <c r="AW415" s="82" t="str">
        <f t="shared" si="1"/>
        <v/>
      </c>
      <c r="AX415" s="83" t="str">
        <f t="array" ref="AX415">IFERROR(DGET('SBV Import'!A:G,"SBV",{"RSC ID","Tier";B415,A415}))</f>
        <v/>
      </c>
      <c r="AY415" s="82" t="str">
        <f t="shared" si="2"/>
        <v/>
      </c>
      <c r="AZ415" s="82"/>
      <c r="BA415" s="84" t="s">
        <v>152</v>
      </c>
      <c r="BB415" s="84" t="str">
        <f>IFERROR(__xludf.DUMMYFUNCTION("iferror(if(A415="""",,E415&gt;=FILTER(Constants!$F$2:$F$10,Constants!$A$2:$A$10=A415)))"),"")</f>
        <v/>
      </c>
    </row>
    <row r="416">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c r="AI416" s="80"/>
      <c r="AJ416" s="80"/>
      <c r="AK416" s="80"/>
      <c r="AL416" s="80"/>
      <c r="AM416" s="80"/>
      <c r="AN416" s="80"/>
      <c r="AO416" s="80"/>
      <c r="AP416" s="80"/>
      <c r="AQ416" s="80"/>
      <c r="AR416" s="80"/>
      <c r="AS416" s="80"/>
      <c r="AT416" s="80"/>
      <c r="AU416" s="80"/>
      <c r="AV416" s="80"/>
      <c r="AW416" s="82" t="str">
        <f t="shared" si="1"/>
        <v/>
      </c>
      <c r="AX416" s="83" t="str">
        <f t="array" ref="AX416">IFERROR(DGET('SBV Import'!A:G,"SBV",{"RSC ID","Tier";B416,A416}))</f>
        <v/>
      </c>
      <c r="AY416" s="82" t="str">
        <f t="shared" si="2"/>
        <v/>
      </c>
      <c r="AZ416" s="82"/>
      <c r="BA416" s="84" t="s">
        <v>152</v>
      </c>
      <c r="BB416" s="84" t="str">
        <f>IFERROR(__xludf.DUMMYFUNCTION("iferror(if(A416="""",,E416&gt;=FILTER(Constants!$F$2:$F$10,Constants!$A$2:$A$10=A416)))"),"")</f>
        <v/>
      </c>
    </row>
    <row r="417">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c r="AI417" s="80"/>
      <c r="AJ417" s="80"/>
      <c r="AK417" s="80"/>
      <c r="AL417" s="80"/>
      <c r="AM417" s="80"/>
      <c r="AN417" s="80"/>
      <c r="AO417" s="80"/>
      <c r="AP417" s="80"/>
      <c r="AQ417" s="80"/>
      <c r="AR417" s="80"/>
      <c r="AS417" s="80"/>
      <c r="AT417" s="80"/>
      <c r="AU417" s="80"/>
      <c r="AV417" s="80"/>
      <c r="AW417" s="82" t="str">
        <f t="shared" si="1"/>
        <v/>
      </c>
      <c r="AX417" s="83" t="str">
        <f t="array" ref="AX417">IFERROR(DGET('SBV Import'!A:G,"SBV",{"RSC ID","Tier";B417,A417}))</f>
        <v/>
      </c>
      <c r="AY417" s="82" t="str">
        <f t="shared" si="2"/>
        <v/>
      </c>
      <c r="AZ417" s="82"/>
      <c r="BA417" s="84" t="s">
        <v>152</v>
      </c>
      <c r="BB417" s="84" t="str">
        <f>IFERROR(__xludf.DUMMYFUNCTION("iferror(if(A417="""",,E417&gt;=FILTER(Constants!$F$2:$F$10,Constants!$A$2:$A$10=A417)))"),"")</f>
        <v/>
      </c>
    </row>
    <row r="418">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c r="AI418" s="80"/>
      <c r="AJ418" s="80"/>
      <c r="AK418" s="80"/>
      <c r="AL418" s="80"/>
      <c r="AM418" s="80"/>
      <c r="AN418" s="80"/>
      <c r="AO418" s="80"/>
      <c r="AP418" s="80"/>
      <c r="AQ418" s="80"/>
      <c r="AR418" s="80"/>
      <c r="AS418" s="80"/>
      <c r="AT418" s="80"/>
      <c r="AU418" s="80"/>
      <c r="AV418" s="80"/>
      <c r="AW418" s="82" t="str">
        <f t="shared" si="1"/>
        <v/>
      </c>
      <c r="AX418" s="83" t="str">
        <f t="array" ref="AX418">IFERROR(DGET('SBV Import'!A:G,"SBV",{"RSC ID","Tier";B418,A418}))</f>
        <v/>
      </c>
      <c r="AY418" s="82" t="str">
        <f t="shared" si="2"/>
        <v/>
      </c>
      <c r="AZ418" s="82"/>
      <c r="BA418" s="84" t="s">
        <v>152</v>
      </c>
      <c r="BB418" s="84" t="str">
        <f>IFERROR(__xludf.DUMMYFUNCTION("iferror(if(A418="""",,E418&gt;=FILTER(Constants!$F$2:$F$10,Constants!$A$2:$A$10=A418)))"),"")</f>
        <v/>
      </c>
    </row>
    <row r="419">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c r="AJ419" s="80"/>
      <c r="AK419" s="80"/>
      <c r="AL419" s="80"/>
      <c r="AM419" s="80"/>
      <c r="AN419" s="80"/>
      <c r="AO419" s="80"/>
      <c r="AP419" s="80"/>
      <c r="AQ419" s="80"/>
      <c r="AR419" s="80"/>
      <c r="AS419" s="80"/>
      <c r="AT419" s="80"/>
      <c r="AU419" s="80"/>
      <c r="AV419" s="80"/>
      <c r="AW419" s="82" t="str">
        <f t="shared" si="1"/>
        <v/>
      </c>
      <c r="AX419" s="83" t="str">
        <f t="array" ref="AX419">IFERROR(DGET('SBV Import'!A:G,"SBV",{"RSC ID","Tier";B419,A419}))</f>
        <v/>
      </c>
      <c r="AY419" s="82" t="str">
        <f t="shared" si="2"/>
        <v/>
      </c>
      <c r="AZ419" s="82"/>
      <c r="BA419" s="84" t="s">
        <v>152</v>
      </c>
      <c r="BB419" s="84" t="str">
        <f>IFERROR(__xludf.DUMMYFUNCTION("iferror(if(A419="""",,E419&gt;=FILTER(Constants!$F$2:$F$10,Constants!$A$2:$A$10=A419)))"),"")</f>
        <v/>
      </c>
    </row>
    <row r="420">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c r="AJ420" s="80"/>
      <c r="AK420" s="80"/>
      <c r="AL420" s="80"/>
      <c r="AM420" s="80"/>
      <c r="AN420" s="80"/>
      <c r="AO420" s="80"/>
      <c r="AP420" s="80"/>
      <c r="AQ420" s="80"/>
      <c r="AR420" s="80"/>
      <c r="AS420" s="80"/>
      <c r="AT420" s="80"/>
      <c r="AU420" s="80"/>
      <c r="AV420" s="80"/>
      <c r="AW420" s="82" t="str">
        <f t="shared" si="1"/>
        <v/>
      </c>
      <c r="AX420" s="83" t="str">
        <f t="array" ref="AX420">IFERROR(DGET('SBV Import'!A:G,"SBV",{"RSC ID","Tier";B420,A420}))</f>
        <v/>
      </c>
      <c r="AY420" s="82" t="str">
        <f t="shared" si="2"/>
        <v/>
      </c>
      <c r="AZ420" s="82"/>
      <c r="BA420" s="84" t="s">
        <v>152</v>
      </c>
      <c r="BB420" s="84" t="str">
        <f>IFERROR(__xludf.DUMMYFUNCTION("iferror(if(A420="""",,E420&gt;=FILTER(Constants!$F$2:$F$10,Constants!$A$2:$A$10=A420)))"),"")</f>
        <v/>
      </c>
    </row>
    <row r="42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c r="AJ421" s="80"/>
      <c r="AK421" s="80"/>
      <c r="AL421" s="80"/>
      <c r="AM421" s="80"/>
      <c r="AN421" s="80"/>
      <c r="AO421" s="80"/>
      <c r="AP421" s="80"/>
      <c r="AQ421" s="80"/>
      <c r="AR421" s="80"/>
      <c r="AS421" s="80"/>
      <c r="AT421" s="80"/>
      <c r="AU421" s="80"/>
      <c r="AV421" s="80"/>
      <c r="AW421" s="82" t="str">
        <f t="shared" si="1"/>
        <v/>
      </c>
      <c r="AX421" s="83" t="str">
        <f t="array" ref="AX421">IFERROR(DGET('SBV Import'!A:G,"SBV",{"RSC ID","Tier";B421,A421}))</f>
        <v/>
      </c>
      <c r="AY421" s="82" t="str">
        <f t="shared" si="2"/>
        <v/>
      </c>
      <c r="AZ421" s="82"/>
      <c r="BA421" s="84" t="s">
        <v>152</v>
      </c>
      <c r="BB421" s="84" t="str">
        <f>IFERROR(__xludf.DUMMYFUNCTION("iferror(if(A421="""",,E421&gt;=FILTER(Constants!$F$2:$F$10,Constants!$A$2:$A$10=A421)))"),"")</f>
        <v/>
      </c>
    </row>
    <row r="42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c r="AJ422" s="80"/>
      <c r="AK422" s="80"/>
      <c r="AL422" s="80"/>
      <c r="AM422" s="80"/>
      <c r="AN422" s="80"/>
      <c r="AO422" s="80"/>
      <c r="AP422" s="80"/>
      <c r="AQ422" s="80"/>
      <c r="AR422" s="80"/>
      <c r="AS422" s="80"/>
      <c r="AT422" s="80"/>
      <c r="AU422" s="80"/>
      <c r="AV422" s="80"/>
      <c r="AW422" s="82" t="str">
        <f t="shared" si="1"/>
        <v/>
      </c>
      <c r="AX422" s="83" t="str">
        <f t="array" ref="AX422">IFERROR(DGET('SBV Import'!A:G,"SBV",{"RSC ID","Tier";B422,A422}))</f>
        <v/>
      </c>
      <c r="AY422" s="82" t="str">
        <f t="shared" si="2"/>
        <v/>
      </c>
      <c r="AZ422" s="82"/>
      <c r="BA422" s="84" t="s">
        <v>152</v>
      </c>
      <c r="BB422" s="84" t="str">
        <f>IFERROR(__xludf.DUMMYFUNCTION("iferror(if(A422="""",,E422&gt;=FILTER(Constants!$F$2:$F$10,Constants!$A$2:$A$10=A422)))"),"")</f>
        <v/>
      </c>
    </row>
    <row r="423">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c r="AJ423" s="80"/>
      <c r="AK423" s="80"/>
      <c r="AL423" s="80"/>
      <c r="AM423" s="80"/>
      <c r="AN423" s="80"/>
      <c r="AO423" s="80"/>
      <c r="AP423" s="80"/>
      <c r="AQ423" s="80"/>
      <c r="AR423" s="80"/>
      <c r="AS423" s="80"/>
      <c r="AT423" s="80"/>
      <c r="AU423" s="80"/>
      <c r="AV423" s="80"/>
      <c r="AW423" s="82" t="str">
        <f t="shared" si="1"/>
        <v/>
      </c>
      <c r="AX423" s="83" t="str">
        <f t="array" ref="AX423">IFERROR(DGET('SBV Import'!A:G,"SBV",{"RSC ID","Tier";B423,A423}))</f>
        <v/>
      </c>
      <c r="AY423" s="82" t="str">
        <f t="shared" si="2"/>
        <v/>
      </c>
      <c r="AZ423" s="82"/>
      <c r="BA423" s="84" t="s">
        <v>152</v>
      </c>
      <c r="BB423" s="84" t="str">
        <f>IFERROR(__xludf.DUMMYFUNCTION("iferror(if(A423="""",,E423&gt;=FILTER(Constants!$F$2:$F$10,Constants!$A$2:$A$10=A423)))"),"")</f>
        <v/>
      </c>
    </row>
    <row r="424">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c r="AJ424" s="80"/>
      <c r="AK424" s="80"/>
      <c r="AL424" s="80"/>
      <c r="AM424" s="80"/>
      <c r="AN424" s="80"/>
      <c r="AO424" s="80"/>
      <c r="AP424" s="80"/>
      <c r="AQ424" s="80"/>
      <c r="AR424" s="80"/>
      <c r="AS424" s="80"/>
      <c r="AT424" s="80"/>
      <c r="AU424" s="80"/>
      <c r="AV424" s="80"/>
      <c r="AW424" s="82" t="str">
        <f t="shared" si="1"/>
        <v/>
      </c>
      <c r="AX424" s="83" t="str">
        <f t="array" ref="AX424">IFERROR(DGET('SBV Import'!A:G,"SBV",{"RSC ID","Tier";B424,A424}))</f>
        <v/>
      </c>
      <c r="AY424" s="82" t="str">
        <f t="shared" si="2"/>
        <v/>
      </c>
      <c r="AZ424" s="82"/>
      <c r="BA424" s="84" t="s">
        <v>152</v>
      </c>
      <c r="BB424" s="84" t="str">
        <f>IFERROR(__xludf.DUMMYFUNCTION("iferror(if(A424="""",,E424&gt;=FILTER(Constants!$F$2:$F$10,Constants!$A$2:$A$10=A424)))"),"")</f>
        <v/>
      </c>
    </row>
    <row r="425">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c r="AJ425" s="80"/>
      <c r="AK425" s="80"/>
      <c r="AL425" s="80"/>
      <c r="AM425" s="80"/>
      <c r="AN425" s="80"/>
      <c r="AO425" s="80"/>
      <c r="AP425" s="80"/>
      <c r="AQ425" s="80"/>
      <c r="AR425" s="80"/>
      <c r="AS425" s="80"/>
      <c r="AT425" s="80"/>
      <c r="AU425" s="80"/>
      <c r="AV425" s="80"/>
      <c r="AW425" s="82" t="str">
        <f t="shared" si="1"/>
        <v/>
      </c>
      <c r="AX425" s="83" t="str">
        <f t="array" ref="AX425">IFERROR(DGET('SBV Import'!A:G,"SBV",{"RSC ID","Tier";B425,A425}))</f>
        <v/>
      </c>
      <c r="AY425" s="82" t="str">
        <f t="shared" si="2"/>
        <v/>
      </c>
      <c r="AZ425" s="82"/>
      <c r="BA425" s="84" t="s">
        <v>152</v>
      </c>
      <c r="BB425" s="84" t="str">
        <f>IFERROR(__xludf.DUMMYFUNCTION("iferror(if(A425="""",,E425&gt;=FILTER(Constants!$F$2:$F$10,Constants!$A$2:$A$10=A425)))"),"")</f>
        <v/>
      </c>
    </row>
    <row r="426">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c r="AJ426" s="80"/>
      <c r="AK426" s="80"/>
      <c r="AL426" s="80"/>
      <c r="AM426" s="80"/>
      <c r="AN426" s="80"/>
      <c r="AO426" s="80"/>
      <c r="AP426" s="80"/>
      <c r="AQ426" s="80"/>
      <c r="AR426" s="80"/>
      <c r="AS426" s="80"/>
      <c r="AT426" s="80"/>
      <c r="AU426" s="80"/>
      <c r="AV426" s="80"/>
      <c r="AW426" s="82" t="str">
        <f t="shared" si="1"/>
        <v/>
      </c>
      <c r="AX426" s="83" t="str">
        <f t="array" ref="AX426">IFERROR(DGET('SBV Import'!A:G,"SBV",{"RSC ID","Tier";B426,A426}))</f>
        <v/>
      </c>
      <c r="AY426" s="82" t="str">
        <f t="shared" si="2"/>
        <v/>
      </c>
      <c r="AZ426" s="82"/>
      <c r="BA426" s="84" t="s">
        <v>152</v>
      </c>
      <c r="BB426" s="84" t="str">
        <f>IFERROR(__xludf.DUMMYFUNCTION("iferror(if(A426="""",,E426&gt;=FILTER(Constants!$F$2:$F$10,Constants!$A$2:$A$10=A426)))"),"")</f>
        <v/>
      </c>
    </row>
    <row r="427">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c r="AJ427" s="80"/>
      <c r="AK427" s="80"/>
      <c r="AL427" s="80"/>
      <c r="AM427" s="80"/>
      <c r="AN427" s="80"/>
      <c r="AO427" s="80"/>
      <c r="AP427" s="80"/>
      <c r="AQ427" s="80"/>
      <c r="AR427" s="80"/>
      <c r="AS427" s="80"/>
      <c r="AT427" s="80"/>
      <c r="AU427" s="80"/>
      <c r="AV427" s="80"/>
      <c r="AW427" s="82" t="str">
        <f t="shared" si="1"/>
        <v/>
      </c>
      <c r="AX427" s="83" t="str">
        <f t="array" ref="AX427">IFERROR(DGET('SBV Import'!A:G,"SBV",{"RSC ID","Tier";B427,A427}))</f>
        <v/>
      </c>
      <c r="AY427" s="82" t="str">
        <f t="shared" si="2"/>
        <v/>
      </c>
      <c r="AZ427" s="82"/>
      <c r="BA427" s="84" t="s">
        <v>152</v>
      </c>
      <c r="BB427" s="84" t="str">
        <f>IFERROR(__xludf.DUMMYFUNCTION("iferror(if(A427="""",,E427&gt;=FILTER(Constants!$F$2:$F$10,Constants!$A$2:$A$10=A427)))"),"")</f>
        <v/>
      </c>
    </row>
    <row r="428">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c r="AJ428" s="80"/>
      <c r="AK428" s="80"/>
      <c r="AL428" s="80"/>
      <c r="AM428" s="80"/>
      <c r="AN428" s="80"/>
      <c r="AO428" s="80"/>
      <c r="AP428" s="80"/>
      <c r="AQ428" s="80"/>
      <c r="AR428" s="80"/>
      <c r="AS428" s="80"/>
      <c r="AT428" s="80"/>
      <c r="AU428" s="80"/>
      <c r="AV428" s="80"/>
      <c r="AW428" s="82" t="str">
        <f t="shared" si="1"/>
        <v/>
      </c>
      <c r="AX428" s="83" t="str">
        <f t="array" ref="AX428">IFERROR(DGET('SBV Import'!A:G,"SBV",{"RSC ID","Tier";B428,A428}))</f>
        <v/>
      </c>
      <c r="AY428" s="82" t="str">
        <f t="shared" si="2"/>
        <v/>
      </c>
      <c r="AZ428" s="82"/>
      <c r="BA428" s="84" t="s">
        <v>152</v>
      </c>
      <c r="BB428" s="84" t="str">
        <f>IFERROR(__xludf.DUMMYFUNCTION("iferror(if(A428="""",,E428&gt;=FILTER(Constants!$F$2:$F$10,Constants!$A$2:$A$10=A428)))"),"")</f>
        <v/>
      </c>
    </row>
    <row r="429">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c r="AJ429" s="80"/>
      <c r="AK429" s="80"/>
      <c r="AL429" s="80"/>
      <c r="AM429" s="80"/>
      <c r="AN429" s="80"/>
      <c r="AO429" s="80"/>
      <c r="AP429" s="80"/>
      <c r="AQ429" s="80"/>
      <c r="AR429" s="80"/>
      <c r="AS429" s="80"/>
      <c r="AT429" s="80"/>
      <c r="AU429" s="80"/>
      <c r="AV429" s="80"/>
      <c r="AW429" s="82" t="str">
        <f t="shared" si="1"/>
        <v/>
      </c>
      <c r="AX429" s="83" t="str">
        <f t="array" ref="AX429">IFERROR(DGET('SBV Import'!A:G,"SBV",{"RSC ID","Tier";B429,A429}))</f>
        <v/>
      </c>
      <c r="AY429" s="82" t="str">
        <f t="shared" si="2"/>
        <v/>
      </c>
      <c r="AZ429" s="82"/>
      <c r="BA429" s="84" t="s">
        <v>152</v>
      </c>
      <c r="BB429" s="84" t="str">
        <f>IFERROR(__xludf.DUMMYFUNCTION("iferror(if(A429="""",,E429&gt;=FILTER(Constants!$F$2:$F$10,Constants!$A$2:$A$10=A429)))"),"")</f>
        <v/>
      </c>
    </row>
    <row r="430">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c r="AJ430" s="80"/>
      <c r="AK430" s="80"/>
      <c r="AL430" s="80"/>
      <c r="AM430" s="80"/>
      <c r="AN430" s="80"/>
      <c r="AO430" s="80"/>
      <c r="AP430" s="80"/>
      <c r="AQ430" s="80"/>
      <c r="AR430" s="80"/>
      <c r="AS430" s="80"/>
      <c r="AT430" s="80"/>
      <c r="AU430" s="80"/>
      <c r="AV430" s="80"/>
      <c r="AW430" s="82" t="str">
        <f t="shared" si="1"/>
        <v/>
      </c>
      <c r="AX430" s="83" t="str">
        <f t="array" ref="AX430">IFERROR(DGET('SBV Import'!A:G,"SBV",{"RSC ID","Tier";B430,A430}))</f>
        <v/>
      </c>
      <c r="AY430" s="82" t="str">
        <f t="shared" si="2"/>
        <v/>
      </c>
      <c r="AZ430" s="82"/>
      <c r="BA430" s="84" t="s">
        <v>152</v>
      </c>
      <c r="BB430" s="84" t="str">
        <f>IFERROR(__xludf.DUMMYFUNCTION("iferror(if(A430="""",,E430&gt;=FILTER(Constants!$F$2:$F$10,Constants!$A$2:$A$10=A430)))"),"")</f>
        <v/>
      </c>
    </row>
    <row r="43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c r="AJ431" s="80"/>
      <c r="AK431" s="80"/>
      <c r="AL431" s="80"/>
      <c r="AM431" s="80"/>
      <c r="AN431" s="80"/>
      <c r="AO431" s="80"/>
      <c r="AP431" s="80"/>
      <c r="AQ431" s="80"/>
      <c r="AR431" s="80"/>
      <c r="AS431" s="80"/>
      <c r="AT431" s="80"/>
      <c r="AU431" s="80"/>
      <c r="AV431" s="80"/>
      <c r="AW431" s="82" t="str">
        <f t="shared" si="1"/>
        <v/>
      </c>
      <c r="AX431" s="83" t="str">
        <f t="array" ref="AX431">IFERROR(DGET('SBV Import'!A:G,"SBV",{"RSC ID","Tier";B431,A431}))</f>
        <v/>
      </c>
      <c r="AY431" s="82" t="str">
        <f t="shared" si="2"/>
        <v/>
      </c>
      <c r="AZ431" s="82"/>
      <c r="BA431" s="84" t="s">
        <v>152</v>
      </c>
      <c r="BB431" s="84" t="str">
        <f>IFERROR(__xludf.DUMMYFUNCTION("iferror(if(A431="""",,E431&gt;=FILTER(Constants!$F$2:$F$10,Constants!$A$2:$A$10=A431)))"),"")</f>
        <v/>
      </c>
    </row>
    <row r="43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c r="AJ432" s="80"/>
      <c r="AK432" s="80"/>
      <c r="AL432" s="80"/>
      <c r="AM432" s="80"/>
      <c r="AN432" s="80"/>
      <c r="AO432" s="80"/>
      <c r="AP432" s="80"/>
      <c r="AQ432" s="80"/>
      <c r="AR432" s="80"/>
      <c r="AS432" s="80"/>
      <c r="AT432" s="80"/>
      <c r="AU432" s="80"/>
      <c r="AV432" s="80"/>
      <c r="AW432" s="82" t="str">
        <f t="shared" si="1"/>
        <v/>
      </c>
      <c r="AX432" s="83" t="str">
        <f t="array" ref="AX432">IFERROR(DGET('SBV Import'!A:G,"SBV",{"RSC ID","Tier";B432,A432}))</f>
        <v/>
      </c>
      <c r="AY432" s="82" t="str">
        <f t="shared" si="2"/>
        <v/>
      </c>
      <c r="AZ432" s="82"/>
      <c r="BA432" s="84" t="s">
        <v>152</v>
      </c>
      <c r="BB432" s="84" t="str">
        <f>IFERROR(__xludf.DUMMYFUNCTION("iferror(if(A432="""",,E432&gt;=FILTER(Constants!$F$2:$F$10,Constants!$A$2:$A$10=A432)))"),"")</f>
        <v/>
      </c>
    </row>
    <row r="433">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c r="AJ433" s="80"/>
      <c r="AK433" s="80"/>
      <c r="AL433" s="80"/>
      <c r="AM433" s="80"/>
      <c r="AN433" s="80"/>
      <c r="AO433" s="80"/>
      <c r="AP433" s="80"/>
      <c r="AQ433" s="80"/>
      <c r="AR433" s="80"/>
      <c r="AS433" s="80"/>
      <c r="AT433" s="80"/>
      <c r="AU433" s="80"/>
      <c r="AV433" s="80"/>
      <c r="AW433" s="82" t="str">
        <f t="shared" si="1"/>
        <v/>
      </c>
      <c r="AX433" s="83" t="str">
        <f t="array" ref="AX433">IFERROR(DGET('SBV Import'!A:G,"SBV",{"RSC ID","Tier";B433,A433}))</f>
        <v/>
      </c>
      <c r="AY433" s="82" t="str">
        <f t="shared" si="2"/>
        <v/>
      </c>
      <c r="AZ433" s="82"/>
      <c r="BA433" s="84" t="s">
        <v>152</v>
      </c>
      <c r="BB433" s="84" t="str">
        <f>IFERROR(__xludf.DUMMYFUNCTION("iferror(if(A433="""",,E433&gt;=FILTER(Constants!$F$2:$F$10,Constants!$A$2:$A$10=A433)))"),"")</f>
        <v/>
      </c>
    </row>
    <row r="434">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c r="AJ434" s="80"/>
      <c r="AK434" s="80"/>
      <c r="AL434" s="80"/>
      <c r="AM434" s="80"/>
      <c r="AN434" s="80"/>
      <c r="AO434" s="80"/>
      <c r="AP434" s="80"/>
      <c r="AQ434" s="80"/>
      <c r="AR434" s="80"/>
      <c r="AS434" s="80"/>
      <c r="AT434" s="80"/>
      <c r="AU434" s="80"/>
      <c r="AV434" s="80"/>
      <c r="AW434" s="82" t="str">
        <f t="shared" si="1"/>
        <v/>
      </c>
      <c r="AX434" s="83" t="str">
        <f t="array" ref="AX434">IFERROR(DGET('SBV Import'!A:G,"SBV",{"RSC ID","Tier";B434,A434}))</f>
        <v/>
      </c>
      <c r="AY434" s="82" t="str">
        <f t="shared" si="2"/>
        <v/>
      </c>
      <c r="AZ434" s="82"/>
      <c r="BA434" s="84" t="s">
        <v>152</v>
      </c>
      <c r="BB434" s="84" t="str">
        <f>IFERROR(__xludf.DUMMYFUNCTION("iferror(if(A434="""",,E434&gt;=FILTER(Constants!$F$2:$F$10,Constants!$A$2:$A$10=A434)))"),"")</f>
        <v/>
      </c>
    </row>
    <row r="435">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c r="AJ435" s="80"/>
      <c r="AK435" s="80"/>
      <c r="AL435" s="80"/>
      <c r="AM435" s="80"/>
      <c r="AN435" s="80"/>
      <c r="AO435" s="80"/>
      <c r="AP435" s="80"/>
      <c r="AQ435" s="80"/>
      <c r="AR435" s="80"/>
      <c r="AS435" s="80"/>
      <c r="AT435" s="80"/>
      <c r="AU435" s="80"/>
      <c r="AV435" s="80"/>
      <c r="AW435" s="82" t="str">
        <f t="shared" si="1"/>
        <v/>
      </c>
      <c r="AX435" s="83" t="str">
        <f t="array" ref="AX435">IFERROR(DGET('SBV Import'!A:G,"SBV",{"RSC ID","Tier";B435,A435}))</f>
        <v/>
      </c>
      <c r="AY435" s="82" t="str">
        <f t="shared" si="2"/>
        <v/>
      </c>
      <c r="AZ435" s="82"/>
      <c r="BA435" s="84" t="s">
        <v>152</v>
      </c>
      <c r="BB435" s="84" t="str">
        <f>IFERROR(__xludf.DUMMYFUNCTION("iferror(if(A435="""",,E435&gt;=FILTER(Constants!$F$2:$F$10,Constants!$A$2:$A$10=A435)))"),"")</f>
        <v/>
      </c>
    </row>
    <row r="436">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c r="AJ436" s="80"/>
      <c r="AK436" s="80"/>
      <c r="AL436" s="80"/>
      <c r="AM436" s="80"/>
      <c r="AN436" s="80"/>
      <c r="AO436" s="80"/>
      <c r="AP436" s="80"/>
      <c r="AQ436" s="80"/>
      <c r="AR436" s="80"/>
      <c r="AS436" s="80"/>
      <c r="AT436" s="80"/>
      <c r="AU436" s="80"/>
      <c r="AV436" s="80"/>
      <c r="AW436" s="82" t="str">
        <f t="shared" si="1"/>
        <v/>
      </c>
      <c r="AX436" s="83" t="str">
        <f t="array" ref="AX436">IFERROR(DGET('SBV Import'!A:G,"SBV",{"RSC ID","Tier";B436,A436}))</f>
        <v/>
      </c>
      <c r="AY436" s="82" t="str">
        <f t="shared" si="2"/>
        <v/>
      </c>
      <c r="AZ436" s="82"/>
      <c r="BA436" s="84" t="s">
        <v>152</v>
      </c>
      <c r="BB436" s="84" t="str">
        <f>IFERROR(__xludf.DUMMYFUNCTION("iferror(if(A436="""",,E436&gt;=FILTER(Constants!$F$2:$F$10,Constants!$A$2:$A$10=A436)))"),"")</f>
        <v/>
      </c>
    </row>
    <row r="437">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c r="AJ437" s="80"/>
      <c r="AK437" s="80"/>
      <c r="AL437" s="80"/>
      <c r="AM437" s="80"/>
      <c r="AN437" s="80"/>
      <c r="AO437" s="80"/>
      <c r="AP437" s="80"/>
      <c r="AQ437" s="80"/>
      <c r="AR437" s="80"/>
      <c r="AS437" s="80"/>
      <c r="AT437" s="80"/>
      <c r="AU437" s="80"/>
      <c r="AV437" s="80"/>
      <c r="AW437" s="82" t="str">
        <f t="shared" si="1"/>
        <v/>
      </c>
      <c r="AX437" s="83" t="str">
        <f t="array" ref="AX437">IFERROR(DGET('SBV Import'!A:G,"SBV",{"RSC ID","Tier";B437,A437}))</f>
        <v/>
      </c>
      <c r="AY437" s="82" t="str">
        <f t="shared" si="2"/>
        <v/>
      </c>
      <c r="AZ437" s="82"/>
      <c r="BA437" s="84" t="s">
        <v>152</v>
      </c>
      <c r="BB437" s="84" t="str">
        <f>IFERROR(__xludf.DUMMYFUNCTION("iferror(if(A437="""",,E437&gt;=FILTER(Constants!$F$2:$F$10,Constants!$A$2:$A$10=A437)))"),"")</f>
        <v/>
      </c>
    </row>
    <row r="438">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c r="AJ438" s="80"/>
      <c r="AK438" s="80"/>
      <c r="AL438" s="80"/>
      <c r="AM438" s="80"/>
      <c r="AN438" s="80"/>
      <c r="AO438" s="80"/>
      <c r="AP438" s="80"/>
      <c r="AQ438" s="80"/>
      <c r="AR438" s="80"/>
      <c r="AS438" s="80"/>
      <c r="AT438" s="80"/>
      <c r="AU438" s="80"/>
      <c r="AV438" s="80"/>
      <c r="AW438" s="82" t="str">
        <f t="shared" si="1"/>
        <v/>
      </c>
      <c r="AX438" s="83" t="str">
        <f t="array" ref="AX438">IFERROR(DGET('SBV Import'!A:G,"SBV",{"RSC ID","Tier";B438,A438}))</f>
        <v/>
      </c>
      <c r="AY438" s="82" t="str">
        <f t="shared" si="2"/>
        <v/>
      </c>
      <c r="AZ438" s="82"/>
      <c r="BA438" s="84" t="s">
        <v>152</v>
      </c>
      <c r="BB438" s="84" t="str">
        <f>IFERROR(__xludf.DUMMYFUNCTION("iferror(if(A438="""",,E438&gt;=FILTER(Constants!$F$2:$F$10,Constants!$A$2:$A$10=A438)))"),"")</f>
        <v/>
      </c>
    </row>
    <row r="439">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c r="AJ439" s="80"/>
      <c r="AK439" s="80"/>
      <c r="AL439" s="80"/>
      <c r="AM439" s="80"/>
      <c r="AN439" s="80"/>
      <c r="AO439" s="80"/>
      <c r="AP439" s="80"/>
      <c r="AQ439" s="80"/>
      <c r="AR439" s="80"/>
      <c r="AS439" s="80"/>
      <c r="AT439" s="80"/>
      <c r="AU439" s="80"/>
      <c r="AV439" s="80"/>
      <c r="AW439" s="82" t="str">
        <f t="shared" si="1"/>
        <v/>
      </c>
      <c r="AX439" s="83" t="str">
        <f t="array" ref="AX439">IFERROR(DGET('SBV Import'!A:G,"SBV",{"RSC ID","Tier";B439,A439}))</f>
        <v/>
      </c>
      <c r="AY439" s="82" t="str">
        <f t="shared" si="2"/>
        <v/>
      </c>
      <c r="AZ439" s="82"/>
      <c r="BA439" s="84" t="s">
        <v>152</v>
      </c>
      <c r="BB439" s="84" t="str">
        <f>IFERROR(__xludf.DUMMYFUNCTION("iferror(if(A439="""",,E439&gt;=FILTER(Constants!$F$2:$F$10,Constants!$A$2:$A$10=A439)))"),"")</f>
        <v/>
      </c>
    </row>
    <row r="440">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c r="AJ440" s="80"/>
      <c r="AK440" s="80"/>
      <c r="AL440" s="80"/>
      <c r="AM440" s="80"/>
      <c r="AN440" s="80"/>
      <c r="AO440" s="80"/>
      <c r="AP440" s="80"/>
      <c r="AQ440" s="80"/>
      <c r="AR440" s="80"/>
      <c r="AS440" s="80"/>
      <c r="AT440" s="80"/>
      <c r="AU440" s="80"/>
      <c r="AV440" s="80"/>
      <c r="AW440" s="82" t="str">
        <f t="shared" si="1"/>
        <v/>
      </c>
      <c r="AX440" s="83" t="str">
        <f t="array" ref="AX440">IFERROR(DGET('SBV Import'!A:G,"SBV",{"RSC ID","Tier";B440,A440}))</f>
        <v/>
      </c>
      <c r="AY440" s="82" t="str">
        <f t="shared" si="2"/>
        <v/>
      </c>
      <c r="AZ440" s="82"/>
      <c r="BA440" s="84" t="s">
        <v>152</v>
      </c>
      <c r="BB440" s="84" t="str">
        <f>IFERROR(__xludf.DUMMYFUNCTION("iferror(if(A440="""",,E440&gt;=FILTER(Constants!$F$2:$F$10,Constants!$A$2:$A$10=A440)))"),"")</f>
        <v/>
      </c>
    </row>
    <row r="44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c r="AI441" s="80"/>
      <c r="AJ441" s="80"/>
      <c r="AK441" s="80"/>
      <c r="AL441" s="80"/>
      <c r="AM441" s="80"/>
      <c r="AN441" s="80"/>
      <c r="AO441" s="80"/>
      <c r="AP441" s="80"/>
      <c r="AQ441" s="80"/>
      <c r="AR441" s="80"/>
      <c r="AS441" s="80"/>
      <c r="AT441" s="80"/>
      <c r="AU441" s="80"/>
      <c r="AV441" s="80"/>
      <c r="AW441" s="82" t="str">
        <f t="shared" si="1"/>
        <v/>
      </c>
      <c r="AX441" s="83" t="str">
        <f t="array" ref="AX441">IFERROR(DGET('SBV Import'!A:G,"SBV",{"RSC ID","Tier";B441,A441}))</f>
        <v/>
      </c>
      <c r="AY441" s="82" t="str">
        <f t="shared" si="2"/>
        <v/>
      </c>
      <c r="AZ441" s="82"/>
      <c r="BA441" s="84" t="s">
        <v>152</v>
      </c>
      <c r="BB441" s="84" t="str">
        <f>IFERROR(__xludf.DUMMYFUNCTION("iferror(if(A441="""",,E441&gt;=FILTER(Constants!$F$2:$F$10,Constants!$A$2:$A$10=A441)))"),"")</f>
        <v/>
      </c>
    </row>
    <row r="44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c r="AI442" s="80"/>
      <c r="AJ442" s="80"/>
      <c r="AK442" s="80"/>
      <c r="AL442" s="80"/>
      <c r="AM442" s="80"/>
      <c r="AN442" s="80"/>
      <c r="AO442" s="80"/>
      <c r="AP442" s="80"/>
      <c r="AQ442" s="80"/>
      <c r="AR442" s="80"/>
      <c r="AS442" s="80"/>
      <c r="AT442" s="80"/>
      <c r="AU442" s="80"/>
      <c r="AV442" s="80"/>
      <c r="AW442" s="82" t="str">
        <f t="shared" si="1"/>
        <v/>
      </c>
      <c r="AX442" s="83" t="str">
        <f t="array" ref="AX442">IFERROR(DGET('SBV Import'!A:G,"SBV",{"RSC ID","Tier";B442,A442}))</f>
        <v/>
      </c>
      <c r="AY442" s="82" t="str">
        <f t="shared" si="2"/>
        <v/>
      </c>
      <c r="AZ442" s="82"/>
      <c r="BA442" s="84" t="s">
        <v>152</v>
      </c>
      <c r="BB442" s="84" t="str">
        <f>IFERROR(__xludf.DUMMYFUNCTION("iferror(if(A442="""",,E442&gt;=FILTER(Constants!$F$2:$F$10,Constants!$A$2:$A$10=A442)))"),"")</f>
        <v/>
      </c>
    </row>
    <row r="443">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c r="AI443" s="80"/>
      <c r="AJ443" s="80"/>
      <c r="AK443" s="80"/>
      <c r="AL443" s="80"/>
      <c r="AM443" s="80"/>
      <c r="AN443" s="80"/>
      <c r="AO443" s="80"/>
      <c r="AP443" s="80"/>
      <c r="AQ443" s="80"/>
      <c r="AR443" s="80"/>
      <c r="AS443" s="80"/>
      <c r="AT443" s="80"/>
      <c r="AU443" s="80"/>
      <c r="AV443" s="80"/>
      <c r="AW443" s="82" t="str">
        <f t="shared" si="1"/>
        <v/>
      </c>
      <c r="AX443" s="83" t="str">
        <f t="array" ref="AX443">IFERROR(DGET('SBV Import'!A:G,"SBV",{"RSC ID","Tier";B443,A443}))</f>
        <v/>
      </c>
      <c r="AY443" s="82" t="str">
        <f t="shared" si="2"/>
        <v/>
      </c>
      <c r="AZ443" s="82"/>
      <c r="BA443" s="84" t="s">
        <v>152</v>
      </c>
      <c r="BB443" s="84" t="str">
        <f>IFERROR(__xludf.DUMMYFUNCTION("iferror(if(A443="""",,E443&gt;=FILTER(Constants!$F$2:$F$10,Constants!$A$2:$A$10=A443)))"),"")</f>
        <v/>
      </c>
    </row>
    <row r="444">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c r="AI444" s="80"/>
      <c r="AJ444" s="80"/>
      <c r="AK444" s="80"/>
      <c r="AL444" s="80"/>
      <c r="AM444" s="80"/>
      <c r="AN444" s="80"/>
      <c r="AO444" s="80"/>
      <c r="AP444" s="80"/>
      <c r="AQ444" s="80"/>
      <c r="AR444" s="80"/>
      <c r="AS444" s="80"/>
      <c r="AT444" s="80"/>
      <c r="AU444" s="80"/>
      <c r="AV444" s="80"/>
      <c r="AW444" s="82" t="str">
        <f t="shared" si="1"/>
        <v/>
      </c>
      <c r="AX444" s="83" t="str">
        <f t="array" ref="AX444">IFERROR(DGET('SBV Import'!A:G,"SBV",{"RSC ID","Tier";B444,A444}))</f>
        <v/>
      </c>
      <c r="AY444" s="82" t="str">
        <f t="shared" si="2"/>
        <v/>
      </c>
      <c r="AZ444" s="82"/>
      <c r="BA444" s="84" t="s">
        <v>152</v>
      </c>
      <c r="BB444" s="84" t="str">
        <f>IFERROR(__xludf.DUMMYFUNCTION("iferror(if(A444="""",,E444&gt;=FILTER(Constants!$F$2:$F$10,Constants!$A$2:$A$10=A444)))"),"")</f>
        <v/>
      </c>
    </row>
    <row r="445">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c r="AI445" s="80"/>
      <c r="AJ445" s="80"/>
      <c r="AK445" s="80"/>
      <c r="AL445" s="80"/>
      <c r="AM445" s="80"/>
      <c r="AN445" s="80"/>
      <c r="AO445" s="80"/>
      <c r="AP445" s="80"/>
      <c r="AQ445" s="80"/>
      <c r="AR445" s="80"/>
      <c r="AS445" s="80"/>
      <c r="AT445" s="80"/>
      <c r="AU445" s="80"/>
      <c r="AV445" s="80"/>
      <c r="AW445" s="82" t="str">
        <f t="shared" si="1"/>
        <v/>
      </c>
      <c r="AX445" s="83" t="str">
        <f t="array" ref="AX445">IFERROR(DGET('SBV Import'!A:G,"SBV",{"RSC ID","Tier";B445,A445}))</f>
        <v/>
      </c>
      <c r="AY445" s="82" t="str">
        <f t="shared" si="2"/>
        <v/>
      </c>
      <c r="AZ445" s="82"/>
      <c r="BA445" s="84" t="s">
        <v>152</v>
      </c>
      <c r="BB445" s="84" t="str">
        <f>IFERROR(__xludf.DUMMYFUNCTION("iferror(if(A445="""",,E445&gt;=FILTER(Constants!$F$2:$F$10,Constants!$A$2:$A$10=A445)))"),"")</f>
        <v/>
      </c>
    </row>
    <row r="446">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c r="AJ446" s="80"/>
      <c r="AK446" s="80"/>
      <c r="AL446" s="80"/>
      <c r="AM446" s="80"/>
      <c r="AN446" s="80"/>
      <c r="AO446" s="80"/>
      <c r="AP446" s="80"/>
      <c r="AQ446" s="80"/>
      <c r="AR446" s="80"/>
      <c r="AS446" s="80"/>
      <c r="AT446" s="80"/>
      <c r="AU446" s="80"/>
      <c r="AV446" s="80"/>
      <c r="AW446" s="82" t="str">
        <f t="shared" si="1"/>
        <v/>
      </c>
      <c r="AX446" s="83" t="str">
        <f t="array" ref="AX446">IFERROR(DGET('SBV Import'!A:G,"SBV",{"RSC ID","Tier";B446,A446}))</f>
        <v/>
      </c>
      <c r="AY446" s="82" t="str">
        <f t="shared" si="2"/>
        <v/>
      </c>
      <c r="AZ446" s="82"/>
      <c r="BA446" s="84" t="s">
        <v>152</v>
      </c>
      <c r="BB446" s="84" t="str">
        <f>IFERROR(__xludf.DUMMYFUNCTION("iferror(if(A446="""",,E446&gt;=FILTER(Constants!$F$2:$F$10,Constants!$A$2:$A$10=A446)))"),"")</f>
        <v/>
      </c>
    </row>
    <row r="447">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c r="AJ447" s="80"/>
      <c r="AK447" s="80"/>
      <c r="AL447" s="80"/>
      <c r="AM447" s="80"/>
      <c r="AN447" s="80"/>
      <c r="AO447" s="80"/>
      <c r="AP447" s="80"/>
      <c r="AQ447" s="80"/>
      <c r="AR447" s="80"/>
      <c r="AS447" s="80"/>
      <c r="AT447" s="80"/>
      <c r="AU447" s="80"/>
      <c r="AV447" s="80"/>
      <c r="AW447" s="82" t="str">
        <f t="shared" si="1"/>
        <v/>
      </c>
      <c r="AX447" s="83" t="str">
        <f t="array" ref="AX447">IFERROR(DGET('SBV Import'!A:G,"SBV",{"RSC ID","Tier";B447,A447}))</f>
        <v/>
      </c>
      <c r="AY447" s="82" t="str">
        <f t="shared" si="2"/>
        <v/>
      </c>
      <c r="AZ447" s="82"/>
      <c r="BA447" s="84" t="s">
        <v>152</v>
      </c>
      <c r="BB447" s="84" t="str">
        <f>IFERROR(__xludf.DUMMYFUNCTION("iferror(if(A447="""",,E447&gt;=FILTER(Constants!$F$2:$F$10,Constants!$A$2:$A$10=A447)))"),"")</f>
        <v/>
      </c>
    </row>
    <row r="448">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c r="AJ448" s="80"/>
      <c r="AK448" s="80"/>
      <c r="AL448" s="80"/>
      <c r="AM448" s="80"/>
      <c r="AN448" s="80"/>
      <c r="AO448" s="80"/>
      <c r="AP448" s="80"/>
      <c r="AQ448" s="80"/>
      <c r="AR448" s="80"/>
      <c r="AS448" s="80"/>
      <c r="AT448" s="80"/>
      <c r="AU448" s="80"/>
      <c r="AV448" s="80"/>
      <c r="AW448" s="82" t="str">
        <f t="shared" si="1"/>
        <v/>
      </c>
      <c r="AX448" s="83" t="str">
        <f t="array" ref="AX448">IFERROR(DGET('SBV Import'!A:G,"SBV",{"RSC ID","Tier";B448,A448}))</f>
        <v/>
      </c>
      <c r="AY448" s="82" t="str">
        <f t="shared" si="2"/>
        <v/>
      </c>
      <c r="AZ448" s="82"/>
      <c r="BA448" s="84" t="s">
        <v>152</v>
      </c>
      <c r="BB448" s="84" t="str">
        <f>IFERROR(__xludf.DUMMYFUNCTION("iferror(if(A448="""",,E448&gt;=FILTER(Constants!$F$2:$F$10,Constants!$A$2:$A$10=A448)))"),"")</f>
        <v/>
      </c>
    </row>
    <row r="449">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c r="AJ449" s="80"/>
      <c r="AK449" s="80"/>
      <c r="AL449" s="80"/>
      <c r="AM449" s="80"/>
      <c r="AN449" s="80"/>
      <c r="AO449" s="80"/>
      <c r="AP449" s="80"/>
      <c r="AQ449" s="80"/>
      <c r="AR449" s="80"/>
      <c r="AS449" s="80"/>
      <c r="AT449" s="80"/>
      <c r="AU449" s="80"/>
      <c r="AV449" s="80"/>
      <c r="AW449" s="82" t="str">
        <f t="shared" si="1"/>
        <v/>
      </c>
      <c r="AX449" s="83" t="str">
        <f t="array" ref="AX449">IFERROR(DGET('SBV Import'!A:G,"SBV",{"RSC ID","Tier";B449,A449}))</f>
        <v/>
      </c>
      <c r="AY449" s="82" t="str">
        <f t="shared" si="2"/>
        <v/>
      </c>
      <c r="AZ449" s="82"/>
      <c r="BA449" s="84" t="s">
        <v>152</v>
      </c>
      <c r="BB449" s="84" t="str">
        <f>IFERROR(__xludf.DUMMYFUNCTION("iferror(if(A449="""",,E449&gt;=FILTER(Constants!$F$2:$F$10,Constants!$A$2:$A$10=A449)))"),"")</f>
        <v/>
      </c>
    </row>
    <row r="450">
      <c r="A450" s="85" t="str">
        <f>IFERROR(__xludf.DUMMYFUNCTION("QUERY(IMPORTRANGE(Constants!$B3, ""'Player Stats'!A2:AV""), ""Select * order by Col48 desc"")"),"Master")</f>
        <v>Master</v>
      </c>
      <c r="B450" s="80" t="str">
        <f>IFERROR(__xludf.DUMMYFUNCTION("""COMPUTED_VALUE"""),"RSC006408")</f>
        <v>RSC006408</v>
      </c>
      <c r="C450" s="80" t="str">
        <f>IFERROR(__xludf.DUMMYFUNCTION("""COMPUTED_VALUE"""),"Met.")</f>
        <v>Met.</v>
      </c>
      <c r="D450" s="80" t="str">
        <f>IFERROR(__xludf.DUMMYFUNCTION("""COMPUTED_VALUE"""),"Battle Masters")</f>
        <v>Battle Masters</v>
      </c>
      <c r="E450" s="80">
        <f>IFERROR(__xludf.DUMMYFUNCTION("""COMPUTED_VALUE"""),28.0)</f>
        <v>28</v>
      </c>
      <c r="F450" s="80">
        <f>IFERROR(__xludf.DUMMYFUNCTION("""COMPUTED_VALUE"""),21.0)</f>
        <v>21</v>
      </c>
      <c r="G450" s="80">
        <f>IFERROR(__xludf.DUMMYFUNCTION("""COMPUTED_VALUE"""),7.0)</f>
        <v>7</v>
      </c>
      <c r="H450" s="81">
        <f>IFERROR(__xludf.DUMMYFUNCTION("""COMPUTED_VALUE"""),0.75)</f>
        <v>0.75</v>
      </c>
      <c r="I450" s="81">
        <f>IFERROR(__xludf.DUMMYFUNCTION("""COMPUTED_VALUE"""),0.31481481481481477)</f>
        <v>0.3148148148</v>
      </c>
      <c r="J450" s="80">
        <f>IFERROR(__xludf.DUMMYFUNCTION("""COMPUTED_VALUE"""),461.39285714285717)</f>
        <v>461.3928571</v>
      </c>
      <c r="K450" s="80">
        <f>IFERROR(__xludf.DUMMYFUNCTION("""COMPUTED_VALUE"""),1.2142857142857142)</f>
        <v>1.214285714</v>
      </c>
      <c r="L450" s="80">
        <f>IFERROR(__xludf.DUMMYFUNCTION("""COMPUTED_VALUE"""),1.1071428571428572)</f>
        <v>1.107142857</v>
      </c>
      <c r="M450" s="80">
        <f>IFERROR(__xludf.DUMMYFUNCTION("""COMPUTED_VALUE"""),1.2142857142857142)</f>
        <v>1.214285714</v>
      </c>
      <c r="N450" s="80">
        <f>IFERROR(__xludf.DUMMYFUNCTION("""COMPUTED_VALUE"""),3.857142857142857)</f>
        <v>3.857142857</v>
      </c>
      <c r="O450" s="80">
        <f>IFERROR(__xludf.DUMMYFUNCTION("""COMPUTED_VALUE"""),342.00000000000006)</f>
        <v>342</v>
      </c>
      <c r="P450" s="80">
        <f>IFERROR(__xludf.DUMMYFUNCTION("""COMPUTED_VALUE"""),0.5595238095238095)</f>
        <v>0.5595238095</v>
      </c>
      <c r="Q450" s="80">
        <f>IFERROR(__xludf.DUMMYFUNCTION("""COMPUTED_VALUE"""),0.4404761904761905)</f>
        <v>0.4404761905</v>
      </c>
      <c r="R450" s="80">
        <f>IFERROR(__xludf.DUMMYFUNCTION("""COMPUTED_VALUE"""),1.6904761904761902)</f>
        <v>1.69047619</v>
      </c>
      <c r="S450" s="80">
        <f>IFERROR(__xludf.DUMMYFUNCTION("""COMPUTED_VALUE"""),2.226190476190476)</f>
        <v>2.226190476</v>
      </c>
      <c r="T450" s="80">
        <f>IFERROR(__xludf.DUMMYFUNCTION("""COMPUTED_VALUE"""),369.47254778197276)</f>
        <v>369.4725478</v>
      </c>
      <c r="U450" s="80">
        <f>IFERROR(__xludf.DUMMYFUNCTION("""COMPUTED_VALUE"""),0.7709216645620682)</f>
        <v>0.7709216646</v>
      </c>
      <c r="V450" s="80">
        <f>IFERROR(__xludf.DUMMYFUNCTION("""COMPUTED_VALUE"""),0.5924592769454741)</f>
        <v>0.5924592769</v>
      </c>
      <c r="W450" s="80">
        <f>IFERROR(__xludf.DUMMYFUNCTION("""COMPUTED_VALUE"""),1.5422862238563233)</f>
        <v>1.542286224</v>
      </c>
      <c r="X450" s="80">
        <f>IFERROR(__xludf.DUMMYFUNCTION("""COMPUTED_VALUE"""),2.689630955626083)</f>
        <v>2.689630956</v>
      </c>
      <c r="Y450" s="80">
        <f>IFERROR(__xludf.DUMMYFUNCTION("""COMPUTED_VALUE"""),400.4535570649922)</f>
        <v>400.4535571</v>
      </c>
      <c r="Z450" s="80">
        <f>IFERROR(__xludf.DUMMYFUNCTION("""COMPUTED_VALUE"""),0.9698710311829561)</f>
        <v>0.9698710312</v>
      </c>
      <c r="AA450" s="80">
        <f>IFERROR(__xludf.DUMMYFUNCTION("""COMPUTED_VALUE"""),0.7496014539626051)</f>
        <v>0.749601454</v>
      </c>
      <c r="AB450" s="80">
        <f>IFERROR(__xludf.DUMMYFUNCTION("""COMPUTED_VALUE"""),1.4894269550299555)</f>
        <v>1.489426955</v>
      </c>
      <c r="AC450" s="80">
        <f>IFERROR(__xludf.DUMMYFUNCTION("""COMPUTED_VALUE"""),2.945332286645874)</f>
        <v>2.945332287</v>
      </c>
      <c r="AD450" s="80">
        <f>IFERROR(__xludf.DUMMYFUNCTION("""COMPUTED_VALUE"""),1.1521756992858343)</f>
        <v>1.152175699</v>
      </c>
      <c r="AE450" s="80">
        <f>IFERROR(__xludf.DUMMYFUNCTION("""COMPUTED_VALUE"""),1.2520074063915945)</f>
        <v>1.252007406</v>
      </c>
      <c r="AF450" s="80">
        <f>IFERROR(__xludf.DUMMYFUNCTION("""COMPUTED_VALUE"""),1.4769753330789144)</f>
        <v>1.476975333</v>
      </c>
      <c r="AG450" s="80">
        <f>IFERROR(__xludf.DUMMYFUNCTION("""COMPUTED_VALUE"""),0.8152704032815711)</f>
        <v>0.8152704033</v>
      </c>
      <c r="AH450" s="80">
        <f>IFERROR(__xludf.DUMMYFUNCTION("""COMPUTED_VALUE"""),1.309578166997024)</f>
        <v>1.309578167</v>
      </c>
      <c r="AI450" s="80">
        <f>IFERROR(__xludf.DUMMYFUNCTION("""COMPUTED_VALUE"""),0.9256438727399461)</f>
        <v>0.9256438727</v>
      </c>
      <c r="AJ450" s="80">
        <f>IFERROR(__xludf.DUMMYFUNCTION("""COMPUTED_VALUE"""),0.7257855567486926)</f>
        <v>0.7257855567</v>
      </c>
      <c r="AK450" s="80">
        <f>IFERROR(__xludf.DUMMYFUNCTION("""COMPUTED_VALUE"""),0.7434708301761118)</f>
        <v>0.7434708302</v>
      </c>
      <c r="AL450" s="80">
        <f>IFERROR(__xludf.DUMMYFUNCTION("""COMPUTED_VALUE"""),1.0960846075959452)</f>
        <v>1.096084608</v>
      </c>
      <c r="AM450" s="80">
        <f>IFERROR(__xludf.DUMMYFUNCTION("""COMPUTED_VALUE"""),0.8276936549729258)</f>
        <v>0.827693655</v>
      </c>
      <c r="AN450" s="80">
        <f>IFERROR(__xludf.DUMMYFUNCTION("""COMPUTED_VALUE"""),1.2509989037543288)</f>
        <v>1.250998904</v>
      </c>
      <c r="AO450" s="80">
        <f>IFERROR(__xludf.DUMMYFUNCTION("""COMPUTED_VALUE"""),1.5823312096631044)</f>
        <v>1.58233121</v>
      </c>
      <c r="AP450" s="80">
        <f>IFERROR(__xludf.DUMMYFUNCTION("""COMPUTED_VALUE"""),1.73801205895485)</f>
        <v>1.738012059</v>
      </c>
      <c r="AQ450" s="80">
        <f>IFERROR(__xludf.DUMMYFUNCTION("""COMPUTED_VALUE"""),0.829592851579442)</f>
        <v>0.8295928516</v>
      </c>
      <c r="AR450" s="80">
        <f>IFERROR(__xludf.DUMMYFUNCTION("""COMPUTED_VALUE"""),1.4297236107039513)</f>
        <v>1.429723611</v>
      </c>
      <c r="AS450" s="80">
        <f>IFERROR(__xludf.DUMMYFUNCTION("""COMPUTED_VALUE"""),104.0)</f>
        <v>104</v>
      </c>
      <c r="AT450" s="80">
        <f>IFERROR(__xludf.DUMMYFUNCTION("""COMPUTED_VALUE"""),0.783843516869912)</f>
        <v>0.7838435169</v>
      </c>
      <c r="AU450" s="80">
        <f>IFERROR(__xludf.DUMMYFUNCTION("""COMPUTED_VALUE"""),5.084798154150533)</f>
        <v>5.084798154</v>
      </c>
      <c r="AV450" s="80">
        <f>IFERROR(__xludf.DUMMYFUNCTION("""COMPUTED_VALUE"""),100.25460501988178)</f>
        <v>100.254605</v>
      </c>
      <c r="AW450" s="82">
        <f t="shared" si="1"/>
        <v>45.0331813</v>
      </c>
      <c r="AX450" s="83">
        <f t="array" ref="AX450">IFERROR(DGET('SBV Import'!A:G,"SBV",{"RSC ID","Tier";B450,A450}))</f>
        <v>95.91171669</v>
      </c>
      <c r="AY450" s="82">
        <f t="shared" si="2"/>
        <v>30.1712041</v>
      </c>
      <c r="AZ450" s="82">
        <v>14.86197719354054</v>
      </c>
      <c r="BA450" s="84">
        <v>450.0</v>
      </c>
      <c r="BB450" s="84" t="b">
        <f>IFERROR(__xludf.DUMMYFUNCTION("iferror(if(A450="""",,E450&gt;=FILTER(Constants!$F$2:$F$10,Constants!$A$2:$A$10=A450)))"),TRUE)</f>
        <v>1</v>
      </c>
    </row>
    <row r="451">
      <c r="A451" s="80" t="str">
        <f>IFERROR(__xludf.DUMMYFUNCTION("""COMPUTED_VALUE"""),"Master")</f>
        <v>Master</v>
      </c>
      <c r="B451" s="80" t="str">
        <f>IFERROR(__xludf.DUMMYFUNCTION("""COMPUTED_VALUE"""),"RSC007099")</f>
        <v>RSC007099</v>
      </c>
      <c r="C451" s="80" t="str">
        <f>IFERROR(__xludf.DUMMYFUNCTION("""COMPUTED_VALUE"""),"gumwee wigglebean")</f>
        <v>gumwee wigglebean</v>
      </c>
      <c r="D451" s="80" t="str">
        <f>IFERROR(__xludf.DUMMYFUNCTION("""COMPUTED_VALUE"""),"Plinko")</f>
        <v>Plinko</v>
      </c>
      <c r="E451" s="80">
        <f>IFERROR(__xludf.DUMMYFUNCTION("""COMPUTED_VALUE"""),12.0)</f>
        <v>12</v>
      </c>
      <c r="F451" s="80">
        <f>IFERROR(__xludf.DUMMYFUNCTION("""COMPUTED_VALUE"""),6.0)</f>
        <v>6</v>
      </c>
      <c r="G451" s="80">
        <f>IFERROR(__xludf.DUMMYFUNCTION("""COMPUTED_VALUE"""),6.0)</f>
        <v>6</v>
      </c>
      <c r="H451" s="81">
        <f>IFERROR(__xludf.DUMMYFUNCTION("""COMPUTED_VALUE"""),0.5)</f>
        <v>0.5</v>
      </c>
      <c r="I451" s="81">
        <f>IFERROR(__xludf.DUMMYFUNCTION("""COMPUTED_VALUE"""),0.3720930232558139)</f>
        <v>0.3720930233</v>
      </c>
      <c r="J451" s="80">
        <f>IFERROR(__xludf.DUMMYFUNCTION("""COMPUTED_VALUE"""),489.1666666666667)</f>
        <v>489.1666667</v>
      </c>
      <c r="K451" s="80">
        <f>IFERROR(__xludf.DUMMYFUNCTION("""COMPUTED_VALUE"""),1.3333333333333333)</f>
        <v>1.333333333</v>
      </c>
      <c r="L451" s="80">
        <f>IFERROR(__xludf.DUMMYFUNCTION("""COMPUTED_VALUE"""),0.8333333333333334)</f>
        <v>0.8333333333</v>
      </c>
      <c r="M451" s="80">
        <f>IFERROR(__xludf.DUMMYFUNCTION("""COMPUTED_VALUE"""),1.4166666666666667)</f>
        <v>1.416666667</v>
      </c>
      <c r="N451" s="80">
        <f>IFERROR(__xludf.DUMMYFUNCTION("""COMPUTED_VALUE"""),3.5833333333333335)</f>
        <v>3.583333333</v>
      </c>
      <c r="O451" s="80">
        <f>IFERROR(__xludf.DUMMYFUNCTION("""COMPUTED_VALUE"""),408.0)</f>
        <v>408</v>
      </c>
      <c r="P451" s="80">
        <f>IFERROR(__xludf.DUMMYFUNCTION("""COMPUTED_VALUE"""),0.8055555555555555)</f>
        <v>0.8055555556</v>
      </c>
      <c r="Q451" s="80">
        <f>IFERROR(__xludf.DUMMYFUNCTION("""COMPUTED_VALUE"""),0.6666666666666666)</f>
        <v>0.6666666667</v>
      </c>
      <c r="R451" s="80">
        <f>IFERROR(__xludf.DUMMYFUNCTION("""COMPUTED_VALUE"""),1.6944444444444444)</f>
        <v>1.694444444</v>
      </c>
      <c r="S451" s="80">
        <f>IFERROR(__xludf.DUMMYFUNCTION("""COMPUTED_VALUE"""),2.638888888888889)</f>
        <v>2.638888889</v>
      </c>
      <c r="T451" s="80">
        <f>IFERROR(__xludf.DUMMYFUNCTION("""COMPUTED_VALUE"""),388.8691260174103)</f>
        <v>388.869126</v>
      </c>
      <c r="U451" s="80">
        <f>IFERROR(__xludf.DUMMYFUNCTION("""COMPUTED_VALUE"""),0.8630345825198766)</f>
        <v>0.8630345825</v>
      </c>
      <c r="V451" s="80">
        <f>IFERROR(__xludf.DUMMYFUNCTION("""COMPUTED_VALUE"""),0.6955282281262672)</f>
        <v>0.6955282281</v>
      </c>
      <c r="W451" s="80">
        <f>IFERROR(__xludf.DUMMYFUNCTION("""COMPUTED_VALUE"""),1.4436549198804098)</f>
        <v>1.44365492</v>
      </c>
      <c r="X451" s="80">
        <f>IFERROR(__xludf.DUMMYFUNCTION("""COMPUTED_VALUE"""),2.787256847183317)</f>
        <v>2.787256847</v>
      </c>
      <c r="Y451" s="80">
        <f>IFERROR(__xludf.DUMMYFUNCTION("""COMPUTED_VALUE"""),393.84239311886375)</f>
        <v>393.8423931</v>
      </c>
      <c r="Z451" s="80">
        <f>IFERROR(__xludf.DUMMYFUNCTION("""COMPUTED_VALUE"""),0.8437477207493544)</f>
        <v>0.8437477207</v>
      </c>
      <c r="AA451" s="80">
        <f>IFERROR(__xludf.DUMMYFUNCTION("""COMPUTED_VALUE"""),0.6508028856885067)</f>
        <v>0.6508028857</v>
      </c>
      <c r="AB451" s="80">
        <f>IFERROR(__xludf.DUMMYFUNCTION("""COMPUTED_VALUE"""),1.5434003315130769)</f>
        <v>1.543400332</v>
      </c>
      <c r="AC451" s="80">
        <f>IFERROR(__xludf.DUMMYFUNCTION("""COMPUTED_VALUE"""),2.7729129530600116)</f>
        <v>2.772912953</v>
      </c>
      <c r="AD451" s="80">
        <f>IFERROR(__xludf.DUMMYFUNCTION("""COMPUTED_VALUE"""),1.242036599445082)</f>
        <v>1.242036599</v>
      </c>
      <c r="AE451" s="80">
        <f>IFERROR(__xludf.DUMMYFUNCTION("""COMPUTED_VALUE"""),1.5802511823666499)</f>
        <v>1.580251182</v>
      </c>
      <c r="AF451" s="80">
        <f>IFERROR(__xludf.DUMMYFUNCTION("""COMPUTED_VALUE"""),1.2804696347523434)</f>
        <v>1.280469635</v>
      </c>
      <c r="AG451" s="80">
        <f>IFERROR(__xludf.DUMMYFUNCTION("""COMPUTED_VALUE"""),0.9178867191753377)</f>
        <v>0.9178867192</v>
      </c>
      <c r="AH451" s="80">
        <f>IFERROR(__xludf.DUMMYFUNCTION("""COMPUTED_VALUE"""),1.2922631882039401)</f>
        <v>1.292263188</v>
      </c>
      <c r="AI451" s="80">
        <f>IFERROR(__xludf.DUMMYFUNCTION("""COMPUTED_VALUE"""),1.0491961760464708)</f>
        <v>1.049196176</v>
      </c>
      <c r="AJ451" s="80">
        <f>IFERROR(__xludf.DUMMYFUNCTION("""COMPUTED_VALUE"""),0.9333989296274842)</f>
        <v>0.9333989296</v>
      </c>
      <c r="AK451" s="80">
        <f>IFERROR(__xludf.DUMMYFUNCTION("""COMPUTED_VALUE"""),0.9585041119936242)</f>
        <v>0.958504112</v>
      </c>
      <c r="AL451" s="80">
        <f>IFERROR(__xludf.DUMMYFUNCTION("""COMPUTED_VALUE"""),1.1737184704671735)</f>
        <v>1.17371847</v>
      </c>
      <c r="AM451" s="80">
        <f>IFERROR(__xludf.DUMMYFUNCTION("""COMPUTED_VALUE"""),0.9467691833121291)</f>
        <v>0.9467691833</v>
      </c>
      <c r="AN451" s="80">
        <f>IFERROR(__xludf.DUMMYFUNCTION("""COMPUTED_VALUE"""),1.3263035053091148)</f>
        <v>1.326303505</v>
      </c>
      <c r="AO451" s="80">
        <f>IFERROR(__xludf.DUMMYFUNCTION("""COMPUTED_VALUE"""),1.7374617204143892)</f>
        <v>1.73746172</v>
      </c>
      <c r="AP451" s="80">
        <f>IFERROR(__xludf.DUMMYFUNCTION("""COMPUTED_VALUE"""),1.3081811196434354)</f>
        <v>1.30818112</v>
      </c>
      <c r="AQ451" s="80">
        <f>IFERROR(__xludf.DUMMYFUNCTION("""COMPUTED_VALUE"""),0.9678583268426824)</f>
        <v>0.9678583268</v>
      </c>
      <c r="AR451" s="80">
        <f>IFERROR(__xludf.DUMMYFUNCTION("""COMPUTED_VALUE"""),1.328230885252745)</f>
        <v>1.328230885</v>
      </c>
      <c r="AS451" s="80">
        <f>IFERROR(__xludf.DUMMYFUNCTION("""COMPUTED_VALUE"""),36.0)</f>
        <v>36</v>
      </c>
      <c r="AT451" s="80">
        <f>IFERROR(__xludf.DUMMYFUNCTION("""COMPUTED_VALUE"""),0.5868945705368407)</f>
        <v>0.5868945705</v>
      </c>
      <c r="AU451" s="80">
        <f>IFERROR(__xludf.DUMMYFUNCTION("""COMPUTED_VALUE"""),4.8873589590579405)</f>
        <v>4.887358959</v>
      </c>
      <c r="AV451" s="80">
        <f>IFERROR(__xludf.DUMMYFUNCTION("""COMPUTED_VALUE"""),95.43025619251696)</f>
        <v>95.43025619</v>
      </c>
      <c r="AW451" s="82">
        <f t="shared" si="1"/>
        <v>28.90803102</v>
      </c>
      <c r="AX451" s="83">
        <f t="array" ref="AX451">IFERROR(DGET('SBV Import'!A:G,"SBV",{"RSC ID","Tier";B451,A451}))</f>
        <v>81.97433317</v>
      </c>
      <c r="AY451" s="82">
        <f t="shared" si="2"/>
        <v>9.954882042</v>
      </c>
      <c r="AZ451" s="82">
        <v>18.953148980423688</v>
      </c>
      <c r="BA451" s="84">
        <v>450.0</v>
      </c>
      <c r="BB451" s="84" t="b">
        <f>IFERROR(__xludf.DUMMYFUNCTION("iferror(if(A451="""",,E451&gt;=FILTER(Constants!$F$2:$F$10,Constants!$A$2:$A$10=A451)))"),TRUE)</f>
        <v>1</v>
      </c>
    </row>
    <row r="452">
      <c r="A452" s="80" t="str">
        <f>IFERROR(__xludf.DUMMYFUNCTION("""COMPUTED_VALUE"""),"Master")</f>
        <v>Master</v>
      </c>
      <c r="B452" s="80" t="str">
        <f>IFERROR(__xludf.DUMMYFUNCTION("""COMPUTED_VALUE"""),"RSC006889")</f>
        <v>RSC006889</v>
      </c>
      <c r="C452" s="80" t="str">
        <f>IFERROR(__xludf.DUMMYFUNCTION("""COMPUTED_VALUE"""),"Jay")</f>
        <v>Jay</v>
      </c>
      <c r="D452" s="80" t="str">
        <f>IFERROR(__xludf.DUMMYFUNCTION("""COMPUTED_VALUE"""),"Basilisks")</f>
        <v>Basilisks</v>
      </c>
      <c r="E452" s="80">
        <f>IFERROR(__xludf.DUMMYFUNCTION("""COMPUTED_VALUE"""),35.0)</f>
        <v>35</v>
      </c>
      <c r="F452" s="80">
        <f>IFERROR(__xludf.DUMMYFUNCTION("""COMPUTED_VALUE"""),22.0)</f>
        <v>22</v>
      </c>
      <c r="G452" s="80">
        <f>IFERROR(__xludf.DUMMYFUNCTION("""COMPUTED_VALUE"""),13.0)</f>
        <v>13</v>
      </c>
      <c r="H452" s="81">
        <f>IFERROR(__xludf.DUMMYFUNCTION("""COMPUTED_VALUE"""),0.6285714285714286)</f>
        <v>0.6285714286</v>
      </c>
      <c r="I452" s="81">
        <f>IFERROR(__xludf.DUMMYFUNCTION("""COMPUTED_VALUE"""),0.4)</f>
        <v>0.4</v>
      </c>
      <c r="J452" s="80">
        <f>IFERROR(__xludf.DUMMYFUNCTION("""COMPUTED_VALUE"""),500.9428571428571)</f>
        <v>500.9428571</v>
      </c>
      <c r="K452" s="80">
        <f>IFERROR(__xludf.DUMMYFUNCTION("""COMPUTED_VALUE"""),1.4857142857142858)</f>
        <v>1.485714286</v>
      </c>
      <c r="L452" s="80">
        <f>IFERROR(__xludf.DUMMYFUNCTION("""COMPUTED_VALUE"""),0.6)</f>
        <v>0.6</v>
      </c>
      <c r="M452" s="80">
        <f>IFERROR(__xludf.DUMMYFUNCTION("""COMPUTED_VALUE"""),2.142857142857143)</f>
        <v>2.142857143</v>
      </c>
      <c r="N452" s="80">
        <f>IFERROR(__xludf.DUMMYFUNCTION("""COMPUTED_VALUE"""),3.7142857142857144)</f>
        <v>3.714285714</v>
      </c>
      <c r="O452" s="80">
        <f>IFERROR(__xludf.DUMMYFUNCTION("""COMPUTED_VALUE"""),363.49523809523805)</f>
        <v>363.4952381</v>
      </c>
      <c r="P452" s="80">
        <f>IFERROR(__xludf.DUMMYFUNCTION("""COMPUTED_VALUE"""),0.7523809523809524)</f>
        <v>0.7523809524</v>
      </c>
      <c r="Q452" s="80">
        <f>IFERROR(__xludf.DUMMYFUNCTION("""COMPUTED_VALUE"""),0.6190476190476191)</f>
        <v>0.619047619</v>
      </c>
      <c r="R452" s="80">
        <f>IFERROR(__xludf.DUMMYFUNCTION("""COMPUTED_VALUE"""),1.4476190476190478)</f>
        <v>1.447619048</v>
      </c>
      <c r="S452" s="80">
        <f>IFERROR(__xludf.DUMMYFUNCTION("""COMPUTED_VALUE"""),2.9333333333333336)</f>
        <v>2.933333333</v>
      </c>
      <c r="T452" s="80">
        <f>IFERROR(__xludf.DUMMYFUNCTION("""COMPUTED_VALUE"""),381.2076119461561)</f>
        <v>381.2076119</v>
      </c>
      <c r="U452" s="80">
        <f>IFERROR(__xludf.DUMMYFUNCTION("""COMPUTED_VALUE"""),0.8229907021642875)</f>
        <v>0.8229907022</v>
      </c>
      <c r="V452" s="80">
        <f>IFERROR(__xludf.DUMMYFUNCTION("""COMPUTED_VALUE"""),0.6501245637301561)</f>
        <v>0.6501245637</v>
      </c>
      <c r="W452" s="80">
        <f>IFERROR(__xludf.DUMMYFUNCTION("""COMPUTED_VALUE"""),1.5202797709879472)</f>
        <v>1.520279771</v>
      </c>
      <c r="X452" s="80">
        <f>IFERROR(__xludf.DUMMYFUNCTION("""COMPUTED_VALUE"""),2.807537277193877)</f>
        <v>2.807537277</v>
      </c>
      <c r="Y452" s="80">
        <f>IFERROR(__xludf.DUMMYFUNCTION("""COMPUTED_VALUE"""),391.2642718967724)</f>
        <v>391.2642719</v>
      </c>
      <c r="Z452" s="80">
        <f>IFERROR(__xludf.DUMMYFUNCTION("""COMPUTED_VALUE"""),0.8710568490651838)</f>
        <v>0.8710568491</v>
      </c>
      <c r="AA452" s="80">
        <f>IFERROR(__xludf.DUMMYFUNCTION("""COMPUTED_VALUE"""),0.6716858643399646)</f>
        <v>0.6716858643</v>
      </c>
      <c r="AB452" s="80">
        <f>IFERROR(__xludf.DUMMYFUNCTION("""COMPUTED_VALUE"""),1.543613374381869)</f>
        <v>1.543613374</v>
      </c>
      <c r="AC452" s="80">
        <f>IFERROR(__xludf.DUMMYFUNCTION("""COMPUTED_VALUE"""),2.871614758702301)</f>
        <v>2.871614759</v>
      </c>
      <c r="AD452" s="80">
        <f>IFERROR(__xludf.DUMMYFUNCTION("""COMPUTED_VALUE"""),1.2803184270170758)</f>
        <v>1.280318427</v>
      </c>
      <c r="AE452" s="80">
        <f>IFERROR(__xludf.DUMMYFUNCTION("""COMPUTED_VALUE"""),1.7056456043124522)</f>
        <v>1.705645604</v>
      </c>
      <c r="AF452" s="80">
        <f>IFERROR(__xludf.DUMMYFUNCTION("""COMPUTED_VALUE"""),0.8932747164324992)</f>
        <v>0.8932747164</v>
      </c>
      <c r="AG452" s="80">
        <f>IFERROR(__xludf.DUMMYFUNCTION("""COMPUTED_VALUE"""),1.3882084584264744)</f>
        <v>1.388208458</v>
      </c>
      <c r="AH452" s="80">
        <f>IFERROR(__xludf.DUMMYFUNCTION("""COMPUTED_VALUE"""),1.2934484693776338)</f>
        <v>1.293448469</v>
      </c>
      <c r="AI452" s="80">
        <f>IFERROR(__xludf.DUMMYFUNCTION("""COMPUTED_VALUE"""),0.9535361485556594)</f>
        <v>0.9535361486</v>
      </c>
      <c r="AJ452" s="80">
        <f>IFERROR(__xludf.DUMMYFUNCTION("""COMPUTED_VALUE"""),0.9142034659715513)</f>
        <v>0.914203466</v>
      </c>
      <c r="AK452" s="80">
        <f>IFERROR(__xludf.DUMMYFUNCTION("""COMPUTED_VALUE"""),0.9521984763900784)</f>
        <v>0.9521984764</v>
      </c>
      <c r="AL452" s="80">
        <f>IFERROR(__xludf.DUMMYFUNCTION("""COMPUTED_VALUE"""),0.9522056895345775)</f>
        <v>0.9522056895</v>
      </c>
      <c r="AM452" s="80">
        <f>IFERROR(__xludf.DUMMYFUNCTION("""COMPUTED_VALUE"""),1.044806548843116)</f>
        <v>1.044806549</v>
      </c>
      <c r="AN452" s="80">
        <f>IFERROR(__xludf.DUMMYFUNCTION("""COMPUTED_VALUE"""),1.3582329145924386)</f>
        <v>1.358232915</v>
      </c>
      <c r="AO452" s="80">
        <f>IFERROR(__xludf.DUMMYFUNCTION("""COMPUTED_VALUE"""),1.9360287741760338)</f>
        <v>1.936028774</v>
      </c>
      <c r="AP452" s="80">
        <f>IFERROR(__xludf.DUMMYFUNCTION("""COMPUTED_VALUE"""),0.9418904061432735)</f>
        <v>0.9418904061</v>
      </c>
      <c r="AQ452" s="80">
        <f>IFERROR(__xludf.DUMMYFUNCTION("""COMPUTED_VALUE"""),1.4639873851401917)</f>
        <v>1.463987385</v>
      </c>
      <c r="AR452" s="80">
        <f>IFERROR(__xludf.DUMMYFUNCTION("""COMPUTED_VALUE"""),1.3767708843815827)</f>
        <v>1.376770884</v>
      </c>
      <c r="AS452" s="80">
        <f>IFERROR(__xludf.DUMMYFUNCTION("""COMPUTED_VALUE"""),100.0)</f>
        <v>100</v>
      </c>
      <c r="AT452" s="80">
        <f>IFERROR(__xludf.DUMMYFUNCTION("""COMPUTED_VALUE"""),0.5930406045056313)</f>
        <v>0.5930406045</v>
      </c>
      <c r="AU452" s="80">
        <f>IFERROR(__xludf.DUMMYFUNCTION("""COMPUTED_VALUE"""),4.75866289900828)</f>
        <v>4.758662899</v>
      </c>
      <c r="AV452" s="80">
        <f>IFERROR(__xludf.DUMMYFUNCTION("""COMPUTED_VALUE"""),92.28561874555069)</f>
        <v>92.28561875</v>
      </c>
      <c r="AW452" s="82">
        <f t="shared" si="1"/>
        <v>22.03718125</v>
      </c>
      <c r="AX452" s="83">
        <f t="array" ref="AX452">IFERROR(DGET('SBV Import'!A:G,"SBV",{"RSC ID","Tier";B452,A452}))</f>
        <v>82.84975717</v>
      </c>
      <c r="AY452" s="82">
        <f t="shared" si="2"/>
        <v>10.59044523</v>
      </c>
      <c r="AZ452" s="82">
        <v>11.44673602022746</v>
      </c>
      <c r="BA452" s="84">
        <v>450.0</v>
      </c>
      <c r="BB452" s="84" t="b">
        <f>IFERROR(__xludf.DUMMYFUNCTION("iferror(if(A452="""",,E452&gt;=FILTER(Constants!$F$2:$F$10,Constants!$A$2:$A$10=A452)))"),TRUE)</f>
        <v>1</v>
      </c>
    </row>
    <row r="453">
      <c r="A453" s="80" t="str">
        <f>IFERROR(__xludf.DUMMYFUNCTION("""COMPUTED_VALUE"""),"Master")</f>
        <v>Master</v>
      </c>
      <c r="B453" s="80" t="str">
        <f>IFERROR(__xludf.DUMMYFUNCTION("""COMPUTED_VALUE"""),"RSC007455")</f>
        <v>RSC007455</v>
      </c>
      <c r="C453" s="80" t="str">
        <f>IFERROR(__xludf.DUMMYFUNCTION("""COMPUTED_VALUE"""),"Shlumpy")</f>
        <v>Shlumpy</v>
      </c>
      <c r="D453" s="80" t="str">
        <f>IFERROR(__xludf.DUMMYFUNCTION("""COMPUTED_VALUE"""),"Phantom Phreaks")</f>
        <v>Phantom Phreaks</v>
      </c>
      <c r="E453" s="80">
        <f>IFERROR(__xludf.DUMMYFUNCTION("""COMPUTED_VALUE"""),20.0)</f>
        <v>20</v>
      </c>
      <c r="F453" s="80">
        <f>IFERROR(__xludf.DUMMYFUNCTION("""COMPUTED_VALUE"""),13.0)</f>
        <v>13</v>
      </c>
      <c r="G453" s="80">
        <f>IFERROR(__xludf.DUMMYFUNCTION("""COMPUTED_VALUE"""),7.0)</f>
        <v>7</v>
      </c>
      <c r="H453" s="81">
        <f>IFERROR(__xludf.DUMMYFUNCTION("""COMPUTED_VALUE"""),0.65)</f>
        <v>0.65</v>
      </c>
      <c r="I453" s="81">
        <f>IFERROR(__xludf.DUMMYFUNCTION("""COMPUTED_VALUE"""),0.5263157894736842)</f>
        <v>0.5263157895</v>
      </c>
      <c r="J453" s="80">
        <f>IFERROR(__xludf.DUMMYFUNCTION("""COMPUTED_VALUE"""),450.9)</f>
        <v>450.9</v>
      </c>
      <c r="K453" s="80">
        <f>IFERROR(__xludf.DUMMYFUNCTION("""COMPUTED_VALUE"""),1.5)</f>
        <v>1.5</v>
      </c>
      <c r="L453" s="80">
        <f>IFERROR(__xludf.DUMMYFUNCTION("""COMPUTED_VALUE"""),0.8)</f>
        <v>0.8</v>
      </c>
      <c r="M453" s="80">
        <f>IFERROR(__xludf.DUMMYFUNCTION("""COMPUTED_VALUE"""),1.2)</f>
        <v>1.2</v>
      </c>
      <c r="N453" s="80">
        <f>IFERROR(__xludf.DUMMYFUNCTION("""COMPUTED_VALUE"""),2.85)</f>
        <v>2.85</v>
      </c>
      <c r="O453" s="80">
        <f>IFERROR(__xludf.DUMMYFUNCTION("""COMPUTED_VALUE"""),361.31666666666666)</f>
        <v>361.3166667</v>
      </c>
      <c r="P453" s="80">
        <f>IFERROR(__xludf.DUMMYFUNCTION("""COMPUTED_VALUE"""),0.7833333333333333)</f>
        <v>0.7833333333</v>
      </c>
      <c r="Q453" s="80">
        <f>IFERROR(__xludf.DUMMYFUNCTION("""COMPUTED_VALUE"""),0.5833333333333333)</f>
        <v>0.5833333333</v>
      </c>
      <c r="R453" s="80">
        <f>IFERROR(__xludf.DUMMYFUNCTION("""COMPUTED_VALUE"""),1.4)</f>
        <v>1.4</v>
      </c>
      <c r="S453" s="80">
        <f>IFERROR(__xludf.DUMMYFUNCTION("""COMPUTED_VALUE"""),2.3833333333333333)</f>
        <v>2.383333333</v>
      </c>
      <c r="T453" s="80">
        <f>IFERROR(__xludf.DUMMYFUNCTION("""COMPUTED_VALUE"""),378.1473618946808)</f>
        <v>378.1473619</v>
      </c>
      <c r="U453" s="80">
        <f>IFERROR(__xludf.DUMMYFUNCTION("""COMPUTED_VALUE"""),0.8266677301634822)</f>
        <v>0.8266677302</v>
      </c>
      <c r="V453" s="80">
        <f>IFERROR(__xludf.DUMMYFUNCTION("""COMPUTED_VALUE"""),0.6218347103735657)</f>
        <v>0.6218347104</v>
      </c>
      <c r="W453" s="80">
        <f>IFERROR(__xludf.DUMMYFUNCTION("""COMPUTED_VALUE"""),1.4948715255767984)</f>
        <v>1.494871526</v>
      </c>
      <c r="X453" s="80">
        <f>IFERROR(__xludf.DUMMYFUNCTION("""COMPUTED_VALUE"""),2.7111681552386195)</f>
        <v>2.711168155</v>
      </c>
      <c r="Y453" s="80">
        <f>IFERROR(__xludf.DUMMYFUNCTION("""COMPUTED_VALUE"""),388.3877076104711)</f>
        <v>388.3877076</v>
      </c>
      <c r="Z453" s="80">
        <f>IFERROR(__xludf.DUMMYFUNCTION("""COMPUTED_VALUE"""),0.8906022173219824)</f>
        <v>0.8906022173</v>
      </c>
      <c r="AA453" s="80">
        <f>IFERROR(__xludf.DUMMYFUNCTION("""COMPUTED_VALUE"""),0.68460749026487)</f>
        <v>0.6846074903</v>
      </c>
      <c r="AB453" s="80">
        <f>IFERROR(__xludf.DUMMYFUNCTION("""COMPUTED_VALUE"""),1.463843065093482)</f>
        <v>1.463843065</v>
      </c>
      <c r="AC453" s="80">
        <f>IFERROR(__xludf.DUMMYFUNCTION("""COMPUTED_VALUE"""),2.8436369954198533)</f>
        <v>2.843636995</v>
      </c>
      <c r="AD453" s="80">
        <f>IFERROR(__xludf.DUMMYFUNCTION("""COMPUTED_VALUE"""),1.160953323610913)</f>
        <v>1.160953324</v>
      </c>
      <c r="AE453" s="80">
        <f>IFERROR(__xludf.DUMMYFUNCTION("""COMPUTED_VALUE"""),1.6842536104507586)</f>
        <v>1.68425361</v>
      </c>
      <c r="AF453" s="80">
        <f>IFERROR(__xludf.DUMMYFUNCTION("""COMPUTED_VALUE"""),1.1685528005112615)</f>
        <v>1.168552801</v>
      </c>
      <c r="AG453" s="80">
        <f>IFERROR(__xludf.DUMMYFUNCTION("""COMPUTED_VALUE"""),0.8197600061201692)</f>
        <v>0.8197600061</v>
      </c>
      <c r="AH453" s="80">
        <f>IFERROR(__xludf.DUMMYFUNCTION("""COMPUTED_VALUE"""),1.0022376289907593)</f>
        <v>1.002237629</v>
      </c>
      <c r="AI453" s="80">
        <f>IFERROR(__xludf.DUMMYFUNCTION("""COMPUTED_VALUE"""),0.9554917026428927)</f>
        <v>0.9554917026</v>
      </c>
      <c r="AJ453" s="80">
        <f>IFERROR(__xludf.DUMMYFUNCTION("""COMPUTED_VALUE"""),0.9475794261116507)</f>
        <v>0.9475794261</v>
      </c>
      <c r="AK453" s="80">
        <f>IFERROR(__xludf.DUMMYFUNCTION("""COMPUTED_VALUE"""),0.938084226567052)</f>
        <v>0.9380842266</v>
      </c>
      <c r="AL453" s="80">
        <f>IFERROR(__xludf.DUMMYFUNCTION("""COMPUTED_VALUE"""),0.9365353316632397)</f>
        <v>0.9365353317</v>
      </c>
      <c r="AM453" s="80">
        <f>IFERROR(__xludf.DUMMYFUNCTION("""COMPUTED_VALUE"""),0.879079864053496)</f>
        <v>0.8790798641</v>
      </c>
      <c r="AN453" s="80">
        <f>IFERROR(__xludf.DUMMYFUNCTION("""COMPUTED_VALUE"""),1.2225490641442178)</f>
        <v>1.222549064</v>
      </c>
      <c r="AO453" s="80">
        <f>IFERROR(__xludf.DUMMYFUNCTION("""COMPUTED_VALUE"""),1.954644435466188)</f>
        <v>1.954644435</v>
      </c>
      <c r="AP453" s="80">
        <f>IFERROR(__xludf.DUMMYFUNCTION("""COMPUTED_VALUE"""),1.255853874857698)</f>
        <v>1.255853875</v>
      </c>
      <c r="AQ453" s="80">
        <f>IFERROR(__xludf.DUMMYFUNCTION("""COMPUTED_VALUE"""),0.8198329356785073)</f>
        <v>0.8198329357</v>
      </c>
      <c r="AR453" s="80">
        <f>IFERROR(__xludf.DUMMYFUNCTION("""COMPUTED_VALUE"""),1.0564068901312529)</f>
        <v>1.05640689</v>
      </c>
      <c r="AS453" s="80">
        <f>IFERROR(__xludf.DUMMYFUNCTION("""COMPUTED_VALUE"""),69.0)</f>
        <v>69</v>
      </c>
      <c r="AT453" s="80">
        <f>IFERROR(__xludf.DUMMYFUNCTION("""COMPUTED_VALUE"""),0.6538259804363099)</f>
        <v>0.6538259804</v>
      </c>
      <c r="AU453" s="80">
        <f>IFERROR(__xludf.DUMMYFUNCTION("""COMPUTED_VALUE"""),4.718461382941597)</f>
        <v>4.718461383</v>
      </c>
      <c r="AV453" s="80">
        <f>IFERROR(__xludf.DUMMYFUNCTION("""COMPUTED_VALUE"""),91.30331056300548)</f>
        <v>91.30331056</v>
      </c>
      <c r="AW453" s="82">
        <f t="shared" si="1"/>
        <v>20.30301051</v>
      </c>
      <c r="AX453" s="83">
        <f t="array" ref="AX453">IFERROR(DGET('SBV Import'!A:G,"SBV",{"RSC ID","Tier";B453,A453}))</f>
        <v>73.38170113</v>
      </c>
      <c r="AY453" s="82">
        <f t="shared" si="2"/>
        <v>5.720002794</v>
      </c>
      <c r="AZ453" s="82">
        <v>14.583007714078455</v>
      </c>
      <c r="BA453" s="84">
        <v>450.0</v>
      </c>
      <c r="BB453" s="84" t="b">
        <f>IFERROR(__xludf.DUMMYFUNCTION("iferror(if(A453="""",,E453&gt;=FILTER(Constants!$F$2:$F$10,Constants!$A$2:$A$10=A453)))"),TRUE)</f>
        <v>1</v>
      </c>
    </row>
    <row r="454">
      <c r="A454" s="80" t="str">
        <f>IFERROR(__xludf.DUMMYFUNCTION("""COMPUTED_VALUE"""),"Master")</f>
        <v>Master</v>
      </c>
      <c r="B454" s="80" t="str">
        <f>IFERROR(__xludf.DUMMYFUNCTION("""COMPUTED_VALUE"""),"RSC007976")</f>
        <v>RSC007976</v>
      </c>
      <c r="C454" s="80" t="str">
        <f>IFERROR(__xludf.DUMMYFUNCTION("""COMPUTED_VALUE"""),"Just Kraze")</f>
        <v>Just Kraze</v>
      </c>
      <c r="D454" s="80" t="str">
        <f>IFERROR(__xludf.DUMMYFUNCTION("""COMPUTED_VALUE"""),"Battle Masters")</f>
        <v>Battle Masters</v>
      </c>
      <c r="E454" s="80">
        <f>IFERROR(__xludf.DUMMYFUNCTION("""COMPUTED_VALUE"""),36.0)</f>
        <v>36</v>
      </c>
      <c r="F454" s="80">
        <f>IFERROR(__xludf.DUMMYFUNCTION("""COMPUTED_VALUE"""),25.0)</f>
        <v>25</v>
      </c>
      <c r="G454" s="80">
        <f>IFERROR(__xludf.DUMMYFUNCTION("""COMPUTED_VALUE"""),11.0)</f>
        <v>11</v>
      </c>
      <c r="H454" s="81">
        <f>IFERROR(__xludf.DUMMYFUNCTION("""COMPUTED_VALUE"""),0.6944444444444444)</f>
        <v>0.6944444444</v>
      </c>
      <c r="I454" s="81">
        <f>IFERROR(__xludf.DUMMYFUNCTION("""COMPUTED_VALUE"""),0.375)</f>
        <v>0.375</v>
      </c>
      <c r="J454" s="80">
        <f>IFERROR(__xludf.DUMMYFUNCTION("""COMPUTED_VALUE"""),439.97222222222223)</f>
        <v>439.9722222</v>
      </c>
      <c r="K454" s="80">
        <f>IFERROR(__xludf.DUMMYFUNCTION("""COMPUTED_VALUE"""),1.25)</f>
        <v>1.25</v>
      </c>
      <c r="L454" s="80">
        <f>IFERROR(__xludf.DUMMYFUNCTION("""COMPUTED_VALUE"""),0.9166666666666666)</f>
        <v>0.9166666667</v>
      </c>
      <c r="M454" s="80">
        <f>IFERROR(__xludf.DUMMYFUNCTION("""COMPUTED_VALUE"""),1.1666666666666667)</f>
        <v>1.166666667</v>
      </c>
      <c r="N454" s="80">
        <f>IFERROR(__xludf.DUMMYFUNCTION("""COMPUTED_VALUE"""),3.3333333333333335)</f>
        <v>3.333333333</v>
      </c>
      <c r="O454" s="80">
        <f>IFERROR(__xludf.DUMMYFUNCTION("""COMPUTED_VALUE"""),359.6574074074075)</f>
        <v>359.6574074</v>
      </c>
      <c r="P454" s="80">
        <f>IFERROR(__xludf.DUMMYFUNCTION("""COMPUTED_VALUE"""),0.6388888888888888)</f>
        <v>0.6388888889</v>
      </c>
      <c r="Q454" s="80">
        <f>IFERROR(__xludf.DUMMYFUNCTION("""COMPUTED_VALUE"""),0.5092592592592591)</f>
        <v>0.5092592593</v>
      </c>
      <c r="R454" s="80">
        <f>IFERROR(__xludf.DUMMYFUNCTION("""COMPUTED_VALUE"""),1.6203703703703702)</f>
        <v>1.62037037</v>
      </c>
      <c r="S454" s="80">
        <f>IFERROR(__xludf.DUMMYFUNCTION("""COMPUTED_VALUE"""),2.4537037037037037)</f>
        <v>2.453703704</v>
      </c>
      <c r="T454" s="80">
        <f>IFERROR(__xludf.DUMMYFUNCTION("""COMPUTED_VALUE"""),376.26679428523585)</f>
        <v>376.2667943</v>
      </c>
      <c r="U454" s="80">
        <f>IFERROR(__xludf.DUMMYFUNCTION("""COMPUTED_VALUE"""),0.7977645761515567)</f>
        <v>0.7977645762</v>
      </c>
      <c r="V454" s="80">
        <f>IFERROR(__xludf.DUMMYFUNCTION("""COMPUTED_VALUE"""),0.6056830130611666)</f>
        <v>0.6056830131</v>
      </c>
      <c r="W454" s="80">
        <f>IFERROR(__xludf.DUMMYFUNCTION("""COMPUTED_VALUE"""),1.5441243207621758)</f>
        <v>1.544124321</v>
      </c>
      <c r="X454" s="80">
        <f>IFERROR(__xludf.DUMMYFUNCTION("""COMPUTED_VALUE"""),2.727186510460498)</f>
        <v>2.72718651</v>
      </c>
      <c r="Y454" s="80">
        <f>IFERROR(__xludf.DUMMYFUNCTION("""COMPUTED_VALUE"""),400.227568416092)</f>
        <v>400.2275684</v>
      </c>
      <c r="Z454" s="80">
        <f>IFERROR(__xludf.DUMMYFUNCTION("""COMPUTED_VALUE"""),0.9544420056012807)</f>
        <v>0.9544420056</v>
      </c>
      <c r="AA454" s="80">
        <f>IFERROR(__xludf.DUMMYFUNCTION("""COMPUTED_VALUE"""),0.7384839333111252)</f>
        <v>0.7384839333</v>
      </c>
      <c r="AB454" s="80">
        <f>IFERROR(__xludf.DUMMYFUNCTION("""COMPUTED_VALUE"""),1.4908473657145143)</f>
        <v>1.490847366</v>
      </c>
      <c r="AC454" s="80">
        <f>IFERROR(__xludf.DUMMYFUNCTION("""COMPUTED_VALUE"""),2.934814633151126)</f>
        <v>2.934814633</v>
      </c>
      <c r="AD454" s="80">
        <f>IFERROR(__xludf.DUMMYFUNCTION("""COMPUTED_VALUE"""),1.0993051377330663)</f>
        <v>1.099305138</v>
      </c>
      <c r="AE454" s="80">
        <f>IFERROR(__xludf.DUMMYFUNCTION("""COMPUTED_VALUE"""),1.309665744659387)</f>
        <v>1.309665745</v>
      </c>
      <c r="AF454" s="80">
        <f>IFERROR(__xludf.DUMMYFUNCTION("""COMPUTED_VALUE"""),1.2412818008871598)</f>
        <v>1.241281801</v>
      </c>
      <c r="AG454" s="80">
        <f>IFERROR(__xludf.DUMMYFUNCTION("""COMPUTED_VALUE"""),0.7825527237038928)</f>
        <v>0.7825527237</v>
      </c>
      <c r="AH454" s="80">
        <f>IFERROR(__xludf.DUMMYFUNCTION("""COMPUTED_VALUE"""),1.1357900753528396)</f>
        <v>1.135790075</v>
      </c>
      <c r="AI454" s="80">
        <f>IFERROR(__xludf.DUMMYFUNCTION("""COMPUTED_VALUE"""),0.9558574205056285)</f>
        <v>0.9558574205</v>
      </c>
      <c r="AJ454" s="80">
        <f>IFERROR(__xludf.DUMMYFUNCTION("""COMPUTED_VALUE"""),0.8008489070433666)</f>
        <v>0.800848907</v>
      </c>
      <c r="AK454" s="80">
        <f>IFERROR(__xludf.DUMMYFUNCTION("""COMPUTED_VALUE"""),0.8408016211077561)</f>
        <v>0.8408016211</v>
      </c>
      <c r="AL454" s="80">
        <f>IFERROR(__xludf.DUMMYFUNCTION("""COMPUTED_VALUE"""),1.0493781806186173)</f>
        <v>1.049378181</v>
      </c>
      <c r="AM454" s="80">
        <f>IFERROR(__xludf.DUMMYFUNCTION("""COMPUTED_VALUE"""),0.8997198007148344)</f>
        <v>0.8997198007</v>
      </c>
      <c r="AN454" s="80">
        <f>IFERROR(__xludf.DUMMYFUNCTION("""COMPUTED_VALUE"""),1.1929200011692829)</f>
        <v>1.192920001</v>
      </c>
      <c r="AO454" s="80">
        <f>IFERROR(__xludf.DUMMYFUNCTION("""COMPUTED_VALUE"""),1.62887036288849)</f>
        <v>1.628870363</v>
      </c>
      <c r="AP454" s="80">
        <f>IFERROR(__xludf.DUMMYFUNCTION("""COMPUTED_VALUE"""),1.4389992316077789)</f>
        <v>1.438999232</v>
      </c>
      <c r="AQ454" s="80">
        <f>IFERROR(__xludf.DUMMYFUNCTION("""COMPUTED_VALUE"""),0.7970597985763267)</f>
        <v>0.7970597986</v>
      </c>
      <c r="AR454" s="80">
        <f>IFERROR(__xludf.DUMMYFUNCTION("""COMPUTED_VALUE"""),1.2355636141886)</f>
        <v>1.235563614</v>
      </c>
      <c r="AS454" s="80">
        <f>IFERROR(__xludf.DUMMYFUNCTION("""COMPUTED_VALUE"""),127.0)</f>
        <v>127</v>
      </c>
      <c r="AT454" s="80">
        <f>IFERROR(__xludf.DUMMYFUNCTION("""COMPUTED_VALUE"""),0.7295252442022341)</f>
        <v>0.7295252442</v>
      </c>
      <c r="AU454" s="80">
        <f>IFERROR(__xludf.DUMMYFUNCTION("""COMPUTED_VALUE"""),4.576841001930801)</f>
        <v>4.576841002</v>
      </c>
      <c r="AV454" s="80">
        <f>IFERROR(__xludf.DUMMYFUNCTION("""COMPUTED_VALUE"""),87.84287243297777)</f>
        <v>87.84287243</v>
      </c>
      <c r="AW454" s="82">
        <f t="shared" si="1"/>
        <v>15.373007</v>
      </c>
      <c r="AX454" s="83">
        <f t="array" ref="AX454">IFERROR(DGET('SBV Import'!A:G,"SBV",{"RSC ID","Tier";B454,A454}))</f>
        <v>75.86434973</v>
      </c>
      <c r="AY454" s="82">
        <f t="shared" si="2"/>
        <v>6.64743549</v>
      </c>
      <c r="AZ454" s="82">
        <v>8.725571509753497</v>
      </c>
      <c r="BA454" s="84">
        <v>450.0</v>
      </c>
      <c r="BB454" s="84" t="b">
        <f>IFERROR(__xludf.DUMMYFUNCTION("iferror(if(A454="""",,E454&gt;=FILTER(Constants!$F$2:$F$10,Constants!$A$2:$A$10=A454)))"),TRUE)</f>
        <v>1</v>
      </c>
    </row>
    <row r="455">
      <c r="A455" s="80" t="str">
        <f>IFERROR(__xludf.DUMMYFUNCTION("""COMPUTED_VALUE"""),"Master")</f>
        <v>Master</v>
      </c>
      <c r="B455" s="80" t="str">
        <f>IFERROR(__xludf.DUMMYFUNCTION("""COMPUTED_VALUE"""),"RSC007893")</f>
        <v>RSC007893</v>
      </c>
      <c r="C455" s="80" t="str">
        <f>IFERROR(__xludf.DUMMYFUNCTION("""COMPUTED_VALUE"""),"solar722")</f>
        <v>solar722</v>
      </c>
      <c r="D455" s="80" t="str">
        <f>IFERROR(__xludf.DUMMYFUNCTION("""COMPUTED_VALUE"""),"Fromunda Frauds")</f>
        <v>Fromunda Frauds</v>
      </c>
      <c r="E455" s="80">
        <f>IFERROR(__xludf.DUMMYFUNCTION("""COMPUTED_VALUE"""),20.0)</f>
        <v>20</v>
      </c>
      <c r="F455" s="80">
        <f>IFERROR(__xludf.DUMMYFUNCTION("""COMPUTED_VALUE"""),10.0)</f>
        <v>10</v>
      </c>
      <c r="G455" s="80">
        <f>IFERROR(__xludf.DUMMYFUNCTION("""COMPUTED_VALUE"""),10.0)</f>
        <v>10</v>
      </c>
      <c r="H455" s="81">
        <f>IFERROR(__xludf.DUMMYFUNCTION("""COMPUTED_VALUE"""),0.5)</f>
        <v>0.5</v>
      </c>
      <c r="I455" s="81">
        <f>IFERROR(__xludf.DUMMYFUNCTION("""COMPUTED_VALUE"""),0.3333333333333333)</f>
        <v>0.3333333333</v>
      </c>
      <c r="J455" s="80">
        <f>IFERROR(__xludf.DUMMYFUNCTION("""COMPUTED_VALUE"""),473.1)</f>
        <v>473.1</v>
      </c>
      <c r="K455" s="80">
        <f>IFERROR(__xludf.DUMMYFUNCTION("""COMPUTED_VALUE"""),1.2)</f>
        <v>1.2</v>
      </c>
      <c r="L455" s="80">
        <f>IFERROR(__xludf.DUMMYFUNCTION("""COMPUTED_VALUE"""),0.85)</f>
        <v>0.85</v>
      </c>
      <c r="M455" s="80">
        <f>IFERROR(__xludf.DUMMYFUNCTION("""COMPUTED_VALUE"""),1.65)</f>
        <v>1.65</v>
      </c>
      <c r="N455" s="80">
        <f>IFERROR(__xludf.DUMMYFUNCTION("""COMPUTED_VALUE"""),3.6)</f>
        <v>3.6</v>
      </c>
      <c r="O455" s="80">
        <f>IFERROR(__xludf.DUMMYFUNCTION("""COMPUTED_VALUE"""),405.0333333333333)</f>
        <v>405.0333333</v>
      </c>
      <c r="P455" s="80">
        <f>IFERROR(__xludf.DUMMYFUNCTION("""COMPUTED_VALUE"""),0.9333333333333332)</f>
        <v>0.9333333333</v>
      </c>
      <c r="Q455" s="80">
        <f>IFERROR(__xludf.DUMMYFUNCTION("""COMPUTED_VALUE"""),0.7000000000000001)</f>
        <v>0.7</v>
      </c>
      <c r="R455" s="80">
        <f>IFERROR(__xludf.DUMMYFUNCTION("""COMPUTED_VALUE"""),1.55)</f>
        <v>1.55</v>
      </c>
      <c r="S455" s="80">
        <f>IFERROR(__xludf.DUMMYFUNCTION("""COMPUTED_VALUE"""),2.8166666666666673)</f>
        <v>2.816666667</v>
      </c>
      <c r="T455" s="80">
        <f>IFERROR(__xludf.DUMMYFUNCTION("""COMPUTED_VALUE"""),392.1937994855386)</f>
        <v>392.1937995</v>
      </c>
      <c r="U455" s="80">
        <f>IFERROR(__xludf.DUMMYFUNCTION("""COMPUTED_VALUE"""),0.895808847620442)</f>
        <v>0.8958088476</v>
      </c>
      <c r="V455" s="80">
        <f>IFERROR(__xludf.DUMMYFUNCTION("""COMPUTED_VALUE"""),0.6928405866811665)</f>
        <v>0.6928405867</v>
      </c>
      <c r="W455" s="80">
        <f>IFERROR(__xludf.DUMMYFUNCTION("""COMPUTED_VALUE"""),1.5136694411332092)</f>
        <v>1.513669441</v>
      </c>
      <c r="X455" s="80">
        <f>IFERROR(__xludf.DUMMYFUNCTION("""COMPUTED_VALUE"""),2.9186744951237698)</f>
        <v>2.918674495</v>
      </c>
      <c r="Y455" s="80">
        <f>IFERROR(__xludf.DUMMYFUNCTION("""COMPUTED_VALUE"""),393.62477512646603)</f>
        <v>393.6247751</v>
      </c>
      <c r="Z455" s="80">
        <f>IFERROR(__xludf.DUMMYFUNCTION("""COMPUTED_VALUE"""),0.8823614335208537)</f>
        <v>0.8823614335</v>
      </c>
      <c r="AA455" s="80">
        <f>IFERROR(__xludf.DUMMYFUNCTION("""COMPUTED_VALUE"""),0.6993056978805773)</f>
        <v>0.6993056979</v>
      </c>
      <c r="AB455" s="80">
        <f>IFERROR(__xludf.DUMMYFUNCTION("""COMPUTED_VALUE"""),1.542896076012018)</f>
        <v>1.542896076</v>
      </c>
      <c r="AC455" s="80">
        <f>IFERROR(__xludf.DUMMYFUNCTION("""COMPUTED_VALUE"""),2.9050666894386694)</f>
        <v>2.905066689</v>
      </c>
      <c r="AD455" s="80">
        <f>IFERROR(__xludf.DUMMYFUNCTION("""COMPUTED_VALUE"""),1.201906053418512)</f>
        <v>1.201906053</v>
      </c>
      <c r="AE455" s="80">
        <f>IFERROR(__xludf.DUMMYFUNCTION("""COMPUTED_VALUE"""),1.359986910592505)</f>
        <v>1.359986911</v>
      </c>
      <c r="AF455" s="80">
        <f>IFERROR(__xludf.DUMMYFUNCTION("""COMPUTED_VALUE"""),1.21549131170551)</f>
        <v>1.215491312</v>
      </c>
      <c r="AG455" s="80">
        <f>IFERROR(__xludf.DUMMYFUNCTION("""COMPUTED_VALUE"""),1.0694174582806752)</f>
        <v>1.069417458</v>
      </c>
      <c r="AH455" s="80">
        <f>IFERROR(__xludf.DUMMYFUNCTION("""COMPUTED_VALUE"""),1.239214236660298)</f>
        <v>1.239214237</v>
      </c>
      <c r="AI455" s="80">
        <f>IFERROR(__xludf.DUMMYFUNCTION("""COMPUTED_VALUE"""),1.032737727788244)</f>
        <v>1.032737728</v>
      </c>
      <c r="AJ455" s="80">
        <f>IFERROR(__xludf.DUMMYFUNCTION("""COMPUTED_VALUE"""),1.041888942950908)</f>
        <v>1.041888943</v>
      </c>
      <c r="AK455" s="80">
        <f>IFERROR(__xludf.DUMMYFUNCTION("""COMPUTED_VALUE"""),1.0103334207846113)</f>
        <v>1.010333421</v>
      </c>
      <c r="AL455" s="80">
        <f>IFERROR(__xludf.DUMMYFUNCTION("""COMPUTED_VALUE"""),1.0240016465151016)</f>
        <v>1.024001647</v>
      </c>
      <c r="AM455" s="80">
        <f>IFERROR(__xludf.DUMMYFUNCTION("""COMPUTED_VALUE"""),0.9650499469442286)</f>
        <v>0.9650499469</v>
      </c>
      <c r="AN455" s="80">
        <f>IFERROR(__xludf.DUMMYFUNCTION("""COMPUTED_VALUE"""),1.2827411005691494)</f>
        <v>1.282741101</v>
      </c>
      <c r="AO455" s="80">
        <f>IFERROR(__xludf.DUMMYFUNCTION("""COMPUTED_VALUE"""),1.5637155483729503)</f>
        <v>1.563715548</v>
      </c>
      <c r="AP455" s="80">
        <f>IFERROR(__xludf.DUMMYFUNCTION("""COMPUTED_VALUE"""),1.3343447420363042)</f>
        <v>1.334344742</v>
      </c>
      <c r="AQ455" s="80">
        <f>IFERROR(__xludf.DUMMYFUNCTION("""COMPUTED_VALUE"""),1.1272702865579476)</f>
        <v>1.127270287</v>
      </c>
      <c r="AR455" s="80">
        <f>IFERROR(__xludf.DUMMYFUNCTION("""COMPUTED_VALUE"""),1.3344087033236878)</f>
        <v>1.334408703</v>
      </c>
      <c r="AS455" s="80">
        <f>IFERROR(__xludf.DUMMYFUNCTION("""COMPUTED_VALUE"""),55.0)</f>
        <v>55</v>
      </c>
      <c r="AT455" s="80">
        <f>IFERROR(__xludf.DUMMYFUNCTION("""COMPUTED_VALUE"""),0.49263386898667016)</f>
        <v>0.492633869</v>
      </c>
      <c r="AU455" s="80">
        <f>IFERROR(__xludf.DUMMYFUNCTION("""COMPUTED_VALUE"""),4.525389445044587)</f>
        <v>4.525389445</v>
      </c>
      <c r="AV455" s="80">
        <f>IFERROR(__xludf.DUMMYFUNCTION("""COMPUTED_VALUE"""),86.58567394200085)</f>
        <v>86.58567394</v>
      </c>
      <c r="AW455" s="82">
        <f t="shared" si="1"/>
        <v>13.95180896</v>
      </c>
      <c r="AX455" s="83">
        <f t="array" ref="AX455">IFERROR(DGET('SBV Import'!A:G,"SBV",{"RSC ID","Tier";B455,A455}))</f>
        <v>78.81870736</v>
      </c>
      <c r="AY455" s="82">
        <f t="shared" si="2"/>
        <v>8.031686203</v>
      </c>
      <c r="AZ455" s="82">
        <v>5.920122757426679</v>
      </c>
      <c r="BA455" s="84">
        <v>450.0</v>
      </c>
      <c r="BB455" s="84" t="b">
        <f>IFERROR(__xludf.DUMMYFUNCTION("iferror(if(A455="""",,E455&gt;=FILTER(Constants!$F$2:$F$10,Constants!$A$2:$A$10=A455)))"),TRUE)</f>
        <v>1</v>
      </c>
    </row>
    <row r="456">
      <c r="A456" s="80" t="str">
        <f>IFERROR(__xludf.DUMMYFUNCTION("""COMPUTED_VALUE"""),"Master")</f>
        <v>Master</v>
      </c>
      <c r="B456" s="80" t="str">
        <f>IFERROR(__xludf.DUMMYFUNCTION("""COMPUTED_VALUE"""),"RSC007605")</f>
        <v>RSC007605</v>
      </c>
      <c r="C456" s="80" t="str">
        <f>IFERROR(__xludf.DUMMYFUNCTION("""COMPUTED_VALUE"""),"Afterburner3375")</f>
        <v>Afterburner3375</v>
      </c>
      <c r="D456" s="80" t="str">
        <f>IFERROR(__xludf.DUMMYFUNCTION("""COMPUTED_VALUE"""),"Oblivion")</f>
        <v>Oblivion</v>
      </c>
      <c r="E456" s="80">
        <f>IFERROR(__xludf.DUMMYFUNCTION("""COMPUTED_VALUE"""),36.0)</f>
        <v>36</v>
      </c>
      <c r="F456" s="80">
        <f>IFERROR(__xludf.DUMMYFUNCTION("""COMPUTED_VALUE"""),25.0)</f>
        <v>25</v>
      </c>
      <c r="G456" s="80">
        <f>IFERROR(__xludf.DUMMYFUNCTION("""COMPUTED_VALUE"""),11.0)</f>
        <v>11</v>
      </c>
      <c r="H456" s="81">
        <f>IFERROR(__xludf.DUMMYFUNCTION("""COMPUTED_VALUE"""),0.6944444444444444)</f>
        <v>0.6944444444</v>
      </c>
      <c r="I456" s="81">
        <f>IFERROR(__xludf.DUMMYFUNCTION("""COMPUTED_VALUE"""),0.4036697247706422)</f>
        <v>0.4036697248</v>
      </c>
      <c r="J456" s="80">
        <f>IFERROR(__xludf.DUMMYFUNCTION("""COMPUTED_VALUE"""),415.8611111111111)</f>
        <v>415.8611111</v>
      </c>
      <c r="K456" s="80">
        <f>IFERROR(__xludf.DUMMYFUNCTION("""COMPUTED_VALUE"""),1.2222222222222223)</f>
        <v>1.222222222</v>
      </c>
      <c r="L456" s="80">
        <f>IFERROR(__xludf.DUMMYFUNCTION("""COMPUTED_VALUE"""),0.8611111111111112)</f>
        <v>0.8611111111</v>
      </c>
      <c r="M456" s="80">
        <f>IFERROR(__xludf.DUMMYFUNCTION("""COMPUTED_VALUE"""),1.2777777777777777)</f>
        <v>1.277777778</v>
      </c>
      <c r="N456" s="80">
        <f>IFERROR(__xludf.DUMMYFUNCTION("""COMPUTED_VALUE"""),3.0277777777777777)</f>
        <v>3.027777778</v>
      </c>
      <c r="O456" s="80">
        <f>IFERROR(__xludf.DUMMYFUNCTION("""COMPUTED_VALUE"""),337.03703703703707)</f>
        <v>337.037037</v>
      </c>
      <c r="P456" s="80">
        <f>IFERROR(__xludf.DUMMYFUNCTION("""COMPUTED_VALUE"""),0.6944444444444444)</f>
        <v>0.6944444444</v>
      </c>
      <c r="Q456" s="80">
        <f>IFERROR(__xludf.DUMMYFUNCTION("""COMPUTED_VALUE"""),0.4722222222222223)</f>
        <v>0.4722222222</v>
      </c>
      <c r="R456" s="80">
        <f>IFERROR(__xludf.DUMMYFUNCTION("""COMPUTED_VALUE"""),1.3240740740740742)</f>
        <v>1.324074074</v>
      </c>
      <c r="S456" s="80">
        <f>IFERROR(__xludf.DUMMYFUNCTION("""COMPUTED_VALUE"""),2.435185185185185)</f>
        <v>2.435185185</v>
      </c>
      <c r="T456" s="80">
        <f>IFERROR(__xludf.DUMMYFUNCTION("""COMPUTED_VALUE"""),371.16792026445887)</f>
        <v>371.1679203</v>
      </c>
      <c r="U456" s="80">
        <f>IFERROR(__xludf.DUMMYFUNCTION("""COMPUTED_VALUE"""),0.7322734158358828)</f>
        <v>0.7322734158</v>
      </c>
      <c r="V456" s="80">
        <f>IFERROR(__xludf.DUMMYFUNCTION("""COMPUTED_VALUE"""),0.5968819245902108)</f>
        <v>0.5968819246</v>
      </c>
      <c r="W456" s="80">
        <f>IFERROR(__xludf.DUMMYFUNCTION("""COMPUTED_VALUE"""),1.5555377454657187)</f>
        <v>1.555537745</v>
      </c>
      <c r="X456" s="80">
        <f>IFERROR(__xludf.DUMMYFUNCTION("""COMPUTED_VALUE"""),2.7786657039971967)</f>
        <v>2.778665704</v>
      </c>
      <c r="Y456" s="80">
        <f>IFERROR(__xludf.DUMMYFUNCTION("""COMPUTED_VALUE"""),399.97102755039174)</f>
        <v>399.9710276</v>
      </c>
      <c r="Z456" s="80">
        <f>IFERROR(__xludf.DUMMYFUNCTION("""COMPUTED_VALUE"""),0.9465707667516009)</f>
        <v>0.9465707668</v>
      </c>
      <c r="AA456" s="80">
        <f>IFERROR(__xludf.DUMMYFUNCTION("""COMPUTED_VALUE"""),0.7160144291622331)</f>
        <v>0.7160144292</v>
      </c>
      <c r="AB456" s="80">
        <f>IFERROR(__xludf.DUMMYFUNCTION("""COMPUTED_VALUE"""),1.5343530320242875)</f>
        <v>1.534353032</v>
      </c>
      <c r="AC456" s="80">
        <f>IFERROR(__xludf.DUMMYFUNCTION("""COMPUTED_VALUE"""),2.91541843786635)</f>
        <v>2.915418438</v>
      </c>
      <c r="AD456" s="80">
        <f>IFERROR(__xludf.DUMMYFUNCTION("""COMPUTED_VALUE"""),1.0397280864517553)</f>
        <v>1.039728086</v>
      </c>
      <c r="AE456" s="80">
        <f>IFERROR(__xludf.DUMMYFUNCTION("""COMPUTED_VALUE"""),1.2912106153632756)</f>
        <v>1.291210615</v>
      </c>
      <c r="AF456" s="80">
        <f>IFERROR(__xludf.DUMMYFUNCTION("""COMPUTED_VALUE"""),1.202644913341547)</f>
        <v>1.202644913</v>
      </c>
      <c r="AG456" s="80">
        <f>IFERROR(__xludf.DUMMYFUNCTION("""COMPUTED_VALUE"""),0.8327795175612176)</f>
        <v>0.8327795176</v>
      </c>
      <c r="AH456" s="80">
        <f>IFERROR(__xludf.DUMMYFUNCTION("""COMPUTED_VALUE"""),1.038539695863918)</f>
        <v>1.038539696</v>
      </c>
      <c r="AI456" s="80">
        <f>IFERROR(__xludf.DUMMYFUNCTION("""COMPUTED_VALUE"""),0.9080446305728593)</f>
        <v>0.9080446306</v>
      </c>
      <c r="AJ456" s="80">
        <f>IFERROR(__xludf.DUMMYFUNCTION("""COMPUTED_VALUE"""),0.9483403731811608)</f>
        <v>0.9483403732</v>
      </c>
      <c r="AK456" s="80">
        <f>IFERROR(__xludf.DUMMYFUNCTION("""COMPUTED_VALUE"""),0.7911484713604393)</f>
        <v>0.7911484714</v>
      </c>
      <c r="AL456" s="80">
        <f>IFERROR(__xludf.DUMMYFUNCTION("""COMPUTED_VALUE"""),0.8512002218741753)</f>
        <v>0.8512002219</v>
      </c>
      <c r="AM456" s="80">
        <f>IFERROR(__xludf.DUMMYFUNCTION("""COMPUTED_VALUE"""),0.8763865266995219)</f>
        <v>0.8763865267</v>
      </c>
      <c r="AN456" s="80">
        <f>IFERROR(__xludf.DUMMYFUNCTION("""COMPUTED_VALUE"""),1.1275462679149777)</f>
        <v>1.127546268</v>
      </c>
      <c r="AO456" s="80">
        <f>IFERROR(__xludf.DUMMYFUNCTION("""COMPUTED_VALUE"""),1.5926732437131903)</f>
        <v>1.592673244</v>
      </c>
      <c r="AP456" s="80">
        <f>IFERROR(__xludf.DUMMYFUNCTION("""COMPUTED_VALUE"""),1.3517871569648834)</f>
        <v>1.351787157</v>
      </c>
      <c r="AQ456" s="80">
        <f>IFERROR(__xludf.DUMMYFUNCTION("""COMPUTED_VALUE"""),0.8729702555835958)</f>
        <v>0.8729702556</v>
      </c>
      <c r="AR456" s="80">
        <f>IFERROR(__xludf.DUMMYFUNCTION("""COMPUTED_VALUE"""),1.1223036162213116)</f>
        <v>1.122303616</v>
      </c>
      <c r="AS456" s="80">
        <f>IFERROR(__xludf.DUMMYFUNCTION("""COMPUTED_VALUE"""),113.0)</f>
        <v>113</v>
      </c>
      <c r="AT456" s="80">
        <f>IFERROR(__xludf.DUMMYFUNCTION("""COMPUTED_VALUE"""),0.6589732187302225)</f>
        <v>0.6589732187</v>
      </c>
      <c r="AU456" s="80">
        <f>IFERROR(__xludf.DUMMYFUNCTION("""COMPUTED_VALUE"""),4.302027990105099)</f>
        <v>4.30202799</v>
      </c>
      <c r="AV456" s="80">
        <f>IFERROR(__xludf.DUMMYFUNCTION("""COMPUTED_VALUE"""),81.12792492357285)</f>
        <v>81.12792492</v>
      </c>
      <c r="AW456" s="82">
        <f t="shared" si="1"/>
        <v>9.385760752</v>
      </c>
      <c r="AX456" s="83">
        <f t="array" ref="AX456">IFERROR(DGET('SBV Import'!A:G,"SBV",{"RSC ID","Tier";B456,A456}))</f>
        <v>80.71110599</v>
      </c>
      <c r="AY456" s="82">
        <f t="shared" si="2"/>
        <v>9.120748475</v>
      </c>
      <c r="AZ456" s="82">
        <v>0.2650122767288643</v>
      </c>
      <c r="BA456" s="84">
        <v>450.0</v>
      </c>
      <c r="BB456" s="84" t="b">
        <f>IFERROR(__xludf.DUMMYFUNCTION("iferror(if(A456="""",,E456&gt;=FILTER(Constants!$F$2:$F$10,Constants!$A$2:$A$10=A456)))"),TRUE)</f>
        <v>1</v>
      </c>
    </row>
    <row r="457">
      <c r="A457" s="80" t="str">
        <f>IFERROR(__xludf.DUMMYFUNCTION("""COMPUTED_VALUE"""),"Master")</f>
        <v>Master</v>
      </c>
      <c r="B457" s="80" t="str">
        <f>IFERROR(__xludf.DUMMYFUNCTION("""COMPUTED_VALUE"""),"RSC005625")</f>
        <v>RSC005625</v>
      </c>
      <c r="C457" s="80" t="str">
        <f>IFERROR(__xludf.DUMMYFUNCTION("""COMPUTED_VALUE"""),"aspect of hope")</f>
        <v>aspect of hope</v>
      </c>
      <c r="D457" s="80" t="str">
        <f>IFERROR(__xludf.DUMMYFUNCTION("""COMPUTED_VALUE"""),"Spectres")</f>
        <v>Spectres</v>
      </c>
      <c r="E457" s="80">
        <f>IFERROR(__xludf.DUMMYFUNCTION("""COMPUTED_VALUE"""),23.0)</f>
        <v>23</v>
      </c>
      <c r="F457" s="80">
        <f>IFERROR(__xludf.DUMMYFUNCTION("""COMPUTED_VALUE"""),9.0)</f>
        <v>9</v>
      </c>
      <c r="G457" s="80">
        <f>IFERROR(__xludf.DUMMYFUNCTION("""COMPUTED_VALUE"""),14.0)</f>
        <v>14</v>
      </c>
      <c r="H457" s="81">
        <f>IFERROR(__xludf.DUMMYFUNCTION("""COMPUTED_VALUE"""),0.391304347826087)</f>
        <v>0.3913043478</v>
      </c>
      <c r="I457" s="81">
        <f>IFERROR(__xludf.DUMMYFUNCTION("""COMPUTED_VALUE"""),0.3421052631578947)</f>
        <v>0.3421052632</v>
      </c>
      <c r="J457" s="80">
        <f>IFERROR(__xludf.DUMMYFUNCTION("""COMPUTED_VALUE"""),406.5652173913044)</f>
        <v>406.5652174</v>
      </c>
      <c r="K457" s="80">
        <f>IFERROR(__xludf.DUMMYFUNCTION("""COMPUTED_VALUE"""),1.1304347826086956)</f>
        <v>1.130434783</v>
      </c>
      <c r="L457" s="80">
        <f>IFERROR(__xludf.DUMMYFUNCTION("""COMPUTED_VALUE"""),0.9565217391304348)</f>
        <v>0.9565217391</v>
      </c>
      <c r="M457" s="80">
        <f>IFERROR(__xludf.DUMMYFUNCTION("""COMPUTED_VALUE"""),1.2173913043478262)</f>
        <v>1.217391304</v>
      </c>
      <c r="N457" s="80">
        <f>IFERROR(__xludf.DUMMYFUNCTION("""COMPUTED_VALUE"""),3.3043478260869565)</f>
        <v>3.304347826</v>
      </c>
      <c r="O457" s="80">
        <f>IFERROR(__xludf.DUMMYFUNCTION("""COMPUTED_VALUE"""),421.8550724637682)</f>
        <v>421.8550725</v>
      </c>
      <c r="P457" s="80">
        <f>IFERROR(__xludf.DUMMYFUNCTION("""COMPUTED_VALUE"""),1.043478260869565)</f>
        <v>1.043478261</v>
      </c>
      <c r="Q457" s="80">
        <f>IFERROR(__xludf.DUMMYFUNCTION("""COMPUTED_VALUE"""),0.8840579710144926)</f>
        <v>0.884057971</v>
      </c>
      <c r="R457" s="80">
        <f>IFERROR(__xludf.DUMMYFUNCTION("""COMPUTED_VALUE"""),1.63768115942029)</f>
        <v>1.637681159</v>
      </c>
      <c r="S457" s="80">
        <f>IFERROR(__xludf.DUMMYFUNCTION("""COMPUTED_VALUE"""),3.101449275362319)</f>
        <v>3.101449275</v>
      </c>
      <c r="T457" s="80">
        <f>IFERROR(__xludf.DUMMYFUNCTION("""COMPUTED_VALUE"""),389.55941928732886)</f>
        <v>389.5594193</v>
      </c>
      <c r="U457" s="80">
        <f>IFERROR(__xludf.DUMMYFUNCTION("""COMPUTED_VALUE"""),0.8881539070885577)</f>
        <v>0.8881539071</v>
      </c>
      <c r="V457" s="80">
        <f>IFERROR(__xludf.DUMMYFUNCTION("""COMPUTED_VALUE"""),0.6797660559132761)</f>
        <v>0.6797660559</v>
      </c>
      <c r="W457" s="80">
        <f>IFERROR(__xludf.DUMMYFUNCTION("""COMPUTED_VALUE"""),1.494900101091123)</f>
        <v>1.494900101</v>
      </c>
      <c r="X457" s="80">
        <f>IFERROR(__xludf.DUMMYFUNCTION("""COMPUTED_VALUE"""),2.814956651063598)</f>
        <v>2.814956651</v>
      </c>
      <c r="Y457" s="80">
        <f>IFERROR(__xludf.DUMMYFUNCTION("""COMPUTED_VALUE"""),380.2768176563757)</f>
        <v>380.2768177</v>
      </c>
      <c r="Z457" s="80">
        <f>IFERROR(__xludf.DUMMYFUNCTION("""COMPUTED_VALUE"""),0.8362242221795286)</f>
        <v>0.8362242222</v>
      </c>
      <c r="AA457" s="80">
        <f>IFERROR(__xludf.DUMMYFUNCTION("""COMPUTED_VALUE"""),0.6630160818872833)</f>
        <v>0.6630160819</v>
      </c>
      <c r="AB457" s="80">
        <f>IFERROR(__xludf.DUMMYFUNCTION("""COMPUTED_VALUE"""),1.469442748704588)</f>
        <v>1.469442749</v>
      </c>
      <c r="AC457" s="80">
        <f>IFERROR(__xludf.DUMMYFUNCTION("""COMPUTED_VALUE"""),2.817053450776051)</f>
        <v>2.817053451</v>
      </c>
      <c r="AD457" s="80">
        <f>IFERROR(__xludf.DUMMYFUNCTION("""COMPUTED_VALUE"""),1.0691296406048167)</f>
        <v>1.069129641</v>
      </c>
      <c r="AE457" s="80">
        <f>IFERROR(__xludf.DUMMYFUNCTION("""COMPUTED_VALUE"""),1.3518321433721912)</f>
        <v>1.351832143</v>
      </c>
      <c r="AF457" s="80">
        <f>IFERROR(__xludf.DUMMYFUNCTION("""COMPUTED_VALUE"""),1.442682561194721)</f>
        <v>1.442682561</v>
      </c>
      <c r="AG457" s="80">
        <f>IFERROR(__xludf.DUMMYFUNCTION("""COMPUTED_VALUE"""),0.8284714089208566)</f>
        <v>0.8284714089</v>
      </c>
      <c r="AH457" s="80">
        <f>IFERROR(__xludf.DUMMYFUNCTION("""COMPUTED_VALUE"""),1.172980166626467)</f>
        <v>1.172980167</v>
      </c>
      <c r="AI457" s="80">
        <f>IFERROR(__xludf.DUMMYFUNCTION("""COMPUTED_VALUE"""),1.0829030221770068)</f>
        <v>1.082903022</v>
      </c>
      <c r="AJ457" s="80">
        <f>IFERROR(__xludf.DUMMYFUNCTION("""COMPUTED_VALUE"""),1.1748845020455672)</f>
        <v>1.174884502</v>
      </c>
      <c r="AK457" s="80">
        <f>IFERROR(__xludf.DUMMYFUNCTION("""COMPUTED_VALUE"""),1.3005326808011135)</f>
        <v>1.300532681</v>
      </c>
      <c r="AL457" s="80">
        <f>IFERROR(__xludf.DUMMYFUNCTION("""COMPUTED_VALUE"""),1.0955121069461107)</f>
        <v>1.095512107</v>
      </c>
      <c r="AM457" s="80">
        <f>IFERROR(__xludf.DUMMYFUNCTION("""COMPUTED_VALUE"""),1.101775146054371)</f>
        <v>1.101775146</v>
      </c>
      <c r="AN457" s="80">
        <f>IFERROR(__xludf.DUMMYFUNCTION("""COMPUTED_VALUE"""),1.1023418186634057)</f>
        <v>1.102341819</v>
      </c>
      <c r="AO457" s="80">
        <f>IFERROR(__xludf.DUMMYFUNCTION("""COMPUTED_VALUE"""),1.4730653716556779)</f>
        <v>1.473065372</v>
      </c>
      <c r="AP457" s="80">
        <f>IFERROR(__xludf.DUMMYFUNCTION("""COMPUTED_VALUE"""),1.501564415590726)</f>
        <v>1.501564416</v>
      </c>
      <c r="AQ457" s="80">
        <f>IFERROR(__xludf.DUMMYFUNCTION("""COMPUTED_VALUE"""),0.8317145724274713)</f>
        <v>0.8317145724</v>
      </c>
      <c r="AR457" s="80">
        <f>IFERROR(__xludf.DUMMYFUNCTION("""COMPUTED_VALUE"""),1.224819582760873)</f>
        <v>1.224819583</v>
      </c>
      <c r="AS457" s="80">
        <f>IFERROR(__xludf.DUMMYFUNCTION("""COMPUTED_VALUE"""),66.0)</f>
        <v>66</v>
      </c>
      <c r="AT457" s="80">
        <f>IFERROR(__xludf.DUMMYFUNCTION("""COMPUTED_VALUE"""),0.46368549927759645)</f>
        <v>0.4636854993</v>
      </c>
      <c r="AU457" s="80">
        <f>IFERROR(__xludf.DUMMYFUNCTION("""COMPUTED_VALUE"""),4.259247290713531)</f>
        <v>4.259247291</v>
      </c>
      <c r="AV457" s="80">
        <f>IFERROR(__xludf.DUMMYFUNCTION("""COMPUTED_VALUE"""),80.08259541416734)</f>
        <v>80.08259541</v>
      </c>
      <c r="AW457" s="82">
        <f t="shared" si="1"/>
        <v>8.739013919</v>
      </c>
      <c r="AX457" s="83">
        <f t="array" ref="AX457">IFERROR(DGET('SBV Import'!A:G,"SBV",{"RSC ID","Tier";B457,A457}))</f>
        <v>53.57945553</v>
      </c>
      <c r="AY457" s="82">
        <f t="shared" si="2"/>
        <v>2.256955693</v>
      </c>
      <c r="AZ457" s="82">
        <v>6.4820582256567185</v>
      </c>
      <c r="BA457" s="84">
        <v>450.0</v>
      </c>
      <c r="BB457" s="84" t="b">
        <f>IFERROR(__xludf.DUMMYFUNCTION("iferror(if(A457="""",,E457&gt;=FILTER(Constants!$F$2:$F$10,Constants!$A$2:$A$10=A457)))"),TRUE)</f>
        <v>1</v>
      </c>
    </row>
    <row r="458">
      <c r="A458" s="80" t="str">
        <f>IFERROR(__xludf.DUMMYFUNCTION("""COMPUTED_VALUE"""),"Master")</f>
        <v>Master</v>
      </c>
      <c r="B458" s="80" t="str">
        <f>IFERROR(__xludf.DUMMYFUNCTION("""COMPUTED_VALUE"""),"RSC004717")</f>
        <v>RSC004717</v>
      </c>
      <c r="C458" s="80" t="str">
        <f>IFERROR(__xludf.DUMMYFUNCTION("""COMPUTED_VALUE"""),"slain.")</f>
        <v>slain.</v>
      </c>
      <c r="D458" s="80" t="str">
        <f>IFERROR(__xludf.DUMMYFUNCTION("""COMPUTED_VALUE"""),"Battle Masters")</f>
        <v>Battle Masters</v>
      </c>
      <c r="E458" s="80">
        <f>IFERROR(__xludf.DUMMYFUNCTION("""COMPUTED_VALUE"""),36.0)</f>
        <v>36</v>
      </c>
      <c r="F458" s="80">
        <f>IFERROR(__xludf.DUMMYFUNCTION("""COMPUTED_VALUE"""),25.0)</f>
        <v>25</v>
      </c>
      <c r="G458" s="80">
        <f>IFERROR(__xludf.DUMMYFUNCTION("""COMPUTED_VALUE"""),11.0)</f>
        <v>11</v>
      </c>
      <c r="H458" s="81">
        <f>IFERROR(__xludf.DUMMYFUNCTION("""COMPUTED_VALUE"""),0.6944444444444444)</f>
        <v>0.6944444444</v>
      </c>
      <c r="I458" s="81">
        <f>IFERROR(__xludf.DUMMYFUNCTION("""COMPUTED_VALUE"""),0.39814814814814814)</f>
        <v>0.3981481481</v>
      </c>
      <c r="J458" s="80">
        <f>IFERROR(__xludf.DUMMYFUNCTION("""COMPUTED_VALUE"""),444.8888888888889)</f>
        <v>444.8888889</v>
      </c>
      <c r="K458" s="80">
        <f>IFERROR(__xludf.DUMMYFUNCTION("""COMPUTED_VALUE"""),1.1944444444444444)</f>
        <v>1.194444444</v>
      </c>
      <c r="L458" s="80">
        <f>IFERROR(__xludf.DUMMYFUNCTION("""COMPUTED_VALUE"""),0.8055555555555556)</f>
        <v>0.8055555556</v>
      </c>
      <c r="M458" s="80">
        <f>IFERROR(__xludf.DUMMYFUNCTION("""COMPUTED_VALUE"""),1.9166666666666667)</f>
        <v>1.916666667</v>
      </c>
      <c r="N458" s="80">
        <f>IFERROR(__xludf.DUMMYFUNCTION("""COMPUTED_VALUE"""),3.0)</f>
        <v>3</v>
      </c>
      <c r="O458" s="80">
        <f>IFERROR(__xludf.DUMMYFUNCTION("""COMPUTED_VALUE"""),359.6574074074075)</f>
        <v>359.6574074</v>
      </c>
      <c r="P458" s="80">
        <f>IFERROR(__xludf.DUMMYFUNCTION("""COMPUTED_VALUE"""),0.6388888888888888)</f>
        <v>0.6388888889</v>
      </c>
      <c r="Q458" s="80">
        <f>IFERROR(__xludf.DUMMYFUNCTION("""COMPUTED_VALUE"""),0.5092592592592591)</f>
        <v>0.5092592593</v>
      </c>
      <c r="R458" s="80">
        <f>IFERROR(__xludf.DUMMYFUNCTION("""COMPUTED_VALUE"""),1.6203703703703702)</f>
        <v>1.62037037</v>
      </c>
      <c r="S458" s="80">
        <f>IFERROR(__xludf.DUMMYFUNCTION("""COMPUTED_VALUE"""),2.4537037037037037)</f>
        <v>2.453703704</v>
      </c>
      <c r="T458" s="80">
        <f>IFERROR(__xludf.DUMMYFUNCTION("""COMPUTED_VALUE"""),376.26679428523585)</f>
        <v>376.2667943</v>
      </c>
      <c r="U458" s="80">
        <f>IFERROR(__xludf.DUMMYFUNCTION("""COMPUTED_VALUE"""),0.7977645761515567)</f>
        <v>0.7977645762</v>
      </c>
      <c r="V458" s="80">
        <f>IFERROR(__xludf.DUMMYFUNCTION("""COMPUTED_VALUE"""),0.6056830130611666)</f>
        <v>0.6056830131</v>
      </c>
      <c r="W458" s="80">
        <f>IFERROR(__xludf.DUMMYFUNCTION("""COMPUTED_VALUE"""),1.5441243207621758)</f>
        <v>1.544124321</v>
      </c>
      <c r="X458" s="80">
        <f>IFERROR(__xludf.DUMMYFUNCTION("""COMPUTED_VALUE"""),2.727186510460498)</f>
        <v>2.72718651</v>
      </c>
      <c r="Y458" s="80">
        <f>IFERROR(__xludf.DUMMYFUNCTION("""COMPUTED_VALUE"""),400.227568416092)</f>
        <v>400.2275684</v>
      </c>
      <c r="Z458" s="80">
        <f>IFERROR(__xludf.DUMMYFUNCTION("""COMPUTED_VALUE"""),0.9544420056012807)</f>
        <v>0.9544420056</v>
      </c>
      <c r="AA458" s="80">
        <f>IFERROR(__xludf.DUMMYFUNCTION("""COMPUTED_VALUE"""),0.7384839333111252)</f>
        <v>0.7384839333</v>
      </c>
      <c r="AB458" s="80">
        <f>IFERROR(__xludf.DUMMYFUNCTION("""COMPUTED_VALUE"""),1.4908473657145143)</f>
        <v>1.490847366</v>
      </c>
      <c r="AC458" s="80">
        <f>IFERROR(__xludf.DUMMYFUNCTION("""COMPUTED_VALUE"""),2.934814633151126)</f>
        <v>2.934814633</v>
      </c>
      <c r="AD458" s="80">
        <f>IFERROR(__xludf.DUMMYFUNCTION("""COMPUTED_VALUE"""),1.1115898153881425)</f>
        <v>1.111589815</v>
      </c>
      <c r="AE458" s="80">
        <f>IFERROR(__xludf.DUMMYFUNCTION("""COMPUTED_VALUE"""),1.2514583782300808)</f>
        <v>1.251458378</v>
      </c>
      <c r="AF458" s="80">
        <f>IFERROR(__xludf.DUMMYFUNCTION("""COMPUTED_VALUE"""),1.0908234007796254)</f>
        <v>1.090823401</v>
      </c>
      <c r="AG458" s="80">
        <f>IFERROR(__xludf.DUMMYFUNCTION("""COMPUTED_VALUE"""),1.2856223317992526)</f>
        <v>1.285622332</v>
      </c>
      <c r="AH458" s="80">
        <f>IFERROR(__xludf.DUMMYFUNCTION("""COMPUTED_VALUE"""),1.0222110678175556)</f>
        <v>1.022211068</v>
      </c>
      <c r="AI458" s="80">
        <f>IFERROR(__xludf.DUMMYFUNCTION("""COMPUTED_VALUE"""),0.9558574205056285)</f>
        <v>0.9558574205</v>
      </c>
      <c r="AJ458" s="80">
        <f>IFERROR(__xludf.DUMMYFUNCTION("""COMPUTED_VALUE"""),0.8008489070433666)</f>
        <v>0.800848907</v>
      </c>
      <c r="AK458" s="80">
        <f>IFERROR(__xludf.DUMMYFUNCTION("""COMPUTED_VALUE"""),0.8408016211077561)</f>
        <v>0.8408016211</v>
      </c>
      <c r="AL458" s="80">
        <f>IFERROR(__xludf.DUMMYFUNCTION("""COMPUTED_VALUE"""),1.0493781806186173)</f>
        <v>1.049378181</v>
      </c>
      <c r="AM458" s="80">
        <f>IFERROR(__xludf.DUMMYFUNCTION("""COMPUTED_VALUE"""),0.8997198007148344)</f>
        <v>0.8997198007</v>
      </c>
      <c r="AN458" s="80">
        <f>IFERROR(__xludf.DUMMYFUNCTION("""COMPUTED_VALUE"""),1.2062508200471769)</f>
        <v>1.20625082</v>
      </c>
      <c r="AO458" s="80">
        <f>IFERROR(__xludf.DUMMYFUNCTION("""COMPUTED_VALUE"""),1.5564761245378904)</f>
        <v>1.556476125</v>
      </c>
      <c r="AP458" s="80">
        <f>IFERROR(__xludf.DUMMYFUNCTION("""COMPUTED_VALUE"""),1.2645750823219877)</f>
        <v>1.264575082</v>
      </c>
      <c r="AQ458" s="80">
        <f>IFERROR(__xludf.DUMMYFUNCTION("""COMPUTED_VALUE"""),1.3094553833753937)</f>
        <v>1.309455383</v>
      </c>
      <c r="AR458" s="80">
        <f>IFERROR(__xludf.DUMMYFUNCTION("""COMPUTED_VALUE"""),1.1120072527697398)</f>
        <v>1.112007253</v>
      </c>
      <c r="AS458" s="80">
        <f>IFERROR(__xludf.DUMMYFUNCTION("""COMPUTED_VALUE"""),127.0)</f>
        <v>127</v>
      </c>
      <c r="AT458" s="80">
        <f>IFERROR(__xludf.DUMMYFUNCTION("""COMPUTED_VALUE"""),0.7295252442022341)</f>
        <v>0.7295252442</v>
      </c>
      <c r="AU458" s="80">
        <f>IFERROR(__xludf.DUMMYFUNCTION("""COMPUTED_VALUE"""),4.240672710222546)</f>
        <v>4.24067271</v>
      </c>
      <c r="AV458" s="80">
        <f>IFERROR(__xludf.DUMMYFUNCTION("""COMPUTED_VALUE"""),79.62873286894954)</f>
        <v>79.62873287</v>
      </c>
      <c r="AW458" s="82">
        <f t="shared" si="1"/>
        <v>8.47606979</v>
      </c>
      <c r="AX458" s="83">
        <f t="array" ref="AX458">IFERROR(DGET('SBV Import'!A:G,"SBV",{"RSC ID","Tier";B458,A458}))</f>
        <v>68.62505361</v>
      </c>
      <c r="AY458" s="82">
        <f t="shared" si="2"/>
        <v>4.383365426</v>
      </c>
      <c r="AZ458" s="82">
        <v>4.092704363682581</v>
      </c>
      <c r="BA458" s="84">
        <v>450.0</v>
      </c>
      <c r="BB458" s="84" t="b">
        <f>IFERROR(__xludf.DUMMYFUNCTION("iferror(if(A458="""",,E458&gt;=FILTER(Constants!$F$2:$F$10,Constants!$A$2:$A$10=A458)))"),TRUE)</f>
        <v>1</v>
      </c>
    </row>
    <row r="459">
      <c r="A459" s="80" t="str">
        <f>IFERROR(__xludf.DUMMYFUNCTION("""COMPUTED_VALUE"""),"Master")</f>
        <v>Master</v>
      </c>
      <c r="B459" s="80" t="str">
        <f>IFERROR(__xludf.DUMMYFUNCTION("""COMPUTED_VALUE"""),"RSC007997")</f>
        <v>RSC007997</v>
      </c>
      <c r="C459" s="80" t="str">
        <f>IFERROR(__xludf.DUMMYFUNCTION("""COMPUTED_VALUE"""),"dreamyrll")</f>
        <v>dreamyrll</v>
      </c>
      <c r="D459" s="80" t="str">
        <f>IFERROR(__xludf.DUMMYFUNCTION("""COMPUTED_VALUE"""),"The OG")</f>
        <v>The OG</v>
      </c>
      <c r="E459" s="80">
        <f>IFERROR(__xludf.DUMMYFUNCTION("""COMPUTED_VALUE"""),15.0)</f>
        <v>15</v>
      </c>
      <c r="F459" s="80">
        <f>IFERROR(__xludf.DUMMYFUNCTION("""COMPUTED_VALUE"""),5.0)</f>
        <v>5</v>
      </c>
      <c r="G459" s="80">
        <f>IFERROR(__xludf.DUMMYFUNCTION("""COMPUTED_VALUE"""),10.0)</f>
        <v>10</v>
      </c>
      <c r="H459" s="81">
        <f>IFERROR(__xludf.DUMMYFUNCTION("""COMPUTED_VALUE"""),0.3333333333333333)</f>
        <v>0.3333333333</v>
      </c>
      <c r="I459" s="81">
        <f>IFERROR(__xludf.DUMMYFUNCTION("""COMPUTED_VALUE"""),0.3269230769230769)</f>
        <v>0.3269230769</v>
      </c>
      <c r="J459" s="80">
        <f>IFERROR(__xludf.DUMMYFUNCTION("""COMPUTED_VALUE"""),481.73333333333335)</f>
        <v>481.7333333</v>
      </c>
      <c r="K459" s="80">
        <f>IFERROR(__xludf.DUMMYFUNCTION("""COMPUTED_VALUE"""),1.1333333333333333)</f>
        <v>1.133333333</v>
      </c>
      <c r="L459" s="80">
        <f>IFERROR(__xludf.DUMMYFUNCTION("""COMPUTED_VALUE"""),0.6)</f>
        <v>0.6</v>
      </c>
      <c r="M459" s="80">
        <f>IFERROR(__xludf.DUMMYFUNCTION("""COMPUTED_VALUE"""),1.8666666666666667)</f>
        <v>1.866666667</v>
      </c>
      <c r="N459" s="80">
        <f>IFERROR(__xludf.DUMMYFUNCTION("""COMPUTED_VALUE"""),3.466666666666667)</f>
        <v>3.466666667</v>
      </c>
      <c r="O459" s="80">
        <f>IFERROR(__xludf.DUMMYFUNCTION("""COMPUTED_VALUE"""),423.9111111111112)</f>
        <v>423.9111111</v>
      </c>
      <c r="P459" s="80">
        <f>IFERROR(__xludf.DUMMYFUNCTION("""COMPUTED_VALUE"""),1.0)</f>
        <v>1</v>
      </c>
      <c r="Q459" s="80">
        <f>IFERROR(__xludf.DUMMYFUNCTION("""COMPUTED_VALUE"""),0.7333333333333333)</f>
        <v>0.7333333333</v>
      </c>
      <c r="R459" s="80">
        <f>IFERROR(__xludf.DUMMYFUNCTION("""COMPUTED_VALUE"""),1.7555555555555555)</f>
        <v>1.755555556</v>
      </c>
      <c r="S459" s="80">
        <f>IFERROR(__xludf.DUMMYFUNCTION("""COMPUTED_VALUE"""),3.1111111111111103)</f>
        <v>3.111111111</v>
      </c>
      <c r="T459" s="80">
        <f>IFERROR(__xludf.DUMMYFUNCTION("""COMPUTED_VALUE"""),391.80088350367816)</f>
        <v>391.8008835</v>
      </c>
      <c r="U459" s="80">
        <f>IFERROR(__xludf.DUMMYFUNCTION("""COMPUTED_VALUE"""),0.8828674696783779)</f>
        <v>0.8828674697</v>
      </c>
      <c r="V459" s="80">
        <f>IFERROR(__xludf.DUMMYFUNCTION("""COMPUTED_VALUE"""),0.6414857088003357)</f>
        <v>0.6414857088</v>
      </c>
      <c r="W459" s="80">
        <f>IFERROR(__xludf.DUMMYFUNCTION("""COMPUTED_VALUE"""),1.5176836021765026)</f>
        <v>1.517683602</v>
      </c>
      <c r="X459" s="80">
        <f>IFERROR(__xludf.DUMMYFUNCTION("""COMPUTED_VALUE"""),2.9140473149668558)</f>
        <v>2.914047315</v>
      </c>
      <c r="Y459" s="80">
        <f>IFERROR(__xludf.DUMMYFUNCTION("""COMPUTED_VALUE"""),380.6482279902168)</f>
        <v>380.648228</v>
      </c>
      <c r="Z459" s="80">
        <f>IFERROR(__xludf.DUMMYFUNCTION("""COMPUTED_VALUE"""),0.8441827541290394)</f>
        <v>0.8441827541</v>
      </c>
      <c r="AA459" s="80">
        <f>IFERROR(__xludf.DUMMYFUNCTION("""COMPUTED_VALUE"""),0.6573725255676273)</f>
        <v>0.6573725256</v>
      </c>
      <c r="AB459" s="80">
        <f>IFERROR(__xludf.DUMMYFUNCTION("""COMPUTED_VALUE"""),1.4988121790507039)</f>
        <v>1.498812179</v>
      </c>
      <c r="AC459" s="80">
        <f>IFERROR(__xludf.DUMMYFUNCTION("""COMPUTED_VALUE"""),2.796810534629631)</f>
        <v>2.796810535</v>
      </c>
      <c r="AD459" s="80">
        <f>IFERROR(__xludf.DUMMYFUNCTION("""COMPUTED_VALUE"""),1.2655604253744603)</f>
        <v>1.265560425</v>
      </c>
      <c r="AE459" s="80">
        <f>IFERROR(__xludf.DUMMYFUNCTION("""COMPUTED_VALUE"""),1.3425213057125485)</f>
        <v>1.342521306</v>
      </c>
      <c r="AF459" s="80">
        <f>IFERROR(__xludf.DUMMYFUNCTION("""COMPUTED_VALUE"""),0.9127244852253487)</f>
        <v>0.9127244852</v>
      </c>
      <c r="AG459" s="80">
        <f>IFERROR(__xludf.DUMMYFUNCTION("""COMPUTED_VALUE"""),1.2454306768770382)</f>
        <v>1.245430677</v>
      </c>
      <c r="AH459" s="80">
        <f>IFERROR(__xludf.DUMMYFUNCTION("""COMPUTED_VALUE"""),1.2395071542183467)</f>
        <v>1.239507154</v>
      </c>
      <c r="AI459" s="80">
        <f>IFERROR(__xludf.DUMMYFUNCTION("""COMPUTED_VALUE"""),1.081955475241116)</f>
        <v>1.081955475</v>
      </c>
      <c r="AJ459" s="80">
        <f>IFERROR(__xludf.DUMMYFUNCTION("""COMPUTED_VALUE"""),1.1326728352153383)</f>
        <v>1.132672835</v>
      </c>
      <c r="AK459" s="80">
        <f>IFERROR(__xludf.DUMMYFUNCTION("""COMPUTED_VALUE"""),1.1431795335000758)</f>
        <v>1.143179534</v>
      </c>
      <c r="AL459" s="80">
        <f>IFERROR(__xludf.DUMMYFUNCTION("""COMPUTED_VALUE"""),1.1567335596417607)</f>
        <v>1.15673356</v>
      </c>
      <c r="AM459" s="80">
        <f>IFERROR(__xludf.DUMMYFUNCTION("""COMPUTED_VALUE"""),1.0676254620616878)</f>
        <v>1.067625462</v>
      </c>
      <c r="AN459" s="80">
        <f>IFERROR(__xludf.DUMMYFUNCTION("""COMPUTED_VALUE"""),1.3061491147344007)</f>
        <v>1.306149115</v>
      </c>
      <c r="AO459" s="80">
        <f>IFERROR(__xludf.DUMMYFUNCTION("""COMPUTED_VALUE"""),1.476842462352231)</f>
        <v>1.476842462</v>
      </c>
      <c r="AP459" s="80">
        <f>IFERROR(__xludf.DUMMYFUNCTION("""COMPUTED_VALUE"""),0.9418904061432735)</f>
        <v>0.9418904061</v>
      </c>
      <c r="AQ459" s="80">
        <f>IFERROR(__xludf.DUMMYFUNCTION("""COMPUTED_VALUE"""),1.2752956777221227)</f>
        <v>1.275295678</v>
      </c>
      <c r="AR459" s="80">
        <f>IFERROR(__xludf.DUMMYFUNCTION("""COMPUTED_VALUE"""),1.284986158756144)</f>
        <v>1.284986159</v>
      </c>
      <c r="AS459" s="80">
        <f>IFERROR(__xludf.DUMMYFUNCTION("""COMPUTED_VALUE"""),41.0)</f>
        <v>41</v>
      </c>
      <c r="AT459" s="80">
        <f>IFERROR(__xludf.DUMMYFUNCTION("""COMPUTED_VALUE"""),0.46165978893591564)</f>
        <v>0.4616597889</v>
      </c>
      <c r="AU459" s="80">
        <f>IFERROR(__xludf.DUMMYFUNCTION("""COMPUTED_VALUE"""),4.009498126911298)</f>
        <v>4.009498127</v>
      </c>
      <c r="AV459" s="80">
        <f>IFERROR(__xludf.DUMMYFUNCTION("""COMPUTED_VALUE"""),73.98007314162872)</f>
        <v>73.98007314</v>
      </c>
      <c r="AW459" s="82">
        <f t="shared" si="1"/>
        <v>5.926689338</v>
      </c>
      <c r="AX459" s="83">
        <f t="array" ref="AX459">IFERROR(DGET('SBV Import'!A:G,"SBV",{"RSC ID","Tier";B459,A459}))</f>
        <v>61.3062339</v>
      </c>
      <c r="AY459" s="82">
        <f t="shared" si="2"/>
        <v>3.071774992</v>
      </c>
      <c r="AZ459" s="82">
        <v>2.8549143463397657</v>
      </c>
      <c r="BA459" s="84">
        <v>450.0</v>
      </c>
      <c r="BB459" s="84" t="b">
        <f>IFERROR(__xludf.DUMMYFUNCTION("iferror(if(A459="""",,E459&gt;=FILTER(Constants!$F$2:$F$10,Constants!$A$2:$A$10=A459)))"),TRUE)</f>
        <v>1</v>
      </c>
    </row>
    <row r="460">
      <c r="A460" s="80" t="str">
        <f>IFERROR(__xludf.DUMMYFUNCTION("""COMPUTED_VALUE"""),"Master")</f>
        <v>Master</v>
      </c>
      <c r="B460" s="80" t="str">
        <f>IFERROR(__xludf.DUMMYFUNCTION("""COMPUTED_VALUE"""),"RSC000618")</f>
        <v>RSC000618</v>
      </c>
      <c r="C460" s="80" t="str">
        <f>IFERROR(__xludf.DUMMYFUNCTION("""COMPUTED_VALUE"""),"Taelo")</f>
        <v>Taelo</v>
      </c>
      <c r="D460" s="80" t="str">
        <f>IFERROR(__xludf.DUMMYFUNCTION("""COMPUTED_VALUE"""),"Oblivion")</f>
        <v>Oblivion</v>
      </c>
      <c r="E460" s="80">
        <f>IFERROR(__xludf.DUMMYFUNCTION("""COMPUTED_VALUE"""),36.0)</f>
        <v>36</v>
      </c>
      <c r="F460" s="80">
        <f>IFERROR(__xludf.DUMMYFUNCTION("""COMPUTED_VALUE"""),25.0)</f>
        <v>25</v>
      </c>
      <c r="G460" s="80">
        <f>IFERROR(__xludf.DUMMYFUNCTION("""COMPUTED_VALUE"""),11.0)</f>
        <v>11</v>
      </c>
      <c r="H460" s="81">
        <f>IFERROR(__xludf.DUMMYFUNCTION("""COMPUTED_VALUE"""),0.6944444444444444)</f>
        <v>0.6944444444</v>
      </c>
      <c r="I460" s="81">
        <f>IFERROR(__xludf.DUMMYFUNCTION("""COMPUTED_VALUE"""),0.3214285714285714)</f>
        <v>0.3214285714</v>
      </c>
      <c r="J460" s="80">
        <f>IFERROR(__xludf.DUMMYFUNCTION("""COMPUTED_VALUE"""),392.3888888888889)</f>
        <v>392.3888889</v>
      </c>
      <c r="K460" s="80">
        <f>IFERROR(__xludf.DUMMYFUNCTION("""COMPUTED_VALUE"""),1.0)</f>
        <v>1</v>
      </c>
      <c r="L460" s="80">
        <f>IFERROR(__xludf.DUMMYFUNCTION("""COMPUTED_VALUE"""),0.8611111111111112)</f>
        <v>0.8611111111</v>
      </c>
      <c r="M460" s="80">
        <f>IFERROR(__xludf.DUMMYFUNCTION("""COMPUTED_VALUE"""),1.1944444444444444)</f>
        <v>1.194444444</v>
      </c>
      <c r="N460" s="80">
        <f>IFERROR(__xludf.DUMMYFUNCTION("""COMPUTED_VALUE"""),3.111111111111111)</f>
        <v>3.111111111</v>
      </c>
      <c r="O460" s="80">
        <f>IFERROR(__xludf.DUMMYFUNCTION("""COMPUTED_VALUE"""),337.03703703703707)</f>
        <v>337.037037</v>
      </c>
      <c r="P460" s="80">
        <f>IFERROR(__xludf.DUMMYFUNCTION("""COMPUTED_VALUE"""),0.6944444444444444)</f>
        <v>0.6944444444</v>
      </c>
      <c r="Q460" s="80">
        <f>IFERROR(__xludf.DUMMYFUNCTION("""COMPUTED_VALUE"""),0.4722222222222223)</f>
        <v>0.4722222222</v>
      </c>
      <c r="R460" s="80">
        <f>IFERROR(__xludf.DUMMYFUNCTION("""COMPUTED_VALUE"""),1.3240740740740742)</f>
        <v>1.324074074</v>
      </c>
      <c r="S460" s="80">
        <f>IFERROR(__xludf.DUMMYFUNCTION("""COMPUTED_VALUE"""),2.435185185185185)</f>
        <v>2.435185185</v>
      </c>
      <c r="T460" s="80">
        <f>IFERROR(__xludf.DUMMYFUNCTION("""COMPUTED_VALUE"""),371.16792026445887)</f>
        <v>371.1679203</v>
      </c>
      <c r="U460" s="80">
        <f>IFERROR(__xludf.DUMMYFUNCTION("""COMPUTED_VALUE"""),0.7322734158358828)</f>
        <v>0.7322734158</v>
      </c>
      <c r="V460" s="80">
        <f>IFERROR(__xludf.DUMMYFUNCTION("""COMPUTED_VALUE"""),0.5968819245902108)</f>
        <v>0.5968819246</v>
      </c>
      <c r="W460" s="80">
        <f>IFERROR(__xludf.DUMMYFUNCTION("""COMPUTED_VALUE"""),1.5555377454657187)</f>
        <v>1.555537745</v>
      </c>
      <c r="X460" s="80">
        <f>IFERROR(__xludf.DUMMYFUNCTION("""COMPUTED_VALUE"""),2.7786657039971967)</f>
        <v>2.778665704</v>
      </c>
      <c r="Y460" s="80">
        <f>IFERROR(__xludf.DUMMYFUNCTION("""COMPUTED_VALUE"""),399.97102755039174)</f>
        <v>399.9710276</v>
      </c>
      <c r="Z460" s="80">
        <f>IFERROR(__xludf.DUMMYFUNCTION("""COMPUTED_VALUE"""),0.9465707667516009)</f>
        <v>0.9465707668</v>
      </c>
      <c r="AA460" s="80">
        <f>IFERROR(__xludf.DUMMYFUNCTION("""COMPUTED_VALUE"""),0.7160144291622331)</f>
        <v>0.7160144292</v>
      </c>
      <c r="AB460" s="80">
        <f>IFERROR(__xludf.DUMMYFUNCTION("""COMPUTED_VALUE"""),1.5343530320242875)</f>
        <v>1.534353032</v>
      </c>
      <c r="AC460" s="80">
        <f>IFERROR(__xludf.DUMMYFUNCTION("""COMPUTED_VALUE"""),2.91541843786635)</f>
        <v>2.915418438</v>
      </c>
      <c r="AD460" s="80">
        <f>IFERROR(__xludf.DUMMYFUNCTION("""COMPUTED_VALUE"""),0.9810432802897265)</f>
        <v>0.9810432803</v>
      </c>
      <c r="AE460" s="80">
        <f>IFERROR(__xludf.DUMMYFUNCTION("""COMPUTED_VALUE"""),1.056445048933589)</f>
        <v>1.056445049</v>
      </c>
      <c r="AF460" s="80">
        <f>IFERROR(__xludf.DUMMYFUNCTION("""COMPUTED_VALUE"""),1.202644913341547)</f>
        <v>1.202644913</v>
      </c>
      <c r="AG460" s="80">
        <f>IFERROR(__xludf.DUMMYFUNCTION("""COMPUTED_VALUE"""),0.7784678098941817)</f>
        <v>0.7784678099</v>
      </c>
      <c r="AH460" s="80">
        <f>IFERROR(__xludf.DUMMYFUNCTION("""COMPUTED_VALUE"""),1.0671233572179706)</f>
        <v>1.067123357</v>
      </c>
      <c r="AI460" s="80">
        <f>IFERROR(__xludf.DUMMYFUNCTION("""COMPUTED_VALUE"""),0.9080446305728593)</f>
        <v>0.9080446306</v>
      </c>
      <c r="AJ460" s="80">
        <f>IFERROR(__xludf.DUMMYFUNCTION("""COMPUTED_VALUE"""),0.9483403731811608)</f>
        <v>0.9483403732</v>
      </c>
      <c r="AK460" s="80">
        <f>IFERROR(__xludf.DUMMYFUNCTION("""COMPUTED_VALUE"""),0.7911484713604393)</f>
        <v>0.7911484714</v>
      </c>
      <c r="AL460" s="80">
        <f>IFERROR(__xludf.DUMMYFUNCTION("""COMPUTED_VALUE"""),0.8512002218741753)</f>
        <v>0.8512002219</v>
      </c>
      <c r="AM460" s="80">
        <f>IFERROR(__xludf.DUMMYFUNCTION("""COMPUTED_VALUE"""),0.8763865266995219)</f>
        <v>0.8763865267</v>
      </c>
      <c r="AN460" s="80">
        <f>IFERROR(__xludf.DUMMYFUNCTION("""COMPUTED_VALUE"""),1.06390478796119)</f>
        <v>1.063904788</v>
      </c>
      <c r="AO460" s="80">
        <f>IFERROR(__xludf.DUMMYFUNCTION("""COMPUTED_VALUE"""),1.303096290310792)</f>
        <v>1.30309629</v>
      </c>
      <c r="AP460" s="80">
        <f>IFERROR(__xludf.DUMMYFUNCTION("""COMPUTED_VALUE"""),1.3517871569648834)</f>
        <v>1.351787157</v>
      </c>
      <c r="AQ460" s="80">
        <f>IFERROR(__xludf.DUMMYFUNCTION("""COMPUTED_VALUE"""),0.8160374128281439)</f>
        <v>0.8160374128</v>
      </c>
      <c r="AR460" s="80">
        <f>IFERROR(__xludf.DUMMYFUNCTION("""COMPUTED_VALUE"""),1.1531927065760266)</f>
        <v>1.153192707</v>
      </c>
      <c r="AS460" s="80">
        <f>IFERROR(__xludf.DUMMYFUNCTION("""COMPUTED_VALUE"""),113.0)</f>
        <v>113</v>
      </c>
      <c r="AT460" s="80">
        <f>IFERROR(__xludf.DUMMYFUNCTION("""COMPUTED_VALUE"""),0.6589732187302225)</f>
        <v>0.6589732187</v>
      </c>
      <c r="AU460" s="80">
        <f>IFERROR(__xludf.DUMMYFUNCTION("""COMPUTED_VALUE"""),3.934169277216304)</f>
        <v>3.934169277</v>
      </c>
      <c r="AV460" s="80">
        <f>IFERROR(__xludf.DUMMYFUNCTION("""COMPUTED_VALUE"""),72.13944242227052)</f>
        <v>72.13944242</v>
      </c>
      <c r="AW460" s="82">
        <f t="shared" si="1"/>
        <v>5.321340673</v>
      </c>
      <c r="AX460" s="83">
        <f t="array" ref="AX460">IFERROR(DGET('SBV Import'!A:G,"SBV",{"RSC ID","Tier";B460,A460}))</f>
        <v>75.34533896</v>
      </c>
      <c r="AY460" s="82">
        <f t="shared" si="2"/>
        <v>6.437663432</v>
      </c>
      <c r="AZ460" s="82">
        <v>1.116322759516346</v>
      </c>
      <c r="BA460" s="84">
        <v>450.0</v>
      </c>
      <c r="BB460" s="84" t="b">
        <f>IFERROR(__xludf.DUMMYFUNCTION("iferror(if(A460="""",,E460&gt;=FILTER(Constants!$F$2:$F$10,Constants!$A$2:$A$10=A460)))"),TRUE)</f>
        <v>1</v>
      </c>
    </row>
    <row r="461">
      <c r="A461" s="80" t="str">
        <f>IFERROR(__xludf.DUMMYFUNCTION("""COMPUTED_VALUE"""),"Master")</f>
        <v>Master</v>
      </c>
      <c r="B461" s="80" t="str">
        <f>IFERROR(__xludf.DUMMYFUNCTION("""COMPUTED_VALUE"""),"RSC004575")</f>
        <v>RSC004575</v>
      </c>
      <c r="C461" s="80" t="str">
        <f>IFERROR(__xludf.DUMMYFUNCTION("""COMPUTED_VALUE"""),"Diamond ^.^")</f>
        <v>Diamond ^.^</v>
      </c>
      <c r="D461" s="80" t="str">
        <f>IFERROR(__xludf.DUMMYFUNCTION("""COMPUTED_VALUE"""),"Lemurs")</f>
        <v>Lemurs</v>
      </c>
      <c r="E461" s="80">
        <f>IFERROR(__xludf.DUMMYFUNCTION("""COMPUTED_VALUE"""),35.0)</f>
        <v>35</v>
      </c>
      <c r="F461" s="80">
        <f>IFERROR(__xludf.DUMMYFUNCTION("""COMPUTED_VALUE"""),19.0)</f>
        <v>19</v>
      </c>
      <c r="G461" s="80">
        <f>IFERROR(__xludf.DUMMYFUNCTION("""COMPUTED_VALUE"""),16.0)</f>
        <v>16</v>
      </c>
      <c r="H461" s="81">
        <f>IFERROR(__xludf.DUMMYFUNCTION("""COMPUTED_VALUE"""),0.5428571428571428)</f>
        <v>0.5428571429</v>
      </c>
      <c r="I461" s="81">
        <f>IFERROR(__xludf.DUMMYFUNCTION("""COMPUTED_VALUE"""),0.3135593220338983)</f>
        <v>0.313559322</v>
      </c>
      <c r="J461" s="80">
        <f>IFERROR(__xludf.DUMMYFUNCTION("""COMPUTED_VALUE"""),428.22857142857146)</f>
        <v>428.2285714</v>
      </c>
      <c r="K461" s="80">
        <f>IFERROR(__xludf.DUMMYFUNCTION("""COMPUTED_VALUE"""),1.0571428571428572)</f>
        <v>1.057142857</v>
      </c>
      <c r="L461" s="80">
        <f>IFERROR(__xludf.DUMMYFUNCTION("""COMPUTED_VALUE"""),0.6571428571428571)</f>
        <v>0.6571428571</v>
      </c>
      <c r="M461" s="80">
        <f>IFERROR(__xludf.DUMMYFUNCTION("""COMPUTED_VALUE"""),1.457142857142857)</f>
        <v>1.457142857</v>
      </c>
      <c r="N461" s="80">
        <f>IFERROR(__xludf.DUMMYFUNCTION("""COMPUTED_VALUE"""),3.3714285714285714)</f>
        <v>3.371428571</v>
      </c>
      <c r="O461" s="80">
        <f>IFERROR(__xludf.DUMMYFUNCTION("""COMPUTED_VALUE"""),409.1904761904762)</f>
        <v>409.1904762</v>
      </c>
      <c r="P461" s="80">
        <f>IFERROR(__xludf.DUMMYFUNCTION("""COMPUTED_VALUE"""),0.9142857142857143)</f>
        <v>0.9142857143</v>
      </c>
      <c r="Q461" s="80">
        <f>IFERROR(__xludf.DUMMYFUNCTION("""COMPUTED_VALUE"""),0.7142857142857144)</f>
        <v>0.7142857143</v>
      </c>
      <c r="R461" s="80">
        <f>IFERROR(__xludf.DUMMYFUNCTION("""COMPUTED_VALUE"""),1.5904761904761906)</f>
        <v>1.59047619</v>
      </c>
      <c r="S461" s="80">
        <f>IFERROR(__xludf.DUMMYFUNCTION("""COMPUTED_VALUE"""),2.7999999999999994)</f>
        <v>2.8</v>
      </c>
      <c r="T461" s="80">
        <f>IFERROR(__xludf.DUMMYFUNCTION("""COMPUTED_VALUE"""),390.28757564548215)</f>
        <v>390.2875756</v>
      </c>
      <c r="U461" s="80">
        <f>IFERROR(__xludf.DUMMYFUNCTION("""COMPUTED_VALUE"""),0.8892192055800432)</f>
        <v>0.8892192056</v>
      </c>
      <c r="V461" s="80">
        <f>IFERROR(__xludf.DUMMYFUNCTION("""COMPUTED_VALUE"""),0.6868296495513241)</f>
        <v>0.6868296496</v>
      </c>
      <c r="W461" s="80">
        <f>IFERROR(__xludf.DUMMYFUNCTION("""COMPUTED_VALUE"""),1.5145259323933384)</f>
        <v>1.514525932</v>
      </c>
      <c r="X461" s="80">
        <f>IFERROR(__xludf.DUMMYFUNCTION("""COMPUTED_VALUE"""),2.782494709495942)</f>
        <v>2.782494709</v>
      </c>
      <c r="Y461" s="80">
        <f>IFERROR(__xludf.DUMMYFUNCTION("""COMPUTED_VALUE"""),383.5754647759038)</f>
        <v>383.5754648</v>
      </c>
      <c r="Z461" s="80">
        <f>IFERROR(__xludf.DUMMYFUNCTION("""COMPUTED_VALUE"""),0.8461731070324393)</f>
        <v>0.846173107</v>
      </c>
      <c r="AA461" s="80">
        <f>IFERROR(__xludf.DUMMYFUNCTION("""COMPUTED_VALUE"""),0.6418538610581577)</f>
        <v>0.6418538611</v>
      </c>
      <c r="AB461" s="80">
        <f>IFERROR(__xludf.DUMMYFUNCTION("""COMPUTED_VALUE"""),1.5017002422763235)</f>
        <v>1.501700242</v>
      </c>
      <c r="AC461" s="80">
        <f>IFERROR(__xludf.DUMMYFUNCTION("""COMPUTED_VALUE"""),2.808557598162141)</f>
        <v>2.808557598</v>
      </c>
      <c r="AD461" s="80">
        <f>IFERROR(__xludf.DUMMYFUNCTION("""COMPUTED_VALUE"""),1.1164128333358216)</f>
        <v>1.116412833</v>
      </c>
      <c r="AE461" s="80">
        <f>IFERROR(__xludf.DUMMYFUNCTION("""COMPUTED_VALUE"""),1.2493222112084095)</f>
        <v>1.249322211</v>
      </c>
      <c r="AF461" s="80">
        <f>IFERROR(__xludf.DUMMYFUNCTION("""COMPUTED_VALUE"""),1.0238200578235894)</f>
        <v>1.023820058</v>
      </c>
      <c r="AG461" s="80">
        <f>IFERROR(__xludf.DUMMYFUNCTION("""COMPUTED_VALUE"""),0.9703287088334454)</f>
        <v>0.9703287088</v>
      </c>
      <c r="AH461" s="80">
        <f>IFERROR(__xludf.DUMMYFUNCTION("""COMPUTED_VALUE"""),1.200412828860893)</f>
        <v>1.200412829</v>
      </c>
      <c r="AI461" s="80">
        <f>IFERROR(__xludf.DUMMYFUNCTION("""COMPUTED_VALUE"""),1.04843326235464)</f>
        <v>1.048433262</v>
      </c>
      <c r="AJ461" s="80">
        <f>IFERROR(__xludf.DUMMYFUNCTION("""COMPUTED_VALUE"""),1.0281893469555912)</f>
        <v>1.028189347</v>
      </c>
      <c r="AK461" s="80">
        <f>IFERROR(__xludf.DUMMYFUNCTION("""COMPUTED_VALUE"""),1.0399750720609195)</f>
        <v>1.039975072</v>
      </c>
      <c r="AL461" s="80">
        <f>IFERROR(__xludf.DUMMYFUNCTION("""COMPUTED_VALUE"""),1.050147875621272)</f>
        <v>1.050147876</v>
      </c>
      <c r="AM461" s="80">
        <f>IFERROR(__xludf.DUMMYFUNCTION("""COMPUTED_VALUE"""),1.0062912214870765)</f>
        <v>1.006291221</v>
      </c>
      <c r="AN461" s="80">
        <f>IFERROR(__xludf.DUMMYFUNCTION("""COMPUTED_VALUE"""),1.1610788184515755)</f>
        <v>1.161078818</v>
      </c>
      <c r="AO461" s="80">
        <f>IFERROR(__xludf.DUMMYFUNCTION("""COMPUTED_VALUE"""),1.3775589354714086)</f>
        <v>1.377558935</v>
      </c>
      <c r="AP461" s="80">
        <f>IFERROR(__xludf.DUMMYFUNCTION("""COMPUTED_VALUE"""),1.0315942543473948)</f>
        <v>1.031594254</v>
      </c>
      <c r="AQ461" s="80">
        <f>IFERROR(__xludf.DUMMYFUNCTION("""COMPUTED_VALUE"""),0.9955114218953304)</f>
        <v>0.9955114219</v>
      </c>
      <c r="AR461" s="80">
        <f>IFERROR(__xludf.DUMMYFUNCTION("""COMPUTED_VALUE"""),1.2496843412078982)</f>
        <v>1.249684341</v>
      </c>
      <c r="AS461" s="80">
        <f>IFERROR(__xludf.DUMMYFUNCTION("""COMPUTED_VALUE"""),88.0)</f>
        <v>88</v>
      </c>
      <c r="AT461" s="80">
        <f>IFERROR(__xludf.DUMMYFUNCTION("""COMPUTED_VALUE"""),0.4650327313543377)</f>
        <v>0.4650327314</v>
      </c>
      <c r="AU461" s="80">
        <f>IFERROR(__xludf.DUMMYFUNCTION("""COMPUTED_VALUE"""),3.883442684917448)</f>
        <v>3.883442685</v>
      </c>
      <c r="AV461" s="80">
        <f>IFERROR(__xludf.DUMMYFUNCTION("""COMPUTED_VALUE"""),70.89995815493225)</f>
        <v>70.89995815</v>
      </c>
      <c r="AW461" s="82">
        <f t="shared" si="1"/>
        <v>4.960860735</v>
      </c>
      <c r="AX461" s="83">
        <f t="array" ref="AX461">IFERROR(DGET('SBV Import'!A:G,"SBV",{"RSC ID","Tier";B461,A461}))</f>
        <v>65.03208535</v>
      </c>
      <c r="AY461" s="82">
        <f t="shared" si="2"/>
        <v>3.651959264</v>
      </c>
      <c r="AZ461" s="82">
        <v>1.3089014712988565</v>
      </c>
      <c r="BA461" s="84">
        <v>450.0</v>
      </c>
      <c r="BB461" s="84" t="b">
        <f>IFERROR(__xludf.DUMMYFUNCTION("iferror(if(A461="""",,E461&gt;=FILTER(Constants!$F$2:$F$10,Constants!$A$2:$A$10=A461)))"),TRUE)</f>
        <v>1</v>
      </c>
    </row>
    <row r="462">
      <c r="A462" s="80" t="str">
        <f>IFERROR(__xludf.DUMMYFUNCTION("""COMPUTED_VALUE"""),"Master")</f>
        <v>Master</v>
      </c>
      <c r="B462" s="80" t="str">
        <f>IFERROR(__xludf.DUMMYFUNCTION("""COMPUTED_VALUE"""),"RSC006952")</f>
        <v>RSC006952</v>
      </c>
      <c r="C462" s="80" t="str">
        <f>IFERROR(__xludf.DUMMYFUNCTION("""COMPUTED_VALUE"""),"nave")</f>
        <v>nave</v>
      </c>
      <c r="D462" s="80" t="str">
        <f>IFERROR(__xludf.DUMMYFUNCTION("""COMPUTED_VALUE"""),"Kawaii")</f>
        <v>Kawaii</v>
      </c>
      <c r="E462" s="80">
        <f>IFERROR(__xludf.DUMMYFUNCTION("""COMPUTED_VALUE"""),36.0)</f>
        <v>36</v>
      </c>
      <c r="F462" s="80">
        <f>IFERROR(__xludf.DUMMYFUNCTION("""COMPUTED_VALUE"""),15.0)</f>
        <v>15</v>
      </c>
      <c r="G462" s="80">
        <f>IFERROR(__xludf.DUMMYFUNCTION("""COMPUTED_VALUE"""),21.0)</f>
        <v>21</v>
      </c>
      <c r="H462" s="81">
        <f>IFERROR(__xludf.DUMMYFUNCTION("""COMPUTED_VALUE"""),0.4166666666666667)</f>
        <v>0.4166666667</v>
      </c>
      <c r="I462" s="81">
        <f>IFERROR(__xludf.DUMMYFUNCTION("""COMPUTED_VALUE"""),0.3275862068965517)</f>
        <v>0.3275862069</v>
      </c>
      <c r="J462" s="80">
        <f>IFERROR(__xludf.DUMMYFUNCTION("""COMPUTED_VALUE"""),421.3888888888889)</f>
        <v>421.3888889</v>
      </c>
      <c r="K462" s="80">
        <f>IFERROR(__xludf.DUMMYFUNCTION("""COMPUTED_VALUE"""),1.0555555555555556)</f>
        <v>1.055555556</v>
      </c>
      <c r="L462" s="80">
        <f>IFERROR(__xludf.DUMMYFUNCTION("""COMPUTED_VALUE"""),0.6388888888888888)</f>
        <v>0.6388888889</v>
      </c>
      <c r="M462" s="80">
        <f>IFERROR(__xludf.DUMMYFUNCTION("""COMPUTED_VALUE"""),1.5555555555555556)</f>
        <v>1.555555556</v>
      </c>
      <c r="N462" s="80">
        <f>IFERROR(__xludf.DUMMYFUNCTION("""COMPUTED_VALUE"""),3.2222222222222223)</f>
        <v>3.222222222</v>
      </c>
      <c r="O462" s="80">
        <f>IFERROR(__xludf.DUMMYFUNCTION("""COMPUTED_VALUE"""),402.0740740740741)</f>
        <v>402.0740741</v>
      </c>
      <c r="P462" s="80">
        <f>IFERROR(__xludf.DUMMYFUNCTION("""COMPUTED_VALUE"""),0.9166666666666669)</f>
        <v>0.9166666667</v>
      </c>
      <c r="Q462" s="80">
        <f>IFERROR(__xludf.DUMMYFUNCTION("""COMPUTED_VALUE"""),0.685185185185185)</f>
        <v>0.6851851852</v>
      </c>
      <c r="R462" s="80">
        <f>IFERROR(__xludf.DUMMYFUNCTION("""COMPUTED_VALUE"""),1.4629629629629628)</f>
        <v>1.462962963</v>
      </c>
      <c r="S462" s="80">
        <f>IFERROR(__xludf.DUMMYFUNCTION("""COMPUTED_VALUE"""),2.8703703703703707)</f>
        <v>2.87037037</v>
      </c>
      <c r="T462" s="80">
        <f>IFERROR(__xludf.DUMMYFUNCTION("""COMPUTED_VALUE"""),398.02521515885127)</f>
        <v>398.0252152</v>
      </c>
      <c r="U462" s="80">
        <f>IFERROR(__xludf.DUMMYFUNCTION("""COMPUTED_VALUE"""),0.9404784697857522)</f>
        <v>0.9404784698</v>
      </c>
      <c r="V462" s="80">
        <f>IFERROR(__xludf.DUMMYFUNCTION("""COMPUTED_VALUE"""),0.7072184554314811)</f>
        <v>0.7072184554</v>
      </c>
      <c r="W462" s="80">
        <f>IFERROR(__xludf.DUMMYFUNCTION("""COMPUTED_VALUE"""),1.4660727952714512)</f>
        <v>1.466072795</v>
      </c>
      <c r="X462" s="80">
        <f>IFERROR(__xludf.DUMMYFUNCTION("""COMPUTED_VALUE"""),2.9097403770924655)</f>
        <v>2.909740377</v>
      </c>
      <c r="Y462" s="80">
        <f>IFERROR(__xludf.DUMMYFUNCTION("""COMPUTED_VALUE"""),383.0896988299807)</f>
        <v>383.0896988</v>
      </c>
      <c r="Z462" s="80">
        <f>IFERROR(__xludf.DUMMYFUNCTION("""COMPUTED_VALUE"""),0.842235955607803)</f>
        <v>0.8422359556</v>
      </c>
      <c r="AA462" s="80">
        <f>IFERROR(__xludf.DUMMYFUNCTION("""COMPUTED_VALUE"""),0.6493016000141046)</f>
        <v>0.6493016</v>
      </c>
      <c r="AB462" s="80">
        <f>IFERROR(__xludf.DUMMYFUNCTION("""COMPUTED_VALUE"""),1.4890987496217427)</f>
        <v>1.48909875</v>
      </c>
      <c r="AC462" s="80">
        <f>IFERROR(__xludf.DUMMYFUNCTION("""COMPUTED_VALUE"""),2.7698013449831795)</f>
        <v>2.769801345</v>
      </c>
      <c r="AD462" s="80">
        <f>IFERROR(__xludf.DUMMYFUNCTION("""COMPUTED_VALUE"""),1.0999744711901163)</f>
        <v>1.099974471</v>
      </c>
      <c r="AE462" s="80">
        <f>IFERROR(__xludf.DUMMYFUNCTION("""COMPUTED_VALUE"""),1.2532777169241245)</f>
        <v>1.253277717</v>
      </c>
      <c r="AF462" s="80">
        <f>IFERROR(__xludf.DUMMYFUNCTION("""COMPUTED_VALUE"""),0.9839632135128119)</f>
        <v>0.9839632135</v>
      </c>
      <c r="AG462" s="80">
        <f>IFERROR(__xludf.DUMMYFUNCTION("""COMPUTED_VALUE"""),1.0446288776689217)</f>
        <v>1.044628878</v>
      </c>
      <c r="AH462" s="80">
        <f>IFERROR(__xludf.DUMMYFUNCTION("""COMPUTED_VALUE"""),1.1633405507793881)</f>
        <v>1.163340551</v>
      </c>
      <c r="AI462" s="80">
        <f>IFERROR(__xludf.DUMMYFUNCTION("""COMPUTED_VALUE"""),1.0101723678827907)</f>
        <v>1.010172368</v>
      </c>
      <c r="AJ462" s="80">
        <f>IFERROR(__xludf.DUMMYFUNCTION("""COMPUTED_VALUE"""),0.974681182096056)</f>
        <v>0.9746811821</v>
      </c>
      <c r="AK462" s="80">
        <f>IFERROR(__xludf.DUMMYFUNCTION("""COMPUTED_VALUE"""),0.9688451707148206)</f>
        <v>0.9688451707</v>
      </c>
      <c r="AL462" s="80">
        <f>IFERROR(__xludf.DUMMYFUNCTION("""COMPUTED_VALUE"""),0.997878800890025)</f>
        <v>0.9978788009</v>
      </c>
      <c r="AM462" s="80">
        <f>IFERROR(__xludf.DUMMYFUNCTION("""COMPUTED_VALUE"""),0.9864695809179255)</f>
        <v>0.9864695809</v>
      </c>
      <c r="AN462" s="80">
        <f>IFERROR(__xludf.DUMMYFUNCTION("""COMPUTED_VALUE"""),1.142534024732497)</f>
        <v>1.142534025</v>
      </c>
      <c r="AO462" s="80">
        <f>IFERROR(__xludf.DUMMYFUNCTION("""COMPUTED_VALUE"""),1.3754905286613917)</f>
        <v>1.375490529</v>
      </c>
      <c r="AP462" s="80">
        <f>IFERROR(__xludf.DUMMYFUNCTION("""COMPUTED_VALUE"""),1.0029388583933003)</f>
        <v>1.002938858</v>
      </c>
      <c r="AQ462" s="80">
        <f>IFERROR(__xludf.DUMMYFUNCTION("""COMPUTED_VALUE"""),1.0627463981017689)</f>
        <v>1.062746398</v>
      </c>
      <c r="AR462" s="80">
        <f>IFERROR(__xludf.DUMMYFUNCTION("""COMPUTED_VALUE"""),1.1943781603823131)</f>
        <v>1.19437816</v>
      </c>
      <c r="AS462" s="80">
        <f>IFERROR(__xludf.DUMMYFUNCTION("""COMPUTED_VALUE"""),88.0)</f>
        <v>88</v>
      </c>
      <c r="AT462" s="80">
        <f>IFERROR(__xludf.DUMMYFUNCTION("""COMPUTED_VALUE"""),0.4528922359675898)</f>
        <v>0.452892236</v>
      </c>
      <c r="AU462" s="80">
        <f>IFERROR(__xludf.DUMMYFUNCTION("""COMPUTED_VALUE"""),3.8395353155205747)</f>
        <v>3.839535316</v>
      </c>
      <c r="AV462" s="80">
        <f>IFERROR(__xludf.DUMMYFUNCTION("""COMPUTED_VALUE"""),69.8270989085038)</f>
        <v>69.82709891</v>
      </c>
      <c r="AW462" s="82">
        <f t="shared" si="1"/>
        <v>4.675858833</v>
      </c>
      <c r="AX462" s="83">
        <f t="array" ref="AX462">IFERROR(DGET('SBV Import'!A:G,"SBV",{"RSC ID","Tier";B462,A462}))</f>
        <v>64.58549635</v>
      </c>
      <c r="AY462" s="82">
        <f t="shared" si="2"/>
        <v>3.573913107</v>
      </c>
      <c r="AZ462" s="82">
        <v>1.1019457264473553</v>
      </c>
      <c r="BA462" s="84">
        <v>450.0</v>
      </c>
      <c r="BB462" s="84" t="b">
        <f>IFERROR(__xludf.DUMMYFUNCTION("iferror(if(A462="""",,E462&gt;=FILTER(Constants!$F$2:$F$10,Constants!$A$2:$A$10=A462)))"),TRUE)</f>
        <v>1</v>
      </c>
    </row>
    <row r="463">
      <c r="A463" s="80" t="str">
        <f>IFERROR(__xludf.DUMMYFUNCTION("""COMPUTED_VALUE"""),"Master")</f>
        <v>Master</v>
      </c>
      <c r="B463" s="80" t="str">
        <f>IFERROR(__xludf.DUMMYFUNCTION("""COMPUTED_VALUE"""),"RSC007858")</f>
        <v>RSC007858</v>
      </c>
      <c r="C463" s="80" t="str">
        <f>IFERROR(__xludf.DUMMYFUNCTION("""COMPUTED_VALUE"""),"Patty")</f>
        <v>Patty</v>
      </c>
      <c r="D463" s="80" t="str">
        <f>IFERROR(__xludf.DUMMYFUNCTION("""COMPUTED_VALUE"""),"Phantom Phreaks")</f>
        <v>Phantom Phreaks</v>
      </c>
      <c r="E463" s="80">
        <f>IFERROR(__xludf.DUMMYFUNCTION("""COMPUTED_VALUE"""),36.0)</f>
        <v>36</v>
      </c>
      <c r="F463" s="80">
        <f>IFERROR(__xludf.DUMMYFUNCTION("""COMPUTED_VALUE"""),25.0)</f>
        <v>25</v>
      </c>
      <c r="G463" s="80">
        <f>IFERROR(__xludf.DUMMYFUNCTION("""COMPUTED_VALUE"""),11.0)</f>
        <v>11</v>
      </c>
      <c r="H463" s="81">
        <f>IFERROR(__xludf.DUMMYFUNCTION("""COMPUTED_VALUE"""),0.6944444444444444)</f>
        <v>0.6944444444</v>
      </c>
      <c r="I463" s="81">
        <f>IFERROR(__xludf.DUMMYFUNCTION("""COMPUTED_VALUE"""),0.24615384615384614)</f>
        <v>0.2461538462</v>
      </c>
      <c r="J463" s="80">
        <f>IFERROR(__xludf.DUMMYFUNCTION("""COMPUTED_VALUE"""),437.8611111111111)</f>
        <v>437.8611111</v>
      </c>
      <c r="K463" s="80">
        <f>IFERROR(__xludf.DUMMYFUNCTION("""COMPUTED_VALUE"""),0.8888888888888888)</f>
        <v>0.8888888889</v>
      </c>
      <c r="L463" s="80">
        <f>IFERROR(__xludf.DUMMYFUNCTION("""COMPUTED_VALUE"""),0.6944444444444444)</f>
        <v>0.6944444444</v>
      </c>
      <c r="M463" s="80">
        <f>IFERROR(__xludf.DUMMYFUNCTION("""COMPUTED_VALUE"""),1.6388888888888888)</f>
        <v>1.638888889</v>
      </c>
      <c r="N463" s="80">
        <f>IFERROR(__xludf.DUMMYFUNCTION("""COMPUTED_VALUE"""),3.611111111111111)</f>
        <v>3.611111111</v>
      </c>
      <c r="O463" s="80">
        <f>IFERROR(__xludf.DUMMYFUNCTION("""COMPUTED_VALUE"""),384.4537037037037)</f>
        <v>384.4537037</v>
      </c>
      <c r="P463" s="80">
        <f>IFERROR(__xludf.DUMMYFUNCTION("""COMPUTED_VALUE"""),0.712962962962963)</f>
        <v>0.712962963</v>
      </c>
      <c r="Q463" s="80">
        <f>IFERROR(__xludf.DUMMYFUNCTION("""COMPUTED_VALUE"""),0.5462962962962963)</f>
        <v>0.5462962963</v>
      </c>
      <c r="R463" s="80">
        <f>IFERROR(__xludf.DUMMYFUNCTION("""COMPUTED_VALUE"""),1.7129629629629628)</f>
        <v>1.712962963</v>
      </c>
      <c r="S463" s="80">
        <f>IFERROR(__xludf.DUMMYFUNCTION("""COMPUTED_VALUE"""),2.5277777777777772)</f>
        <v>2.527777778</v>
      </c>
      <c r="T463" s="80">
        <f>IFERROR(__xludf.DUMMYFUNCTION("""COMPUTED_VALUE"""),376.1445465356494)</f>
        <v>376.1445465</v>
      </c>
      <c r="U463" s="80">
        <f>IFERROR(__xludf.DUMMYFUNCTION("""COMPUTED_VALUE"""),0.8056534599103592)</f>
        <v>0.8056534599</v>
      </c>
      <c r="V463" s="80">
        <f>IFERROR(__xludf.DUMMYFUNCTION("""COMPUTED_VALUE"""),0.6259961242584515)</f>
        <v>0.6259961243</v>
      </c>
      <c r="W463" s="80">
        <f>IFERROR(__xludf.DUMMYFUNCTION("""COMPUTED_VALUE"""),1.5000743729198946)</f>
        <v>1.500074373</v>
      </c>
      <c r="X463" s="80">
        <f>IFERROR(__xludf.DUMMYFUNCTION("""COMPUTED_VALUE"""),2.703470733278399)</f>
        <v>2.703470733</v>
      </c>
      <c r="Y463" s="80">
        <f>IFERROR(__xludf.DUMMYFUNCTION("""COMPUTED_VALUE"""),389.7931461023975)</f>
        <v>389.7931461</v>
      </c>
      <c r="Z463" s="80">
        <f>IFERROR(__xludf.DUMMYFUNCTION("""COMPUTED_VALUE"""),0.8920677034397949)</f>
        <v>0.8920677034</v>
      </c>
      <c r="AA463" s="80">
        <f>IFERROR(__xludf.DUMMYFUNCTION("""COMPUTED_VALUE"""),0.6801301002483976)</f>
        <v>0.6801301002</v>
      </c>
      <c r="AB463" s="80">
        <f>IFERROR(__xludf.DUMMYFUNCTION("""COMPUTED_VALUE"""),1.4653220206463256)</f>
        <v>1.465322021</v>
      </c>
      <c r="AC463" s="80">
        <f>IFERROR(__xludf.DUMMYFUNCTION("""COMPUTED_VALUE"""),2.8779776177798246)</f>
        <v>2.877977618</v>
      </c>
      <c r="AD463" s="80">
        <f>IFERROR(__xludf.DUMMYFUNCTION("""COMPUTED_VALUE"""),1.1233165987892622)</f>
        <v>1.123316599</v>
      </c>
      <c r="AE463" s="80">
        <f>IFERROR(__xludf.DUMMYFUNCTION("""COMPUTED_VALUE"""),0.99643657702364)</f>
        <v>0.996436577</v>
      </c>
      <c r="AF463" s="80">
        <f>IFERROR(__xludf.DUMMYFUNCTION("""COMPUTED_VALUE"""),1.021046479476234)</f>
        <v>1.021046479</v>
      </c>
      <c r="AG463" s="80">
        <f>IFERROR(__xludf.DUMMYFUNCTION("""COMPUTED_VALUE"""),1.1184496416466916)</f>
        <v>1.118449642</v>
      </c>
      <c r="AH463" s="80">
        <f>IFERROR(__xludf.DUMMYFUNCTION("""COMPUTED_VALUE"""),1.2547391226401725)</f>
        <v>1.254739123</v>
      </c>
      <c r="AI463" s="80">
        <f>IFERROR(__xludf.DUMMYFUNCTION("""COMPUTED_VALUE"""),1.022090330019624)</f>
        <v>1.02209033</v>
      </c>
      <c r="AJ463" s="80">
        <f>IFERROR(__xludf.DUMMYFUNCTION("""COMPUTED_VALUE"""),0.8849499176014097)</f>
        <v>0.8849499176</v>
      </c>
      <c r="AK463" s="80">
        <f>IFERROR(__xludf.DUMMYFUNCTION("""COMPUTED_VALUE"""),0.8726831926370681)</f>
        <v>0.8726831926</v>
      </c>
      <c r="AL463" s="80">
        <f>IFERROR(__xludf.DUMMYFUNCTION("""COMPUTED_VALUE"""),1.1419186900904656)</f>
        <v>1.14191869</v>
      </c>
      <c r="AM463" s="80">
        <f>IFERROR(__xludf.DUMMYFUNCTION("""COMPUTED_VALUE"""),0.9350120741689829)</f>
        <v>0.9350120742</v>
      </c>
      <c r="AN463" s="80">
        <f>IFERROR(__xludf.DUMMYFUNCTION("""COMPUTED_VALUE"""),1.1871960337414864)</f>
        <v>1.187196034</v>
      </c>
      <c r="AO463" s="80">
        <f>IFERROR(__xludf.DUMMYFUNCTION("""COMPUTED_VALUE"""),1.1583078136095928)</f>
        <v>1.158307814</v>
      </c>
      <c r="AP463" s="80">
        <f>IFERROR(__xludf.DUMMYFUNCTION("""COMPUTED_VALUE"""),1.090150933036196)</f>
        <v>1.090150933</v>
      </c>
      <c r="AQ463" s="80">
        <f>IFERROR(__xludf.DUMMYFUNCTION("""COMPUTED_VALUE"""),1.1196792408572207)</f>
        <v>1.119679241</v>
      </c>
      <c r="AR463" s="80">
        <f>IFERROR(__xludf.DUMMYFUNCTION("""COMPUTED_VALUE"""),1.3385272487043165)</f>
        <v>1.338527249</v>
      </c>
      <c r="AS463" s="80">
        <f>IFERROR(__xludf.DUMMYFUNCTION("""COMPUTED_VALUE"""),106.0)</f>
        <v>106</v>
      </c>
      <c r="AT463" s="80">
        <f>IFERROR(__xludf.DUMMYFUNCTION("""COMPUTED_VALUE"""),0.6247368425663056)</f>
        <v>0.6247368426</v>
      </c>
      <c r="AU463" s="80">
        <f>IFERROR(__xludf.DUMMYFUNCTION("""COMPUTED_VALUE"""),3.816815921344488)</f>
        <v>3.816815921</v>
      </c>
      <c r="AV463" s="80">
        <f>IFERROR(__xludf.DUMMYFUNCTION("""COMPUTED_VALUE"""),69.27195947633359)</f>
        <v>69.27195948</v>
      </c>
      <c r="AW463" s="82">
        <f t="shared" si="1"/>
        <v>4.537421004</v>
      </c>
      <c r="AX463" s="83">
        <f t="array" ref="AX463">IFERROR(DGET('SBV Import'!A:G,"SBV",{"RSC ID","Tier";B463,A463}))</f>
        <v>66.2923332</v>
      </c>
      <c r="AY463" s="82">
        <f t="shared" si="2"/>
        <v>3.88652114</v>
      </c>
      <c r="AZ463" s="82">
        <v>0.6508998632448253</v>
      </c>
      <c r="BA463" s="84">
        <v>450.0</v>
      </c>
      <c r="BB463" s="84" t="b">
        <f>IFERROR(__xludf.DUMMYFUNCTION("iferror(if(A463="""",,E463&gt;=FILTER(Constants!$F$2:$F$10,Constants!$A$2:$A$10=A463)))"),TRUE)</f>
        <v>1</v>
      </c>
    </row>
    <row r="464">
      <c r="A464" s="80" t="str">
        <f>IFERROR(__xludf.DUMMYFUNCTION("""COMPUTED_VALUE"""),"Master")</f>
        <v>Master</v>
      </c>
      <c r="B464" s="80" t="str">
        <f>IFERROR(__xludf.DUMMYFUNCTION("""COMPUTED_VALUE"""),"RSC007466")</f>
        <v>RSC007466</v>
      </c>
      <c r="C464" s="80" t="str">
        <f>IFERROR(__xludf.DUMMYFUNCTION("""COMPUTED_VALUE"""),"Viiper :)")</f>
        <v>Viiper :)</v>
      </c>
      <c r="D464" s="80" t="str">
        <f>IFERROR(__xludf.DUMMYFUNCTION("""COMPUTED_VALUE"""),"Phantom Phreaks")</f>
        <v>Phantom Phreaks</v>
      </c>
      <c r="E464" s="80">
        <f>IFERROR(__xludf.DUMMYFUNCTION("""COMPUTED_VALUE"""),24.0)</f>
        <v>24</v>
      </c>
      <c r="F464" s="80">
        <f>IFERROR(__xludf.DUMMYFUNCTION("""COMPUTED_VALUE"""),17.0)</f>
        <v>17</v>
      </c>
      <c r="G464" s="80">
        <f>IFERROR(__xludf.DUMMYFUNCTION("""COMPUTED_VALUE"""),7.0)</f>
        <v>7</v>
      </c>
      <c r="H464" s="81">
        <f>IFERROR(__xludf.DUMMYFUNCTION("""COMPUTED_VALUE"""),0.7083333333333334)</f>
        <v>0.7083333333</v>
      </c>
      <c r="I464" s="81">
        <f>IFERROR(__xludf.DUMMYFUNCTION("""COMPUTED_VALUE"""),0.22499999999999998)</f>
        <v>0.225</v>
      </c>
      <c r="J464" s="80">
        <f>IFERROR(__xludf.DUMMYFUNCTION("""COMPUTED_VALUE"""),417.5)</f>
        <v>417.5</v>
      </c>
      <c r="K464" s="80">
        <f>IFERROR(__xludf.DUMMYFUNCTION("""COMPUTED_VALUE"""),0.75)</f>
        <v>0.75</v>
      </c>
      <c r="L464" s="80">
        <f>IFERROR(__xludf.DUMMYFUNCTION("""COMPUTED_VALUE"""),0.875)</f>
        <v>0.875</v>
      </c>
      <c r="M464" s="80">
        <f>IFERROR(__xludf.DUMMYFUNCTION("""COMPUTED_VALUE"""),1.6666666666666667)</f>
        <v>1.666666667</v>
      </c>
      <c r="N464" s="80">
        <f>IFERROR(__xludf.DUMMYFUNCTION("""COMPUTED_VALUE"""),3.3333333333333335)</f>
        <v>3.333333333</v>
      </c>
      <c r="O464" s="80">
        <f>IFERROR(__xludf.DUMMYFUNCTION("""COMPUTED_VALUE"""),385.59722222222223)</f>
        <v>385.5972222</v>
      </c>
      <c r="P464" s="80">
        <f>IFERROR(__xludf.DUMMYFUNCTION("""COMPUTED_VALUE"""),0.7083333333333331)</f>
        <v>0.7083333333</v>
      </c>
      <c r="Q464" s="80">
        <f>IFERROR(__xludf.DUMMYFUNCTION("""COMPUTED_VALUE"""),0.5972222222222222)</f>
        <v>0.5972222222</v>
      </c>
      <c r="R464" s="80">
        <f>IFERROR(__xludf.DUMMYFUNCTION("""COMPUTED_VALUE"""),1.736111111111111)</f>
        <v>1.736111111</v>
      </c>
      <c r="S464" s="80">
        <f>IFERROR(__xludf.DUMMYFUNCTION("""COMPUTED_VALUE"""),2.5)</f>
        <v>2.5</v>
      </c>
      <c r="T464" s="80">
        <f>IFERROR(__xludf.DUMMYFUNCTION("""COMPUTED_VALUE"""),380.8661915736795)</f>
        <v>380.8661916</v>
      </c>
      <c r="U464" s="80">
        <f>IFERROR(__xludf.DUMMYFUNCTION("""COMPUTED_VALUE"""),0.8402009767946588)</f>
        <v>0.8402009768</v>
      </c>
      <c r="V464" s="80">
        <f>IFERROR(__xludf.DUMMYFUNCTION("""COMPUTED_VALUE"""),0.6320029908548148)</f>
        <v>0.6320029909</v>
      </c>
      <c r="W464" s="80">
        <f>IFERROR(__xludf.DUMMYFUNCTION("""COMPUTED_VALUE"""),1.5048252099268264)</f>
        <v>1.50482521</v>
      </c>
      <c r="X464" s="80">
        <f>IFERROR(__xludf.DUMMYFUNCTION("""COMPUTED_VALUE"""),2.7658093469791782)</f>
        <v>2.765809347</v>
      </c>
      <c r="Y464" s="80">
        <f>IFERROR(__xludf.DUMMYFUNCTION("""COMPUTED_VALUE"""),386.13095059448045)</f>
        <v>386.1309506</v>
      </c>
      <c r="Z464" s="80">
        <f>IFERROR(__xludf.DUMMYFUNCTION("""COMPUTED_VALUE"""),0.8852873169287879)</f>
        <v>0.8852873169</v>
      </c>
      <c r="AA464" s="80">
        <f>IFERROR(__xludf.DUMMYFUNCTION("""COMPUTED_VALUE"""),0.6736555659857899)</f>
        <v>0.673655566</v>
      </c>
      <c r="AB464" s="80">
        <f>IFERROR(__xludf.DUMMYFUNCTION("""COMPUTED_VALUE"""),1.4744563904289594)</f>
        <v>1.47445639</v>
      </c>
      <c r="AC464" s="80">
        <f>IFERROR(__xludf.DUMMYFUNCTION("""COMPUTED_VALUE"""),2.8298456898962208)</f>
        <v>2.82984569</v>
      </c>
      <c r="AD464" s="80">
        <f>IFERROR(__xludf.DUMMYFUNCTION("""COMPUTED_VALUE"""),1.0812394068831424)</f>
        <v>1.081239407</v>
      </c>
      <c r="AE464" s="80">
        <f>IFERROR(__xludf.DUMMYFUNCTION("""COMPUTED_VALUE"""),0.8471825876845016)</f>
        <v>0.8471825877</v>
      </c>
      <c r="AF464" s="80">
        <f>IFERROR(__xludf.DUMMYFUNCTION("""COMPUTED_VALUE"""),1.2988833525327945)</f>
        <v>1.298883353</v>
      </c>
      <c r="AG464" s="80">
        <f>IFERROR(__xludf.DUMMYFUNCTION("""COMPUTED_VALUE"""),1.1303600957514846)</f>
        <v>1.130360096</v>
      </c>
      <c r="AH464" s="80">
        <f>IFERROR(__xludf.DUMMYFUNCTION("""COMPUTED_VALUE"""),1.1779205294602397)</f>
        <v>1.177920529</v>
      </c>
      <c r="AI464" s="80">
        <f>IFERROR(__xludf.DUMMYFUNCTION("""COMPUTED_VALUE"""),1.0124217658411603)</f>
        <v>1.012421766</v>
      </c>
      <c r="AJ464" s="80">
        <f>IFERROR(__xludf.DUMMYFUNCTION("""COMPUTED_VALUE"""),0.8430522611811323)</f>
        <v>0.8430522612</v>
      </c>
      <c r="AK464" s="80">
        <f>IFERROR(__xludf.DUMMYFUNCTION("""COMPUTED_VALUE"""),0.9449673986739368)</f>
        <v>0.9449673987</v>
      </c>
      <c r="AL464" s="80">
        <f>IFERROR(__xludf.DUMMYFUNCTION("""COMPUTED_VALUE"""),1.1536961898688094)</f>
        <v>1.15369619</v>
      </c>
      <c r="AM464" s="80">
        <f>IFERROR(__xludf.DUMMYFUNCTION("""COMPUTED_VALUE"""),0.9038945517812008)</f>
        <v>0.9038945518</v>
      </c>
      <c r="AN464" s="80">
        <f>IFERROR(__xludf.DUMMYFUNCTION("""COMPUTED_VALUE"""),1.131989874207609)</f>
        <v>1.131989874</v>
      </c>
      <c r="AO464" s="80">
        <f>IFERROR(__xludf.DUMMYFUNCTION("""COMPUTED_VALUE"""),0.977322217733094)</f>
        <v>0.9773222177</v>
      </c>
      <c r="AP464" s="80">
        <f>IFERROR(__xludf.DUMMYFUNCTION("""COMPUTED_VALUE"""),1.3735901756256073)</f>
        <v>1.373590176</v>
      </c>
      <c r="AQ464" s="80">
        <f>IFERROR(__xludf.DUMMYFUNCTION("""COMPUTED_VALUE"""),1.1386568551090381)</f>
        <v>1.138656855</v>
      </c>
      <c r="AR464" s="80">
        <f>IFERROR(__xludf.DUMMYFUNCTION("""COMPUTED_VALUE"""),1.2355636141886)</f>
        <v>1.235563614</v>
      </c>
      <c r="AS464" s="80">
        <f>IFERROR(__xludf.DUMMYFUNCTION("""COMPUTED_VALUE"""),71.0)</f>
        <v>71</v>
      </c>
      <c r="AT464" s="80">
        <f>IFERROR(__xludf.DUMMYFUNCTION("""COMPUTED_VALUE"""),0.6289222034307642)</f>
        <v>0.6289222034</v>
      </c>
      <c r="AU464" s="80">
        <f>IFERROR(__xludf.DUMMYFUNCTION("""COMPUTED_VALUE"""),3.7884843692452717)</f>
        <v>3.788484369</v>
      </c>
      <c r="AV464" s="80">
        <f>IFERROR(__xludf.DUMMYFUNCTION("""COMPUTED_VALUE"""),68.57968917973328)</f>
        <v>68.57968918</v>
      </c>
      <c r="AW464" s="82">
        <f t="shared" si="1"/>
        <v>4.372845135</v>
      </c>
      <c r="AX464" s="83">
        <f t="array" ref="AX464">IFERROR(DGET('SBV Import'!A:G,"SBV",{"RSC ID","Tier";B464,A464}))</f>
        <v>66.06452445</v>
      </c>
      <c r="AY464" s="82">
        <f t="shared" si="2"/>
        <v>3.842488487</v>
      </c>
      <c r="AZ464" s="82">
        <v>0.5303566476643558</v>
      </c>
      <c r="BA464" s="84">
        <v>450.0</v>
      </c>
      <c r="BB464" s="84" t="b">
        <f>IFERROR(__xludf.DUMMYFUNCTION("iferror(if(A464="""",,E464&gt;=FILTER(Constants!$F$2:$F$10,Constants!$A$2:$A$10=A464)))"),TRUE)</f>
        <v>1</v>
      </c>
    </row>
    <row r="465">
      <c r="A465" s="80" t="str">
        <f>IFERROR(__xludf.DUMMYFUNCTION("""COMPUTED_VALUE"""),"Master")</f>
        <v>Master</v>
      </c>
      <c r="B465" s="80" t="str">
        <f>IFERROR(__xludf.DUMMYFUNCTION("""COMPUTED_VALUE"""),"RSC006481")</f>
        <v>RSC006481</v>
      </c>
      <c r="C465" s="80" t="str">
        <f>IFERROR(__xludf.DUMMYFUNCTION("""COMPUTED_VALUE"""),"Mixsta.")</f>
        <v>Mixsta.</v>
      </c>
      <c r="D465" s="80" t="str">
        <f>IFERROR(__xludf.DUMMYFUNCTION("""COMPUTED_VALUE"""),"Phantom Phreaks")</f>
        <v>Phantom Phreaks</v>
      </c>
      <c r="E465" s="80">
        <f>IFERROR(__xludf.DUMMYFUNCTION("""COMPUTED_VALUE"""),24.0)</f>
        <v>24</v>
      </c>
      <c r="F465" s="80">
        <f>IFERROR(__xludf.DUMMYFUNCTION("""COMPUTED_VALUE"""),16.0)</f>
        <v>16</v>
      </c>
      <c r="G465" s="80">
        <f>IFERROR(__xludf.DUMMYFUNCTION("""COMPUTED_VALUE"""),8.0)</f>
        <v>8</v>
      </c>
      <c r="H465" s="81">
        <f>IFERROR(__xludf.DUMMYFUNCTION("""COMPUTED_VALUE"""),0.6666666666666666)</f>
        <v>0.6666666667</v>
      </c>
      <c r="I465" s="81">
        <f>IFERROR(__xludf.DUMMYFUNCTION("""COMPUTED_VALUE"""),0.23255813953488372)</f>
        <v>0.2325581395</v>
      </c>
      <c r="J465" s="80">
        <f>IFERROR(__xludf.DUMMYFUNCTION("""COMPUTED_VALUE"""),387.7083333333333)</f>
        <v>387.7083333</v>
      </c>
      <c r="K465" s="80">
        <f>IFERROR(__xludf.DUMMYFUNCTION("""COMPUTED_VALUE"""),0.8333333333333334)</f>
        <v>0.8333333333</v>
      </c>
      <c r="L465" s="80">
        <f>IFERROR(__xludf.DUMMYFUNCTION("""COMPUTED_VALUE"""),0.7916666666666666)</f>
        <v>0.7916666667</v>
      </c>
      <c r="M465" s="80">
        <f>IFERROR(__xludf.DUMMYFUNCTION("""COMPUTED_VALUE"""),1.2083333333333333)</f>
        <v>1.208333333</v>
      </c>
      <c r="N465" s="80">
        <f>IFERROR(__xludf.DUMMYFUNCTION("""COMPUTED_VALUE"""),3.5833333333333335)</f>
        <v>3.583333333</v>
      </c>
      <c r="O465" s="80">
        <f>IFERROR(__xludf.DUMMYFUNCTION("""COMPUTED_VALUE"""),396.3333333333333)</f>
        <v>396.3333333</v>
      </c>
      <c r="P465" s="80">
        <f>IFERROR(__xludf.DUMMYFUNCTION("""COMPUTED_VALUE"""),0.6805555555555557)</f>
        <v>0.6805555556</v>
      </c>
      <c r="Q465" s="80">
        <f>IFERROR(__xludf.DUMMYFUNCTION("""COMPUTED_VALUE"""),0.4861111111111111)</f>
        <v>0.4861111111</v>
      </c>
      <c r="R465" s="80">
        <f>IFERROR(__xludf.DUMMYFUNCTION("""COMPUTED_VALUE"""),1.9444444444444446)</f>
        <v>1.944444444</v>
      </c>
      <c r="S465" s="80">
        <f>IFERROR(__xludf.DUMMYFUNCTION("""COMPUTED_VALUE"""),2.597222222222222)</f>
        <v>2.597222222</v>
      </c>
      <c r="T465" s="80">
        <f>IFERROR(__xludf.DUMMYFUNCTION("""COMPUTED_VALUE"""),373.9945903376458)</f>
        <v>373.9945903</v>
      </c>
      <c r="U465" s="80">
        <f>IFERROR(__xludf.DUMMYFUNCTION("""COMPUTED_VALUE"""),0.7841939824578712)</f>
        <v>0.7841939825</v>
      </c>
      <c r="V465" s="80">
        <f>IFERROR(__xludf.DUMMYFUNCTION("""COMPUTED_VALUE"""),0.6327420907282019)</f>
        <v>0.6327420907</v>
      </c>
      <c r="W465" s="80">
        <f>IFERROR(__xludf.DUMMYFUNCTION("""COMPUTED_VALUE"""),1.5275195612001164)</f>
        <v>1.527519561</v>
      </c>
      <c r="X465" s="80">
        <f>IFERROR(__xludf.DUMMYFUNCTION("""COMPUTED_VALUE"""),2.645130512491623)</f>
        <v>2.645130512</v>
      </c>
      <c r="Y465" s="80">
        <f>IFERROR(__xludf.DUMMYFUNCTION("""COMPUTED_VALUE"""),388.4016419580078)</f>
        <v>388.401642</v>
      </c>
      <c r="Z465" s="80">
        <f>IFERROR(__xludf.DUMMYFUNCTION("""COMPUTED_VALUE"""),0.885798345173345)</f>
        <v>0.8857983452</v>
      </c>
      <c r="AA465" s="80">
        <f>IFERROR(__xludf.DUMMYFUNCTION("""COMPUTED_VALUE"""),0.6723040633920266)</f>
        <v>0.6723040634</v>
      </c>
      <c r="AB465" s="80">
        <f>IFERROR(__xludf.DUMMYFUNCTION("""COMPUTED_VALUE"""),1.4419135519829964)</f>
        <v>1.441913552</v>
      </c>
      <c r="AC465" s="80">
        <f>IFERROR(__xludf.DUMMYFUNCTION("""COMPUTED_VALUE"""),2.9147955782215047)</f>
        <v>2.914795578</v>
      </c>
      <c r="AD465" s="80">
        <f>IFERROR(__xludf.DUMMYFUNCTION("""COMPUTED_VALUE"""),0.9982149698925592)</f>
        <v>0.9982149699</v>
      </c>
      <c r="AE465" s="80">
        <f>IFERROR(__xludf.DUMMYFUNCTION("""COMPUTED_VALUE"""),0.9407709303975449)</f>
        <v>0.9407709304</v>
      </c>
      <c r="AF465" s="80">
        <f>IFERROR(__xludf.DUMMYFUNCTION("""COMPUTED_VALUE"""),1.1775425879064463)</f>
        <v>1.177542588</v>
      </c>
      <c r="AG465" s="80">
        <f>IFERROR(__xludf.DUMMYFUNCTION("""COMPUTED_VALUE"""),0.8380067804145185)</f>
        <v>0.8380067804</v>
      </c>
      <c r="AH465" s="80">
        <f>IFERROR(__xludf.DUMMYFUNCTION("""COMPUTED_VALUE"""),1.2293600827814295)</f>
        <v>1.229360083</v>
      </c>
      <c r="AI465" s="80">
        <f>IFERROR(__xludf.DUMMYFUNCTION("""COMPUTED_VALUE"""),1.059730123303441)</f>
        <v>1.059730123</v>
      </c>
      <c r="AJ465" s="80">
        <f>IFERROR(__xludf.DUMMYFUNCTION("""COMPUTED_VALUE"""),0.8678408286461402)</f>
        <v>0.8678408286</v>
      </c>
      <c r="AK465" s="80">
        <f>IFERROR(__xludf.DUMMYFUNCTION("""COMPUTED_VALUE"""),0.7682610628157548)</f>
        <v>0.7682610628</v>
      </c>
      <c r="AL465" s="80">
        <f>IFERROR(__xludf.DUMMYFUNCTION("""COMPUTED_VALUE"""),1.2729424184373557)</f>
        <v>1.272942418</v>
      </c>
      <c r="AM465" s="80">
        <f>IFERROR(__xludf.DUMMYFUNCTION("""COMPUTED_VALUE"""),0.9818881185472118)</f>
        <v>0.9818881185</v>
      </c>
      <c r="AN465" s="80">
        <f>IFERROR(__xludf.DUMMYFUNCTION("""COMPUTED_VALUE"""),1.0512141496508784)</f>
        <v>1.05121415</v>
      </c>
      <c r="AO465" s="80">
        <f>IFERROR(__xludf.DUMMYFUNCTION("""COMPUTED_VALUE"""),1.0859135752589935)</f>
        <v>1.085913575</v>
      </c>
      <c r="AP465" s="80">
        <f>IFERROR(__xludf.DUMMYFUNCTION("""COMPUTED_VALUE"""),1.2427720636612636)</f>
        <v>1.242772064</v>
      </c>
      <c r="AQ465" s="80">
        <f>IFERROR(__xludf.DUMMYFUNCTION("""COMPUTED_VALUE"""),0.8255262199540525)</f>
        <v>0.82552622</v>
      </c>
      <c r="AR465" s="80">
        <f>IFERROR(__xludf.DUMMYFUNCTION("""COMPUTED_VALUE"""),1.328230885252745)</f>
        <v>1.328230885</v>
      </c>
      <c r="AS465" s="80">
        <f>IFERROR(__xludf.DUMMYFUNCTION("""COMPUTED_VALUE"""),61.0)</f>
        <v>61</v>
      </c>
      <c r="AT465" s="80">
        <f>IFERROR(__xludf.DUMMYFUNCTION("""COMPUTED_VALUE"""),0.5839683975864846)</f>
        <v>0.5839683976</v>
      </c>
      <c r="AU465" s="80">
        <f>IFERROR(__xludf.DUMMYFUNCTION("""COMPUTED_VALUE"""),3.751851111952239)</f>
        <v>3.751851112</v>
      </c>
      <c r="AV465" s="80">
        <f>IFERROR(__xludf.DUMMYFUNCTION("""COMPUTED_VALUE"""),67.68456999237377)</f>
        <v>67.68456999</v>
      </c>
      <c r="AW465" s="82">
        <f t="shared" si="1"/>
        <v>4.172502756</v>
      </c>
      <c r="AX465" s="83">
        <f t="array" ref="AX465">IFERROR(DGET('SBV Import'!A:G,"SBV",{"RSC ID","Tier";B465,A465}))</f>
        <v>50.4325903</v>
      </c>
      <c r="AY465" s="82">
        <f t="shared" si="2"/>
        <v>2.027997717</v>
      </c>
      <c r="AZ465" s="82">
        <v>2.144505038323216</v>
      </c>
      <c r="BA465" s="84">
        <v>450.0</v>
      </c>
      <c r="BB465" s="84" t="b">
        <f>IFERROR(__xludf.DUMMYFUNCTION("iferror(if(A465="""",,E465&gt;=FILTER(Constants!$F$2:$F$10,Constants!$A$2:$A$10=A465)))"),TRUE)</f>
        <v>1</v>
      </c>
    </row>
    <row r="466">
      <c r="A466" s="80" t="str">
        <f>IFERROR(__xludf.DUMMYFUNCTION("""COMPUTED_VALUE"""),"Master")</f>
        <v>Master</v>
      </c>
      <c r="B466" s="80" t="str">
        <f>IFERROR(__xludf.DUMMYFUNCTION("""COMPUTED_VALUE"""),"RSC000381")</f>
        <v>RSC000381</v>
      </c>
      <c r="C466" s="80" t="str">
        <f>IFERROR(__xludf.DUMMYFUNCTION("""COMPUTED_VALUE"""),"Noriko")</f>
        <v>Noriko</v>
      </c>
      <c r="D466" s="80" t="str">
        <f>IFERROR(__xludf.DUMMYFUNCTION("""COMPUTED_VALUE"""),"Andromeda")</f>
        <v>Andromeda</v>
      </c>
      <c r="E466" s="80">
        <f>IFERROR(__xludf.DUMMYFUNCTION("""COMPUTED_VALUE"""),24.0)</f>
        <v>24</v>
      </c>
      <c r="F466" s="80">
        <f>IFERROR(__xludf.DUMMYFUNCTION("""COMPUTED_VALUE"""),14.0)</f>
        <v>14</v>
      </c>
      <c r="G466" s="80">
        <f>IFERROR(__xludf.DUMMYFUNCTION("""COMPUTED_VALUE"""),10.0)</f>
        <v>10</v>
      </c>
      <c r="H466" s="81">
        <f>IFERROR(__xludf.DUMMYFUNCTION("""COMPUTED_VALUE"""),0.5833333333333334)</f>
        <v>0.5833333333</v>
      </c>
      <c r="I466" s="81">
        <f>IFERROR(__xludf.DUMMYFUNCTION("""COMPUTED_VALUE"""),0.4307692307692308)</f>
        <v>0.4307692308</v>
      </c>
      <c r="J466" s="80">
        <f>IFERROR(__xludf.DUMMYFUNCTION("""COMPUTED_VALUE"""),445.9166666666667)</f>
        <v>445.9166667</v>
      </c>
      <c r="K466" s="80">
        <f>IFERROR(__xludf.DUMMYFUNCTION("""COMPUTED_VALUE"""),1.1666666666666667)</f>
        <v>1.166666667</v>
      </c>
      <c r="L466" s="80">
        <f>IFERROR(__xludf.DUMMYFUNCTION("""COMPUTED_VALUE"""),0.6666666666666666)</f>
        <v>0.6666666667</v>
      </c>
      <c r="M466" s="80">
        <f>IFERROR(__xludf.DUMMYFUNCTION("""COMPUTED_VALUE"""),1.5833333333333333)</f>
        <v>1.583333333</v>
      </c>
      <c r="N466" s="80">
        <f>IFERROR(__xludf.DUMMYFUNCTION("""COMPUTED_VALUE"""),2.7083333333333335)</f>
        <v>2.708333333</v>
      </c>
      <c r="O466" s="80">
        <f>IFERROR(__xludf.DUMMYFUNCTION("""COMPUTED_VALUE"""),353.50000000000006)</f>
        <v>353.5</v>
      </c>
      <c r="P466" s="80">
        <f>IFERROR(__xludf.DUMMYFUNCTION("""COMPUTED_VALUE"""),0.7499999999999999)</f>
        <v>0.75</v>
      </c>
      <c r="Q466" s="80">
        <f>IFERROR(__xludf.DUMMYFUNCTION("""COMPUTED_VALUE"""),0.6249999999999999)</f>
        <v>0.625</v>
      </c>
      <c r="R466" s="80">
        <f>IFERROR(__xludf.DUMMYFUNCTION("""COMPUTED_VALUE"""),1.3194444444444444)</f>
        <v>1.319444444</v>
      </c>
      <c r="S466" s="80">
        <f>IFERROR(__xludf.DUMMYFUNCTION("""COMPUTED_VALUE"""),2.694444444444444)</f>
        <v>2.694444444</v>
      </c>
      <c r="T466" s="80">
        <f>IFERROR(__xludf.DUMMYFUNCTION("""COMPUTED_VALUE"""),371.55710883360035)</f>
        <v>371.5571088</v>
      </c>
      <c r="U466" s="80">
        <f>IFERROR(__xludf.DUMMYFUNCTION("""COMPUTED_VALUE"""),0.8146351485051925)</f>
        <v>0.8146351485</v>
      </c>
      <c r="V466" s="80">
        <f>IFERROR(__xludf.DUMMYFUNCTION("""COMPUTED_VALUE"""),0.5802489780943264)</f>
        <v>0.5802489781</v>
      </c>
      <c r="W466" s="80">
        <f>IFERROR(__xludf.DUMMYFUNCTION("""COMPUTED_VALUE"""),1.496592158065588)</f>
        <v>1.496592158</v>
      </c>
      <c r="X466" s="80">
        <f>IFERROR(__xludf.DUMMYFUNCTION("""COMPUTED_VALUE"""),2.6737553979844293)</f>
        <v>2.673755398</v>
      </c>
      <c r="Y466" s="80">
        <f>IFERROR(__xludf.DUMMYFUNCTION("""COMPUTED_VALUE"""),402.8537597777757)</f>
        <v>402.8537598</v>
      </c>
      <c r="Z466" s="80">
        <f>IFERROR(__xludf.DUMMYFUNCTION("""COMPUTED_VALUE"""),0.9922183919664347)</f>
        <v>0.992218392</v>
      </c>
      <c r="AA466" s="80">
        <f>IFERROR(__xludf.DUMMYFUNCTION("""COMPUTED_VALUE"""),0.7864134883482844)</f>
        <v>0.7864134883</v>
      </c>
      <c r="AB466" s="80">
        <f>IFERROR(__xludf.DUMMYFUNCTION("""COMPUTED_VALUE"""),1.4563017480657618)</f>
        <v>1.456301748</v>
      </c>
      <c r="AC466" s="80">
        <f>IFERROR(__xludf.DUMMYFUNCTION("""COMPUTED_VALUE"""),3.0833321669058313)</f>
        <v>3.083332167</v>
      </c>
      <c r="AD466" s="80">
        <f>IFERROR(__xludf.DUMMYFUNCTION("""COMPUTED_VALUE"""),1.1068946381750182)</f>
        <v>1.106894638</v>
      </c>
      <c r="AE466" s="80">
        <f>IFERROR(__xludf.DUMMYFUNCTION("""COMPUTED_VALUE"""),1.175816409081574)</f>
        <v>1.175816409</v>
      </c>
      <c r="AF466" s="80">
        <f>IFERROR(__xludf.DUMMYFUNCTION("""COMPUTED_VALUE"""),0.8477304580150021)</f>
        <v>0.847730458</v>
      </c>
      <c r="AG466" s="80">
        <f>IFERROR(__xludf.DUMMYFUNCTION("""COMPUTED_VALUE"""),1.0872288901913993)</f>
        <v>1.08722889</v>
      </c>
      <c r="AH466" s="80">
        <f>IFERROR(__xludf.DUMMYFUNCTION("""COMPUTED_VALUE"""),0.8783787106697575)</f>
        <v>0.8783787107</v>
      </c>
      <c r="AI466" s="80">
        <f>IFERROR(__xludf.DUMMYFUNCTION("""COMPUTED_VALUE"""),0.9514015250837602)</f>
        <v>0.9514015251</v>
      </c>
      <c r="AJ466" s="80">
        <f>IFERROR(__xludf.DUMMYFUNCTION("""COMPUTED_VALUE"""),0.9206575500409057)</f>
        <v>0.92065755</v>
      </c>
      <c r="AK466" s="80">
        <f>IFERROR(__xludf.DUMMYFUNCTION("""COMPUTED_VALUE"""),1.077123827176131)</f>
        <v>1.077123827</v>
      </c>
      <c r="AL466" s="80">
        <f>IFERROR(__xludf.DUMMYFUNCTION("""COMPUTED_VALUE"""),0.8816326060066257)</f>
        <v>0.881632606</v>
      </c>
      <c r="AM466" s="80">
        <f>IFERROR(__xludf.DUMMYFUNCTION("""COMPUTED_VALUE"""),1.0077378231664762)</f>
        <v>1.007737823</v>
      </c>
      <c r="AN466" s="80">
        <f>IFERROR(__xludf.DUMMYFUNCTION("""COMPUTED_VALUE"""),1.2090374884001829)</f>
        <v>1.209037488</v>
      </c>
      <c r="AO466" s="80">
        <f>IFERROR(__xludf.DUMMYFUNCTION("""COMPUTED_VALUE"""),1.5202790053625908)</f>
        <v>1.520279005</v>
      </c>
      <c r="AP466" s="80">
        <f>IFERROR(__xludf.DUMMYFUNCTION("""COMPUTED_VALUE"""),1.0465448957147483)</f>
        <v>1.046544896</v>
      </c>
      <c r="AQ466" s="80">
        <f>IFERROR(__xludf.DUMMYFUNCTION("""COMPUTED_VALUE"""),1.081724012353586)</f>
        <v>1.081724012</v>
      </c>
      <c r="AR466" s="80">
        <f>IFERROR(__xludf.DUMMYFUNCTION("""COMPUTED_VALUE"""),1.0038954365282373)</f>
        <v>1.003895437</v>
      </c>
      <c r="AS466" s="80">
        <f>IFERROR(__xludf.DUMMYFUNCTION("""COMPUTED_VALUE"""),76.0)</f>
        <v>76</v>
      </c>
      <c r="AT466" s="80">
        <f>IFERROR(__xludf.DUMMYFUNCTION("""COMPUTED_VALUE"""),0.6352935934033276)</f>
        <v>0.6352935934</v>
      </c>
      <c r="AU466" s="80">
        <f>IFERROR(__xludf.DUMMYFUNCTION("""COMPUTED_VALUE"""),3.7108583407109657)</f>
        <v>3.710858341</v>
      </c>
      <c r="AV466" s="80">
        <f>IFERROR(__xludf.DUMMYFUNCTION("""COMPUTED_VALUE"""),66.6829278018476)</f>
        <v>66.6829278</v>
      </c>
      <c r="AW466" s="82">
        <f t="shared" si="1"/>
        <v>3.963774288</v>
      </c>
      <c r="AX466" s="83">
        <f t="array" ref="AX466">IFERROR(DGET('SBV Import'!A:G,"SBV",{"RSC ID","Tier";B466,A466}))</f>
        <v>67.49587909</v>
      </c>
      <c r="AY466" s="82">
        <f t="shared" si="2"/>
        <v>4.13197314</v>
      </c>
      <c r="AZ466" s="82">
        <v>0.16819885210334773</v>
      </c>
      <c r="BA466" s="84">
        <v>450.0</v>
      </c>
      <c r="BB466" s="84" t="b">
        <f>IFERROR(__xludf.DUMMYFUNCTION("iferror(if(A466="""",,E466&gt;=FILTER(Constants!$F$2:$F$10,Constants!$A$2:$A$10=A466)))"),TRUE)</f>
        <v>1</v>
      </c>
    </row>
    <row r="467">
      <c r="A467" s="80" t="str">
        <f>IFERROR(__xludf.DUMMYFUNCTION("""COMPUTED_VALUE"""),"Master")</f>
        <v>Master</v>
      </c>
      <c r="B467" s="80" t="str">
        <f>IFERROR(__xludf.DUMMYFUNCTION("""COMPUTED_VALUE"""),"RSC005183")</f>
        <v>RSC005183</v>
      </c>
      <c r="C467" s="80" t="str">
        <f>IFERROR(__xludf.DUMMYFUNCTION("""COMPUTED_VALUE"""),"Kagura.")</f>
        <v>Kagura.</v>
      </c>
      <c r="D467" s="80" t="str">
        <f>IFERROR(__xludf.DUMMYFUNCTION("""COMPUTED_VALUE"""),"Hard Hats")</f>
        <v>Hard Hats</v>
      </c>
      <c r="E467" s="80">
        <f>IFERROR(__xludf.DUMMYFUNCTION("""COMPUTED_VALUE"""),36.0)</f>
        <v>36</v>
      </c>
      <c r="F467" s="80">
        <f>IFERROR(__xludf.DUMMYFUNCTION("""COMPUTED_VALUE"""),12.0)</f>
        <v>12</v>
      </c>
      <c r="G467" s="80">
        <f>IFERROR(__xludf.DUMMYFUNCTION("""COMPUTED_VALUE"""),24.0)</f>
        <v>24</v>
      </c>
      <c r="H467" s="81">
        <f>IFERROR(__xludf.DUMMYFUNCTION("""COMPUTED_VALUE"""),0.3333333333333333)</f>
        <v>0.3333333333</v>
      </c>
      <c r="I467" s="81">
        <f>IFERROR(__xludf.DUMMYFUNCTION("""COMPUTED_VALUE"""),0.2983870967741935)</f>
        <v>0.2983870968</v>
      </c>
      <c r="J467" s="80">
        <f>IFERROR(__xludf.DUMMYFUNCTION("""COMPUTED_VALUE"""),432.22222222222223)</f>
        <v>432.2222222</v>
      </c>
      <c r="K467" s="80">
        <f>IFERROR(__xludf.DUMMYFUNCTION("""COMPUTED_VALUE"""),1.0277777777777777)</f>
        <v>1.027777778</v>
      </c>
      <c r="L467" s="80">
        <f>IFERROR(__xludf.DUMMYFUNCTION("""COMPUTED_VALUE"""),0.5)</f>
        <v>0.5</v>
      </c>
      <c r="M467" s="80">
        <f>IFERROR(__xludf.DUMMYFUNCTION("""COMPUTED_VALUE"""),1.8055555555555556)</f>
        <v>1.805555556</v>
      </c>
      <c r="N467" s="80">
        <f>IFERROR(__xludf.DUMMYFUNCTION("""COMPUTED_VALUE"""),3.4444444444444446)</f>
        <v>3.444444444</v>
      </c>
      <c r="O467" s="80">
        <f>IFERROR(__xludf.DUMMYFUNCTION("""COMPUTED_VALUE"""),406.19444444444446)</f>
        <v>406.1944444</v>
      </c>
      <c r="P467" s="80">
        <f>IFERROR(__xludf.DUMMYFUNCTION("""COMPUTED_VALUE"""),0.9907407407407407)</f>
        <v>0.9907407407</v>
      </c>
      <c r="Q467" s="80">
        <f>IFERROR(__xludf.DUMMYFUNCTION("""COMPUTED_VALUE"""),0.7499999999999998)</f>
        <v>0.75</v>
      </c>
      <c r="R467" s="80">
        <f>IFERROR(__xludf.DUMMYFUNCTION("""COMPUTED_VALUE"""),1.5648148148148149)</f>
        <v>1.564814815</v>
      </c>
      <c r="S467" s="80">
        <f>IFERROR(__xludf.DUMMYFUNCTION("""COMPUTED_VALUE"""),2.981481481481482)</f>
        <v>2.981481481</v>
      </c>
      <c r="T467" s="80">
        <f>IFERROR(__xludf.DUMMYFUNCTION("""COMPUTED_VALUE"""),390.91142808986996)</f>
        <v>390.9114281</v>
      </c>
      <c r="U467" s="80">
        <f>IFERROR(__xludf.DUMMYFUNCTION("""COMPUTED_VALUE"""),0.8982691956059435)</f>
        <v>0.8982691956</v>
      </c>
      <c r="V467" s="80">
        <f>IFERROR(__xludf.DUMMYFUNCTION("""COMPUTED_VALUE"""),0.73047777437527)</f>
        <v>0.7304777744</v>
      </c>
      <c r="W467" s="80">
        <f>IFERROR(__xludf.DUMMYFUNCTION("""COMPUTED_VALUE"""),1.4621067201703963)</f>
        <v>1.46210672</v>
      </c>
      <c r="X467" s="80">
        <f>IFERROR(__xludf.DUMMYFUNCTION("""COMPUTED_VALUE"""),2.862415161957403)</f>
        <v>2.862415162</v>
      </c>
      <c r="Y467" s="80">
        <f>IFERROR(__xludf.DUMMYFUNCTION("""COMPUTED_VALUE"""),373.6586147951862)</f>
        <v>373.6586148</v>
      </c>
      <c r="Z467" s="80">
        <f>IFERROR(__xludf.DUMMYFUNCTION("""COMPUTED_VALUE"""),0.7949237828960006)</f>
        <v>0.7949237829</v>
      </c>
      <c r="AA467" s="80">
        <f>IFERROR(__xludf.DUMMYFUNCTION("""COMPUTED_VALUE"""),0.6080379188952221)</f>
        <v>0.6080379189</v>
      </c>
      <c r="AB467" s="80">
        <f>IFERROR(__xludf.DUMMYFUNCTION("""COMPUTED_VALUE"""),1.4974588865689609)</f>
        <v>1.497458887</v>
      </c>
      <c r="AC467" s="80">
        <f>IFERROR(__xludf.DUMMYFUNCTION("""COMPUTED_VALUE"""),2.707312167127861)</f>
        <v>2.707312167</v>
      </c>
      <c r="AD467" s="80">
        <f>IFERROR(__xludf.DUMMYFUNCTION("""COMPUTED_VALUE"""),1.1567302481682016)</f>
        <v>1.156730248</v>
      </c>
      <c r="AE467" s="80">
        <f>IFERROR(__xludf.DUMMYFUNCTION("""COMPUTED_VALUE"""),1.292926189770625)</f>
        <v>1.29292619</v>
      </c>
      <c r="AF467" s="80">
        <f>IFERROR(__xludf.DUMMYFUNCTION("""COMPUTED_VALUE"""),0.8223171359254663)</f>
        <v>0.8223171359</v>
      </c>
      <c r="AG467" s="80">
        <f>IFERROR(__xludf.DUMMYFUNCTION("""COMPUTED_VALUE"""),1.2057463291646815)</f>
        <v>1.205746329</v>
      </c>
      <c r="AH467" s="80">
        <f>IFERROR(__xludf.DUMMYFUNCTION("""COMPUTED_VALUE"""),1.272274577814421)</f>
        <v>1.272274578</v>
      </c>
      <c r="AI467" s="80">
        <f>IFERROR(__xludf.DUMMYFUNCTION("""COMPUTED_VALUE"""),1.0390958546012652)</f>
        <v>1.039095855</v>
      </c>
      <c r="AJ467" s="80">
        <f>IFERROR(__xludf.DUMMYFUNCTION("""COMPUTED_VALUE"""),1.1029441347728939)</f>
        <v>1.102944135</v>
      </c>
      <c r="AK467" s="80">
        <f>IFERROR(__xludf.DUMMYFUNCTION("""COMPUTED_VALUE"""),1.0267252835193048)</f>
        <v>1.026725284</v>
      </c>
      <c r="AL467" s="80">
        <f>IFERROR(__xludf.DUMMYFUNCTION("""COMPUTED_VALUE"""),1.0702466469974563)</f>
        <v>1.070246647</v>
      </c>
      <c r="AM467" s="80">
        <f>IFERROR(__xludf.DUMMYFUNCTION("""COMPUTED_VALUE"""),1.0415964536194875)</f>
        <v>1.041596454</v>
      </c>
      <c r="AN467" s="80">
        <f>IFERROR(__xludf.DUMMYFUNCTION("""COMPUTED_VALUE"""),1.171907015480399)</f>
        <v>1.171907015</v>
      </c>
      <c r="AO467" s="80">
        <f>IFERROR(__xludf.DUMMYFUNCTION("""COMPUTED_VALUE"""),1.3392934094860918)</f>
        <v>1.339293409</v>
      </c>
      <c r="AP467" s="80">
        <f>IFERROR(__xludf.DUMMYFUNCTION("""COMPUTED_VALUE"""),0.7849086717860613)</f>
        <v>0.7849086718</v>
      </c>
      <c r="AQ467" s="80">
        <f>IFERROR(__xludf.DUMMYFUNCTION("""COMPUTED_VALUE"""),1.2335449263681246)</f>
        <v>1.233544926</v>
      </c>
      <c r="AR467" s="80">
        <f>IFERROR(__xludf.DUMMYFUNCTION("""COMPUTED_VALUE"""),1.2767490679948865)</f>
        <v>1.276749068</v>
      </c>
      <c r="AS467" s="80">
        <f>IFERROR(__xludf.DUMMYFUNCTION("""COMPUTED_VALUE"""),72.0)</f>
        <v>72</v>
      </c>
      <c r="AT467" s="80">
        <f>IFERROR(__xludf.DUMMYFUNCTION("""COMPUTED_VALUE"""),0.34802191644319325)</f>
        <v>0.3480219164</v>
      </c>
      <c r="AU467" s="80">
        <f>IFERROR(__xludf.DUMMYFUNCTION("""COMPUTED_VALUE"""),3.681012849584463)</f>
        <v>3.68101285</v>
      </c>
      <c r="AV467" s="80">
        <f>IFERROR(__xludf.DUMMYFUNCTION("""COMPUTED_VALUE"""),65.95366500247918)</f>
        <v>65.953665</v>
      </c>
      <c r="AW467" s="82">
        <f t="shared" si="1"/>
        <v>3.821328042</v>
      </c>
      <c r="AX467" s="83">
        <f t="array" ref="AX467">IFERROR(DGET('SBV Import'!A:G,"SBV",{"RSC ID","Tier";B467,A467}))</f>
        <v>63.37568166</v>
      </c>
      <c r="AY467" s="82">
        <f t="shared" si="2"/>
        <v>3.374781255</v>
      </c>
      <c r="AZ467" s="82">
        <v>0.44654678762150546</v>
      </c>
      <c r="BA467" s="84">
        <v>450.0</v>
      </c>
      <c r="BB467" s="84" t="b">
        <f>IFERROR(__xludf.DUMMYFUNCTION("iferror(if(A467="""",,E467&gt;=FILTER(Constants!$F$2:$F$10,Constants!$A$2:$A$10=A467)))"),TRUE)</f>
        <v>1</v>
      </c>
    </row>
    <row r="468">
      <c r="A468" s="80" t="str">
        <f>IFERROR(__xludf.DUMMYFUNCTION("""COMPUTED_VALUE"""),"Master")</f>
        <v>Master</v>
      </c>
      <c r="B468" s="80" t="str">
        <f>IFERROR(__xludf.DUMMYFUNCTION("""COMPUTED_VALUE"""),"RSC006985")</f>
        <v>RSC006985</v>
      </c>
      <c r="C468" s="80" t="str">
        <f>IFERROR(__xludf.DUMMYFUNCTION("""COMPUTED_VALUE"""),"not so jucy skep")</f>
        <v>not so jucy skep</v>
      </c>
      <c r="D468" s="80" t="str">
        <f>IFERROR(__xludf.DUMMYFUNCTION("""COMPUTED_VALUE"""),"Kawaii")</f>
        <v>Kawaii</v>
      </c>
      <c r="E468" s="80">
        <f>IFERROR(__xludf.DUMMYFUNCTION("""COMPUTED_VALUE"""),7.0)</f>
        <v>7</v>
      </c>
      <c r="F468" s="80">
        <f>IFERROR(__xludf.DUMMYFUNCTION("""COMPUTED_VALUE"""),3.0)</f>
        <v>3</v>
      </c>
      <c r="G468" s="80">
        <f>IFERROR(__xludf.DUMMYFUNCTION("""COMPUTED_VALUE"""),4.0)</f>
        <v>4</v>
      </c>
      <c r="H468" s="81">
        <f>IFERROR(__xludf.DUMMYFUNCTION("""COMPUTED_VALUE"""),0.42857142857142855)</f>
        <v>0.4285714286</v>
      </c>
      <c r="I468" s="81">
        <f>IFERROR(__xludf.DUMMYFUNCTION("""COMPUTED_VALUE"""),0.5)</f>
        <v>0.5</v>
      </c>
      <c r="J468" s="80">
        <f>IFERROR(__xludf.DUMMYFUNCTION("""COMPUTED_VALUE"""),412.57142857142856)</f>
        <v>412.5714286</v>
      </c>
      <c r="K468" s="80">
        <f>IFERROR(__xludf.DUMMYFUNCTION("""COMPUTED_VALUE"""),1.2857142857142858)</f>
        <v>1.285714286</v>
      </c>
      <c r="L468" s="80">
        <f>IFERROR(__xludf.DUMMYFUNCTION("""COMPUTED_VALUE"""),0.5714285714285714)</f>
        <v>0.5714285714</v>
      </c>
      <c r="M468" s="80">
        <f>IFERROR(__xludf.DUMMYFUNCTION("""COMPUTED_VALUE"""),1.5714285714285714)</f>
        <v>1.571428571</v>
      </c>
      <c r="N468" s="80">
        <f>IFERROR(__xludf.DUMMYFUNCTION("""COMPUTED_VALUE"""),2.5714285714285716)</f>
        <v>2.571428571</v>
      </c>
      <c r="O468" s="80">
        <f>IFERROR(__xludf.DUMMYFUNCTION("""COMPUTED_VALUE"""),356.42857142857144)</f>
        <v>356.4285714</v>
      </c>
      <c r="P468" s="80">
        <f>IFERROR(__xludf.DUMMYFUNCTION("""COMPUTED_VALUE"""),0.8095238095238094)</f>
        <v>0.8095238095</v>
      </c>
      <c r="Q468" s="80">
        <f>IFERROR(__xludf.DUMMYFUNCTION("""COMPUTED_VALUE"""),0.6666666666666666)</f>
        <v>0.6666666667</v>
      </c>
      <c r="R468" s="80">
        <f>IFERROR(__xludf.DUMMYFUNCTION("""COMPUTED_VALUE"""),1.1904761904761905)</f>
        <v>1.19047619</v>
      </c>
      <c r="S468" s="80">
        <f>IFERROR(__xludf.DUMMYFUNCTION("""COMPUTED_VALUE"""),2.952380952380952)</f>
        <v>2.952380952</v>
      </c>
      <c r="T468" s="80">
        <f>IFERROR(__xludf.DUMMYFUNCTION("""COMPUTED_VALUE"""),376.39774611938174)</f>
        <v>376.3977461</v>
      </c>
      <c r="U468" s="80">
        <f>IFERROR(__xludf.DUMMYFUNCTION("""COMPUTED_VALUE"""),0.8632438764555742)</f>
        <v>0.8632438765</v>
      </c>
      <c r="V468" s="80">
        <f>IFERROR(__xludf.DUMMYFUNCTION("""COMPUTED_VALUE"""),0.6707984844501408)</f>
        <v>0.6707984845</v>
      </c>
      <c r="W468" s="80">
        <f>IFERROR(__xludf.DUMMYFUNCTION("""COMPUTED_VALUE"""),1.4552337682254866)</f>
        <v>1.455233768</v>
      </c>
      <c r="X468" s="80">
        <f>IFERROR(__xludf.DUMMYFUNCTION("""COMPUTED_VALUE"""),2.8861188477001103)</f>
        <v>2.886118848</v>
      </c>
      <c r="Y468" s="80">
        <f>IFERROR(__xludf.DUMMYFUNCTION("""COMPUTED_VALUE"""),411.28902310387394)</f>
        <v>411.2890231</v>
      </c>
      <c r="Z468" s="80">
        <f>IFERROR(__xludf.DUMMYFUNCTION("""COMPUTED_VALUE"""),0.9954351386287206)</f>
        <v>0.9954351386</v>
      </c>
      <c r="AA468" s="80">
        <f>IFERROR(__xludf.DUMMYFUNCTION("""COMPUTED_VALUE"""),0.7873215107298958)</f>
        <v>0.7873215107</v>
      </c>
      <c r="AB468" s="80">
        <f>IFERROR(__xludf.DUMMYFUNCTION("""COMPUTED_VALUE"""),1.556878694848847)</f>
        <v>1.556878695</v>
      </c>
      <c r="AC468" s="80">
        <f>IFERROR(__xludf.DUMMYFUNCTION("""COMPUTED_VALUE"""),2.970233325482635)</f>
        <v>2.970233325</v>
      </c>
      <c r="AD468" s="80">
        <f>IFERROR(__xludf.DUMMYFUNCTION("""COMPUTED_VALUE"""),1.0031180153019321)</f>
        <v>1.003118015</v>
      </c>
      <c r="AE468" s="80">
        <f>IFERROR(__xludf.DUMMYFUNCTION("""COMPUTED_VALUE"""),1.291610307714719)</f>
        <v>1.291610308</v>
      </c>
      <c r="AF468" s="80">
        <f>IFERROR(__xludf.DUMMYFUNCTION("""COMPUTED_VALUE"""),0.725788084843283)</f>
        <v>0.7257880848</v>
      </c>
      <c r="AG468" s="80">
        <f>IFERROR(__xludf.DUMMYFUNCTION("""COMPUTED_VALUE"""),1.0093455428659053)</f>
        <v>1.009345543</v>
      </c>
      <c r="AH468" s="80">
        <f>IFERROR(__xludf.DUMMYFUNCTION("""COMPUTED_VALUE"""),0.8657328531625503)</f>
        <v>0.8657328532</v>
      </c>
      <c r="AI468" s="80">
        <f>IFERROR(__xludf.DUMMYFUNCTION("""COMPUTED_VALUE"""),0.9469466145940293)</f>
        <v>0.9469466146</v>
      </c>
      <c r="AJ468" s="80">
        <f>IFERROR(__xludf.DUMMYFUNCTION("""COMPUTED_VALUE"""),0.9377695360523888)</f>
        <v>0.9377695361</v>
      </c>
      <c r="AK468" s="80">
        <f>IFERROR(__xludf.DUMMYFUNCTION("""COMPUTED_VALUE"""),0.9938404485411725)</f>
        <v>0.9938404485</v>
      </c>
      <c r="AL468" s="80">
        <f>IFERROR(__xludf.DUMMYFUNCTION("""COMPUTED_VALUE"""),0.818065259664678)</f>
        <v>0.8180652597</v>
      </c>
      <c r="AM468" s="80">
        <f>IFERROR(__xludf.DUMMYFUNCTION("""COMPUTED_VALUE"""),1.0229588967667236)</f>
        <v>1.022958897</v>
      </c>
      <c r="AN468" s="80">
        <f>IFERROR(__xludf.DUMMYFUNCTION("""COMPUTED_VALUE"""),1.1186267773179042)</f>
        <v>1.118626777</v>
      </c>
      <c r="AO468" s="80">
        <f>IFERROR(__xludf.DUMMYFUNCTION("""COMPUTED_VALUE"""),1.6754095161138756)</f>
        <v>1.675409516</v>
      </c>
      <c r="AP468" s="80">
        <f>IFERROR(__xludf.DUMMYFUNCTION("""COMPUTED_VALUE"""),0.8970384820412128)</f>
        <v>0.897038482</v>
      </c>
      <c r="AQ468" s="80">
        <f>IFERROR(__xludf.DUMMYFUNCTION("""COMPUTED_VALUE"""),1.0735907491028074)</f>
        <v>1.073590749</v>
      </c>
      <c r="AR468" s="80">
        <f>IFERROR(__xludf.DUMMYFUNCTION("""COMPUTED_VALUE"""),0.9531490738026343)</f>
        <v>0.9531490738</v>
      </c>
      <c r="AS468" s="80">
        <f>IFERROR(__xludf.DUMMYFUNCTION("""COMPUTED_VALUE"""),16.0)</f>
        <v>16</v>
      </c>
      <c r="AT468" s="80">
        <f>IFERROR(__xludf.DUMMYFUNCTION("""COMPUTED_VALUE"""),0.4763660854857283)</f>
        <v>0.4763660855</v>
      </c>
      <c r="AU468" s="80">
        <f>IFERROR(__xludf.DUMMYFUNCTION("""COMPUTED_VALUE"""),3.609690944358781)</f>
        <v>3.609690944</v>
      </c>
      <c r="AV468" s="80">
        <f>IFERROR(__xludf.DUMMYFUNCTION("""COMPUTED_VALUE"""),64.21094239018541)</f>
        <v>64.21094239</v>
      </c>
      <c r="AW468" s="82">
        <f t="shared" si="1"/>
        <v>3.510386705</v>
      </c>
      <c r="AX468" s="83">
        <f t="array" ref="AX468">IFERROR(DGET('SBV Import'!A:G,"SBV",{"RSC ID","Tier";B468,A468}))</f>
        <v>58.30569137</v>
      </c>
      <c r="AY468" s="82">
        <f t="shared" si="2"/>
        <v>2.703735372</v>
      </c>
      <c r="AZ468" s="82">
        <v>0.8066513329709584</v>
      </c>
      <c r="BA468" s="84">
        <v>450.0</v>
      </c>
      <c r="BB468" s="84" t="b">
        <f>IFERROR(__xludf.DUMMYFUNCTION("iferror(if(A468="""",,E468&gt;=FILTER(Constants!$F$2:$F$10,Constants!$A$2:$A$10=A468)))"),TRUE)</f>
        <v>1</v>
      </c>
    </row>
    <row r="469">
      <c r="A469" s="80" t="str">
        <f>IFERROR(__xludf.DUMMYFUNCTION("""COMPUTED_VALUE"""),"Master")</f>
        <v>Master</v>
      </c>
      <c r="B469" s="80" t="str">
        <f>IFERROR(__xludf.DUMMYFUNCTION("""COMPUTED_VALUE"""),"RSC002620")</f>
        <v>RSC002620</v>
      </c>
      <c r="C469" s="80" t="str">
        <f>IFERROR(__xludf.DUMMYFUNCTION("""COMPUTED_VALUE"""),"Instnt")</f>
        <v>Instnt</v>
      </c>
      <c r="D469" s="80" t="str">
        <f>IFERROR(__xludf.DUMMYFUNCTION("""COMPUTED_VALUE"""),"Tempests")</f>
        <v>Tempests</v>
      </c>
      <c r="E469" s="80">
        <f>IFERROR(__xludf.DUMMYFUNCTION("""COMPUTED_VALUE"""),4.0)</f>
        <v>4</v>
      </c>
      <c r="F469" s="80">
        <f>IFERROR(__xludf.DUMMYFUNCTION("""COMPUTED_VALUE"""),1.0)</f>
        <v>1</v>
      </c>
      <c r="G469" s="80">
        <f>IFERROR(__xludf.DUMMYFUNCTION("""COMPUTED_VALUE"""),3.0)</f>
        <v>3</v>
      </c>
      <c r="H469" s="81">
        <f>IFERROR(__xludf.DUMMYFUNCTION("""COMPUTED_VALUE"""),0.25)</f>
        <v>0.25</v>
      </c>
      <c r="I469" s="81">
        <f>IFERROR(__xludf.DUMMYFUNCTION("""COMPUTED_VALUE"""),0.125)</f>
        <v>0.125</v>
      </c>
      <c r="J469" s="80">
        <f>IFERROR(__xludf.DUMMYFUNCTION("""COMPUTED_VALUE"""),394.25)</f>
        <v>394.25</v>
      </c>
      <c r="K469" s="80">
        <f>IFERROR(__xludf.DUMMYFUNCTION("""COMPUTED_VALUE"""),0.5)</f>
        <v>0.5</v>
      </c>
      <c r="L469" s="80">
        <f>IFERROR(__xludf.DUMMYFUNCTION("""COMPUTED_VALUE"""),0.75)</f>
        <v>0.75</v>
      </c>
      <c r="M469" s="80">
        <f>IFERROR(__xludf.DUMMYFUNCTION("""COMPUTED_VALUE"""),1.5)</f>
        <v>1.5</v>
      </c>
      <c r="N469" s="80">
        <f>IFERROR(__xludf.DUMMYFUNCTION("""COMPUTED_VALUE"""),4.0)</f>
        <v>4</v>
      </c>
      <c r="O469" s="80">
        <f>IFERROR(__xludf.DUMMYFUNCTION("""COMPUTED_VALUE"""),387.6666666666667)</f>
        <v>387.6666667</v>
      </c>
      <c r="P469" s="80">
        <f>IFERROR(__xludf.DUMMYFUNCTION("""COMPUTED_VALUE"""),1.0)</f>
        <v>1</v>
      </c>
      <c r="Q469" s="80">
        <f>IFERROR(__xludf.DUMMYFUNCTION("""COMPUTED_VALUE"""),0.5833333333333333)</f>
        <v>0.5833333333</v>
      </c>
      <c r="R469" s="80">
        <f>IFERROR(__xludf.DUMMYFUNCTION("""COMPUTED_VALUE"""),1.6666666666666667)</f>
        <v>1.666666667</v>
      </c>
      <c r="S469" s="80">
        <f>IFERROR(__xludf.DUMMYFUNCTION("""COMPUTED_VALUE"""),2.4999999999999996)</f>
        <v>2.5</v>
      </c>
      <c r="T469" s="80">
        <f>IFERROR(__xludf.DUMMYFUNCTION("""COMPUTED_VALUE"""),386.3333333333333)</f>
        <v>386.3333333</v>
      </c>
      <c r="U469" s="80">
        <f>IFERROR(__xludf.DUMMYFUNCTION("""COMPUTED_VALUE"""),0.9074074074074074)</f>
        <v>0.9074074074</v>
      </c>
      <c r="V469" s="80">
        <f>IFERROR(__xludf.DUMMYFUNCTION("""COMPUTED_VALUE"""),0.8240740740740741)</f>
        <v>0.8240740741</v>
      </c>
      <c r="W469" s="80">
        <f>IFERROR(__xludf.DUMMYFUNCTION("""COMPUTED_VALUE"""),1.4907407407407407)</f>
        <v>1.490740741</v>
      </c>
      <c r="X469" s="80">
        <f>IFERROR(__xludf.DUMMYFUNCTION("""COMPUTED_VALUE"""),2.7129629629629632)</f>
        <v>2.712962963</v>
      </c>
      <c r="Y469" s="80">
        <f>IFERROR(__xludf.DUMMYFUNCTION("""COMPUTED_VALUE"""),344.1913580246914)</f>
        <v>344.191358</v>
      </c>
      <c r="Z469" s="80">
        <f>IFERROR(__xludf.DUMMYFUNCTION("""COMPUTED_VALUE"""),0.7407407407407408)</f>
        <v>0.7407407407</v>
      </c>
      <c r="AA469" s="80">
        <f>IFERROR(__xludf.DUMMYFUNCTION("""COMPUTED_VALUE"""),0.5370370370370371)</f>
        <v>0.537037037</v>
      </c>
      <c r="AB469" s="80">
        <f>IFERROR(__xludf.DUMMYFUNCTION("""COMPUTED_VALUE"""),1.2438271604938274)</f>
        <v>1.24382716</v>
      </c>
      <c r="AC469" s="80">
        <f>IFERROR(__xludf.DUMMYFUNCTION("""COMPUTED_VALUE"""),2.623456790123457)</f>
        <v>2.62345679</v>
      </c>
      <c r="AD469" s="80">
        <f>IFERROR(__xludf.DUMMYFUNCTION("""COMPUTED_VALUE"""),1.1454384045624921)</f>
        <v>1.145438405</v>
      </c>
      <c r="AE469" s="80">
        <f>IFERROR(__xludf.DUMMYFUNCTION("""COMPUTED_VALUE"""),0.6749999999999999)</f>
        <v>0.675</v>
      </c>
      <c r="AF469" s="80">
        <f>IFERROR(__xludf.DUMMYFUNCTION("""COMPUTED_VALUE"""),1.3965517241379308)</f>
        <v>1.396551724</v>
      </c>
      <c r="AG469" s="80">
        <f>IFERROR(__xludf.DUMMYFUNCTION("""COMPUTED_VALUE"""),1.2059553349875929)</f>
        <v>1.205955335</v>
      </c>
      <c r="AH469" s="80">
        <f>IFERROR(__xludf.DUMMYFUNCTION("""COMPUTED_VALUE"""),1.5247058823529411)</f>
        <v>1.524705882</v>
      </c>
      <c r="AI469" s="80">
        <f>IFERROR(__xludf.DUMMYFUNCTION("""COMPUTED_VALUE"""),1.003451251078516)</f>
        <v>1.003451251</v>
      </c>
      <c r="AJ469" s="80">
        <f>IFERROR(__xludf.DUMMYFUNCTION("""COMPUTED_VALUE"""),1.1020408163265305)</f>
        <v>1.102040816</v>
      </c>
      <c r="AK469" s="80">
        <f>IFERROR(__xludf.DUMMYFUNCTION("""COMPUTED_VALUE"""),0.7078651685393258)</f>
        <v>0.7078651685</v>
      </c>
      <c r="AL469" s="80">
        <f>IFERROR(__xludf.DUMMYFUNCTION("""COMPUTED_VALUE"""),1.1180124223602486)</f>
        <v>1.118012422</v>
      </c>
      <c r="AM469" s="80">
        <f>IFERROR(__xludf.DUMMYFUNCTION("""COMPUTED_VALUE"""),0.9215017064846414)</f>
        <v>0.9215017065</v>
      </c>
      <c r="AN469" s="80">
        <f>IFERROR(__xludf.DUMMYFUNCTION("""COMPUTED_VALUE"""),1.0689509171409577)</f>
        <v>1.068950917</v>
      </c>
      <c r="AO469" s="80">
        <f>IFERROR(__xludf.DUMMYFUNCTION("""COMPUTED_VALUE"""),0.651548145155396)</f>
        <v>0.6515481452</v>
      </c>
      <c r="AP469" s="80">
        <f>IFERROR(__xludf.DUMMYFUNCTION("""COMPUTED_VALUE"""),1.1773630076790917)</f>
        <v>1.177363008</v>
      </c>
      <c r="AQ469" s="80">
        <f>IFERROR(__xludf.DUMMYFUNCTION("""COMPUTED_VALUE"""),1.0247911695981342)</f>
        <v>1.02479117</v>
      </c>
      <c r="AR469" s="80">
        <f>IFERROR(__xludf.DUMMYFUNCTION("""COMPUTED_VALUE"""),1.4826763370263198)</f>
        <v>1.482676337</v>
      </c>
      <c r="AS469" s="80">
        <f>IFERROR(__xludf.DUMMYFUNCTION("""COMPUTED_VALUE"""),10.0)</f>
        <v>10</v>
      </c>
      <c r="AT469" s="80">
        <f>IFERROR(__xludf.DUMMYFUNCTION("""COMPUTED_VALUE"""),0.42619635446806875)</f>
        <v>0.4261963545</v>
      </c>
      <c r="AU469" s="80">
        <f>IFERROR(__xludf.DUMMYFUNCTION("""COMPUTED_VALUE"""),3.6075548340146946)</f>
        <v>3.607554834</v>
      </c>
      <c r="AV469" s="80">
        <f>IFERROR(__xludf.DUMMYFUNCTION("""COMPUTED_VALUE"""),64.15874737678504)</f>
        <v>64.15874738</v>
      </c>
      <c r="AW469" s="82">
        <f t="shared" si="1"/>
        <v>3.501670613</v>
      </c>
      <c r="AX469" s="83">
        <f t="array" ref="AX469">IFERROR(DGET('SBV Import'!A:G,"SBV",{"RSC ID","Tier";B469,A469}))</f>
        <v>73.36584884</v>
      </c>
      <c r="AY469" s="82">
        <f t="shared" si="2"/>
        <v>5.714661663</v>
      </c>
      <c r="AZ469" s="82">
        <v>2.212991049853983</v>
      </c>
      <c r="BA469" s="84">
        <v>450.0</v>
      </c>
      <c r="BB469" s="84" t="b">
        <f>IFERROR(__xludf.DUMMYFUNCTION("iferror(if(A469="""",,E469&gt;=FILTER(Constants!$F$2:$F$10,Constants!$A$2:$A$10=A469)))"),TRUE)</f>
        <v>1</v>
      </c>
    </row>
    <row r="470">
      <c r="A470" s="80" t="str">
        <f>IFERROR(__xludf.DUMMYFUNCTION("""COMPUTED_VALUE"""),"Master")</f>
        <v>Master</v>
      </c>
      <c r="B470" s="80" t="str">
        <f>IFERROR(__xludf.DUMMYFUNCTION("""COMPUTED_VALUE"""),"RSC005220")</f>
        <v>RSC005220</v>
      </c>
      <c r="C470" s="80" t="str">
        <f>IFERROR(__xludf.DUMMYFUNCTION("""COMPUTED_VALUE"""),"Swax")</f>
        <v>Swax</v>
      </c>
      <c r="D470" s="80" t="str">
        <f>IFERROR(__xludf.DUMMYFUNCTION("""COMPUTED_VALUE"""),"Andromeda")</f>
        <v>Andromeda</v>
      </c>
      <c r="E470" s="80">
        <f>IFERROR(__xludf.DUMMYFUNCTION("""COMPUTED_VALUE"""),34.0)</f>
        <v>34</v>
      </c>
      <c r="F470" s="80">
        <f>IFERROR(__xludf.DUMMYFUNCTION("""COMPUTED_VALUE"""),18.0)</f>
        <v>18</v>
      </c>
      <c r="G470" s="80">
        <f>IFERROR(__xludf.DUMMYFUNCTION("""COMPUTED_VALUE"""),16.0)</f>
        <v>16</v>
      </c>
      <c r="H470" s="81">
        <f>IFERROR(__xludf.DUMMYFUNCTION("""COMPUTED_VALUE"""),0.5294117647058824)</f>
        <v>0.5294117647</v>
      </c>
      <c r="I470" s="81">
        <f>IFERROR(__xludf.DUMMYFUNCTION("""COMPUTED_VALUE"""),0.35294117647058826)</f>
        <v>0.3529411765</v>
      </c>
      <c r="J470" s="80">
        <f>IFERROR(__xludf.DUMMYFUNCTION("""COMPUTED_VALUE"""),399.2647058823529)</f>
        <v>399.2647059</v>
      </c>
      <c r="K470" s="80">
        <f>IFERROR(__xludf.DUMMYFUNCTION("""COMPUTED_VALUE"""),1.0588235294117647)</f>
        <v>1.058823529</v>
      </c>
      <c r="L470" s="80">
        <f>IFERROR(__xludf.DUMMYFUNCTION("""COMPUTED_VALUE"""),0.6470588235294118)</f>
        <v>0.6470588235</v>
      </c>
      <c r="M470" s="80">
        <f>IFERROR(__xludf.DUMMYFUNCTION("""COMPUTED_VALUE"""),1.5588235294117647)</f>
        <v>1.558823529</v>
      </c>
      <c r="N470" s="80">
        <f>IFERROR(__xludf.DUMMYFUNCTION("""COMPUTED_VALUE"""),3.0)</f>
        <v>3</v>
      </c>
      <c r="O470" s="80">
        <f>IFERROR(__xludf.DUMMYFUNCTION("""COMPUTED_VALUE"""),350.64705882352945)</f>
        <v>350.6470588</v>
      </c>
      <c r="P470" s="80">
        <f>IFERROR(__xludf.DUMMYFUNCTION("""COMPUTED_VALUE"""),0.7254901960784315)</f>
        <v>0.7254901961</v>
      </c>
      <c r="Q470" s="80">
        <f>IFERROR(__xludf.DUMMYFUNCTION("""COMPUTED_VALUE"""),0.5686274509803922)</f>
        <v>0.568627451</v>
      </c>
      <c r="R470" s="80">
        <f>IFERROR(__xludf.DUMMYFUNCTION("""COMPUTED_VALUE"""),1.4019607843137256)</f>
        <v>1.401960784</v>
      </c>
      <c r="S470" s="80">
        <f>IFERROR(__xludf.DUMMYFUNCTION("""COMPUTED_VALUE"""),2.813725490196078)</f>
        <v>2.81372549</v>
      </c>
      <c r="T470" s="80">
        <f>IFERROR(__xludf.DUMMYFUNCTION("""COMPUTED_VALUE"""),374.4761759478677)</f>
        <v>374.4761759</v>
      </c>
      <c r="U470" s="80">
        <f>IFERROR(__xludf.DUMMYFUNCTION("""COMPUTED_VALUE"""),0.821575916799261)</f>
        <v>0.8215759168</v>
      </c>
      <c r="V470" s="80">
        <f>IFERROR(__xludf.DUMMYFUNCTION("""COMPUTED_VALUE"""),0.6090658609593997)</f>
        <v>0.609065861</v>
      </c>
      <c r="W470" s="80">
        <f>IFERROR(__xludf.DUMMYFUNCTION("""COMPUTED_VALUE"""),1.4875783978324615)</f>
        <v>1.487578398</v>
      </c>
      <c r="X470" s="80">
        <f>IFERROR(__xludf.DUMMYFUNCTION("""COMPUTED_VALUE"""),2.737186263028122)</f>
        <v>2.737186263</v>
      </c>
      <c r="Y470" s="80">
        <f>IFERROR(__xludf.DUMMYFUNCTION("""COMPUTED_VALUE"""),395.4814226000933)</f>
        <v>395.4814226</v>
      </c>
      <c r="Z470" s="80">
        <f>IFERROR(__xludf.DUMMYFUNCTION("""COMPUTED_VALUE"""),0.9360928114727685)</f>
        <v>0.9360928115</v>
      </c>
      <c r="AA470" s="80">
        <f>IFERROR(__xludf.DUMMYFUNCTION("""COMPUTED_VALUE"""),0.7334538254833006)</f>
        <v>0.7334538255</v>
      </c>
      <c r="AB470" s="80">
        <f>IFERROR(__xludf.DUMMYFUNCTION("""COMPUTED_VALUE"""),1.4845780647741185)</f>
        <v>1.484578065</v>
      </c>
      <c r="AC470" s="80">
        <f>IFERROR(__xludf.DUMMYFUNCTION("""COMPUTED_VALUE"""),2.9789899168652187)</f>
        <v>2.978989917</v>
      </c>
      <c r="AD470" s="80">
        <f>IFERROR(__xludf.DUMMYFUNCTION("""COMPUTED_VALUE"""),1.009566273068875)</f>
        <v>1.009566273</v>
      </c>
      <c r="AE470" s="80">
        <f>IFERROR(__xludf.DUMMYFUNCTION("""COMPUTED_VALUE"""),1.1311095613969113)</f>
        <v>1.131109561</v>
      </c>
      <c r="AF470" s="80">
        <f>IFERROR(__xludf.DUMMYFUNCTION("""COMPUTED_VALUE"""),0.8822079878076035)</f>
        <v>0.8822079878</v>
      </c>
      <c r="AG470" s="80">
        <f>IFERROR(__xludf.DUMMYFUNCTION("""COMPUTED_VALUE"""),1.0500111556268634)</f>
        <v>1.050011156</v>
      </c>
      <c r="AH470" s="80">
        <f>IFERROR(__xludf.DUMMYFUNCTION("""COMPUTED_VALUE"""),1.0070527540277445)</f>
        <v>1.007052754</v>
      </c>
      <c r="AI470" s="80">
        <f>IFERROR(__xludf.DUMMYFUNCTION("""COMPUTED_VALUE"""),0.936366800734326)</f>
        <v>0.9363668007</v>
      </c>
      <c r="AJ470" s="80">
        <f>IFERROR(__xludf.DUMMYFUNCTION("""COMPUTED_VALUE"""),0.8830470577872275)</f>
        <v>0.8830470578</v>
      </c>
      <c r="AK470" s="80">
        <f>IFERROR(__xludf.DUMMYFUNCTION("""COMPUTED_VALUE"""),0.9336058502518776)</f>
        <v>0.9336058503</v>
      </c>
      <c r="AL470" s="80">
        <f>IFERROR(__xludf.DUMMYFUNCTION("""COMPUTED_VALUE"""),0.9424449738961734)</f>
        <v>0.9424449739</v>
      </c>
      <c r="AM470" s="80">
        <f>IFERROR(__xludf.DUMMYFUNCTION("""COMPUTED_VALUE"""),1.0279627397673996)</f>
        <v>1.02796274</v>
      </c>
      <c r="AN470" s="80">
        <f>IFERROR(__xludf.DUMMYFUNCTION("""COMPUTED_VALUE"""),1.0825475549396473)</f>
        <v>1.082547555</v>
      </c>
      <c r="AO470" s="80">
        <f>IFERROR(__xludf.DUMMYFUNCTION("""COMPUTED_VALUE"""),1.3797490132702503)</f>
        <v>1.379749013</v>
      </c>
      <c r="AP470" s="80">
        <f>IFERROR(__xludf.DUMMYFUNCTION("""COMPUTED_VALUE"""),1.015764163487844)</f>
        <v>1.015764163</v>
      </c>
      <c r="AQ470" s="80">
        <f>IFERROR(__xludf.DUMMYFUNCTION("""COMPUTED_VALUE"""),1.0649790586019827)</f>
        <v>1.064979059</v>
      </c>
      <c r="AR470" s="80">
        <f>IFERROR(__xludf.DUMMYFUNCTION("""COMPUTED_VALUE"""),1.1120072527697398)</f>
        <v>1.112007253</v>
      </c>
      <c r="AS470" s="80">
        <f>IFERROR(__xludf.DUMMYFUNCTION("""COMPUTED_VALUE"""),94.0)</f>
        <v>94</v>
      </c>
      <c r="AT470" s="80">
        <f>IFERROR(__xludf.DUMMYFUNCTION("""COMPUTED_VALUE"""),0.5934857282760203)</f>
        <v>0.5934857283</v>
      </c>
      <c r="AU470" s="80">
        <f>IFERROR(__xludf.DUMMYFUNCTION("""COMPUTED_VALUE"""),3.6040036149043018)</f>
        <v>3.604003615</v>
      </c>
      <c r="AV470" s="80">
        <f>IFERROR(__xludf.DUMMYFUNCTION("""COMPUTED_VALUE"""),64.07197473904762)</f>
        <v>64.07197474</v>
      </c>
      <c r="AW470" s="82">
        <f t="shared" si="1"/>
        <v>3.487253204</v>
      </c>
      <c r="AX470" s="83">
        <f t="array" ref="AX470">IFERROR(DGET('SBV Import'!A:G,"SBV",{"RSC ID","Tier";B470,A470}))</f>
        <v>54.60369604</v>
      </c>
      <c r="AY470" s="82">
        <f t="shared" si="2"/>
        <v>2.342201559</v>
      </c>
      <c r="AZ470" s="82">
        <v>1.1450516442052554</v>
      </c>
      <c r="BA470" s="84">
        <v>450.0</v>
      </c>
      <c r="BB470" s="84" t="b">
        <f>IFERROR(__xludf.DUMMYFUNCTION("iferror(if(A470="""",,E470&gt;=FILTER(Constants!$F$2:$F$10,Constants!$A$2:$A$10=A470)))"),TRUE)</f>
        <v>1</v>
      </c>
    </row>
    <row r="471">
      <c r="A471" s="80" t="str">
        <f>IFERROR(__xludf.DUMMYFUNCTION("""COMPUTED_VALUE"""),"Master")</f>
        <v>Master</v>
      </c>
      <c r="B471" s="80" t="str">
        <f>IFERROR(__xludf.DUMMYFUNCTION("""COMPUTED_VALUE"""),"RSC002888")</f>
        <v>RSC002888</v>
      </c>
      <c r="C471" s="80" t="str">
        <f>IFERROR(__xludf.DUMMYFUNCTION("""COMPUTED_VALUE"""),"kri0s")</f>
        <v>kri0s</v>
      </c>
      <c r="D471" s="80" t="str">
        <f>IFERROR(__xludf.DUMMYFUNCTION("""COMPUTED_VALUE"""),"Basilisks")</f>
        <v>Basilisks</v>
      </c>
      <c r="E471" s="80">
        <f>IFERROR(__xludf.DUMMYFUNCTION("""COMPUTED_VALUE"""),33.0)</f>
        <v>33</v>
      </c>
      <c r="F471" s="80">
        <f>IFERROR(__xludf.DUMMYFUNCTION("""COMPUTED_VALUE"""),22.0)</f>
        <v>22</v>
      </c>
      <c r="G471" s="80">
        <f>IFERROR(__xludf.DUMMYFUNCTION("""COMPUTED_VALUE"""),11.0)</f>
        <v>11</v>
      </c>
      <c r="H471" s="81">
        <f>IFERROR(__xludf.DUMMYFUNCTION("""COMPUTED_VALUE"""),0.6666666666666666)</f>
        <v>0.6666666667</v>
      </c>
      <c r="I471" s="81">
        <f>IFERROR(__xludf.DUMMYFUNCTION("""COMPUTED_VALUE"""),0.2717391304347826)</f>
        <v>0.2717391304</v>
      </c>
      <c r="J471" s="80">
        <f>IFERROR(__xludf.DUMMYFUNCTION("""COMPUTED_VALUE"""),393.8484848484849)</f>
        <v>393.8484848</v>
      </c>
      <c r="K471" s="80">
        <f>IFERROR(__xludf.DUMMYFUNCTION("""COMPUTED_VALUE"""),0.7575757575757576)</f>
        <v>0.7575757576</v>
      </c>
      <c r="L471" s="80">
        <f>IFERROR(__xludf.DUMMYFUNCTION("""COMPUTED_VALUE"""),0.8787878787878788)</f>
        <v>0.8787878788</v>
      </c>
      <c r="M471" s="80">
        <f>IFERROR(__xludf.DUMMYFUNCTION("""COMPUTED_VALUE"""),1.5757575757575757)</f>
        <v>1.575757576</v>
      </c>
      <c r="N471" s="80">
        <f>IFERROR(__xludf.DUMMYFUNCTION("""COMPUTED_VALUE"""),2.787878787878788)</f>
        <v>2.787878788</v>
      </c>
      <c r="O471" s="80">
        <f>IFERROR(__xludf.DUMMYFUNCTION("""COMPUTED_VALUE"""),360.67676767676767)</f>
        <v>360.6767677</v>
      </c>
      <c r="P471" s="80">
        <f>IFERROR(__xludf.DUMMYFUNCTION("""COMPUTED_VALUE"""),0.7474747474747475)</f>
        <v>0.7474747475</v>
      </c>
      <c r="Q471" s="80">
        <f>IFERROR(__xludf.DUMMYFUNCTION("""COMPUTED_VALUE"""),0.6161616161616162)</f>
        <v>0.6161616162</v>
      </c>
      <c r="R471" s="80">
        <f>IFERROR(__xludf.DUMMYFUNCTION("""COMPUTED_VALUE"""),1.4242424242424245)</f>
        <v>1.424242424</v>
      </c>
      <c r="S471" s="80">
        <f>IFERROR(__xludf.DUMMYFUNCTION("""COMPUTED_VALUE"""),2.95959595959596)</f>
        <v>2.95959596</v>
      </c>
      <c r="T471" s="80">
        <f>IFERROR(__xludf.DUMMYFUNCTION("""COMPUTED_VALUE"""),381.5081320651738)</f>
        <v>381.5081321</v>
      </c>
      <c r="U471" s="80">
        <f>IFERROR(__xludf.DUMMYFUNCTION("""COMPUTED_VALUE"""),0.8215134404601723)</f>
        <v>0.8215134405</v>
      </c>
      <c r="V471" s="80">
        <f>IFERROR(__xludf.DUMMYFUNCTION("""COMPUTED_VALUE"""),0.6479114941598496)</f>
        <v>0.6479114942</v>
      </c>
      <c r="W471" s="80">
        <f>IFERROR(__xludf.DUMMYFUNCTION("""COMPUTED_VALUE"""),1.5298054382585544)</f>
        <v>1.529805438</v>
      </c>
      <c r="X471" s="80">
        <f>IFERROR(__xludf.DUMMYFUNCTION("""COMPUTED_VALUE"""),2.8089033063926294)</f>
        <v>2.808903306</v>
      </c>
      <c r="Y471" s="80">
        <f>IFERROR(__xludf.DUMMYFUNCTION("""COMPUTED_VALUE"""),392.89133201279725)</f>
        <v>392.891332</v>
      </c>
      <c r="Z471" s="80">
        <f>IFERROR(__xludf.DUMMYFUNCTION("""COMPUTED_VALUE"""),0.8822921812319975)</f>
        <v>0.8822921812</v>
      </c>
      <c r="AA471" s="80">
        <f>IFERROR(__xludf.DUMMYFUNCTION("""COMPUTED_VALUE"""),0.6806222352890418)</f>
        <v>0.6806222353</v>
      </c>
      <c r="AB471" s="80">
        <f>IFERROR(__xludf.DUMMYFUNCTION("""COMPUTED_VALUE"""),1.5399136380351057)</f>
        <v>1.539913638</v>
      </c>
      <c r="AC471" s="80">
        <f>IFERROR(__xludf.DUMMYFUNCTION("""COMPUTED_VALUE"""),2.8982104494564958)</f>
        <v>2.898210449</v>
      </c>
      <c r="AD471" s="80">
        <f>IFERROR(__xludf.DUMMYFUNCTION("""COMPUTED_VALUE"""),1.0024361770232602)</f>
        <v>1.002436177</v>
      </c>
      <c r="AE471" s="80">
        <f>IFERROR(__xludf.DUMMYFUNCTION("""COMPUTED_VALUE"""),0.8586449859704175)</f>
        <v>0.858644986</v>
      </c>
      <c r="AF471" s="80">
        <f>IFERROR(__xludf.DUMMYFUNCTION("""COMPUTED_VALUE"""),1.2911536432756734)</f>
        <v>1.291153643</v>
      </c>
      <c r="AG471" s="80">
        <f>IFERROR(__xludf.DUMMYFUNCTION("""COMPUTED_VALUE"""),1.0232765895678448)</f>
        <v>1.02327659</v>
      </c>
      <c r="AH471" s="80">
        <f>IFERROR(__xludf.DUMMYFUNCTION("""COMPUTED_VALUE"""),0.9619311076604536)</f>
        <v>0.9619311077</v>
      </c>
      <c r="AI471" s="80">
        <f>IFERROR(__xludf.DUMMYFUNCTION("""COMPUTED_VALUE"""),0.9453973254104909)</f>
        <v>0.9453973254</v>
      </c>
      <c r="AJ471" s="80">
        <f>IFERROR(__xludf.DUMMYFUNCTION("""COMPUTED_VALUE"""),0.909875250557128)</f>
        <v>0.9098752506</v>
      </c>
      <c r="AK471" s="80">
        <f>IFERROR(__xludf.DUMMYFUNCTION("""COMPUTED_VALUE"""),0.9509965816559504)</f>
        <v>0.9509965817</v>
      </c>
      <c r="AL471" s="80">
        <f>IFERROR(__xludf.DUMMYFUNCTION("""COMPUTED_VALUE"""),0.9309957911142629)</f>
        <v>0.9309957911</v>
      </c>
      <c r="AM471" s="80">
        <f>IFERROR(__xludf.DUMMYFUNCTION("""COMPUTED_VALUE"""),1.0536482166760164)</f>
        <v>1.053648217</v>
      </c>
      <c r="AN471" s="80">
        <f>IFERROR(__xludf.DUMMYFUNCTION("""COMPUTED_VALUE"""),1.0678622678335181)</f>
        <v>1.067862268</v>
      </c>
      <c r="AO471" s="80">
        <f>IFERROR(__xludf.DUMMYFUNCTION("""COMPUTED_VALUE"""),0.9871941593263576)</f>
        <v>0.9871941593</v>
      </c>
      <c r="AP471" s="80">
        <f>IFERROR(__xludf.DUMMYFUNCTION("""COMPUTED_VALUE"""),1.3795364534421681)</f>
        <v>1.379536453</v>
      </c>
      <c r="AQ471" s="80">
        <f>IFERROR(__xludf.DUMMYFUNCTION("""COMPUTED_VALUE"""),1.0765482993758178)</f>
        <v>1.076548299</v>
      </c>
      <c r="AR471" s="80">
        <f>IFERROR(__xludf.DUMMYFUNCTION("""COMPUTED_VALUE"""),1.0333804773213744)</f>
        <v>1.033380477</v>
      </c>
      <c r="AS471" s="80">
        <f>IFERROR(__xludf.DUMMYFUNCTION("""COMPUTED_VALUE"""),97.0)</f>
        <v>97</v>
      </c>
      <c r="AT471" s="80">
        <f>IFERROR(__xludf.DUMMYFUNCTION("""COMPUTED_VALUE"""),0.6068208161147297)</f>
        <v>0.6068208161</v>
      </c>
      <c r="AU471" s="80">
        <f>IFERROR(__xludf.DUMMYFUNCTION("""COMPUTED_VALUE"""),3.5137057213696647)</f>
        <v>3.513705721</v>
      </c>
      <c r="AV471" s="80">
        <f>IFERROR(__xludf.DUMMYFUNCTION("""COMPUTED_VALUE"""),61.86558133988975)</f>
        <v>61.86558134</v>
      </c>
      <c r="AW471" s="82">
        <f t="shared" si="1"/>
        <v>3.1493309</v>
      </c>
      <c r="AX471" s="83">
        <f t="array" ref="AX471">IFERROR(DGET('SBV Import'!A:G,"SBV",{"RSC ID","Tier";B471,A471}))</f>
        <v>54.0082998</v>
      </c>
      <c r="AY471" s="82">
        <f t="shared" si="2"/>
        <v>2.291949544</v>
      </c>
      <c r="AZ471" s="82">
        <v>0.8573813559358521</v>
      </c>
      <c r="BA471" s="84">
        <v>450.0</v>
      </c>
      <c r="BB471" s="84" t="b">
        <f>IFERROR(__xludf.DUMMYFUNCTION("iferror(if(A471="""",,E471&gt;=FILTER(Constants!$F$2:$F$10,Constants!$A$2:$A$10=A471)))"),TRUE)</f>
        <v>1</v>
      </c>
    </row>
    <row r="472">
      <c r="A472" s="80" t="str">
        <f>IFERROR(__xludf.DUMMYFUNCTION("""COMPUTED_VALUE"""),"Master")</f>
        <v>Master</v>
      </c>
      <c r="B472" s="80" t="str">
        <f>IFERROR(__xludf.DUMMYFUNCTION("""COMPUTED_VALUE"""),"RSC006405")</f>
        <v>RSC006405</v>
      </c>
      <c r="C472" s="80" t="str">
        <f>IFERROR(__xludf.DUMMYFUNCTION("""COMPUTED_VALUE"""),"Lil Panda")</f>
        <v>Lil Panda</v>
      </c>
      <c r="D472" s="80" t="str">
        <f>IFERROR(__xludf.DUMMYFUNCTION("""COMPUTED_VALUE"""),"Helicoprions")</f>
        <v>Helicoprions</v>
      </c>
      <c r="E472" s="80">
        <f>IFERROR(__xludf.DUMMYFUNCTION("""COMPUTED_VALUE"""),35.0)</f>
        <v>35</v>
      </c>
      <c r="F472" s="80">
        <f>IFERROR(__xludf.DUMMYFUNCTION("""COMPUTED_VALUE"""),23.0)</f>
        <v>23</v>
      </c>
      <c r="G472" s="80">
        <f>IFERROR(__xludf.DUMMYFUNCTION("""COMPUTED_VALUE"""),12.0)</f>
        <v>12</v>
      </c>
      <c r="H472" s="81">
        <f>IFERROR(__xludf.DUMMYFUNCTION("""COMPUTED_VALUE"""),0.6571428571428571)</f>
        <v>0.6571428571</v>
      </c>
      <c r="I472" s="81">
        <f>IFERROR(__xludf.DUMMYFUNCTION("""COMPUTED_VALUE"""),0.4111111111111111)</f>
        <v>0.4111111111</v>
      </c>
      <c r="J472" s="80">
        <f>IFERROR(__xludf.DUMMYFUNCTION("""COMPUTED_VALUE"""),383.22857142857146)</f>
        <v>383.2285714</v>
      </c>
      <c r="K472" s="80">
        <f>IFERROR(__xludf.DUMMYFUNCTION("""COMPUTED_VALUE"""),1.0571428571428572)</f>
        <v>1.057142857</v>
      </c>
      <c r="L472" s="80">
        <f>IFERROR(__xludf.DUMMYFUNCTION("""COMPUTED_VALUE"""),0.6571428571428571)</f>
        <v>0.6571428571</v>
      </c>
      <c r="M472" s="80">
        <f>IFERROR(__xludf.DUMMYFUNCTION("""COMPUTED_VALUE"""),1.2571428571428571)</f>
        <v>1.257142857</v>
      </c>
      <c r="N472" s="80">
        <f>IFERROR(__xludf.DUMMYFUNCTION("""COMPUTED_VALUE"""),2.5714285714285716)</f>
        <v>2.571428571</v>
      </c>
      <c r="O472" s="80">
        <f>IFERROR(__xludf.DUMMYFUNCTION("""COMPUTED_VALUE"""),372.4952380952381)</f>
        <v>372.4952381</v>
      </c>
      <c r="P472" s="80">
        <f>IFERROR(__xludf.DUMMYFUNCTION("""COMPUTED_VALUE"""),0.7333333333333331)</f>
        <v>0.7333333333</v>
      </c>
      <c r="Q472" s="80">
        <f>IFERROR(__xludf.DUMMYFUNCTION("""COMPUTED_VALUE"""),0.561904761904762)</f>
        <v>0.5619047619</v>
      </c>
      <c r="R472" s="80">
        <f>IFERROR(__xludf.DUMMYFUNCTION("""COMPUTED_VALUE"""),1.5809523809523809)</f>
        <v>1.580952381</v>
      </c>
      <c r="S472" s="80">
        <f>IFERROR(__xludf.DUMMYFUNCTION("""COMPUTED_VALUE"""),2.504761904761905)</f>
        <v>2.504761905</v>
      </c>
      <c r="T472" s="80">
        <f>IFERROR(__xludf.DUMMYFUNCTION("""COMPUTED_VALUE"""),374.0767662865946)</f>
        <v>374.0767663</v>
      </c>
      <c r="U472" s="80">
        <f>IFERROR(__xludf.DUMMYFUNCTION("""COMPUTED_VALUE"""),0.7973390590766668)</f>
        <v>0.7973390591</v>
      </c>
      <c r="V472" s="80">
        <f>IFERROR(__xludf.DUMMYFUNCTION("""COMPUTED_VALUE"""),0.6143968989952298)</f>
        <v>0.614396899</v>
      </c>
      <c r="W472" s="80">
        <f>IFERROR(__xludf.DUMMYFUNCTION("""COMPUTED_VALUE"""),1.5314778568257403)</f>
        <v>1.531477857</v>
      </c>
      <c r="X472" s="80">
        <f>IFERROR(__xludf.DUMMYFUNCTION("""COMPUTED_VALUE"""),2.751728177795922)</f>
        <v>2.751728178</v>
      </c>
      <c r="Y472" s="80">
        <f>IFERROR(__xludf.DUMMYFUNCTION("""COMPUTED_VALUE"""),395.504728291902)</f>
        <v>395.5047283</v>
      </c>
      <c r="Z472" s="80">
        <f>IFERROR(__xludf.DUMMYFUNCTION("""COMPUTED_VALUE"""),0.9101118356915562)</f>
        <v>0.9101118357</v>
      </c>
      <c r="AA472" s="80">
        <f>IFERROR(__xludf.DUMMYFUNCTION("""COMPUTED_VALUE"""),0.7049911395382499)</f>
        <v>0.7049911395</v>
      </c>
      <c r="AB472" s="80">
        <f>IFERROR(__xludf.DUMMYFUNCTION("""COMPUTED_VALUE"""),1.5231041295751306)</f>
        <v>1.52310413</v>
      </c>
      <c r="AC472" s="80">
        <f>IFERROR(__xludf.DUMMYFUNCTION("""COMPUTED_VALUE"""),2.91057556584602)</f>
        <v>2.910575566</v>
      </c>
      <c r="AD472" s="80">
        <f>IFERROR(__xludf.DUMMYFUNCTION("""COMPUTED_VALUE"""),0.9689607835629461)</f>
        <v>0.9689607836</v>
      </c>
      <c r="AE472" s="80">
        <f>IFERROR(__xludf.DUMMYFUNCTION("""COMPUTED_VALUE"""),1.1615526968062977)</f>
        <v>1.161552697</v>
      </c>
      <c r="AF472" s="80">
        <f>IFERROR(__xludf.DUMMYFUNCTION("""COMPUTED_VALUE"""),0.9321292428912907)</f>
        <v>0.9321292429</v>
      </c>
      <c r="AG472" s="80">
        <f>IFERROR(__xludf.DUMMYFUNCTION("""COMPUTED_VALUE"""),0.8253820817185603)</f>
        <v>0.8253820817</v>
      </c>
      <c r="AH472" s="80">
        <f>IFERROR(__xludf.DUMMYFUNCTION("""COMPUTED_VALUE"""),0.8834776879194792)</f>
        <v>0.8834776879</v>
      </c>
      <c r="AI472" s="80">
        <f>IFERROR(__xludf.DUMMYFUNCTION("""COMPUTED_VALUE"""),0.9957721827873565)</f>
        <v>0.9957721828</v>
      </c>
      <c r="AJ472" s="80">
        <f>IFERROR(__xludf.DUMMYFUNCTION("""COMPUTED_VALUE"""),0.919725836813446)</f>
        <v>0.9197258368</v>
      </c>
      <c r="AK472" s="80">
        <f>IFERROR(__xludf.DUMMYFUNCTION("""COMPUTED_VALUE"""),0.9145631477367282)</f>
        <v>0.9145631477</v>
      </c>
      <c r="AL472" s="80">
        <f>IFERROR(__xludf.DUMMYFUNCTION("""COMPUTED_VALUE"""),1.0323050861663683)</f>
        <v>1.032305086</v>
      </c>
      <c r="AM472" s="80">
        <f>IFERROR(__xludf.DUMMYFUNCTION("""COMPUTED_VALUE"""),0.9102504836681101)</f>
        <v>0.9102504837</v>
      </c>
      <c r="AN472" s="80">
        <f>IFERROR(__xludf.DUMMYFUNCTION("""COMPUTED_VALUE"""),1.039067933806444)</f>
        <v>1.039067934</v>
      </c>
      <c r="AO472" s="80">
        <f>IFERROR(__xludf.DUMMYFUNCTION("""COMPUTED_VALUE"""),1.3775589354714086)</f>
        <v>1.377558935</v>
      </c>
      <c r="AP472" s="80">
        <f>IFERROR(__xludf.DUMMYFUNCTION("""COMPUTED_VALUE"""),1.0315942543473948)</f>
        <v>1.031594254</v>
      </c>
      <c r="AQ472" s="80">
        <f>IFERROR(__xludf.DUMMYFUNCTION("""COMPUTED_VALUE"""),0.8588725992822458)</f>
        <v>0.8588725993</v>
      </c>
      <c r="AR472" s="80">
        <f>IFERROR(__xludf.DUMMYFUNCTION("""COMPUTED_VALUE"""),0.9531490738026343)</f>
        <v>0.9531490738</v>
      </c>
      <c r="AS472" s="80">
        <f>IFERROR(__xludf.DUMMYFUNCTION("""COMPUTED_VALUE"""),94.0)</f>
        <v>94</v>
      </c>
      <c r="AT472" s="80">
        <f>IFERROR(__xludf.DUMMYFUNCTION("""COMPUTED_VALUE"""),0.5779870660702063)</f>
        <v>0.5779870661</v>
      </c>
      <c r="AU472" s="80">
        <f>IFERROR(__xludf.DUMMYFUNCTION("""COMPUTED_VALUE"""),3.4980787281417864)</f>
        <v>3.498078728</v>
      </c>
      <c r="AV472" s="80">
        <f>IFERROR(__xludf.DUMMYFUNCTION("""COMPUTED_VALUE"""),61.483741926399446)</f>
        <v>61.48374193</v>
      </c>
      <c r="AW472" s="82">
        <f t="shared" si="1"/>
        <v>3.096056326</v>
      </c>
      <c r="AX472" s="83">
        <f t="array" ref="AX472">IFERROR(DGET('SBV Import'!A:G,"SBV",{"RSC ID","Tier";B472,A472}))</f>
        <v>54.09269804</v>
      </c>
      <c r="AY472" s="82">
        <f t="shared" si="2"/>
        <v>2.298953416</v>
      </c>
      <c r="AZ472" s="82">
        <v>0.7971029100537845</v>
      </c>
      <c r="BA472" s="84">
        <v>450.0</v>
      </c>
      <c r="BB472" s="84" t="b">
        <f>IFERROR(__xludf.DUMMYFUNCTION("iferror(if(A472="""",,E472&gt;=FILTER(Constants!$F$2:$F$10,Constants!$A$2:$A$10=A472)))"),TRUE)</f>
        <v>1</v>
      </c>
    </row>
    <row r="473">
      <c r="A473" s="80" t="str">
        <f>IFERROR(__xludf.DUMMYFUNCTION("""COMPUTED_VALUE"""),"Master")</f>
        <v>Master</v>
      </c>
      <c r="B473" s="80" t="str">
        <f>IFERROR(__xludf.DUMMYFUNCTION("""COMPUTED_VALUE"""),"RSC002959")</f>
        <v>RSC002959</v>
      </c>
      <c r="C473" s="80" t="str">
        <f>IFERROR(__xludf.DUMMYFUNCTION("""COMPUTED_VALUE"""),"JACKS0NTHEBOSS")</f>
        <v>JACKS0NTHEBOSS</v>
      </c>
      <c r="D473" s="80" t="str">
        <f>IFERROR(__xludf.DUMMYFUNCTION("""COMPUTED_VALUE"""),"Andromeda")</f>
        <v>Andromeda</v>
      </c>
      <c r="E473" s="80">
        <f>IFERROR(__xludf.DUMMYFUNCTION("""COMPUTED_VALUE"""),35.0)</f>
        <v>35</v>
      </c>
      <c r="F473" s="80">
        <f>IFERROR(__xludf.DUMMYFUNCTION("""COMPUTED_VALUE"""),18.0)</f>
        <v>18</v>
      </c>
      <c r="G473" s="80">
        <f>IFERROR(__xludf.DUMMYFUNCTION("""COMPUTED_VALUE"""),17.0)</f>
        <v>17</v>
      </c>
      <c r="H473" s="81">
        <f>IFERROR(__xludf.DUMMYFUNCTION("""COMPUTED_VALUE"""),0.5142857142857142)</f>
        <v>0.5142857143</v>
      </c>
      <c r="I473" s="81">
        <f>IFERROR(__xludf.DUMMYFUNCTION("""COMPUTED_VALUE"""),0.27722772277227725)</f>
        <v>0.2772277228</v>
      </c>
      <c r="J473" s="80">
        <f>IFERROR(__xludf.DUMMYFUNCTION("""COMPUTED_VALUE"""),403.0571428571429)</f>
        <v>403.0571429</v>
      </c>
      <c r="K473" s="80">
        <f>IFERROR(__xludf.DUMMYFUNCTION("""COMPUTED_VALUE"""),0.8)</f>
        <v>0.8</v>
      </c>
      <c r="L473" s="80">
        <f>IFERROR(__xludf.DUMMYFUNCTION("""COMPUTED_VALUE"""),0.8285714285714286)</f>
        <v>0.8285714286</v>
      </c>
      <c r="M473" s="80">
        <f>IFERROR(__xludf.DUMMYFUNCTION("""COMPUTED_VALUE"""),1.6571428571428573)</f>
        <v>1.657142857</v>
      </c>
      <c r="N473" s="80">
        <f>IFERROR(__xludf.DUMMYFUNCTION("""COMPUTED_VALUE"""),2.8857142857142857)</f>
        <v>2.885714286</v>
      </c>
      <c r="O473" s="80">
        <f>IFERROR(__xludf.DUMMYFUNCTION("""COMPUTED_VALUE"""),355.66666666666674)</f>
        <v>355.6666667</v>
      </c>
      <c r="P473" s="80">
        <f>IFERROR(__xludf.DUMMYFUNCTION("""COMPUTED_VALUE"""),0.761904761904762)</f>
        <v>0.7619047619</v>
      </c>
      <c r="Q473" s="80">
        <f>IFERROR(__xludf.DUMMYFUNCTION("""COMPUTED_VALUE"""),0.5904761904761905)</f>
        <v>0.5904761905</v>
      </c>
      <c r="R473" s="80">
        <f>IFERROR(__xludf.DUMMYFUNCTION("""COMPUTED_VALUE"""),1.3714285714285717)</f>
        <v>1.371428571</v>
      </c>
      <c r="S473" s="80">
        <f>IFERROR(__xludf.DUMMYFUNCTION("""COMPUTED_VALUE"""),2.8380952380952373)</f>
        <v>2.838095238</v>
      </c>
      <c r="T473" s="80">
        <f>IFERROR(__xludf.DUMMYFUNCTION("""COMPUTED_VALUE"""),378.13491640727955)</f>
        <v>378.1349164</v>
      </c>
      <c r="U473" s="80">
        <f>IFERROR(__xludf.DUMMYFUNCTION("""COMPUTED_VALUE"""),0.8376955420455099)</f>
        <v>0.837695542</v>
      </c>
      <c r="V473" s="80">
        <f>IFERROR(__xludf.DUMMYFUNCTION("""COMPUTED_VALUE"""),0.6216022814281723)</f>
        <v>0.6216022814</v>
      </c>
      <c r="W473" s="80">
        <f>IFERROR(__xludf.DUMMYFUNCTION("""COMPUTED_VALUE"""),1.495011446940928)</f>
        <v>1.495011447</v>
      </c>
      <c r="X473" s="80">
        <f>IFERROR(__xludf.DUMMYFUNCTION("""COMPUTED_VALUE"""),2.7673442284904417)</f>
        <v>2.767344228</v>
      </c>
      <c r="Y473" s="80">
        <f>IFERROR(__xludf.DUMMYFUNCTION("""COMPUTED_VALUE"""),394.4721138780255)</f>
        <v>394.4721139</v>
      </c>
      <c r="Z473" s="80">
        <f>IFERROR(__xludf.DUMMYFUNCTION("""COMPUTED_VALUE"""),0.9235478031615677)</f>
        <v>0.9235478032</v>
      </c>
      <c r="AA473" s="80">
        <f>IFERROR(__xludf.DUMMYFUNCTION("""COMPUTED_VALUE"""),0.7263315128751158)</f>
        <v>0.7263315129</v>
      </c>
      <c r="AB473" s="80">
        <f>IFERROR(__xludf.DUMMYFUNCTION("""COMPUTED_VALUE"""),1.4943880276615396)</f>
        <v>1.494388028</v>
      </c>
      <c r="AC473" s="80">
        <f>IFERROR(__xludf.DUMMYFUNCTION("""COMPUTED_VALUE"""),2.9670865299873705)</f>
        <v>2.96708653</v>
      </c>
      <c r="AD473" s="80">
        <f>IFERROR(__xludf.DUMMYFUNCTION("""COMPUTED_VALUE"""),1.0217633355491689)</f>
        <v>1.021763336</v>
      </c>
      <c r="AE473" s="80">
        <f>IFERROR(__xludf.DUMMYFUNCTION("""COMPUTED_VALUE"""),0.8662247879983817)</f>
        <v>0.866224788</v>
      </c>
      <c r="AF473" s="80">
        <f>IFERROR(__xludf.DUMMYFUNCTION("""COMPUTED_VALUE"""),1.140762054081346)</f>
        <v>1.140762054</v>
      </c>
      <c r="AG473" s="80">
        <f>IFERROR(__xludf.DUMMYFUNCTION("""COMPUTED_VALUE"""),1.1089106888362863)</f>
        <v>1.108910689</v>
      </c>
      <c r="AH473" s="80">
        <f>IFERROR(__xludf.DUMMYFUNCTION("""COMPUTED_VALUE"""),0.9725750349877962)</f>
        <v>0.972575035</v>
      </c>
      <c r="AI473" s="80">
        <f>IFERROR(__xludf.DUMMYFUNCTION("""COMPUTED_VALUE"""),0.940581393662116)</f>
        <v>0.9405813937</v>
      </c>
      <c r="AJ473" s="80">
        <f>IFERROR(__xludf.DUMMYFUNCTION("""COMPUTED_VALUE"""),0.9095246705555102)</f>
        <v>0.9095246706</v>
      </c>
      <c r="AK473" s="80">
        <f>IFERROR(__xludf.DUMMYFUNCTION("""COMPUTED_VALUE"""),0.949926034890883)</f>
        <v>0.9499260349</v>
      </c>
      <c r="AL473" s="80">
        <f>IFERROR(__xludf.DUMMYFUNCTION("""COMPUTED_VALUE"""),0.9173365021617528)</f>
        <v>0.9173365022</v>
      </c>
      <c r="AM473" s="80">
        <f>IFERROR(__xludf.DUMMYFUNCTION("""COMPUTED_VALUE"""),1.0255663928167655)</f>
        <v>1.025566393</v>
      </c>
      <c r="AN473" s="80">
        <f>IFERROR(__xludf.DUMMYFUNCTION("""COMPUTED_VALUE"""),1.092830190278648)</f>
        <v>1.09283019</v>
      </c>
      <c r="AO473" s="80">
        <f>IFERROR(__xludf.DUMMYFUNCTION("""COMPUTED_VALUE"""),1.0424770322486336)</f>
        <v>1.042477032</v>
      </c>
      <c r="AP473" s="80">
        <f>IFERROR(__xludf.DUMMYFUNCTION("""COMPUTED_VALUE"""),1.3007057989597588)</f>
        <v>1.300705799</v>
      </c>
      <c r="AQ473" s="80">
        <f>IFERROR(__xludf.DUMMYFUNCTION("""COMPUTED_VALUE"""),1.132150244508415)</f>
        <v>1.132150245</v>
      </c>
      <c r="AR473" s="80">
        <f>IFERROR(__xludf.DUMMYFUNCTION("""COMPUTED_VALUE"""),1.069645071711845)</f>
        <v>1.069645072</v>
      </c>
      <c r="AS473" s="80">
        <f>IFERROR(__xludf.DUMMYFUNCTION("""COMPUTED_VALUE"""),93.0)</f>
        <v>93</v>
      </c>
      <c r="AT473" s="80">
        <f>IFERROR(__xludf.DUMMYFUNCTION("""COMPUTED_VALUE"""),0.5592668621090963)</f>
        <v>0.5592668621</v>
      </c>
      <c r="AU473" s="80">
        <f>IFERROR(__xludf.DUMMYFUNCTION("""COMPUTED_VALUE"""),3.491473453402742)</f>
        <v>3.491473453</v>
      </c>
      <c r="AV473" s="80">
        <f>IFERROR(__xludf.DUMMYFUNCTION("""COMPUTED_VALUE"""),61.32234464443228)</f>
        <v>61.32234464</v>
      </c>
      <c r="AW473" s="82">
        <f t="shared" si="1"/>
        <v>3.073966272</v>
      </c>
      <c r="AX473" s="83">
        <f t="array" ref="AX473">IFERROR(DGET('SBV Import'!A:G,"SBV",{"RSC ID","Tier";B473,A473}))</f>
        <v>62.35098397</v>
      </c>
      <c r="AY473" s="82">
        <f t="shared" si="2"/>
        <v>3.219168821</v>
      </c>
      <c r="AZ473" s="82">
        <v>0.14520254884011496</v>
      </c>
      <c r="BA473" s="84">
        <v>450.0</v>
      </c>
      <c r="BB473" s="84" t="b">
        <f>IFERROR(__xludf.DUMMYFUNCTION("iferror(if(A473="""",,E473&gt;=FILTER(Constants!$F$2:$F$10,Constants!$A$2:$A$10=A473)))"),TRUE)</f>
        <v>1</v>
      </c>
    </row>
    <row r="474">
      <c r="A474" s="80" t="str">
        <f>IFERROR(__xludf.DUMMYFUNCTION("""COMPUTED_VALUE"""),"Master")</f>
        <v>Master</v>
      </c>
      <c r="B474" s="80" t="str">
        <f>IFERROR(__xludf.DUMMYFUNCTION("""COMPUTED_VALUE"""),"RSC007282")</f>
        <v>RSC007282</v>
      </c>
      <c r="C474" s="80" t="str">
        <f>IFERROR(__xludf.DUMMYFUNCTION("""COMPUTED_VALUE"""),"kRs^^")</f>
        <v>kRs^^</v>
      </c>
      <c r="D474" s="80" t="str">
        <f>IFERROR(__xludf.DUMMYFUNCTION("""COMPUTED_VALUE"""),"Helicoprions")</f>
        <v>Helicoprions</v>
      </c>
      <c r="E474" s="80">
        <f>IFERROR(__xludf.DUMMYFUNCTION("""COMPUTED_VALUE"""),13.0)</f>
        <v>13</v>
      </c>
      <c r="F474" s="80">
        <f>IFERROR(__xludf.DUMMYFUNCTION("""COMPUTED_VALUE"""),7.0)</f>
        <v>7</v>
      </c>
      <c r="G474" s="80">
        <f>IFERROR(__xludf.DUMMYFUNCTION("""COMPUTED_VALUE"""),6.0)</f>
        <v>6</v>
      </c>
      <c r="H474" s="81">
        <f>IFERROR(__xludf.DUMMYFUNCTION("""COMPUTED_VALUE"""),0.5384615384615384)</f>
        <v>0.5384615385</v>
      </c>
      <c r="I474" s="81">
        <f>IFERROR(__xludf.DUMMYFUNCTION("""COMPUTED_VALUE"""),0.32558139534883723)</f>
        <v>0.3255813953</v>
      </c>
      <c r="J474" s="80">
        <f>IFERROR(__xludf.DUMMYFUNCTION("""COMPUTED_VALUE"""),386.46153846153845)</f>
        <v>386.4615385</v>
      </c>
      <c r="K474" s="80">
        <f>IFERROR(__xludf.DUMMYFUNCTION("""COMPUTED_VALUE"""),1.0769230769230769)</f>
        <v>1.076923077</v>
      </c>
      <c r="L474" s="80">
        <f>IFERROR(__xludf.DUMMYFUNCTION("""COMPUTED_VALUE"""),0.5384615384615384)</f>
        <v>0.5384615385</v>
      </c>
      <c r="M474" s="80">
        <f>IFERROR(__xludf.DUMMYFUNCTION("""COMPUTED_VALUE"""),1.2307692307692308)</f>
        <v>1.230769231</v>
      </c>
      <c r="N474" s="80">
        <f>IFERROR(__xludf.DUMMYFUNCTION("""COMPUTED_VALUE"""),3.3076923076923075)</f>
        <v>3.307692308</v>
      </c>
      <c r="O474" s="80">
        <f>IFERROR(__xludf.DUMMYFUNCTION("""COMPUTED_VALUE"""),405.974358974359)</f>
        <v>405.974359</v>
      </c>
      <c r="P474" s="80">
        <f>IFERROR(__xludf.DUMMYFUNCTION("""COMPUTED_VALUE"""),0.9743589743589745)</f>
        <v>0.9743589744</v>
      </c>
      <c r="Q474" s="80">
        <f>IFERROR(__xludf.DUMMYFUNCTION("""COMPUTED_VALUE"""),0.769230769230769)</f>
        <v>0.7692307692</v>
      </c>
      <c r="R474" s="80">
        <f>IFERROR(__xludf.DUMMYFUNCTION("""COMPUTED_VALUE"""),1.358974358974359)</f>
        <v>1.358974359</v>
      </c>
      <c r="S474" s="80">
        <f>IFERROR(__xludf.DUMMYFUNCTION("""COMPUTED_VALUE"""),2.9999999999999996)</f>
        <v>3</v>
      </c>
      <c r="T474" s="80">
        <f>IFERROR(__xludf.DUMMYFUNCTION("""COMPUTED_VALUE"""),389.60664999145905)</f>
        <v>389.60665</v>
      </c>
      <c r="U474" s="80">
        <f>IFERROR(__xludf.DUMMYFUNCTION("""COMPUTED_VALUE"""),0.8654416471287446)</f>
        <v>0.8654416471</v>
      </c>
      <c r="V474" s="80">
        <f>IFERROR(__xludf.DUMMYFUNCTION("""COMPUTED_VALUE"""),0.66295316035152)</f>
        <v>0.6629531604</v>
      </c>
      <c r="W474" s="80">
        <f>IFERROR(__xludf.DUMMYFUNCTION("""COMPUTED_VALUE"""),1.5127754902624824)</f>
        <v>1.51277549</v>
      </c>
      <c r="X474" s="80">
        <f>IFERROR(__xludf.DUMMYFUNCTION("""COMPUTED_VALUE"""),2.9136211952201014)</f>
        <v>2.913621195</v>
      </c>
      <c r="Y474" s="80">
        <f>IFERROR(__xludf.DUMMYFUNCTION("""COMPUTED_VALUE"""),395.2315311388334)</f>
        <v>395.2315311</v>
      </c>
      <c r="Z474" s="80">
        <f>IFERROR(__xludf.DUMMYFUNCTION("""COMPUTED_VALUE"""),0.8757300555592586)</f>
        <v>0.8757300556</v>
      </c>
      <c r="AA474" s="80">
        <f>IFERROR(__xludf.DUMMYFUNCTION("""COMPUTED_VALUE"""),0.6821364300492382)</f>
        <v>0.68213643</v>
      </c>
      <c r="AB474" s="80">
        <f>IFERROR(__xludf.DUMMYFUNCTION("""COMPUTED_VALUE"""),1.5752064772995487)</f>
        <v>1.575206477</v>
      </c>
      <c r="AC474" s="80">
        <f>IFERROR(__xludf.DUMMYFUNCTION("""COMPUTED_VALUE"""),2.8725609333761133)</f>
        <v>2.872560933</v>
      </c>
      <c r="AD474" s="80">
        <f>IFERROR(__xludf.DUMMYFUNCTION("""COMPUTED_VALUE"""),0.9778104933783375)</f>
        <v>0.9778104934</v>
      </c>
      <c r="AE474" s="80">
        <f>IFERROR(__xludf.DUMMYFUNCTION("""COMPUTED_VALUE"""),1.2297431955048435)</f>
        <v>1.229743196</v>
      </c>
      <c r="AF474" s="80">
        <f>IFERROR(__xludf.DUMMYFUNCTION("""COMPUTED_VALUE"""),0.7893751377897689)</f>
        <v>0.7893751378</v>
      </c>
      <c r="AG474" s="80">
        <f>IFERROR(__xludf.DUMMYFUNCTION("""COMPUTED_VALUE"""),0.7813383505629033)</f>
        <v>0.7813383506</v>
      </c>
      <c r="AH474" s="80">
        <f>IFERROR(__xludf.DUMMYFUNCTION("""COMPUTED_VALUE"""),1.1514785532520577)</f>
        <v>1.151478553</v>
      </c>
      <c r="AI474" s="80">
        <f>IFERROR(__xludf.DUMMYFUNCTION("""COMPUTED_VALUE"""),1.0420108562912331)</f>
        <v>1.042010856</v>
      </c>
      <c r="AJ474" s="80">
        <f>IFERROR(__xludf.DUMMYFUNCTION("""COMPUTED_VALUE"""),1.125851728526796)</f>
        <v>1.125851729</v>
      </c>
      <c r="AK474" s="80">
        <f>IFERROR(__xludf.DUMMYFUNCTION("""COMPUTED_VALUE"""),1.1603093781510856)</f>
        <v>1.160309378</v>
      </c>
      <c r="AL474" s="80">
        <f>IFERROR(__xludf.DUMMYFUNCTION("""COMPUTED_VALUE"""),0.8983318197061501)</f>
        <v>0.8983318197</v>
      </c>
      <c r="AM474" s="80">
        <f>IFERROR(__xludf.DUMMYFUNCTION("""COMPUTED_VALUE"""),1.0296465459963038)</f>
        <v>1.029646546</v>
      </c>
      <c r="AN474" s="80">
        <f>IFERROR(__xludf.DUMMYFUNCTION("""COMPUTED_VALUE"""),1.047833648644685)</f>
        <v>1.047833649</v>
      </c>
      <c r="AO474" s="80">
        <f>IFERROR(__xludf.DUMMYFUNCTION("""COMPUTED_VALUE"""),1.4033344664885452)</f>
        <v>1.403334466</v>
      </c>
      <c r="AP474" s="80">
        <f>IFERROR(__xludf.DUMMYFUNCTION("""COMPUTED_VALUE"""),0.8452862619234505)</f>
        <v>0.8452862619</v>
      </c>
      <c r="AQ474" s="80">
        <f>IFERROR(__xludf.DUMMYFUNCTION("""COMPUTED_VALUE"""),0.8408542930035974)</f>
        <v>0.840854293</v>
      </c>
      <c r="AR474" s="80">
        <f>IFERROR(__xludf.DUMMYFUNCTION("""COMPUTED_VALUE"""),1.2260592786948412)</f>
        <v>1.226059279</v>
      </c>
      <c r="AS474" s="80">
        <f>IFERROR(__xludf.DUMMYFUNCTION("""COMPUTED_VALUE"""),34.0)</f>
        <v>34</v>
      </c>
      <c r="AT474" s="80">
        <f>IFERROR(__xludf.DUMMYFUNCTION("""COMPUTED_VALUE"""),0.4546785367468546)</f>
        <v>0.4546785367</v>
      </c>
      <c r="AU474" s="80">
        <f>IFERROR(__xludf.DUMMYFUNCTION("""COMPUTED_VALUE"""),3.438926187731884)</f>
        <v>3.438926188</v>
      </c>
      <c r="AV474" s="80">
        <f>IFERROR(__xludf.DUMMYFUNCTION("""COMPUTED_VALUE"""),60.03837294164275)</f>
        <v>60.03837294</v>
      </c>
      <c r="AW474" s="82">
        <f t="shared" si="1"/>
        <v>2.906865474</v>
      </c>
      <c r="AX474" s="83">
        <f t="array" ref="AX474">IFERROR(DGET('SBV Import'!A:G,"SBV",{"RSC ID","Tier";B474,A474}))</f>
        <v>54.48617888</v>
      </c>
      <c r="AY474" s="82">
        <f t="shared" si="2"/>
        <v>2.33212597</v>
      </c>
      <c r="AZ474" s="82">
        <v>0.5747395038229284</v>
      </c>
      <c r="BA474" s="84">
        <v>450.0</v>
      </c>
      <c r="BB474" s="84" t="b">
        <f>IFERROR(__xludf.DUMMYFUNCTION("iferror(if(A474="""",,E474&gt;=FILTER(Constants!$F$2:$F$10,Constants!$A$2:$A$10=A474)))"),TRUE)</f>
        <v>1</v>
      </c>
    </row>
    <row r="475">
      <c r="A475" s="80" t="str">
        <f>IFERROR(__xludf.DUMMYFUNCTION("""COMPUTED_VALUE"""),"Master")</f>
        <v>Master</v>
      </c>
      <c r="B475" s="80" t="str">
        <f>IFERROR(__xludf.DUMMYFUNCTION("""COMPUTED_VALUE"""),"RSC004730")</f>
        <v>RSC004730</v>
      </c>
      <c r="C475" s="80" t="str">
        <f>IFERROR(__xludf.DUMMYFUNCTION("""COMPUTED_VALUE"""),"SgtPickle")</f>
        <v>SgtPickle</v>
      </c>
      <c r="D475" s="80" t="str">
        <f>IFERROR(__xludf.DUMMYFUNCTION("""COMPUTED_VALUE"""),"Lemurs")</f>
        <v>Lemurs</v>
      </c>
      <c r="E475" s="80">
        <f>IFERROR(__xludf.DUMMYFUNCTION("""COMPUTED_VALUE"""),20.0)</f>
        <v>20</v>
      </c>
      <c r="F475" s="80">
        <f>IFERROR(__xludf.DUMMYFUNCTION("""COMPUTED_VALUE"""),12.0)</f>
        <v>12</v>
      </c>
      <c r="G475" s="80">
        <f>IFERROR(__xludf.DUMMYFUNCTION("""COMPUTED_VALUE"""),8.0)</f>
        <v>8</v>
      </c>
      <c r="H475" s="81">
        <f>IFERROR(__xludf.DUMMYFUNCTION("""COMPUTED_VALUE"""),0.6)</f>
        <v>0.6</v>
      </c>
      <c r="I475" s="81">
        <f>IFERROR(__xludf.DUMMYFUNCTION("""COMPUTED_VALUE"""),0.30434782608695654)</f>
        <v>0.3043478261</v>
      </c>
      <c r="J475" s="80">
        <f>IFERROR(__xludf.DUMMYFUNCTION("""COMPUTED_VALUE"""),412.35)</f>
        <v>412.35</v>
      </c>
      <c r="K475" s="80">
        <f>IFERROR(__xludf.DUMMYFUNCTION("""COMPUTED_VALUE"""),1.05)</f>
        <v>1.05</v>
      </c>
      <c r="L475" s="80">
        <f>IFERROR(__xludf.DUMMYFUNCTION("""COMPUTED_VALUE"""),0.5)</f>
        <v>0.5</v>
      </c>
      <c r="M475" s="80">
        <f>IFERROR(__xludf.DUMMYFUNCTION("""COMPUTED_VALUE"""),1.6)</f>
        <v>1.6</v>
      </c>
      <c r="N475" s="80">
        <f>IFERROR(__xludf.DUMMYFUNCTION("""COMPUTED_VALUE"""),3.45)</f>
        <v>3.45</v>
      </c>
      <c r="O475" s="80">
        <f>IFERROR(__xludf.DUMMYFUNCTION("""COMPUTED_VALUE"""),442.3166666666666)</f>
        <v>442.3166667</v>
      </c>
      <c r="P475" s="80">
        <f>IFERROR(__xludf.DUMMYFUNCTION("""COMPUTED_VALUE"""),1.0166666666666666)</f>
        <v>1.016666667</v>
      </c>
      <c r="Q475" s="80">
        <f>IFERROR(__xludf.DUMMYFUNCTION("""COMPUTED_VALUE"""),0.8333333333333334)</f>
        <v>0.8333333333</v>
      </c>
      <c r="R475" s="80">
        <f>IFERROR(__xludf.DUMMYFUNCTION("""COMPUTED_VALUE"""),1.7)</f>
        <v>1.7</v>
      </c>
      <c r="S475" s="80">
        <f>IFERROR(__xludf.DUMMYFUNCTION("""COMPUTED_VALUE"""),2.85)</f>
        <v>2.85</v>
      </c>
      <c r="T475" s="80">
        <f>IFERROR(__xludf.DUMMYFUNCTION("""COMPUTED_VALUE"""),392.2879791690855)</f>
        <v>392.2879792</v>
      </c>
      <c r="U475" s="80">
        <f>IFERROR(__xludf.DUMMYFUNCTION("""COMPUTED_VALUE"""),0.8800264429323338)</f>
        <v>0.8800264429</v>
      </c>
      <c r="V475" s="80">
        <f>IFERROR(__xludf.DUMMYFUNCTION("""COMPUTED_VALUE"""),0.6890812648930467)</f>
        <v>0.6890812649</v>
      </c>
      <c r="W475" s="80">
        <f>IFERROR(__xludf.DUMMYFUNCTION("""COMPUTED_VALUE"""),1.533083190622702)</f>
        <v>1.533083191</v>
      </c>
      <c r="X475" s="80">
        <f>IFERROR(__xludf.DUMMYFUNCTION("""COMPUTED_VALUE"""),2.787244097032172)</f>
        <v>2.787244097</v>
      </c>
      <c r="Y475" s="80">
        <f>IFERROR(__xludf.DUMMYFUNCTION("""COMPUTED_VALUE"""),393.94731079380733)</f>
        <v>393.9473108</v>
      </c>
      <c r="Z475" s="80">
        <f>IFERROR(__xludf.DUMMYFUNCTION("""COMPUTED_VALUE"""),0.8894064619926688)</f>
        <v>0.889406462</v>
      </c>
      <c r="AA475" s="80">
        <f>IFERROR(__xludf.DUMMYFUNCTION("""COMPUTED_VALUE"""),0.6786888239031439)</f>
        <v>0.6786888239</v>
      </c>
      <c r="AB475" s="80">
        <f>IFERROR(__xludf.DUMMYFUNCTION("""COMPUTED_VALUE"""),1.5298149703106598)</f>
        <v>1.52981497</v>
      </c>
      <c r="AC475" s="80">
        <f>IFERROR(__xludf.DUMMYFUNCTION("""COMPUTED_VALUE"""),2.88150327048076)</f>
        <v>2.88150327</v>
      </c>
      <c r="AD475" s="80">
        <f>IFERROR(__xludf.DUMMYFUNCTION("""COMPUTED_VALUE"""),1.0467135799686285)</f>
        <v>1.04671358</v>
      </c>
      <c r="AE475" s="80">
        <f>IFERROR(__xludf.DUMMYFUNCTION("""COMPUTED_VALUE"""),1.1805625941231974)</f>
        <v>1.180562594</v>
      </c>
      <c r="AF475" s="80">
        <f>IFERROR(__xludf.DUMMYFUNCTION("""COMPUTED_VALUE"""),0.7367146509419393)</f>
        <v>0.7367146509</v>
      </c>
      <c r="AG475" s="80">
        <f>IFERROR(__xludf.DUMMYFUNCTION("""COMPUTED_VALUE"""),1.0458781166686373)</f>
        <v>1.045878117</v>
      </c>
      <c r="AH475" s="80">
        <f>IFERROR(__xludf.DUMMYFUNCTION("""COMPUTED_VALUE"""),1.1972917176055782)</f>
        <v>1.197291718</v>
      </c>
      <c r="AI475" s="80">
        <f>IFERROR(__xludf.DUMMYFUNCTION("""COMPUTED_VALUE"""),1.127530513689326)</f>
        <v>1.127530514</v>
      </c>
      <c r="AJ475" s="80">
        <f>IFERROR(__xludf.DUMMYFUNCTION("""COMPUTED_VALUE"""),1.1552683158917751)</f>
        <v>1.155268316</v>
      </c>
      <c r="AK475" s="80">
        <f>IFERROR(__xludf.DUMMYFUNCTION("""COMPUTED_VALUE"""),1.2093397046031664)</f>
        <v>1.209339705</v>
      </c>
      <c r="AL475" s="80">
        <f>IFERROR(__xludf.DUMMYFUNCTION("""COMPUTED_VALUE"""),1.108876550469189)</f>
        <v>1.10887655</v>
      </c>
      <c r="AM475" s="80">
        <f>IFERROR(__xludf.DUMMYFUNCTION("""COMPUTED_VALUE"""),1.0225153954168025)</f>
        <v>1.022515395</v>
      </c>
      <c r="AN475" s="80">
        <f>IFERROR(__xludf.DUMMYFUNCTION("""COMPUTED_VALUE"""),1.118026406298222)</f>
        <v>1.118026406</v>
      </c>
      <c r="AO475" s="80">
        <f>IFERROR(__xludf.DUMMYFUNCTION("""COMPUTED_VALUE"""),1.3682511048263317)</f>
        <v>1.368251105</v>
      </c>
      <c r="AP475" s="80">
        <f>IFERROR(__xludf.DUMMYFUNCTION("""COMPUTED_VALUE"""),0.7849086717860613)</f>
        <v>0.7849086718</v>
      </c>
      <c r="AQ475" s="80">
        <f>IFERROR(__xludf.DUMMYFUNCTION("""COMPUTED_VALUE"""),1.0931105809046766)</f>
        <v>1.093110581</v>
      </c>
      <c r="AR475" s="80">
        <f>IFERROR(__xludf.DUMMYFUNCTION("""COMPUTED_VALUE"""),1.2788083406852009)</f>
        <v>1.278808341</v>
      </c>
      <c r="AS475" s="80">
        <f>IFERROR(__xludf.DUMMYFUNCTION("""COMPUTED_VALUE"""),60.0)</f>
        <v>60</v>
      </c>
      <c r="AT475" s="80">
        <f>IFERROR(__xludf.DUMMYFUNCTION("""COMPUTED_VALUE"""),0.49307323380394374)</f>
        <v>0.4930732338</v>
      </c>
      <c r="AU475" s="80">
        <f>IFERROR(__xludf.DUMMYFUNCTION("""COMPUTED_VALUE"""),3.4039619115160793)</f>
        <v>3.403961912</v>
      </c>
      <c r="AV475" s="80">
        <f>IFERROR(__xludf.DUMMYFUNCTION("""COMPUTED_VALUE"""),59.18403464836581)</f>
        <v>59.18403465</v>
      </c>
      <c r="AW475" s="82">
        <f t="shared" si="1"/>
        <v>2.803674892</v>
      </c>
      <c r="AX475" s="83">
        <f t="array" ref="AX475">IFERROR(DGET('SBV Import'!A:G,"SBV",{"RSC ID","Tier";B475,A475}))</f>
        <v>47.9151371</v>
      </c>
      <c r="AY475" s="82">
        <f t="shared" si="2"/>
        <v>-2.142387694</v>
      </c>
      <c r="AZ475" s="82">
        <v>4.946062586435239</v>
      </c>
      <c r="BA475" s="84">
        <v>450.0</v>
      </c>
      <c r="BB475" s="84" t="b">
        <f>IFERROR(__xludf.DUMMYFUNCTION("iferror(if(A475="""",,E475&gt;=FILTER(Constants!$F$2:$F$10,Constants!$A$2:$A$10=A475)))"),TRUE)</f>
        <v>1</v>
      </c>
    </row>
    <row r="476">
      <c r="A476" s="80" t="str">
        <f>IFERROR(__xludf.DUMMYFUNCTION("""COMPUTED_VALUE"""),"Master")</f>
        <v>Master</v>
      </c>
      <c r="B476" s="80" t="str">
        <f>IFERROR(__xludf.DUMMYFUNCTION("""COMPUTED_VALUE"""),"RSC005349")</f>
        <v>RSC005349</v>
      </c>
      <c r="C476" s="80" t="str">
        <f>IFERROR(__xludf.DUMMYFUNCTION("""COMPUTED_VALUE"""),"Rzemb1e")</f>
        <v>Rzemb1e</v>
      </c>
      <c r="D476" s="80" t="str">
        <f>IFERROR(__xludf.DUMMYFUNCTION("""COMPUTED_VALUE"""),"Heinous Henchmen")</f>
        <v>Heinous Henchmen</v>
      </c>
      <c r="E476" s="80">
        <f>IFERROR(__xludf.DUMMYFUNCTION("""COMPUTED_VALUE"""),36.0)</f>
        <v>36</v>
      </c>
      <c r="F476" s="80">
        <f>IFERROR(__xludf.DUMMYFUNCTION("""COMPUTED_VALUE"""),13.0)</f>
        <v>13</v>
      </c>
      <c r="G476" s="80">
        <f>IFERROR(__xludf.DUMMYFUNCTION("""COMPUTED_VALUE"""),23.0)</f>
        <v>23</v>
      </c>
      <c r="H476" s="81">
        <f>IFERROR(__xludf.DUMMYFUNCTION("""COMPUTED_VALUE"""),0.3611111111111111)</f>
        <v>0.3611111111</v>
      </c>
      <c r="I476" s="81">
        <f>IFERROR(__xludf.DUMMYFUNCTION("""COMPUTED_VALUE"""),0.33962264150943394)</f>
        <v>0.3396226415</v>
      </c>
      <c r="J476" s="80">
        <f>IFERROR(__xludf.DUMMYFUNCTION("""COMPUTED_VALUE"""),388.8611111111111)</f>
        <v>388.8611111</v>
      </c>
      <c r="K476" s="80">
        <f>IFERROR(__xludf.DUMMYFUNCTION("""COMPUTED_VALUE"""),1.0)</f>
        <v>1</v>
      </c>
      <c r="L476" s="80">
        <f>IFERROR(__xludf.DUMMYFUNCTION("""COMPUTED_VALUE"""),0.5555555555555556)</f>
        <v>0.5555555556</v>
      </c>
      <c r="M476" s="80">
        <f>IFERROR(__xludf.DUMMYFUNCTION("""COMPUTED_VALUE"""),1.5277777777777777)</f>
        <v>1.527777778</v>
      </c>
      <c r="N476" s="80">
        <f>IFERROR(__xludf.DUMMYFUNCTION("""COMPUTED_VALUE"""),2.9444444444444446)</f>
        <v>2.944444444</v>
      </c>
      <c r="O476" s="80">
        <f>IFERROR(__xludf.DUMMYFUNCTION("""COMPUTED_VALUE"""),384.28703703703707)</f>
        <v>384.287037</v>
      </c>
      <c r="P476" s="80">
        <f>IFERROR(__xludf.DUMMYFUNCTION("""COMPUTED_VALUE"""),0.8796296296296295)</f>
        <v>0.8796296296</v>
      </c>
      <c r="Q476" s="80">
        <f>IFERROR(__xludf.DUMMYFUNCTION("""COMPUTED_VALUE"""),0.6574074074074074)</f>
        <v>0.6574074074</v>
      </c>
      <c r="R476" s="80">
        <f>IFERROR(__xludf.DUMMYFUNCTION("""COMPUTED_VALUE"""),1.4722222222222223)</f>
        <v>1.472222222</v>
      </c>
      <c r="S476" s="80">
        <f>IFERROR(__xludf.DUMMYFUNCTION("""COMPUTED_VALUE"""),3.0462962962962963)</f>
        <v>3.046296296</v>
      </c>
      <c r="T476" s="80">
        <f>IFERROR(__xludf.DUMMYFUNCTION("""COMPUTED_VALUE"""),375.0093247024902)</f>
        <v>375.0093247</v>
      </c>
      <c r="U476" s="80">
        <f>IFERROR(__xludf.DUMMYFUNCTION("""COMPUTED_VALUE"""),0.8537389612738788)</f>
        <v>0.8537389613</v>
      </c>
      <c r="V476" s="80">
        <f>IFERROR(__xludf.DUMMYFUNCTION("""COMPUTED_VALUE"""),0.6620947696766404)</f>
        <v>0.6620947697</v>
      </c>
      <c r="W476" s="80">
        <f>IFERROR(__xludf.DUMMYFUNCTION("""COMPUTED_VALUE"""),1.410255151271183)</f>
        <v>1.410255151</v>
      </c>
      <c r="X476" s="80">
        <f>IFERROR(__xludf.DUMMYFUNCTION("""COMPUTED_VALUE"""),2.7338918740760096)</f>
        <v>2.733891874</v>
      </c>
      <c r="Y476" s="80">
        <f>IFERROR(__xludf.DUMMYFUNCTION("""COMPUTED_VALUE"""),378.91005504133443)</f>
        <v>378.910055</v>
      </c>
      <c r="Z476" s="80">
        <f>IFERROR(__xludf.DUMMYFUNCTION("""COMPUTED_VALUE"""),0.8541010875891027)</f>
        <v>0.8541010876</v>
      </c>
      <c r="AA476" s="80">
        <f>IFERROR(__xludf.DUMMYFUNCTION("""COMPUTED_VALUE"""),0.6502591795965873)</f>
        <v>0.6502591796</v>
      </c>
      <c r="AB476" s="80">
        <f>IFERROR(__xludf.DUMMYFUNCTION("""COMPUTED_VALUE"""),1.4537307792387089)</f>
        <v>1.453730779</v>
      </c>
      <c r="AC476" s="80">
        <f>IFERROR(__xludf.DUMMYFUNCTION("""COMPUTED_VALUE"""),2.782479876888778)</f>
        <v>2.782479877</v>
      </c>
      <c r="AD476" s="80">
        <f>IFERROR(__xludf.DUMMYFUNCTION("""COMPUTED_VALUE"""),1.026262317236979)</f>
        <v>1.026262317</v>
      </c>
      <c r="AE476" s="80">
        <f>IFERROR(__xludf.DUMMYFUNCTION("""COMPUTED_VALUE"""),1.1708215977370202)</f>
        <v>1.170821598</v>
      </c>
      <c r="AF476" s="80">
        <f>IFERROR(__xludf.DUMMYFUNCTION("""COMPUTED_VALUE"""),0.8543601889637534)</f>
        <v>0.854360189</v>
      </c>
      <c r="AG476" s="80">
        <f>IFERROR(__xludf.DUMMYFUNCTION("""COMPUTED_VALUE"""),1.0509358401132882)</f>
        <v>1.05093584</v>
      </c>
      <c r="AH476" s="80">
        <f>IFERROR(__xludf.DUMMYFUNCTION("""COMPUTED_VALUE"""),1.0582087111935439)</f>
        <v>1.058208711</v>
      </c>
      <c r="AI476" s="80">
        <f>IFERROR(__xludf.DUMMYFUNCTION("""COMPUTED_VALUE"""),1.0247399510449702)</f>
        <v>1.024739951</v>
      </c>
      <c r="AJ476" s="80">
        <f>IFERROR(__xludf.DUMMYFUNCTION("""COMPUTED_VALUE"""),1.0303262115589977)</f>
        <v>1.030326212</v>
      </c>
      <c r="AK476" s="80">
        <f>IFERROR(__xludf.DUMMYFUNCTION("""COMPUTED_VALUE"""),0.9929204058332582)</f>
        <v>0.9929204058</v>
      </c>
      <c r="AL476" s="80">
        <f>IFERROR(__xludf.DUMMYFUNCTION("""COMPUTED_VALUE"""),1.0439403259014393)</f>
        <v>1.043940326</v>
      </c>
      <c r="AM476" s="80">
        <f>IFERROR(__xludf.DUMMYFUNCTION("""COMPUTED_VALUE"""),1.1142709502093502)</f>
        <v>1.11427095</v>
      </c>
      <c r="AN476" s="80">
        <f>IFERROR(__xludf.DUMMYFUNCTION("""COMPUTED_VALUE"""),1.0543397371278989)</f>
        <v>1.054339737</v>
      </c>
      <c r="AO476" s="80">
        <f>IFERROR(__xludf.DUMMYFUNCTION("""COMPUTED_VALUE"""),1.303096290310792)</f>
        <v>1.30309629</v>
      </c>
      <c r="AP476" s="80">
        <f>IFERROR(__xludf.DUMMYFUNCTION("""COMPUTED_VALUE"""),0.872120746428957)</f>
        <v>0.8721207464</v>
      </c>
      <c r="AQ476" s="80">
        <f>IFERROR(__xludf.DUMMYFUNCTION("""COMPUTED_VALUE"""),1.0437687838499514)</f>
        <v>1.043768784</v>
      </c>
      <c r="AR476" s="80">
        <f>IFERROR(__xludf.DUMMYFUNCTION("""COMPUTED_VALUE"""),1.0914145258665966)</f>
        <v>1.091414526</v>
      </c>
      <c r="AS476" s="80">
        <f>IFERROR(__xludf.DUMMYFUNCTION("""COMPUTED_VALUE"""),81.0)</f>
        <v>81</v>
      </c>
      <c r="AT476" s="80">
        <f>IFERROR(__xludf.DUMMYFUNCTION("""COMPUTED_VALUE"""),0.4374786670879907)</f>
        <v>0.4374786671</v>
      </c>
      <c r="AU476" s="80">
        <f>IFERROR(__xludf.DUMMYFUNCTION("""COMPUTED_VALUE"""),3.374441117703811)</f>
        <v>3.374441118</v>
      </c>
      <c r="AV476" s="80">
        <f>IFERROR(__xludf.DUMMYFUNCTION("""COMPUTED_VALUE"""),58.46270569975303)</f>
        <v>58.4627057</v>
      </c>
      <c r="AW476" s="82">
        <f t="shared" si="1"/>
        <v>2.721161638</v>
      </c>
      <c r="AX476" s="83">
        <f t="array" ref="AX476">IFERROR(DGET('SBV Import'!A:G,"SBV",{"RSC ID","Tier";B476,A476}))</f>
        <v>46.73407761</v>
      </c>
      <c r="AY476" s="82">
        <f t="shared" si="2"/>
        <v>-2.23198703</v>
      </c>
      <c r="AZ476" s="82">
        <v>4.9531486681885575</v>
      </c>
      <c r="BA476" s="84">
        <v>450.0</v>
      </c>
      <c r="BB476" s="84" t="b">
        <f>IFERROR(__xludf.DUMMYFUNCTION("iferror(if(A476="""",,E476&gt;=FILTER(Constants!$F$2:$F$10,Constants!$A$2:$A$10=A476)))"),TRUE)</f>
        <v>1</v>
      </c>
    </row>
    <row r="477">
      <c r="A477" s="80" t="str">
        <f>IFERROR(__xludf.DUMMYFUNCTION("""COMPUTED_VALUE"""),"Master")</f>
        <v>Master</v>
      </c>
      <c r="B477" s="80" t="str">
        <f>IFERROR(__xludf.DUMMYFUNCTION("""COMPUTED_VALUE"""),"RSC003728")</f>
        <v>RSC003728</v>
      </c>
      <c r="C477" s="80" t="str">
        <f>IFERROR(__xludf.DUMMYFUNCTION("""COMPUTED_VALUE"""),"yy")</f>
        <v>yy</v>
      </c>
      <c r="D477" s="80" t="str">
        <f>IFERROR(__xludf.DUMMYFUNCTION("""COMPUTED_VALUE"""),"Kawaii")</f>
        <v>Kawaii</v>
      </c>
      <c r="E477" s="80">
        <f>IFERROR(__xludf.DUMMYFUNCTION("""COMPUTED_VALUE"""),33.0)</f>
        <v>33</v>
      </c>
      <c r="F477" s="80">
        <f>IFERROR(__xludf.DUMMYFUNCTION("""COMPUTED_VALUE"""),16.0)</f>
        <v>16</v>
      </c>
      <c r="G477" s="80">
        <f>IFERROR(__xludf.DUMMYFUNCTION("""COMPUTED_VALUE"""),17.0)</f>
        <v>17</v>
      </c>
      <c r="H477" s="81">
        <f>IFERROR(__xludf.DUMMYFUNCTION("""COMPUTED_VALUE"""),0.48484848484848486)</f>
        <v>0.4848484848</v>
      </c>
      <c r="I477" s="81">
        <f>IFERROR(__xludf.DUMMYFUNCTION("""COMPUTED_VALUE"""),0.24242424242424243)</f>
        <v>0.2424242424</v>
      </c>
      <c r="J477" s="80">
        <f>IFERROR(__xludf.DUMMYFUNCTION("""COMPUTED_VALUE"""),397.45454545454544)</f>
        <v>397.4545455</v>
      </c>
      <c r="K477" s="80">
        <f>IFERROR(__xludf.DUMMYFUNCTION("""COMPUTED_VALUE"""),0.7272727272727273)</f>
        <v>0.7272727273</v>
      </c>
      <c r="L477" s="80">
        <f>IFERROR(__xludf.DUMMYFUNCTION("""COMPUTED_VALUE"""),0.7272727272727273)</f>
        <v>0.7272727273</v>
      </c>
      <c r="M477" s="80">
        <f>IFERROR(__xludf.DUMMYFUNCTION("""COMPUTED_VALUE"""),1.5151515151515151)</f>
        <v>1.515151515</v>
      </c>
      <c r="N477" s="80">
        <f>IFERROR(__xludf.DUMMYFUNCTION("""COMPUTED_VALUE"""),3.0)</f>
        <v>3</v>
      </c>
      <c r="O477" s="80">
        <f>IFERROR(__xludf.DUMMYFUNCTION("""COMPUTED_VALUE"""),411.51515151515144)</f>
        <v>411.5151515</v>
      </c>
      <c r="P477" s="80">
        <f>IFERROR(__xludf.DUMMYFUNCTION("""COMPUTED_VALUE"""),0.9090909090909091)</f>
        <v>0.9090909091</v>
      </c>
      <c r="Q477" s="80">
        <f>IFERROR(__xludf.DUMMYFUNCTION("""COMPUTED_VALUE"""),0.6767676767676767)</f>
        <v>0.6767676768</v>
      </c>
      <c r="R477" s="80">
        <f>IFERROR(__xludf.DUMMYFUNCTION("""COMPUTED_VALUE"""),1.696969696969697)</f>
        <v>1.696969697</v>
      </c>
      <c r="S477" s="80">
        <f>IFERROR(__xludf.DUMMYFUNCTION("""COMPUTED_VALUE"""),2.858585858585859)</f>
        <v>2.858585859</v>
      </c>
      <c r="T477" s="80">
        <f>IFERROR(__xludf.DUMMYFUNCTION("""COMPUTED_VALUE"""),393.3573002602973)</f>
        <v>393.3573003</v>
      </c>
      <c r="U477" s="80">
        <f>IFERROR(__xludf.DUMMYFUNCTION("""COMPUTED_VALUE"""),0.8993928475607142)</f>
        <v>0.8993928476</v>
      </c>
      <c r="V477" s="80">
        <f>IFERROR(__xludf.DUMMYFUNCTION("""COMPUTED_VALUE"""),0.7146250777910326)</f>
        <v>0.7146250778</v>
      </c>
      <c r="W477" s="80">
        <f>IFERROR(__xludf.DUMMYFUNCTION("""COMPUTED_VALUE"""),1.4765353867841446)</f>
        <v>1.476535387</v>
      </c>
      <c r="X477" s="80">
        <f>IFERROR(__xludf.DUMMYFUNCTION("""COMPUTED_VALUE"""),2.8507221439727726)</f>
        <v>2.850722144</v>
      </c>
      <c r="Y477" s="80">
        <f>IFERROR(__xludf.DUMMYFUNCTION("""COMPUTED_VALUE"""),381.90739668462453)</f>
        <v>381.9073967</v>
      </c>
      <c r="Z477" s="80">
        <f>IFERROR(__xludf.DUMMYFUNCTION("""COMPUTED_VALUE"""),0.8241516179327577)</f>
        <v>0.8241516179</v>
      </c>
      <c r="AA477" s="80">
        <f>IFERROR(__xludf.DUMMYFUNCTION("""COMPUTED_VALUE"""),0.6399972609956319)</f>
        <v>0.639997261</v>
      </c>
      <c r="AB477" s="80">
        <f>IFERROR(__xludf.DUMMYFUNCTION("""COMPUTED_VALUE"""),1.4988443496327812)</f>
        <v>1.49884435</v>
      </c>
      <c r="AC477" s="80">
        <f>IFERROR(__xludf.DUMMYFUNCTION("""COMPUTED_VALUE"""),2.7860346029295022)</f>
        <v>2.786034603</v>
      </c>
      <c r="AD477" s="80">
        <f>IFERROR(__xludf.DUMMYFUNCTION("""COMPUTED_VALUE"""),1.0407092109367015)</f>
        <v>1.040709211</v>
      </c>
      <c r="AE477" s="80">
        <f>IFERROR(__xludf.DUMMYFUNCTION("""COMPUTED_VALUE"""),0.8824501601986362)</f>
        <v>0.8824501602</v>
      </c>
      <c r="AF477" s="80">
        <f>IFERROR(__xludf.DUMMYFUNCTION("""COMPUTED_VALUE"""),1.1363684996734558)</f>
        <v>1.1363685</v>
      </c>
      <c r="AG477" s="80">
        <f>IFERROR(__xludf.DUMMYFUNCTION("""COMPUTED_VALUE"""),1.0108798258623246)</f>
        <v>1.010879826</v>
      </c>
      <c r="AH477" s="80">
        <f>IFERROR(__xludf.DUMMYFUNCTION("""COMPUTED_VALUE"""),1.076799260441889)</f>
        <v>1.07679926</v>
      </c>
      <c r="AI477" s="80">
        <f>IFERROR(__xludf.DUMMYFUNCTION("""COMPUTED_VALUE"""),1.046161215878893)</f>
        <v>1.046161216</v>
      </c>
      <c r="AJ477" s="80">
        <f>IFERROR(__xludf.DUMMYFUNCTION("""COMPUTED_VALUE"""),1.0107828982146092)</f>
        <v>1.010782898</v>
      </c>
      <c r="AK477" s="80">
        <f>IFERROR(__xludf.DUMMYFUNCTION("""COMPUTED_VALUE"""),0.9470248075531069)</f>
        <v>0.9470248076</v>
      </c>
      <c r="AL477" s="80">
        <f>IFERROR(__xludf.DUMMYFUNCTION("""COMPUTED_VALUE"""),1.1492915863436586)</f>
        <v>1.149291586</v>
      </c>
      <c r="AM477" s="80">
        <f>IFERROR(__xludf.DUMMYFUNCTION("""COMPUTED_VALUE"""),1.0027584991507197)</f>
        <v>1.002758499</v>
      </c>
      <c r="AN477" s="80">
        <f>IFERROR(__xludf.DUMMYFUNCTION("""COMPUTED_VALUE"""),1.077639571047505)</f>
        <v>1.077639571</v>
      </c>
      <c r="AO477" s="80">
        <f>IFERROR(__xludf.DUMMYFUNCTION("""COMPUTED_VALUE"""),0.9477063929533033)</f>
        <v>0.947706393</v>
      </c>
      <c r="AP477" s="80">
        <f>IFERROR(__xludf.DUMMYFUNCTION("""COMPUTED_VALUE"""),1.1416853407797254)</f>
        <v>1.141685341</v>
      </c>
      <c r="AQ477" s="80">
        <f>IFERROR(__xludf.DUMMYFUNCTION("""COMPUTED_VALUE"""),1.0351425955536708)</f>
        <v>1.035142596</v>
      </c>
      <c r="AR477" s="80">
        <f>IFERROR(__xludf.DUMMYFUNCTION("""COMPUTED_VALUE"""),1.1120072527697398)</f>
        <v>1.112007253</v>
      </c>
      <c r="AS477" s="80">
        <f>IFERROR(__xludf.DUMMYFUNCTION("""COMPUTED_VALUE"""),84.0)</f>
        <v>84</v>
      </c>
      <c r="AT477" s="80">
        <f>IFERROR(__xludf.DUMMYFUNCTION("""COMPUTED_VALUE"""),0.47223348832612144)</f>
        <v>0.4722334883</v>
      </c>
      <c r="AU477" s="80">
        <f>IFERROR(__xludf.DUMMYFUNCTION("""COMPUTED_VALUE"""),3.3457372595291917)</f>
        <v>3.34573726</v>
      </c>
      <c r="AV477" s="80">
        <f>IFERROR(__xludf.DUMMYFUNCTION("""COMPUTED_VALUE"""),57.761338251103176)</f>
        <v>57.76133825</v>
      </c>
      <c r="AW477" s="82">
        <f t="shared" si="1"/>
        <v>2.64474668</v>
      </c>
      <c r="AX477" s="83">
        <f t="array" ref="AX477">IFERROR(DGET('SBV Import'!A:G,"SBV",{"RSC ID","Tier";B477,A477}))</f>
        <v>49.31052141</v>
      </c>
      <c r="AY477" s="82">
        <f t="shared" si="2"/>
        <v>-2.044994341</v>
      </c>
      <c r="AZ477" s="82">
        <v>4.689741021521607</v>
      </c>
      <c r="BA477" s="84">
        <v>450.0</v>
      </c>
      <c r="BB477" s="84" t="b">
        <f>IFERROR(__xludf.DUMMYFUNCTION("iferror(if(A477="""",,E477&gt;=FILTER(Constants!$F$2:$F$10,Constants!$A$2:$A$10=A477)))"),TRUE)</f>
        <v>1</v>
      </c>
    </row>
    <row r="478">
      <c r="A478" s="80" t="str">
        <f>IFERROR(__xludf.DUMMYFUNCTION("""COMPUTED_VALUE"""),"Master")</f>
        <v>Master</v>
      </c>
      <c r="B478" s="80" t="str">
        <f>IFERROR(__xludf.DUMMYFUNCTION("""COMPUTED_VALUE"""),"RSC005234")</f>
        <v>RSC005234</v>
      </c>
      <c r="C478" s="80" t="str">
        <f>IFERROR(__xludf.DUMMYFUNCTION("""COMPUTED_VALUE"""),"Hirsch")</f>
        <v>Hirsch</v>
      </c>
      <c r="D478" s="80" t="str">
        <f>IFERROR(__xludf.DUMMYFUNCTION("""COMPUTED_VALUE"""),"The OG")</f>
        <v>The OG</v>
      </c>
      <c r="E478" s="80">
        <f>IFERROR(__xludf.DUMMYFUNCTION("""COMPUTED_VALUE"""),10.0)</f>
        <v>10</v>
      </c>
      <c r="F478" s="80">
        <f>IFERROR(__xludf.DUMMYFUNCTION("""COMPUTED_VALUE"""),5.0)</f>
        <v>5</v>
      </c>
      <c r="G478" s="80">
        <f>IFERROR(__xludf.DUMMYFUNCTION("""COMPUTED_VALUE"""),5.0)</f>
        <v>5</v>
      </c>
      <c r="H478" s="81">
        <f>IFERROR(__xludf.DUMMYFUNCTION("""COMPUTED_VALUE"""),0.5)</f>
        <v>0.5</v>
      </c>
      <c r="I478" s="81">
        <f>IFERROR(__xludf.DUMMYFUNCTION("""COMPUTED_VALUE"""),0.24)</f>
        <v>0.24</v>
      </c>
      <c r="J478" s="80">
        <f>IFERROR(__xludf.DUMMYFUNCTION("""COMPUTED_VALUE"""),313.6)</f>
        <v>313.6</v>
      </c>
      <c r="K478" s="80">
        <f>IFERROR(__xludf.DUMMYFUNCTION("""COMPUTED_VALUE"""),0.6)</f>
        <v>0.6</v>
      </c>
      <c r="L478" s="80">
        <f>IFERROR(__xludf.DUMMYFUNCTION("""COMPUTED_VALUE"""),1.0)</f>
        <v>1</v>
      </c>
      <c r="M478" s="80">
        <f>IFERROR(__xludf.DUMMYFUNCTION("""COMPUTED_VALUE"""),0.9)</f>
        <v>0.9</v>
      </c>
      <c r="N478" s="80">
        <f>IFERROR(__xludf.DUMMYFUNCTION("""COMPUTED_VALUE"""),2.5)</f>
        <v>2.5</v>
      </c>
      <c r="O478" s="80">
        <f>IFERROR(__xludf.DUMMYFUNCTION("""COMPUTED_VALUE"""),360.80000000000007)</f>
        <v>360.8</v>
      </c>
      <c r="P478" s="80">
        <f>IFERROR(__xludf.DUMMYFUNCTION("""COMPUTED_VALUE"""),0.8666666666666668)</f>
        <v>0.8666666667</v>
      </c>
      <c r="Q478" s="80">
        <f>IFERROR(__xludf.DUMMYFUNCTION("""COMPUTED_VALUE"""),0.6666666666666666)</f>
        <v>0.6666666667</v>
      </c>
      <c r="R478" s="80">
        <f>IFERROR(__xludf.DUMMYFUNCTION("""COMPUTED_VALUE"""),1.3333333333333335)</f>
        <v>1.333333333</v>
      </c>
      <c r="S478" s="80">
        <f>IFERROR(__xludf.DUMMYFUNCTION("""COMPUTED_VALUE"""),2.4666666666666672)</f>
        <v>2.466666667</v>
      </c>
      <c r="T478" s="80">
        <f>IFERROR(__xludf.DUMMYFUNCTION("""COMPUTED_VALUE"""),392.253131713965)</f>
        <v>392.2531317</v>
      </c>
      <c r="U478" s="80">
        <f>IFERROR(__xludf.DUMMYFUNCTION("""COMPUTED_VALUE"""),0.8953908128908129)</f>
        <v>0.8953908129</v>
      </c>
      <c r="V478" s="80">
        <f>IFERROR(__xludf.DUMMYFUNCTION("""COMPUTED_VALUE"""),0.6555555555555554)</f>
        <v>0.6555555556</v>
      </c>
      <c r="W478" s="80">
        <f>IFERROR(__xludf.DUMMYFUNCTION("""COMPUTED_VALUE"""),1.4465997274330606)</f>
        <v>1.446599727</v>
      </c>
      <c r="X478" s="80">
        <f>IFERROR(__xludf.DUMMYFUNCTION("""COMPUTED_VALUE"""),2.8825104216770887)</f>
        <v>2.882510422</v>
      </c>
      <c r="Y478" s="80">
        <f>IFERROR(__xludf.DUMMYFUNCTION("""COMPUTED_VALUE"""),375.2991716102827)</f>
        <v>375.2991716</v>
      </c>
      <c r="Z478" s="80">
        <f>IFERROR(__xludf.DUMMYFUNCTION("""COMPUTED_VALUE"""),0.823008658008658)</f>
        <v>0.823008658</v>
      </c>
      <c r="AA478" s="80">
        <f>IFERROR(__xludf.DUMMYFUNCTION("""COMPUTED_VALUE"""),0.6120733792956015)</f>
        <v>0.6120733793</v>
      </c>
      <c r="AB478" s="80">
        <f>IFERROR(__xludf.DUMMYFUNCTION("""COMPUTED_VALUE"""),1.4817509753620866)</f>
        <v>1.481750975</v>
      </c>
      <c r="AC478" s="80">
        <f>IFERROR(__xludf.DUMMYFUNCTION("""COMPUTED_VALUE"""),2.657795548073326)</f>
        <v>2.657795548</v>
      </c>
      <c r="AD478" s="80">
        <f>IFERROR(__xludf.DUMMYFUNCTION("""COMPUTED_VALUE"""),0.8356000325139215)</f>
        <v>0.8356000325</v>
      </c>
      <c r="AE478" s="80">
        <f>IFERROR(__xludf.DUMMYFUNCTION("""COMPUTED_VALUE"""),0.7290324277411041)</f>
        <v>0.7290324277</v>
      </c>
      <c r="AF478" s="80">
        <f>IFERROR(__xludf.DUMMYFUNCTION("""COMPUTED_VALUE"""),1.633791035236396)</f>
        <v>1.633791035</v>
      </c>
      <c r="AG478" s="80">
        <f>IFERROR(__xludf.DUMMYFUNCTION("""COMPUTED_VALUE"""),0.6073895107645011)</f>
        <v>0.6073895108</v>
      </c>
      <c r="AH478" s="80">
        <f>IFERROR(__xludf.DUMMYFUNCTION("""COMPUTED_VALUE"""),0.9406291623192332)</f>
        <v>0.9406291623</v>
      </c>
      <c r="AI478" s="80">
        <f>IFERROR(__xludf.DUMMYFUNCTION("""COMPUTED_VALUE"""),0.9198141986106542)</f>
        <v>0.9198141986</v>
      </c>
      <c r="AJ478" s="80">
        <f>IFERROR(__xludf.DUMMYFUNCTION("""COMPUTED_VALUE"""),0.9679199900081521)</f>
        <v>0.96791999</v>
      </c>
      <c r="AK478" s="80">
        <f>IFERROR(__xludf.DUMMYFUNCTION("""COMPUTED_VALUE"""),1.016949152542373)</f>
        <v>1.016949153</v>
      </c>
      <c r="AL478" s="80">
        <f>IFERROR(__xludf.DUMMYFUNCTION("""COMPUTED_VALUE"""),0.9217016345629248)</f>
        <v>0.9217016346</v>
      </c>
      <c r="AM478" s="80">
        <f>IFERROR(__xludf.DUMMYFUNCTION("""COMPUTED_VALUE"""),0.8557355588784039)</f>
        <v>0.8557355589</v>
      </c>
      <c r="AN478" s="80">
        <f>IFERROR(__xludf.DUMMYFUNCTION("""COMPUTED_VALUE"""),0.8502802983269611)</f>
        <v>0.8502802983</v>
      </c>
      <c r="AO478" s="80">
        <f>IFERROR(__xludf.DUMMYFUNCTION("""COMPUTED_VALUE"""),0.7818577741864752)</f>
        <v>0.7818577742</v>
      </c>
      <c r="AP478" s="80">
        <f>IFERROR(__xludf.DUMMYFUNCTION("""COMPUTED_VALUE"""),1.5698173435721225)</f>
        <v>1.569817344</v>
      </c>
      <c r="AQ478" s="80">
        <f>IFERROR(__xludf.DUMMYFUNCTION("""COMPUTED_VALUE"""),0.6148747017588806)</f>
        <v>0.6148747018</v>
      </c>
      <c r="AR478" s="80">
        <f>IFERROR(__xludf.DUMMYFUNCTION("""COMPUTED_VALUE"""),0.9266727106414498)</f>
        <v>0.9266727106</v>
      </c>
      <c r="AS478" s="80">
        <f>IFERROR(__xludf.DUMMYFUNCTION("""COMPUTED_VALUE"""),25.0)</f>
        <v>25</v>
      </c>
      <c r="AT478" s="80">
        <f>IFERROR(__xludf.DUMMYFUNCTION("""COMPUTED_VALUE"""),0.48435461213632264)</f>
        <v>0.4843546121</v>
      </c>
      <c r="AU478" s="80">
        <f>IFERROR(__xludf.DUMMYFUNCTION("""COMPUTED_VALUE"""),3.32584460360319)</f>
        <v>3.325844604</v>
      </c>
      <c r="AV478" s="80">
        <f>IFERROR(__xludf.DUMMYFUNCTION("""COMPUTED_VALUE"""),57.27526905271139)</f>
        <v>57.27526905</v>
      </c>
      <c r="AW478" s="82">
        <f t="shared" si="1"/>
        <v>2.593888759</v>
      </c>
      <c r="AX478" s="83">
        <f t="array" ref="AX478">IFERROR(DGET('SBV Import'!A:G,"SBV",{"RSC ID","Tier";B478,A478}))</f>
        <v>56.67696623</v>
      </c>
      <c r="AY478" s="82">
        <f t="shared" si="2"/>
        <v>2.533542179</v>
      </c>
      <c r="AZ478" s="82">
        <v>0.060346579617061025</v>
      </c>
      <c r="BA478" s="84">
        <v>450.0</v>
      </c>
      <c r="BB478" s="84" t="b">
        <f>IFERROR(__xludf.DUMMYFUNCTION("iferror(if(A478="""",,E478&gt;=FILTER(Constants!$F$2:$F$10,Constants!$A$2:$A$10=A478)))"),TRUE)</f>
        <v>1</v>
      </c>
    </row>
    <row r="479">
      <c r="A479" s="80" t="str">
        <f>IFERROR(__xludf.DUMMYFUNCTION("""COMPUTED_VALUE"""),"Master")</f>
        <v>Master</v>
      </c>
      <c r="B479" s="80" t="str">
        <f>IFERROR(__xludf.DUMMYFUNCTION("""COMPUTED_VALUE"""),"RSC000330")</f>
        <v>RSC000330</v>
      </c>
      <c r="C479" s="80" t="str">
        <f>IFERROR(__xludf.DUMMYFUNCTION("""COMPUTED_VALUE"""),"Infinite")</f>
        <v>Infinite</v>
      </c>
      <c r="D479" s="80" t="str">
        <f>IFERROR(__xludf.DUMMYFUNCTION("""COMPUTED_VALUE"""),"Oblivion")</f>
        <v>Oblivion</v>
      </c>
      <c r="E479" s="80">
        <f>IFERROR(__xludf.DUMMYFUNCTION("""COMPUTED_VALUE"""),32.0)</f>
        <v>32</v>
      </c>
      <c r="F479" s="80">
        <f>IFERROR(__xludf.DUMMYFUNCTION("""COMPUTED_VALUE"""),22.0)</f>
        <v>22</v>
      </c>
      <c r="G479" s="80">
        <f>IFERROR(__xludf.DUMMYFUNCTION("""COMPUTED_VALUE"""),10.0)</f>
        <v>10</v>
      </c>
      <c r="H479" s="81">
        <f>IFERROR(__xludf.DUMMYFUNCTION("""COMPUTED_VALUE"""),0.6875)</f>
        <v>0.6875</v>
      </c>
      <c r="I479" s="81">
        <f>IFERROR(__xludf.DUMMYFUNCTION("""COMPUTED_VALUE"""),0.44285714285714284)</f>
        <v>0.4428571429</v>
      </c>
      <c r="J479" s="80">
        <f>IFERROR(__xludf.DUMMYFUNCTION("""COMPUTED_VALUE"""),385.625)</f>
        <v>385.625</v>
      </c>
      <c r="K479" s="80">
        <f>IFERROR(__xludf.DUMMYFUNCTION("""COMPUTED_VALUE"""),0.96875)</f>
        <v>0.96875</v>
      </c>
      <c r="L479" s="80">
        <f>IFERROR(__xludf.DUMMYFUNCTION("""COMPUTED_VALUE"""),0.6875)</f>
        <v>0.6875</v>
      </c>
      <c r="M479" s="80">
        <f>IFERROR(__xludf.DUMMYFUNCTION("""COMPUTED_VALUE"""),1.5625)</f>
        <v>1.5625</v>
      </c>
      <c r="N479" s="80">
        <f>IFERROR(__xludf.DUMMYFUNCTION("""COMPUTED_VALUE"""),2.1875)</f>
        <v>2.1875</v>
      </c>
      <c r="O479" s="80">
        <f>IFERROR(__xludf.DUMMYFUNCTION("""COMPUTED_VALUE"""),334.3541666666667)</f>
        <v>334.3541667</v>
      </c>
      <c r="P479" s="80">
        <f>IFERROR(__xludf.DUMMYFUNCTION("""COMPUTED_VALUE"""),0.6770833333333334)</f>
        <v>0.6770833333</v>
      </c>
      <c r="Q479" s="80">
        <f>IFERROR(__xludf.DUMMYFUNCTION("""COMPUTED_VALUE"""),0.44791666666666674)</f>
        <v>0.4479166667</v>
      </c>
      <c r="R479" s="80">
        <f>IFERROR(__xludf.DUMMYFUNCTION("""COMPUTED_VALUE"""),1.3541666666666665)</f>
        <v>1.354166667</v>
      </c>
      <c r="S479" s="80">
        <f>IFERROR(__xludf.DUMMYFUNCTION("""COMPUTED_VALUE"""),2.3645833333333344)</f>
        <v>2.364583333</v>
      </c>
      <c r="T479" s="80">
        <f>IFERROR(__xludf.DUMMYFUNCTION("""COMPUTED_VALUE"""),369.78010601909983)</f>
        <v>369.780106</v>
      </c>
      <c r="U479" s="80">
        <f>IFERROR(__xludf.DUMMYFUNCTION("""COMPUTED_VALUE"""),0.7343280270426992)</f>
        <v>0.734328027</v>
      </c>
      <c r="V479" s="80">
        <f>IFERROR(__xludf.DUMMYFUNCTION("""COMPUTED_VALUE"""),0.584048040004345)</f>
        <v>0.58404804</v>
      </c>
      <c r="W479" s="80">
        <f>IFERROR(__xludf.DUMMYFUNCTION("""COMPUTED_VALUE"""),1.5582893506221132)</f>
        <v>1.558289351</v>
      </c>
      <c r="X479" s="80">
        <f>IFERROR(__xludf.DUMMYFUNCTION("""COMPUTED_VALUE"""),2.743296171147549)</f>
        <v>2.743296171</v>
      </c>
      <c r="Y479" s="80">
        <f>IFERROR(__xludf.DUMMYFUNCTION("""COMPUTED_VALUE"""),404.5436219371452)</f>
        <v>404.5436219</v>
      </c>
      <c r="Z479" s="80">
        <f>IFERROR(__xludf.DUMMYFUNCTION("""COMPUTED_VALUE"""),0.9532488601477009)</f>
        <v>0.9532488601</v>
      </c>
      <c r="AA479" s="80">
        <f>IFERROR(__xludf.DUMMYFUNCTION("""COMPUTED_VALUE"""),0.7320940318709434)</f>
        <v>0.7320940319</v>
      </c>
      <c r="AB479" s="80">
        <f>IFERROR(__xludf.DUMMYFUNCTION("""COMPUTED_VALUE"""),1.5489573994266426)</f>
        <v>1.548957399</v>
      </c>
      <c r="AC479" s="80">
        <f>IFERROR(__xludf.DUMMYFUNCTION("""COMPUTED_VALUE"""),2.951740697899772)</f>
        <v>2.951740698</v>
      </c>
      <c r="AD479" s="80">
        <f>IFERROR(__xludf.DUMMYFUNCTION("""COMPUTED_VALUE"""),0.9532346552726405)</f>
        <v>0.9532346553</v>
      </c>
      <c r="AE479" s="80">
        <f>IFERROR(__xludf.DUMMYFUNCTION("""COMPUTED_VALUE"""),1.016261377800019)</f>
        <v>1.016261378</v>
      </c>
      <c r="AF479" s="80">
        <f>IFERROR(__xludf.DUMMYFUNCTION("""COMPUTED_VALUE"""),0.939087016244377)</f>
        <v>0.9390870162</v>
      </c>
      <c r="AG479" s="80">
        <f>IFERROR(__xludf.DUMMYFUNCTION("""COMPUTED_VALUE"""),1.008743042628784)</f>
        <v>1.008743043</v>
      </c>
      <c r="AH479" s="80">
        <f>IFERROR(__xludf.DUMMYFUNCTION("""COMPUTED_VALUE"""),0.7410881320152729)</f>
        <v>0.741088132</v>
      </c>
      <c r="AI479" s="80">
        <f>IFERROR(__xludf.DUMMYFUNCTION("""COMPUTED_VALUE"""),0.9041972816390417)</f>
        <v>0.9041972816</v>
      </c>
      <c r="AJ479" s="80">
        <f>IFERROR(__xludf.DUMMYFUNCTION("""COMPUTED_VALUE"""),0.9220447925160874)</f>
        <v>0.9220447925</v>
      </c>
      <c r="AK479" s="80">
        <f>IFERROR(__xludf.DUMMYFUNCTION("""COMPUTED_VALUE"""),0.7669175067573799)</f>
        <v>0.7669175068</v>
      </c>
      <c r="AL479" s="80">
        <f>IFERROR(__xludf.DUMMYFUNCTION("""COMPUTED_VALUE"""),0.8690084842882645)</f>
        <v>0.8690084843</v>
      </c>
      <c r="AM479" s="80">
        <f>IFERROR(__xludf.DUMMYFUNCTION("""COMPUTED_VALUE"""),0.8619497078743069)</f>
        <v>0.8619497079</v>
      </c>
      <c r="AN479" s="80">
        <f>IFERROR(__xludf.DUMMYFUNCTION("""COMPUTED_VALUE"""),1.0455654975839743)</f>
        <v>1.045565498</v>
      </c>
      <c r="AO479" s="80">
        <f>IFERROR(__xludf.DUMMYFUNCTION("""COMPUTED_VALUE"""),1.2623745312385797)</f>
        <v>1.262374531</v>
      </c>
      <c r="AP479" s="80">
        <f>IFERROR(__xludf.DUMMYFUNCTION("""COMPUTED_VALUE"""),1.079249423705834)</f>
        <v>1.079249424</v>
      </c>
      <c r="AQ479" s="80">
        <f>IFERROR(__xludf.DUMMYFUNCTION("""COMPUTED_VALUE"""),1.067490801664723)</f>
        <v>1.067490802</v>
      </c>
      <c r="AR479" s="80">
        <f>IFERROR(__xludf.DUMMYFUNCTION("""COMPUTED_VALUE"""),0.8108386218112686)</f>
        <v>0.8108386218</v>
      </c>
      <c r="AS479" s="80">
        <f>IFERROR(__xludf.DUMMYFUNCTION("""COMPUTED_VALUE"""),101.0)</f>
        <v>101</v>
      </c>
      <c r="AT479" s="80">
        <f>IFERROR(__xludf.DUMMYFUNCTION("""COMPUTED_VALUE"""),0.6697197032995372)</f>
        <v>0.6697197033</v>
      </c>
      <c r="AU479" s="80">
        <f>IFERROR(__xludf.DUMMYFUNCTION("""COMPUTED_VALUE"""),3.3236823116418273)</f>
        <v>3.323682312</v>
      </c>
      <c r="AV479" s="80">
        <f>IFERROR(__xludf.DUMMYFUNCTION("""COMPUTED_VALUE"""),57.222434301823505)</f>
        <v>57.2224343</v>
      </c>
      <c r="AW479" s="82">
        <f t="shared" si="1"/>
        <v>2.588460928</v>
      </c>
      <c r="AX479" s="83">
        <f t="array" ref="AX479">IFERROR(DGET('SBV Import'!A:G,"SBV",{"RSC ID","Tier";B479,A479}))</f>
        <v>57.1874576</v>
      </c>
      <c r="AY479" s="82">
        <f t="shared" si="2"/>
        <v>2.584878357</v>
      </c>
      <c r="AZ479" s="82">
        <v>0.0035825707821359742</v>
      </c>
      <c r="BA479" s="84">
        <v>450.0</v>
      </c>
      <c r="BB479" s="84" t="b">
        <f>IFERROR(__xludf.DUMMYFUNCTION("iferror(if(A479="""",,E479&gt;=FILTER(Constants!$F$2:$F$10,Constants!$A$2:$A$10=A479)))"),TRUE)</f>
        <v>1</v>
      </c>
    </row>
    <row r="480">
      <c r="A480" s="80" t="str">
        <f>IFERROR(__xludf.DUMMYFUNCTION("""COMPUTED_VALUE"""),"Master")</f>
        <v>Master</v>
      </c>
      <c r="B480" s="80" t="str">
        <f>IFERROR(__xludf.DUMMYFUNCTION("""COMPUTED_VALUE"""),"RSC002944")</f>
        <v>RSC002944</v>
      </c>
      <c r="C480" s="80" t="str">
        <f>IFERROR(__xludf.DUMMYFUNCTION("""COMPUTED_VALUE"""),"PayloSoul")</f>
        <v>PayloSoul</v>
      </c>
      <c r="D480" s="80"/>
      <c r="E480" s="80">
        <f>IFERROR(__xludf.DUMMYFUNCTION("""COMPUTED_VALUE"""),23.0)</f>
        <v>23</v>
      </c>
      <c r="F480" s="80">
        <f>IFERROR(__xludf.DUMMYFUNCTION("""COMPUTED_VALUE"""),7.0)</f>
        <v>7</v>
      </c>
      <c r="G480" s="80">
        <f>IFERROR(__xludf.DUMMYFUNCTION("""COMPUTED_VALUE"""),16.0)</f>
        <v>16</v>
      </c>
      <c r="H480" s="81">
        <f>IFERROR(__xludf.DUMMYFUNCTION("""COMPUTED_VALUE"""),0.30434782608695654)</f>
        <v>0.3043478261</v>
      </c>
      <c r="I480" s="81">
        <f>IFERROR(__xludf.DUMMYFUNCTION("""COMPUTED_VALUE"""),0.3181818181818182)</f>
        <v>0.3181818182</v>
      </c>
      <c r="J480" s="80">
        <f>IFERROR(__xludf.DUMMYFUNCTION("""COMPUTED_VALUE"""),401.4782608695652)</f>
        <v>401.4782609</v>
      </c>
      <c r="K480" s="80">
        <f>IFERROR(__xludf.DUMMYFUNCTION("""COMPUTED_VALUE"""),0.9130434782608695)</f>
        <v>0.9130434783</v>
      </c>
      <c r="L480" s="80">
        <f>IFERROR(__xludf.DUMMYFUNCTION("""COMPUTED_VALUE"""),0.6086956521739131)</f>
        <v>0.6086956522</v>
      </c>
      <c r="M480" s="80">
        <f>IFERROR(__xludf.DUMMYFUNCTION("""COMPUTED_VALUE"""),1.6521739130434783)</f>
        <v>1.652173913</v>
      </c>
      <c r="N480" s="80">
        <f>IFERROR(__xludf.DUMMYFUNCTION("""COMPUTED_VALUE"""),2.869565217391304)</f>
        <v>2.869565217</v>
      </c>
      <c r="O480" s="80">
        <f>IFERROR(__xludf.DUMMYFUNCTION("""COMPUTED_VALUE"""),413.63768115942037)</f>
        <v>413.6376812</v>
      </c>
      <c r="P480" s="80">
        <f>IFERROR(__xludf.DUMMYFUNCTION("""COMPUTED_VALUE"""),1.0144927536231882)</f>
        <v>1.014492754</v>
      </c>
      <c r="Q480" s="80">
        <f>IFERROR(__xludf.DUMMYFUNCTION("""COMPUTED_VALUE"""),0.7971014492753624)</f>
        <v>0.7971014493</v>
      </c>
      <c r="R480" s="80">
        <f>IFERROR(__xludf.DUMMYFUNCTION("""COMPUTED_VALUE"""),1.5072463768115938)</f>
        <v>1.507246377</v>
      </c>
      <c r="S480" s="80">
        <f>IFERROR(__xludf.DUMMYFUNCTION("""COMPUTED_VALUE"""),3.0579710144927534)</f>
        <v>3.057971014</v>
      </c>
      <c r="T480" s="80">
        <f>IFERROR(__xludf.DUMMYFUNCTION("""COMPUTED_VALUE"""),392.083273667769)</f>
        <v>392.0832737</v>
      </c>
      <c r="U480" s="80">
        <f>IFERROR(__xludf.DUMMYFUNCTION("""COMPUTED_VALUE"""),0.9128582719037489)</f>
        <v>0.9128582719</v>
      </c>
      <c r="V480" s="80">
        <f>IFERROR(__xludf.DUMMYFUNCTION("""COMPUTED_VALUE"""),0.6490934218945215)</f>
        <v>0.6490934219</v>
      </c>
      <c r="W480" s="80">
        <f>IFERROR(__xludf.DUMMYFUNCTION("""COMPUTED_VALUE"""),1.4607717259141548)</f>
        <v>1.460771726</v>
      </c>
      <c r="X480" s="80">
        <f>IFERROR(__xludf.DUMMYFUNCTION("""COMPUTED_VALUE"""),2.951074692978741)</f>
        <v>2.951074693</v>
      </c>
      <c r="Y480" s="80">
        <f>IFERROR(__xludf.DUMMYFUNCTION("""COMPUTED_VALUE"""),379.4458266075457)</f>
        <v>379.4458266</v>
      </c>
      <c r="Z480" s="80">
        <f>IFERROR(__xludf.DUMMYFUNCTION("""COMPUTED_VALUE"""),0.8282060447311157)</f>
        <v>0.8282060447</v>
      </c>
      <c r="AA480" s="80">
        <f>IFERROR(__xludf.DUMMYFUNCTION("""COMPUTED_VALUE"""),0.6323678735181317)</f>
        <v>0.6323678735</v>
      </c>
      <c r="AB480" s="80">
        <f>IFERROR(__xludf.DUMMYFUNCTION("""COMPUTED_VALUE"""),1.5221056200233274)</f>
        <v>1.52210562</v>
      </c>
      <c r="AC480" s="80">
        <f>IFERROR(__xludf.DUMMYFUNCTION("""COMPUTED_VALUE"""),2.6985644463322287)</f>
        <v>2.698564446</v>
      </c>
      <c r="AD480" s="80">
        <f>IFERROR(__xludf.DUMMYFUNCTION("""COMPUTED_VALUE"""),1.0580647689790175)</f>
        <v>1.058064769</v>
      </c>
      <c r="AE480" s="80">
        <f>IFERROR(__xludf.DUMMYFUNCTION("""COMPUTED_VALUE"""),1.102435177899839)</f>
        <v>1.102435178</v>
      </c>
      <c r="AF480" s="80">
        <f>IFERROR(__xludf.DUMMYFUNCTION("""COMPUTED_VALUE"""),0.962565743239738)</f>
        <v>0.9625657432</v>
      </c>
      <c r="AG480" s="80">
        <f>IFERROR(__xludf.DUMMYFUNCTION("""COMPUTED_VALUE"""),1.0854528695703505)</f>
        <v>1.08545287</v>
      </c>
      <c r="AH480" s="80">
        <f>IFERROR(__xludf.DUMMYFUNCTION("""COMPUTED_VALUE"""),1.063367310457044)</f>
        <v>1.06336731</v>
      </c>
      <c r="AI480" s="80">
        <f>IFERROR(__xludf.DUMMYFUNCTION("""COMPUTED_VALUE"""),1.0549740551031908)</f>
        <v>1.054974055</v>
      </c>
      <c r="AJ480" s="80">
        <f>IFERROR(__xludf.DUMMYFUNCTION("""COMPUTED_VALUE"""),1.111336540235849)</f>
        <v>1.11133654</v>
      </c>
      <c r="AK480" s="80">
        <f>IFERROR(__xludf.DUMMYFUNCTION("""COMPUTED_VALUE"""),1.2280226888586347)</f>
        <v>1.228022689</v>
      </c>
      <c r="AL480" s="80">
        <f>IFERROR(__xludf.DUMMYFUNCTION("""COMPUTED_VALUE"""),1.0318151358442778)</f>
        <v>1.031815136</v>
      </c>
      <c r="AM480" s="80">
        <f>IFERROR(__xludf.DUMMYFUNCTION("""COMPUTED_VALUE"""),1.0362228451107465)</f>
        <v>1.036222845</v>
      </c>
      <c r="AN480" s="80">
        <f>IFERROR(__xludf.DUMMYFUNCTION("""COMPUTED_VALUE"""),1.0885492838774342)</f>
        <v>1.088549284</v>
      </c>
      <c r="AO480" s="80">
        <f>IFERROR(__xludf.DUMMYFUNCTION("""COMPUTED_VALUE"""),1.1897835694142014)</f>
        <v>1.189783569</v>
      </c>
      <c r="AP480" s="80">
        <f>IFERROR(__xludf.DUMMYFUNCTION("""COMPUTED_VALUE"""),0.9555409917395529)</f>
        <v>0.9555409917</v>
      </c>
      <c r="AQ480" s="80">
        <f>IFERROR(__xludf.DUMMYFUNCTION("""COMPUTED_VALUE"""),1.1287554911515683)</f>
        <v>1.128755491</v>
      </c>
      <c r="AR480" s="80">
        <f>IFERROR(__xludf.DUMMYFUNCTION("""COMPUTED_VALUE"""),1.0636591113449685)</f>
        <v>1.063659111</v>
      </c>
      <c r="AS480" s="80">
        <f>IFERROR(__xludf.DUMMYFUNCTION("""COMPUTED_VALUE"""),55.0)</f>
        <v>55</v>
      </c>
      <c r="AT480" s="80">
        <f>IFERROR(__xludf.DUMMYFUNCTION("""COMPUTED_VALUE"""),0.40323154735654454)</f>
        <v>0.4032315474</v>
      </c>
      <c r="AU480" s="80">
        <f>IFERROR(__xludf.DUMMYFUNCTION("""COMPUTED_VALUE"""),3.316696629321763)</f>
        <v>3.316696629</v>
      </c>
      <c r="AV480" s="80">
        <f>IFERROR(__xludf.DUMMYFUNCTION("""COMPUTED_VALUE"""),57.05174191071372)</f>
        <v>57.05174191</v>
      </c>
      <c r="AW480" s="82">
        <f t="shared" si="1"/>
        <v>2.571057326</v>
      </c>
      <c r="AX480" s="83">
        <f t="array" ref="AX480">IFERROR(DGET('SBV Import'!A:G,"SBV",{"RSC ID","Tier";B480,A480}))</f>
        <v>51.40628667</v>
      </c>
      <c r="AY480" s="82">
        <f t="shared" si="2"/>
        <v>2.093930626</v>
      </c>
      <c r="AZ480" s="82">
        <v>0.47712670001141255</v>
      </c>
      <c r="BA480" s="84">
        <v>450.0</v>
      </c>
      <c r="BB480" s="84" t="b">
        <f>IFERROR(__xludf.DUMMYFUNCTION("iferror(if(A480="""",,E480&gt;=FILTER(Constants!$F$2:$F$10,Constants!$A$2:$A$10=A480)))"),TRUE)</f>
        <v>1</v>
      </c>
    </row>
    <row r="481">
      <c r="A481" s="80" t="str">
        <f>IFERROR(__xludf.DUMMYFUNCTION("""COMPUTED_VALUE"""),"Master")</f>
        <v>Master</v>
      </c>
      <c r="B481" s="80" t="str">
        <f>IFERROR(__xludf.DUMMYFUNCTION("""COMPUTED_VALUE"""),"RSC005499")</f>
        <v>RSC005499</v>
      </c>
      <c r="C481" s="80" t="str">
        <f>IFERROR(__xludf.DUMMYFUNCTION("""COMPUTED_VALUE"""),"R0cket")</f>
        <v>R0cket</v>
      </c>
      <c r="D481" s="80" t="str">
        <f>IFERROR(__xludf.DUMMYFUNCTION("""COMPUTED_VALUE"""),"Tempests")</f>
        <v>Tempests</v>
      </c>
      <c r="E481" s="80">
        <f>IFERROR(__xludf.DUMMYFUNCTION("""COMPUTED_VALUE"""),29.0)</f>
        <v>29</v>
      </c>
      <c r="F481" s="80">
        <f>IFERROR(__xludf.DUMMYFUNCTION("""COMPUTED_VALUE"""),17.0)</f>
        <v>17</v>
      </c>
      <c r="G481" s="80">
        <f>IFERROR(__xludf.DUMMYFUNCTION("""COMPUTED_VALUE"""),12.0)</f>
        <v>12</v>
      </c>
      <c r="H481" s="81">
        <f>IFERROR(__xludf.DUMMYFUNCTION("""COMPUTED_VALUE"""),0.5862068965517241)</f>
        <v>0.5862068966</v>
      </c>
      <c r="I481" s="81">
        <f>IFERROR(__xludf.DUMMYFUNCTION("""COMPUTED_VALUE"""),0.3188405797101449)</f>
        <v>0.3188405797</v>
      </c>
      <c r="J481" s="80">
        <f>IFERROR(__xludf.DUMMYFUNCTION("""COMPUTED_VALUE"""),359.17241379310343)</f>
        <v>359.1724138</v>
      </c>
      <c r="K481" s="80">
        <f>IFERROR(__xludf.DUMMYFUNCTION("""COMPUTED_VALUE"""),0.7586206896551724)</f>
        <v>0.7586206897</v>
      </c>
      <c r="L481" s="80">
        <f>IFERROR(__xludf.DUMMYFUNCTION("""COMPUTED_VALUE"""),0.7931034482758621)</f>
        <v>0.7931034483</v>
      </c>
      <c r="M481" s="80">
        <f>IFERROR(__xludf.DUMMYFUNCTION("""COMPUTED_VALUE"""),1.5172413793103448)</f>
        <v>1.517241379</v>
      </c>
      <c r="N481" s="80">
        <f>IFERROR(__xludf.DUMMYFUNCTION("""COMPUTED_VALUE"""),2.3793103448275863)</f>
        <v>2.379310345</v>
      </c>
      <c r="O481" s="80">
        <f>IFERROR(__xludf.DUMMYFUNCTION("""COMPUTED_VALUE"""),348.06896551724134)</f>
        <v>348.0689655</v>
      </c>
      <c r="P481" s="80">
        <f>IFERROR(__xludf.DUMMYFUNCTION("""COMPUTED_VALUE"""),0.8275862068965517)</f>
        <v>0.8275862069</v>
      </c>
      <c r="Q481" s="80">
        <f>IFERROR(__xludf.DUMMYFUNCTION("""COMPUTED_VALUE"""),0.5862068965517241)</f>
        <v>0.5862068966</v>
      </c>
      <c r="R481" s="80">
        <f>IFERROR(__xludf.DUMMYFUNCTION("""COMPUTED_VALUE"""),1.2988505747126435)</f>
        <v>1.298850575</v>
      </c>
      <c r="S481" s="80">
        <f>IFERROR(__xludf.DUMMYFUNCTION("""COMPUTED_VALUE"""),2.735632183908046)</f>
        <v>2.735632184</v>
      </c>
      <c r="T481" s="80">
        <f>IFERROR(__xludf.DUMMYFUNCTION("""COMPUTED_VALUE"""),383.15071500529183)</f>
        <v>383.150715</v>
      </c>
      <c r="U481" s="80">
        <f>IFERROR(__xludf.DUMMYFUNCTION("""COMPUTED_VALUE"""),0.8491369430383442)</f>
        <v>0.849136943</v>
      </c>
      <c r="V481" s="80">
        <f>IFERROR(__xludf.DUMMYFUNCTION("""COMPUTED_VALUE"""),0.666376025341776)</f>
        <v>0.6663760253</v>
      </c>
      <c r="W481" s="80">
        <f>IFERROR(__xludf.DUMMYFUNCTION("""COMPUTED_VALUE"""),1.519184844814348)</f>
        <v>1.519184845</v>
      </c>
      <c r="X481" s="80">
        <f>IFERROR(__xludf.DUMMYFUNCTION("""COMPUTED_VALUE"""),2.7910286404043827)</f>
        <v>2.79102864</v>
      </c>
      <c r="Y481" s="80">
        <f>IFERROR(__xludf.DUMMYFUNCTION("""COMPUTED_VALUE"""),373.2478849408182)</f>
        <v>373.2478849</v>
      </c>
      <c r="Z481" s="80">
        <f>IFERROR(__xludf.DUMMYFUNCTION("""COMPUTED_VALUE"""),0.8208610987630287)</f>
        <v>0.8208610988</v>
      </c>
      <c r="AA481" s="80">
        <f>IFERROR(__xludf.DUMMYFUNCTION("""COMPUTED_VALUE"""),0.6179844905315671)</f>
        <v>0.6179844905</v>
      </c>
      <c r="AB481" s="80">
        <f>IFERROR(__xludf.DUMMYFUNCTION("""COMPUTED_VALUE"""),1.4545208635159521)</f>
        <v>1.454520864</v>
      </c>
      <c r="AC481" s="80">
        <f>IFERROR(__xludf.DUMMYFUNCTION("""COMPUTED_VALUE"""),2.7574264836204003)</f>
        <v>2.757426484</v>
      </c>
      <c r="AD481" s="80">
        <f>IFERROR(__xludf.DUMMYFUNCTION("""COMPUTED_VALUE"""),0.9622892139095535)</f>
        <v>0.9622892139</v>
      </c>
      <c r="AE481" s="80">
        <f>IFERROR(__xludf.DUMMYFUNCTION("""COMPUTED_VALUE"""),0.9241766856759961)</f>
        <v>0.9241766857</v>
      </c>
      <c r="AF481" s="80">
        <f>IFERROR(__xludf.DUMMYFUNCTION("""COMPUTED_VALUE"""),1.283371120841017)</f>
        <v>1.283371121</v>
      </c>
      <c r="AG481" s="80">
        <f>IFERROR(__xludf.DUMMYFUNCTION("""COMPUTED_VALUE"""),1.0431210836280347)</f>
        <v>1.043121084</v>
      </c>
      <c r="AH481" s="80">
        <f>IFERROR(__xludf.DUMMYFUNCTION("""COMPUTED_VALUE"""),0.8628735376849064)</f>
        <v>0.8628735377</v>
      </c>
      <c r="AI481" s="80">
        <f>IFERROR(__xludf.DUMMYFUNCTION("""COMPUTED_VALUE"""),0.9084387732708108)</f>
        <v>0.9084387733</v>
      </c>
      <c r="AJ481" s="80">
        <f>IFERROR(__xludf.DUMMYFUNCTION("""COMPUTED_VALUE"""),0.9746204233386895)</f>
        <v>0.9746204233</v>
      </c>
      <c r="AK481" s="80">
        <f>IFERROR(__xludf.DUMMYFUNCTION("""COMPUTED_VALUE"""),0.8796938579101279)</f>
        <v>0.8796938579</v>
      </c>
      <c r="AL481" s="80">
        <f>IFERROR(__xludf.DUMMYFUNCTION("""COMPUTED_VALUE"""),0.8549654633181716)</f>
        <v>0.8549654633</v>
      </c>
      <c r="AM481" s="80">
        <f>IFERROR(__xludf.DUMMYFUNCTION("""COMPUTED_VALUE"""),0.9801519569901975)</f>
        <v>0.980151957</v>
      </c>
      <c r="AN481" s="80">
        <f>IFERROR(__xludf.DUMMYFUNCTION("""COMPUTED_VALUE"""),0.9738431988227508)</f>
        <v>0.9738431988</v>
      </c>
      <c r="AO481" s="80">
        <f>IFERROR(__xludf.DUMMYFUNCTION("""COMPUTED_VALUE"""),0.9885558064426697)</f>
        <v>0.9885558064</v>
      </c>
      <c r="AP481" s="80">
        <f>IFERROR(__xludf.DUMMYFUNCTION("""COMPUTED_VALUE"""),1.2450275483503042)</f>
        <v>1.245027548</v>
      </c>
      <c r="AQ481" s="80">
        <f>IFERROR(__xludf.DUMMYFUNCTION("""COMPUTED_VALUE"""),1.0365703784440898)</f>
        <v>1.036570378</v>
      </c>
      <c r="AR481" s="80">
        <f>IFERROR(__xludf.DUMMYFUNCTION("""COMPUTED_VALUE"""),0.8819367866794489)</f>
        <v>0.8819367867</v>
      </c>
      <c r="AS481" s="80">
        <f>IFERROR(__xludf.DUMMYFUNCTION("""COMPUTED_VALUE"""),77.0)</f>
        <v>77</v>
      </c>
      <c r="AT481" s="80">
        <f>IFERROR(__xludf.DUMMYFUNCTION("""COMPUTED_VALUE"""),0.5268222961496161)</f>
        <v>0.5268222961</v>
      </c>
      <c r="AU481" s="80">
        <f>IFERROR(__xludf.DUMMYFUNCTION("""COMPUTED_VALUE"""),3.311923909204428)</f>
        <v>3.311923909</v>
      </c>
      <c r="AV481" s="80">
        <f>IFERROR(__xludf.DUMMYFUNCTION("""COMPUTED_VALUE"""),56.93512237784636)</f>
        <v>56.93512238</v>
      </c>
      <c r="AW481" s="82">
        <f t="shared" si="1"/>
        <v>2.559281851</v>
      </c>
      <c r="AX481" s="83">
        <f t="array" ref="AX481">IFERROR(DGET('SBV Import'!A:G,"SBV",{"RSC ID","Tier";B481,A481}))</f>
        <v>48.98903947</v>
      </c>
      <c r="AY481" s="82">
        <f t="shared" si="2"/>
        <v>-2.066663113</v>
      </c>
      <c r="AZ481" s="82">
        <v>4.6259449632139304</v>
      </c>
      <c r="BA481" s="84">
        <v>450.0</v>
      </c>
      <c r="BB481" s="84" t="b">
        <f>IFERROR(__xludf.DUMMYFUNCTION("iferror(if(A481="""",,E481&gt;=FILTER(Constants!$F$2:$F$10,Constants!$A$2:$A$10=A481)))"),TRUE)</f>
        <v>1</v>
      </c>
    </row>
    <row r="482">
      <c r="A482" s="80" t="str">
        <f>IFERROR(__xludf.DUMMYFUNCTION("""COMPUTED_VALUE"""),"Master")</f>
        <v>Master</v>
      </c>
      <c r="B482" s="80" t="str">
        <f>IFERROR(__xludf.DUMMYFUNCTION("""COMPUTED_VALUE"""),"RSC006534")</f>
        <v>RSC006534</v>
      </c>
      <c r="C482" s="80" t="str">
        <f>IFERROR(__xludf.DUMMYFUNCTION("""COMPUTED_VALUE"""),"FIN0oo")</f>
        <v>FIN0oo</v>
      </c>
      <c r="D482" s="80" t="str">
        <f>IFERROR(__xludf.DUMMYFUNCTION("""COMPUTED_VALUE"""),"Helicoprions")</f>
        <v>Helicoprions</v>
      </c>
      <c r="E482" s="80">
        <f>IFERROR(__xludf.DUMMYFUNCTION("""COMPUTED_VALUE"""),32.0)</f>
        <v>32</v>
      </c>
      <c r="F482" s="80">
        <f>IFERROR(__xludf.DUMMYFUNCTION("""COMPUTED_VALUE"""),21.0)</f>
        <v>21</v>
      </c>
      <c r="G482" s="80">
        <f>IFERROR(__xludf.DUMMYFUNCTION("""COMPUTED_VALUE"""),11.0)</f>
        <v>11</v>
      </c>
      <c r="H482" s="81">
        <f>IFERROR(__xludf.DUMMYFUNCTION("""COMPUTED_VALUE"""),0.65625)</f>
        <v>0.65625</v>
      </c>
      <c r="I482" s="81">
        <f>IFERROR(__xludf.DUMMYFUNCTION("""COMPUTED_VALUE"""),0.2631578947368421)</f>
        <v>0.2631578947</v>
      </c>
      <c r="J482" s="80">
        <f>IFERROR(__xludf.DUMMYFUNCTION("""COMPUTED_VALUE"""),426.0)</f>
        <v>426</v>
      </c>
      <c r="K482" s="80">
        <f>IFERROR(__xludf.DUMMYFUNCTION("""COMPUTED_VALUE"""),0.78125)</f>
        <v>0.78125</v>
      </c>
      <c r="L482" s="80">
        <f>IFERROR(__xludf.DUMMYFUNCTION("""COMPUTED_VALUE"""),0.625)</f>
        <v>0.625</v>
      </c>
      <c r="M482" s="80">
        <f>IFERROR(__xludf.DUMMYFUNCTION("""COMPUTED_VALUE"""),1.90625)</f>
        <v>1.90625</v>
      </c>
      <c r="N482" s="80">
        <f>IFERROR(__xludf.DUMMYFUNCTION("""COMPUTED_VALUE"""),2.96875)</f>
        <v>2.96875</v>
      </c>
      <c r="O482" s="80">
        <f>IFERROR(__xludf.DUMMYFUNCTION("""COMPUTED_VALUE"""),368.2395833333333)</f>
        <v>368.2395833</v>
      </c>
      <c r="P482" s="80">
        <f>IFERROR(__xludf.DUMMYFUNCTION("""COMPUTED_VALUE"""),0.7187499999999998)</f>
        <v>0.71875</v>
      </c>
      <c r="Q482" s="80">
        <f>IFERROR(__xludf.DUMMYFUNCTION("""COMPUTED_VALUE"""),0.5416666666666667)</f>
        <v>0.5416666667</v>
      </c>
      <c r="R482" s="80">
        <f>IFERROR(__xludf.DUMMYFUNCTION("""COMPUTED_VALUE"""),1.5416666666666665)</f>
        <v>1.541666667</v>
      </c>
      <c r="S482" s="80">
        <f>IFERROR(__xludf.DUMMYFUNCTION("""COMPUTED_VALUE"""),2.447916666666667)</f>
        <v>2.447916667</v>
      </c>
      <c r="T482" s="80">
        <f>IFERROR(__xludf.DUMMYFUNCTION("""COMPUTED_VALUE"""),372.9120666588974)</f>
        <v>372.9120667</v>
      </c>
      <c r="U482" s="80">
        <f>IFERROR(__xludf.DUMMYFUNCTION("""COMPUTED_VALUE"""),0.7940193217639396)</f>
        <v>0.7940193218</v>
      </c>
      <c r="V482" s="80">
        <f>IFERROR(__xludf.DUMMYFUNCTION("""COMPUTED_VALUE"""),0.6087204680422776)</f>
        <v>0.608720468</v>
      </c>
      <c r="W482" s="80">
        <f>IFERROR(__xludf.DUMMYFUNCTION("""COMPUTED_VALUE"""),1.5184351863803385)</f>
        <v>1.518435186</v>
      </c>
      <c r="X482" s="80">
        <f>IFERROR(__xludf.DUMMYFUNCTION("""COMPUTED_VALUE"""),2.753524714956568)</f>
        <v>2.753524715</v>
      </c>
      <c r="Y482" s="80">
        <f>IFERROR(__xludf.DUMMYFUNCTION("""COMPUTED_VALUE"""),396.31744873508313)</f>
        <v>396.3174487</v>
      </c>
      <c r="Z482" s="80">
        <f>IFERROR(__xludf.DUMMYFUNCTION("""COMPUTED_VALUE"""),0.9137183701863715)</f>
        <v>0.9137183702</v>
      </c>
      <c r="AA482" s="80">
        <f>IFERROR(__xludf.DUMMYFUNCTION("""COMPUTED_VALUE"""),0.7083441921310519)</f>
        <v>0.7083441921</v>
      </c>
      <c r="AB482" s="80">
        <f>IFERROR(__xludf.DUMMYFUNCTION("""COMPUTED_VALUE"""),1.5269410453632908)</f>
        <v>1.526941045</v>
      </c>
      <c r="AC482" s="80">
        <f>IFERROR(__xludf.DUMMYFUNCTION("""COMPUTED_VALUE"""),2.888052888728846)</f>
        <v>2.888052889</v>
      </c>
      <c r="AD482" s="80">
        <f>IFERROR(__xludf.DUMMYFUNCTION("""COMPUTED_VALUE"""),1.074895898123219)</f>
        <v>1.074895898</v>
      </c>
      <c r="AE482" s="80">
        <f>IFERROR(__xludf.DUMMYFUNCTION("""COMPUTED_VALUE"""),0.8550227570018628)</f>
        <v>0.855022757</v>
      </c>
      <c r="AF482" s="80">
        <f>IFERROR(__xludf.DUMMYFUNCTION("""COMPUTED_VALUE"""),0.8823394148538)</f>
        <v>0.8823394149</v>
      </c>
      <c r="AG482" s="80">
        <f>IFERROR(__xludf.DUMMYFUNCTION("""COMPUTED_VALUE"""),1.2484110017138637)</f>
        <v>1.248411002</v>
      </c>
      <c r="AH482" s="80">
        <f>IFERROR(__xludf.DUMMYFUNCTION("""COMPUTED_VALUE"""),1.0279417013400582)</f>
        <v>1.027941701</v>
      </c>
      <c r="AI482" s="80">
        <f>IFERROR(__xludf.DUMMYFUNCTION("""COMPUTED_VALUE"""),0.9874702812182315)</f>
        <v>0.9874702812</v>
      </c>
      <c r="AJ482" s="80">
        <f>IFERROR(__xludf.DUMMYFUNCTION("""COMPUTED_VALUE"""),0.9052046723539087)</f>
        <v>0.9052046724</v>
      </c>
      <c r="AK482" s="80">
        <f>IFERROR(__xludf.DUMMYFUNCTION("""COMPUTED_VALUE"""),0.8898446743687387)</f>
        <v>0.8898446744</v>
      </c>
      <c r="AL482" s="80">
        <f>IFERROR(__xludf.DUMMYFUNCTION("""COMPUTED_VALUE"""),1.0152996193019654)</f>
        <v>1.015299619</v>
      </c>
      <c r="AM482" s="80">
        <f>IFERROR(__xludf.DUMMYFUNCTION("""COMPUTED_VALUE"""),0.8890120554829589)</f>
        <v>0.8890120555</v>
      </c>
      <c r="AN482" s="80">
        <f>IFERROR(__xludf.DUMMYFUNCTION("""COMPUTED_VALUE"""),1.1550363746405783)</f>
        <v>1.155036375</v>
      </c>
      <c r="AO482" s="80">
        <f>IFERROR(__xludf.DUMMYFUNCTION("""COMPUTED_VALUE"""),1.0180439768053062)</f>
        <v>1.018043977</v>
      </c>
      <c r="AP482" s="80">
        <f>IFERROR(__xludf.DUMMYFUNCTION("""COMPUTED_VALUE"""),0.9811358397325766)</f>
        <v>0.9811358397</v>
      </c>
      <c r="AQ482" s="80">
        <f>IFERROR(__xludf.DUMMYFUNCTION("""COMPUTED_VALUE"""),1.3023387780309623)</f>
        <v>1.302338778</v>
      </c>
      <c r="AR482" s="80">
        <f>IFERROR(__xludf.DUMMYFUNCTION("""COMPUTED_VALUE"""),1.1004238438867218)</f>
        <v>1.100423844</v>
      </c>
      <c r="AS482" s="80">
        <f>IFERROR(__xludf.DUMMYFUNCTION("""COMPUTED_VALUE"""),86.0)</f>
        <v>86</v>
      </c>
      <c r="AT482" s="80">
        <f>IFERROR(__xludf.DUMMYFUNCTION("""COMPUTED_VALUE"""),0.5857379361022874)</f>
        <v>0.5857379361</v>
      </c>
      <c r="AU482" s="80">
        <f>IFERROR(__xludf.DUMMYFUNCTION("""COMPUTED_VALUE"""),3.293505344643204)</f>
        <v>3.293505345</v>
      </c>
      <c r="AV482" s="80">
        <f>IFERROR(__xludf.DUMMYFUNCTION("""COMPUTED_VALUE"""),56.485072020312174)</f>
        <v>56.48507202</v>
      </c>
      <c r="AW482" s="82">
        <f t="shared" si="1"/>
        <v>2.514697125</v>
      </c>
      <c r="AX482" s="83">
        <f t="array" ref="AX482">IFERROR(DGET('SBV Import'!A:G,"SBV",{"RSC ID","Tier";B482,A482}))</f>
        <v>73.87718463</v>
      </c>
      <c r="AY482" s="82">
        <f t="shared" si="2"/>
        <v>5.890434831</v>
      </c>
      <c r="AZ482" s="82">
        <v>3.3757377060223424</v>
      </c>
      <c r="BA482" s="84">
        <v>450.0</v>
      </c>
      <c r="BB482" s="84" t="b">
        <f>IFERROR(__xludf.DUMMYFUNCTION("iferror(if(A482="""",,E482&gt;=FILTER(Constants!$F$2:$F$10,Constants!$A$2:$A$10=A482)))"),TRUE)</f>
        <v>1</v>
      </c>
    </row>
    <row r="483">
      <c r="A483" s="80" t="str">
        <f>IFERROR(__xludf.DUMMYFUNCTION("""COMPUTED_VALUE"""),"Master")</f>
        <v>Master</v>
      </c>
      <c r="B483" s="80" t="str">
        <f>IFERROR(__xludf.DUMMYFUNCTION("""COMPUTED_VALUE"""),"RSC007106")</f>
        <v>RSC007106</v>
      </c>
      <c r="C483" s="80" t="str">
        <f>IFERROR(__xludf.DUMMYFUNCTION("""COMPUTED_VALUE"""),"Sim")</f>
        <v>Sim</v>
      </c>
      <c r="D483" s="80" t="str">
        <f>IFERROR(__xludf.DUMMYFUNCTION("""COMPUTED_VALUE"""),"Tempests")</f>
        <v>Tempests</v>
      </c>
      <c r="E483" s="80">
        <f>IFERROR(__xludf.DUMMYFUNCTION("""COMPUTED_VALUE"""),36.0)</f>
        <v>36</v>
      </c>
      <c r="F483" s="80">
        <f>IFERROR(__xludf.DUMMYFUNCTION("""COMPUTED_VALUE"""),19.0)</f>
        <v>19</v>
      </c>
      <c r="G483" s="80">
        <f>IFERROR(__xludf.DUMMYFUNCTION("""COMPUTED_VALUE"""),17.0)</f>
        <v>17</v>
      </c>
      <c r="H483" s="81">
        <f>IFERROR(__xludf.DUMMYFUNCTION("""COMPUTED_VALUE"""),0.5277777777777778)</f>
        <v>0.5277777778</v>
      </c>
      <c r="I483" s="81">
        <f>IFERROR(__xludf.DUMMYFUNCTION("""COMPUTED_VALUE"""),0.31683168316831684)</f>
        <v>0.3168316832</v>
      </c>
      <c r="J483" s="80">
        <f>IFERROR(__xludf.DUMMYFUNCTION("""COMPUTED_VALUE"""),393.3888888888889)</f>
        <v>393.3888889</v>
      </c>
      <c r="K483" s="80">
        <f>IFERROR(__xludf.DUMMYFUNCTION("""COMPUTED_VALUE"""),0.8888888888888888)</f>
        <v>0.8888888889</v>
      </c>
      <c r="L483" s="80">
        <f>IFERROR(__xludf.DUMMYFUNCTION("""COMPUTED_VALUE"""),0.5555555555555556)</f>
        <v>0.5555555556</v>
      </c>
      <c r="M483" s="80">
        <f>IFERROR(__xludf.DUMMYFUNCTION("""COMPUTED_VALUE"""),1.5833333333333333)</f>
        <v>1.583333333</v>
      </c>
      <c r="N483" s="80">
        <f>IFERROR(__xludf.DUMMYFUNCTION("""COMPUTED_VALUE"""),2.8055555555555554)</f>
        <v>2.805555556</v>
      </c>
      <c r="O483" s="80">
        <f>IFERROR(__xludf.DUMMYFUNCTION("""COMPUTED_VALUE"""),354.4351851851852)</f>
        <v>354.4351852</v>
      </c>
      <c r="P483" s="80">
        <f>IFERROR(__xludf.DUMMYFUNCTION("""COMPUTED_VALUE"""),0.8518518518518516)</f>
        <v>0.8518518519</v>
      </c>
      <c r="Q483" s="80">
        <f>IFERROR(__xludf.DUMMYFUNCTION("""COMPUTED_VALUE"""),0.5925925925925924)</f>
        <v>0.5925925926</v>
      </c>
      <c r="R483" s="80">
        <f>IFERROR(__xludf.DUMMYFUNCTION("""COMPUTED_VALUE"""),1.287037037037037)</f>
        <v>1.287037037</v>
      </c>
      <c r="S483" s="80">
        <f>IFERROR(__xludf.DUMMYFUNCTION("""COMPUTED_VALUE"""),2.6388888888888884)</f>
        <v>2.638888889</v>
      </c>
      <c r="T483" s="80">
        <f>IFERROR(__xludf.DUMMYFUNCTION("""COMPUTED_VALUE"""),379.8152630550104)</f>
        <v>379.8152631</v>
      </c>
      <c r="U483" s="80">
        <f>IFERROR(__xludf.DUMMYFUNCTION("""COMPUTED_VALUE"""),0.8424560918186246)</f>
        <v>0.8424560918</v>
      </c>
      <c r="V483" s="80">
        <f>IFERROR(__xludf.DUMMYFUNCTION("""COMPUTED_VALUE"""),0.6719799938475118)</f>
        <v>0.6719799938</v>
      </c>
      <c r="W483" s="80">
        <f>IFERROR(__xludf.DUMMYFUNCTION("""COMPUTED_VALUE"""),1.4805350012642815)</f>
        <v>1.480535001</v>
      </c>
      <c r="X483" s="80">
        <f>IFERROR(__xludf.DUMMYFUNCTION("""COMPUTED_VALUE"""),2.76395318754764)</f>
        <v>2.763953188</v>
      </c>
      <c r="Y483" s="80">
        <f>IFERROR(__xludf.DUMMYFUNCTION("""COMPUTED_VALUE"""),377.95277758707437)</f>
        <v>377.9527776</v>
      </c>
      <c r="Z483" s="80">
        <f>IFERROR(__xludf.DUMMYFUNCTION("""COMPUTED_VALUE"""),0.8442513976578581)</f>
        <v>0.8442513977</v>
      </c>
      <c r="AA483" s="80">
        <f>IFERROR(__xludf.DUMMYFUNCTION("""COMPUTED_VALUE"""),0.6376029476434268)</f>
        <v>0.6376029476</v>
      </c>
      <c r="AB483" s="80">
        <f>IFERROR(__xludf.DUMMYFUNCTION("""COMPUTED_VALUE"""),1.4567490985293792)</f>
        <v>1.456749099</v>
      </c>
      <c r="AC483" s="80">
        <f>IFERROR(__xludf.DUMMYFUNCTION("""COMPUTED_VALUE"""),2.764659652873395)</f>
        <v>2.764659653</v>
      </c>
      <c r="AD483" s="80">
        <f>IFERROR(__xludf.DUMMYFUNCTION("""COMPUTED_VALUE"""),1.040841375476486)</f>
        <v>1.040841375</v>
      </c>
      <c r="AE483" s="80">
        <f>IFERROR(__xludf.DUMMYFUNCTION("""COMPUTED_VALUE"""),1.0528722740108754)</f>
        <v>1.052872274</v>
      </c>
      <c r="AF483" s="80">
        <f>IFERROR(__xludf.DUMMYFUNCTION("""COMPUTED_VALUE"""),0.871318988735674)</f>
        <v>0.8713189887</v>
      </c>
      <c r="AG483" s="80">
        <f>IFERROR(__xludf.DUMMYFUNCTION("""COMPUTED_VALUE"""),1.0868950150247174)</f>
        <v>1.086895015</v>
      </c>
      <c r="AH483" s="80">
        <f>IFERROR(__xludf.DUMMYFUNCTION("""COMPUTED_VALUE"""),1.014792382360576)</f>
        <v>1.014792382</v>
      </c>
      <c r="AI483" s="80">
        <f>IFERROR(__xludf.DUMMYFUNCTION("""COMPUTED_VALUE"""),0.9331778358097492)</f>
        <v>0.9331778358</v>
      </c>
      <c r="AJ483" s="80">
        <f>IFERROR(__xludf.DUMMYFUNCTION("""COMPUTED_VALUE"""),1.0111528186744358)</f>
        <v>1.011152819</v>
      </c>
      <c r="AK483" s="80">
        <f>IFERROR(__xludf.DUMMYFUNCTION("""COMPUTED_VALUE"""),0.8818604690887059)</f>
        <v>0.8818604691</v>
      </c>
      <c r="AL483" s="80">
        <f>IFERROR(__xludf.DUMMYFUNCTION("""COMPUTED_VALUE"""),0.8693053767307023)</f>
        <v>0.8693053767</v>
      </c>
      <c r="AM483" s="80">
        <f>IFERROR(__xludf.DUMMYFUNCTION("""COMPUTED_VALUE"""),0.9547516581604203)</f>
        <v>0.9547516582</v>
      </c>
      <c r="AN483" s="80">
        <f>IFERROR(__xludf.DUMMYFUNCTION("""COMPUTED_VALUE"""),1.0666161409533041)</f>
        <v>1.066616141</v>
      </c>
      <c r="AO483" s="80">
        <f>IFERROR(__xludf.DUMMYFUNCTION("""COMPUTED_VALUE"""),1.1583078136095928)</f>
        <v>1.158307814</v>
      </c>
      <c r="AP483" s="80">
        <f>IFERROR(__xludf.DUMMYFUNCTION("""COMPUTED_VALUE"""),0.872120746428957)</f>
        <v>0.8721207464</v>
      </c>
      <c r="AQ483" s="80">
        <f>IFERROR(__xludf.DUMMYFUNCTION("""COMPUTED_VALUE"""),1.081724012353586)</f>
        <v>1.081724012</v>
      </c>
      <c r="AR483" s="80">
        <f>IFERROR(__xludf.DUMMYFUNCTION("""COMPUTED_VALUE"""),1.0399327086087382)</f>
        <v>1.039932709</v>
      </c>
      <c r="AS483" s="80">
        <f>IFERROR(__xludf.DUMMYFUNCTION("""COMPUTED_VALUE"""),92.0)</f>
        <v>92</v>
      </c>
      <c r="AT483" s="80">
        <f>IFERROR(__xludf.DUMMYFUNCTION("""COMPUTED_VALUE"""),0.5000000000000001)</f>
        <v>0.5</v>
      </c>
      <c r="AU483" s="80">
        <f>IFERROR(__xludf.DUMMYFUNCTION("""COMPUTED_VALUE"""),3.2918515883224178)</f>
        <v>3.291851588</v>
      </c>
      <c r="AV483" s="80">
        <f>IFERROR(__xludf.DUMMYFUNCTION("""COMPUTED_VALUE"""),56.44466313714594)</f>
        <v>56.44466314</v>
      </c>
      <c r="AW483" s="82">
        <f t="shared" si="1"/>
        <v>2.510759659</v>
      </c>
      <c r="AX483" s="83">
        <f t="array" ref="AX483">IFERROR(DGET('SBV Import'!A:G,"SBV",{"RSC ID","Tier";B483,A483}))</f>
        <v>59.16959262</v>
      </c>
      <c r="AY483" s="82">
        <f t="shared" si="2"/>
        <v>2.801982378</v>
      </c>
      <c r="AZ483" s="82">
        <v>0.29122271880616957</v>
      </c>
      <c r="BA483" s="84">
        <v>450.0</v>
      </c>
      <c r="BB483" s="84" t="b">
        <f>IFERROR(__xludf.DUMMYFUNCTION("iferror(if(A483="""",,E483&gt;=FILTER(Constants!$F$2:$F$10,Constants!$A$2:$A$10=A483)))"),TRUE)</f>
        <v>1</v>
      </c>
    </row>
    <row r="484">
      <c r="A484" s="80" t="str">
        <f>IFERROR(__xludf.DUMMYFUNCTION("""COMPUTED_VALUE"""),"Master")</f>
        <v>Master</v>
      </c>
      <c r="B484" s="80" t="str">
        <f>IFERROR(__xludf.DUMMYFUNCTION("""COMPUTED_VALUE"""),"RSC003031")</f>
        <v>RSC003031</v>
      </c>
      <c r="C484" s="80" t="str">
        <f>IFERROR(__xludf.DUMMYFUNCTION("""COMPUTED_VALUE"""),"Yesper")</f>
        <v>Yesper</v>
      </c>
      <c r="D484" s="80" t="str">
        <f>IFERROR(__xludf.DUMMYFUNCTION("""COMPUTED_VALUE"""),"Spectres")</f>
        <v>Spectres</v>
      </c>
      <c r="E484" s="80">
        <f>IFERROR(__xludf.DUMMYFUNCTION("""COMPUTED_VALUE"""),27.0)</f>
        <v>27</v>
      </c>
      <c r="F484" s="80">
        <f>IFERROR(__xludf.DUMMYFUNCTION("""COMPUTED_VALUE"""),10.0)</f>
        <v>10</v>
      </c>
      <c r="G484" s="80">
        <f>IFERROR(__xludf.DUMMYFUNCTION("""COMPUTED_VALUE"""),17.0)</f>
        <v>17</v>
      </c>
      <c r="H484" s="81">
        <f>IFERROR(__xludf.DUMMYFUNCTION("""COMPUTED_VALUE"""),0.37037037037037035)</f>
        <v>0.3703703704</v>
      </c>
      <c r="I484" s="81">
        <f>IFERROR(__xludf.DUMMYFUNCTION("""COMPUTED_VALUE"""),0.26595744680851063)</f>
        <v>0.2659574468</v>
      </c>
      <c r="J484" s="80">
        <f>IFERROR(__xludf.DUMMYFUNCTION("""COMPUTED_VALUE"""),382.5925925925926)</f>
        <v>382.5925926</v>
      </c>
      <c r="K484" s="80">
        <f>IFERROR(__xludf.DUMMYFUNCTION("""COMPUTED_VALUE"""),0.9259259259259259)</f>
        <v>0.9259259259</v>
      </c>
      <c r="L484" s="80">
        <f>IFERROR(__xludf.DUMMYFUNCTION("""COMPUTED_VALUE"""),0.5185185185185185)</f>
        <v>0.5185185185</v>
      </c>
      <c r="M484" s="80">
        <f>IFERROR(__xludf.DUMMYFUNCTION("""COMPUTED_VALUE"""),1.4074074074074074)</f>
        <v>1.407407407</v>
      </c>
      <c r="N484" s="80">
        <f>IFERROR(__xludf.DUMMYFUNCTION("""COMPUTED_VALUE"""),3.4814814814814814)</f>
        <v>3.481481481</v>
      </c>
      <c r="O484" s="80">
        <f>IFERROR(__xludf.DUMMYFUNCTION("""COMPUTED_VALUE"""),429.283950617284)</f>
        <v>429.2839506</v>
      </c>
      <c r="P484" s="80">
        <f>IFERROR(__xludf.DUMMYFUNCTION("""COMPUTED_VALUE"""),1.074074074074074)</f>
        <v>1.074074074</v>
      </c>
      <c r="Q484" s="80">
        <f>IFERROR(__xludf.DUMMYFUNCTION("""COMPUTED_VALUE"""),0.8888888888888888)</f>
        <v>0.8888888889</v>
      </c>
      <c r="R484" s="80">
        <f>IFERROR(__xludf.DUMMYFUNCTION("""COMPUTED_VALUE"""),1.6790123456790127)</f>
        <v>1.679012346</v>
      </c>
      <c r="S484" s="80">
        <f>IFERROR(__xludf.DUMMYFUNCTION("""COMPUTED_VALUE"""),3.1358024691358026)</f>
        <v>3.135802469</v>
      </c>
      <c r="T484" s="80">
        <f>IFERROR(__xludf.DUMMYFUNCTION("""COMPUTED_VALUE"""),390.8037028496999)</f>
        <v>390.8037028</v>
      </c>
      <c r="U484" s="80">
        <f>IFERROR(__xludf.DUMMYFUNCTION("""COMPUTED_VALUE"""),0.9141544256543134)</f>
        <v>0.9141544257</v>
      </c>
      <c r="V484" s="80">
        <f>IFERROR(__xludf.DUMMYFUNCTION("""COMPUTED_VALUE"""),0.6980586018136414)</f>
        <v>0.6980586018</v>
      </c>
      <c r="W484" s="80">
        <f>IFERROR(__xludf.DUMMYFUNCTION("""COMPUTED_VALUE"""),1.4726789612861284)</f>
        <v>1.472678961</v>
      </c>
      <c r="X484" s="80">
        <f>IFERROR(__xludf.DUMMYFUNCTION("""COMPUTED_VALUE"""),2.8091057343079484)</f>
        <v>2.809105734</v>
      </c>
      <c r="Y484" s="80">
        <f>IFERROR(__xludf.DUMMYFUNCTION("""COMPUTED_VALUE"""),373.73843680559133)</f>
        <v>373.7384368</v>
      </c>
      <c r="Z484" s="80">
        <f>IFERROR(__xludf.DUMMYFUNCTION("""COMPUTED_VALUE"""),0.8143624718429181)</f>
        <v>0.8143624718</v>
      </c>
      <c r="AA484" s="80">
        <f>IFERROR(__xludf.DUMMYFUNCTION("""COMPUTED_VALUE"""),0.6335500505514444)</f>
        <v>0.6335500506</v>
      </c>
      <c r="AB484" s="80">
        <f>IFERROR(__xludf.DUMMYFUNCTION("""COMPUTED_VALUE"""),1.4493927027145166)</f>
        <v>1.449392703</v>
      </c>
      <c r="AC484" s="80">
        <f>IFERROR(__xludf.DUMMYFUNCTION("""COMPUTED_VALUE"""),2.756993863189658)</f>
        <v>2.756993863</v>
      </c>
      <c r="AD484" s="80">
        <f>IFERROR(__xludf.DUMMYFUNCTION("""COMPUTED_VALUE"""),1.0236907818812517)</f>
        <v>1.023690782</v>
      </c>
      <c r="AE484" s="80">
        <f>IFERROR(__xludf.DUMMYFUNCTION("""COMPUTED_VALUE"""),1.1369948369925957)</f>
        <v>1.136994837</v>
      </c>
      <c r="AF484" s="80">
        <f>IFERROR(__xludf.DUMMYFUNCTION("""COMPUTED_VALUE"""),0.8184333945947885)</f>
        <v>0.8184333946</v>
      </c>
      <c r="AG484" s="80">
        <f>IFERROR(__xludf.DUMMYFUNCTION("""COMPUTED_VALUE"""),0.9710324915887348)</f>
        <v>0.9710324916</v>
      </c>
      <c r="AH484" s="80">
        <f>IFERROR(__xludf.DUMMYFUNCTION("""COMPUTED_VALUE"""),1.262781730480038)</f>
        <v>1.26278173</v>
      </c>
      <c r="AI484" s="80">
        <f>IFERROR(__xludf.DUMMYFUNCTION("""COMPUTED_VALUE"""),1.0984643888657915)</f>
        <v>1.098464389</v>
      </c>
      <c r="AJ484" s="80">
        <f>IFERROR(__xludf.DUMMYFUNCTION("""COMPUTED_VALUE"""),1.174937235910986)</f>
        <v>1.174937236</v>
      </c>
      <c r="AK484" s="80">
        <f>IFERROR(__xludf.DUMMYFUNCTION("""COMPUTED_VALUE"""),1.2733728752563853)</f>
        <v>1.273372875</v>
      </c>
      <c r="AL484" s="80">
        <f>IFERROR(__xludf.DUMMYFUNCTION("""COMPUTED_VALUE"""),1.14010751142441)</f>
        <v>1.140107511</v>
      </c>
      <c r="AM484" s="80">
        <f>IFERROR(__xludf.DUMMYFUNCTION("""COMPUTED_VALUE"""),1.1162991947358434)</f>
        <v>1.116299195</v>
      </c>
      <c r="AN484" s="80">
        <f>IFERROR(__xludf.DUMMYFUNCTION("""COMPUTED_VALUE"""),1.0373435706865914)</f>
        <v>1.037343571</v>
      </c>
      <c r="AO484" s="80">
        <f>IFERROR(__xludf.DUMMYFUNCTION("""COMPUTED_VALUE"""),1.2065706391766593)</f>
        <v>1.206570639</v>
      </c>
      <c r="AP484" s="80">
        <f>IFERROR(__xludf.DUMMYFUNCTION("""COMPUTED_VALUE"""),0.813979363333693)</f>
        <v>0.8139793633</v>
      </c>
      <c r="AQ484" s="80">
        <f>IFERROR(__xludf.DUMMYFUNCTION("""COMPUTED_VALUE"""),0.9615324554254099)</f>
        <v>0.9615324554</v>
      </c>
      <c r="AR484" s="80">
        <f>IFERROR(__xludf.DUMMYFUNCTION("""COMPUTED_VALUE"""),1.290477552596982)</f>
        <v>1.290477553</v>
      </c>
      <c r="AS484" s="80">
        <f>IFERROR(__xludf.DUMMYFUNCTION("""COMPUTED_VALUE"""),75.0)</f>
        <v>75</v>
      </c>
      <c r="AT484" s="80">
        <f>IFERROR(__xludf.DUMMYFUNCTION("""COMPUTED_VALUE"""),0.43826376552050667)</f>
        <v>0.4382637655</v>
      </c>
      <c r="AU484" s="80">
        <f>IFERROR(__xludf.DUMMYFUNCTION("""COMPUTED_VALUE"""),3.258844572801209)</f>
        <v>3.258844573</v>
      </c>
      <c r="AV484" s="80">
        <f>IFERROR(__xludf.DUMMYFUNCTION("""COMPUTED_VALUE"""),55.63814973665381)</f>
        <v>55.63814974</v>
      </c>
      <c r="AW484" s="82">
        <f t="shared" si="1"/>
        <v>2.434363151</v>
      </c>
      <c r="AX484" s="83">
        <f t="array" ref="AX484">IFERROR(DGET('SBV Import'!A:G,"SBV",{"RSC ID","Tier";B484,A484}))</f>
        <v>35.65017332</v>
      </c>
      <c r="AY484" s="82">
        <f t="shared" si="2"/>
        <v>-3.533740643</v>
      </c>
      <c r="AZ484" s="82">
        <v>5.968103793376276</v>
      </c>
      <c r="BA484" s="84">
        <v>450.0</v>
      </c>
      <c r="BB484" s="84" t="b">
        <f>IFERROR(__xludf.DUMMYFUNCTION("iferror(if(A484="""",,E484&gt;=FILTER(Constants!$F$2:$F$10,Constants!$A$2:$A$10=A484)))"),TRUE)</f>
        <v>1</v>
      </c>
    </row>
    <row r="485">
      <c r="A485" s="80" t="str">
        <f>IFERROR(__xludf.DUMMYFUNCTION("""COMPUTED_VALUE"""),"Master")</f>
        <v>Master</v>
      </c>
      <c r="B485" s="80" t="str">
        <f>IFERROR(__xludf.DUMMYFUNCTION("""COMPUTED_VALUE"""),"RSC002862")</f>
        <v>RSC002862</v>
      </c>
      <c r="C485" s="80" t="str">
        <f>IFERROR(__xludf.DUMMYFUNCTION("""COMPUTED_VALUE"""),"Doodle!")</f>
        <v>Doodle!</v>
      </c>
      <c r="D485" s="80" t="str">
        <f>IFERROR(__xludf.DUMMYFUNCTION("""COMPUTED_VALUE"""),"The OG")</f>
        <v>The OG</v>
      </c>
      <c r="E485" s="80">
        <f>IFERROR(__xludf.DUMMYFUNCTION("""COMPUTED_VALUE"""),29.0)</f>
        <v>29</v>
      </c>
      <c r="F485" s="80">
        <f>IFERROR(__xludf.DUMMYFUNCTION("""COMPUTED_VALUE"""),10.0)</f>
        <v>10</v>
      </c>
      <c r="G485" s="80">
        <f>IFERROR(__xludf.DUMMYFUNCTION("""COMPUTED_VALUE"""),19.0)</f>
        <v>19</v>
      </c>
      <c r="H485" s="81">
        <f>IFERROR(__xludf.DUMMYFUNCTION("""COMPUTED_VALUE"""),0.3448275862068966)</f>
        <v>0.3448275862</v>
      </c>
      <c r="I485" s="81">
        <f>IFERROR(__xludf.DUMMYFUNCTION("""COMPUTED_VALUE"""),0.3068181818181818)</f>
        <v>0.3068181818</v>
      </c>
      <c r="J485" s="80">
        <f>IFERROR(__xludf.DUMMYFUNCTION("""COMPUTED_VALUE"""),386.0689655172414)</f>
        <v>386.0689655</v>
      </c>
      <c r="K485" s="80">
        <f>IFERROR(__xludf.DUMMYFUNCTION("""COMPUTED_VALUE"""),0.9310344827586207)</f>
        <v>0.9310344828</v>
      </c>
      <c r="L485" s="80">
        <f>IFERROR(__xludf.DUMMYFUNCTION("""COMPUTED_VALUE"""),0.5517241379310345)</f>
        <v>0.5517241379</v>
      </c>
      <c r="M485" s="80">
        <f>IFERROR(__xludf.DUMMYFUNCTION("""COMPUTED_VALUE"""),1.4827586206896552)</f>
        <v>1.482758621</v>
      </c>
      <c r="N485" s="80">
        <f>IFERROR(__xludf.DUMMYFUNCTION("""COMPUTED_VALUE"""),3.0344827586206895)</f>
        <v>3.034482759</v>
      </c>
      <c r="O485" s="80">
        <f>IFERROR(__xludf.DUMMYFUNCTION("""COMPUTED_VALUE"""),419.7011494252874)</f>
        <v>419.7011494</v>
      </c>
      <c r="P485" s="80">
        <f>IFERROR(__xludf.DUMMYFUNCTION("""COMPUTED_VALUE"""),0.9770114942528736)</f>
        <v>0.9770114943</v>
      </c>
      <c r="Q485" s="80">
        <f>IFERROR(__xludf.DUMMYFUNCTION("""COMPUTED_VALUE"""),0.7816091954022987)</f>
        <v>0.7816091954</v>
      </c>
      <c r="R485" s="80">
        <f>IFERROR(__xludf.DUMMYFUNCTION("""COMPUTED_VALUE"""),1.67816091954023)</f>
        <v>1.67816092</v>
      </c>
      <c r="S485" s="80">
        <f>IFERROR(__xludf.DUMMYFUNCTION("""COMPUTED_VALUE"""),3.080459770114943)</f>
        <v>3.08045977</v>
      </c>
      <c r="T485" s="80">
        <f>IFERROR(__xludf.DUMMYFUNCTION("""COMPUTED_VALUE"""),391.02919996369144)</f>
        <v>391.0292</v>
      </c>
      <c r="U485" s="80">
        <f>IFERROR(__xludf.DUMMYFUNCTION("""COMPUTED_VALUE"""),0.8953857592534707)</f>
        <v>0.8953857593</v>
      </c>
      <c r="V485" s="80">
        <f>IFERROR(__xludf.DUMMYFUNCTION("""COMPUTED_VALUE"""),0.6376701699018732)</f>
        <v>0.6376701699</v>
      </c>
      <c r="W485" s="80">
        <f>IFERROR(__xludf.DUMMYFUNCTION("""COMPUTED_VALUE"""),1.5034306741453933)</f>
        <v>1.503430674</v>
      </c>
      <c r="X485" s="80">
        <f>IFERROR(__xludf.DUMMYFUNCTION("""COMPUTED_VALUE"""),2.876243639362942)</f>
        <v>2.876243639</v>
      </c>
      <c r="Y485" s="80">
        <f>IFERROR(__xludf.DUMMYFUNCTION("""COMPUTED_VALUE"""),376.97346741740796)</f>
        <v>376.9734674</v>
      </c>
      <c r="Z485" s="80">
        <f>IFERROR(__xludf.DUMMYFUNCTION("""COMPUTED_VALUE"""),0.8306888634197007)</f>
        <v>0.8306888634</v>
      </c>
      <c r="AA485" s="80">
        <f>IFERROR(__xludf.DUMMYFUNCTION("""COMPUTED_VALUE"""),0.63853837429063)</f>
        <v>0.6385383743</v>
      </c>
      <c r="AB485" s="80">
        <f>IFERROR(__xludf.DUMMYFUNCTION("""COMPUTED_VALUE"""),1.476003812142513)</f>
        <v>1.476003812</v>
      </c>
      <c r="AC485" s="80">
        <f>IFERROR(__xludf.DUMMYFUNCTION("""COMPUTED_VALUE"""),2.76920210811237)</f>
        <v>2.769202108</v>
      </c>
      <c r="AD485" s="80">
        <f>IFERROR(__xludf.DUMMYFUNCTION("""COMPUTED_VALUE"""),1.0241276877180387)</f>
        <v>1.024127688</v>
      </c>
      <c r="AE485" s="80">
        <f>IFERROR(__xludf.DUMMYFUNCTION("""COMPUTED_VALUE"""),1.1207980794708463)</f>
        <v>1.120798079</v>
      </c>
      <c r="AF485" s="80">
        <f>IFERROR(__xludf.DUMMYFUNCTION("""COMPUTED_VALUE"""),0.8640422567303965)</f>
        <v>0.8640422567</v>
      </c>
      <c r="AG485" s="80">
        <f>IFERROR(__xludf.DUMMYFUNCTION("""COMPUTED_VALUE"""),1.0045764167352231)</f>
        <v>1.004576417</v>
      </c>
      <c r="AH485" s="80">
        <f>IFERROR(__xludf.DUMMYFUNCTION("""COMPUTED_VALUE"""),1.0957967819434993)</f>
        <v>1.095796782</v>
      </c>
      <c r="AI485" s="80">
        <f>IFERROR(__xludf.DUMMYFUNCTION("""COMPUTED_VALUE"""),1.0733243181436534)</f>
        <v>1.073324318</v>
      </c>
      <c r="AJ485" s="80">
        <f>IFERROR(__xludf.DUMMYFUNCTION("""COMPUTED_VALUE"""),1.0911626459945694)</f>
        <v>1.091162646</v>
      </c>
      <c r="AK485" s="80">
        <f>IFERROR(__xludf.DUMMYFUNCTION("""COMPUTED_VALUE"""),1.2257264527876148)</f>
        <v>1.225726453</v>
      </c>
      <c r="AL485" s="80">
        <f>IFERROR(__xludf.DUMMYFUNCTION("""COMPUTED_VALUE"""),1.116221019299184)</f>
        <v>1.116221019</v>
      </c>
      <c r="AM485" s="80">
        <f>IFERROR(__xludf.DUMMYFUNCTION("""COMPUTED_VALUE"""),1.0710009847417632)</f>
        <v>1.071000985</v>
      </c>
      <c r="AN485" s="80">
        <f>IFERROR(__xludf.DUMMYFUNCTION("""COMPUTED_VALUE"""),1.046769244817542)</f>
        <v>1.046769245</v>
      </c>
      <c r="AO485" s="80">
        <f>IFERROR(__xludf.DUMMYFUNCTION("""COMPUTED_VALUE"""),1.2132275806341857)</f>
        <v>1.213227581</v>
      </c>
      <c r="AP485" s="80">
        <f>IFERROR(__xludf.DUMMYFUNCTION("""COMPUTED_VALUE"""),0.8661061205915158)</f>
        <v>0.8661061206</v>
      </c>
      <c r="AQ485" s="80">
        <f>IFERROR(__xludf.DUMMYFUNCTION("""COMPUTED_VALUE"""),1.0130119607521788)</f>
        <v>1.013011961</v>
      </c>
      <c r="AR485" s="80">
        <f>IFERROR(__xludf.DUMMYFUNCTION("""COMPUTED_VALUE"""),1.1247889453303115)</f>
        <v>1.124788945</v>
      </c>
      <c r="AS485" s="80">
        <f>IFERROR(__xludf.DUMMYFUNCTION("""COMPUTED_VALUE"""),76.0)</f>
        <v>76</v>
      </c>
      <c r="AT485" s="80">
        <f>IFERROR(__xludf.DUMMYFUNCTION("""COMPUTED_VALUE"""),0.45436687322524033)</f>
        <v>0.4543668732</v>
      </c>
      <c r="AU485" s="80">
        <f>IFERROR(__xludf.DUMMYFUNCTION("""COMPUTED_VALUE"""),3.2334574517308563)</f>
        <v>3.233457452</v>
      </c>
      <c r="AV485" s="80">
        <f>IFERROR(__xludf.DUMMYFUNCTION("""COMPUTED_VALUE"""),55.01782545044262)</f>
        <v>55.01782545</v>
      </c>
      <c r="AW485" s="82">
        <f t="shared" si="1"/>
        <v>2.378339096</v>
      </c>
      <c r="AX485" s="83">
        <f t="array" ref="AX485">IFERROR(DGET('SBV Import'!A:G,"SBV",{"RSC ID","Tier";B485,A485}))</f>
        <v>37.41019967</v>
      </c>
      <c r="AY485" s="82">
        <f t="shared" si="2"/>
        <v>-3.254423828</v>
      </c>
      <c r="AZ485" s="82">
        <v>5.6327629242091</v>
      </c>
      <c r="BA485" s="84">
        <v>450.0</v>
      </c>
      <c r="BB485" s="84" t="b">
        <f>IFERROR(__xludf.DUMMYFUNCTION("iferror(if(A485="""",,E485&gt;=FILTER(Constants!$F$2:$F$10,Constants!$A$2:$A$10=A485)))"),TRUE)</f>
        <v>1</v>
      </c>
    </row>
    <row r="486">
      <c r="A486" s="80" t="str">
        <f>IFERROR(__xludf.DUMMYFUNCTION("""COMPUTED_VALUE"""),"Master")</f>
        <v>Master</v>
      </c>
      <c r="B486" s="80" t="str">
        <f>IFERROR(__xludf.DUMMYFUNCTION("""COMPUTED_VALUE"""),"RSC000839")</f>
        <v>RSC000839</v>
      </c>
      <c r="C486" s="80" t="str">
        <f>IFERROR(__xludf.DUMMYFUNCTION("""COMPUTED_VALUE"""),"p0larbear")</f>
        <v>p0larbear</v>
      </c>
      <c r="D486" s="80" t="str">
        <f>IFERROR(__xludf.DUMMYFUNCTION("""COMPUTED_VALUE"""),"Heinous Henchmen")</f>
        <v>Heinous Henchmen</v>
      </c>
      <c r="E486" s="80">
        <f>IFERROR(__xludf.DUMMYFUNCTION("""COMPUTED_VALUE"""),32.0)</f>
        <v>32</v>
      </c>
      <c r="F486" s="80">
        <f>IFERROR(__xludf.DUMMYFUNCTION("""COMPUTED_VALUE"""),12.0)</f>
        <v>12</v>
      </c>
      <c r="G486" s="80">
        <f>IFERROR(__xludf.DUMMYFUNCTION("""COMPUTED_VALUE"""),20.0)</f>
        <v>20</v>
      </c>
      <c r="H486" s="81">
        <f>IFERROR(__xludf.DUMMYFUNCTION("""COMPUTED_VALUE"""),0.375)</f>
        <v>0.375</v>
      </c>
      <c r="I486" s="81">
        <f>IFERROR(__xludf.DUMMYFUNCTION("""COMPUTED_VALUE"""),0.28888888888888886)</f>
        <v>0.2888888889</v>
      </c>
      <c r="J486" s="80">
        <f>IFERROR(__xludf.DUMMYFUNCTION("""COMPUTED_VALUE"""),387.5625)</f>
        <v>387.5625</v>
      </c>
      <c r="K486" s="80">
        <f>IFERROR(__xludf.DUMMYFUNCTION("""COMPUTED_VALUE"""),0.8125)</f>
        <v>0.8125</v>
      </c>
      <c r="L486" s="80">
        <f>IFERROR(__xludf.DUMMYFUNCTION("""COMPUTED_VALUE"""),0.6875)</f>
        <v>0.6875</v>
      </c>
      <c r="M486" s="80">
        <f>IFERROR(__xludf.DUMMYFUNCTION("""COMPUTED_VALUE"""),1.59375)</f>
        <v>1.59375</v>
      </c>
      <c r="N486" s="80">
        <f>IFERROR(__xludf.DUMMYFUNCTION("""COMPUTED_VALUE"""),2.8125)</f>
        <v>2.8125</v>
      </c>
      <c r="O486" s="80">
        <f>IFERROR(__xludf.DUMMYFUNCTION("""COMPUTED_VALUE"""),383.4375)</f>
        <v>383.4375</v>
      </c>
      <c r="P486" s="80">
        <f>IFERROR(__xludf.DUMMYFUNCTION("""COMPUTED_VALUE"""),0.8541666666666666)</f>
        <v>0.8541666667</v>
      </c>
      <c r="Q486" s="80">
        <f>IFERROR(__xludf.DUMMYFUNCTION("""COMPUTED_VALUE"""),0.6666666666666667)</f>
        <v>0.6666666667</v>
      </c>
      <c r="R486" s="80">
        <f>IFERROR(__xludf.DUMMYFUNCTION("""COMPUTED_VALUE"""),1.4791666666666667)</f>
        <v>1.479166667</v>
      </c>
      <c r="S486" s="80">
        <f>IFERROR(__xludf.DUMMYFUNCTION("""COMPUTED_VALUE"""),3.0625)</f>
        <v>3.0625</v>
      </c>
      <c r="T486" s="80">
        <f>IFERROR(__xludf.DUMMYFUNCTION("""COMPUTED_VALUE"""),372.1406986236347)</f>
        <v>372.1406986</v>
      </c>
      <c r="U486" s="80">
        <f>IFERROR(__xludf.DUMMYFUNCTION("""COMPUTED_VALUE"""),0.8274991555071877)</f>
        <v>0.8274991555</v>
      </c>
      <c r="V486" s="80">
        <f>IFERROR(__xludf.DUMMYFUNCTION("""COMPUTED_VALUE"""),0.6444515232936279)</f>
        <v>0.6444515233</v>
      </c>
      <c r="W486" s="80">
        <f>IFERROR(__xludf.DUMMYFUNCTION("""COMPUTED_VALUE"""),1.4184236192541553)</f>
        <v>1.418423619</v>
      </c>
      <c r="X486" s="80">
        <f>IFERROR(__xludf.DUMMYFUNCTION("""COMPUTED_VALUE"""),2.728695487965141)</f>
        <v>2.728695488</v>
      </c>
      <c r="Y486" s="80">
        <f>IFERROR(__xludf.DUMMYFUNCTION("""COMPUTED_VALUE"""),384.2559685573038)</f>
        <v>384.2559686</v>
      </c>
      <c r="Z486" s="80">
        <f>IFERROR(__xludf.DUMMYFUNCTION("""COMPUTED_VALUE"""),0.8747815476118146)</f>
        <v>0.8747815476</v>
      </c>
      <c r="AA486" s="80">
        <f>IFERROR(__xludf.DUMMYFUNCTION("""COMPUTED_VALUE"""),0.6735265307498645)</f>
        <v>0.6735265307</v>
      </c>
      <c r="AB486" s="80">
        <f>IFERROR(__xludf.DUMMYFUNCTION("""COMPUTED_VALUE"""),1.4686840093595965)</f>
        <v>1.468684009</v>
      </c>
      <c r="AC486" s="80">
        <f>IFERROR(__xludf.DUMMYFUNCTION("""COMPUTED_VALUE"""),2.828833457178888)</f>
        <v>2.828833457</v>
      </c>
      <c r="AD486" s="80">
        <f>IFERROR(__xludf.DUMMYFUNCTION("""COMPUTED_VALUE"""),1.0086050229879595)</f>
        <v>1.008605023</v>
      </c>
      <c r="AE486" s="80">
        <f>IFERROR(__xludf.DUMMYFUNCTION("""COMPUTED_VALUE"""),0.928803313487984)</f>
        <v>0.9288033135</v>
      </c>
      <c r="AF486" s="80">
        <f>IFERROR(__xludf.DUMMYFUNCTION("""COMPUTED_VALUE"""),1.0207467243117778)</f>
        <v>1.020746724</v>
      </c>
      <c r="AG486" s="80">
        <f>IFERROR(__xludf.DUMMYFUNCTION("""COMPUTED_VALUE"""),1.0851551387796052)</f>
        <v>1.085155139</v>
      </c>
      <c r="AH486" s="80">
        <f>IFERROR(__xludf.DUMMYFUNCTION("""COMPUTED_VALUE"""),0.9942260803168042)</f>
        <v>0.9942260803</v>
      </c>
      <c r="AI486" s="80">
        <f>IFERROR(__xludf.DUMMYFUNCTION("""COMPUTED_VALUE"""),1.0303562642251884)</f>
        <v>1.030356264</v>
      </c>
      <c r="AJ486" s="80">
        <f>IFERROR(__xludf.DUMMYFUNCTION("""COMPUTED_VALUE"""),1.0322266324769045)</f>
        <v>1.032226632</v>
      </c>
      <c r="AK486" s="80">
        <f>IFERROR(__xludf.DUMMYFUNCTION("""COMPUTED_VALUE"""),1.0344713955512168)</f>
        <v>1.034471396</v>
      </c>
      <c r="AL486" s="80">
        <f>IFERROR(__xludf.DUMMYFUNCTION("""COMPUTED_VALUE"""),1.042824334414603)</f>
        <v>1.042824334</v>
      </c>
      <c r="AM486" s="80">
        <f>IFERROR(__xludf.DUMMYFUNCTION("""COMPUTED_VALUE"""),1.1223311701533196)</f>
        <v>1.12233117</v>
      </c>
      <c r="AN486" s="80">
        <f>IFERROR(__xludf.DUMMYFUNCTION("""COMPUTED_VALUE"""),1.0508187440061951)</f>
        <v>1.050818744</v>
      </c>
      <c r="AO486" s="80">
        <f>IFERROR(__xludf.DUMMYFUNCTION("""COMPUTED_VALUE"""),1.0587657358775184)</f>
        <v>1.058765736</v>
      </c>
      <c r="AP486" s="80">
        <f>IFERROR(__xludf.DUMMYFUNCTION("""COMPUTED_VALUE"""),1.079249423705834)</f>
        <v>1.079249424</v>
      </c>
      <c r="AQ486" s="80">
        <f>IFERROR(__xludf.DUMMYFUNCTION("""COMPUTED_VALUE"""),1.0888406176980177)</f>
        <v>1.088840618</v>
      </c>
      <c r="AR486" s="80">
        <f>IFERROR(__xludf.DUMMYFUNCTION("""COMPUTED_VALUE"""),1.042506799471631)</f>
        <v>1.042506799</v>
      </c>
      <c r="AS486" s="80">
        <f>IFERROR(__xludf.DUMMYFUNCTION("""COMPUTED_VALUE"""),73.0)</f>
        <v>73</v>
      </c>
      <c r="AT486" s="80">
        <f>IFERROR(__xludf.DUMMYFUNCTION("""COMPUTED_VALUE"""),0.4544163401774224)</f>
        <v>0.4544163402</v>
      </c>
      <c r="AU486" s="80">
        <f>IFERROR(__xludf.DUMMYFUNCTION("""COMPUTED_VALUE"""),3.207792304028855)</f>
        <v>3.207792304</v>
      </c>
      <c r="AV486" s="80">
        <f>IFERROR(__xludf.DUMMYFUNCTION("""COMPUTED_VALUE"""),54.39070769318967)</f>
        <v>54.39070769</v>
      </c>
      <c r="AW486" s="82">
        <f t="shared" si="1"/>
        <v>2.323997938</v>
      </c>
      <c r="AX486" s="83">
        <f t="array" ref="AX486">IFERROR(DGET('SBV Import'!A:G,"SBV",{"RSC ID","Tier";B486,A486}))</f>
        <v>48.17427141</v>
      </c>
      <c r="AY486" s="82">
        <f t="shared" si="2"/>
        <v>-2.123631619</v>
      </c>
      <c r="AZ486" s="82">
        <v>4.447629556520182</v>
      </c>
      <c r="BA486" s="84">
        <v>450.0</v>
      </c>
      <c r="BB486" s="84" t="b">
        <f>IFERROR(__xludf.DUMMYFUNCTION("iferror(if(A486="""",,E486&gt;=FILTER(Constants!$F$2:$F$10,Constants!$A$2:$A$10=A486)))"),TRUE)</f>
        <v>1</v>
      </c>
    </row>
    <row r="487">
      <c r="A487" s="80" t="str">
        <f>IFERROR(__xludf.DUMMYFUNCTION("""COMPUTED_VALUE"""),"Master")</f>
        <v>Master</v>
      </c>
      <c r="B487" s="80" t="str">
        <f>IFERROR(__xludf.DUMMYFUNCTION("""COMPUTED_VALUE"""),"RSC007809")</f>
        <v>RSC007809</v>
      </c>
      <c r="C487" s="80" t="str">
        <f>IFERROR(__xludf.DUMMYFUNCTION("""COMPUTED_VALUE"""),"wndr")</f>
        <v>wndr</v>
      </c>
      <c r="D487" s="80" t="str">
        <f>IFERROR(__xludf.DUMMYFUNCTION("""COMPUTED_VALUE"""),"Basilisks")</f>
        <v>Basilisks</v>
      </c>
      <c r="E487" s="80">
        <f>IFERROR(__xludf.DUMMYFUNCTION("""COMPUTED_VALUE"""),27.0)</f>
        <v>27</v>
      </c>
      <c r="F487" s="80">
        <f>IFERROR(__xludf.DUMMYFUNCTION("""COMPUTED_VALUE"""),20.0)</f>
        <v>20</v>
      </c>
      <c r="G487" s="80">
        <f>IFERROR(__xludf.DUMMYFUNCTION("""COMPUTED_VALUE"""),7.0)</f>
        <v>7</v>
      </c>
      <c r="H487" s="81">
        <f>IFERROR(__xludf.DUMMYFUNCTION("""COMPUTED_VALUE"""),0.7407407407407407)</f>
        <v>0.7407407407</v>
      </c>
      <c r="I487" s="81">
        <f>IFERROR(__xludf.DUMMYFUNCTION("""COMPUTED_VALUE"""),0.328125)</f>
        <v>0.328125</v>
      </c>
      <c r="J487" s="80">
        <f>IFERROR(__xludf.DUMMYFUNCTION("""COMPUTED_VALUE"""),357.51851851851853)</f>
        <v>357.5185185</v>
      </c>
      <c r="K487" s="80">
        <f>IFERROR(__xludf.DUMMYFUNCTION("""COMPUTED_VALUE"""),0.7777777777777778)</f>
        <v>0.7777777778</v>
      </c>
      <c r="L487" s="80">
        <f>IFERROR(__xludf.DUMMYFUNCTION("""COMPUTED_VALUE"""),0.7777777777777778)</f>
        <v>0.7777777778</v>
      </c>
      <c r="M487" s="80">
        <f>IFERROR(__xludf.DUMMYFUNCTION("""COMPUTED_VALUE"""),1.2962962962962963)</f>
        <v>1.296296296</v>
      </c>
      <c r="N487" s="80">
        <f>IFERROR(__xludf.DUMMYFUNCTION("""COMPUTED_VALUE"""),2.3703703703703702)</f>
        <v>2.37037037</v>
      </c>
      <c r="O487" s="80">
        <f>IFERROR(__xludf.DUMMYFUNCTION("""COMPUTED_VALUE"""),347.7654320987655)</f>
        <v>347.7654321</v>
      </c>
      <c r="P487" s="80">
        <f>IFERROR(__xludf.DUMMYFUNCTION("""COMPUTED_VALUE"""),0.6666666666666669)</f>
        <v>0.6666666667</v>
      </c>
      <c r="Q487" s="80">
        <f>IFERROR(__xludf.DUMMYFUNCTION("""COMPUTED_VALUE"""),0.5308641975308642)</f>
        <v>0.5308641975</v>
      </c>
      <c r="R487" s="80">
        <f>IFERROR(__xludf.DUMMYFUNCTION("""COMPUTED_VALUE"""),1.5061728395061726)</f>
        <v>1.50617284</v>
      </c>
      <c r="S487" s="80">
        <f>IFERROR(__xludf.DUMMYFUNCTION("""COMPUTED_VALUE"""),2.691358024691358)</f>
        <v>2.691358025</v>
      </c>
      <c r="T487" s="80">
        <f>IFERROR(__xludf.DUMMYFUNCTION("""COMPUTED_VALUE"""),375.68685962972535)</f>
        <v>375.6868596</v>
      </c>
      <c r="U487" s="80">
        <f>IFERROR(__xludf.DUMMYFUNCTION("""COMPUTED_VALUE"""),0.7878511323045456)</f>
        <v>0.7878511323</v>
      </c>
      <c r="V487" s="80">
        <f>IFERROR(__xludf.DUMMYFUNCTION("""COMPUTED_VALUE"""),0.6325296862776759)</f>
        <v>0.6325296863</v>
      </c>
      <c r="W487" s="80">
        <f>IFERROR(__xludf.DUMMYFUNCTION("""COMPUTED_VALUE"""),1.5503006110951603)</f>
        <v>1.550300611</v>
      </c>
      <c r="X487" s="80">
        <f>IFERROR(__xludf.DUMMYFUNCTION("""COMPUTED_VALUE"""),2.737322148142433)</f>
        <v>2.737322148</v>
      </c>
      <c r="Y487" s="80">
        <f>IFERROR(__xludf.DUMMYFUNCTION("""COMPUTED_VALUE"""),395.3556037815305)</f>
        <v>395.3556038</v>
      </c>
      <c r="Z487" s="80">
        <f>IFERROR(__xludf.DUMMYFUNCTION("""COMPUTED_VALUE"""),0.9063292183050433)</f>
        <v>0.9063292183</v>
      </c>
      <c r="AA487" s="80">
        <f>IFERROR(__xludf.DUMMYFUNCTION("""COMPUTED_VALUE"""),0.7031564860208545)</f>
        <v>0.703156486</v>
      </c>
      <c r="AB487" s="80">
        <f>IFERROR(__xludf.DUMMYFUNCTION("""COMPUTED_VALUE"""),1.5231431890570815)</f>
        <v>1.523143189</v>
      </c>
      <c r="AC487" s="80">
        <f>IFERROR(__xludf.DUMMYFUNCTION("""COMPUTED_VALUE"""),2.9454236540453653)</f>
        <v>2.945423654</v>
      </c>
      <c r="AD487" s="80">
        <f>IFERROR(__xludf.DUMMYFUNCTION("""COMPUTED_VALUE"""),0.9042960694091481)</f>
        <v>0.9042960694</v>
      </c>
      <c r="AE487" s="80">
        <f>IFERROR(__xludf.DUMMYFUNCTION("""COMPUTED_VALUE"""),0.8581625330719516)</f>
        <v>0.8581625331</v>
      </c>
      <c r="AF487" s="80">
        <f>IFERROR(__xludf.DUMMYFUNCTION("""COMPUTED_VALUE"""),1.1061233071733483)</f>
        <v>1.106123307</v>
      </c>
      <c r="AG487" s="80">
        <f>IFERROR(__xludf.DUMMYFUNCTION("""COMPUTED_VALUE"""),0.8510666007040236)</f>
        <v>0.8510666007</v>
      </c>
      <c r="AH487" s="80">
        <f>IFERROR(__xludf.DUMMYFUNCTION("""COMPUTED_VALUE"""),0.8047638128779222)</f>
        <v>0.8047638129</v>
      </c>
      <c r="AI487" s="80">
        <f>IFERROR(__xludf.DUMMYFUNCTION("""COMPUTED_VALUE"""),0.9256789881911786)</f>
        <v>0.9256789882</v>
      </c>
      <c r="AJ487" s="80">
        <f>IFERROR(__xludf.DUMMYFUNCTION("""COMPUTED_VALUE"""),0.846183548301312)</f>
        <v>0.8461835483</v>
      </c>
      <c r="AK487" s="80">
        <f>IFERROR(__xludf.DUMMYFUNCTION("""COMPUTED_VALUE"""),0.8392715931720218)</f>
        <v>0.8392715932</v>
      </c>
      <c r="AL487" s="80">
        <f>IFERROR(__xludf.DUMMYFUNCTION("""COMPUTED_VALUE"""),0.9715359903278274)</f>
        <v>0.9715359903</v>
      </c>
      <c r="AM487" s="80">
        <f>IFERROR(__xludf.DUMMYFUNCTION("""COMPUTED_VALUE"""),0.9832083616894466)</f>
        <v>0.9832083617</v>
      </c>
      <c r="AN487" s="80">
        <f>IFERROR(__xludf.DUMMYFUNCTION("""COMPUTED_VALUE"""),0.9693589049213618)</f>
        <v>0.9693589049</v>
      </c>
      <c r="AO487" s="80">
        <f>IFERROR(__xludf.DUMMYFUNCTION("""COMPUTED_VALUE"""),1.013519336908394)</f>
        <v>1.013519337</v>
      </c>
      <c r="AP487" s="80">
        <f>IFERROR(__xludf.DUMMYFUNCTION("""COMPUTED_VALUE"""),1.2209690450005397)</f>
        <v>1.220969045</v>
      </c>
      <c r="AQ487" s="80">
        <f>IFERROR(__xludf.DUMMYFUNCTION("""COMPUTED_VALUE"""),0.8856219984181407)</f>
        <v>0.8856219984</v>
      </c>
      <c r="AR487" s="80">
        <f>IFERROR(__xludf.DUMMYFUNCTION("""COMPUTED_VALUE"""),0.8786230145341154)</f>
        <v>0.8786230145</v>
      </c>
      <c r="AS487" s="80">
        <f>IFERROR(__xludf.DUMMYFUNCTION("""COMPUTED_VALUE"""),84.0)</f>
        <v>84</v>
      </c>
      <c r="AT487" s="80">
        <f>IFERROR(__xludf.DUMMYFUNCTION("""COMPUTED_VALUE"""),0.669443736679443)</f>
        <v>0.6694437367</v>
      </c>
      <c r="AU487" s="80">
        <f>IFERROR(__xludf.DUMMYFUNCTION("""COMPUTED_VALUE"""),3.184842560417611)</f>
        <v>3.18484256</v>
      </c>
      <c r="AV487" s="80">
        <f>IFERROR(__xludf.DUMMYFUNCTION("""COMPUTED_VALUE"""),53.82993976346171)</f>
        <v>53.82993976</v>
      </c>
      <c r="AW487" s="82">
        <f t="shared" si="1"/>
        <v>2.277275464</v>
      </c>
      <c r="AX487" s="83">
        <f t="array" ref="AX487">IFERROR(DGET('SBV Import'!A:G,"SBV",{"RSC ID","Tier";B487,A487}))</f>
        <v>40.37558525</v>
      </c>
      <c r="AY487" s="82">
        <f t="shared" si="2"/>
        <v>-2.8561034</v>
      </c>
      <c r="AZ487" s="82">
        <v>5.133378863264705</v>
      </c>
      <c r="BA487" s="84">
        <v>450.0</v>
      </c>
      <c r="BB487" s="84" t="b">
        <f>IFERROR(__xludf.DUMMYFUNCTION("iferror(if(A487="""",,E487&gt;=FILTER(Constants!$F$2:$F$10,Constants!$A$2:$A$10=A487)))"),TRUE)</f>
        <v>1</v>
      </c>
    </row>
    <row r="488">
      <c r="A488" s="80" t="str">
        <f>IFERROR(__xludf.DUMMYFUNCTION("""COMPUTED_VALUE"""),"Master")</f>
        <v>Master</v>
      </c>
      <c r="B488" s="80" t="str">
        <f>IFERROR(__xludf.DUMMYFUNCTION("""COMPUTED_VALUE"""),"RSC007412")</f>
        <v>RSC007412</v>
      </c>
      <c r="C488" s="80" t="str">
        <f>IFERROR(__xludf.DUMMYFUNCTION("""COMPUTED_VALUE"""),"spuf.")</f>
        <v>spuf.</v>
      </c>
      <c r="D488" s="80" t="str">
        <f>IFERROR(__xludf.DUMMYFUNCTION("""COMPUTED_VALUE"""),"Care Bears")</f>
        <v>Care Bears</v>
      </c>
      <c r="E488" s="80">
        <f>IFERROR(__xludf.DUMMYFUNCTION("""COMPUTED_VALUE"""),27.0)</f>
        <v>27</v>
      </c>
      <c r="F488" s="80">
        <f>IFERROR(__xludf.DUMMYFUNCTION("""COMPUTED_VALUE"""),10.0)</f>
        <v>10</v>
      </c>
      <c r="G488" s="80">
        <f>IFERROR(__xludf.DUMMYFUNCTION("""COMPUTED_VALUE"""),17.0)</f>
        <v>17</v>
      </c>
      <c r="H488" s="81">
        <f>IFERROR(__xludf.DUMMYFUNCTION("""COMPUTED_VALUE"""),0.37037037037037035)</f>
        <v>0.3703703704</v>
      </c>
      <c r="I488" s="81">
        <f>IFERROR(__xludf.DUMMYFUNCTION("""COMPUTED_VALUE"""),0.34848484848484845)</f>
        <v>0.3484848485</v>
      </c>
      <c r="J488" s="80">
        <f>IFERROR(__xludf.DUMMYFUNCTION("""COMPUTED_VALUE"""),392.4074074074074)</f>
        <v>392.4074074</v>
      </c>
      <c r="K488" s="80">
        <f>IFERROR(__xludf.DUMMYFUNCTION("""COMPUTED_VALUE"""),0.8518518518518519)</f>
        <v>0.8518518519</v>
      </c>
      <c r="L488" s="80">
        <f>IFERROR(__xludf.DUMMYFUNCTION("""COMPUTED_VALUE"""),0.6296296296296297)</f>
        <v>0.6296296296</v>
      </c>
      <c r="M488" s="80">
        <f>IFERROR(__xludf.DUMMYFUNCTION("""COMPUTED_VALUE"""),1.6296296296296295)</f>
        <v>1.62962963</v>
      </c>
      <c r="N488" s="80">
        <f>IFERROR(__xludf.DUMMYFUNCTION("""COMPUTED_VALUE"""),2.4444444444444446)</f>
        <v>2.444444444</v>
      </c>
      <c r="O488" s="80">
        <f>IFERROR(__xludf.DUMMYFUNCTION("""COMPUTED_VALUE"""),387.14814814814815)</f>
        <v>387.1481481</v>
      </c>
      <c r="P488" s="80">
        <f>IFERROR(__xludf.DUMMYFUNCTION("""COMPUTED_VALUE"""),0.9629629629629628)</f>
        <v>0.962962963</v>
      </c>
      <c r="Q488" s="80">
        <f>IFERROR(__xludf.DUMMYFUNCTION("""COMPUTED_VALUE"""),0.7654320987654322)</f>
        <v>0.7654320988</v>
      </c>
      <c r="R488" s="80">
        <f>IFERROR(__xludf.DUMMYFUNCTION("""COMPUTED_VALUE"""),1.3456790123456785)</f>
        <v>1.345679012</v>
      </c>
      <c r="S488" s="80">
        <f>IFERROR(__xludf.DUMMYFUNCTION("""COMPUTED_VALUE"""),2.8148148148148144)</f>
        <v>2.814814815</v>
      </c>
      <c r="T488" s="80">
        <f>IFERROR(__xludf.DUMMYFUNCTION("""COMPUTED_VALUE"""),396.30315202247704)</f>
        <v>396.303152</v>
      </c>
      <c r="U488" s="80">
        <f>IFERROR(__xludf.DUMMYFUNCTION("""COMPUTED_VALUE"""),0.9218025236947419)</f>
        <v>0.9218025237</v>
      </c>
      <c r="V488" s="80">
        <f>IFERROR(__xludf.DUMMYFUNCTION("""COMPUTED_VALUE"""),0.7289602200277108)</f>
        <v>0.72896022</v>
      </c>
      <c r="W488" s="80">
        <f>IFERROR(__xludf.DUMMYFUNCTION("""COMPUTED_VALUE"""),1.4918566648031513)</f>
        <v>1.491856665</v>
      </c>
      <c r="X488" s="80">
        <f>IFERROR(__xludf.DUMMYFUNCTION("""COMPUTED_VALUE"""),2.958618277187369)</f>
        <v>2.958618277</v>
      </c>
      <c r="Y488" s="80">
        <f>IFERROR(__xludf.DUMMYFUNCTION("""COMPUTED_VALUE"""),381.381925777152)</f>
        <v>381.3819258</v>
      </c>
      <c r="Z488" s="80">
        <f>IFERROR(__xludf.DUMMYFUNCTION("""COMPUTED_VALUE"""),0.8357833432106754)</f>
        <v>0.8357833432</v>
      </c>
      <c r="AA488" s="80">
        <f>IFERROR(__xludf.DUMMYFUNCTION("""COMPUTED_VALUE"""),0.6526140798176959)</f>
        <v>0.6526140798</v>
      </c>
      <c r="AB488" s="80">
        <f>IFERROR(__xludf.DUMMYFUNCTION("""COMPUTED_VALUE"""),1.5128250387958517)</f>
        <v>1.512825039</v>
      </c>
      <c r="AC488" s="80">
        <f>IFERROR(__xludf.DUMMYFUNCTION("""COMPUTED_VALUE"""),2.784731843000596)</f>
        <v>2.784731843</v>
      </c>
      <c r="AD488" s="80">
        <f>IFERROR(__xludf.DUMMYFUNCTION("""COMPUTED_VALUE"""),1.0289092924573928)</f>
        <v>1.028909292</v>
      </c>
      <c r="AE488" s="80">
        <f>IFERROR(__xludf.DUMMYFUNCTION("""COMPUTED_VALUE"""),1.0192256866228622)</f>
        <v>1.019225687</v>
      </c>
      <c r="AF488" s="80">
        <f>IFERROR(__xludf.DUMMYFUNCTION("""COMPUTED_VALUE"""),0.9647809465059551)</f>
        <v>0.9647809465</v>
      </c>
      <c r="AG488" s="80">
        <f>IFERROR(__xludf.DUMMYFUNCTION("""COMPUTED_VALUE"""),1.0772095832884612)</f>
        <v>1.077209583</v>
      </c>
      <c r="AH488" s="80">
        <f>IFERROR(__xludf.DUMMYFUNCTION("""COMPUTED_VALUE"""),0.8778024536145334)</f>
        <v>0.8778024536</v>
      </c>
      <c r="AI488" s="80">
        <f>IFERROR(__xludf.DUMMYFUNCTION("""COMPUTED_VALUE"""),0.9768989879903613)</f>
        <v>0.976898988</v>
      </c>
      <c r="AJ488" s="80">
        <f>IFERROR(__xludf.DUMMYFUNCTION("""COMPUTED_VALUE"""),1.0446521225644325)</f>
        <v>1.044652123</v>
      </c>
      <c r="AK488" s="80">
        <f>IFERROR(__xludf.DUMMYFUNCTION("""COMPUTED_VALUE"""),1.0500327421657316)</f>
        <v>1.050032742</v>
      </c>
      <c r="AL488" s="80">
        <f>IFERROR(__xludf.DUMMYFUNCTION("""COMPUTED_VALUE"""),0.9020162888927666)</f>
        <v>0.9020162889</v>
      </c>
      <c r="AM488" s="80">
        <f>IFERROR(__xludf.DUMMYFUNCTION("""COMPUTED_VALUE"""),0.9513950604978814)</f>
        <v>0.9513950605</v>
      </c>
      <c r="AN488" s="80">
        <f>IFERROR(__xludf.DUMMYFUNCTION("""COMPUTED_VALUE"""),1.0639549982017846)</f>
        <v>1.063954998</v>
      </c>
      <c r="AO488" s="80">
        <f>IFERROR(__xludf.DUMMYFUNCTION("""COMPUTED_VALUE"""),1.1100449880425265)</f>
        <v>1.110044988</v>
      </c>
      <c r="AP488" s="80">
        <f>IFERROR(__xludf.DUMMYFUNCTION("""COMPUTED_VALUE"""),0.9884035126194846)</f>
        <v>0.9884035126</v>
      </c>
      <c r="AQ488" s="80">
        <f>IFERROR(__xludf.DUMMYFUNCTION("""COMPUTED_VALUE"""),1.1133533694399482)</f>
        <v>1.113353369</v>
      </c>
      <c r="AR488" s="80">
        <f>IFERROR(__xludf.DUMMYFUNCTION("""COMPUTED_VALUE"""),0.9060799837383067)</f>
        <v>0.9060799837</v>
      </c>
      <c r="AS488" s="80">
        <f>IFERROR(__xludf.DUMMYFUNCTION("""COMPUTED_VALUE"""),54.0)</f>
        <v>54</v>
      </c>
      <c r="AT488" s="80">
        <f>IFERROR(__xludf.DUMMYFUNCTION("""COMPUTED_VALUE"""),0.3589638670182884)</f>
        <v>0.358963867</v>
      </c>
      <c r="AU488" s="80">
        <f>IFERROR(__xludf.DUMMYFUNCTION("""COMPUTED_VALUE"""),3.176541280446426)</f>
        <v>3.17654128</v>
      </c>
      <c r="AV488" s="80">
        <f>IFERROR(__xludf.DUMMYFUNCTION("""COMPUTED_VALUE"""),53.62710126284975)</f>
        <v>53.62710126</v>
      </c>
      <c r="AW488" s="82">
        <f t="shared" si="1"/>
        <v>2.260795128</v>
      </c>
      <c r="AX488" s="83">
        <f t="array" ref="AX488">IFERROR(DGET('SBV Import'!A:G,"SBV",{"RSC ID","Tier";B488,A488}))</f>
        <v>54.39447823</v>
      </c>
      <c r="AY488" s="82">
        <f t="shared" si="2"/>
        <v>2.324317975</v>
      </c>
      <c r="AZ488" s="82">
        <v>0.06352284713965384</v>
      </c>
      <c r="BA488" s="84">
        <v>450.0</v>
      </c>
      <c r="BB488" s="84" t="b">
        <f>IFERROR(__xludf.DUMMYFUNCTION("iferror(if(A488="""",,E488&gt;=FILTER(Constants!$F$2:$F$10,Constants!$A$2:$A$10=A488)))"),TRUE)</f>
        <v>1</v>
      </c>
    </row>
    <row r="489">
      <c r="A489" s="80" t="str">
        <f>IFERROR(__xludf.DUMMYFUNCTION("""COMPUTED_VALUE"""),"Master")</f>
        <v>Master</v>
      </c>
      <c r="B489" s="80" t="str">
        <f>IFERROR(__xludf.DUMMYFUNCTION("""COMPUTED_VALUE"""),"RSC000241")</f>
        <v>RSC000241</v>
      </c>
      <c r="C489" s="80" t="str">
        <f>IFERROR(__xludf.DUMMYFUNCTION("""COMPUTED_VALUE"""),"Geherpaderp")</f>
        <v>Geherpaderp</v>
      </c>
      <c r="D489" s="80" t="str">
        <f>IFERROR(__xludf.DUMMYFUNCTION("""COMPUTED_VALUE"""),"Fromunda Frauds")</f>
        <v>Fromunda Frauds</v>
      </c>
      <c r="E489" s="80">
        <f>IFERROR(__xludf.DUMMYFUNCTION("""COMPUTED_VALUE"""),32.0)</f>
        <v>32</v>
      </c>
      <c r="F489" s="80">
        <f>IFERROR(__xludf.DUMMYFUNCTION("""COMPUTED_VALUE"""),16.0)</f>
        <v>16</v>
      </c>
      <c r="G489" s="80">
        <f>IFERROR(__xludf.DUMMYFUNCTION("""COMPUTED_VALUE"""),16.0)</f>
        <v>16</v>
      </c>
      <c r="H489" s="81">
        <f>IFERROR(__xludf.DUMMYFUNCTION("""COMPUTED_VALUE"""),0.5)</f>
        <v>0.5</v>
      </c>
      <c r="I489" s="81">
        <f>IFERROR(__xludf.DUMMYFUNCTION("""COMPUTED_VALUE"""),0.29347826086956524)</f>
        <v>0.2934782609</v>
      </c>
      <c r="J489" s="80">
        <f>IFERROR(__xludf.DUMMYFUNCTION("""COMPUTED_VALUE"""),361.21875)</f>
        <v>361.21875</v>
      </c>
      <c r="K489" s="80">
        <f>IFERROR(__xludf.DUMMYFUNCTION("""COMPUTED_VALUE"""),0.84375)</f>
        <v>0.84375</v>
      </c>
      <c r="L489" s="80">
        <f>IFERROR(__xludf.DUMMYFUNCTION("""COMPUTED_VALUE"""),0.5625)</f>
        <v>0.5625</v>
      </c>
      <c r="M489" s="80">
        <f>IFERROR(__xludf.DUMMYFUNCTION("""COMPUTED_VALUE"""),1.28125)</f>
        <v>1.28125</v>
      </c>
      <c r="N489" s="80">
        <f>IFERROR(__xludf.DUMMYFUNCTION("""COMPUTED_VALUE"""),2.875)</f>
        <v>2.875</v>
      </c>
      <c r="O489" s="80">
        <f>IFERROR(__xludf.DUMMYFUNCTION("""COMPUTED_VALUE"""),384.8125)</f>
        <v>384.8125</v>
      </c>
      <c r="P489" s="80">
        <f>IFERROR(__xludf.DUMMYFUNCTION("""COMPUTED_VALUE"""),0.8645833333333336)</f>
        <v>0.8645833333</v>
      </c>
      <c r="Q489" s="80">
        <f>IFERROR(__xludf.DUMMYFUNCTION("""COMPUTED_VALUE"""),0.6458333333333333)</f>
        <v>0.6458333333</v>
      </c>
      <c r="R489" s="80">
        <f>IFERROR(__xludf.DUMMYFUNCTION("""COMPUTED_VALUE"""),1.4583333333333333)</f>
        <v>1.458333333</v>
      </c>
      <c r="S489" s="80">
        <f>IFERROR(__xludf.DUMMYFUNCTION("""COMPUTED_VALUE"""),2.624999999999999)</f>
        <v>2.625</v>
      </c>
      <c r="T489" s="80">
        <f>IFERROR(__xludf.DUMMYFUNCTION("""COMPUTED_VALUE"""),390.8254490590429)</f>
        <v>390.8254491</v>
      </c>
      <c r="U489" s="80">
        <f>IFERROR(__xludf.DUMMYFUNCTION("""COMPUTED_VALUE"""),0.9166132430455345)</f>
        <v>0.916613243</v>
      </c>
      <c r="V489" s="80">
        <f>IFERROR(__xludf.DUMMYFUNCTION("""COMPUTED_VALUE"""),0.6432971831409333)</f>
        <v>0.6432971831</v>
      </c>
      <c r="W489" s="80">
        <f>IFERROR(__xludf.DUMMYFUNCTION("""COMPUTED_VALUE"""),1.4796413414903)</f>
        <v>1.479641341</v>
      </c>
      <c r="X489" s="80">
        <f>IFERROR(__xludf.DUMMYFUNCTION("""COMPUTED_VALUE"""),2.8585255456349206)</f>
        <v>2.858525546</v>
      </c>
      <c r="Y489" s="80">
        <f>IFERROR(__xludf.DUMMYFUNCTION("""COMPUTED_VALUE"""),381.29068034428275)</f>
        <v>381.2906803</v>
      </c>
      <c r="Z489" s="80">
        <f>IFERROR(__xludf.DUMMYFUNCTION("""COMPUTED_VALUE"""),0.8362097955413931)</f>
        <v>0.8362097955</v>
      </c>
      <c r="AA489" s="80">
        <f>IFERROR(__xludf.DUMMYFUNCTION("""COMPUTED_VALUE"""),0.6384880969082358)</f>
        <v>0.6384880969</v>
      </c>
      <c r="AB489" s="80">
        <f>IFERROR(__xludf.DUMMYFUNCTION("""COMPUTED_VALUE"""),1.4921252455106622)</f>
        <v>1.492125246</v>
      </c>
      <c r="AC489" s="80">
        <f>IFERROR(__xludf.DUMMYFUNCTION("""COMPUTED_VALUE"""),2.7565011682633216)</f>
        <v>2.756501168</v>
      </c>
      <c r="AD489" s="80">
        <f>IFERROR(__xludf.DUMMYFUNCTION("""COMPUTED_VALUE"""),0.9473579308936715)</f>
        <v>0.9473579309</v>
      </c>
      <c r="AE489" s="80">
        <f>IFERROR(__xludf.DUMMYFUNCTION("""COMPUTED_VALUE"""),1.009017120462844)</f>
        <v>1.00901712</v>
      </c>
      <c r="AF489" s="80">
        <f>IFERROR(__xludf.DUMMYFUNCTION("""COMPUTED_VALUE"""),0.880987449450985)</f>
        <v>0.8809874495</v>
      </c>
      <c r="AG489" s="80">
        <f>IFERROR(__xludf.DUMMYFUNCTION("""COMPUTED_VALUE"""),0.8586745676040803)</f>
        <v>0.8586745676</v>
      </c>
      <c r="AH489" s="80">
        <f>IFERROR(__xludf.DUMMYFUNCTION("""COMPUTED_VALUE"""),1.042988855981997)</f>
        <v>1.042988856</v>
      </c>
      <c r="AI489" s="80">
        <f>IFERROR(__xludf.DUMMYFUNCTION("""COMPUTED_VALUE"""),0.9846147453459856)</f>
        <v>0.9846147453</v>
      </c>
      <c r="AJ489" s="80">
        <f>IFERROR(__xludf.DUMMYFUNCTION("""COMPUTED_VALUE"""),0.943236790318099)</f>
        <v>0.9432367903</v>
      </c>
      <c r="AK489" s="80">
        <f>IFERROR(__xludf.DUMMYFUNCTION("""COMPUTED_VALUE"""),1.0039424239043253)</f>
        <v>1.003942424</v>
      </c>
      <c r="AL489" s="80">
        <f>IFERROR(__xludf.DUMMYFUNCTION("""COMPUTED_VALUE"""),0.9855992073487855)</f>
        <v>0.9855992073</v>
      </c>
      <c r="AM489" s="80">
        <f>IFERROR(__xludf.DUMMYFUNCTION("""COMPUTED_VALUE"""),0.918305594297898)</f>
        <v>0.9183055943</v>
      </c>
      <c r="AN489" s="80">
        <f>IFERROR(__xludf.DUMMYFUNCTION("""COMPUTED_VALUE"""),0.9793915386201911)</f>
        <v>0.9793915386</v>
      </c>
      <c r="AO489" s="80">
        <f>IFERROR(__xludf.DUMMYFUNCTION("""COMPUTED_VALUE"""),1.0994874949497309)</f>
        <v>1.099487495</v>
      </c>
      <c r="AP489" s="80">
        <f>IFERROR(__xludf.DUMMYFUNCTION("""COMPUTED_VALUE"""),0.8830222557593189)</f>
        <v>0.8830222558</v>
      </c>
      <c r="AQ489" s="80">
        <f>IFERROR(__xludf.DUMMYFUNCTION("""COMPUTED_VALUE"""),0.875342457365073)</f>
        <v>0.8753424574</v>
      </c>
      <c r="AR489" s="80">
        <f>IFERROR(__xludf.DUMMYFUNCTION("""COMPUTED_VALUE"""),1.0656736172376673)</f>
        <v>1.065673617</v>
      </c>
      <c r="AS489" s="80">
        <f>IFERROR(__xludf.DUMMYFUNCTION("""COMPUTED_VALUE"""),78.0)</f>
        <v>78</v>
      </c>
      <c r="AT489" s="80">
        <f>IFERROR(__xludf.DUMMYFUNCTION("""COMPUTED_VALUE"""),0.47532359902743415)</f>
        <v>0.475323599</v>
      </c>
      <c r="AU489" s="80">
        <f>IFERROR(__xludf.DUMMYFUNCTION("""COMPUTED_VALUE"""),3.1473122857119944)</f>
        <v>3.147312286</v>
      </c>
      <c r="AV489" s="80">
        <f>IFERROR(__xludf.DUMMYFUNCTION("""COMPUTED_VALUE"""),52.91290230956706)</f>
        <v>52.91290231</v>
      </c>
      <c r="AW489" s="82">
        <f t="shared" si="1"/>
        <v>2.204479753</v>
      </c>
      <c r="AX489" s="83">
        <f t="array" ref="AX489">IFERROR(DGET('SBV Import'!A:G,"SBV",{"RSC ID","Tier";B489,A489}))</f>
        <v>50.74629072</v>
      </c>
      <c r="AY489" s="82">
        <f t="shared" si="2"/>
        <v>2.048791177</v>
      </c>
      <c r="AZ489" s="82">
        <v>0.155688576565983</v>
      </c>
      <c r="BA489" s="84">
        <v>450.0</v>
      </c>
      <c r="BB489" s="84" t="b">
        <f>IFERROR(__xludf.DUMMYFUNCTION("iferror(if(A489="""",,E489&gt;=FILTER(Constants!$F$2:$F$10,Constants!$A$2:$A$10=A489)))"),TRUE)</f>
        <v>1</v>
      </c>
    </row>
    <row r="490">
      <c r="A490" s="80" t="str">
        <f>IFERROR(__xludf.DUMMYFUNCTION("""COMPUTED_VALUE"""),"Master")</f>
        <v>Master</v>
      </c>
      <c r="B490" s="80" t="str">
        <f>IFERROR(__xludf.DUMMYFUNCTION("""COMPUTED_VALUE"""),"RSC002476")</f>
        <v>RSC002476</v>
      </c>
      <c r="C490" s="80" t="str">
        <f>IFERROR(__xludf.DUMMYFUNCTION("""COMPUTED_VALUE"""),"Argnor")</f>
        <v>Argnor</v>
      </c>
      <c r="D490" s="80" t="str">
        <f>IFERROR(__xludf.DUMMYFUNCTION("""COMPUTED_VALUE"""),"Helicoprions")</f>
        <v>Helicoprions</v>
      </c>
      <c r="E490" s="80">
        <f>IFERROR(__xludf.DUMMYFUNCTION("""COMPUTED_VALUE"""),27.0)</f>
        <v>27</v>
      </c>
      <c r="F490" s="80">
        <f>IFERROR(__xludf.DUMMYFUNCTION("""COMPUTED_VALUE"""),20.0)</f>
        <v>20</v>
      </c>
      <c r="G490" s="80">
        <f>IFERROR(__xludf.DUMMYFUNCTION("""COMPUTED_VALUE"""),7.0)</f>
        <v>7</v>
      </c>
      <c r="H490" s="81">
        <f>IFERROR(__xludf.DUMMYFUNCTION("""COMPUTED_VALUE"""),0.7407407407407407)</f>
        <v>0.7407407407</v>
      </c>
      <c r="I490" s="81">
        <f>IFERROR(__xludf.DUMMYFUNCTION("""COMPUTED_VALUE"""),0.25)</f>
        <v>0.25</v>
      </c>
      <c r="J490" s="80">
        <f>IFERROR(__xludf.DUMMYFUNCTION("""COMPUTED_VALUE"""),319.51851851851853)</f>
        <v>319.5185185</v>
      </c>
      <c r="K490" s="80">
        <f>IFERROR(__xludf.DUMMYFUNCTION("""COMPUTED_VALUE"""),0.7037037037037037)</f>
        <v>0.7037037037</v>
      </c>
      <c r="L490" s="80">
        <f>IFERROR(__xludf.DUMMYFUNCTION("""COMPUTED_VALUE"""),0.7777777777777778)</f>
        <v>0.7777777778</v>
      </c>
      <c r="M490" s="80">
        <f>IFERROR(__xludf.DUMMYFUNCTION("""COMPUTED_VALUE"""),0.9259259259259259)</f>
        <v>0.9259259259</v>
      </c>
      <c r="N490" s="80">
        <f>IFERROR(__xludf.DUMMYFUNCTION("""COMPUTED_VALUE"""),2.814814814814815)</f>
        <v>2.814814815</v>
      </c>
      <c r="O490" s="80">
        <f>IFERROR(__xludf.DUMMYFUNCTION("""COMPUTED_VALUE"""),352.51851851851853)</f>
        <v>352.5185185</v>
      </c>
      <c r="P490" s="80">
        <f>IFERROR(__xludf.DUMMYFUNCTION("""COMPUTED_VALUE"""),0.6049382716049384)</f>
        <v>0.6049382716</v>
      </c>
      <c r="Q490" s="80">
        <f>IFERROR(__xludf.DUMMYFUNCTION("""COMPUTED_VALUE"""),0.46913580246913583)</f>
        <v>0.4691358025</v>
      </c>
      <c r="R490" s="80">
        <f>IFERROR(__xludf.DUMMYFUNCTION("""COMPUTED_VALUE"""),1.6913580246913582)</f>
        <v>1.691358025</v>
      </c>
      <c r="S490" s="80">
        <f>IFERROR(__xludf.DUMMYFUNCTION("""COMPUTED_VALUE"""),2.3456790123456788)</f>
        <v>2.345679012</v>
      </c>
      <c r="T490" s="80">
        <f>IFERROR(__xludf.DUMMYFUNCTION("""COMPUTED_VALUE"""),364.6427866204188)</f>
        <v>364.6427866</v>
      </c>
      <c r="U490" s="80">
        <f>IFERROR(__xludf.DUMMYFUNCTION("""COMPUTED_VALUE"""),0.7527608722384833)</f>
        <v>0.7527608722</v>
      </c>
      <c r="V490" s="80">
        <f>IFERROR(__xludf.DUMMYFUNCTION("""COMPUTED_VALUE"""),0.5881178670852462)</f>
        <v>0.5881178671</v>
      </c>
      <c r="W490" s="80">
        <f>IFERROR(__xludf.DUMMYFUNCTION("""COMPUTED_VALUE"""),1.5496485650898235)</f>
        <v>1.549648565</v>
      </c>
      <c r="X490" s="80">
        <f>IFERROR(__xludf.DUMMYFUNCTION("""COMPUTED_VALUE"""),2.6596218301786276)</f>
        <v>2.65962183</v>
      </c>
      <c r="Y490" s="80">
        <f>IFERROR(__xludf.DUMMYFUNCTION("""COMPUTED_VALUE"""),393.1918266264946)</f>
        <v>393.1918266</v>
      </c>
      <c r="Z490" s="80">
        <f>IFERROR(__xludf.DUMMYFUNCTION("""COMPUTED_VALUE"""),0.9193938120800988)</f>
        <v>0.9193938121</v>
      </c>
      <c r="AA490" s="80">
        <f>IFERROR(__xludf.DUMMYFUNCTION("""COMPUTED_VALUE"""),0.7067848583273153)</f>
        <v>0.7067848583</v>
      </c>
      <c r="AB490" s="80">
        <f>IFERROR(__xludf.DUMMYFUNCTION("""COMPUTED_VALUE"""),1.488175020112129)</f>
        <v>1.48817502</v>
      </c>
      <c r="AC490" s="80">
        <f>IFERROR(__xludf.DUMMYFUNCTION("""COMPUTED_VALUE"""),2.943999279716562)</f>
        <v>2.94399928</v>
      </c>
      <c r="AD490" s="80">
        <f>IFERROR(__xludf.DUMMYFUNCTION("""COMPUTED_VALUE"""),0.8126275697537306)</f>
        <v>0.8126275698</v>
      </c>
      <c r="AE490" s="80">
        <f>IFERROR(__xludf.DUMMYFUNCTION("""COMPUTED_VALUE"""),0.7653996518767042)</f>
        <v>0.7653996519</v>
      </c>
      <c r="AF490" s="80">
        <f>IFERROR(__xludf.DUMMYFUNCTION("""COMPUTED_VALUE"""),1.1004448788256092)</f>
        <v>1.100444879</v>
      </c>
      <c r="AG490" s="80">
        <f>IFERROR(__xludf.DUMMYFUNCTION("""COMPUTED_VALUE"""),0.6221888644899848)</f>
        <v>0.6221888645</v>
      </c>
      <c r="AH490" s="80">
        <f>IFERROR(__xludf.DUMMYFUNCTION("""COMPUTED_VALUE"""),0.9561193965665017)</f>
        <v>0.9561193966</v>
      </c>
      <c r="AI490" s="80">
        <f>IFERROR(__xludf.DUMMYFUNCTION("""COMPUTED_VALUE"""),0.9667502867278128)</f>
        <v>0.9667502867</v>
      </c>
      <c r="AJ490" s="80">
        <f>IFERROR(__xludf.DUMMYFUNCTION("""COMPUTED_VALUE"""),0.8036260835476674)</f>
        <v>0.8036260835</v>
      </c>
      <c r="AK490" s="80">
        <f>IFERROR(__xludf.DUMMYFUNCTION("""COMPUTED_VALUE"""),0.7976901038463703)</f>
        <v>0.7976901038</v>
      </c>
      <c r="AL490" s="80">
        <f>IFERROR(__xludf.DUMMYFUNCTION("""COMPUTED_VALUE"""),1.091446191603656)</f>
        <v>1.091446192</v>
      </c>
      <c r="AM490" s="80">
        <f>IFERROR(__xludf.DUMMYFUNCTION("""COMPUTED_VALUE"""),0.8819596025755798)</f>
        <v>0.8819596026</v>
      </c>
      <c r="AN490" s="80">
        <f>IFERROR(__xludf.DUMMYFUNCTION("""COMPUTED_VALUE"""),0.8663274912210285)</f>
        <v>0.8663274912</v>
      </c>
      <c r="AO490" s="80">
        <f>IFERROR(__xludf.DUMMYFUNCTION("""COMPUTED_VALUE"""),0.9169936857742611)</f>
        <v>0.9169936858</v>
      </c>
      <c r="AP490" s="80">
        <f>IFERROR(__xludf.DUMMYFUNCTION("""COMPUTED_VALUE"""),1.2209690450005397)</f>
        <v>1.220969045</v>
      </c>
      <c r="AQ490" s="80">
        <f>IFERROR(__xludf.DUMMYFUNCTION("""COMPUTED_VALUE"""),0.6325871417272434)</f>
        <v>0.6325871417</v>
      </c>
      <c r="AR490" s="80">
        <f>IFERROR(__xludf.DUMMYFUNCTION("""COMPUTED_VALUE"""),1.0433648297592621)</f>
        <v>1.04336483</v>
      </c>
      <c r="AS490" s="80">
        <f>IFERROR(__xludf.DUMMYFUNCTION("""COMPUTED_VALUE"""),72.0)</f>
        <v>72</v>
      </c>
      <c r="AT490" s="80">
        <f>IFERROR(__xludf.DUMMYFUNCTION("""COMPUTED_VALUE"""),0.6437998611304165)</f>
        <v>0.6437998611</v>
      </c>
      <c r="AU490" s="80">
        <f>IFERROR(__xludf.DUMMYFUNCTION("""COMPUTED_VALUE"""),3.12239817687884)</f>
        <v>3.122398177</v>
      </c>
      <c r="AV490" s="80">
        <f>IFERROR(__xludf.DUMMYFUNCTION("""COMPUTED_VALUE"""),52.30413589073264)</f>
        <v>52.30413589</v>
      </c>
      <c r="AW490" s="82">
        <f t="shared" si="1"/>
        <v>2.15850647</v>
      </c>
      <c r="AX490" s="83">
        <f t="array" ref="AX490">IFERROR(DGET('SBV Import'!A:G,"SBV",{"RSC ID","Tier";B490,A490}))</f>
        <v>42.96471287</v>
      </c>
      <c r="AY490" s="82">
        <f t="shared" si="2"/>
        <v>-2.569390204</v>
      </c>
      <c r="AZ490" s="82">
        <v>4.727896674159817</v>
      </c>
      <c r="BA490" s="84">
        <v>450.0</v>
      </c>
      <c r="BB490" s="84" t="b">
        <f>IFERROR(__xludf.DUMMYFUNCTION("iferror(if(A490="""",,E490&gt;=FILTER(Constants!$F$2:$F$10,Constants!$A$2:$A$10=A490)))"),TRUE)</f>
        <v>1</v>
      </c>
    </row>
    <row r="491">
      <c r="A491" s="80" t="str">
        <f>IFERROR(__xludf.DUMMYFUNCTION("""COMPUTED_VALUE"""),"Master")</f>
        <v>Master</v>
      </c>
      <c r="B491" s="80" t="str">
        <f>IFERROR(__xludf.DUMMYFUNCTION("""COMPUTED_VALUE"""),"RSC007244")</f>
        <v>RSC007244</v>
      </c>
      <c r="C491" s="80" t="str">
        <f>IFERROR(__xludf.DUMMYFUNCTION("""COMPUTED_VALUE"""),"Joxtrot")</f>
        <v>Joxtrot</v>
      </c>
      <c r="D491" s="80" t="str">
        <f>IFERROR(__xludf.DUMMYFUNCTION("""COMPUTED_VALUE"""),"Fromunda Frauds")</f>
        <v>Fromunda Frauds</v>
      </c>
      <c r="E491" s="80">
        <f>IFERROR(__xludf.DUMMYFUNCTION("""COMPUTED_VALUE"""),32.0)</f>
        <v>32</v>
      </c>
      <c r="F491" s="80">
        <f>IFERROR(__xludf.DUMMYFUNCTION("""COMPUTED_VALUE"""),15.0)</f>
        <v>15</v>
      </c>
      <c r="G491" s="80">
        <f>IFERROR(__xludf.DUMMYFUNCTION("""COMPUTED_VALUE"""),17.0)</f>
        <v>17</v>
      </c>
      <c r="H491" s="81">
        <f>IFERROR(__xludf.DUMMYFUNCTION("""COMPUTED_VALUE"""),0.46875)</f>
        <v>0.46875</v>
      </c>
      <c r="I491" s="81">
        <f>IFERROR(__xludf.DUMMYFUNCTION("""COMPUTED_VALUE"""),0.3116883116883117)</f>
        <v>0.3116883117</v>
      </c>
      <c r="J491" s="80">
        <f>IFERROR(__xludf.DUMMYFUNCTION("""COMPUTED_VALUE"""),358.03125)</f>
        <v>358.03125</v>
      </c>
      <c r="K491" s="80">
        <f>IFERROR(__xludf.DUMMYFUNCTION("""COMPUTED_VALUE"""),0.75)</f>
        <v>0.75</v>
      </c>
      <c r="L491" s="80">
        <f>IFERROR(__xludf.DUMMYFUNCTION("""COMPUTED_VALUE"""),0.71875)</f>
        <v>0.71875</v>
      </c>
      <c r="M491" s="80">
        <f>IFERROR(__xludf.DUMMYFUNCTION("""COMPUTED_VALUE"""),1.34375)</f>
        <v>1.34375</v>
      </c>
      <c r="N491" s="80">
        <f>IFERROR(__xludf.DUMMYFUNCTION("""COMPUTED_VALUE"""),2.40625)</f>
        <v>2.40625</v>
      </c>
      <c r="O491" s="80">
        <f>IFERROR(__xludf.DUMMYFUNCTION("""COMPUTED_VALUE"""),389.3229166666667)</f>
        <v>389.3229167</v>
      </c>
      <c r="P491" s="80">
        <f>IFERROR(__xludf.DUMMYFUNCTION("""COMPUTED_VALUE"""),0.9062500000000001)</f>
        <v>0.90625</v>
      </c>
      <c r="Q491" s="80">
        <f>IFERROR(__xludf.DUMMYFUNCTION("""COMPUTED_VALUE"""),0.6562499999999999)</f>
        <v>0.65625</v>
      </c>
      <c r="R491" s="80">
        <f>IFERROR(__xludf.DUMMYFUNCTION("""COMPUTED_VALUE"""),1.4270833333333333)</f>
        <v>1.427083333</v>
      </c>
      <c r="S491" s="80">
        <f>IFERROR(__xludf.DUMMYFUNCTION("""COMPUTED_VALUE"""),2.614583333333333)</f>
        <v>2.614583333</v>
      </c>
      <c r="T491" s="80">
        <f>IFERROR(__xludf.DUMMYFUNCTION("""COMPUTED_VALUE"""),390.2083935836541)</f>
        <v>390.2083936</v>
      </c>
      <c r="U491" s="80">
        <f>IFERROR(__xludf.DUMMYFUNCTION("""COMPUTED_VALUE"""),0.9199193071588905)</f>
        <v>0.9199193072</v>
      </c>
      <c r="V491" s="80">
        <f>IFERROR(__xludf.DUMMYFUNCTION("""COMPUTED_VALUE"""),0.6511337331649834)</f>
        <v>0.6511337332</v>
      </c>
      <c r="W491" s="80">
        <f>IFERROR(__xludf.DUMMYFUNCTION("""COMPUTED_VALUE"""),1.4454145873416713)</f>
        <v>1.445414587</v>
      </c>
      <c r="X491" s="80">
        <f>IFERROR(__xludf.DUMMYFUNCTION("""COMPUTED_VALUE"""),2.875200542127624)</f>
        <v>2.875200542</v>
      </c>
      <c r="Y491" s="80">
        <f>IFERROR(__xludf.DUMMYFUNCTION("""COMPUTED_VALUE"""),381.5134569905404)</f>
        <v>381.513457</v>
      </c>
      <c r="Z491" s="80">
        <f>IFERROR(__xludf.DUMMYFUNCTION("""COMPUTED_VALUE"""),0.8270697634412915)</f>
        <v>0.8270697634</v>
      </c>
      <c r="AA491" s="80">
        <f>IFERROR(__xludf.DUMMYFUNCTION("""COMPUTED_VALUE"""),0.6280621609614665)</f>
        <v>0.628062161</v>
      </c>
      <c r="AB491" s="80">
        <f>IFERROR(__xludf.DUMMYFUNCTION("""COMPUTED_VALUE"""),1.5127320242771636)</f>
        <v>1.512732024</v>
      </c>
      <c r="AC491" s="80">
        <f>IFERROR(__xludf.DUMMYFUNCTION("""COMPUTED_VALUE"""),2.699488268932713)</f>
        <v>2.699488269</v>
      </c>
      <c r="AD491" s="80">
        <f>IFERROR(__xludf.DUMMYFUNCTION("""COMPUTED_VALUE"""),0.9384498592113288)</f>
        <v>0.9384498592</v>
      </c>
      <c r="AE491" s="80">
        <f>IFERROR(__xludf.DUMMYFUNCTION("""COMPUTED_VALUE"""),0.9068158856145124)</f>
        <v>0.9068158856</v>
      </c>
      <c r="AF491" s="80">
        <f>IFERROR(__xludf.DUMMYFUNCTION("""COMPUTED_VALUE"""),1.1443930946257046)</f>
        <v>1.144393095</v>
      </c>
      <c r="AG491" s="80">
        <f>IFERROR(__xludf.DUMMYFUNCTION("""COMPUTED_VALUE"""),0.8882934838654526)</f>
        <v>0.8882934839</v>
      </c>
      <c r="AH491" s="80">
        <f>IFERROR(__xludf.DUMMYFUNCTION("""COMPUTED_VALUE"""),0.8913726455834351)</f>
        <v>0.8913726456</v>
      </c>
      <c r="AI491" s="80">
        <f>IFERROR(__xludf.DUMMYFUNCTION("""COMPUTED_VALUE"""),0.9977307589187019)</f>
        <v>0.9977307589</v>
      </c>
      <c r="AJ491" s="80">
        <f>IFERROR(__xludf.DUMMYFUNCTION("""COMPUTED_VALUE"""),0.9851407541373307)</f>
        <v>0.9851407541</v>
      </c>
      <c r="AK491" s="80">
        <f>IFERROR(__xludf.DUMMYFUNCTION("""COMPUTED_VALUE"""),1.0078574747005469)</f>
        <v>1.007857475</v>
      </c>
      <c r="AL491" s="80">
        <f>IFERROR(__xludf.DUMMYFUNCTION("""COMPUTED_VALUE"""),0.9873176497809865)</f>
        <v>0.9873176498</v>
      </c>
      <c r="AM491" s="80">
        <f>IFERROR(__xludf.DUMMYFUNCTION("""COMPUTED_VALUE"""),0.9093568587736017)</f>
        <v>0.9093568588</v>
      </c>
      <c r="AN491" s="80">
        <f>IFERROR(__xludf.DUMMYFUNCTION("""COMPUTED_VALUE"""),0.9707491009578276)</f>
        <v>0.970749101</v>
      </c>
      <c r="AO491" s="80">
        <f>IFERROR(__xludf.DUMMYFUNCTION("""COMPUTED_VALUE"""),0.977322217733094)</f>
        <v>0.9773222177</v>
      </c>
      <c r="AP491" s="80">
        <f>IFERROR(__xludf.DUMMYFUNCTION("""COMPUTED_VALUE"""),1.128306215692463)</f>
        <v>1.128306216</v>
      </c>
      <c r="AQ491" s="80">
        <f>IFERROR(__xludf.DUMMYFUNCTION("""COMPUTED_VALUE"""),0.9180420894316619)</f>
        <v>0.9180420894</v>
      </c>
      <c r="AR491" s="80">
        <f>IFERROR(__xludf.DUMMYFUNCTION("""COMPUTED_VALUE"""),0.8919224839923955)</f>
        <v>0.891922484</v>
      </c>
      <c r="AS491" s="80">
        <f>IFERROR(__xludf.DUMMYFUNCTION("""COMPUTED_VALUE"""),77.0)</f>
        <v>77</v>
      </c>
      <c r="AT491" s="80">
        <f>IFERROR(__xludf.DUMMYFUNCTION("""COMPUTED_VALUE"""),0.45136242371769025)</f>
        <v>0.4513624237</v>
      </c>
      <c r="AU491" s="80">
        <f>IFERROR(__xludf.DUMMYFUNCTION("""COMPUTED_VALUE"""),3.121486091451903)</f>
        <v>3.121486091</v>
      </c>
      <c r="AV491" s="80">
        <f>IFERROR(__xludf.DUMMYFUNCTION("""COMPUTED_VALUE"""),52.281849443212245)</f>
        <v>52.28184944</v>
      </c>
      <c r="AW491" s="82">
        <f t="shared" si="1"/>
        <v>2.156857704</v>
      </c>
      <c r="AX491" s="83">
        <f t="array" ref="AX491">IFERROR(DGET('SBV Import'!A:G,"SBV",{"RSC ID","Tier";B491,A491}))</f>
        <v>50.92148782</v>
      </c>
      <c r="AY491" s="82">
        <f t="shared" si="2"/>
        <v>2.060587407</v>
      </c>
      <c r="AZ491" s="82">
        <v>0.0962702977252099</v>
      </c>
      <c r="BA491" s="84">
        <v>450.0</v>
      </c>
      <c r="BB491" s="84" t="b">
        <f>IFERROR(__xludf.DUMMYFUNCTION("iferror(if(A491="""",,E491&gt;=FILTER(Constants!$F$2:$F$10,Constants!$A$2:$A$10=A491)))"),TRUE)</f>
        <v>1</v>
      </c>
    </row>
    <row r="492">
      <c r="A492" s="80" t="str">
        <f>IFERROR(__xludf.DUMMYFUNCTION("""COMPUTED_VALUE"""),"Master")</f>
        <v>Master</v>
      </c>
      <c r="B492" s="80" t="str">
        <f>IFERROR(__xludf.DUMMYFUNCTION("""COMPUTED_VALUE"""),"RSC002490")</f>
        <v>RSC002490</v>
      </c>
      <c r="C492" s="80" t="str">
        <f>IFERROR(__xludf.DUMMYFUNCTION("""COMPUTED_VALUE"""),"alexis bexas")</f>
        <v>alexis bexas</v>
      </c>
      <c r="D492" s="80" t="str">
        <f>IFERROR(__xludf.DUMMYFUNCTION("""COMPUTED_VALUE"""),"Tempests")</f>
        <v>Tempests</v>
      </c>
      <c r="E492" s="80">
        <f>IFERROR(__xludf.DUMMYFUNCTION("""COMPUTED_VALUE"""),32.0)</f>
        <v>32</v>
      </c>
      <c r="F492" s="80">
        <f>IFERROR(__xludf.DUMMYFUNCTION("""COMPUTED_VALUE"""),18.0)</f>
        <v>18</v>
      </c>
      <c r="G492" s="80">
        <f>IFERROR(__xludf.DUMMYFUNCTION("""COMPUTED_VALUE"""),14.0)</f>
        <v>14</v>
      </c>
      <c r="H492" s="81">
        <f>IFERROR(__xludf.DUMMYFUNCTION("""COMPUTED_VALUE"""),0.5625)</f>
        <v>0.5625</v>
      </c>
      <c r="I492" s="81">
        <f>IFERROR(__xludf.DUMMYFUNCTION("""COMPUTED_VALUE"""),0.35)</f>
        <v>0.35</v>
      </c>
      <c r="J492" s="80">
        <f>IFERROR(__xludf.DUMMYFUNCTION("""COMPUTED_VALUE"""),338.40625)</f>
        <v>338.40625</v>
      </c>
      <c r="K492" s="80">
        <f>IFERROR(__xludf.DUMMYFUNCTION("""COMPUTED_VALUE"""),0.875)</f>
        <v>0.875</v>
      </c>
      <c r="L492" s="80">
        <f>IFERROR(__xludf.DUMMYFUNCTION("""COMPUTED_VALUE"""),0.59375)</f>
        <v>0.59375</v>
      </c>
      <c r="M492" s="80">
        <f>IFERROR(__xludf.DUMMYFUNCTION("""COMPUTED_VALUE"""),0.96875)</f>
        <v>0.96875</v>
      </c>
      <c r="N492" s="80">
        <f>IFERROR(__xludf.DUMMYFUNCTION("""COMPUTED_VALUE"""),2.5)</f>
        <v>2.5</v>
      </c>
      <c r="O492" s="80">
        <f>IFERROR(__xludf.DUMMYFUNCTION("""COMPUTED_VALUE"""),350.28125)</f>
        <v>350.28125</v>
      </c>
      <c r="P492" s="80">
        <f>IFERROR(__xludf.DUMMYFUNCTION("""COMPUTED_VALUE"""),0.8333333333333333)</f>
        <v>0.8333333333</v>
      </c>
      <c r="Q492" s="80">
        <f>IFERROR(__xludf.DUMMYFUNCTION("""COMPUTED_VALUE"""),0.59375)</f>
        <v>0.59375</v>
      </c>
      <c r="R492" s="80">
        <f>IFERROR(__xludf.DUMMYFUNCTION("""COMPUTED_VALUE"""),1.2395833333333335)</f>
        <v>1.239583333</v>
      </c>
      <c r="S492" s="80">
        <f>IFERROR(__xludf.DUMMYFUNCTION("""COMPUTED_VALUE"""),2.65625)</f>
        <v>2.65625</v>
      </c>
      <c r="T492" s="80">
        <f>IFERROR(__xludf.DUMMYFUNCTION("""COMPUTED_VALUE"""),379.00050427022)</f>
        <v>379.0005043</v>
      </c>
      <c r="U492" s="80">
        <f>IFERROR(__xludf.DUMMYFUNCTION("""COMPUTED_VALUE"""),0.8343371773700267)</f>
        <v>0.8343371774</v>
      </c>
      <c r="V492" s="80">
        <f>IFERROR(__xludf.DUMMYFUNCTION("""COMPUTED_VALUE"""),0.6529682338191917)</f>
        <v>0.6529682338</v>
      </c>
      <c r="W492" s="80">
        <f>IFERROR(__xludf.DUMMYFUNCTION("""COMPUTED_VALUE"""),1.479259283829724)</f>
        <v>1.479259284</v>
      </c>
      <c r="X492" s="80">
        <f>IFERROR(__xludf.DUMMYFUNCTION("""COMPUTED_VALUE"""),2.7703269656207246)</f>
        <v>2.770326966</v>
      </c>
      <c r="Y492" s="80">
        <f>IFERROR(__xludf.DUMMYFUNCTION("""COMPUTED_VALUE"""),382.1729550323722)</f>
        <v>382.172955</v>
      </c>
      <c r="Z492" s="80">
        <f>IFERROR(__xludf.DUMMYFUNCTION("""COMPUTED_VALUE"""),0.8571902297724976)</f>
        <v>0.8571902298</v>
      </c>
      <c r="AA492" s="80">
        <f>IFERROR(__xludf.DUMMYFUNCTION("""COMPUTED_VALUE"""),0.6501736864692258)</f>
        <v>0.6501736865</v>
      </c>
      <c r="AB492" s="80">
        <f>IFERROR(__xludf.DUMMYFUNCTION("""COMPUTED_VALUE"""),1.4833643407838235)</f>
        <v>1.483364341</v>
      </c>
      <c r="AC492" s="80">
        <f>IFERROR(__xludf.DUMMYFUNCTION("""COMPUTED_VALUE"""),2.782310010717137)</f>
        <v>2.782310011</v>
      </c>
      <c r="AD492" s="80">
        <f>IFERROR(__xludf.DUMMYFUNCTION("""COMPUTED_VALUE"""),0.8854793243319248)</f>
        <v>0.8854793243</v>
      </c>
      <c r="AE492" s="80">
        <f>IFERROR(__xludf.DUMMYFUNCTION("""COMPUTED_VALUE"""),1.0207769169653615)</f>
        <v>1.020776917</v>
      </c>
      <c r="AF492" s="80">
        <f>IFERROR(__xludf.DUMMYFUNCTION("""COMPUTED_VALUE"""),0.913217517651883)</f>
        <v>0.9132175177</v>
      </c>
      <c r="AG492" s="80">
        <f>IFERROR(__xludf.DUMMYFUNCTION("""COMPUTED_VALUE"""),0.6530762358006419)</f>
        <v>0.6530762358</v>
      </c>
      <c r="AH492" s="80">
        <f>IFERROR(__xludf.DUMMYFUNCTION("""COMPUTED_VALUE"""),0.8985339485428614)</f>
        <v>0.8985339485</v>
      </c>
      <c r="AI492" s="80">
        <f>IFERROR(__xludf.DUMMYFUNCTION("""COMPUTED_VALUE"""),0.9242237043311591)</f>
        <v>0.9242237043</v>
      </c>
      <c r="AJ492" s="80">
        <f>IFERROR(__xludf.DUMMYFUNCTION("""COMPUTED_VALUE"""),0.9987968365021709)</f>
        <v>0.9987968365</v>
      </c>
      <c r="AK492" s="80">
        <f>IFERROR(__xludf.DUMMYFUNCTION("""COMPUTED_VALUE"""),0.909309165818334)</f>
        <v>0.9093091658</v>
      </c>
      <c r="AL492" s="80">
        <f>IFERROR(__xludf.DUMMYFUNCTION("""COMPUTED_VALUE"""),0.8379756996515971)</f>
        <v>0.8379756997</v>
      </c>
      <c r="AM492" s="80">
        <f>IFERROR(__xludf.DUMMYFUNCTION("""COMPUTED_VALUE"""),0.958821840513268)</f>
        <v>0.9588218405</v>
      </c>
      <c r="AN492" s="80">
        <f>IFERROR(__xludf.DUMMYFUNCTION("""COMPUTED_VALUE"""),0.9175387984875897)</f>
        <v>0.9175387985</v>
      </c>
      <c r="AO492" s="80">
        <f>IFERROR(__xludf.DUMMYFUNCTION("""COMPUTED_VALUE"""),1.140209254021943)</f>
        <v>1.140209254</v>
      </c>
      <c r="AP492" s="80">
        <f>IFERROR(__xludf.DUMMYFUNCTION("""COMPUTED_VALUE"""),0.9320790477459477)</f>
        <v>0.9320790477</v>
      </c>
      <c r="AQ492" s="80">
        <f>IFERROR(__xludf.DUMMYFUNCTION("""COMPUTED_VALUE"""),0.6618442970321283)</f>
        <v>0.661844297</v>
      </c>
      <c r="AR492" s="80">
        <f>IFERROR(__xludf.DUMMYFUNCTION("""COMPUTED_VALUE"""),0.9266727106414498)</f>
        <v>0.9266727106</v>
      </c>
      <c r="AS492" s="80">
        <f>IFERROR(__xludf.DUMMYFUNCTION("""COMPUTED_VALUE"""),82.0)</f>
        <v>82</v>
      </c>
      <c r="AT492" s="80">
        <f>IFERROR(__xludf.DUMMYFUNCTION("""COMPUTED_VALUE"""),0.5098311390909911)</f>
        <v>0.5098311391</v>
      </c>
      <c r="AU492" s="80">
        <f>IFERROR(__xludf.DUMMYFUNCTION("""COMPUTED_VALUE"""),3.0541284292977067)</f>
        <v>3.054128429</v>
      </c>
      <c r="AV492" s="80">
        <f>IFERROR(__xludf.DUMMYFUNCTION("""COMPUTED_VALUE"""),50.63599154617596)</f>
        <v>50.63599155</v>
      </c>
      <c r="AW492" s="82">
        <f t="shared" si="1"/>
        <v>2.041432348</v>
      </c>
      <c r="AX492" s="83">
        <f t="array" ref="AX492">IFERROR(DGET('SBV Import'!A:G,"SBV",{"RSC ID","Tier";B492,A492}))</f>
        <v>42.39463498</v>
      </c>
      <c r="AY492" s="82">
        <f t="shared" si="2"/>
        <v>-2.628243838</v>
      </c>
      <c r="AZ492" s="82">
        <v>4.669676185553577</v>
      </c>
      <c r="BA492" s="84">
        <v>450.0</v>
      </c>
      <c r="BB492" s="84" t="b">
        <f>IFERROR(__xludf.DUMMYFUNCTION("iferror(if(A492="""",,E492&gt;=FILTER(Constants!$F$2:$F$10,Constants!$A$2:$A$10=A492)))"),TRUE)</f>
        <v>1</v>
      </c>
    </row>
    <row r="493">
      <c r="A493" s="80" t="str">
        <f>IFERROR(__xludf.DUMMYFUNCTION("""COMPUTED_VALUE"""),"Master")</f>
        <v>Master</v>
      </c>
      <c r="B493" s="80" t="str">
        <f>IFERROR(__xludf.DUMMYFUNCTION("""COMPUTED_VALUE"""),"RSC003721")</f>
        <v>RSC003721</v>
      </c>
      <c r="C493" s="80" t="str">
        <f>IFERROR(__xludf.DUMMYFUNCTION("""COMPUTED_VALUE"""),"Kyurmex.")</f>
        <v>Kyurmex.</v>
      </c>
      <c r="D493" s="80" t="str">
        <f>IFERROR(__xludf.DUMMYFUNCTION("""COMPUTED_VALUE"""),"Spectres")</f>
        <v>Spectres</v>
      </c>
      <c r="E493" s="80">
        <f>IFERROR(__xludf.DUMMYFUNCTION("""COMPUTED_VALUE"""),35.0)</f>
        <v>35</v>
      </c>
      <c r="F493" s="80">
        <f>IFERROR(__xludf.DUMMYFUNCTION("""COMPUTED_VALUE"""),13.0)</f>
        <v>13</v>
      </c>
      <c r="G493" s="80">
        <f>IFERROR(__xludf.DUMMYFUNCTION("""COMPUTED_VALUE"""),22.0)</f>
        <v>22</v>
      </c>
      <c r="H493" s="81">
        <f>IFERROR(__xludf.DUMMYFUNCTION("""COMPUTED_VALUE"""),0.37142857142857144)</f>
        <v>0.3714285714</v>
      </c>
      <c r="I493" s="81">
        <f>IFERROR(__xludf.DUMMYFUNCTION("""COMPUTED_VALUE"""),0.27835051546391754)</f>
        <v>0.2783505155</v>
      </c>
      <c r="J493" s="80">
        <f>IFERROR(__xludf.DUMMYFUNCTION("""COMPUTED_VALUE"""),386.6)</f>
        <v>386.6</v>
      </c>
      <c r="K493" s="80">
        <f>IFERROR(__xludf.DUMMYFUNCTION("""COMPUTED_VALUE"""),0.7714285714285715)</f>
        <v>0.7714285714</v>
      </c>
      <c r="L493" s="80">
        <f>IFERROR(__xludf.DUMMYFUNCTION("""COMPUTED_VALUE"""),0.6571428571428571)</f>
        <v>0.6571428571</v>
      </c>
      <c r="M493" s="80">
        <f>IFERROR(__xludf.DUMMYFUNCTION("""COMPUTED_VALUE"""),2.0285714285714285)</f>
        <v>2.028571429</v>
      </c>
      <c r="N493" s="80">
        <f>IFERROR(__xludf.DUMMYFUNCTION("""COMPUTED_VALUE"""),2.7714285714285714)</f>
        <v>2.771428571</v>
      </c>
      <c r="O493" s="80">
        <f>IFERROR(__xludf.DUMMYFUNCTION("""COMPUTED_VALUE"""),427.57142857142867)</f>
        <v>427.5714286</v>
      </c>
      <c r="P493" s="80">
        <f>IFERROR(__xludf.DUMMYFUNCTION("""COMPUTED_VALUE"""),1.0571428571428574)</f>
        <v>1.057142857</v>
      </c>
      <c r="Q493" s="80">
        <f>IFERROR(__xludf.DUMMYFUNCTION("""COMPUTED_VALUE"""),0.8571428571428571)</f>
        <v>0.8571428571</v>
      </c>
      <c r="R493" s="80">
        <f>IFERROR(__xludf.DUMMYFUNCTION("""COMPUTED_VALUE"""),1.6571428571428575)</f>
        <v>1.657142857</v>
      </c>
      <c r="S493" s="80">
        <f>IFERROR(__xludf.DUMMYFUNCTION("""COMPUTED_VALUE"""),3.2571428571428576)</f>
        <v>3.257142857</v>
      </c>
      <c r="T493" s="80">
        <f>IFERROR(__xludf.DUMMYFUNCTION("""COMPUTED_VALUE"""),394.87395018752886)</f>
        <v>394.8739502</v>
      </c>
      <c r="U493" s="80">
        <f>IFERROR(__xludf.DUMMYFUNCTION("""COMPUTED_VALUE"""),0.9259620748334165)</f>
        <v>0.9259620748</v>
      </c>
      <c r="V493" s="80">
        <f>IFERROR(__xludf.DUMMYFUNCTION("""COMPUTED_VALUE"""),0.6886542086938106)</f>
        <v>0.6886542087</v>
      </c>
      <c r="W493" s="80">
        <f>IFERROR(__xludf.DUMMYFUNCTION("""COMPUTED_VALUE"""),1.5028327007106104)</f>
        <v>1.502832701</v>
      </c>
      <c r="X493" s="80">
        <f>IFERROR(__xludf.DUMMYFUNCTION("""COMPUTED_VALUE"""),2.8643605971356396)</f>
        <v>2.864360597</v>
      </c>
      <c r="Y493" s="80">
        <f>IFERROR(__xludf.DUMMYFUNCTION("""COMPUTED_VALUE"""),377.27018554230796)</f>
        <v>377.2701855</v>
      </c>
      <c r="Z493" s="80">
        <f>IFERROR(__xludf.DUMMYFUNCTION("""COMPUTED_VALUE"""),0.8195901229798007)</f>
        <v>0.819590123</v>
      </c>
      <c r="AA493" s="80">
        <f>IFERROR(__xludf.DUMMYFUNCTION("""COMPUTED_VALUE"""),0.642840475638376)</f>
        <v>0.6428404756</v>
      </c>
      <c r="AB493" s="80">
        <f>IFERROR(__xludf.DUMMYFUNCTION("""COMPUTED_VALUE"""),1.4712596031872243)</f>
        <v>1.471259603</v>
      </c>
      <c r="AC493" s="80">
        <f>IFERROR(__xludf.DUMMYFUNCTION("""COMPUTED_VALUE"""),2.7770189097350317)</f>
        <v>2.77701891</v>
      </c>
      <c r="AD493" s="80">
        <f>IFERROR(__xludf.DUMMYFUNCTION("""COMPUTED_VALUE"""),1.0247297952905579)</f>
        <v>1.024729795</v>
      </c>
      <c r="AE493" s="80">
        <f>IFERROR(__xludf.DUMMYFUNCTION("""COMPUTED_VALUE"""),0.9412370278742168)</f>
        <v>0.9412370279</v>
      </c>
      <c r="AF493" s="80">
        <f>IFERROR(__xludf.DUMMYFUNCTION("""COMPUTED_VALUE"""),1.0222487258448967)</f>
        <v>1.022248726</v>
      </c>
      <c r="AG493" s="80">
        <f>IFERROR(__xludf.DUMMYFUNCTION("""COMPUTED_VALUE"""),1.378799108041087)</f>
        <v>1.378799108</v>
      </c>
      <c r="AH493" s="80">
        <f>IFERROR(__xludf.DUMMYFUNCTION("""COMPUTED_VALUE"""),0.9979869282535805)</f>
        <v>0.9979869283</v>
      </c>
      <c r="AI493" s="80">
        <f>IFERROR(__xludf.DUMMYFUNCTION("""COMPUTED_VALUE"""),1.082804850429793)</f>
        <v>1.08280485</v>
      </c>
      <c r="AJ493" s="80">
        <f>IFERROR(__xludf.DUMMYFUNCTION("""COMPUTED_VALUE"""),1.14166971399238)</f>
        <v>1.141669714</v>
      </c>
      <c r="AK493" s="80">
        <f>IFERROR(__xludf.DUMMYFUNCTION("""COMPUTED_VALUE"""),1.2446636444270391)</f>
        <v>1.244663644</v>
      </c>
      <c r="AL493" s="80">
        <f>IFERROR(__xludf.DUMMYFUNCTION("""COMPUTED_VALUE"""),1.1026795307017754)</f>
        <v>1.102679531</v>
      </c>
      <c r="AM493" s="80">
        <f>IFERROR(__xludf.DUMMYFUNCTION("""COMPUTED_VALUE"""),1.137127378584945)</f>
        <v>1.137127379</v>
      </c>
      <c r="AN493" s="80">
        <f>IFERROR(__xludf.DUMMYFUNCTION("""COMPUTED_VALUE"""),1.0482090667512856)</f>
        <v>1.048209067</v>
      </c>
      <c r="AO493" s="80">
        <f>IFERROR(__xludf.DUMMYFUNCTION("""COMPUTED_VALUE"""),1.0052457096683254)</f>
        <v>1.00524571</v>
      </c>
      <c r="AP493" s="80">
        <f>IFERROR(__xludf.DUMMYFUNCTION("""COMPUTED_VALUE"""),1.0315942543473948)</f>
        <v>1.031594254</v>
      </c>
      <c r="AQ493" s="80">
        <f>IFERROR(__xludf.DUMMYFUNCTION("""COMPUTED_VALUE"""),1.3859080579327148)</f>
        <v>1.385908058</v>
      </c>
      <c r="AR493" s="80">
        <f>IFERROR(__xludf.DUMMYFUNCTION("""COMPUTED_VALUE"""),1.0272828906539502)</f>
        <v>1.027282891</v>
      </c>
      <c r="AS493" s="80">
        <f>IFERROR(__xludf.DUMMYFUNCTION("""COMPUTED_VALUE"""),89.0)</f>
        <v>89</v>
      </c>
      <c r="AT493" s="80">
        <f>IFERROR(__xludf.DUMMYFUNCTION("""COMPUTED_VALUE"""),0.40992463736225526)</f>
        <v>0.4099246374</v>
      </c>
      <c r="AU493" s="80">
        <f>IFERROR(__xludf.DUMMYFUNCTION("""COMPUTED_VALUE"""),3.0513874051107055)</f>
        <v>3.051387405</v>
      </c>
      <c r="AV493" s="80">
        <f>IFERROR(__xludf.DUMMYFUNCTION("""COMPUTED_VALUE"""),50.56901570170832)</f>
        <v>50.5690157</v>
      </c>
      <c r="AW493" s="82">
        <f t="shared" si="1"/>
        <v>2.036989252</v>
      </c>
      <c r="AX493" s="83">
        <f t="array" ref="AX493">IFERROR(DGET('SBV Import'!A:G,"SBV",{"RSC ID","Tier";B493,A493}))</f>
        <v>35.18710041</v>
      </c>
      <c r="AY493" s="82">
        <f t="shared" si="2"/>
        <v>-3.613336038</v>
      </c>
      <c r="AZ493" s="82">
        <v>5.650325289824325</v>
      </c>
      <c r="BA493" s="84">
        <v>450.0</v>
      </c>
      <c r="BB493" s="84" t="b">
        <f>IFERROR(__xludf.DUMMYFUNCTION("iferror(if(A493="""",,E493&gt;=FILTER(Constants!$F$2:$F$10,Constants!$A$2:$A$10=A493)))"),TRUE)</f>
        <v>1</v>
      </c>
    </row>
    <row r="494">
      <c r="A494" s="80" t="str">
        <f>IFERROR(__xludf.DUMMYFUNCTION("""COMPUTED_VALUE"""),"Master")</f>
        <v>Master</v>
      </c>
      <c r="B494" s="80" t="str">
        <f>IFERROR(__xludf.DUMMYFUNCTION("""COMPUTED_VALUE"""),"RSC007565")</f>
        <v>RSC007565</v>
      </c>
      <c r="C494" s="80" t="str">
        <f>IFERROR(__xludf.DUMMYFUNCTION("""COMPUTED_VALUE"""),"AcX")</f>
        <v>AcX</v>
      </c>
      <c r="D494" s="80" t="str">
        <f>IFERROR(__xludf.DUMMYFUNCTION("""COMPUTED_VALUE"""),"Care Bears")</f>
        <v>Care Bears</v>
      </c>
      <c r="E494" s="80">
        <f>IFERROR(__xludf.DUMMYFUNCTION("""COMPUTED_VALUE"""),27.0)</f>
        <v>27</v>
      </c>
      <c r="F494" s="80">
        <f>IFERROR(__xludf.DUMMYFUNCTION("""COMPUTED_VALUE"""),11.0)</f>
        <v>11</v>
      </c>
      <c r="G494" s="80">
        <f>IFERROR(__xludf.DUMMYFUNCTION("""COMPUTED_VALUE"""),16.0)</f>
        <v>16</v>
      </c>
      <c r="H494" s="81">
        <f>IFERROR(__xludf.DUMMYFUNCTION("""COMPUTED_VALUE"""),0.4074074074074074)</f>
        <v>0.4074074074</v>
      </c>
      <c r="I494" s="81">
        <f>IFERROR(__xludf.DUMMYFUNCTION("""COMPUTED_VALUE"""),0.2716049382716049)</f>
        <v>0.2716049383</v>
      </c>
      <c r="J494" s="80">
        <f>IFERROR(__xludf.DUMMYFUNCTION("""COMPUTED_VALUE"""),370.81481481481484)</f>
        <v>370.8148148</v>
      </c>
      <c r="K494" s="80">
        <f>IFERROR(__xludf.DUMMYFUNCTION("""COMPUTED_VALUE"""),0.8148148148148148)</f>
        <v>0.8148148148</v>
      </c>
      <c r="L494" s="80">
        <f>IFERROR(__xludf.DUMMYFUNCTION("""COMPUTED_VALUE"""),0.48148148148148145)</f>
        <v>0.4814814815</v>
      </c>
      <c r="M494" s="80">
        <f>IFERROR(__xludf.DUMMYFUNCTION("""COMPUTED_VALUE"""),1.3333333333333333)</f>
        <v>1.333333333</v>
      </c>
      <c r="N494" s="80">
        <f>IFERROR(__xludf.DUMMYFUNCTION("""COMPUTED_VALUE"""),3.0)</f>
        <v>3</v>
      </c>
      <c r="O494" s="80">
        <f>IFERROR(__xludf.DUMMYFUNCTION("""COMPUTED_VALUE"""),393.11111111111103)</f>
        <v>393.1111111</v>
      </c>
      <c r="P494" s="80">
        <f>IFERROR(__xludf.DUMMYFUNCTION("""COMPUTED_VALUE"""),0.9506172839506172)</f>
        <v>0.950617284</v>
      </c>
      <c r="Q494" s="80">
        <f>IFERROR(__xludf.DUMMYFUNCTION("""COMPUTED_VALUE"""),0.728395061728395)</f>
        <v>0.7283950617</v>
      </c>
      <c r="R494" s="80">
        <f>IFERROR(__xludf.DUMMYFUNCTION("""COMPUTED_VALUE"""),1.4938271604938274)</f>
        <v>1.49382716</v>
      </c>
      <c r="S494" s="80">
        <f>IFERROR(__xludf.DUMMYFUNCTION("""COMPUTED_VALUE"""),2.7530864197530867)</f>
        <v>2.75308642</v>
      </c>
      <c r="T494" s="80">
        <f>IFERROR(__xludf.DUMMYFUNCTION("""COMPUTED_VALUE"""),392.20459997044975)</f>
        <v>392.2046</v>
      </c>
      <c r="U494" s="80">
        <f>IFERROR(__xludf.DUMMYFUNCTION("""COMPUTED_VALUE"""),0.9105815546192852)</f>
        <v>0.9105815546</v>
      </c>
      <c r="V494" s="80">
        <f>IFERROR(__xludf.DUMMYFUNCTION("""COMPUTED_VALUE"""),0.6702453844489036)</f>
        <v>0.6702453844</v>
      </c>
      <c r="W494" s="80">
        <f>IFERROR(__xludf.DUMMYFUNCTION("""COMPUTED_VALUE"""),1.483152588758473)</f>
        <v>1.483152589</v>
      </c>
      <c r="X494" s="80">
        <f>IFERROR(__xludf.DUMMYFUNCTION("""COMPUTED_VALUE"""),2.874557527780126)</f>
        <v>2.874557528</v>
      </c>
      <c r="Y494" s="80">
        <f>IFERROR(__xludf.DUMMYFUNCTION("""COMPUTED_VALUE"""),377.9741198245904)</f>
        <v>377.9741198</v>
      </c>
      <c r="Z494" s="80">
        <f>IFERROR(__xludf.DUMMYFUNCTION("""COMPUTED_VALUE"""),0.8262334216095985)</f>
        <v>0.8262334216</v>
      </c>
      <c r="AA494" s="80">
        <f>IFERROR(__xludf.DUMMYFUNCTION("""COMPUTED_VALUE"""),0.6204883760488221)</f>
        <v>0.620488376</v>
      </c>
      <c r="AB494" s="80">
        <f>IFERROR(__xludf.DUMMYFUNCTION("""COMPUTED_VALUE"""),1.5020936257749407)</f>
        <v>1.502093626</v>
      </c>
      <c r="AC494" s="80">
        <f>IFERROR(__xludf.DUMMYFUNCTION("""COMPUTED_VALUE"""),2.719811818288079)</f>
        <v>2.719811818</v>
      </c>
      <c r="AD494" s="80">
        <f>IFERROR(__xludf.DUMMYFUNCTION("""COMPUTED_VALUE"""),0.981058742823191)</f>
        <v>0.9810587428</v>
      </c>
      <c r="AE494" s="80">
        <f>IFERROR(__xludf.DUMMYFUNCTION("""COMPUTED_VALUE"""),0.986179926282165)</f>
        <v>0.9861799263</v>
      </c>
      <c r="AF494" s="80">
        <f>IFERROR(__xludf.DUMMYFUNCTION("""COMPUTED_VALUE"""),0.7759717990971629)</f>
        <v>0.7759717991</v>
      </c>
      <c r="AG494" s="80">
        <f>IFERROR(__xludf.DUMMYFUNCTION("""COMPUTED_VALUE"""),0.8876499510111809)</f>
        <v>0.887649951</v>
      </c>
      <c r="AH494" s="80">
        <f>IFERROR(__xludf.DUMMYFUNCTION("""COMPUTED_VALUE"""),1.1030174881320571)</f>
        <v>1.103017488</v>
      </c>
      <c r="AI494" s="80">
        <f>IFERROR(__xludf.DUMMYFUNCTION("""COMPUTED_VALUE"""),1.002311322051627)</f>
        <v>1.002311322</v>
      </c>
      <c r="AJ494" s="80">
        <f>IFERROR(__xludf.DUMMYFUNCTION("""COMPUTED_VALUE"""),1.043967208788971)</f>
        <v>1.043967209</v>
      </c>
      <c r="AK494" s="80">
        <f>IFERROR(__xludf.DUMMYFUNCTION("""COMPUTED_VALUE"""),1.0867587880926683)</f>
        <v>1.086758788</v>
      </c>
      <c r="AL494" s="80">
        <f>IFERROR(__xludf.DUMMYFUNCTION("""COMPUTED_VALUE"""),1.007197217478675)</f>
        <v>1.007197217</v>
      </c>
      <c r="AM494" s="80">
        <f>IFERROR(__xludf.DUMMYFUNCTION("""COMPUTED_VALUE"""),0.9577426762716955)</f>
        <v>0.9577426763</v>
      </c>
      <c r="AN494" s="80">
        <f>IFERROR(__xludf.DUMMYFUNCTION("""COMPUTED_VALUE"""),1.0054098576683594)</f>
        <v>1.005409858</v>
      </c>
      <c r="AO494" s="80">
        <f>IFERROR(__xludf.DUMMYFUNCTION("""COMPUTED_VALUE"""),1.0617821624754602)</f>
        <v>1.061782162</v>
      </c>
      <c r="AP494" s="80">
        <f>IFERROR(__xludf.DUMMYFUNCTION("""COMPUTED_VALUE"""),0.7558379802384293)</f>
        <v>0.7558379802</v>
      </c>
      <c r="AQ494" s="80">
        <f>IFERROR(__xludf.DUMMYFUNCTION("""COMPUTED_VALUE"""),0.9109254840872304)</f>
        <v>0.9109254841</v>
      </c>
      <c r="AR494" s="80">
        <f>IFERROR(__xludf.DUMMYFUNCTION("""COMPUTED_VALUE"""),1.1120072527697398)</f>
        <v>1.112007253</v>
      </c>
      <c r="AS494" s="80">
        <f>IFERROR(__xludf.DUMMYFUNCTION("""COMPUTED_VALUE"""),64.0)</f>
        <v>64</v>
      </c>
      <c r="AT494" s="80">
        <f>IFERROR(__xludf.DUMMYFUNCTION("""COMPUTED_VALUE"""),0.4262479565667172)</f>
        <v>0.4262479566</v>
      </c>
      <c r="AU494" s="80">
        <f>IFERROR(__xludf.DUMMYFUNCTION("""COMPUTED_VALUE"""),2.994395662547943)</f>
        <v>2.994395663</v>
      </c>
      <c r="AV494" s="80">
        <f>IFERROR(__xludf.DUMMYFUNCTION("""COMPUTED_VALUE"""),49.176444959748)</f>
        <v>49.17644496</v>
      </c>
      <c r="AW494" s="82">
        <f t="shared" si="1"/>
        <v>-2.053977124</v>
      </c>
      <c r="AX494" s="83">
        <f t="array" ref="AX494">IFERROR(DGET('SBV Import'!A:G,"SBV",{"RSC ID","Tier";B494,A494}))</f>
        <v>46.03692615</v>
      </c>
      <c r="AY494" s="82">
        <f t="shared" si="2"/>
        <v>-2.2882124</v>
      </c>
      <c r="AZ494" s="82">
        <v>0.23423527606558192</v>
      </c>
      <c r="BA494" s="84">
        <v>450.0</v>
      </c>
      <c r="BB494" s="84" t="b">
        <f>IFERROR(__xludf.DUMMYFUNCTION("iferror(if(A494="""",,E494&gt;=FILTER(Constants!$F$2:$F$10,Constants!$A$2:$A$10=A494)))"),TRUE)</f>
        <v>1</v>
      </c>
    </row>
    <row r="495">
      <c r="A495" s="80" t="str">
        <f>IFERROR(__xludf.DUMMYFUNCTION("""COMPUTED_VALUE"""),"Master")</f>
        <v>Master</v>
      </c>
      <c r="B495" s="80" t="str">
        <f>IFERROR(__xludf.DUMMYFUNCTION("""COMPUTED_VALUE"""),"RSC002050")</f>
        <v>RSC002050</v>
      </c>
      <c r="C495" s="80" t="str">
        <f>IFERROR(__xludf.DUMMYFUNCTION("""COMPUTED_VALUE"""),"Goobz")</f>
        <v>Goobz</v>
      </c>
      <c r="D495" s="80" t="str">
        <f>IFERROR(__xludf.DUMMYFUNCTION("""COMPUTED_VALUE"""),"Plinko")</f>
        <v>Plinko</v>
      </c>
      <c r="E495" s="80">
        <f>IFERROR(__xludf.DUMMYFUNCTION("""COMPUTED_VALUE"""),27.0)</f>
        <v>27</v>
      </c>
      <c r="F495" s="80">
        <f>IFERROR(__xludf.DUMMYFUNCTION("""COMPUTED_VALUE"""),13.0)</f>
        <v>13</v>
      </c>
      <c r="G495" s="80">
        <f>IFERROR(__xludf.DUMMYFUNCTION("""COMPUTED_VALUE"""),14.0)</f>
        <v>14</v>
      </c>
      <c r="H495" s="81">
        <f>IFERROR(__xludf.DUMMYFUNCTION("""COMPUTED_VALUE"""),0.48148148148148145)</f>
        <v>0.4814814815</v>
      </c>
      <c r="I495" s="81">
        <f>IFERROR(__xludf.DUMMYFUNCTION("""COMPUTED_VALUE"""),0.29850746268656714)</f>
        <v>0.2985074627</v>
      </c>
      <c r="J495" s="80">
        <f>IFERROR(__xludf.DUMMYFUNCTION("""COMPUTED_VALUE"""),380.0740740740741)</f>
        <v>380.0740741</v>
      </c>
      <c r="K495" s="80">
        <f>IFERROR(__xludf.DUMMYFUNCTION("""COMPUTED_VALUE"""),0.7407407407407407)</f>
        <v>0.7407407407</v>
      </c>
      <c r="L495" s="80">
        <f>IFERROR(__xludf.DUMMYFUNCTION("""COMPUTED_VALUE"""),0.5925925925925926)</f>
        <v>0.5925925926</v>
      </c>
      <c r="M495" s="80">
        <f>IFERROR(__xludf.DUMMYFUNCTION("""COMPUTED_VALUE"""),1.8518518518518519)</f>
        <v>1.851851852</v>
      </c>
      <c r="N495" s="80">
        <f>IFERROR(__xludf.DUMMYFUNCTION("""COMPUTED_VALUE"""),2.4814814814814814)</f>
        <v>2.481481481</v>
      </c>
      <c r="O495" s="80">
        <f>IFERROR(__xludf.DUMMYFUNCTION("""COMPUTED_VALUE"""),382.9876543209876)</f>
        <v>382.9876543</v>
      </c>
      <c r="P495" s="80">
        <f>IFERROR(__xludf.DUMMYFUNCTION("""COMPUTED_VALUE"""),0.8148148148148148)</f>
        <v>0.8148148148</v>
      </c>
      <c r="Q495" s="80">
        <f>IFERROR(__xludf.DUMMYFUNCTION("""COMPUTED_VALUE"""),0.691358024691358)</f>
        <v>0.6913580247</v>
      </c>
      <c r="R495" s="80">
        <f>IFERROR(__xludf.DUMMYFUNCTION("""COMPUTED_VALUE"""),1.4444444444444442)</f>
        <v>1.444444444</v>
      </c>
      <c r="S495" s="80">
        <f>IFERROR(__xludf.DUMMYFUNCTION("""COMPUTED_VALUE"""),3.08641975308642)</f>
        <v>3.086419753</v>
      </c>
      <c r="T495" s="80">
        <f>IFERROR(__xludf.DUMMYFUNCTION("""COMPUTED_VALUE"""),391.8440915186377)</f>
        <v>391.8440915</v>
      </c>
      <c r="U495" s="80">
        <f>IFERROR(__xludf.DUMMYFUNCTION("""COMPUTED_VALUE"""),0.8708876554737122)</f>
        <v>0.8708876555</v>
      </c>
      <c r="V495" s="80">
        <f>IFERROR(__xludf.DUMMYFUNCTION("""COMPUTED_VALUE"""),0.7059094157678033)</f>
        <v>0.7059094158</v>
      </c>
      <c r="W495" s="80">
        <f>IFERROR(__xludf.DUMMYFUNCTION("""COMPUTED_VALUE"""),1.4921362883599636)</f>
        <v>1.492136288</v>
      </c>
      <c r="X495" s="80">
        <f>IFERROR(__xludf.DUMMYFUNCTION("""COMPUTED_VALUE"""),2.8806686884755153)</f>
        <v>2.880668688</v>
      </c>
      <c r="Y495" s="80">
        <f>IFERROR(__xludf.DUMMYFUNCTION("""COMPUTED_VALUE"""),381.6183966586592)</f>
        <v>381.6183967</v>
      </c>
      <c r="Z495" s="80">
        <f>IFERROR(__xludf.DUMMYFUNCTION("""COMPUTED_VALUE"""),0.8133185435291466)</f>
        <v>0.8133185435</v>
      </c>
      <c r="AA495" s="80">
        <f>IFERROR(__xludf.DUMMYFUNCTION("""COMPUTED_VALUE"""),0.6212684329665692)</f>
        <v>0.621268433</v>
      </c>
      <c r="AB495" s="80">
        <f>IFERROR(__xludf.DUMMYFUNCTION("""COMPUTED_VALUE"""),1.5265916825224504)</f>
        <v>1.526591683</v>
      </c>
      <c r="AC495" s="80">
        <f>IFERROR(__xludf.DUMMYFUNCTION("""COMPUTED_VALUE"""),2.7335533785364334)</f>
        <v>2.733553379</v>
      </c>
      <c r="AD495" s="80">
        <f>IFERROR(__xludf.DUMMYFUNCTION("""COMPUTED_VALUE"""),0.995953228151193)</f>
        <v>0.9959532282</v>
      </c>
      <c r="AE495" s="80">
        <f>IFERROR(__xludf.DUMMYFUNCTION("""COMPUTED_VALUE"""),0.9107633738762715)</f>
        <v>0.9107633739</v>
      </c>
      <c r="AF495" s="80">
        <f>IFERROR(__xludf.DUMMYFUNCTION("""COMPUTED_VALUE"""),0.9538430751470038)</f>
        <v>0.9538430751</v>
      </c>
      <c r="AG495" s="80">
        <f>IFERROR(__xludf.DUMMYFUNCTION("""COMPUTED_VALUE"""),1.2130629775160053)</f>
        <v>1.213062978</v>
      </c>
      <c r="AH495" s="80">
        <f>IFERROR(__xludf.DUMMYFUNCTION("""COMPUTED_VALUE"""),0.9077859978758076)</f>
        <v>0.9077859979</v>
      </c>
      <c r="AI495" s="80">
        <f>IFERROR(__xludf.DUMMYFUNCTION("""COMPUTED_VALUE"""),0.977398058591809)</f>
        <v>0.9773980586</v>
      </c>
      <c r="AJ495" s="80">
        <f>IFERROR(__xludf.DUMMYFUNCTION("""COMPUTED_VALUE"""),0.935614151485019)</f>
        <v>0.9356141515</v>
      </c>
      <c r="AK495" s="80">
        <f>IFERROR(__xludf.DUMMYFUNCTION("""COMPUTED_VALUE"""),0.9793863196163518)</f>
        <v>0.9793863196</v>
      </c>
      <c r="AL495" s="80">
        <f>IFERROR(__xludf.DUMMYFUNCTION("""COMPUTED_VALUE"""),0.9680378767760294)</f>
        <v>0.9680378768</v>
      </c>
      <c r="AM495" s="80">
        <f>IFERROR(__xludf.DUMMYFUNCTION("""COMPUTED_VALUE"""),1.0714247582285454)</f>
        <v>1.071424758</v>
      </c>
      <c r="AN495" s="80">
        <f>IFERROR(__xludf.DUMMYFUNCTION("""COMPUTED_VALUE"""),1.0305149779657117)</f>
        <v>1.030514978</v>
      </c>
      <c r="AO495" s="80">
        <f>IFERROR(__xludf.DUMMYFUNCTION("""COMPUTED_VALUE"""),0.9652565113413274)</f>
        <v>0.9652565113</v>
      </c>
      <c r="AP495" s="80">
        <f>IFERROR(__xludf.DUMMYFUNCTION("""COMPUTED_VALUE"""),0.9302621295242207)</f>
        <v>0.9302621295</v>
      </c>
      <c r="AQ495" s="80">
        <f>IFERROR(__xludf.DUMMYFUNCTION("""COMPUTED_VALUE"""),1.2651742834544868)</f>
        <v>1.265174283</v>
      </c>
      <c r="AR495" s="80">
        <f>IFERROR(__xludf.DUMMYFUNCTION("""COMPUTED_VALUE"""),0.9198084683404021)</f>
        <v>0.9198084683</v>
      </c>
      <c r="AS495" s="80">
        <f>IFERROR(__xludf.DUMMYFUNCTION("""COMPUTED_VALUE"""),66.0)</f>
        <v>66</v>
      </c>
      <c r="AT495" s="80">
        <f>IFERROR(__xludf.DUMMYFUNCTION("""COMPUTED_VALUE"""),0.5)</f>
        <v>0.5</v>
      </c>
      <c r="AU495" s="80">
        <f>IFERROR(__xludf.DUMMYFUNCTION("""COMPUTED_VALUE"""),2.9799905977883556)</f>
        <v>2.979990598</v>
      </c>
      <c r="AV495" s="80">
        <f>IFERROR(__xludf.DUMMYFUNCTION("""COMPUTED_VALUE"""),48.824462886237015)</f>
        <v>48.82446289</v>
      </c>
      <c r="AW495" s="82">
        <f t="shared" si="1"/>
        <v>-2.077930488</v>
      </c>
      <c r="AX495" s="83">
        <f t="array" ref="AX495">IFERROR(DGET('SBV Import'!A:G,"SBV",{"RSC ID","Tier";B495,A495}))</f>
        <v>39.27384493</v>
      </c>
      <c r="AY495" s="82">
        <f t="shared" si="2"/>
        <v>-2.99450687</v>
      </c>
      <c r="AZ495" s="82">
        <v>0.9165763815205024</v>
      </c>
      <c r="BA495" s="84">
        <v>450.0</v>
      </c>
      <c r="BB495" s="84" t="b">
        <f>IFERROR(__xludf.DUMMYFUNCTION("iferror(if(A495="""",,E495&gt;=FILTER(Constants!$F$2:$F$10,Constants!$A$2:$A$10=A495)))"),TRUE)</f>
        <v>1</v>
      </c>
    </row>
    <row r="496">
      <c r="A496" s="80" t="str">
        <f>IFERROR(__xludf.DUMMYFUNCTION("""COMPUTED_VALUE"""),"Master")</f>
        <v>Master</v>
      </c>
      <c r="B496" s="80" t="str">
        <f>IFERROR(__xludf.DUMMYFUNCTION("""COMPUTED_VALUE"""),"RSC004132")</f>
        <v>RSC004132</v>
      </c>
      <c r="C496" s="80" t="str">
        <f>IFERROR(__xludf.DUMMYFUNCTION("""COMPUTED_VALUE"""),"Rob Belichick")</f>
        <v>Rob Belichick</v>
      </c>
      <c r="D496" s="80" t="str">
        <f>IFERROR(__xludf.DUMMYFUNCTION("""COMPUTED_VALUE"""),"Battle Masters")</f>
        <v>Battle Masters</v>
      </c>
      <c r="E496" s="80">
        <f>IFERROR(__xludf.DUMMYFUNCTION("""COMPUTED_VALUE"""),8.0)</f>
        <v>8</v>
      </c>
      <c r="F496" s="80">
        <f>IFERROR(__xludf.DUMMYFUNCTION("""COMPUTED_VALUE"""),4.0)</f>
        <v>4</v>
      </c>
      <c r="G496" s="80">
        <f>IFERROR(__xludf.DUMMYFUNCTION("""COMPUTED_VALUE"""),4.0)</f>
        <v>4</v>
      </c>
      <c r="H496" s="81">
        <f>IFERROR(__xludf.DUMMYFUNCTION("""COMPUTED_VALUE"""),0.5)</f>
        <v>0.5</v>
      </c>
      <c r="I496" s="81">
        <f>IFERROR(__xludf.DUMMYFUNCTION("""COMPUTED_VALUE"""),0.29411764705882354)</f>
        <v>0.2941176471</v>
      </c>
      <c r="J496" s="80">
        <f>IFERROR(__xludf.DUMMYFUNCTION("""COMPUTED_VALUE"""),373.75)</f>
        <v>373.75</v>
      </c>
      <c r="K496" s="80">
        <f>IFERROR(__xludf.DUMMYFUNCTION("""COMPUTED_VALUE"""),0.625)</f>
        <v>0.625</v>
      </c>
      <c r="L496" s="80">
        <f>IFERROR(__xludf.DUMMYFUNCTION("""COMPUTED_VALUE"""),0.875)</f>
        <v>0.875</v>
      </c>
      <c r="M496" s="80">
        <f>IFERROR(__xludf.DUMMYFUNCTION("""COMPUTED_VALUE"""),1.25)</f>
        <v>1.25</v>
      </c>
      <c r="N496" s="80">
        <f>IFERROR(__xludf.DUMMYFUNCTION("""COMPUTED_VALUE"""),2.125)</f>
        <v>2.125</v>
      </c>
      <c r="O496" s="80">
        <f>IFERROR(__xludf.DUMMYFUNCTION("""COMPUTED_VALUE"""),421.45833333333337)</f>
        <v>421.4583333</v>
      </c>
      <c r="P496" s="80">
        <f>IFERROR(__xludf.DUMMYFUNCTION("""COMPUTED_VALUE"""),0.9166666666666666)</f>
        <v>0.9166666667</v>
      </c>
      <c r="Q496" s="80">
        <f>IFERROR(__xludf.DUMMYFUNCTION("""COMPUTED_VALUE"""),0.75)</f>
        <v>0.75</v>
      </c>
      <c r="R496" s="80">
        <f>IFERROR(__xludf.DUMMYFUNCTION("""COMPUTED_VALUE"""),1.3749999999999998)</f>
        <v>1.375</v>
      </c>
      <c r="S496" s="80">
        <f>IFERROR(__xludf.DUMMYFUNCTION("""COMPUTED_VALUE"""),3.25)</f>
        <v>3.25</v>
      </c>
      <c r="T496" s="80">
        <f>IFERROR(__xludf.DUMMYFUNCTION("""COMPUTED_VALUE"""),400.04665704665706)</f>
        <v>400.046657</v>
      </c>
      <c r="U496" s="80">
        <f>IFERROR(__xludf.DUMMYFUNCTION("""COMPUTED_VALUE"""),0.8917147667147667)</f>
        <v>0.8917147667</v>
      </c>
      <c r="V496" s="80">
        <f>IFERROR(__xludf.DUMMYFUNCTION("""COMPUTED_VALUE"""),0.6519660894660895)</f>
        <v>0.6519660895</v>
      </c>
      <c r="W496" s="80">
        <f>IFERROR(__xludf.DUMMYFUNCTION("""COMPUTED_VALUE"""),1.5505576599326598)</f>
        <v>1.55055766</v>
      </c>
      <c r="X496" s="80">
        <f>IFERROR(__xludf.DUMMYFUNCTION("""COMPUTED_VALUE"""),2.8586309523809517)</f>
        <v>2.858630952</v>
      </c>
      <c r="Y496" s="80">
        <f>IFERROR(__xludf.DUMMYFUNCTION("""COMPUTED_VALUE"""),399.4366081449414)</f>
        <v>399.4366081</v>
      </c>
      <c r="Z496" s="80">
        <f>IFERROR(__xludf.DUMMYFUNCTION("""COMPUTED_VALUE"""),0.9004404160654161)</f>
        <v>0.9004404161</v>
      </c>
      <c r="AA496" s="80">
        <f>IFERROR(__xludf.DUMMYFUNCTION("""COMPUTED_VALUE"""),0.6995726110309444)</f>
        <v>0.699572611</v>
      </c>
      <c r="AB496" s="80">
        <f>IFERROR(__xludf.DUMMYFUNCTION("""COMPUTED_VALUE"""),1.4958188031104696)</f>
        <v>1.495818803</v>
      </c>
      <c r="AC496" s="80">
        <f>IFERROR(__xludf.DUMMYFUNCTION("""COMPUTED_VALUE"""),2.898002845919512)</f>
        <v>2.898002846</v>
      </c>
      <c r="AD496" s="80">
        <f>IFERROR(__xludf.DUMMYFUNCTION("""COMPUTED_VALUE"""),0.935692904402942)</f>
        <v>0.9356929044</v>
      </c>
      <c r="AE496" s="80">
        <f>IFERROR(__xludf.DUMMYFUNCTION("""COMPUTED_VALUE"""),0.6941047834469865)</f>
        <v>0.6941047834</v>
      </c>
      <c r="AF496" s="80">
        <f>IFERROR(__xludf.DUMMYFUNCTION("""COMPUTED_VALUE"""),1.2507636608450583)</f>
        <v>1.250763661</v>
      </c>
      <c r="AG496" s="80">
        <f>IFERROR(__xludf.DUMMYFUNCTION("""COMPUTED_VALUE"""),0.8356627135590865)</f>
        <v>0.8356627136</v>
      </c>
      <c r="AH496" s="80">
        <f>IFERROR(__xludf.DUMMYFUNCTION("""COMPUTED_VALUE"""),0.733263600134856)</f>
        <v>0.7332636001</v>
      </c>
      <c r="AI496" s="80">
        <f>IFERROR(__xludf.DUMMYFUNCTION("""COMPUTED_VALUE"""),1.0535229476600252)</f>
        <v>1.053522948</v>
      </c>
      <c r="AJ496" s="80">
        <f>IFERROR(__xludf.DUMMYFUNCTION("""COMPUTED_VALUE"""),1.0279819297417572)</f>
        <v>1.02798193</v>
      </c>
      <c r="AK496" s="80">
        <f>IFERROR(__xludf.DUMMYFUNCTION("""COMPUTED_VALUE"""),1.1503665790565776)</f>
        <v>1.150366579</v>
      </c>
      <c r="AL496" s="80">
        <f>IFERROR(__xludf.DUMMYFUNCTION("""COMPUTED_VALUE"""),0.8867777287687035)</f>
        <v>0.8867777288</v>
      </c>
      <c r="AM496" s="80">
        <f>IFERROR(__xludf.DUMMYFUNCTION("""COMPUTED_VALUE"""),1.1369078604893288)</f>
        <v>1.13690786</v>
      </c>
      <c r="AN496" s="80">
        <f>IFERROR(__xludf.DUMMYFUNCTION("""COMPUTED_VALUE"""),1.01336818080262)</f>
        <v>1.013368181</v>
      </c>
      <c r="AO496" s="80">
        <f>IFERROR(__xludf.DUMMYFUNCTION("""COMPUTED_VALUE"""),0.814435181444245)</f>
        <v>0.8144351814</v>
      </c>
      <c r="AP496" s="80">
        <f>IFERROR(__xludf.DUMMYFUNCTION("""COMPUTED_VALUE"""),1.3735901756256073)</f>
        <v>1.373590176</v>
      </c>
      <c r="AQ496" s="80">
        <f>IFERROR(__xludf.DUMMYFUNCTION("""COMPUTED_VALUE"""),0.8539926413317785)</f>
        <v>0.8539926413</v>
      </c>
      <c r="AR496" s="80">
        <f>IFERROR(__xludf.DUMMYFUNCTION("""COMPUTED_VALUE"""),0.7876718040452324)</f>
        <v>0.787671804</v>
      </c>
      <c r="AS496" s="80">
        <f>IFERROR(__xludf.DUMMYFUNCTION("""COMPUTED_VALUE"""),23.0)</f>
        <v>23</v>
      </c>
      <c r="AT496" s="80">
        <f>IFERROR(__xludf.DUMMYFUNCTION("""COMPUTED_VALUE"""),0.5182356601056898)</f>
        <v>0.5182356601</v>
      </c>
      <c r="AU496" s="80">
        <f>IFERROR(__xludf.DUMMYFUNCTION("""COMPUTED_VALUE"""),2.8941811953838408)</f>
        <v>2.894181195</v>
      </c>
      <c r="AV496" s="80">
        <f>IFERROR(__xludf.DUMMYFUNCTION("""COMPUTED_VALUE"""),46.72774399679383)</f>
        <v>46.727744</v>
      </c>
      <c r="AW496" s="82">
        <f t="shared" si="1"/>
        <v>-2.232486362</v>
      </c>
      <c r="AX496" s="83">
        <f t="array" ref="AX496">IFERROR(DGET('SBV Import'!A:G,"SBV",{"RSC ID","Tier";B496,A496}))</f>
        <v>38.08013817</v>
      </c>
      <c r="AY496" s="82">
        <f t="shared" si="2"/>
        <v>-3.157021663</v>
      </c>
      <c r="AZ496" s="82">
        <v>0.924535300289306</v>
      </c>
      <c r="BA496" s="84">
        <v>450.0</v>
      </c>
      <c r="BB496" s="84" t="b">
        <f>IFERROR(__xludf.DUMMYFUNCTION("iferror(if(A496="""",,E496&gt;=FILTER(Constants!$F$2:$F$10,Constants!$A$2:$A$10=A496)))"),TRUE)</f>
        <v>1</v>
      </c>
    </row>
    <row r="497">
      <c r="A497" s="80" t="str">
        <f>IFERROR(__xludf.DUMMYFUNCTION("""COMPUTED_VALUE"""),"Master")</f>
        <v>Master</v>
      </c>
      <c r="B497" s="80" t="str">
        <f>IFERROR(__xludf.DUMMYFUNCTION("""COMPUTED_VALUE"""),"RSC005690")</f>
        <v>RSC005690</v>
      </c>
      <c r="C497" s="80" t="str">
        <f>IFERROR(__xludf.DUMMYFUNCTION("""COMPUTED_VALUE"""),"DQ.")</f>
        <v>DQ.</v>
      </c>
      <c r="D497" s="80" t="str">
        <f>IFERROR(__xludf.DUMMYFUNCTION("""COMPUTED_VALUE"""),"Kawaii")</f>
        <v>Kawaii</v>
      </c>
      <c r="E497" s="80">
        <f>IFERROR(__xludf.DUMMYFUNCTION("""COMPUTED_VALUE"""),32.0)</f>
        <v>32</v>
      </c>
      <c r="F497" s="80">
        <f>IFERROR(__xludf.DUMMYFUNCTION("""COMPUTED_VALUE"""),15.0)</f>
        <v>15</v>
      </c>
      <c r="G497" s="80">
        <f>IFERROR(__xludf.DUMMYFUNCTION("""COMPUTED_VALUE"""),17.0)</f>
        <v>17</v>
      </c>
      <c r="H497" s="81">
        <f>IFERROR(__xludf.DUMMYFUNCTION("""COMPUTED_VALUE"""),0.46875)</f>
        <v>0.46875</v>
      </c>
      <c r="I497" s="81">
        <f>IFERROR(__xludf.DUMMYFUNCTION("""COMPUTED_VALUE"""),0.3333333333333333)</f>
        <v>0.3333333333</v>
      </c>
      <c r="J497" s="80">
        <f>IFERROR(__xludf.DUMMYFUNCTION("""COMPUTED_VALUE"""),347.625)</f>
        <v>347.625</v>
      </c>
      <c r="K497" s="80">
        <f>IFERROR(__xludf.DUMMYFUNCTION("""COMPUTED_VALUE"""),0.78125)</f>
        <v>0.78125</v>
      </c>
      <c r="L497" s="80">
        <f>IFERROR(__xludf.DUMMYFUNCTION("""COMPUTED_VALUE"""),0.5625)</f>
        <v>0.5625</v>
      </c>
      <c r="M497" s="80">
        <f>IFERROR(__xludf.DUMMYFUNCTION("""COMPUTED_VALUE"""),1.1875)</f>
        <v>1.1875</v>
      </c>
      <c r="N497" s="80">
        <f>IFERROR(__xludf.DUMMYFUNCTION("""COMPUTED_VALUE"""),2.34375)</f>
        <v>2.34375</v>
      </c>
      <c r="O497" s="80">
        <f>IFERROR(__xludf.DUMMYFUNCTION("""COMPUTED_VALUE"""),380.2291666666667)</f>
        <v>380.2291667</v>
      </c>
      <c r="P497" s="80">
        <f>IFERROR(__xludf.DUMMYFUNCTION("""COMPUTED_VALUE"""),0.8645833333333334)</f>
        <v>0.8645833333</v>
      </c>
      <c r="Q497" s="80">
        <f>IFERROR(__xludf.DUMMYFUNCTION("""COMPUTED_VALUE"""),0.6041666666666667)</f>
        <v>0.6041666667</v>
      </c>
      <c r="R497" s="80">
        <f>IFERROR(__xludf.DUMMYFUNCTION("""COMPUTED_VALUE"""),1.3854166666666665)</f>
        <v>1.385416667</v>
      </c>
      <c r="S497" s="80">
        <f>IFERROR(__xludf.DUMMYFUNCTION("""COMPUTED_VALUE"""),2.541666666666667)</f>
        <v>2.541666667</v>
      </c>
      <c r="T497" s="80">
        <f>IFERROR(__xludf.DUMMYFUNCTION("""COMPUTED_VALUE"""),383.0112253624346)</f>
        <v>383.0112254</v>
      </c>
      <c r="U497" s="80">
        <f>IFERROR(__xludf.DUMMYFUNCTION("""COMPUTED_VALUE"""),0.8889090156475995)</f>
        <v>0.8889090156</v>
      </c>
      <c r="V497" s="80">
        <f>IFERROR(__xludf.DUMMYFUNCTION("""COMPUTED_VALUE"""),0.6873918963963787)</f>
        <v>0.6873918964</v>
      </c>
      <c r="W497" s="80">
        <f>IFERROR(__xludf.DUMMYFUNCTION("""COMPUTED_VALUE"""),1.4021311991986807)</f>
        <v>1.402131199</v>
      </c>
      <c r="X497" s="80">
        <f>IFERROR(__xludf.DUMMYFUNCTION("""COMPUTED_VALUE"""),2.7283795684829535)</f>
        <v>2.728379568</v>
      </c>
      <c r="Y497" s="80">
        <f>IFERROR(__xludf.DUMMYFUNCTION("""COMPUTED_VALUE"""),382.8038351807617)</f>
        <v>382.8038352</v>
      </c>
      <c r="Z497" s="80">
        <f>IFERROR(__xludf.DUMMYFUNCTION("""COMPUTED_VALUE"""),0.8581132817354551)</f>
        <v>0.8581132817</v>
      </c>
      <c r="AA497" s="80">
        <f>IFERROR(__xludf.DUMMYFUNCTION("""COMPUTED_VALUE"""),0.6514326679803839)</f>
        <v>0.651432668</v>
      </c>
      <c r="AB497" s="80">
        <f>IFERROR(__xludf.DUMMYFUNCTION("""COMPUTED_VALUE"""),1.4465290978022898)</f>
        <v>1.446529098</v>
      </c>
      <c r="AC497" s="80">
        <f>IFERROR(__xludf.DUMMYFUNCTION("""COMPUTED_VALUE"""),2.739160325040302)</f>
        <v>2.739160325</v>
      </c>
      <c r="AD497" s="80">
        <f>IFERROR(__xludf.DUMMYFUNCTION("""COMPUTED_VALUE"""),0.9081021872099319)</f>
        <v>0.9081021872</v>
      </c>
      <c r="AE497" s="80">
        <f>IFERROR(__xludf.DUMMYFUNCTION("""COMPUTED_VALUE"""),0.9104275817989832)</f>
        <v>0.9104275818</v>
      </c>
      <c r="AF497" s="80">
        <f>IFERROR(__xludf.DUMMYFUNCTION("""COMPUTED_VALUE"""),0.8634814120450867)</f>
        <v>0.863481412</v>
      </c>
      <c r="AG497" s="80">
        <f>IFERROR(__xludf.DUMMYFUNCTION("""COMPUTED_VALUE"""),0.8209305998781273)</f>
        <v>0.8209305999</v>
      </c>
      <c r="AH497" s="80">
        <f>IFERROR(__xludf.DUMMYFUNCTION("""COMPUTED_VALUE"""),0.855645424831245)</f>
        <v>0.8556454248</v>
      </c>
      <c r="AI497" s="80">
        <f>IFERROR(__xludf.DUMMYFUNCTION("""COMPUTED_VALUE"""),0.9927363520660908)</f>
        <v>0.9927363521</v>
      </c>
      <c r="AJ497" s="80">
        <f>IFERROR(__xludf.DUMMYFUNCTION("""COMPUTED_VALUE"""),0.9726342270287989)</f>
        <v>0.972634227</v>
      </c>
      <c r="AK497" s="80">
        <f>IFERROR(__xludf.DUMMYFUNCTION("""COMPUTED_VALUE"""),0.8789260825360082)</f>
        <v>0.8789260825</v>
      </c>
      <c r="AL497" s="80">
        <f>IFERROR(__xludf.DUMMYFUNCTION("""COMPUTED_VALUE"""),0.9880791950556649)</f>
        <v>0.9880791951</v>
      </c>
      <c r="AM497" s="80">
        <f>IFERROR(__xludf.DUMMYFUNCTION("""COMPUTED_VALUE"""),0.9315663758909822)</f>
        <v>0.9315663759</v>
      </c>
      <c r="AN497" s="80">
        <f>IFERROR(__xludf.DUMMYFUNCTION("""COMPUTED_VALUE"""),0.942534083883641)</f>
        <v>0.9425340839</v>
      </c>
      <c r="AO497" s="80">
        <f>IFERROR(__xludf.DUMMYFUNCTION("""COMPUTED_VALUE"""),1.0180439768053062)</f>
        <v>1.018043977</v>
      </c>
      <c r="AP497" s="80">
        <f>IFERROR(__xludf.DUMMYFUNCTION("""COMPUTED_VALUE"""),0.8830222557593189)</f>
        <v>0.8830222558</v>
      </c>
      <c r="AQ497" s="80">
        <f>IFERROR(__xludf.DUMMYFUNCTION("""COMPUTED_VALUE"""),0.8112930092651897)</f>
        <v>0.8112930093</v>
      </c>
      <c r="AR497" s="80">
        <f>IFERROR(__xludf.DUMMYFUNCTION("""COMPUTED_VALUE"""),0.8687556662263592)</f>
        <v>0.8687556662</v>
      </c>
      <c r="AS497" s="80">
        <f>IFERROR(__xludf.DUMMYFUNCTION("""COMPUTED_VALUE"""),80.0)</f>
        <v>80</v>
      </c>
      <c r="AT497" s="80">
        <f>IFERROR(__xludf.DUMMYFUNCTION("""COMPUTED_VALUE"""),0.48531927003015823)</f>
        <v>0.48531927</v>
      </c>
      <c r="AU497" s="80">
        <f>IFERROR(__xludf.DUMMYFUNCTION("""COMPUTED_VALUE"""),2.849197245494714)</f>
        <v>2.849197245</v>
      </c>
      <c r="AV497" s="80">
        <f>IFERROR(__xludf.DUMMYFUNCTION("""COMPUTED_VALUE"""),45.62857893082975)</f>
        <v>45.62857893</v>
      </c>
      <c r="AW497" s="82">
        <f t="shared" si="1"/>
        <v>-2.322362163</v>
      </c>
      <c r="AX497" s="83">
        <f t="array" ref="AX497">IFERROR(DGET('SBV Import'!A:G,"SBV",{"RSC ID","Tier";B497,A497}))</f>
        <v>43.43605218</v>
      </c>
      <c r="AY497" s="82">
        <f t="shared" si="2"/>
        <v>-2.522413718</v>
      </c>
      <c r="AZ497" s="82">
        <v>0.2000515545553494</v>
      </c>
      <c r="BA497" s="84">
        <v>450.0</v>
      </c>
      <c r="BB497" s="84" t="b">
        <f>IFERROR(__xludf.DUMMYFUNCTION("iferror(if(A497="""",,E497&gt;=FILTER(Constants!$F$2:$F$10,Constants!$A$2:$A$10=A497)))"),TRUE)</f>
        <v>1</v>
      </c>
    </row>
    <row r="498">
      <c r="A498" s="80" t="str">
        <f>IFERROR(__xludf.DUMMYFUNCTION("""COMPUTED_VALUE"""),"Master")</f>
        <v>Master</v>
      </c>
      <c r="B498" s="80" t="str">
        <f>IFERROR(__xludf.DUMMYFUNCTION("""COMPUTED_VALUE"""),"RSC003308")</f>
        <v>RSC003308</v>
      </c>
      <c r="C498" s="80" t="str">
        <f>IFERROR(__xludf.DUMMYFUNCTION("""COMPUTED_VALUE"""),"Tman")</f>
        <v>Tman</v>
      </c>
      <c r="D498" s="80" t="str">
        <f>IFERROR(__xludf.DUMMYFUNCTION("""COMPUTED_VALUE"""),"Care Bears")</f>
        <v>Care Bears</v>
      </c>
      <c r="E498" s="80">
        <f>IFERROR(__xludf.DUMMYFUNCTION("""COMPUTED_VALUE"""),29.0)</f>
        <v>29</v>
      </c>
      <c r="F498" s="80">
        <f>IFERROR(__xludf.DUMMYFUNCTION("""COMPUTED_VALUE"""),11.0)</f>
        <v>11</v>
      </c>
      <c r="G498" s="80">
        <f>IFERROR(__xludf.DUMMYFUNCTION("""COMPUTED_VALUE"""),18.0)</f>
        <v>18</v>
      </c>
      <c r="H498" s="81">
        <f>IFERROR(__xludf.DUMMYFUNCTION("""COMPUTED_VALUE"""),0.3793103448275862)</f>
        <v>0.3793103448</v>
      </c>
      <c r="I498" s="81">
        <f>IFERROR(__xludf.DUMMYFUNCTION("""COMPUTED_VALUE"""),0.29333333333333333)</f>
        <v>0.2933333333</v>
      </c>
      <c r="J498" s="80">
        <f>IFERROR(__xludf.DUMMYFUNCTION("""COMPUTED_VALUE"""),371.44827586206895)</f>
        <v>371.4482759</v>
      </c>
      <c r="K498" s="80">
        <f>IFERROR(__xludf.DUMMYFUNCTION("""COMPUTED_VALUE"""),0.7586206896551724)</f>
        <v>0.7586206897</v>
      </c>
      <c r="L498" s="80">
        <f>IFERROR(__xludf.DUMMYFUNCTION("""COMPUTED_VALUE"""),0.5172413793103449)</f>
        <v>0.5172413793</v>
      </c>
      <c r="M498" s="80">
        <f>IFERROR(__xludf.DUMMYFUNCTION("""COMPUTED_VALUE"""),1.5517241379310345)</f>
        <v>1.551724138</v>
      </c>
      <c r="N498" s="80">
        <f>IFERROR(__xludf.DUMMYFUNCTION("""COMPUTED_VALUE"""),2.586206896551724)</f>
        <v>2.586206897</v>
      </c>
      <c r="O498" s="80">
        <f>IFERROR(__xludf.DUMMYFUNCTION("""COMPUTED_VALUE"""),387.4137931034482)</f>
        <v>387.4137931</v>
      </c>
      <c r="P498" s="80">
        <f>IFERROR(__xludf.DUMMYFUNCTION("""COMPUTED_VALUE"""),0.9310344827586206)</f>
        <v>0.9310344828</v>
      </c>
      <c r="Q498" s="80">
        <f>IFERROR(__xludf.DUMMYFUNCTION("""COMPUTED_VALUE"""),0.6896551724137933)</f>
        <v>0.6896551724</v>
      </c>
      <c r="R498" s="80">
        <f>IFERROR(__xludf.DUMMYFUNCTION("""COMPUTED_VALUE"""),1.4367816091954022)</f>
        <v>1.436781609</v>
      </c>
      <c r="S498" s="80">
        <f>IFERROR(__xludf.DUMMYFUNCTION("""COMPUTED_VALUE"""),2.873563218390805)</f>
        <v>2.873563218</v>
      </c>
      <c r="T498" s="80">
        <f>IFERROR(__xludf.DUMMYFUNCTION("""COMPUTED_VALUE"""),395.5353499211599)</f>
        <v>395.5353499</v>
      </c>
      <c r="U498" s="80">
        <f>IFERROR(__xludf.DUMMYFUNCTION("""COMPUTED_VALUE"""),0.9227524456260242)</f>
        <v>0.9227524456</v>
      </c>
      <c r="V498" s="80">
        <f>IFERROR(__xludf.DUMMYFUNCTION("""COMPUTED_VALUE"""),0.7054245160858376)</f>
        <v>0.7054245161</v>
      </c>
      <c r="W498" s="80">
        <f>IFERROR(__xludf.DUMMYFUNCTION("""COMPUTED_VALUE"""),1.4815968227381884)</f>
        <v>1.481596823</v>
      </c>
      <c r="X498" s="80">
        <f>IFERROR(__xludf.DUMMYFUNCTION("""COMPUTED_VALUE"""),2.933006922103879)</f>
        <v>2.933006922</v>
      </c>
      <c r="Y498" s="80">
        <f>IFERROR(__xludf.DUMMYFUNCTION("""COMPUTED_VALUE"""),383.26849940167244)</f>
        <v>383.2684994</v>
      </c>
      <c r="Z498" s="80">
        <f>IFERROR(__xludf.DUMMYFUNCTION("""COMPUTED_VALUE"""),0.8439338291574785)</f>
        <v>0.8439338292</v>
      </c>
      <c r="AA498" s="80">
        <f>IFERROR(__xludf.DUMMYFUNCTION("""COMPUTED_VALUE"""),0.6515803234521566)</f>
        <v>0.6515803235</v>
      </c>
      <c r="AB498" s="80">
        <f>IFERROR(__xludf.DUMMYFUNCTION("""COMPUTED_VALUE"""),1.5197182900330624)</f>
        <v>1.51971829</v>
      </c>
      <c r="AC498" s="80">
        <f>IFERROR(__xludf.DUMMYFUNCTION("""COMPUTED_VALUE"""),2.7552788303979967)</f>
        <v>2.75527883</v>
      </c>
      <c r="AD498" s="80">
        <f>IFERROR(__xludf.DUMMYFUNCTION("""COMPUTED_VALUE"""),0.9691594181153519)</f>
        <v>0.9691594181</v>
      </c>
      <c r="AE498" s="80">
        <f>IFERROR(__xludf.DUMMYFUNCTION("""COMPUTED_VALUE"""),0.8989101555657788)</f>
        <v>0.8989101556</v>
      </c>
      <c r="AF498" s="80">
        <f>IFERROR(__xludf.DUMMYFUNCTION("""COMPUTED_VALUE"""),0.7938259654157961)</f>
        <v>0.7938259654</v>
      </c>
      <c r="AG498" s="80">
        <f>IFERROR(__xludf.DUMMYFUNCTION("""COMPUTED_VALUE"""),1.0210603821167907)</f>
        <v>1.021060382</v>
      </c>
      <c r="AH498" s="80">
        <f>IFERROR(__xludf.DUMMYFUNCTION("""COMPUTED_VALUE"""),0.9386370874769686)</f>
        <v>0.9386370875</v>
      </c>
      <c r="AI498" s="80">
        <f>IFERROR(__xludf.DUMMYFUNCTION("""COMPUTED_VALUE"""),0.9794669254737143)</f>
        <v>0.9794669255</v>
      </c>
      <c r="AJ498" s="80">
        <f>IFERROR(__xludf.DUMMYFUNCTION("""COMPUTED_VALUE"""),1.0089753618880712)</f>
        <v>1.008975362</v>
      </c>
      <c r="AK498" s="80">
        <f>IFERROR(__xludf.DUMMYFUNCTION("""COMPUTED_VALUE"""),0.977645597349603)</f>
        <v>0.9776455973</v>
      </c>
      <c r="AL498" s="80">
        <f>IFERROR(__xludf.DUMMYFUNCTION("""COMPUTED_VALUE"""),0.9697520858205124)</f>
        <v>0.9697520858</v>
      </c>
      <c r="AM498" s="80">
        <f>IFERROR(__xludf.DUMMYFUNCTION("""COMPUTED_VALUE"""),0.9797328457477917)</f>
        <v>0.9797328457</v>
      </c>
      <c r="AN498" s="80">
        <f>IFERROR(__xludf.DUMMYFUNCTION("""COMPUTED_VALUE"""),1.0071273941742196)</f>
        <v>1.007127394</v>
      </c>
      <c r="AO498" s="80">
        <f>IFERROR(__xludf.DUMMYFUNCTION("""COMPUTED_VALUE"""),0.9885558064426697)</f>
        <v>0.9885558064</v>
      </c>
      <c r="AP498" s="80">
        <f>IFERROR(__xludf.DUMMYFUNCTION("""COMPUTED_VALUE"""),0.8119744880545462)</f>
        <v>0.8119744881</v>
      </c>
      <c r="AQ498" s="80">
        <f>IFERROR(__xludf.DUMMYFUNCTION("""COMPUTED_VALUE"""),1.0601287961360009)</f>
        <v>1.060128796</v>
      </c>
      <c r="AR498" s="80">
        <f>IFERROR(__xludf.DUMMYFUNCTION("""COMPUTED_VALUE"""),0.9586269420428792)</f>
        <v>0.958626942</v>
      </c>
      <c r="AS498" s="80">
        <f>IFERROR(__xludf.DUMMYFUNCTION("""COMPUTED_VALUE"""),64.0)</f>
        <v>64</v>
      </c>
      <c r="AT498" s="80">
        <f>IFERROR(__xludf.DUMMYFUNCTION("""COMPUTED_VALUE"""),0.4076069501524173)</f>
        <v>0.4076069502</v>
      </c>
      <c r="AU498" s="80">
        <f>IFERROR(__xludf.DUMMYFUNCTION("""COMPUTED_VALUE"""),2.8445812845423695)</f>
        <v>2.844581285</v>
      </c>
      <c r="AV498" s="80">
        <f>IFERROR(__xludf.DUMMYFUNCTION("""COMPUTED_VALUE"""),45.515789746305565)</f>
        <v>45.51578975</v>
      </c>
      <c r="AW498" s="82">
        <f t="shared" si="1"/>
        <v>-2.331957852</v>
      </c>
      <c r="AX498" s="83">
        <f t="array" ref="AX498">IFERROR(DGET('SBV Import'!A:G,"SBV",{"RSC ID","Tier";B498,A498}))</f>
        <v>40.37163635</v>
      </c>
      <c r="AY498" s="82">
        <f t="shared" si="2"/>
        <v>-2.856580786</v>
      </c>
      <c r="AZ498" s="82">
        <v>0.5246229345017799</v>
      </c>
      <c r="BA498" s="84">
        <v>450.0</v>
      </c>
      <c r="BB498" s="84" t="b">
        <f>IFERROR(__xludf.DUMMYFUNCTION("iferror(if(A498="""",,E498&gt;=FILTER(Constants!$F$2:$F$10,Constants!$A$2:$A$10=A498)))"),TRUE)</f>
        <v>1</v>
      </c>
    </row>
    <row r="499">
      <c r="A499" s="80" t="str">
        <f>IFERROR(__xludf.DUMMYFUNCTION("""COMPUTED_VALUE"""),"Master")</f>
        <v>Master</v>
      </c>
      <c r="B499" s="80" t="str">
        <f>IFERROR(__xludf.DUMMYFUNCTION("""COMPUTED_VALUE"""),"RSC000203")</f>
        <v>RSC000203</v>
      </c>
      <c r="C499" s="80" t="str">
        <f>IFERROR(__xludf.DUMMYFUNCTION("""COMPUTED_VALUE"""),"FrostyBrew")</f>
        <v>FrostyBrew</v>
      </c>
      <c r="D499" s="80"/>
      <c r="E499" s="80">
        <f>IFERROR(__xludf.DUMMYFUNCTION("""COMPUTED_VALUE"""),4.0)</f>
        <v>4</v>
      </c>
      <c r="F499" s="80">
        <f>IFERROR(__xludf.DUMMYFUNCTION("""COMPUTED_VALUE"""),2.0)</f>
        <v>2</v>
      </c>
      <c r="G499" s="80">
        <f>IFERROR(__xludf.DUMMYFUNCTION("""COMPUTED_VALUE"""),2.0)</f>
        <v>2</v>
      </c>
      <c r="H499" s="81">
        <f>IFERROR(__xludf.DUMMYFUNCTION("""COMPUTED_VALUE"""),0.5)</f>
        <v>0.5</v>
      </c>
      <c r="I499" s="81">
        <f>IFERROR(__xludf.DUMMYFUNCTION("""COMPUTED_VALUE"""),0.3)</f>
        <v>0.3</v>
      </c>
      <c r="J499" s="80">
        <f>IFERROR(__xludf.DUMMYFUNCTION("""COMPUTED_VALUE"""),382.5)</f>
        <v>382.5</v>
      </c>
      <c r="K499" s="80">
        <f>IFERROR(__xludf.DUMMYFUNCTION("""COMPUTED_VALUE"""),0.75)</f>
        <v>0.75</v>
      </c>
      <c r="L499" s="80">
        <f>IFERROR(__xludf.DUMMYFUNCTION("""COMPUTED_VALUE"""),0.75)</f>
        <v>0.75</v>
      </c>
      <c r="M499" s="80">
        <f>IFERROR(__xludf.DUMMYFUNCTION("""COMPUTED_VALUE"""),1.75)</f>
        <v>1.75</v>
      </c>
      <c r="N499" s="80">
        <f>IFERROR(__xludf.DUMMYFUNCTION("""COMPUTED_VALUE"""),2.5)</f>
        <v>2.5</v>
      </c>
      <c r="O499" s="80">
        <f>IFERROR(__xludf.DUMMYFUNCTION("""COMPUTED_VALUE"""),408.9166666666667)</f>
        <v>408.9166667</v>
      </c>
      <c r="P499" s="80">
        <f>IFERROR(__xludf.DUMMYFUNCTION("""COMPUTED_VALUE"""),1.0)</f>
        <v>1</v>
      </c>
      <c r="Q499" s="80">
        <f>IFERROR(__xludf.DUMMYFUNCTION("""COMPUTED_VALUE"""),0.75)</f>
        <v>0.75</v>
      </c>
      <c r="R499" s="80">
        <f>IFERROR(__xludf.DUMMYFUNCTION("""COMPUTED_VALUE"""),1.4166666666666667)</f>
        <v>1.416666667</v>
      </c>
      <c r="S499" s="80">
        <f>IFERROR(__xludf.DUMMYFUNCTION("""COMPUTED_VALUE"""),4.25)</f>
        <v>4.25</v>
      </c>
      <c r="T499" s="80">
        <f>IFERROR(__xludf.DUMMYFUNCTION("""COMPUTED_VALUE"""),399.78544973544973)</f>
        <v>399.7854497</v>
      </c>
      <c r="U499" s="80">
        <f>IFERROR(__xludf.DUMMYFUNCTION("""COMPUTED_VALUE"""),0.9246031746031745)</f>
        <v>0.9246031746</v>
      </c>
      <c r="V499" s="80">
        <f>IFERROR(__xludf.DUMMYFUNCTION("""COMPUTED_VALUE"""),0.5616402116402116)</f>
        <v>0.5616402116</v>
      </c>
      <c r="W499" s="80">
        <f>IFERROR(__xludf.DUMMYFUNCTION("""COMPUTED_VALUE"""),1.5375661375661374)</f>
        <v>1.537566138</v>
      </c>
      <c r="X499" s="80">
        <f>IFERROR(__xludf.DUMMYFUNCTION("""COMPUTED_VALUE"""),3.144179894179894)</f>
        <v>3.144179894</v>
      </c>
      <c r="Y499" s="80">
        <f>IFERROR(__xludf.DUMMYFUNCTION("""COMPUTED_VALUE"""),421.06719576719576)</f>
        <v>421.0671958</v>
      </c>
      <c r="Z499" s="80">
        <f>IFERROR(__xludf.DUMMYFUNCTION("""COMPUTED_VALUE"""),0.9522927689594356)</f>
        <v>0.952292769</v>
      </c>
      <c r="AA499" s="80">
        <f>IFERROR(__xludf.DUMMYFUNCTION("""COMPUTED_VALUE"""),0.7597001763668431)</f>
        <v>0.7597001764</v>
      </c>
      <c r="AB499" s="80">
        <f>IFERROR(__xludf.DUMMYFUNCTION("""COMPUTED_VALUE"""),1.6307760141093475)</f>
        <v>1.630776014</v>
      </c>
      <c r="AC499" s="80">
        <f>IFERROR(__xludf.DUMMYFUNCTION("""COMPUTED_VALUE"""),2.8277777777777775)</f>
        <v>2.827777778</v>
      </c>
      <c r="AD499" s="80">
        <f>IFERROR(__xludf.DUMMYFUNCTION("""COMPUTED_VALUE"""),0.9084060782818161)</f>
        <v>0.9084060783</v>
      </c>
      <c r="AE499" s="80">
        <f>IFERROR(__xludf.DUMMYFUNCTION("""COMPUTED_VALUE"""),0.7875729234188351)</f>
        <v>0.7875729234</v>
      </c>
      <c r="AF499" s="80">
        <f>IFERROR(__xludf.DUMMYFUNCTION("""COMPUTED_VALUE"""),0.9872315728380731)</f>
        <v>0.9872315728</v>
      </c>
      <c r="AG499" s="80">
        <f>IFERROR(__xludf.DUMMYFUNCTION("""COMPUTED_VALUE"""),1.0731087438490239)</f>
        <v>1.073108744</v>
      </c>
      <c r="AH499" s="80">
        <f>IFERROR(__xludf.DUMMYFUNCTION("""COMPUTED_VALUE"""),0.8840864440078586)</f>
        <v>0.884086444</v>
      </c>
      <c r="AI499" s="80">
        <f>IFERROR(__xludf.DUMMYFUNCTION("""COMPUTED_VALUE"""),1.02284029330547)</f>
        <v>1.022840293</v>
      </c>
      <c r="AJ499" s="80">
        <f>IFERROR(__xludf.DUMMYFUNCTION("""COMPUTED_VALUE"""),1.0815450643776825)</f>
        <v>1.081545064</v>
      </c>
      <c r="AK499" s="80">
        <f>IFERROR(__xludf.DUMMYFUNCTION("""COMPUTED_VALUE"""),1.335374470089496)</f>
        <v>1.33537447</v>
      </c>
      <c r="AL499" s="80">
        <f>IFERROR(__xludf.DUMMYFUNCTION("""COMPUTED_VALUE"""),0.9213695801789403)</f>
        <v>0.9213695802</v>
      </c>
      <c r="AM499" s="80">
        <f>IFERROR(__xludf.DUMMYFUNCTION("""COMPUTED_VALUE"""),1.3517038283550695)</f>
        <v>1.351703828</v>
      </c>
      <c r="AN499" s="80">
        <f>IFERROR(__xludf.DUMMYFUNCTION("""COMPUTED_VALUE"""),1.0370925194836178)</f>
        <v>1.037092519</v>
      </c>
      <c r="AO499" s="80">
        <f>IFERROR(__xludf.DUMMYFUNCTION("""COMPUTED_VALUE"""),0.977322217733094)</f>
        <v>0.9773222177</v>
      </c>
      <c r="AP499" s="80">
        <f>IFERROR(__xludf.DUMMYFUNCTION("""COMPUTED_VALUE"""),1.1773630076790917)</f>
        <v>1.177363008</v>
      </c>
      <c r="AQ499" s="80">
        <f>IFERROR(__xludf.DUMMYFUNCTION("""COMPUTED_VALUE"""),1.19558969786449)</f>
        <v>1.195589698</v>
      </c>
      <c r="AR499" s="80">
        <f>IFERROR(__xludf.DUMMYFUNCTION("""COMPUTED_VALUE"""),0.9266727106414498)</f>
        <v>0.9266727106</v>
      </c>
      <c r="AS499" s="80">
        <f>IFERROR(__xludf.DUMMYFUNCTION("""COMPUTED_VALUE"""),11.0)</f>
        <v>11</v>
      </c>
      <c r="AT499" s="80">
        <f>IFERROR(__xludf.DUMMYFUNCTION("""COMPUTED_VALUE"""),0.46412484476098326)</f>
        <v>0.4641248448</v>
      </c>
      <c r="AU499" s="80">
        <f>IFERROR(__xludf.DUMMYFUNCTION("""COMPUTED_VALUE"""),2.823804307120676)</f>
        <v>2.823804307</v>
      </c>
      <c r="AV499" s="80">
        <f>IFERROR(__xludf.DUMMYFUNCTION("""COMPUTED_VALUE"""),45.008112501098374)</f>
        <v>45.0081125</v>
      </c>
      <c r="AW499" s="82">
        <f t="shared" si="1"/>
        <v>-2.376046478</v>
      </c>
      <c r="AX499" s="83">
        <f t="array" ref="AX499">IFERROR(DGET('SBV Import'!A:G,"SBV",{"RSC ID","Tier";B499,A499}))</f>
        <v>24.42651376</v>
      </c>
      <c r="AY499" s="82">
        <f t="shared" si="2"/>
        <v>-6.528768718</v>
      </c>
      <c r="AZ499" s="82">
        <v>4.152722239451446</v>
      </c>
      <c r="BA499" s="84">
        <v>450.0</v>
      </c>
      <c r="BB499" s="84" t="b">
        <f>IFERROR(__xludf.DUMMYFUNCTION("iferror(if(A499="""",,E499&gt;=FILTER(Constants!$F$2:$F$10,Constants!$A$2:$A$10=A499)))"),TRUE)</f>
        <v>1</v>
      </c>
    </row>
    <row r="500">
      <c r="A500" s="80" t="str">
        <f>IFERROR(__xludf.DUMMYFUNCTION("""COMPUTED_VALUE"""),"Master")</f>
        <v>Master</v>
      </c>
      <c r="B500" s="80" t="str">
        <f>IFERROR(__xludf.DUMMYFUNCTION("""COMPUTED_VALUE"""),"RSC006259")</f>
        <v>RSC006259</v>
      </c>
      <c r="C500" s="80" t="str">
        <f>IFERROR(__xludf.DUMMYFUNCTION("""COMPUTED_VALUE"""),"mojomo")</f>
        <v>mojomo</v>
      </c>
      <c r="D500" s="80" t="str">
        <f>IFERROR(__xludf.DUMMYFUNCTION("""COMPUTED_VALUE"""),"Plinko")</f>
        <v>Plinko</v>
      </c>
      <c r="E500" s="80">
        <f>IFERROR(__xludf.DUMMYFUNCTION("""COMPUTED_VALUE"""),32.0)</f>
        <v>32</v>
      </c>
      <c r="F500" s="80">
        <f>IFERROR(__xludf.DUMMYFUNCTION("""COMPUTED_VALUE"""),13.0)</f>
        <v>13</v>
      </c>
      <c r="G500" s="80">
        <f>IFERROR(__xludf.DUMMYFUNCTION("""COMPUTED_VALUE"""),19.0)</f>
        <v>19</v>
      </c>
      <c r="H500" s="81">
        <f>IFERROR(__xludf.DUMMYFUNCTION("""COMPUTED_VALUE"""),0.40625)</f>
        <v>0.40625</v>
      </c>
      <c r="I500" s="81">
        <f>IFERROR(__xludf.DUMMYFUNCTION("""COMPUTED_VALUE"""),0.27710843373493976)</f>
        <v>0.2771084337</v>
      </c>
      <c r="J500" s="80">
        <f>IFERROR(__xludf.DUMMYFUNCTION("""COMPUTED_VALUE"""),373.375)</f>
        <v>373.375</v>
      </c>
      <c r="K500" s="80">
        <f>IFERROR(__xludf.DUMMYFUNCTION("""COMPUTED_VALUE"""),0.71875)</f>
        <v>0.71875</v>
      </c>
      <c r="L500" s="80">
        <f>IFERROR(__xludf.DUMMYFUNCTION("""COMPUTED_VALUE"""),0.5625)</f>
        <v>0.5625</v>
      </c>
      <c r="M500" s="80">
        <f>IFERROR(__xludf.DUMMYFUNCTION("""COMPUTED_VALUE"""),1.90625)</f>
        <v>1.90625</v>
      </c>
      <c r="N500" s="80">
        <f>IFERROR(__xludf.DUMMYFUNCTION("""COMPUTED_VALUE"""),2.59375)</f>
        <v>2.59375</v>
      </c>
      <c r="O500" s="80">
        <f>IFERROR(__xludf.DUMMYFUNCTION("""COMPUTED_VALUE"""),410.35416666666674)</f>
        <v>410.3541667</v>
      </c>
      <c r="P500" s="80">
        <f>IFERROR(__xludf.DUMMYFUNCTION("""COMPUTED_VALUE"""),1.0416666666666667)</f>
        <v>1.041666667</v>
      </c>
      <c r="Q500" s="80">
        <f>IFERROR(__xludf.DUMMYFUNCTION("""COMPUTED_VALUE"""),0.8437500000000001)</f>
        <v>0.84375</v>
      </c>
      <c r="R500" s="80">
        <f>IFERROR(__xludf.DUMMYFUNCTION("""COMPUTED_VALUE"""),1.3541666666666665)</f>
        <v>1.354166667</v>
      </c>
      <c r="S500" s="80">
        <f>IFERROR(__xludf.DUMMYFUNCTION("""COMPUTED_VALUE"""),3.3541666666666665)</f>
        <v>3.354166667</v>
      </c>
      <c r="T500" s="80">
        <f>IFERROR(__xludf.DUMMYFUNCTION("""COMPUTED_VALUE"""),396.1259800865339)</f>
        <v>396.1259801</v>
      </c>
      <c r="U500" s="80">
        <f>IFERROR(__xludf.DUMMYFUNCTION("""COMPUTED_VALUE"""),0.9038348886527966)</f>
        <v>0.9038348887</v>
      </c>
      <c r="V500" s="80">
        <f>IFERROR(__xludf.DUMMYFUNCTION("""COMPUTED_VALUE"""),0.7204079017604701)</f>
        <v>0.7204079018</v>
      </c>
      <c r="W500" s="80">
        <f>IFERROR(__xludf.DUMMYFUNCTION("""COMPUTED_VALUE"""),1.5205648317554221)</f>
        <v>1.520564832</v>
      </c>
      <c r="X500" s="80">
        <f>IFERROR(__xludf.DUMMYFUNCTION("""COMPUTED_VALUE"""),2.918060731282705)</f>
        <v>2.918060731</v>
      </c>
      <c r="Y500" s="80">
        <f>IFERROR(__xludf.DUMMYFUNCTION("""COMPUTED_VALUE"""),381.56965017756977)</f>
        <v>381.5696502</v>
      </c>
      <c r="Z500" s="80">
        <f>IFERROR(__xludf.DUMMYFUNCTION("""COMPUTED_VALUE"""),0.822502535773129)</f>
        <v>0.8225025358</v>
      </c>
      <c r="AA500" s="80">
        <f>IFERROR(__xludf.DUMMYFUNCTION("""COMPUTED_VALUE"""),0.6446203844619143)</f>
        <v>0.6446203845</v>
      </c>
      <c r="AB500" s="80">
        <f>IFERROR(__xludf.DUMMYFUNCTION("""COMPUTED_VALUE"""),1.524530733003933)</f>
        <v>1.524530733</v>
      </c>
      <c r="AC500" s="80">
        <f>IFERROR(__xludf.DUMMYFUNCTION("""COMPUTED_VALUE"""),2.79016019358202)</f>
        <v>2.790160194</v>
      </c>
      <c r="AD500" s="80">
        <f>IFERROR(__xludf.DUMMYFUNCTION("""COMPUTED_VALUE"""),0.9785238417841768)</f>
        <v>0.9785238418</v>
      </c>
      <c r="AE500" s="80">
        <f>IFERROR(__xludf.DUMMYFUNCTION("""COMPUTED_VALUE"""),0.8738574882622039)</f>
        <v>0.8738574883</v>
      </c>
      <c r="AF500" s="80">
        <f>IFERROR(__xludf.DUMMYFUNCTION("""COMPUTED_VALUE"""),0.8726065969346241)</f>
        <v>0.8726065969</v>
      </c>
      <c r="AG500" s="80">
        <f>IFERROR(__xludf.DUMMYFUNCTION("""COMPUTED_VALUE"""),1.2503847634766456)</f>
        <v>1.250384763</v>
      </c>
      <c r="AH500" s="80">
        <f>IFERROR(__xludf.DUMMYFUNCTION("""COMPUTED_VALUE"""),0.9296061229624714)</f>
        <v>0.929606123</v>
      </c>
      <c r="AI500" s="80">
        <f>IFERROR(__xludf.DUMMYFUNCTION("""COMPUTED_VALUE"""),1.0359183373355736)</f>
        <v>1.035918337</v>
      </c>
      <c r="AJ500" s="80">
        <f>IFERROR(__xludf.DUMMYFUNCTION("""COMPUTED_VALUE"""),1.1524966337815463)</f>
        <v>1.152496634</v>
      </c>
      <c r="AK500" s="80">
        <f>IFERROR(__xludf.DUMMYFUNCTION("""COMPUTED_VALUE"""),1.171211473302996)</f>
        <v>1.171211473</v>
      </c>
      <c r="AL500" s="80">
        <f>IFERROR(__xludf.DUMMYFUNCTION("""COMPUTED_VALUE"""),0.8905681878117249)</f>
        <v>0.8905681878</v>
      </c>
      <c r="AM500" s="80">
        <f>IFERROR(__xludf.DUMMYFUNCTION("""COMPUTED_VALUE"""),1.1494506028297293)</f>
        <v>1.149450603</v>
      </c>
      <c r="AN500" s="80">
        <f>IFERROR(__xludf.DUMMYFUNCTION("""COMPUTED_VALUE"""),1.0123514234305773)</f>
        <v>1.012351423</v>
      </c>
      <c r="AO500" s="80">
        <f>IFERROR(__xludf.DUMMYFUNCTION("""COMPUTED_VALUE"""),0.9366004586608817)</f>
        <v>0.9366004587</v>
      </c>
      <c r="AP500" s="80">
        <f>IFERROR(__xludf.DUMMYFUNCTION("""COMPUTED_VALUE"""),0.8830222557593189)</f>
        <v>0.8830222558</v>
      </c>
      <c r="AQ500" s="80">
        <f>IFERROR(__xludf.DUMMYFUNCTION("""COMPUTED_VALUE"""),1.3023387780309623)</f>
        <v>1.302338778</v>
      </c>
      <c r="AR500" s="80">
        <f>IFERROR(__xludf.DUMMYFUNCTION("""COMPUTED_VALUE"""),0.9614229372905042)</f>
        <v>0.9614229373</v>
      </c>
      <c r="AS500" s="80">
        <f>IFERROR(__xludf.DUMMYFUNCTION("""COMPUTED_VALUE"""),72.0)</f>
        <v>72</v>
      </c>
      <c r="AT500" s="80">
        <f>IFERROR(__xludf.DUMMYFUNCTION("""COMPUTED_VALUE"""),0.36997977956386313)</f>
        <v>0.3699797796</v>
      </c>
      <c r="AU500" s="80">
        <f>IFERROR(__xludf.DUMMYFUNCTION("""COMPUTED_VALUE"""),2.734193742937691)</f>
        <v>2.734193743</v>
      </c>
      <c r="AV500" s="80">
        <f>IFERROR(__xludf.DUMMYFUNCTION("""COMPUTED_VALUE"""),42.81851372344461)</f>
        <v>42.81851372</v>
      </c>
      <c r="AW500" s="82">
        <f t="shared" si="1"/>
        <v>-2.584267577</v>
      </c>
      <c r="AX500" s="83">
        <f t="array" ref="AX500">IFERROR(DGET('SBV Import'!A:G,"SBV",{"RSC ID","Tier";B500,A500}))</f>
        <v>36.58076085</v>
      </c>
      <c r="AY500" s="82">
        <f t="shared" si="2"/>
        <v>-3.381652661</v>
      </c>
      <c r="AZ500" s="82">
        <v>0.797385084043992</v>
      </c>
      <c r="BA500" s="84">
        <v>450.0</v>
      </c>
      <c r="BB500" s="84" t="b">
        <f>IFERROR(__xludf.DUMMYFUNCTION("iferror(if(A500="""",,E500&gt;=FILTER(Constants!$F$2:$F$10,Constants!$A$2:$A$10=A500)))"),TRUE)</f>
        <v>1</v>
      </c>
    </row>
    <row r="501">
      <c r="A501" s="80" t="str">
        <f>IFERROR(__xludf.DUMMYFUNCTION("""COMPUTED_VALUE"""),"Master")</f>
        <v>Master</v>
      </c>
      <c r="B501" s="80" t="str">
        <f>IFERROR(__xludf.DUMMYFUNCTION("""COMPUTED_VALUE"""),"RSC001903")</f>
        <v>RSC001903</v>
      </c>
      <c r="C501" s="80" t="str">
        <f>IFERROR(__xludf.DUMMYFUNCTION("""COMPUTED_VALUE"""),"Plasma")</f>
        <v>Plasma</v>
      </c>
      <c r="D501" s="80" t="str">
        <f>IFERROR(__xludf.DUMMYFUNCTION("""COMPUTED_VALUE"""),"Spectres")</f>
        <v>Spectres</v>
      </c>
      <c r="E501" s="80">
        <f>IFERROR(__xludf.DUMMYFUNCTION("""COMPUTED_VALUE"""),15.0)</f>
        <v>15</v>
      </c>
      <c r="F501" s="80">
        <f>IFERROR(__xludf.DUMMYFUNCTION("""COMPUTED_VALUE"""),4.0)</f>
        <v>4</v>
      </c>
      <c r="G501" s="80">
        <f>IFERROR(__xludf.DUMMYFUNCTION("""COMPUTED_VALUE"""),11.0)</f>
        <v>11</v>
      </c>
      <c r="H501" s="81">
        <f>IFERROR(__xludf.DUMMYFUNCTION("""COMPUTED_VALUE"""),0.26666666666666666)</f>
        <v>0.2666666667</v>
      </c>
      <c r="I501" s="81">
        <f>IFERROR(__xludf.DUMMYFUNCTION("""COMPUTED_VALUE"""),0.3125)</f>
        <v>0.3125</v>
      </c>
      <c r="J501" s="80">
        <f>IFERROR(__xludf.DUMMYFUNCTION("""COMPUTED_VALUE"""),373.73333333333335)</f>
        <v>373.7333333</v>
      </c>
      <c r="K501" s="80">
        <f>IFERROR(__xludf.DUMMYFUNCTION("""COMPUTED_VALUE"""),0.6666666666666666)</f>
        <v>0.6666666667</v>
      </c>
      <c r="L501" s="80">
        <f>IFERROR(__xludf.DUMMYFUNCTION("""COMPUTED_VALUE"""),0.6)</f>
        <v>0.6</v>
      </c>
      <c r="M501" s="80">
        <f>IFERROR(__xludf.DUMMYFUNCTION("""COMPUTED_VALUE"""),2.0)</f>
        <v>2</v>
      </c>
      <c r="N501" s="80">
        <f>IFERROR(__xludf.DUMMYFUNCTION("""COMPUTED_VALUE"""),2.1333333333333333)</f>
        <v>2.133333333</v>
      </c>
      <c r="O501" s="80">
        <f>IFERROR(__xludf.DUMMYFUNCTION("""COMPUTED_VALUE"""),467.4222222222222)</f>
        <v>467.4222222</v>
      </c>
      <c r="P501" s="80">
        <f>IFERROR(__xludf.DUMMYFUNCTION("""COMPUTED_VALUE"""),1.222222222222222)</f>
        <v>1.222222222</v>
      </c>
      <c r="Q501" s="80">
        <f>IFERROR(__xludf.DUMMYFUNCTION("""COMPUTED_VALUE"""),0.9555555555555554)</f>
        <v>0.9555555556</v>
      </c>
      <c r="R501" s="80">
        <f>IFERROR(__xludf.DUMMYFUNCTION("""COMPUTED_VALUE"""),1.8000000000000003)</f>
        <v>1.8</v>
      </c>
      <c r="S501" s="80">
        <f>IFERROR(__xludf.DUMMYFUNCTION("""COMPUTED_VALUE"""),3.577777777777778)</f>
        <v>3.577777778</v>
      </c>
      <c r="T501" s="80">
        <f>IFERROR(__xludf.DUMMYFUNCTION("""COMPUTED_VALUE"""),413.7983720805944)</f>
        <v>413.7983721</v>
      </c>
      <c r="U501" s="80">
        <f>IFERROR(__xludf.DUMMYFUNCTION("""COMPUTED_VALUE"""),1.0426575276575276)</f>
        <v>1.042657528</v>
      </c>
      <c r="V501" s="80">
        <f>IFERROR(__xludf.DUMMYFUNCTION("""COMPUTED_VALUE"""),0.7531762065095399)</f>
        <v>0.7531762065</v>
      </c>
      <c r="W501" s="80">
        <f>IFERROR(__xludf.DUMMYFUNCTION("""COMPUTED_VALUE"""),1.5009374164929719)</f>
        <v>1.500937416</v>
      </c>
      <c r="X501" s="80">
        <f>IFERROR(__xludf.DUMMYFUNCTION("""COMPUTED_VALUE"""),3.046606274384052)</f>
        <v>3.046606274</v>
      </c>
      <c r="Y501" s="80">
        <f>IFERROR(__xludf.DUMMYFUNCTION("""COMPUTED_VALUE"""),367.96030017992985)</f>
        <v>367.9603002</v>
      </c>
      <c r="Z501" s="80">
        <f>IFERROR(__xludf.DUMMYFUNCTION("""COMPUTED_VALUE"""),0.7526532520976964)</f>
        <v>0.7526532521</v>
      </c>
      <c r="AA501" s="80">
        <f>IFERROR(__xludf.DUMMYFUNCTION("""COMPUTED_VALUE"""),0.5806027648620241)</f>
        <v>0.5806027649</v>
      </c>
      <c r="AB501" s="80">
        <f>IFERROR(__xludf.DUMMYFUNCTION("""COMPUTED_VALUE"""),1.5085413215042844)</f>
        <v>1.508541322</v>
      </c>
      <c r="AC501" s="80">
        <f>IFERROR(__xludf.DUMMYFUNCTION("""COMPUTED_VALUE"""),2.635802023764987)</f>
        <v>2.635802024</v>
      </c>
      <c r="AD501" s="80">
        <f>IFERROR(__xludf.DUMMYFUNCTION("""COMPUTED_VALUE"""),1.015689282649733)</f>
        <v>1.015689283</v>
      </c>
      <c r="AE501" s="80">
        <f>IFERROR(__xludf.DUMMYFUNCTION("""COMPUTED_VALUE"""),0.8857553791319187)</f>
        <v>0.8857553791</v>
      </c>
      <c r="AF501" s="80">
        <f>IFERROR(__xludf.DUMMYFUNCTION("""COMPUTED_VALUE"""),1.033408788782784)</f>
        <v>1.033408789</v>
      </c>
      <c r="AG501" s="80">
        <f>IFERROR(__xludf.DUMMYFUNCTION("""COMPUTED_VALUE"""),1.3257840348752554)</f>
        <v>1.325784035</v>
      </c>
      <c r="AH501" s="80">
        <f>IFERROR(__xludf.DUMMYFUNCTION("""COMPUTED_VALUE"""),0.8093678182574858)</f>
        <v>0.8093678183</v>
      </c>
      <c r="AI501" s="80">
        <f>IFERROR(__xludf.DUMMYFUNCTION("""COMPUTED_VALUE"""),1.129589321175927)</f>
        <v>1.129589321</v>
      </c>
      <c r="AJ501" s="80">
        <f>IFERROR(__xludf.DUMMYFUNCTION("""COMPUTED_VALUE"""),1.172218288173789)</f>
        <v>1.172218288</v>
      </c>
      <c r="AK501" s="80">
        <f>IFERROR(__xludf.DUMMYFUNCTION("""COMPUTED_VALUE"""),1.2687011980687843)</f>
        <v>1.268701198</v>
      </c>
      <c r="AL501" s="80">
        <f>IFERROR(__xludf.DUMMYFUNCTION("""COMPUTED_VALUE"""),1.1992505351794118)</f>
        <v>1.199250535</v>
      </c>
      <c r="AM501" s="80">
        <f>IFERROR(__xludf.DUMMYFUNCTION("""COMPUTED_VALUE"""),1.1743485884145353)</f>
        <v>1.174348588</v>
      </c>
      <c r="AN501" s="80">
        <f>IFERROR(__xludf.DUMMYFUNCTION("""COMPUTED_VALUE"""),1.0133229915860849)</f>
        <v>1.013322992</v>
      </c>
      <c r="AO501" s="80">
        <f>IFERROR(__xludf.DUMMYFUNCTION("""COMPUTED_VALUE"""),0.8687308602071946)</f>
        <v>0.8687308602</v>
      </c>
      <c r="AP501" s="80">
        <f>IFERROR(__xludf.DUMMYFUNCTION("""COMPUTED_VALUE"""),0.9418904061432735)</f>
        <v>0.9418904061</v>
      </c>
      <c r="AQ501" s="80">
        <f>IFERROR(__xludf.DUMMYFUNCTION("""COMPUTED_VALUE"""),1.3663882261308455)</f>
        <v>1.366388226</v>
      </c>
      <c r="AR501" s="80">
        <f>IFERROR(__xludf.DUMMYFUNCTION("""COMPUTED_VALUE"""),0.7907607130807038)</f>
        <v>0.7907607131</v>
      </c>
      <c r="AS501" s="80">
        <f>IFERROR(__xludf.DUMMYFUNCTION("""COMPUTED_VALUE"""),29.0)</f>
        <v>29</v>
      </c>
      <c r="AT501" s="80">
        <f>IFERROR(__xludf.DUMMYFUNCTION("""COMPUTED_VALUE"""),0.25934301391532116)</f>
        <v>0.2593430139</v>
      </c>
      <c r="AU501" s="80">
        <f>IFERROR(__xludf.DUMMYFUNCTION("""COMPUTED_VALUE"""),2.646567480640589)</f>
        <v>2.646567481</v>
      </c>
      <c r="AV501" s="80">
        <f>IFERROR(__xludf.DUMMYFUNCTION("""COMPUTED_VALUE"""),40.67740057941497)</f>
        <v>40.67740058</v>
      </c>
      <c r="AW501" s="82">
        <f t="shared" si="1"/>
        <v>-2.819999786</v>
      </c>
      <c r="AX501" s="83">
        <f t="array" ref="AX501">IFERROR(DGET('SBV Import'!A:G,"SBV",{"RSC ID","Tier";B501,A501}))</f>
        <v>21.61866935</v>
      </c>
      <c r="AY501" s="82">
        <f t="shared" si="2"/>
        <v>-7.804292261</v>
      </c>
      <c r="AZ501" s="82">
        <v>4.984292475410507</v>
      </c>
      <c r="BA501" s="84">
        <v>450.0</v>
      </c>
      <c r="BB501" s="84" t="b">
        <f>IFERROR(__xludf.DUMMYFUNCTION("iferror(if(A501="""",,E501&gt;=FILTER(Constants!$F$2:$F$10,Constants!$A$2:$A$10=A501)))"),TRUE)</f>
        <v>1</v>
      </c>
    </row>
    <row r="502">
      <c r="A502" s="80" t="str">
        <f>IFERROR(__xludf.DUMMYFUNCTION("""COMPUTED_VALUE"""),"Master")</f>
        <v>Master</v>
      </c>
      <c r="B502" s="80" t="str">
        <f>IFERROR(__xludf.DUMMYFUNCTION("""COMPUTED_VALUE"""),"RSC007354")</f>
        <v>RSC007354</v>
      </c>
      <c r="C502" s="80" t="str">
        <f>IFERROR(__xludf.DUMMYFUNCTION("""COMPUTED_VALUE"""),"Fanatic")</f>
        <v>Fanatic</v>
      </c>
      <c r="D502" s="80" t="str">
        <f>IFERROR(__xludf.DUMMYFUNCTION("""COMPUTED_VALUE"""),"Desolation")</f>
        <v>Desolation</v>
      </c>
      <c r="E502" s="80">
        <f>IFERROR(__xludf.DUMMYFUNCTION("""COMPUTED_VALUE"""),4.0)</f>
        <v>4</v>
      </c>
      <c r="F502" s="80">
        <f>IFERROR(__xludf.DUMMYFUNCTION("""COMPUTED_VALUE"""),3.0)</f>
        <v>3</v>
      </c>
      <c r="G502" s="80">
        <f>IFERROR(__xludf.DUMMYFUNCTION("""COMPUTED_VALUE"""),1.0)</f>
        <v>1</v>
      </c>
      <c r="H502" s="81">
        <f>IFERROR(__xludf.DUMMYFUNCTION("""COMPUTED_VALUE"""),0.75)</f>
        <v>0.75</v>
      </c>
      <c r="I502" s="81">
        <f>IFERROR(__xludf.DUMMYFUNCTION("""COMPUTED_VALUE"""),0.25)</f>
        <v>0.25</v>
      </c>
      <c r="J502" s="80">
        <f>IFERROR(__xludf.DUMMYFUNCTION("""COMPUTED_VALUE"""),350.75)</f>
        <v>350.75</v>
      </c>
      <c r="K502" s="80">
        <f>IFERROR(__xludf.DUMMYFUNCTION("""COMPUTED_VALUE"""),0.5)</f>
        <v>0.5</v>
      </c>
      <c r="L502" s="80">
        <f>IFERROR(__xludf.DUMMYFUNCTION("""COMPUTED_VALUE"""),0.75)</f>
        <v>0.75</v>
      </c>
      <c r="M502" s="80">
        <f>IFERROR(__xludf.DUMMYFUNCTION("""COMPUTED_VALUE"""),2.0)</f>
        <v>2</v>
      </c>
      <c r="N502" s="80">
        <f>IFERROR(__xludf.DUMMYFUNCTION("""COMPUTED_VALUE"""),2.0)</f>
        <v>2</v>
      </c>
      <c r="O502" s="80">
        <f>IFERROR(__xludf.DUMMYFUNCTION("""COMPUTED_VALUE"""),358.5)</f>
        <v>358.5</v>
      </c>
      <c r="P502" s="80">
        <f>IFERROR(__xludf.DUMMYFUNCTION("""COMPUTED_VALUE"""),0.8333333333333333)</f>
        <v>0.8333333333</v>
      </c>
      <c r="Q502" s="80">
        <f>IFERROR(__xludf.DUMMYFUNCTION("""COMPUTED_VALUE"""),0.6666666666666666)</f>
        <v>0.6666666667</v>
      </c>
      <c r="R502" s="80">
        <f>IFERROR(__xludf.DUMMYFUNCTION("""COMPUTED_VALUE"""),1.0833333333333333)</f>
        <v>1.083333333</v>
      </c>
      <c r="S502" s="80">
        <f>IFERROR(__xludf.DUMMYFUNCTION("""COMPUTED_VALUE"""),3.0)</f>
        <v>3</v>
      </c>
      <c r="T502" s="80">
        <f>IFERROR(__xludf.DUMMYFUNCTION("""COMPUTED_VALUE"""),382.2704342273308)</f>
        <v>382.2704342</v>
      </c>
      <c r="U502" s="80">
        <f>IFERROR(__xludf.DUMMYFUNCTION("""COMPUTED_VALUE"""),0.7158365261813536)</f>
        <v>0.7158365262</v>
      </c>
      <c r="V502" s="80">
        <f>IFERROR(__xludf.DUMMYFUNCTION("""COMPUTED_VALUE"""),0.6995530012771392)</f>
        <v>0.6995530013</v>
      </c>
      <c r="W502" s="80">
        <f>IFERROR(__xludf.DUMMYFUNCTION("""COMPUTED_VALUE"""),1.5335249042145593)</f>
        <v>1.533524904</v>
      </c>
      <c r="X502" s="80">
        <f>IFERROR(__xludf.DUMMYFUNCTION("""COMPUTED_VALUE"""),3.0616219667943803)</f>
        <v>3.061621967</v>
      </c>
      <c r="Y502" s="80">
        <f>IFERROR(__xludf.DUMMYFUNCTION("""COMPUTED_VALUE"""),363.39027245636447)</f>
        <v>363.3902725</v>
      </c>
      <c r="Z502" s="80">
        <f>IFERROR(__xludf.DUMMYFUNCTION("""COMPUTED_VALUE"""),0.893146019582801)</f>
        <v>0.8931460196</v>
      </c>
      <c r="AA502" s="80">
        <f>IFERROR(__xludf.DUMMYFUNCTION("""COMPUTED_VALUE"""),0.58737760749255)</f>
        <v>0.5873776075</v>
      </c>
      <c r="AB502" s="80">
        <f>IFERROR(__xludf.DUMMYFUNCTION("""COMPUTED_VALUE"""),1.4175180928054492)</f>
        <v>1.417518093</v>
      </c>
      <c r="AC502" s="80">
        <f>IFERROR(__xludf.DUMMYFUNCTION("""COMPUTED_VALUE"""),2.6248403575989783)</f>
        <v>2.624840358</v>
      </c>
      <c r="AD502" s="80">
        <f>IFERROR(__xludf.DUMMYFUNCTION("""COMPUTED_VALUE"""),0.9652157104511313)</f>
        <v>0.9652157105</v>
      </c>
      <c r="AE502" s="80">
        <f>IFERROR(__xludf.DUMMYFUNCTION("""COMPUTED_VALUE"""),0.5598188751191612)</f>
        <v>0.5598188751</v>
      </c>
      <c r="AF502" s="80">
        <f>IFERROR(__xludf.DUMMYFUNCTION("""COMPUTED_VALUE"""),1.2768617503170865)</f>
        <v>1.27686175</v>
      </c>
      <c r="AG502" s="80">
        <f>IFERROR(__xludf.DUMMYFUNCTION("""COMPUTED_VALUE"""),1.4109167354906524)</f>
        <v>1.410916735</v>
      </c>
      <c r="AH502" s="80">
        <f>IFERROR(__xludf.DUMMYFUNCTION("""COMPUTED_VALUE"""),0.7619511008393139)</f>
        <v>0.7619511008</v>
      </c>
      <c r="AI502" s="80">
        <f>IFERROR(__xludf.DUMMYFUNCTION("""COMPUTED_VALUE"""),0.9378177538752713)</f>
        <v>0.9378177539</v>
      </c>
      <c r="AJ502" s="80">
        <f>IFERROR(__xludf.DUMMYFUNCTION("""COMPUTED_VALUE"""),1.1641391614629797)</f>
        <v>1.164139161</v>
      </c>
      <c r="AK502" s="80">
        <f>IFERROR(__xludf.DUMMYFUNCTION("""COMPUTED_VALUE"""),0.9529895025102693)</f>
        <v>0.9529895025</v>
      </c>
      <c r="AL502" s="80">
        <f>IFERROR(__xludf.DUMMYFUNCTION("""COMPUTED_VALUE"""),0.7064334790755777)</f>
        <v>0.7064334791</v>
      </c>
      <c r="AM502" s="80">
        <f>IFERROR(__xludf.DUMMYFUNCTION("""COMPUTED_VALUE"""),0.9798727708833039)</f>
        <v>0.9798727709</v>
      </c>
      <c r="AN502" s="80">
        <f>IFERROR(__xludf.DUMMYFUNCTION("""COMPUTED_VALUE"""),0.9510070619839973)</f>
        <v>0.951007062</v>
      </c>
      <c r="AO502" s="80">
        <f>IFERROR(__xludf.DUMMYFUNCTION("""COMPUTED_VALUE"""),0.651548145155396)</f>
        <v>0.6515481452</v>
      </c>
      <c r="AP502" s="80">
        <f>IFERROR(__xludf.DUMMYFUNCTION("""COMPUTED_VALUE"""),1.1773630076790917)</f>
        <v>1.177363008</v>
      </c>
      <c r="AQ502" s="80">
        <f>IFERROR(__xludf.DUMMYFUNCTION("""COMPUTED_VALUE"""),1.3663882261308455)</f>
        <v>1.366388226</v>
      </c>
      <c r="AR502" s="80">
        <f>IFERROR(__xludf.DUMMYFUNCTION("""COMPUTED_VALUE"""),0.7413381685131599)</f>
        <v>0.7413381685</v>
      </c>
      <c r="AS502" s="80">
        <f>IFERROR(__xludf.DUMMYFUNCTION("""COMPUTED_VALUE"""),12.0)</f>
        <v>12</v>
      </c>
      <c r="AT502" s="80">
        <f>IFERROR(__xludf.DUMMYFUNCTION("""COMPUTED_VALUE"""),0.5738036455319312)</f>
        <v>0.5738036455</v>
      </c>
      <c r="AU502" s="80">
        <f>IFERROR(__xludf.DUMMYFUNCTION("""COMPUTED_VALUE"""),2.6446621585317667)</f>
        <v>2.644662159</v>
      </c>
      <c r="AV502" s="80">
        <f>IFERROR(__xludf.DUMMYFUNCTION("""COMPUTED_VALUE"""),40.63084478547983)</f>
        <v>40.63084479</v>
      </c>
      <c r="AW502" s="82">
        <f t="shared" si="1"/>
        <v>-2.825519852</v>
      </c>
      <c r="AX502" s="83">
        <f t="array" ref="AX502">IFERROR(DGET('SBV Import'!A:G,"SBV",{"RSC ID","Tier";B502,A502}))</f>
        <v>37.23304471</v>
      </c>
      <c r="AY502" s="82">
        <f t="shared" si="2"/>
        <v>-3.280966914</v>
      </c>
      <c r="AZ502" s="82">
        <v>0.45544706263064594</v>
      </c>
      <c r="BA502" s="84">
        <v>450.0</v>
      </c>
      <c r="BB502" s="84" t="b">
        <f>IFERROR(__xludf.DUMMYFUNCTION("iferror(if(A502="""",,E502&gt;=FILTER(Constants!$F$2:$F$10,Constants!$A$2:$A$10=A502)))"),TRUE)</f>
        <v>1</v>
      </c>
    </row>
    <row r="503">
      <c r="A503" s="80" t="str">
        <f>IFERROR(__xludf.DUMMYFUNCTION("""COMPUTED_VALUE"""),"Master")</f>
        <v>Master</v>
      </c>
      <c r="B503" s="80" t="str">
        <f>IFERROR(__xludf.DUMMYFUNCTION("""COMPUTED_VALUE"""),"RSC007558")</f>
        <v>RSC007558</v>
      </c>
      <c r="C503" s="80" t="str">
        <f>IFERROR(__xludf.DUMMYFUNCTION("""COMPUTED_VALUE"""),"Frijole")</f>
        <v>Frijole</v>
      </c>
      <c r="D503" s="80" t="str">
        <f>IFERROR(__xludf.DUMMYFUNCTION("""COMPUTED_VALUE"""),"Fromunda Frauds")</f>
        <v>Fromunda Frauds</v>
      </c>
      <c r="E503" s="80">
        <f>IFERROR(__xludf.DUMMYFUNCTION("""COMPUTED_VALUE"""),28.0)</f>
        <v>28</v>
      </c>
      <c r="F503" s="80">
        <f>IFERROR(__xludf.DUMMYFUNCTION("""COMPUTED_VALUE"""),11.0)</f>
        <v>11</v>
      </c>
      <c r="G503" s="80">
        <f>IFERROR(__xludf.DUMMYFUNCTION("""COMPUTED_VALUE"""),17.0)</f>
        <v>17</v>
      </c>
      <c r="H503" s="81">
        <f>IFERROR(__xludf.DUMMYFUNCTION("""COMPUTED_VALUE"""),0.39285714285714285)</f>
        <v>0.3928571429</v>
      </c>
      <c r="I503" s="81">
        <f>IFERROR(__xludf.DUMMYFUNCTION("""COMPUTED_VALUE"""),0.31147540983606564)</f>
        <v>0.3114754098</v>
      </c>
      <c r="J503" s="80">
        <f>IFERROR(__xludf.DUMMYFUNCTION("""COMPUTED_VALUE"""),347.85714285714283)</f>
        <v>347.8571429</v>
      </c>
      <c r="K503" s="80">
        <f>IFERROR(__xludf.DUMMYFUNCTION("""COMPUTED_VALUE"""),0.6785714285714286)</f>
        <v>0.6785714286</v>
      </c>
      <c r="L503" s="80">
        <f>IFERROR(__xludf.DUMMYFUNCTION("""COMPUTED_VALUE"""),0.5714285714285714)</f>
        <v>0.5714285714</v>
      </c>
      <c r="M503" s="80">
        <f>IFERROR(__xludf.DUMMYFUNCTION("""COMPUTED_VALUE"""),1.3571428571428572)</f>
        <v>1.357142857</v>
      </c>
      <c r="N503" s="80">
        <f>IFERROR(__xludf.DUMMYFUNCTION("""COMPUTED_VALUE"""),2.1785714285714284)</f>
        <v>2.178571429</v>
      </c>
      <c r="O503" s="80">
        <f>IFERROR(__xludf.DUMMYFUNCTION("""COMPUTED_VALUE"""),399.9404761904762)</f>
        <v>399.9404762</v>
      </c>
      <c r="P503" s="80">
        <f>IFERROR(__xludf.DUMMYFUNCTION("""COMPUTED_VALUE"""),0.9642857142857145)</f>
        <v>0.9642857143</v>
      </c>
      <c r="Q503" s="80">
        <f>IFERROR(__xludf.DUMMYFUNCTION("""COMPUTED_VALUE"""),0.7023809523809523)</f>
        <v>0.7023809524</v>
      </c>
      <c r="R503" s="80">
        <f>IFERROR(__xludf.DUMMYFUNCTION("""COMPUTED_VALUE"""),1.380952380952381)</f>
        <v>1.380952381</v>
      </c>
      <c r="S503" s="80">
        <f>IFERROR(__xludf.DUMMYFUNCTION("""COMPUTED_VALUE"""),2.8928571428571423)</f>
        <v>2.892857143</v>
      </c>
      <c r="T503" s="80">
        <f>IFERROR(__xludf.DUMMYFUNCTION("""COMPUTED_VALUE"""),392.8316788920956)</f>
        <v>392.8316789</v>
      </c>
      <c r="U503" s="80">
        <f>IFERROR(__xludf.DUMMYFUNCTION("""COMPUTED_VALUE"""),0.9331081506676744)</f>
        <v>0.9331081507</v>
      </c>
      <c r="V503" s="80">
        <f>IFERROR(__xludf.DUMMYFUNCTION("""COMPUTED_VALUE"""),0.6601143235071808)</f>
        <v>0.6601143235</v>
      </c>
      <c r="W503" s="80">
        <f>IFERROR(__xludf.DUMMYFUNCTION("""COMPUTED_VALUE"""),1.4662874493231635)</f>
        <v>1.466287449</v>
      </c>
      <c r="X503" s="80">
        <f>IFERROR(__xludf.DUMMYFUNCTION("""COMPUTED_VALUE"""),2.882048518060423)</f>
        <v>2.882048518</v>
      </c>
      <c r="Y503" s="80">
        <f>IFERROR(__xludf.DUMMYFUNCTION("""COMPUTED_VALUE"""),376.9318968215793)</f>
        <v>376.9318968</v>
      </c>
      <c r="Z503" s="80">
        <f>IFERROR(__xludf.DUMMYFUNCTION("""COMPUTED_VALUE"""),0.804061829557862)</f>
        <v>0.8040618296</v>
      </c>
      <c r="AA503" s="80">
        <f>IFERROR(__xludf.DUMMYFUNCTION("""COMPUTED_VALUE"""),0.6142099853409378)</f>
        <v>0.6142099853</v>
      </c>
      <c r="AB503" s="80">
        <f>IFERROR(__xludf.DUMMYFUNCTION("""COMPUTED_VALUE"""),1.5001914935446679)</f>
        <v>1.500191494</v>
      </c>
      <c r="AC503" s="80">
        <f>IFERROR(__xludf.DUMMYFUNCTION("""COMPUTED_VALUE"""),2.7161911060720585)</f>
        <v>2.716191106</v>
      </c>
      <c r="AD503" s="80">
        <f>IFERROR(__xludf.DUMMYFUNCTION("""COMPUTED_VALUE"""),0.9228647025905611)</f>
        <v>0.9228647026</v>
      </c>
      <c r="AE503" s="80">
        <f>IFERROR(__xludf.DUMMYFUNCTION("""COMPUTED_VALUE"""),0.8439294139165415)</f>
        <v>0.8439294139</v>
      </c>
      <c r="AF503" s="80">
        <f>IFERROR(__xludf.DUMMYFUNCTION("""COMPUTED_VALUE"""),0.9303472510486471)</f>
        <v>0.930347251</v>
      </c>
      <c r="AG503" s="80">
        <f>IFERROR(__xludf.DUMMYFUNCTION("""COMPUTED_VALUE"""),0.9046464154627262)</f>
        <v>0.9046464155</v>
      </c>
      <c r="AH503" s="80">
        <f>IFERROR(__xludf.DUMMYFUNCTION("""COMPUTED_VALUE"""),0.8020685377038534)</f>
        <v>0.8020685377</v>
      </c>
      <c r="AI503" s="80">
        <f>IFERROR(__xludf.DUMMYFUNCTION("""COMPUTED_VALUE"""),1.0180962933499393)</f>
        <v>1.018096293</v>
      </c>
      <c r="AJ503" s="80">
        <f>IFERROR(__xludf.DUMMYFUNCTION("""COMPUTED_VALUE"""),1.0334125938089078)</f>
        <v>1.033412594</v>
      </c>
      <c r="AK503" s="80">
        <f>IFERROR(__xludf.DUMMYFUNCTION("""COMPUTED_VALUE"""),1.0640292557949802)</f>
        <v>1.064029256</v>
      </c>
      <c r="AL503" s="80">
        <f>IFERROR(__xludf.DUMMYFUNCTION("""COMPUTED_VALUE"""),0.9418019513089517)</f>
        <v>0.9418019513</v>
      </c>
      <c r="AM503" s="80">
        <f>IFERROR(__xludf.DUMMYFUNCTION("""COMPUTED_VALUE"""),1.0037503271471617)</f>
        <v>1.003750327</v>
      </c>
      <c r="AN503" s="80">
        <f>IFERROR(__xludf.DUMMYFUNCTION("""COMPUTED_VALUE"""),0.9431635051139531)</f>
        <v>0.9431635051</v>
      </c>
      <c r="AO503" s="80">
        <f>IFERROR(__xludf.DUMMYFUNCTION("""COMPUTED_VALUE"""),0.8842439112823232)</f>
        <v>0.8842439113</v>
      </c>
      <c r="AP503" s="80">
        <f>IFERROR(__xludf.DUMMYFUNCTION("""COMPUTED_VALUE"""),0.8970384820412128)</f>
        <v>0.897038482</v>
      </c>
      <c r="AQ503" s="80">
        <f>IFERROR(__xludf.DUMMYFUNCTION("""COMPUTED_VALUE"""),0.9271920105887882)</f>
        <v>0.9271920106</v>
      </c>
      <c r="AR503" s="80">
        <f>IFERROR(__xludf.DUMMYFUNCTION("""COMPUTED_VALUE"""),0.8075290764161205)</f>
        <v>0.8075290764</v>
      </c>
      <c r="AS503" s="80">
        <f>IFERROR(__xludf.DUMMYFUNCTION("""COMPUTED_VALUE"""),61.0)</f>
        <v>61</v>
      </c>
      <c r="AT503" s="80">
        <f>IFERROR(__xludf.DUMMYFUNCTION("""COMPUTED_VALUE"""),0.3889095038523541)</f>
        <v>0.3889095039</v>
      </c>
      <c r="AU503" s="80">
        <f>IFERROR(__xludf.DUMMYFUNCTION("""COMPUTED_VALUE"""),2.6362429960002043)</f>
        <v>2.636242996</v>
      </c>
      <c r="AV503" s="80">
        <f>IFERROR(__xludf.DUMMYFUNCTION("""COMPUTED_VALUE"""),40.42512587101866)</f>
        <v>40.42512587</v>
      </c>
      <c r="AW503" s="82">
        <f t="shared" si="1"/>
        <v>-2.850125452</v>
      </c>
      <c r="AX503" s="83">
        <f t="array" ref="AX503">IFERROR(DGET('SBV Import'!A:G,"SBV",{"RSC ID","Tier";B503,A503}))</f>
        <v>37.41192033</v>
      </c>
      <c r="AY503" s="82">
        <f t="shared" si="2"/>
        <v>-3.254167664</v>
      </c>
      <c r="AZ503" s="82">
        <v>0.4040422114797515</v>
      </c>
      <c r="BA503" s="84">
        <v>450.0</v>
      </c>
      <c r="BB503" s="84" t="b">
        <f>IFERROR(__xludf.DUMMYFUNCTION("iferror(if(A503="""",,E503&gt;=FILTER(Constants!$F$2:$F$10,Constants!$A$2:$A$10=A503)))"),TRUE)</f>
        <v>1</v>
      </c>
    </row>
    <row r="504">
      <c r="A504" s="80" t="str">
        <f>IFERROR(__xludf.DUMMYFUNCTION("""COMPUTED_VALUE"""),"Master")</f>
        <v>Master</v>
      </c>
      <c r="B504" s="80" t="str">
        <f>IFERROR(__xludf.DUMMYFUNCTION("""COMPUTED_VALUE"""),"RSC000232")</f>
        <v>RSC000232</v>
      </c>
      <c r="C504" s="80" t="str">
        <f>IFERROR(__xludf.DUMMYFUNCTION("""COMPUTED_VALUE"""),"Unexpected")</f>
        <v>Unexpected</v>
      </c>
      <c r="D504" s="80" t="str">
        <f>IFERROR(__xludf.DUMMYFUNCTION("""COMPUTED_VALUE"""),"Lemurs")</f>
        <v>Lemurs</v>
      </c>
      <c r="E504" s="80">
        <f>IFERROR(__xludf.DUMMYFUNCTION("""COMPUTED_VALUE"""),36.0)</f>
        <v>36</v>
      </c>
      <c r="F504" s="80">
        <f>IFERROR(__xludf.DUMMYFUNCTION("""COMPUTED_VALUE"""),19.0)</f>
        <v>19</v>
      </c>
      <c r="G504" s="80">
        <f>IFERROR(__xludf.DUMMYFUNCTION("""COMPUTED_VALUE"""),17.0)</f>
        <v>17</v>
      </c>
      <c r="H504" s="81">
        <f>IFERROR(__xludf.DUMMYFUNCTION("""COMPUTED_VALUE"""),0.5277777777777778)</f>
        <v>0.5277777778</v>
      </c>
      <c r="I504" s="81">
        <f>IFERROR(__xludf.DUMMYFUNCTION("""COMPUTED_VALUE"""),0.2553191489361702)</f>
        <v>0.2553191489</v>
      </c>
      <c r="J504" s="80">
        <f>IFERROR(__xludf.DUMMYFUNCTION("""COMPUTED_VALUE"""),358.77777777777777)</f>
        <v>358.7777778</v>
      </c>
      <c r="K504" s="80">
        <f>IFERROR(__xludf.DUMMYFUNCTION("""COMPUTED_VALUE"""),0.6666666666666666)</f>
        <v>0.6666666667</v>
      </c>
      <c r="L504" s="80">
        <f>IFERROR(__xludf.DUMMYFUNCTION("""COMPUTED_VALUE"""),0.5277777777777778)</f>
        <v>0.5277777778</v>
      </c>
      <c r="M504" s="80">
        <f>IFERROR(__xludf.DUMMYFUNCTION("""COMPUTED_VALUE"""),1.5555555555555556)</f>
        <v>1.555555556</v>
      </c>
      <c r="N504" s="80">
        <f>IFERROR(__xludf.DUMMYFUNCTION("""COMPUTED_VALUE"""),2.611111111111111)</f>
        <v>2.611111111</v>
      </c>
      <c r="O504" s="80">
        <f>IFERROR(__xludf.DUMMYFUNCTION("""COMPUTED_VALUE"""),411.6944444444445)</f>
        <v>411.6944444</v>
      </c>
      <c r="P504" s="80">
        <f>IFERROR(__xludf.DUMMYFUNCTION("""COMPUTED_VALUE"""),0.9259259259259258)</f>
        <v>0.9259259259</v>
      </c>
      <c r="Q504" s="80">
        <f>IFERROR(__xludf.DUMMYFUNCTION("""COMPUTED_VALUE"""),0.7314814814814815)</f>
        <v>0.7314814815</v>
      </c>
      <c r="R504" s="80">
        <f>IFERROR(__xludf.DUMMYFUNCTION("""COMPUTED_VALUE"""),1.601851851851852)</f>
        <v>1.601851852</v>
      </c>
      <c r="S504" s="80">
        <f>IFERROR(__xludf.DUMMYFUNCTION("""COMPUTED_VALUE"""),2.8333333333333335)</f>
        <v>2.833333333</v>
      </c>
      <c r="T504" s="80">
        <f>IFERROR(__xludf.DUMMYFUNCTION("""COMPUTED_VALUE"""),390.9519554029293)</f>
        <v>390.9519554</v>
      </c>
      <c r="U504" s="80">
        <f>IFERROR(__xludf.DUMMYFUNCTION("""COMPUTED_VALUE"""),0.8903781542590612)</f>
        <v>0.8903781543</v>
      </c>
      <c r="V504" s="80">
        <f>IFERROR(__xludf.DUMMYFUNCTION("""COMPUTED_VALUE"""),0.6861623993408792)</f>
        <v>0.6861623993</v>
      </c>
      <c r="W504" s="80">
        <f>IFERROR(__xludf.DUMMYFUNCTION("""COMPUTED_VALUE"""),1.5203702909242505)</f>
        <v>1.520370291</v>
      </c>
      <c r="X504" s="80">
        <f>IFERROR(__xludf.DUMMYFUNCTION("""COMPUTED_VALUE"""),2.7853750862211917)</f>
        <v>2.785375086</v>
      </c>
      <c r="Y504" s="80">
        <f>IFERROR(__xludf.DUMMYFUNCTION("""COMPUTED_VALUE"""),384.04412613386626)</f>
        <v>384.0441261</v>
      </c>
      <c r="Z504" s="80">
        <f>IFERROR(__xludf.DUMMYFUNCTION("""COMPUTED_VALUE"""),0.8473167895874367)</f>
        <v>0.8473167896</v>
      </c>
      <c r="AA504" s="80">
        <f>IFERROR(__xludf.DUMMYFUNCTION("""COMPUTED_VALUE"""),0.644411389837635)</f>
        <v>0.6444113898</v>
      </c>
      <c r="AB504" s="80">
        <f>IFERROR(__xludf.DUMMYFUNCTION("""COMPUTED_VALUE"""),1.5015887129126808)</f>
        <v>1.501588713</v>
      </c>
      <c r="AC504" s="80">
        <f>IFERROR(__xludf.DUMMYFUNCTION("""COMPUTED_VALUE"""),2.814611325145063)</f>
        <v>2.814611325</v>
      </c>
      <c r="AD504" s="80">
        <f>IFERROR(__xludf.DUMMYFUNCTION("""COMPUTED_VALUE"""),0.9342097778959874)</f>
        <v>0.9342097779</v>
      </c>
      <c r="AE504" s="80">
        <f>IFERROR(__xludf.DUMMYFUNCTION("""COMPUTED_VALUE"""),0.7867974231825033)</f>
        <v>0.7867974232</v>
      </c>
      <c r="AF504" s="80">
        <f>IFERROR(__xludf.DUMMYFUNCTION("""COMPUTED_VALUE"""),0.8190075254733719)</f>
        <v>0.8190075255</v>
      </c>
      <c r="AG504" s="80">
        <f>IFERROR(__xludf.DUMMYFUNCTION("""COMPUTED_VALUE"""),1.0359398297142188)</f>
        <v>1.03593983</v>
      </c>
      <c r="AH504" s="80">
        <f>IFERROR(__xludf.DUMMYFUNCTION("""COMPUTED_VALUE"""),0.9276986444927832)</f>
        <v>0.9276986445</v>
      </c>
      <c r="AI504" s="80">
        <f>IFERROR(__xludf.DUMMYFUNCTION("""COMPUTED_VALUE"""),1.0530563634606642)</f>
        <v>1.053056363</v>
      </c>
      <c r="AJ504" s="80">
        <f>IFERROR(__xludf.DUMMYFUNCTION("""COMPUTED_VALUE"""),1.0399243529244562)</f>
        <v>1.039924353</v>
      </c>
      <c r="AK504" s="80">
        <f>IFERROR(__xludf.DUMMYFUNCTION("""COMPUTED_VALUE"""),1.06604716636198)</f>
        <v>1.066047166</v>
      </c>
      <c r="AL504" s="80">
        <f>IFERROR(__xludf.DUMMYFUNCTION("""COMPUTED_VALUE"""),1.053593234104876)</f>
        <v>1.053593234</v>
      </c>
      <c r="AM504" s="80">
        <f>IFERROR(__xludf.DUMMYFUNCTION("""COMPUTED_VALUE"""),1.0172178775308875)</f>
        <v>1.017217878</v>
      </c>
      <c r="AN504" s="80">
        <f>IFERROR(__xludf.DUMMYFUNCTION("""COMPUTED_VALUE"""),0.9727732012818017)</f>
        <v>0.9727732013</v>
      </c>
      <c r="AO504" s="80">
        <f>IFERROR(__xludf.DUMMYFUNCTION("""COMPUTED_VALUE"""),0.8687308602071946)</f>
        <v>0.8687308602</v>
      </c>
      <c r="AP504" s="80">
        <f>IFERROR(__xludf.DUMMYFUNCTION("""COMPUTED_VALUE"""),0.8285147091075091)</f>
        <v>0.8285147091</v>
      </c>
      <c r="AQ504" s="80">
        <f>IFERROR(__xludf.DUMMYFUNCTION("""COMPUTED_VALUE"""),1.0627463981017689)</f>
        <v>1.062746398</v>
      </c>
      <c r="AR504" s="80">
        <f>IFERROR(__xludf.DUMMYFUNCTION("""COMPUTED_VALUE"""),0.9678581644477365)</f>
        <v>0.9678581644</v>
      </c>
      <c r="AS504" s="80">
        <f>IFERROR(__xludf.DUMMYFUNCTION("""COMPUTED_VALUE"""),89.0)</f>
        <v>89</v>
      </c>
      <c r="AT504" s="80">
        <f>IFERROR(__xludf.DUMMYFUNCTION("""COMPUTED_VALUE"""),0.4532472504302214)</f>
        <v>0.4532472504</v>
      </c>
      <c r="AU504" s="80">
        <f>IFERROR(__xludf.DUMMYFUNCTION("""COMPUTED_VALUE"""),2.6265689282696107)</f>
        <v>2.626568928</v>
      </c>
      <c r="AV504" s="80">
        <f>IFERROR(__xludf.DUMMYFUNCTION("""COMPUTED_VALUE"""),40.188743843174336)</f>
        <v>40.18874384</v>
      </c>
      <c r="AW504" s="82">
        <f t="shared" si="1"/>
        <v>-2.878834603</v>
      </c>
      <c r="AX504" s="83">
        <f t="array" ref="AX504">IFERROR(DGET('SBV Import'!A:G,"SBV",{"RSC ID","Tier";B504,A504}))</f>
        <v>33.52287511</v>
      </c>
      <c r="AY504" s="82">
        <f t="shared" si="2"/>
        <v>-3.922790151</v>
      </c>
      <c r="AZ504" s="82">
        <v>1.0439555486273746</v>
      </c>
      <c r="BA504" s="84">
        <v>450.0</v>
      </c>
      <c r="BB504" s="84" t="b">
        <f>IFERROR(__xludf.DUMMYFUNCTION("iferror(if(A504="""",,E504&gt;=FILTER(Constants!$F$2:$F$10,Constants!$A$2:$A$10=A504)))"),TRUE)</f>
        <v>1</v>
      </c>
    </row>
    <row r="505">
      <c r="A505" s="80" t="str">
        <f>IFERROR(__xludf.DUMMYFUNCTION("""COMPUTED_VALUE"""),"Master")</f>
        <v>Master</v>
      </c>
      <c r="B505" s="80" t="str">
        <f>IFERROR(__xludf.DUMMYFUNCTION("""COMPUTED_VALUE"""),"RSC005385")</f>
        <v>RSC005385</v>
      </c>
      <c r="C505" s="80" t="str">
        <f>IFERROR(__xludf.DUMMYFUNCTION("""COMPUTED_VALUE"""),"Girth")</f>
        <v>Girth</v>
      </c>
      <c r="D505" s="80" t="str">
        <f>IFERROR(__xludf.DUMMYFUNCTION("""COMPUTED_VALUE"""),"Plinko")</f>
        <v>Plinko</v>
      </c>
      <c r="E505" s="80">
        <f>IFERROR(__xludf.DUMMYFUNCTION("""COMPUTED_VALUE"""),21.0)</f>
        <v>21</v>
      </c>
      <c r="F505" s="80">
        <f>IFERROR(__xludf.DUMMYFUNCTION("""COMPUTED_VALUE"""),8.0)</f>
        <v>8</v>
      </c>
      <c r="G505" s="80">
        <f>IFERROR(__xludf.DUMMYFUNCTION("""COMPUTED_VALUE"""),13.0)</f>
        <v>13</v>
      </c>
      <c r="H505" s="81">
        <f>IFERROR(__xludf.DUMMYFUNCTION("""COMPUTED_VALUE"""),0.38095238095238093)</f>
        <v>0.380952381</v>
      </c>
      <c r="I505" s="81">
        <f>IFERROR(__xludf.DUMMYFUNCTION("""COMPUTED_VALUE"""),0.3260869565217391)</f>
        <v>0.3260869565</v>
      </c>
      <c r="J505" s="80">
        <f>IFERROR(__xludf.DUMMYFUNCTION("""COMPUTED_VALUE"""),344.85714285714283)</f>
        <v>344.8571429</v>
      </c>
      <c r="K505" s="80">
        <f>IFERROR(__xludf.DUMMYFUNCTION("""COMPUTED_VALUE"""),0.7142857142857143)</f>
        <v>0.7142857143</v>
      </c>
      <c r="L505" s="80">
        <f>IFERROR(__xludf.DUMMYFUNCTION("""COMPUTED_VALUE"""),0.5714285714285714)</f>
        <v>0.5714285714</v>
      </c>
      <c r="M505" s="80">
        <f>IFERROR(__xludf.DUMMYFUNCTION("""COMPUTED_VALUE"""),1.3333333333333333)</f>
        <v>1.333333333</v>
      </c>
      <c r="N505" s="80">
        <f>IFERROR(__xludf.DUMMYFUNCTION("""COMPUTED_VALUE"""),2.1904761904761907)</f>
        <v>2.19047619</v>
      </c>
      <c r="O505" s="80">
        <f>IFERROR(__xludf.DUMMYFUNCTION("""COMPUTED_VALUE"""),388.82539682539687)</f>
        <v>388.8253968</v>
      </c>
      <c r="P505" s="80">
        <f>IFERROR(__xludf.DUMMYFUNCTION("""COMPUTED_VALUE"""),1.0158730158730158)</f>
        <v>1.015873016</v>
      </c>
      <c r="Q505" s="80">
        <f>IFERROR(__xludf.DUMMYFUNCTION("""COMPUTED_VALUE"""),0.8095238095238096)</f>
        <v>0.8095238095</v>
      </c>
      <c r="R505" s="80">
        <f>IFERROR(__xludf.DUMMYFUNCTION("""COMPUTED_VALUE"""),1.1904761904761905)</f>
        <v>1.19047619</v>
      </c>
      <c r="S505" s="80">
        <f>IFERROR(__xludf.DUMMYFUNCTION("""COMPUTED_VALUE"""),3.238095238095238)</f>
        <v>3.238095238</v>
      </c>
      <c r="T505" s="80">
        <f>IFERROR(__xludf.DUMMYFUNCTION("""COMPUTED_VALUE"""),394.4557154907052)</f>
        <v>394.4557155</v>
      </c>
      <c r="U505" s="80">
        <f>IFERROR(__xludf.DUMMYFUNCTION("""COMPUTED_VALUE"""),0.8637321487908102)</f>
        <v>0.8637321488</v>
      </c>
      <c r="V505" s="80">
        <f>IFERROR(__xludf.DUMMYFUNCTION("""COMPUTED_VALUE"""),0.6974377927621543)</f>
        <v>0.6974377928</v>
      </c>
      <c r="W505" s="80">
        <f>IFERROR(__xludf.DUMMYFUNCTION("""COMPUTED_VALUE"""),1.5407229978313484)</f>
        <v>1.540722998</v>
      </c>
      <c r="X505" s="80">
        <f>IFERROR(__xludf.DUMMYFUNCTION("""COMPUTED_VALUE"""),3.001538869585799)</f>
        <v>3.00153887</v>
      </c>
      <c r="Y505" s="80">
        <f>IFERROR(__xludf.DUMMYFUNCTION("""COMPUTED_VALUE"""),394.77321723871637)</f>
        <v>394.7732172</v>
      </c>
      <c r="Z505" s="80">
        <f>IFERROR(__xludf.DUMMYFUNCTION("""COMPUTED_VALUE"""),0.8744290235491066)</f>
        <v>0.8744290235</v>
      </c>
      <c r="AA505" s="80">
        <f>IFERROR(__xludf.DUMMYFUNCTION("""COMPUTED_VALUE"""),0.6864487104882782)</f>
        <v>0.6864487105</v>
      </c>
      <c r="AB505" s="80">
        <f>IFERROR(__xludf.DUMMYFUNCTION("""COMPUTED_VALUE"""),1.577626655991045)</f>
        <v>1.577626656</v>
      </c>
      <c r="AC505" s="80">
        <f>IFERROR(__xludf.DUMMYFUNCTION("""COMPUTED_VALUE"""),2.8575877355610495)</f>
        <v>2.857587736</v>
      </c>
      <c r="AD505" s="80">
        <f>IFERROR(__xludf.DUMMYFUNCTION("""COMPUTED_VALUE"""),0.8735575966102339)</f>
        <v>0.8735575966</v>
      </c>
      <c r="AE505" s="80">
        <f>IFERROR(__xludf.DUMMYFUNCTION("""COMPUTED_VALUE"""),0.8168595678430167)</f>
        <v>0.8168595678</v>
      </c>
      <c r="AF505" s="80">
        <f>IFERROR(__xludf.DUMMYFUNCTION("""COMPUTED_VALUE"""),0.8324417581352994)</f>
        <v>0.8324417581</v>
      </c>
      <c r="AG505" s="80">
        <f>IFERROR(__xludf.DUMMYFUNCTION("""COMPUTED_VALUE"""),0.8451513723288038)</f>
        <v>0.8451513723</v>
      </c>
      <c r="AH505" s="80">
        <f>IFERROR(__xludf.DUMMYFUNCTION("""COMPUTED_VALUE"""),0.7665473095425781)</f>
        <v>0.7665473095</v>
      </c>
      <c r="AI505" s="80">
        <f>IFERROR(__xludf.DUMMYFUNCTION("""COMPUTED_VALUE"""),0.9857263605413749)</f>
        <v>0.9857263605</v>
      </c>
      <c r="AJ505" s="80">
        <f>IFERROR(__xludf.DUMMYFUNCTION("""COMPUTED_VALUE"""),1.176143573323277)</f>
        <v>1.176143573</v>
      </c>
      <c r="AK505" s="80">
        <f>IFERROR(__xludf.DUMMYFUNCTION("""COMPUTED_VALUE"""),1.1607111314082168)</f>
        <v>1.160711131</v>
      </c>
      <c r="AL505" s="80">
        <f>IFERROR(__xludf.DUMMYFUNCTION("""COMPUTED_VALUE"""),0.7726737331446669)</f>
        <v>0.7726737331</v>
      </c>
      <c r="AM505" s="80">
        <f>IFERROR(__xludf.DUMMYFUNCTION("""COMPUTED_VALUE"""),1.078811695862557)</f>
        <v>1.078811696</v>
      </c>
      <c r="AN505" s="80">
        <f>IFERROR(__xludf.DUMMYFUNCTION("""COMPUTED_VALUE"""),0.935029446137611)</f>
        <v>0.9350294461</v>
      </c>
      <c r="AO505" s="80">
        <f>IFERROR(__xludf.DUMMYFUNCTION("""COMPUTED_VALUE"""),0.9307830645077086)</f>
        <v>0.9307830645</v>
      </c>
      <c r="AP505" s="80">
        <f>IFERROR(__xludf.DUMMYFUNCTION("""COMPUTED_VALUE"""),0.8970384820412128)</f>
        <v>0.897038482</v>
      </c>
      <c r="AQ505" s="80">
        <f>IFERROR(__xludf.DUMMYFUNCTION("""COMPUTED_VALUE"""),0.9109254840872304)</f>
        <v>0.9109254841</v>
      </c>
      <c r="AR505" s="80">
        <f>IFERROR(__xludf.DUMMYFUNCTION("""COMPUTED_VALUE"""),0.8119418036096514)</f>
        <v>0.8119418036</v>
      </c>
      <c r="AS505" s="80">
        <f>IFERROR(__xludf.DUMMYFUNCTION("""COMPUTED_VALUE"""),46.0)</f>
        <v>46</v>
      </c>
      <c r="AT505" s="80">
        <f>IFERROR(__xludf.DUMMYFUNCTION("""COMPUTED_VALUE"""),0.37024372649312703)</f>
        <v>0.3702437265</v>
      </c>
      <c r="AU505" s="80">
        <f>IFERROR(__xludf.DUMMYFUNCTION("""COMPUTED_VALUE"""),2.4883262599775477)</f>
        <v>2.48832626</v>
      </c>
      <c r="AV505" s="80">
        <f>IFERROR(__xludf.DUMMYFUNCTION("""COMPUTED_VALUE"""),36.81083879066525)</f>
        <v>36.81083879</v>
      </c>
      <c r="AW505" s="82">
        <f t="shared" si="1"/>
        <v>-3.345598939</v>
      </c>
      <c r="AX505" s="83">
        <f t="array" ref="AX505">IFERROR(DGET('SBV Import'!A:G,"SBV",{"RSC ID","Tier";B505,A505}))</f>
        <v>31.77627684</v>
      </c>
      <c r="AY505" s="82">
        <f t="shared" si="2"/>
        <v>-4.291542463</v>
      </c>
      <c r="AZ505" s="82">
        <v>0.9459435244840884</v>
      </c>
      <c r="BA505" s="84">
        <v>450.0</v>
      </c>
      <c r="BB505" s="84" t="b">
        <f>IFERROR(__xludf.DUMMYFUNCTION("iferror(if(A505="""",,E505&gt;=FILTER(Constants!$F$2:$F$10,Constants!$A$2:$A$10=A505)))"),TRUE)</f>
        <v>1</v>
      </c>
    </row>
    <row r="506">
      <c r="A506" s="80" t="str">
        <f>IFERROR(__xludf.DUMMYFUNCTION("""COMPUTED_VALUE"""),"Master")</f>
        <v>Master</v>
      </c>
      <c r="B506" s="80" t="str">
        <f>IFERROR(__xludf.DUMMYFUNCTION("""COMPUTED_VALUE"""),"RSC003178")</f>
        <v>RSC003178</v>
      </c>
      <c r="C506" s="80" t="str">
        <f>IFERROR(__xludf.DUMMYFUNCTION("""COMPUTED_VALUE"""),"Snack Time!")</f>
        <v>Snack Time!</v>
      </c>
      <c r="D506" s="80" t="str">
        <f>IFERROR(__xludf.DUMMYFUNCTION("""COMPUTED_VALUE"""),"The OG")</f>
        <v>The OG</v>
      </c>
      <c r="E506" s="80">
        <f>IFERROR(__xludf.DUMMYFUNCTION("""COMPUTED_VALUE"""),23.0)</f>
        <v>23</v>
      </c>
      <c r="F506" s="80">
        <f>IFERROR(__xludf.DUMMYFUNCTION("""COMPUTED_VALUE"""),6.0)</f>
        <v>6</v>
      </c>
      <c r="G506" s="80">
        <f>IFERROR(__xludf.DUMMYFUNCTION("""COMPUTED_VALUE"""),17.0)</f>
        <v>17</v>
      </c>
      <c r="H506" s="81">
        <f>IFERROR(__xludf.DUMMYFUNCTION("""COMPUTED_VALUE"""),0.2608695652173913)</f>
        <v>0.2608695652</v>
      </c>
      <c r="I506" s="81">
        <f>IFERROR(__xludf.DUMMYFUNCTION("""COMPUTED_VALUE"""),0.23333333333333334)</f>
        <v>0.2333333333</v>
      </c>
      <c r="J506" s="80">
        <f>IFERROR(__xludf.DUMMYFUNCTION("""COMPUTED_VALUE"""),318.7826086956522)</f>
        <v>318.7826087</v>
      </c>
      <c r="K506" s="80">
        <f>IFERROR(__xludf.DUMMYFUNCTION("""COMPUTED_VALUE"""),0.6086956521739131)</f>
        <v>0.6086956522</v>
      </c>
      <c r="L506" s="80">
        <f>IFERROR(__xludf.DUMMYFUNCTION("""COMPUTED_VALUE"""),0.6086956521739131)</f>
        <v>0.6086956522</v>
      </c>
      <c r="M506" s="80">
        <f>IFERROR(__xludf.DUMMYFUNCTION("""COMPUTED_VALUE"""),1.173913043478261)</f>
        <v>1.173913043</v>
      </c>
      <c r="N506" s="80">
        <f>IFERROR(__xludf.DUMMYFUNCTION("""COMPUTED_VALUE"""),2.608695652173913)</f>
        <v>2.608695652</v>
      </c>
      <c r="O506" s="80">
        <f>IFERROR(__xludf.DUMMYFUNCTION("""COMPUTED_VALUE"""),436.3623188405795)</f>
        <v>436.3623188</v>
      </c>
      <c r="P506" s="80">
        <f>IFERROR(__xludf.DUMMYFUNCTION("""COMPUTED_VALUE"""),1.0579710144927537)</f>
        <v>1.057971014</v>
      </c>
      <c r="Q506" s="80">
        <f>IFERROR(__xludf.DUMMYFUNCTION("""COMPUTED_VALUE"""),0.8405797101449275)</f>
        <v>0.8405797101</v>
      </c>
      <c r="R506" s="80">
        <f>IFERROR(__xludf.DUMMYFUNCTION("""COMPUTED_VALUE"""),1.7246376811594204)</f>
        <v>1.724637681</v>
      </c>
      <c r="S506" s="80">
        <f>IFERROR(__xludf.DUMMYFUNCTION("""COMPUTED_VALUE"""),3.1739130434782616)</f>
        <v>3.173913043</v>
      </c>
      <c r="T506" s="80">
        <f>IFERROR(__xludf.DUMMYFUNCTION("""COMPUTED_VALUE"""),401.84001469466097)</f>
        <v>401.8400147</v>
      </c>
      <c r="U506" s="80">
        <f>IFERROR(__xludf.DUMMYFUNCTION("""COMPUTED_VALUE"""),0.9130584225852768)</f>
        <v>0.9130584226</v>
      </c>
      <c r="V506" s="80">
        <f>IFERROR(__xludf.DUMMYFUNCTION("""COMPUTED_VALUE"""),0.6727981145500326)</f>
        <v>0.6727981146</v>
      </c>
      <c r="W506" s="80">
        <f>IFERROR(__xludf.DUMMYFUNCTION("""COMPUTED_VALUE"""),1.5875553561401816)</f>
        <v>1.587555356</v>
      </c>
      <c r="X506" s="80">
        <f>IFERROR(__xludf.DUMMYFUNCTION("""COMPUTED_VALUE"""),2.9311116285753966)</f>
        <v>2.931111629</v>
      </c>
      <c r="Y506" s="80">
        <f>IFERROR(__xludf.DUMMYFUNCTION("""COMPUTED_VALUE"""),377.1347173860104)</f>
        <v>377.1347174</v>
      </c>
      <c r="Z506" s="80">
        <f>IFERROR(__xludf.DUMMYFUNCTION("""COMPUTED_VALUE"""),0.8088489846801868)</f>
        <v>0.8088489847</v>
      </c>
      <c r="AA506" s="80">
        <f>IFERROR(__xludf.DUMMYFUNCTION("""COMPUTED_VALUE"""),0.6276154967615607)</f>
        <v>0.6276154968</v>
      </c>
      <c r="AB506" s="80">
        <f>IFERROR(__xludf.DUMMYFUNCTION("""COMPUTED_VALUE"""),1.5044893028624204)</f>
        <v>1.504489303</v>
      </c>
      <c r="AC506" s="80">
        <f>IFERROR(__xludf.DUMMYFUNCTION("""COMPUTED_VALUE"""),2.8047054360708814)</f>
        <v>2.804705436</v>
      </c>
      <c r="AD506" s="80">
        <f>IFERROR(__xludf.DUMMYFUNCTION("""COMPUTED_VALUE"""),0.8452751603066212)</f>
        <v>0.8452751603</v>
      </c>
      <c r="AE506" s="80">
        <f>IFERROR(__xludf.DUMMYFUNCTION("""COMPUTED_VALUE"""),0.7525454858728505)</f>
        <v>0.7525454859</v>
      </c>
      <c r="AF506" s="80">
        <f>IFERROR(__xludf.DUMMYFUNCTION("""COMPUTED_VALUE"""),0.9698544018028995)</f>
        <v>0.9698544018</v>
      </c>
      <c r="AG506" s="80">
        <f>IFERROR(__xludf.DUMMYFUNCTION("""COMPUTED_VALUE"""),0.7802734397943477)</f>
        <v>0.7802734398</v>
      </c>
      <c r="AH506" s="80">
        <f>IFERROR(__xludf.DUMMYFUNCTION("""COMPUTED_VALUE"""),0.930113950158146)</f>
        <v>0.9301139502</v>
      </c>
      <c r="AI506" s="80">
        <f>IFERROR(__xludf.DUMMYFUNCTION("""COMPUTED_VALUE"""),1.085910568593201)</f>
        <v>1.085910569</v>
      </c>
      <c r="AJ506" s="80">
        <f>IFERROR(__xludf.DUMMYFUNCTION("""COMPUTED_VALUE"""),1.1587111934164787)</f>
        <v>1.158711193</v>
      </c>
      <c r="AK506" s="80">
        <f>IFERROR(__xludf.DUMMYFUNCTION("""COMPUTED_VALUE"""),1.2493788135941897)</f>
        <v>1.249378814</v>
      </c>
      <c r="AL506" s="80">
        <f>IFERROR(__xludf.DUMMYFUNCTION("""COMPUTED_VALUE"""),1.0863480599205855)</f>
        <v>1.08634806</v>
      </c>
      <c r="AM506" s="80">
        <f>IFERROR(__xludf.DUMMYFUNCTION("""COMPUTED_VALUE"""),1.0828359495202418)</f>
        <v>1.08283595</v>
      </c>
      <c r="AN506" s="80">
        <f>IFERROR(__xludf.DUMMYFUNCTION("""COMPUTED_VALUE"""),0.8643321799208737)</f>
        <v>0.8643321799</v>
      </c>
      <c r="AO506" s="80">
        <f>IFERROR(__xludf.DUMMYFUNCTION("""COMPUTED_VALUE"""),0.7931890462761343)</f>
        <v>0.7931890463</v>
      </c>
      <c r="AP506" s="80">
        <f>IFERROR(__xludf.DUMMYFUNCTION("""COMPUTED_VALUE"""),0.9555409917395529)</f>
        <v>0.9555409917</v>
      </c>
      <c r="AQ506" s="80">
        <f>IFERROR(__xludf.DUMMYFUNCTION("""COMPUTED_VALUE"""),0.8020104805550616)</f>
        <v>0.8020104806</v>
      </c>
      <c r="AR506" s="80">
        <f>IFERROR(__xludf.DUMMYFUNCTION("""COMPUTED_VALUE"""),0.9669628284954259)</f>
        <v>0.9669628285</v>
      </c>
      <c r="AS506" s="80">
        <f>IFERROR(__xludf.DUMMYFUNCTION("""COMPUTED_VALUE"""),58.0)</f>
        <v>58</v>
      </c>
      <c r="AT506" s="80">
        <f>IFERROR(__xludf.DUMMYFUNCTION("""COMPUTED_VALUE"""),0.4063763968530978)</f>
        <v>0.4063763969</v>
      </c>
      <c r="AU506" s="80">
        <f>IFERROR(__xludf.DUMMYFUNCTION("""COMPUTED_VALUE"""),2.487482447030007)</f>
        <v>2.487482447</v>
      </c>
      <c r="AV506" s="80">
        <f>IFERROR(__xludf.DUMMYFUNCTION("""COMPUTED_VALUE"""),36.79022055424024)</f>
        <v>36.79022055</v>
      </c>
      <c r="AW506" s="82">
        <f t="shared" si="1"/>
        <v>-3.3488056</v>
      </c>
      <c r="AX506" s="83">
        <f t="array" ref="AX506">IFERROR(DGET('SBV Import'!A:G,"SBV",{"RSC ID","Tier";B506,A506}))</f>
        <v>17.11563991</v>
      </c>
      <c r="AY506" s="82">
        <f t="shared" si="2"/>
        <v>-10.61660704</v>
      </c>
      <c r="AZ506" s="82">
        <v>7.267801440225586</v>
      </c>
      <c r="BA506" s="84">
        <v>450.0</v>
      </c>
      <c r="BB506" s="84" t="b">
        <f>IFERROR(__xludf.DUMMYFUNCTION("iferror(if(A506="""",,E506&gt;=FILTER(Constants!$F$2:$F$10,Constants!$A$2:$A$10=A506)))"),TRUE)</f>
        <v>1</v>
      </c>
    </row>
    <row r="507">
      <c r="A507" s="80" t="str">
        <f>IFERROR(__xludf.DUMMYFUNCTION("""COMPUTED_VALUE"""),"Master")</f>
        <v>Master</v>
      </c>
      <c r="B507" s="80" t="str">
        <f>IFERROR(__xludf.DUMMYFUNCTION("""COMPUTED_VALUE"""),"RSC007853")</f>
        <v>RSC007853</v>
      </c>
      <c r="C507" s="80" t="str">
        <f>IFERROR(__xludf.DUMMYFUNCTION("""COMPUTED_VALUE"""),"jun1o4.")</f>
        <v>jun1o4.</v>
      </c>
      <c r="D507" s="80"/>
      <c r="E507" s="80">
        <f>IFERROR(__xludf.DUMMYFUNCTION("""COMPUTED_VALUE"""),1.0)</f>
        <v>1</v>
      </c>
      <c r="F507" s="80">
        <f>IFERROR(__xludf.DUMMYFUNCTION("""COMPUTED_VALUE"""),0.0)</f>
        <v>0</v>
      </c>
      <c r="G507" s="80">
        <f>IFERROR(__xludf.DUMMYFUNCTION("""COMPUTED_VALUE"""),1.0)</f>
        <v>1</v>
      </c>
      <c r="H507" s="81">
        <f>IFERROR(__xludf.DUMMYFUNCTION("""COMPUTED_VALUE"""),0.0)</f>
        <v>0</v>
      </c>
      <c r="I507" s="81">
        <f>IFERROR(__xludf.DUMMYFUNCTION("""COMPUTED_VALUE"""),0.0)</f>
        <v>0</v>
      </c>
      <c r="J507" s="80">
        <f>IFERROR(__xludf.DUMMYFUNCTION("""COMPUTED_VALUE"""),314.0)</f>
        <v>314</v>
      </c>
      <c r="K507" s="80">
        <f>IFERROR(__xludf.DUMMYFUNCTION("""COMPUTED_VALUE"""),0.0)</f>
        <v>0</v>
      </c>
      <c r="L507" s="80">
        <f>IFERROR(__xludf.DUMMYFUNCTION("""COMPUTED_VALUE"""),1.0)</f>
        <v>1</v>
      </c>
      <c r="M507" s="80">
        <f>IFERROR(__xludf.DUMMYFUNCTION("""COMPUTED_VALUE"""),1.0)</f>
        <v>1</v>
      </c>
      <c r="N507" s="80">
        <f>IFERROR(__xludf.DUMMYFUNCTION("""COMPUTED_VALUE"""),3.0)</f>
        <v>3</v>
      </c>
      <c r="O507" s="80">
        <f>IFERROR(__xludf.DUMMYFUNCTION("""COMPUTED_VALUE"""),589.0)</f>
        <v>589</v>
      </c>
      <c r="P507" s="80">
        <f>IFERROR(__xludf.DUMMYFUNCTION("""COMPUTED_VALUE"""),1.0)</f>
        <v>1</v>
      </c>
      <c r="Q507" s="80">
        <f>IFERROR(__xludf.DUMMYFUNCTION("""COMPUTED_VALUE"""),0.6666666666666666)</f>
        <v>0.6666666667</v>
      </c>
      <c r="R507" s="80">
        <f>IFERROR(__xludf.DUMMYFUNCTION("""COMPUTED_VALUE"""),2.6666666666666665)</f>
        <v>2.666666667</v>
      </c>
      <c r="S507" s="80">
        <f>IFERROR(__xludf.DUMMYFUNCTION("""COMPUTED_VALUE"""),3.6666666666666665)</f>
        <v>3.666666667</v>
      </c>
      <c r="T507" s="80">
        <f>IFERROR(__xludf.DUMMYFUNCTION("""COMPUTED_VALUE"""),432.88981481481477)</f>
        <v>432.8898148</v>
      </c>
      <c r="U507" s="80">
        <f>IFERROR(__xludf.DUMMYFUNCTION("""COMPUTED_VALUE"""),0.9740740740740742)</f>
        <v>0.9740740741</v>
      </c>
      <c r="V507" s="80">
        <f>IFERROR(__xludf.DUMMYFUNCTION("""COMPUTED_VALUE"""),0.7787037037037038)</f>
        <v>0.7787037037</v>
      </c>
      <c r="W507" s="80">
        <f>IFERROR(__xludf.DUMMYFUNCTION("""COMPUTED_VALUE"""),1.499074074074074)</f>
        <v>1.499074074</v>
      </c>
      <c r="X507" s="80">
        <f>IFERROR(__xludf.DUMMYFUNCTION("""COMPUTED_VALUE"""),3.598148148148148)</f>
        <v>3.598148148</v>
      </c>
      <c r="Y507" s="80">
        <f>IFERROR(__xludf.DUMMYFUNCTION("""COMPUTED_VALUE"""),395.2734567901234)</f>
        <v>395.2734568</v>
      </c>
      <c r="Z507" s="80">
        <f>IFERROR(__xludf.DUMMYFUNCTION("""COMPUTED_VALUE"""),0.7756172839506172)</f>
        <v>0.775617284</v>
      </c>
      <c r="AA507" s="80">
        <f>IFERROR(__xludf.DUMMYFUNCTION("""COMPUTED_VALUE"""),0.5774691358024692)</f>
        <v>0.5774691358</v>
      </c>
      <c r="AB507" s="80">
        <f>IFERROR(__xludf.DUMMYFUNCTION("""COMPUTED_VALUE"""),1.7358024691358025)</f>
        <v>1.735802469</v>
      </c>
      <c r="AC507" s="80">
        <f>IFERROR(__xludf.DUMMYFUNCTION("""COMPUTED_VALUE"""),2.647222222222222)</f>
        <v>2.647222222</v>
      </c>
      <c r="AD507" s="80">
        <f>IFERROR(__xludf.DUMMYFUNCTION("""COMPUTED_VALUE"""),0.7943867583466987)</f>
        <v>0.7943867583</v>
      </c>
      <c r="AE507" s="80">
        <f>IFERROR(__xludf.DUMMYFUNCTION("""COMPUTED_VALUE"""),0.0)</f>
        <v>0</v>
      </c>
      <c r="AF507" s="80">
        <f>IFERROR(__xludf.DUMMYFUNCTION("""COMPUTED_VALUE"""),1.7316942811330838)</f>
        <v>1.731694281</v>
      </c>
      <c r="AG507" s="80">
        <f>IFERROR(__xludf.DUMMYFUNCTION("""COMPUTED_VALUE"""),0.5761024182076814)</f>
        <v>0.5761024182</v>
      </c>
      <c r="AH507" s="80">
        <f>IFERROR(__xludf.DUMMYFUNCTION("""COMPUTED_VALUE"""),1.1332633788037776)</f>
        <v>1.133263379</v>
      </c>
      <c r="AI507" s="80">
        <f>IFERROR(__xludf.DUMMYFUNCTION("""COMPUTED_VALUE"""),1.360623373067734)</f>
        <v>1.360623373</v>
      </c>
      <c r="AJ507" s="80">
        <f>IFERROR(__xludf.DUMMYFUNCTION("""COMPUTED_VALUE"""),1.026615969581749)</f>
        <v>1.02661597</v>
      </c>
      <c r="AK507" s="80">
        <f>IFERROR(__xludf.DUMMYFUNCTION("""COMPUTED_VALUE"""),0.8561236623067775)</f>
        <v>0.8561236623</v>
      </c>
      <c r="AL507" s="80">
        <f>IFERROR(__xludf.DUMMYFUNCTION("""COMPUTED_VALUE"""),1.778875849289685)</f>
        <v>1.778875849</v>
      </c>
      <c r="AM507" s="80">
        <f>IFERROR(__xludf.DUMMYFUNCTION("""COMPUTED_VALUE"""),1.0190427174472465)</f>
        <v>1.019042717</v>
      </c>
      <c r="AN507" s="80">
        <f>IFERROR(__xludf.DUMMYFUNCTION("""COMPUTED_VALUE"""),0.8513648395238066)</f>
        <v>0.8513648395</v>
      </c>
      <c r="AO507" s="80">
        <f>IFERROR(__xludf.DUMMYFUNCTION("""COMPUTED_VALUE"""),0.0)</f>
        <v>0</v>
      </c>
      <c r="AP507" s="80">
        <f>IFERROR(__xludf.DUMMYFUNCTION("""COMPUTED_VALUE"""),1.5698173435721225)</f>
        <v>1.569817344</v>
      </c>
      <c r="AQ507" s="80">
        <f>IFERROR(__xludf.DUMMYFUNCTION("""COMPUTED_VALUE"""),0.6831941130654228)</f>
        <v>0.6831941131</v>
      </c>
      <c r="AR507" s="80">
        <f>IFERROR(__xludf.DUMMYFUNCTION("""COMPUTED_VALUE"""),1.1120072527697398)</f>
        <v>1.112007253</v>
      </c>
      <c r="AS507" s="80">
        <f>IFERROR(__xludf.DUMMYFUNCTION("""COMPUTED_VALUE"""),2.0)</f>
        <v>2</v>
      </c>
      <c r="AT507" s="80">
        <f>IFERROR(__xludf.DUMMYFUNCTION("""COMPUTED_VALUE"""),0.34445266793706497)</f>
        <v>0.3444526679</v>
      </c>
      <c r="AU507" s="80">
        <f>IFERROR(__xludf.DUMMYFUNCTION("""COMPUTED_VALUE"""),2.4433768689351174)</f>
        <v>2.443376869</v>
      </c>
      <c r="AV507" s="80">
        <f>IFERROR(__xludf.DUMMYFUNCTION("""COMPUTED_VALUE"""),35.71251815648411)</f>
        <v>35.71251816</v>
      </c>
      <c r="AW507" s="82">
        <f t="shared" si="1"/>
        <v>-3.523227966</v>
      </c>
      <c r="AX507" s="83">
        <f t="array" ref="AX507">IFERROR(DGET('SBV Import'!A:G,"SBV",{"RSC ID","Tier";B507,A507}))</f>
        <v>1.096285398</v>
      </c>
      <c r="AY507" s="82">
        <f t="shared" si="2"/>
        <v>-39.6450552</v>
      </c>
      <c r="AZ507" s="82">
        <v>36.12182722990891</v>
      </c>
      <c r="BA507" s="84">
        <v>450.0</v>
      </c>
      <c r="BB507" s="84" t="b">
        <f>IFERROR(__xludf.DUMMYFUNCTION("iferror(if(A507="""",,E507&gt;=FILTER(Constants!$F$2:$F$10,Constants!$A$2:$A$10=A507)))"),TRUE)</f>
        <v>1</v>
      </c>
    </row>
    <row r="508">
      <c r="A508" s="80" t="str">
        <f>IFERROR(__xludf.DUMMYFUNCTION("""COMPUTED_VALUE"""),"Master")</f>
        <v>Master</v>
      </c>
      <c r="B508" s="80" t="str">
        <f>IFERROR(__xludf.DUMMYFUNCTION("""COMPUTED_VALUE"""),"RSC002500")</f>
        <v>RSC002500</v>
      </c>
      <c r="C508" s="80" t="str">
        <f>IFERROR(__xludf.DUMMYFUNCTION("""COMPUTED_VALUE"""),"kalten")</f>
        <v>kalten</v>
      </c>
      <c r="D508" s="80" t="str">
        <f>IFERROR(__xludf.DUMMYFUNCTION("""COMPUTED_VALUE"""),"Heinous Henchmen")</f>
        <v>Heinous Henchmen</v>
      </c>
      <c r="E508" s="80">
        <f>IFERROR(__xludf.DUMMYFUNCTION("""COMPUTED_VALUE"""),36.0)</f>
        <v>36</v>
      </c>
      <c r="F508" s="80">
        <f>IFERROR(__xludf.DUMMYFUNCTION("""COMPUTED_VALUE"""),13.0)</f>
        <v>13</v>
      </c>
      <c r="G508" s="80">
        <f>IFERROR(__xludf.DUMMYFUNCTION("""COMPUTED_VALUE"""),23.0)</f>
        <v>23</v>
      </c>
      <c r="H508" s="81">
        <f>IFERROR(__xludf.DUMMYFUNCTION("""COMPUTED_VALUE"""),0.3611111111111111)</f>
        <v>0.3611111111</v>
      </c>
      <c r="I508" s="81">
        <f>IFERROR(__xludf.DUMMYFUNCTION("""COMPUTED_VALUE"""),0.21428571428571427)</f>
        <v>0.2142857143</v>
      </c>
      <c r="J508" s="80">
        <f>IFERROR(__xludf.DUMMYFUNCTION("""COMPUTED_VALUE"""),339.97222222222223)</f>
        <v>339.9722222</v>
      </c>
      <c r="K508" s="80">
        <f>IFERROR(__xludf.DUMMYFUNCTION("""COMPUTED_VALUE"""),0.5)</f>
        <v>0.5</v>
      </c>
      <c r="L508" s="80">
        <f>IFERROR(__xludf.DUMMYFUNCTION("""COMPUTED_VALUE"""),0.6388888888888888)</f>
        <v>0.6388888889</v>
      </c>
      <c r="M508" s="80">
        <f>IFERROR(__xludf.DUMMYFUNCTION("""COMPUTED_VALUE"""),1.7222222222222223)</f>
        <v>1.722222222</v>
      </c>
      <c r="N508" s="80">
        <f>IFERROR(__xludf.DUMMYFUNCTION("""COMPUTED_VALUE"""),2.3333333333333335)</f>
        <v>2.333333333</v>
      </c>
      <c r="O508" s="80">
        <f>IFERROR(__xludf.DUMMYFUNCTION("""COMPUTED_VALUE"""),384.28703703703707)</f>
        <v>384.287037</v>
      </c>
      <c r="P508" s="80">
        <f>IFERROR(__xludf.DUMMYFUNCTION("""COMPUTED_VALUE"""),0.8796296296296295)</f>
        <v>0.8796296296</v>
      </c>
      <c r="Q508" s="80">
        <f>IFERROR(__xludf.DUMMYFUNCTION("""COMPUTED_VALUE"""),0.6574074074074074)</f>
        <v>0.6574074074</v>
      </c>
      <c r="R508" s="80">
        <f>IFERROR(__xludf.DUMMYFUNCTION("""COMPUTED_VALUE"""),1.4722222222222223)</f>
        <v>1.472222222</v>
      </c>
      <c r="S508" s="80">
        <f>IFERROR(__xludf.DUMMYFUNCTION("""COMPUTED_VALUE"""),3.0462962962962963)</f>
        <v>3.046296296</v>
      </c>
      <c r="T508" s="80">
        <f>IFERROR(__xludf.DUMMYFUNCTION("""COMPUTED_VALUE"""),375.0093247024902)</f>
        <v>375.0093247</v>
      </c>
      <c r="U508" s="80">
        <f>IFERROR(__xludf.DUMMYFUNCTION("""COMPUTED_VALUE"""),0.8537389612738788)</f>
        <v>0.8537389613</v>
      </c>
      <c r="V508" s="80">
        <f>IFERROR(__xludf.DUMMYFUNCTION("""COMPUTED_VALUE"""),0.6620947696766404)</f>
        <v>0.6620947697</v>
      </c>
      <c r="W508" s="80">
        <f>IFERROR(__xludf.DUMMYFUNCTION("""COMPUTED_VALUE"""),1.410255151271183)</f>
        <v>1.410255151</v>
      </c>
      <c r="X508" s="80">
        <f>IFERROR(__xludf.DUMMYFUNCTION("""COMPUTED_VALUE"""),2.7338918740760096)</f>
        <v>2.733891874</v>
      </c>
      <c r="Y508" s="80">
        <f>IFERROR(__xludf.DUMMYFUNCTION("""COMPUTED_VALUE"""),378.91005504133443)</f>
        <v>378.910055</v>
      </c>
      <c r="Z508" s="80">
        <f>IFERROR(__xludf.DUMMYFUNCTION("""COMPUTED_VALUE"""),0.8541010875891027)</f>
        <v>0.8541010876</v>
      </c>
      <c r="AA508" s="80">
        <f>IFERROR(__xludf.DUMMYFUNCTION("""COMPUTED_VALUE"""),0.6502591795965873)</f>
        <v>0.6502591796</v>
      </c>
      <c r="AB508" s="80">
        <f>IFERROR(__xludf.DUMMYFUNCTION("""COMPUTED_VALUE"""),1.4537307792387089)</f>
        <v>1.453730779</v>
      </c>
      <c r="AC508" s="80">
        <f>IFERROR(__xludf.DUMMYFUNCTION("""COMPUTED_VALUE"""),2.782479876888778)</f>
        <v>2.782479877</v>
      </c>
      <c r="AD508" s="80">
        <f>IFERROR(__xludf.DUMMYFUNCTION("""COMPUTED_VALUE"""),0.8972372669950271)</f>
        <v>0.897237267</v>
      </c>
      <c r="AE508" s="80">
        <f>IFERROR(__xludf.DUMMYFUNCTION("""COMPUTED_VALUE"""),0.5854107988685101)</f>
        <v>0.5854107989</v>
      </c>
      <c r="AF508" s="80">
        <f>IFERROR(__xludf.DUMMYFUNCTION("""COMPUTED_VALUE"""),0.9825142173083162)</f>
        <v>0.9825142173</v>
      </c>
      <c r="AG508" s="80">
        <f>IFERROR(__xludf.DUMMYFUNCTION("""COMPUTED_VALUE"""),1.1846913106731614)</f>
        <v>1.184691311</v>
      </c>
      <c r="AH508" s="80">
        <f>IFERROR(__xludf.DUMMYFUNCTION("""COMPUTED_VALUE"""),0.8385804881156386)</f>
        <v>0.8385804881</v>
      </c>
      <c r="AI508" s="80">
        <f>IFERROR(__xludf.DUMMYFUNCTION("""COMPUTED_VALUE"""),1.0247399510449702)</f>
        <v>1.024739951</v>
      </c>
      <c r="AJ508" s="80">
        <f>IFERROR(__xludf.DUMMYFUNCTION("""COMPUTED_VALUE"""),1.0303262115589977)</f>
        <v>1.030326212</v>
      </c>
      <c r="AK508" s="80">
        <f>IFERROR(__xludf.DUMMYFUNCTION("""COMPUTED_VALUE"""),0.9929204058332582)</f>
        <v>0.9929204058</v>
      </c>
      <c r="AL508" s="80">
        <f>IFERROR(__xludf.DUMMYFUNCTION("""COMPUTED_VALUE"""),1.0439403259014393)</f>
        <v>1.043940326</v>
      </c>
      <c r="AM508" s="80">
        <f>IFERROR(__xludf.DUMMYFUNCTION("""COMPUTED_VALUE"""),1.1142709502093502)</f>
        <v>1.11427095</v>
      </c>
      <c r="AN508" s="80">
        <f>IFERROR(__xludf.DUMMYFUNCTION("""COMPUTED_VALUE"""),0.9217847019578794)</f>
        <v>0.921784702</v>
      </c>
      <c r="AO508" s="80">
        <f>IFERROR(__xludf.DUMMYFUNCTION("""COMPUTED_VALUE"""),0.651548145155396)</f>
        <v>0.6515481452</v>
      </c>
      <c r="AP508" s="80">
        <f>IFERROR(__xludf.DUMMYFUNCTION("""COMPUTED_VALUE"""),1.0029388583933003)</f>
        <v>1.002938858</v>
      </c>
      <c r="AQ508" s="80">
        <f>IFERROR(__xludf.DUMMYFUNCTION("""COMPUTED_VALUE"""),1.1766120836126728)</f>
        <v>1.176612084</v>
      </c>
      <c r="AR508" s="80">
        <f>IFERROR(__xludf.DUMMYFUNCTION("""COMPUTED_VALUE"""),0.86489452993202)</f>
        <v>0.8648945299</v>
      </c>
      <c r="AS508" s="80">
        <f>IFERROR(__xludf.DUMMYFUNCTION("""COMPUTED_VALUE"""),81.0)</f>
        <v>81</v>
      </c>
      <c r="AT508" s="80">
        <f>IFERROR(__xludf.DUMMYFUNCTION("""COMPUTED_VALUE"""),0.4374786670879907)</f>
        <v>0.4374786671</v>
      </c>
      <c r="AU508" s="80">
        <f>IFERROR(__xludf.DUMMYFUNCTION("""COMPUTED_VALUE"""),2.4262291046868603)</f>
        <v>2.426229105</v>
      </c>
      <c r="AV508" s="80">
        <f>IFERROR(__xludf.DUMMYFUNCTION("""COMPUTED_VALUE"""),35.29351930317025)</f>
        <v>35.2935193</v>
      </c>
      <c r="AW508" s="82">
        <f t="shared" si="1"/>
        <v>-3.59480567</v>
      </c>
      <c r="AX508" s="83">
        <f t="array" ref="AX508">IFERROR(DGET('SBV Import'!A:G,"SBV",{"RSC ID","Tier";B508,A508}))</f>
        <v>29.95884208</v>
      </c>
      <c r="AY508" s="82">
        <f t="shared" si="2"/>
        <v>-4.730843649</v>
      </c>
      <c r="AZ508" s="82">
        <v>1.1360379798387</v>
      </c>
      <c r="BA508" s="84">
        <v>450.0</v>
      </c>
      <c r="BB508" s="84" t="b">
        <f>IFERROR(__xludf.DUMMYFUNCTION("iferror(if(A508="""",,E508&gt;=FILTER(Constants!$F$2:$F$10,Constants!$A$2:$A$10=A508)))"),TRUE)</f>
        <v>1</v>
      </c>
    </row>
    <row r="509">
      <c r="A509" s="80" t="str">
        <f>IFERROR(__xludf.DUMMYFUNCTION("""COMPUTED_VALUE"""),"Master")</f>
        <v>Master</v>
      </c>
      <c r="B509" s="80" t="str">
        <f>IFERROR(__xludf.DUMMYFUNCTION("""COMPUTED_VALUE"""),"RSC007174")</f>
        <v>RSC007174</v>
      </c>
      <c r="C509" s="80" t="str">
        <f>IFERROR(__xludf.DUMMYFUNCTION("""COMPUTED_VALUE"""),"LMNS")</f>
        <v>LMNS</v>
      </c>
      <c r="D509" s="80" t="str">
        <f>IFERROR(__xludf.DUMMYFUNCTION("""COMPUTED_VALUE"""),"Spectres")</f>
        <v>Spectres</v>
      </c>
      <c r="E509" s="80">
        <f>IFERROR(__xludf.DUMMYFUNCTION("""COMPUTED_VALUE"""),8.0)</f>
        <v>8</v>
      </c>
      <c r="F509" s="80">
        <f>IFERROR(__xludf.DUMMYFUNCTION("""COMPUTED_VALUE"""),4.0)</f>
        <v>4</v>
      </c>
      <c r="G509" s="80">
        <f>IFERROR(__xludf.DUMMYFUNCTION("""COMPUTED_VALUE"""),4.0)</f>
        <v>4</v>
      </c>
      <c r="H509" s="81">
        <f>IFERROR(__xludf.DUMMYFUNCTION("""COMPUTED_VALUE"""),0.5)</f>
        <v>0.5</v>
      </c>
      <c r="I509" s="81">
        <f>IFERROR(__xludf.DUMMYFUNCTION("""COMPUTED_VALUE"""),0.12)</f>
        <v>0.12</v>
      </c>
      <c r="J509" s="80">
        <f>IFERROR(__xludf.DUMMYFUNCTION("""COMPUTED_VALUE"""),284.25)</f>
        <v>284.25</v>
      </c>
      <c r="K509" s="80">
        <f>IFERROR(__xludf.DUMMYFUNCTION("""COMPUTED_VALUE"""),0.375)</f>
        <v>0.375</v>
      </c>
      <c r="L509" s="80">
        <f>IFERROR(__xludf.DUMMYFUNCTION("""COMPUTED_VALUE"""),0.5)</f>
        <v>0.5</v>
      </c>
      <c r="M509" s="80">
        <f>IFERROR(__xludf.DUMMYFUNCTION("""COMPUTED_VALUE"""),1.0)</f>
        <v>1</v>
      </c>
      <c r="N509" s="80">
        <f>IFERROR(__xludf.DUMMYFUNCTION("""COMPUTED_VALUE"""),3.125)</f>
        <v>3.125</v>
      </c>
      <c r="O509" s="80">
        <f>IFERROR(__xludf.DUMMYFUNCTION("""COMPUTED_VALUE"""),378.8333333333333)</f>
        <v>378.8333333</v>
      </c>
      <c r="P509" s="80">
        <f>IFERROR(__xludf.DUMMYFUNCTION("""COMPUTED_VALUE"""),0.6666666666666666)</f>
        <v>0.6666666667</v>
      </c>
      <c r="Q509" s="80">
        <f>IFERROR(__xludf.DUMMYFUNCTION("""COMPUTED_VALUE"""),0.4583333333333333)</f>
        <v>0.4583333333</v>
      </c>
      <c r="R509" s="80">
        <f>IFERROR(__xludf.DUMMYFUNCTION("""COMPUTED_VALUE"""),1.8333333333333333)</f>
        <v>1.833333333</v>
      </c>
      <c r="S509" s="80">
        <f>IFERROR(__xludf.DUMMYFUNCTION("""COMPUTED_VALUE"""),2.4166666666666665)</f>
        <v>2.416666667</v>
      </c>
      <c r="T509" s="80">
        <f>IFERROR(__xludf.DUMMYFUNCTION("""COMPUTED_VALUE"""),390.8931636627715)</f>
        <v>390.8931637</v>
      </c>
      <c r="U509" s="80">
        <f>IFERROR(__xludf.DUMMYFUNCTION("""COMPUTED_VALUE"""),0.8739212856859918)</f>
        <v>0.8739212857</v>
      </c>
      <c r="V509" s="80">
        <f>IFERROR(__xludf.DUMMYFUNCTION("""COMPUTED_VALUE"""),0.7735478029595676)</f>
        <v>0.773547803</v>
      </c>
      <c r="W509" s="80">
        <f>IFERROR(__xludf.DUMMYFUNCTION("""COMPUTED_VALUE"""),1.5536310820624544)</f>
        <v>1.553631082</v>
      </c>
      <c r="X509" s="80">
        <f>IFERROR(__xludf.DUMMYFUNCTION("""COMPUTED_VALUE"""),2.717283950617284)</f>
        <v>2.717283951</v>
      </c>
      <c r="Y509" s="80">
        <f>IFERROR(__xludf.DUMMYFUNCTION("""COMPUTED_VALUE"""),355.68327470157544)</f>
        <v>355.6832747</v>
      </c>
      <c r="Z509" s="80">
        <f>IFERROR(__xludf.DUMMYFUNCTION("""COMPUTED_VALUE"""),0.7605013722660782)</f>
        <v>0.7605013723</v>
      </c>
      <c r="AA509" s="80">
        <f>IFERROR(__xludf.DUMMYFUNCTION("""COMPUTED_VALUE"""),0.6036911285277299)</f>
        <v>0.6036911285</v>
      </c>
      <c r="AB509" s="80">
        <f>IFERROR(__xludf.DUMMYFUNCTION("""COMPUTED_VALUE"""),1.3535201061344855)</f>
        <v>1.353520106</v>
      </c>
      <c r="AC509" s="80">
        <f>IFERROR(__xludf.DUMMYFUNCTION("""COMPUTED_VALUE"""),2.877735179369166)</f>
        <v>2.877735179</v>
      </c>
      <c r="AD509" s="80">
        <f>IFERROR(__xludf.DUMMYFUNCTION("""COMPUTED_VALUE"""),0.7991660564823881)</f>
        <v>0.7991660565</v>
      </c>
      <c r="AE509" s="80">
        <f>IFERROR(__xludf.DUMMYFUNCTION("""COMPUTED_VALUE"""),0.49309575718792786)</f>
        <v>0.4930957572</v>
      </c>
      <c r="AF509" s="80">
        <f>IFERROR(__xludf.DUMMYFUNCTION("""COMPUTED_VALUE"""),0.8282381111337352)</f>
        <v>0.8282381111</v>
      </c>
      <c r="AG509" s="80">
        <f>IFERROR(__xludf.DUMMYFUNCTION("""COMPUTED_VALUE"""),0.7388142927968003)</f>
        <v>0.7388142928</v>
      </c>
      <c r="AH509" s="80">
        <f>IFERROR(__xludf.DUMMYFUNCTION("""COMPUTED_VALUE"""),1.0859234103275053)</f>
        <v>1.08592341</v>
      </c>
      <c r="AI509" s="80">
        <f>IFERROR(__xludf.DUMMYFUNCTION("""COMPUTED_VALUE"""),0.9691480142133099)</f>
        <v>0.9691480142</v>
      </c>
      <c r="AJ509" s="80">
        <f>IFERROR(__xludf.DUMMYFUNCTION("""COMPUTED_VALUE"""),0.7628452099588822)</f>
        <v>0.76284521</v>
      </c>
      <c r="AK509" s="80">
        <f>IFERROR(__xludf.DUMMYFUNCTION("""COMPUTED_VALUE"""),0.5925080926864061)</f>
        <v>0.5925080927</v>
      </c>
      <c r="AL509" s="80">
        <f>IFERROR(__xludf.DUMMYFUNCTION("""COMPUTED_VALUE"""),1.1800313179236686)</f>
        <v>1.180031318</v>
      </c>
      <c r="AM509" s="80">
        <f>IFERROR(__xludf.DUMMYFUNCTION("""COMPUTED_VALUE"""),0.8893684688777828)</f>
        <v>0.8893684689</v>
      </c>
      <c r="AN509" s="80">
        <f>IFERROR(__xludf.DUMMYFUNCTION("""COMPUTED_VALUE"""),0.7707020880084141)</f>
        <v>0.770702088</v>
      </c>
      <c r="AO509" s="80">
        <f>IFERROR(__xludf.DUMMYFUNCTION("""COMPUTED_VALUE"""),0.488661108866547)</f>
        <v>0.4886611089</v>
      </c>
      <c r="AP509" s="80">
        <f>IFERROR(__xludf.DUMMYFUNCTION("""COMPUTED_VALUE"""),0.7849086717860613)</f>
        <v>0.7849086718</v>
      </c>
      <c r="AQ509" s="80">
        <f>IFERROR(__xludf.DUMMYFUNCTION("""COMPUTED_VALUE"""),0.6831941130654228)</f>
        <v>0.6831941131</v>
      </c>
      <c r="AR509" s="80">
        <f>IFERROR(__xludf.DUMMYFUNCTION("""COMPUTED_VALUE"""),1.1583408883018123)</f>
        <v>1.158340888</v>
      </c>
      <c r="AS509" s="80">
        <f>IFERROR(__xludf.DUMMYFUNCTION("""COMPUTED_VALUE"""),14.0)</f>
        <v>14</v>
      </c>
      <c r="AT509" s="80">
        <f>IFERROR(__xludf.DUMMYFUNCTION("""COMPUTED_VALUE"""),0.4513709968099819)</f>
        <v>0.4513709968</v>
      </c>
      <c r="AU509" s="80">
        <f>IFERROR(__xludf.DUMMYFUNCTION("""COMPUTED_VALUE"""),2.3917714164829746)</f>
        <v>2.391771416</v>
      </c>
      <c r="AV509" s="80">
        <f>IFERROR(__xludf.DUMMYFUNCTION("""COMPUTED_VALUE"""),34.451559288077206)</f>
        <v>34.45155929</v>
      </c>
      <c r="AW509" s="82">
        <f t="shared" si="1"/>
        <v>-3.745438422</v>
      </c>
      <c r="AX509" s="83">
        <f t="array" ref="AX509">IFERROR(DGET('SBV Import'!A:G,"SBV",{"RSC ID","Tier";B509,A509}))</f>
        <v>29.08631994</v>
      </c>
      <c r="AY509" s="82">
        <f t="shared" si="2"/>
        <v>-4.964662357</v>
      </c>
      <c r="AZ509" s="82">
        <v>1.2192239350249925</v>
      </c>
      <c r="BA509" s="84">
        <v>450.0</v>
      </c>
      <c r="BB509" s="84" t="b">
        <f>IFERROR(__xludf.DUMMYFUNCTION("iferror(if(A509="""",,E509&gt;=FILTER(Constants!$F$2:$F$10,Constants!$A$2:$A$10=A509)))"),TRUE)</f>
        <v>1</v>
      </c>
    </row>
    <row r="510">
      <c r="A510" s="80" t="str">
        <f>IFERROR(__xludf.DUMMYFUNCTION("""COMPUTED_VALUE"""),"Master")</f>
        <v>Master</v>
      </c>
      <c r="B510" s="80" t="str">
        <f>IFERROR(__xludf.DUMMYFUNCTION("""COMPUTED_VALUE"""),"RSC002059")</f>
        <v>RSC002059</v>
      </c>
      <c r="C510" s="80" t="str">
        <f>IFERROR(__xludf.DUMMYFUNCTION("""COMPUTED_VALUE"""),"Thermal")</f>
        <v>Thermal</v>
      </c>
      <c r="D510" s="80"/>
      <c r="E510" s="80">
        <f>IFERROR(__xludf.DUMMYFUNCTION("""COMPUTED_VALUE"""),12.0)</f>
        <v>12</v>
      </c>
      <c r="F510" s="80">
        <f>IFERROR(__xludf.DUMMYFUNCTION("""COMPUTED_VALUE"""),5.0)</f>
        <v>5</v>
      </c>
      <c r="G510" s="80">
        <f>IFERROR(__xludf.DUMMYFUNCTION("""COMPUTED_VALUE"""),7.0)</f>
        <v>7</v>
      </c>
      <c r="H510" s="81">
        <f>IFERROR(__xludf.DUMMYFUNCTION("""COMPUTED_VALUE"""),0.4166666666666667)</f>
        <v>0.4166666667</v>
      </c>
      <c r="I510" s="81">
        <f>IFERROR(__xludf.DUMMYFUNCTION("""COMPUTED_VALUE"""),0.21052631578947367)</f>
        <v>0.2105263158</v>
      </c>
      <c r="J510" s="80">
        <f>IFERROR(__xludf.DUMMYFUNCTION("""COMPUTED_VALUE"""),321.1666666666667)</f>
        <v>321.1666667</v>
      </c>
      <c r="K510" s="80">
        <f>IFERROR(__xludf.DUMMYFUNCTION("""COMPUTED_VALUE"""),0.6666666666666666)</f>
        <v>0.6666666667</v>
      </c>
      <c r="L510" s="80">
        <f>IFERROR(__xludf.DUMMYFUNCTION("""COMPUTED_VALUE"""),0.4166666666666667)</f>
        <v>0.4166666667</v>
      </c>
      <c r="M510" s="80">
        <f>IFERROR(__xludf.DUMMYFUNCTION("""COMPUTED_VALUE"""),1.1666666666666667)</f>
        <v>1.166666667</v>
      </c>
      <c r="N510" s="80">
        <f>IFERROR(__xludf.DUMMYFUNCTION("""COMPUTED_VALUE"""),3.1666666666666665)</f>
        <v>3.166666667</v>
      </c>
      <c r="O510" s="80">
        <f>IFERROR(__xludf.DUMMYFUNCTION("""COMPUTED_VALUE"""),441.4166666666667)</f>
        <v>441.4166667</v>
      </c>
      <c r="P510" s="80">
        <f>IFERROR(__xludf.DUMMYFUNCTION("""COMPUTED_VALUE"""),1.1111111111111112)</f>
        <v>1.111111111</v>
      </c>
      <c r="Q510" s="80">
        <f>IFERROR(__xludf.DUMMYFUNCTION("""COMPUTED_VALUE"""),0.9166666666666666)</f>
        <v>0.9166666667</v>
      </c>
      <c r="R510" s="80">
        <f>IFERROR(__xludf.DUMMYFUNCTION("""COMPUTED_VALUE"""),1.777777777777778)</f>
        <v>1.777777778</v>
      </c>
      <c r="S510" s="80">
        <f>IFERROR(__xludf.DUMMYFUNCTION("""COMPUTED_VALUE"""),2.777777777777778)</f>
        <v>2.777777778</v>
      </c>
      <c r="T510" s="80">
        <f>IFERROR(__xludf.DUMMYFUNCTION("""COMPUTED_VALUE"""),397.727932561497)</f>
        <v>397.7279326</v>
      </c>
      <c r="U510" s="80">
        <f>IFERROR(__xludf.DUMMYFUNCTION("""COMPUTED_VALUE"""),0.942320390730561)</f>
        <v>0.9423203907</v>
      </c>
      <c r="V510" s="80">
        <f>IFERROR(__xludf.DUMMYFUNCTION("""COMPUTED_VALUE"""),0.6724540507524016)</f>
        <v>0.6724540508</v>
      </c>
      <c r="W510" s="80">
        <f>IFERROR(__xludf.DUMMYFUNCTION("""COMPUTED_VALUE"""),1.5422301580691136)</f>
        <v>1.542230158</v>
      </c>
      <c r="X510" s="80">
        <f>IFERROR(__xludf.DUMMYFUNCTION("""COMPUTED_VALUE"""),2.865264589927259)</f>
        <v>2.86526459</v>
      </c>
      <c r="Y510" s="80">
        <f>IFERROR(__xludf.DUMMYFUNCTION("""COMPUTED_VALUE"""),379.7433062789593)</f>
        <v>379.7433063</v>
      </c>
      <c r="Z510" s="80">
        <f>IFERROR(__xludf.DUMMYFUNCTION("""COMPUTED_VALUE"""),0.8523224884471344)</f>
        <v>0.8523224884</v>
      </c>
      <c r="AA510" s="80">
        <f>IFERROR(__xludf.DUMMYFUNCTION("""COMPUTED_VALUE"""),0.6317651745115096)</f>
        <v>0.6317651745</v>
      </c>
      <c r="AB510" s="80">
        <f>IFERROR(__xludf.DUMMYFUNCTION("""COMPUTED_VALUE"""),1.4852098642037008)</f>
        <v>1.485209864</v>
      </c>
      <c r="AC510" s="80">
        <f>IFERROR(__xludf.DUMMYFUNCTION("""COMPUTED_VALUE"""),2.848843132446122)</f>
        <v>2.848843132</v>
      </c>
      <c r="AD510" s="80">
        <f>IFERROR(__xludf.DUMMYFUNCTION("""COMPUTED_VALUE"""),0.8457467488070421)</f>
        <v>0.8457467488</v>
      </c>
      <c r="AE510" s="80">
        <f>IFERROR(__xludf.DUMMYFUNCTION("""COMPUTED_VALUE"""),0.7821765537141718)</f>
        <v>0.7821765537</v>
      </c>
      <c r="AF510" s="80">
        <f>IFERROR(__xludf.DUMMYFUNCTION("""COMPUTED_VALUE"""),0.6595277541039511)</f>
        <v>0.6595277541</v>
      </c>
      <c r="AG510" s="80">
        <f>IFERROR(__xludf.DUMMYFUNCTION("""COMPUTED_VALUE"""),0.7855231067241653)</f>
        <v>0.7855231067</v>
      </c>
      <c r="AH510" s="80">
        <f>IFERROR(__xludf.DUMMYFUNCTION("""COMPUTED_VALUE"""),1.1115623147518303)</f>
        <v>1.111562315</v>
      </c>
      <c r="AI510" s="80">
        <f>IFERROR(__xludf.DUMMYFUNCTION("""COMPUTED_VALUE"""),1.1098457778004176)</f>
        <v>1.109845778</v>
      </c>
      <c r="AJ510" s="80">
        <f>IFERROR(__xludf.DUMMYFUNCTION("""COMPUTED_VALUE"""),1.1791224322862104)</f>
        <v>1.179122432</v>
      </c>
      <c r="AK510" s="80">
        <f>IFERROR(__xludf.DUMMYFUNCTION("""COMPUTED_VALUE"""),1.3631662500077413)</f>
        <v>1.36316625</v>
      </c>
      <c r="AL510" s="80">
        <f>IFERROR(__xludf.DUMMYFUNCTION("""COMPUTED_VALUE"""),1.1527318205238395)</f>
        <v>1.152731821</v>
      </c>
      <c r="AM510" s="80">
        <f>IFERROR(__xludf.DUMMYFUNCTION("""COMPUTED_VALUE"""),0.9694664107262423)</f>
        <v>0.9694664107</v>
      </c>
      <c r="AN510" s="80">
        <f>IFERROR(__xludf.DUMMYFUNCTION("""COMPUTED_VALUE"""),0.8707962026339572)</f>
        <v>0.8707962026</v>
      </c>
      <c r="AO510" s="80">
        <f>IFERROR(__xludf.DUMMYFUNCTION("""COMPUTED_VALUE"""),0.8687308602071946)</f>
        <v>0.8687308602</v>
      </c>
      <c r="AP510" s="80">
        <f>IFERROR(__xludf.DUMMYFUNCTION("""COMPUTED_VALUE"""),0.6540905598217177)</f>
        <v>0.6540905598</v>
      </c>
      <c r="AQ510" s="80">
        <f>IFERROR(__xludf.DUMMYFUNCTION("""COMPUTED_VALUE"""),0.7970597985763267)</f>
        <v>0.7970597986</v>
      </c>
      <c r="AR510" s="80">
        <f>IFERROR(__xludf.DUMMYFUNCTION("""COMPUTED_VALUE"""),1.1737854334791697)</f>
        <v>1.173785433</v>
      </c>
      <c r="AS510" s="80">
        <f>IFERROR(__xludf.DUMMYFUNCTION("""COMPUTED_VALUE"""),23.0)</f>
        <v>23</v>
      </c>
      <c r="AT510" s="80">
        <f>IFERROR(__xludf.DUMMYFUNCTION("""COMPUTED_VALUE"""),0.29097307772493375)</f>
        <v>0.2909730777</v>
      </c>
      <c r="AU510" s="80">
        <f>IFERROR(__xludf.DUMMYFUNCTION("""COMPUTED_VALUE"""),2.378553623471746)</f>
        <v>2.378553623</v>
      </c>
      <c r="AV510" s="80">
        <f>IFERROR(__xludf.DUMMYFUNCTION("""COMPUTED_VALUE"""),34.1285877312687)</f>
        <v>34.12858773</v>
      </c>
      <c r="AW510" s="82">
        <f t="shared" si="1"/>
        <v>-3.805739701</v>
      </c>
      <c r="AX510" s="83">
        <f t="array" ref="AX510">IFERROR(DGET('SBV Import'!A:G,"SBV",{"RSC ID","Tier";B510,A510}))</f>
        <v>30.35615844</v>
      </c>
      <c r="AY510" s="82">
        <f t="shared" si="2"/>
        <v>-4.629502979</v>
      </c>
      <c r="AZ510" s="82">
        <v>0.82376327787631</v>
      </c>
      <c r="BA510" s="84">
        <v>450.0</v>
      </c>
      <c r="BB510" s="84" t="b">
        <f>IFERROR(__xludf.DUMMYFUNCTION("iferror(if(A510="""",,E510&gt;=FILTER(Constants!$F$2:$F$10,Constants!$A$2:$A$10=A510)))"),TRUE)</f>
        <v>1</v>
      </c>
    </row>
    <row r="511">
      <c r="A511" s="80" t="str">
        <f>IFERROR(__xludf.DUMMYFUNCTION("""COMPUTED_VALUE"""),"Master")</f>
        <v>Master</v>
      </c>
      <c r="B511" s="80" t="str">
        <f>IFERROR(__xludf.DUMMYFUNCTION("""COMPUTED_VALUE"""),"RSC003801")</f>
        <v>RSC003801</v>
      </c>
      <c r="C511" s="80" t="str">
        <f>IFERROR(__xludf.DUMMYFUNCTION("""COMPUTED_VALUE"""),"veil._")</f>
        <v>veil._</v>
      </c>
      <c r="D511" s="80" t="str">
        <f>IFERROR(__xludf.DUMMYFUNCTION("""COMPUTED_VALUE"""),"Basilisks")</f>
        <v>Basilisks</v>
      </c>
      <c r="E511" s="80">
        <f>IFERROR(__xludf.DUMMYFUNCTION("""COMPUTED_VALUE"""),13.0)</f>
        <v>13</v>
      </c>
      <c r="F511" s="80">
        <f>IFERROR(__xludf.DUMMYFUNCTION("""COMPUTED_VALUE"""),5.0)</f>
        <v>5</v>
      </c>
      <c r="G511" s="80">
        <f>IFERROR(__xludf.DUMMYFUNCTION("""COMPUTED_VALUE"""),8.0)</f>
        <v>8</v>
      </c>
      <c r="H511" s="81">
        <f>IFERROR(__xludf.DUMMYFUNCTION("""COMPUTED_VALUE"""),0.38461538461538464)</f>
        <v>0.3846153846</v>
      </c>
      <c r="I511" s="81">
        <f>IFERROR(__xludf.DUMMYFUNCTION("""COMPUTED_VALUE"""),0.3)</f>
        <v>0.3</v>
      </c>
      <c r="J511" s="80">
        <f>IFERROR(__xludf.DUMMYFUNCTION("""COMPUTED_VALUE"""),335.61538461538464)</f>
        <v>335.6153846</v>
      </c>
      <c r="K511" s="80">
        <f>IFERROR(__xludf.DUMMYFUNCTION("""COMPUTED_VALUE"""),0.46153846153846156)</f>
        <v>0.4615384615</v>
      </c>
      <c r="L511" s="80">
        <f>IFERROR(__xludf.DUMMYFUNCTION("""COMPUTED_VALUE"""),0.7692307692307693)</f>
        <v>0.7692307692</v>
      </c>
      <c r="M511" s="80">
        <f>IFERROR(__xludf.DUMMYFUNCTION("""COMPUTED_VALUE"""),1.7692307692307692)</f>
        <v>1.769230769</v>
      </c>
      <c r="N511" s="80">
        <f>IFERROR(__xludf.DUMMYFUNCTION("""COMPUTED_VALUE"""),1.5384615384615385)</f>
        <v>1.538461538</v>
      </c>
      <c r="O511" s="80">
        <f>IFERROR(__xludf.DUMMYFUNCTION("""COMPUTED_VALUE"""),401.43589743589746)</f>
        <v>401.4358974</v>
      </c>
      <c r="P511" s="80">
        <f>IFERROR(__xludf.DUMMYFUNCTION("""COMPUTED_VALUE"""),0.9230769230769232)</f>
        <v>0.9230769231</v>
      </c>
      <c r="Q511" s="80">
        <f>IFERROR(__xludf.DUMMYFUNCTION("""COMPUTED_VALUE"""),0.7435897435897435)</f>
        <v>0.7435897436</v>
      </c>
      <c r="R511" s="80">
        <f>IFERROR(__xludf.DUMMYFUNCTION("""COMPUTED_VALUE"""),1.3589743589743588)</f>
        <v>1.358974359</v>
      </c>
      <c r="S511" s="80">
        <f>IFERROR(__xludf.DUMMYFUNCTION("""COMPUTED_VALUE"""),3.461538461538461)</f>
        <v>3.461538462</v>
      </c>
      <c r="T511" s="80">
        <f>IFERROR(__xludf.DUMMYFUNCTION("""COMPUTED_VALUE"""),391.58687454520793)</f>
        <v>391.5868745</v>
      </c>
      <c r="U511" s="80">
        <f>IFERROR(__xludf.DUMMYFUNCTION("""COMPUTED_VALUE"""),0.8730109396776065)</f>
        <v>0.8730109397</v>
      </c>
      <c r="V511" s="80">
        <f>IFERROR(__xludf.DUMMYFUNCTION("""COMPUTED_VALUE"""),0.6751239501239502)</f>
        <v>0.6751239501</v>
      </c>
      <c r="W511" s="80">
        <f>IFERROR(__xludf.DUMMYFUNCTION("""COMPUTED_VALUE"""),1.46399449316116)</f>
        <v>1.463994493</v>
      </c>
      <c r="X511" s="80">
        <f>IFERROR(__xludf.DUMMYFUNCTION("""COMPUTED_VALUE"""),2.979785646452313)</f>
        <v>2.979785646</v>
      </c>
      <c r="Y511" s="80">
        <f>IFERROR(__xludf.DUMMYFUNCTION("""COMPUTED_VALUE"""),382.69692591359257)</f>
        <v>382.6969259</v>
      </c>
      <c r="Z511" s="80">
        <f>IFERROR(__xludf.DUMMYFUNCTION("""COMPUTED_VALUE"""),0.787910443465999)</f>
        <v>0.7879104435</v>
      </c>
      <c r="AA511" s="80">
        <f>IFERROR(__xludf.DUMMYFUNCTION("""COMPUTED_VALUE"""),0.5922322533433644)</f>
        <v>0.5922322533</v>
      </c>
      <c r="AB511" s="80">
        <f>IFERROR(__xludf.DUMMYFUNCTION("""COMPUTED_VALUE"""),1.6192678720456497)</f>
        <v>1.619267872</v>
      </c>
      <c r="AC511" s="80">
        <f>IFERROR(__xludf.DUMMYFUNCTION("""COMPUTED_VALUE"""),2.6638585694141246)</f>
        <v>2.663858569</v>
      </c>
      <c r="AD511" s="80">
        <f>IFERROR(__xludf.DUMMYFUNCTION("""COMPUTED_VALUE"""),0.8769743415476552)</f>
        <v>0.8769743415</v>
      </c>
      <c r="AE511" s="80">
        <f>IFERROR(__xludf.DUMMYFUNCTION("""COMPUTED_VALUE"""),0.585775281145107)</f>
        <v>0.5857752811</v>
      </c>
      <c r="AF511" s="80">
        <f>IFERROR(__xludf.DUMMYFUNCTION("""COMPUTED_VALUE"""),1.2988667281935162)</f>
        <v>1.298866728</v>
      </c>
      <c r="AG511" s="80">
        <f>IFERROR(__xludf.DUMMYFUNCTION("""COMPUTED_VALUE"""),1.092611543632783)</f>
        <v>1.092611544</v>
      </c>
      <c r="AH511" s="80">
        <f>IFERROR(__xludf.DUMMYFUNCTION("""COMPUTED_VALUE"""),0.5775312383794835)</f>
        <v>0.5775312384</v>
      </c>
      <c r="AI511" s="80">
        <f>IFERROR(__xludf.DUMMYFUNCTION("""COMPUTED_VALUE"""),1.025151565414771)</f>
        <v>1.025151565</v>
      </c>
      <c r="AJ511" s="80">
        <f>IFERROR(__xludf.DUMMYFUNCTION("""COMPUTED_VALUE"""),1.057348632329631)</f>
        <v>1.057348632</v>
      </c>
      <c r="AK511" s="80">
        <f>IFERROR(__xludf.DUMMYFUNCTION("""COMPUTED_VALUE"""),1.1014121828343124)</f>
        <v>1.101412183</v>
      </c>
      <c r="AL511" s="80">
        <f>IFERROR(__xludf.DUMMYFUNCTION("""COMPUTED_VALUE"""),0.9282646658321547)</f>
        <v>0.9282646658</v>
      </c>
      <c r="AM511" s="80">
        <f>IFERROR(__xludf.DUMMYFUNCTION("""COMPUTED_VALUE"""),1.161673647787288)</f>
        <v>1.161673648</v>
      </c>
      <c r="AN511" s="80">
        <f>IFERROR(__xludf.DUMMYFUNCTION("""COMPUTED_VALUE"""),0.9099717772764254)</f>
        <v>0.9099717773</v>
      </c>
      <c r="AO511" s="80">
        <f>IFERROR(__xludf.DUMMYFUNCTION("""COMPUTED_VALUE"""),0.6014290570665194)</f>
        <v>0.6014290571</v>
      </c>
      <c r="AP511" s="80">
        <f>IFERROR(__xludf.DUMMYFUNCTION("""COMPUTED_VALUE"""),1.2075518027477865)</f>
        <v>1.207551803</v>
      </c>
      <c r="AQ511" s="80">
        <f>IFERROR(__xludf.DUMMYFUNCTION("""COMPUTED_VALUE"""),1.208728046192671)</f>
        <v>1.208728046</v>
      </c>
      <c r="AR511" s="80">
        <f>IFERROR(__xludf.DUMMYFUNCTION("""COMPUTED_VALUE"""),0.5702601296255077)</f>
        <v>0.5702601296</v>
      </c>
      <c r="AS511" s="80">
        <f>IFERROR(__xludf.DUMMYFUNCTION("""COMPUTED_VALUE"""),31.0)</f>
        <v>31</v>
      </c>
      <c r="AT511" s="80">
        <f>IFERROR(__xludf.DUMMYFUNCTION("""COMPUTED_VALUE"""),0.440435446111577)</f>
        <v>0.4404354461</v>
      </c>
      <c r="AU511" s="80">
        <f>IFERROR(__xludf.DUMMYFUNCTION("""COMPUTED_VALUE"""),2.3730234627802025)</f>
        <v>2.373023463</v>
      </c>
      <c r="AV511" s="80">
        <f>IFERROR(__xludf.DUMMYFUNCTION("""COMPUTED_VALUE"""),33.99346043683826)</f>
        <v>33.99346044</v>
      </c>
      <c r="AW511" s="82">
        <f t="shared" si="1"/>
        <v>-3.83139889</v>
      </c>
      <c r="AX511" s="83">
        <f t="array" ref="AX511">IFERROR(DGET('SBV Import'!A:G,"SBV",{"RSC ID","Tier";B511,A511}))</f>
        <v>19.52319923</v>
      </c>
      <c r="AY511" s="82">
        <f t="shared" si="2"/>
        <v>-8.975981663</v>
      </c>
      <c r="AZ511" s="82">
        <v>5.144582773193807</v>
      </c>
      <c r="BA511" s="84">
        <v>450.0</v>
      </c>
      <c r="BB511" s="84" t="b">
        <f>IFERROR(__xludf.DUMMYFUNCTION("iferror(if(A511="""",,E511&gt;=FILTER(Constants!$F$2:$F$10,Constants!$A$2:$A$10=A511)))"),TRUE)</f>
        <v>1</v>
      </c>
    </row>
    <row r="512">
      <c r="A512" s="80" t="str">
        <f>IFERROR(__xludf.DUMMYFUNCTION("""COMPUTED_VALUE"""),"Master")</f>
        <v>Master</v>
      </c>
      <c r="B512" s="80" t="str">
        <f>IFERROR(__xludf.DUMMYFUNCTION("""COMPUTED_VALUE"""),"RSC000021")</f>
        <v>RSC000021</v>
      </c>
      <c r="C512" s="80" t="str">
        <f>IFERROR(__xludf.DUMMYFUNCTION("""COMPUTED_VALUE"""),"TyTy")</f>
        <v>TyTy</v>
      </c>
      <c r="D512" s="80" t="str">
        <f>IFERROR(__xludf.DUMMYFUNCTION("""COMPUTED_VALUE"""),"Andromeda")</f>
        <v>Andromeda</v>
      </c>
      <c r="E512" s="80">
        <f>IFERROR(__xludf.DUMMYFUNCTION("""COMPUTED_VALUE"""),11.0)</f>
        <v>11</v>
      </c>
      <c r="F512" s="80">
        <f>IFERROR(__xludf.DUMMYFUNCTION("""COMPUTED_VALUE"""),4.0)</f>
        <v>4</v>
      </c>
      <c r="G512" s="80">
        <f>IFERROR(__xludf.DUMMYFUNCTION("""COMPUTED_VALUE"""),7.0)</f>
        <v>7</v>
      </c>
      <c r="H512" s="81">
        <f>IFERROR(__xludf.DUMMYFUNCTION("""COMPUTED_VALUE"""),0.36363636363636365)</f>
        <v>0.3636363636</v>
      </c>
      <c r="I512" s="81">
        <f>IFERROR(__xludf.DUMMYFUNCTION("""COMPUTED_VALUE"""),0.23529411764705885)</f>
        <v>0.2352941176</v>
      </c>
      <c r="J512" s="80">
        <f>IFERROR(__xludf.DUMMYFUNCTION("""COMPUTED_VALUE"""),290.72727272727275)</f>
        <v>290.7272727</v>
      </c>
      <c r="K512" s="80">
        <f>IFERROR(__xludf.DUMMYFUNCTION("""COMPUTED_VALUE"""),0.36363636363636365)</f>
        <v>0.3636363636</v>
      </c>
      <c r="L512" s="80">
        <f>IFERROR(__xludf.DUMMYFUNCTION("""COMPUTED_VALUE"""),0.9090909090909091)</f>
        <v>0.9090909091</v>
      </c>
      <c r="M512" s="80">
        <f>IFERROR(__xludf.DUMMYFUNCTION("""COMPUTED_VALUE"""),1.0909090909090908)</f>
        <v>1.090909091</v>
      </c>
      <c r="N512" s="80">
        <f>IFERROR(__xludf.DUMMYFUNCTION("""COMPUTED_VALUE"""),1.5454545454545454)</f>
        <v>1.545454545</v>
      </c>
      <c r="O512" s="80">
        <f>IFERROR(__xludf.DUMMYFUNCTION("""COMPUTED_VALUE"""),355.8484848484849)</f>
        <v>355.8484848</v>
      </c>
      <c r="P512" s="80">
        <f>IFERROR(__xludf.DUMMYFUNCTION("""COMPUTED_VALUE"""),0.9090909090909091)</f>
        <v>0.9090909091</v>
      </c>
      <c r="Q512" s="80">
        <f>IFERROR(__xludf.DUMMYFUNCTION("""COMPUTED_VALUE"""),0.6969696969696969)</f>
        <v>0.696969697</v>
      </c>
      <c r="R512" s="80">
        <f>IFERROR(__xludf.DUMMYFUNCTION("""COMPUTED_VALUE"""),0.9696969696969696)</f>
        <v>0.9696969697</v>
      </c>
      <c r="S512" s="80">
        <f>IFERROR(__xludf.DUMMYFUNCTION("""COMPUTED_VALUE"""),3.03030303030303)</f>
        <v>3.03030303</v>
      </c>
      <c r="T512" s="80">
        <f>IFERROR(__xludf.DUMMYFUNCTION("""COMPUTED_VALUE"""),374.167801450214)</f>
        <v>374.1678015</v>
      </c>
      <c r="U512" s="80">
        <f>IFERROR(__xludf.DUMMYFUNCTION("""COMPUTED_VALUE"""),0.7998241734657617)</f>
        <v>0.7998241735</v>
      </c>
      <c r="V512" s="80">
        <f>IFERROR(__xludf.DUMMYFUNCTION("""COMPUTED_VALUE"""),0.6407151985848432)</f>
        <v>0.6407151986</v>
      </c>
      <c r="W512" s="80">
        <f>IFERROR(__xludf.DUMMYFUNCTION("""COMPUTED_VALUE"""),1.4994627225883754)</f>
        <v>1.499462723</v>
      </c>
      <c r="X512" s="80">
        <f>IFERROR(__xludf.DUMMYFUNCTION("""COMPUTED_VALUE"""),2.779745255711818)</f>
        <v>2.779745256</v>
      </c>
      <c r="Y512" s="80">
        <f>IFERROR(__xludf.DUMMYFUNCTION("""COMPUTED_VALUE"""),375.9898499401221)</f>
        <v>375.9898499</v>
      </c>
      <c r="Z512" s="80">
        <f>IFERROR(__xludf.DUMMYFUNCTION("""COMPUTED_VALUE"""),0.8246350151261331)</f>
        <v>0.8246350151</v>
      </c>
      <c r="AA512" s="80">
        <f>IFERROR(__xludf.DUMMYFUNCTION("""COMPUTED_VALUE"""),0.6235523022683419)</f>
        <v>0.6235523023</v>
      </c>
      <c r="AB512" s="80">
        <f>IFERROR(__xludf.DUMMYFUNCTION("""COMPUTED_VALUE"""),1.4937073470184752)</f>
        <v>1.493707347</v>
      </c>
      <c r="AC512" s="80">
        <f>IFERROR(__xludf.DUMMYFUNCTION("""COMPUTED_VALUE"""),2.8117941043598482)</f>
        <v>2.811794104</v>
      </c>
      <c r="AD512" s="80">
        <f>IFERROR(__xludf.DUMMYFUNCTION("""COMPUTED_VALUE"""),0.7732317049877071)</f>
        <v>0.773231705</v>
      </c>
      <c r="AE512" s="80">
        <f>IFERROR(__xludf.DUMMYFUNCTION("""COMPUTED_VALUE"""),0.4409664360186587)</f>
        <v>0.440966436</v>
      </c>
      <c r="AF512" s="80">
        <f>IFERROR(__xludf.DUMMYFUNCTION("""COMPUTED_VALUE"""),1.4579224642164619)</f>
        <v>1.457922464</v>
      </c>
      <c r="AG512" s="80">
        <f>IFERROR(__xludf.DUMMYFUNCTION("""COMPUTED_VALUE"""),0.7303365636425417)</f>
        <v>0.7303365636</v>
      </c>
      <c r="AH512" s="80">
        <f>IFERROR(__xludf.DUMMYFUNCTION("""COMPUTED_VALUE"""),0.5496328991721796)</f>
        <v>0.5496328992</v>
      </c>
      <c r="AI512" s="80">
        <f>IFERROR(__xludf.DUMMYFUNCTION("""COMPUTED_VALUE"""),0.9510398368573502)</f>
        <v>0.9510398369</v>
      </c>
      <c r="AJ512" s="80">
        <f>IFERROR(__xludf.DUMMYFUNCTION("""COMPUTED_VALUE"""),1.1366134448671108)</f>
        <v>1.136613445</v>
      </c>
      <c r="AK512" s="80">
        <f>IFERROR(__xludf.DUMMYFUNCTION("""COMPUTED_VALUE"""),1.0877995379368304)</f>
        <v>1.087799538</v>
      </c>
      <c r="AL512" s="80">
        <f>IFERROR(__xludf.DUMMYFUNCTION("""COMPUTED_VALUE"""),0.6466962833347913)</f>
        <v>0.6466962833</v>
      </c>
      <c r="AM512" s="80">
        <f>IFERROR(__xludf.DUMMYFUNCTION("""COMPUTED_VALUE"""),1.0901369555632359)</f>
        <v>1.090136956</v>
      </c>
      <c r="AN512" s="80">
        <f>IFERROR(__xludf.DUMMYFUNCTION("""COMPUTED_VALUE"""),0.7882642607982436)</f>
        <v>0.7882642608</v>
      </c>
      <c r="AO512" s="80">
        <f>IFERROR(__xludf.DUMMYFUNCTION("""COMPUTED_VALUE"""),0.47385319647665164)</f>
        <v>0.4738531965</v>
      </c>
      <c r="AP512" s="80">
        <f>IFERROR(__xludf.DUMMYFUNCTION("""COMPUTED_VALUE"""),1.4271066759746567)</f>
        <v>1.427106676</v>
      </c>
      <c r="AQ512" s="80">
        <f>IFERROR(__xludf.DUMMYFUNCTION("""COMPUTED_VALUE"""),0.745302668798643)</f>
        <v>0.7453026688</v>
      </c>
      <c r="AR512" s="80">
        <f>IFERROR(__xludf.DUMMYFUNCTION("""COMPUTED_VALUE"""),0.5728522211238054)</f>
        <v>0.5728522211</v>
      </c>
      <c r="AS512" s="80">
        <f>IFERROR(__xludf.DUMMYFUNCTION("""COMPUTED_VALUE"""),23.0)</f>
        <v>23</v>
      </c>
      <c r="AT512" s="80">
        <f>IFERROR(__xludf.DUMMYFUNCTION("""COMPUTED_VALUE"""),0.39717778100809875)</f>
        <v>0.397177781</v>
      </c>
      <c r="AU512" s="80">
        <f>IFERROR(__xludf.DUMMYFUNCTION("""COMPUTED_VALUE"""),2.292837978508779)</f>
        <v>2.292837979</v>
      </c>
      <c r="AV512" s="80">
        <f>IFERROR(__xludf.DUMMYFUNCTION("""COMPUTED_VALUE"""),32.03415976791533)</f>
        <v>32.03415977</v>
      </c>
      <c r="AW512" s="82">
        <f t="shared" si="1"/>
        <v>-4.233998718</v>
      </c>
      <c r="AX512" s="83">
        <f t="array" ref="AX512">IFERROR(DGET('SBV Import'!A:G,"SBV",{"RSC ID","Tier";B512,A512}))</f>
        <v>32.61010049</v>
      </c>
      <c r="AY512" s="82">
        <f t="shared" si="2"/>
        <v>-4.109460542</v>
      </c>
      <c r="AZ512" s="82">
        <v>0.12453817593454808</v>
      </c>
      <c r="BA512" s="84">
        <v>450.0</v>
      </c>
      <c r="BB512" s="84" t="b">
        <f>IFERROR(__xludf.DUMMYFUNCTION("iferror(if(A512="""",,E512&gt;=FILTER(Constants!$F$2:$F$10,Constants!$A$2:$A$10=A512)))"),TRUE)</f>
        <v>1</v>
      </c>
    </row>
    <row r="513">
      <c r="A513" s="80" t="str">
        <f>IFERROR(__xludf.DUMMYFUNCTION("""COMPUTED_VALUE"""),"Master")</f>
        <v>Master</v>
      </c>
      <c r="B513" s="80" t="str">
        <f>IFERROR(__xludf.DUMMYFUNCTION("""COMPUTED_VALUE"""),"RSC005524")</f>
        <v>RSC005524</v>
      </c>
      <c r="C513" s="80" t="str">
        <f>IFERROR(__xludf.DUMMYFUNCTION("""COMPUTED_VALUE"""),"RaunchyRomanian")</f>
        <v>RaunchyRomanian</v>
      </c>
      <c r="D513" s="80" t="str">
        <f>IFERROR(__xludf.DUMMYFUNCTION("""COMPUTED_VALUE"""),"Heinous Henchmen")</f>
        <v>Heinous Henchmen</v>
      </c>
      <c r="E513" s="80">
        <f>IFERROR(__xludf.DUMMYFUNCTION("""COMPUTED_VALUE"""),4.0)</f>
        <v>4</v>
      </c>
      <c r="F513" s="80">
        <f>IFERROR(__xludf.DUMMYFUNCTION("""COMPUTED_VALUE"""),1.0)</f>
        <v>1</v>
      </c>
      <c r="G513" s="80">
        <f>IFERROR(__xludf.DUMMYFUNCTION("""COMPUTED_VALUE"""),3.0)</f>
        <v>3</v>
      </c>
      <c r="H513" s="81">
        <f>IFERROR(__xludf.DUMMYFUNCTION("""COMPUTED_VALUE"""),0.25)</f>
        <v>0.25</v>
      </c>
      <c r="I513" s="81">
        <f>IFERROR(__xludf.DUMMYFUNCTION("""COMPUTED_VALUE"""),0.14285714285714285)</f>
        <v>0.1428571429</v>
      </c>
      <c r="J513" s="80">
        <f>IFERROR(__xludf.DUMMYFUNCTION("""COMPUTED_VALUE"""),269.5)</f>
        <v>269.5</v>
      </c>
      <c r="K513" s="80">
        <f>IFERROR(__xludf.DUMMYFUNCTION("""COMPUTED_VALUE"""),0.25)</f>
        <v>0.25</v>
      </c>
      <c r="L513" s="80">
        <f>IFERROR(__xludf.DUMMYFUNCTION("""COMPUTED_VALUE"""),0.75)</f>
        <v>0.75</v>
      </c>
      <c r="M513" s="80">
        <f>IFERROR(__xludf.DUMMYFUNCTION("""COMPUTED_VALUE"""),1.0)</f>
        <v>1</v>
      </c>
      <c r="N513" s="80">
        <f>IFERROR(__xludf.DUMMYFUNCTION("""COMPUTED_VALUE"""),1.75)</f>
        <v>1.75</v>
      </c>
      <c r="O513" s="80">
        <f>IFERROR(__xludf.DUMMYFUNCTION("""COMPUTED_VALUE"""),391.0833333333333)</f>
        <v>391.0833333</v>
      </c>
      <c r="P513" s="80">
        <f>IFERROR(__xludf.DUMMYFUNCTION("""COMPUTED_VALUE"""),1.0833333333333333)</f>
        <v>1.083333333</v>
      </c>
      <c r="Q513" s="80">
        <f>IFERROR(__xludf.DUMMYFUNCTION("""COMPUTED_VALUE"""),0.5833333333333334)</f>
        <v>0.5833333333</v>
      </c>
      <c r="R513" s="80">
        <f>IFERROR(__xludf.DUMMYFUNCTION("""COMPUTED_VALUE"""),1.4166666666666667)</f>
        <v>1.416666667</v>
      </c>
      <c r="S513" s="80">
        <f>IFERROR(__xludf.DUMMYFUNCTION("""COMPUTED_VALUE"""),2.9166666666666665)</f>
        <v>2.916666667</v>
      </c>
      <c r="T513" s="80">
        <f>IFERROR(__xludf.DUMMYFUNCTION("""COMPUTED_VALUE"""),397.9583333333333)</f>
        <v>397.9583333</v>
      </c>
      <c r="U513" s="80">
        <f>IFERROR(__xludf.DUMMYFUNCTION("""COMPUTED_VALUE"""),1.0636574074074074)</f>
        <v>1.063657407</v>
      </c>
      <c r="V513" s="80">
        <f>IFERROR(__xludf.DUMMYFUNCTION("""COMPUTED_VALUE"""),0.8032407407407408)</f>
        <v>0.8032407407</v>
      </c>
      <c r="W513" s="80">
        <f>IFERROR(__xludf.DUMMYFUNCTION("""COMPUTED_VALUE"""),1.3449074074074074)</f>
        <v>1.344907407</v>
      </c>
      <c r="X513" s="80">
        <f>IFERROR(__xludf.DUMMYFUNCTION("""COMPUTED_VALUE"""),2.7754629629629632)</f>
        <v>2.775462963</v>
      </c>
      <c r="Y513" s="80">
        <f>IFERROR(__xludf.DUMMYFUNCTION("""COMPUTED_VALUE"""),336.14274691358025)</f>
        <v>336.1427469</v>
      </c>
      <c r="Z513" s="80">
        <f>IFERROR(__xludf.DUMMYFUNCTION("""COMPUTED_VALUE"""),0.6886574074074074)</f>
        <v>0.6886574074</v>
      </c>
      <c r="AA513" s="80">
        <f>IFERROR(__xludf.DUMMYFUNCTION("""COMPUTED_VALUE"""),0.46412037037037046)</f>
        <v>0.4641203704</v>
      </c>
      <c r="AB513" s="80">
        <f>IFERROR(__xludf.DUMMYFUNCTION("""COMPUTED_VALUE"""),1.334104938271605)</f>
        <v>1.334104938</v>
      </c>
      <c r="AC513" s="80">
        <f>IFERROR(__xludf.DUMMYFUNCTION("""COMPUTED_VALUE"""),2.4116512345679015)</f>
        <v>2.411651235</v>
      </c>
      <c r="AD513" s="80">
        <f>IFERROR(__xludf.DUMMYFUNCTION("""COMPUTED_VALUE"""),0.8017427193491888)</f>
        <v>0.8017427193</v>
      </c>
      <c r="AE513" s="80">
        <f>IFERROR(__xludf.DUMMYFUNCTION("""COMPUTED_VALUE"""),0.3630252100840336)</f>
        <v>0.3630252101</v>
      </c>
      <c r="AF513" s="80">
        <f>IFERROR(__xludf.DUMMYFUNCTION("""COMPUTED_VALUE"""),1.6159600997506232)</f>
        <v>1.6159601</v>
      </c>
      <c r="AG513" s="80">
        <f>IFERROR(__xludf.DUMMYFUNCTION("""COMPUTED_VALUE"""),0.7495662232504338)</f>
        <v>0.7495662233</v>
      </c>
      <c r="AH513" s="80">
        <f>IFERROR(__xludf.DUMMYFUNCTION("""COMPUTED_VALUE"""),0.7256438969764837)</f>
        <v>0.725643897</v>
      </c>
      <c r="AI513" s="80">
        <f>IFERROR(__xludf.DUMMYFUNCTION("""COMPUTED_VALUE"""),0.9827243220605172)</f>
        <v>0.9827243221</v>
      </c>
      <c r="AJ513" s="80">
        <f>IFERROR(__xludf.DUMMYFUNCTION("""COMPUTED_VALUE"""),1.018498367791077)</f>
        <v>1.018498368</v>
      </c>
      <c r="AK513" s="80">
        <f>IFERROR(__xludf.DUMMYFUNCTION("""COMPUTED_VALUE"""),0.7262247838616714)</f>
        <v>0.7262247839</v>
      </c>
      <c r="AL513" s="80">
        <f>IFERROR(__xludf.DUMMYFUNCTION("""COMPUTED_VALUE"""),1.0533562822719449)</f>
        <v>1.053356282</v>
      </c>
      <c r="AM513" s="80">
        <f>IFERROR(__xludf.DUMMYFUNCTION("""COMPUTED_VALUE"""),1.0508757297748121)</f>
        <v>1.05087573</v>
      </c>
      <c r="AN513" s="80">
        <f>IFERROR(__xludf.DUMMYFUNCTION("""COMPUTED_VALUE"""),0.7307096313747321)</f>
        <v>0.7307096314</v>
      </c>
      <c r="AO513" s="80">
        <f>IFERROR(__xludf.DUMMYFUNCTION("""COMPUTED_VALUE"""),0.325774072577698)</f>
        <v>0.3257740726</v>
      </c>
      <c r="AP513" s="80">
        <f>IFERROR(__xludf.DUMMYFUNCTION("""COMPUTED_VALUE"""),1.1773630076790917)</f>
        <v>1.177363008</v>
      </c>
      <c r="AQ513" s="80">
        <f>IFERROR(__xludf.DUMMYFUNCTION("""COMPUTED_VALUE"""),0.6831941130654228)</f>
        <v>0.6831941131</v>
      </c>
      <c r="AR513" s="80">
        <f>IFERROR(__xludf.DUMMYFUNCTION("""COMPUTED_VALUE"""),0.648670897449015)</f>
        <v>0.6486708974</v>
      </c>
      <c r="AS513" s="80">
        <f>IFERROR(__xludf.DUMMYFUNCTION("""COMPUTED_VALUE"""),8.0)</f>
        <v>8</v>
      </c>
      <c r="AT513" s="80">
        <f>IFERROR(__xludf.DUMMYFUNCTION("""COMPUTED_VALUE"""),0.31401492300692596)</f>
        <v>0.314014923</v>
      </c>
      <c r="AU513" s="80">
        <f>IFERROR(__xludf.DUMMYFUNCTION("""COMPUTED_VALUE"""),2.2732769606256484)</f>
        <v>2.273276961</v>
      </c>
      <c r="AV513" s="80">
        <f>IFERROR(__xludf.DUMMYFUNCTION("""COMPUTED_VALUE"""),31.556194014244756)</f>
        <v>31.55619401</v>
      </c>
      <c r="AW513" s="82">
        <f t="shared" si="1"/>
        <v>-4.341549518</v>
      </c>
      <c r="AX513" s="83">
        <f t="array" ref="AX513">IFERROR(DGET('SBV Import'!A:G,"SBV",{"RSC ID","Tier";B513,A513}))</f>
        <v>17.68608636</v>
      </c>
      <c r="AY513" s="82">
        <f t="shared" si="2"/>
        <v>-10.19552587</v>
      </c>
      <c r="AZ513" s="82">
        <v>5.85397635138699</v>
      </c>
      <c r="BA513" s="84">
        <v>450.0</v>
      </c>
      <c r="BB513" s="84" t="b">
        <f>IFERROR(__xludf.DUMMYFUNCTION("iferror(if(A513="""",,E513&gt;=FILTER(Constants!$F$2:$F$10,Constants!$A$2:$A$10=A513)))"),TRUE)</f>
        <v>1</v>
      </c>
    </row>
    <row r="514">
      <c r="A514" s="80" t="str">
        <f>IFERROR(__xludf.DUMMYFUNCTION("""COMPUTED_VALUE"""),"Master")</f>
        <v>Master</v>
      </c>
      <c r="B514" s="80" t="str">
        <f>IFERROR(__xludf.DUMMYFUNCTION("""COMPUTED_VALUE"""),"RSC007878")</f>
        <v>RSC007878</v>
      </c>
      <c r="C514" s="80" t="str">
        <f>IFERROR(__xludf.DUMMYFUNCTION("""COMPUTED_VALUE"""),"oneam")</f>
        <v>oneam</v>
      </c>
      <c r="D514" s="80" t="str">
        <f>IFERROR(__xludf.DUMMYFUNCTION("""COMPUTED_VALUE"""),"Hard Hats")</f>
        <v>Hard Hats</v>
      </c>
      <c r="E514" s="80">
        <f>IFERROR(__xludf.DUMMYFUNCTION("""COMPUTED_VALUE"""),22.0)</f>
        <v>22</v>
      </c>
      <c r="F514" s="80">
        <f>IFERROR(__xludf.DUMMYFUNCTION("""COMPUTED_VALUE"""),5.0)</f>
        <v>5</v>
      </c>
      <c r="G514" s="80">
        <f>IFERROR(__xludf.DUMMYFUNCTION("""COMPUTED_VALUE"""),17.0)</f>
        <v>17</v>
      </c>
      <c r="H514" s="81">
        <f>IFERROR(__xludf.DUMMYFUNCTION("""COMPUTED_VALUE"""),0.22727272727272727)</f>
        <v>0.2272727273</v>
      </c>
      <c r="I514" s="81">
        <f>IFERROR(__xludf.DUMMYFUNCTION("""COMPUTED_VALUE"""),0.3111111111111111)</f>
        <v>0.3111111111</v>
      </c>
      <c r="J514" s="80">
        <f>IFERROR(__xludf.DUMMYFUNCTION("""COMPUTED_VALUE"""),333.72727272727275)</f>
        <v>333.7272727</v>
      </c>
      <c r="K514" s="80">
        <f>IFERROR(__xludf.DUMMYFUNCTION("""COMPUTED_VALUE"""),0.6363636363636364)</f>
        <v>0.6363636364</v>
      </c>
      <c r="L514" s="80">
        <f>IFERROR(__xludf.DUMMYFUNCTION("""COMPUTED_VALUE"""),0.3181818181818182)</f>
        <v>0.3181818182</v>
      </c>
      <c r="M514" s="80">
        <f>IFERROR(__xludf.DUMMYFUNCTION("""COMPUTED_VALUE"""),1.5909090909090908)</f>
        <v>1.590909091</v>
      </c>
      <c r="N514" s="80">
        <f>IFERROR(__xludf.DUMMYFUNCTION("""COMPUTED_VALUE"""),2.0454545454545454)</f>
        <v>2.045454545</v>
      </c>
      <c r="O514" s="80">
        <f>IFERROR(__xludf.DUMMYFUNCTION("""COMPUTED_VALUE"""),395.54545454545456)</f>
        <v>395.5454545</v>
      </c>
      <c r="P514" s="80">
        <f>IFERROR(__xludf.DUMMYFUNCTION("""COMPUTED_VALUE"""),0.9848484848484849)</f>
        <v>0.9848484848</v>
      </c>
      <c r="Q514" s="80">
        <f>IFERROR(__xludf.DUMMYFUNCTION("""COMPUTED_VALUE"""),0.7272727272727274)</f>
        <v>0.7272727273</v>
      </c>
      <c r="R514" s="80">
        <f>IFERROR(__xludf.DUMMYFUNCTION("""COMPUTED_VALUE"""),1.3939393939393943)</f>
        <v>1.393939394</v>
      </c>
      <c r="S514" s="80">
        <f>IFERROR(__xludf.DUMMYFUNCTION("""COMPUTED_VALUE"""),2.939393939393939)</f>
        <v>2.939393939</v>
      </c>
      <c r="T514" s="80">
        <f>IFERROR(__xludf.DUMMYFUNCTION("""COMPUTED_VALUE"""),393.84247133835544)</f>
        <v>393.8424713</v>
      </c>
      <c r="U514" s="80">
        <f>IFERROR(__xludf.DUMMYFUNCTION("""COMPUTED_VALUE"""),0.9295990924815297)</f>
        <v>0.9295990925</v>
      </c>
      <c r="V514" s="80">
        <f>IFERROR(__xludf.DUMMYFUNCTION("""COMPUTED_VALUE"""),0.7130671939622245)</f>
        <v>0.713067194</v>
      </c>
      <c r="W514" s="80">
        <f>IFERROR(__xludf.DUMMYFUNCTION("""COMPUTED_VALUE"""),1.4277992280739074)</f>
        <v>1.427799228</v>
      </c>
      <c r="X514" s="80">
        <f>IFERROR(__xludf.DUMMYFUNCTION("""COMPUTED_VALUE"""),2.8788136219889098)</f>
        <v>2.878813622</v>
      </c>
      <c r="Y514" s="80">
        <f>IFERROR(__xludf.DUMMYFUNCTION("""COMPUTED_VALUE"""),365.4202703143836)</f>
        <v>365.4202703</v>
      </c>
      <c r="Z514" s="80">
        <f>IFERROR(__xludf.DUMMYFUNCTION("""COMPUTED_VALUE"""),0.7765885316644556)</f>
        <v>0.7765885317</v>
      </c>
      <c r="AA514" s="80">
        <f>IFERROR(__xludf.DUMMYFUNCTION("""COMPUTED_VALUE"""),0.574279716482359)</f>
        <v>0.5742797165</v>
      </c>
      <c r="AB514" s="80">
        <f>IFERROR(__xludf.DUMMYFUNCTION("""COMPUTED_VALUE"""),1.456528984615248)</f>
        <v>1.456528985</v>
      </c>
      <c r="AC514" s="80">
        <f>IFERROR(__xludf.DUMMYFUNCTION("""COMPUTED_VALUE"""),2.614130710674688)</f>
        <v>2.614130711</v>
      </c>
      <c r="AD514" s="80">
        <f>IFERROR(__xludf.DUMMYFUNCTION("""COMPUTED_VALUE"""),0.913269733066958)</f>
        <v>0.9132697331</v>
      </c>
      <c r="AE514" s="80">
        <f>IFERROR(__xludf.DUMMYFUNCTION("""COMPUTED_VALUE"""),0.8194347590991635)</f>
        <v>0.8194347591</v>
      </c>
      <c r="AF514" s="80">
        <f>IFERROR(__xludf.DUMMYFUNCTION("""COMPUTED_VALUE"""),0.5540537286094315)</f>
        <v>0.5540537286</v>
      </c>
      <c r="AG514" s="80">
        <f>IFERROR(__xludf.DUMMYFUNCTION("""COMPUTED_VALUE"""),1.092260509549242)</f>
        <v>1.09226051</v>
      </c>
      <c r="AH514" s="80">
        <f>IFERROR(__xludf.DUMMYFUNCTION("""COMPUTED_VALUE"""),0.7824606998808521)</f>
        <v>0.7824606999</v>
      </c>
      <c r="AI514" s="80">
        <f>IFERROR(__xludf.DUMMYFUNCTION("""COMPUTED_VALUE"""),1.0043240212293816)</f>
        <v>1.004324021</v>
      </c>
      <c r="AJ514" s="80">
        <f>IFERROR(__xludf.DUMMYFUNCTION("""COMPUTED_VALUE"""),1.0594335696041495)</f>
        <v>1.05943357</v>
      </c>
      <c r="AK514" s="80">
        <f>IFERROR(__xludf.DUMMYFUNCTION("""COMPUTED_VALUE"""),1.0199217316836138)</f>
        <v>1.019921732</v>
      </c>
      <c r="AL514" s="80">
        <f>IFERROR(__xludf.DUMMYFUNCTION("""COMPUTED_VALUE"""),0.9762852973522126)</f>
        <v>0.9762852974</v>
      </c>
      <c r="AM514" s="80">
        <f>IFERROR(__xludf.DUMMYFUNCTION("""COMPUTED_VALUE"""),1.0210435010249728)</f>
        <v>1.021043501</v>
      </c>
      <c r="AN514" s="80">
        <f>IFERROR(__xludf.DUMMYFUNCTION("""COMPUTED_VALUE"""),0.9048524394591472)</f>
        <v>0.9048524395</v>
      </c>
      <c r="AO514" s="80">
        <f>IFERROR(__xludf.DUMMYFUNCTION("""COMPUTED_VALUE"""),0.8292430938341404)</f>
        <v>0.8292430938</v>
      </c>
      <c r="AP514" s="80">
        <f>IFERROR(__xludf.DUMMYFUNCTION("""COMPUTED_VALUE"""),0.49948733659112987)</f>
        <v>0.4994873366</v>
      </c>
      <c r="AQ514" s="80">
        <f>IFERROR(__xludf.DUMMYFUNCTION("""COMPUTED_VALUE"""),1.0868997253313544)</f>
        <v>1.086899725</v>
      </c>
      <c r="AR514" s="80">
        <f>IFERROR(__xludf.DUMMYFUNCTION("""COMPUTED_VALUE"""),0.7581867632520953)</f>
        <v>0.7581867633</v>
      </c>
      <c r="AS514" s="80">
        <f>IFERROR(__xludf.DUMMYFUNCTION("""COMPUTED_VALUE"""),41.0)</f>
        <v>41</v>
      </c>
      <c r="AT514" s="80">
        <f>IFERROR(__xludf.DUMMYFUNCTION("""COMPUTED_VALUE"""),0.3265949729788528)</f>
        <v>0.326594973</v>
      </c>
      <c r="AU514" s="80">
        <f>IFERROR(__xludf.DUMMYFUNCTION("""COMPUTED_VALUE"""),2.1189498421986284)</f>
        <v>2.118949842</v>
      </c>
      <c r="AV514" s="80">
        <f>IFERROR(__xludf.DUMMYFUNCTION("""COMPUTED_VALUE"""),27.785271769222312)</f>
        <v>27.78527177</v>
      </c>
      <c r="AW514" s="82">
        <f t="shared" si="1"/>
        <v>-5.344393584</v>
      </c>
      <c r="AX514" s="83">
        <f t="array" ref="AX514">IFERROR(DGET('SBV Import'!A:G,"SBV",{"RSC ID","Tier";B514,A514}))</f>
        <v>26.53999866</v>
      </c>
      <c r="AY514" s="82">
        <f t="shared" si="2"/>
        <v>-5.746484772</v>
      </c>
      <c r="AZ514" s="82">
        <v>0.4020911874657136</v>
      </c>
      <c r="BA514" s="84">
        <v>450.0</v>
      </c>
      <c r="BB514" s="84" t="b">
        <f>IFERROR(__xludf.DUMMYFUNCTION("iferror(if(A514="""",,E514&gt;=FILTER(Constants!$F$2:$F$10,Constants!$A$2:$A$10=A514)))"),TRUE)</f>
        <v>1</v>
      </c>
    </row>
    <row r="515">
      <c r="A515" s="80" t="str">
        <f>IFERROR(__xludf.DUMMYFUNCTION("""COMPUTED_VALUE"""),"Master")</f>
        <v>Master</v>
      </c>
      <c r="B515" s="80" t="str">
        <f>IFERROR(__xludf.DUMMYFUNCTION("""COMPUTED_VALUE"""),"RSC006087")</f>
        <v>RSC006087</v>
      </c>
      <c r="C515" s="80" t="str">
        <f>IFERROR(__xludf.DUMMYFUNCTION("""COMPUTED_VALUE"""),"DoorTK")</f>
        <v>DoorTK</v>
      </c>
      <c r="D515" s="80" t="str">
        <f>IFERROR(__xludf.DUMMYFUNCTION("""COMPUTED_VALUE"""),"Lemurs")</f>
        <v>Lemurs</v>
      </c>
      <c r="E515" s="80">
        <f>IFERROR(__xludf.DUMMYFUNCTION("""COMPUTED_VALUE"""),17.0)</f>
        <v>17</v>
      </c>
      <c r="F515" s="80">
        <f>IFERROR(__xludf.DUMMYFUNCTION("""COMPUTED_VALUE"""),7.0)</f>
        <v>7</v>
      </c>
      <c r="G515" s="80">
        <f>IFERROR(__xludf.DUMMYFUNCTION("""COMPUTED_VALUE"""),10.0)</f>
        <v>10</v>
      </c>
      <c r="H515" s="81">
        <f>IFERROR(__xludf.DUMMYFUNCTION("""COMPUTED_VALUE"""),0.4117647058823529)</f>
        <v>0.4117647059</v>
      </c>
      <c r="I515" s="81">
        <f>IFERROR(__xludf.DUMMYFUNCTION("""COMPUTED_VALUE"""),0.2)</f>
        <v>0.2</v>
      </c>
      <c r="J515" s="80">
        <f>IFERROR(__xludf.DUMMYFUNCTION("""COMPUTED_VALUE"""),291.70588235294116)</f>
        <v>291.7058824</v>
      </c>
      <c r="K515" s="80">
        <f>IFERROR(__xludf.DUMMYFUNCTION("""COMPUTED_VALUE"""),0.4117647058823529)</f>
        <v>0.4117647059</v>
      </c>
      <c r="L515" s="80">
        <f>IFERROR(__xludf.DUMMYFUNCTION("""COMPUTED_VALUE"""),0.5882352941176471)</f>
        <v>0.5882352941</v>
      </c>
      <c r="M515" s="80">
        <f>IFERROR(__xludf.DUMMYFUNCTION("""COMPUTED_VALUE"""),1.3529411764705883)</f>
        <v>1.352941176</v>
      </c>
      <c r="N515" s="80">
        <f>IFERROR(__xludf.DUMMYFUNCTION("""COMPUTED_VALUE"""),2.0588235294117645)</f>
        <v>2.058823529</v>
      </c>
      <c r="O515" s="80">
        <f>IFERROR(__xludf.DUMMYFUNCTION("""COMPUTED_VALUE"""),380.8235294117647)</f>
        <v>380.8235294</v>
      </c>
      <c r="P515" s="80">
        <f>IFERROR(__xludf.DUMMYFUNCTION("""COMPUTED_VALUE"""),0.8431372549019607)</f>
        <v>0.8431372549</v>
      </c>
      <c r="Q515" s="80">
        <f>IFERROR(__xludf.DUMMYFUNCTION("""COMPUTED_VALUE"""),0.6470588235294118)</f>
        <v>0.6470588235</v>
      </c>
      <c r="R515" s="80">
        <f>IFERROR(__xludf.DUMMYFUNCTION("""COMPUTED_VALUE"""),1.5098039215686274)</f>
        <v>1.509803922</v>
      </c>
      <c r="S515" s="80">
        <f>IFERROR(__xludf.DUMMYFUNCTION("""COMPUTED_VALUE"""),2.88235294117647)</f>
        <v>2.882352941</v>
      </c>
      <c r="T515" s="80">
        <f>IFERROR(__xludf.DUMMYFUNCTION("""COMPUTED_VALUE"""),390.74800341396013)</f>
        <v>390.7480034</v>
      </c>
      <c r="U515" s="80">
        <f>IFERROR(__xludf.DUMMYFUNCTION("""COMPUTED_VALUE"""),0.9049427089826011)</f>
        <v>0.904942709</v>
      </c>
      <c r="V515" s="80">
        <f>IFERROR(__xludf.DUMMYFUNCTION("""COMPUTED_VALUE"""),0.681354689434473)</f>
        <v>0.6813546894</v>
      </c>
      <c r="W515" s="80">
        <f>IFERROR(__xludf.DUMMYFUNCTION("""COMPUTED_VALUE"""),1.5174464411955964)</f>
        <v>1.517446441</v>
      </c>
      <c r="X515" s="80">
        <f>IFERROR(__xludf.DUMMYFUNCTION("""COMPUTED_VALUE"""),2.789106437348492)</f>
        <v>2.789106437</v>
      </c>
      <c r="Y515" s="80">
        <f>IFERROR(__xludf.DUMMYFUNCTION("""COMPUTED_VALUE"""),373.3582116826821)</f>
        <v>373.3582117</v>
      </c>
      <c r="Z515" s="80">
        <f>IFERROR(__xludf.DUMMYFUNCTION("""COMPUTED_VALUE"""),0.8001541684886289)</f>
        <v>0.8001541685</v>
      </c>
      <c r="AA515" s="80">
        <f>IFERROR(__xludf.DUMMYFUNCTION("""COMPUTED_VALUE"""),0.609350497247725)</f>
        <v>0.6093504972</v>
      </c>
      <c r="AB515" s="80">
        <f>IFERROR(__xludf.DUMMYFUNCTION("""COMPUTED_VALUE"""),1.468151731989911)</f>
        <v>1.468151732</v>
      </c>
      <c r="AC515" s="80">
        <f>IFERROR(__xludf.DUMMYFUNCTION("""COMPUTED_VALUE"""),2.7483784744208446)</f>
        <v>2.748378474</v>
      </c>
      <c r="AD515" s="80">
        <f>IFERROR(__xludf.DUMMYFUNCTION("""COMPUTED_VALUE"""),0.7813029772085542)</f>
        <v>0.7813029772</v>
      </c>
      <c r="AE515" s="80">
        <f>IFERROR(__xludf.DUMMYFUNCTION("""COMPUTED_VALUE"""),0.5146067121791225)</f>
        <v>0.5146067122</v>
      </c>
      <c r="AF515" s="80">
        <f>IFERROR(__xludf.DUMMYFUNCTION("""COMPUTED_VALUE"""),0.9653480169041467)</f>
        <v>0.9653480169</v>
      </c>
      <c r="AG515" s="80">
        <f>IFERROR(__xludf.DUMMYFUNCTION("""COMPUTED_VALUE"""),0.9215268061134472)</f>
        <v>0.9215268061</v>
      </c>
      <c r="AH515" s="80">
        <f>IFERROR(__xludf.DUMMYFUNCTION("""COMPUTED_VALUE"""),0.7491048080070605)</f>
        <v>0.749104808</v>
      </c>
      <c r="AI515" s="80">
        <f>IFERROR(__xludf.DUMMYFUNCTION("""COMPUTED_VALUE"""),0.9746013443050625)</f>
        <v>0.9746013443</v>
      </c>
      <c r="AJ515" s="80">
        <f>IFERROR(__xludf.DUMMYFUNCTION("""COMPUTED_VALUE"""),0.931702356992161)</f>
        <v>0.931702357</v>
      </c>
      <c r="AK515" s="80">
        <f>IFERROR(__xludf.DUMMYFUNCTION("""COMPUTED_VALUE"""),0.9496651796239535)</f>
        <v>0.9496651796</v>
      </c>
      <c r="AL515" s="80">
        <f>IFERROR(__xludf.DUMMYFUNCTION("""COMPUTED_VALUE"""),0.9949635654877234)</f>
        <v>0.9949635655</v>
      </c>
      <c r="AM515" s="80">
        <f>IFERROR(__xludf.DUMMYFUNCTION("""COMPUTED_VALUE"""),1.0334323934645622)</f>
        <v>1.033432393</v>
      </c>
      <c r="AN515" s="80">
        <f>IFERROR(__xludf.DUMMYFUNCTION("""COMPUTED_VALUE"""),0.7909176169349114)</f>
        <v>0.7909176169</v>
      </c>
      <c r="AO515" s="80">
        <f>IFERROR(__xludf.DUMMYFUNCTION("""COMPUTED_VALUE"""),0.5365690607162085)</f>
        <v>0.5365690607</v>
      </c>
      <c r="AP515" s="80">
        <f>IFERROR(__xludf.DUMMYFUNCTION("""COMPUTED_VALUE"""),0.9234219668071308)</f>
        <v>0.9234219668</v>
      </c>
      <c r="AQ515" s="80">
        <f>IFERROR(__xludf.DUMMYFUNCTION("""COMPUTED_VALUE"""),0.9243214470885133)</f>
        <v>0.9243214471</v>
      </c>
      <c r="AR515" s="80">
        <f>IFERROR(__xludf.DUMMYFUNCTION("""COMPUTED_VALUE"""),0.7631422322929586)</f>
        <v>0.7631422323</v>
      </c>
      <c r="AS515" s="80">
        <f>IFERROR(__xludf.DUMMYFUNCTION("""COMPUTED_VALUE"""),30.0)</f>
        <v>30</v>
      </c>
      <c r="AT515" s="80">
        <f>IFERROR(__xludf.DUMMYFUNCTION("""COMPUTED_VALUE"""),0.3665743704704846)</f>
        <v>0.3665743705</v>
      </c>
      <c r="AU515" s="80">
        <f>IFERROR(__xludf.DUMMYFUNCTION("""COMPUTED_VALUE"""),2.1122224121860613)</f>
        <v>2.112222412</v>
      </c>
      <c r="AV515" s="80">
        <f>IFERROR(__xludf.DUMMYFUNCTION("""COMPUTED_VALUE"""),27.62088967134612)</f>
        <v>27.62088967</v>
      </c>
      <c r="AW515" s="82">
        <f t="shared" si="1"/>
        <v>-5.395209843</v>
      </c>
      <c r="AX515" s="83">
        <f t="array" ref="AX515">IFERROR(DGET('SBV Import'!A:G,"SBV",{"RSC ID","Tier";B515,A515}))</f>
        <v>17.10587419</v>
      </c>
      <c r="AY515" s="82">
        <f t="shared" si="2"/>
        <v>-10.62400525</v>
      </c>
      <c r="AZ515" s="82">
        <v>5.228795403856356</v>
      </c>
      <c r="BA515" s="84">
        <v>450.0</v>
      </c>
      <c r="BB515" s="84" t="b">
        <f>IFERROR(__xludf.DUMMYFUNCTION("iferror(if(A515="""",,E515&gt;=FILTER(Constants!$F$2:$F$10,Constants!$A$2:$A$10=A515)))"),TRUE)</f>
        <v>1</v>
      </c>
    </row>
    <row r="516">
      <c r="A516" s="80" t="str">
        <f>IFERROR(__xludf.DUMMYFUNCTION("""COMPUTED_VALUE"""),"Master")</f>
        <v>Master</v>
      </c>
      <c r="B516" s="80" t="str">
        <f>IFERROR(__xludf.DUMMYFUNCTION("""COMPUTED_VALUE"""),"RSC003323")</f>
        <v>RSC003323</v>
      </c>
      <c r="C516" s="80" t="str">
        <f>IFERROR(__xludf.DUMMYFUNCTION("""COMPUTED_VALUE"""),"Boog McCroog")</f>
        <v>Boog McCroog</v>
      </c>
      <c r="D516" s="80" t="str">
        <f>IFERROR(__xludf.DUMMYFUNCTION("""COMPUTED_VALUE"""),"Hard Hats")</f>
        <v>Hard Hats</v>
      </c>
      <c r="E516" s="80">
        <f>IFERROR(__xludf.DUMMYFUNCTION("""COMPUTED_VALUE"""),30.0)</f>
        <v>30</v>
      </c>
      <c r="F516" s="80">
        <f>IFERROR(__xludf.DUMMYFUNCTION("""COMPUTED_VALUE"""),10.0)</f>
        <v>10</v>
      </c>
      <c r="G516" s="80">
        <f>IFERROR(__xludf.DUMMYFUNCTION("""COMPUTED_VALUE"""),20.0)</f>
        <v>20</v>
      </c>
      <c r="H516" s="81">
        <f>IFERROR(__xludf.DUMMYFUNCTION("""COMPUTED_VALUE"""),0.3333333333333333)</f>
        <v>0.3333333333</v>
      </c>
      <c r="I516" s="81">
        <f>IFERROR(__xludf.DUMMYFUNCTION("""COMPUTED_VALUE"""),0.15492957746478872)</f>
        <v>0.1549295775</v>
      </c>
      <c r="J516" s="80">
        <f>IFERROR(__xludf.DUMMYFUNCTION("""COMPUTED_VALUE"""),309.73333333333335)</f>
        <v>309.7333333</v>
      </c>
      <c r="K516" s="80">
        <f>IFERROR(__xludf.DUMMYFUNCTION("""COMPUTED_VALUE"""),0.36666666666666664)</f>
        <v>0.3666666667</v>
      </c>
      <c r="L516" s="80">
        <f>IFERROR(__xludf.DUMMYFUNCTION("""COMPUTED_VALUE"""),0.5)</f>
        <v>0.5</v>
      </c>
      <c r="M516" s="80">
        <f>IFERROR(__xludf.DUMMYFUNCTION("""COMPUTED_VALUE"""),1.6333333333333333)</f>
        <v>1.633333333</v>
      </c>
      <c r="N516" s="80">
        <f>IFERROR(__xludf.DUMMYFUNCTION("""COMPUTED_VALUE"""),2.3666666666666667)</f>
        <v>2.366666667</v>
      </c>
      <c r="O516" s="80">
        <f>IFERROR(__xludf.DUMMYFUNCTION("""COMPUTED_VALUE"""),408.8666666666667)</f>
        <v>408.8666667</v>
      </c>
      <c r="P516" s="80">
        <f>IFERROR(__xludf.DUMMYFUNCTION("""COMPUTED_VALUE"""),0.9555555555555555)</f>
        <v>0.9555555556</v>
      </c>
      <c r="Q516" s="80">
        <f>IFERROR(__xludf.DUMMYFUNCTION("""COMPUTED_VALUE"""),0.6999999999999998)</f>
        <v>0.7</v>
      </c>
      <c r="R516" s="80">
        <f>IFERROR(__xludf.DUMMYFUNCTION("""COMPUTED_VALUE"""),1.6777777777777776)</f>
        <v>1.677777778</v>
      </c>
      <c r="S516" s="80">
        <f>IFERROR(__xludf.DUMMYFUNCTION("""COMPUTED_VALUE"""),2.9444444444444446)</f>
        <v>2.944444444</v>
      </c>
      <c r="T516" s="80">
        <f>IFERROR(__xludf.DUMMYFUNCTION("""COMPUTED_VALUE"""),391.33839918697385)</f>
        <v>391.3383992</v>
      </c>
      <c r="U516" s="80">
        <f>IFERROR(__xludf.DUMMYFUNCTION("""COMPUTED_VALUE"""),0.8969441987482963)</f>
        <v>0.8969441987</v>
      </c>
      <c r="V516" s="80">
        <f>IFERROR(__xludf.DUMMYFUNCTION("""COMPUTED_VALUE"""),0.7366853956818349)</f>
        <v>0.7366853957</v>
      </c>
      <c r="W516" s="80">
        <f>IFERROR(__xludf.DUMMYFUNCTION("""COMPUTED_VALUE"""),1.4651894398658516)</f>
        <v>1.46518944</v>
      </c>
      <c r="X516" s="80">
        <f>IFERROR(__xludf.DUMMYFUNCTION("""COMPUTED_VALUE"""),2.8727777504923293)</f>
        <v>2.87277775</v>
      </c>
      <c r="Y516" s="80">
        <f>IFERROR(__xludf.DUMMYFUNCTION("""COMPUTED_VALUE"""),372.59750388199143)</f>
        <v>372.5975039</v>
      </c>
      <c r="Z516" s="80">
        <f>IFERROR(__xludf.DUMMYFUNCTION("""COMPUTED_VALUE"""),0.7860435580917008)</f>
        <v>0.7860435581</v>
      </c>
      <c r="AA516" s="80">
        <f>IFERROR(__xludf.DUMMYFUNCTION("""COMPUTED_VALUE"""),0.6039127229368569)</f>
        <v>0.6039127229</v>
      </c>
      <c r="AB516" s="80">
        <f>IFERROR(__xludf.DUMMYFUNCTION("""COMPUTED_VALUE"""),1.506821450674836)</f>
        <v>1.506821451</v>
      </c>
      <c r="AC516" s="80">
        <f>IFERROR(__xludf.DUMMYFUNCTION("""COMPUTED_VALUE"""),2.7112107900498073)</f>
        <v>2.71121079</v>
      </c>
      <c r="AD516" s="80">
        <f>IFERROR(__xludf.DUMMYFUNCTION("""COMPUTED_VALUE"""),0.8312812890754944)</f>
        <v>0.8312812891</v>
      </c>
      <c r="AE516" s="80">
        <f>IFERROR(__xludf.DUMMYFUNCTION("""COMPUTED_VALUE"""),0.46647118075343463)</f>
        <v>0.4664711808</v>
      </c>
      <c r="AF516" s="80">
        <f>IFERROR(__xludf.DUMMYFUNCTION("""COMPUTED_VALUE"""),0.8279342047448109)</f>
        <v>0.8279342047</v>
      </c>
      <c r="AG516" s="80">
        <f>IFERROR(__xludf.DUMMYFUNCTION("""COMPUTED_VALUE"""),1.0839594383275062)</f>
        <v>1.083959438</v>
      </c>
      <c r="AH516" s="80">
        <f>IFERROR(__xludf.DUMMYFUNCTION("""COMPUTED_VALUE"""),0.8729187252250457)</f>
        <v>0.8729187252</v>
      </c>
      <c r="AI516" s="80">
        <f>IFERROR(__xludf.DUMMYFUNCTION("""COMPUTED_VALUE"""),1.0447905636556718)</f>
        <v>1.044790564</v>
      </c>
      <c r="AJ516" s="80">
        <f>IFERROR(__xludf.DUMMYFUNCTION("""COMPUTED_VALUE"""),1.0653455999704915)</f>
        <v>1.0653456</v>
      </c>
      <c r="AK516" s="80">
        <f>IFERROR(__xludf.DUMMYFUNCTION("""COMPUTED_VALUE"""),0.9502020864036798)</f>
        <v>0.9502020864</v>
      </c>
      <c r="AL516" s="80">
        <f>IFERROR(__xludf.DUMMYFUNCTION("""COMPUTED_VALUE"""),1.145092731443239)</f>
        <v>1.145092731</v>
      </c>
      <c r="AM516" s="80">
        <f>IFERROR(__xludf.DUMMYFUNCTION("""COMPUTED_VALUE"""),1.0249468285320134)</f>
        <v>1.024946829</v>
      </c>
      <c r="AN516" s="80">
        <f>IFERROR(__xludf.DUMMYFUNCTION("""COMPUTED_VALUE"""),0.8397964000907867)</f>
        <v>0.8397964001</v>
      </c>
      <c r="AO516" s="80">
        <f>IFERROR(__xludf.DUMMYFUNCTION("""COMPUTED_VALUE"""),0.47780197311395706)</f>
        <v>0.4778019731</v>
      </c>
      <c r="AP516" s="80">
        <f>IFERROR(__xludf.DUMMYFUNCTION("""COMPUTED_VALUE"""),0.7849086717860613)</f>
        <v>0.7849086718</v>
      </c>
      <c r="AQ516" s="80">
        <f>IFERROR(__xludf.DUMMYFUNCTION("""COMPUTED_VALUE"""),1.1158837180068573)</f>
        <v>1.115883718</v>
      </c>
      <c r="AR516" s="80">
        <f>IFERROR(__xludf.DUMMYFUNCTION("""COMPUTED_VALUE"""),0.8772501660739059)</f>
        <v>0.8772501661</v>
      </c>
      <c r="AS516" s="80">
        <f>IFERROR(__xludf.DUMMYFUNCTION("""COMPUTED_VALUE"""),60.0)</f>
        <v>60</v>
      </c>
      <c r="AT516" s="80">
        <f>IFERROR(__xludf.DUMMYFUNCTION("""COMPUTED_VALUE"""),0.36194194636627314)</f>
        <v>0.3619419464</v>
      </c>
      <c r="AU516" s="80">
        <f>IFERROR(__xludf.DUMMYFUNCTION("""COMPUTED_VALUE"""),1.9933761004504813)</f>
        <v>1.9933761</v>
      </c>
      <c r="AV516" s="80">
        <f>IFERROR(__xludf.DUMMYFUNCTION("""COMPUTED_VALUE"""),24.71692693796235)</f>
        <v>24.71692694</v>
      </c>
      <c r="AW516" s="82">
        <f t="shared" si="1"/>
        <v>-6.41309506</v>
      </c>
      <c r="AX516" s="83">
        <f t="array" ref="AX516">IFERROR(DGET('SBV Import'!A:G,"SBV",{"RSC ID","Tier";B516,A516}))</f>
        <v>16.78718592</v>
      </c>
      <c r="AY516" s="82">
        <f t="shared" si="2"/>
        <v>-10.86904326</v>
      </c>
      <c r="AZ516" s="82">
        <v>4.455948203214842</v>
      </c>
      <c r="BA516" s="84">
        <v>450.0</v>
      </c>
      <c r="BB516" s="84" t="b">
        <f>IFERROR(__xludf.DUMMYFUNCTION("iferror(if(A516="""",,E516&gt;=FILTER(Constants!$F$2:$F$10,Constants!$A$2:$A$10=A516)))"),TRUE)</f>
        <v>1</v>
      </c>
    </row>
    <row r="517">
      <c r="A517" s="80" t="str">
        <f>IFERROR(__xludf.DUMMYFUNCTION("""COMPUTED_VALUE"""),"Master")</f>
        <v>Master</v>
      </c>
      <c r="B517" s="80" t="str">
        <f>IFERROR(__xludf.DUMMYFUNCTION("""COMPUTED_VALUE"""),"RSC000824")</f>
        <v>RSC000824</v>
      </c>
      <c r="C517" s="80" t="str">
        <f>IFERROR(__xludf.DUMMYFUNCTION("""COMPUTED_VALUE"""),"Cart")</f>
        <v>Cart</v>
      </c>
      <c r="D517" s="80" t="str">
        <f>IFERROR(__xludf.DUMMYFUNCTION("""COMPUTED_VALUE"""),"Hard Hats")</f>
        <v>Hard Hats</v>
      </c>
      <c r="E517" s="80">
        <f>IFERROR(__xludf.DUMMYFUNCTION("""COMPUTED_VALUE"""),15.0)</f>
        <v>15</v>
      </c>
      <c r="F517" s="80">
        <f>IFERROR(__xludf.DUMMYFUNCTION("""COMPUTED_VALUE"""),5.0)</f>
        <v>5</v>
      </c>
      <c r="G517" s="80">
        <f>IFERROR(__xludf.DUMMYFUNCTION("""COMPUTED_VALUE"""),10.0)</f>
        <v>10</v>
      </c>
      <c r="H517" s="81">
        <f>IFERROR(__xludf.DUMMYFUNCTION("""COMPUTED_VALUE"""),0.3333333333333333)</f>
        <v>0.3333333333</v>
      </c>
      <c r="I517" s="81">
        <f>IFERROR(__xludf.DUMMYFUNCTION("""COMPUTED_VALUE"""),0.27999999999999997)</f>
        <v>0.28</v>
      </c>
      <c r="J517" s="80">
        <f>IFERROR(__xludf.DUMMYFUNCTION("""COMPUTED_VALUE"""),296.53333333333336)</f>
        <v>296.5333333</v>
      </c>
      <c r="K517" s="80">
        <f>IFERROR(__xludf.DUMMYFUNCTION("""COMPUTED_VALUE"""),0.4666666666666667)</f>
        <v>0.4666666667</v>
      </c>
      <c r="L517" s="80">
        <f>IFERROR(__xludf.DUMMYFUNCTION("""COMPUTED_VALUE"""),0.6)</f>
        <v>0.6</v>
      </c>
      <c r="M517" s="80">
        <f>IFERROR(__xludf.DUMMYFUNCTION("""COMPUTED_VALUE"""),1.3333333333333333)</f>
        <v>1.333333333</v>
      </c>
      <c r="N517" s="80">
        <f>IFERROR(__xludf.DUMMYFUNCTION("""COMPUTED_VALUE"""),1.6666666666666667)</f>
        <v>1.666666667</v>
      </c>
      <c r="O517" s="80">
        <f>IFERROR(__xludf.DUMMYFUNCTION("""COMPUTED_VALUE"""),405.91111111111115)</f>
        <v>405.9111111</v>
      </c>
      <c r="P517" s="80">
        <f>IFERROR(__xludf.DUMMYFUNCTION("""COMPUTED_VALUE"""),1.1555555555555557)</f>
        <v>1.155555556</v>
      </c>
      <c r="Q517" s="80">
        <f>IFERROR(__xludf.DUMMYFUNCTION("""COMPUTED_VALUE"""),0.9333333333333333)</f>
        <v>0.9333333333</v>
      </c>
      <c r="R517" s="80">
        <f>IFERROR(__xludf.DUMMYFUNCTION("""COMPUTED_VALUE"""),1.1555555555555554)</f>
        <v>1.155555556</v>
      </c>
      <c r="S517" s="80">
        <f>IFERROR(__xludf.DUMMYFUNCTION("""COMPUTED_VALUE"""),3.0888888888888886)</f>
        <v>3.088888889</v>
      </c>
      <c r="T517" s="80">
        <f>IFERROR(__xludf.DUMMYFUNCTION("""COMPUTED_VALUE"""),401.4252851263962)</f>
        <v>401.4252851</v>
      </c>
      <c r="U517" s="80">
        <f>IFERROR(__xludf.DUMMYFUNCTION("""COMPUTED_VALUE"""),0.9650903880070548)</f>
        <v>0.965090388</v>
      </c>
      <c r="V517" s="80">
        <f>IFERROR(__xludf.DUMMYFUNCTION("""COMPUTED_VALUE"""),0.747286890064668)</f>
        <v>0.7472868901</v>
      </c>
      <c r="W517" s="80">
        <f>IFERROR(__xludf.DUMMYFUNCTION("""COMPUTED_VALUE"""),1.4847773368606703)</f>
        <v>1.484777337</v>
      </c>
      <c r="X517" s="80">
        <f>IFERROR(__xludf.DUMMYFUNCTION("""COMPUTED_VALUE"""),2.8968334803057028)</f>
        <v>2.89683348</v>
      </c>
      <c r="Y517" s="80">
        <f>IFERROR(__xludf.DUMMYFUNCTION("""COMPUTED_VALUE"""),373.3491767097785)</f>
        <v>373.3491767</v>
      </c>
      <c r="Z517" s="80">
        <f>IFERROR(__xludf.DUMMYFUNCTION("""COMPUTED_VALUE"""),0.796539045659416)</f>
        <v>0.7965390457</v>
      </c>
      <c r="AA517" s="80">
        <f>IFERROR(__xludf.DUMMYFUNCTION("""COMPUTED_VALUE"""),0.6128948657652361)</f>
        <v>0.6128948658</v>
      </c>
      <c r="AB517" s="80">
        <f>IFERROR(__xludf.DUMMYFUNCTION("""COMPUTED_VALUE"""),1.4720331177738586)</f>
        <v>1.472033118</v>
      </c>
      <c r="AC517" s="80">
        <f>IFERROR(__xludf.DUMMYFUNCTION("""COMPUTED_VALUE"""),2.6942751812659225)</f>
        <v>2.694275181</v>
      </c>
      <c r="AD517" s="80">
        <f>IFERROR(__xludf.DUMMYFUNCTION("""COMPUTED_VALUE"""),0.7942520081244009)</f>
        <v>0.7942520081</v>
      </c>
      <c r="AE517" s="80">
        <f>IFERROR(__xludf.DUMMYFUNCTION("""COMPUTED_VALUE"""),0.5858679109450762)</f>
        <v>0.5858679109</v>
      </c>
      <c r="AF517" s="80">
        <f>IFERROR(__xludf.DUMMYFUNCTION("""COMPUTED_VALUE"""),0.9789607215111256)</f>
        <v>0.9789607215</v>
      </c>
      <c r="AG517" s="80">
        <f>IFERROR(__xludf.DUMMYFUNCTION("""COMPUTED_VALUE"""),0.9057767228428395)</f>
        <v>0.9057767228</v>
      </c>
      <c r="AH517" s="80">
        <f>IFERROR(__xludf.DUMMYFUNCTION("""COMPUTED_VALUE"""),0.6185955607858781)</f>
        <v>0.6185955608</v>
      </c>
      <c r="AI517" s="80">
        <f>IFERROR(__xludf.DUMMYFUNCTION("""COMPUTED_VALUE"""),1.0111747469602033)</f>
        <v>1.011174747</v>
      </c>
      <c r="AJ517" s="80">
        <f>IFERROR(__xludf.DUMMYFUNCTION("""COMPUTED_VALUE"""),1.1973547451258095)</f>
        <v>1.197354745</v>
      </c>
      <c r="AK517" s="80">
        <f>IFERROR(__xludf.DUMMYFUNCTION("""COMPUTED_VALUE"""),1.2489625413508398)</f>
        <v>1.248962541</v>
      </c>
      <c r="AL517" s="80">
        <f>IFERROR(__xludf.DUMMYFUNCTION("""COMPUTED_VALUE"""),0.7782685840280922)</f>
        <v>0.778268584</v>
      </c>
      <c r="AM517" s="80">
        <f>IFERROR(__xludf.DUMMYFUNCTION("""COMPUTED_VALUE"""),1.066298394398189)</f>
        <v>1.066298394</v>
      </c>
      <c r="AN517" s="80">
        <f>IFERROR(__xludf.DUMMYFUNCTION("""COMPUTED_VALUE"""),0.8040065405948815)</f>
        <v>0.8040065406</v>
      </c>
      <c r="AO517" s="80">
        <f>IFERROR(__xludf.DUMMYFUNCTION("""COMPUTED_VALUE"""),0.6081116021450362)</f>
        <v>0.6081116021</v>
      </c>
      <c r="AP517" s="80">
        <f>IFERROR(__xludf.DUMMYFUNCTION("""COMPUTED_VALUE"""),0.9418904061432735)</f>
        <v>0.9418904061</v>
      </c>
      <c r="AQ517" s="80">
        <f>IFERROR(__xludf.DUMMYFUNCTION("""COMPUTED_VALUE"""),0.9109254840872304)</f>
        <v>0.9109254841</v>
      </c>
      <c r="AR517" s="80">
        <f>IFERROR(__xludf.DUMMYFUNCTION("""COMPUTED_VALUE"""),0.6177818070943)</f>
        <v>0.6177818071</v>
      </c>
      <c r="AS517" s="80">
        <f>IFERROR(__xludf.DUMMYFUNCTION("""COMPUTED_VALUE"""),29.0)</f>
        <v>29</v>
      </c>
      <c r="AT517" s="80">
        <f>IFERROR(__xludf.DUMMYFUNCTION("""COMPUTED_VALUE"""),0.2793914353384154)</f>
        <v>0.2793914353</v>
      </c>
      <c r="AU517" s="80">
        <f>IFERROR(__xludf.DUMMYFUNCTION("""COMPUTED_VALUE"""),1.9488348889184302)</f>
        <v>1.948834889</v>
      </c>
      <c r="AV517" s="80">
        <f>IFERROR(__xludf.DUMMYFUNCTION("""COMPUTED_VALUE"""),23.62858000905957)</f>
        <v>23.62858001</v>
      </c>
      <c r="AW517" s="82">
        <f t="shared" si="1"/>
        <v>-6.861279482</v>
      </c>
      <c r="AX517" s="83">
        <f t="array" ref="AX517">IFERROR(DGET('SBV Import'!A:G,"SBV",{"RSC ID","Tier";B517,A517}))</f>
        <v>20.63270621</v>
      </c>
      <c r="AY517" s="82">
        <f t="shared" si="2"/>
        <v>-8.329236026</v>
      </c>
      <c r="AZ517" s="82">
        <v>1.467956543480046</v>
      </c>
      <c r="BA517" s="84">
        <v>450.0</v>
      </c>
      <c r="BB517" s="84" t="b">
        <f>IFERROR(__xludf.DUMMYFUNCTION("iferror(if(A517="""",,E517&gt;=FILTER(Constants!$F$2:$F$10,Constants!$A$2:$A$10=A517)))"),TRUE)</f>
        <v>1</v>
      </c>
    </row>
    <row r="518">
      <c r="A518" s="80" t="str">
        <f>IFERROR(__xludf.DUMMYFUNCTION("""COMPUTED_VALUE"""),"Master")</f>
        <v>Master</v>
      </c>
      <c r="B518" s="80" t="str">
        <f>IFERROR(__xludf.DUMMYFUNCTION("""COMPUTED_VALUE"""),"RSC007252")</f>
        <v>RSC007252</v>
      </c>
      <c r="C518" s="80" t="str">
        <f>IFERROR(__xludf.DUMMYFUNCTION("""COMPUTED_VALUE"""),"mario.")</f>
        <v>mario.</v>
      </c>
      <c r="D518" s="80"/>
      <c r="E518" s="80">
        <f>IFERROR(__xludf.DUMMYFUNCTION("""COMPUTED_VALUE"""),12.0)</f>
        <v>12</v>
      </c>
      <c r="F518" s="80">
        <f>IFERROR(__xludf.DUMMYFUNCTION("""COMPUTED_VALUE"""),3.0)</f>
        <v>3</v>
      </c>
      <c r="G518" s="80">
        <f>IFERROR(__xludf.DUMMYFUNCTION("""COMPUTED_VALUE"""),9.0)</f>
        <v>9</v>
      </c>
      <c r="H518" s="81">
        <f>IFERROR(__xludf.DUMMYFUNCTION("""COMPUTED_VALUE"""),0.25)</f>
        <v>0.25</v>
      </c>
      <c r="I518" s="81">
        <f>IFERROR(__xludf.DUMMYFUNCTION("""COMPUTED_VALUE"""),0.13793103448275862)</f>
        <v>0.1379310345</v>
      </c>
      <c r="J518" s="80">
        <f>IFERROR(__xludf.DUMMYFUNCTION("""COMPUTED_VALUE"""),301.9166666666667)</f>
        <v>301.9166667</v>
      </c>
      <c r="K518" s="80">
        <f>IFERROR(__xludf.DUMMYFUNCTION("""COMPUTED_VALUE"""),0.3333333333333333)</f>
        <v>0.3333333333</v>
      </c>
      <c r="L518" s="80">
        <f>IFERROR(__xludf.DUMMYFUNCTION("""COMPUTED_VALUE"""),0.5833333333333334)</f>
        <v>0.5833333333</v>
      </c>
      <c r="M518" s="80">
        <f>IFERROR(__xludf.DUMMYFUNCTION("""COMPUTED_VALUE"""),1.0)</f>
        <v>1</v>
      </c>
      <c r="N518" s="80">
        <f>IFERROR(__xludf.DUMMYFUNCTION("""COMPUTED_VALUE"""),2.4166666666666665)</f>
        <v>2.416666667</v>
      </c>
      <c r="O518" s="80">
        <f>IFERROR(__xludf.DUMMYFUNCTION("""COMPUTED_VALUE"""),435.4444444444445)</f>
        <v>435.4444444</v>
      </c>
      <c r="P518" s="80">
        <f>IFERROR(__xludf.DUMMYFUNCTION("""COMPUTED_VALUE"""),1.0277777777777777)</f>
        <v>1.027777778</v>
      </c>
      <c r="Q518" s="80">
        <f>IFERROR(__xludf.DUMMYFUNCTION("""COMPUTED_VALUE"""),0.8333333333333331)</f>
        <v>0.8333333333</v>
      </c>
      <c r="R518" s="80">
        <f>IFERROR(__xludf.DUMMYFUNCTION("""COMPUTED_VALUE"""),1.5)</f>
        <v>1.5</v>
      </c>
      <c r="S518" s="80">
        <f>IFERROR(__xludf.DUMMYFUNCTION("""COMPUTED_VALUE"""),3.361111111111111)</f>
        <v>3.361111111</v>
      </c>
      <c r="T518" s="80">
        <f>IFERROR(__xludf.DUMMYFUNCTION("""COMPUTED_VALUE"""),413.62952998161154)</f>
        <v>413.62953</v>
      </c>
      <c r="U518" s="80">
        <f>IFERROR(__xludf.DUMMYFUNCTION("""COMPUTED_VALUE"""),0.9750557442515384)</f>
        <v>0.9750557443</v>
      </c>
      <c r="V518" s="80">
        <f>IFERROR(__xludf.DUMMYFUNCTION("""COMPUTED_VALUE"""),0.7345101271856032)</f>
        <v>0.7345101272</v>
      </c>
      <c r="W518" s="80">
        <f>IFERROR(__xludf.DUMMYFUNCTION("""COMPUTED_VALUE"""),1.549988009159649)</f>
        <v>1.549988009</v>
      </c>
      <c r="X518" s="80">
        <f>IFERROR(__xludf.DUMMYFUNCTION("""COMPUTED_VALUE"""),3.2161944380543424)</f>
        <v>3.216194438</v>
      </c>
      <c r="Y518" s="80">
        <f>IFERROR(__xludf.DUMMYFUNCTION("""COMPUTED_VALUE"""),391.59383861256083)</f>
        <v>391.5938386</v>
      </c>
      <c r="Z518" s="80">
        <f>IFERROR(__xludf.DUMMYFUNCTION("""COMPUTED_VALUE"""),0.8598824446579489)</f>
        <v>0.8598824447</v>
      </c>
      <c r="AA518" s="80">
        <f>IFERROR(__xludf.DUMMYFUNCTION("""COMPUTED_VALUE"""),0.682955640656692)</f>
        <v>0.6829556407</v>
      </c>
      <c r="AB518" s="80">
        <f>IFERROR(__xludf.DUMMYFUNCTION("""COMPUTED_VALUE"""),1.586008618870701)</f>
        <v>1.586008619</v>
      </c>
      <c r="AC518" s="80">
        <f>IFERROR(__xludf.DUMMYFUNCTION("""COMPUTED_VALUE"""),2.864702937893712)</f>
        <v>2.864702938</v>
      </c>
      <c r="AD518" s="80">
        <f>IFERROR(__xludf.DUMMYFUNCTION("""COMPUTED_VALUE"""),0.7709944255925337)</f>
        <v>0.7709944256</v>
      </c>
      <c r="AE518" s="80">
        <f>IFERROR(__xludf.DUMMYFUNCTION("""COMPUTED_VALUE"""),0.38764988796338246)</f>
        <v>0.387649888</v>
      </c>
      <c r="AF518" s="80">
        <f>IFERROR(__xludf.DUMMYFUNCTION("""COMPUTED_VALUE"""),0.8541306325143352)</f>
        <v>0.8541306325</v>
      </c>
      <c r="AG518" s="80">
        <f>IFERROR(__xludf.DUMMYFUNCTION("""COMPUTED_VALUE"""),0.6305135975314172)</f>
        <v>0.6305135975</v>
      </c>
      <c r="AH518" s="80">
        <f>IFERROR(__xludf.DUMMYFUNCTION("""COMPUTED_VALUE"""),0.8436011408720562)</f>
        <v>0.8436011409</v>
      </c>
      <c r="AI518" s="80">
        <f>IFERROR(__xludf.DUMMYFUNCTION("""COMPUTED_VALUE"""),1.0527402249636355)</f>
        <v>1.052740225</v>
      </c>
      <c r="AJ518" s="80">
        <f>IFERROR(__xludf.DUMMYFUNCTION("""COMPUTED_VALUE"""),1.054070789118533)</f>
        <v>1.054070789</v>
      </c>
      <c r="AK518" s="80">
        <f>IFERROR(__xludf.DUMMYFUNCTION("""COMPUTED_VALUE"""),1.1345430137585542)</f>
        <v>1.134543014</v>
      </c>
      <c r="AL518" s="80">
        <f>IFERROR(__xludf.DUMMYFUNCTION("""COMPUTED_VALUE"""),0.967749422018593)</f>
        <v>0.967749422</v>
      </c>
      <c r="AM518" s="80">
        <f>IFERROR(__xludf.DUMMYFUNCTION("""COMPUTED_VALUE"""),1.0450584303430477)</f>
        <v>1.04505843</v>
      </c>
      <c r="AN518" s="80">
        <f>IFERROR(__xludf.DUMMYFUNCTION("""COMPUTED_VALUE"""),0.8186026575357621)</f>
        <v>0.8186026575</v>
      </c>
      <c r="AO518" s="80">
        <f>IFERROR(__xludf.DUMMYFUNCTION("""COMPUTED_VALUE"""),0.4343654301035973)</f>
        <v>0.4343654301</v>
      </c>
      <c r="AP518" s="80">
        <f>IFERROR(__xludf.DUMMYFUNCTION("""COMPUTED_VALUE"""),0.9157267837504048)</f>
        <v>0.9157267838</v>
      </c>
      <c r="AQ518" s="80">
        <f>IFERROR(__xludf.DUMMYFUNCTION("""COMPUTED_VALUE"""),0.6831941130654228)</f>
        <v>0.6831941131</v>
      </c>
      <c r="AR518" s="80">
        <f>IFERROR(__xludf.DUMMYFUNCTION("""COMPUTED_VALUE"""),0.8957836202867349)</f>
        <v>0.8957836203</v>
      </c>
      <c r="AS518" s="80">
        <f>IFERROR(__xludf.DUMMYFUNCTION("""COMPUTED_VALUE"""),25.0)</f>
        <v>25</v>
      </c>
      <c r="AT518" s="80">
        <f>IFERROR(__xludf.DUMMYFUNCTION("""COMPUTED_VALUE"""),0.347943024864575)</f>
        <v>0.3479430249</v>
      </c>
      <c r="AU518" s="80">
        <f>IFERROR(__xludf.DUMMYFUNCTION("""COMPUTED_VALUE"""),1.916956759959063)</f>
        <v>1.91695676</v>
      </c>
      <c r="AV518" s="80">
        <f>IFERROR(__xludf.DUMMYFUNCTION("""COMPUTED_VALUE"""),22.849650506274756)</f>
        <v>22.84965051</v>
      </c>
      <c r="AW518" s="82">
        <f t="shared" si="1"/>
        <v>-7.207913522</v>
      </c>
      <c r="AX518" s="83">
        <f t="array" ref="AX518">IFERROR(DGET('SBV Import'!A:G,"SBV",{"RSC ID","Tier";B518,A518}))</f>
        <v>12.38497331</v>
      </c>
      <c r="AY518" s="82">
        <f t="shared" si="2"/>
        <v>-15.10269778</v>
      </c>
      <c r="AZ518" s="82">
        <v>7.894784261880304</v>
      </c>
      <c r="BA518" s="84">
        <v>450.0</v>
      </c>
      <c r="BB518" s="84" t="b">
        <f>IFERROR(__xludf.DUMMYFUNCTION("iferror(if(A518="""",,E518&gt;=FILTER(Constants!$F$2:$F$10,Constants!$A$2:$A$10=A518)))"),TRUE)</f>
        <v>1</v>
      </c>
    </row>
    <row r="519">
      <c r="A519" s="80" t="str">
        <f>IFERROR(__xludf.DUMMYFUNCTION("""COMPUTED_VALUE"""),"Master")</f>
        <v>Master</v>
      </c>
      <c r="B519" s="80" t="str">
        <f>IFERROR(__xludf.DUMMYFUNCTION("""COMPUTED_VALUE"""),"RSC005109")</f>
        <v>RSC005109</v>
      </c>
      <c r="C519" s="80" t="str">
        <f>IFERROR(__xludf.DUMMYFUNCTION("""COMPUTED_VALUE"""),"delta ^_^")</f>
        <v>delta ^_^</v>
      </c>
      <c r="D519" s="80"/>
      <c r="E519" s="80">
        <f>IFERROR(__xludf.DUMMYFUNCTION("""COMPUTED_VALUE"""),8.0)</f>
        <v>8</v>
      </c>
      <c r="F519" s="80">
        <f>IFERROR(__xludf.DUMMYFUNCTION("""COMPUTED_VALUE"""),3.0)</f>
        <v>3</v>
      </c>
      <c r="G519" s="80">
        <f>IFERROR(__xludf.DUMMYFUNCTION("""COMPUTED_VALUE"""),5.0)</f>
        <v>5</v>
      </c>
      <c r="H519" s="81">
        <f>IFERROR(__xludf.DUMMYFUNCTION("""COMPUTED_VALUE"""),0.375)</f>
        <v>0.375</v>
      </c>
      <c r="I519" s="81">
        <f>IFERROR(__xludf.DUMMYFUNCTION("""COMPUTED_VALUE"""),0.3333333333333333)</f>
        <v>0.3333333333</v>
      </c>
      <c r="J519" s="80">
        <f>IFERROR(__xludf.DUMMYFUNCTION("""COMPUTED_VALUE"""),365.25)</f>
        <v>365.25</v>
      </c>
      <c r="K519" s="80">
        <f>IFERROR(__xludf.DUMMYFUNCTION("""COMPUTED_VALUE"""),0.625)</f>
        <v>0.625</v>
      </c>
      <c r="L519" s="80">
        <f>IFERROR(__xludf.DUMMYFUNCTION("""COMPUTED_VALUE"""),0.25)</f>
        <v>0.25</v>
      </c>
      <c r="M519" s="80">
        <f>IFERROR(__xludf.DUMMYFUNCTION("""COMPUTED_VALUE"""),1.875)</f>
        <v>1.875</v>
      </c>
      <c r="N519" s="80">
        <f>IFERROR(__xludf.DUMMYFUNCTION("""COMPUTED_VALUE"""),1.875)</f>
        <v>1.875</v>
      </c>
      <c r="O519" s="80">
        <f>IFERROR(__xludf.DUMMYFUNCTION("""COMPUTED_VALUE"""),435.4583333333333)</f>
        <v>435.4583333</v>
      </c>
      <c r="P519" s="80">
        <f>IFERROR(__xludf.DUMMYFUNCTION("""COMPUTED_VALUE"""),1.3333333333333333)</f>
        <v>1.333333333</v>
      </c>
      <c r="Q519" s="80">
        <f>IFERROR(__xludf.DUMMYFUNCTION("""COMPUTED_VALUE"""),1.125)</f>
        <v>1.125</v>
      </c>
      <c r="R519" s="80">
        <f>IFERROR(__xludf.DUMMYFUNCTION("""COMPUTED_VALUE"""),1.0833333333333335)</f>
        <v>1.083333333</v>
      </c>
      <c r="S519" s="80">
        <f>IFERROR(__xludf.DUMMYFUNCTION("""COMPUTED_VALUE"""),3.666666666666667)</f>
        <v>3.666666667</v>
      </c>
      <c r="T519" s="80">
        <f>IFERROR(__xludf.DUMMYFUNCTION("""COMPUTED_VALUE"""),407.0189192343605)</f>
        <v>407.0189192</v>
      </c>
      <c r="U519" s="80">
        <f>IFERROR(__xludf.DUMMYFUNCTION("""COMPUTED_VALUE"""),1.0360770697167756)</f>
        <v>1.03607707</v>
      </c>
      <c r="V519" s="80">
        <f>IFERROR(__xludf.DUMMYFUNCTION("""COMPUTED_VALUE"""),0.7586698568316215)</f>
        <v>0.7586698568</v>
      </c>
      <c r="W519" s="80">
        <f>IFERROR(__xludf.DUMMYFUNCTION("""COMPUTED_VALUE"""),1.4723369903516965)</f>
        <v>1.47233699</v>
      </c>
      <c r="X519" s="80">
        <f>IFERROR(__xludf.DUMMYFUNCTION("""COMPUTED_VALUE"""),2.8200727513227513)</f>
        <v>2.820072751</v>
      </c>
      <c r="Y519" s="80">
        <f>IFERROR(__xludf.DUMMYFUNCTION("""COMPUTED_VALUE"""),344.7069943718228)</f>
        <v>344.7069944</v>
      </c>
      <c r="Z519" s="80">
        <f>IFERROR(__xludf.DUMMYFUNCTION("""COMPUTED_VALUE"""),0.7172278633675693)</f>
        <v>0.7172278634</v>
      </c>
      <c r="AA519" s="80">
        <f>IFERROR(__xludf.DUMMYFUNCTION("""COMPUTED_VALUE"""),0.5294107920946156)</f>
        <v>0.5294107921</v>
      </c>
      <c r="AB519" s="80">
        <f>IFERROR(__xludf.DUMMYFUNCTION("""COMPUTED_VALUE"""),1.3491914358335926)</f>
        <v>1.349191436</v>
      </c>
      <c r="AC519" s="80">
        <f>IFERROR(__xludf.DUMMYFUNCTION("""COMPUTED_VALUE"""),2.596869812739911)</f>
        <v>2.596869813</v>
      </c>
      <c r="AD519" s="80">
        <f>IFERROR(__xludf.DUMMYFUNCTION("""COMPUTED_VALUE"""),1.0595955578609995)</f>
        <v>1.059595558</v>
      </c>
      <c r="AE519" s="80">
        <f>IFERROR(__xludf.DUMMYFUNCTION("""COMPUTED_VALUE"""),0.8714106519307048)</f>
        <v>0.8714106519</v>
      </c>
      <c r="AF519" s="80">
        <f>IFERROR(__xludf.DUMMYFUNCTION("""COMPUTED_VALUE"""),0.47222308976905086)</f>
        <v>0.4722230898</v>
      </c>
      <c r="AG519" s="80">
        <f>IFERROR(__xludf.DUMMYFUNCTION("""COMPUTED_VALUE"""),1.3897212435546915)</f>
        <v>1.389721244</v>
      </c>
      <c r="AH519" s="80">
        <f>IFERROR(__xludf.DUMMYFUNCTION("""COMPUTED_VALUE"""),0.7220231028916005)</f>
        <v>0.7220231029</v>
      </c>
      <c r="AI519" s="80">
        <f>IFERROR(__xludf.DUMMYFUNCTION("""COMPUTED_VALUE"""),1.0698724623230536)</f>
        <v>1.069872462</v>
      </c>
      <c r="AJ519" s="80">
        <f>IFERROR(__xludf.DUMMYFUNCTION("""COMPUTED_VALUE"""),1.286905552014404)</f>
        <v>1.286905552</v>
      </c>
      <c r="AK519" s="80">
        <f>IFERROR(__xludf.DUMMYFUNCTION("""COMPUTED_VALUE"""),1.4828584395039193)</f>
        <v>1.48285844</v>
      </c>
      <c r="AL519" s="80">
        <f>IFERROR(__xludf.DUMMYFUNCTION("""COMPUTED_VALUE"""),0.7357916974391563)</f>
        <v>0.7357916974</v>
      </c>
      <c r="AM519" s="80">
        <f>IFERROR(__xludf.DUMMYFUNCTION("""COMPUTED_VALUE"""),1.300202863542021)</f>
        <v>1.300202864</v>
      </c>
      <c r="AN519" s="80">
        <f>IFERROR(__xludf.DUMMYFUNCTION("""COMPUTED_VALUE"""),0.9903216803696508)</f>
        <v>0.9903216804</v>
      </c>
      <c r="AO519" s="80">
        <f>IFERROR(__xludf.DUMMYFUNCTION("""COMPUTED_VALUE"""),0.814435181444245)</f>
        <v>0.8144351814</v>
      </c>
      <c r="AP519" s="80">
        <f>IFERROR(__xludf.DUMMYFUNCTION("""COMPUTED_VALUE"""),0.39245433589303064)</f>
        <v>0.3924543359</v>
      </c>
      <c r="AQ519" s="80">
        <f>IFERROR(__xludf.DUMMYFUNCTION("""COMPUTED_VALUE"""),1.2809889619976678)</f>
        <v>1.280988962</v>
      </c>
      <c r="AR519" s="80">
        <f>IFERROR(__xludf.DUMMYFUNCTION("""COMPUTED_VALUE"""),0.6950045329810874)</f>
        <v>0.695004533</v>
      </c>
      <c r="AS519" s="80">
        <f>IFERROR(__xludf.DUMMYFUNCTION("""COMPUTED_VALUE"""),14.0)</f>
        <v>14</v>
      </c>
      <c r="AT519" s="80">
        <f>IFERROR(__xludf.DUMMYFUNCTION("""COMPUTED_VALUE"""),0.20331238634987853)</f>
        <v>0.2033123863</v>
      </c>
      <c r="AU519" s="80">
        <f>IFERROR(__xludf.DUMMYFUNCTION("""COMPUTED_VALUE"""),1.845826346578199)</f>
        <v>1.845826347</v>
      </c>
      <c r="AV519" s="80">
        <f>IFERROR(__xludf.DUMMYFUNCTION("""COMPUTED_VALUE"""),21.11160692165107)</f>
        <v>21.11160692</v>
      </c>
      <c r="AW519" s="82">
        <f t="shared" si="1"/>
        <v>-8.068709498</v>
      </c>
      <c r="AX519" s="83">
        <f t="array" ref="AX519">IFERROR(DGET('SBV Import'!A:G,"SBV",{"RSC ID","Tier";B519,A519}))</f>
        <v>24.80226008</v>
      </c>
      <c r="AY519" s="82">
        <f t="shared" si="2"/>
        <v>-6.379628792</v>
      </c>
      <c r="AZ519" s="82">
        <v>1.6890807067592597</v>
      </c>
      <c r="BA519" s="84">
        <v>450.0</v>
      </c>
      <c r="BB519" s="84" t="b">
        <f>IFERROR(__xludf.DUMMYFUNCTION("iferror(if(A519="""",,E519&gt;=FILTER(Constants!$F$2:$F$10,Constants!$A$2:$A$10=A519)))"),TRUE)</f>
        <v>1</v>
      </c>
    </row>
    <row r="520">
      <c r="A520" s="80" t="str">
        <f>IFERROR(__xludf.DUMMYFUNCTION("""COMPUTED_VALUE"""),"Master")</f>
        <v>Master</v>
      </c>
      <c r="B520" s="80" t="str">
        <f>IFERROR(__xludf.DUMMYFUNCTION("""COMPUTED_VALUE"""),"RSC000777")</f>
        <v>RSC000777</v>
      </c>
      <c r="C520" s="80" t="str">
        <f>IFERROR(__xludf.DUMMYFUNCTION("""COMPUTED_VALUE"""),"Marcus.")</f>
        <v>Marcus.</v>
      </c>
      <c r="D520" s="80" t="str">
        <f>IFERROR(__xludf.DUMMYFUNCTION("""COMPUTED_VALUE"""),"Care Bears")</f>
        <v>Care Bears</v>
      </c>
      <c r="E520" s="80">
        <f>IFERROR(__xludf.DUMMYFUNCTION("""COMPUTED_VALUE"""),11.0)</f>
        <v>11</v>
      </c>
      <c r="F520" s="80">
        <f>IFERROR(__xludf.DUMMYFUNCTION("""COMPUTED_VALUE"""),5.0)</f>
        <v>5</v>
      </c>
      <c r="G520" s="80">
        <f>IFERROR(__xludf.DUMMYFUNCTION("""COMPUTED_VALUE"""),6.0)</f>
        <v>6</v>
      </c>
      <c r="H520" s="81">
        <f>IFERROR(__xludf.DUMMYFUNCTION("""COMPUTED_VALUE"""),0.45454545454545453)</f>
        <v>0.4545454545</v>
      </c>
      <c r="I520" s="81">
        <f>IFERROR(__xludf.DUMMYFUNCTION("""COMPUTED_VALUE"""),0.08333333333333334)</f>
        <v>0.08333333333</v>
      </c>
      <c r="J520" s="80">
        <f>IFERROR(__xludf.DUMMYFUNCTION("""COMPUTED_VALUE"""),244.8181818181818)</f>
        <v>244.8181818</v>
      </c>
      <c r="K520" s="80">
        <f>IFERROR(__xludf.DUMMYFUNCTION("""COMPUTED_VALUE"""),0.18181818181818182)</f>
        <v>0.1818181818</v>
      </c>
      <c r="L520" s="80">
        <f>IFERROR(__xludf.DUMMYFUNCTION("""COMPUTED_VALUE"""),0.45454545454545453)</f>
        <v>0.4545454545</v>
      </c>
      <c r="M520" s="80">
        <f>IFERROR(__xludf.DUMMYFUNCTION("""COMPUTED_VALUE"""),1.4545454545454546)</f>
        <v>1.454545455</v>
      </c>
      <c r="N520" s="80">
        <f>IFERROR(__xludf.DUMMYFUNCTION("""COMPUTED_VALUE"""),2.1818181818181817)</f>
        <v>2.181818182</v>
      </c>
      <c r="O520" s="80">
        <f>IFERROR(__xludf.DUMMYFUNCTION("""COMPUTED_VALUE"""),345.99999999999994)</f>
        <v>346</v>
      </c>
      <c r="P520" s="80">
        <f>IFERROR(__xludf.DUMMYFUNCTION("""COMPUTED_VALUE"""),0.7272727272727273)</f>
        <v>0.7272727273</v>
      </c>
      <c r="Q520" s="80">
        <f>IFERROR(__xludf.DUMMYFUNCTION("""COMPUTED_VALUE"""),0.4848484848484848)</f>
        <v>0.4848484848</v>
      </c>
      <c r="R520" s="80">
        <f>IFERROR(__xludf.DUMMYFUNCTION("""COMPUTED_VALUE"""),1.424242424242424)</f>
        <v>1.424242424</v>
      </c>
      <c r="S520" s="80">
        <f>IFERROR(__xludf.DUMMYFUNCTION("""COMPUTED_VALUE"""),2.6363636363636362)</f>
        <v>2.636363636</v>
      </c>
      <c r="T520" s="80">
        <f>IFERROR(__xludf.DUMMYFUNCTION("""COMPUTED_VALUE"""),379.1690649684778)</f>
        <v>379.169065</v>
      </c>
      <c r="U520" s="80">
        <f>IFERROR(__xludf.DUMMYFUNCTION("""COMPUTED_VALUE"""),0.8713445405724266)</f>
        <v>0.8713445406</v>
      </c>
      <c r="V520" s="80">
        <f>IFERROR(__xludf.DUMMYFUNCTION("""COMPUTED_VALUE"""),0.6902754490960388)</f>
        <v>0.6902754491</v>
      </c>
      <c r="W520" s="80">
        <f>IFERROR(__xludf.DUMMYFUNCTION("""COMPUTED_VALUE"""),1.415362677006855)</f>
        <v>1.415362677</v>
      </c>
      <c r="X520" s="80">
        <f>IFERROR(__xludf.DUMMYFUNCTION("""COMPUTED_VALUE"""),2.814432700677078)</f>
        <v>2.814432701</v>
      </c>
      <c r="Y520" s="80">
        <f>IFERROR(__xludf.DUMMYFUNCTION("""COMPUTED_VALUE"""),371.16718745204923)</f>
        <v>371.1671875</v>
      </c>
      <c r="Z520" s="80">
        <f>IFERROR(__xludf.DUMMYFUNCTION("""COMPUTED_VALUE"""),0.8159831780438144)</f>
        <v>0.815983178</v>
      </c>
      <c r="AA520" s="80">
        <f>IFERROR(__xludf.DUMMYFUNCTION("""COMPUTED_VALUE"""),0.6179503121615398)</f>
        <v>0.6179503122</v>
      </c>
      <c r="AB520" s="80">
        <f>IFERROR(__xludf.DUMMYFUNCTION("""COMPUTED_VALUE"""),1.4870435473300703)</f>
        <v>1.487043547</v>
      </c>
      <c r="AC520" s="80">
        <f>IFERROR(__xludf.DUMMYFUNCTION("""COMPUTED_VALUE"""),2.6650692490855743)</f>
        <v>2.665069249</v>
      </c>
      <c r="AD520" s="80">
        <f>IFERROR(__xludf.DUMMYFUNCTION("""COMPUTED_VALUE"""),0.659590044849559)</f>
        <v>0.6595900448</v>
      </c>
      <c r="AE520" s="80">
        <f>IFERROR(__xludf.DUMMYFUNCTION("""COMPUTED_VALUE"""),0.22282099277347978)</f>
        <v>0.2228209928</v>
      </c>
      <c r="AF520" s="80">
        <f>IFERROR(__xludf.DUMMYFUNCTION("""COMPUTED_VALUE"""),0.7355695848028486)</f>
        <v>0.7355695848</v>
      </c>
      <c r="AG520" s="80">
        <f>IFERROR(__xludf.DUMMYFUNCTION("""COMPUTED_VALUE"""),0.9781458365204134)</f>
        <v>0.9781458365</v>
      </c>
      <c r="AH520" s="80">
        <f>IFERROR(__xludf.DUMMYFUNCTION("""COMPUTED_VALUE"""),0.8186722287110538)</f>
        <v>0.8186722287</v>
      </c>
      <c r="AI520" s="80">
        <f>IFERROR(__xludf.DUMMYFUNCTION("""COMPUTED_VALUE"""),0.9125217006528858)</f>
        <v>0.9125217007</v>
      </c>
      <c r="AJ520" s="80">
        <f>IFERROR(__xludf.DUMMYFUNCTION("""COMPUTED_VALUE"""),0.8346557456995692)</f>
        <v>0.8346557457</v>
      </c>
      <c r="AK520" s="80">
        <f>IFERROR(__xludf.DUMMYFUNCTION("""COMPUTED_VALUE"""),0.702398564925677)</f>
        <v>0.7023985649</v>
      </c>
      <c r="AL520" s="80">
        <f>IFERROR(__xludf.DUMMYFUNCTION("""COMPUTED_VALUE"""),1.006273831703933)</f>
        <v>1.006273832</v>
      </c>
      <c r="AM520" s="80">
        <f>IFERROR(__xludf.DUMMYFUNCTION("""COMPUTED_VALUE"""),0.9367300329225839)</f>
        <v>0.9367300329</v>
      </c>
      <c r="AN520" s="80">
        <f>IFERROR(__xludf.DUMMYFUNCTION("""COMPUTED_VALUE"""),0.6637885097966448)</f>
        <v>0.6637885098</v>
      </c>
      <c r="AO520" s="80">
        <f>IFERROR(__xludf.DUMMYFUNCTION("""COMPUTED_VALUE"""),0.23692659823832582)</f>
        <v>0.2369265982</v>
      </c>
      <c r="AP520" s="80">
        <f>IFERROR(__xludf.DUMMYFUNCTION("""COMPUTED_VALUE"""),0.7135533379873283)</f>
        <v>0.713553338</v>
      </c>
      <c r="AQ520" s="80">
        <f>IFERROR(__xludf.DUMMYFUNCTION("""COMPUTED_VALUE"""),0.9937368917315241)</f>
        <v>0.9937368917</v>
      </c>
      <c r="AR520" s="80">
        <f>IFERROR(__xludf.DUMMYFUNCTION("""COMPUTED_VALUE"""),0.8087325474689017)</f>
        <v>0.8087325475</v>
      </c>
      <c r="AS520" s="80">
        <f>IFERROR(__xludf.DUMMYFUNCTION("""COMPUTED_VALUE"""),19.0)</f>
        <v>19</v>
      </c>
      <c r="AT520" s="80">
        <f>IFERROR(__xludf.DUMMYFUNCTION("""COMPUTED_VALUE"""),0.4144783029083763)</f>
        <v>0.4144783029</v>
      </c>
      <c r="AU520" s="80">
        <f>IFERROR(__xludf.DUMMYFUNCTION("""COMPUTED_VALUE"""),1.553149475167503)</f>
        <v>1.553149475</v>
      </c>
      <c r="AV520" s="80">
        <f>IFERROR(__xludf.DUMMYFUNCTION("""COMPUTED_VALUE"""),13.960163051933002)</f>
        <v>13.96016305</v>
      </c>
      <c r="AW520" s="82">
        <f t="shared" si="1"/>
        <v>-13.38534975</v>
      </c>
      <c r="AX520" s="83">
        <f t="array" ref="AX520">IFERROR(DGET('SBV Import'!A:G,"SBV",{"RSC ID","Tier";B520,A520}))</f>
        <v>6.187300135</v>
      </c>
      <c r="AY520" s="82">
        <f t="shared" si="2"/>
        <v>-25.09835531</v>
      </c>
      <c r="AZ520" s="82">
        <v>11.713005565240254</v>
      </c>
      <c r="BA520" s="84">
        <v>450.0</v>
      </c>
      <c r="BB520" s="84" t="b">
        <f>IFERROR(__xludf.DUMMYFUNCTION("iferror(if(A520="""",,E520&gt;=FILTER(Constants!$F$2:$F$10,Constants!$A$2:$A$10=A520)))"),TRUE)</f>
        <v>1</v>
      </c>
    </row>
    <row r="521">
      <c r="A521" s="80" t="str">
        <f>IFERROR(__xludf.DUMMYFUNCTION("""COMPUTED_VALUE"""),"Master")</f>
        <v>Master</v>
      </c>
      <c r="B521" s="80" t="str">
        <f>IFERROR(__xludf.DUMMYFUNCTION("""COMPUTED_VALUE"""),"RSC007067")</f>
        <v>RSC007067</v>
      </c>
      <c r="C521" s="80" t="str">
        <f>IFERROR(__xludf.DUMMYFUNCTION("""COMPUTED_VALUE"""),"ThyChad_")</f>
        <v>ThyChad_</v>
      </c>
      <c r="D521" s="80"/>
      <c r="E521" s="80">
        <f>IFERROR(__xludf.DUMMYFUNCTION("""COMPUTED_VALUE"""),4.0)</f>
        <v>4</v>
      </c>
      <c r="F521" s="80">
        <f>IFERROR(__xludf.DUMMYFUNCTION("""COMPUTED_VALUE"""),0.0)</f>
        <v>0</v>
      </c>
      <c r="G521" s="80">
        <f>IFERROR(__xludf.DUMMYFUNCTION("""COMPUTED_VALUE"""),4.0)</f>
        <v>4</v>
      </c>
      <c r="H521" s="81">
        <f>IFERROR(__xludf.DUMMYFUNCTION("""COMPUTED_VALUE"""),0.0)</f>
        <v>0</v>
      </c>
      <c r="I521" s="81">
        <f>IFERROR(__xludf.DUMMYFUNCTION("""COMPUTED_VALUE"""),0.16666666666666666)</f>
        <v>0.1666666667</v>
      </c>
      <c r="J521" s="80">
        <f>IFERROR(__xludf.DUMMYFUNCTION("""COMPUTED_VALUE"""),338.0)</f>
        <v>338</v>
      </c>
      <c r="K521" s="80">
        <f>IFERROR(__xludf.DUMMYFUNCTION("""COMPUTED_VALUE"""),0.25)</f>
        <v>0.25</v>
      </c>
      <c r="L521" s="80">
        <f>IFERROR(__xludf.DUMMYFUNCTION("""COMPUTED_VALUE"""),0.0)</f>
        <v>0</v>
      </c>
      <c r="M521" s="80">
        <f>IFERROR(__xludf.DUMMYFUNCTION("""COMPUTED_VALUE"""),2.5)</f>
        <v>2.5</v>
      </c>
      <c r="N521" s="80">
        <f>IFERROR(__xludf.DUMMYFUNCTION("""COMPUTED_VALUE"""),1.5)</f>
        <v>1.5</v>
      </c>
      <c r="O521" s="80">
        <f>IFERROR(__xludf.DUMMYFUNCTION("""COMPUTED_VALUE"""),420.0)</f>
        <v>420</v>
      </c>
      <c r="P521" s="80">
        <f>IFERROR(__xludf.DUMMYFUNCTION("""COMPUTED_VALUE"""),1.1666666666666667)</f>
        <v>1.166666667</v>
      </c>
      <c r="Q521" s="80">
        <f>IFERROR(__xludf.DUMMYFUNCTION("""COMPUTED_VALUE"""),0.9999999999999999)</f>
        <v>1</v>
      </c>
      <c r="R521" s="80">
        <f>IFERROR(__xludf.DUMMYFUNCTION("""COMPUTED_VALUE"""),1.1666666666666665)</f>
        <v>1.166666667</v>
      </c>
      <c r="S521" s="80">
        <f>IFERROR(__xludf.DUMMYFUNCTION("""COMPUTED_VALUE"""),3.7499999999999996)</f>
        <v>3.75</v>
      </c>
      <c r="T521" s="80">
        <f>IFERROR(__xludf.DUMMYFUNCTION("""COMPUTED_VALUE"""),448.75132275132273)</f>
        <v>448.7513228</v>
      </c>
      <c r="U521" s="80">
        <f>IFERROR(__xludf.DUMMYFUNCTION("""COMPUTED_VALUE"""),1.2195767195767198)</f>
        <v>1.21957672</v>
      </c>
      <c r="V521" s="80">
        <f>IFERROR(__xludf.DUMMYFUNCTION("""COMPUTED_VALUE"""),0.9431216931216931)</f>
        <v>0.9431216931</v>
      </c>
      <c r="W521" s="80">
        <f>IFERROR(__xludf.DUMMYFUNCTION("""COMPUTED_VALUE"""),1.4325396825396826)</f>
        <v>1.432539683</v>
      </c>
      <c r="X521" s="80">
        <f>IFERROR(__xludf.DUMMYFUNCTION("""COMPUTED_VALUE"""),3.396825396825397)</f>
        <v>3.396825397</v>
      </c>
      <c r="Y521" s="80">
        <f>IFERROR(__xludf.DUMMYFUNCTION("""COMPUTED_VALUE"""),353.7716049382717)</f>
        <v>353.7716049</v>
      </c>
      <c r="Z521" s="80">
        <f>IFERROR(__xludf.DUMMYFUNCTION("""COMPUTED_VALUE"""),0.6124338624338624)</f>
        <v>0.6124338624</v>
      </c>
      <c r="AA521" s="80">
        <f>IFERROR(__xludf.DUMMYFUNCTION("""COMPUTED_VALUE"""),0.4863315696649029)</f>
        <v>0.4863315697</v>
      </c>
      <c r="AB521" s="80">
        <f>IFERROR(__xludf.DUMMYFUNCTION("""COMPUTED_VALUE"""),1.64373897707231)</f>
        <v>1.643738977</v>
      </c>
      <c r="AC521" s="80">
        <f>IFERROR(__xludf.DUMMYFUNCTION("""COMPUTED_VALUE"""),2.3778659611992943)</f>
        <v>2.377865961</v>
      </c>
      <c r="AD521" s="80">
        <f>IFERROR(__xludf.DUMMYFUNCTION("""COMPUTED_VALUE"""),0.9554186805325328)</f>
        <v>0.9554186805</v>
      </c>
      <c r="AE521" s="80">
        <f>IFERROR(__xludf.DUMMYFUNCTION("""COMPUTED_VALUE"""),0.408207343412527)</f>
        <v>0.4082073434</v>
      </c>
      <c r="AF521" s="80">
        <f>IFERROR(__xludf.DUMMYFUNCTION("""COMPUTED_VALUE"""),0.0)</f>
        <v>0</v>
      </c>
      <c r="AG521" s="80">
        <f>IFERROR(__xludf.DUMMYFUNCTION("""COMPUTED_VALUE"""),1.5209227467811162)</f>
        <v>1.520922747</v>
      </c>
      <c r="AH521" s="80">
        <f>IFERROR(__xludf.DUMMYFUNCTION("""COMPUTED_VALUE"""),0.630817726682737)</f>
        <v>0.6308177267</v>
      </c>
      <c r="AI521" s="80">
        <f>IFERROR(__xludf.DUMMYFUNCTION("""COMPUTED_VALUE"""),0.9359303888508973)</f>
        <v>0.9359303889</v>
      </c>
      <c r="AJ521" s="80">
        <f>IFERROR(__xludf.DUMMYFUNCTION("""COMPUTED_VALUE"""),0.9566160520607374)</f>
        <v>0.9566160521</v>
      </c>
      <c r="AK521" s="80">
        <f>IFERROR(__xludf.DUMMYFUNCTION("""COMPUTED_VALUE"""),1.0603085553997194)</f>
        <v>1.060308555</v>
      </c>
      <c r="AL521" s="80">
        <f>IFERROR(__xludf.DUMMYFUNCTION("""COMPUTED_VALUE"""),0.8144044321329639)</f>
        <v>0.8144044321</v>
      </c>
      <c r="AM521" s="80">
        <f>IFERROR(__xludf.DUMMYFUNCTION("""COMPUTED_VALUE"""),1.1039719626168223)</f>
        <v>1.103971963</v>
      </c>
      <c r="AN521" s="80">
        <f>IFERROR(__xludf.DUMMYFUNCTION("""COMPUTED_VALUE"""),0.9164373113345434)</f>
        <v>0.9164373113</v>
      </c>
      <c r="AO521" s="80">
        <f>IFERROR(__xludf.DUMMYFUNCTION("""COMPUTED_VALUE"""),0.325774072577698)</f>
        <v>0.3257740726</v>
      </c>
      <c r="AP521" s="80">
        <f>IFERROR(__xludf.DUMMYFUNCTION("""COMPUTED_VALUE"""),0.0)</f>
        <v>0</v>
      </c>
      <c r="AQ521" s="80">
        <f>IFERROR(__xludf.DUMMYFUNCTION("""COMPUTED_VALUE"""),1.707985282663557)</f>
        <v>1.707985283</v>
      </c>
      <c r="AR521" s="80">
        <f>IFERROR(__xludf.DUMMYFUNCTION("""COMPUTED_VALUE"""),0.5560036263848699)</f>
        <v>0.5560036264</v>
      </c>
      <c r="AS521" s="80">
        <f>IFERROR(__xludf.DUMMYFUNCTION("""COMPUTED_VALUE"""),3.0)</f>
        <v>3</v>
      </c>
      <c r="AT521" s="80">
        <f>IFERROR(__xludf.DUMMYFUNCTION("""COMPUTED_VALUE"""),0.08839229707775373)</f>
        <v>0.08839229708</v>
      </c>
      <c r="AU521" s="80">
        <f>IFERROR(__xludf.DUMMYFUNCTION("""COMPUTED_VALUE"""),0.9020560806511453)</f>
        <v>0.9020560807</v>
      </c>
      <c r="AV521" s="80">
        <f>IFERROR(__xludf.DUMMYFUNCTION("""COMPUTED_VALUE"""),-1.9490471373958513)</f>
        <v>-1.949047137</v>
      </c>
      <c r="AW521" s="82">
        <f t="shared" si="1"/>
        <v>-53.03229404</v>
      </c>
      <c r="AX521" s="83">
        <f t="array" ref="AX521">IFERROR(DGET('SBV Import'!A:G,"SBV",{"RSC ID","Tier";B521,A521}))</f>
        <v>9.697594944</v>
      </c>
      <c r="AY521" s="82">
        <f t="shared" si="2"/>
        <v>-18.70189982</v>
      </c>
      <c r="AZ521" s="82">
        <v>34.3303942208281</v>
      </c>
      <c r="BA521" s="84">
        <v>450.0</v>
      </c>
      <c r="BB521" s="84" t="b">
        <f>IFERROR(__xludf.DUMMYFUNCTION("iferror(if(A521="""",,E521&gt;=FILTER(Constants!$F$2:$F$10,Constants!$A$2:$A$10=A521)))"),TRUE)</f>
        <v>1</v>
      </c>
    </row>
    <row r="522">
      <c r="A522" s="80" t="str">
        <f>IFERROR(__xludf.DUMMYFUNCTION("""COMPUTED_VALUE"""),"Master")</f>
        <v>Master</v>
      </c>
      <c r="B522" s="80" t="str">
        <f>IFERROR(__xludf.DUMMYFUNCTION("""COMPUTED_VALUE"""),"RSC006704")</f>
        <v>RSC006704</v>
      </c>
      <c r="C522" s="80" t="str">
        <f>IFERROR(__xludf.DUMMYFUNCTION("""COMPUTED_VALUE"""),"noah")</f>
        <v>noah</v>
      </c>
      <c r="D522" s="80"/>
      <c r="E522" s="80">
        <f>IFERROR(__xludf.DUMMYFUNCTION("""COMPUTED_VALUE"""),4.0)</f>
        <v>4</v>
      </c>
      <c r="F522" s="80">
        <f>IFERROR(__xludf.DUMMYFUNCTION("""COMPUTED_VALUE"""),0.0)</f>
        <v>0</v>
      </c>
      <c r="G522" s="80">
        <f>IFERROR(__xludf.DUMMYFUNCTION("""COMPUTED_VALUE"""),4.0)</f>
        <v>4</v>
      </c>
      <c r="H522" s="81">
        <f>IFERROR(__xludf.DUMMYFUNCTION("""COMPUTED_VALUE"""),0.0)</f>
        <v>0</v>
      </c>
      <c r="I522" s="81">
        <f>IFERROR(__xludf.DUMMYFUNCTION("""COMPUTED_VALUE"""),0.0)</f>
        <v>0</v>
      </c>
      <c r="J522" s="80">
        <f>IFERROR(__xludf.DUMMYFUNCTION("""COMPUTED_VALUE"""),175.25)</f>
        <v>175.25</v>
      </c>
      <c r="K522" s="80">
        <f>IFERROR(__xludf.DUMMYFUNCTION("""COMPUTED_VALUE"""),0.0)</f>
        <v>0</v>
      </c>
      <c r="L522" s="80">
        <f>IFERROR(__xludf.DUMMYFUNCTION("""COMPUTED_VALUE"""),0.25)</f>
        <v>0.25</v>
      </c>
      <c r="M522" s="80">
        <f>IFERROR(__xludf.DUMMYFUNCTION("""COMPUTED_VALUE"""),0.75)</f>
        <v>0.75</v>
      </c>
      <c r="N522" s="80">
        <f>IFERROR(__xludf.DUMMYFUNCTION("""COMPUTED_VALUE"""),2.25)</f>
        <v>2.25</v>
      </c>
      <c r="O522" s="80">
        <f>IFERROR(__xludf.DUMMYFUNCTION("""COMPUTED_VALUE"""),447.8333333333333)</f>
        <v>447.8333333</v>
      </c>
      <c r="P522" s="80">
        <f>IFERROR(__xludf.DUMMYFUNCTION("""COMPUTED_VALUE"""),1.1666666666666667)</f>
        <v>1.166666667</v>
      </c>
      <c r="Q522" s="80">
        <f>IFERROR(__xludf.DUMMYFUNCTION("""COMPUTED_VALUE"""),0.8333333333333334)</f>
        <v>0.8333333333</v>
      </c>
      <c r="R522" s="80">
        <f>IFERROR(__xludf.DUMMYFUNCTION("""COMPUTED_VALUE"""),2.0)</f>
        <v>2</v>
      </c>
      <c r="S522" s="80">
        <f>IFERROR(__xludf.DUMMYFUNCTION("""COMPUTED_VALUE"""),3.0)</f>
        <v>3</v>
      </c>
      <c r="T522" s="80">
        <f>IFERROR(__xludf.DUMMYFUNCTION("""COMPUTED_VALUE"""),448.75132275132273)</f>
        <v>448.7513228</v>
      </c>
      <c r="U522" s="80">
        <f>IFERROR(__xludf.DUMMYFUNCTION("""COMPUTED_VALUE"""),1.2195767195767195)</f>
        <v>1.21957672</v>
      </c>
      <c r="V522" s="80">
        <f>IFERROR(__xludf.DUMMYFUNCTION("""COMPUTED_VALUE"""),0.943121693121693)</f>
        <v>0.9431216931</v>
      </c>
      <c r="W522" s="80">
        <f>IFERROR(__xludf.DUMMYFUNCTION("""COMPUTED_VALUE"""),1.4325396825396826)</f>
        <v>1.432539683</v>
      </c>
      <c r="X522" s="80">
        <f>IFERROR(__xludf.DUMMYFUNCTION("""COMPUTED_VALUE"""),3.396825396825397)</f>
        <v>3.396825397</v>
      </c>
      <c r="Y522" s="80">
        <f>IFERROR(__xludf.DUMMYFUNCTION("""COMPUTED_VALUE"""),353.7716049382717)</f>
        <v>353.7716049</v>
      </c>
      <c r="Z522" s="80">
        <f>IFERROR(__xludf.DUMMYFUNCTION("""COMPUTED_VALUE"""),0.6124338624338624)</f>
        <v>0.6124338624</v>
      </c>
      <c r="AA522" s="80">
        <f>IFERROR(__xludf.DUMMYFUNCTION("""COMPUTED_VALUE"""),0.4863315696649029)</f>
        <v>0.4863315697</v>
      </c>
      <c r="AB522" s="80">
        <f>IFERROR(__xludf.DUMMYFUNCTION("""COMPUTED_VALUE"""),1.64373897707231)</f>
        <v>1.643738977</v>
      </c>
      <c r="AC522" s="80">
        <f>IFERROR(__xludf.DUMMYFUNCTION("""COMPUTED_VALUE"""),2.3778659611992943)</f>
        <v>2.377865961</v>
      </c>
      <c r="AD522" s="80">
        <f>IFERROR(__xludf.DUMMYFUNCTION("""COMPUTED_VALUE"""),0.4953761058086579)</f>
        <v>0.4953761058</v>
      </c>
      <c r="AE522" s="80">
        <f>IFERROR(__xludf.DUMMYFUNCTION("""COMPUTED_VALUE"""),0.0)</f>
        <v>0</v>
      </c>
      <c r="AF522" s="80">
        <f>IFERROR(__xludf.DUMMYFUNCTION("""COMPUTED_VALUE"""),0.5140525838621941)</f>
        <v>0.5140525839</v>
      </c>
      <c r="AG522" s="80">
        <f>IFERROR(__xludf.DUMMYFUNCTION("""COMPUTED_VALUE"""),0.45627682403433484)</f>
        <v>0.456276824</v>
      </c>
      <c r="AH522" s="80">
        <f>IFERROR(__xludf.DUMMYFUNCTION("""COMPUTED_VALUE"""),0.9462265900241055)</f>
        <v>0.94622659</v>
      </c>
      <c r="AI522" s="80">
        <f>IFERROR(__xludf.DUMMYFUNCTION("""COMPUTED_VALUE"""),0.997954347159667)</f>
        <v>0.9979543472</v>
      </c>
      <c r="AJ522" s="80">
        <f>IFERROR(__xludf.DUMMYFUNCTION("""COMPUTED_VALUE"""),0.9566160520607376)</f>
        <v>0.9566160521</v>
      </c>
      <c r="AK522" s="80">
        <f>IFERROR(__xludf.DUMMYFUNCTION("""COMPUTED_VALUE"""),0.8835904628330997)</f>
        <v>0.8835904628</v>
      </c>
      <c r="AL522" s="80">
        <f>IFERROR(__xludf.DUMMYFUNCTION("""COMPUTED_VALUE"""),1.3961218836565097)</f>
        <v>1.396121884</v>
      </c>
      <c r="AM522" s="80">
        <f>IFERROR(__xludf.DUMMYFUNCTION("""COMPUTED_VALUE"""),0.8831775700934579)</f>
        <v>0.8831775701</v>
      </c>
      <c r="AN522" s="80">
        <f>IFERROR(__xludf.DUMMYFUNCTION("""COMPUTED_VALUE"""),0.4751646118679844)</f>
        <v>0.4751646119</v>
      </c>
      <c r="AO522" s="80">
        <f>IFERROR(__xludf.DUMMYFUNCTION("""COMPUTED_VALUE"""),0.0)</f>
        <v>0</v>
      </c>
      <c r="AP522" s="80">
        <f>IFERROR(__xludf.DUMMYFUNCTION("""COMPUTED_VALUE"""),0.39245433589303064)</f>
        <v>0.3924543359</v>
      </c>
      <c r="AQ522" s="80">
        <f>IFERROR(__xludf.DUMMYFUNCTION("""COMPUTED_VALUE"""),0.5123955847990671)</f>
        <v>0.5123955848</v>
      </c>
      <c r="AR522" s="80">
        <f>IFERROR(__xludf.DUMMYFUNCTION("""COMPUTED_VALUE"""),0.8340054395773049)</f>
        <v>0.8340054396</v>
      </c>
      <c r="AS522" s="80">
        <f>IFERROR(__xludf.DUMMYFUNCTION("""COMPUTED_VALUE"""),2.0)</f>
        <v>2</v>
      </c>
      <c r="AT522" s="80">
        <f>IFERROR(__xludf.DUMMYFUNCTION("""COMPUTED_VALUE"""),0.052313469115238466)</f>
        <v>0.05231346912</v>
      </c>
      <c r="AU522" s="80">
        <f>IFERROR(__xludf.DUMMYFUNCTION("""COMPUTED_VALUE"""),0.7434913179825415)</f>
        <v>0.743491318</v>
      </c>
      <c r="AV522" s="80">
        <f>IFERROR(__xludf.DUMMYFUNCTION("""COMPUTED_VALUE"""),-5.823514547389664)</f>
        <v>-5.823514547</v>
      </c>
      <c r="AW522" s="82">
        <f t="shared" si="1"/>
        <v>-78.26911622</v>
      </c>
      <c r="AX522" s="83">
        <f t="array" ref="AX522">IFERROR(DGET('SBV Import'!A:G,"SBV",{"RSC ID","Tier";B522,A522}))</f>
        <v>-24.03480457</v>
      </c>
      <c r="AY522" s="82">
        <f t="shared" si="2"/>
        <v>-653.0576044</v>
      </c>
      <c r="AZ522" s="82">
        <v>574.7884881885992</v>
      </c>
      <c r="BA522" s="84">
        <v>450.0</v>
      </c>
      <c r="BB522" s="84" t="b">
        <f>IFERROR(__xludf.DUMMYFUNCTION("iferror(if(A522="""",,E522&gt;=FILTER(Constants!$F$2:$F$10,Constants!$A$2:$A$10=A522)))"),TRUE)</f>
        <v>1</v>
      </c>
    </row>
    <row r="523">
      <c r="A523" s="80" t="str">
        <f>IFERROR(__xludf.DUMMYFUNCTION("""COMPUTED_VALUE"""),"Master")</f>
        <v>Master</v>
      </c>
      <c r="B523" s="80" t="str">
        <f>IFERROR(__xludf.DUMMYFUNCTION("""COMPUTED_VALUE"""),"RSC007924")</f>
        <v>RSC007924</v>
      </c>
      <c r="C523" s="80" t="str">
        <f>IFERROR(__xludf.DUMMYFUNCTION("""COMPUTED_VALUE"""),"Kaorix")</f>
        <v>Kaorix</v>
      </c>
      <c r="D523" s="80"/>
      <c r="E523" s="80">
        <f>IFERROR(__xludf.DUMMYFUNCTION("""COMPUTED_VALUE"""),4.0)</f>
        <v>4</v>
      </c>
      <c r="F523" s="80">
        <f>IFERROR(__xludf.DUMMYFUNCTION("""COMPUTED_VALUE"""),1.0)</f>
        <v>1</v>
      </c>
      <c r="G523" s="80">
        <f>IFERROR(__xludf.DUMMYFUNCTION("""COMPUTED_VALUE"""),3.0)</f>
        <v>3</v>
      </c>
      <c r="H523" s="81">
        <f>IFERROR(__xludf.DUMMYFUNCTION("""COMPUTED_VALUE"""),0.25)</f>
        <v>0.25</v>
      </c>
      <c r="I523" s="81">
        <f>IFERROR(__xludf.DUMMYFUNCTION("""COMPUTED_VALUE"""),0.14285714285714285)</f>
        <v>0.1428571429</v>
      </c>
      <c r="J523" s="80">
        <f>IFERROR(__xludf.DUMMYFUNCTION("""COMPUTED_VALUE"""),249.25)</f>
        <v>249.25</v>
      </c>
      <c r="K523" s="80">
        <f>IFERROR(__xludf.DUMMYFUNCTION("""COMPUTED_VALUE"""),0.25)</f>
        <v>0.25</v>
      </c>
      <c r="L523" s="80">
        <f>IFERROR(__xludf.DUMMYFUNCTION("""COMPUTED_VALUE"""),0.0)</f>
        <v>0</v>
      </c>
      <c r="M523" s="80">
        <f>IFERROR(__xludf.DUMMYFUNCTION("""COMPUTED_VALUE"""),1.25)</f>
        <v>1.25</v>
      </c>
      <c r="N523" s="80">
        <f>IFERROR(__xludf.DUMMYFUNCTION("""COMPUTED_VALUE"""),1.75)</f>
        <v>1.75</v>
      </c>
      <c r="O523" s="80">
        <f>IFERROR(__xludf.DUMMYFUNCTION("""COMPUTED_VALUE"""),385.8333333333333)</f>
        <v>385.8333333</v>
      </c>
      <c r="P523" s="80">
        <f>IFERROR(__xludf.DUMMYFUNCTION("""COMPUTED_VALUE"""),1.0833333333333335)</f>
        <v>1.083333333</v>
      </c>
      <c r="Q523" s="80">
        <f>IFERROR(__xludf.DUMMYFUNCTION("""COMPUTED_VALUE"""),0.7499999999999999)</f>
        <v>0.75</v>
      </c>
      <c r="R523" s="80">
        <f>IFERROR(__xludf.DUMMYFUNCTION("""COMPUTED_VALUE"""),1.0833333333333333)</f>
        <v>1.083333333</v>
      </c>
      <c r="S523" s="80">
        <f>IFERROR(__xludf.DUMMYFUNCTION("""COMPUTED_VALUE"""),2.75)</f>
        <v>2.75</v>
      </c>
      <c r="T523" s="80">
        <f>IFERROR(__xludf.DUMMYFUNCTION("""COMPUTED_VALUE"""),400.86942239858905)</f>
        <v>400.8694224</v>
      </c>
      <c r="U523" s="80">
        <f>IFERROR(__xludf.DUMMYFUNCTION("""COMPUTED_VALUE"""),0.9607197971781306)</f>
        <v>0.9607197972</v>
      </c>
      <c r="V523" s="80">
        <f>IFERROR(__xludf.DUMMYFUNCTION("""COMPUTED_VALUE"""),0.7243386243386244)</f>
        <v>0.7243386243</v>
      </c>
      <c r="W523" s="80">
        <f>IFERROR(__xludf.DUMMYFUNCTION("""COMPUTED_VALUE"""),1.3560901675485009)</f>
        <v>1.356090168</v>
      </c>
      <c r="X523" s="80">
        <f>IFERROR(__xludf.DUMMYFUNCTION("""COMPUTED_VALUE"""),3.066572971781305)</f>
        <v>3.066572972</v>
      </c>
      <c r="Y523" s="80">
        <f>IFERROR(__xludf.DUMMYFUNCTION("""COMPUTED_VALUE"""),372.5595072751322)</f>
        <v>372.5595073</v>
      </c>
      <c r="Z523" s="80">
        <f>IFERROR(__xludf.DUMMYFUNCTION("""COMPUTED_VALUE"""),0.7056455761316873)</f>
        <v>0.7056455761</v>
      </c>
      <c r="AA523" s="80">
        <f>IFERROR(__xludf.DUMMYFUNCTION("""COMPUTED_VALUE"""),0.5314079952968842)</f>
        <v>0.5314079953</v>
      </c>
      <c r="AB523" s="80">
        <f>IFERROR(__xludf.DUMMYFUNCTION("""COMPUTED_VALUE"""),1.6452307466196354)</f>
        <v>1.645230747</v>
      </c>
      <c r="AC523" s="80">
        <f>IFERROR(__xludf.DUMMYFUNCTION("""COMPUTED_VALUE"""),2.467781819517931)</f>
        <v>2.46778182</v>
      </c>
      <c r="AD523" s="80">
        <f>IFERROR(__xludf.DUMMYFUNCTION("""COMPUTED_VALUE"""),0.6690206400126326)</f>
        <v>0.66902064</v>
      </c>
      <c r="AE523" s="80">
        <f>IFERROR(__xludf.DUMMYFUNCTION("""COMPUTED_VALUE"""),0.3542855060049935)</f>
        <v>0.354285506</v>
      </c>
      <c r="AF523" s="80">
        <f>IFERROR(__xludf.DUMMYFUNCTION("""COMPUTED_VALUE"""),0.0)</f>
        <v>0</v>
      </c>
      <c r="AG523" s="80">
        <f>IFERROR(__xludf.DUMMYFUNCTION("""COMPUTED_VALUE"""),0.7597718451155291)</f>
        <v>0.7597718451</v>
      </c>
      <c r="AH523" s="80">
        <f>IFERROR(__xludf.DUMMYFUNCTION("""COMPUTED_VALUE"""),0.7091388655832849)</f>
        <v>0.7091388656</v>
      </c>
      <c r="AI523" s="80">
        <f>IFERROR(__xludf.DUMMYFUNCTION("""COMPUTED_VALUE"""),0.9624913045866961)</f>
        <v>0.9624913046</v>
      </c>
      <c r="AJ523" s="80">
        <f>IFERROR(__xludf.DUMMYFUNCTION("""COMPUTED_VALUE"""),1.1276267404037565)</f>
        <v>1.12762674</v>
      </c>
      <c r="AK523" s="80">
        <f>IFERROR(__xludf.DUMMYFUNCTION("""COMPUTED_VALUE"""),1.0354273192111028)</f>
        <v>1.035427319</v>
      </c>
      <c r="AL523" s="80">
        <f>IFERROR(__xludf.DUMMYFUNCTION("""COMPUTED_VALUE"""),0.7988652666745242)</f>
        <v>0.7988652667</v>
      </c>
      <c r="AM523" s="80">
        <f>IFERROR(__xludf.DUMMYFUNCTION("""COMPUTED_VALUE"""),0.8967665290555878)</f>
        <v>0.8967665291</v>
      </c>
      <c r="AN523" s="80">
        <f>IFERROR(__xludf.DUMMYFUNCTION("""COMPUTED_VALUE"""),0.6758047332844229)</f>
        <v>0.6758047333</v>
      </c>
      <c r="AO523" s="80">
        <f>IFERROR(__xludf.DUMMYFUNCTION("""COMPUTED_VALUE"""),0.325774072577698)</f>
        <v>0.3257740726</v>
      </c>
      <c r="AP523" s="80">
        <f>IFERROR(__xludf.DUMMYFUNCTION("""COMPUTED_VALUE"""),0.0)</f>
        <v>0</v>
      </c>
      <c r="AQ523" s="80">
        <f>IFERROR(__xludf.DUMMYFUNCTION("""COMPUTED_VALUE"""),0.8539926413317785)</f>
        <v>0.8539926413</v>
      </c>
      <c r="AR523" s="80">
        <f>IFERROR(__xludf.DUMMYFUNCTION("""COMPUTED_VALUE"""),0.648670897449015)</f>
        <v>0.6486708974</v>
      </c>
      <c r="AS523" s="80">
        <f>IFERROR(__xludf.DUMMYFUNCTION("""COMPUTED_VALUE"""),8.0)</f>
        <v>8</v>
      </c>
      <c r="AT523" s="80">
        <f>IFERROR(__xludf.DUMMYFUNCTION("""COMPUTED_VALUE"""),0.3140149230069259)</f>
        <v>0.314014923</v>
      </c>
      <c r="AU523" s="80">
        <f>IFERROR(__xludf.DUMMYFUNCTION("""COMPUTED_VALUE"""),0.6471465473940439)</f>
        <v>0.6471465474</v>
      </c>
      <c r="AV523" s="80">
        <f>IFERROR(__xludf.DUMMYFUNCTION("""COMPUTED_VALUE"""),-8.177661001407422)</f>
        <v>-8.177661001</v>
      </c>
      <c r="AW523" s="82">
        <f t="shared" si="1"/>
        <v>-100.2024046</v>
      </c>
      <c r="AX523" s="83">
        <f t="array" ref="AX523">IFERROR(DGET('SBV Import'!A:G,"SBV",{"RSC ID","Tier";B523,A523}))</f>
        <v>-8.618480704</v>
      </c>
      <c r="AY523" s="82">
        <f t="shared" si="2"/>
        <v>-105.0398578</v>
      </c>
      <c r="AZ523" s="82">
        <v>4.8374531195124035</v>
      </c>
      <c r="BA523" s="84">
        <v>450.0</v>
      </c>
      <c r="BB523" s="84" t="b">
        <f>IFERROR(__xludf.DUMMYFUNCTION("iferror(if(A523="""",,E523&gt;=FILTER(Constants!$F$2:$F$10,Constants!$A$2:$A$10=A523)))"),TRUE)</f>
        <v>1</v>
      </c>
    </row>
    <row r="524">
      <c r="A524" s="80" t="str">
        <f>IFERROR(__xludf.DUMMYFUNCTION("""COMPUTED_VALUE"""),"Master")</f>
        <v>Master</v>
      </c>
      <c r="B524" s="80" t="str">
        <f>IFERROR(__xludf.DUMMYFUNCTION("""COMPUTED_VALUE"""),"RSC005301")</f>
        <v>RSC005301</v>
      </c>
      <c r="C524" s="80" t="str">
        <f>IFERROR(__xludf.DUMMYFUNCTION("""COMPUTED_VALUE"""),"Nehtaro")</f>
        <v>Nehtaro</v>
      </c>
      <c r="D524" s="80"/>
      <c r="E524" s="80">
        <f>IFERROR(__xludf.DUMMYFUNCTION("""COMPUTED_VALUE"""),2.0)</f>
        <v>2</v>
      </c>
      <c r="F524" s="80">
        <f>IFERROR(__xludf.DUMMYFUNCTION("""COMPUTED_VALUE"""),0.0)</f>
        <v>0</v>
      </c>
      <c r="G524" s="80">
        <f>IFERROR(__xludf.DUMMYFUNCTION("""COMPUTED_VALUE"""),2.0)</f>
        <v>2</v>
      </c>
      <c r="H524" s="81">
        <f>IFERROR(__xludf.DUMMYFUNCTION("""COMPUTED_VALUE"""),0.0)</f>
        <v>0</v>
      </c>
      <c r="I524" s="81">
        <f>IFERROR(__xludf.DUMMYFUNCTION("""COMPUTED_VALUE"""),0.0)</f>
        <v>0</v>
      </c>
      <c r="J524" s="80">
        <f>IFERROR(__xludf.DUMMYFUNCTION("""COMPUTED_VALUE"""),239.5)</f>
        <v>239.5</v>
      </c>
      <c r="K524" s="80">
        <f>IFERROR(__xludf.DUMMYFUNCTION("""COMPUTED_VALUE"""),0.0)</f>
        <v>0</v>
      </c>
      <c r="L524" s="80">
        <f>IFERROR(__xludf.DUMMYFUNCTION("""COMPUTED_VALUE"""),0.5)</f>
        <v>0.5</v>
      </c>
      <c r="M524" s="80">
        <f>IFERROR(__xludf.DUMMYFUNCTION("""COMPUTED_VALUE"""),1.5)</f>
        <v>1.5</v>
      </c>
      <c r="N524" s="80">
        <f>IFERROR(__xludf.DUMMYFUNCTION("""COMPUTED_VALUE"""),2.5)</f>
        <v>2.5</v>
      </c>
      <c r="O524" s="80">
        <f>IFERROR(__xludf.DUMMYFUNCTION("""COMPUTED_VALUE"""),530.0)</f>
        <v>530</v>
      </c>
      <c r="P524" s="80">
        <f>IFERROR(__xludf.DUMMYFUNCTION("""COMPUTED_VALUE"""),1.5)</f>
        <v>1.5</v>
      </c>
      <c r="Q524" s="80">
        <f>IFERROR(__xludf.DUMMYFUNCTION("""COMPUTED_VALUE"""),1.5)</f>
        <v>1.5</v>
      </c>
      <c r="R524" s="80">
        <f>IFERROR(__xludf.DUMMYFUNCTION("""COMPUTED_VALUE"""),2.0)</f>
        <v>2</v>
      </c>
      <c r="S524" s="80">
        <f>IFERROR(__xludf.DUMMYFUNCTION("""COMPUTED_VALUE"""),4.0)</f>
        <v>4</v>
      </c>
      <c r="T524" s="80">
        <f>IFERROR(__xludf.DUMMYFUNCTION("""COMPUTED_VALUE"""),391.9192699946323)</f>
        <v>391.91927</v>
      </c>
      <c r="U524" s="80">
        <f>IFERROR(__xludf.DUMMYFUNCTION("""COMPUTED_VALUE"""),0.9425964266543977)</f>
        <v>0.9425964267</v>
      </c>
      <c r="V524" s="80">
        <f>IFERROR(__xludf.DUMMYFUNCTION("""COMPUTED_VALUE"""),0.7107277049306036)</f>
        <v>0.7107277049</v>
      </c>
      <c r="W524" s="80">
        <f>IFERROR(__xludf.DUMMYFUNCTION("""COMPUTED_VALUE"""),1.5511233801088873)</f>
        <v>1.55112338</v>
      </c>
      <c r="X524" s="80">
        <f>IFERROR(__xludf.DUMMYFUNCTION("""COMPUTED_VALUE"""),3.185752626332336)</f>
        <v>3.185752626</v>
      </c>
      <c r="Y524" s="80">
        <f>IFERROR(__xludf.DUMMYFUNCTION("""COMPUTED_VALUE"""),426.23681721749364)</f>
        <v>426.2368172</v>
      </c>
      <c r="Z524" s="80">
        <f>IFERROR(__xludf.DUMMYFUNCTION("""COMPUTED_VALUE"""),1.0582317306954987)</f>
        <v>1.058231731</v>
      </c>
      <c r="AA524" s="80">
        <f>IFERROR(__xludf.DUMMYFUNCTION("""COMPUTED_VALUE"""),0.8766965723487461)</f>
        <v>0.8766965723</v>
      </c>
      <c r="AB524" s="80">
        <f>IFERROR(__xludf.DUMMYFUNCTION("""COMPUTED_VALUE"""),1.6579454540807201)</f>
        <v>1.657945454</v>
      </c>
      <c r="AC524" s="80">
        <f>IFERROR(__xludf.DUMMYFUNCTION("""COMPUTED_VALUE"""),3.164798200546993)</f>
        <v>3.164798201</v>
      </c>
      <c r="AD524" s="80">
        <f>IFERROR(__xludf.DUMMYFUNCTION("""COMPUTED_VALUE"""),0.5618942107429251)</f>
        <v>0.5618942107</v>
      </c>
      <c r="AE524" s="80">
        <f>IFERROR(__xludf.DUMMYFUNCTION("""COMPUTED_VALUE"""),0.0)</f>
        <v>0</v>
      </c>
      <c r="AF524" s="80">
        <f>IFERROR(__xludf.DUMMYFUNCTION("""COMPUTED_VALUE"""),0.5703227499344006)</f>
        <v>0.5703227499</v>
      </c>
      <c r="AG524" s="80">
        <f>IFERROR(__xludf.DUMMYFUNCTION("""COMPUTED_VALUE"""),0.9047342277202383)</f>
        <v>0.9047342277</v>
      </c>
      <c r="AH524" s="80">
        <f>IFERROR(__xludf.DUMMYFUNCTION("""COMPUTED_VALUE"""),0.7899397818059642)</f>
        <v>0.7899397818</v>
      </c>
      <c r="AI524" s="80">
        <f>IFERROR(__xludf.DUMMYFUNCTION("""COMPUTED_VALUE"""),1.3523193182291313)</f>
        <v>1.352319318</v>
      </c>
      <c r="AJ524" s="80">
        <f>IFERROR(__xludf.DUMMYFUNCTION("""COMPUTED_VALUE"""),1.5913491262894146)</f>
        <v>1.591349126</v>
      </c>
      <c r="AK524" s="80">
        <f>IFERROR(__xludf.DUMMYFUNCTION("""COMPUTED_VALUE"""),2.1105129145717796)</f>
        <v>2.110512915</v>
      </c>
      <c r="AL524" s="80">
        <f>IFERROR(__xludf.DUMMYFUNCTION("""COMPUTED_VALUE"""),1.2893880819845562)</f>
        <v>1.289388082</v>
      </c>
      <c r="AM524" s="80">
        <f>IFERROR(__xludf.DUMMYFUNCTION("""COMPUTED_VALUE"""),1.25559026992158)</f>
        <v>1.25559027</v>
      </c>
      <c r="AN524" s="80">
        <f>IFERROR(__xludf.DUMMYFUNCTION("""COMPUTED_VALUE"""),0.649369041611311)</f>
        <v>0.6493690416</v>
      </c>
      <c r="AO524" s="80">
        <f>IFERROR(__xludf.DUMMYFUNCTION("""COMPUTED_VALUE"""),0.0)</f>
        <v>0</v>
      </c>
      <c r="AP524" s="80">
        <f>IFERROR(__xludf.DUMMYFUNCTION("""COMPUTED_VALUE"""),0.7849086717860613)</f>
        <v>0.7849086718</v>
      </c>
      <c r="AQ524" s="80">
        <f>IFERROR(__xludf.DUMMYFUNCTION("""COMPUTED_VALUE"""),1.0247911695981342)</f>
        <v>1.02479117</v>
      </c>
      <c r="AR524" s="80">
        <f>IFERROR(__xludf.DUMMYFUNCTION("""COMPUTED_VALUE"""),0.9266727106414498)</f>
        <v>0.9266727106</v>
      </c>
      <c r="AS524" s="80">
        <f>IFERROR(__xludf.DUMMYFUNCTION("""COMPUTED_VALUE"""),5.0)</f>
        <v>5</v>
      </c>
      <c r="AT524" s="80">
        <f>IFERROR(__xludf.DUMMYFUNCTION("""COMPUTED_VALUE"""),0.26357777693216294)</f>
        <v>0.2635777769</v>
      </c>
      <c r="AU524" s="80">
        <f>IFERROR(__xludf.DUMMYFUNCTION("""COMPUTED_VALUE"""),0.459576560156906)</f>
        <v>0.4595765602</v>
      </c>
      <c r="AV524" s="80">
        <f>IFERROR(__xludf.DUMMYFUNCTION("""COMPUTED_VALUE"""),-12.760859628974494)</f>
        <v>-12.76085963</v>
      </c>
      <c r="AW524" s="82">
        <f t="shared" si="1"/>
        <v>-165.8612319</v>
      </c>
      <c r="AX524" s="83">
        <f t="array" ref="AX524">IFERROR(DGET('SBV Import'!A:G,"SBV",{"RSC ID","Tier";B524,A524}))</f>
        <v>-20.86893872</v>
      </c>
      <c r="AY524" s="82">
        <f t="shared" si="2"/>
        <v>-436.1053779</v>
      </c>
      <c r="AZ524" s="82">
        <v>270.2441459434837</v>
      </c>
      <c r="BA524" s="84">
        <v>450.0</v>
      </c>
      <c r="BB524" s="84" t="b">
        <f>IFERROR(__xludf.DUMMYFUNCTION("iferror(if(A524="""",,E524&gt;=FILTER(Constants!$F$2:$F$10,Constants!$A$2:$A$10=A524)))"),TRUE)</f>
        <v>1</v>
      </c>
    </row>
    <row r="525">
      <c r="A525" s="80" t="str">
        <f>IFERROR(__xludf.DUMMYFUNCTION("""COMPUTED_VALUE"""),"Master")</f>
        <v>Master</v>
      </c>
      <c r="B525" s="80" t="str">
        <f>IFERROR(__xludf.DUMMYFUNCTION("""COMPUTED_VALUE"""),"RSC003412")</f>
        <v>RSC003412</v>
      </c>
      <c r="C525" s="80" t="str">
        <f>IFERROR(__xludf.DUMMYFUNCTION("""COMPUTED_VALUE"""),"Python")</f>
        <v>Python</v>
      </c>
      <c r="D525" s="80"/>
      <c r="E525" s="80">
        <f>IFERROR(__xludf.DUMMYFUNCTION("""COMPUTED_VALUE"""),4.0)</f>
        <v>4</v>
      </c>
      <c r="F525" s="80">
        <f>IFERROR(__xludf.DUMMYFUNCTION("""COMPUTED_VALUE"""),1.0)</f>
        <v>1</v>
      </c>
      <c r="G525" s="80">
        <f>IFERROR(__xludf.DUMMYFUNCTION("""COMPUTED_VALUE"""),3.0)</f>
        <v>3</v>
      </c>
      <c r="H525" s="81">
        <f>IFERROR(__xludf.DUMMYFUNCTION("""COMPUTED_VALUE"""),0.25)</f>
        <v>0.25</v>
      </c>
      <c r="I525" s="81">
        <f>IFERROR(__xludf.DUMMYFUNCTION("""COMPUTED_VALUE"""),0.3333333333333333)</f>
        <v>0.3333333333</v>
      </c>
      <c r="J525" s="80">
        <f>IFERROR(__xludf.DUMMYFUNCTION("""COMPUTED_VALUE"""),186.75)</f>
        <v>186.75</v>
      </c>
      <c r="K525" s="80">
        <f>IFERROR(__xludf.DUMMYFUNCTION("""COMPUTED_VALUE"""),0.25)</f>
        <v>0.25</v>
      </c>
      <c r="L525" s="80">
        <f>IFERROR(__xludf.DUMMYFUNCTION("""COMPUTED_VALUE"""),0.0)</f>
        <v>0</v>
      </c>
      <c r="M525" s="80">
        <f>IFERROR(__xludf.DUMMYFUNCTION("""COMPUTED_VALUE"""),0.75)</f>
        <v>0.75</v>
      </c>
      <c r="N525" s="80">
        <f>IFERROR(__xludf.DUMMYFUNCTION("""COMPUTED_VALUE"""),0.75)</f>
        <v>0.75</v>
      </c>
      <c r="O525" s="80">
        <f>IFERROR(__xludf.DUMMYFUNCTION("""COMPUTED_VALUE"""),489.0833333333333)</f>
        <v>489.0833333</v>
      </c>
      <c r="P525" s="80">
        <f>IFERROR(__xludf.DUMMYFUNCTION("""COMPUTED_VALUE"""),1.6666666666666667)</f>
        <v>1.666666667</v>
      </c>
      <c r="Q525" s="80">
        <f>IFERROR(__xludf.DUMMYFUNCTION("""COMPUTED_VALUE"""),1.4166666666666667)</f>
        <v>1.416666667</v>
      </c>
      <c r="R525" s="80">
        <f>IFERROR(__xludf.DUMMYFUNCTION("""COMPUTED_VALUE"""),1.0833333333333335)</f>
        <v>1.083333333</v>
      </c>
      <c r="S525" s="80">
        <f>IFERROR(__xludf.DUMMYFUNCTION("""COMPUTED_VALUE"""),3.8333333333333335)</f>
        <v>3.833333333</v>
      </c>
      <c r="T525" s="80">
        <f>IFERROR(__xludf.DUMMYFUNCTION("""COMPUTED_VALUE"""),416.07950513538754)</f>
        <v>416.0795051</v>
      </c>
      <c r="U525" s="80">
        <f>IFERROR(__xludf.DUMMYFUNCTION("""COMPUTED_VALUE"""),1.0084967320261438)</f>
        <v>1.008496732</v>
      </c>
      <c r="V525" s="80">
        <f>IFERROR(__xludf.DUMMYFUNCTION("""COMPUTED_VALUE"""),0.7140989729225024)</f>
        <v>0.7140989729</v>
      </c>
      <c r="W525" s="80">
        <f>IFERROR(__xludf.DUMMYFUNCTION("""COMPUTED_VALUE"""),1.599766573295985)</f>
        <v>1.599766573</v>
      </c>
      <c r="X525" s="80">
        <f>IFERROR(__xludf.DUMMYFUNCTION("""COMPUTED_VALUE"""),2.8646825396825397)</f>
        <v>2.86468254</v>
      </c>
      <c r="Y525" s="80">
        <f>IFERROR(__xludf.DUMMYFUNCTION("""COMPUTED_VALUE"""),353.27124183006543)</f>
        <v>353.2712418</v>
      </c>
      <c r="Z525" s="80">
        <f>IFERROR(__xludf.DUMMYFUNCTION("""COMPUTED_VALUE"""),0.7457983193277311)</f>
        <v>0.7457983193</v>
      </c>
      <c r="AA525" s="80">
        <f>IFERROR(__xludf.DUMMYFUNCTION("""COMPUTED_VALUE"""),0.5947012138188609)</f>
        <v>0.5947012138</v>
      </c>
      <c r="AB525" s="80">
        <f>IFERROR(__xludf.DUMMYFUNCTION("""COMPUTED_VALUE"""),1.3642779333955806)</f>
        <v>1.364277933</v>
      </c>
      <c r="AC525" s="80">
        <f>IFERROR(__xludf.DUMMYFUNCTION("""COMPUTED_VALUE"""),2.7820883909119196)</f>
        <v>2.782088391</v>
      </c>
      <c r="AD525" s="80">
        <f>IFERROR(__xludf.DUMMYFUNCTION("""COMPUTED_VALUE"""),0.5286306324640844)</f>
        <v>0.5286306325</v>
      </c>
      <c r="AE525" s="80">
        <f>IFERROR(__xludf.DUMMYFUNCTION("""COMPUTED_VALUE"""),0.3352112676056338)</f>
        <v>0.3352112676</v>
      </c>
      <c r="AF525" s="80">
        <f>IFERROR(__xludf.DUMMYFUNCTION("""COMPUTED_VALUE"""),0.0)</f>
        <v>0</v>
      </c>
      <c r="AG525" s="80">
        <f>IFERROR(__xludf.DUMMYFUNCTION("""COMPUTED_VALUE"""),0.5497413552188072)</f>
        <v>0.5497413552</v>
      </c>
      <c r="AH525" s="80">
        <f>IFERROR(__xludf.DUMMYFUNCTION("""COMPUTED_VALUE"""),0.2695816575957758)</f>
        <v>0.2695816576</v>
      </c>
      <c r="AI525" s="80">
        <f>IFERROR(__xludf.DUMMYFUNCTION("""COMPUTED_VALUE"""),1.1754564387260342)</f>
        <v>1.175456439</v>
      </c>
      <c r="AJ525" s="80">
        <f>IFERROR(__xludf.DUMMYFUNCTION("""COMPUTED_VALUE"""),1.6526247569669477)</f>
        <v>1.652624757</v>
      </c>
      <c r="AK525" s="80">
        <f>IFERROR(__xludf.DUMMYFUNCTION("""COMPUTED_VALUE"""),1.9838519874476988)</f>
        <v>1.983851987</v>
      </c>
      <c r="AL525" s="80">
        <f>IFERROR(__xludf.DUMMYFUNCTION("""COMPUTED_VALUE"""),0.6771821285785159)</f>
        <v>0.6771821286</v>
      </c>
      <c r="AM525" s="80">
        <f>IFERROR(__xludf.DUMMYFUNCTION("""COMPUTED_VALUE"""),1.338135475827677)</f>
        <v>1.338135476</v>
      </c>
      <c r="AN525" s="80">
        <f>IFERROR(__xludf.DUMMYFUNCTION("""COMPUTED_VALUE"""),0.5063451712772958)</f>
        <v>0.5063451713</v>
      </c>
      <c r="AO525" s="80">
        <f>IFERROR(__xludf.DUMMYFUNCTION("""COMPUTED_VALUE"""),0.325774072577698)</f>
        <v>0.3257740726</v>
      </c>
      <c r="AP525" s="80">
        <f>IFERROR(__xludf.DUMMYFUNCTION("""COMPUTED_VALUE"""),0.0)</f>
        <v>0</v>
      </c>
      <c r="AQ525" s="80">
        <f>IFERROR(__xludf.DUMMYFUNCTION("""COMPUTED_VALUE"""),0.5123955847990671)</f>
        <v>0.5123955848</v>
      </c>
      <c r="AR525" s="80">
        <f>IFERROR(__xludf.DUMMYFUNCTION("""COMPUTED_VALUE"""),0.27800181319243494)</f>
        <v>0.2780018132</v>
      </c>
      <c r="AS525" s="80">
        <f>IFERROR(__xludf.DUMMYFUNCTION("""COMPUTED_VALUE"""),5.0)</f>
        <v>5</v>
      </c>
      <c r="AT525" s="80">
        <f>IFERROR(__xludf.DUMMYFUNCTION("""COMPUTED_VALUE"""),0.0874079281503586)</f>
        <v>0.08740792815</v>
      </c>
      <c r="AU525" s="80">
        <f>IFERROR(__xludf.DUMMYFUNCTION("""COMPUTED_VALUE"""),-0.41363772581952674)</f>
        <v>-0.4136377258</v>
      </c>
      <c r="AV525" s="80">
        <f>IFERROR(__xludf.DUMMYFUNCTION("""COMPUTED_VALUE"""),-34.09750615760821)</f>
        <v>-34.09750616</v>
      </c>
      <c r="AW525" s="82">
        <f t="shared" si="1"/>
        <v>-2602.495562</v>
      </c>
      <c r="AX525" s="83">
        <f t="array" ref="AX525">IFERROR(DGET('SBV Import'!A:G,"SBV",{"RSC ID","Tier";B525,A525}))</f>
        <v>-43.15337156</v>
      </c>
      <c r="AY525" s="82">
        <f t="shared" si="2"/>
        <v>-10286.03408</v>
      </c>
      <c r="AZ525" s="82">
        <v>7683.538518573556</v>
      </c>
      <c r="BA525" s="84">
        <v>450.0</v>
      </c>
      <c r="BB525" s="84" t="b">
        <f>IFERROR(__xludf.DUMMYFUNCTION("iferror(if(A525="""",,E525&gt;=FILTER(Constants!$F$2:$F$10,Constants!$A$2:$A$10=A525)))"),TRUE)</f>
        <v>1</v>
      </c>
    </row>
    <row r="526">
      <c r="A526" s="80"/>
      <c r="B526" s="80"/>
      <c r="C526" s="80"/>
      <c r="D526" s="80"/>
      <c r="E526" s="80"/>
      <c r="F526" s="80"/>
      <c r="G526" s="80"/>
      <c r="H526" s="81"/>
      <c r="I526" s="81"/>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80"/>
      <c r="AI526" s="80"/>
      <c r="AJ526" s="80"/>
      <c r="AK526" s="80"/>
      <c r="AL526" s="80"/>
      <c r="AM526" s="80"/>
      <c r="AN526" s="80">
        <f>IFERROR(__xludf.DUMMYFUNCTION("""COMPUTED_VALUE"""),0.0)</f>
        <v>0</v>
      </c>
      <c r="AO526" s="80">
        <f>IFERROR(__xludf.DUMMYFUNCTION("""COMPUTED_VALUE"""),0.0)</f>
        <v>0</v>
      </c>
      <c r="AP526" s="80">
        <f>IFERROR(__xludf.DUMMYFUNCTION("""COMPUTED_VALUE"""),0.0)</f>
        <v>0</v>
      </c>
      <c r="AQ526" s="80">
        <f>IFERROR(__xludf.DUMMYFUNCTION("""COMPUTED_VALUE"""),0.0)</f>
        <v>0</v>
      </c>
      <c r="AR526" s="80">
        <f>IFERROR(__xludf.DUMMYFUNCTION("""COMPUTED_VALUE"""),0.0)</f>
        <v>0</v>
      </c>
      <c r="AS526" s="80"/>
      <c r="AT526" s="80">
        <f>IFERROR(__xludf.DUMMYFUNCTION("""COMPUTED_VALUE"""),0.0)</f>
        <v>0</v>
      </c>
      <c r="AU526" s="80"/>
      <c r="AV526" s="80"/>
      <c r="AW526" s="82" t="str">
        <f t="shared" si="1"/>
        <v/>
      </c>
      <c r="AX526" s="83" t="str">
        <f t="array" ref="AX526">IFERROR(DGET('SBV Import'!A:G,"SBV",{"RSC ID","Tier";B526,A526}))</f>
        <v/>
      </c>
      <c r="AY526" s="82" t="str">
        <f t="shared" si="2"/>
        <v/>
      </c>
      <c r="AZ526" s="82"/>
      <c r="BA526" s="84" t="s">
        <v>152</v>
      </c>
      <c r="BB526" s="84" t="str">
        <f>IFERROR(__xludf.DUMMYFUNCTION("iferror(if(A526="""",,E526&gt;=FILTER(Constants!$F$2:$F$10,Constants!$A$2:$A$10=A526)))"),"")</f>
        <v/>
      </c>
    </row>
    <row r="527">
      <c r="A527" s="80"/>
      <c r="B527" s="80"/>
      <c r="C527" s="80"/>
      <c r="D527" s="80"/>
      <c r="E527" s="80"/>
      <c r="F527" s="80"/>
      <c r="G527" s="80"/>
      <c r="H527" s="81"/>
      <c r="I527" s="81"/>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80"/>
      <c r="AI527" s="80"/>
      <c r="AJ527" s="80"/>
      <c r="AK527" s="80"/>
      <c r="AL527" s="80"/>
      <c r="AM527" s="80"/>
      <c r="AN527" s="80">
        <f>IFERROR(__xludf.DUMMYFUNCTION("""COMPUTED_VALUE"""),0.0)</f>
        <v>0</v>
      </c>
      <c r="AO527" s="80">
        <f>IFERROR(__xludf.DUMMYFUNCTION("""COMPUTED_VALUE"""),0.0)</f>
        <v>0</v>
      </c>
      <c r="AP527" s="80">
        <f>IFERROR(__xludf.DUMMYFUNCTION("""COMPUTED_VALUE"""),0.0)</f>
        <v>0</v>
      </c>
      <c r="AQ527" s="80">
        <f>IFERROR(__xludf.DUMMYFUNCTION("""COMPUTED_VALUE"""),0.0)</f>
        <v>0</v>
      </c>
      <c r="AR527" s="80">
        <f>IFERROR(__xludf.DUMMYFUNCTION("""COMPUTED_VALUE"""),0.0)</f>
        <v>0</v>
      </c>
      <c r="AS527" s="80"/>
      <c r="AT527" s="80">
        <f>IFERROR(__xludf.DUMMYFUNCTION("""COMPUTED_VALUE"""),0.0)</f>
        <v>0</v>
      </c>
      <c r="AU527" s="80"/>
      <c r="AV527" s="80"/>
      <c r="AW527" s="82" t="str">
        <f t="shared" si="1"/>
        <v/>
      </c>
      <c r="AX527" s="83" t="str">
        <f t="array" ref="AX527">IFERROR(DGET('SBV Import'!A:G,"SBV",{"RSC ID","Tier";B527,A527}))</f>
        <v/>
      </c>
      <c r="AY527" s="82" t="str">
        <f t="shared" si="2"/>
        <v/>
      </c>
      <c r="AZ527" s="82"/>
      <c r="BA527" s="84" t="s">
        <v>152</v>
      </c>
      <c r="BB527" s="84" t="str">
        <f>IFERROR(__xludf.DUMMYFUNCTION("iferror(if(A527="""",,E527&gt;=FILTER(Constants!$F$2:$F$10,Constants!$A$2:$A$10=A527)))"),"")</f>
        <v/>
      </c>
    </row>
    <row r="528">
      <c r="A528" s="80"/>
      <c r="B528" s="80"/>
      <c r="C528" s="80"/>
      <c r="D528" s="80"/>
      <c r="E528" s="80"/>
      <c r="F528" s="80"/>
      <c r="G528" s="80"/>
      <c r="H528" s="81"/>
      <c r="I528" s="81"/>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c r="AI528" s="80"/>
      <c r="AJ528" s="80"/>
      <c r="AK528" s="80"/>
      <c r="AL528" s="80"/>
      <c r="AM528" s="80"/>
      <c r="AN528" s="80">
        <f>IFERROR(__xludf.DUMMYFUNCTION("""COMPUTED_VALUE"""),0.0)</f>
        <v>0</v>
      </c>
      <c r="AO528" s="80">
        <f>IFERROR(__xludf.DUMMYFUNCTION("""COMPUTED_VALUE"""),0.0)</f>
        <v>0</v>
      </c>
      <c r="AP528" s="80">
        <f>IFERROR(__xludf.DUMMYFUNCTION("""COMPUTED_VALUE"""),0.0)</f>
        <v>0</v>
      </c>
      <c r="AQ528" s="80">
        <f>IFERROR(__xludf.DUMMYFUNCTION("""COMPUTED_VALUE"""),0.0)</f>
        <v>0</v>
      </c>
      <c r="AR528" s="80">
        <f>IFERROR(__xludf.DUMMYFUNCTION("""COMPUTED_VALUE"""),0.0)</f>
        <v>0</v>
      </c>
      <c r="AS528" s="80"/>
      <c r="AT528" s="80">
        <f>IFERROR(__xludf.DUMMYFUNCTION("""COMPUTED_VALUE"""),0.0)</f>
        <v>0</v>
      </c>
      <c r="AU528" s="80"/>
      <c r="AV528" s="80"/>
      <c r="AW528" s="82" t="str">
        <f t="shared" si="1"/>
        <v/>
      </c>
      <c r="AX528" s="83" t="str">
        <f t="array" ref="AX528">IFERROR(DGET('SBV Import'!A:G,"SBV",{"RSC ID","Tier";B528,A528}))</f>
        <v/>
      </c>
      <c r="AY528" s="82" t="str">
        <f t="shared" si="2"/>
        <v/>
      </c>
      <c r="AZ528" s="82"/>
      <c r="BA528" s="84" t="s">
        <v>152</v>
      </c>
      <c r="BB528" s="84" t="str">
        <f>IFERROR(__xludf.DUMMYFUNCTION("iferror(if(A528="""",,E528&gt;=FILTER(Constants!$F$2:$F$10,Constants!$A$2:$A$10=A528)))"),"")</f>
        <v/>
      </c>
    </row>
    <row r="529">
      <c r="A529" s="80"/>
      <c r="B529" s="80"/>
      <c r="C529" s="80"/>
      <c r="D529" s="80"/>
      <c r="E529" s="80"/>
      <c r="F529" s="80"/>
      <c r="G529" s="80"/>
      <c r="H529" s="81"/>
      <c r="I529" s="81"/>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c r="AI529" s="80"/>
      <c r="AJ529" s="80"/>
      <c r="AK529" s="80"/>
      <c r="AL529" s="80"/>
      <c r="AM529" s="80"/>
      <c r="AN529" s="80">
        <f>IFERROR(__xludf.DUMMYFUNCTION("""COMPUTED_VALUE"""),0.0)</f>
        <v>0</v>
      </c>
      <c r="AO529" s="80">
        <f>IFERROR(__xludf.DUMMYFUNCTION("""COMPUTED_VALUE"""),0.0)</f>
        <v>0</v>
      </c>
      <c r="AP529" s="80">
        <f>IFERROR(__xludf.DUMMYFUNCTION("""COMPUTED_VALUE"""),0.0)</f>
        <v>0</v>
      </c>
      <c r="AQ529" s="80">
        <f>IFERROR(__xludf.DUMMYFUNCTION("""COMPUTED_VALUE"""),0.0)</f>
        <v>0</v>
      </c>
      <c r="AR529" s="80">
        <f>IFERROR(__xludf.DUMMYFUNCTION("""COMPUTED_VALUE"""),0.0)</f>
        <v>0</v>
      </c>
      <c r="AS529" s="80"/>
      <c r="AT529" s="80">
        <f>IFERROR(__xludf.DUMMYFUNCTION("""COMPUTED_VALUE"""),0.0)</f>
        <v>0</v>
      </c>
      <c r="AU529" s="80"/>
      <c r="AV529" s="80"/>
      <c r="AW529" s="82" t="str">
        <f t="shared" si="1"/>
        <v/>
      </c>
      <c r="AX529" s="83" t="str">
        <f t="array" ref="AX529">IFERROR(DGET('SBV Import'!A:G,"SBV",{"RSC ID","Tier";B529,A529}))</f>
        <v/>
      </c>
      <c r="AY529" s="82" t="str">
        <f t="shared" si="2"/>
        <v/>
      </c>
      <c r="AZ529" s="82"/>
      <c r="BA529" s="84" t="s">
        <v>152</v>
      </c>
      <c r="BB529" s="84" t="str">
        <f>IFERROR(__xludf.DUMMYFUNCTION("iferror(if(A529="""",,E529&gt;=FILTER(Constants!$F$2:$F$10,Constants!$A$2:$A$10=A529)))"),"")</f>
        <v/>
      </c>
    </row>
    <row r="530">
      <c r="A530" s="80"/>
      <c r="B530" s="80"/>
      <c r="C530" s="80"/>
      <c r="D530" s="80"/>
      <c r="E530" s="80"/>
      <c r="F530" s="80"/>
      <c r="G530" s="80"/>
      <c r="H530" s="81"/>
      <c r="I530" s="81"/>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c r="AJ530" s="80"/>
      <c r="AK530" s="80"/>
      <c r="AL530" s="80"/>
      <c r="AM530" s="80"/>
      <c r="AN530" s="80">
        <f>IFERROR(__xludf.DUMMYFUNCTION("""COMPUTED_VALUE"""),0.0)</f>
        <v>0</v>
      </c>
      <c r="AO530" s="80">
        <f>IFERROR(__xludf.DUMMYFUNCTION("""COMPUTED_VALUE"""),0.0)</f>
        <v>0</v>
      </c>
      <c r="AP530" s="80">
        <f>IFERROR(__xludf.DUMMYFUNCTION("""COMPUTED_VALUE"""),0.0)</f>
        <v>0</v>
      </c>
      <c r="AQ530" s="80">
        <f>IFERROR(__xludf.DUMMYFUNCTION("""COMPUTED_VALUE"""),0.0)</f>
        <v>0</v>
      </c>
      <c r="AR530" s="80">
        <f>IFERROR(__xludf.DUMMYFUNCTION("""COMPUTED_VALUE"""),0.0)</f>
        <v>0</v>
      </c>
      <c r="AS530" s="80"/>
      <c r="AT530" s="80">
        <f>IFERROR(__xludf.DUMMYFUNCTION("""COMPUTED_VALUE"""),0.0)</f>
        <v>0</v>
      </c>
      <c r="AU530" s="80"/>
      <c r="AV530" s="80"/>
      <c r="AW530" s="82" t="str">
        <f t="shared" si="1"/>
        <v/>
      </c>
      <c r="AX530" s="83" t="str">
        <f t="array" ref="AX530">IFERROR(DGET('SBV Import'!A:G,"SBV",{"RSC ID","Tier";B530,A530}))</f>
        <v/>
      </c>
      <c r="AY530" s="82" t="str">
        <f t="shared" si="2"/>
        <v/>
      </c>
      <c r="AZ530" s="82"/>
      <c r="BA530" s="84" t="s">
        <v>152</v>
      </c>
      <c r="BB530" s="84" t="str">
        <f>IFERROR(__xludf.DUMMYFUNCTION("iferror(if(A530="""",,E530&gt;=FILTER(Constants!$F$2:$F$10,Constants!$A$2:$A$10=A530)))"),"")</f>
        <v/>
      </c>
    </row>
    <row r="531">
      <c r="A531" s="80"/>
      <c r="B531" s="80"/>
      <c r="C531" s="80"/>
      <c r="D531" s="80"/>
      <c r="E531" s="80"/>
      <c r="F531" s="80"/>
      <c r="G531" s="80"/>
      <c r="H531" s="81"/>
      <c r="I531" s="81"/>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c r="AJ531" s="80"/>
      <c r="AK531" s="80"/>
      <c r="AL531" s="80"/>
      <c r="AM531" s="80"/>
      <c r="AN531" s="80">
        <f>IFERROR(__xludf.DUMMYFUNCTION("""COMPUTED_VALUE"""),0.0)</f>
        <v>0</v>
      </c>
      <c r="AO531" s="80">
        <f>IFERROR(__xludf.DUMMYFUNCTION("""COMPUTED_VALUE"""),0.0)</f>
        <v>0</v>
      </c>
      <c r="AP531" s="80">
        <f>IFERROR(__xludf.DUMMYFUNCTION("""COMPUTED_VALUE"""),0.0)</f>
        <v>0</v>
      </c>
      <c r="AQ531" s="80">
        <f>IFERROR(__xludf.DUMMYFUNCTION("""COMPUTED_VALUE"""),0.0)</f>
        <v>0</v>
      </c>
      <c r="AR531" s="80">
        <f>IFERROR(__xludf.DUMMYFUNCTION("""COMPUTED_VALUE"""),0.0)</f>
        <v>0</v>
      </c>
      <c r="AS531" s="80"/>
      <c r="AT531" s="80">
        <f>IFERROR(__xludf.DUMMYFUNCTION("""COMPUTED_VALUE"""),0.0)</f>
        <v>0</v>
      </c>
      <c r="AU531" s="80"/>
      <c r="AV531" s="80"/>
      <c r="AW531" s="82" t="str">
        <f t="shared" si="1"/>
        <v/>
      </c>
      <c r="AX531" s="83" t="str">
        <f t="array" ref="AX531">IFERROR(DGET('SBV Import'!A:G,"SBV",{"RSC ID","Tier";B531,A531}))</f>
        <v/>
      </c>
      <c r="AY531" s="82" t="str">
        <f t="shared" si="2"/>
        <v/>
      </c>
      <c r="AZ531" s="82"/>
      <c r="BA531" s="84" t="s">
        <v>152</v>
      </c>
      <c r="BB531" s="84" t="str">
        <f>IFERROR(__xludf.DUMMYFUNCTION("iferror(if(A531="""",,E531&gt;=FILTER(Constants!$F$2:$F$10,Constants!$A$2:$A$10=A531)))"),"")</f>
        <v/>
      </c>
    </row>
    <row r="532">
      <c r="A532" s="80"/>
      <c r="B532" s="80"/>
      <c r="C532" s="80"/>
      <c r="D532" s="80"/>
      <c r="E532" s="80"/>
      <c r="F532" s="80"/>
      <c r="G532" s="80"/>
      <c r="H532" s="81"/>
      <c r="I532" s="81"/>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c r="AJ532" s="80"/>
      <c r="AK532" s="80"/>
      <c r="AL532" s="80"/>
      <c r="AM532" s="80"/>
      <c r="AN532" s="80">
        <f>IFERROR(__xludf.DUMMYFUNCTION("""COMPUTED_VALUE"""),0.0)</f>
        <v>0</v>
      </c>
      <c r="AO532" s="80">
        <f>IFERROR(__xludf.DUMMYFUNCTION("""COMPUTED_VALUE"""),0.0)</f>
        <v>0</v>
      </c>
      <c r="AP532" s="80">
        <f>IFERROR(__xludf.DUMMYFUNCTION("""COMPUTED_VALUE"""),0.0)</f>
        <v>0</v>
      </c>
      <c r="AQ532" s="80">
        <f>IFERROR(__xludf.DUMMYFUNCTION("""COMPUTED_VALUE"""),0.0)</f>
        <v>0</v>
      </c>
      <c r="AR532" s="80">
        <f>IFERROR(__xludf.DUMMYFUNCTION("""COMPUTED_VALUE"""),0.0)</f>
        <v>0</v>
      </c>
      <c r="AS532" s="80"/>
      <c r="AT532" s="80">
        <f>IFERROR(__xludf.DUMMYFUNCTION("""COMPUTED_VALUE"""),0.0)</f>
        <v>0</v>
      </c>
      <c r="AU532" s="80"/>
      <c r="AV532" s="80"/>
      <c r="AW532" s="82" t="str">
        <f t="shared" si="1"/>
        <v/>
      </c>
      <c r="AX532" s="83" t="str">
        <f t="array" ref="AX532">IFERROR(DGET('SBV Import'!A:G,"SBV",{"RSC ID","Tier";B532,A532}))</f>
        <v/>
      </c>
      <c r="AY532" s="82" t="str">
        <f t="shared" si="2"/>
        <v/>
      </c>
      <c r="AZ532" s="82"/>
      <c r="BA532" s="84" t="s">
        <v>152</v>
      </c>
      <c r="BB532" s="84" t="str">
        <f>IFERROR(__xludf.DUMMYFUNCTION("iferror(if(A532="""",,E532&gt;=FILTER(Constants!$F$2:$F$10,Constants!$A$2:$A$10=A532)))"),"")</f>
        <v/>
      </c>
    </row>
    <row r="533">
      <c r="A533" s="80"/>
      <c r="B533" s="80"/>
      <c r="C533" s="80"/>
      <c r="D533" s="80"/>
      <c r="E533" s="80"/>
      <c r="F533" s="80"/>
      <c r="G533" s="80"/>
      <c r="H533" s="81"/>
      <c r="I533" s="81"/>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c r="AJ533" s="80"/>
      <c r="AK533" s="80"/>
      <c r="AL533" s="80"/>
      <c r="AM533" s="80"/>
      <c r="AN533" s="80">
        <f>IFERROR(__xludf.DUMMYFUNCTION("""COMPUTED_VALUE"""),0.0)</f>
        <v>0</v>
      </c>
      <c r="AO533" s="80">
        <f>IFERROR(__xludf.DUMMYFUNCTION("""COMPUTED_VALUE"""),0.0)</f>
        <v>0</v>
      </c>
      <c r="AP533" s="80">
        <f>IFERROR(__xludf.DUMMYFUNCTION("""COMPUTED_VALUE"""),0.0)</f>
        <v>0</v>
      </c>
      <c r="AQ533" s="80">
        <f>IFERROR(__xludf.DUMMYFUNCTION("""COMPUTED_VALUE"""),0.0)</f>
        <v>0</v>
      </c>
      <c r="AR533" s="80">
        <f>IFERROR(__xludf.DUMMYFUNCTION("""COMPUTED_VALUE"""),0.0)</f>
        <v>0</v>
      </c>
      <c r="AS533" s="80"/>
      <c r="AT533" s="80">
        <f>IFERROR(__xludf.DUMMYFUNCTION("""COMPUTED_VALUE"""),0.0)</f>
        <v>0</v>
      </c>
      <c r="AU533" s="80"/>
      <c r="AV533" s="80"/>
      <c r="AW533" s="82" t="str">
        <f t="shared" si="1"/>
        <v/>
      </c>
      <c r="AX533" s="83" t="str">
        <f t="array" ref="AX533">IFERROR(DGET('SBV Import'!A:G,"SBV",{"RSC ID","Tier";B533,A533}))</f>
        <v/>
      </c>
      <c r="AY533" s="82" t="str">
        <f t="shared" si="2"/>
        <v/>
      </c>
      <c r="AZ533" s="82"/>
      <c r="BA533" s="84" t="s">
        <v>152</v>
      </c>
      <c r="BB533" s="84" t="str">
        <f>IFERROR(__xludf.DUMMYFUNCTION("iferror(if(A533="""",,E533&gt;=FILTER(Constants!$F$2:$F$10,Constants!$A$2:$A$10=A533)))"),"")</f>
        <v/>
      </c>
    </row>
    <row r="534">
      <c r="A534" s="80"/>
      <c r="B534" s="80"/>
      <c r="C534" s="80"/>
      <c r="D534" s="80"/>
      <c r="E534" s="80"/>
      <c r="F534" s="80"/>
      <c r="G534" s="80"/>
      <c r="H534" s="81"/>
      <c r="I534" s="81"/>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c r="AJ534" s="80"/>
      <c r="AK534" s="80"/>
      <c r="AL534" s="80"/>
      <c r="AM534" s="80"/>
      <c r="AN534" s="80">
        <f>IFERROR(__xludf.DUMMYFUNCTION("""COMPUTED_VALUE"""),0.0)</f>
        <v>0</v>
      </c>
      <c r="AO534" s="80">
        <f>IFERROR(__xludf.DUMMYFUNCTION("""COMPUTED_VALUE"""),0.0)</f>
        <v>0</v>
      </c>
      <c r="AP534" s="80">
        <f>IFERROR(__xludf.DUMMYFUNCTION("""COMPUTED_VALUE"""),0.0)</f>
        <v>0</v>
      </c>
      <c r="AQ534" s="80">
        <f>IFERROR(__xludf.DUMMYFUNCTION("""COMPUTED_VALUE"""),0.0)</f>
        <v>0</v>
      </c>
      <c r="AR534" s="80">
        <f>IFERROR(__xludf.DUMMYFUNCTION("""COMPUTED_VALUE"""),0.0)</f>
        <v>0</v>
      </c>
      <c r="AS534" s="80"/>
      <c r="AT534" s="80">
        <f>IFERROR(__xludf.DUMMYFUNCTION("""COMPUTED_VALUE"""),0.0)</f>
        <v>0</v>
      </c>
      <c r="AU534" s="80"/>
      <c r="AV534" s="80"/>
      <c r="AW534" s="82" t="str">
        <f t="shared" si="1"/>
        <v/>
      </c>
      <c r="AX534" s="83" t="str">
        <f t="array" ref="AX534">IFERROR(DGET('SBV Import'!A:G,"SBV",{"RSC ID","Tier";B534,A534}))</f>
        <v/>
      </c>
      <c r="AY534" s="82" t="str">
        <f t="shared" si="2"/>
        <v/>
      </c>
      <c r="AZ534" s="82"/>
      <c r="BA534" s="84" t="s">
        <v>152</v>
      </c>
      <c r="BB534" s="84" t="str">
        <f>IFERROR(__xludf.DUMMYFUNCTION("iferror(if(A534="""",,E534&gt;=FILTER(Constants!$F$2:$F$10,Constants!$A$2:$A$10=A534)))"),"")</f>
        <v/>
      </c>
    </row>
    <row r="535">
      <c r="A535" s="80"/>
      <c r="B535" s="80"/>
      <c r="C535" s="80"/>
      <c r="D535" s="80"/>
      <c r="E535" s="80"/>
      <c r="F535" s="80"/>
      <c r="G535" s="80"/>
      <c r="H535" s="81"/>
      <c r="I535" s="81"/>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c r="AJ535" s="80"/>
      <c r="AK535" s="80"/>
      <c r="AL535" s="80"/>
      <c r="AM535" s="80"/>
      <c r="AN535" s="80">
        <f>IFERROR(__xludf.DUMMYFUNCTION("""COMPUTED_VALUE"""),0.0)</f>
        <v>0</v>
      </c>
      <c r="AO535" s="80">
        <f>IFERROR(__xludf.DUMMYFUNCTION("""COMPUTED_VALUE"""),0.0)</f>
        <v>0</v>
      </c>
      <c r="AP535" s="80">
        <f>IFERROR(__xludf.DUMMYFUNCTION("""COMPUTED_VALUE"""),0.0)</f>
        <v>0</v>
      </c>
      <c r="AQ535" s="80">
        <f>IFERROR(__xludf.DUMMYFUNCTION("""COMPUTED_VALUE"""),0.0)</f>
        <v>0</v>
      </c>
      <c r="AR535" s="80">
        <f>IFERROR(__xludf.DUMMYFUNCTION("""COMPUTED_VALUE"""),0.0)</f>
        <v>0</v>
      </c>
      <c r="AS535" s="80"/>
      <c r="AT535" s="80">
        <f>IFERROR(__xludf.DUMMYFUNCTION("""COMPUTED_VALUE"""),0.0)</f>
        <v>0</v>
      </c>
      <c r="AU535" s="80"/>
      <c r="AV535" s="80"/>
      <c r="AW535" s="82" t="str">
        <f t="shared" si="1"/>
        <v/>
      </c>
      <c r="AX535" s="83" t="str">
        <f t="array" ref="AX535">IFERROR(DGET('SBV Import'!A:G,"SBV",{"RSC ID","Tier";B535,A535}))</f>
        <v/>
      </c>
      <c r="AY535" s="82" t="str">
        <f t="shared" si="2"/>
        <v/>
      </c>
      <c r="AZ535" s="82"/>
      <c r="BA535" s="84" t="s">
        <v>152</v>
      </c>
      <c r="BB535" s="84" t="str">
        <f>IFERROR(__xludf.DUMMYFUNCTION("iferror(if(A535="""",,E535&gt;=FILTER(Constants!$F$2:$F$10,Constants!$A$2:$A$10=A535)))"),"")</f>
        <v/>
      </c>
    </row>
    <row r="536">
      <c r="A536" s="80"/>
      <c r="B536" s="80"/>
      <c r="C536" s="80"/>
      <c r="D536" s="80"/>
      <c r="E536" s="80"/>
      <c r="F536" s="80"/>
      <c r="G536" s="80"/>
      <c r="H536" s="81"/>
      <c r="I536" s="81"/>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c r="AJ536" s="80"/>
      <c r="AK536" s="80"/>
      <c r="AL536" s="80"/>
      <c r="AM536" s="80"/>
      <c r="AN536" s="80">
        <f>IFERROR(__xludf.DUMMYFUNCTION("""COMPUTED_VALUE"""),0.0)</f>
        <v>0</v>
      </c>
      <c r="AO536" s="80">
        <f>IFERROR(__xludf.DUMMYFUNCTION("""COMPUTED_VALUE"""),0.0)</f>
        <v>0</v>
      </c>
      <c r="AP536" s="80">
        <f>IFERROR(__xludf.DUMMYFUNCTION("""COMPUTED_VALUE"""),0.0)</f>
        <v>0</v>
      </c>
      <c r="AQ536" s="80">
        <f>IFERROR(__xludf.DUMMYFUNCTION("""COMPUTED_VALUE"""),0.0)</f>
        <v>0</v>
      </c>
      <c r="AR536" s="80">
        <f>IFERROR(__xludf.DUMMYFUNCTION("""COMPUTED_VALUE"""),0.0)</f>
        <v>0</v>
      </c>
      <c r="AS536" s="80"/>
      <c r="AT536" s="80">
        <f>IFERROR(__xludf.DUMMYFUNCTION("""COMPUTED_VALUE"""),0.0)</f>
        <v>0</v>
      </c>
      <c r="AU536" s="80"/>
      <c r="AV536" s="80"/>
      <c r="AW536" s="82" t="str">
        <f t="shared" si="1"/>
        <v/>
      </c>
      <c r="AX536" s="83" t="str">
        <f t="array" ref="AX536">IFERROR(DGET('SBV Import'!A:G,"SBV",{"RSC ID","Tier";B536,A536}))</f>
        <v/>
      </c>
      <c r="AY536" s="82" t="str">
        <f t="shared" si="2"/>
        <v/>
      </c>
      <c r="AZ536" s="82"/>
      <c r="BA536" s="84" t="s">
        <v>152</v>
      </c>
      <c r="BB536" s="84" t="str">
        <f>IFERROR(__xludf.DUMMYFUNCTION("iferror(if(A536="""",,E536&gt;=FILTER(Constants!$F$2:$F$10,Constants!$A$2:$A$10=A536)))"),"")</f>
        <v/>
      </c>
    </row>
    <row r="537">
      <c r="A537" s="80"/>
      <c r="B537" s="80"/>
      <c r="C537" s="80"/>
      <c r="D537" s="80"/>
      <c r="E537" s="80"/>
      <c r="F537" s="80"/>
      <c r="G537" s="80"/>
      <c r="H537" s="81"/>
      <c r="I537" s="81"/>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c r="AJ537" s="80"/>
      <c r="AK537" s="80"/>
      <c r="AL537" s="80"/>
      <c r="AM537" s="80"/>
      <c r="AN537" s="80">
        <f>IFERROR(__xludf.DUMMYFUNCTION("""COMPUTED_VALUE"""),0.0)</f>
        <v>0</v>
      </c>
      <c r="AO537" s="80">
        <f>IFERROR(__xludf.DUMMYFUNCTION("""COMPUTED_VALUE"""),0.0)</f>
        <v>0</v>
      </c>
      <c r="AP537" s="80">
        <f>IFERROR(__xludf.DUMMYFUNCTION("""COMPUTED_VALUE"""),0.0)</f>
        <v>0</v>
      </c>
      <c r="AQ537" s="80">
        <f>IFERROR(__xludf.DUMMYFUNCTION("""COMPUTED_VALUE"""),0.0)</f>
        <v>0</v>
      </c>
      <c r="AR537" s="80">
        <f>IFERROR(__xludf.DUMMYFUNCTION("""COMPUTED_VALUE"""),0.0)</f>
        <v>0</v>
      </c>
      <c r="AS537" s="80"/>
      <c r="AT537" s="80">
        <f>IFERROR(__xludf.DUMMYFUNCTION("""COMPUTED_VALUE"""),0.0)</f>
        <v>0</v>
      </c>
      <c r="AU537" s="80"/>
      <c r="AV537" s="80"/>
      <c r="AW537" s="82" t="str">
        <f t="shared" si="1"/>
        <v/>
      </c>
      <c r="AX537" s="83" t="str">
        <f t="array" ref="AX537">IFERROR(DGET('SBV Import'!A:G,"SBV",{"RSC ID","Tier";B537,A537}))</f>
        <v/>
      </c>
      <c r="AY537" s="82" t="str">
        <f t="shared" si="2"/>
        <v/>
      </c>
      <c r="AZ537" s="82"/>
      <c r="BA537" s="84" t="s">
        <v>152</v>
      </c>
      <c r="BB537" s="84" t="str">
        <f>IFERROR(__xludf.DUMMYFUNCTION("iferror(if(A537="""",,E537&gt;=FILTER(Constants!$F$2:$F$10,Constants!$A$2:$A$10=A537)))"),"")</f>
        <v/>
      </c>
    </row>
    <row r="538">
      <c r="A538" s="80"/>
      <c r="B538" s="80"/>
      <c r="C538" s="80"/>
      <c r="D538" s="80"/>
      <c r="E538" s="80"/>
      <c r="F538" s="80"/>
      <c r="G538" s="80"/>
      <c r="H538" s="81"/>
      <c r="I538" s="81"/>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c r="AJ538" s="80"/>
      <c r="AK538" s="80"/>
      <c r="AL538" s="80"/>
      <c r="AM538" s="80"/>
      <c r="AN538" s="80">
        <f>IFERROR(__xludf.DUMMYFUNCTION("""COMPUTED_VALUE"""),0.0)</f>
        <v>0</v>
      </c>
      <c r="AO538" s="80">
        <f>IFERROR(__xludf.DUMMYFUNCTION("""COMPUTED_VALUE"""),0.0)</f>
        <v>0</v>
      </c>
      <c r="AP538" s="80">
        <f>IFERROR(__xludf.DUMMYFUNCTION("""COMPUTED_VALUE"""),0.0)</f>
        <v>0</v>
      </c>
      <c r="AQ538" s="80">
        <f>IFERROR(__xludf.DUMMYFUNCTION("""COMPUTED_VALUE"""),0.0)</f>
        <v>0</v>
      </c>
      <c r="AR538" s="80">
        <f>IFERROR(__xludf.DUMMYFUNCTION("""COMPUTED_VALUE"""),0.0)</f>
        <v>0</v>
      </c>
      <c r="AS538" s="80"/>
      <c r="AT538" s="80">
        <f>IFERROR(__xludf.DUMMYFUNCTION("""COMPUTED_VALUE"""),0.0)</f>
        <v>0</v>
      </c>
      <c r="AU538" s="80"/>
      <c r="AV538" s="80"/>
      <c r="AW538" s="82" t="str">
        <f t="shared" si="1"/>
        <v/>
      </c>
      <c r="AX538" s="83" t="str">
        <f t="array" ref="AX538">IFERROR(DGET('SBV Import'!A:G,"SBV",{"RSC ID","Tier";B538,A538}))</f>
        <v/>
      </c>
      <c r="AY538" s="82" t="str">
        <f t="shared" si="2"/>
        <v/>
      </c>
      <c r="AZ538" s="82"/>
      <c r="BA538" s="84" t="s">
        <v>152</v>
      </c>
      <c r="BB538" s="84" t="str">
        <f>IFERROR(__xludf.DUMMYFUNCTION("iferror(if(A538="""",,E538&gt;=FILTER(Constants!$F$2:$F$10,Constants!$A$2:$A$10=A538)))"),"")</f>
        <v/>
      </c>
    </row>
    <row r="539">
      <c r="A539" s="80"/>
      <c r="B539" s="80"/>
      <c r="C539" s="80"/>
      <c r="D539" s="80"/>
      <c r="E539" s="80"/>
      <c r="F539" s="80"/>
      <c r="G539" s="80"/>
      <c r="H539" s="81"/>
      <c r="I539" s="81"/>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c r="AJ539" s="80"/>
      <c r="AK539" s="80"/>
      <c r="AL539" s="80"/>
      <c r="AM539" s="80"/>
      <c r="AN539" s="80">
        <f>IFERROR(__xludf.DUMMYFUNCTION("""COMPUTED_VALUE"""),0.0)</f>
        <v>0</v>
      </c>
      <c r="AO539" s="80">
        <f>IFERROR(__xludf.DUMMYFUNCTION("""COMPUTED_VALUE"""),0.0)</f>
        <v>0</v>
      </c>
      <c r="AP539" s="80">
        <f>IFERROR(__xludf.DUMMYFUNCTION("""COMPUTED_VALUE"""),0.0)</f>
        <v>0</v>
      </c>
      <c r="AQ539" s="80">
        <f>IFERROR(__xludf.DUMMYFUNCTION("""COMPUTED_VALUE"""),0.0)</f>
        <v>0</v>
      </c>
      <c r="AR539" s="80">
        <f>IFERROR(__xludf.DUMMYFUNCTION("""COMPUTED_VALUE"""),0.0)</f>
        <v>0</v>
      </c>
      <c r="AS539" s="80"/>
      <c r="AT539" s="80">
        <f>IFERROR(__xludf.DUMMYFUNCTION("""COMPUTED_VALUE"""),0.0)</f>
        <v>0</v>
      </c>
      <c r="AU539" s="80"/>
      <c r="AV539" s="80"/>
      <c r="AW539" s="82" t="str">
        <f t="shared" si="1"/>
        <v/>
      </c>
      <c r="AX539" s="83" t="str">
        <f t="array" ref="AX539">IFERROR(DGET('SBV Import'!A:G,"SBV",{"RSC ID","Tier";B539,A539}))</f>
        <v/>
      </c>
      <c r="AY539" s="82" t="str">
        <f t="shared" si="2"/>
        <v/>
      </c>
      <c r="AZ539" s="82"/>
      <c r="BA539" s="84" t="s">
        <v>152</v>
      </c>
      <c r="BB539" s="84" t="str">
        <f>IFERROR(__xludf.DUMMYFUNCTION("iferror(if(A539="""",,E539&gt;=FILTER(Constants!$F$2:$F$10,Constants!$A$2:$A$10=A539)))"),"")</f>
        <v/>
      </c>
    </row>
    <row r="540">
      <c r="A540" s="80"/>
      <c r="B540" s="80"/>
      <c r="C540" s="80"/>
      <c r="D540" s="80"/>
      <c r="E540" s="80"/>
      <c r="F540" s="80"/>
      <c r="G540" s="80"/>
      <c r="H540" s="81"/>
      <c r="I540" s="81"/>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c r="AJ540" s="80"/>
      <c r="AK540" s="80"/>
      <c r="AL540" s="80"/>
      <c r="AM540" s="80"/>
      <c r="AN540" s="80">
        <f>IFERROR(__xludf.DUMMYFUNCTION("""COMPUTED_VALUE"""),0.0)</f>
        <v>0</v>
      </c>
      <c r="AO540" s="80">
        <f>IFERROR(__xludf.DUMMYFUNCTION("""COMPUTED_VALUE"""),0.0)</f>
        <v>0</v>
      </c>
      <c r="AP540" s="80">
        <f>IFERROR(__xludf.DUMMYFUNCTION("""COMPUTED_VALUE"""),0.0)</f>
        <v>0</v>
      </c>
      <c r="AQ540" s="80">
        <f>IFERROR(__xludf.DUMMYFUNCTION("""COMPUTED_VALUE"""),0.0)</f>
        <v>0</v>
      </c>
      <c r="AR540" s="80">
        <f>IFERROR(__xludf.DUMMYFUNCTION("""COMPUTED_VALUE"""),0.0)</f>
        <v>0</v>
      </c>
      <c r="AS540" s="80"/>
      <c r="AT540" s="80">
        <f>IFERROR(__xludf.DUMMYFUNCTION("""COMPUTED_VALUE"""),0.0)</f>
        <v>0</v>
      </c>
      <c r="AU540" s="80"/>
      <c r="AV540" s="80"/>
      <c r="AW540" s="82" t="str">
        <f t="shared" si="1"/>
        <v/>
      </c>
      <c r="AX540" s="83" t="str">
        <f t="array" ref="AX540">IFERROR(DGET('SBV Import'!A:G,"SBV",{"RSC ID","Tier";B540,A540}))</f>
        <v/>
      </c>
      <c r="AY540" s="82" t="str">
        <f t="shared" si="2"/>
        <v/>
      </c>
      <c r="AZ540" s="82"/>
      <c r="BA540" s="84" t="s">
        <v>152</v>
      </c>
      <c r="BB540" s="84" t="str">
        <f>IFERROR(__xludf.DUMMYFUNCTION("iferror(if(A540="""",,E540&gt;=FILTER(Constants!$F$2:$F$10,Constants!$A$2:$A$10=A540)))"),"")</f>
        <v/>
      </c>
    </row>
    <row r="541">
      <c r="A541" s="80"/>
      <c r="B541" s="80"/>
      <c r="C541" s="80"/>
      <c r="D541" s="80"/>
      <c r="E541" s="80"/>
      <c r="F541" s="80"/>
      <c r="G541" s="80"/>
      <c r="H541" s="81"/>
      <c r="I541" s="81"/>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c r="AJ541" s="80"/>
      <c r="AK541" s="80"/>
      <c r="AL541" s="80"/>
      <c r="AM541" s="80"/>
      <c r="AN541" s="80">
        <f>IFERROR(__xludf.DUMMYFUNCTION("""COMPUTED_VALUE"""),0.0)</f>
        <v>0</v>
      </c>
      <c r="AO541" s="80">
        <f>IFERROR(__xludf.DUMMYFUNCTION("""COMPUTED_VALUE"""),0.0)</f>
        <v>0</v>
      </c>
      <c r="AP541" s="80">
        <f>IFERROR(__xludf.DUMMYFUNCTION("""COMPUTED_VALUE"""),0.0)</f>
        <v>0</v>
      </c>
      <c r="AQ541" s="80">
        <f>IFERROR(__xludf.DUMMYFUNCTION("""COMPUTED_VALUE"""),0.0)</f>
        <v>0</v>
      </c>
      <c r="AR541" s="80">
        <f>IFERROR(__xludf.DUMMYFUNCTION("""COMPUTED_VALUE"""),0.0)</f>
        <v>0</v>
      </c>
      <c r="AS541" s="80"/>
      <c r="AT541" s="80">
        <f>IFERROR(__xludf.DUMMYFUNCTION("""COMPUTED_VALUE"""),0.0)</f>
        <v>0</v>
      </c>
      <c r="AU541" s="80"/>
      <c r="AV541" s="80"/>
      <c r="AW541" s="82" t="str">
        <f t="shared" si="1"/>
        <v/>
      </c>
      <c r="AX541" s="83" t="str">
        <f t="array" ref="AX541">IFERROR(DGET('SBV Import'!A:G,"SBV",{"RSC ID","Tier";B541,A541}))</f>
        <v/>
      </c>
      <c r="AY541" s="82" t="str">
        <f t="shared" si="2"/>
        <v/>
      </c>
      <c r="AZ541" s="82"/>
      <c r="BA541" s="84" t="s">
        <v>152</v>
      </c>
      <c r="BB541" s="84" t="str">
        <f>IFERROR(__xludf.DUMMYFUNCTION("iferror(if(A541="""",,E541&gt;=FILTER(Constants!$F$2:$F$10,Constants!$A$2:$A$10=A541)))"),"")</f>
        <v/>
      </c>
    </row>
    <row r="542">
      <c r="A542" s="80"/>
      <c r="B542" s="80"/>
      <c r="C542" s="80"/>
      <c r="D542" s="80"/>
      <c r="E542" s="80"/>
      <c r="F542" s="80"/>
      <c r="G542" s="80"/>
      <c r="H542" s="81"/>
      <c r="I542" s="81"/>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c r="AJ542" s="80"/>
      <c r="AK542" s="80"/>
      <c r="AL542" s="80"/>
      <c r="AM542" s="80"/>
      <c r="AN542" s="80">
        <f>IFERROR(__xludf.DUMMYFUNCTION("""COMPUTED_VALUE"""),0.0)</f>
        <v>0</v>
      </c>
      <c r="AO542" s="80">
        <f>IFERROR(__xludf.DUMMYFUNCTION("""COMPUTED_VALUE"""),0.0)</f>
        <v>0</v>
      </c>
      <c r="AP542" s="80">
        <f>IFERROR(__xludf.DUMMYFUNCTION("""COMPUTED_VALUE"""),0.0)</f>
        <v>0</v>
      </c>
      <c r="AQ542" s="80">
        <f>IFERROR(__xludf.DUMMYFUNCTION("""COMPUTED_VALUE"""),0.0)</f>
        <v>0</v>
      </c>
      <c r="AR542" s="80">
        <f>IFERROR(__xludf.DUMMYFUNCTION("""COMPUTED_VALUE"""),0.0)</f>
        <v>0</v>
      </c>
      <c r="AS542" s="80"/>
      <c r="AT542" s="80">
        <f>IFERROR(__xludf.DUMMYFUNCTION("""COMPUTED_VALUE"""),0.0)</f>
        <v>0</v>
      </c>
      <c r="AU542" s="80"/>
      <c r="AV542" s="80"/>
      <c r="AW542" s="82" t="str">
        <f t="shared" si="1"/>
        <v/>
      </c>
      <c r="AX542" s="83" t="str">
        <f t="array" ref="AX542">IFERROR(DGET('SBV Import'!A:G,"SBV",{"RSC ID","Tier";B542,A542}))</f>
        <v/>
      </c>
      <c r="AY542" s="82" t="str">
        <f t="shared" si="2"/>
        <v/>
      </c>
      <c r="AZ542" s="82"/>
      <c r="BA542" s="84" t="s">
        <v>152</v>
      </c>
      <c r="BB542" s="84" t="str">
        <f>IFERROR(__xludf.DUMMYFUNCTION("iferror(if(A542="""",,E542&gt;=FILTER(Constants!$F$2:$F$10,Constants!$A$2:$A$10=A542)))"),"")</f>
        <v/>
      </c>
    </row>
    <row r="543">
      <c r="A543" s="80"/>
      <c r="B543" s="80"/>
      <c r="C543" s="80"/>
      <c r="D543" s="80"/>
      <c r="E543" s="80"/>
      <c r="F543" s="80"/>
      <c r="G543" s="80"/>
      <c r="H543" s="81"/>
      <c r="I543" s="81"/>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c r="AJ543" s="80"/>
      <c r="AK543" s="80"/>
      <c r="AL543" s="80"/>
      <c r="AM543" s="80"/>
      <c r="AN543" s="80">
        <f>IFERROR(__xludf.DUMMYFUNCTION("""COMPUTED_VALUE"""),0.0)</f>
        <v>0</v>
      </c>
      <c r="AO543" s="80">
        <f>IFERROR(__xludf.DUMMYFUNCTION("""COMPUTED_VALUE"""),0.0)</f>
        <v>0</v>
      </c>
      <c r="AP543" s="80">
        <f>IFERROR(__xludf.DUMMYFUNCTION("""COMPUTED_VALUE"""),0.0)</f>
        <v>0</v>
      </c>
      <c r="AQ543" s="80">
        <f>IFERROR(__xludf.DUMMYFUNCTION("""COMPUTED_VALUE"""),0.0)</f>
        <v>0</v>
      </c>
      <c r="AR543" s="80">
        <f>IFERROR(__xludf.DUMMYFUNCTION("""COMPUTED_VALUE"""),0.0)</f>
        <v>0</v>
      </c>
      <c r="AS543" s="80"/>
      <c r="AT543" s="80">
        <f>IFERROR(__xludf.DUMMYFUNCTION("""COMPUTED_VALUE"""),0.0)</f>
        <v>0</v>
      </c>
      <c r="AU543" s="80"/>
      <c r="AV543" s="80"/>
      <c r="AW543" s="82" t="str">
        <f t="shared" si="1"/>
        <v/>
      </c>
      <c r="AX543" s="83" t="str">
        <f t="array" ref="AX543">IFERROR(DGET('SBV Import'!A:G,"SBV",{"RSC ID","Tier";B543,A543}))</f>
        <v/>
      </c>
      <c r="AY543" s="82" t="str">
        <f t="shared" si="2"/>
        <v/>
      </c>
      <c r="AZ543" s="82"/>
      <c r="BA543" s="84" t="s">
        <v>152</v>
      </c>
      <c r="BB543" s="84" t="str">
        <f>IFERROR(__xludf.DUMMYFUNCTION("iferror(if(A543="""",,E543&gt;=FILTER(Constants!$F$2:$F$10,Constants!$A$2:$A$10=A543)))"),"")</f>
        <v/>
      </c>
    </row>
    <row r="544">
      <c r="A544" s="80"/>
      <c r="B544" s="80"/>
      <c r="C544" s="80"/>
      <c r="D544" s="80"/>
      <c r="E544" s="80"/>
      <c r="F544" s="80"/>
      <c r="G544" s="80"/>
      <c r="H544" s="81"/>
      <c r="I544" s="81"/>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c r="AJ544" s="80"/>
      <c r="AK544" s="80"/>
      <c r="AL544" s="80"/>
      <c r="AM544" s="80"/>
      <c r="AN544" s="80">
        <f>IFERROR(__xludf.DUMMYFUNCTION("""COMPUTED_VALUE"""),0.0)</f>
        <v>0</v>
      </c>
      <c r="AO544" s="80">
        <f>IFERROR(__xludf.DUMMYFUNCTION("""COMPUTED_VALUE"""),0.0)</f>
        <v>0</v>
      </c>
      <c r="AP544" s="80">
        <f>IFERROR(__xludf.DUMMYFUNCTION("""COMPUTED_VALUE"""),0.0)</f>
        <v>0</v>
      </c>
      <c r="AQ544" s="80">
        <f>IFERROR(__xludf.DUMMYFUNCTION("""COMPUTED_VALUE"""),0.0)</f>
        <v>0</v>
      </c>
      <c r="AR544" s="80">
        <f>IFERROR(__xludf.DUMMYFUNCTION("""COMPUTED_VALUE"""),0.0)</f>
        <v>0</v>
      </c>
      <c r="AS544" s="80"/>
      <c r="AT544" s="80">
        <f>IFERROR(__xludf.DUMMYFUNCTION("""COMPUTED_VALUE"""),0.0)</f>
        <v>0</v>
      </c>
      <c r="AU544" s="80"/>
      <c r="AV544" s="80"/>
      <c r="AW544" s="82" t="str">
        <f t="shared" si="1"/>
        <v/>
      </c>
      <c r="AX544" s="83" t="str">
        <f t="array" ref="AX544">IFERROR(DGET('SBV Import'!A:G,"SBV",{"RSC ID","Tier";B544,A544}))</f>
        <v/>
      </c>
      <c r="AY544" s="82" t="str">
        <f t="shared" si="2"/>
        <v/>
      </c>
      <c r="AZ544" s="82"/>
      <c r="BA544" s="84" t="s">
        <v>152</v>
      </c>
      <c r="BB544" s="84" t="str">
        <f>IFERROR(__xludf.DUMMYFUNCTION("iferror(if(A544="""",,E544&gt;=FILTER(Constants!$F$2:$F$10,Constants!$A$2:$A$10=A544)))"),"")</f>
        <v/>
      </c>
    </row>
    <row r="545">
      <c r="A545" s="80"/>
      <c r="B545" s="80"/>
      <c r="C545" s="80"/>
      <c r="D545" s="80"/>
      <c r="E545" s="80"/>
      <c r="F545" s="80"/>
      <c r="G545" s="80"/>
      <c r="H545" s="81"/>
      <c r="I545" s="81"/>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c r="AJ545" s="80"/>
      <c r="AK545" s="80"/>
      <c r="AL545" s="80"/>
      <c r="AM545" s="80"/>
      <c r="AN545" s="80">
        <f>IFERROR(__xludf.DUMMYFUNCTION("""COMPUTED_VALUE"""),0.0)</f>
        <v>0</v>
      </c>
      <c r="AO545" s="80">
        <f>IFERROR(__xludf.DUMMYFUNCTION("""COMPUTED_VALUE"""),0.0)</f>
        <v>0</v>
      </c>
      <c r="AP545" s="80">
        <f>IFERROR(__xludf.DUMMYFUNCTION("""COMPUTED_VALUE"""),0.0)</f>
        <v>0</v>
      </c>
      <c r="AQ545" s="80">
        <f>IFERROR(__xludf.DUMMYFUNCTION("""COMPUTED_VALUE"""),0.0)</f>
        <v>0</v>
      </c>
      <c r="AR545" s="80">
        <f>IFERROR(__xludf.DUMMYFUNCTION("""COMPUTED_VALUE"""),0.0)</f>
        <v>0</v>
      </c>
      <c r="AS545" s="80"/>
      <c r="AT545" s="80">
        <f>IFERROR(__xludf.DUMMYFUNCTION("""COMPUTED_VALUE"""),0.0)</f>
        <v>0</v>
      </c>
      <c r="AU545" s="80"/>
      <c r="AV545" s="80"/>
      <c r="AW545" s="82" t="str">
        <f t="shared" si="1"/>
        <v/>
      </c>
      <c r="AX545" s="83" t="str">
        <f t="array" ref="AX545">IFERROR(DGET('SBV Import'!A:G,"SBV",{"RSC ID","Tier";B545,A545}))</f>
        <v/>
      </c>
      <c r="AY545" s="82" t="str">
        <f t="shared" si="2"/>
        <v/>
      </c>
      <c r="AZ545" s="82"/>
      <c r="BA545" s="84" t="s">
        <v>152</v>
      </c>
      <c r="BB545" s="84" t="str">
        <f>IFERROR(__xludf.DUMMYFUNCTION("iferror(if(A545="""",,E545&gt;=FILTER(Constants!$F$2:$F$10,Constants!$A$2:$A$10=A545)))"),"")</f>
        <v/>
      </c>
    </row>
    <row r="546">
      <c r="A546" s="80"/>
      <c r="B546" s="80"/>
      <c r="C546" s="80"/>
      <c r="D546" s="80"/>
      <c r="E546" s="80"/>
      <c r="F546" s="80"/>
      <c r="G546" s="80"/>
      <c r="H546" s="81"/>
      <c r="I546" s="81"/>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c r="AJ546" s="80"/>
      <c r="AK546" s="80"/>
      <c r="AL546" s="80"/>
      <c r="AM546" s="80"/>
      <c r="AN546" s="80">
        <f>IFERROR(__xludf.DUMMYFUNCTION("""COMPUTED_VALUE"""),0.0)</f>
        <v>0</v>
      </c>
      <c r="AO546" s="80">
        <f>IFERROR(__xludf.DUMMYFUNCTION("""COMPUTED_VALUE"""),0.0)</f>
        <v>0</v>
      </c>
      <c r="AP546" s="80">
        <f>IFERROR(__xludf.DUMMYFUNCTION("""COMPUTED_VALUE"""),0.0)</f>
        <v>0</v>
      </c>
      <c r="AQ546" s="80">
        <f>IFERROR(__xludf.DUMMYFUNCTION("""COMPUTED_VALUE"""),0.0)</f>
        <v>0</v>
      </c>
      <c r="AR546" s="80">
        <f>IFERROR(__xludf.DUMMYFUNCTION("""COMPUTED_VALUE"""),0.0)</f>
        <v>0</v>
      </c>
      <c r="AS546" s="80"/>
      <c r="AT546" s="80">
        <f>IFERROR(__xludf.DUMMYFUNCTION("""COMPUTED_VALUE"""),0.0)</f>
        <v>0</v>
      </c>
      <c r="AU546" s="80"/>
      <c r="AV546" s="80"/>
      <c r="AW546" s="82" t="str">
        <f t="shared" si="1"/>
        <v/>
      </c>
      <c r="AX546" s="83" t="str">
        <f t="array" ref="AX546">IFERROR(DGET('SBV Import'!A:G,"SBV",{"RSC ID","Tier";B546,A546}))</f>
        <v/>
      </c>
      <c r="AY546" s="82" t="str">
        <f t="shared" si="2"/>
        <v/>
      </c>
      <c r="AZ546" s="82"/>
      <c r="BA546" s="84" t="s">
        <v>152</v>
      </c>
      <c r="BB546" s="84" t="str">
        <f>IFERROR(__xludf.DUMMYFUNCTION("iferror(if(A546="""",,E546&gt;=FILTER(Constants!$F$2:$F$10,Constants!$A$2:$A$10=A546)))"),"")</f>
        <v/>
      </c>
    </row>
    <row r="547">
      <c r="A547" s="80"/>
      <c r="B547" s="80"/>
      <c r="C547" s="80"/>
      <c r="D547" s="80"/>
      <c r="E547" s="80"/>
      <c r="F547" s="80"/>
      <c r="G547" s="80"/>
      <c r="H547" s="81"/>
      <c r="I547" s="81"/>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c r="AJ547" s="80"/>
      <c r="AK547" s="80"/>
      <c r="AL547" s="80"/>
      <c r="AM547" s="80"/>
      <c r="AN547" s="80">
        <f>IFERROR(__xludf.DUMMYFUNCTION("""COMPUTED_VALUE"""),0.0)</f>
        <v>0</v>
      </c>
      <c r="AO547" s="80">
        <f>IFERROR(__xludf.DUMMYFUNCTION("""COMPUTED_VALUE"""),0.0)</f>
        <v>0</v>
      </c>
      <c r="AP547" s="80">
        <f>IFERROR(__xludf.DUMMYFUNCTION("""COMPUTED_VALUE"""),0.0)</f>
        <v>0</v>
      </c>
      <c r="AQ547" s="80">
        <f>IFERROR(__xludf.DUMMYFUNCTION("""COMPUTED_VALUE"""),0.0)</f>
        <v>0</v>
      </c>
      <c r="AR547" s="80">
        <f>IFERROR(__xludf.DUMMYFUNCTION("""COMPUTED_VALUE"""),0.0)</f>
        <v>0</v>
      </c>
      <c r="AS547" s="80"/>
      <c r="AT547" s="80">
        <f>IFERROR(__xludf.DUMMYFUNCTION("""COMPUTED_VALUE"""),0.0)</f>
        <v>0</v>
      </c>
      <c r="AU547" s="80"/>
      <c r="AV547" s="80"/>
      <c r="AW547" s="82" t="str">
        <f t="shared" si="1"/>
        <v/>
      </c>
      <c r="AX547" s="83" t="str">
        <f t="array" ref="AX547">IFERROR(DGET('SBV Import'!A:G,"SBV",{"RSC ID","Tier";B547,A547}))</f>
        <v/>
      </c>
      <c r="AY547" s="82" t="str">
        <f t="shared" si="2"/>
        <v/>
      </c>
      <c r="AZ547" s="82"/>
      <c r="BA547" s="84" t="s">
        <v>152</v>
      </c>
      <c r="BB547" s="84" t="str">
        <f>IFERROR(__xludf.DUMMYFUNCTION("iferror(if(A547="""",,E547&gt;=FILTER(Constants!$F$2:$F$10,Constants!$A$2:$A$10=A547)))"),"")</f>
        <v/>
      </c>
    </row>
    <row r="548">
      <c r="A548" s="80"/>
      <c r="B548" s="80"/>
      <c r="C548" s="80"/>
      <c r="D548" s="80"/>
      <c r="E548" s="80"/>
      <c r="F548" s="80"/>
      <c r="G548" s="80"/>
      <c r="H548" s="81"/>
      <c r="I548" s="81"/>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c r="AJ548" s="80"/>
      <c r="AK548" s="80"/>
      <c r="AL548" s="80"/>
      <c r="AM548" s="80"/>
      <c r="AN548" s="80">
        <f>IFERROR(__xludf.DUMMYFUNCTION("""COMPUTED_VALUE"""),0.0)</f>
        <v>0</v>
      </c>
      <c r="AO548" s="80">
        <f>IFERROR(__xludf.DUMMYFUNCTION("""COMPUTED_VALUE"""),0.0)</f>
        <v>0</v>
      </c>
      <c r="AP548" s="80">
        <f>IFERROR(__xludf.DUMMYFUNCTION("""COMPUTED_VALUE"""),0.0)</f>
        <v>0</v>
      </c>
      <c r="AQ548" s="80">
        <f>IFERROR(__xludf.DUMMYFUNCTION("""COMPUTED_VALUE"""),0.0)</f>
        <v>0</v>
      </c>
      <c r="AR548" s="80">
        <f>IFERROR(__xludf.DUMMYFUNCTION("""COMPUTED_VALUE"""),0.0)</f>
        <v>0</v>
      </c>
      <c r="AS548" s="80"/>
      <c r="AT548" s="80">
        <f>IFERROR(__xludf.DUMMYFUNCTION("""COMPUTED_VALUE"""),0.0)</f>
        <v>0</v>
      </c>
      <c r="AU548" s="80"/>
      <c r="AV548" s="80"/>
      <c r="AW548" s="82" t="str">
        <f t="shared" si="1"/>
        <v/>
      </c>
      <c r="AX548" s="83" t="str">
        <f t="array" ref="AX548">IFERROR(DGET('SBV Import'!A:G,"SBV",{"RSC ID","Tier";B548,A548}))</f>
        <v/>
      </c>
      <c r="AY548" s="82" t="str">
        <f t="shared" si="2"/>
        <v/>
      </c>
      <c r="AZ548" s="82"/>
      <c r="BA548" s="84" t="s">
        <v>152</v>
      </c>
      <c r="BB548" s="84" t="str">
        <f>IFERROR(__xludf.DUMMYFUNCTION("iferror(if(A548="""",,E548&gt;=FILTER(Constants!$F$2:$F$10,Constants!$A$2:$A$10=A548)))"),"")</f>
        <v/>
      </c>
    </row>
    <row r="549">
      <c r="A549" s="80"/>
      <c r="B549" s="80"/>
      <c r="C549" s="80"/>
      <c r="D549" s="80"/>
      <c r="E549" s="80"/>
      <c r="F549" s="80"/>
      <c r="G549" s="80"/>
      <c r="H549" s="81"/>
      <c r="I549" s="81"/>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c r="AI549" s="80"/>
      <c r="AJ549" s="80"/>
      <c r="AK549" s="80"/>
      <c r="AL549" s="80"/>
      <c r="AM549" s="80"/>
      <c r="AN549" s="80">
        <f>IFERROR(__xludf.DUMMYFUNCTION("""COMPUTED_VALUE"""),0.0)</f>
        <v>0</v>
      </c>
      <c r="AO549" s="80">
        <f>IFERROR(__xludf.DUMMYFUNCTION("""COMPUTED_VALUE"""),0.0)</f>
        <v>0</v>
      </c>
      <c r="AP549" s="80">
        <f>IFERROR(__xludf.DUMMYFUNCTION("""COMPUTED_VALUE"""),0.0)</f>
        <v>0</v>
      </c>
      <c r="AQ549" s="80">
        <f>IFERROR(__xludf.DUMMYFUNCTION("""COMPUTED_VALUE"""),0.0)</f>
        <v>0</v>
      </c>
      <c r="AR549" s="80">
        <f>IFERROR(__xludf.DUMMYFUNCTION("""COMPUTED_VALUE"""),0.0)</f>
        <v>0</v>
      </c>
      <c r="AS549" s="80"/>
      <c r="AT549" s="80">
        <f>IFERROR(__xludf.DUMMYFUNCTION("""COMPUTED_VALUE"""),0.0)</f>
        <v>0</v>
      </c>
      <c r="AU549" s="80"/>
      <c r="AV549" s="80"/>
      <c r="AW549" s="82" t="str">
        <f t="shared" si="1"/>
        <v/>
      </c>
      <c r="AX549" s="83" t="str">
        <f t="array" ref="AX549">IFERROR(DGET('SBV Import'!A:G,"SBV",{"RSC ID","Tier";B549,A549}))</f>
        <v/>
      </c>
      <c r="AY549" s="82" t="str">
        <f t="shared" si="2"/>
        <v/>
      </c>
      <c r="AZ549" s="82"/>
      <c r="BA549" s="84" t="s">
        <v>152</v>
      </c>
      <c r="BB549" s="84" t="str">
        <f>IFERROR(__xludf.DUMMYFUNCTION("iferror(if(A549="""",,E549&gt;=FILTER(Constants!$F$2:$F$10,Constants!$A$2:$A$10=A549)))"),"")</f>
        <v/>
      </c>
    </row>
    <row r="550">
      <c r="A550" s="80"/>
      <c r="B550" s="80"/>
      <c r="C550" s="80"/>
      <c r="D550" s="80"/>
      <c r="E550" s="80"/>
      <c r="F550" s="80"/>
      <c r="G550" s="80"/>
      <c r="H550" s="81"/>
      <c r="I550" s="81"/>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c r="AI550" s="80"/>
      <c r="AJ550" s="80"/>
      <c r="AK550" s="80"/>
      <c r="AL550" s="80"/>
      <c r="AM550" s="80"/>
      <c r="AN550" s="80">
        <f>IFERROR(__xludf.DUMMYFUNCTION("""COMPUTED_VALUE"""),0.0)</f>
        <v>0</v>
      </c>
      <c r="AO550" s="80">
        <f>IFERROR(__xludf.DUMMYFUNCTION("""COMPUTED_VALUE"""),0.0)</f>
        <v>0</v>
      </c>
      <c r="AP550" s="80">
        <f>IFERROR(__xludf.DUMMYFUNCTION("""COMPUTED_VALUE"""),0.0)</f>
        <v>0</v>
      </c>
      <c r="AQ550" s="80">
        <f>IFERROR(__xludf.DUMMYFUNCTION("""COMPUTED_VALUE"""),0.0)</f>
        <v>0</v>
      </c>
      <c r="AR550" s="80">
        <f>IFERROR(__xludf.DUMMYFUNCTION("""COMPUTED_VALUE"""),0.0)</f>
        <v>0</v>
      </c>
      <c r="AS550" s="80"/>
      <c r="AT550" s="80">
        <f>IFERROR(__xludf.DUMMYFUNCTION("""COMPUTED_VALUE"""),0.0)</f>
        <v>0</v>
      </c>
      <c r="AU550" s="80"/>
      <c r="AV550" s="80"/>
      <c r="AW550" s="82" t="str">
        <f t="shared" si="1"/>
        <v/>
      </c>
      <c r="AX550" s="83" t="str">
        <f t="array" ref="AX550">IFERROR(DGET('SBV Import'!A:G,"SBV",{"RSC ID","Tier";B550,A550}))</f>
        <v/>
      </c>
      <c r="AY550" s="82" t="str">
        <f t="shared" si="2"/>
        <v/>
      </c>
      <c r="AZ550" s="82"/>
      <c r="BA550" s="84" t="s">
        <v>152</v>
      </c>
      <c r="BB550" s="84" t="str">
        <f>IFERROR(__xludf.DUMMYFUNCTION("iferror(if(A550="""",,E550&gt;=FILTER(Constants!$F$2:$F$10,Constants!$A$2:$A$10=A550)))"),"")</f>
        <v/>
      </c>
    </row>
    <row r="551">
      <c r="A551" s="80"/>
      <c r="B551" s="80"/>
      <c r="C551" s="80"/>
      <c r="D551" s="80"/>
      <c r="E551" s="80"/>
      <c r="F551" s="80"/>
      <c r="G551" s="80"/>
      <c r="H551" s="81"/>
      <c r="I551" s="81"/>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c r="AI551" s="80"/>
      <c r="AJ551" s="80"/>
      <c r="AK551" s="80"/>
      <c r="AL551" s="80"/>
      <c r="AM551" s="80"/>
      <c r="AN551" s="80">
        <f>IFERROR(__xludf.DUMMYFUNCTION("""COMPUTED_VALUE"""),0.0)</f>
        <v>0</v>
      </c>
      <c r="AO551" s="80">
        <f>IFERROR(__xludf.DUMMYFUNCTION("""COMPUTED_VALUE"""),0.0)</f>
        <v>0</v>
      </c>
      <c r="AP551" s="80">
        <f>IFERROR(__xludf.DUMMYFUNCTION("""COMPUTED_VALUE"""),0.0)</f>
        <v>0</v>
      </c>
      <c r="AQ551" s="80">
        <f>IFERROR(__xludf.DUMMYFUNCTION("""COMPUTED_VALUE"""),0.0)</f>
        <v>0</v>
      </c>
      <c r="AR551" s="80">
        <f>IFERROR(__xludf.DUMMYFUNCTION("""COMPUTED_VALUE"""),0.0)</f>
        <v>0</v>
      </c>
      <c r="AS551" s="80"/>
      <c r="AT551" s="80">
        <f>IFERROR(__xludf.DUMMYFUNCTION("""COMPUTED_VALUE"""),0.0)</f>
        <v>0</v>
      </c>
      <c r="AU551" s="80"/>
      <c r="AV551" s="80"/>
      <c r="AW551" s="82" t="str">
        <f t="shared" si="1"/>
        <v/>
      </c>
      <c r="AX551" s="83" t="str">
        <f t="array" ref="AX551">IFERROR(DGET('SBV Import'!A:G,"SBV",{"RSC ID","Tier";B551,A551}))</f>
        <v/>
      </c>
      <c r="AY551" s="82" t="str">
        <f t="shared" si="2"/>
        <v/>
      </c>
      <c r="AZ551" s="82"/>
      <c r="BA551" s="84" t="s">
        <v>152</v>
      </c>
      <c r="BB551" s="84" t="str">
        <f>IFERROR(__xludf.DUMMYFUNCTION("iferror(if(A551="""",,E551&gt;=FILTER(Constants!$F$2:$F$10,Constants!$A$2:$A$10=A551)))"),"")</f>
        <v/>
      </c>
    </row>
    <row r="552">
      <c r="A552" s="80"/>
      <c r="B552" s="80"/>
      <c r="C552" s="80"/>
      <c r="D552" s="80"/>
      <c r="E552" s="80"/>
      <c r="F552" s="80"/>
      <c r="G552" s="80"/>
      <c r="H552" s="81"/>
      <c r="I552" s="81"/>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c r="AI552" s="80"/>
      <c r="AJ552" s="80"/>
      <c r="AK552" s="80"/>
      <c r="AL552" s="80"/>
      <c r="AM552" s="80"/>
      <c r="AN552" s="80">
        <f>IFERROR(__xludf.DUMMYFUNCTION("""COMPUTED_VALUE"""),0.0)</f>
        <v>0</v>
      </c>
      <c r="AO552" s="80">
        <f>IFERROR(__xludf.DUMMYFUNCTION("""COMPUTED_VALUE"""),0.0)</f>
        <v>0</v>
      </c>
      <c r="AP552" s="80">
        <f>IFERROR(__xludf.DUMMYFUNCTION("""COMPUTED_VALUE"""),0.0)</f>
        <v>0</v>
      </c>
      <c r="AQ552" s="80">
        <f>IFERROR(__xludf.DUMMYFUNCTION("""COMPUTED_VALUE"""),0.0)</f>
        <v>0</v>
      </c>
      <c r="AR552" s="80">
        <f>IFERROR(__xludf.DUMMYFUNCTION("""COMPUTED_VALUE"""),0.0)</f>
        <v>0</v>
      </c>
      <c r="AS552" s="80"/>
      <c r="AT552" s="80">
        <f>IFERROR(__xludf.DUMMYFUNCTION("""COMPUTED_VALUE"""),0.0)</f>
        <v>0</v>
      </c>
      <c r="AU552" s="80"/>
      <c r="AV552" s="80"/>
      <c r="AW552" s="82" t="str">
        <f t="shared" si="1"/>
        <v/>
      </c>
      <c r="AX552" s="83" t="str">
        <f t="array" ref="AX552">IFERROR(DGET('SBV Import'!A:G,"SBV",{"RSC ID","Tier";B552,A552}))</f>
        <v/>
      </c>
      <c r="AY552" s="82" t="str">
        <f t="shared" si="2"/>
        <v/>
      </c>
      <c r="AZ552" s="82"/>
      <c r="BA552" s="84" t="s">
        <v>152</v>
      </c>
      <c r="BB552" s="84" t="str">
        <f>IFERROR(__xludf.DUMMYFUNCTION("iferror(if(A552="""",,E552&gt;=FILTER(Constants!$F$2:$F$10,Constants!$A$2:$A$10=A552)))"),"")</f>
        <v/>
      </c>
    </row>
    <row r="553">
      <c r="A553" s="80"/>
      <c r="B553" s="80"/>
      <c r="C553" s="80"/>
      <c r="D553" s="80"/>
      <c r="E553" s="80"/>
      <c r="F553" s="80"/>
      <c r="G553" s="80"/>
      <c r="H553" s="81"/>
      <c r="I553" s="81"/>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c r="AI553" s="80"/>
      <c r="AJ553" s="80"/>
      <c r="AK553" s="80"/>
      <c r="AL553" s="80"/>
      <c r="AM553" s="80"/>
      <c r="AN553" s="80">
        <f>IFERROR(__xludf.DUMMYFUNCTION("""COMPUTED_VALUE"""),0.0)</f>
        <v>0</v>
      </c>
      <c r="AO553" s="80">
        <f>IFERROR(__xludf.DUMMYFUNCTION("""COMPUTED_VALUE"""),0.0)</f>
        <v>0</v>
      </c>
      <c r="AP553" s="80">
        <f>IFERROR(__xludf.DUMMYFUNCTION("""COMPUTED_VALUE"""),0.0)</f>
        <v>0</v>
      </c>
      <c r="AQ553" s="80">
        <f>IFERROR(__xludf.DUMMYFUNCTION("""COMPUTED_VALUE"""),0.0)</f>
        <v>0</v>
      </c>
      <c r="AR553" s="80">
        <f>IFERROR(__xludf.DUMMYFUNCTION("""COMPUTED_VALUE"""),0.0)</f>
        <v>0</v>
      </c>
      <c r="AS553" s="80"/>
      <c r="AT553" s="80">
        <f>IFERROR(__xludf.DUMMYFUNCTION("""COMPUTED_VALUE"""),0.0)</f>
        <v>0</v>
      </c>
      <c r="AU553" s="80"/>
      <c r="AV553" s="80"/>
      <c r="AW553" s="82" t="str">
        <f t="shared" si="1"/>
        <v/>
      </c>
      <c r="AX553" s="83" t="str">
        <f t="array" ref="AX553">IFERROR(DGET('SBV Import'!A:G,"SBV",{"RSC ID","Tier";B553,A553}))</f>
        <v/>
      </c>
      <c r="AY553" s="82" t="str">
        <f t="shared" si="2"/>
        <v/>
      </c>
      <c r="AZ553" s="82"/>
      <c r="BA553" s="84" t="s">
        <v>152</v>
      </c>
      <c r="BB553" s="84" t="str">
        <f>IFERROR(__xludf.DUMMYFUNCTION("iferror(if(A553="""",,E553&gt;=FILTER(Constants!$F$2:$F$10,Constants!$A$2:$A$10=A553)))"),"")</f>
        <v/>
      </c>
    </row>
    <row r="554">
      <c r="A554" s="80"/>
      <c r="B554" s="80"/>
      <c r="C554" s="80"/>
      <c r="D554" s="80"/>
      <c r="E554" s="80"/>
      <c r="F554" s="80"/>
      <c r="G554" s="80"/>
      <c r="H554" s="81"/>
      <c r="I554" s="81"/>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c r="AI554" s="80"/>
      <c r="AJ554" s="80"/>
      <c r="AK554" s="80"/>
      <c r="AL554" s="80"/>
      <c r="AM554" s="80"/>
      <c r="AN554" s="80">
        <f>IFERROR(__xludf.DUMMYFUNCTION("""COMPUTED_VALUE"""),0.0)</f>
        <v>0</v>
      </c>
      <c r="AO554" s="80">
        <f>IFERROR(__xludf.DUMMYFUNCTION("""COMPUTED_VALUE"""),0.0)</f>
        <v>0</v>
      </c>
      <c r="AP554" s="80">
        <f>IFERROR(__xludf.DUMMYFUNCTION("""COMPUTED_VALUE"""),0.0)</f>
        <v>0</v>
      </c>
      <c r="AQ554" s="80">
        <f>IFERROR(__xludf.DUMMYFUNCTION("""COMPUTED_VALUE"""),0.0)</f>
        <v>0</v>
      </c>
      <c r="AR554" s="80">
        <f>IFERROR(__xludf.DUMMYFUNCTION("""COMPUTED_VALUE"""),0.0)</f>
        <v>0</v>
      </c>
      <c r="AS554" s="80"/>
      <c r="AT554" s="80">
        <f>IFERROR(__xludf.DUMMYFUNCTION("""COMPUTED_VALUE"""),0.0)</f>
        <v>0</v>
      </c>
      <c r="AU554" s="80"/>
      <c r="AV554" s="80"/>
      <c r="AW554" s="82" t="str">
        <f t="shared" si="1"/>
        <v/>
      </c>
      <c r="AX554" s="83" t="str">
        <f t="array" ref="AX554">IFERROR(DGET('SBV Import'!A:G,"SBV",{"RSC ID","Tier";B554,A554}))</f>
        <v/>
      </c>
      <c r="AY554" s="82" t="str">
        <f t="shared" si="2"/>
        <v/>
      </c>
      <c r="AZ554" s="82"/>
      <c r="BA554" s="84" t="s">
        <v>152</v>
      </c>
      <c r="BB554" s="84" t="str">
        <f>IFERROR(__xludf.DUMMYFUNCTION("iferror(if(A554="""",,E554&gt;=FILTER(Constants!$F$2:$F$10,Constants!$A$2:$A$10=A554)))"),"")</f>
        <v/>
      </c>
    </row>
    <row r="555">
      <c r="A555" s="80"/>
      <c r="B555" s="80"/>
      <c r="C555" s="80"/>
      <c r="D555" s="80"/>
      <c r="E555" s="80"/>
      <c r="F555" s="80"/>
      <c r="G555" s="80"/>
      <c r="H555" s="81"/>
      <c r="I555" s="81"/>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c r="AI555" s="80"/>
      <c r="AJ555" s="80"/>
      <c r="AK555" s="80"/>
      <c r="AL555" s="80"/>
      <c r="AM555" s="80"/>
      <c r="AN555" s="80">
        <f>IFERROR(__xludf.DUMMYFUNCTION("""COMPUTED_VALUE"""),0.0)</f>
        <v>0</v>
      </c>
      <c r="AO555" s="80">
        <f>IFERROR(__xludf.DUMMYFUNCTION("""COMPUTED_VALUE"""),0.0)</f>
        <v>0</v>
      </c>
      <c r="AP555" s="80">
        <f>IFERROR(__xludf.DUMMYFUNCTION("""COMPUTED_VALUE"""),0.0)</f>
        <v>0</v>
      </c>
      <c r="AQ555" s="80">
        <f>IFERROR(__xludf.DUMMYFUNCTION("""COMPUTED_VALUE"""),0.0)</f>
        <v>0</v>
      </c>
      <c r="AR555" s="80">
        <f>IFERROR(__xludf.DUMMYFUNCTION("""COMPUTED_VALUE"""),0.0)</f>
        <v>0</v>
      </c>
      <c r="AS555" s="80"/>
      <c r="AT555" s="80">
        <f>IFERROR(__xludf.DUMMYFUNCTION("""COMPUTED_VALUE"""),0.0)</f>
        <v>0</v>
      </c>
      <c r="AU555" s="80"/>
      <c r="AV555" s="80"/>
      <c r="AW555" s="82" t="str">
        <f t="shared" si="1"/>
        <v/>
      </c>
      <c r="AX555" s="83" t="str">
        <f t="array" ref="AX555">IFERROR(DGET('SBV Import'!A:G,"SBV",{"RSC ID","Tier";B555,A555}))</f>
        <v/>
      </c>
      <c r="AY555" s="82" t="str">
        <f t="shared" si="2"/>
        <v/>
      </c>
      <c r="AZ555" s="82"/>
      <c r="BA555" s="84" t="s">
        <v>152</v>
      </c>
      <c r="BB555" s="84" t="str">
        <f>IFERROR(__xludf.DUMMYFUNCTION("iferror(if(A555="""",,E555&gt;=FILTER(Constants!$F$2:$F$10,Constants!$A$2:$A$10=A555)))"),"")</f>
        <v/>
      </c>
    </row>
    <row r="556">
      <c r="A556" s="80"/>
      <c r="B556" s="80"/>
      <c r="C556" s="80"/>
      <c r="D556" s="80"/>
      <c r="E556" s="80"/>
      <c r="F556" s="80"/>
      <c r="G556" s="80"/>
      <c r="H556" s="81"/>
      <c r="I556" s="81"/>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c r="AI556" s="80"/>
      <c r="AJ556" s="80"/>
      <c r="AK556" s="80"/>
      <c r="AL556" s="80"/>
      <c r="AM556" s="80"/>
      <c r="AN556" s="80">
        <f>IFERROR(__xludf.DUMMYFUNCTION("""COMPUTED_VALUE"""),0.0)</f>
        <v>0</v>
      </c>
      <c r="AO556" s="80">
        <f>IFERROR(__xludf.DUMMYFUNCTION("""COMPUTED_VALUE"""),0.0)</f>
        <v>0</v>
      </c>
      <c r="AP556" s="80">
        <f>IFERROR(__xludf.DUMMYFUNCTION("""COMPUTED_VALUE"""),0.0)</f>
        <v>0</v>
      </c>
      <c r="AQ556" s="80">
        <f>IFERROR(__xludf.DUMMYFUNCTION("""COMPUTED_VALUE"""),0.0)</f>
        <v>0</v>
      </c>
      <c r="AR556" s="80">
        <f>IFERROR(__xludf.DUMMYFUNCTION("""COMPUTED_VALUE"""),0.0)</f>
        <v>0</v>
      </c>
      <c r="AS556" s="80"/>
      <c r="AT556" s="80">
        <f>IFERROR(__xludf.DUMMYFUNCTION("""COMPUTED_VALUE"""),0.0)</f>
        <v>0</v>
      </c>
      <c r="AU556" s="80"/>
      <c r="AV556" s="80"/>
      <c r="AW556" s="82" t="str">
        <f t="shared" si="1"/>
        <v/>
      </c>
      <c r="AX556" s="83" t="str">
        <f t="array" ref="AX556">IFERROR(DGET('SBV Import'!A:G,"SBV",{"RSC ID","Tier";B556,A556}))</f>
        <v/>
      </c>
      <c r="AY556" s="82" t="str">
        <f t="shared" si="2"/>
        <v/>
      </c>
      <c r="AZ556" s="82"/>
      <c r="BA556" s="84" t="s">
        <v>152</v>
      </c>
      <c r="BB556" s="84" t="str">
        <f>IFERROR(__xludf.DUMMYFUNCTION("iferror(if(A556="""",,E556&gt;=FILTER(Constants!$F$2:$F$10,Constants!$A$2:$A$10=A556)))"),"")</f>
        <v/>
      </c>
    </row>
    <row r="557">
      <c r="A557" s="80"/>
      <c r="B557" s="80"/>
      <c r="C557" s="80"/>
      <c r="D557" s="80"/>
      <c r="E557" s="80"/>
      <c r="F557" s="80"/>
      <c r="G557" s="80"/>
      <c r="H557" s="81"/>
      <c r="I557" s="81"/>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c r="AI557" s="80"/>
      <c r="AJ557" s="80"/>
      <c r="AK557" s="80"/>
      <c r="AL557" s="80"/>
      <c r="AM557" s="80"/>
      <c r="AN557" s="80">
        <f>IFERROR(__xludf.DUMMYFUNCTION("""COMPUTED_VALUE"""),0.0)</f>
        <v>0</v>
      </c>
      <c r="AO557" s="80">
        <f>IFERROR(__xludf.DUMMYFUNCTION("""COMPUTED_VALUE"""),0.0)</f>
        <v>0</v>
      </c>
      <c r="AP557" s="80">
        <f>IFERROR(__xludf.DUMMYFUNCTION("""COMPUTED_VALUE"""),0.0)</f>
        <v>0</v>
      </c>
      <c r="AQ557" s="80">
        <f>IFERROR(__xludf.DUMMYFUNCTION("""COMPUTED_VALUE"""),0.0)</f>
        <v>0</v>
      </c>
      <c r="AR557" s="80">
        <f>IFERROR(__xludf.DUMMYFUNCTION("""COMPUTED_VALUE"""),0.0)</f>
        <v>0</v>
      </c>
      <c r="AS557" s="80"/>
      <c r="AT557" s="80">
        <f>IFERROR(__xludf.DUMMYFUNCTION("""COMPUTED_VALUE"""),0.0)</f>
        <v>0</v>
      </c>
      <c r="AU557" s="80"/>
      <c r="AV557" s="80"/>
      <c r="AW557" s="82" t="str">
        <f t="shared" si="1"/>
        <v/>
      </c>
      <c r="AX557" s="83" t="str">
        <f t="array" ref="AX557">IFERROR(DGET('SBV Import'!A:G,"SBV",{"RSC ID","Tier";B557,A557}))</f>
        <v/>
      </c>
      <c r="AY557" s="82" t="str">
        <f t="shared" si="2"/>
        <v/>
      </c>
      <c r="AZ557" s="82"/>
      <c r="BA557" s="84" t="s">
        <v>152</v>
      </c>
      <c r="BB557" s="84" t="str">
        <f>IFERROR(__xludf.DUMMYFUNCTION("iferror(if(A557="""",,E557&gt;=FILTER(Constants!$F$2:$F$10,Constants!$A$2:$A$10=A557)))"),"")</f>
        <v/>
      </c>
    </row>
    <row r="558">
      <c r="A558" s="80"/>
      <c r="B558" s="80"/>
      <c r="C558" s="80"/>
      <c r="D558" s="80"/>
      <c r="E558" s="80"/>
      <c r="F558" s="80"/>
      <c r="G558" s="80"/>
      <c r="H558" s="81"/>
      <c r="I558" s="81"/>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c r="AI558" s="80"/>
      <c r="AJ558" s="80"/>
      <c r="AK558" s="80"/>
      <c r="AL558" s="80"/>
      <c r="AM558" s="80"/>
      <c r="AN558" s="80">
        <f>IFERROR(__xludf.DUMMYFUNCTION("""COMPUTED_VALUE"""),0.0)</f>
        <v>0</v>
      </c>
      <c r="AO558" s="80">
        <f>IFERROR(__xludf.DUMMYFUNCTION("""COMPUTED_VALUE"""),0.0)</f>
        <v>0</v>
      </c>
      <c r="AP558" s="80">
        <f>IFERROR(__xludf.DUMMYFUNCTION("""COMPUTED_VALUE"""),0.0)</f>
        <v>0</v>
      </c>
      <c r="AQ558" s="80">
        <f>IFERROR(__xludf.DUMMYFUNCTION("""COMPUTED_VALUE"""),0.0)</f>
        <v>0</v>
      </c>
      <c r="AR558" s="80">
        <f>IFERROR(__xludf.DUMMYFUNCTION("""COMPUTED_VALUE"""),0.0)</f>
        <v>0</v>
      </c>
      <c r="AS558" s="80"/>
      <c r="AT558" s="80">
        <f>IFERROR(__xludf.DUMMYFUNCTION("""COMPUTED_VALUE"""),0.0)</f>
        <v>0</v>
      </c>
      <c r="AU558" s="80"/>
      <c r="AV558" s="80"/>
      <c r="AW558" s="82" t="str">
        <f t="shared" si="1"/>
        <v/>
      </c>
      <c r="AX558" s="83" t="str">
        <f t="array" ref="AX558">IFERROR(DGET('SBV Import'!A:G,"SBV",{"RSC ID","Tier";B558,A558}))</f>
        <v/>
      </c>
      <c r="AY558" s="82" t="str">
        <f t="shared" si="2"/>
        <v/>
      </c>
      <c r="AZ558" s="82"/>
      <c r="BA558" s="84" t="s">
        <v>152</v>
      </c>
      <c r="BB558" s="84" t="str">
        <f>IFERROR(__xludf.DUMMYFUNCTION("iferror(if(A558="""",,E558&gt;=FILTER(Constants!$F$2:$F$10,Constants!$A$2:$A$10=A558)))"),"")</f>
        <v/>
      </c>
    </row>
    <row r="559">
      <c r="A559" s="80"/>
      <c r="B559" s="80"/>
      <c r="C559" s="80"/>
      <c r="D559" s="80"/>
      <c r="E559" s="80"/>
      <c r="F559" s="80"/>
      <c r="G559" s="80"/>
      <c r="H559" s="81"/>
      <c r="I559" s="81"/>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c r="AI559" s="80"/>
      <c r="AJ559" s="80"/>
      <c r="AK559" s="80"/>
      <c r="AL559" s="80"/>
      <c r="AM559" s="80"/>
      <c r="AN559" s="80">
        <f>IFERROR(__xludf.DUMMYFUNCTION("""COMPUTED_VALUE"""),0.0)</f>
        <v>0</v>
      </c>
      <c r="AO559" s="80">
        <f>IFERROR(__xludf.DUMMYFUNCTION("""COMPUTED_VALUE"""),0.0)</f>
        <v>0</v>
      </c>
      <c r="AP559" s="80">
        <f>IFERROR(__xludf.DUMMYFUNCTION("""COMPUTED_VALUE"""),0.0)</f>
        <v>0</v>
      </c>
      <c r="AQ559" s="80">
        <f>IFERROR(__xludf.DUMMYFUNCTION("""COMPUTED_VALUE"""),0.0)</f>
        <v>0</v>
      </c>
      <c r="AR559" s="80">
        <f>IFERROR(__xludf.DUMMYFUNCTION("""COMPUTED_VALUE"""),0.0)</f>
        <v>0</v>
      </c>
      <c r="AS559" s="80"/>
      <c r="AT559" s="80">
        <f>IFERROR(__xludf.DUMMYFUNCTION("""COMPUTED_VALUE"""),0.0)</f>
        <v>0</v>
      </c>
      <c r="AU559" s="80"/>
      <c r="AV559" s="80"/>
      <c r="AW559" s="82" t="str">
        <f t="shared" si="1"/>
        <v/>
      </c>
      <c r="AX559" s="83" t="str">
        <f t="array" ref="AX559">IFERROR(DGET('SBV Import'!A:G,"SBV",{"RSC ID","Tier";B559,A559}))</f>
        <v/>
      </c>
      <c r="AY559" s="82" t="str">
        <f t="shared" si="2"/>
        <v/>
      </c>
      <c r="AZ559" s="82"/>
      <c r="BA559" s="84" t="s">
        <v>152</v>
      </c>
      <c r="BB559" s="84" t="str">
        <f>IFERROR(__xludf.DUMMYFUNCTION("iferror(if(A559="""",,E559&gt;=FILTER(Constants!$F$2:$F$10,Constants!$A$2:$A$10=A559)))"),"")</f>
        <v/>
      </c>
    </row>
    <row r="560">
      <c r="A560" s="80"/>
      <c r="B560" s="80"/>
      <c r="C560" s="80"/>
      <c r="D560" s="80"/>
      <c r="E560" s="80"/>
      <c r="F560" s="80"/>
      <c r="G560" s="80"/>
      <c r="H560" s="81"/>
      <c r="I560" s="81"/>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c r="AJ560" s="80"/>
      <c r="AK560" s="80"/>
      <c r="AL560" s="80"/>
      <c r="AM560" s="80"/>
      <c r="AN560" s="80">
        <f>IFERROR(__xludf.DUMMYFUNCTION("""COMPUTED_VALUE"""),0.0)</f>
        <v>0</v>
      </c>
      <c r="AO560" s="80">
        <f>IFERROR(__xludf.DUMMYFUNCTION("""COMPUTED_VALUE"""),0.0)</f>
        <v>0</v>
      </c>
      <c r="AP560" s="80">
        <f>IFERROR(__xludf.DUMMYFUNCTION("""COMPUTED_VALUE"""),0.0)</f>
        <v>0</v>
      </c>
      <c r="AQ560" s="80">
        <f>IFERROR(__xludf.DUMMYFUNCTION("""COMPUTED_VALUE"""),0.0)</f>
        <v>0</v>
      </c>
      <c r="AR560" s="80">
        <f>IFERROR(__xludf.DUMMYFUNCTION("""COMPUTED_VALUE"""),0.0)</f>
        <v>0</v>
      </c>
      <c r="AS560" s="80"/>
      <c r="AT560" s="80">
        <f>IFERROR(__xludf.DUMMYFUNCTION("""COMPUTED_VALUE"""),0.0)</f>
        <v>0</v>
      </c>
      <c r="AU560" s="80"/>
      <c r="AV560" s="80"/>
      <c r="AW560" s="82" t="str">
        <f t="shared" si="1"/>
        <v/>
      </c>
      <c r="AX560" s="83" t="str">
        <f t="array" ref="AX560">IFERROR(DGET('SBV Import'!A:G,"SBV",{"RSC ID","Tier";B560,A560}))</f>
        <v/>
      </c>
      <c r="AY560" s="82" t="str">
        <f t="shared" si="2"/>
        <v/>
      </c>
      <c r="AZ560" s="82"/>
      <c r="BA560" s="84" t="s">
        <v>152</v>
      </c>
      <c r="BB560" s="84" t="str">
        <f>IFERROR(__xludf.DUMMYFUNCTION("iferror(if(A560="""",,E560&gt;=FILTER(Constants!$F$2:$F$10,Constants!$A$2:$A$10=A560)))"),"")</f>
        <v/>
      </c>
    </row>
    <row r="561">
      <c r="A561" s="80"/>
      <c r="B561" s="80"/>
      <c r="C561" s="80"/>
      <c r="D561" s="80"/>
      <c r="E561" s="80"/>
      <c r="F561" s="80"/>
      <c r="G561" s="80"/>
      <c r="H561" s="81"/>
      <c r="I561" s="81"/>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c r="AJ561" s="80"/>
      <c r="AK561" s="80"/>
      <c r="AL561" s="80"/>
      <c r="AM561" s="80"/>
      <c r="AN561" s="80">
        <f>IFERROR(__xludf.DUMMYFUNCTION("""COMPUTED_VALUE"""),0.0)</f>
        <v>0</v>
      </c>
      <c r="AO561" s="80">
        <f>IFERROR(__xludf.DUMMYFUNCTION("""COMPUTED_VALUE"""),0.0)</f>
        <v>0</v>
      </c>
      <c r="AP561" s="80">
        <f>IFERROR(__xludf.DUMMYFUNCTION("""COMPUTED_VALUE"""),0.0)</f>
        <v>0</v>
      </c>
      <c r="AQ561" s="80">
        <f>IFERROR(__xludf.DUMMYFUNCTION("""COMPUTED_VALUE"""),0.0)</f>
        <v>0</v>
      </c>
      <c r="AR561" s="80">
        <f>IFERROR(__xludf.DUMMYFUNCTION("""COMPUTED_VALUE"""),0.0)</f>
        <v>0</v>
      </c>
      <c r="AS561" s="80"/>
      <c r="AT561" s="80">
        <f>IFERROR(__xludf.DUMMYFUNCTION("""COMPUTED_VALUE"""),0.0)</f>
        <v>0</v>
      </c>
      <c r="AU561" s="80"/>
      <c r="AV561" s="80"/>
      <c r="AW561" s="82" t="str">
        <f t="shared" si="1"/>
        <v/>
      </c>
      <c r="AX561" s="83" t="str">
        <f t="array" ref="AX561">IFERROR(DGET('SBV Import'!A:G,"SBV",{"RSC ID","Tier";B561,A561}))</f>
        <v/>
      </c>
      <c r="AY561" s="82" t="str">
        <f t="shared" si="2"/>
        <v/>
      </c>
      <c r="AZ561" s="82"/>
      <c r="BA561" s="84" t="s">
        <v>152</v>
      </c>
      <c r="BB561" s="84" t="str">
        <f>IFERROR(__xludf.DUMMYFUNCTION("iferror(if(A561="""",,E561&gt;=FILTER(Constants!$F$2:$F$10,Constants!$A$2:$A$10=A561)))"),"")</f>
        <v/>
      </c>
    </row>
    <row r="562">
      <c r="A562" s="80"/>
      <c r="B562" s="80"/>
      <c r="C562" s="80"/>
      <c r="D562" s="80"/>
      <c r="E562" s="80"/>
      <c r="F562" s="80"/>
      <c r="G562" s="80"/>
      <c r="H562" s="81"/>
      <c r="I562" s="81"/>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c r="AJ562" s="80"/>
      <c r="AK562" s="80"/>
      <c r="AL562" s="80"/>
      <c r="AM562" s="80"/>
      <c r="AN562" s="80">
        <f>IFERROR(__xludf.DUMMYFUNCTION("""COMPUTED_VALUE"""),0.0)</f>
        <v>0</v>
      </c>
      <c r="AO562" s="80">
        <f>IFERROR(__xludf.DUMMYFUNCTION("""COMPUTED_VALUE"""),0.0)</f>
        <v>0</v>
      </c>
      <c r="AP562" s="80">
        <f>IFERROR(__xludf.DUMMYFUNCTION("""COMPUTED_VALUE"""),0.0)</f>
        <v>0</v>
      </c>
      <c r="AQ562" s="80">
        <f>IFERROR(__xludf.DUMMYFUNCTION("""COMPUTED_VALUE"""),0.0)</f>
        <v>0</v>
      </c>
      <c r="AR562" s="80">
        <f>IFERROR(__xludf.DUMMYFUNCTION("""COMPUTED_VALUE"""),0.0)</f>
        <v>0</v>
      </c>
      <c r="AS562" s="80"/>
      <c r="AT562" s="80">
        <f>IFERROR(__xludf.DUMMYFUNCTION("""COMPUTED_VALUE"""),0.0)</f>
        <v>0</v>
      </c>
      <c r="AU562" s="80"/>
      <c r="AV562" s="80"/>
      <c r="AW562" s="82" t="str">
        <f t="shared" si="1"/>
        <v/>
      </c>
      <c r="AX562" s="83" t="str">
        <f t="array" ref="AX562">IFERROR(DGET('SBV Import'!A:G,"SBV",{"RSC ID","Tier";B562,A562}))</f>
        <v/>
      </c>
      <c r="AY562" s="82" t="str">
        <f t="shared" si="2"/>
        <v/>
      </c>
      <c r="AZ562" s="82"/>
      <c r="BA562" s="84" t="s">
        <v>152</v>
      </c>
      <c r="BB562" s="84" t="str">
        <f>IFERROR(__xludf.DUMMYFUNCTION("iferror(if(A562="""",,E562&gt;=FILTER(Constants!$F$2:$F$10,Constants!$A$2:$A$10=A562)))"),"")</f>
        <v/>
      </c>
    </row>
    <row r="563">
      <c r="A563" s="80"/>
      <c r="B563" s="80"/>
      <c r="C563" s="80"/>
      <c r="D563" s="80"/>
      <c r="E563" s="80"/>
      <c r="F563" s="80"/>
      <c r="G563" s="80"/>
      <c r="H563" s="81"/>
      <c r="I563" s="81"/>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c r="AJ563" s="80"/>
      <c r="AK563" s="80"/>
      <c r="AL563" s="80"/>
      <c r="AM563" s="80"/>
      <c r="AN563" s="80">
        <f>IFERROR(__xludf.DUMMYFUNCTION("""COMPUTED_VALUE"""),0.0)</f>
        <v>0</v>
      </c>
      <c r="AO563" s="80">
        <f>IFERROR(__xludf.DUMMYFUNCTION("""COMPUTED_VALUE"""),0.0)</f>
        <v>0</v>
      </c>
      <c r="AP563" s="80">
        <f>IFERROR(__xludf.DUMMYFUNCTION("""COMPUTED_VALUE"""),0.0)</f>
        <v>0</v>
      </c>
      <c r="AQ563" s="80">
        <f>IFERROR(__xludf.DUMMYFUNCTION("""COMPUTED_VALUE"""),0.0)</f>
        <v>0</v>
      </c>
      <c r="AR563" s="80">
        <f>IFERROR(__xludf.DUMMYFUNCTION("""COMPUTED_VALUE"""),0.0)</f>
        <v>0</v>
      </c>
      <c r="AS563" s="80"/>
      <c r="AT563" s="80">
        <f>IFERROR(__xludf.DUMMYFUNCTION("""COMPUTED_VALUE"""),0.0)</f>
        <v>0</v>
      </c>
      <c r="AU563" s="80"/>
      <c r="AV563" s="80"/>
      <c r="AW563" s="82" t="str">
        <f t="shared" si="1"/>
        <v/>
      </c>
      <c r="AX563" s="83" t="str">
        <f t="array" ref="AX563">IFERROR(DGET('SBV Import'!A:G,"SBV",{"RSC ID","Tier";B563,A563}))</f>
        <v/>
      </c>
      <c r="AY563" s="82" t="str">
        <f t="shared" si="2"/>
        <v/>
      </c>
      <c r="AZ563" s="82"/>
      <c r="BA563" s="84" t="s">
        <v>152</v>
      </c>
      <c r="BB563" s="84" t="str">
        <f>IFERROR(__xludf.DUMMYFUNCTION("iferror(if(A563="""",,E563&gt;=FILTER(Constants!$F$2:$F$10,Constants!$A$2:$A$10=A563)))"),"")</f>
        <v/>
      </c>
    </row>
    <row r="564">
      <c r="A564" s="80"/>
      <c r="B564" s="80"/>
      <c r="C564" s="80"/>
      <c r="D564" s="80"/>
      <c r="E564" s="80"/>
      <c r="F564" s="80"/>
      <c r="G564" s="80"/>
      <c r="H564" s="81"/>
      <c r="I564" s="81"/>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c r="AJ564" s="80"/>
      <c r="AK564" s="80"/>
      <c r="AL564" s="80"/>
      <c r="AM564" s="80"/>
      <c r="AN564" s="80">
        <f>IFERROR(__xludf.DUMMYFUNCTION("""COMPUTED_VALUE"""),0.0)</f>
        <v>0</v>
      </c>
      <c r="AO564" s="80">
        <f>IFERROR(__xludf.DUMMYFUNCTION("""COMPUTED_VALUE"""),0.0)</f>
        <v>0</v>
      </c>
      <c r="AP564" s="80">
        <f>IFERROR(__xludf.DUMMYFUNCTION("""COMPUTED_VALUE"""),0.0)</f>
        <v>0</v>
      </c>
      <c r="AQ564" s="80">
        <f>IFERROR(__xludf.DUMMYFUNCTION("""COMPUTED_VALUE"""),0.0)</f>
        <v>0</v>
      </c>
      <c r="AR564" s="80">
        <f>IFERROR(__xludf.DUMMYFUNCTION("""COMPUTED_VALUE"""),0.0)</f>
        <v>0</v>
      </c>
      <c r="AS564" s="80"/>
      <c r="AT564" s="80">
        <f>IFERROR(__xludf.DUMMYFUNCTION("""COMPUTED_VALUE"""),0.0)</f>
        <v>0</v>
      </c>
      <c r="AU564" s="80"/>
      <c r="AV564" s="80"/>
      <c r="AW564" s="82" t="str">
        <f t="shared" si="1"/>
        <v/>
      </c>
      <c r="AX564" s="83" t="str">
        <f t="array" ref="AX564">IFERROR(DGET('SBV Import'!A:G,"SBV",{"RSC ID","Tier";B564,A564}))</f>
        <v/>
      </c>
      <c r="AY564" s="82" t="str">
        <f t="shared" si="2"/>
        <v/>
      </c>
      <c r="AZ564" s="82"/>
      <c r="BA564" s="84" t="s">
        <v>152</v>
      </c>
      <c r="BB564" s="84" t="str">
        <f>IFERROR(__xludf.DUMMYFUNCTION("iferror(if(A564="""",,E564&gt;=FILTER(Constants!$F$2:$F$10,Constants!$A$2:$A$10=A564)))"),"")</f>
        <v/>
      </c>
    </row>
    <row r="565">
      <c r="A565" s="80"/>
      <c r="B565" s="80"/>
      <c r="C565" s="80"/>
      <c r="D565" s="80"/>
      <c r="E565" s="80"/>
      <c r="F565" s="80"/>
      <c r="G565" s="80"/>
      <c r="H565" s="81"/>
      <c r="I565" s="81"/>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c r="AI565" s="80"/>
      <c r="AJ565" s="80"/>
      <c r="AK565" s="80"/>
      <c r="AL565" s="80"/>
      <c r="AM565" s="80"/>
      <c r="AN565" s="80">
        <f>IFERROR(__xludf.DUMMYFUNCTION("""COMPUTED_VALUE"""),0.0)</f>
        <v>0</v>
      </c>
      <c r="AO565" s="80">
        <f>IFERROR(__xludf.DUMMYFUNCTION("""COMPUTED_VALUE"""),0.0)</f>
        <v>0</v>
      </c>
      <c r="AP565" s="80">
        <f>IFERROR(__xludf.DUMMYFUNCTION("""COMPUTED_VALUE"""),0.0)</f>
        <v>0</v>
      </c>
      <c r="AQ565" s="80">
        <f>IFERROR(__xludf.DUMMYFUNCTION("""COMPUTED_VALUE"""),0.0)</f>
        <v>0</v>
      </c>
      <c r="AR565" s="80">
        <f>IFERROR(__xludf.DUMMYFUNCTION("""COMPUTED_VALUE"""),0.0)</f>
        <v>0</v>
      </c>
      <c r="AS565" s="80"/>
      <c r="AT565" s="80">
        <f>IFERROR(__xludf.DUMMYFUNCTION("""COMPUTED_VALUE"""),0.0)</f>
        <v>0</v>
      </c>
      <c r="AU565" s="80"/>
      <c r="AV565" s="80"/>
      <c r="AW565" s="82" t="str">
        <f t="shared" si="1"/>
        <v/>
      </c>
      <c r="AX565" s="83" t="str">
        <f t="array" ref="AX565">IFERROR(DGET('SBV Import'!A:G,"SBV",{"RSC ID","Tier";B565,A565}))</f>
        <v/>
      </c>
      <c r="AY565" s="82" t="str">
        <f t="shared" si="2"/>
        <v/>
      </c>
      <c r="AZ565" s="82"/>
      <c r="BA565" s="84" t="s">
        <v>152</v>
      </c>
      <c r="BB565" s="84" t="str">
        <f>IFERROR(__xludf.DUMMYFUNCTION("iferror(if(A565="""",,E565&gt;=FILTER(Constants!$F$2:$F$10,Constants!$A$2:$A$10=A565)))"),"")</f>
        <v/>
      </c>
    </row>
    <row r="566">
      <c r="A566" s="80"/>
      <c r="B566" s="80"/>
      <c r="C566" s="80"/>
      <c r="D566" s="80"/>
      <c r="E566" s="80"/>
      <c r="F566" s="80"/>
      <c r="G566" s="80"/>
      <c r="H566" s="81"/>
      <c r="I566" s="81"/>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c r="AI566" s="80"/>
      <c r="AJ566" s="80"/>
      <c r="AK566" s="80"/>
      <c r="AL566" s="80"/>
      <c r="AM566" s="80"/>
      <c r="AN566" s="80">
        <f>IFERROR(__xludf.DUMMYFUNCTION("""COMPUTED_VALUE"""),0.0)</f>
        <v>0</v>
      </c>
      <c r="AO566" s="80">
        <f>IFERROR(__xludf.DUMMYFUNCTION("""COMPUTED_VALUE"""),0.0)</f>
        <v>0</v>
      </c>
      <c r="AP566" s="80">
        <f>IFERROR(__xludf.DUMMYFUNCTION("""COMPUTED_VALUE"""),0.0)</f>
        <v>0</v>
      </c>
      <c r="AQ566" s="80">
        <f>IFERROR(__xludf.DUMMYFUNCTION("""COMPUTED_VALUE"""),0.0)</f>
        <v>0</v>
      </c>
      <c r="AR566" s="80">
        <f>IFERROR(__xludf.DUMMYFUNCTION("""COMPUTED_VALUE"""),0.0)</f>
        <v>0</v>
      </c>
      <c r="AS566" s="80"/>
      <c r="AT566" s="80">
        <f>IFERROR(__xludf.DUMMYFUNCTION("""COMPUTED_VALUE"""),0.0)</f>
        <v>0</v>
      </c>
      <c r="AU566" s="80"/>
      <c r="AV566" s="80"/>
      <c r="AW566" s="82" t="str">
        <f t="shared" si="1"/>
        <v/>
      </c>
      <c r="AX566" s="83" t="str">
        <f t="array" ref="AX566">IFERROR(DGET('SBV Import'!A:G,"SBV",{"RSC ID","Tier";B566,A566}))</f>
        <v/>
      </c>
      <c r="AY566" s="82" t="str">
        <f t="shared" si="2"/>
        <v/>
      </c>
      <c r="AZ566" s="82"/>
      <c r="BA566" s="84" t="s">
        <v>152</v>
      </c>
      <c r="BB566" s="84" t="str">
        <f>IFERROR(__xludf.DUMMYFUNCTION("iferror(if(A566="""",,E566&gt;=FILTER(Constants!$F$2:$F$10,Constants!$A$2:$A$10=A566)))"),"")</f>
        <v/>
      </c>
    </row>
    <row r="567">
      <c r="A567" s="80"/>
      <c r="B567" s="80"/>
      <c r="C567" s="80"/>
      <c r="D567" s="80"/>
      <c r="E567" s="80"/>
      <c r="F567" s="80"/>
      <c r="G567" s="80"/>
      <c r="H567" s="81"/>
      <c r="I567" s="81"/>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c r="AJ567" s="80"/>
      <c r="AK567" s="80"/>
      <c r="AL567" s="80"/>
      <c r="AM567" s="80"/>
      <c r="AN567" s="80">
        <f>IFERROR(__xludf.DUMMYFUNCTION("""COMPUTED_VALUE"""),0.0)</f>
        <v>0</v>
      </c>
      <c r="AO567" s="80">
        <f>IFERROR(__xludf.DUMMYFUNCTION("""COMPUTED_VALUE"""),0.0)</f>
        <v>0</v>
      </c>
      <c r="AP567" s="80">
        <f>IFERROR(__xludf.DUMMYFUNCTION("""COMPUTED_VALUE"""),0.0)</f>
        <v>0</v>
      </c>
      <c r="AQ567" s="80">
        <f>IFERROR(__xludf.DUMMYFUNCTION("""COMPUTED_VALUE"""),0.0)</f>
        <v>0</v>
      </c>
      <c r="AR567" s="80">
        <f>IFERROR(__xludf.DUMMYFUNCTION("""COMPUTED_VALUE"""),0.0)</f>
        <v>0</v>
      </c>
      <c r="AS567" s="80"/>
      <c r="AT567" s="80">
        <f>IFERROR(__xludf.DUMMYFUNCTION("""COMPUTED_VALUE"""),0.0)</f>
        <v>0</v>
      </c>
      <c r="AU567" s="80"/>
      <c r="AV567" s="80"/>
      <c r="AW567" s="82" t="str">
        <f t="shared" si="1"/>
        <v/>
      </c>
      <c r="AX567" s="83" t="str">
        <f t="array" ref="AX567">IFERROR(DGET('SBV Import'!A:G,"SBV",{"RSC ID","Tier";B567,A567}))</f>
        <v/>
      </c>
      <c r="AY567" s="82" t="str">
        <f t="shared" si="2"/>
        <v/>
      </c>
      <c r="AZ567" s="82"/>
      <c r="BA567" s="84" t="s">
        <v>152</v>
      </c>
      <c r="BB567" s="84" t="str">
        <f>IFERROR(__xludf.DUMMYFUNCTION("iferror(if(A567="""",,E567&gt;=FILTER(Constants!$F$2:$F$10,Constants!$A$2:$A$10=A567)))"),"")</f>
        <v/>
      </c>
    </row>
    <row r="568">
      <c r="A568" s="80"/>
      <c r="B568" s="80"/>
      <c r="C568" s="80"/>
      <c r="D568" s="80"/>
      <c r="E568" s="80"/>
      <c r="F568" s="80"/>
      <c r="G568" s="80"/>
      <c r="H568" s="81"/>
      <c r="I568" s="81"/>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c r="AI568" s="80"/>
      <c r="AJ568" s="80"/>
      <c r="AK568" s="80"/>
      <c r="AL568" s="80"/>
      <c r="AM568" s="80"/>
      <c r="AN568" s="80">
        <f>IFERROR(__xludf.DUMMYFUNCTION("""COMPUTED_VALUE"""),0.0)</f>
        <v>0</v>
      </c>
      <c r="AO568" s="80">
        <f>IFERROR(__xludf.DUMMYFUNCTION("""COMPUTED_VALUE"""),0.0)</f>
        <v>0</v>
      </c>
      <c r="AP568" s="80">
        <f>IFERROR(__xludf.DUMMYFUNCTION("""COMPUTED_VALUE"""),0.0)</f>
        <v>0</v>
      </c>
      <c r="AQ568" s="80">
        <f>IFERROR(__xludf.DUMMYFUNCTION("""COMPUTED_VALUE"""),0.0)</f>
        <v>0</v>
      </c>
      <c r="AR568" s="80">
        <f>IFERROR(__xludf.DUMMYFUNCTION("""COMPUTED_VALUE"""),0.0)</f>
        <v>0</v>
      </c>
      <c r="AS568" s="80"/>
      <c r="AT568" s="80">
        <f>IFERROR(__xludf.DUMMYFUNCTION("""COMPUTED_VALUE"""),0.0)</f>
        <v>0</v>
      </c>
      <c r="AU568" s="80"/>
      <c r="AV568" s="80"/>
      <c r="AW568" s="82" t="str">
        <f t="shared" si="1"/>
        <v/>
      </c>
      <c r="AX568" s="83" t="str">
        <f t="array" ref="AX568">IFERROR(DGET('SBV Import'!A:G,"SBV",{"RSC ID","Tier";B568,A568}))</f>
        <v/>
      </c>
      <c r="AY568" s="82" t="str">
        <f t="shared" si="2"/>
        <v/>
      </c>
      <c r="AZ568" s="82"/>
      <c r="BA568" s="84" t="s">
        <v>152</v>
      </c>
      <c r="BB568" s="84" t="str">
        <f>IFERROR(__xludf.DUMMYFUNCTION("iferror(if(A568="""",,E568&gt;=FILTER(Constants!$F$2:$F$10,Constants!$A$2:$A$10=A568)))"),"")</f>
        <v/>
      </c>
    </row>
    <row r="569">
      <c r="A569" s="80"/>
      <c r="B569" s="80"/>
      <c r="C569" s="80"/>
      <c r="D569" s="80"/>
      <c r="E569" s="80"/>
      <c r="F569" s="80"/>
      <c r="G569" s="80"/>
      <c r="H569" s="81"/>
      <c r="I569" s="81"/>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c r="AI569" s="80"/>
      <c r="AJ569" s="80"/>
      <c r="AK569" s="80"/>
      <c r="AL569" s="80"/>
      <c r="AM569" s="80"/>
      <c r="AN569" s="80">
        <f>IFERROR(__xludf.DUMMYFUNCTION("""COMPUTED_VALUE"""),0.0)</f>
        <v>0</v>
      </c>
      <c r="AO569" s="80">
        <f>IFERROR(__xludf.DUMMYFUNCTION("""COMPUTED_VALUE"""),0.0)</f>
        <v>0</v>
      </c>
      <c r="AP569" s="80">
        <f>IFERROR(__xludf.DUMMYFUNCTION("""COMPUTED_VALUE"""),0.0)</f>
        <v>0</v>
      </c>
      <c r="AQ569" s="80">
        <f>IFERROR(__xludf.DUMMYFUNCTION("""COMPUTED_VALUE"""),0.0)</f>
        <v>0</v>
      </c>
      <c r="AR569" s="80">
        <f>IFERROR(__xludf.DUMMYFUNCTION("""COMPUTED_VALUE"""),0.0)</f>
        <v>0</v>
      </c>
      <c r="AS569" s="80"/>
      <c r="AT569" s="80">
        <f>IFERROR(__xludf.DUMMYFUNCTION("""COMPUTED_VALUE"""),0.0)</f>
        <v>0</v>
      </c>
      <c r="AU569" s="80"/>
      <c r="AV569" s="80"/>
      <c r="AW569" s="82" t="str">
        <f t="shared" si="1"/>
        <v/>
      </c>
      <c r="AX569" s="83" t="str">
        <f t="array" ref="AX569">IFERROR(DGET('SBV Import'!A:G,"SBV",{"RSC ID","Tier";B569,A569}))</f>
        <v/>
      </c>
      <c r="AY569" s="82" t="str">
        <f t="shared" si="2"/>
        <v/>
      </c>
      <c r="AZ569" s="82"/>
      <c r="BA569" s="84" t="s">
        <v>152</v>
      </c>
      <c r="BB569" s="84" t="str">
        <f>IFERROR(__xludf.DUMMYFUNCTION("iferror(if(A569="""",,E569&gt;=FILTER(Constants!$F$2:$F$10,Constants!$A$2:$A$10=A569)))"),"")</f>
        <v/>
      </c>
    </row>
    <row r="570">
      <c r="A570" s="80"/>
      <c r="B570" s="80"/>
      <c r="C570" s="80"/>
      <c r="D570" s="80"/>
      <c r="E570" s="80"/>
      <c r="F570" s="80"/>
      <c r="G570" s="80"/>
      <c r="H570" s="81"/>
      <c r="I570" s="81"/>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c r="AI570" s="80"/>
      <c r="AJ570" s="80"/>
      <c r="AK570" s="80"/>
      <c r="AL570" s="80"/>
      <c r="AM570" s="80"/>
      <c r="AN570" s="80">
        <f>IFERROR(__xludf.DUMMYFUNCTION("""COMPUTED_VALUE"""),0.0)</f>
        <v>0</v>
      </c>
      <c r="AO570" s="80">
        <f>IFERROR(__xludf.DUMMYFUNCTION("""COMPUTED_VALUE"""),0.0)</f>
        <v>0</v>
      </c>
      <c r="AP570" s="80">
        <f>IFERROR(__xludf.DUMMYFUNCTION("""COMPUTED_VALUE"""),0.0)</f>
        <v>0</v>
      </c>
      <c r="AQ570" s="80">
        <f>IFERROR(__xludf.DUMMYFUNCTION("""COMPUTED_VALUE"""),0.0)</f>
        <v>0</v>
      </c>
      <c r="AR570" s="80">
        <f>IFERROR(__xludf.DUMMYFUNCTION("""COMPUTED_VALUE"""),0.0)</f>
        <v>0</v>
      </c>
      <c r="AS570" s="80"/>
      <c r="AT570" s="80">
        <f>IFERROR(__xludf.DUMMYFUNCTION("""COMPUTED_VALUE"""),0.0)</f>
        <v>0</v>
      </c>
      <c r="AU570" s="80"/>
      <c r="AV570" s="80"/>
      <c r="AW570" s="82" t="str">
        <f t="shared" si="1"/>
        <v/>
      </c>
      <c r="AX570" s="83" t="str">
        <f t="array" ref="AX570">IFERROR(DGET('SBV Import'!A:G,"SBV",{"RSC ID","Tier";B570,A570}))</f>
        <v/>
      </c>
      <c r="AY570" s="82" t="str">
        <f t="shared" si="2"/>
        <v/>
      </c>
      <c r="AZ570" s="82"/>
      <c r="BA570" s="84" t="s">
        <v>152</v>
      </c>
      <c r="BB570" s="84" t="str">
        <f>IFERROR(__xludf.DUMMYFUNCTION("iferror(if(A570="""",,E570&gt;=FILTER(Constants!$F$2:$F$10,Constants!$A$2:$A$10=A570)))"),"")</f>
        <v/>
      </c>
    </row>
    <row r="571">
      <c r="A571" s="80"/>
      <c r="B571" s="80"/>
      <c r="C571" s="80"/>
      <c r="D571" s="80"/>
      <c r="E571" s="80"/>
      <c r="F571" s="80"/>
      <c r="G571" s="80"/>
      <c r="H571" s="81"/>
      <c r="I571" s="81"/>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c r="AI571" s="80"/>
      <c r="AJ571" s="80"/>
      <c r="AK571" s="80"/>
      <c r="AL571" s="80"/>
      <c r="AM571" s="80"/>
      <c r="AN571" s="80">
        <f>IFERROR(__xludf.DUMMYFUNCTION("""COMPUTED_VALUE"""),0.0)</f>
        <v>0</v>
      </c>
      <c r="AO571" s="80">
        <f>IFERROR(__xludf.DUMMYFUNCTION("""COMPUTED_VALUE"""),0.0)</f>
        <v>0</v>
      </c>
      <c r="AP571" s="80">
        <f>IFERROR(__xludf.DUMMYFUNCTION("""COMPUTED_VALUE"""),0.0)</f>
        <v>0</v>
      </c>
      <c r="AQ571" s="80">
        <f>IFERROR(__xludf.DUMMYFUNCTION("""COMPUTED_VALUE"""),0.0)</f>
        <v>0</v>
      </c>
      <c r="AR571" s="80">
        <f>IFERROR(__xludf.DUMMYFUNCTION("""COMPUTED_VALUE"""),0.0)</f>
        <v>0</v>
      </c>
      <c r="AS571" s="80"/>
      <c r="AT571" s="80">
        <f>IFERROR(__xludf.DUMMYFUNCTION("""COMPUTED_VALUE"""),0.0)</f>
        <v>0</v>
      </c>
      <c r="AU571" s="80"/>
      <c r="AV571" s="80"/>
      <c r="AW571" s="82" t="str">
        <f t="shared" si="1"/>
        <v/>
      </c>
      <c r="AX571" s="83" t="str">
        <f t="array" ref="AX571">IFERROR(DGET('SBV Import'!A:G,"SBV",{"RSC ID","Tier";B571,A571}))</f>
        <v/>
      </c>
      <c r="AY571" s="82" t="str">
        <f t="shared" si="2"/>
        <v/>
      </c>
      <c r="AZ571" s="82"/>
      <c r="BA571" s="84" t="s">
        <v>152</v>
      </c>
      <c r="BB571" s="84" t="str">
        <f>IFERROR(__xludf.DUMMYFUNCTION("iferror(if(A571="""",,E571&gt;=FILTER(Constants!$F$2:$F$10,Constants!$A$2:$A$10=A571)))"),"")</f>
        <v/>
      </c>
    </row>
    <row r="572">
      <c r="A572" s="80"/>
      <c r="B572" s="80"/>
      <c r="C572" s="80"/>
      <c r="D572" s="80"/>
      <c r="E572" s="80"/>
      <c r="F572" s="80"/>
      <c r="G572" s="80"/>
      <c r="H572" s="81"/>
      <c r="I572" s="81"/>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c r="AI572" s="80"/>
      <c r="AJ572" s="80"/>
      <c r="AK572" s="80"/>
      <c r="AL572" s="80"/>
      <c r="AM572" s="80"/>
      <c r="AN572" s="80">
        <f>IFERROR(__xludf.DUMMYFUNCTION("""COMPUTED_VALUE"""),0.0)</f>
        <v>0</v>
      </c>
      <c r="AO572" s="80">
        <f>IFERROR(__xludf.DUMMYFUNCTION("""COMPUTED_VALUE"""),0.0)</f>
        <v>0</v>
      </c>
      <c r="AP572" s="80">
        <f>IFERROR(__xludf.DUMMYFUNCTION("""COMPUTED_VALUE"""),0.0)</f>
        <v>0</v>
      </c>
      <c r="AQ572" s="80">
        <f>IFERROR(__xludf.DUMMYFUNCTION("""COMPUTED_VALUE"""),0.0)</f>
        <v>0</v>
      </c>
      <c r="AR572" s="80">
        <f>IFERROR(__xludf.DUMMYFUNCTION("""COMPUTED_VALUE"""),0.0)</f>
        <v>0</v>
      </c>
      <c r="AS572" s="80"/>
      <c r="AT572" s="80">
        <f>IFERROR(__xludf.DUMMYFUNCTION("""COMPUTED_VALUE"""),0.0)</f>
        <v>0</v>
      </c>
      <c r="AU572" s="80"/>
      <c r="AV572" s="80"/>
      <c r="AW572" s="82" t="str">
        <f t="shared" si="1"/>
        <v/>
      </c>
      <c r="AX572" s="83" t="str">
        <f t="array" ref="AX572">IFERROR(DGET('SBV Import'!A:G,"SBV",{"RSC ID","Tier";B572,A572}))</f>
        <v/>
      </c>
      <c r="AY572" s="82" t="str">
        <f t="shared" si="2"/>
        <v/>
      </c>
      <c r="AZ572" s="82"/>
      <c r="BA572" s="84" t="s">
        <v>152</v>
      </c>
      <c r="BB572" s="84" t="str">
        <f>IFERROR(__xludf.DUMMYFUNCTION("iferror(if(A572="""",,E572&gt;=FILTER(Constants!$F$2:$F$10,Constants!$A$2:$A$10=A572)))"),"")</f>
        <v/>
      </c>
    </row>
    <row r="573">
      <c r="A573" s="80"/>
      <c r="B573" s="80"/>
      <c r="C573" s="80"/>
      <c r="D573" s="80"/>
      <c r="E573" s="80"/>
      <c r="F573" s="80"/>
      <c r="G573" s="80"/>
      <c r="H573" s="81"/>
      <c r="I573" s="81"/>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c r="AI573" s="80"/>
      <c r="AJ573" s="80"/>
      <c r="AK573" s="80"/>
      <c r="AL573" s="80"/>
      <c r="AM573" s="80"/>
      <c r="AN573" s="80">
        <f>IFERROR(__xludf.DUMMYFUNCTION("""COMPUTED_VALUE"""),0.0)</f>
        <v>0</v>
      </c>
      <c r="AO573" s="80">
        <f>IFERROR(__xludf.DUMMYFUNCTION("""COMPUTED_VALUE"""),0.0)</f>
        <v>0</v>
      </c>
      <c r="AP573" s="80">
        <f>IFERROR(__xludf.DUMMYFUNCTION("""COMPUTED_VALUE"""),0.0)</f>
        <v>0</v>
      </c>
      <c r="AQ573" s="80">
        <f>IFERROR(__xludf.DUMMYFUNCTION("""COMPUTED_VALUE"""),0.0)</f>
        <v>0</v>
      </c>
      <c r="AR573" s="80">
        <f>IFERROR(__xludf.DUMMYFUNCTION("""COMPUTED_VALUE"""),0.0)</f>
        <v>0</v>
      </c>
      <c r="AS573" s="80"/>
      <c r="AT573" s="80">
        <f>IFERROR(__xludf.DUMMYFUNCTION("""COMPUTED_VALUE"""),0.0)</f>
        <v>0</v>
      </c>
      <c r="AU573" s="80"/>
      <c r="AV573" s="80"/>
      <c r="AW573" s="82" t="str">
        <f t="shared" si="1"/>
        <v/>
      </c>
      <c r="AX573" s="83" t="str">
        <f t="array" ref="AX573">IFERROR(DGET('SBV Import'!A:G,"SBV",{"RSC ID","Tier";B573,A573}))</f>
        <v/>
      </c>
      <c r="AY573" s="82" t="str">
        <f t="shared" si="2"/>
        <v/>
      </c>
      <c r="AZ573" s="82"/>
      <c r="BA573" s="84" t="s">
        <v>152</v>
      </c>
      <c r="BB573" s="84" t="str">
        <f>IFERROR(__xludf.DUMMYFUNCTION("iferror(if(A573="""",,E573&gt;=FILTER(Constants!$F$2:$F$10,Constants!$A$2:$A$10=A573)))"),"")</f>
        <v/>
      </c>
    </row>
    <row r="574">
      <c r="A574" s="80"/>
      <c r="B574" s="80"/>
      <c r="C574" s="80"/>
      <c r="D574" s="80"/>
      <c r="E574" s="80"/>
      <c r="F574" s="80"/>
      <c r="G574" s="80"/>
      <c r="H574" s="81"/>
      <c r="I574" s="81"/>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c r="AI574" s="80"/>
      <c r="AJ574" s="80"/>
      <c r="AK574" s="80"/>
      <c r="AL574" s="80"/>
      <c r="AM574" s="80"/>
      <c r="AN574" s="80">
        <f>IFERROR(__xludf.DUMMYFUNCTION("""COMPUTED_VALUE"""),0.0)</f>
        <v>0</v>
      </c>
      <c r="AO574" s="80">
        <f>IFERROR(__xludf.DUMMYFUNCTION("""COMPUTED_VALUE"""),0.0)</f>
        <v>0</v>
      </c>
      <c r="AP574" s="80">
        <f>IFERROR(__xludf.DUMMYFUNCTION("""COMPUTED_VALUE"""),0.0)</f>
        <v>0</v>
      </c>
      <c r="AQ574" s="80">
        <f>IFERROR(__xludf.DUMMYFUNCTION("""COMPUTED_VALUE"""),0.0)</f>
        <v>0</v>
      </c>
      <c r="AR574" s="80">
        <f>IFERROR(__xludf.DUMMYFUNCTION("""COMPUTED_VALUE"""),0.0)</f>
        <v>0</v>
      </c>
      <c r="AS574" s="80"/>
      <c r="AT574" s="80">
        <f>IFERROR(__xludf.DUMMYFUNCTION("""COMPUTED_VALUE"""),0.0)</f>
        <v>0</v>
      </c>
      <c r="AU574" s="80"/>
      <c r="AV574" s="80"/>
      <c r="AW574" s="82" t="str">
        <f t="shared" si="1"/>
        <v/>
      </c>
      <c r="AX574" s="83" t="str">
        <f t="array" ref="AX574">IFERROR(DGET('SBV Import'!A:G,"SBV",{"RSC ID","Tier";B574,A574}))</f>
        <v/>
      </c>
      <c r="AY574" s="82" t="str">
        <f t="shared" si="2"/>
        <v/>
      </c>
      <c r="AZ574" s="82"/>
      <c r="BA574" s="84" t="s">
        <v>152</v>
      </c>
      <c r="BB574" s="84" t="str">
        <f>IFERROR(__xludf.DUMMYFUNCTION("iferror(if(A574="""",,E574&gt;=FILTER(Constants!$F$2:$F$10,Constants!$A$2:$A$10=A574)))"),"")</f>
        <v/>
      </c>
    </row>
    <row r="575">
      <c r="A575" s="80"/>
      <c r="B575" s="80"/>
      <c r="C575" s="80"/>
      <c r="D575" s="80"/>
      <c r="E575" s="80"/>
      <c r="F575" s="80"/>
      <c r="G575" s="80"/>
      <c r="H575" s="81"/>
      <c r="I575" s="81"/>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c r="AI575" s="80"/>
      <c r="AJ575" s="80"/>
      <c r="AK575" s="80"/>
      <c r="AL575" s="80"/>
      <c r="AM575" s="80"/>
      <c r="AN575" s="80">
        <f>IFERROR(__xludf.DUMMYFUNCTION("""COMPUTED_VALUE"""),0.0)</f>
        <v>0</v>
      </c>
      <c r="AO575" s="80">
        <f>IFERROR(__xludf.DUMMYFUNCTION("""COMPUTED_VALUE"""),0.0)</f>
        <v>0</v>
      </c>
      <c r="AP575" s="80">
        <f>IFERROR(__xludf.DUMMYFUNCTION("""COMPUTED_VALUE"""),0.0)</f>
        <v>0</v>
      </c>
      <c r="AQ575" s="80">
        <f>IFERROR(__xludf.DUMMYFUNCTION("""COMPUTED_VALUE"""),0.0)</f>
        <v>0</v>
      </c>
      <c r="AR575" s="80">
        <f>IFERROR(__xludf.DUMMYFUNCTION("""COMPUTED_VALUE"""),0.0)</f>
        <v>0</v>
      </c>
      <c r="AS575" s="80"/>
      <c r="AT575" s="80">
        <f>IFERROR(__xludf.DUMMYFUNCTION("""COMPUTED_VALUE"""),0.0)</f>
        <v>0</v>
      </c>
      <c r="AU575" s="80"/>
      <c r="AV575" s="80"/>
      <c r="AW575" s="82" t="str">
        <f t="shared" si="1"/>
        <v/>
      </c>
      <c r="AX575" s="83" t="str">
        <f t="array" ref="AX575">IFERROR(DGET('SBV Import'!A:G,"SBV",{"RSC ID","Tier";B575,A575}))</f>
        <v/>
      </c>
      <c r="AY575" s="82" t="str">
        <f t="shared" si="2"/>
        <v/>
      </c>
      <c r="AZ575" s="82"/>
      <c r="BA575" s="84" t="s">
        <v>152</v>
      </c>
      <c r="BB575" s="84" t="str">
        <f>IFERROR(__xludf.DUMMYFUNCTION("iferror(if(A575="""",,E575&gt;=FILTER(Constants!$F$2:$F$10,Constants!$A$2:$A$10=A575)))"),"")</f>
        <v/>
      </c>
    </row>
    <row r="576">
      <c r="A576" s="80"/>
      <c r="B576" s="80"/>
      <c r="C576" s="80"/>
      <c r="D576" s="80"/>
      <c r="E576" s="80"/>
      <c r="F576" s="80"/>
      <c r="G576" s="80"/>
      <c r="H576" s="81"/>
      <c r="I576" s="81"/>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c r="AI576" s="80"/>
      <c r="AJ576" s="80"/>
      <c r="AK576" s="80"/>
      <c r="AL576" s="80"/>
      <c r="AM576" s="80"/>
      <c r="AN576" s="80">
        <f>IFERROR(__xludf.DUMMYFUNCTION("""COMPUTED_VALUE"""),0.0)</f>
        <v>0</v>
      </c>
      <c r="AO576" s="80">
        <f>IFERROR(__xludf.DUMMYFUNCTION("""COMPUTED_VALUE"""),0.0)</f>
        <v>0</v>
      </c>
      <c r="AP576" s="80">
        <f>IFERROR(__xludf.DUMMYFUNCTION("""COMPUTED_VALUE"""),0.0)</f>
        <v>0</v>
      </c>
      <c r="AQ576" s="80">
        <f>IFERROR(__xludf.DUMMYFUNCTION("""COMPUTED_VALUE"""),0.0)</f>
        <v>0</v>
      </c>
      <c r="AR576" s="80">
        <f>IFERROR(__xludf.DUMMYFUNCTION("""COMPUTED_VALUE"""),0.0)</f>
        <v>0</v>
      </c>
      <c r="AS576" s="80"/>
      <c r="AT576" s="80">
        <f>IFERROR(__xludf.DUMMYFUNCTION("""COMPUTED_VALUE"""),0.0)</f>
        <v>0</v>
      </c>
      <c r="AU576" s="80"/>
      <c r="AV576" s="80"/>
      <c r="AW576" s="82" t="str">
        <f t="shared" si="1"/>
        <v/>
      </c>
      <c r="AX576" s="83" t="str">
        <f t="array" ref="AX576">IFERROR(DGET('SBV Import'!A:G,"SBV",{"RSC ID","Tier";B576,A576}))</f>
        <v/>
      </c>
      <c r="AY576" s="82" t="str">
        <f t="shared" si="2"/>
        <v/>
      </c>
      <c r="AZ576" s="82"/>
      <c r="BA576" s="84" t="s">
        <v>152</v>
      </c>
      <c r="BB576" s="84" t="str">
        <f>IFERROR(__xludf.DUMMYFUNCTION("iferror(if(A576="""",,E576&gt;=FILTER(Constants!$F$2:$F$10,Constants!$A$2:$A$10=A576)))"),"")</f>
        <v/>
      </c>
    </row>
    <row r="577">
      <c r="A577" s="80"/>
      <c r="B577" s="80"/>
      <c r="C577" s="80"/>
      <c r="D577" s="80"/>
      <c r="E577" s="80"/>
      <c r="F577" s="80"/>
      <c r="G577" s="80"/>
      <c r="H577" s="81"/>
      <c r="I577" s="81"/>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c r="AI577" s="80"/>
      <c r="AJ577" s="80"/>
      <c r="AK577" s="80"/>
      <c r="AL577" s="80"/>
      <c r="AM577" s="80"/>
      <c r="AN577" s="80">
        <f>IFERROR(__xludf.DUMMYFUNCTION("""COMPUTED_VALUE"""),0.0)</f>
        <v>0</v>
      </c>
      <c r="AO577" s="80">
        <f>IFERROR(__xludf.DUMMYFUNCTION("""COMPUTED_VALUE"""),0.0)</f>
        <v>0</v>
      </c>
      <c r="AP577" s="80">
        <f>IFERROR(__xludf.DUMMYFUNCTION("""COMPUTED_VALUE"""),0.0)</f>
        <v>0</v>
      </c>
      <c r="AQ577" s="80">
        <f>IFERROR(__xludf.DUMMYFUNCTION("""COMPUTED_VALUE"""),0.0)</f>
        <v>0</v>
      </c>
      <c r="AR577" s="80">
        <f>IFERROR(__xludf.DUMMYFUNCTION("""COMPUTED_VALUE"""),0.0)</f>
        <v>0</v>
      </c>
      <c r="AS577" s="80"/>
      <c r="AT577" s="80">
        <f>IFERROR(__xludf.DUMMYFUNCTION("""COMPUTED_VALUE"""),0.0)</f>
        <v>0</v>
      </c>
      <c r="AU577" s="80"/>
      <c r="AV577" s="80"/>
      <c r="AW577" s="82" t="str">
        <f t="shared" si="1"/>
        <v/>
      </c>
      <c r="AX577" s="83" t="str">
        <f t="array" ref="AX577">IFERROR(DGET('SBV Import'!A:G,"SBV",{"RSC ID","Tier";B577,A577}))</f>
        <v/>
      </c>
      <c r="AY577" s="82" t="str">
        <f t="shared" si="2"/>
        <v/>
      </c>
      <c r="AZ577" s="82"/>
      <c r="BA577" s="84" t="s">
        <v>152</v>
      </c>
      <c r="BB577" s="84" t="str">
        <f>IFERROR(__xludf.DUMMYFUNCTION("iferror(if(A577="""",,E577&gt;=FILTER(Constants!$F$2:$F$10,Constants!$A$2:$A$10=A577)))"),"")</f>
        <v/>
      </c>
    </row>
    <row r="578">
      <c r="A578" s="80"/>
      <c r="B578" s="80"/>
      <c r="C578" s="80"/>
      <c r="D578" s="80"/>
      <c r="E578" s="80"/>
      <c r="F578" s="80"/>
      <c r="G578" s="80"/>
      <c r="H578" s="81"/>
      <c r="I578" s="81"/>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c r="AJ578" s="80"/>
      <c r="AK578" s="80"/>
      <c r="AL578" s="80"/>
      <c r="AM578" s="80"/>
      <c r="AN578" s="80">
        <f>IFERROR(__xludf.DUMMYFUNCTION("""COMPUTED_VALUE"""),0.0)</f>
        <v>0</v>
      </c>
      <c r="AO578" s="80">
        <f>IFERROR(__xludf.DUMMYFUNCTION("""COMPUTED_VALUE"""),0.0)</f>
        <v>0</v>
      </c>
      <c r="AP578" s="80">
        <f>IFERROR(__xludf.DUMMYFUNCTION("""COMPUTED_VALUE"""),0.0)</f>
        <v>0</v>
      </c>
      <c r="AQ578" s="80">
        <f>IFERROR(__xludf.DUMMYFUNCTION("""COMPUTED_VALUE"""),0.0)</f>
        <v>0</v>
      </c>
      <c r="AR578" s="80">
        <f>IFERROR(__xludf.DUMMYFUNCTION("""COMPUTED_VALUE"""),0.0)</f>
        <v>0</v>
      </c>
      <c r="AS578" s="80"/>
      <c r="AT578" s="80">
        <f>IFERROR(__xludf.DUMMYFUNCTION("""COMPUTED_VALUE"""),0.0)</f>
        <v>0</v>
      </c>
      <c r="AU578" s="80"/>
      <c r="AV578" s="80"/>
      <c r="AW578" s="82" t="str">
        <f t="shared" si="1"/>
        <v/>
      </c>
      <c r="AX578" s="83" t="str">
        <f t="array" ref="AX578">IFERROR(DGET('SBV Import'!A:G,"SBV",{"RSC ID","Tier";B578,A578}))</f>
        <v/>
      </c>
      <c r="AY578" s="82" t="str">
        <f t="shared" si="2"/>
        <v/>
      </c>
      <c r="AZ578" s="82"/>
      <c r="BA578" s="84" t="s">
        <v>152</v>
      </c>
      <c r="BB578" s="84" t="str">
        <f>IFERROR(__xludf.DUMMYFUNCTION("iferror(if(A578="""",,E578&gt;=FILTER(Constants!$F$2:$F$10,Constants!$A$2:$A$10=A578)))"),"")</f>
        <v/>
      </c>
    </row>
    <row r="579">
      <c r="A579" s="80"/>
      <c r="B579" s="80"/>
      <c r="C579" s="80"/>
      <c r="D579" s="80"/>
      <c r="E579" s="80"/>
      <c r="F579" s="80"/>
      <c r="G579" s="80"/>
      <c r="H579" s="81"/>
      <c r="I579" s="81"/>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c r="AI579" s="80"/>
      <c r="AJ579" s="80"/>
      <c r="AK579" s="80"/>
      <c r="AL579" s="80"/>
      <c r="AM579" s="80"/>
      <c r="AN579" s="80">
        <f>IFERROR(__xludf.DUMMYFUNCTION("""COMPUTED_VALUE"""),0.0)</f>
        <v>0</v>
      </c>
      <c r="AO579" s="80">
        <f>IFERROR(__xludf.DUMMYFUNCTION("""COMPUTED_VALUE"""),0.0)</f>
        <v>0</v>
      </c>
      <c r="AP579" s="80">
        <f>IFERROR(__xludf.DUMMYFUNCTION("""COMPUTED_VALUE"""),0.0)</f>
        <v>0</v>
      </c>
      <c r="AQ579" s="80">
        <f>IFERROR(__xludf.DUMMYFUNCTION("""COMPUTED_VALUE"""),0.0)</f>
        <v>0</v>
      </c>
      <c r="AR579" s="80">
        <f>IFERROR(__xludf.DUMMYFUNCTION("""COMPUTED_VALUE"""),0.0)</f>
        <v>0</v>
      </c>
      <c r="AS579" s="80"/>
      <c r="AT579" s="80">
        <f>IFERROR(__xludf.DUMMYFUNCTION("""COMPUTED_VALUE"""),0.0)</f>
        <v>0</v>
      </c>
      <c r="AU579" s="80"/>
      <c r="AV579" s="80"/>
      <c r="AW579" s="82" t="str">
        <f t="shared" si="1"/>
        <v/>
      </c>
      <c r="AX579" s="83" t="str">
        <f t="array" ref="AX579">IFERROR(DGET('SBV Import'!A:G,"SBV",{"RSC ID","Tier";B579,A579}))</f>
        <v/>
      </c>
      <c r="AY579" s="82" t="str">
        <f t="shared" si="2"/>
        <v/>
      </c>
      <c r="AZ579" s="82"/>
      <c r="BA579" s="84" t="s">
        <v>152</v>
      </c>
      <c r="BB579" s="84" t="str">
        <f>IFERROR(__xludf.DUMMYFUNCTION("iferror(if(A579="""",,E579&gt;=FILTER(Constants!$F$2:$F$10,Constants!$A$2:$A$10=A579)))"),"")</f>
        <v/>
      </c>
    </row>
    <row r="580">
      <c r="A580" s="80"/>
      <c r="B580" s="80"/>
      <c r="C580" s="80"/>
      <c r="D580" s="80"/>
      <c r="E580" s="80"/>
      <c r="F580" s="80"/>
      <c r="G580" s="80"/>
      <c r="H580" s="81"/>
      <c r="I580" s="81"/>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c r="AI580" s="80"/>
      <c r="AJ580" s="80"/>
      <c r="AK580" s="80"/>
      <c r="AL580" s="80"/>
      <c r="AM580" s="80"/>
      <c r="AN580" s="80">
        <f>IFERROR(__xludf.DUMMYFUNCTION("""COMPUTED_VALUE"""),0.0)</f>
        <v>0</v>
      </c>
      <c r="AO580" s="80">
        <f>IFERROR(__xludf.DUMMYFUNCTION("""COMPUTED_VALUE"""),0.0)</f>
        <v>0</v>
      </c>
      <c r="AP580" s="80">
        <f>IFERROR(__xludf.DUMMYFUNCTION("""COMPUTED_VALUE"""),0.0)</f>
        <v>0</v>
      </c>
      <c r="AQ580" s="80">
        <f>IFERROR(__xludf.DUMMYFUNCTION("""COMPUTED_VALUE"""),0.0)</f>
        <v>0</v>
      </c>
      <c r="AR580" s="80">
        <f>IFERROR(__xludf.DUMMYFUNCTION("""COMPUTED_VALUE"""),0.0)</f>
        <v>0</v>
      </c>
      <c r="AS580" s="80"/>
      <c r="AT580" s="80">
        <f>IFERROR(__xludf.DUMMYFUNCTION("""COMPUTED_VALUE"""),0.0)</f>
        <v>0</v>
      </c>
      <c r="AU580" s="80"/>
      <c r="AV580" s="80"/>
      <c r="AW580" s="82" t="str">
        <f t="shared" si="1"/>
        <v/>
      </c>
      <c r="AX580" s="83" t="str">
        <f t="array" ref="AX580">IFERROR(DGET('SBV Import'!A:G,"SBV",{"RSC ID","Tier";B580,A580}))</f>
        <v/>
      </c>
      <c r="AY580" s="82" t="str">
        <f t="shared" si="2"/>
        <v/>
      </c>
      <c r="AZ580" s="82"/>
      <c r="BA580" s="84" t="s">
        <v>152</v>
      </c>
      <c r="BB580" s="84" t="str">
        <f>IFERROR(__xludf.DUMMYFUNCTION("iferror(if(A580="""",,E580&gt;=FILTER(Constants!$F$2:$F$10,Constants!$A$2:$A$10=A580)))"),"")</f>
        <v/>
      </c>
    </row>
    <row r="581">
      <c r="A581" s="80"/>
      <c r="B581" s="80"/>
      <c r="C581" s="80"/>
      <c r="D581" s="80"/>
      <c r="E581" s="80"/>
      <c r="F581" s="80"/>
      <c r="G581" s="80"/>
      <c r="H581" s="81"/>
      <c r="I581" s="81"/>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c r="AI581" s="80"/>
      <c r="AJ581" s="80"/>
      <c r="AK581" s="80"/>
      <c r="AL581" s="80"/>
      <c r="AM581" s="80"/>
      <c r="AN581" s="80">
        <f>IFERROR(__xludf.DUMMYFUNCTION("""COMPUTED_VALUE"""),0.0)</f>
        <v>0</v>
      </c>
      <c r="AO581" s="80">
        <f>IFERROR(__xludf.DUMMYFUNCTION("""COMPUTED_VALUE"""),0.0)</f>
        <v>0</v>
      </c>
      <c r="AP581" s="80">
        <f>IFERROR(__xludf.DUMMYFUNCTION("""COMPUTED_VALUE"""),0.0)</f>
        <v>0</v>
      </c>
      <c r="AQ581" s="80">
        <f>IFERROR(__xludf.DUMMYFUNCTION("""COMPUTED_VALUE"""),0.0)</f>
        <v>0</v>
      </c>
      <c r="AR581" s="80">
        <f>IFERROR(__xludf.DUMMYFUNCTION("""COMPUTED_VALUE"""),0.0)</f>
        <v>0</v>
      </c>
      <c r="AS581" s="80"/>
      <c r="AT581" s="80">
        <f>IFERROR(__xludf.DUMMYFUNCTION("""COMPUTED_VALUE"""),0.0)</f>
        <v>0</v>
      </c>
      <c r="AU581" s="80"/>
      <c r="AV581" s="80"/>
      <c r="AW581" s="82" t="str">
        <f t="shared" si="1"/>
        <v/>
      </c>
      <c r="AX581" s="83" t="str">
        <f t="array" ref="AX581">IFERROR(DGET('SBV Import'!A:G,"SBV",{"RSC ID","Tier";B581,A581}))</f>
        <v/>
      </c>
      <c r="AY581" s="82" t="str">
        <f t="shared" si="2"/>
        <v/>
      </c>
      <c r="AZ581" s="82"/>
      <c r="BA581" s="84" t="s">
        <v>152</v>
      </c>
      <c r="BB581" s="84" t="str">
        <f>IFERROR(__xludf.DUMMYFUNCTION("iferror(if(A581="""",,E581&gt;=FILTER(Constants!$F$2:$F$10,Constants!$A$2:$A$10=A581)))"),"")</f>
        <v/>
      </c>
    </row>
    <row r="582">
      <c r="A582" s="80"/>
      <c r="B582" s="80"/>
      <c r="C582" s="80"/>
      <c r="D582" s="80"/>
      <c r="E582" s="80"/>
      <c r="F582" s="80"/>
      <c r="G582" s="80"/>
      <c r="H582" s="81"/>
      <c r="I582" s="81"/>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c r="AI582" s="80"/>
      <c r="AJ582" s="80"/>
      <c r="AK582" s="80"/>
      <c r="AL582" s="80"/>
      <c r="AM582" s="80"/>
      <c r="AN582" s="80">
        <f>IFERROR(__xludf.DUMMYFUNCTION("""COMPUTED_VALUE"""),0.0)</f>
        <v>0</v>
      </c>
      <c r="AO582" s="80">
        <f>IFERROR(__xludf.DUMMYFUNCTION("""COMPUTED_VALUE"""),0.0)</f>
        <v>0</v>
      </c>
      <c r="AP582" s="80">
        <f>IFERROR(__xludf.DUMMYFUNCTION("""COMPUTED_VALUE"""),0.0)</f>
        <v>0</v>
      </c>
      <c r="AQ582" s="80">
        <f>IFERROR(__xludf.DUMMYFUNCTION("""COMPUTED_VALUE"""),0.0)</f>
        <v>0</v>
      </c>
      <c r="AR582" s="80">
        <f>IFERROR(__xludf.DUMMYFUNCTION("""COMPUTED_VALUE"""),0.0)</f>
        <v>0</v>
      </c>
      <c r="AS582" s="80"/>
      <c r="AT582" s="80">
        <f>IFERROR(__xludf.DUMMYFUNCTION("""COMPUTED_VALUE"""),0.0)</f>
        <v>0</v>
      </c>
      <c r="AU582" s="80"/>
      <c r="AV582" s="80"/>
      <c r="AW582" s="82" t="str">
        <f t="shared" si="1"/>
        <v/>
      </c>
      <c r="AX582" s="83" t="str">
        <f t="array" ref="AX582">IFERROR(DGET('SBV Import'!A:G,"SBV",{"RSC ID","Tier";B582,A582}))</f>
        <v/>
      </c>
      <c r="AY582" s="82" t="str">
        <f t="shared" si="2"/>
        <v/>
      </c>
      <c r="AZ582" s="82"/>
      <c r="BA582" s="84" t="s">
        <v>152</v>
      </c>
      <c r="BB582" s="84" t="str">
        <f>IFERROR(__xludf.DUMMYFUNCTION("iferror(if(A582="""",,E582&gt;=FILTER(Constants!$F$2:$F$10,Constants!$A$2:$A$10=A582)))"),"")</f>
        <v/>
      </c>
    </row>
    <row r="583">
      <c r="A583" s="80"/>
      <c r="B583" s="80"/>
      <c r="C583" s="80"/>
      <c r="D583" s="80"/>
      <c r="E583" s="80"/>
      <c r="F583" s="80"/>
      <c r="G583" s="80"/>
      <c r="H583" s="81"/>
      <c r="I583" s="81"/>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c r="AI583" s="80"/>
      <c r="AJ583" s="80"/>
      <c r="AK583" s="80"/>
      <c r="AL583" s="80"/>
      <c r="AM583" s="80"/>
      <c r="AN583" s="80">
        <f>IFERROR(__xludf.DUMMYFUNCTION("""COMPUTED_VALUE"""),0.0)</f>
        <v>0</v>
      </c>
      <c r="AO583" s="80">
        <f>IFERROR(__xludf.DUMMYFUNCTION("""COMPUTED_VALUE"""),0.0)</f>
        <v>0</v>
      </c>
      <c r="AP583" s="80">
        <f>IFERROR(__xludf.DUMMYFUNCTION("""COMPUTED_VALUE"""),0.0)</f>
        <v>0</v>
      </c>
      <c r="AQ583" s="80">
        <f>IFERROR(__xludf.DUMMYFUNCTION("""COMPUTED_VALUE"""),0.0)</f>
        <v>0</v>
      </c>
      <c r="AR583" s="80">
        <f>IFERROR(__xludf.DUMMYFUNCTION("""COMPUTED_VALUE"""),0.0)</f>
        <v>0</v>
      </c>
      <c r="AS583" s="80"/>
      <c r="AT583" s="80">
        <f>IFERROR(__xludf.DUMMYFUNCTION("""COMPUTED_VALUE"""),0.0)</f>
        <v>0</v>
      </c>
      <c r="AU583" s="80"/>
      <c r="AV583" s="80"/>
      <c r="AW583" s="82" t="str">
        <f t="shared" si="1"/>
        <v/>
      </c>
      <c r="AX583" s="83" t="str">
        <f t="array" ref="AX583">IFERROR(DGET('SBV Import'!A:G,"SBV",{"RSC ID","Tier";B583,A583}))</f>
        <v/>
      </c>
      <c r="AY583" s="82" t="str">
        <f t="shared" si="2"/>
        <v/>
      </c>
      <c r="AZ583" s="82"/>
      <c r="BA583" s="84" t="s">
        <v>152</v>
      </c>
      <c r="BB583" s="84" t="str">
        <f>IFERROR(__xludf.DUMMYFUNCTION("iferror(if(A583="""",,E583&gt;=FILTER(Constants!$F$2:$F$10,Constants!$A$2:$A$10=A583)))"),"")</f>
        <v/>
      </c>
    </row>
    <row r="584">
      <c r="A584" s="80"/>
      <c r="B584" s="80"/>
      <c r="C584" s="80"/>
      <c r="D584" s="80"/>
      <c r="E584" s="80"/>
      <c r="F584" s="80"/>
      <c r="G584" s="80"/>
      <c r="H584" s="81"/>
      <c r="I584" s="81"/>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c r="AI584" s="80"/>
      <c r="AJ584" s="80"/>
      <c r="AK584" s="80"/>
      <c r="AL584" s="80"/>
      <c r="AM584" s="80"/>
      <c r="AN584" s="80">
        <f>IFERROR(__xludf.DUMMYFUNCTION("""COMPUTED_VALUE"""),0.0)</f>
        <v>0</v>
      </c>
      <c r="AO584" s="80">
        <f>IFERROR(__xludf.DUMMYFUNCTION("""COMPUTED_VALUE"""),0.0)</f>
        <v>0</v>
      </c>
      <c r="AP584" s="80">
        <f>IFERROR(__xludf.DUMMYFUNCTION("""COMPUTED_VALUE"""),0.0)</f>
        <v>0</v>
      </c>
      <c r="AQ584" s="80">
        <f>IFERROR(__xludf.DUMMYFUNCTION("""COMPUTED_VALUE"""),0.0)</f>
        <v>0</v>
      </c>
      <c r="AR584" s="80">
        <f>IFERROR(__xludf.DUMMYFUNCTION("""COMPUTED_VALUE"""),0.0)</f>
        <v>0</v>
      </c>
      <c r="AS584" s="80"/>
      <c r="AT584" s="80">
        <f>IFERROR(__xludf.DUMMYFUNCTION("""COMPUTED_VALUE"""),0.0)</f>
        <v>0</v>
      </c>
      <c r="AU584" s="80"/>
      <c r="AV584" s="80"/>
      <c r="AW584" s="82" t="str">
        <f t="shared" si="1"/>
        <v/>
      </c>
      <c r="AX584" s="83" t="str">
        <f t="array" ref="AX584">IFERROR(DGET('SBV Import'!A:G,"SBV",{"RSC ID","Tier";B584,A584}))</f>
        <v/>
      </c>
      <c r="AY584" s="82" t="str">
        <f t="shared" si="2"/>
        <v/>
      </c>
      <c r="AZ584" s="82"/>
      <c r="BA584" s="84" t="s">
        <v>152</v>
      </c>
      <c r="BB584" s="84" t="str">
        <f>IFERROR(__xludf.DUMMYFUNCTION("iferror(if(A584="""",,E584&gt;=FILTER(Constants!$F$2:$F$10,Constants!$A$2:$A$10=A584)))"),"")</f>
        <v/>
      </c>
    </row>
    <row r="585">
      <c r="A585" s="80"/>
      <c r="B585" s="80"/>
      <c r="C585" s="80"/>
      <c r="D585" s="80"/>
      <c r="E585" s="80"/>
      <c r="F585" s="80"/>
      <c r="G585" s="80"/>
      <c r="H585" s="81"/>
      <c r="I585" s="81"/>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c r="AI585" s="80"/>
      <c r="AJ585" s="80"/>
      <c r="AK585" s="80"/>
      <c r="AL585" s="80"/>
      <c r="AM585" s="80"/>
      <c r="AN585" s="80">
        <f>IFERROR(__xludf.DUMMYFUNCTION("""COMPUTED_VALUE"""),0.0)</f>
        <v>0</v>
      </c>
      <c r="AO585" s="80">
        <f>IFERROR(__xludf.DUMMYFUNCTION("""COMPUTED_VALUE"""),0.0)</f>
        <v>0</v>
      </c>
      <c r="AP585" s="80">
        <f>IFERROR(__xludf.DUMMYFUNCTION("""COMPUTED_VALUE"""),0.0)</f>
        <v>0</v>
      </c>
      <c r="AQ585" s="80">
        <f>IFERROR(__xludf.DUMMYFUNCTION("""COMPUTED_VALUE"""),0.0)</f>
        <v>0</v>
      </c>
      <c r="AR585" s="80">
        <f>IFERROR(__xludf.DUMMYFUNCTION("""COMPUTED_VALUE"""),0.0)</f>
        <v>0</v>
      </c>
      <c r="AS585" s="80"/>
      <c r="AT585" s="80">
        <f>IFERROR(__xludf.DUMMYFUNCTION("""COMPUTED_VALUE"""),0.0)</f>
        <v>0</v>
      </c>
      <c r="AU585" s="80"/>
      <c r="AV585" s="80"/>
      <c r="AW585" s="82" t="str">
        <f t="shared" si="1"/>
        <v/>
      </c>
      <c r="AX585" s="83" t="str">
        <f t="array" ref="AX585">IFERROR(DGET('SBV Import'!A:G,"SBV",{"RSC ID","Tier";B585,A585}))</f>
        <v/>
      </c>
      <c r="AY585" s="82" t="str">
        <f t="shared" si="2"/>
        <v/>
      </c>
      <c r="AZ585" s="82"/>
      <c r="BA585" s="84" t="s">
        <v>152</v>
      </c>
      <c r="BB585" s="84" t="str">
        <f>IFERROR(__xludf.DUMMYFUNCTION("iferror(if(A585="""",,E585&gt;=FILTER(Constants!$F$2:$F$10,Constants!$A$2:$A$10=A585)))"),"")</f>
        <v/>
      </c>
    </row>
    <row r="586">
      <c r="A586" s="80"/>
      <c r="B586" s="80"/>
      <c r="C586" s="80"/>
      <c r="D586" s="80"/>
      <c r="E586" s="80"/>
      <c r="F586" s="80"/>
      <c r="G586" s="80"/>
      <c r="H586" s="81"/>
      <c r="I586" s="81"/>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c r="AI586" s="80"/>
      <c r="AJ586" s="80"/>
      <c r="AK586" s="80"/>
      <c r="AL586" s="80"/>
      <c r="AM586" s="80"/>
      <c r="AN586" s="80">
        <f>IFERROR(__xludf.DUMMYFUNCTION("""COMPUTED_VALUE"""),0.0)</f>
        <v>0</v>
      </c>
      <c r="AO586" s="80">
        <f>IFERROR(__xludf.DUMMYFUNCTION("""COMPUTED_VALUE"""),0.0)</f>
        <v>0</v>
      </c>
      <c r="AP586" s="80">
        <f>IFERROR(__xludf.DUMMYFUNCTION("""COMPUTED_VALUE"""),0.0)</f>
        <v>0</v>
      </c>
      <c r="AQ586" s="80">
        <f>IFERROR(__xludf.DUMMYFUNCTION("""COMPUTED_VALUE"""),0.0)</f>
        <v>0</v>
      </c>
      <c r="AR586" s="80">
        <f>IFERROR(__xludf.DUMMYFUNCTION("""COMPUTED_VALUE"""),0.0)</f>
        <v>0</v>
      </c>
      <c r="AS586" s="80"/>
      <c r="AT586" s="80">
        <f>IFERROR(__xludf.DUMMYFUNCTION("""COMPUTED_VALUE"""),0.0)</f>
        <v>0</v>
      </c>
      <c r="AU586" s="80"/>
      <c r="AV586" s="80"/>
      <c r="AW586" s="82" t="str">
        <f t="shared" si="1"/>
        <v/>
      </c>
      <c r="AX586" s="83" t="str">
        <f t="array" ref="AX586">IFERROR(DGET('SBV Import'!A:G,"SBV",{"RSC ID","Tier";B586,A586}))</f>
        <v/>
      </c>
      <c r="AY586" s="82" t="str">
        <f t="shared" si="2"/>
        <v/>
      </c>
      <c r="AZ586" s="82"/>
      <c r="BA586" s="84" t="s">
        <v>152</v>
      </c>
      <c r="BB586" s="84" t="str">
        <f>IFERROR(__xludf.DUMMYFUNCTION("iferror(if(A586="""",,E586&gt;=FILTER(Constants!$F$2:$F$10,Constants!$A$2:$A$10=A586)))"),"")</f>
        <v/>
      </c>
    </row>
    <row r="587">
      <c r="A587" s="80"/>
      <c r="B587" s="80"/>
      <c r="C587" s="80"/>
      <c r="D587" s="80"/>
      <c r="E587" s="80"/>
      <c r="F587" s="80"/>
      <c r="G587" s="80"/>
      <c r="H587" s="81"/>
      <c r="I587" s="81"/>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c r="AI587" s="80"/>
      <c r="AJ587" s="80"/>
      <c r="AK587" s="80"/>
      <c r="AL587" s="80"/>
      <c r="AM587" s="80"/>
      <c r="AN587" s="80">
        <f>IFERROR(__xludf.DUMMYFUNCTION("""COMPUTED_VALUE"""),0.0)</f>
        <v>0</v>
      </c>
      <c r="AO587" s="80">
        <f>IFERROR(__xludf.DUMMYFUNCTION("""COMPUTED_VALUE"""),0.0)</f>
        <v>0</v>
      </c>
      <c r="AP587" s="80">
        <f>IFERROR(__xludf.DUMMYFUNCTION("""COMPUTED_VALUE"""),0.0)</f>
        <v>0</v>
      </c>
      <c r="AQ587" s="80">
        <f>IFERROR(__xludf.DUMMYFUNCTION("""COMPUTED_VALUE"""),0.0)</f>
        <v>0</v>
      </c>
      <c r="AR587" s="80">
        <f>IFERROR(__xludf.DUMMYFUNCTION("""COMPUTED_VALUE"""),0.0)</f>
        <v>0</v>
      </c>
      <c r="AS587" s="80"/>
      <c r="AT587" s="80">
        <f>IFERROR(__xludf.DUMMYFUNCTION("""COMPUTED_VALUE"""),0.0)</f>
        <v>0</v>
      </c>
      <c r="AU587" s="80"/>
      <c r="AV587" s="80"/>
      <c r="AW587" s="82" t="str">
        <f t="shared" si="1"/>
        <v/>
      </c>
      <c r="AX587" s="83" t="str">
        <f t="array" ref="AX587">IFERROR(DGET('SBV Import'!A:G,"SBV",{"RSC ID","Tier";B587,A587}))</f>
        <v/>
      </c>
      <c r="AY587" s="82" t="str">
        <f t="shared" si="2"/>
        <v/>
      </c>
      <c r="AZ587" s="82"/>
      <c r="BA587" s="84" t="s">
        <v>152</v>
      </c>
      <c r="BB587" s="84" t="str">
        <f>IFERROR(__xludf.DUMMYFUNCTION("iferror(if(A587="""",,E587&gt;=FILTER(Constants!$F$2:$F$10,Constants!$A$2:$A$10=A587)))"),"")</f>
        <v/>
      </c>
    </row>
    <row r="588">
      <c r="A588" s="80"/>
      <c r="B588" s="80"/>
      <c r="C588" s="80"/>
      <c r="D588" s="80"/>
      <c r="E588" s="80"/>
      <c r="F588" s="80"/>
      <c r="G588" s="80"/>
      <c r="H588" s="81"/>
      <c r="I588" s="81"/>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c r="AI588" s="80"/>
      <c r="AJ588" s="80"/>
      <c r="AK588" s="80"/>
      <c r="AL588" s="80"/>
      <c r="AM588" s="80"/>
      <c r="AN588" s="80">
        <f>IFERROR(__xludf.DUMMYFUNCTION("""COMPUTED_VALUE"""),0.0)</f>
        <v>0</v>
      </c>
      <c r="AO588" s="80">
        <f>IFERROR(__xludf.DUMMYFUNCTION("""COMPUTED_VALUE"""),0.0)</f>
        <v>0</v>
      </c>
      <c r="AP588" s="80">
        <f>IFERROR(__xludf.DUMMYFUNCTION("""COMPUTED_VALUE"""),0.0)</f>
        <v>0</v>
      </c>
      <c r="AQ588" s="80">
        <f>IFERROR(__xludf.DUMMYFUNCTION("""COMPUTED_VALUE"""),0.0)</f>
        <v>0</v>
      </c>
      <c r="AR588" s="80">
        <f>IFERROR(__xludf.DUMMYFUNCTION("""COMPUTED_VALUE"""),0.0)</f>
        <v>0</v>
      </c>
      <c r="AS588" s="80"/>
      <c r="AT588" s="80">
        <f>IFERROR(__xludf.DUMMYFUNCTION("""COMPUTED_VALUE"""),0.0)</f>
        <v>0</v>
      </c>
      <c r="AU588" s="80"/>
      <c r="AV588" s="80"/>
      <c r="AW588" s="82" t="str">
        <f t="shared" si="1"/>
        <v/>
      </c>
      <c r="AX588" s="83" t="str">
        <f t="array" ref="AX588">IFERROR(DGET('SBV Import'!A:G,"SBV",{"RSC ID","Tier";B588,A588}))</f>
        <v/>
      </c>
      <c r="AY588" s="82" t="str">
        <f t="shared" si="2"/>
        <v/>
      </c>
      <c r="AZ588" s="82"/>
      <c r="BA588" s="84" t="s">
        <v>152</v>
      </c>
      <c r="BB588" s="84" t="str">
        <f>IFERROR(__xludf.DUMMYFUNCTION("iferror(if(A588="""",,E588&gt;=FILTER(Constants!$F$2:$F$10,Constants!$A$2:$A$10=A588)))"),"")</f>
        <v/>
      </c>
    </row>
    <row r="589">
      <c r="A589" s="80"/>
      <c r="B589" s="80"/>
      <c r="C589" s="80"/>
      <c r="D589" s="80"/>
      <c r="E589" s="80"/>
      <c r="F589" s="80"/>
      <c r="G589" s="80"/>
      <c r="H589" s="81"/>
      <c r="I589" s="81"/>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c r="AI589" s="80"/>
      <c r="AJ589" s="80"/>
      <c r="AK589" s="80"/>
      <c r="AL589" s="80"/>
      <c r="AM589" s="80"/>
      <c r="AN589" s="80">
        <f>IFERROR(__xludf.DUMMYFUNCTION("""COMPUTED_VALUE"""),0.0)</f>
        <v>0</v>
      </c>
      <c r="AO589" s="80">
        <f>IFERROR(__xludf.DUMMYFUNCTION("""COMPUTED_VALUE"""),0.0)</f>
        <v>0</v>
      </c>
      <c r="AP589" s="80">
        <f>IFERROR(__xludf.DUMMYFUNCTION("""COMPUTED_VALUE"""),0.0)</f>
        <v>0</v>
      </c>
      <c r="AQ589" s="80">
        <f>IFERROR(__xludf.DUMMYFUNCTION("""COMPUTED_VALUE"""),0.0)</f>
        <v>0</v>
      </c>
      <c r="AR589" s="80">
        <f>IFERROR(__xludf.DUMMYFUNCTION("""COMPUTED_VALUE"""),0.0)</f>
        <v>0</v>
      </c>
      <c r="AS589" s="80"/>
      <c r="AT589" s="80">
        <f>IFERROR(__xludf.DUMMYFUNCTION("""COMPUTED_VALUE"""),0.0)</f>
        <v>0</v>
      </c>
      <c r="AU589" s="80"/>
      <c r="AV589" s="80"/>
      <c r="AW589" s="82" t="str">
        <f t="shared" si="1"/>
        <v/>
      </c>
      <c r="AX589" s="83" t="str">
        <f t="array" ref="AX589">IFERROR(DGET('SBV Import'!A:G,"SBV",{"RSC ID","Tier";B589,A589}))</f>
        <v/>
      </c>
      <c r="AY589" s="82" t="str">
        <f t="shared" si="2"/>
        <v/>
      </c>
      <c r="AZ589" s="82"/>
      <c r="BA589" s="84" t="s">
        <v>152</v>
      </c>
      <c r="BB589" s="84" t="str">
        <f>IFERROR(__xludf.DUMMYFUNCTION("iferror(if(A589="""",,E589&gt;=FILTER(Constants!$F$2:$F$10,Constants!$A$2:$A$10=A589)))"),"")</f>
        <v/>
      </c>
    </row>
    <row r="590">
      <c r="A590" s="80"/>
      <c r="B590" s="80"/>
      <c r="C590" s="80"/>
      <c r="D590" s="80"/>
      <c r="E590" s="80"/>
      <c r="F590" s="80"/>
      <c r="G590" s="80"/>
      <c r="H590" s="81"/>
      <c r="I590" s="81"/>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c r="AI590" s="80"/>
      <c r="AJ590" s="80"/>
      <c r="AK590" s="80"/>
      <c r="AL590" s="80"/>
      <c r="AM590" s="80"/>
      <c r="AN590" s="80">
        <f>IFERROR(__xludf.DUMMYFUNCTION("""COMPUTED_VALUE"""),0.0)</f>
        <v>0</v>
      </c>
      <c r="AO590" s="80">
        <f>IFERROR(__xludf.DUMMYFUNCTION("""COMPUTED_VALUE"""),0.0)</f>
        <v>0</v>
      </c>
      <c r="AP590" s="80">
        <f>IFERROR(__xludf.DUMMYFUNCTION("""COMPUTED_VALUE"""),0.0)</f>
        <v>0</v>
      </c>
      <c r="AQ590" s="80">
        <f>IFERROR(__xludf.DUMMYFUNCTION("""COMPUTED_VALUE"""),0.0)</f>
        <v>0</v>
      </c>
      <c r="AR590" s="80">
        <f>IFERROR(__xludf.DUMMYFUNCTION("""COMPUTED_VALUE"""),0.0)</f>
        <v>0</v>
      </c>
      <c r="AS590" s="80"/>
      <c r="AT590" s="80">
        <f>IFERROR(__xludf.DUMMYFUNCTION("""COMPUTED_VALUE"""),0.0)</f>
        <v>0</v>
      </c>
      <c r="AU590" s="80"/>
      <c r="AV590" s="80"/>
      <c r="AW590" s="82" t="str">
        <f t="shared" si="1"/>
        <v/>
      </c>
      <c r="AX590" s="83" t="str">
        <f t="array" ref="AX590">IFERROR(DGET('SBV Import'!A:G,"SBV",{"RSC ID","Tier";B590,A590}))</f>
        <v/>
      </c>
      <c r="AY590" s="82" t="str">
        <f t="shared" si="2"/>
        <v/>
      </c>
      <c r="AZ590" s="82"/>
      <c r="BA590" s="84" t="s">
        <v>152</v>
      </c>
      <c r="BB590" s="84" t="str">
        <f>IFERROR(__xludf.DUMMYFUNCTION("iferror(if(A590="""",,E590&gt;=FILTER(Constants!$F$2:$F$10,Constants!$A$2:$A$10=A590)))"),"")</f>
        <v/>
      </c>
    </row>
    <row r="591">
      <c r="A591" s="80"/>
      <c r="B591" s="80"/>
      <c r="C591" s="80"/>
      <c r="D591" s="80"/>
      <c r="E591" s="80"/>
      <c r="F591" s="80"/>
      <c r="G591" s="80"/>
      <c r="H591" s="81"/>
      <c r="I591" s="81"/>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c r="AI591" s="80"/>
      <c r="AJ591" s="80"/>
      <c r="AK591" s="80"/>
      <c r="AL591" s="80"/>
      <c r="AM591" s="80"/>
      <c r="AN591" s="80">
        <f>IFERROR(__xludf.DUMMYFUNCTION("""COMPUTED_VALUE"""),0.0)</f>
        <v>0</v>
      </c>
      <c r="AO591" s="80">
        <f>IFERROR(__xludf.DUMMYFUNCTION("""COMPUTED_VALUE"""),0.0)</f>
        <v>0</v>
      </c>
      <c r="AP591" s="80">
        <f>IFERROR(__xludf.DUMMYFUNCTION("""COMPUTED_VALUE"""),0.0)</f>
        <v>0</v>
      </c>
      <c r="AQ591" s="80">
        <f>IFERROR(__xludf.DUMMYFUNCTION("""COMPUTED_VALUE"""),0.0)</f>
        <v>0</v>
      </c>
      <c r="AR591" s="80">
        <f>IFERROR(__xludf.DUMMYFUNCTION("""COMPUTED_VALUE"""),0.0)</f>
        <v>0</v>
      </c>
      <c r="AS591" s="80"/>
      <c r="AT591" s="80">
        <f>IFERROR(__xludf.DUMMYFUNCTION("""COMPUTED_VALUE"""),0.0)</f>
        <v>0</v>
      </c>
      <c r="AU591" s="80"/>
      <c r="AV591" s="80"/>
      <c r="AW591" s="82" t="str">
        <f t="shared" si="1"/>
        <v/>
      </c>
      <c r="AX591" s="83" t="str">
        <f t="array" ref="AX591">IFERROR(DGET('SBV Import'!A:G,"SBV",{"RSC ID","Tier";B591,A591}))</f>
        <v/>
      </c>
      <c r="AY591" s="82" t="str">
        <f t="shared" si="2"/>
        <v/>
      </c>
      <c r="AZ591" s="82"/>
      <c r="BA591" s="84" t="s">
        <v>152</v>
      </c>
      <c r="BB591" s="84" t="str">
        <f>IFERROR(__xludf.DUMMYFUNCTION("iferror(if(A591="""",,E591&gt;=FILTER(Constants!$F$2:$F$10,Constants!$A$2:$A$10=A591)))"),"")</f>
        <v/>
      </c>
    </row>
    <row r="592">
      <c r="A592" s="80"/>
      <c r="B592" s="80"/>
      <c r="C592" s="80"/>
      <c r="D592" s="80"/>
      <c r="E592" s="80"/>
      <c r="F592" s="80"/>
      <c r="G592" s="80"/>
      <c r="H592" s="81"/>
      <c r="I592" s="81"/>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c r="AI592" s="80"/>
      <c r="AJ592" s="80"/>
      <c r="AK592" s="80"/>
      <c r="AL592" s="80"/>
      <c r="AM592" s="80"/>
      <c r="AN592" s="80">
        <f>IFERROR(__xludf.DUMMYFUNCTION("""COMPUTED_VALUE"""),0.0)</f>
        <v>0</v>
      </c>
      <c r="AO592" s="80">
        <f>IFERROR(__xludf.DUMMYFUNCTION("""COMPUTED_VALUE"""),0.0)</f>
        <v>0</v>
      </c>
      <c r="AP592" s="80">
        <f>IFERROR(__xludf.DUMMYFUNCTION("""COMPUTED_VALUE"""),0.0)</f>
        <v>0</v>
      </c>
      <c r="AQ592" s="80">
        <f>IFERROR(__xludf.DUMMYFUNCTION("""COMPUTED_VALUE"""),0.0)</f>
        <v>0</v>
      </c>
      <c r="AR592" s="80">
        <f>IFERROR(__xludf.DUMMYFUNCTION("""COMPUTED_VALUE"""),0.0)</f>
        <v>0</v>
      </c>
      <c r="AS592" s="80"/>
      <c r="AT592" s="80">
        <f>IFERROR(__xludf.DUMMYFUNCTION("""COMPUTED_VALUE"""),0.0)</f>
        <v>0</v>
      </c>
      <c r="AU592" s="80"/>
      <c r="AV592" s="80"/>
      <c r="AW592" s="82" t="str">
        <f t="shared" si="1"/>
        <v/>
      </c>
      <c r="AX592" s="83" t="str">
        <f t="array" ref="AX592">IFERROR(DGET('SBV Import'!A:G,"SBV",{"RSC ID","Tier";B592,A592}))</f>
        <v/>
      </c>
      <c r="AY592" s="82" t="str">
        <f t="shared" si="2"/>
        <v/>
      </c>
      <c r="AZ592" s="82"/>
      <c r="BA592" s="84" t="s">
        <v>152</v>
      </c>
      <c r="BB592" s="84" t="str">
        <f>IFERROR(__xludf.DUMMYFUNCTION("iferror(if(A592="""",,E592&gt;=FILTER(Constants!$F$2:$F$10,Constants!$A$2:$A$10=A592)))"),"")</f>
        <v/>
      </c>
    </row>
    <row r="593">
      <c r="A593" s="80"/>
      <c r="B593" s="80"/>
      <c r="C593" s="80"/>
      <c r="D593" s="80"/>
      <c r="E593" s="80"/>
      <c r="F593" s="80"/>
      <c r="G593" s="80"/>
      <c r="H593" s="81"/>
      <c r="I593" s="81"/>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c r="AI593" s="80"/>
      <c r="AJ593" s="80"/>
      <c r="AK593" s="80"/>
      <c r="AL593" s="80"/>
      <c r="AM593" s="80"/>
      <c r="AN593" s="80">
        <f>IFERROR(__xludf.DUMMYFUNCTION("""COMPUTED_VALUE"""),0.0)</f>
        <v>0</v>
      </c>
      <c r="AO593" s="80">
        <f>IFERROR(__xludf.DUMMYFUNCTION("""COMPUTED_VALUE"""),0.0)</f>
        <v>0</v>
      </c>
      <c r="AP593" s="80">
        <f>IFERROR(__xludf.DUMMYFUNCTION("""COMPUTED_VALUE"""),0.0)</f>
        <v>0</v>
      </c>
      <c r="AQ593" s="80">
        <f>IFERROR(__xludf.DUMMYFUNCTION("""COMPUTED_VALUE"""),0.0)</f>
        <v>0</v>
      </c>
      <c r="AR593" s="80">
        <f>IFERROR(__xludf.DUMMYFUNCTION("""COMPUTED_VALUE"""),0.0)</f>
        <v>0</v>
      </c>
      <c r="AS593" s="80"/>
      <c r="AT593" s="80">
        <f>IFERROR(__xludf.DUMMYFUNCTION("""COMPUTED_VALUE"""),0.0)</f>
        <v>0</v>
      </c>
      <c r="AU593" s="80"/>
      <c r="AV593" s="80"/>
      <c r="AW593" s="82" t="str">
        <f t="shared" si="1"/>
        <v/>
      </c>
      <c r="AX593" s="83" t="str">
        <f t="array" ref="AX593">IFERROR(DGET('SBV Import'!A:G,"SBV",{"RSC ID","Tier";B593,A593}))</f>
        <v/>
      </c>
      <c r="AY593" s="82" t="str">
        <f t="shared" si="2"/>
        <v/>
      </c>
      <c r="AZ593" s="82"/>
      <c r="BA593" s="84" t="s">
        <v>152</v>
      </c>
      <c r="BB593" s="84" t="str">
        <f>IFERROR(__xludf.DUMMYFUNCTION("iferror(if(A593="""",,E593&gt;=FILTER(Constants!$F$2:$F$10,Constants!$A$2:$A$10=A593)))"),"")</f>
        <v/>
      </c>
    </row>
    <row r="594">
      <c r="A594" s="80"/>
      <c r="B594" s="80"/>
      <c r="C594" s="80"/>
      <c r="D594" s="80"/>
      <c r="E594" s="80"/>
      <c r="F594" s="80"/>
      <c r="G594" s="80"/>
      <c r="H594" s="81"/>
      <c r="I594" s="81"/>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c r="AI594" s="80"/>
      <c r="AJ594" s="80"/>
      <c r="AK594" s="80"/>
      <c r="AL594" s="80"/>
      <c r="AM594" s="80"/>
      <c r="AN594" s="80">
        <f>IFERROR(__xludf.DUMMYFUNCTION("""COMPUTED_VALUE"""),0.0)</f>
        <v>0</v>
      </c>
      <c r="AO594" s="80">
        <f>IFERROR(__xludf.DUMMYFUNCTION("""COMPUTED_VALUE"""),0.0)</f>
        <v>0</v>
      </c>
      <c r="AP594" s="80">
        <f>IFERROR(__xludf.DUMMYFUNCTION("""COMPUTED_VALUE"""),0.0)</f>
        <v>0</v>
      </c>
      <c r="AQ594" s="80">
        <f>IFERROR(__xludf.DUMMYFUNCTION("""COMPUTED_VALUE"""),0.0)</f>
        <v>0</v>
      </c>
      <c r="AR594" s="80">
        <f>IFERROR(__xludf.DUMMYFUNCTION("""COMPUTED_VALUE"""),0.0)</f>
        <v>0</v>
      </c>
      <c r="AS594" s="80"/>
      <c r="AT594" s="80">
        <f>IFERROR(__xludf.DUMMYFUNCTION("""COMPUTED_VALUE"""),0.0)</f>
        <v>0</v>
      </c>
      <c r="AU594" s="80"/>
      <c r="AV594" s="80"/>
      <c r="AW594" s="82" t="str">
        <f t="shared" si="1"/>
        <v/>
      </c>
      <c r="AX594" s="83" t="str">
        <f t="array" ref="AX594">IFERROR(DGET('SBV Import'!A:G,"SBV",{"RSC ID","Tier";B594,A594}))</f>
        <v/>
      </c>
      <c r="AY594" s="82" t="str">
        <f t="shared" si="2"/>
        <v/>
      </c>
      <c r="AZ594" s="82"/>
      <c r="BA594" s="84" t="s">
        <v>152</v>
      </c>
      <c r="BB594" s="84" t="str">
        <f>IFERROR(__xludf.DUMMYFUNCTION("iferror(if(A594="""",,E594&gt;=FILTER(Constants!$F$2:$F$10,Constants!$A$2:$A$10=A594)))"),"")</f>
        <v/>
      </c>
    </row>
    <row r="595">
      <c r="A595" s="80"/>
      <c r="B595" s="80"/>
      <c r="C595" s="80"/>
      <c r="D595" s="80"/>
      <c r="E595" s="80"/>
      <c r="F595" s="80"/>
      <c r="G595" s="80"/>
      <c r="H595" s="81"/>
      <c r="I595" s="81"/>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c r="AI595" s="80"/>
      <c r="AJ595" s="80"/>
      <c r="AK595" s="80"/>
      <c r="AL595" s="80"/>
      <c r="AM595" s="80"/>
      <c r="AN595" s="80">
        <f>IFERROR(__xludf.DUMMYFUNCTION("""COMPUTED_VALUE"""),0.0)</f>
        <v>0</v>
      </c>
      <c r="AO595" s="80">
        <f>IFERROR(__xludf.DUMMYFUNCTION("""COMPUTED_VALUE"""),0.0)</f>
        <v>0</v>
      </c>
      <c r="AP595" s="80">
        <f>IFERROR(__xludf.DUMMYFUNCTION("""COMPUTED_VALUE"""),0.0)</f>
        <v>0</v>
      </c>
      <c r="AQ595" s="80">
        <f>IFERROR(__xludf.DUMMYFUNCTION("""COMPUTED_VALUE"""),0.0)</f>
        <v>0</v>
      </c>
      <c r="AR595" s="80">
        <f>IFERROR(__xludf.DUMMYFUNCTION("""COMPUTED_VALUE"""),0.0)</f>
        <v>0</v>
      </c>
      <c r="AS595" s="80"/>
      <c r="AT595" s="80">
        <f>IFERROR(__xludf.DUMMYFUNCTION("""COMPUTED_VALUE"""),0.0)</f>
        <v>0</v>
      </c>
      <c r="AU595" s="80"/>
      <c r="AV595" s="80"/>
      <c r="AW595" s="82" t="str">
        <f t="shared" si="1"/>
        <v/>
      </c>
      <c r="AX595" s="83" t="str">
        <f t="array" ref="AX595">IFERROR(DGET('SBV Import'!A:G,"SBV",{"RSC ID","Tier";B595,A595}))</f>
        <v/>
      </c>
      <c r="AY595" s="82" t="str">
        <f t="shared" si="2"/>
        <v/>
      </c>
      <c r="AZ595" s="82"/>
      <c r="BA595" s="84" t="s">
        <v>152</v>
      </c>
      <c r="BB595" s="84" t="str">
        <f>IFERROR(__xludf.DUMMYFUNCTION("iferror(if(A595="""",,E595&gt;=FILTER(Constants!$F$2:$F$10,Constants!$A$2:$A$10=A595)))"),"")</f>
        <v/>
      </c>
    </row>
    <row r="596">
      <c r="A596" s="80"/>
      <c r="B596" s="80"/>
      <c r="C596" s="80"/>
      <c r="D596" s="80"/>
      <c r="E596" s="80"/>
      <c r="F596" s="80"/>
      <c r="G596" s="80"/>
      <c r="H596" s="81"/>
      <c r="I596" s="81"/>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c r="AI596" s="80"/>
      <c r="AJ596" s="80"/>
      <c r="AK596" s="80"/>
      <c r="AL596" s="80"/>
      <c r="AM596" s="80"/>
      <c r="AN596" s="80">
        <f>IFERROR(__xludf.DUMMYFUNCTION("""COMPUTED_VALUE"""),0.0)</f>
        <v>0</v>
      </c>
      <c r="AO596" s="80">
        <f>IFERROR(__xludf.DUMMYFUNCTION("""COMPUTED_VALUE"""),0.0)</f>
        <v>0</v>
      </c>
      <c r="AP596" s="80">
        <f>IFERROR(__xludf.DUMMYFUNCTION("""COMPUTED_VALUE"""),0.0)</f>
        <v>0</v>
      </c>
      <c r="AQ596" s="80">
        <f>IFERROR(__xludf.DUMMYFUNCTION("""COMPUTED_VALUE"""),0.0)</f>
        <v>0</v>
      </c>
      <c r="AR596" s="80">
        <f>IFERROR(__xludf.DUMMYFUNCTION("""COMPUTED_VALUE"""),0.0)</f>
        <v>0</v>
      </c>
      <c r="AS596" s="80"/>
      <c r="AT596" s="80">
        <f>IFERROR(__xludf.DUMMYFUNCTION("""COMPUTED_VALUE"""),0.0)</f>
        <v>0</v>
      </c>
      <c r="AU596" s="80"/>
      <c r="AV596" s="80"/>
      <c r="AW596" s="82" t="str">
        <f t="shared" si="1"/>
        <v/>
      </c>
      <c r="AX596" s="83" t="str">
        <f t="array" ref="AX596">IFERROR(DGET('SBV Import'!A:G,"SBV",{"RSC ID","Tier";B596,A596}))</f>
        <v/>
      </c>
      <c r="AY596" s="82" t="str">
        <f t="shared" si="2"/>
        <v/>
      </c>
      <c r="AZ596" s="82"/>
      <c r="BA596" s="84" t="s">
        <v>152</v>
      </c>
      <c r="BB596" s="84" t="str">
        <f>IFERROR(__xludf.DUMMYFUNCTION("iferror(if(A596="""",,E596&gt;=FILTER(Constants!$F$2:$F$10,Constants!$A$2:$A$10=A596)))"),"")</f>
        <v/>
      </c>
    </row>
    <row r="597">
      <c r="A597" s="80"/>
      <c r="B597" s="80"/>
      <c r="C597" s="80"/>
      <c r="D597" s="80"/>
      <c r="E597" s="80"/>
      <c r="F597" s="80"/>
      <c r="G597" s="80"/>
      <c r="H597" s="81"/>
      <c r="I597" s="81"/>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c r="AI597" s="80"/>
      <c r="AJ597" s="80"/>
      <c r="AK597" s="80"/>
      <c r="AL597" s="80"/>
      <c r="AM597" s="80"/>
      <c r="AN597" s="80">
        <f>IFERROR(__xludf.DUMMYFUNCTION("""COMPUTED_VALUE"""),0.0)</f>
        <v>0</v>
      </c>
      <c r="AO597" s="80">
        <f>IFERROR(__xludf.DUMMYFUNCTION("""COMPUTED_VALUE"""),0.0)</f>
        <v>0</v>
      </c>
      <c r="AP597" s="80">
        <f>IFERROR(__xludf.DUMMYFUNCTION("""COMPUTED_VALUE"""),0.0)</f>
        <v>0</v>
      </c>
      <c r="AQ597" s="80">
        <f>IFERROR(__xludf.DUMMYFUNCTION("""COMPUTED_VALUE"""),0.0)</f>
        <v>0</v>
      </c>
      <c r="AR597" s="80">
        <f>IFERROR(__xludf.DUMMYFUNCTION("""COMPUTED_VALUE"""),0.0)</f>
        <v>0</v>
      </c>
      <c r="AS597" s="80"/>
      <c r="AT597" s="80">
        <f>IFERROR(__xludf.DUMMYFUNCTION("""COMPUTED_VALUE"""),0.0)</f>
        <v>0</v>
      </c>
      <c r="AU597" s="80"/>
      <c r="AV597" s="80"/>
      <c r="AW597" s="82" t="str">
        <f t="shared" si="1"/>
        <v/>
      </c>
      <c r="AX597" s="83" t="str">
        <f t="array" ref="AX597">IFERROR(DGET('SBV Import'!A:G,"SBV",{"RSC ID","Tier";B597,A597}))</f>
        <v/>
      </c>
      <c r="AY597" s="82" t="str">
        <f t="shared" si="2"/>
        <v/>
      </c>
      <c r="AZ597" s="82"/>
      <c r="BA597" s="84" t="s">
        <v>152</v>
      </c>
      <c r="BB597" s="84" t="str">
        <f>IFERROR(__xludf.DUMMYFUNCTION("iferror(if(A597="""",,E597&gt;=FILTER(Constants!$F$2:$F$10,Constants!$A$2:$A$10=A597)))"),"")</f>
        <v/>
      </c>
    </row>
    <row r="598">
      <c r="A598" s="80"/>
      <c r="B598" s="80"/>
      <c r="C598" s="80"/>
      <c r="D598" s="80"/>
      <c r="E598" s="80"/>
      <c r="F598" s="80"/>
      <c r="G598" s="80"/>
      <c r="H598" s="81"/>
      <c r="I598" s="81"/>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c r="AI598" s="80"/>
      <c r="AJ598" s="80"/>
      <c r="AK598" s="80"/>
      <c r="AL598" s="80"/>
      <c r="AM598" s="80"/>
      <c r="AN598" s="80">
        <f>IFERROR(__xludf.DUMMYFUNCTION("""COMPUTED_VALUE"""),0.0)</f>
        <v>0</v>
      </c>
      <c r="AO598" s="80">
        <f>IFERROR(__xludf.DUMMYFUNCTION("""COMPUTED_VALUE"""),0.0)</f>
        <v>0</v>
      </c>
      <c r="AP598" s="80">
        <f>IFERROR(__xludf.DUMMYFUNCTION("""COMPUTED_VALUE"""),0.0)</f>
        <v>0</v>
      </c>
      <c r="AQ598" s="80">
        <f>IFERROR(__xludf.DUMMYFUNCTION("""COMPUTED_VALUE"""),0.0)</f>
        <v>0</v>
      </c>
      <c r="AR598" s="80">
        <f>IFERROR(__xludf.DUMMYFUNCTION("""COMPUTED_VALUE"""),0.0)</f>
        <v>0</v>
      </c>
      <c r="AS598" s="80"/>
      <c r="AT598" s="80">
        <f>IFERROR(__xludf.DUMMYFUNCTION("""COMPUTED_VALUE"""),0.0)</f>
        <v>0</v>
      </c>
      <c r="AU598" s="80"/>
      <c r="AV598" s="80"/>
      <c r="AW598" s="82" t="str">
        <f t="shared" si="1"/>
        <v/>
      </c>
      <c r="AX598" s="83" t="str">
        <f t="array" ref="AX598">IFERROR(DGET('SBV Import'!A:G,"SBV",{"RSC ID","Tier";B598,A598}))</f>
        <v/>
      </c>
      <c r="AY598" s="82" t="str">
        <f t="shared" si="2"/>
        <v/>
      </c>
      <c r="AZ598" s="82"/>
      <c r="BA598" s="84" t="s">
        <v>152</v>
      </c>
      <c r="BB598" s="84" t="str">
        <f>IFERROR(__xludf.DUMMYFUNCTION("iferror(if(A598="""",,E598&gt;=FILTER(Constants!$F$2:$F$10,Constants!$A$2:$A$10=A598)))"),"")</f>
        <v/>
      </c>
    </row>
    <row r="599">
      <c r="A599" s="80"/>
      <c r="B599" s="80"/>
      <c r="C599" s="80"/>
      <c r="D599" s="80"/>
      <c r="E599" s="80"/>
      <c r="F599" s="80"/>
      <c r="G599" s="80"/>
      <c r="H599" s="81"/>
      <c r="I599" s="81"/>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c r="AI599" s="80"/>
      <c r="AJ599" s="80"/>
      <c r="AK599" s="80"/>
      <c r="AL599" s="80"/>
      <c r="AM599" s="80"/>
      <c r="AN599" s="80">
        <f>IFERROR(__xludf.DUMMYFUNCTION("""COMPUTED_VALUE"""),0.0)</f>
        <v>0</v>
      </c>
      <c r="AO599" s="80">
        <f>IFERROR(__xludf.DUMMYFUNCTION("""COMPUTED_VALUE"""),0.0)</f>
        <v>0</v>
      </c>
      <c r="AP599" s="80">
        <f>IFERROR(__xludf.DUMMYFUNCTION("""COMPUTED_VALUE"""),0.0)</f>
        <v>0</v>
      </c>
      <c r="AQ599" s="80">
        <f>IFERROR(__xludf.DUMMYFUNCTION("""COMPUTED_VALUE"""),0.0)</f>
        <v>0</v>
      </c>
      <c r="AR599" s="80">
        <f>IFERROR(__xludf.DUMMYFUNCTION("""COMPUTED_VALUE"""),0.0)</f>
        <v>0</v>
      </c>
      <c r="AS599" s="80"/>
      <c r="AT599" s="80">
        <f>IFERROR(__xludf.DUMMYFUNCTION("""COMPUTED_VALUE"""),0.0)</f>
        <v>0</v>
      </c>
      <c r="AU599" s="80"/>
      <c r="AV599" s="80"/>
      <c r="AW599" s="82" t="str">
        <f t="shared" si="1"/>
        <v/>
      </c>
      <c r="AX599" s="83" t="str">
        <f t="array" ref="AX599">IFERROR(DGET('SBV Import'!A:G,"SBV",{"RSC ID","Tier";B599,A599}))</f>
        <v/>
      </c>
      <c r="AY599" s="82" t="str">
        <f t="shared" si="2"/>
        <v/>
      </c>
      <c r="AZ599" s="82"/>
      <c r="BA599" s="84" t="s">
        <v>152</v>
      </c>
      <c r="BB599" s="84" t="str">
        <f>IFERROR(__xludf.DUMMYFUNCTION("iferror(if(A599="""",,E599&gt;=FILTER(Constants!$F$2:$F$10,Constants!$A$2:$A$10=A599)))"),"")</f>
        <v/>
      </c>
    </row>
    <row r="600">
      <c r="A600" s="80"/>
      <c r="B600" s="80"/>
      <c r="C600" s="80"/>
      <c r="D600" s="80"/>
      <c r="E600" s="80"/>
      <c r="F600" s="80"/>
      <c r="G600" s="80"/>
      <c r="H600" s="81"/>
      <c r="I600" s="81"/>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c r="AI600" s="80"/>
      <c r="AJ600" s="80"/>
      <c r="AK600" s="80"/>
      <c r="AL600" s="80"/>
      <c r="AM600" s="80"/>
      <c r="AN600" s="80">
        <f>IFERROR(__xludf.DUMMYFUNCTION("""COMPUTED_VALUE"""),0.0)</f>
        <v>0</v>
      </c>
      <c r="AO600" s="80">
        <f>IFERROR(__xludf.DUMMYFUNCTION("""COMPUTED_VALUE"""),0.0)</f>
        <v>0</v>
      </c>
      <c r="AP600" s="80">
        <f>IFERROR(__xludf.DUMMYFUNCTION("""COMPUTED_VALUE"""),0.0)</f>
        <v>0</v>
      </c>
      <c r="AQ600" s="80">
        <f>IFERROR(__xludf.DUMMYFUNCTION("""COMPUTED_VALUE"""),0.0)</f>
        <v>0</v>
      </c>
      <c r="AR600" s="80">
        <f>IFERROR(__xludf.DUMMYFUNCTION("""COMPUTED_VALUE"""),0.0)</f>
        <v>0</v>
      </c>
      <c r="AS600" s="80"/>
      <c r="AT600" s="80">
        <f>IFERROR(__xludf.DUMMYFUNCTION("""COMPUTED_VALUE"""),0.0)</f>
        <v>0</v>
      </c>
      <c r="AU600" s="80"/>
      <c r="AV600" s="80"/>
      <c r="AW600" s="82" t="str">
        <f t="shared" si="1"/>
        <v/>
      </c>
      <c r="AX600" s="83" t="str">
        <f t="array" ref="AX600">IFERROR(DGET('SBV Import'!A:G,"SBV",{"RSC ID","Tier";B600,A600}))</f>
        <v/>
      </c>
      <c r="AY600" s="82" t="str">
        <f t="shared" si="2"/>
        <v/>
      </c>
      <c r="AZ600" s="82"/>
      <c r="BA600" s="84" t="s">
        <v>152</v>
      </c>
      <c r="BB600" s="84" t="str">
        <f>IFERROR(__xludf.DUMMYFUNCTION("iferror(if(A600="""",,E600&gt;=FILTER(Constants!$F$2:$F$10,Constants!$A$2:$A$10=A600)))"),"")</f>
        <v/>
      </c>
    </row>
    <row r="601">
      <c r="A601" s="80"/>
      <c r="B601" s="80"/>
      <c r="C601" s="80"/>
      <c r="D601" s="80"/>
      <c r="E601" s="80"/>
      <c r="F601" s="80"/>
      <c r="G601" s="80"/>
      <c r="H601" s="81"/>
      <c r="I601" s="81"/>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c r="AI601" s="80"/>
      <c r="AJ601" s="80"/>
      <c r="AK601" s="80"/>
      <c r="AL601" s="80"/>
      <c r="AM601" s="80"/>
      <c r="AN601" s="80">
        <f>IFERROR(__xludf.DUMMYFUNCTION("""COMPUTED_VALUE"""),0.0)</f>
        <v>0</v>
      </c>
      <c r="AO601" s="80">
        <f>IFERROR(__xludf.DUMMYFUNCTION("""COMPUTED_VALUE"""),0.0)</f>
        <v>0</v>
      </c>
      <c r="AP601" s="80">
        <f>IFERROR(__xludf.DUMMYFUNCTION("""COMPUTED_VALUE"""),0.0)</f>
        <v>0</v>
      </c>
      <c r="AQ601" s="80">
        <f>IFERROR(__xludf.DUMMYFUNCTION("""COMPUTED_VALUE"""),0.0)</f>
        <v>0</v>
      </c>
      <c r="AR601" s="80">
        <f>IFERROR(__xludf.DUMMYFUNCTION("""COMPUTED_VALUE"""),0.0)</f>
        <v>0</v>
      </c>
      <c r="AS601" s="80"/>
      <c r="AT601" s="80">
        <f>IFERROR(__xludf.DUMMYFUNCTION("""COMPUTED_VALUE"""),0.0)</f>
        <v>0</v>
      </c>
      <c r="AU601" s="80"/>
      <c r="AV601" s="80"/>
      <c r="AW601" s="82" t="str">
        <f t="shared" si="1"/>
        <v/>
      </c>
      <c r="AX601" s="83" t="str">
        <f t="array" ref="AX601">IFERROR(DGET('SBV Import'!A:G,"SBV",{"RSC ID","Tier";B601,A601}))</f>
        <v/>
      </c>
      <c r="AY601" s="82" t="str">
        <f t="shared" si="2"/>
        <v/>
      </c>
      <c r="AZ601" s="82"/>
      <c r="BA601" s="84" t="s">
        <v>152</v>
      </c>
      <c r="BB601" s="84" t="str">
        <f>IFERROR(__xludf.DUMMYFUNCTION("iferror(if(A601="""",,E601&gt;=FILTER(Constants!$F$2:$F$10,Constants!$A$2:$A$10=A601)))"),"")</f>
        <v/>
      </c>
    </row>
    <row r="602">
      <c r="A602" s="80"/>
      <c r="B602" s="80"/>
      <c r="C602" s="80"/>
      <c r="D602" s="80"/>
      <c r="E602" s="80"/>
      <c r="F602" s="80"/>
      <c r="G602" s="80"/>
      <c r="H602" s="81"/>
      <c r="I602" s="81"/>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c r="AI602" s="80"/>
      <c r="AJ602" s="80"/>
      <c r="AK602" s="80"/>
      <c r="AL602" s="80"/>
      <c r="AM602" s="80"/>
      <c r="AN602" s="80">
        <f>IFERROR(__xludf.DUMMYFUNCTION("""COMPUTED_VALUE"""),0.0)</f>
        <v>0</v>
      </c>
      <c r="AO602" s="80">
        <f>IFERROR(__xludf.DUMMYFUNCTION("""COMPUTED_VALUE"""),0.0)</f>
        <v>0</v>
      </c>
      <c r="AP602" s="80">
        <f>IFERROR(__xludf.DUMMYFUNCTION("""COMPUTED_VALUE"""),0.0)</f>
        <v>0</v>
      </c>
      <c r="AQ602" s="80">
        <f>IFERROR(__xludf.DUMMYFUNCTION("""COMPUTED_VALUE"""),0.0)</f>
        <v>0</v>
      </c>
      <c r="AR602" s="80">
        <f>IFERROR(__xludf.DUMMYFUNCTION("""COMPUTED_VALUE"""),0.0)</f>
        <v>0</v>
      </c>
      <c r="AS602" s="80"/>
      <c r="AT602" s="80">
        <f>IFERROR(__xludf.DUMMYFUNCTION("""COMPUTED_VALUE"""),0.0)</f>
        <v>0</v>
      </c>
      <c r="AU602" s="80"/>
      <c r="AV602" s="80"/>
      <c r="AW602" s="82" t="str">
        <f t="shared" si="1"/>
        <v/>
      </c>
      <c r="AX602" s="83" t="str">
        <f t="array" ref="AX602">IFERROR(DGET('SBV Import'!A:G,"SBV",{"RSC ID","Tier";B602,A602}))</f>
        <v/>
      </c>
      <c r="AY602" s="82" t="str">
        <f t="shared" si="2"/>
        <v/>
      </c>
      <c r="AZ602" s="82"/>
      <c r="BA602" s="84" t="s">
        <v>152</v>
      </c>
      <c r="BB602" s="84" t="str">
        <f>IFERROR(__xludf.DUMMYFUNCTION("iferror(if(A602="""",,E602&gt;=FILTER(Constants!$F$2:$F$10,Constants!$A$2:$A$10=A602)))"),"")</f>
        <v/>
      </c>
    </row>
    <row r="603">
      <c r="A603" s="80"/>
      <c r="B603" s="80"/>
      <c r="C603" s="80"/>
      <c r="D603" s="80"/>
      <c r="E603" s="80"/>
      <c r="F603" s="80"/>
      <c r="G603" s="80"/>
      <c r="H603" s="81"/>
      <c r="I603" s="81"/>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c r="AI603" s="80"/>
      <c r="AJ603" s="80"/>
      <c r="AK603" s="80"/>
      <c r="AL603" s="80"/>
      <c r="AM603" s="80"/>
      <c r="AN603" s="80">
        <f>IFERROR(__xludf.DUMMYFUNCTION("""COMPUTED_VALUE"""),0.0)</f>
        <v>0</v>
      </c>
      <c r="AO603" s="80">
        <f>IFERROR(__xludf.DUMMYFUNCTION("""COMPUTED_VALUE"""),0.0)</f>
        <v>0</v>
      </c>
      <c r="AP603" s="80">
        <f>IFERROR(__xludf.DUMMYFUNCTION("""COMPUTED_VALUE"""),0.0)</f>
        <v>0</v>
      </c>
      <c r="AQ603" s="80">
        <f>IFERROR(__xludf.DUMMYFUNCTION("""COMPUTED_VALUE"""),0.0)</f>
        <v>0</v>
      </c>
      <c r="AR603" s="80">
        <f>IFERROR(__xludf.DUMMYFUNCTION("""COMPUTED_VALUE"""),0.0)</f>
        <v>0</v>
      </c>
      <c r="AS603" s="80"/>
      <c r="AT603" s="80">
        <f>IFERROR(__xludf.DUMMYFUNCTION("""COMPUTED_VALUE"""),0.0)</f>
        <v>0</v>
      </c>
      <c r="AU603" s="80"/>
      <c r="AV603" s="80"/>
      <c r="AW603" s="82" t="str">
        <f t="shared" si="1"/>
        <v/>
      </c>
      <c r="AX603" s="83" t="str">
        <f t="array" ref="AX603">IFERROR(DGET('SBV Import'!A:G,"SBV",{"RSC ID","Tier";B603,A603}))</f>
        <v/>
      </c>
      <c r="AY603" s="82" t="str">
        <f t="shared" si="2"/>
        <v/>
      </c>
      <c r="AZ603" s="82"/>
      <c r="BA603" s="84" t="s">
        <v>152</v>
      </c>
      <c r="BB603" s="84" t="str">
        <f>IFERROR(__xludf.DUMMYFUNCTION("iferror(if(A603="""",,E603&gt;=FILTER(Constants!$F$2:$F$10,Constants!$A$2:$A$10=A603)))"),"")</f>
        <v/>
      </c>
    </row>
    <row r="604">
      <c r="A604" s="80"/>
      <c r="B604" s="80"/>
      <c r="C604" s="80"/>
      <c r="D604" s="80"/>
      <c r="E604" s="80"/>
      <c r="F604" s="80"/>
      <c r="G604" s="80"/>
      <c r="H604" s="81"/>
      <c r="I604" s="81"/>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c r="AI604" s="80"/>
      <c r="AJ604" s="80"/>
      <c r="AK604" s="80"/>
      <c r="AL604" s="80"/>
      <c r="AM604" s="80"/>
      <c r="AN604" s="80">
        <f>IFERROR(__xludf.DUMMYFUNCTION("""COMPUTED_VALUE"""),0.0)</f>
        <v>0</v>
      </c>
      <c r="AO604" s="80">
        <f>IFERROR(__xludf.DUMMYFUNCTION("""COMPUTED_VALUE"""),0.0)</f>
        <v>0</v>
      </c>
      <c r="AP604" s="80">
        <f>IFERROR(__xludf.DUMMYFUNCTION("""COMPUTED_VALUE"""),0.0)</f>
        <v>0</v>
      </c>
      <c r="AQ604" s="80">
        <f>IFERROR(__xludf.DUMMYFUNCTION("""COMPUTED_VALUE"""),0.0)</f>
        <v>0</v>
      </c>
      <c r="AR604" s="80">
        <f>IFERROR(__xludf.DUMMYFUNCTION("""COMPUTED_VALUE"""),0.0)</f>
        <v>0</v>
      </c>
      <c r="AS604" s="80"/>
      <c r="AT604" s="80">
        <f>IFERROR(__xludf.DUMMYFUNCTION("""COMPUTED_VALUE"""),0.0)</f>
        <v>0</v>
      </c>
      <c r="AU604" s="80"/>
      <c r="AV604" s="80"/>
      <c r="AW604" s="82" t="str">
        <f t="shared" si="1"/>
        <v/>
      </c>
      <c r="AX604" s="83" t="str">
        <f t="array" ref="AX604">IFERROR(DGET('SBV Import'!A:G,"SBV",{"RSC ID","Tier";B604,A604}))</f>
        <v/>
      </c>
      <c r="AY604" s="82" t="str">
        <f t="shared" si="2"/>
        <v/>
      </c>
      <c r="AZ604" s="82"/>
      <c r="BA604" s="84" t="s">
        <v>152</v>
      </c>
      <c r="BB604" s="84" t="str">
        <f>IFERROR(__xludf.DUMMYFUNCTION("iferror(if(A604="""",,E604&gt;=FILTER(Constants!$F$2:$F$10,Constants!$A$2:$A$10=A604)))"),"")</f>
        <v/>
      </c>
    </row>
    <row r="605">
      <c r="A605" s="80"/>
      <c r="B605" s="80"/>
      <c r="C605" s="80"/>
      <c r="D605" s="80"/>
      <c r="E605" s="80"/>
      <c r="F605" s="80"/>
      <c r="G605" s="80"/>
      <c r="H605" s="81"/>
      <c r="I605" s="81"/>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c r="AI605" s="80"/>
      <c r="AJ605" s="80"/>
      <c r="AK605" s="80"/>
      <c r="AL605" s="80"/>
      <c r="AM605" s="80"/>
      <c r="AN605" s="80">
        <f>IFERROR(__xludf.DUMMYFUNCTION("""COMPUTED_VALUE"""),0.0)</f>
        <v>0</v>
      </c>
      <c r="AO605" s="80">
        <f>IFERROR(__xludf.DUMMYFUNCTION("""COMPUTED_VALUE"""),0.0)</f>
        <v>0</v>
      </c>
      <c r="AP605" s="80">
        <f>IFERROR(__xludf.DUMMYFUNCTION("""COMPUTED_VALUE"""),0.0)</f>
        <v>0</v>
      </c>
      <c r="AQ605" s="80">
        <f>IFERROR(__xludf.DUMMYFUNCTION("""COMPUTED_VALUE"""),0.0)</f>
        <v>0</v>
      </c>
      <c r="AR605" s="80">
        <f>IFERROR(__xludf.DUMMYFUNCTION("""COMPUTED_VALUE"""),0.0)</f>
        <v>0</v>
      </c>
      <c r="AS605" s="80"/>
      <c r="AT605" s="80">
        <f>IFERROR(__xludf.DUMMYFUNCTION("""COMPUTED_VALUE"""),0.0)</f>
        <v>0</v>
      </c>
      <c r="AU605" s="80"/>
      <c r="AV605" s="80"/>
      <c r="AW605" s="82" t="str">
        <f t="shared" si="1"/>
        <v/>
      </c>
      <c r="AX605" s="83" t="str">
        <f t="array" ref="AX605">IFERROR(DGET('SBV Import'!A:G,"SBV",{"RSC ID","Tier";B605,A605}))</f>
        <v/>
      </c>
      <c r="AY605" s="82" t="str">
        <f t="shared" si="2"/>
        <v/>
      </c>
      <c r="AZ605" s="82"/>
      <c r="BA605" s="84" t="s">
        <v>152</v>
      </c>
      <c r="BB605" s="84" t="str">
        <f>IFERROR(__xludf.DUMMYFUNCTION("iferror(if(A605="""",,E605&gt;=FILTER(Constants!$F$2:$F$10,Constants!$A$2:$A$10=A605)))"),"")</f>
        <v/>
      </c>
    </row>
    <row r="606">
      <c r="A606" s="80"/>
      <c r="B606" s="80"/>
      <c r="C606" s="80"/>
      <c r="D606" s="80"/>
      <c r="E606" s="80"/>
      <c r="F606" s="80"/>
      <c r="G606" s="80"/>
      <c r="H606" s="81"/>
      <c r="I606" s="81"/>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c r="AI606" s="80"/>
      <c r="AJ606" s="80"/>
      <c r="AK606" s="80"/>
      <c r="AL606" s="80"/>
      <c r="AM606" s="80"/>
      <c r="AN606" s="80">
        <f>IFERROR(__xludf.DUMMYFUNCTION("""COMPUTED_VALUE"""),0.0)</f>
        <v>0</v>
      </c>
      <c r="AO606" s="80">
        <f>IFERROR(__xludf.DUMMYFUNCTION("""COMPUTED_VALUE"""),0.0)</f>
        <v>0</v>
      </c>
      <c r="AP606" s="80">
        <f>IFERROR(__xludf.DUMMYFUNCTION("""COMPUTED_VALUE"""),0.0)</f>
        <v>0</v>
      </c>
      <c r="AQ606" s="80">
        <f>IFERROR(__xludf.DUMMYFUNCTION("""COMPUTED_VALUE"""),0.0)</f>
        <v>0</v>
      </c>
      <c r="AR606" s="80">
        <f>IFERROR(__xludf.DUMMYFUNCTION("""COMPUTED_VALUE"""),0.0)</f>
        <v>0</v>
      </c>
      <c r="AS606" s="80"/>
      <c r="AT606" s="80">
        <f>IFERROR(__xludf.DUMMYFUNCTION("""COMPUTED_VALUE"""),0.0)</f>
        <v>0</v>
      </c>
      <c r="AU606" s="80"/>
      <c r="AV606" s="80"/>
      <c r="AW606" s="82" t="str">
        <f t="shared" si="1"/>
        <v/>
      </c>
      <c r="AX606" s="83" t="str">
        <f t="array" ref="AX606">IFERROR(DGET('SBV Import'!A:G,"SBV",{"RSC ID","Tier";B606,A606}))</f>
        <v/>
      </c>
      <c r="AY606" s="82" t="str">
        <f t="shared" si="2"/>
        <v/>
      </c>
      <c r="AZ606" s="82"/>
      <c r="BA606" s="84" t="s">
        <v>152</v>
      </c>
      <c r="BB606" s="84" t="str">
        <f>IFERROR(__xludf.DUMMYFUNCTION("iferror(if(A606="""",,E606&gt;=FILTER(Constants!$F$2:$F$10,Constants!$A$2:$A$10=A606)))"),"")</f>
        <v/>
      </c>
    </row>
    <row r="607">
      <c r="A607" s="80"/>
      <c r="B607" s="80"/>
      <c r="C607" s="80"/>
      <c r="D607" s="80"/>
      <c r="E607" s="80"/>
      <c r="F607" s="80"/>
      <c r="G607" s="80"/>
      <c r="H607" s="81"/>
      <c r="I607" s="81"/>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c r="AI607" s="80"/>
      <c r="AJ607" s="80"/>
      <c r="AK607" s="80"/>
      <c r="AL607" s="80"/>
      <c r="AM607" s="80"/>
      <c r="AN607" s="80">
        <f>IFERROR(__xludf.DUMMYFUNCTION("""COMPUTED_VALUE"""),0.0)</f>
        <v>0</v>
      </c>
      <c r="AO607" s="80">
        <f>IFERROR(__xludf.DUMMYFUNCTION("""COMPUTED_VALUE"""),0.0)</f>
        <v>0</v>
      </c>
      <c r="AP607" s="80">
        <f>IFERROR(__xludf.DUMMYFUNCTION("""COMPUTED_VALUE"""),0.0)</f>
        <v>0</v>
      </c>
      <c r="AQ607" s="80">
        <f>IFERROR(__xludf.DUMMYFUNCTION("""COMPUTED_VALUE"""),0.0)</f>
        <v>0</v>
      </c>
      <c r="AR607" s="80">
        <f>IFERROR(__xludf.DUMMYFUNCTION("""COMPUTED_VALUE"""),0.0)</f>
        <v>0</v>
      </c>
      <c r="AS607" s="80"/>
      <c r="AT607" s="80">
        <f>IFERROR(__xludf.DUMMYFUNCTION("""COMPUTED_VALUE"""),0.0)</f>
        <v>0</v>
      </c>
      <c r="AU607" s="80"/>
      <c r="AV607" s="80"/>
      <c r="AW607" s="82" t="str">
        <f t="shared" si="1"/>
        <v/>
      </c>
      <c r="AX607" s="83" t="str">
        <f t="array" ref="AX607">IFERROR(DGET('SBV Import'!A:G,"SBV",{"RSC ID","Tier";B607,A607}))</f>
        <v/>
      </c>
      <c r="AY607" s="82" t="str">
        <f t="shared" si="2"/>
        <v/>
      </c>
      <c r="AZ607" s="82"/>
      <c r="BA607" s="84" t="s">
        <v>152</v>
      </c>
      <c r="BB607" s="84" t="str">
        <f>IFERROR(__xludf.DUMMYFUNCTION("iferror(if(A607="""",,E607&gt;=FILTER(Constants!$F$2:$F$10,Constants!$A$2:$A$10=A607)))"),"")</f>
        <v/>
      </c>
    </row>
    <row r="608">
      <c r="A608" s="80"/>
      <c r="B608" s="80"/>
      <c r="C608" s="80"/>
      <c r="D608" s="80"/>
      <c r="E608" s="80"/>
      <c r="F608" s="80"/>
      <c r="G608" s="80"/>
      <c r="H608" s="81"/>
      <c r="I608" s="81"/>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c r="AI608" s="80"/>
      <c r="AJ608" s="80"/>
      <c r="AK608" s="80"/>
      <c r="AL608" s="80"/>
      <c r="AM608" s="80"/>
      <c r="AN608" s="80">
        <f>IFERROR(__xludf.DUMMYFUNCTION("""COMPUTED_VALUE"""),0.0)</f>
        <v>0</v>
      </c>
      <c r="AO608" s="80">
        <f>IFERROR(__xludf.DUMMYFUNCTION("""COMPUTED_VALUE"""),0.0)</f>
        <v>0</v>
      </c>
      <c r="AP608" s="80">
        <f>IFERROR(__xludf.DUMMYFUNCTION("""COMPUTED_VALUE"""),0.0)</f>
        <v>0</v>
      </c>
      <c r="AQ608" s="80">
        <f>IFERROR(__xludf.DUMMYFUNCTION("""COMPUTED_VALUE"""),0.0)</f>
        <v>0</v>
      </c>
      <c r="AR608" s="80">
        <f>IFERROR(__xludf.DUMMYFUNCTION("""COMPUTED_VALUE"""),0.0)</f>
        <v>0</v>
      </c>
      <c r="AS608" s="80"/>
      <c r="AT608" s="80">
        <f>IFERROR(__xludf.DUMMYFUNCTION("""COMPUTED_VALUE"""),0.0)</f>
        <v>0</v>
      </c>
      <c r="AU608" s="80"/>
      <c r="AV608" s="80"/>
      <c r="AW608" s="82" t="str">
        <f t="shared" si="1"/>
        <v/>
      </c>
      <c r="AX608" s="83" t="str">
        <f t="array" ref="AX608">IFERROR(DGET('SBV Import'!A:G,"SBV",{"RSC ID","Tier";B608,A608}))</f>
        <v/>
      </c>
      <c r="AY608" s="82" t="str">
        <f t="shared" si="2"/>
        <v/>
      </c>
      <c r="AZ608" s="82"/>
      <c r="BA608" s="84" t="s">
        <v>152</v>
      </c>
      <c r="BB608" s="84" t="str">
        <f>IFERROR(__xludf.DUMMYFUNCTION("iferror(if(A608="""",,E608&gt;=FILTER(Constants!$F$2:$F$10,Constants!$A$2:$A$10=A608)))"),"")</f>
        <v/>
      </c>
    </row>
    <row r="609">
      <c r="A609" s="80"/>
      <c r="B609" s="80"/>
      <c r="C609" s="80"/>
      <c r="D609" s="80"/>
      <c r="E609" s="80"/>
      <c r="F609" s="80"/>
      <c r="G609" s="80"/>
      <c r="H609" s="81"/>
      <c r="I609" s="81"/>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c r="AI609" s="80"/>
      <c r="AJ609" s="80"/>
      <c r="AK609" s="80"/>
      <c r="AL609" s="80"/>
      <c r="AM609" s="80"/>
      <c r="AN609" s="80">
        <f>IFERROR(__xludf.DUMMYFUNCTION("""COMPUTED_VALUE"""),0.0)</f>
        <v>0</v>
      </c>
      <c r="AO609" s="80">
        <f>IFERROR(__xludf.DUMMYFUNCTION("""COMPUTED_VALUE"""),0.0)</f>
        <v>0</v>
      </c>
      <c r="AP609" s="80">
        <f>IFERROR(__xludf.DUMMYFUNCTION("""COMPUTED_VALUE"""),0.0)</f>
        <v>0</v>
      </c>
      <c r="AQ609" s="80">
        <f>IFERROR(__xludf.DUMMYFUNCTION("""COMPUTED_VALUE"""),0.0)</f>
        <v>0</v>
      </c>
      <c r="AR609" s="80">
        <f>IFERROR(__xludf.DUMMYFUNCTION("""COMPUTED_VALUE"""),0.0)</f>
        <v>0</v>
      </c>
      <c r="AS609" s="80"/>
      <c r="AT609" s="80">
        <f>IFERROR(__xludf.DUMMYFUNCTION("""COMPUTED_VALUE"""),0.0)</f>
        <v>0</v>
      </c>
      <c r="AU609" s="80"/>
      <c r="AV609" s="80"/>
      <c r="AW609" s="82" t="str">
        <f t="shared" si="1"/>
        <v/>
      </c>
      <c r="AX609" s="83" t="str">
        <f t="array" ref="AX609">IFERROR(DGET('SBV Import'!A:G,"SBV",{"RSC ID","Tier";B609,A609}))</f>
        <v/>
      </c>
      <c r="AY609" s="82" t="str">
        <f t="shared" si="2"/>
        <v/>
      </c>
      <c r="AZ609" s="82"/>
      <c r="BA609" s="84" t="s">
        <v>152</v>
      </c>
      <c r="BB609" s="84" t="str">
        <f>IFERROR(__xludf.DUMMYFUNCTION("iferror(if(A609="""",,E609&gt;=FILTER(Constants!$F$2:$F$10,Constants!$A$2:$A$10=A609)))"),"")</f>
        <v/>
      </c>
    </row>
    <row r="610">
      <c r="A610" s="80"/>
      <c r="B610" s="80"/>
      <c r="C610" s="80"/>
      <c r="D610" s="80"/>
      <c r="E610" s="80"/>
      <c r="F610" s="80"/>
      <c r="G610" s="80"/>
      <c r="H610" s="81"/>
      <c r="I610" s="81"/>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c r="AI610" s="80"/>
      <c r="AJ610" s="80"/>
      <c r="AK610" s="80"/>
      <c r="AL610" s="80"/>
      <c r="AM610" s="80"/>
      <c r="AN610" s="80">
        <f>IFERROR(__xludf.DUMMYFUNCTION("""COMPUTED_VALUE"""),0.0)</f>
        <v>0</v>
      </c>
      <c r="AO610" s="80">
        <f>IFERROR(__xludf.DUMMYFUNCTION("""COMPUTED_VALUE"""),0.0)</f>
        <v>0</v>
      </c>
      <c r="AP610" s="80">
        <f>IFERROR(__xludf.DUMMYFUNCTION("""COMPUTED_VALUE"""),0.0)</f>
        <v>0</v>
      </c>
      <c r="AQ610" s="80">
        <f>IFERROR(__xludf.DUMMYFUNCTION("""COMPUTED_VALUE"""),0.0)</f>
        <v>0</v>
      </c>
      <c r="AR610" s="80">
        <f>IFERROR(__xludf.DUMMYFUNCTION("""COMPUTED_VALUE"""),0.0)</f>
        <v>0</v>
      </c>
      <c r="AS610" s="80"/>
      <c r="AT610" s="80">
        <f>IFERROR(__xludf.DUMMYFUNCTION("""COMPUTED_VALUE"""),0.0)</f>
        <v>0</v>
      </c>
      <c r="AU610" s="80"/>
      <c r="AV610" s="80"/>
      <c r="AW610" s="82" t="str">
        <f t="shared" si="1"/>
        <v/>
      </c>
      <c r="AX610" s="83" t="str">
        <f t="array" ref="AX610">IFERROR(DGET('SBV Import'!A:G,"SBV",{"RSC ID","Tier";B610,A610}))</f>
        <v/>
      </c>
      <c r="AY610" s="82" t="str">
        <f t="shared" si="2"/>
        <v/>
      </c>
      <c r="AZ610" s="82"/>
      <c r="BA610" s="84" t="s">
        <v>152</v>
      </c>
      <c r="BB610" s="84" t="str">
        <f>IFERROR(__xludf.DUMMYFUNCTION("iferror(if(A610="""",,E610&gt;=FILTER(Constants!$F$2:$F$10,Constants!$A$2:$A$10=A610)))"),"")</f>
        <v/>
      </c>
    </row>
    <row r="611">
      <c r="A611" s="80"/>
      <c r="B611" s="73"/>
      <c r="C611" s="73"/>
      <c r="D611" s="73"/>
      <c r="E611" s="82"/>
      <c r="F611" s="82"/>
      <c r="G611" s="82"/>
      <c r="H611" s="86"/>
      <c r="I611" s="86"/>
      <c r="J611" s="82"/>
      <c r="K611" s="82"/>
      <c r="L611" s="82"/>
      <c r="M611" s="82"/>
      <c r="N611" s="82"/>
      <c r="O611" s="82"/>
      <c r="P611" s="82"/>
      <c r="Q611" s="82"/>
      <c r="R611" s="82"/>
      <c r="S611" s="82"/>
      <c r="T611" s="82"/>
      <c r="U611" s="82"/>
      <c r="V611" s="82"/>
      <c r="W611" s="82"/>
      <c r="X611" s="82"/>
      <c r="Y611" s="82"/>
      <c r="Z611" s="82"/>
      <c r="AA611" s="82"/>
      <c r="AB611" s="82"/>
      <c r="AC611" s="82"/>
      <c r="AD611" s="82"/>
      <c r="AE611" s="82"/>
      <c r="AF611" s="82"/>
      <c r="AG611" s="82"/>
      <c r="AH611" s="82"/>
      <c r="AI611" s="82"/>
      <c r="AJ611" s="82"/>
      <c r="AK611" s="82"/>
      <c r="AL611" s="82"/>
      <c r="AM611" s="82"/>
      <c r="AN611" s="82">
        <f>IFERROR(__xludf.DUMMYFUNCTION("""COMPUTED_VALUE"""),0.0)</f>
        <v>0</v>
      </c>
      <c r="AO611" s="82">
        <f>IFERROR(__xludf.DUMMYFUNCTION("""COMPUTED_VALUE"""),0.0)</f>
        <v>0</v>
      </c>
      <c r="AP611" s="82">
        <f>IFERROR(__xludf.DUMMYFUNCTION("""COMPUTED_VALUE"""),0.0)</f>
        <v>0</v>
      </c>
      <c r="AQ611" s="82">
        <f>IFERROR(__xludf.DUMMYFUNCTION("""COMPUTED_VALUE"""),0.0)</f>
        <v>0</v>
      </c>
      <c r="AR611" s="82">
        <f>IFERROR(__xludf.DUMMYFUNCTION("""COMPUTED_VALUE"""),0.0)</f>
        <v>0</v>
      </c>
      <c r="AS611" s="82"/>
      <c r="AT611" s="82">
        <f>IFERROR(__xludf.DUMMYFUNCTION("""COMPUTED_VALUE"""),0.0)</f>
        <v>0</v>
      </c>
      <c r="AU611" s="82"/>
      <c r="AV611" s="82"/>
      <c r="AW611" s="82" t="str">
        <f t="shared" si="1"/>
        <v/>
      </c>
      <c r="AX611" s="83" t="str">
        <f t="array" ref="AX611">IFERROR(DGET('SBV Import'!A:G,"SBV",{"RSC ID","Tier";B611,A611}))</f>
        <v/>
      </c>
      <c r="AY611" s="82" t="str">
        <f t="shared" si="2"/>
        <v/>
      </c>
      <c r="AZ611" s="82"/>
      <c r="BA611" s="84" t="s">
        <v>152</v>
      </c>
      <c r="BB611" s="84" t="str">
        <f>IFERROR(__xludf.DUMMYFUNCTION("iferror(if(A611="""",,E611&gt;=FILTER(Constants!$F$2:$F$10,Constants!$A$2:$A$10=A611)))"),"")</f>
        <v/>
      </c>
    </row>
    <row r="612">
      <c r="A612" s="80"/>
      <c r="B612" s="87"/>
      <c r="C612" s="73"/>
      <c r="D612" s="73"/>
      <c r="E612" s="82"/>
      <c r="F612" s="82"/>
      <c r="G612" s="82"/>
      <c r="H612" s="86"/>
      <c r="I612" s="86"/>
      <c r="J612" s="82"/>
      <c r="K612" s="82"/>
      <c r="L612" s="82"/>
      <c r="M612" s="82"/>
      <c r="N612" s="82"/>
      <c r="O612" s="82"/>
      <c r="P612" s="82"/>
      <c r="Q612" s="82"/>
      <c r="R612" s="82"/>
      <c r="S612" s="82"/>
      <c r="T612" s="82"/>
      <c r="U612" s="82"/>
      <c r="V612" s="82"/>
      <c r="W612" s="82"/>
      <c r="X612" s="82"/>
      <c r="Y612" s="82"/>
      <c r="Z612" s="82"/>
      <c r="AA612" s="82"/>
      <c r="AB612" s="82"/>
      <c r="AC612" s="82"/>
      <c r="AD612" s="82"/>
      <c r="AE612" s="82"/>
      <c r="AF612" s="82"/>
      <c r="AG612" s="82"/>
      <c r="AH612" s="82"/>
      <c r="AI612" s="82"/>
      <c r="AJ612" s="82"/>
      <c r="AK612" s="82"/>
      <c r="AL612" s="82"/>
      <c r="AM612" s="82"/>
      <c r="AN612" s="82">
        <f>IFERROR(__xludf.DUMMYFUNCTION("""COMPUTED_VALUE"""),0.0)</f>
        <v>0</v>
      </c>
      <c r="AO612" s="82">
        <f>IFERROR(__xludf.DUMMYFUNCTION("""COMPUTED_VALUE"""),0.0)</f>
        <v>0</v>
      </c>
      <c r="AP612" s="82">
        <f>IFERROR(__xludf.DUMMYFUNCTION("""COMPUTED_VALUE"""),0.0)</f>
        <v>0</v>
      </c>
      <c r="AQ612" s="82">
        <f>IFERROR(__xludf.DUMMYFUNCTION("""COMPUTED_VALUE"""),0.0)</f>
        <v>0</v>
      </c>
      <c r="AR612" s="82">
        <f>IFERROR(__xludf.DUMMYFUNCTION("""COMPUTED_VALUE"""),0.0)</f>
        <v>0</v>
      </c>
      <c r="AS612" s="82"/>
      <c r="AT612" s="82">
        <f>IFERROR(__xludf.DUMMYFUNCTION("""COMPUTED_VALUE"""),0.0)</f>
        <v>0</v>
      </c>
      <c r="AU612" s="82"/>
      <c r="AV612" s="82"/>
      <c r="AW612" s="82" t="str">
        <f t="shared" si="1"/>
        <v/>
      </c>
      <c r="AX612" s="83" t="str">
        <f t="array" ref="AX612">IFERROR(DGET('SBV Import'!A:G,"SBV",{"RSC ID","Tier";B612,A612}))</f>
        <v/>
      </c>
      <c r="AY612" s="82" t="str">
        <f t="shared" si="2"/>
        <v/>
      </c>
      <c r="AZ612" s="82"/>
      <c r="BA612" s="84" t="s">
        <v>152</v>
      </c>
      <c r="BB612" s="84" t="str">
        <f>IFERROR(__xludf.DUMMYFUNCTION("iferror(if(A612="""",,E612&gt;=FILTER(Constants!$F$2:$F$10,Constants!$A$2:$A$10=A612)))"),"")</f>
        <v/>
      </c>
    </row>
    <row r="613">
      <c r="A613" s="80"/>
      <c r="B613" s="87"/>
      <c r="C613" s="73"/>
      <c r="D613" s="73"/>
      <c r="E613" s="82"/>
      <c r="F613" s="82"/>
      <c r="G613" s="82"/>
      <c r="H613" s="86"/>
      <c r="I613" s="86"/>
      <c r="J613" s="82"/>
      <c r="K613" s="82"/>
      <c r="L613" s="82"/>
      <c r="M613" s="82"/>
      <c r="N613" s="82"/>
      <c r="O613" s="82"/>
      <c r="P613" s="82"/>
      <c r="Q613" s="82"/>
      <c r="R613" s="82"/>
      <c r="S613" s="82"/>
      <c r="T613" s="82"/>
      <c r="U613" s="82"/>
      <c r="V613" s="82"/>
      <c r="W613" s="82"/>
      <c r="X613" s="82"/>
      <c r="Y613" s="82"/>
      <c r="Z613" s="82"/>
      <c r="AA613" s="82"/>
      <c r="AB613" s="82"/>
      <c r="AC613" s="82"/>
      <c r="AD613" s="82"/>
      <c r="AE613" s="82"/>
      <c r="AF613" s="82"/>
      <c r="AG613" s="82"/>
      <c r="AH613" s="82"/>
      <c r="AI613" s="82"/>
      <c r="AJ613" s="82"/>
      <c r="AK613" s="82"/>
      <c r="AL613" s="82"/>
      <c r="AM613" s="82"/>
      <c r="AN613" s="82">
        <f>IFERROR(__xludf.DUMMYFUNCTION("""COMPUTED_VALUE"""),0.0)</f>
        <v>0</v>
      </c>
      <c r="AO613" s="82">
        <f>IFERROR(__xludf.DUMMYFUNCTION("""COMPUTED_VALUE"""),0.0)</f>
        <v>0</v>
      </c>
      <c r="AP613" s="82">
        <f>IFERROR(__xludf.DUMMYFUNCTION("""COMPUTED_VALUE"""),0.0)</f>
        <v>0</v>
      </c>
      <c r="AQ613" s="82">
        <f>IFERROR(__xludf.DUMMYFUNCTION("""COMPUTED_VALUE"""),0.0)</f>
        <v>0</v>
      </c>
      <c r="AR613" s="82">
        <f>IFERROR(__xludf.DUMMYFUNCTION("""COMPUTED_VALUE"""),0.0)</f>
        <v>0</v>
      </c>
      <c r="AS613" s="82"/>
      <c r="AT613" s="82">
        <f>IFERROR(__xludf.DUMMYFUNCTION("""COMPUTED_VALUE"""),0.0)</f>
        <v>0</v>
      </c>
      <c r="AU613" s="82"/>
      <c r="AV613" s="82"/>
      <c r="AW613" s="82" t="str">
        <f t="shared" si="1"/>
        <v/>
      </c>
      <c r="AX613" s="83" t="str">
        <f t="array" ref="AX613">IFERROR(DGET('SBV Import'!A:G,"SBV",{"RSC ID","Tier";B613,A613}))</f>
        <v/>
      </c>
      <c r="AY613" s="82" t="str">
        <f t="shared" si="2"/>
        <v/>
      </c>
      <c r="AZ613" s="82"/>
      <c r="BA613" s="84" t="s">
        <v>152</v>
      </c>
      <c r="BB613" s="84" t="str">
        <f>IFERROR(__xludf.DUMMYFUNCTION("iferror(if(A613="""",,E613&gt;=FILTER(Constants!$F$2:$F$10,Constants!$A$2:$A$10=A613)))"),"")</f>
        <v/>
      </c>
    </row>
    <row r="614">
      <c r="A614" s="80"/>
      <c r="B614" s="87"/>
      <c r="C614" s="73"/>
      <c r="D614" s="73"/>
      <c r="E614" s="82"/>
      <c r="F614" s="82"/>
      <c r="G614" s="82"/>
      <c r="H614" s="86"/>
      <c r="I614" s="86"/>
      <c r="J614" s="82"/>
      <c r="K614" s="82"/>
      <c r="L614" s="82"/>
      <c r="M614" s="82"/>
      <c r="N614" s="82"/>
      <c r="O614" s="82"/>
      <c r="P614" s="82"/>
      <c r="Q614" s="82"/>
      <c r="R614" s="82"/>
      <c r="S614" s="82"/>
      <c r="T614" s="82"/>
      <c r="U614" s="82"/>
      <c r="V614" s="82"/>
      <c r="W614" s="82"/>
      <c r="X614" s="82"/>
      <c r="Y614" s="82"/>
      <c r="Z614" s="82"/>
      <c r="AA614" s="82"/>
      <c r="AB614" s="82"/>
      <c r="AC614" s="82"/>
      <c r="AD614" s="82"/>
      <c r="AE614" s="82"/>
      <c r="AF614" s="82"/>
      <c r="AG614" s="82"/>
      <c r="AH614" s="82"/>
      <c r="AI614" s="82"/>
      <c r="AJ614" s="82"/>
      <c r="AK614" s="82"/>
      <c r="AL614" s="82"/>
      <c r="AM614" s="82"/>
      <c r="AN614" s="82">
        <f>IFERROR(__xludf.DUMMYFUNCTION("""COMPUTED_VALUE"""),0.0)</f>
        <v>0</v>
      </c>
      <c r="AO614" s="82">
        <f>IFERROR(__xludf.DUMMYFUNCTION("""COMPUTED_VALUE"""),0.0)</f>
        <v>0</v>
      </c>
      <c r="AP614" s="82">
        <f>IFERROR(__xludf.DUMMYFUNCTION("""COMPUTED_VALUE"""),0.0)</f>
        <v>0</v>
      </c>
      <c r="AQ614" s="82">
        <f>IFERROR(__xludf.DUMMYFUNCTION("""COMPUTED_VALUE"""),0.0)</f>
        <v>0</v>
      </c>
      <c r="AR614" s="82">
        <f>IFERROR(__xludf.DUMMYFUNCTION("""COMPUTED_VALUE"""),0.0)</f>
        <v>0</v>
      </c>
      <c r="AS614" s="82"/>
      <c r="AT614" s="82">
        <f>IFERROR(__xludf.DUMMYFUNCTION("""COMPUTED_VALUE"""),0.0)</f>
        <v>0</v>
      </c>
      <c r="AU614" s="82"/>
      <c r="AV614" s="82"/>
      <c r="AW614" s="82" t="str">
        <f t="shared" si="1"/>
        <v/>
      </c>
      <c r="AX614" s="83" t="str">
        <f t="array" ref="AX614">IFERROR(DGET('SBV Import'!A:G,"SBV",{"RSC ID","Tier";B614,A614}))</f>
        <v/>
      </c>
      <c r="AY614" s="82" t="str">
        <f t="shared" si="2"/>
        <v/>
      </c>
      <c r="AZ614" s="82"/>
      <c r="BA614" s="84" t="s">
        <v>152</v>
      </c>
      <c r="BB614" s="84" t="str">
        <f>IFERROR(__xludf.DUMMYFUNCTION("iferror(if(A614="""",,E614&gt;=FILTER(Constants!$F$2:$F$10,Constants!$A$2:$A$10=A614)))"),"")</f>
        <v/>
      </c>
    </row>
    <row r="615">
      <c r="A615" s="80"/>
      <c r="B615" s="87"/>
      <c r="C615" s="73"/>
      <c r="D615" s="73"/>
      <c r="E615" s="82"/>
      <c r="F615" s="82"/>
      <c r="G615" s="82"/>
      <c r="H615" s="86"/>
      <c r="I615" s="86"/>
      <c r="J615" s="82"/>
      <c r="K615" s="82"/>
      <c r="L615" s="82"/>
      <c r="M615" s="82"/>
      <c r="N615" s="82"/>
      <c r="O615" s="82"/>
      <c r="P615" s="82"/>
      <c r="Q615" s="82"/>
      <c r="R615" s="82"/>
      <c r="S615" s="82"/>
      <c r="T615" s="82"/>
      <c r="U615" s="82"/>
      <c r="V615" s="82"/>
      <c r="W615" s="82"/>
      <c r="X615" s="82"/>
      <c r="Y615" s="82"/>
      <c r="Z615" s="82"/>
      <c r="AA615" s="82"/>
      <c r="AB615" s="82"/>
      <c r="AC615" s="82"/>
      <c r="AD615" s="82"/>
      <c r="AE615" s="82"/>
      <c r="AF615" s="82"/>
      <c r="AG615" s="82"/>
      <c r="AH615" s="82"/>
      <c r="AI615" s="82"/>
      <c r="AJ615" s="82"/>
      <c r="AK615" s="82"/>
      <c r="AL615" s="82"/>
      <c r="AM615" s="82"/>
      <c r="AN615" s="82">
        <f>IFERROR(__xludf.DUMMYFUNCTION("""COMPUTED_VALUE"""),0.0)</f>
        <v>0</v>
      </c>
      <c r="AO615" s="82">
        <f>IFERROR(__xludf.DUMMYFUNCTION("""COMPUTED_VALUE"""),0.0)</f>
        <v>0</v>
      </c>
      <c r="AP615" s="82">
        <f>IFERROR(__xludf.DUMMYFUNCTION("""COMPUTED_VALUE"""),0.0)</f>
        <v>0</v>
      </c>
      <c r="AQ615" s="82">
        <f>IFERROR(__xludf.DUMMYFUNCTION("""COMPUTED_VALUE"""),0.0)</f>
        <v>0</v>
      </c>
      <c r="AR615" s="82">
        <f>IFERROR(__xludf.DUMMYFUNCTION("""COMPUTED_VALUE"""),0.0)</f>
        <v>0</v>
      </c>
      <c r="AS615" s="82"/>
      <c r="AT615" s="82">
        <f>IFERROR(__xludf.DUMMYFUNCTION("""COMPUTED_VALUE"""),0.0)</f>
        <v>0</v>
      </c>
      <c r="AU615" s="82"/>
      <c r="AV615" s="82"/>
      <c r="AW615" s="82" t="str">
        <f t="shared" si="1"/>
        <v/>
      </c>
      <c r="AX615" s="83" t="str">
        <f t="array" ref="AX615">IFERROR(DGET('SBV Import'!A:G,"SBV",{"RSC ID","Tier";B615,A615}))</f>
        <v/>
      </c>
      <c r="AY615" s="82" t="str">
        <f t="shared" si="2"/>
        <v/>
      </c>
      <c r="AZ615" s="82"/>
      <c r="BA615" s="84" t="s">
        <v>152</v>
      </c>
      <c r="BB615" s="84" t="str">
        <f>IFERROR(__xludf.DUMMYFUNCTION("iferror(if(A615="""",,E615&gt;=FILTER(Constants!$F$2:$F$10,Constants!$A$2:$A$10=A615)))"),"")</f>
        <v/>
      </c>
    </row>
    <row r="616">
      <c r="A616" s="80"/>
      <c r="B616" s="87"/>
      <c r="C616" s="73"/>
      <c r="D616" s="73"/>
      <c r="E616" s="82"/>
      <c r="F616" s="82"/>
      <c r="G616" s="82"/>
      <c r="H616" s="86"/>
      <c r="I616" s="86"/>
      <c r="J616" s="82"/>
      <c r="K616" s="82"/>
      <c r="L616" s="82"/>
      <c r="M616" s="82"/>
      <c r="N616" s="82"/>
      <c r="O616" s="82"/>
      <c r="P616" s="82"/>
      <c r="Q616" s="82"/>
      <c r="R616" s="82"/>
      <c r="S616" s="82"/>
      <c r="T616" s="82"/>
      <c r="U616" s="82"/>
      <c r="V616" s="82"/>
      <c r="W616" s="82"/>
      <c r="X616" s="82"/>
      <c r="Y616" s="82"/>
      <c r="Z616" s="82"/>
      <c r="AA616" s="82"/>
      <c r="AB616" s="82"/>
      <c r="AC616" s="82"/>
      <c r="AD616" s="82"/>
      <c r="AE616" s="82"/>
      <c r="AF616" s="82"/>
      <c r="AG616" s="82"/>
      <c r="AH616" s="82"/>
      <c r="AI616" s="82"/>
      <c r="AJ616" s="82"/>
      <c r="AK616" s="82"/>
      <c r="AL616" s="82"/>
      <c r="AM616" s="82"/>
      <c r="AN616" s="82">
        <f>IFERROR(__xludf.DUMMYFUNCTION("""COMPUTED_VALUE"""),0.0)</f>
        <v>0</v>
      </c>
      <c r="AO616" s="82">
        <f>IFERROR(__xludf.DUMMYFUNCTION("""COMPUTED_VALUE"""),0.0)</f>
        <v>0</v>
      </c>
      <c r="AP616" s="82">
        <f>IFERROR(__xludf.DUMMYFUNCTION("""COMPUTED_VALUE"""),0.0)</f>
        <v>0</v>
      </c>
      <c r="AQ616" s="82">
        <f>IFERROR(__xludf.DUMMYFUNCTION("""COMPUTED_VALUE"""),0.0)</f>
        <v>0</v>
      </c>
      <c r="AR616" s="82">
        <f>IFERROR(__xludf.DUMMYFUNCTION("""COMPUTED_VALUE"""),0.0)</f>
        <v>0</v>
      </c>
      <c r="AS616" s="82"/>
      <c r="AT616" s="82">
        <f>IFERROR(__xludf.DUMMYFUNCTION("""COMPUTED_VALUE"""),0.0)</f>
        <v>0</v>
      </c>
      <c r="AU616" s="82"/>
      <c r="AV616" s="82"/>
      <c r="AW616" s="82" t="str">
        <f t="shared" si="1"/>
        <v/>
      </c>
      <c r="AX616" s="83" t="str">
        <f t="array" ref="AX616">IFERROR(DGET('SBV Import'!A:G,"SBV",{"RSC ID","Tier";B616,A616}))</f>
        <v/>
      </c>
      <c r="AY616" s="82" t="str">
        <f t="shared" si="2"/>
        <v/>
      </c>
      <c r="AZ616" s="82"/>
      <c r="BA616" s="84" t="s">
        <v>152</v>
      </c>
      <c r="BB616" s="84" t="str">
        <f>IFERROR(__xludf.DUMMYFUNCTION("iferror(if(A616="""",,E616&gt;=FILTER(Constants!$F$2:$F$10,Constants!$A$2:$A$10=A616)))"),"")</f>
        <v/>
      </c>
    </row>
    <row r="617">
      <c r="A617" s="80"/>
      <c r="B617" s="87"/>
      <c r="C617" s="73"/>
      <c r="D617" s="73"/>
      <c r="E617" s="82"/>
      <c r="F617" s="82"/>
      <c r="G617" s="82"/>
      <c r="H617" s="86"/>
      <c r="I617" s="86"/>
      <c r="J617" s="82"/>
      <c r="K617" s="82"/>
      <c r="L617" s="82"/>
      <c r="M617" s="82"/>
      <c r="N617" s="82"/>
      <c r="O617" s="82"/>
      <c r="P617" s="82"/>
      <c r="Q617" s="82"/>
      <c r="R617" s="82"/>
      <c r="S617" s="82"/>
      <c r="T617" s="82"/>
      <c r="U617" s="82"/>
      <c r="V617" s="82"/>
      <c r="W617" s="82"/>
      <c r="X617" s="82"/>
      <c r="Y617" s="82"/>
      <c r="Z617" s="82"/>
      <c r="AA617" s="82"/>
      <c r="AB617" s="82"/>
      <c r="AC617" s="82"/>
      <c r="AD617" s="82"/>
      <c r="AE617" s="82"/>
      <c r="AF617" s="82"/>
      <c r="AG617" s="82"/>
      <c r="AH617" s="82"/>
      <c r="AI617" s="82"/>
      <c r="AJ617" s="82"/>
      <c r="AK617" s="82"/>
      <c r="AL617" s="82"/>
      <c r="AM617" s="82"/>
      <c r="AN617" s="82">
        <f>IFERROR(__xludf.DUMMYFUNCTION("""COMPUTED_VALUE"""),0.0)</f>
        <v>0</v>
      </c>
      <c r="AO617" s="82">
        <f>IFERROR(__xludf.DUMMYFUNCTION("""COMPUTED_VALUE"""),0.0)</f>
        <v>0</v>
      </c>
      <c r="AP617" s="82">
        <f>IFERROR(__xludf.DUMMYFUNCTION("""COMPUTED_VALUE"""),0.0)</f>
        <v>0</v>
      </c>
      <c r="AQ617" s="82">
        <f>IFERROR(__xludf.DUMMYFUNCTION("""COMPUTED_VALUE"""),0.0)</f>
        <v>0</v>
      </c>
      <c r="AR617" s="82">
        <f>IFERROR(__xludf.DUMMYFUNCTION("""COMPUTED_VALUE"""),0.0)</f>
        <v>0</v>
      </c>
      <c r="AS617" s="82"/>
      <c r="AT617" s="82">
        <f>IFERROR(__xludf.DUMMYFUNCTION("""COMPUTED_VALUE"""),0.0)</f>
        <v>0</v>
      </c>
      <c r="AU617" s="82"/>
      <c r="AV617" s="82"/>
      <c r="AW617" s="82" t="str">
        <f t="shared" si="1"/>
        <v/>
      </c>
      <c r="AX617" s="83" t="str">
        <f t="array" ref="AX617">IFERROR(DGET('SBV Import'!A:G,"SBV",{"RSC ID","Tier";B617,A617}))</f>
        <v/>
      </c>
      <c r="AY617" s="82" t="str">
        <f t="shared" si="2"/>
        <v/>
      </c>
      <c r="AZ617" s="82"/>
      <c r="BA617" s="84" t="s">
        <v>152</v>
      </c>
      <c r="BB617" s="84" t="str">
        <f>IFERROR(__xludf.DUMMYFUNCTION("iferror(if(A617="""",,E617&gt;=FILTER(Constants!$F$2:$F$10,Constants!$A$2:$A$10=A617)))"),"")</f>
        <v/>
      </c>
    </row>
    <row r="618">
      <c r="A618" s="80"/>
      <c r="B618" s="87"/>
      <c r="C618" s="73"/>
      <c r="D618" s="73"/>
      <c r="E618" s="82"/>
      <c r="F618" s="82"/>
      <c r="G618" s="82"/>
      <c r="H618" s="86"/>
      <c r="I618" s="86"/>
      <c r="J618" s="82"/>
      <c r="K618" s="82"/>
      <c r="L618" s="82"/>
      <c r="M618" s="82"/>
      <c r="N618" s="82"/>
      <c r="O618" s="82"/>
      <c r="P618" s="82"/>
      <c r="Q618" s="82"/>
      <c r="R618" s="82"/>
      <c r="S618" s="82"/>
      <c r="T618" s="82"/>
      <c r="U618" s="82"/>
      <c r="V618" s="82"/>
      <c r="W618" s="82"/>
      <c r="X618" s="82"/>
      <c r="Y618" s="82"/>
      <c r="Z618" s="82"/>
      <c r="AA618" s="82"/>
      <c r="AB618" s="82"/>
      <c r="AC618" s="82"/>
      <c r="AD618" s="82"/>
      <c r="AE618" s="82"/>
      <c r="AF618" s="82"/>
      <c r="AG618" s="82"/>
      <c r="AH618" s="82"/>
      <c r="AI618" s="82"/>
      <c r="AJ618" s="82"/>
      <c r="AK618" s="82"/>
      <c r="AL618" s="82"/>
      <c r="AM618" s="82"/>
      <c r="AN618" s="82">
        <f>IFERROR(__xludf.DUMMYFUNCTION("""COMPUTED_VALUE"""),0.0)</f>
        <v>0</v>
      </c>
      <c r="AO618" s="82">
        <f>IFERROR(__xludf.DUMMYFUNCTION("""COMPUTED_VALUE"""),0.0)</f>
        <v>0</v>
      </c>
      <c r="AP618" s="82">
        <f>IFERROR(__xludf.DUMMYFUNCTION("""COMPUTED_VALUE"""),0.0)</f>
        <v>0</v>
      </c>
      <c r="AQ618" s="82">
        <f>IFERROR(__xludf.DUMMYFUNCTION("""COMPUTED_VALUE"""),0.0)</f>
        <v>0</v>
      </c>
      <c r="AR618" s="82">
        <f>IFERROR(__xludf.DUMMYFUNCTION("""COMPUTED_VALUE"""),0.0)</f>
        <v>0</v>
      </c>
      <c r="AS618" s="82"/>
      <c r="AT618" s="82">
        <f>IFERROR(__xludf.DUMMYFUNCTION("""COMPUTED_VALUE"""),0.0)</f>
        <v>0</v>
      </c>
      <c r="AU618" s="82"/>
      <c r="AV618" s="82"/>
      <c r="AW618" s="82" t="str">
        <f t="shared" si="1"/>
        <v/>
      </c>
      <c r="AX618" s="83" t="str">
        <f t="array" ref="AX618">IFERROR(DGET('SBV Import'!A:G,"SBV",{"RSC ID","Tier";B618,A618}))</f>
        <v/>
      </c>
      <c r="AY618" s="82" t="str">
        <f t="shared" si="2"/>
        <v/>
      </c>
      <c r="AZ618" s="82"/>
      <c r="BA618" s="84" t="s">
        <v>152</v>
      </c>
      <c r="BB618" s="84" t="str">
        <f>IFERROR(__xludf.DUMMYFUNCTION("iferror(if(A618="""",,E618&gt;=FILTER(Constants!$F$2:$F$10,Constants!$A$2:$A$10=A618)))"),"")</f>
        <v/>
      </c>
    </row>
    <row r="619">
      <c r="A619" s="80"/>
      <c r="B619" s="87"/>
      <c r="C619" s="73"/>
      <c r="D619" s="73"/>
      <c r="E619" s="82"/>
      <c r="F619" s="82"/>
      <c r="G619" s="82"/>
      <c r="H619" s="86"/>
      <c r="I619" s="86"/>
      <c r="J619" s="82"/>
      <c r="K619" s="82"/>
      <c r="L619" s="82"/>
      <c r="M619" s="82"/>
      <c r="N619" s="82"/>
      <c r="O619" s="82"/>
      <c r="P619" s="82"/>
      <c r="Q619" s="82"/>
      <c r="R619" s="82"/>
      <c r="S619" s="82"/>
      <c r="T619" s="82"/>
      <c r="U619" s="82"/>
      <c r="V619" s="82"/>
      <c r="W619" s="82"/>
      <c r="X619" s="82"/>
      <c r="Y619" s="82"/>
      <c r="Z619" s="82"/>
      <c r="AA619" s="82"/>
      <c r="AB619" s="82"/>
      <c r="AC619" s="82"/>
      <c r="AD619" s="82"/>
      <c r="AE619" s="82"/>
      <c r="AF619" s="82"/>
      <c r="AG619" s="82"/>
      <c r="AH619" s="82"/>
      <c r="AI619" s="82"/>
      <c r="AJ619" s="82"/>
      <c r="AK619" s="82"/>
      <c r="AL619" s="82"/>
      <c r="AM619" s="82"/>
      <c r="AN619" s="82">
        <f>IFERROR(__xludf.DUMMYFUNCTION("""COMPUTED_VALUE"""),0.0)</f>
        <v>0</v>
      </c>
      <c r="AO619" s="82">
        <f>IFERROR(__xludf.DUMMYFUNCTION("""COMPUTED_VALUE"""),0.0)</f>
        <v>0</v>
      </c>
      <c r="AP619" s="82">
        <f>IFERROR(__xludf.DUMMYFUNCTION("""COMPUTED_VALUE"""),0.0)</f>
        <v>0</v>
      </c>
      <c r="AQ619" s="82">
        <f>IFERROR(__xludf.DUMMYFUNCTION("""COMPUTED_VALUE"""),0.0)</f>
        <v>0</v>
      </c>
      <c r="AR619" s="82">
        <f>IFERROR(__xludf.DUMMYFUNCTION("""COMPUTED_VALUE"""),0.0)</f>
        <v>0</v>
      </c>
      <c r="AS619" s="82"/>
      <c r="AT619" s="82">
        <f>IFERROR(__xludf.DUMMYFUNCTION("""COMPUTED_VALUE"""),0.0)</f>
        <v>0</v>
      </c>
      <c r="AU619" s="82"/>
      <c r="AV619" s="82"/>
      <c r="AW619" s="82" t="str">
        <f t="shared" si="1"/>
        <v/>
      </c>
      <c r="AX619" s="83" t="str">
        <f t="array" ref="AX619">IFERROR(DGET('SBV Import'!A:G,"SBV",{"RSC ID","Tier";B619,A619}))</f>
        <v/>
      </c>
      <c r="AY619" s="82" t="str">
        <f t="shared" si="2"/>
        <v/>
      </c>
      <c r="AZ619" s="82"/>
      <c r="BA619" s="84" t="s">
        <v>152</v>
      </c>
      <c r="BB619" s="84" t="str">
        <f>IFERROR(__xludf.DUMMYFUNCTION("iferror(if(A619="""",,E619&gt;=FILTER(Constants!$F$2:$F$10,Constants!$A$2:$A$10=A619)))"),"")</f>
        <v/>
      </c>
    </row>
    <row r="620">
      <c r="A620" s="80"/>
      <c r="B620" s="87"/>
      <c r="C620" s="73"/>
      <c r="D620" s="73"/>
      <c r="E620" s="82"/>
      <c r="F620" s="82"/>
      <c r="G620" s="82"/>
      <c r="H620" s="86"/>
      <c r="I620" s="86"/>
      <c r="J620" s="82"/>
      <c r="K620" s="82"/>
      <c r="L620" s="82"/>
      <c r="M620" s="82"/>
      <c r="N620" s="82"/>
      <c r="O620" s="82"/>
      <c r="P620" s="82"/>
      <c r="Q620" s="82"/>
      <c r="R620" s="82"/>
      <c r="S620" s="82"/>
      <c r="T620" s="82"/>
      <c r="U620" s="82"/>
      <c r="V620" s="82"/>
      <c r="W620" s="82"/>
      <c r="X620" s="82"/>
      <c r="Y620" s="82"/>
      <c r="Z620" s="82"/>
      <c r="AA620" s="82"/>
      <c r="AB620" s="82"/>
      <c r="AC620" s="82"/>
      <c r="AD620" s="82"/>
      <c r="AE620" s="82"/>
      <c r="AF620" s="82"/>
      <c r="AG620" s="82"/>
      <c r="AH620" s="82"/>
      <c r="AI620" s="82"/>
      <c r="AJ620" s="82"/>
      <c r="AK620" s="82"/>
      <c r="AL620" s="82"/>
      <c r="AM620" s="82"/>
      <c r="AN620" s="82">
        <f>IFERROR(__xludf.DUMMYFUNCTION("""COMPUTED_VALUE"""),0.0)</f>
        <v>0</v>
      </c>
      <c r="AO620" s="82">
        <f>IFERROR(__xludf.DUMMYFUNCTION("""COMPUTED_VALUE"""),0.0)</f>
        <v>0</v>
      </c>
      <c r="AP620" s="82">
        <f>IFERROR(__xludf.DUMMYFUNCTION("""COMPUTED_VALUE"""),0.0)</f>
        <v>0</v>
      </c>
      <c r="AQ620" s="82">
        <f>IFERROR(__xludf.DUMMYFUNCTION("""COMPUTED_VALUE"""),0.0)</f>
        <v>0</v>
      </c>
      <c r="AR620" s="82">
        <f>IFERROR(__xludf.DUMMYFUNCTION("""COMPUTED_VALUE"""),0.0)</f>
        <v>0</v>
      </c>
      <c r="AS620" s="82"/>
      <c r="AT620" s="82">
        <f>IFERROR(__xludf.DUMMYFUNCTION("""COMPUTED_VALUE"""),0.0)</f>
        <v>0</v>
      </c>
      <c r="AU620" s="82"/>
      <c r="AV620" s="82"/>
      <c r="AW620" s="82" t="str">
        <f t="shared" si="1"/>
        <v/>
      </c>
      <c r="AX620" s="83" t="str">
        <f t="array" ref="AX620">IFERROR(DGET('SBV Import'!A:G,"SBV",{"RSC ID","Tier";B620,A620}))</f>
        <v/>
      </c>
      <c r="AY620" s="82" t="str">
        <f t="shared" si="2"/>
        <v/>
      </c>
      <c r="AZ620" s="82"/>
      <c r="BA620" s="84" t="s">
        <v>152</v>
      </c>
      <c r="BB620" s="84" t="str">
        <f>IFERROR(__xludf.DUMMYFUNCTION("iferror(if(A620="""",,E620&gt;=FILTER(Constants!$F$2:$F$10,Constants!$A$2:$A$10=A620)))"),"")</f>
        <v/>
      </c>
    </row>
    <row r="621">
      <c r="A621" s="80"/>
      <c r="B621" s="87"/>
      <c r="C621" s="73"/>
      <c r="D621" s="73"/>
      <c r="E621" s="82"/>
      <c r="F621" s="82"/>
      <c r="G621" s="82"/>
      <c r="H621" s="86"/>
      <c r="I621" s="86"/>
      <c r="J621" s="82"/>
      <c r="K621" s="82"/>
      <c r="L621" s="82"/>
      <c r="M621" s="82"/>
      <c r="N621" s="82"/>
      <c r="O621" s="82"/>
      <c r="P621" s="82"/>
      <c r="Q621" s="82"/>
      <c r="R621" s="82"/>
      <c r="S621" s="82"/>
      <c r="T621" s="82"/>
      <c r="U621" s="82"/>
      <c r="V621" s="82"/>
      <c r="W621" s="82"/>
      <c r="X621" s="82"/>
      <c r="Y621" s="82"/>
      <c r="Z621" s="82"/>
      <c r="AA621" s="82"/>
      <c r="AB621" s="82"/>
      <c r="AC621" s="82"/>
      <c r="AD621" s="82"/>
      <c r="AE621" s="82"/>
      <c r="AF621" s="82"/>
      <c r="AG621" s="82"/>
      <c r="AH621" s="82"/>
      <c r="AI621" s="82"/>
      <c r="AJ621" s="82"/>
      <c r="AK621" s="82"/>
      <c r="AL621" s="82"/>
      <c r="AM621" s="82"/>
      <c r="AN621" s="82">
        <f>IFERROR(__xludf.DUMMYFUNCTION("""COMPUTED_VALUE"""),0.0)</f>
        <v>0</v>
      </c>
      <c r="AO621" s="82">
        <f>IFERROR(__xludf.DUMMYFUNCTION("""COMPUTED_VALUE"""),0.0)</f>
        <v>0</v>
      </c>
      <c r="AP621" s="82">
        <f>IFERROR(__xludf.DUMMYFUNCTION("""COMPUTED_VALUE"""),0.0)</f>
        <v>0</v>
      </c>
      <c r="AQ621" s="82">
        <f>IFERROR(__xludf.DUMMYFUNCTION("""COMPUTED_VALUE"""),0.0)</f>
        <v>0</v>
      </c>
      <c r="AR621" s="82">
        <f>IFERROR(__xludf.DUMMYFUNCTION("""COMPUTED_VALUE"""),0.0)</f>
        <v>0</v>
      </c>
      <c r="AS621" s="82"/>
      <c r="AT621" s="82">
        <f>IFERROR(__xludf.DUMMYFUNCTION("""COMPUTED_VALUE"""),0.0)</f>
        <v>0</v>
      </c>
      <c r="AU621" s="82"/>
      <c r="AV621" s="82"/>
      <c r="AW621" s="82" t="str">
        <f t="shared" si="1"/>
        <v/>
      </c>
      <c r="AX621" s="83" t="str">
        <f t="array" ref="AX621">IFERROR(DGET('SBV Import'!A:G,"SBV",{"RSC ID","Tier";B621,A621}))</f>
        <v/>
      </c>
      <c r="AY621" s="82" t="str">
        <f t="shared" si="2"/>
        <v/>
      </c>
      <c r="AZ621" s="82"/>
      <c r="BA621" s="84" t="s">
        <v>152</v>
      </c>
      <c r="BB621" s="84" t="str">
        <f>IFERROR(__xludf.DUMMYFUNCTION("iferror(if(A621="""",,E621&gt;=FILTER(Constants!$F$2:$F$10,Constants!$A$2:$A$10=A621)))"),"")</f>
        <v/>
      </c>
    </row>
    <row r="622">
      <c r="A622" s="80"/>
      <c r="B622" s="87"/>
      <c r="C622" s="73"/>
      <c r="D622" s="73"/>
      <c r="E622" s="82"/>
      <c r="F622" s="82"/>
      <c r="G622" s="82"/>
      <c r="H622" s="86"/>
      <c r="I622" s="86"/>
      <c r="J622" s="82"/>
      <c r="K622" s="82"/>
      <c r="L622" s="82"/>
      <c r="M622" s="82"/>
      <c r="N622" s="82"/>
      <c r="O622" s="82"/>
      <c r="P622" s="82"/>
      <c r="Q622" s="82"/>
      <c r="R622" s="82"/>
      <c r="S622" s="82"/>
      <c r="T622" s="82"/>
      <c r="U622" s="82"/>
      <c r="V622" s="82"/>
      <c r="W622" s="82"/>
      <c r="X622" s="82"/>
      <c r="Y622" s="82"/>
      <c r="Z622" s="82"/>
      <c r="AA622" s="82"/>
      <c r="AB622" s="82"/>
      <c r="AC622" s="82"/>
      <c r="AD622" s="82"/>
      <c r="AE622" s="82"/>
      <c r="AF622" s="82"/>
      <c r="AG622" s="82"/>
      <c r="AH622" s="82"/>
      <c r="AI622" s="82"/>
      <c r="AJ622" s="82"/>
      <c r="AK622" s="82"/>
      <c r="AL622" s="82"/>
      <c r="AM622" s="82"/>
      <c r="AN622" s="82">
        <f>IFERROR(__xludf.DUMMYFUNCTION("""COMPUTED_VALUE"""),0.0)</f>
        <v>0</v>
      </c>
      <c r="AO622" s="82">
        <f>IFERROR(__xludf.DUMMYFUNCTION("""COMPUTED_VALUE"""),0.0)</f>
        <v>0</v>
      </c>
      <c r="AP622" s="82">
        <f>IFERROR(__xludf.DUMMYFUNCTION("""COMPUTED_VALUE"""),0.0)</f>
        <v>0</v>
      </c>
      <c r="AQ622" s="82">
        <f>IFERROR(__xludf.DUMMYFUNCTION("""COMPUTED_VALUE"""),0.0)</f>
        <v>0</v>
      </c>
      <c r="AR622" s="82">
        <f>IFERROR(__xludf.DUMMYFUNCTION("""COMPUTED_VALUE"""),0.0)</f>
        <v>0</v>
      </c>
      <c r="AS622" s="82"/>
      <c r="AT622" s="82">
        <f>IFERROR(__xludf.DUMMYFUNCTION("""COMPUTED_VALUE"""),0.0)</f>
        <v>0</v>
      </c>
      <c r="AU622" s="82"/>
      <c r="AV622" s="82"/>
      <c r="AW622" s="82" t="str">
        <f t="shared" si="1"/>
        <v/>
      </c>
      <c r="AX622" s="83" t="str">
        <f t="array" ref="AX622">IFERROR(DGET('SBV Import'!A:G,"SBV",{"RSC ID","Tier";B622,A622}))</f>
        <v/>
      </c>
      <c r="AY622" s="82" t="str">
        <f t="shared" si="2"/>
        <v/>
      </c>
      <c r="AZ622" s="82"/>
      <c r="BA622" s="84" t="s">
        <v>152</v>
      </c>
      <c r="BB622" s="84" t="str">
        <f>IFERROR(__xludf.DUMMYFUNCTION("iferror(if(A622="""",,E622&gt;=FILTER(Constants!$F$2:$F$10,Constants!$A$2:$A$10=A622)))"),"")</f>
        <v/>
      </c>
    </row>
    <row r="623">
      <c r="A623" s="80"/>
      <c r="B623" s="87"/>
      <c r="C623" s="73"/>
      <c r="D623" s="73"/>
      <c r="E623" s="82"/>
      <c r="F623" s="82"/>
      <c r="G623" s="82"/>
      <c r="H623" s="86"/>
      <c r="I623" s="86"/>
      <c r="J623" s="82"/>
      <c r="K623" s="82"/>
      <c r="L623" s="82"/>
      <c r="M623" s="82"/>
      <c r="N623" s="82"/>
      <c r="O623" s="82"/>
      <c r="P623" s="82"/>
      <c r="Q623" s="82"/>
      <c r="R623" s="82"/>
      <c r="S623" s="82"/>
      <c r="T623" s="82"/>
      <c r="U623" s="82"/>
      <c r="V623" s="82"/>
      <c r="W623" s="82"/>
      <c r="X623" s="82"/>
      <c r="Y623" s="82"/>
      <c r="Z623" s="82"/>
      <c r="AA623" s="82"/>
      <c r="AB623" s="82"/>
      <c r="AC623" s="82"/>
      <c r="AD623" s="82"/>
      <c r="AE623" s="82"/>
      <c r="AF623" s="82"/>
      <c r="AG623" s="82"/>
      <c r="AH623" s="82"/>
      <c r="AI623" s="82"/>
      <c r="AJ623" s="82"/>
      <c r="AK623" s="82"/>
      <c r="AL623" s="82"/>
      <c r="AM623" s="82"/>
      <c r="AN623" s="82">
        <f>IFERROR(__xludf.DUMMYFUNCTION("""COMPUTED_VALUE"""),0.0)</f>
        <v>0</v>
      </c>
      <c r="AO623" s="82">
        <f>IFERROR(__xludf.DUMMYFUNCTION("""COMPUTED_VALUE"""),0.0)</f>
        <v>0</v>
      </c>
      <c r="AP623" s="82">
        <f>IFERROR(__xludf.DUMMYFUNCTION("""COMPUTED_VALUE"""),0.0)</f>
        <v>0</v>
      </c>
      <c r="AQ623" s="82">
        <f>IFERROR(__xludf.DUMMYFUNCTION("""COMPUTED_VALUE"""),0.0)</f>
        <v>0</v>
      </c>
      <c r="AR623" s="82">
        <f>IFERROR(__xludf.DUMMYFUNCTION("""COMPUTED_VALUE"""),0.0)</f>
        <v>0</v>
      </c>
      <c r="AS623" s="82"/>
      <c r="AT623" s="82">
        <f>IFERROR(__xludf.DUMMYFUNCTION("""COMPUTED_VALUE"""),0.0)</f>
        <v>0</v>
      </c>
      <c r="AU623" s="82"/>
      <c r="AV623" s="82"/>
      <c r="AW623" s="82" t="str">
        <f t="shared" si="1"/>
        <v/>
      </c>
      <c r="AX623" s="83" t="str">
        <f t="array" ref="AX623">IFERROR(DGET('SBV Import'!A:G,"SBV",{"RSC ID","Tier";B623,A623}))</f>
        <v/>
      </c>
      <c r="AY623" s="82" t="str">
        <f t="shared" si="2"/>
        <v/>
      </c>
      <c r="AZ623" s="82"/>
      <c r="BA623" s="84" t="s">
        <v>152</v>
      </c>
      <c r="BB623" s="84" t="str">
        <f>IFERROR(__xludf.DUMMYFUNCTION("iferror(if(A623="""",,E623&gt;=FILTER(Constants!$F$2:$F$10,Constants!$A$2:$A$10=A623)))"),"")</f>
        <v/>
      </c>
    </row>
    <row r="624">
      <c r="A624" s="80"/>
      <c r="B624" s="87"/>
      <c r="C624" s="73"/>
      <c r="D624" s="73"/>
      <c r="E624" s="82"/>
      <c r="F624" s="82"/>
      <c r="G624" s="82"/>
      <c r="H624" s="86"/>
      <c r="I624" s="86"/>
      <c r="J624" s="82"/>
      <c r="K624" s="82"/>
      <c r="L624" s="82"/>
      <c r="M624" s="82"/>
      <c r="N624" s="82"/>
      <c r="O624" s="82"/>
      <c r="P624" s="82"/>
      <c r="Q624" s="82"/>
      <c r="R624" s="82"/>
      <c r="S624" s="82"/>
      <c r="T624" s="82"/>
      <c r="U624" s="82"/>
      <c r="V624" s="82"/>
      <c r="W624" s="82"/>
      <c r="X624" s="82"/>
      <c r="Y624" s="82"/>
      <c r="Z624" s="82"/>
      <c r="AA624" s="82"/>
      <c r="AB624" s="82"/>
      <c r="AC624" s="82"/>
      <c r="AD624" s="82"/>
      <c r="AE624" s="82"/>
      <c r="AF624" s="82"/>
      <c r="AG624" s="82"/>
      <c r="AH624" s="82"/>
      <c r="AI624" s="82"/>
      <c r="AJ624" s="82"/>
      <c r="AK624" s="82"/>
      <c r="AL624" s="82"/>
      <c r="AM624" s="82"/>
      <c r="AN624" s="82">
        <f>IFERROR(__xludf.DUMMYFUNCTION("""COMPUTED_VALUE"""),0.0)</f>
        <v>0</v>
      </c>
      <c r="AO624" s="82">
        <f>IFERROR(__xludf.DUMMYFUNCTION("""COMPUTED_VALUE"""),0.0)</f>
        <v>0</v>
      </c>
      <c r="AP624" s="82">
        <f>IFERROR(__xludf.DUMMYFUNCTION("""COMPUTED_VALUE"""),0.0)</f>
        <v>0</v>
      </c>
      <c r="AQ624" s="82">
        <f>IFERROR(__xludf.DUMMYFUNCTION("""COMPUTED_VALUE"""),0.0)</f>
        <v>0</v>
      </c>
      <c r="AR624" s="82">
        <f>IFERROR(__xludf.DUMMYFUNCTION("""COMPUTED_VALUE"""),0.0)</f>
        <v>0</v>
      </c>
      <c r="AS624" s="82"/>
      <c r="AT624" s="82">
        <f>IFERROR(__xludf.DUMMYFUNCTION("""COMPUTED_VALUE"""),0.0)</f>
        <v>0</v>
      </c>
      <c r="AU624" s="82"/>
      <c r="AV624" s="82"/>
      <c r="AW624" s="82" t="str">
        <f t="shared" si="1"/>
        <v/>
      </c>
      <c r="AX624" s="83" t="str">
        <f t="array" ref="AX624">IFERROR(DGET('SBV Import'!A:G,"SBV",{"RSC ID","Tier";B624,A624}))</f>
        <v/>
      </c>
      <c r="AY624" s="82" t="str">
        <f t="shared" si="2"/>
        <v/>
      </c>
      <c r="AZ624" s="82"/>
      <c r="BA624" s="84" t="s">
        <v>152</v>
      </c>
      <c r="BB624" s="84" t="str">
        <f>IFERROR(__xludf.DUMMYFUNCTION("iferror(if(A624="""",,E624&gt;=FILTER(Constants!$F$2:$F$10,Constants!$A$2:$A$10=A624)))"),"")</f>
        <v/>
      </c>
    </row>
    <row r="625">
      <c r="A625" s="80"/>
      <c r="B625" s="87"/>
      <c r="C625" s="73"/>
      <c r="D625" s="73"/>
      <c r="E625" s="82"/>
      <c r="F625" s="82"/>
      <c r="G625" s="82"/>
      <c r="H625" s="86"/>
      <c r="I625" s="86"/>
      <c r="J625" s="82"/>
      <c r="K625" s="82"/>
      <c r="L625" s="82"/>
      <c r="M625" s="82"/>
      <c r="N625" s="82"/>
      <c r="O625" s="82"/>
      <c r="P625" s="82"/>
      <c r="Q625" s="82"/>
      <c r="R625" s="82"/>
      <c r="S625" s="82"/>
      <c r="T625" s="82"/>
      <c r="U625" s="82"/>
      <c r="V625" s="82"/>
      <c r="W625" s="82"/>
      <c r="X625" s="82"/>
      <c r="Y625" s="82"/>
      <c r="Z625" s="82"/>
      <c r="AA625" s="82"/>
      <c r="AB625" s="82"/>
      <c r="AC625" s="82"/>
      <c r="AD625" s="82"/>
      <c r="AE625" s="82"/>
      <c r="AF625" s="82"/>
      <c r="AG625" s="82"/>
      <c r="AH625" s="82"/>
      <c r="AI625" s="82"/>
      <c r="AJ625" s="82"/>
      <c r="AK625" s="82"/>
      <c r="AL625" s="82"/>
      <c r="AM625" s="82"/>
      <c r="AN625" s="82">
        <f>IFERROR(__xludf.DUMMYFUNCTION("""COMPUTED_VALUE"""),0.0)</f>
        <v>0</v>
      </c>
      <c r="AO625" s="82">
        <f>IFERROR(__xludf.DUMMYFUNCTION("""COMPUTED_VALUE"""),0.0)</f>
        <v>0</v>
      </c>
      <c r="AP625" s="82">
        <f>IFERROR(__xludf.DUMMYFUNCTION("""COMPUTED_VALUE"""),0.0)</f>
        <v>0</v>
      </c>
      <c r="AQ625" s="82">
        <f>IFERROR(__xludf.DUMMYFUNCTION("""COMPUTED_VALUE"""),0.0)</f>
        <v>0</v>
      </c>
      <c r="AR625" s="82">
        <f>IFERROR(__xludf.DUMMYFUNCTION("""COMPUTED_VALUE"""),0.0)</f>
        <v>0</v>
      </c>
      <c r="AS625" s="82"/>
      <c r="AT625" s="82">
        <f>IFERROR(__xludf.DUMMYFUNCTION("""COMPUTED_VALUE"""),0.0)</f>
        <v>0</v>
      </c>
      <c r="AU625" s="82"/>
      <c r="AV625" s="82"/>
      <c r="AW625" s="82" t="str">
        <f t="shared" si="1"/>
        <v/>
      </c>
      <c r="AX625" s="83" t="str">
        <f t="array" ref="AX625">IFERROR(DGET('SBV Import'!A:G,"SBV",{"RSC ID","Tier";B625,A625}))</f>
        <v/>
      </c>
      <c r="AY625" s="82" t="str">
        <f t="shared" si="2"/>
        <v/>
      </c>
      <c r="AZ625" s="82"/>
      <c r="BA625" s="84" t="s">
        <v>152</v>
      </c>
      <c r="BB625" s="84" t="str">
        <f>IFERROR(__xludf.DUMMYFUNCTION("iferror(if(A625="""",,E625&gt;=FILTER(Constants!$F$2:$F$10,Constants!$A$2:$A$10=A625)))"),"")</f>
        <v/>
      </c>
    </row>
    <row r="626">
      <c r="A626" s="80"/>
      <c r="B626" s="87"/>
      <c r="C626" s="73"/>
      <c r="D626" s="73"/>
      <c r="E626" s="82"/>
      <c r="F626" s="82"/>
      <c r="G626" s="82"/>
      <c r="H626" s="86"/>
      <c r="I626" s="86"/>
      <c r="J626" s="82"/>
      <c r="K626" s="82"/>
      <c r="L626" s="82"/>
      <c r="M626" s="82"/>
      <c r="N626" s="82"/>
      <c r="O626" s="82"/>
      <c r="P626" s="82"/>
      <c r="Q626" s="82"/>
      <c r="R626" s="82"/>
      <c r="S626" s="82"/>
      <c r="T626" s="82"/>
      <c r="U626" s="82"/>
      <c r="V626" s="82"/>
      <c r="W626" s="82"/>
      <c r="X626" s="82"/>
      <c r="Y626" s="82"/>
      <c r="Z626" s="82"/>
      <c r="AA626" s="82"/>
      <c r="AB626" s="82"/>
      <c r="AC626" s="82"/>
      <c r="AD626" s="82"/>
      <c r="AE626" s="82"/>
      <c r="AF626" s="82"/>
      <c r="AG626" s="82"/>
      <c r="AH626" s="82"/>
      <c r="AI626" s="82"/>
      <c r="AJ626" s="82"/>
      <c r="AK626" s="82"/>
      <c r="AL626" s="82"/>
      <c r="AM626" s="82"/>
      <c r="AN626" s="82">
        <f>IFERROR(__xludf.DUMMYFUNCTION("""COMPUTED_VALUE"""),0.0)</f>
        <v>0</v>
      </c>
      <c r="AO626" s="82">
        <f>IFERROR(__xludf.DUMMYFUNCTION("""COMPUTED_VALUE"""),0.0)</f>
        <v>0</v>
      </c>
      <c r="AP626" s="82">
        <f>IFERROR(__xludf.DUMMYFUNCTION("""COMPUTED_VALUE"""),0.0)</f>
        <v>0</v>
      </c>
      <c r="AQ626" s="82">
        <f>IFERROR(__xludf.DUMMYFUNCTION("""COMPUTED_VALUE"""),0.0)</f>
        <v>0</v>
      </c>
      <c r="AR626" s="82">
        <f>IFERROR(__xludf.DUMMYFUNCTION("""COMPUTED_VALUE"""),0.0)</f>
        <v>0</v>
      </c>
      <c r="AS626" s="82"/>
      <c r="AT626" s="82">
        <f>IFERROR(__xludf.DUMMYFUNCTION("""COMPUTED_VALUE"""),0.0)</f>
        <v>0</v>
      </c>
      <c r="AU626" s="82"/>
      <c r="AV626" s="82"/>
      <c r="AW626" s="82" t="str">
        <f t="shared" si="1"/>
        <v/>
      </c>
      <c r="AX626" s="83" t="str">
        <f t="array" ref="AX626">IFERROR(DGET('SBV Import'!A:G,"SBV",{"RSC ID","Tier";B626,A626}))</f>
        <v/>
      </c>
      <c r="AY626" s="82" t="str">
        <f t="shared" si="2"/>
        <v/>
      </c>
      <c r="AZ626" s="82"/>
      <c r="BA626" s="84" t="s">
        <v>152</v>
      </c>
      <c r="BB626" s="84" t="str">
        <f>IFERROR(__xludf.DUMMYFUNCTION("iferror(if(A626="""",,E626&gt;=FILTER(Constants!$F$2:$F$10,Constants!$A$2:$A$10=A626)))"),"")</f>
        <v/>
      </c>
    </row>
    <row r="627">
      <c r="A627" s="80"/>
      <c r="B627" s="87"/>
      <c r="C627" s="73"/>
      <c r="D627" s="73"/>
      <c r="E627" s="82"/>
      <c r="F627" s="82"/>
      <c r="G627" s="82"/>
      <c r="H627" s="86"/>
      <c r="I627" s="86"/>
      <c r="J627" s="82"/>
      <c r="K627" s="82"/>
      <c r="L627" s="82"/>
      <c r="M627" s="82"/>
      <c r="N627" s="82"/>
      <c r="O627" s="82"/>
      <c r="P627" s="82"/>
      <c r="Q627" s="82"/>
      <c r="R627" s="82"/>
      <c r="S627" s="82"/>
      <c r="T627" s="82"/>
      <c r="U627" s="82"/>
      <c r="V627" s="82"/>
      <c r="W627" s="82"/>
      <c r="X627" s="82"/>
      <c r="Y627" s="82"/>
      <c r="Z627" s="82"/>
      <c r="AA627" s="82"/>
      <c r="AB627" s="82"/>
      <c r="AC627" s="82"/>
      <c r="AD627" s="82"/>
      <c r="AE627" s="82"/>
      <c r="AF627" s="82"/>
      <c r="AG627" s="82"/>
      <c r="AH627" s="82"/>
      <c r="AI627" s="82"/>
      <c r="AJ627" s="82"/>
      <c r="AK627" s="82"/>
      <c r="AL627" s="82"/>
      <c r="AM627" s="82"/>
      <c r="AN627" s="82">
        <f>IFERROR(__xludf.DUMMYFUNCTION("""COMPUTED_VALUE"""),0.0)</f>
        <v>0</v>
      </c>
      <c r="AO627" s="82">
        <f>IFERROR(__xludf.DUMMYFUNCTION("""COMPUTED_VALUE"""),0.0)</f>
        <v>0</v>
      </c>
      <c r="AP627" s="82">
        <f>IFERROR(__xludf.DUMMYFUNCTION("""COMPUTED_VALUE"""),0.0)</f>
        <v>0</v>
      </c>
      <c r="AQ627" s="82">
        <f>IFERROR(__xludf.DUMMYFUNCTION("""COMPUTED_VALUE"""),0.0)</f>
        <v>0</v>
      </c>
      <c r="AR627" s="82">
        <f>IFERROR(__xludf.DUMMYFUNCTION("""COMPUTED_VALUE"""),0.0)</f>
        <v>0</v>
      </c>
      <c r="AS627" s="82"/>
      <c r="AT627" s="82">
        <f>IFERROR(__xludf.DUMMYFUNCTION("""COMPUTED_VALUE"""),0.0)</f>
        <v>0</v>
      </c>
      <c r="AU627" s="82"/>
      <c r="AV627" s="82"/>
      <c r="AW627" s="82" t="str">
        <f t="shared" si="1"/>
        <v/>
      </c>
      <c r="AX627" s="83" t="str">
        <f t="array" ref="AX627">IFERROR(DGET('SBV Import'!A:G,"SBV",{"RSC ID","Tier";B627,A627}))</f>
        <v/>
      </c>
      <c r="AY627" s="82" t="str">
        <f t="shared" si="2"/>
        <v/>
      </c>
      <c r="AZ627" s="82"/>
      <c r="BA627" s="84" t="s">
        <v>152</v>
      </c>
      <c r="BB627" s="84" t="str">
        <f>IFERROR(__xludf.DUMMYFUNCTION("iferror(if(A627="""",,E627&gt;=FILTER(Constants!$F$2:$F$10,Constants!$A$2:$A$10=A627)))"),"")</f>
        <v/>
      </c>
    </row>
    <row r="628">
      <c r="A628" s="80"/>
      <c r="B628" s="87"/>
      <c r="C628" s="73"/>
      <c r="D628" s="73"/>
      <c r="E628" s="82"/>
      <c r="F628" s="82"/>
      <c r="G628" s="82"/>
      <c r="H628" s="86"/>
      <c r="I628" s="86"/>
      <c r="J628" s="82"/>
      <c r="K628" s="82"/>
      <c r="L628" s="82"/>
      <c r="M628" s="82"/>
      <c r="N628" s="82"/>
      <c r="O628" s="82"/>
      <c r="P628" s="82"/>
      <c r="Q628" s="82"/>
      <c r="R628" s="82"/>
      <c r="S628" s="82"/>
      <c r="T628" s="82"/>
      <c r="U628" s="82"/>
      <c r="V628" s="82"/>
      <c r="W628" s="82"/>
      <c r="X628" s="82"/>
      <c r="Y628" s="82"/>
      <c r="Z628" s="82"/>
      <c r="AA628" s="82"/>
      <c r="AB628" s="82"/>
      <c r="AC628" s="82"/>
      <c r="AD628" s="82"/>
      <c r="AE628" s="82"/>
      <c r="AF628" s="82"/>
      <c r="AG628" s="82"/>
      <c r="AH628" s="82"/>
      <c r="AI628" s="82"/>
      <c r="AJ628" s="82"/>
      <c r="AK628" s="82"/>
      <c r="AL628" s="82"/>
      <c r="AM628" s="82"/>
      <c r="AN628" s="82">
        <f>IFERROR(__xludf.DUMMYFUNCTION("""COMPUTED_VALUE"""),0.0)</f>
        <v>0</v>
      </c>
      <c r="AO628" s="82">
        <f>IFERROR(__xludf.DUMMYFUNCTION("""COMPUTED_VALUE"""),0.0)</f>
        <v>0</v>
      </c>
      <c r="AP628" s="82">
        <f>IFERROR(__xludf.DUMMYFUNCTION("""COMPUTED_VALUE"""),0.0)</f>
        <v>0</v>
      </c>
      <c r="AQ628" s="82">
        <f>IFERROR(__xludf.DUMMYFUNCTION("""COMPUTED_VALUE"""),0.0)</f>
        <v>0</v>
      </c>
      <c r="AR628" s="82">
        <f>IFERROR(__xludf.DUMMYFUNCTION("""COMPUTED_VALUE"""),0.0)</f>
        <v>0</v>
      </c>
      <c r="AS628" s="82"/>
      <c r="AT628" s="82">
        <f>IFERROR(__xludf.DUMMYFUNCTION("""COMPUTED_VALUE"""),0.0)</f>
        <v>0</v>
      </c>
      <c r="AU628" s="82"/>
      <c r="AV628" s="82"/>
      <c r="AW628" s="82" t="str">
        <f t="shared" si="1"/>
        <v/>
      </c>
      <c r="AX628" s="83" t="str">
        <f t="array" ref="AX628">IFERROR(DGET('SBV Import'!A:G,"SBV",{"RSC ID","Tier";B628,A628}))</f>
        <v/>
      </c>
      <c r="AY628" s="82" t="str">
        <f t="shared" si="2"/>
        <v/>
      </c>
      <c r="AZ628" s="82"/>
      <c r="BA628" s="84" t="s">
        <v>152</v>
      </c>
      <c r="BB628" s="84" t="str">
        <f>IFERROR(__xludf.DUMMYFUNCTION("iferror(if(A628="""",,E628&gt;=FILTER(Constants!$F$2:$F$10,Constants!$A$2:$A$10=A628)))"),"")</f>
        <v/>
      </c>
    </row>
    <row r="629">
      <c r="A629" s="80"/>
      <c r="B629" s="87"/>
      <c r="C629" s="73"/>
      <c r="D629" s="73"/>
      <c r="E629" s="82"/>
      <c r="F629" s="82"/>
      <c r="G629" s="82"/>
      <c r="H629" s="86"/>
      <c r="I629" s="86"/>
      <c r="J629" s="82"/>
      <c r="K629" s="82"/>
      <c r="L629" s="82"/>
      <c r="M629" s="82"/>
      <c r="N629" s="82"/>
      <c r="O629" s="82"/>
      <c r="P629" s="82"/>
      <c r="Q629" s="82"/>
      <c r="R629" s="82"/>
      <c r="S629" s="82"/>
      <c r="T629" s="82"/>
      <c r="U629" s="82"/>
      <c r="V629" s="82"/>
      <c r="W629" s="82"/>
      <c r="X629" s="82"/>
      <c r="Y629" s="82"/>
      <c r="Z629" s="82"/>
      <c r="AA629" s="82"/>
      <c r="AB629" s="82"/>
      <c r="AC629" s="82"/>
      <c r="AD629" s="82"/>
      <c r="AE629" s="82"/>
      <c r="AF629" s="82"/>
      <c r="AG629" s="82"/>
      <c r="AH629" s="82"/>
      <c r="AI629" s="82"/>
      <c r="AJ629" s="82"/>
      <c r="AK629" s="82"/>
      <c r="AL629" s="82"/>
      <c r="AM629" s="82"/>
      <c r="AN629" s="82">
        <f>IFERROR(__xludf.DUMMYFUNCTION("""COMPUTED_VALUE"""),0.0)</f>
        <v>0</v>
      </c>
      <c r="AO629" s="82">
        <f>IFERROR(__xludf.DUMMYFUNCTION("""COMPUTED_VALUE"""),0.0)</f>
        <v>0</v>
      </c>
      <c r="AP629" s="82">
        <f>IFERROR(__xludf.DUMMYFUNCTION("""COMPUTED_VALUE"""),0.0)</f>
        <v>0</v>
      </c>
      <c r="AQ629" s="82">
        <f>IFERROR(__xludf.DUMMYFUNCTION("""COMPUTED_VALUE"""),0.0)</f>
        <v>0</v>
      </c>
      <c r="AR629" s="82">
        <f>IFERROR(__xludf.DUMMYFUNCTION("""COMPUTED_VALUE"""),0.0)</f>
        <v>0</v>
      </c>
      <c r="AS629" s="82"/>
      <c r="AT629" s="82">
        <f>IFERROR(__xludf.DUMMYFUNCTION("""COMPUTED_VALUE"""),0.0)</f>
        <v>0</v>
      </c>
      <c r="AU629" s="82"/>
      <c r="AV629" s="82"/>
      <c r="AW629" s="82" t="str">
        <f t="shared" si="1"/>
        <v/>
      </c>
      <c r="AX629" s="83" t="str">
        <f t="array" ref="AX629">IFERROR(DGET('SBV Import'!A:G,"SBV",{"RSC ID","Tier";B629,A629}))</f>
        <v/>
      </c>
      <c r="AY629" s="82" t="str">
        <f t="shared" si="2"/>
        <v/>
      </c>
      <c r="AZ629" s="82"/>
      <c r="BA629" s="84" t="s">
        <v>152</v>
      </c>
      <c r="BB629" s="84" t="str">
        <f>IFERROR(__xludf.DUMMYFUNCTION("iferror(if(A629="""",,E629&gt;=FILTER(Constants!$F$2:$F$10,Constants!$A$2:$A$10=A629)))"),"")</f>
        <v/>
      </c>
    </row>
    <row r="630">
      <c r="A630" s="80"/>
      <c r="B630" s="87"/>
      <c r="C630" s="73"/>
      <c r="D630" s="73"/>
      <c r="E630" s="82"/>
      <c r="F630" s="82"/>
      <c r="G630" s="82"/>
      <c r="H630" s="86"/>
      <c r="I630" s="86"/>
      <c r="J630" s="82"/>
      <c r="K630" s="82"/>
      <c r="L630" s="82"/>
      <c r="M630" s="82"/>
      <c r="N630" s="82"/>
      <c r="O630" s="82"/>
      <c r="P630" s="82"/>
      <c r="Q630" s="82"/>
      <c r="R630" s="82"/>
      <c r="S630" s="82"/>
      <c r="T630" s="82"/>
      <c r="U630" s="82"/>
      <c r="V630" s="82"/>
      <c r="W630" s="82"/>
      <c r="X630" s="82"/>
      <c r="Y630" s="82"/>
      <c r="Z630" s="82"/>
      <c r="AA630" s="82"/>
      <c r="AB630" s="82"/>
      <c r="AC630" s="82"/>
      <c r="AD630" s="82"/>
      <c r="AE630" s="82"/>
      <c r="AF630" s="82"/>
      <c r="AG630" s="82"/>
      <c r="AH630" s="82"/>
      <c r="AI630" s="82"/>
      <c r="AJ630" s="82"/>
      <c r="AK630" s="82"/>
      <c r="AL630" s="82"/>
      <c r="AM630" s="82"/>
      <c r="AN630" s="82">
        <f>IFERROR(__xludf.DUMMYFUNCTION("""COMPUTED_VALUE"""),0.0)</f>
        <v>0</v>
      </c>
      <c r="AO630" s="82">
        <f>IFERROR(__xludf.DUMMYFUNCTION("""COMPUTED_VALUE"""),0.0)</f>
        <v>0</v>
      </c>
      <c r="AP630" s="82">
        <f>IFERROR(__xludf.DUMMYFUNCTION("""COMPUTED_VALUE"""),0.0)</f>
        <v>0</v>
      </c>
      <c r="AQ630" s="82">
        <f>IFERROR(__xludf.DUMMYFUNCTION("""COMPUTED_VALUE"""),0.0)</f>
        <v>0</v>
      </c>
      <c r="AR630" s="82">
        <f>IFERROR(__xludf.DUMMYFUNCTION("""COMPUTED_VALUE"""),0.0)</f>
        <v>0</v>
      </c>
      <c r="AS630" s="82"/>
      <c r="AT630" s="82">
        <f>IFERROR(__xludf.DUMMYFUNCTION("""COMPUTED_VALUE"""),0.0)</f>
        <v>0</v>
      </c>
      <c r="AU630" s="82"/>
      <c r="AV630" s="82"/>
      <c r="AW630" s="82" t="str">
        <f t="shared" si="1"/>
        <v/>
      </c>
      <c r="AX630" s="83" t="str">
        <f t="array" ref="AX630">IFERROR(DGET('SBV Import'!A:G,"SBV",{"RSC ID","Tier";B630,A630}))</f>
        <v/>
      </c>
      <c r="AY630" s="82" t="str">
        <f t="shared" si="2"/>
        <v/>
      </c>
      <c r="AZ630" s="82"/>
      <c r="BA630" s="84" t="s">
        <v>152</v>
      </c>
      <c r="BB630" s="84" t="str">
        <f>IFERROR(__xludf.DUMMYFUNCTION("iferror(if(A630="""",,E630&gt;=FILTER(Constants!$F$2:$F$10,Constants!$A$2:$A$10=A630)))"),"")</f>
        <v/>
      </c>
    </row>
    <row r="631">
      <c r="A631" s="80"/>
      <c r="B631" s="87"/>
      <c r="C631" s="73"/>
      <c r="D631" s="73"/>
      <c r="E631" s="82"/>
      <c r="F631" s="82"/>
      <c r="G631" s="82"/>
      <c r="H631" s="86"/>
      <c r="I631" s="86"/>
      <c r="J631" s="82"/>
      <c r="K631" s="82"/>
      <c r="L631" s="82"/>
      <c r="M631" s="82"/>
      <c r="N631" s="82"/>
      <c r="O631" s="82"/>
      <c r="P631" s="82"/>
      <c r="Q631" s="82"/>
      <c r="R631" s="82"/>
      <c r="S631" s="82"/>
      <c r="T631" s="82"/>
      <c r="U631" s="82"/>
      <c r="V631" s="82"/>
      <c r="W631" s="82"/>
      <c r="X631" s="82"/>
      <c r="Y631" s="82"/>
      <c r="Z631" s="82"/>
      <c r="AA631" s="82"/>
      <c r="AB631" s="82"/>
      <c r="AC631" s="82"/>
      <c r="AD631" s="82"/>
      <c r="AE631" s="82"/>
      <c r="AF631" s="82"/>
      <c r="AG631" s="82"/>
      <c r="AH631" s="82"/>
      <c r="AI631" s="82"/>
      <c r="AJ631" s="82"/>
      <c r="AK631" s="82"/>
      <c r="AL631" s="82"/>
      <c r="AM631" s="82"/>
      <c r="AN631" s="82">
        <f>IFERROR(__xludf.DUMMYFUNCTION("""COMPUTED_VALUE"""),0.0)</f>
        <v>0</v>
      </c>
      <c r="AO631" s="82">
        <f>IFERROR(__xludf.DUMMYFUNCTION("""COMPUTED_VALUE"""),0.0)</f>
        <v>0</v>
      </c>
      <c r="AP631" s="82">
        <f>IFERROR(__xludf.DUMMYFUNCTION("""COMPUTED_VALUE"""),0.0)</f>
        <v>0</v>
      </c>
      <c r="AQ631" s="82">
        <f>IFERROR(__xludf.DUMMYFUNCTION("""COMPUTED_VALUE"""),0.0)</f>
        <v>0</v>
      </c>
      <c r="AR631" s="82">
        <f>IFERROR(__xludf.DUMMYFUNCTION("""COMPUTED_VALUE"""),0.0)</f>
        <v>0</v>
      </c>
      <c r="AS631" s="82"/>
      <c r="AT631" s="82">
        <f>IFERROR(__xludf.DUMMYFUNCTION("""COMPUTED_VALUE"""),0.0)</f>
        <v>0</v>
      </c>
      <c r="AU631" s="82"/>
      <c r="AV631" s="82"/>
      <c r="AW631" s="82" t="str">
        <f t="shared" si="1"/>
        <v/>
      </c>
      <c r="AX631" s="83" t="str">
        <f t="array" ref="AX631">IFERROR(DGET('SBV Import'!A:G,"SBV",{"RSC ID","Tier";B631,A631}))</f>
        <v/>
      </c>
      <c r="AY631" s="82" t="str">
        <f t="shared" si="2"/>
        <v/>
      </c>
      <c r="AZ631" s="82"/>
      <c r="BA631" s="84" t="s">
        <v>152</v>
      </c>
      <c r="BB631" s="84" t="str">
        <f>IFERROR(__xludf.DUMMYFUNCTION("iferror(if(A631="""",,E631&gt;=FILTER(Constants!$F$2:$F$10,Constants!$A$2:$A$10=A631)))"),"")</f>
        <v/>
      </c>
    </row>
    <row r="632">
      <c r="A632" s="80"/>
      <c r="B632" s="87"/>
      <c r="C632" s="73"/>
      <c r="D632" s="73"/>
      <c r="E632" s="82"/>
      <c r="F632" s="82"/>
      <c r="G632" s="82"/>
      <c r="H632" s="86"/>
      <c r="I632" s="86"/>
      <c r="J632" s="82"/>
      <c r="K632" s="82"/>
      <c r="L632" s="82"/>
      <c r="M632" s="82"/>
      <c r="N632" s="82"/>
      <c r="O632" s="82"/>
      <c r="P632" s="82"/>
      <c r="Q632" s="82"/>
      <c r="R632" s="82"/>
      <c r="S632" s="82"/>
      <c r="T632" s="82"/>
      <c r="U632" s="82"/>
      <c r="V632" s="82"/>
      <c r="W632" s="82"/>
      <c r="X632" s="82"/>
      <c r="Y632" s="82"/>
      <c r="Z632" s="82"/>
      <c r="AA632" s="82"/>
      <c r="AB632" s="82"/>
      <c r="AC632" s="82"/>
      <c r="AD632" s="82"/>
      <c r="AE632" s="82"/>
      <c r="AF632" s="82"/>
      <c r="AG632" s="82"/>
      <c r="AH632" s="82"/>
      <c r="AI632" s="82"/>
      <c r="AJ632" s="82"/>
      <c r="AK632" s="82"/>
      <c r="AL632" s="82"/>
      <c r="AM632" s="82"/>
      <c r="AN632" s="82">
        <f>IFERROR(__xludf.DUMMYFUNCTION("""COMPUTED_VALUE"""),0.0)</f>
        <v>0</v>
      </c>
      <c r="AO632" s="82">
        <f>IFERROR(__xludf.DUMMYFUNCTION("""COMPUTED_VALUE"""),0.0)</f>
        <v>0</v>
      </c>
      <c r="AP632" s="82">
        <f>IFERROR(__xludf.DUMMYFUNCTION("""COMPUTED_VALUE"""),0.0)</f>
        <v>0</v>
      </c>
      <c r="AQ632" s="82">
        <f>IFERROR(__xludf.DUMMYFUNCTION("""COMPUTED_VALUE"""),0.0)</f>
        <v>0</v>
      </c>
      <c r="AR632" s="82">
        <f>IFERROR(__xludf.DUMMYFUNCTION("""COMPUTED_VALUE"""),0.0)</f>
        <v>0</v>
      </c>
      <c r="AS632" s="82"/>
      <c r="AT632" s="82">
        <f>IFERROR(__xludf.DUMMYFUNCTION("""COMPUTED_VALUE"""),0.0)</f>
        <v>0</v>
      </c>
      <c r="AU632" s="82"/>
      <c r="AV632" s="82"/>
      <c r="AW632" s="82" t="str">
        <f t="shared" si="1"/>
        <v/>
      </c>
      <c r="AX632" s="83" t="str">
        <f t="array" ref="AX632">IFERROR(DGET('SBV Import'!A:G,"SBV",{"RSC ID","Tier";B632,A632}))</f>
        <v/>
      </c>
      <c r="AY632" s="82" t="str">
        <f t="shared" si="2"/>
        <v/>
      </c>
      <c r="AZ632" s="82"/>
      <c r="BA632" s="84" t="s">
        <v>152</v>
      </c>
      <c r="BB632" s="84" t="str">
        <f>IFERROR(__xludf.DUMMYFUNCTION("iferror(if(A632="""",,E632&gt;=FILTER(Constants!$F$2:$F$10,Constants!$A$2:$A$10=A632)))"),"")</f>
        <v/>
      </c>
    </row>
    <row r="633">
      <c r="A633" s="80"/>
      <c r="B633" s="87"/>
      <c r="C633" s="73"/>
      <c r="D633" s="73"/>
      <c r="E633" s="82"/>
      <c r="F633" s="82"/>
      <c r="G633" s="82"/>
      <c r="H633" s="86"/>
      <c r="I633" s="86"/>
      <c r="J633" s="82"/>
      <c r="K633" s="82"/>
      <c r="L633" s="82"/>
      <c r="M633" s="82"/>
      <c r="N633" s="82"/>
      <c r="O633" s="82"/>
      <c r="P633" s="82"/>
      <c r="Q633" s="82"/>
      <c r="R633" s="82"/>
      <c r="S633" s="82"/>
      <c r="T633" s="82"/>
      <c r="U633" s="82"/>
      <c r="V633" s="82"/>
      <c r="W633" s="82"/>
      <c r="X633" s="82"/>
      <c r="Y633" s="82"/>
      <c r="Z633" s="82"/>
      <c r="AA633" s="82"/>
      <c r="AB633" s="82"/>
      <c r="AC633" s="82"/>
      <c r="AD633" s="82"/>
      <c r="AE633" s="82"/>
      <c r="AF633" s="82"/>
      <c r="AG633" s="82"/>
      <c r="AH633" s="82"/>
      <c r="AI633" s="82"/>
      <c r="AJ633" s="82"/>
      <c r="AK633" s="82"/>
      <c r="AL633" s="82"/>
      <c r="AM633" s="82"/>
      <c r="AN633" s="82">
        <f>IFERROR(__xludf.DUMMYFUNCTION("""COMPUTED_VALUE"""),0.0)</f>
        <v>0</v>
      </c>
      <c r="AO633" s="82">
        <f>IFERROR(__xludf.DUMMYFUNCTION("""COMPUTED_VALUE"""),0.0)</f>
        <v>0</v>
      </c>
      <c r="AP633" s="82">
        <f>IFERROR(__xludf.DUMMYFUNCTION("""COMPUTED_VALUE"""),0.0)</f>
        <v>0</v>
      </c>
      <c r="AQ633" s="82">
        <f>IFERROR(__xludf.DUMMYFUNCTION("""COMPUTED_VALUE"""),0.0)</f>
        <v>0</v>
      </c>
      <c r="AR633" s="82">
        <f>IFERROR(__xludf.DUMMYFUNCTION("""COMPUTED_VALUE"""),0.0)</f>
        <v>0</v>
      </c>
      <c r="AS633" s="82"/>
      <c r="AT633" s="82">
        <f>IFERROR(__xludf.DUMMYFUNCTION("""COMPUTED_VALUE"""),0.0)</f>
        <v>0</v>
      </c>
      <c r="AU633" s="82"/>
      <c r="AV633" s="82"/>
      <c r="AW633" s="82" t="str">
        <f t="shared" si="1"/>
        <v/>
      </c>
      <c r="AX633" s="83" t="str">
        <f t="array" ref="AX633">IFERROR(DGET('SBV Import'!A:G,"SBV",{"RSC ID","Tier";B633,A633}))</f>
        <v/>
      </c>
      <c r="AY633" s="82" t="str">
        <f t="shared" si="2"/>
        <v/>
      </c>
      <c r="AZ633" s="82"/>
      <c r="BA633" s="84" t="s">
        <v>152</v>
      </c>
      <c r="BB633" s="84" t="str">
        <f>IFERROR(__xludf.DUMMYFUNCTION("iferror(if(A633="""",,E633&gt;=FILTER(Constants!$F$2:$F$10,Constants!$A$2:$A$10=A633)))"),"")</f>
        <v/>
      </c>
    </row>
    <row r="634">
      <c r="A634" s="80"/>
      <c r="B634" s="87"/>
      <c r="C634" s="73"/>
      <c r="D634" s="73"/>
      <c r="E634" s="82"/>
      <c r="F634" s="82"/>
      <c r="G634" s="82"/>
      <c r="H634" s="86"/>
      <c r="I634" s="86"/>
      <c r="J634" s="82"/>
      <c r="K634" s="82"/>
      <c r="L634" s="82"/>
      <c r="M634" s="82"/>
      <c r="N634" s="82"/>
      <c r="O634" s="82"/>
      <c r="P634" s="82"/>
      <c r="Q634" s="82"/>
      <c r="R634" s="82"/>
      <c r="S634" s="82"/>
      <c r="T634" s="82"/>
      <c r="U634" s="82"/>
      <c r="V634" s="82"/>
      <c r="W634" s="82"/>
      <c r="X634" s="82"/>
      <c r="Y634" s="82"/>
      <c r="Z634" s="82"/>
      <c r="AA634" s="82"/>
      <c r="AB634" s="82"/>
      <c r="AC634" s="82"/>
      <c r="AD634" s="82"/>
      <c r="AE634" s="82"/>
      <c r="AF634" s="82"/>
      <c r="AG634" s="82"/>
      <c r="AH634" s="82"/>
      <c r="AI634" s="82"/>
      <c r="AJ634" s="82"/>
      <c r="AK634" s="82"/>
      <c r="AL634" s="82"/>
      <c r="AM634" s="82"/>
      <c r="AN634" s="82">
        <f>IFERROR(__xludf.DUMMYFUNCTION("""COMPUTED_VALUE"""),0.0)</f>
        <v>0</v>
      </c>
      <c r="AO634" s="82">
        <f>IFERROR(__xludf.DUMMYFUNCTION("""COMPUTED_VALUE"""),0.0)</f>
        <v>0</v>
      </c>
      <c r="AP634" s="82">
        <f>IFERROR(__xludf.DUMMYFUNCTION("""COMPUTED_VALUE"""),0.0)</f>
        <v>0</v>
      </c>
      <c r="AQ634" s="82">
        <f>IFERROR(__xludf.DUMMYFUNCTION("""COMPUTED_VALUE"""),0.0)</f>
        <v>0</v>
      </c>
      <c r="AR634" s="82">
        <f>IFERROR(__xludf.DUMMYFUNCTION("""COMPUTED_VALUE"""),0.0)</f>
        <v>0</v>
      </c>
      <c r="AS634" s="82"/>
      <c r="AT634" s="82">
        <f>IFERROR(__xludf.DUMMYFUNCTION("""COMPUTED_VALUE"""),0.0)</f>
        <v>0</v>
      </c>
      <c r="AU634" s="82"/>
      <c r="AV634" s="82"/>
      <c r="AW634" s="82" t="str">
        <f t="shared" si="1"/>
        <v/>
      </c>
      <c r="AX634" s="83" t="str">
        <f t="array" ref="AX634">IFERROR(DGET('SBV Import'!A:G,"SBV",{"RSC ID","Tier";B634,A634}))</f>
        <v/>
      </c>
      <c r="AY634" s="82" t="str">
        <f t="shared" si="2"/>
        <v/>
      </c>
      <c r="AZ634" s="82"/>
      <c r="BA634" s="84" t="s">
        <v>152</v>
      </c>
      <c r="BB634" s="84" t="str">
        <f>IFERROR(__xludf.DUMMYFUNCTION("iferror(if(A634="""",,E634&gt;=FILTER(Constants!$F$2:$F$10,Constants!$A$2:$A$10=A634)))"),"")</f>
        <v/>
      </c>
    </row>
    <row r="635">
      <c r="A635" s="85"/>
      <c r="B635" s="87"/>
      <c r="C635" s="73"/>
      <c r="D635" s="73"/>
      <c r="E635" s="82"/>
      <c r="F635" s="82"/>
      <c r="G635" s="82"/>
      <c r="H635" s="86"/>
      <c r="I635" s="86"/>
      <c r="J635" s="82"/>
      <c r="K635" s="82"/>
      <c r="L635" s="82"/>
      <c r="M635" s="82"/>
      <c r="N635" s="82"/>
      <c r="O635" s="82"/>
      <c r="P635" s="82"/>
      <c r="Q635" s="82"/>
      <c r="R635" s="82"/>
      <c r="S635" s="82"/>
      <c r="T635" s="82"/>
      <c r="U635" s="82"/>
      <c r="V635" s="82"/>
      <c r="W635" s="82"/>
      <c r="X635" s="82"/>
      <c r="Y635" s="82"/>
      <c r="Z635" s="82"/>
      <c r="AA635" s="82"/>
      <c r="AB635" s="82"/>
      <c r="AC635" s="82"/>
      <c r="AD635" s="82"/>
      <c r="AE635" s="82"/>
      <c r="AF635" s="82"/>
      <c r="AG635" s="82"/>
      <c r="AH635" s="82"/>
      <c r="AI635" s="82"/>
      <c r="AJ635" s="82"/>
      <c r="AK635" s="82"/>
      <c r="AL635" s="82"/>
      <c r="AM635" s="82"/>
      <c r="AN635" s="82">
        <f>IFERROR(__xludf.DUMMYFUNCTION("""COMPUTED_VALUE"""),0.0)</f>
        <v>0</v>
      </c>
      <c r="AO635" s="82">
        <f>IFERROR(__xludf.DUMMYFUNCTION("""COMPUTED_VALUE"""),0.0)</f>
        <v>0</v>
      </c>
      <c r="AP635" s="82">
        <f>IFERROR(__xludf.DUMMYFUNCTION("""COMPUTED_VALUE"""),0.0)</f>
        <v>0</v>
      </c>
      <c r="AQ635" s="82">
        <f>IFERROR(__xludf.DUMMYFUNCTION("""COMPUTED_VALUE"""),0.0)</f>
        <v>0</v>
      </c>
      <c r="AR635" s="82">
        <f>IFERROR(__xludf.DUMMYFUNCTION("""COMPUTED_VALUE"""),0.0)</f>
        <v>0</v>
      </c>
      <c r="AS635" s="82"/>
      <c r="AT635" s="82">
        <f>IFERROR(__xludf.DUMMYFUNCTION("""COMPUTED_VALUE"""),0.0)</f>
        <v>0</v>
      </c>
      <c r="AU635" s="82"/>
      <c r="AV635" s="82"/>
      <c r="AW635" s="82" t="str">
        <f t="shared" si="1"/>
        <v/>
      </c>
      <c r="AX635" s="83" t="str">
        <f t="array" ref="AX635">IFERROR(DGET('SBV Import'!A:G,"SBV",{"RSC ID","Tier";B635,A635}))</f>
        <v/>
      </c>
      <c r="AY635" s="82" t="str">
        <f t="shared" si="2"/>
        <v/>
      </c>
      <c r="AZ635" s="82"/>
      <c r="BA635" s="84" t="s">
        <v>152</v>
      </c>
      <c r="BB635" s="84" t="str">
        <f>IFERROR(__xludf.DUMMYFUNCTION("iferror(if(A635="""",,E635&gt;=FILTER(Constants!$F$2:$F$10,Constants!$A$2:$A$10=A635)))"),"")</f>
        <v/>
      </c>
    </row>
    <row r="636">
      <c r="A636" s="80"/>
      <c r="B636" s="87"/>
      <c r="C636" s="73"/>
      <c r="D636" s="73"/>
      <c r="E636" s="82"/>
      <c r="F636" s="82"/>
      <c r="G636" s="82"/>
      <c r="H636" s="86"/>
      <c r="I636" s="86"/>
      <c r="J636" s="82"/>
      <c r="K636" s="82"/>
      <c r="L636" s="82"/>
      <c r="M636" s="82"/>
      <c r="N636" s="82"/>
      <c r="O636" s="82"/>
      <c r="P636" s="82"/>
      <c r="Q636" s="82"/>
      <c r="R636" s="82"/>
      <c r="S636" s="82"/>
      <c r="T636" s="82"/>
      <c r="U636" s="82"/>
      <c r="V636" s="82"/>
      <c r="W636" s="82"/>
      <c r="X636" s="82"/>
      <c r="Y636" s="82"/>
      <c r="Z636" s="82"/>
      <c r="AA636" s="82"/>
      <c r="AB636" s="82"/>
      <c r="AC636" s="82"/>
      <c r="AD636" s="82"/>
      <c r="AE636" s="82"/>
      <c r="AF636" s="82"/>
      <c r="AG636" s="82"/>
      <c r="AH636" s="82"/>
      <c r="AI636" s="82"/>
      <c r="AJ636" s="82"/>
      <c r="AK636" s="82"/>
      <c r="AL636" s="82"/>
      <c r="AM636" s="82"/>
      <c r="AN636" s="82">
        <f>IFERROR(__xludf.DUMMYFUNCTION("""COMPUTED_VALUE"""),0.0)</f>
        <v>0</v>
      </c>
      <c r="AO636" s="82">
        <f>IFERROR(__xludf.DUMMYFUNCTION("""COMPUTED_VALUE"""),0.0)</f>
        <v>0</v>
      </c>
      <c r="AP636" s="82">
        <f>IFERROR(__xludf.DUMMYFUNCTION("""COMPUTED_VALUE"""),0.0)</f>
        <v>0</v>
      </c>
      <c r="AQ636" s="82">
        <f>IFERROR(__xludf.DUMMYFUNCTION("""COMPUTED_VALUE"""),0.0)</f>
        <v>0</v>
      </c>
      <c r="AR636" s="82">
        <f>IFERROR(__xludf.DUMMYFUNCTION("""COMPUTED_VALUE"""),0.0)</f>
        <v>0</v>
      </c>
      <c r="AS636" s="82"/>
      <c r="AT636" s="82">
        <f>IFERROR(__xludf.DUMMYFUNCTION("""COMPUTED_VALUE"""),0.0)</f>
        <v>0</v>
      </c>
      <c r="AU636" s="82"/>
      <c r="AV636" s="82"/>
      <c r="AW636" s="82" t="str">
        <f t="shared" si="1"/>
        <v/>
      </c>
      <c r="AX636" s="83" t="str">
        <f t="array" ref="AX636">IFERROR(DGET('SBV Import'!A:G,"SBV",{"RSC ID","Tier";B636,A636}))</f>
        <v/>
      </c>
      <c r="AY636" s="82" t="str">
        <f t="shared" si="2"/>
        <v/>
      </c>
      <c r="AZ636" s="82"/>
      <c r="BA636" s="84" t="s">
        <v>152</v>
      </c>
      <c r="BB636" s="84" t="str">
        <f>IFERROR(__xludf.DUMMYFUNCTION("iferror(if(A636="""",,E636&gt;=FILTER(Constants!$F$2:$F$10,Constants!$A$2:$A$10=A636)))"),"")</f>
        <v/>
      </c>
    </row>
    <row r="637">
      <c r="A637" s="80"/>
      <c r="B637" s="87"/>
      <c r="C637" s="73"/>
      <c r="D637" s="73"/>
      <c r="E637" s="82"/>
      <c r="F637" s="82"/>
      <c r="G637" s="82"/>
      <c r="H637" s="86"/>
      <c r="I637" s="86"/>
      <c r="J637" s="82"/>
      <c r="K637" s="82"/>
      <c r="L637" s="82"/>
      <c r="M637" s="82"/>
      <c r="N637" s="82"/>
      <c r="O637" s="82"/>
      <c r="P637" s="82"/>
      <c r="Q637" s="82"/>
      <c r="R637" s="82"/>
      <c r="S637" s="82"/>
      <c r="T637" s="82"/>
      <c r="U637" s="82"/>
      <c r="V637" s="82"/>
      <c r="W637" s="82"/>
      <c r="X637" s="82"/>
      <c r="Y637" s="82"/>
      <c r="Z637" s="82"/>
      <c r="AA637" s="82"/>
      <c r="AB637" s="82"/>
      <c r="AC637" s="82"/>
      <c r="AD637" s="82"/>
      <c r="AE637" s="82"/>
      <c r="AF637" s="82"/>
      <c r="AG637" s="82"/>
      <c r="AH637" s="82"/>
      <c r="AI637" s="82"/>
      <c r="AJ637" s="82"/>
      <c r="AK637" s="82"/>
      <c r="AL637" s="82"/>
      <c r="AM637" s="82"/>
      <c r="AN637" s="82">
        <f>IFERROR(__xludf.DUMMYFUNCTION("""COMPUTED_VALUE"""),0.0)</f>
        <v>0</v>
      </c>
      <c r="AO637" s="82">
        <f>IFERROR(__xludf.DUMMYFUNCTION("""COMPUTED_VALUE"""),0.0)</f>
        <v>0</v>
      </c>
      <c r="AP637" s="82">
        <f>IFERROR(__xludf.DUMMYFUNCTION("""COMPUTED_VALUE"""),0.0)</f>
        <v>0</v>
      </c>
      <c r="AQ637" s="82">
        <f>IFERROR(__xludf.DUMMYFUNCTION("""COMPUTED_VALUE"""),0.0)</f>
        <v>0</v>
      </c>
      <c r="AR637" s="82">
        <f>IFERROR(__xludf.DUMMYFUNCTION("""COMPUTED_VALUE"""),0.0)</f>
        <v>0</v>
      </c>
      <c r="AS637" s="82"/>
      <c r="AT637" s="82">
        <f>IFERROR(__xludf.DUMMYFUNCTION("""COMPUTED_VALUE"""),0.0)</f>
        <v>0</v>
      </c>
      <c r="AU637" s="82"/>
      <c r="AV637" s="82"/>
      <c r="AW637" s="82" t="str">
        <f t="shared" si="1"/>
        <v/>
      </c>
      <c r="AX637" s="83" t="str">
        <f t="array" ref="AX637">IFERROR(DGET('SBV Import'!A:G,"SBV",{"RSC ID","Tier";B637,A637}))</f>
        <v/>
      </c>
      <c r="AY637" s="82" t="str">
        <f t="shared" si="2"/>
        <v/>
      </c>
      <c r="AZ637" s="82"/>
      <c r="BA637" s="84" t="s">
        <v>152</v>
      </c>
      <c r="BB637" s="84" t="str">
        <f>IFERROR(__xludf.DUMMYFUNCTION("iferror(if(A637="""",,E637&gt;=FILTER(Constants!$F$2:$F$10,Constants!$A$2:$A$10=A637)))"),"")</f>
        <v/>
      </c>
    </row>
    <row r="638">
      <c r="A638" s="80"/>
      <c r="B638" s="87"/>
      <c r="C638" s="73"/>
      <c r="D638" s="73"/>
      <c r="E638" s="82"/>
      <c r="F638" s="82"/>
      <c r="G638" s="82"/>
      <c r="H638" s="86"/>
      <c r="I638" s="86"/>
      <c r="J638" s="82"/>
      <c r="K638" s="82"/>
      <c r="L638" s="82"/>
      <c r="M638" s="82"/>
      <c r="N638" s="82"/>
      <c r="O638" s="82"/>
      <c r="P638" s="82"/>
      <c r="Q638" s="82"/>
      <c r="R638" s="82"/>
      <c r="S638" s="82"/>
      <c r="T638" s="82"/>
      <c r="U638" s="82"/>
      <c r="V638" s="82"/>
      <c r="W638" s="82"/>
      <c r="X638" s="82"/>
      <c r="Y638" s="82"/>
      <c r="Z638" s="82"/>
      <c r="AA638" s="82"/>
      <c r="AB638" s="82"/>
      <c r="AC638" s="82"/>
      <c r="AD638" s="82"/>
      <c r="AE638" s="82"/>
      <c r="AF638" s="82"/>
      <c r="AG638" s="82"/>
      <c r="AH638" s="82"/>
      <c r="AI638" s="82"/>
      <c r="AJ638" s="82"/>
      <c r="AK638" s="82"/>
      <c r="AL638" s="82"/>
      <c r="AM638" s="82"/>
      <c r="AN638" s="82">
        <f>IFERROR(__xludf.DUMMYFUNCTION("""COMPUTED_VALUE"""),0.0)</f>
        <v>0</v>
      </c>
      <c r="AO638" s="82">
        <f>IFERROR(__xludf.DUMMYFUNCTION("""COMPUTED_VALUE"""),0.0)</f>
        <v>0</v>
      </c>
      <c r="AP638" s="82">
        <f>IFERROR(__xludf.DUMMYFUNCTION("""COMPUTED_VALUE"""),0.0)</f>
        <v>0</v>
      </c>
      <c r="AQ638" s="82">
        <f>IFERROR(__xludf.DUMMYFUNCTION("""COMPUTED_VALUE"""),0.0)</f>
        <v>0</v>
      </c>
      <c r="AR638" s="82">
        <f>IFERROR(__xludf.DUMMYFUNCTION("""COMPUTED_VALUE"""),0.0)</f>
        <v>0</v>
      </c>
      <c r="AS638" s="82"/>
      <c r="AT638" s="82">
        <f>IFERROR(__xludf.DUMMYFUNCTION("""COMPUTED_VALUE"""),0.0)</f>
        <v>0</v>
      </c>
      <c r="AU638" s="82"/>
      <c r="AV638" s="82"/>
      <c r="AW638" s="82" t="str">
        <f t="shared" si="1"/>
        <v/>
      </c>
      <c r="AX638" s="83" t="str">
        <f t="array" ref="AX638">IFERROR(DGET('SBV Import'!A:G,"SBV",{"RSC ID","Tier";B638,A638}))</f>
        <v/>
      </c>
      <c r="AY638" s="82" t="str">
        <f t="shared" si="2"/>
        <v/>
      </c>
      <c r="AZ638" s="82"/>
      <c r="BA638" s="84" t="s">
        <v>152</v>
      </c>
      <c r="BB638" s="84" t="str">
        <f>IFERROR(__xludf.DUMMYFUNCTION("iferror(if(A638="""",,E638&gt;=FILTER(Constants!$F$2:$F$10,Constants!$A$2:$A$10=A638)))"),"")</f>
        <v/>
      </c>
    </row>
    <row r="639">
      <c r="A639" s="80"/>
      <c r="B639" s="87"/>
      <c r="C639" s="73"/>
      <c r="D639" s="73"/>
      <c r="E639" s="82"/>
      <c r="F639" s="82"/>
      <c r="G639" s="82"/>
      <c r="H639" s="86"/>
      <c r="I639" s="86"/>
      <c r="J639" s="82"/>
      <c r="K639" s="82"/>
      <c r="L639" s="82"/>
      <c r="M639" s="82"/>
      <c r="N639" s="82"/>
      <c r="O639" s="82"/>
      <c r="P639" s="82"/>
      <c r="Q639" s="82"/>
      <c r="R639" s="82"/>
      <c r="S639" s="82"/>
      <c r="T639" s="82"/>
      <c r="U639" s="82"/>
      <c r="V639" s="82"/>
      <c r="W639" s="82"/>
      <c r="X639" s="82"/>
      <c r="Y639" s="82"/>
      <c r="Z639" s="82"/>
      <c r="AA639" s="82"/>
      <c r="AB639" s="82"/>
      <c r="AC639" s="82"/>
      <c r="AD639" s="82"/>
      <c r="AE639" s="82"/>
      <c r="AF639" s="82"/>
      <c r="AG639" s="82"/>
      <c r="AH639" s="82"/>
      <c r="AI639" s="82"/>
      <c r="AJ639" s="82"/>
      <c r="AK639" s="82"/>
      <c r="AL639" s="82"/>
      <c r="AM639" s="82"/>
      <c r="AN639" s="82">
        <f>IFERROR(__xludf.DUMMYFUNCTION("""COMPUTED_VALUE"""),0.0)</f>
        <v>0</v>
      </c>
      <c r="AO639" s="82">
        <f>IFERROR(__xludf.DUMMYFUNCTION("""COMPUTED_VALUE"""),0.0)</f>
        <v>0</v>
      </c>
      <c r="AP639" s="82">
        <f>IFERROR(__xludf.DUMMYFUNCTION("""COMPUTED_VALUE"""),0.0)</f>
        <v>0</v>
      </c>
      <c r="AQ639" s="82">
        <f>IFERROR(__xludf.DUMMYFUNCTION("""COMPUTED_VALUE"""),0.0)</f>
        <v>0</v>
      </c>
      <c r="AR639" s="82">
        <f>IFERROR(__xludf.DUMMYFUNCTION("""COMPUTED_VALUE"""),0.0)</f>
        <v>0</v>
      </c>
      <c r="AS639" s="82"/>
      <c r="AT639" s="82">
        <f>IFERROR(__xludf.DUMMYFUNCTION("""COMPUTED_VALUE"""),0.0)</f>
        <v>0</v>
      </c>
      <c r="AU639" s="82"/>
      <c r="AV639" s="82"/>
      <c r="AW639" s="82" t="str">
        <f t="shared" si="1"/>
        <v/>
      </c>
      <c r="AX639" s="83" t="str">
        <f t="array" ref="AX639">IFERROR(DGET('SBV Import'!A:G,"SBV",{"RSC ID","Tier";B639,A639}))</f>
        <v/>
      </c>
      <c r="AY639" s="82" t="str">
        <f t="shared" si="2"/>
        <v/>
      </c>
      <c r="AZ639" s="82"/>
      <c r="BA639" s="84" t="s">
        <v>152</v>
      </c>
      <c r="BB639" s="84" t="str">
        <f>IFERROR(__xludf.DUMMYFUNCTION("iferror(if(A639="""",,E639&gt;=FILTER(Constants!$F$2:$F$10,Constants!$A$2:$A$10=A639)))"),"")</f>
        <v/>
      </c>
    </row>
    <row r="640">
      <c r="A640" s="80"/>
      <c r="B640" s="87"/>
      <c r="C640" s="73"/>
      <c r="D640" s="73"/>
      <c r="E640" s="82"/>
      <c r="F640" s="82"/>
      <c r="G640" s="82"/>
      <c r="H640" s="86"/>
      <c r="I640" s="86"/>
      <c r="J640" s="82"/>
      <c r="K640" s="82"/>
      <c r="L640" s="82"/>
      <c r="M640" s="82"/>
      <c r="N640" s="82"/>
      <c r="O640" s="82"/>
      <c r="P640" s="82"/>
      <c r="Q640" s="82"/>
      <c r="R640" s="82"/>
      <c r="S640" s="82"/>
      <c r="T640" s="82"/>
      <c r="U640" s="82"/>
      <c r="V640" s="82"/>
      <c r="W640" s="82"/>
      <c r="X640" s="82"/>
      <c r="Y640" s="82"/>
      <c r="Z640" s="82"/>
      <c r="AA640" s="82"/>
      <c r="AB640" s="82"/>
      <c r="AC640" s="82"/>
      <c r="AD640" s="82"/>
      <c r="AE640" s="82"/>
      <c r="AF640" s="82"/>
      <c r="AG640" s="82"/>
      <c r="AH640" s="82"/>
      <c r="AI640" s="82"/>
      <c r="AJ640" s="82"/>
      <c r="AK640" s="82"/>
      <c r="AL640" s="82"/>
      <c r="AM640" s="82"/>
      <c r="AN640" s="82">
        <f>IFERROR(__xludf.DUMMYFUNCTION("""COMPUTED_VALUE"""),0.0)</f>
        <v>0</v>
      </c>
      <c r="AO640" s="82">
        <f>IFERROR(__xludf.DUMMYFUNCTION("""COMPUTED_VALUE"""),0.0)</f>
        <v>0</v>
      </c>
      <c r="AP640" s="82">
        <f>IFERROR(__xludf.DUMMYFUNCTION("""COMPUTED_VALUE"""),0.0)</f>
        <v>0</v>
      </c>
      <c r="AQ640" s="82">
        <f>IFERROR(__xludf.DUMMYFUNCTION("""COMPUTED_VALUE"""),0.0)</f>
        <v>0</v>
      </c>
      <c r="AR640" s="82">
        <f>IFERROR(__xludf.DUMMYFUNCTION("""COMPUTED_VALUE"""),0.0)</f>
        <v>0</v>
      </c>
      <c r="AS640" s="82"/>
      <c r="AT640" s="82">
        <f>IFERROR(__xludf.DUMMYFUNCTION("""COMPUTED_VALUE"""),0.0)</f>
        <v>0</v>
      </c>
      <c r="AU640" s="82"/>
      <c r="AV640" s="82"/>
      <c r="AW640" s="82" t="str">
        <f t="shared" si="1"/>
        <v/>
      </c>
      <c r="AX640" s="83" t="str">
        <f t="array" ref="AX640">IFERROR(DGET('SBV Import'!A:G,"SBV",{"RSC ID","Tier";B640,A640}))</f>
        <v/>
      </c>
      <c r="AY640" s="82" t="str">
        <f t="shared" si="2"/>
        <v/>
      </c>
      <c r="AZ640" s="82"/>
      <c r="BA640" s="84" t="s">
        <v>152</v>
      </c>
      <c r="BB640" s="84" t="str">
        <f>IFERROR(__xludf.DUMMYFUNCTION("iferror(if(A640="""",,E640&gt;=FILTER(Constants!$F$2:$F$10,Constants!$A$2:$A$10=A640)))"),"")</f>
        <v/>
      </c>
    </row>
    <row r="641">
      <c r="A641" s="80"/>
      <c r="B641" s="87"/>
      <c r="C641" s="73"/>
      <c r="D641" s="73"/>
      <c r="E641" s="82"/>
      <c r="F641" s="82"/>
      <c r="G641" s="82"/>
      <c r="H641" s="86"/>
      <c r="I641" s="86"/>
      <c r="J641" s="82"/>
      <c r="K641" s="82"/>
      <c r="L641" s="82"/>
      <c r="M641" s="82"/>
      <c r="N641" s="82"/>
      <c r="O641" s="82"/>
      <c r="P641" s="82"/>
      <c r="Q641" s="82"/>
      <c r="R641" s="82"/>
      <c r="S641" s="82"/>
      <c r="T641" s="82"/>
      <c r="U641" s="82"/>
      <c r="V641" s="82"/>
      <c r="W641" s="82"/>
      <c r="X641" s="82"/>
      <c r="Y641" s="82"/>
      <c r="Z641" s="82"/>
      <c r="AA641" s="82"/>
      <c r="AB641" s="82"/>
      <c r="AC641" s="82"/>
      <c r="AD641" s="82"/>
      <c r="AE641" s="82"/>
      <c r="AF641" s="82"/>
      <c r="AG641" s="82"/>
      <c r="AH641" s="82"/>
      <c r="AI641" s="82"/>
      <c r="AJ641" s="82"/>
      <c r="AK641" s="82"/>
      <c r="AL641" s="82"/>
      <c r="AM641" s="82"/>
      <c r="AN641" s="82">
        <f>IFERROR(__xludf.DUMMYFUNCTION("""COMPUTED_VALUE"""),0.0)</f>
        <v>0</v>
      </c>
      <c r="AO641" s="82">
        <f>IFERROR(__xludf.DUMMYFUNCTION("""COMPUTED_VALUE"""),0.0)</f>
        <v>0</v>
      </c>
      <c r="AP641" s="82">
        <f>IFERROR(__xludf.DUMMYFUNCTION("""COMPUTED_VALUE"""),0.0)</f>
        <v>0</v>
      </c>
      <c r="AQ641" s="82">
        <f>IFERROR(__xludf.DUMMYFUNCTION("""COMPUTED_VALUE"""),0.0)</f>
        <v>0</v>
      </c>
      <c r="AR641" s="82">
        <f>IFERROR(__xludf.DUMMYFUNCTION("""COMPUTED_VALUE"""),0.0)</f>
        <v>0</v>
      </c>
      <c r="AS641" s="82"/>
      <c r="AT641" s="82">
        <f>IFERROR(__xludf.DUMMYFUNCTION("""COMPUTED_VALUE"""),0.0)</f>
        <v>0</v>
      </c>
      <c r="AU641" s="82"/>
      <c r="AV641" s="82"/>
      <c r="AW641" s="82" t="str">
        <f t="shared" si="1"/>
        <v/>
      </c>
      <c r="AX641" s="83" t="str">
        <f t="array" ref="AX641">IFERROR(DGET('SBV Import'!A:G,"SBV",{"RSC ID","Tier";B641,A641}))</f>
        <v/>
      </c>
      <c r="AY641" s="82" t="str">
        <f t="shared" si="2"/>
        <v/>
      </c>
      <c r="AZ641" s="82"/>
      <c r="BA641" s="84" t="s">
        <v>152</v>
      </c>
      <c r="BB641" s="84" t="str">
        <f>IFERROR(__xludf.DUMMYFUNCTION("iferror(if(A641="""",,E641&gt;=FILTER(Constants!$F$2:$F$10,Constants!$A$2:$A$10=A641)))"),"")</f>
        <v/>
      </c>
    </row>
    <row r="642">
      <c r="A642" s="80"/>
      <c r="B642" s="87"/>
      <c r="C642" s="73"/>
      <c r="D642" s="73"/>
      <c r="E642" s="82"/>
      <c r="F642" s="82"/>
      <c r="G642" s="82"/>
      <c r="H642" s="86"/>
      <c r="I642" s="86"/>
      <c r="J642" s="82"/>
      <c r="K642" s="82"/>
      <c r="L642" s="82"/>
      <c r="M642" s="82"/>
      <c r="N642" s="82"/>
      <c r="O642" s="82"/>
      <c r="P642" s="82"/>
      <c r="Q642" s="82"/>
      <c r="R642" s="82"/>
      <c r="S642" s="82"/>
      <c r="T642" s="82"/>
      <c r="U642" s="82"/>
      <c r="V642" s="82"/>
      <c r="W642" s="82"/>
      <c r="X642" s="82"/>
      <c r="Y642" s="82"/>
      <c r="Z642" s="82"/>
      <c r="AA642" s="82"/>
      <c r="AB642" s="82"/>
      <c r="AC642" s="82"/>
      <c r="AD642" s="82"/>
      <c r="AE642" s="82"/>
      <c r="AF642" s="82"/>
      <c r="AG642" s="82"/>
      <c r="AH642" s="82"/>
      <c r="AI642" s="82"/>
      <c r="AJ642" s="82"/>
      <c r="AK642" s="82"/>
      <c r="AL642" s="82"/>
      <c r="AM642" s="82"/>
      <c r="AN642" s="82">
        <f>IFERROR(__xludf.DUMMYFUNCTION("""COMPUTED_VALUE"""),0.0)</f>
        <v>0</v>
      </c>
      <c r="AO642" s="82">
        <f>IFERROR(__xludf.DUMMYFUNCTION("""COMPUTED_VALUE"""),0.0)</f>
        <v>0</v>
      </c>
      <c r="AP642" s="82">
        <f>IFERROR(__xludf.DUMMYFUNCTION("""COMPUTED_VALUE"""),0.0)</f>
        <v>0</v>
      </c>
      <c r="AQ642" s="82">
        <f>IFERROR(__xludf.DUMMYFUNCTION("""COMPUTED_VALUE"""),0.0)</f>
        <v>0</v>
      </c>
      <c r="AR642" s="82">
        <f>IFERROR(__xludf.DUMMYFUNCTION("""COMPUTED_VALUE"""),0.0)</f>
        <v>0</v>
      </c>
      <c r="AS642" s="82"/>
      <c r="AT642" s="82">
        <f>IFERROR(__xludf.DUMMYFUNCTION("""COMPUTED_VALUE"""),0.0)</f>
        <v>0</v>
      </c>
      <c r="AU642" s="82"/>
      <c r="AV642" s="82"/>
      <c r="AW642" s="82" t="str">
        <f t="shared" si="1"/>
        <v/>
      </c>
      <c r="AX642" s="83" t="str">
        <f t="array" ref="AX642">IFERROR(DGET('SBV Import'!A:G,"SBV",{"RSC ID","Tier";B642,A642}))</f>
        <v/>
      </c>
      <c r="AY642" s="82" t="str">
        <f t="shared" si="2"/>
        <v/>
      </c>
      <c r="AZ642" s="82"/>
      <c r="BA642" s="84" t="s">
        <v>152</v>
      </c>
      <c r="BB642" s="84" t="str">
        <f>IFERROR(__xludf.DUMMYFUNCTION("iferror(if(A642="""",,E642&gt;=FILTER(Constants!$F$2:$F$10,Constants!$A$2:$A$10=A642)))"),"")</f>
        <v/>
      </c>
    </row>
    <row r="643">
      <c r="A643" s="80"/>
      <c r="B643" s="87"/>
      <c r="C643" s="73"/>
      <c r="D643" s="73"/>
      <c r="E643" s="82"/>
      <c r="F643" s="82"/>
      <c r="G643" s="82"/>
      <c r="H643" s="86"/>
      <c r="I643" s="86"/>
      <c r="J643" s="82"/>
      <c r="K643" s="82"/>
      <c r="L643" s="82"/>
      <c r="M643" s="82"/>
      <c r="N643" s="82"/>
      <c r="O643" s="82"/>
      <c r="P643" s="82"/>
      <c r="Q643" s="82"/>
      <c r="R643" s="82"/>
      <c r="S643" s="82"/>
      <c r="T643" s="82"/>
      <c r="U643" s="82"/>
      <c r="V643" s="82"/>
      <c r="W643" s="82"/>
      <c r="X643" s="82"/>
      <c r="Y643" s="82"/>
      <c r="Z643" s="82"/>
      <c r="AA643" s="82"/>
      <c r="AB643" s="82"/>
      <c r="AC643" s="82"/>
      <c r="AD643" s="82"/>
      <c r="AE643" s="82"/>
      <c r="AF643" s="82"/>
      <c r="AG643" s="82"/>
      <c r="AH643" s="82"/>
      <c r="AI643" s="82"/>
      <c r="AJ643" s="82"/>
      <c r="AK643" s="82"/>
      <c r="AL643" s="82"/>
      <c r="AM643" s="82"/>
      <c r="AN643" s="82">
        <f>IFERROR(__xludf.DUMMYFUNCTION("""COMPUTED_VALUE"""),0.0)</f>
        <v>0</v>
      </c>
      <c r="AO643" s="82">
        <f>IFERROR(__xludf.DUMMYFUNCTION("""COMPUTED_VALUE"""),0.0)</f>
        <v>0</v>
      </c>
      <c r="AP643" s="82">
        <f>IFERROR(__xludf.DUMMYFUNCTION("""COMPUTED_VALUE"""),0.0)</f>
        <v>0</v>
      </c>
      <c r="AQ643" s="82">
        <f>IFERROR(__xludf.DUMMYFUNCTION("""COMPUTED_VALUE"""),0.0)</f>
        <v>0</v>
      </c>
      <c r="AR643" s="82">
        <f>IFERROR(__xludf.DUMMYFUNCTION("""COMPUTED_VALUE"""),0.0)</f>
        <v>0</v>
      </c>
      <c r="AS643" s="82"/>
      <c r="AT643" s="82">
        <f>IFERROR(__xludf.DUMMYFUNCTION("""COMPUTED_VALUE"""),0.0)</f>
        <v>0</v>
      </c>
      <c r="AU643" s="82"/>
      <c r="AV643" s="82"/>
      <c r="AW643" s="82" t="str">
        <f t="shared" si="1"/>
        <v/>
      </c>
      <c r="AX643" s="83" t="str">
        <f t="array" ref="AX643">IFERROR(DGET('SBV Import'!A:G,"SBV",{"RSC ID","Tier";B643,A643}))</f>
        <v/>
      </c>
      <c r="AY643" s="82" t="str">
        <f t="shared" si="2"/>
        <v/>
      </c>
      <c r="AZ643" s="82"/>
      <c r="BA643" s="84" t="s">
        <v>152</v>
      </c>
      <c r="BB643" s="84" t="str">
        <f>IFERROR(__xludf.DUMMYFUNCTION("iferror(if(A643="""",,E643&gt;=FILTER(Constants!$F$2:$F$10,Constants!$A$2:$A$10=A643)))"),"")</f>
        <v/>
      </c>
    </row>
    <row r="644">
      <c r="A644" s="80"/>
      <c r="B644" s="87"/>
      <c r="C644" s="73"/>
      <c r="D644" s="73"/>
      <c r="E644" s="82"/>
      <c r="F644" s="82"/>
      <c r="G644" s="82"/>
      <c r="H644" s="86"/>
      <c r="I644" s="86"/>
      <c r="J644" s="82"/>
      <c r="K644" s="82"/>
      <c r="L644" s="82"/>
      <c r="M644" s="82"/>
      <c r="N644" s="82"/>
      <c r="O644" s="82"/>
      <c r="P644" s="82"/>
      <c r="Q644" s="82"/>
      <c r="R644" s="82"/>
      <c r="S644" s="82"/>
      <c r="T644" s="82"/>
      <c r="U644" s="82"/>
      <c r="V644" s="82"/>
      <c r="W644" s="82"/>
      <c r="X644" s="82"/>
      <c r="Y644" s="82"/>
      <c r="Z644" s="82"/>
      <c r="AA644" s="82"/>
      <c r="AB644" s="82"/>
      <c r="AC644" s="82"/>
      <c r="AD644" s="82"/>
      <c r="AE644" s="82"/>
      <c r="AF644" s="82"/>
      <c r="AG644" s="82"/>
      <c r="AH644" s="82"/>
      <c r="AI644" s="82"/>
      <c r="AJ644" s="82"/>
      <c r="AK644" s="82"/>
      <c r="AL644" s="82"/>
      <c r="AM644" s="82"/>
      <c r="AN644" s="82">
        <f>IFERROR(__xludf.DUMMYFUNCTION("""COMPUTED_VALUE"""),0.0)</f>
        <v>0</v>
      </c>
      <c r="AO644" s="82">
        <f>IFERROR(__xludf.DUMMYFUNCTION("""COMPUTED_VALUE"""),0.0)</f>
        <v>0</v>
      </c>
      <c r="AP644" s="82">
        <f>IFERROR(__xludf.DUMMYFUNCTION("""COMPUTED_VALUE"""),0.0)</f>
        <v>0</v>
      </c>
      <c r="AQ644" s="82">
        <f>IFERROR(__xludf.DUMMYFUNCTION("""COMPUTED_VALUE"""),0.0)</f>
        <v>0</v>
      </c>
      <c r="AR644" s="82">
        <f>IFERROR(__xludf.DUMMYFUNCTION("""COMPUTED_VALUE"""),0.0)</f>
        <v>0</v>
      </c>
      <c r="AS644" s="82"/>
      <c r="AT644" s="82">
        <f>IFERROR(__xludf.DUMMYFUNCTION("""COMPUTED_VALUE"""),0.0)</f>
        <v>0</v>
      </c>
      <c r="AU644" s="82"/>
      <c r="AV644" s="82"/>
      <c r="AW644" s="82" t="str">
        <f t="shared" si="1"/>
        <v/>
      </c>
      <c r="AX644" s="83" t="str">
        <f t="array" ref="AX644">IFERROR(DGET('SBV Import'!A:G,"SBV",{"RSC ID","Tier";B644,A644}))</f>
        <v/>
      </c>
      <c r="AY644" s="82" t="str">
        <f t="shared" si="2"/>
        <v/>
      </c>
      <c r="AZ644" s="82"/>
      <c r="BA644" s="84" t="s">
        <v>152</v>
      </c>
      <c r="BB644" s="84" t="str">
        <f>IFERROR(__xludf.DUMMYFUNCTION("iferror(if(A644="""",,E644&gt;=FILTER(Constants!$F$2:$F$10,Constants!$A$2:$A$10=A644)))"),"")</f>
        <v/>
      </c>
    </row>
    <row r="645">
      <c r="A645" s="80"/>
      <c r="B645" s="87"/>
      <c r="C645" s="73"/>
      <c r="D645" s="73"/>
      <c r="E645" s="82"/>
      <c r="F645" s="82"/>
      <c r="G645" s="82"/>
      <c r="H645" s="86"/>
      <c r="I645" s="86"/>
      <c r="J645" s="82"/>
      <c r="K645" s="82"/>
      <c r="L645" s="82"/>
      <c r="M645" s="82"/>
      <c r="N645" s="82"/>
      <c r="O645" s="82"/>
      <c r="P645" s="82"/>
      <c r="Q645" s="82"/>
      <c r="R645" s="82"/>
      <c r="S645" s="82"/>
      <c r="T645" s="82"/>
      <c r="U645" s="82"/>
      <c r="V645" s="82"/>
      <c r="W645" s="82"/>
      <c r="X645" s="82"/>
      <c r="Y645" s="82"/>
      <c r="Z645" s="82"/>
      <c r="AA645" s="82"/>
      <c r="AB645" s="82"/>
      <c r="AC645" s="82"/>
      <c r="AD645" s="82"/>
      <c r="AE645" s="82"/>
      <c r="AF645" s="82"/>
      <c r="AG645" s="82"/>
      <c r="AH645" s="82"/>
      <c r="AI645" s="82"/>
      <c r="AJ645" s="82"/>
      <c r="AK645" s="82"/>
      <c r="AL645" s="82"/>
      <c r="AM645" s="82"/>
      <c r="AN645" s="82">
        <f>IFERROR(__xludf.DUMMYFUNCTION("""COMPUTED_VALUE"""),0.0)</f>
        <v>0</v>
      </c>
      <c r="AO645" s="82">
        <f>IFERROR(__xludf.DUMMYFUNCTION("""COMPUTED_VALUE"""),0.0)</f>
        <v>0</v>
      </c>
      <c r="AP645" s="82">
        <f>IFERROR(__xludf.DUMMYFUNCTION("""COMPUTED_VALUE"""),0.0)</f>
        <v>0</v>
      </c>
      <c r="AQ645" s="82">
        <f>IFERROR(__xludf.DUMMYFUNCTION("""COMPUTED_VALUE"""),0.0)</f>
        <v>0</v>
      </c>
      <c r="AR645" s="82">
        <f>IFERROR(__xludf.DUMMYFUNCTION("""COMPUTED_VALUE"""),0.0)</f>
        <v>0</v>
      </c>
      <c r="AS645" s="82"/>
      <c r="AT645" s="82">
        <f>IFERROR(__xludf.DUMMYFUNCTION("""COMPUTED_VALUE"""),0.0)</f>
        <v>0</v>
      </c>
      <c r="AU645" s="82"/>
      <c r="AV645" s="82"/>
      <c r="AW645" s="82" t="str">
        <f t="shared" si="1"/>
        <v/>
      </c>
      <c r="AX645" s="83" t="str">
        <f t="array" ref="AX645">IFERROR(DGET('SBV Import'!A:G,"SBV",{"RSC ID","Tier";B645,A645}))</f>
        <v/>
      </c>
      <c r="AY645" s="82" t="str">
        <f t="shared" si="2"/>
        <v/>
      </c>
      <c r="AZ645" s="82"/>
      <c r="BA645" s="84" t="s">
        <v>152</v>
      </c>
      <c r="BB645" s="84" t="str">
        <f>IFERROR(__xludf.DUMMYFUNCTION("iferror(if(A645="""",,E645&gt;=FILTER(Constants!$F$2:$F$10,Constants!$A$2:$A$10=A645)))"),"")</f>
        <v/>
      </c>
    </row>
    <row r="646">
      <c r="A646" s="80"/>
      <c r="B646" s="87"/>
      <c r="C646" s="73"/>
      <c r="D646" s="73"/>
      <c r="E646" s="82"/>
      <c r="F646" s="82"/>
      <c r="G646" s="82"/>
      <c r="H646" s="86"/>
      <c r="I646" s="86"/>
      <c r="J646" s="82"/>
      <c r="K646" s="82"/>
      <c r="L646" s="82"/>
      <c r="M646" s="82"/>
      <c r="N646" s="82"/>
      <c r="O646" s="82"/>
      <c r="P646" s="82"/>
      <c r="Q646" s="82"/>
      <c r="R646" s="82"/>
      <c r="S646" s="82"/>
      <c r="T646" s="82"/>
      <c r="U646" s="82"/>
      <c r="V646" s="82"/>
      <c r="W646" s="82"/>
      <c r="X646" s="82"/>
      <c r="Y646" s="82"/>
      <c r="Z646" s="82"/>
      <c r="AA646" s="82"/>
      <c r="AB646" s="82"/>
      <c r="AC646" s="82"/>
      <c r="AD646" s="82"/>
      <c r="AE646" s="82"/>
      <c r="AF646" s="82"/>
      <c r="AG646" s="82"/>
      <c r="AH646" s="82"/>
      <c r="AI646" s="82"/>
      <c r="AJ646" s="82"/>
      <c r="AK646" s="82"/>
      <c r="AL646" s="82"/>
      <c r="AM646" s="82"/>
      <c r="AN646" s="82">
        <f>IFERROR(__xludf.DUMMYFUNCTION("""COMPUTED_VALUE"""),0.0)</f>
        <v>0</v>
      </c>
      <c r="AO646" s="82">
        <f>IFERROR(__xludf.DUMMYFUNCTION("""COMPUTED_VALUE"""),0.0)</f>
        <v>0</v>
      </c>
      <c r="AP646" s="82">
        <f>IFERROR(__xludf.DUMMYFUNCTION("""COMPUTED_VALUE"""),0.0)</f>
        <v>0</v>
      </c>
      <c r="AQ646" s="82">
        <f>IFERROR(__xludf.DUMMYFUNCTION("""COMPUTED_VALUE"""),0.0)</f>
        <v>0</v>
      </c>
      <c r="AR646" s="82">
        <f>IFERROR(__xludf.DUMMYFUNCTION("""COMPUTED_VALUE"""),0.0)</f>
        <v>0</v>
      </c>
      <c r="AS646" s="82"/>
      <c r="AT646" s="82">
        <f>IFERROR(__xludf.DUMMYFUNCTION("""COMPUTED_VALUE"""),0.0)</f>
        <v>0</v>
      </c>
      <c r="AU646" s="82"/>
      <c r="AV646" s="82"/>
      <c r="AW646" s="82" t="str">
        <f t="shared" si="1"/>
        <v/>
      </c>
      <c r="AX646" s="83" t="str">
        <f t="array" ref="AX646">IFERROR(DGET('SBV Import'!A:G,"SBV",{"RSC ID","Tier";B646,A646}))</f>
        <v/>
      </c>
      <c r="AY646" s="82" t="str">
        <f t="shared" si="2"/>
        <v/>
      </c>
      <c r="AZ646" s="82"/>
      <c r="BA646" s="84" t="s">
        <v>152</v>
      </c>
      <c r="BB646" s="84" t="str">
        <f>IFERROR(__xludf.DUMMYFUNCTION("iferror(if(A646="""",,E646&gt;=FILTER(Constants!$F$2:$F$10,Constants!$A$2:$A$10=A646)))"),"")</f>
        <v/>
      </c>
    </row>
    <row r="647">
      <c r="A647" s="80"/>
      <c r="B647" s="87"/>
      <c r="C647" s="73"/>
      <c r="D647" s="73"/>
      <c r="E647" s="82"/>
      <c r="F647" s="82"/>
      <c r="G647" s="82"/>
      <c r="H647" s="86"/>
      <c r="I647" s="86"/>
      <c r="J647" s="82"/>
      <c r="K647" s="82"/>
      <c r="L647" s="82"/>
      <c r="M647" s="82"/>
      <c r="N647" s="82"/>
      <c r="O647" s="82"/>
      <c r="P647" s="82"/>
      <c r="Q647" s="82"/>
      <c r="R647" s="82"/>
      <c r="S647" s="82"/>
      <c r="T647" s="82"/>
      <c r="U647" s="82"/>
      <c r="V647" s="82"/>
      <c r="W647" s="82"/>
      <c r="X647" s="82"/>
      <c r="Y647" s="82"/>
      <c r="Z647" s="82"/>
      <c r="AA647" s="82"/>
      <c r="AB647" s="82"/>
      <c r="AC647" s="82"/>
      <c r="AD647" s="82"/>
      <c r="AE647" s="82"/>
      <c r="AF647" s="82"/>
      <c r="AG647" s="82"/>
      <c r="AH647" s="82"/>
      <c r="AI647" s="82"/>
      <c r="AJ647" s="82"/>
      <c r="AK647" s="82"/>
      <c r="AL647" s="82"/>
      <c r="AM647" s="82"/>
      <c r="AN647" s="82">
        <f>IFERROR(__xludf.DUMMYFUNCTION("""COMPUTED_VALUE"""),0.0)</f>
        <v>0</v>
      </c>
      <c r="AO647" s="82">
        <f>IFERROR(__xludf.DUMMYFUNCTION("""COMPUTED_VALUE"""),0.0)</f>
        <v>0</v>
      </c>
      <c r="AP647" s="82">
        <f>IFERROR(__xludf.DUMMYFUNCTION("""COMPUTED_VALUE"""),0.0)</f>
        <v>0</v>
      </c>
      <c r="AQ647" s="82">
        <f>IFERROR(__xludf.DUMMYFUNCTION("""COMPUTED_VALUE"""),0.0)</f>
        <v>0</v>
      </c>
      <c r="AR647" s="82">
        <f>IFERROR(__xludf.DUMMYFUNCTION("""COMPUTED_VALUE"""),0.0)</f>
        <v>0</v>
      </c>
      <c r="AS647" s="82"/>
      <c r="AT647" s="82">
        <f>IFERROR(__xludf.DUMMYFUNCTION("""COMPUTED_VALUE"""),0.0)</f>
        <v>0</v>
      </c>
      <c r="AU647" s="82"/>
      <c r="AV647" s="82"/>
      <c r="AW647" s="82" t="str">
        <f t="shared" si="1"/>
        <v/>
      </c>
      <c r="AX647" s="83" t="str">
        <f t="array" ref="AX647">IFERROR(DGET('SBV Import'!A:G,"SBV",{"RSC ID","Tier";B647,A647}))</f>
        <v/>
      </c>
      <c r="AY647" s="82" t="str">
        <f t="shared" si="2"/>
        <v/>
      </c>
      <c r="AZ647" s="82"/>
      <c r="BA647" s="84" t="s">
        <v>152</v>
      </c>
      <c r="BB647" s="84" t="str">
        <f>IFERROR(__xludf.DUMMYFUNCTION("iferror(if(A647="""",,E647&gt;=FILTER(Constants!$F$2:$F$10,Constants!$A$2:$A$10=A647)))"),"")</f>
        <v/>
      </c>
    </row>
    <row r="648">
      <c r="A648" s="80"/>
      <c r="B648" s="87"/>
      <c r="C648" s="73"/>
      <c r="D648" s="73"/>
      <c r="E648" s="82"/>
      <c r="F648" s="82"/>
      <c r="G648" s="82"/>
      <c r="H648" s="86"/>
      <c r="I648" s="86"/>
      <c r="J648" s="82"/>
      <c r="K648" s="82"/>
      <c r="L648" s="82"/>
      <c r="M648" s="82"/>
      <c r="N648" s="82"/>
      <c r="O648" s="82"/>
      <c r="P648" s="82"/>
      <c r="Q648" s="82"/>
      <c r="R648" s="82"/>
      <c r="S648" s="82"/>
      <c r="T648" s="82"/>
      <c r="U648" s="82"/>
      <c r="V648" s="82"/>
      <c r="W648" s="82"/>
      <c r="X648" s="82"/>
      <c r="Y648" s="82"/>
      <c r="Z648" s="82"/>
      <c r="AA648" s="82"/>
      <c r="AB648" s="82"/>
      <c r="AC648" s="82"/>
      <c r="AD648" s="82"/>
      <c r="AE648" s="82"/>
      <c r="AF648" s="82"/>
      <c r="AG648" s="82"/>
      <c r="AH648" s="82"/>
      <c r="AI648" s="82"/>
      <c r="AJ648" s="82"/>
      <c r="AK648" s="82"/>
      <c r="AL648" s="82"/>
      <c r="AM648" s="82"/>
      <c r="AN648" s="82">
        <f>IFERROR(__xludf.DUMMYFUNCTION("""COMPUTED_VALUE"""),0.0)</f>
        <v>0</v>
      </c>
      <c r="AO648" s="82">
        <f>IFERROR(__xludf.DUMMYFUNCTION("""COMPUTED_VALUE"""),0.0)</f>
        <v>0</v>
      </c>
      <c r="AP648" s="82">
        <f>IFERROR(__xludf.DUMMYFUNCTION("""COMPUTED_VALUE"""),0.0)</f>
        <v>0</v>
      </c>
      <c r="AQ648" s="82">
        <f>IFERROR(__xludf.DUMMYFUNCTION("""COMPUTED_VALUE"""),0.0)</f>
        <v>0</v>
      </c>
      <c r="AR648" s="82">
        <f>IFERROR(__xludf.DUMMYFUNCTION("""COMPUTED_VALUE"""),0.0)</f>
        <v>0</v>
      </c>
      <c r="AS648" s="82"/>
      <c r="AT648" s="82">
        <f>IFERROR(__xludf.DUMMYFUNCTION("""COMPUTED_VALUE"""),0.0)</f>
        <v>0</v>
      </c>
      <c r="AU648" s="82"/>
      <c r="AV648" s="82"/>
      <c r="AW648" s="82" t="str">
        <f t="shared" si="1"/>
        <v/>
      </c>
      <c r="AX648" s="83" t="str">
        <f t="array" ref="AX648">IFERROR(DGET('SBV Import'!A:G,"SBV",{"RSC ID","Tier";B648,A648}))</f>
        <v/>
      </c>
      <c r="AY648" s="82" t="str">
        <f t="shared" si="2"/>
        <v/>
      </c>
      <c r="AZ648" s="82"/>
      <c r="BA648" s="84" t="s">
        <v>152</v>
      </c>
      <c r="BB648" s="84" t="str">
        <f>IFERROR(__xludf.DUMMYFUNCTION("iferror(if(A648="""",,E648&gt;=FILTER(Constants!$F$2:$F$10,Constants!$A$2:$A$10=A648)))"),"")</f>
        <v/>
      </c>
    </row>
    <row r="649">
      <c r="A649" s="80"/>
      <c r="B649" s="87"/>
      <c r="C649" s="73"/>
      <c r="D649" s="73"/>
      <c r="E649" s="82"/>
      <c r="F649" s="82"/>
      <c r="G649" s="82"/>
      <c r="H649" s="86"/>
      <c r="I649" s="86"/>
      <c r="J649" s="82"/>
      <c r="K649" s="82"/>
      <c r="L649" s="82"/>
      <c r="M649" s="82"/>
      <c r="N649" s="82"/>
      <c r="O649" s="82"/>
      <c r="P649" s="82"/>
      <c r="Q649" s="82"/>
      <c r="R649" s="82"/>
      <c r="S649" s="82"/>
      <c r="T649" s="82"/>
      <c r="U649" s="82"/>
      <c r="V649" s="82"/>
      <c r="W649" s="82"/>
      <c r="X649" s="82"/>
      <c r="Y649" s="82"/>
      <c r="Z649" s="82"/>
      <c r="AA649" s="82"/>
      <c r="AB649" s="82"/>
      <c r="AC649" s="82"/>
      <c r="AD649" s="82"/>
      <c r="AE649" s="82"/>
      <c r="AF649" s="82"/>
      <c r="AG649" s="82"/>
      <c r="AH649" s="82"/>
      <c r="AI649" s="82"/>
      <c r="AJ649" s="82"/>
      <c r="AK649" s="82"/>
      <c r="AL649" s="82"/>
      <c r="AM649" s="82"/>
      <c r="AN649" s="82">
        <f>IFERROR(__xludf.DUMMYFUNCTION("""COMPUTED_VALUE"""),0.0)</f>
        <v>0</v>
      </c>
      <c r="AO649" s="82">
        <f>IFERROR(__xludf.DUMMYFUNCTION("""COMPUTED_VALUE"""),0.0)</f>
        <v>0</v>
      </c>
      <c r="AP649" s="82">
        <f>IFERROR(__xludf.DUMMYFUNCTION("""COMPUTED_VALUE"""),0.0)</f>
        <v>0</v>
      </c>
      <c r="AQ649" s="82">
        <f>IFERROR(__xludf.DUMMYFUNCTION("""COMPUTED_VALUE"""),0.0)</f>
        <v>0</v>
      </c>
      <c r="AR649" s="82">
        <f>IFERROR(__xludf.DUMMYFUNCTION("""COMPUTED_VALUE"""),0.0)</f>
        <v>0</v>
      </c>
      <c r="AS649" s="82"/>
      <c r="AT649" s="82">
        <f>IFERROR(__xludf.DUMMYFUNCTION("""COMPUTED_VALUE"""),0.0)</f>
        <v>0</v>
      </c>
      <c r="AU649" s="82"/>
      <c r="AV649" s="82"/>
      <c r="AW649" s="82" t="str">
        <f t="shared" si="1"/>
        <v/>
      </c>
      <c r="AX649" s="83" t="str">
        <f t="array" ref="AX649">IFERROR(DGET('SBV Import'!A:G,"SBV",{"RSC ID","Tier";B649,A649}))</f>
        <v/>
      </c>
      <c r="AY649" s="82" t="str">
        <f t="shared" si="2"/>
        <v/>
      </c>
      <c r="AZ649" s="82"/>
      <c r="BA649" s="84" t="s">
        <v>152</v>
      </c>
      <c r="BB649" s="84" t="str">
        <f>IFERROR(__xludf.DUMMYFUNCTION("iferror(if(A649="""",,E649&gt;=FILTER(Constants!$F$2:$F$10,Constants!$A$2:$A$10=A649)))"),"")</f>
        <v/>
      </c>
    </row>
    <row r="650">
      <c r="A650" s="85"/>
      <c r="B650" s="87"/>
      <c r="C650" s="73"/>
      <c r="D650" s="73"/>
      <c r="E650" s="82"/>
      <c r="F650" s="82"/>
      <c r="G650" s="82"/>
      <c r="H650" s="86"/>
      <c r="I650" s="86"/>
      <c r="J650" s="82"/>
      <c r="K650" s="82"/>
      <c r="L650" s="82"/>
      <c r="M650" s="82"/>
      <c r="N650" s="82"/>
      <c r="O650" s="82"/>
      <c r="P650" s="82"/>
      <c r="Q650" s="82"/>
      <c r="R650" s="82"/>
      <c r="S650" s="82"/>
      <c r="T650" s="82"/>
      <c r="U650" s="82"/>
      <c r="V650" s="82"/>
      <c r="W650" s="82"/>
      <c r="X650" s="82"/>
      <c r="Y650" s="82"/>
      <c r="Z650" s="82"/>
      <c r="AA650" s="82"/>
      <c r="AB650" s="82"/>
      <c r="AC650" s="82"/>
      <c r="AD650" s="82"/>
      <c r="AE650" s="82"/>
      <c r="AF650" s="82"/>
      <c r="AG650" s="82"/>
      <c r="AH650" s="82"/>
      <c r="AI650" s="82"/>
      <c r="AJ650" s="82"/>
      <c r="AK650" s="82"/>
      <c r="AL650" s="82"/>
      <c r="AM650" s="82"/>
      <c r="AN650" s="82">
        <f>IFERROR(__xludf.DUMMYFUNCTION("""COMPUTED_VALUE"""),0.0)</f>
        <v>0</v>
      </c>
      <c r="AO650" s="82">
        <f>IFERROR(__xludf.DUMMYFUNCTION("""COMPUTED_VALUE"""),0.0)</f>
        <v>0</v>
      </c>
      <c r="AP650" s="82">
        <f>IFERROR(__xludf.DUMMYFUNCTION("""COMPUTED_VALUE"""),0.0)</f>
        <v>0</v>
      </c>
      <c r="AQ650" s="82">
        <f>IFERROR(__xludf.DUMMYFUNCTION("""COMPUTED_VALUE"""),0.0)</f>
        <v>0</v>
      </c>
      <c r="AR650" s="82">
        <f>IFERROR(__xludf.DUMMYFUNCTION("""COMPUTED_VALUE"""),0.0)</f>
        <v>0</v>
      </c>
      <c r="AS650" s="82"/>
      <c r="AT650" s="82">
        <f>IFERROR(__xludf.DUMMYFUNCTION("""COMPUTED_VALUE"""),0.0)</f>
        <v>0</v>
      </c>
      <c r="AU650" s="82"/>
      <c r="AV650" s="82"/>
      <c r="AW650" s="82" t="str">
        <f t="shared" si="1"/>
        <v/>
      </c>
      <c r="AX650" s="83" t="str">
        <f t="array" ref="AX650">IFERROR(DGET('SBV Import'!A:G,"SBV",{"RSC ID","Tier";B650,A650}))</f>
        <v/>
      </c>
      <c r="AY650" s="82" t="str">
        <f t="shared" si="2"/>
        <v/>
      </c>
      <c r="AZ650" s="82"/>
      <c r="BA650" s="84" t="s">
        <v>152</v>
      </c>
      <c r="BB650" s="84" t="str">
        <f>IFERROR(__xludf.DUMMYFUNCTION("iferror(if(A650="""",,E650&gt;=FILTER(Constants!$F$2:$F$10,Constants!$A$2:$A$10=A650)))"),"")</f>
        <v/>
      </c>
    </row>
    <row r="651">
      <c r="A651" s="80"/>
      <c r="B651" s="87"/>
      <c r="C651" s="73"/>
      <c r="D651" s="73"/>
      <c r="E651" s="82"/>
      <c r="F651" s="82"/>
      <c r="G651" s="82"/>
      <c r="H651" s="86"/>
      <c r="I651" s="86"/>
      <c r="J651" s="82"/>
      <c r="K651" s="82"/>
      <c r="L651" s="82"/>
      <c r="M651" s="82"/>
      <c r="N651" s="82"/>
      <c r="O651" s="82"/>
      <c r="P651" s="82"/>
      <c r="Q651" s="82"/>
      <c r="R651" s="82"/>
      <c r="S651" s="82"/>
      <c r="T651" s="82"/>
      <c r="U651" s="82"/>
      <c r="V651" s="82"/>
      <c r="W651" s="82"/>
      <c r="X651" s="82"/>
      <c r="Y651" s="82"/>
      <c r="Z651" s="82"/>
      <c r="AA651" s="82"/>
      <c r="AB651" s="82"/>
      <c r="AC651" s="82"/>
      <c r="AD651" s="82"/>
      <c r="AE651" s="82"/>
      <c r="AF651" s="82"/>
      <c r="AG651" s="82"/>
      <c r="AH651" s="82"/>
      <c r="AI651" s="82"/>
      <c r="AJ651" s="82"/>
      <c r="AK651" s="82"/>
      <c r="AL651" s="82"/>
      <c r="AM651" s="82"/>
      <c r="AN651" s="82">
        <f>IFERROR(__xludf.DUMMYFUNCTION("""COMPUTED_VALUE"""),0.0)</f>
        <v>0</v>
      </c>
      <c r="AO651" s="82">
        <f>IFERROR(__xludf.DUMMYFUNCTION("""COMPUTED_VALUE"""),0.0)</f>
        <v>0</v>
      </c>
      <c r="AP651" s="82">
        <f>IFERROR(__xludf.DUMMYFUNCTION("""COMPUTED_VALUE"""),0.0)</f>
        <v>0</v>
      </c>
      <c r="AQ651" s="82">
        <f>IFERROR(__xludf.DUMMYFUNCTION("""COMPUTED_VALUE"""),0.0)</f>
        <v>0</v>
      </c>
      <c r="AR651" s="82">
        <f>IFERROR(__xludf.DUMMYFUNCTION("""COMPUTED_VALUE"""),0.0)</f>
        <v>0</v>
      </c>
      <c r="AS651" s="82"/>
      <c r="AT651" s="82">
        <f>IFERROR(__xludf.DUMMYFUNCTION("""COMPUTED_VALUE"""),0.0)</f>
        <v>0</v>
      </c>
      <c r="AU651" s="82"/>
      <c r="AV651" s="82"/>
      <c r="AW651" s="82" t="str">
        <f t="shared" si="1"/>
        <v/>
      </c>
      <c r="AX651" s="83" t="str">
        <f t="array" ref="AX651">IFERROR(DGET('SBV Import'!A:G,"SBV",{"RSC ID","Tier";B651,A651}))</f>
        <v/>
      </c>
      <c r="AY651" s="82" t="str">
        <f t="shared" si="2"/>
        <v/>
      </c>
      <c r="AZ651" s="82"/>
      <c r="BA651" s="84" t="s">
        <v>152</v>
      </c>
      <c r="BB651" s="84" t="str">
        <f>IFERROR(__xludf.DUMMYFUNCTION("iferror(if(A651="""",,E651&gt;=FILTER(Constants!$F$2:$F$10,Constants!$A$2:$A$10=A651)))"),"")</f>
        <v/>
      </c>
    </row>
    <row r="652">
      <c r="A652" s="80"/>
      <c r="B652" s="87"/>
      <c r="C652" s="73"/>
      <c r="D652" s="73"/>
      <c r="E652" s="82"/>
      <c r="F652" s="82"/>
      <c r="G652" s="82"/>
      <c r="H652" s="86"/>
      <c r="I652" s="86"/>
      <c r="J652" s="82"/>
      <c r="K652" s="82"/>
      <c r="L652" s="82"/>
      <c r="M652" s="82"/>
      <c r="N652" s="82"/>
      <c r="O652" s="82"/>
      <c r="P652" s="82"/>
      <c r="Q652" s="82"/>
      <c r="R652" s="82"/>
      <c r="S652" s="82"/>
      <c r="T652" s="82"/>
      <c r="U652" s="82"/>
      <c r="V652" s="82"/>
      <c r="W652" s="82"/>
      <c r="X652" s="82"/>
      <c r="Y652" s="82"/>
      <c r="Z652" s="82"/>
      <c r="AA652" s="82"/>
      <c r="AB652" s="82"/>
      <c r="AC652" s="82"/>
      <c r="AD652" s="82"/>
      <c r="AE652" s="82"/>
      <c r="AF652" s="82"/>
      <c r="AG652" s="82"/>
      <c r="AH652" s="82"/>
      <c r="AI652" s="82"/>
      <c r="AJ652" s="82"/>
      <c r="AK652" s="82"/>
      <c r="AL652" s="82"/>
      <c r="AM652" s="82"/>
      <c r="AN652" s="82">
        <f>IFERROR(__xludf.DUMMYFUNCTION("""COMPUTED_VALUE"""),0.0)</f>
        <v>0</v>
      </c>
      <c r="AO652" s="82">
        <f>IFERROR(__xludf.DUMMYFUNCTION("""COMPUTED_VALUE"""),0.0)</f>
        <v>0</v>
      </c>
      <c r="AP652" s="82">
        <f>IFERROR(__xludf.DUMMYFUNCTION("""COMPUTED_VALUE"""),0.0)</f>
        <v>0</v>
      </c>
      <c r="AQ652" s="82">
        <f>IFERROR(__xludf.DUMMYFUNCTION("""COMPUTED_VALUE"""),0.0)</f>
        <v>0</v>
      </c>
      <c r="AR652" s="82">
        <f>IFERROR(__xludf.DUMMYFUNCTION("""COMPUTED_VALUE"""),0.0)</f>
        <v>0</v>
      </c>
      <c r="AS652" s="82"/>
      <c r="AT652" s="82">
        <f>IFERROR(__xludf.DUMMYFUNCTION("""COMPUTED_VALUE"""),0.0)</f>
        <v>0</v>
      </c>
      <c r="AU652" s="82"/>
      <c r="AV652" s="82"/>
      <c r="AW652" s="82" t="str">
        <f t="shared" si="1"/>
        <v/>
      </c>
      <c r="AX652" s="83" t="str">
        <f t="array" ref="AX652">IFERROR(DGET('SBV Import'!A:G,"SBV",{"RSC ID","Tier";B652,A652}))</f>
        <v/>
      </c>
      <c r="AY652" s="82" t="str">
        <f t="shared" si="2"/>
        <v/>
      </c>
      <c r="AZ652" s="82"/>
      <c r="BA652" s="84" t="s">
        <v>152</v>
      </c>
      <c r="BB652" s="84" t="str">
        <f>IFERROR(__xludf.DUMMYFUNCTION("iferror(if(A652="""",,E652&gt;=FILTER(Constants!$F$2:$F$10,Constants!$A$2:$A$10=A652)))"),"")</f>
        <v/>
      </c>
    </row>
    <row r="653">
      <c r="A653" s="80"/>
      <c r="B653" s="87"/>
      <c r="C653" s="73"/>
      <c r="D653" s="73"/>
      <c r="E653" s="82"/>
      <c r="F653" s="82"/>
      <c r="G653" s="82"/>
      <c r="H653" s="86"/>
      <c r="I653" s="86"/>
      <c r="J653" s="82"/>
      <c r="K653" s="82"/>
      <c r="L653" s="82"/>
      <c r="M653" s="82"/>
      <c r="N653" s="82"/>
      <c r="O653" s="82"/>
      <c r="P653" s="82"/>
      <c r="Q653" s="82"/>
      <c r="R653" s="82"/>
      <c r="S653" s="82"/>
      <c r="T653" s="82"/>
      <c r="U653" s="82"/>
      <c r="V653" s="82"/>
      <c r="W653" s="82"/>
      <c r="X653" s="82"/>
      <c r="Y653" s="82"/>
      <c r="Z653" s="82"/>
      <c r="AA653" s="82"/>
      <c r="AB653" s="82"/>
      <c r="AC653" s="82"/>
      <c r="AD653" s="82"/>
      <c r="AE653" s="82"/>
      <c r="AF653" s="82"/>
      <c r="AG653" s="82"/>
      <c r="AH653" s="82"/>
      <c r="AI653" s="82"/>
      <c r="AJ653" s="82"/>
      <c r="AK653" s="82"/>
      <c r="AL653" s="82"/>
      <c r="AM653" s="82"/>
      <c r="AN653" s="82">
        <f>IFERROR(__xludf.DUMMYFUNCTION("""COMPUTED_VALUE"""),0.0)</f>
        <v>0</v>
      </c>
      <c r="AO653" s="82">
        <f>IFERROR(__xludf.DUMMYFUNCTION("""COMPUTED_VALUE"""),0.0)</f>
        <v>0</v>
      </c>
      <c r="AP653" s="82">
        <f>IFERROR(__xludf.DUMMYFUNCTION("""COMPUTED_VALUE"""),0.0)</f>
        <v>0</v>
      </c>
      <c r="AQ653" s="82">
        <f>IFERROR(__xludf.DUMMYFUNCTION("""COMPUTED_VALUE"""),0.0)</f>
        <v>0</v>
      </c>
      <c r="AR653" s="82">
        <f>IFERROR(__xludf.DUMMYFUNCTION("""COMPUTED_VALUE"""),0.0)</f>
        <v>0</v>
      </c>
      <c r="AS653" s="82"/>
      <c r="AT653" s="82">
        <f>IFERROR(__xludf.DUMMYFUNCTION("""COMPUTED_VALUE"""),0.0)</f>
        <v>0</v>
      </c>
      <c r="AU653" s="82"/>
      <c r="AV653" s="82"/>
      <c r="AW653" s="82" t="str">
        <f t="shared" si="1"/>
        <v/>
      </c>
      <c r="AX653" s="83" t="str">
        <f t="array" ref="AX653">IFERROR(DGET('SBV Import'!A:G,"SBV",{"RSC ID","Tier";B653,A653}))</f>
        <v/>
      </c>
      <c r="AY653" s="82" t="str">
        <f t="shared" si="2"/>
        <v/>
      </c>
      <c r="AZ653" s="82"/>
      <c r="BA653" s="84" t="s">
        <v>152</v>
      </c>
      <c r="BB653" s="84" t="str">
        <f>IFERROR(__xludf.DUMMYFUNCTION("iferror(if(A653="""",,E653&gt;=FILTER(Constants!$F$2:$F$10,Constants!$A$2:$A$10=A653)))"),"")</f>
        <v/>
      </c>
    </row>
    <row r="654">
      <c r="A654" s="80"/>
      <c r="B654" s="87"/>
      <c r="C654" s="73"/>
      <c r="D654" s="73"/>
      <c r="E654" s="82"/>
      <c r="F654" s="82"/>
      <c r="G654" s="82"/>
      <c r="H654" s="86"/>
      <c r="I654" s="86"/>
      <c r="J654" s="82"/>
      <c r="K654" s="82"/>
      <c r="L654" s="82"/>
      <c r="M654" s="82"/>
      <c r="N654" s="82"/>
      <c r="O654" s="82"/>
      <c r="P654" s="82"/>
      <c r="Q654" s="82"/>
      <c r="R654" s="82"/>
      <c r="S654" s="82"/>
      <c r="T654" s="82"/>
      <c r="U654" s="82"/>
      <c r="V654" s="82"/>
      <c r="W654" s="82"/>
      <c r="X654" s="82"/>
      <c r="Y654" s="82"/>
      <c r="Z654" s="82"/>
      <c r="AA654" s="82"/>
      <c r="AB654" s="82"/>
      <c r="AC654" s="82"/>
      <c r="AD654" s="82"/>
      <c r="AE654" s="82"/>
      <c r="AF654" s="82"/>
      <c r="AG654" s="82"/>
      <c r="AH654" s="82"/>
      <c r="AI654" s="82"/>
      <c r="AJ654" s="82"/>
      <c r="AK654" s="82"/>
      <c r="AL654" s="82"/>
      <c r="AM654" s="82"/>
      <c r="AN654" s="82">
        <f>IFERROR(__xludf.DUMMYFUNCTION("""COMPUTED_VALUE"""),0.0)</f>
        <v>0</v>
      </c>
      <c r="AO654" s="82">
        <f>IFERROR(__xludf.DUMMYFUNCTION("""COMPUTED_VALUE"""),0.0)</f>
        <v>0</v>
      </c>
      <c r="AP654" s="82">
        <f>IFERROR(__xludf.DUMMYFUNCTION("""COMPUTED_VALUE"""),0.0)</f>
        <v>0</v>
      </c>
      <c r="AQ654" s="82">
        <f>IFERROR(__xludf.DUMMYFUNCTION("""COMPUTED_VALUE"""),0.0)</f>
        <v>0</v>
      </c>
      <c r="AR654" s="82">
        <f>IFERROR(__xludf.DUMMYFUNCTION("""COMPUTED_VALUE"""),0.0)</f>
        <v>0</v>
      </c>
      <c r="AS654" s="82"/>
      <c r="AT654" s="82">
        <f>IFERROR(__xludf.DUMMYFUNCTION("""COMPUTED_VALUE"""),0.0)</f>
        <v>0</v>
      </c>
      <c r="AU654" s="82"/>
      <c r="AV654" s="82"/>
      <c r="AW654" s="82" t="str">
        <f t="shared" si="1"/>
        <v/>
      </c>
      <c r="AX654" s="83" t="str">
        <f t="array" ref="AX654">IFERROR(DGET('SBV Import'!A:G,"SBV",{"RSC ID","Tier";B654,A654}))</f>
        <v/>
      </c>
      <c r="AY654" s="82" t="str">
        <f t="shared" si="2"/>
        <v/>
      </c>
      <c r="AZ654" s="82"/>
      <c r="BA654" s="84" t="s">
        <v>152</v>
      </c>
      <c r="BB654" s="84" t="str">
        <f>IFERROR(__xludf.DUMMYFUNCTION("iferror(if(A654="""",,E654&gt;=FILTER(Constants!$F$2:$F$10,Constants!$A$2:$A$10=A654)))"),"")</f>
        <v/>
      </c>
    </row>
    <row r="655">
      <c r="A655" s="80"/>
      <c r="B655" s="87"/>
      <c r="C655" s="73"/>
      <c r="D655" s="73"/>
      <c r="E655" s="82"/>
      <c r="F655" s="82"/>
      <c r="G655" s="82"/>
      <c r="H655" s="86"/>
      <c r="I655" s="86"/>
      <c r="J655" s="82"/>
      <c r="K655" s="82"/>
      <c r="L655" s="82"/>
      <c r="M655" s="82"/>
      <c r="N655" s="82"/>
      <c r="O655" s="82"/>
      <c r="P655" s="82"/>
      <c r="Q655" s="82"/>
      <c r="R655" s="82"/>
      <c r="S655" s="82"/>
      <c r="T655" s="82"/>
      <c r="U655" s="82"/>
      <c r="V655" s="82"/>
      <c r="W655" s="82"/>
      <c r="X655" s="82"/>
      <c r="Y655" s="82"/>
      <c r="Z655" s="82"/>
      <c r="AA655" s="82"/>
      <c r="AB655" s="82"/>
      <c r="AC655" s="82"/>
      <c r="AD655" s="82"/>
      <c r="AE655" s="82"/>
      <c r="AF655" s="82"/>
      <c r="AG655" s="82"/>
      <c r="AH655" s="82"/>
      <c r="AI655" s="82"/>
      <c r="AJ655" s="82"/>
      <c r="AK655" s="82"/>
      <c r="AL655" s="82"/>
      <c r="AM655" s="82"/>
      <c r="AN655" s="82">
        <f>IFERROR(__xludf.DUMMYFUNCTION("""COMPUTED_VALUE"""),0.0)</f>
        <v>0</v>
      </c>
      <c r="AO655" s="82">
        <f>IFERROR(__xludf.DUMMYFUNCTION("""COMPUTED_VALUE"""),0.0)</f>
        <v>0</v>
      </c>
      <c r="AP655" s="82">
        <f>IFERROR(__xludf.DUMMYFUNCTION("""COMPUTED_VALUE"""),0.0)</f>
        <v>0</v>
      </c>
      <c r="AQ655" s="82">
        <f>IFERROR(__xludf.DUMMYFUNCTION("""COMPUTED_VALUE"""),0.0)</f>
        <v>0</v>
      </c>
      <c r="AR655" s="82">
        <f>IFERROR(__xludf.DUMMYFUNCTION("""COMPUTED_VALUE"""),0.0)</f>
        <v>0</v>
      </c>
      <c r="AS655" s="82"/>
      <c r="AT655" s="82">
        <f>IFERROR(__xludf.DUMMYFUNCTION("""COMPUTED_VALUE"""),0.0)</f>
        <v>0</v>
      </c>
      <c r="AU655" s="82"/>
      <c r="AV655" s="82"/>
      <c r="AW655" s="82" t="str">
        <f t="shared" si="1"/>
        <v/>
      </c>
      <c r="AX655" s="83" t="str">
        <f t="array" ref="AX655">IFERROR(DGET('SBV Import'!A:G,"SBV",{"RSC ID","Tier";B655,A655}))</f>
        <v/>
      </c>
      <c r="AY655" s="82" t="str">
        <f t="shared" si="2"/>
        <v/>
      </c>
      <c r="AZ655" s="82"/>
      <c r="BA655" s="84" t="s">
        <v>152</v>
      </c>
      <c r="BB655" s="84" t="str">
        <f>IFERROR(__xludf.DUMMYFUNCTION("iferror(if(A655="""",,E655&gt;=FILTER(Constants!$F$2:$F$10,Constants!$A$2:$A$10=A655)))"),"")</f>
        <v/>
      </c>
    </row>
    <row r="656">
      <c r="A656" s="80"/>
      <c r="B656" s="87"/>
      <c r="C656" s="73"/>
      <c r="D656" s="73"/>
      <c r="E656" s="82"/>
      <c r="F656" s="82"/>
      <c r="G656" s="82"/>
      <c r="H656" s="86"/>
      <c r="I656" s="86"/>
      <c r="J656" s="82"/>
      <c r="K656" s="82"/>
      <c r="L656" s="82"/>
      <c r="M656" s="82"/>
      <c r="N656" s="82"/>
      <c r="O656" s="82"/>
      <c r="P656" s="82"/>
      <c r="Q656" s="82"/>
      <c r="R656" s="82"/>
      <c r="S656" s="82"/>
      <c r="T656" s="82"/>
      <c r="U656" s="82"/>
      <c r="V656" s="82"/>
      <c r="W656" s="82"/>
      <c r="X656" s="82"/>
      <c r="Y656" s="82"/>
      <c r="Z656" s="82"/>
      <c r="AA656" s="82"/>
      <c r="AB656" s="82"/>
      <c r="AC656" s="82"/>
      <c r="AD656" s="82"/>
      <c r="AE656" s="82"/>
      <c r="AF656" s="82"/>
      <c r="AG656" s="82"/>
      <c r="AH656" s="82"/>
      <c r="AI656" s="82"/>
      <c r="AJ656" s="82"/>
      <c r="AK656" s="82"/>
      <c r="AL656" s="82"/>
      <c r="AM656" s="82"/>
      <c r="AN656" s="82">
        <f>IFERROR(__xludf.DUMMYFUNCTION("""COMPUTED_VALUE"""),0.0)</f>
        <v>0</v>
      </c>
      <c r="AO656" s="82">
        <f>IFERROR(__xludf.DUMMYFUNCTION("""COMPUTED_VALUE"""),0.0)</f>
        <v>0</v>
      </c>
      <c r="AP656" s="82">
        <f>IFERROR(__xludf.DUMMYFUNCTION("""COMPUTED_VALUE"""),0.0)</f>
        <v>0</v>
      </c>
      <c r="AQ656" s="82">
        <f>IFERROR(__xludf.DUMMYFUNCTION("""COMPUTED_VALUE"""),0.0)</f>
        <v>0</v>
      </c>
      <c r="AR656" s="82">
        <f>IFERROR(__xludf.DUMMYFUNCTION("""COMPUTED_VALUE"""),0.0)</f>
        <v>0</v>
      </c>
      <c r="AS656" s="82"/>
      <c r="AT656" s="82">
        <f>IFERROR(__xludf.DUMMYFUNCTION("""COMPUTED_VALUE"""),0.0)</f>
        <v>0</v>
      </c>
      <c r="AU656" s="82"/>
      <c r="AV656" s="82"/>
      <c r="AW656" s="82" t="str">
        <f t="shared" si="1"/>
        <v/>
      </c>
      <c r="AX656" s="83" t="str">
        <f t="array" ref="AX656">IFERROR(DGET('SBV Import'!A:G,"SBV",{"RSC ID","Tier";B656,A656}))</f>
        <v/>
      </c>
      <c r="AY656" s="82" t="str">
        <f t="shared" si="2"/>
        <v/>
      </c>
      <c r="AZ656" s="82"/>
      <c r="BA656" s="84" t="s">
        <v>152</v>
      </c>
      <c r="BB656" s="84" t="str">
        <f>IFERROR(__xludf.DUMMYFUNCTION("iferror(if(A656="""",,E656&gt;=FILTER(Constants!$F$2:$F$10,Constants!$A$2:$A$10=A656)))"),"")</f>
        <v/>
      </c>
    </row>
    <row r="657">
      <c r="A657" s="80"/>
      <c r="B657" s="87"/>
      <c r="C657" s="73"/>
      <c r="D657" s="73"/>
      <c r="E657" s="82"/>
      <c r="F657" s="82"/>
      <c r="G657" s="82"/>
      <c r="H657" s="86"/>
      <c r="I657" s="86"/>
      <c r="J657" s="82"/>
      <c r="K657" s="82"/>
      <c r="L657" s="82"/>
      <c r="M657" s="82"/>
      <c r="N657" s="82"/>
      <c r="O657" s="82"/>
      <c r="P657" s="82"/>
      <c r="Q657" s="82"/>
      <c r="R657" s="82"/>
      <c r="S657" s="82"/>
      <c r="T657" s="82"/>
      <c r="U657" s="82"/>
      <c r="V657" s="82"/>
      <c r="W657" s="82"/>
      <c r="X657" s="82"/>
      <c r="Y657" s="82"/>
      <c r="Z657" s="82"/>
      <c r="AA657" s="82"/>
      <c r="AB657" s="82"/>
      <c r="AC657" s="82"/>
      <c r="AD657" s="82"/>
      <c r="AE657" s="82"/>
      <c r="AF657" s="82"/>
      <c r="AG657" s="82"/>
      <c r="AH657" s="82"/>
      <c r="AI657" s="82"/>
      <c r="AJ657" s="82"/>
      <c r="AK657" s="82"/>
      <c r="AL657" s="82"/>
      <c r="AM657" s="82"/>
      <c r="AN657" s="82">
        <f>IFERROR(__xludf.DUMMYFUNCTION("""COMPUTED_VALUE"""),0.0)</f>
        <v>0</v>
      </c>
      <c r="AO657" s="82">
        <f>IFERROR(__xludf.DUMMYFUNCTION("""COMPUTED_VALUE"""),0.0)</f>
        <v>0</v>
      </c>
      <c r="AP657" s="82">
        <f>IFERROR(__xludf.DUMMYFUNCTION("""COMPUTED_VALUE"""),0.0)</f>
        <v>0</v>
      </c>
      <c r="AQ657" s="82">
        <f>IFERROR(__xludf.DUMMYFUNCTION("""COMPUTED_VALUE"""),0.0)</f>
        <v>0</v>
      </c>
      <c r="AR657" s="82">
        <f>IFERROR(__xludf.DUMMYFUNCTION("""COMPUTED_VALUE"""),0.0)</f>
        <v>0</v>
      </c>
      <c r="AS657" s="82"/>
      <c r="AT657" s="82">
        <f>IFERROR(__xludf.DUMMYFUNCTION("""COMPUTED_VALUE"""),0.0)</f>
        <v>0</v>
      </c>
      <c r="AU657" s="82"/>
      <c r="AV657" s="82"/>
      <c r="AW657" s="82" t="str">
        <f t="shared" si="1"/>
        <v/>
      </c>
      <c r="AX657" s="83" t="str">
        <f t="array" ref="AX657">IFERROR(DGET('SBV Import'!A:G,"SBV",{"RSC ID","Tier";B657,A657}))</f>
        <v/>
      </c>
      <c r="AY657" s="82" t="str">
        <f t="shared" si="2"/>
        <v/>
      </c>
      <c r="AZ657" s="82"/>
      <c r="BA657" s="84" t="s">
        <v>152</v>
      </c>
      <c r="BB657" s="84" t="str">
        <f>IFERROR(__xludf.DUMMYFUNCTION("iferror(if(A657="""",,E657&gt;=FILTER(Constants!$F$2:$F$10,Constants!$A$2:$A$10=A657)))"),"")</f>
        <v/>
      </c>
    </row>
    <row r="658">
      <c r="A658" s="80"/>
      <c r="B658" s="87"/>
      <c r="C658" s="73"/>
      <c r="D658" s="73"/>
      <c r="E658" s="82"/>
      <c r="F658" s="82"/>
      <c r="G658" s="82"/>
      <c r="H658" s="86"/>
      <c r="I658" s="86"/>
      <c r="J658" s="82"/>
      <c r="K658" s="82"/>
      <c r="L658" s="82"/>
      <c r="M658" s="82"/>
      <c r="N658" s="82"/>
      <c r="O658" s="82"/>
      <c r="P658" s="82"/>
      <c r="Q658" s="82"/>
      <c r="R658" s="82"/>
      <c r="S658" s="82"/>
      <c r="T658" s="82"/>
      <c r="U658" s="82"/>
      <c r="V658" s="82"/>
      <c r="W658" s="82"/>
      <c r="X658" s="82"/>
      <c r="Y658" s="82"/>
      <c r="Z658" s="82"/>
      <c r="AA658" s="82"/>
      <c r="AB658" s="82"/>
      <c r="AC658" s="82"/>
      <c r="AD658" s="82"/>
      <c r="AE658" s="82"/>
      <c r="AF658" s="82"/>
      <c r="AG658" s="82"/>
      <c r="AH658" s="82"/>
      <c r="AI658" s="82"/>
      <c r="AJ658" s="82"/>
      <c r="AK658" s="82"/>
      <c r="AL658" s="82"/>
      <c r="AM658" s="82"/>
      <c r="AN658" s="82">
        <f>IFERROR(__xludf.DUMMYFUNCTION("""COMPUTED_VALUE"""),0.0)</f>
        <v>0</v>
      </c>
      <c r="AO658" s="82">
        <f>IFERROR(__xludf.DUMMYFUNCTION("""COMPUTED_VALUE"""),0.0)</f>
        <v>0</v>
      </c>
      <c r="AP658" s="82">
        <f>IFERROR(__xludf.DUMMYFUNCTION("""COMPUTED_VALUE"""),0.0)</f>
        <v>0</v>
      </c>
      <c r="AQ658" s="82">
        <f>IFERROR(__xludf.DUMMYFUNCTION("""COMPUTED_VALUE"""),0.0)</f>
        <v>0</v>
      </c>
      <c r="AR658" s="82">
        <f>IFERROR(__xludf.DUMMYFUNCTION("""COMPUTED_VALUE"""),0.0)</f>
        <v>0</v>
      </c>
      <c r="AS658" s="82"/>
      <c r="AT658" s="82">
        <f>IFERROR(__xludf.DUMMYFUNCTION("""COMPUTED_VALUE"""),0.0)</f>
        <v>0</v>
      </c>
      <c r="AU658" s="82"/>
      <c r="AV658" s="82"/>
      <c r="AW658" s="82" t="str">
        <f t="shared" si="1"/>
        <v/>
      </c>
      <c r="AX658" s="83" t="str">
        <f t="array" ref="AX658">IFERROR(DGET('SBV Import'!A:G,"SBV",{"RSC ID","Tier";B658,A658}))</f>
        <v/>
      </c>
      <c r="AY658" s="82" t="str">
        <f t="shared" si="2"/>
        <v/>
      </c>
      <c r="AZ658" s="82"/>
      <c r="BA658" s="84" t="s">
        <v>152</v>
      </c>
      <c r="BB658" s="84" t="str">
        <f>IFERROR(__xludf.DUMMYFUNCTION("iferror(if(A658="""",,E658&gt;=FILTER(Constants!$F$2:$F$10,Constants!$A$2:$A$10=A658)))"),"")</f>
        <v/>
      </c>
    </row>
    <row r="659">
      <c r="A659" s="80"/>
      <c r="B659" s="87"/>
      <c r="C659" s="73"/>
      <c r="D659" s="73"/>
      <c r="E659" s="82"/>
      <c r="F659" s="82"/>
      <c r="G659" s="82"/>
      <c r="H659" s="86"/>
      <c r="I659" s="86"/>
      <c r="J659" s="82"/>
      <c r="K659" s="82"/>
      <c r="L659" s="82"/>
      <c r="M659" s="82"/>
      <c r="N659" s="82"/>
      <c r="O659" s="82"/>
      <c r="P659" s="82"/>
      <c r="Q659" s="82"/>
      <c r="R659" s="82"/>
      <c r="S659" s="82"/>
      <c r="T659" s="82"/>
      <c r="U659" s="82"/>
      <c r="V659" s="82"/>
      <c r="W659" s="82"/>
      <c r="X659" s="82"/>
      <c r="Y659" s="82"/>
      <c r="Z659" s="82"/>
      <c r="AA659" s="82"/>
      <c r="AB659" s="82"/>
      <c r="AC659" s="82"/>
      <c r="AD659" s="82"/>
      <c r="AE659" s="82"/>
      <c r="AF659" s="82"/>
      <c r="AG659" s="82"/>
      <c r="AH659" s="82"/>
      <c r="AI659" s="82"/>
      <c r="AJ659" s="82"/>
      <c r="AK659" s="82"/>
      <c r="AL659" s="82"/>
      <c r="AM659" s="82"/>
      <c r="AN659" s="82">
        <f>IFERROR(__xludf.DUMMYFUNCTION("""COMPUTED_VALUE"""),0.0)</f>
        <v>0</v>
      </c>
      <c r="AO659" s="82">
        <f>IFERROR(__xludf.DUMMYFUNCTION("""COMPUTED_VALUE"""),0.0)</f>
        <v>0</v>
      </c>
      <c r="AP659" s="82">
        <f>IFERROR(__xludf.DUMMYFUNCTION("""COMPUTED_VALUE"""),0.0)</f>
        <v>0</v>
      </c>
      <c r="AQ659" s="82">
        <f>IFERROR(__xludf.DUMMYFUNCTION("""COMPUTED_VALUE"""),0.0)</f>
        <v>0</v>
      </c>
      <c r="AR659" s="82">
        <f>IFERROR(__xludf.DUMMYFUNCTION("""COMPUTED_VALUE"""),0.0)</f>
        <v>0</v>
      </c>
      <c r="AS659" s="82"/>
      <c r="AT659" s="82">
        <f>IFERROR(__xludf.DUMMYFUNCTION("""COMPUTED_VALUE"""),0.0)</f>
        <v>0</v>
      </c>
      <c r="AU659" s="82"/>
      <c r="AV659" s="82"/>
      <c r="AW659" s="82" t="str">
        <f t="shared" si="1"/>
        <v/>
      </c>
      <c r="AX659" s="83" t="str">
        <f t="array" ref="AX659">IFERROR(DGET('SBV Import'!A:G,"SBV",{"RSC ID","Tier";B659,A659}))</f>
        <v/>
      </c>
      <c r="AY659" s="82" t="str">
        <f t="shared" si="2"/>
        <v/>
      </c>
      <c r="AZ659" s="82"/>
      <c r="BA659" s="84" t="s">
        <v>152</v>
      </c>
      <c r="BB659" s="84" t="str">
        <f>IFERROR(__xludf.DUMMYFUNCTION("iferror(if(A659="""",,E659&gt;=FILTER(Constants!$F$2:$F$10,Constants!$A$2:$A$10=A659)))"),"")</f>
        <v/>
      </c>
    </row>
    <row r="660">
      <c r="A660" s="80"/>
      <c r="B660" s="87"/>
      <c r="C660" s="73"/>
      <c r="D660" s="73"/>
      <c r="E660" s="82"/>
      <c r="F660" s="82"/>
      <c r="G660" s="82"/>
      <c r="H660" s="86"/>
      <c r="I660" s="86"/>
      <c r="J660" s="82"/>
      <c r="K660" s="82"/>
      <c r="L660" s="82"/>
      <c r="M660" s="82"/>
      <c r="N660" s="82"/>
      <c r="O660" s="82"/>
      <c r="P660" s="82"/>
      <c r="Q660" s="82"/>
      <c r="R660" s="82"/>
      <c r="S660" s="82"/>
      <c r="T660" s="82"/>
      <c r="U660" s="82"/>
      <c r="V660" s="82"/>
      <c r="W660" s="82"/>
      <c r="X660" s="82"/>
      <c r="Y660" s="82"/>
      <c r="Z660" s="82"/>
      <c r="AA660" s="82"/>
      <c r="AB660" s="82"/>
      <c r="AC660" s="82"/>
      <c r="AD660" s="82"/>
      <c r="AE660" s="82"/>
      <c r="AF660" s="82"/>
      <c r="AG660" s="82"/>
      <c r="AH660" s="82"/>
      <c r="AI660" s="82"/>
      <c r="AJ660" s="82"/>
      <c r="AK660" s="82"/>
      <c r="AL660" s="82"/>
      <c r="AM660" s="82"/>
      <c r="AN660" s="82">
        <f>IFERROR(__xludf.DUMMYFUNCTION("""COMPUTED_VALUE"""),0.0)</f>
        <v>0</v>
      </c>
      <c r="AO660" s="82">
        <f>IFERROR(__xludf.DUMMYFUNCTION("""COMPUTED_VALUE"""),0.0)</f>
        <v>0</v>
      </c>
      <c r="AP660" s="82">
        <f>IFERROR(__xludf.DUMMYFUNCTION("""COMPUTED_VALUE"""),0.0)</f>
        <v>0</v>
      </c>
      <c r="AQ660" s="82">
        <f>IFERROR(__xludf.DUMMYFUNCTION("""COMPUTED_VALUE"""),0.0)</f>
        <v>0</v>
      </c>
      <c r="AR660" s="82">
        <f>IFERROR(__xludf.DUMMYFUNCTION("""COMPUTED_VALUE"""),0.0)</f>
        <v>0</v>
      </c>
      <c r="AS660" s="82"/>
      <c r="AT660" s="82">
        <f>IFERROR(__xludf.DUMMYFUNCTION("""COMPUTED_VALUE"""),0.0)</f>
        <v>0</v>
      </c>
      <c r="AU660" s="82"/>
      <c r="AV660" s="82"/>
      <c r="AW660" s="82" t="str">
        <f t="shared" si="1"/>
        <v/>
      </c>
      <c r="AX660" s="83" t="str">
        <f t="array" ref="AX660">IFERROR(DGET('SBV Import'!A:G,"SBV",{"RSC ID","Tier";B660,A660}))</f>
        <v/>
      </c>
      <c r="AY660" s="82" t="str">
        <f t="shared" si="2"/>
        <v/>
      </c>
      <c r="AZ660" s="82"/>
      <c r="BA660" s="84" t="s">
        <v>152</v>
      </c>
      <c r="BB660" s="84" t="str">
        <f>IFERROR(__xludf.DUMMYFUNCTION("iferror(if(A660="""",,E660&gt;=FILTER(Constants!$F$2:$F$10,Constants!$A$2:$A$10=A660)))"),"")</f>
        <v/>
      </c>
    </row>
    <row r="661">
      <c r="A661" s="80"/>
      <c r="B661" s="87"/>
      <c r="C661" s="73"/>
      <c r="D661" s="73"/>
      <c r="E661" s="82"/>
      <c r="F661" s="82"/>
      <c r="G661" s="82"/>
      <c r="H661" s="86"/>
      <c r="I661" s="86"/>
      <c r="J661" s="82"/>
      <c r="K661" s="82"/>
      <c r="L661" s="82"/>
      <c r="M661" s="82"/>
      <c r="N661" s="82"/>
      <c r="O661" s="82"/>
      <c r="P661" s="82"/>
      <c r="Q661" s="82"/>
      <c r="R661" s="82"/>
      <c r="S661" s="82"/>
      <c r="T661" s="82"/>
      <c r="U661" s="82"/>
      <c r="V661" s="82"/>
      <c r="W661" s="82"/>
      <c r="X661" s="82"/>
      <c r="Y661" s="82"/>
      <c r="Z661" s="82"/>
      <c r="AA661" s="82"/>
      <c r="AB661" s="82"/>
      <c r="AC661" s="82"/>
      <c r="AD661" s="82"/>
      <c r="AE661" s="82"/>
      <c r="AF661" s="82"/>
      <c r="AG661" s="82"/>
      <c r="AH661" s="82"/>
      <c r="AI661" s="82"/>
      <c r="AJ661" s="82"/>
      <c r="AK661" s="82"/>
      <c r="AL661" s="82"/>
      <c r="AM661" s="82"/>
      <c r="AN661" s="82">
        <f>IFERROR(__xludf.DUMMYFUNCTION("""COMPUTED_VALUE"""),0.0)</f>
        <v>0</v>
      </c>
      <c r="AO661" s="82">
        <f>IFERROR(__xludf.DUMMYFUNCTION("""COMPUTED_VALUE"""),0.0)</f>
        <v>0</v>
      </c>
      <c r="AP661" s="82">
        <f>IFERROR(__xludf.DUMMYFUNCTION("""COMPUTED_VALUE"""),0.0)</f>
        <v>0</v>
      </c>
      <c r="AQ661" s="82">
        <f>IFERROR(__xludf.DUMMYFUNCTION("""COMPUTED_VALUE"""),0.0)</f>
        <v>0</v>
      </c>
      <c r="AR661" s="82">
        <f>IFERROR(__xludf.DUMMYFUNCTION("""COMPUTED_VALUE"""),0.0)</f>
        <v>0</v>
      </c>
      <c r="AS661" s="82"/>
      <c r="AT661" s="82">
        <f>IFERROR(__xludf.DUMMYFUNCTION("""COMPUTED_VALUE"""),0.0)</f>
        <v>0</v>
      </c>
      <c r="AU661" s="82"/>
      <c r="AV661" s="82"/>
      <c r="AW661" s="82" t="str">
        <f t="shared" si="1"/>
        <v/>
      </c>
      <c r="AX661" s="83" t="str">
        <f t="array" ref="AX661">IFERROR(DGET('SBV Import'!A:G,"SBV",{"RSC ID","Tier";B661,A661}))</f>
        <v/>
      </c>
      <c r="AY661" s="82" t="str">
        <f t="shared" si="2"/>
        <v/>
      </c>
      <c r="AZ661" s="82"/>
      <c r="BA661" s="84" t="s">
        <v>152</v>
      </c>
      <c r="BB661" s="84" t="str">
        <f>IFERROR(__xludf.DUMMYFUNCTION("iferror(if(A661="""",,E661&gt;=FILTER(Constants!$F$2:$F$10,Constants!$A$2:$A$10=A661)))"),"")</f>
        <v/>
      </c>
    </row>
    <row r="662">
      <c r="A662" s="80"/>
      <c r="B662" s="87"/>
      <c r="C662" s="73"/>
      <c r="D662" s="73"/>
      <c r="E662" s="82"/>
      <c r="F662" s="82"/>
      <c r="G662" s="82"/>
      <c r="H662" s="86"/>
      <c r="I662" s="86"/>
      <c r="J662" s="82"/>
      <c r="K662" s="82"/>
      <c r="L662" s="82"/>
      <c r="M662" s="82"/>
      <c r="N662" s="82"/>
      <c r="O662" s="82"/>
      <c r="P662" s="82"/>
      <c r="Q662" s="82"/>
      <c r="R662" s="82"/>
      <c r="S662" s="82"/>
      <c r="T662" s="82"/>
      <c r="U662" s="82"/>
      <c r="V662" s="82"/>
      <c r="W662" s="82"/>
      <c r="X662" s="82"/>
      <c r="Y662" s="82"/>
      <c r="Z662" s="82"/>
      <c r="AA662" s="82"/>
      <c r="AB662" s="82"/>
      <c r="AC662" s="82"/>
      <c r="AD662" s="82"/>
      <c r="AE662" s="82"/>
      <c r="AF662" s="82"/>
      <c r="AG662" s="82"/>
      <c r="AH662" s="82"/>
      <c r="AI662" s="82"/>
      <c r="AJ662" s="82"/>
      <c r="AK662" s="82"/>
      <c r="AL662" s="82"/>
      <c r="AM662" s="82"/>
      <c r="AN662" s="82">
        <f>IFERROR(__xludf.DUMMYFUNCTION("""COMPUTED_VALUE"""),0.0)</f>
        <v>0</v>
      </c>
      <c r="AO662" s="82">
        <f>IFERROR(__xludf.DUMMYFUNCTION("""COMPUTED_VALUE"""),0.0)</f>
        <v>0</v>
      </c>
      <c r="AP662" s="82">
        <f>IFERROR(__xludf.DUMMYFUNCTION("""COMPUTED_VALUE"""),0.0)</f>
        <v>0</v>
      </c>
      <c r="AQ662" s="82">
        <f>IFERROR(__xludf.DUMMYFUNCTION("""COMPUTED_VALUE"""),0.0)</f>
        <v>0</v>
      </c>
      <c r="AR662" s="82">
        <f>IFERROR(__xludf.DUMMYFUNCTION("""COMPUTED_VALUE"""),0.0)</f>
        <v>0</v>
      </c>
      <c r="AS662" s="82"/>
      <c r="AT662" s="82">
        <f>IFERROR(__xludf.DUMMYFUNCTION("""COMPUTED_VALUE"""),0.0)</f>
        <v>0</v>
      </c>
      <c r="AU662" s="82"/>
      <c r="AV662" s="82"/>
      <c r="AW662" s="82" t="str">
        <f t="shared" si="1"/>
        <v/>
      </c>
      <c r="AX662" s="83" t="str">
        <f t="array" ref="AX662">IFERROR(DGET('SBV Import'!A:G,"SBV",{"RSC ID","Tier";B662,A662}))</f>
        <v/>
      </c>
      <c r="AY662" s="82" t="str">
        <f t="shared" si="2"/>
        <v/>
      </c>
      <c r="AZ662" s="82"/>
      <c r="BA662" s="84" t="s">
        <v>152</v>
      </c>
      <c r="BB662" s="84" t="str">
        <f>IFERROR(__xludf.DUMMYFUNCTION("iferror(if(A662="""",,E662&gt;=FILTER(Constants!$F$2:$F$10,Constants!$A$2:$A$10=A662)))"),"")</f>
        <v/>
      </c>
    </row>
    <row r="663">
      <c r="A663" s="80"/>
      <c r="B663" s="87"/>
      <c r="C663" s="73"/>
      <c r="D663" s="73"/>
      <c r="E663" s="82"/>
      <c r="F663" s="82"/>
      <c r="G663" s="82"/>
      <c r="H663" s="86"/>
      <c r="I663" s="86"/>
      <c r="J663" s="82"/>
      <c r="K663" s="82"/>
      <c r="L663" s="82"/>
      <c r="M663" s="82"/>
      <c r="N663" s="82"/>
      <c r="O663" s="82"/>
      <c r="P663" s="82"/>
      <c r="Q663" s="82"/>
      <c r="R663" s="82"/>
      <c r="S663" s="82"/>
      <c r="T663" s="82"/>
      <c r="U663" s="82"/>
      <c r="V663" s="82"/>
      <c r="W663" s="82"/>
      <c r="X663" s="82"/>
      <c r="Y663" s="82"/>
      <c r="Z663" s="82"/>
      <c r="AA663" s="82"/>
      <c r="AB663" s="82"/>
      <c r="AC663" s="82"/>
      <c r="AD663" s="82"/>
      <c r="AE663" s="82"/>
      <c r="AF663" s="82"/>
      <c r="AG663" s="82"/>
      <c r="AH663" s="82"/>
      <c r="AI663" s="82"/>
      <c r="AJ663" s="82"/>
      <c r="AK663" s="82"/>
      <c r="AL663" s="82"/>
      <c r="AM663" s="82"/>
      <c r="AN663" s="82">
        <f>IFERROR(__xludf.DUMMYFUNCTION("""COMPUTED_VALUE"""),0.0)</f>
        <v>0</v>
      </c>
      <c r="AO663" s="82">
        <f>IFERROR(__xludf.DUMMYFUNCTION("""COMPUTED_VALUE"""),0.0)</f>
        <v>0</v>
      </c>
      <c r="AP663" s="82">
        <f>IFERROR(__xludf.DUMMYFUNCTION("""COMPUTED_VALUE"""),0.0)</f>
        <v>0</v>
      </c>
      <c r="AQ663" s="82">
        <f>IFERROR(__xludf.DUMMYFUNCTION("""COMPUTED_VALUE"""),0.0)</f>
        <v>0</v>
      </c>
      <c r="AR663" s="82">
        <f>IFERROR(__xludf.DUMMYFUNCTION("""COMPUTED_VALUE"""),0.0)</f>
        <v>0</v>
      </c>
      <c r="AS663" s="82"/>
      <c r="AT663" s="82">
        <f>IFERROR(__xludf.DUMMYFUNCTION("""COMPUTED_VALUE"""),0.0)</f>
        <v>0</v>
      </c>
      <c r="AU663" s="82"/>
      <c r="AV663" s="82"/>
      <c r="AW663" s="82" t="str">
        <f t="shared" si="1"/>
        <v/>
      </c>
      <c r="AX663" s="83" t="str">
        <f t="array" ref="AX663">IFERROR(DGET('SBV Import'!A:G,"SBV",{"RSC ID","Tier";B663,A663}))</f>
        <v/>
      </c>
      <c r="AY663" s="82" t="str">
        <f t="shared" si="2"/>
        <v/>
      </c>
      <c r="AZ663" s="82"/>
      <c r="BA663" s="84" t="s">
        <v>152</v>
      </c>
      <c r="BB663" s="84" t="str">
        <f>IFERROR(__xludf.DUMMYFUNCTION("iferror(if(A663="""",,E663&gt;=FILTER(Constants!$F$2:$F$10,Constants!$A$2:$A$10=A663)))"),"")</f>
        <v/>
      </c>
    </row>
    <row r="664">
      <c r="A664" s="80"/>
      <c r="B664" s="87"/>
      <c r="C664" s="73"/>
      <c r="D664" s="73"/>
      <c r="E664" s="82"/>
      <c r="F664" s="82"/>
      <c r="G664" s="82"/>
      <c r="H664" s="86"/>
      <c r="I664" s="86"/>
      <c r="J664" s="82"/>
      <c r="K664" s="82"/>
      <c r="L664" s="82"/>
      <c r="M664" s="82"/>
      <c r="N664" s="82"/>
      <c r="O664" s="82"/>
      <c r="P664" s="82"/>
      <c r="Q664" s="82"/>
      <c r="R664" s="82"/>
      <c r="S664" s="82"/>
      <c r="T664" s="82"/>
      <c r="U664" s="82"/>
      <c r="V664" s="82"/>
      <c r="W664" s="82"/>
      <c r="X664" s="82"/>
      <c r="Y664" s="82"/>
      <c r="Z664" s="82"/>
      <c r="AA664" s="82"/>
      <c r="AB664" s="82"/>
      <c r="AC664" s="82"/>
      <c r="AD664" s="82"/>
      <c r="AE664" s="82"/>
      <c r="AF664" s="82"/>
      <c r="AG664" s="82"/>
      <c r="AH664" s="82"/>
      <c r="AI664" s="82"/>
      <c r="AJ664" s="82"/>
      <c r="AK664" s="82"/>
      <c r="AL664" s="82"/>
      <c r="AM664" s="82"/>
      <c r="AN664" s="82">
        <f>IFERROR(__xludf.DUMMYFUNCTION("""COMPUTED_VALUE"""),0.0)</f>
        <v>0</v>
      </c>
      <c r="AO664" s="82">
        <f>IFERROR(__xludf.DUMMYFUNCTION("""COMPUTED_VALUE"""),0.0)</f>
        <v>0</v>
      </c>
      <c r="AP664" s="82">
        <f>IFERROR(__xludf.DUMMYFUNCTION("""COMPUTED_VALUE"""),0.0)</f>
        <v>0</v>
      </c>
      <c r="AQ664" s="82">
        <f>IFERROR(__xludf.DUMMYFUNCTION("""COMPUTED_VALUE"""),0.0)</f>
        <v>0</v>
      </c>
      <c r="AR664" s="82">
        <f>IFERROR(__xludf.DUMMYFUNCTION("""COMPUTED_VALUE"""),0.0)</f>
        <v>0</v>
      </c>
      <c r="AS664" s="82"/>
      <c r="AT664" s="82">
        <f>IFERROR(__xludf.DUMMYFUNCTION("""COMPUTED_VALUE"""),0.0)</f>
        <v>0</v>
      </c>
      <c r="AU664" s="82"/>
      <c r="AV664" s="82"/>
      <c r="AW664" s="82" t="str">
        <f t="shared" si="1"/>
        <v/>
      </c>
      <c r="AX664" s="83" t="str">
        <f t="array" ref="AX664">IFERROR(DGET('SBV Import'!A:G,"SBV",{"RSC ID","Tier";B664,A664}))</f>
        <v/>
      </c>
      <c r="AY664" s="82" t="str">
        <f t="shared" si="2"/>
        <v/>
      </c>
      <c r="AZ664" s="82"/>
      <c r="BA664" s="84" t="s">
        <v>152</v>
      </c>
      <c r="BB664" s="84" t="str">
        <f>IFERROR(__xludf.DUMMYFUNCTION("iferror(if(A664="""",,E664&gt;=FILTER(Constants!$F$2:$F$10,Constants!$A$2:$A$10=A664)))"),"")</f>
        <v/>
      </c>
    </row>
    <row r="665">
      <c r="A665" s="80"/>
      <c r="B665" s="87"/>
      <c r="C665" s="73"/>
      <c r="D665" s="73"/>
      <c r="E665" s="82"/>
      <c r="F665" s="82"/>
      <c r="G665" s="82"/>
      <c r="H665" s="86"/>
      <c r="I665" s="86"/>
      <c r="J665" s="82"/>
      <c r="K665" s="82"/>
      <c r="L665" s="82"/>
      <c r="M665" s="82"/>
      <c r="N665" s="82"/>
      <c r="O665" s="82"/>
      <c r="P665" s="82"/>
      <c r="Q665" s="82"/>
      <c r="R665" s="82"/>
      <c r="S665" s="82"/>
      <c r="T665" s="82"/>
      <c r="U665" s="82"/>
      <c r="V665" s="82"/>
      <c r="W665" s="82"/>
      <c r="X665" s="82"/>
      <c r="Y665" s="82"/>
      <c r="Z665" s="82"/>
      <c r="AA665" s="82"/>
      <c r="AB665" s="82"/>
      <c r="AC665" s="82"/>
      <c r="AD665" s="82"/>
      <c r="AE665" s="82"/>
      <c r="AF665" s="82"/>
      <c r="AG665" s="82"/>
      <c r="AH665" s="82"/>
      <c r="AI665" s="82"/>
      <c r="AJ665" s="82"/>
      <c r="AK665" s="82"/>
      <c r="AL665" s="82"/>
      <c r="AM665" s="82"/>
      <c r="AN665" s="82">
        <f>IFERROR(__xludf.DUMMYFUNCTION("""COMPUTED_VALUE"""),0.0)</f>
        <v>0</v>
      </c>
      <c r="AO665" s="82">
        <f>IFERROR(__xludf.DUMMYFUNCTION("""COMPUTED_VALUE"""),0.0)</f>
        <v>0</v>
      </c>
      <c r="AP665" s="82">
        <f>IFERROR(__xludf.DUMMYFUNCTION("""COMPUTED_VALUE"""),0.0)</f>
        <v>0</v>
      </c>
      <c r="AQ665" s="82">
        <f>IFERROR(__xludf.DUMMYFUNCTION("""COMPUTED_VALUE"""),0.0)</f>
        <v>0</v>
      </c>
      <c r="AR665" s="82">
        <f>IFERROR(__xludf.DUMMYFUNCTION("""COMPUTED_VALUE"""),0.0)</f>
        <v>0</v>
      </c>
      <c r="AS665" s="82"/>
      <c r="AT665" s="82">
        <f>IFERROR(__xludf.DUMMYFUNCTION("""COMPUTED_VALUE"""),0.0)</f>
        <v>0</v>
      </c>
      <c r="AU665" s="82"/>
      <c r="AV665" s="82"/>
      <c r="AW665" s="82" t="str">
        <f t="shared" si="1"/>
        <v/>
      </c>
      <c r="AX665" s="83" t="str">
        <f t="array" ref="AX665">IFERROR(DGET('SBV Import'!A:G,"SBV",{"RSC ID","Tier";B665,A665}))</f>
        <v/>
      </c>
      <c r="AY665" s="82" t="str">
        <f t="shared" si="2"/>
        <v/>
      </c>
      <c r="AZ665" s="82"/>
      <c r="BA665" s="84" t="s">
        <v>152</v>
      </c>
      <c r="BB665" s="84" t="str">
        <f>IFERROR(__xludf.DUMMYFUNCTION("iferror(if(A665="""",,E665&gt;=FILTER(Constants!$F$2:$F$10,Constants!$A$2:$A$10=A665)))"),"")</f>
        <v/>
      </c>
    </row>
    <row r="666">
      <c r="A666" s="80"/>
      <c r="B666" s="87"/>
      <c r="C666" s="73"/>
      <c r="D666" s="73"/>
      <c r="E666" s="82"/>
      <c r="F666" s="82"/>
      <c r="G666" s="82"/>
      <c r="H666" s="86"/>
      <c r="I666" s="86"/>
      <c r="J666" s="82"/>
      <c r="K666" s="82"/>
      <c r="L666" s="82"/>
      <c r="M666" s="82"/>
      <c r="N666" s="82"/>
      <c r="O666" s="82"/>
      <c r="P666" s="82"/>
      <c r="Q666" s="82"/>
      <c r="R666" s="82"/>
      <c r="S666" s="82"/>
      <c r="T666" s="82"/>
      <c r="U666" s="82"/>
      <c r="V666" s="82"/>
      <c r="W666" s="82"/>
      <c r="X666" s="82"/>
      <c r="Y666" s="82"/>
      <c r="Z666" s="82"/>
      <c r="AA666" s="82"/>
      <c r="AB666" s="82"/>
      <c r="AC666" s="82"/>
      <c r="AD666" s="82"/>
      <c r="AE666" s="82"/>
      <c r="AF666" s="82"/>
      <c r="AG666" s="82"/>
      <c r="AH666" s="82"/>
      <c r="AI666" s="82"/>
      <c r="AJ666" s="82"/>
      <c r="AK666" s="82"/>
      <c r="AL666" s="82"/>
      <c r="AM666" s="82"/>
      <c r="AN666" s="82">
        <f>IFERROR(__xludf.DUMMYFUNCTION("""COMPUTED_VALUE"""),0.0)</f>
        <v>0</v>
      </c>
      <c r="AO666" s="82">
        <f>IFERROR(__xludf.DUMMYFUNCTION("""COMPUTED_VALUE"""),0.0)</f>
        <v>0</v>
      </c>
      <c r="AP666" s="82">
        <f>IFERROR(__xludf.DUMMYFUNCTION("""COMPUTED_VALUE"""),0.0)</f>
        <v>0</v>
      </c>
      <c r="AQ666" s="82">
        <f>IFERROR(__xludf.DUMMYFUNCTION("""COMPUTED_VALUE"""),0.0)</f>
        <v>0</v>
      </c>
      <c r="AR666" s="82">
        <f>IFERROR(__xludf.DUMMYFUNCTION("""COMPUTED_VALUE"""),0.0)</f>
        <v>0</v>
      </c>
      <c r="AS666" s="82"/>
      <c r="AT666" s="82">
        <f>IFERROR(__xludf.DUMMYFUNCTION("""COMPUTED_VALUE"""),0.0)</f>
        <v>0</v>
      </c>
      <c r="AU666" s="82"/>
      <c r="AV666" s="82"/>
      <c r="AW666" s="82" t="str">
        <f t="shared" si="1"/>
        <v/>
      </c>
      <c r="AX666" s="83" t="str">
        <f t="array" ref="AX666">IFERROR(DGET('SBV Import'!A:G,"SBV",{"RSC ID","Tier";B666,A666}))</f>
        <v/>
      </c>
      <c r="AY666" s="82" t="str">
        <f t="shared" si="2"/>
        <v/>
      </c>
      <c r="AZ666" s="82"/>
      <c r="BA666" s="84" t="s">
        <v>152</v>
      </c>
      <c r="BB666" s="84" t="str">
        <f>IFERROR(__xludf.DUMMYFUNCTION("iferror(if(A666="""",,E666&gt;=FILTER(Constants!$F$2:$F$10,Constants!$A$2:$A$10=A666)))"),"")</f>
        <v/>
      </c>
    </row>
    <row r="667">
      <c r="A667" s="80"/>
      <c r="B667" s="87"/>
      <c r="C667" s="73"/>
      <c r="D667" s="73"/>
      <c r="E667" s="82"/>
      <c r="F667" s="82"/>
      <c r="G667" s="82"/>
      <c r="H667" s="86"/>
      <c r="I667" s="86"/>
      <c r="J667" s="82"/>
      <c r="K667" s="82"/>
      <c r="L667" s="82"/>
      <c r="M667" s="82"/>
      <c r="N667" s="82"/>
      <c r="O667" s="82"/>
      <c r="P667" s="82"/>
      <c r="Q667" s="82"/>
      <c r="R667" s="82"/>
      <c r="S667" s="82"/>
      <c r="T667" s="82"/>
      <c r="U667" s="82"/>
      <c r="V667" s="82"/>
      <c r="W667" s="82"/>
      <c r="X667" s="82"/>
      <c r="Y667" s="82"/>
      <c r="Z667" s="82"/>
      <c r="AA667" s="82"/>
      <c r="AB667" s="82"/>
      <c r="AC667" s="82"/>
      <c r="AD667" s="82"/>
      <c r="AE667" s="82"/>
      <c r="AF667" s="82"/>
      <c r="AG667" s="82"/>
      <c r="AH667" s="82"/>
      <c r="AI667" s="82"/>
      <c r="AJ667" s="82"/>
      <c r="AK667" s="82"/>
      <c r="AL667" s="82"/>
      <c r="AM667" s="82"/>
      <c r="AN667" s="82">
        <f>IFERROR(__xludf.DUMMYFUNCTION("""COMPUTED_VALUE"""),0.0)</f>
        <v>0</v>
      </c>
      <c r="AO667" s="82">
        <f>IFERROR(__xludf.DUMMYFUNCTION("""COMPUTED_VALUE"""),0.0)</f>
        <v>0</v>
      </c>
      <c r="AP667" s="82">
        <f>IFERROR(__xludf.DUMMYFUNCTION("""COMPUTED_VALUE"""),0.0)</f>
        <v>0</v>
      </c>
      <c r="AQ667" s="82">
        <f>IFERROR(__xludf.DUMMYFUNCTION("""COMPUTED_VALUE"""),0.0)</f>
        <v>0</v>
      </c>
      <c r="AR667" s="82">
        <f>IFERROR(__xludf.DUMMYFUNCTION("""COMPUTED_VALUE"""),0.0)</f>
        <v>0</v>
      </c>
      <c r="AS667" s="82"/>
      <c r="AT667" s="82">
        <f>IFERROR(__xludf.DUMMYFUNCTION("""COMPUTED_VALUE"""),0.0)</f>
        <v>0</v>
      </c>
      <c r="AU667" s="82"/>
      <c r="AV667" s="82"/>
      <c r="AW667" s="82" t="str">
        <f t="shared" si="1"/>
        <v/>
      </c>
      <c r="AX667" s="83" t="str">
        <f t="array" ref="AX667">IFERROR(DGET('SBV Import'!A:G,"SBV",{"RSC ID","Tier";B667,A667}))</f>
        <v/>
      </c>
      <c r="AY667" s="82" t="str">
        <f t="shared" si="2"/>
        <v/>
      </c>
      <c r="AZ667" s="82"/>
      <c r="BA667" s="84" t="s">
        <v>152</v>
      </c>
      <c r="BB667" s="84" t="str">
        <f>IFERROR(__xludf.DUMMYFUNCTION("iferror(if(A667="""",,E667&gt;=FILTER(Constants!$F$2:$F$10,Constants!$A$2:$A$10=A667)))"),"")</f>
        <v/>
      </c>
    </row>
    <row r="668">
      <c r="A668" s="80"/>
      <c r="B668" s="87"/>
      <c r="C668" s="73"/>
      <c r="D668" s="73"/>
      <c r="E668" s="82"/>
      <c r="F668" s="82"/>
      <c r="G668" s="82"/>
      <c r="H668" s="86"/>
      <c r="I668" s="86"/>
      <c r="J668" s="82"/>
      <c r="K668" s="82"/>
      <c r="L668" s="82"/>
      <c r="M668" s="82"/>
      <c r="N668" s="82"/>
      <c r="O668" s="82"/>
      <c r="P668" s="82"/>
      <c r="Q668" s="82"/>
      <c r="R668" s="82"/>
      <c r="S668" s="82"/>
      <c r="T668" s="82"/>
      <c r="U668" s="82"/>
      <c r="V668" s="82"/>
      <c r="W668" s="82"/>
      <c r="X668" s="82"/>
      <c r="Y668" s="82"/>
      <c r="Z668" s="82"/>
      <c r="AA668" s="82"/>
      <c r="AB668" s="82"/>
      <c r="AC668" s="82"/>
      <c r="AD668" s="82"/>
      <c r="AE668" s="82"/>
      <c r="AF668" s="82"/>
      <c r="AG668" s="82"/>
      <c r="AH668" s="82"/>
      <c r="AI668" s="82"/>
      <c r="AJ668" s="82"/>
      <c r="AK668" s="82"/>
      <c r="AL668" s="82"/>
      <c r="AM668" s="82"/>
      <c r="AN668" s="82">
        <f>IFERROR(__xludf.DUMMYFUNCTION("""COMPUTED_VALUE"""),0.0)</f>
        <v>0</v>
      </c>
      <c r="AO668" s="82">
        <f>IFERROR(__xludf.DUMMYFUNCTION("""COMPUTED_VALUE"""),0.0)</f>
        <v>0</v>
      </c>
      <c r="AP668" s="82">
        <f>IFERROR(__xludf.DUMMYFUNCTION("""COMPUTED_VALUE"""),0.0)</f>
        <v>0</v>
      </c>
      <c r="AQ668" s="82">
        <f>IFERROR(__xludf.DUMMYFUNCTION("""COMPUTED_VALUE"""),0.0)</f>
        <v>0</v>
      </c>
      <c r="AR668" s="82">
        <f>IFERROR(__xludf.DUMMYFUNCTION("""COMPUTED_VALUE"""),0.0)</f>
        <v>0</v>
      </c>
      <c r="AS668" s="82"/>
      <c r="AT668" s="82">
        <f>IFERROR(__xludf.DUMMYFUNCTION("""COMPUTED_VALUE"""),0.0)</f>
        <v>0</v>
      </c>
      <c r="AU668" s="82"/>
      <c r="AV668" s="82"/>
      <c r="AW668" s="82" t="str">
        <f t="shared" si="1"/>
        <v/>
      </c>
      <c r="AX668" s="83" t="str">
        <f t="array" ref="AX668">IFERROR(DGET('SBV Import'!A:G,"SBV",{"RSC ID","Tier";B668,A668}))</f>
        <v/>
      </c>
      <c r="AY668" s="82" t="str">
        <f t="shared" si="2"/>
        <v/>
      </c>
      <c r="AZ668" s="82"/>
      <c r="BA668" s="84" t="s">
        <v>152</v>
      </c>
      <c r="BB668" s="84" t="str">
        <f>IFERROR(__xludf.DUMMYFUNCTION("iferror(if(A668="""",,E668&gt;=FILTER(Constants!$F$2:$F$10,Constants!$A$2:$A$10=A668)))"),"")</f>
        <v/>
      </c>
    </row>
    <row r="669">
      <c r="A669" s="80"/>
      <c r="B669" s="87"/>
      <c r="C669" s="73"/>
      <c r="D669" s="73"/>
      <c r="E669" s="82"/>
      <c r="F669" s="82"/>
      <c r="G669" s="82"/>
      <c r="H669" s="86"/>
      <c r="I669" s="86"/>
      <c r="J669" s="82"/>
      <c r="K669" s="82"/>
      <c r="L669" s="82"/>
      <c r="M669" s="82"/>
      <c r="N669" s="82"/>
      <c r="O669" s="82"/>
      <c r="P669" s="82"/>
      <c r="Q669" s="82"/>
      <c r="R669" s="82"/>
      <c r="S669" s="82"/>
      <c r="T669" s="82"/>
      <c r="U669" s="82"/>
      <c r="V669" s="82"/>
      <c r="W669" s="82"/>
      <c r="X669" s="82"/>
      <c r="Y669" s="82"/>
      <c r="Z669" s="82"/>
      <c r="AA669" s="82"/>
      <c r="AB669" s="82"/>
      <c r="AC669" s="82"/>
      <c r="AD669" s="82"/>
      <c r="AE669" s="82"/>
      <c r="AF669" s="82"/>
      <c r="AG669" s="82"/>
      <c r="AH669" s="82"/>
      <c r="AI669" s="82"/>
      <c r="AJ669" s="82"/>
      <c r="AK669" s="82"/>
      <c r="AL669" s="82"/>
      <c r="AM669" s="82"/>
      <c r="AN669" s="82">
        <f>IFERROR(__xludf.DUMMYFUNCTION("""COMPUTED_VALUE"""),0.0)</f>
        <v>0</v>
      </c>
      <c r="AO669" s="82">
        <f>IFERROR(__xludf.DUMMYFUNCTION("""COMPUTED_VALUE"""),0.0)</f>
        <v>0</v>
      </c>
      <c r="AP669" s="82">
        <f>IFERROR(__xludf.DUMMYFUNCTION("""COMPUTED_VALUE"""),0.0)</f>
        <v>0</v>
      </c>
      <c r="AQ669" s="82">
        <f>IFERROR(__xludf.DUMMYFUNCTION("""COMPUTED_VALUE"""),0.0)</f>
        <v>0</v>
      </c>
      <c r="AR669" s="82">
        <f>IFERROR(__xludf.DUMMYFUNCTION("""COMPUTED_VALUE"""),0.0)</f>
        <v>0</v>
      </c>
      <c r="AS669" s="82"/>
      <c r="AT669" s="82">
        <f>IFERROR(__xludf.DUMMYFUNCTION("""COMPUTED_VALUE"""),0.0)</f>
        <v>0</v>
      </c>
      <c r="AU669" s="82"/>
      <c r="AV669" s="82"/>
      <c r="AW669" s="82" t="str">
        <f t="shared" si="1"/>
        <v/>
      </c>
      <c r="AX669" s="83" t="str">
        <f t="array" ref="AX669">IFERROR(DGET('SBV Import'!A:G,"SBV",{"RSC ID","Tier";B669,A669}))</f>
        <v/>
      </c>
      <c r="AY669" s="82" t="str">
        <f t="shared" si="2"/>
        <v/>
      </c>
      <c r="AZ669" s="82"/>
      <c r="BA669" s="84" t="s">
        <v>152</v>
      </c>
      <c r="BB669" s="84" t="str">
        <f>IFERROR(__xludf.DUMMYFUNCTION("iferror(if(A669="""",,E669&gt;=FILTER(Constants!$F$2:$F$10,Constants!$A$2:$A$10=A669)))"),"")</f>
        <v/>
      </c>
    </row>
    <row r="670">
      <c r="A670" s="80"/>
      <c r="B670" s="87"/>
      <c r="C670" s="73"/>
      <c r="D670" s="73"/>
      <c r="E670" s="82"/>
      <c r="F670" s="82"/>
      <c r="G670" s="82"/>
      <c r="H670" s="86"/>
      <c r="I670" s="86"/>
      <c r="J670" s="82"/>
      <c r="K670" s="82"/>
      <c r="L670" s="82"/>
      <c r="M670" s="82"/>
      <c r="N670" s="82"/>
      <c r="O670" s="82"/>
      <c r="P670" s="82"/>
      <c r="Q670" s="82"/>
      <c r="R670" s="82"/>
      <c r="S670" s="82"/>
      <c r="T670" s="82"/>
      <c r="U670" s="82"/>
      <c r="V670" s="82"/>
      <c r="W670" s="82"/>
      <c r="X670" s="82"/>
      <c r="Y670" s="82"/>
      <c r="Z670" s="82"/>
      <c r="AA670" s="82"/>
      <c r="AB670" s="82"/>
      <c r="AC670" s="82"/>
      <c r="AD670" s="82"/>
      <c r="AE670" s="82"/>
      <c r="AF670" s="82"/>
      <c r="AG670" s="82"/>
      <c r="AH670" s="82"/>
      <c r="AI670" s="82"/>
      <c r="AJ670" s="82"/>
      <c r="AK670" s="82"/>
      <c r="AL670" s="82"/>
      <c r="AM670" s="82"/>
      <c r="AN670" s="82">
        <f>IFERROR(__xludf.DUMMYFUNCTION("""COMPUTED_VALUE"""),0.0)</f>
        <v>0</v>
      </c>
      <c r="AO670" s="82">
        <f>IFERROR(__xludf.DUMMYFUNCTION("""COMPUTED_VALUE"""),0.0)</f>
        <v>0</v>
      </c>
      <c r="AP670" s="82">
        <f>IFERROR(__xludf.DUMMYFUNCTION("""COMPUTED_VALUE"""),0.0)</f>
        <v>0</v>
      </c>
      <c r="AQ670" s="82">
        <f>IFERROR(__xludf.DUMMYFUNCTION("""COMPUTED_VALUE"""),0.0)</f>
        <v>0</v>
      </c>
      <c r="AR670" s="82">
        <f>IFERROR(__xludf.DUMMYFUNCTION("""COMPUTED_VALUE"""),0.0)</f>
        <v>0</v>
      </c>
      <c r="AS670" s="82"/>
      <c r="AT670" s="82">
        <f>IFERROR(__xludf.DUMMYFUNCTION("""COMPUTED_VALUE"""),0.0)</f>
        <v>0</v>
      </c>
      <c r="AU670" s="82"/>
      <c r="AV670" s="82"/>
      <c r="AW670" s="82" t="str">
        <f t="shared" si="1"/>
        <v/>
      </c>
      <c r="AX670" s="83" t="str">
        <f t="array" ref="AX670">IFERROR(DGET('SBV Import'!A:G,"SBV",{"RSC ID","Tier";B670,A670}))</f>
        <v/>
      </c>
      <c r="AY670" s="82" t="str">
        <f t="shared" si="2"/>
        <v/>
      </c>
      <c r="AZ670" s="82"/>
      <c r="BA670" s="84" t="s">
        <v>152</v>
      </c>
      <c r="BB670" s="84" t="str">
        <f>IFERROR(__xludf.DUMMYFUNCTION("iferror(if(A670="""",,E670&gt;=FILTER(Constants!$F$2:$F$10,Constants!$A$2:$A$10=A670)))"),"")</f>
        <v/>
      </c>
    </row>
    <row r="671">
      <c r="A671" s="80"/>
      <c r="B671" s="87"/>
      <c r="C671" s="73"/>
      <c r="D671" s="73"/>
      <c r="E671" s="82"/>
      <c r="F671" s="82"/>
      <c r="G671" s="82"/>
      <c r="H671" s="86"/>
      <c r="I671" s="86"/>
      <c r="J671" s="82"/>
      <c r="K671" s="82"/>
      <c r="L671" s="82"/>
      <c r="M671" s="82"/>
      <c r="N671" s="82"/>
      <c r="O671" s="82"/>
      <c r="P671" s="82"/>
      <c r="Q671" s="82"/>
      <c r="R671" s="82"/>
      <c r="S671" s="82"/>
      <c r="T671" s="82"/>
      <c r="U671" s="82"/>
      <c r="V671" s="82"/>
      <c r="W671" s="82"/>
      <c r="X671" s="82"/>
      <c r="Y671" s="82"/>
      <c r="Z671" s="82"/>
      <c r="AA671" s="82"/>
      <c r="AB671" s="82"/>
      <c r="AC671" s="82"/>
      <c r="AD671" s="82"/>
      <c r="AE671" s="82"/>
      <c r="AF671" s="82"/>
      <c r="AG671" s="82"/>
      <c r="AH671" s="82"/>
      <c r="AI671" s="82"/>
      <c r="AJ671" s="82"/>
      <c r="AK671" s="82"/>
      <c r="AL671" s="82"/>
      <c r="AM671" s="82"/>
      <c r="AN671" s="82">
        <f>IFERROR(__xludf.DUMMYFUNCTION("""COMPUTED_VALUE"""),0.0)</f>
        <v>0</v>
      </c>
      <c r="AO671" s="82">
        <f>IFERROR(__xludf.DUMMYFUNCTION("""COMPUTED_VALUE"""),0.0)</f>
        <v>0</v>
      </c>
      <c r="AP671" s="82">
        <f>IFERROR(__xludf.DUMMYFUNCTION("""COMPUTED_VALUE"""),0.0)</f>
        <v>0</v>
      </c>
      <c r="AQ671" s="82">
        <f>IFERROR(__xludf.DUMMYFUNCTION("""COMPUTED_VALUE"""),0.0)</f>
        <v>0</v>
      </c>
      <c r="AR671" s="82">
        <f>IFERROR(__xludf.DUMMYFUNCTION("""COMPUTED_VALUE"""),0.0)</f>
        <v>0</v>
      </c>
      <c r="AS671" s="82"/>
      <c r="AT671" s="82">
        <f>IFERROR(__xludf.DUMMYFUNCTION("""COMPUTED_VALUE"""),0.0)</f>
        <v>0</v>
      </c>
      <c r="AU671" s="82"/>
      <c r="AV671" s="82"/>
      <c r="AW671" s="82" t="str">
        <f t="shared" si="1"/>
        <v/>
      </c>
      <c r="AX671" s="83" t="str">
        <f t="array" ref="AX671">IFERROR(DGET('SBV Import'!A:G,"SBV",{"RSC ID","Tier";B671,A671}))</f>
        <v/>
      </c>
      <c r="AY671" s="82" t="str">
        <f t="shared" si="2"/>
        <v/>
      </c>
      <c r="AZ671" s="82"/>
      <c r="BA671" s="84" t="s">
        <v>152</v>
      </c>
      <c r="BB671" s="84" t="str">
        <f>IFERROR(__xludf.DUMMYFUNCTION("iferror(if(A671="""",,E671&gt;=FILTER(Constants!$F$2:$F$10,Constants!$A$2:$A$10=A671)))"),"")</f>
        <v/>
      </c>
    </row>
    <row r="672">
      <c r="A672" s="80"/>
      <c r="B672" s="87"/>
      <c r="C672" s="73"/>
      <c r="D672" s="73"/>
      <c r="E672" s="82"/>
      <c r="F672" s="82"/>
      <c r="G672" s="82"/>
      <c r="H672" s="86"/>
      <c r="I672" s="86"/>
      <c r="J672" s="82"/>
      <c r="K672" s="82"/>
      <c r="L672" s="82"/>
      <c r="M672" s="82"/>
      <c r="N672" s="82"/>
      <c r="O672" s="82"/>
      <c r="P672" s="82"/>
      <c r="Q672" s="82"/>
      <c r="R672" s="82"/>
      <c r="S672" s="82"/>
      <c r="T672" s="82"/>
      <c r="U672" s="82"/>
      <c r="V672" s="82"/>
      <c r="W672" s="82"/>
      <c r="X672" s="82"/>
      <c r="Y672" s="82"/>
      <c r="Z672" s="82"/>
      <c r="AA672" s="82"/>
      <c r="AB672" s="82"/>
      <c r="AC672" s="82"/>
      <c r="AD672" s="82"/>
      <c r="AE672" s="82"/>
      <c r="AF672" s="82"/>
      <c r="AG672" s="82"/>
      <c r="AH672" s="82"/>
      <c r="AI672" s="82"/>
      <c r="AJ672" s="82"/>
      <c r="AK672" s="82"/>
      <c r="AL672" s="82"/>
      <c r="AM672" s="82"/>
      <c r="AN672" s="82">
        <f>IFERROR(__xludf.DUMMYFUNCTION("""COMPUTED_VALUE"""),0.0)</f>
        <v>0</v>
      </c>
      <c r="AO672" s="82">
        <f>IFERROR(__xludf.DUMMYFUNCTION("""COMPUTED_VALUE"""),0.0)</f>
        <v>0</v>
      </c>
      <c r="AP672" s="82">
        <f>IFERROR(__xludf.DUMMYFUNCTION("""COMPUTED_VALUE"""),0.0)</f>
        <v>0</v>
      </c>
      <c r="AQ672" s="82">
        <f>IFERROR(__xludf.DUMMYFUNCTION("""COMPUTED_VALUE"""),0.0)</f>
        <v>0</v>
      </c>
      <c r="AR672" s="82">
        <f>IFERROR(__xludf.DUMMYFUNCTION("""COMPUTED_VALUE"""),0.0)</f>
        <v>0</v>
      </c>
      <c r="AS672" s="82"/>
      <c r="AT672" s="82">
        <f>IFERROR(__xludf.DUMMYFUNCTION("""COMPUTED_VALUE"""),0.0)</f>
        <v>0</v>
      </c>
      <c r="AU672" s="82"/>
      <c r="AV672" s="82"/>
      <c r="AW672" s="82" t="str">
        <f t="shared" si="1"/>
        <v/>
      </c>
      <c r="AX672" s="83" t="str">
        <f t="array" ref="AX672">IFERROR(DGET('SBV Import'!A:G,"SBV",{"RSC ID","Tier";B672,A672}))</f>
        <v/>
      </c>
      <c r="AY672" s="82" t="str">
        <f t="shared" si="2"/>
        <v/>
      </c>
      <c r="AZ672" s="82"/>
      <c r="BA672" s="84" t="s">
        <v>152</v>
      </c>
      <c r="BB672" s="84" t="str">
        <f>IFERROR(__xludf.DUMMYFUNCTION("iferror(if(A672="""",,E672&gt;=FILTER(Constants!$F$2:$F$10,Constants!$A$2:$A$10=A672)))"),"")</f>
        <v/>
      </c>
    </row>
    <row r="673">
      <c r="A673" s="80"/>
      <c r="B673" s="87"/>
      <c r="C673" s="73"/>
      <c r="D673" s="73"/>
      <c r="E673" s="82"/>
      <c r="F673" s="82"/>
      <c r="G673" s="82"/>
      <c r="H673" s="86"/>
      <c r="I673" s="86"/>
      <c r="J673" s="82"/>
      <c r="K673" s="82"/>
      <c r="L673" s="82"/>
      <c r="M673" s="82"/>
      <c r="N673" s="82"/>
      <c r="O673" s="82"/>
      <c r="P673" s="82"/>
      <c r="Q673" s="82"/>
      <c r="R673" s="82"/>
      <c r="S673" s="82"/>
      <c r="T673" s="82"/>
      <c r="U673" s="82"/>
      <c r="V673" s="82"/>
      <c r="W673" s="82"/>
      <c r="X673" s="82"/>
      <c r="Y673" s="82"/>
      <c r="Z673" s="82"/>
      <c r="AA673" s="82"/>
      <c r="AB673" s="82"/>
      <c r="AC673" s="82"/>
      <c r="AD673" s="82"/>
      <c r="AE673" s="82"/>
      <c r="AF673" s="82"/>
      <c r="AG673" s="82"/>
      <c r="AH673" s="82"/>
      <c r="AI673" s="82"/>
      <c r="AJ673" s="82"/>
      <c r="AK673" s="82"/>
      <c r="AL673" s="82"/>
      <c r="AM673" s="82"/>
      <c r="AN673" s="82">
        <f>IFERROR(__xludf.DUMMYFUNCTION("""COMPUTED_VALUE"""),0.0)</f>
        <v>0</v>
      </c>
      <c r="AO673" s="82">
        <f>IFERROR(__xludf.DUMMYFUNCTION("""COMPUTED_VALUE"""),0.0)</f>
        <v>0</v>
      </c>
      <c r="AP673" s="82">
        <f>IFERROR(__xludf.DUMMYFUNCTION("""COMPUTED_VALUE"""),0.0)</f>
        <v>0</v>
      </c>
      <c r="AQ673" s="82">
        <f>IFERROR(__xludf.DUMMYFUNCTION("""COMPUTED_VALUE"""),0.0)</f>
        <v>0</v>
      </c>
      <c r="AR673" s="82">
        <f>IFERROR(__xludf.DUMMYFUNCTION("""COMPUTED_VALUE"""),0.0)</f>
        <v>0</v>
      </c>
      <c r="AS673" s="82"/>
      <c r="AT673" s="82">
        <f>IFERROR(__xludf.DUMMYFUNCTION("""COMPUTED_VALUE"""),0.0)</f>
        <v>0</v>
      </c>
      <c r="AU673" s="82"/>
      <c r="AV673" s="82"/>
      <c r="AW673" s="82" t="str">
        <f t="shared" si="1"/>
        <v/>
      </c>
      <c r="AX673" s="83" t="str">
        <f t="array" ref="AX673">IFERROR(DGET('SBV Import'!A:G,"SBV",{"RSC ID","Tier";B673,A673}))</f>
        <v/>
      </c>
      <c r="AY673" s="82" t="str">
        <f t="shared" si="2"/>
        <v/>
      </c>
      <c r="AZ673" s="82"/>
      <c r="BA673" s="84" t="s">
        <v>152</v>
      </c>
      <c r="BB673" s="84" t="str">
        <f>IFERROR(__xludf.DUMMYFUNCTION("iferror(if(A673="""",,E673&gt;=FILTER(Constants!$F$2:$F$10,Constants!$A$2:$A$10=A673)))"),"")</f>
        <v/>
      </c>
    </row>
    <row r="674">
      <c r="A674" s="80"/>
      <c r="B674" s="87"/>
      <c r="C674" s="73"/>
      <c r="D674" s="73"/>
      <c r="E674" s="82"/>
      <c r="F674" s="82"/>
      <c r="G674" s="82"/>
      <c r="H674" s="86"/>
      <c r="I674" s="86"/>
      <c r="J674" s="82"/>
      <c r="K674" s="82"/>
      <c r="L674" s="82"/>
      <c r="M674" s="82"/>
      <c r="N674" s="82"/>
      <c r="O674" s="82"/>
      <c r="P674" s="82"/>
      <c r="Q674" s="82"/>
      <c r="R674" s="82"/>
      <c r="S674" s="82"/>
      <c r="T674" s="82"/>
      <c r="U674" s="82"/>
      <c r="V674" s="82"/>
      <c r="W674" s="82"/>
      <c r="X674" s="82"/>
      <c r="Y674" s="82"/>
      <c r="Z674" s="82"/>
      <c r="AA674" s="82"/>
      <c r="AB674" s="82"/>
      <c r="AC674" s="82"/>
      <c r="AD674" s="82"/>
      <c r="AE674" s="82"/>
      <c r="AF674" s="82"/>
      <c r="AG674" s="82"/>
      <c r="AH674" s="82"/>
      <c r="AI674" s="82"/>
      <c r="AJ674" s="82"/>
      <c r="AK674" s="82"/>
      <c r="AL674" s="82"/>
      <c r="AM674" s="82"/>
      <c r="AN674" s="82">
        <f>IFERROR(__xludf.DUMMYFUNCTION("""COMPUTED_VALUE"""),0.0)</f>
        <v>0</v>
      </c>
      <c r="AO674" s="82">
        <f>IFERROR(__xludf.DUMMYFUNCTION("""COMPUTED_VALUE"""),0.0)</f>
        <v>0</v>
      </c>
      <c r="AP674" s="82">
        <f>IFERROR(__xludf.DUMMYFUNCTION("""COMPUTED_VALUE"""),0.0)</f>
        <v>0</v>
      </c>
      <c r="AQ674" s="82">
        <f>IFERROR(__xludf.DUMMYFUNCTION("""COMPUTED_VALUE"""),0.0)</f>
        <v>0</v>
      </c>
      <c r="AR674" s="82">
        <f>IFERROR(__xludf.DUMMYFUNCTION("""COMPUTED_VALUE"""),0.0)</f>
        <v>0</v>
      </c>
      <c r="AS674" s="82"/>
      <c r="AT674" s="82">
        <f>IFERROR(__xludf.DUMMYFUNCTION("""COMPUTED_VALUE"""),0.0)</f>
        <v>0</v>
      </c>
      <c r="AU674" s="82"/>
      <c r="AV674" s="82"/>
      <c r="AW674" s="82" t="str">
        <f t="shared" si="1"/>
        <v/>
      </c>
      <c r="AX674" s="83" t="str">
        <f t="array" ref="AX674">IFERROR(DGET('SBV Import'!A:G,"SBV",{"RSC ID","Tier";B674,A674}))</f>
        <v/>
      </c>
      <c r="AY674" s="82" t="str">
        <f t="shared" si="2"/>
        <v/>
      </c>
      <c r="AZ674" s="82"/>
      <c r="BA674" s="84" t="s">
        <v>152</v>
      </c>
      <c r="BB674" s="84" t="str">
        <f>IFERROR(__xludf.DUMMYFUNCTION("iferror(if(A674="""",,E674&gt;=FILTER(Constants!$F$2:$F$10,Constants!$A$2:$A$10=A674)))"),"")</f>
        <v/>
      </c>
    </row>
    <row r="675">
      <c r="A675" s="80"/>
      <c r="B675" s="87"/>
      <c r="C675" s="73"/>
      <c r="D675" s="73"/>
      <c r="E675" s="82"/>
      <c r="F675" s="82"/>
      <c r="G675" s="82"/>
      <c r="H675" s="86"/>
      <c r="I675" s="86"/>
      <c r="J675" s="82"/>
      <c r="K675" s="82"/>
      <c r="L675" s="82"/>
      <c r="M675" s="82"/>
      <c r="N675" s="82"/>
      <c r="O675" s="82"/>
      <c r="P675" s="82"/>
      <c r="Q675" s="82"/>
      <c r="R675" s="82"/>
      <c r="S675" s="82"/>
      <c r="T675" s="82"/>
      <c r="U675" s="82"/>
      <c r="V675" s="82"/>
      <c r="W675" s="82"/>
      <c r="X675" s="82"/>
      <c r="Y675" s="82"/>
      <c r="Z675" s="82"/>
      <c r="AA675" s="82"/>
      <c r="AB675" s="82"/>
      <c r="AC675" s="82"/>
      <c r="AD675" s="82"/>
      <c r="AE675" s="82"/>
      <c r="AF675" s="82"/>
      <c r="AG675" s="82"/>
      <c r="AH675" s="82"/>
      <c r="AI675" s="82"/>
      <c r="AJ675" s="82"/>
      <c r="AK675" s="82"/>
      <c r="AL675" s="82"/>
      <c r="AM675" s="82"/>
      <c r="AN675" s="82">
        <f>IFERROR(__xludf.DUMMYFUNCTION("""COMPUTED_VALUE"""),0.0)</f>
        <v>0</v>
      </c>
      <c r="AO675" s="82">
        <f>IFERROR(__xludf.DUMMYFUNCTION("""COMPUTED_VALUE"""),0.0)</f>
        <v>0</v>
      </c>
      <c r="AP675" s="82">
        <f>IFERROR(__xludf.DUMMYFUNCTION("""COMPUTED_VALUE"""),0.0)</f>
        <v>0</v>
      </c>
      <c r="AQ675" s="82">
        <f>IFERROR(__xludf.DUMMYFUNCTION("""COMPUTED_VALUE"""),0.0)</f>
        <v>0</v>
      </c>
      <c r="AR675" s="82">
        <f>IFERROR(__xludf.DUMMYFUNCTION("""COMPUTED_VALUE"""),0.0)</f>
        <v>0</v>
      </c>
      <c r="AS675" s="82"/>
      <c r="AT675" s="82">
        <f>IFERROR(__xludf.DUMMYFUNCTION("""COMPUTED_VALUE"""),0.0)</f>
        <v>0</v>
      </c>
      <c r="AU675" s="82"/>
      <c r="AV675" s="82"/>
      <c r="AW675" s="82" t="str">
        <f t="shared" si="1"/>
        <v/>
      </c>
      <c r="AX675" s="83" t="str">
        <f t="array" ref="AX675">IFERROR(DGET('SBV Import'!A:G,"SBV",{"RSC ID","Tier";B675,A675}))</f>
        <v/>
      </c>
      <c r="AY675" s="82" t="str">
        <f t="shared" si="2"/>
        <v/>
      </c>
      <c r="AZ675" s="82"/>
      <c r="BA675" s="84" t="s">
        <v>152</v>
      </c>
      <c r="BB675" s="84" t="str">
        <f>IFERROR(__xludf.DUMMYFUNCTION("iferror(if(A675="""",,E675&gt;=FILTER(Constants!$F$2:$F$10,Constants!$A$2:$A$10=A675)))"),"")</f>
        <v/>
      </c>
    </row>
    <row r="676">
      <c r="A676" s="80"/>
      <c r="B676" s="87"/>
      <c r="C676" s="73"/>
      <c r="D676" s="73"/>
      <c r="E676" s="82"/>
      <c r="F676" s="82"/>
      <c r="G676" s="82"/>
      <c r="H676" s="86"/>
      <c r="I676" s="86"/>
      <c r="J676" s="82"/>
      <c r="K676" s="82"/>
      <c r="L676" s="82"/>
      <c r="M676" s="82"/>
      <c r="N676" s="82"/>
      <c r="O676" s="82"/>
      <c r="P676" s="82"/>
      <c r="Q676" s="82"/>
      <c r="R676" s="82"/>
      <c r="S676" s="82"/>
      <c r="T676" s="82"/>
      <c r="U676" s="82"/>
      <c r="V676" s="82"/>
      <c r="W676" s="82"/>
      <c r="X676" s="82"/>
      <c r="Y676" s="82"/>
      <c r="Z676" s="82"/>
      <c r="AA676" s="82"/>
      <c r="AB676" s="82"/>
      <c r="AC676" s="82"/>
      <c r="AD676" s="82"/>
      <c r="AE676" s="82"/>
      <c r="AF676" s="82"/>
      <c r="AG676" s="82"/>
      <c r="AH676" s="82"/>
      <c r="AI676" s="82"/>
      <c r="AJ676" s="82"/>
      <c r="AK676" s="82"/>
      <c r="AL676" s="82"/>
      <c r="AM676" s="82"/>
      <c r="AN676" s="82">
        <f>IFERROR(__xludf.DUMMYFUNCTION("""COMPUTED_VALUE"""),0.0)</f>
        <v>0</v>
      </c>
      <c r="AO676" s="82">
        <f>IFERROR(__xludf.DUMMYFUNCTION("""COMPUTED_VALUE"""),0.0)</f>
        <v>0</v>
      </c>
      <c r="AP676" s="82">
        <f>IFERROR(__xludf.DUMMYFUNCTION("""COMPUTED_VALUE"""),0.0)</f>
        <v>0</v>
      </c>
      <c r="AQ676" s="82">
        <f>IFERROR(__xludf.DUMMYFUNCTION("""COMPUTED_VALUE"""),0.0)</f>
        <v>0</v>
      </c>
      <c r="AR676" s="82">
        <f>IFERROR(__xludf.DUMMYFUNCTION("""COMPUTED_VALUE"""),0.0)</f>
        <v>0</v>
      </c>
      <c r="AS676" s="82"/>
      <c r="AT676" s="82">
        <f>IFERROR(__xludf.DUMMYFUNCTION("""COMPUTED_VALUE"""),0.0)</f>
        <v>0</v>
      </c>
      <c r="AU676" s="82"/>
      <c r="AV676" s="82"/>
      <c r="AW676" s="82" t="str">
        <f t="shared" si="1"/>
        <v/>
      </c>
      <c r="AX676" s="83" t="str">
        <f t="array" ref="AX676">IFERROR(DGET('SBV Import'!A:G,"SBV",{"RSC ID","Tier";B676,A676}))</f>
        <v/>
      </c>
      <c r="AY676" s="82" t="str">
        <f t="shared" si="2"/>
        <v/>
      </c>
      <c r="AZ676" s="82"/>
      <c r="BA676" s="84" t="s">
        <v>152</v>
      </c>
      <c r="BB676" s="84" t="str">
        <f>IFERROR(__xludf.DUMMYFUNCTION("iferror(if(A676="""",,E676&gt;=FILTER(Constants!$F$2:$F$10,Constants!$A$2:$A$10=A676)))"),"")</f>
        <v/>
      </c>
    </row>
    <row r="677">
      <c r="A677" s="80"/>
      <c r="B677" s="87"/>
      <c r="C677" s="73"/>
      <c r="D677" s="73"/>
      <c r="E677" s="82"/>
      <c r="F677" s="82"/>
      <c r="G677" s="82"/>
      <c r="H677" s="86"/>
      <c r="I677" s="86"/>
      <c r="J677" s="82"/>
      <c r="K677" s="82"/>
      <c r="L677" s="82"/>
      <c r="M677" s="82"/>
      <c r="N677" s="82"/>
      <c r="O677" s="82"/>
      <c r="P677" s="82"/>
      <c r="Q677" s="82"/>
      <c r="R677" s="82"/>
      <c r="S677" s="82"/>
      <c r="T677" s="82"/>
      <c r="U677" s="82"/>
      <c r="V677" s="82"/>
      <c r="W677" s="82"/>
      <c r="X677" s="82"/>
      <c r="Y677" s="82"/>
      <c r="Z677" s="82"/>
      <c r="AA677" s="82"/>
      <c r="AB677" s="82"/>
      <c r="AC677" s="82"/>
      <c r="AD677" s="82"/>
      <c r="AE677" s="82"/>
      <c r="AF677" s="82"/>
      <c r="AG677" s="82"/>
      <c r="AH677" s="82"/>
      <c r="AI677" s="82"/>
      <c r="AJ677" s="82"/>
      <c r="AK677" s="82"/>
      <c r="AL677" s="82"/>
      <c r="AM677" s="82"/>
      <c r="AN677" s="82">
        <f>IFERROR(__xludf.DUMMYFUNCTION("""COMPUTED_VALUE"""),0.0)</f>
        <v>0</v>
      </c>
      <c r="AO677" s="82">
        <f>IFERROR(__xludf.DUMMYFUNCTION("""COMPUTED_VALUE"""),0.0)</f>
        <v>0</v>
      </c>
      <c r="AP677" s="82">
        <f>IFERROR(__xludf.DUMMYFUNCTION("""COMPUTED_VALUE"""),0.0)</f>
        <v>0</v>
      </c>
      <c r="AQ677" s="82">
        <f>IFERROR(__xludf.DUMMYFUNCTION("""COMPUTED_VALUE"""),0.0)</f>
        <v>0</v>
      </c>
      <c r="AR677" s="82">
        <f>IFERROR(__xludf.DUMMYFUNCTION("""COMPUTED_VALUE"""),0.0)</f>
        <v>0</v>
      </c>
      <c r="AS677" s="82"/>
      <c r="AT677" s="82">
        <f>IFERROR(__xludf.DUMMYFUNCTION("""COMPUTED_VALUE"""),0.0)</f>
        <v>0</v>
      </c>
      <c r="AU677" s="82"/>
      <c r="AV677" s="82"/>
      <c r="AW677" s="82" t="str">
        <f t="shared" si="1"/>
        <v/>
      </c>
      <c r="AX677" s="83" t="str">
        <f t="array" ref="AX677">IFERROR(DGET('SBV Import'!A:G,"SBV",{"RSC ID","Tier";B677,A677}))</f>
        <v/>
      </c>
      <c r="AY677" s="82" t="str">
        <f t="shared" si="2"/>
        <v/>
      </c>
      <c r="AZ677" s="82"/>
      <c r="BA677" s="84" t="s">
        <v>152</v>
      </c>
      <c r="BB677" s="84" t="str">
        <f>IFERROR(__xludf.DUMMYFUNCTION("iferror(if(A677="""",,E677&gt;=FILTER(Constants!$F$2:$F$10,Constants!$A$2:$A$10=A677)))"),"")</f>
        <v/>
      </c>
    </row>
    <row r="678">
      <c r="A678" s="80"/>
      <c r="B678" s="87"/>
      <c r="C678" s="73"/>
      <c r="D678" s="73"/>
      <c r="E678" s="82"/>
      <c r="F678" s="82"/>
      <c r="G678" s="82"/>
      <c r="H678" s="86"/>
      <c r="I678" s="86"/>
      <c r="J678" s="82"/>
      <c r="K678" s="82"/>
      <c r="L678" s="82"/>
      <c r="M678" s="82"/>
      <c r="N678" s="82"/>
      <c r="O678" s="82"/>
      <c r="P678" s="82"/>
      <c r="Q678" s="82"/>
      <c r="R678" s="82"/>
      <c r="S678" s="82"/>
      <c r="T678" s="82"/>
      <c r="U678" s="82"/>
      <c r="V678" s="82"/>
      <c r="W678" s="82"/>
      <c r="X678" s="82"/>
      <c r="Y678" s="82"/>
      <c r="Z678" s="82"/>
      <c r="AA678" s="82"/>
      <c r="AB678" s="82"/>
      <c r="AC678" s="82"/>
      <c r="AD678" s="82"/>
      <c r="AE678" s="82"/>
      <c r="AF678" s="82"/>
      <c r="AG678" s="82"/>
      <c r="AH678" s="82"/>
      <c r="AI678" s="82"/>
      <c r="AJ678" s="82"/>
      <c r="AK678" s="82"/>
      <c r="AL678" s="82"/>
      <c r="AM678" s="82"/>
      <c r="AN678" s="82">
        <f>IFERROR(__xludf.DUMMYFUNCTION("""COMPUTED_VALUE"""),0.0)</f>
        <v>0</v>
      </c>
      <c r="AO678" s="82">
        <f>IFERROR(__xludf.DUMMYFUNCTION("""COMPUTED_VALUE"""),0.0)</f>
        <v>0</v>
      </c>
      <c r="AP678" s="82">
        <f>IFERROR(__xludf.DUMMYFUNCTION("""COMPUTED_VALUE"""),0.0)</f>
        <v>0</v>
      </c>
      <c r="AQ678" s="82">
        <f>IFERROR(__xludf.DUMMYFUNCTION("""COMPUTED_VALUE"""),0.0)</f>
        <v>0</v>
      </c>
      <c r="AR678" s="82">
        <f>IFERROR(__xludf.DUMMYFUNCTION("""COMPUTED_VALUE"""),0.0)</f>
        <v>0</v>
      </c>
      <c r="AS678" s="82"/>
      <c r="AT678" s="82">
        <f>IFERROR(__xludf.DUMMYFUNCTION("""COMPUTED_VALUE"""),0.0)</f>
        <v>0</v>
      </c>
      <c r="AU678" s="82"/>
      <c r="AV678" s="82"/>
      <c r="AW678" s="82" t="str">
        <f t="shared" si="1"/>
        <v/>
      </c>
      <c r="AX678" s="83" t="str">
        <f t="array" ref="AX678">IFERROR(DGET('SBV Import'!A:G,"SBV",{"RSC ID","Tier";B678,A678}))</f>
        <v/>
      </c>
      <c r="AY678" s="82" t="str">
        <f t="shared" si="2"/>
        <v/>
      </c>
      <c r="AZ678" s="82"/>
      <c r="BA678" s="84" t="s">
        <v>152</v>
      </c>
      <c r="BB678" s="84" t="str">
        <f>IFERROR(__xludf.DUMMYFUNCTION("iferror(if(A678="""",,E678&gt;=FILTER(Constants!$F$2:$F$10,Constants!$A$2:$A$10=A678)))"),"")</f>
        <v/>
      </c>
    </row>
    <row r="679">
      <c r="A679" s="80"/>
      <c r="B679" s="87"/>
      <c r="C679" s="73"/>
      <c r="D679" s="73"/>
      <c r="E679" s="82"/>
      <c r="F679" s="82"/>
      <c r="G679" s="82"/>
      <c r="H679" s="86"/>
      <c r="I679" s="86"/>
      <c r="J679" s="82"/>
      <c r="K679" s="82"/>
      <c r="L679" s="82"/>
      <c r="M679" s="82"/>
      <c r="N679" s="82"/>
      <c r="O679" s="82"/>
      <c r="P679" s="82"/>
      <c r="Q679" s="82"/>
      <c r="R679" s="82"/>
      <c r="S679" s="82"/>
      <c r="T679" s="82"/>
      <c r="U679" s="82"/>
      <c r="V679" s="82"/>
      <c r="W679" s="82"/>
      <c r="X679" s="82"/>
      <c r="Y679" s="82"/>
      <c r="Z679" s="82"/>
      <c r="AA679" s="82"/>
      <c r="AB679" s="82"/>
      <c r="AC679" s="82"/>
      <c r="AD679" s="82"/>
      <c r="AE679" s="82"/>
      <c r="AF679" s="82"/>
      <c r="AG679" s="82"/>
      <c r="AH679" s="82"/>
      <c r="AI679" s="82"/>
      <c r="AJ679" s="82"/>
      <c r="AK679" s="82"/>
      <c r="AL679" s="82"/>
      <c r="AM679" s="82"/>
      <c r="AN679" s="82">
        <f>IFERROR(__xludf.DUMMYFUNCTION("""COMPUTED_VALUE"""),0.0)</f>
        <v>0</v>
      </c>
      <c r="AO679" s="82">
        <f>IFERROR(__xludf.DUMMYFUNCTION("""COMPUTED_VALUE"""),0.0)</f>
        <v>0</v>
      </c>
      <c r="AP679" s="82">
        <f>IFERROR(__xludf.DUMMYFUNCTION("""COMPUTED_VALUE"""),0.0)</f>
        <v>0</v>
      </c>
      <c r="AQ679" s="82">
        <f>IFERROR(__xludf.DUMMYFUNCTION("""COMPUTED_VALUE"""),0.0)</f>
        <v>0</v>
      </c>
      <c r="AR679" s="82">
        <f>IFERROR(__xludf.DUMMYFUNCTION("""COMPUTED_VALUE"""),0.0)</f>
        <v>0</v>
      </c>
      <c r="AS679" s="82"/>
      <c r="AT679" s="82">
        <f>IFERROR(__xludf.DUMMYFUNCTION("""COMPUTED_VALUE"""),0.0)</f>
        <v>0</v>
      </c>
      <c r="AU679" s="82"/>
      <c r="AV679" s="82"/>
      <c r="AW679" s="82" t="str">
        <f t="shared" si="1"/>
        <v/>
      </c>
      <c r="AX679" s="83" t="str">
        <f t="array" ref="AX679">IFERROR(DGET('SBV Import'!A:G,"SBV",{"RSC ID","Tier";B679,A679}))</f>
        <v/>
      </c>
      <c r="AY679" s="82" t="str">
        <f t="shared" si="2"/>
        <v/>
      </c>
      <c r="AZ679" s="82"/>
      <c r="BA679" s="84" t="s">
        <v>152</v>
      </c>
      <c r="BB679" s="84" t="str">
        <f>IFERROR(__xludf.DUMMYFUNCTION("iferror(if(A679="""",,E679&gt;=FILTER(Constants!$F$2:$F$10,Constants!$A$2:$A$10=A679)))"),"")</f>
        <v/>
      </c>
    </row>
    <row r="680">
      <c r="A680" s="85"/>
      <c r="B680" s="87"/>
      <c r="C680" s="73"/>
      <c r="D680" s="73"/>
      <c r="E680" s="82"/>
      <c r="F680" s="82"/>
      <c r="G680" s="82"/>
      <c r="H680" s="86"/>
      <c r="I680" s="86"/>
      <c r="J680" s="82"/>
      <c r="K680" s="82"/>
      <c r="L680" s="82"/>
      <c r="M680" s="82"/>
      <c r="N680" s="82"/>
      <c r="O680" s="82"/>
      <c r="P680" s="82"/>
      <c r="Q680" s="82"/>
      <c r="R680" s="82"/>
      <c r="S680" s="82"/>
      <c r="T680" s="82"/>
      <c r="U680" s="82"/>
      <c r="V680" s="82"/>
      <c r="W680" s="82"/>
      <c r="X680" s="82"/>
      <c r="Y680" s="82"/>
      <c r="Z680" s="82"/>
      <c r="AA680" s="82"/>
      <c r="AB680" s="82"/>
      <c r="AC680" s="82"/>
      <c r="AD680" s="82"/>
      <c r="AE680" s="82"/>
      <c r="AF680" s="82"/>
      <c r="AG680" s="82"/>
      <c r="AH680" s="82"/>
      <c r="AI680" s="82"/>
      <c r="AJ680" s="82"/>
      <c r="AK680" s="82"/>
      <c r="AL680" s="82"/>
      <c r="AM680" s="82"/>
      <c r="AN680" s="82">
        <f>IFERROR(__xludf.DUMMYFUNCTION("""COMPUTED_VALUE"""),0.0)</f>
        <v>0</v>
      </c>
      <c r="AO680" s="82">
        <f>IFERROR(__xludf.DUMMYFUNCTION("""COMPUTED_VALUE"""),0.0)</f>
        <v>0</v>
      </c>
      <c r="AP680" s="82">
        <f>IFERROR(__xludf.DUMMYFUNCTION("""COMPUTED_VALUE"""),0.0)</f>
        <v>0</v>
      </c>
      <c r="AQ680" s="82">
        <f>IFERROR(__xludf.DUMMYFUNCTION("""COMPUTED_VALUE"""),0.0)</f>
        <v>0</v>
      </c>
      <c r="AR680" s="82">
        <f>IFERROR(__xludf.DUMMYFUNCTION("""COMPUTED_VALUE"""),0.0)</f>
        <v>0</v>
      </c>
      <c r="AS680" s="82"/>
      <c r="AT680" s="82">
        <f>IFERROR(__xludf.DUMMYFUNCTION("""COMPUTED_VALUE"""),0.0)</f>
        <v>0</v>
      </c>
      <c r="AU680" s="82"/>
      <c r="AV680" s="82"/>
      <c r="AW680" s="82" t="str">
        <f t="shared" si="1"/>
        <v/>
      </c>
      <c r="AX680" s="83" t="str">
        <f t="array" ref="AX680">IFERROR(DGET('SBV Import'!A:G,"SBV",{"RSC ID","Tier";B680,A680}))</f>
        <v/>
      </c>
      <c r="AY680" s="82" t="str">
        <f t="shared" si="2"/>
        <v/>
      </c>
      <c r="AZ680" s="82"/>
      <c r="BA680" s="84" t="s">
        <v>152</v>
      </c>
      <c r="BB680" s="84" t="str">
        <f>IFERROR(__xludf.DUMMYFUNCTION("iferror(if(A680="""",,E680&gt;=FILTER(Constants!$F$2:$F$10,Constants!$A$2:$A$10=A680)))"),"")</f>
        <v/>
      </c>
    </row>
    <row r="681">
      <c r="A681" s="80"/>
      <c r="B681" s="87"/>
      <c r="C681" s="73"/>
      <c r="D681" s="73"/>
      <c r="E681" s="82"/>
      <c r="F681" s="82"/>
      <c r="G681" s="82"/>
      <c r="H681" s="86"/>
      <c r="I681" s="86"/>
      <c r="J681" s="82"/>
      <c r="K681" s="82"/>
      <c r="L681" s="82"/>
      <c r="M681" s="82"/>
      <c r="N681" s="82"/>
      <c r="O681" s="82"/>
      <c r="P681" s="82"/>
      <c r="Q681" s="82"/>
      <c r="R681" s="82"/>
      <c r="S681" s="82"/>
      <c r="T681" s="82"/>
      <c r="U681" s="82"/>
      <c r="V681" s="82"/>
      <c r="W681" s="82"/>
      <c r="X681" s="82"/>
      <c r="Y681" s="82"/>
      <c r="Z681" s="82"/>
      <c r="AA681" s="82"/>
      <c r="AB681" s="82"/>
      <c r="AC681" s="82"/>
      <c r="AD681" s="82"/>
      <c r="AE681" s="82"/>
      <c r="AF681" s="82"/>
      <c r="AG681" s="82"/>
      <c r="AH681" s="82"/>
      <c r="AI681" s="82"/>
      <c r="AJ681" s="82"/>
      <c r="AK681" s="82"/>
      <c r="AL681" s="82"/>
      <c r="AM681" s="82"/>
      <c r="AN681" s="82">
        <f>IFERROR(__xludf.DUMMYFUNCTION("""COMPUTED_VALUE"""),0.0)</f>
        <v>0</v>
      </c>
      <c r="AO681" s="82">
        <f>IFERROR(__xludf.DUMMYFUNCTION("""COMPUTED_VALUE"""),0.0)</f>
        <v>0</v>
      </c>
      <c r="AP681" s="82">
        <f>IFERROR(__xludf.DUMMYFUNCTION("""COMPUTED_VALUE"""),0.0)</f>
        <v>0</v>
      </c>
      <c r="AQ681" s="82">
        <f>IFERROR(__xludf.DUMMYFUNCTION("""COMPUTED_VALUE"""),0.0)</f>
        <v>0</v>
      </c>
      <c r="AR681" s="82">
        <f>IFERROR(__xludf.DUMMYFUNCTION("""COMPUTED_VALUE"""),0.0)</f>
        <v>0</v>
      </c>
      <c r="AS681" s="82"/>
      <c r="AT681" s="82">
        <f>IFERROR(__xludf.DUMMYFUNCTION("""COMPUTED_VALUE"""),0.0)</f>
        <v>0</v>
      </c>
      <c r="AU681" s="82"/>
      <c r="AV681" s="82"/>
      <c r="AW681" s="82" t="str">
        <f t="shared" si="1"/>
        <v/>
      </c>
      <c r="AX681" s="83" t="str">
        <f t="array" ref="AX681">IFERROR(DGET('SBV Import'!A:G,"SBV",{"RSC ID","Tier";B681,A681}))</f>
        <v/>
      </c>
      <c r="AY681" s="82" t="str">
        <f t="shared" si="2"/>
        <v/>
      </c>
      <c r="AZ681" s="82"/>
      <c r="BA681" s="84" t="s">
        <v>152</v>
      </c>
      <c r="BB681" s="84" t="str">
        <f>IFERROR(__xludf.DUMMYFUNCTION("iferror(if(A681="""",,E681&gt;=FILTER(Constants!$F$2:$F$10,Constants!$A$2:$A$10=A681)))"),"")</f>
        <v/>
      </c>
    </row>
    <row r="682">
      <c r="A682" s="80"/>
      <c r="B682" s="87"/>
      <c r="C682" s="73"/>
      <c r="D682" s="73"/>
      <c r="E682" s="82"/>
      <c r="F682" s="82"/>
      <c r="G682" s="82"/>
      <c r="H682" s="86"/>
      <c r="I682" s="86"/>
      <c r="J682" s="82"/>
      <c r="K682" s="82"/>
      <c r="L682" s="82"/>
      <c r="M682" s="82"/>
      <c r="N682" s="82"/>
      <c r="O682" s="82"/>
      <c r="P682" s="82"/>
      <c r="Q682" s="82"/>
      <c r="R682" s="82"/>
      <c r="S682" s="82"/>
      <c r="T682" s="82"/>
      <c r="U682" s="82"/>
      <c r="V682" s="82"/>
      <c r="W682" s="82"/>
      <c r="X682" s="82"/>
      <c r="Y682" s="82"/>
      <c r="Z682" s="82"/>
      <c r="AA682" s="82"/>
      <c r="AB682" s="82"/>
      <c r="AC682" s="82"/>
      <c r="AD682" s="82"/>
      <c r="AE682" s="82"/>
      <c r="AF682" s="82"/>
      <c r="AG682" s="82"/>
      <c r="AH682" s="82"/>
      <c r="AI682" s="82"/>
      <c r="AJ682" s="82"/>
      <c r="AK682" s="82"/>
      <c r="AL682" s="82"/>
      <c r="AM682" s="82"/>
      <c r="AN682" s="82">
        <f>IFERROR(__xludf.DUMMYFUNCTION("""COMPUTED_VALUE"""),0.0)</f>
        <v>0</v>
      </c>
      <c r="AO682" s="82">
        <f>IFERROR(__xludf.DUMMYFUNCTION("""COMPUTED_VALUE"""),0.0)</f>
        <v>0</v>
      </c>
      <c r="AP682" s="82">
        <f>IFERROR(__xludf.DUMMYFUNCTION("""COMPUTED_VALUE"""),0.0)</f>
        <v>0</v>
      </c>
      <c r="AQ682" s="82">
        <f>IFERROR(__xludf.DUMMYFUNCTION("""COMPUTED_VALUE"""),0.0)</f>
        <v>0</v>
      </c>
      <c r="AR682" s="82">
        <f>IFERROR(__xludf.DUMMYFUNCTION("""COMPUTED_VALUE"""),0.0)</f>
        <v>0</v>
      </c>
      <c r="AS682" s="82"/>
      <c r="AT682" s="82">
        <f>IFERROR(__xludf.DUMMYFUNCTION("""COMPUTED_VALUE"""),0.0)</f>
        <v>0</v>
      </c>
      <c r="AU682" s="82"/>
      <c r="AV682" s="82"/>
      <c r="AW682" s="82" t="str">
        <f t="shared" si="1"/>
        <v/>
      </c>
      <c r="AX682" s="83" t="str">
        <f t="array" ref="AX682">IFERROR(DGET('SBV Import'!A:G,"SBV",{"RSC ID","Tier";B682,A682}))</f>
        <v/>
      </c>
      <c r="AY682" s="82" t="str">
        <f t="shared" si="2"/>
        <v/>
      </c>
      <c r="AZ682" s="82"/>
      <c r="BA682" s="84" t="s">
        <v>152</v>
      </c>
      <c r="BB682" s="84" t="str">
        <f>IFERROR(__xludf.DUMMYFUNCTION("iferror(if(A682="""",,E682&gt;=FILTER(Constants!$F$2:$F$10,Constants!$A$2:$A$10=A682)))"),"")</f>
        <v/>
      </c>
    </row>
    <row r="683">
      <c r="A683" s="80"/>
      <c r="B683" s="87"/>
      <c r="C683" s="73"/>
      <c r="D683" s="73"/>
      <c r="E683" s="82"/>
      <c r="F683" s="82"/>
      <c r="G683" s="82"/>
      <c r="H683" s="86"/>
      <c r="I683" s="86"/>
      <c r="J683" s="82"/>
      <c r="K683" s="82"/>
      <c r="L683" s="82"/>
      <c r="M683" s="82"/>
      <c r="N683" s="82"/>
      <c r="O683" s="82"/>
      <c r="P683" s="82"/>
      <c r="Q683" s="82"/>
      <c r="R683" s="82"/>
      <c r="S683" s="82"/>
      <c r="T683" s="82"/>
      <c r="U683" s="82"/>
      <c r="V683" s="82"/>
      <c r="W683" s="82"/>
      <c r="X683" s="82"/>
      <c r="Y683" s="82"/>
      <c r="Z683" s="82"/>
      <c r="AA683" s="82"/>
      <c r="AB683" s="82"/>
      <c r="AC683" s="82"/>
      <c r="AD683" s="82"/>
      <c r="AE683" s="82"/>
      <c r="AF683" s="82"/>
      <c r="AG683" s="82"/>
      <c r="AH683" s="82"/>
      <c r="AI683" s="82"/>
      <c r="AJ683" s="82"/>
      <c r="AK683" s="82"/>
      <c r="AL683" s="82"/>
      <c r="AM683" s="82"/>
      <c r="AN683" s="82">
        <f>IFERROR(__xludf.DUMMYFUNCTION("""COMPUTED_VALUE"""),0.0)</f>
        <v>0</v>
      </c>
      <c r="AO683" s="82">
        <f>IFERROR(__xludf.DUMMYFUNCTION("""COMPUTED_VALUE"""),0.0)</f>
        <v>0</v>
      </c>
      <c r="AP683" s="82">
        <f>IFERROR(__xludf.DUMMYFUNCTION("""COMPUTED_VALUE"""),0.0)</f>
        <v>0</v>
      </c>
      <c r="AQ683" s="82">
        <f>IFERROR(__xludf.DUMMYFUNCTION("""COMPUTED_VALUE"""),0.0)</f>
        <v>0</v>
      </c>
      <c r="AR683" s="82">
        <f>IFERROR(__xludf.DUMMYFUNCTION("""COMPUTED_VALUE"""),0.0)</f>
        <v>0</v>
      </c>
      <c r="AS683" s="82"/>
      <c r="AT683" s="82">
        <f>IFERROR(__xludf.DUMMYFUNCTION("""COMPUTED_VALUE"""),0.0)</f>
        <v>0</v>
      </c>
      <c r="AU683" s="82"/>
      <c r="AV683" s="82"/>
      <c r="AW683" s="82" t="str">
        <f t="shared" si="1"/>
        <v/>
      </c>
      <c r="AX683" s="83" t="str">
        <f t="array" ref="AX683">IFERROR(DGET('SBV Import'!A:G,"SBV",{"RSC ID","Tier";B683,A683}))</f>
        <v/>
      </c>
      <c r="AY683" s="82" t="str">
        <f t="shared" si="2"/>
        <v/>
      </c>
      <c r="AZ683" s="82"/>
      <c r="BA683" s="84" t="s">
        <v>152</v>
      </c>
      <c r="BB683" s="84" t="str">
        <f>IFERROR(__xludf.DUMMYFUNCTION("iferror(if(A683="""",,E683&gt;=FILTER(Constants!$F$2:$F$10,Constants!$A$2:$A$10=A683)))"),"")</f>
        <v/>
      </c>
    </row>
    <row r="684">
      <c r="A684" s="80"/>
      <c r="B684" s="87"/>
      <c r="C684" s="73"/>
      <c r="D684" s="73"/>
      <c r="E684" s="82"/>
      <c r="F684" s="82"/>
      <c r="G684" s="82"/>
      <c r="H684" s="86"/>
      <c r="I684" s="86"/>
      <c r="J684" s="82"/>
      <c r="K684" s="82"/>
      <c r="L684" s="82"/>
      <c r="M684" s="82"/>
      <c r="N684" s="82"/>
      <c r="O684" s="82"/>
      <c r="P684" s="82"/>
      <c r="Q684" s="82"/>
      <c r="R684" s="82"/>
      <c r="S684" s="82"/>
      <c r="T684" s="82"/>
      <c r="U684" s="82"/>
      <c r="V684" s="82"/>
      <c r="W684" s="82"/>
      <c r="X684" s="82"/>
      <c r="Y684" s="82"/>
      <c r="Z684" s="82"/>
      <c r="AA684" s="82"/>
      <c r="AB684" s="82"/>
      <c r="AC684" s="82"/>
      <c r="AD684" s="82"/>
      <c r="AE684" s="82"/>
      <c r="AF684" s="82"/>
      <c r="AG684" s="82"/>
      <c r="AH684" s="82"/>
      <c r="AI684" s="82"/>
      <c r="AJ684" s="82"/>
      <c r="AK684" s="82"/>
      <c r="AL684" s="82"/>
      <c r="AM684" s="82"/>
      <c r="AN684" s="82">
        <f>IFERROR(__xludf.DUMMYFUNCTION("""COMPUTED_VALUE"""),0.0)</f>
        <v>0</v>
      </c>
      <c r="AO684" s="82">
        <f>IFERROR(__xludf.DUMMYFUNCTION("""COMPUTED_VALUE"""),0.0)</f>
        <v>0</v>
      </c>
      <c r="AP684" s="82">
        <f>IFERROR(__xludf.DUMMYFUNCTION("""COMPUTED_VALUE"""),0.0)</f>
        <v>0</v>
      </c>
      <c r="AQ684" s="82">
        <f>IFERROR(__xludf.DUMMYFUNCTION("""COMPUTED_VALUE"""),0.0)</f>
        <v>0</v>
      </c>
      <c r="AR684" s="82">
        <f>IFERROR(__xludf.DUMMYFUNCTION("""COMPUTED_VALUE"""),0.0)</f>
        <v>0</v>
      </c>
      <c r="AS684" s="82"/>
      <c r="AT684" s="82">
        <f>IFERROR(__xludf.DUMMYFUNCTION("""COMPUTED_VALUE"""),0.0)</f>
        <v>0</v>
      </c>
      <c r="AU684" s="82"/>
      <c r="AV684" s="82"/>
      <c r="AW684" s="82" t="str">
        <f t="shared" si="1"/>
        <v/>
      </c>
      <c r="AX684" s="83" t="str">
        <f t="array" ref="AX684">IFERROR(DGET('SBV Import'!A:G,"SBV",{"RSC ID","Tier";B684,A684}))</f>
        <v/>
      </c>
      <c r="AY684" s="82" t="str">
        <f t="shared" si="2"/>
        <v/>
      </c>
      <c r="AZ684" s="82"/>
      <c r="BA684" s="84" t="s">
        <v>152</v>
      </c>
      <c r="BB684" s="84" t="str">
        <f>IFERROR(__xludf.DUMMYFUNCTION("iferror(if(A684="""",,E684&gt;=FILTER(Constants!$F$2:$F$10,Constants!$A$2:$A$10=A684)))"),"")</f>
        <v/>
      </c>
    </row>
    <row r="685">
      <c r="A685" s="80"/>
      <c r="B685" s="87"/>
      <c r="C685" s="73"/>
      <c r="D685" s="73"/>
      <c r="E685" s="82"/>
      <c r="F685" s="82"/>
      <c r="G685" s="82"/>
      <c r="H685" s="86"/>
      <c r="I685" s="86"/>
      <c r="J685" s="82"/>
      <c r="K685" s="82"/>
      <c r="L685" s="82"/>
      <c r="M685" s="82"/>
      <c r="N685" s="82"/>
      <c r="O685" s="82"/>
      <c r="P685" s="82"/>
      <c r="Q685" s="82"/>
      <c r="R685" s="82"/>
      <c r="S685" s="82"/>
      <c r="T685" s="82"/>
      <c r="U685" s="82"/>
      <c r="V685" s="82"/>
      <c r="W685" s="82"/>
      <c r="X685" s="82"/>
      <c r="Y685" s="82"/>
      <c r="Z685" s="82"/>
      <c r="AA685" s="82"/>
      <c r="AB685" s="82"/>
      <c r="AC685" s="82"/>
      <c r="AD685" s="82"/>
      <c r="AE685" s="82"/>
      <c r="AF685" s="82"/>
      <c r="AG685" s="82"/>
      <c r="AH685" s="82"/>
      <c r="AI685" s="82"/>
      <c r="AJ685" s="82"/>
      <c r="AK685" s="82"/>
      <c r="AL685" s="82"/>
      <c r="AM685" s="82"/>
      <c r="AN685" s="82">
        <f>IFERROR(__xludf.DUMMYFUNCTION("""COMPUTED_VALUE"""),0.0)</f>
        <v>0</v>
      </c>
      <c r="AO685" s="82">
        <f>IFERROR(__xludf.DUMMYFUNCTION("""COMPUTED_VALUE"""),0.0)</f>
        <v>0</v>
      </c>
      <c r="AP685" s="82">
        <f>IFERROR(__xludf.DUMMYFUNCTION("""COMPUTED_VALUE"""),0.0)</f>
        <v>0</v>
      </c>
      <c r="AQ685" s="82">
        <f>IFERROR(__xludf.DUMMYFUNCTION("""COMPUTED_VALUE"""),0.0)</f>
        <v>0</v>
      </c>
      <c r="AR685" s="82">
        <f>IFERROR(__xludf.DUMMYFUNCTION("""COMPUTED_VALUE"""),0.0)</f>
        <v>0</v>
      </c>
      <c r="AS685" s="82"/>
      <c r="AT685" s="82">
        <f>IFERROR(__xludf.DUMMYFUNCTION("""COMPUTED_VALUE"""),0.0)</f>
        <v>0</v>
      </c>
      <c r="AU685" s="82"/>
      <c r="AV685" s="82"/>
      <c r="AW685" s="82" t="str">
        <f t="shared" si="1"/>
        <v/>
      </c>
      <c r="AX685" s="83" t="str">
        <f t="array" ref="AX685">IFERROR(DGET('SBV Import'!A:G,"SBV",{"RSC ID","Tier";B685,A685}))</f>
        <v/>
      </c>
      <c r="AY685" s="82" t="str">
        <f t="shared" si="2"/>
        <v/>
      </c>
      <c r="AZ685" s="82"/>
      <c r="BA685" s="84" t="s">
        <v>152</v>
      </c>
      <c r="BB685" s="84" t="str">
        <f>IFERROR(__xludf.DUMMYFUNCTION("iferror(if(A685="""",,E685&gt;=FILTER(Constants!$F$2:$F$10,Constants!$A$2:$A$10=A685)))"),"")</f>
        <v/>
      </c>
    </row>
    <row r="686">
      <c r="A686" s="80"/>
      <c r="B686" s="87"/>
      <c r="C686" s="73"/>
      <c r="D686" s="73"/>
      <c r="E686" s="82"/>
      <c r="F686" s="82"/>
      <c r="G686" s="82"/>
      <c r="H686" s="86"/>
      <c r="I686" s="86"/>
      <c r="J686" s="82"/>
      <c r="K686" s="82"/>
      <c r="L686" s="82"/>
      <c r="M686" s="82"/>
      <c r="N686" s="82"/>
      <c r="O686" s="82"/>
      <c r="P686" s="82"/>
      <c r="Q686" s="82"/>
      <c r="R686" s="82"/>
      <c r="S686" s="82"/>
      <c r="T686" s="82"/>
      <c r="U686" s="82"/>
      <c r="V686" s="82"/>
      <c r="W686" s="82"/>
      <c r="X686" s="82"/>
      <c r="Y686" s="82"/>
      <c r="Z686" s="82"/>
      <c r="AA686" s="82"/>
      <c r="AB686" s="82"/>
      <c r="AC686" s="82"/>
      <c r="AD686" s="82"/>
      <c r="AE686" s="82"/>
      <c r="AF686" s="82"/>
      <c r="AG686" s="82"/>
      <c r="AH686" s="82"/>
      <c r="AI686" s="82"/>
      <c r="AJ686" s="82"/>
      <c r="AK686" s="82"/>
      <c r="AL686" s="82"/>
      <c r="AM686" s="82"/>
      <c r="AN686" s="82">
        <f>IFERROR(__xludf.DUMMYFUNCTION("""COMPUTED_VALUE"""),0.0)</f>
        <v>0</v>
      </c>
      <c r="AO686" s="82">
        <f>IFERROR(__xludf.DUMMYFUNCTION("""COMPUTED_VALUE"""),0.0)</f>
        <v>0</v>
      </c>
      <c r="AP686" s="82">
        <f>IFERROR(__xludf.DUMMYFUNCTION("""COMPUTED_VALUE"""),0.0)</f>
        <v>0</v>
      </c>
      <c r="AQ686" s="82">
        <f>IFERROR(__xludf.DUMMYFUNCTION("""COMPUTED_VALUE"""),0.0)</f>
        <v>0</v>
      </c>
      <c r="AR686" s="82">
        <f>IFERROR(__xludf.DUMMYFUNCTION("""COMPUTED_VALUE"""),0.0)</f>
        <v>0</v>
      </c>
      <c r="AS686" s="82"/>
      <c r="AT686" s="82">
        <f>IFERROR(__xludf.DUMMYFUNCTION("""COMPUTED_VALUE"""),0.0)</f>
        <v>0</v>
      </c>
      <c r="AU686" s="82"/>
      <c r="AV686" s="82"/>
      <c r="AW686" s="82" t="str">
        <f t="shared" si="1"/>
        <v/>
      </c>
      <c r="AX686" s="83" t="str">
        <f t="array" ref="AX686">IFERROR(DGET('SBV Import'!A:G,"SBV",{"RSC ID","Tier";B686,A686}))</f>
        <v/>
      </c>
      <c r="AY686" s="82" t="str">
        <f t="shared" si="2"/>
        <v/>
      </c>
      <c r="AZ686" s="82"/>
      <c r="BA686" s="84" t="s">
        <v>152</v>
      </c>
      <c r="BB686" s="84" t="str">
        <f>IFERROR(__xludf.DUMMYFUNCTION("iferror(if(A686="""",,E686&gt;=FILTER(Constants!$F$2:$F$10,Constants!$A$2:$A$10=A686)))"),"")</f>
        <v/>
      </c>
    </row>
    <row r="687">
      <c r="A687" s="80"/>
      <c r="B687" s="87"/>
      <c r="C687" s="73"/>
      <c r="D687" s="73"/>
      <c r="E687" s="82"/>
      <c r="F687" s="82"/>
      <c r="G687" s="82"/>
      <c r="H687" s="86"/>
      <c r="I687" s="86"/>
      <c r="J687" s="82"/>
      <c r="K687" s="82"/>
      <c r="L687" s="82"/>
      <c r="M687" s="82"/>
      <c r="N687" s="82"/>
      <c r="O687" s="82"/>
      <c r="P687" s="82"/>
      <c r="Q687" s="82"/>
      <c r="R687" s="82"/>
      <c r="S687" s="82"/>
      <c r="T687" s="82"/>
      <c r="U687" s="82"/>
      <c r="V687" s="82"/>
      <c r="W687" s="82"/>
      <c r="X687" s="82"/>
      <c r="Y687" s="82"/>
      <c r="Z687" s="82"/>
      <c r="AA687" s="82"/>
      <c r="AB687" s="82"/>
      <c r="AC687" s="82"/>
      <c r="AD687" s="82"/>
      <c r="AE687" s="82"/>
      <c r="AF687" s="82"/>
      <c r="AG687" s="82"/>
      <c r="AH687" s="82"/>
      <c r="AI687" s="82"/>
      <c r="AJ687" s="82"/>
      <c r="AK687" s="82"/>
      <c r="AL687" s="82"/>
      <c r="AM687" s="82"/>
      <c r="AN687" s="82">
        <f>IFERROR(__xludf.DUMMYFUNCTION("""COMPUTED_VALUE"""),0.0)</f>
        <v>0</v>
      </c>
      <c r="AO687" s="82">
        <f>IFERROR(__xludf.DUMMYFUNCTION("""COMPUTED_VALUE"""),0.0)</f>
        <v>0</v>
      </c>
      <c r="AP687" s="82">
        <f>IFERROR(__xludf.DUMMYFUNCTION("""COMPUTED_VALUE"""),0.0)</f>
        <v>0</v>
      </c>
      <c r="AQ687" s="82">
        <f>IFERROR(__xludf.DUMMYFUNCTION("""COMPUTED_VALUE"""),0.0)</f>
        <v>0</v>
      </c>
      <c r="AR687" s="82">
        <f>IFERROR(__xludf.DUMMYFUNCTION("""COMPUTED_VALUE"""),0.0)</f>
        <v>0</v>
      </c>
      <c r="AS687" s="82"/>
      <c r="AT687" s="82">
        <f>IFERROR(__xludf.DUMMYFUNCTION("""COMPUTED_VALUE"""),0.0)</f>
        <v>0</v>
      </c>
      <c r="AU687" s="82"/>
      <c r="AV687" s="82"/>
      <c r="AW687" s="82" t="str">
        <f t="shared" si="1"/>
        <v/>
      </c>
      <c r="AX687" s="83" t="str">
        <f t="array" ref="AX687">IFERROR(DGET('SBV Import'!A:G,"SBV",{"RSC ID","Tier";B687,A687}))</f>
        <v/>
      </c>
      <c r="AY687" s="82" t="str">
        <f t="shared" si="2"/>
        <v/>
      </c>
      <c r="AZ687" s="82"/>
      <c r="BA687" s="84" t="s">
        <v>152</v>
      </c>
      <c r="BB687" s="84" t="str">
        <f>IFERROR(__xludf.DUMMYFUNCTION("iferror(if(A687="""",,E687&gt;=FILTER(Constants!$F$2:$F$10,Constants!$A$2:$A$10=A687)))"),"")</f>
        <v/>
      </c>
    </row>
    <row r="688">
      <c r="A688" s="80"/>
      <c r="B688" s="87"/>
      <c r="C688" s="73"/>
      <c r="D688" s="73"/>
      <c r="E688" s="82"/>
      <c r="F688" s="82"/>
      <c r="G688" s="82"/>
      <c r="H688" s="86"/>
      <c r="I688" s="86"/>
      <c r="J688" s="82"/>
      <c r="K688" s="82"/>
      <c r="L688" s="82"/>
      <c r="M688" s="82"/>
      <c r="N688" s="82"/>
      <c r="O688" s="82"/>
      <c r="P688" s="82"/>
      <c r="Q688" s="82"/>
      <c r="R688" s="82"/>
      <c r="S688" s="82"/>
      <c r="T688" s="82"/>
      <c r="U688" s="82"/>
      <c r="V688" s="82"/>
      <c r="W688" s="82"/>
      <c r="X688" s="82"/>
      <c r="Y688" s="82"/>
      <c r="Z688" s="82"/>
      <c r="AA688" s="82"/>
      <c r="AB688" s="82"/>
      <c r="AC688" s="82"/>
      <c r="AD688" s="82"/>
      <c r="AE688" s="82"/>
      <c r="AF688" s="82"/>
      <c r="AG688" s="82"/>
      <c r="AH688" s="82"/>
      <c r="AI688" s="82"/>
      <c r="AJ688" s="82"/>
      <c r="AK688" s="82"/>
      <c r="AL688" s="82"/>
      <c r="AM688" s="82"/>
      <c r="AN688" s="82">
        <f>IFERROR(__xludf.DUMMYFUNCTION("""COMPUTED_VALUE"""),0.0)</f>
        <v>0</v>
      </c>
      <c r="AO688" s="82">
        <f>IFERROR(__xludf.DUMMYFUNCTION("""COMPUTED_VALUE"""),0.0)</f>
        <v>0</v>
      </c>
      <c r="AP688" s="82">
        <f>IFERROR(__xludf.DUMMYFUNCTION("""COMPUTED_VALUE"""),0.0)</f>
        <v>0</v>
      </c>
      <c r="AQ688" s="82">
        <f>IFERROR(__xludf.DUMMYFUNCTION("""COMPUTED_VALUE"""),0.0)</f>
        <v>0</v>
      </c>
      <c r="AR688" s="82">
        <f>IFERROR(__xludf.DUMMYFUNCTION("""COMPUTED_VALUE"""),0.0)</f>
        <v>0</v>
      </c>
      <c r="AS688" s="82"/>
      <c r="AT688" s="82">
        <f>IFERROR(__xludf.DUMMYFUNCTION("""COMPUTED_VALUE"""),0.0)</f>
        <v>0</v>
      </c>
      <c r="AU688" s="82"/>
      <c r="AV688" s="82"/>
      <c r="AW688" s="82" t="str">
        <f t="shared" si="1"/>
        <v/>
      </c>
      <c r="AX688" s="83" t="str">
        <f t="array" ref="AX688">IFERROR(DGET('SBV Import'!A:G,"SBV",{"RSC ID","Tier";B688,A688}))</f>
        <v/>
      </c>
      <c r="AY688" s="82" t="str">
        <f t="shared" si="2"/>
        <v/>
      </c>
      <c r="AZ688" s="82"/>
      <c r="BA688" s="84" t="s">
        <v>152</v>
      </c>
      <c r="BB688" s="84" t="str">
        <f>IFERROR(__xludf.DUMMYFUNCTION("iferror(if(A688="""",,E688&gt;=FILTER(Constants!$F$2:$F$10,Constants!$A$2:$A$10=A688)))"),"")</f>
        <v/>
      </c>
    </row>
    <row r="689">
      <c r="A689" s="80"/>
      <c r="B689" s="87"/>
      <c r="C689" s="73"/>
      <c r="D689" s="73"/>
      <c r="E689" s="82"/>
      <c r="F689" s="82"/>
      <c r="G689" s="82"/>
      <c r="H689" s="86"/>
      <c r="I689" s="86"/>
      <c r="J689" s="82"/>
      <c r="K689" s="82"/>
      <c r="L689" s="82"/>
      <c r="M689" s="82"/>
      <c r="N689" s="82"/>
      <c r="O689" s="82"/>
      <c r="P689" s="82"/>
      <c r="Q689" s="82"/>
      <c r="R689" s="82"/>
      <c r="S689" s="82"/>
      <c r="T689" s="82"/>
      <c r="U689" s="82"/>
      <c r="V689" s="82"/>
      <c r="W689" s="82"/>
      <c r="X689" s="82"/>
      <c r="Y689" s="82"/>
      <c r="Z689" s="82"/>
      <c r="AA689" s="82"/>
      <c r="AB689" s="82"/>
      <c r="AC689" s="82"/>
      <c r="AD689" s="82"/>
      <c r="AE689" s="82"/>
      <c r="AF689" s="82"/>
      <c r="AG689" s="82"/>
      <c r="AH689" s="82"/>
      <c r="AI689" s="82"/>
      <c r="AJ689" s="82"/>
      <c r="AK689" s="82"/>
      <c r="AL689" s="82"/>
      <c r="AM689" s="82"/>
      <c r="AN689" s="82">
        <f>IFERROR(__xludf.DUMMYFUNCTION("""COMPUTED_VALUE"""),0.0)</f>
        <v>0</v>
      </c>
      <c r="AO689" s="82">
        <f>IFERROR(__xludf.DUMMYFUNCTION("""COMPUTED_VALUE"""),0.0)</f>
        <v>0</v>
      </c>
      <c r="AP689" s="82">
        <f>IFERROR(__xludf.DUMMYFUNCTION("""COMPUTED_VALUE"""),0.0)</f>
        <v>0</v>
      </c>
      <c r="AQ689" s="82">
        <f>IFERROR(__xludf.DUMMYFUNCTION("""COMPUTED_VALUE"""),0.0)</f>
        <v>0</v>
      </c>
      <c r="AR689" s="82">
        <f>IFERROR(__xludf.DUMMYFUNCTION("""COMPUTED_VALUE"""),0.0)</f>
        <v>0</v>
      </c>
      <c r="AS689" s="82"/>
      <c r="AT689" s="82">
        <f>IFERROR(__xludf.DUMMYFUNCTION("""COMPUTED_VALUE"""),0.0)</f>
        <v>0</v>
      </c>
      <c r="AU689" s="82"/>
      <c r="AV689" s="82"/>
      <c r="AW689" s="82" t="str">
        <f t="shared" si="1"/>
        <v/>
      </c>
      <c r="AX689" s="83" t="str">
        <f t="array" ref="AX689">IFERROR(DGET('SBV Import'!A:G,"SBV",{"RSC ID","Tier";B689,A689}))</f>
        <v/>
      </c>
      <c r="AY689" s="82" t="str">
        <f t="shared" si="2"/>
        <v/>
      </c>
      <c r="AZ689" s="82"/>
      <c r="BA689" s="84" t="s">
        <v>152</v>
      </c>
      <c r="BB689" s="84" t="str">
        <f>IFERROR(__xludf.DUMMYFUNCTION("iferror(if(A689="""",,E689&gt;=FILTER(Constants!$F$2:$F$10,Constants!$A$2:$A$10=A689)))"),"")</f>
        <v/>
      </c>
    </row>
    <row r="690">
      <c r="A690" s="80"/>
      <c r="B690" s="87"/>
      <c r="C690" s="73"/>
      <c r="D690" s="73"/>
      <c r="E690" s="82"/>
      <c r="F690" s="82"/>
      <c r="G690" s="82"/>
      <c r="H690" s="86"/>
      <c r="I690" s="86"/>
      <c r="J690" s="82"/>
      <c r="K690" s="82"/>
      <c r="L690" s="82"/>
      <c r="M690" s="82"/>
      <c r="N690" s="82"/>
      <c r="O690" s="82"/>
      <c r="P690" s="82"/>
      <c r="Q690" s="82"/>
      <c r="R690" s="82"/>
      <c r="S690" s="82"/>
      <c r="T690" s="82"/>
      <c r="U690" s="82"/>
      <c r="V690" s="82"/>
      <c r="W690" s="82"/>
      <c r="X690" s="82"/>
      <c r="Y690" s="82"/>
      <c r="Z690" s="82"/>
      <c r="AA690" s="82"/>
      <c r="AB690" s="82"/>
      <c r="AC690" s="82"/>
      <c r="AD690" s="82"/>
      <c r="AE690" s="82"/>
      <c r="AF690" s="82"/>
      <c r="AG690" s="82"/>
      <c r="AH690" s="82"/>
      <c r="AI690" s="82"/>
      <c r="AJ690" s="82"/>
      <c r="AK690" s="82"/>
      <c r="AL690" s="82"/>
      <c r="AM690" s="82"/>
      <c r="AN690" s="82">
        <f>IFERROR(__xludf.DUMMYFUNCTION("""COMPUTED_VALUE"""),0.0)</f>
        <v>0</v>
      </c>
      <c r="AO690" s="82">
        <f>IFERROR(__xludf.DUMMYFUNCTION("""COMPUTED_VALUE"""),0.0)</f>
        <v>0</v>
      </c>
      <c r="AP690" s="82">
        <f>IFERROR(__xludf.DUMMYFUNCTION("""COMPUTED_VALUE"""),0.0)</f>
        <v>0</v>
      </c>
      <c r="AQ690" s="82">
        <f>IFERROR(__xludf.DUMMYFUNCTION("""COMPUTED_VALUE"""),0.0)</f>
        <v>0</v>
      </c>
      <c r="AR690" s="82">
        <f>IFERROR(__xludf.DUMMYFUNCTION("""COMPUTED_VALUE"""),0.0)</f>
        <v>0</v>
      </c>
      <c r="AS690" s="82"/>
      <c r="AT690" s="82">
        <f>IFERROR(__xludf.DUMMYFUNCTION("""COMPUTED_VALUE"""),0.0)</f>
        <v>0</v>
      </c>
      <c r="AU690" s="82"/>
      <c r="AV690" s="82"/>
      <c r="AW690" s="82" t="str">
        <f t="shared" si="1"/>
        <v/>
      </c>
      <c r="AX690" s="83" t="str">
        <f t="array" ref="AX690">IFERROR(DGET('SBV Import'!A:G,"SBV",{"RSC ID","Tier";B690,A690}))</f>
        <v/>
      </c>
      <c r="AY690" s="82" t="str">
        <f t="shared" si="2"/>
        <v/>
      </c>
      <c r="AZ690" s="82"/>
      <c r="BA690" s="84" t="s">
        <v>152</v>
      </c>
      <c r="BB690" s="84" t="str">
        <f>IFERROR(__xludf.DUMMYFUNCTION("iferror(if(A690="""",,E690&gt;=FILTER(Constants!$F$2:$F$10,Constants!$A$2:$A$10=A690)))"),"")</f>
        <v/>
      </c>
    </row>
    <row r="691">
      <c r="A691" s="80"/>
      <c r="B691" s="87"/>
      <c r="C691" s="73"/>
      <c r="D691" s="73"/>
      <c r="E691" s="82"/>
      <c r="F691" s="82"/>
      <c r="G691" s="82"/>
      <c r="H691" s="86"/>
      <c r="I691" s="86"/>
      <c r="J691" s="82"/>
      <c r="K691" s="82"/>
      <c r="L691" s="82"/>
      <c r="M691" s="82"/>
      <c r="N691" s="82"/>
      <c r="O691" s="82"/>
      <c r="P691" s="82"/>
      <c r="Q691" s="82"/>
      <c r="R691" s="82"/>
      <c r="S691" s="82"/>
      <c r="T691" s="82"/>
      <c r="U691" s="82"/>
      <c r="V691" s="82"/>
      <c r="W691" s="82"/>
      <c r="X691" s="82"/>
      <c r="Y691" s="82"/>
      <c r="Z691" s="82"/>
      <c r="AA691" s="82"/>
      <c r="AB691" s="82"/>
      <c r="AC691" s="82"/>
      <c r="AD691" s="82"/>
      <c r="AE691" s="82"/>
      <c r="AF691" s="82"/>
      <c r="AG691" s="82"/>
      <c r="AH691" s="82"/>
      <c r="AI691" s="82"/>
      <c r="AJ691" s="82"/>
      <c r="AK691" s="82"/>
      <c r="AL691" s="82"/>
      <c r="AM691" s="82"/>
      <c r="AN691" s="82">
        <f>IFERROR(__xludf.DUMMYFUNCTION("""COMPUTED_VALUE"""),0.0)</f>
        <v>0</v>
      </c>
      <c r="AO691" s="82">
        <f>IFERROR(__xludf.DUMMYFUNCTION("""COMPUTED_VALUE"""),0.0)</f>
        <v>0</v>
      </c>
      <c r="AP691" s="82">
        <f>IFERROR(__xludf.DUMMYFUNCTION("""COMPUTED_VALUE"""),0.0)</f>
        <v>0</v>
      </c>
      <c r="AQ691" s="82">
        <f>IFERROR(__xludf.DUMMYFUNCTION("""COMPUTED_VALUE"""),0.0)</f>
        <v>0</v>
      </c>
      <c r="AR691" s="82">
        <f>IFERROR(__xludf.DUMMYFUNCTION("""COMPUTED_VALUE"""),0.0)</f>
        <v>0</v>
      </c>
      <c r="AS691" s="82"/>
      <c r="AT691" s="82">
        <f>IFERROR(__xludf.DUMMYFUNCTION("""COMPUTED_VALUE"""),0.0)</f>
        <v>0</v>
      </c>
      <c r="AU691" s="82"/>
      <c r="AV691" s="82"/>
      <c r="AW691" s="82" t="str">
        <f t="shared" si="1"/>
        <v/>
      </c>
      <c r="AX691" s="83" t="str">
        <f t="array" ref="AX691">IFERROR(DGET('SBV Import'!A:G,"SBV",{"RSC ID","Tier";B691,A691}))</f>
        <v/>
      </c>
      <c r="AY691" s="82" t="str">
        <f t="shared" si="2"/>
        <v/>
      </c>
      <c r="AZ691" s="82"/>
      <c r="BA691" s="84" t="s">
        <v>152</v>
      </c>
      <c r="BB691" s="84" t="str">
        <f>IFERROR(__xludf.DUMMYFUNCTION("iferror(if(A691="""",,E691&gt;=FILTER(Constants!$F$2:$F$10,Constants!$A$2:$A$10=A691)))"),"")</f>
        <v/>
      </c>
    </row>
    <row r="692">
      <c r="A692" s="80"/>
      <c r="B692" s="87"/>
      <c r="C692" s="73"/>
      <c r="D692" s="73"/>
      <c r="E692" s="82"/>
      <c r="F692" s="82"/>
      <c r="G692" s="82"/>
      <c r="H692" s="86"/>
      <c r="I692" s="86"/>
      <c r="J692" s="82"/>
      <c r="K692" s="82"/>
      <c r="L692" s="82"/>
      <c r="M692" s="82"/>
      <c r="N692" s="82"/>
      <c r="O692" s="82"/>
      <c r="P692" s="82"/>
      <c r="Q692" s="82"/>
      <c r="R692" s="82"/>
      <c r="S692" s="82"/>
      <c r="T692" s="82"/>
      <c r="U692" s="82"/>
      <c r="V692" s="82"/>
      <c r="W692" s="82"/>
      <c r="X692" s="82"/>
      <c r="Y692" s="82"/>
      <c r="Z692" s="82"/>
      <c r="AA692" s="82"/>
      <c r="AB692" s="82"/>
      <c r="AC692" s="82"/>
      <c r="AD692" s="82"/>
      <c r="AE692" s="82"/>
      <c r="AF692" s="82"/>
      <c r="AG692" s="82"/>
      <c r="AH692" s="82"/>
      <c r="AI692" s="82"/>
      <c r="AJ692" s="82"/>
      <c r="AK692" s="82"/>
      <c r="AL692" s="82"/>
      <c r="AM692" s="82"/>
      <c r="AN692" s="82">
        <f>IFERROR(__xludf.DUMMYFUNCTION("""COMPUTED_VALUE"""),0.0)</f>
        <v>0</v>
      </c>
      <c r="AO692" s="82">
        <f>IFERROR(__xludf.DUMMYFUNCTION("""COMPUTED_VALUE"""),0.0)</f>
        <v>0</v>
      </c>
      <c r="AP692" s="82">
        <f>IFERROR(__xludf.DUMMYFUNCTION("""COMPUTED_VALUE"""),0.0)</f>
        <v>0</v>
      </c>
      <c r="AQ692" s="82">
        <f>IFERROR(__xludf.DUMMYFUNCTION("""COMPUTED_VALUE"""),0.0)</f>
        <v>0</v>
      </c>
      <c r="AR692" s="82">
        <f>IFERROR(__xludf.DUMMYFUNCTION("""COMPUTED_VALUE"""),0.0)</f>
        <v>0</v>
      </c>
      <c r="AS692" s="82"/>
      <c r="AT692" s="82">
        <f>IFERROR(__xludf.DUMMYFUNCTION("""COMPUTED_VALUE"""),0.0)</f>
        <v>0</v>
      </c>
      <c r="AU692" s="82"/>
      <c r="AV692" s="82"/>
      <c r="AW692" s="82" t="str">
        <f t="shared" si="1"/>
        <v/>
      </c>
      <c r="AX692" s="83" t="str">
        <f t="array" ref="AX692">IFERROR(DGET('SBV Import'!A:G,"SBV",{"RSC ID","Tier";B692,A692}))</f>
        <v/>
      </c>
      <c r="AY692" s="82" t="str">
        <f t="shared" si="2"/>
        <v/>
      </c>
      <c r="AZ692" s="82"/>
      <c r="BA692" s="84" t="s">
        <v>152</v>
      </c>
      <c r="BB692" s="84" t="str">
        <f>IFERROR(__xludf.DUMMYFUNCTION("iferror(if(A692="""",,E692&gt;=FILTER(Constants!$F$2:$F$10,Constants!$A$2:$A$10=A692)))"),"")</f>
        <v/>
      </c>
    </row>
    <row r="693">
      <c r="A693" s="80"/>
      <c r="B693" s="87"/>
      <c r="C693" s="73"/>
      <c r="D693" s="73"/>
      <c r="E693" s="82"/>
      <c r="F693" s="82"/>
      <c r="G693" s="82"/>
      <c r="H693" s="86"/>
      <c r="I693" s="86"/>
      <c r="J693" s="82"/>
      <c r="K693" s="82"/>
      <c r="L693" s="82"/>
      <c r="M693" s="82"/>
      <c r="N693" s="82"/>
      <c r="O693" s="82"/>
      <c r="P693" s="82"/>
      <c r="Q693" s="82"/>
      <c r="R693" s="82"/>
      <c r="S693" s="82"/>
      <c r="T693" s="82"/>
      <c r="U693" s="82"/>
      <c r="V693" s="82"/>
      <c r="W693" s="82"/>
      <c r="X693" s="82"/>
      <c r="Y693" s="82"/>
      <c r="Z693" s="82"/>
      <c r="AA693" s="82"/>
      <c r="AB693" s="82"/>
      <c r="AC693" s="82"/>
      <c r="AD693" s="82"/>
      <c r="AE693" s="82"/>
      <c r="AF693" s="82"/>
      <c r="AG693" s="82"/>
      <c r="AH693" s="82"/>
      <c r="AI693" s="82"/>
      <c r="AJ693" s="82"/>
      <c r="AK693" s="82"/>
      <c r="AL693" s="82"/>
      <c r="AM693" s="82"/>
      <c r="AN693" s="82">
        <f>IFERROR(__xludf.DUMMYFUNCTION("""COMPUTED_VALUE"""),0.0)</f>
        <v>0</v>
      </c>
      <c r="AO693" s="82">
        <f>IFERROR(__xludf.DUMMYFUNCTION("""COMPUTED_VALUE"""),0.0)</f>
        <v>0</v>
      </c>
      <c r="AP693" s="82">
        <f>IFERROR(__xludf.DUMMYFUNCTION("""COMPUTED_VALUE"""),0.0)</f>
        <v>0</v>
      </c>
      <c r="AQ693" s="82">
        <f>IFERROR(__xludf.DUMMYFUNCTION("""COMPUTED_VALUE"""),0.0)</f>
        <v>0</v>
      </c>
      <c r="AR693" s="82">
        <f>IFERROR(__xludf.DUMMYFUNCTION("""COMPUTED_VALUE"""),0.0)</f>
        <v>0</v>
      </c>
      <c r="AS693" s="82"/>
      <c r="AT693" s="82">
        <f>IFERROR(__xludf.DUMMYFUNCTION("""COMPUTED_VALUE"""),0.0)</f>
        <v>0</v>
      </c>
      <c r="AU693" s="82"/>
      <c r="AV693" s="82"/>
      <c r="AW693" s="82" t="str">
        <f t="shared" si="1"/>
        <v/>
      </c>
      <c r="AX693" s="83" t="str">
        <f t="array" ref="AX693">IFERROR(DGET('SBV Import'!A:G,"SBV",{"RSC ID","Tier";B693,A693}))</f>
        <v/>
      </c>
      <c r="AY693" s="82" t="str">
        <f t="shared" si="2"/>
        <v/>
      </c>
      <c r="AZ693" s="82"/>
      <c r="BA693" s="84" t="s">
        <v>152</v>
      </c>
      <c r="BB693" s="84" t="str">
        <f>IFERROR(__xludf.DUMMYFUNCTION("iferror(if(A693="""",,E693&gt;=FILTER(Constants!$F$2:$F$10,Constants!$A$2:$A$10=A693)))"),"")</f>
        <v/>
      </c>
    </row>
    <row r="694">
      <c r="A694" s="80"/>
      <c r="B694" s="87"/>
      <c r="C694" s="73"/>
      <c r="D694" s="73"/>
      <c r="E694" s="82"/>
      <c r="F694" s="82"/>
      <c r="G694" s="82"/>
      <c r="H694" s="86"/>
      <c r="I694" s="86"/>
      <c r="J694" s="82"/>
      <c r="K694" s="82"/>
      <c r="L694" s="82"/>
      <c r="M694" s="82"/>
      <c r="N694" s="82"/>
      <c r="O694" s="82"/>
      <c r="P694" s="82"/>
      <c r="Q694" s="82"/>
      <c r="R694" s="82"/>
      <c r="S694" s="82"/>
      <c r="T694" s="82"/>
      <c r="U694" s="82"/>
      <c r="V694" s="82"/>
      <c r="W694" s="82"/>
      <c r="X694" s="82"/>
      <c r="Y694" s="82"/>
      <c r="Z694" s="82"/>
      <c r="AA694" s="82"/>
      <c r="AB694" s="82"/>
      <c r="AC694" s="82"/>
      <c r="AD694" s="82"/>
      <c r="AE694" s="82"/>
      <c r="AF694" s="82"/>
      <c r="AG694" s="82"/>
      <c r="AH694" s="82"/>
      <c r="AI694" s="82"/>
      <c r="AJ694" s="82"/>
      <c r="AK694" s="82"/>
      <c r="AL694" s="82"/>
      <c r="AM694" s="82"/>
      <c r="AN694" s="82">
        <f>IFERROR(__xludf.DUMMYFUNCTION("""COMPUTED_VALUE"""),0.0)</f>
        <v>0</v>
      </c>
      <c r="AO694" s="82">
        <f>IFERROR(__xludf.DUMMYFUNCTION("""COMPUTED_VALUE"""),0.0)</f>
        <v>0</v>
      </c>
      <c r="AP694" s="82">
        <f>IFERROR(__xludf.DUMMYFUNCTION("""COMPUTED_VALUE"""),0.0)</f>
        <v>0</v>
      </c>
      <c r="AQ694" s="82">
        <f>IFERROR(__xludf.DUMMYFUNCTION("""COMPUTED_VALUE"""),0.0)</f>
        <v>0</v>
      </c>
      <c r="AR694" s="82">
        <f>IFERROR(__xludf.DUMMYFUNCTION("""COMPUTED_VALUE"""),0.0)</f>
        <v>0</v>
      </c>
      <c r="AS694" s="82"/>
      <c r="AT694" s="82">
        <f>IFERROR(__xludf.DUMMYFUNCTION("""COMPUTED_VALUE"""),0.0)</f>
        <v>0</v>
      </c>
      <c r="AU694" s="82"/>
      <c r="AV694" s="82"/>
      <c r="AW694" s="82" t="str">
        <f t="shared" si="1"/>
        <v/>
      </c>
      <c r="AX694" s="83" t="str">
        <f t="array" ref="AX694">IFERROR(DGET('SBV Import'!A:G,"SBV",{"RSC ID","Tier";B694,A694}))</f>
        <v/>
      </c>
      <c r="AY694" s="82" t="str">
        <f t="shared" si="2"/>
        <v/>
      </c>
      <c r="AZ694" s="82"/>
      <c r="BA694" s="84" t="s">
        <v>152</v>
      </c>
      <c r="BB694" s="84" t="str">
        <f>IFERROR(__xludf.DUMMYFUNCTION("iferror(if(A694="""",,E694&gt;=FILTER(Constants!$F$2:$F$10,Constants!$A$2:$A$10=A694)))"),"")</f>
        <v/>
      </c>
    </row>
    <row r="695">
      <c r="A695" s="80"/>
      <c r="B695" s="87"/>
      <c r="C695" s="88"/>
      <c r="D695" s="73"/>
      <c r="E695" s="82"/>
      <c r="F695" s="82"/>
      <c r="G695" s="82"/>
      <c r="H695" s="86"/>
      <c r="I695" s="86"/>
      <c r="J695" s="82"/>
      <c r="K695" s="82"/>
      <c r="L695" s="82"/>
      <c r="M695" s="82"/>
      <c r="N695" s="82"/>
      <c r="O695" s="82"/>
      <c r="P695" s="82"/>
      <c r="Q695" s="82"/>
      <c r="R695" s="82"/>
      <c r="S695" s="82"/>
      <c r="T695" s="82"/>
      <c r="U695" s="82"/>
      <c r="V695" s="82"/>
      <c r="W695" s="82"/>
      <c r="X695" s="82"/>
      <c r="Y695" s="82"/>
      <c r="Z695" s="82"/>
      <c r="AA695" s="82"/>
      <c r="AB695" s="82"/>
      <c r="AC695" s="82"/>
      <c r="AD695" s="82"/>
      <c r="AE695" s="82"/>
      <c r="AF695" s="82"/>
      <c r="AG695" s="82"/>
      <c r="AH695" s="82"/>
      <c r="AI695" s="82"/>
      <c r="AJ695" s="82"/>
      <c r="AK695" s="82"/>
      <c r="AL695" s="82"/>
      <c r="AM695" s="82"/>
      <c r="AN695" s="82">
        <f>IFERROR(__xludf.DUMMYFUNCTION("""COMPUTED_VALUE"""),0.0)</f>
        <v>0</v>
      </c>
      <c r="AO695" s="82">
        <f>IFERROR(__xludf.DUMMYFUNCTION("""COMPUTED_VALUE"""),0.0)</f>
        <v>0</v>
      </c>
      <c r="AP695" s="82">
        <f>IFERROR(__xludf.DUMMYFUNCTION("""COMPUTED_VALUE"""),0.0)</f>
        <v>0</v>
      </c>
      <c r="AQ695" s="82">
        <f>IFERROR(__xludf.DUMMYFUNCTION("""COMPUTED_VALUE"""),0.0)</f>
        <v>0</v>
      </c>
      <c r="AR695" s="82">
        <f>IFERROR(__xludf.DUMMYFUNCTION("""COMPUTED_VALUE"""),0.0)</f>
        <v>0</v>
      </c>
      <c r="AS695" s="82"/>
      <c r="AT695" s="82">
        <f>IFERROR(__xludf.DUMMYFUNCTION("""COMPUTED_VALUE"""),0.0)</f>
        <v>0</v>
      </c>
      <c r="AU695" s="82"/>
      <c r="AV695" s="82"/>
      <c r="AW695" s="82" t="str">
        <f t="shared" si="1"/>
        <v/>
      </c>
      <c r="AX695" s="83" t="str">
        <f t="array" ref="AX695">IFERROR(DGET('SBV Import'!A:G,"SBV",{"RSC ID","Tier";B695,A695}))</f>
        <v/>
      </c>
      <c r="AY695" s="82" t="str">
        <f t="shared" si="2"/>
        <v/>
      </c>
      <c r="AZ695" s="82"/>
      <c r="BA695" s="84" t="s">
        <v>152</v>
      </c>
      <c r="BB695" s="84" t="str">
        <f>IFERROR(__xludf.DUMMYFUNCTION("iferror(if(A695="""",,E695&gt;=FILTER(Constants!$F$2:$F$10,Constants!$A$2:$A$10=A695)))"),"")</f>
        <v/>
      </c>
    </row>
    <row r="696">
      <c r="A696" s="80"/>
      <c r="B696" s="87"/>
      <c r="C696" s="73"/>
      <c r="D696" s="73"/>
      <c r="E696" s="82"/>
      <c r="F696" s="82"/>
      <c r="G696" s="82"/>
      <c r="H696" s="86"/>
      <c r="I696" s="86"/>
      <c r="J696" s="82"/>
      <c r="K696" s="82"/>
      <c r="L696" s="82"/>
      <c r="M696" s="82"/>
      <c r="N696" s="82"/>
      <c r="O696" s="82"/>
      <c r="P696" s="82"/>
      <c r="Q696" s="82"/>
      <c r="R696" s="82"/>
      <c r="S696" s="82"/>
      <c r="T696" s="82"/>
      <c r="U696" s="82"/>
      <c r="V696" s="82"/>
      <c r="W696" s="82"/>
      <c r="X696" s="82"/>
      <c r="Y696" s="82"/>
      <c r="Z696" s="82"/>
      <c r="AA696" s="82"/>
      <c r="AB696" s="82"/>
      <c r="AC696" s="82"/>
      <c r="AD696" s="82"/>
      <c r="AE696" s="82"/>
      <c r="AF696" s="82"/>
      <c r="AG696" s="82"/>
      <c r="AH696" s="82"/>
      <c r="AI696" s="82"/>
      <c r="AJ696" s="82"/>
      <c r="AK696" s="82"/>
      <c r="AL696" s="82"/>
      <c r="AM696" s="82"/>
      <c r="AN696" s="82">
        <f>IFERROR(__xludf.DUMMYFUNCTION("""COMPUTED_VALUE"""),0.0)</f>
        <v>0</v>
      </c>
      <c r="AO696" s="82">
        <f>IFERROR(__xludf.DUMMYFUNCTION("""COMPUTED_VALUE"""),0.0)</f>
        <v>0</v>
      </c>
      <c r="AP696" s="82">
        <f>IFERROR(__xludf.DUMMYFUNCTION("""COMPUTED_VALUE"""),0.0)</f>
        <v>0</v>
      </c>
      <c r="AQ696" s="82">
        <f>IFERROR(__xludf.DUMMYFUNCTION("""COMPUTED_VALUE"""),0.0)</f>
        <v>0</v>
      </c>
      <c r="AR696" s="82">
        <f>IFERROR(__xludf.DUMMYFUNCTION("""COMPUTED_VALUE"""),0.0)</f>
        <v>0</v>
      </c>
      <c r="AS696" s="82"/>
      <c r="AT696" s="82">
        <f>IFERROR(__xludf.DUMMYFUNCTION("""COMPUTED_VALUE"""),0.0)</f>
        <v>0</v>
      </c>
      <c r="AU696" s="82"/>
      <c r="AV696" s="82"/>
      <c r="AW696" s="82" t="str">
        <f t="shared" si="1"/>
        <v/>
      </c>
      <c r="AX696" s="83" t="str">
        <f t="array" ref="AX696">IFERROR(DGET('SBV Import'!A:G,"SBV",{"RSC ID","Tier";B696,A696}))</f>
        <v/>
      </c>
      <c r="AY696" s="82" t="str">
        <f t="shared" si="2"/>
        <v/>
      </c>
      <c r="AZ696" s="82"/>
      <c r="BA696" s="84" t="s">
        <v>152</v>
      </c>
      <c r="BB696" s="84" t="str">
        <f>IFERROR(__xludf.DUMMYFUNCTION("iferror(if(A696="""",,E696&gt;=FILTER(Constants!$F$2:$F$10,Constants!$A$2:$A$10=A696)))"),"")</f>
        <v/>
      </c>
    </row>
    <row r="697">
      <c r="A697" s="80"/>
      <c r="B697" s="87"/>
      <c r="C697" s="73"/>
      <c r="D697" s="73"/>
      <c r="E697" s="82"/>
      <c r="F697" s="82"/>
      <c r="G697" s="82"/>
      <c r="H697" s="86"/>
      <c r="I697" s="86"/>
      <c r="J697" s="82"/>
      <c r="K697" s="82"/>
      <c r="L697" s="82"/>
      <c r="M697" s="82"/>
      <c r="N697" s="82"/>
      <c r="O697" s="82"/>
      <c r="P697" s="82"/>
      <c r="Q697" s="82"/>
      <c r="R697" s="82"/>
      <c r="S697" s="82"/>
      <c r="T697" s="82"/>
      <c r="U697" s="82"/>
      <c r="V697" s="82"/>
      <c r="W697" s="82"/>
      <c r="X697" s="82"/>
      <c r="Y697" s="82"/>
      <c r="Z697" s="82"/>
      <c r="AA697" s="82"/>
      <c r="AB697" s="82"/>
      <c r="AC697" s="82"/>
      <c r="AD697" s="82"/>
      <c r="AE697" s="82"/>
      <c r="AF697" s="82"/>
      <c r="AG697" s="82"/>
      <c r="AH697" s="82"/>
      <c r="AI697" s="82"/>
      <c r="AJ697" s="82"/>
      <c r="AK697" s="82"/>
      <c r="AL697" s="82"/>
      <c r="AM697" s="82"/>
      <c r="AN697" s="82">
        <f>IFERROR(__xludf.DUMMYFUNCTION("""COMPUTED_VALUE"""),0.0)</f>
        <v>0</v>
      </c>
      <c r="AO697" s="82">
        <f>IFERROR(__xludf.DUMMYFUNCTION("""COMPUTED_VALUE"""),0.0)</f>
        <v>0</v>
      </c>
      <c r="AP697" s="82">
        <f>IFERROR(__xludf.DUMMYFUNCTION("""COMPUTED_VALUE"""),0.0)</f>
        <v>0</v>
      </c>
      <c r="AQ697" s="82">
        <f>IFERROR(__xludf.DUMMYFUNCTION("""COMPUTED_VALUE"""),0.0)</f>
        <v>0</v>
      </c>
      <c r="AR697" s="82">
        <f>IFERROR(__xludf.DUMMYFUNCTION("""COMPUTED_VALUE"""),0.0)</f>
        <v>0</v>
      </c>
      <c r="AS697" s="82"/>
      <c r="AT697" s="82">
        <f>IFERROR(__xludf.DUMMYFUNCTION("""COMPUTED_VALUE"""),0.0)</f>
        <v>0</v>
      </c>
      <c r="AU697" s="82"/>
      <c r="AV697" s="82"/>
      <c r="AW697" s="82" t="str">
        <f t="shared" si="1"/>
        <v/>
      </c>
      <c r="AX697" s="83" t="str">
        <f t="array" ref="AX697">IFERROR(DGET('SBV Import'!A:G,"SBV",{"RSC ID","Tier";B697,A697}))</f>
        <v/>
      </c>
      <c r="AY697" s="82" t="str">
        <f t="shared" si="2"/>
        <v/>
      </c>
      <c r="AZ697" s="82"/>
      <c r="BA697" s="84" t="s">
        <v>152</v>
      </c>
      <c r="BB697" s="84" t="str">
        <f>IFERROR(__xludf.DUMMYFUNCTION("iferror(if(A697="""",,E697&gt;=FILTER(Constants!$F$2:$F$10,Constants!$A$2:$A$10=A697)))"),"")</f>
        <v/>
      </c>
    </row>
    <row r="698">
      <c r="A698" s="80"/>
      <c r="B698" s="87"/>
      <c r="C698" s="73"/>
      <c r="D698" s="73"/>
      <c r="E698" s="82"/>
      <c r="F698" s="82"/>
      <c r="G698" s="82"/>
      <c r="H698" s="86"/>
      <c r="I698" s="86"/>
      <c r="J698" s="82"/>
      <c r="K698" s="82"/>
      <c r="L698" s="82"/>
      <c r="M698" s="82"/>
      <c r="N698" s="82"/>
      <c r="O698" s="82"/>
      <c r="P698" s="82"/>
      <c r="Q698" s="82"/>
      <c r="R698" s="82"/>
      <c r="S698" s="82"/>
      <c r="T698" s="82"/>
      <c r="U698" s="82"/>
      <c r="V698" s="82"/>
      <c r="W698" s="82"/>
      <c r="X698" s="82"/>
      <c r="Y698" s="82"/>
      <c r="Z698" s="82"/>
      <c r="AA698" s="82"/>
      <c r="AB698" s="82"/>
      <c r="AC698" s="82"/>
      <c r="AD698" s="82"/>
      <c r="AE698" s="82"/>
      <c r="AF698" s="82"/>
      <c r="AG698" s="82"/>
      <c r="AH698" s="82"/>
      <c r="AI698" s="82"/>
      <c r="AJ698" s="82"/>
      <c r="AK698" s="82"/>
      <c r="AL698" s="82"/>
      <c r="AM698" s="82"/>
      <c r="AN698" s="82">
        <f>IFERROR(__xludf.DUMMYFUNCTION("""COMPUTED_VALUE"""),0.0)</f>
        <v>0</v>
      </c>
      <c r="AO698" s="82">
        <f>IFERROR(__xludf.DUMMYFUNCTION("""COMPUTED_VALUE"""),0.0)</f>
        <v>0</v>
      </c>
      <c r="AP698" s="82">
        <f>IFERROR(__xludf.DUMMYFUNCTION("""COMPUTED_VALUE"""),0.0)</f>
        <v>0</v>
      </c>
      <c r="AQ698" s="82">
        <f>IFERROR(__xludf.DUMMYFUNCTION("""COMPUTED_VALUE"""),0.0)</f>
        <v>0</v>
      </c>
      <c r="AR698" s="82">
        <f>IFERROR(__xludf.DUMMYFUNCTION("""COMPUTED_VALUE"""),0.0)</f>
        <v>0</v>
      </c>
      <c r="AS698" s="82"/>
      <c r="AT698" s="82">
        <f>IFERROR(__xludf.DUMMYFUNCTION("""COMPUTED_VALUE"""),0.0)</f>
        <v>0</v>
      </c>
      <c r="AU698" s="82"/>
      <c r="AV698" s="82"/>
      <c r="AW698" s="82" t="str">
        <f t="shared" si="1"/>
        <v/>
      </c>
      <c r="AX698" s="83" t="str">
        <f t="array" ref="AX698">IFERROR(DGET('SBV Import'!A:G,"SBV",{"RSC ID","Tier";B698,A698}))</f>
        <v/>
      </c>
      <c r="AY698" s="82" t="str">
        <f t="shared" si="2"/>
        <v/>
      </c>
      <c r="AZ698" s="82"/>
      <c r="BA698" s="84" t="s">
        <v>152</v>
      </c>
      <c r="BB698" s="84" t="str">
        <f>IFERROR(__xludf.DUMMYFUNCTION("iferror(if(A698="""",,E698&gt;=FILTER(Constants!$F$2:$F$10,Constants!$A$2:$A$10=A698)))"),"")</f>
        <v/>
      </c>
    </row>
    <row r="699">
      <c r="A699" s="80"/>
      <c r="B699" s="87"/>
      <c r="C699" s="73"/>
      <c r="D699" s="73"/>
      <c r="E699" s="82"/>
      <c r="F699" s="82"/>
      <c r="G699" s="82"/>
      <c r="H699" s="86"/>
      <c r="I699" s="86"/>
      <c r="J699" s="82"/>
      <c r="K699" s="82"/>
      <c r="L699" s="82"/>
      <c r="M699" s="82"/>
      <c r="N699" s="82"/>
      <c r="O699" s="82"/>
      <c r="P699" s="82"/>
      <c r="Q699" s="82"/>
      <c r="R699" s="82"/>
      <c r="S699" s="82"/>
      <c r="T699" s="82"/>
      <c r="U699" s="82"/>
      <c r="V699" s="82"/>
      <c r="W699" s="82"/>
      <c r="X699" s="82"/>
      <c r="Y699" s="82"/>
      <c r="Z699" s="82"/>
      <c r="AA699" s="82"/>
      <c r="AB699" s="82"/>
      <c r="AC699" s="82"/>
      <c r="AD699" s="82"/>
      <c r="AE699" s="82"/>
      <c r="AF699" s="82"/>
      <c r="AG699" s="82"/>
      <c r="AH699" s="82"/>
      <c r="AI699" s="82"/>
      <c r="AJ699" s="82"/>
      <c r="AK699" s="82"/>
      <c r="AL699" s="82"/>
      <c r="AM699" s="82"/>
      <c r="AN699" s="82">
        <f>IFERROR(__xludf.DUMMYFUNCTION("""COMPUTED_VALUE"""),0.0)</f>
        <v>0</v>
      </c>
      <c r="AO699" s="82">
        <f>IFERROR(__xludf.DUMMYFUNCTION("""COMPUTED_VALUE"""),0.0)</f>
        <v>0</v>
      </c>
      <c r="AP699" s="82">
        <f>IFERROR(__xludf.DUMMYFUNCTION("""COMPUTED_VALUE"""),0.0)</f>
        <v>0</v>
      </c>
      <c r="AQ699" s="82">
        <f>IFERROR(__xludf.DUMMYFUNCTION("""COMPUTED_VALUE"""),0.0)</f>
        <v>0</v>
      </c>
      <c r="AR699" s="82">
        <f>IFERROR(__xludf.DUMMYFUNCTION("""COMPUTED_VALUE"""),0.0)</f>
        <v>0</v>
      </c>
      <c r="AS699" s="82"/>
      <c r="AT699" s="82">
        <f>IFERROR(__xludf.DUMMYFUNCTION("""COMPUTED_VALUE"""),0.0)</f>
        <v>0</v>
      </c>
      <c r="AU699" s="82"/>
      <c r="AV699" s="82"/>
      <c r="AW699" s="82" t="str">
        <f t="shared" si="1"/>
        <v/>
      </c>
      <c r="AX699" s="83" t="str">
        <f t="array" ref="AX699">IFERROR(DGET('SBV Import'!A:G,"SBV",{"RSC ID","Tier";B699,A699}))</f>
        <v/>
      </c>
      <c r="AY699" s="82" t="str">
        <f t="shared" si="2"/>
        <v/>
      </c>
      <c r="AZ699" s="82"/>
      <c r="BA699" s="84" t="s">
        <v>152</v>
      </c>
      <c r="BB699" s="84" t="str">
        <f>IFERROR(__xludf.DUMMYFUNCTION("iferror(if(A699="""",,E699&gt;=FILTER(Constants!$F$2:$F$10,Constants!$A$2:$A$10=A699)))"),"")</f>
        <v/>
      </c>
    </row>
    <row r="700">
      <c r="A700" s="85"/>
      <c r="B700" s="87"/>
      <c r="C700" s="73"/>
      <c r="D700" s="73"/>
      <c r="E700" s="82"/>
      <c r="F700" s="82"/>
      <c r="G700" s="82"/>
      <c r="H700" s="86"/>
      <c r="I700" s="86"/>
      <c r="J700" s="82"/>
      <c r="K700" s="82"/>
      <c r="L700" s="82"/>
      <c r="M700" s="82"/>
      <c r="N700" s="82"/>
      <c r="O700" s="82"/>
      <c r="P700" s="82"/>
      <c r="Q700" s="82"/>
      <c r="R700" s="82"/>
      <c r="S700" s="82"/>
      <c r="T700" s="82"/>
      <c r="U700" s="82"/>
      <c r="V700" s="82"/>
      <c r="W700" s="82"/>
      <c r="X700" s="82"/>
      <c r="Y700" s="82"/>
      <c r="Z700" s="82"/>
      <c r="AA700" s="82"/>
      <c r="AB700" s="82"/>
      <c r="AC700" s="82"/>
      <c r="AD700" s="82"/>
      <c r="AE700" s="82"/>
      <c r="AF700" s="82"/>
      <c r="AG700" s="82"/>
      <c r="AH700" s="82"/>
      <c r="AI700" s="82"/>
      <c r="AJ700" s="82"/>
      <c r="AK700" s="82"/>
      <c r="AL700" s="82"/>
      <c r="AM700" s="82"/>
      <c r="AN700" s="82">
        <f>IFERROR(__xludf.DUMMYFUNCTION("""COMPUTED_VALUE"""),0.0)</f>
        <v>0</v>
      </c>
      <c r="AO700" s="82">
        <f>IFERROR(__xludf.DUMMYFUNCTION("""COMPUTED_VALUE"""),0.0)</f>
        <v>0</v>
      </c>
      <c r="AP700" s="82">
        <f>IFERROR(__xludf.DUMMYFUNCTION("""COMPUTED_VALUE"""),0.0)</f>
        <v>0</v>
      </c>
      <c r="AQ700" s="82">
        <f>IFERROR(__xludf.DUMMYFUNCTION("""COMPUTED_VALUE"""),0.0)</f>
        <v>0</v>
      </c>
      <c r="AR700" s="82">
        <f>IFERROR(__xludf.DUMMYFUNCTION("""COMPUTED_VALUE"""),0.0)</f>
        <v>0</v>
      </c>
      <c r="AS700" s="82"/>
      <c r="AT700" s="82">
        <f>IFERROR(__xludf.DUMMYFUNCTION("""COMPUTED_VALUE"""),0.0)</f>
        <v>0</v>
      </c>
      <c r="AU700" s="82"/>
      <c r="AV700" s="82"/>
      <c r="AW700" s="82" t="str">
        <f t="shared" si="1"/>
        <v/>
      </c>
      <c r="AX700" s="83" t="str">
        <f t="array" ref="AX700">IFERROR(DGET('SBV Import'!A:G,"SBV",{"RSC ID","Tier";B700,A700}))</f>
        <v/>
      </c>
      <c r="AY700" s="82" t="str">
        <f t="shared" si="2"/>
        <v/>
      </c>
      <c r="AZ700" s="82"/>
      <c r="BA700" s="84" t="s">
        <v>152</v>
      </c>
      <c r="BB700" s="84" t="str">
        <f>IFERROR(__xludf.DUMMYFUNCTION("iferror(if(A700="""",,E700&gt;=FILTER(Constants!$F$2:$F$10,Constants!$A$2:$A$10=A700)))"),"")</f>
        <v/>
      </c>
    </row>
    <row r="701">
      <c r="A701" s="80"/>
      <c r="B701" s="87"/>
      <c r="C701" s="73"/>
      <c r="D701" s="73"/>
      <c r="E701" s="82"/>
      <c r="F701" s="82"/>
      <c r="G701" s="82"/>
      <c r="H701" s="86"/>
      <c r="I701" s="86"/>
      <c r="J701" s="82"/>
      <c r="K701" s="82"/>
      <c r="L701" s="82"/>
      <c r="M701" s="82"/>
      <c r="N701" s="82"/>
      <c r="O701" s="82"/>
      <c r="P701" s="82"/>
      <c r="Q701" s="82"/>
      <c r="R701" s="82"/>
      <c r="S701" s="82"/>
      <c r="T701" s="82"/>
      <c r="U701" s="82"/>
      <c r="V701" s="82"/>
      <c r="W701" s="82"/>
      <c r="X701" s="82"/>
      <c r="Y701" s="82"/>
      <c r="Z701" s="82"/>
      <c r="AA701" s="82"/>
      <c r="AB701" s="82"/>
      <c r="AC701" s="82"/>
      <c r="AD701" s="82"/>
      <c r="AE701" s="82"/>
      <c r="AF701" s="82"/>
      <c r="AG701" s="82"/>
      <c r="AH701" s="82"/>
      <c r="AI701" s="82"/>
      <c r="AJ701" s="82"/>
      <c r="AK701" s="82"/>
      <c r="AL701" s="82"/>
      <c r="AM701" s="82"/>
      <c r="AN701" s="82">
        <f>IFERROR(__xludf.DUMMYFUNCTION("""COMPUTED_VALUE"""),0.0)</f>
        <v>0</v>
      </c>
      <c r="AO701" s="82">
        <f>IFERROR(__xludf.DUMMYFUNCTION("""COMPUTED_VALUE"""),0.0)</f>
        <v>0</v>
      </c>
      <c r="AP701" s="82">
        <f>IFERROR(__xludf.DUMMYFUNCTION("""COMPUTED_VALUE"""),0.0)</f>
        <v>0</v>
      </c>
      <c r="AQ701" s="82">
        <f>IFERROR(__xludf.DUMMYFUNCTION("""COMPUTED_VALUE"""),0.0)</f>
        <v>0</v>
      </c>
      <c r="AR701" s="82">
        <f>IFERROR(__xludf.DUMMYFUNCTION("""COMPUTED_VALUE"""),0.0)</f>
        <v>0</v>
      </c>
      <c r="AS701" s="82"/>
      <c r="AT701" s="82">
        <f>IFERROR(__xludf.DUMMYFUNCTION("""COMPUTED_VALUE"""),0.0)</f>
        <v>0</v>
      </c>
      <c r="AU701" s="82"/>
      <c r="AV701" s="82"/>
      <c r="AW701" s="82" t="str">
        <f t="shared" si="1"/>
        <v/>
      </c>
      <c r="AX701" s="83" t="str">
        <f t="array" ref="AX701">IFERROR(DGET('SBV Import'!A:G,"SBV",{"RSC ID","Tier";B701,A701}))</f>
        <v/>
      </c>
      <c r="AY701" s="82" t="str">
        <f t="shared" si="2"/>
        <v/>
      </c>
      <c r="AZ701" s="82"/>
      <c r="BA701" s="84" t="s">
        <v>152</v>
      </c>
      <c r="BB701" s="84" t="str">
        <f>IFERROR(__xludf.DUMMYFUNCTION("iferror(if(A701="""",,E701&gt;=FILTER(Constants!$F$2:$F$10,Constants!$A$2:$A$10=A701)))"),"")</f>
        <v/>
      </c>
    </row>
    <row r="702">
      <c r="A702" s="80"/>
      <c r="B702" s="87"/>
      <c r="C702" s="73"/>
      <c r="D702" s="73"/>
      <c r="E702" s="82"/>
      <c r="F702" s="82"/>
      <c r="G702" s="82"/>
      <c r="H702" s="86"/>
      <c r="I702" s="86"/>
      <c r="J702" s="82"/>
      <c r="K702" s="82"/>
      <c r="L702" s="82"/>
      <c r="M702" s="82"/>
      <c r="N702" s="82"/>
      <c r="O702" s="82"/>
      <c r="P702" s="82"/>
      <c r="Q702" s="82"/>
      <c r="R702" s="82"/>
      <c r="S702" s="82"/>
      <c r="T702" s="82"/>
      <c r="U702" s="82"/>
      <c r="V702" s="82"/>
      <c r="W702" s="82"/>
      <c r="X702" s="82"/>
      <c r="Y702" s="82"/>
      <c r="Z702" s="82"/>
      <c r="AA702" s="82"/>
      <c r="AB702" s="82"/>
      <c r="AC702" s="82"/>
      <c r="AD702" s="82"/>
      <c r="AE702" s="82"/>
      <c r="AF702" s="82"/>
      <c r="AG702" s="82"/>
      <c r="AH702" s="82"/>
      <c r="AI702" s="82"/>
      <c r="AJ702" s="82"/>
      <c r="AK702" s="82"/>
      <c r="AL702" s="82"/>
      <c r="AM702" s="82"/>
      <c r="AN702" s="82">
        <f>IFERROR(__xludf.DUMMYFUNCTION("""COMPUTED_VALUE"""),0.0)</f>
        <v>0</v>
      </c>
      <c r="AO702" s="82">
        <f>IFERROR(__xludf.DUMMYFUNCTION("""COMPUTED_VALUE"""),0.0)</f>
        <v>0</v>
      </c>
      <c r="AP702" s="82">
        <f>IFERROR(__xludf.DUMMYFUNCTION("""COMPUTED_VALUE"""),0.0)</f>
        <v>0</v>
      </c>
      <c r="AQ702" s="82">
        <f>IFERROR(__xludf.DUMMYFUNCTION("""COMPUTED_VALUE"""),0.0)</f>
        <v>0</v>
      </c>
      <c r="AR702" s="82">
        <f>IFERROR(__xludf.DUMMYFUNCTION("""COMPUTED_VALUE"""),0.0)</f>
        <v>0</v>
      </c>
      <c r="AS702" s="82"/>
      <c r="AT702" s="82">
        <f>IFERROR(__xludf.DUMMYFUNCTION("""COMPUTED_VALUE"""),0.0)</f>
        <v>0</v>
      </c>
      <c r="AU702" s="82"/>
      <c r="AV702" s="82"/>
      <c r="AW702" s="82" t="str">
        <f t="shared" si="1"/>
        <v/>
      </c>
      <c r="AX702" s="83" t="str">
        <f t="array" ref="AX702">IFERROR(DGET('SBV Import'!A:G,"SBV",{"RSC ID","Tier";B702,A702}))</f>
        <v/>
      </c>
      <c r="AY702" s="82" t="str">
        <f t="shared" si="2"/>
        <v/>
      </c>
      <c r="AZ702" s="82"/>
      <c r="BA702" s="84" t="s">
        <v>152</v>
      </c>
      <c r="BB702" s="84" t="str">
        <f>IFERROR(__xludf.DUMMYFUNCTION("iferror(if(A702="""",,E702&gt;=FILTER(Constants!$F$2:$F$10,Constants!$A$2:$A$10=A702)))"),"")</f>
        <v/>
      </c>
    </row>
    <row r="703">
      <c r="A703" s="80"/>
      <c r="B703" s="87"/>
      <c r="C703" s="73"/>
      <c r="D703" s="73"/>
      <c r="E703" s="82"/>
      <c r="F703" s="82"/>
      <c r="G703" s="82"/>
      <c r="H703" s="86"/>
      <c r="I703" s="86"/>
      <c r="J703" s="82"/>
      <c r="K703" s="82"/>
      <c r="L703" s="82"/>
      <c r="M703" s="82"/>
      <c r="N703" s="82"/>
      <c r="O703" s="82"/>
      <c r="P703" s="82"/>
      <c r="Q703" s="82"/>
      <c r="R703" s="82"/>
      <c r="S703" s="82"/>
      <c r="T703" s="82"/>
      <c r="U703" s="82"/>
      <c r="V703" s="82"/>
      <c r="W703" s="82"/>
      <c r="X703" s="82"/>
      <c r="Y703" s="82"/>
      <c r="Z703" s="82"/>
      <c r="AA703" s="82"/>
      <c r="AB703" s="82"/>
      <c r="AC703" s="82"/>
      <c r="AD703" s="82"/>
      <c r="AE703" s="82"/>
      <c r="AF703" s="82"/>
      <c r="AG703" s="82"/>
      <c r="AH703" s="82"/>
      <c r="AI703" s="82"/>
      <c r="AJ703" s="82"/>
      <c r="AK703" s="82"/>
      <c r="AL703" s="82"/>
      <c r="AM703" s="82"/>
      <c r="AN703" s="82">
        <f>IFERROR(__xludf.DUMMYFUNCTION("""COMPUTED_VALUE"""),0.0)</f>
        <v>0</v>
      </c>
      <c r="AO703" s="82">
        <f>IFERROR(__xludf.DUMMYFUNCTION("""COMPUTED_VALUE"""),0.0)</f>
        <v>0</v>
      </c>
      <c r="AP703" s="82">
        <f>IFERROR(__xludf.DUMMYFUNCTION("""COMPUTED_VALUE"""),0.0)</f>
        <v>0</v>
      </c>
      <c r="AQ703" s="82">
        <f>IFERROR(__xludf.DUMMYFUNCTION("""COMPUTED_VALUE"""),0.0)</f>
        <v>0</v>
      </c>
      <c r="AR703" s="82">
        <f>IFERROR(__xludf.DUMMYFUNCTION("""COMPUTED_VALUE"""),0.0)</f>
        <v>0</v>
      </c>
      <c r="AS703" s="82"/>
      <c r="AT703" s="82">
        <f>IFERROR(__xludf.DUMMYFUNCTION("""COMPUTED_VALUE"""),0.0)</f>
        <v>0</v>
      </c>
      <c r="AU703" s="82"/>
      <c r="AV703" s="82"/>
      <c r="AW703" s="82" t="str">
        <f t="shared" si="1"/>
        <v/>
      </c>
      <c r="AX703" s="83" t="str">
        <f t="array" ref="AX703">IFERROR(DGET('SBV Import'!A:G,"SBV",{"RSC ID","Tier";B703,A703}))</f>
        <v/>
      </c>
      <c r="AY703" s="82" t="str">
        <f t="shared" si="2"/>
        <v/>
      </c>
      <c r="AZ703" s="82"/>
      <c r="BA703" s="84" t="s">
        <v>152</v>
      </c>
      <c r="BB703" s="84" t="str">
        <f>IFERROR(__xludf.DUMMYFUNCTION("iferror(if(A703="""",,E703&gt;=FILTER(Constants!$F$2:$F$10,Constants!$A$2:$A$10=A703)))"),"")</f>
        <v/>
      </c>
    </row>
    <row r="704">
      <c r="A704" s="80"/>
      <c r="B704" s="87"/>
      <c r="C704" s="73"/>
      <c r="D704" s="73"/>
      <c r="E704" s="82"/>
      <c r="F704" s="82"/>
      <c r="G704" s="82"/>
      <c r="H704" s="86"/>
      <c r="I704" s="86"/>
      <c r="J704" s="82"/>
      <c r="K704" s="82"/>
      <c r="L704" s="82"/>
      <c r="M704" s="82"/>
      <c r="N704" s="82"/>
      <c r="O704" s="82"/>
      <c r="P704" s="82"/>
      <c r="Q704" s="82"/>
      <c r="R704" s="82"/>
      <c r="S704" s="82"/>
      <c r="T704" s="82"/>
      <c r="U704" s="82"/>
      <c r="V704" s="82"/>
      <c r="W704" s="82"/>
      <c r="X704" s="82"/>
      <c r="Y704" s="82"/>
      <c r="Z704" s="82"/>
      <c r="AA704" s="82"/>
      <c r="AB704" s="82"/>
      <c r="AC704" s="82"/>
      <c r="AD704" s="82"/>
      <c r="AE704" s="82"/>
      <c r="AF704" s="82"/>
      <c r="AG704" s="82"/>
      <c r="AH704" s="82"/>
      <c r="AI704" s="82"/>
      <c r="AJ704" s="82"/>
      <c r="AK704" s="82"/>
      <c r="AL704" s="82"/>
      <c r="AM704" s="82"/>
      <c r="AN704" s="82">
        <f>IFERROR(__xludf.DUMMYFUNCTION("""COMPUTED_VALUE"""),0.0)</f>
        <v>0</v>
      </c>
      <c r="AO704" s="82">
        <f>IFERROR(__xludf.DUMMYFUNCTION("""COMPUTED_VALUE"""),0.0)</f>
        <v>0</v>
      </c>
      <c r="AP704" s="82">
        <f>IFERROR(__xludf.DUMMYFUNCTION("""COMPUTED_VALUE"""),0.0)</f>
        <v>0</v>
      </c>
      <c r="AQ704" s="82">
        <f>IFERROR(__xludf.DUMMYFUNCTION("""COMPUTED_VALUE"""),0.0)</f>
        <v>0</v>
      </c>
      <c r="AR704" s="82">
        <f>IFERROR(__xludf.DUMMYFUNCTION("""COMPUTED_VALUE"""),0.0)</f>
        <v>0</v>
      </c>
      <c r="AS704" s="82"/>
      <c r="AT704" s="82">
        <f>IFERROR(__xludf.DUMMYFUNCTION("""COMPUTED_VALUE"""),0.0)</f>
        <v>0</v>
      </c>
      <c r="AU704" s="82"/>
      <c r="AV704" s="82"/>
      <c r="AW704" s="82" t="str">
        <f t="shared" si="1"/>
        <v/>
      </c>
      <c r="AX704" s="83" t="str">
        <f t="array" ref="AX704">IFERROR(DGET('SBV Import'!A:G,"SBV",{"RSC ID","Tier";B704,A704}))</f>
        <v/>
      </c>
      <c r="AY704" s="82" t="str">
        <f t="shared" si="2"/>
        <v/>
      </c>
      <c r="AZ704" s="82"/>
      <c r="BA704" s="84" t="s">
        <v>152</v>
      </c>
      <c r="BB704" s="84" t="str">
        <f>IFERROR(__xludf.DUMMYFUNCTION("iferror(if(A704="""",,E704&gt;=FILTER(Constants!$F$2:$F$10,Constants!$A$2:$A$10=A704)))"),"")</f>
        <v/>
      </c>
    </row>
    <row r="705">
      <c r="A705" s="80"/>
      <c r="B705" s="87"/>
      <c r="C705" s="73"/>
      <c r="D705" s="73"/>
      <c r="E705" s="82"/>
      <c r="F705" s="82"/>
      <c r="G705" s="82"/>
      <c r="H705" s="86"/>
      <c r="I705" s="86"/>
      <c r="J705" s="82"/>
      <c r="K705" s="82"/>
      <c r="L705" s="82"/>
      <c r="M705" s="82"/>
      <c r="N705" s="82"/>
      <c r="O705" s="82"/>
      <c r="P705" s="82"/>
      <c r="Q705" s="82"/>
      <c r="R705" s="82"/>
      <c r="S705" s="82"/>
      <c r="T705" s="82"/>
      <c r="U705" s="82"/>
      <c r="V705" s="82"/>
      <c r="W705" s="82"/>
      <c r="X705" s="82"/>
      <c r="Y705" s="82"/>
      <c r="Z705" s="82"/>
      <c r="AA705" s="82"/>
      <c r="AB705" s="82"/>
      <c r="AC705" s="82"/>
      <c r="AD705" s="82"/>
      <c r="AE705" s="82"/>
      <c r="AF705" s="82"/>
      <c r="AG705" s="82"/>
      <c r="AH705" s="82"/>
      <c r="AI705" s="82"/>
      <c r="AJ705" s="82"/>
      <c r="AK705" s="82"/>
      <c r="AL705" s="82"/>
      <c r="AM705" s="82"/>
      <c r="AN705" s="82">
        <f>IFERROR(__xludf.DUMMYFUNCTION("""COMPUTED_VALUE"""),0.0)</f>
        <v>0</v>
      </c>
      <c r="AO705" s="82">
        <f>IFERROR(__xludf.DUMMYFUNCTION("""COMPUTED_VALUE"""),0.0)</f>
        <v>0</v>
      </c>
      <c r="AP705" s="82">
        <f>IFERROR(__xludf.DUMMYFUNCTION("""COMPUTED_VALUE"""),0.0)</f>
        <v>0</v>
      </c>
      <c r="AQ705" s="82">
        <f>IFERROR(__xludf.DUMMYFUNCTION("""COMPUTED_VALUE"""),0.0)</f>
        <v>0</v>
      </c>
      <c r="AR705" s="82">
        <f>IFERROR(__xludf.DUMMYFUNCTION("""COMPUTED_VALUE"""),0.0)</f>
        <v>0</v>
      </c>
      <c r="AS705" s="82"/>
      <c r="AT705" s="82">
        <f>IFERROR(__xludf.DUMMYFUNCTION("""COMPUTED_VALUE"""),0.0)</f>
        <v>0</v>
      </c>
      <c r="AU705" s="82"/>
      <c r="AV705" s="82"/>
      <c r="AW705" s="82" t="str">
        <f t="shared" si="1"/>
        <v/>
      </c>
      <c r="AX705" s="83" t="str">
        <f t="array" ref="AX705">IFERROR(DGET('SBV Import'!A:G,"SBV",{"RSC ID","Tier";B705,A705}))</f>
        <v/>
      </c>
      <c r="AY705" s="82" t="str">
        <f t="shared" si="2"/>
        <v/>
      </c>
      <c r="AZ705" s="82"/>
      <c r="BA705" s="84" t="s">
        <v>152</v>
      </c>
      <c r="BB705" s="84" t="str">
        <f>IFERROR(__xludf.DUMMYFUNCTION("iferror(if(A705="""",,E705&gt;=FILTER(Constants!$F$2:$F$10,Constants!$A$2:$A$10=A705)))"),"")</f>
        <v/>
      </c>
    </row>
    <row r="706">
      <c r="A706" s="80"/>
      <c r="B706" s="87"/>
      <c r="C706" s="73"/>
      <c r="D706" s="73"/>
      <c r="E706" s="82"/>
      <c r="F706" s="82"/>
      <c r="G706" s="82"/>
      <c r="H706" s="86"/>
      <c r="I706" s="86"/>
      <c r="J706" s="82"/>
      <c r="K706" s="82"/>
      <c r="L706" s="82"/>
      <c r="M706" s="82"/>
      <c r="N706" s="82"/>
      <c r="O706" s="82"/>
      <c r="P706" s="82"/>
      <c r="Q706" s="82"/>
      <c r="R706" s="82"/>
      <c r="S706" s="82"/>
      <c r="T706" s="82"/>
      <c r="U706" s="82"/>
      <c r="V706" s="82"/>
      <c r="W706" s="82"/>
      <c r="X706" s="82"/>
      <c r="Y706" s="82"/>
      <c r="Z706" s="82"/>
      <c r="AA706" s="82"/>
      <c r="AB706" s="82"/>
      <c r="AC706" s="82"/>
      <c r="AD706" s="82"/>
      <c r="AE706" s="82"/>
      <c r="AF706" s="82"/>
      <c r="AG706" s="82"/>
      <c r="AH706" s="82"/>
      <c r="AI706" s="82"/>
      <c r="AJ706" s="82"/>
      <c r="AK706" s="82"/>
      <c r="AL706" s="82"/>
      <c r="AM706" s="82"/>
      <c r="AN706" s="82">
        <f>IFERROR(__xludf.DUMMYFUNCTION("""COMPUTED_VALUE"""),0.0)</f>
        <v>0</v>
      </c>
      <c r="AO706" s="82">
        <f>IFERROR(__xludf.DUMMYFUNCTION("""COMPUTED_VALUE"""),0.0)</f>
        <v>0</v>
      </c>
      <c r="AP706" s="82">
        <f>IFERROR(__xludf.DUMMYFUNCTION("""COMPUTED_VALUE"""),0.0)</f>
        <v>0</v>
      </c>
      <c r="AQ706" s="82">
        <f>IFERROR(__xludf.DUMMYFUNCTION("""COMPUTED_VALUE"""),0.0)</f>
        <v>0</v>
      </c>
      <c r="AR706" s="82">
        <f>IFERROR(__xludf.DUMMYFUNCTION("""COMPUTED_VALUE"""),0.0)</f>
        <v>0</v>
      </c>
      <c r="AS706" s="82"/>
      <c r="AT706" s="82">
        <f>IFERROR(__xludf.DUMMYFUNCTION("""COMPUTED_VALUE"""),0.0)</f>
        <v>0</v>
      </c>
      <c r="AU706" s="82"/>
      <c r="AV706" s="82"/>
      <c r="AW706" s="82" t="str">
        <f t="shared" si="1"/>
        <v/>
      </c>
      <c r="AX706" s="83" t="str">
        <f t="array" ref="AX706">IFERROR(DGET('SBV Import'!A:G,"SBV",{"RSC ID","Tier";B706,A706}))</f>
        <v/>
      </c>
      <c r="AY706" s="82" t="str">
        <f t="shared" si="2"/>
        <v/>
      </c>
      <c r="AZ706" s="82"/>
      <c r="BA706" s="84" t="s">
        <v>152</v>
      </c>
      <c r="BB706" s="84" t="str">
        <f>IFERROR(__xludf.DUMMYFUNCTION("iferror(if(A706="""",,E706&gt;=FILTER(Constants!$F$2:$F$10,Constants!$A$2:$A$10=A706)))"),"")</f>
        <v/>
      </c>
    </row>
    <row r="707">
      <c r="A707" s="80"/>
      <c r="B707" s="87"/>
      <c r="C707" s="73"/>
      <c r="D707" s="73"/>
      <c r="E707" s="82"/>
      <c r="F707" s="82"/>
      <c r="G707" s="82"/>
      <c r="H707" s="86"/>
      <c r="I707" s="86"/>
      <c r="J707" s="82"/>
      <c r="K707" s="82"/>
      <c r="L707" s="82"/>
      <c r="M707" s="82"/>
      <c r="N707" s="82"/>
      <c r="O707" s="82"/>
      <c r="P707" s="82"/>
      <c r="Q707" s="82"/>
      <c r="R707" s="82"/>
      <c r="S707" s="82"/>
      <c r="T707" s="82"/>
      <c r="U707" s="82"/>
      <c r="V707" s="82"/>
      <c r="W707" s="82"/>
      <c r="X707" s="82"/>
      <c r="Y707" s="82"/>
      <c r="Z707" s="82"/>
      <c r="AA707" s="82"/>
      <c r="AB707" s="82"/>
      <c r="AC707" s="82"/>
      <c r="AD707" s="82"/>
      <c r="AE707" s="82"/>
      <c r="AF707" s="82"/>
      <c r="AG707" s="82"/>
      <c r="AH707" s="82"/>
      <c r="AI707" s="82"/>
      <c r="AJ707" s="82"/>
      <c r="AK707" s="82"/>
      <c r="AL707" s="82"/>
      <c r="AM707" s="82"/>
      <c r="AN707" s="82">
        <f>IFERROR(__xludf.DUMMYFUNCTION("""COMPUTED_VALUE"""),0.0)</f>
        <v>0</v>
      </c>
      <c r="AO707" s="82">
        <f>IFERROR(__xludf.DUMMYFUNCTION("""COMPUTED_VALUE"""),0.0)</f>
        <v>0</v>
      </c>
      <c r="AP707" s="82">
        <f>IFERROR(__xludf.DUMMYFUNCTION("""COMPUTED_VALUE"""),0.0)</f>
        <v>0</v>
      </c>
      <c r="AQ707" s="82">
        <f>IFERROR(__xludf.DUMMYFUNCTION("""COMPUTED_VALUE"""),0.0)</f>
        <v>0</v>
      </c>
      <c r="AR707" s="82">
        <f>IFERROR(__xludf.DUMMYFUNCTION("""COMPUTED_VALUE"""),0.0)</f>
        <v>0</v>
      </c>
      <c r="AS707" s="82"/>
      <c r="AT707" s="82">
        <f>IFERROR(__xludf.DUMMYFUNCTION("""COMPUTED_VALUE"""),0.0)</f>
        <v>0</v>
      </c>
      <c r="AU707" s="82"/>
      <c r="AV707" s="82"/>
      <c r="AW707" s="82" t="str">
        <f t="shared" si="1"/>
        <v/>
      </c>
      <c r="AX707" s="83" t="str">
        <f t="array" ref="AX707">IFERROR(DGET('SBV Import'!A:G,"SBV",{"RSC ID","Tier";B707,A707}))</f>
        <v/>
      </c>
      <c r="AY707" s="82" t="str">
        <f t="shared" si="2"/>
        <v/>
      </c>
      <c r="AZ707" s="82"/>
      <c r="BA707" s="84" t="s">
        <v>152</v>
      </c>
      <c r="BB707" s="84" t="str">
        <f>IFERROR(__xludf.DUMMYFUNCTION("iferror(if(A707="""",,E707&gt;=FILTER(Constants!$F$2:$F$10,Constants!$A$2:$A$10=A707)))"),"")</f>
        <v/>
      </c>
    </row>
    <row r="708">
      <c r="A708" s="80"/>
      <c r="B708" s="87"/>
      <c r="C708" s="73"/>
      <c r="D708" s="73"/>
      <c r="E708" s="82"/>
      <c r="F708" s="82"/>
      <c r="G708" s="82"/>
      <c r="H708" s="86"/>
      <c r="I708" s="86"/>
      <c r="J708" s="82"/>
      <c r="K708" s="82"/>
      <c r="L708" s="82"/>
      <c r="M708" s="82"/>
      <c r="N708" s="82"/>
      <c r="O708" s="82"/>
      <c r="P708" s="82"/>
      <c r="Q708" s="82"/>
      <c r="R708" s="82"/>
      <c r="S708" s="82"/>
      <c r="T708" s="82"/>
      <c r="U708" s="82"/>
      <c r="V708" s="82"/>
      <c r="W708" s="82"/>
      <c r="X708" s="82"/>
      <c r="Y708" s="82"/>
      <c r="Z708" s="82"/>
      <c r="AA708" s="82"/>
      <c r="AB708" s="82"/>
      <c r="AC708" s="82"/>
      <c r="AD708" s="82"/>
      <c r="AE708" s="82"/>
      <c r="AF708" s="82"/>
      <c r="AG708" s="82"/>
      <c r="AH708" s="82"/>
      <c r="AI708" s="82"/>
      <c r="AJ708" s="82"/>
      <c r="AK708" s="82"/>
      <c r="AL708" s="82"/>
      <c r="AM708" s="82"/>
      <c r="AN708" s="82">
        <f>IFERROR(__xludf.DUMMYFUNCTION("""COMPUTED_VALUE"""),0.0)</f>
        <v>0</v>
      </c>
      <c r="AO708" s="82">
        <f>IFERROR(__xludf.DUMMYFUNCTION("""COMPUTED_VALUE"""),0.0)</f>
        <v>0</v>
      </c>
      <c r="AP708" s="82">
        <f>IFERROR(__xludf.DUMMYFUNCTION("""COMPUTED_VALUE"""),0.0)</f>
        <v>0</v>
      </c>
      <c r="AQ708" s="82">
        <f>IFERROR(__xludf.DUMMYFUNCTION("""COMPUTED_VALUE"""),0.0)</f>
        <v>0</v>
      </c>
      <c r="AR708" s="82">
        <f>IFERROR(__xludf.DUMMYFUNCTION("""COMPUTED_VALUE"""),0.0)</f>
        <v>0</v>
      </c>
      <c r="AS708" s="82"/>
      <c r="AT708" s="82">
        <f>IFERROR(__xludf.DUMMYFUNCTION("""COMPUTED_VALUE"""),0.0)</f>
        <v>0</v>
      </c>
      <c r="AU708" s="82"/>
      <c r="AV708" s="82"/>
      <c r="AW708" s="82" t="str">
        <f t="shared" si="1"/>
        <v/>
      </c>
      <c r="AX708" s="83" t="str">
        <f t="array" ref="AX708">IFERROR(DGET('SBV Import'!A:G,"SBV",{"RSC ID","Tier";B708,A708}))</f>
        <v/>
      </c>
      <c r="AY708" s="82" t="str">
        <f t="shared" si="2"/>
        <v/>
      </c>
      <c r="AZ708" s="82"/>
      <c r="BA708" s="84" t="s">
        <v>152</v>
      </c>
      <c r="BB708" s="84" t="str">
        <f>IFERROR(__xludf.DUMMYFUNCTION("iferror(if(A708="""",,E708&gt;=FILTER(Constants!$F$2:$F$10,Constants!$A$2:$A$10=A708)))"),"")</f>
        <v/>
      </c>
    </row>
    <row r="709">
      <c r="A709" s="80"/>
      <c r="B709" s="87"/>
      <c r="C709" s="73"/>
      <c r="D709" s="73"/>
      <c r="E709" s="82"/>
      <c r="F709" s="82"/>
      <c r="G709" s="82"/>
      <c r="H709" s="86"/>
      <c r="I709" s="86"/>
      <c r="J709" s="82"/>
      <c r="K709" s="82"/>
      <c r="L709" s="82"/>
      <c r="M709" s="82"/>
      <c r="N709" s="82"/>
      <c r="O709" s="82"/>
      <c r="P709" s="82"/>
      <c r="Q709" s="82"/>
      <c r="R709" s="82"/>
      <c r="S709" s="82"/>
      <c r="T709" s="82"/>
      <c r="U709" s="82"/>
      <c r="V709" s="82"/>
      <c r="W709" s="82"/>
      <c r="X709" s="82"/>
      <c r="Y709" s="82"/>
      <c r="Z709" s="82"/>
      <c r="AA709" s="82"/>
      <c r="AB709" s="82"/>
      <c r="AC709" s="82"/>
      <c r="AD709" s="82"/>
      <c r="AE709" s="82"/>
      <c r="AF709" s="82"/>
      <c r="AG709" s="82"/>
      <c r="AH709" s="82"/>
      <c r="AI709" s="82"/>
      <c r="AJ709" s="82"/>
      <c r="AK709" s="82"/>
      <c r="AL709" s="82"/>
      <c r="AM709" s="82"/>
      <c r="AN709" s="82">
        <f>IFERROR(__xludf.DUMMYFUNCTION("""COMPUTED_VALUE"""),0.0)</f>
        <v>0</v>
      </c>
      <c r="AO709" s="82">
        <f>IFERROR(__xludf.DUMMYFUNCTION("""COMPUTED_VALUE"""),0.0)</f>
        <v>0</v>
      </c>
      <c r="AP709" s="82">
        <f>IFERROR(__xludf.DUMMYFUNCTION("""COMPUTED_VALUE"""),0.0)</f>
        <v>0</v>
      </c>
      <c r="AQ709" s="82">
        <f>IFERROR(__xludf.DUMMYFUNCTION("""COMPUTED_VALUE"""),0.0)</f>
        <v>0</v>
      </c>
      <c r="AR709" s="82">
        <f>IFERROR(__xludf.DUMMYFUNCTION("""COMPUTED_VALUE"""),0.0)</f>
        <v>0</v>
      </c>
      <c r="AS709" s="82"/>
      <c r="AT709" s="82">
        <f>IFERROR(__xludf.DUMMYFUNCTION("""COMPUTED_VALUE"""),0.0)</f>
        <v>0</v>
      </c>
      <c r="AU709" s="82"/>
      <c r="AV709" s="82"/>
      <c r="AW709" s="82" t="str">
        <f t="shared" si="1"/>
        <v/>
      </c>
      <c r="AX709" s="83" t="str">
        <f t="array" ref="AX709">IFERROR(DGET('SBV Import'!A:G,"SBV",{"RSC ID","Tier";B709,A709}))</f>
        <v/>
      </c>
      <c r="AY709" s="82" t="str">
        <f t="shared" si="2"/>
        <v/>
      </c>
      <c r="AZ709" s="82"/>
      <c r="BA709" s="84" t="s">
        <v>152</v>
      </c>
      <c r="BB709" s="84" t="str">
        <f>IFERROR(__xludf.DUMMYFUNCTION("iferror(if(A709="""",,E709&gt;=FILTER(Constants!$F$2:$F$10,Constants!$A$2:$A$10=A709)))"),"")</f>
        <v/>
      </c>
    </row>
    <row r="710">
      <c r="A710" s="80"/>
      <c r="B710" s="87"/>
      <c r="C710" s="73"/>
      <c r="D710" s="73"/>
      <c r="E710" s="82"/>
      <c r="F710" s="82"/>
      <c r="G710" s="82"/>
      <c r="H710" s="86"/>
      <c r="I710" s="86"/>
      <c r="J710" s="82"/>
      <c r="K710" s="82"/>
      <c r="L710" s="82"/>
      <c r="M710" s="82"/>
      <c r="N710" s="82"/>
      <c r="O710" s="82"/>
      <c r="P710" s="82"/>
      <c r="Q710" s="82"/>
      <c r="R710" s="82"/>
      <c r="S710" s="82"/>
      <c r="T710" s="82"/>
      <c r="U710" s="82"/>
      <c r="V710" s="82"/>
      <c r="W710" s="82"/>
      <c r="X710" s="82"/>
      <c r="Y710" s="82"/>
      <c r="Z710" s="82"/>
      <c r="AA710" s="82"/>
      <c r="AB710" s="82"/>
      <c r="AC710" s="82"/>
      <c r="AD710" s="82"/>
      <c r="AE710" s="82"/>
      <c r="AF710" s="82"/>
      <c r="AG710" s="82"/>
      <c r="AH710" s="82"/>
      <c r="AI710" s="82"/>
      <c r="AJ710" s="82"/>
      <c r="AK710" s="82"/>
      <c r="AL710" s="82"/>
      <c r="AM710" s="82"/>
      <c r="AN710" s="82">
        <f>IFERROR(__xludf.DUMMYFUNCTION("""COMPUTED_VALUE"""),0.0)</f>
        <v>0</v>
      </c>
      <c r="AO710" s="82">
        <f>IFERROR(__xludf.DUMMYFUNCTION("""COMPUTED_VALUE"""),0.0)</f>
        <v>0</v>
      </c>
      <c r="AP710" s="82">
        <f>IFERROR(__xludf.DUMMYFUNCTION("""COMPUTED_VALUE"""),0.0)</f>
        <v>0</v>
      </c>
      <c r="AQ710" s="82">
        <f>IFERROR(__xludf.DUMMYFUNCTION("""COMPUTED_VALUE"""),0.0)</f>
        <v>0</v>
      </c>
      <c r="AR710" s="82">
        <f>IFERROR(__xludf.DUMMYFUNCTION("""COMPUTED_VALUE"""),0.0)</f>
        <v>0</v>
      </c>
      <c r="AS710" s="82"/>
      <c r="AT710" s="82">
        <f>IFERROR(__xludf.DUMMYFUNCTION("""COMPUTED_VALUE"""),0.0)</f>
        <v>0</v>
      </c>
      <c r="AU710" s="82"/>
      <c r="AV710" s="82"/>
      <c r="AW710" s="82" t="str">
        <f t="shared" si="1"/>
        <v/>
      </c>
      <c r="AX710" s="83" t="str">
        <f t="array" ref="AX710">IFERROR(DGET('SBV Import'!A:G,"SBV",{"RSC ID","Tier";B710,A710}))</f>
        <v/>
      </c>
      <c r="AY710" s="82" t="str">
        <f t="shared" si="2"/>
        <v/>
      </c>
      <c r="AZ710" s="82"/>
      <c r="BA710" s="84" t="s">
        <v>152</v>
      </c>
      <c r="BB710" s="84" t="str">
        <f>IFERROR(__xludf.DUMMYFUNCTION("iferror(if(A710="""",,E710&gt;=FILTER(Constants!$F$2:$F$10,Constants!$A$2:$A$10=A710)))"),"")</f>
        <v/>
      </c>
    </row>
    <row r="711">
      <c r="A711" s="80"/>
      <c r="B711" s="87"/>
      <c r="C711" s="73"/>
      <c r="D711" s="73"/>
      <c r="E711" s="82"/>
      <c r="F711" s="82"/>
      <c r="G711" s="82"/>
      <c r="H711" s="86"/>
      <c r="I711" s="86"/>
      <c r="J711" s="82"/>
      <c r="K711" s="82"/>
      <c r="L711" s="82"/>
      <c r="M711" s="82"/>
      <c r="N711" s="82"/>
      <c r="O711" s="82"/>
      <c r="P711" s="82"/>
      <c r="Q711" s="82"/>
      <c r="R711" s="82"/>
      <c r="S711" s="82"/>
      <c r="T711" s="82"/>
      <c r="U711" s="82"/>
      <c r="V711" s="82"/>
      <c r="W711" s="82"/>
      <c r="X711" s="82"/>
      <c r="Y711" s="82"/>
      <c r="Z711" s="82"/>
      <c r="AA711" s="82"/>
      <c r="AB711" s="82"/>
      <c r="AC711" s="82"/>
      <c r="AD711" s="82"/>
      <c r="AE711" s="82"/>
      <c r="AF711" s="82"/>
      <c r="AG711" s="82"/>
      <c r="AH711" s="82"/>
      <c r="AI711" s="82"/>
      <c r="AJ711" s="82"/>
      <c r="AK711" s="82"/>
      <c r="AL711" s="82"/>
      <c r="AM711" s="82"/>
      <c r="AN711" s="82">
        <f>IFERROR(__xludf.DUMMYFUNCTION("""COMPUTED_VALUE"""),0.0)</f>
        <v>0</v>
      </c>
      <c r="AO711" s="82">
        <f>IFERROR(__xludf.DUMMYFUNCTION("""COMPUTED_VALUE"""),0.0)</f>
        <v>0</v>
      </c>
      <c r="AP711" s="82">
        <f>IFERROR(__xludf.DUMMYFUNCTION("""COMPUTED_VALUE"""),0.0)</f>
        <v>0</v>
      </c>
      <c r="AQ711" s="82">
        <f>IFERROR(__xludf.DUMMYFUNCTION("""COMPUTED_VALUE"""),0.0)</f>
        <v>0</v>
      </c>
      <c r="AR711" s="82">
        <f>IFERROR(__xludf.DUMMYFUNCTION("""COMPUTED_VALUE"""),0.0)</f>
        <v>0</v>
      </c>
      <c r="AS711" s="82"/>
      <c r="AT711" s="82">
        <f>IFERROR(__xludf.DUMMYFUNCTION("""COMPUTED_VALUE"""),0.0)</f>
        <v>0</v>
      </c>
      <c r="AU711" s="82"/>
      <c r="AV711" s="82"/>
      <c r="AW711" s="82" t="str">
        <f t="shared" si="1"/>
        <v/>
      </c>
      <c r="AX711" s="83" t="str">
        <f t="array" ref="AX711">IFERROR(DGET('SBV Import'!A:G,"SBV",{"RSC ID","Tier";B711,A711}))</f>
        <v/>
      </c>
      <c r="AY711" s="82" t="str">
        <f t="shared" si="2"/>
        <v/>
      </c>
      <c r="AZ711" s="82"/>
      <c r="BA711" s="84" t="s">
        <v>152</v>
      </c>
      <c r="BB711" s="84" t="str">
        <f>IFERROR(__xludf.DUMMYFUNCTION("iferror(if(A711="""",,E711&gt;=FILTER(Constants!$F$2:$F$10,Constants!$A$2:$A$10=A711)))"),"")</f>
        <v/>
      </c>
    </row>
    <row r="712">
      <c r="A712" s="80"/>
      <c r="B712" s="87"/>
      <c r="C712" s="73"/>
      <c r="D712" s="73"/>
      <c r="E712" s="82"/>
      <c r="F712" s="82"/>
      <c r="G712" s="82"/>
      <c r="H712" s="86"/>
      <c r="I712" s="86"/>
      <c r="J712" s="82"/>
      <c r="K712" s="82"/>
      <c r="L712" s="82"/>
      <c r="M712" s="82"/>
      <c r="N712" s="82"/>
      <c r="O712" s="82"/>
      <c r="P712" s="82"/>
      <c r="Q712" s="82"/>
      <c r="R712" s="82"/>
      <c r="S712" s="82"/>
      <c r="T712" s="82"/>
      <c r="U712" s="82"/>
      <c r="V712" s="82"/>
      <c r="W712" s="82"/>
      <c r="X712" s="82"/>
      <c r="Y712" s="82"/>
      <c r="Z712" s="82"/>
      <c r="AA712" s="82"/>
      <c r="AB712" s="82"/>
      <c r="AC712" s="82"/>
      <c r="AD712" s="82"/>
      <c r="AE712" s="82"/>
      <c r="AF712" s="82"/>
      <c r="AG712" s="82"/>
      <c r="AH712" s="82"/>
      <c r="AI712" s="82"/>
      <c r="AJ712" s="82"/>
      <c r="AK712" s="82"/>
      <c r="AL712" s="82"/>
      <c r="AM712" s="82"/>
      <c r="AN712" s="82">
        <f>IFERROR(__xludf.DUMMYFUNCTION("""COMPUTED_VALUE"""),0.0)</f>
        <v>0</v>
      </c>
      <c r="AO712" s="82">
        <f>IFERROR(__xludf.DUMMYFUNCTION("""COMPUTED_VALUE"""),0.0)</f>
        <v>0</v>
      </c>
      <c r="AP712" s="82">
        <f>IFERROR(__xludf.DUMMYFUNCTION("""COMPUTED_VALUE"""),0.0)</f>
        <v>0</v>
      </c>
      <c r="AQ712" s="82">
        <f>IFERROR(__xludf.DUMMYFUNCTION("""COMPUTED_VALUE"""),0.0)</f>
        <v>0</v>
      </c>
      <c r="AR712" s="82">
        <f>IFERROR(__xludf.DUMMYFUNCTION("""COMPUTED_VALUE"""),0.0)</f>
        <v>0</v>
      </c>
      <c r="AS712" s="82"/>
      <c r="AT712" s="82">
        <f>IFERROR(__xludf.DUMMYFUNCTION("""COMPUTED_VALUE"""),0.0)</f>
        <v>0</v>
      </c>
      <c r="AU712" s="82"/>
      <c r="AV712" s="82"/>
      <c r="AW712" s="82" t="str">
        <f t="shared" si="1"/>
        <v/>
      </c>
      <c r="AX712" s="83" t="str">
        <f t="array" ref="AX712">IFERROR(DGET('SBV Import'!A:G,"SBV",{"RSC ID","Tier";B712,A712}))</f>
        <v/>
      </c>
      <c r="AY712" s="82" t="str">
        <f t="shared" si="2"/>
        <v/>
      </c>
      <c r="AZ712" s="82"/>
      <c r="BA712" s="84" t="s">
        <v>152</v>
      </c>
      <c r="BB712" s="84" t="str">
        <f>IFERROR(__xludf.DUMMYFUNCTION("iferror(if(A712="""",,E712&gt;=FILTER(Constants!$F$2:$F$10,Constants!$A$2:$A$10=A712)))"),"")</f>
        <v/>
      </c>
    </row>
    <row r="713">
      <c r="A713" s="80"/>
      <c r="B713" s="87"/>
      <c r="C713" s="73"/>
      <c r="D713" s="73"/>
      <c r="E713" s="82"/>
      <c r="F713" s="82"/>
      <c r="G713" s="82"/>
      <c r="H713" s="86"/>
      <c r="I713" s="86"/>
      <c r="J713" s="82"/>
      <c r="K713" s="82"/>
      <c r="L713" s="82"/>
      <c r="M713" s="82"/>
      <c r="N713" s="82"/>
      <c r="O713" s="82"/>
      <c r="P713" s="82"/>
      <c r="Q713" s="82"/>
      <c r="R713" s="82"/>
      <c r="S713" s="82"/>
      <c r="T713" s="82"/>
      <c r="U713" s="82"/>
      <c r="V713" s="82"/>
      <c r="W713" s="82"/>
      <c r="X713" s="82"/>
      <c r="Y713" s="82"/>
      <c r="Z713" s="82"/>
      <c r="AA713" s="82"/>
      <c r="AB713" s="82"/>
      <c r="AC713" s="82"/>
      <c r="AD713" s="82"/>
      <c r="AE713" s="82"/>
      <c r="AF713" s="82"/>
      <c r="AG713" s="82"/>
      <c r="AH713" s="82"/>
      <c r="AI713" s="82"/>
      <c r="AJ713" s="82"/>
      <c r="AK713" s="82"/>
      <c r="AL713" s="82"/>
      <c r="AM713" s="82"/>
      <c r="AN713" s="82">
        <f>IFERROR(__xludf.DUMMYFUNCTION("""COMPUTED_VALUE"""),0.0)</f>
        <v>0</v>
      </c>
      <c r="AO713" s="82">
        <f>IFERROR(__xludf.DUMMYFUNCTION("""COMPUTED_VALUE"""),0.0)</f>
        <v>0</v>
      </c>
      <c r="AP713" s="82">
        <f>IFERROR(__xludf.DUMMYFUNCTION("""COMPUTED_VALUE"""),0.0)</f>
        <v>0</v>
      </c>
      <c r="AQ713" s="82">
        <f>IFERROR(__xludf.DUMMYFUNCTION("""COMPUTED_VALUE"""),0.0)</f>
        <v>0</v>
      </c>
      <c r="AR713" s="82">
        <f>IFERROR(__xludf.DUMMYFUNCTION("""COMPUTED_VALUE"""),0.0)</f>
        <v>0</v>
      </c>
      <c r="AS713" s="82"/>
      <c r="AT713" s="82">
        <f>IFERROR(__xludf.DUMMYFUNCTION("""COMPUTED_VALUE"""),0.0)</f>
        <v>0</v>
      </c>
      <c r="AU713" s="82"/>
      <c r="AV713" s="82"/>
      <c r="AW713" s="82" t="str">
        <f t="shared" si="1"/>
        <v/>
      </c>
      <c r="AX713" s="83" t="str">
        <f t="array" ref="AX713">IFERROR(DGET('SBV Import'!A:G,"SBV",{"RSC ID","Tier";B713,A713}))</f>
        <v/>
      </c>
      <c r="AY713" s="82" t="str">
        <f t="shared" si="2"/>
        <v/>
      </c>
      <c r="AZ713" s="82"/>
      <c r="BA713" s="84" t="s">
        <v>152</v>
      </c>
      <c r="BB713" s="84" t="str">
        <f>IFERROR(__xludf.DUMMYFUNCTION("iferror(if(A713="""",,E713&gt;=FILTER(Constants!$F$2:$F$10,Constants!$A$2:$A$10=A713)))"),"")</f>
        <v/>
      </c>
    </row>
    <row r="714">
      <c r="A714" s="80"/>
      <c r="B714" s="87"/>
      <c r="C714" s="73"/>
      <c r="D714" s="73"/>
      <c r="E714" s="82"/>
      <c r="F714" s="82"/>
      <c r="G714" s="82"/>
      <c r="H714" s="86"/>
      <c r="I714" s="86"/>
      <c r="J714" s="82"/>
      <c r="K714" s="82"/>
      <c r="L714" s="82"/>
      <c r="M714" s="82"/>
      <c r="N714" s="82"/>
      <c r="O714" s="82"/>
      <c r="P714" s="82"/>
      <c r="Q714" s="82"/>
      <c r="R714" s="82"/>
      <c r="S714" s="82"/>
      <c r="T714" s="82"/>
      <c r="U714" s="82"/>
      <c r="V714" s="82"/>
      <c r="W714" s="82"/>
      <c r="X714" s="82"/>
      <c r="Y714" s="82"/>
      <c r="Z714" s="82"/>
      <c r="AA714" s="82"/>
      <c r="AB714" s="82"/>
      <c r="AC714" s="82"/>
      <c r="AD714" s="82"/>
      <c r="AE714" s="82"/>
      <c r="AF714" s="82"/>
      <c r="AG714" s="82"/>
      <c r="AH714" s="82"/>
      <c r="AI714" s="82"/>
      <c r="AJ714" s="82"/>
      <c r="AK714" s="82"/>
      <c r="AL714" s="82"/>
      <c r="AM714" s="82"/>
      <c r="AN714" s="82">
        <f>IFERROR(__xludf.DUMMYFUNCTION("""COMPUTED_VALUE"""),0.0)</f>
        <v>0</v>
      </c>
      <c r="AO714" s="82">
        <f>IFERROR(__xludf.DUMMYFUNCTION("""COMPUTED_VALUE"""),0.0)</f>
        <v>0</v>
      </c>
      <c r="AP714" s="82">
        <f>IFERROR(__xludf.DUMMYFUNCTION("""COMPUTED_VALUE"""),0.0)</f>
        <v>0</v>
      </c>
      <c r="AQ714" s="82">
        <f>IFERROR(__xludf.DUMMYFUNCTION("""COMPUTED_VALUE"""),0.0)</f>
        <v>0</v>
      </c>
      <c r="AR714" s="82">
        <f>IFERROR(__xludf.DUMMYFUNCTION("""COMPUTED_VALUE"""),0.0)</f>
        <v>0</v>
      </c>
      <c r="AS714" s="82"/>
      <c r="AT714" s="82">
        <f>IFERROR(__xludf.DUMMYFUNCTION("""COMPUTED_VALUE"""),0.0)</f>
        <v>0</v>
      </c>
      <c r="AU714" s="82"/>
      <c r="AV714" s="82"/>
      <c r="AW714" s="82" t="str">
        <f t="shared" si="1"/>
        <v/>
      </c>
      <c r="AX714" s="83" t="str">
        <f t="array" ref="AX714">IFERROR(DGET('SBV Import'!A:G,"SBV",{"RSC ID","Tier";B714,A714}))</f>
        <v/>
      </c>
      <c r="AY714" s="82" t="str">
        <f t="shared" si="2"/>
        <v/>
      </c>
      <c r="AZ714" s="82"/>
      <c r="BA714" s="84" t="s">
        <v>152</v>
      </c>
      <c r="BB714" s="84" t="str">
        <f>IFERROR(__xludf.DUMMYFUNCTION("iferror(if(A714="""",,E714&gt;=FILTER(Constants!$F$2:$F$10,Constants!$A$2:$A$10=A714)))"),"")</f>
        <v/>
      </c>
    </row>
    <row r="715">
      <c r="A715" s="80"/>
      <c r="B715" s="87"/>
      <c r="C715" s="73"/>
      <c r="D715" s="73"/>
      <c r="E715" s="82"/>
      <c r="F715" s="82"/>
      <c r="G715" s="82"/>
      <c r="H715" s="86"/>
      <c r="I715" s="86"/>
      <c r="J715" s="82"/>
      <c r="K715" s="82"/>
      <c r="L715" s="82"/>
      <c r="M715" s="82"/>
      <c r="N715" s="82"/>
      <c r="O715" s="82"/>
      <c r="P715" s="82"/>
      <c r="Q715" s="82"/>
      <c r="R715" s="82"/>
      <c r="S715" s="82"/>
      <c r="T715" s="82"/>
      <c r="U715" s="82"/>
      <c r="V715" s="82"/>
      <c r="W715" s="82"/>
      <c r="X715" s="82"/>
      <c r="Y715" s="82"/>
      <c r="Z715" s="82"/>
      <c r="AA715" s="82"/>
      <c r="AB715" s="82"/>
      <c r="AC715" s="82"/>
      <c r="AD715" s="82"/>
      <c r="AE715" s="82"/>
      <c r="AF715" s="82"/>
      <c r="AG715" s="82"/>
      <c r="AH715" s="82"/>
      <c r="AI715" s="82"/>
      <c r="AJ715" s="82"/>
      <c r="AK715" s="82"/>
      <c r="AL715" s="82"/>
      <c r="AM715" s="82"/>
      <c r="AN715" s="82">
        <f>IFERROR(__xludf.DUMMYFUNCTION("""COMPUTED_VALUE"""),0.0)</f>
        <v>0</v>
      </c>
      <c r="AO715" s="82">
        <f>IFERROR(__xludf.DUMMYFUNCTION("""COMPUTED_VALUE"""),0.0)</f>
        <v>0</v>
      </c>
      <c r="AP715" s="82">
        <f>IFERROR(__xludf.DUMMYFUNCTION("""COMPUTED_VALUE"""),0.0)</f>
        <v>0</v>
      </c>
      <c r="AQ715" s="82">
        <f>IFERROR(__xludf.DUMMYFUNCTION("""COMPUTED_VALUE"""),0.0)</f>
        <v>0</v>
      </c>
      <c r="AR715" s="82">
        <f>IFERROR(__xludf.DUMMYFUNCTION("""COMPUTED_VALUE"""),0.0)</f>
        <v>0</v>
      </c>
      <c r="AS715" s="82"/>
      <c r="AT715" s="82">
        <f>IFERROR(__xludf.DUMMYFUNCTION("""COMPUTED_VALUE"""),0.0)</f>
        <v>0</v>
      </c>
      <c r="AU715" s="82"/>
      <c r="AV715" s="82"/>
      <c r="AW715" s="82" t="str">
        <f t="shared" si="1"/>
        <v/>
      </c>
      <c r="AX715" s="83" t="str">
        <f t="array" ref="AX715">IFERROR(DGET('SBV Import'!A:G,"SBV",{"RSC ID","Tier";B715,A715}))</f>
        <v/>
      </c>
      <c r="AY715" s="82" t="str">
        <f t="shared" si="2"/>
        <v/>
      </c>
      <c r="AZ715" s="82"/>
      <c r="BA715" s="84" t="s">
        <v>152</v>
      </c>
      <c r="BB715" s="84" t="str">
        <f>IFERROR(__xludf.DUMMYFUNCTION("iferror(if(A715="""",,E715&gt;=FILTER(Constants!$F$2:$F$10,Constants!$A$2:$A$10=A715)))"),"")</f>
        <v/>
      </c>
    </row>
    <row r="716">
      <c r="A716" s="80"/>
      <c r="B716" s="87"/>
      <c r="C716" s="73"/>
      <c r="D716" s="73"/>
      <c r="E716" s="82"/>
      <c r="F716" s="82"/>
      <c r="G716" s="82"/>
      <c r="H716" s="86"/>
      <c r="I716" s="86"/>
      <c r="J716" s="82"/>
      <c r="K716" s="82"/>
      <c r="L716" s="82"/>
      <c r="M716" s="82"/>
      <c r="N716" s="82"/>
      <c r="O716" s="82"/>
      <c r="P716" s="82"/>
      <c r="Q716" s="82"/>
      <c r="R716" s="82"/>
      <c r="S716" s="82"/>
      <c r="T716" s="82"/>
      <c r="U716" s="82"/>
      <c r="V716" s="82"/>
      <c r="W716" s="82"/>
      <c r="X716" s="82"/>
      <c r="Y716" s="82"/>
      <c r="Z716" s="82"/>
      <c r="AA716" s="82"/>
      <c r="AB716" s="82"/>
      <c r="AC716" s="82"/>
      <c r="AD716" s="82"/>
      <c r="AE716" s="82"/>
      <c r="AF716" s="82"/>
      <c r="AG716" s="82"/>
      <c r="AH716" s="82"/>
      <c r="AI716" s="82"/>
      <c r="AJ716" s="82"/>
      <c r="AK716" s="82"/>
      <c r="AL716" s="82"/>
      <c r="AM716" s="82"/>
      <c r="AN716" s="82">
        <f>IFERROR(__xludf.DUMMYFUNCTION("""COMPUTED_VALUE"""),0.0)</f>
        <v>0</v>
      </c>
      <c r="AO716" s="82">
        <f>IFERROR(__xludf.DUMMYFUNCTION("""COMPUTED_VALUE"""),0.0)</f>
        <v>0</v>
      </c>
      <c r="AP716" s="82">
        <f>IFERROR(__xludf.DUMMYFUNCTION("""COMPUTED_VALUE"""),0.0)</f>
        <v>0</v>
      </c>
      <c r="AQ716" s="82">
        <f>IFERROR(__xludf.DUMMYFUNCTION("""COMPUTED_VALUE"""),0.0)</f>
        <v>0</v>
      </c>
      <c r="AR716" s="82">
        <f>IFERROR(__xludf.DUMMYFUNCTION("""COMPUTED_VALUE"""),0.0)</f>
        <v>0</v>
      </c>
      <c r="AS716" s="82"/>
      <c r="AT716" s="82">
        <f>IFERROR(__xludf.DUMMYFUNCTION("""COMPUTED_VALUE"""),0.0)</f>
        <v>0</v>
      </c>
      <c r="AU716" s="82"/>
      <c r="AV716" s="82"/>
      <c r="AW716" s="82" t="str">
        <f t="shared" si="1"/>
        <v/>
      </c>
      <c r="AX716" s="83" t="str">
        <f t="array" ref="AX716">IFERROR(DGET('SBV Import'!A:G,"SBV",{"RSC ID","Tier";B716,A716}))</f>
        <v/>
      </c>
      <c r="AY716" s="82" t="str">
        <f t="shared" si="2"/>
        <v/>
      </c>
      <c r="AZ716" s="82"/>
      <c r="BA716" s="84" t="s">
        <v>152</v>
      </c>
      <c r="BB716" s="84" t="str">
        <f>IFERROR(__xludf.DUMMYFUNCTION("iferror(if(A716="""",,E716&gt;=FILTER(Constants!$F$2:$F$10,Constants!$A$2:$A$10=A716)))"),"")</f>
        <v/>
      </c>
    </row>
    <row r="717">
      <c r="A717" s="80"/>
      <c r="B717" s="87"/>
      <c r="C717" s="73"/>
      <c r="D717" s="73"/>
      <c r="E717" s="82"/>
      <c r="F717" s="82"/>
      <c r="G717" s="82"/>
      <c r="H717" s="86"/>
      <c r="I717" s="86"/>
      <c r="J717" s="82"/>
      <c r="K717" s="82"/>
      <c r="L717" s="82"/>
      <c r="M717" s="82"/>
      <c r="N717" s="82"/>
      <c r="O717" s="82"/>
      <c r="P717" s="82"/>
      <c r="Q717" s="82"/>
      <c r="R717" s="82"/>
      <c r="S717" s="82"/>
      <c r="T717" s="82"/>
      <c r="U717" s="82"/>
      <c r="V717" s="82"/>
      <c r="W717" s="82"/>
      <c r="X717" s="82"/>
      <c r="Y717" s="82"/>
      <c r="Z717" s="82"/>
      <c r="AA717" s="82"/>
      <c r="AB717" s="82"/>
      <c r="AC717" s="82"/>
      <c r="AD717" s="82"/>
      <c r="AE717" s="82"/>
      <c r="AF717" s="82"/>
      <c r="AG717" s="82"/>
      <c r="AH717" s="82"/>
      <c r="AI717" s="82"/>
      <c r="AJ717" s="82"/>
      <c r="AK717" s="82"/>
      <c r="AL717" s="82"/>
      <c r="AM717" s="82"/>
      <c r="AN717" s="82">
        <f>IFERROR(__xludf.DUMMYFUNCTION("""COMPUTED_VALUE"""),0.0)</f>
        <v>0</v>
      </c>
      <c r="AO717" s="82">
        <f>IFERROR(__xludf.DUMMYFUNCTION("""COMPUTED_VALUE"""),0.0)</f>
        <v>0</v>
      </c>
      <c r="AP717" s="82">
        <f>IFERROR(__xludf.DUMMYFUNCTION("""COMPUTED_VALUE"""),0.0)</f>
        <v>0</v>
      </c>
      <c r="AQ717" s="82">
        <f>IFERROR(__xludf.DUMMYFUNCTION("""COMPUTED_VALUE"""),0.0)</f>
        <v>0</v>
      </c>
      <c r="AR717" s="82">
        <f>IFERROR(__xludf.DUMMYFUNCTION("""COMPUTED_VALUE"""),0.0)</f>
        <v>0</v>
      </c>
      <c r="AS717" s="82"/>
      <c r="AT717" s="82">
        <f>IFERROR(__xludf.DUMMYFUNCTION("""COMPUTED_VALUE"""),0.0)</f>
        <v>0</v>
      </c>
      <c r="AU717" s="82"/>
      <c r="AV717" s="82"/>
      <c r="AW717" s="82" t="str">
        <f t="shared" si="1"/>
        <v/>
      </c>
      <c r="AX717" s="83" t="str">
        <f t="array" ref="AX717">IFERROR(DGET('SBV Import'!A:G,"SBV",{"RSC ID","Tier";B717,A717}))</f>
        <v/>
      </c>
      <c r="AY717" s="82" t="str">
        <f t="shared" si="2"/>
        <v/>
      </c>
      <c r="AZ717" s="82"/>
      <c r="BA717" s="84" t="s">
        <v>152</v>
      </c>
      <c r="BB717" s="84" t="str">
        <f>IFERROR(__xludf.DUMMYFUNCTION("iferror(if(A717="""",,E717&gt;=FILTER(Constants!$F$2:$F$10,Constants!$A$2:$A$10=A717)))"),"")</f>
        <v/>
      </c>
    </row>
    <row r="718">
      <c r="A718" s="80"/>
      <c r="B718" s="87"/>
      <c r="C718" s="73"/>
      <c r="D718" s="73"/>
      <c r="E718" s="82"/>
      <c r="F718" s="82"/>
      <c r="G718" s="82"/>
      <c r="H718" s="86"/>
      <c r="I718" s="86"/>
      <c r="J718" s="82"/>
      <c r="K718" s="82"/>
      <c r="L718" s="82"/>
      <c r="M718" s="82"/>
      <c r="N718" s="82"/>
      <c r="O718" s="82"/>
      <c r="P718" s="82"/>
      <c r="Q718" s="82"/>
      <c r="R718" s="82"/>
      <c r="S718" s="82"/>
      <c r="T718" s="82"/>
      <c r="U718" s="82"/>
      <c r="V718" s="82"/>
      <c r="W718" s="82"/>
      <c r="X718" s="82"/>
      <c r="Y718" s="82"/>
      <c r="Z718" s="82"/>
      <c r="AA718" s="82"/>
      <c r="AB718" s="82"/>
      <c r="AC718" s="82"/>
      <c r="AD718" s="82"/>
      <c r="AE718" s="82"/>
      <c r="AF718" s="82"/>
      <c r="AG718" s="82"/>
      <c r="AH718" s="82"/>
      <c r="AI718" s="82"/>
      <c r="AJ718" s="82"/>
      <c r="AK718" s="82"/>
      <c r="AL718" s="82"/>
      <c r="AM718" s="82"/>
      <c r="AN718" s="82">
        <f>IFERROR(__xludf.DUMMYFUNCTION("""COMPUTED_VALUE"""),0.0)</f>
        <v>0</v>
      </c>
      <c r="AO718" s="82">
        <f>IFERROR(__xludf.DUMMYFUNCTION("""COMPUTED_VALUE"""),0.0)</f>
        <v>0</v>
      </c>
      <c r="AP718" s="82">
        <f>IFERROR(__xludf.DUMMYFUNCTION("""COMPUTED_VALUE"""),0.0)</f>
        <v>0</v>
      </c>
      <c r="AQ718" s="82">
        <f>IFERROR(__xludf.DUMMYFUNCTION("""COMPUTED_VALUE"""),0.0)</f>
        <v>0</v>
      </c>
      <c r="AR718" s="82">
        <f>IFERROR(__xludf.DUMMYFUNCTION("""COMPUTED_VALUE"""),0.0)</f>
        <v>0</v>
      </c>
      <c r="AS718" s="82"/>
      <c r="AT718" s="82">
        <f>IFERROR(__xludf.DUMMYFUNCTION("""COMPUTED_VALUE"""),0.0)</f>
        <v>0</v>
      </c>
      <c r="AU718" s="82"/>
      <c r="AV718" s="82"/>
      <c r="AW718" s="82" t="str">
        <f t="shared" si="1"/>
        <v/>
      </c>
      <c r="AX718" s="83" t="str">
        <f t="array" ref="AX718">IFERROR(DGET('SBV Import'!A:G,"SBV",{"RSC ID","Tier";B718,A718}))</f>
        <v/>
      </c>
      <c r="AY718" s="82" t="str">
        <f t="shared" si="2"/>
        <v/>
      </c>
      <c r="AZ718" s="82"/>
      <c r="BA718" s="84" t="s">
        <v>152</v>
      </c>
      <c r="BB718" s="84" t="str">
        <f>IFERROR(__xludf.DUMMYFUNCTION("iferror(if(A718="""",,E718&gt;=FILTER(Constants!$F$2:$F$10,Constants!$A$2:$A$10=A718)))"),"")</f>
        <v/>
      </c>
    </row>
    <row r="719">
      <c r="A719" s="80"/>
      <c r="B719" s="87"/>
      <c r="C719" s="73"/>
      <c r="D719" s="73"/>
      <c r="E719" s="82"/>
      <c r="F719" s="82"/>
      <c r="G719" s="82"/>
      <c r="H719" s="86"/>
      <c r="I719" s="86"/>
      <c r="J719" s="82"/>
      <c r="K719" s="82"/>
      <c r="L719" s="82"/>
      <c r="M719" s="82"/>
      <c r="N719" s="82"/>
      <c r="O719" s="82"/>
      <c r="P719" s="82"/>
      <c r="Q719" s="82"/>
      <c r="R719" s="82"/>
      <c r="S719" s="82"/>
      <c r="T719" s="82"/>
      <c r="U719" s="82"/>
      <c r="V719" s="82"/>
      <c r="W719" s="82"/>
      <c r="X719" s="82"/>
      <c r="Y719" s="82"/>
      <c r="Z719" s="82"/>
      <c r="AA719" s="82"/>
      <c r="AB719" s="82"/>
      <c r="AC719" s="82"/>
      <c r="AD719" s="82"/>
      <c r="AE719" s="82"/>
      <c r="AF719" s="82"/>
      <c r="AG719" s="82"/>
      <c r="AH719" s="82"/>
      <c r="AI719" s="82"/>
      <c r="AJ719" s="82"/>
      <c r="AK719" s="82"/>
      <c r="AL719" s="82"/>
      <c r="AM719" s="82"/>
      <c r="AN719" s="82">
        <f>IFERROR(__xludf.DUMMYFUNCTION("""COMPUTED_VALUE"""),0.0)</f>
        <v>0</v>
      </c>
      <c r="AO719" s="82">
        <f>IFERROR(__xludf.DUMMYFUNCTION("""COMPUTED_VALUE"""),0.0)</f>
        <v>0</v>
      </c>
      <c r="AP719" s="82">
        <f>IFERROR(__xludf.DUMMYFUNCTION("""COMPUTED_VALUE"""),0.0)</f>
        <v>0</v>
      </c>
      <c r="AQ719" s="82">
        <f>IFERROR(__xludf.DUMMYFUNCTION("""COMPUTED_VALUE"""),0.0)</f>
        <v>0</v>
      </c>
      <c r="AR719" s="82">
        <f>IFERROR(__xludf.DUMMYFUNCTION("""COMPUTED_VALUE"""),0.0)</f>
        <v>0</v>
      </c>
      <c r="AS719" s="82"/>
      <c r="AT719" s="82">
        <f>IFERROR(__xludf.DUMMYFUNCTION("""COMPUTED_VALUE"""),0.0)</f>
        <v>0</v>
      </c>
      <c r="AU719" s="82"/>
      <c r="AV719" s="82"/>
      <c r="AW719" s="82" t="str">
        <f t="shared" si="1"/>
        <v/>
      </c>
      <c r="AX719" s="83" t="str">
        <f t="array" ref="AX719">IFERROR(DGET('SBV Import'!A:G,"SBV",{"RSC ID","Tier";B719,A719}))</f>
        <v/>
      </c>
      <c r="AY719" s="82" t="str">
        <f t="shared" si="2"/>
        <v/>
      </c>
      <c r="AZ719" s="82"/>
      <c r="BA719" s="84" t="s">
        <v>152</v>
      </c>
      <c r="BB719" s="84" t="str">
        <f>IFERROR(__xludf.DUMMYFUNCTION("iferror(if(A719="""",,E719&gt;=FILTER(Constants!$F$2:$F$10,Constants!$A$2:$A$10=A719)))"),"")</f>
        <v/>
      </c>
    </row>
    <row r="720">
      <c r="A720" s="80"/>
      <c r="B720" s="87"/>
      <c r="C720" s="73"/>
      <c r="D720" s="73"/>
      <c r="E720" s="82"/>
      <c r="F720" s="82"/>
      <c r="G720" s="82"/>
      <c r="H720" s="86"/>
      <c r="I720" s="86"/>
      <c r="J720" s="82"/>
      <c r="K720" s="82"/>
      <c r="L720" s="82"/>
      <c r="M720" s="82"/>
      <c r="N720" s="82"/>
      <c r="O720" s="82"/>
      <c r="P720" s="82"/>
      <c r="Q720" s="82"/>
      <c r="R720" s="82"/>
      <c r="S720" s="82"/>
      <c r="T720" s="82"/>
      <c r="U720" s="82"/>
      <c r="V720" s="82"/>
      <c r="W720" s="82"/>
      <c r="X720" s="82"/>
      <c r="Y720" s="82"/>
      <c r="Z720" s="82"/>
      <c r="AA720" s="82"/>
      <c r="AB720" s="82"/>
      <c r="AC720" s="82"/>
      <c r="AD720" s="82"/>
      <c r="AE720" s="82"/>
      <c r="AF720" s="82"/>
      <c r="AG720" s="82"/>
      <c r="AH720" s="82"/>
      <c r="AI720" s="82"/>
      <c r="AJ720" s="82"/>
      <c r="AK720" s="82"/>
      <c r="AL720" s="82"/>
      <c r="AM720" s="82"/>
      <c r="AN720" s="82">
        <f>IFERROR(__xludf.DUMMYFUNCTION("""COMPUTED_VALUE"""),0.0)</f>
        <v>0</v>
      </c>
      <c r="AO720" s="82">
        <f>IFERROR(__xludf.DUMMYFUNCTION("""COMPUTED_VALUE"""),0.0)</f>
        <v>0</v>
      </c>
      <c r="AP720" s="82">
        <f>IFERROR(__xludf.DUMMYFUNCTION("""COMPUTED_VALUE"""),0.0)</f>
        <v>0</v>
      </c>
      <c r="AQ720" s="82">
        <f>IFERROR(__xludf.DUMMYFUNCTION("""COMPUTED_VALUE"""),0.0)</f>
        <v>0</v>
      </c>
      <c r="AR720" s="82">
        <f>IFERROR(__xludf.DUMMYFUNCTION("""COMPUTED_VALUE"""),0.0)</f>
        <v>0</v>
      </c>
      <c r="AS720" s="82"/>
      <c r="AT720" s="82">
        <f>IFERROR(__xludf.DUMMYFUNCTION("""COMPUTED_VALUE"""),0.0)</f>
        <v>0</v>
      </c>
      <c r="AU720" s="82"/>
      <c r="AV720" s="82"/>
      <c r="AW720" s="82" t="str">
        <f t="shared" si="1"/>
        <v/>
      </c>
      <c r="AX720" s="83" t="str">
        <f t="array" ref="AX720">IFERROR(DGET('SBV Import'!A:G,"SBV",{"RSC ID","Tier";B720,A720}))</f>
        <v/>
      </c>
      <c r="AY720" s="82" t="str">
        <f t="shared" si="2"/>
        <v/>
      </c>
      <c r="AZ720" s="82"/>
      <c r="BA720" s="84" t="s">
        <v>152</v>
      </c>
      <c r="BB720" s="84" t="str">
        <f>IFERROR(__xludf.DUMMYFUNCTION("iferror(if(A720="""",,E720&gt;=FILTER(Constants!$F$2:$F$10,Constants!$A$2:$A$10=A720)))"),"")</f>
        <v/>
      </c>
    </row>
    <row r="721">
      <c r="A721" s="80"/>
      <c r="B721" s="87"/>
      <c r="C721" s="73"/>
      <c r="D721" s="73"/>
      <c r="E721" s="82"/>
      <c r="F721" s="82"/>
      <c r="G721" s="82"/>
      <c r="H721" s="86"/>
      <c r="I721" s="86"/>
      <c r="J721" s="82"/>
      <c r="K721" s="82"/>
      <c r="L721" s="82"/>
      <c r="M721" s="82"/>
      <c r="N721" s="82"/>
      <c r="O721" s="82"/>
      <c r="P721" s="82"/>
      <c r="Q721" s="82"/>
      <c r="R721" s="82"/>
      <c r="S721" s="82"/>
      <c r="T721" s="82"/>
      <c r="U721" s="82"/>
      <c r="V721" s="82"/>
      <c r="W721" s="82"/>
      <c r="X721" s="82"/>
      <c r="Y721" s="82"/>
      <c r="Z721" s="82"/>
      <c r="AA721" s="82"/>
      <c r="AB721" s="82"/>
      <c r="AC721" s="82"/>
      <c r="AD721" s="82"/>
      <c r="AE721" s="82"/>
      <c r="AF721" s="82"/>
      <c r="AG721" s="82"/>
      <c r="AH721" s="82"/>
      <c r="AI721" s="82"/>
      <c r="AJ721" s="82"/>
      <c r="AK721" s="82"/>
      <c r="AL721" s="82"/>
      <c r="AM721" s="82"/>
      <c r="AN721" s="82">
        <f>IFERROR(__xludf.DUMMYFUNCTION("""COMPUTED_VALUE"""),0.0)</f>
        <v>0</v>
      </c>
      <c r="AO721" s="82">
        <f>IFERROR(__xludf.DUMMYFUNCTION("""COMPUTED_VALUE"""),0.0)</f>
        <v>0</v>
      </c>
      <c r="AP721" s="82">
        <f>IFERROR(__xludf.DUMMYFUNCTION("""COMPUTED_VALUE"""),0.0)</f>
        <v>0</v>
      </c>
      <c r="AQ721" s="82">
        <f>IFERROR(__xludf.DUMMYFUNCTION("""COMPUTED_VALUE"""),0.0)</f>
        <v>0</v>
      </c>
      <c r="AR721" s="82">
        <f>IFERROR(__xludf.DUMMYFUNCTION("""COMPUTED_VALUE"""),0.0)</f>
        <v>0</v>
      </c>
      <c r="AS721" s="82"/>
      <c r="AT721" s="82">
        <f>IFERROR(__xludf.DUMMYFUNCTION("""COMPUTED_VALUE"""),0.0)</f>
        <v>0</v>
      </c>
      <c r="AU721" s="82"/>
      <c r="AV721" s="82"/>
      <c r="AW721" s="82" t="str">
        <f t="shared" si="1"/>
        <v/>
      </c>
      <c r="AX721" s="83" t="str">
        <f t="array" ref="AX721">IFERROR(DGET('SBV Import'!A:G,"SBV",{"RSC ID","Tier";B721,A721}))</f>
        <v/>
      </c>
      <c r="AY721" s="82" t="str">
        <f t="shared" si="2"/>
        <v/>
      </c>
      <c r="AZ721" s="82"/>
      <c r="BA721" s="84" t="s">
        <v>152</v>
      </c>
      <c r="BB721" s="84" t="str">
        <f>IFERROR(__xludf.DUMMYFUNCTION("iferror(if(A721="""",,E721&gt;=FILTER(Constants!$F$2:$F$10,Constants!$A$2:$A$10=A721)))"),"")</f>
        <v/>
      </c>
    </row>
    <row r="722">
      <c r="A722" s="80"/>
      <c r="B722" s="87"/>
      <c r="C722" s="73"/>
      <c r="D722" s="73"/>
      <c r="E722" s="82"/>
      <c r="F722" s="82"/>
      <c r="G722" s="82"/>
      <c r="H722" s="86"/>
      <c r="I722" s="86"/>
      <c r="J722" s="82"/>
      <c r="K722" s="82"/>
      <c r="L722" s="82"/>
      <c r="M722" s="82"/>
      <c r="N722" s="82"/>
      <c r="O722" s="82"/>
      <c r="P722" s="82"/>
      <c r="Q722" s="82"/>
      <c r="R722" s="82"/>
      <c r="S722" s="82"/>
      <c r="T722" s="82"/>
      <c r="U722" s="82"/>
      <c r="V722" s="82"/>
      <c r="W722" s="82"/>
      <c r="X722" s="82"/>
      <c r="Y722" s="82"/>
      <c r="Z722" s="82"/>
      <c r="AA722" s="82"/>
      <c r="AB722" s="82"/>
      <c r="AC722" s="82"/>
      <c r="AD722" s="82"/>
      <c r="AE722" s="82"/>
      <c r="AF722" s="82"/>
      <c r="AG722" s="82"/>
      <c r="AH722" s="82"/>
      <c r="AI722" s="82"/>
      <c r="AJ722" s="82"/>
      <c r="AK722" s="82"/>
      <c r="AL722" s="82"/>
      <c r="AM722" s="82"/>
      <c r="AN722" s="82">
        <f>IFERROR(__xludf.DUMMYFUNCTION("""COMPUTED_VALUE"""),0.0)</f>
        <v>0</v>
      </c>
      <c r="AO722" s="82">
        <f>IFERROR(__xludf.DUMMYFUNCTION("""COMPUTED_VALUE"""),0.0)</f>
        <v>0</v>
      </c>
      <c r="AP722" s="82">
        <f>IFERROR(__xludf.DUMMYFUNCTION("""COMPUTED_VALUE"""),0.0)</f>
        <v>0</v>
      </c>
      <c r="AQ722" s="82">
        <f>IFERROR(__xludf.DUMMYFUNCTION("""COMPUTED_VALUE"""),0.0)</f>
        <v>0</v>
      </c>
      <c r="AR722" s="82">
        <f>IFERROR(__xludf.DUMMYFUNCTION("""COMPUTED_VALUE"""),0.0)</f>
        <v>0</v>
      </c>
      <c r="AS722" s="82"/>
      <c r="AT722" s="82">
        <f>IFERROR(__xludf.DUMMYFUNCTION("""COMPUTED_VALUE"""),0.0)</f>
        <v>0</v>
      </c>
      <c r="AU722" s="82"/>
      <c r="AV722" s="82"/>
      <c r="AW722" s="82" t="str">
        <f t="shared" si="1"/>
        <v/>
      </c>
      <c r="AX722" s="83" t="str">
        <f t="array" ref="AX722">IFERROR(DGET('SBV Import'!A:G,"SBV",{"RSC ID","Tier";B722,A722}))</f>
        <v/>
      </c>
      <c r="AY722" s="82" t="str">
        <f t="shared" si="2"/>
        <v/>
      </c>
      <c r="AZ722" s="82"/>
      <c r="BA722" s="84" t="s">
        <v>152</v>
      </c>
      <c r="BB722" s="84" t="str">
        <f>IFERROR(__xludf.DUMMYFUNCTION("iferror(if(A722="""",,E722&gt;=FILTER(Constants!$F$2:$F$10,Constants!$A$2:$A$10=A722)))"),"")</f>
        <v/>
      </c>
    </row>
    <row r="723">
      <c r="A723" s="80"/>
      <c r="B723" s="87"/>
      <c r="C723" s="73"/>
      <c r="D723" s="73"/>
      <c r="E723" s="82"/>
      <c r="F723" s="82"/>
      <c r="G723" s="82"/>
      <c r="H723" s="86"/>
      <c r="I723" s="86"/>
      <c r="J723" s="82"/>
      <c r="K723" s="82"/>
      <c r="L723" s="82"/>
      <c r="M723" s="82"/>
      <c r="N723" s="82"/>
      <c r="O723" s="82"/>
      <c r="P723" s="82"/>
      <c r="Q723" s="82"/>
      <c r="R723" s="82"/>
      <c r="S723" s="82"/>
      <c r="T723" s="82"/>
      <c r="U723" s="82"/>
      <c r="V723" s="82"/>
      <c r="W723" s="82"/>
      <c r="X723" s="82"/>
      <c r="Y723" s="82"/>
      <c r="Z723" s="82"/>
      <c r="AA723" s="82"/>
      <c r="AB723" s="82"/>
      <c r="AC723" s="82"/>
      <c r="AD723" s="82"/>
      <c r="AE723" s="82"/>
      <c r="AF723" s="82"/>
      <c r="AG723" s="82"/>
      <c r="AH723" s="82"/>
      <c r="AI723" s="82"/>
      <c r="AJ723" s="82"/>
      <c r="AK723" s="82"/>
      <c r="AL723" s="82"/>
      <c r="AM723" s="82"/>
      <c r="AN723" s="82">
        <f>IFERROR(__xludf.DUMMYFUNCTION("""COMPUTED_VALUE"""),0.0)</f>
        <v>0</v>
      </c>
      <c r="AO723" s="82">
        <f>IFERROR(__xludf.DUMMYFUNCTION("""COMPUTED_VALUE"""),0.0)</f>
        <v>0</v>
      </c>
      <c r="AP723" s="82">
        <f>IFERROR(__xludf.DUMMYFUNCTION("""COMPUTED_VALUE"""),0.0)</f>
        <v>0</v>
      </c>
      <c r="AQ723" s="82">
        <f>IFERROR(__xludf.DUMMYFUNCTION("""COMPUTED_VALUE"""),0.0)</f>
        <v>0</v>
      </c>
      <c r="AR723" s="82">
        <f>IFERROR(__xludf.DUMMYFUNCTION("""COMPUTED_VALUE"""),0.0)</f>
        <v>0</v>
      </c>
      <c r="AS723" s="82"/>
      <c r="AT723" s="82">
        <f>IFERROR(__xludf.DUMMYFUNCTION("""COMPUTED_VALUE"""),0.0)</f>
        <v>0</v>
      </c>
      <c r="AU723" s="82"/>
      <c r="AV723" s="82"/>
      <c r="AW723" s="82" t="str">
        <f t="shared" si="1"/>
        <v/>
      </c>
      <c r="AX723" s="83" t="str">
        <f t="array" ref="AX723">IFERROR(DGET('SBV Import'!A:G,"SBV",{"RSC ID","Tier";B723,A723}))</f>
        <v/>
      </c>
      <c r="AY723" s="82" t="str">
        <f t="shared" si="2"/>
        <v/>
      </c>
      <c r="AZ723" s="82"/>
      <c r="BA723" s="84" t="s">
        <v>152</v>
      </c>
      <c r="BB723" s="84" t="str">
        <f>IFERROR(__xludf.DUMMYFUNCTION("iferror(if(A723="""",,E723&gt;=FILTER(Constants!$F$2:$F$10,Constants!$A$2:$A$10=A723)))"),"")</f>
        <v/>
      </c>
    </row>
    <row r="724">
      <c r="A724" s="80"/>
      <c r="B724" s="87"/>
      <c r="C724" s="73"/>
      <c r="D724" s="73"/>
      <c r="E724" s="82"/>
      <c r="F724" s="82"/>
      <c r="G724" s="82"/>
      <c r="H724" s="86"/>
      <c r="I724" s="86"/>
      <c r="J724" s="82"/>
      <c r="K724" s="82"/>
      <c r="L724" s="82"/>
      <c r="M724" s="82"/>
      <c r="N724" s="82"/>
      <c r="O724" s="82"/>
      <c r="P724" s="82"/>
      <c r="Q724" s="82"/>
      <c r="R724" s="82"/>
      <c r="S724" s="82"/>
      <c r="T724" s="82"/>
      <c r="U724" s="82"/>
      <c r="V724" s="82"/>
      <c r="W724" s="82"/>
      <c r="X724" s="82"/>
      <c r="Y724" s="82"/>
      <c r="Z724" s="82"/>
      <c r="AA724" s="82"/>
      <c r="AB724" s="82"/>
      <c r="AC724" s="82"/>
      <c r="AD724" s="82"/>
      <c r="AE724" s="82"/>
      <c r="AF724" s="82"/>
      <c r="AG724" s="82"/>
      <c r="AH724" s="82"/>
      <c r="AI724" s="82"/>
      <c r="AJ724" s="82"/>
      <c r="AK724" s="82"/>
      <c r="AL724" s="82"/>
      <c r="AM724" s="82"/>
      <c r="AN724" s="82">
        <f>IFERROR(__xludf.DUMMYFUNCTION("""COMPUTED_VALUE"""),0.0)</f>
        <v>0</v>
      </c>
      <c r="AO724" s="82">
        <f>IFERROR(__xludf.DUMMYFUNCTION("""COMPUTED_VALUE"""),0.0)</f>
        <v>0</v>
      </c>
      <c r="AP724" s="82">
        <f>IFERROR(__xludf.DUMMYFUNCTION("""COMPUTED_VALUE"""),0.0)</f>
        <v>0</v>
      </c>
      <c r="AQ724" s="82">
        <f>IFERROR(__xludf.DUMMYFUNCTION("""COMPUTED_VALUE"""),0.0)</f>
        <v>0</v>
      </c>
      <c r="AR724" s="82">
        <f>IFERROR(__xludf.DUMMYFUNCTION("""COMPUTED_VALUE"""),0.0)</f>
        <v>0</v>
      </c>
      <c r="AS724" s="82"/>
      <c r="AT724" s="82">
        <f>IFERROR(__xludf.DUMMYFUNCTION("""COMPUTED_VALUE"""),0.0)</f>
        <v>0</v>
      </c>
      <c r="AU724" s="82"/>
      <c r="AV724" s="82"/>
      <c r="AW724" s="82" t="str">
        <f t="shared" si="1"/>
        <v/>
      </c>
      <c r="AX724" s="83" t="str">
        <f t="array" ref="AX724">IFERROR(DGET('SBV Import'!A:G,"SBV",{"RSC ID","Tier";B724,A724}))</f>
        <v/>
      </c>
      <c r="AY724" s="82" t="str">
        <f t="shared" si="2"/>
        <v/>
      </c>
      <c r="AZ724" s="82"/>
      <c r="BA724" s="84" t="s">
        <v>152</v>
      </c>
      <c r="BB724" s="84" t="str">
        <f>IFERROR(__xludf.DUMMYFUNCTION("iferror(if(A724="""",,E724&gt;=FILTER(Constants!$F$2:$F$10,Constants!$A$2:$A$10=A724)))"),"")</f>
        <v/>
      </c>
    </row>
    <row r="725">
      <c r="A725" s="80"/>
      <c r="B725" s="73"/>
      <c r="C725" s="73"/>
      <c r="D725" s="73"/>
      <c r="E725" s="82"/>
      <c r="F725" s="82"/>
      <c r="G725" s="82"/>
      <c r="H725" s="86"/>
      <c r="I725" s="86"/>
      <c r="J725" s="82"/>
      <c r="K725" s="82"/>
      <c r="L725" s="82"/>
      <c r="M725" s="82"/>
      <c r="N725" s="82"/>
      <c r="O725" s="82"/>
      <c r="P725" s="82"/>
      <c r="Q725" s="82"/>
      <c r="R725" s="82"/>
      <c r="S725" s="82"/>
      <c r="T725" s="82"/>
      <c r="U725" s="82"/>
      <c r="V725" s="82"/>
      <c r="W725" s="82"/>
      <c r="X725" s="82"/>
      <c r="Y725" s="82"/>
      <c r="Z725" s="82"/>
      <c r="AA725" s="82"/>
      <c r="AB725" s="82"/>
      <c r="AC725" s="82"/>
      <c r="AD725" s="82"/>
      <c r="AE725" s="82"/>
      <c r="AF725" s="82"/>
      <c r="AG725" s="82"/>
      <c r="AH725" s="82"/>
      <c r="AI725" s="82"/>
      <c r="AJ725" s="82"/>
      <c r="AK725" s="82"/>
      <c r="AL725" s="82"/>
      <c r="AM725" s="82"/>
      <c r="AN725" s="82">
        <f>IFERROR(__xludf.DUMMYFUNCTION("""COMPUTED_VALUE"""),0.0)</f>
        <v>0</v>
      </c>
      <c r="AO725" s="82">
        <f>IFERROR(__xludf.DUMMYFUNCTION("""COMPUTED_VALUE"""),0.0)</f>
        <v>0</v>
      </c>
      <c r="AP725" s="82">
        <f>IFERROR(__xludf.DUMMYFUNCTION("""COMPUTED_VALUE"""),0.0)</f>
        <v>0</v>
      </c>
      <c r="AQ725" s="82">
        <f>IFERROR(__xludf.DUMMYFUNCTION("""COMPUTED_VALUE"""),0.0)</f>
        <v>0</v>
      </c>
      <c r="AR725" s="82">
        <f>IFERROR(__xludf.DUMMYFUNCTION("""COMPUTED_VALUE"""),0.0)</f>
        <v>0</v>
      </c>
      <c r="AS725" s="82"/>
      <c r="AT725" s="82">
        <f>IFERROR(__xludf.DUMMYFUNCTION("""COMPUTED_VALUE"""),0.0)</f>
        <v>0</v>
      </c>
      <c r="AU725" s="82"/>
      <c r="AV725" s="82"/>
      <c r="AW725" s="82" t="str">
        <f t="shared" si="1"/>
        <v/>
      </c>
      <c r="AX725" s="83" t="str">
        <f t="array" ref="AX725">IFERROR(DGET('SBV Import'!A:G,"SBV",{"RSC ID","Tier";B725,A725}))</f>
        <v/>
      </c>
      <c r="AY725" s="82" t="str">
        <f t="shared" si="2"/>
        <v/>
      </c>
      <c r="AZ725" s="82"/>
      <c r="BA725" s="84" t="s">
        <v>152</v>
      </c>
      <c r="BB725" s="84" t="str">
        <f>IFERROR(__xludf.DUMMYFUNCTION("iferror(if(A725="""",,E725&gt;=FILTER(Constants!$F$2:$F$10,Constants!$A$2:$A$10=A725)))"),"")</f>
        <v/>
      </c>
    </row>
    <row r="726">
      <c r="A726" s="80"/>
      <c r="B726" s="73"/>
      <c r="C726" s="73"/>
      <c r="D726" s="73"/>
      <c r="E726" s="82"/>
      <c r="F726" s="82"/>
      <c r="G726" s="82"/>
      <c r="H726" s="86"/>
      <c r="I726" s="86"/>
      <c r="J726" s="82"/>
      <c r="K726" s="82"/>
      <c r="L726" s="82"/>
      <c r="M726" s="82"/>
      <c r="N726" s="82"/>
      <c r="O726" s="82"/>
      <c r="P726" s="82"/>
      <c r="Q726" s="82"/>
      <c r="R726" s="82"/>
      <c r="S726" s="82"/>
      <c r="T726" s="82"/>
      <c r="U726" s="82"/>
      <c r="V726" s="82"/>
      <c r="W726" s="82"/>
      <c r="X726" s="82"/>
      <c r="Y726" s="82"/>
      <c r="Z726" s="82"/>
      <c r="AA726" s="82"/>
      <c r="AB726" s="82"/>
      <c r="AC726" s="82"/>
      <c r="AD726" s="82"/>
      <c r="AE726" s="82"/>
      <c r="AF726" s="82"/>
      <c r="AG726" s="82"/>
      <c r="AH726" s="82"/>
      <c r="AI726" s="82"/>
      <c r="AJ726" s="82"/>
      <c r="AK726" s="82"/>
      <c r="AL726" s="82"/>
      <c r="AM726" s="82"/>
      <c r="AN726" s="82">
        <f>IFERROR(__xludf.DUMMYFUNCTION("""COMPUTED_VALUE"""),0.0)</f>
        <v>0</v>
      </c>
      <c r="AO726" s="82">
        <f>IFERROR(__xludf.DUMMYFUNCTION("""COMPUTED_VALUE"""),0.0)</f>
        <v>0</v>
      </c>
      <c r="AP726" s="82">
        <f>IFERROR(__xludf.DUMMYFUNCTION("""COMPUTED_VALUE"""),0.0)</f>
        <v>0</v>
      </c>
      <c r="AQ726" s="82">
        <f>IFERROR(__xludf.DUMMYFUNCTION("""COMPUTED_VALUE"""),0.0)</f>
        <v>0</v>
      </c>
      <c r="AR726" s="82">
        <f>IFERROR(__xludf.DUMMYFUNCTION("""COMPUTED_VALUE"""),0.0)</f>
        <v>0</v>
      </c>
      <c r="AS726" s="82"/>
      <c r="AT726" s="82">
        <f>IFERROR(__xludf.DUMMYFUNCTION("""COMPUTED_VALUE"""),0.0)</f>
        <v>0</v>
      </c>
      <c r="AU726" s="82"/>
      <c r="AV726" s="82"/>
      <c r="AW726" s="82" t="str">
        <f t="shared" si="1"/>
        <v/>
      </c>
      <c r="AX726" s="83" t="str">
        <f t="array" ref="AX726">IFERROR(DGET('SBV Import'!A:G,"SBV",{"RSC ID","Tier";B726,A726}))</f>
        <v/>
      </c>
      <c r="AY726" s="82" t="str">
        <f t="shared" si="2"/>
        <v/>
      </c>
      <c r="AZ726" s="82"/>
      <c r="BA726" s="84" t="s">
        <v>152</v>
      </c>
      <c r="BB726" s="84" t="str">
        <f>IFERROR(__xludf.DUMMYFUNCTION("iferror(if(A726="""",,E726&gt;=FILTER(Constants!$F$2:$F$10,Constants!$A$2:$A$10=A726)))"),"")</f>
        <v/>
      </c>
    </row>
    <row r="727">
      <c r="A727" s="80"/>
      <c r="B727" s="73"/>
      <c r="C727" s="73"/>
      <c r="D727" s="73"/>
      <c r="E727" s="82"/>
      <c r="F727" s="82"/>
      <c r="G727" s="82"/>
      <c r="H727" s="86"/>
      <c r="I727" s="86"/>
      <c r="J727" s="82"/>
      <c r="K727" s="82"/>
      <c r="L727" s="82"/>
      <c r="M727" s="82"/>
      <c r="N727" s="82"/>
      <c r="O727" s="82"/>
      <c r="P727" s="82"/>
      <c r="Q727" s="82"/>
      <c r="R727" s="82"/>
      <c r="S727" s="82"/>
      <c r="T727" s="82"/>
      <c r="U727" s="82"/>
      <c r="V727" s="82"/>
      <c r="W727" s="82"/>
      <c r="X727" s="82"/>
      <c r="Y727" s="82"/>
      <c r="Z727" s="82"/>
      <c r="AA727" s="82"/>
      <c r="AB727" s="82"/>
      <c r="AC727" s="82"/>
      <c r="AD727" s="82"/>
      <c r="AE727" s="82"/>
      <c r="AF727" s="82"/>
      <c r="AG727" s="82"/>
      <c r="AH727" s="82"/>
      <c r="AI727" s="82"/>
      <c r="AJ727" s="82"/>
      <c r="AK727" s="82"/>
      <c r="AL727" s="82"/>
      <c r="AM727" s="82"/>
      <c r="AN727" s="82">
        <f>IFERROR(__xludf.DUMMYFUNCTION("""COMPUTED_VALUE"""),0.0)</f>
        <v>0</v>
      </c>
      <c r="AO727" s="82">
        <f>IFERROR(__xludf.DUMMYFUNCTION("""COMPUTED_VALUE"""),0.0)</f>
        <v>0</v>
      </c>
      <c r="AP727" s="82">
        <f>IFERROR(__xludf.DUMMYFUNCTION("""COMPUTED_VALUE"""),0.0)</f>
        <v>0</v>
      </c>
      <c r="AQ727" s="82">
        <f>IFERROR(__xludf.DUMMYFUNCTION("""COMPUTED_VALUE"""),0.0)</f>
        <v>0</v>
      </c>
      <c r="AR727" s="82">
        <f>IFERROR(__xludf.DUMMYFUNCTION("""COMPUTED_VALUE"""),0.0)</f>
        <v>0</v>
      </c>
      <c r="AS727" s="82"/>
      <c r="AT727" s="82">
        <f>IFERROR(__xludf.DUMMYFUNCTION("""COMPUTED_VALUE"""),0.0)</f>
        <v>0</v>
      </c>
      <c r="AU727" s="82"/>
      <c r="AV727" s="82"/>
      <c r="AW727" s="82" t="str">
        <f t="shared" si="1"/>
        <v/>
      </c>
      <c r="AX727" s="83" t="str">
        <f t="array" ref="AX727">IFERROR(DGET('SBV Import'!A:G,"SBV",{"RSC ID","Tier";B727,A727}))</f>
        <v/>
      </c>
      <c r="AY727" s="82" t="str">
        <f t="shared" si="2"/>
        <v/>
      </c>
      <c r="AZ727" s="82"/>
      <c r="BA727" s="84" t="s">
        <v>152</v>
      </c>
      <c r="BB727" s="84" t="str">
        <f>IFERROR(__xludf.DUMMYFUNCTION("iferror(if(A727="""",,E727&gt;=FILTER(Constants!$F$2:$F$10,Constants!$A$2:$A$10=A727)))"),"")</f>
        <v/>
      </c>
    </row>
    <row r="728">
      <c r="A728" s="80"/>
      <c r="B728" s="73"/>
      <c r="C728" s="73"/>
      <c r="D728" s="73"/>
      <c r="E728" s="82"/>
      <c r="F728" s="82"/>
      <c r="G728" s="82"/>
      <c r="H728" s="86"/>
      <c r="I728" s="86"/>
      <c r="J728" s="82"/>
      <c r="K728" s="82"/>
      <c r="L728" s="82"/>
      <c r="M728" s="82"/>
      <c r="N728" s="82"/>
      <c r="O728" s="82"/>
      <c r="P728" s="82"/>
      <c r="Q728" s="82"/>
      <c r="R728" s="82"/>
      <c r="S728" s="82"/>
      <c r="T728" s="82"/>
      <c r="U728" s="82"/>
      <c r="V728" s="82"/>
      <c r="W728" s="82"/>
      <c r="X728" s="82"/>
      <c r="Y728" s="82"/>
      <c r="Z728" s="82"/>
      <c r="AA728" s="82"/>
      <c r="AB728" s="82"/>
      <c r="AC728" s="82"/>
      <c r="AD728" s="82"/>
      <c r="AE728" s="82"/>
      <c r="AF728" s="82"/>
      <c r="AG728" s="82"/>
      <c r="AH728" s="82"/>
      <c r="AI728" s="82"/>
      <c r="AJ728" s="82"/>
      <c r="AK728" s="82"/>
      <c r="AL728" s="82"/>
      <c r="AM728" s="82"/>
      <c r="AN728" s="82">
        <f>IFERROR(__xludf.DUMMYFUNCTION("""COMPUTED_VALUE"""),0.0)</f>
        <v>0</v>
      </c>
      <c r="AO728" s="82">
        <f>IFERROR(__xludf.DUMMYFUNCTION("""COMPUTED_VALUE"""),0.0)</f>
        <v>0</v>
      </c>
      <c r="AP728" s="82">
        <f>IFERROR(__xludf.DUMMYFUNCTION("""COMPUTED_VALUE"""),0.0)</f>
        <v>0</v>
      </c>
      <c r="AQ728" s="82">
        <f>IFERROR(__xludf.DUMMYFUNCTION("""COMPUTED_VALUE"""),0.0)</f>
        <v>0</v>
      </c>
      <c r="AR728" s="82">
        <f>IFERROR(__xludf.DUMMYFUNCTION("""COMPUTED_VALUE"""),0.0)</f>
        <v>0</v>
      </c>
      <c r="AS728" s="82"/>
      <c r="AT728" s="82">
        <f>IFERROR(__xludf.DUMMYFUNCTION("""COMPUTED_VALUE"""),0.0)</f>
        <v>0</v>
      </c>
      <c r="AU728" s="82"/>
      <c r="AV728" s="82"/>
      <c r="AW728" s="82" t="str">
        <f t="shared" si="1"/>
        <v/>
      </c>
      <c r="AX728" s="83" t="str">
        <f t="array" ref="AX728">IFERROR(DGET('SBV Import'!A:G,"SBV",{"RSC ID","Tier";B728,A728}))</f>
        <v/>
      </c>
      <c r="AY728" s="82" t="str">
        <f t="shared" si="2"/>
        <v/>
      </c>
      <c r="AZ728" s="82"/>
      <c r="BA728" s="84" t="s">
        <v>152</v>
      </c>
      <c r="BB728" s="84" t="str">
        <f>IFERROR(__xludf.DUMMYFUNCTION("iferror(if(A728="""",,E728&gt;=FILTER(Constants!$F$2:$F$10,Constants!$A$2:$A$10=A728)))"),"")</f>
        <v/>
      </c>
    </row>
    <row r="729">
      <c r="A729" s="80"/>
      <c r="B729" s="73"/>
      <c r="C729" s="73"/>
      <c r="D729" s="73"/>
      <c r="E729" s="82"/>
      <c r="F729" s="82"/>
      <c r="G729" s="82"/>
      <c r="H729" s="86"/>
      <c r="I729" s="86"/>
      <c r="J729" s="82"/>
      <c r="K729" s="82"/>
      <c r="L729" s="82"/>
      <c r="M729" s="82"/>
      <c r="N729" s="82"/>
      <c r="O729" s="82"/>
      <c r="P729" s="82"/>
      <c r="Q729" s="82"/>
      <c r="R729" s="82"/>
      <c r="S729" s="82"/>
      <c r="T729" s="82"/>
      <c r="U729" s="82"/>
      <c r="V729" s="82"/>
      <c r="W729" s="82"/>
      <c r="X729" s="82"/>
      <c r="Y729" s="82"/>
      <c r="Z729" s="82"/>
      <c r="AA729" s="82"/>
      <c r="AB729" s="82"/>
      <c r="AC729" s="82"/>
      <c r="AD729" s="82"/>
      <c r="AE729" s="82"/>
      <c r="AF729" s="82"/>
      <c r="AG729" s="82"/>
      <c r="AH729" s="82"/>
      <c r="AI729" s="82"/>
      <c r="AJ729" s="82"/>
      <c r="AK729" s="82"/>
      <c r="AL729" s="82"/>
      <c r="AM729" s="82"/>
      <c r="AN729" s="82">
        <f>IFERROR(__xludf.DUMMYFUNCTION("""COMPUTED_VALUE"""),0.0)</f>
        <v>0</v>
      </c>
      <c r="AO729" s="82">
        <f>IFERROR(__xludf.DUMMYFUNCTION("""COMPUTED_VALUE"""),0.0)</f>
        <v>0</v>
      </c>
      <c r="AP729" s="82">
        <f>IFERROR(__xludf.DUMMYFUNCTION("""COMPUTED_VALUE"""),0.0)</f>
        <v>0</v>
      </c>
      <c r="AQ729" s="82">
        <f>IFERROR(__xludf.DUMMYFUNCTION("""COMPUTED_VALUE"""),0.0)</f>
        <v>0</v>
      </c>
      <c r="AR729" s="82">
        <f>IFERROR(__xludf.DUMMYFUNCTION("""COMPUTED_VALUE"""),0.0)</f>
        <v>0</v>
      </c>
      <c r="AS729" s="82"/>
      <c r="AT729" s="82">
        <f>IFERROR(__xludf.DUMMYFUNCTION("""COMPUTED_VALUE"""),0.0)</f>
        <v>0</v>
      </c>
      <c r="AU729" s="82"/>
      <c r="AV729" s="82"/>
      <c r="AW729" s="82" t="str">
        <f t="shared" si="1"/>
        <v/>
      </c>
      <c r="AX729" s="83" t="str">
        <f t="array" ref="AX729">IFERROR(DGET('SBV Import'!A:G,"SBV",{"RSC ID","Tier";B729,A729}))</f>
        <v/>
      </c>
      <c r="AY729" s="82" t="str">
        <f t="shared" si="2"/>
        <v/>
      </c>
      <c r="AZ729" s="82"/>
      <c r="BA729" s="84" t="s">
        <v>152</v>
      </c>
      <c r="BB729" s="84" t="str">
        <f>IFERROR(__xludf.DUMMYFUNCTION("iferror(if(A729="""",,E729&gt;=FILTER(Constants!$F$2:$F$10,Constants!$A$2:$A$10=A729)))"),"")</f>
        <v/>
      </c>
    </row>
    <row r="730">
      <c r="A730" s="80"/>
      <c r="B730" s="73"/>
      <c r="C730" s="73"/>
      <c r="D730" s="73"/>
      <c r="E730" s="82"/>
      <c r="F730" s="82"/>
      <c r="G730" s="82"/>
      <c r="H730" s="86"/>
      <c r="I730" s="86"/>
      <c r="J730" s="82"/>
      <c r="K730" s="82"/>
      <c r="L730" s="82"/>
      <c r="M730" s="82"/>
      <c r="N730" s="82"/>
      <c r="O730" s="82"/>
      <c r="P730" s="82"/>
      <c r="Q730" s="82"/>
      <c r="R730" s="82"/>
      <c r="S730" s="82"/>
      <c r="T730" s="82"/>
      <c r="U730" s="82"/>
      <c r="V730" s="82"/>
      <c r="W730" s="82"/>
      <c r="X730" s="82"/>
      <c r="Y730" s="82"/>
      <c r="Z730" s="82"/>
      <c r="AA730" s="82"/>
      <c r="AB730" s="82"/>
      <c r="AC730" s="82"/>
      <c r="AD730" s="82"/>
      <c r="AE730" s="82"/>
      <c r="AF730" s="82"/>
      <c r="AG730" s="82"/>
      <c r="AH730" s="82"/>
      <c r="AI730" s="82"/>
      <c r="AJ730" s="82"/>
      <c r="AK730" s="82"/>
      <c r="AL730" s="82"/>
      <c r="AM730" s="82"/>
      <c r="AN730" s="82">
        <f>IFERROR(__xludf.DUMMYFUNCTION("""COMPUTED_VALUE"""),0.0)</f>
        <v>0</v>
      </c>
      <c r="AO730" s="82">
        <f>IFERROR(__xludf.DUMMYFUNCTION("""COMPUTED_VALUE"""),0.0)</f>
        <v>0</v>
      </c>
      <c r="AP730" s="82">
        <f>IFERROR(__xludf.DUMMYFUNCTION("""COMPUTED_VALUE"""),0.0)</f>
        <v>0</v>
      </c>
      <c r="AQ730" s="82">
        <f>IFERROR(__xludf.DUMMYFUNCTION("""COMPUTED_VALUE"""),0.0)</f>
        <v>0</v>
      </c>
      <c r="AR730" s="82">
        <f>IFERROR(__xludf.DUMMYFUNCTION("""COMPUTED_VALUE"""),0.0)</f>
        <v>0</v>
      </c>
      <c r="AS730" s="82"/>
      <c r="AT730" s="82">
        <f>IFERROR(__xludf.DUMMYFUNCTION("""COMPUTED_VALUE"""),0.0)</f>
        <v>0</v>
      </c>
      <c r="AU730" s="82"/>
      <c r="AV730" s="82"/>
      <c r="AW730" s="82" t="str">
        <f t="shared" si="1"/>
        <v/>
      </c>
      <c r="AX730" s="83" t="str">
        <f t="array" ref="AX730">IFERROR(DGET('SBV Import'!A:G,"SBV",{"RSC ID","Tier";B730,A730}))</f>
        <v/>
      </c>
      <c r="AY730" s="82" t="str">
        <f t="shared" si="2"/>
        <v/>
      </c>
      <c r="AZ730" s="82"/>
      <c r="BA730" s="84" t="s">
        <v>152</v>
      </c>
      <c r="BB730" s="84" t="str">
        <f>IFERROR(__xludf.DUMMYFUNCTION("iferror(if(A730="""",,E730&gt;=FILTER(Constants!$F$2:$F$10,Constants!$A$2:$A$10=A730)))"),"")</f>
        <v/>
      </c>
    </row>
    <row r="731">
      <c r="A731" s="80"/>
      <c r="B731" s="73"/>
      <c r="C731" s="73"/>
      <c r="D731" s="73"/>
      <c r="E731" s="82"/>
      <c r="F731" s="82"/>
      <c r="G731" s="82"/>
      <c r="H731" s="86"/>
      <c r="I731" s="86"/>
      <c r="J731" s="82"/>
      <c r="K731" s="82"/>
      <c r="L731" s="82"/>
      <c r="M731" s="82"/>
      <c r="N731" s="82"/>
      <c r="O731" s="82"/>
      <c r="P731" s="82"/>
      <c r="Q731" s="82"/>
      <c r="R731" s="82"/>
      <c r="S731" s="82"/>
      <c r="T731" s="82"/>
      <c r="U731" s="82"/>
      <c r="V731" s="82"/>
      <c r="W731" s="82"/>
      <c r="X731" s="82"/>
      <c r="Y731" s="82"/>
      <c r="Z731" s="82"/>
      <c r="AA731" s="82"/>
      <c r="AB731" s="82"/>
      <c r="AC731" s="82"/>
      <c r="AD731" s="82"/>
      <c r="AE731" s="82"/>
      <c r="AF731" s="82"/>
      <c r="AG731" s="82"/>
      <c r="AH731" s="82"/>
      <c r="AI731" s="82"/>
      <c r="AJ731" s="82"/>
      <c r="AK731" s="82"/>
      <c r="AL731" s="82"/>
      <c r="AM731" s="82"/>
      <c r="AN731" s="82">
        <f>IFERROR(__xludf.DUMMYFUNCTION("""COMPUTED_VALUE"""),0.0)</f>
        <v>0</v>
      </c>
      <c r="AO731" s="82">
        <f>IFERROR(__xludf.DUMMYFUNCTION("""COMPUTED_VALUE"""),0.0)</f>
        <v>0</v>
      </c>
      <c r="AP731" s="82">
        <f>IFERROR(__xludf.DUMMYFUNCTION("""COMPUTED_VALUE"""),0.0)</f>
        <v>0</v>
      </c>
      <c r="AQ731" s="82">
        <f>IFERROR(__xludf.DUMMYFUNCTION("""COMPUTED_VALUE"""),0.0)</f>
        <v>0</v>
      </c>
      <c r="AR731" s="82">
        <f>IFERROR(__xludf.DUMMYFUNCTION("""COMPUTED_VALUE"""),0.0)</f>
        <v>0</v>
      </c>
      <c r="AS731" s="82"/>
      <c r="AT731" s="82">
        <f>IFERROR(__xludf.DUMMYFUNCTION("""COMPUTED_VALUE"""),0.0)</f>
        <v>0</v>
      </c>
      <c r="AU731" s="82"/>
      <c r="AV731" s="82"/>
      <c r="AW731" s="82" t="str">
        <f t="shared" si="1"/>
        <v/>
      </c>
      <c r="AX731" s="83" t="str">
        <f t="array" ref="AX731">IFERROR(DGET('SBV Import'!A:G,"SBV",{"RSC ID","Tier";B731,A731}))</f>
        <v/>
      </c>
      <c r="AY731" s="82" t="str">
        <f t="shared" si="2"/>
        <v/>
      </c>
      <c r="AZ731" s="82"/>
      <c r="BA731" s="84" t="s">
        <v>152</v>
      </c>
      <c r="BB731" s="84" t="str">
        <f>IFERROR(__xludf.DUMMYFUNCTION("iferror(if(A731="""",,E731&gt;=FILTER(Constants!$F$2:$F$10,Constants!$A$2:$A$10=A731)))"),"")</f>
        <v/>
      </c>
    </row>
    <row r="732">
      <c r="A732" s="80"/>
      <c r="B732" s="73"/>
      <c r="C732" s="73"/>
      <c r="D732" s="73"/>
      <c r="E732" s="82"/>
      <c r="F732" s="82"/>
      <c r="G732" s="82"/>
      <c r="H732" s="86"/>
      <c r="I732" s="86"/>
      <c r="J732" s="82"/>
      <c r="K732" s="82"/>
      <c r="L732" s="82"/>
      <c r="M732" s="82"/>
      <c r="N732" s="82"/>
      <c r="O732" s="82"/>
      <c r="P732" s="82"/>
      <c r="Q732" s="82"/>
      <c r="R732" s="82"/>
      <c r="S732" s="82"/>
      <c r="T732" s="82"/>
      <c r="U732" s="82"/>
      <c r="V732" s="82"/>
      <c r="W732" s="82"/>
      <c r="X732" s="82"/>
      <c r="Y732" s="82"/>
      <c r="Z732" s="82"/>
      <c r="AA732" s="82"/>
      <c r="AB732" s="82"/>
      <c r="AC732" s="82"/>
      <c r="AD732" s="82"/>
      <c r="AE732" s="82"/>
      <c r="AF732" s="82"/>
      <c r="AG732" s="82"/>
      <c r="AH732" s="82"/>
      <c r="AI732" s="82"/>
      <c r="AJ732" s="82"/>
      <c r="AK732" s="82"/>
      <c r="AL732" s="82"/>
      <c r="AM732" s="82"/>
      <c r="AN732" s="82">
        <f>IFERROR(__xludf.DUMMYFUNCTION("""COMPUTED_VALUE"""),0.0)</f>
        <v>0</v>
      </c>
      <c r="AO732" s="82">
        <f>IFERROR(__xludf.DUMMYFUNCTION("""COMPUTED_VALUE"""),0.0)</f>
        <v>0</v>
      </c>
      <c r="AP732" s="82">
        <f>IFERROR(__xludf.DUMMYFUNCTION("""COMPUTED_VALUE"""),0.0)</f>
        <v>0</v>
      </c>
      <c r="AQ732" s="82">
        <f>IFERROR(__xludf.DUMMYFUNCTION("""COMPUTED_VALUE"""),0.0)</f>
        <v>0</v>
      </c>
      <c r="AR732" s="82">
        <f>IFERROR(__xludf.DUMMYFUNCTION("""COMPUTED_VALUE"""),0.0)</f>
        <v>0</v>
      </c>
      <c r="AS732" s="82"/>
      <c r="AT732" s="82">
        <f>IFERROR(__xludf.DUMMYFUNCTION("""COMPUTED_VALUE"""),0.0)</f>
        <v>0</v>
      </c>
      <c r="AU732" s="82"/>
      <c r="AV732" s="82"/>
      <c r="AW732" s="82" t="str">
        <f t="shared" si="1"/>
        <v/>
      </c>
      <c r="AX732" s="83" t="str">
        <f t="array" ref="AX732">IFERROR(DGET('SBV Import'!A:G,"SBV",{"RSC ID","Tier";B732,A732}))</f>
        <v/>
      </c>
      <c r="AY732" s="82" t="str">
        <f t="shared" si="2"/>
        <v/>
      </c>
      <c r="AZ732" s="82"/>
      <c r="BA732" s="84" t="s">
        <v>152</v>
      </c>
      <c r="BB732" s="84" t="str">
        <f>IFERROR(__xludf.DUMMYFUNCTION("iferror(if(A732="""",,E732&gt;=FILTER(Constants!$F$2:$F$10,Constants!$A$2:$A$10=A732)))"),"")</f>
        <v/>
      </c>
    </row>
    <row r="733">
      <c r="A733" s="80"/>
      <c r="B733" s="73"/>
      <c r="C733" s="73"/>
      <c r="D733" s="73"/>
      <c r="E733" s="82"/>
      <c r="F733" s="82"/>
      <c r="G733" s="82"/>
      <c r="H733" s="86"/>
      <c r="I733" s="86"/>
      <c r="J733" s="82"/>
      <c r="K733" s="82"/>
      <c r="L733" s="82"/>
      <c r="M733" s="82"/>
      <c r="N733" s="82"/>
      <c r="O733" s="82"/>
      <c r="P733" s="82"/>
      <c r="Q733" s="82"/>
      <c r="R733" s="82"/>
      <c r="S733" s="82"/>
      <c r="T733" s="82"/>
      <c r="U733" s="82"/>
      <c r="V733" s="82"/>
      <c r="W733" s="82"/>
      <c r="X733" s="82"/>
      <c r="Y733" s="82"/>
      <c r="Z733" s="82"/>
      <c r="AA733" s="82"/>
      <c r="AB733" s="82"/>
      <c r="AC733" s="82"/>
      <c r="AD733" s="82"/>
      <c r="AE733" s="82"/>
      <c r="AF733" s="82"/>
      <c r="AG733" s="82"/>
      <c r="AH733" s="82"/>
      <c r="AI733" s="82"/>
      <c r="AJ733" s="82"/>
      <c r="AK733" s="82"/>
      <c r="AL733" s="82"/>
      <c r="AM733" s="82"/>
      <c r="AN733" s="82">
        <f>IFERROR(__xludf.DUMMYFUNCTION("""COMPUTED_VALUE"""),0.0)</f>
        <v>0</v>
      </c>
      <c r="AO733" s="82">
        <f>IFERROR(__xludf.DUMMYFUNCTION("""COMPUTED_VALUE"""),0.0)</f>
        <v>0</v>
      </c>
      <c r="AP733" s="82">
        <f>IFERROR(__xludf.DUMMYFUNCTION("""COMPUTED_VALUE"""),0.0)</f>
        <v>0</v>
      </c>
      <c r="AQ733" s="82">
        <f>IFERROR(__xludf.DUMMYFUNCTION("""COMPUTED_VALUE"""),0.0)</f>
        <v>0</v>
      </c>
      <c r="AR733" s="82">
        <f>IFERROR(__xludf.DUMMYFUNCTION("""COMPUTED_VALUE"""),0.0)</f>
        <v>0</v>
      </c>
      <c r="AS733" s="82"/>
      <c r="AT733" s="82">
        <f>IFERROR(__xludf.DUMMYFUNCTION("""COMPUTED_VALUE"""),0.0)</f>
        <v>0</v>
      </c>
      <c r="AU733" s="82"/>
      <c r="AV733" s="82"/>
      <c r="AW733" s="82" t="str">
        <f t="shared" si="1"/>
        <v/>
      </c>
      <c r="AX733" s="83" t="str">
        <f t="array" ref="AX733">IFERROR(DGET('SBV Import'!A:G,"SBV",{"RSC ID","Tier";B733,A733}))</f>
        <v/>
      </c>
      <c r="AY733" s="82" t="str">
        <f t="shared" si="2"/>
        <v/>
      </c>
      <c r="AZ733" s="82"/>
      <c r="BA733" s="84" t="s">
        <v>152</v>
      </c>
      <c r="BB733" s="84" t="str">
        <f>IFERROR(__xludf.DUMMYFUNCTION("iferror(if(A733="""",,E733&gt;=FILTER(Constants!$F$2:$F$10,Constants!$A$2:$A$10=A733)))"),"")</f>
        <v/>
      </c>
    </row>
    <row r="734">
      <c r="A734" s="80"/>
      <c r="B734" s="73"/>
      <c r="C734" s="73"/>
      <c r="D734" s="73"/>
      <c r="E734" s="82"/>
      <c r="F734" s="82"/>
      <c r="G734" s="82"/>
      <c r="H734" s="86"/>
      <c r="I734" s="86"/>
      <c r="J734" s="82"/>
      <c r="K734" s="82"/>
      <c r="L734" s="82"/>
      <c r="M734" s="82"/>
      <c r="N734" s="82"/>
      <c r="O734" s="82"/>
      <c r="P734" s="82"/>
      <c r="Q734" s="82"/>
      <c r="R734" s="82"/>
      <c r="S734" s="82"/>
      <c r="T734" s="82"/>
      <c r="U734" s="82"/>
      <c r="V734" s="82"/>
      <c r="W734" s="82"/>
      <c r="X734" s="82"/>
      <c r="Y734" s="82"/>
      <c r="Z734" s="82"/>
      <c r="AA734" s="82"/>
      <c r="AB734" s="82"/>
      <c r="AC734" s="82"/>
      <c r="AD734" s="82"/>
      <c r="AE734" s="82"/>
      <c r="AF734" s="82"/>
      <c r="AG734" s="82"/>
      <c r="AH734" s="82"/>
      <c r="AI734" s="82"/>
      <c r="AJ734" s="82"/>
      <c r="AK734" s="82"/>
      <c r="AL734" s="82"/>
      <c r="AM734" s="82"/>
      <c r="AN734" s="82">
        <f>IFERROR(__xludf.DUMMYFUNCTION("""COMPUTED_VALUE"""),0.0)</f>
        <v>0</v>
      </c>
      <c r="AO734" s="82">
        <f>IFERROR(__xludf.DUMMYFUNCTION("""COMPUTED_VALUE"""),0.0)</f>
        <v>0</v>
      </c>
      <c r="AP734" s="82">
        <f>IFERROR(__xludf.DUMMYFUNCTION("""COMPUTED_VALUE"""),0.0)</f>
        <v>0</v>
      </c>
      <c r="AQ734" s="82">
        <f>IFERROR(__xludf.DUMMYFUNCTION("""COMPUTED_VALUE"""),0.0)</f>
        <v>0</v>
      </c>
      <c r="AR734" s="82">
        <f>IFERROR(__xludf.DUMMYFUNCTION("""COMPUTED_VALUE"""),0.0)</f>
        <v>0</v>
      </c>
      <c r="AS734" s="82"/>
      <c r="AT734" s="82">
        <f>IFERROR(__xludf.DUMMYFUNCTION("""COMPUTED_VALUE"""),0.0)</f>
        <v>0</v>
      </c>
      <c r="AU734" s="82"/>
      <c r="AV734" s="82"/>
      <c r="AW734" s="82" t="str">
        <f t="shared" si="1"/>
        <v/>
      </c>
      <c r="AX734" s="83" t="str">
        <f t="array" ref="AX734">IFERROR(DGET('SBV Import'!A:G,"SBV",{"RSC ID","Tier";B734,A734}))</f>
        <v/>
      </c>
      <c r="AY734" s="82" t="str">
        <f t="shared" si="2"/>
        <v/>
      </c>
      <c r="AZ734" s="82"/>
      <c r="BA734" s="84" t="s">
        <v>152</v>
      </c>
      <c r="BB734" s="84" t="str">
        <f>IFERROR(__xludf.DUMMYFUNCTION("iferror(if(A734="""",,E734&gt;=FILTER(Constants!$F$2:$F$10,Constants!$A$2:$A$10=A734)))"),"")</f>
        <v/>
      </c>
    </row>
    <row r="735">
      <c r="A735" s="80"/>
      <c r="B735" s="73"/>
      <c r="C735" s="73"/>
      <c r="D735" s="73"/>
      <c r="E735" s="82"/>
      <c r="F735" s="82"/>
      <c r="G735" s="82"/>
      <c r="H735" s="86"/>
      <c r="I735" s="86"/>
      <c r="J735" s="82"/>
      <c r="K735" s="82"/>
      <c r="L735" s="82"/>
      <c r="M735" s="82"/>
      <c r="N735" s="82"/>
      <c r="O735" s="82"/>
      <c r="P735" s="82"/>
      <c r="Q735" s="82"/>
      <c r="R735" s="82"/>
      <c r="S735" s="82"/>
      <c r="T735" s="82"/>
      <c r="U735" s="82"/>
      <c r="V735" s="82"/>
      <c r="W735" s="82"/>
      <c r="X735" s="82"/>
      <c r="Y735" s="82"/>
      <c r="Z735" s="82"/>
      <c r="AA735" s="82"/>
      <c r="AB735" s="82"/>
      <c r="AC735" s="82"/>
      <c r="AD735" s="82"/>
      <c r="AE735" s="82"/>
      <c r="AF735" s="82"/>
      <c r="AG735" s="82"/>
      <c r="AH735" s="82"/>
      <c r="AI735" s="82"/>
      <c r="AJ735" s="82"/>
      <c r="AK735" s="82"/>
      <c r="AL735" s="82"/>
      <c r="AM735" s="82"/>
      <c r="AN735" s="82">
        <f>IFERROR(__xludf.DUMMYFUNCTION("""COMPUTED_VALUE"""),0.0)</f>
        <v>0</v>
      </c>
      <c r="AO735" s="82">
        <f>IFERROR(__xludf.DUMMYFUNCTION("""COMPUTED_VALUE"""),0.0)</f>
        <v>0</v>
      </c>
      <c r="AP735" s="82">
        <f>IFERROR(__xludf.DUMMYFUNCTION("""COMPUTED_VALUE"""),0.0)</f>
        <v>0</v>
      </c>
      <c r="AQ735" s="82">
        <f>IFERROR(__xludf.DUMMYFUNCTION("""COMPUTED_VALUE"""),0.0)</f>
        <v>0</v>
      </c>
      <c r="AR735" s="82">
        <f>IFERROR(__xludf.DUMMYFUNCTION("""COMPUTED_VALUE"""),0.0)</f>
        <v>0</v>
      </c>
      <c r="AS735" s="82"/>
      <c r="AT735" s="82">
        <f>IFERROR(__xludf.DUMMYFUNCTION("""COMPUTED_VALUE"""),0.0)</f>
        <v>0</v>
      </c>
      <c r="AU735" s="82"/>
      <c r="AV735" s="82"/>
      <c r="AW735" s="82" t="str">
        <f t="shared" si="1"/>
        <v/>
      </c>
      <c r="AX735" s="83" t="str">
        <f t="array" ref="AX735">IFERROR(DGET('SBV Import'!A:G,"SBV",{"RSC ID","Tier";B735,A735}))</f>
        <v/>
      </c>
      <c r="AY735" s="82" t="str">
        <f t="shared" si="2"/>
        <v/>
      </c>
      <c r="AZ735" s="82"/>
      <c r="BA735" s="84" t="s">
        <v>152</v>
      </c>
      <c r="BB735" s="84" t="str">
        <f>IFERROR(__xludf.DUMMYFUNCTION("iferror(if(A735="""",,E735&gt;=FILTER(Constants!$F$2:$F$10,Constants!$A$2:$A$10=A735)))"),"")</f>
        <v/>
      </c>
    </row>
    <row r="736">
      <c r="A736" s="80"/>
      <c r="B736" s="73"/>
      <c r="C736" s="73"/>
      <c r="D736" s="73"/>
      <c r="E736" s="82"/>
      <c r="F736" s="82"/>
      <c r="G736" s="82"/>
      <c r="H736" s="86"/>
      <c r="I736" s="86"/>
      <c r="J736" s="82"/>
      <c r="K736" s="82"/>
      <c r="L736" s="82"/>
      <c r="M736" s="82"/>
      <c r="N736" s="82"/>
      <c r="O736" s="82"/>
      <c r="P736" s="82"/>
      <c r="Q736" s="82"/>
      <c r="R736" s="82"/>
      <c r="S736" s="82"/>
      <c r="T736" s="82"/>
      <c r="U736" s="82"/>
      <c r="V736" s="82"/>
      <c r="W736" s="82"/>
      <c r="X736" s="82"/>
      <c r="Y736" s="82"/>
      <c r="Z736" s="82"/>
      <c r="AA736" s="82"/>
      <c r="AB736" s="82"/>
      <c r="AC736" s="82"/>
      <c r="AD736" s="82"/>
      <c r="AE736" s="82"/>
      <c r="AF736" s="82"/>
      <c r="AG736" s="82"/>
      <c r="AH736" s="82"/>
      <c r="AI736" s="82"/>
      <c r="AJ736" s="82"/>
      <c r="AK736" s="82"/>
      <c r="AL736" s="82"/>
      <c r="AM736" s="82"/>
      <c r="AN736" s="82">
        <f>IFERROR(__xludf.DUMMYFUNCTION("""COMPUTED_VALUE"""),0.0)</f>
        <v>0</v>
      </c>
      <c r="AO736" s="82">
        <f>IFERROR(__xludf.DUMMYFUNCTION("""COMPUTED_VALUE"""),0.0)</f>
        <v>0</v>
      </c>
      <c r="AP736" s="82">
        <f>IFERROR(__xludf.DUMMYFUNCTION("""COMPUTED_VALUE"""),0.0)</f>
        <v>0</v>
      </c>
      <c r="AQ736" s="82">
        <f>IFERROR(__xludf.DUMMYFUNCTION("""COMPUTED_VALUE"""),0.0)</f>
        <v>0</v>
      </c>
      <c r="AR736" s="82">
        <f>IFERROR(__xludf.DUMMYFUNCTION("""COMPUTED_VALUE"""),0.0)</f>
        <v>0</v>
      </c>
      <c r="AS736" s="82"/>
      <c r="AT736" s="82">
        <f>IFERROR(__xludf.DUMMYFUNCTION("""COMPUTED_VALUE"""),0.0)</f>
        <v>0</v>
      </c>
      <c r="AU736" s="82"/>
      <c r="AV736" s="82"/>
      <c r="AW736" s="82" t="str">
        <f t="shared" si="1"/>
        <v/>
      </c>
      <c r="AX736" s="83" t="str">
        <f t="array" ref="AX736">IFERROR(DGET('SBV Import'!A:G,"SBV",{"RSC ID","Tier";B736,A736}))</f>
        <v/>
      </c>
      <c r="AY736" s="82" t="str">
        <f t="shared" si="2"/>
        <v/>
      </c>
      <c r="AZ736" s="82"/>
      <c r="BA736" s="84" t="s">
        <v>152</v>
      </c>
      <c r="BB736" s="84" t="str">
        <f>IFERROR(__xludf.DUMMYFUNCTION("iferror(if(A736="""",,E736&gt;=FILTER(Constants!$F$2:$F$10,Constants!$A$2:$A$10=A736)))"),"")</f>
        <v/>
      </c>
    </row>
    <row r="737">
      <c r="A737" s="80"/>
      <c r="B737" s="73"/>
      <c r="C737" s="73"/>
      <c r="D737" s="73"/>
      <c r="E737" s="82"/>
      <c r="F737" s="82"/>
      <c r="G737" s="82"/>
      <c r="H737" s="86"/>
      <c r="I737" s="86"/>
      <c r="J737" s="82"/>
      <c r="K737" s="82"/>
      <c r="L737" s="82"/>
      <c r="M737" s="82"/>
      <c r="N737" s="82"/>
      <c r="O737" s="82"/>
      <c r="P737" s="82"/>
      <c r="Q737" s="82"/>
      <c r="R737" s="82"/>
      <c r="S737" s="82"/>
      <c r="T737" s="82"/>
      <c r="U737" s="82"/>
      <c r="V737" s="82"/>
      <c r="W737" s="82"/>
      <c r="X737" s="82"/>
      <c r="Y737" s="82"/>
      <c r="Z737" s="82"/>
      <c r="AA737" s="82"/>
      <c r="AB737" s="82"/>
      <c r="AC737" s="82"/>
      <c r="AD737" s="82"/>
      <c r="AE737" s="82"/>
      <c r="AF737" s="82"/>
      <c r="AG737" s="82"/>
      <c r="AH737" s="82"/>
      <c r="AI737" s="82"/>
      <c r="AJ737" s="82"/>
      <c r="AK737" s="82"/>
      <c r="AL737" s="82"/>
      <c r="AM737" s="82"/>
      <c r="AN737" s="82">
        <f>IFERROR(__xludf.DUMMYFUNCTION("""COMPUTED_VALUE"""),0.0)</f>
        <v>0</v>
      </c>
      <c r="AO737" s="82">
        <f>IFERROR(__xludf.DUMMYFUNCTION("""COMPUTED_VALUE"""),0.0)</f>
        <v>0</v>
      </c>
      <c r="AP737" s="82">
        <f>IFERROR(__xludf.DUMMYFUNCTION("""COMPUTED_VALUE"""),0.0)</f>
        <v>0</v>
      </c>
      <c r="AQ737" s="82">
        <f>IFERROR(__xludf.DUMMYFUNCTION("""COMPUTED_VALUE"""),0.0)</f>
        <v>0</v>
      </c>
      <c r="AR737" s="82">
        <f>IFERROR(__xludf.DUMMYFUNCTION("""COMPUTED_VALUE"""),0.0)</f>
        <v>0</v>
      </c>
      <c r="AS737" s="82"/>
      <c r="AT737" s="82">
        <f>IFERROR(__xludf.DUMMYFUNCTION("""COMPUTED_VALUE"""),0.0)</f>
        <v>0</v>
      </c>
      <c r="AU737" s="82"/>
      <c r="AV737" s="82"/>
      <c r="AW737" s="82" t="str">
        <f t="shared" si="1"/>
        <v/>
      </c>
      <c r="AX737" s="83" t="str">
        <f t="array" ref="AX737">IFERROR(DGET('SBV Import'!A:G,"SBV",{"RSC ID","Tier";B737,A737}))</f>
        <v/>
      </c>
      <c r="AY737" s="82" t="str">
        <f t="shared" si="2"/>
        <v/>
      </c>
      <c r="AZ737" s="82"/>
      <c r="BA737" s="84" t="s">
        <v>152</v>
      </c>
      <c r="BB737" s="84" t="str">
        <f>IFERROR(__xludf.DUMMYFUNCTION("iferror(if(A737="""",,E737&gt;=FILTER(Constants!$F$2:$F$10,Constants!$A$2:$A$10=A737)))"),"")</f>
        <v/>
      </c>
    </row>
    <row r="738">
      <c r="A738" s="80"/>
      <c r="B738" s="73"/>
      <c r="C738" s="73"/>
      <c r="D738" s="73"/>
      <c r="E738" s="82"/>
      <c r="F738" s="82"/>
      <c r="G738" s="82"/>
      <c r="H738" s="86"/>
      <c r="I738" s="86"/>
      <c r="J738" s="82"/>
      <c r="K738" s="82"/>
      <c r="L738" s="82"/>
      <c r="M738" s="82"/>
      <c r="N738" s="82"/>
      <c r="O738" s="82"/>
      <c r="P738" s="82"/>
      <c r="Q738" s="82"/>
      <c r="R738" s="82"/>
      <c r="S738" s="82"/>
      <c r="T738" s="82"/>
      <c r="U738" s="82"/>
      <c r="V738" s="82"/>
      <c r="W738" s="82"/>
      <c r="X738" s="82"/>
      <c r="Y738" s="82"/>
      <c r="Z738" s="82"/>
      <c r="AA738" s="82"/>
      <c r="AB738" s="82"/>
      <c r="AC738" s="82"/>
      <c r="AD738" s="82"/>
      <c r="AE738" s="82"/>
      <c r="AF738" s="82"/>
      <c r="AG738" s="82"/>
      <c r="AH738" s="82"/>
      <c r="AI738" s="82"/>
      <c r="AJ738" s="82"/>
      <c r="AK738" s="82"/>
      <c r="AL738" s="82"/>
      <c r="AM738" s="82"/>
      <c r="AN738" s="82">
        <f>IFERROR(__xludf.DUMMYFUNCTION("""COMPUTED_VALUE"""),0.0)</f>
        <v>0</v>
      </c>
      <c r="AO738" s="82">
        <f>IFERROR(__xludf.DUMMYFUNCTION("""COMPUTED_VALUE"""),0.0)</f>
        <v>0</v>
      </c>
      <c r="AP738" s="82">
        <f>IFERROR(__xludf.DUMMYFUNCTION("""COMPUTED_VALUE"""),0.0)</f>
        <v>0</v>
      </c>
      <c r="AQ738" s="82">
        <f>IFERROR(__xludf.DUMMYFUNCTION("""COMPUTED_VALUE"""),0.0)</f>
        <v>0</v>
      </c>
      <c r="AR738" s="82">
        <f>IFERROR(__xludf.DUMMYFUNCTION("""COMPUTED_VALUE"""),0.0)</f>
        <v>0</v>
      </c>
      <c r="AS738" s="82"/>
      <c r="AT738" s="82">
        <f>IFERROR(__xludf.DUMMYFUNCTION("""COMPUTED_VALUE"""),0.0)</f>
        <v>0</v>
      </c>
      <c r="AU738" s="82"/>
      <c r="AV738" s="82"/>
      <c r="AW738" s="82" t="str">
        <f t="shared" si="1"/>
        <v/>
      </c>
      <c r="AX738" s="83" t="str">
        <f t="array" ref="AX738">IFERROR(DGET('SBV Import'!A:G,"SBV",{"RSC ID","Tier";B738,A738}))</f>
        <v/>
      </c>
      <c r="AY738" s="82" t="str">
        <f t="shared" si="2"/>
        <v/>
      </c>
      <c r="AZ738" s="82"/>
      <c r="BA738" s="84" t="s">
        <v>152</v>
      </c>
      <c r="BB738" s="84" t="str">
        <f>IFERROR(__xludf.DUMMYFUNCTION("iferror(if(A738="""",,E738&gt;=FILTER(Constants!$F$2:$F$10,Constants!$A$2:$A$10=A738)))"),"")</f>
        <v/>
      </c>
    </row>
    <row r="739">
      <c r="A739" s="80"/>
      <c r="B739" s="73"/>
      <c r="C739" s="73"/>
      <c r="D739" s="73"/>
      <c r="E739" s="82"/>
      <c r="F739" s="82"/>
      <c r="G739" s="82"/>
      <c r="H739" s="86"/>
      <c r="I739" s="86"/>
      <c r="J739" s="82"/>
      <c r="K739" s="82"/>
      <c r="L739" s="82"/>
      <c r="M739" s="82"/>
      <c r="N739" s="82"/>
      <c r="O739" s="82"/>
      <c r="P739" s="82"/>
      <c r="Q739" s="82"/>
      <c r="R739" s="82"/>
      <c r="S739" s="82"/>
      <c r="T739" s="82"/>
      <c r="U739" s="82"/>
      <c r="V739" s="82"/>
      <c r="W739" s="82"/>
      <c r="X739" s="82"/>
      <c r="Y739" s="82"/>
      <c r="Z739" s="82"/>
      <c r="AA739" s="82"/>
      <c r="AB739" s="82"/>
      <c r="AC739" s="82"/>
      <c r="AD739" s="82"/>
      <c r="AE739" s="82"/>
      <c r="AF739" s="82"/>
      <c r="AG739" s="82"/>
      <c r="AH739" s="82"/>
      <c r="AI739" s="82"/>
      <c r="AJ739" s="82"/>
      <c r="AK739" s="82"/>
      <c r="AL739" s="82"/>
      <c r="AM739" s="82"/>
      <c r="AN739" s="82">
        <f>IFERROR(__xludf.DUMMYFUNCTION("""COMPUTED_VALUE"""),0.0)</f>
        <v>0</v>
      </c>
      <c r="AO739" s="82">
        <f>IFERROR(__xludf.DUMMYFUNCTION("""COMPUTED_VALUE"""),0.0)</f>
        <v>0</v>
      </c>
      <c r="AP739" s="82">
        <f>IFERROR(__xludf.DUMMYFUNCTION("""COMPUTED_VALUE"""),0.0)</f>
        <v>0</v>
      </c>
      <c r="AQ739" s="82">
        <f>IFERROR(__xludf.DUMMYFUNCTION("""COMPUTED_VALUE"""),0.0)</f>
        <v>0</v>
      </c>
      <c r="AR739" s="82">
        <f>IFERROR(__xludf.DUMMYFUNCTION("""COMPUTED_VALUE"""),0.0)</f>
        <v>0</v>
      </c>
      <c r="AS739" s="82"/>
      <c r="AT739" s="82">
        <f>IFERROR(__xludf.DUMMYFUNCTION("""COMPUTED_VALUE"""),0.0)</f>
        <v>0</v>
      </c>
      <c r="AU739" s="82"/>
      <c r="AV739" s="82"/>
      <c r="AW739" s="82" t="str">
        <f t="shared" si="1"/>
        <v/>
      </c>
      <c r="AX739" s="83" t="str">
        <f t="array" ref="AX739">IFERROR(DGET('SBV Import'!A:G,"SBV",{"RSC ID","Tier";B739,A739}))</f>
        <v/>
      </c>
      <c r="AY739" s="82" t="str">
        <f t="shared" si="2"/>
        <v/>
      </c>
      <c r="AZ739" s="82"/>
      <c r="BA739" s="84" t="s">
        <v>152</v>
      </c>
      <c r="BB739" s="84" t="str">
        <f>IFERROR(__xludf.DUMMYFUNCTION("iferror(if(A739="""",,E739&gt;=FILTER(Constants!$F$2:$F$10,Constants!$A$2:$A$10=A739)))"),"")</f>
        <v/>
      </c>
    </row>
    <row r="740">
      <c r="A740" s="80"/>
      <c r="B740" s="73"/>
      <c r="C740" s="73"/>
      <c r="D740" s="73"/>
      <c r="E740" s="82"/>
      <c r="F740" s="82"/>
      <c r="G740" s="82"/>
      <c r="H740" s="86"/>
      <c r="I740" s="86"/>
      <c r="J740" s="82"/>
      <c r="K740" s="82"/>
      <c r="L740" s="82"/>
      <c r="M740" s="82"/>
      <c r="N740" s="82"/>
      <c r="O740" s="82"/>
      <c r="P740" s="82"/>
      <c r="Q740" s="82"/>
      <c r="R740" s="82"/>
      <c r="S740" s="82"/>
      <c r="T740" s="82"/>
      <c r="U740" s="82"/>
      <c r="V740" s="82"/>
      <c r="W740" s="82"/>
      <c r="X740" s="82"/>
      <c r="Y740" s="82"/>
      <c r="Z740" s="82"/>
      <c r="AA740" s="82"/>
      <c r="AB740" s="82"/>
      <c r="AC740" s="82"/>
      <c r="AD740" s="82"/>
      <c r="AE740" s="82"/>
      <c r="AF740" s="82"/>
      <c r="AG740" s="82"/>
      <c r="AH740" s="82"/>
      <c r="AI740" s="82"/>
      <c r="AJ740" s="82"/>
      <c r="AK740" s="82"/>
      <c r="AL740" s="82"/>
      <c r="AM740" s="82"/>
      <c r="AN740" s="82">
        <f>IFERROR(__xludf.DUMMYFUNCTION("""COMPUTED_VALUE"""),0.0)</f>
        <v>0</v>
      </c>
      <c r="AO740" s="82">
        <f>IFERROR(__xludf.DUMMYFUNCTION("""COMPUTED_VALUE"""),0.0)</f>
        <v>0</v>
      </c>
      <c r="AP740" s="82">
        <f>IFERROR(__xludf.DUMMYFUNCTION("""COMPUTED_VALUE"""),0.0)</f>
        <v>0</v>
      </c>
      <c r="AQ740" s="82">
        <f>IFERROR(__xludf.DUMMYFUNCTION("""COMPUTED_VALUE"""),0.0)</f>
        <v>0</v>
      </c>
      <c r="AR740" s="82">
        <f>IFERROR(__xludf.DUMMYFUNCTION("""COMPUTED_VALUE"""),0.0)</f>
        <v>0</v>
      </c>
      <c r="AS740" s="82"/>
      <c r="AT740" s="82">
        <f>IFERROR(__xludf.DUMMYFUNCTION("""COMPUTED_VALUE"""),0.0)</f>
        <v>0</v>
      </c>
      <c r="AU740" s="82"/>
      <c r="AV740" s="82"/>
      <c r="AW740" s="82" t="str">
        <f t="shared" si="1"/>
        <v/>
      </c>
      <c r="AX740" s="83" t="str">
        <f t="array" ref="AX740">IFERROR(DGET('SBV Import'!A:G,"SBV",{"RSC ID","Tier";B740,A740}))</f>
        <v/>
      </c>
      <c r="AY740" s="82" t="str">
        <f t="shared" si="2"/>
        <v/>
      </c>
      <c r="AZ740" s="82"/>
      <c r="BA740" s="84" t="s">
        <v>152</v>
      </c>
      <c r="BB740" s="84" t="str">
        <f>IFERROR(__xludf.DUMMYFUNCTION("iferror(if(A740="""",,E740&gt;=FILTER(Constants!$F$2:$F$10,Constants!$A$2:$A$10=A740)))"),"")</f>
        <v/>
      </c>
    </row>
    <row r="741">
      <c r="A741" s="80"/>
      <c r="B741" s="73"/>
      <c r="C741" s="73"/>
      <c r="D741" s="73"/>
      <c r="E741" s="82"/>
      <c r="F741" s="82"/>
      <c r="G741" s="82"/>
      <c r="H741" s="86"/>
      <c r="I741" s="86"/>
      <c r="J741" s="82"/>
      <c r="K741" s="82"/>
      <c r="L741" s="82"/>
      <c r="M741" s="82"/>
      <c r="N741" s="82"/>
      <c r="O741" s="82"/>
      <c r="P741" s="82"/>
      <c r="Q741" s="82"/>
      <c r="R741" s="82"/>
      <c r="S741" s="82"/>
      <c r="T741" s="82"/>
      <c r="U741" s="82"/>
      <c r="V741" s="82"/>
      <c r="W741" s="82"/>
      <c r="X741" s="82"/>
      <c r="Y741" s="82"/>
      <c r="Z741" s="82"/>
      <c r="AA741" s="82"/>
      <c r="AB741" s="82"/>
      <c r="AC741" s="82"/>
      <c r="AD741" s="82"/>
      <c r="AE741" s="82"/>
      <c r="AF741" s="82"/>
      <c r="AG741" s="82"/>
      <c r="AH741" s="82"/>
      <c r="AI741" s="82"/>
      <c r="AJ741" s="82"/>
      <c r="AK741" s="82"/>
      <c r="AL741" s="82"/>
      <c r="AM741" s="82"/>
      <c r="AN741" s="82">
        <f>IFERROR(__xludf.DUMMYFUNCTION("""COMPUTED_VALUE"""),0.0)</f>
        <v>0</v>
      </c>
      <c r="AO741" s="82">
        <f>IFERROR(__xludf.DUMMYFUNCTION("""COMPUTED_VALUE"""),0.0)</f>
        <v>0</v>
      </c>
      <c r="AP741" s="82">
        <f>IFERROR(__xludf.DUMMYFUNCTION("""COMPUTED_VALUE"""),0.0)</f>
        <v>0</v>
      </c>
      <c r="AQ741" s="82">
        <f>IFERROR(__xludf.DUMMYFUNCTION("""COMPUTED_VALUE"""),0.0)</f>
        <v>0</v>
      </c>
      <c r="AR741" s="82">
        <f>IFERROR(__xludf.DUMMYFUNCTION("""COMPUTED_VALUE"""),0.0)</f>
        <v>0</v>
      </c>
      <c r="AS741" s="82"/>
      <c r="AT741" s="82">
        <f>IFERROR(__xludf.DUMMYFUNCTION("""COMPUTED_VALUE"""),0.0)</f>
        <v>0</v>
      </c>
      <c r="AU741" s="82"/>
      <c r="AV741" s="82"/>
      <c r="AW741" s="82" t="str">
        <f t="shared" si="1"/>
        <v/>
      </c>
      <c r="AX741" s="83" t="str">
        <f t="array" ref="AX741">IFERROR(DGET('SBV Import'!A:G,"SBV",{"RSC ID","Tier";B741,A741}))</f>
        <v/>
      </c>
      <c r="AY741" s="82" t="str">
        <f t="shared" si="2"/>
        <v/>
      </c>
      <c r="AZ741" s="82"/>
      <c r="BA741" s="84" t="s">
        <v>152</v>
      </c>
      <c r="BB741" s="84" t="str">
        <f>IFERROR(__xludf.DUMMYFUNCTION("iferror(if(A741="""",,E741&gt;=FILTER(Constants!$F$2:$F$10,Constants!$A$2:$A$10=A741)))"),"")</f>
        <v/>
      </c>
    </row>
    <row r="742">
      <c r="A742" s="80"/>
      <c r="B742" s="73"/>
      <c r="C742" s="73"/>
      <c r="D742" s="73"/>
      <c r="E742" s="82"/>
      <c r="F742" s="82"/>
      <c r="G742" s="82"/>
      <c r="H742" s="86"/>
      <c r="I742" s="86"/>
      <c r="J742" s="82"/>
      <c r="K742" s="82"/>
      <c r="L742" s="82"/>
      <c r="M742" s="82"/>
      <c r="N742" s="82"/>
      <c r="O742" s="82"/>
      <c r="P742" s="82"/>
      <c r="Q742" s="82"/>
      <c r="R742" s="82"/>
      <c r="S742" s="82"/>
      <c r="T742" s="82"/>
      <c r="U742" s="82"/>
      <c r="V742" s="82"/>
      <c r="W742" s="82"/>
      <c r="X742" s="82"/>
      <c r="Y742" s="82"/>
      <c r="Z742" s="82"/>
      <c r="AA742" s="82"/>
      <c r="AB742" s="82"/>
      <c r="AC742" s="82"/>
      <c r="AD742" s="82"/>
      <c r="AE742" s="82"/>
      <c r="AF742" s="82"/>
      <c r="AG742" s="82"/>
      <c r="AH742" s="82"/>
      <c r="AI742" s="82"/>
      <c r="AJ742" s="82"/>
      <c r="AK742" s="82"/>
      <c r="AL742" s="82"/>
      <c r="AM742" s="82"/>
      <c r="AN742" s="82">
        <f>IFERROR(__xludf.DUMMYFUNCTION("""COMPUTED_VALUE"""),0.0)</f>
        <v>0</v>
      </c>
      <c r="AO742" s="82">
        <f>IFERROR(__xludf.DUMMYFUNCTION("""COMPUTED_VALUE"""),0.0)</f>
        <v>0</v>
      </c>
      <c r="AP742" s="82">
        <f>IFERROR(__xludf.DUMMYFUNCTION("""COMPUTED_VALUE"""),0.0)</f>
        <v>0</v>
      </c>
      <c r="AQ742" s="82">
        <f>IFERROR(__xludf.DUMMYFUNCTION("""COMPUTED_VALUE"""),0.0)</f>
        <v>0</v>
      </c>
      <c r="AR742" s="82">
        <f>IFERROR(__xludf.DUMMYFUNCTION("""COMPUTED_VALUE"""),0.0)</f>
        <v>0</v>
      </c>
      <c r="AS742" s="82"/>
      <c r="AT742" s="82">
        <f>IFERROR(__xludf.DUMMYFUNCTION("""COMPUTED_VALUE"""),0.0)</f>
        <v>0</v>
      </c>
      <c r="AU742" s="82"/>
      <c r="AV742" s="82"/>
      <c r="AW742" s="82" t="str">
        <f t="shared" si="1"/>
        <v/>
      </c>
      <c r="AX742" s="83" t="str">
        <f t="array" ref="AX742">IFERROR(DGET('SBV Import'!A:G,"SBV",{"RSC ID","Tier";B742,A742}))</f>
        <v/>
      </c>
      <c r="AY742" s="82" t="str">
        <f t="shared" si="2"/>
        <v/>
      </c>
      <c r="AZ742" s="82"/>
      <c r="BA742" s="84" t="s">
        <v>152</v>
      </c>
      <c r="BB742" s="84" t="str">
        <f>IFERROR(__xludf.DUMMYFUNCTION("iferror(if(A742="""",,E742&gt;=FILTER(Constants!$F$2:$F$10,Constants!$A$2:$A$10=A742)))"),"")</f>
        <v/>
      </c>
    </row>
    <row r="743">
      <c r="A743" s="80"/>
      <c r="B743" s="73"/>
      <c r="C743" s="73"/>
      <c r="D743" s="73"/>
      <c r="E743" s="82"/>
      <c r="F743" s="82"/>
      <c r="G743" s="82"/>
      <c r="H743" s="86"/>
      <c r="I743" s="86"/>
      <c r="J743" s="82"/>
      <c r="K743" s="82"/>
      <c r="L743" s="82"/>
      <c r="M743" s="82"/>
      <c r="N743" s="82"/>
      <c r="O743" s="82"/>
      <c r="P743" s="82"/>
      <c r="Q743" s="82"/>
      <c r="R743" s="82"/>
      <c r="S743" s="82"/>
      <c r="T743" s="82"/>
      <c r="U743" s="82"/>
      <c r="V743" s="82"/>
      <c r="W743" s="82"/>
      <c r="X743" s="82"/>
      <c r="Y743" s="82"/>
      <c r="Z743" s="82"/>
      <c r="AA743" s="82"/>
      <c r="AB743" s="82"/>
      <c r="AC743" s="82"/>
      <c r="AD743" s="82"/>
      <c r="AE743" s="82"/>
      <c r="AF743" s="82"/>
      <c r="AG743" s="82"/>
      <c r="AH743" s="82"/>
      <c r="AI743" s="82"/>
      <c r="AJ743" s="82"/>
      <c r="AK743" s="82"/>
      <c r="AL743" s="82"/>
      <c r="AM743" s="82"/>
      <c r="AN743" s="82">
        <f>IFERROR(__xludf.DUMMYFUNCTION("""COMPUTED_VALUE"""),0.0)</f>
        <v>0</v>
      </c>
      <c r="AO743" s="82">
        <f>IFERROR(__xludf.DUMMYFUNCTION("""COMPUTED_VALUE"""),0.0)</f>
        <v>0</v>
      </c>
      <c r="AP743" s="82">
        <f>IFERROR(__xludf.DUMMYFUNCTION("""COMPUTED_VALUE"""),0.0)</f>
        <v>0</v>
      </c>
      <c r="AQ743" s="82">
        <f>IFERROR(__xludf.DUMMYFUNCTION("""COMPUTED_VALUE"""),0.0)</f>
        <v>0</v>
      </c>
      <c r="AR743" s="82">
        <f>IFERROR(__xludf.DUMMYFUNCTION("""COMPUTED_VALUE"""),0.0)</f>
        <v>0</v>
      </c>
      <c r="AS743" s="82"/>
      <c r="AT743" s="82">
        <f>IFERROR(__xludf.DUMMYFUNCTION("""COMPUTED_VALUE"""),0.0)</f>
        <v>0</v>
      </c>
      <c r="AU743" s="82"/>
      <c r="AV743" s="82"/>
      <c r="AW743" s="82" t="str">
        <f t="shared" si="1"/>
        <v/>
      </c>
      <c r="AX743" s="83" t="str">
        <f t="array" ref="AX743">IFERROR(DGET('SBV Import'!A:G,"SBV",{"RSC ID","Tier";B743,A743}))</f>
        <v/>
      </c>
      <c r="AY743" s="82" t="str">
        <f t="shared" si="2"/>
        <v/>
      </c>
      <c r="AZ743" s="82"/>
      <c r="BA743" s="84" t="s">
        <v>152</v>
      </c>
      <c r="BB743" s="84" t="str">
        <f>IFERROR(__xludf.DUMMYFUNCTION("iferror(if(A743="""",,E743&gt;=FILTER(Constants!$F$2:$F$10,Constants!$A$2:$A$10=A743)))"),"")</f>
        <v/>
      </c>
    </row>
    <row r="744">
      <c r="A744" s="80"/>
      <c r="B744" s="73"/>
      <c r="C744" s="73"/>
      <c r="D744" s="73"/>
      <c r="E744" s="82"/>
      <c r="F744" s="82"/>
      <c r="G744" s="82"/>
      <c r="H744" s="86"/>
      <c r="I744" s="86"/>
      <c r="J744" s="82"/>
      <c r="K744" s="82"/>
      <c r="L744" s="82"/>
      <c r="M744" s="82"/>
      <c r="N744" s="82"/>
      <c r="O744" s="82"/>
      <c r="P744" s="82"/>
      <c r="Q744" s="82"/>
      <c r="R744" s="82"/>
      <c r="S744" s="82"/>
      <c r="T744" s="82"/>
      <c r="U744" s="82"/>
      <c r="V744" s="82"/>
      <c r="W744" s="82"/>
      <c r="X744" s="82"/>
      <c r="Y744" s="82"/>
      <c r="Z744" s="82"/>
      <c r="AA744" s="82"/>
      <c r="AB744" s="82"/>
      <c r="AC744" s="82"/>
      <c r="AD744" s="82"/>
      <c r="AE744" s="82"/>
      <c r="AF744" s="82"/>
      <c r="AG744" s="82"/>
      <c r="AH744" s="82"/>
      <c r="AI744" s="82"/>
      <c r="AJ744" s="82"/>
      <c r="AK744" s="82"/>
      <c r="AL744" s="82"/>
      <c r="AM744" s="82"/>
      <c r="AN744" s="82">
        <f>IFERROR(__xludf.DUMMYFUNCTION("""COMPUTED_VALUE"""),0.0)</f>
        <v>0</v>
      </c>
      <c r="AO744" s="82">
        <f>IFERROR(__xludf.DUMMYFUNCTION("""COMPUTED_VALUE"""),0.0)</f>
        <v>0</v>
      </c>
      <c r="AP744" s="82">
        <f>IFERROR(__xludf.DUMMYFUNCTION("""COMPUTED_VALUE"""),0.0)</f>
        <v>0</v>
      </c>
      <c r="AQ744" s="82">
        <f>IFERROR(__xludf.DUMMYFUNCTION("""COMPUTED_VALUE"""),0.0)</f>
        <v>0</v>
      </c>
      <c r="AR744" s="82">
        <f>IFERROR(__xludf.DUMMYFUNCTION("""COMPUTED_VALUE"""),0.0)</f>
        <v>0</v>
      </c>
      <c r="AS744" s="82"/>
      <c r="AT744" s="82">
        <f>IFERROR(__xludf.DUMMYFUNCTION("""COMPUTED_VALUE"""),0.0)</f>
        <v>0</v>
      </c>
      <c r="AU744" s="82"/>
      <c r="AV744" s="82"/>
      <c r="AW744" s="82" t="str">
        <f t="shared" si="1"/>
        <v/>
      </c>
      <c r="AX744" s="83" t="str">
        <f t="array" ref="AX744">IFERROR(DGET('SBV Import'!A:G,"SBV",{"RSC ID","Tier";B744,A744}))</f>
        <v/>
      </c>
      <c r="AY744" s="82" t="str">
        <f t="shared" si="2"/>
        <v/>
      </c>
      <c r="AZ744" s="82"/>
      <c r="BA744" s="84" t="s">
        <v>152</v>
      </c>
      <c r="BB744" s="84" t="str">
        <f>IFERROR(__xludf.DUMMYFUNCTION("iferror(if(A744="""",,E744&gt;=FILTER(Constants!$F$2:$F$10,Constants!$A$2:$A$10=A744)))"),"")</f>
        <v/>
      </c>
    </row>
    <row r="745">
      <c r="A745" s="80"/>
      <c r="B745" s="73"/>
      <c r="C745" s="73"/>
      <c r="D745" s="73"/>
      <c r="E745" s="82"/>
      <c r="F745" s="82"/>
      <c r="G745" s="82"/>
      <c r="H745" s="86"/>
      <c r="I745" s="86"/>
      <c r="J745" s="82"/>
      <c r="K745" s="82"/>
      <c r="L745" s="82"/>
      <c r="M745" s="82"/>
      <c r="N745" s="82"/>
      <c r="O745" s="82"/>
      <c r="P745" s="82"/>
      <c r="Q745" s="82"/>
      <c r="R745" s="82"/>
      <c r="S745" s="82"/>
      <c r="T745" s="82"/>
      <c r="U745" s="82"/>
      <c r="V745" s="82"/>
      <c r="W745" s="82"/>
      <c r="X745" s="82"/>
      <c r="Y745" s="82"/>
      <c r="Z745" s="82"/>
      <c r="AA745" s="82"/>
      <c r="AB745" s="82"/>
      <c r="AC745" s="82"/>
      <c r="AD745" s="82"/>
      <c r="AE745" s="82"/>
      <c r="AF745" s="82"/>
      <c r="AG745" s="82"/>
      <c r="AH745" s="82"/>
      <c r="AI745" s="82"/>
      <c r="AJ745" s="82"/>
      <c r="AK745" s="82"/>
      <c r="AL745" s="82"/>
      <c r="AM745" s="82"/>
      <c r="AN745" s="82">
        <f>IFERROR(__xludf.DUMMYFUNCTION("""COMPUTED_VALUE"""),0.0)</f>
        <v>0</v>
      </c>
      <c r="AO745" s="82">
        <f>IFERROR(__xludf.DUMMYFUNCTION("""COMPUTED_VALUE"""),0.0)</f>
        <v>0</v>
      </c>
      <c r="AP745" s="82">
        <f>IFERROR(__xludf.DUMMYFUNCTION("""COMPUTED_VALUE"""),0.0)</f>
        <v>0</v>
      </c>
      <c r="AQ745" s="82">
        <f>IFERROR(__xludf.DUMMYFUNCTION("""COMPUTED_VALUE"""),0.0)</f>
        <v>0</v>
      </c>
      <c r="AR745" s="82">
        <f>IFERROR(__xludf.DUMMYFUNCTION("""COMPUTED_VALUE"""),0.0)</f>
        <v>0</v>
      </c>
      <c r="AS745" s="82"/>
      <c r="AT745" s="82">
        <f>IFERROR(__xludf.DUMMYFUNCTION("""COMPUTED_VALUE"""),0.0)</f>
        <v>0</v>
      </c>
      <c r="AU745" s="82"/>
      <c r="AV745" s="82"/>
      <c r="AW745" s="82" t="str">
        <f t="shared" si="1"/>
        <v/>
      </c>
      <c r="AX745" s="83" t="str">
        <f t="array" ref="AX745">IFERROR(DGET('SBV Import'!A:G,"SBV",{"RSC ID","Tier";B745,A745}))</f>
        <v/>
      </c>
      <c r="AY745" s="82" t="str">
        <f t="shared" si="2"/>
        <v/>
      </c>
      <c r="AZ745" s="82"/>
      <c r="BA745" s="84" t="s">
        <v>152</v>
      </c>
      <c r="BB745" s="84" t="str">
        <f>IFERROR(__xludf.DUMMYFUNCTION("iferror(if(A745="""",,E745&gt;=FILTER(Constants!$F$2:$F$10,Constants!$A$2:$A$10=A745)))"),"")</f>
        <v/>
      </c>
    </row>
    <row r="746">
      <c r="A746" s="80"/>
      <c r="B746" s="73"/>
      <c r="C746" s="73"/>
      <c r="D746" s="73"/>
      <c r="E746" s="82"/>
      <c r="F746" s="82"/>
      <c r="G746" s="82"/>
      <c r="H746" s="86"/>
      <c r="I746" s="86"/>
      <c r="J746" s="82"/>
      <c r="K746" s="82"/>
      <c r="L746" s="82"/>
      <c r="M746" s="82"/>
      <c r="N746" s="82"/>
      <c r="O746" s="82"/>
      <c r="P746" s="82"/>
      <c r="Q746" s="82"/>
      <c r="R746" s="82"/>
      <c r="S746" s="82"/>
      <c r="T746" s="82"/>
      <c r="U746" s="82"/>
      <c r="V746" s="82"/>
      <c r="W746" s="82"/>
      <c r="X746" s="82"/>
      <c r="Y746" s="82"/>
      <c r="Z746" s="82"/>
      <c r="AA746" s="82"/>
      <c r="AB746" s="82"/>
      <c r="AC746" s="82"/>
      <c r="AD746" s="82"/>
      <c r="AE746" s="82"/>
      <c r="AF746" s="82"/>
      <c r="AG746" s="82"/>
      <c r="AH746" s="82"/>
      <c r="AI746" s="82"/>
      <c r="AJ746" s="82"/>
      <c r="AK746" s="82"/>
      <c r="AL746" s="82"/>
      <c r="AM746" s="82"/>
      <c r="AN746" s="82">
        <f>IFERROR(__xludf.DUMMYFUNCTION("""COMPUTED_VALUE"""),0.0)</f>
        <v>0</v>
      </c>
      <c r="AO746" s="82">
        <f>IFERROR(__xludf.DUMMYFUNCTION("""COMPUTED_VALUE"""),0.0)</f>
        <v>0</v>
      </c>
      <c r="AP746" s="82">
        <f>IFERROR(__xludf.DUMMYFUNCTION("""COMPUTED_VALUE"""),0.0)</f>
        <v>0</v>
      </c>
      <c r="AQ746" s="82">
        <f>IFERROR(__xludf.DUMMYFUNCTION("""COMPUTED_VALUE"""),0.0)</f>
        <v>0</v>
      </c>
      <c r="AR746" s="82">
        <f>IFERROR(__xludf.DUMMYFUNCTION("""COMPUTED_VALUE"""),0.0)</f>
        <v>0</v>
      </c>
      <c r="AS746" s="82"/>
      <c r="AT746" s="82">
        <f>IFERROR(__xludf.DUMMYFUNCTION("""COMPUTED_VALUE"""),0.0)</f>
        <v>0</v>
      </c>
      <c r="AU746" s="82"/>
      <c r="AV746" s="82"/>
      <c r="AW746" s="82" t="str">
        <f t="shared" si="1"/>
        <v/>
      </c>
      <c r="AX746" s="83" t="str">
        <f t="array" ref="AX746">IFERROR(DGET('SBV Import'!A:G,"SBV",{"RSC ID","Tier";B746,A746}))</f>
        <v/>
      </c>
      <c r="AY746" s="82" t="str">
        <f t="shared" si="2"/>
        <v/>
      </c>
      <c r="AZ746" s="82"/>
      <c r="BA746" s="84" t="s">
        <v>152</v>
      </c>
      <c r="BB746" s="84" t="str">
        <f>IFERROR(__xludf.DUMMYFUNCTION("iferror(if(A746="""",,E746&gt;=FILTER(Constants!$F$2:$F$10,Constants!$A$2:$A$10=A746)))"),"")</f>
        <v/>
      </c>
    </row>
    <row r="747">
      <c r="A747" s="80"/>
      <c r="B747" s="73"/>
      <c r="C747" s="73"/>
      <c r="D747" s="73"/>
      <c r="E747" s="82"/>
      <c r="F747" s="82"/>
      <c r="G747" s="82"/>
      <c r="H747" s="86"/>
      <c r="I747" s="86"/>
      <c r="J747" s="82"/>
      <c r="K747" s="82"/>
      <c r="L747" s="82"/>
      <c r="M747" s="82"/>
      <c r="N747" s="82"/>
      <c r="O747" s="82"/>
      <c r="P747" s="82"/>
      <c r="Q747" s="82"/>
      <c r="R747" s="82"/>
      <c r="S747" s="82"/>
      <c r="T747" s="82"/>
      <c r="U747" s="82"/>
      <c r="V747" s="82"/>
      <c r="W747" s="82"/>
      <c r="X747" s="82"/>
      <c r="Y747" s="82"/>
      <c r="Z747" s="82"/>
      <c r="AA747" s="82"/>
      <c r="AB747" s="82"/>
      <c r="AC747" s="82"/>
      <c r="AD747" s="82"/>
      <c r="AE747" s="82"/>
      <c r="AF747" s="82"/>
      <c r="AG747" s="82"/>
      <c r="AH747" s="82"/>
      <c r="AI747" s="82"/>
      <c r="AJ747" s="82"/>
      <c r="AK747" s="82"/>
      <c r="AL747" s="82"/>
      <c r="AM747" s="82"/>
      <c r="AN747" s="82">
        <f>IFERROR(__xludf.DUMMYFUNCTION("""COMPUTED_VALUE"""),0.0)</f>
        <v>0</v>
      </c>
      <c r="AO747" s="82">
        <f>IFERROR(__xludf.DUMMYFUNCTION("""COMPUTED_VALUE"""),0.0)</f>
        <v>0</v>
      </c>
      <c r="AP747" s="82">
        <f>IFERROR(__xludf.DUMMYFUNCTION("""COMPUTED_VALUE"""),0.0)</f>
        <v>0</v>
      </c>
      <c r="AQ747" s="82">
        <f>IFERROR(__xludf.DUMMYFUNCTION("""COMPUTED_VALUE"""),0.0)</f>
        <v>0</v>
      </c>
      <c r="AR747" s="82">
        <f>IFERROR(__xludf.DUMMYFUNCTION("""COMPUTED_VALUE"""),0.0)</f>
        <v>0</v>
      </c>
      <c r="AS747" s="82"/>
      <c r="AT747" s="82">
        <f>IFERROR(__xludf.DUMMYFUNCTION("""COMPUTED_VALUE"""),0.0)</f>
        <v>0</v>
      </c>
      <c r="AU747" s="82"/>
      <c r="AV747" s="82"/>
      <c r="AW747" s="82" t="str">
        <f t="shared" si="1"/>
        <v/>
      </c>
      <c r="AX747" s="83" t="str">
        <f t="array" ref="AX747">IFERROR(DGET('SBV Import'!A:G,"SBV",{"RSC ID","Tier";B747,A747}))</f>
        <v/>
      </c>
      <c r="AY747" s="82" t="str">
        <f t="shared" si="2"/>
        <v/>
      </c>
      <c r="AZ747" s="82"/>
      <c r="BA747" s="84" t="s">
        <v>152</v>
      </c>
      <c r="BB747" s="84" t="str">
        <f>IFERROR(__xludf.DUMMYFUNCTION("iferror(if(A747="""",,E747&gt;=FILTER(Constants!$F$2:$F$10,Constants!$A$2:$A$10=A747)))"),"")</f>
        <v/>
      </c>
    </row>
    <row r="748">
      <c r="A748" s="80"/>
      <c r="B748" s="73"/>
      <c r="C748" s="73"/>
      <c r="D748" s="73"/>
      <c r="E748" s="82"/>
      <c r="F748" s="82"/>
      <c r="G748" s="82"/>
      <c r="H748" s="86"/>
      <c r="I748" s="86"/>
      <c r="J748" s="82"/>
      <c r="K748" s="82"/>
      <c r="L748" s="82"/>
      <c r="M748" s="82"/>
      <c r="N748" s="82"/>
      <c r="O748" s="82"/>
      <c r="P748" s="82"/>
      <c r="Q748" s="82"/>
      <c r="R748" s="82"/>
      <c r="S748" s="82"/>
      <c r="T748" s="82"/>
      <c r="U748" s="82"/>
      <c r="V748" s="82"/>
      <c r="W748" s="82"/>
      <c r="X748" s="82"/>
      <c r="Y748" s="82"/>
      <c r="Z748" s="82"/>
      <c r="AA748" s="82"/>
      <c r="AB748" s="82"/>
      <c r="AC748" s="82"/>
      <c r="AD748" s="82"/>
      <c r="AE748" s="82"/>
      <c r="AF748" s="82"/>
      <c r="AG748" s="82"/>
      <c r="AH748" s="82"/>
      <c r="AI748" s="82"/>
      <c r="AJ748" s="82"/>
      <c r="AK748" s="82"/>
      <c r="AL748" s="82"/>
      <c r="AM748" s="82"/>
      <c r="AN748" s="82">
        <f>IFERROR(__xludf.DUMMYFUNCTION("""COMPUTED_VALUE"""),0.0)</f>
        <v>0</v>
      </c>
      <c r="AO748" s="82">
        <f>IFERROR(__xludf.DUMMYFUNCTION("""COMPUTED_VALUE"""),0.0)</f>
        <v>0</v>
      </c>
      <c r="AP748" s="82">
        <f>IFERROR(__xludf.DUMMYFUNCTION("""COMPUTED_VALUE"""),0.0)</f>
        <v>0</v>
      </c>
      <c r="AQ748" s="82">
        <f>IFERROR(__xludf.DUMMYFUNCTION("""COMPUTED_VALUE"""),0.0)</f>
        <v>0</v>
      </c>
      <c r="AR748" s="82">
        <f>IFERROR(__xludf.DUMMYFUNCTION("""COMPUTED_VALUE"""),0.0)</f>
        <v>0</v>
      </c>
      <c r="AS748" s="82"/>
      <c r="AT748" s="82">
        <f>IFERROR(__xludf.DUMMYFUNCTION("""COMPUTED_VALUE"""),0.0)</f>
        <v>0</v>
      </c>
      <c r="AU748" s="82"/>
      <c r="AV748" s="82"/>
      <c r="AW748" s="82" t="str">
        <f t="shared" si="1"/>
        <v/>
      </c>
      <c r="AX748" s="83" t="str">
        <f t="array" ref="AX748">IFERROR(DGET('SBV Import'!A:G,"SBV",{"RSC ID","Tier";B748,A748}))</f>
        <v/>
      </c>
      <c r="AY748" s="82" t="str">
        <f t="shared" si="2"/>
        <v/>
      </c>
      <c r="AZ748" s="82"/>
      <c r="BA748" s="84" t="s">
        <v>152</v>
      </c>
      <c r="BB748" s="84" t="str">
        <f>IFERROR(__xludf.DUMMYFUNCTION("iferror(if(A748="""",,E748&gt;=FILTER(Constants!$F$2:$F$10,Constants!$A$2:$A$10=A748)))"),"")</f>
        <v/>
      </c>
    </row>
    <row r="749">
      <c r="A749" s="80"/>
      <c r="B749" s="73"/>
      <c r="C749" s="73"/>
      <c r="D749" s="73"/>
      <c r="E749" s="82"/>
      <c r="F749" s="82"/>
      <c r="G749" s="82"/>
      <c r="H749" s="82"/>
      <c r="I749" s="82"/>
      <c r="J749" s="82"/>
      <c r="K749" s="82"/>
      <c r="L749" s="82"/>
      <c r="M749" s="82"/>
      <c r="N749" s="82"/>
      <c r="O749" s="82"/>
      <c r="P749" s="82"/>
      <c r="Q749" s="82"/>
      <c r="R749" s="82"/>
      <c r="S749" s="82"/>
      <c r="T749" s="82"/>
      <c r="U749" s="82"/>
      <c r="V749" s="82"/>
      <c r="W749" s="82"/>
      <c r="X749" s="82"/>
      <c r="Y749" s="82"/>
      <c r="Z749" s="82"/>
      <c r="AA749" s="82"/>
      <c r="AB749" s="82"/>
      <c r="AC749" s="82"/>
      <c r="AD749" s="82"/>
      <c r="AE749" s="82"/>
      <c r="AF749" s="82"/>
      <c r="AG749" s="82"/>
      <c r="AH749" s="82"/>
      <c r="AI749" s="82"/>
      <c r="AJ749" s="82"/>
      <c r="AK749" s="82"/>
      <c r="AL749" s="82"/>
      <c r="AM749" s="82"/>
      <c r="AN749" s="82"/>
      <c r="AO749" s="82"/>
      <c r="AP749" s="82"/>
      <c r="AQ749" s="82"/>
      <c r="AR749" s="82"/>
      <c r="AS749" s="82"/>
      <c r="AT749" s="82"/>
      <c r="AU749" s="82"/>
      <c r="AV749" s="82"/>
      <c r="AW749" s="82" t="str">
        <f t="shared" si="1"/>
        <v/>
      </c>
      <c r="AX749" s="83" t="str">
        <f t="array" ref="AX749">IFERROR(DGET('SBV Import'!A:G,"SBV",{"RSC ID","Tier";B749,A749}))</f>
        <v/>
      </c>
      <c r="AY749" s="82" t="str">
        <f t="shared" si="2"/>
        <v/>
      </c>
      <c r="AZ749" s="82"/>
      <c r="BA749" s="84" t="s">
        <v>152</v>
      </c>
      <c r="BB749" s="84" t="str">
        <f>IFERROR(__xludf.DUMMYFUNCTION("iferror(if(A749="""",,E749&gt;=FILTER(Constants!$F$2:$F$10,Constants!$A$2:$A$10=A749)))"),"")</f>
        <v/>
      </c>
    </row>
    <row r="750">
      <c r="A750" s="80"/>
      <c r="B750" s="73"/>
      <c r="C750" s="73"/>
      <c r="D750" s="73"/>
      <c r="E750" s="82"/>
      <c r="F750" s="82"/>
      <c r="G750" s="82"/>
      <c r="H750" s="82"/>
      <c r="I750" s="82"/>
      <c r="J750" s="82"/>
      <c r="K750" s="82"/>
      <c r="L750" s="82"/>
      <c r="M750" s="82"/>
      <c r="N750" s="82"/>
      <c r="O750" s="82"/>
      <c r="P750" s="82"/>
      <c r="Q750" s="82"/>
      <c r="R750" s="82"/>
      <c r="S750" s="82"/>
      <c r="T750" s="82"/>
      <c r="U750" s="82"/>
      <c r="V750" s="82"/>
      <c r="W750" s="82"/>
      <c r="X750" s="82"/>
      <c r="Y750" s="82"/>
      <c r="Z750" s="82"/>
      <c r="AA750" s="82"/>
      <c r="AB750" s="82"/>
      <c r="AC750" s="82"/>
      <c r="AD750" s="82"/>
      <c r="AE750" s="82"/>
      <c r="AF750" s="82"/>
      <c r="AG750" s="82"/>
      <c r="AH750" s="82"/>
      <c r="AI750" s="82"/>
      <c r="AJ750" s="82"/>
      <c r="AK750" s="82"/>
      <c r="AL750" s="82"/>
      <c r="AM750" s="82"/>
      <c r="AN750" s="82"/>
      <c r="AO750" s="82"/>
      <c r="AP750" s="82"/>
      <c r="AQ750" s="82"/>
      <c r="AR750" s="82"/>
      <c r="AS750" s="82"/>
      <c r="AT750" s="82"/>
      <c r="AU750" s="82"/>
      <c r="AV750" s="82"/>
      <c r="AW750" s="82" t="str">
        <f t="shared" si="1"/>
        <v/>
      </c>
      <c r="AX750" s="83" t="str">
        <f t="array" ref="AX750">IFERROR(DGET('SBV Import'!A:G,"SBV",{"RSC ID","Tier";B750,A750}))</f>
        <v/>
      </c>
      <c r="AY750" s="82" t="str">
        <f t="shared" si="2"/>
        <v/>
      </c>
      <c r="AZ750" s="82"/>
      <c r="BA750" s="84" t="s">
        <v>152</v>
      </c>
      <c r="BB750" s="84" t="str">
        <f>IFERROR(__xludf.DUMMYFUNCTION("iferror(if(A750="""",,E750&gt;=FILTER(Constants!$F$2:$F$10,Constants!$A$2:$A$10=A750)))"),"")</f>
        <v/>
      </c>
    </row>
    <row r="751">
      <c r="A751" s="80"/>
      <c r="B751" s="73"/>
      <c r="C751" s="73"/>
      <c r="D751" s="73"/>
      <c r="E751" s="82"/>
      <c r="F751" s="82"/>
      <c r="G751" s="82"/>
      <c r="H751" s="82"/>
      <c r="I751" s="82"/>
      <c r="J751" s="82"/>
      <c r="K751" s="82"/>
      <c r="L751" s="82"/>
      <c r="M751" s="82"/>
      <c r="N751" s="82"/>
      <c r="O751" s="82"/>
      <c r="P751" s="82"/>
      <c r="Q751" s="82"/>
      <c r="R751" s="82"/>
      <c r="S751" s="82"/>
      <c r="T751" s="82"/>
      <c r="U751" s="82"/>
      <c r="V751" s="82"/>
      <c r="W751" s="82"/>
      <c r="X751" s="82"/>
      <c r="Y751" s="82"/>
      <c r="Z751" s="82"/>
      <c r="AA751" s="82"/>
      <c r="AB751" s="82"/>
      <c r="AC751" s="82"/>
      <c r="AD751" s="82"/>
      <c r="AE751" s="82"/>
      <c r="AF751" s="82"/>
      <c r="AG751" s="82"/>
      <c r="AH751" s="82"/>
      <c r="AI751" s="82"/>
      <c r="AJ751" s="82"/>
      <c r="AK751" s="82"/>
      <c r="AL751" s="82"/>
      <c r="AM751" s="82"/>
      <c r="AN751" s="82"/>
      <c r="AO751" s="82"/>
      <c r="AP751" s="82"/>
      <c r="AQ751" s="82"/>
      <c r="AR751" s="82"/>
      <c r="AS751" s="82"/>
      <c r="AT751" s="82"/>
      <c r="AU751" s="82"/>
      <c r="AV751" s="82"/>
      <c r="AW751" s="82" t="str">
        <f t="shared" si="1"/>
        <v/>
      </c>
      <c r="AX751" s="83" t="str">
        <f t="array" ref="AX751">IFERROR(DGET('SBV Import'!A:G,"SBV",{"RSC ID","Tier";B751,A751}))</f>
        <v/>
      </c>
      <c r="AY751" s="82" t="str">
        <f t="shared" si="2"/>
        <v/>
      </c>
      <c r="AZ751" s="82"/>
      <c r="BA751" s="84" t="s">
        <v>152</v>
      </c>
      <c r="BB751" s="84" t="str">
        <f>IFERROR(__xludf.DUMMYFUNCTION("iferror(if(A751="""",,E751&gt;=FILTER(Constants!$F$2:$F$10,Constants!$A$2:$A$10=A751)))"),"")</f>
        <v/>
      </c>
    </row>
    <row r="752">
      <c r="A752" s="80"/>
      <c r="B752" s="73"/>
      <c r="C752" s="73"/>
      <c r="D752" s="73"/>
      <c r="E752" s="82"/>
      <c r="F752" s="82"/>
      <c r="G752" s="82"/>
      <c r="H752" s="82"/>
      <c r="I752" s="82"/>
      <c r="J752" s="82"/>
      <c r="K752" s="82"/>
      <c r="L752" s="82"/>
      <c r="M752" s="82"/>
      <c r="N752" s="82"/>
      <c r="O752" s="82"/>
      <c r="P752" s="82"/>
      <c r="Q752" s="82"/>
      <c r="R752" s="82"/>
      <c r="S752" s="82"/>
      <c r="T752" s="82"/>
      <c r="U752" s="82"/>
      <c r="V752" s="82"/>
      <c r="W752" s="82"/>
      <c r="X752" s="82"/>
      <c r="Y752" s="82"/>
      <c r="Z752" s="82"/>
      <c r="AA752" s="82"/>
      <c r="AB752" s="82"/>
      <c r="AC752" s="82"/>
      <c r="AD752" s="82"/>
      <c r="AE752" s="82"/>
      <c r="AF752" s="82"/>
      <c r="AG752" s="82"/>
      <c r="AH752" s="82"/>
      <c r="AI752" s="82"/>
      <c r="AJ752" s="82"/>
      <c r="AK752" s="82"/>
      <c r="AL752" s="82"/>
      <c r="AM752" s="82"/>
      <c r="AN752" s="82"/>
      <c r="AO752" s="82"/>
      <c r="AP752" s="82"/>
      <c r="AQ752" s="82"/>
      <c r="AR752" s="82"/>
      <c r="AS752" s="82"/>
      <c r="AT752" s="82"/>
      <c r="AU752" s="82"/>
      <c r="AV752" s="82"/>
      <c r="AW752" s="82" t="str">
        <f t="shared" si="1"/>
        <v/>
      </c>
      <c r="AX752" s="83" t="str">
        <f t="array" ref="AX752">IFERROR(DGET('SBV Import'!A:G,"SBV",{"RSC ID","Tier";B752,A752}))</f>
        <v/>
      </c>
      <c r="AY752" s="82" t="str">
        <f t="shared" si="2"/>
        <v/>
      </c>
      <c r="AZ752" s="82"/>
      <c r="BA752" s="84" t="s">
        <v>152</v>
      </c>
      <c r="BB752" s="84" t="str">
        <f>IFERROR(__xludf.DUMMYFUNCTION("iferror(if(A752="""",,E752&gt;=FILTER(Constants!$F$2:$F$10,Constants!$A$2:$A$10=A752)))"),"")</f>
        <v/>
      </c>
    </row>
    <row r="753">
      <c r="A753" s="80"/>
      <c r="B753" s="73"/>
      <c r="C753" s="73"/>
      <c r="D753" s="73"/>
      <c r="E753" s="82"/>
      <c r="F753" s="82"/>
      <c r="G753" s="82"/>
      <c r="H753" s="82"/>
      <c r="I753" s="82"/>
      <c r="J753" s="82"/>
      <c r="K753" s="82"/>
      <c r="L753" s="82"/>
      <c r="M753" s="82"/>
      <c r="N753" s="82"/>
      <c r="O753" s="82"/>
      <c r="P753" s="82"/>
      <c r="Q753" s="82"/>
      <c r="R753" s="82"/>
      <c r="S753" s="82"/>
      <c r="T753" s="82"/>
      <c r="U753" s="82"/>
      <c r="V753" s="82"/>
      <c r="W753" s="82"/>
      <c r="X753" s="82"/>
      <c r="Y753" s="82"/>
      <c r="Z753" s="82"/>
      <c r="AA753" s="82"/>
      <c r="AB753" s="82"/>
      <c r="AC753" s="82"/>
      <c r="AD753" s="82"/>
      <c r="AE753" s="82"/>
      <c r="AF753" s="82"/>
      <c r="AG753" s="82"/>
      <c r="AH753" s="82"/>
      <c r="AI753" s="82"/>
      <c r="AJ753" s="82"/>
      <c r="AK753" s="82"/>
      <c r="AL753" s="82"/>
      <c r="AM753" s="82"/>
      <c r="AN753" s="82"/>
      <c r="AO753" s="82"/>
      <c r="AP753" s="82"/>
      <c r="AQ753" s="82"/>
      <c r="AR753" s="82"/>
      <c r="AS753" s="82"/>
      <c r="AT753" s="82"/>
      <c r="AU753" s="82"/>
      <c r="AV753" s="82"/>
      <c r="AW753" s="82" t="str">
        <f t="shared" si="1"/>
        <v/>
      </c>
      <c r="AX753" s="83" t="str">
        <f t="array" ref="AX753">IFERROR(DGET('SBV Import'!A:G,"SBV",{"RSC ID","Tier";B753,A753}))</f>
        <v/>
      </c>
      <c r="AY753" s="82" t="str">
        <f t="shared" si="2"/>
        <v/>
      </c>
      <c r="AZ753" s="82"/>
      <c r="BA753" s="84" t="s">
        <v>152</v>
      </c>
      <c r="BB753" s="84" t="str">
        <f>IFERROR(__xludf.DUMMYFUNCTION("iferror(if(A753="""",,E753&gt;=FILTER(Constants!$F$2:$F$10,Constants!$A$2:$A$10=A753)))"),"")</f>
        <v/>
      </c>
    </row>
    <row r="754">
      <c r="A754" s="80"/>
      <c r="B754" s="73"/>
      <c r="C754" s="73"/>
      <c r="D754" s="73"/>
      <c r="E754" s="82"/>
      <c r="F754" s="82"/>
      <c r="G754" s="82"/>
      <c r="H754" s="82"/>
      <c r="I754" s="82"/>
      <c r="J754" s="82"/>
      <c r="K754" s="82"/>
      <c r="L754" s="82"/>
      <c r="M754" s="82"/>
      <c r="N754" s="82"/>
      <c r="O754" s="82"/>
      <c r="P754" s="82"/>
      <c r="Q754" s="82"/>
      <c r="R754" s="82"/>
      <c r="S754" s="82"/>
      <c r="T754" s="82"/>
      <c r="U754" s="82"/>
      <c r="V754" s="82"/>
      <c r="W754" s="82"/>
      <c r="X754" s="82"/>
      <c r="Y754" s="82"/>
      <c r="Z754" s="82"/>
      <c r="AA754" s="82"/>
      <c r="AB754" s="82"/>
      <c r="AC754" s="82"/>
      <c r="AD754" s="82"/>
      <c r="AE754" s="82"/>
      <c r="AF754" s="82"/>
      <c r="AG754" s="82"/>
      <c r="AH754" s="82"/>
      <c r="AI754" s="82"/>
      <c r="AJ754" s="82"/>
      <c r="AK754" s="82"/>
      <c r="AL754" s="82"/>
      <c r="AM754" s="82"/>
      <c r="AN754" s="82"/>
      <c r="AO754" s="82"/>
      <c r="AP754" s="82"/>
      <c r="AQ754" s="82"/>
      <c r="AR754" s="82"/>
      <c r="AS754" s="82"/>
      <c r="AT754" s="82"/>
      <c r="AU754" s="82"/>
      <c r="AV754" s="82"/>
      <c r="AW754" s="82" t="str">
        <f t="shared" si="1"/>
        <v/>
      </c>
      <c r="AX754" s="83" t="str">
        <f t="array" ref="AX754">IFERROR(DGET('SBV Import'!A:G,"SBV",{"RSC ID","Tier";B754,A754}))</f>
        <v/>
      </c>
      <c r="AY754" s="82" t="str">
        <f t="shared" si="2"/>
        <v/>
      </c>
      <c r="AZ754" s="82"/>
      <c r="BA754" s="84" t="s">
        <v>152</v>
      </c>
      <c r="BB754" s="84" t="str">
        <f>IFERROR(__xludf.DUMMYFUNCTION("iferror(if(A754="""",,E754&gt;=FILTER(Constants!$F$2:$F$10,Constants!$A$2:$A$10=A754)))"),"")</f>
        <v/>
      </c>
    </row>
    <row r="755">
      <c r="A755" s="80"/>
      <c r="B755" s="73"/>
      <c r="C755" s="73"/>
      <c r="D755" s="73"/>
      <c r="E755" s="82"/>
      <c r="F755" s="82"/>
      <c r="G755" s="82"/>
      <c r="H755" s="82"/>
      <c r="I755" s="82"/>
      <c r="J755" s="82"/>
      <c r="K755" s="82"/>
      <c r="L755" s="82"/>
      <c r="M755" s="82"/>
      <c r="N755" s="82"/>
      <c r="O755" s="82"/>
      <c r="P755" s="82"/>
      <c r="Q755" s="82"/>
      <c r="R755" s="82"/>
      <c r="S755" s="82"/>
      <c r="T755" s="82"/>
      <c r="U755" s="82"/>
      <c r="V755" s="82"/>
      <c r="W755" s="82"/>
      <c r="X755" s="82"/>
      <c r="Y755" s="82"/>
      <c r="Z755" s="82"/>
      <c r="AA755" s="82"/>
      <c r="AB755" s="82"/>
      <c r="AC755" s="82"/>
      <c r="AD755" s="82"/>
      <c r="AE755" s="82"/>
      <c r="AF755" s="82"/>
      <c r="AG755" s="82"/>
      <c r="AH755" s="82"/>
      <c r="AI755" s="82"/>
      <c r="AJ755" s="82"/>
      <c r="AK755" s="82"/>
      <c r="AL755" s="82"/>
      <c r="AM755" s="82"/>
      <c r="AN755" s="82"/>
      <c r="AO755" s="82"/>
      <c r="AP755" s="82"/>
      <c r="AQ755" s="82"/>
      <c r="AR755" s="82"/>
      <c r="AS755" s="82"/>
      <c r="AT755" s="82"/>
      <c r="AU755" s="82"/>
      <c r="AV755" s="82"/>
      <c r="AW755" s="82" t="str">
        <f t="shared" si="1"/>
        <v/>
      </c>
      <c r="AX755" s="83" t="str">
        <f t="array" ref="AX755">IFERROR(DGET('SBV Import'!A:G,"SBV",{"RSC ID","Tier";B755,A755}))</f>
        <v/>
      </c>
      <c r="AY755" s="82" t="str">
        <f t="shared" si="2"/>
        <v/>
      </c>
      <c r="AZ755" s="82"/>
      <c r="BA755" s="84" t="s">
        <v>152</v>
      </c>
      <c r="BB755" s="84" t="str">
        <f>IFERROR(__xludf.DUMMYFUNCTION("iferror(if(A755="""",,E755&gt;=FILTER(Constants!$F$2:$F$10,Constants!$A$2:$A$10=A755)))"),"")</f>
        <v/>
      </c>
    </row>
    <row r="756">
      <c r="A756" s="80"/>
      <c r="B756" s="73"/>
      <c r="C756" s="73"/>
      <c r="D756" s="73"/>
      <c r="E756" s="82"/>
      <c r="F756" s="82"/>
      <c r="G756" s="82"/>
      <c r="H756" s="82"/>
      <c r="I756" s="82"/>
      <c r="J756" s="82"/>
      <c r="K756" s="82"/>
      <c r="L756" s="82"/>
      <c r="M756" s="82"/>
      <c r="N756" s="82"/>
      <c r="O756" s="82"/>
      <c r="P756" s="82"/>
      <c r="Q756" s="82"/>
      <c r="R756" s="82"/>
      <c r="S756" s="82"/>
      <c r="T756" s="82"/>
      <c r="U756" s="82"/>
      <c r="V756" s="82"/>
      <c r="W756" s="82"/>
      <c r="X756" s="82"/>
      <c r="Y756" s="82"/>
      <c r="Z756" s="82"/>
      <c r="AA756" s="82"/>
      <c r="AB756" s="82"/>
      <c r="AC756" s="82"/>
      <c r="AD756" s="82"/>
      <c r="AE756" s="82"/>
      <c r="AF756" s="82"/>
      <c r="AG756" s="82"/>
      <c r="AH756" s="82"/>
      <c r="AI756" s="82"/>
      <c r="AJ756" s="82"/>
      <c r="AK756" s="82"/>
      <c r="AL756" s="82"/>
      <c r="AM756" s="82"/>
      <c r="AN756" s="82"/>
      <c r="AO756" s="82"/>
      <c r="AP756" s="82"/>
      <c r="AQ756" s="82"/>
      <c r="AR756" s="82"/>
      <c r="AS756" s="82"/>
      <c r="AT756" s="82"/>
      <c r="AU756" s="82"/>
      <c r="AV756" s="82"/>
      <c r="AW756" s="82" t="str">
        <f t="shared" si="1"/>
        <v/>
      </c>
      <c r="AX756" s="83" t="str">
        <f t="array" ref="AX756">IFERROR(DGET('SBV Import'!A:G,"SBV",{"RSC ID","Tier";B756,A756}))</f>
        <v/>
      </c>
      <c r="AY756" s="82" t="str">
        <f t="shared" si="2"/>
        <v/>
      </c>
      <c r="AZ756" s="82"/>
      <c r="BA756" s="84" t="s">
        <v>152</v>
      </c>
      <c r="BB756" s="84" t="str">
        <f>IFERROR(__xludf.DUMMYFUNCTION("iferror(if(A756="""",,E756&gt;=FILTER(Constants!$F$2:$F$10,Constants!$A$2:$A$10=A756)))"),"")</f>
        <v/>
      </c>
    </row>
    <row r="757">
      <c r="A757" s="80"/>
      <c r="B757" s="73"/>
      <c r="C757" s="73"/>
      <c r="D757" s="73"/>
      <c r="E757" s="82"/>
      <c r="F757" s="82"/>
      <c r="G757" s="82"/>
      <c r="H757" s="82"/>
      <c r="I757" s="82"/>
      <c r="J757" s="82"/>
      <c r="K757" s="82"/>
      <c r="L757" s="82"/>
      <c r="M757" s="82"/>
      <c r="N757" s="82"/>
      <c r="O757" s="82"/>
      <c r="P757" s="82"/>
      <c r="Q757" s="82"/>
      <c r="R757" s="82"/>
      <c r="S757" s="82"/>
      <c r="T757" s="82"/>
      <c r="U757" s="82"/>
      <c r="V757" s="82"/>
      <c r="W757" s="82"/>
      <c r="X757" s="82"/>
      <c r="Y757" s="82"/>
      <c r="Z757" s="82"/>
      <c r="AA757" s="82"/>
      <c r="AB757" s="82"/>
      <c r="AC757" s="82"/>
      <c r="AD757" s="82"/>
      <c r="AE757" s="82"/>
      <c r="AF757" s="82"/>
      <c r="AG757" s="82"/>
      <c r="AH757" s="82"/>
      <c r="AI757" s="82"/>
      <c r="AJ757" s="82"/>
      <c r="AK757" s="82"/>
      <c r="AL757" s="82"/>
      <c r="AM757" s="82"/>
      <c r="AN757" s="82"/>
      <c r="AO757" s="82"/>
      <c r="AP757" s="82"/>
      <c r="AQ757" s="82"/>
      <c r="AR757" s="82"/>
      <c r="AS757" s="82"/>
      <c r="AT757" s="82"/>
      <c r="AU757" s="82"/>
      <c r="AV757" s="82"/>
      <c r="AW757" s="82" t="str">
        <f t="shared" si="1"/>
        <v/>
      </c>
      <c r="AX757" s="83" t="str">
        <f t="array" ref="AX757">IFERROR(DGET('SBV Import'!A:G,"SBV",{"RSC ID","Tier";B757,A757}))</f>
        <v/>
      </c>
      <c r="AY757" s="82" t="str">
        <f t="shared" si="2"/>
        <v/>
      </c>
      <c r="AZ757" s="82"/>
      <c r="BA757" s="84" t="s">
        <v>152</v>
      </c>
      <c r="BB757" s="84" t="str">
        <f>IFERROR(__xludf.DUMMYFUNCTION("iferror(if(A757="""",,E757&gt;=FILTER(Constants!$F$2:$F$10,Constants!$A$2:$A$10=A757)))"),"")</f>
        <v/>
      </c>
    </row>
    <row r="758">
      <c r="A758" s="80"/>
      <c r="B758" s="73"/>
      <c r="C758" s="73"/>
      <c r="D758" s="73"/>
      <c r="E758" s="82"/>
      <c r="F758" s="82"/>
      <c r="G758" s="82"/>
      <c r="H758" s="82"/>
      <c r="I758" s="82"/>
      <c r="J758" s="82"/>
      <c r="K758" s="82"/>
      <c r="L758" s="82"/>
      <c r="M758" s="82"/>
      <c r="N758" s="82"/>
      <c r="O758" s="82"/>
      <c r="P758" s="82"/>
      <c r="Q758" s="82"/>
      <c r="R758" s="82"/>
      <c r="S758" s="82"/>
      <c r="T758" s="82"/>
      <c r="U758" s="82"/>
      <c r="V758" s="82"/>
      <c r="W758" s="82"/>
      <c r="X758" s="82"/>
      <c r="Y758" s="82"/>
      <c r="Z758" s="82"/>
      <c r="AA758" s="82"/>
      <c r="AB758" s="82"/>
      <c r="AC758" s="82"/>
      <c r="AD758" s="82"/>
      <c r="AE758" s="82"/>
      <c r="AF758" s="82"/>
      <c r="AG758" s="82"/>
      <c r="AH758" s="82"/>
      <c r="AI758" s="82"/>
      <c r="AJ758" s="82"/>
      <c r="AK758" s="82"/>
      <c r="AL758" s="82"/>
      <c r="AM758" s="82"/>
      <c r="AN758" s="82"/>
      <c r="AO758" s="82"/>
      <c r="AP758" s="82"/>
      <c r="AQ758" s="82"/>
      <c r="AR758" s="82"/>
      <c r="AS758" s="82"/>
      <c r="AT758" s="82"/>
      <c r="AU758" s="82"/>
      <c r="AV758" s="82"/>
      <c r="AW758" s="82" t="str">
        <f t="shared" si="1"/>
        <v/>
      </c>
      <c r="AX758" s="83" t="str">
        <f t="array" ref="AX758">IFERROR(DGET('SBV Import'!A:G,"SBV",{"RSC ID","Tier";B758,A758}))</f>
        <v/>
      </c>
      <c r="AY758" s="82" t="str">
        <f t="shared" si="2"/>
        <v/>
      </c>
      <c r="AZ758" s="82"/>
      <c r="BA758" s="84" t="s">
        <v>152</v>
      </c>
      <c r="BB758" s="84" t="str">
        <f>IFERROR(__xludf.DUMMYFUNCTION("iferror(if(A758="""",,E758&gt;=FILTER(Constants!$F$2:$F$10,Constants!$A$2:$A$10=A758)))"),"")</f>
        <v/>
      </c>
    </row>
    <row r="759">
      <c r="A759" s="80"/>
      <c r="B759" s="73"/>
      <c r="C759" s="73"/>
      <c r="D759" s="73"/>
      <c r="E759" s="82"/>
      <c r="F759" s="82"/>
      <c r="G759" s="82"/>
      <c r="H759" s="82"/>
      <c r="I759" s="82"/>
      <c r="J759" s="82"/>
      <c r="K759" s="82"/>
      <c r="L759" s="82"/>
      <c r="M759" s="82"/>
      <c r="N759" s="82"/>
      <c r="O759" s="82"/>
      <c r="P759" s="82"/>
      <c r="Q759" s="82"/>
      <c r="R759" s="82"/>
      <c r="S759" s="82"/>
      <c r="T759" s="82"/>
      <c r="U759" s="82"/>
      <c r="V759" s="82"/>
      <c r="W759" s="82"/>
      <c r="X759" s="82"/>
      <c r="Y759" s="82"/>
      <c r="Z759" s="82"/>
      <c r="AA759" s="82"/>
      <c r="AB759" s="82"/>
      <c r="AC759" s="82"/>
      <c r="AD759" s="82"/>
      <c r="AE759" s="82"/>
      <c r="AF759" s="82"/>
      <c r="AG759" s="82"/>
      <c r="AH759" s="82"/>
      <c r="AI759" s="82"/>
      <c r="AJ759" s="82"/>
      <c r="AK759" s="82"/>
      <c r="AL759" s="82"/>
      <c r="AM759" s="82"/>
      <c r="AN759" s="82"/>
      <c r="AO759" s="82"/>
      <c r="AP759" s="82"/>
      <c r="AQ759" s="82"/>
      <c r="AR759" s="82"/>
      <c r="AS759" s="82"/>
      <c r="AT759" s="82"/>
      <c r="AU759" s="82"/>
      <c r="AV759" s="82"/>
      <c r="AW759" s="82" t="str">
        <f t="shared" si="1"/>
        <v/>
      </c>
      <c r="AX759" s="83" t="str">
        <f t="array" ref="AX759">IFERROR(DGET('SBV Import'!A:G,"SBV",{"RSC ID","Tier";B759,A759}))</f>
        <v/>
      </c>
      <c r="AY759" s="82" t="str">
        <f t="shared" si="2"/>
        <v/>
      </c>
      <c r="AZ759" s="82"/>
      <c r="BA759" s="84" t="s">
        <v>152</v>
      </c>
      <c r="BB759" s="84" t="str">
        <f>IFERROR(__xludf.DUMMYFUNCTION("iferror(if(A759="""",,E759&gt;=FILTER(Constants!$F$2:$F$10,Constants!$A$2:$A$10=A759)))"),"")</f>
        <v/>
      </c>
    </row>
    <row r="760">
      <c r="A760" s="80"/>
      <c r="B760" s="73"/>
      <c r="C760" s="73"/>
      <c r="D760" s="73"/>
      <c r="E760" s="82"/>
      <c r="F760" s="82"/>
      <c r="G760" s="82"/>
      <c r="H760" s="82"/>
      <c r="I760" s="82"/>
      <c r="J760" s="82"/>
      <c r="K760" s="82"/>
      <c r="L760" s="82"/>
      <c r="M760" s="82"/>
      <c r="N760" s="82"/>
      <c r="O760" s="82"/>
      <c r="P760" s="82"/>
      <c r="Q760" s="82"/>
      <c r="R760" s="82"/>
      <c r="S760" s="82"/>
      <c r="T760" s="82"/>
      <c r="U760" s="82"/>
      <c r="V760" s="82"/>
      <c r="W760" s="82"/>
      <c r="X760" s="82"/>
      <c r="Y760" s="82"/>
      <c r="Z760" s="82"/>
      <c r="AA760" s="82"/>
      <c r="AB760" s="82"/>
      <c r="AC760" s="82"/>
      <c r="AD760" s="82"/>
      <c r="AE760" s="82"/>
      <c r="AF760" s="82"/>
      <c r="AG760" s="82"/>
      <c r="AH760" s="82"/>
      <c r="AI760" s="82"/>
      <c r="AJ760" s="82"/>
      <c r="AK760" s="82"/>
      <c r="AL760" s="82"/>
      <c r="AM760" s="82"/>
      <c r="AN760" s="82"/>
      <c r="AO760" s="82"/>
      <c r="AP760" s="82"/>
      <c r="AQ760" s="82"/>
      <c r="AR760" s="82"/>
      <c r="AS760" s="82"/>
      <c r="AT760" s="82"/>
      <c r="AU760" s="82"/>
      <c r="AV760" s="82"/>
      <c r="AW760" s="82" t="str">
        <f t="shared" si="1"/>
        <v/>
      </c>
      <c r="AX760" s="83" t="str">
        <f t="array" ref="AX760">IFERROR(DGET('SBV Import'!A:G,"SBV",{"RSC ID","Tier";B760,A760}))</f>
        <v/>
      </c>
      <c r="AY760" s="82" t="str">
        <f t="shared" si="2"/>
        <v/>
      </c>
      <c r="AZ760" s="82"/>
      <c r="BA760" s="84" t="s">
        <v>152</v>
      </c>
      <c r="BB760" s="84" t="str">
        <f>IFERROR(__xludf.DUMMYFUNCTION("iferror(if(A760="""",,E760&gt;=FILTER(Constants!$F$2:$F$10,Constants!$A$2:$A$10=A760)))"),"")</f>
        <v/>
      </c>
    </row>
    <row r="761">
      <c r="A761" s="80"/>
      <c r="B761" s="73"/>
      <c r="C761" s="73"/>
      <c r="D761" s="73"/>
      <c r="E761" s="82"/>
      <c r="F761" s="82"/>
      <c r="G761" s="82"/>
      <c r="H761" s="82"/>
      <c r="I761" s="82"/>
      <c r="J761" s="82"/>
      <c r="K761" s="82"/>
      <c r="L761" s="82"/>
      <c r="M761" s="82"/>
      <c r="N761" s="82"/>
      <c r="O761" s="82"/>
      <c r="P761" s="82"/>
      <c r="Q761" s="82"/>
      <c r="R761" s="82"/>
      <c r="S761" s="82"/>
      <c r="T761" s="82"/>
      <c r="U761" s="82"/>
      <c r="V761" s="82"/>
      <c r="W761" s="82"/>
      <c r="X761" s="82"/>
      <c r="Y761" s="82"/>
      <c r="Z761" s="82"/>
      <c r="AA761" s="82"/>
      <c r="AB761" s="82"/>
      <c r="AC761" s="82"/>
      <c r="AD761" s="82"/>
      <c r="AE761" s="82"/>
      <c r="AF761" s="82"/>
      <c r="AG761" s="82"/>
      <c r="AH761" s="82"/>
      <c r="AI761" s="82"/>
      <c r="AJ761" s="82"/>
      <c r="AK761" s="82"/>
      <c r="AL761" s="82"/>
      <c r="AM761" s="82"/>
      <c r="AN761" s="82"/>
      <c r="AO761" s="82"/>
      <c r="AP761" s="82"/>
      <c r="AQ761" s="82"/>
      <c r="AR761" s="82"/>
      <c r="AS761" s="82"/>
      <c r="AT761" s="82"/>
      <c r="AU761" s="82"/>
      <c r="AV761" s="82"/>
      <c r="AW761" s="82" t="str">
        <f t="shared" si="1"/>
        <v/>
      </c>
      <c r="AX761" s="83" t="str">
        <f t="array" ref="AX761">IFERROR(DGET('SBV Import'!A:G,"SBV",{"RSC ID","Tier";B761,A761}))</f>
        <v/>
      </c>
      <c r="AY761" s="82" t="str">
        <f t="shared" si="2"/>
        <v/>
      </c>
      <c r="AZ761" s="82"/>
      <c r="BA761" s="84" t="s">
        <v>152</v>
      </c>
      <c r="BB761" s="84" t="str">
        <f>IFERROR(__xludf.DUMMYFUNCTION("iferror(if(A761="""",,E761&gt;=FILTER(Constants!$F$2:$F$10,Constants!$A$2:$A$10=A761)))"),"")</f>
        <v/>
      </c>
    </row>
    <row r="762">
      <c r="A762" s="80"/>
      <c r="B762" s="73"/>
      <c r="C762" s="73"/>
      <c r="D762" s="73"/>
      <c r="E762" s="82"/>
      <c r="F762" s="82"/>
      <c r="G762" s="82"/>
      <c r="H762" s="82"/>
      <c r="I762" s="82"/>
      <c r="J762" s="82"/>
      <c r="K762" s="82"/>
      <c r="L762" s="82"/>
      <c r="M762" s="82"/>
      <c r="N762" s="82"/>
      <c r="O762" s="82"/>
      <c r="P762" s="82"/>
      <c r="Q762" s="82"/>
      <c r="R762" s="82"/>
      <c r="S762" s="82"/>
      <c r="T762" s="82"/>
      <c r="U762" s="82"/>
      <c r="V762" s="82"/>
      <c r="W762" s="82"/>
      <c r="X762" s="82"/>
      <c r="Y762" s="82"/>
      <c r="Z762" s="82"/>
      <c r="AA762" s="82"/>
      <c r="AB762" s="82"/>
      <c r="AC762" s="82"/>
      <c r="AD762" s="82"/>
      <c r="AE762" s="82"/>
      <c r="AF762" s="82"/>
      <c r="AG762" s="82"/>
      <c r="AH762" s="82"/>
      <c r="AI762" s="82"/>
      <c r="AJ762" s="82"/>
      <c r="AK762" s="82"/>
      <c r="AL762" s="82"/>
      <c r="AM762" s="82"/>
      <c r="AN762" s="82"/>
      <c r="AO762" s="82"/>
      <c r="AP762" s="82"/>
      <c r="AQ762" s="82"/>
      <c r="AR762" s="82"/>
      <c r="AS762" s="82"/>
      <c r="AT762" s="82"/>
      <c r="AU762" s="82"/>
      <c r="AV762" s="82"/>
      <c r="AW762" s="82" t="str">
        <f t="shared" si="1"/>
        <v/>
      </c>
      <c r="AX762" s="83" t="str">
        <f t="array" ref="AX762">IFERROR(DGET('SBV Import'!A:G,"SBV",{"RSC ID","Tier";B762,A762}))</f>
        <v/>
      </c>
      <c r="AY762" s="82" t="str">
        <f t="shared" si="2"/>
        <v/>
      </c>
      <c r="AZ762" s="82"/>
      <c r="BA762" s="84" t="s">
        <v>152</v>
      </c>
      <c r="BB762" s="84" t="str">
        <f>IFERROR(__xludf.DUMMYFUNCTION("iferror(if(A762="""",,E762&gt;=FILTER(Constants!$F$2:$F$10,Constants!$A$2:$A$10=A762)))"),"")</f>
        <v/>
      </c>
    </row>
    <row r="763">
      <c r="A763" s="80"/>
      <c r="B763" s="73"/>
      <c r="C763" s="73"/>
      <c r="D763" s="73"/>
      <c r="E763" s="82"/>
      <c r="F763" s="82"/>
      <c r="G763" s="82"/>
      <c r="H763" s="82"/>
      <c r="I763" s="82"/>
      <c r="J763" s="82"/>
      <c r="K763" s="82"/>
      <c r="L763" s="82"/>
      <c r="M763" s="82"/>
      <c r="N763" s="82"/>
      <c r="O763" s="82"/>
      <c r="P763" s="82"/>
      <c r="Q763" s="82"/>
      <c r="R763" s="82"/>
      <c r="S763" s="82"/>
      <c r="T763" s="82"/>
      <c r="U763" s="82"/>
      <c r="V763" s="82"/>
      <c r="W763" s="82"/>
      <c r="X763" s="82"/>
      <c r="Y763" s="82"/>
      <c r="Z763" s="82"/>
      <c r="AA763" s="82"/>
      <c r="AB763" s="82"/>
      <c r="AC763" s="82"/>
      <c r="AD763" s="82"/>
      <c r="AE763" s="82"/>
      <c r="AF763" s="82"/>
      <c r="AG763" s="82"/>
      <c r="AH763" s="82"/>
      <c r="AI763" s="82"/>
      <c r="AJ763" s="82"/>
      <c r="AK763" s="82"/>
      <c r="AL763" s="82"/>
      <c r="AM763" s="82"/>
      <c r="AN763" s="82"/>
      <c r="AO763" s="82"/>
      <c r="AP763" s="82"/>
      <c r="AQ763" s="82"/>
      <c r="AR763" s="82"/>
      <c r="AS763" s="82"/>
      <c r="AT763" s="82"/>
      <c r="AU763" s="82"/>
      <c r="AV763" s="82"/>
      <c r="AW763" s="82" t="str">
        <f t="shared" si="1"/>
        <v/>
      </c>
      <c r="AX763" s="83" t="str">
        <f t="array" ref="AX763">IFERROR(DGET('SBV Import'!A:G,"SBV",{"RSC ID","Tier";B763,A763}))</f>
        <v/>
      </c>
      <c r="AY763" s="82" t="str">
        <f t="shared" si="2"/>
        <v/>
      </c>
      <c r="AZ763" s="82"/>
      <c r="BA763" s="84" t="s">
        <v>152</v>
      </c>
      <c r="BB763" s="84" t="str">
        <f>IFERROR(__xludf.DUMMYFUNCTION("iferror(if(A763="""",,E763&gt;=FILTER(Constants!$F$2:$F$10,Constants!$A$2:$A$10=A763)))"),"")</f>
        <v/>
      </c>
    </row>
    <row r="764">
      <c r="A764" s="80"/>
      <c r="B764" s="73"/>
      <c r="C764" s="73"/>
      <c r="D764" s="73"/>
      <c r="E764" s="82"/>
      <c r="F764" s="82"/>
      <c r="G764" s="82"/>
      <c r="H764" s="82"/>
      <c r="I764" s="82"/>
      <c r="J764" s="82"/>
      <c r="K764" s="82"/>
      <c r="L764" s="82"/>
      <c r="M764" s="82"/>
      <c r="N764" s="82"/>
      <c r="O764" s="82"/>
      <c r="P764" s="82"/>
      <c r="Q764" s="82"/>
      <c r="R764" s="82"/>
      <c r="S764" s="82"/>
      <c r="T764" s="82"/>
      <c r="U764" s="82"/>
      <c r="V764" s="82"/>
      <c r="W764" s="82"/>
      <c r="X764" s="82"/>
      <c r="Y764" s="82"/>
      <c r="Z764" s="82"/>
      <c r="AA764" s="82"/>
      <c r="AB764" s="82"/>
      <c r="AC764" s="82"/>
      <c r="AD764" s="82"/>
      <c r="AE764" s="82"/>
      <c r="AF764" s="82"/>
      <c r="AG764" s="82"/>
      <c r="AH764" s="82"/>
      <c r="AI764" s="82"/>
      <c r="AJ764" s="82"/>
      <c r="AK764" s="82"/>
      <c r="AL764" s="82"/>
      <c r="AM764" s="82"/>
      <c r="AN764" s="82"/>
      <c r="AO764" s="82"/>
      <c r="AP764" s="82"/>
      <c r="AQ764" s="82"/>
      <c r="AR764" s="82"/>
      <c r="AS764" s="82"/>
      <c r="AT764" s="82"/>
      <c r="AU764" s="82"/>
      <c r="AV764" s="82"/>
      <c r="AW764" s="82" t="str">
        <f t="shared" si="1"/>
        <v/>
      </c>
      <c r="AX764" s="83" t="str">
        <f t="array" ref="AX764">IFERROR(DGET('SBV Import'!A:G,"SBV",{"RSC ID","Tier";B764,A764}))</f>
        <v/>
      </c>
      <c r="AY764" s="82" t="str">
        <f t="shared" si="2"/>
        <v/>
      </c>
      <c r="AZ764" s="82"/>
      <c r="BA764" s="84" t="s">
        <v>152</v>
      </c>
      <c r="BB764" s="84" t="str">
        <f>IFERROR(__xludf.DUMMYFUNCTION("iferror(if(A764="""",,E764&gt;=FILTER(Constants!$F$2:$F$10,Constants!$A$2:$A$10=A764)))"),"")</f>
        <v/>
      </c>
    </row>
    <row r="765">
      <c r="A765" s="80"/>
      <c r="B765" s="73"/>
      <c r="C765" s="73"/>
      <c r="D765" s="73"/>
      <c r="E765" s="82"/>
      <c r="F765" s="82"/>
      <c r="G765" s="82"/>
      <c r="H765" s="82"/>
      <c r="I765" s="82"/>
      <c r="J765" s="82"/>
      <c r="K765" s="82"/>
      <c r="L765" s="82"/>
      <c r="M765" s="82"/>
      <c r="N765" s="82"/>
      <c r="O765" s="82"/>
      <c r="P765" s="82"/>
      <c r="Q765" s="82"/>
      <c r="R765" s="82"/>
      <c r="S765" s="82"/>
      <c r="T765" s="82"/>
      <c r="U765" s="82"/>
      <c r="V765" s="82"/>
      <c r="W765" s="82"/>
      <c r="X765" s="82"/>
      <c r="Y765" s="82"/>
      <c r="Z765" s="82"/>
      <c r="AA765" s="82"/>
      <c r="AB765" s="82"/>
      <c r="AC765" s="82"/>
      <c r="AD765" s="82"/>
      <c r="AE765" s="82"/>
      <c r="AF765" s="82"/>
      <c r="AG765" s="82"/>
      <c r="AH765" s="82"/>
      <c r="AI765" s="82"/>
      <c r="AJ765" s="82"/>
      <c r="AK765" s="82"/>
      <c r="AL765" s="82"/>
      <c r="AM765" s="82"/>
      <c r="AN765" s="82"/>
      <c r="AO765" s="82"/>
      <c r="AP765" s="82"/>
      <c r="AQ765" s="82"/>
      <c r="AR765" s="82"/>
      <c r="AS765" s="82"/>
      <c r="AT765" s="82"/>
      <c r="AU765" s="82"/>
      <c r="AV765" s="82"/>
      <c r="AW765" s="82" t="str">
        <f t="shared" si="1"/>
        <v/>
      </c>
      <c r="AX765" s="83" t="str">
        <f t="array" ref="AX765">IFERROR(DGET('SBV Import'!A:G,"SBV",{"RSC ID","Tier";B765,A765}))</f>
        <v/>
      </c>
      <c r="AY765" s="82" t="str">
        <f t="shared" si="2"/>
        <v/>
      </c>
      <c r="AZ765" s="82"/>
      <c r="BA765" s="84" t="s">
        <v>152</v>
      </c>
      <c r="BB765" s="84" t="str">
        <f>IFERROR(__xludf.DUMMYFUNCTION("iferror(if(A765="""",,E765&gt;=FILTER(Constants!$F$2:$F$10,Constants!$A$2:$A$10=A765)))"),"")</f>
        <v/>
      </c>
    </row>
    <row r="766">
      <c r="A766" s="80"/>
      <c r="B766" s="73"/>
      <c r="C766" s="73"/>
      <c r="D766" s="73"/>
      <c r="E766" s="82"/>
      <c r="F766" s="82"/>
      <c r="G766" s="82"/>
      <c r="H766" s="82"/>
      <c r="I766" s="82"/>
      <c r="J766" s="82"/>
      <c r="K766" s="82"/>
      <c r="L766" s="82"/>
      <c r="M766" s="82"/>
      <c r="N766" s="82"/>
      <c r="O766" s="82"/>
      <c r="P766" s="82"/>
      <c r="Q766" s="82"/>
      <c r="R766" s="82"/>
      <c r="S766" s="82"/>
      <c r="T766" s="82"/>
      <c r="U766" s="82"/>
      <c r="V766" s="82"/>
      <c r="W766" s="82"/>
      <c r="X766" s="82"/>
      <c r="Y766" s="82"/>
      <c r="Z766" s="82"/>
      <c r="AA766" s="82"/>
      <c r="AB766" s="82"/>
      <c r="AC766" s="82"/>
      <c r="AD766" s="82"/>
      <c r="AE766" s="82"/>
      <c r="AF766" s="82"/>
      <c r="AG766" s="82"/>
      <c r="AH766" s="82"/>
      <c r="AI766" s="82"/>
      <c r="AJ766" s="82"/>
      <c r="AK766" s="82"/>
      <c r="AL766" s="82"/>
      <c r="AM766" s="82"/>
      <c r="AN766" s="82"/>
      <c r="AO766" s="82"/>
      <c r="AP766" s="82"/>
      <c r="AQ766" s="82"/>
      <c r="AR766" s="82"/>
      <c r="AS766" s="82"/>
      <c r="AT766" s="82"/>
      <c r="AU766" s="82"/>
      <c r="AV766" s="82"/>
      <c r="AW766" s="82" t="str">
        <f t="shared" si="1"/>
        <v/>
      </c>
      <c r="AX766" s="83" t="str">
        <f t="array" ref="AX766">IFERROR(DGET('SBV Import'!A:G,"SBV",{"RSC ID","Tier";B766,A766}))</f>
        <v/>
      </c>
      <c r="AY766" s="82" t="str">
        <f t="shared" si="2"/>
        <v/>
      </c>
      <c r="AZ766" s="82"/>
      <c r="BA766" s="84" t="s">
        <v>152</v>
      </c>
      <c r="BB766" s="84" t="str">
        <f>IFERROR(__xludf.DUMMYFUNCTION("iferror(if(A766="""",,E766&gt;=FILTER(Constants!$F$2:$F$10,Constants!$A$2:$A$10=A766)))"),"")</f>
        <v/>
      </c>
    </row>
    <row r="767">
      <c r="A767" s="80"/>
      <c r="B767" s="73"/>
      <c r="C767" s="73"/>
      <c r="D767" s="73"/>
      <c r="E767" s="82"/>
      <c r="F767" s="82"/>
      <c r="G767" s="82"/>
      <c r="H767" s="82"/>
      <c r="I767" s="82"/>
      <c r="J767" s="82"/>
      <c r="K767" s="82"/>
      <c r="L767" s="82"/>
      <c r="M767" s="82"/>
      <c r="N767" s="82"/>
      <c r="O767" s="82"/>
      <c r="P767" s="82"/>
      <c r="Q767" s="82"/>
      <c r="R767" s="82"/>
      <c r="S767" s="82"/>
      <c r="T767" s="82"/>
      <c r="U767" s="82"/>
      <c r="V767" s="82"/>
      <c r="W767" s="82"/>
      <c r="X767" s="82"/>
      <c r="Y767" s="82"/>
      <c r="Z767" s="82"/>
      <c r="AA767" s="82"/>
      <c r="AB767" s="82"/>
      <c r="AC767" s="82"/>
      <c r="AD767" s="82"/>
      <c r="AE767" s="82"/>
      <c r="AF767" s="82"/>
      <c r="AG767" s="82"/>
      <c r="AH767" s="82"/>
      <c r="AI767" s="82"/>
      <c r="AJ767" s="82"/>
      <c r="AK767" s="82"/>
      <c r="AL767" s="82"/>
      <c r="AM767" s="82"/>
      <c r="AN767" s="82"/>
      <c r="AO767" s="82"/>
      <c r="AP767" s="82"/>
      <c r="AQ767" s="82"/>
      <c r="AR767" s="82"/>
      <c r="AS767" s="82"/>
      <c r="AT767" s="82"/>
      <c r="AU767" s="82"/>
      <c r="AV767" s="82"/>
      <c r="AW767" s="82" t="str">
        <f t="shared" si="1"/>
        <v/>
      </c>
      <c r="AX767" s="83" t="str">
        <f t="array" ref="AX767">IFERROR(DGET('SBV Import'!A:G,"SBV",{"RSC ID","Tier";B767,A767}))</f>
        <v/>
      </c>
      <c r="AY767" s="82" t="str">
        <f t="shared" si="2"/>
        <v/>
      </c>
      <c r="AZ767" s="82"/>
      <c r="BA767" s="84" t="s">
        <v>152</v>
      </c>
      <c r="BB767" s="84" t="str">
        <f>IFERROR(__xludf.DUMMYFUNCTION("iferror(if(A767="""",,E767&gt;=FILTER(Constants!$F$2:$F$10,Constants!$A$2:$A$10=A767)))"),"")</f>
        <v/>
      </c>
    </row>
    <row r="768">
      <c r="A768" s="80"/>
      <c r="B768" s="73"/>
      <c r="C768" s="73"/>
      <c r="D768" s="73"/>
      <c r="E768" s="82"/>
      <c r="F768" s="82"/>
      <c r="G768" s="82"/>
      <c r="H768" s="82"/>
      <c r="I768" s="82"/>
      <c r="J768" s="82"/>
      <c r="K768" s="82"/>
      <c r="L768" s="82"/>
      <c r="M768" s="82"/>
      <c r="N768" s="82"/>
      <c r="O768" s="82"/>
      <c r="P768" s="82"/>
      <c r="Q768" s="82"/>
      <c r="R768" s="82"/>
      <c r="S768" s="82"/>
      <c r="T768" s="82"/>
      <c r="U768" s="82"/>
      <c r="V768" s="82"/>
      <c r="W768" s="82"/>
      <c r="X768" s="82"/>
      <c r="Y768" s="82"/>
      <c r="Z768" s="82"/>
      <c r="AA768" s="82"/>
      <c r="AB768" s="82"/>
      <c r="AC768" s="82"/>
      <c r="AD768" s="82"/>
      <c r="AE768" s="82"/>
      <c r="AF768" s="82"/>
      <c r="AG768" s="82"/>
      <c r="AH768" s="82"/>
      <c r="AI768" s="82"/>
      <c r="AJ768" s="82"/>
      <c r="AK768" s="82"/>
      <c r="AL768" s="82"/>
      <c r="AM768" s="82"/>
      <c r="AN768" s="82"/>
      <c r="AO768" s="82"/>
      <c r="AP768" s="82"/>
      <c r="AQ768" s="82"/>
      <c r="AR768" s="82"/>
      <c r="AS768" s="82"/>
      <c r="AT768" s="82"/>
      <c r="AU768" s="82"/>
      <c r="AV768" s="82"/>
      <c r="AW768" s="82" t="str">
        <f t="shared" si="1"/>
        <v/>
      </c>
      <c r="AX768" s="83" t="str">
        <f t="array" ref="AX768">IFERROR(DGET('SBV Import'!A:G,"SBV",{"RSC ID","Tier";B768,A768}))</f>
        <v/>
      </c>
      <c r="AY768" s="82" t="str">
        <f t="shared" si="2"/>
        <v/>
      </c>
      <c r="AZ768" s="82"/>
      <c r="BA768" s="84" t="s">
        <v>152</v>
      </c>
      <c r="BB768" s="84" t="str">
        <f>IFERROR(__xludf.DUMMYFUNCTION("iferror(if(A768="""",,E768&gt;=FILTER(Constants!$F$2:$F$10,Constants!$A$2:$A$10=A768)))"),"")</f>
        <v/>
      </c>
    </row>
    <row r="769">
      <c r="A769" s="80"/>
      <c r="B769" s="73"/>
      <c r="C769" s="73"/>
      <c r="D769" s="73"/>
      <c r="E769" s="82"/>
      <c r="F769" s="82"/>
      <c r="G769" s="82"/>
      <c r="H769" s="82"/>
      <c r="I769" s="82"/>
      <c r="J769" s="82"/>
      <c r="K769" s="82"/>
      <c r="L769" s="82"/>
      <c r="M769" s="82"/>
      <c r="N769" s="82"/>
      <c r="O769" s="82"/>
      <c r="P769" s="82"/>
      <c r="Q769" s="82"/>
      <c r="R769" s="82"/>
      <c r="S769" s="82"/>
      <c r="T769" s="82"/>
      <c r="U769" s="82"/>
      <c r="V769" s="82"/>
      <c r="W769" s="82"/>
      <c r="X769" s="82"/>
      <c r="Y769" s="82"/>
      <c r="Z769" s="82"/>
      <c r="AA769" s="82"/>
      <c r="AB769" s="82"/>
      <c r="AC769" s="82"/>
      <c r="AD769" s="82"/>
      <c r="AE769" s="82"/>
      <c r="AF769" s="82"/>
      <c r="AG769" s="82"/>
      <c r="AH769" s="82"/>
      <c r="AI769" s="82"/>
      <c r="AJ769" s="82"/>
      <c r="AK769" s="82"/>
      <c r="AL769" s="82"/>
      <c r="AM769" s="82"/>
      <c r="AN769" s="82"/>
      <c r="AO769" s="82"/>
      <c r="AP769" s="82"/>
      <c r="AQ769" s="82"/>
      <c r="AR769" s="82"/>
      <c r="AS769" s="82"/>
      <c r="AT769" s="82"/>
      <c r="AU769" s="82"/>
      <c r="AV769" s="82"/>
      <c r="AW769" s="82" t="str">
        <f t="shared" si="1"/>
        <v/>
      </c>
      <c r="AX769" s="83" t="str">
        <f t="array" ref="AX769">IFERROR(DGET('SBV Import'!A:G,"SBV",{"RSC ID","Tier";B769,A769}))</f>
        <v/>
      </c>
      <c r="AY769" s="82" t="str">
        <f t="shared" si="2"/>
        <v/>
      </c>
      <c r="AZ769" s="82"/>
      <c r="BA769" s="84" t="s">
        <v>152</v>
      </c>
      <c r="BB769" s="84" t="str">
        <f>IFERROR(__xludf.DUMMYFUNCTION("iferror(if(A769="""",,E769&gt;=FILTER(Constants!$F$2:$F$10,Constants!$A$2:$A$10=A769)))"),"")</f>
        <v/>
      </c>
    </row>
    <row r="770">
      <c r="A770" s="80"/>
      <c r="B770" s="73"/>
      <c r="C770" s="73"/>
      <c r="D770" s="73"/>
      <c r="E770" s="82"/>
      <c r="F770" s="82"/>
      <c r="G770" s="82"/>
      <c r="H770" s="82"/>
      <c r="I770" s="82"/>
      <c r="J770" s="82"/>
      <c r="K770" s="82"/>
      <c r="L770" s="82"/>
      <c r="M770" s="82"/>
      <c r="N770" s="82"/>
      <c r="O770" s="82"/>
      <c r="P770" s="82"/>
      <c r="Q770" s="82"/>
      <c r="R770" s="82"/>
      <c r="S770" s="82"/>
      <c r="T770" s="82"/>
      <c r="U770" s="82"/>
      <c r="V770" s="82"/>
      <c r="W770" s="82"/>
      <c r="X770" s="82"/>
      <c r="Y770" s="82"/>
      <c r="Z770" s="82"/>
      <c r="AA770" s="82"/>
      <c r="AB770" s="82"/>
      <c r="AC770" s="82"/>
      <c r="AD770" s="82"/>
      <c r="AE770" s="82"/>
      <c r="AF770" s="82"/>
      <c r="AG770" s="82"/>
      <c r="AH770" s="82"/>
      <c r="AI770" s="82"/>
      <c r="AJ770" s="82"/>
      <c r="AK770" s="82"/>
      <c r="AL770" s="82"/>
      <c r="AM770" s="82"/>
      <c r="AN770" s="82"/>
      <c r="AO770" s="82"/>
      <c r="AP770" s="82"/>
      <c r="AQ770" s="82"/>
      <c r="AR770" s="82"/>
      <c r="AS770" s="82"/>
      <c r="AT770" s="82"/>
      <c r="AU770" s="82"/>
      <c r="AV770" s="82"/>
      <c r="AW770" s="82" t="str">
        <f t="shared" si="1"/>
        <v/>
      </c>
      <c r="AX770" s="83" t="str">
        <f t="array" ref="AX770">IFERROR(DGET('SBV Import'!A:G,"SBV",{"RSC ID","Tier";B770,A770}))</f>
        <v/>
      </c>
      <c r="AY770" s="82" t="str">
        <f t="shared" si="2"/>
        <v/>
      </c>
      <c r="AZ770" s="82"/>
      <c r="BA770" s="84" t="s">
        <v>152</v>
      </c>
      <c r="BB770" s="84" t="str">
        <f>IFERROR(__xludf.DUMMYFUNCTION("iferror(if(A770="""",,E770&gt;=FILTER(Constants!$F$2:$F$10,Constants!$A$2:$A$10=A770)))"),"")</f>
        <v/>
      </c>
    </row>
    <row r="771">
      <c r="A771" s="80"/>
      <c r="B771" s="73"/>
      <c r="C771" s="73"/>
      <c r="D771" s="73"/>
      <c r="E771" s="82"/>
      <c r="F771" s="82"/>
      <c r="G771" s="82"/>
      <c r="H771" s="82"/>
      <c r="I771" s="82"/>
      <c r="J771" s="82"/>
      <c r="K771" s="82"/>
      <c r="L771" s="82"/>
      <c r="M771" s="82"/>
      <c r="N771" s="82"/>
      <c r="O771" s="82"/>
      <c r="P771" s="82"/>
      <c r="Q771" s="82"/>
      <c r="R771" s="82"/>
      <c r="S771" s="82"/>
      <c r="T771" s="82"/>
      <c r="U771" s="82"/>
      <c r="V771" s="82"/>
      <c r="W771" s="82"/>
      <c r="X771" s="82"/>
      <c r="Y771" s="82"/>
      <c r="Z771" s="82"/>
      <c r="AA771" s="82"/>
      <c r="AB771" s="82"/>
      <c r="AC771" s="82"/>
      <c r="AD771" s="82"/>
      <c r="AE771" s="82"/>
      <c r="AF771" s="82"/>
      <c r="AG771" s="82"/>
      <c r="AH771" s="82"/>
      <c r="AI771" s="82"/>
      <c r="AJ771" s="82"/>
      <c r="AK771" s="82"/>
      <c r="AL771" s="82"/>
      <c r="AM771" s="82"/>
      <c r="AN771" s="82"/>
      <c r="AO771" s="82"/>
      <c r="AP771" s="82"/>
      <c r="AQ771" s="82"/>
      <c r="AR771" s="82"/>
      <c r="AS771" s="82"/>
      <c r="AT771" s="82"/>
      <c r="AU771" s="82"/>
      <c r="AV771" s="82"/>
      <c r="AW771" s="82" t="str">
        <f t="shared" si="1"/>
        <v/>
      </c>
      <c r="AX771" s="83" t="str">
        <f t="array" ref="AX771">IFERROR(DGET('SBV Import'!A:G,"SBV",{"RSC ID","Tier";B771,A771}))</f>
        <v/>
      </c>
      <c r="AY771" s="82" t="str">
        <f t="shared" si="2"/>
        <v/>
      </c>
      <c r="AZ771" s="82"/>
      <c r="BA771" s="84" t="s">
        <v>152</v>
      </c>
      <c r="BB771" s="84" t="str">
        <f>IFERROR(__xludf.DUMMYFUNCTION("iferror(if(A771="""",,E771&gt;=FILTER(Constants!$F$2:$F$10,Constants!$A$2:$A$10=A771)))"),"")</f>
        <v/>
      </c>
    </row>
    <row r="772">
      <c r="A772" s="80"/>
      <c r="B772" s="73"/>
      <c r="C772" s="73"/>
      <c r="D772" s="73"/>
      <c r="E772" s="82"/>
      <c r="F772" s="82"/>
      <c r="G772" s="82"/>
      <c r="H772" s="82"/>
      <c r="I772" s="82"/>
      <c r="J772" s="82"/>
      <c r="K772" s="82"/>
      <c r="L772" s="82"/>
      <c r="M772" s="82"/>
      <c r="N772" s="82"/>
      <c r="O772" s="82"/>
      <c r="P772" s="82"/>
      <c r="Q772" s="82"/>
      <c r="R772" s="82"/>
      <c r="S772" s="82"/>
      <c r="T772" s="82"/>
      <c r="U772" s="82"/>
      <c r="V772" s="82"/>
      <c r="W772" s="82"/>
      <c r="X772" s="82"/>
      <c r="Y772" s="82"/>
      <c r="Z772" s="82"/>
      <c r="AA772" s="82"/>
      <c r="AB772" s="82"/>
      <c r="AC772" s="82"/>
      <c r="AD772" s="82"/>
      <c r="AE772" s="82"/>
      <c r="AF772" s="82"/>
      <c r="AG772" s="82"/>
      <c r="AH772" s="82"/>
      <c r="AI772" s="82"/>
      <c r="AJ772" s="82"/>
      <c r="AK772" s="82"/>
      <c r="AL772" s="82"/>
      <c r="AM772" s="82"/>
      <c r="AN772" s="82"/>
      <c r="AO772" s="82"/>
      <c r="AP772" s="82"/>
      <c r="AQ772" s="82"/>
      <c r="AR772" s="82"/>
      <c r="AS772" s="82"/>
      <c r="AT772" s="82"/>
      <c r="AU772" s="82"/>
      <c r="AV772" s="82"/>
      <c r="AW772" s="82" t="str">
        <f t="shared" si="1"/>
        <v/>
      </c>
      <c r="AX772" s="83" t="str">
        <f t="array" ref="AX772">IFERROR(DGET('SBV Import'!A:G,"SBV",{"RSC ID","Tier";B772,A772}))</f>
        <v/>
      </c>
      <c r="AY772" s="82" t="str">
        <f t="shared" si="2"/>
        <v/>
      </c>
      <c r="AZ772" s="82"/>
      <c r="BA772" s="84" t="s">
        <v>152</v>
      </c>
      <c r="BB772" s="84" t="str">
        <f>IFERROR(__xludf.DUMMYFUNCTION("iferror(if(A772="""",,E772&gt;=FILTER(Constants!$F$2:$F$10,Constants!$A$2:$A$10=A772)))"),"")</f>
        <v/>
      </c>
    </row>
    <row r="773">
      <c r="A773" s="80"/>
      <c r="B773" s="73"/>
      <c r="C773" s="73"/>
      <c r="D773" s="73"/>
      <c r="E773" s="82"/>
      <c r="F773" s="82"/>
      <c r="G773" s="82"/>
      <c r="H773" s="82"/>
      <c r="I773" s="82"/>
      <c r="J773" s="82"/>
      <c r="K773" s="82"/>
      <c r="L773" s="82"/>
      <c r="M773" s="82"/>
      <c r="N773" s="82"/>
      <c r="O773" s="82"/>
      <c r="P773" s="82"/>
      <c r="Q773" s="82"/>
      <c r="R773" s="82"/>
      <c r="S773" s="82"/>
      <c r="T773" s="82"/>
      <c r="U773" s="82"/>
      <c r="V773" s="82"/>
      <c r="W773" s="82"/>
      <c r="X773" s="82"/>
      <c r="Y773" s="82"/>
      <c r="Z773" s="82"/>
      <c r="AA773" s="82"/>
      <c r="AB773" s="82"/>
      <c r="AC773" s="82"/>
      <c r="AD773" s="82"/>
      <c r="AE773" s="82"/>
      <c r="AF773" s="82"/>
      <c r="AG773" s="82"/>
      <c r="AH773" s="82"/>
      <c r="AI773" s="82"/>
      <c r="AJ773" s="82"/>
      <c r="AK773" s="82"/>
      <c r="AL773" s="82"/>
      <c r="AM773" s="82"/>
      <c r="AN773" s="82"/>
      <c r="AO773" s="82"/>
      <c r="AP773" s="82"/>
      <c r="AQ773" s="82"/>
      <c r="AR773" s="82"/>
      <c r="AS773" s="82"/>
      <c r="AT773" s="82"/>
      <c r="AU773" s="82"/>
      <c r="AV773" s="82"/>
      <c r="AW773" s="82" t="str">
        <f t="shared" si="1"/>
        <v/>
      </c>
      <c r="AX773" s="83" t="str">
        <f t="array" ref="AX773">IFERROR(DGET('SBV Import'!A:G,"SBV",{"RSC ID","Tier";B773,A773}))</f>
        <v/>
      </c>
      <c r="AY773" s="82" t="str">
        <f t="shared" si="2"/>
        <v/>
      </c>
      <c r="AZ773" s="82"/>
      <c r="BA773" s="84" t="s">
        <v>152</v>
      </c>
      <c r="BB773" s="84" t="str">
        <f>IFERROR(__xludf.DUMMYFUNCTION("iferror(if(A773="""",,E773&gt;=FILTER(Constants!$F$2:$F$10,Constants!$A$2:$A$10=A773)))"),"")</f>
        <v/>
      </c>
    </row>
    <row r="774">
      <c r="A774" s="80"/>
      <c r="B774" s="73"/>
      <c r="C774" s="73"/>
      <c r="D774" s="73"/>
      <c r="E774" s="82"/>
      <c r="F774" s="82"/>
      <c r="G774" s="82"/>
      <c r="H774" s="82"/>
      <c r="I774" s="82"/>
      <c r="J774" s="82"/>
      <c r="K774" s="82"/>
      <c r="L774" s="82"/>
      <c r="M774" s="82"/>
      <c r="N774" s="82"/>
      <c r="O774" s="82"/>
      <c r="P774" s="82"/>
      <c r="Q774" s="82"/>
      <c r="R774" s="82"/>
      <c r="S774" s="82"/>
      <c r="T774" s="82"/>
      <c r="U774" s="82"/>
      <c r="V774" s="82"/>
      <c r="W774" s="82"/>
      <c r="X774" s="82"/>
      <c r="Y774" s="82"/>
      <c r="Z774" s="82"/>
      <c r="AA774" s="82"/>
      <c r="AB774" s="82"/>
      <c r="AC774" s="82"/>
      <c r="AD774" s="82"/>
      <c r="AE774" s="82"/>
      <c r="AF774" s="82"/>
      <c r="AG774" s="82"/>
      <c r="AH774" s="82"/>
      <c r="AI774" s="82"/>
      <c r="AJ774" s="82"/>
      <c r="AK774" s="82"/>
      <c r="AL774" s="82"/>
      <c r="AM774" s="82"/>
      <c r="AN774" s="82"/>
      <c r="AO774" s="82"/>
      <c r="AP774" s="82"/>
      <c r="AQ774" s="82"/>
      <c r="AR774" s="82"/>
      <c r="AS774" s="82"/>
      <c r="AT774" s="82"/>
      <c r="AU774" s="82"/>
      <c r="AV774" s="82"/>
      <c r="AW774" s="82" t="str">
        <f t="shared" si="1"/>
        <v/>
      </c>
      <c r="AX774" s="83" t="str">
        <f t="array" ref="AX774">IFERROR(DGET('SBV Import'!A:G,"SBV",{"RSC ID","Tier";B774,A774}))</f>
        <v/>
      </c>
      <c r="AY774" s="82" t="str">
        <f t="shared" si="2"/>
        <v/>
      </c>
      <c r="AZ774" s="82"/>
      <c r="BA774" s="84" t="s">
        <v>152</v>
      </c>
      <c r="BB774" s="84" t="str">
        <f>IFERROR(__xludf.DUMMYFUNCTION("iferror(if(A774="""",,E774&gt;=FILTER(Constants!$F$2:$F$10,Constants!$A$2:$A$10=A774)))"),"")</f>
        <v/>
      </c>
    </row>
    <row r="775">
      <c r="A775" s="80"/>
      <c r="B775" s="73"/>
      <c r="C775" s="73"/>
      <c r="D775" s="73"/>
      <c r="E775" s="82"/>
      <c r="F775" s="82"/>
      <c r="G775" s="82"/>
      <c r="H775" s="82"/>
      <c r="I775" s="82"/>
      <c r="J775" s="82"/>
      <c r="K775" s="82"/>
      <c r="L775" s="82"/>
      <c r="M775" s="82"/>
      <c r="N775" s="82"/>
      <c r="O775" s="82"/>
      <c r="P775" s="82"/>
      <c r="Q775" s="82"/>
      <c r="R775" s="82"/>
      <c r="S775" s="82"/>
      <c r="T775" s="82"/>
      <c r="U775" s="82"/>
      <c r="V775" s="82"/>
      <c r="W775" s="82"/>
      <c r="X775" s="82"/>
      <c r="Y775" s="82"/>
      <c r="Z775" s="82"/>
      <c r="AA775" s="82"/>
      <c r="AB775" s="82"/>
      <c r="AC775" s="82"/>
      <c r="AD775" s="82"/>
      <c r="AE775" s="82"/>
      <c r="AF775" s="82"/>
      <c r="AG775" s="82"/>
      <c r="AH775" s="82"/>
      <c r="AI775" s="82"/>
      <c r="AJ775" s="82"/>
      <c r="AK775" s="82"/>
      <c r="AL775" s="82"/>
      <c r="AM775" s="82"/>
      <c r="AN775" s="82"/>
      <c r="AO775" s="82"/>
      <c r="AP775" s="82"/>
      <c r="AQ775" s="82"/>
      <c r="AR775" s="82"/>
      <c r="AS775" s="82"/>
      <c r="AT775" s="82"/>
      <c r="AU775" s="82"/>
      <c r="AV775" s="82"/>
      <c r="AW775" s="82" t="str">
        <f t="shared" si="1"/>
        <v/>
      </c>
      <c r="AX775" s="83" t="str">
        <f t="array" ref="AX775">IFERROR(DGET('SBV Import'!A:G,"SBV",{"RSC ID","Tier";B775,A775}))</f>
        <v/>
      </c>
      <c r="AY775" s="82" t="str">
        <f t="shared" si="2"/>
        <v/>
      </c>
      <c r="AZ775" s="82"/>
      <c r="BA775" s="84" t="s">
        <v>152</v>
      </c>
      <c r="BB775" s="84" t="str">
        <f>IFERROR(__xludf.DUMMYFUNCTION("iferror(if(A775="""",,E775&gt;=FILTER(Constants!$F$2:$F$10,Constants!$A$2:$A$10=A775)))"),"")</f>
        <v/>
      </c>
    </row>
    <row r="776">
      <c r="A776" s="80"/>
      <c r="B776" s="73"/>
      <c r="C776" s="73"/>
      <c r="D776" s="73"/>
      <c r="E776" s="82"/>
      <c r="F776" s="82"/>
      <c r="G776" s="82"/>
      <c r="H776" s="82"/>
      <c r="I776" s="82"/>
      <c r="J776" s="82"/>
      <c r="K776" s="82"/>
      <c r="L776" s="82"/>
      <c r="M776" s="82"/>
      <c r="N776" s="82"/>
      <c r="O776" s="82"/>
      <c r="P776" s="82"/>
      <c r="Q776" s="82"/>
      <c r="R776" s="82"/>
      <c r="S776" s="82"/>
      <c r="T776" s="82"/>
      <c r="U776" s="82"/>
      <c r="V776" s="82"/>
      <c r="W776" s="82"/>
      <c r="X776" s="82"/>
      <c r="Y776" s="82"/>
      <c r="Z776" s="82"/>
      <c r="AA776" s="82"/>
      <c r="AB776" s="82"/>
      <c r="AC776" s="82"/>
      <c r="AD776" s="82"/>
      <c r="AE776" s="82"/>
      <c r="AF776" s="82"/>
      <c r="AG776" s="82"/>
      <c r="AH776" s="82"/>
      <c r="AI776" s="82"/>
      <c r="AJ776" s="82"/>
      <c r="AK776" s="82"/>
      <c r="AL776" s="82"/>
      <c r="AM776" s="82"/>
      <c r="AN776" s="82"/>
      <c r="AO776" s="82"/>
      <c r="AP776" s="82"/>
      <c r="AQ776" s="82"/>
      <c r="AR776" s="82"/>
      <c r="AS776" s="82"/>
      <c r="AT776" s="82"/>
      <c r="AU776" s="82"/>
      <c r="AV776" s="82"/>
      <c r="AW776" s="82" t="str">
        <f t="shared" si="1"/>
        <v/>
      </c>
      <c r="AX776" s="83" t="str">
        <f t="array" ref="AX776">IFERROR(DGET('SBV Import'!A:G,"SBV",{"RSC ID","Tier";B776,A776}))</f>
        <v/>
      </c>
      <c r="AY776" s="82" t="str">
        <f t="shared" si="2"/>
        <v/>
      </c>
      <c r="AZ776" s="82"/>
      <c r="BA776" s="84" t="s">
        <v>152</v>
      </c>
      <c r="BB776" s="84" t="str">
        <f>IFERROR(__xludf.DUMMYFUNCTION("iferror(if(A776="""",,E776&gt;=FILTER(Constants!$F$2:$F$10,Constants!$A$2:$A$10=A776)))"),"")</f>
        <v/>
      </c>
    </row>
    <row r="777">
      <c r="A777" s="80"/>
      <c r="B777" s="73"/>
      <c r="C777" s="73"/>
      <c r="D777" s="73"/>
      <c r="E777" s="82"/>
      <c r="F777" s="82"/>
      <c r="G777" s="82"/>
      <c r="H777" s="82"/>
      <c r="I777" s="82"/>
      <c r="J777" s="82"/>
      <c r="K777" s="82"/>
      <c r="L777" s="82"/>
      <c r="M777" s="82"/>
      <c r="N777" s="82"/>
      <c r="O777" s="82"/>
      <c r="P777" s="82"/>
      <c r="Q777" s="82"/>
      <c r="R777" s="82"/>
      <c r="S777" s="82"/>
      <c r="T777" s="82"/>
      <c r="U777" s="82"/>
      <c r="V777" s="82"/>
      <c r="W777" s="82"/>
      <c r="X777" s="82"/>
      <c r="Y777" s="82"/>
      <c r="Z777" s="82"/>
      <c r="AA777" s="82"/>
      <c r="AB777" s="82"/>
      <c r="AC777" s="82"/>
      <c r="AD777" s="82"/>
      <c r="AE777" s="82"/>
      <c r="AF777" s="82"/>
      <c r="AG777" s="82"/>
      <c r="AH777" s="82"/>
      <c r="AI777" s="82"/>
      <c r="AJ777" s="82"/>
      <c r="AK777" s="82"/>
      <c r="AL777" s="82"/>
      <c r="AM777" s="82"/>
      <c r="AN777" s="82"/>
      <c r="AO777" s="82"/>
      <c r="AP777" s="82"/>
      <c r="AQ777" s="82"/>
      <c r="AR777" s="82"/>
      <c r="AS777" s="82"/>
      <c r="AT777" s="82"/>
      <c r="AU777" s="82"/>
      <c r="AV777" s="82"/>
      <c r="AW777" s="82" t="str">
        <f t="shared" si="1"/>
        <v/>
      </c>
      <c r="AX777" s="83" t="str">
        <f t="array" ref="AX777">IFERROR(DGET('SBV Import'!A:G,"SBV",{"RSC ID","Tier";B777,A777}))</f>
        <v/>
      </c>
      <c r="AY777" s="82" t="str">
        <f t="shared" si="2"/>
        <v/>
      </c>
      <c r="AZ777" s="82"/>
      <c r="BA777" s="84" t="s">
        <v>152</v>
      </c>
      <c r="BB777" s="84" t="str">
        <f>IFERROR(__xludf.DUMMYFUNCTION("iferror(if(A777="""",,E777&gt;=FILTER(Constants!$F$2:$F$10,Constants!$A$2:$A$10=A777)))"),"")</f>
        <v/>
      </c>
    </row>
    <row r="778">
      <c r="A778" s="80"/>
      <c r="B778" s="73"/>
      <c r="C778" s="73"/>
      <c r="D778" s="73"/>
      <c r="E778" s="82"/>
      <c r="F778" s="82"/>
      <c r="G778" s="82"/>
      <c r="H778" s="82"/>
      <c r="I778" s="82"/>
      <c r="J778" s="82"/>
      <c r="K778" s="82"/>
      <c r="L778" s="82"/>
      <c r="M778" s="82"/>
      <c r="N778" s="82"/>
      <c r="O778" s="82"/>
      <c r="P778" s="82"/>
      <c r="Q778" s="82"/>
      <c r="R778" s="82"/>
      <c r="S778" s="82"/>
      <c r="T778" s="82"/>
      <c r="U778" s="82"/>
      <c r="V778" s="82"/>
      <c r="W778" s="82"/>
      <c r="X778" s="82"/>
      <c r="Y778" s="82"/>
      <c r="Z778" s="82"/>
      <c r="AA778" s="82"/>
      <c r="AB778" s="82"/>
      <c r="AC778" s="82"/>
      <c r="AD778" s="82"/>
      <c r="AE778" s="82"/>
      <c r="AF778" s="82"/>
      <c r="AG778" s="82"/>
      <c r="AH778" s="82"/>
      <c r="AI778" s="82"/>
      <c r="AJ778" s="82"/>
      <c r="AK778" s="82"/>
      <c r="AL778" s="82"/>
      <c r="AM778" s="82"/>
      <c r="AN778" s="82"/>
      <c r="AO778" s="82"/>
      <c r="AP778" s="82"/>
      <c r="AQ778" s="82"/>
      <c r="AR778" s="82"/>
      <c r="AS778" s="82"/>
      <c r="AT778" s="82"/>
      <c r="AU778" s="82"/>
      <c r="AV778" s="82"/>
      <c r="AW778" s="82" t="str">
        <f t="shared" si="1"/>
        <v/>
      </c>
      <c r="AX778" s="83" t="str">
        <f t="array" ref="AX778">IFERROR(DGET('SBV Import'!A:G,"SBV",{"RSC ID","Tier";B778,A778}))</f>
        <v/>
      </c>
      <c r="AY778" s="82" t="str">
        <f t="shared" si="2"/>
        <v/>
      </c>
      <c r="AZ778" s="82"/>
      <c r="BA778" s="84" t="s">
        <v>152</v>
      </c>
      <c r="BB778" s="84" t="str">
        <f>IFERROR(__xludf.DUMMYFUNCTION("iferror(if(A778="""",,E778&gt;=FILTER(Constants!$F$2:$F$10,Constants!$A$2:$A$10=A778)))"),"")</f>
        <v/>
      </c>
    </row>
    <row r="779">
      <c r="A779" s="80"/>
      <c r="B779" s="73"/>
      <c r="C779" s="73"/>
      <c r="D779" s="73"/>
      <c r="E779" s="82"/>
      <c r="F779" s="82"/>
      <c r="G779" s="82"/>
      <c r="H779" s="82"/>
      <c r="I779" s="82"/>
      <c r="J779" s="82"/>
      <c r="K779" s="82"/>
      <c r="L779" s="82"/>
      <c r="M779" s="82"/>
      <c r="N779" s="82"/>
      <c r="O779" s="82"/>
      <c r="P779" s="82"/>
      <c r="Q779" s="82"/>
      <c r="R779" s="82"/>
      <c r="S779" s="82"/>
      <c r="T779" s="82"/>
      <c r="U779" s="82"/>
      <c r="V779" s="82"/>
      <c r="W779" s="82"/>
      <c r="X779" s="82"/>
      <c r="Y779" s="82"/>
      <c r="Z779" s="82"/>
      <c r="AA779" s="82"/>
      <c r="AB779" s="82"/>
      <c r="AC779" s="82"/>
      <c r="AD779" s="82"/>
      <c r="AE779" s="82"/>
      <c r="AF779" s="82"/>
      <c r="AG779" s="82"/>
      <c r="AH779" s="82"/>
      <c r="AI779" s="82"/>
      <c r="AJ779" s="82"/>
      <c r="AK779" s="82"/>
      <c r="AL779" s="82"/>
      <c r="AM779" s="82"/>
      <c r="AN779" s="82"/>
      <c r="AO779" s="82"/>
      <c r="AP779" s="82"/>
      <c r="AQ779" s="82"/>
      <c r="AR779" s="82"/>
      <c r="AS779" s="82"/>
      <c r="AT779" s="82"/>
      <c r="AU779" s="82"/>
      <c r="AV779" s="82"/>
      <c r="AW779" s="82" t="str">
        <f t="shared" si="1"/>
        <v/>
      </c>
      <c r="AX779" s="83" t="str">
        <f t="array" ref="AX779">IFERROR(DGET('SBV Import'!A:G,"SBV",{"RSC ID","Tier";B779,A779}))</f>
        <v/>
      </c>
      <c r="AY779" s="82" t="str">
        <f t="shared" si="2"/>
        <v/>
      </c>
      <c r="AZ779" s="82"/>
      <c r="BA779" s="84" t="s">
        <v>152</v>
      </c>
      <c r="BB779" s="84" t="str">
        <f>IFERROR(__xludf.DUMMYFUNCTION("iferror(if(A779="""",,E779&gt;=FILTER(Constants!$F$2:$F$10,Constants!$A$2:$A$10=A779)))"),"")</f>
        <v/>
      </c>
    </row>
    <row r="780">
      <c r="A780" s="80"/>
      <c r="B780" s="73"/>
      <c r="C780" s="73"/>
      <c r="D780" s="73"/>
      <c r="E780" s="82"/>
      <c r="F780" s="82"/>
      <c r="G780" s="82"/>
      <c r="H780" s="82"/>
      <c r="I780" s="82"/>
      <c r="J780" s="82"/>
      <c r="K780" s="82"/>
      <c r="L780" s="82"/>
      <c r="M780" s="82"/>
      <c r="N780" s="82"/>
      <c r="O780" s="82"/>
      <c r="P780" s="82"/>
      <c r="Q780" s="82"/>
      <c r="R780" s="82"/>
      <c r="S780" s="82"/>
      <c r="T780" s="82"/>
      <c r="U780" s="82"/>
      <c r="V780" s="82"/>
      <c r="W780" s="82"/>
      <c r="X780" s="82"/>
      <c r="Y780" s="82"/>
      <c r="Z780" s="82"/>
      <c r="AA780" s="82"/>
      <c r="AB780" s="82"/>
      <c r="AC780" s="82"/>
      <c r="AD780" s="82"/>
      <c r="AE780" s="82"/>
      <c r="AF780" s="82"/>
      <c r="AG780" s="82"/>
      <c r="AH780" s="82"/>
      <c r="AI780" s="82"/>
      <c r="AJ780" s="82"/>
      <c r="AK780" s="82"/>
      <c r="AL780" s="82"/>
      <c r="AM780" s="82"/>
      <c r="AN780" s="82"/>
      <c r="AO780" s="82"/>
      <c r="AP780" s="82"/>
      <c r="AQ780" s="82"/>
      <c r="AR780" s="82"/>
      <c r="AS780" s="82"/>
      <c r="AT780" s="82"/>
      <c r="AU780" s="82"/>
      <c r="AV780" s="82"/>
      <c r="AW780" s="82" t="str">
        <f t="shared" si="1"/>
        <v/>
      </c>
      <c r="AX780" s="83" t="str">
        <f t="array" ref="AX780">IFERROR(DGET('SBV Import'!A:G,"SBV",{"RSC ID","Tier";B780,A780}))</f>
        <v/>
      </c>
      <c r="AY780" s="82" t="str">
        <f t="shared" si="2"/>
        <v/>
      </c>
      <c r="AZ780" s="82"/>
      <c r="BA780" s="84" t="s">
        <v>152</v>
      </c>
      <c r="BB780" s="84" t="str">
        <f>IFERROR(__xludf.DUMMYFUNCTION("iferror(if(A780="""",,E780&gt;=FILTER(Constants!$F$2:$F$10,Constants!$A$2:$A$10=A780)))"),"")</f>
        <v/>
      </c>
    </row>
    <row r="781">
      <c r="A781" s="80"/>
      <c r="B781" s="73"/>
      <c r="C781" s="73"/>
      <c r="D781" s="73"/>
      <c r="E781" s="82"/>
      <c r="F781" s="82"/>
      <c r="G781" s="82"/>
      <c r="H781" s="82"/>
      <c r="I781" s="82"/>
      <c r="J781" s="82"/>
      <c r="K781" s="82"/>
      <c r="L781" s="82"/>
      <c r="M781" s="82"/>
      <c r="N781" s="82"/>
      <c r="O781" s="82"/>
      <c r="P781" s="82"/>
      <c r="Q781" s="82"/>
      <c r="R781" s="82"/>
      <c r="S781" s="82"/>
      <c r="T781" s="82"/>
      <c r="U781" s="82"/>
      <c r="V781" s="82"/>
      <c r="W781" s="82"/>
      <c r="X781" s="82"/>
      <c r="Y781" s="82"/>
      <c r="Z781" s="82"/>
      <c r="AA781" s="82"/>
      <c r="AB781" s="82"/>
      <c r="AC781" s="82"/>
      <c r="AD781" s="82"/>
      <c r="AE781" s="82"/>
      <c r="AF781" s="82"/>
      <c r="AG781" s="82"/>
      <c r="AH781" s="82"/>
      <c r="AI781" s="82"/>
      <c r="AJ781" s="82"/>
      <c r="AK781" s="82"/>
      <c r="AL781" s="82"/>
      <c r="AM781" s="82"/>
      <c r="AN781" s="82"/>
      <c r="AO781" s="82"/>
      <c r="AP781" s="82"/>
      <c r="AQ781" s="82"/>
      <c r="AR781" s="82"/>
      <c r="AS781" s="82"/>
      <c r="AT781" s="82"/>
      <c r="AU781" s="82"/>
      <c r="AV781" s="82"/>
      <c r="AW781" s="82" t="str">
        <f t="shared" si="1"/>
        <v/>
      </c>
      <c r="AX781" s="83" t="str">
        <f t="array" ref="AX781">IFERROR(DGET('SBV Import'!A:G,"SBV",{"RSC ID","Tier";B781,A781}))</f>
        <v/>
      </c>
      <c r="AY781" s="82" t="str">
        <f t="shared" si="2"/>
        <v/>
      </c>
      <c r="AZ781" s="82"/>
      <c r="BA781" s="84" t="s">
        <v>152</v>
      </c>
      <c r="BB781" s="84" t="str">
        <f>IFERROR(__xludf.DUMMYFUNCTION("iferror(if(A781="""",,E781&gt;=FILTER(Constants!$F$2:$F$10,Constants!$A$2:$A$10=A781)))"),"")</f>
        <v/>
      </c>
    </row>
    <row r="782">
      <c r="A782" s="80"/>
      <c r="B782" s="73"/>
      <c r="C782" s="73"/>
      <c r="D782" s="73"/>
      <c r="E782" s="82"/>
      <c r="F782" s="82"/>
      <c r="G782" s="82"/>
      <c r="H782" s="82"/>
      <c r="I782" s="82"/>
      <c r="J782" s="82"/>
      <c r="K782" s="82"/>
      <c r="L782" s="82"/>
      <c r="M782" s="82"/>
      <c r="N782" s="82"/>
      <c r="O782" s="82"/>
      <c r="P782" s="82"/>
      <c r="Q782" s="82"/>
      <c r="R782" s="82"/>
      <c r="S782" s="82"/>
      <c r="T782" s="82"/>
      <c r="U782" s="82"/>
      <c r="V782" s="82"/>
      <c r="W782" s="82"/>
      <c r="X782" s="82"/>
      <c r="Y782" s="82"/>
      <c r="Z782" s="82"/>
      <c r="AA782" s="82"/>
      <c r="AB782" s="82"/>
      <c r="AC782" s="82"/>
      <c r="AD782" s="82"/>
      <c r="AE782" s="82"/>
      <c r="AF782" s="82"/>
      <c r="AG782" s="82"/>
      <c r="AH782" s="82"/>
      <c r="AI782" s="82"/>
      <c r="AJ782" s="82"/>
      <c r="AK782" s="82"/>
      <c r="AL782" s="82"/>
      <c r="AM782" s="82"/>
      <c r="AN782" s="82"/>
      <c r="AO782" s="82"/>
      <c r="AP782" s="82"/>
      <c r="AQ782" s="82"/>
      <c r="AR782" s="82"/>
      <c r="AS782" s="82"/>
      <c r="AT782" s="82"/>
      <c r="AU782" s="82"/>
      <c r="AV782" s="82"/>
      <c r="AW782" s="82" t="str">
        <f t="shared" si="1"/>
        <v/>
      </c>
      <c r="AX782" s="83" t="str">
        <f t="array" ref="AX782">IFERROR(DGET('SBV Import'!A:G,"SBV",{"RSC ID","Tier";B782,A782}))</f>
        <v/>
      </c>
      <c r="AY782" s="82" t="str">
        <f t="shared" si="2"/>
        <v/>
      </c>
      <c r="AZ782" s="82"/>
      <c r="BA782" s="84" t="s">
        <v>152</v>
      </c>
      <c r="BB782" s="84" t="str">
        <f>IFERROR(__xludf.DUMMYFUNCTION("iferror(if(A782="""",,E782&gt;=FILTER(Constants!$F$2:$F$10,Constants!$A$2:$A$10=A782)))"),"")</f>
        <v/>
      </c>
    </row>
    <row r="783">
      <c r="A783" s="80"/>
      <c r="B783" s="73"/>
      <c r="C783" s="73"/>
      <c r="D783" s="73"/>
      <c r="E783" s="82"/>
      <c r="F783" s="82"/>
      <c r="G783" s="82"/>
      <c r="H783" s="82"/>
      <c r="I783" s="82"/>
      <c r="J783" s="82"/>
      <c r="K783" s="82"/>
      <c r="L783" s="82"/>
      <c r="M783" s="82"/>
      <c r="N783" s="82"/>
      <c r="O783" s="82"/>
      <c r="P783" s="82"/>
      <c r="Q783" s="82"/>
      <c r="R783" s="82"/>
      <c r="S783" s="82"/>
      <c r="T783" s="82"/>
      <c r="U783" s="82"/>
      <c r="V783" s="82"/>
      <c r="W783" s="82"/>
      <c r="X783" s="82"/>
      <c r="Y783" s="82"/>
      <c r="Z783" s="82"/>
      <c r="AA783" s="82"/>
      <c r="AB783" s="82"/>
      <c r="AC783" s="82"/>
      <c r="AD783" s="82"/>
      <c r="AE783" s="82"/>
      <c r="AF783" s="82"/>
      <c r="AG783" s="82"/>
      <c r="AH783" s="82"/>
      <c r="AI783" s="82"/>
      <c r="AJ783" s="82"/>
      <c r="AK783" s="82"/>
      <c r="AL783" s="82"/>
      <c r="AM783" s="82"/>
      <c r="AN783" s="82"/>
      <c r="AO783" s="82"/>
      <c r="AP783" s="82"/>
      <c r="AQ783" s="82"/>
      <c r="AR783" s="82"/>
      <c r="AS783" s="82"/>
      <c r="AT783" s="82"/>
      <c r="AU783" s="82"/>
      <c r="AV783" s="82"/>
      <c r="AW783" s="82" t="str">
        <f t="shared" si="1"/>
        <v/>
      </c>
      <c r="AX783" s="83" t="str">
        <f t="array" ref="AX783">IFERROR(DGET('SBV Import'!A:G,"SBV",{"RSC ID","Tier";B783,A783}))</f>
        <v/>
      </c>
      <c r="AY783" s="82" t="str">
        <f t="shared" si="2"/>
        <v/>
      </c>
      <c r="AZ783" s="82"/>
      <c r="BA783" s="84" t="s">
        <v>152</v>
      </c>
      <c r="BB783" s="84" t="str">
        <f>IFERROR(__xludf.DUMMYFUNCTION("iferror(if(A783="""",,E783&gt;=FILTER(Constants!$F$2:$F$10,Constants!$A$2:$A$10=A783)))"),"")</f>
        <v/>
      </c>
    </row>
    <row r="784">
      <c r="A784" s="80"/>
      <c r="B784" s="73"/>
      <c r="C784" s="73"/>
      <c r="D784" s="73"/>
      <c r="E784" s="82"/>
      <c r="F784" s="82"/>
      <c r="G784" s="82"/>
      <c r="H784" s="82"/>
      <c r="I784" s="82"/>
      <c r="J784" s="82"/>
      <c r="K784" s="82"/>
      <c r="L784" s="82"/>
      <c r="M784" s="82"/>
      <c r="N784" s="82"/>
      <c r="O784" s="82"/>
      <c r="P784" s="82"/>
      <c r="Q784" s="82"/>
      <c r="R784" s="82"/>
      <c r="S784" s="82"/>
      <c r="T784" s="82"/>
      <c r="U784" s="82"/>
      <c r="V784" s="82"/>
      <c r="W784" s="82"/>
      <c r="X784" s="82"/>
      <c r="Y784" s="82"/>
      <c r="Z784" s="82"/>
      <c r="AA784" s="82"/>
      <c r="AB784" s="82"/>
      <c r="AC784" s="82"/>
      <c r="AD784" s="82"/>
      <c r="AE784" s="82"/>
      <c r="AF784" s="82"/>
      <c r="AG784" s="82"/>
      <c r="AH784" s="82"/>
      <c r="AI784" s="82"/>
      <c r="AJ784" s="82"/>
      <c r="AK784" s="82"/>
      <c r="AL784" s="82"/>
      <c r="AM784" s="82"/>
      <c r="AN784" s="82"/>
      <c r="AO784" s="82"/>
      <c r="AP784" s="82"/>
      <c r="AQ784" s="82"/>
      <c r="AR784" s="82"/>
      <c r="AS784" s="82"/>
      <c r="AT784" s="82"/>
      <c r="AU784" s="82"/>
      <c r="AV784" s="82"/>
      <c r="AW784" s="82" t="str">
        <f t="shared" si="1"/>
        <v/>
      </c>
      <c r="AX784" s="83" t="str">
        <f t="array" ref="AX784">IFERROR(DGET('SBV Import'!A:G,"SBV",{"RSC ID","Tier";B784,A784}))</f>
        <v/>
      </c>
      <c r="AY784" s="82" t="str">
        <f t="shared" si="2"/>
        <v/>
      </c>
      <c r="AZ784" s="82"/>
      <c r="BA784" s="84" t="s">
        <v>152</v>
      </c>
      <c r="BB784" s="84" t="str">
        <f>IFERROR(__xludf.DUMMYFUNCTION("iferror(if(A784="""",,E784&gt;=FILTER(Constants!$F$2:$F$10,Constants!$A$2:$A$10=A784)))"),"")</f>
        <v/>
      </c>
    </row>
    <row r="785">
      <c r="A785" s="80"/>
      <c r="B785" s="73"/>
      <c r="C785" s="73"/>
      <c r="D785" s="73"/>
      <c r="E785" s="82"/>
      <c r="F785" s="82"/>
      <c r="G785" s="82"/>
      <c r="H785" s="82"/>
      <c r="I785" s="82"/>
      <c r="J785" s="82"/>
      <c r="K785" s="82"/>
      <c r="L785" s="82"/>
      <c r="M785" s="82"/>
      <c r="N785" s="82"/>
      <c r="O785" s="82"/>
      <c r="P785" s="82"/>
      <c r="Q785" s="82"/>
      <c r="R785" s="82"/>
      <c r="S785" s="82"/>
      <c r="T785" s="82"/>
      <c r="U785" s="82"/>
      <c r="V785" s="82"/>
      <c r="W785" s="82"/>
      <c r="X785" s="82"/>
      <c r="Y785" s="82"/>
      <c r="Z785" s="82"/>
      <c r="AA785" s="82"/>
      <c r="AB785" s="82"/>
      <c r="AC785" s="82"/>
      <c r="AD785" s="82"/>
      <c r="AE785" s="82"/>
      <c r="AF785" s="82"/>
      <c r="AG785" s="82"/>
      <c r="AH785" s="82"/>
      <c r="AI785" s="82"/>
      <c r="AJ785" s="82"/>
      <c r="AK785" s="82"/>
      <c r="AL785" s="82"/>
      <c r="AM785" s="82"/>
      <c r="AN785" s="82"/>
      <c r="AO785" s="82"/>
      <c r="AP785" s="82"/>
      <c r="AQ785" s="82"/>
      <c r="AR785" s="82"/>
      <c r="AS785" s="82"/>
      <c r="AT785" s="82"/>
      <c r="AU785" s="82"/>
      <c r="AV785" s="82"/>
      <c r="AW785" s="82" t="str">
        <f t="shared" si="1"/>
        <v/>
      </c>
      <c r="AX785" s="83" t="str">
        <f t="array" ref="AX785">IFERROR(DGET('SBV Import'!A:G,"SBV",{"RSC ID","Tier";B785,A785}))</f>
        <v/>
      </c>
      <c r="AY785" s="82" t="str">
        <f t="shared" si="2"/>
        <v/>
      </c>
      <c r="AZ785" s="82"/>
      <c r="BA785" s="84" t="s">
        <v>152</v>
      </c>
      <c r="BB785" s="84" t="str">
        <f>IFERROR(__xludf.DUMMYFUNCTION("iferror(if(A785="""",,E785&gt;=FILTER(Constants!$F$2:$F$10,Constants!$A$2:$A$10=A785)))"),"")</f>
        <v/>
      </c>
    </row>
    <row r="786">
      <c r="A786" s="80"/>
      <c r="B786" s="73"/>
      <c r="C786" s="73"/>
      <c r="D786" s="73"/>
      <c r="E786" s="82"/>
      <c r="F786" s="82"/>
      <c r="G786" s="82"/>
      <c r="H786" s="82"/>
      <c r="I786" s="82"/>
      <c r="J786" s="82"/>
      <c r="K786" s="82"/>
      <c r="L786" s="82"/>
      <c r="M786" s="82"/>
      <c r="N786" s="82"/>
      <c r="O786" s="82"/>
      <c r="P786" s="82"/>
      <c r="Q786" s="82"/>
      <c r="R786" s="82"/>
      <c r="S786" s="82"/>
      <c r="T786" s="82"/>
      <c r="U786" s="82"/>
      <c r="V786" s="82"/>
      <c r="W786" s="82"/>
      <c r="X786" s="82"/>
      <c r="Y786" s="82"/>
      <c r="Z786" s="82"/>
      <c r="AA786" s="82"/>
      <c r="AB786" s="82"/>
      <c r="AC786" s="82"/>
      <c r="AD786" s="82"/>
      <c r="AE786" s="82"/>
      <c r="AF786" s="82"/>
      <c r="AG786" s="82"/>
      <c r="AH786" s="82"/>
      <c r="AI786" s="82"/>
      <c r="AJ786" s="82"/>
      <c r="AK786" s="82"/>
      <c r="AL786" s="82"/>
      <c r="AM786" s="82"/>
      <c r="AN786" s="82"/>
      <c r="AO786" s="82"/>
      <c r="AP786" s="82"/>
      <c r="AQ786" s="82"/>
      <c r="AR786" s="82"/>
      <c r="AS786" s="82"/>
      <c r="AT786" s="82"/>
      <c r="AU786" s="82"/>
      <c r="AV786" s="82"/>
      <c r="AW786" s="82" t="str">
        <f t="shared" si="1"/>
        <v/>
      </c>
      <c r="AX786" s="83" t="str">
        <f t="array" ref="AX786">IFERROR(DGET('SBV Import'!A:G,"SBV",{"RSC ID","Tier";B786,A786}))</f>
        <v/>
      </c>
      <c r="AY786" s="82" t="str">
        <f t="shared" si="2"/>
        <v/>
      </c>
      <c r="AZ786" s="82"/>
      <c r="BA786" s="84" t="s">
        <v>152</v>
      </c>
      <c r="BB786" s="84" t="str">
        <f>IFERROR(__xludf.DUMMYFUNCTION("iferror(if(A786="""",,E786&gt;=FILTER(Constants!$F$2:$F$10,Constants!$A$2:$A$10=A786)))"),"")</f>
        <v/>
      </c>
    </row>
    <row r="787">
      <c r="A787" s="80"/>
      <c r="B787" s="73"/>
      <c r="C787" s="73"/>
      <c r="D787" s="73"/>
      <c r="E787" s="82"/>
      <c r="F787" s="82"/>
      <c r="G787" s="82"/>
      <c r="H787" s="82"/>
      <c r="I787" s="82"/>
      <c r="J787" s="82"/>
      <c r="K787" s="82"/>
      <c r="L787" s="82"/>
      <c r="M787" s="82"/>
      <c r="N787" s="82"/>
      <c r="O787" s="82"/>
      <c r="P787" s="82"/>
      <c r="Q787" s="82"/>
      <c r="R787" s="82"/>
      <c r="S787" s="82"/>
      <c r="T787" s="82"/>
      <c r="U787" s="82"/>
      <c r="V787" s="82"/>
      <c r="W787" s="82"/>
      <c r="X787" s="82"/>
      <c r="Y787" s="82"/>
      <c r="Z787" s="82"/>
      <c r="AA787" s="82"/>
      <c r="AB787" s="82"/>
      <c r="AC787" s="82"/>
      <c r="AD787" s="82"/>
      <c r="AE787" s="82"/>
      <c r="AF787" s="82"/>
      <c r="AG787" s="82"/>
      <c r="AH787" s="82"/>
      <c r="AI787" s="82"/>
      <c r="AJ787" s="82"/>
      <c r="AK787" s="82"/>
      <c r="AL787" s="82"/>
      <c r="AM787" s="82"/>
      <c r="AN787" s="82"/>
      <c r="AO787" s="82"/>
      <c r="AP787" s="82"/>
      <c r="AQ787" s="82"/>
      <c r="AR787" s="82"/>
      <c r="AS787" s="82"/>
      <c r="AT787" s="82"/>
      <c r="AU787" s="82"/>
      <c r="AV787" s="82"/>
      <c r="AW787" s="82" t="str">
        <f t="shared" si="1"/>
        <v/>
      </c>
      <c r="AX787" s="83" t="str">
        <f t="array" ref="AX787">IFERROR(DGET('SBV Import'!A:G,"SBV",{"RSC ID","Tier";B787,A787}))</f>
        <v/>
      </c>
      <c r="AY787" s="82" t="str">
        <f t="shared" si="2"/>
        <v/>
      </c>
      <c r="AZ787" s="82"/>
      <c r="BA787" s="84" t="s">
        <v>152</v>
      </c>
      <c r="BB787" s="84" t="str">
        <f>IFERROR(__xludf.DUMMYFUNCTION("iferror(if(A787="""",,E787&gt;=FILTER(Constants!$F$2:$F$10,Constants!$A$2:$A$10=A787)))"),"")</f>
        <v/>
      </c>
    </row>
    <row r="788">
      <c r="A788" s="80"/>
      <c r="B788" s="73"/>
      <c r="C788" s="73"/>
      <c r="D788" s="73"/>
      <c r="E788" s="82"/>
      <c r="F788" s="82"/>
      <c r="G788" s="82"/>
      <c r="H788" s="82"/>
      <c r="I788" s="82"/>
      <c r="J788" s="82"/>
      <c r="K788" s="82"/>
      <c r="L788" s="82"/>
      <c r="M788" s="82"/>
      <c r="N788" s="82"/>
      <c r="O788" s="82"/>
      <c r="P788" s="82"/>
      <c r="Q788" s="82"/>
      <c r="R788" s="82"/>
      <c r="S788" s="82"/>
      <c r="T788" s="82"/>
      <c r="U788" s="82"/>
      <c r="V788" s="82"/>
      <c r="W788" s="82"/>
      <c r="X788" s="82"/>
      <c r="Y788" s="82"/>
      <c r="Z788" s="82"/>
      <c r="AA788" s="82"/>
      <c r="AB788" s="82"/>
      <c r="AC788" s="82"/>
      <c r="AD788" s="82"/>
      <c r="AE788" s="82"/>
      <c r="AF788" s="82"/>
      <c r="AG788" s="82"/>
      <c r="AH788" s="82"/>
      <c r="AI788" s="82"/>
      <c r="AJ788" s="82"/>
      <c r="AK788" s="82"/>
      <c r="AL788" s="82"/>
      <c r="AM788" s="82"/>
      <c r="AN788" s="82"/>
      <c r="AO788" s="82"/>
      <c r="AP788" s="82"/>
      <c r="AQ788" s="82"/>
      <c r="AR788" s="82"/>
      <c r="AS788" s="82"/>
      <c r="AT788" s="82"/>
      <c r="AU788" s="82"/>
      <c r="AV788" s="82"/>
      <c r="AW788" s="82" t="str">
        <f t="shared" si="1"/>
        <v/>
      </c>
      <c r="AX788" s="83" t="str">
        <f t="array" ref="AX788">IFERROR(DGET('SBV Import'!A:G,"SBV",{"RSC ID","Tier";B788,A788}))</f>
        <v/>
      </c>
      <c r="AY788" s="82" t="str">
        <f t="shared" si="2"/>
        <v/>
      </c>
      <c r="AZ788" s="82"/>
      <c r="BA788" s="84" t="s">
        <v>152</v>
      </c>
      <c r="BB788" s="84" t="str">
        <f>IFERROR(__xludf.DUMMYFUNCTION("iferror(if(A788="""",,E788&gt;=FILTER(Constants!$F$2:$F$10,Constants!$A$2:$A$10=A788)))"),"")</f>
        <v/>
      </c>
    </row>
    <row r="789">
      <c r="A789" s="80"/>
      <c r="B789" s="73"/>
      <c r="C789" s="73"/>
      <c r="D789" s="73"/>
      <c r="E789" s="82"/>
      <c r="F789" s="82"/>
      <c r="G789" s="82"/>
      <c r="H789" s="82"/>
      <c r="I789" s="82"/>
      <c r="J789" s="82"/>
      <c r="K789" s="82"/>
      <c r="L789" s="82"/>
      <c r="M789" s="82"/>
      <c r="N789" s="82"/>
      <c r="O789" s="82"/>
      <c r="P789" s="82"/>
      <c r="Q789" s="82"/>
      <c r="R789" s="82"/>
      <c r="S789" s="82"/>
      <c r="T789" s="82"/>
      <c r="U789" s="82"/>
      <c r="V789" s="82"/>
      <c r="W789" s="82"/>
      <c r="X789" s="82"/>
      <c r="Y789" s="82"/>
      <c r="Z789" s="82"/>
      <c r="AA789" s="82"/>
      <c r="AB789" s="82"/>
      <c r="AC789" s="82"/>
      <c r="AD789" s="82"/>
      <c r="AE789" s="82"/>
      <c r="AF789" s="82"/>
      <c r="AG789" s="82"/>
      <c r="AH789" s="82"/>
      <c r="AI789" s="82"/>
      <c r="AJ789" s="82"/>
      <c r="AK789" s="82"/>
      <c r="AL789" s="82"/>
      <c r="AM789" s="82"/>
      <c r="AN789" s="82"/>
      <c r="AO789" s="82"/>
      <c r="AP789" s="82"/>
      <c r="AQ789" s="82"/>
      <c r="AR789" s="82"/>
      <c r="AS789" s="82"/>
      <c r="AT789" s="82"/>
      <c r="AU789" s="82"/>
      <c r="AV789" s="82"/>
      <c r="AW789" s="82" t="str">
        <f t="shared" si="1"/>
        <v/>
      </c>
      <c r="AX789" s="83" t="str">
        <f t="array" ref="AX789">IFERROR(DGET('SBV Import'!A:G,"SBV",{"RSC ID","Tier";B789,A789}))</f>
        <v/>
      </c>
      <c r="AY789" s="82" t="str">
        <f t="shared" si="2"/>
        <v/>
      </c>
      <c r="AZ789" s="82"/>
      <c r="BA789" s="84" t="s">
        <v>152</v>
      </c>
      <c r="BB789" s="84" t="str">
        <f>IFERROR(__xludf.DUMMYFUNCTION("iferror(if(A789="""",,E789&gt;=FILTER(Constants!$F$2:$F$10,Constants!$A$2:$A$10=A789)))"),"")</f>
        <v/>
      </c>
    </row>
    <row r="790">
      <c r="A790" s="80"/>
      <c r="B790" s="73"/>
      <c r="C790" s="73"/>
      <c r="D790" s="73"/>
      <c r="E790" s="82"/>
      <c r="F790" s="82"/>
      <c r="G790" s="82"/>
      <c r="H790" s="82"/>
      <c r="I790" s="82"/>
      <c r="J790" s="82"/>
      <c r="K790" s="82"/>
      <c r="L790" s="82"/>
      <c r="M790" s="82"/>
      <c r="N790" s="82"/>
      <c r="O790" s="82"/>
      <c r="P790" s="82"/>
      <c r="Q790" s="82"/>
      <c r="R790" s="82"/>
      <c r="S790" s="82"/>
      <c r="T790" s="82"/>
      <c r="U790" s="82"/>
      <c r="V790" s="82"/>
      <c r="W790" s="82"/>
      <c r="X790" s="82"/>
      <c r="Y790" s="82"/>
      <c r="Z790" s="82"/>
      <c r="AA790" s="82"/>
      <c r="AB790" s="82"/>
      <c r="AC790" s="82"/>
      <c r="AD790" s="82"/>
      <c r="AE790" s="82"/>
      <c r="AF790" s="82"/>
      <c r="AG790" s="82"/>
      <c r="AH790" s="82"/>
      <c r="AI790" s="82"/>
      <c r="AJ790" s="82"/>
      <c r="AK790" s="82"/>
      <c r="AL790" s="82"/>
      <c r="AM790" s="82"/>
      <c r="AN790" s="82"/>
      <c r="AO790" s="82"/>
      <c r="AP790" s="82"/>
      <c r="AQ790" s="82"/>
      <c r="AR790" s="82"/>
      <c r="AS790" s="82"/>
      <c r="AT790" s="82"/>
      <c r="AU790" s="82"/>
      <c r="AV790" s="82"/>
      <c r="AW790" s="82" t="str">
        <f t="shared" si="1"/>
        <v/>
      </c>
      <c r="AX790" s="83" t="str">
        <f t="array" ref="AX790">IFERROR(DGET('SBV Import'!A:G,"SBV",{"RSC ID","Tier";B790,A790}))</f>
        <v/>
      </c>
      <c r="AY790" s="82" t="str">
        <f t="shared" si="2"/>
        <v/>
      </c>
      <c r="AZ790" s="82"/>
      <c r="BA790" s="84" t="s">
        <v>152</v>
      </c>
      <c r="BB790" s="84" t="str">
        <f>IFERROR(__xludf.DUMMYFUNCTION("iferror(if(A790="""",,E790&gt;=FILTER(Constants!$F$2:$F$10,Constants!$A$2:$A$10=A790)))"),"")</f>
        <v/>
      </c>
    </row>
    <row r="791">
      <c r="A791" s="80"/>
      <c r="B791" s="73"/>
      <c r="C791" s="73"/>
      <c r="D791" s="73"/>
      <c r="E791" s="82"/>
      <c r="F791" s="82"/>
      <c r="G791" s="82"/>
      <c r="H791" s="82"/>
      <c r="I791" s="82"/>
      <c r="J791" s="82"/>
      <c r="K791" s="82"/>
      <c r="L791" s="82"/>
      <c r="M791" s="82"/>
      <c r="N791" s="82"/>
      <c r="O791" s="82"/>
      <c r="P791" s="82"/>
      <c r="Q791" s="82"/>
      <c r="R791" s="82"/>
      <c r="S791" s="82"/>
      <c r="T791" s="82"/>
      <c r="U791" s="82"/>
      <c r="V791" s="82"/>
      <c r="W791" s="82"/>
      <c r="X791" s="82"/>
      <c r="Y791" s="82"/>
      <c r="Z791" s="82"/>
      <c r="AA791" s="82"/>
      <c r="AB791" s="82"/>
      <c r="AC791" s="82"/>
      <c r="AD791" s="82"/>
      <c r="AE791" s="82"/>
      <c r="AF791" s="82"/>
      <c r="AG791" s="82"/>
      <c r="AH791" s="82"/>
      <c r="AI791" s="82"/>
      <c r="AJ791" s="82"/>
      <c r="AK791" s="82"/>
      <c r="AL791" s="82"/>
      <c r="AM791" s="82"/>
      <c r="AN791" s="82"/>
      <c r="AO791" s="82"/>
      <c r="AP791" s="82"/>
      <c r="AQ791" s="82"/>
      <c r="AR791" s="82"/>
      <c r="AS791" s="82"/>
      <c r="AT791" s="82"/>
      <c r="AU791" s="82"/>
      <c r="AV791" s="82"/>
      <c r="AW791" s="82" t="str">
        <f t="shared" si="1"/>
        <v/>
      </c>
      <c r="AX791" s="83" t="str">
        <f t="array" ref="AX791">IFERROR(DGET('SBV Import'!A:G,"SBV",{"RSC ID","Tier";B791,A791}))</f>
        <v/>
      </c>
      <c r="AY791" s="82" t="str">
        <f t="shared" si="2"/>
        <v/>
      </c>
      <c r="AZ791" s="82"/>
      <c r="BA791" s="84" t="s">
        <v>152</v>
      </c>
      <c r="BB791" s="84" t="str">
        <f>IFERROR(__xludf.DUMMYFUNCTION("iferror(if(A791="""",,E791&gt;=FILTER(Constants!$F$2:$F$10,Constants!$A$2:$A$10=A791)))"),"")</f>
        <v/>
      </c>
    </row>
    <row r="792">
      <c r="A792" s="80"/>
      <c r="B792" s="73"/>
      <c r="C792" s="73"/>
      <c r="D792" s="73"/>
      <c r="E792" s="82"/>
      <c r="F792" s="82"/>
      <c r="G792" s="82"/>
      <c r="H792" s="82"/>
      <c r="I792" s="82"/>
      <c r="J792" s="82"/>
      <c r="K792" s="82"/>
      <c r="L792" s="82"/>
      <c r="M792" s="82"/>
      <c r="N792" s="82"/>
      <c r="O792" s="82"/>
      <c r="P792" s="82"/>
      <c r="Q792" s="82"/>
      <c r="R792" s="82"/>
      <c r="S792" s="82"/>
      <c r="T792" s="82"/>
      <c r="U792" s="82"/>
      <c r="V792" s="82"/>
      <c r="W792" s="82"/>
      <c r="X792" s="82"/>
      <c r="Y792" s="82"/>
      <c r="Z792" s="82"/>
      <c r="AA792" s="82"/>
      <c r="AB792" s="82"/>
      <c r="AC792" s="82"/>
      <c r="AD792" s="82"/>
      <c r="AE792" s="82"/>
      <c r="AF792" s="82"/>
      <c r="AG792" s="82"/>
      <c r="AH792" s="82"/>
      <c r="AI792" s="82"/>
      <c r="AJ792" s="82"/>
      <c r="AK792" s="82"/>
      <c r="AL792" s="82"/>
      <c r="AM792" s="82"/>
      <c r="AN792" s="82"/>
      <c r="AO792" s="82"/>
      <c r="AP792" s="82"/>
      <c r="AQ792" s="82"/>
      <c r="AR792" s="82"/>
      <c r="AS792" s="82"/>
      <c r="AT792" s="82"/>
      <c r="AU792" s="82"/>
      <c r="AV792" s="82"/>
      <c r="AW792" s="82" t="str">
        <f t="shared" si="1"/>
        <v/>
      </c>
      <c r="AX792" s="83" t="str">
        <f t="array" ref="AX792">IFERROR(DGET('SBV Import'!A:G,"SBV",{"RSC ID","Tier";B792,A792}))</f>
        <v/>
      </c>
      <c r="AY792" s="82" t="str">
        <f t="shared" si="2"/>
        <v/>
      </c>
      <c r="AZ792" s="82"/>
      <c r="BA792" s="84" t="s">
        <v>152</v>
      </c>
      <c r="BB792" s="84" t="str">
        <f>IFERROR(__xludf.DUMMYFUNCTION("iferror(if(A792="""",,E792&gt;=FILTER(Constants!$F$2:$F$10,Constants!$A$2:$A$10=A792)))"),"")</f>
        <v/>
      </c>
    </row>
    <row r="793">
      <c r="A793" s="80"/>
      <c r="B793" s="73"/>
      <c r="C793" s="73"/>
      <c r="D793" s="73"/>
      <c r="E793" s="82"/>
      <c r="F793" s="82"/>
      <c r="G793" s="82"/>
      <c r="H793" s="82"/>
      <c r="I793" s="82"/>
      <c r="J793" s="82"/>
      <c r="K793" s="82"/>
      <c r="L793" s="82"/>
      <c r="M793" s="82"/>
      <c r="N793" s="82"/>
      <c r="O793" s="82"/>
      <c r="P793" s="82"/>
      <c r="Q793" s="82"/>
      <c r="R793" s="82"/>
      <c r="S793" s="82"/>
      <c r="T793" s="82"/>
      <c r="U793" s="82"/>
      <c r="V793" s="82"/>
      <c r="W793" s="82"/>
      <c r="X793" s="82"/>
      <c r="Y793" s="82"/>
      <c r="Z793" s="82"/>
      <c r="AA793" s="82"/>
      <c r="AB793" s="82"/>
      <c r="AC793" s="82"/>
      <c r="AD793" s="82"/>
      <c r="AE793" s="82"/>
      <c r="AF793" s="82"/>
      <c r="AG793" s="82"/>
      <c r="AH793" s="82"/>
      <c r="AI793" s="82"/>
      <c r="AJ793" s="82"/>
      <c r="AK793" s="82"/>
      <c r="AL793" s="82"/>
      <c r="AM793" s="82"/>
      <c r="AN793" s="82"/>
      <c r="AO793" s="82"/>
      <c r="AP793" s="82"/>
      <c r="AQ793" s="82"/>
      <c r="AR793" s="82"/>
      <c r="AS793" s="82"/>
      <c r="AT793" s="82"/>
      <c r="AU793" s="82"/>
      <c r="AV793" s="82"/>
      <c r="AW793" s="82" t="str">
        <f t="shared" si="1"/>
        <v/>
      </c>
      <c r="AX793" s="83" t="str">
        <f t="array" ref="AX793">IFERROR(DGET('SBV Import'!A:G,"SBV",{"RSC ID","Tier";B793,A793}))</f>
        <v/>
      </c>
      <c r="AY793" s="82" t="str">
        <f t="shared" si="2"/>
        <v/>
      </c>
      <c r="AZ793" s="82"/>
      <c r="BA793" s="84" t="s">
        <v>152</v>
      </c>
      <c r="BB793" s="84" t="str">
        <f>IFERROR(__xludf.DUMMYFUNCTION("iferror(if(A793="""",,E793&gt;=FILTER(Constants!$F$2:$F$10,Constants!$A$2:$A$10=A793)))"),"")</f>
        <v/>
      </c>
    </row>
    <row r="794">
      <c r="A794" s="80"/>
      <c r="B794" s="73"/>
      <c r="C794" s="73"/>
      <c r="D794" s="73"/>
      <c r="E794" s="82"/>
      <c r="F794" s="82"/>
      <c r="G794" s="82"/>
      <c r="H794" s="82"/>
      <c r="I794" s="82"/>
      <c r="J794" s="82"/>
      <c r="K794" s="82"/>
      <c r="L794" s="82"/>
      <c r="M794" s="82"/>
      <c r="N794" s="82"/>
      <c r="O794" s="82"/>
      <c r="P794" s="82"/>
      <c r="Q794" s="82"/>
      <c r="R794" s="82"/>
      <c r="S794" s="82"/>
      <c r="T794" s="82"/>
      <c r="U794" s="82"/>
      <c r="V794" s="82"/>
      <c r="W794" s="82"/>
      <c r="X794" s="82"/>
      <c r="Y794" s="82"/>
      <c r="Z794" s="82"/>
      <c r="AA794" s="82"/>
      <c r="AB794" s="82"/>
      <c r="AC794" s="82"/>
      <c r="AD794" s="82"/>
      <c r="AE794" s="82"/>
      <c r="AF794" s="82"/>
      <c r="AG794" s="82"/>
      <c r="AH794" s="82"/>
      <c r="AI794" s="82"/>
      <c r="AJ794" s="82"/>
      <c r="AK794" s="82"/>
      <c r="AL794" s="82"/>
      <c r="AM794" s="82"/>
      <c r="AN794" s="82"/>
      <c r="AO794" s="82"/>
      <c r="AP794" s="82"/>
      <c r="AQ794" s="82"/>
      <c r="AR794" s="82"/>
      <c r="AS794" s="82"/>
      <c r="AT794" s="82"/>
      <c r="AU794" s="82"/>
      <c r="AV794" s="82"/>
      <c r="AW794" s="82" t="str">
        <f t="shared" si="1"/>
        <v/>
      </c>
      <c r="AX794" s="83" t="str">
        <f t="array" ref="AX794">IFERROR(DGET('SBV Import'!A:G,"SBV",{"RSC ID","Tier";B794,A794}))</f>
        <v/>
      </c>
      <c r="AY794" s="82" t="str">
        <f t="shared" si="2"/>
        <v/>
      </c>
      <c r="AZ794" s="82"/>
      <c r="BA794" s="84" t="s">
        <v>152</v>
      </c>
      <c r="BB794" s="84" t="str">
        <f>IFERROR(__xludf.DUMMYFUNCTION("iferror(if(A794="""",,E794&gt;=FILTER(Constants!$F$2:$F$10,Constants!$A$2:$A$10=A794)))"),"")</f>
        <v/>
      </c>
    </row>
    <row r="795">
      <c r="A795" s="80"/>
      <c r="B795" s="73"/>
      <c r="C795" s="73"/>
      <c r="D795" s="73"/>
      <c r="E795" s="82"/>
      <c r="F795" s="82"/>
      <c r="G795" s="82"/>
      <c r="H795" s="82"/>
      <c r="I795" s="82"/>
      <c r="J795" s="82"/>
      <c r="K795" s="82"/>
      <c r="L795" s="82"/>
      <c r="M795" s="82"/>
      <c r="N795" s="82"/>
      <c r="O795" s="82"/>
      <c r="P795" s="82"/>
      <c r="Q795" s="82"/>
      <c r="R795" s="82"/>
      <c r="S795" s="82"/>
      <c r="T795" s="82"/>
      <c r="U795" s="82"/>
      <c r="V795" s="82"/>
      <c r="W795" s="82"/>
      <c r="X795" s="82"/>
      <c r="Y795" s="82"/>
      <c r="Z795" s="82"/>
      <c r="AA795" s="82"/>
      <c r="AB795" s="82"/>
      <c r="AC795" s="82"/>
      <c r="AD795" s="82"/>
      <c r="AE795" s="82"/>
      <c r="AF795" s="82"/>
      <c r="AG795" s="82"/>
      <c r="AH795" s="82"/>
      <c r="AI795" s="82"/>
      <c r="AJ795" s="82"/>
      <c r="AK795" s="82"/>
      <c r="AL795" s="82"/>
      <c r="AM795" s="82"/>
      <c r="AN795" s="82"/>
      <c r="AO795" s="82"/>
      <c r="AP795" s="82"/>
      <c r="AQ795" s="82"/>
      <c r="AR795" s="82"/>
      <c r="AS795" s="82"/>
      <c r="AT795" s="82"/>
      <c r="AU795" s="82"/>
      <c r="AV795" s="82"/>
      <c r="AW795" s="82" t="str">
        <f t="shared" si="1"/>
        <v/>
      </c>
      <c r="AX795" s="83" t="str">
        <f t="array" ref="AX795">IFERROR(DGET('SBV Import'!A:G,"SBV",{"RSC ID","Tier";B795,A795}))</f>
        <v/>
      </c>
      <c r="AY795" s="82" t="str">
        <f t="shared" si="2"/>
        <v/>
      </c>
      <c r="AZ795" s="82"/>
      <c r="BA795" s="84" t="s">
        <v>152</v>
      </c>
      <c r="BB795" s="84" t="str">
        <f>IFERROR(__xludf.DUMMYFUNCTION("iferror(if(A795="""",,E795&gt;=FILTER(Constants!$F$2:$F$10,Constants!$A$2:$A$10=A795)))"),"")</f>
        <v/>
      </c>
    </row>
    <row r="796">
      <c r="A796" s="80"/>
      <c r="B796" s="73"/>
      <c r="C796" s="73"/>
      <c r="D796" s="73"/>
      <c r="E796" s="82"/>
      <c r="F796" s="82"/>
      <c r="G796" s="82"/>
      <c r="H796" s="82"/>
      <c r="I796" s="82"/>
      <c r="J796" s="82"/>
      <c r="K796" s="82"/>
      <c r="L796" s="82"/>
      <c r="M796" s="82"/>
      <c r="N796" s="82"/>
      <c r="O796" s="82"/>
      <c r="P796" s="82"/>
      <c r="Q796" s="82"/>
      <c r="R796" s="82"/>
      <c r="S796" s="82"/>
      <c r="T796" s="82"/>
      <c r="U796" s="82"/>
      <c r="V796" s="82"/>
      <c r="W796" s="82"/>
      <c r="X796" s="82"/>
      <c r="Y796" s="82"/>
      <c r="Z796" s="82"/>
      <c r="AA796" s="82"/>
      <c r="AB796" s="82"/>
      <c r="AC796" s="82"/>
      <c r="AD796" s="82"/>
      <c r="AE796" s="82"/>
      <c r="AF796" s="82"/>
      <c r="AG796" s="82"/>
      <c r="AH796" s="82"/>
      <c r="AI796" s="82"/>
      <c r="AJ796" s="82"/>
      <c r="AK796" s="82"/>
      <c r="AL796" s="82"/>
      <c r="AM796" s="82"/>
      <c r="AN796" s="82"/>
      <c r="AO796" s="82"/>
      <c r="AP796" s="82"/>
      <c r="AQ796" s="82"/>
      <c r="AR796" s="82"/>
      <c r="AS796" s="82"/>
      <c r="AT796" s="82"/>
      <c r="AU796" s="82"/>
      <c r="AV796" s="82"/>
      <c r="AW796" s="82" t="str">
        <f t="shared" si="1"/>
        <v/>
      </c>
      <c r="AX796" s="83" t="str">
        <f t="array" ref="AX796">IFERROR(DGET('SBV Import'!A:G,"SBV",{"RSC ID","Tier";B796,A796}))</f>
        <v/>
      </c>
      <c r="AY796" s="82" t="str">
        <f t="shared" si="2"/>
        <v/>
      </c>
      <c r="AZ796" s="82"/>
      <c r="BA796" s="84" t="s">
        <v>152</v>
      </c>
      <c r="BB796" s="84" t="str">
        <f>IFERROR(__xludf.DUMMYFUNCTION("iferror(if(A796="""",,E796&gt;=FILTER(Constants!$F$2:$F$10,Constants!$A$2:$A$10=A796)))"),"")</f>
        <v/>
      </c>
    </row>
    <row r="797">
      <c r="A797" s="80"/>
      <c r="B797" s="73"/>
      <c r="C797" s="73"/>
      <c r="D797" s="73"/>
      <c r="E797" s="82"/>
      <c r="F797" s="82"/>
      <c r="G797" s="82"/>
      <c r="H797" s="82"/>
      <c r="I797" s="82"/>
      <c r="J797" s="82"/>
      <c r="K797" s="82"/>
      <c r="L797" s="82"/>
      <c r="M797" s="82"/>
      <c r="N797" s="82"/>
      <c r="O797" s="82"/>
      <c r="P797" s="82"/>
      <c r="Q797" s="82"/>
      <c r="R797" s="82"/>
      <c r="S797" s="82"/>
      <c r="T797" s="82"/>
      <c r="U797" s="82"/>
      <c r="V797" s="82"/>
      <c r="W797" s="82"/>
      <c r="X797" s="82"/>
      <c r="Y797" s="82"/>
      <c r="Z797" s="82"/>
      <c r="AA797" s="82"/>
      <c r="AB797" s="82"/>
      <c r="AC797" s="82"/>
      <c r="AD797" s="82"/>
      <c r="AE797" s="82"/>
      <c r="AF797" s="82"/>
      <c r="AG797" s="82"/>
      <c r="AH797" s="82"/>
      <c r="AI797" s="82"/>
      <c r="AJ797" s="82"/>
      <c r="AK797" s="82"/>
      <c r="AL797" s="82"/>
      <c r="AM797" s="82"/>
      <c r="AN797" s="82"/>
      <c r="AO797" s="82"/>
      <c r="AP797" s="82"/>
      <c r="AQ797" s="82"/>
      <c r="AR797" s="82"/>
      <c r="AS797" s="82"/>
      <c r="AT797" s="82"/>
      <c r="AU797" s="82"/>
      <c r="AV797" s="82"/>
      <c r="AW797" s="82" t="str">
        <f t="shared" si="1"/>
        <v/>
      </c>
      <c r="AX797" s="83" t="str">
        <f t="array" ref="AX797">IFERROR(DGET('SBV Import'!A:G,"SBV",{"RSC ID","Tier";B797,A797}))</f>
        <v/>
      </c>
      <c r="AY797" s="82" t="str">
        <f t="shared" si="2"/>
        <v/>
      </c>
      <c r="AZ797" s="82"/>
      <c r="BA797" s="84" t="s">
        <v>152</v>
      </c>
      <c r="BB797" s="84" t="str">
        <f>IFERROR(__xludf.DUMMYFUNCTION("iferror(if(A797="""",,E797&gt;=FILTER(Constants!$F$2:$F$10,Constants!$A$2:$A$10=A797)))"),"")</f>
        <v/>
      </c>
    </row>
    <row r="798">
      <c r="A798" s="80"/>
      <c r="B798" s="73"/>
      <c r="C798" s="73"/>
      <c r="D798" s="73"/>
      <c r="E798" s="82"/>
      <c r="F798" s="82"/>
      <c r="G798" s="82"/>
      <c r="H798" s="82"/>
      <c r="I798" s="82"/>
      <c r="J798" s="82"/>
      <c r="K798" s="82"/>
      <c r="L798" s="82"/>
      <c r="M798" s="82"/>
      <c r="N798" s="82"/>
      <c r="O798" s="82"/>
      <c r="P798" s="82"/>
      <c r="Q798" s="82"/>
      <c r="R798" s="82"/>
      <c r="S798" s="82"/>
      <c r="T798" s="82"/>
      <c r="U798" s="82"/>
      <c r="V798" s="82"/>
      <c r="W798" s="82"/>
      <c r="X798" s="82"/>
      <c r="Y798" s="82"/>
      <c r="Z798" s="82"/>
      <c r="AA798" s="82"/>
      <c r="AB798" s="82"/>
      <c r="AC798" s="82"/>
      <c r="AD798" s="82"/>
      <c r="AE798" s="82"/>
      <c r="AF798" s="82"/>
      <c r="AG798" s="82"/>
      <c r="AH798" s="82"/>
      <c r="AI798" s="82"/>
      <c r="AJ798" s="82"/>
      <c r="AK798" s="82"/>
      <c r="AL798" s="82"/>
      <c r="AM798" s="82"/>
      <c r="AN798" s="82"/>
      <c r="AO798" s="82"/>
      <c r="AP798" s="82"/>
      <c r="AQ798" s="82"/>
      <c r="AR798" s="82"/>
      <c r="AS798" s="82"/>
      <c r="AT798" s="82"/>
      <c r="AU798" s="82"/>
      <c r="AV798" s="82"/>
      <c r="AW798" s="82" t="str">
        <f t="shared" si="1"/>
        <v/>
      </c>
      <c r="AX798" s="83" t="str">
        <f t="array" ref="AX798">IFERROR(DGET('SBV Import'!A:G,"SBV",{"RSC ID","Tier";B798,A798}))</f>
        <v/>
      </c>
      <c r="AY798" s="82" t="str">
        <f t="shared" si="2"/>
        <v/>
      </c>
      <c r="AZ798" s="82"/>
      <c r="BA798" s="84" t="s">
        <v>152</v>
      </c>
      <c r="BB798" s="84" t="str">
        <f>IFERROR(__xludf.DUMMYFUNCTION("iferror(if(A798="""",,E798&gt;=FILTER(Constants!$F$2:$F$10,Constants!$A$2:$A$10=A798)))"),"")</f>
        <v/>
      </c>
    </row>
    <row r="799">
      <c r="A799" s="80"/>
      <c r="B799" s="73"/>
      <c r="C799" s="73"/>
      <c r="D799" s="73"/>
      <c r="E799" s="82"/>
      <c r="F799" s="82"/>
      <c r="G799" s="82"/>
      <c r="H799" s="82"/>
      <c r="I799" s="82"/>
      <c r="J799" s="82"/>
      <c r="K799" s="82"/>
      <c r="L799" s="82"/>
      <c r="M799" s="82"/>
      <c r="N799" s="82"/>
      <c r="O799" s="82"/>
      <c r="P799" s="82"/>
      <c r="Q799" s="82"/>
      <c r="R799" s="82"/>
      <c r="S799" s="82"/>
      <c r="T799" s="82"/>
      <c r="U799" s="82"/>
      <c r="V799" s="82"/>
      <c r="W799" s="82"/>
      <c r="X799" s="82"/>
      <c r="Y799" s="82"/>
      <c r="Z799" s="82"/>
      <c r="AA799" s="82"/>
      <c r="AB799" s="82"/>
      <c r="AC799" s="82"/>
      <c r="AD799" s="82"/>
      <c r="AE799" s="82"/>
      <c r="AF799" s="82"/>
      <c r="AG799" s="82"/>
      <c r="AH799" s="82"/>
      <c r="AI799" s="82"/>
      <c r="AJ799" s="82"/>
      <c r="AK799" s="82"/>
      <c r="AL799" s="82"/>
      <c r="AM799" s="82"/>
      <c r="AN799" s="82"/>
      <c r="AO799" s="82"/>
      <c r="AP799" s="82"/>
      <c r="AQ799" s="82"/>
      <c r="AR799" s="82"/>
      <c r="AS799" s="82"/>
      <c r="AT799" s="82"/>
      <c r="AU799" s="82"/>
      <c r="AV799" s="82"/>
      <c r="AW799" s="82" t="str">
        <f t="shared" si="1"/>
        <v/>
      </c>
      <c r="AX799" s="83" t="str">
        <f t="array" ref="AX799">IFERROR(DGET('SBV Import'!A:G,"SBV",{"RSC ID","Tier";B799,A799}))</f>
        <v/>
      </c>
      <c r="AY799" s="82" t="str">
        <f t="shared" si="2"/>
        <v/>
      </c>
      <c r="AZ799" s="82"/>
      <c r="BA799" s="84" t="s">
        <v>152</v>
      </c>
      <c r="BB799" s="84" t="str">
        <f>IFERROR(__xludf.DUMMYFUNCTION("iferror(if(A799="""",,E799&gt;=FILTER(Constants!$F$2:$F$10,Constants!$A$2:$A$10=A799)))"),"")</f>
        <v/>
      </c>
    </row>
    <row r="800">
      <c r="A800" s="85" t="str">
        <f>IFERROR(__xludf.DUMMYFUNCTION("QUERY(IMPORTRANGE(Constants!$B4, ""'Player Stats'!a2:AV""), ""Select * order by Col48 desc"")"),"Elite")</f>
        <v>Elite</v>
      </c>
      <c r="B800" s="73" t="str">
        <f>IFERROR(__xludf.DUMMYFUNCTION("""COMPUTED_VALUE"""),"RSC007869")</f>
        <v>RSC007869</v>
      </c>
      <c r="C800" s="73" t="str">
        <f>IFERROR(__xludf.DUMMYFUNCTION("""COMPUTED_VALUE"""),"Swishira")</f>
        <v>Swishira</v>
      </c>
      <c r="D800" s="73" t="str">
        <f>IFERROR(__xludf.DUMMYFUNCTION("""COMPUTED_VALUE"""),"Black-Holes")</f>
        <v>Black-Holes</v>
      </c>
      <c r="E800" s="82">
        <f>IFERROR(__xludf.DUMMYFUNCTION("""COMPUTED_VALUE"""),32.0)</f>
        <v>32</v>
      </c>
      <c r="F800" s="82">
        <f>IFERROR(__xludf.DUMMYFUNCTION("""COMPUTED_VALUE"""),24.0)</f>
        <v>24</v>
      </c>
      <c r="G800" s="82">
        <f>IFERROR(__xludf.DUMMYFUNCTION("""COMPUTED_VALUE"""),8.0)</f>
        <v>8</v>
      </c>
      <c r="H800" s="86">
        <f>IFERROR(__xludf.DUMMYFUNCTION("""COMPUTED_VALUE"""),0.75)</f>
        <v>0.75</v>
      </c>
      <c r="I800" s="86">
        <f>IFERROR(__xludf.DUMMYFUNCTION("""COMPUTED_VALUE"""),0.4108527131782946)</f>
        <v>0.4108527132</v>
      </c>
      <c r="J800" s="82">
        <f>IFERROR(__xludf.DUMMYFUNCTION("""COMPUTED_VALUE"""),509.21875)</f>
        <v>509.21875</v>
      </c>
      <c r="K800" s="82">
        <f>IFERROR(__xludf.DUMMYFUNCTION("""COMPUTED_VALUE"""),1.65625)</f>
        <v>1.65625</v>
      </c>
      <c r="L800" s="82">
        <f>IFERROR(__xludf.DUMMYFUNCTION("""COMPUTED_VALUE"""),1.125)</f>
        <v>1.125</v>
      </c>
      <c r="M800" s="82">
        <f>IFERROR(__xludf.DUMMYFUNCTION("""COMPUTED_VALUE"""),1.0625)</f>
        <v>1.0625</v>
      </c>
      <c r="N800" s="82">
        <f>IFERROR(__xludf.DUMMYFUNCTION("""COMPUTED_VALUE"""),4.03125)</f>
        <v>4.03125</v>
      </c>
      <c r="O800" s="82">
        <f>IFERROR(__xludf.DUMMYFUNCTION("""COMPUTED_VALUE"""),369.2604166666666)</f>
        <v>369.2604167</v>
      </c>
      <c r="P800" s="82">
        <f>IFERROR(__xludf.DUMMYFUNCTION("""COMPUTED_VALUE"""),0.7291666666666666)</f>
        <v>0.7291666667</v>
      </c>
      <c r="Q800" s="82">
        <f>IFERROR(__xludf.DUMMYFUNCTION("""COMPUTED_VALUE"""),0.53125)</f>
        <v>0.53125</v>
      </c>
      <c r="R800" s="82">
        <f>IFERROR(__xludf.DUMMYFUNCTION("""COMPUTED_VALUE"""),1.770833333333334)</f>
        <v>1.770833333</v>
      </c>
      <c r="S800" s="82">
        <f>IFERROR(__xludf.DUMMYFUNCTION("""COMPUTED_VALUE"""),2.3125)</f>
        <v>2.3125</v>
      </c>
      <c r="T800" s="82">
        <f>IFERROR(__xludf.DUMMYFUNCTION("""COMPUTED_VALUE"""),342.81915386696414)</f>
        <v>342.8191539</v>
      </c>
      <c r="U800" s="82">
        <f>IFERROR(__xludf.DUMMYFUNCTION("""COMPUTED_VALUE"""),0.6838194963636273)</f>
        <v>0.6838194964</v>
      </c>
      <c r="V800" s="82">
        <f>IFERROR(__xludf.DUMMYFUNCTION("""COMPUTED_VALUE"""),0.4914675616686758)</f>
        <v>0.4914675617</v>
      </c>
      <c r="W800" s="82">
        <f>IFERROR(__xludf.DUMMYFUNCTION("""COMPUTED_VALUE"""),1.460370414921018)</f>
        <v>1.460370415</v>
      </c>
      <c r="X800" s="82">
        <f>IFERROR(__xludf.DUMMYFUNCTION("""COMPUTED_VALUE"""),2.476930968495191)</f>
        <v>2.476930968</v>
      </c>
      <c r="Y800" s="82">
        <f>IFERROR(__xludf.DUMMYFUNCTION("""COMPUTED_VALUE"""),379.64447265833104)</f>
        <v>379.6444727</v>
      </c>
      <c r="Z800" s="82">
        <f>IFERROR(__xludf.DUMMYFUNCTION("""COMPUTED_VALUE"""),0.8981434192444838)</f>
        <v>0.8981434192</v>
      </c>
      <c r="AA800" s="82">
        <f>IFERROR(__xludf.DUMMYFUNCTION("""COMPUTED_VALUE"""),0.6944079222097672)</f>
        <v>0.6944079222</v>
      </c>
      <c r="AB800" s="82">
        <f>IFERROR(__xludf.DUMMYFUNCTION("""COMPUTED_VALUE"""),1.3550507243795002)</f>
        <v>1.355050724</v>
      </c>
      <c r="AC800" s="82">
        <f>IFERROR(__xludf.DUMMYFUNCTION("""COMPUTED_VALUE"""),2.9310176924767815)</f>
        <v>2.931017692</v>
      </c>
      <c r="AD800" s="82">
        <f>IFERROR(__xludf.DUMMYFUNCTION("""COMPUTED_VALUE"""),1.3413042640509665)</f>
        <v>1.341304264</v>
      </c>
      <c r="AE800" s="82">
        <f>IFERROR(__xludf.DUMMYFUNCTION("""COMPUTED_VALUE"""),1.8440818743550265)</f>
        <v>1.844081874</v>
      </c>
      <c r="AF800" s="82">
        <f>IFERROR(__xludf.DUMMYFUNCTION("""COMPUTED_VALUE"""),1.6200852035500817)</f>
        <v>1.620085204</v>
      </c>
      <c r="AG800" s="82">
        <f>IFERROR(__xludf.DUMMYFUNCTION("""COMPUTED_VALUE"""),0.784103488440653)</f>
        <v>0.7841034884</v>
      </c>
      <c r="AH800" s="82">
        <f>IFERROR(__xludf.DUMMYFUNCTION("""COMPUTED_VALUE"""),1.375375525827514)</f>
        <v>1.375375526</v>
      </c>
      <c r="AI800" s="82">
        <f>IFERROR(__xludf.DUMMYFUNCTION("""COMPUTED_VALUE"""),1.0771288958083227)</f>
        <v>1.077128896</v>
      </c>
      <c r="AJ800" s="82">
        <f>IFERROR(__xludf.DUMMYFUNCTION("""COMPUTED_VALUE"""),1.0663145326276653)</f>
        <v>1.066314533</v>
      </c>
      <c r="AK800" s="82">
        <f>IFERROR(__xludf.DUMMYFUNCTION("""COMPUTED_VALUE"""),1.0809462138177568)</f>
        <v>1.080946214</v>
      </c>
      <c r="AL800" s="82">
        <f>IFERROR(__xludf.DUMMYFUNCTION("""COMPUTED_VALUE"""),1.212591898082999)</f>
        <v>1.212591898</v>
      </c>
      <c r="AM800" s="82">
        <f>IFERROR(__xludf.DUMMYFUNCTION("""COMPUTED_VALUE"""),0.9336150378889696)</f>
        <v>0.9336150379</v>
      </c>
      <c r="AN800" s="82">
        <f>IFERROR(__xludf.DUMMYFUNCTION("""COMPUTED_VALUE"""),1.4437369636589432)</f>
        <v>1.443736964</v>
      </c>
      <c r="AO800" s="82">
        <f>IFERROR(__xludf.DUMMYFUNCTION("""COMPUTED_VALUE"""),2.322323181352325)</f>
        <v>2.322323181</v>
      </c>
      <c r="AP800" s="82">
        <f>IFERROR(__xludf.DUMMYFUNCTION("""COMPUTED_VALUE"""),1.9562616773637587)</f>
        <v>1.956261677</v>
      </c>
      <c r="AQ800" s="82">
        <f>IFERROR(__xludf.DUMMYFUNCTION("""COMPUTED_VALUE"""),0.7448206450342336)</f>
        <v>0.744820645</v>
      </c>
      <c r="AR800" s="82">
        <f>IFERROR(__xludf.DUMMYFUNCTION("""COMPUTED_VALUE"""),1.600267290933039)</f>
        <v>1.600267291</v>
      </c>
      <c r="AS800" s="82">
        <f>IFERROR(__xludf.DUMMYFUNCTION("""COMPUTED_VALUE"""),119.0)</f>
        <v>119</v>
      </c>
      <c r="AT800" s="82">
        <f>IFERROR(__xludf.DUMMYFUNCTION("""COMPUTED_VALUE"""),0.7075260647261703)</f>
        <v>0.7075260647</v>
      </c>
      <c r="AU800" s="82">
        <f>IFERROR(__xludf.DUMMYFUNCTION("""COMPUTED_VALUE"""),5.0349975068847135)</f>
        <v>5.034997507</v>
      </c>
      <c r="AV800" s="82">
        <f>IFERROR(__xludf.DUMMYFUNCTION("""COMPUTED_VALUE"""),126.15790455603492)</f>
        <v>126.1579046</v>
      </c>
      <c r="AW800" s="82">
        <f t="shared" si="1"/>
        <v>863.3189862</v>
      </c>
      <c r="AX800" s="83">
        <f t="array" ref="AX800">IFERROR(DGET('SBV Import'!A:G,"SBV",{"RSC ID","Tier";B800,A800}))</f>
        <v>102.8407654</v>
      </c>
      <c r="AY800" s="82">
        <f t="shared" si="2"/>
        <v>57.8924339</v>
      </c>
      <c r="AZ800" s="82">
        <v>805.4265523539162</v>
      </c>
      <c r="BA800" s="84">
        <v>800.0</v>
      </c>
      <c r="BB800" s="84" t="b">
        <f>IFERROR(__xludf.DUMMYFUNCTION("iferror(if(A800="""",,E800&gt;=FILTER(Constants!$F$2:$F$10,Constants!$A$2:$A$10=A800)))"),TRUE)</f>
        <v>1</v>
      </c>
    </row>
    <row r="801">
      <c r="A801" s="80" t="str">
        <f>IFERROR(__xludf.DUMMYFUNCTION("""COMPUTED_VALUE"""),"Elite")</f>
        <v>Elite</v>
      </c>
      <c r="B801" s="73" t="str">
        <f>IFERROR(__xludf.DUMMYFUNCTION("""COMPUTED_VALUE"""),"RSC000579")</f>
        <v>RSC000579</v>
      </c>
      <c r="C801" s="73" t="str">
        <f>IFERROR(__xludf.DUMMYFUNCTION("""COMPUTED_VALUE"""),"Cryptt.")</f>
        <v>Cryptt.</v>
      </c>
      <c r="D801" s="73" t="str">
        <f>IFERROR(__xludf.DUMMYFUNCTION("""COMPUTED_VALUE"""),"Cotija Cartel")</f>
        <v>Cotija Cartel</v>
      </c>
      <c r="E801" s="82">
        <f>IFERROR(__xludf.DUMMYFUNCTION("""COMPUTED_VALUE"""),34.0)</f>
        <v>34</v>
      </c>
      <c r="F801" s="82">
        <f>IFERROR(__xludf.DUMMYFUNCTION("""COMPUTED_VALUE"""),28.0)</f>
        <v>28</v>
      </c>
      <c r="G801" s="82">
        <f>IFERROR(__xludf.DUMMYFUNCTION("""COMPUTED_VALUE"""),6.0)</f>
        <v>6</v>
      </c>
      <c r="H801" s="86">
        <f>IFERROR(__xludf.DUMMYFUNCTION("""COMPUTED_VALUE"""),0.8235294117647058)</f>
        <v>0.8235294118</v>
      </c>
      <c r="I801" s="86">
        <f>IFERROR(__xludf.DUMMYFUNCTION("""COMPUTED_VALUE"""),0.3309859154929577)</f>
        <v>0.3309859155</v>
      </c>
      <c r="J801" s="82">
        <f>IFERROR(__xludf.DUMMYFUNCTION("""COMPUTED_VALUE"""),461.38235294117646)</f>
        <v>461.3823529</v>
      </c>
      <c r="K801" s="82">
        <f>IFERROR(__xludf.DUMMYFUNCTION("""COMPUTED_VALUE"""),1.3823529411764706)</f>
        <v>1.382352941</v>
      </c>
      <c r="L801" s="82">
        <f>IFERROR(__xludf.DUMMYFUNCTION("""COMPUTED_VALUE"""),0.5882352941176471)</f>
        <v>0.5882352941</v>
      </c>
      <c r="M801" s="82">
        <f>IFERROR(__xludf.DUMMYFUNCTION("""COMPUTED_VALUE"""),1.3823529411764706)</f>
        <v>1.382352941</v>
      </c>
      <c r="N801" s="82">
        <f>IFERROR(__xludf.DUMMYFUNCTION("""COMPUTED_VALUE"""),4.176470588235294)</f>
        <v>4.176470588</v>
      </c>
      <c r="O801" s="82">
        <f>IFERROR(__xludf.DUMMYFUNCTION("""COMPUTED_VALUE"""),311.52941176470586)</f>
        <v>311.5294118</v>
      </c>
      <c r="P801" s="82">
        <f>IFERROR(__xludf.DUMMYFUNCTION("""COMPUTED_VALUE"""),0.5196078431372549)</f>
        <v>0.5196078431</v>
      </c>
      <c r="Q801" s="82">
        <f>IFERROR(__xludf.DUMMYFUNCTION("""COMPUTED_VALUE"""),0.3431372549019609)</f>
        <v>0.3431372549</v>
      </c>
      <c r="R801" s="82">
        <f>IFERROR(__xludf.DUMMYFUNCTION("""COMPUTED_VALUE"""),1.3823529411764703)</f>
        <v>1.382352941</v>
      </c>
      <c r="S801" s="82">
        <f>IFERROR(__xludf.DUMMYFUNCTION("""COMPUTED_VALUE"""),2.1960784313725488)</f>
        <v>2.196078431</v>
      </c>
      <c r="T801" s="82">
        <f>IFERROR(__xludf.DUMMYFUNCTION("""COMPUTED_VALUE"""),353.2376148931269)</f>
        <v>353.2376149</v>
      </c>
      <c r="U801" s="82">
        <f>IFERROR(__xludf.DUMMYFUNCTION("""COMPUTED_VALUE"""),0.7353127369008049)</f>
        <v>0.7353127369</v>
      </c>
      <c r="V801" s="82">
        <f>IFERROR(__xludf.DUMMYFUNCTION("""COMPUTED_VALUE"""),0.5268882677113926)</f>
        <v>0.5268882677</v>
      </c>
      <c r="W801" s="82">
        <f>IFERROR(__xludf.DUMMYFUNCTION("""COMPUTED_VALUE"""),1.4549859553692295)</f>
        <v>1.454985955</v>
      </c>
      <c r="X801" s="82">
        <f>IFERROR(__xludf.DUMMYFUNCTION("""COMPUTED_VALUE"""),2.5306299757001574)</f>
        <v>2.530629976</v>
      </c>
      <c r="Y801" s="82">
        <f>IFERROR(__xludf.DUMMYFUNCTION("""COMPUTED_VALUE"""),366.5870068238791)</f>
        <v>366.5870068</v>
      </c>
      <c r="Z801" s="82">
        <f>IFERROR(__xludf.DUMMYFUNCTION("""COMPUTED_VALUE"""),0.8144779137505729)</f>
        <v>0.8144779138</v>
      </c>
      <c r="AA801" s="82">
        <f>IFERROR(__xludf.DUMMYFUNCTION("""COMPUTED_VALUE"""),0.5953047128130842)</f>
        <v>0.5953047128</v>
      </c>
      <c r="AB801" s="82">
        <f>IFERROR(__xludf.DUMMYFUNCTION("""COMPUTED_VALUE"""),1.3805195613188737)</f>
        <v>1.380519561</v>
      </c>
      <c r="AC801" s="82">
        <f>IFERROR(__xludf.DUMMYFUNCTION("""COMPUTED_VALUE"""),2.787228817363668)</f>
        <v>2.787228817</v>
      </c>
      <c r="AD801" s="82">
        <f>IFERROR(__xludf.DUMMYFUNCTION("""COMPUTED_VALUE"""),1.2585889416501885)</f>
        <v>1.258588942</v>
      </c>
      <c r="AE801" s="82">
        <f>IFERROR(__xludf.DUMMYFUNCTION("""COMPUTED_VALUE"""),1.6972258152598656)</f>
        <v>1.697225815</v>
      </c>
      <c r="AF801" s="82">
        <f>IFERROR(__xludf.DUMMYFUNCTION("""COMPUTED_VALUE"""),0.9881247056452301)</f>
        <v>0.9881247056</v>
      </c>
      <c r="AG801" s="82">
        <f>IFERROR(__xludf.DUMMYFUNCTION("""COMPUTED_VALUE"""),1.001328036131444)</f>
        <v>1.001328036</v>
      </c>
      <c r="AH801" s="82">
        <f>IFERROR(__xludf.DUMMYFUNCTION("""COMPUTED_VALUE"""),1.498431188073628)</f>
        <v>1.498431188</v>
      </c>
      <c r="AI801" s="82">
        <f>IFERROR(__xludf.DUMMYFUNCTION("""COMPUTED_VALUE"""),0.8819259292614124)</f>
        <v>0.8819259293</v>
      </c>
      <c r="AJ801" s="82">
        <f>IFERROR(__xludf.DUMMYFUNCTION("""COMPUTED_VALUE"""),0.7066487727756455)</f>
        <v>0.7066487728</v>
      </c>
      <c r="AK801" s="82">
        <f>IFERROR(__xludf.DUMMYFUNCTION("""COMPUTED_VALUE"""),0.6512524114314064)</f>
        <v>0.6512524114</v>
      </c>
      <c r="AL801" s="82">
        <f>IFERROR(__xludf.DUMMYFUNCTION("""COMPUTED_VALUE"""),0.950079920754749)</f>
        <v>0.9500799208</v>
      </c>
      <c r="AM801" s="82">
        <f>IFERROR(__xludf.DUMMYFUNCTION("""COMPUTED_VALUE"""),0.8677991063331781)</f>
        <v>0.8677991063</v>
      </c>
      <c r="AN801" s="82">
        <f>IFERROR(__xludf.DUMMYFUNCTION("""COMPUTED_VALUE"""),1.3081112141316733)</f>
        <v>1.308111214</v>
      </c>
      <c r="AO801" s="82">
        <f>IFERROR(__xludf.DUMMYFUNCTION("""COMPUTED_VALUE"""),1.9382763955349038)</f>
        <v>1.938276396</v>
      </c>
      <c r="AP801" s="82">
        <f>IFERROR(__xludf.DUMMYFUNCTION("""COMPUTED_VALUE"""),1.0228819228045798)</f>
        <v>1.022881923</v>
      </c>
      <c r="AQ801" s="82">
        <f>IFERROR(__xludf.DUMMYFUNCTION("""COMPUTED_VALUE"""),0.9690400087642623)</f>
        <v>0.9690400088</v>
      </c>
      <c r="AR801" s="82">
        <f>IFERROR(__xludf.DUMMYFUNCTION("""COMPUTED_VALUE"""),1.6579148586410695)</f>
        <v>1.657914859</v>
      </c>
      <c r="AS801" s="82">
        <f>IFERROR(__xludf.DUMMYFUNCTION("""COMPUTED_VALUE"""),108.0)</f>
        <v>108</v>
      </c>
      <c r="AT801" s="82">
        <f>IFERROR(__xludf.DUMMYFUNCTION("""COMPUTED_VALUE"""),0.7525503138140399)</f>
        <v>0.7525503138</v>
      </c>
      <c r="AU801" s="82">
        <f>IFERROR(__xludf.DUMMYFUNCTION("""COMPUTED_VALUE"""),4.56648017278331)</f>
        <v>4.566480173</v>
      </c>
      <c r="AV801" s="82">
        <f>IFERROR(__xludf.DUMMYFUNCTION("""COMPUTED_VALUE"""),112.99282088028892)</f>
        <v>112.9928209</v>
      </c>
      <c r="AW801" s="82">
        <f t="shared" si="1"/>
        <v>170.284343</v>
      </c>
      <c r="AX801" s="83">
        <f t="array" ref="AX801">IFERROR(DGET('SBV Import'!A:G,"SBV",{"RSC ID","Tier";B801,A801}))</f>
        <v>92.78440972</v>
      </c>
      <c r="AY801" s="82">
        <f t="shared" si="2"/>
        <v>22.98542703</v>
      </c>
      <c r="AZ801" s="82">
        <v>147.29891592096402</v>
      </c>
      <c r="BA801" s="84">
        <v>800.0</v>
      </c>
      <c r="BB801" s="84" t="b">
        <f>IFERROR(__xludf.DUMMYFUNCTION("iferror(if(A801="""",,E801&gt;=FILTER(Constants!$F$2:$F$10,Constants!$A$2:$A$10=A801)))"),TRUE)</f>
        <v>1</v>
      </c>
    </row>
    <row r="802">
      <c r="A802" s="80" t="str">
        <f>IFERROR(__xludf.DUMMYFUNCTION("""COMPUTED_VALUE"""),"Elite")</f>
        <v>Elite</v>
      </c>
      <c r="B802" s="73" t="str">
        <f>IFERROR(__xludf.DUMMYFUNCTION("""COMPUTED_VALUE"""),"RSC000197")</f>
        <v>RSC000197</v>
      </c>
      <c r="C802" s="73" t="str">
        <f>IFERROR(__xludf.DUMMYFUNCTION("""COMPUTED_VALUE"""),"kareemostyle")</f>
        <v>kareemostyle</v>
      </c>
      <c r="D802" s="73" t="str">
        <f>IFERROR(__xludf.DUMMYFUNCTION("""COMPUTED_VALUE"""),"Drive Bye")</f>
        <v>Drive Bye</v>
      </c>
      <c r="E802" s="82">
        <f>IFERROR(__xludf.DUMMYFUNCTION("""COMPUTED_VALUE"""),4.0)</f>
        <v>4</v>
      </c>
      <c r="F802" s="82">
        <f>IFERROR(__xludf.DUMMYFUNCTION("""COMPUTED_VALUE"""),3.0)</f>
        <v>3</v>
      </c>
      <c r="G802" s="82">
        <f>IFERROR(__xludf.DUMMYFUNCTION("""COMPUTED_VALUE"""),1.0)</f>
        <v>1</v>
      </c>
      <c r="H802" s="86">
        <f>IFERROR(__xludf.DUMMYFUNCTION("""COMPUTED_VALUE"""),0.75)</f>
        <v>0.75</v>
      </c>
      <c r="I802" s="86">
        <f>IFERROR(__xludf.DUMMYFUNCTION("""COMPUTED_VALUE"""),0.6)</f>
        <v>0.6</v>
      </c>
      <c r="J802" s="82">
        <f>IFERROR(__xludf.DUMMYFUNCTION("""COMPUTED_VALUE"""),521.75)</f>
        <v>521.75</v>
      </c>
      <c r="K802" s="82">
        <f>IFERROR(__xludf.DUMMYFUNCTION("""COMPUTED_VALUE"""),1.5)</f>
        <v>1.5</v>
      </c>
      <c r="L802" s="82">
        <f>IFERROR(__xludf.DUMMYFUNCTION("""COMPUTED_VALUE"""),0.75)</f>
        <v>0.75</v>
      </c>
      <c r="M802" s="82">
        <f>IFERROR(__xludf.DUMMYFUNCTION("""COMPUTED_VALUE"""),2.25)</f>
        <v>2.25</v>
      </c>
      <c r="N802" s="82">
        <f>IFERROR(__xludf.DUMMYFUNCTION("""COMPUTED_VALUE"""),2.5)</f>
        <v>2.5</v>
      </c>
      <c r="O802" s="82">
        <f>IFERROR(__xludf.DUMMYFUNCTION("""COMPUTED_VALUE"""),313.9166666666667)</f>
        <v>313.9166667</v>
      </c>
      <c r="P802" s="82">
        <f>IFERROR(__xludf.DUMMYFUNCTION("""COMPUTED_VALUE"""),0.6666666666666666)</f>
        <v>0.6666666667</v>
      </c>
      <c r="Q802" s="82">
        <f>IFERROR(__xludf.DUMMYFUNCTION("""COMPUTED_VALUE"""),0.41666666666666663)</f>
        <v>0.4166666667</v>
      </c>
      <c r="R802" s="82">
        <f>IFERROR(__xludf.DUMMYFUNCTION("""COMPUTED_VALUE"""),0.8333333333333334)</f>
        <v>0.8333333333</v>
      </c>
      <c r="S802" s="82">
        <f>IFERROR(__xludf.DUMMYFUNCTION("""COMPUTED_VALUE"""),3.0833333333333335)</f>
        <v>3.083333333</v>
      </c>
      <c r="T802" s="82">
        <f>IFERROR(__xludf.DUMMYFUNCTION("""COMPUTED_VALUE"""),372.8339947089947)</f>
        <v>372.8339947</v>
      </c>
      <c r="U802" s="82">
        <f>IFERROR(__xludf.DUMMYFUNCTION("""COMPUTED_VALUE"""),0.8115079365079364)</f>
        <v>0.8115079365</v>
      </c>
      <c r="V802" s="82">
        <f>IFERROR(__xludf.DUMMYFUNCTION("""COMPUTED_VALUE"""),0.6031746031746031)</f>
        <v>0.6031746032</v>
      </c>
      <c r="W802" s="82">
        <f>IFERROR(__xludf.DUMMYFUNCTION("""COMPUTED_VALUE"""),1.5059523809523807)</f>
        <v>1.505952381</v>
      </c>
      <c r="X802" s="82">
        <f>IFERROR(__xludf.DUMMYFUNCTION("""COMPUTED_VALUE"""),2.861111111111111)</f>
        <v>2.861111111</v>
      </c>
      <c r="Y802" s="82">
        <f>IFERROR(__xludf.DUMMYFUNCTION("""COMPUTED_VALUE"""),363.1671075837742)</f>
        <v>363.1671076</v>
      </c>
      <c r="Z802" s="82">
        <f>IFERROR(__xludf.DUMMYFUNCTION("""COMPUTED_VALUE"""),0.8269400352733687)</f>
        <v>0.8269400353</v>
      </c>
      <c r="AA802" s="82">
        <f>IFERROR(__xludf.DUMMYFUNCTION("""COMPUTED_VALUE"""),0.5954585537918872)</f>
        <v>0.5954585538</v>
      </c>
      <c r="AB802" s="82">
        <f>IFERROR(__xludf.DUMMYFUNCTION("""COMPUTED_VALUE"""),1.4488536155202822)</f>
        <v>1.448853616</v>
      </c>
      <c r="AC802" s="82">
        <f>IFERROR(__xludf.DUMMYFUNCTION("""COMPUTED_VALUE"""),2.53615520282187)</f>
        <v>2.536155203</v>
      </c>
      <c r="AD802" s="82">
        <f>IFERROR(__xludf.DUMMYFUNCTION("""COMPUTED_VALUE"""),1.4366664521776504)</f>
        <v>1.436666452</v>
      </c>
      <c r="AE802" s="82">
        <f>IFERROR(__xludf.DUMMYFUNCTION("""COMPUTED_VALUE"""),1.8139162889896026)</f>
        <v>1.813916289</v>
      </c>
      <c r="AF802" s="82">
        <f>IFERROR(__xludf.DUMMYFUNCTION("""COMPUTED_VALUE"""),1.2595335061088484)</f>
        <v>1.259533506</v>
      </c>
      <c r="AG802" s="82">
        <f>IFERROR(__xludf.DUMMYFUNCTION("""COMPUTED_VALUE"""),1.5529519172245891)</f>
        <v>1.552951917</v>
      </c>
      <c r="AH802" s="82">
        <f>IFERROR(__xludf.DUMMYFUNCTION("""COMPUTED_VALUE"""),0.9857440890125172)</f>
        <v>0.985744089</v>
      </c>
      <c r="AI802" s="82">
        <f>IFERROR(__xludf.DUMMYFUNCTION("""COMPUTED_VALUE"""),0.8419743669342322)</f>
        <v>0.8419743669</v>
      </c>
      <c r="AJ802" s="82">
        <f>IFERROR(__xludf.DUMMYFUNCTION("""COMPUTED_VALUE"""),0.8215158924205379)</f>
        <v>0.8215158924</v>
      </c>
      <c r="AK802" s="82">
        <f>IFERROR(__xludf.DUMMYFUNCTION("""COMPUTED_VALUE"""),0.6907894736842105)</f>
        <v>0.6907894737</v>
      </c>
      <c r="AL802" s="82">
        <f>IFERROR(__xludf.DUMMYFUNCTION("""COMPUTED_VALUE"""),0.5533596837944665)</f>
        <v>0.5533596838</v>
      </c>
      <c r="AM802" s="82">
        <f>IFERROR(__xludf.DUMMYFUNCTION("""COMPUTED_VALUE"""),1.0776699029126213)</f>
        <v>1.077669903</v>
      </c>
      <c r="AN802" s="82">
        <f>IFERROR(__xludf.DUMMYFUNCTION("""COMPUTED_VALUE"""),1.4792655627646343)</f>
        <v>1.479265563</v>
      </c>
      <c r="AO802" s="82">
        <f>IFERROR(__xludf.DUMMYFUNCTION("""COMPUTED_VALUE"""),2.103236088771917)</f>
        <v>2.103236089</v>
      </c>
      <c r="AP802" s="82">
        <f>IFERROR(__xludf.DUMMYFUNCTION("""COMPUTED_VALUE"""),1.304174451575839)</f>
        <v>1.304174452</v>
      </c>
      <c r="AQ802" s="82">
        <f>IFERROR(__xludf.DUMMYFUNCTION("""COMPUTED_VALUE"""),1.5772672483077887)</f>
        <v>1.577267248</v>
      </c>
      <c r="AR802" s="82">
        <f>IFERROR(__xludf.DUMMYFUNCTION("""COMPUTED_VALUE"""),0.9924138238344429)</f>
        <v>0.9924138238</v>
      </c>
      <c r="AS802" s="82">
        <f>IFERROR(__xludf.DUMMYFUNCTION("""COMPUTED_VALUE"""),10.0)</f>
        <v>10</v>
      </c>
      <c r="AT802" s="82">
        <f>IFERROR(__xludf.DUMMYFUNCTION("""COMPUTED_VALUE"""),0.585065350241743)</f>
        <v>0.5850653502</v>
      </c>
      <c r="AU802" s="82">
        <f>IFERROR(__xludf.DUMMYFUNCTION("""COMPUTED_VALUE"""),4.303035438973229)</f>
        <v>4.303035439</v>
      </c>
      <c r="AV802" s="82">
        <f>IFERROR(__xludf.DUMMYFUNCTION("""COMPUTED_VALUE"""),105.59016635268996)</f>
        <v>105.5901664</v>
      </c>
      <c r="AW802" s="82">
        <f t="shared" si="1"/>
        <v>76.40901916</v>
      </c>
      <c r="AX802" s="83">
        <f t="array" ref="AX802">IFERROR(DGET('SBV Import'!A:G,"SBV",{"RSC ID","Tier";B802,A802}))</f>
        <v>109.335692</v>
      </c>
      <c r="AY802" s="82">
        <f t="shared" si="2"/>
        <v>113.482621</v>
      </c>
      <c r="AZ802" s="82">
        <v>37.07360182071588</v>
      </c>
      <c r="BA802" s="84">
        <v>800.0</v>
      </c>
      <c r="BB802" s="84" t="b">
        <f>IFERROR(__xludf.DUMMYFUNCTION("iferror(if(A802="""",,E802&gt;=FILTER(Constants!$F$2:$F$10,Constants!$A$2:$A$10=A802)))"),TRUE)</f>
        <v>1</v>
      </c>
    </row>
    <row r="803">
      <c r="A803" s="80" t="str">
        <f>IFERROR(__xludf.DUMMYFUNCTION("""COMPUTED_VALUE"""),"Elite")</f>
        <v>Elite</v>
      </c>
      <c r="B803" s="73" t="str">
        <f>IFERROR(__xludf.DUMMYFUNCTION("""COMPUTED_VALUE"""),"RSC001056")</f>
        <v>RSC001056</v>
      </c>
      <c r="C803" s="73" t="str">
        <f>IFERROR(__xludf.DUMMYFUNCTION("""COMPUTED_VALUE"""),"mysandislost")</f>
        <v>mysandislost</v>
      </c>
      <c r="D803" s="73" t="str">
        <f>IFERROR(__xludf.DUMMYFUNCTION("""COMPUTED_VALUE"""),"Orochi")</f>
        <v>Orochi</v>
      </c>
      <c r="E803" s="82">
        <f>IFERROR(__xludf.DUMMYFUNCTION("""COMPUTED_VALUE"""),16.0)</f>
        <v>16</v>
      </c>
      <c r="F803" s="82">
        <f>IFERROR(__xludf.DUMMYFUNCTION("""COMPUTED_VALUE"""),10.0)</f>
        <v>10</v>
      </c>
      <c r="G803" s="82">
        <f>IFERROR(__xludf.DUMMYFUNCTION("""COMPUTED_VALUE"""),6.0)</f>
        <v>6</v>
      </c>
      <c r="H803" s="86">
        <f>IFERROR(__xludf.DUMMYFUNCTION("""COMPUTED_VALUE"""),0.625)</f>
        <v>0.625</v>
      </c>
      <c r="I803" s="86">
        <f>IFERROR(__xludf.DUMMYFUNCTION("""COMPUTED_VALUE"""),0.23728813559322035)</f>
        <v>0.2372881356</v>
      </c>
      <c r="J803" s="82">
        <f>IFERROR(__xludf.DUMMYFUNCTION("""COMPUTED_VALUE"""),407.6875)</f>
        <v>407.6875</v>
      </c>
      <c r="K803" s="82">
        <f>IFERROR(__xludf.DUMMYFUNCTION("""COMPUTED_VALUE"""),0.875)</f>
        <v>0.875</v>
      </c>
      <c r="L803" s="82">
        <f>IFERROR(__xludf.DUMMYFUNCTION("""COMPUTED_VALUE"""),0.875)</f>
        <v>0.875</v>
      </c>
      <c r="M803" s="82">
        <f>IFERROR(__xludf.DUMMYFUNCTION("""COMPUTED_VALUE"""),1.5)</f>
        <v>1.5</v>
      </c>
      <c r="N803" s="82">
        <f>IFERROR(__xludf.DUMMYFUNCTION("""COMPUTED_VALUE"""),3.6875)</f>
        <v>3.6875</v>
      </c>
      <c r="O803" s="82">
        <f>IFERROR(__xludf.DUMMYFUNCTION("""COMPUTED_VALUE"""),338.9375)</f>
        <v>338.9375</v>
      </c>
      <c r="P803" s="82">
        <f>IFERROR(__xludf.DUMMYFUNCTION("""COMPUTED_VALUE"""),0.6041666666666667)</f>
        <v>0.6041666667</v>
      </c>
      <c r="Q803" s="82">
        <f>IFERROR(__xludf.DUMMYFUNCTION("""COMPUTED_VALUE"""),0.4375)</f>
        <v>0.4375</v>
      </c>
      <c r="R803" s="82">
        <f>IFERROR(__xludf.DUMMYFUNCTION("""COMPUTED_VALUE"""),1.479166666666667)</f>
        <v>1.479166667</v>
      </c>
      <c r="S803" s="82">
        <f>IFERROR(__xludf.DUMMYFUNCTION("""COMPUTED_VALUE"""),2.5625)</f>
        <v>2.5625</v>
      </c>
      <c r="T803" s="82">
        <f>IFERROR(__xludf.DUMMYFUNCTION("""COMPUTED_VALUE"""),362.7313453654826)</f>
        <v>362.7313454</v>
      </c>
      <c r="U803" s="82">
        <f>IFERROR(__xludf.DUMMYFUNCTION("""COMPUTED_VALUE"""),0.7272302858549718)</f>
        <v>0.7272302859</v>
      </c>
      <c r="V803" s="82">
        <f>IFERROR(__xludf.DUMMYFUNCTION("""COMPUTED_VALUE"""),0.5942435229339113)</f>
        <v>0.5942435229</v>
      </c>
      <c r="W803" s="82">
        <f>IFERROR(__xludf.DUMMYFUNCTION("""COMPUTED_VALUE"""),1.4320362512196283)</f>
        <v>1.432036251</v>
      </c>
      <c r="X803" s="82">
        <f>IFERROR(__xludf.DUMMYFUNCTION("""COMPUTED_VALUE"""),2.6936247810385185)</f>
        <v>2.693624781</v>
      </c>
      <c r="Y803" s="82">
        <f>IFERROR(__xludf.DUMMYFUNCTION("""COMPUTED_VALUE"""),349.77438501731274)</f>
        <v>349.774385</v>
      </c>
      <c r="Z803" s="82">
        <f>IFERROR(__xludf.DUMMYFUNCTION("""COMPUTED_VALUE"""),0.6869815593098254)</f>
        <v>0.6869815593</v>
      </c>
      <c r="AA803" s="82">
        <f>IFERROR(__xludf.DUMMYFUNCTION("""COMPUTED_VALUE"""),0.5185774470471736)</f>
        <v>0.518577447</v>
      </c>
      <c r="AB803" s="82">
        <f>IFERROR(__xludf.DUMMYFUNCTION("""COMPUTED_VALUE"""),1.4662673876258259)</f>
        <v>1.466267388</v>
      </c>
      <c r="AC803" s="82">
        <f>IFERROR(__xludf.DUMMYFUNCTION("""COMPUTED_VALUE"""),2.5541606100836134)</f>
        <v>2.55416061</v>
      </c>
      <c r="AD803" s="82">
        <f>IFERROR(__xludf.DUMMYFUNCTION("""COMPUTED_VALUE"""),1.1655727733745305)</f>
        <v>1.165572773</v>
      </c>
      <c r="AE803" s="82">
        <f>IFERROR(__xludf.DUMMYFUNCTION("""COMPUTED_VALUE"""),1.273687754994569)</f>
        <v>1.273687755</v>
      </c>
      <c r="AF803" s="82">
        <f>IFERROR(__xludf.DUMMYFUNCTION("""COMPUTED_VALUE"""),1.6873082410010856)</f>
        <v>1.687308241</v>
      </c>
      <c r="AG803" s="82">
        <f>IFERROR(__xludf.DUMMYFUNCTION("""COMPUTED_VALUE"""),1.0230057714294485)</f>
        <v>1.023005771</v>
      </c>
      <c r="AH803" s="82">
        <f>IFERROR(__xludf.DUMMYFUNCTION("""COMPUTED_VALUE"""),1.4437228361607555)</f>
        <v>1.443722836</v>
      </c>
      <c r="AI803" s="82">
        <f>IFERROR(__xludf.DUMMYFUNCTION("""COMPUTED_VALUE"""),0.9344036690804643)</f>
        <v>0.9344036691</v>
      </c>
      <c r="AJ803" s="82">
        <f>IFERROR(__xludf.DUMMYFUNCTION("""COMPUTED_VALUE"""),0.8307776483158635)</f>
        <v>0.8307776483</v>
      </c>
      <c r="AK803" s="82">
        <f>IFERROR(__xludf.DUMMYFUNCTION("""COMPUTED_VALUE"""),0.736230153321598)</f>
        <v>0.7362301533</v>
      </c>
      <c r="AL803" s="82">
        <f>IFERROR(__xludf.DUMMYFUNCTION("""COMPUTED_VALUE"""),1.0329114681328067)</f>
        <v>1.032911468</v>
      </c>
      <c r="AM803" s="82">
        <f>IFERROR(__xludf.DUMMYFUNCTION("""COMPUTED_VALUE"""),0.9513203242108711)</f>
        <v>0.9513203242</v>
      </c>
      <c r="AN803" s="82">
        <f>IFERROR(__xludf.DUMMYFUNCTION("""COMPUTED_VALUE"""),1.1558755709048527)</f>
        <v>1.155875571</v>
      </c>
      <c r="AO803" s="82">
        <f>IFERROR(__xludf.DUMMYFUNCTION("""COMPUTED_VALUE"""),1.2268877184502849)</f>
        <v>1.226887718</v>
      </c>
      <c r="AP803" s="82">
        <f>IFERROR(__xludf.DUMMYFUNCTION("""COMPUTED_VALUE"""),1.5215368601718122)</f>
        <v>1.52153686</v>
      </c>
      <c r="AQ803" s="82">
        <f>IFERROR(__xludf.DUMMYFUNCTION("""COMPUTED_VALUE"""),1.0515114988718592)</f>
        <v>1.051511499</v>
      </c>
      <c r="AR803" s="82">
        <f>IFERROR(__xludf.DUMMYFUNCTION("""COMPUTED_VALUE"""),1.4638103901558033)</f>
        <v>1.46381039</v>
      </c>
      <c r="AS803" s="82">
        <f>IFERROR(__xludf.DUMMYFUNCTION("""COMPUTED_VALUE"""),43.0)</f>
        <v>43</v>
      </c>
      <c r="AT803" s="82">
        <f>IFERROR(__xludf.DUMMYFUNCTION("""COMPUTED_VALUE"""),0.6471521625054047)</f>
        <v>0.6471521625</v>
      </c>
      <c r="AU803" s="82">
        <f>IFERROR(__xludf.DUMMYFUNCTION("""COMPUTED_VALUE"""),3.8841363014339887)</f>
        <v>3.884136301</v>
      </c>
      <c r="AV803" s="82">
        <f>IFERROR(__xludf.DUMMYFUNCTION("""COMPUTED_VALUE"""),93.81932716276081)</f>
        <v>93.81932716</v>
      </c>
      <c r="AW803" s="82">
        <f t="shared" si="1"/>
        <v>25.11270437</v>
      </c>
      <c r="AX803" s="83">
        <f t="array" ref="AX803">IFERROR(DGET('SBV Import'!A:G,"SBV",{"RSC ID","Tier";B803,A803}))</f>
        <v>76.59872585</v>
      </c>
      <c r="AY803" s="82">
        <f t="shared" si="2"/>
        <v>6.960109807</v>
      </c>
      <c r="AZ803" s="82">
        <v>18.152594565034562</v>
      </c>
      <c r="BA803" s="84">
        <v>800.0</v>
      </c>
      <c r="BB803" s="84" t="b">
        <f>IFERROR(__xludf.DUMMYFUNCTION("iferror(if(A803="""",,E803&gt;=FILTER(Constants!$F$2:$F$10,Constants!$A$2:$A$10=A803)))"),TRUE)</f>
        <v>1</v>
      </c>
    </row>
    <row r="804">
      <c r="A804" s="80" t="str">
        <f>IFERROR(__xludf.DUMMYFUNCTION("""COMPUTED_VALUE"""),"Elite")</f>
        <v>Elite</v>
      </c>
      <c r="B804" s="73" t="str">
        <f>IFERROR(__xludf.DUMMYFUNCTION("""COMPUTED_VALUE"""),"RSC000714")</f>
        <v>RSC000714</v>
      </c>
      <c r="C804" s="73" t="str">
        <f>IFERROR(__xludf.DUMMYFUNCTION("""COMPUTED_VALUE"""),"duffy")</f>
        <v>duffy</v>
      </c>
      <c r="D804" s="73" t="str">
        <f>IFERROR(__xludf.DUMMYFUNCTION("""COMPUTED_VALUE"""),"Thrashers")</f>
        <v>Thrashers</v>
      </c>
      <c r="E804" s="82">
        <f>IFERROR(__xludf.DUMMYFUNCTION("""COMPUTED_VALUE"""),36.0)</f>
        <v>36</v>
      </c>
      <c r="F804" s="82">
        <f>IFERROR(__xludf.DUMMYFUNCTION("""COMPUTED_VALUE"""),19.0)</f>
        <v>19</v>
      </c>
      <c r="G804" s="82">
        <f>IFERROR(__xludf.DUMMYFUNCTION("""COMPUTED_VALUE"""),17.0)</f>
        <v>17</v>
      </c>
      <c r="H804" s="86">
        <f>IFERROR(__xludf.DUMMYFUNCTION("""COMPUTED_VALUE"""),0.5277777777777778)</f>
        <v>0.5277777778</v>
      </c>
      <c r="I804" s="86">
        <f>IFERROR(__xludf.DUMMYFUNCTION("""COMPUTED_VALUE"""),0.3418803418803419)</f>
        <v>0.3418803419</v>
      </c>
      <c r="J804" s="82">
        <f>IFERROR(__xludf.DUMMYFUNCTION("""COMPUTED_VALUE"""),439.6388888888889)</f>
        <v>439.6388889</v>
      </c>
      <c r="K804" s="82">
        <f>IFERROR(__xludf.DUMMYFUNCTION("""COMPUTED_VALUE"""),1.1111111111111112)</f>
        <v>1.111111111</v>
      </c>
      <c r="L804" s="82">
        <f>IFERROR(__xludf.DUMMYFUNCTION("""COMPUTED_VALUE"""),0.8055555555555556)</f>
        <v>0.8055555556</v>
      </c>
      <c r="M804" s="82">
        <f>IFERROR(__xludf.DUMMYFUNCTION("""COMPUTED_VALUE"""),1.5)</f>
        <v>1.5</v>
      </c>
      <c r="N804" s="82">
        <f>IFERROR(__xludf.DUMMYFUNCTION("""COMPUTED_VALUE"""),3.25)</f>
        <v>3.25</v>
      </c>
      <c r="O804" s="82">
        <f>IFERROR(__xludf.DUMMYFUNCTION("""COMPUTED_VALUE"""),376.5648148148148)</f>
        <v>376.5648148</v>
      </c>
      <c r="P804" s="82">
        <f>IFERROR(__xludf.DUMMYFUNCTION("""COMPUTED_VALUE"""),0.898148148148148)</f>
        <v>0.8981481481</v>
      </c>
      <c r="Q804" s="82">
        <f>IFERROR(__xludf.DUMMYFUNCTION("""COMPUTED_VALUE"""),0.6481481481481483)</f>
        <v>0.6481481481</v>
      </c>
      <c r="R804" s="82">
        <f>IFERROR(__xludf.DUMMYFUNCTION("""COMPUTED_VALUE"""),1.5185185185185184)</f>
        <v>1.518518519</v>
      </c>
      <c r="S804" s="82">
        <f>IFERROR(__xludf.DUMMYFUNCTION("""COMPUTED_VALUE"""),2.5462962962962963)</f>
        <v>2.546296296</v>
      </c>
      <c r="T804" s="82">
        <f>IFERROR(__xludf.DUMMYFUNCTION("""COMPUTED_VALUE"""),368.4035286567312)</f>
        <v>368.4035287</v>
      </c>
      <c r="U804" s="82">
        <f>IFERROR(__xludf.DUMMYFUNCTION("""COMPUTED_VALUE"""),0.8051259124550891)</f>
        <v>0.8051259125</v>
      </c>
      <c r="V804" s="82">
        <f>IFERROR(__xludf.DUMMYFUNCTION("""COMPUTED_VALUE"""),0.6141087762578504)</f>
        <v>0.6141087763</v>
      </c>
      <c r="W804" s="82">
        <f>IFERROR(__xludf.DUMMYFUNCTION("""COMPUTED_VALUE"""),1.4282221704968117)</f>
        <v>1.42822217</v>
      </c>
      <c r="X804" s="82">
        <f>IFERROR(__xludf.DUMMYFUNCTION("""COMPUTED_VALUE"""),2.6976929219493577)</f>
        <v>2.697692922</v>
      </c>
      <c r="Y804" s="82">
        <f>IFERROR(__xludf.DUMMYFUNCTION("""COMPUTED_VALUE"""),344.9032302066567)</f>
        <v>344.9032302</v>
      </c>
      <c r="Z804" s="82">
        <f>IFERROR(__xludf.DUMMYFUNCTION("""COMPUTED_VALUE"""),0.6990731273057497)</f>
        <v>0.6990731273</v>
      </c>
      <c r="AA804" s="82">
        <f>IFERROR(__xludf.DUMMYFUNCTION("""COMPUTED_VALUE"""),0.5056816235824899)</f>
        <v>0.5056816236</v>
      </c>
      <c r="AB804" s="82">
        <f>IFERROR(__xludf.DUMMYFUNCTION("""COMPUTED_VALUE"""),1.404643681359883)</f>
        <v>1.404643681</v>
      </c>
      <c r="AC804" s="82">
        <f>IFERROR(__xludf.DUMMYFUNCTION("""COMPUTED_VALUE"""),2.514119393109605)</f>
        <v>2.514119393</v>
      </c>
      <c r="AD804" s="82">
        <f>IFERROR(__xludf.DUMMYFUNCTION("""COMPUTED_VALUE"""),1.274673155787695)</f>
        <v>1.274673156</v>
      </c>
      <c r="AE804" s="82">
        <f>IFERROR(__xludf.DUMMYFUNCTION("""COMPUTED_VALUE"""),1.589406126070629)</f>
        <v>1.589406126</v>
      </c>
      <c r="AF804" s="82">
        <f>IFERROR(__xludf.DUMMYFUNCTION("""COMPUTED_VALUE"""),1.593009352106995)</f>
        <v>1.593009352</v>
      </c>
      <c r="AG804" s="82">
        <f>IFERROR(__xludf.DUMMYFUNCTION("""COMPUTED_VALUE"""),1.0678864824620855)</f>
        <v>1.067886482</v>
      </c>
      <c r="AH804" s="82">
        <f>IFERROR(__xludf.DUMMYFUNCTION("""COMPUTED_VALUE"""),1.2926991490170308)</f>
        <v>1.292699149</v>
      </c>
      <c r="AI804" s="82">
        <f>IFERROR(__xludf.DUMMYFUNCTION("""COMPUTED_VALUE"""),1.0221531161437056)</f>
        <v>1.022153116</v>
      </c>
      <c r="AJ804" s="82">
        <f>IFERROR(__xludf.DUMMYFUNCTION("""COMPUTED_VALUE"""),1.115537500723836)</f>
        <v>1.115537501</v>
      </c>
      <c r="AK804" s="82">
        <f>IFERROR(__xludf.DUMMYFUNCTION("""COMPUTED_VALUE"""),1.0554288966487682)</f>
        <v>1.055428897</v>
      </c>
      <c r="AL804" s="82">
        <f>IFERROR(__xludf.DUMMYFUNCTION("""COMPUTED_VALUE"""),1.0632229003911182)</f>
        <v>1.0632229</v>
      </c>
      <c r="AM804" s="82">
        <f>IFERROR(__xludf.DUMMYFUNCTION("""COMPUTED_VALUE"""),0.9438792219747302)</f>
        <v>0.943879222</v>
      </c>
      <c r="AN804" s="82">
        <f>IFERROR(__xludf.DUMMYFUNCTION("""COMPUTED_VALUE"""),1.2464641464023782)</f>
        <v>1.246464146</v>
      </c>
      <c r="AO804" s="82">
        <f>IFERROR(__xludf.DUMMYFUNCTION("""COMPUTED_VALUE"""),1.5579526583495682)</f>
        <v>1.557952658</v>
      </c>
      <c r="AP804" s="82">
        <f>IFERROR(__xludf.DUMMYFUNCTION("""COMPUTED_VALUE"""),1.4007799665073828)</f>
        <v>1.400779967</v>
      </c>
      <c r="AQ804" s="82">
        <f>IFERROR(__xludf.DUMMYFUNCTION("""COMPUTED_VALUE"""),1.0515114988718592)</f>
        <v>1.051511499</v>
      </c>
      <c r="AR804" s="82">
        <f>IFERROR(__xludf.DUMMYFUNCTION("""COMPUTED_VALUE"""),1.2901379709847758)</f>
        <v>1.290137971</v>
      </c>
      <c r="AS804" s="82">
        <f>IFERROR(__xludf.DUMMYFUNCTION("""COMPUTED_VALUE"""),96.0)</f>
        <v>96</v>
      </c>
      <c r="AT804" s="82">
        <f>IFERROR(__xludf.DUMMYFUNCTION("""COMPUTED_VALUE"""),0.4958052843870312)</f>
        <v>0.4958052844</v>
      </c>
      <c r="AU804" s="82">
        <f>IFERROR(__xludf.DUMMYFUNCTION("""COMPUTED_VALUE"""),3.8761974531277397)</f>
        <v>3.876197453</v>
      </c>
      <c r="AV804" s="82">
        <f>IFERROR(__xludf.DUMMYFUNCTION("""COMPUTED_VALUE"""),93.59624981933385)</f>
        <v>93.59624982</v>
      </c>
      <c r="AW804" s="82">
        <f t="shared" si="1"/>
        <v>24.63501669</v>
      </c>
      <c r="AX804" s="83">
        <f t="array" ref="AX804">IFERROR(DGET('SBV Import'!A:G,"SBV",{"RSC ID","Tier";B804,A804}))</f>
        <v>78.61389534</v>
      </c>
      <c r="AY804" s="82">
        <f t="shared" si="2"/>
        <v>7.924143597</v>
      </c>
      <c r="AZ804" s="82">
        <v>16.71087309495699</v>
      </c>
      <c r="BA804" s="84">
        <v>800.0</v>
      </c>
      <c r="BB804" s="84" t="b">
        <f>IFERROR(__xludf.DUMMYFUNCTION("iferror(if(A804="""",,E804&gt;=FILTER(Constants!$F$2:$F$10,Constants!$A$2:$A$10=A804)))"),TRUE)</f>
        <v>1</v>
      </c>
    </row>
    <row r="805">
      <c r="A805" s="80" t="str">
        <f>IFERROR(__xludf.DUMMYFUNCTION("""COMPUTED_VALUE"""),"Elite")</f>
        <v>Elite</v>
      </c>
      <c r="B805" s="73" t="str">
        <f>IFERROR(__xludf.DUMMYFUNCTION("""COMPUTED_VALUE"""),"RSC006838")</f>
        <v>RSC006838</v>
      </c>
      <c r="C805" s="73" t="str">
        <f>IFERROR(__xludf.DUMMYFUNCTION("""COMPUTED_VALUE"""),"ZachOff")</f>
        <v>ZachOff</v>
      </c>
      <c r="D805" s="73" t="str">
        <f>IFERROR(__xludf.DUMMYFUNCTION("""COMPUTED_VALUE"""),"Great Whites")</f>
        <v>Great Whites</v>
      </c>
      <c r="E805" s="82">
        <f>IFERROR(__xludf.DUMMYFUNCTION("""COMPUTED_VALUE"""),32.0)</f>
        <v>32</v>
      </c>
      <c r="F805" s="82">
        <f>IFERROR(__xludf.DUMMYFUNCTION("""COMPUTED_VALUE"""),25.0)</f>
        <v>25</v>
      </c>
      <c r="G805" s="82">
        <f>IFERROR(__xludf.DUMMYFUNCTION("""COMPUTED_VALUE"""),7.0)</f>
        <v>7</v>
      </c>
      <c r="H805" s="86">
        <f>IFERROR(__xludf.DUMMYFUNCTION("""COMPUTED_VALUE"""),0.78125)</f>
        <v>0.78125</v>
      </c>
      <c r="I805" s="86">
        <f>IFERROR(__xludf.DUMMYFUNCTION("""COMPUTED_VALUE"""),0.33636363636363636)</f>
        <v>0.3363636364</v>
      </c>
      <c r="J805" s="82">
        <f>IFERROR(__xludf.DUMMYFUNCTION("""COMPUTED_VALUE"""),408.21875)</f>
        <v>408.21875</v>
      </c>
      <c r="K805" s="82">
        <f>IFERROR(__xludf.DUMMYFUNCTION("""COMPUTED_VALUE"""),1.15625)</f>
        <v>1.15625</v>
      </c>
      <c r="L805" s="82">
        <f>IFERROR(__xludf.DUMMYFUNCTION("""COMPUTED_VALUE"""),0.71875)</f>
        <v>0.71875</v>
      </c>
      <c r="M805" s="82">
        <f>IFERROR(__xludf.DUMMYFUNCTION("""COMPUTED_VALUE"""),1.28125)</f>
        <v>1.28125</v>
      </c>
      <c r="N805" s="82">
        <f>IFERROR(__xludf.DUMMYFUNCTION("""COMPUTED_VALUE"""),3.4375)</f>
        <v>3.4375</v>
      </c>
      <c r="O805" s="82">
        <f>IFERROR(__xludf.DUMMYFUNCTION("""COMPUTED_VALUE"""),304.375)</f>
        <v>304.375</v>
      </c>
      <c r="P805" s="82">
        <f>IFERROR(__xludf.DUMMYFUNCTION("""COMPUTED_VALUE"""),0.4583333333333333)</f>
        <v>0.4583333333</v>
      </c>
      <c r="Q805" s="82">
        <f>IFERROR(__xludf.DUMMYFUNCTION("""COMPUTED_VALUE"""),0.3541666666666667)</f>
        <v>0.3541666667</v>
      </c>
      <c r="R805" s="82">
        <f>IFERROR(__xludf.DUMMYFUNCTION("""COMPUTED_VALUE"""),1.458333333333333)</f>
        <v>1.458333333</v>
      </c>
      <c r="S805" s="82">
        <f>IFERROR(__xludf.DUMMYFUNCTION("""COMPUTED_VALUE"""),2.09375)</f>
        <v>2.09375</v>
      </c>
      <c r="T805" s="82">
        <f>IFERROR(__xludf.DUMMYFUNCTION("""COMPUTED_VALUE"""),355.5493089746832)</f>
        <v>355.549309</v>
      </c>
      <c r="U805" s="82">
        <f>IFERROR(__xludf.DUMMYFUNCTION("""COMPUTED_VALUE"""),0.7046543598523222)</f>
        <v>0.7046543599</v>
      </c>
      <c r="V805" s="82">
        <f>IFERROR(__xludf.DUMMYFUNCTION("""COMPUTED_VALUE"""),0.5039786090206272)</f>
        <v>0.503978609</v>
      </c>
      <c r="W805" s="82">
        <f>IFERROR(__xludf.DUMMYFUNCTION("""COMPUTED_VALUE"""),1.5120499910012872)</f>
        <v>1.512049991</v>
      </c>
      <c r="X805" s="82">
        <f>IFERROR(__xludf.DUMMYFUNCTION("""COMPUTED_VALUE"""),2.603919035545697)</f>
        <v>2.603919036</v>
      </c>
      <c r="Y805" s="82">
        <f>IFERROR(__xludf.DUMMYFUNCTION("""COMPUTED_VALUE"""),378.7951155114175)</f>
        <v>378.7951155</v>
      </c>
      <c r="Z805" s="82">
        <f>IFERROR(__xludf.DUMMYFUNCTION("""COMPUTED_VALUE"""),0.8431964259840503)</f>
        <v>0.843196426</v>
      </c>
      <c r="AA805" s="82">
        <f>IFERROR(__xludf.DUMMYFUNCTION("""COMPUTED_VALUE"""),0.6656267267566366)</f>
        <v>0.6656267268</v>
      </c>
      <c r="AB805" s="82">
        <f>IFERROR(__xludf.DUMMYFUNCTION("""COMPUTED_VALUE"""),1.466986288256997)</f>
        <v>1.466986288</v>
      </c>
      <c r="AC805" s="82">
        <f>IFERROR(__xludf.DUMMYFUNCTION("""COMPUTED_VALUE"""),2.8487199316128833)</f>
        <v>2.848719932</v>
      </c>
      <c r="AD805" s="82">
        <f>IFERROR(__xludf.DUMMYFUNCTION("""COMPUTED_VALUE"""),1.077676911036345)</f>
        <v>1.077676911</v>
      </c>
      <c r="AE805" s="82">
        <f>IFERROR(__xludf.DUMMYFUNCTION("""COMPUTED_VALUE"""),1.3712700438104932)</f>
        <v>1.371270044</v>
      </c>
      <c r="AF805" s="82">
        <f>IFERROR(__xludf.DUMMYFUNCTION("""COMPUTED_VALUE"""),1.0798094053437644)</f>
        <v>1.079809405</v>
      </c>
      <c r="AG805" s="82">
        <f>IFERROR(__xludf.DUMMYFUNCTION("""COMPUTED_VALUE"""),0.8733892131482156)</f>
        <v>0.8733892131</v>
      </c>
      <c r="AH805" s="82">
        <f>IFERROR(__xludf.DUMMYFUNCTION("""COMPUTED_VALUE"""),1.2066823283866175)</f>
        <v>1.206682328</v>
      </c>
      <c r="AI805" s="82">
        <f>IFERROR(__xludf.DUMMYFUNCTION("""COMPUTED_VALUE"""),0.8560697273684561)</f>
        <v>0.8560697274</v>
      </c>
      <c r="AJ805" s="82">
        <f>IFERROR(__xludf.DUMMYFUNCTION("""COMPUTED_VALUE"""),0.6504370929165733)</f>
        <v>0.6504370929</v>
      </c>
      <c r="AK805" s="82">
        <f>IFERROR(__xludf.DUMMYFUNCTION("""COMPUTED_VALUE"""),0.7027414662596744)</f>
        <v>0.7027414663</v>
      </c>
      <c r="AL805" s="82">
        <f>IFERROR(__xludf.DUMMYFUNCTION("""COMPUTED_VALUE"""),0.9644742845887108)</f>
        <v>0.9644742846</v>
      </c>
      <c r="AM805" s="82">
        <f>IFERROR(__xludf.DUMMYFUNCTION("""COMPUTED_VALUE"""),0.8040764599123635)</f>
        <v>0.8040764599</v>
      </c>
      <c r="AN805" s="82">
        <f>IFERROR(__xludf.DUMMYFUNCTION("""COMPUTED_VALUE"""),1.1573817708669394)</f>
        <v>1.157381771</v>
      </c>
      <c r="AO805" s="82">
        <f>IFERROR(__xludf.DUMMYFUNCTION("""COMPUTED_VALUE"""),1.6212444850950194)</f>
        <v>1.621244485</v>
      </c>
      <c r="AP805" s="82">
        <f>IFERROR(__xludf.DUMMYFUNCTION("""COMPUTED_VALUE"""),1.2498338494268457)</f>
        <v>1.249833849</v>
      </c>
      <c r="AQ805" s="82">
        <f>IFERROR(__xludf.DUMMYFUNCTION("""COMPUTED_VALUE"""),0.8981660719530463)</f>
        <v>0.898166072</v>
      </c>
      <c r="AR805" s="82">
        <f>IFERROR(__xludf.DUMMYFUNCTION("""COMPUTED_VALUE"""),1.364569007772359)</f>
        <v>1.364569008</v>
      </c>
      <c r="AS805" s="82">
        <f>IFERROR(__xludf.DUMMYFUNCTION("""COMPUTED_VALUE"""),91.0)</f>
        <v>91</v>
      </c>
      <c r="AT805" s="82">
        <f>IFERROR(__xludf.DUMMYFUNCTION("""COMPUTED_VALUE"""),0.7499622703326008)</f>
        <v>0.7499622703</v>
      </c>
      <c r="AU805" s="82">
        <f>IFERROR(__xludf.DUMMYFUNCTION("""COMPUTED_VALUE"""),3.8710799980837796)</f>
        <v>3.871079998</v>
      </c>
      <c r="AV805" s="82">
        <f>IFERROR(__xludf.DUMMYFUNCTION("""COMPUTED_VALUE"""),93.45245210053692)</f>
        <v>93.4524521</v>
      </c>
      <c r="AW805" s="82">
        <f t="shared" si="1"/>
        <v>24.33281476</v>
      </c>
      <c r="AX805" s="83">
        <f t="array" ref="AX805">IFERROR(DGET('SBV Import'!A:G,"SBV",{"RSC ID","Tier";B805,A805}))</f>
        <v>84.29593223</v>
      </c>
      <c r="AY805" s="82">
        <f t="shared" si="2"/>
        <v>11.75681525</v>
      </c>
      <c r="AZ805" s="82">
        <v>12.575999508389376</v>
      </c>
      <c r="BA805" s="84">
        <v>800.0</v>
      </c>
      <c r="BB805" s="84" t="b">
        <f>IFERROR(__xludf.DUMMYFUNCTION("iferror(if(A805="""",,E805&gt;=FILTER(Constants!$F$2:$F$10,Constants!$A$2:$A$10=A805)))"),TRUE)</f>
        <v>1</v>
      </c>
    </row>
    <row r="806">
      <c r="A806" s="80" t="str">
        <f>IFERROR(__xludf.DUMMYFUNCTION("""COMPUTED_VALUE"""),"Elite")</f>
        <v>Elite</v>
      </c>
      <c r="B806" s="73" t="str">
        <f>IFERROR(__xludf.DUMMYFUNCTION("""COMPUTED_VALUE"""),"RSC007876")</f>
        <v>RSC007876</v>
      </c>
      <c r="C806" s="73" t="str">
        <f>IFERROR(__xludf.DUMMYFUNCTION("""COMPUTED_VALUE"""),"dwsn.")</f>
        <v>dwsn.</v>
      </c>
      <c r="D806" s="73" t="str">
        <f>IFERROR(__xludf.DUMMYFUNCTION("""COMPUTED_VALUE"""),"Great Whites")</f>
        <v>Great Whites</v>
      </c>
      <c r="E806" s="82">
        <f>IFERROR(__xludf.DUMMYFUNCTION("""COMPUTED_VALUE"""),32.0)</f>
        <v>32</v>
      </c>
      <c r="F806" s="82">
        <f>IFERROR(__xludf.DUMMYFUNCTION("""COMPUTED_VALUE"""),23.0)</f>
        <v>23</v>
      </c>
      <c r="G806" s="82">
        <f>IFERROR(__xludf.DUMMYFUNCTION("""COMPUTED_VALUE"""),9.0)</f>
        <v>9</v>
      </c>
      <c r="H806" s="86">
        <f>IFERROR(__xludf.DUMMYFUNCTION("""COMPUTED_VALUE"""),0.71875)</f>
        <v>0.71875</v>
      </c>
      <c r="I806" s="86">
        <f>IFERROR(__xludf.DUMMYFUNCTION("""COMPUTED_VALUE"""),0.32323232323232326)</f>
        <v>0.3232323232</v>
      </c>
      <c r="J806" s="82">
        <f>IFERROR(__xludf.DUMMYFUNCTION("""COMPUTED_VALUE"""),414.3125)</f>
        <v>414.3125</v>
      </c>
      <c r="K806" s="82">
        <f>IFERROR(__xludf.DUMMYFUNCTION("""COMPUTED_VALUE"""),1.0)</f>
        <v>1</v>
      </c>
      <c r="L806" s="82">
        <f>IFERROR(__xludf.DUMMYFUNCTION("""COMPUTED_VALUE"""),0.84375)</f>
        <v>0.84375</v>
      </c>
      <c r="M806" s="82">
        <f>IFERROR(__xludf.DUMMYFUNCTION("""COMPUTED_VALUE"""),1.5625)</f>
        <v>1.5625</v>
      </c>
      <c r="N806" s="82">
        <f>IFERROR(__xludf.DUMMYFUNCTION("""COMPUTED_VALUE"""),3.09375)</f>
        <v>3.09375</v>
      </c>
      <c r="O806" s="82">
        <f>IFERROR(__xludf.DUMMYFUNCTION("""COMPUTED_VALUE"""),298.5625)</f>
        <v>298.5625</v>
      </c>
      <c r="P806" s="82">
        <f>IFERROR(__xludf.DUMMYFUNCTION("""COMPUTED_VALUE"""),0.47916666666666663)</f>
        <v>0.4791666667</v>
      </c>
      <c r="Q806" s="82">
        <f>IFERROR(__xludf.DUMMYFUNCTION("""COMPUTED_VALUE"""),0.3854166666666667)</f>
        <v>0.3854166667</v>
      </c>
      <c r="R806" s="82">
        <f>IFERROR(__xludf.DUMMYFUNCTION("""COMPUTED_VALUE"""),1.395833333333333)</f>
        <v>1.395833333</v>
      </c>
      <c r="S806" s="82">
        <f>IFERROR(__xludf.DUMMYFUNCTION("""COMPUTED_VALUE"""),2.0104166666666665)</f>
        <v>2.010416667</v>
      </c>
      <c r="T806" s="82">
        <f>IFERROR(__xludf.DUMMYFUNCTION("""COMPUTED_VALUE"""),355.46412867465915)</f>
        <v>355.4641287</v>
      </c>
      <c r="U806" s="82">
        <f>IFERROR(__xludf.DUMMYFUNCTION("""COMPUTED_VALUE"""),0.727379753671466)</f>
        <v>0.7273797537</v>
      </c>
      <c r="V806" s="82">
        <f>IFERROR(__xludf.DUMMYFUNCTION("""COMPUTED_VALUE"""),0.5145906821327002)</f>
        <v>0.5145906821</v>
      </c>
      <c r="W806" s="82">
        <f>IFERROR(__xludf.DUMMYFUNCTION("""COMPUTED_VALUE"""),1.4913970328483293)</f>
        <v>1.491397033</v>
      </c>
      <c r="X806" s="82">
        <f>IFERROR(__xludf.DUMMYFUNCTION("""COMPUTED_VALUE"""),2.630154229749641)</f>
        <v>2.63015423</v>
      </c>
      <c r="Y806" s="82">
        <f>IFERROR(__xludf.DUMMYFUNCTION("""COMPUTED_VALUE"""),373.4395772418167)</f>
        <v>373.4395772</v>
      </c>
      <c r="Z806" s="82">
        <f>IFERROR(__xludf.DUMMYFUNCTION("""COMPUTED_VALUE"""),0.8211674807780218)</f>
        <v>0.8211674808</v>
      </c>
      <c r="AA806" s="82">
        <f>IFERROR(__xludf.DUMMYFUNCTION("""COMPUTED_VALUE"""),0.64717397002263)</f>
        <v>0.64717397</v>
      </c>
      <c r="AB806" s="82">
        <f>IFERROR(__xludf.DUMMYFUNCTION("""COMPUTED_VALUE"""),1.4659578992077746)</f>
        <v>1.465957899</v>
      </c>
      <c r="AC806" s="82">
        <f>IFERROR(__xludf.DUMMYFUNCTION("""COMPUTED_VALUE"""),2.78619112168824)</f>
        <v>2.786191122</v>
      </c>
      <c r="AD806" s="82">
        <f>IFERROR(__xludf.DUMMYFUNCTION("""COMPUTED_VALUE"""),1.1094498956432688)</f>
        <v>1.109449896</v>
      </c>
      <c r="AE806" s="82">
        <f>IFERROR(__xludf.DUMMYFUNCTION("""COMPUTED_VALUE"""),1.217778374580228)</f>
        <v>1.217778375</v>
      </c>
      <c r="AF806" s="82">
        <f>IFERROR(__xludf.DUMMYFUNCTION("""COMPUTED_VALUE"""),1.3037452664706157)</f>
        <v>1.303745266</v>
      </c>
      <c r="AG806" s="82">
        <f>IFERROR(__xludf.DUMMYFUNCTION("""COMPUTED_VALUE"""),1.065855984571179)</f>
        <v>1.065855985</v>
      </c>
      <c r="AH806" s="82">
        <f>IFERROR(__xludf.DUMMYFUNCTION("""COMPUTED_VALUE"""),1.110386856062265)</f>
        <v>1.110386856</v>
      </c>
      <c r="AI806" s="82">
        <f>IFERROR(__xludf.DUMMYFUNCTION("""COMPUTED_VALUE"""),0.8399230074584016)</f>
        <v>0.8399230075</v>
      </c>
      <c r="AJ806" s="82">
        <f>IFERROR(__xludf.DUMMYFUNCTION("""COMPUTED_VALUE"""),0.6587572230984735)</f>
        <v>0.6587572231</v>
      </c>
      <c r="AK806" s="82">
        <f>IFERROR(__xludf.DUMMYFUNCTION("""COMPUTED_VALUE"""),0.7489771580575905)</f>
        <v>0.7489771581</v>
      </c>
      <c r="AL806" s="82">
        <f>IFERROR(__xludf.DUMMYFUNCTION("""COMPUTED_VALUE"""),0.9359233675472152)</f>
        <v>0.9359233675</v>
      </c>
      <c r="AM806" s="82">
        <f>IFERROR(__xludf.DUMMYFUNCTION("""COMPUTED_VALUE"""),0.7643721588364929)</f>
        <v>0.7643721588</v>
      </c>
      <c r="AN806" s="82">
        <f>IFERROR(__xludf.DUMMYFUNCTION("""COMPUTED_VALUE"""),1.1746587704320508)</f>
        <v>1.17465877</v>
      </c>
      <c r="AO806" s="82">
        <f>IFERROR(__xludf.DUMMYFUNCTION("""COMPUTED_VALUE"""),1.4021573925146114)</f>
        <v>1.402157393</v>
      </c>
      <c r="AP806" s="82">
        <f>IFERROR(__xludf.DUMMYFUNCTION("""COMPUTED_VALUE"""),1.467196258022819)</f>
        <v>1.467196258</v>
      </c>
      <c r="AQ806" s="82">
        <f>IFERROR(__xludf.DUMMYFUNCTION("""COMPUTED_VALUE"""),1.0953244779915199)</f>
        <v>1.095324478</v>
      </c>
      <c r="AR806" s="82">
        <f>IFERROR(__xludf.DUMMYFUNCTION("""COMPUTED_VALUE"""),1.228112106995123)</f>
        <v>1.228112107</v>
      </c>
      <c r="AS806" s="82">
        <f>IFERROR(__xludf.DUMMYFUNCTION("""COMPUTED_VALUE"""),89.0)</f>
        <v>89</v>
      </c>
      <c r="AT806" s="82">
        <f>IFERROR(__xludf.DUMMYFUNCTION("""COMPUTED_VALUE"""),0.7305918446667039)</f>
        <v>0.7305918447</v>
      </c>
      <c r="AU806" s="82">
        <f>IFERROR(__xludf.DUMMYFUNCTION("""COMPUTED_VALUE"""),3.677917479656208)</f>
        <v>3.67791748</v>
      </c>
      <c r="AV806" s="82">
        <f>IFERROR(__xludf.DUMMYFUNCTION("""COMPUTED_VALUE"""),88.02468981081464)</f>
        <v>88.02468981</v>
      </c>
      <c r="AW806" s="82">
        <f t="shared" si="1"/>
        <v>15.59296729</v>
      </c>
      <c r="AX806" s="83">
        <f t="array" ref="AX806">IFERROR(DGET('SBV Import'!A:G,"SBV",{"RSC ID","Tier";B806,A806}))</f>
        <v>90.6536777</v>
      </c>
      <c r="AY806" s="82">
        <f t="shared" si="2"/>
        <v>19.24587636</v>
      </c>
      <c r="AZ806" s="82">
        <v>3.652909068577543</v>
      </c>
      <c r="BA806" s="84">
        <v>800.0</v>
      </c>
      <c r="BB806" s="84" t="b">
        <f>IFERROR(__xludf.DUMMYFUNCTION("iferror(if(A806="""",,E806&gt;=FILTER(Constants!$F$2:$F$10,Constants!$A$2:$A$10=A806)))"),TRUE)</f>
        <v>1</v>
      </c>
    </row>
    <row r="807">
      <c r="A807" s="80" t="str">
        <f>IFERROR(__xludf.DUMMYFUNCTION("""COMPUTED_VALUE"""),"Elite")</f>
        <v>Elite</v>
      </c>
      <c r="B807" s="73" t="str">
        <f>IFERROR(__xludf.DUMMYFUNCTION("""COMPUTED_VALUE"""),"RSC002890")</f>
        <v>RSC002890</v>
      </c>
      <c r="C807" s="73" t="str">
        <f>IFERROR(__xludf.DUMMYFUNCTION("""COMPUTED_VALUE"""),"Myth1ck")</f>
        <v>Myth1ck</v>
      </c>
      <c r="D807" s="73" t="str">
        <f>IFERROR(__xludf.DUMMYFUNCTION("""COMPUTED_VALUE"""),"Black-Holes")</f>
        <v>Black-Holes</v>
      </c>
      <c r="E807" s="82">
        <f>IFERROR(__xludf.DUMMYFUNCTION("""COMPUTED_VALUE"""),36.0)</f>
        <v>36</v>
      </c>
      <c r="F807" s="82">
        <f>IFERROR(__xludf.DUMMYFUNCTION("""COMPUTED_VALUE"""),25.0)</f>
        <v>25</v>
      </c>
      <c r="G807" s="82">
        <f>IFERROR(__xludf.DUMMYFUNCTION("""COMPUTED_VALUE"""),11.0)</f>
        <v>11</v>
      </c>
      <c r="H807" s="86">
        <f>IFERROR(__xludf.DUMMYFUNCTION("""COMPUTED_VALUE"""),0.6944444444444444)</f>
        <v>0.6944444444</v>
      </c>
      <c r="I807" s="86">
        <f>IFERROR(__xludf.DUMMYFUNCTION("""COMPUTED_VALUE"""),0.3333333333333333)</f>
        <v>0.3333333333</v>
      </c>
      <c r="J807" s="82">
        <f>IFERROR(__xludf.DUMMYFUNCTION("""COMPUTED_VALUE"""),398.72222222222223)</f>
        <v>398.7222222</v>
      </c>
      <c r="K807" s="82">
        <f>IFERROR(__xludf.DUMMYFUNCTION("""COMPUTED_VALUE"""),1.1944444444444444)</f>
        <v>1.194444444</v>
      </c>
      <c r="L807" s="82">
        <f>IFERROR(__xludf.DUMMYFUNCTION("""COMPUTED_VALUE"""),0.8055555555555556)</f>
        <v>0.8055555556</v>
      </c>
      <c r="M807" s="82">
        <f>IFERROR(__xludf.DUMMYFUNCTION("""COMPUTED_VALUE"""),1.1111111111111112)</f>
        <v>1.111111111</v>
      </c>
      <c r="N807" s="82">
        <f>IFERROR(__xludf.DUMMYFUNCTION("""COMPUTED_VALUE"""),3.5833333333333335)</f>
        <v>3.583333333</v>
      </c>
      <c r="O807" s="82">
        <f>IFERROR(__xludf.DUMMYFUNCTION("""COMPUTED_VALUE"""),372.1388888888888)</f>
        <v>372.1388889</v>
      </c>
      <c r="P807" s="82">
        <f>IFERROR(__xludf.DUMMYFUNCTION("""COMPUTED_VALUE"""),0.7592592592592592)</f>
        <v>0.7592592593</v>
      </c>
      <c r="Q807" s="82">
        <f>IFERROR(__xludf.DUMMYFUNCTION("""COMPUTED_VALUE"""),0.5277777777777778)</f>
        <v>0.5277777778</v>
      </c>
      <c r="R807" s="82">
        <f>IFERROR(__xludf.DUMMYFUNCTION("""COMPUTED_VALUE"""),1.7222222222222228)</f>
        <v>1.722222222</v>
      </c>
      <c r="S807" s="82">
        <f>IFERROR(__xludf.DUMMYFUNCTION("""COMPUTED_VALUE"""),2.388888888888889)</f>
        <v>2.388888889</v>
      </c>
      <c r="T807" s="82">
        <f>IFERROR(__xludf.DUMMYFUNCTION("""COMPUTED_VALUE"""),346.1856467215035)</f>
        <v>346.1856467</v>
      </c>
      <c r="U807" s="82">
        <f>IFERROR(__xludf.DUMMYFUNCTION("""COMPUTED_VALUE"""),0.7012861413422359)</f>
        <v>0.7012861413</v>
      </c>
      <c r="V807" s="82">
        <f>IFERROR(__xludf.DUMMYFUNCTION("""COMPUTED_VALUE"""),0.5017595238906426)</f>
        <v>0.5017595239</v>
      </c>
      <c r="W807" s="82">
        <f>IFERROR(__xludf.DUMMYFUNCTION("""COMPUTED_VALUE"""),1.45747000952258)</f>
        <v>1.45747001</v>
      </c>
      <c r="X807" s="82">
        <f>IFERROR(__xludf.DUMMYFUNCTION("""COMPUTED_VALUE"""),2.5086663713977146)</f>
        <v>2.508666371</v>
      </c>
      <c r="Y807" s="82">
        <f>IFERROR(__xludf.DUMMYFUNCTION("""COMPUTED_VALUE"""),376.0417835165731)</f>
        <v>376.0417835</v>
      </c>
      <c r="Z807" s="82">
        <f>IFERROR(__xludf.DUMMYFUNCTION("""COMPUTED_VALUE"""),0.8711587579312835)</f>
        <v>0.8711587579</v>
      </c>
      <c r="AA807" s="82">
        <f>IFERROR(__xludf.DUMMYFUNCTION("""COMPUTED_VALUE"""),0.6726654191154672)</f>
        <v>0.6726654191</v>
      </c>
      <c r="AB807" s="82">
        <f>IFERROR(__xludf.DUMMYFUNCTION("""COMPUTED_VALUE"""),1.3685846266681432)</f>
        <v>1.368584627</v>
      </c>
      <c r="AC807" s="82">
        <f>IFERROR(__xludf.DUMMYFUNCTION("""COMPUTED_VALUE"""),2.877565567595406)</f>
        <v>2.877565568</v>
      </c>
      <c r="AD807" s="82">
        <f>IFERROR(__xludf.DUMMYFUNCTION("""COMPUTED_VALUE"""),1.060313613273376)</f>
        <v>1.060313613</v>
      </c>
      <c r="AE807" s="82">
        <f>IFERROR(__xludf.DUMMYFUNCTION("""COMPUTED_VALUE"""),1.3710984749563426)</f>
        <v>1.371098475</v>
      </c>
      <c r="AF807" s="82">
        <f>IFERROR(__xludf.DUMMYFUNCTION("""COMPUTED_VALUE"""),1.1975575563477525)</f>
        <v>1.197557556</v>
      </c>
      <c r="AG807" s="82">
        <f>IFERROR(__xludf.DUMMYFUNCTION("""COMPUTED_VALUE"""),0.8118687653361573)</f>
        <v>0.8118687653</v>
      </c>
      <c r="AH807" s="82">
        <f>IFERROR(__xludf.DUMMYFUNCTION("""COMPUTED_VALUE"""),1.2452655722898756)</f>
        <v>1.245265572</v>
      </c>
      <c r="AI807" s="82">
        <f>IFERROR(__xludf.DUMMYFUNCTION("""COMPUTED_VALUE"""),1.0749691456395474)</f>
        <v>1.074969146</v>
      </c>
      <c r="AJ807" s="82">
        <f>IFERROR(__xludf.DUMMYFUNCTION("""COMPUTED_VALUE"""),1.0826668523722212)</f>
        <v>1.082666852</v>
      </c>
      <c r="AK807" s="82">
        <f>IFERROR(__xludf.DUMMYFUNCTION("""COMPUTED_VALUE"""),1.051854030961664)</f>
        <v>1.051854031</v>
      </c>
      <c r="AL807" s="82">
        <f>IFERROR(__xludf.DUMMYFUNCTION("""COMPUTED_VALUE"""),1.1816519111678785)</f>
        <v>1.181651911</v>
      </c>
      <c r="AM807" s="82">
        <f>IFERROR(__xludf.DUMMYFUNCTION("""COMPUTED_VALUE"""),0.9522545190247473)</f>
        <v>0.952254519</v>
      </c>
      <c r="AN807" s="82">
        <f>IFERROR(__xludf.DUMMYFUNCTION("""COMPUTED_VALUE"""),1.1304572159891157)</f>
        <v>1.130457216</v>
      </c>
      <c r="AO807" s="82">
        <f>IFERROR(__xludf.DUMMYFUNCTION("""COMPUTED_VALUE"""),1.6747991077257858)</f>
        <v>1.674799108</v>
      </c>
      <c r="AP807" s="82">
        <f>IFERROR(__xludf.DUMMYFUNCTION("""COMPUTED_VALUE"""),1.4007799665073828)</f>
        <v>1.400779967</v>
      </c>
      <c r="AQ807" s="82">
        <f>IFERROR(__xludf.DUMMYFUNCTION("""COMPUTED_VALUE"""),0.7788974065717476)</f>
        <v>0.7788974066</v>
      </c>
      <c r="AR807" s="82">
        <f>IFERROR(__xludf.DUMMYFUNCTION("""COMPUTED_VALUE"""),1.4224598141627016)</f>
        <v>1.422459814</v>
      </c>
      <c r="AS807" s="82">
        <f>IFERROR(__xludf.DUMMYFUNCTION("""COMPUTED_VALUE"""),127.0)</f>
        <v>127</v>
      </c>
      <c r="AT807" s="82">
        <f>IFERROR(__xludf.DUMMYFUNCTION("""COMPUTED_VALUE"""),0.6736451969824033)</f>
        <v>0.673645197</v>
      </c>
      <c r="AU807" s="82">
        <f>IFERROR(__xludf.DUMMYFUNCTION("""COMPUTED_VALUE"""),3.6500074935892477)</f>
        <v>3.650007494</v>
      </c>
      <c r="AV807" s="82">
        <f>IFERROR(__xludf.DUMMYFUNCTION("""COMPUTED_VALUE"""),87.24043429833682)</f>
        <v>87.2404343</v>
      </c>
      <c r="AW807" s="82">
        <f t="shared" si="1"/>
        <v>14.67083721</v>
      </c>
      <c r="AX807" s="83">
        <f t="array" ref="AX807">IFERROR(DGET('SBV Import'!A:G,"SBV",{"RSC ID","Tier";B807,A807}))</f>
        <v>63.62506195</v>
      </c>
      <c r="AY807" s="82">
        <f t="shared" si="2"/>
        <v>3.414415379</v>
      </c>
      <c r="AZ807" s="82">
        <v>11.256421834679465</v>
      </c>
      <c r="BA807" s="84">
        <v>800.0</v>
      </c>
      <c r="BB807" s="84" t="b">
        <f>IFERROR(__xludf.DUMMYFUNCTION("iferror(if(A807="""",,E807&gt;=FILTER(Constants!$F$2:$F$10,Constants!$A$2:$A$10=A807)))"),TRUE)</f>
        <v>1</v>
      </c>
    </row>
    <row r="808">
      <c r="A808" s="80" t="str">
        <f>IFERROR(__xludf.DUMMYFUNCTION("""COMPUTED_VALUE"""),"Elite")</f>
        <v>Elite</v>
      </c>
      <c r="B808" s="73" t="str">
        <f>IFERROR(__xludf.DUMMYFUNCTION("""COMPUTED_VALUE"""),"RSC000009")</f>
        <v>RSC000009</v>
      </c>
      <c r="C808" s="73" t="str">
        <f>IFERROR(__xludf.DUMMYFUNCTION("""COMPUTED_VALUE"""),"Timbo")</f>
        <v>Timbo</v>
      </c>
      <c r="D808" s="73" t="str">
        <f>IFERROR(__xludf.DUMMYFUNCTION("""COMPUTED_VALUE"""),"Menthol")</f>
        <v>Menthol</v>
      </c>
      <c r="E808" s="82">
        <f>IFERROR(__xludf.DUMMYFUNCTION("""COMPUTED_VALUE"""),36.0)</f>
        <v>36</v>
      </c>
      <c r="F808" s="82">
        <f>IFERROR(__xludf.DUMMYFUNCTION("""COMPUTED_VALUE"""),22.0)</f>
        <v>22</v>
      </c>
      <c r="G808" s="82">
        <f>IFERROR(__xludf.DUMMYFUNCTION("""COMPUTED_VALUE"""),14.0)</f>
        <v>14</v>
      </c>
      <c r="H808" s="86">
        <f>IFERROR(__xludf.DUMMYFUNCTION("""COMPUTED_VALUE"""),0.6111111111111112)</f>
        <v>0.6111111111</v>
      </c>
      <c r="I808" s="86">
        <f>IFERROR(__xludf.DUMMYFUNCTION("""COMPUTED_VALUE"""),0.3486238532110092)</f>
        <v>0.3486238532</v>
      </c>
      <c r="J808" s="82">
        <f>IFERROR(__xludf.DUMMYFUNCTION("""COMPUTED_VALUE"""),432.78125)</f>
        <v>432.78125</v>
      </c>
      <c r="K808" s="82">
        <f>IFERROR(__xludf.DUMMYFUNCTION("""COMPUTED_VALUE"""),1.1875)</f>
        <v>1.1875</v>
      </c>
      <c r="L808" s="82">
        <f>IFERROR(__xludf.DUMMYFUNCTION("""COMPUTED_VALUE"""),0.75)</f>
        <v>0.75</v>
      </c>
      <c r="M808" s="82">
        <f>IFERROR(__xludf.DUMMYFUNCTION("""COMPUTED_VALUE"""),1.09375)</f>
        <v>1.09375</v>
      </c>
      <c r="N808" s="82">
        <f>IFERROR(__xludf.DUMMYFUNCTION("""COMPUTED_VALUE"""),3.40625)</f>
        <v>3.40625</v>
      </c>
      <c r="O808" s="82">
        <f>IFERROR(__xludf.DUMMYFUNCTION("""COMPUTED_VALUE"""),371.9166666666667)</f>
        <v>371.9166667</v>
      </c>
      <c r="P808" s="82">
        <f>IFERROR(__xludf.DUMMYFUNCTION("""COMPUTED_VALUE"""),0.7291666666666666)</f>
        <v>0.7291666667</v>
      </c>
      <c r="Q808" s="82">
        <f>IFERROR(__xludf.DUMMYFUNCTION("""COMPUTED_VALUE"""),0.5000000000000001)</f>
        <v>0.5</v>
      </c>
      <c r="R808" s="82">
        <f>IFERROR(__xludf.DUMMYFUNCTION("""COMPUTED_VALUE"""),1.78125)</f>
        <v>1.78125</v>
      </c>
      <c r="S808" s="82">
        <f>IFERROR(__xludf.DUMMYFUNCTION("""COMPUTED_VALUE"""),2.239583333333334)</f>
        <v>2.239583333</v>
      </c>
      <c r="T808" s="82">
        <f>IFERROR(__xludf.DUMMYFUNCTION("""COMPUTED_VALUE"""),350.73561926183766)</f>
        <v>350.7356193</v>
      </c>
      <c r="U808" s="82">
        <f>IFERROR(__xludf.DUMMYFUNCTION("""COMPUTED_VALUE"""),0.6926458019624947)</f>
        <v>0.692645802</v>
      </c>
      <c r="V808" s="82">
        <f>IFERROR(__xludf.DUMMYFUNCTION("""COMPUTED_VALUE"""),0.5554266735652322)</f>
        <v>0.5554266736</v>
      </c>
      <c r="W808" s="82">
        <f>IFERROR(__xludf.DUMMYFUNCTION("""COMPUTED_VALUE"""),1.5450754352572402)</f>
        <v>1.545075435</v>
      </c>
      <c r="X808" s="82">
        <f>IFERROR(__xludf.DUMMYFUNCTION("""COMPUTED_VALUE"""),2.3444456259966584)</f>
        <v>2.344445626</v>
      </c>
      <c r="Y808" s="82">
        <f>IFERROR(__xludf.DUMMYFUNCTION("""COMPUTED_VALUE"""),382.53921131328417)</f>
        <v>382.5392113</v>
      </c>
      <c r="Z808" s="82">
        <f>IFERROR(__xludf.DUMMYFUNCTION("""COMPUTED_VALUE"""),0.91967600380362)</f>
        <v>0.9196760038</v>
      </c>
      <c r="AA808" s="82">
        <f>IFERROR(__xludf.DUMMYFUNCTION("""COMPUTED_VALUE"""),0.6988397463923103)</f>
        <v>0.6988397464</v>
      </c>
      <c r="AB808" s="82">
        <f>IFERROR(__xludf.DUMMYFUNCTION("""COMPUTED_VALUE"""),1.3247631064041512)</f>
        <v>1.324763106</v>
      </c>
      <c r="AC808" s="82">
        <f>IFERROR(__xludf.DUMMYFUNCTION("""COMPUTED_VALUE"""),2.948102055078348)</f>
        <v>2.948102055</v>
      </c>
      <c r="AD808" s="82">
        <f>IFERROR(__xludf.DUMMYFUNCTION("""COMPUTED_VALUE"""),1.1313382712172992)</f>
        <v>1.131338271</v>
      </c>
      <c r="AE808" s="82">
        <f>IFERROR(__xludf.DUMMYFUNCTION("""COMPUTED_VALUE"""),1.2912155966761192)</f>
        <v>1.291215597</v>
      </c>
      <c r="AF808" s="82">
        <f>IFERROR(__xludf.DUMMYFUNCTION("""COMPUTED_VALUE"""),1.0732074182554718)</f>
        <v>1.073207418</v>
      </c>
      <c r="AG808" s="82">
        <f>IFERROR(__xludf.DUMMYFUNCTION("""COMPUTED_VALUE"""),0.8256193086240168)</f>
        <v>0.8256193086</v>
      </c>
      <c r="AH808" s="82">
        <f>IFERROR(__xludf.DUMMYFUNCTION("""COMPUTED_VALUE"""),1.1554043707993265)</f>
        <v>1.155404371</v>
      </c>
      <c r="AI808" s="82">
        <f>IFERROR(__xludf.DUMMYFUNCTION("""COMPUTED_VALUE"""),1.060390351711089)</f>
        <v>1.060390352</v>
      </c>
      <c r="AJ808" s="82">
        <f>IFERROR(__xludf.DUMMYFUNCTION("""COMPUTED_VALUE"""),1.0527266094744185)</f>
        <v>1.052726609</v>
      </c>
      <c r="AK808" s="82">
        <f>IFERROR(__xludf.DUMMYFUNCTION("""COMPUTED_VALUE"""),0.9002088372719779)</f>
        <v>0.9002088373</v>
      </c>
      <c r="AL808" s="82">
        <f>IFERROR(__xludf.DUMMYFUNCTION("""COMPUTED_VALUE"""),1.152856332677012)</f>
        <v>1.152856333</v>
      </c>
      <c r="AM808" s="82">
        <f>IFERROR(__xludf.DUMMYFUNCTION("""COMPUTED_VALUE"""),0.9552720304107092)</f>
        <v>0.9552720304</v>
      </c>
      <c r="AN808" s="82">
        <f>IFERROR(__xludf.DUMMYFUNCTION("""COMPUTED_VALUE"""),1.2270213691140046)</f>
        <v>1.227021369</v>
      </c>
      <c r="AO808" s="82">
        <f>IFERROR(__xludf.DUMMYFUNCTION("""COMPUTED_VALUE"""),1.665061903611101)</f>
        <v>1.665061904</v>
      </c>
      <c r="AP808" s="82">
        <f>IFERROR(__xludf.DUMMYFUNCTION("""COMPUTED_VALUE"""),1.304174451575839)</f>
        <v>1.304174452</v>
      </c>
      <c r="AQ808" s="82">
        <f>IFERROR(__xludf.DUMMYFUNCTION("""COMPUTED_VALUE"""),0.7667271345940639)</f>
        <v>0.7667271346</v>
      </c>
      <c r="AR808" s="82">
        <f>IFERROR(__xludf.DUMMYFUNCTION("""COMPUTED_VALUE"""),1.3521638349744285)</f>
        <v>1.352163835</v>
      </c>
      <c r="AS808" s="82">
        <f>IFERROR(__xludf.DUMMYFUNCTION("""COMPUTED_VALUE"""),93.0)</f>
        <v>93</v>
      </c>
      <c r="AT808" s="82">
        <f>IFERROR(__xludf.DUMMYFUNCTION("""COMPUTED_VALUE"""),0.5647439362738392)</f>
        <v>0.5647439363</v>
      </c>
      <c r="AU808" s="82">
        <f>IFERROR(__xludf.DUMMYFUNCTION("""COMPUTED_VALUE"""),3.5921457859895076)</f>
        <v>3.592145786</v>
      </c>
      <c r="AV808" s="82">
        <f>IFERROR(__xludf.DUMMYFUNCTION("""COMPUTED_VALUE"""),85.61455161112923)</f>
        <v>85.61455161</v>
      </c>
      <c r="AW808" s="82">
        <f t="shared" si="1"/>
        <v>12.96360714</v>
      </c>
      <c r="AX808" s="83">
        <f t="array" ref="AX808">IFERROR(DGET('SBV Import'!A:G,"SBV",{"RSC ID","Tier";B808,A808}))</f>
        <v>80.28690328</v>
      </c>
      <c r="AY808" s="82">
        <f t="shared" si="2"/>
        <v>8.860810866</v>
      </c>
      <c r="AZ808" s="82">
        <v>4.102796277555692</v>
      </c>
      <c r="BA808" s="84">
        <v>800.0</v>
      </c>
      <c r="BB808" s="84" t="b">
        <f>IFERROR(__xludf.DUMMYFUNCTION("iferror(if(A808="""",,E808&gt;=FILTER(Constants!$F$2:$F$10,Constants!$A$2:$A$10=A808)))"),TRUE)</f>
        <v>1</v>
      </c>
    </row>
    <row r="809">
      <c r="A809" s="80" t="str">
        <f>IFERROR(__xludf.DUMMYFUNCTION("""COMPUTED_VALUE"""),"Elite")</f>
        <v>Elite</v>
      </c>
      <c r="B809" s="73" t="str">
        <f>IFERROR(__xludf.DUMMYFUNCTION("""COMPUTED_VALUE"""),"RSC007882")</f>
        <v>RSC007882</v>
      </c>
      <c r="C809" s="73" t="str">
        <f>IFERROR(__xludf.DUMMYFUNCTION("""COMPUTED_VALUE"""),"mirage")</f>
        <v>mirage</v>
      </c>
      <c r="D809" s="73"/>
      <c r="E809" s="82">
        <f>IFERROR(__xludf.DUMMYFUNCTION("""COMPUTED_VALUE"""),8.0)</f>
        <v>8</v>
      </c>
      <c r="F809" s="82">
        <f>IFERROR(__xludf.DUMMYFUNCTION("""COMPUTED_VALUE"""),6.0)</f>
        <v>6</v>
      </c>
      <c r="G809" s="82">
        <f>IFERROR(__xludf.DUMMYFUNCTION("""COMPUTED_VALUE"""),2.0)</f>
        <v>2</v>
      </c>
      <c r="H809" s="86">
        <f>IFERROR(__xludf.DUMMYFUNCTION("""COMPUTED_VALUE"""),0.75)</f>
        <v>0.75</v>
      </c>
      <c r="I809" s="86">
        <f>IFERROR(__xludf.DUMMYFUNCTION("""COMPUTED_VALUE"""),0.4166666666666667)</f>
        <v>0.4166666667</v>
      </c>
      <c r="J809" s="82">
        <f>IFERROR(__xludf.DUMMYFUNCTION("""COMPUTED_VALUE"""),471.5)</f>
        <v>471.5</v>
      </c>
      <c r="K809" s="82">
        <f>IFERROR(__xludf.DUMMYFUNCTION("""COMPUTED_VALUE"""),1.25)</f>
        <v>1.25</v>
      </c>
      <c r="L809" s="82">
        <f>IFERROR(__xludf.DUMMYFUNCTION("""COMPUTED_VALUE"""),0.5)</f>
        <v>0.5</v>
      </c>
      <c r="M809" s="82">
        <f>IFERROR(__xludf.DUMMYFUNCTION("""COMPUTED_VALUE"""),1.625)</f>
        <v>1.625</v>
      </c>
      <c r="N809" s="82">
        <f>IFERROR(__xludf.DUMMYFUNCTION("""COMPUTED_VALUE"""),3.0)</f>
        <v>3</v>
      </c>
      <c r="O809" s="82">
        <f>IFERROR(__xludf.DUMMYFUNCTION("""COMPUTED_VALUE"""),324.5)</f>
        <v>324.5</v>
      </c>
      <c r="P809" s="82">
        <f>IFERROR(__xludf.DUMMYFUNCTION("""COMPUTED_VALUE"""),0.5)</f>
        <v>0.5</v>
      </c>
      <c r="Q809" s="82">
        <f>IFERROR(__xludf.DUMMYFUNCTION("""COMPUTED_VALUE"""),0.3333333333333333)</f>
        <v>0.3333333333</v>
      </c>
      <c r="R809" s="82">
        <f>IFERROR(__xludf.DUMMYFUNCTION("""COMPUTED_VALUE"""),1.3333333333333335)</f>
        <v>1.333333333</v>
      </c>
      <c r="S809" s="82">
        <f>IFERROR(__xludf.DUMMYFUNCTION("""COMPUTED_VALUE"""),2.2916666666666665)</f>
        <v>2.291666667</v>
      </c>
      <c r="T809" s="82">
        <f>IFERROR(__xludf.DUMMYFUNCTION("""COMPUTED_VALUE"""),335.6006783460511)</f>
        <v>335.6006783</v>
      </c>
      <c r="U809" s="82">
        <f>IFERROR(__xludf.DUMMYFUNCTION("""COMPUTED_VALUE"""),0.6167304565504362)</f>
        <v>0.6167304566</v>
      </c>
      <c r="V809" s="82">
        <f>IFERROR(__xludf.DUMMYFUNCTION("""COMPUTED_VALUE"""),0.40424575002414753)</f>
        <v>0.40424575</v>
      </c>
      <c r="W809" s="82">
        <f>IFERROR(__xludf.DUMMYFUNCTION("""COMPUTED_VALUE"""),1.5044793779580798)</f>
        <v>1.504479378</v>
      </c>
      <c r="X809" s="82">
        <f>IFERROR(__xludf.DUMMYFUNCTION("""COMPUTED_VALUE"""),2.433722914453138)</f>
        <v>2.433722914</v>
      </c>
      <c r="Y809" s="82">
        <f>IFERROR(__xludf.DUMMYFUNCTION("""COMPUTED_VALUE"""),379.6929979367226)</f>
        <v>379.6929979</v>
      </c>
      <c r="Z809" s="82">
        <f>IFERROR(__xludf.DUMMYFUNCTION("""COMPUTED_VALUE"""),0.8978945984524076)</f>
        <v>0.8978945985</v>
      </c>
      <c r="AA809" s="82">
        <f>IFERROR(__xludf.DUMMYFUNCTION("""COMPUTED_VALUE"""),0.7080415499533145)</f>
        <v>0.70804155</v>
      </c>
      <c r="AB809" s="82">
        <f>IFERROR(__xludf.DUMMYFUNCTION("""COMPUTED_VALUE"""),1.4086949434946392)</f>
        <v>1.408694943</v>
      </c>
      <c r="AC809" s="82">
        <f>IFERROR(__xludf.DUMMYFUNCTION("""COMPUTED_VALUE"""),2.843861682604076)</f>
        <v>2.843861683</v>
      </c>
      <c r="AD809" s="82">
        <f>IFERROR(__xludf.DUMMYFUNCTION("""COMPUTED_VALUE"""),1.2417927182280497)</f>
        <v>1.241792718</v>
      </c>
      <c r="AE809" s="82">
        <f>IFERROR(__xludf.DUMMYFUNCTION("""COMPUTED_VALUE"""),1.3921455838519063)</f>
        <v>1.392145584</v>
      </c>
      <c r="AF809" s="82">
        <f>IFERROR(__xludf.DUMMYFUNCTION("""COMPUTED_VALUE"""),0.7061732465177617)</f>
        <v>0.7061732465</v>
      </c>
      <c r="AG809" s="82">
        <f>IFERROR(__xludf.DUMMYFUNCTION("""COMPUTED_VALUE"""),1.1535499630379584)</f>
        <v>1.153549963</v>
      </c>
      <c r="AH809" s="82">
        <f>IFERROR(__xludf.DUMMYFUNCTION("""COMPUTED_VALUE"""),1.054903625711132)</f>
        <v>1.054903626</v>
      </c>
      <c r="AI809" s="82">
        <f>IFERROR(__xludf.DUMMYFUNCTION("""COMPUTED_VALUE"""),0.966922956172917)</f>
        <v>0.9669229562</v>
      </c>
      <c r="AJ809" s="82">
        <f>IFERROR(__xludf.DUMMYFUNCTION("""COMPUTED_VALUE"""),0.8107269467388627)</f>
        <v>0.8107269467</v>
      </c>
      <c r="AK809" s="82">
        <f>IFERROR(__xludf.DUMMYFUNCTION("""COMPUTED_VALUE"""),0.8245809221579243)</f>
        <v>0.8245809222</v>
      </c>
      <c r="AL809" s="82">
        <f>IFERROR(__xludf.DUMMYFUNCTION("""COMPUTED_VALUE"""),0.8862423459356217)</f>
        <v>0.8862423459</v>
      </c>
      <c r="AM809" s="82">
        <f>IFERROR(__xludf.DUMMYFUNCTION("""COMPUTED_VALUE"""),0.9416300652211298)</f>
        <v>0.9416300652</v>
      </c>
      <c r="AN809" s="82">
        <f>IFERROR(__xludf.DUMMYFUNCTION("""COMPUTED_VALUE"""),1.3367967663507907)</f>
        <v>1.336796766</v>
      </c>
      <c r="AO809" s="82">
        <f>IFERROR(__xludf.DUMMYFUNCTION("""COMPUTED_VALUE"""),1.752696740643264)</f>
        <v>1.752696741</v>
      </c>
      <c r="AP809" s="82">
        <f>IFERROR(__xludf.DUMMYFUNCTION("""COMPUTED_VALUE"""),0.8694496343838928)</f>
        <v>0.8694496344</v>
      </c>
      <c r="AQ809" s="82">
        <f>IFERROR(__xludf.DUMMYFUNCTION("""COMPUTED_VALUE"""),1.1391374571111808)</f>
        <v>1.139137457</v>
      </c>
      <c r="AR809" s="82">
        <f>IFERROR(__xludf.DUMMYFUNCTION("""COMPUTED_VALUE"""),1.1908965886013314)</f>
        <v>1.190896589</v>
      </c>
      <c r="AS809" s="82">
        <f>IFERROR(__xludf.DUMMYFUNCTION("""COMPUTED_VALUE"""),21.0)</f>
        <v>21</v>
      </c>
      <c r="AT809" s="82">
        <f>IFERROR(__xludf.DUMMYFUNCTION("""COMPUTED_VALUE"""),0.6985619189231526)</f>
        <v>0.6985619189</v>
      </c>
      <c r="AU809" s="82">
        <f>IFERROR(__xludf.DUMMYFUNCTION("""COMPUTED_VALUE"""),3.5445620204095953)</f>
        <v>3.54456202</v>
      </c>
      <c r="AV809" s="82">
        <f>IFERROR(__xludf.DUMMYFUNCTION("""COMPUTED_VALUE"""),84.27747353552692)</f>
        <v>84.27747354</v>
      </c>
      <c r="AW809" s="82">
        <f t="shared" si="1"/>
        <v>11.74093981</v>
      </c>
      <c r="AX809" s="83">
        <f t="array" ref="AX809">IFERROR(DGET('SBV Import'!A:G,"SBV",{"RSC ID","Tier";B809,A809}))</f>
        <v>92.8223266</v>
      </c>
      <c r="AY809" s="82">
        <f t="shared" si="2"/>
        <v>23.0594827</v>
      </c>
      <c r="AZ809" s="82">
        <v>11.318542889930027</v>
      </c>
      <c r="BA809" s="84">
        <v>800.0</v>
      </c>
      <c r="BB809" s="84" t="b">
        <f>IFERROR(__xludf.DUMMYFUNCTION("iferror(if(A809="""",,E809&gt;=FILTER(Constants!$F$2:$F$10,Constants!$A$2:$A$10=A809)))"),TRUE)</f>
        <v>1</v>
      </c>
    </row>
    <row r="810">
      <c r="A810" s="80" t="str">
        <f>IFERROR(__xludf.DUMMYFUNCTION("""COMPUTED_VALUE"""),"Elite")</f>
        <v>Elite</v>
      </c>
      <c r="B810" s="73" t="str">
        <f>IFERROR(__xludf.DUMMYFUNCTION("""COMPUTED_VALUE"""),"RSC007049")</f>
        <v>RSC007049</v>
      </c>
      <c r="C810" s="73" t="str">
        <f>IFERROR(__xludf.DUMMYFUNCTION("""COMPUTED_VALUE"""),"dillyn.")</f>
        <v>dillyn.</v>
      </c>
      <c r="D810" s="73"/>
      <c r="E810" s="82">
        <f>IFERROR(__xludf.DUMMYFUNCTION("""COMPUTED_VALUE"""),8.0)</f>
        <v>8</v>
      </c>
      <c r="F810" s="82">
        <f>IFERROR(__xludf.DUMMYFUNCTION("""COMPUTED_VALUE"""),4.0)</f>
        <v>4</v>
      </c>
      <c r="G810" s="82">
        <f>IFERROR(__xludf.DUMMYFUNCTION("""COMPUTED_VALUE"""),4.0)</f>
        <v>4</v>
      </c>
      <c r="H810" s="86">
        <f>IFERROR(__xludf.DUMMYFUNCTION("""COMPUTED_VALUE"""),0.5)</f>
        <v>0.5</v>
      </c>
      <c r="I810" s="86">
        <f>IFERROR(__xludf.DUMMYFUNCTION("""COMPUTED_VALUE"""),0.3333333333333333)</f>
        <v>0.3333333333</v>
      </c>
      <c r="J810" s="82">
        <f>IFERROR(__xludf.DUMMYFUNCTION("""COMPUTED_VALUE"""),455.875)</f>
        <v>455.875</v>
      </c>
      <c r="K810" s="82">
        <f>IFERROR(__xludf.DUMMYFUNCTION("""COMPUTED_VALUE"""),1.0)</f>
        <v>1</v>
      </c>
      <c r="L810" s="82">
        <f>IFERROR(__xludf.DUMMYFUNCTION("""COMPUTED_VALUE"""),0.375)</f>
        <v>0.375</v>
      </c>
      <c r="M810" s="82">
        <f>IFERROR(__xludf.DUMMYFUNCTION("""COMPUTED_VALUE"""),2.375)</f>
        <v>2.375</v>
      </c>
      <c r="N810" s="82">
        <f>IFERROR(__xludf.DUMMYFUNCTION("""COMPUTED_VALUE"""),3.0)</f>
        <v>3</v>
      </c>
      <c r="O810" s="82">
        <f>IFERROR(__xludf.DUMMYFUNCTION("""COMPUTED_VALUE"""),348.375)</f>
        <v>348.375</v>
      </c>
      <c r="P810" s="82">
        <f>IFERROR(__xludf.DUMMYFUNCTION("""COMPUTED_VALUE"""),0.7499999999999999)</f>
        <v>0.75</v>
      </c>
      <c r="Q810" s="82">
        <f>IFERROR(__xludf.DUMMYFUNCTION("""COMPUTED_VALUE"""),0.5416666666666667)</f>
        <v>0.5416666667</v>
      </c>
      <c r="R810" s="82">
        <f>IFERROR(__xludf.DUMMYFUNCTION("""COMPUTED_VALUE"""),1.2083333333333333)</f>
        <v>1.208333333</v>
      </c>
      <c r="S810" s="82">
        <f>IFERROR(__xludf.DUMMYFUNCTION("""COMPUTED_VALUE"""),3.2916666666666665)</f>
        <v>3.291666667</v>
      </c>
      <c r="T810" s="82">
        <f>IFERROR(__xludf.DUMMYFUNCTION("""COMPUTED_VALUE"""),377.56845724400875)</f>
        <v>377.5684572</v>
      </c>
      <c r="U810" s="82">
        <f>IFERROR(__xludf.DUMMYFUNCTION("""COMPUTED_VALUE"""),0.8802083333333335)</f>
        <v>0.8802083333</v>
      </c>
      <c r="V810" s="82">
        <f>IFERROR(__xludf.DUMMYFUNCTION("""COMPUTED_VALUE"""),0.7514978213507624)</f>
        <v>0.7514978214</v>
      </c>
      <c r="W810" s="82">
        <f>IFERROR(__xludf.DUMMYFUNCTION("""COMPUTED_VALUE"""),1.1978826252723311)</f>
        <v>1.197882625</v>
      </c>
      <c r="X810" s="82">
        <f>IFERROR(__xludf.DUMMYFUNCTION("""COMPUTED_VALUE"""),3.0311478758169934)</f>
        <v>3.031147876</v>
      </c>
      <c r="Y810" s="82">
        <f>IFERROR(__xludf.DUMMYFUNCTION("""COMPUTED_VALUE"""),354.19696350762524)</f>
        <v>354.1969635</v>
      </c>
      <c r="Z810" s="82">
        <f>IFERROR(__xludf.DUMMYFUNCTION("""COMPUTED_VALUE"""),0.6334649600580973)</f>
        <v>0.6334649601</v>
      </c>
      <c r="AA810" s="82">
        <f>IFERROR(__xludf.DUMMYFUNCTION("""COMPUTED_VALUE"""),0.4709626906318083)</f>
        <v>0.4709626906</v>
      </c>
      <c r="AB810" s="82">
        <f>IFERROR(__xludf.DUMMYFUNCTION("""COMPUTED_VALUE"""),1.7513162672476394)</f>
        <v>1.751316267</v>
      </c>
      <c r="AC810" s="82">
        <f>IFERROR(__xludf.DUMMYFUNCTION("""COMPUTED_VALUE"""),2.192617556281772)</f>
        <v>2.192617556</v>
      </c>
      <c r="AD810" s="82">
        <f>IFERROR(__xludf.DUMMYFUNCTION("""COMPUTED_VALUE"""),1.2870663697549902)</f>
        <v>1.28706637</v>
      </c>
      <c r="AE810" s="82">
        <f>IFERROR(__xludf.DUMMYFUNCTION("""COMPUTED_VALUE"""),1.5786192813384445)</f>
        <v>1.578619281</v>
      </c>
      <c r="AF810" s="82">
        <f>IFERROR(__xludf.DUMMYFUNCTION("""COMPUTED_VALUE"""),0.7962414166967835)</f>
        <v>0.7962414167</v>
      </c>
      <c r="AG810" s="82">
        <f>IFERROR(__xludf.DUMMYFUNCTION("""COMPUTED_VALUE"""),1.3561228456654142)</f>
        <v>1.356122846</v>
      </c>
      <c r="AH810" s="82">
        <f>IFERROR(__xludf.DUMMYFUNCTION("""COMPUTED_VALUE"""),1.3682276653332022)</f>
        <v>1.368227665</v>
      </c>
      <c r="AI810" s="82">
        <f>IFERROR(__xludf.DUMMYFUNCTION("""COMPUTED_VALUE"""),0.9226803598555319)</f>
        <v>0.9226803599</v>
      </c>
      <c r="AJ810" s="82">
        <f>IFERROR(__xludf.DUMMYFUNCTION("""COMPUTED_VALUE"""),0.8520710059171595)</f>
        <v>0.8520710059</v>
      </c>
      <c r="AK810" s="82">
        <f>IFERROR(__xludf.DUMMYFUNCTION("""COMPUTED_VALUE"""),0.7207827504982789)</f>
        <v>0.7207827505</v>
      </c>
      <c r="AL810" s="82">
        <f>IFERROR(__xludf.DUMMYFUNCTION("""COMPUTED_VALUE"""),1.008724317258234)</f>
        <v>1.008724317</v>
      </c>
      <c r="AM810" s="82">
        <f>IFERROR(__xludf.DUMMYFUNCTION("""COMPUTED_VALUE"""),1.085947238974428)</f>
        <v>1.085947239</v>
      </c>
      <c r="AN810" s="82">
        <f>IFERROR(__xludf.DUMMYFUNCTION("""COMPUTED_VALUE"""),1.2924967674658892)</f>
        <v>1.292496767</v>
      </c>
      <c r="AO810" s="82">
        <f>IFERROR(__xludf.DUMMYFUNCTION("""COMPUTED_VALUE"""),1.4021573925146114)</f>
        <v>1.402157393</v>
      </c>
      <c r="AP810" s="82">
        <f>IFERROR(__xludf.DUMMYFUNCTION("""COMPUTED_VALUE"""),0.6520872257879196)</f>
        <v>0.6520872258</v>
      </c>
      <c r="AQ810" s="82">
        <f>IFERROR(__xludf.DUMMYFUNCTION("""COMPUTED_VALUE"""),1.6648932065471103)</f>
        <v>1.664893207</v>
      </c>
      <c r="AR810" s="82">
        <f>IFERROR(__xludf.DUMMYFUNCTION("""COMPUTED_VALUE"""),1.1908965886013314)</f>
        <v>1.190896589</v>
      </c>
      <c r="AS810" s="82">
        <f>IFERROR(__xludf.DUMMYFUNCTION("""COMPUTED_VALUE"""),16.0)</f>
        <v>16</v>
      </c>
      <c r="AT810" s="82">
        <f>IFERROR(__xludf.DUMMYFUNCTION("""COMPUTED_VALUE"""),0.45551429482502853)</f>
        <v>0.4555142948</v>
      </c>
      <c r="AU810" s="82">
        <f>IFERROR(__xludf.DUMMYFUNCTION("""COMPUTED_VALUE"""),3.504456716422287)</f>
        <v>3.504456716</v>
      </c>
      <c r="AV810" s="82">
        <f>IFERROR(__xludf.DUMMYFUNCTION("""COMPUTED_VALUE"""),83.15053618571295)</f>
        <v>83.15053619</v>
      </c>
      <c r="AW810" s="82">
        <f t="shared" si="1"/>
        <v>10.82060238</v>
      </c>
      <c r="AX810" s="83">
        <f t="array" ref="AX810">IFERROR(DGET('SBV Import'!A:G,"SBV",{"RSC ID","Tier";B810,A810}))</f>
        <v>64.85227386</v>
      </c>
      <c r="AY810" s="82">
        <f t="shared" si="2"/>
        <v>3.620228734</v>
      </c>
      <c r="AZ810" s="82">
        <v>7.200373648550304</v>
      </c>
      <c r="BA810" s="84">
        <v>800.0</v>
      </c>
      <c r="BB810" s="84" t="b">
        <f>IFERROR(__xludf.DUMMYFUNCTION("iferror(if(A810="""",,E810&gt;=FILTER(Constants!$F$2:$F$10,Constants!$A$2:$A$10=A810)))"),TRUE)</f>
        <v>1</v>
      </c>
    </row>
    <row r="811">
      <c r="A811" s="80" t="str">
        <f>IFERROR(__xludf.DUMMYFUNCTION("""COMPUTED_VALUE"""),"Elite")</f>
        <v>Elite</v>
      </c>
      <c r="B811" s="73" t="str">
        <f>IFERROR(__xludf.DUMMYFUNCTION("""COMPUTED_VALUE"""),"RSC002498")</f>
        <v>RSC002498</v>
      </c>
      <c r="C811" s="73" t="str">
        <f>IFERROR(__xludf.DUMMYFUNCTION("""COMPUTED_VALUE"""),"Justin")</f>
        <v>Justin</v>
      </c>
      <c r="D811" s="73" t="str">
        <f>IFERROR(__xludf.DUMMYFUNCTION("""COMPUTED_VALUE"""),"Nightshade")</f>
        <v>Nightshade</v>
      </c>
      <c r="E811" s="82">
        <f>IFERROR(__xludf.DUMMYFUNCTION("""COMPUTED_VALUE"""),29.0)</f>
        <v>29</v>
      </c>
      <c r="F811" s="82">
        <f>IFERROR(__xludf.DUMMYFUNCTION("""COMPUTED_VALUE"""),18.0)</f>
        <v>18</v>
      </c>
      <c r="G811" s="82">
        <f>IFERROR(__xludf.DUMMYFUNCTION("""COMPUTED_VALUE"""),11.0)</f>
        <v>11</v>
      </c>
      <c r="H811" s="86">
        <f>IFERROR(__xludf.DUMMYFUNCTION("""COMPUTED_VALUE"""),0.6206896551724138)</f>
        <v>0.6206896552</v>
      </c>
      <c r="I811" s="86">
        <f>IFERROR(__xludf.DUMMYFUNCTION("""COMPUTED_VALUE"""),0.35353535353535354)</f>
        <v>0.3535353535</v>
      </c>
      <c r="J811" s="82">
        <f>IFERROR(__xludf.DUMMYFUNCTION("""COMPUTED_VALUE"""),381.17241379310343)</f>
        <v>381.1724138</v>
      </c>
      <c r="K811" s="82">
        <f>IFERROR(__xludf.DUMMYFUNCTION("""COMPUTED_VALUE"""),1.206896551724138)</f>
        <v>1.206896552</v>
      </c>
      <c r="L811" s="82">
        <f>IFERROR(__xludf.DUMMYFUNCTION("""COMPUTED_VALUE"""),0.5862068965517241)</f>
        <v>0.5862068966</v>
      </c>
      <c r="M811" s="82">
        <f>IFERROR(__xludf.DUMMYFUNCTION("""COMPUTED_VALUE"""),0.9655172413793104)</f>
        <v>0.9655172414</v>
      </c>
      <c r="N811" s="82">
        <f>IFERROR(__xludf.DUMMYFUNCTION("""COMPUTED_VALUE"""),3.413793103448276)</f>
        <v>3.413793103</v>
      </c>
      <c r="O811" s="82">
        <f>IFERROR(__xludf.DUMMYFUNCTION("""COMPUTED_VALUE"""),343.1724137931035)</f>
        <v>343.1724138</v>
      </c>
      <c r="P811" s="82">
        <f>IFERROR(__xludf.DUMMYFUNCTION("""COMPUTED_VALUE"""),0.67816091954023)</f>
        <v>0.6781609195</v>
      </c>
      <c r="Q811" s="82">
        <f>IFERROR(__xludf.DUMMYFUNCTION("""COMPUTED_VALUE"""),0.5057471264367814)</f>
        <v>0.5057471264</v>
      </c>
      <c r="R811" s="82">
        <f>IFERROR(__xludf.DUMMYFUNCTION("""COMPUTED_VALUE"""),1.4482758620689655)</f>
        <v>1.448275862</v>
      </c>
      <c r="S811" s="82">
        <f>IFERROR(__xludf.DUMMYFUNCTION("""COMPUTED_VALUE"""),2.5747126436781604)</f>
        <v>2.574712644</v>
      </c>
      <c r="T811" s="82">
        <f>IFERROR(__xludf.DUMMYFUNCTION("""COMPUTED_VALUE"""),338.9490599887698)</f>
        <v>338.94906</v>
      </c>
      <c r="U811" s="82">
        <f>IFERROR(__xludf.DUMMYFUNCTION("""COMPUTED_VALUE"""),0.6661619947299183)</f>
        <v>0.6661619947</v>
      </c>
      <c r="V811" s="82">
        <f>IFERROR(__xludf.DUMMYFUNCTION("""COMPUTED_VALUE"""),0.5371047872028802)</f>
        <v>0.5371047872</v>
      </c>
      <c r="W811" s="82">
        <f>IFERROR(__xludf.DUMMYFUNCTION("""COMPUTED_VALUE"""),1.3693761919137082)</f>
        <v>1.369376192</v>
      </c>
      <c r="X811" s="82">
        <f>IFERROR(__xludf.DUMMYFUNCTION("""COMPUTED_VALUE"""),2.4466240352871673)</f>
        <v>2.446624035</v>
      </c>
      <c r="Y811" s="82">
        <f>IFERROR(__xludf.DUMMYFUNCTION("""COMPUTED_VALUE"""),368.67922895307544)</f>
        <v>368.679229</v>
      </c>
      <c r="Z811" s="82">
        <f>IFERROR(__xludf.DUMMYFUNCTION("""COMPUTED_VALUE"""),0.8469808273638667)</f>
        <v>0.8469808274</v>
      </c>
      <c r="AA811" s="82">
        <f>IFERROR(__xludf.DUMMYFUNCTION("""COMPUTED_VALUE"""),0.6525368414383131)</f>
        <v>0.6525368414</v>
      </c>
      <c r="AB811" s="82">
        <f>IFERROR(__xludf.DUMMYFUNCTION("""COMPUTED_VALUE"""),1.3237814461261481)</f>
        <v>1.323781446</v>
      </c>
      <c r="AC811" s="82">
        <f>IFERROR(__xludf.DUMMYFUNCTION("""COMPUTED_VALUE"""),2.768379829652534)</f>
        <v>2.76837983</v>
      </c>
      <c r="AD811" s="82">
        <f>IFERROR(__xludf.DUMMYFUNCTION("""COMPUTED_VALUE"""),1.033886326809092)</f>
        <v>1.033886327</v>
      </c>
      <c r="AE811" s="82">
        <f>IFERROR(__xludf.DUMMYFUNCTION("""COMPUTED_VALUE"""),1.4249396358598443)</f>
        <v>1.424939636</v>
      </c>
      <c r="AF811" s="82">
        <f>IFERROR(__xludf.DUMMYFUNCTION("""COMPUTED_VALUE"""),0.8983506513741271)</f>
        <v>0.8983506514</v>
      </c>
      <c r="AG811" s="82">
        <f>IFERROR(__xludf.DUMMYFUNCTION("""COMPUTED_VALUE"""),0.7293630260529446)</f>
        <v>0.7293630261</v>
      </c>
      <c r="AH811" s="82">
        <f>IFERROR(__xludf.DUMMYFUNCTION("""COMPUTED_VALUE"""),1.2331375438018377)</f>
        <v>1.233137544</v>
      </c>
      <c r="AI811" s="82">
        <f>IFERROR(__xludf.DUMMYFUNCTION("""COMPUTED_VALUE"""),1.01246014313913)</f>
        <v>1.012460143</v>
      </c>
      <c r="AJ811" s="82">
        <f>IFERROR(__xludf.DUMMYFUNCTION("""COMPUTED_VALUE"""),1.018012022458856)</f>
        <v>1.018012022</v>
      </c>
      <c r="AK811" s="82">
        <f>IFERROR(__xludf.DUMMYFUNCTION("""COMPUTED_VALUE"""),0.9416172383616196)</f>
        <v>0.9416172384</v>
      </c>
      <c r="AL811" s="82">
        <f>IFERROR(__xludf.DUMMYFUNCTION("""COMPUTED_VALUE"""),1.0576172352208013)</f>
        <v>1.057617235</v>
      </c>
      <c r="AM811" s="82">
        <f>IFERROR(__xludf.DUMMYFUNCTION("""COMPUTED_VALUE"""),1.0523532044742456)</f>
        <v>1.052353204</v>
      </c>
      <c r="AN811" s="82">
        <f>IFERROR(__xludf.DUMMYFUNCTION("""COMPUTED_VALUE"""),1.080700000383343)</f>
        <v>1.0807</v>
      </c>
      <c r="AO811" s="82">
        <f>IFERROR(__xludf.DUMMYFUNCTION("""COMPUTED_VALUE"""),1.692258922000393)</f>
        <v>1.692258922</v>
      </c>
      <c r="AP811" s="82">
        <f>IFERROR(__xludf.DUMMYFUNCTION("""COMPUTED_VALUE"""),1.019354743760426)</f>
        <v>1.019354744</v>
      </c>
      <c r="AQ811" s="82">
        <f>IFERROR(__xludf.DUMMYFUNCTION("""COMPUTED_VALUE"""),0.6768349877795875)</f>
        <v>0.6768349878</v>
      </c>
      <c r="AR811" s="82">
        <f>IFERROR(__xludf.DUMMYFUNCTION("""COMPUTED_VALUE"""),1.3551581870291014)</f>
        <v>1.355158187</v>
      </c>
      <c r="AS811" s="82">
        <f>IFERROR(__xludf.DUMMYFUNCTION("""COMPUTED_VALUE"""),75.0)</f>
        <v>75</v>
      </c>
      <c r="AT811" s="82">
        <f>IFERROR(__xludf.DUMMYFUNCTION("""COMPUTED_VALUE"""),0.5920145772068025)</f>
        <v>0.5920145772</v>
      </c>
      <c r="AU811" s="82">
        <f>IFERROR(__xludf.DUMMYFUNCTION("""COMPUTED_VALUE"""),3.445090072400507)</f>
        <v>3.445090072</v>
      </c>
      <c r="AV811" s="82">
        <f>IFERROR(__xludf.DUMMYFUNCTION("""COMPUTED_VALUE"""),81.48236559903877)</f>
        <v>81.4823656</v>
      </c>
      <c r="AW811" s="82">
        <f t="shared" si="1"/>
        <v>9.618902251</v>
      </c>
      <c r="AX811" s="83">
        <f t="array" ref="AX811">IFERROR(DGET('SBV Import'!A:G,"SBV",{"RSC ID","Tier";B811,A811}))</f>
        <v>63.39260233</v>
      </c>
      <c r="AY811" s="82">
        <f t="shared" si="2"/>
        <v>3.377448015</v>
      </c>
      <c r="AZ811" s="82">
        <v>6.241454236239871</v>
      </c>
      <c r="BA811" s="84">
        <v>800.0</v>
      </c>
      <c r="BB811" s="84" t="b">
        <f>IFERROR(__xludf.DUMMYFUNCTION("iferror(if(A811="""",,E811&gt;=FILTER(Constants!$F$2:$F$10,Constants!$A$2:$A$10=A811)))"),TRUE)</f>
        <v>1</v>
      </c>
    </row>
    <row r="812">
      <c r="A812" s="80" t="str">
        <f>IFERROR(__xludf.DUMMYFUNCTION("""COMPUTED_VALUE"""),"Elite")</f>
        <v>Elite</v>
      </c>
      <c r="B812" s="73" t="str">
        <f>IFERROR(__xludf.DUMMYFUNCTION("""COMPUTED_VALUE"""),"RSC004630")</f>
        <v>RSC004630</v>
      </c>
      <c r="C812" s="73" t="str">
        <f>IFERROR(__xludf.DUMMYFUNCTION("""COMPUTED_VALUE"""),"Supe")</f>
        <v>Supe</v>
      </c>
      <c r="D812" s="73" t="str">
        <f>IFERROR(__xludf.DUMMYFUNCTION("""COMPUTED_VALUE"""),"Pylons")</f>
        <v>Pylons</v>
      </c>
      <c r="E812" s="82">
        <f>IFERROR(__xludf.DUMMYFUNCTION("""COMPUTED_VALUE"""),24.0)</f>
        <v>24</v>
      </c>
      <c r="F812" s="82">
        <f>IFERROR(__xludf.DUMMYFUNCTION("""COMPUTED_VALUE"""),13.0)</f>
        <v>13</v>
      </c>
      <c r="G812" s="82">
        <f>IFERROR(__xludf.DUMMYFUNCTION("""COMPUTED_VALUE"""),11.0)</f>
        <v>11</v>
      </c>
      <c r="H812" s="86">
        <f>IFERROR(__xludf.DUMMYFUNCTION("""COMPUTED_VALUE"""),0.5416666666666666)</f>
        <v>0.5416666667</v>
      </c>
      <c r="I812" s="86">
        <f>IFERROR(__xludf.DUMMYFUNCTION("""COMPUTED_VALUE"""),0.3125)</f>
        <v>0.3125</v>
      </c>
      <c r="J812" s="82">
        <f>IFERROR(__xludf.DUMMYFUNCTION("""COMPUTED_VALUE"""),426.0416666666667)</f>
        <v>426.0416667</v>
      </c>
      <c r="K812" s="82">
        <f>IFERROR(__xludf.DUMMYFUNCTION("""COMPUTED_VALUE"""),1.0416666666666667)</f>
        <v>1.041666667</v>
      </c>
      <c r="L812" s="82">
        <f>IFERROR(__xludf.DUMMYFUNCTION("""COMPUTED_VALUE"""),0.6666666666666666)</f>
        <v>0.6666666667</v>
      </c>
      <c r="M812" s="82">
        <f>IFERROR(__xludf.DUMMYFUNCTION("""COMPUTED_VALUE"""),1.4583333333333333)</f>
        <v>1.458333333</v>
      </c>
      <c r="N812" s="82">
        <f>IFERROR(__xludf.DUMMYFUNCTION("""COMPUTED_VALUE"""),3.3333333333333335)</f>
        <v>3.333333333</v>
      </c>
      <c r="O812" s="82">
        <f>IFERROR(__xludf.DUMMYFUNCTION("""COMPUTED_VALUE"""),350.25)</f>
        <v>350.25</v>
      </c>
      <c r="P812" s="82">
        <f>IFERROR(__xludf.DUMMYFUNCTION("""COMPUTED_VALUE"""),0.7361111111111112)</f>
        <v>0.7361111111</v>
      </c>
      <c r="Q812" s="82">
        <f>IFERROR(__xludf.DUMMYFUNCTION("""COMPUTED_VALUE"""),0.5416666666666666)</f>
        <v>0.5416666667</v>
      </c>
      <c r="R812" s="82">
        <f>IFERROR(__xludf.DUMMYFUNCTION("""COMPUTED_VALUE"""),1.4166666666666667)</f>
        <v>1.416666667</v>
      </c>
      <c r="S812" s="82">
        <f>IFERROR(__xludf.DUMMYFUNCTION("""COMPUTED_VALUE"""),2.4999999999999996)</f>
        <v>2.5</v>
      </c>
      <c r="T812" s="82">
        <f>IFERROR(__xludf.DUMMYFUNCTION("""COMPUTED_VALUE"""),355.2655648306195)</f>
        <v>355.2655648</v>
      </c>
      <c r="U812" s="82">
        <f>IFERROR(__xludf.DUMMYFUNCTION("""COMPUTED_VALUE"""),0.7256045526454439)</f>
        <v>0.7256045526</v>
      </c>
      <c r="V812" s="82">
        <f>IFERROR(__xludf.DUMMYFUNCTION("""COMPUTED_VALUE"""),0.5140116273751067)</f>
        <v>0.5140116274</v>
      </c>
      <c r="W812" s="82">
        <f>IFERROR(__xludf.DUMMYFUNCTION("""COMPUTED_VALUE"""),1.5018645402170725)</f>
        <v>1.50186454</v>
      </c>
      <c r="X812" s="82">
        <f>IFERROR(__xludf.DUMMYFUNCTION("""COMPUTED_VALUE"""),2.4018245337191764)</f>
        <v>2.401824534</v>
      </c>
      <c r="Y812" s="82">
        <f>IFERROR(__xludf.DUMMYFUNCTION("""COMPUTED_VALUE"""),358.7389276956648)</f>
        <v>358.7389277</v>
      </c>
      <c r="Z812" s="82">
        <f>IFERROR(__xludf.DUMMYFUNCTION("""COMPUTED_VALUE"""),0.7798483284559586)</f>
        <v>0.7798483285</v>
      </c>
      <c r="AA812" s="82">
        <f>IFERROR(__xludf.DUMMYFUNCTION("""COMPUTED_VALUE"""),0.5928142319823524)</f>
        <v>0.592814232</v>
      </c>
      <c r="AB812" s="82">
        <f>IFERROR(__xludf.DUMMYFUNCTION("""COMPUTED_VALUE"""),1.322858511572033)</f>
        <v>1.322858512</v>
      </c>
      <c r="AC812" s="82">
        <f>IFERROR(__xludf.DUMMYFUNCTION("""COMPUTED_VALUE"""),2.75839545143521)</f>
        <v>2.758395451</v>
      </c>
      <c r="AD812" s="82">
        <f>IFERROR(__xludf.DUMMYFUNCTION("""COMPUTED_VALUE"""),1.187609243868003)</f>
        <v>1.187609244</v>
      </c>
      <c r="AE812" s="82">
        <f>IFERROR(__xludf.DUMMYFUNCTION("""COMPUTED_VALUE"""),1.3357298190650595)</f>
        <v>1.335729819</v>
      </c>
      <c r="AF812" s="82">
        <f>IFERROR(__xludf.DUMMYFUNCTION("""COMPUTED_VALUE"""),1.1245793887865243)</f>
        <v>1.124579389</v>
      </c>
      <c r="AG812" s="82">
        <f>IFERROR(__xludf.DUMMYFUNCTION("""COMPUTED_VALUE"""),1.1024106664289495)</f>
        <v>1.102410666</v>
      </c>
      <c r="AH812" s="82">
        <f>IFERROR(__xludf.DUMMYFUNCTION("""COMPUTED_VALUE"""),1.2084320004221947)</f>
        <v>1.208432</v>
      </c>
      <c r="AI812" s="82">
        <f>IFERROR(__xludf.DUMMYFUNCTION("""COMPUTED_VALUE"""),0.9858822094592512)</f>
        <v>0.9858822095</v>
      </c>
      <c r="AJ812" s="82">
        <f>IFERROR(__xludf.DUMMYFUNCTION("""COMPUTED_VALUE"""),1.0144797306292552)</f>
        <v>1.014479731</v>
      </c>
      <c r="AK812" s="82">
        <f>IFERROR(__xludf.DUMMYFUNCTION("""COMPUTED_VALUE"""),1.0538023613060765)</f>
        <v>1.053802361</v>
      </c>
      <c r="AL812" s="82">
        <f>IFERROR(__xludf.DUMMYFUNCTION("""COMPUTED_VALUE"""),0.9432719321423677)</f>
        <v>0.9432719321</v>
      </c>
      <c r="AM812" s="82">
        <f>IFERROR(__xludf.DUMMYFUNCTION("""COMPUTED_VALUE"""),1.0408753699125557)</f>
        <v>1.04087537</v>
      </c>
      <c r="AN812" s="82">
        <f>IFERROR(__xludf.DUMMYFUNCTION("""COMPUTED_VALUE"""),1.2079133029283171)</f>
        <v>1.207913303</v>
      </c>
      <c r="AO812" s="82">
        <f>IFERROR(__xludf.DUMMYFUNCTION("""COMPUTED_VALUE"""),1.4605806172027203)</f>
        <v>1.460580617</v>
      </c>
      <c r="AP812" s="82">
        <f>IFERROR(__xludf.DUMMYFUNCTION("""COMPUTED_VALUE"""),1.1592661791785237)</f>
        <v>1.159266179</v>
      </c>
      <c r="AQ812" s="82">
        <f>IFERROR(__xludf.DUMMYFUNCTION("""COMPUTED_VALUE"""),1.0223028461254187)</f>
        <v>1.022302846</v>
      </c>
      <c r="AR812" s="82">
        <f>IFERROR(__xludf.DUMMYFUNCTION("""COMPUTED_VALUE"""),1.3232184317792572)</f>
        <v>1.323218432</v>
      </c>
      <c r="AS812" s="82">
        <f>IFERROR(__xludf.DUMMYFUNCTION("""COMPUTED_VALUE"""),62.0)</f>
        <v>62</v>
      </c>
      <c r="AT812" s="82">
        <f>IFERROR(__xludf.DUMMYFUNCTION("""COMPUTED_VALUE"""),0.5611677648392986)</f>
        <v>0.5611677648</v>
      </c>
      <c r="AU812" s="82">
        <f>IFERROR(__xludf.DUMMYFUNCTION("""COMPUTED_VALUE"""),3.4235355547786535)</f>
        <v>3.423535555</v>
      </c>
      <c r="AV812" s="82">
        <f>IFERROR(__xludf.DUMMYFUNCTION("""COMPUTED_VALUE"""),80.87669531231118)</f>
        <v>80.87669531</v>
      </c>
      <c r="AW812" s="82">
        <f t="shared" si="1"/>
        <v>9.224868122</v>
      </c>
      <c r="AX812" s="83">
        <f t="array" ref="AX812">IFERROR(DGET('SBV Import'!A:G,"SBV",{"RSC ID","Tier";B812,A812}))</f>
        <v>77.53545534</v>
      </c>
      <c r="AY812" s="82">
        <f t="shared" si="2"/>
        <v>7.387851981</v>
      </c>
      <c r="AZ812" s="82">
        <v>1.8370161411803636</v>
      </c>
      <c r="BA812" s="84">
        <v>800.0</v>
      </c>
      <c r="BB812" s="84" t="b">
        <f>IFERROR(__xludf.DUMMYFUNCTION("iferror(if(A812="""",,E812&gt;=FILTER(Constants!$F$2:$F$10,Constants!$A$2:$A$10=A812)))"),TRUE)</f>
        <v>1</v>
      </c>
    </row>
    <row r="813">
      <c r="A813" s="80" t="str">
        <f>IFERROR(__xludf.DUMMYFUNCTION("""COMPUTED_VALUE"""),"Elite")</f>
        <v>Elite</v>
      </c>
      <c r="B813" s="73" t="str">
        <f>IFERROR(__xludf.DUMMYFUNCTION("""COMPUTED_VALUE"""),"RSC007895")</f>
        <v>RSC007895</v>
      </c>
      <c r="C813" s="73" t="str">
        <f>IFERROR(__xludf.DUMMYFUNCTION("""COMPUTED_VALUE"""),"Lup")</f>
        <v>Lup</v>
      </c>
      <c r="D813" s="73" t="str">
        <f>IFERROR(__xludf.DUMMYFUNCTION("""COMPUTED_VALUE"""),"Wyverns")</f>
        <v>Wyverns</v>
      </c>
      <c r="E813" s="82">
        <f>IFERROR(__xludf.DUMMYFUNCTION("""COMPUTED_VALUE"""),34.0)</f>
        <v>34</v>
      </c>
      <c r="F813" s="82">
        <f>IFERROR(__xludf.DUMMYFUNCTION("""COMPUTED_VALUE"""),18.0)</f>
        <v>18</v>
      </c>
      <c r="G813" s="82">
        <f>IFERROR(__xludf.DUMMYFUNCTION("""COMPUTED_VALUE"""),16.0)</f>
        <v>16</v>
      </c>
      <c r="H813" s="86">
        <f>IFERROR(__xludf.DUMMYFUNCTION("""COMPUTED_VALUE"""),0.5294117647058824)</f>
        <v>0.5294117647</v>
      </c>
      <c r="I813" s="86">
        <f>IFERROR(__xludf.DUMMYFUNCTION("""COMPUTED_VALUE"""),0.33333333333333326)</f>
        <v>0.3333333333</v>
      </c>
      <c r="J813" s="82">
        <f>IFERROR(__xludf.DUMMYFUNCTION("""COMPUTED_VALUE"""),391.29411764705884)</f>
        <v>391.2941176</v>
      </c>
      <c r="K813" s="82">
        <f>IFERROR(__xludf.DUMMYFUNCTION("""COMPUTED_VALUE"""),1.0294117647058822)</f>
        <v>1.029411765</v>
      </c>
      <c r="L813" s="82">
        <f>IFERROR(__xludf.DUMMYFUNCTION("""COMPUTED_VALUE"""),0.5294117647058824)</f>
        <v>0.5294117647</v>
      </c>
      <c r="M813" s="82">
        <f>IFERROR(__xludf.DUMMYFUNCTION("""COMPUTED_VALUE"""),1.588235294117647)</f>
        <v>1.588235294</v>
      </c>
      <c r="N813" s="82">
        <f>IFERROR(__xludf.DUMMYFUNCTION("""COMPUTED_VALUE"""),3.088235294117647)</f>
        <v>3.088235294</v>
      </c>
      <c r="O813" s="82">
        <f>IFERROR(__xludf.DUMMYFUNCTION("""COMPUTED_VALUE"""),353.89215686274514)</f>
        <v>353.8921569</v>
      </c>
      <c r="P813" s="82">
        <f>IFERROR(__xludf.DUMMYFUNCTION("""COMPUTED_VALUE"""),0.6862745098039215)</f>
        <v>0.6862745098</v>
      </c>
      <c r="Q813" s="82">
        <f>IFERROR(__xludf.DUMMYFUNCTION("""COMPUTED_VALUE"""),0.5294117647058824)</f>
        <v>0.5294117647</v>
      </c>
      <c r="R813" s="82">
        <f>IFERROR(__xludf.DUMMYFUNCTION("""COMPUTED_VALUE"""),1.4901960784313724)</f>
        <v>1.490196078</v>
      </c>
      <c r="S813" s="82">
        <f>IFERROR(__xludf.DUMMYFUNCTION("""COMPUTED_VALUE"""),2.519607843137255)</f>
        <v>2.519607843</v>
      </c>
      <c r="T813" s="82">
        <f>IFERROR(__xludf.DUMMYFUNCTION("""COMPUTED_VALUE"""),358.52990525109334)</f>
        <v>358.5299053</v>
      </c>
      <c r="U813" s="82">
        <f>IFERROR(__xludf.DUMMYFUNCTION("""COMPUTED_VALUE"""),0.7970607979710405)</f>
        <v>0.797060798</v>
      </c>
      <c r="V813" s="82">
        <f>IFERROR(__xludf.DUMMYFUNCTION("""COMPUTED_VALUE"""),0.5997481218608871)</f>
        <v>0.5997481219</v>
      </c>
      <c r="W813" s="82">
        <f>IFERROR(__xludf.DUMMYFUNCTION("""COMPUTED_VALUE"""),1.3228642265133563)</f>
        <v>1.322864227</v>
      </c>
      <c r="X813" s="82">
        <f>IFERROR(__xludf.DUMMYFUNCTION("""COMPUTED_VALUE"""),2.737382727664263)</f>
        <v>2.737382728</v>
      </c>
      <c r="Y813" s="82">
        <f>IFERROR(__xludf.DUMMYFUNCTION("""COMPUTED_VALUE"""),356.05788380660266)</f>
        <v>356.0578838</v>
      </c>
      <c r="Z813" s="82">
        <f>IFERROR(__xludf.DUMMYFUNCTION("""COMPUTED_VALUE"""),0.7194435037394942)</f>
        <v>0.7194435037</v>
      </c>
      <c r="AA813" s="82">
        <f>IFERROR(__xludf.DUMMYFUNCTION("""COMPUTED_VALUE"""),0.5387149949105149)</f>
        <v>0.5387149949</v>
      </c>
      <c r="AB813" s="82">
        <f>IFERROR(__xludf.DUMMYFUNCTION("""COMPUTED_VALUE"""),1.508404613121169)</f>
        <v>1.508404613</v>
      </c>
      <c r="AC813" s="82">
        <f>IFERROR(__xludf.DUMMYFUNCTION("""COMPUTED_VALUE"""),2.498679534333938)</f>
        <v>2.498679534</v>
      </c>
      <c r="AD813" s="82">
        <f>IFERROR(__xludf.DUMMYFUNCTION("""COMPUTED_VALUE"""),1.0989620942071183)</f>
        <v>1.098962094</v>
      </c>
      <c r="AE813" s="82">
        <f>IFERROR(__xludf.DUMMYFUNCTION("""COMPUTED_VALUE"""),1.4308444782046785)</f>
        <v>1.430844478</v>
      </c>
      <c r="AF813" s="82">
        <f>IFERROR(__xludf.DUMMYFUNCTION("""COMPUTED_VALUE"""),0.9827307012195236)</f>
        <v>0.9827307012</v>
      </c>
      <c r="AG813" s="82">
        <f>IFERROR(__xludf.DUMMYFUNCTION("""COMPUTED_VALUE"""),1.052923917297822)</f>
        <v>1.052923917</v>
      </c>
      <c r="AH813" s="82">
        <f>IFERROR(__xludf.DUMMYFUNCTION("""COMPUTED_VALUE"""),1.235946927840374)</f>
        <v>1.235946928</v>
      </c>
      <c r="AI813" s="82">
        <f>IFERROR(__xludf.DUMMYFUNCTION("""COMPUTED_VALUE"""),0.9870645423982131)</f>
        <v>0.9870645424</v>
      </c>
      <c r="AJ813" s="82">
        <f>IFERROR(__xludf.DUMMYFUNCTION("""COMPUTED_VALUE"""),0.8610064772359508)</f>
        <v>0.8610064772</v>
      </c>
      <c r="AK813" s="82">
        <f>IFERROR(__xludf.DUMMYFUNCTION("""COMPUTED_VALUE"""),0.8827235057664433)</f>
        <v>0.8827235058</v>
      </c>
      <c r="AL813" s="82">
        <f>IFERROR(__xludf.DUMMYFUNCTION("""COMPUTED_VALUE"""),1.1264920832873748)</f>
        <v>1.126492083</v>
      </c>
      <c r="AM813" s="82">
        <f>IFERROR(__xludf.DUMMYFUNCTION("""COMPUTED_VALUE"""),0.9204441226555011)</f>
        <v>0.9204441227</v>
      </c>
      <c r="AN813" s="82">
        <f>IFERROR(__xludf.DUMMYFUNCTION("""COMPUTED_VALUE"""),1.109397054427729)</f>
        <v>1.109397054</v>
      </c>
      <c r="AO813" s="82">
        <f>IFERROR(__xludf.DUMMYFUNCTION("""COMPUTED_VALUE"""),1.4433973158238644)</f>
        <v>1.443397316</v>
      </c>
      <c r="AP813" s="82">
        <f>IFERROR(__xludf.DUMMYFUNCTION("""COMPUTED_VALUE"""),0.9205937305241217)</f>
        <v>0.9205937305</v>
      </c>
      <c r="AQ813" s="82">
        <f>IFERROR(__xludf.DUMMYFUNCTION("""COMPUTED_VALUE"""),1.1133651164525566)</f>
        <v>1.113365116</v>
      </c>
      <c r="AR813" s="82">
        <f>IFERROR(__xludf.DUMMYFUNCTION("""COMPUTED_VALUE"""),1.225922958854312)</f>
        <v>1.225922959</v>
      </c>
      <c r="AS813" s="82">
        <f>IFERROR(__xludf.DUMMYFUNCTION("""COMPUTED_VALUE"""),82.0)</f>
        <v>82</v>
      </c>
      <c r="AT813" s="82">
        <f>IFERROR(__xludf.DUMMYFUNCTION("""COMPUTED_VALUE"""),0.5604970477686955)</f>
        <v>0.5604970478</v>
      </c>
      <c r="AU813" s="82">
        <f>IFERROR(__xludf.DUMMYFUNCTION("""COMPUTED_VALUE"""),3.362726880170613)</f>
        <v>3.36272688</v>
      </c>
      <c r="AV813" s="82">
        <f>IFERROR(__xludf.DUMMYFUNCTION("""COMPUTED_VALUE"""),79.1680044461312)</f>
        <v>79.16800445</v>
      </c>
      <c r="AW813" s="82">
        <f t="shared" si="1"/>
        <v>8.219513907</v>
      </c>
      <c r="AX813" s="83">
        <f t="array" ref="AX813">IFERROR(DGET('SBV Import'!A:G,"SBV",{"RSC ID","Tier";B813,A813}))</f>
        <v>62.9053557</v>
      </c>
      <c r="AY813" s="82">
        <f t="shared" si="2"/>
        <v>3.301938535</v>
      </c>
      <c r="AZ813" s="82">
        <v>4.917575372332118</v>
      </c>
      <c r="BA813" s="84">
        <v>800.0</v>
      </c>
      <c r="BB813" s="84" t="b">
        <f>IFERROR(__xludf.DUMMYFUNCTION("iferror(if(A813="""",,E813&gt;=FILTER(Constants!$F$2:$F$10,Constants!$A$2:$A$10=A813)))"),TRUE)</f>
        <v>1</v>
      </c>
    </row>
    <row r="814">
      <c r="A814" s="80" t="str">
        <f>IFERROR(__xludf.DUMMYFUNCTION("""COMPUTED_VALUE"""),"Elite")</f>
        <v>Elite</v>
      </c>
      <c r="B814" s="73" t="str">
        <f>IFERROR(__xludf.DUMMYFUNCTION("""COMPUTED_VALUE"""),"RSC005290")</f>
        <v>RSC005290</v>
      </c>
      <c r="C814" s="73" t="str">
        <f>IFERROR(__xludf.DUMMYFUNCTION("""COMPUTED_VALUE"""),"IMWASHEDGREG")</f>
        <v>IMWASHEDGREG</v>
      </c>
      <c r="D814" s="73" t="str">
        <f>IFERROR(__xludf.DUMMYFUNCTION("""COMPUTED_VALUE"""),"Geeky Ghouls")</f>
        <v>Geeky Ghouls</v>
      </c>
      <c r="E814" s="82">
        <f>IFERROR(__xludf.DUMMYFUNCTION("""COMPUTED_VALUE"""),31.0)</f>
        <v>31</v>
      </c>
      <c r="F814" s="82">
        <f>IFERROR(__xludf.DUMMYFUNCTION("""COMPUTED_VALUE"""),16.0)</f>
        <v>16</v>
      </c>
      <c r="G814" s="82">
        <f>IFERROR(__xludf.DUMMYFUNCTION("""COMPUTED_VALUE"""),15.0)</f>
        <v>15</v>
      </c>
      <c r="H814" s="86">
        <f>IFERROR(__xludf.DUMMYFUNCTION("""COMPUTED_VALUE"""),0.5161290322580645)</f>
        <v>0.5161290323</v>
      </c>
      <c r="I814" s="86">
        <f>IFERROR(__xludf.DUMMYFUNCTION("""COMPUTED_VALUE"""),0.27927927927927926)</f>
        <v>0.2792792793</v>
      </c>
      <c r="J814" s="82">
        <f>IFERROR(__xludf.DUMMYFUNCTION("""COMPUTED_VALUE"""),402.93548387096774)</f>
        <v>402.9354839</v>
      </c>
      <c r="K814" s="82">
        <f>IFERROR(__xludf.DUMMYFUNCTION("""COMPUTED_VALUE"""),1.0)</f>
        <v>1</v>
      </c>
      <c r="L814" s="82">
        <f>IFERROR(__xludf.DUMMYFUNCTION("""COMPUTED_VALUE"""),0.4838709677419355)</f>
        <v>0.4838709677</v>
      </c>
      <c r="M814" s="82">
        <f>IFERROR(__xludf.DUMMYFUNCTION("""COMPUTED_VALUE"""),1.3548387096774193)</f>
        <v>1.35483871</v>
      </c>
      <c r="N814" s="82">
        <f>IFERROR(__xludf.DUMMYFUNCTION("""COMPUTED_VALUE"""),3.5806451612903225)</f>
        <v>3.580645161</v>
      </c>
      <c r="O814" s="82">
        <f>IFERROR(__xludf.DUMMYFUNCTION("""COMPUTED_VALUE"""),381.9784946236558)</f>
        <v>381.9784946</v>
      </c>
      <c r="P814" s="82">
        <f>IFERROR(__xludf.DUMMYFUNCTION("""COMPUTED_VALUE"""),0.752688172043011)</f>
        <v>0.752688172</v>
      </c>
      <c r="Q814" s="82">
        <f>IFERROR(__xludf.DUMMYFUNCTION("""COMPUTED_VALUE"""),0.5806451612903226)</f>
        <v>0.5806451613</v>
      </c>
      <c r="R814" s="82">
        <f>IFERROR(__xludf.DUMMYFUNCTION("""COMPUTED_VALUE"""),1.7096774193548385)</f>
        <v>1.709677419</v>
      </c>
      <c r="S814" s="82">
        <f>IFERROR(__xludf.DUMMYFUNCTION("""COMPUTED_VALUE"""),2.634408602150538)</f>
        <v>2.634408602</v>
      </c>
      <c r="T814" s="82">
        <f>IFERROR(__xludf.DUMMYFUNCTION("""COMPUTED_VALUE"""),365.19229741953745)</f>
        <v>365.1922974</v>
      </c>
      <c r="U814" s="82">
        <f>IFERROR(__xludf.DUMMYFUNCTION("""COMPUTED_VALUE"""),0.8046711317749363)</f>
        <v>0.8046711318</v>
      </c>
      <c r="V814" s="82">
        <f>IFERROR(__xludf.DUMMYFUNCTION("""COMPUTED_VALUE"""),0.6165130541942552)</f>
        <v>0.6165130542</v>
      </c>
      <c r="W814" s="82">
        <f>IFERROR(__xludf.DUMMYFUNCTION("""COMPUTED_VALUE"""),1.4024169948250664)</f>
        <v>1.402416995</v>
      </c>
      <c r="X814" s="82">
        <f>IFERROR(__xludf.DUMMYFUNCTION("""COMPUTED_VALUE"""),2.7556430698075722)</f>
        <v>2.75564307</v>
      </c>
      <c r="Y814" s="82">
        <f>IFERROR(__xludf.DUMMYFUNCTION("""COMPUTED_VALUE"""),358.3397025822027)</f>
        <v>358.3397026</v>
      </c>
      <c r="Z814" s="82">
        <f>IFERROR(__xludf.DUMMYFUNCTION("""COMPUTED_VALUE"""),0.7666608540430164)</f>
        <v>0.766660854</v>
      </c>
      <c r="AA814" s="82">
        <f>IFERROR(__xludf.DUMMYFUNCTION("""COMPUTED_VALUE"""),0.5583508426349815)</f>
        <v>0.5583508426</v>
      </c>
      <c r="AB814" s="82">
        <f>IFERROR(__xludf.DUMMYFUNCTION("""COMPUTED_VALUE"""),1.4545301865619056)</f>
        <v>1.454530187</v>
      </c>
      <c r="AC814" s="82">
        <f>IFERROR(__xludf.DUMMYFUNCTION("""COMPUTED_VALUE"""),2.646361826667725)</f>
        <v>2.646361827</v>
      </c>
      <c r="AD814" s="82">
        <f>IFERROR(__xludf.DUMMYFUNCTION("""COMPUTED_VALUE"""),1.1244511310563887)</f>
        <v>1.124451131</v>
      </c>
      <c r="AE814" s="82">
        <f>IFERROR(__xludf.DUMMYFUNCTION("""COMPUTED_VALUE"""),1.3043577153137014)</f>
        <v>1.304357715</v>
      </c>
      <c r="AF814" s="82">
        <f>IFERROR(__xludf.DUMMYFUNCTION("""COMPUTED_VALUE"""),0.8666073923313898)</f>
        <v>0.8666073923</v>
      </c>
      <c r="AG814" s="82">
        <f>IFERROR(__xludf.DUMMYFUNCTION("""COMPUTED_VALUE"""),0.9314613902100385)</f>
        <v>0.9314613902</v>
      </c>
      <c r="AH814" s="82">
        <f>IFERROR(__xludf.DUMMYFUNCTION("""COMPUTED_VALUE"""),1.3530444420742869)</f>
        <v>1.353044442</v>
      </c>
      <c r="AI814" s="82">
        <f>IFERROR(__xludf.DUMMYFUNCTION("""COMPUTED_VALUE"""),1.0459653648851037)</f>
        <v>1.045965365</v>
      </c>
      <c r="AJ814" s="82">
        <f>IFERROR(__xludf.DUMMYFUNCTION("""COMPUTED_VALUE"""),0.9353985029669676)</f>
        <v>0.935398503</v>
      </c>
      <c r="AK814" s="82">
        <f>IFERROR(__xludf.DUMMYFUNCTION("""COMPUTED_VALUE"""),0.9418213569689782)</f>
        <v>0.941821357</v>
      </c>
      <c r="AL814" s="82">
        <f>IFERROR(__xludf.DUMMYFUNCTION("""COMPUTED_VALUE"""),1.219093483367334)</f>
        <v>1.219093483</v>
      </c>
      <c r="AM814" s="82">
        <f>IFERROR(__xludf.DUMMYFUNCTION("""COMPUTED_VALUE"""),0.9560050178539632)</f>
        <v>0.9560050179</v>
      </c>
      <c r="AN814" s="82">
        <f>IFERROR(__xludf.DUMMYFUNCTION("""COMPUTED_VALUE"""),1.1424026551149542)</f>
        <v>1.142402655</v>
      </c>
      <c r="AO814" s="82">
        <f>IFERROR(__xludf.DUMMYFUNCTION("""COMPUTED_VALUE"""),1.4021573925146114)</f>
        <v>1.402157393</v>
      </c>
      <c r="AP814" s="82">
        <f>IFERROR(__xludf.DUMMYFUNCTION("""COMPUTED_VALUE"""),0.8414028719844123)</f>
        <v>0.841402872</v>
      </c>
      <c r="AQ814" s="82">
        <f>IFERROR(__xludf.DUMMYFUNCTION("""COMPUTED_VALUE"""),0.9497523215616792)</f>
        <v>0.9497523216</v>
      </c>
      <c r="AR814" s="82">
        <f>IFERROR(__xludf.DUMMYFUNCTION("""COMPUTED_VALUE"""),1.4213927025241697)</f>
        <v>1.421392703</v>
      </c>
      <c r="AS814" s="82">
        <f>IFERROR(__xludf.DUMMYFUNCTION("""COMPUTED_VALUE"""),69.0)</f>
        <v>69</v>
      </c>
      <c r="AT814" s="82">
        <f>IFERROR(__xludf.DUMMYFUNCTION("""COMPUTED_VALUE"""),0.49446688866012223)</f>
        <v>0.4944668887</v>
      </c>
      <c r="AU814" s="82">
        <f>IFERROR(__xludf.DUMMYFUNCTION("""COMPUTED_VALUE"""),3.3399072398260468)</f>
        <v>3.33990724</v>
      </c>
      <c r="AV814" s="82">
        <f>IFERROR(__xludf.DUMMYFUNCTION("""COMPUTED_VALUE"""),78.52678489517724)</f>
        <v>78.5267849</v>
      </c>
      <c r="AW814" s="82">
        <f t="shared" si="1"/>
        <v>7.878972257</v>
      </c>
      <c r="AX814" s="83">
        <f t="array" ref="AX814">IFERROR(DGET('SBV Import'!A:G,"SBV",{"RSC ID","Tier";B814,A814}))</f>
        <v>62.42579958</v>
      </c>
      <c r="AY814" s="82">
        <f t="shared" si="2"/>
        <v>3.230148931</v>
      </c>
      <c r="AZ814" s="82">
        <v>4.648823325968745</v>
      </c>
      <c r="BA814" s="84">
        <v>800.0</v>
      </c>
      <c r="BB814" s="84" t="b">
        <f>IFERROR(__xludf.DUMMYFUNCTION("iferror(if(A814="""",,E814&gt;=FILTER(Constants!$F$2:$F$10,Constants!$A$2:$A$10=A814)))"),TRUE)</f>
        <v>1</v>
      </c>
    </row>
    <row r="815">
      <c r="A815" s="80" t="str">
        <f>IFERROR(__xludf.DUMMYFUNCTION("""COMPUTED_VALUE"""),"Elite")</f>
        <v>Elite</v>
      </c>
      <c r="B815" s="73" t="str">
        <f>IFERROR(__xludf.DUMMYFUNCTION("""COMPUTED_VALUE"""),"RSC007901")</f>
        <v>RSC007901</v>
      </c>
      <c r="C815" s="73" t="str">
        <f>IFERROR(__xludf.DUMMYFUNCTION("""COMPUTED_VALUE"""),"JUICY")</f>
        <v>JUICY</v>
      </c>
      <c r="D815" s="73" t="str">
        <f>IFERROR(__xludf.DUMMYFUNCTION("""COMPUTED_VALUE"""),"Despair")</f>
        <v>Despair</v>
      </c>
      <c r="E815" s="82">
        <f>IFERROR(__xludf.DUMMYFUNCTION("""COMPUTED_VALUE"""),35.0)</f>
        <v>35</v>
      </c>
      <c r="F815" s="82">
        <f>IFERROR(__xludf.DUMMYFUNCTION("""COMPUTED_VALUE"""),21.0)</f>
        <v>21</v>
      </c>
      <c r="G815" s="82">
        <f>IFERROR(__xludf.DUMMYFUNCTION("""COMPUTED_VALUE"""),14.0)</f>
        <v>14</v>
      </c>
      <c r="H815" s="86">
        <f>IFERROR(__xludf.DUMMYFUNCTION("""COMPUTED_VALUE"""),0.6)</f>
        <v>0.6</v>
      </c>
      <c r="I815" s="86">
        <f>IFERROR(__xludf.DUMMYFUNCTION("""COMPUTED_VALUE"""),0.2773109243697479)</f>
        <v>0.2773109244</v>
      </c>
      <c r="J815" s="82">
        <f>IFERROR(__xludf.DUMMYFUNCTION("""COMPUTED_VALUE"""),404.22857142857146)</f>
        <v>404.2285714</v>
      </c>
      <c r="K815" s="82">
        <f>IFERROR(__xludf.DUMMYFUNCTION("""COMPUTED_VALUE"""),0.9428571428571428)</f>
        <v>0.9428571429</v>
      </c>
      <c r="L815" s="82">
        <f>IFERROR(__xludf.DUMMYFUNCTION("""COMPUTED_VALUE"""),0.5428571428571428)</f>
        <v>0.5428571429</v>
      </c>
      <c r="M815" s="82">
        <f>IFERROR(__xludf.DUMMYFUNCTION("""COMPUTED_VALUE"""),1.5714285714285714)</f>
        <v>1.571428571</v>
      </c>
      <c r="N815" s="82">
        <f>IFERROR(__xludf.DUMMYFUNCTION("""COMPUTED_VALUE"""),3.4)</f>
        <v>3.4</v>
      </c>
      <c r="O815" s="82">
        <f>IFERROR(__xludf.DUMMYFUNCTION("""COMPUTED_VALUE"""),352.50476190476195)</f>
        <v>352.5047619</v>
      </c>
      <c r="P815" s="82">
        <f>IFERROR(__xludf.DUMMYFUNCTION("""COMPUTED_VALUE"""),0.5904761904761903)</f>
        <v>0.5904761905</v>
      </c>
      <c r="Q815" s="82">
        <f>IFERROR(__xludf.DUMMYFUNCTION("""COMPUTED_VALUE"""),0.4571428571428571)</f>
        <v>0.4571428571</v>
      </c>
      <c r="R815" s="82">
        <f>IFERROR(__xludf.DUMMYFUNCTION("""COMPUTED_VALUE"""),1.6571428571428573)</f>
        <v>1.657142857</v>
      </c>
      <c r="S815" s="82">
        <f>IFERROR(__xludf.DUMMYFUNCTION("""COMPUTED_VALUE"""),2.542857142857143)</f>
        <v>2.542857143</v>
      </c>
      <c r="T815" s="82">
        <f>IFERROR(__xludf.DUMMYFUNCTION("""COMPUTED_VALUE"""),362.5382932734232)</f>
        <v>362.5382933</v>
      </c>
      <c r="U815" s="82">
        <f>IFERROR(__xludf.DUMMYFUNCTION("""COMPUTED_VALUE"""),0.7147151828411962)</f>
        <v>0.7147151828</v>
      </c>
      <c r="V815" s="82">
        <f>IFERROR(__xludf.DUMMYFUNCTION("""COMPUTED_VALUE"""),0.5847223826274309)</f>
        <v>0.5847223826</v>
      </c>
      <c r="W815" s="82">
        <f>IFERROR(__xludf.DUMMYFUNCTION("""COMPUTED_VALUE"""),1.561430853829654)</f>
        <v>1.561430854</v>
      </c>
      <c r="X815" s="82">
        <f>IFERROR(__xludf.DUMMYFUNCTION("""COMPUTED_VALUE"""),2.6325478414824093)</f>
        <v>2.632547841</v>
      </c>
      <c r="Y815" s="82">
        <f>IFERROR(__xludf.DUMMYFUNCTION("""COMPUTED_VALUE"""),366.0636532479072)</f>
        <v>366.0636532</v>
      </c>
      <c r="Z815" s="82">
        <f>IFERROR(__xludf.DUMMYFUNCTION("""COMPUTED_VALUE"""),0.792335276005052)</f>
        <v>0.792335276</v>
      </c>
      <c r="AA815" s="82">
        <f>IFERROR(__xludf.DUMMYFUNCTION("""COMPUTED_VALUE"""),0.5878077312680805)</f>
        <v>0.5878077313</v>
      </c>
      <c r="AB815" s="82">
        <f>IFERROR(__xludf.DUMMYFUNCTION("""COMPUTED_VALUE"""),1.4185508715567736)</f>
        <v>1.418550872</v>
      </c>
      <c r="AC815" s="82">
        <f>IFERROR(__xludf.DUMMYFUNCTION("""COMPUTED_VALUE"""),2.7763780438708854)</f>
        <v>2.776378044</v>
      </c>
      <c r="AD815" s="82">
        <f>IFERROR(__xludf.DUMMYFUNCTION("""COMPUTED_VALUE"""),1.1042576006714822)</f>
        <v>1.104257601</v>
      </c>
      <c r="AE815" s="82">
        <f>IFERROR(__xludf.DUMMYFUNCTION("""COMPUTED_VALUE"""),1.1899724414783357)</f>
        <v>1.189972441</v>
      </c>
      <c r="AF815" s="82">
        <f>IFERROR(__xludf.DUMMYFUNCTION("""COMPUTED_VALUE"""),0.9235284158070436)</f>
        <v>0.9235284158</v>
      </c>
      <c r="AG815" s="82">
        <f>IFERROR(__xludf.DUMMYFUNCTION("""COMPUTED_VALUE"""),1.1077703330470086)</f>
        <v>1.107770333</v>
      </c>
      <c r="AH815" s="82">
        <f>IFERROR(__xludf.DUMMYFUNCTION("""COMPUTED_VALUE"""),1.2246170897028301)</f>
        <v>1.22461709</v>
      </c>
      <c r="AI815" s="82">
        <f>IFERROR(__xludf.DUMMYFUNCTION("""COMPUTED_VALUE"""),0.972324216352246)</f>
        <v>0.9723242164</v>
      </c>
      <c r="AJ815" s="82">
        <f>IFERROR(__xludf.DUMMYFUNCTION("""COMPUTED_VALUE"""),0.8261699270594468)</f>
        <v>0.8261699271</v>
      </c>
      <c r="AK815" s="82">
        <f>IFERROR(__xludf.DUMMYFUNCTION("""COMPUTED_VALUE"""),0.7818117977435729)</f>
        <v>0.7818117977</v>
      </c>
      <c r="AL815" s="82">
        <f>IFERROR(__xludf.DUMMYFUNCTION("""COMPUTED_VALUE"""),1.061297625238066)</f>
        <v>1.061297625</v>
      </c>
      <c r="AM815" s="82">
        <f>IFERROR(__xludf.DUMMYFUNCTION("""COMPUTED_VALUE"""),0.9659300783780778)</f>
        <v>0.9659300784</v>
      </c>
      <c r="AN815" s="82">
        <f>IFERROR(__xludf.DUMMYFUNCTION("""COMPUTED_VALUE"""),1.1460688168659894)</f>
        <v>1.146068817</v>
      </c>
      <c r="AO815" s="82">
        <f>IFERROR(__xludf.DUMMYFUNCTION("""COMPUTED_VALUE"""),1.3220341129423478)</f>
        <v>1.322034113</v>
      </c>
      <c r="AP815" s="82">
        <f>IFERROR(__xludf.DUMMYFUNCTION("""COMPUTED_VALUE"""),0.9439738887596549)</f>
        <v>0.9439738888</v>
      </c>
      <c r="AQ815" s="82">
        <f>IFERROR(__xludf.DUMMYFUNCTION("""COMPUTED_VALUE"""),1.1015834750086144)</f>
        <v>1.101583475</v>
      </c>
      <c r="AR815" s="82">
        <f>IFERROR(__xludf.DUMMYFUNCTION("""COMPUTED_VALUE"""),1.3496828004148422)</f>
        <v>1.3496828</v>
      </c>
      <c r="AS815" s="82">
        <f>IFERROR(__xludf.DUMMYFUNCTION("""COMPUTED_VALUE"""),86.0)</f>
        <v>86</v>
      </c>
      <c r="AT815" s="82">
        <f>IFERROR(__xludf.DUMMYFUNCTION("""COMPUTED_VALUE"""),0.6212682606451402)</f>
        <v>0.6212682606</v>
      </c>
      <c r="AU815" s="82">
        <f>IFERROR(__xludf.DUMMYFUNCTION("""COMPUTED_VALUE"""),3.2780930152159296)</f>
        <v>3.278093015</v>
      </c>
      <c r="AV815" s="82">
        <f>IFERROR(__xludf.DUMMYFUNCTION("""COMPUTED_VALUE"""),76.78983861782261)</f>
        <v>76.78983862</v>
      </c>
      <c r="AW815" s="82">
        <f t="shared" si="1"/>
        <v>7.0446687</v>
      </c>
      <c r="AX815" s="83">
        <f t="array" ref="AX815">IFERROR(DGET('SBV Import'!A:G,"SBV",{"RSC ID","Tier";B815,A815}))</f>
        <v>64.63364151</v>
      </c>
      <c r="AY815" s="82">
        <f t="shared" si="2"/>
        <v>3.582205133</v>
      </c>
      <c r="AZ815" s="82">
        <v>3.4624635672675987</v>
      </c>
      <c r="BA815" s="84">
        <v>800.0</v>
      </c>
      <c r="BB815" s="84" t="b">
        <f>IFERROR(__xludf.DUMMYFUNCTION("iferror(if(A815="""",,E815&gt;=FILTER(Constants!$F$2:$F$10,Constants!$A$2:$A$10=A815)))"),TRUE)</f>
        <v>1</v>
      </c>
    </row>
    <row r="816">
      <c r="A816" s="80" t="str">
        <f>IFERROR(__xludf.DUMMYFUNCTION("""COMPUTED_VALUE"""),"Elite")</f>
        <v>Elite</v>
      </c>
      <c r="B816" s="73" t="str">
        <f>IFERROR(__xludf.DUMMYFUNCTION("""COMPUTED_VALUE"""),"RSC006972")</f>
        <v>RSC006972</v>
      </c>
      <c r="C816" s="73" t="str">
        <f>IFERROR(__xludf.DUMMYFUNCTION("""COMPUTED_VALUE"""),"galaxiezz.")</f>
        <v>galaxiezz.</v>
      </c>
      <c r="D816" s="73" t="str">
        <f>IFERROR(__xludf.DUMMYFUNCTION("""COMPUTED_VALUE"""),"Cotija Cartel")</f>
        <v>Cotija Cartel</v>
      </c>
      <c r="E816" s="82">
        <f>IFERROR(__xludf.DUMMYFUNCTION("""COMPUTED_VALUE"""),30.0)</f>
        <v>30</v>
      </c>
      <c r="F816" s="82">
        <f>IFERROR(__xludf.DUMMYFUNCTION("""COMPUTED_VALUE"""),24.0)</f>
        <v>24</v>
      </c>
      <c r="G816" s="82">
        <f>IFERROR(__xludf.DUMMYFUNCTION("""COMPUTED_VALUE"""),6.0)</f>
        <v>6</v>
      </c>
      <c r="H816" s="86">
        <f>IFERROR(__xludf.DUMMYFUNCTION("""COMPUTED_VALUE"""),0.8)</f>
        <v>0.8</v>
      </c>
      <c r="I816" s="86">
        <f>IFERROR(__xludf.DUMMYFUNCTION("""COMPUTED_VALUE"""),0.3670886075949367)</f>
        <v>0.3670886076</v>
      </c>
      <c r="J816" s="82">
        <f>IFERROR(__xludf.DUMMYFUNCTION("""COMPUTED_VALUE"""),383.43333333333334)</f>
        <v>383.4333333</v>
      </c>
      <c r="K816" s="82">
        <f>IFERROR(__xludf.DUMMYFUNCTION("""COMPUTED_VALUE"""),0.9666666666666667)</f>
        <v>0.9666666667</v>
      </c>
      <c r="L816" s="82">
        <f>IFERROR(__xludf.DUMMYFUNCTION("""COMPUTED_VALUE"""),0.6666666666666666)</f>
        <v>0.6666666667</v>
      </c>
      <c r="M816" s="82">
        <f>IFERROR(__xludf.DUMMYFUNCTION("""COMPUTED_VALUE"""),1.4)</f>
        <v>1.4</v>
      </c>
      <c r="N816" s="82">
        <f>IFERROR(__xludf.DUMMYFUNCTION("""COMPUTED_VALUE"""),2.6333333333333333)</f>
        <v>2.633333333</v>
      </c>
      <c r="O816" s="82">
        <f>IFERROR(__xludf.DUMMYFUNCTION("""COMPUTED_VALUE"""),309.6666666666667)</f>
        <v>309.6666667</v>
      </c>
      <c r="P816" s="82">
        <f>IFERROR(__xludf.DUMMYFUNCTION("""COMPUTED_VALUE"""),0.5222222222222224)</f>
        <v>0.5222222222</v>
      </c>
      <c r="Q816" s="82">
        <f>IFERROR(__xludf.DUMMYFUNCTION("""COMPUTED_VALUE"""),0.3222222222222223)</f>
        <v>0.3222222222</v>
      </c>
      <c r="R816" s="82">
        <f>IFERROR(__xludf.DUMMYFUNCTION("""COMPUTED_VALUE"""),1.377777777777778)</f>
        <v>1.377777778</v>
      </c>
      <c r="S816" s="82">
        <f>IFERROR(__xludf.DUMMYFUNCTION("""COMPUTED_VALUE"""),2.1555555555555554)</f>
        <v>2.155555556</v>
      </c>
      <c r="T816" s="82">
        <f>IFERROR(__xludf.DUMMYFUNCTION("""COMPUTED_VALUE"""),353.24362970346)</f>
        <v>353.2436297</v>
      </c>
      <c r="U816" s="82">
        <f>IFERROR(__xludf.DUMMYFUNCTION("""COMPUTED_VALUE"""),0.7629245409743516)</f>
        <v>0.762924541</v>
      </c>
      <c r="V816" s="82">
        <f>IFERROR(__xludf.DUMMYFUNCTION("""COMPUTED_VALUE"""),0.5438825072320487)</f>
        <v>0.5438825072</v>
      </c>
      <c r="W816" s="82">
        <f>IFERROR(__xludf.DUMMYFUNCTION("""COMPUTED_VALUE"""),1.3962517872694977)</f>
        <v>1.396251787</v>
      </c>
      <c r="X816" s="82">
        <f>IFERROR(__xludf.DUMMYFUNCTION("""COMPUTED_VALUE"""),2.6117459219921284)</f>
        <v>2.611745922</v>
      </c>
      <c r="Y816" s="82">
        <f>IFERROR(__xludf.DUMMYFUNCTION("""COMPUTED_VALUE"""),366.4063595313148)</f>
        <v>366.4063595</v>
      </c>
      <c r="Z816" s="82">
        <f>IFERROR(__xludf.DUMMYFUNCTION("""COMPUTED_VALUE"""),0.8057739581996384)</f>
        <v>0.8057739582</v>
      </c>
      <c r="AA816" s="82">
        <f>IFERROR(__xludf.DUMMYFUNCTION("""COMPUTED_VALUE"""),0.5939574019668895)</f>
        <v>0.593957402</v>
      </c>
      <c r="AB816" s="82">
        <f>IFERROR(__xludf.DUMMYFUNCTION("""COMPUTED_VALUE"""),1.4181554824780362)</f>
        <v>1.418155482</v>
      </c>
      <c r="AC816" s="82">
        <f>IFERROR(__xludf.DUMMYFUNCTION("""COMPUTED_VALUE"""),2.7218462005823643)</f>
        <v>2.721846201</v>
      </c>
      <c r="AD816" s="82">
        <f>IFERROR(__xludf.DUMMYFUNCTION("""COMPUTED_VALUE"""),1.0464701917941555)</f>
        <v>1.046470192</v>
      </c>
      <c r="AE816" s="82">
        <f>IFERROR(__xludf.DUMMYFUNCTION("""COMPUTED_VALUE"""),1.1996747435552708)</f>
        <v>1.199674744</v>
      </c>
      <c r="AF816" s="82">
        <f>IFERROR(__xludf.DUMMYFUNCTION("""COMPUTED_VALUE"""),1.1224149483767698)</f>
        <v>1.122414948</v>
      </c>
      <c r="AG816" s="82">
        <f>IFERROR(__xludf.DUMMYFUNCTION("""COMPUTED_VALUE"""),0.987197819489925)</f>
        <v>0.9871978195</v>
      </c>
      <c r="AH816" s="82">
        <f>IFERROR(__xludf.DUMMYFUNCTION("""COMPUTED_VALUE"""),0.9674805772530083)</f>
        <v>0.9674805773</v>
      </c>
      <c r="AI816" s="82">
        <f>IFERROR(__xludf.DUMMYFUNCTION("""COMPUTED_VALUE"""),0.8766376535271841)</f>
        <v>0.8766376535</v>
      </c>
      <c r="AJ816" s="82">
        <f>IFERROR(__xludf.DUMMYFUNCTION("""COMPUTED_VALUE"""),0.6845004901209211)</f>
        <v>0.6845004901</v>
      </c>
      <c r="AK816" s="82">
        <f>IFERROR(__xludf.DUMMYFUNCTION("""COMPUTED_VALUE"""),0.5924482180206349)</f>
        <v>0.592448218</v>
      </c>
      <c r="AL816" s="82">
        <f>IFERROR(__xludf.DUMMYFUNCTION("""COMPUTED_VALUE"""),0.9867688552593745)</f>
        <v>0.9867688553</v>
      </c>
      <c r="AM816" s="82">
        <f>IFERROR(__xludf.DUMMYFUNCTION("""COMPUTED_VALUE"""),0.8253312611325491)</f>
        <v>0.8253312611</v>
      </c>
      <c r="AN816" s="82">
        <f>IFERROR(__xludf.DUMMYFUNCTION("""COMPUTED_VALUE"""),1.0871101593024495)</f>
        <v>1.087110159</v>
      </c>
      <c r="AO816" s="82">
        <f>IFERROR(__xludf.DUMMYFUNCTION("""COMPUTED_VALUE"""),1.3554188127641242)</f>
        <v>1.355418813</v>
      </c>
      <c r="AP816" s="82">
        <f>IFERROR(__xludf.DUMMYFUNCTION("""COMPUTED_VALUE"""),1.1592661791785237)</f>
        <v>1.159266179</v>
      </c>
      <c r="AQ816" s="82">
        <f>IFERROR(__xludf.DUMMYFUNCTION("""COMPUTED_VALUE"""),0.9814107322804018)</f>
        <v>0.9814107323</v>
      </c>
      <c r="AR816" s="82">
        <f>IFERROR(__xludf.DUMMYFUNCTION("""COMPUTED_VALUE"""),1.045342561105613)</f>
        <v>1.045342561</v>
      </c>
      <c r="AS816" s="82">
        <f>IFERROR(__xludf.DUMMYFUNCTION("""COMPUTED_VALUE"""),90.0)</f>
        <v>90</v>
      </c>
      <c r="AT816" s="82">
        <f>IFERROR(__xludf.DUMMYFUNCTION("""COMPUTED_VALUE"""),0.7319617319191388)</f>
        <v>0.7319617319</v>
      </c>
      <c r="AU816" s="82">
        <f>IFERROR(__xludf.DUMMYFUNCTION("""COMPUTED_VALUE"""),3.2559968857626025)</f>
        <v>3.255996886</v>
      </c>
      <c r="AV816" s="82">
        <f>IFERROR(__xludf.DUMMYFUNCTION("""COMPUTED_VALUE"""),76.1689493315786)</f>
        <v>76.16894933</v>
      </c>
      <c r="AW816" s="82">
        <f t="shared" si="1"/>
        <v>6.774810295</v>
      </c>
      <c r="AX816" s="83">
        <f t="array" ref="AX816">IFERROR(DGET('SBV Import'!A:G,"SBV",{"RSC ID","Tier";B816,A816}))</f>
        <v>62.40350327</v>
      </c>
      <c r="AY816" s="82">
        <f t="shared" si="2"/>
        <v>3.226870553</v>
      </c>
      <c r="AZ816" s="82">
        <v>3.54793974204178</v>
      </c>
      <c r="BA816" s="84">
        <v>800.0</v>
      </c>
      <c r="BB816" s="84" t="b">
        <f>IFERROR(__xludf.DUMMYFUNCTION("iferror(if(A816="""",,E816&gt;=FILTER(Constants!$F$2:$F$10,Constants!$A$2:$A$10=A816)))"),TRUE)</f>
        <v>1</v>
      </c>
    </row>
    <row r="817">
      <c r="A817" s="80" t="str">
        <f>IFERROR(__xludf.DUMMYFUNCTION("""COMPUTED_VALUE"""),"Elite")</f>
        <v>Elite</v>
      </c>
      <c r="B817" s="73" t="str">
        <f>IFERROR(__xludf.DUMMYFUNCTION("""COMPUTED_VALUE"""),"RSC001055")</f>
        <v>RSC001055</v>
      </c>
      <c r="C817" s="73" t="str">
        <f>IFERROR(__xludf.DUMMYFUNCTION("""COMPUTED_VALUE"""),"Scotti")</f>
        <v>Scotti</v>
      </c>
      <c r="D817" s="73" t="str">
        <f>IFERROR(__xludf.DUMMYFUNCTION("""COMPUTED_VALUE"""),"Menthol")</f>
        <v>Menthol</v>
      </c>
      <c r="E817" s="82">
        <f>IFERROR(__xludf.DUMMYFUNCTION("""COMPUTED_VALUE"""),36.0)</f>
        <v>36</v>
      </c>
      <c r="F817" s="82">
        <f>IFERROR(__xludf.DUMMYFUNCTION("""COMPUTED_VALUE"""),22.0)</f>
        <v>22</v>
      </c>
      <c r="G817" s="82">
        <f>IFERROR(__xludf.DUMMYFUNCTION("""COMPUTED_VALUE"""),14.0)</f>
        <v>14</v>
      </c>
      <c r="H817" s="86">
        <f>IFERROR(__xludf.DUMMYFUNCTION("""COMPUTED_VALUE"""),0.6111111111111112)</f>
        <v>0.6111111111</v>
      </c>
      <c r="I817" s="86">
        <f>IFERROR(__xludf.DUMMYFUNCTION("""COMPUTED_VALUE"""),0.2727272727272727)</f>
        <v>0.2727272727</v>
      </c>
      <c r="J817" s="82">
        <f>IFERROR(__xludf.DUMMYFUNCTION("""COMPUTED_VALUE"""),417.125)</f>
        <v>417.125</v>
      </c>
      <c r="K817" s="82">
        <f>IFERROR(__xludf.DUMMYFUNCTION("""COMPUTED_VALUE"""),0.84375)</f>
        <v>0.84375</v>
      </c>
      <c r="L817" s="82">
        <f>IFERROR(__xludf.DUMMYFUNCTION("""COMPUTED_VALUE"""),1.03125)</f>
        <v>1.03125</v>
      </c>
      <c r="M817" s="82">
        <f>IFERROR(__xludf.DUMMYFUNCTION("""COMPUTED_VALUE"""),1.5)</f>
        <v>1.5</v>
      </c>
      <c r="N817" s="82">
        <f>IFERROR(__xludf.DUMMYFUNCTION("""COMPUTED_VALUE"""),3.09375)</f>
        <v>3.09375</v>
      </c>
      <c r="O817" s="82">
        <f>IFERROR(__xludf.DUMMYFUNCTION("""COMPUTED_VALUE"""),371.9166666666667)</f>
        <v>371.9166667</v>
      </c>
      <c r="P817" s="82">
        <f>IFERROR(__xludf.DUMMYFUNCTION("""COMPUTED_VALUE"""),0.7291666666666666)</f>
        <v>0.7291666667</v>
      </c>
      <c r="Q817" s="82">
        <f>IFERROR(__xludf.DUMMYFUNCTION("""COMPUTED_VALUE"""),0.5000000000000001)</f>
        <v>0.5</v>
      </c>
      <c r="R817" s="82">
        <f>IFERROR(__xludf.DUMMYFUNCTION("""COMPUTED_VALUE"""),1.78125)</f>
        <v>1.78125</v>
      </c>
      <c r="S817" s="82">
        <f>IFERROR(__xludf.DUMMYFUNCTION("""COMPUTED_VALUE"""),2.239583333333334)</f>
        <v>2.239583333</v>
      </c>
      <c r="T817" s="82">
        <f>IFERROR(__xludf.DUMMYFUNCTION("""COMPUTED_VALUE"""),350.73561926183766)</f>
        <v>350.7356193</v>
      </c>
      <c r="U817" s="82">
        <f>IFERROR(__xludf.DUMMYFUNCTION("""COMPUTED_VALUE"""),0.6926458019624947)</f>
        <v>0.692645802</v>
      </c>
      <c r="V817" s="82">
        <f>IFERROR(__xludf.DUMMYFUNCTION("""COMPUTED_VALUE"""),0.5554266735652322)</f>
        <v>0.5554266736</v>
      </c>
      <c r="W817" s="82">
        <f>IFERROR(__xludf.DUMMYFUNCTION("""COMPUTED_VALUE"""),1.5450754352572402)</f>
        <v>1.545075435</v>
      </c>
      <c r="X817" s="82">
        <f>IFERROR(__xludf.DUMMYFUNCTION("""COMPUTED_VALUE"""),2.3444456259966584)</f>
        <v>2.344445626</v>
      </c>
      <c r="Y817" s="82">
        <f>IFERROR(__xludf.DUMMYFUNCTION("""COMPUTED_VALUE"""),382.53921131328417)</f>
        <v>382.5392113</v>
      </c>
      <c r="Z817" s="82">
        <f>IFERROR(__xludf.DUMMYFUNCTION("""COMPUTED_VALUE"""),0.91967600380362)</f>
        <v>0.9196760038</v>
      </c>
      <c r="AA817" s="82">
        <f>IFERROR(__xludf.DUMMYFUNCTION("""COMPUTED_VALUE"""),0.6988397463923103)</f>
        <v>0.6988397464</v>
      </c>
      <c r="AB817" s="82">
        <f>IFERROR(__xludf.DUMMYFUNCTION("""COMPUTED_VALUE"""),1.3247631064041512)</f>
        <v>1.324763106</v>
      </c>
      <c r="AC817" s="82">
        <f>IFERROR(__xludf.DUMMYFUNCTION("""COMPUTED_VALUE"""),2.948102055078348)</f>
        <v>2.948102055</v>
      </c>
      <c r="AD817" s="82">
        <f>IFERROR(__xludf.DUMMYFUNCTION("""COMPUTED_VALUE"""),1.0904110942456862)</f>
        <v>1.090411094</v>
      </c>
      <c r="AE817" s="82">
        <f>IFERROR(__xludf.DUMMYFUNCTION("""COMPUTED_VALUE"""),0.9174426607961899)</f>
        <v>0.9174426608</v>
      </c>
      <c r="AF817" s="82">
        <f>IFERROR(__xludf.DUMMYFUNCTION("""COMPUTED_VALUE"""),1.4756602001012737)</f>
        <v>1.4756602</v>
      </c>
      <c r="AG817" s="82">
        <f>IFERROR(__xludf.DUMMYFUNCTION("""COMPUTED_VALUE"""),1.13227790897008)</f>
        <v>1.132277909</v>
      </c>
      <c r="AH817" s="82">
        <f>IFERROR(__xludf.DUMMYFUNCTION("""COMPUTED_VALUE"""),1.0494039698085627)</f>
        <v>1.04940397</v>
      </c>
      <c r="AI817" s="82">
        <f>IFERROR(__xludf.DUMMYFUNCTION("""COMPUTED_VALUE"""),1.060390351711089)</f>
        <v>1.060390352</v>
      </c>
      <c r="AJ817" s="82">
        <f>IFERROR(__xludf.DUMMYFUNCTION("""COMPUTED_VALUE"""),1.0527266094744185)</f>
        <v>1.052726609</v>
      </c>
      <c r="AK817" s="82">
        <f>IFERROR(__xludf.DUMMYFUNCTION("""COMPUTED_VALUE"""),0.9002088372719779)</f>
        <v>0.9002088373</v>
      </c>
      <c r="AL817" s="82">
        <f>IFERROR(__xludf.DUMMYFUNCTION("""COMPUTED_VALUE"""),1.152856332677012)</f>
        <v>1.152856333</v>
      </c>
      <c r="AM817" s="82">
        <f>IFERROR(__xludf.DUMMYFUNCTION("""COMPUTED_VALUE"""),0.9552720304107092)</f>
        <v>0.9552720304</v>
      </c>
      <c r="AN817" s="82">
        <f>IFERROR(__xludf.DUMMYFUNCTION("""COMPUTED_VALUE"""),1.1826327702313333)</f>
        <v>1.18263277</v>
      </c>
      <c r="AO817" s="82">
        <f>IFERROR(__xludf.DUMMYFUNCTION("""COMPUTED_VALUE"""),1.1830702999342033)</f>
        <v>1.1830703</v>
      </c>
      <c r="AP817" s="82">
        <f>IFERROR(__xludf.DUMMYFUNCTION("""COMPUTED_VALUE"""),1.7932398709167787)</f>
        <v>1.793239871</v>
      </c>
      <c r="AQ817" s="82">
        <f>IFERROR(__xludf.DUMMYFUNCTION("""COMPUTED_VALUE"""),1.0515114988718592)</f>
        <v>1.051511499</v>
      </c>
      <c r="AR817" s="82">
        <f>IFERROR(__xludf.DUMMYFUNCTION("""COMPUTED_VALUE"""),1.228112106995123)</f>
        <v>1.228112107</v>
      </c>
      <c r="AS817" s="82">
        <f>IFERROR(__xludf.DUMMYFUNCTION("""COMPUTED_VALUE"""),93.0)</f>
        <v>93</v>
      </c>
      <c r="AT817" s="82">
        <f>IFERROR(__xludf.DUMMYFUNCTION("""COMPUTED_VALUE"""),0.5647439362738392)</f>
        <v>0.5647439363</v>
      </c>
      <c r="AU817" s="82">
        <f>IFERROR(__xludf.DUMMYFUNCTION("""COMPUTED_VALUE"""),3.2062721144329167)</f>
        <v>3.206272114</v>
      </c>
      <c r="AV817" s="82">
        <f>IFERROR(__xludf.DUMMYFUNCTION("""COMPUTED_VALUE"""),74.77171015243873)</f>
        <v>74.77171015</v>
      </c>
      <c r="AW817" s="82">
        <f t="shared" si="1"/>
        <v>6.216009281</v>
      </c>
      <c r="AX817" s="83">
        <f t="array" ref="AX817">IFERROR(DGET('SBV Import'!A:G,"SBV",{"RSC ID","Tier";B817,A817}))</f>
        <v>78.37133896</v>
      </c>
      <c r="AY817" s="82">
        <f t="shared" si="2"/>
        <v>7.799196237</v>
      </c>
      <c r="AZ817" s="82">
        <v>1.5831869553909517</v>
      </c>
      <c r="BA817" s="84">
        <v>800.0</v>
      </c>
      <c r="BB817" s="84" t="b">
        <f>IFERROR(__xludf.DUMMYFUNCTION("iferror(if(A817="""",,E817&gt;=FILTER(Constants!$F$2:$F$10,Constants!$A$2:$A$10=A817)))"),TRUE)</f>
        <v>1</v>
      </c>
    </row>
    <row r="818">
      <c r="A818" s="80" t="str">
        <f>IFERROR(__xludf.DUMMYFUNCTION("""COMPUTED_VALUE"""),"Elite")</f>
        <v>Elite</v>
      </c>
      <c r="B818" s="73" t="str">
        <f>IFERROR(__xludf.DUMMYFUNCTION("""COMPUTED_VALUE"""),"RSC001986")</f>
        <v>RSC001986</v>
      </c>
      <c r="C818" s="73" t="str">
        <f>IFERROR(__xludf.DUMMYFUNCTION("""COMPUTED_VALUE"""),"Colinn")</f>
        <v>Colinn</v>
      </c>
      <c r="D818" s="73" t="str">
        <f>IFERROR(__xludf.DUMMYFUNCTION("""COMPUTED_VALUE"""),"Desolation")</f>
        <v>Desolation</v>
      </c>
      <c r="E818" s="82">
        <f>IFERROR(__xludf.DUMMYFUNCTION("""COMPUTED_VALUE"""),28.0)</f>
        <v>28</v>
      </c>
      <c r="F818" s="82">
        <f>IFERROR(__xludf.DUMMYFUNCTION("""COMPUTED_VALUE"""),18.0)</f>
        <v>18</v>
      </c>
      <c r="G818" s="82">
        <f>IFERROR(__xludf.DUMMYFUNCTION("""COMPUTED_VALUE"""),10.0)</f>
        <v>10</v>
      </c>
      <c r="H818" s="86">
        <f>IFERROR(__xludf.DUMMYFUNCTION("""COMPUTED_VALUE"""),0.6428571428571429)</f>
        <v>0.6428571429</v>
      </c>
      <c r="I818" s="86">
        <f>IFERROR(__xludf.DUMMYFUNCTION("""COMPUTED_VALUE"""),0.3827160493827161)</f>
        <v>0.3827160494</v>
      </c>
      <c r="J818" s="82">
        <f>IFERROR(__xludf.DUMMYFUNCTION("""COMPUTED_VALUE"""),413.57142857142856)</f>
        <v>413.5714286</v>
      </c>
      <c r="K818" s="82">
        <f>IFERROR(__xludf.DUMMYFUNCTION("""COMPUTED_VALUE"""),1.1071428571428572)</f>
        <v>1.107142857</v>
      </c>
      <c r="L818" s="82">
        <f>IFERROR(__xludf.DUMMYFUNCTION("""COMPUTED_VALUE"""),0.5)</f>
        <v>0.5</v>
      </c>
      <c r="M818" s="82">
        <f>IFERROR(__xludf.DUMMYFUNCTION("""COMPUTED_VALUE"""),1.7857142857142858)</f>
        <v>1.785714286</v>
      </c>
      <c r="N818" s="82">
        <f>IFERROR(__xludf.DUMMYFUNCTION("""COMPUTED_VALUE"""),2.892857142857143)</f>
        <v>2.892857143</v>
      </c>
      <c r="O818" s="82">
        <f>IFERROR(__xludf.DUMMYFUNCTION("""COMPUTED_VALUE"""),334.0357142857143)</f>
        <v>334.0357143</v>
      </c>
      <c r="P818" s="82">
        <f>IFERROR(__xludf.DUMMYFUNCTION("""COMPUTED_VALUE"""),0.6785714285714285)</f>
        <v>0.6785714286</v>
      </c>
      <c r="Q818" s="82">
        <f>IFERROR(__xludf.DUMMYFUNCTION("""COMPUTED_VALUE"""),0.4642857142857143)</f>
        <v>0.4642857143</v>
      </c>
      <c r="R818" s="82">
        <f>IFERROR(__xludf.DUMMYFUNCTION("""COMPUTED_VALUE"""),1.2142857142857142)</f>
        <v>1.214285714</v>
      </c>
      <c r="S818" s="82">
        <f>IFERROR(__xludf.DUMMYFUNCTION("""COMPUTED_VALUE"""),2.6071428571428568)</f>
        <v>2.607142857</v>
      </c>
      <c r="T818" s="82">
        <f>IFERROR(__xludf.DUMMYFUNCTION("""COMPUTED_VALUE"""),354.939648076295)</f>
        <v>354.9396481</v>
      </c>
      <c r="U818" s="82">
        <f>IFERROR(__xludf.DUMMYFUNCTION("""COMPUTED_VALUE"""),0.6754944167469523)</f>
        <v>0.6754944167</v>
      </c>
      <c r="V818" s="82">
        <f>IFERROR(__xludf.DUMMYFUNCTION("""COMPUTED_VALUE"""),0.5246053505398621)</f>
        <v>0.5246053505</v>
      </c>
      <c r="W818" s="82">
        <f>IFERROR(__xludf.DUMMYFUNCTION("""COMPUTED_VALUE"""),1.4724832962952352)</f>
        <v>1.472483296</v>
      </c>
      <c r="X818" s="82">
        <f>IFERROR(__xludf.DUMMYFUNCTION("""COMPUTED_VALUE"""),2.5310083390857088)</f>
        <v>2.531008339</v>
      </c>
      <c r="Y818" s="82">
        <f>IFERROR(__xludf.DUMMYFUNCTION("""COMPUTED_VALUE"""),372.5522002555319)</f>
        <v>372.5522003</v>
      </c>
      <c r="Z818" s="82">
        <f>IFERROR(__xludf.DUMMYFUNCTION("""COMPUTED_VALUE"""),0.8286584085446732)</f>
        <v>0.8286584085</v>
      </c>
      <c r="AA818" s="82">
        <f>IFERROR(__xludf.DUMMYFUNCTION("""COMPUTED_VALUE"""),0.6086944938600256)</f>
        <v>0.6086944939</v>
      </c>
      <c r="AB818" s="82">
        <f>IFERROR(__xludf.DUMMYFUNCTION("""COMPUTED_VALUE"""),1.4499393283199908)</f>
        <v>1.449939328</v>
      </c>
      <c r="AC818" s="82">
        <f>IFERROR(__xludf.DUMMYFUNCTION("""COMPUTED_VALUE"""),2.7887922063903656)</f>
        <v>2.788792206</v>
      </c>
      <c r="AD818" s="82">
        <f>IFERROR(__xludf.DUMMYFUNCTION("""COMPUTED_VALUE"""),1.1101033044168354)</f>
        <v>1.110103304</v>
      </c>
      <c r="AE818" s="82">
        <f>IFERROR(__xludf.DUMMYFUNCTION("""COMPUTED_VALUE"""),1.3360666418473575)</f>
        <v>1.336066642</v>
      </c>
      <c r="AF818" s="82">
        <f>IFERROR(__xludf.DUMMYFUNCTION("""COMPUTED_VALUE"""),0.8214301345643176)</f>
        <v>0.8214301346</v>
      </c>
      <c r="AG818" s="82">
        <f>IFERROR(__xludf.DUMMYFUNCTION("""COMPUTED_VALUE"""),1.2315786259714392)</f>
        <v>1.231578626</v>
      </c>
      <c r="AH818" s="82">
        <f>IFERROR(__xludf.DUMMYFUNCTION("""COMPUTED_VALUE"""),1.0373154142600938)</f>
        <v>1.037315414</v>
      </c>
      <c r="AI818" s="82">
        <f>IFERROR(__xludf.DUMMYFUNCTION("""COMPUTED_VALUE"""),0.9411056671074194)</f>
        <v>0.9411056671</v>
      </c>
      <c r="AJ818" s="82">
        <f>IFERROR(__xludf.DUMMYFUNCTION("""COMPUTED_VALUE"""),1.0045551994926833)</f>
        <v>1.004555199</v>
      </c>
      <c r="AK818" s="82">
        <f>IFERROR(__xludf.DUMMYFUNCTION("""COMPUTED_VALUE"""),0.8850190220285136)</f>
        <v>0.885019022</v>
      </c>
      <c r="AL818" s="82">
        <f>IFERROR(__xludf.DUMMYFUNCTION("""COMPUTED_VALUE"""),0.8246516054483296)</f>
        <v>0.8246516054</v>
      </c>
      <c r="AM818" s="82">
        <f>IFERROR(__xludf.DUMMYFUNCTION("""COMPUTED_VALUE"""),1.0300807061286295)</f>
        <v>1.030080706</v>
      </c>
      <c r="AN818" s="82">
        <f>IFERROR(__xludf.DUMMYFUNCTION("""COMPUTED_VALUE"""),1.1725576847706527)</f>
        <v>1.172557685</v>
      </c>
      <c r="AO818" s="82">
        <f>IFERROR(__xludf.DUMMYFUNCTION("""COMPUTED_VALUE"""),1.5523885417126055)</f>
        <v>1.552388542</v>
      </c>
      <c r="AP818" s="82">
        <f>IFERROR(__xludf.DUMMYFUNCTION("""COMPUTED_VALUE"""),0.8694496343838928)</f>
        <v>0.8694496344</v>
      </c>
      <c r="AQ818" s="82">
        <f>IFERROR(__xludf.DUMMYFUNCTION("""COMPUTED_VALUE"""),1.25179940341888)</f>
        <v>1.251799403</v>
      </c>
      <c r="AR818" s="82">
        <f>IFERROR(__xludf.DUMMYFUNCTION("""COMPUTED_VALUE"""),1.1483645675798553)</f>
        <v>1.148364568</v>
      </c>
      <c r="AS818" s="82">
        <f>IFERROR(__xludf.DUMMYFUNCTION("""COMPUTED_VALUE"""),81.0)</f>
        <v>81</v>
      </c>
      <c r="AT818" s="82">
        <f>IFERROR(__xludf.DUMMYFUNCTION("""COMPUTED_VALUE"""),0.6353887705966632)</f>
        <v>0.6353887706</v>
      </c>
      <c r="AU818" s="82">
        <f>IFERROR(__xludf.DUMMYFUNCTION("""COMPUTED_VALUE"""),3.1467493105918543)</f>
        <v>3.146749311</v>
      </c>
      <c r="AV818" s="82">
        <f>IFERROR(__xludf.DUMMYFUNCTION("""COMPUTED_VALUE"""),73.09915155930672)</f>
        <v>73.09915156</v>
      </c>
      <c r="AW818" s="82">
        <f t="shared" si="1"/>
        <v>5.62581597</v>
      </c>
      <c r="AX818" s="83">
        <f t="array" ref="AX818">IFERROR(DGET('SBV Import'!A:G,"SBV",{"RSC ID","Tier";B818,A818}))</f>
        <v>63.91431267</v>
      </c>
      <c r="AY818" s="82">
        <f t="shared" si="2"/>
        <v>3.461288262</v>
      </c>
      <c r="AZ818" s="82">
        <v>2.1645277081231318</v>
      </c>
      <c r="BA818" s="84">
        <v>800.0</v>
      </c>
      <c r="BB818" s="84" t="b">
        <f>IFERROR(__xludf.DUMMYFUNCTION("iferror(if(A818="""",,E818&gt;=FILTER(Constants!$F$2:$F$10,Constants!$A$2:$A$10=A818)))"),TRUE)</f>
        <v>1</v>
      </c>
    </row>
    <row r="819">
      <c r="A819" s="80" t="str">
        <f>IFERROR(__xludf.DUMMYFUNCTION("""COMPUTED_VALUE"""),"Elite")</f>
        <v>Elite</v>
      </c>
      <c r="B819" s="73" t="str">
        <f>IFERROR(__xludf.DUMMYFUNCTION("""COMPUTED_VALUE"""),"RSC002178")</f>
        <v>RSC002178</v>
      </c>
      <c r="C819" s="73" t="str">
        <f>IFERROR(__xludf.DUMMYFUNCTION("""COMPUTED_VALUE"""),"bird")</f>
        <v>bird</v>
      </c>
      <c r="D819" s="73" t="str">
        <f>IFERROR(__xludf.DUMMYFUNCTION("""COMPUTED_VALUE"""),"Afterburners")</f>
        <v>Afterburners</v>
      </c>
      <c r="E819" s="82">
        <f>IFERROR(__xludf.DUMMYFUNCTION("""COMPUTED_VALUE"""),10.0)</f>
        <v>10</v>
      </c>
      <c r="F819" s="82">
        <f>IFERROR(__xludf.DUMMYFUNCTION("""COMPUTED_VALUE"""),5.0)</f>
        <v>5</v>
      </c>
      <c r="G819" s="82">
        <f>IFERROR(__xludf.DUMMYFUNCTION("""COMPUTED_VALUE"""),5.0)</f>
        <v>5</v>
      </c>
      <c r="H819" s="86">
        <f>IFERROR(__xludf.DUMMYFUNCTION("""COMPUTED_VALUE"""),0.5)</f>
        <v>0.5</v>
      </c>
      <c r="I819" s="86">
        <f>IFERROR(__xludf.DUMMYFUNCTION("""COMPUTED_VALUE"""),0.34375)</f>
        <v>0.34375</v>
      </c>
      <c r="J819" s="82">
        <f>IFERROR(__xludf.DUMMYFUNCTION("""COMPUTED_VALUE"""),372.3)</f>
        <v>372.3</v>
      </c>
      <c r="K819" s="82">
        <f>IFERROR(__xludf.DUMMYFUNCTION("""COMPUTED_VALUE"""),1.1)</f>
        <v>1.1</v>
      </c>
      <c r="L819" s="82">
        <f>IFERROR(__xludf.DUMMYFUNCTION("""COMPUTED_VALUE"""),0.5)</f>
        <v>0.5</v>
      </c>
      <c r="M819" s="82">
        <f>IFERROR(__xludf.DUMMYFUNCTION("""COMPUTED_VALUE"""),1.5)</f>
        <v>1.5</v>
      </c>
      <c r="N819" s="82">
        <f>IFERROR(__xludf.DUMMYFUNCTION("""COMPUTED_VALUE"""),3.2)</f>
        <v>3.2</v>
      </c>
      <c r="O819" s="82">
        <f>IFERROR(__xludf.DUMMYFUNCTION("""COMPUTED_VALUE"""),365.2)</f>
        <v>365.2</v>
      </c>
      <c r="P819" s="82">
        <f>IFERROR(__xludf.DUMMYFUNCTION("""COMPUTED_VALUE"""),0.8)</f>
        <v>0.8</v>
      </c>
      <c r="Q819" s="82">
        <f>IFERROR(__xludf.DUMMYFUNCTION("""COMPUTED_VALUE"""),0.4999999999999999)</f>
        <v>0.5</v>
      </c>
      <c r="R819" s="82">
        <f>IFERROR(__xludf.DUMMYFUNCTION("""COMPUTED_VALUE"""),1.5666666666666669)</f>
        <v>1.566666667</v>
      </c>
      <c r="S819" s="82">
        <f>IFERROR(__xludf.DUMMYFUNCTION("""COMPUTED_VALUE"""),2.9)</f>
        <v>2.9</v>
      </c>
      <c r="T819" s="82">
        <f>IFERROR(__xludf.DUMMYFUNCTION("""COMPUTED_VALUE"""),364.8414113756614)</f>
        <v>364.8414114</v>
      </c>
      <c r="U819" s="82">
        <f>IFERROR(__xludf.DUMMYFUNCTION("""COMPUTED_VALUE"""),0.8308597883597884)</f>
        <v>0.8308597884</v>
      </c>
      <c r="V819" s="82">
        <f>IFERROR(__xludf.DUMMYFUNCTION("""COMPUTED_VALUE"""),0.651577380952381)</f>
        <v>0.651577381</v>
      </c>
      <c r="W819" s="82">
        <f>IFERROR(__xludf.DUMMYFUNCTION("""COMPUTED_VALUE"""),1.452864417989418)</f>
        <v>1.452864418</v>
      </c>
      <c r="X819" s="82">
        <f>IFERROR(__xludf.DUMMYFUNCTION("""COMPUTED_VALUE"""),2.6848379629629626)</f>
        <v>2.684837963</v>
      </c>
      <c r="Y819" s="82">
        <f>IFERROR(__xludf.DUMMYFUNCTION("""COMPUTED_VALUE"""),375.73630665784833)</f>
        <v>375.7363067</v>
      </c>
      <c r="Z819" s="82">
        <f>IFERROR(__xludf.DUMMYFUNCTION("""COMPUTED_VALUE"""),0.8854863315696647)</f>
        <v>0.8854863316</v>
      </c>
      <c r="AA819" s="82">
        <f>IFERROR(__xludf.DUMMYFUNCTION("""COMPUTED_VALUE"""),0.6573891093474427)</f>
        <v>0.6573891093</v>
      </c>
      <c r="AB819" s="82">
        <f>IFERROR(__xludf.DUMMYFUNCTION("""COMPUTED_VALUE"""),1.4477517636684303)</f>
        <v>1.447751764</v>
      </c>
      <c r="AC819" s="82">
        <f>IFERROR(__xludf.DUMMYFUNCTION("""COMPUTED_VALUE"""),2.7132385361552034)</f>
        <v>2.713238536</v>
      </c>
      <c r="AD819" s="82">
        <f>IFERROR(__xludf.DUMMYFUNCTION("""COMPUTED_VALUE"""),0.9908544726794861)</f>
        <v>0.9908544727</v>
      </c>
      <c r="AE819" s="82">
        <f>IFERROR(__xludf.DUMMYFUNCTION("""COMPUTED_VALUE"""),1.2422552000888325)</f>
        <v>1.2422552</v>
      </c>
      <c r="AF819" s="82">
        <f>IFERROR(__xludf.DUMMYFUNCTION("""COMPUTED_VALUE"""),0.760584550140061)</f>
        <v>0.7605845501</v>
      </c>
      <c r="AG819" s="82">
        <f>IFERROR(__xludf.DUMMYFUNCTION("""COMPUTED_VALUE"""),1.0360892230579495)</f>
        <v>1.036089223</v>
      </c>
      <c r="AH819" s="82">
        <f>IFERROR(__xludf.DUMMYFUNCTION("""COMPUTED_VALUE"""),1.1794023847732027)</f>
        <v>1.179402385</v>
      </c>
      <c r="AI819" s="82">
        <f>IFERROR(__xludf.DUMMYFUNCTION("""COMPUTED_VALUE"""),1.000982861630171)</f>
        <v>1.000982862</v>
      </c>
      <c r="AJ819" s="82">
        <f>IFERROR(__xludf.DUMMYFUNCTION("""COMPUTED_VALUE"""),0.962858007100441)</f>
        <v>0.9628580071</v>
      </c>
      <c r="AK819" s="82">
        <f>IFERROR(__xludf.DUMMYFUNCTION("""COMPUTED_VALUE"""),0.7673685652948428)</f>
        <v>0.7673685653</v>
      </c>
      <c r="AL819" s="82">
        <f>IFERROR(__xludf.DUMMYFUNCTION("""COMPUTED_VALUE"""),1.0783295724419606)</f>
        <v>1.078329572</v>
      </c>
      <c r="AM819" s="82">
        <f>IFERROR(__xludf.DUMMYFUNCTION("""COMPUTED_VALUE"""),1.080139673233608)</f>
        <v>1.080139673</v>
      </c>
      <c r="AN819" s="82">
        <f>IFERROR(__xludf.DUMMYFUNCTION("""COMPUTED_VALUE"""),1.0555449334303275)</f>
        <v>1.055544933</v>
      </c>
      <c r="AO819" s="82">
        <f>IFERROR(__xludf.DUMMYFUNCTION("""COMPUTED_VALUE"""),1.5423731317660725)</f>
        <v>1.542373132</v>
      </c>
      <c r="AP819" s="82">
        <f>IFERROR(__xludf.DUMMYFUNCTION("""COMPUTED_VALUE"""),0.8694496343838928)</f>
        <v>0.8694496344</v>
      </c>
      <c r="AQ819" s="82">
        <f>IFERROR(__xludf.DUMMYFUNCTION("""COMPUTED_VALUE"""),1.0515114988718592)</f>
        <v>1.051511499</v>
      </c>
      <c r="AR819" s="82">
        <f>IFERROR(__xludf.DUMMYFUNCTION("""COMPUTED_VALUE"""),1.270289694508087)</f>
        <v>1.270289695</v>
      </c>
      <c r="AS819" s="82">
        <f>IFERROR(__xludf.DUMMYFUNCTION("""COMPUTED_VALUE"""),26.0)</f>
        <v>26</v>
      </c>
      <c r="AT819" s="82">
        <f>IFERROR(__xludf.DUMMYFUNCTION("""COMPUTED_VALUE"""),0.5317163106801142)</f>
        <v>0.5317163107</v>
      </c>
      <c r="AU819" s="82">
        <f>IFERROR(__xludf.DUMMYFUNCTION("""COMPUTED_VALUE"""),3.135500966228687)</f>
        <v>3.135500966</v>
      </c>
      <c r="AV819" s="82">
        <f>IFERROR(__xludf.DUMMYFUNCTION("""COMPUTED_VALUE"""),72.78307916672657)</f>
        <v>72.78307917</v>
      </c>
      <c r="AW819" s="82">
        <f t="shared" si="1"/>
        <v>5.522952898</v>
      </c>
      <c r="AX819" s="83">
        <f t="array" ref="AX819">IFERROR(DGET('SBV Import'!A:G,"SBV",{"RSC ID","Tier";B819,A819}))</f>
        <v>42.08509579</v>
      </c>
      <c r="AY819" s="82">
        <f t="shared" si="2"/>
        <v>-2.661166767</v>
      </c>
      <c r="AZ819" s="82">
        <v>8.18411966499992</v>
      </c>
      <c r="BA819" s="84">
        <v>800.0</v>
      </c>
      <c r="BB819" s="84" t="b">
        <f>IFERROR(__xludf.DUMMYFUNCTION("iferror(if(A819="""",,E819&gt;=FILTER(Constants!$F$2:$F$10,Constants!$A$2:$A$10=A819)))"),TRUE)</f>
        <v>1</v>
      </c>
    </row>
    <row r="820">
      <c r="A820" s="80" t="str">
        <f>IFERROR(__xludf.DUMMYFUNCTION("""COMPUTED_VALUE"""),"Elite")</f>
        <v>Elite</v>
      </c>
      <c r="B820" s="73" t="str">
        <f>IFERROR(__xludf.DUMMYFUNCTION("""COMPUTED_VALUE"""),"RSC006494")</f>
        <v>RSC006494</v>
      </c>
      <c r="C820" s="73" t="str">
        <f>IFERROR(__xludf.DUMMYFUNCTION("""COMPUTED_VALUE"""),"Jimbo")</f>
        <v>Jimbo</v>
      </c>
      <c r="D820" s="73" t="str">
        <f>IFERROR(__xludf.DUMMYFUNCTION("""COMPUTED_VALUE"""),"Desolation")</f>
        <v>Desolation</v>
      </c>
      <c r="E820" s="82">
        <f>IFERROR(__xludf.DUMMYFUNCTION("""COMPUTED_VALUE"""),36.0)</f>
        <v>36</v>
      </c>
      <c r="F820" s="82">
        <f>IFERROR(__xludf.DUMMYFUNCTION("""COMPUTED_VALUE"""),22.0)</f>
        <v>22</v>
      </c>
      <c r="G820" s="82">
        <f>IFERROR(__xludf.DUMMYFUNCTION("""COMPUTED_VALUE"""),14.0)</f>
        <v>14</v>
      </c>
      <c r="H820" s="86">
        <f>IFERROR(__xludf.DUMMYFUNCTION("""COMPUTED_VALUE"""),0.6111111111111112)</f>
        <v>0.6111111111</v>
      </c>
      <c r="I820" s="86">
        <f>IFERROR(__xludf.DUMMYFUNCTION("""COMPUTED_VALUE"""),0.35238095238095235)</f>
        <v>0.3523809524</v>
      </c>
      <c r="J820" s="82">
        <f>IFERROR(__xludf.DUMMYFUNCTION("""COMPUTED_VALUE"""),410.44444444444446)</f>
        <v>410.4444444</v>
      </c>
      <c r="K820" s="82">
        <f>IFERROR(__xludf.DUMMYFUNCTION("""COMPUTED_VALUE"""),1.0277777777777777)</f>
        <v>1.027777778</v>
      </c>
      <c r="L820" s="82">
        <f>IFERROR(__xludf.DUMMYFUNCTION("""COMPUTED_VALUE"""),0.6111111111111112)</f>
        <v>0.6111111111</v>
      </c>
      <c r="M820" s="82">
        <f>IFERROR(__xludf.DUMMYFUNCTION("""COMPUTED_VALUE"""),1.4444444444444444)</f>
        <v>1.444444444</v>
      </c>
      <c r="N820" s="82">
        <f>IFERROR(__xludf.DUMMYFUNCTION("""COMPUTED_VALUE"""),2.9166666666666665)</f>
        <v>2.916666667</v>
      </c>
      <c r="O820" s="82">
        <f>IFERROR(__xludf.DUMMYFUNCTION("""COMPUTED_VALUE"""),351.2777777777777)</f>
        <v>351.2777778</v>
      </c>
      <c r="P820" s="82">
        <f>IFERROR(__xludf.DUMMYFUNCTION("""COMPUTED_VALUE"""),0.7314814814814814)</f>
        <v>0.7314814815</v>
      </c>
      <c r="Q820" s="82">
        <f>IFERROR(__xludf.DUMMYFUNCTION("""COMPUTED_VALUE"""),0.5092592592592592)</f>
        <v>0.5092592593</v>
      </c>
      <c r="R820" s="82">
        <f>IFERROR(__xludf.DUMMYFUNCTION("""COMPUTED_VALUE"""),1.3148148148148144)</f>
        <v>1.314814815</v>
      </c>
      <c r="S820" s="82">
        <f>IFERROR(__xludf.DUMMYFUNCTION("""COMPUTED_VALUE"""),2.546296296296296)</f>
        <v>2.546296296</v>
      </c>
      <c r="T820" s="82">
        <f>IFERROR(__xludf.DUMMYFUNCTION("""COMPUTED_VALUE"""),356.71096068572814)</f>
        <v>356.7109607</v>
      </c>
      <c r="U820" s="82">
        <f>IFERROR(__xludf.DUMMYFUNCTION("""COMPUTED_VALUE"""),0.6849688211729004)</f>
        <v>0.6849688212</v>
      </c>
      <c r="V820" s="82">
        <f>IFERROR(__xludf.DUMMYFUNCTION("""COMPUTED_VALUE"""),0.5332119509886019)</f>
        <v>0.533211951</v>
      </c>
      <c r="W820" s="82">
        <f>IFERROR(__xludf.DUMMYFUNCTION("""COMPUTED_VALUE"""),1.4757553930305791)</f>
        <v>1.475755393</v>
      </c>
      <c r="X820" s="82">
        <f>IFERROR(__xludf.DUMMYFUNCTION("""COMPUTED_VALUE"""),2.5634480268185476)</f>
        <v>2.563448027</v>
      </c>
      <c r="Y820" s="82">
        <f>IFERROR(__xludf.DUMMYFUNCTION("""COMPUTED_VALUE"""),370.82212097681963)</f>
        <v>370.822121</v>
      </c>
      <c r="Z820" s="82">
        <f>IFERROR(__xludf.DUMMYFUNCTION("""COMPUTED_VALUE"""),0.8092959824769981)</f>
        <v>0.8092959825</v>
      </c>
      <c r="AA820" s="82">
        <f>IFERROR(__xludf.DUMMYFUNCTION("""COMPUTED_VALUE"""),0.6009004606907655)</f>
        <v>0.6009004607</v>
      </c>
      <c r="AB820" s="82">
        <f>IFERROR(__xludf.DUMMYFUNCTION("""COMPUTED_VALUE"""),1.459637146493881)</f>
        <v>1.459637146</v>
      </c>
      <c r="AC820" s="82">
        <f>IFERROR(__xludf.DUMMYFUNCTION("""COMPUTED_VALUE"""),2.7325978257552697)</f>
        <v>2.732597826</v>
      </c>
      <c r="AD820" s="82">
        <f>IFERROR(__xludf.DUMMYFUNCTION("""COMPUTED_VALUE"""),1.1068499456376866)</f>
        <v>1.106849946</v>
      </c>
      <c r="AE820" s="82">
        <f>IFERROR(__xludf.DUMMYFUNCTION("""COMPUTED_VALUE"""),1.2699652537901847)</f>
        <v>1.269965254</v>
      </c>
      <c r="AF820" s="82">
        <f>IFERROR(__xludf.DUMMYFUNCTION("""COMPUTED_VALUE"""),1.0169922492797026)</f>
        <v>1.016992249</v>
      </c>
      <c r="AG820" s="82">
        <f>IFERROR(__xludf.DUMMYFUNCTION("""COMPUTED_VALUE"""),0.9895914528580406)</f>
        <v>0.9895914529</v>
      </c>
      <c r="AH820" s="82">
        <f>IFERROR(__xludf.DUMMYFUNCTION("""COMPUTED_VALUE"""),1.067360384750552)</f>
        <v>1.067360385</v>
      </c>
      <c r="AI820" s="82">
        <f>IFERROR(__xludf.DUMMYFUNCTION("""COMPUTED_VALUE"""),0.9847686684549701)</f>
        <v>0.9847686685</v>
      </c>
      <c r="AJ820" s="82">
        <f>IFERROR(__xludf.DUMMYFUNCTION("""COMPUTED_VALUE"""),1.0679047846717102)</f>
        <v>1.067904785</v>
      </c>
      <c r="AK820" s="82">
        <f>IFERROR(__xludf.DUMMYFUNCTION("""COMPUTED_VALUE"""),0.9550784792333833)</f>
        <v>0.9550784792</v>
      </c>
      <c r="AL820" s="82">
        <f>IFERROR(__xludf.DUMMYFUNCTION("""COMPUTED_VALUE"""),0.8909435947340428)</f>
        <v>0.8909435947</v>
      </c>
      <c r="AM820" s="82">
        <f>IFERROR(__xludf.DUMMYFUNCTION("""COMPUTED_VALUE"""),0.9933091171177212)</f>
        <v>0.9933091171</v>
      </c>
      <c r="AN820" s="82">
        <f>IFERROR(__xludf.DUMMYFUNCTION("""COMPUTED_VALUE"""),1.1636920595969886)</f>
        <v>1.16369206</v>
      </c>
      <c r="AO820" s="82">
        <f>IFERROR(__xludf.DUMMYFUNCTION("""COMPUTED_VALUE"""),1.4411062089733504)</f>
        <v>1.441106209</v>
      </c>
      <c r="AP820" s="82">
        <f>IFERROR(__xludf.DUMMYFUNCTION("""COMPUTED_VALUE"""),1.06266066424698)</f>
        <v>1.062660664</v>
      </c>
      <c r="AQ820" s="82">
        <f>IFERROR(__xludf.DUMMYFUNCTION("""COMPUTED_VALUE"""),1.0125666285432717)</f>
        <v>1.012566629</v>
      </c>
      <c r="AR820" s="82">
        <f>IFERROR(__xludf.DUMMYFUNCTION("""COMPUTED_VALUE"""),1.15781612780685)</f>
        <v>1.157816128</v>
      </c>
      <c r="AS820" s="82">
        <f>IFERROR(__xludf.DUMMYFUNCTION("""COMPUTED_VALUE"""),100.0)</f>
        <v>100</v>
      </c>
      <c r="AT820" s="82">
        <f>IFERROR(__xludf.DUMMYFUNCTION("""COMPUTED_VALUE"""),0.5923086104764487)</f>
        <v>0.5923086105</v>
      </c>
      <c r="AU820" s="82">
        <f>IFERROR(__xludf.DUMMYFUNCTION("""COMPUTED_VALUE"""),3.1280046862326074)</f>
        <v>3.128004686</v>
      </c>
      <c r="AV820" s="82">
        <f>IFERROR(__xludf.DUMMYFUNCTION("""COMPUTED_VALUE"""),72.57243775343822)</f>
        <v>72.57243775</v>
      </c>
      <c r="AW820" s="82">
        <f t="shared" si="1"/>
        <v>5.455830666</v>
      </c>
      <c r="AX820" s="83">
        <f t="array" ref="AX820">IFERROR(DGET('SBV Import'!A:G,"SBV",{"RSC ID","Tier";B820,A820}))</f>
        <v>68.37069032</v>
      </c>
      <c r="AY820" s="82">
        <f t="shared" si="2"/>
        <v>4.324843417</v>
      </c>
      <c r="AZ820" s="82">
        <v>1.1309872494128177</v>
      </c>
      <c r="BA820" s="84">
        <v>800.0</v>
      </c>
      <c r="BB820" s="84" t="b">
        <f>IFERROR(__xludf.DUMMYFUNCTION("iferror(if(A820="""",,E820&gt;=FILTER(Constants!$F$2:$F$10,Constants!$A$2:$A$10=A820)))"),TRUE)</f>
        <v>1</v>
      </c>
    </row>
    <row r="821">
      <c r="A821" s="80" t="str">
        <f>IFERROR(__xludf.DUMMYFUNCTION("""COMPUTED_VALUE"""),"Elite")</f>
        <v>Elite</v>
      </c>
      <c r="B821" s="73" t="str">
        <f>IFERROR(__xludf.DUMMYFUNCTION("""COMPUTED_VALUE"""),"RSC005274")</f>
        <v>RSC005274</v>
      </c>
      <c r="C821" s="73" t="str">
        <f>IFERROR(__xludf.DUMMYFUNCTION("""COMPUTED_VALUE"""),"KING.")</f>
        <v>KING.</v>
      </c>
      <c r="D821" s="73" t="str">
        <f>IFERROR(__xludf.DUMMYFUNCTION("""COMPUTED_VALUE"""),"Cotija Cartel")</f>
        <v>Cotija Cartel</v>
      </c>
      <c r="E821" s="82">
        <f>IFERROR(__xludf.DUMMYFUNCTION("""COMPUTED_VALUE"""),13.0)</f>
        <v>13</v>
      </c>
      <c r="F821" s="82">
        <f>IFERROR(__xludf.DUMMYFUNCTION("""COMPUTED_VALUE"""),7.0)</f>
        <v>7</v>
      </c>
      <c r="G821" s="82">
        <f>IFERROR(__xludf.DUMMYFUNCTION("""COMPUTED_VALUE"""),6.0)</f>
        <v>6</v>
      </c>
      <c r="H821" s="86">
        <f>IFERROR(__xludf.DUMMYFUNCTION("""COMPUTED_VALUE"""),0.5384615384615384)</f>
        <v>0.5384615385</v>
      </c>
      <c r="I821" s="86">
        <f>IFERROR(__xludf.DUMMYFUNCTION("""COMPUTED_VALUE"""),0.3611111111111111)</f>
        <v>0.3611111111</v>
      </c>
      <c r="J821" s="82">
        <f>IFERROR(__xludf.DUMMYFUNCTION("""COMPUTED_VALUE"""),351.6923076923077)</f>
        <v>351.6923077</v>
      </c>
      <c r="K821" s="82">
        <f>IFERROR(__xludf.DUMMYFUNCTION("""COMPUTED_VALUE"""),1.0)</f>
        <v>1</v>
      </c>
      <c r="L821" s="82">
        <f>IFERROR(__xludf.DUMMYFUNCTION("""COMPUTED_VALUE"""),0.8461538461538461)</f>
        <v>0.8461538462</v>
      </c>
      <c r="M821" s="82">
        <f>IFERROR(__xludf.DUMMYFUNCTION("""COMPUTED_VALUE"""),1.0769230769230769)</f>
        <v>1.076923077</v>
      </c>
      <c r="N821" s="82">
        <f>IFERROR(__xludf.DUMMYFUNCTION("""COMPUTED_VALUE"""),2.769230769230769)</f>
        <v>2.769230769</v>
      </c>
      <c r="O821" s="82">
        <f>IFERROR(__xludf.DUMMYFUNCTION("""COMPUTED_VALUE"""),349.84615384615387)</f>
        <v>349.8461538</v>
      </c>
      <c r="P821" s="82">
        <f>IFERROR(__xludf.DUMMYFUNCTION("""COMPUTED_VALUE"""),0.6923076923076923)</f>
        <v>0.6923076923</v>
      </c>
      <c r="Q821" s="82">
        <f>IFERROR(__xludf.DUMMYFUNCTION("""COMPUTED_VALUE"""),0.5128205128205127)</f>
        <v>0.5128205128</v>
      </c>
      <c r="R821" s="82">
        <f>IFERROR(__xludf.DUMMYFUNCTION("""COMPUTED_VALUE"""),1.666666666666667)</f>
        <v>1.666666667</v>
      </c>
      <c r="S821" s="82">
        <f>IFERROR(__xludf.DUMMYFUNCTION("""COMPUTED_VALUE"""),2.2564102564102564)</f>
        <v>2.256410256</v>
      </c>
      <c r="T821" s="82">
        <f>IFERROR(__xludf.DUMMYFUNCTION("""COMPUTED_VALUE"""),355.7989796717681)</f>
        <v>355.7989797</v>
      </c>
      <c r="U821" s="82">
        <f>IFERROR(__xludf.DUMMYFUNCTION("""COMPUTED_VALUE"""),0.7278181203181203)</f>
        <v>0.7278181203</v>
      </c>
      <c r="V821" s="82">
        <f>IFERROR(__xludf.DUMMYFUNCTION("""COMPUTED_VALUE"""),0.5573186193378501)</f>
        <v>0.5573186193</v>
      </c>
      <c r="W821" s="82">
        <f>IFERROR(__xludf.DUMMYFUNCTION("""COMPUTED_VALUE"""),1.5460258832374218)</f>
        <v>1.546025883</v>
      </c>
      <c r="X821" s="82">
        <f>IFERROR(__xludf.DUMMYFUNCTION("""COMPUTED_VALUE"""),2.5407916549262706)</f>
        <v>2.540791655</v>
      </c>
      <c r="Y821" s="82">
        <f>IFERROR(__xludf.DUMMYFUNCTION("""COMPUTED_VALUE"""),372.5895216275024)</f>
        <v>372.5895216</v>
      </c>
      <c r="Z821" s="82">
        <f>IFERROR(__xludf.DUMMYFUNCTION("""COMPUTED_VALUE"""),0.8540898943463046)</f>
        <v>0.8540898943</v>
      </c>
      <c r="AA821" s="82">
        <f>IFERROR(__xludf.DUMMYFUNCTION("""COMPUTED_VALUE"""),0.6344052607834659)</f>
        <v>0.6344052608</v>
      </c>
      <c r="AB821" s="82">
        <f>IFERROR(__xludf.DUMMYFUNCTION("""COMPUTED_VALUE"""),1.3319535324984044)</f>
        <v>1.331953532</v>
      </c>
      <c r="AC821" s="82">
        <f>IFERROR(__xludf.DUMMYFUNCTION("""COMPUTED_VALUE"""),2.9234608040697787)</f>
        <v>2.923460804</v>
      </c>
      <c r="AD821" s="82">
        <f>IFERROR(__xludf.DUMMYFUNCTION("""COMPUTED_VALUE"""),0.9439135758732186)</f>
        <v>0.9439135759</v>
      </c>
      <c r="AE821" s="82">
        <f>IFERROR(__xludf.DUMMYFUNCTION("""COMPUTED_VALUE"""),1.1708369418951745)</f>
        <v>1.170836942</v>
      </c>
      <c r="AF821" s="82">
        <f>IFERROR(__xludf.DUMMYFUNCTION("""COMPUTED_VALUE"""),1.3337749518484114)</f>
        <v>1.333774952</v>
      </c>
      <c r="AG821" s="82">
        <f>IFERROR(__xludf.DUMMYFUNCTION("""COMPUTED_VALUE"""),0.8085290144492085)</f>
        <v>0.8085290144</v>
      </c>
      <c r="AH821" s="82">
        <f>IFERROR(__xludf.DUMMYFUNCTION("""COMPUTED_VALUE"""),0.9472440216662715)</f>
        <v>0.9472440217</v>
      </c>
      <c r="AI821" s="82">
        <f>IFERROR(__xludf.DUMMYFUNCTION("""COMPUTED_VALUE"""),0.9832691318252069)</f>
        <v>0.9832691318</v>
      </c>
      <c r="AJ821" s="82">
        <f>IFERROR(__xludf.DUMMYFUNCTION("""COMPUTED_VALUE"""),0.9512097500472964)</f>
        <v>0.95120975</v>
      </c>
      <c r="AK821" s="82">
        <f>IFERROR(__xludf.DUMMYFUNCTION("""COMPUTED_VALUE"""),0.9201567918721151)</f>
        <v>0.9201567919</v>
      </c>
      <c r="AL821" s="82">
        <f>IFERROR(__xludf.DUMMYFUNCTION("""COMPUTED_VALUE"""),1.078032835502482)</f>
        <v>1.078032836</v>
      </c>
      <c r="AM821" s="82">
        <f>IFERROR(__xludf.DUMMYFUNCTION("""COMPUTED_VALUE"""),0.8880737041289336)</f>
        <v>0.8880737041</v>
      </c>
      <c r="AN821" s="82">
        <f>IFERROR(__xludf.DUMMYFUNCTION("""COMPUTED_VALUE"""),0.9971180056702529)</f>
        <v>0.9971180057</v>
      </c>
      <c r="AO821" s="82">
        <f>IFERROR(__xludf.DUMMYFUNCTION("""COMPUTED_VALUE"""),1.4021573925146114)</f>
        <v>1.402157393</v>
      </c>
      <c r="AP821" s="82">
        <f>IFERROR(__xludf.DUMMYFUNCTION("""COMPUTED_VALUE"""),1.4713763043419723)</f>
        <v>1.471376304</v>
      </c>
      <c r="AQ821" s="82">
        <f>IFERROR(__xludf.DUMMYFUNCTION("""COMPUTED_VALUE"""),0.7549313325233861)</f>
        <v>0.7549313325</v>
      </c>
      <c r="AR821" s="82">
        <f>IFERROR(__xludf.DUMMYFUNCTION("""COMPUTED_VALUE"""),1.0992891587089213)</f>
        <v>1.099289159</v>
      </c>
      <c r="AS821" s="82">
        <f>IFERROR(__xludf.DUMMYFUNCTION("""COMPUTED_VALUE"""),38.0)</f>
        <v>38</v>
      </c>
      <c r="AT821" s="82">
        <f>IFERROR(__xludf.DUMMYFUNCTION("""COMPUTED_VALUE"""),0.6323683168968798)</f>
        <v>0.6323683169</v>
      </c>
      <c r="AU821" s="82">
        <f>IFERROR(__xludf.DUMMYFUNCTION("""COMPUTED_VALUE"""),3.1212278672381046)</f>
        <v>3.121227867</v>
      </c>
      <c r="AV821" s="82">
        <f>IFERROR(__xludf.DUMMYFUNCTION("""COMPUTED_VALUE"""),72.38201280515082)</f>
        <v>72.38201281</v>
      </c>
      <c r="AW821" s="82">
        <f t="shared" si="1"/>
        <v>5.396113079</v>
      </c>
      <c r="AX821" s="83">
        <f t="array" ref="AX821">IFERROR(DGET('SBV Import'!A:G,"SBV",{"RSC ID","Tier";B821,A821}))</f>
        <v>49.40313662</v>
      </c>
      <c r="AY821" s="82">
        <f t="shared" si="2"/>
        <v>-2.038834316</v>
      </c>
      <c r="AZ821" s="82">
        <v>7.434947395124013</v>
      </c>
      <c r="BA821" s="84">
        <v>800.0</v>
      </c>
      <c r="BB821" s="84" t="b">
        <f>IFERROR(__xludf.DUMMYFUNCTION("iferror(if(A821="""",,E821&gt;=FILTER(Constants!$F$2:$F$10,Constants!$A$2:$A$10=A821)))"),TRUE)</f>
        <v>1</v>
      </c>
    </row>
    <row r="822">
      <c r="A822" s="80" t="str">
        <f>IFERROR(__xludf.DUMMYFUNCTION("""COMPUTED_VALUE"""),"Elite")</f>
        <v>Elite</v>
      </c>
      <c r="B822" s="73" t="str">
        <f>IFERROR(__xludf.DUMMYFUNCTION("""COMPUTED_VALUE"""),"RSC004797")</f>
        <v>RSC004797</v>
      </c>
      <c r="C822" s="73" t="str">
        <f>IFERROR(__xludf.DUMMYFUNCTION("""COMPUTED_VALUE"""),"Tempest")</f>
        <v>Tempest</v>
      </c>
      <c r="D822" s="73" t="str">
        <f>IFERROR(__xludf.DUMMYFUNCTION("""COMPUTED_VALUE"""),"Demons")</f>
        <v>Demons</v>
      </c>
      <c r="E822" s="82">
        <f>IFERROR(__xludf.DUMMYFUNCTION("""COMPUTED_VALUE"""),25.0)</f>
        <v>25</v>
      </c>
      <c r="F822" s="82">
        <f>IFERROR(__xludf.DUMMYFUNCTION("""COMPUTED_VALUE"""),11.0)</f>
        <v>11</v>
      </c>
      <c r="G822" s="82">
        <f>IFERROR(__xludf.DUMMYFUNCTION("""COMPUTED_VALUE"""),14.0)</f>
        <v>14</v>
      </c>
      <c r="H822" s="86">
        <f>IFERROR(__xludf.DUMMYFUNCTION("""COMPUTED_VALUE"""),0.44)</f>
        <v>0.44</v>
      </c>
      <c r="I822" s="86">
        <f>IFERROR(__xludf.DUMMYFUNCTION("""COMPUTED_VALUE"""),0.26666666666666666)</f>
        <v>0.2666666667</v>
      </c>
      <c r="J822" s="82">
        <f>IFERROR(__xludf.DUMMYFUNCTION("""COMPUTED_VALUE"""),400.72)</f>
        <v>400.72</v>
      </c>
      <c r="K822" s="82">
        <f>IFERROR(__xludf.DUMMYFUNCTION("""COMPUTED_VALUE"""),0.8)</f>
        <v>0.8</v>
      </c>
      <c r="L822" s="82">
        <f>IFERROR(__xludf.DUMMYFUNCTION("""COMPUTED_VALUE"""),0.8)</f>
        <v>0.8</v>
      </c>
      <c r="M822" s="82">
        <f>IFERROR(__xludf.DUMMYFUNCTION("""COMPUTED_VALUE"""),1.88)</f>
        <v>1.88</v>
      </c>
      <c r="N822" s="82">
        <f>IFERROR(__xludf.DUMMYFUNCTION("""COMPUTED_VALUE"""),3.0)</f>
        <v>3</v>
      </c>
      <c r="O822" s="82">
        <f>IFERROR(__xludf.DUMMYFUNCTION("""COMPUTED_VALUE"""),382.92)</f>
        <v>382.92</v>
      </c>
      <c r="P822" s="82">
        <f>IFERROR(__xludf.DUMMYFUNCTION("""COMPUTED_VALUE"""),0.8933333333333334)</f>
        <v>0.8933333333</v>
      </c>
      <c r="Q822" s="82">
        <f>IFERROR(__xludf.DUMMYFUNCTION("""COMPUTED_VALUE"""),0.72)</f>
        <v>0.72</v>
      </c>
      <c r="R822" s="82">
        <f>IFERROR(__xludf.DUMMYFUNCTION("""COMPUTED_VALUE"""),1.3200000000000003)</f>
        <v>1.32</v>
      </c>
      <c r="S822" s="82">
        <f>IFERROR(__xludf.DUMMYFUNCTION("""COMPUTED_VALUE"""),3.0000000000000004)</f>
        <v>3</v>
      </c>
      <c r="T822" s="82">
        <f>IFERROR(__xludf.DUMMYFUNCTION("""COMPUTED_VALUE"""),376.6421432605408)</f>
        <v>376.6421433</v>
      </c>
      <c r="U822" s="82">
        <f>IFERROR(__xludf.DUMMYFUNCTION("""COMPUTED_VALUE"""),0.8923780888332644)</f>
        <v>0.8923780888</v>
      </c>
      <c r="V822" s="82">
        <f>IFERROR(__xludf.DUMMYFUNCTION("""COMPUTED_VALUE"""),0.653933821272351)</f>
        <v>0.6539338213</v>
      </c>
      <c r="W822" s="82">
        <f>IFERROR(__xludf.DUMMYFUNCTION("""COMPUTED_VALUE"""),1.3831092455901102)</f>
        <v>1.383109246</v>
      </c>
      <c r="X822" s="82">
        <f>IFERROR(__xludf.DUMMYFUNCTION("""COMPUTED_VALUE"""),2.81856468908623)</f>
        <v>2.818564689</v>
      </c>
      <c r="Y822" s="82">
        <f>IFERROR(__xludf.DUMMYFUNCTION("""COMPUTED_VALUE"""),353.32959274439395)</f>
        <v>353.3295927</v>
      </c>
      <c r="Z822" s="82">
        <f>IFERROR(__xludf.DUMMYFUNCTION("""COMPUTED_VALUE"""),0.7207675280925013)</f>
        <v>0.7207675281</v>
      </c>
      <c r="AA822" s="82">
        <f>IFERROR(__xludf.DUMMYFUNCTION("""COMPUTED_VALUE"""),0.5246991643324824)</f>
        <v>0.5246991643</v>
      </c>
      <c r="AB822" s="82">
        <f>IFERROR(__xludf.DUMMYFUNCTION("""COMPUTED_VALUE"""),1.4995028835455326)</f>
        <v>1.499502884</v>
      </c>
      <c r="AC822" s="82">
        <f>IFERROR(__xludf.DUMMYFUNCTION("""COMPUTED_VALUE"""),2.452617865891961)</f>
        <v>2.452617866</v>
      </c>
      <c r="AD822" s="82">
        <f>IFERROR(__xludf.DUMMYFUNCTION("""COMPUTED_VALUE"""),1.1341252140459384)</f>
        <v>1.134125214</v>
      </c>
      <c r="AE822" s="82">
        <f>IFERROR(__xludf.DUMMYFUNCTION("""COMPUTED_VALUE"""),1.1099279154780821)</f>
        <v>1.109927915</v>
      </c>
      <c r="AF822" s="82">
        <f>IFERROR(__xludf.DUMMYFUNCTION("""COMPUTED_VALUE"""),1.5246831982622897)</f>
        <v>1.524683198</v>
      </c>
      <c r="AG822" s="82">
        <f>IFERROR(__xludf.DUMMYFUNCTION("""COMPUTED_VALUE"""),1.2537488394519072)</f>
        <v>1.253748839</v>
      </c>
      <c r="AH822" s="82">
        <f>IFERROR(__xludf.DUMMYFUNCTION("""COMPUTED_VALUE"""),1.2231828046759208)</f>
        <v>1.223182805</v>
      </c>
      <c r="AI822" s="82">
        <f>IFERROR(__xludf.DUMMYFUNCTION("""COMPUTED_VALUE"""),1.0166679614902163)</f>
        <v>1.016667961</v>
      </c>
      <c r="AJ822" s="82">
        <f>IFERROR(__xludf.DUMMYFUNCTION("""COMPUTED_VALUE"""),1.0010704481788857)</f>
        <v>1.001070448</v>
      </c>
      <c r="AK822" s="82">
        <f>IFERROR(__xludf.DUMMYFUNCTION("""COMPUTED_VALUE"""),1.1010288450887964)</f>
        <v>1.101028845</v>
      </c>
      <c r="AL822" s="82">
        <f>IFERROR(__xludf.DUMMYFUNCTION("""COMPUTED_VALUE"""),0.9543714671915275)</f>
        <v>0.9543714672</v>
      </c>
      <c r="AM822" s="82">
        <f>IFERROR(__xludf.DUMMYFUNCTION("""COMPUTED_VALUE"""),1.0643715262652322)</f>
        <v>1.064371526</v>
      </c>
      <c r="AN822" s="82">
        <f>IFERROR(__xludf.DUMMYFUNCTION("""COMPUTED_VALUE"""),1.1361213154020975)</f>
        <v>1.136121315</v>
      </c>
      <c r="AO822" s="82">
        <f>IFERROR(__xludf.DUMMYFUNCTION("""COMPUTED_VALUE"""),1.121725914011689)</f>
        <v>1.121725914</v>
      </c>
      <c r="AP822" s="82">
        <f>IFERROR(__xludf.DUMMYFUNCTION("""COMPUTED_VALUE"""),1.3911194150142285)</f>
        <v>1.391119415</v>
      </c>
      <c r="AQ822" s="82">
        <f>IFERROR(__xludf.DUMMYFUNCTION("""COMPUTED_VALUE"""),1.3178944119193967)</f>
        <v>1.317894412</v>
      </c>
      <c r="AR822" s="82">
        <f>IFERROR(__xludf.DUMMYFUNCTION("""COMPUTED_VALUE"""),1.1908965886013314)</f>
        <v>1.190896589</v>
      </c>
      <c r="AS822" s="82">
        <f>IFERROR(__xludf.DUMMYFUNCTION("""COMPUTED_VALUE"""),64.0)</f>
        <v>64</v>
      </c>
      <c r="AT822" s="82">
        <f>IFERROR(__xludf.DUMMYFUNCTION("""COMPUTED_VALUE"""),0.4815860261736789)</f>
        <v>0.4815860262</v>
      </c>
      <c r="AU822" s="82">
        <f>IFERROR(__xludf.DUMMYFUNCTION("""COMPUTED_VALUE"""),3.1171255827969246)</f>
        <v>3.117125583</v>
      </c>
      <c r="AV822" s="82">
        <f>IFERROR(__xludf.DUMMYFUNCTION("""COMPUTED_VALUE"""),72.26674083120469)</f>
        <v>72.26674083</v>
      </c>
      <c r="AW822" s="82">
        <f t="shared" si="1"/>
        <v>5.360400778</v>
      </c>
      <c r="AX822" s="83">
        <f t="array" ref="AX822">IFERROR(DGET('SBV Import'!A:G,"SBV",{"RSC ID","Tier";B822,A822}))</f>
        <v>60.19761716</v>
      </c>
      <c r="AY822" s="82">
        <f t="shared" si="2"/>
        <v>2.926785072</v>
      </c>
      <c r="AZ822" s="82">
        <v>2.4336157058734456</v>
      </c>
      <c r="BA822" s="84">
        <v>800.0</v>
      </c>
      <c r="BB822" s="84" t="b">
        <f>IFERROR(__xludf.DUMMYFUNCTION("iferror(if(A822="""",,E822&gt;=FILTER(Constants!$F$2:$F$10,Constants!$A$2:$A$10=A822)))"),TRUE)</f>
        <v>1</v>
      </c>
    </row>
    <row r="823">
      <c r="A823" s="80" t="str">
        <f>IFERROR(__xludf.DUMMYFUNCTION("""COMPUTED_VALUE"""),"Elite")</f>
        <v>Elite</v>
      </c>
      <c r="B823" s="73" t="str">
        <f>IFERROR(__xludf.DUMMYFUNCTION("""COMPUTED_VALUE"""),"RSC003125")</f>
        <v>RSC003125</v>
      </c>
      <c r="C823" s="73" t="str">
        <f>IFERROR(__xludf.DUMMYFUNCTION("""COMPUTED_VALUE"""),"GrandPlat")</f>
        <v>GrandPlat</v>
      </c>
      <c r="D823" s="73" t="str">
        <f>IFERROR(__xludf.DUMMYFUNCTION("""COMPUTED_VALUE"""),"Despair")</f>
        <v>Despair</v>
      </c>
      <c r="E823" s="82">
        <f>IFERROR(__xludf.DUMMYFUNCTION("""COMPUTED_VALUE"""),35.0)</f>
        <v>35</v>
      </c>
      <c r="F823" s="82">
        <f>IFERROR(__xludf.DUMMYFUNCTION("""COMPUTED_VALUE"""),22.0)</f>
        <v>22</v>
      </c>
      <c r="G823" s="82">
        <f>IFERROR(__xludf.DUMMYFUNCTION("""COMPUTED_VALUE"""),13.0)</f>
        <v>13</v>
      </c>
      <c r="H823" s="86">
        <f>IFERROR(__xludf.DUMMYFUNCTION("""COMPUTED_VALUE"""),0.6285714285714286)</f>
        <v>0.6285714286</v>
      </c>
      <c r="I823" s="86">
        <f>IFERROR(__xludf.DUMMYFUNCTION("""COMPUTED_VALUE"""),0.3157894736842105)</f>
        <v>0.3157894737</v>
      </c>
      <c r="J823" s="82">
        <f>IFERROR(__xludf.DUMMYFUNCTION("""COMPUTED_VALUE"""),404.6857142857143)</f>
        <v>404.6857143</v>
      </c>
      <c r="K823" s="82">
        <f>IFERROR(__xludf.DUMMYFUNCTION("""COMPUTED_VALUE"""),0.8571428571428571)</f>
        <v>0.8571428571</v>
      </c>
      <c r="L823" s="82">
        <f>IFERROR(__xludf.DUMMYFUNCTION("""COMPUTED_VALUE"""),0.7142857142857143)</f>
        <v>0.7142857143</v>
      </c>
      <c r="M823" s="82">
        <f>IFERROR(__xludf.DUMMYFUNCTION("""COMPUTED_VALUE"""),1.6571428571428573)</f>
        <v>1.657142857</v>
      </c>
      <c r="N823" s="82">
        <f>IFERROR(__xludf.DUMMYFUNCTION("""COMPUTED_VALUE"""),2.7142857142857144)</f>
        <v>2.714285714</v>
      </c>
      <c r="O823" s="82">
        <f>IFERROR(__xludf.DUMMYFUNCTION("""COMPUTED_VALUE"""),349.752380952381)</f>
        <v>349.752381</v>
      </c>
      <c r="P823" s="82">
        <f>IFERROR(__xludf.DUMMYFUNCTION("""COMPUTED_VALUE"""),0.5809523809523808)</f>
        <v>0.580952381</v>
      </c>
      <c r="Q823" s="82">
        <f>IFERROR(__xludf.DUMMYFUNCTION("""COMPUTED_VALUE"""),0.4476190476190475)</f>
        <v>0.4476190476</v>
      </c>
      <c r="R823" s="82">
        <f>IFERROR(__xludf.DUMMYFUNCTION("""COMPUTED_VALUE"""),1.6476190476190478)</f>
        <v>1.647619048</v>
      </c>
      <c r="S823" s="82">
        <f>IFERROR(__xludf.DUMMYFUNCTION("""COMPUTED_VALUE"""),2.5047619047619047)</f>
        <v>2.504761905</v>
      </c>
      <c r="T823" s="82">
        <f>IFERROR(__xludf.DUMMYFUNCTION("""COMPUTED_VALUE"""),362.5382932734232)</f>
        <v>362.5382933</v>
      </c>
      <c r="U823" s="82">
        <f>IFERROR(__xludf.DUMMYFUNCTION("""COMPUTED_VALUE"""),0.7147151828411962)</f>
        <v>0.7147151828</v>
      </c>
      <c r="V823" s="82">
        <f>IFERROR(__xludf.DUMMYFUNCTION("""COMPUTED_VALUE"""),0.5847223826274309)</f>
        <v>0.5847223826</v>
      </c>
      <c r="W823" s="82">
        <f>IFERROR(__xludf.DUMMYFUNCTION("""COMPUTED_VALUE"""),1.561430853829654)</f>
        <v>1.561430854</v>
      </c>
      <c r="X823" s="82">
        <f>IFERROR(__xludf.DUMMYFUNCTION("""COMPUTED_VALUE"""),2.6325478414824093)</f>
        <v>2.632547841</v>
      </c>
      <c r="Y823" s="82">
        <f>IFERROR(__xludf.DUMMYFUNCTION("""COMPUTED_VALUE"""),366.0636532479072)</f>
        <v>366.0636532</v>
      </c>
      <c r="Z823" s="82">
        <f>IFERROR(__xludf.DUMMYFUNCTION("""COMPUTED_VALUE"""),0.792335276005052)</f>
        <v>0.792335276</v>
      </c>
      <c r="AA823" s="82">
        <f>IFERROR(__xludf.DUMMYFUNCTION("""COMPUTED_VALUE"""),0.5878077312680805)</f>
        <v>0.5878077313</v>
      </c>
      <c r="AB823" s="82">
        <f>IFERROR(__xludf.DUMMYFUNCTION("""COMPUTED_VALUE"""),1.4185508715567736)</f>
        <v>1.418550872</v>
      </c>
      <c r="AC823" s="82">
        <f>IFERROR(__xludf.DUMMYFUNCTION("""COMPUTED_VALUE"""),2.7763780438708854)</f>
        <v>2.776378044</v>
      </c>
      <c r="AD823" s="82">
        <f>IFERROR(__xludf.DUMMYFUNCTION("""COMPUTED_VALUE"""),1.1055064076838332)</f>
        <v>1.105506408</v>
      </c>
      <c r="AE823" s="82">
        <f>IFERROR(__xludf.DUMMYFUNCTION("""COMPUTED_VALUE"""),1.0817931286166689)</f>
        <v>1.081793129</v>
      </c>
      <c r="AF823" s="82">
        <f>IFERROR(__xludf.DUMMYFUNCTION("""COMPUTED_VALUE"""),1.215168968167163)</f>
        <v>1.215168968</v>
      </c>
      <c r="AG823" s="82">
        <f>IFERROR(__xludf.DUMMYFUNCTION("""COMPUTED_VALUE"""),1.1681941693950273)</f>
        <v>1.168194169</v>
      </c>
      <c r="AH823" s="82">
        <f>IFERROR(__xludf.DUMMYFUNCTION("""COMPUTED_VALUE"""),0.9776354917795703)</f>
        <v>0.9776354918</v>
      </c>
      <c r="AI823" s="82">
        <f>IFERROR(__xludf.DUMMYFUNCTION("""COMPUTED_VALUE"""),0.9647322433015394)</f>
        <v>0.9647322433</v>
      </c>
      <c r="AJ823" s="82">
        <f>IFERROR(__xludf.DUMMYFUNCTION("""COMPUTED_VALUE"""),0.8128446056552623)</f>
        <v>0.8128446057</v>
      </c>
      <c r="AK823" s="82">
        <f>IFERROR(__xludf.DUMMYFUNCTION("""COMPUTED_VALUE"""),0.7655240519572484)</f>
        <v>0.765524052</v>
      </c>
      <c r="AL823" s="82">
        <f>IFERROR(__xludf.DUMMYFUNCTION("""COMPUTED_VALUE"""),1.0551982135987665)</f>
        <v>1.055198214</v>
      </c>
      <c r="AM823" s="82">
        <f>IFERROR(__xludf.DUMMYFUNCTION("""COMPUTED_VALUE"""),0.9514592157806533)</f>
        <v>0.9514592158</v>
      </c>
      <c r="AN823" s="82">
        <f>IFERROR(__xludf.DUMMYFUNCTION("""COMPUTED_VALUE"""),1.1473649082619362)</f>
        <v>1.147364908</v>
      </c>
      <c r="AO823" s="82">
        <f>IFERROR(__xludf.DUMMYFUNCTION("""COMPUTED_VALUE"""),1.2018491935839524)</f>
        <v>1.201849194</v>
      </c>
      <c r="AP823" s="82">
        <f>IFERROR(__xludf.DUMMYFUNCTION("""COMPUTED_VALUE"""),1.242070906262704)</f>
        <v>1.242070906</v>
      </c>
      <c r="AQ823" s="82">
        <f>IFERROR(__xludf.DUMMYFUNCTION("""COMPUTED_VALUE"""),1.1616698463727206)</f>
        <v>1.161669846</v>
      </c>
      <c r="AR823" s="82">
        <f>IFERROR(__xludf.DUMMYFUNCTION("""COMPUTED_VALUE"""),1.0774778658773951)</f>
        <v>1.077477866</v>
      </c>
      <c r="AS823" s="82">
        <f>IFERROR(__xludf.DUMMYFUNCTION("""COMPUTED_VALUE"""),90.0)</f>
        <v>90</v>
      </c>
      <c r="AT823" s="82">
        <f>IFERROR(__xludf.DUMMYFUNCTION("""COMPUTED_VALUE"""),0.6437536137283388)</f>
        <v>0.6437536137</v>
      </c>
      <c r="AU823" s="82">
        <f>IFERROR(__xludf.DUMMYFUNCTION("""COMPUTED_VALUE"""),3.0610200712203803)</f>
        <v>3.061020071</v>
      </c>
      <c r="AV823" s="82">
        <f>IFERROR(__xludf.DUMMYFUNCTION("""COMPUTED_VALUE"""),70.69020630235441)</f>
        <v>70.6902063</v>
      </c>
      <c r="AW823" s="82">
        <f t="shared" si="1"/>
        <v>4.903253977</v>
      </c>
      <c r="AX823" s="83">
        <f t="array" ref="AX823">IFERROR(DGET('SBV Import'!A:G,"SBV",{"RSC ID","Tier";B823,A823}))</f>
        <v>62.8767544</v>
      </c>
      <c r="AY823" s="82">
        <f t="shared" si="2"/>
        <v>3.29758758</v>
      </c>
      <c r="AZ823" s="82">
        <v>1.6056663977129406</v>
      </c>
      <c r="BA823" s="84">
        <v>800.0</v>
      </c>
      <c r="BB823" s="84" t="b">
        <f>IFERROR(__xludf.DUMMYFUNCTION("iferror(if(A823="""",,E823&gt;=FILTER(Constants!$F$2:$F$10,Constants!$A$2:$A$10=A823)))"),TRUE)</f>
        <v>1</v>
      </c>
    </row>
    <row r="824">
      <c r="A824" s="80" t="str">
        <f>IFERROR(__xludf.DUMMYFUNCTION("""COMPUTED_VALUE"""),"Elite")</f>
        <v>Elite</v>
      </c>
      <c r="B824" s="73" t="str">
        <f>IFERROR(__xludf.DUMMYFUNCTION("""COMPUTED_VALUE"""),"RSC005024")</f>
        <v>RSC005024</v>
      </c>
      <c r="C824" s="73" t="str">
        <f>IFERROR(__xludf.DUMMYFUNCTION("""COMPUTED_VALUE"""),"SSpekky")</f>
        <v>SSpekky</v>
      </c>
      <c r="D824" s="73" t="str">
        <f>IFERROR(__xludf.DUMMYFUNCTION("""COMPUTED_VALUE"""),"Wyverns")</f>
        <v>Wyverns</v>
      </c>
      <c r="E824" s="82">
        <f>IFERROR(__xludf.DUMMYFUNCTION("""COMPUTED_VALUE"""),33.0)</f>
        <v>33</v>
      </c>
      <c r="F824" s="82">
        <f>IFERROR(__xludf.DUMMYFUNCTION("""COMPUTED_VALUE"""),18.0)</f>
        <v>18</v>
      </c>
      <c r="G824" s="82">
        <f>IFERROR(__xludf.DUMMYFUNCTION("""COMPUTED_VALUE"""),15.0)</f>
        <v>15</v>
      </c>
      <c r="H824" s="86">
        <f>IFERROR(__xludf.DUMMYFUNCTION("""COMPUTED_VALUE"""),0.5454545454545454)</f>
        <v>0.5454545455</v>
      </c>
      <c r="I824" s="86">
        <f>IFERROR(__xludf.DUMMYFUNCTION("""COMPUTED_VALUE"""),0.2916666666666667)</f>
        <v>0.2916666667</v>
      </c>
      <c r="J824" s="82">
        <f>IFERROR(__xludf.DUMMYFUNCTION("""COMPUTED_VALUE"""),386.09090909090907)</f>
        <v>386.0909091</v>
      </c>
      <c r="K824" s="82">
        <f>IFERROR(__xludf.DUMMYFUNCTION("""COMPUTED_VALUE"""),0.8484848484848485)</f>
        <v>0.8484848485</v>
      </c>
      <c r="L824" s="82">
        <f>IFERROR(__xludf.DUMMYFUNCTION("""COMPUTED_VALUE"""),0.5454545454545454)</f>
        <v>0.5454545455</v>
      </c>
      <c r="M824" s="82">
        <f>IFERROR(__xludf.DUMMYFUNCTION("""COMPUTED_VALUE"""),1.4242424242424243)</f>
        <v>1.424242424</v>
      </c>
      <c r="N824" s="82">
        <f>IFERROR(__xludf.DUMMYFUNCTION("""COMPUTED_VALUE"""),2.909090909090909)</f>
        <v>2.909090909</v>
      </c>
      <c r="O824" s="82">
        <f>IFERROR(__xludf.DUMMYFUNCTION("""COMPUTED_VALUE"""),345.5858585858586)</f>
        <v>345.5858586</v>
      </c>
      <c r="P824" s="82">
        <f>IFERROR(__xludf.DUMMYFUNCTION("""COMPUTED_VALUE"""),0.6666666666666664)</f>
        <v>0.6666666667</v>
      </c>
      <c r="Q824" s="82">
        <f>IFERROR(__xludf.DUMMYFUNCTION("""COMPUTED_VALUE"""),0.5151515151515151)</f>
        <v>0.5151515152</v>
      </c>
      <c r="R824" s="82">
        <f>IFERROR(__xludf.DUMMYFUNCTION("""COMPUTED_VALUE"""),1.424242424242424)</f>
        <v>1.424242424</v>
      </c>
      <c r="S824" s="82">
        <f>IFERROR(__xludf.DUMMYFUNCTION("""COMPUTED_VALUE"""),2.464646464646465)</f>
        <v>2.464646465</v>
      </c>
      <c r="T824" s="82">
        <f>IFERROR(__xludf.DUMMYFUNCTION("""COMPUTED_VALUE"""),358.4766628530838)</f>
        <v>358.4766629</v>
      </c>
      <c r="U824" s="82">
        <f>IFERROR(__xludf.DUMMYFUNCTION("""COMPUTED_VALUE"""),0.7996476310803966)</f>
        <v>0.7996476311</v>
      </c>
      <c r="V824" s="82">
        <f>IFERROR(__xludf.DUMMYFUNCTION("""COMPUTED_VALUE"""),0.6066901779391877)</f>
        <v>0.6066901779</v>
      </c>
      <c r="W824" s="82">
        <f>IFERROR(__xludf.DUMMYFUNCTION("""COMPUTED_VALUE"""),1.3155608481781564)</f>
        <v>1.315560848</v>
      </c>
      <c r="X824" s="82">
        <f>IFERROR(__xludf.DUMMYFUNCTION("""COMPUTED_VALUE"""),2.7295695257142008)</f>
        <v>2.729569526</v>
      </c>
      <c r="Y824" s="82">
        <f>IFERROR(__xludf.DUMMYFUNCTION("""COMPUTED_VALUE"""),354.00876783917835)</f>
        <v>354.0087678</v>
      </c>
      <c r="Z824" s="82">
        <f>IFERROR(__xludf.DUMMYFUNCTION("""COMPUTED_VALUE"""),0.712617608867042)</f>
        <v>0.7126176089</v>
      </c>
      <c r="AA824" s="82">
        <f>IFERROR(__xludf.DUMMYFUNCTION("""COMPUTED_VALUE"""),0.534423211724622)</f>
        <v>0.5344232117</v>
      </c>
      <c r="AB824" s="82">
        <f>IFERROR(__xludf.DUMMYFUNCTION("""COMPUTED_VALUE"""),1.505487141774278)</f>
        <v>1.505487142</v>
      </c>
      <c r="AC824" s="82">
        <f>IFERROR(__xludf.DUMMYFUNCTION("""COMPUTED_VALUE"""),2.476090944295606)</f>
        <v>2.476090944</v>
      </c>
      <c r="AD824" s="82">
        <f>IFERROR(__xludf.DUMMYFUNCTION("""COMPUTED_VALUE"""),1.0906252730618955)</f>
        <v>1.090625273</v>
      </c>
      <c r="AE824" s="82">
        <f>IFERROR(__xludf.DUMMYFUNCTION("""COMPUTED_VALUE"""),1.190659391414444)</f>
        <v>1.190659391</v>
      </c>
      <c r="AF824" s="82">
        <f>IFERROR(__xludf.DUMMYFUNCTION("""COMPUTED_VALUE"""),1.0206415692430808)</f>
        <v>1.020641569</v>
      </c>
      <c r="AG824" s="82">
        <f>IFERROR(__xludf.DUMMYFUNCTION("""COMPUTED_VALUE"""),0.946034266731695)</f>
        <v>0.9460342667</v>
      </c>
      <c r="AH824" s="82">
        <f>IFERROR(__xludf.DUMMYFUNCTION("""COMPUTED_VALUE"""),1.1748723994943904)</f>
        <v>1.174872399</v>
      </c>
      <c r="AI824" s="82">
        <f>IFERROR(__xludf.DUMMYFUNCTION("""COMPUTED_VALUE"""),0.9640400461089198)</f>
        <v>0.9640400461</v>
      </c>
      <c r="AJ824" s="82">
        <f>IFERROR(__xludf.DUMMYFUNCTION("""COMPUTED_VALUE"""),0.8337005460341815)</f>
        <v>0.833700546</v>
      </c>
      <c r="AK824" s="82">
        <f>IFERROR(__xludf.DUMMYFUNCTION("""COMPUTED_VALUE"""),0.8491179417167884)</f>
        <v>0.8491179417</v>
      </c>
      <c r="AL824" s="82">
        <f>IFERROR(__xludf.DUMMYFUNCTION("""COMPUTED_VALUE"""),1.082612352149864)</f>
        <v>1.082612352</v>
      </c>
      <c r="AM824" s="82">
        <f>IFERROR(__xludf.DUMMYFUNCTION("""COMPUTED_VALUE"""),0.9029432815057467)</f>
        <v>0.9029432815</v>
      </c>
      <c r="AN824" s="82">
        <f>IFERROR(__xludf.DUMMYFUNCTION("""COMPUTED_VALUE"""),1.0946449179006668)</f>
        <v>1.094644918</v>
      </c>
      <c r="AO824" s="82">
        <f>IFERROR(__xludf.DUMMYFUNCTION("""COMPUTED_VALUE"""),1.1897093027396701)</f>
        <v>1.189709303</v>
      </c>
      <c r="AP824" s="82">
        <f>IFERROR(__xludf.DUMMYFUNCTION("""COMPUTED_VALUE"""),0.9484905102369738)</f>
        <v>0.9484905102</v>
      </c>
      <c r="AQ824" s="82">
        <f>IFERROR(__xludf.DUMMYFUNCTION("""COMPUTED_VALUE"""),0.9984048575146945)</f>
        <v>0.9984048575</v>
      </c>
      <c r="AR824" s="82">
        <f>IFERROR(__xludf.DUMMYFUNCTION("""COMPUTED_VALUE"""),1.1548088131891698)</f>
        <v>1.154808813</v>
      </c>
      <c r="AS824" s="82">
        <f>IFERROR(__xludf.DUMMYFUNCTION("""COMPUTED_VALUE"""),78.0)</f>
        <v>78</v>
      </c>
      <c r="AT824" s="82">
        <f>IFERROR(__xludf.DUMMYFUNCTION("""COMPUTED_VALUE"""),0.5634000638881176)</f>
        <v>0.5634000639</v>
      </c>
      <c r="AU824" s="82">
        <f>IFERROR(__xludf.DUMMYFUNCTION("""COMPUTED_VALUE"""),3.0478090587565845)</f>
        <v>3.047809059</v>
      </c>
      <c r="AV824" s="82">
        <f>IFERROR(__xludf.DUMMYFUNCTION("""COMPUTED_VALUE"""),70.31898399771808)</f>
        <v>70.318984</v>
      </c>
      <c r="AW824" s="82">
        <f t="shared" si="1"/>
        <v>4.803581085</v>
      </c>
      <c r="AX824" s="83">
        <f t="array" ref="AX824">IFERROR(DGET('SBV Import'!A:G,"SBV",{"RSC ID","Tier";B824,A824}))</f>
        <v>66.72553214</v>
      </c>
      <c r="AY824" s="82">
        <f t="shared" si="2"/>
        <v>3.972337437</v>
      </c>
      <c r="AZ824" s="82">
        <v>0.8312436483655894</v>
      </c>
      <c r="BA824" s="84">
        <v>800.0</v>
      </c>
      <c r="BB824" s="84" t="b">
        <f>IFERROR(__xludf.DUMMYFUNCTION("iferror(if(A824="""",,E824&gt;=FILTER(Constants!$F$2:$F$10,Constants!$A$2:$A$10=A824)))"),TRUE)</f>
        <v>1</v>
      </c>
    </row>
    <row r="825">
      <c r="A825" s="80" t="str">
        <f>IFERROR(__xludf.DUMMYFUNCTION("""COMPUTED_VALUE"""),"Elite")</f>
        <v>Elite</v>
      </c>
      <c r="B825" s="73" t="str">
        <f>IFERROR(__xludf.DUMMYFUNCTION("""COMPUTED_VALUE"""),"RSC006783")</f>
        <v>RSC006783</v>
      </c>
      <c r="C825" s="73" t="str">
        <f>IFERROR(__xludf.DUMMYFUNCTION("""COMPUTED_VALUE"""),"ImSouperGreat")</f>
        <v>ImSouperGreat</v>
      </c>
      <c r="D825" s="73" t="str">
        <f>IFERROR(__xludf.DUMMYFUNCTION("""COMPUTED_VALUE"""),"Sloths")</f>
        <v>Sloths</v>
      </c>
      <c r="E825" s="82">
        <f>IFERROR(__xludf.DUMMYFUNCTION("""COMPUTED_VALUE"""),36.0)</f>
        <v>36</v>
      </c>
      <c r="F825" s="82">
        <f>IFERROR(__xludf.DUMMYFUNCTION("""COMPUTED_VALUE"""),20.0)</f>
        <v>20</v>
      </c>
      <c r="G825" s="82">
        <f>IFERROR(__xludf.DUMMYFUNCTION("""COMPUTED_VALUE"""),16.0)</f>
        <v>16</v>
      </c>
      <c r="H825" s="86">
        <f>IFERROR(__xludf.DUMMYFUNCTION("""COMPUTED_VALUE"""),0.5555555555555556)</f>
        <v>0.5555555556</v>
      </c>
      <c r="I825" s="86">
        <f>IFERROR(__xludf.DUMMYFUNCTION("""COMPUTED_VALUE"""),0.34285714285714286)</f>
        <v>0.3428571429</v>
      </c>
      <c r="J825" s="82">
        <f>IFERROR(__xludf.DUMMYFUNCTION("""COMPUTED_VALUE"""),419.75)</f>
        <v>419.75</v>
      </c>
      <c r="K825" s="82">
        <f>IFERROR(__xludf.DUMMYFUNCTION("""COMPUTED_VALUE"""),1.0)</f>
        <v>1</v>
      </c>
      <c r="L825" s="82">
        <f>IFERROR(__xludf.DUMMYFUNCTION("""COMPUTED_VALUE"""),0.5277777777777778)</f>
        <v>0.5277777778</v>
      </c>
      <c r="M825" s="82">
        <f>IFERROR(__xludf.DUMMYFUNCTION("""COMPUTED_VALUE"""),1.8611111111111112)</f>
        <v>1.861111111</v>
      </c>
      <c r="N825" s="82">
        <f>IFERROR(__xludf.DUMMYFUNCTION("""COMPUTED_VALUE"""),2.9166666666666665)</f>
        <v>2.916666667</v>
      </c>
      <c r="O825" s="82">
        <f>IFERROR(__xludf.DUMMYFUNCTION("""COMPUTED_VALUE"""),360.9351851851853)</f>
        <v>360.9351852</v>
      </c>
      <c r="P825" s="82">
        <f>IFERROR(__xludf.DUMMYFUNCTION("""COMPUTED_VALUE"""),0.685185185185185)</f>
        <v>0.6851851852</v>
      </c>
      <c r="Q825" s="82">
        <f>IFERROR(__xludf.DUMMYFUNCTION("""COMPUTED_VALUE"""),0.5462962962962964)</f>
        <v>0.5462962963</v>
      </c>
      <c r="R825" s="82">
        <f>IFERROR(__xludf.DUMMYFUNCTION("""COMPUTED_VALUE"""),1.5648148148148149)</f>
        <v>1.564814815</v>
      </c>
      <c r="S825" s="82">
        <f>IFERROR(__xludf.DUMMYFUNCTION("""COMPUTED_VALUE"""),2.611111111111111)</f>
        <v>2.611111111</v>
      </c>
      <c r="T825" s="82">
        <f>IFERROR(__xludf.DUMMYFUNCTION("""COMPUTED_VALUE"""),360.4181224194023)</f>
        <v>360.4181224</v>
      </c>
      <c r="U825" s="82">
        <f>IFERROR(__xludf.DUMMYFUNCTION("""COMPUTED_VALUE"""),0.7406160470012418)</f>
        <v>0.740616047</v>
      </c>
      <c r="V825" s="82">
        <f>IFERROR(__xludf.DUMMYFUNCTION("""COMPUTED_VALUE"""),0.5597078584627698)</f>
        <v>0.5597078585</v>
      </c>
      <c r="W825" s="82">
        <f>IFERROR(__xludf.DUMMYFUNCTION("""COMPUTED_VALUE"""),1.4781881534079468)</f>
        <v>1.478188153</v>
      </c>
      <c r="X825" s="82">
        <f>IFERROR(__xludf.DUMMYFUNCTION("""COMPUTED_VALUE"""),2.53481197097043)</f>
        <v>2.534811971</v>
      </c>
      <c r="Y825" s="82">
        <f>IFERROR(__xludf.DUMMYFUNCTION("""COMPUTED_VALUE"""),372.2010010490547)</f>
        <v>372.201001</v>
      </c>
      <c r="Z825" s="82">
        <f>IFERROR(__xludf.DUMMYFUNCTION("""COMPUTED_VALUE"""),0.8244855945955659)</f>
        <v>0.8244855946</v>
      </c>
      <c r="AA825" s="82">
        <f>IFERROR(__xludf.DUMMYFUNCTION("""COMPUTED_VALUE"""),0.6064958364779425)</f>
        <v>0.6064958365</v>
      </c>
      <c r="AB825" s="82">
        <f>IFERROR(__xludf.DUMMYFUNCTION("""COMPUTED_VALUE"""),1.442983676061934)</f>
        <v>1.442983676</v>
      </c>
      <c r="AC825" s="82">
        <f>IFERROR(__xludf.DUMMYFUNCTION("""COMPUTED_VALUE"""),2.7763475920960845)</f>
        <v>2.776347592</v>
      </c>
      <c r="AD825" s="82">
        <f>IFERROR(__xludf.DUMMYFUNCTION("""COMPUTED_VALUE"""),1.1277508626170474)</f>
        <v>1.127750863</v>
      </c>
      <c r="AE825" s="82">
        <f>IFERROR(__xludf.DUMMYFUNCTION("""COMPUTED_VALUE"""),1.2128774675445106)</f>
        <v>1.212877468</v>
      </c>
      <c r="AF825" s="82">
        <f>IFERROR(__xludf.DUMMYFUNCTION("""COMPUTED_VALUE"""),0.8702084104034447)</f>
        <v>0.8702084104</v>
      </c>
      <c r="AG825" s="82">
        <f>IFERROR(__xludf.DUMMYFUNCTION("""COMPUTED_VALUE"""),1.2897658802283158)</f>
        <v>1.28976588</v>
      </c>
      <c r="AH825" s="82">
        <f>IFERROR(__xludf.DUMMYFUNCTION("""COMPUTED_VALUE"""),1.050540888673325)</f>
        <v>1.050540889</v>
      </c>
      <c r="AI825" s="82">
        <f>IFERROR(__xludf.DUMMYFUNCTION("""COMPUTED_VALUE"""),1.0014346192203434)</f>
        <v>1.001434619</v>
      </c>
      <c r="AJ825" s="82">
        <f>IFERROR(__xludf.DUMMYFUNCTION("""COMPUTED_VALUE"""),0.9251557375235162)</f>
        <v>0.9251557375</v>
      </c>
      <c r="AK825" s="82">
        <f>IFERROR(__xludf.DUMMYFUNCTION("""COMPUTED_VALUE"""),0.9760382814647125)</f>
        <v>0.9760382815</v>
      </c>
      <c r="AL825" s="82">
        <f>IFERROR(__xludf.DUMMYFUNCTION("""COMPUTED_VALUE"""),1.0586032713137032)</f>
        <v>1.058603271</v>
      </c>
      <c r="AM825" s="82">
        <f>IFERROR(__xludf.DUMMYFUNCTION("""COMPUTED_VALUE"""),1.0301005127853609)</f>
        <v>1.030100513</v>
      </c>
      <c r="AN825" s="82">
        <f>IFERROR(__xludf.DUMMYFUNCTION("""COMPUTED_VALUE"""),1.1900751700439967)</f>
        <v>1.19007517</v>
      </c>
      <c r="AO825" s="82">
        <f>IFERROR(__xludf.DUMMYFUNCTION("""COMPUTED_VALUE"""),1.4021573925146114)</f>
        <v>1.402157393</v>
      </c>
      <c r="AP825" s="82">
        <f>IFERROR(__xludf.DUMMYFUNCTION("""COMPUTED_VALUE"""),0.9177523918496646)</f>
        <v>0.9177523918</v>
      </c>
      <c r="AQ825" s="82">
        <f>IFERROR(__xludf.DUMMYFUNCTION("""COMPUTED_VALUE"""),1.304653156007677)</f>
        <v>1.304653156</v>
      </c>
      <c r="AR825" s="82">
        <f>IFERROR(__xludf.DUMMYFUNCTION("""COMPUTED_VALUE"""),1.15781612780685)</f>
        <v>1.157816128</v>
      </c>
      <c r="AS825" s="82">
        <f>IFERROR(__xludf.DUMMYFUNCTION("""COMPUTED_VALUE"""),88.0)</f>
        <v>88</v>
      </c>
      <c r="AT825" s="82">
        <f>IFERROR(__xludf.DUMMYFUNCTION("""COMPUTED_VALUE"""),0.5663092322286509)</f>
        <v>0.5663092322</v>
      </c>
      <c r="AU825" s="82">
        <f>IFERROR(__xludf.DUMMYFUNCTION("""COMPUTED_VALUE"""),3.023367800419325)</f>
        <v>3.0233678</v>
      </c>
      <c r="AV825" s="82">
        <f>IFERROR(__xludf.DUMMYFUNCTION("""COMPUTED_VALUE"""),69.63219785827312)</f>
        <v>69.63219786</v>
      </c>
      <c r="AW825" s="82">
        <f t="shared" si="1"/>
        <v>4.626579727</v>
      </c>
      <c r="AX825" s="83">
        <f t="array" ref="AX825">IFERROR(DGET('SBV Import'!A:G,"SBV",{"RSC ID","Tier";B825,A825}))</f>
        <v>59.64036297</v>
      </c>
      <c r="AY825" s="82">
        <f t="shared" si="2"/>
        <v>2.858032199</v>
      </c>
      <c r="AZ825" s="82">
        <v>1.7685475275399005</v>
      </c>
      <c r="BA825" s="84">
        <v>800.0</v>
      </c>
      <c r="BB825" s="84" t="b">
        <f>IFERROR(__xludf.DUMMYFUNCTION("iferror(if(A825="""",,E825&gt;=FILTER(Constants!$F$2:$F$10,Constants!$A$2:$A$10=A825)))"),TRUE)</f>
        <v>1</v>
      </c>
    </row>
    <row r="826">
      <c r="A826" s="80" t="str">
        <f>IFERROR(__xludf.DUMMYFUNCTION("""COMPUTED_VALUE"""),"Elite")</f>
        <v>Elite</v>
      </c>
      <c r="B826" s="73" t="str">
        <f>IFERROR(__xludf.DUMMYFUNCTION("""COMPUTED_VALUE"""),"RSC007868")</f>
        <v>RSC007868</v>
      </c>
      <c r="C826" s="73" t="str">
        <f>IFERROR(__xludf.DUMMYFUNCTION("""COMPUTED_VALUE"""),"JayX")</f>
        <v>JayX</v>
      </c>
      <c r="D826" s="73" t="str">
        <f>IFERROR(__xludf.DUMMYFUNCTION("""COMPUTED_VALUE"""),"Afterburners")</f>
        <v>Afterburners</v>
      </c>
      <c r="E826" s="82">
        <f>IFERROR(__xludf.DUMMYFUNCTION("""COMPUTED_VALUE"""),37.0)</f>
        <v>37</v>
      </c>
      <c r="F826" s="82">
        <f>IFERROR(__xludf.DUMMYFUNCTION("""COMPUTED_VALUE"""),19.0)</f>
        <v>19</v>
      </c>
      <c r="G826" s="82">
        <f>IFERROR(__xludf.DUMMYFUNCTION("""COMPUTED_VALUE"""),18.0)</f>
        <v>18</v>
      </c>
      <c r="H826" s="86">
        <f>IFERROR(__xludf.DUMMYFUNCTION("""COMPUTED_VALUE"""),0.5135135135135135)</f>
        <v>0.5135135135</v>
      </c>
      <c r="I826" s="86">
        <f>IFERROR(__xludf.DUMMYFUNCTION("""COMPUTED_VALUE"""),0.3513513513513513)</f>
        <v>0.3513513514</v>
      </c>
      <c r="J826" s="82">
        <f>IFERROR(__xludf.DUMMYFUNCTION("""COMPUTED_VALUE"""),377.2972972972973)</f>
        <v>377.2972973</v>
      </c>
      <c r="K826" s="82">
        <f>IFERROR(__xludf.DUMMYFUNCTION("""COMPUTED_VALUE"""),1.054054054054054)</f>
        <v>1.054054054</v>
      </c>
      <c r="L826" s="82">
        <f>IFERROR(__xludf.DUMMYFUNCTION("""COMPUTED_VALUE"""),0.5135135135135135)</f>
        <v>0.5135135135</v>
      </c>
      <c r="M826" s="82">
        <f>IFERROR(__xludf.DUMMYFUNCTION("""COMPUTED_VALUE"""),1.3243243243243243)</f>
        <v>1.324324324</v>
      </c>
      <c r="N826" s="82">
        <f>IFERROR(__xludf.DUMMYFUNCTION("""COMPUTED_VALUE"""),3.0)</f>
        <v>3</v>
      </c>
      <c r="O826" s="82">
        <f>IFERROR(__xludf.DUMMYFUNCTION("""COMPUTED_VALUE"""),368.036036036036)</f>
        <v>368.036036</v>
      </c>
      <c r="P826" s="82">
        <f>IFERROR(__xludf.DUMMYFUNCTION("""COMPUTED_VALUE"""),0.7657657657657658)</f>
        <v>0.7657657658</v>
      </c>
      <c r="Q826" s="82">
        <f>IFERROR(__xludf.DUMMYFUNCTION("""COMPUTED_VALUE"""),0.5675675675675678)</f>
        <v>0.5675675676</v>
      </c>
      <c r="R826" s="82">
        <f>IFERROR(__xludf.DUMMYFUNCTION("""COMPUTED_VALUE"""),1.5765765765765767)</f>
        <v>1.576576577</v>
      </c>
      <c r="S826" s="82">
        <f>IFERROR(__xludf.DUMMYFUNCTION("""COMPUTED_VALUE"""),2.63963963963964)</f>
        <v>2.63963964</v>
      </c>
      <c r="T826" s="82">
        <f>IFERROR(__xludf.DUMMYFUNCTION("""COMPUTED_VALUE"""),358.29836057306244)</f>
        <v>358.2983606</v>
      </c>
      <c r="U826" s="82">
        <f>IFERROR(__xludf.DUMMYFUNCTION("""COMPUTED_VALUE"""),0.774409342216165)</f>
        <v>0.7744093422</v>
      </c>
      <c r="V826" s="82">
        <f>IFERROR(__xludf.DUMMYFUNCTION("""COMPUTED_VALUE"""),0.5959977961908208)</f>
        <v>0.5959977962</v>
      </c>
      <c r="W826" s="82">
        <f>IFERROR(__xludf.DUMMYFUNCTION("""COMPUTED_VALUE"""),1.432841443613107)</f>
        <v>1.432841444</v>
      </c>
      <c r="X826" s="82">
        <f>IFERROR(__xludf.DUMMYFUNCTION("""COMPUTED_VALUE"""),2.619219199321819)</f>
        <v>2.619219199</v>
      </c>
      <c r="Y826" s="82">
        <f>IFERROR(__xludf.DUMMYFUNCTION("""COMPUTED_VALUE"""),369.48330910982156)</f>
        <v>369.4833091</v>
      </c>
      <c r="Z826" s="82">
        <f>IFERROR(__xludf.DUMMYFUNCTION("""COMPUTED_VALUE"""),0.8396295783962907)</f>
        <v>0.8396295784</v>
      </c>
      <c r="AA826" s="82">
        <f>IFERROR(__xludf.DUMMYFUNCTION("""COMPUTED_VALUE"""),0.6319273900001945)</f>
        <v>0.63192739</v>
      </c>
      <c r="AB826" s="82">
        <f>IFERROR(__xludf.DUMMYFUNCTION("""COMPUTED_VALUE"""),1.433963379392506)</f>
        <v>1.433963379</v>
      </c>
      <c r="AC826" s="82">
        <f>IFERROR(__xludf.DUMMYFUNCTION("""COMPUTED_VALUE"""),2.6953387327648484)</f>
        <v>2.695338733</v>
      </c>
      <c r="AD826" s="82">
        <f>IFERROR(__xludf.DUMMYFUNCTION("""COMPUTED_VALUE"""),1.0211484199551573)</f>
        <v>1.02114842</v>
      </c>
      <c r="AE826" s="82">
        <f>IFERROR(__xludf.DUMMYFUNCTION("""COMPUTED_VALUE"""),1.2553798498467839)</f>
        <v>1.25537985</v>
      </c>
      <c r="AF826" s="82">
        <f>IFERROR(__xludf.DUMMYFUNCTION("""COMPUTED_VALUE"""),0.8126147428320134)</f>
        <v>0.8126147428</v>
      </c>
      <c r="AG826" s="82">
        <f>IFERROR(__xludf.DUMMYFUNCTION("""COMPUTED_VALUE"""),0.9235412447459922)</f>
        <v>0.9235412447</v>
      </c>
      <c r="AH826" s="82">
        <f>IFERROR(__xludf.DUMMYFUNCTION("""COMPUTED_VALUE"""),1.113032645408035)</f>
        <v>1.113032645</v>
      </c>
      <c r="AI826" s="82">
        <f>IFERROR(__xludf.DUMMYFUNCTION("""COMPUTED_VALUE"""),1.0271775607552296)</f>
        <v>1.027177561</v>
      </c>
      <c r="AJ826" s="82">
        <f>IFERROR(__xludf.DUMMYFUNCTION("""COMPUTED_VALUE"""),0.9888384915067483)</f>
        <v>0.9888384915</v>
      </c>
      <c r="AK826" s="82">
        <f>IFERROR(__xludf.DUMMYFUNCTION("""COMPUTED_VALUE"""),0.952298097736337)</f>
        <v>0.9522980977</v>
      </c>
      <c r="AL826" s="82">
        <f>IFERROR(__xludf.DUMMYFUNCTION("""COMPUTED_VALUE"""),1.1003147512267804)</f>
        <v>1.100314751</v>
      </c>
      <c r="AM826" s="82">
        <f>IFERROR(__xludf.DUMMYFUNCTION("""COMPUTED_VALUE"""),1.007796384633676)</f>
        <v>1.007796385</v>
      </c>
      <c r="AN826" s="82">
        <f>IFERROR(__xludf.DUMMYFUNCTION("""COMPUTED_VALUE"""),1.0697132703709862)</f>
        <v>1.06971327</v>
      </c>
      <c r="AO826" s="82">
        <f>IFERROR(__xludf.DUMMYFUNCTION("""COMPUTED_VALUE"""),1.4779496840018873)</f>
        <v>1.477949684</v>
      </c>
      <c r="AP826" s="82">
        <f>IFERROR(__xludf.DUMMYFUNCTION("""COMPUTED_VALUE"""),0.892948273151025)</f>
        <v>0.8929482732</v>
      </c>
      <c r="AQ826" s="82">
        <f>IFERROR(__xludf.DUMMYFUNCTION("""COMPUTED_VALUE"""),0.9283615035084882)</f>
        <v>0.9283615035</v>
      </c>
      <c r="AR826" s="82">
        <f>IFERROR(__xludf.DUMMYFUNCTION("""COMPUTED_VALUE"""),1.1908965886013314)</f>
        <v>1.190896589</v>
      </c>
      <c r="AS826" s="82">
        <f>IFERROR(__xludf.DUMMYFUNCTION("""COMPUTED_VALUE"""),93.0)</f>
        <v>93</v>
      </c>
      <c r="AT826" s="82">
        <f>IFERROR(__xludf.DUMMYFUNCTION("""COMPUTED_VALUE"""),0.5352377959923097)</f>
        <v>0.535237796</v>
      </c>
      <c r="AU826" s="82">
        <f>IFERROR(__xludf.DUMMYFUNCTION("""COMPUTED_VALUE"""),3.006634498925228)</f>
        <v>3.006634499</v>
      </c>
      <c r="AV826" s="82">
        <f>IFERROR(__xludf.DUMMYFUNCTION("""COMPUTED_VALUE"""),69.16200113702737)</f>
        <v>69.16200114</v>
      </c>
      <c r="AW826" s="82">
        <f t="shared" si="1"/>
        <v>4.510694308</v>
      </c>
      <c r="AX826" s="83">
        <f t="array" ref="AX826">IFERROR(DGET('SBV Import'!A:G,"SBV",{"RSC ID","Tier";B826,A826}))</f>
        <v>50.45989334</v>
      </c>
      <c r="AY826" s="82">
        <f t="shared" si="2"/>
        <v>2.029790925</v>
      </c>
      <c r="AZ826" s="82">
        <v>2.480903383706244</v>
      </c>
      <c r="BA826" s="84">
        <v>800.0</v>
      </c>
      <c r="BB826" s="84" t="b">
        <f>IFERROR(__xludf.DUMMYFUNCTION("iferror(if(A826="""",,E826&gt;=FILTER(Constants!$F$2:$F$10,Constants!$A$2:$A$10=A826)))"),TRUE)</f>
        <v>1</v>
      </c>
    </row>
    <row r="827">
      <c r="A827" s="80" t="str">
        <f>IFERROR(__xludf.DUMMYFUNCTION("""COMPUTED_VALUE"""),"Elite")</f>
        <v>Elite</v>
      </c>
      <c r="B827" s="73" t="str">
        <f>IFERROR(__xludf.DUMMYFUNCTION("""COMPUTED_VALUE"""),"RSC005030")</f>
        <v>RSC005030</v>
      </c>
      <c r="C827" s="73" t="str">
        <f>IFERROR(__xludf.DUMMYFUNCTION("""COMPUTED_VALUE"""),"Joe")</f>
        <v>Joe</v>
      </c>
      <c r="D827" s="73" t="str">
        <f>IFERROR(__xludf.DUMMYFUNCTION("""COMPUTED_VALUE"""),"Fire")</f>
        <v>Fire</v>
      </c>
      <c r="E827" s="82">
        <f>IFERROR(__xludf.DUMMYFUNCTION("""COMPUTED_VALUE"""),34.0)</f>
        <v>34</v>
      </c>
      <c r="F827" s="82">
        <f>IFERROR(__xludf.DUMMYFUNCTION("""COMPUTED_VALUE"""),18.0)</f>
        <v>18</v>
      </c>
      <c r="G827" s="82">
        <f>IFERROR(__xludf.DUMMYFUNCTION("""COMPUTED_VALUE"""),16.0)</f>
        <v>16</v>
      </c>
      <c r="H827" s="86">
        <f>IFERROR(__xludf.DUMMYFUNCTION("""COMPUTED_VALUE"""),0.5294117647058824)</f>
        <v>0.5294117647</v>
      </c>
      <c r="I827" s="86">
        <f>IFERROR(__xludf.DUMMYFUNCTION("""COMPUTED_VALUE"""),0.2844036697247706)</f>
        <v>0.2844036697</v>
      </c>
      <c r="J827" s="82">
        <f>IFERROR(__xludf.DUMMYFUNCTION("""COMPUTED_VALUE"""),396.1764705882353)</f>
        <v>396.1764706</v>
      </c>
      <c r="K827" s="82">
        <f>IFERROR(__xludf.DUMMYFUNCTION("""COMPUTED_VALUE"""),0.9117647058823529)</f>
        <v>0.9117647059</v>
      </c>
      <c r="L827" s="82">
        <f>IFERROR(__xludf.DUMMYFUNCTION("""COMPUTED_VALUE"""),0.4117647058823529)</f>
        <v>0.4117647059</v>
      </c>
      <c r="M827" s="82">
        <f>IFERROR(__xludf.DUMMYFUNCTION("""COMPUTED_VALUE"""),1.8235294117647058)</f>
        <v>1.823529412</v>
      </c>
      <c r="N827" s="82">
        <f>IFERROR(__xludf.DUMMYFUNCTION("""COMPUTED_VALUE"""),3.2058823529411766)</f>
        <v>3.205882353</v>
      </c>
      <c r="O827" s="82">
        <f>IFERROR(__xludf.DUMMYFUNCTION("""COMPUTED_VALUE"""),366.53921568627453)</f>
        <v>366.5392157</v>
      </c>
      <c r="P827" s="82">
        <f>IFERROR(__xludf.DUMMYFUNCTION("""COMPUTED_VALUE"""),0.784313725490196)</f>
        <v>0.7843137255</v>
      </c>
      <c r="Q827" s="82">
        <f>IFERROR(__xludf.DUMMYFUNCTION("""COMPUTED_VALUE"""),0.5784313725490197)</f>
        <v>0.5784313725</v>
      </c>
      <c r="R827" s="82">
        <f>IFERROR(__xludf.DUMMYFUNCTION("""COMPUTED_VALUE"""),1.5392156862745094)</f>
        <v>1.539215686</v>
      </c>
      <c r="S827" s="82">
        <f>IFERROR(__xludf.DUMMYFUNCTION("""COMPUTED_VALUE"""),2.6666666666666674)</f>
        <v>2.666666667</v>
      </c>
      <c r="T827" s="82">
        <f>IFERROR(__xludf.DUMMYFUNCTION("""COMPUTED_VALUE"""),367.34181600942094)</f>
        <v>367.341816</v>
      </c>
      <c r="U827" s="82">
        <f>IFERROR(__xludf.DUMMYFUNCTION("""COMPUTED_VALUE"""),0.7904725198070075)</f>
        <v>0.7904725198</v>
      </c>
      <c r="V827" s="82">
        <f>IFERROR(__xludf.DUMMYFUNCTION("""COMPUTED_VALUE"""),0.5779947860143425)</f>
        <v>0.577994786</v>
      </c>
      <c r="W827" s="82">
        <f>IFERROR(__xludf.DUMMYFUNCTION("""COMPUTED_VALUE"""),1.480160975328202)</f>
        <v>1.480160975</v>
      </c>
      <c r="X827" s="82">
        <f>IFERROR(__xludf.DUMMYFUNCTION("""COMPUTED_VALUE"""),2.6689349913375926)</f>
        <v>2.668934991</v>
      </c>
      <c r="Y827" s="82">
        <f>IFERROR(__xludf.DUMMYFUNCTION("""COMPUTED_VALUE"""),355.58195806956365)</f>
        <v>355.5819581</v>
      </c>
      <c r="Z827" s="82">
        <f>IFERROR(__xludf.DUMMYFUNCTION("""COMPUTED_VALUE"""),0.7342670491591593)</f>
        <v>0.7342670492</v>
      </c>
      <c r="AA827" s="82">
        <f>IFERROR(__xludf.DUMMYFUNCTION("""COMPUTED_VALUE"""),0.542533932980184)</f>
        <v>0.542533933</v>
      </c>
      <c r="AB827" s="82">
        <f>IFERROR(__xludf.DUMMYFUNCTION("""COMPUTED_VALUE"""),1.407882546410362)</f>
        <v>1.407882546</v>
      </c>
      <c r="AC827" s="82">
        <f>IFERROR(__xludf.DUMMYFUNCTION("""COMPUTED_VALUE"""),2.6449980634547305)</f>
        <v>2.644998063</v>
      </c>
      <c r="AD827" s="82">
        <f>IFERROR(__xludf.DUMMYFUNCTION("""COMPUTED_VALUE"""),1.1141635890050698)</f>
        <v>1.114163589</v>
      </c>
      <c r="AE827" s="82">
        <f>IFERROR(__xludf.DUMMYFUNCTION("""COMPUTED_VALUE"""),1.2417344710299254)</f>
        <v>1.241734471</v>
      </c>
      <c r="AF827" s="82">
        <f>IFERROR(__xludf.DUMMYFUNCTION("""COMPUTED_VALUE"""),0.7589658099733875)</f>
        <v>0.75896581</v>
      </c>
      <c r="AG827" s="82">
        <f>IFERROR(__xludf.DUMMYFUNCTION("""COMPUTED_VALUE"""),1.2952283671774374)</f>
        <v>1.295228367</v>
      </c>
      <c r="AH827" s="82">
        <f>IFERROR(__xludf.DUMMYFUNCTION("""COMPUTED_VALUE"""),1.2120547070472536)</f>
        <v>1.212054707</v>
      </c>
      <c r="AI827" s="82">
        <f>IFERROR(__xludf.DUMMYFUNCTION("""COMPUTED_VALUE"""),0.997815113095848)</f>
        <v>0.9978151131</v>
      </c>
      <c r="AJ827" s="82">
        <f>IFERROR(__xludf.DUMMYFUNCTION("""COMPUTED_VALUE"""),0.992208717997793)</f>
        <v>0.992208718</v>
      </c>
      <c r="AK827" s="82">
        <f>IFERROR(__xludf.DUMMYFUNCTION("""COMPUTED_VALUE"""),1.0007553468391777)</f>
        <v>1.000755347</v>
      </c>
      <c r="AL827" s="82">
        <f>IFERROR(__xludf.DUMMYFUNCTION("""COMPUTED_VALUE"""),1.0398974921854112)</f>
        <v>1.039897492</v>
      </c>
      <c r="AM827" s="82">
        <f>IFERROR(__xludf.DUMMYFUNCTION("""COMPUTED_VALUE"""),0.9991501011908168)</f>
        <v>0.9991501012</v>
      </c>
      <c r="AN827" s="82">
        <f>IFERROR(__xludf.DUMMYFUNCTION("""COMPUTED_VALUE"""),1.1232395011381169)</f>
        <v>1.123239501</v>
      </c>
      <c r="AO827" s="82">
        <f>IFERROR(__xludf.DUMMYFUNCTION("""COMPUTED_VALUE"""),1.2784376225868515)</f>
        <v>1.278437623</v>
      </c>
      <c r="AP827" s="82">
        <f>IFERROR(__xludf.DUMMYFUNCTION("""COMPUTED_VALUE"""),0.7160173459632058)</f>
        <v>0.716017346</v>
      </c>
      <c r="AQ827" s="82">
        <f>IFERROR(__xludf.DUMMYFUNCTION("""COMPUTED_VALUE"""),1.2783080966677502)</f>
        <v>1.278308097</v>
      </c>
      <c r="AR827" s="82">
        <f>IFERROR(__xludf.DUMMYFUNCTION("""COMPUTED_VALUE"""),1.2726247858582858)</f>
        <v>1.272624786</v>
      </c>
      <c r="AS827" s="82">
        <f>IFERROR(__xludf.DUMMYFUNCTION("""COMPUTED_VALUE"""),77.0)</f>
        <v>77</v>
      </c>
      <c r="AT827" s="82">
        <f>IFERROR(__xludf.DUMMYFUNCTION("""COMPUTED_VALUE"""),0.48518143943108255)</f>
        <v>0.4851814394</v>
      </c>
      <c r="AU827" s="82">
        <f>IFERROR(__xludf.DUMMYFUNCTION("""COMPUTED_VALUE"""),2.950578917918764)</f>
        <v>2.950578918</v>
      </c>
      <c r="AV827" s="82">
        <f>IFERROR(__xludf.DUMMYFUNCTION("""COMPUTED_VALUE"""),67.58686963018982)</f>
        <v>67.58686963</v>
      </c>
      <c r="AW827" s="82">
        <f t="shared" si="1"/>
        <v>4.151445434</v>
      </c>
      <c r="AX827" s="83">
        <f t="array" ref="AX827">IFERROR(DGET('SBV Import'!A:G,"SBV",{"RSC ID","Tier";B827,A827}))</f>
        <v>53.88681021</v>
      </c>
      <c r="AY827" s="82">
        <f t="shared" si="2"/>
        <v>2.28193565</v>
      </c>
      <c r="AZ827" s="82">
        <v>1.8695097843229256</v>
      </c>
      <c r="BA827" s="84">
        <v>800.0</v>
      </c>
      <c r="BB827" s="84" t="b">
        <f>IFERROR(__xludf.DUMMYFUNCTION("iferror(if(A827="""",,E827&gt;=FILTER(Constants!$F$2:$F$10,Constants!$A$2:$A$10=A827)))"),TRUE)</f>
        <v>1</v>
      </c>
    </row>
    <row r="828">
      <c r="A828" s="80" t="str">
        <f>IFERROR(__xludf.DUMMYFUNCTION("""COMPUTED_VALUE"""),"Elite")</f>
        <v>Elite</v>
      </c>
      <c r="B828" s="73" t="str">
        <f>IFERROR(__xludf.DUMMYFUNCTION("""COMPUTED_VALUE"""),"RSC007975")</f>
        <v>RSC007975</v>
      </c>
      <c r="C828" s="73" t="str">
        <f>IFERROR(__xludf.DUMMYFUNCTION("""COMPUTED_VALUE"""),"egor")</f>
        <v>egor</v>
      </c>
      <c r="D828" s="73"/>
      <c r="E828" s="82">
        <f>IFERROR(__xludf.DUMMYFUNCTION("""COMPUTED_VALUE"""),1.0)</f>
        <v>1</v>
      </c>
      <c r="F828" s="82">
        <f>IFERROR(__xludf.DUMMYFUNCTION("""COMPUTED_VALUE"""),0.0)</f>
        <v>0</v>
      </c>
      <c r="G828" s="82">
        <f>IFERROR(__xludf.DUMMYFUNCTION("""COMPUTED_VALUE"""),1.0)</f>
        <v>1</v>
      </c>
      <c r="H828" s="86">
        <f>IFERROR(__xludf.DUMMYFUNCTION("""COMPUTED_VALUE"""),0.0)</f>
        <v>0</v>
      </c>
      <c r="I828" s="86">
        <f>IFERROR(__xludf.DUMMYFUNCTION("""COMPUTED_VALUE"""),0.3333333333333333)</f>
        <v>0.3333333333</v>
      </c>
      <c r="J828" s="82">
        <f>IFERROR(__xludf.DUMMYFUNCTION("""COMPUTED_VALUE"""),418.0)</f>
        <v>418</v>
      </c>
      <c r="K828" s="82">
        <f>IFERROR(__xludf.DUMMYFUNCTION("""COMPUTED_VALUE"""),1.0)</f>
        <v>1</v>
      </c>
      <c r="L828" s="82">
        <f>IFERROR(__xludf.DUMMYFUNCTION("""COMPUTED_VALUE"""),1.0)</f>
        <v>1</v>
      </c>
      <c r="M828" s="82">
        <f>IFERROR(__xludf.DUMMYFUNCTION("""COMPUTED_VALUE"""),2.0)</f>
        <v>2</v>
      </c>
      <c r="N828" s="82">
        <f>IFERROR(__xludf.DUMMYFUNCTION("""COMPUTED_VALUE"""),3.0)</f>
        <v>3</v>
      </c>
      <c r="O828" s="82">
        <f>IFERROR(__xludf.DUMMYFUNCTION("""COMPUTED_VALUE"""),488.0)</f>
        <v>488</v>
      </c>
      <c r="P828" s="82">
        <f>IFERROR(__xludf.DUMMYFUNCTION("""COMPUTED_VALUE"""),1.6666666666666667)</f>
        <v>1.666666667</v>
      </c>
      <c r="Q828" s="82">
        <f>IFERROR(__xludf.DUMMYFUNCTION("""COMPUTED_VALUE"""),1.0)</f>
        <v>1</v>
      </c>
      <c r="R828" s="82">
        <f>IFERROR(__xludf.DUMMYFUNCTION("""COMPUTED_VALUE"""),1.6666666666666667)</f>
        <v>1.666666667</v>
      </c>
      <c r="S828" s="82">
        <f>IFERROR(__xludf.DUMMYFUNCTION("""COMPUTED_VALUE"""),4.0)</f>
        <v>4</v>
      </c>
      <c r="T828" s="82">
        <f>IFERROR(__xludf.DUMMYFUNCTION("""COMPUTED_VALUE"""),373.7592592592593)</f>
        <v>373.7592593</v>
      </c>
      <c r="U828" s="82">
        <f>IFERROR(__xludf.DUMMYFUNCTION("""COMPUTED_VALUE"""),0.8148148148148149)</f>
        <v>0.8148148148</v>
      </c>
      <c r="V828" s="82">
        <f>IFERROR(__xludf.DUMMYFUNCTION("""COMPUTED_VALUE"""),0.5925925925925926)</f>
        <v>0.5925925926</v>
      </c>
      <c r="W828" s="82">
        <f>IFERROR(__xludf.DUMMYFUNCTION("""COMPUTED_VALUE"""),1.4907407407407407)</f>
        <v>1.490740741</v>
      </c>
      <c r="X828" s="82">
        <f>IFERROR(__xludf.DUMMYFUNCTION("""COMPUTED_VALUE"""),2.9259259259259256)</f>
        <v>2.925925926</v>
      </c>
      <c r="Y828" s="82">
        <f>IFERROR(__xludf.DUMMYFUNCTION("""COMPUTED_VALUE"""),360.9351851851853)</f>
        <v>360.9351852</v>
      </c>
      <c r="Z828" s="82">
        <f>IFERROR(__xludf.DUMMYFUNCTION("""COMPUTED_VALUE"""),0.685185185185185)</f>
        <v>0.6851851852</v>
      </c>
      <c r="AA828" s="82">
        <f>IFERROR(__xludf.DUMMYFUNCTION("""COMPUTED_VALUE"""),0.5462962962962964)</f>
        <v>0.5462962963</v>
      </c>
      <c r="AB828" s="82">
        <f>IFERROR(__xludf.DUMMYFUNCTION("""COMPUTED_VALUE"""),1.5648148148148149)</f>
        <v>1.564814815</v>
      </c>
      <c r="AC828" s="82">
        <f>IFERROR(__xludf.DUMMYFUNCTION("""COMPUTED_VALUE"""),2.611111111111111)</f>
        <v>2.611111111</v>
      </c>
      <c r="AD828" s="82">
        <f>IFERROR(__xludf.DUMMYFUNCTION("""COMPUTED_VALUE"""),1.1581026654010926)</f>
        <v>1.158102665</v>
      </c>
      <c r="AE828" s="82">
        <f>IFERROR(__xludf.DUMMYFUNCTION("""COMPUTED_VALUE"""),1.4594594594594599)</f>
        <v>1.459459459</v>
      </c>
      <c r="AF828" s="82">
        <f>IFERROR(__xludf.DUMMYFUNCTION("""COMPUTED_VALUE"""),1.830508474576271)</f>
        <v>1.830508475</v>
      </c>
      <c r="AG828" s="82">
        <f>IFERROR(__xludf.DUMMYFUNCTION("""COMPUTED_VALUE"""),1.2781065088757395)</f>
        <v>1.278106509</v>
      </c>
      <c r="AH828" s="82">
        <f>IFERROR(__xludf.DUMMYFUNCTION("""COMPUTED_VALUE"""),1.1489361702127658)</f>
        <v>1.14893617</v>
      </c>
      <c r="AI828" s="82">
        <f>IFERROR(__xludf.DUMMYFUNCTION("""COMPUTED_VALUE"""),1.3056532725561114)</f>
        <v>1.305653273</v>
      </c>
      <c r="AJ828" s="82">
        <f>IFERROR(__xludf.DUMMYFUNCTION("""COMPUTED_VALUE"""),2.0454545454545454)</f>
        <v>2.045454545</v>
      </c>
      <c r="AK828" s="82">
        <f>IFERROR(__xludf.DUMMYFUNCTION("""COMPUTED_VALUE"""),1.6875)</f>
        <v>1.6875</v>
      </c>
      <c r="AL828" s="82">
        <f>IFERROR(__xludf.DUMMYFUNCTION("""COMPUTED_VALUE"""),1.1180124223602486)</f>
        <v>1.118012422</v>
      </c>
      <c r="AM828" s="82">
        <f>IFERROR(__xludf.DUMMYFUNCTION("""COMPUTED_VALUE"""),1.3670886075949369)</f>
        <v>1.367088608</v>
      </c>
      <c r="AN828" s="82">
        <f>IFERROR(__xludf.DUMMYFUNCTION("""COMPUTED_VALUE"""),1.1851135701688877)</f>
        <v>1.18511357</v>
      </c>
      <c r="AO828" s="82">
        <f>IFERROR(__xludf.DUMMYFUNCTION("""COMPUTED_VALUE"""),1.4021573925146114)</f>
        <v>1.402157393</v>
      </c>
      <c r="AP828" s="82">
        <f>IFERROR(__xludf.DUMMYFUNCTION("""COMPUTED_VALUE"""),1.7388992687677856)</f>
        <v>1.738899269</v>
      </c>
      <c r="AQ828" s="82">
        <f>IFERROR(__xludf.DUMMYFUNCTION("""COMPUTED_VALUE"""),1.4020153318291455)</f>
        <v>1.402015332</v>
      </c>
      <c r="AR828" s="82">
        <f>IFERROR(__xludf.DUMMYFUNCTION("""COMPUTED_VALUE"""),1.1908965886013314)</f>
        <v>1.190896589</v>
      </c>
      <c r="AS828" s="82">
        <f>IFERROR(__xludf.DUMMYFUNCTION("""COMPUTED_VALUE"""),3.0)</f>
        <v>3</v>
      </c>
      <c r="AT828" s="82">
        <f>IFERROR(__xludf.DUMMYFUNCTION("""COMPUTED_VALUE"""),0.28336903342899195)</f>
        <v>0.2833690334</v>
      </c>
      <c r="AU828" s="82">
        <f>IFERROR(__xludf.DUMMYFUNCTION("""COMPUTED_VALUE"""),2.949830324654769)</f>
        <v>2.949830325</v>
      </c>
      <c r="AV828" s="82">
        <f>IFERROR(__xludf.DUMMYFUNCTION("""COMPUTED_VALUE"""),67.56583456437204)</f>
        <v>67.56583456</v>
      </c>
      <c r="AW828" s="82">
        <f t="shared" si="1"/>
        <v>4.146931996</v>
      </c>
      <c r="AX828" s="83">
        <f t="array" ref="AX828">IFERROR(DGET('SBV Import'!A:G,"SBV",{"RSC ID","Tier";B828,A828}))</f>
        <v>25.8238397</v>
      </c>
      <c r="AY828" s="82">
        <f t="shared" si="2"/>
        <v>-5.996626911</v>
      </c>
      <c r="AZ828" s="82">
        <v>10.14355890658926</v>
      </c>
      <c r="BA828" s="84">
        <v>800.0</v>
      </c>
      <c r="BB828" s="84" t="b">
        <f>IFERROR(__xludf.DUMMYFUNCTION("iferror(if(A828="""",,E828&gt;=FILTER(Constants!$F$2:$F$10,Constants!$A$2:$A$10=A828)))"),TRUE)</f>
        <v>1</v>
      </c>
    </row>
    <row r="829">
      <c r="A829" s="80" t="str">
        <f>IFERROR(__xludf.DUMMYFUNCTION("""COMPUTED_VALUE"""),"Elite")</f>
        <v>Elite</v>
      </c>
      <c r="B829" s="73" t="str">
        <f>IFERROR(__xludf.DUMMYFUNCTION("""COMPUTED_VALUE"""),"RSC006409")</f>
        <v>RSC006409</v>
      </c>
      <c r="C829" s="73" t="str">
        <f>IFERROR(__xludf.DUMMYFUNCTION("""COMPUTED_VALUE"""),"Reported.")</f>
        <v>Reported.</v>
      </c>
      <c r="D829" s="73" t="str">
        <f>IFERROR(__xludf.DUMMYFUNCTION("""COMPUTED_VALUE"""),"Forge Defenders")</f>
        <v>Forge Defenders</v>
      </c>
      <c r="E829" s="82">
        <f>IFERROR(__xludf.DUMMYFUNCTION("""COMPUTED_VALUE"""),20.0)</f>
        <v>20</v>
      </c>
      <c r="F829" s="82">
        <f>IFERROR(__xludf.DUMMYFUNCTION("""COMPUTED_VALUE"""),12.0)</f>
        <v>12</v>
      </c>
      <c r="G829" s="82">
        <f>IFERROR(__xludf.DUMMYFUNCTION("""COMPUTED_VALUE"""),8.0)</f>
        <v>8</v>
      </c>
      <c r="H829" s="86">
        <f>IFERROR(__xludf.DUMMYFUNCTION("""COMPUTED_VALUE"""),0.6)</f>
        <v>0.6</v>
      </c>
      <c r="I829" s="86">
        <f>IFERROR(__xludf.DUMMYFUNCTION("""COMPUTED_VALUE"""),0.2631578947368421)</f>
        <v>0.2631578947</v>
      </c>
      <c r="J829" s="82">
        <f>IFERROR(__xludf.DUMMYFUNCTION("""COMPUTED_VALUE"""),367.25)</f>
        <v>367.25</v>
      </c>
      <c r="K829" s="82">
        <f>IFERROR(__xludf.DUMMYFUNCTION("""COMPUTED_VALUE"""),0.75)</f>
        <v>0.75</v>
      </c>
      <c r="L829" s="82">
        <f>IFERROR(__xludf.DUMMYFUNCTION("""COMPUTED_VALUE"""),0.6)</f>
        <v>0.6</v>
      </c>
      <c r="M829" s="82">
        <f>IFERROR(__xludf.DUMMYFUNCTION("""COMPUTED_VALUE"""),1.45)</f>
        <v>1.45</v>
      </c>
      <c r="N829" s="82">
        <f>IFERROR(__xludf.DUMMYFUNCTION("""COMPUTED_VALUE"""),2.85)</f>
        <v>2.85</v>
      </c>
      <c r="O829" s="82">
        <f>IFERROR(__xludf.DUMMYFUNCTION("""COMPUTED_VALUE"""),344.98333333333323)</f>
        <v>344.9833333</v>
      </c>
      <c r="P829" s="82">
        <f>IFERROR(__xludf.DUMMYFUNCTION("""COMPUTED_VALUE"""),0.6000000000000001)</f>
        <v>0.6</v>
      </c>
      <c r="Q829" s="82">
        <f>IFERROR(__xludf.DUMMYFUNCTION("""COMPUTED_VALUE"""),0.45)</f>
        <v>0.45</v>
      </c>
      <c r="R829" s="82">
        <f>IFERROR(__xludf.DUMMYFUNCTION("""COMPUTED_VALUE"""),1.6166666666666667)</f>
        <v>1.616666667</v>
      </c>
      <c r="S829" s="82">
        <f>IFERROR(__xludf.DUMMYFUNCTION("""COMPUTED_VALUE"""),2.3166666666666664)</f>
        <v>2.316666667</v>
      </c>
      <c r="T829" s="82">
        <f>IFERROR(__xludf.DUMMYFUNCTION("""COMPUTED_VALUE"""),371.0456620574965)</f>
        <v>371.0456621</v>
      </c>
      <c r="U829" s="82">
        <f>IFERROR(__xludf.DUMMYFUNCTION("""COMPUTED_VALUE"""),0.8230501773144967)</f>
        <v>0.8230501773</v>
      </c>
      <c r="V829" s="82">
        <f>IFERROR(__xludf.DUMMYFUNCTION("""COMPUTED_VALUE"""),0.5708767942816289)</f>
        <v>0.5708767943</v>
      </c>
      <c r="W829" s="82">
        <f>IFERROR(__xludf.DUMMYFUNCTION("""COMPUTED_VALUE"""),1.4570743647564353)</f>
        <v>1.457074365</v>
      </c>
      <c r="X829" s="82">
        <f>IFERROR(__xludf.DUMMYFUNCTION("""COMPUTED_VALUE"""),2.7225021291152123)</f>
        <v>2.722502129</v>
      </c>
      <c r="Y829" s="82">
        <f>IFERROR(__xludf.DUMMYFUNCTION("""COMPUTED_VALUE"""),354.0917273971718)</f>
        <v>354.0917274</v>
      </c>
      <c r="Z829" s="82">
        <f>IFERROR(__xludf.DUMMYFUNCTION("""COMPUTED_VALUE"""),0.7016758324876807)</f>
        <v>0.7016758325</v>
      </c>
      <c r="AA829" s="82">
        <f>IFERROR(__xludf.DUMMYFUNCTION("""COMPUTED_VALUE"""),0.5159052285300548)</f>
        <v>0.5159052285</v>
      </c>
      <c r="AB829" s="82">
        <f>IFERROR(__xludf.DUMMYFUNCTION("""COMPUTED_VALUE"""),1.4490225927193445)</f>
        <v>1.449022593</v>
      </c>
      <c r="AC829" s="82">
        <f>IFERROR(__xludf.DUMMYFUNCTION("""COMPUTED_VALUE"""),2.598200967785607)</f>
        <v>2.598200968</v>
      </c>
      <c r="AD829" s="82">
        <f>IFERROR(__xludf.DUMMYFUNCTION("""COMPUTED_VALUE"""),1.0371606326404488)</f>
        <v>1.037160633</v>
      </c>
      <c r="AE829" s="82">
        <f>IFERROR(__xludf.DUMMYFUNCTION("""COMPUTED_VALUE"""),1.0688696478842568)</f>
        <v>1.068869648</v>
      </c>
      <c r="AF829" s="82">
        <f>IFERROR(__xludf.DUMMYFUNCTION("""COMPUTED_VALUE"""),1.1630043016031308)</f>
        <v>1.163004302</v>
      </c>
      <c r="AG829" s="82">
        <f>IFERROR(__xludf.DUMMYFUNCTION("""COMPUTED_VALUE"""),1.0006745286688878)</f>
        <v>1.000674529</v>
      </c>
      <c r="AH829" s="82">
        <f>IFERROR(__xludf.DUMMYFUNCTION("""COMPUTED_VALUE"""),1.096912839051475)</f>
        <v>1.096912839</v>
      </c>
      <c r="AI829" s="82">
        <f>IFERROR(__xludf.DUMMYFUNCTION("""COMPUTED_VALUE"""),0.9297597805627366)</f>
        <v>0.9297597806</v>
      </c>
      <c r="AJ829" s="82">
        <f>IFERROR(__xludf.DUMMYFUNCTION("""COMPUTED_VALUE"""),0.7289956512222867)</f>
        <v>0.7289956512</v>
      </c>
      <c r="AK829" s="82">
        <f>IFERROR(__xludf.DUMMYFUNCTION("""COMPUTED_VALUE"""),0.7882611528574464)</f>
        <v>0.7882611529</v>
      </c>
      <c r="AL829" s="82">
        <f>IFERROR(__xludf.DUMMYFUNCTION("""COMPUTED_VALUE"""),1.1095292771394745)</f>
        <v>1.109529277</v>
      </c>
      <c r="AM829" s="82">
        <f>IFERROR(__xludf.DUMMYFUNCTION("""COMPUTED_VALUE"""),0.8509329127391946)</f>
        <v>0.8509329127</v>
      </c>
      <c r="AN829" s="82">
        <f>IFERROR(__xludf.DUMMYFUNCTION("""COMPUTED_VALUE"""),1.0412271737907273)</f>
        <v>1.041227174</v>
      </c>
      <c r="AO829" s="82">
        <f>IFERROR(__xludf.DUMMYFUNCTION("""COMPUTED_VALUE"""),1.0516180443859584)</f>
        <v>1.051618044</v>
      </c>
      <c r="AP829" s="82">
        <f>IFERROR(__xludf.DUMMYFUNCTION("""COMPUTED_VALUE"""),1.0433395612606713)</f>
        <v>1.043339561</v>
      </c>
      <c r="AQ829" s="82">
        <f>IFERROR(__xludf.DUMMYFUNCTION("""COMPUTED_VALUE"""),1.0164611155761305)</f>
        <v>1.016461116</v>
      </c>
      <c r="AR829" s="82">
        <f>IFERROR(__xludf.DUMMYFUNCTION("""COMPUTED_VALUE"""),1.131351759171265)</f>
        <v>1.131351759</v>
      </c>
      <c r="AS829" s="82">
        <f>IFERROR(__xludf.DUMMYFUNCTION("""COMPUTED_VALUE"""),41.0)</f>
        <v>41</v>
      </c>
      <c r="AT829" s="82">
        <f>IFERROR(__xludf.DUMMYFUNCTION("""COMPUTED_VALUE"""),0.5477269614989981)</f>
        <v>0.5477269615</v>
      </c>
      <c r="AU829" s="82">
        <f>IFERROR(__xludf.DUMMYFUNCTION("""COMPUTED_VALUE"""),2.9483045589052055)</f>
        <v>2.948304559</v>
      </c>
      <c r="AV829" s="82">
        <f>IFERROR(__xludf.DUMMYFUNCTION("""COMPUTED_VALUE"""),67.52296137206827)</f>
        <v>67.52296137</v>
      </c>
      <c r="AW829" s="82">
        <f t="shared" si="1"/>
        <v>4.13775491</v>
      </c>
      <c r="AX829" s="83">
        <f t="array" ref="AX829">IFERROR(DGET('SBV Import'!A:G,"SBV",{"RSC ID","Tier";B829,A829}))</f>
        <v>57.05406613</v>
      </c>
      <c r="AY829" s="82">
        <f t="shared" si="2"/>
        <v>2.571292954</v>
      </c>
      <c r="AZ829" s="82">
        <v>1.566461955331809</v>
      </c>
      <c r="BA829" s="84">
        <v>800.0</v>
      </c>
      <c r="BB829" s="84" t="b">
        <f>IFERROR(__xludf.DUMMYFUNCTION("iferror(if(A829="""",,E829&gt;=FILTER(Constants!$F$2:$F$10,Constants!$A$2:$A$10=A829)))"),TRUE)</f>
        <v>1</v>
      </c>
    </row>
    <row r="830">
      <c r="A830" s="80" t="str">
        <f>IFERROR(__xludf.DUMMYFUNCTION("""COMPUTED_VALUE"""),"Elite")</f>
        <v>Elite</v>
      </c>
      <c r="B830" s="73" t="str">
        <f>IFERROR(__xludf.DUMMYFUNCTION("""COMPUTED_VALUE"""),"RSC001292")</f>
        <v>RSC001292</v>
      </c>
      <c r="C830" s="73" t="str">
        <f>IFERROR(__xludf.DUMMYFUNCTION("""COMPUTED_VALUE"""),"flamethrowr")</f>
        <v>flamethrowr</v>
      </c>
      <c r="D830" s="73" t="str">
        <f>IFERROR(__xludf.DUMMYFUNCTION("""COMPUTED_VALUE"""),"Black-Holes")</f>
        <v>Black-Holes</v>
      </c>
      <c r="E830" s="82">
        <f>IFERROR(__xludf.DUMMYFUNCTION("""COMPUTED_VALUE"""),11.0)</f>
        <v>11</v>
      </c>
      <c r="F830" s="82">
        <f>IFERROR(__xludf.DUMMYFUNCTION("""COMPUTED_VALUE"""),7.0)</f>
        <v>7</v>
      </c>
      <c r="G830" s="82">
        <f>IFERROR(__xludf.DUMMYFUNCTION("""COMPUTED_VALUE"""),4.0)</f>
        <v>4</v>
      </c>
      <c r="H830" s="86">
        <f>IFERROR(__xludf.DUMMYFUNCTION("""COMPUTED_VALUE"""),0.6363636363636364)</f>
        <v>0.6363636364</v>
      </c>
      <c r="I830" s="86">
        <f>IFERROR(__xludf.DUMMYFUNCTION("""COMPUTED_VALUE"""),0.34375)</f>
        <v>0.34375</v>
      </c>
      <c r="J830" s="82">
        <f>IFERROR(__xludf.DUMMYFUNCTION("""COMPUTED_VALUE"""),389.6363636363636)</f>
        <v>389.6363636</v>
      </c>
      <c r="K830" s="82">
        <f>IFERROR(__xludf.DUMMYFUNCTION("""COMPUTED_VALUE"""),1.0)</f>
        <v>1</v>
      </c>
      <c r="L830" s="82">
        <f>IFERROR(__xludf.DUMMYFUNCTION("""COMPUTED_VALUE"""),0.9090909090909091)</f>
        <v>0.9090909091</v>
      </c>
      <c r="M830" s="82">
        <f>IFERROR(__xludf.DUMMYFUNCTION("""COMPUTED_VALUE"""),1.3636363636363635)</f>
        <v>1.363636364</v>
      </c>
      <c r="N830" s="82">
        <f>IFERROR(__xludf.DUMMYFUNCTION("""COMPUTED_VALUE"""),2.909090909090909)</f>
        <v>2.909090909</v>
      </c>
      <c r="O830" s="82">
        <f>IFERROR(__xludf.DUMMYFUNCTION("""COMPUTED_VALUE"""),375.30303030303037)</f>
        <v>375.3030303</v>
      </c>
      <c r="P830" s="82">
        <f>IFERROR(__xludf.DUMMYFUNCTION("""COMPUTED_VALUE"""),0.8181818181818182)</f>
        <v>0.8181818182</v>
      </c>
      <c r="Q830" s="82">
        <f>IFERROR(__xludf.DUMMYFUNCTION("""COMPUTED_VALUE"""),0.5151515151515151)</f>
        <v>0.5151515152</v>
      </c>
      <c r="R830" s="82">
        <f>IFERROR(__xludf.DUMMYFUNCTION("""COMPUTED_VALUE"""),1.5454545454545454)</f>
        <v>1.545454545</v>
      </c>
      <c r="S830" s="82">
        <f>IFERROR(__xludf.DUMMYFUNCTION("""COMPUTED_VALUE"""),2.5454545454545454)</f>
        <v>2.545454545</v>
      </c>
      <c r="T830" s="82">
        <f>IFERROR(__xludf.DUMMYFUNCTION("""COMPUTED_VALUE"""),341.68478739335546)</f>
        <v>341.6847874</v>
      </c>
      <c r="U830" s="82">
        <f>IFERROR(__xludf.DUMMYFUNCTION("""COMPUTED_VALUE"""),0.6486955528924322)</f>
        <v>0.6486955529</v>
      </c>
      <c r="V830" s="82">
        <f>IFERROR(__xludf.DUMMYFUNCTION("""COMPUTED_VALUE"""),0.42575812426244125)</f>
        <v>0.4257581243</v>
      </c>
      <c r="W830" s="82">
        <f>IFERROR(__xludf.DUMMYFUNCTION("""COMPUTED_VALUE"""),1.5137815103840564)</f>
        <v>1.51378151</v>
      </c>
      <c r="X830" s="82">
        <f>IFERROR(__xludf.DUMMYFUNCTION("""COMPUTED_VALUE"""),2.4209631189763225)</f>
        <v>2.420963119</v>
      </c>
      <c r="Y830" s="82">
        <f>IFERROR(__xludf.DUMMYFUNCTION("""COMPUTED_VALUE"""),383.53322272008097)</f>
        <v>383.5332227</v>
      </c>
      <c r="Z830" s="82">
        <f>IFERROR(__xludf.DUMMYFUNCTION("""COMPUTED_VALUE"""),0.9282292967317448)</f>
        <v>0.9282292967</v>
      </c>
      <c r="AA830" s="82">
        <f>IFERROR(__xludf.DUMMYFUNCTION("""COMPUTED_VALUE"""),0.7184733324982615)</f>
        <v>0.7184733325</v>
      </c>
      <c r="AB830" s="82">
        <f>IFERROR(__xludf.DUMMYFUNCTION("""COMPUTED_VALUE"""),1.3319948945830669)</f>
        <v>1.331994895</v>
      </c>
      <c r="AC830" s="82">
        <f>IFERROR(__xludf.DUMMYFUNCTION("""COMPUTED_VALUE"""),2.986079368535662)</f>
        <v>2.986079369</v>
      </c>
      <c r="AD830" s="82">
        <f>IFERROR(__xludf.DUMMYFUNCTION("""COMPUTED_VALUE"""),1.0159129393615451)</f>
        <v>1.015912939</v>
      </c>
      <c r="AE830" s="82">
        <f>IFERROR(__xludf.DUMMYFUNCTION("""COMPUTED_VALUE"""),1.077320015130913)</f>
        <v>1.077320015</v>
      </c>
      <c r="AF830" s="82">
        <f>IFERROR(__xludf.DUMMYFUNCTION("""COMPUTED_VALUE"""),1.265309188205825)</f>
        <v>1.265309188</v>
      </c>
      <c r="AG830" s="82">
        <f>IFERROR(__xludf.DUMMYFUNCTION("""COMPUTED_VALUE"""),1.0237549476968535)</f>
        <v>1.023754948</v>
      </c>
      <c r="AH830" s="82">
        <f>IFERROR(__xludf.DUMMYFUNCTION("""COMPUTED_VALUE"""),0.9742175441630987)</f>
        <v>0.9742175442</v>
      </c>
      <c r="AI830" s="82">
        <f>IFERROR(__xludf.DUMMYFUNCTION("""COMPUTED_VALUE"""),1.098389639076828)</f>
        <v>1.098389639</v>
      </c>
      <c r="AJ830" s="82">
        <f>IFERROR(__xludf.DUMMYFUNCTION("""COMPUTED_VALUE"""),1.2612724328595644)</f>
        <v>1.261272433</v>
      </c>
      <c r="AK830" s="82">
        <f>IFERROR(__xludf.DUMMYFUNCTION("""COMPUTED_VALUE"""),1.2099628540123193)</f>
        <v>1.209962854</v>
      </c>
      <c r="AL830" s="82">
        <f>IFERROR(__xludf.DUMMYFUNCTION("""COMPUTED_VALUE"""),1.020923121899179)</f>
        <v>1.020923122</v>
      </c>
      <c r="AM830" s="82">
        <f>IFERROR(__xludf.DUMMYFUNCTION("""COMPUTED_VALUE"""),1.0514222730211862)</f>
        <v>1.051422273</v>
      </c>
      <c r="AN830" s="82">
        <f>IFERROR(__xludf.DUMMYFUNCTION("""COMPUTED_VALUE"""),1.1046969903749135)</f>
        <v>1.10469699</v>
      </c>
      <c r="AO830" s="82">
        <f>IFERROR(__xludf.DUMMYFUNCTION("""COMPUTED_VALUE"""),1.4021573925146114)</f>
        <v>1.402157393</v>
      </c>
      <c r="AP830" s="82">
        <f>IFERROR(__xludf.DUMMYFUNCTION("""COMPUTED_VALUE"""),1.5808175170616232)</f>
        <v>1.580817517</v>
      </c>
      <c r="AQ830" s="82">
        <f>IFERROR(__xludf.DUMMYFUNCTION("""COMPUTED_VALUE"""),0.9559195444289628)</f>
        <v>0.9559195444</v>
      </c>
      <c r="AR830" s="82">
        <f>IFERROR(__xludf.DUMMYFUNCTION("""COMPUTED_VALUE"""),1.1548088131891698)</f>
        <v>1.154808813</v>
      </c>
      <c r="AS830" s="82">
        <f>IFERROR(__xludf.DUMMYFUNCTION("""COMPUTED_VALUE"""),39.0)</f>
        <v>39</v>
      </c>
      <c r="AT830" s="82">
        <f>IFERROR(__xludf.DUMMYFUNCTION("""COMPUTED_VALUE"""),0.6490731670542146)</f>
        <v>0.6490731671</v>
      </c>
      <c r="AU830" s="82">
        <f>IFERROR(__xludf.DUMMYFUNCTION("""COMPUTED_VALUE"""),2.9371599224134903)</f>
        <v>2.937159922</v>
      </c>
      <c r="AV830" s="82">
        <f>IFERROR(__xludf.DUMMYFUNCTION("""COMPUTED_VALUE"""),67.20980311458221)</f>
        <v>67.20980311</v>
      </c>
      <c r="AW830" s="82">
        <f t="shared" si="1"/>
        <v>4.071612482</v>
      </c>
      <c r="AX830" s="83">
        <f t="array" ref="AX830">IFERROR(DGET('SBV Import'!A:G,"SBV",{"RSC ID","Tier";B830,A830}))</f>
        <v>56.80546284</v>
      </c>
      <c r="AY830" s="82">
        <f t="shared" si="2"/>
        <v>2.546298041</v>
      </c>
      <c r="AZ830" s="82">
        <v>1.5253144413749489</v>
      </c>
      <c r="BA830" s="84">
        <v>800.0</v>
      </c>
      <c r="BB830" s="84" t="b">
        <f>IFERROR(__xludf.DUMMYFUNCTION("iferror(if(A830="""",,E830&gt;=FILTER(Constants!$F$2:$F$10,Constants!$A$2:$A$10=A830)))"),TRUE)</f>
        <v>1</v>
      </c>
    </row>
    <row r="831">
      <c r="A831" s="80" t="str">
        <f>IFERROR(__xludf.DUMMYFUNCTION("""COMPUTED_VALUE"""),"Elite")</f>
        <v>Elite</v>
      </c>
      <c r="B831" s="73" t="str">
        <f>IFERROR(__xludf.DUMMYFUNCTION("""COMPUTED_VALUE"""),"RSC006703")</f>
        <v>RSC006703</v>
      </c>
      <c r="C831" s="73" t="str">
        <f>IFERROR(__xludf.DUMMYFUNCTION("""COMPUTED_VALUE"""),"cav")</f>
        <v>cav</v>
      </c>
      <c r="D831" s="73" t="str">
        <f>IFERROR(__xludf.DUMMYFUNCTION("""COMPUTED_VALUE"""),"Praetorian Guard")</f>
        <v>Praetorian Guard</v>
      </c>
      <c r="E831" s="82">
        <f>IFERROR(__xludf.DUMMYFUNCTION("""COMPUTED_VALUE"""),24.0)</f>
        <v>24</v>
      </c>
      <c r="F831" s="82">
        <f>IFERROR(__xludf.DUMMYFUNCTION("""COMPUTED_VALUE"""),17.0)</f>
        <v>17</v>
      </c>
      <c r="G831" s="82">
        <f>IFERROR(__xludf.DUMMYFUNCTION("""COMPUTED_VALUE"""),7.0)</f>
        <v>7</v>
      </c>
      <c r="H831" s="86">
        <f>IFERROR(__xludf.DUMMYFUNCTION("""COMPUTED_VALUE"""),0.7083333333333334)</f>
        <v>0.7083333333</v>
      </c>
      <c r="I831" s="86">
        <f>IFERROR(__xludf.DUMMYFUNCTION("""COMPUTED_VALUE"""),0.323943661971831)</f>
        <v>0.323943662</v>
      </c>
      <c r="J831" s="82">
        <f>IFERROR(__xludf.DUMMYFUNCTION("""COMPUTED_VALUE"""),405.4583333333333)</f>
        <v>405.4583333</v>
      </c>
      <c r="K831" s="82">
        <f>IFERROR(__xludf.DUMMYFUNCTION("""COMPUTED_VALUE"""),0.9583333333333334)</f>
        <v>0.9583333333</v>
      </c>
      <c r="L831" s="82">
        <f>IFERROR(__xludf.DUMMYFUNCTION("""COMPUTED_VALUE"""),0.5)</f>
        <v>0.5</v>
      </c>
      <c r="M831" s="82">
        <f>IFERROR(__xludf.DUMMYFUNCTION("""COMPUTED_VALUE"""),1.6666666666666667)</f>
        <v>1.666666667</v>
      </c>
      <c r="N831" s="82">
        <f>IFERROR(__xludf.DUMMYFUNCTION("""COMPUTED_VALUE"""),2.9583333333333335)</f>
        <v>2.958333333</v>
      </c>
      <c r="O831" s="82">
        <f>IFERROR(__xludf.DUMMYFUNCTION("""COMPUTED_VALUE"""),355.8194444444444)</f>
        <v>355.8194444</v>
      </c>
      <c r="P831" s="82">
        <f>IFERROR(__xludf.DUMMYFUNCTION("""COMPUTED_VALUE"""),0.6944444444444445)</f>
        <v>0.6944444444</v>
      </c>
      <c r="Q831" s="82">
        <f>IFERROR(__xludf.DUMMYFUNCTION("""COMPUTED_VALUE"""),0.5277777777777778)</f>
        <v>0.5277777778</v>
      </c>
      <c r="R831" s="82">
        <f>IFERROR(__xludf.DUMMYFUNCTION("""COMPUTED_VALUE"""),1.375)</f>
        <v>1.375</v>
      </c>
      <c r="S831" s="82">
        <f>IFERROR(__xludf.DUMMYFUNCTION("""COMPUTED_VALUE"""),2.625)</f>
        <v>2.625</v>
      </c>
      <c r="T831" s="82">
        <f>IFERROR(__xludf.DUMMYFUNCTION("""COMPUTED_VALUE"""),365.7767603139541)</f>
        <v>365.7767603</v>
      </c>
      <c r="U831" s="82">
        <f>IFERROR(__xludf.DUMMYFUNCTION("""COMPUTED_VALUE"""),0.7477622039630184)</f>
        <v>0.747762204</v>
      </c>
      <c r="V831" s="82">
        <f>IFERROR(__xludf.DUMMYFUNCTION("""COMPUTED_VALUE"""),0.5550260284730248)</f>
        <v>0.5550260285</v>
      </c>
      <c r="W831" s="82">
        <f>IFERROR(__xludf.DUMMYFUNCTION("""COMPUTED_VALUE"""),1.5101991566488222)</f>
        <v>1.510199157</v>
      </c>
      <c r="X831" s="82">
        <f>IFERROR(__xludf.DUMMYFUNCTION("""COMPUTED_VALUE"""),2.6478366809883673)</f>
        <v>2.647836681</v>
      </c>
      <c r="Y831" s="82">
        <f>IFERROR(__xludf.DUMMYFUNCTION("""COMPUTED_VALUE"""),374.4118427673802)</f>
        <v>374.4118428</v>
      </c>
      <c r="Z831" s="82">
        <f>IFERROR(__xludf.DUMMYFUNCTION("""COMPUTED_VALUE"""),0.8211060094758666)</f>
        <v>0.8211060095</v>
      </c>
      <c r="AA831" s="82">
        <f>IFERROR(__xludf.DUMMYFUNCTION("""COMPUTED_VALUE"""),0.6162087957350538)</f>
        <v>0.6162087957</v>
      </c>
      <c r="AB831" s="82">
        <f>IFERROR(__xludf.DUMMYFUNCTION("""COMPUTED_VALUE"""),1.4293743704062)</f>
        <v>1.42937437</v>
      </c>
      <c r="AC831" s="82">
        <f>IFERROR(__xludf.DUMMYFUNCTION("""COMPUTED_VALUE"""),2.7957110614763128)</f>
        <v>2.795711061</v>
      </c>
      <c r="AD831" s="82">
        <f>IFERROR(__xludf.DUMMYFUNCTION("""COMPUTED_VALUE"""),1.082920695927992)</f>
        <v>1.082920696</v>
      </c>
      <c r="AE831" s="82">
        <f>IFERROR(__xludf.DUMMYFUNCTION("""COMPUTED_VALUE"""),1.1671249781073487)</f>
        <v>1.167124978</v>
      </c>
      <c r="AF831" s="82">
        <f>IFERROR(__xludf.DUMMYFUNCTION("""COMPUTED_VALUE"""),0.8114132798178701)</f>
        <v>0.8114132798</v>
      </c>
      <c r="AG831" s="82">
        <f>IFERROR(__xludf.DUMMYFUNCTION("""COMPUTED_VALUE"""),1.1660112991903113)</f>
        <v>1.166011299</v>
      </c>
      <c r="AH831" s="82">
        <f>IFERROR(__xludf.DUMMYFUNCTION("""COMPUTED_VALUE"""),1.0581684831804994)</f>
        <v>1.058168483</v>
      </c>
      <c r="AI831" s="82">
        <f>IFERROR(__xludf.DUMMYFUNCTION("""COMPUTED_VALUE"""),0.9727776147917021)</f>
        <v>0.9727776148</v>
      </c>
      <c r="AJ831" s="82">
        <f>IFERROR(__xludf.DUMMYFUNCTION("""COMPUTED_VALUE"""),0.9286969049304734)</f>
        <v>0.9286969049</v>
      </c>
      <c r="AK831" s="82">
        <f>IFERROR(__xludf.DUMMYFUNCTION("""COMPUTED_VALUE"""),0.9509063552024545)</f>
        <v>0.9509063552</v>
      </c>
      <c r="AL831" s="82">
        <f>IFERROR(__xludf.DUMMYFUNCTION("""COMPUTED_VALUE"""),0.9104759421606132)</f>
        <v>0.9104759422</v>
      </c>
      <c r="AM831" s="82">
        <f>IFERROR(__xludf.DUMMYFUNCTION("""COMPUTED_VALUE"""),0.991375343822247)</f>
        <v>0.9913753438</v>
      </c>
      <c r="AN831" s="82">
        <f>IFERROR(__xludf.DUMMYFUNCTION("""COMPUTED_VALUE"""),1.1495554377306065)</f>
        <v>1.149555438</v>
      </c>
      <c r="AO831" s="82">
        <f>IFERROR(__xludf.DUMMYFUNCTION("""COMPUTED_VALUE"""),1.3437341678265025)</f>
        <v>1.343734168</v>
      </c>
      <c r="AP831" s="82">
        <f>IFERROR(__xludf.DUMMYFUNCTION("""COMPUTED_VALUE"""),0.8694496343838928)</f>
        <v>0.8694496344</v>
      </c>
      <c r="AQ831" s="82">
        <f>IFERROR(__xludf.DUMMYFUNCTION("""COMPUTED_VALUE"""),1.1683461098576213)</f>
        <v>1.16834611</v>
      </c>
      <c r="AR831" s="82">
        <f>IFERROR(__xludf.DUMMYFUNCTION("""COMPUTED_VALUE"""),1.1743563582040908)</f>
        <v>1.174356358</v>
      </c>
      <c r="AS831" s="82">
        <f>IFERROR(__xludf.DUMMYFUNCTION("""COMPUTED_VALUE"""),61.0)</f>
        <v>61</v>
      </c>
      <c r="AT831" s="82">
        <f>IFERROR(__xludf.DUMMYFUNCTION("""COMPUTED_VALUE"""),0.5765467301616952)</f>
        <v>0.5765467302</v>
      </c>
      <c r="AU831" s="82">
        <f>IFERROR(__xludf.DUMMYFUNCTION("""COMPUTED_VALUE"""),2.935100888644058)</f>
        <v>2.935100889</v>
      </c>
      <c r="AV831" s="82">
        <f>IFERROR(__xludf.DUMMYFUNCTION("""COMPUTED_VALUE"""),67.15194537935508)</f>
        <v>67.15194538</v>
      </c>
      <c r="AW831" s="82">
        <f t="shared" si="1"/>
        <v>4.059561565</v>
      </c>
      <c r="AX831" s="83">
        <f t="array" ref="AX831">IFERROR(DGET('SBV Import'!A:G,"SBV",{"RSC ID","Tier";B831,A831}))</f>
        <v>58.02267662</v>
      </c>
      <c r="AY831" s="82">
        <f t="shared" si="2"/>
        <v>2.67279335</v>
      </c>
      <c r="AZ831" s="82">
        <v>1.3867682141218474</v>
      </c>
      <c r="BA831" s="84">
        <v>800.0</v>
      </c>
      <c r="BB831" s="84" t="b">
        <f>IFERROR(__xludf.DUMMYFUNCTION("iferror(if(A831="""",,E831&gt;=FILTER(Constants!$F$2:$F$10,Constants!$A$2:$A$10=A831)))"),TRUE)</f>
        <v>1</v>
      </c>
    </row>
    <row r="832">
      <c r="A832" s="80" t="str">
        <f>IFERROR(__xludf.DUMMYFUNCTION("""COMPUTED_VALUE"""),"Elite")</f>
        <v>Elite</v>
      </c>
      <c r="B832" s="73" t="str">
        <f>IFERROR(__xludf.DUMMYFUNCTION("""COMPUTED_VALUE"""),"RSC006197")</f>
        <v>RSC006197</v>
      </c>
      <c r="C832" s="73" t="str">
        <f>IFERROR(__xludf.DUMMYFUNCTION("""COMPUTED_VALUE"""),"Bullet")</f>
        <v>Bullet</v>
      </c>
      <c r="D832" s="73"/>
      <c r="E832" s="82">
        <f>IFERROR(__xludf.DUMMYFUNCTION("""COMPUTED_VALUE"""),11.0)</f>
        <v>11</v>
      </c>
      <c r="F832" s="82">
        <f>IFERROR(__xludf.DUMMYFUNCTION("""COMPUTED_VALUE"""),4.0)</f>
        <v>4</v>
      </c>
      <c r="G832" s="82">
        <f>IFERROR(__xludf.DUMMYFUNCTION("""COMPUTED_VALUE"""),7.0)</f>
        <v>7</v>
      </c>
      <c r="H832" s="86">
        <f>IFERROR(__xludf.DUMMYFUNCTION("""COMPUTED_VALUE"""),0.36363636363636365)</f>
        <v>0.3636363636</v>
      </c>
      <c r="I832" s="86">
        <f>IFERROR(__xludf.DUMMYFUNCTION("""COMPUTED_VALUE"""),0.2631578947368421)</f>
        <v>0.2631578947</v>
      </c>
      <c r="J832" s="82">
        <f>IFERROR(__xludf.DUMMYFUNCTION("""COMPUTED_VALUE"""),371.7142857142857)</f>
        <v>371.7142857</v>
      </c>
      <c r="K832" s="82">
        <f>IFERROR(__xludf.DUMMYFUNCTION("""COMPUTED_VALUE"""),0.7142857142857143)</f>
        <v>0.7142857143</v>
      </c>
      <c r="L832" s="82">
        <f>IFERROR(__xludf.DUMMYFUNCTION("""COMPUTED_VALUE"""),1.0)</f>
        <v>1</v>
      </c>
      <c r="M832" s="82">
        <f>IFERROR(__xludf.DUMMYFUNCTION("""COMPUTED_VALUE"""),1.2857142857142858)</f>
        <v>1.285714286</v>
      </c>
      <c r="N832" s="82">
        <f>IFERROR(__xludf.DUMMYFUNCTION("""COMPUTED_VALUE"""),2.7142857142857144)</f>
        <v>2.714285714</v>
      </c>
      <c r="O832" s="82">
        <f>IFERROR(__xludf.DUMMYFUNCTION("""COMPUTED_VALUE"""),393.047619047619)</f>
        <v>393.047619</v>
      </c>
      <c r="P832" s="82">
        <f>IFERROR(__xludf.DUMMYFUNCTION("""COMPUTED_VALUE"""),1.0)</f>
        <v>1</v>
      </c>
      <c r="Q832" s="82">
        <f>IFERROR(__xludf.DUMMYFUNCTION("""COMPUTED_VALUE"""),0.6666666666666666)</f>
        <v>0.6666666667</v>
      </c>
      <c r="R832" s="82">
        <f>IFERROR(__xludf.DUMMYFUNCTION("""COMPUTED_VALUE"""),1.2857142857142854)</f>
        <v>1.285714286</v>
      </c>
      <c r="S832" s="82">
        <f>IFERROR(__xludf.DUMMYFUNCTION("""COMPUTED_VALUE"""),2.9523809523809526)</f>
        <v>2.952380952</v>
      </c>
      <c r="T832" s="82">
        <f>IFERROR(__xludf.DUMMYFUNCTION("""COMPUTED_VALUE"""),378.56112889251835)</f>
        <v>378.5611289</v>
      </c>
      <c r="U832" s="82">
        <f>IFERROR(__xludf.DUMMYFUNCTION("""COMPUTED_VALUE"""),0.8507032802671748)</f>
        <v>0.8507032803</v>
      </c>
      <c r="V832" s="82">
        <f>IFERROR(__xludf.DUMMYFUNCTION("""COMPUTED_VALUE"""),0.6148073754057527)</f>
        <v>0.6148073754</v>
      </c>
      <c r="W832" s="82">
        <f>IFERROR(__xludf.DUMMYFUNCTION("""COMPUTED_VALUE"""),1.3910555131143365)</f>
        <v>1.391055513</v>
      </c>
      <c r="X832" s="82">
        <f>IFERROR(__xludf.DUMMYFUNCTION("""COMPUTED_VALUE"""),2.9433213619826195)</f>
        <v>2.943321362</v>
      </c>
      <c r="Y832" s="82">
        <f>IFERROR(__xludf.DUMMYFUNCTION("""COMPUTED_VALUE"""),362.6658744793633)</f>
        <v>362.6658745</v>
      </c>
      <c r="Z832" s="82">
        <f>IFERROR(__xludf.DUMMYFUNCTION("""COMPUTED_VALUE"""),0.7356382330013161)</f>
        <v>0.735638233</v>
      </c>
      <c r="AA832" s="82">
        <f>IFERROR(__xludf.DUMMYFUNCTION("""COMPUTED_VALUE"""),0.5367588275296186)</f>
        <v>0.5367588275</v>
      </c>
      <c r="AB832" s="82">
        <f>IFERROR(__xludf.DUMMYFUNCTION("""COMPUTED_VALUE"""),1.5793068324508488)</f>
        <v>1.579306832</v>
      </c>
      <c r="AC832" s="82">
        <f>IFERROR(__xludf.DUMMYFUNCTION("""COMPUTED_VALUE"""),2.5029482012240645)</f>
        <v>2.502948201</v>
      </c>
      <c r="AD832" s="82">
        <f>IFERROR(__xludf.DUMMYFUNCTION("""COMPUTED_VALUE"""),1.024949717830254)</f>
        <v>1.024949718</v>
      </c>
      <c r="AE832" s="82">
        <f>IFERROR(__xludf.DUMMYFUNCTION("""COMPUTED_VALUE"""),0.9709741585500714)</f>
        <v>0.9709741586</v>
      </c>
      <c r="AF832" s="82">
        <f>IFERROR(__xludf.DUMMYFUNCTION("""COMPUTED_VALUE"""),1.863034101558059)</f>
        <v>1.863034102</v>
      </c>
      <c r="AG832" s="82">
        <f>IFERROR(__xludf.DUMMYFUNCTION("""COMPUTED_VALUE"""),0.8141003757446227)</f>
        <v>0.8141003757</v>
      </c>
      <c r="AH832" s="82">
        <f>IFERROR(__xludf.DUMMYFUNCTION("""COMPUTED_VALUE"""),1.0844354321668725)</f>
        <v>1.084435432</v>
      </c>
      <c r="AI832" s="82">
        <f>IFERROR(__xludf.DUMMYFUNCTION("""COMPUTED_VALUE"""),1.038267241535022)</f>
        <v>1.038267242</v>
      </c>
      <c r="AJ832" s="82">
        <f>IFERROR(__xludf.DUMMYFUNCTION("""COMPUTED_VALUE"""),1.1754979946544188)</f>
        <v>1.175497995</v>
      </c>
      <c r="AK832" s="82">
        <f>IFERROR(__xludf.DUMMYFUNCTION("""COMPUTED_VALUE"""),1.0843504703024887)</f>
        <v>1.08435047</v>
      </c>
      <c r="AL832" s="82">
        <f>IFERROR(__xludf.DUMMYFUNCTION("""COMPUTED_VALUE"""),0.9242724489375624)</f>
        <v>0.9242724489</v>
      </c>
      <c r="AM832" s="82">
        <f>IFERROR(__xludf.DUMMYFUNCTION("""COMPUTED_VALUE"""),1.003078016051985)</f>
        <v>1.003078016</v>
      </c>
      <c r="AN832" s="82">
        <f>IFERROR(__xludf.DUMMYFUNCTION("""COMPUTED_VALUE"""),1.0538843163292706)</f>
        <v>1.053884316</v>
      </c>
      <c r="AO832" s="82">
        <f>IFERROR(__xludf.DUMMYFUNCTION("""COMPUTED_VALUE"""),1.0015409946532938)</f>
        <v>1.001540995</v>
      </c>
      <c r="AP832" s="82">
        <f>IFERROR(__xludf.DUMMYFUNCTION("""COMPUTED_VALUE"""),1.7388992687677856)</f>
        <v>1.738899269</v>
      </c>
      <c r="AQ832" s="82">
        <f>IFERROR(__xludf.DUMMYFUNCTION("""COMPUTED_VALUE"""),0.9012955704615936)</f>
        <v>0.9012955705</v>
      </c>
      <c r="AR832" s="82">
        <f>IFERROR(__xludf.DUMMYFUNCTION("""COMPUTED_VALUE"""),1.0774778658773951)</f>
        <v>1.077477866</v>
      </c>
      <c r="AS832" s="82">
        <f>IFERROR(__xludf.DUMMYFUNCTION("""COMPUTED_VALUE"""),14.0)</f>
        <v>14</v>
      </c>
      <c r="AT832" s="82">
        <f>IFERROR(__xludf.DUMMYFUNCTION("""COMPUTED_VALUE"""),0.2140249782377047)</f>
        <v>0.2140249782</v>
      </c>
      <c r="AU832" s="82">
        <f>IFERROR(__xludf.DUMMYFUNCTION("""COMPUTED_VALUE"""),2.9189163826966373)</f>
        <v>2.918916383</v>
      </c>
      <c r="AV832" s="82">
        <f>IFERROR(__xludf.DUMMYFUNCTION("""COMPUTED_VALUE"""),66.69716951613742)</f>
        <v>66.69716952</v>
      </c>
      <c r="AW832" s="82">
        <f t="shared" si="1"/>
        <v>3.966633738</v>
      </c>
      <c r="AX832" s="83">
        <f t="array" ref="AX832">IFERROR(DGET('SBV Import'!A:G,"SBV",{"RSC ID","Tier";B832,A832}))</f>
        <v>57.32959433</v>
      </c>
      <c r="AY832" s="82">
        <f t="shared" si="2"/>
        <v>2.59949</v>
      </c>
      <c r="AZ832" s="82">
        <v>1.3671437382280387</v>
      </c>
      <c r="BA832" s="84">
        <v>800.0</v>
      </c>
      <c r="BB832" s="84" t="b">
        <f>IFERROR(__xludf.DUMMYFUNCTION("iferror(if(A832="""",,E832&gt;=FILTER(Constants!$F$2:$F$10,Constants!$A$2:$A$10=A832)))"),TRUE)</f>
        <v>1</v>
      </c>
    </row>
    <row r="833">
      <c r="A833" s="80" t="str">
        <f>IFERROR(__xludf.DUMMYFUNCTION("""COMPUTED_VALUE"""),"Elite")</f>
        <v>Elite</v>
      </c>
      <c r="B833" s="73" t="str">
        <f>IFERROR(__xludf.DUMMYFUNCTION("""COMPUTED_VALUE"""),"RSC000623")</f>
        <v>RSC000623</v>
      </c>
      <c r="C833" s="73" t="str">
        <f>IFERROR(__xludf.DUMMYFUNCTION("""COMPUTED_VALUE"""),"wall2wall3")</f>
        <v>wall2wall3</v>
      </c>
      <c r="D833" s="73" t="str">
        <f>IFERROR(__xludf.DUMMYFUNCTION("""COMPUTED_VALUE"""),"Cyclones")</f>
        <v>Cyclones</v>
      </c>
      <c r="E833" s="82">
        <f>IFERROR(__xludf.DUMMYFUNCTION("""COMPUTED_VALUE"""),36.0)</f>
        <v>36</v>
      </c>
      <c r="F833" s="82">
        <f>IFERROR(__xludf.DUMMYFUNCTION("""COMPUTED_VALUE"""),18.0)</f>
        <v>18</v>
      </c>
      <c r="G833" s="82">
        <f>IFERROR(__xludf.DUMMYFUNCTION("""COMPUTED_VALUE"""),18.0)</f>
        <v>18</v>
      </c>
      <c r="H833" s="86">
        <f>IFERROR(__xludf.DUMMYFUNCTION("""COMPUTED_VALUE"""),0.5)</f>
        <v>0.5</v>
      </c>
      <c r="I833" s="86">
        <f>IFERROR(__xludf.DUMMYFUNCTION("""COMPUTED_VALUE"""),0.3364485981308411)</f>
        <v>0.3364485981</v>
      </c>
      <c r="J833" s="82">
        <f>IFERROR(__xludf.DUMMYFUNCTION("""COMPUTED_VALUE"""),401.9166666666667)</f>
        <v>401.9166667</v>
      </c>
      <c r="K833" s="82">
        <f>IFERROR(__xludf.DUMMYFUNCTION("""COMPUTED_VALUE"""),1.0)</f>
        <v>1</v>
      </c>
      <c r="L833" s="82">
        <f>IFERROR(__xludf.DUMMYFUNCTION("""COMPUTED_VALUE"""),0.4722222222222222)</f>
        <v>0.4722222222</v>
      </c>
      <c r="M833" s="82">
        <f>IFERROR(__xludf.DUMMYFUNCTION("""COMPUTED_VALUE"""),1.6666666666666667)</f>
        <v>1.666666667</v>
      </c>
      <c r="N833" s="82">
        <f>IFERROR(__xludf.DUMMYFUNCTION("""COMPUTED_VALUE"""),2.9722222222222223)</f>
        <v>2.972222222</v>
      </c>
      <c r="O833" s="82">
        <f>IFERROR(__xludf.DUMMYFUNCTION("""COMPUTED_VALUE"""),367.87962962962973)</f>
        <v>367.8796296</v>
      </c>
      <c r="P833" s="82">
        <f>IFERROR(__xludf.DUMMYFUNCTION("""COMPUTED_VALUE"""),0.7962962962962964)</f>
        <v>0.7962962963</v>
      </c>
      <c r="Q833" s="82">
        <f>IFERROR(__xludf.DUMMYFUNCTION("""COMPUTED_VALUE"""),0.5648148148148151)</f>
        <v>0.5648148148</v>
      </c>
      <c r="R833" s="82">
        <f>IFERROR(__xludf.DUMMYFUNCTION("""COMPUTED_VALUE"""),1.509259259259259)</f>
        <v>1.509259259</v>
      </c>
      <c r="S833" s="82">
        <f>IFERROR(__xludf.DUMMYFUNCTION("""COMPUTED_VALUE"""),2.7222222222222223)</f>
        <v>2.722222222</v>
      </c>
      <c r="T833" s="82">
        <f>IFERROR(__xludf.DUMMYFUNCTION("""COMPUTED_VALUE"""),365.58651854084826)</f>
        <v>365.5865185</v>
      </c>
      <c r="U833" s="82">
        <f>IFERROR(__xludf.DUMMYFUNCTION("""COMPUTED_VALUE"""),0.7858159312661233)</f>
        <v>0.7858159313</v>
      </c>
      <c r="V833" s="82">
        <f>IFERROR(__xludf.DUMMYFUNCTION("""COMPUTED_VALUE"""),0.5635523761751304)</f>
        <v>0.5635523762</v>
      </c>
      <c r="W833" s="82">
        <f>IFERROR(__xludf.DUMMYFUNCTION("""COMPUTED_VALUE"""),1.480659134524002)</f>
        <v>1.480659135</v>
      </c>
      <c r="X833" s="82">
        <f>IFERROR(__xludf.DUMMYFUNCTION("""COMPUTED_VALUE"""),2.691399811125868)</f>
        <v>2.691399811</v>
      </c>
      <c r="Y833" s="82">
        <f>IFERROR(__xludf.DUMMYFUNCTION("""COMPUTED_VALUE"""),376.5087073928382)</f>
        <v>376.5087074</v>
      </c>
      <c r="Z833" s="82">
        <f>IFERROR(__xludf.DUMMYFUNCTION("""COMPUTED_VALUE"""),0.8428390910120696)</f>
        <v>0.842839091</v>
      </c>
      <c r="AA833" s="82">
        <f>IFERROR(__xludf.DUMMYFUNCTION("""COMPUTED_VALUE"""),0.6366927506133773)</f>
        <v>0.6366927506</v>
      </c>
      <c r="AB833" s="82">
        <f>IFERROR(__xludf.DUMMYFUNCTION("""COMPUTED_VALUE"""),1.4547968644207936)</f>
        <v>1.454796864</v>
      </c>
      <c r="AC833" s="82">
        <f>IFERROR(__xludf.DUMMYFUNCTION("""COMPUTED_VALUE"""),2.791720033964337)</f>
        <v>2.791720034</v>
      </c>
      <c r="AD833" s="82">
        <f>IFERROR(__xludf.DUMMYFUNCTION("""COMPUTED_VALUE"""),1.067483058890637)</f>
        <v>1.067483059</v>
      </c>
      <c r="AE833" s="82">
        <f>IFERROR(__xludf.DUMMYFUNCTION("""COMPUTED_VALUE"""),1.1864660890362997)</f>
        <v>1.186466089</v>
      </c>
      <c r="AF833" s="82">
        <f>IFERROR(__xludf.DUMMYFUNCTION("""COMPUTED_VALUE"""),0.7416799103920888)</f>
        <v>0.7416799104</v>
      </c>
      <c r="AG833" s="82">
        <f>IFERROR(__xludf.DUMMYFUNCTION("""COMPUTED_VALUE"""),1.1456353168112072)</f>
        <v>1.145635317</v>
      </c>
      <c r="AH833" s="82">
        <f>IFERROR(__xludf.DUMMYFUNCTION("""COMPUTED_VALUE"""),1.064656264260699)</f>
        <v>1.064656264</v>
      </c>
      <c r="AI833" s="82">
        <f>IFERROR(__xludf.DUMMYFUNCTION("""COMPUTED_VALUE"""),1.006272416986091)</f>
        <v>1.006272417</v>
      </c>
      <c r="AJ833" s="82">
        <f>IFERROR(__xludf.DUMMYFUNCTION("""COMPUTED_VALUE"""),1.013336921043694)</f>
        <v>1.013336921</v>
      </c>
      <c r="AK833" s="82">
        <f>IFERROR(__xludf.DUMMYFUNCTION("""COMPUTED_VALUE"""),1.002240144293691)</f>
        <v>1.002240144</v>
      </c>
      <c r="AL833" s="82">
        <f>IFERROR(__xludf.DUMMYFUNCTION("""COMPUTED_VALUE"""),1.0193158060950005)</f>
        <v>1.019315806</v>
      </c>
      <c r="AM833" s="82">
        <f>IFERROR(__xludf.DUMMYFUNCTION("""COMPUTED_VALUE"""),1.011452185947602)</f>
        <v>1.011452186</v>
      </c>
      <c r="AN833" s="82">
        <f>IFERROR(__xludf.DUMMYFUNCTION("""COMPUTED_VALUE"""),1.139514104650029)</f>
        <v>1.139514105</v>
      </c>
      <c r="AO833" s="82">
        <f>IFERROR(__xludf.DUMMYFUNCTION("""COMPUTED_VALUE"""),1.4021573925146114)</f>
        <v>1.402157393</v>
      </c>
      <c r="AP833" s="82">
        <f>IFERROR(__xludf.DUMMYFUNCTION("""COMPUTED_VALUE"""),0.8211468769181209)</f>
        <v>0.8211468769</v>
      </c>
      <c r="AQ833" s="82">
        <f>IFERROR(__xludf.DUMMYFUNCTION("""COMPUTED_VALUE"""),1.1683461098576213)</f>
        <v>1.16834611</v>
      </c>
      <c r="AR833" s="82">
        <f>IFERROR(__xludf.DUMMYFUNCTION("""COMPUTED_VALUE"""),1.1798697683365043)</f>
        <v>1.179869768</v>
      </c>
      <c r="AS833" s="82">
        <f>IFERROR(__xludf.DUMMYFUNCTION("""COMPUTED_VALUE"""),87.0)</f>
        <v>87</v>
      </c>
      <c r="AT833" s="82">
        <f>IFERROR(__xludf.DUMMYFUNCTION("""COMPUTED_VALUE"""),0.5045349994905725)</f>
        <v>0.5045349995</v>
      </c>
      <c r="AU833" s="82">
        <f>IFERROR(__xludf.DUMMYFUNCTION("""COMPUTED_VALUE"""),2.8818218528886805)</f>
        <v>2.881821853</v>
      </c>
      <c r="AV833" s="82">
        <f>IFERROR(__xludf.DUMMYFUNCTION("""COMPUTED_VALUE"""),65.65483329229023)</f>
        <v>65.65483329</v>
      </c>
      <c r="AW833" s="82">
        <f t="shared" si="1"/>
        <v>3.765144301</v>
      </c>
      <c r="AX833" s="83">
        <f t="array" ref="AX833">IFERROR(DGET('SBV Import'!A:G,"SBV",{"RSC ID","Tier";B833,A833}))</f>
        <v>58.05461929</v>
      </c>
      <c r="AY833" s="82">
        <f t="shared" si="2"/>
        <v>2.676255797</v>
      </c>
      <c r="AZ833" s="82">
        <v>1.0888885036903213</v>
      </c>
      <c r="BA833" s="84">
        <v>800.0</v>
      </c>
      <c r="BB833" s="84" t="b">
        <f>IFERROR(__xludf.DUMMYFUNCTION("iferror(if(A833="""",,E833&gt;=FILTER(Constants!$F$2:$F$10,Constants!$A$2:$A$10=A833)))"),TRUE)</f>
        <v>1</v>
      </c>
    </row>
    <row r="834">
      <c r="A834" s="80" t="str">
        <f>IFERROR(__xludf.DUMMYFUNCTION("""COMPUTED_VALUE"""),"Elite")</f>
        <v>Elite</v>
      </c>
      <c r="B834" s="73" t="str">
        <f>IFERROR(__xludf.DUMMYFUNCTION("""COMPUTED_VALUE"""),"RSC000787")</f>
        <v>RSC000787</v>
      </c>
      <c r="C834" s="73" t="str">
        <f>IFERROR(__xludf.DUMMYFUNCTION("""COMPUTED_VALUE"""),"buckle")</f>
        <v>buckle</v>
      </c>
      <c r="D834" s="73" t="str">
        <f>IFERROR(__xludf.DUMMYFUNCTION("""COMPUTED_VALUE"""),"Praetorian Guard")</f>
        <v>Praetorian Guard</v>
      </c>
      <c r="E834" s="82">
        <f>IFERROR(__xludf.DUMMYFUNCTION("""COMPUTED_VALUE"""),24.0)</f>
        <v>24</v>
      </c>
      <c r="F834" s="82">
        <f>IFERROR(__xludf.DUMMYFUNCTION("""COMPUTED_VALUE"""),15.0)</f>
        <v>15</v>
      </c>
      <c r="G834" s="82">
        <f>IFERROR(__xludf.DUMMYFUNCTION("""COMPUTED_VALUE"""),9.0)</f>
        <v>9</v>
      </c>
      <c r="H834" s="86">
        <f>IFERROR(__xludf.DUMMYFUNCTION("""COMPUTED_VALUE"""),0.625)</f>
        <v>0.625</v>
      </c>
      <c r="I834" s="86">
        <f>IFERROR(__xludf.DUMMYFUNCTION("""COMPUTED_VALUE"""),0.38095238095238093)</f>
        <v>0.380952381</v>
      </c>
      <c r="J834" s="82">
        <f>IFERROR(__xludf.DUMMYFUNCTION("""COMPUTED_VALUE"""),407.3333333333333)</f>
        <v>407.3333333</v>
      </c>
      <c r="K834" s="82">
        <f>IFERROR(__xludf.DUMMYFUNCTION("""COMPUTED_VALUE"""),1.0)</f>
        <v>1</v>
      </c>
      <c r="L834" s="82">
        <f>IFERROR(__xludf.DUMMYFUNCTION("""COMPUTED_VALUE"""),0.625)</f>
        <v>0.625</v>
      </c>
      <c r="M834" s="82">
        <f>IFERROR(__xludf.DUMMYFUNCTION("""COMPUTED_VALUE"""),1.625)</f>
        <v>1.625</v>
      </c>
      <c r="N834" s="82">
        <f>IFERROR(__xludf.DUMMYFUNCTION("""COMPUTED_VALUE"""),2.625)</f>
        <v>2.625</v>
      </c>
      <c r="O834" s="82">
        <f>IFERROR(__xludf.DUMMYFUNCTION("""COMPUTED_VALUE"""),351.7638888888889)</f>
        <v>351.7638889</v>
      </c>
      <c r="P834" s="82">
        <f>IFERROR(__xludf.DUMMYFUNCTION("""COMPUTED_VALUE"""),0.6944444444444443)</f>
        <v>0.6944444444</v>
      </c>
      <c r="Q834" s="82">
        <f>IFERROR(__xludf.DUMMYFUNCTION("""COMPUTED_VALUE"""),0.5833333333333334)</f>
        <v>0.5833333333</v>
      </c>
      <c r="R834" s="82">
        <f>IFERROR(__xludf.DUMMYFUNCTION("""COMPUTED_VALUE"""),1.3888888888888886)</f>
        <v>1.388888889</v>
      </c>
      <c r="S834" s="82">
        <f>IFERROR(__xludf.DUMMYFUNCTION("""COMPUTED_VALUE"""),2.3611111111111116)</f>
        <v>2.361111111</v>
      </c>
      <c r="T834" s="82">
        <f>IFERROR(__xludf.DUMMYFUNCTION("""COMPUTED_VALUE"""),356.69558170165345)</f>
        <v>356.6955817</v>
      </c>
      <c r="U834" s="82">
        <f>IFERROR(__xludf.DUMMYFUNCTION("""COMPUTED_VALUE"""),0.7310836552679797)</f>
        <v>0.7310836553</v>
      </c>
      <c r="V834" s="82">
        <f>IFERROR(__xludf.DUMMYFUNCTION("""COMPUTED_VALUE"""),0.5210676033474106)</f>
        <v>0.5210676033</v>
      </c>
      <c r="W834" s="82">
        <f>IFERROR(__xludf.DUMMYFUNCTION("""COMPUTED_VALUE"""),1.5103502414687322)</f>
        <v>1.510350241</v>
      </c>
      <c r="X834" s="82">
        <f>IFERROR(__xludf.DUMMYFUNCTION("""COMPUTED_VALUE"""),2.3817608449737375)</f>
        <v>2.381760845</v>
      </c>
      <c r="Y834" s="82">
        <f>IFERROR(__xludf.DUMMYFUNCTION("""COMPUTED_VALUE"""),375.50294493991737)</f>
        <v>375.5029449</v>
      </c>
      <c r="Z834" s="82">
        <f>IFERROR(__xludf.DUMMYFUNCTION("""COMPUTED_VALUE"""),0.8680162241573797)</f>
        <v>0.8680162242</v>
      </c>
      <c r="AA834" s="82">
        <f>IFERROR(__xludf.DUMMYFUNCTION("""COMPUTED_VALUE"""),0.651135138634216)</f>
        <v>0.6511351386</v>
      </c>
      <c r="AB834" s="82">
        <f>IFERROR(__xludf.DUMMYFUNCTION("""COMPUTED_VALUE"""),1.3352627756055178)</f>
        <v>1.335262776</v>
      </c>
      <c r="AC834" s="82">
        <f>IFERROR(__xludf.DUMMYFUNCTION("""COMPUTED_VALUE"""),2.8763305626366975)</f>
        <v>2.876330563</v>
      </c>
      <c r="AD834" s="82">
        <f>IFERROR(__xludf.DUMMYFUNCTION("""COMPUTED_VALUE"""),1.0847673468939345)</f>
        <v>1.084767347</v>
      </c>
      <c r="AE834" s="82">
        <f>IFERROR(__xludf.DUMMYFUNCTION("""COMPUTED_VALUE"""),1.1520521992209796)</f>
        <v>1.152052199</v>
      </c>
      <c r="AF834" s="82">
        <f>IFERROR(__xludf.DUMMYFUNCTION("""COMPUTED_VALUE"""),0.9598621897613518)</f>
        <v>0.9598621898</v>
      </c>
      <c r="AG834" s="82">
        <f>IFERROR(__xludf.DUMMYFUNCTION("""COMPUTED_VALUE"""),1.2169889176031974)</f>
        <v>1.216988918</v>
      </c>
      <c r="AH834" s="82">
        <f>IFERROR(__xludf.DUMMYFUNCTION("""COMPUTED_VALUE"""),0.9126211131983711)</f>
        <v>0.9126211132</v>
      </c>
      <c r="AI834" s="82">
        <f>IFERROR(__xludf.DUMMYFUNCTION("""COMPUTED_VALUE"""),0.9861739447703911)</f>
        <v>0.9861739448</v>
      </c>
      <c r="AJ834" s="82">
        <f>IFERROR(__xludf.DUMMYFUNCTION("""COMPUTED_VALUE"""),0.9498836958540603)</f>
        <v>0.9498836959</v>
      </c>
      <c r="AK834" s="82">
        <f>IFERROR(__xludf.DUMMYFUNCTION("""COMPUTED_VALUE"""),1.119496452256711)</f>
        <v>1.119496452</v>
      </c>
      <c r="AL834" s="82">
        <f>IFERROR(__xludf.DUMMYFUNCTION("""COMPUTED_VALUE"""),0.9195806712609063)</f>
        <v>0.9195806713</v>
      </c>
      <c r="AM834" s="82">
        <f>IFERROR(__xludf.DUMMYFUNCTION("""COMPUTED_VALUE"""),0.9913300556996714)</f>
        <v>0.9913300557</v>
      </c>
      <c r="AN834" s="82">
        <f>IFERROR(__xludf.DUMMYFUNCTION("""COMPUTED_VALUE"""),1.1548714375967948)</f>
        <v>1.154871438</v>
      </c>
      <c r="AO834" s="82">
        <f>IFERROR(__xludf.DUMMYFUNCTION("""COMPUTED_VALUE"""),1.4021573925146114)</f>
        <v>1.402157393</v>
      </c>
      <c r="AP834" s="82">
        <f>IFERROR(__xludf.DUMMYFUNCTION("""COMPUTED_VALUE"""),1.086812042979866)</f>
        <v>1.086812043</v>
      </c>
      <c r="AQ834" s="82">
        <f>IFERROR(__xludf.DUMMYFUNCTION("""COMPUTED_VALUE"""),1.1391374571111808)</f>
        <v>1.139137457</v>
      </c>
      <c r="AR834" s="82">
        <f>IFERROR(__xludf.DUMMYFUNCTION("""COMPUTED_VALUE"""),1.042034515026165)</f>
        <v>1.042034515</v>
      </c>
      <c r="AS834" s="82">
        <f>IFERROR(__xludf.DUMMYFUNCTION("""COMPUTED_VALUE"""),59.0)</f>
        <v>59</v>
      </c>
      <c r="AT834" s="82">
        <f>IFERROR(__xludf.DUMMYFUNCTION("""COMPUTED_VALUE"""),0.563539288391552)</f>
        <v>0.5635392884</v>
      </c>
      <c r="AU834" s="82">
        <f>IFERROR(__xludf.DUMMYFUNCTION("""COMPUTED_VALUE"""),2.8638601385617934)</f>
        <v>2.863860139</v>
      </c>
      <c r="AV834" s="82">
        <f>IFERROR(__xludf.DUMMYFUNCTION("""COMPUTED_VALUE"""),65.15011883486926)</f>
        <v>65.15011883</v>
      </c>
      <c r="AW834" s="82">
        <f t="shared" si="1"/>
        <v>3.673016354</v>
      </c>
      <c r="AX834" s="83">
        <f t="array" ref="AX834">IFERROR(DGET('SBV Import'!A:G,"SBV",{"RSC ID","Tier";B834,A834}))</f>
        <v>66.76343051</v>
      </c>
      <c r="AY834" s="82">
        <f t="shared" si="2"/>
        <v>3.979977627</v>
      </c>
      <c r="AZ834" s="82">
        <v>0.3069612730520297</v>
      </c>
      <c r="BA834" s="84">
        <v>800.0</v>
      </c>
      <c r="BB834" s="84" t="b">
        <f>IFERROR(__xludf.DUMMYFUNCTION("iferror(if(A834="""",,E834&gt;=FILTER(Constants!$F$2:$F$10,Constants!$A$2:$A$10=A834)))"),TRUE)</f>
        <v>1</v>
      </c>
    </row>
    <row r="835">
      <c r="A835" s="80" t="str">
        <f>IFERROR(__xludf.DUMMYFUNCTION("""COMPUTED_VALUE"""),"Elite")</f>
        <v>Elite</v>
      </c>
      <c r="B835" s="73" t="str">
        <f>IFERROR(__xludf.DUMMYFUNCTION("""COMPUTED_VALUE"""),"RSC005298")</f>
        <v>RSC005298</v>
      </c>
      <c r="C835" s="73" t="str">
        <f>IFERROR(__xludf.DUMMYFUNCTION("""COMPUTED_VALUE"""),"Kaisaroh")</f>
        <v>Kaisaroh</v>
      </c>
      <c r="D835" s="73" t="str">
        <f>IFERROR(__xludf.DUMMYFUNCTION("""COMPUTED_VALUE"""),"Nightshade")</f>
        <v>Nightshade</v>
      </c>
      <c r="E835" s="82">
        <f>IFERROR(__xludf.DUMMYFUNCTION("""COMPUTED_VALUE"""),36.0)</f>
        <v>36</v>
      </c>
      <c r="F835" s="82">
        <f>IFERROR(__xludf.DUMMYFUNCTION("""COMPUTED_VALUE"""),20.0)</f>
        <v>20</v>
      </c>
      <c r="G835" s="82">
        <f>IFERROR(__xludf.DUMMYFUNCTION("""COMPUTED_VALUE"""),16.0)</f>
        <v>16</v>
      </c>
      <c r="H835" s="86">
        <f>IFERROR(__xludf.DUMMYFUNCTION("""COMPUTED_VALUE"""),0.5555555555555556)</f>
        <v>0.5555555556</v>
      </c>
      <c r="I835" s="86">
        <f>IFERROR(__xludf.DUMMYFUNCTION("""COMPUTED_VALUE"""),0.3106796116504854)</f>
        <v>0.3106796117</v>
      </c>
      <c r="J835" s="82">
        <f>IFERROR(__xludf.DUMMYFUNCTION("""COMPUTED_VALUE"""),373.8888888888889)</f>
        <v>373.8888889</v>
      </c>
      <c r="K835" s="82">
        <f>IFERROR(__xludf.DUMMYFUNCTION("""COMPUTED_VALUE"""),0.8888888888888888)</f>
        <v>0.8888888889</v>
      </c>
      <c r="L835" s="82">
        <f>IFERROR(__xludf.DUMMYFUNCTION("""COMPUTED_VALUE"""),0.6944444444444444)</f>
        <v>0.6944444444</v>
      </c>
      <c r="M835" s="82">
        <f>IFERROR(__xludf.DUMMYFUNCTION("""COMPUTED_VALUE"""),1.1666666666666667)</f>
        <v>1.166666667</v>
      </c>
      <c r="N835" s="82">
        <f>IFERROR(__xludf.DUMMYFUNCTION("""COMPUTED_VALUE"""),2.861111111111111)</f>
        <v>2.861111111</v>
      </c>
      <c r="O835" s="82">
        <f>IFERROR(__xludf.DUMMYFUNCTION("""COMPUTED_VALUE"""),347.57407407407413)</f>
        <v>347.5740741</v>
      </c>
      <c r="P835" s="82">
        <f>IFERROR(__xludf.DUMMYFUNCTION("""COMPUTED_VALUE"""),0.7314814814814815)</f>
        <v>0.7314814815</v>
      </c>
      <c r="Q835" s="82">
        <f>IFERROR(__xludf.DUMMYFUNCTION("""COMPUTED_VALUE"""),0.5185185185185186)</f>
        <v>0.5185185185</v>
      </c>
      <c r="R835" s="82">
        <f>IFERROR(__xludf.DUMMYFUNCTION("""COMPUTED_VALUE"""),1.416666666666667)</f>
        <v>1.416666667</v>
      </c>
      <c r="S835" s="82">
        <f>IFERROR(__xludf.DUMMYFUNCTION("""COMPUTED_VALUE"""),2.5092592592592595)</f>
        <v>2.509259259</v>
      </c>
      <c r="T835" s="82">
        <f>IFERROR(__xludf.DUMMYFUNCTION("""COMPUTED_VALUE"""),341.98781906393947)</f>
        <v>341.9878191</v>
      </c>
      <c r="U835" s="82">
        <f>IFERROR(__xludf.DUMMYFUNCTION("""COMPUTED_VALUE"""),0.6777306405805732)</f>
        <v>0.6777306406</v>
      </c>
      <c r="V835" s="82">
        <f>IFERROR(__xludf.DUMMYFUNCTION("""COMPUTED_VALUE"""),0.530722427350558)</f>
        <v>0.5307224274</v>
      </c>
      <c r="W835" s="82">
        <f>IFERROR(__xludf.DUMMYFUNCTION("""COMPUTED_VALUE"""),1.3864794012431219)</f>
        <v>1.386479401</v>
      </c>
      <c r="X835" s="82">
        <f>IFERROR(__xludf.DUMMYFUNCTION("""COMPUTED_VALUE"""),2.4599730961630133)</f>
        <v>2.459973096</v>
      </c>
      <c r="Y835" s="82">
        <f>IFERROR(__xludf.DUMMYFUNCTION("""COMPUTED_VALUE"""),366.9536720762573)</f>
        <v>366.9536721</v>
      </c>
      <c r="Z835" s="82">
        <f>IFERROR(__xludf.DUMMYFUNCTION("""COMPUTED_VALUE"""),0.8340740857005766)</f>
        <v>0.8340740857</v>
      </c>
      <c r="AA835" s="82">
        <f>IFERROR(__xludf.DUMMYFUNCTION("""COMPUTED_VALUE"""),0.6410080853890217)</f>
        <v>0.6410080854</v>
      </c>
      <c r="AB835" s="82">
        <f>IFERROR(__xludf.DUMMYFUNCTION("""COMPUTED_VALUE"""),1.3382730086897707)</f>
        <v>1.338273009</v>
      </c>
      <c r="AC835" s="82">
        <f>IFERROR(__xludf.DUMMYFUNCTION("""COMPUTED_VALUE"""),2.7482321740563385)</f>
        <v>2.748232174</v>
      </c>
      <c r="AD835" s="82">
        <f>IFERROR(__xludf.DUMMYFUNCTION("""COMPUTED_VALUE"""),1.0188994342893247)</f>
        <v>1.018899434</v>
      </c>
      <c r="AE835" s="82">
        <f>IFERROR(__xludf.DUMMYFUNCTION("""COMPUTED_VALUE"""),1.065719345712882)</f>
        <v>1.065719346</v>
      </c>
      <c r="AF835" s="82">
        <f>IFERROR(__xludf.DUMMYFUNCTION("""COMPUTED_VALUE"""),1.0833630031717818)</f>
        <v>1.083363003</v>
      </c>
      <c r="AG835" s="82">
        <f>IFERROR(__xludf.DUMMYFUNCTION("""COMPUTED_VALUE"""),0.8717703032872834)</f>
        <v>0.8717703033</v>
      </c>
      <c r="AH835" s="82">
        <f>IFERROR(__xludf.DUMMYFUNCTION("""COMPUTED_VALUE"""),1.0410732899936055)</f>
        <v>1.04107329</v>
      </c>
      <c r="AI835" s="82">
        <f>IFERROR(__xludf.DUMMYFUNCTION("""COMPUTED_VALUE"""),1.0163346607648918)</f>
        <v>1.016334661</v>
      </c>
      <c r="AJ835" s="82">
        <f>IFERROR(__xludf.DUMMYFUNCTION("""COMPUTED_VALUE"""),1.0793100351119775)</f>
        <v>1.079310035</v>
      </c>
      <c r="AK835" s="82">
        <f>IFERROR(__xludf.DUMMYFUNCTION("""COMPUTED_VALUE"""),0.9770051005890913)</f>
        <v>0.9770051006</v>
      </c>
      <c r="AL835" s="82">
        <f>IFERROR(__xludf.DUMMYFUNCTION("""COMPUTED_VALUE"""),1.0217726028936882)</f>
        <v>1.021772603</v>
      </c>
      <c r="AM835" s="82">
        <f>IFERROR(__xludf.DUMMYFUNCTION("""COMPUTED_VALUE"""),1.0200352447647176)</f>
        <v>1.020035245</v>
      </c>
      <c r="AN835" s="82">
        <f>IFERROR(__xludf.DUMMYFUNCTION("""COMPUTED_VALUE"""),1.0600497510947122)</f>
        <v>1.060049751</v>
      </c>
      <c r="AO835" s="82">
        <f>IFERROR(__xludf.DUMMYFUNCTION("""COMPUTED_VALUE"""),1.2463621266796545)</f>
        <v>1.246362127</v>
      </c>
      <c r="AP835" s="82">
        <f>IFERROR(__xludf.DUMMYFUNCTION("""COMPUTED_VALUE"""),1.2075689366442954)</f>
        <v>1.207568937</v>
      </c>
      <c r="AQ835" s="82">
        <f>IFERROR(__xludf.DUMMYFUNCTION("""COMPUTED_VALUE"""),0.817842276900335)</f>
        <v>0.8178422769</v>
      </c>
      <c r="AR835" s="82">
        <f>IFERROR(__xludf.DUMMYFUNCTION("""COMPUTED_VALUE"""),1.1357624872771959)</f>
        <v>1.135762487</v>
      </c>
      <c r="AS835" s="82">
        <f>IFERROR(__xludf.DUMMYFUNCTION("""COMPUTED_VALUE"""),90.0)</f>
        <v>90</v>
      </c>
      <c r="AT835" s="82">
        <f>IFERROR(__xludf.DUMMYFUNCTION("""COMPUTED_VALUE"""),0.5506226090316437)</f>
        <v>0.550622609</v>
      </c>
      <c r="AU835" s="82">
        <f>IFERROR(__xludf.DUMMYFUNCTION("""COMPUTED_VALUE"""),2.828813944350198)</f>
        <v>2.828813944</v>
      </c>
      <c r="AV835" s="82">
        <f>IFERROR(__xludf.DUMMYFUNCTION("""COMPUTED_VALUE"""),64.16533973337235)</f>
        <v>64.16533973</v>
      </c>
      <c r="AW835" s="82">
        <f t="shared" si="1"/>
        <v>3.502769656</v>
      </c>
      <c r="AX835" s="83">
        <f t="array" ref="AX835">IFERROR(DGET('SBV Import'!A:G,"SBV",{"RSC ID","Tier";B835,A835}))</f>
        <v>62.10517594</v>
      </c>
      <c r="AY835" s="82">
        <f t="shared" si="2"/>
        <v>3.18350211</v>
      </c>
      <c r="AZ835" s="82">
        <v>0.31926754638944166</v>
      </c>
      <c r="BA835" s="84">
        <v>800.0</v>
      </c>
      <c r="BB835" s="84" t="b">
        <f>IFERROR(__xludf.DUMMYFUNCTION("iferror(if(A835="""",,E835&gt;=FILTER(Constants!$F$2:$F$10,Constants!$A$2:$A$10=A835)))"),TRUE)</f>
        <v>1</v>
      </c>
    </row>
    <row r="836">
      <c r="A836" s="80" t="str">
        <f>IFERROR(__xludf.DUMMYFUNCTION("""COMPUTED_VALUE"""),"Elite")</f>
        <v>Elite</v>
      </c>
      <c r="B836" s="73" t="str">
        <f>IFERROR(__xludf.DUMMYFUNCTION("""COMPUTED_VALUE"""),"RSC006751")</f>
        <v>RSC006751</v>
      </c>
      <c r="C836" s="73" t="str">
        <f>IFERROR(__xludf.DUMMYFUNCTION("""COMPUTED_VALUE"""),"cl0wdy.")</f>
        <v>cl0wdy.</v>
      </c>
      <c r="D836" s="73" t="str">
        <f>IFERROR(__xludf.DUMMYFUNCTION("""COMPUTED_VALUE"""),"Cotija Cartel")</f>
        <v>Cotija Cartel</v>
      </c>
      <c r="E836" s="82">
        <f>IFERROR(__xludf.DUMMYFUNCTION("""COMPUTED_VALUE"""),31.0)</f>
        <v>31</v>
      </c>
      <c r="F836" s="82">
        <f>IFERROR(__xludf.DUMMYFUNCTION("""COMPUTED_VALUE"""),25.0)</f>
        <v>25</v>
      </c>
      <c r="G836" s="82">
        <f>IFERROR(__xludf.DUMMYFUNCTION("""COMPUTED_VALUE"""),6.0)</f>
        <v>6</v>
      </c>
      <c r="H836" s="86">
        <f>IFERROR(__xludf.DUMMYFUNCTION("""COMPUTED_VALUE"""),0.8064516129032258)</f>
        <v>0.8064516129</v>
      </c>
      <c r="I836" s="86">
        <f>IFERROR(__xludf.DUMMYFUNCTION("""COMPUTED_VALUE"""),0.28205128205128205)</f>
        <v>0.2820512821</v>
      </c>
      <c r="J836" s="82">
        <f>IFERROR(__xludf.DUMMYFUNCTION("""COMPUTED_VALUE"""),340.7741935483871)</f>
        <v>340.7741935</v>
      </c>
      <c r="K836" s="82">
        <f>IFERROR(__xludf.DUMMYFUNCTION("""COMPUTED_VALUE"""),0.7096774193548387)</f>
        <v>0.7096774194</v>
      </c>
      <c r="L836" s="82">
        <f>IFERROR(__xludf.DUMMYFUNCTION("""COMPUTED_VALUE"""),0.8709677419354839)</f>
        <v>0.8709677419</v>
      </c>
      <c r="M836" s="82">
        <f>IFERROR(__xludf.DUMMYFUNCTION("""COMPUTED_VALUE"""),1.096774193548387)</f>
        <v>1.096774194</v>
      </c>
      <c r="N836" s="82">
        <f>IFERROR(__xludf.DUMMYFUNCTION("""COMPUTED_VALUE"""),2.5161290322580645)</f>
        <v>2.516129032</v>
      </c>
      <c r="O836" s="82">
        <f>IFERROR(__xludf.DUMMYFUNCTION("""COMPUTED_VALUE"""),311.5483870967742)</f>
        <v>311.5483871</v>
      </c>
      <c r="P836" s="82">
        <f>IFERROR(__xludf.DUMMYFUNCTION("""COMPUTED_VALUE"""),0.5376344086021506)</f>
        <v>0.5376344086</v>
      </c>
      <c r="Q836" s="82">
        <f>IFERROR(__xludf.DUMMYFUNCTION("""COMPUTED_VALUE"""),0.3548387096774195)</f>
        <v>0.3548387097</v>
      </c>
      <c r="R836" s="82">
        <f>IFERROR(__xludf.DUMMYFUNCTION("""COMPUTED_VALUE"""),1.3548387096774186)</f>
        <v>1.35483871</v>
      </c>
      <c r="S836" s="82">
        <f>IFERROR(__xludf.DUMMYFUNCTION("""COMPUTED_VALUE"""),2.10752688172043)</f>
        <v>2.107526882</v>
      </c>
      <c r="T836" s="82">
        <f>IFERROR(__xludf.DUMMYFUNCTION("""COMPUTED_VALUE"""),351.77775868481206)</f>
        <v>351.7777587</v>
      </c>
      <c r="U836" s="82">
        <f>IFERROR(__xludf.DUMMYFUNCTION("""COMPUTED_VALUE"""),0.7258675585770525)</f>
        <v>0.7258675586</v>
      </c>
      <c r="V836" s="82">
        <f>IFERROR(__xludf.DUMMYFUNCTION("""COMPUTED_VALUE"""),0.5111597291189628)</f>
        <v>0.5111597291</v>
      </c>
      <c r="W836" s="82">
        <f>IFERROR(__xludf.DUMMYFUNCTION("""COMPUTED_VALUE"""),1.4672254257506292)</f>
        <v>1.467225426</v>
      </c>
      <c r="X836" s="82">
        <f>IFERROR(__xludf.DUMMYFUNCTION("""COMPUTED_VALUE"""),2.48562373678942)</f>
        <v>2.485623737</v>
      </c>
      <c r="Y836" s="82">
        <f>IFERROR(__xludf.DUMMYFUNCTION("""COMPUTED_VALUE"""),367.86981925570336)</f>
        <v>367.8698193</v>
      </c>
      <c r="Z836" s="82">
        <f>IFERROR(__xludf.DUMMYFUNCTION("""COMPUTED_VALUE"""),0.8294910281825466)</f>
        <v>0.8294910282</v>
      </c>
      <c r="AA836" s="82">
        <f>IFERROR(__xludf.DUMMYFUNCTION("""COMPUTED_VALUE"""),0.6097851978454547)</f>
        <v>0.6097851978</v>
      </c>
      <c r="AB836" s="82">
        <f>IFERROR(__xludf.DUMMYFUNCTION("""COMPUTED_VALUE"""),1.3450624657912817)</f>
        <v>1.345062466</v>
      </c>
      <c r="AC836" s="82">
        <f>IFERROR(__xludf.DUMMYFUNCTION("""COMPUTED_VALUE"""),2.8332102078607972)</f>
        <v>2.833210208</v>
      </c>
      <c r="AD836" s="82">
        <f>IFERROR(__xludf.DUMMYFUNCTION("""COMPUTED_VALUE"""),0.9263445265443688)</f>
        <v>0.9263445265</v>
      </c>
      <c r="AE836" s="82">
        <f>IFERROR(__xludf.DUMMYFUNCTION("""COMPUTED_VALUE"""),0.855557679640942)</f>
        <v>0.8555576796</v>
      </c>
      <c r="AF836" s="82">
        <f>IFERROR(__xludf.DUMMYFUNCTION("""COMPUTED_VALUE"""),1.4283189310151536)</f>
        <v>1.428318931</v>
      </c>
      <c r="AG836" s="82">
        <f>IFERROR(__xludf.DUMMYFUNCTION("""COMPUTED_VALUE"""),0.815407627112076)</f>
        <v>0.8154076271</v>
      </c>
      <c r="AH836" s="82">
        <f>IFERROR(__xludf.DUMMYFUNCTION("""COMPUTED_VALUE"""),0.8880841334246979)</f>
        <v>0.8880841334</v>
      </c>
      <c r="AI836" s="82">
        <f>IFERROR(__xludf.DUMMYFUNCTION("""COMPUTED_VALUE"""),0.8856398092408031)</f>
        <v>0.8856398092</v>
      </c>
      <c r="AJ836" s="82">
        <f>IFERROR(__xludf.DUMMYFUNCTION("""COMPUTED_VALUE"""),0.7406783816817727)</f>
        <v>0.7406783817</v>
      </c>
      <c r="AK836" s="82">
        <f>IFERROR(__xludf.DUMMYFUNCTION("""COMPUTED_VALUE"""),0.6941836171034464)</f>
        <v>0.6941836171</v>
      </c>
      <c r="AL836" s="82">
        <f>IFERROR(__xludf.DUMMYFUNCTION("""COMPUTED_VALUE"""),0.9234018753350639)</f>
        <v>0.9234018753</v>
      </c>
      <c r="AM836" s="82">
        <f>IFERROR(__xludf.DUMMYFUNCTION("""COMPUTED_VALUE"""),0.8478865286516122)</f>
        <v>0.8478865287</v>
      </c>
      <c r="AN836" s="82">
        <f>IFERROR(__xludf.DUMMYFUNCTION("""COMPUTED_VALUE"""),0.9661629692285946)</f>
        <v>0.9661629692</v>
      </c>
      <c r="AO836" s="82">
        <f>IFERROR(__xludf.DUMMYFUNCTION("""COMPUTED_VALUE"""),0.995079439849079)</f>
        <v>0.9950794398</v>
      </c>
      <c r="AP836" s="82">
        <f>IFERROR(__xludf.DUMMYFUNCTION("""COMPUTED_VALUE"""),1.5145251695719422)</f>
        <v>1.51452517</v>
      </c>
      <c r="AQ836" s="82">
        <f>IFERROR(__xludf.DUMMYFUNCTION("""COMPUTED_VALUE"""),0.7688471174546927)</f>
        <v>0.7688471175</v>
      </c>
      <c r="AR836" s="82">
        <f>IFERROR(__xludf.DUMMYFUNCTION("""COMPUTED_VALUE"""),0.9988164936656329)</f>
        <v>0.9988164937</v>
      </c>
      <c r="AS836" s="82">
        <f>IFERROR(__xludf.DUMMYFUNCTION("""COMPUTED_VALUE"""),97.0)</f>
        <v>97</v>
      </c>
      <c r="AT836" s="82">
        <f>IFERROR(__xludf.DUMMYFUNCTION("""COMPUTED_VALUE"""),0.7380537645612133)</f>
        <v>0.7380537646</v>
      </c>
      <c r="AU836" s="82">
        <f>IFERROR(__xludf.DUMMYFUNCTION("""COMPUTED_VALUE"""),2.8167607280634357)</f>
        <v>2.816760728</v>
      </c>
      <c r="AV836" s="82">
        <f>IFERROR(__xludf.DUMMYFUNCTION("""COMPUTED_VALUE"""),63.82665087507978)</f>
        <v>63.82665088</v>
      </c>
      <c r="AW836" s="82">
        <f t="shared" si="1"/>
        <v>3.446979125</v>
      </c>
      <c r="AX836" s="83">
        <f t="array" ref="AX836">IFERROR(DGET('SBV Import'!A:G,"SBV",{"RSC ID","Tier";B836,A836}))</f>
        <v>53.72464288</v>
      </c>
      <c r="AY836" s="82">
        <f t="shared" si="2"/>
        <v>2.268692855</v>
      </c>
      <c r="AZ836" s="82">
        <v>1.1782862701945658</v>
      </c>
      <c r="BA836" s="84">
        <v>800.0</v>
      </c>
      <c r="BB836" s="84" t="b">
        <f>IFERROR(__xludf.DUMMYFUNCTION("iferror(if(A836="""",,E836&gt;=FILTER(Constants!$F$2:$F$10,Constants!$A$2:$A$10=A836)))"),TRUE)</f>
        <v>1</v>
      </c>
    </row>
    <row r="837">
      <c r="A837" s="80" t="str">
        <f>IFERROR(__xludf.DUMMYFUNCTION("""COMPUTED_VALUE"""),"Elite")</f>
        <v>Elite</v>
      </c>
      <c r="B837" s="73" t="str">
        <f>IFERROR(__xludf.DUMMYFUNCTION("""COMPUTED_VALUE"""),"RSC007580")</f>
        <v>RSC007580</v>
      </c>
      <c r="C837" s="73" t="str">
        <f>IFERROR(__xludf.DUMMYFUNCTION("""COMPUTED_VALUE"""),"M4ttiusM4ximu5")</f>
        <v>M4ttiusM4ximu5</v>
      </c>
      <c r="D837" s="73"/>
      <c r="E837" s="82">
        <f>IFERROR(__xludf.DUMMYFUNCTION("""COMPUTED_VALUE"""),32.0)</f>
        <v>32</v>
      </c>
      <c r="F837" s="82">
        <f>IFERROR(__xludf.DUMMYFUNCTION("""COMPUTED_VALUE"""),17.0)</f>
        <v>17</v>
      </c>
      <c r="G837" s="82">
        <f>IFERROR(__xludf.DUMMYFUNCTION("""COMPUTED_VALUE"""),15.0)</f>
        <v>15</v>
      </c>
      <c r="H837" s="86">
        <f>IFERROR(__xludf.DUMMYFUNCTION("""COMPUTED_VALUE"""),0.53125)</f>
        <v>0.53125</v>
      </c>
      <c r="I837" s="86">
        <f>IFERROR(__xludf.DUMMYFUNCTION("""COMPUTED_VALUE"""),0.3146067415730337)</f>
        <v>0.3146067416</v>
      </c>
      <c r="J837" s="82">
        <f>IFERROR(__xludf.DUMMYFUNCTION("""COMPUTED_VALUE"""),370.5)</f>
        <v>370.5</v>
      </c>
      <c r="K837" s="82">
        <f>IFERROR(__xludf.DUMMYFUNCTION("""COMPUTED_VALUE"""),0.875)</f>
        <v>0.875</v>
      </c>
      <c r="L837" s="82">
        <f>IFERROR(__xludf.DUMMYFUNCTION("""COMPUTED_VALUE"""),0.71875)</f>
        <v>0.71875</v>
      </c>
      <c r="M837" s="82">
        <f>IFERROR(__xludf.DUMMYFUNCTION("""COMPUTED_VALUE"""),1.28125)</f>
        <v>1.28125</v>
      </c>
      <c r="N837" s="82">
        <f>IFERROR(__xludf.DUMMYFUNCTION("""COMPUTED_VALUE"""),2.78125)</f>
        <v>2.78125</v>
      </c>
      <c r="O837" s="82">
        <f>IFERROR(__xludf.DUMMYFUNCTION("""COMPUTED_VALUE"""),368.19791666666674)</f>
        <v>368.1979167</v>
      </c>
      <c r="P837" s="82">
        <f>IFERROR(__xludf.DUMMYFUNCTION("""COMPUTED_VALUE"""),0.7812500000000001)</f>
        <v>0.78125</v>
      </c>
      <c r="Q837" s="82">
        <f>IFERROR(__xludf.DUMMYFUNCTION("""COMPUTED_VALUE"""),0.5520833333333335)</f>
        <v>0.5520833333</v>
      </c>
      <c r="R837" s="82">
        <f>IFERROR(__xludf.DUMMYFUNCTION("""COMPUTED_VALUE"""),1.5729166666666665)</f>
        <v>1.572916667</v>
      </c>
      <c r="S837" s="82">
        <f>IFERROR(__xludf.DUMMYFUNCTION("""COMPUTED_VALUE"""),2.625)</f>
        <v>2.625</v>
      </c>
      <c r="T837" s="82">
        <f>IFERROR(__xludf.DUMMYFUNCTION("""COMPUTED_VALUE"""),365.64724655289865)</f>
        <v>365.6472466</v>
      </c>
      <c r="U837" s="82">
        <f>IFERROR(__xludf.DUMMYFUNCTION("""COMPUTED_VALUE"""),0.7717744041558701)</f>
        <v>0.7717744042</v>
      </c>
      <c r="V837" s="82">
        <f>IFERROR(__xludf.DUMMYFUNCTION("""COMPUTED_VALUE"""),0.5554373954192441)</f>
        <v>0.5554373954</v>
      </c>
      <c r="W837" s="82">
        <f>IFERROR(__xludf.DUMMYFUNCTION("""COMPUTED_VALUE"""),1.512819072635799)</f>
        <v>1.512819073</v>
      </c>
      <c r="X837" s="82">
        <f>IFERROR(__xludf.DUMMYFUNCTION("""COMPUTED_VALUE"""),2.6541268708499355)</f>
        <v>2.654126871</v>
      </c>
      <c r="Y837" s="82">
        <f>IFERROR(__xludf.DUMMYFUNCTION("""COMPUTED_VALUE"""),376.52652999904177)</f>
        <v>376.52653</v>
      </c>
      <c r="Z837" s="82">
        <f>IFERROR(__xludf.DUMMYFUNCTION("""COMPUTED_VALUE"""),0.8377580205984548)</f>
        <v>0.8377580206</v>
      </c>
      <c r="AA837" s="82">
        <f>IFERROR(__xludf.DUMMYFUNCTION("""COMPUTED_VALUE"""),0.6366593598721484)</f>
        <v>0.6366593599</v>
      </c>
      <c r="AB837" s="82">
        <f>IFERROR(__xludf.DUMMYFUNCTION("""COMPUTED_VALUE"""),1.4428289570412938)</f>
        <v>1.442828957</v>
      </c>
      <c r="AC837" s="82">
        <f>IFERROR(__xludf.DUMMYFUNCTION("""COMPUTED_VALUE"""),2.827365207962966)</f>
        <v>2.827365208</v>
      </c>
      <c r="AD837" s="82">
        <f>IFERROR(__xludf.DUMMYFUNCTION("""COMPUTED_VALUE"""),0.9839944080459427)</f>
        <v>0.983994408</v>
      </c>
      <c r="AE837" s="82">
        <f>IFERROR(__xludf.DUMMYFUNCTION("""COMPUTED_VALUE"""),1.044454339422428)</f>
        <v>1.044454339</v>
      </c>
      <c r="AF837" s="82">
        <f>IFERROR(__xludf.DUMMYFUNCTION("""COMPUTED_VALUE"""),1.1289396580053999)</f>
        <v>1.128939658</v>
      </c>
      <c r="AG837" s="82">
        <f>IFERROR(__xludf.DUMMYFUNCTION("""COMPUTED_VALUE"""),0.8880123965818982)</f>
        <v>0.8880123966</v>
      </c>
      <c r="AH837" s="82">
        <f>IFERROR(__xludf.DUMMYFUNCTION("""COMPUTED_VALUE"""),0.9836896882535417)</f>
        <v>0.9836896883</v>
      </c>
      <c r="AI837" s="82">
        <f>IFERROR(__xludf.DUMMYFUNCTION("""COMPUTED_VALUE"""),1.0069757673216857)</f>
        <v>1.006975767</v>
      </c>
      <c r="AJ837" s="82">
        <f>IFERROR(__xludf.DUMMYFUNCTION("""COMPUTED_VALUE"""),1.0122776756952623)</f>
        <v>1.012277676</v>
      </c>
      <c r="AK837" s="82">
        <f>IFERROR(__xludf.DUMMYFUNCTION("""COMPUTED_VALUE"""),0.9939614039069534)</f>
        <v>0.9939614039</v>
      </c>
      <c r="AL837" s="82">
        <f>IFERROR(__xludf.DUMMYFUNCTION("""COMPUTED_VALUE"""),1.0397255660758948)</f>
        <v>1.039725566</v>
      </c>
      <c r="AM837" s="82">
        <f>IFERROR(__xludf.DUMMYFUNCTION("""COMPUTED_VALUE"""),0.9890258181815521)</f>
        <v>0.9890258182</v>
      </c>
      <c r="AN837" s="82">
        <f>IFERROR(__xludf.DUMMYFUNCTION("""COMPUTED_VALUE"""),1.0504415735587869)</f>
        <v>1.050441574</v>
      </c>
      <c r="AO837" s="82">
        <f>IFERROR(__xludf.DUMMYFUNCTION("""COMPUTED_VALUE"""),1.2268877184502849)</f>
        <v>1.226887718</v>
      </c>
      <c r="AP837" s="82">
        <f>IFERROR(__xludf.DUMMYFUNCTION("""COMPUTED_VALUE"""),1.2498338494268457)</f>
        <v>1.249833849</v>
      </c>
      <c r="AQ837" s="82">
        <f>IFERROR(__xludf.DUMMYFUNCTION("""COMPUTED_VALUE"""),0.8981660719530463)</f>
        <v>0.898166072</v>
      </c>
      <c r="AR837" s="82">
        <f>IFERROR(__xludf.DUMMYFUNCTION("""COMPUTED_VALUE"""),1.1040603790158177)</f>
        <v>1.104060379</v>
      </c>
      <c r="AS837" s="82">
        <f>IFERROR(__xludf.DUMMYFUNCTION("""COMPUTED_VALUE"""),79.0)</f>
        <v>79</v>
      </c>
      <c r="AT837" s="82">
        <f>IFERROR(__xludf.DUMMYFUNCTION("""COMPUTED_VALUE"""),0.5203801176581739)</f>
        <v>0.5203801177</v>
      </c>
      <c r="AU837" s="82">
        <f>IFERROR(__xludf.DUMMYFUNCTION("""COMPUTED_VALUE"""),2.795154344498804)</f>
        <v>2.795154344</v>
      </c>
      <c r="AV837" s="82">
        <f>IFERROR(__xludf.DUMMYFUNCTION("""COMPUTED_VALUE"""),63.21952318341346)</f>
        <v>63.21952318</v>
      </c>
      <c r="AW837" s="82">
        <f t="shared" si="1"/>
        <v>3.350322652</v>
      </c>
      <c r="AX837" s="83">
        <f t="array" ref="AX837">IFERROR(DGET('SBV Import'!A:G,"SBV",{"RSC ID","Tier";B837,A837}))</f>
        <v>55.27760302</v>
      </c>
      <c r="AY837" s="82">
        <f t="shared" si="2"/>
        <v>2.40151961</v>
      </c>
      <c r="AZ837" s="82">
        <v>0.9488030422585525</v>
      </c>
      <c r="BA837" s="84">
        <v>800.0</v>
      </c>
      <c r="BB837" s="84" t="b">
        <f>IFERROR(__xludf.DUMMYFUNCTION("iferror(if(A837="""",,E837&gt;=FILTER(Constants!$F$2:$F$10,Constants!$A$2:$A$10=A837)))"),TRUE)</f>
        <v>1</v>
      </c>
    </row>
    <row r="838">
      <c r="A838" s="80" t="str">
        <f>IFERROR(__xludf.DUMMYFUNCTION("""COMPUTED_VALUE"""),"Elite")</f>
        <v>Elite</v>
      </c>
      <c r="B838" s="73" t="str">
        <f>IFERROR(__xludf.DUMMYFUNCTION("""COMPUTED_VALUE"""),"RSC006395")</f>
        <v>RSC006395</v>
      </c>
      <c r="C838" s="73" t="str">
        <f>IFERROR(__xludf.DUMMYFUNCTION("""COMPUTED_VALUE"""),"Gizmo")</f>
        <v>Gizmo</v>
      </c>
      <c r="D838" s="73" t="str">
        <f>IFERROR(__xludf.DUMMYFUNCTION("""COMPUTED_VALUE"""),"Forge Defenders")</f>
        <v>Forge Defenders</v>
      </c>
      <c r="E838" s="82">
        <f>IFERROR(__xludf.DUMMYFUNCTION("""COMPUTED_VALUE"""),36.0)</f>
        <v>36</v>
      </c>
      <c r="F838" s="82">
        <f>IFERROR(__xludf.DUMMYFUNCTION("""COMPUTED_VALUE"""),21.0)</f>
        <v>21</v>
      </c>
      <c r="G838" s="82">
        <f>IFERROR(__xludf.DUMMYFUNCTION("""COMPUTED_VALUE"""),15.0)</f>
        <v>15</v>
      </c>
      <c r="H838" s="86">
        <f>IFERROR(__xludf.DUMMYFUNCTION("""COMPUTED_VALUE"""),0.5833333333333334)</f>
        <v>0.5833333333</v>
      </c>
      <c r="I838" s="86">
        <f>IFERROR(__xludf.DUMMYFUNCTION("""COMPUTED_VALUE"""),0.28723404255319146)</f>
        <v>0.2872340426</v>
      </c>
      <c r="J838" s="82">
        <f>IFERROR(__xludf.DUMMYFUNCTION("""COMPUTED_VALUE"""),381.4166666666667)</f>
        <v>381.4166667</v>
      </c>
      <c r="K838" s="82">
        <f>IFERROR(__xludf.DUMMYFUNCTION("""COMPUTED_VALUE"""),0.75)</f>
        <v>0.75</v>
      </c>
      <c r="L838" s="82">
        <f>IFERROR(__xludf.DUMMYFUNCTION("""COMPUTED_VALUE"""),0.5833333333333334)</f>
        <v>0.5833333333</v>
      </c>
      <c r="M838" s="82">
        <f>IFERROR(__xludf.DUMMYFUNCTION("""COMPUTED_VALUE"""),1.4722222222222223)</f>
        <v>1.472222222</v>
      </c>
      <c r="N838" s="82">
        <f>IFERROR(__xludf.DUMMYFUNCTION("""COMPUTED_VALUE"""),2.611111111111111)</f>
        <v>2.611111111</v>
      </c>
      <c r="O838" s="82">
        <f>IFERROR(__xludf.DUMMYFUNCTION("""COMPUTED_VALUE"""),341.25925925925935)</f>
        <v>341.2592593</v>
      </c>
      <c r="P838" s="82">
        <f>IFERROR(__xludf.DUMMYFUNCTION("""COMPUTED_VALUE"""),0.6203703703703703)</f>
        <v>0.6203703704</v>
      </c>
      <c r="Q838" s="82">
        <f>IFERROR(__xludf.DUMMYFUNCTION("""COMPUTED_VALUE"""),0.49074074074074076)</f>
        <v>0.4907407407</v>
      </c>
      <c r="R838" s="82">
        <f>IFERROR(__xludf.DUMMYFUNCTION("""COMPUTED_VALUE"""),1.4907407407407405)</f>
        <v>1.490740741</v>
      </c>
      <c r="S838" s="82">
        <f>IFERROR(__xludf.DUMMYFUNCTION("""COMPUTED_VALUE"""),2.564814814814815)</f>
        <v>2.564814815</v>
      </c>
      <c r="T838" s="82">
        <f>IFERROR(__xludf.DUMMYFUNCTION("""COMPUTED_VALUE"""),373.0059669719192)</f>
        <v>373.005967</v>
      </c>
      <c r="U838" s="82">
        <f>IFERROR(__xludf.DUMMYFUNCTION("""COMPUTED_VALUE"""),0.8387988643399383)</f>
        <v>0.8387988643</v>
      </c>
      <c r="V838" s="82">
        <f>IFERROR(__xludf.DUMMYFUNCTION("""COMPUTED_VALUE"""),0.5886138586785374)</f>
        <v>0.5886138587</v>
      </c>
      <c r="W838" s="82">
        <f>IFERROR(__xludf.DUMMYFUNCTION("""COMPUTED_VALUE"""),1.451054326723556)</f>
        <v>1.451054327</v>
      </c>
      <c r="X838" s="82">
        <f>IFERROR(__xludf.DUMMYFUNCTION("""COMPUTED_VALUE"""),2.792997539044281)</f>
        <v>2.792997539</v>
      </c>
      <c r="Y838" s="82">
        <f>IFERROR(__xludf.DUMMYFUNCTION("""COMPUTED_VALUE"""),357.9693934318449)</f>
        <v>357.9693934</v>
      </c>
      <c r="Z838" s="82">
        <f>IFERROR(__xludf.DUMMYFUNCTION("""COMPUTED_VALUE"""),0.7246464527952796)</f>
        <v>0.7246464528</v>
      </c>
      <c r="AA838" s="82">
        <f>IFERROR(__xludf.DUMMYFUNCTION("""COMPUTED_VALUE"""),0.5347922298153863)</f>
        <v>0.5347922298</v>
      </c>
      <c r="AB838" s="82">
        <f>IFERROR(__xludf.DUMMYFUNCTION("""COMPUTED_VALUE"""),1.4758636179337405)</f>
        <v>1.475863618</v>
      </c>
      <c r="AC838" s="82">
        <f>IFERROR(__xludf.DUMMYFUNCTION("""COMPUTED_VALUE"""),2.6134768447009926)</f>
        <v>2.613476845</v>
      </c>
      <c r="AD838" s="82">
        <f>IFERROR(__xludf.DUMMYFUNCTION("""COMPUTED_VALUE"""),1.065500776505034)</f>
        <v>1.065500777</v>
      </c>
      <c r="AE838" s="82">
        <f>IFERROR(__xludf.DUMMYFUNCTION("""COMPUTED_VALUE"""),1.0349874716241563)</f>
        <v>1.034987472</v>
      </c>
      <c r="AF838" s="82">
        <f>IFERROR(__xludf.DUMMYFUNCTION("""COMPUTED_VALUE"""),1.0907662841973298)</f>
        <v>1.090766284</v>
      </c>
      <c r="AG838" s="82">
        <f>IFERROR(__xludf.DUMMYFUNCTION("""COMPUTED_VALUE"""),0.997532701756944)</f>
        <v>0.9975327018</v>
      </c>
      <c r="AH838" s="82">
        <f>IFERROR(__xludf.DUMMYFUNCTION("""COMPUTED_VALUE"""),0.9990947945092079)</f>
        <v>0.9990947945</v>
      </c>
      <c r="AI838" s="82">
        <f>IFERROR(__xludf.DUMMYFUNCTION("""COMPUTED_VALUE"""),0.9148895446086797)</f>
        <v>0.9148895446</v>
      </c>
      <c r="AJ838" s="82">
        <f>IFERROR(__xludf.DUMMYFUNCTION("""COMPUTED_VALUE"""),0.7395937175696439)</f>
        <v>0.7395937176</v>
      </c>
      <c r="AK838" s="82">
        <f>IFERROR(__xludf.DUMMYFUNCTION("""COMPUTED_VALUE"""),0.8337227088782349)</f>
        <v>0.8337227089</v>
      </c>
      <c r="AL838" s="82">
        <f>IFERROR(__xludf.DUMMYFUNCTION("""COMPUTED_VALUE"""),1.027350053878958)</f>
        <v>1.027350054</v>
      </c>
      <c r="AM838" s="82">
        <f>IFERROR(__xludf.DUMMYFUNCTION("""COMPUTED_VALUE"""),0.9183018527443649)</f>
        <v>0.9183018527</v>
      </c>
      <c r="AN838" s="82">
        <f>IFERROR(__xludf.DUMMYFUNCTION("""COMPUTED_VALUE"""),1.081392506113038)</f>
        <v>1.081392506</v>
      </c>
      <c r="AO838" s="82">
        <f>IFERROR(__xludf.DUMMYFUNCTION("""COMPUTED_VALUE"""),1.0516180443859584)</f>
        <v>1.051618044</v>
      </c>
      <c r="AP838" s="82">
        <f>IFERROR(__xludf.DUMMYFUNCTION("""COMPUTED_VALUE"""),1.0143579067812083)</f>
        <v>1.014357907</v>
      </c>
      <c r="AQ838" s="82">
        <f>IFERROR(__xludf.DUMMYFUNCTION("""COMPUTED_VALUE"""),1.0320390637075656)</f>
        <v>1.032039064</v>
      </c>
      <c r="AR838" s="82">
        <f>IFERROR(__xludf.DUMMYFUNCTION("""COMPUTED_VALUE"""),1.0365211048937515)</f>
        <v>1.036521105</v>
      </c>
      <c r="AS838" s="82">
        <f>IFERROR(__xludf.DUMMYFUNCTION("""COMPUTED_VALUE"""),80.0)</f>
        <v>80</v>
      </c>
      <c r="AT838" s="82">
        <f>IFERROR(__xludf.DUMMYFUNCTION("""COMPUTED_VALUE"""),0.566001163284658)</f>
        <v>0.5660011633</v>
      </c>
      <c r="AU838" s="82">
        <f>IFERROR(__xludf.DUMMYFUNCTION("""COMPUTED_VALUE"""),2.7942421986325234)</f>
        <v>2.794242199</v>
      </c>
      <c r="AV838" s="82">
        <f>IFERROR(__xludf.DUMMYFUNCTION("""COMPUTED_VALUE"""),63.193892377934084)</f>
        <v>63.19389238</v>
      </c>
      <c r="AW838" s="82">
        <f t="shared" si="1"/>
        <v>3.346334336</v>
      </c>
      <c r="AX838" s="83">
        <f t="array" ref="AX838">IFERROR(DGET('SBV Import'!A:G,"SBV",{"RSC ID","Tier";B838,A838}))</f>
        <v>55.76552612</v>
      </c>
      <c r="AY838" s="82">
        <f t="shared" si="2"/>
        <v>2.446156377</v>
      </c>
      <c r="AZ838" s="82">
        <v>0.900177958946689</v>
      </c>
      <c r="BA838" s="84">
        <v>800.0</v>
      </c>
      <c r="BB838" s="84" t="b">
        <f>IFERROR(__xludf.DUMMYFUNCTION("iferror(if(A838="""",,E838&gt;=FILTER(Constants!$F$2:$F$10,Constants!$A$2:$A$10=A838)))"),TRUE)</f>
        <v>1</v>
      </c>
    </row>
    <row r="839">
      <c r="A839" s="80" t="str">
        <f>IFERROR(__xludf.DUMMYFUNCTION("""COMPUTED_VALUE"""),"Elite")</f>
        <v>Elite</v>
      </c>
      <c r="B839" s="73" t="str">
        <f>IFERROR(__xludf.DUMMYFUNCTION("""COMPUTED_VALUE"""),"RSC004863")</f>
        <v>RSC004863</v>
      </c>
      <c r="C839" s="73" t="str">
        <f>IFERROR(__xludf.DUMMYFUNCTION("""COMPUTED_VALUE"""),"wicked")</f>
        <v>wicked</v>
      </c>
      <c r="D839" s="73" t="str">
        <f>IFERROR(__xludf.DUMMYFUNCTION("""COMPUTED_VALUE"""),"Forge Defenders")</f>
        <v>Forge Defenders</v>
      </c>
      <c r="E839" s="82">
        <f>IFERROR(__xludf.DUMMYFUNCTION("""COMPUTED_VALUE"""),29.0)</f>
        <v>29</v>
      </c>
      <c r="F839" s="82">
        <f>IFERROR(__xludf.DUMMYFUNCTION("""COMPUTED_VALUE"""),17.0)</f>
        <v>17</v>
      </c>
      <c r="G839" s="82">
        <f>IFERROR(__xludf.DUMMYFUNCTION("""COMPUTED_VALUE"""),12.0)</f>
        <v>12</v>
      </c>
      <c r="H839" s="86">
        <f>IFERROR(__xludf.DUMMYFUNCTION("""COMPUTED_VALUE"""),0.5862068965517241)</f>
        <v>0.5862068966</v>
      </c>
      <c r="I839" s="86">
        <f>IFERROR(__xludf.DUMMYFUNCTION("""COMPUTED_VALUE"""),0.22340425531914895)</f>
        <v>0.2234042553</v>
      </c>
      <c r="J839" s="82">
        <f>IFERROR(__xludf.DUMMYFUNCTION("""COMPUTED_VALUE"""),346.44827586206895)</f>
        <v>346.4482759</v>
      </c>
      <c r="K839" s="82">
        <f>IFERROR(__xludf.DUMMYFUNCTION("""COMPUTED_VALUE"""),0.7241379310344828)</f>
        <v>0.724137931</v>
      </c>
      <c r="L839" s="82">
        <f>IFERROR(__xludf.DUMMYFUNCTION("""COMPUTED_VALUE"""),0.4482758620689655)</f>
        <v>0.4482758621</v>
      </c>
      <c r="M839" s="82">
        <f>IFERROR(__xludf.DUMMYFUNCTION("""COMPUTED_VALUE"""),1.3448275862068966)</f>
        <v>1.344827586</v>
      </c>
      <c r="N839" s="82">
        <f>IFERROR(__xludf.DUMMYFUNCTION("""COMPUTED_VALUE"""),3.2413793103448274)</f>
        <v>3.24137931</v>
      </c>
      <c r="O839" s="82">
        <f>IFERROR(__xludf.DUMMYFUNCTION("""COMPUTED_VALUE"""),341.72413793103453)</f>
        <v>341.7241379</v>
      </c>
      <c r="P839" s="82">
        <f>IFERROR(__xludf.DUMMYFUNCTION("""COMPUTED_VALUE"""),0.6091954022988505)</f>
        <v>0.6091954023</v>
      </c>
      <c r="Q839" s="82">
        <f>IFERROR(__xludf.DUMMYFUNCTION("""COMPUTED_VALUE"""),0.45977011494252884)</f>
        <v>0.4597701149</v>
      </c>
      <c r="R839" s="82">
        <f>IFERROR(__xludf.DUMMYFUNCTION("""COMPUTED_VALUE"""),1.5402298850574714)</f>
        <v>1.540229885</v>
      </c>
      <c r="S839" s="82">
        <f>IFERROR(__xludf.DUMMYFUNCTION("""COMPUTED_VALUE"""),2.5172413793103443)</f>
        <v>2.517241379</v>
      </c>
      <c r="T839" s="82">
        <f>IFERROR(__xludf.DUMMYFUNCTION("""COMPUTED_VALUE"""),372.7168960370253)</f>
        <v>372.716896</v>
      </c>
      <c r="U839" s="82">
        <f>IFERROR(__xludf.DUMMYFUNCTION("""COMPUTED_VALUE"""),0.8347411843967965)</f>
        <v>0.8347411844</v>
      </c>
      <c r="V839" s="82">
        <f>IFERROR(__xludf.DUMMYFUNCTION("""COMPUTED_VALUE"""),0.580018691835795)</f>
        <v>0.5800186918</v>
      </c>
      <c r="W839" s="82">
        <f>IFERROR(__xludf.DUMMYFUNCTION("""COMPUTED_VALUE"""),1.457687864084172)</f>
        <v>1.457687864</v>
      </c>
      <c r="X839" s="82">
        <f>IFERROR(__xludf.DUMMYFUNCTION("""COMPUTED_VALUE"""),2.7887961142573854)</f>
        <v>2.788796114</v>
      </c>
      <c r="Y839" s="82">
        <f>IFERROR(__xludf.DUMMYFUNCTION("""COMPUTED_VALUE"""),359.45564070744365)</f>
        <v>359.4556407</v>
      </c>
      <c r="Z839" s="82">
        <f>IFERROR(__xludf.DUMMYFUNCTION("""COMPUTED_VALUE"""),0.7346723125120842)</f>
        <v>0.7346723125</v>
      </c>
      <c r="AA839" s="82">
        <f>IFERROR(__xludf.DUMMYFUNCTION("""COMPUTED_VALUE"""),0.5406072825292341)</f>
        <v>0.5406072825</v>
      </c>
      <c r="AB839" s="82">
        <f>IFERROR(__xludf.DUMMYFUNCTION("""COMPUTED_VALUE"""),1.4713687644038305)</f>
        <v>1.471368764</v>
      </c>
      <c r="AC839" s="82">
        <f>IFERROR(__xludf.DUMMYFUNCTION("""COMPUTED_VALUE"""),2.6360995742259288)</f>
        <v>2.636099574</v>
      </c>
      <c r="AD839" s="82">
        <f>IFERROR(__xludf.DUMMYFUNCTION("""COMPUTED_VALUE"""),0.9638137133700978)</f>
        <v>0.9638137134</v>
      </c>
      <c r="AE839" s="82">
        <f>IFERROR(__xludf.DUMMYFUNCTION("""COMPUTED_VALUE"""),0.9856611154412762)</f>
        <v>0.9856611154</v>
      </c>
      <c r="AF839" s="82">
        <f>IFERROR(__xludf.DUMMYFUNCTION("""COMPUTED_VALUE"""),0.8292079602992111)</f>
        <v>0.8292079603</v>
      </c>
      <c r="AG839" s="82">
        <f>IFERROR(__xludf.DUMMYFUNCTION("""COMPUTED_VALUE"""),0.9139976454181383)</f>
        <v>0.9139976454</v>
      </c>
      <c r="AH839" s="82">
        <f>IFERROR(__xludf.DUMMYFUNCTION("""COMPUTED_VALUE"""),1.2296118636932123)</f>
        <v>1.229611864</v>
      </c>
      <c r="AI839" s="82">
        <f>IFERROR(__xludf.DUMMYFUNCTION("""COMPUTED_VALUE"""),0.9168463827759716)</f>
        <v>0.9168463828</v>
      </c>
      <c r="AJ839" s="82">
        <f>IFERROR(__xludf.DUMMYFUNCTION("""COMPUTED_VALUE"""),0.7298015405087139)</f>
        <v>0.7298015405</v>
      </c>
      <c r="AK839" s="82">
        <f>IFERROR(__xludf.DUMMYFUNCTION("""COMPUTED_VALUE"""),0.7926815487399691)</f>
        <v>0.7926815487</v>
      </c>
      <c r="AL839" s="82">
        <f>IFERROR(__xludf.DUMMYFUNCTION("""COMPUTED_VALUE"""),1.0566253057372872)</f>
        <v>1.056625306</v>
      </c>
      <c r="AM839" s="82">
        <f>IFERROR(__xludf.DUMMYFUNCTION("""COMPUTED_VALUE"""),0.9026265371072665)</f>
        <v>0.9026265371</v>
      </c>
      <c r="AN839" s="82">
        <f>IFERROR(__xludf.DUMMYFUNCTION("""COMPUTED_VALUE"""),0.9822501269994072)</f>
        <v>0.982250127</v>
      </c>
      <c r="AO839" s="82">
        <f>IFERROR(__xludf.DUMMYFUNCTION("""COMPUTED_VALUE"""),1.0153553532002357)</f>
        <v>1.015355353</v>
      </c>
      <c r="AP839" s="82">
        <f>IFERROR(__xludf.DUMMYFUNCTION("""COMPUTED_VALUE"""),0.7795065687579729)</f>
        <v>0.7795065688</v>
      </c>
      <c r="AQ839" s="82">
        <f>IFERROR(__xludf.DUMMYFUNCTION("""COMPUTED_VALUE"""),0.9427344472644255)</f>
        <v>0.9427344473</v>
      </c>
      <c r="AR839" s="82">
        <f>IFERROR(__xludf.DUMMYFUNCTION("""COMPUTED_VALUE"""),1.2867158543508639)</f>
        <v>1.286715854</v>
      </c>
      <c r="AS839" s="82">
        <f>IFERROR(__xludf.DUMMYFUNCTION("""COMPUTED_VALUE"""),67.0)</f>
        <v>67</v>
      </c>
      <c r="AT839" s="82">
        <f>IFERROR(__xludf.DUMMYFUNCTION("""COMPUTED_VALUE"""),0.5871876130815263)</f>
        <v>0.5871876131</v>
      </c>
      <c r="AU839" s="82">
        <f>IFERROR(__xludf.DUMMYFUNCTION("""COMPUTED_VALUE"""),2.791342862403015)</f>
        <v>2.791342862</v>
      </c>
      <c r="AV839" s="82">
        <f>IFERROR(__xludf.DUMMYFUNCTION("""COMPUTED_VALUE"""),63.11242259808313)</f>
        <v>63.1124226</v>
      </c>
      <c r="AW839" s="82">
        <f t="shared" si="1"/>
        <v>3.333705749</v>
      </c>
      <c r="AX839" s="83">
        <f t="array" ref="AX839">IFERROR(DGET('SBV Import'!A:G,"SBV",{"RSC ID","Tier";B839,A839}))</f>
        <v>47.79106809</v>
      </c>
      <c r="AY839" s="82">
        <f t="shared" si="2"/>
        <v>-2.151479851</v>
      </c>
      <c r="AZ839" s="82">
        <v>5.485185600091216</v>
      </c>
      <c r="BA839" s="84">
        <v>800.0</v>
      </c>
      <c r="BB839" s="84" t="b">
        <f>IFERROR(__xludf.DUMMYFUNCTION("iferror(if(A839="""",,E839&gt;=FILTER(Constants!$F$2:$F$10,Constants!$A$2:$A$10=A839)))"),TRUE)</f>
        <v>1</v>
      </c>
    </row>
    <row r="840">
      <c r="A840" s="80" t="str">
        <f>IFERROR(__xludf.DUMMYFUNCTION("""COMPUTED_VALUE"""),"Elite")</f>
        <v>Elite</v>
      </c>
      <c r="B840" s="73" t="str">
        <f>IFERROR(__xludf.DUMMYFUNCTION("""COMPUTED_VALUE"""),"RSC000371")</f>
        <v>RSC000371</v>
      </c>
      <c r="C840" s="73" t="str">
        <f>IFERROR(__xludf.DUMMYFUNCTION("""COMPUTED_VALUE"""),"Capn' Clutch")</f>
        <v>Capn' Clutch</v>
      </c>
      <c r="D840" s="73" t="str">
        <f>IFERROR(__xludf.DUMMYFUNCTION("""COMPUTED_VALUE"""),"Teddy Bears")</f>
        <v>Teddy Bears</v>
      </c>
      <c r="E840" s="82">
        <f>IFERROR(__xludf.DUMMYFUNCTION("""COMPUTED_VALUE"""),16.0)</f>
        <v>16</v>
      </c>
      <c r="F840" s="82">
        <f>IFERROR(__xludf.DUMMYFUNCTION("""COMPUTED_VALUE"""),8.0)</f>
        <v>8</v>
      </c>
      <c r="G840" s="82">
        <f>IFERROR(__xludf.DUMMYFUNCTION("""COMPUTED_VALUE"""),8.0)</f>
        <v>8</v>
      </c>
      <c r="H840" s="86">
        <f>IFERROR(__xludf.DUMMYFUNCTION("""COMPUTED_VALUE"""),0.5)</f>
        <v>0.5</v>
      </c>
      <c r="I840" s="86">
        <f>IFERROR(__xludf.DUMMYFUNCTION("""COMPUTED_VALUE"""),0.27450980392156865)</f>
        <v>0.2745098039</v>
      </c>
      <c r="J840" s="82">
        <f>IFERROR(__xludf.DUMMYFUNCTION("""COMPUTED_VALUE"""),369.25)</f>
        <v>369.25</v>
      </c>
      <c r="K840" s="82">
        <f>IFERROR(__xludf.DUMMYFUNCTION("""COMPUTED_VALUE"""),0.875)</f>
        <v>0.875</v>
      </c>
      <c r="L840" s="82">
        <f>IFERROR(__xludf.DUMMYFUNCTION("""COMPUTED_VALUE"""),0.6875)</f>
        <v>0.6875</v>
      </c>
      <c r="M840" s="82">
        <f>IFERROR(__xludf.DUMMYFUNCTION("""COMPUTED_VALUE"""),1.25)</f>
        <v>1.25</v>
      </c>
      <c r="N840" s="82">
        <f>IFERROR(__xludf.DUMMYFUNCTION("""COMPUTED_VALUE"""),3.1875)</f>
        <v>3.1875</v>
      </c>
      <c r="O840" s="82">
        <f>IFERROR(__xludf.DUMMYFUNCTION("""COMPUTED_VALUE"""),368.8958333333333)</f>
        <v>368.8958333</v>
      </c>
      <c r="P840" s="82">
        <f>IFERROR(__xludf.DUMMYFUNCTION("""COMPUTED_VALUE"""),0.75)</f>
        <v>0.75</v>
      </c>
      <c r="Q840" s="82">
        <f>IFERROR(__xludf.DUMMYFUNCTION("""COMPUTED_VALUE"""),0.5208333333333333)</f>
        <v>0.5208333333</v>
      </c>
      <c r="R840" s="82">
        <f>IFERROR(__xludf.DUMMYFUNCTION("""COMPUTED_VALUE"""),1.6874999999999998)</f>
        <v>1.6875</v>
      </c>
      <c r="S840" s="82">
        <f>IFERROR(__xludf.DUMMYFUNCTION("""COMPUTED_VALUE"""),2.458333333333333)</f>
        <v>2.458333333</v>
      </c>
      <c r="T840" s="82">
        <f>IFERROR(__xludf.DUMMYFUNCTION("""COMPUTED_VALUE"""),349.90272992143093)</f>
        <v>349.9027299</v>
      </c>
      <c r="U840" s="82">
        <f>IFERROR(__xludf.DUMMYFUNCTION("""COMPUTED_VALUE"""),0.6564611079850644)</f>
        <v>0.656461108</v>
      </c>
      <c r="V840" s="82">
        <f>IFERROR(__xludf.DUMMYFUNCTION("""COMPUTED_VALUE"""),0.4929723062950648)</f>
        <v>0.4929723063</v>
      </c>
      <c r="W840" s="82">
        <f>IFERROR(__xludf.DUMMYFUNCTION("""COMPUTED_VALUE"""),1.6238085256927168)</f>
        <v>1.623808526</v>
      </c>
      <c r="X840" s="82">
        <f>IFERROR(__xludf.DUMMYFUNCTION("""COMPUTED_VALUE"""),2.4289008276867032)</f>
        <v>2.428900828</v>
      </c>
      <c r="Y840" s="82">
        <f>IFERROR(__xludf.DUMMYFUNCTION("""COMPUTED_VALUE"""),375.785746598857)</f>
        <v>375.7857466</v>
      </c>
      <c r="Z840" s="82">
        <f>IFERROR(__xludf.DUMMYFUNCTION("""COMPUTED_VALUE"""),0.8807033918464577)</f>
        <v>0.8807033918</v>
      </c>
      <c r="AA840" s="82">
        <f>IFERROR(__xludf.DUMMYFUNCTION("""COMPUTED_VALUE"""),0.653823214309556)</f>
        <v>0.6538232143</v>
      </c>
      <c r="AB840" s="82">
        <f>IFERROR(__xludf.DUMMYFUNCTION("""COMPUTED_VALUE"""),1.3174100332420813)</f>
        <v>1.317410033</v>
      </c>
      <c r="AC840" s="82">
        <f>IFERROR(__xludf.DUMMYFUNCTION("""COMPUTED_VALUE"""),2.9734739592646973)</f>
        <v>2.973473959</v>
      </c>
      <c r="AD840" s="82">
        <f>IFERROR(__xludf.DUMMYFUNCTION("""COMPUTED_VALUE"""),0.9826077847336936)</f>
        <v>0.9826077847</v>
      </c>
      <c r="AE840" s="82">
        <f>IFERROR(__xludf.DUMMYFUNCTION("""COMPUTED_VALUE"""),0.9935240491869798)</f>
        <v>0.9935240492</v>
      </c>
      <c r="AF840" s="82">
        <f>IFERROR(__xludf.DUMMYFUNCTION("""COMPUTED_VALUE"""),1.0515074793207013)</f>
        <v>1.051507479</v>
      </c>
      <c r="AG840" s="82">
        <f>IFERROR(__xludf.DUMMYFUNCTION("""COMPUTED_VALUE"""),0.9488313952823112)</f>
        <v>0.9488313953</v>
      </c>
      <c r="AH840" s="82">
        <f>IFERROR(__xludf.DUMMYFUNCTION("""COMPUTED_VALUE"""),1.0719784479929424)</f>
        <v>1.071978448</v>
      </c>
      <c r="AI840" s="82">
        <f>IFERROR(__xludf.DUMMYFUNCTION("""COMPUTED_VALUE"""),1.0542810952522925)</f>
        <v>1.054281095</v>
      </c>
      <c r="AJ840" s="82">
        <f>IFERROR(__xludf.DUMMYFUNCTION("""COMPUTED_VALUE"""),1.1424896172479173)</f>
        <v>1.142489617</v>
      </c>
      <c r="AK840" s="82">
        <f>IFERROR(__xludf.DUMMYFUNCTION("""COMPUTED_VALUE"""),1.0565164141727517)</f>
        <v>1.056516414</v>
      </c>
      <c r="AL840" s="82">
        <f>IFERROR(__xludf.DUMMYFUNCTION("""COMPUTED_VALUE"""),1.039223512686086)</f>
        <v>1.039223513</v>
      </c>
      <c r="AM840" s="82">
        <f>IFERROR(__xludf.DUMMYFUNCTION("""COMPUTED_VALUE"""),1.0121176234579579)</f>
        <v>1.012117623</v>
      </c>
      <c r="AN840" s="82">
        <f>IFERROR(__xludf.DUMMYFUNCTION("""COMPUTED_VALUE"""),1.0468975736479946)</f>
        <v>1.046897574</v>
      </c>
      <c r="AO840" s="82">
        <f>IFERROR(__xludf.DUMMYFUNCTION("""COMPUTED_VALUE"""),1.2268877184502849)</f>
        <v>1.226887718</v>
      </c>
      <c r="AP840" s="82">
        <f>IFERROR(__xludf.DUMMYFUNCTION("""COMPUTED_VALUE"""),1.1954932472778526)</f>
        <v>1.195493247</v>
      </c>
      <c r="AQ840" s="82">
        <f>IFERROR(__xludf.DUMMYFUNCTION("""COMPUTED_VALUE"""),0.876259582393216)</f>
        <v>0.8762595824</v>
      </c>
      <c r="AR840" s="82">
        <f>IFERROR(__xludf.DUMMYFUNCTION("""COMPUTED_VALUE"""),1.2653276253889147)</f>
        <v>1.265327625</v>
      </c>
      <c r="AS840" s="82">
        <f>IFERROR(__xludf.DUMMYFUNCTION("""COMPUTED_VALUE"""),41.0)</f>
        <v>41</v>
      </c>
      <c r="AT840" s="82">
        <f>IFERROR(__xludf.DUMMYFUNCTION("""COMPUTED_VALUE"""),0.5508623521502464)</f>
        <v>0.5508623522</v>
      </c>
      <c r="AU840" s="82">
        <f>IFERROR(__xludf.DUMMYFUNCTION("""COMPUTED_VALUE"""),2.7810281188110944)</f>
        <v>2.781028119</v>
      </c>
      <c r="AV840" s="82">
        <f>IFERROR(__xludf.DUMMYFUNCTION("""COMPUTED_VALUE"""),62.82258388220733)</f>
        <v>62.82258388</v>
      </c>
      <c r="AW840" s="82">
        <f t="shared" si="1"/>
        <v>3.28937129</v>
      </c>
      <c r="AX840" s="83">
        <f t="array" ref="AX840">IFERROR(DGET('SBV Import'!A:G,"SBV",{"RSC ID","Tier";B840,A840}))</f>
        <v>54.19276641</v>
      </c>
      <c r="AY840" s="82">
        <f t="shared" si="2"/>
        <v>2.307308286</v>
      </c>
      <c r="AZ840" s="82">
        <v>0.9820630044624066</v>
      </c>
      <c r="BA840" s="84">
        <v>800.0</v>
      </c>
      <c r="BB840" s="84" t="b">
        <f>IFERROR(__xludf.DUMMYFUNCTION("iferror(if(A840="""",,E840&gt;=FILTER(Constants!$F$2:$F$10,Constants!$A$2:$A$10=A840)))"),TRUE)</f>
        <v>1</v>
      </c>
    </row>
    <row r="841">
      <c r="A841" s="80" t="str">
        <f>IFERROR(__xludf.DUMMYFUNCTION("""COMPUTED_VALUE"""),"Elite")</f>
        <v>Elite</v>
      </c>
      <c r="B841" s="73" t="str">
        <f>IFERROR(__xludf.DUMMYFUNCTION("""COMPUTED_VALUE"""),"RSC002097")</f>
        <v>RSC002097</v>
      </c>
      <c r="C841" s="73" t="str">
        <f>IFERROR(__xludf.DUMMYFUNCTION("""COMPUTED_VALUE"""),"NoobZ")</f>
        <v>NoobZ</v>
      </c>
      <c r="D841" s="73" t="str">
        <f>IFERROR(__xludf.DUMMYFUNCTION("""COMPUTED_VALUE"""),"Thrashers")</f>
        <v>Thrashers</v>
      </c>
      <c r="E841" s="82">
        <f>IFERROR(__xludf.DUMMYFUNCTION("""COMPUTED_VALUE"""),36.0)</f>
        <v>36</v>
      </c>
      <c r="F841" s="82">
        <f>IFERROR(__xludf.DUMMYFUNCTION("""COMPUTED_VALUE"""),19.0)</f>
        <v>19</v>
      </c>
      <c r="G841" s="82">
        <f>IFERROR(__xludf.DUMMYFUNCTION("""COMPUTED_VALUE"""),17.0)</f>
        <v>17</v>
      </c>
      <c r="H841" s="86">
        <f>IFERROR(__xludf.DUMMYFUNCTION("""COMPUTED_VALUE"""),0.5277777777777778)</f>
        <v>0.5277777778</v>
      </c>
      <c r="I841" s="86">
        <f>IFERROR(__xludf.DUMMYFUNCTION("""COMPUTED_VALUE"""),0.30303030303030304)</f>
        <v>0.303030303</v>
      </c>
      <c r="J841" s="82">
        <f>IFERROR(__xludf.DUMMYFUNCTION("""COMPUTED_VALUE"""),352.69444444444446)</f>
        <v>352.6944444</v>
      </c>
      <c r="K841" s="82">
        <f>IFERROR(__xludf.DUMMYFUNCTION("""COMPUTED_VALUE"""),0.8333333333333334)</f>
        <v>0.8333333333</v>
      </c>
      <c r="L841" s="82">
        <f>IFERROR(__xludf.DUMMYFUNCTION("""COMPUTED_VALUE"""),0.6111111111111112)</f>
        <v>0.6111111111</v>
      </c>
      <c r="M841" s="82">
        <f>IFERROR(__xludf.DUMMYFUNCTION("""COMPUTED_VALUE"""),1.1388888888888888)</f>
        <v>1.138888889</v>
      </c>
      <c r="N841" s="82">
        <f>IFERROR(__xludf.DUMMYFUNCTION("""COMPUTED_VALUE"""),2.75)</f>
        <v>2.75</v>
      </c>
      <c r="O841" s="82">
        <f>IFERROR(__xludf.DUMMYFUNCTION("""COMPUTED_VALUE"""),376.5648148148148)</f>
        <v>376.5648148</v>
      </c>
      <c r="P841" s="82">
        <f>IFERROR(__xludf.DUMMYFUNCTION("""COMPUTED_VALUE"""),0.898148148148148)</f>
        <v>0.8981481481</v>
      </c>
      <c r="Q841" s="82">
        <f>IFERROR(__xludf.DUMMYFUNCTION("""COMPUTED_VALUE"""),0.6481481481481483)</f>
        <v>0.6481481481</v>
      </c>
      <c r="R841" s="82">
        <f>IFERROR(__xludf.DUMMYFUNCTION("""COMPUTED_VALUE"""),1.5185185185185184)</f>
        <v>1.518518519</v>
      </c>
      <c r="S841" s="82">
        <f>IFERROR(__xludf.DUMMYFUNCTION("""COMPUTED_VALUE"""),2.5462962962962963)</f>
        <v>2.546296296</v>
      </c>
      <c r="T841" s="82">
        <f>IFERROR(__xludf.DUMMYFUNCTION("""COMPUTED_VALUE"""),368.4035286567312)</f>
        <v>368.4035287</v>
      </c>
      <c r="U841" s="82">
        <f>IFERROR(__xludf.DUMMYFUNCTION("""COMPUTED_VALUE"""),0.8051259124550891)</f>
        <v>0.8051259125</v>
      </c>
      <c r="V841" s="82">
        <f>IFERROR(__xludf.DUMMYFUNCTION("""COMPUTED_VALUE"""),0.6141087762578504)</f>
        <v>0.6141087763</v>
      </c>
      <c r="W841" s="82">
        <f>IFERROR(__xludf.DUMMYFUNCTION("""COMPUTED_VALUE"""),1.4282221704968117)</f>
        <v>1.42822217</v>
      </c>
      <c r="X841" s="82">
        <f>IFERROR(__xludf.DUMMYFUNCTION("""COMPUTED_VALUE"""),2.6976929219493577)</f>
        <v>2.697692922</v>
      </c>
      <c r="Y841" s="82">
        <f>IFERROR(__xludf.DUMMYFUNCTION("""COMPUTED_VALUE"""),344.9032302066567)</f>
        <v>344.9032302</v>
      </c>
      <c r="Z841" s="82">
        <f>IFERROR(__xludf.DUMMYFUNCTION("""COMPUTED_VALUE"""),0.6990731273057497)</f>
        <v>0.6990731273</v>
      </c>
      <c r="AA841" s="82">
        <f>IFERROR(__xludf.DUMMYFUNCTION("""COMPUTED_VALUE"""),0.5056816235824899)</f>
        <v>0.5056816236</v>
      </c>
      <c r="AB841" s="82">
        <f>IFERROR(__xludf.DUMMYFUNCTION("""COMPUTED_VALUE"""),1.404643681359883)</f>
        <v>1.404643681</v>
      </c>
      <c r="AC841" s="82">
        <f>IFERROR(__xludf.DUMMYFUNCTION("""COMPUTED_VALUE"""),2.514119393109605)</f>
        <v>2.514119393</v>
      </c>
      <c r="AD841" s="82">
        <f>IFERROR(__xludf.DUMMYFUNCTION("""COMPUTED_VALUE"""),1.02258956587075)</f>
        <v>1.022589566</v>
      </c>
      <c r="AE841" s="82">
        <f>IFERROR(__xludf.DUMMYFUNCTION("""COMPUTED_VALUE"""),1.1920545945529717)</f>
        <v>1.192054595</v>
      </c>
      <c r="AF841" s="82">
        <f>IFERROR(__xludf.DUMMYFUNCTION("""COMPUTED_VALUE"""),1.2084898533225479)</f>
        <v>1.208489853</v>
      </c>
      <c r="AG841" s="82">
        <f>IFERROR(__xludf.DUMMYFUNCTION("""COMPUTED_VALUE"""),0.810802699647139)</f>
        <v>0.8108026996</v>
      </c>
      <c r="AH841" s="82">
        <f>IFERROR(__xludf.DUMMYFUNCTION("""COMPUTED_VALUE"""),1.0938223568605645)</f>
        <v>1.093822357</v>
      </c>
      <c r="AI841" s="82">
        <f>IFERROR(__xludf.DUMMYFUNCTION("""COMPUTED_VALUE"""),1.0221531161437056)</f>
        <v>1.022153116</v>
      </c>
      <c r="AJ841" s="82">
        <f>IFERROR(__xludf.DUMMYFUNCTION("""COMPUTED_VALUE"""),1.115537500723836)</f>
        <v>1.115537501</v>
      </c>
      <c r="AK841" s="82">
        <f>IFERROR(__xludf.DUMMYFUNCTION("""COMPUTED_VALUE"""),1.0554288966487682)</f>
        <v>1.055428897</v>
      </c>
      <c r="AL841" s="82">
        <f>IFERROR(__xludf.DUMMYFUNCTION("""COMPUTED_VALUE"""),1.0632229003911182)</f>
        <v>1.0632229</v>
      </c>
      <c r="AM841" s="82">
        <f>IFERROR(__xludf.DUMMYFUNCTION("""COMPUTED_VALUE"""),0.9438792219747302)</f>
        <v>0.943879222</v>
      </c>
      <c r="AN841" s="82">
        <f>IFERROR(__xludf.DUMMYFUNCTION("""COMPUTED_VALUE"""),0.9999592637183923)</f>
        <v>0.9999592637</v>
      </c>
      <c r="AO841" s="82">
        <f>IFERROR(__xludf.DUMMYFUNCTION("""COMPUTED_VALUE"""),1.1684644937621762)</f>
        <v>1.168464494</v>
      </c>
      <c r="AP841" s="82">
        <f>IFERROR(__xludf.DUMMYFUNCTION("""COMPUTED_VALUE"""),1.06266066424698)</f>
        <v>1.062660664</v>
      </c>
      <c r="AQ841" s="82">
        <f>IFERROR(__xludf.DUMMYFUNCTION("""COMPUTED_VALUE"""),0.7983698417360412)</f>
        <v>0.7983698417</v>
      </c>
      <c r="AR841" s="82">
        <f>IFERROR(__xludf.DUMMYFUNCTION("""COMPUTED_VALUE"""),1.0916552062178873)</f>
        <v>1.091655206</v>
      </c>
      <c r="AS841" s="82">
        <f>IFERROR(__xludf.DUMMYFUNCTION("""COMPUTED_VALUE"""),96.0)</f>
        <v>96</v>
      </c>
      <c r="AT841" s="82">
        <f>IFERROR(__xludf.DUMMYFUNCTION("""COMPUTED_VALUE"""),0.4958052843870312)</f>
        <v>0.4958052844</v>
      </c>
      <c r="AU841" s="82">
        <f>IFERROR(__xludf.DUMMYFUNCTION("""COMPUTED_VALUE"""),2.7786400242357963)</f>
        <v>2.778640024</v>
      </c>
      <c r="AV841" s="82">
        <f>IFERROR(__xludf.DUMMYFUNCTION("""COMPUTED_VALUE"""),62.75547971631837)</f>
        <v>62.75547972</v>
      </c>
      <c r="AW841" s="82">
        <f t="shared" si="1"/>
        <v>3.279237338</v>
      </c>
      <c r="AX841" s="83">
        <f t="array" ref="AX841">IFERROR(DGET('SBV Import'!A:G,"SBV",{"RSC ID","Tier";B841,A841}))</f>
        <v>46.57500919</v>
      </c>
      <c r="AY841" s="82">
        <f t="shared" si="2"/>
        <v>-2.244590601</v>
      </c>
      <c r="AZ841" s="82">
        <v>5.523827938486848</v>
      </c>
      <c r="BA841" s="84">
        <v>800.0</v>
      </c>
      <c r="BB841" s="84" t="b">
        <f>IFERROR(__xludf.DUMMYFUNCTION("iferror(if(A841="""",,E841&gt;=FILTER(Constants!$F$2:$F$10,Constants!$A$2:$A$10=A841)))"),TRUE)</f>
        <v>1</v>
      </c>
    </row>
    <row r="842">
      <c r="A842" s="80" t="str">
        <f>IFERROR(__xludf.DUMMYFUNCTION("""COMPUTED_VALUE"""),"Elite")</f>
        <v>Elite</v>
      </c>
      <c r="B842" s="73" t="str">
        <f>IFERROR(__xludf.DUMMYFUNCTION("""COMPUTED_VALUE"""),"RSC007843")</f>
        <v>RSC007843</v>
      </c>
      <c r="C842" s="73" t="str">
        <f>IFERROR(__xludf.DUMMYFUNCTION("""COMPUTED_VALUE"""),"BLOO")</f>
        <v>BLOO</v>
      </c>
      <c r="D842" s="73" t="str">
        <f>IFERROR(__xludf.DUMMYFUNCTION("""COMPUTED_VALUE"""),"Praetorian Guard")</f>
        <v>Praetorian Guard</v>
      </c>
      <c r="E842" s="82">
        <f>IFERROR(__xludf.DUMMYFUNCTION("""COMPUTED_VALUE"""),24.0)</f>
        <v>24</v>
      </c>
      <c r="F842" s="82">
        <f>IFERROR(__xludf.DUMMYFUNCTION("""COMPUTED_VALUE"""),16.0)</f>
        <v>16</v>
      </c>
      <c r="G842" s="82">
        <f>IFERROR(__xludf.DUMMYFUNCTION("""COMPUTED_VALUE"""),8.0)</f>
        <v>8</v>
      </c>
      <c r="H842" s="86">
        <f>IFERROR(__xludf.DUMMYFUNCTION("""COMPUTED_VALUE"""),0.6666666666666666)</f>
        <v>0.6666666667</v>
      </c>
      <c r="I842" s="86">
        <f>IFERROR(__xludf.DUMMYFUNCTION("""COMPUTED_VALUE"""),0.22077922077922077)</f>
        <v>0.2207792208</v>
      </c>
      <c r="J842" s="82">
        <f>IFERROR(__xludf.DUMMYFUNCTION("""COMPUTED_VALUE"""),357.2916666666667)</f>
        <v>357.2916667</v>
      </c>
      <c r="K842" s="82">
        <f>IFERROR(__xludf.DUMMYFUNCTION("""COMPUTED_VALUE"""),0.7083333333333334)</f>
        <v>0.7083333333</v>
      </c>
      <c r="L842" s="82">
        <f>IFERROR(__xludf.DUMMYFUNCTION("""COMPUTED_VALUE"""),0.7083333333333334)</f>
        <v>0.7083333333</v>
      </c>
      <c r="M842" s="82">
        <f>IFERROR(__xludf.DUMMYFUNCTION("""COMPUTED_VALUE"""),1.0833333333333333)</f>
        <v>1.083333333</v>
      </c>
      <c r="N842" s="82">
        <f>IFERROR(__xludf.DUMMYFUNCTION("""COMPUTED_VALUE"""),3.2083333333333335)</f>
        <v>3.208333333</v>
      </c>
      <c r="O842" s="82">
        <f>IFERROR(__xludf.DUMMYFUNCTION("""COMPUTED_VALUE"""),347.6666666666667)</f>
        <v>347.6666667</v>
      </c>
      <c r="P842" s="82">
        <f>IFERROR(__xludf.DUMMYFUNCTION("""COMPUTED_VALUE"""),0.6388888888888888)</f>
        <v>0.6388888889</v>
      </c>
      <c r="Q842" s="82">
        <f>IFERROR(__xludf.DUMMYFUNCTION("""COMPUTED_VALUE"""),0.5277777777777778)</f>
        <v>0.5277777778</v>
      </c>
      <c r="R842" s="82">
        <f>IFERROR(__xludf.DUMMYFUNCTION("""COMPUTED_VALUE"""),1.597222222222222)</f>
        <v>1.597222222</v>
      </c>
      <c r="S842" s="82">
        <f>IFERROR(__xludf.DUMMYFUNCTION("""COMPUTED_VALUE"""),2.236111111111111)</f>
        <v>2.236111111</v>
      </c>
      <c r="T842" s="82">
        <f>IFERROR(__xludf.DUMMYFUNCTION("""COMPUTED_VALUE"""),352.40239362187344)</f>
        <v>352.4023936</v>
      </c>
      <c r="U842" s="82">
        <f>IFERROR(__xludf.DUMMYFUNCTION("""COMPUTED_VALUE"""),0.7173705174017136)</f>
        <v>0.7173705174</v>
      </c>
      <c r="V842" s="82">
        <f>IFERROR(__xludf.DUMMYFUNCTION("""COMPUTED_VALUE"""),0.5435692391481932)</f>
        <v>0.5435692391</v>
      </c>
      <c r="W842" s="82">
        <f>IFERROR(__xludf.DUMMYFUNCTION("""COMPUTED_VALUE"""),1.5032010641204734)</f>
        <v>1.503201064</v>
      </c>
      <c r="X842" s="82">
        <f>IFERROR(__xludf.DUMMYFUNCTION("""COMPUTED_VALUE"""),2.4062112588706417)</f>
        <v>2.406211259</v>
      </c>
      <c r="Y842" s="82">
        <f>IFERROR(__xludf.DUMMYFUNCTION("""COMPUTED_VALUE"""),369.4823462275862)</f>
        <v>369.4823462</v>
      </c>
      <c r="Z842" s="82">
        <f>IFERROR(__xludf.DUMMYFUNCTION("""COMPUTED_VALUE"""),0.8363990489790579)</f>
        <v>0.836399049</v>
      </c>
      <c r="AA842" s="82">
        <f>IFERROR(__xludf.DUMMYFUNCTION("""COMPUTED_VALUE"""),0.6292578464892756)</f>
        <v>0.6292578465</v>
      </c>
      <c r="AB842" s="82">
        <f>IFERROR(__xludf.DUMMYFUNCTION("""COMPUTED_VALUE"""),1.3498004275728486)</f>
        <v>1.349800428</v>
      </c>
      <c r="AC842" s="82">
        <f>IFERROR(__xludf.DUMMYFUNCTION("""COMPUTED_VALUE"""),2.897379304983847)</f>
        <v>2.897379305</v>
      </c>
      <c r="AD842" s="82">
        <f>IFERROR(__xludf.DUMMYFUNCTION("""COMPUTED_VALUE"""),0.9670060567564693)</f>
        <v>0.9670060568</v>
      </c>
      <c r="AE842" s="82">
        <f>IFERROR(__xludf.DUMMYFUNCTION("""COMPUTED_VALUE"""),0.8468844317768573)</f>
        <v>0.8468844318</v>
      </c>
      <c r="AF842" s="82">
        <f>IFERROR(__xludf.DUMMYFUNCTION("""COMPUTED_VALUE"""),1.1256646814739488)</f>
        <v>1.125664681</v>
      </c>
      <c r="AG842" s="82">
        <f>IFERROR(__xludf.DUMMYFUNCTION("""COMPUTED_VALUE"""),0.8025877835002136)</f>
        <v>0.8025877835</v>
      </c>
      <c r="AH842" s="82">
        <f>IFERROR(__xludf.DUMMYFUNCTION("""COMPUTED_VALUE"""),1.1073225130774584)</f>
        <v>1.107322513</v>
      </c>
      <c r="AI842" s="82">
        <f>IFERROR(__xludf.DUMMYFUNCTION("""COMPUTED_VALUE"""),0.9865615925404634)</f>
        <v>0.9865615925</v>
      </c>
      <c r="AJ842" s="82">
        <f>IFERROR(__xludf.DUMMYFUNCTION("""COMPUTED_VALUE"""),0.8905981963169018)</f>
        <v>0.8905981963</v>
      </c>
      <c r="AK842" s="82">
        <f>IFERROR(__xludf.DUMMYFUNCTION("""COMPUTED_VALUE"""),0.970948574288049)</f>
        <v>0.9709485743</v>
      </c>
      <c r="AL842" s="82">
        <f>IFERROR(__xludf.DUMMYFUNCTION("""COMPUTED_VALUE"""),1.0625472934698597)</f>
        <v>1.062547293</v>
      </c>
      <c r="AM842" s="82">
        <f>IFERROR(__xludf.DUMMYFUNCTION("""COMPUTED_VALUE"""),0.9293078913447661)</f>
        <v>0.9293078913</v>
      </c>
      <c r="AN842" s="82">
        <f>IFERROR(__xludf.DUMMYFUNCTION("""COMPUTED_VALUE"""),1.01299330783475)</f>
        <v>1.012993308</v>
      </c>
      <c r="AO842" s="82">
        <f>IFERROR(__xludf.DUMMYFUNCTION("""COMPUTED_VALUE"""),0.9931948196978497)</f>
        <v>0.9931948197</v>
      </c>
      <c r="AP842" s="82">
        <f>IFERROR(__xludf.DUMMYFUNCTION("""COMPUTED_VALUE"""),1.2317203153771814)</f>
        <v>1.231720315</v>
      </c>
      <c r="AQ842" s="82">
        <f>IFERROR(__xludf.DUMMYFUNCTION("""COMPUTED_VALUE"""),0.7594249714074538)</f>
        <v>0.7594249714</v>
      </c>
      <c r="AR842" s="82">
        <f>IFERROR(__xludf.DUMMYFUNCTION("""COMPUTED_VALUE"""),1.2735977405875352)</f>
        <v>1.273597741</v>
      </c>
      <c r="AS842" s="82">
        <f>IFERROR(__xludf.DUMMYFUNCTION("""COMPUTED_VALUE"""),50.0)</f>
        <v>50</v>
      </c>
      <c r="AT842" s="82">
        <f>IFERROR(__xludf.DUMMYFUNCTION("""COMPUTED_VALUE"""),0.5309916282264247)</f>
        <v>0.5309916282</v>
      </c>
      <c r="AU842" s="82">
        <f>IFERROR(__xludf.DUMMYFUNCTION("""COMPUTED_VALUE"""),2.746023061581479)</f>
        <v>2.746023062</v>
      </c>
      <c r="AV842" s="82">
        <f>IFERROR(__xludf.DUMMYFUNCTION("""COMPUTED_VALUE"""),61.83896070765384)</f>
        <v>61.83896071</v>
      </c>
      <c r="AW842" s="82">
        <f t="shared" si="1"/>
        <v>3.145569932</v>
      </c>
      <c r="AX842" s="83">
        <f t="array" ref="AX842">IFERROR(DGET('SBV Import'!A:G,"SBV",{"RSC ID","Tier";B842,A842}))</f>
        <v>60.99373762</v>
      </c>
      <c r="AY842" s="82">
        <f t="shared" si="2"/>
        <v>3.029758851</v>
      </c>
      <c r="AZ842" s="82">
        <v>0.11581108117540895</v>
      </c>
      <c r="BA842" s="84">
        <v>800.0</v>
      </c>
      <c r="BB842" s="84" t="b">
        <f>IFERROR(__xludf.DUMMYFUNCTION("iferror(if(A842="""",,E842&gt;=FILTER(Constants!$F$2:$F$10,Constants!$A$2:$A$10=A842)))"),TRUE)</f>
        <v>1</v>
      </c>
    </row>
    <row r="843">
      <c r="A843" s="80" t="str">
        <f>IFERROR(__xludf.DUMMYFUNCTION("""COMPUTED_VALUE"""),"Elite")</f>
        <v>Elite</v>
      </c>
      <c r="B843" s="73" t="str">
        <f>IFERROR(__xludf.DUMMYFUNCTION("""COMPUTED_VALUE"""),"RSC007354")</f>
        <v>RSC007354</v>
      </c>
      <c r="C843" s="73" t="str">
        <f>IFERROR(__xludf.DUMMYFUNCTION("""COMPUTED_VALUE"""),"Fanatic")</f>
        <v>Fanatic</v>
      </c>
      <c r="D843" s="73" t="str">
        <f>IFERROR(__xludf.DUMMYFUNCTION("""COMPUTED_VALUE"""),"Desolation")</f>
        <v>Desolation</v>
      </c>
      <c r="E843" s="82">
        <f>IFERROR(__xludf.DUMMYFUNCTION("""COMPUTED_VALUE"""),32.0)</f>
        <v>32</v>
      </c>
      <c r="F843" s="82">
        <f>IFERROR(__xludf.DUMMYFUNCTION("""COMPUTED_VALUE"""),20.0)</f>
        <v>20</v>
      </c>
      <c r="G843" s="82">
        <f>IFERROR(__xludf.DUMMYFUNCTION("""COMPUTED_VALUE"""),12.0)</f>
        <v>12</v>
      </c>
      <c r="H843" s="86">
        <f>IFERROR(__xludf.DUMMYFUNCTION("""COMPUTED_VALUE"""),0.625)</f>
        <v>0.625</v>
      </c>
      <c r="I843" s="86">
        <f>IFERROR(__xludf.DUMMYFUNCTION("""COMPUTED_VALUE"""),0.32142857142857145)</f>
        <v>0.3214285714</v>
      </c>
      <c r="J843" s="82">
        <f>IFERROR(__xludf.DUMMYFUNCTION("""COMPUTED_VALUE"""),382.5)</f>
        <v>382.5</v>
      </c>
      <c r="K843" s="82">
        <f>IFERROR(__xludf.DUMMYFUNCTION("""COMPUTED_VALUE"""),0.84375)</f>
        <v>0.84375</v>
      </c>
      <c r="L843" s="82">
        <f>IFERROR(__xludf.DUMMYFUNCTION("""COMPUTED_VALUE"""),0.65625)</f>
        <v>0.65625</v>
      </c>
      <c r="M843" s="82">
        <f>IFERROR(__xludf.DUMMYFUNCTION("""COMPUTED_VALUE"""),1.40625)</f>
        <v>1.40625</v>
      </c>
      <c r="N843" s="82">
        <f>IFERROR(__xludf.DUMMYFUNCTION("""COMPUTED_VALUE"""),2.625)</f>
        <v>2.625</v>
      </c>
      <c r="O843" s="82">
        <f>IFERROR(__xludf.DUMMYFUNCTION("""COMPUTED_VALUE"""),346.8020833333333)</f>
        <v>346.8020833</v>
      </c>
      <c r="P843" s="82">
        <f>IFERROR(__xludf.DUMMYFUNCTION("""COMPUTED_VALUE"""),0.6770833333333334)</f>
        <v>0.6770833333</v>
      </c>
      <c r="Q843" s="82">
        <f>IFERROR(__xludf.DUMMYFUNCTION("""COMPUTED_VALUE"""),0.44791666666666674)</f>
        <v>0.4479166667</v>
      </c>
      <c r="R843" s="82">
        <f>IFERROR(__xludf.DUMMYFUNCTION("""COMPUTED_VALUE"""),1.4062499999999998)</f>
        <v>1.40625</v>
      </c>
      <c r="S843" s="82">
        <f>IFERROR(__xludf.DUMMYFUNCTION("""COMPUTED_VALUE"""),2.4999999999999996)</f>
        <v>2.5</v>
      </c>
      <c r="T843" s="82">
        <f>IFERROR(__xludf.DUMMYFUNCTION("""COMPUTED_VALUE"""),351.70651479922196)</f>
        <v>351.7065148</v>
      </c>
      <c r="U843" s="82">
        <f>IFERROR(__xludf.DUMMYFUNCTION("""COMPUTED_VALUE"""),0.6553989515972909)</f>
        <v>0.6553989516</v>
      </c>
      <c r="V843" s="82">
        <f>IFERROR(__xludf.DUMMYFUNCTION("""COMPUTED_VALUE"""),0.500644694862177)</f>
        <v>0.5006446949</v>
      </c>
      <c r="W843" s="82">
        <f>IFERROR(__xludf.DUMMYFUNCTION("""COMPUTED_VALUE"""),1.5049296782705126)</f>
        <v>1.504929678</v>
      </c>
      <c r="X843" s="82">
        <f>IFERROR(__xludf.DUMMYFUNCTION("""COMPUTED_VALUE"""),2.4991568079486437)</f>
        <v>2.499156808</v>
      </c>
      <c r="Y843" s="82">
        <f>IFERROR(__xludf.DUMMYFUNCTION("""COMPUTED_VALUE"""),371.412386098922)</f>
        <v>371.4123861</v>
      </c>
      <c r="Z843" s="82">
        <f>IFERROR(__xludf.DUMMYFUNCTION("""COMPUTED_VALUE"""),0.8182126099162524)</f>
        <v>0.8182126099</v>
      </c>
      <c r="AA843" s="82">
        <f>IFERROR(__xludf.DUMMYFUNCTION("""COMPUTED_VALUE"""),0.6139759812400744)</f>
        <v>0.6139759812</v>
      </c>
      <c r="AB843" s="82">
        <f>IFERROR(__xludf.DUMMYFUNCTION("""COMPUTED_VALUE"""),1.4325431786945053)</f>
        <v>1.432543179</v>
      </c>
      <c r="AC843" s="82">
        <f>IFERROR(__xludf.DUMMYFUNCTION("""COMPUTED_VALUE"""),2.7903183873080115)</f>
        <v>2.790318387</v>
      </c>
      <c r="AD843" s="82">
        <f>IFERROR(__xludf.DUMMYFUNCTION("""COMPUTED_VALUE"""),1.029852569047401)</f>
        <v>1.029852569</v>
      </c>
      <c r="AE843" s="82">
        <f>IFERROR(__xludf.DUMMYFUNCTION("""COMPUTED_VALUE"""),1.031211191045273)</f>
        <v>1.031211191</v>
      </c>
      <c r="AF843" s="82">
        <f>IFERROR(__xludf.DUMMYFUNCTION("""COMPUTED_VALUE"""),1.068852886841832)</f>
        <v>1.068852887</v>
      </c>
      <c r="AG843" s="82">
        <f>IFERROR(__xludf.DUMMYFUNCTION("""COMPUTED_VALUE"""),0.9816458037108057)</f>
        <v>0.9816458037</v>
      </c>
      <c r="AH843" s="82">
        <f>IFERROR(__xludf.DUMMYFUNCTION("""COMPUTED_VALUE"""),0.9407528588637141)</f>
        <v>0.9407528589</v>
      </c>
      <c r="AI843" s="82">
        <f>IFERROR(__xludf.DUMMYFUNCTION("""COMPUTED_VALUE"""),0.9860553294877451)</f>
        <v>0.9860553295</v>
      </c>
      <c r="AJ843" s="82">
        <f>IFERROR(__xludf.DUMMYFUNCTION("""COMPUTED_VALUE"""),1.033085774219191)</f>
        <v>1.033085774</v>
      </c>
      <c r="AK843" s="82">
        <f>IFERROR(__xludf.DUMMYFUNCTION("""COMPUTED_VALUE"""),0.8946797424668091)</f>
        <v>0.8946797425</v>
      </c>
      <c r="AL843" s="82">
        <f>IFERROR(__xludf.DUMMYFUNCTION("""COMPUTED_VALUE"""),0.9344290436321803)</f>
        <v>0.9344290436</v>
      </c>
      <c r="AM843" s="82">
        <f>IFERROR(__xludf.DUMMYFUNCTION("""COMPUTED_VALUE"""),1.000337390614576)</f>
        <v>1.000337391</v>
      </c>
      <c r="AN843" s="82">
        <f>IFERROR(__xludf.DUMMYFUNCTION("""COMPUTED_VALUE"""),1.0844639727023913)</f>
        <v>1.084463973</v>
      </c>
      <c r="AO843" s="82">
        <f>IFERROR(__xludf.DUMMYFUNCTION("""COMPUTED_VALUE"""),1.1830702999342033)</f>
        <v>1.1830703</v>
      </c>
      <c r="AP843" s="82">
        <f>IFERROR(__xludf.DUMMYFUNCTION("""COMPUTED_VALUE"""),1.1411526451288592)</f>
        <v>1.141152645</v>
      </c>
      <c r="AQ843" s="82">
        <f>IFERROR(__xludf.DUMMYFUNCTION("""COMPUTED_VALUE"""),0.9857920301923679)</f>
        <v>0.9857920302</v>
      </c>
      <c r="AR843" s="82">
        <f>IFERROR(__xludf.DUMMYFUNCTION("""COMPUTED_VALUE"""),1.042034515026165)</f>
        <v>1.042034515</v>
      </c>
      <c r="AS843" s="82">
        <f>IFERROR(__xludf.DUMMYFUNCTION("""COMPUTED_VALUE"""),86.0)</f>
        <v>86</v>
      </c>
      <c r="AT843" s="82">
        <f>IFERROR(__xludf.DUMMYFUNCTION("""COMPUTED_VALUE"""),0.6075446617890964)</f>
        <v>0.6075446618</v>
      </c>
      <c r="AU843" s="82">
        <f>IFERROR(__xludf.DUMMYFUNCTION("""COMPUTED_VALUE"""),2.713849577721758)</f>
        <v>2.713849578</v>
      </c>
      <c r="AV843" s="82">
        <f>IFERROR(__xludf.DUMMYFUNCTION("""COMPUTED_VALUE"""),60.93490321324785)</f>
        <v>60.93490321</v>
      </c>
      <c r="AW843" s="82">
        <f t="shared" si="1"/>
        <v>3.021951038</v>
      </c>
      <c r="AX843" s="83">
        <f t="array" ref="AX843">IFERROR(DGET('SBV Import'!A:G,"SBV",{"RSC ID","Tier";B843,A843}))</f>
        <v>58.6153674</v>
      </c>
      <c r="AY843" s="82">
        <f t="shared" si="2"/>
        <v>2.738285404</v>
      </c>
      <c r="AZ843" s="82">
        <v>0.28366563481032303</v>
      </c>
      <c r="BA843" s="84">
        <v>800.0</v>
      </c>
      <c r="BB843" s="84" t="b">
        <f>IFERROR(__xludf.DUMMYFUNCTION("iferror(if(A843="""",,E843&gt;=FILTER(Constants!$F$2:$F$10,Constants!$A$2:$A$10=A843)))"),TRUE)</f>
        <v>1</v>
      </c>
    </row>
    <row r="844">
      <c r="A844" s="80" t="str">
        <f>IFERROR(__xludf.DUMMYFUNCTION("""COMPUTED_VALUE"""),"Elite")</f>
        <v>Elite</v>
      </c>
      <c r="B844" s="73" t="str">
        <f>IFERROR(__xludf.DUMMYFUNCTION("""COMPUTED_VALUE"""),"RSC007166")</f>
        <v>RSC007166</v>
      </c>
      <c r="C844" s="73" t="str">
        <f>IFERROR(__xludf.DUMMYFUNCTION("""COMPUTED_VALUE"""),"nelz")</f>
        <v>nelz</v>
      </c>
      <c r="D844" s="73" t="str">
        <f>IFERROR(__xludf.DUMMYFUNCTION("""COMPUTED_VALUE"""),"Ghastly Goombahs")</f>
        <v>Ghastly Goombahs</v>
      </c>
      <c r="E844" s="82">
        <f>IFERROR(__xludf.DUMMYFUNCTION("""COMPUTED_VALUE"""),32.0)</f>
        <v>32</v>
      </c>
      <c r="F844" s="82">
        <f>IFERROR(__xludf.DUMMYFUNCTION("""COMPUTED_VALUE"""),13.0)</f>
        <v>13</v>
      </c>
      <c r="G844" s="82">
        <f>IFERROR(__xludf.DUMMYFUNCTION("""COMPUTED_VALUE"""),19.0)</f>
        <v>19</v>
      </c>
      <c r="H844" s="86">
        <f>IFERROR(__xludf.DUMMYFUNCTION("""COMPUTED_VALUE"""),0.40625)</f>
        <v>0.40625</v>
      </c>
      <c r="I844" s="86">
        <f>IFERROR(__xludf.DUMMYFUNCTION("""COMPUTED_VALUE"""),0.2608695652173913)</f>
        <v>0.2608695652</v>
      </c>
      <c r="J844" s="82">
        <f>IFERROR(__xludf.DUMMYFUNCTION("""COMPUTED_VALUE"""),392.09375)</f>
        <v>392.09375</v>
      </c>
      <c r="K844" s="82">
        <f>IFERROR(__xludf.DUMMYFUNCTION("""COMPUTED_VALUE"""),0.75)</f>
        <v>0.75</v>
      </c>
      <c r="L844" s="82">
        <f>IFERROR(__xludf.DUMMYFUNCTION("""COMPUTED_VALUE"""),0.59375)</f>
        <v>0.59375</v>
      </c>
      <c r="M844" s="82">
        <f>IFERROR(__xludf.DUMMYFUNCTION("""COMPUTED_VALUE"""),1.875)</f>
        <v>1.875</v>
      </c>
      <c r="N844" s="82">
        <f>IFERROR(__xludf.DUMMYFUNCTION("""COMPUTED_VALUE"""),2.875)</f>
        <v>2.875</v>
      </c>
      <c r="O844" s="82">
        <f>IFERROR(__xludf.DUMMYFUNCTION("""COMPUTED_VALUE"""),367.75000000000006)</f>
        <v>367.75</v>
      </c>
      <c r="P844" s="82">
        <f>IFERROR(__xludf.DUMMYFUNCTION("""COMPUTED_VALUE"""),0.8125000000000001)</f>
        <v>0.8125</v>
      </c>
      <c r="Q844" s="82">
        <f>IFERROR(__xludf.DUMMYFUNCTION("""COMPUTED_VALUE"""),0.5624999999999999)</f>
        <v>0.5625</v>
      </c>
      <c r="R844" s="82">
        <f>IFERROR(__xludf.DUMMYFUNCTION("""COMPUTED_VALUE"""),1.40625)</f>
        <v>1.40625</v>
      </c>
      <c r="S844" s="82">
        <f>IFERROR(__xludf.DUMMYFUNCTION("""COMPUTED_VALUE"""),2.760416666666666)</f>
        <v>2.760416667</v>
      </c>
      <c r="T844" s="82">
        <f>IFERROR(__xludf.DUMMYFUNCTION("""COMPUTED_VALUE"""),365.46733534317866)</f>
        <v>365.4673353</v>
      </c>
      <c r="U844" s="82">
        <f>IFERROR(__xludf.DUMMYFUNCTION("""COMPUTED_VALUE"""),0.7914945413662844)</f>
        <v>0.7914945414</v>
      </c>
      <c r="V844" s="82">
        <f>IFERROR(__xludf.DUMMYFUNCTION("""COMPUTED_VALUE"""),0.5857333705142032)</f>
        <v>0.5857333705</v>
      </c>
      <c r="W844" s="82">
        <f>IFERROR(__xludf.DUMMYFUNCTION("""COMPUTED_VALUE"""),1.4172679982179812)</f>
        <v>1.417267998</v>
      </c>
      <c r="X844" s="82">
        <f>IFERROR(__xludf.DUMMYFUNCTION("""COMPUTED_VALUE"""),2.7479840143283583)</f>
        <v>2.747984014</v>
      </c>
      <c r="Y844" s="82">
        <f>IFERROR(__xludf.DUMMYFUNCTION("""COMPUTED_VALUE"""),359.7567060421768)</f>
        <v>359.756706</v>
      </c>
      <c r="Z844" s="82">
        <f>IFERROR(__xludf.DUMMYFUNCTION("""COMPUTED_VALUE"""),0.7636794767382231)</f>
        <v>0.7636794767</v>
      </c>
      <c r="AA844" s="82">
        <f>IFERROR(__xludf.DUMMYFUNCTION("""COMPUTED_VALUE"""),0.5730972132691127)</f>
        <v>0.5730972133</v>
      </c>
      <c r="AB844" s="82">
        <f>IFERROR(__xludf.DUMMYFUNCTION("""COMPUTED_VALUE"""),1.432718995469001)</f>
        <v>1.432718995</v>
      </c>
      <c r="AC844" s="82">
        <f>IFERROR(__xludf.DUMMYFUNCTION("""COMPUTED_VALUE"""),2.6171151813384683)</f>
        <v>2.617115181</v>
      </c>
      <c r="AD844" s="82">
        <f>IFERROR(__xludf.DUMMYFUNCTION("""COMPUTED_VALUE"""),1.0898858684625383)</f>
        <v>1.089885868</v>
      </c>
      <c r="AE844" s="82">
        <f>IFERROR(__xludf.DUMMYFUNCTION("""COMPUTED_VALUE"""),0.9820874108118631)</f>
        <v>0.9820874108</v>
      </c>
      <c r="AF844" s="82">
        <f>IFERROR(__xludf.DUMMYFUNCTION("""COMPUTED_VALUE"""),1.0360371438783968)</f>
        <v>1.036037144</v>
      </c>
      <c r="AG844" s="82">
        <f>IFERROR(__xludf.DUMMYFUNCTION("""COMPUTED_VALUE"""),1.308700454122351)</f>
        <v>1.308700454</v>
      </c>
      <c r="AH844" s="82">
        <f>IFERROR(__xludf.DUMMYFUNCTION("""COMPUTED_VALUE"""),1.0985378177087497)</f>
        <v>1.098537818</v>
      </c>
      <c r="AI844" s="82">
        <f>IFERROR(__xludf.DUMMYFUNCTION("""COMPUTED_VALUE"""),1.0062458787313453)</f>
        <v>1.006245879</v>
      </c>
      <c r="AJ844" s="82">
        <f>IFERROR(__xludf.DUMMYFUNCTION("""COMPUTED_VALUE"""),1.0265389810490113)</f>
        <v>1.026538981</v>
      </c>
      <c r="AK844" s="82">
        <f>IFERROR(__xludf.DUMMYFUNCTION("""COMPUTED_VALUE"""),0.960334562304676)</f>
        <v>0.9603345623</v>
      </c>
      <c r="AL844" s="82">
        <f>IFERROR(__xludf.DUMMYFUNCTION("""COMPUTED_VALUE"""),0.9922258893647251)</f>
        <v>0.9922258894</v>
      </c>
      <c r="AM844" s="82">
        <f>IFERROR(__xludf.DUMMYFUNCTION("""COMPUTED_VALUE"""),1.0045242811724822)</f>
        <v>1.004524281</v>
      </c>
      <c r="AN844" s="82">
        <f>IFERROR(__xludf.DUMMYFUNCTION("""COMPUTED_VALUE"""),1.1116641720177207)</f>
        <v>1.111664172</v>
      </c>
      <c r="AO844" s="82">
        <f>IFERROR(__xludf.DUMMYFUNCTION("""COMPUTED_VALUE"""),1.0516180443859584)</f>
        <v>1.051618044</v>
      </c>
      <c r="AP844" s="82">
        <f>IFERROR(__xludf.DUMMYFUNCTION("""COMPUTED_VALUE"""),1.0324714408308726)</f>
        <v>1.032471441</v>
      </c>
      <c r="AQ844" s="82">
        <f>IFERROR(__xludf.DUMMYFUNCTION("""COMPUTED_VALUE"""),1.314389373589824)</f>
        <v>1.314389374</v>
      </c>
      <c r="AR844" s="82">
        <f>IFERROR(__xludf.DUMMYFUNCTION("""COMPUTED_VALUE"""),1.1412758974096093)</f>
        <v>1.141275897</v>
      </c>
      <c r="AS844" s="82">
        <f>IFERROR(__xludf.DUMMYFUNCTION("""COMPUTED_VALUE"""),64.0)</f>
        <v>64</v>
      </c>
      <c r="AT844" s="82">
        <f>IFERROR(__xludf.DUMMYFUNCTION("""COMPUTED_VALUE"""),0.4247272289059478)</f>
        <v>0.4247272289</v>
      </c>
      <c r="AU844" s="82">
        <f>IFERROR(__xludf.DUMMYFUNCTION("""COMPUTED_VALUE"""),2.703597271244097)</f>
        <v>2.703597271</v>
      </c>
      <c r="AV844" s="82">
        <f>IFERROR(__xludf.DUMMYFUNCTION("""COMPUTED_VALUE"""),60.64681894651165)</f>
        <v>60.64681895</v>
      </c>
      <c r="AW844" s="82">
        <f t="shared" si="1"/>
        <v>2.984181303</v>
      </c>
      <c r="AX844" s="83">
        <f t="array" ref="AX844">IFERROR(DGET('SBV Import'!A:G,"SBV",{"RSC ID","Tier";B844,A844}))</f>
        <v>57.16099102</v>
      </c>
      <c r="AY844" s="82">
        <f t="shared" si="2"/>
        <v>2.582173085</v>
      </c>
      <c r="AZ844" s="82">
        <v>0.4020082185371363</v>
      </c>
      <c r="BA844" s="84">
        <v>800.0</v>
      </c>
      <c r="BB844" s="84" t="b">
        <f>IFERROR(__xludf.DUMMYFUNCTION("iferror(if(A844="""",,E844&gt;=FILTER(Constants!$F$2:$F$10,Constants!$A$2:$A$10=A844)))"),TRUE)</f>
        <v>1</v>
      </c>
    </row>
    <row r="845">
      <c r="A845" s="80" t="str">
        <f>IFERROR(__xludf.DUMMYFUNCTION("""COMPUTED_VALUE"""),"Elite")</f>
        <v>Elite</v>
      </c>
      <c r="B845" s="73" t="str">
        <f>IFERROR(__xludf.DUMMYFUNCTION("""COMPUTED_VALUE"""),"RSC007382")</f>
        <v>RSC007382</v>
      </c>
      <c r="C845" s="73" t="str">
        <f>IFERROR(__xludf.DUMMYFUNCTION("""COMPUTED_VALUE"""),"takeeover")</f>
        <v>takeeover</v>
      </c>
      <c r="D845" s="73" t="str">
        <f>IFERROR(__xludf.DUMMYFUNCTION("""COMPUTED_VALUE"""),"Afterburners")</f>
        <v>Afterburners</v>
      </c>
      <c r="E845" s="82">
        <f>IFERROR(__xludf.DUMMYFUNCTION("""COMPUTED_VALUE"""),36.0)</f>
        <v>36</v>
      </c>
      <c r="F845" s="82">
        <f>IFERROR(__xludf.DUMMYFUNCTION("""COMPUTED_VALUE"""),19.0)</f>
        <v>19</v>
      </c>
      <c r="G845" s="82">
        <f>IFERROR(__xludf.DUMMYFUNCTION("""COMPUTED_VALUE"""),17.0)</f>
        <v>17</v>
      </c>
      <c r="H845" s="86">
        <f>IFERROR(__xludf.DUMMYFUNCTION("""COMPUTED_VALUE"""),0.5277777777777778)</f>
        <v>0.5277777778</v>
      </c>
      <c r="I845" s="86">
        <f>IFERROR(__xludf.DUMMYFUNCTION("""COMPUTED_VALUE"""),0.23958333333333331)</f>
        <v>0.2395833333</v>
      </c>
      <c r="J845" s="82">
        <f>IFERROR(__xludf.DUMMYFUNCTION("""COMPUTED_VALUE"""),411.55555555555554)</f>
        <v>411.5555556</v>
      </c>
      <c r="K845" s="82">
        <f>IFERROR(__xludf.DUMMYFUNCTION("""COMPUTED_VALUE"""),0.6388888888888888)</f>
        <v>0.6388888889</v>
      </c>
      <c r="L845" s="82">
        <f>IFERROR(__xludf.DUMMYFUNCTION("""COMPUTED_VALUE"""),0.8611111111111112)</f>
        <v>0.8611111111</v>
      </c>
      <c r="M845" s="82">
        <f>IFERROR(__xludf.DUMMYFUNCTION("""COMPUTED_VALUE"""),2.0)</f>
        <v>2</v>
      </c>
      <c r="N845" s="82">
        <f>IFERROR(__xludf.DUMMYFUNCTION("""COMPUTED_VALUE"""),2.6666666666666665)</f>
        <v>2.666666667</v>
      </c>
      <c r="O845" s="82">
        <f>IFERROR(__xludf.DUMMYFUNCTION("""COMPUTED_VALUE"""),364.287037037037)</f>
        <v>364.287037</v>
      </c>
      <c r="P845" s="82">
        <f>IFERROR(__xludf.DUMMYFUNCTION("""COMPUTED_VALUE"""),0.7500000000000001)</f>
        <v>0.75</v>
      </c>
      <c r="Q845" s="82">
        <f>IFERROR(__xludf.DUMMYFUNCTION("""COMPUTED_VALUE"""),0.5462962962962964)</f>
        <v>0.5462962963</v>
      </c>
      <c r="R845" s="82">
        <f>IFERROR(__xludf.DUMMYFUNCTION("""COMPUTED_VALUE"""),1.5648148148148149)</f>
        <v>1.564814815</v>
      </c>
      <c r="S845" s="82">
        <f>IFERROR(__xludf.DUMMYFUNCTION("""COMPUTED_VALUE"""),2.6388888888888893)</f>
        <v>2.638888889</v>
      </c>
      <c r="T845" s="82">
        <f>IFERROR(__xludf.DUMMYFUNCTION("""COMPUTED_VALUE"""),358.6009972791631)</f>
        <v>358.6009973</v>
      </c>
      <c r="U845" s="82">
        <f>IFERROR(__xludf.DUMMYFUNCTION("""COMPUTED_VALUE"""),0.7753078380537392)</f>
        <v>0.7753078381</v>
      </c>
      <c r="V845" s="82">
        <f>IFERROR(__xludf.DUMMYFUNCTION("""COMPUTED_VALUE"""),0.5950268355029997)</f>
        <v>0.5950268355</v>
      </c>
      <c r="W845" s="82">
        <f>IFERROR(__xludf.DUMMYFUNCTION("""COMPUTED_VALUE"""),1.4304247817734357)</f>
        <v>1.430424782</v>
      </c>
      <c r="X845" s="82">
        <f>IFERROR(__xludf.DUMMYFUNCTION("""COMPUTED_VALUE"""),2.624074053623968)</f>
        <v>2.624074054</v>
      </c>
      <c r="Y845" s="82">
        <f>IFERROR(__xludf.DUMMYFUNCTION("""COMPUTED_VALUE"""),369.53633116867263)</f>
        <v>369.5363312</v>
      </c>
      <c r="Z845" s="82">
        <f>IFERROR(__xludf.DUMMYFUNCTION("""COMPUTED_VALUE"""),0.8385674566517628)</f>
        <v>0.8385674567</v>
      </c>
      <c r="AA845" s="82">
        <f>IFERROR(__xludf.DUMMYFUNCTION("""COMPUTED_VALUE"""),0.6328118124051578)</f>
        <v>0.6328118124</v>
      </c>
      <c r="AB845" s="82">
        <f>IFERROR(__xludf.DUMMYFUNCTION("""COMPUTED_VALUE"""),1.4335497617222899)</f>
        <v>1.433549762</v>
      </c>
      <c r="AC845" s="82">
        <f>IFERROR(__xludf.DUMMYFUNCTION("""COMPUTED_VALUE"""),2.695388069501947)</f>
        <v>2.69538807</v>
      </c>
      <c r="AD845" s="82">
        <f>IFERROR(__xludf.DUMMYFUNCTION("""COMPUTED_VALUE"""),1.1137079654766164)</f>
        <v>1.113707965</v>
      </c>
      <c r="AE845" s="82">
        <f>IFERROR(__xludf.DUMMYFUNCTION("""COMPUTED_VALUE"""),0.7618813296664865)</f>
        <v>0.7618813297</v>
      </c>
      <c r="AF845" s="82">
        <f>IFERROR(__xludf.DUMMYFUNCTION("""COMPUTED_VALUE"""),1.3607696541539662)</f>
        <v>1.360769654</v>
      </c>
      <c r="AG845" s="82">
        <f>IFERROR(__xludf.DUMMYFUNCTION("""COMPUTED_VALUE"""),1.3951381761573227)</f>
        <v>1.395138176</v>
      </c>
      <c r="AH845" s="82">
        <f>IFERROR(__xludf.DUMMYFUNCTION("""COMPUTED_VALUE"""),0.9893442420554351)</f>
        <v>0.9893442421</v>
      </c>
      <c r="AI845" s="82">
        <f>IFERROR(__xludf.DUMMYFUNCTION("""COMPUTED_VALUE"""),1.0158561738562246)</f>
        <v>1.015856174</v>
      </c>
      <c r="AJ845" s="82">
        <f>IFERROR(__xludf.DUMMYFUNCTION("""COMPUTED_VALUE"""),0.9673576909563181)</f>
        <v>0.967357691</v>
      </c>
      <c r="AK845" s="82">
        <f>IFERROR(__xludf.DUMMYFUNCTION("""COMPUTED_VALUE"""),0.9181036277708223)</f>
        <v>0.9181036278</v>
      </c>
      <c r="AL845" s="82">
        <f>IFERROR(__xludf.DUMMYFUNCTION("""COMPUTED_VALUE"""),1.093951135882002)</f>
        <v>1.093951136</v>
      </c>
      <c r="AM845" s="82">
        <f>IFERROR(__xludf.DUMMYFUNCTION("""COMPUTED_VALUE"""),1.005645738253637)</f>
        <v>1.005645738</v>
      </c>
      <c r="AN845" s="82">
        <f>IFERROR(__xludf.DUMMYFUNCTION("""COMPUTED_VALUE"""),1.1668422817399149)</f>
        <v>1.166842282</v>
      </c>
      <c r="AO845" s="82">
        <f>IFERROR(__xludf.DUMMYFUNCTION("""COMPUTED_VALUE"""),0.8958227785510016)</f>
        <v>0.8958227786</v>
      </c>
      <c r="AP845" s="82">
        <f>IFERROR(__xludf.DUMMYFUNCTION("""COMPUTED_VALUE"""),1.4973854814389265)</f>
        <v>1.497385481</v>
      </c>
      <c r="AQ845" s="82">
        <f>IFERROR(__xludf.DUMMYFUNCTION("""COMPUTED_VALUE"""),1.4020153318291455)</f>
        <v>1.402015332</v>
      </c>
      <c r="AR845" s="82">
        <f>IFERROR(__xludf.DUMMYFUNCTION("""COMPUTED_VALUE"""),1.0585747454234058)</f>
        <v>1.058574745</v>
      </c>
      <c r="AS845" s="82">
        <f>IFERROR(__xludf.DUMMYFUNCTION("""COMPUTED_VALUE"""),91.0)</f>
        <v>91</v>
      </c>
      <c r="AT845" s="82">
        <f>IFERROR(__xludf.DUMMYFUNCTION("""COMPUTED_VALUE"""),0.545464062744491)</f>
        <v>0.5454640627</v>
      </c>
      <c r="AU845" s="82">
        <f>IFERROR(__xludf.DUMMYFUNCTION("""COMPUTED_VALUE"""),2.7018894597906615)</f>
        <v>2.70188946</v>
      </c>
      <c r="AV845" s="82">
        <f>IFERROR(__xludf.DUMMYFUNCTION("""COMPUTED_VALUE"""),60.59883036839426)</f>
        <v>60.59883037</v>
      </c>
      <c r="AW845" s="82">
        <f t="shared" si="1"/>
        <v>2.977963367</v>
      </c>
      <c r="AX845" s="83">
        <f t="array" ref="AX845">IFERROR(DGET('SBV Import'!A:G,"SBV",{"RSC ID","Tier";B845,A845}))</f>
        <v>63.33203293</v>
      </c>
      <c r="AY845" s="82">
        <f t="shared" si="2"/>
        <v>3.367917023</v>
      </c>
      <c r="AZ845" s="82">
        <v>0.38995365594047193</v>
      </c>
      <c r="BA845" s="84">
        <v>800.0</v>
      </c>
      <c r="BB845" s="84" t="b">
        <f>IFERROR(__xludf.DUMMYFUNCTION("iferror(if(A845="""",,E845&gt;=FILTER(Constants!$F$2:$F$10,Constants!$A$2:$A$10=A845)))"),TRUE)</f>
        <v>1</v>
      </c>
    </row>
    <row r="846">
      <c r="A846" s="80" t="str">
        <f>IFERROR(__xludf.DUMMYFUNCTION("""COMPUTED_VALUE"""),"Elite")</f>
        <v>Elite</v>
      </c>
      <c r="B846" s="73" t="str">
        <f>IFERROR(__xludf.DUMMYFUNCTION("""COMPUTED_VALUE"""),"RSC007836")</f>
        <v>RSC007836</v>
      </c>
      <c r="C846" s="73" t="str">
        <f>IFERROR(__xludf.DUMMYFUNCTION("""COMPUTED_VALUE"""),"Eclipse")</f>
        <v>Eclipse</v>
      </c>
      <c r="D846" s="73" t="str">
        <f>IFERROR(__xludf.DUMMYFUNCTION("""COMPUTED_VALUE"""),"Great Whites")</f>
        <v>Great Whites</v>
      </c>
      <c r="E846" s="82">
        <f>IFERROR(__xludf.DUMMYFUNCTION("""COMPUTED_VALUE"""),36.0)</f>
        <v>36</v>
      </c>
      <c r="F846" s="82">
        <f>IFERROR(__xludf.DUMMYFUNCTION("""COMPUTED_VALUE"""),26.0)</f>
        <v>26</v>
      </c>
      <c r="G846" s="82">
        <f>IFERROR(__xludf.DUMMYFUNCTION("""COMPUTED_VALUE"""),10.0)</f>
        <v>10</v>
      </c>
      <c r="H846" s="86">
        <f>IFERROR(__xludf.DUMMYFUNCTION("""COMPUTED_VALUE"""),0.7222222222222222)</f>
        <v>0.7222222222</v>
      </c>
      <c r="I846" s="86">
        <f>IFERROR(__xludf.DUMMYFUNCTION("""COMPUTED_VALUE"""),0.3103448275862069)</f>
        <v>0.3103448276</v>
      </c>
      <c r="J846" s="82">
        <f>IFERROR(__xludf.DUMMYFUNCTION("""COMPUTED_VALUE"""),351.1111111111111)</f>
        <v>351.1111111</v>
      </c>
      <c r="K846" s="82">
        <f>IFERROR(__xludf.DUMMYFUNCTION("""COMPUTED_VALUE"""),0.75)</f>
        <v>0.75</v>
      </c>
      <c r="L846" s="82">
        <f>IFERROR(__xludf.DUMMYFUNCTION("""COMPUTED_VALUE"""),0.7222222222222222)</f>
        <v>0.7222222222</v>
      </c>
      <c r="M846" s="82">
        <f>IFERROR(__xludf.DUMMYFUNCTION("""COMPUTED_VALUE"""),1.2222222222222223)</f>
        <v>1.222222222</v>
      </c>
      <c r="N846" s="82">
        <f>IFERROR(__xludf.DUMMYFUNCTION("""COMPUTED_VALUE"""),2.4166666666666665)</f>
        <v>2.416666667</v>
      </c>
      <c r="O846" s="82">
        <f>IFERROR(__xludf.DUMMYFUNCTION("""COMPUTED_VALUE"""),310.72222222222223)</f>
        <v>310.7222222</v>
      </c>
      <c r="P846" s="82">
        <f>IFERROR(__xludf.DUMMYFUNCTION("""COMPUTED_VALUE"""),0.4907407407407407)</f>
        <v>0.4907407407</v>
      </c>
      <c r="Q846" s="82">
        <f>IFERROR(__xludf.DUMMYFUNCTION("""COMPUTED_VALUE"""),0.38888888888888895)</f>
        <v>0.3888888889</v>
      </c>
      <c r="R846" s="82">
        <f>IFERROR(__xludf.DUMMYFUNCTION("""COMPUTED_VALUE"""),1.4907407407407405)</f>
        <v>1.490740741</v>
      </c>
      <c r="S846" s="82">
        <f>IFERROR(__xludf.DUMMYFUNCTION("""COMPUTED_VALUE"""),2.092592592592593)</f>
        <v>2.092592593</v>
      </c>
      <c r="T846" s="82">
        <f>IFERROR(__xludf.DUMMYFUNCTION("""COMPUTED_VALUE"""),358.52030794008505)</f>
        <v>358.5203079</v>
      </c>
      <c r="U846" s="82">
        <f>IFERROR(__xludf.DUMMYFUNCTION("""COMPUTED_VALUE"""),0.7215708039689926)</f>
        <v>0.721570804</v>
      </c>
      <c r="V846" s="82">
        <f>IFERROR(__xludf.DUMMYFUNCTION("""COMPUTED_VALUE"""),0.49731693790984277)</f>
        <v>0.4973169379</v>
      </c>
      <c r="W846" s="82">
        <f>IFERROR(__xludf.DUMMYFUNCTION("""COMPUTED_VALUE"""),1.5459243466588326)</f>
        <v>1.545924347</v>
      </c>
      <c r="X846" s="82">
        <f>IFERROR(__xludf.DUMMYFUNCTION("""COMPUTED_VALUE"""),2.604063459953826)</f>
        <v>2.60406346</v>
      </c>
      <c r="Y846" s="82">
        <f>IFERROR(__xludf.DUMMYFUNCTION("""COMPUTED_VALUE"""),377.29435819496007)</f>
        <v>377.2943582</v>
      </c>
      <c r="Z846" s="82">
        <f>IFERROR(__xludf.DUMMYFUNCTION("""COMPUTED_VALUE"""),0.8384841157768189)</f>
        <v>0.8384841158</v>
      </c>
      <c r="AA846" s="82">
        <f>IFERROR(__xludf.DUMMYFUNCTION("""COMPUTED_VALUE"""),0.6582132819954238)</f>
        <v>0.658213282</v>
      </c>
      <c r="AB846" s="82">
        <f>IFERROR(__xludf.DUMMYFUNCTION("""COMPUTED_VALUE"""),1.456329126162349)</f>
        <v>1.456329126</v>
      </c>
      <c r="AC846" s="82">
        <f>IFERROR(__xludf.DUMMYFUNCTION("""COMPUTED_VALUE"""),2.862894459725231)</f>
        <v>2.86289446</v>
      </c>
      <c r="AD846" s="82">
        <f>IFERROR(__xludf.DUMMYFUNCTION("""COMPUTED_VALUE"""),0.9306026010854919)</f>
        <v>0.9306026011</v>
      </c>
      <c r="AE846" s="82">
        <f>IFERROR(__xludf.DUMMYFUNCTION("""COMPUTED_VALUE"""),0.894471327349067)</f>
        <v>0.8944713273</v>
      </c>
      <c r="AF846" s="82">
        <f>IFERROR(__xludf.DUMMYFUNCTION("""COMPUTED_VALUE"""),1.097246503493139)</f>
        <v>1.097246503</v>
      </c>
      <c r="AG846" s="82">
        <f>IFERROR(__xludf.DUMMYFUNCTION("""COMPUTED_VALUE"""),0.8392486288061585)</f>
        <v>0.8392486288</v>
      </c>
      <c r="AH846" s="82">
        <f>IFERROR(__xludf.DUMMYFUNCTION("""COMPUTED_VALUE"""),0.8441340400996159)</f>
        <v>0.8441340401</v>
      </c>
      <c r="AI846" s="82">
        <f>IFERROR(__xludf.DUMMYFUNCTION("""COMPUTED_VALUE"""),0.8666795585653387)</f>
        <v>0.8666795586</v>
      </c>
      <c r="AJ846" s="82">
        <f>IFERROR(__xludf.DUMMYFUNCTION("""COMPUTED_VALUE"""),0.6801006055697187)</f>
        <v>0.6801006056</v>
      </c>
      <c r="AK846" s="82">
        <f>IFERROR(__xludf.DUMMYFUNCTION("""COMPUTED_VALUE"""),0.7819739470835991)</f>
        <v>0.7819739471</v>
      </c>
      <c r="AL846" s="82">
        <f>IFERROR(__xludf.DUMMYFUNCTION("""COMPUTED_VALUE"""),0.9643038121255034)</f>
        <v>0.9643038121</v>
      </c>
      <c r="AM846" s="82">
        <f>IFERROR(__xludf.DUMMYFUNCTION("""COMPUTED_VALUE"""),0.803587402831457)</f>
        <v>0.8035874028</v>
      </c>
      <c r="AN846" s="82">
        <f>IFERROR(__xludf.DUMMYFUNCTION("""COMPUTED_VALUE"""),0.9954701971647222)</f>
        <v>0.9954701972</v>
      </c>
      <c r="AO846" s="82">
        <f>IFERROR(__xludf.DUMMYFUNCTION("""COMPUTED_VALUE"""),1.0516180443859584)</f>
        <v>1.051618044</v>
      </c>
      <c r="AP846" s="82">
        <f>IFERROR(__xludf.DUMMYFUNCTION("""COMPUTED_VALUE"""),1.2558716941100674)</f>
        <v>1.255871694</v>
      </c>
      <c r="AQ846" s="82">
        <f>IFERROR(__xludf.DUMMYFUNCTION("""COMPUTED_VALUE"""),0.8567871472289224)</f>
        <v>0.8567871472</v>
      </c>
      <c r="AR846" s="82">
        <f>IFERROR(__xludf.DUMMYFUNCTION("""COMPUTED_VALUE"""),0.9593333630399614)</f>
        <v>0.959333363</v>
      </c>
      <c r="AS846" s="82">
        <f>IFERROR(__xludf.DUMMYFUNCTION("""COMPUTED_VALUE"""),100.0)</f>
        <v>100</v>
      </c>
      <c r="AT846" s="82">
        <f>IFERROR(__xludf.DUMMYFUNCTION("""COMPUTED_VALUE"""),0.7234613670445539)</f>
        <v>0.723461367</v>
      </c>
      <c r="AU846" s="82">
        <f>IFERROR(__xludf.DUMMYFUNCTION("""COMPUTED_VALUE"""),2.6810233934095287)</f>
        <v>2.681023393</v>
      </c>
      <c r="AV846" s="82">
        <f>IFERROR(__xludf.DUMMYFUNCTION("""COMPUTED_VALUE"""),60.012505189160166)</f>
        <v>60.01250519</v>
      </c>
      <c r="AW846" s="82">
        <f t="shared" si="1"/>
        <v>2.9036505</v>
      </c>
      <c r="AX846" s="83">
        <f t="array" ref="AX846">IFERROR(DGET('SBV Import'!A:G,"SBV",{"RSC ID","Tier";B846,A846}))</f>
        <v>56.05936453</v>
      </c>
      <c r="AY846" s="82">
        <f t="shared" si="2"/>
        <v>2.473747575</v>
      </c>
      <c r="AZ846" s="82">
        <v>0.4299029250401345</v>
      </c>
      <c r="BA846" s="84">
        <v>800.0</v>
      </c>
      <c r="BB846" s="84" t="b">
        <f>IFERROR(__xludf.DUMMYFUNCTION("iferror(if(A846="""",,E846&gt;=FILTER(Constants!$F$2:$F$10,Constants!$A$2:$A$10=A846)))"),TRUE)</f>
        <v>1</v>
      </c>
    </row>
    <row r="847">
      <c r="A847" s="80" t="str">
        <f>IFERROR(__xludf.DUMMYFUNCTION("""COMPUTED_VALUE"""),"Elite")</f>
        <v>Elite</v>
      </c>
      <c r="B847" s="73" t="str">
        <f>IFERROR(__xludf.DUMMYFUNCTION("""COMPUTED_VALUE"""),"RSC006637")</f>
        <v>RSC006637</v>
      </c>
      <c r="C847" s="73" t="str">
        <f>IFERROR(__xludf.DUMMYFUNCTION("""COMPUTED_VALUE"""),"nekodah")</f>
        <v>nekodah</v>
      </c>
      <c r="D847" s="73" t="str">
        <f>IFERROR(__xludf.DUMMYFUNCTION("""COMPUTED_VALUE"""),"Stoked Blokes")</f>
        <v>Stoked Blokes</v>
      </c>
      <c r="E847" s="82">
        <f>IFERROR(__xludf.DUMMYFUNCTION("""COMPUTED_VALUE"""),12.0)</f>
        <v>12</v>
      </c>
      <c r="F847" s="82">
        <f>IFERROR(__xludf.DUMMYFUNCTION("""COMPUTED_VALUE"""),8.0)</f>
        <v>8</v>
      </c>
      <c r="G847" s="82">
        <f>IFERROR(__xludf.DUMMYFUNCTION("""COMPUTED_VALUE"""),4.0)</f>
        <v>4</v>
      </c>
      <c r="H847" s="86">
        <f>IFERROR(__xludf.DUMMYFUNCTION("""COMPUTED_VALUE"""),0.6666666666666666)</f>
        <v>0.6666666667</v>
      </c>
      <c r="I847" s="86">
        <f>IFERROR(__xludf.DUMMYFUNCTION("""COMPUTED_VALUE"""),0.29729729729729726)</f>
        <v>0.2972972973</v>
      </c>
      <c r="J847" s="82">
        <f>IFERROR(__xludf.DUMMYFUNCTION("""COMPUTED_VALUE"""),348.5)</f>
        <v>348.5</v>
      </c>
      <c r="K847" s="82">
        <f>IFERROR(__xludf.DUMMYFUNCTION("""COMPUTED_VALUE"""),0.9166666666666666)</f>
        <v>0.9166666667</v>
      </c>
      <c r="L847" s="82">
        <f>IFERROR(__xludf.DUMMYFUNCTION("""COMPUTED_VALUE"""),0.16666666666666666)</f>
        <v>0.1666666667</v>
      </c>
      <c r="M847" s="82">
        <f>IFERROR(__xludf.DUMMYFUNCTION("""COMPUTED_VALUE"""),1.1666666666666667)</f>
        <v>1.166666667</v>
      </c>
      <c r="N847" s="82">
        <f>IFERROR(__xludf.DUMMYFUNCTION("""COMPUTED_VALUE"""),3.0833333333333335)</f>
        <v>3.083333333</v>
      </c>
      <c r="O847" s="82">
        <f>IFERROR(__xludf.DUMMYFUNCTION("""COMPUTED_VALUE"""),330.1666666666667)</f>
        <v>330.1666667</v>
      </c>
      <c r="P847" s="82">
        <f>IFERROR(__xludf.DUMMYFUNCTION("""COMPUTED_VALUE"""),0.5277777777777778)</f>
        <v>0.5277777778</v>
      </c>
      <c r="Q847" s="82">
        <f>IFERROR(__xludf.DUMMYFUNCTION("""COMPUTED_VALUE"""),0.49999999999999994)</f>
        <v>0.5</v>
      </c>
      <c r="R847" s="82">
        <f>IFERROR(__xludf.DUMMYFUNCTION("""COMPUTED_VALUE"""),1.7777777777777777)</f>
        <v>1.777777778</v>
      </c>
      <c r="S847" s="82">
        <f>IFERROR(__xludf.DUMMYFUNCTION("""COMPUTED_VALUE"""),2.1111111111111107)</f>
        <v>2.111111111</v>
      </c>
      <c r="T847" s="82">
        <f>IFERROR(__xludf.DUMMYFUNCTION("""COMPUTED_VALUE"""),361.6061542418486)</f>
        <v>361.6061542</v>
      </c>
      <c r="U847" s="82">
        <f>IFERROR(__xludf.DUMMYFUNCTION("""COMPUTED_VALUE"""),0.7474497467553024)</f>
        <v>0.7474497468</v>
      </c>
      <c r="V847" s="82">
        <f>IFERROR(__xludf.DUMMYFUNCTION("""COMPUTED_VALUE"""),0.6288639601139603)</f>
        <v>0.6288639601</v>
      </c>
      <c r="W847" s="82">
        <f>IFERROR(__xludf.DUMMYFUNCTION("""COMPUTED_VALUE"""),1.5597962171573287)</f>
        <v>1.559796217</v>
      </c>
      <c r="X847" s="82">
        <f>IFERROR(__xludf.DUMMYFUNCTION("""COMPUTED_VALUE"""),2.3342869578980694)</f>
        <v>2.334286958</v>
      </c>
      <c r="Y847" s="82">
        <f>IFERROR(__xludf.DUMMYFUNCTION("""COMPUTED_VALUE"""),357.3669164820091)</f>
        <v>357.3669165</v>
      </c>
      <c r="Z847" s="82">
        <f>IFERROR(__xludf.DUMMYFUNCTION("""COMPUTED_VALUE"""),0.79602287116176)</f>
        <v>0.7960228712</v>
      </c>
      <c r="AA847" s="82">
        <f>IFERROR(__xludf.DUMMYFUNCTION("""COMPUTED_VALUE"""),0.5935849952516619)</f>
        <v>0.5935849953</v>
      </c>
      <c r="AB847" s="82">
        <f>IFERROR(__xludf.DUMMYFUNCTION("""COMPUTED_VALUE"""),1.283603592909149)</f>
        <v>1.283603593</v>
      </c>
      <c r="AC847" s="82">
        <f>IFERROR(__xludf.DUMMYFUNCTION("""COMPUTED_VALUE"""),2.8034009971509968)</f>
        <v>2.803400997</v>
      </c>
      <c r="AD847" s="82">
        <f>IFERROR(__xludf.DUMMYFUNCTION("""COMPUTED_VALUE"""),0.9751881999338472)</f>
        <v>0.9751881999</v>
      </c>
      <c r="AE847" s="82">
        <f>IFERROR(__xludf.DUMMYFUNCTION("""COMPUTED_VALUE"""),1.1515582025034437)</f>
        <v>1.151558203</v>
      </c>
      <c r="AF847" s="82">
        <f>IFERROR(__xludf.DUMMYFUNCTION("""COMPUTED_VALUE"""),0.2807797838555624)</f>
        <v>0.2807797839</v>
      </c>
      <c r="AG847" s="82">
        <f>IFERROR(__xludf.DUMMYFUNCTION("""COMPUTED_VALUE"""),0.908899502238493)</f>
        <v>0.9088995022</v>
      </c>
      <c r="AH847" s="82">
        <f>IFERROR(__xludf.DUMMYFUNCTION("""COMPUTED_VALUE"""),1.0998545468403638)</f>
        <v>1.099854547</v>
      </c>
      <c r="AI847" s="82">
        <f>IFERROR(__xludf.DUMMYFUNCTION("""COMPUTED_VALUE"""),0.9130559941904234)</f>
        <v>0.9130559942</v>
      </c>
      <c r="AJ847" s="82">
        <f>IFERROR(__xludf.DUMMYFUNCTION("""COMPUTED_VALUE"""),0.7061046981002723)</f>
        <v>0.7061046981</v>
      </c>
      <c r="AK847" s="82">
        <f>IFERROR(__xludf.DUMMYFUNCTION("""COMPUTED_VALUE"""),0.7950845202027349)</f>
        <v>0.7950845202</v>
      </c>
      <c r="AL847" s="82">
        <f>IFERROR(__xludf.DUMMYFUNCTION("""COMPUTED_VALUE"""),1.1397500251781045)</f>
        <v>1.139750025</v>
      </c>
      <c r="AM847" s="82">
        <f>IFERROR(__xludf.DUMMYFUNCTION("""COMPUTED_VALUE"""),0.9043922830345077)</f>
        <v>0.904392283</v>
      </c>
      <c r="AN847" s="82">
        <f>IFERROR(__xludf.DUMMYFUNCTION("""COMPUTED_VALUE"""),0.9880671751288453)</f>
        <v>0.9880671751</v>
      </c>
      <c r="AO847" s="82">
        <f>IFERROR(__xludf.DUMMYFUNCTION("""COMPUTED_VALUE"""),1.2853109431383936)</f>
        <v>1.285310943</v>
      </c>
      <c r="AP847" s="82">
        <f>IFERROR(__xludf.DUMMYFUNCTION("""COMPUTED_VALUE"""),0.2898165447946309)</f>
        <v>0.2898165448</v>
      </c>
      <c r="AQ847" s="82">
        <f>IFERROR(__xludf.DUMMYFUNCTION("""COMPUTED_VALUE"""),0.817842276900335)</f>
        <v>0.8178422769</v>
      </c>
      <c r="AR847" s="82">
        <f>IFERROR(__xludf.DUMMYFUNCTION("""COMPUTED_VALUE"""),1.2239770493958129)</f>
        <v>1.223977049</v>
      </c>
      <c r="AS847" s="82">
        <f>IFERROR(__xludf.DUMMYFUNCTION("""COMPUTED_VALUE"""),27.0)</f>
        <v>27</v>
      </c>
      <c r="AT847" s="82">
        <f>IFERROR(__xludf.DUMMYFUNCTION("""COMPUTED_VALUE"""),0.6263889254786668)</f>
        <v>0.6263889255</v>
      </c>
      <c r="AU847" s="82">
        <f>IFERROR(__xludf.DUMMYFUNCTION("""COMPUTED_VALUE"""),2.6548907617212834)</f>
        <v>2.654890762</v>
      </c>
      <c r="AV847" s="82">
        <f>IFERROR(__xludf.DUMMYFUNCTION("""COMPUTED_VALUE"""),59.278192373385586)</f>
        <v>59.27819237</v>
      </c>
      <c r="AW847" s="82">
        <f t="shared" si="1"/>
        <v>2.814751002</v>
      </c>
      <c r="AX847" s="83">
        <f t="array" ref="AX847">IFERROR(DGET('SBV Import'!A:G,"SBV",{"RSC ID","Tier";B847,A847}))</f>
        <v>49.20878021</v>
      </c>
      <c r="AY847" s="82">
        <f t="shared" si="2"/>
        <v>-2.051803667</v>
      </c>
      <c r="AZ847" s="82">
        <v>4.866554668176832</v>
      </c>
      <c r="BA847" s="84">
        <v>800.0</v>
      </c>
      <c r="BB847" s="84" t="b">
        <f>IFERROR(__xludf.DUMMYFUNCTION("iferror(if(A847="""",,E847&gt;=FILTER(Constants!$F$2:$F$10,Constants!$A$2:$A$10=A847)))"),TRUE)</f>
        <v>1</v>
      </c>
    </row>
    <row r="848">
      <c r="A848" s="80" t="str">
        <f>IFERROR(__xludf.DUMMYFUNCTION("""COMPUTED_VALUE"""),"Elite")</f>
        <v>Elite</v>
      </c>
      <c r="B848" s="73" t="str">
        <f>IFERROR(__xludf.DUMMYFUNCTION("""COMPUTED_VALUE"""),"RSC000438")</f>
        <v>RSC000438</v>
      </c>
      <c r="C848" s="73" t="str">
        <f>IFERROR(__xludf.DUMMYFUNCTION("""COMPUTED_VALUE"""),"Limon")</f>
        <v>Limon</v>
      </c>
      <c r="D848" s="73" t="str">
        <f>IFERROR(__xludf.DUMMYFUNCTION("""COMPUTED_VALUE"""),"Menthol")</f>
        <v>Menthol</v>
      </c>
      <c r="E848" s="82">
        <f>IFERROR(__xludf.DUMMYFUNCTION("""COMPUTED_VALUE"""),17.0)</f>
        <v>17</v>
      </c>
      <c r="F848" s="82">
        <f>IFERROR(__xludf.DUMMYFUNCTION("""COMPUTED_VALUE"""),11.0)</f>
        <v>11</v>
      </c>
      <c r="G848" s="82">
        <f>IFERROR(__xludf.DUMMYFUNCTION("""COMPUTED_VALUE"""),6.0)</f>
        <v>6</v>
      </c>
      <c r="H848" s="86">
        <f>IFERROR(__xludf.DUMMYFUNCTION("""COMPUTED_VALUE"""),0.6470588235294118)</f>
        <v>0.6470588235</v>
      </c>
      <c r="I848" s="86">
        <f>IFERROR(__xludf.DUMMYFUNCTION("""COMPUTED_VALUE"""),0.3148148148148148)</f>
        <v>0.3148148148</v>
      </c>
      <c r="J848" s="82">
        <f>IFERROR(__xludf.DUMMYFUNCTION("""COMPUTED_VALUE"""),349.70588235294116)</f>
        <v>349.7058824</v>
      </c>
      <c r="K848" s="82">
        <f>IFERROR(__xludf.DUMMYFUNCTION("""COMPUTED_VALUE"""),1.0)</f>
        <v>1</v>
      </c>
      <c r="L848" s="82">
        <f>IFERROR(__xludf.DUMMYFUNCTION("""COMPUTED_VALUE"""),0.4117647058823529)</f>
        <v>0.4117647059</v>
      </c>
      <c r="M848" s="82">
        <f>IFERROR(__xludf.DUMMYFUNCTION("""COMPUTED_VALUE"""),1.0588235294117647)</f>
        <v>1.058823529</v>
      </c>
      <c r="N848" s="82">
        <f>IFERROR(__xludf.DUMMYFUNCTION("""COMPUTED_VALUE"""),3.176470588235294)</f>
        <v>3.176470588</v>
      </c>
      <c r="O848" s="82">
        <f>IFERROR(__xludf.DUMMYFUNCTION("""COMPUTED_VALUE"""),387.3137254901961)</f>
        <v>387.3137255</v>
      </c>
      <c r="P848" s="82">
        <f>IFERROR(__xludf.DUMMYFUNCTION("""COMPUTED_VALUE"""),0.7058823529411765)</f>
        <v>0.7058823529</v>
      </c>
      <c r="Q848" s="82">
        <f>IFERROR(__xludf.DUMMYFUNCTION("""COMPUTED_VALUE"""),0.5098039215686273)</f>
        <v>0.5098039216</v>
      </c>
      <c r="R848" s="82">
        <f>IFERROR(__xludf.DUMMYFUNCTION("""COMPUTED_VALUE"""),2.0588235294117645)</f>
        <v>2.058823529</v>
      </c>
      <c r="S848" s="82">
        <f>IFERROR(__xludf.DUMMYFUNCTION("""COMPUTED_VALUE"""),2.1568627450980395)</f>
        <v>2.156862745</v>
      </c>
      <c r="T848" s="82">
        <f>IFERROR(__xludf.DUMMYFUNCTION("""COMPUTED_VALUE"""),353.4957094487795)</f>
        <v>353.4957094</v>
      </c>
      <c r="U848" s="82">
        <f>IFERROR(__xludf.DUMMYFUNCTION("""COMPUTED_VALUE"""),0.6608577335907011)</f>
        <v>0.6608577336</v>
      </c>
      <c r="V848" s="82">
        <f>IFERROR(__xludf.DUMMYFUNCTION("""COMPUTED_VALUE"""),0.5284515251195838)</f>
        <v>0.5284515251</v>
      </c>
      <c r="W848" s="82">
        <f>IFERROR(__xludf.DUMMYFUNCTION("""COMPUTED_VALUE"""),1.6439066670954277)</f>
        <v>1.643906667</v>
      </c>
      <c r="X848" s="82">
        <f>IFERROR(__xludf.DUMMYFUNCTION("""COMPUTED_VALUE"""),2.3368738640484246)</f>
        <v>2.336873864</v>
      </c>
      <c r="Y848" s="82">
        <f>IFERROR(__xludf.DUMMYFUNCTION("""COMPUTED_VALUE"""),386.7617876639101)</f>
        <v>386.7617877</v>
      </c>
      <c r="Z848" s="82">
        <f>IFERROR(__xludf.DUMMYFUNCTION("""COMPUTED_VALUE"""),0.927590025561429)</f>
        <v>0.9275900256</v>
      </c>
      <c r="AA848" s="82">
        <f>IFERROR(__xludf.DUMMYFUNCTION("""COMPUTED_VALUE"""),0.7289221625881929)</f>
        <v>0.7289221626</v>
      </c>
      <c r="AB848" s="82">
        <f>IFERROR(__xludf.DUMMYFUNCTION("""COMPUTED_VALUE"""),1.3325874071057617)</f>
        <v>1.332587407</v>
      </c>
      <c r="AC848" s="82">
        <f>IFERROR(__xludf.DUMMYFUNCTION("""COMPUTED_VALUE"""),3.0895700682818372)</f>
        <v>3.089570068</v>
      </c>
      <c r="AD848" s="82">
        <f>IFERROR(__xludf.DUMMYFUNCTION("""COMPUTED_VALUE"""),0.9041893317982852)</f>
        <v>0.9041893318</v>
      </c>
      <c r="AE848" s="82">
        <f>IFERROR(__xludf.DUMMYFUNCTION("""COMPUTED_VALUE"""),1.07806247635613)</f>
        <v>1.078062476</v>
      </c>
      <c r="AF848" s="82">
        <f>IFERROR(__xludf.DUMMYFUNCTION("""COMPUTED_VALUE"""),0.5648953029776114)</f>
        <v>0.564895303</v>
      </c>
      <c r="AG848" s="82">
        <f>IFERROR(__xludf.DUMMYFUNCTION("""COMPUTED_VALUE"""),0.7945621606251082)</f>
        <v>0.7945621606</v>
      </c>
      <c r="AH848" s="82">
        <f>IFERROR(__xludf.DUMMYFUNCTION("""COMPUTED_VALUE"""),1.0281270591159577)</f>
        <v>1.028127059</v>
      </c>
      <c r="AI848" s="82">
        <f>IFERROR(__xludf.DUMMYFUNCTION("""COMPUTED_VALUE"""),1.095667401717974)</f>
        <v>1.095667402</v>
      </c>
      <c r="AJ848" s="82">
        <f>IFERROR(__xludf.DUMMYFUNCTION("""COMPUTED_VALUE"""),1.068130577977561)</f>
        <v>1.068130578</v>
      </c>
      <c r="AK848" s="82">
        <f>IFERROR(__xludf.DUMMYFUNCTION("""COMPUTED_VALUE"""),0.9647127453237329)</f>
        <v>0.9647127453</v>
      </c>
      <c r="AL848" s="82">
        <f>IFERROR(__xludf.DUMMYFUNCTION("""COMPUTED_VALUE"""),1.25239684869059)</f>
        <v>1.252396849</v>
      </c>
      <c r="AM848" s="82">
        <f>IFERROR(__xludf.DUMMYFUNCTION("""COMPUTED_VALUE"""),0.9229692617476016)</f>
        <v>0.9229692617</v>
      </c>
      <c r="AN848" s="82">
        <f>IFERROR(__xludf.DUMMYFUNCTION("""COMPUTED_VALUE"""),0.9914860926898448)</f>
        <v>0.9914860927</v>
      </c>
      <c r="AO848" s="82">
        <f>IFERROR(__xludf.DUMMYFUNCTION("""COMPUTED_VALUE"""),1.4021573925146114)</f>
        <v>1.402157393</v>
      </c>
      <c r="AP848" s="82">
        <f>IFERROR(__xludf.DUMMYFUNCTION("""COMPUTED_VALUE"""),0.7160173459632058)</f>
        <v>0.716017346</v>
      </c>
      <c r="AQ848" s="82">
        <f>IFERROR(__xludf.DUMMYFUNCTION("""COMPUTED_VALUE"""),0.7422434109683712)</f>
        <v>0.742243411</v>
      </c>
      <c r="AR848" s="82">
        <f>IFERROR(__xludf.DUMMYFUNCTION("""COMPUTED_VALUE"""),1.260949329107292)</f>
        <v>1.260949329</v>
      </c>
      <c r="AS848" s="82">
        <f>IFERROR(__xludf.DUMMYFUNCTION("""COMPUTED_VALUE"""),48.0)</f>
        <v>48</v>
      </c>
      <c r="AT848" s="82">
        <f>IFERROR(__xludf.DUMMYFUNCTION("""COMPUTED_VALUE"""),0.6118350121000697)</f>
        <v>0.6118350121</v>
      </c>
      <c r="AU848" s="82">
        <f>IFERROR(__xludf.DUMMYFUNCTION("""COMPUTED_VALUE"""),2.6364256474272514)</f>
        <v>2.636425647</v>
      </c>
      <c r="AV848" s="82">
        <f>IFERROR(__xludf.DUMMYFUNCTION("""COMPUTED_VALUE"""),58.75933264916772)</f>
        <v>58.75933265</v>
      </c>
      <c r="AW848" s="82">
        <f t="shared" si="1"/>
        <v>2.754598759</v>
      </c>
      <c r="AX848" s="83">
        <f t="array" ref="AX848">IFERROR(DGET('SBV Import'!A:G,"SBV",{"RSC ID","Tier";B848,A848}))</f>
        <v>39.34799526</v>
      </c>
      <c r="AY848" s="82">
        <f t="shared" si="2"/>
        <v>-2.984854483</v>
      </c>
      <c r="AZ848" s="82">
        <v>5.739453242210555</v>
      </c>
      <c r="BA848" s="84">
        <v>800.0</v>
      </c>
      <c r="BB848" s="84" t="b">
        <f>IFERROR(__xludf.DUMMYFUNCTION("iferror(if(A848="""",,E848&gt;=FILTER(Constants!$F$2:$F$10,Constants!$A$2:$A$10=A848)))"),TRUE)</f>
        <v>1</v>
      </c>
    </row>
    <row r="849">
      <c r="A849" s="80" t="str">
        <f>IFERROR(__xludf.DUMMYFUNCTION("""COMPUTED_VALUE"""),"Elite")</f>
        <v>Elite</v>
      </c>
      <c r="B849" s="73" t="str">
        <f>IFERROR(__xludf.DUMMYFUNCTION("""COMPUTED_VALUE"""),"RSC005373")</f>
        <v>RSC005373</v>
      </c>
      <c r="C849" s="73" t="str">
        <f>IFERROR(__xludf.DUMMYFUNCTION("""COMPUTED_VALUE"""),"dvorl.ttv")</f>
        <v>dvorl.ttv</v>
      </c>
      <c r="D849" s="73" t="str">
        <f>IFERROR(__xludf.DUMMYFUNCTION("""COMPUTED_VALUE"""),"Despair")</f>
        <v>Despair</v>
      </c>
      <c r="E849" s="82">
        <f>IFERROR(__xludf.DUMMYFUNCTION("""COMPUTED_VALUE"""),31.0)</f>
        <v>31</v>
      </c>
      <c r="F849" s="82">
        <f>IFERROR(__xludf.DUMMYFUNCTION("""COMPUTED_VALUE"""),20.0)</f>
        <v>20</v>
      </c>
      <c r="G849" s="82">
        <f>IFERROR(__xludf.DUMMYFUNCTION("""COMPUTED_VALUE"""),11.0)</f>
        <v>11</v>
      </c>
      <c r="H849" s="86">
        <f>IFERROR(__xludf.DUMMYFUNCTION("""COMPUTED_VALUE"""),0.6451612903225806)</f>
        <v>0.6451612903</v>
      </c>
      <c r="I849" s="86">
        <f>IFERROR(__xludf.DUMMYFUNCTION("""COMPUTED_VALUE"""),0.28735632183908044)</f>
        <v>0.2873563218</v>
      </c>
      <c r="J849" s="82">
        <f>IFERROR(__xludf.DUMMYFUNCTION("""COMPUTED_VALUE"""),327.38709677419354)</f>
        <v>327.3870968</v>
      </c>
      <c r="K849" s="82">
        <f>IFERROR(__xludf.DUMMYFUNCTION("""COMPUTED_VALUE"""),0.8064516129032258)</f>
        <v>0.8064516129</v>
      </c>
      <c r="L849" s="82">
        <f>IFERROR(__xludf.DUMMYFUNCTION("""COMPUTED_VALUE"""),0.5483870967741935)</f>
        <v>0.5483870968</v>
      </c>
      <c r="M849" s="82">
        <f>IFERROR(__xludf.DUMMYFUNCTION("""COMPUTED_VALUE"""),1.032258064516129)</f>
        <v>1.032258065</v>
      </c>
      <c r="N849" s="82">
        <f>IFERROR(__xludf.DUMMYFUNCTION("""COMPUTED_VALUE"""),2.806451612903226)</f>
        <v>2.806451613</v>
      </c>
      <c r="O849" s="82">
        <f>IFERROR(__xludf.DUMMYFUNCTION("""COMPUTED_VALUE"""),350.81720430107526)</f>
        <v>350.8172043</v>
      </c>
      <c r="P849" s="82">
        <f>IFERROR(__xludf.DUMMYFUNCTION("""COMPUTED_VALUE"""),0.6236559139784947)</f>
        <v>0.623655914</v>
      </c>
      <c r="Q849" s="82">
        <f>IFERROR(__xludf.DUMMYFUNCTION("""COMPUTED_VALUE"""),0.4946236559139785)</f>
        <v>0.4946236559</v>
      </c>
      <c r="R849" s="82">
        <f>IFERROR(__xludf.DUMMYFUNCTION("""COMPUTED_VALUE"""),1.655913978494624)</f>
        <v>1.655913978</v>
      </c>
      <c r="S849" s="82">
        <f>IFERROR(__xludf.DUMMYFUNCTION("""COMPUTED_VALUE"""),2.440860215053763)</f>
        <v>2.440860215</v>
      </c>
      <c r="T849" s="82">
        <f>IFERROR(__xludf.DUMMYFUNCTION("""COMPUTED_VALUE"""),361.8835078396548)</f>
        <v>361.8835078</v>
      </c>
      <c r="U849" s="82">
        <f>IFERROR(__xludf.DUMMYFUNCTION("""COMPUTED_VALUE"""),0.7104947682553309)</f>
        <v>0.7104947683</v>
      </c>
      <c r="V849" s="82">
        <f>IFERROR(__xludf.DUMMYFUNCTION("""COMPUTED_VALUE"""),0.586105709566787)</f>
        <v>0.5861057096</v>
      </c>
      <c r="W849" s="82">
        <f>IFERROR(__xludf.DUMMYFUNCTION("""COMPUTED_VALUE"""),1.5680577073853603)</f>
        <v>1.568057707</v>
      </c>
      <c r="X849" s="82">
        <f>IFERROR(__xludf.DUMMYFUNCTION("""COMPUTED_VALUE"""),2.598495945980068)</f>
        <v>2.598495946</v>
      </c>
      <c r="Y849" s="82">
        <f>IFERROR(__xludf.DUMMYFUNCTION("""COMPUTED_VALUE"""),365.40827659381785)</f>
        <v>365.4082766</v>
      </c>
      <c r="Z849" s="82">
        <f>IFERROR(__xludf.DUMMYFUNCTION("""COMPUTED_VALUE"""),0.8015396448710821)</f>
        <v>0.8015396449</v>
      </c>
      <c r="AA849" s="82">
        <f>IFERROR(__xludf.DUMMYFUNCTION("""COMPUTED_VALUE"""),0.5869097049735772)</f>
        <v>0.586909705</v>
      </c>
      <c r="AB849" s="82">
        <f>IFERROR(__xludf.DUMMYFUNCTION("""COMPUTED_VALUE"""),1.396334486434292)</f>
        <v>1.396334486</v>
      </c>
      <c r="AC849" s="82">
        <f>IFERROR(__xludf.DUMMYFUNCTION("""COMPUTED_VALUE"""),2.7890000389595664)</f>
        <v>2.789000039</v>
      </c>
      <c r="AD849" s="82">
        <f>IFERROR(__xludf.DUMMYFUNCTION("""COMPUTED_VALUE"""),0.8959487722225623)</f>
        <v>0.8959487722</v>
      </c>
      <c r="AE849" s="82">
        <f>IFERROR(__xludf.DUMMYFUNCTION("""COMPUTED_VALUE"""),1.006128166040912)</f>
        <v>1.006128166</v>
      </c>
      <c r="AF849" s="82">
        <f>IFERROR(__xludf.DUMMYFUNCTION("""COMPUTED_VALUE"""),0.9343636544549592)</f>
        <v>0.9343636545</v>
      </c>
      <c r="AG849" s="82">
        <f>IFERROR(__xludf.DUMMYFUNCTION("""COMPUTED_VALUE"""),0.7392627443816303)</f>
        <v>0.7392627444</v>
      </c>
      <c r="AH849" s="82">
        <f>IFERROR(__xludf.DUMMYFUNCTION("""COMPUTED_VALUE"""),1.006257287092104)</f>
        <v>1.006257287</v>
      </c>
      <c r="AI849" s="82">
        <f>IFERROR(__xludf.DUMMYFUNCTION("""COMPUTED_VALUE"""),0.9694202601145261)</f>
        <v>0.9694202601</v>
      </c>
      <c r="AJ849" s="82">
        <f>IFERROR(__xludf.DUMMYFUNCTION("""COMPUTED_VALUE"""),0.8777769265070382)</f>
        <v>0.8777769265</v>
      </c>
      <c r="AK849" s="82">
        <f>IFERROR(__xludf.DUMMYFUNCTION("""COMPUTED_VALUE"""),0.8439154368238003)</f>
        <v>0.8439154368</v>
      </c>
      <c r="AL849" s="82">
        <f>IFERROR(__xludf.DUMMYFUNCTION("""COMPUTED_VALUE"""),1.0560287231110637)</f>
        <v>1.056028723</v>
      </c>
      <c r="AM849" s="82">
        <f>IFERROR(__xludf.DUMMYFUNCTION("""COMPUTED_VALUE"""),0.939335779541942)</f>
        <v>0.9393357795</v>
      </c>
      <c r="AN849" s="82">
        <f>IFERROR(__xludf.DUMMYFUNCTION("""COMPUTED_VALUE"""),0.9282078734097886)</f>
        <v>0.9282078734</v>
      </c>
      <c r="AO849" s="82">
        <f>IFERROR(__xludf.DUMMYFUNCTION("""COMPUTED_VALUE"""),1.1307720907375898)</f>
        <v>1.130772091</v>
      </c>
      <c r="AP849" s="82">
        <f>IFERROR(__xludf.DUMMYFUNCTION("""COMPUTED_VALUE"""),0.9535899215823339)</f>
        <v>0.9535899216</v>
      </c>
      <c r="AQ849" s="82">
        <f>IFERROR(__xludf.DUMMYFUNCTION("""COMPUTED_VALUE"""),0.7236208164279461)</f>
        <v>0.7236208164</v>
      </c>
      <c r="AR849" s="82">
        <f>IFERROR(__xludf.DUMMYFUNCTION("""COMPUTED_VALUE"""),1.1140645506270521)</f>
        <v>1.114064551</v>
      </c>
      <c r="AS849" s="82">
        <f>IFERROR(__xludf.DUMMYFUNCTION("""COMPUTED_VALUE"""),87.0)</f>
        <v>87</v>
      </c>
      <c r="AT849" s="82">
        <f>IFERROR(__xludf.DUMMYFUNCTION("""COMPUTED_VALUE"""),0.6527873076300471)</f>
        <v>0.6527873076</v>
      </c>
      <c r="AU849" s="82">
        <f>IFERROR(__xludf.DUMMYFUNCTION("""COMPUTED_VALUE"""),2.606386076811514)</f>
        <v>2.606386077</v>
      </c>
      <c r="AV849" s="82">
        <f>IFERROR(__xludf.DUMMYFUNCTION("""COMPUTED_VALUE"""),57.915236962722815)</f>
        <v>57.91523696</v>
      </c>
      <c r="AW849" s="82">
        <f t="shared" si="1"/>
        <v>2.661202534</v>
      </c>
      <c r="AX849" s="83">
        <f t="array" ref="AX849">IFERROR(DGET('SBV Import'!A:G,"SBV",{"RSC ID","Tier";B849,A849}))</f>
        <v>40.06951443</v>
      </c>
      <c r="AY849" s="82">
        <f t="shared" si="2"/>
        <v>-2.893494823</v>
      </c>
      <c r="AZ849" s="82">
        <v>5.55469735670332</v>
      </c>
      <c r="BA849" s="84">
        <v>800.0</v>
      </c>
      <c r="BB849" s="84" t="b">
        <f>IFERROR(__xludf.DUMMYFUNCTION("iferror(if(A849="""",,E849&gt;=FILTER(Constants!$F$2:$F$10,Constants!$A$2:$A$10=A849)))"),TRUE)</f>
        <v>1</v>
      </c>
    </row>
    <row r="850">
      <c r="A850" s="85" t="str">
        <f>IFERROR(__xludf.DUMMYFUNCTION("""COMPUTED_VALUE"""),"Elite")</f>
        <v>Elite</v>
      </c>
      <c r="B850" s="73" t="str">
        <f>IFERROR(__xludf.DUMMYFUNCTION("""COMPUTED_VALUE"""),"RSC007941")</f>
        <v>RSC007941</v>
      </c>
      <c r="C850" s="73" t="str">
        <f>IFERROR(__xludf.DUMMYFUNCTION("""COMPUTED_VALUE"""),"Shepherd")</f>
        <v>Shepherd</v>
      </c>
      <c r="D850" s="73" t="str">
        <f>IFERROR(__xludf.DUMMYFUNCTION("""COMPUTED_VALUE"""),"Demons")</f>
        <v>Demons</v>
      </c>
      <c r="E850" s="82">
        <f>IFERROR(__xludf.DUMMYFUNCTION("""COMPUTED_VALUE"""),27.0)</f>
        <v>27</v>
      </c>
      <c r="F850" s="82">
        <f>IFERROR(__xludf.DUMMYFUNCTION("""COMPUTED_VALUE"""),12.0)</f>
        <v>12</v>
      </c>
      <c r="G850" s="82">
        <f>IFERROR(__xludf.DUMMYFUNCTION("""COMPUTED_VALUE"""),15.0)</f>
        <v>15</v>
      </c>
      <c r="H850" s="86">
        <f>IFERROR(__xludf.DUMMYFUNCTION("""COMPUTED_VALUE"""),0.4444444444444444)</f>
        <v>0.4444444444</v>
      </c>
      <c r="I850" s="86">
        <f>IFERROR(__xludf.DUMMYFUNCTION("""COMPUTED_VALUE"""),0.4150943396226415)</f>
        <v>0.4150943396</v>
      </c>
      <c r="J850" s="82">
        <f>IFERROR(__xludf.DUMMYFUNCTION("""COMPUTED_VALUE"""),400.51851851851853)</f>
        <v>400.5185185</v>
      </c>
      <c r="K850" s="82">
        <f>IFERROR(__xludf.DUMMYFUNCTION("""COMPUTED_VALUE"""),0.8148148148148148)</f>
        <v>0.8148148148</v>
      </c>
      <c r="L850" s="82">
        <f>IFERROR(__xludf.DUMMYFUNCTION("""COMPUTED_VALUE"""),0.7777777777777778)</f>
        <v>0.7777777778</v>
      </c>
      <c r="M850" s="82">
        <f>IFERROR(__xludf.DUMMYFUNCTION("""COMPUTED_VALUE"""),1.8518518518518519)</f>
        <v>1.851851852</v>
      </c>
      <c r="N850" s="82">
        <f>IFERROR(__xludf.DUMMYFUNCTION("""COMPUTED_VALUE"""),1.962962962962963)</f>
        <v>1.962962963</v>
      </c>
      <c r="O850" s="82">
        <f>IFERROR(__xludf.DUMMYFUNCTION("""COMPUTED_VALUE"""),367.4320987654321)</f>
        <v>367.4320988</v>
      </c>
      <c r="P850" s="82">
        <f>IFERROR(__xludf.DUMMYFUNCTION("""COMPUTED_VALUE"""),0.8148148148148148)</f>
        <v>0.8148148148</v>
      </c>
      <c r="Q850" s="82">
        <f>IFERROR(__xludf.DUMMYFUNCTION("""COMPUTED_VALUE"""),0.7037037037037037)</f>
        <v>0.7037037037</v>
      </c>
      <c r="R850" s="82">
        <f>IFERROR(__xludf.DUMMYFUNCTION("""COMPUTED_VALUE"""),1.2962962962962963)</f>
        <v>1.296296296</v>
      </c>
      <c r="S850" s="82">
        <f>IFERROR(__xludf.DUMMYFUNCTION("""COMPUTED_VALUE"""),2.9629629629629637)</f>
        <v>2.962962963</v>
      </c>
      <c r="T850" s="82">
        <f>IFERROR(__xludf.DUMMYFUNCTION("""COMPUTED_VALUE"""),363.90466954929116)</f>
        <v>363.9046695</v>
      </c>
      <c r="U850" s="82">
        <f>IFERROR(__xludf.DUMMYFUNCTION("""COMPUTED_VALUE"""),0.8245727143705321)</f>
        <v>0.8245727144</v>
      </c>
      <c r="V850" s="82">
        <f>IFERROR(__xludf.DUMMYFUNCTION("""COMPUTED_VALUE"""),0.5876928057638559)</f>
        <v>0.5876928058</v>
      </c>
      <c r="W850" s="82">
        <f>IFERROR(__xludf.DUMMYFUNCTION("""COMPUTED_VALUE"""),1.3753305564778222)</f>
        <v>1.375330556</v>
      </c>
      <c r="X850" s="82">
        <f>IFERROR(__xludf.DUMMYFUNCTION("""COMPUTED_VALUE"""),2.676879552095914)</f>
        <v>2.676879552</v>
      </c>
      <c r="Y850" s="82">
        <f>IFERROR(__xludf.DUMMYFUNCTION("""COMPUTED_VALUE"""),356.1269824410705)</f>
        <v>356.1269824</v>
      </c>
      <c r="Z850" s="82">
        <f>IFERROR(__xludf.DUMMYFUNCTION("""COMPUTED_VALUE"""),0.7459704054082137)</f>
        <v>0.7459704054</v>
      </c>
      <c r="AA850" s="82">
        <f>IFERROR(__xludf.DUMMYFUNCTION("""COMPUTED_VALUE"""),0.5520236026872144)</f>
        <v>0.5520236027</v>
      </c>
      <c r="AB850" s="82">
        <f>IFERROR(__xludf.DUMMYFUNCTION("""COMPUTED_VALUE"""),1.4759194231497217)</f>
        <v>1.475919423</v>
      </c>
      <c r="AC850" s="82">
        <f>IFERROR(__xludf.DUMMYFUNCTION("""COMPUTED_VALUE"""),2.5112185341566433)</f>
        <v>2.511218534</v>
      </c>
      <c r="AD850" s="82">
        <f>IFERROR(__xludf.DUMMYFUNCTION("""COMPUTED_VALUE"""),1.1246508640630555)</f>
        <v>1.124650864</v>
      </c>
      <c r="AE850" s="82">
        <f>IFERROR(__xludf.DUMMYFUNCTION("""COMPUTED_VALUE"""),1.0922883922840447)</f>
        <v>1.092288392</v>
      </c>
      <c r="AF850" s="82">
        <f>IFERROR(__xludf.DUMMYFUNCTION("""COMPUTED_VALUE"""),1.408957468469839)</f>
        <v>1.408957468</v>
      </c>
      <c r="AG850" s="82">
        <f>IFERROR(__xludf.DUMMYFUNCTION("""COMPUTED_VALUE"""),1.2547106724158845)</f>
        <v>1.254710672</v>
      </c>
      <c r="AH850" s="82">
        <f>IFERROR(__xludf.DUMMYFUNCTION("""COMPUTED_VALUE"""),0.7816774750040605)</f>
        <v>0.781677475</v>
      </c>
      <c r="AI850" s="82">
        <f>IFERROR(__xludf.DUMMYFUNCTION("""COMPUTED_VALUE"""),1.0096932782437493)</f>
        <v>1.009693278</v>
      </c>
      <c r="AJ850" s="82">
        <f>IFERROR(__xludf.DUMMYFUNCTION("""COMPUTED_VALUE"""),0.9881661139331218)</f>
        <v>0.9881661139</v>
      </c>
      <c r="AK850" s="82">
        <f>IFERROR(__xludf.DUMMYFUNCTION("""COMPUTED_VALUE"""),1.197400575270038)</f>
        <v>1.197400575</v>
      </c>
      <c r="AL850" s="82">
        <f>IFERROR(__xludf.DUMMYFUNCTION("""COMPUTED_VALUE"""),0.9425343530620521)</f>
        <v>0.9425343531</v>
      </c>
      <c r="AM850" s="82">
        <f>IFERROR(__xludf.DUMMYFUNCTION("""COMPUTED_VALUE"""),1.1068719773525317)</f>
        <v>1.106871977</v>
      </c>
      <c r="AN850" s="82">
        <f>IFERROR(__xludf.DUMMYFUNCTION("""COMPUTED_VALUE"""),1.1355500751201801)</f>
        <v>1.135550075</v>
      </c>
      <c r="AO850" s="82">
        <f>IFERROR(__xludf.DUMMYFUNCTION("""COMPUTED_VALUE"""),1.1424986161230166)</f>
        <v>1.142498616</v>
      </c>
      <c r="AP850" s="82">
        <f>IFERROR(__xludf.DUMMYFUNCTION("""COMPUTED_VALUE"""),1.352477209041611)</f>
        <v>1.352477209</v>
      </c>
      <c r="AQ850" s="82">
        <f>IFERROR(__xludf.DUMMYFUNCTION("""COMPUTED_VALUE"""),1.2981623442862458)</f>
        <v>1.298162344</v>
      </c>
      <c r="AR850" s="82">
        <f>IFERROR(__xludf.DUMMYFUNCTION("""COMPUTED_VALUE"""),0.7792286320477848)</f>
        <v>0.779228632</v>
      </c>
      <c r="AS850" s="82">
        <f>IFERROR(__xludf.DUMMYFUNCTION("""COMPUTED_VALUE"""),63.0)</f>
        <v>63</v>
      </c>
      <c r="AT850" s="82">
        <f>IFERROR(__xludf.DUMMYFUNCTION("""COMPUTED_VALUE"""),0.4817893450945216)</f>
        <v>0.4817893451</v>
      </c>
      <c r="AU850" s="82">
        <f>IFERROR(__xludf.DUMMYFUNCTION("""COMPUTED_VALUE"""),2.5791256810828345)</f>
        <v>2.579125681</v>
      </c>
      <c r="AV850" s="82">
        <f>IFERROR(__xludf.DUMMYFUNCTION("""COMPUTED_VALUE"""),57.149234587399086)</f>
        <v>57.14923459</v>
      </c>
      <c r="AW850" s="82">
        <f t="shared" si="1"/>
        <v>2.580972958</v>
      </c>
      <c r="AX850" s="83">
        <f t="array" ref="AX850">IFERROR(DGET('SBV Import'!A:G,"SBV",{"RSC ID","Tier";B850,A850}))</f>
        <v>53.57083672</v>
      </c>
      <c r="AY850" s="82">
        <f t="shared" si="2"/>
        <v>2.256262444</v>
      </c>
      <c r="AZ850" s="82">
        <v>0.3247105131561381</v>
      </c>
      <c r="BA850" s="84">
        <v>800.0</v>
      </c>
      <c r="BB850" s="84" t="b">
        <f>IFERROR(__xludf.DUMMYFUNCTION("iferror(if(A850="""",,E850&gt;=FILTER(Constants!$F$2:$F$10,Constants!$A$2:$A$10=A850)))"),TRUE)</f>
        <v>1</v>
      </c>
    </row>
    <row r="851">
      <c r="A851" s="80" t="str">
        <f>IFERROR(__xludf.DUMMYFUNCTION("""COMPUTED_VALUE"""),"Elite")</f>
        <v>Elite</v>
      </c>
      <c r="B851" s="73" t="str">
        <f>IFERROR(__xludf.DUMMYFUNCTION("""COMPUTED_VALUE"""),"RSC000508")</f>
        <v>RSC000508</v>
      </c>
      <c r="C851" s="73" t="str">
        <f>IFERROR(__xludf.DUMMYFUNCTION("""COMPUTED_VALUE"""),"Bender_Escobar")</f>
        <v>Bender_Escobar</v>
      </c>
      <c r="D851" s="73" t="str">
        <f>IFERROR(__xludf.DUMMYFUNCTION("""COMPUTED_VALUE"""),"Demons")</f>
        <v>Demons</v>
      </c>
      <c r="E851" s="82">
        <f>IFERROR(__xludf.DUMMYFUNCTION("""COMPUTED_VALUE"""),32.0)</f>
        <v>32</v>
      </c>
      <c r="F851" s="82">
        <f>IFERROR(__xludf.DUMMYFUNCTION("""COMPUTED_VALUE"""),11.0)</f>
        <v>11</v>
      </c>
      <c r="G851" s="82">
        <f>IFERROR(__xludf.DUMMYFUNCTION("""COMPUTED_VALUE"""),21.0)</f>
        <v>21</v>
      </c>
      <c r="H851" s="86">
        <f>IFERROR(__xludf.DUMMYFUNCTION("""COMPUTED_VALUE"""),0.34375)</f>
        <v>0.34375</v>
      </c>
      <c r="I851" s="86">
        <f>IFERROR(__xludf.DUMMYFUNCTION("""COMPUTED_VALUE"""),0.3373493975903614)</f>
        <v>0.3373493976</v>
      </c>
      <c r="J851" s="82">
        <f>IFERROR(__xludf.DUMMYFUNCTION("""COMPUTED_VALUE"""),344.5625)</f>
        <v>344.5625</v>
      </c>
      <c r="K851" s="82">
        <f>IFERROR(__xludf.DUMMYFUNCTION("""COMPUTED_VALUE"""),0.875)</f>
        <v>0.875</v>
      </c>
      <c r="L851" s="82">
        <f>IFERROR(__xludf.DUMMYFUNCTION("""COMPUTED_VALUE"""),0.53125)</f>
        <v>0.53125</v>
      </c>
      <c r="M851" s="82">
        <f>IFERROR(__xludf.DUMMYFUNCTION("""COMPUTED_VALUE"""),1.34375)</f>
        <v>1.34375</v>
      </c>
      <c r="N851" s="82">
        <f>IFERROR(__xludf.DUMMYFUNCTION("""COMPUTED_VALUE"""),2.59375)</f>
        <v>2.59375</v>
      </c>
      <c r="O851" s="82">
        <f>IFERROR(__xludf.DUMMYFUNCTION("""COMPUTED_VALUE"""),398.82291666666663)</f>
        <v>398.8229167</v>
      </c>
      <c r="P851" s="82">
        <f>IFERROR(__xludf.DUMMYFUNCTION("""COMPUTED_VALUE"""),0.9791666666666667)</f>
        <v>0.9791666667</v>
      </c>
      <c r="Q851" s="82">
        <f>IFERROR(__xludf.DUMMYFUNCTION("""COMPUTED_VALUE"""),0.8020833333333336)</f>
        <v>0.8020833333</v>
      </c>
      <c r="R851" s="82">
        <f>IFERROR(__xludf.DUMMYFUNCTION("""COMPUTED_VALUE"""),1.3125000000000002)</f>
        <v>1.3125</v>
      </c>
      <c r="S851" s="82">
        <f>IFERROR(__xludf.DUMMYFUNCTION("""COMPUTED_VALUE"""),3.0625000000000004)</f>
        <v>3.0625</v>
      </c>
      <c r="T851" s="82">
        <f>IFERROR(__xludf.DUMMYFUNCTION("""COMPUTED_VALUE"""),376.23308069812845)</f>
        <v>376.2330807</v>
      </c>
      <c r="U851" s="82">
        <f>IFERROR(__xludf.DUMMYFUNCTION("""COMPUTED_VALUE"""),0.905795881563902)</f>
        <v>0.9057958816</v>
      </c>
      <c r="V851" s="82">
        <f>IFERROR(__xludf.DUMMYFUNCTION("""COMPUTED_VALUE"""),0.652426127137152)</f>
        <v>0.6524261271</v>
      </c>
      <c r="W851" s="82">
        <f>IFERROR(__xludf.DUMMYFUNCTION("""COMPUTED_VALUE"""),1.3402744439672631)</f>
        <v>1.340274444</v>
      </c>
      <c r="X851" s="82">
        <f>IFERROR(__xludf.DUMMYFUNCTION("""COMPUTED_VALUE"""),2.809388539777452)</f>
        <v>2.80938854</v>
      </c>
      <c r="Y851" s="82">
        <f>IFERROR(__xludf.DUMMYFUNCTION("""COMPUTED_VALUE"""),352.5072028083147)</f>
        <v>352.5072028</v>
      </c>
      <c r="Z851" s="82">
        <f>IFERROR(__xludf.DUMMYFUNCTION("""COMPUTED_VALUE"""),0.7046105261464748)</f>
        <v>0.7046105261</v>
      </c>
      <c r="AA851" s="82">
        <f>IFERROR(__xludf.DUMMYFUNCTION("""COMPUTED_VALUE"""),0.5117017953830609)</f>
        <v>0.5117017954</v>
      </c>
      <c r="AB851" s="82">
        <f>IFERROR(__xludf.DUMMYFUNCTION("""COMPUTED_VALUE"""),1.530460100988688)</f>
        <v>1.530460101</v>
      </c>
      <c r="AC851" s="82">
        <f>IFERROR(__xludf.DUMMYFUNCTION("""COMPUTED_VALUE"""),2.433001826763124)</f>
        <v>2.433001827</v>
      </c>
      <c r="AD851" s="82">
        <f>IFERROR(__xludf.DUMMYFUNCTION("""COMPUTED_VALUE"""),0.9774622965289171)</f>
        <v>0.9774622965</v>
      </c>
      <c r="AE851" s="82">
        <f>IFERROR(__xludf.DUMMYFUNCTION("""COMPUTED_VALUE"""),1.241820789685598)</f>
        <v>1.24182079</v>
      </c>
      <c r="AF851" s="82">
        <f>IFERROR(__xludf.DUMMYFUNCTION("""COMPUTED_VALUE"""),1.038202337363904)</f>
        <v>1.038202337</v>
      </c>
      <c r="AG851" s="82">
        <f>IFERROR(__xludf.DUMMYFUNCTION("""COMPUTED_VALUE"""),0.8780039408619199)</f>
        <v>0.8780039409</v>
      </c>
      <c r="AH851" s="82">
        <f>IFERROR(__xludf.DUMMYFUNCTION("""COMPUTED_VALUE"""),1.0660698941811877)</f>
        <v>1.066069894</v>
      </c>
      <c r="AI851" s="82">
        <f>IFERROR(__xludf.DUMMYFUNCTION("""COMPUTED_VALUE"""),1.0600421311348303)</f>
        <v>1.060042131</v>
      </c>
      <c r="AJ851" s="82">
        <f>IFERROR(__xludf.DUMMYFUNCTION("""COMPUTED_VALUE"""),1.0810014558424426)</f>
        <v>1.081001456</v>
      </c>
      <c r="AK851" s="82">
        <f>IFERROR(__xludf.DUMMYFUNCTION("""COMPUTED_VALUE"""),1.2293856729081005)</f>
        <v>1.229385673</v>
      </c>
      <c r="AL851" s="82">
        <f>IFERROR(__xludf.DUMMYFUNCTION("""COMPUTED_VALUE"""),0.9792770472552998)</f>
        <v>0.9792770473</v>
      </c>
      <c r="AM851" s="82">
        <f>IFERROR(__xludf.DUMMYFUNCTION("""COMPUTED_VALUE"""),1.0900948575246197)</f>
        <v>1.090094858</v>
      </c>
      <c r="AN851" s="82">
        <f>IFERROR(__xludf.DUMMYFUNCTION("""COMPUTED_VALUE"""),0.9769035754098502)</f>
        <v>0.9769035754</v>
      </c>
      <c r="AO851" s="82">
        <f>IFERROR(__xludf.DUMMYFUNCTION("""COMPUTED_VALUE"""),1.2268877184502849)</f>
        <v>1.226887718</v>
      </c>
      <c r="AP851" s="82">
        <f>IFERROR(__xludf.DUMMYFUNCTION("""COMPUTED_VALUE"""),0.923790236532886)</f>
        <v>0.9237902365</v>
      </c>
      <c r="AQ851" s="82">
        <f>IFERROR(__xludf.DUMMYFUNCTION("""COMPUTED_VALUE"""),0.9419790510727072)</f>
        <v>0.9419790511</v>
      </c>
      <c r="AR851" s="82">
        <f>IFERROR(__xludf.DUMMYFUNCTION("""COMPUTED_VALUE"""),1.0296293422282345)</f>
        <v>1.029629342</v>
      </c>
      <c r="AS851" s="82">
        <f>IFERROR(__xludf.DUMMYFUNCTION("""COMPUTED_VALUE"""),76.0)</f>
        <v>76</v>
      </c>
      <c r="AT851" s="82">
        <f>IFERROR(__xludf.DUMMYFUNCTION("""COMPUTED_VALUE"""),0.4150135639089795)</f>
        <v>0.4150135639</v>
      </c>
      <c r="AU851" s="82">
        <f>IFERROR(__xludf.DUMMYFUNCTION("""COMPUTED_VALUE"""),2.56712840525215)</f>
        <v>2.567128405</v>
      </c>
      <c r="AV851" s="82">
        <f>IFERROR(__xludf.DUMMYFUNCTION("""COMPUTED_VALUE"""),56.81211762566511)</f>
        <v>56.81211763</v>
      </c>
      <c r="AW851" s="82">
        <f t="shared" si="1"/>
        <v>2.546961675</v>
      </c>
      <c r="AX851" s="83">
        <f t="array" ref="AX851">IFERROR(DGET('SBV Import'!A:G,"SBV",{"RSC ID","Tier";B851,A851}))</f>
        <v>36.52619534</v>
      </c>
      <c r="AY851" s="82">
        <f t="shared" si="2"/>
        <v>-3.390291089</v>
      </c>
      <c r="AZ851" s="82">
        <v>5.937252763676286</v>
      </c>
      <c r="BA851" s="84">
        <v>800.0</v>
      </c>
      <c r="BB851" s="84" t="b">
        <f>IFERROR(__xludf.DUMMYFUNCTION("iferror(if(A851="""",,E851&gt;=FILTER(Constants!$F$2:$F$10,Constants!$A$2:$A$10=A851)))"),TRUE)</f>
        <v>1</v>
      </c>
    </row>
    <row r="852">
      <c r="A852" s="80" t="str">
        <f>IFERROR(__xludf.DUMMYFUNCTION("""COMPUTED_VALUE"""),"Elite")</f>
        <v>Elite</v>
      </c>
      <c r="B852" s="73" t="str">
        <f>IFERROR(__xludf.DUMMYFUNCTION("""COMPUTED_VALUE"""),"RSC005464")</f>
        <v>RSC005464</v>
      </c>
      <c r="C852" s="73" t="str">
        <f>IFERROR(__xludf.DUMMYFUNCTION("""COMPUTED_VALUE"""),"taz.rm")</f>
        <v>taz.rm</v>
      </c>
      <c r="D852" s="73" t="str">
        <f>IFERROR(__xludf.DUMMYFUNCTION("""COMPUTED_VALUE"""),"Sloths")</f>
        <v>Sloths</v>
      </c>
      <c r="E852" s="82">
        <f>IFERROR(__xludf.DUMMYFUNCTION("""COMPUTED_VALUE"""),36.0)</f>
        <v>36</v>
      </c>
      <c r="F852" s="82">
        <f>IFERROR(__xludf.DUMMYFUNCTION("""COMPUTED_VALUE"""),20.0)</f>
        <v>20</v>
      </c>
      <c r="G852" s="82">
        <f>IFERROR(__xludf.DUMMYFUNCTION("""COMPUTED_VALUE"""),16.0)</f>
        <v>16</v>
      </c>
      <c r="H852" s="86">
        <f>IFERROR(__xludf.DUMMYFUNCTION("""COMPUTED_VALUE"""),0.5555555555555556)</f>
        <v>0.5555555556</v>
      </c>
      <c r="I852" s="86">
        <f>IFERROR(__xludf.DUMMYFUNCTION("""COMPUTED_VALUE"""),0.2761904761904762)</f>
        <v>0.2761904762</v>
      </c>
      <c r="J852" s="82">
        <f>IFERROR(__xludf.DUMMYFUNCTION("""COMPUTED_VALUE"""),352.52777777777777)</f>
        <v>352.5277778</v>
      </c>
      <c r="K852" s="82">
        <f>IFERROR(__xludf.DUMMYFUNCTION("""COMPUTED_VALUE"""),0.8055555555555556)</f>
        <v>0.8055555556</v>
      </c>
      <c r="L852" s="82">
        <f>IFERROR(__xludf.DUMMYFUNCTION("""COMPUTED_VALUE"""),0.5277777777777778)</f>
        <v>0.5277777778</v>
      </c>
      <c r="M852" s="82">
        <f>IFERROR(__xludf.DUMMYFUNCTION("""COMPUTED_VALUE"""),1.3333333333333333)</f>
        <v>1.333333333</v>
      </c>
      <c r="N852" s="82">
        <f>IFERROR(__xludf.DUMMYFUNCTION("""COMPUTED_VALUE"""),2.9166666666666665)</f>
        <v>2.916666667</v>
      </c>
      <c r="O852" s="82">
        <f>IFERROR(__xludf.DUMMYFUNCTION("""COMPUTED_VALUE"""),360.9351851851853)</f>
        <v>360.9351852</v>
      </c>
      <c r="P852" s="82">
        <f>IFERROR(__xludf.DUMMYFUNCTION("""COMPUTED_VALUE"""),0.685185185185185)</f>
        <v>0.6851851852</v>
      </c>
      <c r="Q852" s="82">
        <f>IFERROR(__xludf.DUMMYFUNCTION("""COMPUTED_VALUE"""),0.5462962962962964)</f>
        <v>0.5462962963</v>
      </c>
      <c r="R852" s="82">
        <f>IFERROR(__xludf.DUMMYFUNCTION("""COMPUTED_VALUE"""),1.5648148148148149)</f>
        <v>1.564814815</v>
      </c>
      <c r="S852" s="82">
        <f>IFERROR(__xludf.DUMMYFUNCTION("""COMPUTED_VALUE"""),2.611111111111111)</f>
        <v>2.611111111</v>
      </c>
      <c r="T852" s="82">
        <f>IFERROR(__xludf.DUMMYFUNCTION("""COMPUTED_VALUE"""),360.4181224194023)</f>
        <v>360.4181224</v>
      </c>
      <c r="U852" s="82">
        <f>IFERROR(__xludf.DUMMYFUNCTION("""COMPUTED_VALUE"""),0.7406160470012418)</f>
        <v>0.740616047</v>
      </c>
      <c r="V852" s="82">
        <f>IFERROR(__xludf.DUMMYFUNCTION("""COMPUTED_VALUE"""),0.5597078584627698)</f>
        <v>0.5597078585</v>
      </c>
      <c r="W852" s="82">
        <f>IFERROR(__xludf.DUMMYFUNCTION("""COMPUTED_VALUE"""),1.4781881534079468)</f>
        <v>1.478188153</v>
      </c>
      <c r="X852" s="82">
        <f>IFERROR(__xludf.DUMMYFUNCTION("""COMPUTED_VALUE"""),2.53481197097043)</f>
        <v>2.534811971</v>
      </c>
      <c r="Y852" s="82">
        <f>IFERROR(__xludf.DUMMYFUNCTION("""COMPUTED_VALUE"""),372.2010010490547)</f>
        <v>372.201001</v>
      </c>
      <c r="Z852" s="82">
        <f>IFERROR(__xludf.DUMMYFUNCTION("""COMPUTED_VALUE"""),0.8244855945955659)</f>
        <v>0.8244855946</v>
      </c>
      <c r="AA852" s="82">
        <f>IFERROR(__xludf.DUMMYFUNCTION("""COMPUTED_VALUE"""),0.6064958364779425)</f>
        <v>0.6064958365</v>
      </c>
      <c r="AB852" s="82">
        <f>IFERROR(__xludf.DUMMYFUNCTION("""COMPUTED_VALUE"""),1.442983676061934)</f>
        <v>1.442983676</v>
      </c>
      <c r="AC852" s="82">
        <f>IFERROR(__xludf.DUMMYFUNCTION("""COMPUTED_VALUE"""),2.7763475920960845)</f>
        <v>2.776347592</v>
      </c>
      <c r="AD852" s="82">
        <f>IFERROR(__xludf.DUMMYFUNCTION("""COMPUTED_VALUE"""),0.9471435508882898)</f>
        <v>0.9471435509</v>
      </c>
      <c r="AE852" s="82">
        <f>IFERROR(__xludf.DUMMYFUNCTION("""COMPUTED_VALUE"""),0.9770401821886335)</f>
        <v>0.9770401822</v>
      </c>
      <c r="AF852" s="82">
        <f>IFERROR(__xludf.DUMMYFUNCTION("""COMPUTED_VALUE"""),0.8702084104034447)</f>
        <v>0.8702084104</v>
      </c>
      <c r="AG852" s="82">
        <f>IFERROR(__xludf.DUMMYFUNCTION("""COMPUTED_VALUE"""),0.9240113768799874)</f>
        <v>0.9240113769</v>
      </c>
      <c r="AH852" s="82">
        <f>IFERROR(__xludf.DUMMYFUNCTION("""COMPUTED_VALUE"""),1.050540888673325)</f>
        <v>1.050540889</v>
      </c>
      <c r="AI852" s="82">
        <f>IFERROR(__xludf.DUMMYFUNCTION("""COMPUTED_VALUE"""),1.0014346192203434)</f>
        <v>1.001434619</v>
      </c>
      <c r="AJ852" s="82">
        <f>IFERROR(__xludf.DUMMYFUNCTION("""COMPUTED_VALUE"""),0.9251557375235162)</f>
        <v>0.9251557375</v>
      </c>
      <c r="AK852" s="82">
        <f>IFERROR(__xludf.DUMMYFUNCTION("""COMPUTED_VALUE"""),0.9760382814647125)</f>
        <v>0.9760382815</v>
      </c>
      <c r="AL852" s="82">
        <f>IFERROR(__xludf.DUMMYFUNCTION("""COMPUTED_VALUE"""),1.0586032713137032)</f>
        <v>1.058603271</v>
      </c>
      <c r="AM852" s="82">
        <f>IFERROR(__xludf.DUMMYFUNCTION("""COMPUTED_VALUE"""),1.0301005127853609)</f>
        <v>1.030100513</v>
      </c>
      <c r="AN852" s="82">
        <f>IFERROR(__xludf.DUMMYFUNCTION("""COMPUTED_VALUE"""),0.9994867303969533)</f>
        <v>0.9994867304</v>
      </c>
      <c r="AO852" s="82">
        <f>IFERROR(__xludf.DUMMYFUNCTION("""COMPUTED_VALUE"""),1.129515677303437)</f>
        <v>1.129515677</v>
      </c>
      <c r="AP852" s="82">
        <f>IFERROR(__xludf.DUMMYFUNCTION("""COMPUTED_VALUE"""),0.9177523918496646)</f>
        <v>0.9177523918</v>
      </c>
      <c r="AQ852" s="82">
        <f>IFERROR(__xludf.DUMMYFUNCTION("""COMPUTED_VALUE"""),0.9346768878860969)</f>
        <v>0.9346768879</v>
      </c>
      <c r="AR852" s="82">
        <f>IFERROR(__xludf.DUMMYFUNCTION("""COMPUTED_VALUE"""),1.15781612780685)</f>
        <v>1.157816128</v>
      </c>
      <c r="AS852" s="82">
        <f>IFERROR(__xludf.DUMMYFUNCTION("""COMPUTED_VALUE"""),88.0)</f>
        <v>88</v>
      </c>
      <c r="AT852" s="82">
        <f>IFERROR(__xludf.DUMMYFUNCTION("""COMPUTED_VALUE"""),0.5663092322286509)</f>
        <v>0.5663092322</v>
      </c>
      <c r="AU852" s="82">
        <f>IFERROR(__xludf.DUMMYFUNCTION("""COMPUTED_VALUE"""),2.565773793868504)</f>
        <v>2.565773794</v>
      </c>
      <c r="AV852" s="82">
        <f>IFERROR(__xludf.DUMMYFUNCTION("""COMPUTED_VALUE"""),56.77405377846931)</f>
        <v>56.77405378</v>
      </c>
      <c r="AW852" s="82">
        <f t="shared" si="1"/>
        <v>2.543169855</v>
      </c>
      <c r="AX852" s="83">
        <f t="array" ref="AX852">IFERROR(DGET('SBV Import'!A:G,"SBV",{"RSC ID","Tier";B852,A852}))</f>
        <v>43.23126487</v>
      </c>
      <c r="AY852" s="82">
        <f t="shared" si="2"/>
        <v>-2.542640799</v>
      </c>
      <c r="AZ852" s="82">
        <v>5.0858106543535895</v>
      </c>
      <c r="BA852" s="84">
        <v>800.0</v>
      </c>
      <c r="BB852" s="84" t="b">
        <f>IFERROR(__xludf.DUMMYFUNCTION("iferror(if(A852="""",,E852&gt;=FILTER(Constants!$F$2:$F$10,Constants!$A$2:$A$10=A852)))"),TRUE)</f>
        <v>1</v>
      </c>
    </row>
    <row r="853">
      <c r="A853" s="80" t="str">
        <f>IFERROR(__xludf.DUMMYFUNCTION("""COMPUTED_VALUE"""),"Elite")</f>
        <v>Elite</v>
      </c>
      <c r="B853" s="73" t="str">
        <f>IFERROR(__xludf.DUMMYFUNCTION("""COMPUTED_VALUE"""),"RSC002164")</f>
        <v>RSC002164</v>
      </c>
      <c r="C853" s="73" t="str">
        <f>IFERROR(__xludf.DUMMYFUNCTION("""COMPUTED_VALUE"""),"Dosia")</f>
        <v>Dosia</v>
      </c>
      <c r="D853" s="73" t="str">
        <f>IFERROR(__xludf.DUMMYFUNCTION("""COMPUTED_VALUE"""),"Wyverns")</f>
        <v>Wyverns</v>
      </c>
      <c r="E853" s="82">
        <f>IFERROR(__xludf.DUMMYFUNCTION("""COMPUTED_VALUE"""),31.0)</f>
        <v>31</v>
      </c>
      <c r="F853" s="82">
        <f>IFERROR(__xludf.DUMMYFUNCTION("""COMPUTED_VALUE"""),16.0)</f>
        <v>16</v>
      </c>
      <c r="G853" s="82">
        <f>IFERROR(__xludf.DUMMYFUNCTION("""COMPUTED_VALUE"""),15.0)</f>
        <v>15</v>
      </c>
      <c r="H853" s="86">
        <f>IFERROR(__xludf.DUMMYFUNCTION("""COMPUTED_VALUE"""),0.5161290322580645)</f>
        <v>0.5161290323</v>
      </c>
      <c r="I853" s="86">
        <f>IFERROR(__xludf.DUMMYFUNCTION("""COMPUTED_VALUE"""),0.2816901408450704)</f>
        <v>0.2816901408</v>
      </c>
      <c r="J853" s="82">
        <f>IFERROR(__xludf.DUMMYFUNCTION("""COMPUTED_VALUE"""),341.96774193548384)</f>
        <v>341.9677419</v>
      </c>
      <c r="K853" s="82">
        <f>IFERROR(__xludf.DUMMYFUNCTION("""COMPUTED_VALUE"""),0.6451612903225806)</f>
        <v>0.6451612903</v>
      </c>
      <c r="L853" s="82">
        <f>IFERROR(__xludf.DUMMYFUNCTION("""COMPUTED_VALUE"""),0.6774193548387096)</f>
        <v>0.6774193548</v>
      </c>
      <c r="M853" s="82">
        <f>IFERROR(__xludf.DUMMYFUNCTION("""COMPUTED_VALUE"""),1.2903225806451613)</f>
        <v>1.290322581</v>
      </c>
      <c r="N853" s="82">
        <f>IFERROR(__xludf.DUMMYFUNCTION("""COMPUTED_VALUE"""),2.2903225806451615)</f>
        <v>2.290322581</v>
      </c>
      <c r="O853" s="82">
        <f>IFERROR(__xludf.DUMMYFUNCTION("""COMPUTED_VALUE"""),342.1827956989248)</f>
        <v>342.1827957</v>
      </c>
      <c r="P853" s="82">
        <f>IFERROR(__xludf.DUMMYFUNCTION("""COMPUTED_VALUE"""),0.6129032258064516)</f>
        <v>0.6129032258</v>
      </c>
      <c r="Q853" s="82">
        <f>IFERROR(__xludf.DUMMYFUNCTION("""COMPUTED_VALUE"""),0.45161290322580655)</f>
        <v>0.4516129032</v>
      </c>
      <c r="R853" s="82">
        <f>IFERROR(__xludf.DUMMYFUNCTION("""COMPUTED_VALUE"""),1.5161290322580645)</f>
        <v>1.516129032</v>
      </c>
      <c r="S853" s="82">
        <f>IFERROR(__xludf.DUMMYFUNCTION("""COMPUTED_VALUE"""),2.3655913978494625)</f>
        <v>2.365591398</v>
      </c>
      <c r="T853" s="82">
        <f>IFERROR(__xludf.DUMMYFUNCTION("""COMPUTED_VALUE"""),358.06721607367746)</f>
        <v>358.0672161</v>
      </c>
      <c r="U853" s="82">
        <f>IFERROR(__xludf.DUMMYFUNCTION("""COMPUTED_VALUE"""),0.7950220950679784)</f>
        <v>0.7950220951</v>
      </c>
      <c r="V853" s="82">
        <f>IFERROR(__xludf.DUMMYFUNCTION("""COMPUTED_VALUE"""),0.5974960686239835)</f>
        <v>0.5974960686</v>
      </c>
      <c r="W853" s="82">
        <f>IFERROR(__xludf.DUMMYFUNCTION("""COMPUTED_VALUE"""),1.339688823214503)</f>
        <v>1.339688823</v>
      </c>
      <c r="X853" s="82">
        <f>IFERROR(__xludf.DUMMYFUNCTION("""COMPUTED_VALUE"""),2.71782887689281)</f>
        <v>2.717828877</v>
      </c>
      <c r="Y853" s="82">
        <f>IFERROR(__xludf.DUMMYFUNCTION("""COMPUTED_VALUE"""),350.780508404132)</f>
        <v>350.7805084</v>
      </c>
      <c r="Z853" s="82">
        <f>IFERROR(__xludf.DUMMYFUNCTION("""COMPUTED_VALUE"""),0.6986063129808506)</f>
        <v>0.698606313</v>
      </c>
      <c r="AA853" s="82">
        <f>IFERROR(__xludf.DUMMYFUNCTION("""COMPUTED_VALUE"""),0.5283927799385698)</f>
        <v>0.5283927799</v>
      </c>
      <c r="AB853" s="82">
        <f>IFERROR(__xludf.DUMMYFUNCTION("""COMPUTED_VALUE"""),1.4803035634171915)</f>
        <v>1.480303563</v>
      </c>
      <c r="AC853" s="82">
        <f>IFERROR(__xludf.DUMMYFUNCTION("""COMPUTED_VALUE"""),2.4979878895657825)</f>
        <v>2.49798789</v>
      </c>
      <c r="AD853" s="82">
        <f>IFERROR(__xludf.DUMMYFUNCTION("""COMPUTED_VALUE"""),0.974876692810722)</f>
        <v>0.9748766928</v>
      </c>
      <c r="AE853" s="82">
        <f>IFERROR(__xludf.DUMMYFUNCTION("""COMPUTED_VALUE"""),0.9234976528765851)</f>
        <v>0.9234976529</v>
      </c>
      <c r="AF853" s="82">
        <f>IFERROR(__xludf.DUMMYFUNCTION("""COMPUTED_VALUE"""),1.2820374928617788)</f>
        <v>1.282037493</v>
      </c>
      <c r="AG853" s="82">
        <f>IFERROR(__xludf.DUMMYFUNCTION("""COMPUTED_VALUE"""),0.8716607948078767)</f>
        <v>0.8716607948</v>
      </c>
      <c r="AH853" s="82">
        <f>IFERROR(__xludf.DUMMYFUNCTION("""COMPUTED_VALUE"""),0.9168669672947378)</f>
        <v>0.9168669673</v>
      </c>
      <c r="AI853" s="82">
        <f>IFERROR(__xludf.DUMMYFUNCTION("""COMPUTED_VALUE"""),0.9556384397629851)</f>
        <v>0.9556384398</v>
      </c>
      <c r="AJ853" s="82">
        <f>IFERROR(__xludf.DUMMYFUNCTION("""COMPUTED_VALUE"""),0.7709260278534087)</f>
        <v>0.7709260279</v>
      </c>
      <c r="AK853" s="82">
        <f>IFERROR(__xludf.DUMMYFUNCTION("""COMPUTED_VALUE"""),0.7558424681619382)</f>
        <v>0.7558424682</v>
      </c>
      <c r="AL853" s="82">
        <f>IFERROR(__xludf.DUMMYFUNCTION("""COMPUTED_VALUE"""),1.1317023819159764)</f>
        <v>1.131702382</v>
      </c>
      <c r="AM853" s="82">
        <f>IFERROR(__xludf.DUMMYFUNCTION("""COMPUTED_VALUE"""),0.8703974771781633)</f>
        <v>0.8703974772</v>
      </c>
      <c r="AN853" s="82">
        <f>IFERROR(__xludf.DUMMYFUNCTION("""COMPUTED_VALUE"""),0.9695469175305123)</f>
        <v>0.9695469175</v>
      </c>
      <c r="AO853" s="82">
        <f>IFERROR(__xludf.DUMMYFUNCTION("""COMPUTED_VALUE"""),0.9046176725900718)</f>
        <v>0.9046176726</v>
      </c>
      <c r="AP853" s="82">
        <f>IFERROR(__xludf.DUMMYFUNCTION("""COMPUTED_VALUE"""),1.1779640207781772)</f>
        <v>1.177964021</v>
      </c>
      <c r="AQ853" s="82">
        <f>IFERROR(__xludf.DUMMYFUNCTION("""COMPUTED_VALUE"""),0.9045260205349326)</f>
        <v>0.9045260205</v>
      </c>
      <c r="AR853" s="82">
        <f>IFERROR(__xludf.DUMMYFUNCTION("""COMPUTED_VALUE"""),0.9091791160289736)</f>
        <v>0.909179116</v>
      </c>
      <c r="AS853" s="82">
        <f>IFERROR(__xludf.DUMMYFUNCTION("""COMPUTED_VALUE"""),74.0)</f>
        <v>74</v>
      </c>
      <c r="AT853" s="82">
        <f>IFERROR(__xludf.DUMMYFUNCTION("""COMPUTED_VALUE"""),0.5974207060585326)</f>
        <v>0.5974207061</v>
      </c>
      <c r="AU853" s="82">
        <f>IFERROR(__xludf.DUMMYFUNCTION("""COMPUTED_VALUE"""),2.5637071705979064)</f>
        <v>2.563707171</v>
      </c>
      <c r="AV853" s="82">
        <f>IFERROR(__xludf.DUMMYFUNCTION("""COMPUTED_VALUE"""),56.715982782364456)</f>
        <v>56.71598278</v>
      </c>
      <c r="AW853" s="82">
        <f t="shared" si="1"/>
        <v>2.537403684</v>
      </c>
      <c r="AX853" s="83">
        <f t="array" ref="AX853">IFERROR(DGET('SBV Import'!A:G,"SBV",{"RSC ID","Tier";B853,A853}))</f>
        <v>50.27418143</v>
      </c>
      <c r="AY853" s="82">
        <f t="shared" si="2"/>
        <v>2.017655352</v>
      </c>
      <c r="AZ853" s="82">
        <v>0.5197483324399701</v>
      </c>
      <c r="BA853" s="84">
        <v>800.0</v>
      </c>
      <c r="BB853" s="84" t="b">
        <f>IFERROR(__xludf.DUMMYFUNCTION("iferror(if(A853="""",,E853&gt;=FILTER(Constants!$F$2:$F$10,Constants!$A$2:$A$10=A853)))"),TRUE)</f>
        <v>1</v>
      </c>
    </row>
    <row r="854">
      <c r="A854" s="80" t="str">
        <f>IFERROR(__xludf.DUMMYFUNCTION("""COMPUTED_VALUE"""),"Elite")</f>
        <v>Elite</v>
      </c>
      <c r="B854" s="73" t="str">
        <f>IFERROR(__xludf.DUMMYFUNCTION("""COMPUTED_VALUE"""),"RSC000666")</f>
        <v>RSC000666</v>
      </c>
      <c r="C854" s="73" t="str">
        <f>IFERROR(__xludf.DUMMYFUNCTION("""COMPUTED_VALUE"""),"AEB311")</f>
        <v>AEB311</v>
      </c>
      <c r="D854" s="73" t="str">
        <f>IFERROR(__xludf.DUMMYFUNCTION("""COMPUTED_VALUE"""),"Teddy Bears")</f>
        <v>Teddy Bears</v>
      </c>
      <c r="E854" s="82">
        <f>IFERROR(__xludf.DUMMYFUNCTION("""COMPUTED_VALUE"""),29.0)</f>
        <v>29</v>
      </c>
      <c r="F854" s="82">
        <f>IFERROR(__xludf.DUMMYFUNCTION("""COMPUTED_VALUE"""),14.0)</f>
        <v>14</v>
      </c>
      <c r="G854" s="82">
        <f>IFERROR(__xludf.DUMMYFUNCTION("""COMPUTED_VALUE"""),15.0)</f>
        <v>15</v>
      </c>
      <c r="H854" s="86">
        <f>IFERROR(__xludf.DUMMYFUNCTION("""COMPUTED_VALUE"""),0.4827586206896552)</f>
        <v>0.4827586207</v>
      </c>
      <c r="I854" s="75">
        <f>IFERROR(__xludf.DUMMYFUNCTION("""COMPUTED_VALUE"""),0.325)</f>
        <v>0.325</v>
      </c>
      <c r="J854" s="82">
        <f>IFERROR(__xludf.DUMMYFUNCTION("""COMPUTED_VALUE"""),344.6896551724138)</f>
        <v>344.6896552</v>
      </c>
      <c r="K854" s="82">
        <f>IFERROR(__xludf.DUMMYFUNCTION("""COMPUTED_VALUE"""),0.896551724137931)</f>
        <v>0.8965517241</v>
      </c>
      <c r="L854" s="82">
        <f>IFERROR(__xludf.DUMMYFUNCTION("""COMPUTED_VALUE"""),0.5517241379310345)</f>
        <v>0.5517241379</v>
      </c>
      <c r="M854" s="82">
        <f>IFERROR(__xludf.DUMMYFUNCTION("""COMPUTED_VALUE"""),0.896551724137931)</f>
        <v>0.8965517241</v>
      </c>
      <c r="N854" s="82">
        <f>IFERROR(__xludf.DUMMYFUNCTION("""COMPUTED_VALUE"""),2.7586206896551726)</f>
        <v>2.75862069</v>
      </c>
      <c r="O854" s="82">
        <f>IFERROR(__xludf.DUMMYFUNCTION("""COMPUTED_VALUE"""),359.5632183908046)</f>
        <v>359.5632184</v>
      </c>
      <c r="P854" s="82">
        <f>IFERROR(__xludf.DUMMYFUNCTION("""COMPUTED_VALUE"""),0.793103448275862)</f>
        <v>0.7931034483</v>
      </c>
      <c r="Q854" s="82">
        <f>IFERROR(__xludf.DUMMYFUNCTION("""COMPUTED_VALUE"""),0.5977011494252874)</f>
        <v>0.5977011494</v>
      </c>
      <c r="R854" s="82">
        <f>IFERROR(__xludf.DUMMYFUNCTION("""COMPUTED_VALUE"""),1.4482758620689653)</f>
        <v>1.448275862</v>
      </c>
      <c r="S854" s="82">
        <f>IFERROR(__xludf.DUMMYFUNCTION("""COMPUTED_VALUE"""),2.505747126436782)</f>
        <v>2.505747126</v>
      </c>
      <c r="T854" s="82">
        <f>IFERROR(__xludf.DUMMYFUNCTION("""COMPUTED_VALUE"""),358.6805690658563)</f>
        <v>358.6805691</v>
      </c>
      <c r="U854" s="82">
        <f>IFERROR(__xludf.DUMMYFUNCTION("""COMPUTED_VALUE"""),0.7632428229921429)</f>
        <v>0.763242823</v>
      </c>
      <c r="V854" s="82">
        <f>IFERROR(__xludf.DUMMYFUNCTION("""COMPUTED_VALUE"""),0.5652409651162491)</f>
        <v>0.5652409651</v>
      </c>
      <c r="W854" s="82">
        <f>IFERROR(__xludf.DUMMYFUNCTION("""COMPUTED_VALUE"""),1.4774522505497492)</f>
        <v>1.477452251</v>
      </c>
      <c r="X854" s="82">
        <f>IFERROR(__xludf.DUMMYFUNCTION("""COMPUTED_VALUE"""),2.5892213056609905)</f>
        <v>2.589221306</v>
      </c>
      <c r="Y854" s="82">
        <f>IFERROR(__xludf.DUMMYFUNCTION("""COMPUTED_VALUE"""),372.0662770559528)</f>
        <v>372.0662771</v>
      </c>
      <c r="Z854" s="82">
        <f>IFERROR(__xludf.DUMMYFUNCTION("""COMPUTED_VALUE"""),0.8700909829961189)</f>
        <v>0.870090983</v>
      </c>
      <c r="AA854" s="82">
        <f>IFERROR(__xludf.DUMMYFUNCTION("""COMPUTED_VALUE"""),0.644605072461379)</f>
        <v>0.6446050725</v>
      </c>
      <c r="AB854" s="82">
        <f>IFERROR(__xludf.DUMMYFUNCTION("""COMPUTED_VALUE"""),1.3774785194662584)</f>
        <v>1.377478519</v>
      </c>
      <c r="AC854" s="82">
        <f>IFERROR(__xludf.DUMMYFUNCTION("""COMPUTED_VALUE"""),2.7908487231019743)</f>
        <v>2.790848723</v>
      </c>
      <c r="AD854" s="82">
        <f>IFERROR(__xludf.DUMMYFUNCTION("""COMPUTED_VALUE"""),0.9264200397301203)</f>
        <v>0.9264200397</v>
      </c>
      <c r="AE854" s="82">
        <f>IFERROR(__xludf.DUMMYFUNCTION("""COMPUTED_VALUE"""),1.0304114646156841)</f>
        <v>1.030411465</v>
      </c>
      <c r="AF854" s="82">
        <f>IFERROR(__xludf.DUMMYFUNCTION("""COMPUTED_VALUE"""),0.8559103263403044)</f>
        <v>0.8559103263</v>
      </c>
      <c r="AG854" s="82">
        <f>IFERROR(__xludf.DUMMYFUNCTION("""COMPUTED_VALUE"""),0.6508643956824274)</f>
        <v>0.6508643957</v>
      </c>
      <c r="AH854" s="82">
        <f>IFERROR(__xludf.DUMMYFUNCTION("""COMPUTED_VALUE"""),0.9884522463793807)</f>
        <v>0.9884522464</v>
      </c>
      <c r="AI854" s="82">
        <f>IFERROR(__xludf.DUMMYFUNCTION("""COMPUTED_VALUE"""),1.0024608228074554)</f>
        <v>1.002460823</v>
      </c>
      <c r="AJ854" s="82">
        <f>IFERROR(__xludf.DUMMYFUNCTION("""COMPUTED_VALUE"""),1.0391233620339284)</f>
        <v>1.039123362</v>
      </c>
      <c r="AK854" s="82">
        <f>IFERROR(__xludf.DUMMYFUNCTION("""COMPUTED_VALUE"""),1.057427161710338)</f>
        <v>1.057427162</v>
      </c>
      <c r="AL854" s="82">
        <f>IFERROR(__xludf.DUMMYFUNCTION("""COMPUTED_VALUE"""),0.9802522291533093)</f>
        <v>0.9802522292</v>
      </c>
      <c r="AM854" s="82">
        <f>IFERROR(__xludf.DUMMYFUNCTION("""COMPUTED_VALUE"""),0.9677608943500877)</f>
        <v>0.9677608944</v>
      </c>
      <c r="AN854" s="82">
        <f>IFERROR(__xludf.DUMMYFUNCTION("""COMPUTED_VALUE"""),0.9772640857456031)</f>
        <v>0.9772640857</v>
      </c>
      <c r="AO854" s="82">
        <f>IFERROR(__xludf.DUMMYFUNCTION("""COMPUTED_VALUE"""),1.2571066277717204)</f>
        <v>1.257106628</v>
      </c>
      <c r="AP854" s="82">
        <f>IFERROR(__xludf.DUMMYFUNCTION("""COMPUTED_VALUE"""),0.9593927000098127)</f>
        <v>0.9593927</v>
      </c>
      <c r="AQ854" s="82">
        <f>IFERROR(__xludf.DUMMYFUNCTION("""COMPUTED_VALUE"""),0.628489631509617)</f>
        <v>0.6284896315</v>
      </c>
      <c r="AR854" s="82">
        <f>IFERROR(__xludf.DUMMYFUNCTION("""COMPUTED_VALUE"""),1.0950773228517992)</f>
        <v>1.095077323</v>
      </c>
      <c r="AS854" s="82">
        <f>IFERROR(__xludf.DUMMYFUNCTION("""COMPUTED_VALUE"""),66.0)</f>
        <v>66</v>
      </c>
      <c r="AT854" s="82">
        <f>IFERROR(__xludf.DUMMYFUNCTION("""COMPUTED_VALUE"""),0.4827275590552719)</f>
        <v>0.4827275591</v>
      </c>
      <c r="AU854" s="82">
        <f>IFERROR(__xludf.DUMMYFUNCTION("""COMPUTED_VALUE"""),2.552606419816155)</f>
        <v>2.55260642</v>
      </c>
      <c r="AV854" s="82">
        <f>IFERROR(__xludf.DUMMYFUNCTION("""COMPUTED_VALUE"""),56.40405768959141)</f>
        <v>56.40405769</v>
      </c>
      <c r="AW854" s="82">
        <f t="shared" si="1"/>
        <v>2.506813796</v>
      </c>
      <c r="AX854" s="83">
        <f t="array" ref="AX854">IFERROR(DGET('SBV Import'!A:G,"SBV",{"RSC ID","Tier";B854,A854}))</f>
        <v>52.36831853</v>
      </c>
      <c r="AY854" s="82">
        <f t="shared" si="2"/>
        <v>2.163268092</v>
      </c>
      <c r="AZ854" s="82">
        <v>0.34354570379164295</v>
      </c>
      <c r="BA854" s="84">
        <v>800.0</v>
      </c>
      <c r="BB854" s="84" t="b">
        <f>IFERROR(__xludf.DUMMYFUNCTION("iferror(if(A854="""",,E854&gt;=FILTER(Constants!$F$2:$F$10,Constants!$A$2:$A$10=A854)))"),TRUE)</f>
        <v>1</v>
      </c>
    </row>
    <row r="855">
      <c r="A855" s="80" t="str">
        <f>IFERROR(__xludf.DUMMYFUNCTION("""COMPUTED_VALUE"""),"Elite")</f>
        <v>Elite</v>
      </c>
      <c r="B855" s="73" t="str">
        <f>IFERROR(__xludf.DUMMYFUNCTION("""COMPUTED_VALUE"""),"RSC005705")</f>
        <v>RSC005705</v>
      </c>
      <c r="C855" s="73" t="str">
        <f>IFERROR(__xludf.DUMMYFUNCTION("""COMPUTED_VALUE"""),"Rapidz (Goofy and Silly)")</f>
        <v>Rapidz (Goofy and Silly)</v>
      </c>
      <c r="D855" s="73" t="str">
        <f>IFERROR(__xludf.DUMMYFUNCTION("""COMPUTED_VALUE"""),"Keno")</f>
        <v>Keno</v>
      </c>
      <c r="E855" s="82">
        <f>IFERROR(__xludf.DUMMYFUNCTION("""COMPUTED_VALUE"""),24.0)</f>
        <v>24</v>
      </c>
      <c r="F855" s="82">
        <f>IFERROR(__xludf.DUMMYFUNCTION("""COMPUTED_VALUE"""),12.0)</f>
        <v>12</v>
      </c>
      <c r="G855" s="82">
        <f>IFERROR(__xludf.DUMMYFUNCTION("""COMPUTED_VALUE"""),12.0)</f>
        <v>12</v>
      </c>
      <c r="H855" s="86">
        <f>IFERROR(__xludf.DUMMYFUNCTION("""COMPUTED_VALUE"""),0.5)</f>
        <v>0.5</v>
      </c>
      <c r="I855" s="86">
        <f>IFERROR(__xludf.DUMMYFUNCTION("""COMPUTED_VALUE"""),0.2463768115942029)</f>
        <v>0.2463768116</v>
      </c>
      <c r="J855" s="82">
        <f>IFERROR(__xludf.DUMMYFUNCTION("""COMPUTED_VALUE"""),359.8333333333333)</f>
        <v>359.8333333</v>
      </c>
      <c r="K855" s="82">
        <f>IFERROR(__xludf.DUMMYFUNCTION("""COMPUTED_VALUE"""),0.7083333333333334)</f>
        <v>0.7083333333</v>
      </c>
      <c r="L855" s="82">
        <f>IFERROR(__xludf.DUMMYFUNCTION("""COMPUTED_VALUE"""),0.5416666666666666)</f>
        <v>0.5416666667</v>
      </c>
      <c r="M855" s="82">
        <f>IFERROR(__xludf.DUMMYFUNCTION("""COMPUTED_VALUE"""),1.5416666666666667)</f>
        <v>1.541666667</v>
      </c>
      <c r="N855" s="82">
        <f>IFERROR(__xludf.DUMMYFUNCTION("""COMPUTED_VALUE"""),2.875)</f>
        <v>2.875</v>
      </c>
      <c r="O855" s="82">
        <f>IFERROR(__xludf.DUMMYFUNCTION("""COMPUTED_VALUE"""),342.9861111111111)</f>
        <v>342.9861111</v>
      </c>
      <c r="P855" s="82">
        <f>IFERROR(__xludf.DUMMYFUNCTION("""COMPUTED_VALUE"""),0.6527777777777778)</f>
        <v>0.6527777778</v>
      </c>
      <c r="Q855" s="82">
        <f>IFERROR(__xludf.DUMMYFUNCTION("""COMPUTED_VALUE"""),0.4444444444444444)</f>
        <v>0.4444444444</v>
      </c>
      <c r="R855" s="82">
        <f>IFERROR(__xludf.DUMMYFUNCTION("""COMPUTED_VALUE"""),1.486111111111111)</f>
        <v>1.486111111</v>
      </c>
      <c r="S855" s="82">
        <f>IFERROR(__xludf.DUMMYFUNCTION("""COMPUTED_VALUE"""),2.5833333333333335)</f>
        <v>2.583333333</v>
      </c>
      <c r="T855" s="82">
        <f>IFERROR(__xludf.DUMMYFUNCTION("""COMPUTED_VALUE"""),350.4861431291422)</f>
        <v>350.4861431</v>
      </c>
      <c r="U855" s="82">
        <f>IFERROR(__xludf.DUMMYFUNCTION("""COMPUTED_VALUE"""),0.7533034596364429)</f>
        <v>0.7533034596</v>
      </c>
      <c r="V855" s="82">
        <f>IFERROR(__xludf.DUMMYFUNCTION("""COMPUTED_VALUE"""),0.5664199596423957)</f>
        <v>0.5664199596</v>
      </c>
      <c r="W855" s="82">
        <f>IFERROR(__xludf.DUMMYFUNCTION("""COMPUTED_VALUE"""),1.3322442049795875)</f>
        <v>1.332244205</v>
      </c>
      <c r="X855" s="82">
        <f>IFERROR(__xludf.DUMMYFUNCTION("""COMPUTED_VALUE"""),2.635948660603387)</f>
        <v>2.635948661</v>
      </c>
      <c r="Y855" s="82">
        <f>IFERROR(__xludf.DUMMYFUNCTION("""COMPUTED_VALUE"""),368.4049546025904)</f>
        <v>368.4049546</v>
      </c>
      <c r="Z855" s="82">
        <f>IFERROR(__xludf.DUMMYFUNCTION("""COMPUTED_VALUE"""),0.8467542312946291)</f>
        <v>0.8467542313</v>
      </c>
      <c r="AA855" s="82">
        <f>IFERROR(__xludf.DUMMYFUNCTION("""COMPUTED_VALUE"""),0.6364672227926187)</f>
        <v>0.6364672228</v>
      </c>
      <c r="AB855" s="82">
        <f>IFERROR(__xludf.DUMMYFUNCTION("""COMPUTED_VALUE"""),1.407167854387379)</f>
        <v>1.407167854</v>
      </c>
      <c r="AC855" s="82">
        <f>IFERROR(__xludf.DUMMYFUNCTION("""COMPUTED_VALUE"""),2.6726870857124463)</f>
        <v>2.672687086</v>
      </c>
      <c r="AD855" s="82">
        <f>IFERROR(__xludf.DUMMYFUNCTION("""COMPUTED_VALUE"""),0.9767331542039016)</f>
        <v>0.9767331542</v>
      </c>
      <c r="AE855" s="82">
        <f>IFERROR(__xludf.DUMMYFUNCTION("""COMPUTED_VALUE"""),0.8365276572050195)</f>
        <v>0.8365276572</v>
      </c>
      <c r="AF855" s="82">
        <f>IFERROR(__xludf.DUMMYFUNCTION("""COMPUTED_VALUE"""),0.8510519430835779)</f>
        <v>0.8510519431</v>
      </c>
      <c r="AG855" s="82">
        <f>IFERROR(__xludf.DUMMYFUNCTION("""COMPUTED_VALUE"""),1.0955812143234631)</f>
        <v>1.095581214</v>
      </c>
      <c r="AH855" s="82">
        <f>IFERROR(__xludf.DUMMYFUNCTION("""COMPUTED_VALUE"""),1.0756964462353527)</f>
        <v>1.075696446</v>
      </c>
      <c r="AI855" s="82">
        <f>IFERROR(__xludf.DUMMYFUNCTION("""COMPUTED_VALUE"""),0.9786010597991955)</f>
        <v>0.9786010598</v>
      </c>
      <c r="AJ855" s="82">
        <f>IFERROR(__xludf.DUMMYFUNCTION("""COMPUTED_VALUE"""),0.8665535375249963)</f>
        <v>0.8665535375</v>
      </c>
      <c r="AK855" s="82">
        <f>IFERROR(__xludf.DUMMYFUNCTION("""COMPUTED_VALUE"""),0.7846553372254759)</f>
        <v>0.7846553372</v>
      </c>
      <c r="AL855" s="82">
        <f>IFERROR(__xludf.DUMMYFUNCTION("""COMPUTED_VALUE"""),1.1154945208666762)</f>
        <v>1.115494521</v>
      </c>
      <c r="AM855" s="82">
        <f>IFERROR(__xludf.DUMMYFUNCTION("""COMPUTED_VALUE"""),0.9800393201671805)</f>
        <v>0.9800393202</v>
      </c>
      <c r="AN855" s="82">
        <f>IFERROR(__xludf.DUMMYFUNCTION("""COMPUTED_VALUE"""),1.020199440986694)</f>
        <v>1.020199441</v>
      </c>
      <c r="AO855" s="82">
        <f>IFERROR(__xludf.DUMMYFUNCTION("""COMPUTED_VALUE"""),0.9931948196978497)</f>
        <v>0.9931948197</v>
      </c>
      <c r="AP855" s="82">
        <f>IFERROR(__xludf.DUMMYFUNCTION("""COMPUTED_VALUE"""),0.9419037705825504)</f>
        <v>0.9419037706</v>
      </c>
      <c r="AQ855" s="82">
        <f>IFERROR(__xludf.DUMMYFUNCTION("""COMPUTED_VALUE"""),1.0807201516182998)</f>
        <v>1.080720152</v>
      </c>
      <c r="AR855" s="82">
        <f>IFERROR(__xludf.DUMMYFUNCTION("""COMPUTED_VALUE"""),1.1412758974096093)</f>
        <v>1.141275897</v>
      </c>
      <c r="AS855" s="82">
        <f>IFERROR(__xludf.DUMMYFUNCTION("""COMPUTED_VALUE"""),51.0)</f>
        <v>51</v>
      </c>
      <c r="AT855" s="82">
        <f>IFERROR(__xludf.DUMMYFUNCTION("""COMPUTED_VALUE"""),0.5305397568908621)</f>
        <v>0.5305397569</v>
      </c>
      <c r="AU855" s="82">
        <f>IFERROR(__xludf.DUMMYFUNCTION("""COMPUTED_VALUE"""),2.5425523164074924)</f>
        <v>2.542552316</v>
      </c>
      <c r="AV855" s="82">
        <f>IFERROR(__xludf.DUMMYFUNCTION("""COMPUTED_VALUE"""),56.12154282188963)</f>
        <v>56.12154282</v>
      </c>
      <c r="AW855" s="82">
        <f t="shared" si="1"/>
        <v>2.479655948</v>
      </c>
      <c r="AX855" s="83">
        <f t="array" ref="AX855">IFERROR(DGET('SBV Import'!A:G,"SBV",{"RSC ID","Tier";B855,A855}))</f>
        <v>48.63092187</v>
      </c>
      <c r="AY855" s="82">
        <f t="shared" si="2"/>
        <v>-2.091334478</v>
      </c>
      <c r="AZ855" s="82">
        <v>4.57099042620488</v>
      </c>
      <c r="BA855" s="84">
        <v>800.0</v>
      </c>
      <c r="BB855" s="84" t="b">
        <f>IFERROR(__xludf.DUMMYFUNCTION("iferror(if(A855="""",,E855&gt;=FILTER(Constants!$F$2:$F$10,Constants!$A$2:$A$10=A855)))"),TRUE)</f>
        <v>1</v>
      </c>
    </row>
    <row r="856">
      <c r="A856" s="80" t="str">
        <f>IFERROR(__xludf.DUMMYFUNCTION("""COMPUTED_VALUE"""),"Elite")</f>
        <v>Elite</v>
      </c>
      <c r="B856" s="73" t="str">
        <f>IFERROR(__xludf.DUMMYFUNCTION("""COMPUTED_VALUE"""),"RSC005193")</f>
        <v>RSC005193</v>
      </c>
      <c r="C856" s="73" t="str">
        <f>IFERROR(__xludf.DUMMYFUNCTION("""COMPUTED_VALUE"""),"RegularlyJones")</f>
        <v>RegularlyJones</v>
      </c>
      <c r="D856" s="73" t="str">
        <f>IFERROR(__xludf.DUMMYFUNCTION("""COMPUTED_VALUE"""),"Sloths")</f>
        <v>Sloths</v>
      </c>
      <c r="E856" s="82">
        <f>IFERROR(__xludf.DUMMYFUNCTION("""COMPUTED_VALUE"""),36.0)</f>
        <v>36</v>
      </c>
      <c r="F856" s="82">
        <f>IFERROR(__xludf.DUMMYFUNCTION("""COMPUTED_VALUE"""),20.0)</f>
        <v>20</v>
      </c>
      <c r="G856" s="82">
        <f>IFERROR(__xludf.DUMMYFUNCTION("""COMPUTED_VALUE"""),16.0)</f>
        <v>16</v>
      </c>
      <c r="H856" s="86">
        <f>IFERROR(__xludf.DUMMYFUNCTION("""COMPUTED_VALUE"""),0.5555555555555556)</f>
        <v>0.5555555556</v>
      </c>
      <c r="I856" s="86">
        <f>IFERROR(__xludf.DUMMYFUNCTION("""COMPUTED_VALUE"""),0.21698113207547168)</f>
        <v>0.2169811321</v>
      </c>
      <c r="J856" s="82">
        <f>IFERROR(__xludf.DUMMYFUNCTION("""COMPUTED_VALUE"""),349.0)</f>
        <v>349</v>
      </c>
      <c r="K856" s="82">
        <f>IFERROR(__xludf.DUMMYFUNCTION("""COMPUTED_VALUE"""),0.6388888888888888)</f>
        <v>0.6388888889</v>
      </c>
      <c r="L856" s="82">
        <f>IFERROR(__xludf.DUMMYFUNCTION("""COMPUTED_VALUE"""),0.7222222222222222)</f>
        <v>0.7222222222</v>
      </c>
      <c r="M856" s="82">
        <f>IFERROR(__xludf.DUMMYFUNCTION("""COMPUTED_VALUE"""),1.2777777777777777)</f>
        <v>1.277777778</v>
      </c>
      <c r="N856" s="82">
        <f>IFERROR(__xludf.DUMMYFUNCTION("""COMPUTED_VALUE"""),2.9444444444444446)</f>
        <v>2.944444444</v>
      </c>
      <c r="O856" s="82">
        <f>IFERROR(__xludf.DUMMYFUNCTION("""COMPUTED_VALUE"""),360.9351851851853)</f>
        <v>360.9351852</v>
      </c>
      <c r="P856" s="82">
        <f>IFERROR(__xludf.DUMMYFUNCTION("""COMPUTED_VALUE"""),0.685185185185185)</f>
        <v>0.6851851852</v>
      </c>
      <c r="Q856" s="82">
        <f>IFERROR(__xludf.DUMMYFUNCTION("""COMPUTED_VALUE"""),0.5462962962962964)</f>
        <v>0.5462962963</v>
      </c>
      <c r="R856" s="82">
        <f>IFERROR(__xludf.DUMMYFUNCTION("""COMPUTED_VALUE"""),1.5648148148148149)</f>
        <v>1.564814815</v>
      </c>
      <c r="S856" s="82">
        <f>IFERROR(__xludf.DUMMYFUNCTION("""COMPUTED_VALUE"""),2.611111111111111)</f>
        <v>2.611111111</v>
      </c>
      <c r="T856" s="82">
        <f>IFERROR(__xludf.DUMMYFUNCTION("""COMPUTED_VALUE"""),360.4181224194023)</f>
        <v>360.4181224</v>
      </c>
      <c r="U856" s="82">
        <f>IFERROR(__xludf.DUMMYFUNCTION("""COMPUTED_VALUE"""),0.7406160470012418)</f>
        <v>0.740616047</v>
      </c>
      <c r="V856" s="82">
        <f>IFERROR(__xludf.DUMMYFUNCTION("""COMPUTED_VALUE"""),0.5597078584627698)</f>
        <v>0.5597078585</v>
      </c>
      <c r="W856" s="82">
        <f>IFERROR(__xludf.DUMMYFUNCTION("""COMPUTED_VALUE"""),1.4781881534079468)</f>
        <v>1.478188153</v>
      </c>
      <c r="X856" s="82">
        <f>IFERROR(__xludf.DUMMYFUNCTION("""COMPUTED_VALUE"""),2.53481197097043)</f>
        <v>2.534811971</v>
      </c>
      <c r="Y856" s="82">
        <f>IFERROR(__xludf.DUMMYFUNCTION("""COMPUTED_VALUE"""),372.2010010490547)</f>
        <v>372.201001</v>
      </c>
      <c r="Z856" s="82">
        <f>IFERROR(__xludf.DUMMYFUNCTION("""COMPUTED_VALUE"""),0.8244855945955659)</f>
        <v>0.8244855946</v>
      </c>
      <c r="AA856" s="82">
        <f>IFERROR(__xludf.DUMMYFUNCTION("""COMPUTED_VALUE"""),0.6064958364779425)</f>
        <v>0.6064958365</v>
      </c>
      <c r="AB856" s="82">
        <f>IFERROR(__xludf.DUMMYFUNCTION("""COMPUTED_VALUE"""),1.442983676061934)</f>
        <v>1.442983676</v>
      </c>
      <c r="AC856" s="82">
        <f>IFERROR(__xludf.DUMMYFUNCTION("""COMPUTED_VALUE"""),2.7763475920960845)</f>
        <v>2.776347592</v>
      </c>
      <c r="AD856" s="82">
        <f>IFERROR(__xludf.DUMMYFUNCTION("""COMPUTED_VALUE"""),0.9376653985785576)</f>
        <v>0.9376653986</v>
      </c>
      <c r="AE856" s="82">
        <f>IFERROR(__xludf.DUMMYFUNCTION("""COMPUTED_VALUE"""),0.7748939375978817)</f>
        <v>0.7748939376</v>
      </c>
      <c r="AF856" s="82">
        <f>IFERROR(__xludf.DUMMYFUNCTION("""COMPUTED_VALUE"""),1.1908115089731346)</f>
        <v>1.190811509</v>
      </c>
      <c r="AG856" s="82">
        <f>IFERROR(__xludf.DUMMYFUNCTION("""COMPUTED_VALUE"""),0.8855109028433212)</f>
        <v>0.8855109028</v>
      </c>
      <c r="AH856" s="82">
        <f>IFERROR(__xludf.DUMMYFUNCTION("""COMPUTED_VALUE"""),1.0605460399940234)</f>
        <v>1.06054604</v>
      </c>
      <c r="AI856" s="82">
        <f>IFERROR(__xludf.DUMMYFUNCTION("""COMPUTED_VALUE"""),1.0014346192203434)</f>
        <v>1.001434619</v>
      </c>
      <c r="AJ856" s="82">
        <f>IFERROR(__xludf.DUMMYFUNCTION("""COMPUTED_VALUE"""),0.9251557375235162)</f>
        <v>0.9251557375</v>
      </c>
      <c r="AK856" s="82">
        <f>IFERROR(__xludf.DUMMYFUNCTION("""COMPUTED_VALUE"""),0.9760382814647125)</f>
        <v>0.9760382815</v>
      </c>
      <c r="AL856" s="82">
        <f>IFERROR(__xludf.DUMMYFUNCTION("""COMPUTED_VALUE"""),1.0586032713137032)</f>
        <v>1.058603271</v>
      </c>
      <c r="AM856" s="82">
        <f>IFERROR(__xludf.DUMMYFUNCTION("""COMPUTED_VALUE"""),1.0301005127853609)</f>
        <v>1.030100513</v>
      </c>
      <c r="AN856" s="82">
        <f>IFERROR(__xludf.DUMMYFUNCTION("""COMPUTED_VALUE"""),0.9894847750931622)</f>
        <v>0.9894847751</v>
      </c>
      <c r="AO856" s="82">
        <f>IFERROR(__xludf.DUMMYFUNCTION("""COMPUTED_VALUE"""),0.8958227785510016)</f>
        <v>0.8958227786</v>
      </c>
      <c r="AP856" s="82">
        <f>IFERROR(__xludf.DUMMYFUNCTION("""COMPUTED_VALUE"""),1.2558716941100674)</f>
        <v>1.255871694</v>
      </c>
      <c r="AQ856" s="82">
        <f>IFERROR(__xludf.DUMMYFUNCTION("""COMPUTED_VALUE"""),0.8957320175575095)</f>
        <v>0.8957320176</v>
      </c>
      <c r="AR856" s="82">
        <f>IFERROR(__xludf.DUMMYFUNCTION("""COMPUTED_VALUE"""),1.1688429480716773)</f>
        <v>1.168842948</v>
      </c>
      <c r="AS856" s="82">
        <f>IFERROR(__xludf.DUMMYFUNCTION("""COMPUTED_VALUE"""),88.0)</f>
        <v>88</v>
      </c>
      <c r="AT856" s="82">
        <f>IFERROR(__xludf.DUMMYFUNCTION("""COMPUTED_VALUE"""),0.5663092322286509)</f>
        <v>0.5663092322</v>
      </c>
      <c r="AU856" s="82">
        <f>IFERROR(__xludf.DUMMYFUNCTION("""COMPUTED_VALUE"""),2.5150749592918387)</f>
        <v>2.515074959</v>
      </c>
      <c r="AV856" s="82">
        <f>IFERROR(__xludf.DUMMYFUNCTION("""COMPUTED_VALUE"""),55.3494439489424)</f>
        <v>55.34944395</v>
      </c>
      <c r="AW856" s="82">
        <f t="shared" si="1"/>
        <v>2.408001107</v>
      </c>
      <c r="AX856" s="83">
        <f t="array" ref="AX856">IFERROR(DGET('SBV Import'!A:G,"SBV",{"RSC ID","Tier";B856,A856}))</f>
        <v>47.67505875</v>
      </c>
      <c r="AY856" s="82">
        <f t="shared" si="2"/>
        <v>-2.160047818</v>
      </c>
      <c r="AZ856" s="82">
        <v>4.568048925472889</v>
      </c>
      <c r="BA856" s="84">
        <v>800.0</v>
      </c>
      <c r="BB856" s="84" t="b">
        <f>IFERROR(__xludf.DUMMYFUNCTION("iferror(if(A856="""",,E856&gt;=FILTER(Constants!$F$2:$F$10,Constants!$A$2:$A$10=A856)))"),TRUE)</f>
        <v>1</v>
      </c>
    </row>
    <row r="857">
      <c r="A857" s="80" t="str">
        <f>IFERROR(__xludf.DUMMYFUNCTION("""COMPUTED_VALUE"""),"Elite")</f>
        <v>Elite</v>
      </c>
      <c r="B857" s="73" t="str">
        <f>IFERROR(__xludf.DUMMYFUNCTION("""COMPUTED_VALUE"""),"RSC000867")</f>
        <v>RSC000867</v>
      </c>
      <c r="C857" s="73" t="str">
        <f>IFERROR(__xludf.DUMMYFUNCTION("""COMPUTED_VALUE"""),"Ritter")</f>
        <v>Ritter</v>
      </c>
      <c r="D857" s="73" t="str">
        <f>IFERROR(__xludf.DUMMYFUNCTION("""COMPUTED_VALUE"""),"Pylons")</f>
        <v>Pylons</v>
      </c>
      <c r="E857" s="82">
        <f>IFERROR(__xludf.DUMMYFUNCTION("""COMPUTED_VALUE"""),12.0)</f>
        <v>12</v>
      </c>
      <c r="F857" s="82">
        <f>IFERROR(__xludf.DUMMYFUNCTION("""COMPUTED_VALUE"""),7.0)</f>
        <v>7</v>
      </c>
      <c r="G857" s="82">
        <f>IFERROR(__xludf.DUMMYFUNCTION("""COMPUTED_VALUE"""),5.0)</f>
        <v>5</v>
      </c>
      <c r="H857" s="86">
        <f>IFERROR(__xludf.DUMMYFUNCTION("""COMPUTED_VALUE"""),0.5833333333333334)</f>
        <v>0.5833333333</v>
      </c>
      <c r="I857" s="86">
        <f>IFERROR(__xludf.DUMMYFUNCTION("""COMPUTED_VALUE"""),0.39999999999999997)</f>
        <v>0.4</v>
      </c>
      <c r="J857" s="82">
        <f>IFERROR(__xludf.DUMMYFUNCTION("""COMPUTED_VALUE"""),349.75)</f>
        <v>349.75</v>
      </c>
      <c r="K857" s="82">
        <f>IFERROR(__xludf.DUMMYFUNCTION("""COMPUTED_VALUE"""),0.8333333333333334)</f>
        <v>0.8333333333</v>
      </c>
      <c r="L857" s="82">
        <f>IFERROR(__xludf.DUMMYFUNCTION("""COMPUTED_VALUE"""),0.75)</f>
        <v>0.75</v>
      </c>
      <c r="M857" s="82">
        <f>IFERROR(__xludf.DUMMYFUNCTION("""COMPUTED_VALUE"""),1.5)</f>
        <v>1.5</v>
      </c>
      <c r="N857" s="82">
        <f>IFERROR(__xludf.DUMMYFUNCTION("""COMPUTED_VALUE"""),2.0833333333333335)</f>
        <v>2.083333333</v>
      </c>
      <c r="O857" s="82">
        <f>IFERROR(__xludf.DUMMYFUNCTION("""COMPUTED_VALUE"""),363.47222222222223)</f>
        <v>363.4722222</v>
      </c>
      <c r="P857" s="82">
        <f>IFERROR(__xludf.DUMMYFUNCTION("""COMPUTED_VALUE"""),0.8888888888888888)</f>
        <v>0.8888888889</v>
      </c>
      <c r="Q857" s="82">
        <f>IFERROR(__xludf.DUMMYFUNCTION("""COMPUTED_VALUE"""),0.5555555555555555)</f>
        <v>0.5555555556</v>
      </c>
      <c r="R857" s="82">
        <f>IFERROR(__xludf.DUMMYFUNCTION("""COMPUTED_VALUE"""),1.4166666666666667)</f>
        <v>1.416666667</v>
      </c>
      <c r="S857" s="82">
        <f>IFERROR(__xludf.DUMMYFUNCTION("""COMPUTED_VALUE"""),2.9722222222222228)</f>
        <v>2.972222222</v>
      </c>
      <c r="T857" s="82">
        <f>IFERROR(__xludf.DUMMYFUNCTION("""COMPUTED_VALUE"""),363.2304106771498)</f>
        <v>363.2304107</v>
      </c>
      <c r="U857" s="82">
        <f>IFERROR(__xludf.DUMMYFUNCTION("""COMPUTED_VALUE"""),0.7804886571832143)</f>
        <v>0.7804886572</v>
      </c>
      <c r="V857" s="82">
        <f>IFERROR(__xludf.DUMMYFUNCTION("""COMPUTED_VALUE"""),0.5437047005783512)</f>
        <v>0.5437047006</v>
      </c>
      <c r="W857" s="82">
        <f>IFERROR(__xludf.DUMMYFUNCTION("""COMPUTED_VALUE"""),1.4570450038470062)</f>
        <v>1.457045004</v>
      </c>
      <c r="X857" s="82">
        <f>IFERROR(__xludf.DUMMYFUNCTION("""COMPUTED_VALUE"""),2.7615948296057184)</f>
        <v>2.76159483</v>
      </c>
      <c r="Y857" s="82">
        <f>IFERROR(__xludf.DUMMYFUNCTION("""COMPUTED_VALUE"""),362.3526226139624)</f>
        <v>362.3526226</v>
      </c>
      <c r="Z857" s="82">
        <f>IFERROR(__xludf.DUMMYFUNCTION("""COMPUTED_VALUE"""),0.7332282501790471)</f>
        <v>0.7332282502</v>
      </c>
      <c r="AA857" s="82">
        <f>IFERROR(__xludf.DUMMYFUNCTION("""COMPUTED_VALUE"""),0.5560319377190157)</f>
        <v>0.5560319377</v>
      </c>
      <c r="AB857" s="82">
        <f>IFERROR(__xludf.DUMMYFUNCTION("""COMPUTED_VALUE"""),1.5521481681194818)</f>
        <v>1.552148168</v>
      </c>
      <c r="AC857" s="82">
        <f>IFERROR(__xludf.DUMMYFUNCTION("""COMPUTED_VALUE"""),2.6135453819086956)</f>
        <v>2.613545382</v>
      </c>
      <c r="AD857" s="82">
        <f>IFERROR(__xludf.DUMMYFUNCTION("""COMPUTED_VALUE"""),0.9652200044171094)</f>
        <v>0.9652200044</v>
      </c>
      <c r="AE857" s="82">
        <f>IFERROR(__xludf.DUMMYFUNCTION("""COMPUTED_VALUE"""),1.1365264951668754)</f>
        <v>1.136526495</v>
      </c>
      <c r="AF857" s="82">
        <f>IFERROR(__xludf.DUMMYFUNCTION("""COMPUTED_VALUE"""),1.348843383127758)</f>
        <v>1.348843383</v>
      </c>
      <c r="AG857" s="82">
        <f>IFERROR(__xludf.DUMMYFUNCTION("""COMPUTED_VALUE"""),0.9664025837284193)</f>
        <v>0.9664025837</v>
      </c>
      <c r="AH857" s="82">
        <f>IFERROR(__xludf.DUMMYFUNCTION("""COMPUTED_VALUE"""),0.7971291976617052)</f>
        <v>0.7971291977</v>
      </c>
      <c r="AI857" s="82">
        <f>IFERROR(__xludf.DUMMYFUNCTION("""COMPUTED_VALUE"""),1.0006657249447304)</f>
        <v>1.000665725</v>
      </c>
      <c r="AJ857" s="82">
        <f>IFERROR(__xludf.DUMMYFUNCTION("""COMPUTED_VALUE"""),1.1388876452053658)</f>
        <v>1.138887645</v>
      </c>
      <c r="AK857" s="82">
        <f>IFERROR(__xludf.DUMMYFUNCTION("""COMPUTED_VALUE"""),1.0217964916701994)</f>
        <v>1.021796492</v>
      </c>
      <c r="AL857" s="82">
        <f>IFERROR(__xludf.DUMMYFUNCTION("""COMPUTED_VALUE"""),0.9722875154345065)</f>
        <v>0.9722875154</v>
      </c>
      <c r="AM857" s="82">
        <f>IFERROR(__xludf.DUMMYFUNCTION("""COMPUTED_VALUE"""),1.0762702009572405)</f>
        <v>1.076270201</v>
      </c>
      <c r="AN857" s="82">
        <f>IFERROR(__xludf.DUMMYFUNCTION("""COMPUTED_VALUE"""),0.9916111750396375)</f>
        <v>0.991611175</v>
      </c>
      <c r="AO857" s="82">
        <f>IFERROR(__xludf.DUMMYFUNCTION("""COMPUTED_VALUE"""),1.1684644937621762)</f>
        <v>1.168464494</v>
      </c>
      <c r="AP857" s="82">
        <f>IFERROR(__xludf.DUMMYFUNCTION("""COMPUTED_VALUE"""),1.304174451575839)</f>
        <v>1.304174452</v>
      </c>
      <c r="AQ857" s="82">
        <f>IFERROR(__xludf.DUMMYFUNCTION("""COMPUTED_VALUE"""),1.0515114988718592)</f>
        <v>1.051511499</v>
      </c>
      <c r="AR857" s="82">
        <f>IFERROR(__xludf.DUMMYFUNCTION("""COMPUTED_VALUE"""),0.8270115198620358)</f>
        <v>0.8270115199</v>
      </c>
      <c r="AS857" s="82">
        <f>IFERROR(__xludf.DUMMYFUNCTION("""COMPUTED_VALUE"""),33.0)</f>
        <v>33</v>
      </c>
      <c r="AT857" s="82">
        <f>IFERROR(__xludf.DUMMYFUNCTION("""COMPUTED_VALUE"""),0.5124905529581639)</f>
        <v>0.512490553</v>
      </c>
      <c r="AU857" s="82">
        <f>IFERROR(__xludf.DUMMYFUNCTION("""COMPUTED_VALUE"""),2.5120428615301247)</f>
        <v>2.512042862</v>
      </c>
      <c r="AV857" s="82">
        <f>IFERROR(__xludf.DUMMYFUNCTION("""COMPUTED_VALUE"""),55.264243641844764)</f>
        <v>55.26424364</v>
      </c>
      <c r="AW857" s="82">
        <f t="shared" si="1"/>
        <v>2.400317737</v>
      </c>
      <c r="AX857" s="83">
        <f t="array" ref="AX857">IFERROR(DGET('SBV Import'!A:G,"SBV",{"RSC ID","Tier";B857,A857}))</f>
        <v>34.94603992</v>
      </c>
      <c r="AY857" s="82">
        <f t="shared" si="2"/>
        <v>-3.655847966</v>
      </c>
      <c r="AZ857" s="82">
        <v>6.056165703909519</v>
      </c>
      <c r="BA857" s="84">
        <v>800.0</v>
      </c>
      <c r="BB857" s="84" t="b">
        <f>IFERROR(__xludf.DUMMYFUNCTION("iferror(if(A857="""",,E857&gt;=FILTER(Constants!$F$2:$F$10,Constants!$A$2:$A$10=A857)))"),TRUE)</f>
        <v>1</v>
      </c>
    </row>
    <row r="858">
      <c r="A858" s="80" t="str">
        <f>IFERROR(__xludf.DUMMYFUNCTION("""COMPUTED_VALUE"""),"Elite")</f>
        <v>Elite</v>
      </c>
      <c r="B858" s="73" t="str">
        <f>IFERROR(__xludf.DUMMYFUNCTION("""COMPUTED_VALUE"""),"RSC004966")</f>
        <v>RSC004966</v>
      </c>
      <c r="C858" s="73" t="str">
        <f>IFERROR(__xludf.DUMMYFUNCTION("""COMPUTED_VALUE"""),"Buck")</f>
        <v>Buck</v>
      </c>
      <c r="D858" s="73" t="str">
        <f>IFERROR(__xludf.DUMMYFUNCTION("""COMPUTED_VALUE"""),"Thrashers")</f>
        <v>Thrashers</v>
      </c>
      <c r="E858" s="82">
        <f>IFERROR(__xludf.DUMMYFUNCTION("""COMPUTED_VALUE"""),32.0)</f>
        <v>32</v>
      </c>
      <c r="F858" s="82">
        <f>IFERROR(__xludf.DUMMYFUNCTION("""COMPUTED_VALUE"""),19.0)</f>
        <v>19</v>
      </c>
      <c r="G858" s="82">
        <f>IFERROR(__xludf.DUMMYFUNCTION("""COMPUTED_VALUE"""),13.0)</f>
        <v>13</v>
      </c>
      <c r="H858" s="86">
        <f>IFERROR(__xludf.DUMMYFUNCTION("""COMPUTED_VALUE"""),0.59375)</f>
        <v>0.59375</v>
      </c>
      <c r="I858" s="86">
        <f>IFERROR(__xludf.DUMMYFUNCTION("""COMPUTED_VALUE"""),0.25263157894736843)</f>
        <v>0.2526315789</v>
      </c>
      <c r="J858" s="82">
        <f>IFERROR(__xludf.DUMMYFUNCTION("""COMPUTED_VALUE"""),302.96875)</f>
        <v>302.96875</v>
      </c>
      <c r="K858" s="82">
        <f>IFERROR(__xludf.DUMMYFUNCTION("""COMPUTED_VALUE"""),0.75)</f>
        <v>0.75</v>
      </c>
      <c r="L858" s="82">
        <f>IFERROR(__xludf.DUMMYFUNCTION("""COMPUTED_VALUE"""),0.46875)</f>
        <v>0.46875</v>
      </c>
      <c r="M858" s="82">
        <f>IFERROR(__xludf.DUMMYFUNCTION("""COMPUTED_VALUE"""),1.03125)</f>
        <v>1.03125</v>
      </c>
      <c r="N858" s="82">
        <f>IFERROR(__xludf.DUMMYFUNCTION("""COMPUTED_VALUE"""),2.96875)</f>
        <v>2.96875</v>
      </c>
      <c r="O858" s="82">
        <f>IFERROR(__xludf.DUMMYFUNCTION("""COMPUTED_VALUE"""),375.96875000000006)</f>
        <v>375.96875</v>
      </c>
      <c r="P858" s="82">
        <f>IFERROR(__xludf.DUMMYFUNCTION("""COMPUTED_VALUE"""),0.8541666666666666)</f>
        <v>0.8541666667</v>
      </c>
      <c r="Q858" s="82">
        <f>IFERROR(__xludf.DUMMYFUNCTION("""COMPUTED_VALUE"""),0.6145833333333335)</f>
        <v>0.6145833333</v>
      </c>
      <c r="R858" s="82">
        <f>IFERROR(__xludf.DUMMYFUNCTION("""COMPUTED_VALUE"""),1.6145833333333333)</f>
        <v>1.614583333</v>
      </c>
      <c r="S858" s="82">
        <f>IFERROR(__xludf.DUMMYFUNCTION("""COMPUTED_VALUE"""),2.427083333333334)</f>
        <v>2.427083333</v>
      </c>
      <c r="T858" s="82">
        <f>IFERROR(__xludf.DUMMYFUNCTION("""COMPUTED_VALUE"""),368.0494558499338)</f>
        <v>368.0494558</v>
      </c>
      <c r="U858" s="82">
        <f>IFERROR(__xludf.DUMMYFUNCTION("""COMPUTED_VALUE"""),0.8102805404008643)</f>
        <v>0.8102805404</v>
      </c>
      <c r="V858" s="82">
        <f>IFERROR(__xludf.DUMMYFUNCTION("""COMPUTED_VALUE"""),0.6063816325493411)</f>
        <v>0.6063816325</v>
      </c>
      <c r="W858" s="82">
        <f>IFERROR(__xludf.DUMMYFUNCTION("""COMPUTED_VALUE"""),1.4371897566237277)</f>
        <v>1.437189757</v>
      </c>
      <c r="X858" s="82">
        <f>IFERROR(__xludf.DUMMYFUNCTION("""COMPUTED_VALUE"""),2.6749508334893237)</f>
        <v>2.674950833</v>
      </c>
      <c r="Y858" s="82">
        <f>IFERROR(__xludf.DUMMYFUNCTION("""COMPUTED_VALUE"""),344.216944167674)</f>
        <v>344.2169442</v>
      </c>
      <c r="Z858" s="82">
        <f>IFERROR(__xludf.DUMMYFUNCTION("""COMPUTED_VALUE"""),0.7027381324164992)</f>
        <v>0.7027381324</v>
      </c>
      <c r="AA858" s="82">
        <f>IFERROR(__xludf.DUMMYFUNCTION("""COMPUTED_VALUE"""),0.49983318455499237)</f>
        <v>0.4998331846</v>
      </c>
      <c r="AB858" s="82">
        <f>IFERROR(__xludf.DUMMYFUNCTION("""COMPUTED_VALUE"""),1.3952318575792508)</f>
        <v>1.395231858</v>
      </c>
      <c r="AC858" s="82">
        <f>IFERROR(__xludf.DUMMYFUNCTION("""COMPUTED_VALUE"""),2.536524749347071)</f>
        <v>2.536524749</v>
      </c>
      <c r="AD858" s="82">
        <f>IFERROR(__xludf.DUMMYFUNCTION("""COMPUTED_VALUE"""),0.8801680310438719)</f>
        <v>0.880168031</v>
      </c>
      <c r="AE858" s="82">
        <f>IFERROR(__xludf.DUMMYFUNCTION("""COMPUTED_VALUE"""),1.067253882212115)</f>
        <v>1.067253882</v>
      </c>
      <c r="AF858" s="82">
        <f>IFERROR(__xludf.DUMMYFUNCTION("""COMPUTED_VALUE"""),0.9378128833469388)</f>
        <v>0.9378128833</v>
      </c>
      <c r="AG858" s="82">
        <f>IFERROR(__xludf.DUMMYFUNCTION("""COMPUTED_VALUE"""),0.7391244647962919)</f>
        <v>0.7391244648</v>
      </c>
      <c r="AH858" s="82">
        <f>IFERROR(__xludf.DUMMYFUNCTION("""COMPUTED_VALUE"""),1.1704005650897704)</f>
        <v>1.170400565</v>
      </c>
      <c r="AI858" s="82">
        <f>IFERROR(__xludf.DUMMYFUNCTION("""COMPUTED_VALUE"""),1.021516929380532)</f>
        <v>1.021516929</v>
      </c>
      <c r="AJ858" s="82">
        <f>IFERROR(__xludf.DUMMYFUNCTION("""COMPUTED_VALUE"""),1.0541616441190738)</f>
        <v>1.054161644</v>
      </c>
      <c r="AK858" s="82">
        <f>IFERROR(__xludf.DUMMYFUNCTION("""COMPUTED_VALUE"""),1.0135256418462264)</f>
        <v>1.013525642</v>
      </c>
      <c r="AL858" s="82">
        <f>IFERROR(__xludf.DUMMYFUNCTION("""COMPUTED_VALUE"""),1.1234308663083863)</f>
        <v>1.123430866</v>
      </c>
      <c r="AM858" s="82">
        <f>IFERROR(__xludf.DUMMYFUNCTION("""COMPUTED_VALUE"""),0.9073375491419181)</f>
        <v>0.9073375491</v>
      </c>
      <c r="AN858" s="82">
        <f>IFERROR(__xludf.DUMMYFUNCTION("""COMPUTED_VALUE"""),0.858976978378242)</f>
        <v>0.8589769784</v>
      </c>
      <c r="AO858" s="82">
        <f>IFERROR(__xludf.DUMMYFUNCTION("""COMPUTED_VALUE"""),1.0516180443859584)</f>
        <v>1.051618044</v>
      </c>
      <c r="AP858" s="82">
        <f>IFERROR(__xludf.DUMMYFUNCTION("""COMPUTED_VALUE"""),0.8151090322348995)</f>
        <v>0.8151090322</v>
      </c>
      <c r="AQ858" s="82">
        <f>IFERROR(__xludf.DUMMYFUNCTION("""COMPUTED_VALUE"""),0.7229141554744032)</f>
        <v>0.7229141555</v>
      </c>
      <c r="AR858" s="82">
        <f>IFERROR(__xludf.DUMMYFUNCTION("""COMPUTED_VALUE"""),1.178491415803401)</f>
        <v>1.178491416</v>
      </c>
      <c r="AS858" s="82">
        <f>IFERROR(__xludf.DUMMYFUNCTION("""COMPUTED_VALUE"""),89.0)</f>
        <v>89</v>
      </c>
      <c r="AT858" s="82">
        <f>IFERROR(__xludf.DUMMYFUNCTION("""COMPUTED_VALUE"""),0.5330804689094955)</f>
        <v>0.5330804689</v>
      </c>
      <c r="AU858" s="82">
        <f>IFERROR(__xludf.DUMMYFUNCTION("""COMPUTED_VALUE"""),2.496484019230735)</f>
        <v>2.496484019</v>
      </c>
      <c r="AV858" s="82">
        <f>IFERROR(__xludf.DUMMYFUNCTION("""COMPUTED_VALUE"""),54.82704858872669)</f>
        <v>54.82704859</v>
      </c>
      <c r="AW858" s="82">
        <f t="shared" si="1"/>
        <v>2.361568421</v>
      </c>
      <c r="AX858" s="83">
        <f t="array" ref="AX858">IFERROR(DGET('SBV Import'!A:G,"SBV",{"RSC ID","Tier";B858,A858}))</f>
        <v>29.87849972</v>
      </c>
      <c r="AY858" s="82">
        <f t="shared" si="2"/>
        <v>-4.751717232</v>
      </c>
      <c r="AZ858" s="82">
        <v>7.113285652132444</v>
      </c>
      <c r="BA858" s="84">
        <v>800.0</v>
      </c>
      <c r="BB858" s="84" t="b">
        <f>IFERROR(__xludf.DUMMYFUNCTION("iferror(if(A858="""",,E858&gt;=FILTER(Constants!$F$2:$F$10,Constants!$A$2:$A$10=A858)))"),TRUE)</f>
        <v>1</v>
      </c>
    </row>
    <row r="859">
      <c r="A859" s="80" t="str">
        <f>IFERROR(__xludf.DUMMYFUNCTION("""COMPUTED_VALUE"""),"Elite")</f>
        <v>Elite</v>
      </c>
      <c r="B859" s="73" t="str">
        <f>IFERROR(__xludf.DUMMYFUNCTION("""COMPUTED_VALUE"""),"RSC003427")</f>
        <v>RSC003427</v>
      </c>
      <c r="C859" s="73" t="str">
        <f>IFERROR(__xludf.DUMMYFUNCTION("""COMPUTED_VALUE"""),"(P|F)ineapple")</f>
        <v>(P|F)ineapple</v>
      </c>
      <c r="D859" s="73" t="str">
        <f>IFERROR(__xludf.DUMMYFUNCTION("""COMPUTED_VALUE"""),"Orochi")</f>
        <v>Orochi</v>
      </c>
      <c r="E859" s="82">
        <f>IFERROR(__xludf.DUMMYFUNCTION("""COMPUTED_VALUE"""),33.0)</f>
        <v>33</v>
      </c>
      <c r="F859" s="82">
        <f>IFERROR(__xludf.DUMMYFUNCTION("""COMPUTED_VALUE"""),15.0)</f>
        <v>15</v>
      </c>
      <c r="G859" s="82">
        <f>IFERROR(__xludf.DUMMYFUNCTION("""COMPUTED_VALUE"""),18.0)</f>
        <v>18</v>
      </c>
      <c r="H859" s="86">
        <f>IFERROR(__xludf.DUMMYFUNCTION("""COMPUTED_VALUE"""),0.45454545454545453)</f>
        <v>0.4545454545</v>
      </c>
      <c r="I859" s="86">
        <f>IFERROR(__xludf.DUMMYFUNCTION("""COMPUTED_VALUE"""),0.4)</f>
        <v>0.4</v>
      </c>
      <c r="J859" s="82">
        <f>IFERROR(__xludf.DUMMYFUNCTION("""COMPUTED_VALUE"""),351.8787878787879)</f>
        <v>351.8787879</v>
      </c>
      <c r="K859" s="82">
        <f>IFERROR(__xludf.DUMMYFUNCTION("""COMPUTED_VALUE"""),0.8484848484848485)</f>
        <v>0.8484848485</v>
      </c>
      <c r="L859" s="82">
        <f>IFERROR(__xludf.DUMMYFUNCTION("""COMPUTED_VALUE"""),0.48484848484848486)</f>
        <v>0.4848484848</v>
      </c>
      <c r="M859" s="82">
        <f>IFERROR(__xludf.DUMMYFUNCTION("""COMPUTED_VALUE"""),1.5757575757575757)</f>
        <v>1.575757576</v>
      </c>
      <c r="N859" s="82">
        <f>IFERROR(__xludf.DUMMYFUNCTION("""COMPUTED_VALUE"""),2.121212121212121)</f>
        <v>2.121212121</v>
      </c>
      <c r="O859" s="82">
        <f>IFERROR(__xludf.DUMMYFUNCTION("""COMPUTED_VALUE"""),362.4343434343434)</f>
        <v>362.4343434</v>
      </c>
      <c r="P859" s="82">
        <f>IFERROR(__xludf.DUMMYFUNCTION("""COMPUTED_VALUE"""),0.828282828282828)</f>
        <v>0.8282828283</v>
      </c>
      <c r="Q859" s="82">
        <f>IFERROR(__xludf.DUMMYFUNCTION("""COMPUTED_VALUE"""),0.616161616161616)</f>
        <v>0.6161616162</v>
      </c>
      <c r="R859" s="82">
        <f>IFERROR(__xludf.DUMMYFUNCTION("""COMPUTED_VALUE"""),1.3030303030303028)</f>
        <v>1.303030303</v>
      </c>
      <c r="S859" s="82">
        <f>IFERROR(__xludf.DUMMYFUNCTION("""COMPUTED_VALUE"""),2.86868686868687)</f>
        <v>2.868686869</v>
      </c>
      <c r="T859" s="82">
        <f>IFERROR(__xludf.DUMMYFUNCTION("""COMPUTED_VALUE"""),372.13984923697296)</f>
        <v>372.1398492</v>
      </c>
      <c r="U859" s="82">
        <f>IFERROR(__xludf.DUMMYFUNCTION("""COMPUTED_VALUE"""),0.8144821635563396)</f>
        <v>0.8144821636</v>
      </c>
      <c r="V859" s="82">
        <f>IFERROR(__xludf.DUMMYFUNCTION("""COMPUTED_VALUE"""),0.6354636641480353)</f>
        <v>0.6354636641</v>
      </c>
      <c r="W859" s="82">
        <f>IFERROR(__xludf.DUMMYFUNCTION("""COMPUTED_VALUE"""),1.390831997403528)</f>
        <v>1.390831997</v>
      </c>
      <c r="X859" s="82">
        <f>IFERROR(__xludf.DUMMYFUNCTION("""COMPUTED_VALUE"""),2.847924338060154)</f>
        <v>2.847924338</v>
      </c>
      <c r="Y859" s="82">
        <f>IFERROR(__xludf.DUMMYFUNCTION("""COMPUTED_VALUE"""),353.41773016527696)</f>
        <v>353.4177302</v>
      </c>
      <c r="Z859" s="82">
        <f>IFERROR(__xludf.DUMMYFUNCTION("""COMPUTED_VALUE"""),0.6863507631870998)</f>
        <v>0.6863507632</v>
      </c>
      <c r="AA859" s="82">
        <f>IFERROR(__xludf.DUMMYFUNCTION("""COMPUTED_VALUE"""),0.5170382314195212)</f>
        <v>0.5170382314</v>
      </c>
      <c r="AB859" s="82">
        <f>IFERROR(__xludf.DUMMYFUNCTION("""COMPUTED_VALUE"""),1.5481932874563766)</f>
        <v>1.548193287</v>
      </c>
      <c r="AC859" s="82">
        <f>IFERROR(__xludf.DUMMYFUNCTION("""COMPUTED_VALUE"""),2.495741411177198)</f>
        <v>2.495741411</v>
      </c>
      <c r="AD859" s="82">
        <f>IFERROR(__xludf.DUMMYFUNCTION("""COMPUTED_VALUE"""),0.9956455430638146)</f>
        <v>0.9956455431</v>
      </c>
      <c r="AE859" s="82">
        <f>IFERROR(__xludf.DUMMYFUNCTION("""COMPUTED_VALUE"""),1.2362262766997913)</f>
        <v>1.236226277</v>
      </c>
      <c r="AF859" s="82">
        <f>IFERROR(__xludf.DUMMYFUNCTION("""COMPUTED_VALUE"""),0.9377420379869011)</f>
        <v>0.937742038</v>
      </c>
      <c r="AG859" s="82">
        <f>IFERROR(__xludf.DUMMYFUNCTION("""COMPUTED_VALUE"""),1.0178041647154317)</f>
        <v>1.017804165</v>
      </c>
      <c r="AH859" s="82">
        <f>IFERROR(__xludf.DUMMYFUNCTION("""COMPUTED_VALUE"""),0.8499326539649724)</f>
        <v>0.849932654</v>
      </c>
      <c r="AI859" s="82">
        <f>IFERROR(__xludf.DUMMYFUNCTION("""COMPUTED_VALUE"""),0.9739197352217736)</f>
        <v>0.9739197352</v>
      </c>
      <c r="AJ859" s="82">
        <f>IFERROR(__xludf.DUMMYFUNCTION("""COMPUTED_VALUE"""),1.0169440969293047)</f>
        <v>1.016944097</v>
      </c>
      <c r="AK859" s="82">
        <f>IFERROR(__xludf.DUMMYFUNCTION("""COMPUTED_VALUE"""),0.9696252530625846)</f>
        <v>0.9696252531</v>
      </c>
      <c r="AL859" s="82">
        <f>IFERROR(__xludf.DUMMYFUNCTION("""COMPUTED_VALUE"""),0.936871099789811)</f>
        <v>0.9368710998</v>
      </c>
      <c r="AM859" s="82">
        <f>IFERROR(__xludf.DUMMYFUNCTION("""COMPUTED_VALUE"""),1.007290408087477)</f>
        <v>1.007290408</v>
      </c>
      <c r="AN859" s="82">
        <f>IFERROR(__xludf.DUMMYFUNCTION("""COMPUTED_VALUE"""),0.9976467142816532)</f>
        <v>0.9976467143</v>
      </c>
      <c r="AO859" s="82">
        <f>IFERROR(__xludf.DUMMYFUNCTION("""COMPUTED_VALUE"""),1.1897093027396701)</f>
        <v>1.189709303</v>
      </c>
      <c r="AP859" s="82">
        <f>IFERROR(__xludf.DUMMYFUNCTION("""COMPUTED_VALUE"""),0.843102675766199)</f>
        <v>0.8431026758</v>
      </c>
      <c r="AQ859" s="82">
        <f>IFERROR(__xludf.DUMMYFUNCTION("""COMPUTED_VALUE"""),1.1046181402290236)</f>
        <v>1.10461814</v>
      </c>
      <c r="AR859" s="82">
        <f>IFERROR(__xludf.DUMMYFUNCTION("""COMPUTED_VALUE"""),0.8420480929504364)</f>
        <v>0.842048093</v>
      </c>
      <c r="AS859" s="82">
        <f>IFERROR(__xludf.DUMMYFUNCTION("""COMPUTED_VALUE"""),67.0)</f>
        <v>67</v>
      </c>
      <c r="AT859" s="82">
        <f>IFERROR(__xludf.DUMMYFUNCTION("""COMPUTED_VALUE"""),0.422776382268689)</f>
        <v>0.4227763823</v>
      </c>
      <c r="AU859" s="82">
        <f>IFERROR(__xludf.DUMMYFUNCTION("""COMPUTED_VALUE"""),2.4503391631298883)</f>
        <v>2.450339163</v>
      </c>
      <c r="AV859" s="82">
        <f>IFERROR(__xludf.DUMMYFUNCTION("""COMPUTED_VALUE"""),53.53040309120616)</f>
        <v>53.53040309</v>
      </c>
      <c r="AW859" s="82">
        <f t="shared" si="1"/>
        <v>2.253015413</v>
      </c>
      <c r="AX859" s="83">
        <f t="array" ref="AX859">IFERROR(DGET('SBV Import'!A:G,"SBV",{"RSC ID","Tier";B859,A859}))</f>
        <v>40.0109242</v>
      </c>
      <c r="AY859" s="82">
        <f t="shared" si="2"/>
        <v>-2.900743563</v>
      </c>
      <c r="AZ859" s="82">
        <v>5.15375897587725</v>
      </c>
      <c r="BA859" s="84">
        <v>800.0</v>
      </c>
      <c r="BB859" s="84" t="b">
        <f>IFERROR(__xludf.DUMMYFUNCTION("iferror(if(A859="""",,E859&gt;=FILTER(Constants!$F$2:$F$10,Constants!$A$2:$A$10=A859)))"),TRUE)</f>
        <v>1</v>
      </c>
    </row>
    <row r="860">
      <c r="A860" s="80" t="str">
        <f>IFERROR(__xludf.DUMMYFUNCTION("""COMPUTED_VALUE"""),"Elite")</f>
        <v>Elite</v>
      </c>
      <c r="B860" s="73" t="str">
        <f>IFERROR(__xludf.DUMMYFUNCTION("""COMPUTED_VALUE"""),"RSC003831")</f>
        <v>RSC003831</v>
      </c>
      <c r="C860" s="73" t="str">
        <f>IFERROR(__xludf.DUMMYFUNCTION("""COMPUTED_VALUE"""),"Aki")</f>
        <v>Aki</v>
      </c>
      <c r="D860" s="73" t="str">
        <f>IFERROR(__xludf.DUMMYFUNCTION("""COMPUTED_VALUE"""),"Stoked Blokes")</f>
        <v>Stoked Blokes</v>
      </c>
      <c r="E860" s="82">
        <f>IFERROR(__xludf.DUMMYFUNCTION("""COMPUTED_VALUE"""),30.0)</f>
        <v>30</v>
      </c>
      <c r="F860" s="82">
        <f>IFERROR(__xludf.DUMMYFUNCTION("""COMPUTED_VALUE"""),14.0)</f>
        <v>14</v>
      </c>
      <c r="G860" s="82">
        <f>IFERROR(__xludf.DUMMYFUNCTION("""COMPUTED_VALUE"""),16.0)</f>
        <v>16</v>
      </c>
      <c r="H860" s="86">
        <f>IFERROR(__xludf.DUMMYFUNCTION("""COMPUTED_VALUE"""),0.4666666666666667)</f>
        <v>0.4666666667</v>
      </c>
      <c r="I860" s="86">
        <f>IFERROR(__xludf.DUMMYFUNCTION("""COMPUTED_VALUE"""),0.20930232558139533)</f>
        <v>0.2093023256</v>
      </c>
      <c r="J860" s="82">
        <f>IFERROR(__xludf.DUMMYFUNCTION("""COMPUTED_VALUE"""),341.4)</f>
        <v>341.4</v>
      </c>
      <c r="K860" s="82">
        <f>IFERROR(__xludf.DUMMYFUNCTION("""COMPUTED_VALUE"""),0.6)</f>
        <v>0.6</v>
      </c>
      <c r="L860" s="82">
        <f>IFERROR(__xludf.DUMMYFUNCTION("""COMPUTED_VALUE"""),0.6666666666666666)</f>
        <v>0.6666666667</v>
      </c>
      <c r="M860" s="82">
        <f>IFERROR(__xludf.DUMMYFUNCTION("""COMPUTED_VALUE"""),1.2333333333333334)</f>
        <v>1.233333333</v>
      </c>
      <c r="N860" s="82">
        <f>IFERROR(__xludf.DUMMYFUNCTION("""COMPUTED_VALUE"""),2.8666666666666667)</f>
        <v>2.866666667</v>
      </c>
      <c r="O860" s="82">
        <f>IFERROR(__xludf.DUMMYFUNCTION("""COMPUTED_VALUE"""),353.13333333333344)</f>
        <v>353.1333333</v>
      </c>
      <c r="P860" s="82">
        <f>IFERROR(__xludf.DUMMYFUNCTION("""COMPUTED_VALUE"""),0.7000000000000003)</f>
        <v>0.7</v>
      </c>
      <c r="Q860" s="82">
        <f>IFERROR(__xludf.DUMMYFUNCTION("""COMPUTED_VALUE"""),0.511111111111111)</f>
        <v>0.5111111111</v>
      </c>
      <c r="R860" s="82">
        <f>IFERROR(__xludf.DUMMYFUNCTION("""COMPUTED_VALUE"""),1.5555555555555558)</f>
        <v>1.555555556</v>
      </c>
      <c r="S860" s="82">
        <f>IFERROR(__xludf.DUMMYFUNCTION("""COMPUTED_VALUE"""),2.4444444444444446)</f>
        <v>2.444444444</v>
      </c>
      <c r="T860" s="82">
        <f>IFERROR(__xludf.DUMMYFUNCTION("""COMPUTED_VALUE"""),360.85331819893474)</f>
        <v>360.8533182</v>
      </c>
      <c r="U860" s="82">
        <f>IFERROR(__xludf.DUMMYFUNCTION("""COMPUTED_VALUE"""),0.7538484631860005)</f>
        <v>0.7538484632</v>
      </c>
      <c r="V860" s="82">
        <f>IFERROR(__xludf.DUMMYFUNCTION("""COMPUTED_VALUE"""),0.5797548926195447)</f>
        <v>0.5797548926</v>
      </c>
      <c r="W860" s="82">
        <f>IFERROR(__xludf.DUMMYFUNCTION("""COMPUTED_VALUE"""),1.4997849698728853)</f>
        <v>1.49978497</v>
      </c>
      <c r="X860" s="82">
        <f>IFERROR(__xludf.DUMMYFUNCTION("""COMPUTED_VALUE"""),2.5433328648838724)</f>
        <v>2.543332865</v>
      </c>
      <c r="Y860" s="82">
        <f>IFERROR(__xludf.DUMMYFUNCTION("""COMPUTED_VALUE"""),361.22003568106913)</f>
        <v>361.2200357</v>
      </c>
      <c r="Z860" s="82">
        <f>IFERROR(__xludf.DUMMYFUNCTION("""COMPUTED_VALUE"""),0.7930531154122973)</f>
        <v>0.7930531154</v>
      </c>
      <c r="AA860" s="82">
        <f>IFERROR(__xludf.DUMMYFUNCTION("""COMPUTED_VALUE"""),0.5830204098859046)</f>
        <v>0.5830204099</v>
      </c>
      <c r="AB860" s="82">
        <f>IFERROR(__xludf.DUMMYFUNCTION("""COMPUTED_VALUE"""),1.346637166611193)</f>
        <v>1.346637167</v>
      </c>
      <c r="AC860" s="82">
        <f>IFERROR(__xludf.DUMMYFUNCTION("""COMPUTED_VALUE"""),2.760245062041124)</f>
        <v>2.760245062</v>
      </c>
      <c r="AD860" s="82">
        <f>IFERROR(__xludf.DUMMYFUNCTION("""COMPUTED_VALUE"""),0.9451302980918567)</f>
        <v>0.9451302981</v>
      </c>
      <c r="AE860" s="82">
        <f>IFERROR(__xludf.DUMMYFUNCTION("""COMPUTED_VALUE"""),0.7565697534497022)</f>
        <v>0.7565697534</v>
      </c>
      <c r="AF860" s="82">
        <f>IFERROR(__xludf.DUMMYFUNCTION("""COMPUTED_VALUE"""),1.1434705464207184)</f>
        <v>1.143470546</v>
      </c>
      <c r="AG860" s="82">
        <f>IFERROR(__xludf.DUMMYFUNCTION("""COMPUTED_VALUE"""),0.915861647006975)</f>
        <v>0.915861647</v>
      </c>
      <c r="AH860" s="82">
        <f>IFERROR(__xludf.DUMMYFUNCTION("""COMPUTED_VALUE"""),1.0385551290677237)</f>
        <v>1.038555129</v>
      </c>
      <c r="AI860" s="82">
        <f>IFERROR(__xludf.DUMMYFUNCTION("""COMPUTED_VALUE"""),0.9786063076705717)</f>
        <v>0.9786063077</v>
      </c>
      <c r="AJ860" s="82">
        <f>IFERROR(__xludf.DUMMYFUNCTION("""COMPUTED_VALUE"""),0.9285685839851424)</f>
        <v>0.928568584</v>
      </c>
      <c r="AK860" s="82">
        <f>IFERROR(__xludf.DUMMYFUNCTION("""COMPUTED_VALUE"""),0.8815986162733771)</f>
        <v>0.8815986163</v>
      </c>
      <c r="AL860" s="82">
        <f>IFERROR(__xludf.DUMMYFUNCTION("""COMPUTED_VALUE"""),1.0371857211553448)</f>
        <v>1.037185721</v>
      </c>
      <c r="AM860" s="82">
        <f>IFERROR(__xludf.DUMMYFUNCTION("""COMPUTED_VALUE"""),0.961118569336797)</f>
        <v>0.9611185693</v>
      </c>
      <c r="AN860" s="82">
        <f>IFERROR(__xludf.DUMMYFUNCTION("""COMPUTED_VALUE"""),0.967937255635546)</f>
        <v>0.9679372556</v>
      </c>
      <c r="AO860" s="82">
        <f>IFERROR(__xludf.DUMMYFUNCTION("""COMPUTED_VALUE"""),0.8412944355087667)</f>
        <v>0.8412944355</v>
      </c>
      <c r="AP860" s="82">
        <f>IFERROR(__xludf.DUMMYFUNCTION("""COMPUTED_VALUE"""),1.1592661791785237)</f>
        <v>1.159266179</v>
      </c>
      <c r="AQ860" s="82">
        <f>IFERROR(__xludf.DUMMYFUNCTION("""COMPUTED_VALUE"""),0.8645761212946398)</f>
        <v>0.8645761213</v>
      </c>
      <c r="AR860" s="82">
        <f>IFERROR(__xludf.DUMMYFUNCTION("""COMPUTED_VALUE"""),1.1379678513301612)</f>
        <v>1.137967851</v>
      </c>
      <c r="AS860" s="82">
        <f>IFERROR(__xludf.DUMMYFUNCTION("""COMPUTED_VALUE"""),63.0)</f>
        <v>63</v>
      </c>
      <c r="AT860" s="82">
        <f>IFERROR(__xludf.DUMMYFUNCTION("""COMPUTED_VALUE"""),0.4999999999999998)</f>
        <v>0.5</v>
      </c>
      <c r="AU860" s="82">
        <f>IFERROR(__xludf.DUMMYFUNCTION("""COMPUTED_VALUE"""),2.448143483118716)</f>
        <v>2.448143483</v>
      </c>
      <c r="AV860" s="82">
        <f>IFERROR(__xludf.DUMMYFUNCTION("""COMPUTED_VALUE"""),53.4687056704956)</f>
        <v>53.46870567</v>
      </c>
      <c r="AW860" s="82">
        <f t="shared" si="1"/>
        <v>2.248077342</v>
      </c>
      <c r="AX860" s="83">
        <f t="array" ref="AX860">IFERROR(DGET('SBV Import'!A:G,"SBV",{"RSC ID","Tier";B860,A860}))</f>
        <v>55.20543523</v>
      </c>
      <c r="AY860" s="82">
        <f t="shared" si="2"/>
        <v>2.395039732</v>
      </c>
      <c r="AZ860" s="82">
        <v>0.14696238976260645</v>
      </c>
      <c r="BA860" s="84">
        <v>800.0</v>
      </c>
      <c r="BB860" s="84" t="b">
        <f>IFERROR(__xludf.DUMMYFUNCTION("iferror(if(A860="""",,E860&gt;=FILTER(Constants!$F$2:$F$10,Constants!$A$2:$A$10=A860)))"),TRUE)</f>
        <v>1</v>
      </c>
    </row>
    <row r="861">
      <c r="A861" s="80" t="str">
        <f>IFERROR(__xludf.DUMMYFUNCTION("""COMPUTED_VALUE"""),"Elite")</f>
        <v>Elite</v>
      </c>
      <c r="B861" s="73" t="str">
        <f>IFERROR(__xludf.DUMMYFUNCTION("""COMPUTED_VALUE"""),"RSC001889")</f>
        <v>RSC001889</v>
      </c>
      <c r="C861" s="73" t="str">
        <f>IFERROR(__xludf.DUMMYFUNCTION("""COMPUTED_VALUE"""),"Phelpsy")</f>
        <v>Phelpsy</v>
      </c>
      <c r="D861" s="73" t="str">
        <f>IFERROR(__xludf.DUMMYFUNCTION("""COMPUTED_VALUE"""),"Forge Defenders")</f>
        <v>Forge Defenders</v>
      </c>
      <c r="E861" s="82">
        <f>IFERROR(__xludf.DUMMYFUNCTION("""COMPUTED_VALUE"""),23.0)</f>
        <v>23</v>
      </c>
      <c r="F861" s="82">
        <f>IFERROR(__xludf.DUMMYFUNCTION("""COMPUTED_VALUE"""),13.0)</f>
        <v>13</v>
      </c>
      <c r="G861" s="82">
        <f>IFERROR(__xludf.DUMMYFUNCTION("""COMPUTED_VALUE"""),10.0)</f>
        <v>10</v>
      </c>
      <c r="H861" s="86">
        <f>IFERROR(__xludf.DUMMYFUNCTION("""COMPUTED_VALUE"""),0.5652173913043478)</f>
        <v>0.5652173913</v>
      </c>
      <c r="I861" s="86">
        <f>IFERROR(__xludf.DUMMYFUNCTION("""COMPUTED_VALUE"""),0.3333333333333333)</f>
        <v>0.3333333333</v>
      </c>
      <c r="J861" s="82">
        <f>IFERROR(__xludf.DUMMYFUNCTION("""COMPUTED_VALUE"""),325.04347826086956)</f>
        <v>325.0434783</v>
      </c>
      <c r="K861" s="82">
        <f>IFERROR(__xludf.DUMMYFUNCTION("""COMPUTED_VALUE"""),0.7391304347826086)</f>
        <v>0.7391304348</v>
      </c>
      <c r="L861" s="82">
        <f>IFERROR(__xludf.DUMMYFUNCTION("""COMPUTED_VALUE"""),0.6086956521739131)</f>
        <v>0.6086956522</v>
      </c>
      <c r="M861" s="82">
        <f>IFERROR(__xludf.DUMMYFUNCTION("""COMPUTED_VALUE"""),1.2608695652173914)</f>
        <v>1.260869565</v>
      </c>
      <c r="N861" s="82">
        <f>IFERROR(__xludf.DUMMYFUNCTION("""COMPUTED_VALUE"""),2.217391304347826)</f>
        <v>2.217391304</v>
      </c>
      <c r="O861" s="82">
        <f>IFERROR(__xludf.DUMMYFUNCTION("""COMPUTED_VALUE"""),337.4347826086957)</f>
        <v>337.4347826</v>
      </c>
      <c r="P861" s="82">
        <f>IFERROR(__xludf.DUMMYFUNCTION("""COMPUTED_VALUE"""),0.6521739130434783)</f>
        <v>0.652173913</v>
      </c>
      <c r="Q861" s="82">
        <f>IFERROR(__xludf.DUMMYFUNCTION("""COMPUTED_VALUE"""),0.5652173913043479)</f>
        <v>0.5652173913</v>
      </c>
      <c r="R861" s="82">
        <f>IFERROR(__xludf.DUMMYFUNCTION("""COMPUTED_VALUE"""),1.3188405797101452)</f>
        <v>1.31884058</v>
      </c>
      <c r="S861" s="82">
        <f>IFERROR(__xludf.DUMMYFUNCTION("""COMPUTED_VALUE"""),2.8405797101449273)</f>
        <v>2.84057971</v>
      </c>
      <c r="T861" s="82">
        <f>IFERROR(__xludf.DUMMYFUNCTION("""COMPUTED_VALUE"""),375.0750606849789)</f>
        <v>375.0750607</v>
      </c>
      <c r="U861" s="82">
        <f>IFERROR(__xludf.DUMMYFUNCTION("""COMPUTED_VALUE"""),0.8576095799425446)</f>
        <v>0.8576095799</v>
      </c>
      <c r="V861" s="82">
        <f>IFERROR(__xludf.DUMMYFUNCTION("""COMPUTED_VALUE"""),0.6148747772166995)</f>
        <v>0.6148747772</v>
      </c>
      <c r="W861" s="82">
        <f>IFERROR(__xludf.DUMMYFUNCTION("""COMPUTED_VALUE"""),1.4374554856750592)</f>
        <v>1.437455486</v>
      </c>
      <c r="X861" s="82">
        <f>IFERROR(__xludf.DUMMYFUNCTION("""COMPUTED_VALUE"""),2.8595953441486883)</f>
        <v>2.859595344</v>
      </c>
      <c r="Y861" s="82">
        <f>IFERROR(__xludf.DUMMYFUNCTION("""COMPUTED_VALUE"""),359.4673129840663)</f>
        <v>359.467313</v>
      </c>
      <c r="Z861" s="82">
        <f>IFERROR(__xludf.DUMMYFUNCTION("""COMPUTED_VALUE"""),0.7319796038546116)</f>
        <v>0.7319796039</v>
      </c>
      <c r="AA861" s="82">
        <f>IFERROR(__xludf.DUMMYFUNCTION("""COMPUTED_VALUE"""),0.5438836862069101)</f>
        <v>0.5438836862</v>
      </c>
      <c r="AB861" s="82">
        <f>IFERROR(__xludf.DUMMYFUNCTION("""COMPUTED_VALUE"""),1.5048710638752765)</f>
        <v>1.504871064</v>
      </c>
      <c r="AC861" s="82">
        <f>IFERROR(__xludf.DUMMYFUNCTION("""COMPUTED_VALUE"""),2.5982359047916264)</f>
        <v>2.598235905</v>
      </c>
      <c r="AD861" s="82">
        <f>IFERROR(__xludf.DUMMYFUNCTION("""COMPUTED_VALUE"""),0.9042365370096317)</f>
        <v>0.904236537</v>
      </c>
      <c r="AE861" s="82">
        <f>IFERROR(__xludf.DUMMYFUNCTION("""COMPUTED_VALUE"""),1.0097691669144069)</f>
        <v>1.009769167</v>
      </c>
      <c r="AF861" s="82">
        <f>IFERROR(__xludf.DUMMYFUNCTION("""COMPUTED_VALUE"""),1.1191651222690775)</f>
        <v>1.119165122</v>
      </c>
      <c r="AG861" s="82">
        <f>IFERROR(__xludf.DUMMYFUNCTION("""COMPUTED_VALUE"""),0.8378588674370924)</f>
        <v>0.8378588674</v>
      </c>
      <c r="AH861" s="82">
        <f>IFERROR(__xludf.DUMMYFUNCTION("""COMPUTED_VALUE"""),0.8534218545200409)</f>
        <v>0.8534218545</v>
      </c>
      <c r="AI861" s="82">
        <f>IFERROR(__xludf.DUMMYFUNCTION("""COMPUTED_VALUE"""),0.8996460121674237)</f>
        <v>0.8996460122</v>
      </c>
      <c r="AJ861" s="82">
        <f>IFERROR(__xludf.DUMMYFUNCTION("""COMPUTED_VALUE"""),0.7604554896496964)</f>
        <v>0.7604554896</v>
      </c>
      <c r="AK861" s="82">
        <f>IFERROR(__xludf.DUMMYFUNCTION("""COMPUTED_VALUE"""),0.9192398391471978)</f>
        <v>0.9192398391</v>
      </c>
      <c r="AL861" s="82">
        <f>IFERROR(__xludf.DUMMYFUNCTION("""COMPUTED_VALUE"""),0.9174827275369783)</f>
        <v>0.9174827275</v>
      </c>
      <c r="AM861" s="82">
        <f>IFERROR(__xludf.DUMMYFUNCTION("""COMPUTED_VALUE"""),0.9933502360595632)</f>
        <v>0.9933502361</v>
      </c>
      <c r="AN861" s="82">
        <f>IFERROR(__xludf.DUMMYFUNCTION("""COMPUTED_VALUE"""),0.9215632463680679)</f>
        <v>0.9215632464</v>
      </c>
      <c r="AO861" s="82">
        <f>IFERROR(__xludf.DUMMYFUNCTION("""COMPUTED_VALUE"""),1.0363772031629734)</f>
        <v>1.036377203</v>
      </c>
      <c r="AP861" s="82">
        <f>IFERROR(__xludf.DUMMYFUNCTION("""COMPUTED_VALUE"""),1.0584604244673477)</f>
        <v>1.058460424</v>
      </c>
      <c r="AQ861" s="82">
        <f>IFERROR(__xludf.DUMMYFUNCTION("""COMPUTED_VALUE"""),0.8838792309357657)</f>
        <v>0.8838792309</v>
      </c>
      <c r="AR861" s="82">
        <f>IFERROR(__xludf.DUMMYFUNCTION("""COMPUTED_VALUE"""),0.8802279133140276)</f>
        <v>0.8802279133</v>
      </c>
      <c r="AS861" s="82">
        <f>IFERROR(__xludf.DUMMYFUNCTION("""COMPUTED_VALUE"""),52.0)</f>
        <v>52</v>
      </c>
      <c r="AT861" s="82">
        <f>IFERROR(__xludf.DUMMYFUNCTION("""COMPUTED_VALUE"""),0.5544146806685081)</f>
        <v>0.5544146807</v>
      </c>
      <c r="AU861" s="82">
        <f>IFERROR(__xludf.DUMMYFUNCTION("""COMPUTED_VALUE"""),2.434759617870392)</f>
        <v>2.434759618</v>
      </c>
      <c r="AV861" s="82">
        <f>IFERROR(__xludf.DUMMYFUNCTION("""COMPUTED_VALUE"""),53.09262629610694)</f>
        <v>53.0926263</v>
      </c>
      <c r="AW861" s="82">
        <f t="shared" si="1"/>
        <v>2.218404566</v>
      </c>
      <c r="AX861" s="83">
        <f t="array" ref="AX861">IFERROR(DGET('SBV Import'!A:G,"SBV",{"RSC ID","Tier";B861,A861}))</f>
        <v>35.26763704</v>
      </c>
      <c r="AY861" s="82">
        <f t="shared" si="2"/>
        <v>-3.599299221</v>
      </c>
      <c r="AZ861" s="82">
        <v>5.817703787288018</v>
      </c>
      <c r="BA861" s="84">
        <v>800.0</v>
      </c>
      <c r="BB861" s="84" t="b">
        <f>IFERROR(__xludf.DUMMYFUNCTION("iferror(if(A861="""",,E861&gt;=FILTER(Constants!$F$2:$F$10,Constants!$A$2:$A$10=A861)))"),TRUE)</f>
        <v>1</v>
      </c>
    </row>
    <row r="862">
      <c r="A862" s="80" t="str">
        <f>IFERROR(__xludf.DUMMYFUNCTION("""COMPUTED_VALUE"""),"Elite")</f>
        <v>Elite</v>
      </c>
      <c r="B862" s="73" t="str">
        <f>IFERROR(__xludf.DUMMYFUNCTION("""COMPUTED_VALUE"""),"RSC003360")</f>
        <v>RSC003360</v>
      </c>
      <c r="C862" s="73" t="str">
        <f>IFERROR(__xludf.DUMMYFUNCTION("""COMPUTED_VALUE"""),"flossy")</f>
        <v>flossy</v>
      </c>
      <c r="D862" s="73" t="str">
        <f>IFERROR(__xludf.DUMMYFUNCTION("""COMPUTED_VALUE"""),"Geeky Ghouls")</f>
        <v>Geeky Ghouls</v>
      </c>
      <c r="E862" s="82">
        <f>IFERROR(__xludf.DUMMYFUNCTION("""COMPUTED_VALUE"""),36.0)</f>
        <v>36</v>
      </c>
      <c r="F862" s="82">
        <f>IFERROR(__xludf.DUMMYFUNCTION("""COMPUTED_VALUE"""),17.0)</f>
        <v>17</v>
      </c>
      <c r="G862" s="82">
        <f>IFERROR(__xludf.DUMMYFUNCTION("""COMPUTED_VALUE"""),19.0)</f>
        <v>19</v>
      </c>
      <c r="H862" s="86">
        <f>IFERROR(__xludf.DUMMYFUNCTION("""COMPUTED_VALUE"""),0.4722222222222222)</f>
        <v>0.4722222222</v>
      </c>
      <c r="I862" s="86">
        <f>IFERROR(__xludf.DUMMYFUNCTION("""COMPUTED_VALUE"""),0.26804123711340205)</f>
        <v>0.2680412371</v>
      </c>
      <c r="J862" s="82">
        <f>IFERROR(__xludf.DUMMYFUNCTION("""COMPUTED_VALUE"""),339.1111111111111)</f>
        <v>339.1111111</v>
      </c>
      <c r="K862" s="82">
        <f>IFERROR(__xludf.DUMMYFUNCTION("""COMPUTED_VALUE"""),0.7222222222222222)</f>
        <v>0.7222222222</v>
      </c>
      <c r="L862" s="82">
        <f>IFERROR(__xludf.DUMMYFUNCTION("""COMPUTED_VALUE"""),0.4722222222222222)</f>
        <v>0.4722222222</v>
      </c>
      <c r="M862" s="82">
        <f>IFERROR(__xludf.DUMMYFUNCTION("""COMPUTED_VALUE"""),1.5)</f>
        <v>1.5</v>
      </c>
      <c r="N862" s="82">
        <f>IFERROR(__xludf.DUMMYFUNCTION("""COMPUTED_VALUE"""),2.6944444444444446)</f>
        <v>2.694444444</v>
      </c>
      <c r="O862" s="82">
        <f>IFERROR(__xludf.DUMMYFUNCTION("""COMPUTED_VALUE"""),385.05555555555554)</f>
        <v>385.0555556</v>
      </c>
      <c r="P862" s="82">
        <f>IFERROR(__xludf.DUMMYFUNCTION("""COMPUTED_VALUE"""),0.824074074074074)</f>
        <v>0.8240740741</v>
      </c>
      <c r="Q862" s="82">
        <f>IFERROR(__xludf.DUMMYFUNCTION("""COMPUTED_VALUE"""),0.6388888888888888)</f>
        <v>0.6388888889</v>
      </c>
      <c r="R862" s="82">
        <f>IFERROR(__xludf.DUMMYFUNCTION("""COMPUTED_VALUE"""),1.6018518518518516)</f>
        <v>1.601851852</v>
      </c>
      <c r="S862" s="82">
        <f>IFERROR(__xludf.DUMMYFUNCTION("""COMPUTED_VALUE"""),2.7685185185185186)</f>
        <v>2.768518519</v>
      </c>
      <c r="T862" s="82">
        <f>IFERROR(__xludf.DUMMYFUNCTION("""COMPUTED_VALUE"""),372.251067842272)</f>
        <v>372.2510678</v>
      </c>
      <c r="U862" s="82">
        <f>IFERROR(__xludf.DUMMYFUNCTION("""COMPUTED_VALUE"""),0.8371154636865534)</f>
        <v>0.8371154637</v>
      </c>
      <c r="V862" s="82">
        <f>IFERROR(__xludf.DUMMYFUNCTION("""COMPUTED_VALUE"""),0.65796833539047)</f>
        <v>0.6579683354</v>
      </c>
      <c r="W862" s="82">
        <f>IFERROR(__xludf.DUMMYFUNCTION("""COMPUTED_VALUE"""),1.3613674152363757)</f>
        <v>1.361367415</v>
      </c>
      <c r="X862" s="82">
        <f>IFERROR(__xludf.DUMMYFUNCTION("""COMPUTED_VALUE"""),2.8449118147239676)</f>
        <v>2.844911815</v>
      </c>
      <c r="Y862" s="82">
        <f>IFERROR(__xludf.DUMMYFUNCTION("""COMPUTED_VALUE"""),354.08282054014643)</f>
        <v>354.0828205</v>
      </c>
      <c r="Z862" s="82">
        <f>IFERROR(__xludf.DUMMYFUNCTION("""COMPUTED_VALUE"""),0.707432556768346)</f>
        <v>0.7074325568</v>
      </c>
      <c r="AA862" s="82">
        <f>IFERROR(__xludf.DUMMYFUNCTION("""COMPUTED_VALUE"""),0.5200300434945367)</f>
        <v>0.5200300435</v>
      </c>
      <c r="AB862" s="82">
        <f>IFERROR(__xludf.DUMMYFUNCTION("""COMPUTED_VALUE"""),1.5314076318383805)</f>
        <v>1.531407632</v>
      </c>
      <c r="AC862" s="82">
        <f>IFERROR(__xludf.DUMMYFUNCTION("""COMPUTED_VALUE"""),2.502540529034737)</f>
        <v>2.502540529</v>
      </c>
      <c r="AD862" s="82">
        <f>IFERROR(__xludf.DUMMYFUNCTION("""COMPUTED_VALUE"""),0.957716927903488)</f>
        <v>0.9577169279</v>
      </c>
      <c r="AE862" s="82">
        <f>IFERROR(__xludf.DUMMYFUNCTION("""COMPUTED_VALUE"""),1.0209061136816173)</f>
        <v>1.020906114</v>
      </c>
      <c r="AF862" s="82">
        <f>IFERROR(__xludf.DUMMYFUNCTION("""COMPUTED_VALUE"""),0.9080671936739424)</f>
        <v>0.9080671937</v>
      </c>
      <c r="AG862" s="82">
        <f>IFERROR(__xludf.DUMMYFUNCTION("""COMPUTED_VALUE"""),0.9794910047557507)</f>
        <v>0.9794910048</v>
      </c>
      <c r="AH862" s="82">
        <f>IFERROR(__xludf.DUMMYFUNCTION("""COMPUTED_VALUE"""),1.0766836393589707)</f>
        <v>1.076683639</v>
      </c>
      <c r="AI862" s="82">
        <f>IFERROR(__xludf.DUMMYFUNCTION("""COMPUTED_VALUE"""),1.03439745059028)</f>
        <v>1.034397451</v>
      </c>
      <c r="AJ862" s="82">
        <f>IFERROR(__xludf.DUMMYFUNCTION("""COMPUTED_VALUE"""),0.9844210384609946)</f>
        <v>0.9844210385</v>
      </c>
      <c r="AK862" s="82">
        <f>IFERROR(__xludf.DUMMYFUNCTION("""COMPUTED_VALUE"""),0.9710024852635827)</f>
        <v>0.9710024853</v>
      </c>
      <c r="AL862" s="82">
        <f>IFERROR(__xludf.DUMMYFUNCTION("""COMPUTED_VALUE"""),1.176649179291338)</f>
        <v>1.176649179</v>
      </c>
      <c r="AM862" s="82">
        <f>IFERROR(__xludf.DUMMYFUNCTION("""COMPUTED_VALUE"""),0.973147393950817)</f>
        <v>0.973147394</v>
      </c>
      <c r="AN862" s="82">
        <f>IFERROR(__xludf.DUMMYFUNCTION("""COMPUTED_VALUE"""),0.9614477980211178)</f>
        <v>0.961447798</v>
      </c>
      <c r="AO862" s="82">
        <f>IFERROR(__xludf.DUMMYFUNCTION("""COMPUTED_VALUE"""),1.0126692279272191)</f>
        <v>1.012669228</v>
      </c>
      <c r="AP862" s="82">
        <f>IFERROR(__xludf.DUMMYFUNCTION("""COMPUTED_VALUE"""),0.8211468769181209)</f>
        <v>0.8211468769</v>
      </c>
      <c r="AQ862" s="82">
        <f>IFERROR(__xludf.DUMMYFUNCTION("""COMPUTED_VALUE"""),1.0515114988718592)</f>
        <v>1.051511499</v>
      </c>
      <c r="AR862" s="82">
        <f>IFERROR(__xludf.DUMMYFUNCTION("""COMPUTED_VALUE"""),1.069601565688233)</f>
        <v>1.069601566</v>
      </c>
      <c r="AS862" s="82">
        <f>IFERROR(__xludf.DUMMYFUNCTION("""COMPUTED_VALUE"""),75.0)</f>
        <v>75</v>
      </c>
      <c r="AT862" s="82">
        <f>IFERROR(__xludf.DUMMYFUNCTION("""COMPUTED_VALUE"""),0.43426558690057926)</f>
        <v>0.4342655869</v>
      </c>
      <c r="AU862" s="82">
        <f>IFERROR(__xludf.DUMMYFUNCTION("""COMPUTED_VALUE"""),2.4272751044137477)</f>
        <v>2.427275104</v>
      </c>
      <c r="AV862" s="82">
        <f>IFERROR(__xludf.DUMMYFUNCTION("""COMPUTED_VALUE"""),52.88231551621242)</f>
        <v>52.88231552</v>
      </c>
      <c r="AW862" s="82">
        <f t="shared" si="1"/>
        <v>2.20212614</v>
      </c>
      <c r="AX862" s="83">
        <f t="array" ref="AX862">IFERROR(DGET('SBV Import'!A:G,"SBV",{"RSC ID","Tier";B862,A862}))</f>
        <v>37.21307493</v>
      </c>
      <c r="AY862" s="82">
        <f t="shared" si="2"/>
        <v>-3.283980106</v>
      </c>
      <c r="AZ862" s="82">
        <v>5.486106245787116</v>
      </c>
      <c r="BA862" s="84">
        <v>800.0</v>
      </c>
      <c r="BB862" s="84" t="b">
        <f>IFERROR(__xludf.DUMMYFUNCTION("iferror(if(A862="""",,E862&gt;=FILTER(Constants!$F$2:$F$10,Constants!$A$2:$A$10=A862)))"),TRUE)</f>
        <v>1</v>
      </c>
    </row>
    <row r="863">
      <c r="A863" s="80" t="str">
        <f>IFERROR(__xludf.DUMMYFUNCTION("""COMPUTED_VALUE"""),"Elite")</f>
        <v>Elite</v>
      </c>
      <c r="B863" s="73" t="str">
        <f>IFERROR(__xludf.DUMMYFUNCTION("""COMPUTED_VALUE"""),"RSC007925")</f>
        <v>RSC007925</v>
      </c>
      <c r="C863" s="73" t="str">
        <f>IFERROR(__xludf.DUMMYFUNCTION("""COMPUTED_VALUE"""),"Monkey")</f>
        <v>Monkey</v>
      </c>
      <c r="D863" s="73" t="str">
        <f>IFERROR(__xludf.DUMMYFUNCTION("""COMPUTED_VALUE"""),"Fire")</f>
        <v>Fire</v>
      </c>
      <c r="E863" s="82">
        <f>IFERROR(__xludf.DUMMYFUNCTION("""COMPUTED_VALUE"""),28.0)</f>
        <v>28</v>
      </c>
      <c r="F863" s="82">
        <f>IFERROR(__xludf.DUMMYFUNCTION("""COMPUTED_VALUE"""),17.0)</f>
        <v>17</v>
      </c>
      <c r="G863" s="82">
        <f>IFERROR(__xludf.DUMMYFUNCTION("""COMPUTED_VALUE"""),11.0)</f>
        <v>11</v>
      </c>
      <c r="H863" s="86">
        <f>IFERROR(__xludf.DUMMYFUNCTION("""COMPUTED_VALUE"""),0.6071428571428571)</f>
        <v>0.6071428571</v>
      </c>
      <c r="I863" s="86">
        <f>IFERROR(__xludf.DUMMYFUNCTION("""COMPUTED_VALUE"""),0.29577464788732394)</f>
        <v>0.2957746479</v>
      </c>
      <c r="J863" s="82">
        <f>IFERROR(__xludf.DUMMYFUNCTION("""COMPUTED_VALUE"""),357.89285714285717)</f>
        <v>357.8928571</v>
      </c>
      <c r="K863" s="82">
        <f>IFERROR(__xludf.DUMMYFUNCTION("""COMPUTED_VALUE"""),0.75)</f>
        <v>0.75</v>
      </c>
      <c r="L863" s="82">
        <f>IFERROR(__xludf.DUMMYFUNCTION("""COMPUTED_VALUE"""),0.42857142857142855)</f>
        <v>0.4285714286</v>
      </c>
      <c r="M863" s="82">
        <f>IFERROR(__xludf.DUMMYFUNCTION("""COMPUTED_VALUE"""),1.5714285714285714)</f>
        <v>1.571428571</v>
      </c>
      <c r="N863" s="82">
        <f>IFERROR(__xludf.DUMMYFUNCTION("""COMPUTED_VALUE"""),2.5357142857142856)</f>
        <v>2.535714286</v>
      </c>
      <c r="O863" s="82">
        <f>IFERROR(__xludf.DUMMYFUNCTION("""COMPUTED_VALUE"""),355.7857142857143)</f>
        <v>355.7857143</v>
      </c>
      <c r="P863" s="82">
        <f>IFERROR(__xludf.DUMMYFUNCTION("""COMPUTED_VALUE"""),0.6785714285714286)</f>
        <v>0.6785714286</v>
      </c>
      <c r="Q863" s="82">
        <f>IFERROR(__xludf.DUMMYFUNCTION("""COMPUTED_VALUE"""),0.4880952380952381)</f>
        <v>0.4880952381</v>
      </c>
      <c r="R863" s="82">
        <f>IFERROR(__xludf.DUMMYFUNCTION("""COMPUTED_VALUE"""),1.5952380952380951)</f>
        <v>1.595238095</v>
      </c>
      <c r="S863" s="82">
        <f>IFERROR(__xludf.DUMMYFUNCTION("""COMPUTED_VALUE"""),2.5595238095238098)</f>
        <v>2.55952381</v>
      </c>
      <c r="T863" s="82">
        <f>IFERROR(__xludf.DUMMYFUNCTION("""COMPUTED_VALUE"""),366.47312564326995)</f>
        <v>366.4731256</v>
      </c>
      <c r="U863" s="82">
        <f>IFERROR(__xludf.DUMMYFUNCTION("""COMPUTED_VALUE"""),0.7859264170979747)</f>
        <v>0.7859264171</v>
      </c>
      <c r="V863" s="82">
        <f>IFERROR(__xludf.DUMMYFUNCTION("""COMPUTED_VALUE"""),0.574697492520898)</f>
        <v>0.5746974925</v>
      </c>
      <c r="W863" s="82">
        <f>IFERROR(__xludf.DUMMYFUNCTION("""COMPUTED_VALUE"""),1.5008337643316563)</f>
        <v>1.500833764</v>
      </c>
      <c r="X863" s="82">
        <f>IFERROR(__xludf.DUMMYFUNCTION("""COMPUTED_VALUE"""),2.6049624464339396)</f>
        <v>2.604962446</v>
      </c>
      <c r="Y863" s="82">
        <f>IFERROR(__xludf.DUMMYFUNCTION("""COMPUTED_VALUE"""),356.3568022975548)</f>
        <v>356.3568023</v>
      </c>
      <c r="Z863" s="82">
        <f>IFERROR(__xludf.DUMMYFUNCTION("""COMPUTED_VALUE"""),0.7457883192204625)</f>
        <v>0.7457883192</v>
      </c>
      <c r="AA863" s="82">
        <f>IFERROR(__xludf.DUMMYFUNCTION("""COMPUTED_VALUE"""),0.5495146523667348)</f>
        <v>0.5495146524</v>
      </c>
      <c r="AB863" s="82">
        <f>IFERROR(__xludf.DUMMYFUNCTION("""COMPUTED_VALUE"""),1.3772688706258893)</f>
        <v>1.377268871</v>
      </c>
      <c r="AC863" s="82">
        <f>IFERROR(__xludf.DUMMYFUNCTION("""COMPUTED_VALUE"""),2.6899969050674137)</f>
        <v>2.689996905</v>
      </c>
      <c r="AD863" s="82">
        <f>IFERROR(__xludf.DUMMYFUNCTION("""COMPUTED_VALUE"""),1.0043104406465624)</f>
        <v>1.004310441</v>
      </c>
      <c r="AE863" s="82">
        <f>IFERROR(__xludf.DUMMYFUNCTION("""COMPUTED_VALUE"""),1.0056472871336195)</f>
        <v>1.005647287</v>
      </c>
      <c r="AF863" s="82">
        <f>IFERROR(__xludf.DUMMYFUNCTION("""COMPUTED_VALUE"""),0.779909010115728)</f>
        <v>0.7799090101</v>
      </c>
      <c r="AG863" s="82">
        <f>IFERROR(__xludf.DUMMYFUNCTION("""COMPUTED_VALUE"""),1.1409744349441715)</f>
        <v>1.140974435</v>
      </c>
      <c r="AH863" s="82">
        <f>IFERROR(__xludf.DUMMYFUNCTION("""COMPUTED_VALUE"""),0.9426458004236025)</f>
        <v>0.9426458004</v>
      </c>
      <c r="AI863" s="82">
        <f>IFERROR(__xludf.DUMMYFUNCTION("""COMPUTED_VALUE"""),0.9708371211700829)</f>
        <v>0.9708371212</v>
      </c>
      <c r="AJ863" s="82">
        <f>IFERROR(__xludf.DUMMYFUNCTION("""COMPUTED_VALUE"""),0.8634032573647883)</f>
        <v>0.8634032574</v>
      </c>
      <c r="AK863" s="82">
        <f>IFERROR(__xludf.DUMMYFUNCTION("""COMPUTED_VALUE"""),0.8493081046068585)</f>
        <v>0.8493081046</v>
      </c>
      <c r="AL863" s="82">
        <f>IFERROR(__xludf.DUMMYFUNCTION("""COMPUTED_VALUE"""),1.0629012573877417)</f>
        <v>1.062901257</v>
      </c>
      <c r="AM863" s="82">
        <f>IFERROR(__xludf.DUMMYFUNCTION("""COMPUTED_VALUE"""),0.9825568936810075)</f>
        <v>0.9825568937</v>
      </c>
      <c r="AN863" s="82">
        <f>IFERROR(__xludf.DUMMYFUNCTION("""COMPUTED_VALUE"""),1.0146978030299405)</f>
        <v>1.014697803</v>
      </c>
      <c r="AO863" s="82">
        <f>IFERROR(__xludf.DUMMYFUNCTION("""COMPUTED_VALUE"""),1.0516180443859584)</f>
        <v>1.051618044</v>
      </c>
      <c r="AP863" s="82">
        <f>IFERROR(__xludf.DUMMYFUNCTION("""COMPUTED_VALUE"""),0.7452425437576223)</f>
        <v>0.7452425438</v>
      </c>
      <c r="AQ863" s="82">
        <f>IFERROR(__xludf.DUMMYFUNCTION("""COMPUTED_VALUE"""),1.1015834750086144)</f>
        <v>1.101583475</v>
      </c>
      <c r="AR863" s="82">
        <f>IFERROR(__xludf.DUMMYFUNCTION("""COMPUTED_VALUE"""),1.0065911641749348)</f>
        <v>1.006591164</v>
      </c>
      <c r="AS863" s="82">
        <f>IFERROR(__xludf.DUMMYFUNCTION("""COMPUTED_VALUE"""),63.0)</f>
        <v>63</v>
      </c>
      <c r="AT863" s="82">
        <f>IFERROR(__xludf.DUMMYFUNCTION("""COMPUTED_VALUE"""),0.5379191232690701)</f>
        <v>0.5379191233</v>
      </c>
      <c r="AU863" s="82">
        <f>IFERROR(__xludf.DUMMYFUNCTION("""COMPUTED_VALUE"""),2.4245416265098454)</f>
        <v>2.424541627</v>
      </c>
      <c r="AV863" s="82">
        <f>IFERROR(__xludf.DUMMYFUNCTION("""COMPUTED_VALUE"""),52.805506265601245)</f>
        <v>52.80550627</v>
      </c>
      <c r="AW863" s="82">
        <f t="shared" si="1"/>
        <v>2.196236419</v>
      </c>
      <c r="AX863" s="83">
        <f t="array" ref="AX863">IFERROR(DGET('SBV Import'!A:G,"SBV",{"RSC ID","Tier";B863,A863}))</f>
        <v>41.29128811</v>
      </c>
      <c r="AY863" s="82">
        <f t="shared" si="2"/>
        <v>-2.748844311</v>
      </c>
      <c r="AZ863" s="82">
        <v>4.94508073030359</v>
      </c>
      <c r="BA863" s="84">
        <v>800.0</v>
      </c>
      <c r="BB863" s="84" t="b">
        <f>IFERROR(__xludf.DUMMYFUNCTION("iferror(if(A863="""",,E863&gt;=FILTER(Constants!$F$2:$F$10,Constants!$A$2:$A$10=A863)))"),TRUE)</f>
        <v>1</v>
      </c>
    </row>
    <row r="864">
      <c r="A864" s="80" t="str">
        <f>IFERROR(__xludf.DUMMYFUNCTION("""COMPUTED_VALUE"""),"Elite")</f>
        <v>Elite</v>
      </c>
      <c r="B864" s="73" t="str">
        <f>IFERROR(__xludf.DUMMYFUNCTION("""COMPUTED_VALUE"""),"RSC007263")</f>
        <v>RSC007263</v>
      </c>
      <c r="C864" s="73" t="str">
        <f>IFERROR(__xludf.DUMMYFUNCTION("""COMPUTED_VALUE"""),"HardPointy")</f>
        <v>HardPointy</v>
      </c>
      <c r="D864" s="73"/>
      <c r="E864" s="82">
        <f>IFERROR(__xludf.DUMMYFUNCTION("""COMPUTED_VALUE"""),15.0)</f>
        <v>15</v>
      </c>
      <c r="F864" s="82">
        <f>IFERROR(__xludf.DUMMYFUNCTION("""COMPUTED_VALUE"""),5.0)</f>
        <v>5</v>
      </c>
      <c r="G864" s="82">
        <f>IFERROR(__xludf.DUMMYFUNCTION("""COMPUTED_VALUE"""),10.0)</f>
        <v>10</v>
      </c>
      <c r="H864" s="86">
        <f>IFERROR(__xludf.DUMMYFUNCTION("""COMPUTED_VALUE"""),0.3333333333333333)</f>
        <v>0.3333333333</v>
      </c>
      <c r="I864" s="86">
        <f>IFERROR(__xludf.DUMMYFUNCTION("""COMPUTED_VALUE"""),0.18181818181818182)</f>
        <v>0.1818181818</v>
      </c>
      <c r="J864" s="82">
        <f>IFERROR(__xludf.DUMMYFUNCTION("""COMPUTED_VALUE"""),404.53333333333336)</f>
        <v>404.5333333</v>
      </c>
      <c r="K864" s="82">
        <f>IFERROR(__xludf.DUMMYFUNCTION("""COMPUTED_VALUE"""),0.5333333333333333)</f>
        <v>0.5333333333</v>
      </c>
      <c r="L864" s="82">
        <f>IFERROR(__xludf.DUMMYFUNCTION("""COMPUTED_VALUE"""),0.8)</f>
        <v>0.8</v>
      </c>
      <c r="M864" s="82">
        <f>IFERROR(__xludf.DUMMYFUNCTION("""COMPUTED_VALUE"""),2.0)</f>
        <v>2</v>
      </c>
      <c r="N864" s="82">
        <f>IFERROR(__xludf.DUMMYFUNCTION("""COMPUTED_VALUE"""),2.933333333333333)</f>
        <v>2.933333333</v>
      </c>
      <c r="O864" s="82">
        <f>IFERROR(__xludf.DUMMYFUNCTION("""COMPUTED_VALUE"""),395.64444444444445)</f>
        <v>395.6444444</v>
      </c>
      <c r="P864" s="82">
        <f>IFERROR(__xludf.DUMMYFUNCTION("""COMPUTED_VALUE"""),0.977777777777778)</f>
        <v>0.9777777778</v>
      </c>
      <c r="Q864" s="82">
        <f>IFERROR(__xludf.DUMMYFUNCTION("""COMPUTED_VALUE"""),0.7555555555555554)</f>
        <v>0.7555555556</v>
      </c>
      <c r="R864" s="82">
        <f>IFERROR(__xludf.DUMMYFUNCTION("""COMPUTED_VALUE"""),1.333333333333333)</f>
        <v>1.333333333</v>
      </c>
      <c r="S864" s="82">
        <f>IFERROR(__xludf.DUMMYFUNCTION("""COMPUTED_VALUE"""),3.2888888888888888)</f>
        <v>3.288888889</v>
      </c>
      <c r="T864" s="82">
        <f>IFERROR(__xludf.DUMMYFUNCTION("""COMPUTED_VALUE"""),366.16451264247763)</f>
        <v>366.1645126</v>
      </c>
      <c r="U864" s="82">
        <f>IFERROR(__xludf.DUMMYFUNCTION("""COMPUTED_VALUE"""),0.7652607167284589)</f>
        <v>0.7652607167</v>
      </c>
      <c r="V864" s="82">
        <f>IFERROR(__xludf.DUMMYFUNCTION("""COMPUTED_VALUE"""),0.5680361892055441)</f>
        <v>0.5680361892</v>
      </c>
      <c r="W864" s="82">
        <f>IFERROR(__xludf.DUMMYFUNCTION("""COMPUTED_VALUE"""),1.4515400279486301)</f>
        <v>1.451540028</v>
      </c>
      <c r="X864" s="82">
        <f>IFERROR(__xludf.DUMMYFUNCTION("""COMPUTED_VALUE"""),2.8330555115931464)</f>
        <v>2.833055512</v>
      </c>
      <c r="Y864" s="82">
        <f>IFERROR(__xludf.DUMMYFUNCTION("""COMPUTED_VALUE"""),358.01045067692564)</f>
        <v>358.0104507</v>
      </c>
      <c r="Z864" s="82">
        <f>IFERROR(__xludf.DUMMYFUNCTION("""COMPUTED_VALUE"""),0.7046181461916227)</f>
        <v>0.7046181462</v>
      </c>
      <c r="AA864" s="82">
        <f>IFERROR(__xludf.DUMMYFUNCTION("""COMPUTED_VALUE"""),0.5313738595459027)</f>
        <v>0.5313738595</v>
      </c>
      <c r="AB864" s="82">
        <f>IFERROR(__xludf.DUMMYFUNCTION("""COMPUTED_VALUE"""),1.5067710347432568)</f>
        <v>1.506771035</v>
      </c>
      <c r="AC864" s="82">
        <f>IFERROR(__xludf.DUMMYFUNCTION("""COMPUTED_VALUE"""),2.5961526431822133)</f>
        <v>2.596152643</v>
      </c>
      <c r="AD864" s="82">
        <f>IFERROR(__xludf.DUMMYFUNCTION("""COMPUTED_VALUE"""),1.1299483927590446)</f>
        <v>1.129948393</v>
      </c>
      <c r="AE864" s="82">
        <f>IFERROR(__xludf.DUMMYFUNCTION("""COMPUTED_VALUE"""),0.7569111528221869)</f>
        <v>0.7569111528</v>
      </c>
      <c r="AF864" s="82">
        <f>IFERROR(__xludf.DUMMYFUNCTION("""COMPUTED_VALUE"""),1.5055313422524357)</f>
        <v>1.505531342</v>
      </c>
      <c r="AG864" s="82">
        <f>IFERROR(__xludf.DUMMYFUNCTION("""COMPUTED_VALUE"""),1.3273416822356066)</f>
        <v>1.327341682</v>
      </c>
      <c r="AH864" s="82">
        <f>IFERROR(__xludf.DUMMYFUNCTION("""COMPUTED_VALUE"""),1.1298770667574551)</f>
        <v>1.129877067</v>
      </c>
      <c r="AI864" s="82">
        <f>IFERROR(__xludf.DUMMYFUNCTION("""COMPUTED_VALUE"""),1.0805100734345356)</f>
        <v>1.080510073</v>
      </c>
      <c r="AJ864" s="82">
        <f>IFERROR(__xludf.DUMMYFUNCTION("""COMPUTED_VALUE"""),1.2777054360739224)</f>
        <v>1.277705436</v>
      </c>
      <c r="AK864" s="82">
        <f>IFERROR(__xludf.DUMMYFUNCTION("""COMPUTED_VALUE"""),1.3301186965081857)</f>
        <v>1.330118697</v>
      </c>
      <c r="AL864" s="82">
        <f>IFERROR(__xludf.DUMMYFUNCTION("""COMPUTED_VALUE"""),0.918564633190067)</f>
        <v>0.9185646332</v>
      </c>
      <c r="AM864" s="82">
        <f>IFERROR(__xludf.DUMMYFUNCTION("""COMPUTED_VALUE"""),1.1608981452818086)</f>
        <v>1.160898145</v>
      </c>
      <c r="AN864" s="82">
        <f>IFERROR(__xludf.DUMMYFUNCTION("""COMPUTED_VALUE"""),1.1469328777966206)</f>
        <v>1.146932878</v>
      </c>
      <c r="AO864" s="82">
        <f>IFERROR(__xludf.DUMMYFUNCTION("""COMPUTED_VALUE"""),0.7478172760077927)</f>
        <v>0.747817276</v>
      </c>
      <c r="AP864" s="82">
        <f>IFERROR(__xludf.DUMMYFUNCTION("""COMPUTED_VALUE"""),1.3911194150142285)</f>
        <v>1.391119415</v>
      </c>
      <c r="AQ864" s="82">
        <f>IFERROR(__xludf.DUMMYFUNCTION("""COMPUTED_VALUE"""),1.4020153318291455)</f>
        <v>1.402015332</v>
      </c>
      <c r="AR864" s="82">
        <f>IFERROR(__xludf.DUMMYFUNCTION("""COMPUTED_VALUE"""),1.1644322199657462)</f>
        <v>1.16443222</v>
      </c>
      <c r="AS864" s="82">
        <f>IFERROR(__xludf.DUMMYFUNCTION("""COMPUTED_VALUE"""),33.0)</f>
        <v>33</v>
      </c>
      <c r="AT864" s="82">
        <f>IFERROR(__xludf.DUMMYFUNCTION("""COMPUTED_VALUE"""),0.38697586972956277)</f>
        <v>0.3869758697</v>
      </c>
      <c r="AU864" s="82">
        <f>IFERROR(__xludf.DUMMYFUNCTION("""COMPUTED_VALUE"""),2.41862397647021)</f>
        <v>2.418623976</v>
      </c>
      <c r="AV864" s="82">
        <f>IFERROR(__xludf.DUMMYFUNCTION("""COMPUTED_VALUE"""),52.63922350023675)</f>
        <v>52.6392235</v>
      </c>
      <c r="AW864" s="82">
        <f t="shared" si="1"/>
        <v>2.183586404</v>
      </c>
      <c r="AX864" s="83">
        <f t="array" ref="AX864">IFERROR(DGET('SBV Import'!A:G,"SBV",{"RSC ID","Tier";B864,A864}))</f>
        <v>54.99199766</v>
      </c>
      <c r="AY864" s="82">
        <f t="shared" si="2"/>
        <v>2.376056207</v>
      </c>
      <c r="AZ864" s="82">
        <v>0.1924698028623535</v>
      </c>
      <c r="BA864" s="84">
        <v>800.0</v>
      </c>
      <c r="BB864" s="84" t="b">
        <f>IFERROR(__xludf.DUMMYFUNCTION("iferror(if(A864="""",,E864&gt;=FILTER(Constants!$F$2:$F$10,Constants!$A$2:$A$10=A864)))"),TRUE)</f>
        <v>1</v>
      </c>
    </row>
    <row r="865">
      <c r="A865" s="80" t="str">
        <f>IFERROR(__xludf.DUMMYFUNCTION("""COMPUTED_VALUE"""),"Elite")</f>
        <v>Elite</v>
      </c>
      <c r="B865" s="73" t="str">
        <f>IFERROR(__xludf.DUMMYFUNCTION("""COMPUTED_VALUE"""),"RSC007964")</f>
        <v>RSC007964</v>
      </c>
      <c r="C865" s="73" t="str">
        <f>IFERROR(__xludf.DUMMYFUNCTION("""COMPUTED_VALUE"""),"Buxter")</f>
        <v>Buxter</v>
      </c>
      <c r="D865" s="73" t="str">
        <f>IFERROR(__xludf.DUMMYFUNCTION("""COMPUTED_VALUE"""),"Afterburners")</f>
        <v>Afterburners</v>
      </c>
      <c r="E865" s="82">
        <f>IFERROR(__xludf.DUMMYFUNCTION("""COMPUTED_VALUE"""),25.0)</f>
        <v>25</v>
      </c>
      <c r="F865" s="82">
        <f>IFERROR(__xludf.DUMMYFUNCTION("""COMPUTED_VALUE"""),14.0)</f>
        <v>14</v>
      </c>
      <c r="G865" s="82">
        <f>IFERROR(__xludf.DUMMYFUNCTION("""COMPUTED_VALUE"""),11.0)</f>
        <v>11</v>
      </c>
      <c r="H865" s="86">
        <f>IFERROR(__xludf.DUMMYFUNCTION("""COMPUTED_VALUE"""),0.56)</f>
        <v>0.56</v>
      </c>
      <c r="I865" s="86">
        <f>IFERROR(__xludf.DUMMYFUNCTION("""COMPUTED_VALUE"""),0.2465753424657534)</f>
        <v>0.2465753425</v>
      </c>
      <c r="J865" s="82">
        <f>IFERROR(__xludf.DUMMYFUNCTION("""COMPUTED_VALUE"""),292.96)</f>
        <v>292.96</v>
      </c>
      <c r="K865" s="82">
        <f>IFERROR(__xludf.DUMMYFUNCTION("""COMPUTED_VALUE"""),0.72)</f>
        <v>0.72</v>
      </c>
      <c r="L865" s="82">
        <f>IFERROR(__xludf.DUMMYFUNCTION("""COMPUTED_VALUE"""),0.6)</f>
        <v>0.6</v>
      </c>
      <c r="M865" s="82">
        <f>IFERROR(__xludf.DUMMYFUNCTION("""COMPUTED_VALUE"""),0.88)</f>
        <v>0.88</v>
      </c>
      <c r="N865" s="82">
        <f>IFERROR(__xludf.DUMMYFUNCTION("""COMPUTED_VALUE"""),2.92)</f>
        <v>2.92</v>
      </c>
      <c r="O865" s="82">
        <f>IFERROR(__xludf.DUMMYFUNCTION("""COMPUTED_VALUE"""),358.3733333333333)</f>
        <v>358.3733333</v>
      </c>
      <c r="P865" s="82">
        <f>IFERROR(__xludf.DUMMYFUNCTION("""COMPUTED_VALUE"""),0.7066666666666666)</f>
        <v>0.7066666667</v>
      </c>
      <c r="Q865" s="82">
        <f>IFERROR(__xludf.DUMMYFUNCTION("""COMPUTED_VALUE"""),0.5333333333333332)</f>
        <v>0.5333333333</v>
      </c>
      <c r="R865" s="82">
        <f>IFERROR(__xludf.DUMMYFUNCTION("""COMPUTED_VALUE"""),1.5466666666666669)</f>
        <v>1.546666667</v>
      </c>
      <c r="S865" s="82">
        <f>IFERROR(__xludf.DUMMYFUNCTION("""COMPUTED_VALUE"""),2.5333333333333328)</f>
        <v>2.533333333</v>
      </c>
      <c r="T865" s="82">
        <f>IFERROR(__xludf.DUMMYFUNCTION("""COMPUTED_VALUE"""),356.5527339655927)</f>
        <v>356.552734</v>
      </c>
      <c r="U865" s="82">
        <f>IFERROR(__xludf.DUMMYFUNCTION("""COMPUTED_VALUE"""),0.754416831770929)</f>
        <v>0.7544168318</v>
      </c>
      <c r="V865" s="82">
        <f>IFERROR(__xludf.DUMMYFUNCTION("""COMPUTED_VALUE"""),0.5709695955052723)</f>
        <v>0.5709695955</v>
      </c>
      <c r="W865" s="82">
        <f>IFERROR(__xludf.DUMMYFUNCTION("""COMPUTED_VALUE"""),1.4178722677643298)</f>
        <v>1.417872268</v>
      </c>
      <c r="X865" s="82">
        <f>IFERROR(__xludf.DUMMYFUNCTION("""COMPUTED_VALUE"""),2.6069536742555517)</f>
        <v>2.606953674</v>
      </c>
      <c r="Y865" s="82">
        <f>IFERROR(__xludf.DUMMYFUNCTION("""COMPUTED_VALUE"""),367.1348136201019)</f>
        <v>367.1348136</v>
      </c>
      <c r="Z865" s="82">
        <f>IFERROR(__xludf.DUMMYFUNCTION("""COMPUTED_VALUE"""),0.8182279665027009)</f>
        <v>0.8182279665</v>
      </c>
      <c r="AA865" s="82">
        <f>IFERROR(__xludf.DUMMYFUNCTION("""COMPUTED_VALUE"""),0.6242898387875888)</f>
        <v>0.6242898388</v>
      </c>
      <c r="AB865" s="82">
        <f>IFERROR(__xludf.DUMMYFUNCTION("""COMPUTED_VALUE"""),1.4272568067919136)</f>
        <v>1.427256807</v>
      </c>
      <c r="AC865" s="82">
        <f>IFERROR(__xludf.DUMMYFUNCTION("""COMPUTED_VALUE"""),2.688320901211553)</f>
        <v>2.688320901</v>
      </c>
      <c r="AD865" s="82">
        <f>IFERROR(__xludf.DUMMYFUNCTION("""COMPUTED_VALUE"""),0.7979630074067141)</f>
        <v>0.7979630074</v>
      </c>
      <c r="AE865" s="82">
        <f>IFERROR(__xludf.DUMMYFUNCTION("""COMPUTED_VALUE"""),0.8799503677165297)</f>
        <v>0.8799503677</v>
      </c>
      <c r="AF865" s="82">
        <f>IFERROR(__xludf.DUMMYFUNCTION("""COMPUTED_VALUE"""),0.9610920484710095)</f>
        <v>0.9610920485</v>
      </c>
      <c r="AG865" s="82">
        <f>IFERROR(__xludf.DUMMYFUNCTION("""COMPUTED_VALUE"""),0.6165673870408798)</f>
        <v>0.616567387</v>
      </c>
      <c r="AH865" s="82">
        <f>IFERROR(__xludf.DUMMYFUNCTION("""COMPUTED_VALUE"""),1.086179852518364)</f>
        <v>1.086179853</v>
      </c>
      <c r="AI865" s="82">
        <f>IFERROR(__xludf.DUMMYFUNCTION("""COMPUTED_VALUE"""),1.0051061152932184)</f>
        <v>1.005106115</v>
      </c>
      <c r="AJ865" s="82">
        <f>IFERROR(__xludf.DUMMYFUNCTION("""COMPUTED_VALUE"""),0.9367058592897868)</f>
        <v>0.9367058593</v>
      </c>
      <c r="AK865" s="82">
        <f>IFERROR(__xludf.DUMMYFUNCTION("""COMPUTED_VALUE"""),0.9340835966254327)</f>
        <v>0.9340835966</v>
      </c>
      <c r="AL865" s="82">
        <f>IFERROR(__xludf.DUMMYFUNCTION("""COMPUTED_VALUE"""),1.09083639043552)</f>
        <v>1.09083639</v>
      </c>
      <c r="AM865" s="82">
        <f>IFERROR(__xludf.DUMMYFUNCTION("""COMPUTED_VALUE"""),0.9717600118294231)</f>
        <v>0.9717600118</v>
      </c>
      <c r="AN865" s="82">
        <f>IFERROR(__xludf.DUMMYFUNCTION("""COMPUTED_VALUE"""),0.8306001710925295)</f>
        <v>0.8306001711</v>
      </c>
      <c r="AO865" s="82">
        <f>IFERROR(__xludf.DUMMYFUNCTION("""COMPUTED_VALUE"""),1.00955332261052)</f>
        <v>1.009553323</v>
      </c>
      <c r="AP865" s="82">
        <f>IFERROR(__xludf.DUMMYFUNCTION("""COMPUTED_VALUE"""),1.0433395612606713)</f>
        <v>1.043339561</v>
      </c>
      <c r="AQ865" s="82">
        <f>IFERROR(__xludf.DUMMYFUNCTION("""COMPUTED_VALUE"""),0.6168867460048241)</f>
        <v>0.616886746</v>
      </c>
      <c r="AR865" s="82">
        <f>IFERROR(__xludf.DUMMYFUNCTION("""COMPUTED_VALUE"""),1.1591393462386292)</f>
        <v>1.159139346</v>
      </c>
      <c r="AS865" s="82">
        <f>IFERROR(__xludf.DUMMYFUNCTION("""COMPUTED_VALUE"""),63.0)</f>
        <v>63</v>
      </c>
      <c r="AT865" s="82">
        <f>IFERROR(__xludf.DUMMYFUNCTION("""COMPUTED_VALUE"""),0.5667242703577406)</f>
        <v>0.5667242704</v>
      </c>
      <c r="AU865" s="82">
        <f>IFERROR(__xludf.DUMMYFUNCTION("""COMPUTED_VALUE"""),2.412305058192627)</f>
        <v>2.412305058</v>
      </c>
      <c r="AV865" s="82">
        <f>IFERROR(__xludf.DUMMYFUNCTION("""COMPUTED_VALUE"""),52.46166531442462)</f>
        <v>52.46166531</v>
      </c>
      <c r="AW865" s="82">
        <f t="shared" si="1"/>
        <v>2.170228886</v>
      </c>
      <c r="AX865" s="83">
        <f t="array" ref="AX865">IFERROR(DGET('SBV Import'!A:G,"SBV",{"RSC ID","Tier";B865,A865}))</f>
        <v>32.68160787</v>
      </c>
      <c r="AY865" s="82">
        <f t="shared" si="2"/>
        <v>-4.094371663</v>
      </c>
      <c r="AZ865" s="82">
        <v>6.264600548718939</v>
      </c>
      <c r="BA865" s="84">
        <v>800.0</v>
      </c>
      <c r="BB865" s="84" t="b">
        <f>IFERROR(__xludf.DUMMYFUNCTION("iferror(if(A865="""",,E865&gt;=FILTER(Constants!$F$2:$F$10,Constants!$A$2:$A$10=A865)))"),TRUE)</f>
        <v>1</v>
      </c>
    </row>
    <row r="866">
      <c r="A866" s="80" t="str">
        <f>IFERROR(__xludf.DUMMYFUNCTION("""COMPUTED_VALUE"""),"Elite")</f>
        <v>Elite</v>
      </c>
      <c r="B866" s="73" t="str">
        <f>IFERROR(__xludf.DUMMYFUNCTION("""COMPUTED_VALUE"""),"RSC006193")</f>
        <v>RSC006193</v>
      </c>
      <c r="C866" s="73" t="str">
        <f>IFERROR(__xludf.DUMMYFUNCTION("""COMPUTED_VALUE"""),"Saucy Rexy")</f>
        <v>Saucy Rexy</v>
      </c>
      <c r="D866" s="73" t="str">
        <f>IFERROR(__xludf.DUMMYFUNCTION("""COMPUTED_VALUE"""),"Keno")</f>
        <v>Keno</v>
      </c>
      <c r="E866" s="82">
        <f>IFERROR(__xludf.DUMMYFUNCTION("""COMPUTED_VALUE"""),30.0)</f>
        <v>30</v>
      </c>
      <c r="F866" s="82">
        <f>IFERROR(__xludf.DUMMYFUNCTION("""COMPUTED_VALUE"""),13.0)</f>
        <v>13</v>
      </c>
      <c r="G866" s="82">
        <f>IFERROR(__xludf.DUMMYFUNCTION("""COMPUTED_VALUE"""),17.0)</f>
        <v>17</v>
      </c>
      <c r="H866" s="86">
        <f>IFERROR(__xludf.DUMMYFUNCTION("""COMPUTED_VALUE"""),0.43333333333333335)</f>
        <v>0.4333333333</v>
      </c>
      <c r="I866" s="86">
        <f>IFERROR(__xludf.DUMMYFUNCTION("""COMPUTED_VALUE"""),0.4642857142857143)</f>
        <v>0.4642857143</v>
      </c>
      <c r="J866" s="82">
        <f>IFERROR(__xludf.DUMMYFUNCTION("""COMPUTED_VALUE"""),354.03333333333336)</f>
        <v>354.0333333</v>
      </c>
      <c r="K866" s="82">
        <f>IFERROR(__xludf.DUMMYFUNCTION("""COMPUTED_VALUE"""),0.8666666666666667)</f>
        <v>0.8666666667</v>
      </c>
      <c r="L866" s="82">
        <f>IFERROR(__xludf.DUMMYFUNCTION("""COMPUTED_VALUE"""),0.4)</f>
        <v>0.4</v>
      </c>
      <c r="M866" s="82">
        <f>IFERROR(__xludf.DUMMYFUNCTION("""COMPUTED_VALUE"""),1.6333333333333333)</f>
        <v>1.633333333</v>
      </c>
      <c r="N866" s="82">
        <f>IFERROR(__xludf.DUMMYFUNCTION("""COMPUTED_VALUE"""),1.8666666666666667)</f>
        <v>1.866666667</v>
      </c>
      <c r="O866" s="82">
        <f>IFERROR(__xludf.DUMMYFUNCTION("""COMPUTED_VALUE"""),341.23333333333335)</f>
        <v>341.2333333</v>
      </c>
      <c r="P866" s="82">
        <f>IFERROR(__xludf.DUMMYFUNCTION("""COMPUTED_VALUE"""),0.6999999999999998)</f>
        <v>0.7</v>
      </c>
      <c r="Q866" s="82">
        <f>IFERROR(__xludf.DUMMYFUNCTION("""COMPUTED_VALUE"""),0.5111111111111112)</f>
        <v>0.5111111111</v>
      </c>
      <c r="R866" s="82">
        <f>IFERROR(__xludf.DUMMYFUNCTION("""COMPUTED_VALUE"""),1.1777777777777783)</f>
        <v>1.177777778</v>
      </c>
      <c r="S866" s="82">
        <f>IFERROR(__xludf.DUMMYFUNCTION("""COMPUTED_VALUE"""),2.9333333333333327)</f>
        <v>2.933333333</v>
      </c>
      <c r="T866" s="82">
        <f>IFERROR(__xludf.DUMMYFUNCTION("""COMPUTED_VALUE"""),365.8182191324647)</f>
        <v>365.8182191</v>
      </c>
      <c r="U866" s="82">
        <f>IFERROR(__xludf.DUMMYFUNCTION("""COMPUTED_VALUE"""),0.8221058014996814)</f>
        <v>0.8221058015</v>
      </c>
      <c r="V866" s="82">
        <f>IFERROR(__xludf.DUMMYFUNCTION("""COMPUTED_VALUE"""),0.6118727671912311)</f>
        <v>0.6118727672</v>
      </c>
      <c r="W866" s="82">
        <f>IFERROR(__xludf.DUMMYFUNCTION("""COMPUTED_VALUE"""),1.3457461580143373)</f>
        <v>1.345746158</v>
      </c>
      <c r="X866" s="82">
        <f>IFERROR(__xludf.DUMMYFUNCTION("""COMPUTED_VALUE"""),2.8754739254162645)</f>
        <v>2.875473925</v>
      </c>
      <c r="Y866" s="82">
        <f>IFERROR(__xludf.DUMMYFUNCTION("""COMPUTED_VALUE"""),349.9520455819426)</f>
        <v>349.9520456</v>
      </c>
      <c r="Z866" s="82">
        <f>IFERROR(__xludf.DUMMYFUNCTION("""COMPUTED_VALUE"""),0.6968658005009033)</f>
        <v>0.6968658005</v>
      </c>
      <c r="AA866" s="82">
        <f>IFERROR(__xludf.DUMMYFUNCTION("""COMPUTED_VALUE"""),0.5161758818191983)</f>
        <v>0.5161758818</v>
      </c>
      <c r="AB866" s="82">
        <f>IFERROR(__xludf.DUMMYFUNCTION("""COMPUTED_VALUE"""),1.5078299749171615)</f>
        <v>1.507829975</v>
      </c>
      <c r="AC866" s="82">
        <f>IFERROR(__xludf.DUMMYFUNCTION("""COMPUTED_VALUE"""),2.443698708086399)</f>
        <v>2.443698708</v>
      </c>
      <c r="AD866" s="82">
        <f>IFERROR(__xludf.DUMMYFUNCTION("""COMPUTED_VALUE"""),1.011662420045592)</f>
        <v>1.01166242</v>
      </c>
      <c r="AE866" s="82">
        <f>IFERROR(__xludf.DUMMYFUNCTION("""COMPUTED_VALUE"""),1.2436636523756963)</f>
        <v>1.243663652</v>
      </c>
      <c r="AF866" s="82">
        <f>IFERROR(__xludf.DUMMYFUNCTION("""COMPUTED_VALUE"""),0.7749296588407992)</f>
        <v>0.7749296588</v>
      </c>
      <c r="AG866" s="82">
        <f>IFERROR(__xludf.DUMMYFUNCTION("""COMPUTED_VALUE"""),1.0832344233129247)</f>
        <v>1.083234423</v>
      </c>
      <c r="AH866" s="82">
        <f>IFERROR(__xludf.DUMMYFUNCTION("""COMPUTED_VALUE"""),0.7638694003027926)</f>
        <v>0.7638694003</v>
      </c>
      <c r="AI866" s="82">
        <f>IFERROR(__xludf.DUMMYFUNCTION("""COMPUTED_VALUE"""),0.9327948021357869)</f>
        <v>0.9327948021</v>
      </c>
      <c r="AJ866" s="82">
        <f>IFERROR(__xludf.DUMMYFUNCTION("""COMPUTED_VALUE"""),0.8514719136187378)</f>
        <v>0.8514719136</v>
      </c>
      <c r="AK866" s="82">
        <f>IFERROR(__xludf.DUMMYFUNCTION("""COMPUTED_VALUE"""),0.8353225352017858)</f>
        <v>0.8353225352</v>
      </c>
      <c r="AL866" s="82">
        <f>IFERROR(__xludf.DUMMYFUNCTION("""COMPUTED_VALUE"""),0.8751856884478139)</f>
        <v>0.8751856884</v>
      </c>
      <c r="AM866" s="82">
        <f>IFERROR(__xludf.DUMMYFUNCTION("""COMPUTED_VALUE"""),1.0201216945163891)</f>
        <v>1.020121695</v>
      </c>
      <c r="AN866" s="82">
        <f>IFERROR(__xludf.DUMMYFUNCTION("""COMPUTED_VALUE"""),1.0037552814006185)</f>
        <v>1.003755281</v>
      </c>
      <c r="AO866" s="82">
        <f>IFERROR(__xludf.DUMMYFUNCTION("""COMPUTED_VALUE"""),1.215203073512663)</f>
        <v>1.215203074</v>
      </c>
      <c r="AP866" s="82">
        <f>IFERROR(__xludf.DUMMYFUNCTION("""COMPUTED_VALUE"""),0.6955597075071143)</f>
        <v>0.6955597075</v>
      </c>
      <c r="AQ866" s="82">
        <f>IFERROR(__xludf.DUMMYFUNCTION("""COMPUTED_VALUE"""),1.144979187660469)</f>
        <v>1.144979188</v>
      </c>
      <c r="AR866" s="82">
        <f>IFERROR(__xludf.DUMMYFUNCTION("""COMPUTED_VALUE"""),0.741002321796384)</f>
        <v>0.7410023218</v>
      </c>
      <c r="AS866" s="82">
        <f>IFERROR(__xludf.DUMMYFUNCTION("""COMPUTED_VALUE"""),57.0)</f>
        <v>57</v>
      </c>
      <c r="AT866" s="82">
        <f>IFERROR(__xludf.DUMMYFUNCTION("""COMPUTED_VALUE"""),0.46282155599257707)</f>
        <v>0.462821556</v>
      </c>
      <c r="AU866" s="82">
        <f>IFERROR(__xludf.DUMMYFUNCTION("""COMPUTED_VALUE"""),2.3946168560924956)</f>
        <v>2.394616856</v>
      </c>
      <c r="AV866" s="82">
        <f>IFERROR(__xludf.DUMMYFUNCTION("""COMPUTED_VALUE"""),51.96463640263769)</f>
        <v>51.9646364</v>
      </c>
      <c r="AW866" s="82">
        <f t="shared" si="1"/>
        <v>2.133646596</v>
      </c>
      <c r="AX866" s="83">
        <f t="array" ref="AX866">IFERROR(DGET('SBV Import'!A:G,"SBV",{"RSC ID","Tier";B866,A866}))</f>
        <v>42.4514278</v>
      </c>
      <c r="AY866" s="82">
        <f t="shared" si="2"/>
        <v>-2.622278138</v>
      </c>
      <c r="AZ866" s="82">
        <v>4.755924733992868</v>
      </c>
      <c r="BA866" s="84">
        <v>800.0</v>
      </c>
      <c r="BB866" s="84" t="b">
        <f>IFERROR(__xludf.DUMMYFUNCTION("iferror(if(A866="""",,E866&gt;=FILTER(Constants!$F$2:$F$10,Constants!$A$2:$A$10=A866)))"),TRUE)</f>
        <v>1</v>
      </c>
    </row>
    <row r="867">
      <c r="A867" s="80" t="str">
        <f>IFERROR(__xludf.DUMMYFUNCTION("""COMPUTED_VALUE"""),"Elite")</f>
        <v>Elite</v>
      </c>
      <c r="B867" s="73" t="str">
        <f>IFERROR(__xludf.DUMMYFUNCTION("""COMPUTED_VALUE"""),"RSC005899")</f>
        <v>RSC005899</v>
      </c>
      <c r="C867" s="73" t="str">
        <f>IFERROR(__xludf.DUMMYFUNCTION("""COMPUTED_VALUE"""),"DJDancingDuckGif")</f>
        <v>DJDancingDuckGif</v>
      </c>
      <c r="D867" s="73" t="str">
        <f>IFERROR(__xludf.DUMMYFUNCTION("""COMPUTED_VALUE"""),"Black-Holes")</f>
        <v>Black-Holes</v>
      </c>
      <c r="E867" s="82">
        <f>IFERROR(__xludf.DUMMYFUNCTION("""COMPUTED_VALUE"""),24.0)</f>
        <v>24</v>
      </c>
      <c r="F867" s="82">
        <f>IFERROR(__xludf.DUMMYFUNCTION("""COMPUTED_VALUE"""),16.0)</f>
        <v>16</v>
      </c>
      <c r="G867" s="82">
        <f>IFERROR(__xludf.DUMMYFUNCTION("""COMPUTED_VALUE"""),8.0)</f>
        <v>8</v>
      </c>
      <c r="H867" s="86">
        <f>IFERROR(__xludf.DUMMYFUNCTION("""COMPUTED_VALUE"""),0.6666666666666666)</f>
        <v>0.6666666667</v>
      </c>
      <c r="I867" s="86">
        <f>IFERROR(__xludf.DUMMYFUNCTION("""COMPUTED_VALUE"""),0.29824561403508776)</f>
        <v>0.298245614</v>
      </c>
      <c r="J867" s="82">
        <f>IFERROR(__xludf.DUMMYFUNCTION("""COMPUTED_VALUE"""),370.8333333333333)</f>
        <v>370.8333333</v>
      </c>
      <c r="K867" s="82">
        <f>IFERROR(__xludf.DUMMYFUNCTION("""COMPUTED_VALUE"""),0.7083333333333334)</f>
        <v>0.7083333333</v>
      </c>
      <c r="L867" s="82">
        <f>IFERROR(__xludf.DUMMYFUNCTION("""COMPUTED_VALUE"""),0.6666666666666666)</f>
        <v>0.6666666667</v>
      </c>
      <c r="M867" s="82">
        <f>IFERROR(__xludf.DUMMYFUNCTION("""COMPUTED_VALUE"""),1.75)</f>
        <v>1.75</v>
      </c>
      <c r="N867" s="82">
        <f>IFERROR(__xludf.DUMMYFUNCTION("""COMPUTED_VALUE"""),2.375)</f>
        <v>2.375</v>
      </c>
      <c r="O867" s="82">
        <f>IFERROR(__xludf.DUMMYFUNCTION("""COMPUTED_VALUE"""),367.1805555555556)</f>
        <v>367.1805556</v>
      </c>
      <c r="P867" s="82">
        <f>IFERROR(__xludf.DUMMYFUNCTION("""COMPUTED_VALUE"""),0.7083333333333334)</f>
        <v>0.7083333333</v>
      </c>
      <c r="Q867" s="82">
        <f>IFERROR(__xludf.DUMMYFUNCTION("""COMPUTED_VALUE"""),0.4722222222222223)</f>
        <v>0.4722222222</v>
      </c>
      <c r="R867" s="82">
        <f>IFERROR(__xludf.DUMMYFUNCTION("""COMPUTED_VALUE"""),1.763888888888889)</f>
        <v>1.763888889</v>
      </c>
      <c r="S867" s="82">
        <f>IFERROR(__xludf.DUMMYFUNCTION("""COMPUTED_VALUE"""),2.4444444444444446)</f>
        <v>2.444444444</v>
      </c>
      <c r="T867" s="82">
        <f>IFERROR(__xludf.DUMMYFUNCTION("""COMPUTED_VALUE"""),348.10288054567405)</f>
        <v>348.1028805</v>
      </c>
      <c r="U867" s="82">
        <f>IFERROR(__xludf.DUMMYFUNCTION("""COMPUTED_VALUE"""),0.7205286920352477)</f>
        <v>0.720528692</v>
      </c>
      <c r="V867" s="82">
        <f>IFERROR(__xludf.DUMMYFUNCTION("""COMPUTED_VALUE"""),0.5305092380952844)</f>
        <v>0.5305092381</v>
      </c>
      <c r="W867" s="82">
        <f>IFERROR(__xludf.DUMMYFUNCTION("""COMPUTED_VALUE"""),1.4317891914413232)</f>
        <v>1.431789191</v>
      </c>
      <c r="X867" s="82">
        <f>IFERROR(__xludf.DUMMYFUNCTION("""COMPUTED_VALUE"""),2.544917584524658)</f>
        <v>2.544917585</v>
      </c>
      <c r="Y867" s="82">
        <f>IFERROR(__xludf.DUMMYFUNCTION("""COMPUTED_VALUE"""),369.97229518657474)</f>
        <v>369.9722952</v>
      </c>
      <c r="Z867" s="82">
        <f>IFERROR(__xludf.DUMMYFUNCTION("""COMPUTED_VALUE"""),0.8285087358346696)</f>
        <v>0.8285087358</v>
      </c>
      <c r="AA867" s="82">
        <f>IFERROR(__xludf.DUMMYFUNCTION("""COMPUTED_VALUE"""),0.6417347668576362)</f>
        <v>0.6417347669</v>
      </c>
      <c r="AB867" s="82">
        <f>IFERROR(__xludf.DUMMYFUNCTION("""COMPUTED_VALUE"""),1.3797349368195027)</f>
        <v>1.379734937</v>
      </c>
      <c r="AC867" s="82">
        <f>IFERROR(__xludf.DUMMYFUNCTION("""COMPUTED_VALUE"""),2.804090095600369)</f>
        <v>2.804090096</v>
      </c>
      <c r="AD867" s="82">
        <f>IFERROR(__xludf.DUMMYFUNCTION("""COMPUTED_VALUE"""),1.0023273043899796)</f>
        <v>1.002327304</v>
      </c>
      <c r="AE867" s="82">
        <f>IFERROR(__xludf.DUMMYFUNCTION("""COMPUTED_VALUE"""),0.8549497460877499)</f>
        <v>0.8549497461</v>
      </c>
      <c r="AF867" s="82">
        <f>IFERROR(__xludf.DUMMYFUNCTION("""COMPUTED_VALUE"""),1.0388507855529063)</f>
        <v>1.038850786</v>
      </c>
      <c r="AG867" s="82">
        <f>IFERROR(__xludf.DUMMYFUNCTION("""COMPUTED_VALUE"""),1.2683595618981818)</f>
        <v>1.268359562</v>
      </c>
      <c r="AH867" s="82">
        <f>IFERROR(__xludf.DUMMYFUNCTION("""COMPUTED_VALUE"""),0.8469770652970054)</f>
        <v>0.8469770653</v>
      </c>
      <c r="AI867" s="82">
        <f>IFERROR(__xludf.DUMMYFUNCTION("""COMPUTED_VALUE"""),1.0548047030808134)</f>
        <v>1.054804703</v>
      </c>
      <c r="AJ867" s="82">
        <f>IFERROR(__xludf.DUMMYFUNCTION("""COMPUTED_VALUE"""),0.9830744301556311)</f>
        <v>0.9830744302</v>
      </c>
      <c r="AK867" s="82">
        <f>IFERROR(__xludf.DUMMYFUNCTION("""COMPUTED_VALUE"""),0.8901300643089024)</f>
        <v>0.8901300643</v>
      </c>
      <c r="AL867" s="82">
        <f>IFERROR(__xludf.DUMMYFUNCTION("""COMPUTED_VALUE"""),1.2319473421315987)</f>
        <v>1.231947342</v>
      </c>
      <c r="AM867" s="82">
        <f>IFERROR(__xludf.DUMMYFUNCTION("""COMPUTED_VALUE"""),0.9605200810072678)</f>
        <v>0.960520081</v>
      </c>
      <c r="AN867" s="82">
        <f>IFERROR(__xludf.DUMMYFUNCTION("""COMPUTED_VALUE"""),1.0513866402016647)</f>
        <v>1.05138664</v>
      </c>
      <c r="AO867" s="82">
        <f>IFERROR(__xludf.DUMMYFUNCTION("""COMPUTED_VALUE"""),0.9931948196978497)</f>
        <v>0.9931948197</v>
      </c>
      <c r="AP867" s="82">
        <f>IFERROR(__xludf.DUMMYFUNCTION("""COMPUTED_VALUE"""),1.1592661791785237)</f>
        <v>1.159266179</v>
      </c>
      <c r="AQ867" s="82">
        <f>IFERROR(__xludf.DUMMYFUNCTION("""COMPUTED_VALUE"""),1.2267634153505023)</f>
        <v>1.226763415</v>
      </c>
      <c r="AR867" s="82">
        <f>IFERROR(__xludf.DUMMYFUNCTION("""COMPUTED_VALUE"""),0.9427931326427208)</f>
        <v>0.9427931326</v>
      </c>
      <c r="AS867" s="82">
        <f>IFERROR(__xludf.DUMMYFUNCTION("""COMPUTED_VALUE"""),79.0)</f>
        <v>79</v>
      </c>
      <c r="AT867" s="82">
        <f>IFERROR(__xludf.DUMMYFUNCTION("""COMPUTED_VALUE"""),0.6705537063608386)</f>
        <v>0.6705537064</v>
      </c>
      <c r="AU867" s="82">
        <f>IFERROR(__xludf.DUMMYFUNCTION("""COMPUTED_VALUE"""),2.3834516810596966)</f>
        <v>2.383451681</v>
      </c>
      <c r="AV867" s="82">
        <f>IFERROR(__xludf.DUMMYFUNCTION("""COMPUTED_VALUE"""),51.65090102325611)</f>
        <v>51.65090102</v>
      </c>
      <c r="AW867" s="82">
        <f t="shared" si="1"/>
        <v>2.111154097</v>
      </c>
      <c r="AX867" s="83">
        <f t="array" ref="AX867">IFERROR(DGET('SBV Import'!A:G,"SBV",{"RSC ID","Tier";B867,A867}))</f>
        <v>40.84192137</v>
      </c>
      <c r="AY867" s="82">
        <f t="shared" si="2"/>
        <v>-2.800634217</v>
      </c>
      <c r="AZ867" s="82">
        <v>4.911788313728836</v>
      </c>
      <c r="BA867" s="84">
        <v>800.0</v>
      </c>
      <c r="BB867" s="84" t="b">
        <f>IFERROR(__xludf.DUMMYFUNCTION("iferror(if(A867="""",,E867&gt;=FILTER(Constants!$F$2:$F$10,Constants!$A$2:$A$10=A867)))"),TRUE)</f>
        <v>1</v>
      </c>
    </row>
    <row r="868">
      <c r="A868" s="80" t="str">
        <f>IFERROR(__xludf.DUMMYFUNCTION("""COMPUTED_VALUE"""),"Elite")</f>
        <v>Elite</v>
      </c>
      <c r="B868" s="73" t="str">
        <f>IFERROR(__xludf.DUMMYFUNCTION("""COMPUTED_VALUE"""),"RSC007884")</f>
        <v>RSC007884</v>
      </c>
      <c r="C868" s="73" t="str">
        <f>IFERROR(__xludf.DUMMYFUNCTION("""COMPUTED_VALUE"""),"Luis.")</f>
        <v>Luis.</v>
      </c>
      <c r="D868" s="73" t="str">
        <f>IFERROR(__xludf.DUMMYFUNCTION("""COMPUTED_VALUE"""),"Fire")</f>
        <v>Fire</v>
      </c>
      <c r="E868" s="82">
        <f>IFERROR(__xludf.DUMMYFUNCTION("""COMPUTED_VALUE"""),29.0)</f>
        <v>29</v>
      </c>
      <c r="F868" s="82">
        <f>IFERROR(__xludf.DUMMYFUNCTION("""COMPUTED_VALUE"""),15.0)</f>
        <v>15</v>
      </c>
      <c r="G868" s="82">
        <f>IFERROR(__xludf.DUMMYFUNCTION("""COMPUTED_VALUE"""),14.0)</f>
        <v>14</v>
      </c>
      <c r="H868" s="86">
        <f>IFERROR(__xludf.DUMMYFUNCTION("""COMPUTED_VALUE"""),0.5172413793103449)</f>
        <v>0.5172413793</v>
      </c>
      <c r="I868" s="86">
        <f>IFERROR(__xludf.DUMMYFUNCTION("""COMPUTED_VALUE"""),0.27848101265822783)</f>
        <v>0.2784810127</v>
      </c>
      <c r="J868" s="82">
        <f>IFERROR(__xludf.DUMMYFUNCTION("""COMPUTED_VALUE"""),337.86206896551727)</f>
        <v>337.862069</v>
      </c>
      <c r="K868" s="82">
        <f>IFERROR(__xludf.DUMMYFUNCTION("""COMPUTED_VALUE"""),0.7586206896551724)</f>
        <v>0.7586206897</v>
      </c>
      <c r="L868" s="82">
        <f>IFERROR(__xludf.DUMMYFUNCTION("""COMPUTED_VALUE"""),0.5172413793103449)</f>
        <v>0.5172413793</v>
      </c>
      <c r="M868" s="82">
        <f>IFERROR(__xludf.DUMMYFUNCTION("""COMPUTED_VALUE"""),1.0)</f>
        <v>1</v>
      </c>
      <c r="N868" s="82">
        <f>IFERROR(__xludf.DUMMYFUNCTION("""COMPUTED_VALUE"""),2.7241379310344827)</f>
        <v>2.724137931</v>
      </c>
      <c r="O868" s="82">
        <f>IFERROR(__xludf.DUMMYFUNCTION("""COMPUTED_VALUE"""),359.264367816092)</f>
        <v>359.2643678</v>
      </c>
      <c r="P868" s="82">
        <f>IFERROR(__xludf.DUMMYFUNCTION("""COMPUTED_VALUE"""),0.850574712643678)</f>
        <v>0.8505747126</v>
      </c>
      <c r="Q868" s="82">
        <f>IFERROR(__xludf.DUMMYFUNCTION("""COMPUTED_VALUE"""),0.6436781609195402)</f>
        <v>0.6436781609</v>
      </c>
      <c r="R868" s="82">
        <f>IFERROR(__xludf.DUMMYFUNCTION("""COMPUTED_VALUE"""),1.3448275862068964)</f>
        <v>1.344827586</v>
      </c>
      <c r="S868" s="82">
        <f>IFERROR(__xludf.DUMMYFUNCTION("""COMPUTED_VALUE"""),2.7356321839080464)</f>
        <v>2.735632184</v>
      </c>
      <c r="T868" s="82">
        <f>IFERROR(__xludf.DUMMYFUNCTION("""COMPUTED_VALUE"""),360.365518797554)</f>
        <v>360.3655188</v>
      </c>
      <c r="U868" s="82">
        <f>IFERROR(__xludf.DUMMYFUNCTION("""COMPUTED_VALUE"""),0.7613221507247775)</f>
        <v>0.7613221507</v>
      </c>
      <c r="V868" s="82">
        <f>IFERROR(__xludf.DUMMYFUNCTION("""COMPUTED_VALUE"""),0.5780208882901033)</f>
        <v>0.5780208883</v>
      </c>
      <c r="W868" s="82">
        <f>IFERROR(__xludf.DUMMYFUNCTION("""COMPUTED_VALUE"""),1.4482299790428175)</f>
        <v>1.448229979</v>
      </c>
      <c r="X868" s="82">
        <f>IFERROR(__xludf.DUMMYFUNCTION("""COMPUTED_VALUE"""),2.6776514324212632)</f>
        <v>2.677651432</v>
      </c>
      <c r="Y868" s="82">
        <f>IFERROR(__xludf.DUMMYFUNCTION("""COMPUTED_VALUE"""),359.6465938714841)</f>
        <v>359.6465939</v>
      </c>
      <c r="Z868" s="82">
        <f>IFERROR(__xludf.DUMMYFUNCTION("""COMPUTED_VALUE"""),0.7525874601806846)</f>
        <v>0.7525874602</v>
      </c>
      <c r="AA868" s="82">
        <f>IFERROR(__xludf.DUMMYFUNCTION("""COMPUTED_VALUE"""),0.5607005264974423)</f>
        <v>0.5607005265</v>
      </c>
      <c r="AB868" s="82">
        <f>IFERROR(__xludf.DUMMYFUNCTION("""COMPUTED_VALUE"""),1.4330806731072918)</f>
        <v>1.433080673</v>
      </c>
      <c r="AC868" s="82">
        <f>IFERROR(__xludf.DUMMYFUNCTION("""COMPUTED_VALUE"""),2.653118080277908)</f>
        <v>2.65311808</v>
      </c>
      <c r="AD868" s="82">
        <f>IFERROR(__xludf.DUMMYFUNCTION("""COMPUTED_VALUE"""),0.9394279682410915)</f>
        <v>0.9394279682</v>
      </c>
      <c r="AE868" s="82">
        <f>IFERROR(__xludf.DUMMYFUNCTION("""COMPUTED_VALUE"""),1.0080166489527203)</f>
        <v>1.008016649</v>
      </c>
      <c r="AF868" s="82">
        <f>IFERROR(__xludf.DUMMYFUNCTION("""COMPUTED_VALUE"""),0.9224913387212672)</f>
        <v>0.9224913387</v>
      </c>
      <c r="AG868" s="82">
        <f>IFERROR(__xludf.DUMMYFUNCTION("""COMPUTED_VALUE"""),0.6977974225496599)</f>
        <v>0.6977974225</v>
      </c>
      <c r="AH868" s="82">
        <f>IFERROR(__xludf.DUMMYFUNCTION("""COMPUTED_VALUE"""),1.026768447015044)</f>
        <v>1.026768447</v>
      </c>
      <c r="AI868" s="82">
        <f>IFERROR(__xludf.DUMMYFUNCTION("""COMPUTED_VALUE"""),0.9969443497670469)</f>
        <v>0.9969443498</v>
      </c>
      <c r="AJ868" s="82">
        <f>IFERROR(__xludf.DUMMYFUNCTION("""COMPUTED_VALUE"""),1.1172336334020128)</f>
        <v>1.117233633</v>
      </c>
      <c r="AK868" s="82">
        <f>IFERROR(__xludf.DUMMYFUNCTION("""COMPUTED_VALUE"""),1.1135897922714588)</f>
        <v>1.113589792</v>
      </c>
      <c r="AL868" s="82">
        <f>IFERROR(__xludf.DUMMYFUNCTION("""COMPUTED_VALUE"""),0.9286008477021978)</f>
        <v>0.9286008477</v>
      </c>
      <c r="AM868" s="82">
        <f>IFERROR(__xludf.DUMMYFUNCTION("""COMPUTED_VALUE"""),1.0216535844750914)</f>
        <v>1.021653584</v>
      </c>
      <c r="AN868" s="82">
        <f>IFERROR(__xludf.DUMMYFUNCTION("""COMPUTED_VALUE"""),0.9579065138190697)</f>
        <v>0.9579065138</v>
      </c>
      <c r="AO868" s="82">
        <f>IFERROR(__xludf.DUMMYFUNCTION("""COMPUTED_VALUE"""),1.0637056081145326)</f>
        <v>1.063705608</v>
      </c>
      <c r="AP868" s="82">
        <f>IFERROR(__xludf.DUMMYFUNCTION("""COMPUTED_VALUE"""),0.8994306562591995)</f>
        <v>0.8994306563</v>
      </c>
      <c r="AQ868" s="82">
        <f>IFERROR(__xludf.DUMMYFUNCTION("""COMPUTED_VALUE"""),0.7010076659145728)</f>
        <v>0.7010076659</v>
      </c>
      <c r="AR868" s="82">
        <f>IFERROR(__xludf.DUMMYFUNCTION("""COMPUTED_VALUE"""),1.0813888563161516)</f>
        <v>1.081388856</v>
      </c>
      <c r="AS868" s="82">
        <f>IFERROR(__xludf.DUMMYFUNCTION("""COMPUTED_VALUE"""),64.0)</f>
        <v>64</v>
      </c>
      <c r="AT868" s="82">
        <f>IFERROR(__xludf.DUMMYFUNCTION("""COMPUTED_VALUE"""),0.44345062544335806)</f>
        <v>0.4434506254</v>
      </c>
      <c r="AU868" s="82">
        <f>IFERROR(__xludf.DUMMYFUNCTION("""COMPUTED_VALUE"""),2.3601784544046316)</f>
        <v>2.360178454</v>
      </c>
      <c r="AV868" s="82">
        <f>IFERROR(__xludf.DUMMYFUNCTION("""COMPUTED_VALUE"""),50.996935942313726)</f>
        <v>50.99693594</v>
      </c>
      <c r="AW868" s="82">
        <f t="shared" si="1"/>
        <v>2.065708453</v>
      </c>
      <c r="AX868" s="83">
        <f t="array" ref="AX868">IFERROR(DGET('SBV Import'!A:G,"SBV",{"RSC ID","Tier";B868,A868}))</f>
        <v>43.37901523</v>
      </c>
      <c r="AY868" s="82">
        <f t="shared" si="2"/>
        <v>-2.528019332</v>
      </c>
      <c r="AZ868" s="82">
        <v>4.593727785334718</v>
      </c>
      <c r="BA868" s="84">
        <v>800.0</v>
      </c>
      <c r="BB868" s="84" t="b">
        <f>IFERROR(__xludf.DUMMYFUNCTION("iferror(if(A868="""",,E868&gt;=FILTER(Constants!$F$2:$F$10,Constants!$A$2:$A$10=A868)))"),TRUE)</f>
        <v>1</v>
      </c>
    </row>
    <row r="869">
      <c r="A869" s="80" t="str">
        <f>IFERROR(__xludf.DUMMYFUNCTION("""COMPUTED_VALUE"""),"Elite")</f>
        <v>Elite</v>
      </c>
      <c r="B869" s="73" t="str">
        <f>IFERROR(__xludf.DUMMYFUNCTION("""COMPUTED_VALUE"""),"RSC000626")</f>
        <v>RSC000626</v>
      </c>
      <c r="C869" s="73" t="str">
        <f>IFERROR(__xludf.DUMMYFUNCTION("""COMPUTED_VALUE"""),"Canadian Things")</f>
        <v>Canadian Things</v>
      </c>
      <c r="D869" s="73" t="str">
        <f>IFERROR(__xludf.DUMMYFUNCTION("""COMPUTED_VALUE"""),"Menthol")</f>
        <v>Menthol</v>
      </c>
      <c r="E869" s="82">
        <f>IFERROR(__xludf.DUMMYFUNCTION("""COMPUTED_VALUE"""),19.0)</f>
        <v>19</v>
      </c>
      <c r="F869" s="82">
        <f>IFERROR(__xludf.DUMMYFUNCTION("""COMPUTED_VALUE"""),11.0)</f>
        <v>11</v>
      </c>
      <c r="G869" s="82">
        <f>IFERROR(__xludf.DUMMYFUNCTION("""COMPUTED_VALUE"""),8.0)</f>
        <v>8</v>
      </c>
      <c r="H869" s="86">
        <f>IFERROR(__xludf.DUMMYFUNCTION("""COMPUTED_VALUE"""),0.5789473684210527)</f>
        <v>0.5789473684</v>
      </c>
      <c r="I869" s="86">
        <f>IFERROR(__xludf.DUMMYFUNCTION("""COMPUTED_VALUE"""),0.26829268292682923)</f>
        <v>0.2682926829</v>
      </c>
      <c r="J869" s="82">
        <f>IFERROR(__xludf.DUMMYFUNCTION("""COMPUTED_VALUE"""),340.3333333333333)</f>
        <v>340.3333333</v>
      </c>
      <c r="K869" s="82">
        <f>IFERROR(__xludf.DUMMYFUNCTION("""COMPUTED_VALUE"""),0.7333333333333333)</f>
        <v>0.7333333333</v>
      </c>
      <c r="L869" s="82">
        <f>IFERROR(__xludf.DUMMYFUNCTION("""COMPUTED_VALUE"""),0.6)</f>
        <v>0.6</v>
      </c>
      <c r="M869" s="82">
        <f>IFERROR(__xludf.DUMMYFUNCTION("""COMPUTED_VALUE"""),1.1333333333333333)</f>
        <v>1.133333333</v>
      </c>
      <c r="N869" s="82">
        <f>IFERROR(__xludf.DUMMYFUNCTION("""COMPUTED_VALUE"""),2.7333333333333334)</f>
        <v>2.733333333</v>
      </c>
      <c r="O869" s="82">
        <f>IFERROR(__xludf.DUMMYFUNCTION("""COMPUTED_VALUE"""),354.46666666666664)</f>
        <v>354.4666667</v>
      </c>
      <c r="P869" s="82">
        <f>IFERROR(__xludf.DUMMYFUNCTION("""COMPUTED_VALUE"""),0.7555555555555558)</f>
        <v>0.7555555556</v>
      </c>
      <c r="Q869" s="82">
        <f>IFERROR(__xludf.DUMMYFUNCTION("""COMPUTED_VALUE"""),0.4888888888888889)</f>
        <v>0.4888888889</v>
      </c>
      <c r="R869" s="82">
        <f>IFERROR(__xludf.DUMMYFUNCTION("""COMPUTED_VALUE"""),1.466666666666667)</f>
        <v>1.466666667</v>
      </c>
      <c r="S869" s="82">
        <f>IFERROR(__xludf.DUMMYFUNCTION("""COMPUTED_VALUE"""),2.3333333333333335)</f>
        <v>2.333333333</v>
      </c>
      <c r="T869" s="82">
        <f>IFERROR(__xludf.DUMMYFUNCTION("""COMPUTED_VALUE"""),348.2660648840476)</f>
        <v>348.2660649</v>
      </c>
      <c r="U869" s="82">
        <f>IFERROR(__xludf.DUMMYFUNCTION("""COMPUTED_VALUE"""),0.7210877578740998)</f>
        <v>0.7210877579</v>
      </c>
      <c r="V869" s="82">
        <f>IFERROR(__xludf.DUMMYFUNCTION("""COMPUTED_VALUE"""),0.5795623327008128)</f>
        <v>0.5795623327</v>
      </c>
      <c r="W869" s="82">
        <f>IFERROR(__xludf.DUMMYFUNCTION("""COMPUTED_VALUE"""),1.4566474909809686)</f>
        <v>1.456647491</v>
      </c>
      <c r="X869" s="82">
        <f>IFERROR(__xludf.DUMMYFUNCTION("""COMPUTED_VALUE"""),2.3512203603713955)</f>
        <v>2.35122036</v>
      </c>
      <c r="Y869" s="82">
        <f>IFERROR(__xludf.DUMMYFUNCTION("""COMPUTED_VALUE"""),378.7611166837769)</f>
        <v>378.7611167</v>
      </c>
      <c r="Z869" s="82">
        <f>IFERROR(__xludf.DUMMYFUNCTION("""COMPUTED_VALUE"""),0.9125950369676853)</f>
        <v>0.912595037</v>
      </c>
      <c r="AA869" s="82">
        <f>IFERROR(__xludf.DUMMYFUNCTION("""COMPUTED_VALUE"""),0.6719239003223096)</f>
        <v>0.6719239003</v>
      </c>
      <c r="AB869" s="82">
        <f>IFERROR(__xludf.DUMMYFUNCTION("""COMPUTED_VALUE"""),1.3177624163027104)</f>
        <v>1.317762416</v>
      </c>
      <c r="AC869" s="82">
        <f>IFERROR(__xludf.DUMMYFUNCTION("""COMPUTED_VALUE"""),2.821525411685752)</f>
        <v>2.821525412</v>
      </c>
      <c r="AD869" s="82">
        <f>IFERROR(__xludf.DUMMYFUNCTION("""COMPUTED_VALUE"""),0.898543483853633)</f>
        <v>0.8985434839</v>
      </c>
      <c r="AE869" s="82">
        <f>IFERROR(__xludf.DUMMYFUNCTION("""COMPUTED_VALUE"""),0.803569276214791)</f>
        <v>0.8035692762</v>
      </c>
      <c r="AF869" s="82">
        <f>IFERROR(__xludf.DUMMYFUNCTION("""COMPUTED_VALUE"""),0.8929582646370979)</f>
        <v>0.8929582646</v>
      </c>
      <c r="AG869" s="82">
        <f>IFERROR(__xludf.DUMMYFUNCTION("""COMPUTED_VALUE"""),0.8600437524338903)</f>
        <v>0.8600437524</v>
      </c>
      <c r="AH869" s="82">
        <f>IFERROR(__xludf.DUMMYFUNCTION("""COMPUTED_VALUE"""),0.9687431210127833)</f>
        <v>0.968743121</v>
      </c>
      <c r="AI869" s="82">
        <f>IFERROR(__xludf.DUMMYFUNCTION("""COMPUTED_VALUE"""),1.0178042089305586)</f>
        <v>1.017804209</v>
      </c>
      <c r="AJ869" s="82">
        <f>IFERROR(__xludf.DUMMYFUNCTION("""COMPUTED_VALUE"""),1.0477997266006476)</f>
        <v>1.047799727</v>
      </c>
      <c r="AK869" s="82">
        <f>IFERROR(__xludf.DUMMYFUNCTION("""COMPUTED_VALUE"""),0.8435484180116097)</f>
        <v>0.843548418</v>
      </c>
      <c r="AL869" s="82">
        <f>IFERROR(__xludf.DUMMYFUNCTION("""COMPUTED_VALUE"""),1.006878243190431)</f>
        <v>1.006878243</v>
      </c>
      <c r="AM869" s="82">
        <f>IFERROR(__xludf.DUMMYFUNCTION("""COMPUTED_VALUE"""),0.9923924497509725)</f>
        <v>0.9923924498</v>
      </c>
      <c r="AN869" s="82">
        <f>IFERROR(__xludf.DUMMYFUNCTION("""COMPUTED_VALUE"""),0.9649130423783367)</f>
        <v>0.9649130424</v>
      </c>
      <c r="AO869" s="82">
        <f>IFERROR(__xludf.DUMMYFUNCTION("""COMPUTED_VALUE"""),1.0282487545107148)</f>
        <v>1.028248755</v>
      </c>
      <c r="AP869" s="82">
        <f>IFERROR(__xludf.DUMMYFUNCTION("""COMPUTED_VALUE"""),1.0433395612606713)</f>
        <v>1.043339561</v>
      </c>
      <c r="AQ869" s="82">
        <f>IFERROR(__xludf.DUMMYFUNCTION("""COMPUTED_VALUE"""),0.7944753547031824)</f>
        <v>0.7944753547</v>
      </c>
      <c r="AR869" s="82">
        <f>IFERROR(__xludf.DUMMYFUNCTION("""COMPUTED_VALUE"""),1.085039114058991)</f>
        <v>1.085039114</v>
      </c>
      <c r="AS869" s="82">
        <f>IFERROR(__xludf.DUMMYFUNCTION("""COMPUTED_VALUE"""),45.0)</f>
        <v>45</v>
      </c>
      <c r="AT869" s="82">
        <f>IFERROR(__xludf.DUMMYFUNCTION("""COMPUTED_VALUE"""),0.5170421873797165)</f>
        <v>0.5170421874</v>
      </c>
      <c r="AU869" s="82">
        <f>IFERROR(__xludf.DUMMYFUNCTION("""COMPUTED_VALUE"""),2.3560169285620174)</f>
        <v>2.356016929</v>
      </c>
      <c r="AV869" s="82">
        <f>IFERROR(__xludf.DUMMYFUNCTION("""COMPUTED_VALUE"""),50.8799993170299)</f>
        <v>50.87999932</v>
      </c>
      <c r="AW869" s="82">
        <f t="shared" si="1"/>
        <v>2.057781932</v>
      </c>
      <c r="AX869" s="83">
        <f t="array" ref="AX869">IFERROR(DGET('SBV Import'!A:G,"SBV",{"RSC ID","Tier";B869,A869}))</f>
        <v>52.9097755</v>
      </c>
      <c r="AY869" s="82">
        <f t="shared" si="2"/>
        <v>2.204238934</v>
      </c>
      <c r="AZ869" s="82">
        <v>0.14645700195492584</v>
      </c>
      <c r="BA869" s="84">
        <v>800.0</v>
      </c>
      <c r="BB869" s="84" t="b">
        <f>IFERROR(__xludf.DUMMYFUNCTION("iferror(if(A869="""",,E869&gt;=FILTER(Constants!$F$2:$F$10,Constants!$A$2:$A$10=A869)))"),TRUE)</f>
        <v>1</v>
      </c>
    </row>
    <row r="870">
      <c r="A870" s="80" t="str">
        <f>IFERROR(__xludf.DUMMYFUNCTION("""COMPUTED_VALUE"""),"Elite")</f>
        <v>Elite</v>
      </c>
      <c r="B870" s="73" t="str">
        <f>IFERROR(__xludf.DUMMYFUNCTION("""COMPUTED_VALUE"""),"RSC006218")</f>
        <v>RSC006218</v>
      </c>
      <c r="C870" s="73" t="str">
        <f>IFERROR(__xludf.DUMMYFUNCTION("""COMPUTED_VALUE"""),"Stingray")</f>
        <v>Stingray</v>
      </c>
      <c r="D870" s="73" t="str">
        <f>IFERROR(__xludf.DUMMYFUNCTION("""COMPUTED_VALUE"""),"Keno")</f>
        <v>Keno</v>
      </c>
      <c r="E870" s="82">
        <f>IFERROR(__xludf.DUMMYFUNCTION("""COMPUTED_VALUE"""),32.0)</f>
        <v>32</v>
      </c>
      <c r="F870" s="82">
        <f>IFERROR(__xludf.DUMMYFUNCTION("""COMPUTED_VALUE"""),15.0)</f>
        <v>15</v>
      </c>
      <c r="G870" s="82">
        <f>IFERROR(__xludf.DUMMYFUNCTION("""COMPUTED_VALUE"""),17.0)</f>
        <v>17</v>
      </c>
      <c r="H870" s="86">
        <f>IFERROR(__xludf.DUMMYFUNCTION("""COMPUTED_VALUE"""),0.46875)</f>
        <v>0.46875</v>
      </c>
      <c r="I870" s="86">
        <f>IFERROR(__xludf.DUMMYFUNCTION("""COMPUTED_VALUE"""),0.2676056338028169)</f>
        <v>0.2676056338</v>
      </c>
      <c r="J870" s="82">
        <f>IFERROR(__xludf.DUMMYFUNCTION("""COMPUTED_VALUE"""),390.40625)</f>
        <v>390.40625</v>
      </c>
      <c r="K870" s="82">
        <f>IFERROR(__xludf.DUMMYFUNCTION("""COMPUTED_VALUE"""),0.59375)</f>
        <v>0.59375</v>
      </c>
      <c r="L870" s="82">
        <f>IFERROR(__xludf.DUMMYFUNCTION("""COMPUTED_VALUE"""),0.625)</f>
        <v>0.625</v>
      </c>
      <c r="M870" s="82">
        <f>IFERROR(__xludf.DUMMYFUNCTION("""COMPUTED_VALUE"""),2.0)</f>
        <v>2</v>
      </c>
      <c r="N870" s="82">
        <f>IFERROR(__xludf.DUMMYFUNCTION("""COMPUTED_VALUE"""),2.21875)</f>
        <v>2.21875</v>
      </c>
      <c r="O870" s="82">
        <f>IFERROR(__xludf.DUMMYFUNCTION("""COMPUTED_VALUE"""),335.1770833333333)</f>
        <v>335.1770833</v>
      </c>
      <c r="P870" s="82">
        <f>IFERROR(__xludf.DUMMYFUNCTION("""COMPUTED_VALUE"""),0.6979166666666665)</f>
        <v>0.6979166667</v>
      </c>
      <c r="Q870" s="82">
        <f>IFERROR(__xludf.DUMMYFUNCTION("""COMPUTED_VALUE"""),0.46875000000000006)</f>
        <v>0.46875</v>
      </c>
      <c r="R870" s="82">
        <f>IFERROR(__xludf.DUMMYFUNCTION("""COMPUTED_VALUE"""),1.1145833333333335)</f>
        <v>1.114583333</v>
      </c>
      <c r="S870" s="82">
        <f>IFERROR(__xludf.DUMMYFUNCTION("""COMPUTED_VALUE"""),2.885416666666666)</f>
        <v>2.885416667</v>
      </c>
      <c r="T870" s="82">
        <f>IFERROR(__xludf.DUMMYFUNCTION("""COMPUTED_VALUE"""),357.3327906359492)</f>
        <v>357.3327906</v>
      </c>
      <c r="U870" s="82">
        <f>IFERROR(__xludf.DUMMYFUNCTION("""COMPUTED_VALUE"""),0.7806954795884489)</f>
        <v>0.7806954796</v>
      </c>
      <c r="V870" s="82">
        <f>IFERROR(__xludf.DUMMYFUNCTION("""COMPUTED_VALUE"""),0.5620641284052528)</f>
        <v>0.5620641284</v>
      </c>
      <c r="W870" s="82">
        <f>IFERROR(__xludf.DUMMYFUNCTION("""COMPUTED_VALUE"""),1.3512746688779187)</f>
        <v>1.351274669</v>
      </c>
      <c r="X870" s="82">
        <f>IFERROR(__xludf.DUMMYFUNCTION("""COMPUTED_VALUE"""),2.787048383370941)</f>
        <v>2.787048383</v>
      </c>
      <c r="Y870" s="82">
        <f>IFERROR(__xludf.DUMMYFUNCTION("""COMPUTED_VALUE"""),358.72457739118795)</f>
        <v>358.7245774</v>
      </c>
      <c r="Z870" s="82">
        <f>IFERROR(__xludf.DUMMYFUNCTION("""COMPUTED_VALUE"""),0.7483101551394001)</f>
        <v>0.7483101551</v>
      </c>
      <c r="AA870" s="82">
        <f>IFERROR(__xludf.DUMMYFUNCTION("""COMPUTED_VALUE"""),0.5721748882727892)</f>
        <v>0.5721748883</v>
      </c>
      <c r="AB870" s="82">
        <f>IFERROR(__xludf.DUMMYFUNCTION("""COMPUTED_VALUE"""),1.5129900438036419)</f>
        <v>1.512990044</v>
      </c>
      <c r="AC870" s="82">
        <f>IFERROR(__xludf.DUMMYFUNCTION("""COMPUTED_VALUE"""),2.4953133116259463)</f>
        <v>2.495313312</v>
      </c>
      <c r="AD870" s="82">
        <f>IFERROR(__xludf.DUMMYFUNCTION("""COMPUTED_VALUE"""),1.0883175411041415)</f>
        <v>1.088317541</v>
      </c>
      <c r="AE870" s="82">
        <f>IFERROR(__xludf.DUMMYFUNCTION("""COMPUTED_VALUE"""),0.7934544198312962)</f>
        <v>0.7934544198</v>
      </c>
      <c r="AF870" s="82">
        <f>IFERROR(__xludf.DUMMYFUNCTION("""COMPUTED_VALUE"""),1.0923233661768568)</f>
        <v>1.092323366</v>
      </c>
      <c r="AG870" s="82">
        <f>IFERROR(__xludf.DUMMYFUNCTION("""COMPUTED_VALUE"""),1.3218857640146924)</f>
        <v>1.321885764</v>
      </c>
      <c r="AH870" s="82">
        <f>IFERROR(__xludf.DUMMYFUNCTION("""COMPUTED_VALUE"""),0.8891668992677566)</f>
        <v>0.8891668993</v>
      </c>
      <c r="AI870" s="82">
        <f>IFERROR(__xludf.DUMMYFUNCTION("""COMPUTED_VALUE"""),0.937996993605918)</f>
        <v>0.9379969936</v>
      </c>
      <c r="AJ870" s="82">
        <f>IFERROR(__xludf.DUMMYFUNCTION("""COMPUTED_VALUE"""),0.8939678593176689)</f>
        <v>0.8939678593</v>
      </c>
      <c r="AK870" s="82">
        <f>IFERROR(__xludf.DUMMYFUNCTION("""COMPUTED_VALUE"""),0.8339795697867904)</f>
        <v>0.8339795698</v>
      </c>
      <c r="AL870" s="82">
        <f>IFERROR(__xludf.DUMMYFUNCTION("""COMPUTED_VALUE"""),0.8248384721507948)</f>
        <v>0.8248384722</v>
      </c>
      <c r="AM870" s="82">
        <f>IFERROR(__xludf.DUMMYFUNCTION("""COMPUTED_VALUE"""),1.0352947885234587)</f>
        <v>1.035294789</v>
      </c>
      <c r="AN870" s="82">
        <f>IFERROR(__xludf.DUMMYFUNCTION("""COMPUTED_VALUE"""),1.1068797721381514)</f>
        <v>1.106879772</v>
      </c>
      <c r="AO870" s="82">
        <f>IFERROR(__xludf.DUMMYFUNCTION("""COMPUTED_VALUE"""),0.8325309518055505)</f>
        <v>0.8325309518</v>
      </c>
      <c r="AP870" s="82">
        <f>IFERROR(__xludf.DUMMYFUNCTION("""COMPUTED_VALUE"""),1.086812042979866)</f>
        <v>1.086812043</v>
      </c>
      <c r="AQ870" s="82">
        <f>IFERROR(__xludf.DUMMYFUNCTION("""COMPUTED_VALUE"""),1.4020153318291455)</f>
        <v>1.402015332</v>
      </c>
      <c r="AR870" s="82">
        <f>IFERROR(__xludf.DUMMYFUNCTION("""COMPUTED_VALUE"""),0.8807672686530681)</f>
        <v>0.8807672687</v>
      </c>
      <c r="AS870" s="82">
        <f>IFERROR(__xludf.DUMMYFUNCTION("""COMPUTED_VALUE"""),67.0)</f>
        <v>67</v>
      </c>
      <c r="AT870" s="82">
        <f>IFERROR(__xludf.DUMMYFUNCTION("""COMPUTED_VALUE"""),0.5000000000000001)</f>
        <v>0.5</v>
      </c>
      <c r="AU870" s="82">
        <f>IFERROR(__xludf.DUMMYFUNCTION("""COMPUTED_VALUE"""),2.3395017671579614)</f>
        <v>2.339501767</v>
      </c>
      <c r="AV870" s="82">
        <f>IFERROR(__xludf.DUMMYFUNCTION("""COMPUTED_VALUE"""),50.415932214326304)</f>
        <v>50.41593221</v>
      </c>
      <c r="AW870" s="82">
        <f t="shared" si="1"/>
        <v>2.026905187</v>
      </c>
      <c r="AX870" s="83">
        <f t="array" ref="AX870">IFERROR(DGET('SBV Import'!A:G,"SBV",{"RSC ID","Tier";B870,A870}))</f>
        <v>63.63762499</v>
      </c>
      <c r="AY870" s="82">
        <f t="shared" si="2"/>
        <v>3.416430938</v>
      </c>
      <c r="AZ870" s="82">
        <v>1.3895257515974548</v>
      </c>
      <c r="BA870" s="84">
        <v>800.0</v>
      </c>
      <c r="BB870" s="84" t="b">
        <f>IFERROR(__xludf.DUMMYFUNCTION("iferror(if(A870="""",,E870&gt;=FILTER(Constants!$F$2:$F$10,Constants!$A$2:$A$10=A870)))"),TRUE)</f>
        <v>1</v>
      </c>
    </row>
    <row r="871">
      <c r="A871" s="80" t="str">
        <f>IFERROR(__xludf.DUMMYFUNCTION("""COMPUTED_VALUE"""),"Elite")</f>
        <v>Elite</v>
      </c>
      <c r="B871" s="73" t="str">
        <f>IFERROR(__xludf.DUMMYFUNCTION("""COMPUTED_VALUE"""),"RSC002161")</f>
        <v>RSC002161</v>
      </c>
      <c r="C871" s="73" t="str">
        <f>IFERROR(__xludf.DUMMYFUNCTION("""COMPUTED_VALUE"""),"TheAngryTryhard")</f>
        <v>TheAngryTryhard</v>
      </c>
      <c r="D871" s="73" t="str">
        <f>IFERROR(__xludf.DUMMYFUNCTION("""COMPUTED_VALUE"""),"Loonie")</f>
        <v>Loonie</v>
      </c>
      <c r="E871" s="82">
        <f>IFERROR(__xludf.DUMMYFUNCTION("""COMPUTED_VALUE"""),24.0)</f>
        <v>24</v>
      </c>
      <c r="F871" s="82">
        <f>IFERROR(__xludf.DUMMYFUNCTION("""COMPUTED_VALUE"""),7.0)</f>
        <v>7</v>
      </c>
      <c r="G871" s="82">
        <f>IFERROR(__xludf.DUMMYFUNCTION("""COMPUTED_VALUE"""),17.0)</f>
        <v>17</v>
      </c>
      <c r="H871" s="86">
        <f>IFERROR(__xludf.DUMMYFUNCTION("""COMPUTED_VALUE"""),0.2916666666666667)</f>
        <v>0.2916666667</v>
      </c>
      <c r="I871" s="86">
        <f>IFERROR(__xludf.DUMMYFUNCTION("""COMPUTED_VALUE"""),0.2794117647058823)</f>
        <v>0.2794117647</v>
      </c>
      <c r="J871" s="82">
        <f>IFERROR(__xludf.DUMMYFUNCTION("""COMPUTED_VALUE"""),349.5416666666667)</f>
        <v>349.5416667</v>
      </c>
      <c r="K871" s="82">
        <f>IFERROR(__xludf.DUMMYFUNCTION("""COMPUTED_VALUE"""),0.7916666666666666)</f>
        <v>0.7916666667</v>
      </c>
      <c r="L871" s="82">
        <f>IFERROR(__xludf.DUMMYFUNCTION("""COMPUTED_VALUE"""),0.375)</f>
        <v>0.375</v>
      </c>
      <c r="M871" s="82">
        <f>IFERROR(__xludf.DUMMYFUNCTION("""COMPUTED_VALUE"""),1.5)</f>
        <v>1.5</v>
      </c>
      <c r="N871" s="82">
        <f>IFERROR(__xludf.DUMMYFUNCTION("""COMPUTED_VALUE"""),2.8333333333333335)</f>
        <v>2.833333333</v>
      </c>
      <c r="O871" s="82">
        <f>IFERROR(__xludf.DUMMYFUNCTION("""COMPUTED_VALUE"""),410.5138888888889)</f>
        <v>410.5138889</v>
      </c>
      <c r="P871" s="82">
        <f>IFERROR(__xludf.DUMMYFUNCTION("""COMPUTED_VALUE"""),1.111111111111111)</f>
        <v>1.111111111</v>
      </c>
      <c r="Q871" s="82">
        <f>IFERROR(__xludf.DUMMYFUNCTION("""COMPUTED_VALUE"""),0.9166666666666665)</f>
        <v>0.9166666667</v>
      </c>
      <c r="R871" s="82">
        <f>IFERROR(__xludf.DUMMYFUNCTION("""COMPUTED_VALUE"""),1.2916666666666667)</f>
        <v>1.291666667</v>
      </c>
      <c r="S871" s="82">
        <f>IFERROR(__xludf.DUMMYFUNCTION("""COMPUTED_VALUE"""),3.166666666666666)</f>
        <v>3.166666667</v>
      </c>
      <c r="T871" s="82">
        <f>IFERROR(__xludf.DUMMYFUNCTION("""COMPUTED_VALUE"""),388.8123946595501)</f>
        <v>388.8123947</v>
      </c>
      <c r="U871" s="82">
        <f>IFERROR(__xludf.DUMMYFUNCTION("""COMPUTED_VALUE"""),0.9397137374175418)</f>
        <v>0.9397137374</v>
      </c>
      <c r="V871" s="82">
        <f>IFERROR(__xludf.DUMMYFUNCTION("""COMPUTED_VALUE"""),0.6767652112121421)</f>
        <v>0.6767652112</v>
      </c>
      <c r="W871" s="82">
        <f>IFERROR(__xludf.DUMMYFUNCTION("""COMPUTED_VALUE"""),1.3820653405409369)</f>
        <v>1.382065341</v>
      </c>
      <c r="X871" s="82">
        <f>IFERROR(__xludf.DUMMYFUNCTION("""COMPUTED_VALUE"""),2.9642032397976017)</f>
        <v>2.96420324</v>
      </c>
      <c r="Y871" s="82">
        <f>IFERROR(__xludf.DUMMYFUNCTION("""COMPUTED_VALUE"""),351.0237695590406)</f>
        <v>351.0237696</v>
      </c>
      <c r="Z871" s="82">
        <f>IFERROR(__xludf.DUMMYFUNCTION("""COMPUTED_VALUE"""),0.6809393279755954)</f>
        <v>0.680939328</v>
      </c>
      <c r="AA871" s="82">
        <f>IFERROR(__xludf.DUMMYFUNCTION("""COMPUTED_VALUE"""),0.49662660896010236)</f>
        <v>0.496626609</v>
      </c>
      <c r="AB871" s="82">
        <f>IFERROR(__xludf.DUMMYFUNCTION("""COMPUTED_VALUE"""),1.5243534109691053)</f>
        <v>1.524353411</v>
      </c>
      <c r="AC871" s="82">
        <f>IFERROR(__xludf.DUMMYFUNCTION("""COMPUTED_VALUE"""),2.4263060825187854)</f>
        <v>2.426306083</v>
      </c>
      <c r="AD871" s="82">
        <f>IFERROR(__xludf.DUMMYFUNCTION("""COMPUTED_VALUE"""),0.9957777705645525)</f>
        <v>0.9957777706</v>
      </c>
      <c r="AE871" s="82">
        <f>IFERROR(__xludf.DUMMYFUNCTION("""COMPUTED_VALUE"""),1.1626096983122696)</f>
        <v>1.162609698</v>
      </c>
      <c r="AF871" s="82">
        <f>IFERROR(__xludf.DUMMYFUNCTION("""COMPUTED_VALUE"""),0.7550944577561419)</f>
        <v>0.7550944578</v>
      </c>
      <c r="AG871" s="82">
        <f>IFERROR(__xludf.DUMMYFUNCTION("""COMPUTED_VALUE"""),0.9840237763802931)</f>
        <v>0.9840237764</v>
      </c>
      <c r="AH871" s="82">
        <f>IFERROR(__xludf.DUMMYFUNCTION("""COMPUTED_VALUE"""),1.1677559372031112)</f>
        <v>1.167755937</v>
      </c>
      <c r="AI871" s="82">
        <f>IFERROR(__xludf.DUMMYFUNCTION("""COMPUTED_VALUE"""),1.0558148210484415)</f>
        <v>1.055814821</v>
      </c>
      <c r="AJ871" s="82">
        <f>IFERROR(__xludf.DUMMYFUNCTION("""COMPUTED_VALUE"""),1.182393176633335)</f>
        <v>1.182393177</v>
      </c>
      <c r="AK871" s="82">
        <f>IFERROR(__xludf.DUMMYFUNCTION("""COMPUTED_VALUE"""),1.3544825465021189)</f>
        <v>1.354482547</v>
      </c>
      <c r="AL871" s="82">
        <f>IFERROR(__xludf.DUMMYFUNCTION("""COMPUTED_VALUE"""),0.9345916063281868)</f>
        <v>0.9345916063</v>
      </c>
      <c r="AM871" s="82">
        <f>IFERROR(__xludf.DUMMYFUNCTION("""COMPUTED_VALUE"""),1.0683028154583925)</f>
        <v>1.068302815</v>
      </c>
      <c r="AN871" s="82">
        <f>IFERROR(__xludf.DUMMYFUNCTION("""COMPUTED_VALUE"""),0.9910205083878388)</f>
        <v>0.9910205084</v>
      </c>
      <c r="AO871" s="82">
        <f>IFERROR(__xludf.DUMMYFUNCTION("""COMPUTED_VALUE"""),1.1100412690740673)</f>
        <v>1.110041269</v>
      </c>
      <c r="AP871" s="82">
        <f>IFERROR(__xludf.DUMMYFUNCTION("""COMPUTED_VALUE"""),0.6520872257879196)</f>
        <v>0.6520872258</v>
      </c>
      <c r="AQ871" s="82">
        <f>IFERROR(__xludf.DUMMYFUNCTION("""COMPUTED_VALUE"""),1.0515114988718592)</f>
        <v>1.051511499</v>
      </c>
      <c r="AR871" s="82">
        <f>IFERROR(__xludf.DUMMYFUNCTION("""COMPUTED_VALUE"""),1.1247356670123687)</f>
        <v>1.124735667</v>
      </c>
      <c r="AS871" s="82">
        <f>IFERROR(__xludf.DUMMYFUNCTION("""COMPUTED_VALUE"""),43.0)</f>
        <v>43</v>
      </c>
      <c r="AT871" s="82">
        <f>IFERROR(__xludf.DUMMYFUNCTION("""COMPUTED_VALUE"""),0.27045378215774074)</f>
        <v>0.2704537822</v>
      </c>
      <c r="AU871" s="82">
        <f>IFERROR(__xludf.DUMMYFUNCTION("""COMPUTED_VALUE"""),2.338278989063717)</f>
        <v>2.338278989</v>
      </c>
      <c r="AV871" s="82">
        <f>IFERROR(__xludf.DUMMYFUNCTION("""COMPUTED_VALUE"""),50.38157281125647)</f>
        <v>50.38157281</v>
      </c>
      <c r="AW871" s="82">
        <f t="shared" si="1"/>
        <v>2.024655381</v>
      </c>
      <c r="AX871" s="83">
        <f t="array" ref="AX871">IFERROR(DGET('SBV Import'!A:G,"SBV",{"RSC ID","Tier";B871,A871}))</f>
        <v>41.52813824</v>
      </c>
      <c r="AY871" s="82">
        <f t="shared" si="2"/>
        <v>-2.722183615</v>
      </c>
      <c r="AZ871" s="82">
        <v>4.746838996446312</v>
      </c>
      <c r="BA871" s="84">
        <v>800.0</v>
      </c>
      <c r="BB871" s="84" t="b">
        <f>IFERROR(__xludf.DUMMYFUNCTION("iferror(if(A871="""",,E871&gt;=FILTER(Constants!$F$2:$F$10,Constants!$A$2:$A$10=A871)))"),TRUE)</f>
        <v>1</v>
      </c>
    </row>
    <row r="872">
      <c r="A872" s="80" t="str">
        <f>IFERROR(__xludf.DUMMYFUNCTION("""COMPUTED_VALUE"""),"Elite")</f>
        <v>Elite</v>
      </c>
      <c r="B872" s="73" t="str">
        <f>IFERROR(__xludf.DUMMYFUNCTION("""COMPUTED_VALUE"""),"RSC005236")</f>
        <v>RSC005236</v>
      </c>
      <c r="C872" s="73" t="str">
        <f>IFERROR(__xludf.DUMMYFUNCTION("""COMPUTED_VALUE"""),"Rozi-")</f>
        <v>Rozi-</v>
      </c>
      <c r="D872" s="73" t="str">
        <f>IFERROR(__xludf.DUMMYFUNCTION("""COMPUTED_VALUE"""),"Praetorian Guard")</f>
        <v>Praetorian Guard</v>
      </c>
      <c r="E872" s="82">
        <f>IFERROR(__xludf.DUMMYFUNCTION("""COMPUTED_VALUE"""),36.0)</f>
        <v>36</v>
      </c>
      <c r="F872" s="82">
        <f>IFERROR(__xludf.DUMMYFUNCTION("""COMPUTED_VALUE"""),24.0)</f>
        <v>24</v>
      </c>
      <c r="G872" s="82">
        <f>IFERROR(__xludf.DUMMYFUNCTION("""COMPUTED_VALUE"""),12.0)</f>
        <v>12</v>
      </c>
      <c r="H872" s="86">
        <f>IFERROR(__xludf.DUMMYFUNCTION("""COMPUTED_VALUE"""),0.6666666666666666)</f>
        <v>0.6666666667</v>
      </c>
      <c r="I872" s="86">
        <f>IFERROR(__xludf.DUMMYFUNCTION("""COMPUTED_VALUE"""),0.20792079207920794)</f>
        <v>0.2079207921</v>
      </c>
      <c r="J872" s="82">
        <f>IFERROR(__xludf.DUMMYFUNCTION("""COMPUTED_VALUE"""),349.0833333333333)</f>
        <v>349.0833333</v>
      </c>
      <c r="K872" s="82">
        <f>IFERROR(__xludf.DUMMYFUNCTION("""COMPUTED_VALUE"""),0.5833333333333334)</f>
        <v>0.5833333333</v>
      </c>
      <c r="L872" s="82">
        <f>IFERROR(__xludf.DUMMYFUNCTION("""COMPUTED_VALUE"""),0.6944444444444444)</f>
        <v>0.6944444444</v>
      </c>
      <c r="M872" s="82">
        <f>IFERROR(__xludf.DUMMYFUNCTION("""COMPUTED_VALUE"""),1.3611111111111112)</f>
        <v>1.361111111</v>
      </c>
      <c r="N872" s="82">
        <f>IFERROR(__xludf.DUMMYFUNCTION("""COMPUTED_VALUE"""),2.8055555555555554)</f>
        <v>2.805555556</v>
      </c>
      <c r="O872" s="82">
        <f>IFERROR(__xludf.DUMMYFUNCTION("""COMPUTED_VALUE"""),351.75)</f>
        <v>351.75</v>
      </c>
      <c r="P872" s="82">
        <f>IFERROR(__xludf.DUMMYFUNCTION("""COMPUTED_VALUE"""),0.6759259259259258)</f>
        <v>0.6759259259</v>
      </c>
      <c r="Q872" s="82">
        <f>IFERROR(__xludf.DUMMYFUNCTION("""COMPUTED_VALUE"""),0.5462962962962963)</f>
        <v>0.5462962963</v>
      </c>
      <c r="R872" s="82">
        <f>IFERROR(__xludf.DUMMYFUNCTION("""COMPUTED_VALUE"""),1.4537037037037033)</f>
        <v>1.453703704</v>
      </c>
      <c r="S872" s="82">
        <f>IFERROR(__xludf.DUMMYFUNCTION("""COMPUTED_VALUE"""),2.4074074074074074)</f>
        <v>2.407407407</v>
      </c>
      <c r="T872" s="82">
        <f>IFERROR(__xludf.DUMMYFUNCTION("""COMPUTED_VALUE"""),358.2915785458271)</f>
        <v>358.2915785</v>
      </c>
      <c r="U872" s="82">
        <f>IFERROR(__xludf.DUMMYFUNCTION("""COMPUTED_VALUE"""),0.7320721255442373)</f>
        <v>0.7320721255</v>
      </c>
      <c r="V872" s="82">
        <f>IFERROR(__xludf.DUMMYFUNCTION("""COMPUTED_VALUE"""),0.5398876236562093)</f>
        <v>0.5398876237</v>
      </c>
      <c r="W872" s="82">
        <f>IFERROR(__xludf.DUMMYFUNCTION("""COMPUTED_VALUE"""),1.5079168207460094)</f>
        <v>1.507916821</v>
      </c>
      <c r="X872" s="82">
        <f>IFERROR(__xludf.DUMMYFUNCTION("""COMPUTED_VALUE"""),2.478602928277583)</f>
        <v>2.478602928</v>
      </c>
      <c r="Y872" s="82">
        <f>IFERROR(__xludf.DUMMYFUNCTION("""COMPUTED_VALUE"""),373.13237797829464)</f>
        <v>373.132378</v>
      </c>
      <c r="Z872" s="82">
        <f>IFERROR(__xludf.DUMMYFUNCTION("""COMPUTED_VALUE"""),0.8418404275374347)</f>
        <v>0.8418404275</v>
      </c>
      <c r="AA872" s="82">
        <f>IFERROR(__xludf.DUMMYFUNCTION("""COMPUTED_VALUE"""),0.6322005936195152)</f>
        <v>0.6322005936</v>
      </c>
      <c r="AB872" s="82">
        <f>IFERROR(__xludf.DUMMYFUNCTION("""COMPUTED_VALUE"""),1.371479191194855)</f>
        <v>1.371479191</v>
      </c>
      <c r="AC872" s="82">
        <f>IFERROR(__xludf.DUMMYFUNCTION("""COMPUTED_VALUE"""),2.856473643032285)</f>
        <v>2.856473643</v>
      </c>
      <c r="AD872" s="82">
        <f>IFERROR(__xludf.DUMMYFUNCTION("""COMPUTED_VALUE"""),0.9355482234608966)</f>
        <v>0.9355482235</v>
      </c>
      <c r="AE872" s="82">
        <f>IFERROR(__xludf.DUMMYFUNCTION("""COMPUTED_VALUE"""),0.6929262533039777)</f>
        <v>0.6929262533</v>
      </c>
      <c r="AF872" s="82">
        <f>IFERROR(__xludf.DUMMYFUNCTION("""COMPUTED_VALUE"""),1.098455856342315)</f>
        <v>1.098455856</v>
      </c>
      <c r="AG872" s="82">
        <f>IFERROR(__xludf.DUMMYFUNCTION("""COMPUTED_VALUE"""),0.9924402206389212)</f>
        <v>0.9924402206</v>
      </c>
      <c r="AH872" s="82">
        <f>IFERROR(__xludf.DUMMYFUNCTION("""COMPUTED_VALUE"""),0.9821744942051425)</f>
        <v>0.9821744942</v>
      </c>
      <c r="AI872" s="82">
        <f>IFERROR(__xludf.DUMMYFUNCTION("""COMPUTED_VALUE"""),0.981742304487376)</f>
        <v>0.9817423045</v>
      </c>
      <c r="AJ872" s="82">
        <f>IFERROR(__xludf.DUMMYFUNCTION("""COMPUTED_VALUE"""),0.9233050984196793)</f>
        <v>0.9233050984</v>
      </c>
      <c r="AK872" s="82">
        <f>IFERROR(__xludf.DUMMYFUNCTION("""COMPUTED_VALUE"""),1.0118703825745927)</f>
        <v>1.011870383</v>
      </c>
      <c r="AL872" s="82">
        <f>IFERROR(__xludf.DUMMYFUNCTION("""COMPUTED_VALUE"""),0.9640476740517522)</f>
        <v>0.9640476741</v>
      </c>
      <c r="AM872" s="82">
        <f>IFERROR(__xludf.DUMMYFUNCTION("""COMPUTED_VALUE"""),0.9712759474065293)</f>
        <v>0.9712759474</v>
      </c>
      <c r="AN872" s="82">
        <f>IFERROR(__xludf.DUMMYFUNCTION("""COMPUTED_VALUE"""),0.9897210417538816)</f>
        <v>0.9897210418</v>
      </c>
      <c r="AO872" s="82">
        <f>IFERROR(__xludf.DUMMYFUNCTION("""COMPUTED_VALUE"""),0.8179251456335233)</f>
        <v>0.8179251456</v>
      </c>
      <c r="AP872" s="82">
        <f>IFERROR(__xludf.DUMMYFUNCTION("""COMPUTED_VALUE"""),1.2075689366442954)</f>
        <v>1.207568937</v>
      </c>
      <c r="AQ872" s="82">
        <f>IFERROR(__xludf.DUMMYFUNCTION("""COMPUTED_VALUE"""),0.9541493230503908)</f>
        <v>0.9541493231</v>
      </c>
      <c r="AR872" s="82">
        <f>IFERROR(__xludf.DUMMYFUNCTION("""COMPUTED_VALUE"""),1.1137088467475413)</f>
        <v>1.113708847</v>
      </c>
      <c r="AS872" s="82">
        <f>IFERROR(__xludf.DUMMYFUNCTION("""COMPUTED_VALUE"""),85.0)</f>
        <v>85</v>
      </c>
      <c r="AT872" s="82">
        <f>IFERROR(__xludf.DUMMYFUNCTION("""COMPUTED_VALUE"""),0.5579073849621315)</f>
        <v>0.557907385</v>
      </c>
      <c r="AU872" s="82">
        <f>IFERROR(__xludf.DUMMYFUNCTION("""COMPUTED_VALUE"""),2.325311455238942)</f>
        <v>2.325311455</v>
      </c>
      <c r="AV872" s="82">
        <f>IFERROR(__xludf.DUMMYFUNCTION("""COMPUTED_VALUE"""),50.01719212468344)</f>
        <v>50.01719212</v>
      </c>
      <c r="AW872" s="82">
        <f t="shared" si="1"/>
        <v>2.001097989</v>
      </c>
      <c r="AX872" s="83">
        <f t="array" ref="AX872">IFERROR(DGET('SBV Import'!A:G,"SBV",{"RSC ID","Tier";B872,A872}))</f>
        <v>51.71443435</v>
      </c>
      <c r="AY872" s="82">
        <f t="shared" si="2"/>
        <v>2.115672199</v>
      </c>
      <c r="AZ872" s="82">
        <v>0.11457421052164696</v>
      </c>
      <c r="BA872" s="84">
        <v>800.0</v>
      </c>
      <c r="BB872" s="84" t="b">
        <f>IFERROR(__xludf.DUMMYFUNCTION("iferror(if(A872="""",,E872&gt;=FILTER(Constants!$F$2:$F$10,Constants!$A$2:$A$10=A872)))"),TRUE)</f>
        <v>1</v>
      </c>
    </row>
    <row r="873">
      <c r="A873" s="80" t="str">
        <f>IFERROR(__xludf.DUMMYFUNCTION("""COMPUTED_VALUE"""),"Elite")</f>
        <v>Elite</v>
      </c>
      <c r="B873" s="73" t="str">
        <f>IFERROR(__xludf.DUMMYFUNCTION("""COMPUTED_VALUE"""),"RSC003113")</f>
        <v>RSC003113</v>
      </c>
      <c r="C873" s="73" t="str">
        <f>IFERROR(__xludf.DUMMYFUNCTION("""COMPUTED_VALUE"""),"Nebulade")</f>
        <v>Nebulade</v>
      </c>
      <c r="D873" s="73" t="str">
        <f>IFERROR(__xludf.DUMMYFUNCTION("""COMPUTED_VALUE"""),"Pylons")</f>
        <v>Pylons</v>
      </c>
      <c r="E873" s="82">
        <f>IFERROR(__xludf.DUMMYFUNCTION("""COMPUTED_VALUE"""),36.0)</f>
        <v>36</v>
      </c>
      <c r="F873" s="82">
        <f>IFERROR(__xludf.DUMMYFUNCTION("""COMPUTED_VALUE"""),15.0)</f>
        <v>15</v>
      </c>
      <c r="G873" s="82">
        <f>IFERROR(__xludf.DUMMYFUNCTION("""COMPUTED_VALUE"""),21.0)</f>
        <v>21</v>
      </c>
      <c r="H873" s="86">
        <f>IFERROR(__xludf.DUMMYFUNCTION("""COMPUTED_VALUE"""),0.4166666666666667)</f>
        <v>0.4166666667</v>
      </c>
      <c r="I873" s="86">
        <f>IFERROR(__xludf.DUMMYFUNCTION("""COMPUTED_VALUE"""),0.2727272727272727)</f>
        <v>0.2727272727</v>
      </c>
      <c r="J873" s="82">
        <f>IFERROR(__xludf.DUMMYFUNCTION("""COMPUTED_VALUE"""),344.6388888888889)</f>
        <v>344.6388889</v>
      </c>
      <c r="K873" s="82">
        <f>IFERROR(__xludf.DUMMYFUNCTION("""COMPUTED_VALUE"""),0.75)</f>
        <v>0.75</v>
      </c>
      <c r="L873" s="82">
        <f>IFERROR(__xludf.DUMMYFUNCTION("""COMPUTED_VALUE"""),0.5)</f>
        <v>0.5</v>
      </c>
      <c r="M873" s="82">
        <f>IFERROR(__xludf.DUMMYFUNCTION("""COMPUTED_VALUE"""),1.4166666666666667)</f>
        <v>1.416666667</v>
      </c>
      <c r="N873" s="82">
        <f>IFERROR(__xludf.DUMMYFUNCTION("""COMPUTED_VALUE"""),2.75)</f>
        <v>2.75</v>
      </c>
      <c r="O873" s="82">
        <f>IFERROR(__xludf.DUMMYFUNCTION("""COMPUTED_VALUE"""),366.45370370370364)</f>
        <v>366.4537037</v>
      </c>
      <c r="P873" s="82">
        <f>IFERROR(__xludf.DUMMYFUNCTION("""COMPUTED_VALUE"""),0.8518518518518519)</f>
        <v>0.8518518519</v>
      </c>
      <c r="Q873" s="82">
        <f>IFERROR(__xludf.DUMMYFUNCTION("""COMPUTED_VALUE"""),0.6018518518518519)</f>
        <v>0.6018518519</v>
      </c>
      <c r="R873" s="82">
        <f>IFERROR(__xludf.DUMMYFUNCTION("""COMPUTED_VALUE"""),1.4537037037037033)</f>
        <v>1.453703704</v>
      </c>
      <c r="S873" s="82">
        <f>IFERROR(__xludf.DUMMYFUNCTION("""COMPUTED_VALUE"""),2.620370370370371)</f>
        <v>2.62037037</v>
      </c>
      <c r="T873" s="82">
        <f>IFERROR(__xludf.DUMMYFUNCTION("""COMPUTED_VALUE"""),363.0838485852589)</f>
        <v>363.0838486</v>
      </c>
      <c r="U873" s="82">
        <f>IFERROR(__xludf.DUMMYFUNCTION("""COMPUTED_VALUE"""),0.7708742530293515)</f>
        <v>0.770874253</v>
      </c>
      <c r="V873" s="82">
        <f>IFERROR(__xludf.DUMMYFUNCTION("""COMPUTED_VALUE"""),0.5545130874364107)</f>
        <v>0.5545130874</v>
      </c>
      <c r="W873" s="82">
        <f>IFERROR(__xludf.DUMMYFUNCTION("""COMPUTED_VALUE"""),1.5129005607747694)</f>
        <v>1.512900561</v>
      </c>
      <c r="X873" s="82">
        <f>IFERROR(__xludf.DUMMYFUNCTION("""COMPUTED_VALUE"""),2.5376496998924845)</f>
        <v>2.5376497</v>
      </c>
      <c r="Y873" s="82">
        <f>IFERROR(__xludf.DUMMYFUNCTION("""COMPUTED_VALUE"""),360.48768740226046)</f>
        <v>360.4876874</v>
      </c>
      <c r="Z873" s="82">
        <f>IFERROR(__xludf.DUMMYFUNCTION("""COMPUTED_VALUE"""),0.7695653817972308)</f>
        <v>0.7695653818</v>
      </c>
      <c r="AA873" s="82">
        <f>IFERROR(__xludf.DUMMYFUNCTION("""COMPUTED_VALUE"""),0.586915682149626)</f>
        <v>0.5869156821</v>
      </c>
      <c r="AB873" s="82">
        <f>IFERROR(__xludf.DUMMYFUNCTION("""COMPUTED_VALUE"""),1.3817516391377143)</f>
        <v>1.381751639</v>
      </c>
      <c r="AC873" s="82">
        <f>IFERROR(__xludf.DUMMYFUNCTION("""COMPUTED_VALUE"""),2.7456542761694327)</f>
        <v>2.745654276</v>
      </c>
      <c r="AD873" s="82">
        <f>IFERROR(__xludf.DUMMYFUNCTION("""COMPUTED_VALUE"""),0.9560351183487545)</f>
        <v>0.9560351183</v>
      </c>
      <c r="AE873" s="82">
        <f>IFERROR(__xludf.DUMMYFUNCTION("""COMPUTED_VALUE"""),0.9745760629830592)</f>
        <v>0.974576063</v>
      </c>
      <c r="AF873" s="82">
        <f>IFERROR(__xludf.DUMMYFUNCTION("""COMPUTED_VALUE"""),0.8519111266012006)</f>
        <v>0.8519111266</v>
      </c>
      <c r="AG873" s="82">
        <f>IFERROR(__xludf.DUMMYFUNCTION("""COMPUTED_VALUE"""),1.025268670968063)</f>
        <v>1.025268671</v>
      </c>
      <c r="AH873" s="82">
        <f>IFERROR(__xludf.DUMMYFUNCTION("""COMPUTED_VALUE"""),1.0015827643954613)</f>
        <v>1.001582764</v>
      </c>
      <c r="AI873" s="82">
        <f>IFERROR(__xludf.DUMMYFUNCTION("""COMPUTED_VALUE"""),1.0092812035885794)</f>
        <v>1.009281204</v>
      </c>
      <c r="AJ873" s="82">
        <f>IFERROR(__xludf.DUMMYFUNCTION("""COMPUTED_VALUE"""),1.1050464437024297)</f>
        <v>1.105046444</v>
      </c>
      <c r="AK873" s="82">
        <f>IFERROR(__xludf.DUMMYFUNCTION("""COMPUTED_VALUE"""),1.0853699677933566)</f>
        <v>1.085369968</v>
      </c>
      <c r="AL873" s="82">
        <f>IFERROR(__xludf.DUMMYFUNCTION("""COMPUTED_VALUE"""),0.960871944524397)</f>
        <v>0.9608719445</v>
      </c>
      <c r="AM873" s="82">
        <f>IFERROR(__xludf.DUMMYFUNCTION("""COMPUTED_VALUE"""),1.0325973559240236)</f>
        <v>1.032597356</v>
      </c>
      <c r="AN873" s="82">
        <f>IFERROR(__xludf.DUMMYFUNCTION("""COMPUTED_VALUE"""),0.9771201531821764)</f>
        <v>0.9771201532</v>
      </c>
      <c r="AO873" s="82">
        <f>IFERROR(__xludf.DUMMYFUNCTION("""COMPUTED_VALUE"""),1.0516180443859584)</f>
        <v>1.051618044</v>
      </c>
      <c r="AP873" s="82">
        <f>IFERROR(__xludf.DUMMYFUNCTION("""COMPUTED_VALUE"""),0.8694496343838928)</f>
        <v>0.8694496344</v>
      </c>
      <c r="AQ873" s="82">
        <f>IFERROR(__xludf.DUMMYFUNCTION("""COMPUTED_VALUE"""),0.9930941933789781)</f>
        <v>0.9930941934</v>
      </c>
      <c r="AR873" s="82">
        <f>IFERROR(__xludf.DUMMYFUNCTION("""COMPUTED_VALUE"""),1.0916552062178873)</f>
        <v>1.091655206</v>
      </c>
      <c r="AS873" s="82">
        <f>IFERROR(__xludf.DUMMYFUNCTION("""COMPUTED_VALUE"""),83.0)</f>
        <v>83</v>
      </c>
      <c r="AT873" s="82">
        <f>IFERROR(__xludf.DUMMYFUNCTION("""COMPUTED_VALUE"""),0.45957019097297414)</f>
        <v>0.459570191</v>
      </c>
      <c r="AU873" s="82">
        <f>IFERROR(__xludf.DUMMYFUNCTION("""COMPUTED_VALUE"""),2.3243222129435654)</f>
        <v>2.324322213</v>
      </c>
      <c r="AV873" s="82">
        <f>IFERROR(__xludf.DUMMYFUNCTION("""COMPUTED_VALUE"""),49.98939495124653)</f>
        <v>49.98939495</v>
      </c>
      <c r="AW873" s="82">
        <f t="shared" si="1"/>
        <v>-2.000677158</v>
      </c>
      <c r="AX873" s="83">
        <f t="array" ref="AX873">IFERROR(DGET('SBV Import'!A:G,"SBV",{"RSC ID","Tier";B873,A873}))</f>
        <v>44.3669045</v>
      </c>
      <c r="AY873" s="82">
        <f t="shared" si="2"/>
        <v>-2.433897265</v>
      </c>
      <c r="AZ873" s="82">
        <v>0.43322010785120524</v>
      </c>
      <c r="BA873" s="84">
        <v>800.0</v>
      </c>
      <c r="BB873" s="84" t="b">
        <f>IFERROR(__xludf.DUMMYFUNCTION("iferror(if(A873="""",,E873&gt;=FILTER(Constants!$F$2:$F$10,Constants!$A$2:$A$10=A873)))"),TRUE)</f>
        <v>1</v>
      </c>
    </row>
    <row r="874">
      <c r="A874" s="80" t="str">
        <f>IFERROR(__xludf.DUMMYFUNCTION("""COMPUTED_VALUE"""),"Elite")</f>
        <v>Elite</v>
      </c>
      <c r="B874" s="73" t="str">
        <f>IFERROR(__xludf.DUMMYFUNCTION("""COMPUTED_VALUE"""),"RSC005872")</f>
        <v>RSC005872</v>
      </c>
      <c r="C874" s="73" t="str">
        <f>IFERROR(__xludf.DUMMYFUNCTION("""COMPUTED_VALUE"""),"Ditto")</f>
        <v>Ditto</v>
      </c>
      <c r="D874" s="73" t="str">
        <f>IFERROR(__xludf.DUMMYFUNCTION("""COMPUTED_VALUE"""),"Pixel Picassos")</f>
        <v>Pixel Picassos</v>
      </c>
      <c r="E874" s="82">
        <f>IFERROR(__xludf.DUMMYFUNCTION("""COMPUTED_VALUE"""),28.0)</f>
        <v>28</v>
      </c>
      <c r="F874" s="82">
        <f>IFERROR(__xludf.DUMMYFUNCTION("""COMPUTED_VALUE"""),5.0)</f>
        <v>5</v>
      </c>
      <c r="G874" s="82">
        <f>IFERROR(__xludf.DUMMYFUNCTION("""COMPUTED_VALUE"""),23.0)</f>
        <v>23</v>
      </c>
      <c r="H874" s="86">
        <f>IFERROR(__xludf.DUMMYFUNCTION("""COMPUTED_VALUE"""),0.17857142857142858)</f>
        <v>0.1785714286</v>
      </c>
      <c r="I874" s="86">
        <f>IFERROR(__xludf.DUMMYFUNCTION("""COMPUTED_VALUE"""),0.2666666666666667)</f>
        <v>0.2666666667</v>
      </c>
      <c r="J874" s="82">
        <f>IFERROR(__xludf.DUMMYFUNCTION("""COMPUTED_VALUE"""),365.14285714285717)</f>
        <v>365.1428571</v>
      </c>
      <c r="K874" s="82">
        <f>IFERROR(__xludf.DUMMYFUNCTION("""COMPUTED_VALUE"""),0.7142857142857143)</f>
        <v>0.7142857143</v>
      </c>
      <c r="L874" s="82">
        <f>IFERROR(__xludf.DUMMYFUNCTION("""COMPUTED_VALUE"""),0.4642857142857143)</f>
        <v>0.4642857143</v>
      </c>
      <c r="M874" s="82">
        <f>IFERROR(__xludf.DUMMYFUNCTION("""COMPUTED_VALUE"""),1.6785714285714286)</f>
        <v>1.678571429</v>
      </c>
      <c r="N874" s="82">
        <f>IFERROR(__xludf.DUMMYFUNCTION("""COMPUTED_VALUE"""),2.6785714285714284)</f>
        <v>2.678571429</v>
      </c>
      <c r="O874" s="82">
        <f>IFERROR(__xludf.DUMMYFUNCTION("""COMPUTED_VALUE"""),397.0119047619047)</f>
        <v>397.0119048</v>
      </c>
      <c r="P874" s="82">
        <f>IFERROR(__xludf.DUMMYFUNCTION("""COMPUTED_VALUE"""),1.0238095238095235)</f>
        <v>1.023809524</v>
      </c>
      <c r="Q874" s="82">
        <f>IFERROR(__xludf.DUMMYFUNCTION("""COMPUTED_VALUE"""),0.75)</f>
        <v>0.75</v>
      </c>
      <c r="R874" s="82">
        <f>IFERROR(__xludf.DUMMYFUNCTION("""COMPUTED_VALUE"""),1.2023809523809523)</f>
        <v>1.202380952</v>
      </c>
      <c r="S874" s="82">
        <f>IFERROR(__xludf.DUMMYFUNCTION("""COMPUTED_VALUE"""),3.452380952380952)</f>
        <v>3.452380952</v>
      </c>
      <c r="T874" s="82">
        <f>IFERROR(__xludf.DUMMYFUNCTION("""COMPUTED_VALUE"""),377.93776278698624)</f>
        <v>377.9377628</v>
      </c>
      <c r="U874" s="82">
        <f>IFERROR(__xludf.DUMMYFUNCTION("""COMPUTED_VALUE"""),0.904821510450199)</f>
        <v>0.9048215105</v>
      </c>
      <c r="V874" s="82">
        <f>IFERROR(__xludf.DUMMYFUNCTION("""COMPUTED_VALUE"""),0.6797003177216089)</f>
        <v>0.6797003177</v>
      </c>
      <c r="W874" s="82">
        <f>IFERROR(__xludf.DUMMYFUNCTION("""COMPUTED_VALUE"""),1.2986754345219558)</f>
        <v>1.298675435</v>
      </c>
      <c r="X874" s="82">
        <f>IFERROR(__xludf.DUMMYFUNCTION("""COMPUTED_VALUE"""),2.994595743403525)</f>
        <v>2.994595743</v>
      </c>
      <c r="Y874" s="82">
        <f>IFERROR(__xludf.DUMMYFUNCTION("""COMPUTED_VALUE"""),358.92377632211935)</f>
        <v>358.9237763</v>
      </c>
      <c r="Z874" s="82">
        <f>IFERROR(__xludf.DUMMYFUNCTION("""COMPUTED_VALUE"""),0.7013721688952013)</f>
        <v>0.7013721689</v>
      </c>
      <c r="AA874" s="82">
        <f>IFERROR(__xludf.DUMMYFUNCTION("""COMPUTED_VALUE"""),0.5148653445975403)</f>
        <v>0.5148653446</v>
      </c>
      <c r="AB874" s="82">
        <f>IFERROR(__xludf.DUMMYFUNCTION("""COMPUTED_VALUE"""),1.6107091146234418)</f>
        <v>1.610709115</v>
      </c>
      <c r="AC874" s="82">
        <f>IFERROR(__xludf.DUMMYFUNCTION("""COMPUTED_VALUE"""),2.4462637661455804)</f>
        <v>2.446263766</v>
      </c>
      <c r="AD874" s="82">
        <f>IFERROR(__xludf.DUMMYFUNCTION("""COMPUTED_VALUE"""),1.0173270238167684)</f>
        <v>1.017327024</v>
      </c>
      <c r="AE874" s="82">
        <f>IFERROR(__xludf.DUMMYFUNCTION("""COMPUTED_VALUE"""),1.018411830356563)</f>
        <v>1.01841183</v>
      </c>
      <c r="AF874" s="82">
        <f>IFERROR(__xludf.DUMMYFUNCTION("""COMPUTED_VALUE"""),0.901761439485963)</f>
        <v>0.9017614395</v>
      </c>
      <c r="AG874" s="82">
        <f>IFERROR(__xludf.DUMMYFUNCTION("""COMPUTED_VALUE"""),1.0421319487993659)</f>
        <v>1.042131949</v>
      </c>
      <c r="AH874" s="82">
        <f>IFERROR(__xludf.DUMMYFUNCTION("""COMPUTED_VALUE"""),1.0949642739433123)</f>
        <v>1.094964274</v>
      </c>
      <c r="AI874" s="82">
        <f>IFERROR(__xludf.DUMMYFUNCTION("""COMPUTED_VALUE"""),1.050469002711616)</f>
        <v>1.050469003</v>
      </c>
      <c r="AJ874" s="82">
        <f>IFERROR(__xludf.DUMMYFUNCTION("""COMPUTED_VALUE"""),1.1315044038907975)</f>
        <v>1.131504404</v>
      </c>
      <c r="AK874" s="82">
        <f>IFERROR(__xludf.DUMMYFUNCTION("""COMPUTED_VALUE"""),1.1034274671432247)</f>
        <v>1.103427467</v>
      </c>
      <c r="AL874" s="82">
        <f>IFERROR(__xludf.DUMMYFUNCTION("""COMPUTED_VALUE"""),0.9258517720584669)</f>
        <v>0.9258517721</v>
      </c>
      <c r="AM874" s="82">
        <f>IFERROR(__xludf.DUMMYFUNCTION("""COMPUTED_VALUE"""),1.1528704533778336)</f>
        <v>1.152870453</v>
      </c>
      <c r="AN874" s="82">
        <f>IFERROR(__xludf.DUMMYFUNCTION("""COMPUTED_VALUE"""),1.0352530025125348)</f>
        <v>1.035253003</v>
      </c>
      <c r="AO874" s="82">
        <f>IFERROR(__xludf.DUMMYFUNCTION("""COMPUTED_VALUE"""),1.0015409946532938)</f>
        <v>1.001540995</v>
      </c>
      <c r="AP874" s="82">
        <f>IFERROR(__xludf.DUMMYFUNCTION("""COMPUTED_VALUE"""),0.8073460890707576)</f>
        <v>0.8073460891</v>
      </c>
      <c r="AQ874" s="82">
        <f>IFERROR(__xludf.DUMMYFUNCTION("""COMPUTED_VALUE"""),1.176691439213747)</f>
        <v>1.176691439</v>
      </c>
      <c r="AR874" s="82">
        <f>IFERROR(__xludf.DUMMYFUNCTION("""COMPUTED_VALUE"""),1.063300525536903)</f>
        <v>1.063300526</v>
      </c>
      <c r="AS874" s="82">
        <f>IFERROR(__xludf.DUMMYFUNCTION("""COMPUTED_VALUE"""),50.0)</f>
        <v>50</v>
      </c>
      <c r="AT874" s="82">
        <f>IFERROR(__xludf.DUMMYFUNCTION("""COMPUTED_VALUE"""),0.29867988341457985)</f>
        <v>0.2986798834</v>
      </c>
      <c r="AU874" s="82">
        <f>IFERROR(__xludf.DUMMYFUNCTION("""COMPUTED_VALUE"""),2.3219534669922686)</f>
        <v>2.321953467</v>
      </c>
      <c r="AV874" s="82">
        <f>IFERROR(__xludf.DUMMYFUNCTION("""COMPUTED_VALUE"""),49.922834471226686)</f>
        <v>49.92283447</v>
      </c>
      <c r="AW874" s="82">
        <f t="shared" si="1"/>
        <v>-2.004937687</v>
      </c>
      <c r="AX874" s="83">
        <f t="array" ref="AX874">IFERROR(DGET('SBV Import'!A:G,"SBV",{"RSC ID","Tier";B874,A874}))</f>
        <v>37.40918883</v>
      </c>
      <c r="AY874" s="82">
        <f t="shared" si="2"/>
        <v>-3.254574332</v>
      </c>
      <c r="AZ874" s="82">
        <v>1.2496366443420248</v>
      </c>
      <c r="BA874" s="84">
        <v>800.0</v>
      </c>
      <c r="BB874" s="84" t="b">
        <f>IFERROR(__xludf.DUMMYFUNCTION("iferror(if(A874="""",,E874&gt;=FILTER(Constants!$F$2:$F$10,Constants!$A$2:$A$10=A874)))"),TRUE)</f>
        <v>1</v>
      </c>
    </row>
    <row r="875">
      <c r="A875" s="80" t="str">
        <f>IFERROR(__xludf.DUMMYFUNCTION("""COMPUTED_VALUE"""),"Elite")</f>
        <v>Elite</v>
      </c>
      <c r="B875" s="73" t="str">
        <f>IFERROR(__xludf.DUMMYFUNCTION("""COMPUTED_VALUE"""),"RSC000344")</f>
        <v>RSC000344</v>
      </c>
      <c r="C875" s="73" t="str">
        <f>IFERROR(__xludf.DUMMYFUNCTION("""COMPUTED_VALUE"""),"Mezmer")</f>
        <v>Mezmer</v>
      </c>
      <c r="D875" s="73" t="str">
        <f>IFERROR(__xludf.DUMMYFUNCTION("""COMPUTED_VALUE"""),"Demons")</f>
        <v>Demons</v>
      </c>
      <c r="E875" s="82">
        <f>IFERROR(__xludf.DUMMYFUNCTION("""COMPUTED_VALUE"""),24.0)</f>
        <v>24</v>
      </c>
      <c r="F875" s="82">
        <f>IFERROR(__xludf.DUMMYFUNCTION("""COMPUTED_VALUE"""),11.0)</f>
        <v>11</v>
      </c>
      <c r="G875" s="82">
        <f>IFERROR(__xludf.DUMMYFUNCTION("""COMPUTED_VALUE"""),13.0)</f>
        <v>13</v>
      </c>
      <c r="H875" s="86">
        <f>IFERROR(__xludf.DUMMYFUNCTION("""COMPUTED_VALUE"""),0.4583333333333333)</f>
        <v>0.4583333333</v>
      </c>
      <c r="I875" s="86">
        <f>IFERROR(__xludf.DUMMYFUNCTION("""COMPUTED_VALUE"""),0.29032258064516125)</f>
        <v>0.2903225806</v>
      </c>
      <c r="J875" s="82">
        <f>IFERROR(__xludf.DUMMYFUNCTION("""COMPUTED_VALUE"""),308.5416666666667)</f>
        <v>308.5416667</v>
      </c>
      <c r="K875" s="82">
        <f>IFERROR(__xludf.DUMMYFUNCTION("""COMPUTED_VALUE"""),0.75)</f>
        <v>0.75</v>
      </c>
      <c r="L875" s="82">
        <f>IFERROR(__xludf.DUMMYFUNCTION("""COMPUTED_VALUE"""),0.4583333333333333)</f>
        <v>0.4583333333</v>
      </c>
      <c r="M875" s="82">
        <f>IFERROR(__xludf.DUMMYFUNCTION("""COMPUTED_VALUE"""),1.0416666666666667)</f>
        <v>1.041666667</v>
      </c>
      <c r="N875" s="82">
        <f>IFERROR(__xludf.DUMMYFUNCTION("""COMPUTED_VALUE"""),2.5833333333333335)</f>
        <v>2.583333333</v>
      </c>
      <c r="O875" s="82">
        <f>IFERROR(__xludf.DUMMYFUNCTION("""COMPUTED_VALUE"""),374.2083333333334)</f>
        <v>374.2083333</v>
      </c>
      <c r="P875" s="82">
        <f>IFERROR(__xludf.DUMMYFUNCTION("""COMPUTED_VALUE"""),0.9305555555555555)</f>
        <v>0.9305555556</v>
      </c>
      <c r="Q875" s="82">
        <f>IFERROR(__xludf.DUMMYFUNCTION("""COMPUTED_VALUE"""),0.722222222222222)</f>
        <v>0.7222222222</v>
      </c>
      <c r="R875" s="82">
        <f>IFERROR(__xludf.DUMMYFUNCTION("""COMPUTED_VALUE"""),1.2083333333333333)</f>
        <v>1.208333333</v>
      </c>
      <c r="S875" s="82">
        <f>IFERROR(__xludf.DUMMYFUNCTION("""COMPUTED_VALUE"""),2.9166666666666674)</f>
        <v>2.916666667</v>
      </c>
      <c r="T875" s="82">
        <f>IFERROR(__xludf.DUMMYFUNCTION("""COMPUTED_VALUE"""),376.37619896571294)</f>
        <v>376.376199</v>
      </c>
      <c r="U875" s="82">
        <f>IFERROR(__xludf.DUMMYFUNCTION("""COMPUTED_VALUE"""),0.9153937284450967)</f>
        <v>0.9153937284</v>
      </c>
      <c r="V875" s="82">
        <f>IFERROR(__xludf.DUMMYFUNCTION("""COMPUTED_VALUE"""),0.671277059198892)</f>
        <v>0.6712770592</v>
      </c>
      <c r="W875" s="82">
        <f>IFERROR(__xludf.DUMMYFUNCTION("""COMPUTED_VALUE"""),1.293916811972754)</f>
        <v>1.293916812</v>
      </c>
      <c r="X875" s="82">
        <f>IFERROR(__xludf.DUMMYFUNCTION("""COMPUTED_VALUE"""),2.8462917255004805)</f>
        <v>2.846291726</v>
      </c>
      <c r="Y875" s="82">
        <f>IFERROR(__xludf.DUMMYFUNCTION("""COMPUTED_VALUE"""),353.76935803688957)</f>
        <v>353.769358</v>
      </c>
      <c r="Z875" s="82">
        <f>IFERROR(__xludf.DUMMYFUNCTION("""COMPUTED_VALUE"""),0.7220911321059477)</f>
        <v>0.7220911321</v>
      </c>
      <c r="AA875" s="82">
        <f>IFERROR(__xludf.DUMMYFUNCTION("""COMPUTED_VALUE"""),0.515512548714654)</f>
        <v>0.5155125487</v>
      </c>
      <c r="AB875" s="82">
        <f>IFERROR(__xludf.DUMMYFUNCTION("""COMPUTED_VALUE"""),1.5381233334377196)</f>
        <v>1.538123333</v>
      </c>
      <c r="AC875" s="82">
        <f>IFERROR(__xludf.DUMMYFUNCTION("""COMPUTED_VALUE"""),2.4004569004378045)</f>
        <v>2.4004569</v>
      </c>
      <c r="AD875" s="82">
        <f>IFERROR(__xludf.DUMMYFUNCTION("""COMPUTED_VALUE"""),0.8721548649063418)</f>
        <v>0.8721548649</v>
      </c>
      <c r="AE875" s="82">
        <f>IFERROR(__xludf.DUMMYFUNCTION("""COMPUTED_VALUE"""),1.0386500632027669)</f>
        <v>1.038650063</v>
      </c>
      <c r="AF875" s="82">
        <f>IFERROR(__xludf.DUMMYFUNCTION("""COMPUTED_VALUE"""),0.8890827865899915)</f>
        <v>0.8890827866</v>
      </c>
      <c r="AG875" s="82">
        <f>IFERROR(__xludf.DUMMYFUNCTION("""COMPUTED_VALUE"""),0.6772322115018776)</f>
        <v>0.6772322115</v>
      </c>
      <c r="AH875" s="82">
        <f>IFERROR(__xludf.DUMMYFUNCTION("""COMPUTED_VALUE"""),1.0761840101616384)</f>
        <v>1.07618401</v>
      </c>
      <c r="AI875" s="82">
        <f>IFERROR(__xludf.DUMMYFUNCTION("""COMPUTED_VALUE"""),0.9942401627989845)</f>
        <v>0.9942401628</v>
      </c>
      <c r="AJ875" s="82">
        <f>IFERROR(__xludf.DUMMYFUNCTION("""COMPUTED_VALUE"""),1.0165631756470659)</f>
        <v>1.016563176</v>
      </c>
      <c r="AK875" s="82">
        <f>IFERROR(__xludf.DUMMYFUNCTION("""COMPUTED_VALUE"""),1.0758929004428193)</f>
        <v>1.0758929</v>
      </c>
      <c r="AL875" s="82">
        <f>IFERROR(__xludf.DUMMYFUNCTION("""COMPUTED_VALUE"""),0.933857047186104)</f>
        <v>0.9338570472</v>
      </c>
      <c r="AM875" s="82">
        <f>IFERROR(__xludf.DUMMYFUNCTION("""COMPUTED_VALUE"""),1.0247251328933307)</f>
        <v>1.024725133</v>
      </c>
      <c r="AN875" s="82">
        <f>IFERROR(__xludf.DUMMYFUNCTION("""COMPUTED_VALUE"""),0.874777311313857)</f>
        <v>0.8747773113</v>
      </c>
      <c r="AO875" s="82">
        <f>IFERROR(__xludf.DUMMYFUNCTION("""COMPUTED_VALUE"""),1.0516180443859584)</f>
        <v>1.051618044</v>
      </c>
      <c r="AP875" s="82">
        <f>IFERROR(__xludf.DUMMYFUNCTION("""COMPUTED_VALUE"""),0.796995498185235)</f>
        <v>0.7969954982</v>
      </c>
      <c r="AQ875" s="82">
        <f>IFERROR(__xludf.DUMMYFUNCTION("""COMPUTED_VALUE"""),0.7302163186610133)</f>
        <v>0.7302163187</v>
      </c>
      <c r="AR875" s="82">
        <f>IFERROR(__xludf.DUMMYFUNCTION("""COMPUTED_VALUE"""),1.0254942846289243)</f>
        <v>1.025494285</v>
      </c>
      <c r="AS875" s="82">
        <f>IFERROR(__xludf.DUMMYFUNCTION("""COMPUTED_VALUE"""),61.0)</f>
        <v>61</v>
      </c>
      <c r="AT875" s="82">
        <f>IFERROR(__xludf.DUMMYFUNCTION("""COMPUTED_VALUE"""),0.46215166815360414)</f>
        <v>0.4621516682</v>
      </c>
      <c r="AU875" s="82">
        <f>IFERROR(__xludf.DUMMYFUNCTION("""COMPUTED_VALUE"""),2.2936628388782285)</f>
        <v>2.293662839</v>
      </c>
      <c r="AV875" s="82">
        <f>IFERROR(__xludf.DUMMYFUNCTION("""COMPUTED_VALUE"""),49.12788312310828)</f>
        <v>49.12788312</v>
      </c>
      <c r="AW875" s="82">
        <f t="shared" si="1"/>
        <v>-2.057249762</v>
      </c>
      <c r="AX875" s="83">
        <f t="array" ref="AX875">IFERROR(DGET('SBV Import'!A:G,"SBV",{"RSC ID","Tier";B875,A875}))</f>
        <v>30.33060737</v>
      </c>
      <c r="AY875" s="82">
        <f t="shared" si="2"/>
        <v>-4.635927001</v>
      </c>
      <c r="AZ875" s="82">
        <v>2.5786772385649566</v>
      </c>
      <c r="BA875" s="84">
        <v>800.0</v>
      </c>
      <c r="BB875" s="84" t="b">
        <f>IFERROR(__xludf.DUMMYFUNCTION("iferror(if(A875="""",,E875&gt;=FILTER(Constants!$F$2:$F$10,Constants!$A$2:$A$10=A875)))"),TRUE)</f>
        <v>1</v>
      </c>
    </row>
    <row r="876">
      <c r="A876" s="80" t="str">
        <f>IFERROR(__xludf.DUMMYFUNCTION("""COMPUTED_VALUE"""),"Elite")</f>
        <v>Elite</v>
      </c>
      <c r="B876" s="73" t="str">
        <f>IFERROR(__xludf.DUMMYFUNCTION("""COMPUTED_VALUE"""),"RSC000488")</f>
        <v>RSC000488</v>
      </c>
      <c r="C876" s="73" t="str">
        <f>IFERROR(__xludf.DUMMYFUNCTION("""COMPUTED_VALUE"""),"theblobofglob22")</f>
        <v>theblobofglob22</v>
      </c>
      <c r="D876" s="73"/>
      <c r="E876" s="82">
        <f>IFERROR(__xludf.DUMMYFUNCTION("""COMPUTED_VALUE"""),4.0)</f>
        <v>4</v>
      </c>
      <c r="F876" s="82">
        <f>IFERROR(__xludf.DUMMYFUNCTION("""COMPUTED_VALUE"""),1.0)</f>
        <v>1</v>
      </c>
      <c r="G876" s="82">
        <f>IFERROR(__xludf.DUMMYFUNCTION("""COMPUTED_VALUE"""),3.0)</f>
        <v>3</v>
      </c>
      <c r="H876" s="86">
        <f>IFERROR(__xludf.DUMMYFUNCTION("""COMPUTED_VALUE"""),0.25)</f>
        <v>0.25</v>
      </c>
      <c r="I876" s="86">
        <f>IFERROR(__xludf.DUMMYFUNCTION("""COMPUTED_VALUE"""),0.4444444444444444)</f>
        <v>0.4444444444</v>
      </c>
      <c r="J876" s="82">
        <f>IFERROR(__xludf.DUMMYFUNCTION("""COMPUTED_VALUE"""),368.5)</f>
        <v>368.5</v>
      </c>
      <c r="K876" s="82">
        <f>IFERROR(__xludf.DUMMYFUNCTION("""COMPUTED_VALUE"""),1.0)</f>
        <v>1</v>
      </c>
      <c r="L876" s="82">
        <f>IFERROR(__xludf.DUMMYFUNCTION("""COMPUTED_VALUE"""),0.25)</f>
        <v>0.25</v>
      </c>
      <c r="M876" s="82">
        <f>IFERROR(__xludf.DUMMYFUNCTION("""COMPUTED_VALUE"""),1.75)</f>
        <v>1.75</v>
      </c>
      <c r="N876" s="82">
        <f>IFERROR(__xludf.DUMMYFUNCTION("""COMPUTED_VALUE"""),2.25)</f>
        <v>2.25</v>
      </c>
      <c r="O876" s="82">
        <f>IFERROR(__xludf.DUMMYFUNCTION("""COMPUTED_VALUE"""),339.5833333333333)</f>
        <v>339.5833333</v>
      </c>
      <c r="P876" s="82">
        <f>IFERROR(__xludf.DUMMYFUNCTION("""COMPUTED_VALUE"""),0.9999999999999999)</f>
        <v>1</v>
      </c>
      <c r="Q876" s="82">
        <f>IFERROR(__xludf.DUMMYFUNCTION("""COMPUTED_VALUE"""),0.6666666666666666)</f>
        <v>0.6666666667</v>
      </c>
      <c r="R876" s="82">
        <f>IFERROR(__xludf.DUMMYFUNCTION("""COMPUTED_VALUE"""),0.9166666666666666)</f>
        <v>0.9166666667</v>
      </c>
      <c r="S876" s="82">
        <f>IFERROR(__xludf.DUMMYFUNCTION("""COMPUTED_VALUE"""),3.0833333333333335)</f>
        <v>3.083333333</v>
      </c>
      <c r="T876" s="82">
        <f>IFERROR(__xludf.DUMMYFUNCTION("""COMPUTED_VALUE"""),379.0912698412699)</f>
        <v>379.0912698</v>
      </c>
      <c r="U876" s="82">
        <f>IFERROR(__xludf.DUMMYFUNCTION("""COMPUTED_VALUE"""),0.8035714285714285)</f>
        <v>0.8035714286</v>
      </c>
      <c r="V876" s="82">
        <f>IFERROR(__xludf.DUMMYFUNCTION("""COMPUTED_VALUE"""),0.6231812169312169)</f>
        <v>0.6231812169</v>
      </c>
      <c r="W876" s="82">
        <f>IFERROR(__xludf.DUMMYFUNCTION("""COMPUTED_VALUE"""),1.5540674603174605)</f>
        <v>1.55406746</v>
      </c>
      <c r="X876" s="82">
        <f>IFERROR(__xludf.DUMMYFUNCTION("""COMPUTED_VALUE"""),2.7273478835978837)</f>
        <v>2.727347884</v>
      </c>
      <c r="Y876" s="82">
        <f>IFERROR(__xludf.DUMMYFUNCTION("""COMPUTED_VALUE"""),365.148864638448)</f>
        <v>365.1488646</v>
      </c>
      <c r="Z876" s="82">
        <f>IFERROR(__xludf.DUMMYFUNCTION("""COMPUTED_VALUE"""),0.771880511463845)</f>
        <v>0.7718805115</v>
      </c>
      <c r="AA876" s="82">
        <f>IFERROR(__xludf.DUMMYFUNCTION("""COMPUTED_VALUE"""),0.5389660493827162)</f>
        <v>0.5389660494</v>
      </c>
      <c r="AB876" s="82">
        <f>IFERROR(__xludf.DUMMYFUNCTION("""COMPUTED_VALUE"""),1.5432649911816576)</f>
        <v>1.543264991</v>
      </c>
      <c r="AC876" s="82">
        <f>IFERROR(__xludf.DUMMYFUNCTION("""COMPUTED_VALUE"""),2.6633597883597884)</f>
        <v>2.663359788</v>
      </c>
      <c r="AD876" s="82">
        <f>IFERROR(__xludf.DUMMYFUNCTION("""COMPUTED_VALUE"""),1.009177449763866)</f>
        <v>1.00917745</v>
      </c>
      <c r="AE876" s="82">
        <f>IFERROR(__xludf.DUMMYFUNCTION("""COMPUTED_VALUE"""),1.2955373081042483)</f>
        <v>1.295537308</v>
      </c>
      <c r="AF876" s="82">
        <f>IFERROR(__xludf.DUMMYFUNCTION("""COMPUTED_VALUE"""),0.4638511095204007)</f>
        <v>0.4638511095</v>
      </c>
      <c r="AG876" s="82">
        <f>IFERROR(__xludf.DUMMYFUNCTION("""COMPUTED_VALUE"""),1.133959501446377)</f>
        <v>1.133959501</v>
      </c>
      <c r="AH876" s="82">
        <f>IFERROR(__xludf.DUMMYFUNCTION("""COMPUTED_VALUE"""),0.8447976160913832)</f>
        <v>0.8447976161</v>
      </c>
      <c r="AI876" s="82">
        <f>IFERROR(__xludf.DUMMYFUNCTION("""COMPUTED_VALUE"""),0.8957825208571039)</f>
        <v>0.8957825209</v>
      </c>
      <c r="AJ876" s="82">
        <f>IFERROR(__xludf.DUMMYFUNCTION("""COMPUTED_VALUE"""),1.2444444444444445)</f>
        <v>1.244444444</v>
      </c>
      <c r="AK876" s="82">
        <f>IFERROR(__xludf.DUMMYFUNCTION("""COMPUTED_VALUE"""),1.0697797824356594)</f>
        <v>1.069779782</v>
      </c>
      <c r="AL876" s="82">
        <f>IFERROR(__xludf.DUMMYFUNCTION("""COMPUTED_VALUE"""),0.5898499840408553)</f>
        <v>0.589849984</v>
      </c>
      <c r="AM876" s="82">
        <f>IFERROR(__xludf.DUMMYFUNCTION("""COMPUTED_VALUE"""),1.1305244013337374)</f>
        <v>1.130524401</v>
      </c>
      <c r="AN876" s="82">
        <f>IFERROR(__xludf.DUMMYFUNCTION("""COMPUTED_VALUE"""),1.0447711737015195)</f>
        <v>1.044771174</v>
      </c>
      <c r="AO876" s="82">
        <f>IFERROR(__xludf.DUMMYFUNCTION("""COMPUTED_VALUE"""),1.4021573925146114)</f>
        <v>1.402157393</v>
      </c>
      <c r="AP876" s="82">
        <f>IFERROR(__xludf.DUMMYFUNCTION("""COMPUTED_VALUE"""),0.4347248171919464)</f>
        <v>0.4347248172</v>
      </c>
      <c r="AQ876" s="82">
        <f>IFERROR(__xludf.DUMMYFUNCTION("""COMPUTED_VALUE"""),1.2267634153505023)</f>
        <v>1.226763415</v>
      </c>
      <c r="AR876" s="82">
        <f>IFERROR(__xludf.DUMMYFUNCTION("""COMPUTED_VALUE"""),0.8931724414509986)</f>
        <v>0.8931724415</v>
      </c>
      <c r="AS876" s="82">
        <f>IFERROR(__xludf.DUMMYFUNCTION("""COMPUTED_VALUE"""),7.0)</f>
        <v>7</v>
      </c>
      <c r="AT876" s="82">
        <f>IFERROR(__xludf.DUMMYFUNCTION("""COMPUTED_VALUE"""),0.3009158051485651)</f>
        <v>0.3009158051</v>
      </c>
      <c r="AU876" s="82">
        <f>IFERROR(__xludf.DUMMYFUNCTION("""COMPUTED_VALUE"""),2.2824521526897024)</f>
        <v>2.282452153</v>
      </c>
      <c r="AV876" s="82">
        <f>IFERROR(__xludf.DUMMYFUNCTION("""COMPUTED_VALUE"""),48.81286890486693)</f>
        <v>48.8128689</v>
      </c>
      <c r="AW876" s="82">
        <f t="shared" si="1"/>
        <v>-2.078728753</v>
      </c>
      <c r="AX876" s="83">
        <f t="array" ref="AX876">IFERROR(DGET('SBV Import'!A:G,"SBV",{"RSC ID","Tier";B876,A876}))</f>
        <v>46.0338606</v>
      </c>
      <c r="AY876" s="82">
        <f t="shared" si="2"/>
        <v>-2.288465364</v>
      </c>
      <c r="AZ876" s="82">
        <v>0.20973661141218614</v>
      </c>
      <c r="BA876" s="84">
        <v>800.0</v>
      </c>
      <c r="BB876" s="84" t="b">
        <f>IFERROR(__xludf.DUMMYFUNCTION("iferror(if(A876="""",,E876&gt;=FILTER(Constants!$F$2:$F$10,Constants!$A$2:$A$10=A876)))"),TRUE)</f>
        <v>1</v>
      </c>
    </row>
    <row r="877">
      <c r="A877" s="80" t="str">
        <f>IFERROR(__xludf.DUMMYFUNCTION("""COMPUTED_VALUE"""),"Elite")</f>
        <v>Elite</v>
      </c>
      <c r="B877" s="73" t="str">
        <f>IFERROR(__xludf.DUMMYFUNCTION("""COMPUTED_VALUE"""),"RSC005845")</f>
        <v>RSC005845</v>
      </c>
      <c r="C877" s="73" t="str">
        <f>IFERROR(__xludf.DUMMYFUNCTION("""COMPUTED_VALUE"""),"Milk_shakes.")</f>
        <v>Milk_shakes.</v>
      </c>
      <c r="D877" s="73"/>
      <c r="E877" s="82">
        <f>IFERROR(__xludf.DUMMYFUNCTION("""COMPUTED_VALUE"""),24.0)</f>
        <v>24</v>
      </c>
      <c r="F877" s="82">
        <f>IFERROR(__xludf.DUMMYFUNCTION("""COMPUTED_VALUE"""),10.0)</f>
        <v>10</v>
      </c>
      <c r="G877" s="82">
        <f>IFERROR(__xludf.DUMMYFUNCTION("""COMPUTED_VALUE"""),14.0)</f>
        <v>14</v>
      </c>
      <c r="H877" s="86">
        <f>IFERROR(__xludf.DUMMYFUNCTION("""COMPUTED_VALUE"""),0.4166666666666667)</f>
        <v>0.4166666667</v>
      </c>
      <c r="I877" s="86">
        <f>IFERROR(__xludf.DUMMYFUNCTION("""COMPUTED_VALUE"""),0.28571428571428575)</f>
        <v>0.2857142857</v>
      </c>
      <c r="J877" s="82">
        <f>IFERROR(__xludf.DUMMYFUNCTION("""COMPUTED_VALUE"""),332.375)</f>
        <v>332.375</v>
      </c>
      <c r="K877" s="82">
        <f>IFERROR(__xludf.DUMMYFUNCTION("""COMPUTED_VALUE"""),0.5833333333333334)</f>
        <v>0.5833333333</v>
      </c>
      <c r="L877" s="82">
        <f>IFERROR(__xludf.DUMMYFUNCTION("""COMPUTED_VALUE"""),0.5833333333333334)</f>
        <v>0.5833333333</v>
      </c>
      <c r="M877" s="82">
        <f>IFERROR(__xludf.DUMMYFUNCTION("""COMPUTED_VALUE"""),1.4583333333333333)</f>
        <v>1.458333333</v>
      </c>
      <c r="N877" s="82">
        <f>IFERROR(__xludf.DUMMYFUNCTION("""COMPUTED_VALUE"""),2.0416666666666665)</f>
        <v>2.041666667</v>
      </c>
      <c r="O877" s="82">
        <f>IFERROR(__xludf.DUMMYFUNCTION("""COMPUTED_VALUE"""),329.15277777777777)</f>
        <v>329.1527778</v>
      </c>
      <c r="P877" s="82">
        <f>IFERROR(__xludf.DUMMYFUNCTION("""COMPUTED_VALUE"""),0.6805555555555555)</f>
        <v>0.6805555556</v>
      </c>
      <c r="Q877" s="82">
        <f>IFERROR(__xludf.DUMMYFUNCTION("""COMPUTED_VALUE"""),0.513888888888889)</f>
        <v>0.5138888889</v>
      </c>
      <c r="R877" s="82">
        <f>IFERROR(__xludf.DUMMYFUNCTION("""COMPUTED_VALUE"""),1.1250000000000002)</f>
        <v>1.125</v>
      </c>
      <c r="S877" s="82">
        <f>IFERROR(__xludf.DUMMYFUNCTION("""COMPUTED_VALUE"""),2.6527777777777772)</f>
        <v>2.652777778</v>
      </c>
      <c r="T877" s="82">
        <f>IFERROR(__xludf.DUMMYFUNCTION("""COMPUTED_VALUE"""),365.72490411655207)</f>
        <v>365.7249041</v>
      </c>
      <c r="U877" s="82">
        <f>IFERROR(__xludf.DUMMYFUNCTION("""COMPUTED_VALUE"""),0.8401125212451525)</f>
        <v>0.8401125212</v>
      </c>
      <c r="V877" s="82">
        <f>IFERROR(__xludf.DUMMYFUNCTION("""COMPUTED_VALUE"""),0.6336254109573186)</f>
        <v>0.633625411</v>
      </c>
      <c r="W877" s="82">
        <f>IFERROR(__xludf.DUMMYFUNCTION("""COMPUTED_VALUE"""),1.2909990160106712)</f>
        <v>1.290999016</v>
      </c>
      <c r="X877" s="82">
        <f>IFERROR(__xludf.DUMMYFUNCTION("""COMPUTED_VALUE"""),2.8881238164884615)</f>
        <v>2.888123816</v>
      </c>
      <c r="Y877" s="82">
        <f>IFERROR(__xludf.DUMMYFUNCTION("""COMPUTED_VALUE"""),348.7568051879509)</f>
        <v>348.7568052</v>
      </c>
      <c r="Z877" s="82">
        <f>IFERROR(__xludf.DUMMYFUNCTION("""COMPUTED_VALUE"""),0.7134956780296645)</f>
        <v>0.713495678</v>
      </c>
      <c r="AA877" s="82">
        <f>IFERROR(__xludf.DUMMYFUNCTION("""COMPUTED_VALUE"""),0.5254039625860939)</f>
        <v>0.5254039626</v>
      </c>
      <c r="AB877" s="82">
        <f>IFERROR(__xludf.DUMMYFUNCTION("""COMPUTED_VALUE"""),1.4794150882729011)</f>
        <v>1.479415088</v>
      </c>
      <c r="AC877" s="82">
        <f>IFERROR(__xludf.DUMMYFUNCTION("""COMPUTED_VALUE"""),2.3982228067684095)</f>
        <v>2.398222807</v>
      </c>
      <c r="AD877" s="82">
        <f>IFERROR(__xludf.DUMMYFUNCTION("""COMPUTED_VALUE"""),0.9530279984669476)</f>
        <v>0.9530279985</v>
      </c>
      <c r="AE877" s="82">
        <f>IFERROR(__xludf.DUMMYFUNCTION("""COMPUTED_VALUE"""),0.8175709416267558)</f>
        <v>0.8175709416</v>
      </c>
      <c r="AF877" s="82">
        <f>IFERROR(__xludf.DUMMYFUNCTION("""COMPUTED_VALUE"""),1.1102568211745205)</f>
        <v>1.110256821</v>
      </c>
      <c r="AG877" s="82">
        <f>IFERROR(__xludf.DUMMYFUNCTION("""COMPUTED_VALUE"""),0.9857499392113277)</f>
        <v>0.9857499392</v>
      </c>
      <c r="AH877" s="82">
        <f>IFERROR(__xludf.DUMMYFUNCTION("""COMPUTED_VALUE"""),0.8513248480935763)</f>
        <v>0.8513248481</v>
      </c>
      <c r="AI877" s="82">
        <f>IFERROR(__xludf.DUMMYFUNCTION("""COMPUTED_VALUE"""),0.9000009954828802)</f>
        <v>0.9000009955</v>
      </c>
      <c r="AJ877" s="82">
        <f>IFERROR(__xludf.DUMMYFUNCTION("""COMPUTED_VALUE"""),0.810076672285382)</f>
        <v>0.8100766723</v>
      </c>
      <c r="AK877" s="82">
        <f>IFERROR(__xludf.DUMMYFUNCTION("""COMPUTED_VALUE"""),0.8110294820917541)</f>
        <v>0.8110294821</v>
      </c>
      <c r="AL877" s="82">
        <f>IFERROR(__xludf.DUMMYFUNCTION("""COMPUTED_VALUE"""),0.8714181699970414)</f>
        <v>0.87141817</v>
      </c>
      <c r="AM877" s="82">
        <f>IFERROR(__xludf.DUMMYFUNCTION("""COMPUTED_VALUE"""),0.9185124829596707)</f>
        <v>0.918512483</v>
      </c>
      <c r="AN877" s="82">
        <f>IFERROR(__xludf.DUMMYFUNCTION("""COMPUTED_VALUE"""),0.9423495762796269)</f>
        <v>0.9423495763</v>
      </c>
      <c r="AO877" s="82">
        <f>IFERROR(__xludf.DUMMYFUNCTION("""COMPUTED_VALUE"""),0.8179251456335233)</f>
        <v>0.8179251456</v>
      </c>
      <c r="AP877" s="82">
        <f>IFERROR(__xludf.DUMMYFUNCTION("""COMPUTED_VALUE"""),1.0143579067812083)</f>
        <v>1.014357907</v>
      </c>
      <c r="AQ877" s="82">
        <f>IFERROR(__xludf.DUMMYFUNCTION("""COMPUTED_VALUE"""),1.0223028461254187)</f>
        <v>1.022302846</v>
      </c>
      <c r="AR877" s="82">
        <f>IFERROR(__xludf.DUMMYFUNCTION("""COMPUTED_VALUE"""),0.810471289464795)</f>
        <v>0.8104712895</v>
      </c>
      <c r="AS877" s="82">
        <f>IFERROR(__xludf.DUMMYFUNCTION("""COMPUTED_VALUE"""),50.0)</f>
        <v>50</v>
      </c>
      <c r="AT877" s="82">
        <f>IFERROR(__xludf.DUMMYFUNCTION("""COMPUTED_VALUE"""),0.5075847791430991)</f>
        <v>0.5075847791</v>
      </c>
      <c r="AU877" s="82">
        <f>IFERROR(__xludf.DUMMYFUNCTION("""COMPUTED_VALUE"""),2.2106132280197794)</f>
        <v>2.210613228</v>
      </c>
      <c r="AV877" s="82">
        <f>IFERROR(__xludf.DUMMYFUNCTION("""COMPUTED_VALUE"""),46.794233978009665)</f>
        <v>46.79423398</v>
      </c>
      <c r="AW877" s="82">
        <f t="shared" si="1"/>
        <v>-2.227254698</v>
      </c>
      <c r="AX877" s="83">
        <f t="array" ref="AX877">IFERROR(DGET('SBV Import'!A:G,"SBV",{"RSC ID","Tier";B877,A877}))</f>
        <v>50.32380618</v>
      </c>
      <c r="AY877" s="82">
        <f t="shared" si="2"/>
        <v>2.020884036</v>
      </c>
      <c r="AZ877" s="82">
        <v>4.248138734618017</v>
      </c>
      <c r="BA877" s="84">
        <v>800.0</v>
      </c>
      <c r="BB877" s="84" t="b">
        <f>IFERROR(__xludf.DUMMYFUNCTION("iferror(if(A877="""",,E877&gt;=FILTER(Constants!$F$2:$F$10,Constants!$A$2:$A$10=A877)))"),TRUE)</f>
        <v>1</v>
      </c>
    </row>
    <row r="878">
      <c r="A878" s="80" t="str">
        <f>IFERROR(__xludf.DUMMYFUNCTION("""COMPUTED_VALUE"""),"Elite")</f>
        <v>Elite</v>
      </c>
      <c r="B878" s="73" t="str">
        <f>IFERROR(__xludf.DUMMYFUNCTION("""COMPUTED_VALUE"""),"RSC007839")</f>
        <v>RSC007839</v>
      </c>
      <c r="C878" s="73" t="str">
        <f>IFERROR(__xludf.DUMMYFUNCTION("""COMPUTED_VALUE"""),"DoxxyWoxxyy")</f>
        <v>DoxxyWoxxyy</v>
      </c>
      <c r="D878" s="73" t="str">
        <f>IFERROR(__xludf.DUMMYFUNCTION("""COMPUTED_VALUE"""),"Pylons")</f>
        <v>Pylons</v>
      </c>
      <c r="E878" s="82">
        <f>IFERROR(__xludf.DUMMYFUNCTION("""COMPUTED_VALUE"""),28.0)</f>
        <v>28</v>
      </c>
      <c r="F878" s="82">
        <f>IFERROR(__xludf.DUMMYFUNCTION("""COMPUTED_VALUE"""),9.0)</f>
        <v>9</v>
      </c>
      <c r="G878" s="82">
        <f>IFERROR(__xludf.DUMMYFUNCTION("""COMPUTED_VALUE"""),19.0)</f>
        <v>19</v>
      </c>
      <c r="H878" s="86">
        <f>IFERROR(__xludf.DUMMYFUNCTION("""COMPUTED_VALUE"""),0.32142857142857145)</f>
        <v>0.3214285714</v>
      </c>
      <c r="I878" s="86">
        <f>IFERROR(__xludf.DUMMYFUNCTION("""COMPUTED_VALUE"""),0.2571428571428572)</f>
        <v>0.2571428571</v>
      </c>
      <c r="J878" s="82">
        <f>IFERROR(__xludf.DUMMYFUNCTION("""COMPUTED_VALUE"""),347.82142857142856)</f>
        <v>347.8214286</v>
      </c>
      <c r="K878" s="82">
        <f>IFERROR(__xludf.DUMMYFUNCTION("""COMPUTED_VALUE"""),0.6428571428571429)</f>
        <v>0.6428571429</v>
      </c>
      <c r="L878" s="82">
        <f>IFERROR(__xludf.DUMMYFUNCTION("""COMPUTED_VALUE"""),0.6428571428571429)</f>
        <v>0.6428571429</v>
      </c>
      <c r="M878" s="82">
        <f>IFERROR(__xludf.DUMMYFUNCTION("""COMPUTED_VALUE"""),1.6428571428571428)</f>
        <v>1.642857143</v>
      </c>
      <c r="N878" s="82">
        <f>IFERROR(__xludf.DUMMYFUNCTION("""COMPUTED_VALUE"""),2.5)</f>
        <v>2.5</v>
      </c>
      <c r="O878" s="82">
        <f>IFERROR(__xludf.DUMMYFUNCTION("""COMPUTED_VALUE"""),372.797619047619)</f>
        <v>372.797619</v>
      </c>
      <c r="P878" s="82">
        <f>IFERROR(__xludf.DUMMYFUNCTION("""COMPUTED_VALUE"""),0.892857142857143)</f>
        <v>0.8928571429</v>
      </c>
      <c r="Q878" s="82">
        <f>IFERROR(__xludf.DUMMYFUNCTION("""COMPUTED_VALUE"""),0.6428571428571429)</f>
        <v>0.6428571429</v>
      </c>
      <c r="R878" s="82">
        <f>IFERROR(__xludf.DUMMYFUNCTION("""COMPUTED_VALUE"""),1.476190476190476)</f>
        <v>1.476190476</v>
      </c>
      <c r="S878" s="82">
        <f>IFERROR(__xludf.DUMMYFUNCTION("""COMPUTED_VALUE"""),2.488095238095238)</f>
        <v>2.488095238</v>
      </c>
      <c r="T878" s="82">
        <f>IFERROR(__xludf.DUMMYFUNCTION("""COMPUTED_VALUE"""),366.5043996611821)</f>
        <v>366.5043997</v>
      </c>
      <c r="U878" s="82">
        <f>IFERROR(__xludf.DUMMYFUNCTION("""COMPUTED_VALUE"""),0.7890792082666673)</f>
        <v>0.7890792083</v>
      </c>
      <c r="V878" s="82">
        <f>IFERROR(__xludf.DUMMYFUNCTION("""COMPUTED_VALUE"""),0.5693578123133779)</f>
        <v>0.5693578123</v>
      </c>
      <c r="W878" s="82">
        <f>IFERROR(__xludf.DUMMYFUNCTION("""COMPUTED_VALUE"""),1.548348357700054)</f>
        <v>1.548348358</v>
      </c>
      <c r="X878" s="82">
        <f>IFERROR(__xludf.DUMMYFUNCTION("""COMPUTED_VALUE"""),2.4989930998720133)</f>
        <v>2.4989931</v>
      </c>
      <c r="Y878" s="82">
        <f>IFERROR(__xludf.DUMMYFUNCTION("""COMPUTED_VALUE"""),360.48695421035484)</f>
        <v>360.4869542</v>
      </c>
      <c r="Z878" s="82">
        <f>IFERROR(__xludf.DUMMYFUNCTION("""COMPUTED_VALUE"""),0.7850675363867149)</f>
        <v>0.7850675364</v>
      </c>
      <c r="AA878" s="82">
        <f>IFERROR(__xludf.DUMMYFUNCTION("""COMPUTED_VALUE"""),0.5939615111583106)</f>
        <v>0.5939615112</v>
      </c>
      <c r="AB878" s="82">
        <f>IFERROR(__xludf.DUMMYFUNCTION("""COMPUTED_VALUE"""),1.335642679960881)</f>
        <v>1.33564268</v>
      </c>
      <c r="AC878" s="82">
        <f>IFERROR(__xludf.DUMMYFUNCTION("""COMPUTED_VALUE"""),2.796390259896898)</f>
        <v>2.79639026</v>
      </c>
      <c r="AD878" s="82">
        <f>IFERROR(__xludf.DUMMYFUNCTION("""COMPUTED_VALUE"""),0.9648655090260615)</f>
        <v>0.964865509</v>
      </c>
      <c r="AE878" s="82">
        <f>IFERROR(__xludf.DUMMYFUNCTION("""COMPUTED_VALUE"""),0.8188558475056841)</f>
        <v>0.8188558475</v>
      </c>
      <c r="AF878" s="82">
        <f>IFERROR(__xludf.DUMMYFUNCTION("""COMPUTED_VALUE"""),1.0823212123685906)</f>
        <v>1.082321212</v>
      </c>
      <c r="AG878" s="82">
        <f>IFERROR(__xludf.DUMMYFUNCTION("""COMPUTED_VALUE"""),1.2300124632923977)</f>
        <v>1.230012463</v>
      </c>
      <c r="AH878" s="82">
        <f>IFERROR(__xludf.DUMMYFUNCTION("""COMPUTED_VALUE"""),0.8940096938015276)</f>
        <v>0.8940096938</v>
      </c>
      <c r="AI878" s="82">
        <f>IFERROR(__xludf.DUMMYFUNCTION("""COMPUTED_VALUE"""),1.017170924529841)</f>
        <v>1.017170925</v>
      </c>
      <c r="AJ878" s="82">
        <f>IFERROR(__xludf.DUMMYFUNCTION("""COMPUTED_VALUE"""),1.1315177659013975)</f>
        <v>1.131517766</v>
      </c>
      <c r="AK878" s="82">
        <f>IFERROR(__xludf.DUMMYFUNCTION("""COMPUTED_VALUE"""),1.1290916343891502)</f>
        <v>1.129091634</v>
      </c>
      <c r="AL878" s="82">
        <f>IFERROR(__xludf.DUMMYFUNCTION("""COMPUTED_VALUE"""),0.9533968688953417)</f>
        <v>0.9533968689</v>
      </c>
      <c r="AM878" s="82">
        <f>IFERROR(__xludf.DUMMYFUNCTION("""COMPUTED_VALUE"""),0.9956390988925367)</f>
        <v>0.9956390989</v>
      </c>
      <c r="AN878" s="82">
        <f>IFERROR(__xludf.DUMMYFUNCTION("""COMPUTED_VALUE"""),0.9861432894629867)</f>
        <v>0.9861432895</v>
      </c>
      <c r="AO878" s="82">
        <f>IFERROR(__xludf.DUMMYFUNCTION("""COMPUTED_VALUE"""),0.9013868951879644)</f>
        <v>0.9013868952</v>
      </c>
      <c r="AP878" s="82">
        <f>IFERROR(__xludf.DUMMYFUNCTION("""COMPUTED_VALUE"""),1.1178638156364336)</f>
        <v>1.117863816</v>
      </c>
      <c r="AQ878" s="82">
        <f>IFERROR(__xludf.DUMMYFUNCTION("""COMPUTED_VALUE"""),1.1516554511453696)</f>
        <v>1.151655451</v>
      </c>
      <c r="AR878" s="82">
        <f>IFERROR(__xludf.DUMMYFUNCTION("""COMPUTED_VALUE"""),0.9924138238344429)</f>
        <v>0.9924138238</v>
      </c>
      <c r="AS878" s="82">
        <f>IFERROR(__xludf.DUMMYFUNCTION("""COMPUTED_VALUE"""),59.0)</f>
        <v>59</v>
      </c>
      <c r="AT878" s="82">
        <f>IFERROR(__xludf.DUMMYFUNCTION("""COMPUTED_VALUE"""),0.40707553224384996)</f>
        <v>0.4070755322</v>
      </c>
      <c r="AU878" s="82">
        <f>IFERROR(__xludf.DUMMYFUNCTION("""COMPUTED_VALUE"""),2.1762436092119017)</f>
        <v>2.176243609</v>
      </c>
      <c r="AV878" s="82">
        <f>IFERROR(__xludf.DUMMYFUNCTION("""COMPUTED_VALUE"""),45.82846627940991)</f>
        <v>45.82846628</v>
      </c>
      <c r="AW878" s="82">
        <f t="shared" si="1"/>
        <v>-2.305530928</v>
      </c>
      <c r="AX878" s="83">
        <f t="array" ref="AX878">IFERROR(DGET('SBV Import'!A:G,"SBV",{"RSC ID","Tier";B878,A878}))</f>
        <v>49.91307194</v>
      </c>
      <c r="AY878" s="82">
        <f t="shared" si="2"/>
        <v>-2.00556411</v>
      </c>
      <c r="AZ878" s="82">
        <v>0.2999668177899788</v>
      </c>
      <c r="BA878" s="84">
        <v>800.0</v>
      </c>
      <c r="BB878" s="84" t="b">
        <f>IFERROR(__xludf.DUMMYFUNCTION("iferror(if(A878="""",,E878&gt;=FILTER(Constants!$F$2:$F$10,Constants!$A$2:$A$10=A878)))"),TRUE)</f>
        <v>1</v>
      </c>
    </row>
    <row r="879">
      <c r="A879" s="80" t="str">
        <f>IFERROR(__xludf.DUMMYFUNCTION("""COMPUTED_VALUE"""),"Elite")</f>
        <v>Elite</v>
      </c>
      <c r="B879" s="73" t="str">
        <f>IFERROR(__xludf.DUMMYFUNCTION("""COMPUTED_VALUE"""),"RSC003986")</f>
        <v>RSC003986</v>
      </c>
      <c r="C879" s="73" t="str">
        <f>IFERROR(__xludf.DUMMYFUNCTION("""COMPUTED_VALUE"""),"Reprise")</f>
        <v>Reprise</v>
      </c>
      <c r="D879" s="73"/>
      <c r="E879" s="82">
        <f>IFERROR(__xludf.DUMMYFUNCTION("""COMPUTED_VALUE"""),4.0)</f>
        <v>4</v>
      </c>
      <c r="F879" s="82">
        <f>IFERROR(__xludf.DUMMYFUNCTION("""COMPUTED_VALUE"""),2.0)</f>
        <v>2</v>
      </c>
      <c r="G879" s="82">
        <f>IFERROR(__xludf.DUMMYFUNCTION("""COMPUTED_VALUE"""),2.0)</f>
        <v>2</v>
      </c>
      <c r="H879" s="86">
        <f>IFERROR(__xludf.DUMMYFUNCTION("""COMPUTED_VALUE"""),0.5)</f>
        <v>0.5</v>
      </c>
      <c r="I879" s="86">
        <f>IFERROR(__xludf.DUMMYFUNCTION("""COMPUTED_VALUE"""),0.2)</f>
        <v>0.2</v>
      </c>
      <c r="J879" s="82">
        <f>IFERROR(__xludf.DUMMYFUNCTION("""COMPUTED_VALUE"""),369.75)</f>
        <v>369.75</v>
      </c>
      <c r="K879" s="82">
        <f>IFERROR(__xludf.DUMMYFUNCTION("""COMPUTED_VALUE"""),0.5)</f>
        <v>0.5</v>
      </c>
      <c r="L879" s="82">
        <f>IFERROR(__xludf.DUMMYFUNCTION("""COMPUTED_VALUE"""),0.5)</f>
        <v>0.5</v>
      </c>
      <c r="M879" s="82">
        <f>IFERROR(__xludf.DUMMYFUNCTION("""COMPUTED_VALUE"""),1.5)</f>
        <v>1.5</v>
      </c>
      <c r="N879" s="82">
        <f>IFERROR(__xludf.DUMMYFUNCTION("""COMPUTED_VALUE"""),2.5)</f>
        <v>2.5</v>
      </c>
      <c r="O879" s="82">
        <f>IFERROR(__xludf.DUMMYFUNCTION("""COMPUTED_VALUE"""),362.5833333333333)</f>
        <v>362.5833333</v>
      </c>
      <c r="P879" s="82">
        <f>IFERROR(__xludf.DUMMYFUNCTION("""COMPUTED_VALUE"""),0.8333333333333333)</f>
        <v>0.8333333333</v>
      </c>
      <c r="Q879" s="82">
        <f>IFERROR(__xludf.DUMMYFUNCTION("""COMPUTED_VALUE"""),0.49999999999999994)</f>
        <v>0.5</v>
      </c>
      <c r="R879" s="82">
        <f>IFERROR(__xludf.DUMMYFUNCTION("""COMPUTED_VALUE"""),1.25)</f>
        <v>1.25</v>
      </c>
      <c r="S879" s="82">
        <f>IFERROR(__xludf.DUMMYFUNCTION("""COMPUTED_VALUE"""),3.0000000000000004)</f>
        <v>3</v>
      </c>
      <c r="T879" s="82">
        <f>IFERROR(__xludf.DUMMYFUNCTION("""COMPUTED_VALUE"""),387.2916666666667)</f>
        <v>387.2916667</v>
      </c>
      <c r="U879" s="82">
        <f>IFERROR(__xludf.DUMMYFUNCTION("""COMPUTED_VALUE"""),0.8472222222222223)</f>
        <v>0.8472222222</v>
      </c>
      <c r="V879" s="82">
        <f>IFERROR(__xludf.DUMMYFUNCTION("""COMPUTED_VALUE"""),0.6064814814814815)</f>
        <v>0.6064814815</v>
      </c>
      <c r="W879" s="82">
        <f>IFERROR(__xludf.DUMMYFUNCTION("""COMPUTED_VALUE"""),1.5509259259259263)</f>
        <v>1.550925926</v>
      </c>
      <c r="X879" s="82">
        <f>IFERROR(__xludf.DUMMYFUNCTION("""COMPUTED_VALUE"""),2.7962962962962963)</f>
        <v>2.796296296</v>
      </c>
      <c r="Y879" s="82">
        <f>IFERROR(__xludf.DUMMYFUNCTION("""COMPUTED_VALUE"""),353.1111111111111)</f>
        <v>353.1111111</v>
      </c>
      <c r="Z879" s="82">
        <f>IFERROR(__xludf.DUMMYFUNCTION("""COMPUTED_VALUE"""),0.6882716049382717)</f>
        <v>0.6882716049</v>
      </c>
      <c r="AA879" s="82">
        <f>IFERROR(__xludf.DUMMYFUNCTION("""COMPUTED_VALUE"""),0.5524691358024691)</f>
        <v>0.5524691358</v>
      </c>
      <c r="AB879" s="82">
        <f>IFERROR(__xludf.DUMMYFUNCTION("""COMPUTED_VALUE"""),1.405864197530864)</f>
        <v>1.405864198</v>
      </c>
      <c r="AC879" s="82">
        <f>IFERROR(__xludf.DUMMYFUNCTION("""COMPUTED_VALUE"""),2.4645061728395063)</f>
        <v>2.464506173</v>
      </c>
      <c r="AD879" s="82">
        <f>IFERROR(__xludf.DUMMYFUNCTION("""COMPUTED_VALUE"""),1.0471208307111393)</f>
        <v>1.047120831</v>
      </c>
      <c r="AE879" s="82">
        <f>IFERROR(__xludf.DUMMYFUNCTION("""COMPUTED_VALUE"""),0.726457399103139)</f>
        <v>0.7264573991</v>
      </c>
      <c r="AF879" s="82">
        <f>IFERROR(__xludf.DUMMYFUNCTION("""COMPUTED_VALUE"""),0.9050279329608938)</f>
        <v>0.905027933</v>
      </c>
      <c r="AG879" s="82">
        <f>IFERROR(__xludf.DUMMYFUNCTION("""COMPUTED_VALUE"""),1.0669593852908894)</f>
        <v>1.066959385</v>
      </c>
      <c r="AH879" s="82">
        <f>IFERROR(__xludf.DUMMYFUNCTION("""COMPUTED_VALUE"""),1.0144020037570445)</f>
        <v>1.014402004</v>
      </c>
      <c r="AI879" s="82">
        <f>IFERROR(__xludf.DUMMYFUNCTION("""COMPUTED_VALUE"""),0.9362022592791822)</f>
        <v>0.9362022593</v>
      </c>
      <c r="AJ879" s="82">
        <f>IFERROR(__xludf.DUMMYFUNCTION("""COMPUTED_VALUE"""),0.9836065573770489)</f>
        <v>0.9836065574</v>
      </c>
      <c r="AK879" s="82">
        <f>IFERROR(__xludf.DUMMYFUNCTION("""COMPUTED_VALUE"""),0.8244274809160304)</f>
        <v>0.8244274809</v>
      </c>
      <c r="AL879" s="82">
        <f>IFERROR(__xludf.DUMMYFUNCTION("""COMPUTED_VALUE"""),0.8059701492537311)</f>
        <v>0.8059701493</v>
      </c>
      <c r="AM879" s="82">
        <f>IFERROR(__xludf.DUMMYFUNCTION("""COMPUTED_VALUE"""),1.0728476821192054)</f>
        <v>1.072847682</v>
      </c>
      <c r="AN879" s="82">
        <f>IFERROR(__xludf.DUMMYFUNCTION("""COMPUTED_VALUE"""),1.0483151736123115)</f>
        <v>1.048315174</v>
      </c>
      <c r="AO879" s="82">
        <f>IFERROR(__xludf.DUMMYFUNCTION("""COMPUTED_VALUE"""),0.7010786962573057)</f>
        <v>0.7010786963</v>
      </c>
      <c r="AP879" s="82">
        <f>IFERROR(__xludf.DUMMYFUNCTION("""COMPUTED_VALUE"""),0.8694496343838928)</f>
        <v>0.8694496344</v>
      </c>
      <c r="AQ879" s="82">
        <f>IFERROR(__xludf.DUMMYFUNCTION("""COMPUTED_VALUE"""),1.0515114988718592)</f>
        <v>1.051511499</v>
      </c>
      <c r="AR879" s="82">
        <f>IFERROR(__xludf.DUMMYFUNCTION("""COMPUTED_VALUE"""),0.9924138238344429)</f>
        <v>0.9924138238</v>
      </c>
      <c r="AS879" s="82">
        <f>IFERROR(__xludf.DUMMYFUNCTION("""COMPUTED_VALUE"""),10.0)</f>
        <v>10</v>
      </c>
      <c r="AT879" s="82">
        <f>IFERROR(__xludf.DUMMYFUNCTION("""COMPUTED_VALUE"""),0.5)</f>
        <v>0.5</v>
      </c>
      <c r="AU879" s="82">
        <f>IFERROR(__xludf.DUMMYFUNCTION("""COMPUTED_VALUE"""),2.1435211726773575)</f>
        <v>2.143521173</v>
      </c>
      <c r="AV879" s="82">
        <f>IFERROR(__xludf.DUMMYFUNCTION("""COMPUTED_VALUE"""),44.9089835117599)</f>
        <v>44.90898351</v>
      </c>
      <c r="AW879" s="82">
        <f t="shared" si="1"/>
        <v>-2.384829668</v>
      </c>
      <c r="AX879" s="83">
        <f t="array" ref="AX879">IFERROR(DGET('SBV Import'!A:G,"SBV",{"RSC ID","Tier";B879,A879}))</f>
        <v>49.24658964</v>
      </c>
      <c r="AY879" s="82">
        <f t="shared" si="2"/>
        <v>-2.049267969</v>
      </c>
      <c r="AZ879" s="82">
        <v>0.33556169883744147</v>
      </c>
      <c r="BA879" s="84">
        <v>800.0</v>
      </c>
      <c r="BB879" s="84" t="b">
        <f>IFERROR(__xludf.DUMMYFUNCTION("iferror(if(A879="""",,E879&gt;=FILTER(Constants!$F$2:$F$10,Constants!$A$2:$A$10=A879)))"),TRUE)</f>
        <v>1</v>
      </c>
    </row>
    <row r="880">
      <c r="A880" s="80" t="str">
        <f>IFERROR(__xludf.DUMMYFUNCTION("""COMPUTED_VALUE"""),"Elite")</f>
        <v>Elite</v>
      </c>
      <c r="B880" s="73" t="str">
        <f>IFERROR(__xludf.DUMMYFUNCTION("""COMPUTED_VALUE"""),"RSC006185")</f>
        <v>RSC006185</v>
      </c>
      <c r="C880" s="73" t="str">
        <f>IFERROR(__xludf.DUMMYFUNCTION("""COMPUTED_VALUE"""),"sandro")</f>
        <v>sandro</v>
      </c>
      <c r="D880" s="73" t="str">
        <f>IFERROR(__xludf.DUMMYFUNCTION("""COMPUTED_VALUE"""),"Summoned")</f>
        <v>Summoned</v>
      </c>
      <c r="E880" s="82">
        <f>IFERROR(__xludf.DUMMYFUNCTION("""COMPUTED_VALUE"""),16.0)</f>
        <v>16</v>
      </c>
      <c r="F880" s="82">
        <f>IFERROR(__xludf.DUMMYFUNCTION("""COMPUTED_VALUE"""),6.0)</f>
        <v>6</v>
      </c>
      <c r="G880" s="82">
        <f>IFERROR(__xludf.DUMMYFUNCTION("""COMPUTED_VALUE"""),10.0)</f>
        <v>10</v>
      </c>
      <c r="H880" s="86">
        <f>IFERROR(__xludf.DUMMYFUNCTION("""COMPUTED_VALUE"""),0.375)</f>
        <v>0.375</v>
      </c>
      <c r="I880" s="86">
        <f>IFERROR(__xludf.DUMMYFUNCTION("""COMPUTED_VALUE"""),0.2926829268292683)</f>
        <v>0.2926829268</v>
      </c>
      <c r="J880" s="82">
        <f>IFERROR(__xludf.DUMMYFUNCTION("""COMPUTED_VALUE"""),356.4375)</f>
        <v>356.4375</v>
      </c>
      <c r="K880" s="82">
        <f>IFERROR(__xludf.DUMMYFUNCTION("""COMPUTED_VALUE"""),0.75)</f>
        <v>0.75</v>
      </c>
      <c r="L880" s="82">
        <f>IFERROR(__xludf.DUMMYFUNCTION("""COMPUTED_VALUE"""),0.5)</f>
        <v>0.5</v>
      </c>
      <c r="M880" s="82">
        <f>IFERROR(__xludf.DUMMYFUNCTION("""COMPUTED_VALUE"""),1.1875)</f>
        <v>1.1875</v>
      </c>
      <c r="N880" s="82">
        <f>IFERROR(__xludf.DUMMYFUNCTION("""COMPUTED_VALUE"""),2.5625)</f>
        <v>2.5625</v>
      </c>
      <c r="O880" s="82">
        <f>IFERROR(__xludf.DUMMYFUNCTION("""COMPUTED_VALUE"""),355.4166666666667)</f>
        <v>355.4166667</v>
      </c>
      <c r="P880" s="82">
        <f>IFERROR(__xludf.DUMMYFUNCTION("""COMPUTED_VALUE"""),0.8541666666666666)</f>
        <v>0.8541666667</v>
      </c>
      <c r="Q880" s="82">
        <f>IFERROR(__xludf.DUMMYFUNCTION("""COMPUTED_VALUE"""),0.6666666666666666)</f>
        <v>0.6666666667</v>
      </c>
      <c r="R880" s="82">
        <f>IFERROR(__xludf.DUMMYFUNCTION("""COMPUTED_VALUE"""),1.1458333333333333)</f>
        <v>1.145833333</v>
      </c>
      <c r="S880" s="82">
        <f>IFERROR(__xludf.DUMMYFUNCTION("""COMPUTED_VALUE"""),2.645833333333333)</f>
        <v>2.645833333</v>
      </c>
      <c r="T880" s="82">
        <f>IFERROR(__xludf.DUMMYFUNCTION("""COMPUTED_VALUE"""),355.4363522091468)</f>
        <v>355.4363522</v>
      </c>
      <c r="U880" s="82">
        <f>IFERROR(__xludf.DUMMYFUNCTION("""COMPUTED_VALUE"""),0.7482817536337649)</f>
        <v>0.7482817536</v>
      </c>
      <c r="V880" s="82">
        <f>IFERROR(__xludf.DUMMYFUNCTION("""COMPUTED_VALUE"""),0.587725209815727)</f>
        <v>0.5877252098</v>
      </c>
      <c r="W880" s="82">
        <f>IFERROR(__xludf.DUMMYFUNCTION("""COMPUTED_VALUE"""),1.40290746822356)</f>
        <v>1.402907468</v>
      </c>
      <c r="X880" s="82">
        <f>IFERROR(__xludf.DUMMYFUNCTION("""COMPUTED_VALUE"""),2.57135825275193)</f>
        <v>2.571358253</v>
      </c>
      <c r="Y880" s="82">
        <f>IFERROR(__xludf.DUMMYFUNCTION("""COMPUTED_VALUE"""),373.87023795586776)</f>
        <v>373.870238</v>
      </c>
      <c r="Z880" s="82">
        <f>IFERROR(__xludf.DUMMYFUNCTION("""COMPUTED_VALUE"""),0.8826245970929877)</f>
        <v>0.8826245971</v>
      </c>
      <c r="AA880" s="82">
        <f>IFERROR(__xludf.DUMMYFUNCTION("""COMPUTED_VALUE"""),0.7007285775101867)</f>
        <v>0.7007285775</v>
      </c>
      <c r="AB880" s="82">
        <f>IFERROR(__xludf.DUMMYFUNCTION("""COMPUTED_VALUE"""),1.3674832375478927)</f>
        <v>1.367483238</v>
      </c>
      <c r="AC880" s="82">
        <f>IFERROR(__xludf.DUMMYFUNCTION("""COMPUTED_VALUE"""),2.743639010521195)</f>
        <v>2.743639011</v>
      </c>
      <c r="AD880" s="82">
        <f>IFERROR(__xludf.DUMMYFUNCTION("""COMPUTED_VALUE"""),0.9533722233382869)</f>
        <v>0.9533722233</v>
      </c>
      <c r="AE880" s="82">
        <f>IFERROR(__xludf.DUMMYFUNCTION("""COMPUTED_VALUE"""),0.8497383853454797)</f>
        <v>0.8497383853</v>
      </c>
      <c r="AF880" s="82">
        <f>IFERROR(__xludf.DUMMYFUNCTION("""COMPUTED_VALUE"""),0.7135430408398484)</f>
        <v>0.7135430408</v>
      </c>
      <c r="AG880" s="82">
        <f>IFERROR(__xludf.DUMMYFUNCTION("""COMPUTED_VALUE"""),0.8683835877428155)</f>
        <v>0.8683835877</v>
      </c>
      <c r="AH880" s="82">
        <f>IFERROR(__xludf.DUMMYFUNCTION("""COMPUTED_VALUE"""),0.9339785555510144)</f>
        <v>0.9339785556</v>
      </c>
      <c r="AI880" s="82">
        <f>IFERROR(__xludf.DUMMYFUNCTION("""COMPUTED_VALUE"""),0.9999446158437151)</f>
        <v>0.9999446158</v>
      </c>
      <c r="AJ880" s="82">
        <f>IFERROR(__xludf.DUMMYFUNCTION("""COMPUTED_VALUE"""),1.141504069180772)</f>
        <v>1.141504069</v>
      </c>
      <c r="AK880" s="82">
        <f>IFERROR(__xludf.DUMMYFUNCTION("""COMPUTED_VALUE"""),1.1343169486905125)</f>
        <v>1.134316949</v>
      </c>
      <c r="AL880" s="82">
        <f>IFERROR(__xludf.DUMMYFUNCTION("""COMPUTED_VALUE"""),0.8167561719407279)</f>
        <v>0.8167561719</v>
      </c>
      <c r="AM880" s="82">
        <f>IFERROR(__xludf.DUMMYFUNCTION("""COMPUTED_VALUE"""),1.0289633233726565)</f>
        <v>1.028963323</v>
      </c>
      <c r="AN880" s="82">
        <f>IFERROR(__xludf.DUMMYFUNCTION("""COMPUTED_VALUE"""),1.0105715745623753)</f>
        <v>1.010571575</v>
      </c>
      <c r="AO880" s="82">
        <f>IFERROR(__xludf.DUMMYFUNCTION("""COMPUTED_VALUE"""),1.0516180443859584)</f>
        <v>1.051618044</v>
      </c>
      <c r="AP880" s="82">
        <f>IFERROR(__xludf.DUMMYFUNCTION("""COMPUTED_VALUE"""),0.8694496343838928)</f>
        <v>0.8694496344</v>
      </c>
      <c r="AQ880" s="82">
        <f>IFERROR(__xludf.DUMMYFUNCTION("""COMPUTED_VALUE"""),0.8324466032735551)</f>
        <v>0.8324466033</v>
      </c>
      <c r="AR880" s="82">
        <f>IFERROR(__xludf.DUMMYFUNCTION("""COMPUTED_VALUE"""),1.017224169430304)</f>
        <v>1.017224169</v>
      </c>
      <c r="AS880" s="82">
        <f>IFERROR(__xludf.DUMMYFUNCTION("""COMPUTED_VALUE"""),34.0)</f>
        <v>34</v>
      </c>
      <c r="AT880" s="82">
        <f>IFERROR(__xludf.DUMMYFUNCTION("""COMPUTED_VALUE"""),0.42759490720699894)</f>
        <v>0.4275949072</v>
      </c>
      <c r="AU880" s="82">
        <f>IFERROR(__xludf.DUMMYFUNCTION("""COMPUTED_VALUE"""),2.1392635394008575)</f>
        <v>2.139263539</v>
      </c>
      <c r="AV880" s="82">
        <f>IFERROR(__xludf.DUMMYFUNCTION("""COMPUTED_VALUE"""),44.78934631956664)</f>
        <v>44.78934632</v>
      </c>
      <c r="AW880" s="82">
        <f t="shared" si="1"/>
        <v>-2.395507249</v>
      </c>
      <c r="AX880" s="83">
        <f t="array" ref="AX880">IFERROR(DGET('SBV Import'!A:G,"SBV",{"RSC ID","Tier";B880,A880}))</f>
        <v>57.30800501</v>
      </c>
      <c r="AY880" s="82">
        <f t="shared" si="2"/>
        <v>2.597261552</v>
      </c>
      <c r="AZ880" s="82">
        <v>4.992768800939755</v>
      </c>
      <c r="BA880" s="84">
        <v>800.0</v>
      </c>
      <c r="BB880" s="84" t="b">
        <f>IFERROR(__xludf.DUMMYFUNCTION("iferror(if(A880="""",,E880&gt;=FILTER(Constants!$F$2:$F$10,Constants!$A$2:$A$10=A880)))"),TRUE)</f>
        <v>1</v>
      </c>
    </row>
    <row r="881">
      <c r="A881" s="80" t="str">
        <f>IFERROR(__xludf.DUMMYFUNCTION("""COMPUTED_VALUE"""),"Elite")</f>
        <v>Elite</v>
      </c>
      <c r="B881" s="73" t="str">
        <f>IFERROR(__xludf.DUMMYFUNCTION("""COMPUTED_VALUE"""),"RSC005374")</f>
        <v>RSC005374</v>
      </c>
      <c r="C881" s="73" t="str">
        <f>IFERROR(__xludf.DUMMYFUNCTION("""COMPUTED_VALUE"""),"A Yapping Panda")</f>
        <v>A Yapping Panda</v>
      </c>
      <c r="D881" s="73" t="str">
        <f>IFERROR(__xludf.DUMMYFUNCTION("""COMPUTED_VALUE"""),"Loonie")</f>
        <v>Loonie</v>
      </c>
      <c r="E881" s="82">
        <f>IFERROR(__xludf.DUMMYFUNCTION("""COMPUTED_VALUE"""),29.0)</f>
        <v>29</v>
      </c>
      <c r="F881" s="82">
        <f>IFERROR(__xludf.DUMMYFUNCTION("""COMPUTED_VALUE"""),10.0)</f>
        <v>10</v>
      </c>
      <c r="G881" s="82">
        <f>IFERROR(__xludf.DUMMYFUNCTION("""COMPUTED_VALUE"""),19.0)</f>
        <v>19</v>
      </c>
      <c r="H881" s="86">
        <f>IFERROR(__xludf.DUMMYFUNCTION("""COMPUTED_VALUE"""),0.3448275862068966)</f>
        <v>0.3448275862</v>
      </c>
      <c r="I881" s="86">
        <f>IFERROR(__xludf.DUMMYFUNCTION("""COMPUTED_VALUE"""),0.2876712328767123)</f>
        <v>0.2876712329</v>
      </c>
      <c r="J881" s="82">
        <f>IFERROR(__xludf.DUMMYFUNCTION("""COMPUTED_VALUE"""),357.58620689655174)</f>
        <v>357.5862069</v>
      </c>
      <c r="K881" s="82">
        <f>IFERROR(__xludf.DUMMYFUNCTION("""COMPUTED_VALUE"""),0.7241379310344828)</f>
        <v>0.724137931</v>
      </c>
      <c r="L881" s="82">
        <f>IFERROR(__xludf.DUMMYFUNCTION("""COMPUTED_VALUE"""),0.3103448275862069)</f>
        <v>0.3103448276</v>
      </c>
      <c r="M881" s="82">
        <f>IFERROR(__xludf.DUMMYFUNCTION("""COMPUTED_VALUE"""),1.4827586206896552)</f>
        <v>1.482758621</v>
      </c>
      <c r="N881" s="82">
        <f>IFERROR(__xludf.DUMMYFUNCTION("""COMPUTED_VALUE"""),2.5172413793103448)</f>
        <v>2.517241379</v>
      </c>
      <c r="O881" s="82">
        <f>IFERROR(__xludf.DUMMYFUNCTION("""COMPUTED_VALUE"""),388.75862068965523)</f>
        <v>388.7586207</v>
      </c>
      <c r="P881" s="82">
        <f>IFERROR(__xludf.DUMMYFUNCTION("""COMPUTED_VALUE"""),0.9770114942528734)</f>
        <v>0.9770114943</v>
      </c>
      <c r="Q881" s="82">
        <f>IFERROR(__xludf.DUMMYFUNCTION("""COMPUTED_VALUE"""),0.8390804597701148)</f>
        <v>0.8390804598</v>
      </c>
      <c r="R881" s="82">
        <f>IFERROR(__xludf.DUMMYFUNCTION("""COMPUTED_VALUE"""),1.2873563218390804)</f>
        <v>1.287356322</v>
      </c>
      <c r="S881" s="82">
        <f>IFERROR(__xludf.DUMMYFUNCTION("""COMPUTED_VALUE"""),2.9885057471264362)</f>
        <v>2.988505747</v>
      </c>
      <c r="T881" s="82">
        <f>IFERROR(__xludf.DUMMYFUNCTION("""COMPUTED_VALUE"""),385.15924340747506)</f>
        <v>385.1592434</v>
      </c>
      <c r="U881" s="82">
        <f>IFERROR(__xludf.DUMMYFUNCTION("""COMPUTED_VALUE"""),0.9082538084827679)</f>
        <v>0.9082538085</v>
      </c>
      <c r="V881" s="82">
        <f>IFERROR(__xludf.DUMMYFUNCTION("""COMPUTED_VALUE"""),0.645121002919754)</f>
        <v>0.6451210029</v>
      </c>
      <c r="W881" s="82">
        <f>IFERROR(__xludf.DUMMYFUNCTION("""COMPUTED_VALUE"""),1.3875717398039553)</f>
        <v>1.38757174</v>
      </c>
      <c r="X881" s="82">
        <f>IFERROR(__xludf.DUMMYFUNCTION("""COMPUTED_VALUE"""),2.882318682127292)</f>
        <v>2.882318682</v>
      </c>
      <c r="Y881" s="82">
        <f>IFERROR(__xludf.DUMMYFUNCTION("""COMPUTED_VALUE"""),348.0170409955184)</f>
        <v>348.017041</v>
      </c>
      <c r="Z881" s="82">
        <f>IFERROR(__xludf.DUMMYFUNCTION("""COMPUTED_VALUE"""),0.6818886895118822)</f>
        <v>0.6818886895</v>
      </c>
      <c r="AA881" s="82">
        <f>IFERROR(__xludf.DUMMYFUNCTION("""COMPUTED_VALUE"""),0.4909710853859394)</f>
        <v>0.4909710854</v>
      </c>
      <c r="AB881" s="82">
        <f>IFERROR(__xludf.DUMMYFUNCTION("""COMPUTED_VALUE"""),1.4702318383095878)</f>
        <v>1.470231838</v>
      </c>
      <c r="AC881" s="82">
        <f>IFERROR(__xludf.DUMMYFUNCTION("""COMPUTED_VALUE"""),2.461468030460421)</f>
        <v>2.46146803</v>
      </c>
      <c r="AD881" s="82">
        <f>IFERROR(__xludf.DUMMYFUNCTION("""COMPUTED_VALUE"""),1.0274962567167985)</f>
        <v>1.027496257</v>
      </c>
      <c r="AE881" s="82">
        <f>IFERROR(__xludf.DUMMYFUNCTION("""COMPUTED_VALUE"""),1.0619591469581993)</f>
        <v>1.061959147</v>
      </c>
      <c r="AF881" s="82">
        <f>IFERROR(__xludf.DUMMYFUNCTION("""COMPUTED_VALUE"""),0.6321040827531687)</f>
        <v>0.6321040828</v>
      </c>
      <c r="AG881" s="82">
        <f>IFERROR(__xludf.DUMMYFUNCTION("""COMPUTED_VALUE"""),1.0085202769071238)</f>
        <v>1.008520277</v>
      </c>
      <c r="AH881" s="82">
        <f>IFERROR(__xludf.DUMMYFUNCTION("""COMPUTED_VALUE"""),1.0226585712914953)</f>
        <v>1.022658571</v>
      </c>
      <c r="AI881" s="82">
        <f>IFERROR(__xludf.DUMMYFUNCTION("""COMPUTED_VALUE"""),1.0093451665610742)</f>
        <v>1.009345167</v>
      </c>
      <c r="AJ881" s="82">
        <f>IFERROR(__xludf.DUMMYFUNCTION("""COMPUTED_VALUE"""),1.0757031626269364)</f>
        <v>1.075703163</v>
      </c>
      <c r="AK881" s="82">
        <f>IFERROR(__xludf.DUMMYFUNCTION("""COMPUTED_VALUE"""),1.3006559327204035)</f>
        <v>1.300655933</v>
      </c>
      <c r="AL881" s="82">
        <f>IFERROR(__xludf.DUMMYFUNCTION("""COMPUTED_VALUE"""),0.9277764060119631)</f>
        <v>0.927776406</v>
      </c>
      <c r="AM881" s="82">
        <f>IFERROR(__xludf.DUMMYFUNCTION("""COMPUTED_VALUE"""),1.0368408481885052)</f>
        <v>1.036840848</v>
      </c>
      <c r="AN881" s="82">
        <f>IFERROR(__xludf.DUMMYFUNCTION("""COMPUTED_VALUE"""),1.0138283882735)</f>
        <v>1.013828388</v>
      </c>
      <c r="AO881" s="82">
        <f>IFERROR(__xludf.DUMMYFUNCTION("""COMPUTED_VALUE"""),1.0153553532002357)</f>
        <v>1.015355353</v>
      </c>
      <c r="AP881" s="82">
        <f>IFERROR(__xludf.DUMMYFUNCTION("""COMPUTED_VALUE"""),0.5396583937555196)</f>
        <v>0.5396583938</v>
      </c>
      <c r="AQ881" s="82">
        <f>IFERROR(__xludf.DUMMYFUNCTION("""COMPUTED_VALUE"""),1.0394251598043667)</f>
        <v>1.03942516</v>
      </c>
      <c r="AR881" s="82">
        <f>IFERROR(__xludf.DUMMYFUNCTION("""COMPUTED_VALUE"""),0.9992580571022666)</f>
        <v>0.9992580571</v>
      </c>
      <c r="AS881" s="82">
        <f>IFERROR(__xludf.DUMMYFUNCTION("""COMPUTED_VALUE"""),46.0)</f>
        <v>46</v>
      </c>
      <c r="AT881" s="82">
        <f>IFERROR(__xludf.DUMMYFUNCTION("""COMPUTED_VALUE"""),0.2795877682361718)</f>
        <v>0.2795877682</v>
      </c>
      <c r="AU881" s="82">
        <f>IFERROR(__xludf.DUMMYFUNCTION("""COMPUTED_VALUE"""),2.112539792259843)</f>
        <v>2.112539792</v>
      </c>
      <c r="AV881" s="82">
        <f>IFERROR(__xludf.DUMMYFUNCTION("""COMPUTED_VALUE"""),44.038423479292845)</f>
        <v>44.03842348</v>
      </c>
      <c r="AW881" s="82">
        <f t="shared" si="1"/>
        <v>-2.464505082</v>
      </c>
      <c r="AX881" s="83">
        <f t="array" ref="AX881">IFERROR(DGET('SBV Import'!A:G,"SBV",{"RSC ID","Tier";B881,A881}))</f>
        <v>46.67317553</v>
      </c>
      <c r="AY881" s="82">
        <f t="shared" si="2"/>
        <v>-2.236797031</v>
      </c>
      <c r="AZ881" s="82">
        <v>0.22770805112184922</v>
      </c>
      <c r="BA881" s="84">
        <v>800.0</v>
      </c>
      <c r="BB881" s="84" t="b">
        <f>IFERROR(__xludf.DUMMYFUNCTION("iferror(if(A881="""",,E881&gt;=FILTER(Constants!$F$2:$F$10,Constants!$A$2:$A$10=A881)))"),TRUE)</f>
        <v>1</v>
      </c>
    </row>
    <row r="882">
      <c r="A882" s="80" t="str">
        <f>IFERROR(__xludf.DUMMYFUNCTION("""COMPUTED_VALUE"""),"Elite")</f>
        <v>Elite</v>
      </c>
      <c r="B882" s="73" t="str">
        <f>IFERROR(__xludf.DUMMYFUNCTION("""COMPUTED_VALUE"""),"RSC005009")</f>
        <v>RSC005009</v>
      </c>
      <c r="C882" s="73" t="str">
        <f>IFERROR(__xludf.DUMMYFUNCTION("""COMPUTED_VALUE"""),"Qeetz")</f>
        <v>Qeetz</v>
      </c>
      <c r="D882" s="73"/>
      <c r="E882" s="82">
        <f>IFERROR(__xludf.DUMMYFUNCTION("""COMPUTED_VALUE"""),2.0)</f>
        <v>2</v>
      </c>
      <c r="F882" s="82">
        <f>IFERROR(__xludf.DUMMYFUNCTION("""COMPUTED_VALUE"""),1.0)</f>
        <v>1</v>
      </c>
      <c r="G882" s="82">
        <f>IFERROR(__xludf.DUMMYFUNCTION("""COMPUTED_VALUE"""),1.0)</f>
        <v>1</v>
      </c>
      <c r="H882" s="86">
        <f>IFERROR(__xludf.DUMMYFUNCTION("""COMPUTED_VALUE"""),0.5)</f>
        <v>0.5</v>
      </c>
      <c r="I882" s="86">
        <f>IFERROR(__xludf.DUMMYFUNCTION("""COMPUTED_VALUE"""),0.4)</f>
        <v>0.4</v>
      </c>
      <c r="J882" s="82">
        <f>IFERROR(__xludf.DUMMYFUNCTION("""COMPUTED_VALUE"""),241.0)</f>
        <v>241</v>
      </c>
      <c r="K882" s="82">
        <f>IFERROR(__xludf.DUMMYFUNCTION("""COMPUTED_VALUE"""),1.0)</f>
        <v>1</v>
      </c>
      <c r="L882" s="82">
        <f>IFERROR(__xludf.DUMMYFUNCTION("""COMPUTED_VALUE"""),0.0)</f>
        <v>0</v>
      </c>
      <c r="M882" s="82">
        <f>IFERROR(__xludf.DUMMYFUNCTION("""COMPUTED_VALUE"""),0.0)</f>
        <v>0</v>
      </c>
      <c r="N882" s="82">
        <f>IFERROR(__xludf.DUMMYFUNCTION("""COMPUTED_VALUE"""),2.5)</f>
        <v>2.5</v>
      </c>
      <c r="O882" s="82">
        <f>IFERROR(__xludf.DUMMYFUNCTION("""COMPUTED_VALUE"""),385.0)</f>
        <v>385</v>
      </c>
      <c r="P882" s="82">
        <f>IFERROR(__xludf.DUMMYFUNCTION("""COMPUTED_VALUE"""),1.0)</f>
        <v>1</v>
      </c>
      <c r="Q882" s="82">
        <f>IFERROR(__xludf.DUMMYFUNCTION("""COMPUTED_VALUE"""),0.5)</f>
        <v>0.5</v>
      </c>
      <c r="R882" s="82">
        <f>IFERROR(__xludf.DUMMYFUNCTION("""COMPUTED_VALUE"""),1.5)</f>
        <v>1.5</v>
      </c>
      <c r="S882" s="82">
        <f>IFERROR(__xludf.DUMMYFUNCTION("""COMPUTED_VALUE"""),2.5)</f>
        <v>2.5</v>
      </c>
      <c r="T882" s="82">
        <f>IFERROR(__xludf.DUMMYFUNCTION("""COMPUTED_VALUE"""),373.1175895578172)</f>
        <v>373.1175896</v>
      </c>
      <c r="U882" s="82">
        <f>IFERROR(__xludf.DUMMYFUNCTION("""COMPUTED_VALUE"""),0.8410193011711038)</f>
        <v>0.8410193012</v>
      </c>
      <c r="V882" s="82">
        <f>IFERROR(__xludf.DUMMYFUNCTION("""COMPUTED_VALUE"""),0.5840952216663791)</f>
        <v>0.5840952217</v>
      </c>
      <c r="W882" s="82">
        <f>IFERROR(__xludf.DUMMYFUNCTION("""COMPUTED_VALUE"""),1.4342667663350774)</f>
        <v>1.434266766</v>
      </c>
      <c r="X882" s="82">
        <f>IFERROR(__xludf.DUMMYFUNCTION("""COMPUTED_VALUE"""),2.762549594617906)</f>
        <v>2.762549595</v>
      </c>
      <c r="Y882" s="82">
        <f>IFERROR(__xludf.DUMMYFUNCTION("""COMPUTED_VALUE"""),347.22027038250957)</f>
        <v>347.2202704</v>
      </c>
      <c r="Z882" s="82">
        <f>IFERROR(__xludf.DUMMYFUNCTION("""COMPUTED_VALUE"""),0.6552814674256798)</f>
        <v>0.6552814674</v>
      </c>
      <c r="AA882" s="82">
        <f>IFERROR(__xludf.DUMMYFUNCTION("""COMPUTED_VALUE"""),0.498725394361068)</f>
        <v>0.4987253944</v>
      </c>
      <c r="AB882" s="82">
        <f>IFERROR(__xludf.DUMMYFUNCTION("""COMPUTED_VALUE"""),1.4768558449772868)</f>
        <v>1.476855845</v>
      </c>
      <c r="AC882" s="82">
        <f>IFERROR(__xludf.DUMMYFUNCTION("""COMPUTED_VALUE"""),2.4499485685443942)</f>
        <v>2.449948569</v>
      </c>
      <c r="AD882" s="82">
        <f>IFERROR(__xludf.DUMMYFUNCTION("""COMPUTED_VALUE"""),0.6940839016527067)</f>
        <v>0.6940839017</v>
      </c>
      <c r="AE882" s="82">
        <f>IFERROR(__xludf.DUMMYFUNCTION("""COMPUTED_VALUE"""),1.5260617760617763)</f>
        <v>1.526061776</v>
      </c>
      <c r="AF882" s="82">
        <f>IFERROR(__xludf.DUMMYFUNCTION("""COMPUTED_VALUE"""),0.0)</f>
        <v>0</v>
      </c>
      <c r="AG882" s="82">
        <f>IFERROR(__xludf.DUMMYFUNCTION("""COMPUTED_VALUE"""),0.0)</f>
        <v>0</v>
      </c>
      <c r="AH882" s="82">
        <f>IFERROR(__xludf.DUMMYFUNCTION("""COMPUTED_VALUE"""),1.020429584562807)</f>
        <v>1.020429585</v>
      </c>
      <c r="AI882" s="82">
        <f>IFERROR(__xludf.DUMMYFUNCTION("""COMPUTED_VALUE"""),1.0318462886090807)</f>
        <v>1.031846289</v>
      </c>
      <c r="AJ882" s="82">
        <f>IFERROR(__xludf.DUMMYFUNCTION("""COMPUTED_VALUE"""),1.1890333534646809)</f>
        <v>1.189033353</v>
      </c>
      <c r="AK882" s="82">
        <f>IFERROR(__xludf.DUMMYFUNCTION("""COMPUTED_VALUE"""),0.8560248080330776)</f>
        <v>0.856024808</v>
      </c>
      <c r="AL882" s="82">
        <f>IFERROR(__xludf.DUMMYFUNCTION("""COMPUTED_VALUE"""),1.0458305492449553)</f>
        <v>1.045830549</v>
      </c>
      <c r="AM882" s="82">
        <f>IFERROR(__xludf.DUMMYFUNCTION("""COMPUTED_VALUE"""),0.9049611289768646)</f>
        <v>0.904961129</v>
      </c>
      <c r="AN882" s="82">
        <f>IFERROR(__xludf.DUMMYFUNCTION("""COMPUTED_VALUE"""),0.6832831828007223)</f>
        <v>0.6832831828</v>
      </c>
      <c r="AO882" s="82">
        <f>IFERROR(__xludf.DUMMYFUNCTION("""COMPUTED_VALUE"""),1.4021573925146114)</f>
        <v>1.402157393</v>
      </c>
      <c r="AP882" s="82">
        <f>IFERROR(__xludf.DUMMYFUNCTION("""COMPUTED_VALUE"""),0.0)</f>
        <v>0</v>
      </c>
      <c r="AQ882" s="82">
        <f>IFERROR(__xludf.DUMMYFUNCTION("""COMPUTED_VALUE"""),0.0)</f>
        <v>0</v>
      </c>
      <c r="AR882" s="82">
        <f>IFERROR(__xludf.DUMMYFUNCTION("""COMPUTED_VALUE"""),0.9924138238344429)</f>
        <v>0.9924138238</v>
      </c>
      <c r="AS882" s="82">
        <f>IFERROR(__xludf.DUMMYFUNCTION("""COMPUTED_VALUE"""),5.0)</f>
        <v>5</v>
      </c>
      <c r="AT882" s="82">
        <f>IFERROR(__xludf.DUMMYFUNCTION("""COMPUTED_VALUE"""),0.42619635446806875)</f>
        <v>0.4261963545</v>
      </c>
      <c r="AU882" s="82">
        <f>IFERROR(__xludf.DUMMYFUNCTION("""COMPUTED_VALUE"""),2.1064213287320888)</f>
        <v>2.106421329</v>
      </c>
      <c r="AV882" s="82">
        <f>IFERROR(__xludf.DUMMYFUNCTION("""COMPUTED_VALUE"""),43.86649796352857)</f>
        <v>43.86649796</v>
      </c>
      <c r="AW882" s="82">
        <f t="shared" si="1"/>
        <v>-2.480795174</v>
      </c>
      <c r="AX882" s="83">
        <f t="array" ref="AX882">IFERROR(DGET('SBV Import'!A:G,"SBV",{"RSC ID","Tier";B882,A882}))</f>
        <v>7.309843061</v>
      </c>
      <c r="AY882" s="82">
        <f t="shared" si="2"/>
        <v>-22.80256712</v>
      </c>
      <c r="AZ882" s="82">
        <v>20.321771942648063</v>
      </c>
      <c r="BA882" s="84">
        <v>800.0</v>
      </c>
      <c r="BB882" s="84" t="b">
        <f>IFERROR(__xludf.DUMMYFUNCTION("iferror(if(A882="""",,E882&gt;=FILTER(Constants!$F$2:$F$10,Constants!$A$2:$A$10=A882)))"),TRUE)</f>
        <v>1</v>
      </c>
    </row>
    <row r="883">
      <c r="A883" s="80" t="str">
        <f>IFERROR(__xludf.DUMMYFUNCTION("""COMPUTED_VALUE"""),"Elite")</f>
        <v>Elite</v>
      </c>
      <c r="B883" s="73" t="str">
        <f>IFERROR(__xludf.DUMMYFUNCTION("""COMPUTED_VALUE"""),"RSC002892")</f>
        <v>RSC002892</v>
      </c>
      <c r="C883" s="73" t="str">
        <f>IFERROR(__xludf.DUMMYFUNCTION("""COMPUTED_VALUE"""),"nickm")</f>
        <v>nickm</v>
      </c>
      <c r="D883" s="73" t="str">
        <f>IFERROR(__xludf.DUMMYFUNCTION("""COMPUTED_VALUE"""),"Cyclones")</f>
        <v>Cyclones</v>
      </c>
      <c r="E883" s="82">
        <f>IFERROR(__xludf.DUMMYFUNCTION("""COMPUTED_VALUE"""),8.0)</f>
        <v>8</v>
      </c>
      <c r="F883" s="82">
        <f>IFERROR(__xludf.DUMMYFUNCTION("""COMPUTED_VALUE"""),3.0)</f>
        <v>3</v>
      </c>
      <c r="G883" s="82">
        <f>IFERROR(__xludf.DUMMYFUNCTION("""COMPUTED_VALUE"""),5.0)</f>
        <v>5</v>
      </c>
      <c r="H883" s="86">
        <f>IFERROR(__xludf.DUMMYFUNCTION("""COMPUTED_VALUE"""),0.375)</f>
        <v>0.375</v>
      </c>
      <c r="I883" s="86">
        <f>IFERROR(__xludf.DUMMYFUNCTION("""COMPUTED_VALUE"""),0.2631578947368421)</f>
        <v>0.2631578947</v>
      </c>
      <c r="J883" s="82">
        <f>IFERROR(__xludf.DUMMYFUNCTION("""COMPUTED_VALUE"""),323.5)</f>
        <v>323.5</v>
      </c>
      <c r="K883" s="82">
        <f>IFERROR(__xludf.DUMMYFUNCTION("""COMPUTED_VALUE"""),0.625)</f>
        <v>0.625</v>
      </c>
      <c r="L883" s="82">
        <f>IFERROR(__xludf.DUMMYFUNCTION("""COMPUTED_VALUE"""),0.625)</f>
        <v>0.625</v>
      </c>
      <c r="M883" s="82">
        <f>IFERROR(__xludf.DUMMYFUNCTION("""COMPUTED_VALUE"""),1.375)</f>
        <v>1.375</v>
      </c>
      <c r="N883" s="82">
        <f>IFERROR(__xludf.DUMMYFUNCTION("""COMPUTED_VALUE"""),2.375)</f>
        <v>2.375</v>
      </c>
      <c r="O883" s="82">
        <f>IFERROR(__xludf.DUMMYFUNCTION("""COMPUTED_VALUE"""),397.66666666666663)</f>
        <v>397.6666667</v>
      </c>
      <c r="P883" s="82">
        <f>IFERROR(__xludf.DUMMYFUNCTION("""COMPUTED_VALUE"""),1.0)</f>
        <v>1</v>
      </c>
      <c r="Q883" s="82">
        <f>IFERROR(__xludf.DUMMYFUNCTION("""COMPUTED_VALUE"""),0.7916666666666667)</f>
        <v>0.7916666667</v>
      </c>
      <c r="R883" s="82">
        <f>IFERROR(__xludf.DUMMYFUNCTION("""COMPUTED_VALUE"""),1.375)</f>
        <v>1.375</v>
      </c>
      <c r="S883" s="82">
        <f>IFERROR(__xludf.DUMMYFUNCTION("""COMPUTED_VALUE"""),3.0000000000000004)</f>
        <v>3</v>
      </c>
      <c r="T883" s="82">
        <f>IFERROR(__xludf.DUMMYFUNCTION("""COMPUTED_VALUE"""),381.5730553580282)</f>
        <v>381.5730554</v>
      </c>
      <c r="U883" s="82">
        <f>IFERROR(__xludf.DUMMYFUNCTION("""COMPUTED_VALUE"""),0.9203633092641712)</f>
        <v>0.9203633093</v>
      </c>
      <c r="V883" s="82">
        <f>IFERROR(__xludf.DUMMYFUNCTION("""COMPUTED_VALUE"""),0.7892000961383608)</f>
        <v>0.7892000961</v>
      </c>
      <c r="W883" s="82">
        <f>IFERROR(__xludf.DUMMYFUNCTION("""COMPUTED_VALUE"""),1.1081889079177731)</f>
        <v>1.108188908</v>
      </c>
      <c r="X883" s="82">
        <f>IFERROR(__xludf.DUMMYFUNCTION("""COMPUTED_VALUE"""),3.1769818570534643)</f>
        <v>3.176981857</v>
      </c>
      <c r="Y883" s="82">
        <f>IFERROR(__xludf.DUMMYFUNCTION("""COMPUTED_VALUE"""),380.3280760125066)</f>
        <v>380.328076</v>
      </c>
      <c r="Z883" s="82">
        <f>IFERROR(__xludf.DUMMYFUNCTION("""COMPUTED_VALUE"""),0.8050126663562889)</f>
        <v>0.8050126664</v>
      </c>
      <c r="AA883" s="82">
        <f>IFERROR(__xludf.DUMMYFUNCTION("""COMPUTED_VALUE"""),0.6160741504561025)</f>
        <v>0.6160741505</v>
      </c>
      <c r="AB883" s="82">
        <f>IFERROR(__xludf.DUMMYFUNCTION("""COMPUTED_VALUE"""),1.6708691817493266)</f>
        <v>1.670869182</v>
      </c>
      <c r="AC883" s="82">
        <f>IFERROR(__xludf.DUMMYFUNCTION("""COMPUTED_VALUE"""),2.4506725957991256)</f>
        <v>2.450672596</v>
      </c>
      <c r="AD883" s="82">
        <f>IFERROR(__xludf.DUMMYFUNCTION("""COMPUTED_VALUE"""),0.8505814332501767)</f>
        <v>0.8505814333</v>
      </c>
      <c r="AE883" s="82">
        <f>IFERROR(__xludf.DUMMYFUNCTION("""COMPUTED_VALUE"""),0.7763852994126462)</f>
        <v>0.7763852994</v>
      </c>
      <c r="AF883" s="82">
        <f>IFERROR(__xludf.DUMMYFUNCTION("""COMPUTED_VALUE"""),1.014488271480453)</f>
        <v>1.014488271</v>
      </c>
      <c r="AG883" s="82">
        <f>IFERROR(__xludf.DUMMYFUNCTION("""COMPUTED_VALUE"""),0.8229249871976425)</f>
        <v>0.8229249872</v>
      </c>
      <c r="AH883" s="82">
        <f>IFERROR(__xludf.DUMMYFUNCTION("""COMPUTED_VALUE"""),0.9691217031892219)</f>
        <v>0.9691217032</v>
      </c>
      <c r="AI883" s="82">
        <f>IFERROR(__xludf.DUMMYFUNCTION("""COMPUTED_VALUE"""),1.0421770119316676)</f>
        <v>1.042177012</v>
      </c>
      <c r="AJ883" s="82">
        <f>IFERROR(__xludf.DUMMYFUNCTION("""COMPUTED_VALUE"""),1.0865274505559095)</f>
        <v>1.086527451</v>
      </c>
      <c r="AK883" s="82">
        <f>IFERROR(__xludf.DUMMYFUNCTION("""COMPUTED_VALUE"""),1.003125405762588)</f>
        <v>1.003125406</v>
      </c>
      <c r="AL883" s="82">
        <f>IFERROR(__xludf.DUMMYFUNCTION("""COMPUTED_VALUE"""),1.24076318592969)</f>
        <v>1.240763186</v>
      </c>
      <c r="AM883" s="82">
        <f>IFERROR(__xludf.DUMMYFUNCTION("""COMPUTED_VALUE"""),0.9442924558538058)</f>
        <v>0.9442924559</v>
      </c>
      <c r="AN883" s="82">
        <f>IFERROR(__xludf.DUMMYFUNCTION("""COMPUTED_VALUE"""),0.9171871769130028)</f>
        <v>0.9171871769</v>
      </c>
      <c r="AO883" s="82">
        <f>IFERROR(__xludf.DUMMYFUNCTION("""COMPUTED_VALUE"""),0.876348370321632)</f>
        <v>0.8763483703</v>
      </c>
      <c r="AP883" s="82">
        <f>IFERROR(__xludf.DUMMYFUNCTION("""COMPUTED_VALUE"""),1.086812042979866)</f>
        <v>1.086812043</v>
      </c>
      <c r="AQ883" s="82">
        <f>IFERROR(__xludf.DUMMYFUNCTION("""COMPUTED_VALUE"""),0.9638855406325375)</f>
        <v>0.9638855406</v>
      </c>
      <c r="AR883" s="82">
        <f>IFERROR(__xludf.DUMMYFUNCTION("""COMPUTED_VALUE"""),0.9427931326427208)</f>
        <v>0.9427931326</v>
      </c>
      <c r="AS883" s="82">
        <f>IFERROR(__xludf.DUMMYFUNCTION("""COMPUTED_VALUE"""),20.0)</f>
        <v>20</v>
      </c>
      <c r="AT883" s="82">
        <f>IFERROR(__xludf.DUMMYFUNCTION("""COMPUTED_VALUE"""),0.42619635446806875)</f>
        <v>0.4261963545</v>
      </c>
      <c r="AU883" s="82">
        <f>IFERROR(__xludf.DUMMYFUNCTION("""COMPUTED_VALUE"""),2.1063180278892486)</f>
        <v>2.106318028</v>
      </c>
      <c r="AV883" s="82">
        <f>IFERROR(__xludf.DUMMYFUNCTION("""COMPUTED_VALUE"""),43.86359526571831)</f>
        <v>43.86359527</v>
      </c>
      <c r="AW883" s="82">
        <f t="shared" si="1"/>
        <v>-2.481071821</v>
      </c>
      <c r="AX883" s="83">
        <f t="array" ref="AX883">IFERROR(DGET('SBV Import'!A:G,"SBV",{"RSC ID","Tier";B883,A883}))</f>
        <v>32.40662098</v>
      </c>
      <c r="AY883" s="82">
        <f t="shared" si="2"/>
        <v>-4.152843587</v>
      </c>
      <c r="AZ883" s="82">
        <v>1.6717717661325961</v>
      </c>
      <c r="BA883" s="84">
        <v>800.0</v>
      </c>
      <c r="BB883" s="84" t="b">
        <f>IFERROR(__xludf.DUMMYFUNCTION("iferror(if(A883="""",,E883&gt;=FILTER(Constants!$F$2:$F$10,Constants!$A$2:$A$10=A883)))"),TRUE)</f>
        <v>1</v>
      </c>
    </row>
    <row r="884">
      <c r="A884" s="80" t="str">
        <f>IFERROR(__xludf.DUMMYFUNCTION("""COMPUTED_VALUE"""),"Elite")</f>
        <v>Elite</v>
      </c>
      <c r="B884" s="73" t="str">
        <f>IFERROR(__xludf.DUMMYFUNCTION("""COMPUTED_VALUE"""),"RSC007295")</f>
        <v>RSC007295</v>
      </c>
      <c r="C884" s="73" t="str">
        <f>IFERROR(__xludf.DUMMYFUNCTION("""COMPUTED_VALUE"""),"TheLegendaryChance")</f>
        <v>TheLegendaryChance</v>
      </c>
      <c r="D884" s="73" t="str">
        <f>IFERROR(__xludf.DUMMYFUNCTION("""COMPUTED_VALUE"""),"Geeky Ghouls")</f>
        <v>Geeky Ghouls</v>
      </c>
      <c r="E884" s="82">
        <f>IFERROR(__xludf.DUMMYFUNCTION("""COMPUTED_VALUE"""),29.0)</f>
        <v>29</v>
      </c>
      <c r="F884" s="82">
        <f>IFERROR(__xludf.DUMMYFUNCTION("""COMPUTED_VALUE"""),16.0)</f>
        <v>16</v>
      </c>
      <c r="G884" s="82">
        <f>IFERROR(__xludf.DUMMYFUNCTION("""COMPUTED_VALUE"""),13.0)</f>
        <v>13</v>
      </c>
      <c r="H884" s="86">
        <f>IFERROR(__xludf.DUMMYFUNCTION("""COMPUTED_VALUE"""),0.5517241379310345)</f>
        <v>0.5517241379</v>
      </c>
      <c r="I884" s="86">
        <f>IFERROR(__xludf.DUMMYFUNCTION("""COMPUTED_VALUE"""),0.23529411764705885)</f>
        <v>0.2352941176</v>
      </c>
      <c r="J884" s="82">
        <f>IFERROR(__xludf.DUMMYFUNCTION("""COMPUTED_VALUE"""),331.0344827586207)</f>
        <v>331.0344828</v>
      </c>
      <c r="K884" s="82">
        <f>IFERROR(__xludf.DUMMYFUNCTION("""COMPUTED_VALUE"""),0.5517241379310345)</f>
        <v>0.5517241379</v>
      </c>
      <c r="L884" s="82">
        <f>IFERROR(__xludf.DUMMYFUNCTION("""COMPUTED_VALUE"""),0.5862068965517241)</f>
        <v>0.5862068966</v>
      </c>
      <c r="M884" s="82">
        <f>IFERROR(__xludf.DUMMYFUNCTION("""COMPUTED_VALUE"""),1.3448275862068966)</f>
        <v>1.344827586</v>
      </c>
      <c r="N884" s="82">
        <f>IFERROR(__xludf.DUMMYFUNCTION("""COMPUTED_VALUE"""),2.3448275862068964)</f>
        <v>2.344827586</v>
      </c>
      <c r="O884" s="82">
        <f>IFERROR(__xludf.DUMMYFUNCTION("""COMPUTED_VALUE"""),380.3908045977011)</f>
        <v>380.3908046</v>
      </c>
      <c r="P884" s="82">
        <f>IFERROR(__xludf.DUMMYFUNCTION("""COMPUTED_VALUE"""),0.7356321839080461)</f>
        <v>0.7356321839</v>
      </c>
      <c r="Q884" s="82">
        <f>IFERROR(__xludf.DUMMYFUNCTION("""COMPUTED_VALUE"""),0.632183908045977)</f>
        <v>0.632183908</v>
      </c>
      <c r="R884" s="82">
        <f>IFERROR(__xludf.DUMMYFUNCTION("""COMPUTED_VALUE"""),1.7011494252873562)</f>
        <v>1.701149425</v>
      </c>
      <c r="S884" s="82">
        <f>IFERROR(__xludf.DUMMYFUNCTION("""COMPUTED_VALUE"""),2.5057471264367814)</f>
        <v>2.505747126</v>
      </c>
      <c r="T884" s="82">
        <f>IFERROR(__xludf.DUMMYFUNCTION("""COMPUTED_VALUE"""),368.7643082918601)</f>
        <v>368.7643083</v>
      </c>
      <c r="U884" s="82">
        <f>IFERROR(__xludf.DUMMYFUNCTION("""COMPUTED_VALUE"""),0.8242257571368118)</f>
        <v>0.8242257571</v>
      </c>
      <c r="V884" s="82">
        <f>IFERROR(__xludf.DUMMYFUNCTION("""COMPUTED_VALUE"""),0.6555081479515117)</f>
        <v>0.655508148</v>
      </c>
      <c r="W884" s="82">
        <f>IFERROR(__xludf.DUMMYFUNCTION("""COMPUTED_VALUE"""),1.3779046775192405)</f>
        <v>1.377904678</v>
      </c>
      <c r="X884" s="82">
        <f>IFERROR(__xludf.DUMMYFUNCTION("""COMPUTED_VALUE"""),2.7268334041980116)</f>
        <v>2.726833404</v>
      </c>
      <c r="Y884" s="82">
        <f>IFERROR(__xludf.DUMMYFUNCTION("""COMPUTED_VALUE"""),355.91984330134323)</f>
        <v>355.9198433</v>
      </c>
      <c r="Z884" s="82">
        <f>IFERROR(__xludf.DUMMYFUNCTION("""COMPUTED_VALUE"""),0.7581680851504039)</f>
        <v>0.7581680852</v>
      </c>
      <c r="AA884" s="82">
        <f>IFERROR(__xludf.DUMMYFUNCTION("""COMPUTED_VALUE"""),0.5444064510865353)</f>
        <v>0.5444064511</v>
      </c>
      <c r="AB884" s="82">
        <f>IFERROR(__xludf.DUMMYFUNCTION("""COMPUTED_VALUE"""),1.4299852676673839)</f>
        <v>1.429985268</v>
      </c>
      <c r="AC884" s="82">
        <f>IFERROR(__xludf.DUMMYFUNCTION("""COMPUTED_VALUE"""),2.5816923762417296)</f>
        <v>2.581692376</v>
      </c>
      <c r="AD884" s="82">
        <f>IFERROR(__xludf.DUMMYFUNCTION("""COMPUTED_VALUE"""),0.9300815590614512)</f>
        <v>0.9300815591</v>
      </c>
      <c r="AE884" s="82">
        <f>IFERROR(__xludf.DUMMYFUNCTION("""COMPUTED_VALUE"""),0.7277068881389073)</f>
        <v>0.7277068881</v>
      </c>
      <c r="AF884" s="82">
        <f>IFERROR(__xludf.DUMMYFUNCTION("""COMPUTED_VALUE"""),1.076781686517055)</f>
        <v>1.076781687</v>
      </c>
      <c r="AG884" s="82">
        <f>IFERROR(__xludf.DUMMYFUNCTION("""COMPUTED_VALUE"""),0.9404485602852413)</f>
        <v>0.9404485603</v>
      </c>
      <c r="AH884" s="82">
        <f>IFERROR(__xludf.DUMMYFUNCTION("""COMPUTED_VALUE"""),0.9082521247633513)</f>
        <v>0.9082521248</v>
      </c>
      <c r="AI884" s="82">
        <f>IFERROR(__xludf.DUMMYFUNCTION("""COMPUTED_VALUE"""),1.031528258143245)</f>
        <v>1.031528258</v>
      </c>
      <c r="AJ884" s="82">
        <f>IFERROR(__xludf.DUMMYFUNCTION("""COMPUTED_VALUE"""),0.892512976618783)</f>
        <v>0.8925129766</v>
      </c>
      <c r="AK884" s="82">
        <f>IFERROR(__xludf.DUMMYFUNCTION("""COMPUTED_VALUE"""),0.9644180778249304)</f>
        <v>0.9644180778</v>
      </c>
      <c r="AL884" s="82">
        <f>IFERROR(__xludf.DUMMYFUNCTION("""COMPUTED_VALUE"""),1.234591516410323)</f>
        <v>1.234591516</v>
      </c>
      <c r="AM884" s="82">
        <f>IFERROR(__xludf.DUMMYFUNCTION("""COMPUTED_VALUE"""),0.9189219710229222)</f>
        <v>0.918921971</v>
      </c>
      <c r="AN884" s="82">
        <f>IFERROR(__xludf.DUMMYFUNCTION("""COMPUTED_VALUE"""),0.938548941892536)</f>
        <v>0.9385489419</v>
      </c>
      <c r="AO884" s="82">
        <f>IFERROR(__xludf.DUMMYFUNCTION("""COMPUTED_VALUE"""),0.773604078628751)</f>
        <v>0.7736040786</v>
      </c>
      <c r="AP884" s="82">
        <f>IFERROR(__xludf.DUMMYFUNCTION("""COMPUTED_VALUE"""),1.019354743760426)</f>
        <v>1.019354744</v>
      </c>
      <c r="AQ884" s="82">
        <f>IFERROR(__xludf.DUMMYFUNCTION("""COMPUTED_VALUE"""),0.9427344472644255)</f>
        <v>0.9427344473</v>
      </c>
      <c r="AR884" s="82">
        <f>IFERROR(__xludf.DUMMYFUNCTION("""COMPUTED_VALUE"""),0.9308157244240292)</f>
        <v>0.9308157244</v>
      </c>
      <c r="AS884" s="82">
        <f>IFERROR(__xludf.DUMMYFUNCTION("""COMPUTED_VALUE"""),66.0)</f>
        <v>66</v>
      </c>
      <c r="AT884" s="82">
        <f>IFERROR(__xludf.DUMMYFUNCTION("""COMPUTED_VALUE"""),0.5118305072616764)</f>
        <v>0.5118305073</v>
      </c>
      <c r="AU884" s="82">
        <f>IFERROR(__xludf.DUMMYFUNCTION("""COMPUTED_VALUE"""),2.1008005464614135)</f>
        <v>2.100800546</v>
      </c>
      <c r="AV884" s="82">
        <f>IFERROR(__xludf.DUMMYFUNCTION("""COMPUTED_VALUE"""),43.708557021901484)</f>
        <v>43.70855702</v>
      </c>
      <c r="AW884" s="82">
        <f t="shared" si="1"/>
        <v>-2.495926521</v>
      </c>
      <c r="AX884" s="83">
        <f t="array" ref="AX884">IFERROR(DGET('SBV Import'!A:G,"SBV",{"RSC ID","Tier";B884,A884}))</f>
        <v>37.84108493</v>
      </c>
      <c r="AY884" s="82">
        <f t="shared" si="2"/>
        <v>-3.191246519</v>
      </c>
      <c r="AZ884" s="82">
        <v>0.6953199972706039</v>
      </c>
      <c r="BA884" s="84">
        <v>800.0</v>
      </c>
      <c r="BB884" s="84" t="b">
        <f>IFERROR(__xludf.DUMMYFUNCTION("iferror(if(A884="""",,E884&gt;=FILTER(Constants!$F$2:$F$10,Constants!$A$2:$A$10=A884)))"),TRUE)</f>
        <v>1</v>
      </c>
    </row>
    <row r="885">
      <c r="A885" s="80" t="str">
        <f>IFERROR(__xludf.DUMMYFUNCTION("""COMPUTED_VALUE"""),"Elite")</f>
        <v>Elite</v>
      </c>
      <c r="B885" s="73" t="str">
        <f>IFERROR(__xludf.DUMMYFUNCTION("""COMPUTED_VALUE"""),"RSC003561")</f>
        <v>RSC003561</v>
      </c>
      <c r="C885" s="73" t="str">
        <f>IFERROR(__xludf.DUMMYFUNCTION("""COMPUTED_VALUE"""),"Dooober")</f>
        <v>Dooober</v>
      </c>
      <c r="D885" s="73" t="str">
        <f>IFERROR(__xludf.DUMMYFUNCTION("""COMPUTED_VALUE"""),"Drive Bye")</f>
        <v>Drive Bye</v>
      </c>
      <c r="E885" s="82">
        <f>IFERROR(__xludf.DUMMYFUNCTION("""COMPUTED_VALUE"""),33.0)</f>
        <v>33</v>
      </c>
      <c r="F885" s="82">
        <f>IFERROR(__xludf.DUMMYFUNCTION("""COMPUTED_VALUE"""),11.0)</f>
        <v>11</v>
      </c>
      <c r="G885" s="82">
        <f>IFERROR(__xludf.DUMMYFUNCTION("""COMPUTED_VALUE"""),22.0)</f>
        <v>22</v>
      </c>
      <c r="H885" s="86">
        <f>IFERROR(__xludf.DUMMYFUNCTION("""COMPUTED_VALUE"""),0.3333333333333333)</f>
        <v>0.3333333333</v>
      </c>
      <c r="I885" s="86">
        <f>IFERROR(__xludf.DUMMYFUNCTION("""COMPUTED_VALUE"""),0.3164556962025316)</f>
        <v>0.3164556962</v>
      </c>
      <c r="J885" s="82">
        <f>IFERROR(__xludf.DUMMYFUNCTION("""COMPUTED_VALUE"""),358.8181818181818)</f>
        <v>358.8181818</v>
      </c>
      <c r="K885" s="82">
        <f>IFERROR(__xludf.DUMMYFUNCTION("""COMPUTED_VALUE"""),0.7575757575757576)</f>
        <v>0.7575757576</v>
      </c>
      <c r="L885" s="82">
        <f>IFERROR(__xludf.DUMMYFUNCTION("""COMPUTED_VALUE"""),0.42424242424242425)</f>
        <v>0.4242424242</v>
      </c>
      <c r="M885" s="82">
        <f>IFERROR(__xludf.DUMMYFUNCTION("""COMPUTED_VALUE"""),1.9090909090909092)</f>
        <v>1.909090909</v>
      </c>
      <c r="N885" s="82">
        <f>IFERROR(__xludf.DUMMYFUNCTION("""COMPUTED_VALUE"""),2.393939393939394)</f>
        <v>2.393939394</v>
      </c>
      <c r="O885" s="82">
        <f>IFERROR(__xludf.DUMMYFUNCTION("""COMPUTED_VALUE"""),397.4747474747475)</f>
        <v>397.4747475</v>
      </c>
      <c r="P885" s="82">
        <f>IFERROR(__xludf.DUMMYFUNCTION("""COMPUTED_VALUE"""),0.9393939393939393)</f>
        <v>0.9393939394</v>
      </c>
      <c r="Q885" s="82">
        <f>IFERROR(__xludf.DUMMYFUNCTION("""COMPUTED_VALUE"""),0.7676767676767676)</f>
        <v>0.7676767677</v>
      </c>
      <c r="R885" s="82">
        <f>IFERROR(__xludf.DUMMYFUNCTION("""COMPUTED_VALUE"""),1.3838383838383836)</f>
        <v>1.383838384</v>
      </c>
      <c r="S885" s="82">
        <f>IFERROR(__xludf.DUMMYFUNCTION("""COMPUTED_VALUE"""),3.1616161616161613)</f>
        <v>3.161616162</v>
      </c>
      <c r="T885" s="82">
        <f>IFERROR(__xludf.DUMMYFUNCTION("""COMPUTED_VALUE"""),366.6371615625338)</f>
        <v>366.6371616</v>
      </c>
      <c r="U885" s="82">
        <f>IFERROR(__xludf.DUMMYFUNCTION("""COMPUTED_VALUE"""),0.7936772162407103)</f>
        <v>0.7936772162</v>
      </c>
      <c r="V885" s="82">
        <f>IFERROR(__xludf.DUMMYFUNCTION("""COMPUTED_VALUE"""),0.6188320413552348)</f>
        <v>0.6188320414</v>
      </c>
      <c r="W885" s="82">
        <f>IFERROR(__xludf.DUMMYFUNCTION("""COMPUTED_VALUE"""),1.400094037613841)</f>
        <v>1.400094038</v>
      </c>
      <c r="X885" s="82">
        <f>IFERROR(__xludf.DUMMYFUNCTION("""COMPUTED_VALUE"""),2.7588015133355186)</f>
        <v>2.758801513</v>
      </c>
      <c r="Y885" s="82">
        <f>IFERROR(__xludf.DUMMYFUNCTION("""COMPUTED_VALUE"""),353.321953736601)</f>
        <v>353.3219537</v>
      </c>
      <c r="Z885" s="82">
        <f>IFERROR(__xludf.DUMMYFUNCTION("""COMPUTED_VALUE"""),0.7278799280427811)</f>
        <v>0.727879928</v>
      </c>
      <c r="AA885" s="82">
        <f>IFERROR(__xludf.DUMMYFUNCTION("""COMPUTED_VALUE"""),0.5430431724899665)</f>
        <v>0.5430431725</v>
      </c>
      <c r="AB885" s="82">
        <f>IFERROR(__xludf.DUMMYFUNCTION("""COMPUTED_VALUE"""),1.4662264286329645)</f>
        <v>1.466226429</v>
      </c>
      <c r="AC885" s="82">
        <f>IFERROR(__xludf.DUMMYFUNCTION("""COMPUTED_VALUE"""),2.519331825655037)</f>
        <v>2.519331826</v>
      </c>
      <c r="AD885" s="82">
        <f>IFERROR(__xludf.DUMMYFUNCTION("""COMPUTED_VALUE"""),1.015555863493493)</f>
        <v>1.015555863</v>
      </c>
      <c r="AE885" s="82">
        <f>IFERROR(__xludf.DUMMYFUNCTION("""COMPUTED_VALUE"""),1.0407977035619411)</f>
        <v>1.040797704</v>
      </c>
      <c r="AF885" s="82">
        <f>IFERROR(__xludf.DUMMYFUNCTION("""COMPUTED_VALUE"""),0.7812314853295808)</f>
        <v>0.7812314853</v>
      </c>
      <c r="AG885" s="82">
        <f>IFERROR(__xludf.DUMMYFUNCTION("""COMPUTED_VALUE"""),1.3020437169931858)</f>
        <v>1.302043717</v>
      </c>
      <c r="AH885" s="82">
        <f>IFERROR(__xludf.DUMMYFUNCTION("""COMPUTED_VALUE"""),0.9502279015258182)</f>
        <v>0.9502279015</v>
      </c>
      <c r="AI885" s="82">
        <f>IFERROR(__xludf.DUMMYFUNCTION("""COMPUTED_VALUE"""),1.0841092751776447)</f>
        <v>1.084109275</v>
      </c>
      <c r="AJ885" s="82">
        <f>IFERROR(__xludf.DUMMYFUNCTION("""COMPUTED_VALUE"""),1.1835969587780575)</f>
        <v>1.183596959</v>
      </c>
      <c r="AK885" s="82">
        <f>IFERROR(__xludf.DUMMYFUNCTION("""COMPUTED_VALUE"""),1.2405252417046224)</f>
        <v>1.240525242</v>
      </c>
      <c r="AL885" s="82">
        <f>IFERROR(__xludf.DUMMYFUNCTION("""COMPUTED_VALUE"""),0.9883895985992757)</f>
        <v>0.9883895986</v>
      </c>
      <c r="AM885" s="82">
        <f>IFERROR(__xludf.DUMMYFUNCTION("""COMPUTED_VALUE"""),1.146010739204511)</f>
        <v>1.146010739</v>
      </c>
      <c r="AN885" s="82">
        <f>IFERROR(__xludf.DUMMYFUNCTION("""COMPUTED_VALUE"""),1.017321283483384)</f>
        <v>1.017321283</v>
      </c>
      <c r="AO885" s="82">
        <f>IFERROR(__xludf.DUMMYFUNCTION("""COMPUTED_VALUE"""),1.0622404488747055)</f>
        <v>1.062240449</v>
      </c>
      <c r="AP885" s="82">
        <f>IFERROR(__xludf.DUMMYFUNCTION("""COMPUTED_VALUE"""),0.7377148412954242)</f>
        <v>0.7377148413</v>
      </c>
      <c r="AQ885" s="82">
        <f>IFERROR(__xludf.DUMMYFUNCTION("""COMPUTED_VALUE"""),1.338287362200548)</f>
        <v>1.338287362</v>
      </c>
      <c r="AR885" s="82">
        <f>IFERROR(__xludf.DUMMYFUNCTION("""COMPUTED_VALUE"""),0.9503114191869211)</f>
        <v>0.9503114192</v>
      </c>
      <c r="AS885" s="82">
        <f>IFERROR(__xludf.DUMMYFUNCTION("""COMPUTED_VALUE"""),58.0)</f>
        <v>58</v>
      </c>
      <c r="AT885" s="82">
        <f>IFERROR(__xludf.DUMMYFUNCTION("""COMPUTED_VALUE"""),0.32507814379611116)</f>
        <v>0.3250781438</v>
      </c>
      <c r="AU885" s="82">
        <f>IFERROR(__xludf.DUMMYFUNCTION("""COMPUTED_VALUE"""),2.1006740381964004)</f>
        <v>2.100674038</v>
      </c>
      <c r="AV885" s="82">
        <f>IFERROR(__xludf.DUMMYFUNCTION("""COMPUTED_VALUE"""),43.705002208080636)</f>
        <v>43.70500221</v>
      </c>
      <c r="AW885" s="82">
        <f t="shared" si="1"/>
        <v>-2.496268934</v>
      </c>
      <c r="AX885" s="83">
        <f t="array" ref="AX885">IFERROR(DGET('SBV Import'!A:G,"SBV",{"RSC ID","Tier";B885,A885}))</f>
        <v>39.16397444</v>
      </c>
      <c r="AY885" s="82">
        <f t="shared" si="2"/>
        <v>-3.008901518</v>
      </c>
      <c r="AZ885" s="82">
        <v>0.512632583460646</v>
      </c>
      <c r="BA885" s="84">
        <v>800.0</v>
      </c>
      <c r="BB885" s="84" t="b">
        <f>IFERROR(__xludf.DUMMYFUNCTION("iferror(if(A885="""",,E885&gt;=FILTER(Constants!$F$2:$F$10,Constants!$A$2:$A$10=A885)))"),TRUE)</f>
        <v>1</v>
      </c>
    </row>
    <row r="886">
      <c r="A886" s="80" t="str">
        <f>IFERROR(__xludf.DUMMYFUNCTION("""COMPUTED_VALUE"""),"Elite")</f>
        <v>Elite</v>
      </c>
      <c r="B886" s="73" t="str">
        <f>IFERROR(__xludf.DUMMYFUNCTION("""COMPUTED_VALUE"""),"RSC005008")</f>
        <v>RSC005008</v>
      </c>
      <c r="C886" s="73" t="str">
        <f>IFERROR(__xludf.DUMMYFUNCTION("""COMPUTED_VALUE"""),"W0NDER")</f>
        <v>W0NDER</v>
      </c>
      <c r="D886" s="73" t="str">
        <f>IFERROR(__xludf.DUMMYFUNCTION("""COMPUTED_VALUE"""),"Ghastly Goombahs")</f>
        <v>Ghastly Goombahs</v>
      </c>
      <c r="E886" s="82">
        <f>IFERROR(__xludf.DUMMYFUNCTION("""COMPUTED_VALUE"""),31.0)</f>
        <v>31</v>
      </c>
      <c r="F886" s="82">
        <f>IFERROR(__xludf.DUMMYFUNCTION("""COMPUTED_VALUE"""),10.0)</f>
        <v>10</v>
      </c>
      <c r="G886" s="82">
        <f>IFERROR(__xludf.DUMMYFUNCTION("""COMPUTED_VALUE"""),21.0)</f>
        <v>21</v>
      </c>
      <c r="H886" s="86">
        <f>IFERROR(__xludf.DUMMYFUNCTION("""COMPUTED_VALUE"""),0.3225806451612903)</f>
        <v>0.3225806452</v>
      </c>
      <c r="I886" s="86">
        <f>IFERROR(__xludf.DUMMYFUNCTION("""COMPUTED_VALUE"""),0.3108108108108108)</f>
        <v>0.3108108108</v>
      </c>
      <c r="J886" s="82">
        <f>IFERROR(__xludf.DUMMYFUNCTION("""COMPUTED_VALUE"""),349.2903225806452)</f>
        <v>349.2903226</v>
      </c>
      <c r="K886" s="82">
        <f>IFERROR(__xludf.DUMMYFUNCTION("""COMPUTED_VALUE"""),0.7419354838709677)</f>
        <v>0.7419354839</v>
      </c>
      <c r="L886" s="82">
        <f>IFERROR(__xludf.DUMMYFUNCTION("""COMPUTED_VALUE"""),0.3225806451612903)</f>
        <v>0.3225806452</v>
      </c>
      <c r="M886" s="82">
        <f>IFERROR(__xludf.DUMMYFUNCTION("""COMPUTED_VALUE"""),1.3548387096774193)</f>
        <v>1.35483871</v>
      </c>
      <c r="N886" s="82">
        <f>IFERROR(__xludf.DUMMYFUNCTION("""COMPUTED_VALUE"""),2.3870967741935485)</f>
        <v>2.387096774</v>
      </c>
      <c r="O886" s="82">
        <f>IFERROR(__xludf.DUMMYFUNCTION("""COMPUTED_VALUE"""),372.3870967741936)</f>
        <v>372.3870968</v>
      </c>
      <c r="P886" s="82">
        <f>IFERROR(__xludf.DUMMYFUNCTION("""COMPUTED_VALUE"""),0.8494623655913978)</f>
        <v>0.8494623656</v>
      </c>
      <c r="Q886" s="82">
        <f>IFERROR(__xludf.DUMMYFUNCTION("""COMPUTED_VALUE"""),0.5806451612903225)</f>
        <v>0.5806451613</v>
      </c>
      <c r="R886" s="82">
        <f>IFERROR(__xludf.DUMMYFUNCTION("""COMPUTED_VALUE"""),1.3440860215053763)</f>
        <v>1.344086022</v>
      </c>
      <c r="S886" s="82">
        <f>IFERROR(__xludf.DUMMYFUNCTION("""COMPUTED_VALUE"""),2.806451612903225)</f>
        <v>2.806451613</v>
      </c>
      <c r="T886" s="82">
        <f>IFERROR(__xludf.DUMMYFUNCTION("""COMPUTED_VALUE"""),368.6381545349374)</f>
        <v>368.6381545</v>
      </c>
      <c r="U886" s="82">
        <f>IFERROR(__xludf.DUMMYFUNCTION("""COMPUTED_VALUE"""),0.7976419908294987)</f>
        <v>0.7976419908</v>
      </c>
      <c r="V886" s="82">
        <f>IFERROR(__xludf.DUMMYFUNCTION("""COMPUTED_VALUE"""),0.592615121377841)</f>
        <v>0.5926151214</v>
      </c>
      <c r="W886" s="82">
        <f>IFERROR(__xludf.DUMMYFUNCTION("""COMPUTED_VALUE"""),1.4397499638610358)</f>
        <v>1.439749964</v>
      </c>
      <c r="X886" s="82">
        <f>IFERROR(__xludf.DUMMYFUNCTION("""COMPUTED_VALUE"""),2.769209471272536)</f>
        <v>2.769209471</v>
      </c>
      <c r="Y886" s="82">
        <f>IFERROR(__xludf.DUMMYFUNCTION("""COMPUTED_VALUE"""),357.0925508893889)</f>
        <v>357.0925509</v>
      </c>
      <c r="Z886" s="82">
        <f>IFERROR(__xludf.DUMMYFUNCTION("""COMPUTED_VALUE"""),0.7510017340860557)</f>
        <v>0.7510017341</v>
      </c>
      <c r="AA886" s="82">
        <f>IFERROR(__xludf.DUMMYFUNCTION("""COMPUTED_VALUE"""),0.5609430668534573)</f>
        <v>0.5609430669</v>
      </c>
      <c r="AB886" s="82">
        <f>IFERROR(__xludf.DUMMYFUNCTION("""COMPUTED_VALUE"""),1.4202264615555193)</f>
        <v>1.420226462</v>
      </c>
      <c r="AC886" s="82">
        <f>IFERROR(__xludf.DUMMYFUNCTION("""COMPUTED_VALUE"""),2.6032004367468478)</f>
        <v>2.603200437</v>
      </c>
      <c r="AD886" s="82">
        <f>IFERROR(__xludf.DUMMYFUNCTION("""COMPUTED_VALUE"""),0.9781506830951494)</f>
        <v>0.9781506831</v>
      </c>
      <c r="AE886" s="82">
        <f>IFERROR(__xludf.DUMMYFUNCTION("""COMPUTED_VALUE"""),0.9879277905714541)</f>
        <v>0.9879277906</v>
      </c>
      <c r="AF886" s="82">
        <f>IFERROR(__xludf.DUMMYFUNCTION("""COMPUTED_VALUE"""),0.5750684235581477)</f>
        <v>0.5750684236</v>
      </c>
      <c r="AG886" s="82">
        <f>IFERROR(__xludf.DUMMYFUNCTION("""COMPUTED_VALUE"""),0.9539596299265658)</f>
        <v>0.9539596299</v>
      </c>
      <c r="AH886" s="82">
        <f>IFERROR(__xludf.DUMMYFUNCTION("""COMPUTED_VALUE"""),0.9169853924796669)</f>
        <v>0.9169853925</v>
      </c>
      <c r="AI886" s="82">
        <f>IFERROR(__xludf.DUMMYFUNCTION("""COMPUTED_VALUE"""),1.0101697075930345)</f>
        <v>1.010169708</v>
      </c>
      <c r="AJ886" s="82">
        <f>IFERROR(__xludf.DUMMYFUNCTION("""COMPUTED_VALUE"""),1.0649669593096636)</f>
        <v>1.064966959</v>
      </c>
      <c r="AK886" s="82">
        <f>IFERROR(__xludf.DUMMYFUNCTION("""COMPUTED_VALUE"""),0.9798014602467651)</f>
        <v>0.9798014602</v>
      </c>
      <c r="AL886" s="82">
        <f>IFERROR(__xludf.DUMMYFUNCTION("""COMPUTED_VALUE"""),0.9335551694690697)</f>
        <v>0.9335551695</v>
      </c>
      <c r="AM886" s="82">
        <f>IFERROR(__xludf.DUMMYFUNCTION("""COMPUTED_VALUE"""),1.0134486545770678)</f>
        <v>1.013448655</v>
      </c>
      <c r="AN886" s="82">
        <f>IFERROR(__xludf.DUMMYFUNCTION("""COMPUTED_VALUE"""),0.9903078976530881)</f>
        <v>0.9903078977</v>
      </c>
      <c r="AO886" s="82">
        <f>IFERROR(__xludf.DUMMYFUNCTION("""COMPUTED_VALUE"""),1.0403103234785827)</f>
        <v>1.040310323</v>
      </c>
      <c r="AP886" s="82">
        <f>IFERROR(__xludf.DUMMYFUNCTION("""COMPUTED_VALUE"""),0.5609352479896083)</f>
        <v>0.560935248</v>
      </c>
      <c r="AQ886" s="82">
        <f>IFERROR(__xludf.DUMMYFUNCTION("""COMPUTED_VALUE"""),0.9497523215616792)</f>
        <v>0.9497523216</v>
      </c>
      <c r="AR886" s="82">
        <f>IFERROR(__xludf.DUMMYFUNCTION("""COMPUTED_VALUE"""),0.9475951350161133)</f>
        <v>0.947595135</v>
      </c>
      <c r="AS886" s="82">
        <f>IFERROR(__xludf.DUMMYFUNCTION("""COMPUTED_VALUE"""),56.0)</f>
        <v>56</v>
      </c>
      <c r="AT886" s="82">
        <f>IFERROR(__xludf.DUMMYFUNCTION("""COMPUTED_VALUE"""),0.37171048462739065)</f>
        <v>0.3717104846</v>
      </c>
      <c r="AU886" s="82">
        <f>IFERROR(__xludf.DUMMYFUNCTION("""COMPUTED_VALUE"""),2.0914499141735523)</f>
        <v>2.091449914</v>
      </c>
      <c r="AV886" s="82">
        <f>IFERROR(__xludf.DUMMYFUNCTION("""COMPUTED_VALUE"""),43.44580931219949)</f>
        <v>43.44580931</v>
      </c>
      <c r="AW886" s="82">
        <f t="shared" si="1"/>
        <v>-2.521456936</v>
      </c>
      <c r="AX886" s="83">
        <f t="array" ref="AX886">IFERROR(DGET('SBV Import'!A:G,"SBV",{"RSC ID","Tier";B886,A886}))</f>
        <v>39.51502157</v>
      </c>
      <c r="AY886" s="82">
        <f t="shared" si="2"/>
        <v>-2.963294612</v>
      </c>
      <c r="AZ886" s="82">
        <v>0.44183767607050095</v>
      </c>
      <c r="BA886" s="84">
        <v>800.0</v>
      </c>
      <c r="BB886" s="84" t="b">
        <f>IFERROR(__xludf.DUMMYFUNCTION("iferror(if(A886="""",,E886&gt;=FILTER(Constants!$F$2:$F$10,Constants!$A$2:$A$10=A886)))"),TRUE)</f>
        <v>1</v>
      </c>
    </row>
    <row r="887">
      <c r="A887" s="80" t="str">
        <f>IFERROR(__xludf.DUMMYFUNCTION("""COMPUTED_VALUE"""),"Elite")</f>
        <v>Elite</v>
      </c>
      <c r="B887" s="73" t="str">
        <f>IFERROR(__xludf.DUMMYFUNCTION("""COMPUTED_VALUE"""),"RSC007642")</f>
        <v>RSC007642</v>
      </c>
      <c r="C887" s="73" t="str">
        <f>IFERROR(__xludf.DUMMYFUNCTION("""COMPUTED_VALUE"""),"Luminati7")</f>
        <v>Luminati7</v>
      </c>
      <c r="D887" s="73"/>
      <c r="E887" s="82">
        <f>IFERROR(__xludf.DUMMYFUNCTION("""COMPUTED_VALUE"""),8.0)</f>
        <v>8</v>
      </c>
      <c r="F887" s="82">
        <f>IFERROR(__xludf.DUMMYFUNCTION("""COMPUTED_VALUE"""),2.0)</f>
        <v>2</v>
      </c>
      <c r="G887" s="82">
        <f>IFERROR(__xludf.DUMMYFUNCTION("""COMPUTED_VALUE"""),6.0)</f>
        <v>6</v>
      </c>
      <c r="H887" s="86">
        <f>IFERROR(__xludf.DUMMYFUNCTION("""COMPUTED_VALUE"""),0.25)</f>
        <v>0.25</v>
      </c>
      <c r="I887" s="86">
        <f>IFERROR(__xludf.DUMMYFUNCTION("""COMPUTED_VALUE"""),0.35294117647058826)</f>
        <v>0.3529411765</v>
      </c>
      <c r="J887" s="82">
        <f>IFERROR(__xludf.DUMMYFUNCTION("""COMPUTED_VALUE"""),458.25)</f>
        <v>458.25</v>
      </c>
      <c r="K887" s="82">
        <f>IFERROR(__xludf.DUMMYFUNCTION("""COMPUTED_VALUE"""),0.75)</f>
        <v>0.75</v>
      </c>
      <c r="L887" s="82">
        <f>IFERROR(__xludf.DUMMYFUNCTION("""COMPUTED_VALUE"""),0.25)</f>
        <v>0.25</v>
      </c>
      <c r="M887" s="82">
        <f>IFERROR(__xludf.DUMMYFUNCTION("""COMPUTED_VALUE"""),2.75)</f>
        <v>2.75</v>
      </c>
      <c r="N887" s="82">
        <f>IFERROR(__xludf.DUMMYFUNCTION("""COMPUTED_VALUE"""),2.125)</f>
        <v>2.125</v>
      </c>
      <c r="O887" s="82">
        <f>IFERROR(__xludf.DUMMYFUNCTION("""COMPUTED_VALUE"""),427.9166666666667)</f>
        <v>427.9166667</v>
      </c>
      <c r="P887" s="82">
        <f>IFERROR(__xludf.DUMMYFUNCTION("""COMPUTED_VALUE"""),0.9166666666666666)</f>
        <v>0.9166666667</v>
      </c>
      <c r="Q887" s="82">
        <f>IFERROR(__xludf.DUMMYFUNCTION("""COMPUTED_VALUE"""),0.7916666666666666)</f>
        <v>0.7916666667</v>
      </c>
      <c r="R887" s="82">
        <f>IFERROR(__xludf.DUMMYFUNCTION("""COMPUTED_VALUE"""),1.5416666666666667)</f>
        <v>1.541666667</v>
      </c>
      <c r="S887" s="82">
        <f>IFERROR(__xludf.DUMMYFUNCTION("""COMPUTED_VALUE"""),3.791666666666667)</f>
        <v>3.791666667</v>
      </c>
      <c r="T887" s="82">
        <f>IFERROR(__xludf.DUMMYFUNCTION("""COMPUTED_VALUE"""),366.1631117724868)</f>
        <v>366.1631118</v>
      </c>
      <c r="U887" s="82">
        <f>IFERROR(__xludf.DUMMYFUNCTION("""COMPUTED_VALUE"""),0.802827380952381)</f>
        <v>0.802827381</v>
      </c>
      <c r="V887" s="82">
        <f>IFERROR(__xludf.DUMMYFUNCTION("""COMPUTED_VALUE"""),0.6767526455026455)</f>
        <v>0.6767526455</v>
      </c>
      <c r="W887" s="82">
        <f>IFERROR(__xludf.DUMMYFUNCTION("""COMPUTED_VALUE"""),1.3192791005291007)</f>
        <v>1.319279101</v>
      </c>
      <c r="X887" s="82">
        <f>IFERROR(__xludf.DUMMYFUNCTION("""COMPUTED_VALUE"""),2.839368386243386)</f>
        <v>2.839368386</v>
      </c>
      <c r="Y887" s="82">
        <f>IFERROR(__xludf.DUMMYFUNCTION("""COMPUTED_VALUE"""),349.21563602292775)</f>
        <v>349.215636</v>
      </c>
      <c r="Z887" s="82">
        <f>IFERROR(__xludf.DUMMYFUNCTION("""COMPUTED_VALUE"""),0.6552303791887125)</f>
        <v>0.6552303792</v>
      </c>
      <c r="AA887" s="82">
        <f>IFERROR(__xludf.DUMMYFUNCTION("""COMPUTED_VALUE"""),0.48360339506172845)</f>
        <v>0.4836033951</v>
      </c>
      <c r="AB887" s="82">
        <f>IFERROR(__xludf.DUMMYFUNCTION("""COMPUTED_VALUE"""),1.5964781746031746)</f>
        <v>1.596478175</v>
      </c>
      <c r="AC887" s="82">
        <f>IFERROR(__xludf.DUMMYFUNCTION("""COMPUTED_VALUE"""),2.4321814373897706)</f>
        <v>2.432181437</v>
      </c>
      <c r="AD887" s="82">
        <f>IFERROR(__xludf.DUMMYFUNCTION("""COMPUTED_VALUE"""),1.312226466199565)</f>
        <v>1.312226466</v>
      </c>
      <c r="AE887" s="82">
        <f>IFERROR(__xludf.DUMMYFUNCTION("""COMPUTED_VALUE"""),1.1446355721916137)</f>
        <v>1.144635572</v>
      </c>
      <c r="AF887" s="82">
        <f>IFERROR(__xludf.DUMMYFUNCTION("""COMPUTED_VALUE"""),0.5169525329078579)</f>
        <v>0.5169525329</v>
      </c>
      <c r="AG887" s="82">
        <f>IFERROR(__xludf.DUMMYFUNCTION("""COMPUTED_VALUE"""),1.7225415566257574)</f>
        <v>1.722541557</v>
      </c>
      <c r="AH887" s="82">
        <f>IFERROR(__xludf.DUMMYFUNCTION("""COMPUTED_VALUE"""),0.8737012655933106)</f>
        <v>0.8737012656</v>
      </c>
      <c r="AI887" s="82">
        <f>IFERROR(__xludf.DUMMYFUNCTION("""COMPUTED_VALUE"""),1.1686503989854393)</f>
        <v>1.168650399</v>
      </c>
      <c r="AJ887" s="82">
        <f>IFERROR(__xludf.DUMMYFUNCTION("""COMPUTED_VALUE"""),1.1417979610750693)</f>
        <v>1.141797961</v>
      </c>
      <c r="AK887" s="82">
        <f>IFERROR(__xludf.DUMMYFUNCTION("""COMPUTED_VALUE"""),1.169802101148302)</f>
        <v>1.169802101</v>
      </c>
      <c r="AL887" s="82">
        <f>IFERROR(__xludf.DUMMYFUNCTION("""COMPUTED_VALUE"""),1.1685674896603584)</f>
        <v>1.16856749</v>
      </c>
      <c r="AM887" s="82">
        <f>IFERROR(__xludf.DUMMYFUNCTION("""COMPUTED_VALUE"""),1.335390886591935)</f>
        <v>1.335390887</v>
      </c>
      <c r="AN887" s="82">
        <f>IFERROR(__xludf.DUMMYFUNCTION("""COMPUTED_VALUE"""),1.2992303672963943)</f>
        <v>1.299230367</v>
      </c>
      <c r="AO887" s="82">
        <f>IFERROR(__xludf.DUMMYFUNCTION("""COMPUTED_VALUE"""),1.0516180443859584)</f>
        <v>1.051618044</v>
      </c>
      <c r="AP887" s="82">
        <f>IFERROR(__xludf.DUMMYFUNCTION("""COMPUTED_VALUE"""),0.4347248171919464)</f>
        <v>0.4347248172</v>
      </c>
      <c r="AQ887" s="82">
        <f>IFERROR(__xludf.DUMMYFUNCTION("""COMPUTED_VALUE"""),1.927771081265075)</f>
        <v>1.927771081</v>
      </c>
      <c r="AR887" s="82">
        <f>IFERROR(__xludf.DUMMYFUNCTION("""COMPUTED_VALUE"""),0.8435517502592764)</f>
        <v>0.8435517503</v>
      </c>
      <c r="AS887" s="82">
        <f>IFERROR(__xludf.DUMMYFUNCTION("""COMPUTED_VALUE"""),13.0)</f>
        <v>13</v>
      </c>
      <c r="AT887" s="82">
        <f>IFERROR(__xludf.DUMMYFUNCTION("""COMPUTED_VALUE"""),0.3092625416068513)</f>
        <v>0.3092625416</v>
      </c>
      <c r="AU887" s="82">
        <f>IFERROR(__xludf.DUMMYFUNCTION("""COMPUTED_VALUE"""),2.0862951947209365)</f>
        <v>2.086295195</v>
      </c>
      <c r="AV887" s="82">
        <f>IFERROR(__xludf.DUMMYFUNCTION("""COMPUTED_VALUE"""),43.300964483674974)</f>
        <v>43.30096448</v>
      </c>
      <c r="AW887" s="82">
        <f t="shared" si="1"/>
        <v>-2.53572515</v>
      </c>
      <c r="AX887" s="83">
        <f t="array" ref="AX887">IFERROR(DGET('SBV Import'!A:G,"SBV",{"RSC ID","Tier";B887,A887}))</f>
        <v>38.65822491</v>
      </c>
      <c r="AY887" s="82">
        <f t="shared" si="2"/>
        <v>-3.076612386</v>
      </c>
      <c r="AZ887" s="82">
        <v>0.5408872359464416</v>
      </c>
      <c r="BA887" s="84">
        <v>800.0</v>
      </c>
      <c r="BB887" s="84" t="b">
        <f>IFERROR(__xludf.DUMMYFUNCTION("iferror(if(A887="""",,E887&gt;=FILTER(Constants!$F$2:$F$10,Constants!$A$2:$A$10=A887)))"),TRUE)</f>
        <v>1</v>
      </c>
    </row>
    <row r="888">
      <c r="A888" s="80" t="str">
        <f>IFERROR(__xludf.DUMMYFUNCTION("""COMPUTED_VALUE"""),"Elite")</f>
        <v>Elite</v>
      </c>
      <c r="B888" s="73" t="str">
        <f>IFERROR(__xludf.DUMMYFUNCTION("""COMPUTED_VALUE"""),"RSC005508")</f>
        <v>RSC005508</v>
      </c>
      <c r="C888" s="73" t="str">
        <f>IFERROR(__xludf.DUMMYFUNCTION("""COMPUTED_VALUE"""),"Lil Windex")</f>
        <v>Lil Windex</v>
      </c>
      <c r="D888" s="73" t="str">
        <f>IFERROR(__xludf.DUMMYFUNCTION("""COMPUTED_VALUE"""),"Cyclones")</f>
        <v>Cyclones</v>
      </c>
      <c r="E888" s="82">
        <f>IFERROR(__xludf.DUMMYFUNCTION("""COMPUTED_VALUE"""),28.0)</f>
        <v>28</v>
      </c>
      <c r="F888" s="82">
        <f>IFERROR(__xludf.DUMMYFUNCTION("""COMPUTED_VALUE"""),15.0)</f>
        <v>15</v>
      </c>
      <c r="G888" s="82">
        <f>IFERROR(__xludf.DUMMYFUNCTION("""COMPUTED_VALUE"""),13.0)</f>
        <v>13</v>
      </c>
      <c r="H888" s="86">
        <f>IFERROR(__xludf.DUMMYFUNCTION("""COMPUTED_VALUE"""),0.5357142857142857)</f>
        <v>0.5357142857</v>
      </c>
      <c r="I888" s="86">
        <f>IFERROR(__xludf.DUMMYFUNCTION("""COMPUTED_VALUE"""),0.22058823529411767)</f>
        <v>0.2205882353</v>
      </c>
      <c r="J888" s="82">
        <f>IFERROR(__xludf.DUMMYFUNCTION("""COMPUTED_VALUE"""),364.85714285714283)</f>
        <v>364.8571429</v>
      </c>
      <c r="K888" s="82">
        <f>IFERROR(__xludf.DUMMYFUNCTION("""COMPUTED_VALUE"""),0.5357142857142857)</f>
        <v>0.5357142857</v>
      </c>
      <c r="L888" s="82">
        <f>IFERROR(__xludf.DUMMYFUNCTION("""COMPUTED_VALUE"""),0.6785714285714286)</f>
        <v>0.6785714286</v>
      </c>
      <c r="M888" s="82">
        <f>IFERROR(__xludf.DUMMYFUNCTION("""COMPUTED_VALUE"""),1.7142857142857142)</f>
        <v>1.714285714</v>
      </c>
      <c r="N888" s="82">
        <f>IFERROR(__xludf.DUMMYFUNCTION("""COMPUTED_VALUE"""),2.4285714285714284)</f>
        <v>2.428571429</v>
      </c>
      <c r="O888" s="82">
        <f>IFERROR(__xludf.DUMMYFUNCTION("""COMPUTED_VALUE"""),359.3690476190476)</f>
        <v>359.3690476</v>
      </c>
      <c r="P888" s="82">
        <f>IFERROR(__xludf.DUMMYFUNCTION("""COMPUTED_VALUE"""),0.7380952380952381)</f>
        <v>0.7380952381</v>
      </c>
      <c r="Q888" s="82">
        <f>IFERROR(__xludf.DUMMYFUNCTION("""COMPUTED_VALUE"""),0.4999999999999999)</f>
        <v>0.5</v>
      </c>
      <c r="R888" s="82">
        <f>IFERROR(__xludf.DUMMYFUNCTION("""COMPUTED_VALUE"""),1.5476190476190474)</f>
        <v>1.547619048</v>
      </c>
      <c r="S888" s="82">
        <f>IFERROR(__xludf.DUMMYFUNCTION("""COMPUTED_VALUE"""),2.6428571428571432)</f>
        <v>2.642857143</v>
      </c>
      <c r="T888" s="82">
        <f>IFERROR(__xludf.DUMMYFUNCTION("""COMPUTED_VALUE"""),361.0189365930826)</f>
        <v>361.0189366</v>
      </c>
      <c r="U888" s="82">
        <f>IFERROR(__xludf.DUMMYFUNCTION("""COMPUTED_VALUE"""),0.7473738232666809)</f>
        <v>0.7473738233</v>
      </c>
      <c r="V888" s="82">
        <f>IFERROR(__xludf.DUMMYFUNCTION("""COMPUTED_VALUE"""),0.499081599042779)</f>
        <v>0.499081599</v>
      </c>
      <c r="W888" s="82">
        <f>IFERROR(__xludf.DUMMYFUNCTION("""COMPUTED_VALUE"""),1.5870791992686395)</f>
        <v>1.587079199</v>
      </c>
      <c r="X888" s="82">
        <f>IFERROR(__xludf.DUMMYFUNCTION("""COMPUTED_VALUE"""),2.5526620837179834)</f>
        <v>2.552662084</v>
      </c>
      <c r="Y888" s="82">
        <f>IFERROR(__xludf.DUMMYFUNCTION("""COMPUTED_VALUE"""),375.41745921578985)</f>
        <v>375.4174592</v>
      </c>
      <c r="Z888" s="82">
        <f>IFERROR(__xludf.DUMMYFUNCTION("""COMPUTED_VALUE"""),0.8536466409137216)</f>
        <v>0.8536466409</v>
      </c>
      <c r="AA888" s="82">
        <f>IFERROR(__xludf.DUMMYFUNCTION("""COMPUTED_VALUE"""),0.6425837792297419)</f>
        <v>0.6425837792</v>
      </c>
      <c r="AB888" s="82">
        <f>IFERROR(__xludf.DUMMYFUNCTION("""COMPUTED_VALUE"""),1.3930619166126417)</f>
        <v>1.393061917</v>
      </c>
      <c r="AC888" s="82">
        <f>IFERROR(__xludf.DUMMYFUNCTION("""COMPUTED_VALUE"""),2.8891621591543943)</f>
        <v>2.889162159</v>
      </c>
      <c r="AD888" s="82">
        <f>IFERROR(__xludf.DUMMYFUNCTION("""COMPUTED_VALUE"""),0.9718704708600754)</f>
        <v>0.9718704709</v>
      </c>
      <c r="AE888" s="82">
        <f>IFERROR(__xludf.DUMMYFUNCTION("""COMPUTED_VALUE"""),0.6275597654093394)</f>
        <v>0.6275597654</v>
      </c>
      <c r="AF888" s="82">
        <f>IFERROR(__xludf.DUMMYFUNCTION("""COMPUTED_VALUE"""),1.056004602831439)</f>
        <v>1.056004603</v>
      </c>
      <c r="AG888" s="82">
        <f>IFERROR(__xludf.DUMMYFUNCTION("""COMPUTED_VALUE"""),1.230588313299209)</f>
        <v>1.230588313</v>
      </c>
      <c r="AH888" s="82">
        <f>IFERROR(__xludf.DUMMYFUNCTION("""COMPUTED_VALUE"""),0.8405798272265297)</f>
        <v>0.8405798272</v>
      </c>
      <c r="AI888" s="82">
        <f>IFERROR(__xludf.DUMMYFUNCTION("""COMPUTED_VALUE"""),0.9954299101603784)</f>
        <v>0.9954299102</v>
      </c>
      <c r="AJ888" s="82">
        <f>IFERROR(__xludf.DUMMYFUNCTION("""COMPUTED_VALUE"""),0.9875850814109501)</f>
        <v>0.9875850814</v>
      </c>
      <c r="AK888" s="82">
        <f>IFERROR(__xludf.DUMMYFUNCTION("""COMPUTED_VALUE"""),1.0018401819641967)</f>
        <v>1.001840182</v>
      </c>
      <c r="AL888" s="82">
        <f>IFERROR(__xludf.DUMMYFUNCTION("""COMPUTED_VALUE"""),0.9751366209904483)</f>
        <v>0.975136621</v>
      </c>
      <c r="AM888" s="82">
        <f>IFERROR(__xludf.DUMMYFUNCTION("""COMPUTED_VALUE"""),1.0353337246298537)</f>
        <v>1.035333725</v>
      </c>
      <c r="AN888" s="82">
        <f>IFERROR(__xludf.DUMMYFUNCTION("""COMPUTED_VALUE"""),1.034442945390068)</f>
        <v>1.034442945</v>
      </c>
      <c r="AO888" s="82">
        <f>IFERROR(__xludf.DUMMYFUNCTION("""COMPUTED_VALUE"""),0.7511557459899703)</f>
        <v>0.751155746</v>
      </c>
      <c r="AP888" s="82">
        <f>IFERROR(__xludf.DUMMYFUNCTION("""COMPUTED_VALUE"""),1.1799673609495689)</f>
        <v>1.179967361</v>
      </c>
      <c r="AQ888" s="82">
        <f>IFERROR(__xludf.DUMMYFUNCTION("""COMPUTED_VALUE"""),1.2017274272821248)</f>
        <v>1.201727427</v>
      </c>
      <c r="AR888" s="82">
        <f>IFERROR(__xludf.DUMMYFUNCTION("""COMPUTED_VALUE"""),0.9640591431534588)</f>
        <v>0.9640591432</v>
      </c>
      <c r="AS888" s="82">
        <f>IFERROR(__xludf.DUMMYFUNCTION("""COMPUTED_VALUE"""),67.0)</f>
        <v>67</v>
      </c>
      <c r="AT888" s="82">
        <f>IFERROR(__xludf.DUMMYFUNCTION("""COMPUTED_VALUE"""),0.5300227212318195)</f>
        <v>0.5300227212</v>
      </c>
      <c r="AU888" s="82">
        <f>IFERROR(__xludf.DUMMYFUNCTION("""COMPUTED_VALUE"""),2.0668415178967035)</f>
        <v>2.066841518</v>
      </c>
      <c r="AV888" s="82">
        <f>IFERROR(__xludf.DUMMYFUNCTION("""COMPUTED_VALUE"""),42.75432668705395)</f>
        <v>42.75432669</v>
      </c>
      <c r="AW888" s="82">
        <f t="shared" si="1"/>
        <v>-2.590845932</v>
      </c>
      <c r="AX888" s="83">
        <f t="array" ref="AX888">IFERROR(DGET('SBV Import'!A:G,"SBV",{"RSC ID","Tier";B888,A888}))</f>
        <v>49.11435475</v>
      </c>
      <c r="AY888" s="82">
        <f t="shared" si="2"/>
        <v>-2.058163274</v>
      </c>
      <c r="AZ888" s="82">
        <v>0.532682657437749</v>
      </c>
      <c r="BA888" s="84">
        <v>800.0</v>
      </c>
      <c r="BB888" s="84" t="b">
        <f>IFERROR(__xludf.DUMMYFUNCTION("iferror(if(A888="""",,E888&gt;=FILTER(Constants!$F$2:$F$10,Constants!$A$2:$A$10=A888)))"),TRUE)</f>
        <v>1</v>
      </c>
    </row>
    <row r="889">
      <c r="A889" s="80" t="str">
        <f>IFERROR(__xludf.DUMMYFUNCTION("""COMPUTED_VALUE"""),"Elite")</f>
        <v>Elite</v>
      </c>
      <c r="B889" s="73" t="str">
        <f>IFERROR(__xludf.DUMMYFUNCTION("""COMPUTED_VALUE"""),"RSC007514")</f>
        <v>RSC007514</v>
      </c>
      <c r="C889" s="73" t="str">
        <f>IFERROR(__xludf.DUMMYFUNCTION("""COMPUTED_VALUE"""),"Sauce_Boss_36")</f>
        <v>Sauce_Boss_36</v>
      </c>
      <c r="D889" s="73" t="str">
        <f>IFERROR(__xludf.DUMMYFUNCTION("""COMPUTED_VALUE"""),"Majesties")</f>
        <v>Majesties</v>
      </c>
      <c r="E889" s="82">
        <f>IFERROR(__xludf.DUMMYFUNCTION("""COMPUTED_VALUE"""),33.0)</f>
        <v>33</v>
      </c>
      <c r="F889" s="82">
        <f>IFERROR(__xludf.DUMMYFUNCTION("""COMPUTED_VALUE"""),9.0)</f>
        <v>9</v>
      </c>
      <c r="G889" s="82">
        <f>IFERROR(__xludf.DUMMYFUNCTION("""COMPUTED_VALUE"""),24.0)</f>
        <v>24</v>
      </c>
      <c r="H889" s="86">
        <f>IFERROR(__xludf.DUMMYFUNCTION("""COMPUTED_VALUE"""),0.2727272727272727)</f>
        <v>0.2727272727</v>
      </c>
      <c r="I889" s="86">
        <f>IFERROR(__xludf.DUMMYFUNCTION("""COMPUTED_VALUE"""),0.36)</f>
        <v>0.36</v>
      </c>
      <c r="J889" s="82">
        <f>IFERROR(__xludf.DUMMYFUNCTION("""COMPUTED_VALUE"""),336.42424242424244)</f>
        <v>336.4242424</v>
      </c>
      <c r="K889" s="82">
        <f>IFERROR(__xludf.DUMMYFUNCTION("""COMPUTED_VALUE"""),0.8181818181818182)</f>
        <v>0.8181818182</v>
      </c>
      <c r="L889" s="82">
        <f>IFERROR(__xludf.DUMMYFUNCTION("""COMPUTED_VALUE"""),0.45454545454545453)</f>
        <v>0.4545454545</v>
      </c>
      <c r="M889" s="82">
        <f>IFERROR(__xludf.DUMMYFUNCTION("""COMPUTED_VALUE"""),1.393939393939394)</f>
        <v>1.393939394</v>
      </c>
      <c r="N889" s="82">
        <f>IFERROR(__xludf.DUMMYFUNCTION("""COMPUTED_VALUE"""),2.272727272727273)</f>
        <v>2.272727273</v>
      </c>
      <c r="O889" s="82">
        <f>IFERROR(__xludf.DUMMYFUNCTION("""COMPUTED_VALUE"""),407.1414141414142)</f>
        <v>407.1414141</v>
      </c>
      <c r="P889" s="82">
        <f>IFERROR(__xludf.DUMMYFUNCTION("""COMPUTED_VALUE"""),1.111111111111111)</f>
        <v>1.111111111</v>
      </c>
      <c r="Q889" s="82">
        <f>IFERROR(__xludf.DUMMYFUNCTION("""COMPUTED_VALUE"""),0.8080808080808082)</f>
        <v>0.8080808081</v>
      </c>
      <c r="R889" s="82">
        <f>IFERROR(__xludf.DUMMYFUNCTION("""COMPUTED_VALUE"""),1.3030303030303028)</f>
        <v>1.303030303</v>
      </c>
      <c r="S889" s="82">
        <f>IFERROR(__xludf.DUMMYFUNCTION("""COMPUTED_VALUE"""),3.1616161616161613)</f>
        <v>3.161616162</v>
      </c>
      <c r="T889" s="82">
        <f>IFERROR(__xludf.DUMMYFUNCTION("""COMPUTED_VALUE"""),370.5941280961969)</f>
        <v>370.5941281</v>
      </c>
      <c r="U889" s="82">
        <f>IFERROR(__xludf.DUMMYFUNCTION("""COMPUTED_VALUE"""),0.8165013692363401)</f>
        <v>0.8165013692</v>
      </c>
      <c r="V889" s="82">
        <f>IFERROR(__xludf.DUMMYFUNCTION("""COMPUTED_VALUE"""),0.6199532920682657)</f>
        <v>0.6199532921</v>
      </c>
      <c r="W889" s="82">
        <f>IFERROR(__xludf.DUMMYFUNCTION("""COMPUTED_VALUE"""),1.3841043357208775)</f>
        <v>1.384104336</v>
      </c>
      <c r="X889" s="82">
        <f>IFERROR(__xludf.DUMMYFUNCTION("""COMPUTED_VALUE"""),2.840384536071967)</f>
        <v>2.840384536</v>
      </c>
      <c r="Y889" s="82">
        <f>IFERROR(__xludf.DUMMYFUNCTION("""COMPUTED_VALUE"""),357.6627216449328)</f>
        <v>357.6627216</v>
      </c>
      <c r="Z889" s="82">
        <f>IFERROR(__xludf.DUMMYFUNCTION("""COMPUTED_VALUE"""),0.7222546318054845)</f>
        <v>0.7222546318</v>
      </c>
      <c r="AA889" s="82">
        <f>IFERROR(__xludf.DUMMYFUNCTION("""COMPUTED_VALUE"""),0.5349189817624409)</f>
        <v>0.5349189818</v>
      </c>
      <c r="AB889" s="82">
        <f>IFERROR(__xludf.DUMMYFUNCTION("""COMPUTED_VALUE"""),1.499961808741352)</f>
        <v>1.499961809</v>
      </c>
      <c r="AC889" s="82">
        <f>IFERROR(__xludf.DUMMYFUNCTION("""COMPUTED_VALUE"""),2.5304702820338014)</f>
        <v>2.530470282</v>
      </c>
      <c r="AD889" s="82">
        <f>IFERROR(__xludf.DUMMYFUNCTION("""COMPUTED_VALUE"""),0.9406186948334674)</f>
        <v>0.9406186948</v>
      </c>
      <c r="AE889" s="82">
        <f>IFERROR(__xludf.DUMMYFUNCTION("""COMPUTED_VALUE"""),1.1328162979537229)</f>
        <v>1.132816298</v>
      </c>
      <c r="AF889" s="82">
        <f>IFERROR(__xludf.DUMMYFUNCTION("""COMPUTED_VALUE"""),0.8497463542008302)</f>
        <v>0.8497463542</v>
      </c>
      <c r="AG889" s="82">
        <f>IFERROR(__xludf.DUMMYFUNCTION("""COMPUTED_VALUE"""),0.9293165904731111)</f>
        <v>0.9293165905</v>
      </c>
      <c r="AH889" s="82">
        <f>IFERROR(__xludf.DUMMYFUNCTION("""COMPUTED_VALUE"""),0.8981442259423121)</f>
        <v>0.8981442259</v>
      </c>
      <c r="AI889" s="82">
        <f>IFERROR(__xludf.DUMMYFUNCTION("""COMPUTED_VALUE"""),1.0986180926097417)</f>
        <v>1.098618093</v>
      </c>
      <c r="AJ889" s="82">
        <f>IFERROR(__xludf.DUMMYFUNCTION("""COMPUTED_VALUE"""),1.3608196544119875)</f>
        <v>1.360819654</v>
      </c>
      <c r="AK889" s="82">
        <f>IFERROR(__xludf.DUMMYFUNCTION("""COMPUTED_VALUE"""),1.30345433828558)</f>
        <v>1.303454338</v>
      </c>
      <c r="AL889" s="82">
        <f>IFERROR(__xludf.DUMMYFUNCTION("""COMPUTED_VALUE"""),0.9414249124157614)</f>
        <v>0.9414249124</v>
      </c>
      <c r="AM889" s="82">
        <f>IFERROR(__xludf.DUMMYFUNCTION("""COMPUTED_VALUE"""),1.1130944143177293)</f>
        <v>1.113094414</v>
      </c>
      <c r="AN889" s="82">
        <f>IFERROR(__xludf.DUMMYFUNCTION("""COMPUTED_VALUE"""),0.9538299881118596)</f>
        <v>0.9538299881</v>
      </c>
      <c r="AO889" s="82">
        <f>IFERROR(__xludf.DUMMYFUNCTION("""COMPUTED_VALUE"""),1.147219684784682)</f>
        <v>1.147219685</v>
      </c>
      <c r="AP889" s="82">
        <f>IFERROR(__xludf.DUMMYFUNCTION("""COMPUTED_VALUE"""),0.7904087585308116)</f>
        <v>0.7904087585</v>
      </c>
      <c r="AQ889" s="82">
        <f>IFERROR(__xludf.DUMMYFUNCTION("""COMPUTED_VALUE"""),0.9771622009718288)</f>
        <v>0.977162201</v>
      </c>
      <c r="AR889" s="82">
        <f>IFERROR(__xludf.DUMMYFUNCTION("""COMPUTED_VALUE"""),0.9021943853040391)</f>
        <v>0.9021943853</v>
      </c>
      <c r="AS889" s="82">
        <f>IFERROR(__xludf.DUMMYFUNCTION("""COMPUTED_VALUE"""),64.0)</f>
        <v>64</v>
      </c>
      <c r="AT889" s="82">
        <f>IFERROR(__xludf.DUMMYFUNCTION("""COMPUTED_VALUE"""),0.294677915400397)</f>
        <v>0.2946779154</v>
      </c>
      <c r="AU889" s="82">
        <f>IFERROR(__xludf.DUMMYFUNCTION("""COMPUTED_VALUE"""),2.049118473793521)</f>
        <v>2.049118474</v>
      </c>
      <c r="AV889" s="82">
        <f>IFERROR(__xludf.DUMMYFUNCTION("""COMPUTED_VALUE"""),42.25631873382668)</f>
        <v>42.25631873</v>
      </c>
      <c r="AW889" s="82">
        <f t="shared" si="1"/>
        <v>-2.642869677</v>
      </c>
      <c r="AX889" s="83">
        <f t="array" ref="AX889">IFERROR(DGET('SBV Import'!A:G,"SBV",{"RSC ID","Tier";B889,A889}))</f>
        <v>32.58964385</v>
      </c>
      <c r="AY889" s="82">
        <f t="shared" si="2"/>
        <v>-4.113792064</v>
      </c>
      <c r="AZ889" s="82">
        <v>1.4709223872063832</v>
      </c>
      <c r="BA889" s="84">
        <v>800.0</v>
      </c>
      <c r="BB889" s="84" t="b">
        <f>IFERROR(__xludf.DUMMYFUNCTION("iferror(if(A889="""",,E889&gt;=FILTER(Constants!$F$2:$F$10,Constants!$A$2:$A$10=A889)))"),TRUE)</f>
        <v>1</v>
      </c>
    </row>
    <row r="890">
      <c r="A890" s="80" t="str">
        <f>IFERROR(__xludf.DUMMYFUNCTION("""COMPUTED_VALUE"""),"Elite")</f>
        <v>Elite</v>
      </c>
      <c r="B890" s="73" t="str">
        <f>IFERROR(__xludf.DUMMYFUNCTION("""COMPUTED_VALUE"""),"RSC007269")</f>
        <v>RSC007269</v>
      </c>
      <c r="C890" s="73" t="str">
        <f>IFERROR(__xludf.DUMMYFUNCTION("""COMPUTED_VALUE"""),"Navik")</f>
        <v>Navik</v>
      </c>
      <c r="D890" s="73" t="str">
        <f>IFERROR(__xludf.DUMMYFUNCTION("""COMPUTED_VALUE"""),"Stoked Blokes")</f>
        <v>Stoked Blokes</v>
      </c>
      <c r="E890" s="82">
        <f>IFERROR(__xludf.DUMMYFUNCTION("""COMPUTED_VALUE"""),34.0)</f>
        <v>34</v>
      </c>
      <c r="F890" s="82">
        <f>IFERROR(__xludf.DUMMYFUNCTION("""COMPUTED_VALUE"""),16.0)</f>
        <v>16</v>
      </c>
      <c r="G890" s="82">
        <f>IFERROR(__xludf.DUMMYFUNCTION("""COMPUTED_VALUE"""),18.0)</f>
        <v>18</v>
      </c>
      <c r="H890" s="86">
        <f>IFERROR(__xludf.DUMMYFUNCTION("""COMPUTED_VALUE"""),0.47058823529411764)</f>
        <v>0.4705882353</v>
      </c>
      <c r="I890" s="86">
        <f>IFERROR(__xludf.DUMMYFUNCTION("""COMPUTED_VALUE"""),0.3243243243243244)</f>
        <v>0.3243243243</v>
      </c>
      <c r="J890" s="82">
        <f>IFERROR(__xludf.DUMMYFUNCTION("""COMPUTED_VALUE"""),340.47058823529414)</f>
        <v>340.4705882</v>
      </c>
      <c r="K890" s="82">
        <f>IFERROR(__xludf.DUMMYFUNCTION("""COMPUTED_VALUE"""),0.7058823529411765)</f>
        <v>0.7058823529</v>
      </c>
      <c r="L890" s="82">
        <f>IFERROR(__xludf.DUMMYFUNCTION("""COMPUTED_VALUE"""),0.35294117647058826)</f>
        <v>0.3529411765</v>
      </c>
      <c r="M890" s="82">
        <f>IFERROR(__xludf.DUMMYFUNCTION("""COMPUTED_VALUE"""),1.5)</f>
        <v>1.5</v>
      </c>
      <c r="N890" s="82">
        <f>IFERROR(__xludf.DUMMYFUNCTION("""COMPUTED_VALUE"""),2.176470588235294)</f>
        <v>2.176470588</v>
      </c>
      <c r="O890" s="82">
        <f>IFERROR(__xludf.DUMMYFUNCTION("""COMPUTED_VALUE"""),335.8333333333334)</f>
        <v>335.8333333</v>
      </c>
      <c r="P890" s="82">
        <f>IFERROR(__xludf.DUMMYFUNCTION("""COMPUTED_VALUE"""),0.6568627450980394)</f>
        <v>0.6568627451</v>
      </c>
      <c r="Q890" s="82">
        <f>IFERROR(__xludf.DUMMYFUNCTION("""COMPUTED_VALUE"""),0.4901960784313726)</f>
        <v>0.4901960784</v>
      </c>
      <c r="R890" s="82">
        <f>IFERROR(__xludf.DUMMYFUNCTION("""COMPUTED_VALUE"""),1.3235294117647058)</f>
        <v>1.323529412</v>
      </c>
      <c r="S890" s="82">
        <f>IFERROR(__xludf.DUMMYFUNCTION("""COMPUTED_VALUE"""),2.5784313725490198)</f>
        <v>2.578431373</v>
      </c>
      <c r="T890" s="82">
        <f>IFERROR(__xludf.DUMMYFUNCTION("""COMPUTED_VALUE"""),361.7499282927862)</f>
        <v>361.7499283</v>
      </c>
      <c r="U890" s="82">
        <f>IFERROR(__xludf.DUMMYFUNCTION("""COMPUTED_VALUE"""),0.7503099479412629)</f>
        <v>0.7503099479</v>
      </c>
      <c r="V890" s="82">
        <f>IFERROR(__xludf.DUMMYFUNCTION("""COMPUTED_VALUE"""),0.5818671062926898)</f>
        <v>0.5818671063</v>
      </c>
      <c r="W890" s="82">
        <f>IFERROR(__xludf.DUMMYFUNCTION("""COMPUTED_VALUE"""),1.5326762297479097)</f>
        <v>1.53267623</v>
      </c>
      <c r="X890" s="82">
        <f>IFERROR(__xludf.DUMMYFUNCTION("""COMPUTED_VALUE"""),2.526954875749805)</f>
        <v>2.526954876</v>
      </c>
      <c r="Y890" s="82">
        <f>IFERROR(__xludf.DUMMYFUNCTION("""COMPUTED_VALUE"""),360.74471454399185)</f>
        <v>360.7447145</v>
      </c>
      <c r="Z890" s="82">
        <f>IFERROR(__xludf.DUMMYFUNCTION("""COMPUTED_VALUE"""),0.7845039730243782)</f>
        <v>0.784503973</v>
      </c>
      <c r="AA890" s="82">
        <f>IFERROR(__xludf.DUMMYFUNCTION("""COMPUTED_VALUE"""),0.5797166162892312)</f>
        <v>0.5797166163</v>
      </c>
      <c r="AB890" s="82">
        <f>IFERROR(__xludf.DUMMYFUNCTION("""COMPUTED_VALUE"""),1.3612578354128146)</f>
        <v>1.361257835</v>
      </c>
      <c r="AC890" s="82">
        <f>IFERROR(__xludf.DUMMYFUNCTION("""COMPUTED_VALUE"""),2.7662525306146573)</f>
        <v>2.766252531</v>
      </c>
      <c r="AD890" s="82">
        <f>IFERROR(__xludf.DUMMYFUNCTION("""COMPUTED_VALUE"""),0.9437992422582665)</f>
        <v>0.9437992423</v>
      </c>
      <c r="AE890" s="82">
        <f>IFERROR(__xludf.DUMMYFUNCTION("""COMPUTED_VALUE"""),0.8997817438959502)</f>
        <v>0.8997817439</v>
      </c>
      <c r="AF890" s="82">
        <f>IFERROR(__xludf.DUMMYFUNCTION("""COMPUTED_VALUE"""),0.6088167331303463)</f>
        <v>0.6088167331</v>
      </c>
      <c r="AG890" s="82">
        <f>IFERROR(__xludf.DUMMYFUNCTION("""COMPUTED_VALUE"""),1.1019220319456309)</f>
        <v>1.101922032</v>
      </c>
      <c r="AH890" s="82">
        <f>IFERROR(__xludf.DUMMYFUNCTION("""COMPUTED_VALUE"""),0.7867938896206578)</f>
        <v>0.7867938896</v>
      </c>
      <c r="AI890" s="82">
        <f>IFERROR(__xludf.DUMMYFUNCTION("""COMPUTED_VALUE"""),0.9283577053304157)</f>
        <v>0.9283577053</v>
      </c>
      <c r="AJ890" s="82">
        <f>IFERROR(__xludf.DUMMYFUNCTION("""COMPUTED_VALUE"""),0.8754551994150838)</f>
        <v>0.8754551994</v>
      </c>
      <c r="AK890" s="82">
        <f>IFERROR(__xludf.DUMMYFUNCTION("""COMPUTED_VALUE"""),0.8424536687674437)</f>
        <v>0.8424536688</v>
      </c>
      <c r="AL890" s="82">
        <f>IFERROR(__xludf.DUMMYFUNCTION("""COMPUTED_VALUE"""),0.8635414225628045)</f>
        <v>0.8635414226</v>
      </c>
      <c r="AM890" s="82">
        <f>IFERROR(__xludf.DUMMYFUNCTION("""COMPUTED_VALUE"""),1.0203709600409625)</f>
        <v>1.02037096</v>
      </c>
      <c r="AN890" s="82">
        <f>IFERROR(__xludf.DUMMYFUNCTION("""COMPUTED_VALUE"""),0.9653021874665807)</f>
        <v>0.9653021875</v>
      </c>
      <c r="AO890" s="82">
        <f>IFERROR(__xludf.DUMMYFUNCTION("""COMPUTED_VALUE"""),0.9897581594220786)</f>
        <v>0.9897581594</v>
      </c>
      <c r="AP890" s="82">
        <f>IFERROR(__xludf.DUMMYFUNCTION("""COMPUTED_VALUE"""),0.6137291536827478)</f>
        <v>0.6137291537</v>
      </c>
      <c r="AQ890" s="82">
        <f>IFERROR(__xludf.DUMMYFUNCTION("""COMPUTED_VALUE"""),1.0515114988718592)</f>
        <v>1.051511499</v>
      </c>
      <c r="AR890" s="82">
        <f>IFERROR(__xludf.DUMMYFUNCTION("""COMPUTED_VALUE"""),0.8639837995735149)</f>
        <v>0.8639837996</v>
      </c>
      <c r="AS890" s="82">
        <f>IFERROR(__xludf.DUMMYFUNCTION("""COMPUTED_VALUE"""),66.0)</f>
        <v>66</v>
      </c>
      <c r="AT890" s="82">
        <f>IFERROR(__xludf.DUMMYFUNCTION("""COMPUTED_VALUE"""),0.49443942614010533)</f>
        <v>0.4944394261</v>
      </c>
      <c r="AU890" s="82">
        <f>IFERROR(__xludf.DUMMYFUNCTION("""COMPUTED_VALUE"""),2.0329874614767567)</f>
        <v>2.032987461</v>
      </c>
      <c r="AV890" s="82">
        <f>IFERROR(__xludf.DUMMYFUNCTION("""COMPUTED_VALUE"""),41.80304601269674)</f>
        <v>41.80304601</v>
      </c>
      <c r="AW890" s="82">
        <f t="shared" si="1"/>
        <v>-2.691776317</v>
      </c>
      <c r="AX890" s="83">
        <f t="array" ref="AX890">IFERROR(DGET('SBV Import'!A:G,"SBV",{"RSC ID","Tier";B890,A890}))</f>
        <v>42.5664181</v>
      </c>
      <c r="AY890" s="82">
        <f t="shared" si="2"/>
        <v>-2.610269377</v>
      </c>
      <c r="AZ890" s="82">
        <v>0.08150694032854977</v>
      </c>
      <c r="BA890" s="84">
        <v>800.0</v>
      </c>
      <c r="BB890" s="84" t="b">
        <f>IFERROR(__xludf.DUMMYFUNCTION("iferror(if(A890="""",,E890&gt;=FILTER(Constants!$F$2:$F$10,Constants!$A$2:$A$10=A890)))"),TRUE)</f>
        <v>1</v>
      </c>
    </row>
    <row r="891">
      <c r="A891" s="80" t="str">
        <f>IFERROR(__xludf.DUMMYFUNCTION("""COMPUTED_VALUE"""),"Elite")</f>
        <v>Elite</v>
      </c>
      <c r="B891" s="73" t="str">
        <f>IFERROR(__xludf.DUMMYFUNCTION("""COMPUTED_VALUE"""),"RSC003399")</f>
        <v>RSC003399</v>
      </c>
      <c r="C891" s="73" t="str">
        <f>IFERROR(__xludf.DUMMYFUNCTION("""COMPUTED_VALUE"""),"josan")</f>
        <v>josan</v>
      </c>
      <c r="D891" s="73"/>
      <c r="E891" s="82">
        <f>IFERROR(__xludf.DUMMYFUNCTION("""COMPUTED_VALUE"""),3.0)</f>
        <v>3</v>
      </c>
      <c r="F891" s="82">
        <f>IFERROR(__xludf.DUMMYFUNCTION("""COMPUTED_VALUE"""),2.0)</f>
        <v>2</v>
      </c>
      <c r="G891" s="82">
        <f>IFERROR(__xludf.DUMMYFUNCTION("""COMPUTED_VALUE"""),1.0)</f>
        <v>1</v>
      </c>
      <c r="H891" s="86">
        <f>IFERROR(__xludf.DUMMYFUNCTION("""COMPUTED_VALUE"""),0.6666666666666666)</f>
        <v>0.6666666667</v>
      </c>
      <c r="I891" s="86">
        <f>IFERROR(__xludf.DUMMYFUNCTION("""COMPUTED_VALUE"""),0.125)</f>
        <v>0.125</v>
      </c>
      <c r="J891" s="82">
        <f>IFERROR(__xludf.DUMMYFUNCTION("""COMPUTED_VALUE"""),273.6666666666667)</f>
        <v>273.6666667</v>
      </c>
      <c r="K891" s="82">
        <f>IFERROR(__xludf.DUMMYFUNCTION("""COMPUTED_VALUE"""),0.3333333333333333)</f>
        <v>0.3333333333</v>
      </c>
      <c r="L891" s="82">
        <f>IFERROR(__xludf.DUMMYFUNCTION("""COMPUTED_VALUE"""),1.3333333333333333)</f>
        <v>1.333333333</v>
      </c>
      <c r="M891" s="82">
        <f>IFERROR(__xludf.DUMMYFUNCTION("""COMPUTED_VALUE"""),0.0)</f>
        <v>0</v>
      </c>
      <c r="N891" s="82">
        <f>IFERROR(__xludf.DUMMYFUNCTION("""COMPUTED_VALUE"""),2.6666666666666665)</f>
        <v>2.666666667</v>
      </c>
      <c r="O891" s="82">
        <f>IFERROR(__xludf.DUMMYFUNCTION("""COMPUTED_VALUE"""),422.3333333333333)</f>
        <v>422.3333333</v>
      </c>
      <c r="P891" s="82">
        <f>IFERROR(__xludf.DUMMYFUNCTION("""COMPUTED_VALUE"""),1.111111111111111)</f>
        <v>1.111111111</v>
      </c>
      <c r="Q891" s="82">
        <f>IFERROR(__xludf.DUMMYFUNCTION("""COMPUTED_VALUE"""),1.0)</f>
        <v>1</v>
      </c>
      <c r="R891" s="82">
        <f>IFERROR(__xludf.DUMMYFUNCTION("""COMPUTED_VALUE"""),1.6666666666666667)</f>
        <v>1.666666667</v>
      </c>
      <c r="S891" s="82">
        <f>IFERROR(__xludf.DUMMYFUNCTION("""COMPUTED_VALUE"""),2.111111111111111)</f>
        <v>2.111111111</v>
      </c>
      <c r="T891" s="82">
        <f>IFERROR(__xludf.DUMMYFUNCTION("""COMPUTED_VALUE"""),365.3055555555556)</f>
        <v>365.3055556</v>
      </c>
      <c r="U891" s="82">
        <f>IFERROR(__xludf.DUMMYFUNCTION("""COMPUTED_VALUE"""),0.8333333333333334)</f>
        <v>0.8333333333</v>
      </c>
      <c r="V891" s="82">
        <f>IFERROR(__xludf.DUMMYFUNCTION("""COMPUTED_VALUE"""),0.6053240740740741)</f>
        <v>0.6053240741</v>
      </c>
      <c r="W891" s="82">
        <f>IFERROR(__xludf.DUMMYFUNCTION("""COMPUTED_VALUE"""),1.4409722222222223)</f>
        <v>1.440972222</v>
      </c>
      <c r="X891" s="82">
        <f>IFERROR(__xludf.DUMMYFUNCTION("""COMPUTED_VALUE"""),2.7094907407407405)</f>
        <v>2.709490741</v>
      </c>
      <c r="Y891" s="82">
        <f>IFERROR(__xludf.DUMMYFUNCTION("""COMPUTED_VALUE"""),377.914737654321)</f>
        <v>377.9147377</v>
      </c>
      <c r="Z891" s="82">
        <f>IFERROR(__xludf.DUMMYFUNCTION("""COMPUTED_VALUE"""),0.8591820987654321)</f>
        <v>0.8591820988</v>
      </c>
      <c r="AA891" s="82">
        <f>IFERROR(__xludf.DUMMYFUNCTION("""COMPUTED_VALUE"""),0.6361882716049384)</f>
        <v>0.6361882716</v>
      </c>
      <c r="AB891" s="82">
        <f>IFERROR(__xludf.DUMMYFUNCTION("""COMPUTED_VALUE"""),1.4857253086419753)</f>
        <v>1.485725309</v>
      </c>
      <c r="AC891" s="82">
        <f>IFERROR(__xludf.DUMMYFUNCTION("""COMPUTED_VALUE"""),2.782407407407407)</f>
        <v>2.782407407</v>
      </c>
      <c r="AD891" s="82">
        <f>IFERROR(__xludf.DUMMYFUNCTION("""COMPUTED_VALUE"""),0.7241492310283751)</f>
        <v>0.724149231</v>
      </c>
      <c r="AE891" s="82">
        <f>IFERROR(__xludf.DUMMYFUNCTION("""COMPUTED_VALUE"""),0.38796587337224964)</f>
        <v>0.3879658734</v>
      </c>
      <c r="AF891" s="82">
        <f>IFERROR(__xludf.DUMMYFUNCTION("""COMPUTED_VALUE"""),2.095815645845967)</f>
        <v>2.095815646</v>
      </c>
      <c r="AG891" s="82">
        <f>IFERROR(__xludf.DUMMYFUNCTION("""COMPUTED_VALUE"""),0.0)</f>
        <v>0</v>
      </c>
      <c r="AH891" s="82">
        <f>IFERROR(__xludf.DUMMYFUNCTION("""COMPUTED_VALUE"""),0.9584026622296173)</f>
        <v>0.9584026622</v>
      </c>
      <c r="AI891" s="82">
        <f>IFERROR(__xludf.DUMMYFUNCTION("""COMPUTED_VALUE"""),1.1561098015360047)</f>
        <v>1.156109802</v>
      </c>
      <c r="AJ891" s="82">
        <f>IFERROR(__xludf.DUMMYFUNCTION("""COMPUTED_VALUE"""),1.333333333333333)</f>
        <v>1.333333333</v>
      </c>
      <c r="AK891" s="82">
        <f>IFERROR(__xludf.DUMMYFUNCTION("""COMPUTED_VALUE"""),1.6520076481835564)</f>
        <v>1.652007648</v>
      </c>
      <c r="AL891" s="82">
        <f>IFERROR(__xludf.DUMMYFUNCTION("""COMPUTED_VALUE"""),1.1566265060240963)</f>
        <v>1.156626506</v>
      </c>
      <c r="AM891" s="82">
        <f>IFERROR(__xludf.DUMMYFUNCTION("""COMPUTED_VALUE"""),0.7791542076035883)</f>
        <v>0.7791542076</v>
      </c>
      <c r="AN891" s="82">
        <f>IFERROR(__xludf.DUMMYFUNCTION("""COMPUTED_VALUE"""),0.7758997138027567)</f>
        <v>0.7758997138</v>
      </c>
      <c r="AO891" s="82">
        <f>IFERROR(__xludf.DUMMYFUNCTION("""COMPUTED_VALUE"""),0.4673857975048704)</f>
        <v>0.4673857975</v>
      </c>
      <c r="AP891" s="82">
        <f>IFERROR(__xludf.DUMMYFUNCTION("""COMPUTED_VALUE"""),2.3185323583570474)</f>
        <v>2.318532358</v>
      </c>
      <c r="AQ891" s="82">
        <f>IFERROR(__xludf.DUMMYFUNCTION("""COMPUTED_VALUE"""),0.0)</f>
        <v>0</v>
      </c>
      <c r="AR891" s="82">
        <f>IFERROR(__xludf.DUMMYFUNCTION("""COMPUTED_VALUE"""),1.0585747454234058)</f>
        <v>1.058574745</v>
      </c>
      <c r="AS891" s="82">
        <f>IFERROR(__xludf.DUMMYFUNCTION("""COMPUTED_VALUE"""),12.0)</f>
        <v>12</v>
      </c>
      <c r="AT891" s="82">
        <f>IFERROR(__xludf.DUMMYFUNCTION("""COMPUTED_VALUE"""),0.5800510352544836)</f>
        <v>0.5800510353</v>
      </c>
      <c r="AU891" s="82">
        <f>IFERROR(__xludf.DUMMYFUNCTION("""COMPUTED_VALUE"""),2.010788494952507)</f>
        <v>2.010788495</v>
      </c>
      <c r="AV891" s="82">
        <f>IFERROR(__xludf.DUMMYFUNCTION("""COMPUTED_VALUE"""),41.179267060382514)</f>
        <v>41.17926706</v>
      </c>
      <c r="AW891" s="82">
        <f t="shared" si="1"/>
        <v>-2.761605497</v>
      </c>
      <c r="AX891" s="83">
        <f t="array" ref="AX891">IFERROR(DGET('SBV Import'!A:G,"SBV",{"RSC ID","Tier";B891,A891}))</f>
        <v>43.83837594</v>
      </c>
      <c r="AY891" s="82">
        <f t="shared" si="2"/>
        <v>-2.483477659</v>
      </c>
      <c r="AZ891" s="82">
        <v>0.2781278375011582</v>
      </c>
      <c r="BA891" s="84">
        <v>800.0</v>
      </c>
      <c r="BB891" s="84" t="b">
        <f>IFERROR(__xludf.DUMMYFUNCTION("iferror(if(A891="""",,E891&gt;=FILTER(Constants!$F$2:$F$10,Constants!$A$2:$A$10=A891)))"),TRUE)</f>
        <v>1</v>
      </c>
    </row>
    <row r="892">
      <c r="A892" s="80" t="str">
        <f>IFERROR(__xludf.DUMMYFUNCTION("""COMPUTED_VALUE"""),"Elite")</f>
        <v>Elite</v>
      </c>
      <c r="B892" s="73" t="str">
        <f>IFERROR(__xludf.DUMMYFUNCTION("""COMPUTED_VALUE"""),"RSC006056")</f>
        <v>RSC006056</v>
      </c>
      <c r="C892" s="73" t="str">
        <f>IFERROR(__xludf.DUMMYFUNCTION("""COMPUTED_VALUE"""),"redsteel43br")</f>
        <v>redsteel43br</v>
      </c>
      <c r="D892" s="73" t="str">
        <f>IFERROR(__xludf.DUMMYFUNCTION("""COMPUTED_VALUE"""),"Great Whites")</f>
        <v>Great Whites</v>
      </c>
      <c r="E892" s="82">
        <f>IFERROR(__xludf.DUMMYFUNCTION("""COMPUTED_VALUE"""),8.0)</f>
        <v>8</v>
      </c>
      <c r="F892" s="82">
        <f>IFERROR(__xludf.DUMMYFUNCTION("""COMPUTED_VALUE"""),4.0)</f>
        <v>4</v>
      </c>
      <c r="G892" s="82">
        <f>IFERROR(__xludf.DUMMYFUNCTION("""COMPUTED_VALUE"""),4.0)</f>
        <v>4</v>
      </c>
      <c r="H892" s="86">
        <f>IFERROR(__xludf.DUMMYFUNCTION("""COMPUTED_VALUE"""),0.5)</f>
        <v>0.5</v>
      </c>
      <c r="I892" s="86">
        <f>IFERROR(__xludf.DUMMYFUNCTION("""COMPUTED_VALUE"""),0.16666666666666666)</f>
        <v>0.1666666667</v>
      </c>
      <c r="J892" s="82">
        <f>IFERROR(__xludf.DUMMYFUNCTION("""COMPUTED_VALUE"""),300.375)</f>
        <v>300.375</v>
      </c>
      <c r="K892" s="82">
        <f>IFERROR(__xludf.DUMMYFUNCTION("""COMPUTED_VALUE"""),0.5)</f>
        <v>0.5</v>
      </c>
      <c r="L892" s="82">
        <f>IFERROR(__xludf.DUMMYFUNCTION("""COMPUTED_VALUE"""),0.75)</f>
        <v>0.75</v>
      </c>
      <c r="M892" s="82">
        <f>IFERROR(__xludf.DUMMYFUNCTION("""COMPUTED_VALUE"""),0.75)</f>
        <v>0.75</v>
      </c>
      <c r="N892" s="82">
        <f>IFERROR(__xludf.DUMMYFUNCTION("""COMPUTED_VALUE"""),3.0)</f>
        <v>3</v>
      </c>
      <c r="O892" s="82">
        <f>IFERROR(__xludf.DUMMYFUNCTION("""COMPUTED_VALUE"""),384.75)</f>
        <v>384.75</v>
      </c>
      <c r="P892" s="82">
        <f>IFERROR(__xludf.DUMMYFUNCTION("""COMPUTED_VALUE"""),0.6666666666666666)</f>
        <v>0.6666666667</v>
      </c>
      <c r="Q892" s="82">
        <f>IFERROR(__xludf.DUMMYFUNCTION("""COMPUTED_VALUE"""),0.5416666666666666)</f>
        <v>0.5416666667</v>
      </c>
      <c r="R892" s="82">
        <f>IFERROR(__xludf.DUMMYFUNCTION("""COMPUTED_VALUE"""),2.0)</f>
        <v>2</v>
      </c>
      <c r="S892" s="82">
        <f>IFERROR(__xludf.DUMMYFUNCTION("""COMPUTED_VALUE"""),2.4166666666666665)</f>
        <v>2.416666667</v>
      </c>
      <c r="T892" s="82">
        <f>IFERROR(__xludf.DUMMYFUNCTION("""COMPUTED_VALUE"""),382.62902086339585)</f>
        <v>382.6290209</v>
      </c>
      <c r="U892" s="82">
        <f>IFERROR(__xludf.DUMMYFUNCTION("""COMPUTED_VALUE"""),0.7660007816257817)</f>
        <v>0.7660007816</v>
      </c>
      <c r="V892" s="82">
        <f>IFERROR(__xludf.DUMMYFUNCTION("""COMPUTED_VALUE"""),0.40157527657527664)</f>
        <v>0.4015752766</v>
      </c>
      <c r="W892" s="82">
        <f>IFERROR(__xludf.DUMMYFUNCTION("""COMPUTED_VALUE"""),1.8995310245310248)</f>
        <v>1.899531025</v>
      </c>
      <c r="X892" s="82">
        <f>IFERROR(__xludf.DUMMYFUNCTION("""COMPUTED_VALUE"""),2.5002780784030785)</f>
        <v>2.500278078</v>
      </c>
      <c r="Y892" s="82">
        <f>IFERROR(__xludf.DUMMYFUNCTION("""COMPUTED_VALUE"""),386.71045274170274)</f>
        <v>386.7104527</v>
      </c>
      <c r="Z892" s="82">
        <f>IFERROR(__xludf.DUMMYFUNCTION("""COMPUTED_VALUE"""),0.8889014149430816)</f>
        <v>0.8889014149</v>
      </c>
      <c r="AA892" s="82">
        <f>IFERROR(__xludf.DUMMYFUNCTION("""COMPUTED_VALUE"""),0.6727167508417508)</f>
        <v>0.6727167508</v>
      </c>
      <c r="AB892" s="82">
        <f>IFERROR(__xludf.DUMMYFUNCTION("""COMPUTED_VALUE"""),1.3751853856020526)</f>
        <v>1.375185386</v>
      </c>
      <c r="AC892" s="82">
        <f>IFERROR(__xludf.DUMMYFUNCTION("""COMPUTED_VALUE"""),3.2264059243225915)</f>
        <v>3.226405924</v>
      </c>
      <c r="AD892" s="82">
        <f>IFERROR(__xludf.DUMMYFUNCTION("""COMPUTED_VALUE"""),0.7767439381852728)</f>
        <v>0.7767439382</v>
      </c>
      <c r="AE892" s="82">
        <f>IFERROR(__xludf.DUMMYFUNCTION("""COMPUTED_VALUE"""),0.5624920734680303)</f>
        <v>0.5624920735</v>
      </c>
      <c r="AF892" s="82">
        <f>IFERROR(__xludf.DUMMYFUNCTION("""COMPUTED_VALUE"""),1.1148823023383125)</f>
        <v>1.114882302</v>
      </c>
      <c r="AG892" s="82">
        <f>IFERROR(__xludf.DUMMYFUNCTION("""COMPUTED_VALUE"""),0.5453810139726375)</f>
        <v>0.545381014</v>
      </c>
      <c r="AH892" s="82">
        <f>IFERROR(__xludf.DUMMYFUNCTION("""COMPUTED_VALUE"""),0.9298272041295835)</f>
        <v>0.9298272041</v>
      </c>
      <c r="AI892" s="82">
        <f>IFERROR(__xludf.DUMMYFUNCTION("""COMPUTED_VALUE"""),1.0055431737295257)</f>
        <v>1.005543174</v>
      </c>
      <c r="AJ892" s="82">
        <f>IFERROR(__xludf.DUMMYFUNCTION("""COMPUTED_VALUE"""),0.8703211310721047)</f>
        <v>0.8703211311</v>
      </c>
      <c r="AK892" s="82">
        <f>IFERROR(__xludf.DUMMYFUNCTION("""COMPUTED_VALUE"""),1.348854618954933)</f>
        <v>1.348854619</v>
      </c>
      <c r="AL892" s="82">
        <f>IFERROR(__xludf.DUMMYFUNCTION("""COMPUTED_VALUE"""),1.0528914632988318)</f>
        <v>1.052891463</v>
      </c>
      <c r="AM892" s="82">
        <f>IFERROR(__xludf.DUMMYFUNCTION("""COMPUTED_VALUE"""),0.966559154976148)</f>
        <v>0.966559155</v>
      </c>
      <c r="AN892" s="82">
        <f>IFERROR(__xludf.DUMMYFUNCTION("""COMPUTED_VALUE"""),0.8516231785633485)</f>
        <v>0.8516231786</v>
      </c>
      <c r="AO892" s="82">
        <f>IFERROR(__xludf.DUMMYFUNCTION("""COMPUTED_VALUE"""),0.7010786962573057)</f>
        <v>0.7010786963</v>
      </c>
      <c r="AP892" s="82">
        <f>IFERROR(__xludf.DUMMYFUNCTION("""COMPUTED_VALUE"""),1.304174451575839)</f>
        <v>1.304174452</v>
      </c>
      <c r="AQ892" s="82">
        <f>IFERROR(__xludf.DUMMYFUNCTION("""COMPUTED_VALUE"""),0.5257557494359296)</f>
        <v>0.5257557494</v>
      </c>
      <c r="AR892" s="82">
        <f>IFERROR(__xludf.DUMMYFUNCTION("""COMPUTED_VALUE"""),1.1908965886013314)</f>
        <v>1.190896589</v>
      </c>
      <c r="AS892" s="82">
        <f>IFERROR(__xludf.DUMMYFUNCTION("""COMPUTED_VALUE"""),20.0)</f>
        <v>20</v>
      </c>
      <c r="AT892" s="82">
        <f>IFERROR(__xludf.DUMMYFUNCTION("""COMPUTED_VALUE"""),0.585065350241743)</f>
        <v>0.5850653502</v>
      </c>
      <c r="AU892" s="82">
        <f>IFERROR(__xludf.DUMMYFUNCTION("""COMPUTED_VALUE"""),2.010536828158856)</f>
        <v>2.010536828</v>
      </c>
      <c r="AV892" s="82">
        <f>IFERROR(__xludf.DUMMYFUNCTION("""COMPUTED_VALUE"""),41.172195359602895)</f>
        <v>41.17219536</v>
      </c>
      <c r="AW892" s="82">
        <f t="shared" si="1"/>
        <v>-2.762414388</v>
      </c>
      <c r="AX892" s="83">
        <f t="array" ref="AX892">IFERROR(DGET('SBV Import'!A:G,"SBV",{"RSC ID","Tier";B892,A892}))</f>
        <v>25.5322298</v>
      </c>
      <c r="AY892" s="82">
        <f t="shared" si="2"/>
        <v>-6.102716836</v>
      </c>
      <c r="AZ892" s="82">
        <v>3.3403024474429155</v>
      </c>
      <c r="BA892" s="84">
        <v>800.0</v>
      </c>
      <c r="BB892" s="84" t="b">
        <f>IFERROR(__xludf.DUMMYFUNCTION("iferror(if(A892="""",,E892&gt;=FILTER(Constants!$F$2:$F$10,Constants!$A$2:$A$10=A892)))"),TRUE)</f>
        <v>1</v>
      </c>
    </row>
    <row r="893">
      <c r="A893" s="80" t="str">
        <f>IFERROR(__xludf.DUMMYFUNCTION("""COMPUTED_VALUE"""),"Elite")</f>
        <v>Elite</v>
      </c>
      <c r="B893" s="73" t="str">
        <f>IFERROR(__xludf.DUMMYFUNCTION("""COMPUTED_VALUE"""),"RSC006468")</f>
        <v>RSC006468</v>
      </c>
      <c r="C893" s="73" t="str">
        <f>IFERROR(__xludf.DUMMYFUNCTION("""COMPUTED_VALUE"""),"AlphaChuck")</f>
        <v>AlphaChuck</v>
      </c>
      <c r="D893" s="73" t="str">
        <f>IFERROR(__xludf.DUMMYFUNCTION("""COMPUTED_VALUE"""),"Teddy Bears")</f>
        <v>Teddy Bears</v>
      </c>
      <c r="E893" s="82">
        <f>IFERROR(__xludf.DUMMYFUNCTION("""COMPUTED_VALUE"""),29.0)</f>
        <v>29</v>
      </c>
      <c r="F893" s="82">
        <f>IFERROR(__xludf.DUMMYFUNCTION("""COMPUTED_VALUE"""),15.0)</f>
        <v>15</v>
      </c>
      <c r="G893" s="82">
        <f>IFERROR(__xludf.DUMMYFUNCTION("""COMPUTED_VALUE"""),14.0)</f>
        <v>14</v>
      </c>
      <c r="H893" s="86">
        <f>IFERROR(__xludf.DUMMYFUNCTION("""COMPUTED_VALUE"""),0.5172413793103449)</f>
        <v>0.5172413793</v>
      </c>
      <c r="I893" s="86">
        <f>IFERROR(__xludf.DUMMYFUNCTION("""COMPUTED_VALUE"""),0.28787878787878785)</f>
        <v>0.2878787879</v>
      </c>
      <c r="J893" s="82">
        <f>IFERROR(__xludf.DUMMYFUNCTION("""COMPUTED_VALUE"""),332.2068965517241)</f>
        <v>332.2068966</v>
      </c>
      <c r="K893" s="82">
        <f>IFERROR(__xludf.DUMMYFUNCTION("""COMPUTED_VALUE"""),0.6551724137931034)</f>
        <v>0.6551724138</v>
      </c>
      <c r="L893" s="82">
        <f>IFERROR(__xludf.DUMMYFUNCTION("""COMPUTED_VALUE"""),0.5517241379310345)</f>
        <v>0.5517241379</v>
      </c>
      <c r="M893" s="82">
        <f>IFERROR(__xludf.DUMMYFUNCTION("""COMPUTED_VALUE"""),1.4137931034482758)</f>
        <v>1.413793103</v>
      </c>
      <c r="N893" s="82">
        <f>IFERROR(__xludf.DUMMYFUNCTION("""COMPUTED_VALUE"""),2.2758620689655173)</f>
        <v>2.275862069</v>
      </c>
      <c r="O893" s="82">
        <f>IFERROR(__xludf.DUMMYFUNCTION("""COMPUTED_VALUE"""),352.4137931034483)</f>
        <v>352.4137931</v>
      </c>
      <c r="P893" s="82">
        <f>IFERROR(__xludf.DUMMYFUNCTION("""COMPUTED_VALUE"""),0.7586206896551727)</f>
        <v>0.7586206897</v>
      </c>
      <c r="Q893" s="82">
        <f>IFERROR(__xludf.DUMMYFUNCTION("""COMPUTED_VALUE"""),0.574712643678161)</f>
        <v>0.5747126437</v>
      </c>
      <c r="R893" s="82">
        <f>IFERROR(__xludf.DUMMYFUNCTION("""COMPUTED_VALUE"""),1.4022988505747125)</f>
        <v>1.402298851</v>
      </c>
      <c r="S893" s="82">
        <f>IFERROR(__xludf.DUMMYFUNCTION("""COMPUTED_VALUE"""),2.4597701149425286)</f>
        <v>2.459770115</v>
      </c>
      <c r="T893" s="82">
        <f>IFERROR(__xludf.DUMMYFUNCTION("""COMPUTED_VALUE"""),359.23448633086605)</f>
        <v>359.2344863</v>
      </c>
      <c r="U893" s="82">
        <f>IFERROR(__xludf.DUMMYFUNCTION("""COMPUTED_VALUE"""),0.7698938120582336)</f>
        <v>0.7698938121</v>
      </c>
      <c r="V893" s="82">
        <f>IFERROR(__xludf.DUMMYFUNCTION("""COMPUTED_VALUE"""),0.561208752445353)</f>
        <v>0.5612087524</v>
      </c>
      <c r="W893" s="82">
        <f>IFERROR(__xludf.DUMMYFUNCTION("""COMPUTED_VALUE"""),1.47230467094035)</f>
        <v>1.472304671</v>
      </c>
      <c r="X893" s="82">
        <f>IFERROR(__xludf.DUMMYFUNCTION("""COMPUTED_VALUE"""),2.5753884297755074)</f>
        <v>2.57538843</v>
      </c>
      <c r="Y893" s="82">
        <f>IFERROR(__xludf.DUMMYFUNCTION("""COMPUTED_VALUE"""),373.6671107609873)</f>
        <v>373.6671108</v>
      </c>
      <c r="Z893" s="82">
        <f>IFERROR(__xludf.DUMMYFUNCTION("""COMPUTED_VALUE"""),0.8804665700255045)</f>
        <v>0.88046657</v>
      </c>
      <c r="AA893" s="82">
        <f>IFERROR(__xludf.DUMMYFUNCTION("""COMPUTED_VALUE"""),0.6548497128179084)</f>
        <v>0.6548497128</v>
      </c>
      <c r="AB893" s="82">
        <f>IFERROR(__xludf.DUMMYFUNCTION("""COMPUTED_VALUE"""),1.364103804514083)</f>
        <v>1.364103805</v>
      </c>
      <c r="AC893" s="82">
        <f>IFERROR(__xludf.DUMMYFUNCTION("""COMPUTED_VALUE"""),2.8056116935809907)</f>
        <v>2.805611694</v>
      </c>
      <c r="AD893" s="82">
        <f>IFERROR(__xludf.DUMMYFUNCTION("""COMPUTED_VALUE"""),0.8890450536981221)</f>
        <v>0.8890450537</v>
      </c>
      <c r="AE893" s="82">
        <f>IFERROR(__xludf.DUMMYFUNCTION("""COMPUTED_VALUE"""),0.7441195794340323)</f>
        <v>0.7441195794</v>
      </c>
      <c r="AF893" s="82">
        <f>IFERROR(__xludf.DUMMYFUNCTION("""COMPUTED_VALUE"""),0.8425202411052295)</f>
        <v>0.8425202411</v>
      </c>
      <c r="AG893" s="82">
        <f>IFERROR(__xludf.DUMMYFUNCTION("""COMPUTED_VALUE"""),1.0364263326366816)</f>
        <v>1.036426333</v>
      </c>
      <c r="AH893" s="82">
        <f>IFERROR(__xludf.DUMMYFUNCTION("""COMPUTED_VALUE"""),0.8111821297909839)</f>
        <v>0.8111821298</v>
      </c>
      <c r="AI893" s="82">
        <f>IFERROR(__xludf.DUMMYFUNCTION("""COMPUTED_VALUE"""),0.9810132560014417)</f>
        <v>0.981013256</v>
      </c>
      <c r="AJ893" s="82">
        <f>IFERROR(__xludf.DUMMYFUNCTION("""COMPUTED_VALUE"""),0.9853575620085537)</f>
        <v>0.985357562</v>
      </c>
      <c r="AK893" s="82">
        <f>IFERROR(__xludf.DUMMYFUNCTION("""COMPUTED_VALUE"""),1.024062153653106)</f>
        <v>1.024062154</v>
      </c>
      <c r="AL893" s="82">
        <f>IFERROR(__xludf.DUMMYFUNCTION("""COMPUTED_VALUE"""),0.9524515395845852)</f>
        <v>0.9524515396</v>
      </c>
      <c r="AM893" s="82">
        <f>IFERROR(__xludf.DUMMYFUNCTION("""COMPUTED_VALUE"""),0.955106455594717)</f>
        <v>0.9551064556</v>
      </c>
      <c r="AN893" s="82">
        <f>IFERROR(__xludf.DUMMYFUNCTION("""COMPUTED_VALUE"""),0.941872969395072)</f>
        <v>0.9418729694</v>
      </c>
      <c r="AO893" s="82">
        <f>IFERROR(__xludf.DUMMYFUNCTION("""COMPUTED_VALUE"""),0.9186548433716418)</f>
        <v>0.9186548434</v>
      </c>
      <c r="AP893" s="82">
        <f>IFERROR(__xludf.DUMMYFUNCTION("""COMPUTED_VALUE"""),0.9593927000098127)</f>
        <v>0.9593927</v>
      </c>
      <c r="AQ893" s="82">
        <f>IFERROR(__xludf.DUMMYFUNCTION("""COMPUTED_VALUE"""),0.991079803534396)</f>
        <v>0.9910798035</v>
      </c>
      <c r="AR893" s="82">
        <f>IFERROR(__xludf.DUMMYFUNCTION("""COMPUTED_VALUE"""),0.9034387913527343)</f>
        <v>0.9034387914</v>
      </c>
      <c r="AS893" s="82">
        <f>IFERROR(__xludf.DUMMYFUNCTION("""COMPUTED_VALUE"""),61.0)</f>
        <v>61</v>
      </c>
      <c r="AT893" s="82">
        <f>IFERROR(__xludf.DUMMYFUNCTION("""COMPUTED_VALUE"""),0.469944748157903)</f>
        <v>0.4699447482</v>
      </c>
      <c r="AU893" s="82">
        <f>IFERROR(__xludf.DUMMYFUNCTION("""COMPUTED_VALUE"""),1.996540082910564)</f>
        <v>1.996540083</v>
      </c>
      <c r="AV893" s="82">
        <f>IFERROR(__xludf.DUMMYFUNCTION("""COMPUTED_VALUE"""),40.77889438871079)</f>
        <v>40.77889439</v>
      </c>
      <c r="AW893" s="82">
        <f t="shared" si="1"/>
        <v>-2.808027098</v>
      </c>
      <c r="AX893" s="83">
        <f t="array" ref="AX893">IFERROR(DGET('SBV Import'!A:G,"SBV",{"RSC ID","Tier";B893,A893}))</f>
        <v>46.44312779</v>
      </c>
      <c r="AY893" s="82">
        <f t="shared" si="2"/>
        <v>-2.255140049</v>
      </c>
      <c r="AZ893" s="82">
        <v>0.5528870496536817</v>
      </c>
      <c r="BA893" s="84">
        <v>800.0</v>
      </c>
      <c r="BB893" s="84" t="b">
        <f>IFERROR(__xludf.DUMMYFUNCTION("iferror(if(A893="""",,E893&gt;=FILTER(Constants!$F$2:$F$10,Constants!$A$2:$A$10=A893)))"),TRUE)</f>
        <v>1</v>
      </c>
    </row>
    <row r="894">
      <c r="A894" s="80" t="str">
        <f>IFERROR(__xludf.DUMMYFUNCTION("""COMPUTED_VALUE"""),"Elite")</f>
        <v>Elite</v>
      </c>
      <c r="B894" s="73" t="str">
        <f>IFERROR(__xludf.DUMMYFUNCTION("""COMPUTED_VALUE"""),"RSC007077")</f>
        <v>RSC007077</v>
      </c>
      <c r="C894" s="73" t="str">
        <f>IFERROR(__xludf.DUMMYFUNCTION("""COMPUTED_VALUE"""),"higsn")</f>
        <v>higsn</v>
      </c>
      <c r="D894" s="73" t="str">
        <f>IFERROR(__xludf.DUMMYFUNCTION("""COMPUTED_VALUE"""),"Stoked Blokes")</f>
        <v>Stoked Blokes</v>
      </c>
      <c r="E894" s="82">
        <f>IFERROR(__xludf.DUMMYFUNCTION("""COMPUTED_VALUE"""),32.0)</f>
        <v>32</v>
      </c>
      <c r="F894" s="82">
        <f>IFERROR(__xludf.DUMMYFUNCTION("""COMPUTED_VALUE"""),15.0)</f>
        <v>15</v>
      </c>
      <c r="G894" s="82">
        <f>IFERROR(__xludf.DUMMYFUNCTION("""COMPUTED_VALUE"""),17.0)</f>
        <v>17</v>
      </c>
      <c r="H894" s="86">
        <f>IFERROR(__xludf.DUMMYFUNCTION("""COMPUTED_VALUE"""),0.46875)</f>
        <v>0.46875</v>
      </c>
      <c r="I894" s="86">
        <f>IFERROR(__xludf.DUMMYFUNCTION("""COMPUTED_VALUE"""),0.2537313432835821)</f>
        <v>0.2537313433</v>
      </c>
      <c r="J894" s="82">
        <f>IFERROR(__xludf.DUMMYFUNCTION("""COMPUTED_VALUE"""),347.9375)</f>
        <v>347.9375</v>
      </c>
      <c r="K894" s="82">
        <f>IFERROR(__xludf.DUMMYFUNCTION("""COMPUTED_VALUE"""),0.53125)</f>
        <v>0.53125</v>
      </c>
      <c r="L894" s="82">
        <f>IFERROR(__xludf.DUMMYFUNCTION("""COMPUTED_VALUE"""),0.625)</f>
        <v>0.625</v>
      </c>
      <c r="M894" s="82">
        <f>IFERROR(__xludf.DUMMYFUNCTION("""COMPUTED_VALUE"""),1.5)</f>
        <v>1.5</v>
      </c>
      <c r="N894" s="82">
        <f>IFERROR(__xludf.DUMMYFUNCTION("""COMPUTED_VALUE"""),2.09375)</f>
        <v>2.09375</v>
      </c>
      <c r="O894" s="82">
        <f>IFERROR(__xludf.DUMMYFUNCTION("""COMPUTED_VALUE"""),333.7083333333335)</f>
        <v>333.7083333</v>
      </c>
      <c r="P894" s="82">
        <f>IFERROR(__xludf.DUMMYFUNCTION("""COMPUTED_VALUE"""),0.6979166666666667)</f>
        <v>0.6979166667</v>
      </c>
      <c r="Q894" s="82">
        <f>IFERROR(__xludf.DUMMYFUNCTION("""COMPUTED_VALUE"""),0.5208333333333333)</f>
        <v>0.5208333333</v>
      </c>
      <c r="R894" s="82">
        <f>IFERROR(__xludf.DUMMYFUNCTION("""COMPUTED_VALUE"""),1.1979166666666667)</f>
        <v>1.197916667</v>
      </c>
      <c r="S894" s="82">
        <f>IFERROR(__xludf.DUMMYFUNCTION("""COMPUTED_VALUE"""),2.6770833333333335)</f>
        <v>2.677083333</v>
      </c>
      <c r="T894" s="82">
        <f>IFERROR(__xludf.DUMMYFUNCTION("""COMPUTED_VALUE"""),361.94887769285174)</f>
        <v>361.9488777</v>
      </c>
      <c r="U894" s="82">
        <f>IFERROR(__xludf.DUMMYFUNCTION("""COMPUTED_VALUE"""),0.7582664635622357)</f>
        <v>0.7582664636</v>
      </c>
      <c r="V894" s="82">
        <f>IFERROR(__xludf.DUMMYFUNCTION("""COMPUTED_VALUE"""),0.5952459086980911)</f>
        <v>0.5952459087</v>
      </c>
      <c r="W894" s="82">
        <f>IFERROR(__xludf.DUMMYFUNCTION("""COMPUTED_VALUE"""),1.5056920517994616)</f>
        <v>1.505692052</v>
      </c>
      <c r="X894" s="82">
        <f>IFERROR(__xludf.DUMMYFUNCTION("""COMPUTED_VALUE"""),2.5865344094727716)</f>
        <v>2.586534409</v>
      </c>
      <c r="Y894" s="82">
        <f>IFERROR(__xludf.DUMMYFUNCTION("""COMPUTED_VALUE"""),363.5994567635327)</f>
        <v>363.5994568</v>
      </c>
      <c r="Z894" s="82">
        <f>IFERROR(__xludf.DUMMYFUNCTION("""COMPUTED_VALUE"""),0.7965117890022195)</f>
        <v>0.796511789</v>
      </c>
      <c r="AA894" s="82">
        <f>IFERROR(__xludf.DUMMYFUNCTION("""COMPUTED_VALUE"""),0.5874930049972417)</f>
        <v>0.587493005</v>
      </c>
      <c r="AB894" s="82">
        <f>IFERROR(__xludf.DUMMYFUNCTION("""COMPUTED_VALUE"""),1.3927403259570745)</f>
        <v>1.392740326</v>
      </c>
      <c r="AC894" s="82">
        <f>IFERROR(__xludf.DUMMYFUNCTION("""COMPUTED_VALUE"""),2.7481480917932677)</f>
        <v>2.748148092</v>
      </c>
      <c r="AD894" s="82">
        <f>IFERROR(__xludf.DUMMYFUNCTION("""COMPUTED_VALUE"""),0.9569252470756069)</f>
        <v>0.9569252471</v>
      </c>
      <c r="AE894" s="82">
        <f>IFERROR(__xludf.DUMMYFUNCTION("""COMPUTED_VALUE"""),0.666970668024249)</f>
        <v>0.666970668</v>
      </c>
      <c r="AF894" s="82">
        <f>IFERROR(__xludf.DUMMYFUNCTION("""COMPUTED_VALUE"""),1.0638424537547209)</f>
        <v>1.063842454</v>
      </c>
      <c r="AG894" s="82">
        <f>IFERROR(__xludf.DUMMYFUNCTION("""COMPUTED_VALUE"""),1.0770134044687891)</f>
        <v>1.077013404</v>
      </c>
      <c r="AH894" s="82">
        <f>IFERROR(__xludf.DUMMYFUNCTION("""COMPUTED_VALUE"""),0.7618767002595377)</f>
        <v>0.7618767003</v>
      </c>
      <c r="AI894" s="82">
        <f>IFERROR(__xludf.DUMMYFUNCTION("""COMPUTED_VALUE"""),0.9219764278880206)</f>
        <v>0.9219764279</v>
      </c>
      <c r="AJ894" s="82">
        <f>IFERROR(__xludf.DUMMYFUNCTION("""COMPUTED_VALUE"""),0.9204108320813061)</f>
        <v>0.9204108321</v>
      </c>
      <c r="AK894" s="82">
        <f>IFERROR(__xludf.DUMMYFUNCTION("""COMPUTED_VALUE"""),0.8749885143645734)</f>
        <v>0.8749885144</v>
      </c>
      <c r="AL894" s="82">
        <f>IFERROR(__xludf.DUMMYFUNCTION("""COMPUTED_VALUE"""),0.7955920769024645)</f>
        <v>0.7955920769</v>
      </c>
      <c r="AM894" s="82">
        <f>IFERROR(__xludf.DUMMYFUNCTION("""COMPUTED_VALUE"""),1.0350078172279251)</f>
        <v>1.035007817</v>
      </c>
      <c r="AN894" s="82">
        <f>IFERROR(__xludf.DUMMYFUNCTION("""COMPUTED_VALUE"""),0.9864723751689889)</f>
        <v>0.9864723752</v>
      </c>
      <c r="AO894" s="82">
        <f>IFERROR(__xludf.DUMMYFUNCTION("""COMPUTED_VALUE"""),0.7448961147733872)</f>
        <v>0.7448961148</v>
      </c>
      <c r="AP894" s="82">
        <f>IFERROR(__xludf.DUMMYFUNCTION("""COMPUTED_VALUE"""),1.086812042979866)</f>
        <v>1.086812043</v>
      </c>
      <c r="AQ894" s="82">
        <f>IFERROR(__xludf.DUMMYFUNCTION("""COMPUTED_VALUE"""),1.0515114988718592)</f>
        <v>1.051511499</v>
      </c>
      <c r="AR894" s="82">
        <f>IFERROR(__xludf.DUMMYFUNCTION("""COMPUTED_VALUE"""),0.8311465774613459)</f>
        <v>0.8311465775</v>
      </c>
      <c r="AS894" s="82">
        <f>IFERROR(__xludf.DUMMYFUNCTION("""COMPUTED_VALUE"""),64.0)</f>
        <v>64</v>
      </c>
      <c r="AT894" s="82">
        <f>IFERROR(__xludf.DUMMYFUNCTION("""COMPUTED_VALUE"""),0.48284446727363667)</f>
        <v>0.4828444673</v>
      </c>
      <c r="AU894" s="82">
        <f>IFERROR(__xludf.DUMMYFUNCTION("""COMPUTED_VALUE"""),1.9921036689106753)</f>
        <v>1.992103669</v>
      </c>
      <c r="AV894" s="82">
        <f>IFERROR(__xludf.DUMMYFUNCTION("""COMPUTED_VALUE"""),40.65423355488955)</f>
        <v>40.65423355</v>
      </c>
      <c r="AW894" s="82">
        <f t="shared" si="1"/>
        <v>-2.822744454</v>
      </c>
      <c r="AX894" s="83">
        <f t="array" ref="AX894">IFERROR(DGET('SBV Import'!A:G,"SBV",{"RSC ID","Tier";B894,A894}))</f>
        <v>52.39678789</v>
      </c>
      <c r="AY894" s="82">
        <f t="shared" si="2"/>
        <v>2.165386557</v>
      </c>
      <c r="AZ894" s="82">
        <v>4.988131011376787</v>
      </c>
      <c r="BA894" s="84">
        <v>800.0</v>
      </c>
      <c r="BB894" s="84" t="b">
        <f>IFERROR(__xludf.DUMMYFUNCTION("iferror(if(A894="""",,E894&gt;=FILTER(Constants!$F$2:$F$10,Constants!$A$2:$A$10=A894)))"),TRUE)</f>
        <v>1</v>
      </c>
    </row>
    <row r="895">
      <c r="A895" s="80" t="str">
        <f>IFERROR(__xludf.DUMMYFUNCTION("""COMPUTED_VALUE"""),"Elite")</f>
        <v>Elite</v>
      </c>
      <c r="B895" s="73" t="str">
        <f>IFERROR(__xludf.DUMMYFUNCTION("""COMPUTED_VALUE"""),"RSC006188")</f>
        <v>RSC006188</v>
      </c>
      <c r="C895" s="73" t="str">
        <f>IFERROR(__xludf.DUMMYFUNCTION("""COMPUTED_VALUE"""),"Billy_Man_Fi3h")</f>
        <v>Billy_Man_Fi3h</v>
      </c>
      <c r="D895" s="73" t="str">
        <f>IFERROR(__xludf.DUMMYFUNCTION("""COMPUTED_VALUE"""),"Pixel Picassos")</f>
        <v>Pixel Picassos</v>
      </c>
      <c r="E895" s="82">
        <f>IFERROR(__xludf.DUMMYFUNCTION("""COMPUTED_VALUE"""),24.0)</f>
        <v>24</v>
      </c>
      <c r="F895" s="82">
        <f>IFERROR(__xludf.DUMMYFUNCTION("""COMPUTED_VALUE"""),5.0)</f>
        <v>5</v>
      </c>
      <c r="G895" s="82">
        <f>IFERROR(__xludf.DUMMYFUNCTION("""COMPUTED_VALUE"""),19.0)</f>
        <v>19</v>
      </c>
      <c r="H895" s="86">
        <f>IFERROR(__xludf.DUMMYFUNCTION("""COMPUTED_VALUE"""),0.20833333333333334)</f>
        <v>0.2083333333</v>
      </c>
      <c r="I895" s="86">
        <f>IFERROR(__xludf.DUMMYFUNCTION("""COMPUTED_VALUE"""),0.23809523809523808)</f>
        <v>0.2380952381</v>
      </c>
      <c r="J895" s="82">
        <f>IFERROR(__xludf.DUMMYFUNCTION("""COMPUTED_VALUE"""),335.7916666666667)</f>
        <v>335.7916667</v>
      </c>
      <c r="K895" s="82">
        <f>IFERROR(__xludf.DUMMYFUNCTION("""COMPUTED_VALUE"""),0.625)</f>
        <v>0.625</v>
      </c>
      <c r="L895" s="82">
        <f>IFERROR(__xludf.DUMMYFUNCTION("""COMPUTED_VALUE"""),0.3333333333333333)</f>
        <v>0.3333333333</v>
      </c>
      <c r="M895" s="82">
        <f>IFERROR(__xludf.DUMMYFUNCTION("""COMPUTED_VALUE"""),1.4166666666666667)</f>
        <v>1.416666667</v>
      </c>
      <c r="N895" s="82">
        <f>IFERROR(__xludf.DUMMYFUNCTION("""COMPUTED_VALUE"""),2.625)</f>
        <v>2.625</v>
      </c>
      <c r="O895" s="82">
        <f>IFERROR(__xludf.DUMMYFUNCTION("""COMPUTED_VALUE"""),409.9166666666666)</f>
        <v>409.9166667</v>
      </c>
      <c r="P895" s="82">
        <f>IFERROR(__xludf.DUMMYFUNCTION("""COMPUTED_VALUE"""),1.0138888888888888)</f>
        <v>1.013888889</v>
      </c>
      <c r="Q895" s="82">
        <f>IFERROR(__xludf.DUMMYFUNCTION("""COMPUTED_VALUE"""),0.7083333333333331)</f>
        <v>0.7083333333</v>
      </c>
      <c r="R895" s="82">
        <f>IFERROR(__xludf.DUMMYFUNCTION("""COMPUTED_VALUE"""),1.4444444444444446)</f>
        <v>1.444444444</v>
      </c>
      <c r="S895" s="82">
        <f>IFERROR(__xludf.DUMMYFUNCTION("""COMPUTED_VALUE"""),3.3055555555555554)</f>
        <v>3.305555556</v>
      </c>
      <c r="T895" s="82">
        <f>IFERROR(__xludf.DUMMYFUNCTION("""COMPUTED_VALUE"""),375.1480814933919)</f>
        <v>375.1480815</v>
      </c>
      <c r="U895" s="82">
        <f>IFERROR(__xludf.DUMMYFUNCTION("""COMPUTED_VALUE"""),0.8958408693347559)</f>
        <v>0.8958408693</v>
      </c>
      <c r="V895" s="82">
        <f>IFERROR(__xludf.DUMMYFUNCTION("""COMPUTED_VALUE"""),0.6756422072246452)</f>
        <v>0.6756422072</v>
      </c>
      <c r="W895" s="82">
        <f>IFERROR(__xludf.DUMMYFUNCTION("""COMPUTED_VALUE"""),1.298177965703564)</f>
        <v>1.298177966</v>
      </c>
      <c r="X895" s="82">
        <f>IFERROR(__xludf.DUMMYFUNCTION("""COMPUTED_VALUE"""),2.976869264311064)</f>
        <v>2.976869264</v>
      </c>
      <c r="Y895" s="82">
        <f>IFERROR(__xludf.DUMMYFUNCTION("""COMPUTED_VALUE"""),356.3987422315568)</f>
        <v>356.3987422</v>
      </c>
      <c r="Z895" s="82">
        <f>IFERROR(__xludf.DUMMYFUNCTION("""COMPUTED_VALUE"""),0.6959301888053034)</f>
        <v>0.6959301888</v>
      </c>
      <c r="AA895" s="82">
        <f>IFERROR(__xludf.DUMMYFUNCTION("""COMPUTED_VALUE"""),0.5153108199074911)</f>
        <v>0.5153108199</v>
      </c>
      <c r="AB895" s="82">
        <f>IFERROR(__xludf.DUMMYFUNCTION("""COMPUTED_VALUE"""),1.5806361120359558)</f>
        <v>1.580636112</v>
      </c>
      <c r="AC895" s="82">
        <f>IFERROR(__xludf.DUMMYFUNCTION("""COMPUTED_VALUE"""),2.4664998438313237)</f>
        <v>2.466499844</v>
      </c>
      <c r="AD895" s="82">
        <f>IFERROR(__xludf.DUMMYFUNCTION("""COMPUTED_VALUE"""),0.9421797186043338)</f>
        <v>0.9421797186</v>
      </c>
      <c r="AE895" s="82">
        <f>IFERROR(__xludf.DUMMYFUNCTION("""COMPUTED_VALUE"""),0.8980785861192937)</f>
        <v>0.8980785861</v>
      </c>
      <c r="AF895" s="82">
        <f>IFERROR(__xludf.DUMMYFUNCTION("""COMPUTED_VALUE"""),0.6468587897944265)</f>
        <v>0.6468587898</v>
      </c>
      <c r="AG895" s="82">
        <f>IFERROR(__xludf.DUMMYFUNCTION("""COMPUTED_VALUE"""),0.8962636345451539)</f>
        <v>0.8962636345</v>
      </c>
      <c r="AH895" s="82">
        <f>IFERROR(__xludf.DUMMYFUNCTION("""COMPUTED_VALUE"""),1.064261166107544)</f>
        <v>1.064261166</v>
      </c>
      <c r="AI895" s="82">
        <f>IFERROR(__xludf.DUMMYFUNCTION("""COMPUTED_VALUE"""),1.0926796294275787)</f>
        <v>1.092679629</v>
      </c>
      <c r="AJ895" s="82">
        <f>IFERROR(__xludf.DUMMYFUNCTION("""COMPUTED_VALUE"""),1.1317734249407425)</f>
        <v>1.131773425</v>
      </c>
      <c r="AK895" s="82">
        <f>IFERROR(__xludf.DUMMYFUNCTION("""COMPUTED_VALUE"""),1.048385263322986)</f>
        <v>1.048385263</v>
      </c>
      <c r="AL895" s="82">
        <f>IFERROR(__xludf.DUMMYFUNCTION("""COMPUTED_VALUE"""),1.1126705910938872)</f>
        <v>1.112670591</v>
      </c>
      <c r="AM895" s="82">
        <f>IFERROR(__xludf.DUMMYFUNCTION("""COMPUTED_VALUE"""),1.1104134115612763)</f>
        <v>1.110413412</v>
      </c>
      <c r="AN895" s="82">
        <f>IFERROR(__xludf.DUMMYFUNCTION("""COMPUTED_VALUE"""),0.9520365093691254)</f>
        <v>0.9520365094</v>
      </c>
      <c r="AO895" s="82">
        <f>IFERROR(__xludf.DUMMYFUNCTION("""COMPUTED_VALUE"""),0.876348370321632)</f>
        <v>0.8763483703</v>
      </c>
      <c r="AP895" s="82">
        <f>IFERROR(__xludf.DUMMYFUNCTION("""COMPUTED_VALUE"""),0.5796330895892619)</f>
        <v>0.5796330896</v>
      </c>
      <c r="AQ895" s="82">
        <f>IFERROR(__xludf.DUMMYFUNCTION("""COMPUTED_VALUE"""),0.9930941933789781)</f>
        <v>0.9930941934</v>
      </c>
      <c r="AR895" s="82">
        <f>IFERROR(__xludf.DUMMYFUNCTION("""COMPUTED_VALUE"""),1.042034515026165)</f>
        <v>1.042034515</v>
      </c>
      <c r="AS895" s="82">
        <f>IFERROR(__xludf.DUMMYFUNCTION("""COMPUTED_VALUE"""),43.0)</f>
        <v>43</v>
      </c>
      <c r="AT895" s="82">
        <f>IFERROR(__xludf.DUMMYFUNCTION("""COMPUTED_VALUE"""),0.3032531028461348)</f>
        <v>0.3032531028</v>
      </c>
      <c r="AU895" s="82">
        <f>IFERROR(__xludf.DUMMYFUNCTION("""COMPUTED_VALUE"""),1.9610631947870774)</f>
        <v>1.961063195</v>
      </c>
      <c r="AV895" s="82">
        <f>IFERROR(__xludf.DUMMYFUNCTION("""COMPUTED_VALUE"""),39.78201302124426)</f>
        <v>39.78201302</v>
      </c>
      <c r="AW895" s="82">
        <f t="shared" si="1"/>
        <v>-2.929349064</v>
      </c>
      <c r="AX895" s="83">
        <f t="array" ref="AX895">IFERROR(DGET('SBV Import'!A:G,"SBV",{"RSC ID","Tier";B895,A895}))</f>
        <v>24.38925183</v>
      </c>
      <c r="AY895" s="82">
        <f t="shared" si="2"/>
        <v>-6.543811993</v>
      </c>
      <c r="AZ895" s="82">
        <v>3.614462928793928</v>
      </c>
      <c r="BA895" s="84">
        <v>800.0</v>
      </c>
      <c r="BB895" s="84" t="b">
        <f>IFERROR(__xludf.DUMMYFUNCTION("iferror(if(A895="""",,E895&gt;=FILTER(Constants!$F$2:$F$10,Constants!$A$2:$A$10=A895)))"),TRUE)</f>
        <v>1</v>
      </c>
    </row>
    <row r="896">
      <c r="A896" s="80" t="str">
        <f>IFERROR(__xludf.DUMMYFUNCTION("""COMPUTED_VALUE"""),"Elite")</f>
        <v>Elite</v>
      </c>
      <c r="B896" s="73" t="str">
        <f>IFERROR(__xludf.DUMMYFUNCTION("""COMPUTED_VALUE"""),"RSC002102")</f>
        <v>RSC002102</v>
      </c>
      <c r="C896" s="73" t="str">
        <f>IFERROR(__xludf.DUMMYFUNCTION("""COMPUTED_VALUE"""),"Cable")</f>
        <v>Cable</v>
      </c>
      <c r="D896" s="73" t="str">
        <f>IFERROR(__xludf.DUMMYFUNCTION("""COMPUTED_VALUE"""),"Teddy Bears")</f>
        <v>Teddy Bears</v>
      </c>
      <c r="E896" s="82">
        <f>IFERROR(__xludf.DUMMYFUNCTION("""COMPUTED_VALUE"""),30.0)</f>
        <v>30</v>
      </c>
      <c r="F896" s="82">
        <f>IFERROR(__xludf.DUMMYFUNCTION("""COMPUTED_VALUE"""),14.0)</f>
        <v>14</v>
      </c>
      <c r="G896" s="82">
        <f>IFERROR(__xludf.DUMMYFUNCTION("""COMPUTED_VALUE"""),16.0)</f>
        <v>16</v>
      </c>
      <c r="H896" s="86">
        <f>IFERROR(__xludf.DUMMYFUNCTION("""COMPUTED_VALUE"""),0.4666666666666667)</f>
        <v>0.4666666667</v>
      </c>
      <c r="I896" s="86">
        <f>IFERROR(__xludf.DUMMYFUNCTION("""COMPUTED_VALUE"""),0.24050632911392406)</f>
        <v>0.2405063291</v>
      </c>
      <c r="J896" s="82">
        <f>IFERROR(__xludf.DUMMYFUNCTION("""COMPUTED_VALUE"""),324.6333333333333)</f>
        <v>324.6333333</v>
      </c>
      <c r="K896" s="82">
        <f>IFERROR(__xludf.DUMMYFUNCTION("""COMPUTED_VALUE"""),0.6333333333333333)</f>
        <v>0.6333333333</v>
      </c>
      <c r="L896" s="82">
        <f>IFERROR(__xludf.DUMMYFUNCTION("""COMPUTED_VALUE"""),0.5333333333333333)</f>
        <v>0.5333333333</v>
      </c>
      <c r="M896" s="82">
        <f>IFERROR(__xludf.DUMMYFUNCTION("""COMPUTED_VALUE"""),1.2333333333333334)</f>
        <v>1.233333333</v>
      </c>
      <c r="N896" s="82">
        <f>IFERROR(__xludf.DUMMYFUNCTION("""COMPUTED_VALUE"""),2.6333333333333333)</f>
        <v>2.633333333</v>
      </c>
      <c r="O896" s="82">
        <f>IFERROR(__xludf.DUMMYFUNCTION("""COMPUTED_VALUE"""),364.3777777777778)</f>
        <v>364.3777778</v>
      </c>
      <c r="P896" s="82">
        <f>IFERROR(__xludf.DUMMYFUNCTION("""COMPUTED_VALUE"""),0.8333333333333335)</f>
        <v>0.8333333333</v>
      </c>
      <c r="Q896" s="82">
        <f>IFERROR(__xludf.DUMMYFUNCTION("""COMPUTED_VALUE"""),0.6444444444444444)</f>
        <v>0.6444444444</v>
      </c>
      <c r="R896" s="82">
        <f>IFERROR(__xludf.DUMMYFUNCTION("""COMPUTED_VALUE"""),1.3333333333333333)</f>
        <v>1.333333333</v>
      </c>
      <c r="S896" s="82">
        <f>IFERROR(__xludf.DUMMYFUNCTION("""COMPUTED_VALUE"""),2.4888888888888885)</f>
        <v>2.488888889</v>
      </c>
      <c r="T896" s="82">
        <f>IFERROR(__xludf.DUMMYFUNCTION("""COMPUTED_VALUE"""),354.9135196718262)</f>
        <v>354.9135197</v>
      </c>
      <c r="U896" s="82">
        <f>IFERROR(__xludf.DUMMYFUNCTION("""COMPUTED_VALUE"""),0.716710195819337)</f>
        <v>0.7167101958</v>
      </c>
      <c r="V896" s="82">
        <f>IFERROR(__xludf.DUMMYFUNCTION("""COMPUTED_VALUE"""),0.5269207809692608)</f>
        <v>0.526920781</v>
      </c>
      <c r="W896" s="82">
        <f>IFERROR(__xludf.DUMMYFUNCTION("""COMPUTED_VALUE"""),1.5294408143781901)</f>
        <v>1.529440814</v>
      </c>
      <c r="X896" s="82">
        <f>IFERROR(__xludf.DUMMYFUNCTION("""COMPUTED_VALUE"""),2.518381942638334)</f>
        <v>2.518381943</v>
      </c>
      <c r="Y896" s="82">
        <f>IFERROR(__xludf.DUMMYFUNCTION("""COMPUTED_VALUE"""),372.12987134583904)</f>
        <v>372.1298713</v>
      </c>
      <c r="Z896" s="82">
        <f>IFERROR(__xludf.DUMMYFUNCTION("""COMPUTED_VALUE"""),0.8723449152018112)</f>
        <v>0.8723449152</v>
      </c>
      <c r="AA896" s="82">
        <f>IFERROR(__xludf.DUMMYFUNCTION("""COMPUTED_VALUE"""),0.6397534313510762)</f>
        <v>0.6397534314</v>
      </c>
      <c r="AB896" s="82">
        <f>IFERROR(__xludf.DUMMYFUNCTION("""COMPUTED_VALUE"""),1.3492217658665764)</f>
        <v>1.349221766</v>
      </c>
      <c r="AC896" s="82">
        <f>IFERROR(__xludf.DUMMYFUNCTION("""COMPUTED_VALUE"""),2.8479465576122083)</f>
        <v>2.847946558</v>
      </c>
      <c r="AD896" s="82">
        <f>IFERROR(__xludf.DUMMYFUNCTION("""COMPUTED_VALUE"""),0.8723656936199976)</f>
        <v>0.8723656936</v>
      </c>
      <c r="AE896" s="82">
        <f>IFERROR(__xludf.DUMMYFUNCTION("""COMPUTED_VALUE"""),0.7260125235977513)</f>
        <v>0.7260125236</v>
      </c>
      <c r="AF896" s="82">
        <f>IFERROR(__xludf.DUMMYFUNCTION("""COMPUTED_VALUE"""),0.8336545099992704)</f>
        <v>0.83365451</v>
      </c>
      <c r="AG896" s="82">
        <f>IFERROR(__xludf.DUMMYFUNCTION("""COMPUTED_VALUE"""),0.9141072020441278)</f>
        <v>0.914107202</v>
      </c>
      <c r="AH896" s="82">
        <f>IFERROR(__xludf.DUMMYFUNCTION("""COMPUTED_VALUE"""),0.9246428189794361)</f>
        <v>0.924642819</v>
      </c>
      <c r="AI896" s="82">
        <f>IFERROR(__xludf.DUMMYFUNCTION("""COMPUTED_VALUE"""),1.026666378093184)</f>
        <v>1.026666378</v>
      </c>
      <c r="AJ896" s="82">
        <f>IFERROR(__xludf.DUMMYFUNCTION("""COMPUTED_VALUE"""),1.162720075972512)</f>
        <v>1.162720076</v>
      </c>
      <c r="AK896" s="82">
        <f>IFERROR(__xludf.DUMMYFUNCTION("""COMPUTED_VALUE"""),1.223038581357526)</f>
        <v>1.223038581</v>
      </c>
      <c r="AL896" s="82">
        <f>IFERROR(__xludf.DUMMYFUNCTION("""COMPUTED_VALUE"""),0.8717783132231982)</f>
        <v>0.8717783132</v>
      </c>
      <c r="AM896" s="82">
        <f>IFERROR(__xludf.DUMMYFUNCTION("""COMPUTED_VALUE"""),0.9882888876980481)</f>
        <v>0.9882888877</v>
      </c>
      <c r="AN896" s="82">
        <f>IFERROR(__xludf.DUMMYFUNCTION("""COMPUTED_VALUE"""),0.9204004034987876)</f>
        <v>0.9204004035</v>
      </c>
      <c r="AO896" s="82">
        <f>IFERROR(__xludf.DUMMYFUNCTION("""COMPUTED_VALUE"""),0.8880330152592538)</f>
        <v>0.8880330153</v>
      </c>
      <c r="AP896" s="82">
        <f>IFERROR(__xludf.DUMMYFUNCTION("""COMPUTED_VALUE"""),0.9274129433428189)</f>
        <v>0.9274129433</v>
      </c>
      <c r="AQ896" s="82">
        <f>IFERROR(__xludf.DUMMYFUNCTION("""COMPUTED_VALUE"""),0.8645761212946398)</f>
        <v>0.8645761213</v>
      </c>
      <c r="AR896" s="82">
        <f>IFERROR(__xludf.DUMMYFUNCTION("""COMPUTED_VALUE"""),1.045342561105613)</f>
        <v>1.045342561</v>
      </c>
      <c r="AS896" s="82">
        <f>IFERROR(__xludf.DUMMYFUNCTION("""COMPUTED_VALUE"""),67.0)</f>
        <v>67</v>
      </c>
      <c r="AT896" s="82">
        <f>IFERROR(__xludf.DUMMYFUNCTION("""COMPUTED_VALUE"""),0.45605769504468924)</f>
        <v>0.456057695</v>
      </c>
      <c r="AU896" s="82">
        <f>IFERROR(__xludf.DUMMYFUNCTION("""COMPUTED_VALUE"""),1.9257510253506294)</f>
        <v>1.925751025</v>
      </c>
      <c r="AV896" s="82">
        <f>IFERROR(__xludf.DUMMYFUNCTION("""COMPUTED_VALUE"""),38.78976015979017)</f>
        <v>38.78976016</v>
      </c>
      <c r="AW896" s="82">
        <f t="shared" si="1"/>
        <v>-3.058769893</v>
      </c>
      <c r="AX896" s="83">
        <f t="array" ref="AX896">IFERROR(DGET('SBV Import'!A:G,"SBV",{"RSC ID","Tier";B896,A896}))</f>
        <v>45.98888863</v>
      </c>
      <c r="AY896" s="82">
        <f t="shared" si="2"/>
        <v>-2.292182239</v>
      </c>
      <c r="AZ896" s="82">
        <v>0.7665876537828873</v>
      </c>
      <c r="BA896" s="84">
        <v>800.0</v>
      </c>
      <c r="BB896" s="84" t="b">
        <f>IFERROR(__xludf.DUMMYFUNCTION("iferror(if(A896="""",,E896&gt;=FILTER(Constants!$F$2:$F$10,Constants!$A$2:$A$10=A896)))"),TRUE)</f>
        <v>1</v>
      </c>
    </row>
    <row r="897">
      <c r="A897" s="80" t="str">
        <f>IFERROR(__xludf.DUMMYFUNCTION("""COMPUTED_VALUE"""),"Elite")</f>
        <v>Elite</v>
      </c>
      <c r="B897" s="73" t="str">
        <f>IFERROR(__xludf.DUMMYFUNCTION("""COMPUTED_VALUE"""),"RSC000016")</f>
        <v>RSC000016</v>
      </c>
      <c r="C897" s="73" t="str">
        <f>IFERROR(__xludf.DUMMYFUNCTION("""COMPUTED_VALUE"""),"Beans")</f>
        <v>Beans</v>
      </c>
      <c r="D897" s="73" t="str">
        <f>IFERROR(__xludf.DUMMYFUNCTION("""COMPUTED_VALUE"""),"Nightshade")</f>
        <v>Nightshade</v>
      </c>
      <c r="E897" s="82">
        <f>IFERROR(__xludf.DUMMYFUNCTION("""COMPUTED_VALUE"""),26.0)</f>
        <v>26</v>
      </c>
      <c r="F897" s="82">
        <f>IFERROR(__xludf.DUMMYFUNCTION("""COMPUTED_VALUE"""),12.0)</f>
        <v>12</v>
      </c>
      <c r="G897" s="82">
        <f>IFERROR(__xludf.DUMMYFUNCTION("""COMPUTED_VALUE"""),14.0)</f>
        <v>14</v>
      </c>
      <c r="H897" s="86">
        <f>IFERROR(__xludf.DUMMYFUNCTION("""COMPUTED_VALUE"""),0.46153846153846156)</f>
        <v>0.4615384615</v>
      </c>
      <c r="I897" s="86">
        <f>IFERROR(__xludf.DUMMYFUNCTION("""COMPUTED_VALUE"""),0.30188679245283023)</f>
        <v>0.3018867925</v>
      </c>
      <c r="J897" s="82">
        <f>IFERROR(__xludf.DUMMYFUNCTION("""COMPUTED_VALUE"""),361.15384615384613)</f>
        <v>361.1538462</v>
      </c>
      <c r="K897" s="82">
        <f>IFERROR(__xludf.DUMMYFUNCTION("""COMPUTED_VALUE"""),0.6153846153846154)</f>
        <v>0.6153846154</v>
      </c>
      <c r="L897" s="82">
        <f>IFERROR(__xludf.DUMMYFUNCTION("""COMPUTED_VALUE"""),0.6153846153846154)</f>
        <v>0.6153846154</v>
      </c>
      <c r="M897" s="82">
        <f>IFERROR(__xludf.DUMMYFUNCTION("""COMPUTED_VALUE"""),1.8076923076923077)</f>
        <v>1.807692308</v>
      </c>
      <c r="N897" s="82">
        <f>IFERROR(__xludf.DUMMYFUNCTION("""COMPUTED_VALUE"""),2.0384615384615383)</f>
        <v>2.038461538</v>
      </c>
      <c r="O897" s="82">
        <f>IFERROR(__xludf.DUMMYFUNCTION("""COMPUTED_VALUE"""),358.96153846153845)</f>
        <v>358.9615385</v>
      </c>
      <c r="P897" s="82">
        <f>IFERROR(__xludf.DUMMYFUNCTION("""COMPUTED_VALUE"""),0.8076923076923076)</f>
        <v>0.8076923077</v>
      </c>
      <c r="Q897" s="82">
        <f>IFERROR(__xludf.DUMMYFUNCTION("""COMPUTED_VALUE"""),0.564102564102564)</f>
        <v>0.5641025641</v>
      </c>
      <c r="R897" s="82">
        <f>IFERROR(__xludf.DUMMYFUNCTION("""COMPUTED_VALUE"""),1.4102564102564101)</f>
        <v>1.41025641</v>
      </c>
      <c r="S897" s="82">
        <f>IFERROR(__xludf.DUMMYFUNCTION("""COMPUTED_VALUE"""),2.6410256410256414)</f>
        <v>2.641025641</v>
      </c>
      <c r="T897" s="82">
        <f>IFERROR(__xludf.DUMMYFUNCTION("""COMPUTED_VALUE"""),347.8283333638938)</f>
        <v>347.8283334</v>
      </c>
      <c r="U897" s="82">
        <f>IFERROR(__xludf.DUMMYFUNCTION("""COMPUTED_VALUE"""),0.7034092778904554)</f>
        <v>0.7034092779</v>
      </c>
      <c r="V897" s="82">
        <f>IFERROR(__xludf.DUMMYFUNCTION("""COMPUTED_VALUE"""),0.5096660526352703)</f>
        <v>0.5096660526</v>
      </c>
      <c r="W897" s="82">
        <f>IFERROR(__xludf.DUMMYFUNCTION("""COMPUTED_VALUE"""),1.4406383001481016)</f>
        <v>1.4406383</v>
      </c>
      <c r="X897" s="82">
        <f>IFERROR(__xludf.DUMMYFUNCTION("""COMPUTED_VALUE"""),2.516675711496366)</f>
        <v>2.516675711</v>
      </c>
      <c r="Y897" s="82">
        <f>IFERROR(__xludf.DUMMYFUNCTION("""COMPUTED_VALUE"""),370.0280893370994)</f>
        <v>370.0280893</v>
      </c>
      <c r="Z897" s="82">
        <f>IFERROR(__xludf.DUMMYFUNCTION("""COMPUTED_VALUE"""),0.8218084103341645)</f>
        <v>0.8218084103</v>
      </c>
      <c r="AA897" s="82">
        <f>IFERROR(__xludf.DUMMYFUNCTION("""COMPUTED_VALUE"""),0.6352392289291655)</f>
        <v>0.6352392289</v>
      </c>
      <c r="AB897" s="82">
        <f>IFERROR(__xludf.DUMMYFUNCTION("""COMPUTED_VALUE"""),1.4015779273877027)</f>
        <v>1.401577927</v>
      </c>
      <c r="AC897" s="82">
        <f>IFERROR(__xludf.DUMMYFUNCTION("""COMPUTED_VALUE"""),2.7739759682400305)</f>
        <v>2.773975968</v>
      </c>
      <c r="AD897" s="82">
        <f>IFERROR(__xludf.DUMMYFUNCTION("""COMPUTED_VALUE"""),0.9760173796558219)</f>
        <v>0.9760173797</v>
      </c>
      <c r="AE897" s="82">
        <f>IFERROR(__xludf.DUMMYFUNCTION("""COMPUTED_VALUE"""),0.7488176169119359)</f>
        <v>0.7488176169</v>
      </c>
      <c r="AF897" s="82">
        <f>IFERROR(__xludf.DUMMYFUNCTION("""COMPUTED_VALUE"""),0.968744667142142)</f>
        <v>0.9687446671</v>
      </c>
      <c r="AG897" s="82">
        <f>IFERROR(__xludf.DUMMYFUNCTION("""COMPUTED_VALUE"""),1.2897551198323531)</f>
        <v>1.28975512</v>
      </c>
      <c r="AH897" s="82">
        <f>IFERROR(__xludf.DUMMYFUNCTION("""COMPUTED_VALUE"""),0.7348519099662046)</f>
        <v>0.73485191</v>
      </c>
      <c r="AI897" s="82">
        <f>IFERROR(__xludf.DUMMYFUNCTION("""COMPUTED_VALUE"""),1.032007757936146)</f>
        <v>1.032007758</v>
      </c>
      <c r="AJ897" s="82">
        <f>IFERROR(__xludf.DUMMYFUNCTION("""COMPUTED_VALUE"""),1.1482537024740418)</f>
        <v>1.148253702</v>
      </c>
      <c r="AK897" s="82">
        <f>IFERROR(__xludf.DUMMYFUNCTION("""COMPUTED_VALUE"""),1.1068081956524771)</f>
        <v>1.106808196</v>
      </c>
      <c r="AL897" s="82">
        <f>IFERROR(__xludf.DUMMYFUNCTION("""COMPUTED_VALUE"""),0.9789108134300135)</f>
        <v>0.9789108134</v>
      </c>
      <c r="AM897" s="82">
        <f>IFERROR(__xludf.DUMMYFUNCTION("""COMPUTED_VALUE"""),1.0494103904453147)</f>
        <v>1.04941039</v>
      </c>
      <c r="AN897" s="82">
        <f>IFERROR(__xludf.DUMMYFUNCTION("""COMPUTED_VALUE"""),1.0239433588411717)</f>
        <v>1.023943359</v>
      </c>
      <c r="AO897" s="82">
        <f>IFERROR(__xludf.DUMMYFUNCTION("""COMPUTED_VALUE"""),0.8628660877012992)</f>
        <v>0.8628660877</v>
      </c>
      <c r="AP897" s="82">
        <f>IFERROR(__xludf.DUMMYFUNCTION("""COMPUTED_VALUE"""),1.0700918577032528)</f>
        <v>1.070091858</v>
      </c>
      <c r="AQ897" s="82">
        <f>IFERROR(__xludf.DUMMYFUNCTION("""COMPUTED_VALUE"""),1.2672061653071123)</f>
        <v>1.267206165</v>
      </c>
      <c r="AR897" s="82">
        <f>IFERROR(__xludf.DUMMYFUNCTION("""COMPUTED_VALUE"""),0.8091989640496227)</f>
        <v>0.809198964</v>
      </c>
      <c r="AS897" s="82">
        <f>IFERROR(__xludf.DUMMYFUNCTION("""COMPUTED_VALUE"""),62.0)</f>
        <v>62</v>
      </c>
      <c r="AT897" s="82">
        <f>IFERROR(__xludf.DUMMYFUNCTION("""COMPUTED_VALUE"""),0.49372285354610324)</f>
        <v>0.4937228535</v>
      </c>
      <c r="AU897" s="82">
        <f>IFERROR(__xludf.DUMMYFUNCTION("""COMPUTED_VALUE"""),1.8900525949273557)</f>
        <v>1.890052595</v>
      </c>
      <c r="AV897" s="82">
        <f>IFERROR(__xludf.DUMMYFUNCTION("""COMPUTED_VALUE"""),37.78665357352782)</f>
        <v>37.78665357</v>
      </c>
      <c r="AW897" s="82">
        <f t="shared" si="1"/>
        <v>-3.19912088</v>
      </c>
      <c r="AX897" s="83">
        <f t="array" ref="AX897">IFERROR(DGET('SBV Import'!A:G,"SBV",{"RSC ID","Tier";B897,A897}))</f>
        <v>44.01428955</v>
      </c>
      <c r="AY897" s="82">
        <f t="shared" si="2"/>
        <v>-2.466780495</v>
      </c>
      <c r="AZ897" s="82">
        <v>0.7323403855996369</v>
      </c>
      <c r="BA897" s="84">
        <v>800.0</v>
      </c>
      <c r="BB897" s="84" t="b">
        <f>IFERROR(__xludf.DUMMYFUNCTION("iferror(if(A897="""",,E897&gt;=FILTER(Constants!$F$2:$F$10,Constants!$A$2:$A$10=A897)))"),TRUE)</f>
        <v>1</v>
      </c>
    </row>
    <row r="898">
      <c r="A898" s="80" t="str">
        <f>IFERROR(__xludf.DUMMYFUNCTION("""COMPUTED_VALUE"""),"Elite")</f>
        <v>Elite</v>
      </c>
      <c r="B898" s="73" t="str">
        <f>IFERROR(__xludf.DUMMYFUNCTION("""COMPUTED_VALUE"""),"RSC006745")</f>
        <v>RSC006745</v>
      </c>
      <c r="C898" s="73" t="str">
        <f>IFERROR(__xludf.DUMMYFUNCTION("""COMPUTED_VALUE"""),"Angel &lt;3")</f>
        <v>Angel &lt;3</v>
      </c>
      <c r="D898" s="73" t="str">
        <f>IFERROR(__xludf.DUMMYFUNCTION("""COMPUTED_VALUE"""),"Majesties")</f>
        <v>Majesties</v>
      </c>
      <c r="E898" s="82">
        <f>IFERROR(__xludf.DUMMYFUNCTION("""COMPUTED_VALUE"""),31.0)</f>
        <v>31</v>
      </c>
      <c r="F898" s="82">
        <f>IFERROR(__xludf.DUMMYFUNCTION("""COMPUTED_VALUE"""),9.0)</f>
        <v>9</v>
      </c>
      <c r="G898" s="82">
        <f>IFERROR(__xludf.DUMMYFUNCTION("""COMPUTED_VALUE"""),22.0)</f>
        <v>22</v>
      </c>
      <c r="H898" s="86">
        <f>IFERROR(__xludf.DUMMYFUNCTION("""COMPUTED_VALUE"""),0.2903225806451613)</f>
        <v>0.2903225806</v>
      </c>
      <c r="I898" s="86">
        <f>IFERROR(__xludf.DUMMYFUNCTION("""COMPUTED_VALUE"""),0.23170731707317074)</f>
        <v>0.2317073171</v>
      </c>
      <c r="J898" s="82">
        <f>IFERROR(__xludf.DUMMYFUNCTION("""COMPUTED_VALUE"""),326.5483870967742)</f>
        <v>326.5483871</v>
      </c>
      <c r="K898" s="82">
        <f>IFERROR(__xludf.DUMMYFUNCTION("""COMPUTED_VALUE"""),0.6129032258064516)</f>
        <v>0.6129032258</v>
      </c>
      <c r="L898" s="82">
        <f>IFERROR(__xludf.DUMMYFUNCTION("""COMPUTED_VALUE"""),0.4838709677419355)</f>
        <v>0.4838709677</v>
      </c>
      <c r="M898" s="82">
        <f>IFERROR(__xludf.DUMMYFUNCTION("""COMPUTED_VALUE"""),1.3870967741935485)</f>
        <v>1.387096774</v>
      </c>
      <c r="N898" s="82">
        <f>IFERROR(__xludf.DUMMYFUNCTION("""COMPUTED_VALUE"""),2.6451612903225805)</f>
        <v>2.64516129</v>
      </c>
      <c r="O898" s="82">
        <f>IFERROR(__xludf.DUMMYFUNCTION("""COMPUTED_VALUE"""),406.74193548387103)</f>
        <v>406.7419355</v>
      </c>
      <c r="P898" s="82">
        <f>IFERROR(__xludf.DUMMYFUNCTION("""COMPUTED_VALUE"""),1.1075268817204302)</f>
        <v>1.107526882</v>
      </c>
      <c r="Q898" s="82">
        <f>IFERROR(__xludf.DUMMYFUNCTION("""COMPUTED_VALUE"""),0.817204301075269)</f>
        <v>0.8172043011</v>
      </c>
      <c r="R898" s="82">
        <f>IFERROR(__xludf.DUMMYFUNCTION("""COMPUTED_VALUE"""),1.32258064516129)</f>
        <v>1.322580645</v>
      </c>
      <c r="S898" s="82">
        <f>IFERROR(__xludf.DUMMYFUNCTION("""COMPUTED_VALUE"""),3.10752688172043)</f>
        <v>3.107526882</v>
      </c>
      <c r="T898" s="82">
        <f>IFERROR(__xludf.DUMMYFUNCTION("""COMPUTED_VALUE"""),370.48804815936336)</f>
        <v>370.4880482</v>
      </c>
      <c r="U898" s="82">
        <f>IFERROR(__xludf.DUMMYFUNCTION("""COMPUTED_VALUE"""),0.8285623733286324)</f>
        <v>0.8285623733</v>
      </c>
      <c r="V898" s="82">
        <f>IFERROR(__xludf.DUMMYFUNCTION("""COMPUTED_VALUE"""),0.6141577118930065)</f>
        <v>0.6141577119</v>
      </c>
      <c r="W898" s="82">
        <f>IFERROR(__xludf.DUMMYFUNCTION("""COMPUTED_VALUE"""),1.3984777563276238)</f>
        <v>1.398477756</v>
      </c>
      <c r="X898" s="82">
        <f>IFERROR(__xludf.DUMMYFUNCTION("""COMPUTED_VALUE"""),2.837186525257015)</f>
        <v>2.837186525</v>
      </c>
      <c r="Y898" s="82">
        <f>IFERROR(__xludf.DUMMYFUNCTION("""COMPUTED_VALUE"""),357.7207468856544)</f>
        <v>357.7207469</v>
      </c>
      <c r="Z898" s="82">
        <f>IFERROR(__xludf.DUMMYFUNCTION("""COMPUTED_VALUE"""),0.7231649966116033)</f>
        <v>0.7231649966</v>
      </c>
      <c r="AA898" s="82">
        <f>IFERROR(__xludf.DUMMYFUNCTION("""COMPUTED_VALUE"""),0.538809343916897)</f>
        <v>0.5388093439</v>
      </c>
      <c r="AB898" s="82">
        <f>IFERROR(__xludf.DUMMYFUNCTION("""COMPUTED_VALUE"""),1.4962964883843894)</f>
        <v>1.496296488</v>
      </c>
      <c r="AC898" s="82">
        <f>IFERROR(__xludf.DUMMYFUNCTION("""COMPUTED_VALUE"""),2.5602319132403912)</f>
        <v>2.560231913</v>
      </c>
      <c r="AD898" s="82">
        <f>IFERROR(__xludf.DUMMYFUNCTION("""COMPUTED_VALUE"""),0.9128583956612266)</f>
        <v>0.9128583957</v>
      </c>
      <c r="AE898" s="82">
        <f>IFERROR(__xludf.DUMMYFUNCTION("""COMPUTED_VALUE"""),0.8475288885361096)</f>
        <v>0.8475288885</v>
      </c>
      <c r="AF898" s="82">
        <f>IFERROR(__xludf.DUMMYFUNCTION("""COMPUTED_VALUE"""),0.8980374472061217)</f>
        <v>0.8980374472</v>
      </c>
      <c r="AG898" s="82">
        <f>IFERROR(__xludf.DUMMYFUNCTION("""COMPUTED_VALUE"""),0.9270200023601284)</f>
        <v>0.9270200024</v>
      </c>
      <c r="AH898" s="82">
        <f>IFERROR(__xludf.DUMMYFUNCTION("""COMPUTED_VALUE"""),1.0331725327861792)</f>
        <v>1.033172533</v>
      </c>
      <c r="AI898" s="82">
        <f>IFERROR(__xludf.DUMMYFUNCTION("""COMPUTED_VALUE"""),1.0978544044932679)</f>
        <v>1.097854404</v>
      </c>
      <c r="AJ898" s="82">
        <f>IFERROR(__xludf.DUMMYFUNCTION("""COMPUTED_VALUE"""),1.3366849827745584)</f>
        <v>1.336684983</v>
      </c>
      <c r="AK898" s="82">
        <f>IFERROR(__xludf.DUMMYFUNCTION("""COMPUTED_VALUE"""),1.3306098502881547)</f>
        <v>1.33060985</v>
      </c>
      <c r="AL898" s="82">
        <f>IFERROR(__xludf.DUMMYFUNCTION("""COMPUTED_VALUE"""),0.9457287677098003)</f>
        <v>0.9457287677</v>
      </c>
      <c r="AM898" s="82">
        <f>IFERROR(__xludf.DUMMYFUNCTION("""COMPUTED_VALUE"""),1.0952846610742046)</f>
        <v>1.095284661</v>
      </c>
      <c r="AN898" s="82">
        <f>IFERROR(__xludf.DUMMYFUNCTION("""COMPUTED_VALUE"""),0.9258299637922249)</f>
        <v>0.9258299638</v>
      </c>
      <c r="AO898" s="82">
        <f>IFERROR(__xludf.DUMMYFUNCTION("""COMPUTED_VALUE"""),0.8593867889605682)</f>
        <v>0.859386789</v>
      </c>
      <c r="AP898" s="82">
        <f>IFERROR(__xludf.DUMMYFUNCTION("""COMPUTED_VALUE"""),0.8414028719844123)</f>
        <v>0.841402872</v>
      </c>
      <c r="AQ898" s="82">
        <f>IFERROR(__xludf.DUMMYFUNCTION("""COMPUTED_VALUE"""),0.9723654720750526)</f>
        <v>0.9723654721</v>
      </c>
      <c r="AR898" s="82">
        <f>IFERROR(__xludf.DUMMYFUNCTION("""COMPUTED_VALUE"""),1.0500378523151523)</f>
        <v>1.050037852</v>
      </c>
      <c r="AS898" s="82">
        <f>IFERROR(__xludf.DUMMYFUNCTION("""COMPUTED_VALUE"""),59.0)</f>
        <v>59</v>
      </c>
      <c r="AT898" s="82">
        <f>IFERROR(__xludf.DUMMYFUNCTION("""COMPUTED_VALUE"""),0.28995535249511195)</f>
        <v>0.2899553525</v>
      </c>
      <c r="AU898" s="82">
        <f>IFERROR(__xludf.DUMMYFUNCTION("""COMPUTED_VALUE"""),1.8819907810688616)</f>
        <v>1.881990781</v>
      </c>
      <c r="AV898" s="82">
        <f>IFERROR(__xludf.DUMMYFUNCTION("""COMPUTED_VALUE"""),37.56012096459261)</f>
        <v>37.56012096</v>
      </c>
      <c r="AW898" s="82">
        <f t="shared" si="1"/>
        <v>-3.232221813</v>
      </c>
      <c r="AX898" s="83">
        <f t="array" ref="AX898">IFERROR(DGET('SBV Import'!A:G,"SBV",{"RSC ID","Tier";B898,A898}))</f>
        <v>34.02666028</v>
      </c>
      <c r="AY898" s="82">
        <f t="shared" si="2"/>
        <v>-3.825070821</v>
      </c>
      <c r="AZ898" s="82">
        <v>0.5928490078173709</v>
      </c>
      <c r="BA898" s="84">
        <v>800.0</v>
      </c>
      <c r="BB898" s="84" t="b">
        <f>IFERROR(__xludf.DUMMYFUNCTION("iferror(if(A898="""",,E898&gt;=FILTER(Constants!$F$2:$F$10,Constants!$A$2:$A$10=A898)))"),TRUE)</f>
        <v>1</v>
      </c>
    </row>
    <row r="899">
      <c r="A899" s="80" t="str">
        <f>IFERROR(__xludf.DUMMYFUNCTION("""COMPUTED_VALUE"""),"Elite")</f>
        <v>Elite</v>
      </c>
      <c r="B899" s="73" t="str">
        <f>IFERROR(__xludf.DUMMYFUNCTION("""COMPUTED_VALUE"""),"RSC006877")</f>
        <v>RSC006877</v>
      </c>
      <c r="C899" s="73" t="str">
        <f>IFERROR(__xludf.DUMMYFUNCTION("""COMPUTED_VALUE"""),"Jolt")</f>
        <v>Jolt</v>
      </c>
      <c r="D899" s="73" t="str">
        <f>IFERROR(__xludf.DUMMYFUNCTION("""COMPUTED_VALUE"""),"Desolation")</f>
        <v>Desolation</v>
      </c>
      <c r="E899" s="82">
        <f>IFERROR(__xludf.DUMMYFUNCTION("""COMPUTED_VALUE"""),7.0)</f>
        <v>7</v>
      </c>
      <c r="F899" s="82">
        <f>IFERROR(__xludf.DUMMYFUNCTION("""COMPUTED_VALUE"""),4.0)</f>
        <v>4</v>
      </c>
      <c r="G899" s="82">
        <f>IFERROR(__xludf.DUMMYFUNCTION("""COMPUTED_VALUE"""),3.0)</f>
        <v>3</v>
      </c>
      <c r="H899" s="86">
        <f>IFERROR(__xludf.DUMMYFUNCTION("""COMPUTED_VALUE"""),0.5714285714285714)</f>
        <v>0.5714285714</v>
      </c>
      <c r="I899" s="86">
        <f>IFERROR(__xludf.DUMMYFUNCTION("""COMPUTED_VALUE"""),0.09090909090909091)</f>
        <v>0.09090909091</v>
      </c>
      <c r="J899" s="82">
        <f>IFERROR(__xludf.DUMMYFUNCTION("""COMPUTED_VALUE"""),331.14285714285717)</f>
        <v>331.1428571</v>
      </c>
      <c r="K899" s="82">
        <f>IFERROR(__xludf.DUMMYFUNCTION("""COMPUTED_VALUE"""),0.14285714285714285)</f>
        <v>0.1428571429</v>
      </c>
      <c r="L899" s="82">
        <f>IFERROR(__xludf.DUMMYFUNCTION("""COMPUTED_VALUE"""),1.2857142857142858)</f>
        <v>1.285714286</v>
      </c>
      <c r="M899" s="82">
        <f>IFERROR(__xludf.DUMMYFUNCTION("""COMPUTED_VALUE"""),1.7142857142857142)</f>
        <v>1.714285714</v>
      </c>
      <c r="N899" s="82">
        <f>IFERROR(__xludf.DUMMYFUNCTION("""COMPUTED_VALUE"""),1.5714285714285714)</f>
        <v>1.571428571</v>
      </c>
      <c r="O899" s="82">
        <f>IFERROR(__xludf.DUMMYFUNCTION("""COMPUTED_VALUE"""),415.2857142857143)</f>
        <v>415.2857143</v>
      </c>
      <c r="P899" s="82">
        <f>IFERROR(__xludf.DUMMYFUNCTION("""COMPUTED_VALUE"""),0.8571428571428571)</f>
        <v>0.8571428571</v>
      </c>
      <c r="Q899" s="82">
        <f>IFERROR(__xludf.DUMMYFUNCTION("""COMPUTED_VALUE"""),0.8571428571428571)</f>
        <v>0.8571428571</v>
      </c>
      <c r="R899" s="82">
        <f>IFERROR(__xludf.DUMMYFUNCTION("""COMPUTED_VALUE"""),1.7619047619047616)</f>
        <v>1.761904762</v>
      </c>
      <c r="S899" s="82">
        <f>IFERROR(__xludf.DUMMYFUNCTION("""COMPUTED_VALUE"""),3.095238095238095)</f>
        <v>3.095238095</v>
      </c>
      <c r="T899" s="82">
        <f>IFERROR(__xludf.DUMMYFUNCTION("""COMPUTED_VALUE"""),389.4906726579521)</f>
        <v>389.4906727</v>
      </c>
      <c r="U899" s="82">
        <f>IFERROR(__xludf.DUMMYFUNCTION("""COMPUTED_VALUE"""),0.9299272486772487)</f>
        <v>0.9299272487</v>
      </c>
      <c r="V899" s="82">
        <f>IFERROR(__xludf.DUMMYFUNCTION("""COMPUTED_VALUE"""),0.7091561624649861)</f>
        <v>0.7091561625</v>
      </c>
      <c r="W899" s="82">
        <f>IFERROR(__xludf.DUMMYFUNCTION("""COMPUTED_VALUE"""),1.3385056800497976)</f>
        <v>1.33850568</v>
      </c>
      <c r="X899" s="82">
        <f>IFERROR(__xludf.DUMMYFUNCTION("""COMPUTED_VALUE"""),3.049412542794896)</f>
        <v>3.049412543</v>
      </c>
      <c r="Y899" s="82">
        <f>IFERROR(__xludf.DUMMYFUNCTION("""COMPUTED_VALUE"""),350.1678415810769)</f>
        <v>350.1678416</v>
      </c>
      <c r="Z899" s="82">
        <f>IFERROR(__xludf.DUMMYFUNCTION("""COMPUTED_VALUE"""),0.6433291835252619)</f>
        <v>0.6433291835</v>
      </c>
      <c r="AA899" s="82">
        <f>IFERROR(__xludf.DUMMYFUNCTION("""COMPUTED_VALUE"""),0.4782485216308746)</f>
        <v>0.4782485216</v>
      </c>
      <c r="AB899" s="82">
        <f>IFERROR(__xludf.DUMMYFUNCTION("""COMPUTED_VALUE"""),1.6357389251997094)</f>
        <v>1.635738925</v>
      </c>
      <c r="AC899" s="82">
        <f>IFERROR(__xludf.DUMMYFUNCTION("""COMPUTED_VALUE"""),2.292606857557838)</f>
        <v>2.292606858</v>
      </c>
      <c r="AD899" s="82">
        <f>IFERROR(__xludf.DUMMYFUNCTION("""COMPUTED_VALUE"""),0.9456689559146317)</f>
        <v>0.9456689559</v>
      </c>
      <c r="AE899" s="82">
        <f>IFERROR(__xludf.DUMMYFUNCTION("""COMPUTED_VALUE"""),0.2220591673990695)</f>
        <v>0.2220591674</v>
      </c>
      <c r="AF899" s="82">
        <f>IFERROR(__xludf.DUMMYFUNCTION("""COMPUTED_VALUE"""),2.6883810980321976)</f>
        <v>2.688381098</v>
      </c>
      <c r="AG899" s="82">
        <f>IFERROR(__xludf.DUMMYFUNCTION("""COMPUTED_VALUE"""),1.0480191477233538)</f>
        <v>1.048019148</v>
      </c>
      <c r="AH899" s="82">
        <f>IFERROR(__xludf.DUMMYFUNCTION("""COMPUTED_VALUE"""),0.6854330764335713)</f>
        <v>0.6854330764</v>
      </c>
      <c r="AI899" s="82">
        <f>IFERROR(__xludf.DUMMYFUNCTION("""COMPUTED_VALUE"""),1.0662276235056731)</f>
        <v>1.066227624</v>
      </c>
      <c r="AJ899" s="82">
        <f>IFERROR(__xludf.DUMMYFUNCTION("""COMPUTED_VALUE"""),0.9217310906440026)</f>
        <v>0.9217310906</v>
      </c>
      <c r="AK899" s="82">
        <f>IFERROR(__xludf.DUMMYFUNCTION("""COMPUTED_VALUE"""),1.2086799812378104)</f>
        <v>1.208679981</v>
      </c>
      <c r="AL899" s="82">
        <f>IFERROR(__xludf.DUMMYFUNCTION("""COMPUTED_VALUE"""),1.3163222152626293)</f>
        <v>1.316322215</v>
      </c>
      <c r="AM899" s="82">
        <f>IFERROR(__xludf.DUMMYFUNCTION("""COMPUTED_VALUE"""),1.015027665755319)</f>
        <v>1.015027666</v>
      </c>
      <c r="AN899" s="82">
        <f>IFERROR(__xludf.DUMMYFUNCTION("""COMPUTED_VALUE"""),0.938856204938989)</f>
        <v>0.9388562049</v>
      </c>
      <c r="AO899" s="82">
        <f>IFERROR(__xludf.DUMMYFUNCTION("""COMPUTED_VALUE"""),0.20030819893065874)</f>
        <v>0.2003081989</v>
      </c>
      <c r="AP899" s="82">
        <f>IFERROR(__xludf.DUMMYFUNCTION("""COMPUTED_VALUE"""),2.235727631272867)</f>
        <v>2.235727631</v>
      </c>
      <c r="AQ899" s="82">
        <f>IFERROR(__xludf.DUMMYFUNCTION("""COMPUTED_VALUE"""),1.2017274272821248)</f>
        <v>1.201727427</v>
      </c>
      <c r="AR899" s="82">
        <f>IFERROR(__xludf.DUMMYFUNCTION("""COMPUTED_VALUE"""),0.6238029749816498)</f>
        <v>0.623802975</v>
      </c>
      <c r="AS899" s="82">
        <f>IFERROR(__xludf.DUMMYFUNCTION("""COMPUTED_VALUE"""),17.0)</f>
        <v>17</v>
      </c>
      <c r="AT899" s="82">
        <f>IFERROR(__xludf.DUMMYFUNCTION("""COMPUTED_VALUE"""),0.4773365052970361)</f>
        <v>0.4773365053</v>
      </c>
      <c r="AU899" s="82">
        <f>IFERROR(__xludf.DUMMYFUNCTION("""COMPUTED_VALUE"""),1.881543950034994)</f>
        <v>1.88154395</v>
      </c>
      <c r="AV899" s="82">
        <f>IFERROR(__xludf.DUMMYFUNCTION("""COMPUTED_VALUE"""),37.547565254223706)</f>
        <v>37.54756525</v>
      </c>
      <c r="AW899" s="82">
        <f t="shared" si="1"/>
        <v>-3.234072113</v>
      </c>
      <c r="AX899" s="83">
        <f t="array" ref="AX899">IFERROR(DGET('SBV Import'!A:G,"SBV",{"RSC ID","Tier";B899,A899}))</f>
        <v>33.31295591</v>
      </c>
      <c r="AY899" s="82">
        <f t="shared" si="2"/>
        <v>-3.964600444</v>
      </c>
      <c r="AZ899" s="82">
        <v>0.7305283311927111</v>
      </c>
      <c r="BA899" s="84">
        <v>800.0</v>
      </c>
      <c r="BB899" s="84" t="b">
        <f>IFERROR(__xludf.DUMMYFUNCTION("iferror(if(A899="""",,E899&gt;=FILTER(Constants!$F$2:$F$10,Constants!$A$2:$A$10=A899)))"),TRUE)</f>
        <v>1</v>
      </c>
    </row>
    <row r="900">
      <c r="A900" s="80" t="str">
        <f>IFERROR(__xludf.DUMMYFUNCTION("""COMPUTED_VALUE"""),"Elite")</f>
        <v>Elite</v>
      </c>
      <c r="B900" s="73" t="str">
        <f>IFERROR(__xludf.DUMMYFUNCTION("""COMPUTED_VALUE"""),"RSC005709")</f>
        <v>RSC005709</v>
      </c>
      <c r="C900" s="73" t="str">
        <f>IFERROR(__xludf.DUMMYFUNCTION("""COMPUTED_VALUE"""),"ZavaRL")</f>
        <v>ZavaRL</v>
      </c>
      <c r="D900" s="73" t="str">
        <f>IFERROR(__xludf.DUMMYFUNCTION("""COMPUTED_VALUE"""),"Orochi")</f>
        <v>Orochi</v>
      </c>
      <c r="E900" s="82">
        <f>IFERROR(__xludf.DUMMYFUNCTION("""COMPUTED_VALUE"""),13.0)</f>
        <v>13</v>
      </c>
      <c r="F900" s="82">
        <f>IFERROR(__xludf.DUMMYFUNCTION("""COMPUTED_VALUE"""),6.0)</f>
        <v>6</v>
      </c>
      <c r="G900" s="82">
        <f>IFERROR(__xludf.DUMMYFUNCTION("""COMPUTED_VALUE"""),7.0)</f>
        <v>7</v>
      </c>
      <c r="H900" s="86">
        <f>IFERROR(__xludf.DUMMYFUNCTION("""COMPUTED_VALUE"""),0.46153846153846156)</f>
        <v>0.4615384615</v>
      </c>
      <c r="I900" s="86">
        <f>IFERROR(__xludf.DUMMYFUNCTION("""COMPUTED_VALUE"""),0.15384615384615385)</f>
        <v>0.1538461538</v>
      </c>
      <c r="J900" s="82">
        <f>IFERROR(__xludf.DUMMYFUNCTION("""COMPUTED_VALUE"""),300.38461538461536)</f>
        <v>300.3846154</v>
      </c>
      <c r="K900" s="82">
        <f>IFERROR(__xludf.DUMMYFUNCTION("""COMPUTED_VALUE"""),0.3076923076923077)</f>
        <v>0.3076923077</v>
      </c>
      <c r="L900" s="82">
        <f>IFERROR(__xludf.DUMMYFUNCTION("""COMPUTED_VALUE"""),1.0)</f>
        <v>1</v>
      </c>
      <c r="M900" s="82">
        <f>IFERROR(__xludf.DUMMYFUNCTION("""COMPUTED_VALUE"""),1.2307692307692308)</f>
        <v>1.230769231</v>
      </c>
      <c r="N900" s="82">
        <f>IFERROR(__xludf.DUMMYFUNCTION("""COMPUTED_VALUE"""),2.0)</f>
        <v>2</v>
      </c>
      <c r="O900" s="82">
        <f>IFERROR(__xludf.DUMMYFUNCTION("""COMPUTED_VALUE"""),345.1282051282051)</f>
        <v>345.1282051</v>
      </c>
      <c r="P900" s="82">
        <f>IFERROR(__xludf.DUMMYFUNCTION("""COMPUTED_VALUE"""),0.7435897435897435)</f>
        <v>0.7435897436</v>
      </c>
      <c r="Q900" s="82">
        <f>IFERROR(__xludf.DUMMYFUNCTION("""COMPUTED_VALUE"""),0.46153846153846156)</f>
        <v>0.4615384615</v>
      </c>
      <c r="R900" s="82">
        <f>IFERROR(__xludf.DUMMYFUNCTION("""COMPUTED_VALUE"""),1.4102564102564101)</f>
        <v>1.41025641</v>
      </c>
      <c r="S900" s="82">
        <f>IFERROR(__xludf.DUMMYFUNCTION("""COMPUTED_VALUE"""),2.3076923076923075)</f>
        <v>2.307692308</v>
      </c>
      <c r="T900" s="82">
        <f>IFERROR(__xludf.DUMMYFUNCTION("""COMPUTED_VALUE"""),345.54753179185843)</f>
        <v>345.5475318</v>
      </c>
      <c r="U900" s="82">
        <f>IFERROR(__xludf.DUMMYFUNCTION("""COMPUTED_VALUE"""),0.7118214836774673)</f>
        <v>0.7118214837</v>
      </c>
      <c r="V900" s="82">
        <f>IFERROR(__xludf.DUMMYFUNCTION("""COMPUTED_VALUE"""),0.5374548461677701)</f>
        <v>0.5374548462</v>
      </c>
      <c r="W900" s="82">
        <f>IFERROR(__xludf.DUMMYFUNCTION("""COMPUTED_VALUE"""),1.3584014807404043)</f>
        <v>1.358401481</v>
      </c>
      <c r="X900" s="82">
        <f>IFERROR(__xludf.DUMMYFUNCTION("""COMPUTED_VALUE"""),2.454486409802271)</f>
        <v>2.45448641</v>
      </c>
      <c r="Y900" s="82">
        <f>IFERROR(__xludf.DUMMYFUNCTION("""COMPUTED_VALUE"""),356.1561362427274)</f>
        <v>356.1561362</v>
      </c>
      <c r="Z900" s="82">
        <f>IFERROR(__xludf.DUMMYFUNCTION("""COMPUTED_VALUE"""),0.7833115578586496)</f>
        <v>0.7833115579</v>
      </c>
      <c r="AA900" s="82">
        <f>IFERROR(__xludf.DUMMYFUNCTION("""COMPUTED_VALUE"""),0.5966363119238278)</f>
        <v>0.5966363119</v>
      </c>
      <c r="AB900" s="82">
        <f>IFERROR(__xludf.DUMMYFUNCTION("""COMPUTED_VALUE"""),1.3416229595337603)</f>
        <v>1.34162296</v>
      </c>
      <c r="AC900" s="82">
        <f>IFERROR(__xludf.DUMMYFUNCTION("""COMPUTED_VALUE"""),2.6099556502321772)</f>
        <v>2.60995565</v>
      </c>
      <c r="AD900" s="82">
        <f>IFERROR(__xludf.DUMMYFUNCTION("""COMPUTED_VALUE"""),0.843407103843628)</f>
        <v>0.8434071038</v>
      </c>
      <c r="AE900" s="82">
        <f>IFERROR(__xludf.DUMMYFUNCTION("""COMPUTED_VALUE"""),0.39280961018046345)</f>
        <v>0.3928096102</v>
      </c>
      <c r="AF900" s="82">
        <f>IFERROR(__xludf.DUMMYFUNCTION("""COMPUTED_VALUE"""),1.6760629214396012)</f>
        <v>1.676062921</v>
      </c>
      <c r="AG900" s="82">
        <f>IFERROR(__xludf.DUMMYFUNCTION("""COMPUTED_VALUE"""),0.9173734110788822)</f>
        <v>0.9173734111</v>
      </c>
      <c r="AH900" s="82">
        <f>IFERROR(__xludf.DUMMYFUNCTION("""COMPUTED_VALUE"""),0.7662965460053252)</f>
        <v>0.766296546</v>
      </c>
      <c r="AI900" s="82">
        <f>IFERROR(__xludf.DUMMYFUNCTION("""COMPUTED_VALUE"""),0.9987864863005129)</f>
        <v>0.9987864863</v>
      </c>
      <c r="AJ900" s="82">
        <f>IFERROR(__xludf.DUMMYFUNCTION("""COMPUTED_VALUE"""),1.0446295323205932)</f>
        <v>1.044629532</v>
      </c>
      <c r="AK900" s="82">
        <f>IFERROR(__xludf.DUMMYFUNCTION("""COMPUTED_VALUE"""),0.8587483484973346)</f>
        <v>0.8587483485</v>
      </c>
      <c r="AL900" s="82">
        <f>IFERROR(__xludf.DUMMYFUNCTION("""COMPUTED_VALUE"""),1.0381734930734483)</f>
        <v>1.038173493</v>
      </c>
      <c r="AM900" s="82">
        <f>IFERROR(__xludf.DUMMYFUNCTION("""COMPUTED_VALUE"""),0.9401935567767967)</f>
        <v>0.9401935568</v>
      </c>
      <c r="AN900" s="82">
        <f>IFERROR(__xludf.DUMMYFUNCTION("""COMPUTED_VALUE"""),0.8516504401011237)</f>
        <v>0.8516504401</v>
      </c>
      <c r="AO900" s="82">
        <f>IFERROR(__xludf.DUMMYFUNCTION("""COMPUTED_VALUE"""),0.4314330438506496)</f>
        <v>0.4314330439</v>
      </c>
      <c r="AP900" s="82">
        <f>IFERROR(__xludf.DUMMYFUNCTION("""COMPUTED_VALUE"""),1.7388992687677856)</f>
        <v>1.738899269</v>
      </c>
      <c r="AQ900" s="82">
        <f>IFERROR(__xludf.DUMMYFUNCTION("""COMPUTED_VALUE"""),0.8627786657410127)</f>
        <v>0.8627786657</v>
      </c>
      <c r="AR900" s="82">
        <f>IFERROR(__xludf.DUMMYFUNCTION("""COMPUTED_VALUE"""),0.7939310590675543)</f>
        <v>0.7939310591</v>
      </c>
      <c r="AS900" s="82">
        <f>IFERROR(__xludf.DUMMYFUNCTION("""COMPUTED_VALUE"""),28.0)</f>
        <v>28</v>
      </c>
      <c r="AT900" s="82">
        <f>IFERROR(__xludf.DUMMYFUNCTION("""COMPUTED_VALUE"""),0.48659490286209783)</f>
        <v>0.4865949029</v>
      </c>
      <c r="AU900" s="82">
        <f>IFERROR(__xludf.DUMMYFUNCTION("""COMPUTED_VALUE"""),1.8768483564097067)</f>
        <v>1.876848356</v>
      </c>
      <c r="AV900" s="82">
        <f>IFERROR(__xludf.DUMMYFUNCTION("""COMPUTED_VALUE"""),37.41562161311431)</f>
        <v>37.41562161</v>
      </c>
      <c r="AW900" s="82">
        <f t="shared" si="1"/>
        <v>-3.253616742</v>
      </c>
      <c r="AX900" s="83">
        <f t="array" ref="AX900">IFERROR(DGET('SBV Import'!A:G,"SBV",{"RSC ID","Tier";B900,A900}))</f>
        <v>51.40835455</v>
      </c>
      <c r="AY900" s="82">
        <f t="shared" si="2"/>
        <v>2.09407509</v>
      </c>
      <c r="AZ900" s="82">
        <v>5.347691832430402</v>
      </c>
      <c r="BA900" s="84">
        <v>800.0</v>
      </c>
      <c r="BB900" s="84" t="b">
        <f>IFERROR(__xludf.DUMMYFUNCTION("iferror(if(A900="""",,E900&gt;=FILTER(Constants!$F$2:$F$10,Constants!$A$2:$A$10=A900)))"),TRUE)</f>
        <v>1</v>
      </c>
    </row>
    <row r="901">
      <c r="A901" s="80" t="str">
        <f>IFERROR(__xludf.DUMMYFUNCTION("""COMPUTED_VALUE"""),"Elite")</f>
        <v>Elite</v>
      </c>
      <c r="B901" s="73" t="str">
        <f>IFERROR(__xludf.DUMMYFUNCTION("""COMPUTED_VALUE"""),"RSC005754")</f>
        <v>RSC005754</v>
      </c>
      <c r="C901" s="73" t="str">
        <f>IFERROR(__xludf.DUMMYFUNCTION("""COMPUTED_VALUE"""),"Monty.")</f>
        <v>Monty.</v>
      </c>
      <c r="D901" s="73" t="str">
        <f>IFERROR(__xludf.DUMMYFUNCTION("""COMPUTED_VALUE"""),"Fire")</f>
        <v>Fire</v>
      </c>
      <c r="E901" s="82">
        <f>IFERROR(__xludf.DUMMYFUNCTION("""COMPUTED_VALUE"""),17.0)</f>
        <v>17</v>
      </c>
      <c r="F901" s="82">
        <f>IFERROR(__xludf.DUMMYFUNCTION("""COMPUTED_VALUE"""),7.0)</f>
        <v>7</v>
      </c>
      <c r="G901" s="82">
        <f>IFERROR(__xludf.DUMMYFUNCTION("""COMPUTED_VALUE"""),10.0)</f>
        <v>10</v>
      </c>
      <c r="H901" s="86">
        <f>IFERROR(__xludf.DUMMYFUNCTION("""COMPUTED_VALUE"""),0.4117647058823529)</f>
        <v>0.4117647059</v>
      </c>
      <c r="I901" s="86">
        <f>IFERROR(__xludf.DUMMYFUNCTION("""COMPUTED_VALUE"""),0.14285714285714285)</f>
        <v>0.1428571429</v>
      </c>
      <c r="J901" s="82">
        <f>IFERROR(__xludf.DUMMYFUNCTION("""COMPUTED_VALUE"""),294.2352941176471)</f>
        <v>294.2352941</v>
      </c>
      <c r="K901" s="82">
        <f>IFERROR(__xludf.DUMMYFUNCTION("""COMPUTED_VALUE"""),0.35294117647058826)</f>
        <v>0.3529411765</v>
      </c>
      <c r="L901" s="82">
        <f>IFERROR(__xludf.DUMMYFUNCTION("""COMPUTED_VALUE"""),0.7058823529411765)</f>
        <v>0.7058823529</v>
      </c>
      <c r="M901" s="82">
        <f>IFERROR(__xludf.DUMMYFUNCTION("""COMPUTED_VALUE"""),1.2941176470588236)</f>
        <v>1.294117647</v>
      </c>
      <c r="N901" s="82">
        <f>IFERROR(__xludf.DUMMYFUNCTION("""COMPUTED_VALUE"""),2.4705882352941178)</f>
        <v>2.470588235</v>
      </c>
      <c r="O901" s="82">
        <f>IFERROR(__xludf.DUMMYFUNCTION("""COMPUTED_VALUE"""),394.1764705882353)</f>
        <v>394.1764706</v>
      </c>
      <c r="P901" s="82">
        <f>IFERROR(__xludf.DUMMYFUNCTION("""COMPUTED_VALUE"""),0.9215686274509803)</f>
        <v>0.9215686275</v>
      </c>
      <c r="Q901" s="82">
        <f>IFERROR(__xludf.DUMMYFUNCTION("""COMPUTED_VALUE"""),0.6470588235294118)</f>
        <v>0.6470588235</v>
      </c>
      <c r="R901" s="82">
        <f>IFERROR(__xludf.DUMMYFUNCTION("""COMPUTED_VALUE"""),1.5882352941176472)</f>
        <v>1.588235294</v>
      </c>
      <c r="S901" s="82">
        <f>IFERROR(__xludf.DUMMYFUNCTION("""COMPUTED_VALUE"""),2.9019607843137254)</f>
        <v>2.901960784</v>
      </c>
      <c r="T901" s="82">
        <f>IFERROR(__xludf.DUMMYFUNCTION("""COMPUTED_VALUE"""),382.7118507556999)</f>
        <v>382.7118508</v>
      </c>
      <c r="U901" s="82">
        <f>IFERROR(__xludf.DUMMYFUNCTION("""COMPUTED_VALUE"""),0.8655273590671341)</f>
        <v>0.8655273591</v>
      </c>
      <c r="V901" s="82">
        <f>IFERROR(__xludf.DUMMYFUNCTION("""COMPUTED_VALUE"""),0.5855341898809072)</f>
        <v>0.5855341899</v>
      </c>
      <c r="W901" s="82">
        <f>IFERROR(__xludf.DUMMYFUNCTION("""COMPUTED_VALUE"""),1.4843842427529463)</f>
        <v>1.484384243</v>
      </c>
      <c r="X901" s="82">
        <f>IFERROR(__xludf.DUMMYFUNCTION("""COMPUTED_VALUE"""),2.7924727610762843)</f>
        <v>2.792472761</v>
      </c>
      <c r="Y901" s="82">
        <f>IFERROR(__xludf.DUMMYFUNCTION("""COMPUTED_VALUE"""),344.42076967181214)</f>
        <v>344.4207697</v>
      </c>
      <c r="Z901" s="82">
        <f>IFERROR(__xludf.DUMMYFUNCTION("""COMPUTED_VALUE"""),0.656161109644948)</f>
        <v>0.6561611096</v>
      </c>
      <c r="AA901" s="82">
        <f>IFERROR(__xludf.DUMMYFUNCTION("""COMPUTED_VALUE"""),0.4845843690661495)</f>
        <v>0.4845843691</v>
      </c>
      <c r="AB901" s="82">
        <f>IFERROR(__xludf.DUMMYFUNCTION("""COMPUTED_VALUE"""),1.4396635487136447)</f>
        <v>1.439663549</v>
      </c>
      <c r="AC901" s="82">
        <f>IFERROR(__xludf.DUMMYFUNCTION("""COMPUTED_VALUE"""),2.4881895327200683)</f>
        <v>2.488189533</v>
      </c>
      <c r="AD901" s="82">
        <f>IFERROR(__xludf.DUMMYFUNCTION("""COMPUTED_VALUE"""),0.8542902171608721)</f>
        <v>0.8542902172</v>
      </c>
      <c r="AE901" s="82">
        <f>IFERROR(__xludf.DUMMYFUNCTION("""COMPUTED_VALUE"""),0.5378879840372839)</f>
        <v>0.537887984</v>
      </c>
      <c r="AF901" s="82">
        <f>IFERROR(__xludf.DUMMYFUNCTION("""COMPUTED_VALUE"""),1.4566758608031332)</f>
        <v>1.456675861</v>
      </c>
      <c r="AG901" s="82">
        <f>IFERROR(__xludf.DUMMYFUNCTION("""COMPUTED_VALUE"""),0.8989028361627494)</f>
        <v>0.8989028362</v>
      </c>
      <c r="AH901" s="82">
        <f>IFERROR(__xludf.DUMMYFUNCTION("""COMPUTED_VALUE"""),0.9929260624263181)</f>
        <v>0.9929260624</v>
      </c>
      <c r="AI901" s="82">
        <f>IFERROR(__xludf.DUMMYFUNCTION("""COMPUTED_VALUE"""),1.0299562707815226)</f>
        <v>1.029956271</v>
      </c>
      <c r="AJ901" s="82">
        <f>IFERROR(__xludf.DUMMYFUNCTION("""COMPUTED_VALUE"""),1.0647481189320782)</f>
        <v>1.064748119</v>
      </c>
      <c r="AK901" s="82">
        <f>IFERROR(__xludf.DUMMYFUNCTION("""COMPUTED_VALUE"""),1.105074365787279)</f>
        <v>1.105074366</v>
      </c>
      <c r="AL901" s="82">
        <f>IFERROR(__xludf.DUMMYFUNCTION("""COMPUTED_VALUE"""),1.069962377916447)</f>
        <v>1.069962378</v>
      </c>
      <c r="AM901" s="82">
        <f>IFERROR(__xludf.DUMMYFUNCTION("""COMPUTED_VALUE"""),1.039208269016469)</f>
        <v>1.039208269</v>
      </c>
      <c r="AN901" s="82">
        <f>IFERROR(__xludf.DUMMYFUNCTION("""COMPUTED_VALUE"""),0.8342158848838694)</f>
        <v>0.8342158849</v>
      </c>
      <c r="AO901" s="82">
        <f>IFERROR(__xludf.DUMMYFUNCTION("""COMPUTED_VALUE"""),0.4948790797110393)</f>
        <v>0.4948790797</v>
      </c>
      <c r="AP901" s="82">
        <f>IFERROR(__xludf.DUMMYFUNCTION("""COMPUTED_VALUE"""),1.2274583073654957)</f>
        <v>1.227458307</v>
      </c>
      <c r="AQ901" s="82">
        <f>IFERROR(__xludf.DUMMYFUNCTION("""COMPUTED_VALUE"""),0.9071863911835648)</f>
        <v>0.9071863912</v>
      </c>
      <c r="AR901" s="82">
        <f>IFERROR(__xludf.DUMMYFUNCTION("""COMPUTED_VALUE"""),0.9807383670834495)</f>
        <v>0.9807383671</v>
      </c>
      <c r="AS901" s="82">
        <f>IFERROR(__xludf.DUMMYFUNCTION("""COMPUTED_VALUE"""),36.0)</f>
        <v>36</v>
      </c>
      <c r="AT901" s="82">
        <f>IFERROR(__xludf.DUMMYFUNCTION("""COMPUTED_VALUE"""),0.3964486659619166)</f>
        <v>0.396448666</v>
      </c>
      <c r="AU901" s="82">
        <f>IFERROR(__xludf.DUMMYFUNCTION("""COMPUTED_VALUE"""),1.8392547832694643)</f>
        <v>1.839254783</v>
      </c>
      <c r="AV901" s="82">
        <f>IFERROR(__xludf.DUMMYFUNCTION("""COMPUTED_VALUE"""),36.35926254155336)</f>
        <v>36.35926254</v>
      </c>
      <c r="AW901" s="82">
        <f t="shared" si="1"/>
        <v>-3.416930572</v>
      </c>
      <c r="AX901" s="83">
        <f t="array" ref="AX901">IFERROR(DGET('SBV Import'!A:G,"SBV",{"RSC ID","Tier";B901,A901}))</f>
        <v>22.96672477</v>
      </c>
      <c r="AY901" s="82">
        <f t="shared" si="2"/>
        <v>-7.154357812</v>
      </c>
      <c r="AZ901" s="82">
        <v>3.7374272397323653</v>
      </c>
      <c r="BA901" s="84">
        <v>800.0</v>
      </c>
      <c r="BB901" s="84" t="b">
        <f>IFERROR(__xludf.DUMMYFUNCTION("iferror(if(A901="""",,E901&gt;=FILTER(Constants!$F$2:$F$10,Constants!$A$2:$A$10=A901)))"),TRUE)</f>
        <v>1</v>
      </c>
    </row>
    <row r="902">
      <c r="A902" s="80" t="str">
        <f>IFERROR(__xludf.DUMMYFUNCTION("""COMPUTED_VALUE"""),"Elite")</f>
        <v>Elite</v>
      </c>
      <c r="B902" s="73" t="str">
        <f>IFERROR(__xludf.DUMMYFUNCTION("""COMPUTED_VALUE"""),"RSC005308")</f>
        <v>RSC005308</v>
      </c>
      <c r="C902" s="73" t="str">
        <f>IFERROR(__xludf.DUMMYFUNCTION("""COMPUTED_VALUE"""),"6 lbs of Yeet")</f>
        <v>6 lbs of Yeet</v>
      </c>
      <c r="D902" s="73" t="str">
        <f>IFERROR(__xludf.DUMMYFUNCTION("""COMPUTED_VALUE"""),"Pixel Picassos")</f>
        <v>Pixel Picassos</v>
      </c>
      <c r="E902" s="82">
        <f>IFERROR(__xludf.DUMMYFUNCTION("""COMPUTED_VALUE"""),24.0)</f>
        <v>24</v>
      </c>
      <c r="F902" s="82">
        <f>IFERROR(__xludf.DUMMYFUNCTION("""COMPUTED_VALUE"""),6.0)</f>
        <v>6</v>
      </c>
      <c r="G902" s="82">
        <f>IFERROR(__xludf.DUMMYFUNCTION("""COMPUTED_VALUE"""),18.0)</f>
        <v>18</v>
      </c>
      <c r="H902" s="86">
        <f>IFERROR(__xludf.DUMMYFUNCTION("""COMPUTED_VALUE"""),0.25)</f>
        <v>0.25</v>
      </c>
      <c r="I902" s="86">
        <f>IFERROR(__xludf.DUMMYFUNCTION("""COMPUTED_VALUE"""),0.25)</f>
        <v>0.25</v>
      </c>
      <c r="J902" s="82">
        <f>IFERROR(__xludf.DUMMYFUNCTION("""COMPUTED_VALUE"""),329.9166666666667)</f>
        <v>329.9166667</v>
      </c>
      <c r="K902" s="82">
        <f>IFERROR(__xludf.DUMMYFUNCTION("""COMPUTED_VALUE"""),0.5416666666666666)</f>
        <v>0.5416666667</v>
      </c>
      <c r="L902" s="82">
        <f>IFERROR(__xludf.DUMMYFUNCTION("""COMPUTED_VALUE"""),0.4583333333333333)</f>
        <v>0.4583333333</v>
      </c>
      <c r="M902" s="82">
        <f>IFERROR(__xludf.DUMMYFUNCTION("""COMPUTED_VALUE"""),1.75)</f>
        <v>1.75</v>
      </c>
      <c r="N902" s="82">
        <f>IFERROR(__xludf.DUMMYFUNCTION("""COMPUTED_VALUE"""),2.1666666666666665)</f>
        <v>2.166666667</v>
      </c>
      <c r="O902" s="82">
        <f>IFERROR(__xludf.DUMMYFUNCTION("""COMPUTED_VALUE"""),382.5694444444445)</f>
        <v>382.5694444</v>
      </c>
      <c r="P902" s="82">
        <f>IFERROR(__xludf.DUMMYFUNCTION("""COMPUTED_VALUE"""),0.9722222222222223)</f>
        <v>0.9722222222</v>
      </c>
      <c r="Q902" s="82">
        <f>IFERROR(__xludf.DUMMYFUNCTION("""COMPUTED_VALUE"""),0.7083333333333334)</f>
        <v>0.7083333333</v>
      </c>
      <c r="R902" s="82">
        <f>IFERROR(__xludf.DUMMYFUNCTION("""COMPUTED_VALUE"""),1.222222222222222)</f>
        <v>1.222222222</v>
      </c>
      <c r="S902" s="82">
        <f>IFERROR(__xludf.DUMMYFUNCTION("""COMPUTED_VALUE"""),3.1388888888888893)</f>
        <v>3.138888889</v>
      </c>
      <c r="T902" s="82">
        <f>IFERROR(__xludf.DUMMYFUNCTION("""COMPUTED_VALUE"""),374.6384063563835)</f>
        <v>374.6384064</v>
      </c>
      <c r="U902" s="82">
        <f>IFERROR(__xludf.DUMMYFUNCTION("""COMPUTED_VALUE"""),0.8968103493666031)</f>
        <v>0.8968103494</v>
      </c>
      <c r="V902" s="82">
        <f>IFERROR(__xludf.DUMMYFUNCTION("""COMPUTED_VALUE"""),0.6714162065062693)</f>
        <v>0.6714162065</v>
      </c>
      <c r="W902" s="82">
        <f>IFERROR(__xludf.DUMMYFUNCTION("""COMPUTED_VALUE"""),1.2838095314898392)</f>
        <v>1.283809531</v>
      </c>
      <c r="X902" s="82">
        <f>IFERROR(__xludf.DUMMYFUNCTION("""COMPUTED_VALUE"""),2.9889004812984274)</f>
        <v>2.988900481</v>
      </c>
      <c r="Y902" s="82">
        <f>IFERROR(__xludf.DUMMYFUNCTION("""COMPUTED_VALUE"""),360.1488056109406)</f>
        <v>360.1488056</v>
      </c>
      <c r="Z902" s="82">
        <f>IFERROR(__xludf.DUMMYFUNCTION("""COMPUTED_VALUE"""),0.7100380452630136)</f>
        <v>0.7100380453</v>
      </c>
      <c r="AA902" s="82">
        <f>IFERROR(__xludf.DUMMYFUNCTION("""COMPUTED_VALUE"""),0.5260090656037512)</f>
        <v>0.5260090656</v>
      </c>
      <c r="AB902" s="82">
        <f>IFERROR(__xludf.DUMMYFUNCTION("""COMPUTED_VALUE"""),1.6011415160353313)</f>
        <v>1.601141516</v>
      </c>
      <c r="AC902" s="82">
        <f>IFERROR(__xludf.DUMMYFUNCTION("""COMPUTED_VALUE"""),2.451817342983236)</f>
        <v>2.451817343</v>
      </c>
      <c r="AD902" s="82">
        <f>IFERROR(__xludf.DUMMYFUNCTION("""COMPUTED_VALUE"""),0.916056534206772)</f>
        <v>0.9160565342</v>
      </c>
      <c r="AE902" s="82">
        <f>IFERROR(__xludf.DUMMYFUNCTION("""COMPUTED_VALUE"""),0.7628699198308754)</f>
        <v>0.7628699198</v>
      </c>
      <c r="AF902" s="82">
        <f>IFERROR(__xludf.DUMMYFUNCTION("""COMPUTED_VALUE"""),0.8713411294675313)</f>
        <v>0.8713411295</v>
      </c>
      <c r="AG902" s="82">
        <f>IFERROR(__xludf.DUMMYFUNCTION("""COMPUTED_VALUE"""),1.092970223102618)</f>
        <v>1.092970223</v>
      </c>
      <c r="AH902" s="82">
        <f>IFERROR(__xludf.DUMMYFUNCTION("""COMPUTED_VALUE"""),0.8836982383159041)</f>
        <v>0.8836982383</v>
      </c>
      <c r="AI902" s="82">
        <f>IFERROR(__xludf.DUMMYFUNCTION("""COMPUTED_VALUE"""),1.0211698479213487)</f>
        <v>1.021169848</v>
      </c>
      <c r="AJ902" s="82">
        <f>IFERROR(__xludf.DUMMYFUNCTION("""COMPUTED_VALUE"""),1.084088985936526)</f>
        <v>1.084088986</v>
      </c>
      <c r="AK902" s="82">
        <f>IFERROR(__xludf.DUMMYFUNCTION("""COMPUTED_VALUE"""),1.0549839674248604)</f>
        <v>1.054983967</v>
      </c>
      <c r="AL902" s="82">
        <f>IFERROR(__xludf.DUMMYFUNCTION("""COMPUTED_VALUE"""),0.9520276896556874)</f>
        <v>0.9520276897</v>
      </c>
      <c r="AM902" s="82">
        <f>IFERROR(__xludf.DUMMYFUNCTION("""COMPUTED_VALUE"""),1.0501818004744354)</f>
        <v>1.0501818</v>
      </c>
      <c r="AN902" s="82">
        <f>IFERROR(__xludf.DUMMYFUNCTION("""COMPUTED_VALUE"""),0.9353797097884025)</f>
        <v>0.9353797098</v>
      </c>
      <c r="AO902" s="82">
        <f>IFERROR(__xludf.DUMMYFUNCTION("""COMPUTED_VALUE"""),0.7595019209454144)</f>
        <v>0.7595019209</v>
      </c>
      <c r="AP902" s="82">
        <f>IFERROR(__xludf.DUMMYFUNCTION("""COMPUTED_VALUE"""),0.796995498185235)</f>
        <v>0.7969954982</v>
      </c>
      <c r="AQ902" s="82">
        <f>IFERROR(__xludf.DUMMYFUNCTION("""COMPUTED_VALUE"""),1.2267634153505023)</f>
        <v>1.226763415</v>
      </c>
      <c r="AR902" s="82">
        <f>IFERROR(__xludf.DUMMYFUNCTION("""COMPUTED_VALUE"""),0.8600919806565172)</f>
        <v>0.8600919807</v>
      </c>
      <c r="AS902" s="82">
        <f>IFERROR(__xludf.DUMMYFUNCTION("""COMPUTED_VALUE"""),46.0)</f>
        <v>46</v>
      </c>
      <c r="AT902" s="82">
        <f>IFERROR(__xludf.DUMMYFUNCTION("""COMPUTED_VALUE"""),0.3407624770913849)</f>
        <v>0.3407624771</v>
      </c>
      <c r="AU902" s="82">
        <f>IFERROR(__xludf.DUMMYFUNCTION("""COMPUTED_VALUE"""),1.7877854639902289)</f>
        <v>1.787785464</v>
      </c>
      <c r="AV902" s="82">
        <f>IFERROR(__xludf.DUMMYFUNCTION("""COMPUTED_VALUE"""),34.91300250862539)</f>
        <v>34.91300251</v>
      </c>
      <c r="AW902" s="82">
        <f t="shared" si="1"/>
        <v>-3.661732899</v>
      </c>
      <c r="AX902" s="83">
        <f t="array" ref="AX902">IFERROR(DGET('SBV Import'!A:G,"SBV",{"RSC ID","Tier";B902,A902}))</f>
        <v>26.8234203</v>
      </c>
      <c r="AY902" s="82">
        <f t="shared" si="2"/>
        <v>-5.651414093</v>
      </c>
      <c r="AZ902" s="82">
        <v>1.9896811944828352</v>
      </c>
      <c r="BA902" s="84">
        <v>800.0</v>
      </c>
      <c r="BB902" s="84" t="b">
        <f>IFERROR(__xludf.DUMMYFUNCTION("iferror(if(A902="""",,E902&gt;=FILTER(Constants!$F$2:$F$10,Constants!$A$2:$A$10=A902)))"),TRUE)</f>
        <v>1</v>
      </c>
    </row>
    <row r="903">
      <c r="A903" s="80" t="str">
        <f>IFERROR(__xludf.DUMMYFUNCTION("""COMPUTED_VALUE"""),"Elite")</f>
        <v>Elite</v>
      </c>
      <c r="B903" s="73" t="str">
        <f>IFERROR(__xludf.DUMMYFUNCTION("""COMPUTED_VALUE"""),"RSC001019")</f>
        <v>RSC001019</v>
      </c>
      <c r="C903" s="73" t="str">
        <f>IFERROR(__xludf.DUMMYFUNCTION("""COMPUTED_VALUE"""),"Surge")</f>
        <v>Surge</v>
      </c>
      <c r="D903" s="73"/>
      <c r="E903" s="82">
        <f>IFERROR(__xludf.DUMMYFUNCTION("""COMPUTED_VALUE"""),8.0)</f>
        <v>8</v>
      </c>
      <c r="F903" s="82">
        <f>IFERROR(__xludf.DUMMYFUNCTION("""COMPUTED_VALUE"""),4.0)</f>
        <v>4</v>
      </c>
      <c r="G903" s="82">
        <f>IFERROR(__xludf.DUMMYFUNCTION("""COMPUTED_VALUE"""),4.0)</f>
        <v>4</v>
      </c>
      <c r="H903" s="86">
        <f>IFERROR(__xludf.DUMMYFUNCTION("""COMPUTED_VALUE"""),0.5)</f>
        <v>0.5</v>
      </c>
      <c r="I903" s="86">
        <f>IFERROR(__xludf.DUMMYFUNCTION("""COMPUTED_VALUE"""),0.5)</f>
        <v>0.5</v>
      </c>
      <c r="J903" s="82">
        <f>IFERROR(__xludf.DUMMYFUNCTION("""COMPUTED_VALUE"""),287.25)</f>
        <v>287.25</v>
      </c>
      <c r="K903" s="82">
        <f>IFERROR(__xludf.DUMMYFUNCTION("""COMPUTED_VALUE"""),0.625)</f>
        <v>0.625</v>
      </c>
      <c r="L903" s="82">
        <f>IFERROR(__xludf.DUMMYFUNCTION("""COMPUTED_VALUE"""),0.75)</f>
        <v>0.75</v>
      </c>
      <c r="M903" s="82">
        <f>IFERROR(__xludf.DUMMYFUNCTION("""COMPUTED_VALUE"""),1.125)</f>
        <v>1.125</v>
      </c>
      <c r="N903" s="82">
        <f>IFERROR(__xludf.DUMMYFUNCTION("""COMPUTED_VALUE"""),1.25)</f>
        <v>1.25</v>
      </c>
      <c r="O903" s="82">
        <f>IFERROR(__xludf.DUMMYFUNCTION("""COMPUTED_VALUE"""),352.0)</f>
        <v>352</v>
      </c>
      <c r="P903" s="82">
        <f>IFERROR(__xludf.DUMMYFUNCTION("""COMPUTED_VALUE"""),0.875)</f>
        <v>0.875</v>
      </c>
      <c r="Q903" s="82">
        <f>IFERROR(__xludf.DUMMYFUNCTION("""COMPUTED_VALUE"""),0.5833333333333333)</f>
        <v>0.5833333333</v>
      </c>
      <c r="R903" s="82">
        <f>IFERROR(__xludf.DUMMYFUNCTION("""COMPUTED_VALUE"""),1.25)</f>
        <v>1.25</v>
      </c>
      <c r="S903" s="82">
        <f>IFERROR(__xludf.DUMMYFUNCTION("""COMPUTED_VALUE"""),2.583333333333333)</f>
        <v>2.583333333</v>
      </c>
      <c r="T903" s="82">
        <f>IFERROR(__xludf.DUMMYFUNCTION("""COMPUTED_VALUE"""),381.6585725308642)</f>
        <v>381.6585725</v>
      </c>
      <c r="U903" s="82">
        <f>IFERROR(__xludf.DUMMYFUNCTION("""COMPUTED_VALUE"""),0.8715663580246913)</f>
        <v>0.871566358</v>
      </c>
      <c r="V903" s="82">
        <f>IFERROR(__xludf.DUMMYFUNCTION("""COMPUTED_VALUE"""),0.7199074074074074)</f>
        <v>0.7199074074</v>
      </c>
      <c r="W903" s="82">
        <f>IFERROR(__xludf.DUMMYFUNCTION("""COMPUTED_VALUE"""),1.397253086419753)</f>
        <v>1.397253086</v>
      </c>
      <c r="X903" s="82">
        <f>IFERROR(__xludf.DUMMYFUNCTION("""COMPUTED_VALUE"""),2.763618827160494)</f>
        <v>2.763618827</v>
      </c>
      <c r="Y903" s="82">
        <f>IFERROR(__xludf.DUMMYFUNCTION("""COMPUTED_VALUE"""),373.85319701646085)</f>
        <v>373.853197</v>
      </c>
      <c r="Z903" s="82">
        <f>IFERROR(__xludf.DUMMYFUNCTION("""COMPUTED_VALUE"""),0.8199691358024692)</f>
        <v>0.8199691358</v>
      </c>
      <c r="AA903" s="82">
        <f>IFERROR(__xludf.DUMMYFUNCTION("""COMPUTED_VALUE"""),0.6192978395061728)</f>
        <v>0.6192978395</v>
      </c>
      <c r="AB903" s="82">
        <f>IFERROR(__xludf.DUMMYFUNCTION("""COMPUTED_VALUE"""),1.4836882716049384)</f>
        <v>1.483688272</v>
      </c>
      <c r="AC903" s="82">
        <f>IFERROR(__xludf.DUMMYFUNCTION("""COMPUTED_VALUE"""),2.632716049382717)</f>
        <v>2.632716049</v>
      </c>
      <c r="AD903" s="82">
        <f>IFERROR(__xludf.DUMMYFUNCTION("""COMPUTED_VALUE"""),0.7683497220096056)</f>
        <v>0.768349722</v>
      </c>
      <c r="AE903" s="82">
        <f>IFERROR(__xludf.DUMMYFUNCTION("""COMPUTED_VALUE"""),0.7622238114954643)</f>
        <v>0.7622238115</v>
      </c>
      <c r="AF903" s="82">
        <f>IFERROR(__xludf.DUMMYFUNCTION("""COMPUTED_VALUE"""),1.2110489527915178)</f>
        <v>1.211048953</v>
      </c>
      <c r="AG903" s="82">
        <f>IFERROR(__xludf.DUMMYFUNCTION("""COMPUTED_VALUE"""),0.7582455300957948)</f>
        <v>0.7582455301</v>
      </c>
      <c r="AH903" s="82">
        <f>IFERROR(__xludf.DUMMYFUNCTION("""COMPUTED_VALUE"""),0.4747948417350526)</f>
        <v>0.4747948417</v>
      </c>
      <c r="AI903" s="82">
        <f>IFERROR(__xludf.DUMMYFUNCTION("""COMPUTED_VALUE"""),0.9222903016845881)</f>
        <v>0.9222903017</v>
      </c>
      <c r="AJ903" s="82">
        <f>IFERROR(__xludf.DUMMYFUNCTION("""COMPUTED_VALUE"""),1.0039396219733523)</f>
        <v>1.003939622</v>
      </c>
      <c r="AK903" s="82">
        <f>IFERROR(__xludf.DUMMYFUNCTION("""COMPUTED_VALUE"""),0.810289389067524)</f>
        <v>0.8102893891</v>
      </c>
      <c r="AL903" s="82">
        <f>IFERROR(__xludf.DUMMYFUNCTION("""COMPUTED_VALUE"""),0.8946124450531245)</f>
        <v>0.8946124451</v>
      </c>
      <c r="AM903" s="82">
        <f>IFERROR(__xludf.DUMMYFUNCTION("""COMPUTED_VALUE"""),0.9347647034188152)</f>
        <v>0.9347647034</v>
      </c>
      <c r="AN903" s="82">
        <f>IFERROR(__xludf.DUMMYFUNCTION("""COMPUTED_VALUE"""),0.8144111795000311)</f>
        <v>0.8144111795</v>
      </c>
      <c r="AO903" s="82">
        <f>IFERROR(__xludf.DUMMYFUNCTION("""COMPUTED_VALUE"""),0.876348370321632)</f>
        <v>0.8763483703</v>
      </c>
      <c r="AP903" s="82">
        <f>IFERROR(__xludf.DUMMYFUNCTION("""COMPUTED_VALUE"""),1.304174451575839)</f>
        <v>1.304174452</v>
      </c>
      <c r="AQ903" s="82">
        <f>IFERROR(__xludf.DUMMYFUNCTION("""COMPUTED_VALUE"""),0.7886336241538944)</f>
        <v>0.7886336242</v>
      </c>
      <c r="AR903" s="82">
        <f>IFERROR(__xludf.DUMMYFUNCTION("""COMPUTED_VALUE"""),0.49620691191722144)</f>
        <v>0.4962069119</v>
      </c>
      <c r="AS903" s="82">
        <f>IFERROR(__xludf.DUMMYFUNCTION("""COMPUTED_VALUE"""),20.0)</f>
        <v>20</v>
      </c>
      <c r="AT903" s="82">
        <f>IFERROR(__xludf.DUMMYFUNCTION("""COMPUTED_VALUE"""),0.480513474921211)</f>
        <v>0.4805134749</v>
      </c>
      <c r="AU903" s="82">
        <f>IFERROR(__xludf.DUMMYFUNCTION("""COMPUTED_VALUE"""),1.7691297961489054)</f>
        <v>1.769129796</v>
      </c>
      <c r="AV903" s="82">
        <f>IFERROR(__xludf.DUMMYFUNCTION("""COMPUTED_VALUE"""),34.388788332795585)</f>
        <v>34.38878833</v>
      </c>
      <c r="AW903" s="82">
        <f t="shared" si="1"/>
        <v>-3.757046078</v>
      </c>
      <c r="AX903" s="83">
        <f t="array" ref="AX903">IFERROR(DGET('SBV Import'!A:G,"SBV",{"RSC ID","Tier";B903,A903}))</f>
        <v>32.17047316</v>
      </c>
      <c r="AY903" s="82">
        <f t="shared" si="2"/>
        <v>-4.20403249</v>
      </c>
      <c r="AZ903" s="82">
        <v>0.4469864125084557</v>
      </c>
      <c r="BA903" s="84">
        <v>800.0</v>
      </c>
      <c r="BB903" s="84" t="b">
        <f>IFERROR(__xludf.DUMMYFUNCTION("iferror(if(A903="""",,E903&gt;=FILTER(Constants!$F$2:$F$10,Constants!$A$2:$A$10=A903)))"),TRUE)</f>
        <v>1</v>
      </c>
    </row>
    <row r="904">
      <c r="A904" s="80" t="str">
        <f>IFERROR(__xludf.DUMMYFUNCTION("""COMPUTED_VALUE"""),"Elite")</f>
        <v>Elite</v>
      </c>
      <c r="B904" s="73" t="str">
        <f>IFERROR(__xludf.DUMMYFUNCTION("""COMPUTED_VALUE"""),"RSC006446")</f>
        <v>RSC006446</v>
      </c>
      <c r="C904" s="73" t="str">
        <f>IFERROR(__xludf.DUMMYFUNCTION("""COMPUTED_VALUE"""),"ACE_Cosplays.TTV")</f>
        <v>ACE_Cosplays.TTV</v>
      </c>
      <c r="D904" s="73" t="str">
        <f>IFERROR(__xludf.DUMMYFUNCTION("""COMPUTED_VALUE"""),"Majesties")</f>
        <v>Majesties</v>
      </c>
      <c r="E904" s="82">
        <f>IFERROR(__xludf.DUMMYFUNCTION("""COMPUTED_VALUE"""),7.0)</f>
        <v>7</v>
      </c>
      <c r="F904" s="82">
        <f>IFERROR(__xludf.DUMMYFUNCTION("""COMPUTED_VALUE"""),1.0)</f>
        <v>1</v>
      </c>
      <c r="G904" s="82">
        <f>IFERROR(__xludf.DUMMYFUNCTION("""COMPUTED_VALUE"""),6.0)</f>
        <v>6</v>
      </c>
      <c r="H904" s="86">
        <f>IFERROR(__xludf.DUMMYFUNCTION("""COMPUTED_VALUE"""),0.14285714285714285)</f>
        <v>0.1428571429</v>
      </c>
      <c r="I904" s="86">
        <f>IFERROR(__xludf.DUMMYFUNCTION("""COMPUTED_VALUE"""),0.4166666666666667)</f>
        <v>0.4166666667</v>
      </c>
      <c r="J904" s="82">
        <f>IFERROR(__xludf.DUMMYFUNCTION("""COMPUTED_VALUE"""),343.85714285714283)</f>
        <v>343.8571429</v>
      </c>
      <c r="K904" s="82">
        <f>IFERROR(__xludf.DUMMYFUNCTION("""COMPUTED_VALUE"""),0.7142857142857143)</f>
        <v>0.7142857143</v>
      </c>
      <c r="L904" s="82">
        <f>IFERROR(__xludf.DUMMYFUNCTION("""COMPUTED_VALUE"""),0.42857142857142855)</f>
        <v>0.4285714286</v>
      </c>
      <c r="M904" s="82">
        <f>IFERROR(__xludf.DUMMYFUNCTION("""COMPUTED_VALUE"""),1.5714285714285714)</f>
        <v>1.571428571</v>
      </c>
      <c r="N904" s="82">
        <f>IFERROR(__xludf.DUMMYFUNCTION("""COMPUTED_VALUE"""),1.7142857142857142)</f>
        <v>1.714285714</v>
      </c>
      <c r="O904" s="82">
        <f>IFERROR(__xludf.DUMMYFUNCTION("""COMPUTED_VALUE"""),425.61904761904765)</f>
        <v>425.6190476</v>
      </c>
      <c r="P904" s="82">
        <f>IFERROR(__xludf.DUMMYFUNCTION("""COMPUTED_VALUE"""),1.3809523809523812)</f>
        <v>1.380952381</v>
      </c>
      <c r="Q904" s="82">
        <f>IFERROR(__xludf.DUMMYFUNCTION("""COMPUTED_VALUE"""),1.0)</f>
        <v>1</v>
      </c>
      <c r="R904" s="82">
        <f>IFERROR(__xludf.DUMMYFUNCTION("""COMPUTED_VALUE"""),1.0)</f>
        <v>1</v>
      </c>
      <c r="S904" s="82">
        <f>IFERROR(__xludf.DUMMYFUNCTION("""COMPUTED_VALUE"""),3.142857142857143)</f>
        <v>3.142857143</v>
      </c>
      <c r="T904" s="82">
        <f>IFERROR(__xludf.DUMMYFUNCTION("""COMPUTED_VALUE"""),409.39434523809524)</f>
        <v>409.3943452</v>
      </c>
      <c r="U904" s="82">
        <f>IFERROR(__xludf.DUMMYFUNCTION("""COMPUTED_VALUE"""),1.035019841269841)</f>
        <v>1.035019841</v>
      </c>
      <c r="V904" s="82">
        <f>IFERROR(__xludf.DUMMYFUNCTION("""COMPUTED_VALUE"""),0.8246031746031747)</f>
        <v>0.8246031746</v>
      </c>
      <c r="W904" s="82">
        <f>IFERROR(__xludf.DUMMYFUNCTION("""COMPUTED_VALUE"""),1.2704365079365079)</f>
        <v>1.270436508</v>
      </c>
      <c r="X904" s="82">
        <f>IFERROR(__xludf.DUMMYFUNCTION("""COMPUTED_VALUE"""),3.1858134920634926)</f>
        <v>3.185813492</v>
      </c>
      <c r="Y904" s="82">
        <f>IFERROR(__xludf.DUMMYFUNCTION("""COMPUTED_VALUE"""),367.56855158730156)</f>
        <v>367.5685516</v>
      </c>
      <c r="Z904" s="82">
        <f>IFERROR(__xludf.DUMMYFUNCTION("""COMPUTED_VALUE"""),0.7355158730158731)</f>
        <v>0.735515873</v>
      </c>
      <c r="AA904" s="82">
        <f>IFERROR(__xludf.DUMMYFUNCTION("""COMPUTED_VALUE"""),0.5023478835978837)</f>
        <v>0.5023478836</v>
      </c>
      <c r="AB904" s="82">
        <f>IFERROR(__xludf.DUMMYFUNCTION("""COMPUTED_VALUE"""),1.7089285714285718)</f>
        <v>1.708928571</v>
      </c>
      <c r="AC904" s="82">
        <f>IFERROR(__xludf.DUMMYFUNCTION("""COMPUTED_VALUE"""),2.318452380952382)</f>
        <v>2.318452381</v>
      </c>
      <c r="AD904" s="82">
        <f>IFERROR(__xludf.DUMMYFUNCTION("""COMPUTED_VALUE"""),0.9354911930638141)</f>
        <v>0.9354911931</v>
      </c>
      <c r="AE904" s="82">
        <f>IFERROR(__xludf.DUMMYFUNCTION("""COMPUTED_VALUE"""),0.9711356892365794)</f>
        <v>0.9711356892</v>
      </c>
      <c r="AF904" s="82">
        <f>IFERROR(__xludf.DUMMYFUNCTION("""COMPUTED_VALUE"""),0.8531367256928442)</f>
        <v>0.8531367257</v>
      </c>
      <c r="AG904" s="82">
        <f>IFERROR(__xludf.DUMMYFUNCTION("""COMPUTED_VALUE"""),0.9195402298850572)</f>
        <v>0.9195402299</v>
      </c>
      <c r="AH904" s="82">
        <f>IFERROR(__xludf.DUMMYFUNCTION("""COMPUTED_VALUE"""),0.7394094993581511)</f>
        <v>0.7394094994</v>
      </c>
      <c r="AI904" s="82">
        <f>IFERROR(__xludf.DUMMYFUNCTION("""COMPUTED_VALUE"""),1.0396309879940244)</f>
        <v>1.039630988</v>
      </c>
      <c r="AJ904" s="82">
        <f>IFERROR(__xludf.DUMMYFUNCTION("""COMPUTED_VALUE"""),1.3342279306048122)</f>
        <v>1.334227931</v>
      </c>
      <c r="AK904" s="82">
        <f>IFERROR(__xludf.DUMMYFUNCTION("""COMPUTED_VALUE"""),1.2127045235803657)</f>
        <v>1.212704524</v>
      </c>
      <c r="AL904" s="82">
        <f>IFERROR(__xludf.DUMMYFUNCTION("""COMPUTED_VALUE"""),0.787131032328596)</f>
        <v>0.7871310323</v>
      </c>
      <c r="AM904" s="82">
        <f>IFERROR(__xludf.DUMMYFUNCTION("""COMPUTED_VALUE"""),0.9865163640893094)</f>
        <v>0.9865163641</v>
      </c>
      <c r="AN904" s="82">
        <f>IFERROR(__xludf.DUMMYFUNCTION("""COMPUTED_VALUE"""),0.9749037468887602)</f>
        <v>0.9749037469</v>
      </c>
      <c r="AO904" s="82">
        <f>IFERROR(__xludf.DUMMYFUNCTION("""COMPUTED_VALUE"""),1.0015409946532938)</f>
        <v>1.001540995</v>
      </c>
      <c r="AP904" s="82">
        <f>IFERROR(__xludf.DUMMYFUNCTION("""COMPUTED_VALUE"""),0.7452425437576223)</f>
        <v>0.7452425438</v>
      </c>
      <c r="AQ904" s="82">
        <f>IFERROR(__xludf.DUMMYFUNCTION("""COMPUTED_VALUE"""),1.1015834750086144)</f>
        <v>1.101583475</v>
      </c>
      <c r="AR904" s="82">
        <f>IFERROR(__xludf.DUMMYFUNCTION("""COMPUTED_VALUE"""),0.680512336343618)</f>
        <v>0.6805123363</v>
      </c>
      <c r="AS904" s="82">
        <f>IFERROR(__xludf.DUMMYFUNCTION("""COMPUTED_VALUE"""),11.0)</f>
        <v>11</v>
      </c>
      <c r="AT904" s="82">
        <f>IFERROR(__xludf.DUMMYFUNCTION("""COMPUTED_VALUE"""),0.1681714346259302)</f>
        <v>0.1681714346</v>
      </c>
      <c r="AU904" s="82">
        <f>IFERROR(__xludf.DUMMYFUNCTION("""COMPUTED_VALUE"""),1.7534635914926002)</f>
        <v>1.753463591</v>
      </c>
      <c r="AV904" s="82">
        <f>IFERROR(__xludf.DUMMYFUNCTION("""COMPUTED_VALUE"""),33.94857645551853)</f>
        <v>33.94857646</v>
      </c>
      <c r="AW904" s="82">
        <f t="shared" si="1"/>
        <v>-3.839978777</v>
      </c>
      <c r="AX904" s="83">
        <f t="array" ref="AX904">IFERROR(DGET('SBV Import'!A:G,"SBV",{"RSC ID","Tier";B904,A904}))</f>
        <v>43.04331999</v>
      </c>
      <c r="AY904" s="82">
        <f t="shared" si="2"/>
        <v>-2.561451618</v>
      </c>
      <c r="AZ904" s="82">
        <v>1.2785271597388772</v>
      </c>
      <c r="BA904" s="84">
        <v>800.0</v>
      </c>
      <c r="BB904" s="84" t="b">
        <f>IFERROR(__xludf.DUMMYFUNCTION("iferror(if(A904="""",,E904&gt;=FILTER(Constants!$F$2:$F$10,Constants!$A$2:$A$10=A904)))"),TRUE)</f>
        <v>1</v>
      </c>
    </row>
    <row r="905">
      <c r="A905" s="80" t="str">
        <f>IFERROR(__xludf.DUMMYFUNCTION("""COMPUTED_VALUE"""),"Elite")</f>
        <v>Elite</v>
      </c>
      <c r="B905" s="73" t="str">
        <f>IFERROR(__xludf.DUMMYFUNCTION("""COMPUTED_VALUE"""),"RSC005515")</f>
        <v>RSC005515</v>
      </c>
      <c r="C905" s="73" t="str">
        <f>IFERROR(__xludf.DUMMYFUNCTION("""COMPUTED_VALUE"""),"BaronTac0")</f>
        <v>BaronTac0</v>
      </c>
      <c r="D905" s="73" t="str">
        <f>IFERROR(__xludf.DUMMYFUNCTION("""COMPUTED_VALUE"""),"Nightshade")</f>
        <v>Nightshade</v>
      </c>
      <c r="E905" s="82">
        <f>IFERROR(__xludf.DUMMYFUNCTION("""COMPUTED_VALUE"""),8.0)</f>
        <v>8</v>
      </c>
      <c r="F905" s="82">
        <f>IFERROR(__xludf.DUMMYFUNCTION("""COMPUTED_VALUE"""),4.0)</f>
        <v>4</v>
      </c>
      <c r="G905" s="82">
        <f>IFERROR(__xludf.DUMMYFUNCTION("""COMPUTED_VALUE"""),4.0)</f>
        <v>4</v>
      </c>
      <c r="H905" s="86">
        <f>IFERROR(__xludf.DUMMYFUNCTION("""COMPUTED_VALUE"""),0.5)</f>
        <v>0.5</v>
      </c>
      <c r="I905" s="86">
        <f>IFERROR(__xludf.DUMMYFUNCTION("""COMPUTED_VALUE"""),0.23529411764705882)</f>
        <v>0.2352941176</v>
      </c>
      <c r="J905" s="82">
        <f>IFERROR(__xludf.DUMMYFUNCTION("""COMPUTED_VALUE"""),327.5)</f>
        <v>327.5</v>
      </c>
      <c r="K905" s="82">
        <f>IFERROR(__xludf.DUMMYFUNCTION("""COMPUTED_VALUE"""),0.5)</f>
        <v>0.5</v>
      </c>
      <c r="L905" s="82">
        <f>IFERROR(__xludf.DUMMYFUNCTION("""COMPUTED_VALUE"""),1.0)</f>
        <v>1</v>
      </c>
      <c r="M905" s="82">
        <f>IFERROR(__xludf.DUMMYFUNCTION("""COMPUTED_VALUE"""),1.0)</f>
        <v>1</v>
      </c>
      <c r="N905" s="82">
        <f>IFERROR(__xludf.DUMMYFUNCTION("""COMPUTED_VALUE"""),2.125)</f>
        <v>2.125</v>
      </c>
      <c r="O905" s="82">
        <f>IFERROR(__xludf.DUMMYFUNCTION("""COMPUTED_VALUE"""),411.25000000000006)</f>
        <v>411.25</v>
      </c>
      <c r="P905" s="82">
        <f>IFERROR(__xludf.DUMMYFUNCTION("""COMPUTED_VALUE"""),1.0416666666666667)</f>
        <v>1.041666667</v>
      </c>
      <c r="Q905" s="82">
        <f>IFERROR(__xludf.DUMMYFUNCTION("""COMPUTED_VALUE"""),0.9166666666666669)</f>
        <v>0.9166666667</v>
      </c>
      <c r="R905" s="82">
        <f>IFERROR(__xludf.DUMMYFUNCTION("""COMPUTED_VALUE"""),1.5833333333333333)</f>
        <v>1.583333333</v>
      </c>
      <c r="S905" s="82">
        <f>IFERROR(__xludf.DUMMYFUNCTION("""COMPUTED_VALUE"""),2.375)</f>
        <v>2.375</v>
      </c>
      <c r="T905" s="82">
        <f>IFERROR(__xludf.DUMMYFUNCTION("""COMPUTED_VALUE"""),337.54534866388127)</f>
        <v>337.5453487</v>
      </c>
      <c r="U905" s="82">
        <f>IFERROR(__xludf.DUMMYFUNCTION("""COMPUTED_VALUE"""),0.6441056273664969)</f>
        <v>0.6441056274</v>
      </c>
      <c r="V905" s="82">
        <f>IFERROR(__xludf.DUMMYFUNCTION("""COMPUTED_VALUE"""),0.628822300561431)</f>
        <v>0.6288223006</v>
      </c>
      <c r="W905" s="82">
        <f>IFERROR(__xludf.DUMMYFUNCTION("""COMPUTED_VALUE"""),1.3255697545371459)</f>
        <v>1.325569755</v>
      </c>
      <c r="X905" s="82">
        <f>IFERROR(__xludf.DUMMYFUNCTION("""COMPUTED_VALUE"""),2.5341203703703705)</f>
        <v>2.53412037</v>
      </c>
      <c r="Y905" s="82">
        <f>IFERROR(__xludf.DUMMYFUNCTION("""COMPUTED_VALUE"""),366.55856639247946)</f>
        <v>366.5585664</v>
      </c>
      <c r="Z905" s="82">
        <f>IFERROR(__xludf.DUMMYFUNCTION("""COMPUTED_VALUE"""),0.8630080624102362)</f>
        <v>0.8630080624</v>
      </c>
      <c r="AA905" s="82">
        <f>IFERROR(__xludf.DUMMYFUNCTION("""COMPUTED_VALUE"""),0.6440980835908372)</f>
        <v>0.6440980836</v>
      </c>
      <c r="AB905" s="82">
        <f>IFERROR(__xludf.DUMMYFUNCTION("""COMPUTED_VALUE"""),1.2918267724245984)</f>
        <v>1.291826772</v>
      </c>
      <c r="AC905" s="82">
        <f>IFERROR(__xludf.DUMMYFUNCTION("""COMPUTED_VALUE"""),2.744089832586209)</f>
        <v>2.744089833</v>
      </c>
      <c r="AD905" s="82">
        <f>IFERROR(__xludf.DUMMYFUNCTION("""COMPUTED_VALUE"""),0.8934452227460458)</f>
        <v>0.8934452227</v>
      </c>
      <c r="AE905" s="82">
        <f>IFERROR(__xludf.DUMMYFUNCTION("""COMPUTED_VALUE"""),0.5793688631408427)</f>
        <v>0.5793688631</v>
      </c>
      <c r="AF905" s="82">
        <f>IFERROR(__xludf.DUMMYFUNCTION("""COMPUTED_VALUE"""),1.5525585706217522)</f>
        <v>1.552558571</v>
      </c>
      <c r="AG905" s="82">
        <f>IFERROR(__xludf.DUMMYFUNCTION("""COMPUTED_VALUE"""),0.7740975967877831)</f>
        <v>0.7740975968</v>
      </c>
      <c r="AH905" s="82">
        <f>IFERROR(__xludf.DUMMYFUNCTION("""COMPUTED_VALUE"""),0.7743915577272708)</f>
        <v>0.7743915577</v>
      </c>
      <c r="AI905" s="82">
        <f>IFERROR(__xludf.DUMMYFUNCTION("""COMPUTED_VALUE"""),1.218354812554422)</f>
        <v>1.218354813</v>
      </c>
      <c r="AJ905" s="82">
        <f>IFERROR(__xludf.DUMMYFUNCTION("""COMPUTED_VALUE"""),1.6172295698232693)</f>
        <v>1.61722957</v>
      </c>
      <c r="AK905" s="82">
        <f>IFERROR(__xludf.DUMMYFUNCTION("""COMPUTED_VALUE"""),1.4577515235198244)</f>
        <v>1.457751524</v>
      </c>
      <c r="AL905" s="82">
        <f>IFERROR(__xludf.DUMMYFUNCTION("""COMPUTED_VALUE"""),1.1944549337474826)</f>
        <v>1.194454934</v>
      </c>
      <c r="AM905" s="82">
        <f>IFERROR(__xludf.DUMMYFUNCTION("""COMPUTED_VALUE"""),0.9372088349745145)</f>
        <v>0.937208835</v>
      </c>
      <c r="AN905" s="82">
        <f>IFERROR(__xludf.DUMMYFUNCTION("""COMPUTED_VALUE"""),0.9285279766275376)</f>
        <v>0.9285279766</v>
      </c>
      <c r="AO905" s="82">
        <f>IFERROR(__xludf.DUMMYFUNCTION("""COMPUTED_VALUE"""),0.7010786962573057)</f>
        <v>0.7010786963</v>
      </c>
      <c r="AP905" s="82">
        <f>IFERROR(__xludf.DUMMYFUNCTION("""COMPUTED_VALUE"""),1.7388992687677856)</f>
        <v>1.738899269</v>
      </c>
      <c r="AQ905" s="82">
        <f>IFERROR(__xludf.DUMMYFUNCTION("""COMPUTED_VALUE"""),0.7010076659145728)</f>
        <v>0.7010076659</v>
      </c>
      <c r="AR905" s="82">
        <f>IFERROR(__xludf.DUMMYFUNCTION("""COMPUTED_VALUE"""),0.8435517502592764)</f>
        <v>0.8435517503</v>
      </c>
      <c r="AS905" s="82">
        <f>IFERROR(__xludf.DUMMYFUNCTION("""COMPUTED_VALUE"""),23.0)</f>
        <v>23</v>
      </c>
      <c r="AT905" s="82">
        <f>IFERROR(__xludf.DUMMYFUNCTION("""COMPUTED_VALUE"""),0.4651953908065917)</f>
        <v>0.4651953908</v>
      </c>
      <c r="AU905" s="82">
        <f>IFERROR(__xludf.DUMMYFUNCTION("""COMPUTED_VALUE"""),1.7492685075469177)</f>
        <v>1.749268508</v>
      </c>
      <c r="AV905" s="82">
        <f>IFERROR(__xludf.DUMMYFUNCTION("""COMPUTED_VALUE"""),33.83069686568944)</f>
        <v>33.83069687</v>
      </c>
      <c r="AW905" s="82">
        <f t="shared" si="1"/>
        <v>-3.862648578</v>
      </c>
      <c r="AX905" s="83">
        <f t="array" ref="AX905">IFERROR(DGET('SBV Import'!A:G,"SBV",{"RSC ID","Tier";B905,A905}))</f>
        <v>45.09657301</v>
      </c>
      <c r="AY905" s="82">
        <f t="shared" si="2"/>
        <v>-2.368257185</v>
      </c>
      <c r="AZ905" s="82">
        <v>1.4943913935523199</v>
      </c>
      <c r="BA905" s="84">
        <v>800.0</v>
      </c>
      <c r="BB905" s="84" t="b">
        <f>IFERROR(__xludf.DUMMYFUNCTION("iferror(if(A905="""",,E905&gt;=FILTER(Constants!$F$2:$F$10,Constants!$A$2:$A$10=A905)))"),TRUE)</f>
        <v>1</v>
      </c>
    </row>
    <row r="906">
      <c r="A906" s="80" t="str">
        <f>IFERROR(__xludf.DUMMYFUNCTION("""COMPUTED_VALUE"""),"Elite")</f>
        <v>Elite</v>
      </c>
      <c r="B906" s="73" t="str">
        <f>IFERROR(__xludf.DUMMYFUNCTION("""COMPUTED_VALUE"""),"RSC006668")</f>
        <v>RSC006668</v>
      </c>
      <c r="C906" s="73" t="str">
        <f>IFERROR(__xludf.DUMMYFUNCTION("""COMPUTED_VALUE"""),"anubis")</f>
        <v>anubis</v>
      </c>
      <c r="D906" s="73" t="str">
        <f>IFERROR(__xludf.DUMMYFUNCTION("""COMPUTED_VALUE"""),"Thrashers")</f>
        <v>Thrashers</v>
      </c>
      <c r="E906" s="82">
        <f>IFERROR(__xludf.DUMMYFUNCTION("""COMPUTED_VALUE"""),6.0)</f>
        <v>6</v>
      </c>
      <c r="F906" s="82">
        <f>IFERROR(__xludf.DUMMYFUNCTION("""COMPUTED_VALUE"""),1.0)</f>
        <v>1</v>
      </c>
      <c r="G906" s="82">
        <f>IFERROR(__xludf.DUMMYFUNCTION("""COMPUTED_VALUE"""),5.0)</f>
        <v>5</v>
      </c>
      <c r="H906" s="86">
        <f>IFERROR(__xludf.DUMMYFUNCTION("""COMPUTED_VALUE"""),0.16666666666666666)</f>
        <v>0.1666666667</v>
      </c>
      <c r="I906" s="86">
        <f>IFERROR(__xludf.DUMMYFUNCTION("""COMPUTED_VALUE"""),0.14285714285714285)</f>
        <v>0.1428571429</v>
      </c>
      <c r="J906" s="82">
        <f>IFERROR(__xludf.DUMMYFUNCTION("""COMPUTED_VALUE"""),273.5)</f>
        <v>273.5</v>
      </c>
      <c r="K906" s="82">
        <f>IFERROR(__xludf.DUMMYFUNCTION("""COMPUTED_VALUE"""),0.3333333333333333)</f>
        <v>0.3333333333</v>
      </c>
      <c r="L906" s="82">
        <f>IFERROR(__xludf.DUMMYFUNCTION("""COMPUTED_VALUE"""),0.6666666666666666)</f>
        <v>0.6666666667</v>
      </c>
      <c r="M906" s="82">
        <f>IFERROR(__xludf.DUMMYFUNCTION("""COMPUTED_VALUE"""),0.6666666666666666)</f>
        <v>0.6666666667</v>
      </c>
      <c r="N906" s="82">
        <f>IFERROR(__xludf.DUMMYFUNCTION("""COMPUTED_VALUE"""),2.3333333333333335)</f>
        <v>2.333333333</v>
      </c>
      <c r="O906" s="82">
        <f>IFERROR(__xludf.DUMMYFUNCTION("""COMPUTED_VALUE"""),348.6111111111111)</f>
        <v>348.6111111</v>
      </c>
      <c r="P906" s="82">
        <f>IFERROR(__xludf.DUMMYFUNCTION("""COMPUTED_VALUE"""),0.8333333333333331)</f>
        <v>0.8333333333</v>
      </c>
      <c r="Q906" s="82">
        <f>IFERROR(__xludf.DUMMYFUNCTION("""COMPUTED_VALUE"""),0.7222222222222222)</f>
        <v>0.7222222222</v>
      </c>
      <c r="R906" s="82">
        <f>IFERROR(__xludf.DUMMYFUNCTION("""COMPUTED_VALUE"""),1.1111111111111112)</f>
        <v>1.111111111</v>
      </c>
      <c r="S906" s="82">
        <f>IFERROR(__xludf.DUMMYFUNCTION("""COMPUTED_VALUE"""),2.111111111111111)</f>
        <v>2.111111111</v>
      </c>
      <c r="T906" s="82">
        <f>IFERROR(__xludf.DUMMYFUNCTION("""COMPUTED_VALUE"""),356.24376882961656)</f>
        <v>356.2437688</v>
      </c>
      <c r="U906" s="82">
        <f>IFERROR(__xludf.DUMMYFUNCTION("""COMPUTED_VALUE"""),0.8334888823394571)</f>
        <v>0.8334888823</v>
      </c>
      <c r="V906" s="82">
        <f>IFERROR(__xludf.DUMMYFUNCTION("""COMPUTED_VALUE"""),0.7163021498510004)</f>
        <v>0.7163021499</v>
      </c>
      <c r="W906" s="82">
        <f>IFERROR(__xludf.DUMMYFUNCTION("""COMPUTED_VALUE"""),1.1551161296132562)</f>
        <v>1.15511613</v>
      </c>
      <c r="X906" s="82">
        <f>IFERROR(__xludf.DUMMYFUNCTION("""COMPUTED_VALUE"""),2.8353953810131967)</f>
        <v>2.835395381</v>
      </c>
      <c r="Y906" s="82">
        <f>IFERROR(__xludf.DUMMYFUNCTION("""COMPUTED_VALUE"""),355.64975173559947)</f>
        <v>355.6497517</v>
      </c>
      <c r="Z906" s="82">
        <f>IFERROR(__xludf.DUMMYFUNCTION("""COMPUTED_VALUE"""),0.7729919169095414)</f>
        <v>0.7729919169</v>
      </c>
      <c r="AA906" s="82">
        <f>IFERROR(__xludf.DUMMYFUNCTION("""COMPUTED_VALUE"""),0.5424986491796837)</f>
        <v>0.5424986492</v>
      </c>
      <c r="AB906" s="82">
        <f>IFERROR(__xludf.DUMMYFUNCTION("""COMPUTED_VALUE"""),1.4668909164838284)</f>
        <v>1.466890916</v>
      </c>
      <c r="AC906" s="82">
        <f>IFERROR(__xludf.DUMMYFUNCTION("""COMPUTED_VALUE"""),2.478111594131709)</f>
        <v>2.478111594</v>
      </c>
      <c r="AD906" s="82">
        <f>IFERROR(__xludf.DUMMYFUNCTION("""COMPUTED_VALUE"""),0.7690150173458521)</f>
        <v>0.7690150173</v>
      </c>
      <c r="AE906" s="82">
        <f>IFERROR(__xludf.DUMMYFUNCTION("""COMPUTED_VALUE"""),0.43122486282394246)</f>
        <v>0.4312248628</v>
      </c>
      <c r="AF906" s="82">
        <f>IFERROR(__xludf.DUMMYFUNCTION("""COMPUTED_VALUE"""),1.2288817081383305)</f>
        <v>1.228881708</v>
      </c>
      <c r="AG906" s="82">
        <f>IFERROR(__xludf.DUMMYFUNCTION("""COMPUTED_VALUE"""),0.45447596625976944)</f>
        <v>0.4544759663</v>
      </c>
      <c r="AH906" s="82">
        <f>IFERROR(__xludf.DUMMYFUNCTION("""COMPUTED_VALUE"""),0.9415771827462421)</f>
        <v>0.9415771827</v>
      </c>
      <c r="AI906" s="82">
        <f>IFERROR(__xludf.DUMMYFUNCTION("""COMPUTED_VALUE"""),0.9785746211264793)</f>
        <v>0.9785746211</v>
      </c>
      <c r="AJ906" s="82">
        <f>IFERROR(__xludf.DUMMYFUNCTION("""COMPUTED_VALUE"""),0.9998133760276594)</f>
        <v>0.999813376</v>
      </c>
      <c r="AK906" s="82">
        <f>IFERROR(__xludf.DUMMYFUNCTION("""COMPUTED_VALUE"""),1.0082647697936593)</f>
        <v>1.00826477</v>
      </c>
      <c r="AL906" s="82">
        <f>IFERROR(__xludf.DUMMYFUNCTION("""COMPUTED_VALUE"""),0.9619042472232828)</f>
        <v>0.9619042472</v>
      </c>
      <c r="AM906" s="82">
        <f>IFERROR(__xludf.DUMMYFUNCTION("""COMPUTED_VALUE"""),0.7445561649877307)</f>
        <v>0.744556165</v>
      </c>
      <c r="AN906" s="82">
        <f>IFERROR(__xludf.DUMMYFUNCTION("""COMPUTED_VALUE"""),0.7754271804813176)</f>
        <v>0.7754271805</v>
      </c>
      <c r="AO906" s="82">
        <f>IFERROR(__xludf.DUMMYFUNCTION("""COMPUTED_VALUE"""),0.4673857975048704)</f>
        <v>0.4673857975</v>
      </c>
      <c r="AP906" s="82">
        <f>IFERROR(__xludf.DUMMYFUNCTION("""COMPUTED_VALUE"""),1.1592661791785237)</f>
        <v>1.159266179</v>
      </c>
      <c r="AQ906" s="82">
        <f>IFERROR(__xludf.DUMMYFUNCTION("""COMPUTED_VALUE"""),0.46733844394304846)</f>
        <v>0.4673384439</v>
      </c>
      <c r="AR906" s="82">
        <f>IFERROR(__xludf.DUMMYFUNCTION("""COMPUTED_VALUE"""),0.9262529022454801)</f>
        <v>0.9262529022</v>
      </c>
      <c r="AS906" s="82">
        <f>IFERROR(__xludf.DUMMYFUNCTION("""COMPUTED_VALUE"""),10.0)</f>
        <v>10</v>
      </c>
      <c r="AT906" s="82">
        <f>IFERROR(__xludf.DUMMYFUNCTION("""COMPUTED_VALUE"""),0.35189795038587734)</f>
        <v>0.3518979504</v>
      </c>
      <c r="AU906" s="82">
        <f>IFERROR(__xludf.DUMMYFUNCTION("""COMPUTED_VALUE"""),1.729707715144186)</f>
        <v>1.729707715</v>
      </c>
      <c r="AV906" s="82">
        <f>IFERROR(__xludf.DUMMYFUNCTION("""COMPUTED_VALUE"""),33.28104917924947)</f>
        <v>33.28104918</v>
      </c>
      <c r="AW906" s="82">
        <f t="shared" si="1"/>
        <v>-3.971012864</v>
      </c>
      <c r="AX906" s="83">
        <f t="array" ref="AX906">IFERROR(DGET('SBV Import'!A:G,"SBV",{"RSC ID","Tier";B906,A906}))</f>
        <v>57.6643092</v>
      </c>
      <c r="AY906" s="82">
        <f t="shared" si="2"/>
        <v>2.634459907</v>
      </c>
      <c r="AZ906" s="82">
        <v>6.6054727710552665</v>
      </c>
      <c r="BA906" s="84">
        <v>800.0</v>
      </c>
      <c r="BB906" s="84" t="b">
        <f>IFERROR(__xludf.DUMMYFUNCTION("iferror(if(A906="""",,E906&gt;=FILTER(Constants!$F$2:$F$10,Constants!$A$2:$A$10=A906)))"),TRUE)</f>
        <v>1</v>
      </c>
    </row>
    <row r="907">
      <c r="A907" s="80" t="str">
        <f>IFERROR(__xludf.DUMMYFUNCTION("""COMPUTED_VALUE"""),"Elite")</f>
        <v>Elite</v>
      </c>
      <c r="B907" s="73" t="str">
        <f>IFERROR(__xludf.DUMMYFUNCTION("""COMPUTED_VALUE"""),"RSC003815")</f>
        <v>RSC003815</v>
      </c>
      <c r="C907" s="73" t="str">
        <f>IFERROR(__xludf.DUMMYFUNCTION("""COMPUTED_VALUE"""),"WashedDonk")</f>
        <v>WashedDonk</v>
      </c>
      <c r="D907" s="73" t="str">
        <f>IFERROR(__xludf.DUMMYFUNCTION("""COMPUTED_VALUE"""),"Geeky Ghouls")</f>
        <v>Geeky Ghouls</v>
      </c>
      <c r="E907" s="82">
        <f>IFERROR(__xludf.DUMMYFUNCTION("""COMPUTED_VALUE"""),13.0)</f>
        <v>13</v>
      </c>
      <c r="F907" s="82">
        <f>IFERROR(__xludf.DUMMYFUNCTION("""COMPUTED_VALUE"""),3.0)</f>
        <v>3</v>
      </c>
      <c r="G907" s="82">
        <f>IFERROR(__xludf.DUMMYFUNCTION("""COMPUTED_VALUE"""),10.0)</f>
        <v>10</v>
      </c>
      <c r="H907" s="86">
        <f>IFERROR(__xludf.DUMMYFUNCTION("""COMPUTED_VALUE"""),0.23076923076923078)</f>
        <v>0.2307692308</v>
      </c>
      <c r="I907" s="86">
        <f>IFERROR(__xludf.DUMMYFUNCTION("""COMPUTED_VALUE"""),0.25)</f>
        <v>0.25</v>
      </c>
      <c r="J907" s="82">
        <f>IFERROR(__xludf.DUMMYFUNCTION("""COMPUTED_VALUE"""),343.15384615384613)</f>
        <v>343.1538462</v>
      </c>
      <c r="K907" s="82">
        <f>IFERROR(__xludf.DUMMYFUNCTION("""COMPUTED_VALUE"""),0.6153846153846154)</f>
        <v>0.6153846154</v>
      </c>
      <c r="L907" s="82">
        <f>IFERROR(__xludf.DUMMYFUNCTION("""COMPUTED_VALUE"""),0.3076923076923077)</f>
        <v>0.3076923077</v>
      </c>
      <c r="M907" s="82">
        <f>IFERROR(__xludf.DUMMYFUNCTION("""COMPUTED_VALUE"""),1.6923076923076923)</f>
        <v>1.692307692</v>
      </c>
      <c r="N907" s="82">
        <f>IFERROR(__xludf.DUMMYFUNCTION("""COMPUTED_VALUE"""),2.4615384615384617)</f>
        <v>2.461538462</v>
      </c>
      <c r="O907" s="82">
        <f>IFERROR(__xludf.DUMMYFUNCTION("""COMPUTED_VALUE"""),395.7435897435897)</f>
        <v>395.7435897</v>
      </c>
      <c r="P907" s="82">
        <f>IFERROR(__xludf.DUMMYFUNCTION("""COMPUTED_VALUE"""),0.9487179487179488)</f>
        <v>0.9487179487</v>
      </c>
      <c r="Q907" s="82">
        <f>IFERROR(__xludf.DUMMYFUNCTION("""COMPUTED_VALUE"""),0.641025641025641)</f>
        <v>0.641025641</v>
      </c>
      <c r="R907" s="82">
        <f>IFERROR(__xludf.DUMMYFUNCTION("""COMPUTED_VALUE"""),1.487179487179487)</f>
        <v>1.487179487</v>
      </c>
      <c r="S907" s="82">
        <f>IFERROR(__xludf.DUMMYFUNCTION("""COMPUTED_VALUE"""),2.871794871794872)</f>
        <v>2.871794872</v>
      </c>
      <c r="T907" s="82">
        <f>IFERROR(__xludf.DUMMYFUNCTION("""COMPUTED_VALUE"""),355.1369289106165)</f>
        <v>355.1369289</v>
      </c>
      <c r="U907" s="82">
        <f>IFERROR(__xludf.DUMMYFUNCTION("""COMPUTED_VALUE"""),0.7468759813603936)</f>
        <v>0.7468759814</v>
      </c>
      <c r="V907" s="82">
        <f>IFERROR(__xludf.DUMMYFUNCTION("""COMPUTED_VALUE"""),0.6159965712665465)</f>
        <v>0.6159965713</v>
      </c>
      <c r="W907" s="82">
        <f>IFERROR(__xludf.DUMMYFUNCTION("""COMPUTED_VALUE"""),1.3623003195755423)</f>
        <v>1.36230032</v>
      </c>
      <c r="X907" s="82">
        <f>IFERROR(__xludf.DUMMYFUNCTION("""COMPUTED_VALUE"""),2.640224911515369)</f>
        <v>2.640224912</v>
      </c>
      <c r="Y907" s="82">
        <f>IFERROR(__xludf.DUMMYFUNCTION("""COMPUTED_VALUE"""),364.64655747298735)</f>
        <v>364.6465575</v>
      </c>
      <c r="Z907" s="82">
        <f>IFERROR(__xludf.DUMMYFUNCTION("""COMPUTED_VALUE"""),0.80203449428653)</f>
        <v>0.8020344943</v>
      </c>
      <c r="AA907" s="82">
        <f>IFERROR(__xludf.DUMMYFUNCTION("""COMPUTED_VALUE"""),0.5839406099279838)</f>
        <v>0.5839406099</v>
      </c>
      <c r="AB907" s="82">
        <f>IFERROR(__xludf.DUMMYFUNCTION("""COMPUTED_VALUE"""),1.3969217993411784)</f>
        <v>1.396921799</v>
      </c>
      <c r="AC907" s="82">
        <f>IFERROR(__xludf.DUMMYFUNCTION("""COMPUTED_VALUE"""),2.688384762555398)</f>
        <v>2.688384763</v>
      </c>
      <c r="AD907" s="82">
        <f>IFERROR(__xludf.DUMMYFUNCTION("""COMPUTED_VALUE"""),0.9410587845170226)</f>
        <v>0.9410587845</v>
      </c>
      <c r="AE907" s="82">
        <f>IFERROR(__xludf.DUMMYFUNCTION("""COMPUTED_VALUE"""),0.7672794870650125)</f>
        <v>0.7672794871</v>
      </c>
      <c r="AF907" s="82">
        <f>IFERROR(__xludf.DUMMYFUNCTION("""COMPUTED_VALUE"""),0.5269239755910362)</f>
        <v>0.5269239756</v>
      </c>
      <c r="AG907" s="82">
        <f>IFERROR(__xludf.DUMMYFUNCTION("""COMPUTED_VALUE"""),1.2114548524518873)</f>
        <v>1.211454852</v>
      </c>
      <c r="AH907" s="82">
        <f>IFERROR(__xludf.DUMMYFUNCTION("""COMPUTED_VALUE"""),0.915619853163685)</f>
        <v>0.9156198532</v>
      </c>
      <c r="AI907" s="82">
        <f>IFERROR(__xludf.DUMMYFUNCTION("""COMPUTED_VALUE"""),1.1143408570816171)</f>
        <v>1.114340857</v>
      </c>
      <c r="AJ907" s="82">
        <f>IFERROR(__xludf.DUMMYFUNCTION("""COMPUTED_VALUE"""),1.270248304129303)</f>
        <v>1.270248304</v>
      </c>
      <c r="AK907" s="82">
        <f>IFERROR(__xludf.DUMMYFUNCTION("""COMPUTED_VALUE"""),1.0406318329136677)</f>
        <v>1.040631833</v>
      </c>
      <c r="AL907" s="82">
        <f>IFERROR(__xludf.DUMMYFUNCTION("""COMPUTED_VALUE"""),1.0916678692719193)</f>
        <v>1.091667869</v>
      </c>
      <c r="AM907" s="82">
        <f>IFERROR(__xludf.DUMMYFUNCTION("""COMPUTED_VALUE"""),1.087708421835393)</f>
        <v>1.087708422</v>
      </c>
      <c r="AN907" s="82">
        <f>IFERROR(__xludf.DUMMYFUNCTION("""COMPUTED_VALUE"""),0.9729097601257651)</f>
        <v>0.9729097601</v>
      </c>
      <c r="AO907" s="82">
        <f>IFERROR(__xludf.DUMMYFUNCTION("""COMPUTED_VALUE"""),0.8628660877012992)</f>
        <v>0.8628660877</v>
      </c>
      <c r="AP907" s="82">
        <f>IFERROR(__xludf.DUMMYFUNCTION("""COMPUTED_VALUE"""),0.5350459288516264)</f>
        <v>0.5350459289</v>
      </c>
      <c r="AQ907" s="82">
        <f>IFERROR(__xludf.DUMMYFUNCTION("""COMPUTED_VALUE"""),1.1863206653938925)</f>
        <v>1.186320665</v>
      </c>
      <c r="AR907" s="82">
        <f>IFERROR(__xludf.DUMMYFUNCTION("""COMPUTED_VALUE"""),0.9771459188523746)</f>
        <v>0.9771459189</v>
      </c>
      <c r="AS907" s="82">
        <f>IFERROR(__xludf.DUMMYFUNCTION("""COMPUTED_VALUE"""),25.0)</f>
        <v>25</v>
      </c>
      <c r="AT907" s="82">
        <f>IFERROR(__xludf.DUMMYFUNCTION("""COMPUTED_VALUE"""),0.3511862585679025)</f>
        <v>0.3511862586</v>
      </c>
      <c r="AU907" s="82">
        <f>IFERROR(__xludf.DUMMYFUNCTION("""COMPUTED_VALUE"""),1.696529075637258)</f>
        <v>1.696529076</v>
      </c>
      <c r="AV907" s="82">
        <f>IFERROR(__xludf.DUMMYFUNCTION("""COMPUTED_VALUE"""),32.34874735482737)</f>
        <v>32.34874735</v>
      </c>
      <c r="AW907" s="82">
        <f t="shared" si="1"/>
        <v>-4.165304454</v>
      </c>
      <c r="AX907" s="83">
        <f t="array" ref="AX907">IFERROR(DGET('SBV Import'!A:G,"SBV",{"RSC ID","Tier";B907,A907}))</f>
        <v>33.72028032</v>
      </c>
      <c r="AY907" s="82">
        <f t="shared" si="2"/>
        <v>-3.884063594</v>
      </c>
      <c r="AZ907" s="82">
        <v>0.2812408593191309</v>
      </c>
      <c r="BA907" s="84">
        <v>800.0</v>
      </c>
      <c r="BB907" s="84" t="b">
        <f>IFERROR(__xludf.DUMMYFUNCTION("iferror(if(A907="""",,E907&gt;=FILTER(Constants!$F$2:$F$10,Constants!$A$2:$A$10=A907)))"),TRUE)</f>
        <v>1</v>
      </c>
    </row>
    <row r="908">
      <c r="A908" s="80" t="str">
        <f>IFERROR(__xludf.DUMMYFUNCTION("""COMPUTED_VALUE"""),"Elite")</f>
        <v>Elite</v>
      </c>
      <c r="B908" s="73" t="str">
        <f>IFERROR(__xludf.DUMMYFUNCTION("""COMPUTED_VALUE"""),"RSC003082")</f>
        <v>RSC003082</v>
      </c>
      <c r="C908" s="73" t="str">
        <f>IFERROR(__xludf.DUMMYFUNCTION("""COMPUTED_VALUE"""),"Skulzy9")</f>
        <v>Skulzy9</v>
      </c>
      <c r="D908" s="73" t="str">
        <f>IFERROR(__xludf.DUMMYFUNCTION("""COMPUTED_VALUE"""),"Drive Bye")</f>
        <v>Drive Bye</v>
      </c>
      <c r="E908" s="82">
        <f>IFERROR(__xludf.DUMMYFUNCTION("""COMPUTED_VALUE"""),16.0)</f>
        <v>16</v>
      </c>
      <c r="F908" s="82">
        <f>IFERROR(__xludf.DUMMYFUNCTION("""COMPUTED_VALUE"""),4.0)</f>
        <v>4</v>
      </c>
      <c r="G908" s="82">
        <f>IFERROR(__xludf.DUMMYFUNCTION("""COMPUTED_VALUE"""),12.0)</f>
        <v>12</v>
      </c>
      <c r="H908" s="86">
        <f>IFERROR(__xludf.DUMMYFUNCTION("""COMPUTED_VALUE"""),0.25)</f>
        <v>0.25</v>
      </c>
      <c r="I908" s="86">
        <f>IFERROR(__xludf.DUMMYFUNCTION("""COMPUTED_VALUE"""),0.18421052631578946)</f>
        <v>0.1842105263</v>
      </c>
      <c r="J908" s="82">
        <f>IFERROR(__xludf.DUMMYFUNCTION("""COMPUTED_VALUE"""),352.25)</f>
        <v>352.25</v>
      </c>
      <c r="K908" s="82">
        <f>IFERROR(__xludf.DUMMYFUNCTION("""COMPUTED_VALUE"""),0.4375)</f>
        <v>0.4375</v>
      </c>
      <c r="L908" s="82">
        <f>IFERROR(__xludf.DUMMYFUNCTION("""COMPUTED_VALUE"""),0.5)</f>
        <v>0.5</v>
      </c>
      <c r="M908" s="82">
        <f>IFERROR(__xludf.DUMMYFUNCTION("""COMPUTED_VALUE"""),1.625)</f>
        <v>1.625</v>
      </c>
      <c r="N908" s="82">
        <f>IFERROR(__xludf.DUMMYFUNCTION("""COMPUTED_VALUE"""),2.375)</f>
        <v>2.375</v>
      </c>
      <c r="O908" s="82">
        <f>IFERROR(__xludf.DUMMYFUNCTION("""COMPUTED_VALUE"""),389.72916666666663)</f>
        <v>389.7291667</v>
      </c>
      <c r="P908" s="82">
        <f>IFERROR(__xludf.DUMMYFUNCTION("""COMPUTED_VALUE"""),0.9375000000000001)</f>
        <v>0.9375</v>
      </c>
      <c r="Q908" s="82">
        <f>IFERROR(__xludf.DUMMYFUNCTION("""COMPUTED_VALUE"""),0.8125000000000001)</f>
        <v>0.8125</v>
      </c>
      <c r="R908" s="82">
        <f>IFERROR(__xludf.DUMMYFUNCTION("""COMPUTED_VALUE"""),1.3125)</f>
        <v>1.3125</v>
      </c>
      <c r="S908" s="82">
        <f>IFERROR(__xludf.DUMMYFUNCTION("""COMPUTED_VALUE"""),3.1249999999999996)</f>
        <v>3.125</v>
      </c>
      <c r="T908" s="82">
        <f>IFERROR(__xludf.DUMMYFUNCTION("""COMPUTED_VALUE"""),361.9531856419384)</f>
        <v>361.9531856</v>
      </c>
      <c r="U908" s="82">
        <f>IFERROR(__xludf.DUMMYFUNCTION("""COMPUTED_VALUE"""),0.7828308988550352)</f>
        <v>0.7828308989</v>
      </c>
      <c r="V908" s="82">
        <f>IFERROR(__xludf.DUMMYFUNCTION("""COMPUTED_VALUE"""),0.611565203668971)</f>
        <v>0.6115652037</v>
      </c>
      <c r="W908" s="82">
        <f>IFERROR(__xludf.DUMMYFUNCTION("""COMPUTED_VALUE"""),1.3905737171744539)</f>
        <v>1.390573717</v>
      </c>
      <c r="X908" s="82">
        <f>IFERROR(__xludf.DUMMYFUNCTION("""COMPUTED_VALUE"""),2.608282630914394)</f>
        <v>2.608282631</v>
      </c>
      <c r="Y908" s="82">
        <f>IFERROR(__xludf.DUMMYFUNCTION("""COMPUTED_VALUE"""),349.1473137369076)</f>
        <v>349.1473137</v>
      </c>
      <c r="Z908" s="82">
        <f>IFERROR(__xludf.DUMMYFUNCTION("""COMPUTED_VALUE"""),0.7485734785783249)</f>
        <v>0.7485734786</v>
      </c>
      <c r="AA908" s="82">
        <f>IFERROR(__xludf.DUMMYFUNCTION("""COMPUTED_VALUE"""),0.5507258756463687)</f>
        <v>0.5507258756</v>
      </c>
      <c r="AB908" s="82">
        <f>IFERROR(__xludf.DUMMYFUNCTION("""COMPUTED_VALUE"""),1.3787450959000163)</f>
        <v>1.378745096</v>
      </c>
      <c r="AC908" s="82">
        <f>IFERROR(__xludf.DUMMYFUNCTION("""COMPUTED_VALUE"""),2.5848863978886243)</f>
        <v>2.584886398</v>
      </c>
      <c r="AD908" s="82">
        <f>IFERROR(__xludf.DUMMYFUNCTION("""COMPUTED_VALUE"""),1.0088864675196394)</f>
        <v>1.008886468</v>
      </c>
      <c r="AE908" s="82">
        <f>IFERROR(__xludf.DUMMYFUNCTION("""COMPUTED_VALUE"""),0.5844449643485778)</f>
        <v>0.5844449643</v>
      </c>
      <c r="AF908" s="82">
        <f>IFERROR(__xludf.DUMMYFUNCTION("""COMPUTED_VALUE"""),0.9078926960044625)</f>
        <v>0.907892696</v>
      </c>
      <c r="AG908" s="82">
        <f>IFERROR(__xludf.DUMMYFUNCTION("""COMPUTED_VALUE"""),1.1786080000083219)</f>
        <v>1.178608</v>
      </c>
      <c r="AH908" s="82">
        <f>IFERROR(__xludf.DUMMYFUNCTION("""COMPUTED_VALUE"""),0.9188024672728121)</f>
        <v>0.9188024673</v>
      </c>
      <c r="AI908" s="82">
        <f>IFERROR(__xludf.DUMMYFUNCTION("""COMPUTED_VALUE"""),1.0767391533672137)</f>
        <v>1.076739153</v>
      </c>
      <c r="AJ908" s="82">
        <f>IFERROR(__xludf.DUMMYFUNCTION("""COMPUTED_VALUE"""),1.1975766431437278)</f>
        <v>1.197576643</v>
      </c>
      <c r="AK908" s="82">
        <f>IFERROR(__xludf.DUMMYFUNCTION("""COMPUTED_VALUE"""),1.3285582553185797)</f>
        <v>1.328558255</v>
      </c>
      <c r="AL908" s="82">
        <f>IFERROR(__xludf.DUMMYFUNCTION("""COMPUTED_VALUE"""),0.9438550317684027)</f>
        <v>0.9438550318</v>
      </c>
      <c r="AM908" s="82">
        <f>IFERROR(__xludf.DUMMYFUNCTION("""COMPUTED_VALUE"""),1.1981063566353076)</f>
        <v>1.198106357</v>
      </c>
      <c r="AN908" s="82">
        <f>IFERROR(__xludf.DUMMYFUNCTION("""COMPUTED_VALUE"""),0.9986991748612217)</f>
        <v>0.9986991749</v>
      </c>
      <c r="AO908" s="82">
        <f>IFERROR(__xludf.DUMMYFUNCTION("""COMPUTED_VALUE"""),0.6134438592251424)</f>
        <v>0.6134438592</v>
      </c>
      <c r="AP908" s="82">
        <f>IFERROR(__xludf.DUMMYFUNCTION("""COMPUTED_VALUE"""),0.8694496343838928)</f>
        <v>0.8694496344</v>
      </c>
      <c r="AQ908" s="82">
        <f>IFERROR(__xludf.DUMMYFUNCTION("""COMPUTED_VALUE"""),1.1391374571111808)</f>
        <v>1.139137457</v>
      </c>
      <c r="AR908" s="82">
        <f>IFERROR(__xludf.DUMMYFUNCTION("""COMPUTED_VALUE"""),0.9427931326427208)</f>
        <v>0.9427931326</v>
      </c>
      <c r="AS908" s="82">
        <f>IFERROR(__xludf.DUMMYFUNCTION("""COMPUTED_VALUE"""),24.0)</f>
        <v>24</v>
      </c>
      <c r="AT908" s="82">
        <f>IFERROR(__xludf.DUMMYFUNCTION("""COMPUTED_VALUE"""),0.2776401600859153)</f>
        <v>0.2776401601</v>
      </c>
      <c r="AU908" s="82">
        <f>IFERROR(__xludf.DUMMYFUNCTION("""COMPUTED_VALUE"""),1.578237253084513)</f>
        <v>1.578237253</v>
      </c>
      <c r="AV908" s="82">
        <f>IFERROR(__xludf.DUMMYFUNCTION("""COMPUTED_VALUE"""),29.02481112299026)</f>
        <v>29.02481112</v>
      </c>
      <c r="AW908" s="82">
        <f t="shared" si="1"/>
        <v>-4.981753456</v>
      </c>
      <c r="AX908" s="83">
        <f t="array" ref="AX908">IFERROR(DGET('SBV Import'!A:G,"SBV",{"RSC ID","Tier";B908,A908}))</f>
        <v>43.89778933</v>
      </c>
      <c r="AY908" s="82">
        <f t="shared" si="2"/>
        <v>-2.47781631</v>
      </c>
      <c r="AZ908" s="82">
        <v>2.503937145452442</v>
      </c>
      <c r="BA908" s="84">
        <v>800.0</v>
      </c>
      <c r="BB908" s="84" t="b">
        <f>IFERROR(__xludf.DUMMYFUNCTION("iferror(if(A908="""",,E908&gt;=FILTER(Constants!$F$2:$F$10,Constants!$A$2:$A$10=A908)))"),TRUE)</f>
        <v>1</v>
      </c>
    </row>
    <row r="909">
      <c r="A909" s="80" t="str">
        <f>IFERROR(__xludf.DUMMYFUNCTION("""COMPUTED_VALUE"""),"Elite")</f>
        <v>Elite</v>
      </c>
      <c r="B909" s="73" t="str">
        <f>IFERROR(__xludf.DUMMYFUNCTION("""COMPUTED_VALUE"""),"RSC003277")</f>
        <v>RSC003277</v>
      </c>
      <c r="C909" s="73" t="str">
        <f>IFERROR(__xludf.DUMMYFUNCTION("""COMPUTED_VALUE"""),"Miikey.RL")</f>
        <v>Miikey.RL</v>
      </c>
      <c r="D909" s="73" t="str">
        <f>IFERROR(__xludf.DUMMYFUNCTION("""COMPUTED_VALUE"""),"Orochi")</f>
        <v>Orochi</v>
      </c>
      <c r="E909" s="82">
        <f>IFERROR(__xludf.DUMMYFUNCTION("""COMPUTED_VALUE"""),23.0)</f>
        <v>23</v>
      </c>
      <c r="F909" s="82">
        <f>IFERROR(__xludf.DUMMYFUNCTION("""COMPUTED_VALUE"""),10.0)</f>
        <v>10</v>
      </c>
      <c r="G909" s="82">
        <f>IFERROR(__xludf.DUMMYFUNCTION("""COMPUTED_VALUE"""),13.0)</f>
        <v>13</v>
      </c>
      <c r="H909" s="86">
        <f>IFERROR(__xludf.DUMMYFUNCTION("""COMPUTED_VALUE"""),0.43478260869565216)</f>
        <v>0.4347826087</v>
      </c>
      <c r="I909" s="86">
        <f>IFERROR(__xludf.DUMMYFUNCTION("""COMPUTED_VALUE"""),0.2040816326530612)</f>
        <v>0.2040816327</v>
      </c>
      <c r="J909" s="82">
        <f>IFERROR(__xludf.DUMMYFUNCTION("""COMPUTED_VALUE"""),291.4782608695652)</f>
        <v>291.4782609</v>
      </c>
      <c r="K909" s="82">
        <f>IFERROR(__xludf.DUMMYFUNCTION("""COMPUTED_VALUE"""),0.43478260869565216)</f>
        <v>0.4347826087</v>
      </c>
      <c r="L909" s="82">
        <f>IFERROR(__xludf.DUMMYFUNCTION("""COMPUTED_VALUE"""),0.391304347826087)</f>
        <v>0.3913043478</v>
      </c>
      <c r="M909" s="82">
        <f>IFERROR(__xludf.DUMMYFUNCTION("""COMPUTED_VALUE"""),1.3043478260869565)</f>
        <v>1.304347826</v>
      </c>
      <c r="N909" s="82">
        <f>IFERROR(__xludf.DUMMYFUNCTION("""COMPUTED_VALUE"""),2.130434782608696)</f>
        <v>2.130434783</v>
      </c>
      <c r="O909" s="82">
        <f>IFERROR(__xludf.DUMMYFUNCTION("""COMPUTED_VALUE"""),355.04347826086956)</f>
        <v>355.0434783</v>
      </c>
      <c r="P909" s="82">
        <f>IFERROR(__xludf.DUMMYFUNCTION("""COMPUTED_VALUE"""),0.710144927536232)</f>
        <v>0.7101449275</v>
      </c>
      <c r="Q909" s="82">
        <f>IFERROR(__xludf.DUMMYFUNCTION("""COMPUTED_VALUE"""),0.5507246376811594)</f>
        <v>0.5507246377</v>
      </c>
      <c r="R909" s="82">
        <f>IFERROR(__xludf.DUMMYFUNCTION("""COMPUTED_VALUE"""),1.420289855072464)</f>
        <v>1.420289855</v>
      </c>
      <c r="S909" s="82">
        <f>IFERROR(__xludf.DUMMYFUNCTION("""COMPUTED_VALUE"""),2.7536231884057965)</f>
        <v>2.753623188</v>
      </c>
      <c r="T909" s="82">
        <f>IFERROR(__xludf.DUMMYFUNCTION("""COMPUTED_VALUE"""),371.23410262313433)</f>
        <v>371.2341026</v>
      </c>
      <c r="U909" s="82">
        <f>IFERROR(__xludf.DUMMYFUNCTION("""COMPUTED_VALUE"""),0.8009518642974215)</f>
        <v>0.8009518643</v>
      </c>
      <c r="V909" s="82">
        <f>IFERROR(__xludf.DUMMYFUNCTION("""COMPUTED_VALUE"""),0.6050096496021871)</f>
        <v>0.6050096496</v>
      </c>
      <c r="W909" s="82">
        <f>IFERROR(__xludf.DUMMYFUNCTION("""COMPUTED_VALUE"""),1.421571091661574)</f>
        <v>1.421571092</v>
      </c>
      <c r="X909" s="82">
        <f>IFERROR(__xludf.DUMMYFUNCTION("""COMPUTED_VALUE"""),2.79892286621172)</f>
        <v>2.798922866</v>
      </c>
      <c r="Y909" s="82">
        <f>IFERROR(__xludf.DUMMYFUNCTION("""COMPUTED_VALUE"""),354.2212645698068)</f>
        <v>354.2212646</v>
      </c>
      <c r="Z909" s="82">
        <f>IFERROR(__xludf.DUMMYFUNCTION("""COMPUTED_VALUE"""),0.7075251027749365)</f>
        <v>0.7075251028</v>
      </c>
      <c r="AA909" s="82">
        <f>IFERROR(__xludf.DUMMYFUNCTION("""COMPUTED_VALUE"""),0.5264679209350654)</f>
        <v>0.5264679209</v>
      </c>
      <c r="AB909" s="82">
        <f>IFERROR(__xludf.DUMMYFUNCTION("""COMPUTED_VALUE"""),1.508243382757261)</f>
        <v>1.508243383</v>
      </c>
      <c r="AC909" s="82">
        <f>IFERROR(__xludf.DUMMYFUNCTION("""COMPUTED_VALUE"""),2.549050723542139)</f>
        <v>2.549050724</v>
      </c>
      <c r="AD909" s="82">
        <f>IFERROR(__xludf.DUMMYFUNCTION("""COMPUTED_VALUE"""),0.8228705897246416)</f>
        <v>0.8228705897</v>
      </c>
      <c r="AE909" s="82">
        <f>IFERROR(__xludf.DUMMYFUNCTION("""COMPUTED_VALUE"""),0.6145119190689073)</f>
        <v>0.6145119191</v>
      </c>
      <c r="AF909" s="82">
        <f>IFERROR(__xludf.DUMMYFUNCTION("""COMPUTED_VALUE"""),0.7432634207438262)</f>
        <v>0.7432634207</v>
      </c>
      <c r="AG909" s="82">
        <f>IFERROR(__xludf.DUMMYFUNCTION("""COMPUTED_VALUE"""),0.8648125634089922)</f>
        <v>0.8648125634</v>
      </c>
      <c r="AH909" s="82">
        <f>IFERROR(__xludf.DUMMYFUNCTION("""COMPUTED_VALUE"""),0.8357757509227836)</f>
        <v>0.8357757509</v>
      </c>
      <c r="AI909" s="82">
        <f>IFERROR(__xludf.DUMMYFUNCTION("""COMPUTED_VALUE"""),0.9563870230459377)</f>
        <v>0.956387023</v>
      </c>
      <c r="AJ909" s="82">
        <f>IFERROR(__xludf.DUMMYFUNCTION("""COMPUTED_VALUE"""),0.8866262246098354)</f>
        <v>0.8866262246</v>
      </c>
      <c r="AK909" s="82">
        <f>IFERROR(__xludf.DUMMYFUNCTION("""COMPUTED_VALUE"""),0.9102741386741158)</f>
        <v>0.9102741387</v>
      </c>
      <c r="AL909" s="82">
        <f>IFERROR(__xludf.DUMMYFUNCTION("""COMPUTED_VALUE"""),0.9990987178927418)</f>
        <v>0.9990987179</v>
      </c>
      <c r="AM909" s="82">
        <f>IFERROR(__xludf.DUMMYFUNCTION("""COMPUTED_VALUE"""),0.9838153175449114)</f>
        <v>0.9838153175</v>
      </c>
      <c r="AN909" s="82">
        <f>IFERROR(__xludf.DUMMYFUNCTION("""COMPUTED_VALUE"""),0.826399144415667)</f>
        <v>0.8263991444</v>
      </c>
      <c r="AO909" s="82">
        <f>IFERROR(__xludf.DUMMYFUNCTION("""COMPUTED_VALUE"""),0.6096336489193962)</f>
        <v>0.6096336489</v>
      </c>
      <c r="AP909" s="82">
        <f>IFERROR(__xludf.DUMMYFUNCTION("""COMPUTED_VALUE"""),0.6804388443004379)</f>
        <v>0.6804388443</v>
      </c>
      <c r="AQ909" s="82">
        <f>IFERROR(__xludf.DUMMYFUNCTION("""COMPUTED_VALUE"""),0.9143578251059645)</f>
        <v>0.9143578251</v>
      </c>
      <c r="AR909" s="82">
        <f>IFERROR(__xludf.DUMMYFUNCTION("""COMPUTED_VALUE"""),0.8457091716154383)</f>
        <v>0.8457091716</v>
      </c>
      <c r="AS909" s="82">
        <f>IFERROR(__xludf.DUMMYFUNCTION("""COMPUTED_VALUE"""),48.0)</f>
        <v>48</v>
      </c>
      <c r="AT909" s="82">
        <f>IFERROR(__xludf.DUMMYFUNCTION("""COMPUTED_VALUE"""),0.49220948609017595)</f>
        <v>0.4922094861</v>
      </c>
      <c r="AU909" s="82">
        <f>IFERROR(__xludf.DUMMYFUNCTION("""COMPUTED_VALUE"""),1.576486278470812)</f>
        <v>1.576486278</v>
      </c>
      <c r="AV909" s="82">
        <f>IFERROR(__xludf.DUMMYFUNCTION("""COMPUTED_VALUE"""),28.97560968341558)</f>
        <v>28.97560968</v>
      </c>
      <c r="AW909" s="82">
        <f t="shared" si="1"/>
        <v>-4.995484123</v>
      </c>
      <c r="AX909" s="83">
        <f t="array" ref="AX909">IFERROR(DGET('SBV Import'!A:G,"SBV",{"RSC ID","Tier";B909,A909}))</f>
        <v>21.31106208</v>
      </c>
      <c r="AY909" s="82">
        <f t="shared" si="2"/>
        <v>-7.963328039</v>
      </c>
      <c r="AZ909" s="82">
        <v>2.967843916283524</v>
      </c>
      <c r="BA909" s="84">
        <v>800.0</v>
      </c>
      <c r="BB909" s="84" t="b">
        <f>IFERROR(__xludf.DUMMYFUNCTION("iferror(if(A909="""",,E909&gt;=FILTER(Constants!$F$2:$F$10,Constants!$A$2:$A$10=A909)))"),TRUE)</f>
        <v>1</v>
      </c>
    </row>
    <row r="910">
      <c r="A910" s="80" t="str">
        <f>IFERROR(__xludf.DUMMYFUNCTION("""COMPUTED_VALUE"""),"Elite")</f>
        <v>Elite</v>
      </c>
      <c r="B910" s="73" t="str">
        <f>IFERROR(__xludf.DUMMYFUNCTION("""COMPUTED_VALUE"""),"RSC004820")</f>
        <v>RSC004820</v>
      </c>
      <c r="C910" s="73" t="str">
        <f>IFERROR(__xludf.DUMMYFUNCTION("""COMPUTED_VALUE"""),"AoS Arctic")</f>
        <v>AoS Arctic</v>
      </c>
      <c r="D910" s="73" t="str">
        <f>IFERROR(__xludf.DUMMYFUNCTION("""COMPUTED_VALUE"""),"Summoned")</f>
        <v>Summoned</v>
      </c>
      <c r="E910" s="82">
        <f>IFERROR(__xludf.DUMMYFUNCTION("""COMPUTED_VALUE"""),27.0)</f>
        <v>27</v>
      </c>
      <c r="F910" s="82">
        <f>IFERROR(__xludf.DUMMYFUNCTION("""COMPUTED_VALUE"""),11.0)</f>
        <v>11</v>
      </c>
      <c r="G910" s="82">
        <f>IFERROR(__xludf.DUMMYFUNCTION("""COMPUTED_VALUE"""),16.0)</f>
        <v>16</v>
      </c>
      <c r="H910" s="86">
        <f>IFERROR(__xludf.DUMMYFUNCTION("""COMPUTED_VALUE"""),0.4074074074074074)</f>
        <v>0.4074074074</v>
      </c>
      <c r="I910" s="86">
        <f>IFERROR(__xludf.DUMMYFUNCTION("""COMPUTED_VALUE"""),0.2826086956521739)</f>
        <v>0.2826086957</v>
      </c>
      <c r="J910" s="82">
        <f>IFERROR(__xludf.DUMMYFUNCTION("""COMPUTED_VALUE"""),310.69565217391306)</f>
        <v>310.6956522</v>
      </c>
      <c r="K910" s="82">
        <f>IFERROR(__xludf.DUMMYFUNCTION("""COMPUTED_VALUE"""),0.5652173913043478)</f>
        <v>0.5652173913</v>
      </c>
      <c r="L910" s="82">
        <f>IFERROR(__xludf.DUMMYFUNCTION("""COMPUTED_VALUE"""),0.43478260869565216)</f>
        <v>0.4347826087</v>
      </c>
      <c r="M910" s="82">
        <f>IFERROR(__xludf.DUMMYFUNCTION("""COMPUTED_VALUE"""),1.3043478260869565)</f>
        <v>1.304347826</v>
      </c>
      <c r="N910" s="82">
        <f>IFERROR(__xludf.DUMMYFUNCTION("""COMPUTED_VALUE"""),2.0)</f>
        <v>2</v>
      </c>
      <c r="O910" s="82">
        <f>IFERROR(__xludf.DUMMYFUNCTION("""COMPUTED_VALUE"""),355.8115942028986)</f>
        <v>355.8115942</v>
      </c>
      <c r="P910" s="82">
        <f>IFERROR(__xludf.DUMMYFUNCTION("""COMPUTED_VALUE"""),0.9130434782608695)</f>
        <v>0.9130434783</v>
      </c>
      <c r="Q910" s="82">
        <f>IFERROR(__xludf.DUMMYFUNCTION("""COMPUTED_VALUE"""),0.6231884057971014)</f>
        <v>0.6231884058</v>
      </c>
      <c r="R910" s="82">
        <f>IFERROR(__xludf.DUMMYFUNCTION("""COMPUTED_VALUE"""),1.0869565217391308)</f>
        <v>1.086956522</v>
      </c>
      <c r="S910" s="82">
        <f>IFERROR(__xludf.DUMMYFUNCTION("""COMPUTED_VALUE"""),2.8115942028985508)</f>
        <v>2.811594203</v>
      </c>
      <c r="T910" s="82">
        <f>IFERROR(__xludf.DUMMYFUNCTION("""COMPUTED_VALUE"""),366.69324854249913)</f>
        <v>366.6932485</v>
      </c>
      <c r="U910" s="82">
        <f>IFERROR(__xludf.DUMMYFUNCTION("""COMPUTED_VALUE"""),0.7904072754403308)</f>
        <v>0.7904072754</v>
      </c>
      <c r="V910" s="82">
        <f>IFERROR(__xludf.DUMMYFUNCTION("""COMPUTED_VALUE"""),0.5843248154945246)</f>
        <v>0.5843248155</v>
      </c>
      <c r="W910" s="82">
        <f>IFERROR(__xludf.DUMMYFUNCTION("""COMPUTED_VALUE"""),1.4091254835977243)</f>
        <v>1.409125484</v>
      </c>
      <c r="X910" s="82">
        <f>IFERROR(__xludf.DUMMYFUNCTION("""COMPUTED_VALUE"""),2.75895881553984)</f>
        <v>2.758958816</v>
      </c>
      <c r="Y910" s="82">
        <f>IFERROR(__xludf.DUMMYFUNCTION("""COMPUTED_VALUE"""),367.63085178586834)</f>
        <v>367.6308518</v>
      </c>
      <c r="Z910" s="82">
        <f>IFERROR(__xludf.DUMMYFUNCTION("""COMPUTED_VALUE"""),0.8019017303719179)</f>
        <v>0.8019017304</v>
      </c>
      <c r="AA910" s="82">
        <f>IFERROR(__xludf.DUMMYFUNCTION("""COMPUTED_VALUE"""),0.604072327100274)</f>
        <v>0.6040723271</v>
      </c>
      <c r="AB910" s="82">
        <f>IFERROR(__xludf.DUMMYFUNCTION("""COMPUTED_VALUE"""),1.49658210902733)</f>
        <v>1.496582109</v>
      </c>
      <c r="AC910" s="82">
        <f>IFERROR(__xludf.DUMMYFUNCTION("""COMPUTED_VALUE"""),2.606273129846991)</f>
        <v>2.60627313</v>
      </c>
      <c r="AD910" s="82">
        <f>IFERROR(__xludf.DUMMYFUNCTION("""COMPUTED_VALUE"""),0.8451294298740794)</f>
        <v>0.8451294299</v>
      </c>
      <c r="AE910" s="82">
        <f>IFERROR(__xludf.DUMMYFUNCTION("""COMPUTED_VALUE"""),0.7048462048363493)</f>
        <v>0.7048462048</v>
      </c>
      <c r="AF910" s="82">
        <f>IFERROR(__xludf.DUMMYFUNCTION("""COMPUTED_VALUE"""),0.7197525680124057)</f>
        <v>0.719752568</v>
      </c>
      <c r="AG910" s="82">
        <f>IFERROR(__xludf.DUMMYFUNCTION("""COMPUTED_VALUE"""),0.8715511285476266)</f>
        <v>0.8715511285</v>
      </c>
      <c r="AH910" s="82">
        <f>IFERROR(__xludf.DUMMYFUNCTION("""COMPUTED_VALUE"""),0.7673792808190505)</f>
        <v>0.7673792808</v>
      </c>
      <c r="AI910" s="82">
        <f>IFERROR(__xludf.DUMMYFUNCTION("""COMPUTED_VALUE"""),0.9703249122179043)</f>
        <v>0.9703249122</v>
      </c>
      <c r="AJ910" s="82">
        <f>IFERROR(__xludf.DUMMYFUNCTION("""COMPUTED_VALUE"""),1.1551557110253303)</f>
        <v>1.155155711</v>
      </c>
      <c r="AK910" s="82">
        <f>IFERROR(__xludf.DUMMYFUNCTION("""COMPUTED_VALUE"""),1.0665102512712656)</f>
        <v>1.066510251</v>
      </c>
      <c r="AL910" s="82">
        <f>IFERROR(__xludf.DUMMYFUNCTION("""COMPUTED_VALUE"""),0.7713695723988724)</f>
        <v>0.7713695724</v>
      </c>
      <c r="AM910" s="82">
        <f>IFERROR(__xludf.DUMMYFUNCTION("""COMPUTED_VALUE"""),1.0190779895162776)</f>
        <v>1.01907799</v>
      </c>
      <c r="AN910" s="82">
        <f>IFERROR(__xludf.DUMMYFUNCTION("""COMPUTED_VALUE"""),0.88088429087028)</f>
        <v>0.8808842909</v>
      </c>
      <c r="AO910" s="82">
        <f>IFERROR(__xludf.DUMMYFUNCTION("""COMPUTED_VALUE"""),0.792523743595215)</f>
        <v>0.7925237436</v>
      </c>
      <c r="AP910" s="82">
        <f>IFERROR(__xludf.DUMMYFUNCTION("""COMPUTED_VALUE"""),0.7560431603338198)</f>
        <v>0.7560431603</v>
      </c>
      <c r="AQ910" s="82">
        <f>IFERROR(__xludf.DUMMYFUNCTION("""COMPUTED_VALUE"""),0.9143578251059645)</f>
        <v>0.9143578251</v>
      </c>
      <c r="AR910" s="82">
        <f>IFERROR(__xludf.DUMMYFUNCTION("""COMPUTED_VALUE"""),0.7939310590675543)</f>
        <v>0.7939310591</v>
      </c>
      <c r="AS910" s="82">
        <f>IFERROR(__xludf.DUMMYFUNCTION("""COMPUTED_VALUE"""),51.0)</f>
        <v>51</v>
      </c>
      <c r="AT910" s="82">
        <f>IFERROR(__xludf.DUMMYFUNCTION("""COMPUTED_VALUE"""),0.35964497680758206)</f>
        <v>0.3596449768</v>
      </c>
      <c r="AU910" s="82">
        <f>IFERROR(__xludf.DUMMYFUNCTION("""COMPUTED_VALUE"""),1.5738077651839257)</f>
        <v>1.573807765</v>
      </c>
      <c r="AV910" s="82">
        <f>IFERROR(__xludf.DUMMYFUNCTION("""COMPUTED_VALUE"""),28.90034490881319)</f>
        <v>28.90034491</v>
      </c>
      <c r="AW910" s="82">
        <f t="shared" si="1"/>
        <v>-5.016590931</v>
      </c>
      <c r="AX910" s="83">
        <f t="array" ref="AX910">IFERROR(DGET('SBV Import'!A:G,"SBV",{"RSC ID","Tier";B910,A910}))</f>
        <v>29.09981212</v>
      </c>
      <c r="AY910" s="82">
        <f t="shared" si="2"/>
        <v>-4.960924345</v>
      </c>
      <c r="AZ910" s="82">
        <v>0.055666586086814185</v>
      </c>
      <c r="BA910" s="84">
        <v>800.0</v>
      </c>
      <c r="BB910" s="84" t="b">
        <f>IFERROR(__xludf.DUMMYFUNCTION("iferror(if(A910="""",,E910&gt;=FILTER(Constants!$F$2:$F$10,Constants!$A$2:$A$10=A910)))"),TRUE)</f>
        <v>1</v>
      </c>
    </row>
    <row r="911">
      <c r="A911" s="80" t="str">
        <f>IFERROR(__xludf.DUMMYFUNCTION("""COMPUTED_VALUE"""),"Elite")</f>
        <v>Elite</v>
      </c>
      <c r="B911" s="73" t="str">
        <f>IFERROR(__xludf.DUMMYFUNCTION("""COMPUTED_VALUE"""),"RSC000690")</f>
        <v>RSC000690</v>
      </c>
      <c r="C911" s="73" t="str">
        <f>IFERROR(__xludf.DUMMYFUNCTION("""COMPUTED_VALUE"""),"paco")</f>
        <v>paco</v>
      </c>
      <c r="D911" s="73" t="str">
        <f>IFERROR(__xludf.DUMMYFUNCTION("""COMPUTED_VALUE"""),"Drive Bye")</f>
        <v>Drive Bye</v>
      </c>
      <c r="E911" s="82">
        <f>IFERROR(__xludf.DUMMYFUNCTION("""COMPUTED_VALUE"""),17.0)</f>
        <v>17</v>
      </c>
      <c r="F911" s="82">
        <f>IFERROR(__xludf.DUMMYFUNCTION("""COMPUTED_VALUE"""),7.0)</f>
        <v>7</v>
      </c>
      <c r="G911" s="82">
        <f>IFERROR(__xludf.DUMMYFUNCTION("""COMPUTED_VALUE"""),10.0)</f>
        <v>10</v>
      </c>
      <c r="H911" s="86">
        <f>IFERROR(__xludf.DUMMYFUNCTION("""COMPUTED_VALUE"""),0.4117647058823529)</f>
        <v>0.4117647059</v>
      </c>
      <c r="I911" s="86">
        <f>IFERROR(__xludf.DUMMYFUNCTION("""COMPUTED_VALUE"""),0.3225806451612903)</f>
        <v>0.3225806452</v>
      </c>
      <c r="J911" s="82">
        <f>IFERROR(__xludf.DUMMYFUNCTION("""COMPUTED_VALUE"""),323.6470588235294)</f>
        <v>323.6470588</v>
      </c>
      <c r="K911" s="82">
        <f>IFERROR(__xludf.DUMMYFUNCTION("""COMPUTED_VALUE"""),0.5882352941176471)</f>
        <v>0.5882352941</v>
      </c>
      <c r="L911" s="82">
        <f>IFERROR(__xludf.DUMMYFUNCTION("""COMPUTED_VALUE"""),0.47058823529411764)</f>
        <v>0.4705882353</v>
      </c>
      <c r="M911" s="82">
        <f>IFERROR(__xludf.DUMMYFUNCTION("""COMPUTED_VALUE"""),1.5294117647058822)</f>
        <v>1.529411765</v>
      </c>
      <c r="N911" s="82">
        <f>IFERROR(__xludf.DUMMYFUNCTION("""COMPUTED_VALUE"""),1.8235294117647058)</f>
        <v>1.823529412</v>
      </c>
      <c r="O911" s="82">
        <f>IFERROR(__xludf.DUMMYFUNCTION("""COMPUTED_VALUE"""),398.21568627450984)</f>
        <v>398.2156863</v>
      </c>
      <c r="P911" s="82">
        <f>IFERROR(__xludf.DUMMYFUNCTION("""COMPUTED_VALUE"""),0.9411764705882355)</f>
        <v>0.9411764706</v>
      </c>
      <c r="Q911" s="82">
        <f>IFERROR(__xludf.DUMMYFUNCTION("""COMPUTED_VALUE"""),0.7254901960784315)</f>
        <v>0.7254901961</v>
      </c>
      <c r="R911" s="82">
        <f>IFERROR(__xludf.DUMMYFUNCTION("""COMPUTED_VALUE"""),1.3333333333333335)</f>
        <v>1.333333333</v>
      </c>
      <c r="S911" s="82">
        <f>IFERROR(__xludf.DUMMYFUNCTION("""COMPUTED_VALUE"""),3.372549019607843)</f>
        <v>3.37254902</v>
      </c>
      <c r="T911" s="82">
        <f>IFERROR(__xludf.DUMMYFUNCTION("""COMPUTED_VALUE"""),365.1073956148713)</f>
        <v>365.1073956</v>
      </c>
      <c r="U911" s="82">
        <f>IFERROR(__xludf.DUMMYFUNCTION("""COMPUTED_VALUE"""),0.8077079767225682)</f>
        <v>0.8077079767</v>
      </c>
      <c r="V911" s="82">
        <f>IFERROR(__xludf.DUMMYFUNCTION("""COMPUTED_VALUE"""),0.6131960150183011)</f>
        <v>0.613196015</v>
      </c>
      <c r="W911" s="82">
        <f>IFERROR(__xludf.DUMMYFUNCTION("""COMPUTED_VALUE"""),1.3452928588275048)</f>
        <v>1.345292859</v>
      </c>
      <c r="X911" s="82">
        <f>IFERROR(__xludf.DUMMYFUNCTION("""COMPUTED_VALUE"""),2.8323826615294263)</f>
        <v>2.832382662</v>
      </c>
      <c r="Y911" s="82">
        <f>IFERROR(__xludf.DUMMYFUNCTION("""COMPUTED_VALUE"""),358.0671952699641)</f>
        <v>358.0671953</v>
      </c>
      <c r="Z911" s="82">
        <f>IFERROR(__xludf.DUMMYFUNCTION("""COMPUTED_VALUE"""),0.7332584227641916)</f>
        <v>0.7332584228</v>
      </c>
      <c r="AA911" s="82">
        <f>IFERROR(__xludf.DUMMYFUNCTION("""COMPUTED_VALUE"""),0.5563061307090619)</f>
        <v>0.5563061307</v>
      </c>
      <c r="AB911" s="82">
        <f>IFERROR(__xludf.DUMMYFUNCTION("""COMPUTED_VALUE"""),1.4997399660173105)</f>
        <v>1.499739966</v>
      </c>
      <c r="AC911" s="82">
        <f>IFERROR(__xludf.DUMMYFUNCTION("""COMPUTED_VALUE"""),2.504872144600384)</f>
        <v>2.504872145</v>
      </c>
      <c r="AD911" s="82">
        <f>IFERROR(__xludf.DUMMYFUNCTION("""COMPUTED_VALUE"""),0.9038724102595221)</f>
        <v>0.9038724103</v>
      </c>
      <c r="AE911" s="82">
        <f>IFERROR(__xludf.DUMMYFUNCTION("""COMPUTED_VALUE"""),0.8022209849293712)</f>
        <v>0.8022209849</v>
      </c>
      <c r="AF911" s="82">
        <f>IFERROR(__xludf.DUMMYFUNCTION("""COMPUTED_VALUE"""),0.8459159612250019)</f>
        <v>0.8459159612</v>
      </c>
      <c r="AG911" s="82">
        <f>IFERROR(__xludf.DUMMYFUNCTION("""COMPUTED_VALUE"""),1.0197846289096155)</f>
        <v>1.019784629</v>
      </c>
      <c r="AH911" s="82">
        <f>IFERROR(__xludf.DUMMYFUNCTION("""COMPUTED_VALUE"""),0.7279930098211155)</f>
        <v>0.7279930098</v>
      </c>
      <c r="AI911" s="82">
        <f>IFERROR(__xludf.DUMMYFUNCTION("""COMPUTED_VALUE"""),1.0906809641691355)</f>
        <v>1.090680964</v>
      </c>
      <c r="AJ911" s="82">
        <f>IFERROR(__xludf.DUMMYFUNCTION("""COMPUTED_VALUE"""),1.165243501007928)</f>
        <v>1.165243501</v>
      </c>
      <c r="AK911" s="82">
        <f>IFERROR(__xludf.DUMMYFUNCTION("""COMPUTED_VALUE"""),1.1831293392485254)</f>
        <v>1.183129339</v>
      </c>
      <c r="AL911" s="82">
        <f>IFERROR(__xludf.DUMMYFUNCTION("""COMPUTED_VALUE"""),0.9911100951620343)</f>
        <v>0.9911100952</v>
      </c>
      <c r="AM911" s="82">
        <f>IFERROR(__xludf.DUMMYFUNCTION("""COMPUTED_VALUE"""),1.1907109393851247)</f>
        <v>1.190710939</v>
      </c>
      <c r="AN911" s="82">
        <f>IFERROR(__xludf.DUMMYFUNCTION("""COMPUTED_VALUE"""),0.9176041180789782)</f>
        <v>0.9176041181</v>
      </c>
      <c r="AO911" s="82">
        <f>IFERROR(__xludf.DUMMYFUNCTION("""COMPUTED_VALUE"""),0.8247984661850655)</f>
        <v>0.8247984662</v>
      </c>
      <c r="AP911" s="82">
        <f>IFERROR(__xludf.DUMMYFUNCTION("""COMPUTED_VALUE"""),0.8183055382436637)</f>
        <v>0.8183055382</v>
      </c>
      <c r="AQ911" s="82">
        <f>IFERROR(__xludf.DUMMYFUNCTION("""COMPUTED_VALUE"""),1.0721293713987583)</f>
        <v>1.072129371</v>
      </c>
      <c r="AR911" s="82">
        <f>IFERROR(__xludf.DUMMYFUNCTION("""COMPUTED_VALUE"""),0.7238783185615936)</f>
        <v>0.7238783186</v>
      </c>
      <c r="AS911" s="82">
        <f>IFERROR(__xludf.DUMMYFUNCTION("""COMPUTED_VALUE"""),34.0)</f>
        <v>34</v>
      </c>
      <c r="AT911" s="82">
        <f>IFERROR(__xludf.DUMMYFUNCTION("""COMPUTED_VALUE"""),0.36779651489378573)</f>
        <v>0.3677965149</v>
      </c>
      <c r="AU911" s="82">
        <f>IFERROR(__xludf.DUMMYFUNCTION("""COMPUTED_VALUE"""),1.5480328501275329)</f>
        <v>1.54803285</v>
      </c>
      <c r="AV911" s="82">
        <f>IFERROR(__xludf.DUMMYFUNCTION("""COMPUTED_VALUE"""),28.176083736911245)</f>
        <v>28.17608374</v>
      </c>
      <c r="AW911" s="82">
        <f t="shared" si="1"/>
        <v>-5.226207148</v>
      </c>
      <c r="AX911" s="83">
        <f t="array" ref="AX911">IFERROR(DGET('SBV Import'!A:G,"SBV",{"RSC ID","Tier";B911,A911}))</f>
        <v>22.50011431</v>
      </c>
      <c r="AY911" s="82">
        <f t="shared" si="2"/>
        <v>-7.370986163</v>
      </c>
      <c r="AZ911" s="82">
        <v>2.144779014646219</v>
      </c>
      <c r="BA911" s="84">
        <v>800.0</v>
      </c>
      <c r="BB911" s="84" t="b">
        <f>IFERROR(__xludf.DUMMYFUNCTION("iferror(if(A911="""",,E911&gt;=FILTER(Constants!$F$2:$F$10,Constants!$A$2:$A$10=A911)))"),TRUE)</f>
        <v>1</v>
      </c>
    </row>
    <row r="912">
      <c r="A912" s="80" t="str">
        <f>IFERROR(__xludf.DUMMYFUNCTION("""COMPUTED_VALUE"""),"Elite")</f>
        <v>Elite</v>
      </c>
      <c r="B912" s="73" t="str">
        <f>IFERROR(__xludf.DUMMYFUNCTION("""COMPUTED_VALUE"""),"RSC004239")</f>
        <v>RSC004239</v>
      </c>
      <c r="C912" s="73" t="str">
        <f>IFERROR(__xludf.DUMMYFUNCTION("""COMPUTED_VALUE"""),"Nitro")</f>
        <v>Nitro</v>
      </c>
      <c r="D912" s="73" t="str">
        <f>IFERROR(__xludf.DUMMYFUNCTION("""COMPUTED_VALUE"""),"Slots")</f>
        <v>Slots</v>
      </c>
      <c r="E912" s="82">
        <f>IFERROR(__xludf.DUMMYFUNCTION("""COMPUTED_VALUE"""),4.0)</f>
        <v>4</v>
      </c>
      <c r="F912" s="82">
        <f>IFERROR(__xludf.DUMMYFUNCTION("""COMPUTED_VALUE"""),0.0)</f>
        <v>0</v>
      </c>
      <c r="G912" s="82">
        <f>IFERROR(__xludf.DUMMYFUNCTION("""COMPUTED_VALUE"""),4.0)</f>
        <v>4</v>
      </c>
      <c r="H912" s="86">
        <f>IFERROR(__xludf.DUMMYFUNCTION("""COMPUTED_VALUE"""),0.0)</f>
        <v>0</v>
      </c>
      <c r="I912" s="86">
        <f>IFERROR(__xludf.DUMMYFUNCTION("""COMPUTED_VALUE"""),0.1)</f>
        <v>0.1</v>
      </c>
      <c r="J912" s="82">
        <f>IFERROR(__xludf.DUMMYFUNCTION("""COMPUTED_VALUE"""),390.25)</f>
        <v>390.25</v>
      </c>
      <c r="K912" s="82">
        <f>IFERROR(__xludf.DUMMYFUNCTION("""COMPUTED_VALUE"""),0.25)</f>
        <v>0.25</v>
      </c>
      <c r="L912" s="82">
        <f>IFERROR(__xludf.DUMMYFUNCTION("""COMPUTED_VALUE"""),0.75)</f>
        <v>0.75</v>
      </c>
      <c r="M912" s="82">
        <f>IFERROR(__xludf.DUMMYFUNCTION("""COMPUTED_VALUE"""),2.5)</f>
        <v>2.5</v>
      </c>
      <c r="N912" s="82">
        <f>IFERROR(__xludf.DUMMYFUNCTION("""COMPUTED_VALUE"""),2.5)</f>
        <v>2.5</v>
      </c>
      <c r="O912" s="82">
        <f>IFERROR(__xludf.DUMMYFUNCTION("""COMPUTED_VALUE"""),443.5)</f>
        <v>443.5</v>
      </c>
      <c r="P912" s="82">
        <f>IFERROR(__xludf.DUMMYFUNCTION("""COMPUTED_VALUE"""),1.3333333333333333)</f>
        <v>1.333333333</v>
      </c>
      <c r="Q912" s="82">
        <f>IFERROR(__xludf.DUMMYFUNCTION("""COMPUTED_VALUE"""),0.9166666666666666)</f>
        <v>0.9166666667</v>
      </c>
      <c r="R912" s="82">
        <f>IFERROR(__xludf.DUMMYFUNCTION("""COMPUTED_VALUE"""),1.0833333333333335)</f>
        <v>1.083333333</v>
      </c>
      <c r="S912" s="82">
        <f>IFERROR(__xludf.DUMMYFUNCTION("""COMPUTED_VALUE"""),4.166666666666667)</f>
        <v>4.166666667</v>
      </c>
      <c r="T912" s="82">
        <f>IFERROR(__xludf.DUMMYFUNCTION("""COMPUTED_VALUE"""),378.76712749615973)</f>
        <v>378.7671275</v>
      </c>
      <c r="U912" s="82">
        <f>IFERROR(__xludf.DUMMYFUNCTION("""COMPUTED_VALUE"""),0.8688172043010752)</f>
        <v>0.8688172043</v>
      </c>
      <c r="V912" s="82">
        <f>IFERROR(__xludf.DUMMYFUNCTION("""COMPUTED_VALUE"""),0.6018433179723502)</f>
        <v>0.601843318</v>
      </c>
      <c r="W912" s="82">
        <f>IFERROR(__xludf.DUMMYFUNCTION("""COMPUTED_VALUE"""),1.4202764976958526)</f>
        <v>1.420276498</v>
      </c>
      <c r="X912" s="82">
        <f>IFERROR(__xludf.DUMMYFUNCTION("""COMPUTED_VALUE"""),2.97357910906298)</f>
        <v>2.973579109</v>
      </c>
      <c r="Y912" s="82">
        <f>IFERROR(__xludf.DUMMYFUNCTION("""COMPUTED_VALUE"""),351.02478238607273)</f>
        <v>351.0247824</v>
      </c>
      <c r="Z912" s="82">
        <f>IFERROR(__xludf.DUMMYFUNCTION("""COMPUTED_VALUE"""),0.5983614951356886)</f>
        <v>0.5983614951</v>
      </c>
      <c r="AA912" s="82">
        <f>IFERROR(__xludf.DUMMYFUNCTION("""COMPUTED_VALUE"""),0.46646185355862774)</f>
        <v>0.4664618536</v>
      </c>
      <c r="AB912" s="82">
        <f>IFERROR(__xludf.DUMMYFUNCTION("""COMPUTED_VALUE"""),1.6535586277521765)</f>
        <v>1.653558628</v>
      </c>
      <c r="AC912" s="82">
        <f>IFERROR(__xludf.DUMMYFUNCTION("""COMPUTED_VALUE"""),2.49615975422427)</f>
        <v>2.496159754</v>
      </c>
      <c r="AD912" s="82">
        <f>IFERROR(__xludf.DUMMYFUNCTION("""COMPUTED_VALUE"""),1.11174486697861)</f>
        <v>1.111744867</v>
      </c>
      <c r="AE912" s="82">
        <f>IFERROR(__xludf.DUMMYFUNCTION("""COMPUTED_VALUE"""),0.4178076330652063)</f>
        <v>0.4178076331</v>
      </c>
      <c r="AF912" s="82">
        <f>IFERROR(__xludf.DUMMYFUNCTION("""COMPUTED_VALUE"""),1.6078485181119648)</f>
        <v>1.607848518</v>
      </c>
      <c r="AG912" s="82">
        <f>IFERROR(__xludf.DUMMYFUNCTION("""COMPUTED_VALUE"""),1.5118907537003774)</f>
        <v>1.511890754</v>
      </c>
      <c r="AH912" s="82">
        <f>IFERROR(__xludf.DUMMYFUNCTION("""COMPUTED_VALUE"""),1.0015384615384617)</f>
        <v>1.001538462</v>
      </c>
      <c r="AI912" s="82">
        <f>IFERROR(__xludf.DUMMYFUNCTION("""COMPUTED_VALUE"""),1.1709041461220697)</f>
        <v>1.170904146</v>
      </c>
      <c r="AJ912" s="82">
        <f>IFERROR(__xludf.DUMMYFUNCTION("""COMPUTED_VALUE"""),1.5346534653465347)</f>
        <v>1.534653465</v>
      </c>
      <c r="AK912" s="82">
        <f>IFERROR(__xludf.DUMMYFUNCTION("""COMPUTED_VALUE"""),1.5230985196528841)</f>
        <v>1.52309852</v>
      </c>
      <c r="AL912" s="82">
        <f>IFERROR(__xludf.DUMMYFUNCTION("""COMPUTED_VALUE"""),0.7627622755786286)</f>
        <v>0.7627622756</v>
      </c>
      <c r="AM912" s="82">
        <f>IFERROR(__xludf.DUMMYFUNCTION("""COMPUTED_VALUE"""),1.4012294658539106)</f>
        <v>1.401229466</v>
      </c>
      <c r="AN912" s="82">
        <f>IFERROR(__xludf.DUMMYFUNCTION("""COMPUTED_VALUE"""),1.1064367721493025)</f>
        <v>1.106436772</v>
      </c>
      <c r="AO912" s="82">
        <f>IFERROR(__xludf.DUMMYFUNCTION("""COMPUTED_VALUE"""),0.35053934812865284)</f>
        <v>0.3505393481</v>
      </c>
      <c r="AP912" s="82">
        <f>IFERROR(__xludf.DUMMYFUNCTION("""COMPUTED_VALUE"""),1.304174451575839)</f>
        <v>1.304174452</v>
      </c>
      <c r="AQ912" s="82">
        <f>IFERROR(__xludf.DUMMYFUNCTION("""COMPUTED_VALUE"""),1.752519164786432)</f>
        <v>1.752519165</v>
      </c>
      <c r="AR912" s="82">
        <f>IFERROR(__xludf.DUMMYFUNCTION("""COMPUTED_VALUE"""),0.9924138238344429)</f>
        <v>0.9924138238</v>
      </c>
      <c r="AS912" s="82">
        <f>IFERROR(__xludf.DUMMYFUNCTION("""COMPUTED_VALUE"""),5.0)</f>
        <v>5</v>
      </c>
      <c r="AT912" s="82">
        <f>IFERROR(__xludf.DUMMYFUNCTION("""COMPUTED_VALUE"""),0.13330255539805816)</f>
        <v>0.1333025554</v>
      </c>
      <c r="AU912" s="82">
        <f>IFERROR(__xludf.DUMMYFUNCTION("""COMPUTED_VALUE"""),1.542571085088274)</f>
        <v>1.542571085</v>
      </c>
      <c r="AV912" s="82">
        <f>IFERROR(__xludf.DUMMYFUNCTION("""COMPUTED_VALUE"""),28.022611093477423)</f>
        <v>28.02261109</v>
      </c>
      <c r="AW912" s="82">
        <f t="shared" si="1"/>
        <v>-5.272183499</v>
      </c>
      <c r="AX912" s="83">
        <f t="array" ref="AX912">IFERROR(DGET('SBV Import'!A:G,"SBV",{"RSC ID","Tier";B912,A912}))</f>
        <v>44.58991263</v>
      </c>
      <c r="AY912" s="82">
        <f t="shared" si="2"/>
        <v>-2.413496536</v>
      </c>
      <c r="AZ912" s="82">
        <v>2.858686962692803</v>
      </c>
      <c r="BA912" s="84">
        <v>800.0</v>
      </c>
      <c r="BB912" s="84" t="b">
        <f>IFERROR(__xludf.DUMMYFUNCTION("iferror(if(A912="""",,E912&gt;=FILTER(Constants!$F$2:$F$10,Constants!$A$2:$A$10=A912)))"),TRUE)</f>
        <v>1</v>
      </c>
    </row>
    <row r="913">
      <c r="A913" s="80" t="str">
        <f>IFERROR(__xludf.DUMMYFUNCTION("""COMPUTED_VALUE"""),"Elite")</f>
        <v>Elite</v>
      </c>
      <c r="B913" s="73" t="str">
        <f>IFERROR(__xludf.DUMMYFUNCTION("""COMPUTED_VALUE"""),"RSC004214")</f>
        <v>RSC004214</v>
      </c>
      <c r="C913" s="73" t="str">
        <f>IFERROR(__xludf.DUMMYFUNCTION("""COMPUTED_VALUE"""),"Miserable")</f>
        <v>Miserable</v>
      </c>
      <c r="D913" s="73" t="str">
        <f>IFERROR(__xludf.DUMMYFUNCTION("""COMPUTED_VALUE"""),"Summoned")</f>
        <v>Summoned</v>
      </c>
      <c r="E913" s="82">
        <f>IFERROR(__xludf.DUMMYFUNCTION("""COMPUTED_VALUE"""),22.0)</f>
        <v>22</v>
      </c>
      <c r="F913" s="82">
        <f>IFERROR(__xludf.DUMMYFUNCTION("""COMPUTED_VALUE"""),5.0)</f>
        <v>5</v>
      </c>
      <c r="G913" s="82">
        <f>IFERROR(__xludf.DUMMYFUNCTION("""COMPUTED_VALUE"""),17.0)</f>
        <v>17</v>
      </c>
      <c r="H913" s="86">
        <f>IFERROR(__xludf.DUMMYFUNCTION("""COMPUTED_VALUE"""),0.22727272727272727)</f>
        <v>0.2272727273</v>
      </c>
      <c r="I913" s="86">
        <f>IFERROR(__xludf.DUMMYFUNCTION("""COMPUTED_VALUE"""),0.2631578947368421)</f>
        <v>0.2631578947</v>
      </c>
      <c r="J913" s="82">
        <f>IFERROR(__xludf.DUMMYFUNCTION("""COMPUTED_VALUE"""),357.0)</f>
        <v>357</v>
      </c>
      <c r="K913" s="82">
        <f>IFERROR(__xludf.DUMMYFUNCTION("""COMPUTED_VALUE"""),0.5555555555555556)</f>
        <v>0.5555555556</v>
      </c>
      <c r="L913" s="82">
        <f>IFERROR(__xludf.DUMMYFUNCTION("""COMPUTED_VALUE"""),0.4444444444444444)</f>
        <v>0.4444444444</v>
      </c>
      <c r="M913" s="82">
        <f>IFERROR(__xludf.DUMMYFUNCTION("""COMPUTED_VALUE"""),2.1666666666666665)</f>
        <v>2.166666667</v>
      </c>
      <c r="N913" s="82">
        <f>IFERROR(__xludf.DUMMYFUNCTION("""COMPUTED_VALUE"""),2.111111111111111)</f>
        <v>2.111111111</v>
      </c>
      <c r="O913" s="82">
        <f>IFERROR(__xludf.DUMMYFUNCTION("""COMPUTED_VALUE"""),419.9259259259259)</f>
        <v>419.9259259</v>
      </c>
      <c r="P913" s="82">
        <f>IFERROR(__xludf.DUMMYFUNCTION("""COMPUTED_VALUE"""),1.1666666666666665)</f>
        <v>1.166666667</v>
      </c>
      <c r="Q913" s="82">
        <f>IFERROR(__xludf.DUMMYFUNCTION("""COMPUTED_VALUE"""),0.8333333333333335)</f>
        <v>0.8333333333</v>
      </c>
      <c r="R913" s="82">
        <f>IFERROR(__xludf.DUMMYFUNCTION("""COMPUTED_VALUE"""),1.2037037037037035)</f>
        <v>1.203703704</v>
      </c>
      <c r="S913" s="82">
        <f>IFERROR(__xludf.DUMMYFUNCTION("""COMPUTED_VALUE"""),3.6296296296296293)</f>
        <v>3.62962963</v>
      </c>
      <c r="T913" s="82">
        <f>IFERROR(__xludf.DUMMYFUNCTION("""COMPUTED_VALUE"""),381.1223691932364)</f>
        <v>381.1223692</v>
      </c>
      <c r="U913" s="82">
        <f>IFERROR(__xludf.DUMMYFUNCTION("""COMPUTED_VALUE"""),0.867678231167075)</f>
        <v>0.8676782312</v>
      </c>
      <c r="V913" s="82">
        <f>IFERROR(__xludf.DUMMYFUNCTION("""COMPUTED_VALUE"""),0.6238688317542272)</f>
        <v>0.6238688318</v>
      </c>
      <c r="W913" s="82">
        <f>IFERROR(__xludf.DUMMYFUNCTION("""COMPUTED_VALUE"""),1.4217555517504807)</f>
        <v>1.421755552</v>
      </c>
      <c r="X913" s="82">
        <f>IFERROR(__xludf.DUMMYFUNCTION("""COMPUTED_VALUE"""),2.8662645605089825)</f>
        <v>2.866264561</v>
      </c>
      <c r="Y913" s="82">
        <f>IFERROR(__xludf.DUMMYFUNCTION("""COMPUTED_VALUE"""),360.0760767629935)</f>
        <v>360.0760768</v>
      </c>
      <c r="Z913" s="82">
        <f>IFERROR(__xludf.DUMMYFUNCTION("""COMPUTED_VALUE"""),0.74008100744071)</f>
        <v>0.7400810074</v>
      </c>
      <c r="AA913" s="82">
        <f>IFERROR(__xludf.DUMMYFUNCTION("""COMPUTED_VALUE"""),0.5361702117280212)</f>
        <v>0.5361702117</v>
      </c>
      <c r="AB913" s="82">
        <f>IFERROR(__xludf.DUMMYFUNCTION("""COMPUTED_VALUE"""),1.5146773280309453)</f>
        <v>1.514677328</v>
      </c>
      <c r="AC913" s="82">
        <f>IFERROR(__xludf.DUMMYFUNCTION("""COMPUTED_VALUE"""),2.5442824523284298)</f>
        <v>2.544282452</v>
      </c>
      <c r="AD913" s="82">
        <f>IFERROR(__xludf.DUMMYFUNCTION("""COMPUTED_VALUE"""),0.9914571476376692)</f>
        <v>0.9914571476</v>
      </c>
      <c r="AE913" s="82">
        <f>IFERROR(__xludf.DUMMYFUNCTION("""COMPUTED_VALUE"""),0.7506685754262687)</f>
        <v>0.7506685754</v>
      </c>
      <c r="AF913" s="82">
        <f>IFERROR(__xludf.DUMMYFUNCTION("""COMPUTED_VALUE"""),0.8289241638621547)</f>
        <v>0.8289241639</v>
      </c>
      <c r="AG913" s="82">
        <f>IFERROR(__xludf.DUMMYFUNCTION("""COMPUTED_VALUE"""),1.4304476779112394)</f>
        <v>1.430447678</v>
      </c>
      <c r="AH913" s="82">
        <f>IFERROR(__xludf.DUMMYFUNCTION("""COMPUTED_VALUE"""),0.8297471490160627)</f>
        <v>0.829747149</v>
      </c>
      <c r="AI913" s="82">
        <f>IFERROR(__xludf.DUMMYFUNCTION("""COMPUTED_VALUE"""),1.1018139051109208)</f>
        <v>1.101813905</v>
      </c>
      <c r="AJ913" s="82">
        <f>IFERROR(__xludf.DUMMYFUNCTION("""COMPUTED_VALUE"""),1.3445844608748978)</f>
        <v>1.344584461</v>
      </c>
      <c r="AK913" s="82">
        <f>IFERROR(__xludf.DUMMYFUNCTION("""COMPUTED_VALUE"""),1.3357508676785839)</f>
        <v>1.335750868</v>
      </c>
      <c r="AL913" s="82">
        <f>IFERROR(__xludf.DUMMYFUNCTION("""COMPUTED_VALUE"""),0.8466319700469539)</f>
        <v>0.84663197</v>
      </c>
      <c r="AM913" s="82">
        <f>IFERROR(__xludf.DUMMYFUNCTION("""COMPUTED_VALUE"""),1.2663274980398498)</f>
        <v>1.266327498</v>
      </c>
      <c r="AN913" s="82">
        <f>IFERROR(__xludf.DUMMYFUNCTION("""COMPUTED_VALUE"""),1.0121663745222318)</f>
        <v>1.012166375</v>
      </c>
      <c r="AO913" s="82">
        <f>IFERROR(__xludf.DUMMYFUNCTION("""COMPUTED_VALUE"""),0.7789763291747841)</f>
        <v>0.7789763292</v>
      </c>
      <c r="AP913" s="82">
        <f>IFERROR(__xludf.DUMMYFUNCTION("""COMPUTED_VALUE"""),0.7728441194523491)</f>
        <v>0.7728441195</v>
      </c>
      <c r="AQ913" s="82">
        <f>IFERROR(__xludf.DUMMYFUNCTION("""COMPUTED_VALUE"""),1.5188499428149076)</f>
        <v>1.518849943</v>
      </c>
      <c r="AR913" s="82">
        <f>IFERROR(__xludf.DUMMYFUNCTION("""COMPUTED_VALUE"""),0.838038340126863)</f>
        <v>0.8380383401</v>
      </c>
      <c r="AS913" s="82">
        <f>IFERROR(__xludf.DUMMYFUNCTION("""COMPUTED_VALUE"""),30.0)</f>
        <v>30</v>
      </c>
      <c r="AT913" s="82">
        <f>IFERROR(__xludf.DUMMYFUNCTION("""COMPUTED_VALUE"""),0.18479564958407335)</f>
        <v>0.1847956496</v>
      </c>
      <c r="AU913" s="82">
        <f>IFERROR(__xludf.DUMMYFUNCTION("""COMPUTED_VALUE"""),1.5300617904068838)</f>
        <v>1.53006179</v>
      </c>
      <c r="AV913" s="82">
        <f>IFERROR(__xludf.DUMMYFUNCTION("""COMPUTED_VALUE"""),27.671106678980305)</f>
        <v>27.67110668</v>
      </c>
      <c r="AW913" s="82">
        <f t="shared" si="1"/>
        <v>-5.379615524</v>
      </c>
      <c r="AX913" s="83">
        <f t="array" ref="AX913">IFERROR(DGET('SBV Import'!A:G,"SBV",{"RSC ID","Tier";B913,A913}))</f>
        <v>25.36638629</v>
      </c>
      <c r="AY913" s="82">
        <f t="shared" si="2"/>
        <v>-6.164185723</v>
      </c>
      <c r="AZ913" s="82">
        <v>0.7845701985703313</v>
      </c>
      <c r="BA913" s="84">
        <v>800.0</v>
      </c>
      <c r="BB913" s="84" t="b">
        <f>IFERROR(__xludf.DUMMYFUNCTION("iferror(if(A913="""",,E913&gt;=FILTER(Constants!$F$2:$F$10,Constants!$A$2:$A$10=A913)))"),TRUE)</f>
        <v>1</v>
      </c>
    </row>
    <row r="914">
      <c r="A914" s="80" t="str">
        <f>IFERROR(__xludf.DUMMYFUNCTION("""COMPUTED_VALUE"""),"Elite")</f>
        <v>Elite</v>
      </c>
      <c r="B914" s="73" t="str">
        <f>IFERROR(__xludf.DUMMYFUNCTION("""COMPUTED_VALUE"""),"RSC007629")</f>
        <v>RSC007629</v>
      </c>
      <c r="C914" s="73" t="str">
        <f>IFERROR(__xludf.DUMMYFUNCTION("""COMPUTED_VALUE"""),"Mochi")</f>
        <v>Mochi</v>
      </c>
      <c r="D914" s="73" t="str">
        <f>IFERROR(__xludf.DUMMYFUNCTION("""COMPUTED_VALUE"""),"Desolation")</f>
        <v>Desolation</v>
      </c>
      <c r="E914" s="82">
        <f>IFERROR(__xludf.DUMMYFUNCTION("""COMPUTED_VALUE"""),8.0)</f>
        <v>8</v>
      </c>
      <c r="F914" s="82">
        <f>IFERROR(__xludf.DUMMYFUNCTION("""COMPUTED_VALUE"""),5.0)</f>
        <v>5</v>
      </c>
      <c r="G914" s="82">
        <f>IFERROR(__xludf.DUMMYFUNCTION("""COMPUTED_VALUE"""),3.0)</f>
        <v>3</v>
      </c>
      <c r="H914" s="86">
        <f>IFERROR(__xludf.DUMMYFUNCTION("""COMPUTED_VALUE"""),0.625)</f>
        <v>0.625</v>
      </c>
      <c r="I914" s="86">
        <f>IFERROR(__xludf.DUMMYFUNCTION("""COMPUTED_VALUE"""),0.23076923076923078)</f>
        <v>0.2307692308</v>
      </c>
      <c r="J914" s="82">
        <f>IFERROR(__xludf.DUMMYFUNCTION("""COMPUTED_VALUE"""),268.75)</f>
        <v>268.75</v>
      </c>
      <c r="K914" s="82">
        <f>IFERROR(__xludf.DUMMYFUNCTION("""COMPUTED_VALUE"""),0.375)</f>
        <v>0.375</v>
      </c>
      <c r="L914" s="82">
        <f>IFERROR(__xludf.DUMMYFUNCTION("""COMPUTED_VALUE"""),0.875)</f>
        <v>0.875</v>
      </c>
      <c r="M914" s="82">
        <f>IFERROR(__xludf.DUMMYFUNCTION("""COMPUTED_VALUE"""),1.0)</f>
        <v>1</v>
      </c>
      <c r="N914" s="82">
        <f>IFERROR(__xludf.DUMMYFUNCTION("""COMPUTED_VALUE"""),1.625)</f>
        <v>1.625</v>
      </c>
      <c r="O914" s="82">
        <f>IFERROR(__xludf.DUMMYFUNCTION("""COMPUTED_VALUE"""),368.20833333333337)</f>
        <v>368.2083333</v>
      </c>
      <c r="P914" s="82">
        <f>IFERROR(__xludf.DUMMYFUNCTION("""COMPUTED_VALUE"""),0.9583333333333333)</f>
        <v>0.9583333333</v>
      </c>
      <c r="Q914" s="82">
        <f>IFERROR(__xludf.DUMMYFUNCTION("""COMPUTED_VALUE"""),0.7083333333333333)</f>
        <v>0.7083333333</v>
      </c>
      <c r="R914" s="82">
        <f>IFERROR(__xludf.DUMMYFUNCTION("""COMPUTED_VALUE"""),0.9166666666666666)</f>
        <v>0.9166666667</v>
      </c>
      <c r="S914" s="82">
        <f>IFERROR(__xludf.DUMMYFUNCTION("""COMPUTED_VALUE"""),2.625)</f>
        <v>2.625</v>
      </c>
      <c r="T914" s="82">
        <f>IFERROR(__xludf.DUMMYFUNCTION("""COMPUTED_VALUE"""),367.6379853743)</f>
        <v>367.6379854</v>
      </c>
      <c r="U914" s="82">
        <f>IFERROR(__xludf.DUMMYFUNCTION("""COMPUTED_VALUE"""),0.7552820144414971)</f>
        <v>0.7552820144</v>
      </c>
      <c r="V914" s="82">
        <f>IFERROR(__xludf.DUMMYFUNCTION("""COMPUTED_VALUE"""),0.6569693118184498)</f>
        <v>0.6569693118</v>
      </c>
      <c r="W914" s="82">
        <f>IFERROR(__xludf.DUMMYFUNCTION("""COMPUTED_VALUE"""),1.3329253241968757)</f>
        <v>1.332925324</v>
      </c>
      <c r="X914" s="82">
        <f>IFERROR(__xludf.DUMMYFUNCTION("""COMPUTED_VALUE"""),2.817727674624227)</f>
        <v>2.817727675</v>
      </c>
      <c r="Y914" s="82">
        <f>IFERROR(__xludf.DUMMYFUNCTION("""COMPUTED_VALUE"""),371.2612879457707)</f>
        <v>371.2612879</v>
      </c>
      <c r="Z914" s="82">
        <f>IFERROR(__xludf.DUMMYFUNCTION("""COMPUTED_VALUE"""),0.7663731702524808)</f>
        <v>0.7663731703</v>
      </c>
      <c r="AA914" s="82">
        <f>IFERROR(__xludf.DUMMYFUNCTION("""COMPUTED_VALUE"""),0.5455349248452697)</f>
        <v>0.5455349248</v>
      </c>
      <c r="AB914" s="82">
        <f>IFERROR(__xludf.DUMMYFUNCTION("""COMPUTED_VALUE"""),1.628841855781511)</f>
        <v>1.628841856</v>
      </c>
      <c r="AC914" s="82">
        <f>IFERROR(__xludf.DUMMYFUNCTION("""COMPUTED_VALUE"""),2.4390810737793505)</f>
        <v>2.439081074</v>
      </c>
      <c r="AD914" s="82">
        <f>IFERROR(__xludf.DUMMYFUNCTION("""COMPUTED_VALUE"""),0.7238837140468459)</f>
        <v>0.723883714</v>
      </c>
      <c r="AE914" s="82">
        <f>IFERROR(__xludf.DUMMYFUNCTION("""COMPUTED_VALUE"""),0.48931775609584127)</f>
        <v>0.4893177561</v>
      </c>
      <c r="AF914" s="82">
        <f>IFERROR(__xludf.DUMMYFUNCTION("""COMPUTED_VALUE"""),1.6039303079416531)</f>
        <v>1.603930308</v>
      </c>
      <c r="AG914" s="82">
        <f>IFERROR(__xludf.DUMMYFUNCTION("""COMPUTED_VALUE"""),0.613933143018482)</f>
        <v>0.613933143</v>
      </c>
      <c r="AH914" s="82">
        <f>IFERROR(__xludf.DUMMYFUNCTION("""COMPUTED_VALUE"""),0.6662345165435876)</f>
        <v>0.6662345165</v>
      </c>
      <c r="AI914" s="82">
        <f>IFERROR(__xludf.DUMMYFUNCTION("""COMPUTED_VALUE"""),1.0015513847364077)</f>
        <v>1.001551385</v>
      </c>
      <c r="AJ914" s="82">
        <f>IFERROR(__xludf.DUMMYFUNCTION("""COMPUTED_VALUE"""),1.2688417240307053)</f>
        <v>1.268841724</v>
      </c>
      <c r="AK914" s="82">
        <f>IFERROR(__xludf.DUMMYFUNCTION("""COMPUTED_VALUE"""),1.0781832889160547)</f>
        <v>1.078183289</v>
      </c>
      <c r="AL914" s="82">
        <f>IFERROR(__xludf.DUMMYFUNCTION("""COMPUTED_VALUE"""),0.6877104441083252)</f>
        <v>0.6877104441</v>
      </c>
      <c r="AM914" s="82">
        <f>IFERROR(__xludf.DUMMYFUNCTION("""COMPUTED_VALUE"""),0.9316017383937115)</f>
        <v>0.9316017384</v>
      </c>
      <c r="AN914" s="82">
        <f>IFERROR(__xludf.DUMMYFUNCTION("""COMPUTED_VALUE"""),0.7619599808203076)</f>
        <v>0.7619599808</v>
      </c>
      <c r="AO914" s="82">
        <f>IFERROR(__xludf.DUMMYFUNCTION("""COMPUTED_VALUE"""),0.5258090221929792)</f>
        <v>0.5258090222</v>
      </c>
      <c r="AP914" s="82">
        <f>IFERROR(__xludf.DUMMYFUNCTION("""COMPUTED_VALUE"""),1.5215368601718122)</f>
        <v>1.52153686</v>
      </c>
      <c r="AQ914" s="82">
        <f>IFERROR(__xludf.DUMMYFUNCTION("""COMPUTED_VALUE"""),0.7010076659145728)</f>
        <v>0.7010076659</v>
      </c>
      <c r="AR914" s="82">
        <f>IFERROR(__xludf.DUMMYFUNCTION("""COMPUTED_VALUE"""),0.6450689854923879)</f>
        <v>0.6450689855</v>
      </c>
      <c r="AS914" s="82">
        <f>IFERROR(__xludf.DUMMYFUNCTION("""COMPUTED_VALUE"""),26.0)</f>
        <v>26</v>
      </c>
      <c r="AT914" s="82">
        <f>IFERROR(__xludf.DUMMYFUNCTION("""COMPUTED_VALUE"""),0.5513809810810274)</f>
        <v>0.5513809811</v>
      </c>
      <c r="AU914" s="82">
        <f>IFERROR(__xludf.DUMMYFUNCTION("""COMPUTED_VALUE"""),1.5147567620369795)</f>
        <v>1.514756762</v>
      </c>
      <c r="AV914" s="82">
        <f>IFERROR(__xludf.DUMMYFUNCTION("""COMPUTED_VALUE"""),27.241043659997434)</f>
        <v>27.24104366</v>
      </c>
      <c r="AW914" s="82">
        <f t="shared" si="1"/>
        <v>-5.515208645</v>
      </c>
      <c r="AX914" s="83">
        <f t="array" ref="AX914">IFERROR(DGET('SBV Import'!A:G,"SBV",{"RSC ID","Tier";B914,A914}))</f>
        <v>28.61992019</v>
      </c>
      <c r="AY914" s="82">
        <f t="shared" si="2"/>
        <v>-5.096337739</v>
      </c>
      <c r="AZ914" s="82">
        <v>0.41887090616332934</v>
      </c>
      <c r="BA914" s="84">
        <v>800.0</v>
      </c>
      <c r="BB914" s="84" t="b">
        <f>IFERROR(__xludf.DUMMYFUNCTION("iferror(if(A914="""",,E914&gt;=FILTER(Constants!$F$2:$F$10,Constants!$A$2:$A$10=A914)))"),TRUE)</f>
        <v>1</v>
      </c>
    </row>
    <row r="915">
      <c r="A915" s="80" t="str">
        <f>IFERROR(__xludf.DUMMYFUNCTION("""COMPUTED_VALUE"""),"Elite")</f>
        <v>Elite</v>
      </c>
      <c r="B915" s="73" t="str">
        <f>IFERROR(__xludf.DUMMYFUNCTION("""COMPUTED_VALUE"""),"RSC003709")</f>
        <v>RSC003709</v>
      </c>
      <c r="C915" s="73" t="str">
        <f>IFERROR(__xludf.DUMMYFUNCTION("""COMPUTED_VALUE"""),"donald.")</f>
        <v>donald.</v>
      </c>
      <c r="D915" s="73" t="str">
        <f>IFERROR(__xludf.DUMMYFUNCTION("""COMPUTED_VALUE"""),"Pixel Picassos")</f>
        <v>Pixel Picassos</v>
      </c>
      <c r="E915" s="82">
        <f>IFERROR(__xludf.DUMMYFUNCTION("""COMPUTED_VALUE"""),26.0)</f>
        <v>26</v>
      </c>
      <c r="F915" s="82">
        <f>IFERROR(__xludf.DUMMYFUNCTION("""COMPUTED_VALUE"""),8.0)</f>
        <v>8</v>
      </c>
      <c r="G915" s="82">
        <f>IFERROR(__xludf.DUMMYFUNCTION("""COMPUTED_VALUE"""),18.0)</f>
        <v>18</v>
      </c>
      <c r="H915" s="86">
        <f>IFERROR(__xludf.DUMMYFUNCTION("""COMPUTED_VALUE"""),0.3076923076923077)</f>
        <v>0.3076923077</v>
      </c>
      <c r="I915" s="86">
        <f>IFERROR(__xludf.DUMMYFUNCTION("""COMPUTED_VALUE"""),0.28888888888888886)</f>
        <v>0.2888888889</v>
      </c>
      <c r="J915" s="82">
        <f>IFERROR(__xludf.DUMMYFUNCTION("""COMPUTED_VALUE"""),357.4230769230769)</f>
        <v>357.4230769</v>
      </c>
      <c r="K915" s="82">
        <f>IFERROR(__xludf.DUMMYFUNCTION("""COMPUTED_VALUE"""),0.5)</f>
        <v>0.5</v>
      </c>
      <c r="L915" s="82">
        <f>IFERROR(__xludf.DUMMYFUNCTION("""COMPUTED_VALUE"""),0.46153846153846156)</f>
        <v>0.4615384615</v>
      </c>
      <c r="M915" s="82">
        <f>IFERROR(__xludf.DUMMYFUNCTION("""COMPUTED_VALUE"""),2.076923076923077)</f>
        <v>2.076923077</v>
      </c>
      <c r="N915" s="82">
        <f>IFERROR(__xludf.DUMMYFUNCTION("""COMPUTED_VALUE"""),1.7307692307692308)</f>
        <v>1.730769231</v>
      </c>
      <c r="O915" s="82">
        <f>IFERROR(__xludf.DUMMYFUNCTION("""COMPUTED_VALUE"""),382.53846153846155)</f>
        <v>382.5384615</v>
      </c>
      <c r="P915" s="82">
        <f>IFERROR(__xludf.DUMMYFUNCTION("""COMPUTED_VALUE"""),0.9871794871794871)</f>
        <v>0.9871794872</v>
      </c>
      <c r="Q915" s="82">
        <f>IFERROR(__xludf.DUMMYFUNCTION("""COMPUTED_VALUE"""),0.7435897435897435)</f>
        <v>0.7435897436</v>
      </c>
      <c r="R915" s="82">
        <f>IFERROR(__xludf.DUMMYFUNCTION("""COMPUTED_VALUE"""),0.9102564102564101)</f>
        <v>0.9102564103</v>
      </c>
      <c r="S915" s="82">
        <f>IFERROR(__xludf.DUMMYFUNCTION("""COMPUTED_VALUE"""),3.448717948717949)</f>
        <v>3.448717949</v>
      </c>
      <c r="T915" s="82">
        <f>IFERROR(__xludf.DUMMYFUNCTION("""COMPUTED_VALUE"""),368.0058063141672)</f>
        <v>368.0058063</v>
      </c>
      <c r="U915" s="82">
        <f>IFERROR(__xludf.DUMMYFUNCTION("""COMPUTED_VALUE"""),0.8330850124437111)</f>
        <v>0.8330850124</v>
      </c>
      <c r="V915" s="82">
        <f>IFERROR(__xludf.DUMMYFUNCTION("""COMPUTED_VALUE"""),0.6573926624442155)</f>
        <v>0.6573926624</v>
      </c>
      <c r="W915" s="82">
        <f>IFERROR(__xludf.DUMMYFUNCTION("""COMPUTED_VALUE"""),1.3455260195672936)</f>
        <v>1.34552602</v>
      </c>
      <c r="X915" s="82">
        <f>IFERROR(__xludf.DUMMYFUNCTION("""COMPUTED_VALUE"""),2.8488035115366475)</f>
        <v>2.848803512</v>
      </c>
      <c r="Y915" s="82">
        <f>IFERROR(__xludf.DUMMYFUNCTION("""COMPUTED_VALUE"""),357.6897788002771)</f>
        <v>357.6897788</v>
      </c>
      <c r="Z915" s="82">
        <f>IFERROR(__xludf.DUMMYFUNCTION("""COMPUTED_VALUE"""),0.7362597305850892)</f>
        <v>0.7362597306</v>
      </c>
      <c r="AA915" s="82">
        <f>IFERROR(__xludf.DUMMYFUNCTION("""COMPUTED_VALUE"""),0.5200312165782064)</f>
        <v>0.5200312166</v>
      </c>
      <c r="AB915" s="82">
        <f>IFERROR(__xludf.DUMMYFUNCTION("""COMPUTED_VALUE"""),1.5347947768753256)</f>
        <v>1.534794777</v>
      </c>
      <c r="AC915" s="82">
        <f>IFERROR(__xludf.DUMMYFUNCTION("""COMPUTED_VALUE"""),2.455375917553968)</f>
        <v>2.455375918</v>
      </c>
      <c r="AD915" s="82">
        <f>IFERROR(__xludf.DUMMYFUNCTION("""COMPUTED_VALUE"""),0.9992543765771146)</f>
        <v>0.9992543766</v>
      </c>
      <c r="AE915" s="82">
        <f>IFERROR(__xludf.DUMMYFUNCTION("""COMPUTED_VALUE"""),0.6791081723329635)</f>
        <v>0.6791081723</v>
      </c>
      <c r="AF915" s="82">
        <f>IFERROR(__xludf.DUMMYFUNCTION("""COMPUTED_VALUE"""),0.8875206849607494)</f>
        <v>0.887520685</v>
      </c>
      <c r="AG915" s="82">
        <f>IFERROR(__xludf.DUMMYFUNCTION("""COMPUTED_VALUE"""),1.353225270385312)</f>
        <v>1.35322527</v>
      </c>
      <c r="AH915" s="82">
        <f>IFERROR(__xludf.DUMMYFUNCTION("""COMPUTED_VALUE"""),0.7048897150108948)</f>
        <v>0.704889715</v>
      </c>
      <c r="AI915" s="82">
        <f>IFERROR(__xludf.DUMMYFUNCTION("""COMPUTED_VALUE"""),1.0394902878567296)</f>
        <v>1.039490288</v>
      </c>
      <c r="AJ915" s="82">
        <f>IFERROR(__xludf.DUMMYFUNCTION("""COMPUTED_VALUE"""),1.1849684875301818)</f>
        <v>1.184968488</v>
      </c>
      <c r="AK915" s="82">
        <f>IFERROR(__xludf.DUMMYFUNCTION("""COMPUTED_VALUE"""),1.1311196276895508)</f>
        <v>1.131119628</v>
      </c>
      <c r="AL915" s="82">
        <f>IFERROR(__xludf.DUMMYFUNCTION("""COMPUTED_VALUE"""),0.6765059887501385)</f>
        <v>0.6765059888</v>
      </c>
      <c r="AM915" s="82">
        <f>IFERROR(__xludf.DUMMYFUNCTION("""COMPUTED_VALUE"""),1.2105847015253457)</f>
        <v>1.210584702</v>
      </c>
      <c r="AN915" s="82">
        <f>IFERROR(__xludf.DUMMYFUNCTION("""COMPUTED_VALUE"""),1.013365882184346)</f>
        <v>1.013365882</v>
      </c>
      <c r="AO915" s="82">
        <f>IFERROR(__xludf.DUMMYFUNCTION("""COMPUTED_VALUE"""),0.7010786962573057)</f>
        <v>0.7010786963</v>
      </c>
      <c r="AP915" s="82">
        <f>IFERROR(__xludf.DUMMYFUNCTION("""COMPUTED_VALUE"""),0.8025688932774395)</f>
        <v>0.8025688933</v>
      </c>
      <c r="AQ915" s="82">
        <f>IFERROR(__xludf.DUMMYFUNCTION("""COMPUTED_VALUE"""),1.455938998437959)</f>
        <v>1.455938998</v>
      </c>
      <c r="AR915" s="82">
        <f>IFERROR(__xludf.DUMMYFUNCTION("""COMPUTED_VALUE"""),0.6870557241930759)</f>
        <v>0.6870557242</v>
      </c>
      <c r="AS915" s="82">
        <f>IFERROR(__xludf.DUMMYFUNCTION("""COMPUTED_VALUE"""),44.0)</f>
        <v>44</v>
      </c>
      <c r="AT915" s="82">
        <f>IFERROR(__xludf.DUMMYFUNCTION("""COMPUTED_VALUE"""),0.29524064778034487)</f>
        <v>0.2952406478</v>
      </c>
      <c r="AU915" s="82">
        <f>IFERROR(__xludf.DUMMYFUNCTION("""COMPUTED_VALUE"""),1.4803438096944963)</f>
        <v>1.48034381</v>
      </c>
      <c r="AV915" s="82">
        <f>IFERROR(__xludf.DUMMYFUNCTION("""COMPUTED_VALUE"""),26.27405831251359)</f>
        <v>26.27405831</v>
      </c>
      <c r="AW915" s="82">
        <f t="shared" si="1"/>
        <v>-5.83768683</v>
      </c>
      <c r="AX915" s="83">
        <f t="array" ref="AX915">IFERROR(DGET('SBV Import'!A:G,"SBV",{"RSC ID","Tier";B915,A915}))</f>
        <v>34.51153228</v>
      </c>
      <c r="AY915" s="82">
        <f t="shared" si="2"/>
        <v>-3.734398177</v>
      </c>
      <c r="AZ915" s="82">
        <v>2.1032886531862163</v>
      </c>
      <c r="BA915" s="84">
        <v>800.0</v>
      </c>
      <c r="BB915" s="84" t="b">
        <f>IFERROR(__xludf.DUMMYFUNCTION("iferror(if(A915="""",,E915&gt;=FILTER(Constants!$F$2:$F$10,Constants!$A$2:$A$10=A915)))"),TRUE)</f>
        <v>1</v>
      </c>
    </row>
    <row r="916">
      <c r="A916" s="80" t="str">
        <f>IFERROR(__xludf.DUMMYFUNCTION("""COMPUTED_VALUE"""),"Elite")</f>
        <v>Elite</v>
      </c>
      <c r="B916" s="73" t="str">
        <f>IFERROR(__xludf.DUMMYFUNCTION("""COMPUTED_VALUE"""),"RSC004990")</f>
        <v>RSC004990</v>
      </c>
      <c r="C916" s="73" t="str">
        <f>IFERROR(__xludf.DUMMYFUNCTION("""COMPUTED_VALUE"""),"Legend")</f>
        <v>Legend</v>
      </c>
      <c r="D916" s="73" t="str">
        <f>IFERROR(__xludf.DUMMYFUNCTION("""COMPUTED_VALUE"""),"Majesties")</f>
        <v>Majesties</v>
      </c>
      <c r="E916" s="82">
        <f>IFERROR(__xludf.DUMMYFUNCTION("""COMPUTED_VALUE"""),18.0)</f>
        <v>18</v>
      </c>
      <c r="F916" s="82">
        <f>IFERROR(__xludf.DUMMYFUNCTION("""COMPUTED_VALUE"""),5.0)</f>
        <v>5</v>
      </c>
      <c r="G916" s="82">
        <f>IFERROR(__xludf.DUMMYFUNCTION("""COMPUTED_VALUE"""),13.0)</f>
        <v>13</v>
      </c>
      <c r="H916" s="86">
        <f>IFERROR(__xludf.DUMMYFUNCTION("""COMPUTED_VALUE"""),0.2777777777777778)</f>
        <v>0.2777777778</v>
      </c>
      <c r="I916" s="86">
        <f>IFERROR(__xludf.DUMMYFUNCTION("""COMPUTED_VALUE"""),0.3)</f>
        <v>0.3</v>
      </c>
      <c r="J916" s="82">
        <f>IFERROR(__xludf.DUMMYFUNCTION("""COMPUTED_VALUE"""),346.22222222222223)</f>
        <v>346.2222222</v>
      </c>
      <c r="K916" s="82">
        <f>IFERROR(__xludf.DUMMYFUNCTION("""COMPUTED_VALUE"""),0.5)</f>
        <v>0.5</v>
      </c>
      <c r="L916" s="82">
        <f>IFERROR(__xludf.DUMMYFUNCTION("""COMPUTED_VALUE"""),0.5)</f>
        <v>0.5</v>
      </c>
      <c r="M916" s="82">
        <f>IFERROR(__xludf.DUMMYFUNCTION("""COMPUTED_VALUE"""),1.5555555555555556)</f>
        <v>1.555555556</v>
      </c>
      <c r="N916" s="82">
        <f>IFERROR(__xludf.DUMMYFUNCTION("""COMPUTED_VALUE"""),1.6666666666666667)</f>
        <v>1.666666667</v>
      </c>
      <c r="O916" s="82">
        <f>IFERROR(__xludf.DUMMYFUNCTION("""COMPUTED_VALUE"""),387.9074074074074)</f>
        <v>387.9074074</v>
      </c>
      <c r="P916" s="82">
        <f>IFERROR(__xludf.DUMMYFUNCTION("""COMPUTED_VALUE"""),1.0925925925925926)</f>
        <v>1.092592593</v>
      </c>
      <c r="Q916" s="82">
        <f>IFERROR(__xludf.DUMMYFUNCTION("""COMPUTED_VALUE"""),0.7407407407407407)</f>
        <v>0.7407407407</v>
      </c>
      <c r="R916" s="82">
        <f>IFERROR(__xludf.DUMMYFUNCTION("""COMPUTED_VALUE"""),1.1851851851851853)</f>
        <v>1.185185185</v>
      </c>
      <c r="S916" s="82">
        <f>IFERROR(__xludf.DUMMYFUNCTION("""COMPUTED_VALUE"""),3.0740740740740744)</f>
        <v>3.074074074</v>
      </c>
      <c r="T916" s="82">
        <f>IFERROR(__xludf.DUMMYFUNCTION("""COMPUTED_VALUE"""),370.45723377543084)</f>
        <v>370.4572338</v>
      </c>
      <c r="U916" s="82">
        <f>IFERROR(__xludf.DUMMYFUNCTION("""COMPUTED_VALUE"""),0.8513608079990254)</f>
        <v>0.851360808</v>
      </c>
      <c r="V916" s="82">
        <f>IFERROR(__xludf.DUMMYFUNCTION("""COMPUTED_VALUE"""),0.6432962342547793)</f>
        <v>0.6432962343</v>
      </c>
      <c r="W916" s="82">
        <f>IFERROR(__xludf.DUMMYFUNCTION("""COMPUTED_VALUE"""),1.3563345465965935)</f>
        <v>1.356334547</v>
      </c>
      <c r="X916" s="82">
        <f>IFERROR(__xludf.DUMMYFUNCTION("""COMPUTED_VALUE"""),2.8317106778701593)</f>
        <v>2.831710678</v>
      </c>
      <c r="Y916" s="82">
        <f>IFERROR(__xludf.DUMMYFUNCTION("""COMPUTED_VALUE"""),356.48422124855017)</f>
        <v>356.4842212</v>
      </c>
      <c r="Z916" s="82">
        <f>IFERROR(__xludf.DUMMYFUNCTION("""COMPUTED_VALUE"""),0.7331614777397736)</f>
        <v>0.7331614777</v>
      </c>
      <c r="AA916" s="82">
        <f>IFERROR(__xludf.DUMMYFUNCTION("""COMPUTED_VALUE"""),0.5466128926964209)</f>
        <v>0.5466128927</v>
      </c>
      <c r="AB916" s="82">
        <f>IFERROR(__xludf.DUMMYFUNCTION("""COMPUTED_VALUE"""),1.4747007837364288)</f>
        <v>1.474700784</v>
      </c>
      <c r="AC916" s="82">
        <f>IFERROR(__xludf.DUMMYFUNCTION("""COMPUTED_VALUE"""),2.5273660102541164)</f>
        <v>2.52736601</v>
      </c>
      <c r="AD916" s="82">
        <f>IFERROR(__xludf.DUMMYFUNCTION("""COMPUTED_VALUE"""),0.9712133148828122)</f>
        <v>0.9712133149</v>
      </c>
      <c r="AE916" s="82">
        <f>IFERROR(__xludf.DUMMYFUNCTION("""COMPUTED_VALUE"""),0.6819780023650789)</f>
        <v>0.6819780024</v>
      </c>
      <c r="AF916" s="82">
        <f>IFERROR(__xludf.DUMMYFUNCTION("""COMPUTED_VALUE"""),0.9147241250266139)</f>
        <v>0.914724125</v>
      </c>
      <c r="AG916" s="82">
        <f>IFERROR(__xludf.DUMMYFUNCTION("""COMPUTED_VALUE"""),1.0548279167617083)</f>
        <v>1.054827917</v>
      </c>
      <c r="AH916" s="82">
        <f>IFERROR(__xludf.DUMMYFUNCTION("""COMPUTED_VALUE"""),0.6594480814827015)</f>
        <v>0.6594480815</v>
      </c>
      <c r="AI916" s="82">
        <f>IFERROR(__xludf.DUMMYFUNCTION("""COMPUTED_VALUE"""),1.0471044213501706)</f>
        <v>1.047104421</v>
      </c>
      <c r="AJ916" s="82">
        <f>IFERROR(__xludf.DUMMYFUNCTION("""COMPUTED_VALUE"""),1.283348472618255)</f>
        <v>1.283348473</v>
      </c>
      <c r="AK916" s="82">
        <f>IFERROR(__xludf.DUMMYFUNCTION("""COMPUTED_VALUE"""),1.1514768800082362)</f>
        <v>1.15147688</v>
      </c>
      <c r="AL916" s="82">
        <f>IFERROR(__xludf.DUMMYFUNCTION("""COMPUTED_VALUE"""),0.8738147886589871)</f>
        <v>0.8738147887</v>
      </c>
      <c r="AM916" s="82">
        <f>IFERROR(__xludf.DUMMYFUNCTION("""COMPUTED_VALUE"""),1.0855890391973964)</f>
        <v>1.085589039</v>
      </c>
      <c r="AN916" s="82">
        <f>IFERROR(__xludf.DUMMYFUNCTION("""COMPUTED_VALUE"""),0.9816092197358464)</f>
        <v>0.9816092197</v>
      </c>
      <c r="AO916" s="82">
        <f>IFERROR(__xludf.DUMMYFUNCTION("""COMPUTED_VALUE"""),0.7010786962573057)</f>
        <v>0.7010786963</v>
      </c>
      <c r="AP916" s="82">
        <f>IFERROR(__xludf.DUMMYFUNCTION("""COMPUTED_VALUE"""),0.8694496343838928)</f>
        <v>0.8694496344</v>
      </c>
      <c r="AQ916" s="82">
        <f>IFERROR(__xludf.DUMMYFUNCTION("""COMPUTED_VALUE"""),1.0904563692004465)</f>
        <v>1.090456369</v>
      </c>
      <c r="AR916" s="82">
        <f>IFERROR(__xludf.DUMMYFUNCTION("""COMPUTED_VALUE"""),0.6616092158896286)</f>
        <v>0.6616092159</v>
      </c>
      <c r="AS916" s="82">
        <f>IFERROR(__xludf.DUMMYFUNCTION("""COMPUTED_VALUE"""),31.0)</f>
        <v>31</v>
      </c>
      <c r="AT916" s="82">
        <f>IFERROR(__xludf.DUMMYFUNCTION("""COMPUTED_VALUE"""),0.26475891029255466)</f>
        <v>0.2647589103</v>
      </c>
      <c r="AU916" s="82">
        <f>IFERROR(__xludf.DUMMYFUNCTION("""COMPUTED_VALUE"""),1.4467420905154307)</f>
        <v>1.446742091</v>
      </c>
      <c r="AV916" s="82">
        <f>IFERROR(__xludf.DUMMYFUNCTION("""COMPUTED_VALUE"""),25.329868178140515)</f>
        <v>25.32986818</v>
      </c>
      <c r="AW916" s="82">
        <f t="shared" si="1"/>
        <v>-6.177833077</v>
      </c>
      <c r="AX916" s="83">
        <f t="array" ref="AX916">IFERROR(DGET('SBV Import'!A:G,"SBV",{"RSC ID","Tier";B916,A916}))</f>
        <v>37.15280785</v>
      </c>
      <c r="AY916" s="82">
        <f t="shared" si="2"/>
        <v>-3.293099792</v>
      </c>
      <c r="AZ916" s="82">
        <v>2.884733285289645</v>
      </c>
      <c r="BA916" s="84">
        <v>800.0</v>
      </c>
      <c r="BB916" s="84" t="b">
        <f>IFERROR(__xludf.DUMMYFUNCTION("iferror(if(A916="""",,E916&gt;=FILTER(Constants!$F$2:$F$10,Constants!$A$2:$A$10=A916)))"),TRUE)</f>
        <v>1</v>
      </c>
    </row>
    <row r="917">
      <c r="A917" s="80" t="str">
        <f>IFERROR(__xludf.DUMMYFUNCTION("""COMPUTED_VALUE"""),"Elite")</f>
        <v>Elite</v>
      </c>
      <c r="B917" s="73" t="str">
        <f>IFERROR(__xludf.DUMMYFUNCTION("""COMPUTED_VALUE"""),"RSC000030")</f>
        <v>RSC000030</v>
      </c>
      <c r="C917" s="73" t="str">
        <f>IFERROR(__xludf.DUMMYFUNCTION("""COMPUTED_VALUE"""),"ADeadM0053")</f>
        <v>ADeadM0053</v>
      </c>
      <c r="D917" s="73" t="str">
        <f>IFERROR(__xludf.DUMMYFUNCTION("""COMPUTED_VALUE"""),"Drive Bye")</f>
        <v>Drive Bye</v>
      </c>
      <c r="E917" s="82">
        <f>IFERROR(__xludf.DUMMYFUNCTION("""COMPUTED_VALUE"""),36.0)</f>
        <v>36</v>
      </c>
      <c r="F917" s="82">
        <f>IFERROR(__xludf.DUMMYFUNCTION("""COMPUTED_VALUE"""),11.0)</f>
        <v>11</v>
      </c>
      <c r="G917" s="82">
        <f>IFERROR(__xludf.DUMMYFUNCTION("""COMPUTED_VALUE"""),25.0)</f>
        <v>25</v>
      </c>
      <c r="H917" s="86">
        <f>IFERROR(__xludf.DUMMYFUNCTION("""COMPUTED_VALUE"""),0.3055555555555556)</f>
        <v>0.3055555556</v>
      </c>
      <c r="I917" s="86">
        <f>IFERROR(__xludf.DUMMYFUNCTION("""COMPUTED_VALUE"""),0.21794871794871795)</f>
        <v>0.2179487179</v>
      </c>
      <c r="J917" s="82">
        <f>IFERROR(__xludf.DUMMYFUNCTION("""COMPUTED_VALUE"""),321.52777777777777)</f>
        <v>321.5277778</v>
      </c>
      <c r="K917" s="82">
        <f>IFERROR(__xludf.DUMMYFUNCTION("""COMPUTED_VALUE"""),0.4722222222222222)</f>
        <v>0.4722222222</v>
      </c>
      <c r="L917" s="82">
        <f>IFERROR(__xludf.DUMMYFUNCTION("""COMPUTED_VALUE"""),0.4166666666666667)</f>
        <v>0.4166666667</v>
      </c>
      <c r="M917" s="82">
        <f>IFERROR(__xludf.DUMMYFUNCTION("""COMPUTED_VALUE"""),1.6111111111111112)</f>
        <v>1.611111111</v>
      </c>
      <c r="N917" s="82">
        <f>IFERROR(__xludf.DUMMYFUNCTION("""COMPUTED_VALUE"""),2.1666666666666665)</f>
        <v>2.166666667</v>
      </c>
      <c r="O917" s="82">
        <f>IFERROR(__xludf.DUMMYFUNCTION("""COMPUTED_VALUE"""),399.4444444444445)</f>
        <v>399.4444444</v>
      </c>
      <c r="P917" s="82">
        <f>IFERROR(__xludf.DUMMYFUNCTION("""COMPUTED_VALUE"""),0.9444444444444444)</f>
        <v>0.9444444444</v>
      </c>
      <c r="Q917" s="82">
        <f>IFERROR(__xludf.DUMMYFUNCTION("""COMPUTED_VALUE"""),0.7777777777777777)</f>
        <v>0.7777777778</v>
      </c>
      <c r="R917" s="82">
        <f>IFERROR(__xludf.DUMMYFUNCTION("""COMPUTED_VALUE"""),1.3796296296296293)</f>
        <v>1.37962963</v>
      </c>
      <c r="S917" s="82">
        <f>IFERROR(__xludf.DUMMYFUNCTION("""COMPUTED_VALUE"""),3.2037037037037037)</f>
        <v>3.203703704</v>
      </c>
      <c r="T917" s="82">
        <f>IFERROR(__xludf.DUMMYFUNCTION("""COMPUTED_VALUE"""),366.0991124454237)</f>
        <v>366.0991124</v>
      </c>
      <c r="U917" s="82">
        <f>IFERROR(__xludf.DUMMYFUNCTION("""COMPUTED_VALUE"""),0.7956247181834617)</f>
        <v>0.7956247182</v>
      </c>
      <c r="V917" s="82">
        <f>IFERROR(__xludf.DUMMYFUNCTION("""COMPUTED_VALUE"""),0.6156931521223816)</f>
        <v>0.6156931521</v>
      </c>
      <c r="W917" s="82">
        <f>IFERROR(__xludf.DUMMYFUNCTION("""COMPUTED_VALUE"""),1.3965338322123642)</f>
        <v>1.396533832</v>
      </c>
      <c r="X917" s="82">
        <f>IFERROR(__xludf.DUMMYFUNCTION("""COMPUTED_VALUE"""),2.7438207088516178)</f>
        <v>2.743820709</v>
      </c>
      <c r="Y917" s="82">
        <f>IFERROR(__xludf.DUMMYFUNCTION("""COMPUTED_VALUE"""),354.44518731123725)</f>
        <v>354.4451873</v>
      </c>
      <c r="Z917" s="82">
        <f>IFERROR(__xludf.DUMMYFUNCTION("""COMPUTED_VALUE"""),0.7389445636952546)</f>
        <v>0.7389445637</v>
      </c>
      <c r="AA917" s="82">
        <f>IFERROR(__xludf.DUMMYFUNCTION("""COMPUTED_VALUE"""),0.5491114476344374)</f>
        <v>0.5491114476</v>
      </c>
      <c r="AB917" s="82">
        <f>IFERROR(__xludf.DUMMYFUNCTION("""COMPUTED_VALUE"""),1.458496393018744)</f>
        <v>1.458496393</v>
      </c>
      <c r="AC917" s="82">
        <f>IFERROR(__xludf.DUMMYFUNCTION("""COMPUTED_VALUE"""),2.538954286529494)</f>
        <v>2.538954287</v>
      </c>
      <c r="AD917" s="82">
        <f>IFERROR(__xludf.DUMMYFUNCTION("""COMPUTED_VALUE"""),0.9071297602228273)</f>
        <v>0.9071297602</v>
      </c>
      <c r="AE917" s="82">
        <f>IFERROR(__xludf.DUMMYFUNCTION("""COMPUTED_VALUE"""),0.6390495923818307)</f>
        <v>0.6390495924</v>
      </c>
      <c r="AF917" s="82">
        <f>IFERROR(__xludf.DUMMYFUNCTION("""COMPUTED_VALUE"""),0.7588016393787809)</f>
        <v>0.7588016394</v>
      </c>
      <c r="AG917" s="82">
        <f>IFERROR(__xludf.DUMMYFUNCTION("""COMPUTED_VALUE"""),1.1046383925410268)</f>
        <v>1.104638393</v>
      </c>
      <c r="AH917" s="82">
        <f>IFERROR(__xludf.DUMMYFUNCTION("""COMPUTED_VALUE"""),0.8533697034885537)</f>
        <v>0.8533697035</v>
      </c>
      <c r="AI917" s="82">
        <f>IFERROR(__xludf.DUMMYFUNCTION("""COMPUTED_VALUE"""),1.0910827993443764)</f>
        <v>1.091082799</v>
      </c>
      <c r="AJ917" s="82">
        <f>IFERROR(__xludf.DUMMYFUNCTION("""COMPUTED_VALUE"""),1.1870476405016197)</f>
        <v>1.187047641</v>
      </c>
      <c r="AK917" s="82">
        <f>IFERROR(__xludf.DUMMYFUNCTION("""COMPUTED_VALUE"""),1.2632555276872373)</f>
        <v>1.263255528</v>
      </c>
      <c r="AL917" s="82">
        <f>IFERROR(__xludf.DUMMYFUNCTION("""COMPUTED_VALUE"""),0.9878956010997918)</f>
        <v>0.9878956011</v>
      </c>
      <c r="AM917" s="82">
        <f>IFERROR(__xludf.DUMMYFUNCTION("""COMPUTED_VALUE"""),1.1676067949223121)</f>
        <v>1.167606795</v>
      </c>
      <c r="AN917" s="82">
        <f>IFERROR(__xludf.DUMMYFUNCTION("""COMPUTED_VALUE"""),0.9115955326093085)</f>
        <v>0.9115955326</v>
      </c>
      <c r="AO917" s="82">
        <f>IFERROR(__xludf.DUMMYFUNCTION("""COMPUTED_VALUE"""),0.6621298797985664)</f>
        <v>0.6621298798</v>
      </c>
      <c r="AP917" s="82">
        <f>IFERROR(__xludf.DUMMYFUNCTION("""COMPUTED_VALUE"""),0.7245413619865774)</f>
        <v>0.724541362</v>
      </c>
      <c r="AQ917" s="82">
        <f>IFERROR(__xludf.DUMMYFUNCTION("""COMPUTED_VALUE"""),1.129401239529034)</f>
        <v>1.12940124</v>
      </c>
      <c r="AR917" s="82">
        <f>IFERROR(__xludf.DUMMYFUNCTION("""COMPUTED_VALUE"""),0.8600919806565172)</f>
        <v>0.8600919807</v>
      </c>
      <c r="AS917" s="82">
        <f>IFERROR(__xludf.DUMMYFUNCTION("""COMPUTED_VALUE"""),60.0)</f>
        <v>60</v>
      </c>
      <c r="AT917" s="82">
        <f>IFERROR(__xludf.DUMMYFUNCTION("""COMPUTED_VALUE"""),0.3063847338892743)</f>
        <v>0.3063847339</v>
      </c>
      <c r="AU917" s="82">
        <f>IFERROR(__xludf.DUMMYFUNCTION("""COMPUTED_VALUE"""),1.418031065917058)</f>
        <v>1.418031066</v>
      </c>
      <c r="AV917" s="82">
        <f>IFERROR(__xludf.DUMMYFUNCTION("""COMPUTED_VALUE"""),24.52310391619718)</f>
        <v>24.52310392</v>
      </c>
      <c r="AW917" s="82">
        <f t="shared" si="1"/>
        <v>-6.489988383</v>
      </c>
      <c r="AX917" s="83">
        <f t="array" ref="AX917">IFERROR(DGET('SBV Import'!A:G,"SBV",{"RSC ID","Tier";B917,A917}))</f>
        <v>28.05771161</v>
      </c>
      <c r="AY917" s="82">
        <f t="shared" si="2"/>
        <v>-5.261619019</v>
      </c>
      <c r="AZ917" s="82">
        <v>1.2283693639598798</v>
      </c>
      <c r="BA917" s="84">
        <v>800.0</v>
      </c>
      <c r="BB917" s="84" t="b">
        <f>IFERROR(__xludf.DUMMYFUNCTION("iferror(if(A917="""",,E917&gt;=FILTER(Constants!$F$2:$F$10,Constants!$A$2:$A$10=A917)))"),TRUE)</f>
        <v>1</v>
      </c>
    </row>
    <row r="918">
      <c r="A918" s="80" t="str">
        <f>IFERROR(__xludf.DUMMYFUNCTION("""COMPUTED_VALUE"""),"Elite")</f>
        <v>Elite</v>
      </c>
      <c r="B918" s="73" t="str">
        <f>IFERROR(__xludf.DUMMYFUNCTION("""COMPUTED_VALUE"""),"RSC003305")</f>
        <v>RSC003305</v>
      </c>
      <c r="C918" s="73" t="str">
        <f>IFERROR(__xludf.DUMMYFUNCTION("""COMPUTED_VALUE"""),"Sobes")</f>
        <v>Sobes</v>
      </c>
      <c r="D918" s="73" t="str">
        <f>IFERROR(__xludf.DUMMYFUNCTION("""COMPUTED_VALUE"""),"Cyclones")</f>
        <v>Cyclones</v>
      </c>
      <c r="E918" s="82">
        <f>IFERROR(__xludf.DUMMYFUNCTION("""COMPUTED_VALUE"""),4.0)</f>
        <v>4</v>
      </c>
      <c r="F918" s="82">
        <f>IFERROR(__xludf.DUMMYFUNCTION("""COMPUTED_VALUE"""),1.0)</f>
        <v>1</v>
      </c>
      <c r="G918" s="82">
        <f>IFERROR(__xludf.DUMMYFUNCTION("""COMPUTED_VALUE"""),3.0)</f>
        <v>3</v>
      </c>
      <c r="H918" s="86">
        <f>IFERROR(__xludf.DUMMYFUNCTION("""COMPUTED_VALUE"""),0.25)</f>
        <v>0.25</v>
      </c>
      <c r="I918" s="86">
        <f>IFERROR(__xludf.DUMMYFUNCTION("""COMPUTED_VALUE"""),0.42857142857142855)</f>
        <v>0.4285714286</v>
      </c>
      <c r="J918" s="82">
        <f>IFERROR(__xludf.DUMMYFUNCTION("""COMPUTED_VALUE"""),357.25)</f>
        <v>357.25</v>
      </c>
      <c r="K918" s="82">
        <f>IFERROR(__xludf.DUMMYFUNCTION("""COMPUTED_VALUE"""),0.75)</f>
        <v>0.75</v>
      </c>
      <c r="L918" s="82">
        <f>IFERROR(__xludf.DUMMYFUNCTION("""COMPUTED_VALUE"""),0.0)</f>
        <v>0</v>
      </c>
      <c r="M918" s="82">
        <f>IFERROR(__xludf.DUMMYFUNCTION("""COMPUTED_VALUE"""),1.75)</f>
        <v>1.75</v>
      </c>
      <c r="N918" s="82">
        <f>IFERROR(__xludf.DUMMYFUNCTION("""COMPUTED_VALUE"""),1.75)</f>
        <v>1.75</v>
      </c>
      <c r="O918" s="82">
        <f>IFERROR(__xludf.DUMMYFUNCTION("""COMPUTED_VALUE"""),365.3333333333333)</f>
        <v>365.3333333</v>
      </c>
      <c r="P918" s="82">
        <f>IFERROR(__xludf.DUMMYFUNCTION("""COMPUTED_VALUE"""),0.9166666666666666)</f>
        <v>0.9166666667</v>
      </c>
      <c r="Q918" s="82">
        <f>IFERROR(__xludf.DUMMYFUNCTION("""COMPUTED_VALUE"""),0.6666666666666666)</f>
        <v>0.6666666667</v>
      </c>
      <c r="R918" s="82">
        <f>IFERROR(__xludf.DUMMYFUNCTION("""COMPUTED_VALUE"""),0.9999999999999999)</f>
        <v>1</v>
      </c>
      <c r="S918" s="82">
        <f>IFERROR(__xludf.DUMMYFUNCTION("""COMPUTED_VALUE"""),3.5)</f>
        <v>3.5</v>
      </c>
      <c r="T918" s="82">
        <f>IFERROR(__xludf.DUMMYFUNCTION("""COMPUTED_VALUE"""),365.1006944444445)</f>
        <v>365.1006944</v>
      </c>
      <c r="U918" s="82">
        <f>IFERROR(__xludf.DUMMYFUNCTION("""COMPUTED_VALUE"""),0.8981481481481483)</f>
        <v>0.8981481481</v>
      </c>
      <c r="V918" s="82">
        <f>IFERROR(__xludf.DUMMYFUNCTION("""COMPUTED_VALUE"""),0.6284722222222222)</f>
        <v>0.6284722222</v>
      </c>
      <c r="W918" s="82">
        <f>IFERROR(__xludf.DUMMYFUNCTION("""COMPUTED_VALUE"""),1.2233796296296295)</f>
        <v>1.22337963</v>
      </c>
      <c r="X918" s="82">
        <f>IFERROR(__xludf.DUMMYFUNCTION("""COMPUTED_VALUE"""),2.9895833333333335)</f>
        <v>2.989583333</v>
      </c>
      <c r="Y918" s="82">
        <f>IFERROR(__xludf.DUMMYFUNCTION("""COMPUTED_VALUE"""),376.3661265432099)</f>
        <v>376.3661265</v>
      </c>
      <c r="Z918" s="82">
        <f>IFERROR(__xludf.DUMMYFUNCTION("""COMPUTED_VALUE"""),0.8834876543209876)</f>
        <v>0.8834876543</v>
      </c>
      <c r="AA918" s="82">
        <f>IFERROR(__xludf.DUMMYFUNCTION("""COMPUTED_VALUE"""),0.6369598765432101)</f>
        <v>0.6369598765</v>
      </c>
      <c r="AB918" s="82">
        <f>IFERROR(__xludf.DUMMYFUNCTION("""COMPUTED_VALUE"""),1.5505401234567902)</f>
        <v>1.550540123</v>
      </c>
      <c r="AC918" s="82">
        <f>IFERROR(__xludf.DUMMYFUNCTION("""COMPUTED_VALUE"""),2.5065586419753085)</f>
        <v>2.506558642</v>
      </c>
      <c r="AD918" s="82">
        <f>IFERROR(__xludf.DUMMYFUNCTION("""COMPUTED_VALUE"""),0.9492086954828142)</f>
        <v>0.9492086955</v>
      </c>
      <c r="AE918" s="82">
        <f>IFERROR(__xludf.DUMMYFUNCTION("""COMPUTED_VALUE"""),0.8489082969432314)</f>
        <v>0.8489082969</v>
      </c>
      <c r="AF918" s="82">
        <f>IFERROR(__xludf.DUMMYFUNCTION("""COMPUTED_VALUE"""),0.0)</f>
        <v>0</v>
      </c>
      <c r="AG918" s="82">
        <f>IFERROR(__xludf.DUMMYFUNCTION("""COMPUTED_VALUE"""),1.128638964916646)</f>
        <v>1.128638965</v>
      </c>
      <c r="AH918" s="82">
        <f>IFERROR(__xludf.DUMMYFUNCTION("""COMPUTED_VALUE"""),0.6981683854086502)</f>
        <v>0.6981683854</v>
      </c>
      <c r="AI918" s="82">
        <f>IFERROR(__xludf.DUMMYFUNCTION("""COMPUTED_VALUE"""),1.0006371910336758)</f>
        <v>1.000637191</v>
      </c>
      <c r="AJ918" s="82">
        <f>IFERROR(__xludf.DUMMYFUNCTION("""COMPUTED_VALUE"""),1.0206185567010309)</f>
        <v>1.020618557</v>
      </c>
      <c r="AK918" s="82">
        <f>IFERROR(__xludf.DUMMYFUNCTION("""COMPUTED_VALUE"""),1.0607734806629834)</f>
        <v>1.060773481</v>
      </c>
      <c r="AL918" s="82">
        <f>IFERROR(__xludf.DUMMYFUNCTION("""COMPUTED_VALUE"""),0.8174077578051088)</f>
        <v>0.8174077578</v>
      </c>
      <c r="AM918" s="82">
        <f>IFERROR(__xludf.DUMMYFUNCTION("""COMPUTED_VALUE"""),1.170731707317073)</f>
        <v>1.170731707</v>
      </c>
      <c r="AN918" s="82">
        <f>IFERROR(__xludf.DUMMYFUNCTION("""COMPUTED_VALUE"""),1.0128751745043902)</f>
        <v>1.012875175</v>
      </c>
      <c r="AO918" s="82">
        <f>IFERROR(__xludf.DUMMYFUNCTION("""COMPUTED_VALUE"""),1.0516180443859584)</f>
        <v>1.051618044</v>
      </c>
      <c r="AP918" s="82">
        <f>IFERROR(__xludf.DUMMYFUNCTION("""COMPUTED_VALUE"""),0.0)</f>
        <v>0</v>
      </c>
      <c r="AQ918" s="82">
        <f>IFERROR(__xludf.DUMMYFUNCTION("""COMPUTED_VALUE"""),1.2267634153505023)</f>
        <v>1.226763415</v>
      </c>
      <c r="AR918" s="82">
        <f>IFERROR(__xludf.DUMMYFUNCTION("""COMPUTED_VALUE"""),0.69468967668411)</f>
        <v>0.6946896767</v>
      </c>
      <c r="AS918" s="82">
        <f>IFERROR(__xludf.DUMMYFUNCTION("""COMPUTED_VALUE"""),8.0)</f>
        <v>8</v>
      </c>
      <c r="AT918" s="82">
        <f>IFERROR(__xludf.DUMMYFUNCTION("""COMPUTED_VALUE"""),0.37800322450909896)</f>
        <v>0.3780032245</v>
      </c>
      <c r="AU918" s="82">
        <f>IFERROR(__xludf.DUMMYFUNCTION("""COMPUTED_VALUE"""),1.3698701749789313)</f>
        <v>1.369870175</v>
      </c>
      <c r="AV918" s="82">
        <f>IFERROR(__xludf.DUMMYFUNCTION("""COMPUTED_VALUE"""),23.169808930185653)</f>
        <v>23.16980893</v>
      </c>
      <c r="AW918" s="82">
        <f t="shared" si="1"/>
        <v>-7.062696488</v>
      </c>
      <c r="AX918" s="83">
        <f t="array" ref="AX918">IFERROR(DGET('SBV Import'!A:G,"SBV",{"RSC ID","Tier";B918,A918}))</f>
        <v>21.20810086</v>
      </c>
      <c r="AY918" s="82">
        <f t="shared" si="2"/>
        <v>-8.017502138</v>
      </c>
      <c r="AZ918" s="82">
        <v>0.9548056497617816</v>
      </c>
      <c r="BA918" s="84">
        <v>800.0</v>
      </c>
      <c r="BB918" s="84" t="b">
        <f>IFERROR(__xludf.DUMMYFUNCTION("iferror(if(A918="""",,E918&gt;=FILTER(Constants!$F$2:$F$10,Constants!$A$2:$A$10=A918)))"),TRUE)</f>
        <v>1</v>
      </c>
    </row>
    <row r="919">
      <c r="A919" s="80" t="str">
        <f>IFERROR(__xludf.DUMMYFUNCTION("""COMPUTED_VALUE"""),"Elite")</f>
        <v>Elite</v>
      </c>
      <c r="B919" s="73" t="str">
        <f>IFERROR(__xludf.DUMMYFUNCTION("""COMPUTED_VALUE"""),"RSC005469")</f>
        <v>RSC005469</v>
      </c>
      <c r="C919" s="73" t="str">
        <f>IFERROR(__xludf.DUMMYFUNCTION("""COMPUTED_VALUE"""),"Axlos (Goofy and Silly)")</f>
        <v>Axlos (Goofy and Silly)</v>
      </c>
      <c r="D919" s="73" t="str">
        <f>IFERROR(__xludf.DUMMYFUNCTION("""COMPUTED_VALUE"""),"Keno")</f>
        <v>Keno</v>
      </c>
      <c r="E919" s="82">
        <f>IFERROR(__xludf.DUMMYFUNCTION("""COMPUTED_VALUE"""),15.0)</f>
        <v>15</v>
      </c>
      <c r="F919" s="82">
        <f>IFERROR(__xludf.DUMMYFUNCTION("""COMPUTED_VALUE"""),5.0)</f>
        <v>5</v>
      </c>
      <c r="G919" s="82">
        <f>IFERROR(__xludf.DUMMYFUNCTION("""COMPUTED_VALUE"""),10.0)</f>
        <v>10</v>
      </c>
      <c r="H919" s="86">
        <f>IFERROR(__xludf.DUMMYFUNCTION("""COMPUTED_VALUE"""),0.3333333333333333)</f>
        <v>0.3333333333</v>
      </c>
      <c r="I919" s="86">
        <f>IFERROR(__xludf.DUMMYFUNCTION("""COMPUTED_VALUE"""),0.21875)</f>
        <v>0.21875</v>
      </c>
      <c r="J919" s="82">
        <f>IFERROR(__xludf.DUMMYFUNCTION("""COMPUTED_VALUE"""),275.8666666666667)</f>
        <v>275.8666667</v>
      </c>
      <c r="K919" s="82">
        <f>IFERROR(__xludf.DUMMYFUNCTION("""COMPUTED_VALUE"""),0.4666666666666667)</f>
        <v>0.4666666667</v>
      </c>
      <c r="L919" s="82">
        <f>IFERROR(__xludf.DUMMYFUNCTION("""COMPUTED_VALUE"""),0.2)</f>
        <v>0.2</v>
      </c>
      <c r="M919" s="82">
        <f>IFERROR(__xludf.DUMMYFUNCTION("""COMPUTED_VALUE"""),1.0666666666666667)</f>
        <v>1.066666667</v>
      </c>
      <c r="N919" s="82">
        <f>IFERROR(__xludf.DUMMYFUNCTION("""COMPUTED_VALUE"""),2.1333333333333333)</f>
        <v>2.133333333</v>
      </c>
      <c r="O919" s="82">
        <f>IFERROR(__xludf.DUMMYFUNCTION("""COMPUTED_VALUE"""),344.44444444444446)</f>
        <v>344.4444444</v>
      </c>
      <c r="P919" s="82">
        <f>IFERROR(__xludf.DUMMYFUNCTION("""COMPUTED_VALUE"""),0.7777777777777778)</f>
        <v>0.7777777778</v>
      </c>
      <c r="Q919" s="82">
        <f>IFERROR(__xludf.DUMMYFUNCTION("""COMPUTED_VALUE"""),0.4666666666666666)</f>
        <v>0.4666666667</v>
      </c>
      <c r="R919" s="82">
        <f>IFERROR(__xludf.DUMMYFUNCTION("""COMPUTED_VALUE"""),1.2666666666666664)</f>
        <v>1.266666667</v>
      </c>
      <c r="S919" s="82">
        <f>IFERROR(__xludf.DUMMYFUNCTION("""COMPUTED_VALUE"""),2.8444444444444446)</f>
        <v>2.844444444</v>
      </c>
      <c r="T919" s="82">
        <f>IFERROR(__xludf.DUMMYFUNCTION("""COMPUTED_VALUE"""),350.1547339340577)</f>
        <v>350.1547339</v>
      </c>
      <c r="U919" s="82">
        <f>IFERROR(__xludf.DUMMYFUNCTION("""COMPUTED_VALUE"""),0.748526484761899)</f>
        <v>0.7485264848</v>
      </c>
      <c r="V919" s="82">
        <f>IFERROR(__xludf.DUMMYFUNCTION("""COMPUTED_VALUE"""),0.5541279634519672)</f>
        <v>0.5541279635</v>
      </c>
      <c r="W919" s="82">
        <f>IFERROR(__xludf.DUMMYFUNCTION("""COMPUTED_VALUE"""),1.347953492565671)</f>
        <v>1.347953493</v>
      </c>
      <c r="X919" s="82">
        <f>IFERROR(__xludf.DUMMYFUNCTION("""COMPUTED_VALUE"""),2.555375310736578)</f>
        <v>2.555375311</v>
      </c>
      <c r="Y919" s="82">
        <f>IFERROR(__xludf.DUMMYFUNCTION("""COMPUTED_VALUE"""),358.89034913577393)</f>
        <v>358.8903491</v>
      </c>
      <c r="Z919" s="82">
        <f>IFERROR(__xludf.DUMMYFUNCTION("""COMPUTED_VALUE"""),0.7985003123171168)</f>
        <v>0.7985003123</v>
      </c>
      <c r="AA919" s="82">
        <f>IFERROR(__xludf.DUMMYFUNCTION("""COMPUTED_VALUE"""),0.6053616234801303)</f>
        <v>0.6053616235</v>
      </c>
      <c r="AB919" s="82">
        <f>IFERROR(__xludf.DUMMYFUNCTION("""COMPUTED_VALUE"""),1.3799854586356923)</f>
        <v>1.379985459</v>
      </c>
      <c r="AC919" s="82">
        <f>IFERROR(__xludf.DUMMYFUNCTION("""COMPUTED_VALUE"""),2.614273521173717)</f>
        <v>2.614273521</v>
      </c>
      <c r="AD919" s="82">
        <f>IFERROR(__xludf.DUMMYFUNCTION("""COMPUTED_VALUE"""),0.7686656031040331)</f>
        <v>0.7686656031</v>
      </c>
      <c r="AE919" s="82">
        <f>IFERROR(__xludf.DUMMYFUNCTION("""COMPUTED_VALUE"""),0.5844289093794799)</f>
        <v>0.5844289094</v>
      </c>
      <c r="AF919" s="82">
        <f>IFERROR(__xludf.DUMMYFUNCTION("""COMPUTED_VALUE"""),0.33038103547137815)</f>
        <v>0.3303810355</v>
      </c>
      <c r="AG919" s="82">
        <f>IFERROR(__xludf.DUMMYFUNCTION("""COMPUTED_VALUE"""),0.7729550047007127)</f>
        <v>0.7729550047</v>
      </c>
      <c r="AH919" s="82">
        <f>IFERROR(__xludf.DUMMYFUNCTION("""COMPUTED_VALUE"""),0.8160329499017156)</f>
        <v>0.8160329499</v>
      </c>
      <c r="AI919" s="82">
        <f>IFERROR(__xludf.DUMMYFUNCTION("""COMPUTED_VALUE"""),0.9836920968468511)</f>
        <v>0.9836920968</v>
      </c>
      <c r="AJ919" s="82">
        <f>IFERROR(__xludf.DUMMYFUNCTION("""COMPUTED_VALUE"""),1.0390785010435315)</f>
        <v>1.039078501</v>
      </c>
      <c r="AK919" s="82">
        <f>IFERROR(__xludf.DUMMYFUNCTION("""COMPUTED_VALUE"""),0.8421640802235351)</f>
        <v>0.8421640802</v>
      </c>
      <c r="AL919" s="82">
        <f>IFERROR(__xludf.DUMMYFUNCTION("""COMPUTED_VALUE"""),0.9396961198236262)</f>
        <v>0.9396961198</v>
      </c>
      <c r="AM919" s="82">
        <f>IFERROR(__xludf.DUMMYFUNCTION("""COMPUTED_VALUE"""),1.1131219874017424)</f>
        <v>1.113121987</v>
      </c>
      <c r="AN919" s="82">
        <f>IFERROR(__xludf.DUMMYFUNCTION("""COMPUTED_VALUE"""),0.7821371536457508)</f>
        <v>0.7821371536</v>
      </c>
      <c r="AO919" s="82">
        <f>IFERROR(__xludf.DUMMYFUNCTION("""COMPUTED_VALUE"""),0.6543401165068186)</f>
        <v>0.6543401165</v>
      </c>
      <c r="AP919" s="82">
        <f>IFERROR(__xludf.DUMMYFUNCTION("""COMPUTED_VALUE"""),0.34777985375355713)</f>
        <v>0.3477798538</v>
      </c>
      <c r="AQ919" s="82">
        <f>IFERROR(__xludf.DUMMYFUNCTION("""COMPUTED_VALUE"""),0.7477415103088776)</f>
        <v>0.7477415103</v>
      </c>
      <c r="AR919" s="82">
        <f>IFERROR(__xludf.DUMMYFUNCTION("""COMPUTED_VALUE"""),0.8468597963387245)</f>
        <v>0.8468597963</v>
      </c>
      <c r="AS919" s="82">
        <f>IFERROR(__xludf.DUMMYFUNCTION("""COMPUTED_VALUE"""),29.0)</f>
        <v>29</v>
      </c>
      <c r="AT919" s="82">
        <f>IFERROR(__xludf.DUMMYFUNCTION("""COMPUTED_VALUE"""),0.4291851126119474)</f>
        <v>0.4291851126</v>
      </c>
      <c r="AU919" s="82">
        <f>IFERROR(__xludf.DUMMYFUNCTION("""COMPUTED_VALUE"""),1.2434695814226264)</f>
        <v>1.243469581</v>
      </c>
      <c r="AV919" s="82">
        <f>IFERROR(__xludf.DUMMYFUNCTION("""COMPUTED_VALUE"""),19.61802061903525)</f>
        <v>19.61802062</v>
      </c>
      <c r="AW919" s="82">
        <f t="shared" si="1"/>
        <v>-8.918234569</v>
      </c>
      <c r="AX919" s="83">
        <f t="array" ref="AX919">IFERROR(DGET('SBV Import'!A:G,"SBV",{"RSC ID","Tier";B919,A919}))</f>
        <v>16.57197778</v>
      </c>
      <c r="AY919" s="82">
        <f t="shared" si="2"/>
        <v>-11.03855227</v>
      </c>
      <c r="AZ919" s="82">
        <v>2.1203177013861954</v>
      </c>
      <c r="BA919" s="84">
        <v>800.0</v>
      </c>
      <c r="BB919" s="84" t="b">
        <f>IFERROR(__xludf.DUMMYFUNCTION("iferror(if(A919="""",,E919&gt;=FILTER(Constants!$F$2:$F$10,Constants!$A$2:$A$10=A919)))"),TRUE)</f>
        <v>1</v>
      </c>
    </row>
    <row r="920">
      <c r="A920" s="80" t="str">
        <f>IFERROR(__xludf.DUMMYFUNCTION("""COMPUTED_VALUE"""),"Elite")</f>
        <v>Elite</v>
      </c>
      <c r="B920" s="73" t="str">
        <f>IFERROR(__xludf.DUMMYFUNCTION("""COMPUTED_VALUE"""),"RSC003445")</f>
        <v>RSC003445</v>
      </c>
      <c r="C920" s="73" t="str">
        <f>IFERROR(__xludf.DUMMYFUNCTION("""COMPUTED_VALUE"""),"bosco")</f>
        <v>bosco</v>
      </c>
      <c r="D920" s="73"/>
      <c r="E920" s="82">
        <f>IFERROR(__xludf.DUMMYFUNCTION("""COMPUTED_VALUE"""),4.0)</f>
        <v>4</v>
      </c>
      <c r="F920" s="82">
        <f>IFERROR(__xludf.DUMMYFUNCTION("""COMPUTED_VALUE"""),1.0)</f>
        <v>1</v>
      </c>
      <c r="G920" s="82">
        <f>IFERROR(__xludf.DUMMYFUNCTION("""COMPUTED_VALUE"""),3.0)</f>
        <v>3</v>
      </c>
      <c r="H920" s="86">
        <f>IFERROR(__xludf.DUMMYFUNCTION("""COMPUTED_VALUE"""),0.25)</f>
        <v>0.25</v>
      </c>
      <c r="I920" s="86">
        <f>IFERROR(__xludf.DUMMYFUNCTION("""COMPUTED_VALUE"""),0.18181818181818182)</f>
        <v>0.1818181818</v>
      </c>
      <c r="J920" s="82">
        <f>IFERROR(__xludf.DUMMYFUNCTION("""COMPUTED_VALUE"""),280.75)</f>
        <v>280.75</v>
      </c>
      <c r="K920" s="82">
        <f>IFERROR(__xludf.DUMMYFUNCTION("""COMPUTED_VALUE"""),0.5)</f>
        <v>0.5</v>
      </c>
      <c r="L920" s="82">
        <f>IFERROR(__xludf.DUMMYFUNCTION("""COMPUTED_VALUE"""),0.0)</f>
        <v>0</v>
      </c>
      <c r="M920" s="82">
        <f>IFERROR(__xludf.DUMMYFUNCTION("""COMPUTED_VALUE"""),1.0)</f>
        <v>1</v>
      </c>
      <c r="N920" s="82">
        <f>IFERROR(__xludf.DUMMYFUNCTION("""COMPUTED_VALUE"""),2.75)</f>
        <v>2.75</v>
      </c>
      <c r="O920" s="82">
        <f>IFERROR(__xludf.DUMMYFUNCTION("""COMPUTED_VALUE"""),473.91666666666663)</f>
        <v>473.9166667</v>
      </c>
      <c r="P920" s="82">
        <f>IFERROR(__xludf.DUMMYFUNCTION("""COMPUTED_VALUE"""),1.0833333333333333)</f>
        <v>1.083333333</v>
      </c>
      <c r="Q920" s="82">
        <f>IFERROR(__xludf.DUMMYFUNCTION("""COMPUTED_VALUE"""),0.9166666666666666)</f>
        <v>0.9166666667</v>
      </c>
      <c r="R920" s="82">
        <f>IFERROR(__xludf.DUMMYFUNCTION("""COMPUTED_VALUE"""),2.0833333333333335)</f>
        <v>2.083333333</v>
      </c>
      <c r="S920" s="82">
        <f>IFERROR(__xludf.DUMMYFUNCTION("""COMPUTED_VALUE"""),2.3333333333333335)</f>
        <v>2.333333333</v>
      </c>
      <c r="T920" s="82">
        <f>IFERROR(__xludf.DUMMYFUNCTION("""COMPUTED_VALUE"""),387.2916666666667)</f>
        <v>387.2916667</v>
      </c>
      <c r="U920" s="82">
        <f>IFERROR(__xludf.DUMMYFUNCTION("""COMPUTED_VALUE"""),0.8472222222222223)</f>
        <v>0.8472222222</v>
      </c>
      <c r="V920" s="82">
        <f>IFERROR(__xludf.DUMMYFUNCTION("""COMPUTED_VALUE"""),0.6064814814814815)</f>
        <v>0.6064814815</v>
      </c>
      <c r="W920" s="82">
        <f>IFERROR(__xludf.DUMMYFUNCTION("""COMPUTED_VALUE"""),1.5509259259259263)</f>
        <v>1.550925926</v>
      </c>
      <c r="X920" s="82">
        <f>IFERROR(__xludf.DUMMYFUNCTION("""COMPUTED_VALUE"""),2.7962962962962963)</f>
        <v>2.796296296</v>
      </c>
      <c r="Y920" s="82">
        <f>IFERROR(__xludf.DUMMYFUNCTION("""COMPUTED_VALUE"""),353.1111111111111)</f>
        <v>353.1111111</v>
      </c>
      <c r="Z920" s="82">
        <f>IFERROR(__xludf.DUMMYFUNCTION("""COMPUTED_VALUE"""),0.6882716049382717)</f>
        <v>0.6882716049</v>
      </c>
      <c r="AA920" s="82">
        <f>IFERROR(__xludf.DUMMYFUNCTION("""COMPUTED_VALUE"""),0.5524691358024691)</f>
        <v>0.5524691358</v>
      </c>
      <c r="AB920" s="82">
        <f>IFERROR(__xludf.DUMMYFUNCTION("""COMPUTED_VALUE"""),1.405864197530864)</f>
        <v>1.405864198</v>
      </c>
      <c r="AC920" s="82">
        <f>IFERROR(__xludf.DUMMYFUNCTION("""COMPUTED_VALUE"""),2.4645061728395063)</f>
        <v>2.464506173</v>
      </c>
      <c r="AD920" s="82">
        <f>IFERROR(__xludf.DUMMYFUNCTION("""COMPUTED_VALUE"""),0.795075519194462)</f>
        <v>0.7950755192</v>
      </c>
      <c r="AE920" s="82">
        <f>IFERROR(__xludf.DUMMYFUNCTION("""COMPUTED_VALUE"""),0.726457399103139)</f>
        <v>0.7264573991</v>
      </c>
      <c r="AF920" s="82">
        <f>IFERROR(__xludf.DUMMYFUNCTION("""COMPUTED_VALUE"""),0.0)</f>
        <v>0</v>
      </c>
      <c r="AG920" s="82">
        <f>IFERROR(__xludf.DUMMYFUNCTION("""COMPUTED_VALUE"""),0.7113062568605929)</f>
        <v>0.7113062569</v>
      </c>
      <c r="AH920" s="82">
        <f>IFERROR(__xludf.DUMMYFUNCTION("""COMPUTED_VALUE"""),1.115842204132749)</f>
        <v>1.115842204</v>
      </c>
      <c r="AI920" s="82">
        <f>IFERROR(__xludf.DUMMYFUNCTION("""COMPUTED_VALUE"""),1.2236686390532543)</f>
        <v>1.223668639</v>
      </c>
      <c r="AJ920" s="82">
        <f>IFERROR(__xludf.DUMMYFUNCTION("""COMPUTED_VALUE"""),1.2786885245901638)</f>
        <v>1.278688525</v>
      </c>
      <c r="AK920" s="82">
        <f>IFERROR(__xludf.DUMMYFUNCTION("""COMPUTED_VALUE"""),1.5114503816793892)</f>
        <v>1.511450382</v>
      </c>
      <c r="AL920" s="82">
        <f>IFERROR(__xludf.DUMMYFUNCTION("""COMPUTED_VALUE"""),1.3432835820895521)</f>
        <v>1.343283582</v>
      </c>
      <c r="AM920" s="82">
        <f>IFERROR(__xludf.DUMMYFUNCTION("""COMPUTED_VALUE"""),0.8344370860927153)</f>
        <v>0.8344370861</v>
      </c>
      <c r="AN920" s="82">
        <f>IFERROR(__xludf.DUMMYFUNCTION("""COMPUTED_VALUE"""),0.795982379963912)</f>
        <v>0.79598238</v>
      </c>
      <c r="AO920" s="82">
        <f>IFERROR(__xludf.DUMMYFUNCTION("""COMPUTED_VALUE"""),0.7010786962573057)</f>
        <v>0.7010786963</v>
      </c>
      <c r="AP920" s="82">
        <f>IFERROR(__xludf.DUMMYFUNCTION("""COMPUTED_VALUE"""),0.0)</f>
        <v>0</v>
      </c>
      <c r="AQ920" s="82">
        <f>IFERROR(__xludf.DUMMYFUNCTION("""COMPUTED_VALUE"""),0.7010076659145728)</f>
        <v>0.7010076659</v>
      </c>
      <c r="AR920" s="82">
        <f>IFERROR(__xludf.DUMMYFUNCTION("""COMPUTED_VALUE"""),1.0916552062178873)</f>
        <v>1.091655206</v>
      </c>
      <c r="AS920" s="82">
        <f>IFERROR(__xludf.DUMMYFUNCTION("""COMPUTED_VALUE"""),7.0)</f>
        <v>7</v>
      </c>
      <c r="AT920" s="82">
        <f>IFERROR(__xludf.DUMMYFUNCTION("""COMPUTED_VALUE"""),0.2724004993386534)</f>
        <v>0.2724004993</v>
      </c>
      <c r="AU920" s="82">
        <f>IFERROR(__xludf.DUMMYFUNCTION("""COMPUTED_VALUE"""),1.162069161260008)</f>
        <v>1.162069161</v>
      </c>
      <c r="AV920" s="82">
        <f>IFERROR(__xludf.DUMMYFUNCTION("""COMPUTED_VALUE"""),17.330712840472216)</f>
        <v>17.33071284</v>
      </c>
      <c r="AW920" s="82">
        <f t="shared" si="1"/>
        <v>-10.45531147</v>
      </c>
      <c r="AX920" s="83">
        <f t="array" ref="AX920">IFERROR(DGET('SBV Import'!A:G,"SBV",{"RSC ID","Tier";B920,A920}))</f>
        <v>12.21792473</v>
      </c>
      <c r="AY920" s="82">
        <f t="shared" si="2"/>
        <v>-15.30030358</v>
      </c>
      <c r="AZ920" s="82">
        <v>4.844992111810267</v>
      </c>
      <c r="BA920" s="84">
        <v>800.0</v>
      </c>
      <c r="BB920" s="84" t="b">
        <f>IFERROR(__xludf.DUMMYFUNCTION("iferror(if(A920="""",,E920&gt;=FILTER(Constants!$F$2:$F$10,Constants!$A$2:$A$10=A920)))"),TRUE)</f>
        <v>1</v>
      </c>
    </row>
    <row r="921">
      <c r="A921" s="80" t="str">
        <f>IFERROR(__xludf.DUMMYFUNCTION("""COMPUTED_VALUE"""),"Elite")</f>
        <v>Elite</v>
      </c>
      <c r="B921" s="73" t="str">
        <f>IFERROR(__xludf.DUMMYFUNCTION("""COMPUTED_VALUE"""),"RSC004889")</f>
        <v>RSC004889</v>
      </c>
      <c r="C921" s="73" t="str">
        <f>IFERROR(__xludf.DUMMYFUNCTION("""COMPUTED_VALUE"""),"Steeltoehammer")</f>
        <v>Steeltoehammer</v>
      </c>
      <c r="D921" s="73" t="str">
        <f>IFERROR(__xludf.DUMMYFUNCTION("""COMPUTED_VALUE"""),"Despair")</f>
        <v>Despair</v>
      </c>
      <c r="E921" s="82">
        <f>IFERROR(__xludf.DUMMYFUNCTION("""COMPUTED_VALUE"""),7.0)</f>
        <v>7</v>
      </c>
      <c r="F921" s="82">
        <f>IFERROR(__xludf.DUMMYFUNCTION("""COMPUTED_VALUE"""),3.0)</f>
        <v>3</v>
      </c>
      <c r="G921" s="82">
        <f>IFERROR(__xludf.DUMMYFUNCTION("""COMPUTED_VALUE"""),4.0)</f>
        <v>4</v>
      </c>
      <c r="H921" s="86">
        <f>IFERROR(__xludf.DUMMYFUNCTION("""COMPUTED_VALUE"""),0.42857142857142855)</f>
        <v>0.4285714286</v>
      </c>
      <c r="I921" s="86">
        <f>IFERROR(__xludf.DUMMYFUNCTION("""COMPUTED_VALUE"""),0.375)</f>
        <v>0.375</v>
      </c>
      <c r="J921" s="82">
        <f>IFERROR(__xludf.DUMMYFUNCTION("""COMPUTED_VALUE"""),301.7142857142857)</f>
        <v>301.7142857</v>
      </c>
      <c r="K921" s="82">
        <f>IFERROR(__xludf.DUMMYFUNCTION("""COMPUTED_VALUE"""),0.42857142857142855)</f>
        <v>0.4285714286</v>
      </c>
      <c r="L921" s="82">
        <f>IFERROR(__xludf.DUMMYFUNCTION("""COMPUTED_VALUE"""),0.14285714285714285)</f>
        <v>0.1428571429</v>
      </c>
      <c r="M921" s="82">
        <f>IFERROR(__xludf.DUMMYFUNCTION("""COMPUTED_VALUE"""),1.2857142857142858)</f>
        <v>1.285714286</v>
      </c>
      <c r="N921" s="82">
        <f>IFERROR(__xludf.DUMMYFUNCTION("""COMPUTED_VALUE"""),1.1428571428571428)</f>
        <v>1.142857143</v>
      </c>
      <c r="O921" s="82">
        <f>IFERROR(__xludf.DUMMYFUNCTION("""COMPUTED_VALUE"""),355.66666666666663)</f>
        <v>355.6666667</v>
      </c>
      <c r="P921" s="82">
        <f>IFERROR(__xludf.DUMMYFUNCTION("""COMPUTED_VALUE"""),0.5238095238095237)</f>
        <v>0.5238095238</v>
      </c>
      <c r="Q921" s="82">
        <f>IFERROR(__xludf.DUMMYFUNCTION("""COMPUTED_VALUE"""),0.42857142857142855)</f>
        <v>0.4285714286</v>
      </c>
      <c r="R921" s="82">
        <f>IFERROR(__xludf.DUMMYFUNCTION("""COMPUTED_VALUE"""),1.2857142857142858)</f>
        <v>1.285714286</v>
      </c>
      <c r="S921" s="82">
        <f>IFERROR(__xludf.DUMMYFUNCTION("""COMPUTED_VALUE"""),2.9523809523809526)</f>
        <v>2.952380952</v>
      </c>
      <c r="T921" s="82">
        <f>IFERROR(__xludf.DUMMYFUNCTION("""COMPUTED_VALUE"""),379.43448590905894)</f>
        <v>379.4344859</v>
      </c>
      <c r="U921" s="82">
        <f>IFERROR(__xludf.DUMMYFUNCTION("""COMPUTED_VALUE"""),0.8640558015320823)</f>
        <v>0.8640558015</v>
      </c>
      <c r="V921" s="82">
        <f>IFERROR(__xludf.DUMMYFUNCTION("""COMPUTED_VALUE"""),0.6316965854442136)</f>
        <v>0.6316965854</v>
      </c>
      <c r="W921" s="82">
        <f>IFERROR(__xludf.DUMMYFUNCTION("""COMPUTED_VALUE"""),1.417059727116653)</f>
        <v>1.417059727</v>
      </c>
      <c r="X921" s="82">
        <f>IFERROR(__xludf.DUMMYFUNCTION("""COMPUTED_VALUE"""),2.987390440046986)</f>
        <v>2.98739044</v>
      </c>
      <c r="Y921" s="82">
        <f>IFERROR(__xludf.DUMMYFUNCTION("""COMPUTED_VALUE"""),345.3308221137918)</f>
        <v>345.3308221</v>
      </c>
      <c r="Z921" s="82">
        <f>IFERROR(__xludf.DUMMYFUNCTION("""COMPUTED_VALUE"""),0.637638591876416)</f>
        <v>0.6376385919</v>
      </c>
      <c r="AA921" s="82">
        <f>IFERROR(__xludf.DUMMYFUNCTION("""COMPUTED_VALUE"""),0.48560970385764823)</f>
        <v>0.4856097039</v>
      </c>
      <c r="AB921" s="82">
        <f>IFERROR(__xludf.DUMMYFUNCTION("""COMPUTED_VALUE"""),1.4968401219508114)</f>
        <v>1.496840122</v>
      </c>
      <c r="AC921" s="82">
        <f>IFERROR(__xludf.DUMMYFUNCTION("""COMPUTED_VALUE"""),2.4533415994832817)</f>
        <v>2.453341599</v>
      </c>
      <c r="AD921" s="82">
        <f>IFERROR(__xludf.DUMMYFUNCTION("""COMPUTED_VALUE"""),0.8736963699546815)</f>
        <v>0.87369637</v>
      </c>
      <c r="AE921" s="82">
        <f>IFERROR(__xludf.DUMMYFUNCTION("""COMPUTED_VALUE"""),0.6721227887262071)</f>
        <v>0.6721227887</v>
      </c>
      <c r="AF921" s="82">
        <f>IFERROR(__xludf.DUMMYFUNCTION("""COMPUTED_VALUE"""),0.29418098881117094)</f>
        <v>0.2941809888</v>
      </c>
      <c r="AG921" s="82">
        <f>IFERROR(__xludf.DUMMYFUNCTION("""COMPUTED_VALUE"""),0.8589523135167113)</f>
        <v>0.8589523135</v>
      </c>
      <c r="AH921" s="82">
        <f>IFERROR(__xludf.DUMMYFUNCTION("""COMPUTED_VALUE"""),0.4658369397469351)</f>
        <v>0.4658369397</v>
      </c>
      <c r="AI921" s="82">
        <f>IFERROR(__xludf.DUMMYFUNCTION("""COMPUTED_VALUE"""),0.9373598865547269)</f>
        <v>0.9373598866</v>
      </c>
      <c r="AJ921" s="82">
        <f>IFERROR(__xludf.DUMMYFUNCTION("""COMPUTED_VALUE"""),0.6062218700236048)</f>
        <v>0.60622187</v>
      </c>
      <c r="AK921" s="82">
        <f>IFERROR(__xludf.DUMMYFUNCTION("""COMPUTED_VALUE"""),0.6784450611998386)</f>
        <v>0.6784450612</v>
      </c>
      <c r="AL921" s="82">
        <f>IFERROR(__xludf.DUMMYFUNCTION("""COMPUTED_VALUE"""),0.9073112876691367)</f>
        <v>0.9073112877</v>
      </c>
      <c r="AM921" s="82">
        <f>IFERROR(__xludf.DUMMYFUNCTION("""COMPUTED_VALUE"""),0.9882809132690795)</f>
        <v>0.9882809133</v>
      </c>
      <c r="AN921" s="82">
        <f>IFERROR(__xludf.DUMMYFUNCTION("""COMPUTED_VALUE"""),0.8554203213249114)</f>
        <v>0.8554203213</v>
      </c>
      <c r="AO921" s="82">
        <f>IFERROR(__xludf.DUMMYFUNCTION("""COMPUTED_VALUE"""),0.6009245967919762)</f>
        <v>0.6009245968</v>
      </c>
      <c r="AP921" s="82">
        <f>IFERROR(__xludf.DUMMYFUNCTION("""COMPUTED_VALUE"""),0.24841418125254078)</f>
        <v>0.2484141813</v>
      </c>
      <c r="AQ921" s="82">
        <f>IFERROR(__xludf.DUMMYFUNCTION("""COMPUTED_VALUE"""),0.9012955704615936)</f>
        <v>0.9012955705</v>
      </c>
      <c r="AR921" s="82">
        <f>IFERROR(__xludf.DUMMYFUNCTION("""COMPUTED_VALUE"""),0.4536748908957453)</f>
        <v>0.4536748909</v>
      </c>
      <c r="AS921" s="82">
        <f>IFERROR(__xludf.DUMMYFUNCTION("""COMPUTED_VALUE"""),10.0)</f>
        <v>10</v>
      </c>
      <c r="AT921" s="82">
        <f>IFERROR(__xludf.DUMMYFUNCTION("""COMPUTED_VALUE"""),0.4673866018726564)</f>
        <v>0.4673866019</v>
      </c>
      <c r="AU921" s="82">
        <f>IFERROR(__xludf.DUMMYFUNCTION("""COMPUTED_VALUE"""),1.1395593698907873)</f>
        <v>1.13955937</v>
      </c>
      <c r="AV921" s="82">
        <f>IFERROR(__xludf.DUMMYFUNCTION("""COMPUTED_VALUE"""),16.6981998781338)</f>
        <v>16.69819988</v>
      </c>
      <c r="AW921" s="82">
        <f t="shared" si="1"/>
        <v>-10.93873317</v>
      </c>
      <c r="AX921" s="83">
        <f t="array" ref="AX921">IFERROR(DGET('SBV Import'!A:G,"SBV",{"RSC ID","Tier";B921,A921}))</f>
        <v>12.62810881</v>
      </c>
      <c r="AY921" s="82">
        <f t="shared" si="2"/>
        <v>-14.82064439</v>
      </c>
      <c r="AZ921" s="82">
        <v>3.881911221631256</v>
      </c>
      <c r="BA921" s="84">
        <v>800.0</v>
      </c>
      <c r="BB921" s="84" t="b">
        <f>IFERROR(__xludf.DUMMYFUNCTION("iferror(if(A921="""",,E921&gt;=FILTER(Constants!$F$2:$F$10,Constants!$A$2:$A$10=A921)))"),TRUE)</f>
        <v>1</v>
      </c>
    </row>
    <row r="922">
      <c r="A922" s="80" t="str">
        <f>IFERROR(__xludf.DUMMYFUNCTION("""COMPUTED_VALUE"""),"Elite")</f>
        <v>Elite</v>
      </c>
      <c r="B922" s="73" t="str">
        <f>IFERROR(__xludf.DUMMYFUNCTION("""COMPUTED_VALUE"""),"RSC007877")</f>
        <v>RSC007877</v>
      </c>
      <c r="C922" s="73" t="str">
        <f>IFERROR(__xludf.DUMMYFUNCTION("""COMPUTED_VALUE"""),"Torro")</f>
        <v>Torro</v>
      </c>
      <c r="D922" s="73" t="str">
        <f>IFERROR(__xludf.DUMMYFUNCTION("""COMPUTED_VALUE"""),"Wyverns")</f>
        <v>Wyverns</v>
      </c>
      <c r="E922" s="82">
        <f>IFERROR(__xludf.DUMMYFUNCTION("""COMPUTED_VALUE"""),14.0)</f>
        <v>14</v>
      </c>
      <c r="F922" s="82">
        <f>IFERROR(__xludf.DUMMYFUNCTION("""COMPUTED_VALUE"""),5.0)</f>
        <v>5</v>
      </c>
      <c r="G922" s="82">
        <f>IFERROR(__xludf.DUMMYFUNCTION("""COMPUTED_VALUE"""),9.0)</f>
        <v>9</v>
      </c>
      <c r="H922" s="86">
        <f>IFERROR(__xludf.DUMMYFUNCTION("""COMPUTED_VALUE"""),0.35714285714285715)</f>
        <v>0.3571428571</v>
      </c>
      <c r="I922" s="86">
        <f>IFERROR(__xludf.DUMMYFUNCTION("""COMPUTED_VALUE"""),0.15384615384615383)</f>
        <v>0.1538461538</v>
      </c>
      <c r="J922" s="82">
        <f>IFERROR(__xludf.DUMMYFUNCTION("""COMPUTED_VALUE"""),274.5)</f>
        <v>274.5</v>
      </c>
      <c r="K922" s="82">
        <f>IFERROR(__xludf.DUMMYFUNCTION("""COMPUTED_VALUE"""),0.2857142857142857)</f>
        <v>0.2857142857</v>
      </c>
      <c r="L922" s="82">
        <f>IFERROR(__xludf.DUMMYFUNCTION("""COMPUTED_VALUE"""),0.35714285714285715)</f>
        <v>0.3571428571</v>
      </c>
      <c r="M922" s="82">
        <f>IFERROR(__xludf.DUMMYFUNCTION("""COMPUTED_VALUE"""),1.2142857142857142)</f>
        <v>1.214285714</v>
      </c>
      <c r="N922" s="82">
        <f>IFERROR(__xludf.DUMMYFUNCTION("""COMPUTED_VALUE"""),1.8571428571428572)</f>
        <v>1.857142857</v>
      </c>
      <c r="O922" s="82">
        <f>IFERROR(__xludf.DUMMYFUNCTION("""COMPUTED_VALUE"""),348.8333333333333)</f>
        <v>348.8333333</v>
      </c>
      <c r="P922" s="82">
        <f>IFERROR(__xludf.DUMMYFUNCTION("""COMPUTED_VALUE"""),0.880952380952381)</f>
        <v>0.880952381</v>
      </c>
      <c r="Q922" s="82">
        <f>IFERROR(__xludf.DUMMYFUNCTION("""COMPUTED_VALUE"""),0.6904761904761905)</f>
        <v>0.6904761905</v>
      </c>
      <c r="R922" s="82">
        <f>IFERROR(__xludf.DUMMYFUNCTION("""COMPUTED_VALUE"""),1.1190476190476188)</f>
        <v>1.119047619</v>
      </c>
      <c r="S922" s="82">
        <f>IFERROR(__xludf.DUMMYFUNCTION("""COMPUTED_VALUE"""),2.5476190476190474)</f>
        <v>2.547619048</v>
      </c>
      <c r="T922" s="82">
        <f>IFERROR(__xludf.DUMMYFUNCTION("""COMPUTED_VALUE"""),385.31871334110053)</f>
        <v>385.3187133</v>
      </c>
      <c r="U922" s="82">
        <f>IFERROR(__xludf.DUMMYFUNCTION("""COMPUTED_VALUE"""),0.9287012610644146)</f>
        <v>0.9287012611</v>
      </c>
      <c r="V922" s="82">
        <f>IFERROR(__xludf.DUMMYFUNCTION("""COMPUTED_VALUE"""),0.641021784978083)</f>
        <v>0.641021785</v>
      </c>
      <c r="W922" s="82">
        <f>IFERROR(__xludf.DUMMYFUNCTION("""COMPUTED_VALUE"""),1.3676762431598328)</f>
        <v>1.367676243</v>
      </c>
      <c r="X922" s="82">
        <f>IFERROR(__xludf.DUMMYFUNCTION("""COMPUTED_VALUE"""),2.9266529107457626)</f>
        <v>2.926652911</v>
      </c>
      <c r="Y922" s="82">
        <f>IFERROR(__xludf.DUMMYFUNCTION("""COMPUTED_VALUE"""),355.3868639121534)</f>
        <v>355.3868639</v>
      </c>
      <c r="Z922" s="82">
        <f>IFERROR(__xludf.DUMMYFUNCTION("""COMPUTED_VALUE"""),0.714638622417959)</f>
        <v>0.7146386224</v>
      </c>
      <c r="AA922" s="82">
        <f>IFERROR(__xludf.DUMMYFUNCTION("""COMPUTED_VALUE"""),0.5209539285906116)</f>
        <v>0.5209539286</v>
      </c>
      <c r="AB922" s="82">
        <f>IFERROR(__xludf.DUMMYFUNCTION("""COMPUTED_VALUE"""),1.4809780619699793)</f>
        <v>1.480978062</v>
      </c>
      <c r="AC922" s="82">
        <f>IFERROR(__xludf.DUMMYFUNCTION("""COMPUTED_VALUE"""),2.490206563393852)</f>
        <v>2.490206563</v>
      </c>
      <c r="AD922" s="82">
        <f>IFERROR(__xludf.DUMMYFUNCTION("""COMPUTED_VALUE"""),0.7723977104225567)</f>
        <v>0.7723977104</v>
      </c>
      <c r="AE922" s="82">
        <f>IFERROR(__xludf.DUMMYFUNCTION("""COMPUTED_VALUE"""),0.39980246904033784)</f>
        <v>0.399802469</v>
      </c>
      <c r="AF922" s="82">
        <f>IFERROR(__xludf.DUMMYFUNCTION("""COMPUTED_VALUE"""),0.6855555501982127)</f>
        <v>0.6855555502</v>
      </c>
      <c r="AG922" s="82">
        <f>IFERROR(__xludf.DUMMYFUNCTION("""COMPUTED_VALUE"""),0.8199214731584112)</f>
        <v>0.8199214732</v>
      </c>
      <c r="AH922" s="82">
        <f>IFERROR(__xludf.DUMMYFUNCTION("""COMPUTED_VALUE"""),0.7457786371793169)</f>
        <v>0.7457786372</v>
      </c>
      <c r="AI922" s="82">
        <f>IFERROR(__xludf.DUMMYFUNCTION("""COMPUTED_VALUE"""),0.9053111651614262)</f>
        <v>0.9053111652</v>
      </c>
      <c r="AJ922" s="82">
        <f>IFERROR(__xludf.DUMMYFUNCTION("""COMPUTED_VALUE"""),0.9485853178908069)</f>
        <v>0.9485853179</v>
      </c>
      <c r="AK922" s="82">
        <f>IFERROR(__xludf.DUMMYFUNCTION("""COMPUTED_VALUE"""),1.0771493366638052)</f>
        <v>1.077149337</v>
      </c>
      <c r="AL922" s="82">
        <f>IFERROR(__xludf.DUMMYFUNCTION("""COMPUTED_VALUE"""),0.8182109067436962)</f>
        <v>0.8182109067</v>
      </c>
      <c r="AM922" s="82">
        <f>IFERROR(__xludf.DUMMYFUNCTION("""COMPUTED_VALUE"""),0.8704889596798376)</f>
        <v>0.8704889597</v>
      </c>
      <c r="AN922" s="82">
        <f>IFERROR(__xludf.DUMMYFUNCTION("""COMPUTED_VALUE"""),0.7782623804099513)</f>
        <v>0.7782623804</v>
      </c>
      <c r="AO922" s="82">
        <f>IFERROR(__xludf.DUMMYFUNCTION("""COMPUTED_VALUE"""),0.4006163978613175)</f>
        <v>0.4006163979</v>
      </c>
      <c r="AP922" s="82">
        <f>IFERROR(__xludf.DUMMYFUNCTION("""COMPUTED_VALUE"""),0.621035453131352)</f>
        <v>0.6210354531</v>
      </c>
      <c r="AQ922" s="82">
        <f>IFERROR(__xludf.DUMMYFUNCTION("""COMPUTED_VALUE"""),0.8512235943248383)</f>
        <v>0.8512235943</v>
      </c>
      <c r="AR922" s="82">
        <f>IFERROR(__xludf.DUMMYFUNCTION("""COMPUTED_VALUE"""),0.7372216977055862)</f>
        <v>0.7372216977</v>
      </c>
      <c r="AS922" s="82">
        <f>IFERROR(__xludf.DUMMYFUNCTION("""COMPUTED_VALUE"""),19.0)</f>
        <v>19</v>
      </c>
      <c r="AT922" s="82">
        <f>IFERROR(__xludf.DUMMYFUNCTION("""COMPUTED_VALUE"""),0.27048748309958676)</f>
        <v>0.2704874831</v>
      </c>
      <c r="AU922" s="82">
        <f>IFERROR(__xludf.DUMMYFUNCTION("""COMPUTED_VALUE"""),1.118904930245959)</f>
        <v>1.11890493</v>
      </c>
      <c r="AV922" s="82">
        <f>IFERROR(__xludf.DUMMYFUNCTION("""COMPUTED_VALUE"""),16.117821295724816)</f>
        <v>16.1178213</v>
      </c>
      <c r="AW922" s="82">
        <f t="shared" si="1"/>
        <v>-11.40731549</v>
      </c>
      <c r="AX922" s="83">
        <f t="array" ref="AX922">IFERROR(DGET('SBV Import'!A:G,"SBV",{"RSC ID","Tier";B922,A922}))</f>
        <v>33.35838437</v>
      </c>
      <c r="AY922" s="82">
        <f t="shared" si="2"/>
        <v>-3.955496792</v>
      </c>
      <c r="AZ922" s="82">
        <v>7.451818698266234</v>
      </c>
      <c r="BA922" s="84">
        <v>800.0</v>
      </c>
      <c r="BB922" s="84" t="b">
        <f>IFERROR(__xludf.DUMMYFUNCTION("iferror(if(A922="""",,E922&gt;=FILTER(Constants!$F$2:$F$10,Constants!$A$2:$A$10=A922)))"),TRUE)</f>
        <v>1</v>
      </c>
    </row>
    <row r="923">
      <c r="A923" s="80" t="str">
        <f>IFERROR(__xludf.DUMMYFUNCTION("""COMPUTED_VALUE"""),"Elite")</f>
        <v>Elite</v>
      </c>
      <c r="B923" s="73" t="str">
        <f>IFERROR(__xludf.DUMMYFUNCTION("""COMPUTED_VALUE"""),"RSC006438")</f>
        <v>RSC006438</v>
      </c>
      <c r="C923" s="73" t="str">
        <f>IFERROR(__xludf.DUMMYFUNCTION("""COMPUTED_VALUE"""),"WestyzWorld")</f>
        <v>WestyzWorld</v>
      </c>
      <c r="D923" s="73"/>
      <c r="E923" s="82">
        <f>IFERROR(__xludf.DUMMYFUNCTION("""COMPUTED_VALUE"""),3.0)</f>
        <v>3</v>
      </c>
      <c r="F923" s="82">
        <f>IFERROR(__xludf.DUMMYFUNCTION("""COMPUTED_VALUE"""),0.0)</f>
        <v>0</v>
      </c>
      <c r="G923" s="82">
        <f>IFERROR(__xludf.DUMMYFUNCTION("""COMPUTED_VALUE"""),3.0)</f>
        <v>3</v>
      </c>
      <c r="H923" s="86">
        <f>IFERROR(__xludf.DUMMYFUNCTION("""COMPUTED_VALUE"""),0.0)</f>
        <v>0</v>
      </c>
      <c r="I923" s="86">
        <f>IFERROR(__xludf.DUMMYFUNCTION("""COMPUTED_VALUE"""),0.0)</f>
        <v>0</v>
      </c>
      <c r="J923" s="82">
        <f>IFERROR(__xludf.DUMMYFUNCTION("""COMPUTED_VALUE"""),234.0)</f>
        <v>234</v>
      </c>
      <c r="K923" s="82">
        <f>IFERROR(__xludf.DUMMYFUNCTION("""COMPUTED_VALUE"""),0.0)</f>
        <v>0</v>
      </c>
      <c r="L923" s="82">
        <f>IFERROR(__xludf.DUMMYFUNCTION("""COMPUTED_VALUE"""),1.0)</f>
        <v>1</v>
      </c>
      <c r="M923" s="82">
        <f>IFERROR(__xludf.DUMMYFUNCTION("""COMPUTED_VALUE"""),0.6666666666666666)</f>
        <v>0.6666666667</v>
      </c>
      <c r="N923" s="82">
        <f>IFERROR(__xludf.DUMMYFUNCTION("""COMPUTED_VALUE"""),2.0)</f>
        <v>2</v>
      </c>
      <c r="O923" s="82">
        <f>IFERROR(__xludf.DUMMYFUNCTION("""COMPUTED_VALUE"""),368.5555555555556)</f>
        <v>368.5555556</v>
      </c>
      <c r="P923" s="82">
        <f>IFERROR(__xludf.DUMMYFUNCTION("""COMPUTED_VALUE"""),1.111111111111111)</f>
        <v>1.111111111</v>
      </c>
      <c r="Q923" s="82">
        <f>IFERROR(__xludf.DUMMYFUNCTION("""COMPUTED_VALUE"""),0.8888888888888888)</f>
        <v>0.8888888889</v>
      </c>
      <c r="R923" s="82">
        <f>IFERROR(__xludf.DUMMYFUNCTION("""COMPUTED_VALUE"""),0.6666666666666666)</f>
        <v>0.6666666667</v>
      </c>
      <c r="S923" s="82">
        <f>IFERROR(__xludf.DUMMYFUNCTION("""COMPUTED_VALUE"""),2.777777777777778)</f>
        <v>2.777777778</v>
      </c>
      <c r="T923" s="82">
        <f>IFERROR(__xludf.DUMMYFUNCTION("""COMPUTED_VALUE"""),360.85376756066415)</f>
        <v>360.8537676</v>
      </c>
      <c r="U923" s="82">
        <f>IFERROR(__xludf.DUMMYFUNCTION("""COMPUTED_VALUE"""),0.8652618135376756)</f>
        <v>0.8652618135</v>
      </c>
      <c r="V923" s="82">
        <f>IFERROR(__xludf.DUMMYFUNCTION("""COMPUTED_VALUE"""),0.7602171136653895)</f>
        <v>0.7602171137</v>
      </c>
      <c r="W923" s="82">
        <f>IFERROR(__xludf.DUMMYFUNCTION("""COMPUTED_VALUE"""),1.0440613026819925)</f>
        <v>1.044061303</v>
      </c>
      <c r="X923" s="82">
        <f>IFERROR(__xludf.DUMMYFUNCTION("""COMPUTED_VALUE"""),2.7999680715197957)</f>
        <v>2.799968072</v>
      </c>
      <c r="Y923" s="82">
        <f>IFERROR(__xludf.DUMMYFUNCTION("""COMPUTED_VALUE"""),367.33216262239256)</f>
        <v>367.3321626</v>
      </c>
      <c r="Z923" s="82">
        <f>IFERROR(__xludf.DUMMYFUNCTION("""COMPUTED_VALUE"""),0.8171030225627928)</f>
        <v>0.8171030226</v>
      </c>
      <c r="AA923" s="82">
        <f>IFERROR(__xludf.DUMMYFUNCTION("""COMPUTED_VALUE"""),0.6469774372073224)</f>
        <v>0.6469774372</v>
      </c>
      <c r="AB923" s="82">
        <f>IFERROR(__xludf.DUMMYFUNCTION("""COMPUTED_VALUE"""),1.482758620689655)</f>
        <v>1.482758621</v>
      </c>
      <c r="AC923" s="82">
        <f>IFERROR(__xludf.DUMMYFUNCTION("""COMPUTED_VALUE"""),2.4863239676458067)</f>
        <v>2.486323968</v>
      </c>
      <c r="AD923" s="82">
        <f>IFERROR(__xludf.DUMMYFUNCTION("""COMPUTED_VALUE"""),0.6370256237010904)</f>
        <v>0.6370256237</v>
      </c>
      <c r="AE923" s="82">
        <f>IFERROR(__xludf.DUMMYFUNCTION("""COMPUTED_VALUE"""),0.0)</f>
        <v>0</v>
      </c>
      <c r="AF923" s="82">
        <f>IFERROR(__xludf.DUMMYFUNCTION("""COMPUTED_VALUE"""),1.5456489554202992)</f>
        <v>1.545648955</v>
      </c>
      <c r="AG923" s="82">
        <f>IFERROR(__xludf.DUMMYFUNCTION("""COMPUTED_VALUE"""),0.4496124031007752)</f>
        <v>0.4496124031</v>
      </c>
      <c r="AH923" s="82">
        <f>IFERROR(__xludf.DUMMYFUNCTION("""COMPUTED_VALUE"""),0.8044004023714231)</f>
        <v>0.8044004024</v>
      </c>
      <c r="AI923" s="82">
        <f>IFERROR(__xludf.DUMMYFUNCTION("""COMPUTED_VALUE"""),1.0213432384174752)</f>
        <v>1.021343238</v>
      </c>
      <c r="AJ923" s="82">
        <f>IFERROR(__xludf.DUMMYFUNCTION("""COMPUTED_VALUE"""),1.284132841328413)</f>
        <v>1.284132841</v>
      </c>
      <c r="AK923" s="82">
        <f>IFERROR(__xludf.DUMMYFUNCTION("""COMPUTED_VALUE"""),1.1692566148677026)</f>
        <v>1.169256615</v>
      </c>
      <c r="AL923" s="82">
        <f>IFERROR(__xludf.DUMMYFUNCTION("""COMPUTED_VALUE"""),0.638532110091743)</f>
        <v>0.6385321101</v>
      </c>
      <c r="AM923" s="82">
        <f>IFERROR(__xludf.DUMMYFUNCTION("""COMPUTED_VALUE"""),0.9920748047209078)</f>
        <v>0.9920748047</v>
      </c>
      <c r="AN923" s="82">
        <f>IFERROR(__xludf.DUMMYFUNCTION("""COMPUTED_VALUE"""),0.6634367833002864)</f>
        <v>0.6634367833</v>
      </c>
      <c r="AO923" s="82">
        <f>IFERROR(__xludf.DUMMYFUNCTION("""COMPUTED_VALUE"""),0.0)</f>
        <v>0</v>
      </c>
      <c r="AP923" s="82">
        <f>IFERROR(__xludf.DUMMYFUNCTION("""COMPUTED_VALUE"""),1.7388992687677856)</f>
        <v>1.738899269</v>
      </c>
      <c r="AQ923" s="82">
        <f>IFERROR(__xludf.DUMMYFUNCTION("""COMPUTED_VALUE"""),0.46733844394304846)</f>
        <v>0.4673384439</v>
      </c>
      <c r="AR923" s="82">
        <f>IFERROR(__xludf.DUMMYFUNCTION("""COMPUTED_VALUE"""),0.7939310590675543)</f>
        <v>0.7939310591</v>
      </c>
      <c r="AS923" s="82">
        <f>IFERROR(__xludf.DUMMYFUNCTION("""COMPUTED_VALUE"""),7.0)</f>
        <v>7</v>
      </c>
      <c r="AT923" s="82">
        <f>IFERROR(__xludf.DUMMYFUNCTION("""COMPUTED_VALUE"""),0.3573732865716632)</f>
        <v>0.3573732866</v>
      </c>
      <c r="AU923" s="82">
        <f>IFERROR(__xludf.DUMMYFUNCTION("""COMPUTED_VALUE"""),1.0082974074720619)</f>
        <v>1.008297407</v>
      </c>
      <c r="AV923" s="82">
        <f>IFERROR(__xludf.DUMMYFUNCTION("""COMPUTED_VALUE"""),13.009809731375363)</f>
        <v>13.00980973</v>
      </c>
      <c r="AW923" s="82">
        <f t="shared" si="1"/>
        <v>-14.39076748</v>
      </c>
      <c r="AX923" s="83">
        <f t="array" ref="AX923">IFERROR(DGET('SBV Import'!A:G,"SBV",{"RSC ID","Tier";B923,A923}))</f>
        <v>36.75508832</v>
      </c>
      <c r="AY923" s="82">
        <f t="shared" si="2"/>
        <v>-3.354280508</v>
      </c>
      <c r="AZ923" s="82">
        <v>11.036486972728287</v>
      </c>
      <c r="BA923" s="84">
        <v>800.0</v>
      </c>
      <c r="BB923" s="84" t="b">
        <f>IFERROR(__xludf.DUMMYFUNCTION("iferror(if(A923="""",,E923&gt;=FILTER(Constants!$F$2:$F$10,Constants!$A$2:$A$10=A923)))"),TRUE)</f>
        <v>1</v>
      </c>
    </row>
    <row r="924">
      <c r="A924" s="80" t="str">
        <f>IFERROR(__xludf.DUMMYFUNCTION("""COMPUTED_VALUE"""),"Elite")</f>
        <v>Elite</v>
      </c>
      <c r="B924" s="73" t="str">
        <f>IFERROR(__xludf.DUMMYFUNCTION("""COMPUTED_VALUE"""),"RSC007494")</f>
        <v>RSC007494</v>
      </c>
      <c r="C924" s="73" t="str">
        <f>IFERROR(__xludf.DUMMYFUNCTION("""COMPUTED_VALUE"""),"CantaloupeLover-")</f>
        <v>CantaloupeLover-</v>
      </c>
      <c r="D924" s="73"/>
      <c r="E924" s="82">
        <f>IFERROR(__xludf.DUMMYFUNCTION("""COMPUTED_VALUE"""),4.0)</f>
        <v>4</v>
      </c>
      <c r="F924" s="82">
        <f>IFERROR(__xludf.DUMMYFUNCTION("""COMPUTED_VALUE"""),1.0)</f>
        <v>1</v>
      </c>
      <c r="G924" s="82">
        <f>IFERROR(__xludf.DUMMYFUNCTION("""COMPUTED_VALUE"""),3.0)</f>
        <v>3</v>
      </c>
      <c r="H924" s="86">
        <f>IFERROR(__xludf.DUMMYFUNCTION("""COMPUTED_VALUE"""),0.25)</f>
        <v>0.25</v>
      </c>
      <c r="I924" s="86">
        <f>IFERROR(__xludf.DUMMYFUNCTION("""COMPUTED_VALUE"""),0.25)</f>
        <v>0.25</v>
      </c>
      <c r="J924" s="82">
        <f>IFERROR(__xludf.DUMMYFUNCTION("""COMPUTED_VALUE"""),318.75)</f>
        <v>318.75</v>
      </c>
      <c r="K924" s="82">
        <f>IFERROR(__xludf.DUMMYFUNCTION("""COMPUTED_VALUE"""),0.25)</f>
        <v>0.25</v>
      </c>
      <c r="L924" s="82">
        <f>IFERROR(__xludf.DUMMYFUNCTION("""COMPUTED_VALUE"""),0.5)</f>
        <v>0.5</v>
      </c>
      <c r="M924" s="82">
        <f>IFERROR(__xludf.DUMMYFUNCTION("""COMPUTED_VALUE"""),2.0)</f>
        <v>2</v>
      </c>
      <c r="N924" s="82">
        <f>IFERROR(__xludf.DUMMYFUNCTION("""COMPUTED_VALUE"""),1.0)</f>
        <v>1</v>
      </c>
      <c r="O924" s="82">
        <f>IFERROR(__xludf.DUMMYFUNCTION("""COMPUTED_VALUE"""),389.08333333333337)</f>
        <v>389.0833333</v>
      </c>
      <c r="P924" s="82">
        <f>IFERROR(__xludf.DUMMYFUNCTION("""COMPUTED_VALUE"""),1.0)</f>
        <v>1</v>
      </c>
      <c r="Q924" s="82">
        <f>IFERROR(__xludf.DUMMYFUNCTION("""COMPUTED_VALUE"""),0.5833333333333333)</f>
        <v>0.5833333333</v>
      </c>
      <c r="R924" s="82">
        <f>IFERROR(__xludf.DUMMYFUNCTION("""COMPUTED_VALUE"""),1.3333333333333335)</f>
        <v>1.333333333</v>
      </c>
      <c r="S924" s="82">
        <f>IFERROR(__xludf.DUMMYFUNCTION("""COMPUTED_VALUE"""),3.333333333333333)</f>
        <v>3.333333333</v>
      </c>
      <c r="T924" s="82">
        <f>IFERROR(__xludf.DUMMYFUNCTION("""COMPUTED_VALUE"""),378.76712749615973)</f>
        <v>378.7671275</v>
      </c>
      <c r="U924" s="82">
        <f>IFERROR(__xludf.DUMMYFUNCTION("""COMPUTED_VALUE"""),0.8688172043010752)</f>
        <v>0.8688172043</v>
      </c>
      <c r="V924" s="82">
        <f>IFERROR(__xludf.DUMMYFUNCTION("""COMPUTED_VALUE"""),0.6018433179723502)</f>
        <v>0.601843318</v>
      </c>
      <c r="W924" s="82">
        <f>IFERROR(__xludf.DUMMYFUNCTION("""COMPUTED_VALUE"""),1.4202764976958526)</f>
        <v>1.420276498</v>
      </c>
      <c r="X924" s="82">
        <f>IFERROR(__xludf.DUMMYFUNCTION("""COMPUTED_VALUE"""),2.97357910906298)</f>
        <v>2.973579109</v>
      </c>
      <c r="Y924" s="82">
        <f>IFERROR(__xludf.DUMMYFUNCTION("""COMPUTED_VALUE"""),351.02478238607273)</f>
        <v>351.0247824</v>
      </c>
      <c r="Z924" s="82">
        <f>IFERROR(__xludf.DUMMYFUNCTION("""COMPUTED_VALUE"""),0.5983614951356886)</f>
        <v>0.5983614951</v>
      </c>
      <c r="AA924" s="82">
        <f>IFERROR(__xludf.DUMMYFUNCTION("""COMPUTED_VALUE"""),0.46646185355862774)</f>
        <v>0.4664618536</v>
      </c>
      <c r="AB924" s="82">
        <f>IFERROR(__xludf.DUMMYFUNCTION("""COMPUTED_VALUE"""),1.6535586277521765)</f>
        <v>1.653558628</v>
      </c>
      <c r="AC924" s="82">
        <f>IFERROR(__xludf.DUMMYFUNCTION("""COMPUTED_VALUE"""),2.4961597542242706)</f>
        <v>2.496159754</v>
      </c>
      <c r="AD924" s="82">
        <f>IFERROR(__xludf.DUMMYFUNCTION("""COMPUTED_VALUE"""),0.9080555447775324)</f>
        <v>0.9080555448</v>
      </c>
      <c r="AE924" s="82">
        <f>IFERROR(__xludf.DUMMYFUNCTION("""COMPUTED_VALUE"""),0.4178076330652063)</f>
        <v>0.4178076331</v>
      </c>
      <c r="AF924" s="82">
        <f>IFERROR(__xludf.DUMMYFUNCTION("""COMPUTED_VALUE"""),1.0718990120746432)</f>
        <v>1.071899012</v>
      </c>
      <c r="AG924" s="82">
        <f>IFERROR(__xludf.DUMMYFUNCTION("""COMPUTED_VALUE"""),1.2095126029603018)</f>
        <v>1.209512603</v>
      </c>
      <c r="AH924" s="82">
        <f>IFERROR(__xludf.DUMMYFUNCTION("""COMPUTED_VALUE"""),0.4006153846153846)</f>
        <v>0.4006153846</v>
      </c>
      <c r="AI924" s="82">
        <f>IFERROR(__xludf.DUMMYFUNCTION("""COMPUTED_VALUE"""),1.0272362755061901)</f>
        <v>1.027236276</v>
      </c>
      <c r="AJ924" s="82">
        <f>IFERROR(__xludf.DUMMYFUNCTION("""COMPUTED_VALUE"""),1.1509900990099011)</f>
        <v>1.150990099</v>
      </c>
      <c r="AK924" s="82">
        <f>IFERROR(__xludf.DUMMYFUNCTION("""COMPUTED_VALUE"""),0.9692445125063807)</f>
        <v>0.9692445125</v>
      </c>
      <c r="AL924" s="82">
        <f>IFERROR(__xludf.DUMMYFUNCTION("""COMPUTED_VALUE"""),0.9387843391736967)</f>
        <v>0.9387843392</v>
      </c>
      <c r="AM924" s="82">
        <f>IFERROR(__xludf.DUMMYFUNCTION("""COMPUTED_VALUE"""),1.1209835726831283)</f>
        <v>1.120983573</v>
      </c>
      <c r="AN924" s="82">
        <f>IFERROR(__xludf.DUMMYFUNCTION("""COMPUTED_VALUE"""),0.9037199772519927)</f>
        <v>0.9037199773</v>
      </c>
      <c r="AO924" s="82">
        <f>IFERROR(__xludf.DUMMYFUNCTION("""COMPUTED_VALUE"""),0.35053934812865284)</f>
        <v>0.3505393481</v>
      </c>
      <c r="AP924" s="82">
        <f>IFERROR(__xludf.DUMMYFUNCTION("""COMPUTED_VALUE"""),0.8694496343838928)</f>
        <v>0.8694496344</v>
      </c>
      <c r="AQ924" s="82">
        <f>IFERROR(__xludf.DUMMYFUNCTION("""COMPUTED_VALUE"""),1.4020153318291455)</f>
        <v>1.402015332</v>
      </c>
      <c r="AR924" s="82">
        <f>IFERROR(__xludf.DUMMYFUNCTION("""COMPUTED_VALUE"""),0.3969655295337772)</f>
        <v>0.3969655295</v>
      </c>
      <c r="AS924" s="82">
        <f>IFERROR(__xludf.DUMMYFUNCTION("""COMPUTED_VALUE"""),8.0)</f>
        <v>8</v>
      </c>
      <c r="AT924" s="82">
        <f>IFERROR(__xludf.DUMMYFUNCTION("""COMPUTED_VALUE"""),0.34445266793706497)</f>
        <v>0.3444526679</v>
      </c>
      <c r="AU924" s="82">
        <f>IFERROR(__xludf.DUMMYFUNCTION("""COMPUTED_VALUE"""),0.8827571358902074)</f>
        <v>0.8827571359</v>
      </c>
      <c r="AV924" s="82">
        <f>IFERROR(__xludf.DUMMYFUNCTION("""COMPUTED_VALUE"""),9.482196002374508)</f>
        <v>9.482196002</v>
      </c>
      <c r="AW924" s="82">
        <f t="shared" si="1"/>
        <v>-19.0332291</v>
      </c>
      <c r="AX924" s="83">
        <f t="array" ref="AX924">IFERROR(DGET('SBV Import'!A:G,"SBV",{"RSC ID","Tier";B924,A924}))</f>
        <v>13.40565719</v>
      </c>
      <c r="AY924" s="82">
        <f t="shared" si="2"/>
        <v>-13.96104157</v>
      </c>
      <c r="AZ924" s="82">
        <v>5.072187538250127</v>
      </c>
      <c r="BA924" s="84">
        <v>800.0</v>
      </c>
      <c r="BB924" s="84" t="b">
        <f>IFERROR(__xludf.DUMMYFUNCTION("iferror(if(A924="""",,E924&gt;=FILTER(Constants!$F$2:$F$10,Constants!$A$2:$A$10=A924)))"),TRUE)</f>
        <v>1</v>
      </c>
    </row>
    <row r="925">
      <c r="A925" s="80" t="str">
        <f>IFERROR(__xludf.DUMMYFUNCTION("""COMPUTED_VALUE"""),"Elite")</f>
        <v>Elite</v>
      </c>
      <c r="B925" s="73" t="str">
        <f>IFERROR(__xludf.DUMMYFUNCTION("""COMPUTED_VALUE"""),"RSC007907")</f>
        <v>RSC007907</v>
      </c>
      <c r="C925" s="73" t="str">
        <f>IFERROR(__xludf.DUMMYFUNCTION("""COMPUTED_VALUE"""),"Chazie.")</f>
        <v>Chazie.</v>
      </c>
      <c r="D925" s="73"/>
      <c r="E925" s="82">
        <f>IFERROR(__xludf.DUMMYFUNCTION("""COMPUTED_VALUE"""),4.0)</f>
        <v>4</v>
      </c>
      <c r="F925" s="82">
        <f>IFERROR(__xludf.DUMMYFUNCTION("""COMPUTED_VALUE"""),0.0)</f>
        <v>0</v>
      </c>
      <c r="G925" s="82">
        <f>IFERROR(__xludf.DUMMYFUNCTION("""COMPUTED_VALUE"""),4.0)</f>
        <v>4</v>
      </c>
      <c r="H925" s="86">
        <f>IFERROR(__xludf.DUMMYFUNCTION("""COMPUTED_VALUE"""),0.0)</f>
        <v>0</v>
      </c>
      <c r="I925" s="86">
        <f>IFERROR(__xludf.DUMMYFUNCTION("""COMPUTED_VALUE"""),0.0)</f>
        <v>0</v>
      </c>
      <c r="J925" s="82">
        <f>IFERROR(__xludf.DUMMYFUNCTION("""COMPUTED_VALUE"""),318.75)</f>
        <v>318.75</v>
      </c>
      <c r="K925" s="82">
        <f>IFERROR(__xludf.DUMMYFUNCTION("""COMPUTED_VALUE"""),0.0)</f>
        <v>0</v>
      </c>
      <c r="L925" s="82">
        <f>IFERROR(__xludf.DUMMYFUNCTION("""COMPUTED_VALUE"""),1.0)</f>
        <v>1</v>
      </c>
      <c r="M925" s="82">
        <f>IFERROR(__xludf.DUMMYFUNCTION("""COMPUTED_VALUE"""),1.75)</f>
        <v>1.75</v>
      </c>
      <c r="N925" s="82">
        <f>IFERROR(__xludf.DUMMYFUNCTION("""COMPUTED_VALUE"""),1.0)</f>
        <v>1</v>
      </c>
      <c r="O925" s="82">
        <f>IFERROR(__xludf.DUMMYFUNCTION("""COMPUTED_VALUE"""),460.75)</f>
        <v>460.75</v>
      </c>
      <c r="P925" s="82">
        <f>IFERROR(__xludf.DUMMYFUNCTION("""COMPUTED_VALUE"""),1.1666666666666665)</f>
        <v>1.166666667</v>
      </c>
      <c r="Q925" s="82">
        <f>IFERROR(__xludf.DUMMYFUNCTION("""COMPUTED_VALUE"""),0.8333333333333333)</f>
        <v>0.8333333333</v>
      </c>
      <c r="R925" s="82">
        <f>IFERROR(__xludf.DUMMYFUNCTION("""COMPUTED_VALUE"""),1.9166666666666667)</f>
        <v>1.916666667</v>
      </c>
      <c r="S925" s="82">
        <f>IFERROR(__xludf.DUMMYFUNCTION("""COMPUTED_VALUE"""),3.583333333333333)</f>
        <v>3.583333333</v>
      </c>
      <c r="T925" s="82">
        <f>IFERROR(__xludf.DUMMYFUNCTION("""COMPUTED_VALUE"""),393.34284790305014)</f>
        <v>393.3428479</v>
      </c>
      <c r="U925" s="82">
        <f>IFERROR(__xludf.DUMMYFUNCTION("""COMPUTED_VALUE"""),0.9615162037037037)</f>
        <v>0.9615162037</v>
      </c>
      <c r="V925" s="82">
        <f>IFERROR(__xludf.DUMMYFUNCTION("""COMPUTED_VALUE"""),0.6964018246187363)</f>
        <v>0.6964018246</v>
      </c>
      <c r="W925" s="82">
        <f>IFERROR(__xludf.DUMMYFUNCTION("""COMPUTED_VALUE"""),1.2858285675381262)</f>
        <v>1.285828568</v>
      </c>
      <c r="X925" s="82">
        <f>IFERROR(__xludf.DUMMYFUNCTION("""COMPUTED_VALUE"""),3.1505991285403048)</f>
        <v>3.150599129</v>
      </c>
      <c r="Y925" s="82">
        <f>IFERROR(__xludf.DUMMYFUNCTION("""COMPUTED_VALUE"""),373.0205610021787)</f>
        <v>373.020561</v>
      </c>
      <c r="Z925" s="82">
        <f>IFERROR(__xludf.DUMMYFUNCTION("""COMPUTED_VALUE"""),0.7123502178649237)</f>
        <v>0.7123502179</v>
      </c>
      <c r="AA925" s="82">
        <f>IFERROR(__xludf.DUMMYFUNCTION("""COMPUTED_VALUE"""),0.5140250544662309)</f>
        <v>0.5140250545</v>
      </c>
      <c r="AB925" s="82">
        <f>IFERROR(__xludf.DUMMYFUNCTION("""COMPUTED_VALUE"""),1.7965345860566448)</f>
        <v>1.796534586</v>
      </c>
      <c r="AC925" s="82">
        <f>IFERROR(__xludf.DUMMYFUNCTION("""COMPUTED_VALUE"""),2.3117851307189543)</f>
        <v>2.311785131</v>
      </c>
      <c r="AD925" s="82">
        <f>IFERROR(__xludf.DUMMYFUNCTION("""COMPUTED_VALUE"""),0.8545105372841318)</f>
        <v>0.8545105373</v>
      </c>
      <c r="AE925" s="82">
        <f>IFERROR(__xludf.DUMMYFUNCTION("""COMPUTED_VALUE"""),0.0)</f>
        <v>0</v>
      </c>
      <c r="AF925" s="82">
        <f>IFERROR(__xludf.DUMMYFUNCTION("""COMPUTED_VALUE"""),1.945430463576159)</f>
        <v>1.945430464</v>
      </c>
      <c r="AG925" s="82">
        <f>IFERROR(__xludf.DUMMYFUNCTION("""COMPUTED_VALUE"""),0.9740975840833729)</f>
        <v>0.9740975841</v>
      </c>
      <c r="AH925" s="82">
        <f>IFERROR(__xludf.DUMMYFUNCTION("""COMPUTED_VALUE"""),0.43256615275875776)</f>
        <v>0.4325661528</v>
      </c>
      <c r="AI925" s="82">
        <f>IFERROR(__xludf.DUMMYFUNCTION("""COMPUTED_VALUE"""),1.171369970132428)</f>
        <v>1.17136997</v>
      </c>
      <c r="AJ925" s="82">
        <f>IFERROR(__xludf.DUMMYFUNCTION("""COMPUTED_VALUE"""),1.21336142040325)</f>
        <v>1.21336142</v>
      </c>
      <c r="AK925" s="82">
        <f>IFERROR(__xludf.DUMMYFUNCTION("""COMPUTED_VALUE"""),1.1966271538555542)</f>
        <v>1.196627154</v>
      </c>
      <c r="AL925" s="82">
        <f>IFERROR(__xludf.DUMMYFUNCTION("""COMPUTED_VALUE"""),1.4906082467403536)</f>
        <v>1.490608247</v>
      </c>
      <c r="AM925" s="82">
        <f>IFERROR(__xludf.DUMMYFUNCTION("""COMPUTED_VALUE"""),1.137349814158527)</f>
        <v>1.137349814</v>
      </c>
      <c r="AN925" s="82">
        <f>IFERROR(__xludf.DUMMYFUNCTION("""COMPUTED_VALUE"""),0.9037199772519927)</f>
        <v>0.9037199773</v>
      </c>
      <c r="AO925" s="82">
        <f>IFERROR(__xludf.DUMMYFUNCTION("""COMPUTED_VALUE"""),0.0)</f>
        <v>0</v>
      </c>
      <c r="AP925" s="82">
        <f>IFERROR(__xludf.DUMMYFUNCTION("""COMPUTED_VALUE"""),1.7388992687677856)</f>
        <v>1.738899269</v>
      </c>
      <c r="AQ925" s="82">
        <f>IFERROR(__xludf.DUMMYFUNCTION("""COMPUTED_VALUE"""),1.2267634153505023)</f>
        <v>1.226763415</v>
      </c>
      <c r="AR925" s="82">
        <f>IFERROR(__xludf.DUMMYFUNCTION("""COMPUTED_VALUE"""),0.3969655295337772)</f>
        <v>0.3969655295</v>
      </c>
      <c r="AS925" s="82">
        <f>IFERROR(__xludf.DUMMYFUNCTION("""COMPUTED_VALUE"""),6.0)</f>
        <v>6</v>
      </c>
      <c r="AT925" s="82">
        <f>IFERROR(__xludf.DUMMYFUNCTION("""COMPUTED_VALUE"""),0.2067305421964463)</f>
        <v>0.2067305422</v>
      </c>
      <c r="AU925" s="82">
        <f>IFERROR(__xludf.DUMMYFUNCTION("""COMPUTED_VALUE"""),0.8159508973758884)</f>
        <v>0.8159508974</v>
      </c>
      <c r="AV925" s="82">
        <f>IFERROR(__xludf.DUMMYFUNCTION("""COMPUTED_VALUE"""),7.60497683440132)</f>
        <v>7.604976834</v>
      </c>
      <c r="AW925" s="82">
        <f t="shared" si="1"/>
        <v>-22.24110567</v>
      </c>
      <c r="AX925" s="83">
        <f t="array" ref="AX925">IFERROR(DGET('SBV Import'!A:G,"SBV",{"RSC ID","Tier";B925,A925}))</f>
        <v>14.37066609</v>
      </c>
      <c r="AY925" s="82">
        <f t="shared" si="2"/>
        <v>-12.97798772</v>
      </c>
      <c r="AZ925" s="82">
        <v>9.26311795517502</v>
      </c>
      <c r="BA925" s="84">
        <v>800.0</v>
      </c>
      <c r="BB925" s="84" t="b">
        <f>IFERROR(__xludf.DUMMYFUNCTION("iferror(if(A925="""",,E925&gt;=FILTER(Constants!$F$2:$F$10,Constants!$A$2:$A$10=A925)))"),TRUE)</f>
        <v>1</v>
      </c>
    </row>
    <row r="926">
      <c r="A926" s="80" t="str">
        <f>IFERROR(__xludf.DUMMYFUNCTION("""COMPUTED_VALUE"""),"Elite")</f>
        <v>Elite</v>
      </c>
      <c r="B926" s="73" t="str">
        <f>IFERROR(__xludf.DUMMYFUNCTION("""COMPUTED_VALUE"""),"RSC006484")</f>
        <v>RSC006484</v>
      </c>
      <c r="C926" s="73" t="str">
        <f>IFERROR(__xludf.DUMMYFUNCTION("""COMPUTED_VALUE"""),"Sunny.-._")</f>
        <v>Sunny.-._</v>
      </c>
      <c r="D926" s="73" t="str">
        <f>IFERROR(__xludf.DUMMYFUNCTION("""COMPUTED_VALUE"""),"Ghastly Goombahs")</f>
        <v>Ghastly Goombahs</v>
      </c>
      <c r="E926" s="82">
        <f>IFERROR(__xludf.DUMMYFUNCTION("""COMPUTED_VALUE"""),13.0)</f>
        <v>13</v>
      </c>
      <c r="F926" s="82">
        <f>IFERROR(__xludf.DUMMYFUNCTION("""COMPUTED_VALUE"""),2.0)</f>
        <v>2</v>
      </c>
      <c r="G926" s="82">
        <f>IFERROR(__xludf.DUMMYFUNCTION("""COMPUTED_VALUE"""),11.0)</f>
        <v>11</v>
      </c>
      <c r="H926" s="86">
        <f>IFERROR(__xludf.DUMMYFUNCTION("""COMPUTED_VALUE"""),0.15384615384615385)</f>
        <v>0.1538461538</v>
      </c>
      <c r="I926" s="86">
        <f>IFERROR(__xludf.DUMMYFUNCTION("""COMPUTED_VALUE"""),0.2105263157894737)</f>
        <v>0.2105263158</v>
      </c>
      <c r="J926" s="82">
        <f>IFERROR(__xludf.DUMMYFUNCTION("""COMPUTED_VALUE"""),278.3076923076923)</f>
        <v>278.3076923</v>
      </c>
      <c r="K926" s="82">
        <f>IFERROR(__xludf.DUMMYFUNCTION("""COMPUTED_VALUE"""),0.3076923076923077)</f>
        <v>0.3076923077</v>
      </c>
      <c r="L926" s="82">
        <f>IFERROR(__xludf.DUMMYFUNCTION("""COMPUTED_VALUE"""),0.38461538461538464)</f>
        <v>0.3846153846</v>
      </c>
      <c r="M926" s="82">
        <f>IFERROR(__xludf.DUMMYFUNCTION("""COMPUTED_VALUE"""),1.1538461538461537)</f>
        <v>1.153846154</v>
      </c>
      <c r="N926" s="82">
        <f>IFERROR(__xludf.DUMMYFUNCTION("""COMPUTED_VALUE"""),1.4615384615384615)</f>
        <v>1.461538462</v>
      </c>
      <c r="O926" s="82">
        <f>IFERROR(__xludf.DUMMYFUNCTION("""COMPUTED_VALUE"""),386.974358974359)</f>
        <v>386.974359</v>
      </c>
      <c r="P926" s="82">
        <f>IFERROR(__xludf.DUMMYFUNCTION("""COMPUTED_VALUE"""),1.0512820512820513)</f>
        <v>1.051282051</v>
      </c>
      <c r="Q926" s="82">
        <f>IFERROR(__xludf.DUMMYFUNCTION("""COMPUTED_VALUE"""),0.7179487179487178)</f>
        <v>0.7179487179</v>
      </c>
      <c r="R926" s="82">
        <f>IFERROR(__xludf.DUMMYFUNCTION("""COMPUTED_VALUE"""),1.0512820512820513)</f>
        <v>1.051282051</v>
      </c>
      <c r="S926" s="82">
        <f>IFERROR(__xludf.DUMMYFUNCTION("""COMPUTED_VALUE"""),3.2564102564102573)</f>
        <v>3.256410256</v>
      </c>
      <c r="T926" s="82">
        <f>IFERROR(__xludf.DUMMYFUNCTION("""COMPUTED_VALUE"""),381.1599441427027)</f>
        <v>381.1599441</v>
      </c>
      <c r="U926" s="82">
        <f>IFERROR(__xludf.DUMMYFUNCTION("""COMPUTED_VALUE"""),0.858309474688785)</f>
        <v>0.8583094747</v>
      </c>
      <c r="V926" s="82">
        <f>IFERROR(__xludf.DUMMYFUNCTION("""COMPUTED_VALUE"""),0.5840283917870125)</f>
        <v>0.5840283918</v>
      </c>
      <c r="W926" s="82">
        <f>IFERROR(__xludf.DUMMYFUNCTION("""COMPUTED_VALUE"""),1.4970587203345822)</f>
        <v>1.49705872</v>
      </c>
      <c r="X926" s="82">
        <f>IFERROR(__xludf.DUMMYFUNCTION("""COMPUTED_VALUE"""),2.886859500652603)</f>
        <v>2.886859501</v>
      </c>
      <c r="Y926" s="82">
        <f>IFERROR(__xludf.DUMMYFUNCTION("""COMPUTED_VALUE"""),352.9239654236781)</f>
        <v>352.9239654</v>
      </c>
      <c r="Z926" s="82">
        <f>IFERROR(__xludf.DUMMYFUNCTION("""COMPUTED_VALUE"""),0.6768350104557)</f>
        <v>0.6768350105</v>
      </c>
      <c r="AA926" s="82">
        <f>IFERROR(__xludf.DUMMYFUNCTION("""COMPUTED_VALUE"""),0.5117715511393676)</f>
        <v>0.5117715511</v>
      </c>
      <c r="AB926" s="82">
        <f>IFERROR(__xludf.DUMMYFUNCTION("""COMPUTED_VALUE"""),1.4845586618575126)</f>
        <v>1.484558662</v>
      </c>
      <c r="AC926" s="82">
        <f>IFERROR(__xludf.DUMMYFUNCTION("""COMPUTED_VALUE"""),2.570372709453169)</f>
        <v>2.570372709</v>
      </c>
      <c r="AD926" s="82">
        <f>IFERROR(__xludf.DUMMYFUNCTION("""COMPUTED_VALUE"""),0.7885769162023031)</f>
        <v>0.7885769162</v>
      </c>
      <c r="AE926" s="82">
        <f>IFERROR(__xludf.DUMMYFUNCTION("""COMPUTED_VALUE"""),0.454604597780993)</f>
        <v>0.4546045978</v>
      </c>
      <c r="AF926" s="82">
        <f>IFERROR(__xludf.DUMMYFUNCTION("""COMPUTED_VALUE"""),0.7515372508673205)</f>
        <v>0.7515372509</v>
      </c>
      <c r="AG926" s="82">
        <f>IFERROR(__xludf.DUMMYFUNCTION("""COMPUTED_VALUE"""),0.7772317682633274)</f>
        <v>0.7772317683</v>
      </c>
      <c r="AH926" s="82">
        <f>IFERROR(__xludf.DUMMYFUNCTION("""COMPUTED_VALUE"""),0.5686095468424868)</f>
        <v>0.5686095468</v>
      </c>
      <c r="AI926" s="82">
        <f>IFERROR(__xludf.DUMMYFUNCTION("""COMPUTED_VALUE"""),1.0152545274523375)</f>
        <v>1.015254527</v>
      </c>
      <c r="AJ926" s="82">
        <f>IFERROR(__xludf.DUMMYFUNCTION("""COMPUTED_VALUE"""),1.2248286687773502)</f>
        <v>1.224828669</v>
      </c>
      <c r="AK926" s="82">
        <f>IFERROR(__xludf.DUMMYFUNCTION("""COMPUTED_VALUE"""),1.2293044791057766)</f>
        <v>1.229304479</v>
      </c>
      <c r="AL926" s="82">
        <f>IFERROR(__xludf.DUMMYFUNCTION("""COMPUTED_VALUE"""),0.7022316740168328)</f>
        <v>0.702231674</v>
      </c>
      <c r="AM926" s="82">
        <f>IFERROR(__xludf.DUMMYFUNCTION("""COMPUTED_VALUE"""),1.128011340930902)</f>
        <v>1.128011341</v>
      </c>
      <c r="AN926" s="82">
        <f>IFERROR(__xludf.DUMMYFUNCTION("""COMPUTED_VALUE"""),0.7890579493689798)</f>
        <v>0.7890579494</v>
      </c>
      <c r="AO926" s="82">
        <f>IFERROR(__xludf.DUMMYFUNCTION("""COMPUTED_VALUE"""),0.4314330438506496)</f>
        <v>0.4314330439</v>
      </c>
      <c r="AP926" s="82">
        <f>IFERROR(__xludf.DUMMYFUNCTION("""COMPUTED_VALUE"""),0.6688074110645329)</f>
        <v>0.6688074111</v>
      </c>
      <c r="AQ926" s="82">
        <f>IFERROR(__xludf.DUMMYFUNCTION("""COMPUTED_VALUE"""),0.8088549991321993)</f>
        <v>0.8088549991</v>
      </c>
      <c r="AR926" s="82">
        <f>IFERROR(__xludf.DUMMYFUNCTION("""COMPUTED_VALUE"""),0.5801803893185974)</f>
        <v>0.5801803893</v>
      </c>
      <c r="AS926" s="82">
        <f>IFERROR(__xludf.DUMMYFUNCTION("""COMPUTED_VALUE"""),16.0)</f>
        <v>16</v>
      </c>
      <c r="AT926" s="82">
        <f>IFERROR(__xludf.DUMMYFUNCTION("""COMPUTED_VALUE"""),0.1918257871542369)</f>
        <v>0.1918257872</v>
      </c>
      <c r="AU926" s="82">
        <f>IFERROR(__xludf.DUMMYFUNCTION("""COMPUTED_VALUE"""),0.7784940166549883)</f>
        <v>0.7784940167</v>
      </c>
      <c r="AV926" s="82">
        <f>IFERROR(__xludf.DUMMYFUNCTION("""COMPUTED_VALUE"""),6.552458745889446)</f>
        <v>6.552458746</v>
      </c>
      <c r="AW926" s="82">
        <f t="shared" si="1"/>
        <v>-24.32257231</v>
      </c>
      <c r="AX926" s="83">
        <f t="array" ref="AX926">IFERROR(DGET('SBV Import'!A:G,"SBV",{"RSC ID","Tier";B926,A926}))</f>
        <v>18.82780235</v>
      </c>
      <c r="AY926" s="82">
        <f t="shared" si="2"/>
        <v>-9.414484855</v>
      </c>
      <c r="AZ926" s="82">
        <v>14.908087456689511</v>
      </c>
      <c r="BA926" s="84">
        <v>800.0</v>
      </c>
      <c r="BB926" s="84" t="b">
        <f>IFERROR(__xludf.DUMMYFUNCTION("iferror(if(A926="""",,E926&gt;=FILTER(Constants!$F$2:$F$10,Constants!$A$2:$A$10=A926)))"),TRUE)</f>
        <v>1</v>
      </c>
    </row>
    <row r="927">
      <c r="A927" s="80" t="str">
        <f>IFERROR(__xludf.DUMMYFUNCTION("""COMPUTED_VALUE"""),"Elite")</f>
        <v>Elite</v>
      </c>
      <c r="B927" s="73" t="str">
        <f>IFERROR(__xludf.DUMMYFUNCTION("""COMPUTED_VALUE"""),"RSC007470")</f>
        <v>RSC007470</v>
      </c>
      <c r="C927" s="73" t="str">
        <f>IFERROR(__xludf.DUMMYFUNCTION("""COMPUTED_VALUE"""),"Fused Gavin")</f>
        <v>Fused Gavin</v>
      </c>
      <c r="D927" s="73" t="str">
        <f>IFERROR(__xludf.DUMMYFUNCTION("""COMPUTED_VALUE"""),"Loonie")</f>
        <v>Loonie</v>
      </c>
      <c r="E927" s="82">
        <f>IFERROR(__xludf.DUMMYFUNCTION("""COMPUTED_VALUE"""),28.0)</f>
        <v>28</v>
      </c>
      <c r="F927" s="82">
        <f>IFERROR(__xludf.DUMMYFUNCTION("""COMPUTED_VALUE"""),7.0)</f>
        <v>7</v>
      </c>
      <c r="G927" s="82">
        <f>IFERROR(__xludf.DUMMYFUNCTION("""COMPUTED_VALUE"""),21.0)</f>
        <v>21</v>
      </c>
      <c r="H927" s="86">
        <f>IFERROR(__xludf.DUMMYFUNCTION("""COMPUTED_VALUE"""),0.25)</f>
        <v>0.25</v>
      </c>
      <c r="I927" s="86">
        <f>IFERROR(__xludf.DUMMYFUNCTION("""COMPUTED_VALUE"""),0.21951219512195125)</f>
        <v>0.2195121951</v>
      </c>
      <c r="J927" s="82">
        <f>IFERROR(__xludf.DUMMYFUNCTION("""COMPUTED_VALUE"""),284.7857142857143)</f>
        <v>284.7857143</v>
      </c>
      <c r="K927" s="82">
        <f>IFERROR(__xludf.DUMMYFUNCTION("""COMPUTED_VALUE"""),0.32142857142857145)</f>
        <v>0.3214285714</v>
      </c>
      <c r="L927" s="82">
        <f>IFERROR(__xludf.DUMMYFUNCTION("""COMPUTED_VALUE"""),0.25)</f>
        <v>0.25</v>
      </c>
      <c r="M927" s="82">
        <f>IFERROR(__xludf.DUMMYFUNCTION("""COMPUTED_VALUE"""),1.5714285714285714)</f>
        <v>1.571428571</v>
      </c>
      <c r="N927" s="82">
        <f>IFERROR(__xludf.DUMMYFUNCTION("""COMPUTED_VALUE"""),1.4642857142857142)</f>
        <v>1.464285714</v>
      </c>
      <c r="O927" s="82">
        <f>IFERROR(__xludf.DUMMYFUNCTION("""COMPUTED_VALUE"""),401.9523809523811)</f>
        <v>401.952381</v>
      </c>
      <c r="P927" s="82">
        <f>IFERROR(__xludf.DUMMYFUNCTION("""COMPUTED_VALUE"""),1.0476190476190474)</f>
        <v>1.047619048</v>
      </c>
      <c r="Q927" s="82">
        <f>IFERROR(__xludf.DUMMYFUNCTION("""COMPUTED_VALUE"""),0.8928571428571426)</f>
        <v>0.8928571429</v>
      </c>
      <c r="R927" s="82">
        <f>IFERROR(__xludf.DUMMYFUNCTION("""COMPUTED_VALUE"""),1.2976190476190477)</f>
        <v>1.297619048</v>
      </c>
      <c r="S927" s="82">
        <f>IFERROR(__xludf.DUMMYFUNCTION("""COMPUTED_VALUE"""),3.130952380952381)</f>
        <v>3.130952381</v>
      </c>
      <c r="T927" s="82">
        <f>IFERROR(__xludf.DUMMYFUNCTION("""COMPUTED_VALUE"""),388.5284159967132)</f>
        <v>388.528416</v>
      </c>
      <c r="U927" s="82">
        <f>IFERROR(__xludf.DUMMYFUNCTION("""COMPUTED_VALUE"""),0.931296367024575)</f>
        <v>0.931296367</v>
      </c>
      <c r="V927" s="82">
        <f>IFERROR(__xludf.DUMMYFUNCTION("""COMPUTED_VALUE"""),0.6516922984644294)</f>
        <v>0.6516922985</v>
      </c>
      <c r="W927" s="82">
        <f>IFERROR(__xludf.DUMMYFUNCTION("""COMPUTED_VALUE"""),1.3780386126641004)</f>
        <v>1.378038613</v>
      </c>
      <c r="X927" s="82">
        <f>IFERROR(__xludf.DUMMYFUNCTION("""COMPUTED_VALUE"""),2.8832872909672176)</f>
        <v>2.883287291</v>
      </c>
      <c r="Y927" s="82">
        <f>IFERROR(__xludf.DUMMYFUNCTION("""COMPUTED_VALUE"""),346.9242685000603)</f>
        <v>346.9242685</v>
      </c>
      <c r="Z927" s="82">
        <f>IFERROR(__xludf.DUMMYFUNCTION("""COMPUTED_VALUE"""),0.6838164516471255)</f>
        <v>0.6838164516</v>
      </c>
      <c r="AA927" s="82">
        <f>IFERROR(__xludf.DUMMYFUNCTION("""COMPUTED_VALUE"""),0.4822816199406318)</f>
        <v>0.4822816199</v>
      </c>
      <c r="AB927" s="82">
        <f>IFERROR(__xludf.DUMMYFUNCTION("""COMPUTED_VALUE"""),1.4598144850329664)</f>
        <v>1.459814485</v>
      </c>
      <c r="AC927" s="82">
        <f>IFERROR(__xludf.DUMMYFUNCTION("""COMPUTED_VALUE"""),2.4375868218495986)</f>
        <v>2.437586822</v>
      </c>
      <c r="AD927" s="82">
        <f>IFERROR(__xludf.DUMMYFUNCTION("""COMPUTED_VALUE"""),0.8208872660220505)</f>
        <v>0.820887266</v>
      </c>
      <c r="AE927" s="82">
        <f>IFERROR(__xludf.DUMMYFUNCTION("""COMPUTED_VALUE"""),0.470050948107988)</f>
        <v>0.4700509481</v>
      </c>
      <c r="AF927" s="82">
        <f>IFERROR(__xludf.DUMMYFUNCTION("""COMPUTED_VALUE"""),0.518369329585429)</f>
        <v>0.5183693296</v>
      </c>
      <c r="AG927" s="82">
        <f>IFERROR(__xludf.DUMMYFUNCTION("""COMPUTED_VALUE"""),1.076457719484188)</f>
        <v>1.076457719</v>
      </c>
      <c r="AH927" s="82">
        <f>IFERROR(__xludf.DUMMYFUNCTION("""COMPUTED_VALUE"""),0.6007112038678645)</f>
        <v>0.6007112039</v>
      </c>
      <c r="AI927" s="82">
        <f>IFERROR(__xludf.DUMMYFUNCTION("""COMPUTED_VALUE"""),1.0345507932057703)</f>
        <v>1.034550793</v>
      </c>
      <c r="AJ927" s="82">
        <f>IFERROR(__xludf.DUMMYFUNCTION("""COMPUTED_VALUE"""),1.1249040420571113)</f>
        <v>1.124904042</v>
      </c>
      <c r="AK927" s="82">
        <f>IFERROR(__xludf.DUMMYFUNCTION("""COMPUTED_VALUE"""),1.370059374586696)</f>
        <v>1.370059375</v>
      </c>
      <c r="AL927" s="82">
        <f>IFERROR(__xludf.DUMMYFUNCTION("""COMPUTED_VALUE"""),0.9416420089350173)</f>
        <v>0.9416420089</v>
      </c>
      <c r="AM927" s="82">
        <f>IFERROR(__xludf.DUMMYFUNCTION("""COMPUTED_VALUE"""),1.0858967785697424)</f>
        <v>1.085896779</v>
      </c>
      <c r="AN927" s="82">
        <f>IFERROR(__xludf.DUMMYFUNCTION("""COMPUTED_VALUE"""),0.8074244368187551)</f>
        <v>0.8074244368</v>
      </c>
      <c r="AO927" s="82">
        <f>IFERROR(__xludf.DUMMYFUNCTION("""COMPUTED_VALUE"""),0.4506934475939822)</f>
        <v>0.4506934476</v>
      </c>
      <c r="AP927" s="82">
        <f>IFERROR(__xludf.DUMMYFUNCTION("""COMPUTED_VALUE"""),0.4347248171919464)</f>
        <v>0.4347248172</v>
      </c>
      <c r="AQ927" s="82">
        <f>IFERROR(__xludf.DUMMYFUNCTION("""COMPUTED_VALUE"""),1.1015834750086144)</f>
        <v>1.101583475</v>
      </c>
      <c r="AR927" s="82">
        <f>IFERROR(__xludf.DUMMYFUNCTION("""COMPUTED_VALUE"""),0.5812709539601737)</f>
        <v>0.581270954</v>
      </c>
      <c r="AS927" s="82">
        <f>IFERROR(__xludf.DUMMYFUNCTION("""COMPUTED_VALUE"""),40.0)</f>
        <v>40</v>
      </c>
      <c r="AT927" s="82">
        <f>IFERROR(__xludf.DUMMYFUNCTION("""COMPUTED_VALUE"""),0.2280089751566774)</f>
        <v>0.2280089752</v>
      </c>
      <c r="AU927" s="82">
        <f>IFERROR(__xludf.DUMMYFUNCTION("""COMPUTED_VALUE"""),0.6893152067719236)</f>
        <v>0.6893152068</v>
      </c>
      <c r="AV927" s="82">
        <f>IFERROR(__xludf.DUMMYFUNCTION("""COMPUTED_VALUE"""),4.046582423371383)</f>
        <v>4.046582423</v>
      </c>
      <c r="AW927" s="82">
        <f t="shared" si="1"/>
        <v>-30.28363776</v>
      </c>
      <c r="AX927" s="83">
        <f t="array" ref="AX927">IFERROR(DGET('SBV Import'!A:G,"SBV",{"RSC ID","Tier";B927,A927}))</f>
        <v>10.68596692</v>
      </c>
      <c r="AY927" s="82">
        <f t="shared" si="2"/>
        <v>-17.26811076</v>
      </c>
      <c r="AZ927" s="82">
        <v>13.01552699702085</v>
      </c>
      <c r="BA927" s="84">
        <v>800.0</v>
      </c>
      <c r="BB927" s="84" t="b">
        <f>IFERROR(__xludf.DUMMYFUNCTION("iferror(if(A927="""",,E927&gt;=FILTER(Constants!$F$2:$F$10,Constants!$A$2:$A$10=A927)))"),TRUE)</f>
        <v>1</v>
      </c>
    </row>
    <row r="928">
      <c r="A928" s="80" t="str">
        <f>IFERROR(__xludf.DUMMYFUNCTION("""COMPUTED_VALUE"""),"Elite")</f>
        <v>Elite</v>
      </c>
      <c r="B928" s="73" t="str">
        <f>IFERROR(__xludf.DUMMYFUNCTION("""COMPUTED_VALUE"""),"RSC007260")</f>
        <v>RSC007260</v>
      </c>
      <c r="C928" s="73" t="str">
        <f>IFERROR(__xludf.DUMMYFUNCTION("""COMPUTED_VALUE"""),"Veoloux")</f>
        <v>Veoloux</v>
      </c>
      <c r="D928" s="73" t="str">
        <f>IFERROR(__xludf.DUMMYFUNCTION("""COMPUTED_VALUE"""),"Ghastly Goombahs")</f>
        <v>Ghastly Goombahs</v>
      </c>
      <c r="E928" s="82">
        <f>IFERROR(__xludf.DUMMYFUNCTION("""COMPUTED_VALUE"""),6.0)</f>
        <v>6</v>
      </c>
      <c r="F928" s="82">
        <f>IFERROR(__xludf.DUMMYFUNCTION("""COMPUTED_VALUE"""),2.0)</f>
        <v>2</v>
      </c>
      <c r="G928" s="82">
        <f>IFERROR(__xludf.DUMMYFUNCTION("""COMPUTED_VALUE"""),4.0)</f>
        <v>4</v>
      </c>
      <c r="H928" s="86">
        <f>IFERROR(__xludf.DUMMYFUNCTION("""COMPUTED_VALUE"""),0.3333333333333333)</f>
        <v>0.3333333333</v>
      </c>
      <c r="I928" s="86">
        <f>IFERROR(__xludf.DUMMYFUNCTION("""COMPUTED_VALUE"""),0.1111111111111111)</f>
        <v>0.1111111111</v>
      </c>
      <c r="J928" s="82">
        <f>IFERROR(__xludf.DUMMYFUNCTION("""COMPUTED_VALUE"""),230.0)</f>
        <v>230</v>
      </c>
      <c r="K928" s="82">
        <f>IFERROR(__xludf.DUMMYFUNCTION("""COMPUTED_VALUE"""),0.16666666666666666)</f>
        <v>0.1666666667</v>
      </c>
      <c r="L928" s="82">
        <f>IFERROR(__xludf.DUMMYFUNCTION("""COMPUTED_VALUE"""),0.3333333333333333)</f>
        <v>0.3333333333</v>
      </c>
      <c r="M928" s="82">
        <f>IFERROR(__xludf.DUMMYFUNCTION("""COMPUTED_VALUE"""),1.1666666666666667)</f>
        <v>1.166666667</v>
      </c>
      <c r="N928" s="82">
        <f>IFERROR(__xludf.DUMMYFUNCTION("""COMPUTED_VALUE"""),1.5)</f>
        <v>1.5</v>
      </c>
      <c r="O928" s="82">
        <f>IFERROR(__xludf.DUMMYFUNCTION("""COMPUTED_VALUE"""),362.8888888888889)</f>
        <v>362.8888889</v>
      </c>
      <c r="P928" s="82">
        <f>IFERROR(__xludf.DUMMYFUNCTION("""COMPUTED_VALUE"""),0.6666666666666666)</f>
        <v>0.6666666667</v>
      </c>
      <c r="Q928" s="82">
        <f>IFERROR(__xludf.DUMMYFUNCTION("""COMPUTED_VALUE"""),0.6666666666666666)</f>
        <v>0.6666666667</v>
      </c>
      <c r="R928" s="82">
        <f>IFERROR(__xludf.DUMMYFUNCTION("""COMPUTED_VALUE"""),1.3333333333333333)</f>
        <v>1.333333333</v>
      </c>
      <c r="S928" s="82">
        <f>IFERROR(__xludf.DUMMYFUNCTION("""COMPUTED_VALUE"""),2.7222222222222228)</f>
        <v>2.722222222</v>
      </c>
      <c r="T928" s="82">
        <f>IFERROR(__xludf.DUMMYFUNCTION("""COMPUTED_VALUE"""),370.4244977639599)</f>
        <v>370.4244978</v>
      </c>
      <c r="U928" s="82">
        <f>IFERROR(__xludf.DUMMYFUNCTION("""COMPUTED_VALUE"""),0.8078059708956783)</f>
        <v>0.8078059709</v>
      </c>
      <c r="V928" s="82">
        <f>IFERROR(__xludf.DUMMYFUNCTION("""COMPUTED_VALUE"""),0.5706867250445081)</f>
        <v>0.570686725</v>
      </c>
      <c r="W928" s="82">
        <f>IFERROR(__xludf.DUMMYFUNCTION("""COMPUTED_VALUE"""),1.430294489604398)</f>
        <v>1.43029449</v>
      </c>
      <c r="X928" s="82">
        <f>IFERROR(__xludf.DUMMYFUNCTION("""COMPUTED_VALUE"""),2.8086431099070417)</f>
        <v>2.80864311</v>
      </c>
      <c r="Y928" s="82">
        <f>IFERROR(__xludf.DUMMYFUNCTION("""COMPUTED_VALUE"""),345.69870586874276)</f>
        <v>345.6987059</v>
      </c>
      <c r="Z928" s="82">
        <f>IFERROR(__xludf.DUMMYFUNCTION("""COMPUTED_VALUE"""),0.6401393974692555)</f>
        <v>0.6401393975</v>
      </c>
      <c r="AA928" s="82">
        <f>IFERROR(__xludf.DUMMYFUNCTION("""COMPUTED_VALUE"""),0.4880959135388531)</f>
        <v>0.4880959135</v>
      </c>
      <c r="AB928" s="82">
        <f>IFERROR(__xludf.DUMMYFUNCTION("""COMPUTED_VALUE"""),1.5009747069254)</f>
        <v>1.500974707</v>
      </c>
      <c r="AC928" s="82">
        <f>IFERROR(__xludf.DUMMYFUNCTION("""COMPUTED_VALUE"""),2.455379363562021)</f>
        <v>2.455379364</v>
      </c>
      <c r="AD928" s="82">
        <f>IFERROR(__xludf.DUMMYFUNCTION("""COMPUTED_VALUE"""),0.6653192392549134)</f>
        <v>0.6653192393</v>
      </c>
      <c r="AE928" s="82">
        <f>IFERROR(__xludf.DUMMYFUNCTION("""COMPUTED_VALUE"""),0.2603599580428438)</f>
        <v>0.260359958</v>
      </c>
      <c r="AF928" s="82">
        <f>IFERROR(__xludf.DUMMYFUNCTION("""COMPUTED_VALUE"""),0.6829258842110743)</f>
        <v>0.6829258842</v>
      </c>
      <c r="AG928" s="82">
        <f>IFERROR(__xludf.DUMMYFUNCTION("""COMPUTED_VALUE"""),0.7772727023871504)</f>
        <v>0.7772727024</v>
      </c>
      <c r="AH928" s="82">
        <f>IFERROR(__xludf.DUMMYFUNCTION("""COMPUTED_VALUE"""),0.6109035623008368)</f>
        <v>0.6109035623</v>
      </c>
      <c r="AI928" s="82">
        <f>IFERROR(__xludf.DUMMYFUNCTION("""COMPUTED_VALUE"""),0.9796568290689219)</f>
        <v>0.9796568291</v>
      </c>
      <c r="AJ928" s="82">
        <f>IFERROR(__xludf.DUMMYFUNCTION("""COMPUTED_VALUE"""),0.8252806870534525)</f>
        <v>0.8252806871</v>
      </c>
      <c r="AK928" s="82">
        <f>IFERROR(__xludf.DUMMYFUNCTION("""COMPUTED_VALUE"""),1.1681832385617048)</f>
        <v>1.168183239</v>
      </c>
      <c r="AL928" s="82">
        <f>IFERROR(__xludf.DUMMYFUNCTION("""COMPUTED_VALUE"""),0.9322089562843222)</f>
        <v>0.9322089563</v>
      </c>
      <c r="AM928" s="82">
        <f>IFERROR(__xludf.DUMMYFUNCTION("""COMPUTED_VALUE"""),0.9692303776937757)</f>
        <v>0.9692303777</v>
      </c>
      <c r="AN928" s="82">
        <f>IFERROR(__xludf.DUMMYFUNCTION("""COMPUTED_VALUE"""),0.6520959835857516)</f>
        <v>0.6520959836</v>
      </c>
      <c r="AO928" s="82">
        <f>IFERROR(__xludf.DUMMYFUNCTION("""COMPUTED_VALUE"""),0.2336928987524352)</f>
        <v>0.2336928988</v>
      </c>
      <c r="AP928" s="82">
        <f>IFERROR(__xludf.DUMMYFUNCTION("""COMPUTED_VALUE"""),0.5796330895892619)</f>
        <v>0.5796330896</v>
      </c>
      <c r="AQ928" s="82">
        <f>IFERROR(__xludf.DUMMYFUNCTION("""COMPUTED_VALUE"""),0.817842276900335)</f>
        <v>0.8178422769</v>
      </c>
      <c r="AR928" s="82">
        <f>IFERROR(__xludf.DUMMYFUNCTION("""COMPUTED_VALUE"""),0.5954482943006657)</f>
        <v>0.5954482943</v>
      </c>
      <c r="AS928" s="82">
        <f>IFERROR(__xludf.DUMMYFUNCTION("""COMPUTED_VALUE"""),7.0)</f>
        <v>7</v>
      </c>
      <c r="AT928" s="82">
        <f>IFERROR(__xludf.DUMMYFUNCTION("""COMPUTED_VALUE"""),0.3207469495151578)</f>
        <v>0.3207469495</v>
      </c>
      <c r="AU928" s="82">
        <f>IFERROR(__xludf.DUMMYFUNCTION("""COMPUTED_VALUE"""),0.6318398406374481)</f>
        <v>0.6318398406</v>
      </c>
      <c r="AV928" s="82">
        <f>IFERROR(__xludf.DUMMYFUNCTION("""COMPUTED_VALUE"""),2.431555722372657)</f>
        <v>2.431555722</v>
      </c>
      <c r="AW928" s="82">
        <f t="shared" si="1"/>
        <v>-35.04175267</v>
      </c>
      <c r="AX928" s="83">
        <f t="array" ref="AX928">IFERROR(DGET('SBV Import'!A:G,"SBV",{"RSC ID","Tier";B928,A928}))</f>
        <v>8.646205847</v>
      </c>
      <c r="AY928" s="82">
        <f t="shared" si="2"/>
        <v>-20.38804976</v>
      </c>
      <c r="AZ928" s="82">
        <v>14.653702901394826</v>
      </c>
      <c r="BA928" s="84">
        <v>800.0</v>
      </c>
      <c r="BB928" s="84" t="b">
        <f>IFERROR(__xludf.DUMMYFUNCTION("iferror(if(A928="""",,E928&gt;=FILTER(Constants!$F$2:$F$10,Constants!$A$2:$A$10=A928)))"),TRUE)</f>
        <v>1</v>
      </c>
    </row>
    <row r="929">
      <c r="A929" s="80" t="str">
        <f>IFERROR(__xludf.DUMMYFUNCTION("""COMPUTED_VALUE"""),"Elite")</f>
        <v>Elite</v>
      </c>
      <c r="B929" s="73" t="str">
        <f>IFERROR(__xludf.DUMMYFUNCTION("""COMPUTED_VALUE"""),"RSC007386")</f>
        <v>RSC007386</v>
      </c>
      <c r="C929" s="73" t="str">
        <f>IFERROR(__xludf.DUMMYFUNCTION("""COMPUTED_VALUE"""),"oddtrip")</f>
        <v>oddtrip</v>
      </c>
      <c r="D929" s="73" t="str">
        <f>IFERROR(__xludf.DUMMYFUNCTION("""COMPUTED_VALUE"""),"Loonie")</f>
        <v>Loonie</v>
      </c>
      <c r="E929" s="82">
        <f>IFERROR(__xludf.DUMMYFUNCTION("""COMPUTED_VALUE"""),8.0)</f>
        <v>8</v>
      </c>
      <c r="F929" s="82">
        <f>IFERROR(__xludf.DUMMYFUNCTION("""COMPUTED_VALUE"""),1.0)</f>
        <v>1</v>
      </c>
      <c r="G929" s="82">
        <f>IFERROR(__xludf.DUMMYFUNCTION("""COMPUTED_VALUE"""),7.0)</f>
        <v>7</v>
      </c>
      <c r="H929" s="86">
        <f>IFERROR(__xludf.DUMMYFUNCTION("""COMPUTED_VALUE"""),0.125)</f>
        <v>0.125</v>
      </c>
      <c r="I929" s="86">
        <f>IFERROR(__xludf.DUMMYFUNCTION("""COMPUTED_VALUE"""),0.125)</f>
        <v>0.125</v>
      </c>
      <c r="J929" s="82">
        <f>IFERROR(__xludf.DUMMYFUNCTION("""COMPUTED_VALUE"""),210.5)</f>
        <v>210.5</v>
      </c>
      <c r="K929" s="82">
        <f>IFERROR(__xludf.DUMMYFUNCTION("""COMPUTED_VALUE"""),0.25)</f>
        <v>0.25</v>
      </c>
      <c r="L929" s="82">
        <f>IFERROR(__xludf.DUMMYFUNCTION("""COMPUTED_VALUE"""),0.5)</f>
        <v>0.5</v>
      </c>
      <c r="M929" s="82">
        <f>IFERROR(__xludf.DUMMYFUNCTION("""COMPUTED_VALUE"""),0.625)</f>
        <v>0.625</v>
      </c>
      <c r="N929" s="82">
        <f>IFERROR(__xludf.DUMMYFUNCTION("""COMPUTED_VALUE"""),2.0)</f>
        <v>2</v>
      </c>
      <c r="O929" s="82">
        <f>IFERROR(__xludf.DUMMYFUNCTION("""COMPUTED_VALUE"""),416.08333333333337)</f>
        <v>416.0833333</v>
      </c>
      <c r="P929" s="82">
        <f>IFERROR(__xludf.DUMMYFUNCTION("""COMPUTED_VALUE"""),1.0833333333333335)</f>
        <v>1.083333333</v>
      </c>
      <c r="Q929" s="82">
        <f>IFERROR(__xludf.DUMMYFUNCTION("""COMPUTED_VALUE"""),0.9166666666666666)</f>
        <v>0.9166666667</v>
      </c>
      <c r="R929" s="82">
        <f>IFERROR(__xludf.DUMMYFUNCTION("""COMPUTED_VALUE"""),1.75)</f>
        <v>1.75</v>
      </c>
      <c r="S929" s="82">
        <f>IFERROR(__xludf.DUMMYFUNCTION("""COMPUTED_VALUE"""),2.416666666666667)</f>
        <v>2.416666667</v>
      </c>
      <c r="T929" s="82">
        <f>IFERROR(__xludf.DUMMYFUNCTION("""COMPUTED_VALUE"""),351.31985047547545)</f>
        <v>351.3198505</v>
      </c>
      <c r="U929" s="82">
        <f>IFERROR(__xludf.DUMMYFUNCTION("""COMPUTED_VALUE"""),0.6969488238238238)</f>
        <v>0.6969488238</v>
      </c>
      <c r="V929" s="82">
        <f>IFERROR(__xludf.DUMMYFUNCTION("""COMPUTED_VALUE"""),0.5568818818818819)</f>
        <v>0.5568818819</v>
      </c>
      <c r="W929" s="82">
        <f>IFERROR(__xludf.DUMMYFUNCTION("""COMPUTED_VALUE"""),1.4687762762762764)</f>
        <v>1.468776276</v>
      </c>
      <c r="X929" s="82">
        <f>IFERROR(__xludf.DUMMYFUNCTION("""COMPUTED_VALUE"""),2.6356249999999997)</f>
        <v>2.635625</v>
      </c>
      <c r="Y929" s="82">
        <f>IFERROR(__xludf.DUMMYFUNCTION("""COMPUTED_VALUE"""),352.21734088254925)</f>
        <v>352.2173409</v>
      </c>
      <c r="Z929" s="82">
        <f>IFERROR(__xludf.DUMMYFUNCTION("""COMPUTED_VALUE"""),0.7251507757757757)</f>
        <v>0.7251507758</v>
      </c>
      <c r="AA929" s="82">
        <f>IFERROR(__xludf.DUMMYFUNCTION("""COMPUTED_VALUE"""),0.5045097180513848)</f>
        <v>0.5045097181</v>
      </c>
      <c r="AB929" s="82">
        <f>IFERROR(__xludf.DUMMYFUNCTION("""COMPUTED_VALUE"""),1.425903194861528)</f>
        <v>1.425903195</v>
      </c>
      <c r="AC929" s="82">
        <f>IFERROR(__xludf.DUMMYFUNCTION("""COMPUTED_VALUE"""),2.6875093843843847)</f>
        <v>2.687509384</v>
      </c>
      <c r="AD929" s="82">
        <f>IFERROR(__xludf.DUMMYFUNCTION("""COMPUTED_VALUE"""),0.5976423519425568)</f>
        <v>0.5976423519</v>
      </c>
      <c r="AE929" s="82">
        <f>IFERROR(__xludf.DUMMYFUNCTION("""COMPUTED_VALUE"""),0.34475588850132133)</f>
        <v>0.3447558885</v>
      </c>
      <c r="AF929" s="82">
        <f>IFERROR(__xludf.DUMMYFUNCTION("""COMPUTED_VALUE"""),0.9910611869503662)</f>
        <v>0.991061187</v>
      </c>
      <c r="AG929" s="82">
        <f>IFERROR(__xludf.DUMMYFUNCTION("""COMPUTED_VALUE"""),0.4383186756662642)</f>
        <v>0.4383186757</v>
      </c>
      <c r="AH929" s="82">
        <f>IFERROR(__xludf.DUMMYFUNCTION("""COMPUTED_VALUE"""),0.7441834479242686)</f>
        <v>0.7441834479</v>
      </c>
      <c r="AI929" s="82">
        <f>IFERROR(__xludf.DUMMYFUNCTION("""COMPUTED_VALUE"""),1.1843433633772962)</f>
        <v>1.184343363</v>
      </c>
      <c r="AJ929" s="82">
        <f>IFERROR(__xludf.DUMMYFUNCTION("""COMPUTED_VALUE"""),1.5543943777530225)</f>
        <v>1.554394378</v>
      </c>
      <c r="AK929" s="82">
        <f>IFERROR(__xludf.DUMMYFUNCTION("""COMPUTED_VALUE"""),1.6460701927829953)</f>
        <v>1.646070193</v>
      </c>
      <c r="AL929" s="82">
        <f>IFERROR(__xludf.DUMMYFUNCTION("""COMPUTED_VALUE"""),1.191468046063964)</f>
        <v>1.191468046</v>
      </c>
      <c r="AM929" s="82">
        <f>IFERROR(__xludf.DUMMYFUNCTION("""COMPUTED_VALUE"""),0.9169235633546757)</f>
        <v>0.9169235634</v>
      </c>
      <c r="AN929" s="82">
        <f>IFERROR(__xludf.DUMMYFUNCTION("""COMPUTED_VALUE"""),0.5968095849773944)</f>
        <v>0.596809585</v>
      </c>
      <c r="AO929" s="82">
        <f>IFERROR(__xludf.DUMMYFUNCTION("""COMPUTED_VALUE"""),0.35053934812865284)</f>
        <v>0.3505393481</v>
      </c>
      <c r="AP929" s="82">
        <f>IFERROR(__xludf.DUMMYFUNCTION("""COMPUTED_VALUE"""),0.8694496343838928)</f>
        <v>0.8694496344</v>
      </c>
      <c r="AQ929" s="82">
        <f>IFERROR(__xludf.DUMMYFUNCTION("""COMPUTED_VALUE"""),0.438129791196608)</f>
        <v>0.4381297912</v>
      </c>
      <c r="AR929" s="82">
        <f>IFERROR(__xludf.DUMMYFUNCTION("""COMPUTED_VALUE"""),0.7939310590675543)</f>
        <v>0.7939310591</v>
      </c>
      <c r="AS929" s="82">
        <f>IFERROR(__xludf.DUMMYFUNCTION("""COMPUTED_VALUE"""),11.0)</f>
        <v>11</v>
      </c>
      <c r="AT929" s="82">
        <f>IFERROR(__xludf.DUMMYFUNCTION("""COMPUTED_VALUE"""),0.20833052825352036)</f>
        <v>0.2083305283</v>
      </c>
      <c r="AU929" s="82">
        <f>IFERROR(__xludf.DUMMYFUNCTION("""COMPUTED_VALUE"""),0.6087670240336429)</f>
        <v>0.608767024</v>
      </c>
      <c r="AV929" s="82">
        <f>IFERROR(__xludf.DUMMYFUNCTION("""COMPUTED_VALUE"""),1.783222055472521)</f>
        <v>1.783222055</v>
      </c>
      <c r="AW929" s="82">
        <f t="shared" si="1"/>
        <v>-37.19428346</v>
      </c>
      <c r="AX929" s="83">
        <f t="array" ref="AX929">IFERROR(DGET('SBV Import'!A:G,"SBV",{"RSC ID","Tier";B929,A929}))</f>
        <v>9.209185951</v>
      </c>
      <c r="AY929" s="82">
        <f t="shared" si="2"/>
        <v>-19.46341043</v>
      </c>
      <c r="AZ929" s="82">
        <v>17.73087302210196</v>
      </c>
      <c r="BA929" s="84">
        <v>800.0</v>
      </c>
      <c r="BB929" s="84" t="b">
        <f>IFERROR(__xludf.DUMMYFUNCTION("iferror(if(A929="""",,E929&gt;=FILTER(Constants!$F$2:$F$10,Constants!$A$2:$A$10=A929)))"),TRUE)</f>
        <v>1</v>
      </c>
    </row>
    <row r="930">
      <c r="A930" s="85" t="str">
        <f>IFERROR(__xludf.DUMMYFUNCTION("""COMPUTED_VALUE"""),"Elite")</f>
        <v>Elite</v>
      </c>
      <c r="B930" s="73" t="str">
        <f>IFERROR(__xludf.DUMMYFUNCTION("""COMPUTED_VALUE"""),"RSC003110")</f>
        <v>RSC003110</v>
      </c>
      <c r="C930" s="73" t="str">
        <f>IFERROR(__xludf.DUMMYFUNCTION("""COMPUTED_VALUE"""),"Rev")</f>
        <v>Rev</v>
      </c>
      <c r="D930" s="73"/>
      <c r="E930" s="82">
        <f>IFERROR(__xludf.DUMMYFUNCTION("""COMPUTED_VALUE"""),8.0)</f>
        <v>8</v>
      </c>
      <c r="F930" s="82">
        <f>IFERROR(__xludf.DUMMYFUNCTION("""COMPUTED_VALUE"""),0.0)</f>
        <v>0</v>
      </c>
      <c r="G930" s="82">
        <f>IFERROR(__xludf.DUMMYFUNCTION("""COMPUTED_VALUE"""),8.0)</f>
        <v>8</v>
      </c>
      <c r="H930" s="86">
        <f>IFERROR(__xludf.DUMMYFUNCTION("""COMPUTED_VALUE"""),0.0)</f>
        <v>0</v>
      </c>
      <c r="I930" s="86">
        <f>IFERROR(__xludf.DUMMYFUNCTION("""COMPUTED_VALUE"""),0.058823529411764705)</f>
        <v>0.05882352941</v>
      </c>
      <c r="J930" s="82">
        <f>IFERROR(__xludf.DUMMYFUNCTION("""COMPUTED_VALUE"""),241.125)</f>
        <v>241.125</v>
      </c>
      <c r="K930" s="82">
        <f>IFERROR(__xludf.DUMMYFUNCTION("""COMPUTED_VALUE"""),0.125)</f>
        <v>0.125</v>
      </c>
      <c r="L930" s="82">
        <f>IFERROR(__xludf.DUMMYFUNCTION("""COMPUTED_VALUE"""),0.25)</f>
        <v>0.25</v>
      </c>
      <c r="M930" s="82">
        <f>IFERROR(__xludf.DUMMYFUNCTION("""COMPUTED_VALUE"""),1.125)</f>
        <v>1.125</v>
      </c>
      <c r="N930" s="82">
        <f>IFERROR(__xludf.DUMMYFUNCTION("""COMPUTED_VALUE"""),2.125)</f>
        <v>2.125</v>
      </c>
      <c r="O930" s="82">
        <f>IFERROR(__xludf.DUMMYFUNCTION("""COMPUTED_VALUE"""),413.04166666666663)</f>
        <v>413.0416667</v>
      </c>
      <c r="P930" s="82">
        <f>IFERROR(__xludf.DUMMYFUNCTION("""COMPUTED_VALUE"""),1.0833333333333333)</f>
        <v>1.083333333</v>
      </c>
      <c r="Q930" s="82">
        <f>IFERROR(__xludf.DUMMYFUNCTION("""COMPUTED_VALUE"""),0.9166666666666666)</f>
        <v>0.9166666667</v>
      </c>
      <c r="R930" s="82">
        <f>IFERROR(__xludf.DUMMYFUNCTION("""COMPUTED_VALUE"""),1.2916666666666667)</f>
        <v>1.291666667</v>
      </c>
      <c r="S930" s="82">
        <f>IFERROR(__xludf.DUMMYFUNCTION("""COMPUTED_VALUE"""),3.291666666666667)</f>
        <v>3.291666667</v>
      </c>
      <c r="T930" s="82">
        <f>IFERROR(__xludf.DUMMYFUNCTION("""COMPUTED_VALUE"""),395.1176170420275)</f>
        <v>395.117617</v>
      </c>
      <c r="U930" s="82">
        <f>IFERROR(__xludf.DUMMYFUNCTION("""COMPUTED_VALUE"""),0.9965688622192171)</f>
        <v>0.9965688622</v>
      </c>
      <c r="V930" s="82">
        <f>IFERROR(__xludf.DUMMYFUNCTION("""COMPUTED_VALUE"""),0.6591332893310581)</f>
        <v>0.6591332893</v>
      </c>
      <c r="W930" s="82">
        <f>IFERROR(__xludf.DUMMYFUNCTION("""COMPUTED_VALUE"""),1.3864281823840647)</f>
        <v>1.386428182</v>
      </c>
      <c r="X930" s="82">
        <f>IFERROR(__xludf.DUMMYFUNCTION("""COMPUTED_VALUE"""),3.0758863171705464)</f>
        <v>3.075886317</v>
      </c>
      <c r="Y930" s="82">
        <f>IFERROR(__xludf.DUMMYFUNCTION("""COMPUTED_VALUE"""),365.02819314986533)</f>
        <v>365.0281931</v>
      </c>
      <c r="Z930" s="82">
        <f>IFERROR(__xludf.DUMMYFUNCTION("""COMPUTED_VALUE"""),0.7517031876607603)</f>
        <v>0.7517031877</v>
      </c>
      <c r="AA930" s="82">
        <f>IFERROR(__xludf.DUMMYFUNCTION("""COMPUTED_VALUE"""),0.5402424619272996)</f>
        <v>0.5402424619</v>
      </c>
      <c r="AB930" s="82">
        <f>IFERROR(__xludf.DUMMYFUNCTION("""COMPUTED_VALUE"""),1.6227043020273244)</f>
        <v>1.622704302</v>
      </c>
      <c r="AC930" s="82">
        <f>IFERROR(__xludf.DUMMYFUNCTION("""COMPUTED_VALUE"""),2.517942665571976)</f>
        <v>2.517942666</v>
      </c>
      <c r="AD930" s="82">
        <f>IFERROR(__xludf.DUMMYFUNCTION("""COMPUTED_VALUE"""),0.6605654152883587)</f>
        <v>0.6605654153</v>
      </c>
      <c r="AE930" s="82">
        <f>IFERROR(__xludf.DUMMYFUNCTION("""COMPUTED_VALUE"""),0.16628903808295656)</f>
        <v>0.1662890381</v>
      </c>
      <c r="AF930" s="82">
        <f>IFERROR(__xludf.DUMMYFUNCTION("""COMPUTED_VALUE"""),0.4627551842336348)</f>
        <v>0.4627551842</v>
      </c>
      <c r="AG930" s="82">
        <f>IFERROR(__xludf.DUMMYFUNCTION("""COMPUTED_VALUE"""),0.6932871248288934)</f>
        <v>0.6932871248</v>
      </c>
      <c r="AH930" s="82">
        <f>IFERROR(__xludf.DUMMYFUNCTION("""COMPUTED_VALUE"""),0.843942965443689)</f>
        <v>0.8439429654</v>
      </c>
      <c r="AI930" s="82">
        <f>IFERROR(__xludf.DUMMYFUNCTION("""COMPUTED_VALUE"""),1.0453638330753867)</f>
        <v>1.045363833</v>
      </c>
      <c r="AJ930" s="82">
        <f>IFERROR(__xludf.DUMMYFUNCTION("""COMPUTED_VALUE"""),1.0870631969384474)</f>
        <v>1.087063197</v>
      </c>
      <c r="AK930" s="82">
        <f>IFERROR(__xludf.DUMMYFUNCTION("""COMPUTED_VALUE"""),1.390715173249669)</f>
        <v>1.390715173</v>
      </c>
      <c r="AL930" s="82">
        <f>IFERROR(__xludf.DUMMYFUNCTION("""COMPUTED_VALUE"""),0.9316506134818692)</f>
        <v>0.9316506135</v>
      </c>
      <c r="AM930" s="82">
        <f>IFERROR(__xludf.DUMMYFUNCTION("""COMPUTED_VALUE"""),1.0701522511711723)</f>
        <v>1.070152251</v>
      </c>
      <c r="AN930" s="82">
        <f>IFERROR(__xludf.DUMMYFUNCTION("""COMPUTED_VALUE"""),0.6836375827918015)</f>
        <v>0.6836375828</v>
      </c>
      <c r="AO930" s="82">
        <f>IFERROR(__xludf.DUMMYFUNCTION("""COMPUTED_VALUE"""),0.17526967406432642)</f>
        <v>0.1752696741</v>
      </c>
      <c r="AP930" s="82">
        <f>IFERROR(__xludf.DUMMYFUNCTION("""COMPUTED_VALUE"""),0.4347248171919464)</f>
        <v>0.4347248172</v>
      </c>
      <c r="AQ930" s="82">
        <f>IFERROR(__xludf.DUMMYFUNCTION("""COMPUTED_VALUE"""),0.7886336241538944)</f>
        <v>0.7886336242</v>
      </c>
      <c r="AR930" s="82">
        <f>IFERROR(__xludf.DUMMYFUNCTION("""COMPUTED_VALUE"""),0.8435517502592764)</f>
        <v>0.8435517503</v>
      </c>
      <c r="AS930" s="82">
        <f>IFERROR(__xludf.DUMMYFUNCTION("""COMPUTED_VALUE"""),5.0)</f>
        <v>5</v>
      </c>
      <c r="AT930" s="82">
        <f>IFERROR(__xludf.DUMMYFUNCTION("""COMPUTED_VALUE"""),0.08076438143893805)</f>
        <v>0.08076438144</v>
      </c>
      <c r="AU930" s="82">
        <f>IFERROR(__xludf.DUMMYFUNCTION("""COMPUTED_VALUE"""),0.5009452941770713)</f>
        <v>0.5009452942</v>
      </c>
      <c r="AV930" s="82">
        <f>IFERROR(__xludf.DUMMYFUNCTION("""COMPUTED_VALUE"""),-1.2465102346847914)</f>
        <v>-1.246510235</v>
      </c>
      <c r="AW930" s="82">
        <f t="shared" si="1"/>
        <v>-49.53185638</v>
      </c>
      <c r="AX930" s="83">
        <f t="array" ref="AX930">IFERROR(DGET('SBV Import'!A:G,"SBV",{"RSC ID","Tier";B930,A930}))</f>
        <v>8.633263162</v>
      </c>
      <c r="AY930" s="82">
        <f t="shared" si="2"/>
        <v>-20.40992049</v>
      </c>
      <c r="AZ930" s="82">
        <v>29.12193588177881</v>
      </c>
      <c r="BA930" s="84">
        <v>800.0</v>
      </c>
      <c r="BB930" s="84" t="b">
        <f>IFERROR(__xludf.DUMMYFUNCTION("iferror(if(A930="""",,E930&gt;=FILTER(Constants!$F$2:$F$10,Constants!$A$2:$A$10=A930)))"),TRUE)</f>
        <v>1</v>
      </c>
    </row>
    <row r="931">
      <c r="A931" s="80" t="str">
        <f>IFERROR(__xludf.DUMMYFUNCTION("""COMPUTED_VALUE"""),"Elite")</f>
        <v>Elite</v>
      </c>
      <c r="B931" s="73" t="str">
        <f>IFERROR(__xludf.DUMMYFUNCTION("""COMPUTED_VALUE"""),"RSC005522")</f>
        <v>RSC005522</v>
      </c>
      <c r="C931" s="73" t="str">
        <f>IFERROR(__xludf.DUMMYFUNCTION("""COMPUTED_VALUE"""),"Diviniation")</f>
        <v>Diviniation</v>
      </c>
      <c r="D931" s="73"/>
      <c r="E931" s="82">
        <f>IFERROR(__xludf.DUMMYFUNCTION("""COMPUTED_VALUE"""),2.0)</f>
        <v>2</v>
      </c>
      <c r="F931" s="82">
        <f>IFERROR(__xludf.DUMMYFUNCTION("""COMPUTED_VALUE"""),1.0)</f>
        <v>1</v>
      </c>
      <c r="G931" s="82">
        <f>IFERROR(__xludf.DUMMYFUNCTION("""COMPUTED_VALUE"""),1.0)</f>
        <v>1</v>
      </c>
      <c r="H931" s="86">
        <f>IFERROR(__xludf.DUMMYFUNCTION("""COMPUTED_VALUE"""),0.5)</f>
        <v>0.5</v>
      </c>
      <c r="I931" s="86">
        <f>IFERROR(__xludf.DUMMYFUNCTION("""COMPUTED_VALUE"""),0.0)</f>
        <v>0</v>
      </c>
      <c r="J931" s="82">
        <f>IFERROR(__xludf.DUMMYFUNCTION("""COMPUTED_VALUE"""),280.0)</f>
        <v>280</v>
      </c>
      <c r="K931" s="82">
        <f>IFERROR(__xludf.DUMMYFUNCTION("""COMPUTED_VALUE"""),0.0)</f>
        <v>0</v>
      </c>
      <c r="L931" s="82">
        <f>IFERROR(__xludf.DUMMYFUNCTION("""COMPUTED_VALUE"""),0.5)</f>
        <v>0.5</v>
      </c>
      <c r="M931" s="82">
        <f>IFERROR(__xludf.DUMMYFUNCTION("""COMPUTED_VALUE"""),2.0)</f>
        <v>2</v>
      </c>
      <c r="N931" s="82">
        <f>IFERROR(__xludf.DUMMYFUNCTION("""COMPUTED_VALUE"""),1.5)</f>
        <v>1.5</v>
      </c>
      <c r="O931" s="82">
        <f>IFERROR(__xludf.DUMMYFUNCTION("""COMPUTED_VALUE"""),323.5)</f>
        <v>323.5</v>
      </c>
      <c r="P931" s="82">
        <f>IFERROR(__xludf.DUMMYFUNCTION("""COMPUTED_VALUE"""),1.0)</f>
        <v>1</v>
      </c>
      <c r="Q931" s="82">
        <f>IFERROR(__xludf.DUMMYFUNCTION("""COMPUTED_VALUE"""),0.6666666666666666)</f>
        <v>0.6666666667</v>
      </c>
      <c r="R931" s="82">
        <f>IFERROR(__xludf.DUMMYFUNCTION("""COMPUTED_VALUE"""),0.5)</f>
        <v>0.5</v>
      </c>
      <c r="S931" s="82">
        <f>IFERROR(__xludf.DUMMYFUNCTION("""COMPUTED_VALUE"""),3.5)</f>
        <v>3.5</v>
      </c>
      <c r="T931" s="82">
        <f>IFERROR(__xludf.DUMMYFUNCTION("""COMPUTED_VALUE"""),346.1909961685824)</f>
        <v>346.1909962</v>
      </c>
      <c r="U931" s="82">
        <f>IFERROR(__xludf.DUMMYFUNCTION("""COMPUTED_VALUE"""),0.8016283524904214)</f>
        <v>0.8016283525</v>
      </c>
      <c r="V931" s="82">
        <f>IFERROR(__xludf.DUMMYFUNCTION("""COMPUTED_VALUE"""),0.5908524904214559)</f>
        <v>0.5908524904</v>
      </c>
      <c r="W931" s="82">
        <f>IFERROR(__xludf.DUMMYFUNCTION("""COMPUTED_VALUE"""),1.1266283524904215)</f>
        <v>1.126628352</v>
      </c>
      <c r="X931" s="82">
        <f>IFERROR(__xludf.DUMMYFUNCTION("""COMPUTED_VALUE"""),2.859818007662835)</f>
        <v>2.859818008</v>
      </c>
      <c r="Y931" s="82">
        <f>IFERROR(__xludf.DUMMYFUNCTION("""COMPUTED_VALUE"""),364.2789431673052)</f>
        <v>364.2789432</v>
      </c>
      <c r="Z931" s="82">
        <f>IFERROR(__xludf.DUMMYFUNCTION("""COMPUTED_VALUE"""),0.7921455938697318)</f>
        <v>0.7921455939</v>
      </c>
      <c r="AA931" s="82">
        <f>IFERROR(__xludf.DUMMYFUNCTION("""COMPUTED_VALUE"""),0.5876596424010216)</f>
        <v>0.5876596424</v>
      </c>
      <c r="AB931" s="82">
        <f>IFERROR(__xludf.DUMMYFUNCTION("""COMPUTED_VALUE"""),1.4897030651340994)</f>
        <v>1.489703065</v>
      </c>
      <c r="AC931" s="82">
        <f>IFERROR(__xludf.DUMMYFUNCTION("""COMPUTED_VALUE"""),2.484323116219668)</f>
        <v>2.484323116</v>
      </c>
      <c r="AD931" s="82">
        <f>IFERROR(__xludf.DUMMYFUNCTION("""COMPUTED_VALUE"""),0.7686417380194337)</f>
        <v>0.768641738</v>
      </c>
      <c r="AE931" s="82">
        <f>IFERROR(__xludf.DUMMYFUNCTION("""COMPUTED_VALUE"""),0.0)</f>
        <v>0</v>
      </c>
      <c r="AF931" s="82">
        <f>IFERROR(__xludf.DUMMYFUNCTION("""COMPUTED_VALUE"""),0.8508326315503519)</f>
        <v>0.8508326316</v>
      </c>
      <c r="AG931" s="82">
        <f>IFERROR(__xludf.DUMMYFUNCTION("""COMPUTED_VALUE"""),1.3425494293521942)</f>
        <v>1.342549429</v>
      </c>
      <c r="AH931" s="82">
        <f>IFERROR(__xludf.DUMMYFUNCTION("""COMPUTED_VALUE"""),0.6037861943991055)</f>
        <v>0.6037861944</v>
      </c>
      <c r="AI931" s="82">
        <f>IFERROR(__xludf.DUMMYFUNCTION("""COMPUTED_VALUE"""),0.9344552676998777)</f>
        <v>0.9344552677</v>
      </c>
      <c r="AJ931" s="82">
        <f>IFERROR(__xludf.DUMMYFUNCTION("""COMPUTED_VALUE"""),1.247460867487155)</f>
        <v>1.247460867</v>
      </c>
      <c r="AK931" s="82">
        <f>IFERROR(__xludf.DUMMYFUNCTION("""COMPUTED_VALUE"""),1.1283132041825403)</f>
        <v>1.128313204</v>
      </c>
      <c r="AL931" s="82">
        <f>IFERROR(__xludf.DUMMYFUNCTION("""COMPUTED_VALUE"""),0.4438020744771297)</f>
        <v>0.4438020745</v>
      </c>
      <c r="AM931" s="82">
        <f>IFERROR(__xludf.DUMMYFUNCTION("""COMPUTED_VALUE"""),1.2238541021218161)</f>
        <v>1.223854102</v>
      </c>
      <c r="AN931" s="82">
        <f>IFERROR(__xludf.DUMMYFUNCTION("""COMPUTED_VALUE"""),0.7938559800174367)</f>
        <v>0.79385598</v>
      </c>
      <c r="AO931" s="82">
        <f>IFERROR(__xludf.DUMMYFUNCTION("""COMPUTED_VALUE"""),0.0)</f>
        <v>0</v>
      </c>
      <c r="AP931" s="82">
        <f>IFERROR(__xludf.DUMMYFUNCTION("""COMPUTED_VALUE"""),0.8694496343838928)</f>
        <v>0.8694496344</v>
      </c>
      <c r="AQ931" s="82">
        <f>IFERROR(__xludf.DUMMYFUNCTION("""COMPUTED_VALUE"""),1.4020153318291455)</f>
        <v>1.402015332</v>
      </c>
      <c r="AR931" s="82">
        <f>IFERROR(__xludf.DUMMYFUNCTION("""COMPUTED_VALUE"""),0.5954482943006657)</f>
        <v>0.5954482943</v>
      </c>
      <c r="AS931" s="82">
        <f>IFERROR(__xludf.DUMMYFUNCTION("""COMPUTED_VALUE"""),3.0)</f>
        <v>3</v>
      </c>
      <c r="AT931" s="82">
        <f>IFERROR(__xludf.DUMMYFUNCTION("""COMPUTED_VALUE"""),0.25591176740996385)</f>
        <v>0.2559117674</v>
      </c>
      <c r="AU931" s="82">
        <f>IFERROR(__xludf.DUMMYFUNCTION("""COMPUTED_VALUE"""),0.4067032068905216)</f>
        <v>0.4067032069</v>
      </c>
      <c r="AV931" s="82">
        <f>IFERROR(__xludf.DUMMYFUNCTION("""COMPUTED_VALUE"""),-3.894661913606136)</f>
        <v>-3.894661914</v>
      </c>
      <c r="AW931" s="82">
        <f t="shared" si="1"/>
        <v>-64.30797462</v>
      </c>
      <c r="AX931" s="83">
        <f t="array" ref="AX931">IFERROR(DGET('SBV Import'!A:G,"SBV",{"RSC ID","Tier";B931,A931}))</f>
        <v>8.868735325</v>
      </c>
      <c r="AY931" s="82">
        <f t="shared" si="2"/>
        <v>-20.01638436</v>
      </c>
      <c r="AZ931" s="82">
        <v>44.291590259817525</v>
      </c>
      <c r="BA931" s="84">
        <v>800.0</v>
      </c>
      <c r="BB931" s="84" t="b">
        <f>IFERROR(__xludf.DUMMYFUNCTION("iferror(if(A931="""",,E931&gt;=FILTER(Constants!$F$2:$F$10,Constants!$A$2:$A$10=A931)))"),TRUE)</f>
        <v>1</v>
      </c>
    </row>
    <row r="932">
      <c r="A932" s="80" t="str">
        <f>IFERROR(__xludf.DUMMYFUNCTION("""COMPUTED_VALUE"""),"Elite")</f>
        <v>Elite</v>
      </c>
      <c r="B932" s="73" t="str">
        <f>IFERROR(__xludf.DUMMYFUNCTION("""COMPUTED_VALUE"""),"RSC004650")</f>
        <v>RSC004650</v>
      </c>
      <c r="C932" s="73" t="str">
        <f>IFERROR(__xludf.DUMMYFUNCTION("""COMPUTED_VALUE"""),"xolzkii")</f>
        <v>xolzkii</v>
      </c>
      <c r="D932" s="73" t="str">
        <f>IFERROR(__xludf.DUMMYFUNCTION("""COMPUTED_VALUE"""),"Summoned")</f>
        <v>Summoned</v>
      </c>
      <c r="E932" s="82">
        <f>IFERROR(__xludf.DUMMYFUNCTION("""COMPUTED_VALUE"""),4.0)</f>
        <v>4</v>
      </c>
      <c r="F932" s="82">
        <f>IFERROR(__xludf.DUMMYFUNCTION("""COMPUTED_VALUE"""),0.0)</f>
        <v>0</v>
      </c>
      <c r="G932" s="82">
        <f>IFERROR(__xludf.DUMMYFUNCTION("""COMPUTED_VALUE"""),4.0)</f>
        <v>4</v>
      </c>
      <c r="H932" s="86">
        <f>IFERROR(__xludf.DUMMYFUNCTION("""COMPUTED_VALUE"""),0.0)</f>
        <v>0</v>
      </c>
      <c r="I932" s="86">
        <f>IFERROR(__xludf.DUMMYFUNCTION("""COMPUTED_VALUE"""),0.16666666666666666)</f>
        <v>0.1666666667</v>
      </c>
      <c r="J932" s="82">
        <f>IFERROR(__xludf.DUMMYFUNCTION("""COMPUTED_VALUE"""),345.5)</f>
        <v>345.5</v>
      </c>
      <c r="K932" s="82">
        <f>IFERROR(__xludf.DUMMYFUNCTION("""COMPUTED_VALUE"""),0.25)</f>
        <v>0.25</v>
      </c>
      <c r="L932" s="82">
        <f>IFERROR(__xludf.DUMMYFUNCTION("""COMPUTED_VALUE"""),0.25)</f>
        <v>0.25</v>
      </c>
      <c r="M932" s="82">
        <f>IFERROR(__xludf.DUMMYFUNCTION("""COMPUTED_VALUE"""),1.75)</f>
        <v>1.75</v>
      </c>
      <c r="N932" s="82">
        <f>IFERROR(__xludf.DUMMYFUNCTION("""COMPUTED_VALUE"""),1.5)</f>
        <v>1.5</v>
      </c>
      <c r="O932" s="82">
        <f>IFERROR(__xludf.DUMMYFUNCTION("""COMPUTED_VALUE"""),492.0)</f>
        <v>492</v>
      </c>
      <c r="P932" s="82">
        <f>IFERROR(__xludf.DUMMYFUNCTION("""COMPUTED_VALUE"""),1.3333333333333333)</f>
        <v>1.333333333</v>
      </c>
      <c r="Q932" s="82">
        <f>IFERROR(__xludf.DUMMYFUNCTION("""COMPUTED_VALUE"""),0.9166666666666666)</f>
        <v>0.9166666667</v>
      </c>
      <c r="R932" s="82">
        <f>IFERROR(__xludf.DUMMYFUNCTION("""COMPUTED_VALUE"""),1.4166666666666667)</f>
        <v>1.416666667</v>
      </c>
      <c r="S932" s="82">
        <f>IFERROR(__xludf.DUMMYFUNCTION("""COMPUTED_VALUE"""),4.666666666666666)</f>
        <v>4.666666667</v>
      </c>
      <c r="T932" s="82">
        <f>IFERROR(__xludf.DUMMYFUNCTION("""COMPUTED_VALUE"""),402.17195767195767)</f>
        <v>402.1719577</v>
      </c>
      <c r="U932" s="82">
        <f>IFERROR(__xludf.DUMMYFUNCTION("""COMPUTED_VALUE"""),0.9928902116402116)</f>
        <v>0.9928902116</v>
      </c>
      <c r="V932" s="82">
        <f>IFERROR(__xludf.DUMMYFUNCTION("""COMPUTED_VALUE"""),0.5891203703703703)</f>
        <v>0.5891203704</v>
      </c>
      <c r="W932" s="82">
        <f>IFERROR(__xludf.DUMMYFUNCTION("""COMPUTED_VALUE"""),1.5454695767195767)</f>
        <v>1.545469577</v>
      </c>
      <c r="X932" s="82">
        <f>IFERROR(__xludf.DUMMYFUNCTION("""COMPUTED_VALUE"""),2.8115079365079367)</f>
        <v>2.811507937</v>
      </c>
      <c r="Y932" s="82">
        <f>IFERROR(__xludf.DUMMYFUNCTION("""COMPUTED_VALUE"""),344.0385251322751)</f>
        <v>344.0385251</v>
      </c>
      <c r="Z932" s="82">
        <f>IFERROR(__xludf.DUMMYFUNCTION("""COMPUTED_VALUE"""),0.6957120811287477)</f>
        <v>0.6957120811</v>
      </c>
      <c r="AA932" s="82">
        <f>IFERROR(__xludf.DUMMYFUNCTION("""COMPUTED_VALUE"""),0.4738205467372134)</f>
        <v>0.4738205467</v>
      </c>
      <c r="AB932" s="82">
        <f>IFERROR(__xludf.DUMMYFUNCTION("""COMPUTED_VALUE"""),1.3117835097001762)</f>
        <v>1.31178351</v>
      </c>
      <c r="AC932" s="82">
        <f>IFERROR(__xludf.DUMMYFUNCTION("""COMPUTED_VALUE"""),2.551146384479717)</f>
        <v>2.551146384</v>
      </c>
      <c r="AD932" s="82">
        <f>IFERROR(__xludf.DUMMYFUNCTION("""COMPUTED_VALUE"""),1.004247997712358)</f>
        <v>1.004247998</v>
      </c>
      <c r="AE932" s="82">
        <f>IFERROR(__xludf.DUMMYFUNCTION("""COMPUTED_VALUE"""),0.3593440545036838)</f>
        <v>0.3593440545</v>
      </c>
      <c r="AF932" s="82">
        <f>IFERROR(__xludf.DUMMYFUNCTION("""COMPUTED_VALUE"""),0.5276259160172153)</f>
        <v>0.527625916</v>
      </c>
      <c r="AG932" s="82">
        <f>IFERROR(__xludf.DUMMYFUNCTION("""COMPUTED_VALUE"""),1.3340615940506704)</f>
        <v>1.334061594</v>
      </c>
      <c r="AH932" s="82">
        <f>IFERROR(__xludf.DUMMYFUNCTION("""COMPUTED_VALUE"""),0.5879709643968201)</f>
        <v>0.5879709644</v>
      </c>
      <c r="AI932" s="82">
        <f>IFERROR(__xludf.DUMMYFUNCTION("""COMPUTED_VALUE"""),1.2233572993204886)</f>
        <v>1.223357299</v>
      </c>
      <c r="AJ932" s="82">
        <f>IFERROR(__xludf.DUMMYFUNCTION("""COMPUTED_VALUE"""),1.342880932556203)</f>
        <v>1.342880933</v>
      </c>
      <c r="AK932" s="82">
        <f>IFERROR(__xludf.DUMMYFUNCTION("""COMPUTED_VALUE"""),1.5559921414538311)</f>
        <v>1.555992141</v>
      </c>
      <c r="AL932" s="82">
        <f>IFERROR(__xludf.DUMMYFUNCTION("""COMPUTED_VALUE"""),0.9166577511501016)</f>
        <v>0.9166577512</v>
      </c>
      <c r="AM932" s="82">
        <f>IFERROR(__xludf.DUMMYFUNCTION("""COMPUTED_VALUE"""),1.6598447424135494)</f>
        <v>1.659844742</v>
      </c>
      <c r="AN932" s="82">
        <f>IFERROR(__xludf.DUMMYFUNCTION("""COMPUTED_VALUE"""),0.9795615753429442)</f>
        <v>0.9795615753</v>
      </c>
      <c r="AO932" s="82">
        <f>IFERROR(__xludf.DUMMYFUNCTION("""COMPUTED_VALUE"""),0.35053934812865284)</f>
        <v>0.3505393481</v>
      </c>
      <c r="AP932" s="82">
        <f>IFERROR(__xludf.DUMMYFUNCTION("""COMPUTED_VALUE"""),0.4347248171919464)</f>
        <v>0.4347248172</v>
      </c>
      <c r="AQ932" s="82">
        <f>IFERROR(__xludf.DUMMYFUNCTION("""COMPUTED_VALUE"""),1.2267634153505023)</f>
        <v>1.226763415</v>
      </c>
      <c r="AR932" s="82">
        <f>IFERROR(__xludf.DUMMYFUNCTION("""COMPUTED_VALUE"""),0.5954482943006657)</f>
        <v>0.5954482943</v>
      </c>
      <c r="AS932" s="82">
        <f>IFERROR(__xludf.DUMMYFUNCTION("""COMPUTED_VALUE"""),3.0)</f>
        <v>3</v>
      </c>
      <c r="AT932" s="82">
        <f>IFERROR(__xludf.DUMMYFUNCTION("""COMPUTED_VALUE"""),0.06799244525268718)</f>
        <v>0.06799244525</v>
      </c>
      <c r="AU932" s="82">
        <f>IFERROR(__xludf.DUMMYFUNCTION("""COMPUTED_VALUE"""),0.3612762221655835)</f>
        <v>0.3612762222</v>
      </c>
      <c r="AV932" s="82">
        <f>IFERROR(__xludf.DUMMYFUNCTION("""COMPUTED_VALUE"""),-5.171135613747204)</f>
        <v>-5.171135614</v>
      </c>
      <c r="AW932" s="82">
        <f t="shared" si="1"/>
        <v>-73.1934208</v>
      </c>
      <c r="AX932" s="83">
        <f t="array" ref="AX932">IFERROR(DGET('SBV Import'!A:G,"SBV",{"RSC ID","Tier";B932,A932}))</f>
        <v>6.990553475</v>
      </c>
      <c r="AY932" s="82">
        <f t="shared" si="2"/>
        <v>-23.42914094</v>
      </c>
      <c r="AZ932" s="82">
        <v>49.764279862913554</v>
      </c>
      <c r="BA932" s="84">
        <v>800.0</v>
      </c>
      <c r="BB932" s="84" t="b">
        <f>IFERROR(__xludf.DUMMYFUNCTION("iferror(if(A932="""",,E932&gt;=FILTER(Constants!$F$2:$F$10,Constants!$A$2:$A$10=A932)))"),TRUE)</f>
        <v>1</v>
      </c>
    </row>
    <row r="933">
      <c r="A933" s="80" t="str">
        <f>IFERROR(__xludf.DUMMYFUNCTION("""COMPUTED_VALUE"""),"Elite")</f>
        <v>Elite</v>
      </c>
      <c r="B933" s="73" t="str">
        <f>IFERROR(__xludf.DUMMYFUNCTION("""COMPUTED_VALUE"""),"RSC004794")</f>
        <v>RSC004794</v>
      </c>
      <c r="C933" s="73" t="str">
        <f>IFERROR(__xludf.DUMMYFUNCTION("""COMPUTED_VALUE"""),"Buddha")</f>
        <v>Buddha</v>
      </c>
      <c r="D933" s="73"/>
      <c r="E933" s="82">
        <f>IFERROR(__xludf.DUMMYFUNCTION("""COMPUTED_VALUE"""),4.0)</f>
        <v>4</v>
      </c>
      <c r="F933" s="82">
        <f>IFERROR(__xludf.DUMMYFUNCTION("""COMPUTED_VALUE"""),0.0)</f>
        <v>0</v>
      </c>
      <c r="G933" s="82">
        <f>IFERROR(__xludf.DUMMYFUNCTION("""COMPUTED_VALUE"""),4.0)</f>
        <v>4</v>
      </c>
      <c r="H933" s="86">
        <f>IFERROR(__xludf.DUMMYFUNCTION("""COMPUTED_VALUE"""),0.0)</f>
        <v>0</v>
      </c>
      <c r="I933" s="86">
        <f>IFERROR(__xludf.DUMMYFUNCTION("""COMPUTED_VALUE"""),0.6666666666666666)</f>
        <v>0.6666666667</v>
      </c>
      <c r="J933" s="82">
        <f>IFERROR(__xludf.DUMMYFUNCTION("""COMPUTED_VALUE"""),216.75)</f>
        <v>216.75</v>
      </c>
      <c r="K933" s="82">
        <f>IFERROR(__xludf.DUMMYFUNCTION("""COMPUTED_VALUE"""),0.5)</f>
        <v>0.5</v>
      </c>
      <c r="L933" s="82">
        <f>IFERROR(__xludf.DUMMYFUNCTION("""COMPUTED_VALUE"""),0.25)</f>
        <v>0.25</v>
      </c>
      <c r="M933" s="82">
        <f>IFERROR(__xludf.DUMMYFUNCTION("""COMPUTED_VALUE"""),0.75)</f>
        <v>0.75</v>
      </c>
      <c r="N933" s="82">
        <f>IFERROR(__xludf.DUMMYFUNCTION("""COMPUTED_VALUE"""),0.75)</f>
        <v>0.75</v>
      </c>
      <c r="O933" s="82">
        <f>IFERROR(__xludf.DUMMYFUNCTION("""COMPUTED_VALUE"""),381.3333333333333)</f>
        <v>381.3333333</v>
      </c>
      <c r="P933" s="82">
        <f>IFERROR(__xludf.DUMMYFUNCTION("""COMPUTED_VALUE"""),1.25)</f>
        <v>1.25</v>
      </c>
      <c r="Q933" s="82">
        <f>IFERROR(__xludf.DUMMYFUNCTION("""COMPUTED_VALUE"""),0.9166666666666666)</f>
        <v>0.9166666667</v>
      </c>
      <c r="R933" s="82">
        <f>IFERROR(__xludf.DUMMYFUNCTION("""COMPUTED_VALUE"""),0.7499999999999999)</f>
        <v>0.75</v>
      </c>
      <c r="S933" s="82">
        <f>IFERROR(__xludf.DUMMYFUNCTION("""COMPUTED_VALUE"""),3.5)</f>
        <v>3.5</v>
      </c>
      <c r="T933" s="82">
        <f>IFERROR(__xludf.DUMMYFUNCTION("""COMPUTED_VALUE"""),371.2361111111111)</f>
        <v>371.2361111</v>
      </c>
      <c r="U933" s="82">
        <f>IFERROR(__xludf.DUMMYFUNCTION("""COMPUTED_VALUE"""),0.763888888888889)</f>
        <v>0.7638888889</v>
      </c>
      <c r="V933" s="82">
        <f>IFERROR(__xludf.DUMMYFUNCTION("""COMPUTED_VALUE"""),0.6759259259259259)</f>
        <v>0.6759259259</v>
      </c>
      <c r="W933" s="82">
        <f>IFERROR(__xludf.DUMMYFUNCTION("""COMPUTED_VALUE"""),1.3564814814814816)</f>
        <v>1.356481481</v>
      </c>
      <c r="X933" s="82">
        <f>IFERROR(__xludf.DUMMYFUNCTION("""COMPUTED_VALUE"""),2.8796296296296298)</f>
        <v>2.87962963</v>
      </c>
      <c r="Y933" s="82">
        <f>IFERROR(__xludf.DUMMYFUNCTION("""COMPUTED_VALUE"""),350.39351851851853)</f>
        <v>350.3935185</v>
      </c>
      <c r="Z933" s="82">
        <f>IFERROR(__xludf.DUMMYFUNCTION("""COMPUTED_VALUE"""),0.669753086419753)</f>
        <v>0.6697530864</v>
      </c>
      <c r="AA933" s="82">
        <f>IFERROR(__xludf.DUMMYFUNCTION("""COMPUTED_VALUE"""),0.5524691358024691)</f>
        <v>0.5524691358</v>
      </c>
      <c r="AB933" s="82">
        <f>IFERROR(__xludf.DUMMYFUNCTION("""COMPUTED_VALUE"""),1.479938271604938)</f>
        <v>1.479938272</v>
      </c>
      <c r="AC933" s="82">
        <f>IFERROR(__xludf.DUMMYFUNCTION("""COMPUTED_VALUE"""),2.334876543209877)</f>
        <v>2.334876543</v>
      </c>
      <c r="AD933" s="82">
        <f>IFERROR(__xludf.DUMMYFUNCTION("""COMPUTED_VALUE"""),0.6185902094206249)</f>
        <v>0.6185902094</v>
      </c>
      <c r="AE933" s="82">
        <f>IFERROR(__xludf.DUMMYFUNCTION("""COMPUTED_VALUE"""),0.7465437788018434)</f>
        <v>0.7465437788</v>
      </c>
      <c r="AF933" s="82">
        <f>IFERROR(__xludf.DUMMYFUNCTION("""COMPUTED_VALUE"""),0.4525139664804469)</f>
        <v>0.4525139665</v>
      </c>
      <c r="AG933" s="82">
        <f>IFERROR(__xludf.DUMMYFUNCTION("""COMPUTED_VALUE"""),0.5067778936392076)</f>
        <v>0.5067778936</v>
      </c>
      <c r="AH933" s="82">
        <f>IFERROR(__xludf.DUMMYFUNCTION("""COMPUTED_VALUE"""),0.32121612690019824)</f>
        <v>0.3212161269</v>
      </c>
      <c r="AI933" s="82">
        <f>IFERROR(__xludf.DUMMYFUNCTION("""COMPUTED_VALUE"""),1.0271989225186127)</f>
        <v>1.027198923</v>
      </c>
      <c r="AJ933" s="82">
        <f>IFERROR(__xludf.DUMMYFUNCTION("""COMPUTED_VALUE"""),1.6363636363636362)</f>
        <v>1.636363636</v>
      </c>
      <c r="AK933" s="82">
        <f>IFERROR(__xludf.DUMMYFUNCTION("""COMPUTED_VALUE"""),1.3561643835616437)</f>
        <v>1.356164384</v>
      </c>
      <c r="AL933" s="82">
        <f>IFERROR(__xludf.DUMMYFUNCTION("""COMPUTED_VALUE"""),0.5529010238907849)</f>
        <v>0.5529010239</v>
      </c>
      <c r="AM933" s="82">
        <f>IFERROR(__xludf.DUMMYFUNCTION("""COMPUTED_VALUE"""),1.215434083601286)</f>
        <v>1.215434084</v>
      </c>
      <c r="AN933" s="82">
        <f>IFERROR(__xludf.DUMMYFUNCTION("""COMPUTED_VALUE"""),0.6145295845313551)</f>
        <v>0.6145295845</v>
      </c>
      <c r="AO933" s="82">
        <f>IFERROR(__xludf.DUMMYFUNCTION("""COMPUTED_VALUE"""),0.7010786962573057)</f>
        <v>0.7010786963</v>
      </c>
      <c r="AP933" s="82">
        <f>IFERROR(__xludf.DUMMYFUNCTION("""COMPUTED_VALUE"""),0.4347248171919464)</f>
        <v>0.4347248172</v>
      </c>
      <c r="AQ933" s="82">
        <f>IFERROR(__xludf.DUMMYFUNCTION("""COMPUTED_VALUE"""),0.5257557494359296)</f>
        <v>0.5257557494</v>
      </c>
      <c r="AR933" s="82">
        <f>IFERROR(__xludf.DUMMYFUNCTION("""COMPUTED_VALUE"""),0.29772414715033285)</f>
        <v>0.2977241472</v>
      </c>
      <c r="AS933" s="82">
        <f>IFERROR(__xludf.DUMMYFUNCTION("""COMPUTED_VALUE"""),7.0)</f>
        <v>7</v>
      </c>
      <c r="AT933" s="82">
        <f>IFERROR(__xludf.DUMMYFUNCTION("""COMPUTED_VALUE"""),0.2238904750056121)</f>
        <v>0.223890475</v>
      </c>
      <c r="AU933" s="82">
        <f>IFERROR(__xludf.DUMMYFUNCTION("""COMPUTED_VALUE"""),0.2963090836876706)</f>
        <v>0.2963090837</v>
      </c>
      <c r="AV933" s="82">
        <f>IFERROR(__xludf.DUMMYFUNCTION("""COMPUTED_VALUE"""),-6.996677065433147)</f>
        <v>-6.996677065</v>
      </c>
      <c r="AW933" s="82">
        <f t="shared" si="1"/>
        <v>-88.43463792</v>
      </c>
      <c r="AX933" s="83">
        <f t="array" ref="AX933">IFERROR(DGET('SBV Import'!A:G,"SBV",{"RSC ID","Tier";B933,A933}))</f>
        <v>-9.272049877</v>
      </c>
      <c r="AY933" s="82">
        <f t="shared" si="2"/>
        <v>-112.7033859</v>
      </c>
      <c r="AZ933" s="82">
        <v>24.268747944018628</v>
      </c>
      <c r="BA933" s="84">
        <v>800.0</v>
      </c>
      <c r="BB933" s="84" t="b">
        <f>IFERROR(__xludf.DUMMYFUNCTION("iferror(if(A933="""",,E933&gt;=FILTER(Constants!$F$2:$F$10,Constants!$A$2:$A$10=A933)))"),TRUE)</f>
        <v>1</v>
      </c>
    </row>
    <row r="934">
      <c r="A934" s="80" t="str">
        <f>IFERROR(__xludf.DUMMYFUNCTION("""COMPUTED_VALUE"""),"Elite")</f>
        <v>Elite</v>
      </c>
      <c r="B934" s="73" t="str">
        <f>IFERROR(__xludf.DUMMYFUNCTION("""COMPUTED_VALUE"""),"RSC005490")</f>
        <v>RSC005490</v>
      </c>
      <c r="C934" s="73" t="str">
        <f>IFERROR(__xludf.DUMMYFUNCTION("""COMPUTED_VALUE"""),"iProfessorEx")</f>
        <v>iProfessorEx</v>
      </c>
      <c r="D934" s="73" t="str">
        <f>IFERROR(__xludf.DUMMYFUNCTION("""COMPUTED_VALUE"""),"Repossessed")</f>
        <v>Repossessed</v>
      </c>
      <c r="E934" s="82">
        <f>IFERROR(__xludf.DUMMYFUNCTION("""COMPUTED_VALUE"""),4.0)</f>
        <v>4</v>
      </c>
      <c r="F934" s="82">
        <f>IFERROR(__xludf.DUMMYFUNCTION("""COMPUTED_VALUE"""),0.0)</f>
        <v>0</v>
      </c>
      <c r="G934" s="82">
        <f>IFERROR(__xludf.DUMMYFUNCTION("""COMPUTED_VALUE"""),4.0)</f>
        <v>4</v>
      </c>
      <c r="H934" s="86">
        <f>IFERROR(__xludf.DUMMYFUNCTION("""COMPUTED_VALUE"""),0.0)</f>
        <v>0</v>
      </c>
      <c r="I934" s="86">
        <f>IFERROR(__xludf.DUMMYFUNCTION("""COMPUTED_VALUE"""),0.0)</f>
        <v>0</v>
      </c>
      <c r="J934" s="82">
        <f>IFERROR(__xludf.DUMMYFUNCTION("""COMPUTED_VALUE"""),233.0)</f>
        <v>233</v>
      </c>
      <c r="K934" s="82">
        <f>IFERROR(__xludf.DUMMYFUNCTION("""COMPUTED_VALUE"""),0.0)</f>
        <v>0</v>
      </c>
      <c r="L934" s="82">
        <f>IFERROR(__xludf.DUMMYFUNCTION("""COMPUTED_VALUE"""),0.25)</f>
        <v>0.25</v>
      </c>
      <c r="M934" s="82">
        <f>IFERROR(__xludf.DUMMYFUNCTION("""COMPUTED_VALUE"""),1.5)</f>
        <v>1.5</v>
      </c>
      <c r="N934" s="82">
        <f>IFERROR(__xludf.DUMMYFUNCTION("""COMPUTED_VALUE"""),1.25)</f>
        <v>1.25</v>
      </c>
      <c r="O934" s="82">
        <f>IFERROR(__xludf.DUMMYFUNCTION("""COMPUTED_VALUE"""),443.0833333333333)</f>
        <v>443.0833333</v>
      </c>
      <c r="P934" s="82">
        <f>IFERROR(__xludf.DUMMYFUNCTION("""COMPUTED_VALUE"""),1.0833333333333335)</f>
        <v>1.083333333</v>
      </c>
      <c r="Q934" s="82">
        <f>IFERROR(__xludf.DUMMYFUNCTION("""COMPUTED_VALUE"""),0.9999999999999999)</f>
        <v>1</v>
      </c>
      <c r="R934" s="82">
        <f>IFERROR(__xludf.DUMMYFUNCTION("""COMPUTED_VALUE"""),1.6666666666666667)</f>
        <v>1.666666667</v>
      </c>
      <c r="S934" s="82">
        <f>IFERROR(__xludf.DUMMYFUNCTION("""COMPUTED_VALUE"""),3.0833333333333335)</f>
        <v>3.083333333</v>
      </c>
      <c r="T934" s="82">
        <f>IFERROR(__xludf.DUMMYFUNCTION("""COMPUTED_VALUE"""),379.0912698412699)</f>
        <v>379.0912698</v>
      </c>
      <c r="U934" s="82">
        <f>IFERROR(__xludf.DUMMYFUNCTION("""COMPUTED_VALUE"""),0.8035714285714285)</f>
        <v>0.8035714286</v>
      </c>
      <c r="V934" s="82">
        <f>IFERROR(__xludf.DUMMYFUNCTION("""COMPUTED_VALUE"""),0.6231812169312169)</f>
        <v>0.6231812169</v>
      </c>
      <c r="W934" s="82">
        <f>IFERROR(__xludf.DUMMYFUNCTION("""COMPUTED_VALUE"""),1.5540674603174605)</f>
        <v>1.55406746</v>
      </c>
      <c r="X934" s="82">
        <f>IFERROR(__xludf.DUMMYFUNCTION("""COMPUTED_VALUE"""),2.7273478835978837)</f>
        <v>2.727347884</v>
      </c>
      <c r="Y934" s="82">
        <f>IFERROR(__xludf.DUMMYFUNCTION("""COMPUTED_VALUE"""),365.148864638448)</f>
        <v>365.1488646</v>
      </c>
      <c r="Z934" s="82">
        <f>IFERROR(__xludf.DUMMYFUNCTION("""COMPUTED_VALUE"""),0.771880511463845)</f>
        <v>0.7718805115</v>
      </c>
      <c r="AA934" s="82">
        <f>IFERROR(__xludf.DUMMYFUNCTION("""COMPUTED_VALUE"""),0.5389660493827162)</f>
        <v>0.5389660494</v>
      </c>
      <c r="AB934" s="82">
        <f>IFERROR(__xludf.DUMMYFUNCTION("""COMPUTED_VALUE"""),1.5432649911816576)</f>
        <v>1.543264991</v>
      </c>
      <c r="AC934" s="82">
        <f>IFERROR(__xludf.DUMMYFUNCTION("""COMPUTED_VALUE"""),2.6633597883597884)</f>
        <v>2.663359788</v>
      </c>
      <c r="AD934" s="82">
        <f>IFERROR(__xludf.DUMMYFUNCTION("""COMPUTED_VALUE"""),0.6380959180325122)</f>
        <v>0.638095918</v>
      </c>
      <c r="AE934" s="82">
        <f>IFERROR(__xludf.DUMMYFUNCTION("""COMPUTED_VALUE"""),0.0)</f>
        <v>0</v>
      </c>
      <c r="AF934" s="82">
        <f>IFERROR(__xludf.DUMMYFUNCTION("""COMPUTED_VALUE"""),0.4638511095204007)</f>
        <v>0.4638511095</v>
      </c>
      <c r="AG934" s="82">
        <f>IFERROR(__xludf.DUMMYFUNCTION("""COMPUTED_VALUE"""),0.9719652869540375)</f>
        <v>0.971965287</v>
      </c>
      <c r="AH934" s="82">
        <f>IFERROR(__xludf.DUMMYFUNCTION("""COMPUTED_VALUE"""),0.4693320089396573)</f>
        <v>0.4693320089</v>
      </c>
      <c r="AI934" s="82">
        <f>IFERROR(__xludf.DUMMYFUNCTION("""COMPUTED_VALUE"""),1.1688038437784591)</f>
        <v>1.168803844</v>
      </c>
      <c r="AJ934" s="82">
        <f>IFERROR(__xludf.DUMMYFUNCTION("""COMPUTED_VALUE"""),1.3481481481481485)</f>
        <v>1.348148148</v>
      </c>
      <c r="AK934" s="82">
        <f>IFERROR(__xludf.DUMMYFUNCTION("""COMPUTED_VALUE"""),1.604669673653489)</f>
        <v>1.604669674</v>
      </c>
      <c r="AL934" s="82">
        <f>IFERROR(__xludf.DUMMYFUNCTION("""COMPUTED_VALUE"""),1.072454516437919)</f>
        <v>1.072454516</v>
      </c>
      <c r="AM934" s="82">
        <f>IFERROR(__xludf.DUMMYFUNCTION("""COMPUTED_VALUE"""),1.1305244013337374)</f>
        <v>1.130524401</v>
      </c>
      <c r="AN934" s="82">
        <f>IFERROR(__xludf.DUMMYFUNCTION("""COMPUTED_VALUE"""),0.6606015833716528)</f>
        <v>0.6606015834</v>
      </c>
      <c r="AO934" s="82">
        <f>IFERROR(__xludf.DUMMYFUNCTION("""COMPUTED_VALUE"""),0.0)</f>
        <v>0</v>
      </c>
      <c r="AP934" s="82">
        <f>IFERROR(__xludf.DUMMYFUNCTION("""COMPUTED_VALUE"""),0.4347248171919464)</f>
        <v>0.4347248172</v>
      </c>
      <c r="AQ934" s="82">
        <f>IFERROR(__xludf.DUMMYFUNCTION("""COMPUTED_VALUE"""),1.0515114988718592)</f>
        <v>1.051511499</v>
      </c>
      <c r="AR934" s="82">
        <f>IFERROR(__xludf.DUMMYFUNCTION("""COMPUTED_VALUE"""),0.49620691191722144)</f>
        <v>0.4962069119</v>
      </c>
      <c r="AS934" s="82">
        <f>IFERROR(__xludf.DUMMYFUNCTION("""COMPUTED_VALUE"""),3.0)</f>
        <v>3</v>
      </c>
      <c r="AT934" s="82">
        <f>IFERROR(__xludf.DUMMYFUNCTION("""COMPUTED_VALUE"""),0.10130065033179315)</f>
        <v>0.1013006503</v>
      </c>
      <c r="AU934" s="82">
        <f>IFERROR(__xludf.DUMMYFUNCTION("""COMPUTED_VALUE"""),-0.3145446987538235)</f>
        <v>-0.3145446988</v>
      </c>
      <c r="AV934" s="82">
        <f>IFERROR(__xludf.DUMMYFUNCTION("""COMPUTED_VALUE"""),-24.161337952339963)</f>
        <v>-24.16133795</v>
      </c>
      <c r="AW934" s="82">
        <f t="shared" si="1"/>
        <v>-663.8874245</v>
      </c>
      <c r="AX934" s="83">
        <f t="array" ref="AX934">IFERROR(DGET('SBV Import'!A:G,"SBV",{"RSC ID","Tier";B934,A934}))</f>
        <v>-4.002351245</v>
      </c>
      <c r="AY934" s="82">
        <f t="shared" si="2"/>
        <v>-65.00811556</v>
      </c>
      <c r="AZ934" s="82">
        <v>598.8793088942076</v>
      </c>
      <c r="BA934" s="84">
        <v>800.0</v>
      </c>
      <c r="BB934" s="84" t="b">
        <f>IFERROR(__xludf.DUMMYFUNCTION("iferror(if(A934="""",,E934&gt;=FILTER(Constants!$F$2:$F$10,Constants!$A$2:$A$10=A934)))"),TRUE)</f>
        <v>1</v>
      </c>
    </row>
    <row r="935">
      <c r="A935" s="80"/>
      <c r="B935" s="73"/>
      <c r="C935" s="73"/>
      <c r="D935" s="73"/>
      <c r="E935" s="82"/>
      <c r="F935" s="82"/>
      <c r="G935" s="82"/>
      <c r="H935" s="86"/>
      <c r="I935" s="86"/>
      <c r="J935" s="82"/>
      <c r="K935" s="82"/>
      <c r="L935" s="82"/>
      <c r="M935" s="82"/>
      <c r="N935" s="82"/>
      <c r="O935" s="82"/>
      <c r="P935" s="82"/>
      <c r="Q935" s="82"/>
      <c r="R935" s="82"/>
      <c r="S935" s="82"/>
      <c r="T935" s="82"/>
      <c r="U935" s="82"/>
      <c r="V935" s="82"/>
      <c r="W935" s="82"/>
      <c r="X935" s="82"/>
      <c r="Y935" s="82"/>
      <c r="Z935" s="82"/>
      <c r="AA935" s="82"/>
      <c r="AB935" s="82"/>
      <c r="AC935" s="82"/>
      <c r="AD935" s="82"/>
      <c r="AE935" s="82"/>
      <c r="AF935" s="82"/>
      <c r="AG935" s="82"/>
      <c r="AH935" s="82"/>
      <c r="AI935" s="82"/>
      <c r="AJ935" s="82"/>
      <c r="AK935" s="82"/>
      <c r="AL935" s="82"/>
      <c r="AM935" s="82"/>
      <c r="AN935" s="82">
        <f>IFERROR(__xludf.DUMMYFUNCTION("""COMPUTED_VALUE"""),0.0)</f>
        <v>0</v>
      </c>
      <c r="AO935" s="82">
        <f>IFERROR(__xludf.DUMMYFUNCTION("""COMPUTED_VALUE"""),0.0)</f>
        <v>0</v>
      </c>
      <c r="AP935" s="82">
        <f>IFERROR(__xludf.DUMMYFUNCTION("""COMPUTED_VALUE"""),0.0)</f>
        <v>0</v>
      </c>
      <c r="AQ935" s="82">
        <f>IFERROR(__xludf.DUMMYFUNCTION("""COMPUTED_VALUE"""),0.0)</f>
        <v>0</v>
      </c>
      <c r="AR935" s="82">
        <f>IFERROR(__xludf.DUMMYFUNCTION("""COMPUTED_VALUE"""),0.0)</f>
        <v>0</v>
      </c>
      <c r="AS935" s="82"/>
      <c r="AT935" s="82">
        <f>IFERROR(__xludf.DUMMYFUNCTION("""COMPUTED_VALUE"""),0.0)</f>
        <v>0</v>
      </c>
      <c r="AU935" s="82"/>
      <c r="AV935" s="82"/>
      <c r="AW935" s="82" t="str">
        <f t="shared" si="1"/>
        <v/>
      </c>
      <c r="AX935" s="83" t="str">
        <f t="array" ref="AX935">IFERROR(DGET('SBV Import'!A:G,"SBV",{"RSC ID","Tier";B935,A935}))</f>
        <v/>
      </c>
      <c r="AY935" s="82" t="str">
        <f t="shared" si="2"/>
        <v/>
      </c>
      <c r="AZ935" s="82"/>
      <c r="BA935" s="84" t="s">
        <v>152</v>
      </c>
      <c r="BB935" s="84" t="str">
        <f>IFERROR(__xludf.DUMMYFUNCTION("iferror(if(A935="""",,E935&gt;=FILTER(Constants!$F$2:$F$10,Constants!$A$2:$A$10=A935)))"),"")</f>
        <v/>
      </c>
    </row>
    <row r="936">
      <c r="A936" s="80"/>
      <c r="B936" s="73"/>
      <c r="C936" s="73"/>
      <c r="D936" s="73"/>
      <c r="E936" s="82"/>
      <c r="F936" s="82"/>
      <c r="G936" s="82"/>
      <c r="H936" s="86"/>
      <c r="I936" s="86"/>
      <c r="J936" s="82"/>
      <c r="K936" s="82"/>
      <c r="L936" s="82"/>
      <c r="M936" s="82"/>
      <c r="N936" s="82"/>
      <c r="O936" s="82"/>
      <c r="P936" s="82"/>
      <c r="Q936" s="82"/>
      <c r="R936" s="82"/>
      <c r="S936" s="82"/>
      <c r="T936" s="82"/>
      <c r="U936" s="82"/>
      <c r="V936" s="82"/>
      <c r="W936" s="82"/>
      <c r="X936" s="82"/>
      <c r="Y936" s="82"/>
      <c r="Z936" s="82"/>
      <c r="AA936" s="82"/>
      <c r="AB936" s="82"/>
      <c r="AC936" s="82"/>
      <c r="AD936" s="82"/>
      <c r="AE936" s="82"/>
      <c r="AF936" s="82"/>
      <c r="AG936" s="82"/>
      <c r="AH936" s="82"/>
      <c r="AI936" s="82"/>
      <c r="AJ936" s="82"/>
      <c r="AK936" s="82"/>
      <c r="AL936" s="82"/>
      <c r="AM936" s="82"/>
      <c r="AN936" s="82">
        <f>IFERROR(__xludf.DUMMYFUNCTION("""COMPUTED_VALUE"""),0.0)</f>
        <v>0</v>
      </c>
      <c r="AO936" s="82">
        <f>IFERROR(__xludf.DUMMYFUNCTION("""COMPUTED_VALUE"""),0.0)</f>
        <v>0</v>
      </c>
      <c r="AP936" s="82">
        <f>IFERROR(__xludf.DUMMYFUNCTION("""COMPUTED_VALUE"""),0.0)</f>
        <v>0</v>
      </c>
      <c r="AQ936" s="82">
        <f>IFERROR(__xludf.DUMMYFUNCTION("""COMPUTED_VALUE"""),0.0)</f>
        <v>0</v>
      </c>
      <c r="AR936" s="82">
        <f>IFERROR(__xludf.DUMMYFUNCTION("""COMPUTED_VALUE"""),0.0)</f>
        <v>0</v>
      </c>
      <c r="AS936" s="82"/>
      <c r="AT936" s="82">
        <f>IFERROR(__xludf.DUMMYFUNCTION("""COMPUTED_VALUE"""),0.0)</f>
        <v>0</v>
      </c>
      <c r="AU936" s="82"/>
      <c r="AV936" s="82"/>
      <c r="AW936" s="82" t="str">
        <f t="shared" si="1"/>
        <v/>
      </c>
      <c r="AX936" s="83" t="str">
        <f t="array" ref="AX936">IFERROR(DGET('SBV Import'!A:G,"SBV",{"RSC ID","Tier";B936,A936}))</f>
        <v/>
      </c>
      <c r="AY936" s="82" t="str">
        <f t="shared" si="2"/>
        <v/>
      </c>
      <c r="AZ936" s="82"/>
      <c r="BA936" s="84" t="s">
        <v>152</v>
      </c>
      <c r="BB936" s="84" t="str">
        <f>IFERROR(__xludf.DUMMYFUNCTION("iferror(if(A936="""",,E936&gt;=FILTER(Constants!$F$2:$F$10,Constants!$A$2:$A$10=A936)))"),"")</f>
        <v/>
      </c>
    </row>
    <row r="937">
      <c r="A937" s="80"/>
      <c r="B937" s="73"/>
      <c r="C937" s="73"/>
      <c r="D937" s="73"/>
      <c r="E937" s="82"/>
      <c r="F937" s="82"/>
      <c r="G937" s="82"/>
      <c r="H937" s="86"/>
      <c r="I937" s="86"/>
      <c r="J937" s="82"/>
      <c r="K937" s="82"/>
      <c r="L937" s="82"/>
      <c r="M937" s="82"/>
      <c r="N937" s="82"/>
      <c r="O937" s="82"/>
      <c r="P937" s="82"/>
      <c r="Q937" s="82"/>
      <c r="R937" s="82"/>
      <c r="S937" s="82"/>
      <c r="T937" s="82"/>
      <c r="U937" s="82"/>
      <c r="V937" s="82"/>
      <c r="W937" s="82"/>
      <c r="X937" s="82"/>
      <c r="Y937" s="82"/>
      <c r="Z937" s="82"/>
      <c r="AA937" s="82"/>
      <c r="AB937" s="82"/>
      <c r="AC937" s="82"/>
      <c r="AD937" s="82"/>
      <c r="AE937" s="82"/>
      <c r="AF937" s="82"/>
      <c r="AG937" s="82"/>
      <c r="AH937" s="82"/>
      <c r="AI937" s="82"/>
      <c r="AJ937" s="82"/>
      <c r="AK937" s="82"/>
      <c r="AL937" s="82"/>
      <c r="AM937" s="82"/>
      <c r="AN937" s="82">
        <f>IFERROR(__xludf.DUMMYFUNCTION("""COMPUTED_VALUE"""),0.0)</f>
        <v>0</v>
      </c>
      <c r="AO937" s="82">
        <f>IFERROR(__xludf.DUMMYFUNCTION("""COMPUTED_VALUE"""),0.0)</f>
        <v>0</v>
      </c>
      <c r="AP937" s="82">
        <f>IFERROR(__xludf.DUMMYFUNCTION("""COMPUTED_VALUE"""),0.0)</f>
        <v>0</v>
      </c>
      <c r="AQ937" s="82">
        <f>IFERROR(__xludf.DUMMYFUNCTION("""COMPUTED_VALUE"""),0.0)</f>
        <v>0</v>
      </c>
      <c r="AR937" s="82">
        <f>IFERROR(__xludf.DUMMYFUNCTION("""COMPUTED_VALUE"""),0.0)</f>
        <v>0</v>
      </c>
      <c r="AS937" s="82"/>
      <c r="AT937" s="82">
        <f>IFERROR(__xludf.DUMMYFUNCTION("""COMPUTED_VALUE"""),0.0)</f>
        <v>0</v>
      </c>
      <c r="AU937" s="82"/>
      <c r="AV937" s="82"/>
      <c r="AW937" s="82" t="str">
        <f t="shared" si="1"/>
        <v/>
      </c>
      <c r="AX937" s="83" t="str">
        <f t="array" ref="AX937">IFERROR(DGET('SBV Import'!A:G,"SBV",{"RSC ID","Tier";B937,A937}))</f>
        <v/>
      </c>
      <c r="AY937" s="82" t="str">
        <f t="shared" si="2"/>
        <v/>
      </c>
      <c r="AZ937" s="82"/>
      <c r="BA937" s="84" t="s">
        <v>152</v>
      </c>
      <c r="BB937" s="84" t="str">
        <f>IFERROR(__xludf.DUMMYFUNCTION("iferror(if(A937="""",,E937&gt;=FILTER(Constants!$F$2:$F$10,Constants!$A$2:$A$10=A937)))"),"")</f>
        <v/>
      </c>
    </row>
    <row r="938">
      <c r="A938" s="80"/>
      <c r="B938" s="73"/>
      <c r="C938" s="73"/>
      <c r="D938" s="73"/>
      <c r="E938" s="82"/>
      <c r="F938" s="82"/>
      <c r="G938" s="82"/>
      <c r="H938" s="86"/>
      <c r="I938" s="86"/>
      <c r="J938" s="82"/>
      <c r="K938" s="82"/>
      <c r="L938" s="82"/>
      <c r="M938" s="82"/>
      <c r="N938" s="82"/>
      <c r="O938" s="82"/>
      <c r="P938" s="82"/>
      <c r="Q938" s="82"/>
      <c r="R938" s="82"/>
      <c r="S938" s="82"/>
      <c r="T938" s="82"/>
      <c r="U938" s="82"/>
      <c r="V938" s="82"/>
      <c r="W938" s="82"/>
      <c r="X938" s="82"/>
      <c r="Y938" s="82"/>
      <c r="Z938" s="82"/>
      <c r="AA938" s="82"/>
      <c r="AB938" s="82"/>
      <c r="AC938" s="82"/>
      <c r="AD938" s="82"/>
      <c r="AE938" s="82"/>
      <c r="AF938" s="82"/>
      <c r="AG938" s="82"/>
      <c r="AH938" s="82"/>
      <c r="AI938" s="82"/>
      <c r="AJ938" s="82"/>
      <c r="AK938" s="82"/>
      <c r="AL938" s="82"/>
      <c r="AM938" s="82"/>
      <c r="AN938" s="82">
        <f>IFERROR(__xludf.DUMMYFUNCTION("""COMPUTED_VALUE"""),0.0)</f>
        <v>0</v>
      </c>
      <c r="AO938" s="82">
        <f>IFERROR(__xludf.DUMMYFUNCTION("""COMPUTED_VALUE"""),0.0)</f>
        <v>0</v>
      </c>
      <c r="AP938" s="82">
        <f>IFERROR(__xludf.DUMMYFUNCTION("""COMPUTED_VALUE"""),0.0)</f>
        <v>0</v>
      </c>
      <c r="AQ938" s="82">
        <f>IFERROR(__xludf.DUMMYFUNCTION("""COMPUTED_VALUE"""),0.0)</f>
        <v>0</v>
      </c>
      <c r="AR938" s="82">
        <f>IFERROR(__xludf.DUMMYFUNCTION("""COMPUTED_VALUE"""),0.0)</f>
        <v>0</v>
      </c>
      <c r="AS938" s="82"/>
      <c r="AT938" s="82">
        <f>IFERROR(__xludf.DUMMYFUNCTION("""COMPUTED_VALUE"""),0.0)</f>
        <v>0</v>
      </c>
      <c r="AU938" s="82"/>
      <c r="AV938" s="82"/>
      <c r="AW938" s="82" t="str">
        <f t="shared" si="1"/>
        <v/>
      </c>
      <c r="AX938" s="83" t="str">
        <f t="array" ref="AX938">IFERROR(DGET('SBV Import'!A:G,"SBV",{"RSC ID","Tier";B938,A938}))</f>
        <v/>
      </c>
      <c r="AY938" s="82" t="str">
        <f t="shared" si="2"/>
        <v/>
      </c>
      <c r="AZ938" s="82"/>
      <c r="BA938" s="84" t="s">
        <v>152</v>
      </c>
      <c r="BB938" s="84" t="str">
        <f>IFERROR(__xludf.DUMMYFUNCTION("iferror(if(A938="""",,E938&gt;=FILTER(Constants!$F$2:$F$10,Constants!$A$2:$A$10=A938)))"),"")</f>
        <v/>
      </c>
    </row>
    <row r="939">
      <c r="A939" s="80"/>
      <c r="B939" s="73"/>
      <c r="C939" s="73"/>
      <c r="D939" s="73"/>
      <c r="E939" s="82"/>
      <c r="F939" s="82"/>
      <c r="G939" s="82"/>
      <c r="H939" s="86"/>
      <c r="I939" s="86"/>
      <c r="J939" s="82"/>
      <c r="K939" s="82"/>
      <c r="L939" s="82"/>
      <c r="M939" s="82"/>
      <c r="N939" s="82"/>
      <c r="O939" s="82"/>
      <c r="P939" s="82"/>
      <c r="Q939" s="82"/>
      <c r="R939" s="82"/>
      <c r="S939" s="82"/>
      <c r="T939" s="82"/>
      <c r="U939" s="82"/>
      <c r="V939" s="82"/>
      <c r="W939" s="82"/>
      <c r="X939" s="82"/>
      <c r="Y939" s="82"/>
      <c r="Z939" s="82"/>
      <c r="AA939" s="82"/>
      <c r="AB939" s="82"/>
      <c r="AC939" s="82"/>
      <c r="AD939" s="82"/>
      <c r="AE939" s="82"/>
      <c r="AF939" s="82"/>
      <c r="AG939" s="82"/>
      <c r="AH939" s="82"/>
      <c r="AI939" s="82"/>
      <c r="AJ939" s="82"/>
      <c r="AK939" s="82"/>
      <c r="AL939" s="82"/>
      <c r="AM939" s="82"/>
      <c r="AN939" s="82">
        <f>IFERROR(__xludf.DUMMYFUNCTION("""COMPUTED_VALUE"""),0.0)</f>
        <v>0</v>
      </c>
      <c r="AO939" s="82">
        <f>IFERROR(__xludf.DUMMYFUNCTION("""COMPUTED_VALUE"""),0.0)</f>
        <v>0</v>
      </c>
      <c r="AP939" s="82">
        <f>IFERROR(__xludf.DUMMYFUNCTION("""COMPUTED_VALUE"""),0.0)</f>
        <v>0</v>
      </c>
      <c r="AQ939" s="82">
        <f>IFERROR(__xludf.DUMMYFUNCTION("""COMPUTED_VALUE"""),0.0)</f>
        <v>0</v>
      </c>
      <c r="AR939" s="82">
        <f>IFERROR(__xludf.DUMMYFUNCTION("""COMPUTED_VALUE"""),0.0)</f>
        <v>0</v>
      </c>
      <c r="AS939" s="82"/>
      <c r="AT939" s="82">
        <f>IFERROR(__xludf.DUMMYFUNCTION("""COMPUTED_VALUE"""),0.0)</f>
        <v>0</v>
      </c>
      <c r="AU939" s="82"/>
      <c r="AV939" s="82"/>
      <c r="AW939" s="82" t="str">
        <f t="shared" si="1"/>
        <v/>
      </c>
      <c r="AX939" s="83" t="str">
        <f t="array" ref="AX939">IFERROR(DGET('SBV Import'!A:G,"SBV",{"RSC ID","Tier";B939,A939}))</f>
        <v/>
      </c>
      <c r="AY939" s="82" t="str">
        <f t="shared" si="2"/>
        <v/>
      </c>
      <c r="AZ939" s="82"/>
      <c r="BA939" s="84" t="s">
        <v>152</v>
      </c>
      <c r="BB939" s="84" t="str">
        <f>IFERROR(__xludf.DUMMYFUNCTION("iferror(if(A939="""",,E939&gt;=FILTER(Constants!$F$2:$F$10,Constants!$A$2:$A$10=A939)))"),"")</f>
        <v/>
      </c>
    </row>
    <row r="940">
      <c r="A940" s="80"/>
      <c r="B940" s="73"/>
      <c r="C940" s="73"/>
      <c r="D940" s="73"/>
      <c r="E940" s="82"/>
      <c r="F940" s="82"/>
      <c r="G940" s="82"/>
      <c r="H940" s="86"/>
      <c r="I940" s="86"/>
      <c r="J940" s="82"/>
      <c r="K940" s="82"/>
      <c r="L940" s="82"/>
      <c r="M940" s="82"/>
      <c r="N940" s="82"/>
      <c r="O940" s="82"/>
      <c r="P940" s="82"/>
      <c r="Q940" s="82"/>
      <c r="R940" s="82"/>
      <c r="S940" s="82"/>
      <c r="T940" s="82"/>
      <c r="U940" s="82"/>
      <c r="V940" s="82"/>
      <c r="W940" s="82"/>
      <c r="X940" s="82"/>
      <c r="Y940" s="82"/>
      <c r="Z940" s="82"/>
      <c r="AA940" s="82"/>
      <c r="AB940" s="82"/>
      <c r="AC940" s="82"/>
      <c r="AD940" s="82"/>
      <c r="AE940" s="82"/>
      <c r="AF940" s="82"/>
      <c r="AG940" s="82"/>
      <c r="AH940" s="82"/>
      <c r="AI940" s="82"/>
      <c r="AJ940" s="82"/>
      <c r="AK940" s="82"/>
      <c r="AL940" s="82"/>
      <c r="AM940" s="82"/>
      <c r="AN940" s="82">
        <f>IFERROR(__xludf.DUMMYFUNCTION("""COMPUTED_VALUE"""),0.0)</f>
        <v>0</v>
      </c>
      <c r="AO940" s="82">
        <f>IFERROR(__xludf.DUMMYFUNCTION("""COMPUTED_VALUE"""),0.0)</f>
        <v>0</v>
      </c>
      <c r="AP940" s="82">
        <f>IFERROR(__xludf.DUMMYFUNCTION("""COMPUTED_VALUE"""),0.0)</f>
        <v>0</v>
      </c>
      <c r="AQ940" s="82">
        <f>IFERROR(__xludf.DUMMYFUNCTION("""COMPUTED_VALUE"""),0.0)</f>
        <v>0</v>
      </c>
      <c r="AR940" s="82">
        <f>IFERROR(__xludf.DUMMYFUNCTION("""COMPUTED_VALUE"""),0.0)</f>
        <v>0</v>
      </c>
      <c r="AS940" s="82"/>
      <c r="AT940" s="82">
        <f>IFERROR(__xludf.DUMMYFUNCTION("""COMPUTED_VALUE"""),0.0)</f>
        <v>0</v>
      </c>
      <c r="AU940" s="82"/>
      <c r="AV940" s="82"/>
      <c r="AW940" s="82" t="str">
        <f t="shared" si="1"/>
        <v/>
      </c>
      <c r="AX940" s="83" t="str">
        <f t="array" ref="AX940">IFERROR(DGET('SBV Import'!A:G,"SBV",{"RSC ID","Tier";B940,A940}))</f>
        <v/>
      </c>
      <c r="AY940" s="82" t="str">
        <f t="shared" si="2"/>
        <v/>
      </c>
      <c r="AZ940" s="82"/>
      <c r="BA940" s="84" t="s">
        <v>152</v>
      </c>
      <c r="BB940" s="84" t="str">
        <f>IFERROR(__xludf.DUMMYFUNCTION("iferror(if(A940="""",,E940&gt;=FILTER(Constants!$F$2:$F$10,Constants!$A$2:$A$10=A940)))"),"")</f>
        <v/>
      </c>
    </row>
    <row r="941">
      <c r="A941" s="80"/>
      <c r="B941" s="73"/>
      <c r="C941" s="73"/>
      <c r="D941" s="73"/>
      <c r="E941" s="82"/>
      <c r="F941" s="82"/>
      <c r="G941" s="82"/>
      <c r="H941" s="86"/>
      <c r="I941" s="86"/>
      <c r="J941" s="82"/>
      <c r="K941" s="82"/>
      <c r="L941" s="82"/>
      <c r="M941" s="82"/>
      <c r="N941" s="82"/>
      <c r="O941" s="82"/>
      <c r="P941" s="82"/>
      <c r="Q941" s="82"/>
      <c r="R941" s="82"/>
      <c r="S941" s="82"/>
      <c r="T941" s="82"/>
      <c r="U941" s="82"/>
      <c r="V941" s="82"/>
      <c r="W941" s="82"/>
      <c r="X941" s="82"/>
      <c r="Y941" s="82"/>
      <c r="Z941" s="82"/>
      <c r="AA941" s="82"/>
      <c r="AB941" s="82"/>
      <c r="AC941" s="82"/>
      <c r="AD941" s="82"/>
      <c r="AE941" s="82"/>
      <c r="AF941" s="82"/>
      <c r="AG941" s="82"/>
      <c r="AH941" s="82"/>
      <c r="AI941" s="82"/>
      <c r="AJ941" s="82"/>
      <c r="AK941" s="82"/>
      <c r="AL941" s="82"/>
      <c r="AM941" s="82"/>
      <c r="AN941" s="82">
        <f>IFERROR(__xludf.DUMMYFUNCTION("""COMPUTED_VALUE"""),0.0)</f>
        <v>0</v>
      </c>
      <c r="AO941" s="82">
        <f>IFERROR(__xludf.DUMMYFUNCTION("""COMPUTED_VALUE"""),0.0)</f>
        <v>0</v>
      </c>
      <c r="AP941" s="82">
        <f>IFERROR(__xludf.DUMMYFUNCTION("""COMPUTED_VALUE"""),0.0)</f>
        <v>0</v>
      </c>
      <c r="AQ941" s="82">
        <f>IFERROR(__xludf.DUMMYFUNCTION("""COMPUTED_VALUE"""),0.0)</f>
        <v>0</v>
      </c>
      <c r="AR941" s="82">
        <f>IFERROR(__xludf.DUMMYFUNCTION("""COMPUTED_VALUE"""),0.0)</f>
        <v>0</v>
      </c>
      <c r="AS941" s="82"/>
      <c r="AT941" s="82">
        <f>IFERROR(__xludf.DUMMYFUNCTION("""COMPUTED_VALUE"""),0.0)</f>
        <v>0</v>
      </c>
      <c r="AU941" s="82"/>
      <c r="AV941" s="82"/>
      <c r="AW941" s="82" t="str">
        <f t="shared" si="1"/>
        <v/>
      </c>
      <c r="AX941" s="83" t="str">
        <f t="array" ref="AX941">IFERROR(DGET('SBV Import'!A:G,"SBV",{"RSC ID","Tier";B941,A941}))</f>
        <v/>
      </c>
      <c r="AY941" s="82" t="str">
        <f t="shared" si="2"/>
        <v/>
      </c>
      <c r="AZ941" s="82"/>
      <c r="BA941" s="84" t="s">
        <v>152</v>
      </c>
      <c r="BB941" s="84" t="str">
        <f>IFERROR(__xludf.DUMMYFUNCTION("iferror(if(A941="""",,E941&gt;=FILTER(Constants!$F$2:$F$10,Constants!$A$2:$A$10=A941)))"),"")</f>
        <v/>
      </c>
    </row>
    <row r="942">
      <c r="A942" s="80"/>
      <c r="B942" s="73"/>
      <c r="C942" s="73"/>
      <c r="D942" s="73"/>
      <c r="E942" s="82"/>
      <c r="F942" s="82"/>
      <c r="G942" s="82"/>
      <c r="H942" s="86"/>
      <c r="I942" s="86"/>
      <c r="J942" s="82"/>
      <c r="K942" s="82"/>
      <c r="L942" s="82"/>
      <c r="M942" s="82"/>
      <c r="N942" s="82"/>
      <c r="O942" s="82"/>
      <c r="P942" s="82"/>
      <c r="Q942" s="82"/>
      <c r="R942" s="82"/>
      <c r="S942" s="82"/>
      <c r="T942" s="82"/>
      <c r="U942" s="82"/>
      <c r="V942" s="82"/>
      <c r="W942" s="82"/>
      <c r="X942" s="82"/>
      <c r="Y942" s="82"/>
      <c r="Z942" s="82"/>
      <c r="AA942" s="82"/>
      <c r="AB942" s="82"/>
      <c r="AC942" s="82"/>
      <c r="AD942" s="82"/>
      <c r="AE942" s="82"/>
      <c r="AF942" s="82"/>
      <c r="AG942" s="82"/>
      <c r="AH942" s="82"/>
      <c r="AI942" s="82"/>
      <c r="AJ942" s="82"/>
      <c r="AK942" s="82"/>
      <c r="AL942" s="82"/>
      <c r="AM942" s="82"/>
      <c r="AN942" s="82">
        <f>IFERROR(__xludf.DUMMYFUNCTION("""COMPUTED_VALUE"""),0.0)</f>
        <v>0</v>
      </c>
      <c r="AO942" s="82">
        <f>IFERROR(__xludf.DUMMYFUNCTION("""COMPUTED_VALUE"""),0.0)</f>
        <v>0</v>
      </c>
      <c r="AP942" s="82">
        <f>IFERROR(__xludf.DUMMYFUNCTION("""COMPUTED_VALUE"""),0.0)</f>
        <v>0</v>
      </c>
      <c r="AQ942" s="82">
        <f>IFERROR(__xludf.DUMMYFUNCTION("""COMPUTED_VALUE"""),0.0)</f>
        <v>0</v>
      </c>
      <c r="AR942" s="82">
        <f>IFERROR(__xludf.DUMMYFUNCTION("""COMPUTED_VALUE"""),0.0)</f>
        <v>0</v>
      </c>
      <c r="AS942" s="82"/>
      <c r="AT942" s="82">
        <f>IFERROR(__xludf.DUMMYFUNCTION("""COMPUTED_VALUE"""),0.0)</f>
        <v>0</v>
      </c>
      <c r="AU942" s="82"/>
      <c r="AV942" s="82"/>
      <c r="AW942" s="82" t="str">
        <f t="shared" si="1"/>
        <v/>
      </c>
      <c r="AX942" s="83" t="str">
        <f t="array" ref="AX942">IFERROR(DGET('SBV Import'!A:G,"SBV",{"RSC ID","Tier";B942,A942}))</f>
        <v/>
      </c>
      <c r="AY942" s="82" t="str">
        <f t="shared" si="2"/>
        <v/>
      </c>
      <c r="AZ942" s="82"/>
      <c r="BA942" s="84" t="s">
        <v>152</v>
      </c>
      <c r="BB942" s="84" t="str">
        <f>IFERROR(__xludf.DUMMYFUNCTION("iferror(if(A942="""",,E942&gt;=FILTER(Constants!$F$2:$F$10,Constants!$A$2:$A$10=A942)))"),"")</f>
        <v/>
      </c>
    </row>
    <row r="943">
      <c r="A943" s="80"/>
      <c r="B943" s="73"/>
      <c r="C943" s="73"/>
      <c r="D943" s="73"/>
      <c r="E943" s="82"/>
      <c r="F943" s="82"/>
      <c r="G943" s="82"/>
      <c r="H943" s="86"/>
      <c r="I943" s="86"/>
      <c r="J943" s="82"/>
      <c r="K943" s="82"/>
      <c r="L943" s="82"/>
      <c r="M943" s="82"/>
      <c r="N943" s="82"/>
      <c r="O943" s="82"/>
      <c r="P943" s="82"/>
      <c r="Q943" s="82"/>
      <c r="R943" s="82"/>
      <c r="S943" s="82"/>
      <c r="T943" s="82"/>
      <c r="U943" s="82"/>
      <c r="V943" s="82"/>
      <c r="W943" s="82"/>
      <c r="X943" s="82"/>
      <c r="Y943" s="82"/>
      <c r="Z943" s="82"/>
      <c r="AA943" s="82"/>
      <c r="AB943" s="82"/>
      <c r="AC943" s="82"/>
      <c r="AD943" s="82"/>
      <c r="AE943" s="82"/>
      <c r="AF943" s="82"/>
      <c r="AG943" s="82"/>
      <c r="AH943" s="82"/>
      <c r="AI943" s="82"/>
      <c r="AJ943" s="82"/>
      <c r="AK943" s="82"/>
      <c r="AL943" s="82"/>
      <c r="AM943" s="82"/>
      <c r="AN943" s="82">
        <f>IFERROR(__xludf.DUMMYFUNCTION("""COMPUTED_VALUE"""),0.0)</f>
        <v>0</v>
      </c>
      <c r="AO943" s="82">
        <f>IFERROR(__xludf.DUMMYFUNCTION("""COMPUTED_VALUE"""),0.0)</f>
        <v>0</v>
      </c>
      <c r="AP943" s="82">
        <f>IFERROR(__xludf.DUMMYFUNCTION("""COMPUTED_VALUE"""),0.0)</f>
        <v>0</v>
      </c>
      <c r="AQ943" s="82">
        <f>IFERROR(__xludf.DUMMYFUNCTION("""COMPUTED_VALUE"""),0.0)</f>
        <v>0</v>
      </c>
      <c r="AR943" s="82">
        <f>IFERROR(__xludf.DUMMYFUNCTION("""COMPUTED_VALUE"""),0.0)</f>
        <v>0</v>
      </c>
      <c r="AS943" s="82"/>
      <c r="AT943" s="82">
        <f>IFERROR(__xludf.DUMMYFUNCTION("""COMPUTED_VALUE"""),0.0)</f>
        <v>0</v>
      </c>
      <c r="AU943" s="82"/>
      <c r="AV943" s="82"/>
      <c r="AW943" s="82" t="str">
        <f t="shared" si="1"/>
        <v/>
      </c>
      <c r="AX943" s="83" t="str">
        <f t="array" ref="AX943">IFERROR(DGET('SBV Import'!A:G,"SBV",{"RSC ID","Tier";B943,A943}))</f>
        <v/>
      </c>
      <c r="AY943" s="82" t="str">
        <f t="shared" si="2"/>
        <v/>
      </c>
      <c r="AZ943" s="82"/>
      <c r="BA943" s="84" t="s">
        <v>152</v>
      </c>
      <c r="BB943" s="84" t="str">
        <f>IFERROR(__xludf.DUMMYFUNCTION("iferror(if(A943="""",,E943&gt;=FILTER(Constants!$F$2:$F$10,Constants!$A$2:$A$10=A943)))"),"")</f>
        <v/>
      </c>
    </row>
    <row r="944">
      <c r="A944" s="80"/>
      <c r="B944" s="73"/>
      <c r="C944" s="73"/>
      <c r="D944" s="73"/>
      <c r="E944" s="82"/>
      <c r="F944" s="82"/>
      <c r="G944" s="82"/>
      <c r="H944" s="86"/>
      <c r="I944" s="86"/>
      <c r="J944" s="82"/>
      <c r="K944" s="82"/>
      <c r="L944" s="82"/>
      <c r="M944" s="82"/>
      <c r="N944" s="82"/>
      <c r="O944" s="82"/>
      <c r="P944" s="82"/>
      <c r="Q944" s="82"/>
      <c r="R944" s="82"/>
      <c r="S944" s="82"/>
      <c r="T944" s="82"/>
      <c r="U944" s="82"/>
      <c r="V944" s="82"/>
      <c r="W944" s="82"/>
      <c r="X944" s="82"/>
      <c r="Y944" s="82"/>
      <c r="Z944" s="82"/>
      <c r="AA944" s="82"/>
      <c r="AB944" s="82"/>
      <c r="AC944" s="82"/>
      <c r="AD944" s="82"/>
      <c r="AE944" s="82"/>
      <c r="AF944" s="82"/>
      <c r="AG944" s="82"/>
      <c r="AH944" s="82"/>
      <c r="AI944" s="82"/>
      <c r="AJ944" s="82"/>
      <c r="AK944" s="82"/>
      <c r="AL944" s="82"/>
      <c r="AM944" s="82"/>
      <c r="AN944" s="82">
        <f>IFERROR(__xludf.DUMMYFUNCTION("""COMPUTED_VALUE"""),0.0)</f>
        <v>0</v>
      </c>
      <c r="AO944" s="82">
        <f>IFERROR(__xludf.DUMMYFUNCTION("""COMPUTED_VALUE"""),0.0)</f>
        <v>0</v>
      </c>
      <c r="AP944" s="82">
        <f>IFERROR(__xludf.DUMMYFUNCTION("""COMPUTED_VALUE"""),0.0)</f>
        <v>0</v>
      </c>
      <c r="AQ944" s="82">
        <f>IFERROR(__xludf.DUMMYFUNCTION("""COMPUTED_VALUE"""),0.0)</f>
        <v>0</v>
      </c>
      <c r="AR944" s="82">
        <f>IFERROR(__xludf.DUMMYFUNCTION("""COMPUTED_VALUE"""),0.0)</f>
        <v>0</v>
      </c>
      <c r="AS944" s="82"/>
      <c r="AT944" s="82">
        <f>IFERROR(__xludf.DUMMYFUNCTION("""COMPUTED_VALUE"""),0.0)</f>
        <v>0</v>
      </c>
      <c r="AU944" s="82"/>
      <c r="AV944" s="82"/>
      <c r="AW944" s="82" t="str">
        <f t="shared" si="1"/>
        <v/>
      </c>
      <c r="AX944" s="83" t="str">
        <f t="array" ref="AX944">IFERROR(DGET('SBV Import'!A:G,"SBV",{"RSC ID","Tier";B944,A944}))</f>
        <v/>
      </c>
      <c r="AY944" s="82" t="str">
        <f t="shared" si="2"/>
        <v/>
      </c>
      <c r="AZ944" s="82"/>
      <c r="BA944" s="84" t="s">
        <v>152</v>
      </c>
      <c r="BB944" s="84" t="str">
        <f>IFERROR(__xludf.DUMMYFUNCTION("iferror(if(A944="""",,E944&gt;=FILTER(Constants!$F$2:$F$10,Constants!$A$2:$A$10=A944)))"),"")</f>
        <v/>
      </c>
    </row>
    <row r="945">
      <c r="A945" s="80"/>
      <c r="B945" s="73"/>
      <c r="C945" s="73"/>
      <c r="D945" s="73"/>
      <c r="E945" s="82"/>
      <c r="F945" s="82"/>
      <c r="G945" s="82"/>
      <c r="H945" s="86"/>
      <c r="I945" s="86"/>
      <c r="J945" s="82"/>
      <c r="K945" s="82"/>
      <c r="L945" s="82"/>
      <c r="M945" s="82"/>
      <c r="N945" s="82"/>
      <c r="O945" s="82"/>
      <c r="P945" s="82"/>
      <c r="Q945" s="82"/>
      <c r="R945" s="82"/>
      <c r="S945" s="82"/>
      <c r="T945" s="82"/>
      <c r="U945" s="82"/>
      <c r="V945" s="82"/>
      <c r="W945" s="82"/>
      <c r="X945" s="82"/>
      <c r="Y945" s="82"/>
      <c r="Z945" s="82"/>
      <c r="AA945" s="82"/>
      <c r="AB945" s="82"/>
      <c r="AC945" s="82"/>
      <c r="AD945" s="82"/>
      <c r="AE945" s="82"/>
      <c r="AF945" s="82"/>
      <c r="AG945" s="82"/>
      <c r="AH945" s="82"/>
      <c r="AI945" s="82"/>
      <c r="AJ945" s="82"/>
      <c r="AK945" s="82"/>
      <c r="AL945" s="82"/>
      <c r="AM945" s="82"/>
      <c r="AN945" s="82">
        <f>IFERROR(__xludf.DUMMYFUNCTION("""COMPUTED_VALUE"""),0.0)</f>
        <v>0</v>
      </c>
      <c r="AO945" s="82">
        <f>IFERROR(__xludf.DUMMYFUNCTION("""COMPUTED_VALUE"""),0.0)</f>
        <v>0</v>
      </c>
      <c r="AP945" s="82">
        <f>IFERROR(__xludf.DUMMYFUNCTION("""COMPUTED_VALUE"""),0.0)</f>
        <v>0</v>
      </c>
      <c r="AQ945" s="82">
        <f>IFERROR(__xludf.DUMMYFUNCTION("""COMPUTED_VALUE"""),0.0)</f>
        <v>0</v>
      </c>
      <c r="AR945" s="82">
        <f>IFERROR(__xludf.DUMMYFUNCTION("""COMPUTED_VALUE"""),0.0)</f>
        <v>0</v>
      </c>
      <c r="AS945" s="82"/>
      <c r="AT945" s="82">
        <f>IFERROR(__xludf.DUMMYFUNCTION("""COMPUTED_VALUE"""),0.0)</f>
        <v>0</v>
      </c>
      <c r="AU945" s="82"/>
      <c r="AV945" s="82"/>
      <c r="AW945" s="82" t="str">
        <f t="shared" si="1"/>
        <v/>
      </c>
      <c r="AX945" s="83" t="str">
        <f t="array" ref="AX945">IFERROR(DGET('SBV Import'!A:G,"SBV",{"RSC ID","Tier";B945,A945}))</f>
        <v/>
      </c>
      <c r="AY945" s="82" t="str">
        <f t="shared" si="2"/>
        <v/>
      </c>
      <c r="AZ945" s="82"/>
      <c r="BA945" s="84" t="s">
        <v>152</v>
      </c>
      <c r="BB945" s="84" t="str">
        <f>IFERROR(__xludf.DUMMYFUNCTION("iferror(if(A945="""",,E945&gt;=FILTER(Constants!$F$2:$F$10,Constants!$A$2:$A$10=A945)))"),"")</f>
        <v/>
      </c>
    </row>
    <row r="946">
      <c r="A946" s="80"/>
      <c r="B946" s="73"/>
      <c r="C946" s="73"/>
      <c r="D946" s="73"/>
      <c r="E946" s="82"/>
      <c r="F946" s="82"/>
      <c r="G946" s="82"/>
      <c r="H946" s="86"/>
      <c r="I946" s="86"/>
      <c r="J946" s="82"/>
      <c r="K946" s="82"/>
      <c r="L946" s="82"/>
      <c r="M946" s="82"/>
      <c r="N946" s="82"/>
      <c r="O946" s="82"/>
      <c r="P946" s="82"/>
      <c r="Q946" s="82"/>
      <c r="R946" s="82"/>
      <c r="S946" s="82"/>
      <c r="T946" s="82"/>
      <c r="U946" s="82"/>
      <c r="V946" s="82"/>
      <c r="W946" s="82"/>
      <c r="X946" s="82"/>
      <c r="Y946" s="82"/>
      <c r="Z946" s="82"/>
      <c r="AA946" s="82"/>
      <c r="AB946" s="82"/>
      <c r="AC946" s="82"/>
      <c r="AD946" s="82"/>
      <c r="AE946" s="82"/>
      <c r="AF946" s="82"/>
      <c r="AG946" s="82"/>
      <c r="AH946" s="82"/>
      <c r="AI946" s="82"/>
      <c r="AJ946" s="82"/>
      <c r="AK946" s="82"/>
      <c r="AL946" s="82"/>
      <c r="AM946" s="82"/>
      <c r="AN946" s="82">
        <f>IFERROR(__xludf.DUMMYFUNCTION("""COMPUTED_VALUE"""),0.0)</f>
        <v>0</v>
      </c>
      <c r="AO946" s="82">
        <f>IFERROR(__xludf.DUMMYFUNCTION("""COMPUTED_VALUE"""),0.0)</f>
        <v>0</v>
      </c>
      <c r="AP946" s="82">
        <f>IFERROR(__xludf.DUMMYFUNCTION("""COMPUTED_VALUE"""),0.0)</f>
        <v>0</v>
      </c>
      <c r="AQ946" s="82">
        <f>IFERROR(__xludf.DUMMYFUNCTION("""COMPUTED_VALUE"""),0.0)</f>
        <v>0</v>
      </c>
      <c r="AR946" s="82">
        <f>IFERROR(__xludf.DUMMYFUNCTION("""COMPUTED_VALUE"""),0.0)</f>
        <v>0</v>
      </c>
      <c r="AS946" s="82"/>
      <c r="AT946" s="82">
        <f>IFERROR(__xludf.DUMMYFUNCTION("""COMPUTED_VALUE"""),0.0)</f>
        <v>0</v>
      </c>
      <c r="AU946" s="82"/>
      <c r="AV946" s="82"/>
      <c r="AW946" s="82" t="str">
        <f t="shared" si="1"/>
        <v/>
      </c>
      <c r="AX946" s="83" t="str">
        <f t="array" ref="AX946">IFERROR(DGET('SBV Import'!A:G,"SBV",{"RSC ID","Tier";B946,A946}))</f>
        <v/>
      </c>
      <c r="AY946" s="82" t="str">
        <f t="shared" si="2"/>
        <v/>
      </c>
      <c r="AZ946" s="82"/>
      <c r="BA946" s="84" t="s">
        <v>152</v>
      </c>
      <c r="BB946" s="84" t="str">
        <f>IFERROR(__xludf.DUMMYFUNCTION("iferror(if(A946="""",,E946&gt;=FILTER(Constants!$F$2:$F$10,Constants!$A$2:$A$10=A946)))"),"")</f>
        <v/>
      </c>
    </row>
    <row r="947">
      <c r="A947" s="80"/>
      <c r="B947" s="73"/>
      <c r="C947" s="73"/>
      <c r="D947" s="73"/>
      <c r="E947" s="82"/>
      <c r="F947" s="82"/>
      <c r="G947" s="82"/>
      <c r="H947" s="86"/>
      <c r="I947" s="86"/>
      <c r="J947" s="82"/>
      <c r="K947" s="82"/>
      <c r="L947" s="82"/>
      <c r="M947" s="82"/>
      <c r="N947" s="82"/>
      <c r="O947" s="82"/>
      <c r="P947" s="82"/>
      <c r="Q947" s="82"/>
      <c r="R947" s="82"/>
      <c r="S947" s="82"/>
      <c r="T947" s="82"/>
      <c r="U947" s="82"/>
      <c r="V947" s="82"/>
      <c r="W947" s="82"/>
      <c r="X947" s="82"/>
      <c r="Y947" s="82"/>
      <c r="Z947" s="82"/>
      <c r="AA947" s="82"/>
      <c r="AB947" s="82"/>
      <c r="AC947" s="82"/>
      <c r="AD947" s="82"/>
      <c r="AE947" s="82"/>
      <c r="AF947" s="82"/>
      <c r="AG947" s="82"/>
      <c r="AH947" s="82"/>
      <c r="AI947" s="82"/>
      <c r="AJ947" s="82"/>
      <c r="AK947" s="82"/>
      <c r="AL947" s="82"/>
      <c r="AM947" s="82"/>
      <c r="AN947" s="82">
        <f>IFERROR(__xludf.DUMMYFUNCTION("""COMPUTED_VALUE"""),0.0)</f>
        <v>0</v>
      </c>
      <c r="AO947" s="82">
        <f>IFERROR(__xludf.DUMMYFUNCTION("""COMPUTED_VALUE"""),0.0)</f>
        <v>0</v>
      </c>
      <c r="AP947" s="82">
        <f>IFERROR(__xludf.DUMMYFUNCTION("""COMPUTED_VALUE"""),0.0)</f>
        <v>0</v>
      </c>
      <c r="AQ947" s="82">
        <f>IFERROR(__xludf.DUMMYFUNCTION("""COMPUTED_VALUE"""),0.0)</f>
        <v>0</v>
      </c>
      <c r="AR947" s="82">
        <f>IFERROR(__xludf.DUMMYFUNCTION("""COMPUTED_VALUE"""),0.0)</f>
        <v>0</v>
      </c>
      <c r="AS947" s="82"/>
      <c r="AT947" s="82">
        <f>IFERROR(__xludf.DUMMYFUNCTION("""COMPUTED_VALUE"""),0.0)</f>
        <v>0</v>
      </c>
      <c r="AU947" s="82"/>
      <c r="AV947" s="82"/>
      <c r="AW947" s="82" t="str">
        <f t="shared" si="1"/>
        <v/>
      </c>
      <c r="AX947" s="83" t="str">
        <f t="array" ref="AX947">IFERROR(DGET('SBV Import'!A:G,"SBV",{"RSC ID","Tier";B947,A947}))</f>
        <v/>
      </c>
      <c r="AY947" s="82" t="str">
        <f t="shared" si="2"/>
        <v/>
      </c>
      <c r="AZ947" s="82"/>
      <c r="BA947" s="84" t="s">
        <v>152</v>
      </c>
      <c r="BB947" s="84" t="str">
        <f>IFERROR(__xludf.DUMMYFUNCTION("iferror(if(A947="""",,E947&gt;=FILTER(Constants!$F$2:$F$10,Constants!$A$2:$A$10=A947)))"),"")</f>
        <v/>
      </c>
    </row>
    <row r="948">
      <c r="A948" s="80"/>
      <c r="B948" s="73"/>
      <c r="C948" s="73"/>
      <c r="D948" s="73"/>
      <c r="E948" s="82"/>
      <c r="F948" s="82"/>
      <c r="G948" s="82"/>
      <c r="H948" s="86"/>
      <c r="I948" s="86"/>
      <c r="J948" s="82"/>
      <c r="K948" s="82"/>
      <c r="L948" s="82"/>
      <c r="M948" s="82"/>
      <c r="N948" s="82"/>
      <c r="O948" s="82"/>
      <c r="P948" s="82"/>
      <c r="Q948" s="82"/>
      <c r="R948" s="82"/>
      <c r="S948" s="82"/>
      <c r="T948" s="82"/>
      <c r="U948" s="82"/>
      <c r="V948" s="82"/>
      <c r="W948" s="82"/>
      <c r="X948" s="82"/>
      <c r="Y948" s="82"/>
      <c r="Z948" s="82"/>
      <c r="AA948" s="82"/>
      <c r="AB948" s="82"/>
      <c r="AC948" s="82"/>
      <c r="AD948" s="82"/>
      <c r="AE948" s="82"/>
      <c r="AF948" s="82"/>
      <c r="AG948" s="82"/>
      <c r="AH948" s="82"/>
      <c r="AI948" s="82"/>
      <c r="AJ948" s="82"/>
      <c r="AK948" s="82"/>
      <c r="AL948" s="82"/>
      <c r="AM948" s="82"/>
      <c r="AN948" s="82">
        <f>IFERROR(__xludf.DUMMYFUNCTION("""COMPUTED_VALUE"""),0.0)</f>
        <v>0</v>
      </c>
      <c r="AO948" s="82">
        <f>IFERROR(__xludf.DUMMYFUNCTION("""COMPUTED_VALUE"""),0.0)</f>
        <v>0</v>
      </c>
      <c r="AP948" s="82">
        <f>IFERROR(__xludf.DUMMYFUNCTION("""COMPUTED_VALUE"""),0.0)</f>
        <v>0</v>
      </c>
      <c r="AQ948" s="82">
        <f>IFERROR(__xludf.DUMMYFUNCTION("""COMPUTED_VALUE"""),0.0)</f>
        <v>0</v>
      </c>
      <c r="AR948" s="82">
        <f>IFERROR(__xludf.DUMMYFUNCTION("""COMPUTED_VALUE"""),0.0)</f>
        <v>0</v>
      </c>
      <c r="AS948" s="82"/>
      <c r="AT948" s="82">
        <f>IFERROR(__xludf.DUMMYFUNCTION("""COMPUTED_VALUE"""),0.0)</f>
        <v>0</v>
      </c>
      <c r="AU948" s="82"/>
      <c r="AV948" s="82"/>
      <c r="AW948" s="82" t="str">
        <f t="shared" si="1"/>
        <v/>
      </c>
      <c r="AX948" s="83" t="str">
        <f t="array" ref="AX948">IFERROR(DGET('SBV Import'!A:G,"SBV",{"RSC ID","Tier";B948,A948}))</f>
        <v/>
      </c>
      <c r="AY948" s="82" t="str">
        <f t="shared" si="2"/>
        <v/>
      </c>
      <c r="AZ948" s="82"/>
      <c r="BA948" s="84" t="s">
        <v>152</v>
      </c>
      <c r="BB948" s="84" t="str">
        <f>IFERROR(__xludf.DUMMYFUNCTION("iferror(if(A948="""",,E948&gt;=FILTER(Constants!$F$2:$F$10,Constants!$A$2:$A$10=A948)))"),"")</f>
        <v/>
      </c>
    </row>
    <row r="949">
      <c r="A949" s="80"/>
      <c r="B949" s="73"/>
      <c r="C949" s="73"/>
      <c r="D949" s="73"/>
      <c r="E949" s="82"/>
      <c r="F949" s="82"/>
      <c r="G949" s="82"/>
      <c r="H949" s="86"/>
      <c r="I949" s="86"/>
      <c r="J949" s="82"/>
      <c r="K949" s="82"/>
      <c r="L949" s="82"/>
      <c r="M949" s="82"/>
      <c r="N949" s="82"/>
      <c r="O949" s="82"/>
      <c r="P949" s="82"/>
      <c r="Q949" s="82"/>
      <c r="R949" s="82"/>
      <c r="S949" s="82"/>
      <c r="T949" s="82"/>
      <c r="U949" s="82"/>
      <c r="V949" s="82"/>
      <c r="W949" s="82"/>
      <c r="X949" s="82"/>
      <c r="Y949" s="82"/>
      <c r="Z949" s="82"/>
      <c r="AA949" s="82"/>
      <c r="AB949" s="82"/>
      <c r="AC949" s="82"/>
      <c r="AD949" s="82"/>
      <c r="AE949" s="82"/>
      <c r="AF949" s="82"/>
      <c r="AG949" s="82"/>
      <c r="AH949" s="82"/>
      <c r="AI949" s="82"/>
      <c r="AJ949" s="82"/>
      <c r="AK949" s="82"/>
      <c r="AL949" s="82"/>
      <c r="AM949" s="82"/>
      <c r="AN949" s="82">
        <f>IFERROR(__xludf.DUMMYFUNCTION("""COMPUTED_VALUE"""),0.0)</f>
        <v>0</v>
      </c>
      <c r="AO949" s="82">
        <f>IFERROR(__xludf.DUMMYFUNCTION("""COMPUTED_VALUE"""),0.0)</f>
        <v>0</v>
      </c>
      <c r="AP949" s="82">
        <f>IFERROR(__xludf.DUMMYFUNCTION("""COMPUTED_VALUE"""),0.0)</f>
        <v>0</v>
      </c>
      <c r="AQ949" s="82">
        <f>IFERROR(__xludf.DUMMYFUNCTION("""COMPUTED_VALUE"""),0.0)</f>
        <v>0</v>
      </c>
      <c r="AR949" s="82">
        <f>IFERROR(__xludf.DUMMYFUNCTION("""COMPUTED_VALUE"""),0.0)</f>
        <v>0</v>
      </c>
      <c r="AS949" s="82"/>
      <c r="AT949" s="82">
        <f>IFERROR(__xludf.DUMMYFUNCTION("""COMPUTED_VALUE"""),0.0)</f>
        <v>0</v>
      </c>
      <c r="AU949" s="82"/>
      <c r="AV949" s="82"/>
      <c r="AW949" s="82" t="str">
        <f t="shared" si="1"/>
        <v/>
      </c>
      <c r="AX949" s="83" t="str">
        <f t="array" ref="AX949">IFERROR(DGET('SBV Import'!A:G,"SBV",{"RSC ID","Tier";B949,A949}))</f>
        <v/>
      </c>
      <c r="AY949" s="82" t="str">
        <f t="shared" si="2"/>
        <v/>
      </c>
      <c r="AZ949" s="82"/>
      <c r="BA949" s="84" t="s">
        <v>152</v>
      </c>
      <c r="BB949" s="84" t="str">
        <f>IFERROR(__xludf.DUMMYFUNCTION("iferror(if(A949="""",,E949&gt;=FILTER(Constants!$F$2:$F$10,Constants!$A$2:$A$10=A949)))"),"")</f>
        <v/>
      </c>
    </row>
    <row r="950">
      <c r="A950" s="80"/>
      <c r="B950" s="73"/>
      <c r="C950" s="73"/>
      <c r="D950" s="73"/>
      <c r="E950" s="82"/>
      <c r="F950" s="82"/>
      <c r="G950" s="82"/>
      <c r="H950" s="86"/>
      <c r="I950" s="86"/>
      <c r="J950" s="82"/>
      <c r="K950" s="82"/>
      <c r="L950" s="82"/>
      <c r="M950" s="82"/>
      <c r="N950" s="82"/>
      <c r="O950" s="82"/>
      <c r="P950" s="82"/>
      <c r="Q950" s="82"/>
      <c r="R950" s="82"/>
      <c r="S950" s="82"/>
      <c r="T950" s="82"/>
      <c r="U950" s="82"/>
      <c r="V950" s="82"/>
      <c r="W950" s="82"/>
      <c r="X950" s="82"/>
      <c r="Y950" s="82"/>
      <c r="Z950" s="82"/>
      <c r="AA950" s="82"/>
      <c r="AB950" s="82"/>
      <c r="AC950" s="82"/>
      <c r="AD950" s="82"/>
      <c r="AE950" s="82"/>
      <c r="AF950" s="82"/>
      <c r="AG950" s="82"/>
      <c r="AH950" s="82"/>
      <c r="AI950" s="82"/>
      <c r="AJ950" s="82"/>
      <c r="AK950" s="82"/>
      <c r="AL950" s="82"/>
      <c r="AM950" s="82"/>
      <c r="AN950" s="82">
        <f>IFERROR(__xludf.DUMMYFUNCTION("""COMPUTED_VALUE"""),0.0)</f>
        <v>0</v>
      </c>
      <c r="AO950" s="82">
        <f>IFERROR(__xludf.DUMMYFUNCTION("""COMPUTED_VALUE"""),0.0)</f>
        <v>0</v>
      </c>
      <c r="AP950" s="82">
        <f>IFERROR(__xludf.DUMMYFUNCTION("""COMPUTED_VALUE"""),0.0)</f>
        <v>0</v>
      </c>
      <c r="AQ950" s="82">
        <f>IFERROR(__xludf.DUMMYFUNCTION("""COMPUTED_VALUE"""),0.0)</f>
        <v>0</v>
      </c>
      <c r="AR950" s="82">
        <f>IFERROR(__xludf.DUMMYFUNCTION("""COMPUTED_VALUE"""),0.0)</f>
        <v>0</v>
      </c>
      <c r="AS950" s="82"/>
      <c r="AT950" s="82">
        <f>IFERROR(__xludf.DUMMYFUNCTION("""COMPUTED_VALUE"""),0.0)</f>
        <v>0</v>
      </c>
      <c r="AU950" s="82"/>
      <c r="AV950" s="82"/>
      <c r="AW950" s="82" t="str">
        <f t="shared" si="1"/>
        <v/>
      </c>
      <c r="AX950" s="83" t="str">
        <f t="array" ref="AX950">IFERROR(DGET('SBV Import'!A:G,"SBV",{"RSC ID","Tier";B950,A950}))</f>
        <v/>
      </c>
      <c r="AY950" s="82" t="str">
        <f t="shared" si="2"/>
        <v/>
      </c>
      <c r="AZ950" s="82"/>
      <c r="BA950" s="84" t="s">
        <v>152</v>
      </c>
      <c r="BB950" s="84" t="str">
        <f>IFERROR(__xludf.DUMMYFUNCTION("iferror(if(A950="""",,E950&gt;=FILTER(Constants!$F$2:$F$10,Constants!$A$2:$A$10=A950)))"),"")</f>
        <v/>
      </c>
    </row>
    <row r="951">
      <c r="A951" s="80"/>
      <c r="B951" s="73"/>
      <c r="C951" s="73"/>
      <c r="D951" s="73"/>
      <c r="E951" s="82"/>
      <c r="F951" s="82"/>
      <c r="G951" s="82"/>
      <c r="H951" s="86"/>
      <c r="I951" s="86"/>
      <c r="J951" s="82"/>
      <c r="K951" s="82"/>
      <c r="L951" s="82"/>
      <c r="M951" s="82"/>
      <c r="N951" s="82"/>
      <c r="O951" s="82"/>
      <c r="P951" s="82"/>
      <c r="Q951" s="82"/>
      <c r="R951" s="82"/>
      <c r="S951" s="82"/>
      <c r="T951" s="82"/>
      <c r="U951" s="82"/>
      <c r="V951" s="82"/>
      <c r="W951" s="82"/>
      <c r="X951" s="82"/>
      <c r="Y951" s="82"/>
      <c r="Z951" s="82"/>
      <c r="AA951" s="82"/>
      <c r="AB951" s="82"/>
      <c r="AC951" s="82"/>
      <c r="AD951" s="82"/>
      <c r="AE951" s="82"/>
      <c r="AF951" s="82"/>
      <c r="AG951" s="82"/>
      <c r="AH951" s="82"/>
      <c r="AI951" s="82"/>
      <c r="AJ951" s="82"/>
      <c r="AK951" s="82"/>
      <c r="AL951" s="82"/>
      <c r="AM951" s="82"/>
      <c r="AN951" s="82">
        <f>IFERROR(__xludf.DUMMYFUNCTION("""COMPUTED_VALUE"""),0.0)</f>
        <v>0</v>
      </c>
      <c r="AO951" s="82">
        <f>IFERROR(__xludf.DUMMYFUNCTION("""COMPUTED_VALUE"""),0.0)</f>
        <v>0</v>
      </c>
      <c r="AP951" s="82">
        <f>IFERROR(__xludf.DUMMYFUNCTION("""COMPUTED_VALUE"""),0.0)</f>
        <v>0</v>
      </c>
      <c r="AQ951" s="82">
        <f>IFERROR(__xludf.DUMMYFUNCTION("""COMPUTED_VALUE"""),0.0)</f>
        <v>0</v>
      </c>
      <c r="AR951" s="82">
        <f>IFERROR(__xludf.DUMMYFUNCTION("""COMPUTED_VALUE"""),0.0)</f>
        <v>0</v>
      </c>
      <c r="AS951" s="82"/>
      <c r="AT951" s="82">
        <f>IFERROR(__xludf.DUMMYFUNCTION("""COMPUTED_VALUE"""),0.0)</f>
        <v>0</v>
      </c>
      <c r="AU951" s="82"/>
      <c r="AV951" s="82"/>
      <c r="AW951" s="82" t="str">
        <f t="shared" si="1"/>
        <v/>
      </c>
      <c r="AX951" s="83" t="str">
        <f t="array" ref="AX951">IFERROR(DGET('SBV Import'!A:G,"SBV",{"RSC ID","Tier";B951,A951}))</f>
        <v/>
      </c>
      <c r="AY951" s="82" t="str">
        <f t="shared" si="2"/>
        <v/>
      </c>
      <c r="AZ951" s="82"/>
      <c r="BA951" s="84" t="s">
        <v>152</v>
      </c>
      <c r="BB951" s="84" t="str">
        <f>IFERROR(__xludf.DUMMYFUNCTION("iferror(if(A951="""",,E951&gt;=FILTER(Constants!$F$2:$F$10,Constants!$A$2:$A$10=A951)))"),"")</f>
        <v/>
      </c>
    </row>
    <row r="952">
      <c r="A952" s="80"/>
      <c r="B952" s="73"/>
      <c r="C952" s="73"/>
      <c r="D952" s="73"/>
      <c r="E952" s="82"/>
      <c r="F952" s="82"/>
      <c r="G952" s="82"/>
      <c r="H952" s="86"/>
      <c r="I952" s="86"/>
      <c r="J952" s="82"/>
      <c r="K952" s="82"/>
      <c r="L952" s="82"/>
      <c r="M952" s="82"/>
      <c r="N952" s="82"/>
      <c r="O952" s="82"/>
      <c r="P952" s="82"/>
      <c r="Q952" s="82"/>
      <c r="R952" s="82"/>
      <c r="S952" s="82"/>
      <c r="T952" s="82"/>
      <c r="U952" s="82"/>
      <c r="V952" s="82"/>
      <c r="W952" s="82"/>
      <c r="X952" s="82"/>
      <c r="Y952" s="82"/>
      <c r="Z952" s="82"/>
      <c r="AA952" s="82"/>
      <c r="AB952" s="82"/>
      <c r="AC952" s="82"/>
      <c r="AD952" s="82"/>
      <c r="AE952" s="82"/>
      <c r="AF952" s="82"/>
      <c r="AG952" s="82"/>
      <c r="AH952" s="82"/>
      <c r="AI952" s="82"/>
      <c r="AJ952" s="82"/>
      <c r="AK952" s="82"/>
      <c r="AL952" s="82"/>
      <c r="AM952" s="82"/>
      <c r="AN952" s="82">
        <f>IFERROR(__xludf.DUMMYFUNCTION("""COMPUTED_VALUE"""),0.0)</f>
        <v>0</v>
      </c>
      <c r="AO952" s="82">
        <f>IFERROR(__xludf.DUMMYFUNCTION("""COMPUTED_VALUE"""),0.0)</f>
        <v>0</v>
      </c>
      <c r="AP952" s="82">
        <f>IFERROR(__xludf.DUMMYFUNCTION("""COMPUTED_VALUE"""),0.0)</f>
        <v>0</v>
      </c>
      <c r="AQ952" s="82">
        <f>IFERROR(__xludf.DUMMYFUNCTION("""COMPUTED_VALUE"""),0.0)</f>
        <v>0</v>
      </c>
      <c r="AR952" s="82">
        <f>IFERROR(__xludf.DUMMYFUNCTION("""COMPUTED_VALUE"""),0.0)</f>
        <v>0</v>
      </c>
      <c r="AS952" s="82"/>
      <c r="AT952" s="82">
        <f>IFERROR(__xludf.DUMMYFUNCTION("""COMPUTED_VALUE"""),0.0)</f>
        <v>0</v>
      </c>
      <c r="AU952" s="82"/>
      <c r="AV952" s="82"/>
      <c r="AW952" s="82" t="str">
        <f t="shared" si="1"/>
        <v/>
      </c>
      <c r="AX952" s="83" t="str">
        <f t="array" ref="AX952">IFERROR(DGET('SBV Import'!A:G,"SBV",{"RSC ID","Tier";B952,A952}))</f>
        <v/>
      </c>
      <c r="AY952" s="82" t="str">
        <f t="shared" si="2"/>
        <v/>
      </c>
      <c r="AZ952" s="82"/>
      <c r="BA952" s="84" t="s">
        <v>152</v>
      </c>
      <c r="BB952" s="84" t="str">
        <f>IFERROR(__xludf.DUMMYFUNCTION("iferror(if(A952="""",,E952&gt;=FILTER(Constants!$F$2:$F$10,Constants!$A$2:$A$10=A952)))"),"")</f>
        <v/>
      </c>
    </row>
    <row r="953">
      <c r="A953" s="80"/>
      <c r="B953" s="73"/>
      <c r="C953" s="73"/>
      <c r="D953" s="73"/>
      <c r="E953" s="82"/>
      <c r="F953" s="82"/>
      <c r="G953" s="82"/>
      <c r="H953" s="86"/>
      <c r="I953" s="86"/>
      <c r="J953" s="82"/>
      <c r="K953" s="82"/>
      <c r="L953" s="82"/>
      <c r="M953" s="82"/>
      <c r="N953" s="82"/>
      <c r="O953" s="82"/>
      <c r="P953" s="82"/>
      <c r="Q953" s="82"/>
      <c r="R953" s="82"/>
      <c r="S953" s="82"/>
      <c r="T953" s="82"/>
      <c r="U953" s="82"/>
      <c r="V953" s="82"/>
      <c r="W953" s="82"/>
      <c r="X953" s="82"/>
      <c r="Y953" s="82"/>
      <c r="Z953" s="82"/>
      <c r="AA953" s="82"/>
      <c r="AB953" s="82"/>
      <c r="AC953" s="82"/>
      <c r="AD953" s="82"/>
      <c r="AE953" s="82"/>
      <c r="AF953" s="82"/>
      <c r="AG953" s="82"/>
      <c r="AH953" s="82"/>
      <c r="AI953" s="82"/>
      <c r="AJ953" s="82"/>
      <c r="AK953" s="82"/>
      <c r="AL953" s="82"/>
      <c r="AM953" s="82"/>
      <c r="AN953" s="82">
        <f>IFERROR(__xludf.DUMMYFUNCTION("""COMPUTED_VALUE"""),0.0)</f>
        <v>0</v>
      </c>
      <c r="AO953" s="82">
        <f>IFERROR(__xludf.DUMMYFUNCTION("""COMPUTED_VALUE"""),0.0)</f>
        <v>0</v>
      </c>
      <c r="AP953" s="82">
        <f>IFERROR(__xludf.DUMMYFUNCTION("""COMPUTED_VALUE"""),0.0)</f>
        <v>0</v>
      </c>
      <c r="AQ953" s="82">
        <f>IFERROR(__xludf.DUMMYFUNCTION("""COMPUTED_VALUE"""),0.0)</f>
        <v>0</v>
      </c>
      <c r="AR953" s="82">
        <f>IFERROR(__xludf.DUMMYFUNCTION("""COMPUTED_VALUE"""),0.0)</f>
        <v>0</v>
      </c>
      <c r="AS953" s="82"/>
      <c r="AT953" s="82">
        <f>IFERROR(__xludf.DUMMYFUNCTION("""COMPUTED_VALUE"""),0.0)</f>
        <v>0</v>
      </c>
      <c r="AU953" s="82"/>
      <c r="AV953" s="82"/>
      <c r="AW953" s="82" t="str">
        <f t="shared" si="1"/>
        <v/>
      </c>
      <c r="AX953" s="83" t="str">
        <f t="array" ref="AX953">IFERROR(DGET('SBV Import'!A:G,"SBV",{"RSC ID","Tier";B953,A953}))</f>
        <v/>
      </c>
      <c r="AY953" s="82" t="str">
        <f t="shared" si="2"/>
        <v/>
      </c>
      <c r="AZ953" s="82"/>
      <c r="BA953" s="84" t="s">
        <v>152</v>
      </c>
      <c r="BB953" s="84" t="str">
        <f>IFERROR(__xludf.DUMMYFUNCTION("iferror(if(A953="""",,E953&gt;=FILTER(Constants!$F$2:$F$10,Constants!$A$2:$A$10=A953)))"),"")</f>
        <v/>
      </c>
    </row>
    <row r="954">
      <c r="A954" s="80"/>
      <c r="B954" s="73"/>
      <c r="C954" s="73"/>
      <c r="D954" s="73"/>
      <c r="E954" s="82"/>
      <c r="F954" s="82"/>
      <c r="G954" s="82"/>
      <c r="H954" s="86"/>
      <c r="I954" s="86"/>
      <c r="J954" s="82"/>
      <c r="K954" s="82"/>
      <c r="L954" s="82"/>
      <c r="M954" s="82"/>
      <c r="N954" s="82"/>
      <c r="O954" s="82"/>
      <c r="P954" s="82"/>
      <c r="Q954" s="82"/>
      <c r="R954" s="82"/>
      <c r="S954" s="82"/>
      <c r="T954" s="82"/>
      <c r="U954" s="82"/>
      <c r="V954" s="82"/>
      <c r="W954" s="82"/>
      <c r="X954" s="82"/>
      <c r="Y954" s="82"/>
      <c r="Z954" s="82"/>
      <c r="AA954" s="82"/>
      <c r="AB954" s="82"/>
      <c r="AC954" s="82"/>
      <c r="AD954" s="82"/>
      <c r="AE954" s="82"/>
      <c r="AF954" s="82"/>
      <c r="AG954" s="82"/>
      <c r="AH954" s="82"/>
      <c r="AI954" s="82"/>
      <c r="AJ954" s="82"/>
      <c r="AK954" s="82"/>
      <c r="AL954" s="82"/>
      <c r="AM954" s="82"/>
      <c r="AN954" s="82">
        <f>IFERROR(__xludf.DUMMYFUNCTION("""COMPUTED_VALUE"""),0.0)</f>
        <v>0</v>
      </c>
      <c r="AO954" s="82">
        <f>IFERROR(__xludf.DUMMYFUNCTION("""COMPUTED_VALUE"""),0.0)</f>
        <v>0</v>
      </c>
      <c r="AP954" s="82">
        <f>IFERROR(__xludf.DUMMYFUNCTION("""COMPUTED_VALUE"""),0.0)</f>
        <v>0</v>
      </c>
      <c r="AQ954" s="82">
        <f>IFERROR(__xludf.DUMMYFUNCTION("""COMPUTED_VALUE"""),0.0)</f>
        <v>0</v>
      </c>
      <c r="AR954" s="82">
        <f>IFERROR(__xludf.DUMMYFUNCTION("""COMPUTED_VALUE"""),0.0)</f>
        <v>0</v>
      </c>
      <c r="AS954" s="82"/>
      <c r="AT954" s="82">
        <f>IFERROR(__xludf.DUMMYFUNCTION("""COMPUTED_VALUE"""),0.0)</f>
        <v>0</v>
      </c>
      <c r="AU954" s="82"/>
      <c r="AV954" s="82"/>
      <c r="AW954" s="82" t="str">
        <f t="shared" si="1"/>
        <v/>
      </c>
      <c r="AX954" s="83" t="str">
        <f t="array" ref="AX954">IFERROR(DGET('SBV Import'!A:G,"SBV",{"RSC ID","Tier";B954,A954}))</f>
        <v/>
      </c>
      <c r="AY954" s="82" t="str">
        <f t="shared" si="2"/>
        <v/>
      </c>
      <c r="AZ954" s="82"/>
      <c r="BA954" s="84" t="s">
        <v>152</v>
      </c>
      <c r="BB954" s="84" t="str">
        <f>IFERROR(__xludf.DUMMYFUNCTION("iferror(if(A954="""",,E954&gt;=FILTER(Constants!$F$2:$F$10,Constants!$A$2:$A$10=A954)))"),"")</f>
        <v/>
      </c>
    </row>
    <row r="955">
      <c r="A955" s="80"/>
      <c r="B955" s="73"/>
      <c r="C955" s="73"/>
      <c r="D955" s="73"/>
      <c r="E955" s="82"/>
      <c r="F955" s="82"/>
      <c r="G955" s="82"/>
      <c r="H955" s="86"/>
      <c r="I955" s="86"/>
      <c r="J955" s="82"/>
      <c r="K955" s="82"/>
      <c r="L955" s="82"/>
      <c r="M955" s="82"/>
      <c r="N955" s="82"/>
      <c r="O955" s="82"/>
      <c r="P955" s="82"/>
      <c r="Q955" s="82"/>
      <c r="R955" s="82"/>
      <c r="S955" s="82"/>
      <c r="T955" s="82"/>
      <c r="U955" s="82"/>
      <c r="V955" s="82"/>
      <c r="W955" s="82"/>
      <c r="X955" s="82"/>
      <c r="Y955" s="82"/>
      <c r="Z955" s="82"/>
      <c r="AA955" s="82"/>
      <c r="AB955" s="82"/>
      <c r="AC955" s="82"/>
      <c r="AD955" s="82"/>
      <c r="AE955" s="82"/>
      <c r="AF955" s="82"/>
      <c r="AG955" s="82"/>
      <c r="AH955" s="82"/>
      <c r="AI955" s="82"/>
      <c r="AJ955" s="82"/>
      <c r="AK955" s="82"/>
      <c r="AL955" s="82"/>
      <c r="AM955" s="82"/>
      <c r="AN955" s="82">
        <f>IFERROR(__xludf.DUMMYFUNCTION("""COMPUTED_VALUE"""),0.0)</f>
        <v>0</v>
      </c>
      <c r="AO955" s="82">
        <f>IFERROR(__xludf.DUMMYFUNCTION("""COMPUTED_VALUE"""),0.0)</f>
        <v>0</v>
      </c>
      <c r="AP955" s="82">
        <f>IFERROR(__xludf.DUMMYFUNCTION("""COMPUTED_VALUE"""),0.0)</f>
        <v>0</v>
      </c>
      <c r="AQ955" s="82">
        <f>IFERROR(__xludf.DUMMYFUNCTION("""COMPUTED_VALUE"""),0.0)</f>
        <v>0</v>
      </c>
      <c r="AR955" s="82">
        <f>IFERROR(__xludf.DUMMYFUNCTION("""COMPUTED_VALUE"""),0.0)</f>
        <v>0</v>
      </c>
      <c r="AS955" s="82"/>
      <c r="AT955" s="82">
        <f>IFERROR(__xludf.DUMMYFUNCTION("""COMPUTED_VALUE"""),0.0)</f>
        <v>0</v>
      </c>
      <c r="AU955" s="82"/>
      <c r="AV955" s="82"/>
      <c r="AW955" s="82" t="str">
        <f t="shared" si="1"/>
        <v/>
      </c>
      <c r="AX955" s="83" t="str">
        <f t="array" ref="AX955">IFERROR(DGET('SBV Import'!A:G,"SBV",{"RSC ID","Tier";B955,A955}))</f>
        <v/>
      </c>
      <c r="AY955" s="82" t="str">
        <f t="shared" si="2"/>
        <v/>
      </c>
      <c r="AZ955" s="82"/>
      <c r="BA955" s="84" t="s">
        <v>152</v>
      </c>
      <c r="BB955" s="84" t="str">
        <f>IFERROR(__xludf.DUMMYFUNCTION("iferror(if(A955="""",,E955&gt;=FILTER(Constants!$F$2:$F$10,Constants!$A$2:$A$10=A955)))"),"")</f>
        <v/>
      </c>
    </row>
    <row r="956">
      <c r="A956" s="80"/>
      <c r="B956" s="73"/>
      <c r="C956" s="73"/>
      <c r="D956" s="73"/>
      <c r="E956" s="82"/>
      <c r="F956" s="82"/>
      <c r="G956" s="82"/>
      <c r="H956" s="86"/>
      <c r="I956" s="86"/>
      <c r="J956" s="82"/>
      <c r="K956" s="82"/>
      <c r="L956" s="82"/>
      <c r="M956" s="82"/>
      <c r="N956" s="82"/>
      <c r="O956" s="82"/>
      <c r="P956" s="82"/>
      <c r="Q956" s="82"/>
      <c r="R956" s="82"/>
      <c r="S956" s="82"/>
      <c r="T956" s="82"/>
      <c r="U956" s="82"/>
      <c r="V956" s="82"/>
      <c r="W956" s="82"/>
      <c r="X956" s="82"/>
      <c r="Y956" s="82"/>
      <c r="Z956" s="82"/>
      <c r="AA956" s="82"/>
      <c r="AB956" s="82"/>
      <c r="AC956" s="82"/>
      <c r="AD956" s="82"/>
      <c r="AE956" s="82"/>
      <c r="AF956" s="82"/>
      <c r="AG956" s="82"/>
      <c r="AH956" s="82"/>
      <c r="AI956" s="82"/>
      <c r="AJ956" s="82"/>
      <c r="AK956" s="82"/>
      <c r="AL956" s="82"/>
      <c r="AM956" s="82"/>
      <c r="AN956" s="82">
        <f>IFERROR(__xludf.DUMMYFUNCTION("""COMPUTED_VALUE"""),0.0)</f>
        <v>0</v>
      </c>
      <c r="AO956" s="82">
        <f>IFERROR(__xludf.DUMMYFUNCTION("""COMPUTED_VALUE"""),0.0)</f>
        <v>0</v>
      </c>
      <c r="AP956" s="82">
        <f>IFERROR(__xludf.DUMMYFUNCTION("""COMPUTED_VALUE"""),0.0)</f>
        <v>0</v>
      </c>
      <c r="AQ956" s="82">
        <f>IFERROR(__xludf.DUMMYFUNCTION("""COMPUTED_VALUE"""),0.0)</f>
        <v>0</v>
      </c>
      <c r="AR956" s="82">
        <f>IFERROR(__xludf.DUMMYFUNCTION("""COMPUTED_VALUE"""),0.0)</f>
        <v>0</v>
      </c>
      <c r="AS956" s="82"/>
      <c r="AT956" s="82">
        <f>IFERROR(__xludf.DUMMYFUNCTION("""COMPUTED_VALUE"""),0.0)</f>
        <v>0</v>
      </c>
      <c r="AU956" s="82"/>
      <c r="AV956" s="82"/>
      <c r="AW956" s="82" t="str">
        <f t="shared" si="1"/>
        <v/>
      </c>
      <c r="AX956" s="83" t="str">
        <f t="array" ref="AX956">IFERROR(DGET('SBV Import'!A:G,"SBV",{"RSC ID","Tier";B956,A956}))</f>
        <v/>
      </c>
      <c r="AY956" s="82" t="str">
        <f t="shared" si="2"/>
        <v/>
      </c>
      <c r="AZ956" s="82"/>
      <c r="BA956" s="84" t="s">
        <v>152</v>
      </c>
      <c r="BB956" s="84" t="str">
        <f>IFERROR(__xludf.DUMMYFUNCTION("iferror(if(A956="""",,E956&gt;=FILTER(Constants!$F$2:$F$10,Constants!$A$2:$A$10=A956)))"),"")</f>
        <v/>
      </c>
    </row>
    <row r="957">
      <c r="A957" s="80"/>
      <c r="B957" s="73"/>
      <c r="C957" s="73"/>
      <c r="D957" s="73"/>
      <c r="E957" s="82"/>
      <c r="F957" s="82"/>
      <c r="G957" s="82"/>
      <c r="H957" s="86"/>
      <c r="I957" s="86"/>
      <c r="J957" s="82"/>
      <c r="K957" s="82"/>
      <c r="L957" s="82"/>
      <c r="M957" s="82"/>
      <c r="N957" s="82"/>
      <c r="O957" s="82"/>
      <c r="P957" s="82"/>
      <c r="Q957" s="82"/>
      <c r="R957" s="82"/>
      <c r="S957" s="82"/>
      <c r="T957" s="82"/>
      <c r="U957" s="82"/>
      <c r="V957" s="82"/>
      <c r="W957" s="82"/>
      <c r="X957" s="82"/>
      <c r="Y957" s="82"/>
      <c r="Z957" s="82"/>
      <c r="AA957" s="82"/>
      <c r="AB957" s="82"/>
      <c r="AC957" s="82"/>
      <c r="AD957" s="82"/>
      <c r="AE957" s="82"/>
      <c r="AF957" s="82"/>
      <c r="AG957" s="82"/>
      <c r="AH957" s="82"/>
      <c r="AI957" s="82"/>
      <c r="AJ957" s="82"/>
      <c r="AK957" s="82"/>
      <c r="AL957" s="82"/>
      <c r="AM957" s="82"/>
      <c r="AN957" s="82">
        <f>IFERROR(__xludf.DUMMYFUNCTION("""COMPUTED_VALUE"""),0.0)</f>
        <v>0</v>
      </c>
      <c r="AO957" s="82">
        <f>IFERROR(__xludf.DUMMYFUNCTION("""COMPUTED_VALUE"""),0.0)</f>
        <v>0</v>
      </c>
      <c r="AP957" s="82">
        <f>IFERROR(__xludf.DUMMYFUNCTION("""COMPUTED_VALUE"""),0.0)</f>
        <v>0</v>
      </c>
      <c r="AQ957" s="82">
        <f>IFERROR(__xludf.DUMMYFUNCTION("""COMPUTED_VALUE"""),0.0)</f>
        <v>0</v>
      </c>
      <c r="AR957" s="82">
        <f>IFERROR(__xludf.DUMMYFUNCTION("""COMPUTED_VALUE"""),0.0)</f>
        <v>0</v>
      </c>
      <c r="AS957" s="82"/>
      <c r="AT957" s="82">
        <f>IFERROR(__xludf.DUMMYFUNCTION("""COMPUTED_VALUE"""),0.0)</f>
        <v>0</v>
      </c>
      <c r="AU957" s="82"/>
      <c r="AV957" s="82"/>
      <c r="AW957" s="82" t="str">
        <f t="shared" si="1"/>
        <v/>
      </c>
      <c r="AX957" s="83" t="str">
        <f t="array" ref="AX957">IFERROR(DGET('SBV Import'!A:G,"SBV",{"RSC ID","Tier";B957,A957}))</f>
        <v/>
      </c>
      <c r="AY957" s="82" t="str">
        <f t="shared" si="2"/>
        <v/>
      </c>
      <c r="AZ957" s="82"/>
      <c r="BA957" s="84" t="s">
        <v>152</v>
      </c>
      <c r="BB957" s="84" t="str">
        <f>IFERROR(__xludf.DUMMYFUNCTION("iferror(if(A957="""",,E957&gt;=FILTER(Constants!$F$2:$F$10,Constants!$A$2:$A$10=A957)))"),"")</f>
        <v/>
      </c>
    </row>
    <row r="958">
      <c r="A958" s="80"/>
      <c r="B958" s="73"/>
      <c r="C958" s="73"/>
      <c r="D958" s="73"/>
      <c r="E958" s="82"/>
      <c r="F958" s="82"/>
      <c r="G958" s="82"/>
      <c r="H958" s="86"/>
      <c r="I958" s="86"/>
      <c r="J958" s="82"/>
      <c r="K958" s="82"/>
      <c r="L958" s="82"/>
      <c r="M958" s="82"/>
      <c r="N958" s="82"/>
      <c r="O958" s="82"/>
      <c r="P958" s="82"/>
      <c r="Q958" s="82"/>
      <c r="R958" s="82"/>
      <c r="S958" s="82"/>
      <c r="T958" s="82"/>
      <c r="U958" s="82"/>
      <c r="V958" s="82"/>
      <c r="W958" s="82"/>
      <c r="X958" s="82"/>
      <c r="Y958" s="82"/>
      <c r="Z958" s="82"/>
      <c r="AA958" s="82"/>
      <c r="AB958" s="82"/>
      <c r="AC958" s="82"/>
      <c r="AD958" s="82"/>
      <c r="AE958" s="82"/>
      <c r="AF958" s="82"/>
      <c r="AG958" s="82"/>
      <c r="AH958" s="82"/>
      <c r="AI958" s="82"/>
      <c r="AJ958" s="82"/>
      <c r="AK958" s="82"/>
      <c r="AL958" s="82"/>
      <c r="AM958" s="82"/>
      <c r="AN958" s="82">
        <f>IFERROR(__xludf.DUMMYFUNCTION("""COMPUTED_VALUE"""),0.0)</f>
        <v>0</v>
      </c>
      <c r="AO958" s="82">
        <f>IFERROR(__xludf.DUMMYFUNCTION("""COMPUTED_VALUE"""),0.0)</f>
        <v>0</v>
      </c>
      <c r="AP958" s="82">
        <f>IFERROR(__xludf.DUMMYFUNCTION("""COMPUTED_VALUE"""),0.0)</f>
        <v>0</v>
      </c>
      <c r="AQ958" s="82">
        <f>IFERROR(__xludf.DUMMYFUNCTION("""COMPUTED_VALUE"""),0.0)</f>
        <v>0</v>
      </c>
      <c r="AR958" s="82">
        <f>IFERROR(__xludf.DUMMYFUNCTION("""COMPUTED_VALUE"""),0.0)</f>
        <v>0</v>
      </c>
      <c r="AS958" s="82"/>
      <c r="AT958" s="82">
        <f>IFERROR(__xludf.DUMMYFUNCTION("""COMPUTED_VALUE"""),0.0)</f>
        <v>0</v>
      </c>
      <c r="AU958" s="82"/>
      <c r="AV958" s="82"/>
      <c r="AW958" s="82" t="str">
        <f t="shared" si="1"/>
        <v/>
      </c>
      <c r="AX958" s="83" t="str">
        <f t="array" ref="AX958">IFERROR(DGET('SBV Import'!A:G,"SBV",{"RSC ID","Tier";B958,A958}))</f>
        <v/>
      </c>
      <c r="AY958" s="82" t="str">
        <f t="shared" si="2"/>
        <v/>
      </c>
      <c r="AZ958" s="82"/>
      <c r="BA958" s="84" t="s">
        <v>152</v>
      </c>
      <c r="BB958" s="84" t="str">
        <f>IFERROR(__xludf.DUMMYFUNCTION("iferror(if(A958="""",,E958&gt;=FILTER(Constants!$F$2:$F$10,Constants!$A$2:$A$10=A958)))"),"")</f>
        <v/>
      </c>
    </row>
    <row r="959">
      <c r="A959" s="80"/>
      <c r="B959" s="73"/>
      <c r="C959" s="73"/>
      <c r="D959" s="73"/>
      <c r="E959" s="82"/>
      <c r="F959" s="82"/>
      <c r="G959" s="82"/>
      <c r="H959" s="86"/>
      <c r="I959" s="86"/>
      <c r="J959" s="82"/>
      <c r="K959" s="82"/>
      <c r="L959" s="82"/>
      <c r="M959" s="82"/>
      <c r="N959" s="82"/>
      <c r="O959" s="82"/>
      <c r="P959" s="82"/>
      <c r="Q959" s="82"/>
      <c r="R959" s="82"/>
      <c r="S959" s="82"/>
      <c r="T959" s="82"/>
      <c r="U959" s="82"/>
      <c r="V959" s="82"/>
      <c r="W959" s="82"/>
      <c r="X959" s="82"/>
      <c r="Y959" s="82"/>
      <c r="Z959" s="82"/>
      <c r="AA959" s="82"/>
      <c r="AB959" s="82"/>
      <c r="AC959" s="82"/>
      <c r="AD959" s="82"/>
      <c r="AE959" s="82"/>
      <c r="AF959" s="82"/>
      <c r="AG959" s="82"/>
      <c r="AH959" s="82"/>
      <c r="AI959" s="82"/>
      <c r="AJ959" s="82"/>
      <c r="AK959" s="82"/>
      <c r="AL959" s="82"/>
      <c r="AM959" s="82"/>
      <c r="AN959" s="82">
        <f>IFERROR(__xludf.DUMMYFUNCTION("""COMPUTED_VALUE"""),0.0)</f>
        <v>0</v>
      </c>
      <c r="AO959" s="82">
        <f>IFERROR(__xludf.DUMMYFUNCTION("""COMPUTED_VALUE"""),0.0)</f>
        <v>0</v>
      </c>
      <c r="AP959" s="82">
        <f>IFERROR(__xludf.DUMMYFUNCTION("""COMPUTED_VALUE"""),0.0)</f>
        <v>0</v>
      </c>
      <c r="AQ959" s="82">
        <f>IFERROR(__xludf.DUMMYFUNCTION("""COMPUTED_VALUE"""),0.0)</f>
        <v>0</v>
      </c>
      <c r="AR959" s="82">
        <f>IFERROR(__xludf.DUMMYFUNCTION("""COMPUTED_VALUE"""),0.0)</f>
        <v>0</v>
      </c>
      <c r="AS959" s="82"/>
      <c r="AT959" s="82">
        <f>IFERROR(__xludf.DUMMYFUNCTION("""COMPUTED_VALUE"""),0.0)</f>
        <v>0</v>
      </c>
      <c r="AU959" s="82"/>
      <c r="AV959" s="82"/>
      <c r="AW959" s="82" t="str">
        <f t="shared" si="1"/>
        <v/>
      </c>
      <c r="AX959" s="83" t="str">
        <f t="array" ref="AX959">IFERROR(DGET('SBV Import'!A:G,"SBV",{"RSC ID","Tier";B959,A959}))</f>
        <v/>
      </c>
      <c r="AY959" s="82" t="str">
        <f t="shared" si="2"/>
        <v/>
      </c>
      <c r="AZ959" s="82"/>
      <c r="BA959" s="84" t="s">
        <v>152</v>
      </c>
      <c r="BB959" s="84" t="str">
        <f>IFERROR(__xludf.DUMMYFUNCTION("iferror(if(A959="""",,E959&gt;=FILTER(Constants!$F$2:$F$10,Constants!$A$2:$A$10=A959)))"),"")</f>
        <v/>
      </c>
    </row>
    <row r="960">
      <c r="A960" s="80"/>
      <c r="B960" s="73"/>
      <c r="C960" s="73"/>
      <c r="D960" s="73"/>
      <c r="E960" s="82"/>
      <c r="F960" s="82"/>
      <c r="G960" s="82"/>
      <c r="H960" s="86"/>
      <c r="I960" s="86"/>
      <c r="J960" s="82"/>
      <c r="K960" s="82"/>
      <c r="L960" s="82"/>
      <c r="M960" s="82"/>
      <c r="N960" s="82"/>
      <c r="O960" s="82"/>
      <c r="P960" s="82"/>
      <c r="Q960" s="82"/>
      <c r="R960" s="82"/>
      <c r="S960" s="82"/>
      <c r="T960" s="82"/>
      <c r="U960" s="82"/>
      <c r="V960" s="82"/>
      <c r="W960" s="82"/>
      <c r="X960" s="82"/>
      <c r="Y960" s="82"/>
      <c r="Z960" s="82"/>
      <c r="AA960" s="82"/>
      <c r="AB960" s="82"/>
      <c r="AC960" s="82"/>
      <c r="AD960" s="82"/>
      <c r="AE960" s="82"/>
      <c r="AF960" s="82"/>
      <c r="AG960" s="82"/>
      <c r="AH960" s="82"/>
      <c r="AI960" s="82"/>
      <c r="AJ960" s="82"/>
      <c r="AK960" s="82"/>
      <c r="AL960" s="82"/>
      <c r="AM960" s="82"/>
      <c r="AN960" s="82">
        <f>IFERROR(__xludf.DUMMYFUNCTION("""COMPUTED_VALUE"""),0.0)</f>
        <v>0</v>
      </c>
      <c r="AO960" s="82">
        <f>IFERROR(__xludf.DUMMYFUNCTION("""COMPUTED_VALUE"""),0.0)</f>
        <v>0</v>
      </c>
      <c r="AP960" s="82">
        <f>IFERROR(__xludf.DUMMYFUNCTION("""COMPUTED_VALUE"""),0.0)</f>
        <v>0</v>
      </c>
      <c r="AQ960" s="82">
        <f>IFERROR(__xludf.DUMMYFUNCTION("""COMPUTED_VALUE"""),0.0)</f>
        <v>0</v>
      </c>
      <c r="AR960" s="82">
        <f>IFERROR(__xludf.DUMMYFUNCTION("""COMPUTED_VALUE"""),0.0)</f>
        <v>0</v>
      </c>
      <c r="AS960" s="82"/>
      <c r="AT960" s="82">
        <f>IFERROR(__xludf.DUMMYFUNCTION("""COMPUTED_VALUE"""),0.0)</f>
        <v>0</v>
      </c>
      <c r="AU960" s="82"/>
      <c r="AV960" s="82"/>
      <c r="AW960" s="82" t="str">
        <f t="shared" si="1"/>
        <v/>
      </c>
      <c r="AX960" s="83" t="str">
        <f t="array" ref="AX960">IFERROR(DGET('SBV Import'!A:G,"SBV",{"RSC ID","Tier";B960,A960}))</f>
        <v/>
      </c>
      <c r="AY960" s="82" t="str">
        <f t="shared" si="2"/>
        <v/>
      </c>
      <c r="AZ960" s="82"/>
      <c r="BA960" s="84" t="s">
        <v>152</v>
      </c>
      <c r="BB960" s="84" t="str">
        <f>IFERROR(__xludf.DUMMYFUNCTION("iferror(if(A960="""",,E960&gt;=FILTER(Constants!$F$2:$F$10,Constants!$A$2:$A$10=A960)))"),"")</f>
        <v/>
      </c>
    </row>
    <row r="961">
      <c r="A961" s="80"/>
      <c r="B961" s="73"/>
      <c r="C961" s="73"/>
      <c r="D961" s="73"/>
      <c r="E961" s="82"/>
      <c r="F961" s="82"/>
      <c r="G961" s="82"/>
      <c r="H961" s="86"/>
      <c r="I961" s="86"/>
      <c r="J961" s="82"/>
      <c r="K961" s="82"/>
      <c r="L961" s="82"/>
      <c r="M961" s="82"/>
      <c r="N961" s="82"/>
      <c r="O961" s="82"/>
      <c r="P961" s="82"/>
      <c r="Q961" s="82"/>
      <c r="R961" s="82"/>
      <c r="S961" s="82"/>
      <c r="T961" s="82"/>
      <c r="U961" s="82"/>
      <c r="V961" s="82"/>
      <c r="W961" s="82"/>
      <c r="X961" s="82"/>
      <c r="Y961" s="82"/>
      <c r="Z961" s="82"/>
      <c r="AA961" s="82"/>
      <c r="AB961" s="82"/>
      <c r="AC961" s="82"/>
      <c r="AD961" s="82"/>
      <c r="AE961" s="82"/>
      <c r="AF961" s="82"/>
      <c r="AG961" s="82"/>
      <c r="AH961" s="82"/>
      <c r="AI961" s="82"/>
      <c r="AJ961" s="82"/>
      <c r="AK961" s="82"/>
      <c r="AL961" s="82"/>
      <c r="AM961" s="82"/>
      <c r="AN961" s="82">
        <f>IFERROR(__xludf.DUMMYFUNCTION("""COMPUTED_VALUE"""),0.0)</f>
        <v>0</v>
      </c>
      <c r="AO961" s="82">
        <f>IFERROR(__xludf.DUMMYFUNCTION("""COMPUTED_VALUE"""),0.0)</f>
        <v>0</v>
      </c>
      <c r="AP961" s="82">
        <f>IFERROR(__xludf.DUMMYFUNCTION("""COMPUTED_VALUE"""),0.0)</f>
        <v>0</v>
      </c>
      <c r="AQ961" s="82">
        <f>IFERROR(__xludf.DUMMYFUNCTION("""COMPUTED_VALUE"""),0.0)</f>
        <v>0</v>
      </c>
      <c r="AR961" s="82">
        <f>IFERROR(__xludf.DUMMYFUNCTION("""COMPUTED_VALUE"""),0.0)</f>
        <v>0</v>
      </c>
      <c r="AS961" s="82"/>
      <c r="AT961" s="82">
        <f>IFERROR(__xludf.DUMMYFUNCTION("""COMPUTED_VALUE"""),0.0)</f>
        <v>0</v>
      </c>
      <c r="AU961" s="82"/>
      <c r="AV961" s="82"/>
      <c r="AW961" s="82" t="str">
        <f t="shared" si="1"/>
        <v/>
      </c>
      <c r="AX961" s="83" t="str">
        <f t="array" ref="AX961">IFERROR(DGET('SBV Import'!A:G,"SBV",{"RSC ID","Tier";B961,A961}))</f>
        <v/>
      </c>
      <c r="AY961" s="82" t="str">
        <f t="shared" si="2"/>
        <v/>
      </c>
      <c r="AZ961" s="82"/>
      <c r="BA961" s="84" t="s">
        <v>152</v>
      </c>
      <c r="BB961" s="84" t="str">
        <f>IFERROR(__xludf.DUMMYFUNCTION("iferror(if(A961="""",,E961&gt;=FILTER(Constants!$F$2:$F$10,Constants!$A$2:$A$10=A961)))"),"")</f>
        <v/>
      </c>
    </row>
    <row r="962">
      <c r="A962" s="80"/>
      <c r="B962" s="73"/>
      <c r="C962" s="73"/>
      <c r="D962" s="73"/>
      <c r="E962" s="82"/>
      <c r="F962" s="82"/>
      <c r="G962" s="82"/>
      <c r="H962" s="86"/>
      <c r="I962" s="86"/>
      <c r="J962" s="82"/>
      <c r="K962" s="82"/>
      <c r="L962" s="82"/>
      <c r="M962" s="82"/>
      <c r="N962" s="82"/>
      <c r="O962" s="82"/>
      <c r="P962" s="82"/>
      <c r="Q962" s="82"/>
      <c r="R962" s="82"/>
      <c r="S962" s="82"/>
      <c r="T962" s="82"/>
      <c r="U962" s="82"/>
      <c r="V962" s="82"/>
      <c r="W962" s="82"/>
      <c r="X962" s="82"/>
      <c r="Y962" s="82"/>
      <c r="Z962" s="82"/>
      <c r="AA962" s="82"/>
      <c r="AB962" s="82"/>
      <c r="AC962" s="82"/>
      <c r="AD962" s="82"/>
      <c r="AE962" s="82"/>
      <c r="AF962" s="82"/>
      <c r="AG962" s="82"/>
      <c r="AH962" s="82"/>
      <c r="AI962" s="82"/>
      <c r="AJ962" s="82"/>
      <c r="AK962" s="82"/>
      <c r="AL962" s="82"/>
      <c r="AM962" s="82"/>
      <c r="AN962" s="82">
        <f>IFERROR(__xludf.DUMMYFUNCTION("""COMPUTED_VALUE"""),0.0)</f>
        <v>0</v>
      </c>
      <c r="AO962" s="82">
        <f>IFERROR(__xludf.DUMMYFUNCTION("""COMPUTED_VALUE"""),0.0)</f>
        <v>0</v>
      </c>
      <c r="AP962" s="82">
        <f>IFERROR(__xludf.DUMMYFUNCTION("""COMPUTED_VALUE"""),0.0)</f>
        <v>0</v>
      </c>
      <c r="AQ962" s="82">
        <f>IFERROR(__xludf.DUMMYFUNCTION("""COMPUTED_VALUE"""),0.0)</f>
        <v>0</v>
      </c>
      <c r="AR962" s="82">
        <f>IFERROR(__xludf.DUMMYFUNCTION("""COMPUTED_VALUE"""),0.0)</f>
        <v>0</v>
      </c>
      <c r="AS962" s="82"/>
      <c r="AT962" s="82">
        <f>IFERROR(__xludf.DUMMYFUNCTION("""COMPUTED_VALUE"""),0.0)</f>
        <v>0</v>
      </c>
      <c r="AU962" s="82"/>
      <c r="AV962" s="82"/>
      <c r="AW962" s="82" t="str">
        <f t="shared" si="1"/>
        <v/>
      </c>
      <c r="AX962" s="83" t="str">
        <f t="array" ref="AX962">IFERROR(DGET('SBV Import'!A:G,"SBV",{"RSC ID","Tier";B962,A962}))</f>
        <v/>
      </c>
      <c r="AY962" s="82" t="str">
        <f t="shared" si="2"/>
        <v/>
      </c>
      <c r="AZ962" s="82"/>
      <c r="BA962" s="84" t="s">
        <v>152</v>
      </c>
      <c r="BB962" s="84" t="str">
        <f>IFERROR(__xludf.DUMMYFUNCTION("iferror(if(A962="""",,E962&gt;=FILTER(Constants!$F$2:$F$10,Constants!$A$2:$A$10=A962)))"),"")</f>
        <v/>
      </c>
    </row>
    <row r="963">
      <c r="A963" s="80"/>
      <c r="B963" s="73"/>
      <c r="C963" s="73"/>
      <c r="D963" s="73"/>
      <c r="E963" s="82"/>
      <c r="F963" s="82"/>
      <c r="G963" s="82"/>
      <c r="H963" s="86"/>
      <c r="I963" s="86"/>
      <c r="J963" s="82"/>
      <c r="K963" s="82"/>
      <c r="L963" s="82"/>
      <c r="M963" s="82"/>
      <c r="N963" s="82"/>
      <c r="O963" s="82"/>
      <c r="P963" s="82"/>
      <c r="Q963" s="82"/>
      <c r="R963" s="82"/>
      <c r="S963" s="82"/>
      <c r="T963" s="82"/>
      <c r="U963" s="82"/>
      <c r="V963" s="82"/>
      <c r="W963" s="82"/>
      <c r="X963" s="82"/>
      <c r="Y963" s="82"/>
      <c r="Z963" s="82"/>
      <c r="AA963" s="82"/>
      <c r="AB963" s="82"/>
      <c r="AC963" s="82"/>
      <c r="AD963" s="82"/>
      <c r="AE963" s="82"/>
      <c r="AF963" s="82"/>
      <c r="AG963" s="82"/>
      <c r="AH963" s="82"/>
      <c r="AI963" s="82"/>
      <c r="AJ963" s="82"/>
      <c r="AK963" s="82"/>
      <c r="AL963" s="82"/>
      <c r="AM963" s="82"/>
      <c r="AN963" s="82">
        <f>IFERROR(__xludf.DUMMYFUNCTION("""COMPUTED_VALUE"""),0.0)</f>
        <v>0</v>
      </c>
      <c r="AO963" s="82">
        <f>IFERROR(__xludf.DUMMYFUNCTION("""COMPUTED_VALUE"""),0.0)</f>
        <v>0</v>
      </c>
      <c r="AP963" s="82">
        <f>IFERROR(__xludf.DUMMYFUNCTION("""COMPUTED_VALUE"""),0.0)</f>
        <v>0</v>
      </c>
      <c r="AQ963" s="82">
        <f>IFERROR(__xludf.DUMMYFUNCTION("""COMPUTED_VALUE"""),0.0)</f>
        <v>0</v>
      </c>
      <c r="AR963" s="82">
        <f>IFERROR(__xludf.DUMMYFUNCTION("""COMPUTED_VALUE"""),0.0)</f>
        <v>0</v>
      </c>
      <c r="AS963" s="82"/>
      <c r="AT963" s="82">
        <f>IFERROR(__xludf.DUMMYFUNCTION("""COMPUTED_VALUE"""),0.0)</f>
        <v>0</v>
      </c>
      <c r="AU963" s="82"/>
      <c r="AV963" s="82"/>
      <c r="AW963" s="82" t="str">
        <f t="shared" si="1"/>
        <v/>
      </c>
      <c r="AX963" s="83" t="str">
        <f t="array" ref="AX963">IFERROR(DGET('SBV Import'!A:G,"SBV",{"RSC ID","Tier";B963,A963}))</f>
        <v/>
      </c>
      <c r="AY963" s="82" t="str">
        <f t="shared" si="2"/>
        <v/>
      </c>
      <c r="AZ963" s="82"/>
      <c r="BA963" s="84" t="s">
        <v>152</v>
      </c>
      <c r="BB963" s="84" t="str">
        <f>IFERROR(__xludf.DUMMYFUNCTION("iferror(if(A963="""",,E963&gt;=FILTER(Constants!$F$2:$F$10,Constants!$A$2:$A$10=A963)))"),"")</f>
        <v/>
      </c>
    </row>
    <row r="964">
      <c r="A964" s="80"/>
      <c r="B964" s="73"/>
      <c r="C964" s="73"/>
      <c r="D964" s="73"/>
      <c r="E964" s="82"/>
      <c r="F964" s="82"/>
      <c r="G964" s="82"/>
      <c r="H964" s="86"/>
      <c r="I964" s="86"/>
      <c r="J964" s="82"/>
      <c r="K964" s="82"/>
      <c r="L964" s="82"/>
      <c r="M964" s="82"/>
      <c r="N964" s="82"/>
      <c r="O964" s="82"/>
      <c r="P964" s="82"/>
      <c r="Q964" s="82"/>
      <c r="R964" s="82"/>
      <c r="S964" s="82"/>
      <c r="T964" s="82"/>
      <c r="U964" s="82"/>
      <c r="V964" s="82"/>
      <c r="W964" s="82"/>
      <c r="X964" s="82"/>
      <c r="Y964" s="82"/>
      <c r="Z964" s="82"/>
      <c r="AA964" s="82"/>
      <c r="AB964" s="82"/>
      <c r="AC964" s="82"/>
      <c r="AD964" s="82"/>
      <c r="AE964" s="82"/>
      <c r="AF964" s="82"/>
      <c r="AG964" s="82"/>
      <c r="AH964" s="82"/>
      <c r="AI964" s="82"/>
      <c r="AJ964" s="82"/>
      <c r="AK964" s="82"/>
      <c r="AL964" s="82"/>
      <c r="AM964" s="82"/>
      <c r="AN964" s="82">
        <f>IFERROR(__xludf.DUMMYFUNCTION("""COMPUTED_VALUE"""),0.0)</f>
        <v>0</v>
      </c>
      <c r="AO964" s="82">
        <f>IFERROR(__xludf.DUMMYFUNCTION("""COMPUTED_VALUE"""),0.0)</f>
        <v>0</v>
      </c>
      <c r="AP964" s="82">
        <f>IFERROR(__xludf.DUMMYFUNCTION("""COMPUTED_VALUE"""),0.0)</f>
        <v>0</v>
      </c>
      <c r="AQ964" s="82">
        <f>IFERROR(__xludf.DUMMYFUNCTION("""COMPUTED_VALUE"""),0.0)</f>
        <v>0</v>
      </c>
      <c r="AR964" s="82">
        <f>IFERROR(__xludf.DUMMYFUNCTION("""COMPUTED_VALUE"""),0.0)</f>
        <v>0</v>
      </c>
      <c r="AS964" s="82"/>
      <c r="AT964" s="82">
        <f>IFERROR(__xludf.DUMMYFUNCTION("""COMPUTED_VALUE"""),0.0)</f>
        <v>0</v>
      </c>
      <c r="AU964" s="82"/>
      <c r="AV964" s="82"/>
      <c r="AW964" s="82" t="str">
        <f t="shared" si="1"/>
        <v/>
      </c>
      <c r="AX964" s="83" t="str">
        <f t="array" ref="AX964">IFERROR(DGET('SBV Import'!A:G,"SBV",{"RSC ID","Tier";B964,A964}))</f>
        <v/>
      </c>
      <c r="AY964" s="82" t="str">
        <f t="shared" si="2"/>
        <v/>
      </c>
      <c r="AZ964" s="82"/>
      <c r="BA964" s="84" t="s">
        <v>152</v>
      </c>
      <c r="BB964" s="84" t="str">
        <f>IFERROR(__xludf.DUMMYFUNCTION("iferror(if(A964="""",,E964&gt;=FILTER(Constants!$F$2:$F$10,Constants!$A$2:$A$10=A964)))"),"")</f>
        <v/>
      </c>
    </row>
    <row r="965">
      <c r="A965" s="80"/>
      <c r="B965" s="73"/>
      <c r="C965" s="73"/>
      <c r="D965" s="73"/>
      <c r="E965" s="82"/>
      <c r="F965" s="82"/>
      <c r="G965" s="82"/>
      <c r="H965" s="86"/>
      <c r="I965" s="86"/>
      <c r="J965" s="82"/>
      <c r="K965" s="82"/>
      <c r="L965" s="82"/>
      <c r="M965" s="82"/>
      <c r="N965" s="82"/>
      <c r="O965" s="82"/>
      <c r="P965" s="82"/>
      <c r="Q965" s="82"/>
      <c r="R965" s="82"/>
      <c r="S965" s="82"/>
      <c r="T965" s="82"/>
      <c r="U965" s="82"/>
      <c r="V965" s="82"/>
      <c r="W965" s="82"/>
      <c r="X965" s="82"/>
      <c r="Y965" s="82"/>
      <c r="Z965" s="82"/>
      <c r="AA965" s="82"/>
      <c r="AB965" s="82"/>
      <c r="AC965" s="82"/>
      <c r="AD965" s="82"/>
      <c r="AE965" s="82"/>
      <c r="AF965" s="82"/>
      <c r="AG965" s="82"/>
      <c r="AH965" s="82"/>
      <c r="AI965" s="82"/>
      <c r="AJ965" s="82"/>
      <c r="AK965" s="82"/>
      <c r="AL965" s="82"/>
      <c r="AM965" s="82"/>
      <c r="AN965" s="82">
        <f>IFERROR(__xludf.DUMMYFUNCTION("""COMPUTED_VALUE"""),0.0)</f>
        <v>0</v>
      </c>
      <c r="AO965" s="82">
        <f>IFERROR(__xludf.DUMMYFUNCTION("""COMPUTED_VALUE"""),0.0)</f>
        <v>0</v>
      </c>
      <c r="AP965" s="82">
        <f>IFERROR(__xludf.DUMMYFUNCTION("""COMPUTED_VALUE"""),0.0)</f>
        <v>0</v>
      </c>
      <c r="AQ965" s="82">
        <f>IFERROR(__xludf.DUMMYFUNCTION("""COMPUTED_VALUE"""),0.0)</f>
        <v>0</v>
      </c>
      <c r="AR965" s="82">
        <f>IFERROR(__xludf.DUMMYFUNCTION("""COMPUTED_VALUE"""),0.0)</f>
        <v>0</v>
      </c>
      <c r="AS965" s="82"/>
      <c r="AT965" s="82">
        <f>IFERROR(__xludf.DUMMYFUNCTION("""COMPUTED_VALUE"""),0.0)</f>
        <v>0</v>
      </c>
      <c r="AU965" s="82"/>
      <c r="AV965" s="82"/>
      <c r="AW965" s="82" t="str">
        <f t="shared" si="1"/>
        <v/>
      </c>
      <c r="AX965" s="83" t="str">
        <f t="array" ref="AX965">IFERROR(DGET('SBV Import'!A:G,"SBV",{"RSC ID","Tier";B965,A965}))</f>
        <v/>
      </c>
      <c r="AY965" s="82" t="str">
        <f t="shared" si="2"/>
        <v/>
      </c>
      <c r="AZ965" s="82"/>
      <c r="BA965" s="84" t="s">
        <v>152</v>
      </c>
      <c r="BB965" s="84" t="str">
        <f>IFERROR(__xludf.DUMMYFUNCTION("iferror(if(A965="""",,E965&gt;=FILTER(Constants!$F$2:$F$10,Constants!$A$2:$A$10=A965)))"),"")</f>
        <v/>
      </c>
    </row>
    <row r="966">
      <c r="A966" s="80"/>
      <c r="B966" s="73"/>
      <c r="C966" s="73"/>
      <c r="D966" s="73"/>
      <c r="E966" s="82"/>
      <c r="F966" s="82"/>
      <c r="G966" s="82"/>
      <c r="H966" s="86"/>
      <c r="I966" s="86"/>
      <c r="J966" s="82"/>
      <c r="K966" s="82"/>
      <c r="L966" s="82"/>
      <c r="M966" s="82"/>
      <c r="N966" s="82"/>
      <c r="O966" s="82"/>
      <c r="P966" s="82"/>
      <c r="Q966" s="82"/>
      <c r="R966" s="82"/>
      <c r="S966" s="82"/>
      <c r="T966" s="82"/>
      <c r="U966" s="82"/>
      <c r="V966" s="82"/>
      <c r="W966" s="82"/>
      <c r="X966" s="82"/>
      <c r="Y966" s="82"/>
      <c r="Z966" s="82"/>
      <c r="AA966" s="82"/>
      <c r="AB966" s="82"/>
      <c r="AC966" s="82"/>
      <c r="AD966" s="82"/>
      <c r="AE966" s="82"/>
      <c r="AF966" s="82"/>
      <c r="AG966" s="82"/>
      <c r="AH966" s="82"/>
      <c r="AI966" s="82"/>
      <c r="AJ966" s="82"/>
      <c r="AK966" s="82"/>
      <c r="AL966" s="82"/>
      <c r="AM966" s="82"/>
      <c r="AN966" s="82">
        <f>IFERROR(__xludf.DUMMYFUNCTION("""COMPUTED_VALUE"""),0.0)</f>
        <v>0</v>
      </c>
      <c r="AO966" s="82">
        <f>IFERROR(__xludf.DUMMYFUNCTION("""COMPUTED_VALUE"""),0.0)</f>
        <v>0</v>
      </c>
      <c r="AP966" s="82">
        <f>IFERROR(__xludf.DUMMYFUNCTION("""COMPUTED_VALUE"""),0.0)</f>
        <v>0</v>
      </c>
      <c r="AQ966" s="82">
        <f>IFERROR(__xludf.DUMMYFUNCTION("""COMPUTED_VALUE"""),0.0)</f>
        <v>0</v>
      </c>
      <c r="AR966" s="82">
        <f>IFERROR(__xludf.DUMMYFUNCTION("""COMPUTED_VALUE"""),0.0)</f>
        <v>0</v>
      </c>
      <c r="AS966" s="82"/>
      <c r="AT966" s="82">
        <f>IFERROR(__xludf.DUMMYFUNCTION("""COMPUTED_VALUE"""),0.0)</f>
        <v>0</v>
      </c>
      <c r="AU966" s="82"/>
      <c r="AV966" s="82"/>
      <c r="AW966" s="82" t="str">
        <f t="shared" si="1"/>
        <v/>
      </c>
      <c r="AX966" s="83" t="str">
        <f t="array" ref="AX966">IFERROR(DGET('SBV Import'!A:G,"SBV",{"RSC ID","Tier";B966,A966}))</f>
        <v/>
      </c>
      <c r="AY966" s="82" t="str">
        <f t="shared" si="2"/>
        <v/>
      </c>
      <c r="AZ966" s="82"/>
      <c r="BA966" s="84" t="s">
        <v>152</v>
      </c>
      <c r="BB966" s="84" t="str">
        <f>IFERROR(__xludf.DUMMYFUNCTION("iferror(if(A966="""",,E966&gt;=FILTER(Constants!$F$2:$F$10,Constants!$A$2:$A$10=A966)))"),"")</f>
        <v/>
      </c>
    </row>
    <row r="967">
      <c r="A967" s="80"/>
      <c r="B967" s="73"/>
      <c r="C967" s="73"/>
      <c r="D967" s="73"/>
      <c r="E967" s="82"/>
      <c r="F967" s="82"/>
      <c r="G967" s="82"/>
      <c r="H967" s="86"/>
      <c r="I967" s="86"/>
      <c r="J967" s="82"/>
      <c r="K967" s="82"/>
      <c r="L967" s="82"/>
      <c r="M967" s="82"/>
      <c r="N967" s="82"/>
      <c r="O967" s="82"/>
      <c r="P967" s="82"/>
      <c r="Q967" s="82"/>
      <c r="R967" s="82"/>
      <c r="S967" s="82"/>
      <c r="T967" s="82"/>
      <c r="U967" s="82"/>
      <c r="V967" s="82"/>
      <c r="W967" s="82"/>
      <c r="X967" s="82"/>
      <c r="Y967" s="82"/>
      <c r="Z967" s="82"/>
      <c r="AA967" s="82"/>
      <c r="AB967" s="82"/>
      <c r="AC967" s="82"/>
      <c r="AD967" s="82"/>
      <c r="AE967" s="82"/>
      <c r="AF967" s="82"/>
      <c r="AG967" s="82"/>
      <c r="AH967" s="82"/>
      <c r="AI967" s="82"/>
      <c r="AJ967" s="82"/>
      <c r="AK967" s="82"/>
      <c r="AL967" s="82"/>
      <c r="AM967" s="82"/>
      <c r="AN967" s="82">
        <f>IFERROR(__xludf.DUMMYFUNCTION("""COMPUTED_VALUE"""),0.0)</f>
        <v>0</v>
      </c>
      <c r="AO967" s="82">
        <f>IFERROR(__xludf.DUMMYFUNCTION("""COMPUTED_VALUE"""),0.0)</f>
        <v>0</v>
      </c>
      <c r="AP967" s="82">
        <f>IFERROR(__xludf.DUMMYFUNCTION("""COMPUTED_VALUE"""),0.0)</f>
        <v>0</v>
      </c>
      <c r="AQ967" s="82">
        <f>IFERROR(__xludf.DUMMYFUNCTION("""COMPUTED_VALUE"""),0.0)</f>
        <v>0</v>
      </c>
      <c r="AR967" s="82">
        <f>IFERROR(__xludf.DUMMYFUNCTION("""COMPUTED_VALUE"""),0.0)</f>
        <v>0</v>
      </c>
      <c r="AS967" s="82"/>
      <c r="AT967" s="82">
        <f>IFERROR(__xludf.DUMMYFUNCTION("""COMPUTED_VALUE"""),0.0)</f>
        <v>0</v>
      </c>
      <c r="AU967" s="82"/>
      <c r="AV967" s="82"/>
      <c r="AW967" s="82" t="str">
        <f t="shared" si="1"/>
        <v/>
      </c>
      <c r="AX967" s="83" t="str">
        <f t="array" ref="AX967">IFERROR(DGET('SBV Import'!A:G,"SBV",{"RSC ID","Tier";B967,A967}))</f>
        <v/>
      </c>
      <c r="AY967" s="82" t="str">
        <f t="shared" si="2"/>
        <v/>
      </c>
      <c r="AZ967" s="82"/>
      <c r="BA967" s="84" t="s">
        <v>152</v>
      </c>
      <c r="BB967" s="84" t="str">
        <f>IFERROR(__xludf.DUMMYFUNCTION("iferror(if(A967="""",,E967&gt;=FILTER(Constants!$F$2:$F$10,Constants!$A$2:$A$10=A967)))"),"")</f>
        <v/>
      </c>
    </row>
    <row r="968">
      <c r="A968" s="80"/>
      <c r="B968" s="73"/>
      <c r="C968" s="73"/>
      <c r="D968" s="73"/>
      <c r="E968" s="82"/>
      <c r="F968" s="82"/>
      <c r="G968" s="82"/>
      <c r="H968" s="86"/>
      <c r="I968" s="86"/>
      <c r="J968" s="82"/>
      <c r="K968" s="82"/>
      <c r="L968" s="82"/>
      <c r="M968" s="82"/>
      <c r="N968" s="82"/>
      <c r="O968" s="82"/>
      <c r="P968" s="82"/>
      <c r="Q968" s="82"/>
      <c r="R968" s="82"/>
      <c r="S968" s="82"/>
      <c r="T968" s="82"/>
      <c r="U968" s="82"/>
      <c r="V968" s="82"/>
      <c r="W968" s="82"/>
      <c r="X968" s="82"/>
      <c r="Y968" s="82"/>
      <c r="Z968" s="82"/>
      <c r="AA968" s="82"/>
      <c r="AB968" s="82"/>
      <c r="AC968" s="82"/>
      <c r="AD968" s="82"/>
      <c r="AE968" s="82"/>
      <c r="AF968" s="82"/>
      <c r="AG968" s="82"/>
      <c r="AH968" s="82"/>
      <c r="AI968" s="82"/>
      <c r="AJ968" s="82"/>
      <c r="AK968" s="82"/>
      <c r="AL968" s="82"/>
      <c r="AM968" s="82"/>
      <c r="AN968" s="82">
        <f>IFERROR(__xludf.DUMMYFUNCTION("""COMPUTED_VALUE"""),0.0)</f>
        <v>0</v>
      </c>
      <c r="AO968" s="82">
        <f>IFERROR(__xludf.DUMMYFUNCTION("""COMPUTED_VALUE"""),0.0)</f>
        <v>0</v>
      </c>
      <c r="AP968" s="82">
        <f>IFERROR(__xludf.DUMMYFUNCTION("""COMPUTED_VALUE"""),0.0)</f>
        <v>0</v>
      </c>
      <c r="AQ968" s="82">
        <f>IFERROR(__xludf.DUMMYFUNCTION("""COMPUTED_VALUE"""),0.0)</f>
        <v>0</v>
      </c>
      <c r="AR968" s="82">
        <f>IFERROR(__xludf.DUMMYFUNCTION("""COMPUTED_VALUE"""),0.0)</f>
        <v>0</v>
      </c>
      <c r="AS968" s="82"/>
      <c r="AT968" s="82">
        <f>IFERROR(__xludf.DUMMYFUNCTION("""COMPUTED_VALUE"""),0.0)</f>
        <v>0</v>
      </c>
      <c r="AU968" s="82"/>
      <c r="AV968" s="82"/>
      <c r="AW968" s="82" t="str">
        <f t="shared" si="1"/>
        <v/>
      </c>
      <c r="AX968" s="83" t="str">
        <f t="array" ref="AX968">IFERROR(DGET('SBV Import'!A:G,"SBV",{"RSC ID","Tier";B968,A968}))</f>
        <v/>
      </c>
      <c r="AY968" s="82" t="str">
        <f t="shared" si="2"/>
        <v/>
      </c>
      <c r="AZ968" s="82"/>
      <c r="BA968" s="84" t="s">
        <v>152</v>
      </c>
      <c r="BB968" s="84" t="str">
        <f>IFERROR(__xludf.DUMMYFUNCTION("iferror(if(A968="""",,E968&gt;=FILTER(Constants!$F$2:$F$10,Constants!$A$2:$A$10=A968)))"),"")</f>
        <v/>
      </c>
    </row>
    <row r="969">
      <c r="A969" s="80"/>
      <c r="B969" s="73"/>
      <c r="C969" s="73"/>
      <c r="D969" s="73"/>
      <c r="E969" s="82"/>
      <c r="F969" s="82"/>
      <c r="G969" s="82"/>
      <c r="H969" s="86"/>
      <c r="I969" s="86"/>
      <c r="J969" s="82"/>
      <c r="K969" s="82"/>
      <c r="L969" s="82"/>
      <c r="M969" s="82"/>
      <c r="N969" s="82"/>
      <c r="O969" s="82"/>
      <c r="P969" s="82"/>
      <c r="Q969" s="82"/>
      <c r="R969" s="82"/>
      <c r="S969" s="82"/>
      <c r="T969" s="82"/>
      <c r="U969" s="82"/>
      <c r="V969" s="82"/>
      <c r="W969" s="82"/>
      <c r="X969" s="82"/>
      <c r="Y969" s="82"/>
      <c r="Z969" s="82"/>
      <c r="AA969" s="82"/>
      <c r="AB969" s="82"/>
      <c r="AC969" s="82"/>
      <c r="AD969" s="82"/>
      <c r="AE969" s="82"/>
      <c r="AF969" s="82"/>
      <c r="AG969" s="82"/>
      <c r="AH969" s="82"/>
      <c r="AI969" s="82"/>
      <c r="AJ969" s="82"/>
      <c r="AK969" s="82"/>
      <c r="AL969" s="82"/>
      <c r="AM969" s="82"/>
      <c r="AN969" s="82">
        <f>IFERROR(__xludf.DUMMYFUNCTION("""COMPUTED_VALUE"""),0.0)</f>
        <v>0</v>
      </c>
      <c r="AO969" s="82">
        <f>IFERROR(__xludf.DUMMYFUNCTION("""COMPUTED_VALUE"""),0.0)</f>
        <v>0</v>
      </c>
      <c r="AP969" s="82">
        <f>IFERROR(__xludf.DUMMYFUNCTION("""COMPUTED_VALUE"""),0.0)</f>
        <v>0</v>
      </c>
      <c r="AQ969" s="82">
        <f>IFERROR(__xludf.DUMMYFUNCTION("""COMPUTED_VALUE"""),0.0)</f>
        <v>0</v>
      </c>
      <c r="AR969" s="82">
        <f>IFERROR(__xludf.DUMMYFUNCTION("""COMPUTED_VALUE"""),0.0)</f>
        <v>0</v>
      </c>
      <c r="AS969" s="82"/>
      <c r="AT969" s="82">
        <f>IFERROR(__xludf.DUMMYFUNCTION("""COMPUTED_VALUE"""),0.0)</f>
        <v>0</v>
      </c>
      <c r="AU969" s="82"/>
      <c r="AV969" s="82"/>
      <c r="AW969" s="82" t="str">
        <f t="shared" si="1"/>
        <v/>
      </c>
      <c r="AX969" s="83" t="str">
        <f t="array" ref="AX969">IFERROR(DGET('SBV Import'!A:G,"SBV",{"RSC ID","Tier";B969,A969}))</f>
        <v/>
      </c>
      <c r="AY969" s="82" t="str">
        <f t="shared" si="2"/>
        <v/>
      </c>
      <c r="AZ969" s="82"/>
      <c r="BA969" s="84" t="s">
        <v>152</v>
      </c>
      <c r="BB969" s="84" t="str">
        <f>IFERROR(__xludf.DUMMYFUNCTION("iferror(if(A969="""",,E969&gt;=FILTER(Constants!$F$2:$F$10,Constants!$A$2:$A$10=A969)))"),"")</f>
        <v/>
      </c>
    </row>
    <row r="970">
      <c r="A970" s="80"/>
      <c r="B970" s="73"/>
      <c r="C970" s="73"/>
      <c r="D970" s="73"/>
      <c r="E970" s="82"/>
      <c r="F970" s="82"/>
      <c r="G970" s="82"/>
      <c r="H970" s="86"/>
      <c r="I970" s="86"/>
      <c r="J970" s="82"/>
      <c r="K970" s="82"/>
      <c r="L970" s="82"/>
      <c r="M970" s="82"/>
      <c r="N970" s="82"/>
      <c r="O970" s="82"/>
      <c r="P970" s="82"/>
      <c r="Q970" s="82"/>
      <c r="R970" s="82"/>
      <c r="S970" s="82"/>
      <c r="T970" s="82"/>
      <c r="U970" s="82"/>
      <c r="V970" s="82"/>
      <c r="W970" s="82"/>
      <c r="X970" s="82"/>
      <c r="Y970" s="82"/>
      <c r="Z970" s="82"/>
      <c r="AA970" s="82"/>
      <c r="AB970" s="82"/>
      <c r="AC970" s="82"/>
      <c r="AD970" s="82"/>
      <c r="AE970" s="82"/>
      <c r="AF970" s="82"/>
      <c r="AG970" s="82"/>
      <c r="AH970" s="82"/>
      <c r="AI970" s="82"/>
      <c r="AJ970" s="82"/>
      <c r="AK970" s="82"/>
      <c r="AL970" s="82"/>
      <c r="AM970" s="82"/>
      <c r="AN970" s="82">
        <f>IFERROR(__xludf.DUMMYFUNCTION("""COMPUTED_VALUE"""),0.0)</f>
        <v>0</v>
      </c>
      <c r="AO970" s="82">
        <f>IFERROR(__xludf.DUMMYFUNCTION("""COMPUTED_VALUE"""),0.0)</f>
        <v>0</v>
      </c>
      <c r="AP970" s="82">
        <f>IFERROR(__xludf.DUMMYFUNCTION("""COMPUTED_VALUE"""),0.0)</f>
        <v>0</v>
      </c>
      <c r="AQ970" s="82">
        <f>IFERROR(__xludf.DUMMYFUNCTION("""COMPUTED_VALUE"""),0.0)</f>
        <v>0</v>
      </c>
      <c r="AR970" s="82">
        <f>IFERROR(__xludf.DUMMYFUNCTION("""COMPUTED_VALUE"""),0.0)</f>
        <v>0</v>
      </c>
      <c r="AS970" s="82"/>
      <c r="AT970" s="82">
        <f>IFERROR(__xludf.DUMMYFUNCTION("""COMPUTED_VALUE"""),0.0)</f>
        <v>0</v>
      </c>
      <c r="AU970" s="82"/>
      <c r="AV970" s="82"/>
      <c r="AW970" s="82" t="str">
        <f t="shared" si="1"/>
        <v/>
      </c>
      <c r="AX970" s="83" t="str">
        <f t="array" ref="AX970">IFERROR(DGET('SBV Import'!A:G,"SBV",{"RSC ID","Tier";B970,A970}))</f>
        <v/>
      </c>
      <c r="AY970" s="82" t="str">
        <f t="shared" si="2"/>
        <v/>
      </c>
      <c r="AZ970" s="82"/>
      <c r="BA970" s="84" t="s">
        <v>152</v>
      </c>
      <c r="BB970" s="84" t="str">
        <f>IFERROR(__xludf.DUMMYFUNCTION("iferror(if(A970="""",,E970&gt;=FILTER(Constants!$F$2:$F$10,Constants!$A$2:$A$10=A970)))"),"")</f>
        <v/>
      </c>
    </row>
    <row r="971">
      <c r="A971" s="80"/>
      <c r="B971" s="73"/>
      <c r="C971" s="73"/>
      <c r="D971" s="73"/>
      <c r="E971" s="82"/>
      <c r="F971" s="82"/>
      <c r="G971" s="82"/>
      <c r="H971" s="86"/>
      <c r="I971" s="86"/>
      <c r="J971" s="82"/>
      <c r="K971" s="82"/>
      <c r="L971" s="82"/>
      <c r="M971" s="82"/>
      <c r="N971" s="82"/>
      <c r="O971" s="82"/>
      <c r="P971" s="82"/>
      <c r="Q971" s="82"/>
      <c r="R971" s="82"/>
      <c r="S971" s="82"/>
      <c r="T971" s="82"/>
      <c r="U971" s="82"/>
      <c r="V971" s="82"/>
      <c r="W971" s="82"/>
      <c r="X971" s="82"/>
      <c r="Y971" s="82"/>
      <c r="Z971" s="82"/>
      <c r="AA971" s="82"/>
      <c r="AB971" s="82"/>
      <c r="AC971" s="82"/>
      <c r="AD971" s="82"/>
      <c r="AE971" s="82"/>
      <c r="AF971" s="82"/>
      <c r="AG971" s="82"/>
      <c r="AH971" s="82"/>
      <c r="AI971" s="82"/>
      <c r="AJ971" s="82"/>
      <c r="AK971" s="82"/>
      <c r="AL971" s="82"/>
      <c r="AM971" s="82"/>
      <c r="AN971" s="82">
        <f>IFERROR(__xludf.DUMMYFUNCTION("""COMPUTED_VALUE"""),0.0)</f>
        <v>0</v>
      </c>
      <c r="AO971" s="82">
        <f>IFERROR(__xludf.DUMMYFUNCTION("""COMPUTED_VALUE"""),0.0)</f>
        <v>0</v>
      </c>
      <c r="AP971" s="82">
        <f>IFERROR(__xludf.DUMMYFUNCTION("""COMPUTED_VALUE"""),0.0)</f>
        <v>0</v>
      </c>
      <c r="AQ971" s="82">
        <f>IFERROR(__xludf.DUMMYFUNCTION("""COMPUTED_VALUE"""),0.0)</f>
        <v>0</v>
      </c>
      <c r="AR971" s="82">
        <f>IFERROR(__xludf.DUMMYFUNCTION("""COMPUTED_VALUE"""),0.0)</f>
        <v>0</v>
      </c>
      <c r="AS971" s="82"/>
      <c r="AT971" s="82">
        <f>IFERROR(__xludf.DUMMYFUNCTION("""COMPUTED_VALUE"""),0.0)</f>
        <v>0</v>
      </c>
      <c r="AU971" s="82"/>
      <c r="AV971" s="82"/>
      <c r="AW971" s="82" t="str">
        <f t="shared" si="1"/>
        <v/>
      </c>
      <c r="AX971" s="83" t="str">
        <f t="array" ref="AX971">IFERROR(DGET('SBV Import'!A:G,"SBV",{"RSC ID","Tier";B971,A971}))</f>
        <v/>
      </c>
      <c r="AY971" s="82" t="str">
        <f t="shared" si="2"/>
        <v/>
      </c>
      <c r="AZ971" s="82"/>
      <c r="BA971" s="84" t="s">
        <v>152</v>
      </c>
      <c r="BB971" s="84" t="str">
        <f>IFERROR(__xludf.DUMMYFUNCTION("iferror(if(A971="""",,E971&gt;=FILTER(Constants!$F$2:$F$10,Constants!$A$2:$A$10=A971)))"),"")</f>
        <v/>
      </c>
    </row>
    <row r="972">
      <c r="A972" s="80"/>
      <c r="B972" s="73"/>
      <c r="C972" s="73"/>
      <c r="D972" s="73"/>
      <c r="E972" s="82"/>
      <c r="F972" s="82"/>
      <c r="G972" s="82"/>
      <c r="H972" s="86"/>
      <c r="I972" s="86"/>
      <c r="J972" s="82"/>
      <c r="K972" s="82"/>
      <c r="L972" s="82"/>
      <c r="M972" s="82"/>
      <c r="N972" s="82"/>
      <c r="O972" s="82"/>
      <c r="P972" s="82"/>
      <c r="Q972" s="82"/>
      <c r="R972" s="82"/>
      <c r="S972" s="82"/>
      <c r="T972" s="82"/>
      <c r="U972" s="82"/>
      <c r="V972" s="82"/>
      <c r="W972" s="82"/>
      <c r="X972" s="82"/>
      <c r="Y972" s="82"/>
      <c r="Z972" s="82"/>
      <c r="AA972" s="82"/>
      <c r="AB972" s="82"/>
      <c r="AC972" s="82"/>
      <c r="AD972" s="82"/>
      <c r="AE972" s="82"/>
      <c r="AF972" s="82"/>
      <c r="AG972" s="82"/>
      <c r="AH972" s="82"/>
      <c r="AI972" s="82"/>
      <c r="AJ972" s="82"/>
      <c r="AK972" s="82"/>
      <c r="AL972" s="82"/>
      <c r="AM972" s="82"/>
      <c r="AN972" s="82">
        <f>IFERROR(__xludf.DUMMYFUNCTION("""COMPUTED_VALUE"""),0.0)</f>
        <v>0</v>
      </c>
      <c r="AO972" s="82">
        <f>IFERROR(__xludf.DUMMYFUNCTION("""COMPUTED_VALUE"""),0.0)</f>
        <v>0</v>
      </c>
      <c r="AP972" s="82">
        <f>IFERROR(__xludf.DUMMYFUNCTION("""COMPUTED_VALUE"""),0.0)</f>
        <v>0</v>
      </c>
      <c r="AQ972" s="82">
        <f>IFERROR(__xludf.DUMMYFUNCTION("""COMPUTED_VALUE"""),0.0)</f>
        <v>0</v>
      </c>
      <c r="AR972" s="82">
        <f>IFERROR(__xludf.DUMMYFUNCTION("""COMPUTED_VALUE"""),0.0)</f>
        <v>0</v>
      </c>
      <c r="AS972" s="82"/>
      <c r="AT972" s="82">
        <f>IFERROR(__xludf.DUMMYFUNCTION("""COMPUTED_VALUE"""),0.0)</f>
        <v>0</v>
      </c>
      <c r="AU972" s="82"/>
      <c r="AV972" s="82"/>
      <c r="AW972" s="82" t="str">
        <f t="shared" si="1"/>
        <v/>
      </c>
      <c r="AX972" s="83" t="str">
        <f t="array" ref="AX972">IFERROR(DGET('SBV Import'!A:G,"SBV",{"RSC ID","Tier";B972,A972}))</f>
        <v/>
      </c>
      <c r="AY972" s="82" t="str">
        <f t="shared" si="2"/>
        <v/>
      </c>
      <c r="AZ972" s="82"/>
      <c r="BA972" s="84" t="s">
        <v>152</v>
      </c>
      <c r="BB972" s="84" t="str">
        <f>IFERROR(__xludf.DUMMYFUNCTION("iferror(if(A972="""",,E972&gt;=FILTER(Constants!$F$2:$F$10,Constants!$A$2:$A$10=A972)))"),"")</f>
        <v/>
      </c>
    </row>
    <row r="973">
      <c r="A973" s="80"/>
      <c r="B973" s="73"/>
      <c r="C973" s="73"/>
      <c r="D973" s="73"/>
      <c r="E973" s="82"/>
      <c r="F973" s="82"/>
      <c r="G973" s="82"/>
      <c r="H973" s="86"/>
      <c r="I973" s="86"/>
      <c r="J973" s="82"/>
      <c r="K973" s="82"/>
      <c r="L973" s="82"/>
      <c r="M973" s="82"/>
      <c r="N973" s="82"/>
      <c r="O973" s="82"/>
      <c r="P973" s="82"/>
      <c r="Q973" s="82"/>
      <c r="R973" s="82"/>
      <c r="S973" s="82"/>
      <c r="T973" s="82"/>
      <c r="U973" s="82"/>
      <c r="V973" s="82"/>
      <c r="W973" s="82"/>
      <c r="X973" s="82"/>
      <c r="Y973" s="82"/>
      <c r="Z973" s="82"/>
      <c r="AA973" s="82"/>
      <c r="AB973" s="82"/>
      <c r="AC973" s="82"/>
      <c r="AD973" s="82"/>
      <c r="AE973" s="82"/>
      <c r="AF973" s="82"/>
      <c r="AG973" s="82"/>
      <c r="AH973" s="82"/>
      <c r="AI973" s="82"/>
      <c r="AJ973" s="82"/>
      <c r="AK973" s="82"/>
      <c r="AL973" s="82"/>
      <c r="AM973" s="82"/>
      <c r="AN973" s="82">
        <f>IFERROR(__xludf.DUMMYFUNCTION("""COMPUTED_VALUE"""),0.0)</f>
        <v>0</v>
      </c>
      <c r="AO973" s="82">
        <f>IFERROR(__xludf.DUMMYFUNCTION("""COMPUTED_VALUE"""),0.0)</f>
        <v>0</v>
      </c>
      <c r="AP973" s="82">
        <f>IFERROR(__xludf.DUMMYFUNCTION("""COMPUTED_VALUE"""),0.0)</f>
        <v>0</v>
      </c>
      <c r="AQ973" s="82">
        <f>IFERROR(__xludf.DUMMYFUNCTION("""COMPUTED_VALUE"""),0.0)</f>
        <v>0</v>
      </c>
      <c r="AR973" s="82">
        <f>IFERROR(__xludf.DUMMYFUNCTION("""COMPUTED_VALUE"""),0.0)</f>
        <v>0</v>
      </c>
      <c r="AS973" s="82"/>
      <c r="AT973" s="82">
        <f>IFERROR(__xludf.DUMMYFUNCTION("""COMPUTED_VALUE"""),0.0)</f>
        <v>0</v>
      </c>
      <c r="AU973" s="82"/>
      <c r="AV973" s="82"/>
      <c r="AW973" s="82" t="str">
        <f t="shared" si="1"/>
        <v/>
      </c>
      <c r="AX973" s="83" t="str">
        <f t="array" ref="AX973">IFERROR(DGET('SBV Import'!A:G,"SBV",{"RSC ID","Tier";B973,A973}))</f>
        <v/>
      </c>
      <c r="AY973" s="82" t="str">
        <f t="shared" si="2"/>
        <v/>
      </c>
      <c r="AZ973" s="82"/>
      <c r="BA973" s="84" t="s">
        <v>152</v>
      </c>
      <c r="BB973" s="84" t="str">
        <f>IFERROR(__xludf.DUMMYFUNCTION("iferror(if(A973="""",,E973&gt;=FILTER(Constants!$F$2:$F$10,Constants!$A$2:$A$10=A973)))"),"")</f>
        <v/>
      </c>
    </row>
    <row r="974">
      <c r="A974" s="80"/>
      <c r="B974" s="73"/>
      <c r="C974" s="73"/>
      <c r="D974" s="73"/>
      <c r="E974" s="82"/>
      <c r="F974" s="82"/>
      <c r="G974" s="82"/>
      <c r="H974" s="86"/>
      <c r="I974" s="86"/>
      <c r="J974" s="82"/>
      <c r="K974" s="82"/>
      <c r="L974" s="82"/>
      <c r="M974" s="82"/>
      <c r="N974" s="82"/>
      <c r="O974" s="82"/>
      <c r="P974" s="82"/>
      <c r="Q974" s="82"/>
      <c r="R974" s="82"/>
      <c r="S974" s="82"/>
      <c r="T974" s="82"/>
      <c r="U974" s="82"/>
      <c r="V974" s="82"/>
      <c r="W974" s="82"/>
      <c r="X974" s="82"/>
      <c r="Y974" s="82"/>
      <c r="Z974" s="82"/>
      <c r="AA974" s="82"/>
      <c r="AB974" s="82"/>
      <c r="AC974" s="82"/>
      <c r="AD974" s="82"/>
      <c r="AE974" s="82"/>
      <c r="AF974" s="82"/>
      <c r="AG974" s="82"/>
      <c r="AH974" s="82"/>
      <c r="AI974" s="82"/>
      <c r="AJ974" s="82"/>
      <c r="AK974" s="82"/>
      <c r="AL974" s="82"/>
      <c r="AM974" s="82"/>
      <c r="AN974" s="82">
        <f>IFERROR(__xludf.DUMMYFUNCTION("""COMPUTED_VALUE"""),0.0)</f>
        <v>0</v>
      </c>
      <c r="AO974" s="82">
        <f>IFERROR(__xludf.DUMMYFUNCTION("""COMPUTED_VALUE"""),0.0)</f>
        <v>0</v>
      </c>
      <c r="AP974" s="82">
        <f>IFERROR(__xludf.DUMMYFUNCTION("""COMPUTED_VALUE"""),0.0)</f>
        <v>0</v>
      </c>
      <c r="AQ974" s="82">
        <f>IFERROR(__xludf.DUMMYFUNCTION("""COMPUTED_VALUE"""),0.0)</f>
        <v>0</v>
      </c>
      <c r="AR974" s="82">
        <f>IFERROR(__xludf.DUMMYFUNCTION("""COMPUTED_VALUE"""),0.0)</f>
        <v>0</v>
      </c>
      <c r="AS974" s="82"/>
      <c r="AT974" s="82">
        <f>IFERROR(__xludf.DUMMYFUNCTION("""COMPUTED_VALUE"""),0.0)</f>
        <v>0</v>
      </c>
      <c r="AU974" s="82"/>
      <c r="AV974" s="82"/>
      <c r="AW974" s="82" t="str">
        <f t="shared" si="1"/>
        <v/>
      </c>
      <c r="AX974" s="83" t="str">
        <f t="array" ref="AX974">IFERROR(DGET('SBV Import'!A:G,"SBV",{"RSC ID","Tier";B974,A974}))</f>
        <v/>
      </c>
      <c r="AY974" s="82" t="str">
        <f t="shared" si="2"/>
        <v/>
      </c>
      <c r="AZ974" s="82"/>
      <c r="BA974" s="84" t="s">
        <v>152</v>
      </c>
      <c r="BB974" s="84" t="str">
        <f>IFERROR(__xludf.DUMMYFUNCTION("iferror(if(A974="""",,E974&gt;=FILTER(Constants!$F$2:$F$10,Constants!$A$2:$A$10=A974)))"),"")</f>
        <v/>
      </c>
    </row>
    <row r="975">
      <c r="A975" s="80"/>
      <c r="B975" s="73"/>
      <c r="C975" s="73"/>
      <c r="D975" s="73"/>
      <c r="E975" s="82"/>
      <c r="F975" s="82"/>
      <c r="G975" s="82"/>
      <c r="H975" s="86"/>
      <c r="I975" s="86"/>
      <c r="J975" s="82"/>
      <c r="K975" s="82"/>
      <c r="L975" s="82"/>
      <c r="M975" s="82"/>
      <c r="N975" s="82"/>
      <c r="O975" s="82"/>
      <c r="P975" s="82"/>
      <c r="Q975" s="82"/>
      <c r="R975" s="82"/>
      <c r="S975" s="82"/>
      <c r="T975" s="82"/>
      <c r="U975" s="82"/>
      <c r="V975" s="82"/>
      <c r="W975" s="82"/>
      <c r="X975" s="82"/>
      <c r="Y975" s="82"/>
      <c r="Z975" s="82"/>
      <c r="AA975" s="82"/>
      <c r="AB975" s="82"/>
      <c r="AC975" s="82"/>
      <c r="AD975" s="82"/>
      <c r="AE975" s="82"/>
      <c r="AF975" s="82"/>
      <c r="AG975" s="82"/>
      <c r="AH975" s="82"/>
      <c r="AI975" s="82"/>
      <c r="AJ975" s="82"/>
      <c r="AK975" s="82"/>
      <c r="AL975" s="82"/>
      <c r="AM975" s="82"/>
      <c r="AN975" s="82">
        <f>IFERROR(__xludf.DUMMYFUNCTION("""COMPUTED_VALUE"""),0.0)</f>
        <v>0</v>
      </c>
      <c r="AO975" s="82">
        <f>IFERROR(__xludf.DUMMYFUNCTION("""COMPUTED_VALUE"""),0.0)</f>
        <v>0</v>
      </c>
      <c r="AP975" s="82">
        <f>IFERROR(__xludf.DUMMYFUNCTION("""COMPUTED_VALUE"""),0.0)</f>
        <v>0</v>
      </c>
      <c r="AQ975" s="82">
        <f>IFERROR(__xludf.DUMMYFUNCTION("""COMPUTED_VALUE"""),0.0)</f>
        <v>0</v>
      </c>
      <c r="AR975" s="82">
        <f>IFERROR(__xludf.DUMMYFUNCTION("""COMPUTED_VALUE"""),0.0)</f>
        <v>0</v>
      </c>
      <c r="AS975" s="82"/>
      <c r="AT975" s="82">
        <f>IFERROR(__xludf.DUMMYFUNCTION("""COMPUTED_VALUE"""),0.0)</f>
        <v>0</v>
      </c>
      <c r="AU975" s="82"/>
      <c r="AV975" s="82"/>
      <c r="AW975" s="82" t="str">
        <f t="shared" si="1"/>
        <v/>
      </c>
      <c r="AX975" s="83" t="str">
        <f t="array" ref="AX975">IFERROR(DGET('SBV Import'!A:G,"SBV",{"RSC ID","Tier";B975,A975}))</f>
        <v/>
      </c>
      <c r="AY975" s="82" t="str">
        <f t="shared" si="2"/>
        <v/>
      </c>
      <c r="AZ975" s="82"/>
      <c r="BA975" s="84" t="s">
        <v>152</v>
      </c>
      <c r="BB975" s="84" t="str">
        <f>IFERROR(__xludf.DUMMYFUNCTION("iferror(if(A975="""",,E975&gt;=FILTER(Constants!$F$2:$F$10,Constants!$A$2:$A$10=A975)))"),"")</f>
        <v/>
      </c>
    </row>
    <row r="976">
      <c r="A976" s="80"/>
      <c r="B976" s="73"/>
      <c r="C976" s="73"/>
      <c r="D976" s="73"/>
      <c r="E976" s="82"/>
      <c r="F976" s="82"/>
      <c r="G976" s="82"/>
      <c r="H976" s="86"/>
      <c r="I976" s="86"/>
      <c r="J976" s="82"/>
      <c r="K976" s="82"/>
      <c r="L976" s="82"/>
      <c r="M976" s="82"/>
      <c r="N976" s="82"/>
      <c r="O976" s="82"/>
      <c r="P976" s="82"/>
      <c r="Q976" s="82"/>
      <c r="R976" s="82"/>
      <c r="S976" s="82"/>
      <c r="T976" s="82"/>
      <c r="U976" s="82"/>
      <c r="V976" s="82"/>
      <c r="W976" s="82"/>
      <c r="X976" s="82"/>
      <c r="Y976" s="82"/>
      <c r="Z976" s="82"/>
      <c r="AA976" s="82"/>
      <c r="AB976" s="82"/>
      <c r="AC976" s="82"/>
      <c r="AD976" s="82"/>
      <c r="AE976" s="82"/>
      <c r="AF976" s="82"/>
      <c r="AG976" s="82"/>
      <c r="AH976" s="82"/>
      <c r="AI976" s="82"/>
      <c r="AJ976" s="82"/>
      <c r="AK976" s="82"/>
      <c r="AL976" s="82"/>
      <c r="AM976" s="82"/>
      <c r="AN976" s="82">
        <f>IFERROR(__xludf.DUMMYFUNCTION("""COMPUTED_VALUE"""),0.0)</f>
        <v>0</v>
      </c>
      <c r="AO976" s="82">
        <f>IFERROR(__xludf.DUMMYFUNCTION("""COMPUTED_VALUE"""),0.0)</f>
        <v>0</v>
      </c>
      <c r="AP976" s="82">
        <f>IFERROR(__xludf.DUMMYFUNCTION("""COMPUTED_VALUE"""),0.0)</f>
        <v>0</v>
      </c>
      <c r="AQ976" s="82">
        <f>IFERROR(__xludf.DUMMYFUNCTION("""COMPUTED_VALUE"""),0.0)</f>
        <v>0</v>
      </c>
      <c r="AR976" s="82">
        <f>IFERROR(__xludf.DUMMYFUNCTION("""COMPUTED_VALUE"""),0.0)</f>
        <v>0</v>
      </c>
      <c r="AS976" s="82"/>
      <c r="AT976" s="82">
        <f>IFERROR(__xludf.DUMMYFUNCTION("""COMPUTED_VALUE"""),0.0)</f>
        <v>0</v>
      </c>
      <c r="AU976" s="82"/>
      <c r="AV976" s="82"/>
      <c r="AW976" s="82" t="str">
        <f t="shared" si="1"/>
        <v/>
      </c>
      <c r="AX976" s="83" t="str">
        <f t="array" ref="AX976">IFERROR(DGET('SBV Import'!A:G,"SBV",{"RSC ID","Tier";B976,A976}))</f>
        <v/>
      </c>
      <c r="AY976" s="82" t="str">
        <f t="shared" si="2"/>
        <v/>
      </c>
      <c r="AZ976" s="82"/>
      <c r="BA976" s="84" t="s">
        <v>152</v>
      </c>
      <c r="BB976" s="84" t="str">
        <f>IFERROR(__xludf.DUMMYFUNCTION("iferror(if(A976="""",,E976&gt;=FILTER(Constants!$F$2:$F$10,Constants!$A$2:$A$10=A976)))"),"")</f>
        <v/>
      </c>
    </row>
    <row r="977">
      <c r="A977" s="80"/>
      <c r="B977" s="73"/>
      <c r="C977" s="73"/>
      <c r="D977" s="73"/>
      <c r="E977" s="82"/>
      <c r="F977" s="82"/>
      <c r="G977" s="82"/>
      <c r="H977" s="86"/>
      <c r="I977" s="86"/>
      <c r="J977" s="82"/>
      <c r="K977" s="82"/>
      <c r="L977" s="82"/>
      <c r="M977" s="82"/>
      <c r="N977" s="82"/>
      <c r="O977" s="82"/>
      <c r="P977" s="82"/>
      <c r="Q977" s="82"/>
      <c r="R977" s="82"/>
      <c r="S977" s="82"/>
      <c r="T977" s="82"/>
      <c r="U977" s="82"/>
      <c r="V977" s="82"/>
      <c r="W977" s="82"/>
      <c r="X977" s="82"/>
      <c r="Y977" s="82"/>
      <c r="Z977" s="82"/>
      <c r="AA977" s="82"/>
      <c r="AB977" s="82"/>
      <c r="AC977" s="82"/>
      <c r="AD977" s="82"/>
      <c r="AE977" s="82"/>
      <c r="AF977" s="82"/>
      <c r="AG977" s="82"/>
      <c r="AH977" s="82"/>
      <c r="AI977" s="82"/>
      <c r="AJ977" s="82"/>
      <c r="AK977" s="82"/>
      <c r="AL977" s="82"/>
      <c r="AM977" s="82"/>
      <c r="AN977" s="82">
        <f>IFERROR(__xludf.DUMMYFUNCTION("""COMPUTED_VALUE"""),0.0)</f>
        <v>0</v>
      </c>
      <c r="AO977" s="82">
        <f>IFERROR(__xludf.DUMMYFUNCTION("""COMPUTED_VALUE"""),0.0)</f>
        <v>0</v>
      </c>
      <c r="AP977" s="82">
        <f>IFERROR(__xludf.DUMMYFUNCTION("""COMPUTED_VALUE"""),0.0)</f>
        <v>0</v>
      </c>
      <c r="AQ977" s="82">
        <f>IFERROR(__xludf.DUMMYFUNCTION("""COMPUTED_VALUE"""),0.0)</f>
        <v>0</v>
      </c>
      <c r="AR977" s="82">
        <f>IFERROR(__xludf.DUMMYFUNCTION("""COMPUTED_VALUE"""),0.0)</f>
        <v>0</v>
      </c>
      <c r="AS977" s="82"/>
      <c r="AT977" s="82">
        <f>IFERROR(__xludf.DUMMYFUNCTION("""COMPUTED_VALUE"""),0.0)</f>
        <v>0</v>
      </c>
      <c r="AU977" s="82"/>
      <c r="AV977" s="82"/>
      <c r="AW977" s="82" t="str">
        <f t="shared" si="1"/>
        <v/>
      </c>
      <c r="AX977" s="83" t="str">
        <f t="array" ref="AX977">IFERROR(DGET('SBV Import'!A:G,"SBV",{"RSC ID","Tier";B977,A977}))</f>
        <v/>
      </c>
      <c r="AY977" s="82" t="str">
        <f t="shared" si="2"/>
        <v/>
      </c>
      <c r="AZ977" s="82"/>
      <c r="BA977" s="84" t="s">
        <v>152</v>
      </c>
      <c r="BB977" s="84" t="str">
        <f>IFERROR(__xludf.DUMMYFUNCTION("iferror(if(A977="""",,E977&gt;=FILTER(Constants!$F$2:$F$10,Constants!$A$2:$A$10=A977)))"),"")</f>
        <v/>
      </c>
    </row>
    <row r="978">
      <c r="A978" s="80"/>
      <c r="B978" s="73"/>
      <c r="C978" s="73"/>
      <c r="D978" s="73"/>
      <c r="E978" s="82"/>
      <c r="F978" s="82"/>
      <c r="G978" s="82"/>
      <c r="H978" s="86"/>
      <c r="I978" s="86"/>
      <c r="J978" s="82"/>
      <c r="K978" s="82"/>
      <c r="L978" s="82"/>
      <c r="M978" s="82"/>
      <c r="N978" s="82"/>
      <c r="O978" s="82"/>
      <c r="P978" s="82"/>
      <c r="Q978" s="82"/>
      <c r="R978" s="82"/>
      <c r="S978" s="82"/>
      <c r="T978" s="82"/>
      <c r="U978" s="82"/>
      <c r="V978" s="82"/>
      <c r="W978" s="82"/>
      <c r="X978" s="82"/>
      <c r="Y978" s="82"/>
      <c r="Z978" s="82"/>
      <c r="AA978" s="82"/>
      <c r="AB978" s="82"/>
      <c r="AC978" s="82"/>
      <c r="AD978" s="82"/>
      <c r="AE978" s="82"/>
      <c r="AF978" s="82"/>
      <c r="AG978" s="82"/>
      <c r="AH978" s="82"/>
      <c r="AI978" s="82"/>
      <c r="AJ978" s="82"/>
      <c r="AK978" s="82"/>
      <c r="AL978" s="82"/>
      <c r="AM978" s="82"/>
      <c r="AN978" s="82">
        <f>IFERROR(__xludf.DUMMYFUNCTION("""COMPUTED_VALUE"""),0.0)</f>
        <v>0</v>
      </c>
      <c r="AO978" s="82">
        <f>IFERROR(__xludf.DUMMYFUNCTION("""COMPUTED_VALUE"""),0.0)</f>
        <v>0</v>
      </c>
      <c r="AP978" s="82">
        <f>IFERROR(__xludf.DUMMYFUNCTION("""COMPUTED_VALUE"""),0.0)</f>
        <v>0</v>
      </c>
      <c r="AQ978" s="82">
        <f>IFERROR(__xludf.DUMMYFUNCTION("""COMPUTED_VALUE"""),0.0)</f>
        <v>0</v>
      </c>
      <c r="AR978" s="82">
        <f>IFERROR(__xludf.DUMMYFUNCTION("""COMPUTED_VALUE"""),0.0)</f>
        <v>0</v>
      </c>
      <c r="AS978" s="82"/>
      <c r="AT978" s="82">
        <f>IFERROR(__xludf.DUMMYFUNCTION("""COMPUTED_VALUE"""),0.0)</f>
        <v>0</v>
      </c>
      <c r="AU978" s="82"/>
      <c r="AV978" s="82"/>
      <c r="AW978" s="82" t="str">
        <f t="shared" si="1"/>
        <v/>
      </c>
      <c r="AX978" s="83" t="str">
        <f t="array" ref="AX978">IFERROR(DGET('SBV Import'!A:G,"SBV",{"RSC ID","Tier";B978,A978}))</f>
        <v/>
      </c>
      <c r="AY978" s="82" t="str">
        <f t="shared" si="2"/>
        <v/>
      </c>
      <c r="AZ978" s="82"/>
      <c r="BA978" s="84" t="s">
        <v>152</v>
      </c>
      <c r="BB978" s="84" t="str">
        <f>IFERROR(__xludf.DUMMYFUNCTION("iferror(if(A978="""",,E978&gt;=FILTER(Constants!$F$2:$F$10,Constants!$A$2:$A$10=A978)))"),"")</f>
        <v/>
      </c>
    </row>
    <row r="979">
      <c r="A979" s="80"/>
      <c r="B979" s="73"/>
      <c r="C979" s="73"/>
      <c r="D979" s="73"/>
      <c r="E979" s="82"/>
      <c r="F979" s="82"/>
      <c r="G979" s="82"/>
      <c r="H979" s="86"/>
      <c r="I979" s="86"/>
      <c r="J979" s="82"/>
      <c r="K979" s="82"/>
      <c r="L979" s="82"/>
      <c r="M979" s="82"/>
      <c r="N979" s="82"/>
      <c r="O979" s="82"/>
      <c r="P979" s="82"/>
      <c r="Q979" s="82"/>
      <c r="R979" s="82"/>
      <c r="S979" s="82"/>
      <c r="T979" s="82"/>
      <c r="U979" s="82"/>
      <c r="V979" s="82"/>
      <c r="W979" s="82"/>
      <c r="X979" s="82"/>
      <c r="Y979" s="82"/>
      <c r="Z979" s="82"/>
      <c r="AA979" s="82"/>
      <c r="AB979" s="82"/>
      <c r="AC979" s="82"/>
      <c r="AD979" s="82"/>
      <c r="AE979" s="82"/>
      <c r="AF979" s="82"/>
      <c r="AG979" s="82"/>
      <c r="AH979" s="82"/>
      <c r="AI979" s="82"/>
      <c r="AJ979" s="82"/>
      <c r="AK979" s="82"/>
      <c r="AL979" s="82"/>
      <c r="AM979" s="82"/>
      <c r="AN979" s="82">
        <f>IFERROR(__xludf.DUMMYFUNCTION("""COMPUTED_VALUE"""),0.0)</f>
        <v>0</v>
      </c>
      <c r="AO979" s="82">
        <f>IFERROR(__xludf.DUMMYFUNCTION("""COMPUTED_VALUE"""),0.0)</f>
        <v>0</v>
      </c>
      <c r="AP979" s="82">
        <f>IFERROR(__xludf.DUMMYFUNCTION("""COMPUTED_VALUE"""),0.0)</f>
        <v>0</v>
      </c>
      <c r="AQ979" s="82">
        <f>IFERROR(__xludf.DUMMYFUNCTION("""COMPUTED_VALUE"""),0.0)</f>
        <v>0</v>
      </c>
      <c r="AR979" s="82">
        <f>IFERROR(__xludf.DUMMYFUNCTION("""COMPUTED_VALUE"""),0.0)</f>
        <v>0</v>
      </c>
      <c r="AS979" s="82"/>
      <c r="AT979" s="82">
        <f>IFERROR(__xludf.DUMMYFUNCTION("""COMPUTED_VALUE"""),0.0)</f>
        <v>0</v>
      </c>
      <c r="AU979" s="82"/>
      <c r="AV979" s="82"/>
      <c r="AW979" s="82" t="str">
        <f t="shared" si="1"/>
        <v/>
      </c>
      <c r="AX979" s="83" t="str">
        <f t="array" ref="AX979">IFERROR(DGET('SBV Import'!A:G,"SBV",{"RSC ID","Tier";B979,A979}))</f>
        <v/>
      </c>
      <c r="AY979" s="82" t="str">
        <f t="shared" si="2"/>
        <v/>
      </c>
      <c r="AZ979" s="82"/>
      <c r="BA979" s="84" t="s">
        <v>152</v>
      </c>
      <c r="BB979" s="84" t="str">
        <f>IFERROR(__xludf.DUMMYFUNCTION("iferror(if(A979="""",,E979&gt;=FILTER(Constants!$F$2:$F$10,Constants!$A$2:$A$10=A979)))"),"")</f>
        <v/>
      </c>
    </row>
    <row r="980">
      <c r="A980" s="80"/>
      <c r="B980" s="73"/>
      <c r="C980" s="73"/>
      <c r="D980" s="73"/>
      <c r="E980" s="82"/>
      <c r="F980" s="82"/>
      <c r="G980" s="82"/>
      <c r="H980" s="86"/>
      <c r="I980" s="86"/>
      <c r="J980" s="82"/>
      <c r="K980" s="82"/>
      <c r="L980" s="82"/>
      <c r="M980" s="82"/>
      <c r="N980" s="82"/>
      <c r="O980" s="82"/>
      <c r="P980" s="82"/>
      <c r="Q980" s="82"/>
      <c r="R980" s="82"/>
      <c r="S980" s="82"/>
      <c r="T980" s="82"/>
      <c r="U980" s="82"/>
      <c r="V980" s="82"/>
      <c r="W980" s="82"/>
      <c r="X980" s="82"/>
      <c r="Y980" s="82"/>
      <c r="Z980" s="82"/>
      <c r="AA980" s="82"/>
      <c r="AB980" s="82"/>
      <c r="AC980" s="82"/>
      <c r="AD980" s="82"/>
      <c r="AE980" s="82"/>
      <c r="AF980" s="82"/>
      <c r="AG980" s="82"/>
      <c r="AH980" s="82"/>
      <c r="AI980" s="82"/>
      <c r="AJ980" s="82"/>
      <c r="AK980" s="82"/>
      <c r="AL980" s="82"/>
      <c r="AM980" s="82"/>
      <c r="AN980" s="82">
        <f>IFERROR(__xludf.DUMMYFUNCTION("""COMPUTED_VALUE"""),0.0)</f>
        <v>0</v>
      </c>
      <c r="AO980" s="82">
        <f>IFERROR(__xludf.DUMMYFUNCTION("""COMPUTED_VALUE"""),0.0)</f>
        <v>0</v>
      </c>
      <c r="AP980" s="82">
        <f>IFERROR(__xludf.DUMMYFUNCTION("""COMPUTED_VALUE"""),0.0)</f>
        <v>0</v>
      </c>
      <c r="AQ980" s="82">
        <f>IFERROR(__xludf.DUMMYFUNCTION("""COMPUTED_VALUE"""),0.0)</f>
        <v>0</v>
      </c>
      <c r="AR980" s="82">
        <f>IFERROR(__xludf.DUMMYFUNCTION("""COMPUTED_VALUE"""),0.0)</f>
        <v>0</v>
      </c>
      <c r="AS980" s="82"/>
      <c r="AT980" s="82">
        <f>IFERROR(__xludf.DUMMYFUNCTION("""COMPUTED_VALUE"""),0.0)</f>
        <v>0</v>
      </c>
      <c r="AU980" s="82"/>
      <c r="AV980" s="82"/>
      <c r="AW980" s="82" t="str">
        <f t="shared" si="1"/>
        <v/>
      </c>
      <c r="AX980" s="83" t="str">
        <f t="array" ref="AX980">IFERROR(DGET('SBV Import'!A:G,"SBV",{"RSC ID","Tier";B980,A980}))</f>
        <v/>
      </c>
      <c r="AY980" s="82" t="str">
        <f t="shared" si="2"/>
        <v/>
      </c>
      <c r="AZ980" s="82"/>
      <c r="BA980" s="84" t="s">
        <v>152</v>
      </c>
      <c r="BB980" s="84" t="str">
        <f>IFERROR(__xludf.DUMMYFUNCTION("iferror(if(A980="""",,E980&gt;=FILTER(Constants!$F$2:$F$10,Constants!$A$2:$A$10=A980)))"),"")</f>
        <v/>
      </c>
    </row>
    <row r="981">
      <c r="A981" s="80"/>
      <c r="B981" s="73"/>
      <c r="C981" s="73"/>
      <c r="D981" s="73"/>
      <c r="E981" s="82"/>
      <c r="F981" s="82"/>
      <c r="G981" s="82"/>
      <c r="H981" s="86"/>
      <c r="I981" s="86"/>
      <c r="J981" s="82"/>
      <c r="K981" s="82"/>
      <c r="L981" s="82"/>
      <c r="M981" s="82"/>
      <c r="N981" s="82"/>
      <c r="O981" s="82"/>
      <c r="P981" s="82"/>
      <c r="Q981" s="82"/>
      <c r="R981" s="82"/>
      <c r="S981" s="82"/>
      <c r="T981" s="82"/>
      <c r="U981" s="82"/>
      <c r="V981" s="82"/>
      <c r="W981" s="82"/>
      <c r="X981" s="82"/>
      <c r="Y981" s="82"/>
      <c r="Z981" s="82"/>
      <c r="AA981" s="82"/>
      <c r="AB981" s="82"/>
      <c r="AC981" s="82"/>
      <c r="AD981" s="82"/>
      <c r="AE981" s="82"/>
      <c r="AF981" s="82"/>
      <c r="AG981" s="82"/>
      <c r="AH981" s="82"/>
      <c r="AI981" s="82"/>
      <c r="AJ981" s="82"/>
      <c r="AK981" s="82"/>
      <c r="AL981" s="82"/>
      <c r="AM981" s="82"/>
      <c r="AN981" s="82">
        <f>IFERROR(__xludf.DUMMYFUNCTION("""COMPUTED_VALUE"""),0.0)</f>
        <v>0</v>
      </c>
      <c r="AO981" s="82">
        <f>IFERROR(__xludf.DUMMYFUNCTION("""COMPUTED_VALUE"""),0.0)</f>
        <v>0</v>
      </c>
      <c r="AP981" s="82">
        <f>IFERROR(__xludf.DUMMYFUNCTION("""COMPUTED_VALUE"""),0.0)</f>
        <v>0</v>
      </c>
      <c r="AQ981" s="82">
        <f>IFERROR(__xludf.DUMMYFUNCTION("""COMPUTED_VALUE"""),0.0)</f>
        <v>0</v>
      </c>
      <c r="AR981" s="82">
        <f>IFERROR(__xludf.DUMMYFUNCTION("""COMPUTED_VALUE"""),0.0)</f>
        <v>0</v>
      </c>
      <c r="AS981" s="82"/>
      <c r="AT981" s="82">
        <f>IFERROR(__xludf.DUMMYFUNCTION("""COMPUTED_VALUE"""),0.0)</f>
        <v>0</v>
      </c>
      <c r="AU981" s="82"/>
      <c r="AV981" s="82"/>
      <c r="AW981" s="82" t="str">
        <f t="shared" si="1"/>
        <v/>
      </c>
      <c r="AX981" s="83" t="str">
        <f t="array" ref="AX981">IFERROR(DGET('SBV Import'!A:G,"SBV",{"RSC ID","Tier";B981,A981}))</f>
        <v/>
      </c>
      <c r="AY981" s="82" t="str">
        <f t="shared" si="2"/>
        <v/>
      </c>
      <c r="AZ981" s="82"/>
      <c r="BA981" s="84" t="s">
        <v>152</v>
      </c>
      <c r="BB981" s="84" t="str">
        <f>IFERROR(__xludf.DUMMYFUNCTION("iferror(if(A981="""",,E981&gt;=FILTER(Constants!$F$2:$F$10,Constants!$A$2:$A$10=A981)))"),"")</f>
        <v/>
      </c>
    </row>
    <row r="982">
      <c r="A982" s="80"/>
      <c r="B982" s="73"/>
      <c r="C982" s="73"/>
      <c r="D982" s="73"/>
      <c r="E982" s="82"/>
      <c r="F982" s="82"/>
      <c r="G982" s="82"/>
      <c r="H982" s="86"/>
      <c r="I982" s="86"/>
      <c r="J982" s="82"/>
      <c r="K982" s="82"/>
      <c r="L982" s="82"/>
      <c r="M982" s="82"/>
      <c r="N982" s="82"/>
      <c r="O982" s="82"/>
      <c r="P982" s="82"/>
      <c r="Q982" s="82"/>
      <c r="R982" s="82"/>
      <c r="S982" s="82"/>
      <c r="T982" s="82"/>
      <c r="U982" s="82"/>
      <c r="V982" s="82"/>
      <c r="W982" s="82"/>
      <c r="X982" s="82"/>
      <c r="Y982" s="82"/>
      <c r="Z982" s="82"/>
      <c r="AA982" s="82"/>
      <c r="AB982" s="82"/>
      <c r="AC982" s="82"/>
      <c r="AD982" s="82"/>
      <c r="AE982" s="82"/>
      <c r="AF982" s="82"/>
      <c r="AG982" s="82"/>
      <c r="AH982" s="82"/>
      <c r="AI982" s="82"/>
      <c r="AJ982" s="82"/>
      <c r="AK982" s="82"/>
      <c r="AL982" s="82"/>
      <c r="AM982" s="82"/>
      <c r="AN982" s="82">
        <f>IFERROR(__xludf.DUMMYFUNCTION("""COMPUTED_VALUE"""),0.0)</f>
        <v>0</v>
      </c>
      <c r="AO982" s="82">
        <f>IFERROR(__xludf.DUMMYFUNCTION("""COMPUTED_VALUE"""),0.0)</f>
        <v>0</v>
      </c>
      <c r="AP982" s="82">
        <f>IFERROR(__xludf.DUMMYFUNCTION("""COMPUTED_VALUE"""),0.0)</f>
        <v>0</v>
      </c>
      <c r="AQ982" s="82">
        <f>IFERROR(__xludf.DUMMYFUNCTION("""COMPUTED_VALUE"""),0.0)</f>
        <v>0</v>
      </c>
      <c r="AR982" s="82">
        <f>IFERROR(__xludf.DUMMYFUNCTION("""COMPUTED_VALUE"""),0.0)</f>
        <v>0</v>
      </c>
      <c r="AS982" s="82"/>
      <c r="AT982" s="82">
        <f>IFERROR(__xludf.DUMMYFUNCTION("""COMPUTED_VALUE"""),0.0)</f>
        <v>0</v>
      </c>
      <c r="AU982" s="82"/>
      <c r="AV982" s="82"/>
      <c r="AW982" s="82" t="str">
        <f t="shared" si="1"/>
        <v/>
      </c>
      <c r="AX982" s="83" t="str">
        <f t="array" ref="AX982">IFERROR(DGET('SBV Import'!A:G,"SBV",{"RSC ID","Tier";B982,A982}))</f>
        <v/>
      </c>
      <c r="AY982" s="82" t="str">
        <f t="shared" si="2"/>
        <v/>
      </c>
      <c r="AZ982" s="82"/>
      <c r="BA982" s="84" t="s">
        <v>152</v>
      </c>
      <c r="BB982" s="84" t="str">
        <f>IFERROR(__xludf.DUMMYFUNCTION("iferror(if(A982="""",,E982&gt;=FILTER(Constants!$F$2:$F$10,Constants!$A$2:$A$10=A982)))"),"")</f>
        <v/>
      </c>
    </row>
    <row r="983">
      <c r="A983" s="80"/>
      <c r="B983" s="73"/>
      <c r="C983" s="73"/>
      <c r="D983" s="73"/>
      <c r="E983" s="82"/>
      <c r="F983" s="82"/>
      <c r="G983" s="82"/>
      <c r="H983" s="86"/>
      <c r="I983" s="86"/>
      <c r="J983" s="82"/>
      <c r="K983" s="82"/>
      <c r="L983" s="82"/>
      <c r="M983" s="82"/>
      <c r="N983" s="82"/>
      <c r="O983" s="82"/>
      <c r="P983" s="82"/>
      <c r="Q983" s="82"/>
      <c r="R983" s="82"/>
      <c r="S983" s="82"/>
      <c r="T983" s="82"/>
      <c r="U983" s="82"/>
      <c r="V983" s="82"/>
      <c r="W983" s="82"/>
      <c r="X983" s="82"/>
      <c r="Y983" s="82"/>
      <c r="Z983" s="82"/>
      <c r="AA983" s="82"/>
      <c r="AB983" s="82"/>
      <c r="AC983" s="82"/>
      <c r="AD983" s="82"/>
      <c r="AE983" s="82"/>
      <c r="AF983" s="82"/>
      <c r="AG983" s="82"/>
      <c r="AH983" s="82"/>
      <c r="AI983" s="82"/>
      <c r="AJ983" s="82"/>
      <c r="AK983" s="82"/>
      <c r="AL983" s="82"/>
      <c r="AM983" s="82"/>
      <c r="AN983" s="82">
        <f>IFERROR(__xludf.DUMMYFUNCTION("""COMPUTED_VALUE"""),0.0)</f>
        <v>0</v>
      </c>
      <c r="AO983" s="82">
        <f>IFERROR(__xludf.DUMMYFUNCTION("""COMPUTED_VALUE"""),0.0)</f>
        <v>0</v>
      </c>
      <c r="AP983" s="82">
        <f>IFERROR(__xludf.DUMMYFUNCTION("""COMPUTED_VALUE"""),0.0)</f>
        <v>0</v>
      </c>
      <c r="AQ983" s="82">
        <f>IFERROR(__xludf.DUMMYFUNCTION("""COMPUTED_VALUE"""),0.0)</f>
        <v>0</v>
      </c>
      <c r="AR983" s="82">
        <f>IFERROR(__xludf.DUMMYFUNCTION("""COMPUTED_VALUE"""),0.0)</f>
        <v>0</v>
      </c>
      <c r="AS983" s="82"/>
      <c r="AT983" s="82">
        <f>IFERROR(__xludf.DUMMYFUNCTION("""COMPUTED_VALUE"""),0.0)</f>
        <v>0</v>
      </c>
      <c r="AU983" s="82"/>
      <c r="AV983" s="82"/>
      <c r="AW983" s="82" t="str">
        <f t="shared" si="1"/>
        <v/>
      </c>
      <c r="AX983" s="83" t="str">
        <f t="array" ref="AX983">IFERROR(DGET('SBV Import'!A:G,"SBV",{"RSC ID","Tier";B983,A983}))</f>
        <v/>
      </c>
      <c r="AY983" s="82" t="str">
        <f t="shared" si="2"/>
        <v/>
      </c>
      <c r="AZ983" s="82"/>
      <c r="BA983" s="84" t="s">
        <v>152</v>
      </c>
      <c r="BB983" s="84" t="str">
        <f>IFERROR(__xludf.DUMMYFUNCTION("iferror(if(A983="""",,E983&gt;=FILTER(Constants!$F$2:$F$10,Constants!$A$2:$A$10=A983)))"),"")</f>
        <v/>
      </c>
    </row>
    <row r="984">
      <c r="A984" s="80"/>
      <c r="B984" s="73"/>
      <c r="C984" s="88"/>
      <c r="D984" s="73"/>
      <c r="E984" s="82"/>
      <c r="F984" s="82"/>
      <c r="G984" s="82"/>
      <c r="H984" s="86"/>
      <c r="I984" s="86"/>
      <c r="J984" s="82"/>
      <c r="K984" s="82"/>
      <c r="L984" s="82"/>
      <c r="M984" s="82"/>
      <c r="N984" s="82"/>
      <c r="O984" s="82"/>
      <c r="P984" s="82"/>
      <c r="Q984" s="82"/>
      <c r="R984" s="82"/>
      <c r="S984" s="82"/>
      <c r="T984" s="82"/>
      <c r="U984" s="82"/>
      <c r="V984" s="82"/>
      <c r="W984" s="82"/>
      <c r="X984" s="82"/>
      <c r="Y984" s="82"/>
      <c r="Z984" s="82"/>
      <c r="AA984" s="82"/>
      <c r="AB984" s="82"/>
      <c r="AC984" s="82"/>
      <c r="AD984" s="82"/>
      <c r="AE984" s="82"/>
      <c r="AF984" s="82"/>
      <c r="AG984" s="82"/>
      <c r="AH984" s="82"/>
      <c r="AI984" s="82"/>
      <c r="AJ984" s="82"/>
      <c r="AK984" s="82"/>
      <c r="AL984" s="82"/>
      <c r="AM984" s="82"/>
      <c r="AN984" s="82">
        <f>IFERROR(__xludf.DUMMYFUNCTION("""COMPUTED_VALUE"""),0.0)</f>
        <v>0</v>
      </c>
      <c r="AO984" s="82">
        <f>IFERROR(__xludf.DUMMYFUNCTION("""COMPUTED_VALUE"""),0.0)</f>
        <v>0</v>
      </c>
      <c r="AP984" s="82">
        <f>IFERROR(__xludf.DUMMYFUNCTION("""COMPUTED_VALUE"""),0.0)</f>
        <v>0</v>
      </c>
      <c r="AQ984" s="82">
        <f>IFERROR(__xludf.DUMMYFUNCTION("""COMPUTED_VALUE"""),0.0)</f>
        <v>0</v>
      </c>
      <c r="AR984" s="82">
        <f>IFERROR(__xludf.DUMMYFUNCTION("""COMPUTED_VALUE"""),0.0)</f>
        <v>0</v>
      </c>
      <c r="AS984" s="82"/>
      <c r="AT984" s="82">
        <f>IFERROR(__xludf.DUMMYFUNCTION("""COMPUTED_VALUE"""),0.0)</f>
        <v>0</v>
      </c>
      <c r="AU984" s="82"/>
      <c r="AV984" s="82"/>
      <c r="AW984" s="82" t="str">
        <f t="shared" si="1"/>
        <v/>
      </c>
      <c r="AX984" s="83" t="str">
        <f t="array" ref="AX984">IFERROR(DGET('SBV Import'!A:G,"SBV",{"RSC ID","Tier";B984,A984}))</f>
        <v/>
      </c>
      <c r="AY984" s="82" t="str">
        <f t="shared" si="2"/>
        <v/>
      </c>
      <c r="AZ984" s="82"/>
      <c r="BA984" s="84" t="s">
        <v>152</v>
      </c>
      <c r="BB984" s="84" t="str">
        <f>IFERROR(__xludf.DUMMYFUNCTION("iferror(if(A984="""",,E984&gt;=FILTER(Constants!$F$2:$F$10,Constants!$A$2:$A$10=A984)))"),"")</f>
        <v/>
      </c>
    </row>
    <row r="985">
      <c r="A985" s="80"/>
      <c r="B985" s="73"/>
      <c r="C985" s="73"/>
      <c r="D985" s="73"/>
      <c r="E985" s="82"/>
      <c r="F985" s="82"/>
      <c r="G985" s="82"/>
      <c r="H985" s="86"/>
      <c r="I985" s="86"/>
      <c r="J985" s="82"/>
      <c r="K985" s="82"/>
      <c r="L985" s="82"/>
      <c r="M985" s="82"/>
      <c r="N985" s="82"/>
      <c r="O985" s="82"/>
      <c r="P985" s="82"/>
      <c r="Q985" s="82"/>
      <c r="R985" s="82"/>
      <c r="S985" s="82"/>
      <c r="T985" s="82"/>
      <c r="U985" s="82"/>
      <c r="V985" s="82"/>
      <c r="W985" s="82"/>
      <c r="X985" s="82"/>
      <c r="Y985" s="82"/>
      <c r="Z985" s="82"/>
      <c r="AA985" s="82"/>
      <c r="AB985" s="82"/>
      <c r="AC985" s="82"/>
      <c r="AD985" s="82"/>
      <c r="AE985" s="82"/>
      <c r="AF985" s="82"/>
      <c r="AG985" s="82"/>
      <c r="AH985" s="82"/>
      <c r="AI985" s="82"/>
      <c r="AJ985" s="82"/>
      <c r="AK985" s="82"/>
      <c r="AL985" s="82"/>
      <c r="AM985" s="82"/>
      <c r="AN985" s="82">
        <f>IFERROR(__xludf.DUMMYFUNCTION("""COMPUTED_VALUE"""),0.0)</f>
        <v>0</v>
      </c>
      <c r="AO985" s="82">
        <f>IFERROR(__xludf.DUMMYFUNCTION("""COMPUTED_VALUE"""),0.0)</f>
        <v>0</v>
      </c>
      <c r="AP985" s="82">
        <f>IFERROR(__xludf.DUMMYFUNCTION("""COMPUTED_VALUE"""),0.0)</f>
        <v>0</v>
      </c>
      <c r="AQ985" s="82">
        <f>IFERROR(__xludf.DUMMYFUNCTION("""COMPUTED_VALUE"""),0.0)</f>
        <v>0</v>
      </c>
      <c r="AR985" s="82">
        <f>IFERROR(__xludf.DUMMYFUNCTION("""COMPUTED_VALUE"""),0.0)</f>
        <v>0</v>
      </c>
      <c r="AS985" s="82"/>
      <c r="AT985" s="82">
        <f>IFERROR(__xludf.DUMMYFUNCTION("""COMPUTED_VALUE"""),0.0)</f>
        <v>0</v>
      </c>
      <c r="AU985" s="82"/>
      <c r="AV985" s="82"/>
      <c r="AW985" s="82" t="str">
        <f t="shared" si="1"/>
        <v/>
      </c>
      <c r="AX985" s="83" t="str">
        <f t="array" ref="AX985">IFERROR(DGET('SBV Import'!A:G,"SBV",{"RSC ID","Tier";B985,A985}))</f>
        <v/>
      </c>
      <c r="AY985" s="82" t="str">
        <f t="shared" si="2"/>
        <v/>
      </c>
      <c r="AZ985" s="82"/>
      <c r="BA985" s="84" t="s">
        <v>152</v>
      </c>
      <c r="BB985" s="84" t="str">
        <f>IFERROR(__xludf.DUMMYFUNCTION("iferror(if(A985="""",,E985&gt;=FILTER(Constants!$F$2:$F$10,Constants!$A$2:$A$10=A985)))"),"")</f>
        <v/>
      </c>
    </row>
    <row r="986">
      <c r="A986" s="80"/>
      <c r="B986" s="73"/>
      <c r="C986" s="73"/>
      <c r="D986" s="73"/>
      <c r="E986" s="82"/>
      <c r="F986" s="82"/>
      <c r="G986" s="82"/>
      <c r="H986" s="86"/>
      <c r="I986" s="86"/>
      <c r="J986" s="82"/>
      <c r="K986" s="82"/>
      <c r="L986" s="82"/>
      <c r="M986" s="82"/>
      <c r="N986" s="82"/>
      <c r="O986" s="82"/>
      <c r="P986" s="82"/>
      <c r="Q986" s="82"/>
      <c r="R986" s="82"/>
      <c r="S986" s="82"/>
      <c r="T986" s="82"/>
      <c r="U986" s="82"/>
      <c r="V986" s="82"/>
      <c r="W986" s="82"/>
      <c r="X986" s="82"/>
      <c r="Y986" s="82"/>
      <c r="Z986" s="82"/>
      <c r="AA986" s="82"/>
      <c r="AB986" s="82"/>
      <c r="AC986" s="82"/>
      <c r="AD986" s="82"/>
      <c r="AE986" s="82"/>
      <c r="AF986" s="82"/>
      <c r="AG986" s="82"/>
      <c r="AH986" s="82"/>
      <c r="AI986" s="82"/>
      <c r="AJ986" s="82"/>
      <c r="AK986" s="82"/>
      <c r="AL986" s="82"/>
      <c r="AM986" s="82"/>
      <c r="AN986" s="82">
        <f>IFERROR(__xludf.DUMMYFUNCTION("""COMPUTED_VALUE"""),0.0)</f>
        <v>0</v>
      </c>
      <c r="AO986" s="82">
        <f>IFERROR(__xludf.DUMMYFUNCTION("""COMPUTED_VALUE"""),0.0)</f>
        <v>0</v>
      </c>
      <c r="AP986" s="82">
        <f>IFERROR(__xludf.DUMMYFUNCTION("""COMPUTED_VALUE"""),0.0)</f>
        <v>0</v>
      </c>
      <c r="AQ986" s="82">
        <f>IFERROR(__xludf.DUMMYFUNCTION("""COMPUTED_VALUE"""),0.0)</f>
        <v>0</v>
      </c>
      <c r="AR986" s="82">
        <f>IFERROR(__xludf.DUMMYFUNCTION("""COMPUTED_VALUE"""),0.0)</f>
        <v>0</v>
      </c>
      <c r="AS986" s="82"/>
      <c r="AT986" s="82">
        <f>IFERROR(__xludf.DUMMYFUNCTION("""COMPUTED_VALUE"""),0.0)</f>
        <v>0</v>
      </c>
      <c r="AU986" s="82"/>
      <c r="AV986" s="82"/>
      <c r="AW986" s="82" t="str">
        <f t="shared" si="1"/>
        <v/>
      </c>
      <c r="AX986" s="83" t="str">
        <f t="array" ref="AX986">IFERROR(DGET('SBV Import'!A:G,"SBV",{"RSC ID","Tier";B986,A986}))</f>
        <v/>
      </c>
      <c r="AY986" s="82" t="str">
        <f t="shared" si="2"/>
        <v/>
      </c>
      <c r="AZ986" s="82"/>
      <c r="BA986" s="84" t="s">
        <v>152</v>
      </c>
      <c r="BB986" s="84" t="str">
        <f>IFERROR(__xludf.DUMMYFUNCTION("iferror(if(A986="""",,E986&gt;=FILTER(Constants!$F$2:$F$10,Constants!$A$2:$A$10=A986)))"),"")</f>
        <v/>
      </c>
    </row>
    <row r="987">
      <c r="A987" s="80"/>
      <c r="B987" s="73"/>
      <c r="C987" s="73"/>
      <c r="D987" s="73"/>
      <c r="E987" s="82"/>
      <c r="F987" s="82"/>
      <c r="G987" s="82"/>
      <c r="H987" s="86"/>
      <c r="I987" s="86"/>
      <c r="J987" s="82"/>
      <c r="K987" s="82"/>
      <c r="L987" s="82"/>
      <c r="M987" s="82"/>
      <c r="N987" s="82"/>
      <c r="O987" s="82"/>
      <c r="P987" s="82"/>
      <c r="Q987" s="82"/>
      <c r="R987" s="82"/>
      <c r="S987" s="82"/>
      <c r="T987" s="82"/>
      <c r="U987" s="82"/>
      <c r="V987" s="82"/>
      <c r="W987" s="82"/>
      <c r="X987" s="82"/>
      <c r="Y987" s="82"/>
      <c r="Z987" s="82"/>
      <c r="AA987" s="82"/>
      <c r="AB987" s="82"/>
      <c r="AC987" s="82"/>
      <c r="AD987" s="82"/>
      <c r="AE987" s="82"/>
      <c r="AF987" s="82"/>
      <c r="AG987" s="82"/>
      <c r="AH987" s="82"/>
      <c r="AI987" s="82"/>
      <c r="AJ987" s="82"/>
      <c r="AK987" s="82"/>
      <c r="AL987" s="82"/>
      <c r="AM987" s="82"/>
      <c r="AN987" s="82">
        <f>IFERROR(__xludf.DUMMYFUNCTION("""COMPUTED_VALUE"""),0.0)</f>
        <v>0</v>
      </c>
      <c r="AO987" s="82">
        <f>IFERROR(__xludf.DUMMYFUNCTION("""COMPUTED_VALUE"""),0.0)</f>
        <v>0</v>
      </c>
      <c r="AP987" s="82">
        <f>IFERROR(__xludf.DUMMYFUNCTION("""COMPUTED_VALUE"""),0.0)</f>
        <v>0</v>
      </c>
      <c r="AQ987" s="82">
        <f>IFERROR(__xludf.DUMMYFUNCTION("""COMPUTED_VALUE"""),0.0)</f>
        <v>0</v>
      </c>
      <c r="AR987" s="82">
        <f>IFERROR(__xludf.DUMMYFUNCTION("""COMPUTED_VALUE"""),0.0)</f>
        <v>0</v>
      </c>
      <c r="AS987" s="82"/>
      <c r="AT987" s="82">
        <f>IFERROR(__xludf.DUMMYFUNCTION("""COMPUTED_VALUE"""),0.0)</f>
        <v>0</v>
      </c>
      <c r="AU987" s="82"/>
      <c r="AV987" s="82"/>
      <c r="AW987" s="82" t="str">
        <f t="shared" si="1"/>
        <v/>
      </c>
      <c r="AX987" s="83" t="str">
        <f t="array" ref="AX987">IFERROR(DGET('SBV Import'!A:G,"SBV",{"RSC ID","Tier";B987,A987}))</f>
        <v/>
      </c>
      <c r="AY987" s="82" t="str">
        <f t="shared" si="2"/>
        <v/>
      </c>
      <c r="AZ987" s="82"/>
      <c r="BA987" s="84" t="s">
        <v>152</v>
      </c>
      <c r="BB987" s="84" t="str">
        <f>IFERROR(__xludf.DUMMYFUNCTION("iferror(if(A987="""",,E987&gt;=FILTER(Constants!$F$2:$F$10,Constants!$A$2:$A$10=A987)))"),"")</f>
        <v/>
      </c>
    </row>
    <row r="988">
      <c r="A988" s="80"/>
      <c r="B988" s="73"/>
      <c r="C988" s="73"/>
      <c r="D988" s="73"/>
      <c r="E988" s="82"/>
      <c r="F988" s="82"/>
      <c r="G988" s="82"/>
      <c r="H988" s="86"/>
      <c r="I988" s="86"/>
      <c r="J988" s="82"/>
      <c r="K988" s="82"/>
      <c r="L988" s="82"/>
      <c r="M988" s="82"/>
      <c r="N988" s="82"/>
      <c r="O988" s="82"/>
      <c r="P988" s="82"/>
      <c r="Q988" s="82"/>
      <c r="R988" s="82"/>
      <c r="S988" s="82"/>
      <c r="T988" s="82"/>
      <c r="U988" s="82"/>
      <c r="V988" s="82"/>
      <c r="W988" s="82"/>
      <c r="X988" s="82"/>
      <c r="Y988" s="82"/>
      <c r="Z988" s="82"/>
      <c r="AA988" s="82"/>
      <c r="AB988" s="82"/>
      <c r="AC988" s="82"/>
      <c r="AD988" s="82"/>
      <c r="AE988" s="82"/>
      <c r="AF988" s="82"/>
      <c r="AG988" s="82"/>
      <c r="AH988" s="82"/>
      <c r="AI988" s="82"/>
      <c r="AJ988" s="82"/>
      <c r="AK988" s="82"/>
      <c r="AL988" s="82"/>
      <c r="AM988" s="82"/>
      <c r="AN988" s="82">
        <f>IFERROR(__xludf.DUMMYFUNCTION("""COMPUTED_VALUE"""),0.0)</f>
        <v>0</v>
      </c>
      <c r="AO988" s="82">
        <f>IFERROR(__xludf.DUMMYFUNCTION("""COMPUTED_VALUE"""),0.0)</f>
        <v>0</v>
      </c>
      <c r="AP988" s="82">
        <f>IFERROR(__xludf.DUMMYFUNCTION("""COMPUTED_VALUE"""),0.0)</f>
        <v>0</v>
      </c>
      <c r="AQ988" s="82">
        <f>IFERROR(__xludf.DUMMYFUNCTION("""COMPUTED_VALUE"""),0.0)</f>
        <v>0</v>
      </c>
      <c r="AR988" s="82">
        <f>IFERROR(__xludf.DUMMYFUNCTION("""COMPUTED_VALUE"""),0.0)</f>
        <v>0</v>
      </c>
      <c r="AS988" s="82"/>
      <c r="AT988" s="82">
        <f>IFERROR(__xludf.DUMMYFUNCTION("""COMPUTED_VALUE"""),0.0)</f>
        <v>0</v>
      </c>
      <c r="AU988" s="82"/>
      <c r="AV988" s="82"/>
      <c r="AW988" s="82" t="str">
        <f t="shared" si="1"/>
        <v/>
      </c>
      <c r="AX988" s="83" t="str">
        <f t="array" ref="AX988">IFERROR(DGET('SBV Import'!A:G,"SBV",{"RSC ID","Tier";B988,A988}))</f>
        <v/>
      </c>
      <c r="AY988" s="82" t="str">
        <f t="shared" si="2"/>
        <v/>
      </c>
      <c r="AZ988" s="82"/>
      <c r="BA988" s="84" t="s">
        <v>152</v>
      </c>
      <c r="BB988" s="84" t="str">
        <f>IFERROR(__xludf.DUMMYFUNCTION("iferror(if(A988="""",,E988&gt;=FILTER(Constants!$F$2:$F$10,Constants!$A$2:$A$10=A988)))"),"")</f>
        <v/>
      </c>
    </row>
    <row r="989">
      <c r="A989" s="80"/>
      <c r="B989" s="73"/>
      <c r="C989" s="73"/>
      <c r="D989" s="73"/>
      <c r="E989" s="82"/>
      <c r="F989" s="82"/>
      <c r="G989" s="82"/>
      <c r="H989" s="86"/>
      <c r="I989" s="86"/>
      <c r="J989" s="82"/>
      <c r="K989" s="82"/>
      <c r="L989" s="82"/>
      <c r="M989" s="82"/>
      <c r="N989" s="82"/>
      <c r="O989" s="82"/>
      <c r="P989" s="82"/>
      <c r="Q989" s="82"/>
      <c r="R989" s="82"/>
      <c r="S989" s="82"/>
      <c r="T989" s="82"/>
      <c r="U989" s="82"/>
      <c r="V989" s="82"/>
      <c r="W989" s="82"/>
      <c r="X989" s="82"/>
      <c r="Y989" s="82"/>
      <c r="Z989" s="82"/>
      <c r="AA989" s="82"/>
      <c r="AB989" s="82"/>
      <c r="AC989" s="82"/>
      <c r="AD989" s="82"/>
      <c r="AE989" s="82"/>
      <c r="AF989" s="82"/>
      <c r="AG989" s="82"/>
      <c r="AH989" s="82"/>
      <c r="AI989" s="82"/>
      <c r="AJ989" s="82"/>
      <c r="AK989" s="82"/>
      <c r="AL989" s="82"/>
      <c r="AM989" s="82"/>
      <c r="AN989" s="82">
        <f>IFERROR(__xludf.DUMMYFUNCTION("""COMPUTED_VALUE"""),0.0)</f>
        <v>0</v>
      </c>
      <c r="AO989" s="82">
        <f>IFERROR(__xludf.DUMMYFUNCTION("""COMPUTED_VALUE"""),0.0)</f>
        <v>0</v>
      </c>
      <c r="AP989" s="82">
        <f>IFERROR(__xludf.DUMMYFUNCTION("""COMPUTED_VALUE"""),0.0)</f>
        <v>0</v>
      </c>
      <c r="AQ989" s="82">
        <f>IFERROR(__xludf.DUMMYFUNCTION("""COMPUTED_VALUE"""),0.0)</f>
        <v>0</v>
      </c>
      <c r="AR989" s="82">
        <f>IFERROR(__xludf.DUMMYFUNCTION("""COMPUTED_VALUE"""),0.0)</f>
        <v>0</v>
      </c>
      <c r="AS989" s="82"/>
      <c r="AT989" s="82">
        <f>IFERROR(__xludf.DUMMYFUNCTION("""COMPUTED_VALUE"""),0.0)</f>
        <v>0</v>
      </c>
      <c r="AU989" s="82"/>
      <c r="AV989" s="82"/>
      <c r="AW989" s="82" t="str">
        <f t="shared" si="1"/>
        <v/>
      </c>
      <c r="AX989" s="83" t="str">
        <f t="array" ref="AX989">IFERROR(DGET('SBV Import'!A:G,"SBV",{"RSC ID","Tier";B989,A989}))</f>
        <v/>
      </c>
      <c r="AY989" s="82" t="str">
        <f t="shared" si="2"/>
        <v/>
      </c>
      <c r="AZ989" s="82"/>
      <c r="BA989" s="84" t="s">
        <v>152</v>
      </c>
      <c r="BB989" s="84" t="str">
        <f>IFERROR(__xludf.DUMMYFUNCTION("iferror(if(A989="""",,E989&gt;=FILTER(Constants!$F$2:$F$10,Constants!$A$2:$A$10=A989)))"),"")</f>
        <v/>
      </c>
    </row>
    <row r="990">
      <c r="A990" s="80"/>
      <c r="B990" s="73"/>
      <c r="C990" s="73"/>
      <c r="D990" s="73"/>
      <c r="E990" s="82"/>
      <c r="F990" s="82"/>
      <c r="G990" s="82"/>
      <c r="H990" s="86"/>
      <c r="I990" s="86"/>
      <c r="J990" s="82"/>
      <c r="K990" s="82"/>
      <c r="L990" s="82"/>
      <c r="M990" s="82"/>
      <c r="N990" s="82"/>
      <c r="O990" s="82"/>
      <c r="P990" s="82"/>
      <c r="Q990" s="82"/>
      <c r="R990" s="82"/>
      <c r="S990" s="82"/>
      <c r="T990" s="82"/>
      <c r="U990" s="82"/>
      <c r="V990" s="82"/>
      <c r="W990" s="82"/>
      <c r="X990" s="82"/>
      <c r="Y990" s="82"/>
      <c r="Z990" s="82"/>
      <c r="AA990" s="82"/>
      <c r="AB990" s="82"/>
      <c r="AC990" s="82"/>
      <c r="AD990" s="82"/>
      <c r="AE990" s="82"/>
      <c r="AF990" s="82"/>
      <c r="AG990" s="82"/>
      <c r="AH990" s="82"/>
      <c r="AI990" s="82"/>
      <c r="AJ990" s="82"/>
      <c r="AK990" s="82"/>
      <c r="AL990" s="82"/>
      <c r="AM990" s="82"/>
      <c r="AN990" s="82">
        <f>IFERROR(__xludf.DUMMYFUNCTION("""COMPUTED_VALUE"""),0.0)</f>
        <v>0</v>
      </c>
      <c r="AO990" s="82">
        <f>IFERROR(__xludf.DUMMYFUNCTION("""COMPUTED_VALUE"""),0.0)</f>
        <v>0</v>
      </c>
      <c r="AP990" s="82">
        <f>IFERROR(__xludf.DUMMYFUNCTION("""COMPUTED_VALUE"""),0.0)</f>
        <v>0</v>
      </c>
      <c r="AQ990" s="82">
        <f>IFERROR(__xludf.DUMMYFUNCTION("""COMPUTED_VALUE"""),0.0)</f>
        <v>0</v>
      </c>
      <c r="AR990" s="82">
        <f>IFERROR(__xludf.DUMMYFUNCTION("""COMPUTED_VALUE"""),0.0)</f>
        <v>0</v>
      </c>
      <c r="AS990" s="82"/>
      <c r="AT990" s="82">
        <f>IFERROR(__xludf.DUMMYFUNCTION("""COMPUTED_VALUE"""),0.0)</f>
        <v>0</v>
      </c>
      <c r="AU990" s="82"/>
      <c r="AV990" s="82"/>
      <c r="AW990" s="82" t="str">
        <f t="shared" si="1"/>
        <v/>
      </c>
      <c r="AX990" s="83" t="str">
        <f t="array" ref="AX990">IFERROR(DGET('SBV Import'!A:G,"SBV",{"RSC ID","Tier";B990,A990}))</f>
        <v/>
      </c>
      <c r="AY990" s="82" t="str">
        <f t="shared" si="2"/>
        <v/>
      </c>
      <c r="AZ990" s="82"/>
      <c r="BA990" s="84" t="s">
        <v>152</v>
      </c>
      <c r="BB990" s="84" t="str">
        <f>IFERROR(__xludf.DUMMYFUNCTION("iferror(if(A990="""",,E990&gt;=FILTER(Constants!$F$2:$F$10,Constants!$A$2:$A$10=A990)))"),"")</f>
        <v/>
      </c>
    </row>
    <row r="991">
      <c r="A991" s="80"/>
      <c r="B991" s="73"/>
      <c r="C991" s="73"/>
      <c r="D991" s="73"/>
      <c r="E991" s="82"/>
      <c r="F991" s="82"/>
      <c r="G991" s="82"/>
      <c r="H991" s="86"/>
      <c r="I991" s="86"/>
      <c r="J991" s="82"/>
      <c r="K991" s="82"/>
      <c r="L991" s="82"/>
      <c r="M991" s="82"/>
      <c r="N991" s="82"/>
      <c r="O991" s="82"/>
      <c r="P991" s="82"/>
      <c r="Q991" s="82"/>
      <c r="R991" s="82"/>
      <c r="S991" s="82"/>
      <c r="T991" s="82"/>
      <c r="U991" s="82"/>
      <c r="V991" s="82"/>
      <c r="W991" s="82"/>
      <c r="X991" s="82"/>
      <c r="Y991" s="82"/>
      <c r="Z991" s="82"/>
      <c r="AA991" s="82"/>
      <c r="AB991" s="82"/>
      <c r="AC991" s="82"/>
      <c r="AD991" s="82"/>
      <c r="AE991" s="82"/>
      <c r="AF991" s="82"/>
      <c r="AG991" s="82"/>
      <c r="AH991" s="82"/>
      <c r="AI991" s="82"/>
      <c r="AJ991" s="82"/>
      <c r="AK991" s="82"/>
      <c r="AL991" s="82"/>
      <c r="AM991" s="82"/>
      <c r="AN991" s="82">
        <f>IFERROR(__xludf.DUMMYFUNCTION("""COMPUTED_VALUE"""),0.0)</f>
        <v>0</v>
      </c>
      <c r="AO991" s="82">
        <f>IFERROR(__xludf.DUMMYFUNCTION("""COMPUTED_VALUE"""),0.0)</f>
        <v>0</v>
      </c>
      <c r="AP991" s="82">
        <f>IFERROR(__xludf.DUMMYFUNCTION("""COMPUTED_VALUE"""),0.0)</f>
        <v>0</v>
      </c>
      <c r="AQ991" s="82">
        <f>IFERROR(__xludf.DUMMYFUNCTION("""COMPUTED_VALUE"""),0.0)</f>
        <v>0</v>
      </c>
      <c r="AR991" s="82">
        <f>IFERROR(__xludf.DUMMYFUNCTION("""COMPUTED_VALUE"""),0.0)</f>
        <v>0</v>
      </c>
      <c r="AS991" s="82"/>
      <c r="AT991" s="82">
        <f>IFERROR(__xludf.DUMMYFUNCTION("""COMPUTED_VALUE"""),0.0)</f>
        <v>0</v>
      </c>
      <c r="AU991" s="82"/>
      <c r="AV991" s="82"/>
      <c r="AW991" s="82" t="str">
        <f t="shared" si="1"/>
        <v/>
      </c>
      <c r="AX991" s="83" t="str">
        <f t="array" ref="AX991">IFERROR(DGET('SBV Import'!A:G,"SBV",{"RSC ID","Tier";B991,A991}))</f>
        <v/>
      </c>
      <c r="AY991" s="82" t="str">
        <f t="shared" si="2"/>
        <v/>
      </c>
      <c r="AZ991" s="82"/>
      <c r="BA991" s="84" t="s">
        <v>152</v>
      </c>
      <c r="BB991" s="84" t="str">
        <f>IFERROR(__xludf.DUMMYFUNCTION("iferror(if(A991="""",,E991&gt;=FILTER(Constants!$F$2:$F$10,Constants!$A$2:$A$10=A991)))"),"")</f>
        <v/>
      </c>
    </row>
    <row r="992">
      <c r="A992" s="80"/>
      <c r="B992" s="73"/>
      <c r="C992" s="73"/>
      <c r="D992" s="73"/>
      <c r="E992" s="82"/>
      <c r="F992" s="82"/>
      <c r="G992" s="82"/>
      <c r="H992" s="86"/>
      <c r="I992" s="86"/>
      <c r="J992" s="82"/>
      <c r="K992" s="82"/>
      <c r="L992" s="82"/>
      <c r="M992" s="82"/>
      <c r="N992" s="82"/>
      <c r="O992" s="82"/>
      <c r="P992" s="82"/>
      <c r="Q992" s="82"/>
      <c r="R992" s="82"/>
      <c r="S992" s="82"/>
      <c r="T992" s="82"/>
      <c r="U992" s="82"/>
      <c r="V992" s="82"/>
      <c r="W992" s="82"/>
      <c r="X992" s="82"/>
      <c r="Y992" s="82"/>
      <c r="Z992" s="82"/>
      <c r="AA992" s="82"/>
      <c r="AB992" s="82"/>
      <c r="AC992" s="82"/>
      <c r="AD992" s="82"/>
      <c r="AE992" s="82"/>
      <c r="AF992" s="82"/>
      <c r="AG992" s="82"/>
      <c r="AH992" s="82"/>
      <c r="AI992" s="82"/>
      <c r="AJ992" s="82"/>
      <c r="AK992" s="82"/>
      <c r="AL992" s="82"/>
      <c r="AM992" s="82"/>
      <c r="AN992" s="82">
        <f>IFERROR(__xludf.DUMMYFUNCTION("""COMPUTED_VALUE"""),0.0)</f>
        <v>0</v>
      </c>
      <c r="AO992" s="82">
        <f>IFERROR(__xludf.DUMMYFUNCTION("""COMPUTED_VALUE"""),0.0)</f>
        <v>0</v>
      </c>
      <c r="AP992" s="82">
        <f>IFERROR(__xludf.DUMMYFUNCTION("""COMPUTED_VALUE"""),0.0)</f>
        <v>0</v>
      </c>
      <c r="AQ992" s="82">
        <f>IFERROR(__xludf.DUMMYFUNCTION("""COMPUTED_VALUE"""),0.0)</f>
        <v>0</v>
      </c>
      <c r="AR992" s="82">
        <f>IFERROR(__xludf.DUMMYFUNCTION("""COMPUTED_VALUE"""),0.0)</f>
        <v>0</v>
      </c>
      <c r="AS992" s="82"/>
      <c r="AT992" s="82">
        <f>IFERROR(__xludf.DUMMYFUNCTION("""COMPUTED_VALUE"""),0.0)</f>
        <v>0</v>
      </c>
      <c r="AU992" s="82"/>
      <c r="AV992" s="82"/>
      <c r="AW992" s="82" t="str">
        <f t="shared" si="1"/>
        <v/>
      </c>
      <c r="AX992" s="83" t="str">
        <f t="array" ref="AX992">IFERROR(DGET('SBV Import'!A:G,"SBV",{"RSC ID","Tier";B992,A992}))</f>
        <v/>
      </c>
      <c r="AY992" s="82" t="str">
        <f t="shared" si="2"/>
        <v/>
      </c>
      <c r="AZ992" s="82"/>
      <c r="BA992" s="84" t="s">
        <v>152</v>
      </c>
      <c r="BB992" s="84" t="str">
        <f>IFERROR(__xludf.DUMMYFUNCTION("iferror(if(A992="""",,E992&gt;=FILTER(Constants!$F$2:$F$10,Constants!$A$2:$A$10=A992)))"),"")</f>
        <v/>
      </c>
    </row>
    <row r="993">
      <c r="A993" s="80"/>
      <c r="B993" s="73"/>
      <c r="C993" s="73"/>
      <c r="D993" s="73"/>
      <c r="E993" s="82"/>
      <c r="F993" s="82"/>
      <c r="G993" s="82"/>
      <c r="H993" s="86"/>
      <c r="I993" s="86"/>
      <c r="J993" s="82"/>
      <c r="K993" s="82"/>
      <c r="L993" s="82"/>
      <c r="M993" s="82"/>
      <c r="N993" s="82"/>
      <c r="O993" s="82"/>
      <c r="P993" s="82"/>
      <c r="Q993" s="82"/>
      <c r="R993" s="82"/>
      <c r="S993" s="82"/>
      <c r="T993" s="82"/>
      <c r="U993" s="82"/>
      <c r="V993" s="82"/>
      <c r="W993" s="82"/>
      <c r="X993" s="82"/>
      <c r="Y993" s="82"/>
      <c r="Z993" s="82"/>
      <c r="AA993" s="82"/>
      <c r="AB993" s="82"/>
      <c r="AC993" s="82"/>
      <c r="AD993" s="82"/>
      <c r="AE993" s="82"/>
      <c r="AF993" s="82"/>
      <c r="AG993" s="82"/>
      <c r="AH993" s="82"/>
      <c r="AI993" s="82"/>
      <c r="AJ993" s="82"/>
      <c r="AK993" s="82"/>
      <c r="AL993" s="82"/>
      <c r="AM993" s="82"/>
      <c r="AN993" s="82">
        <f>IFERROR(__xludf.DUMMYFUNCTION("""COMPUTED_VALUE"""),0.0)</f>
        <v>0</v>
      </c>
      <c r="AO993" s="82">
        <f>IFERROR(__xludf.DUMMYFUNCTION("""COMPUTED_VALUE"""),0.0)</f>
        <v>0</v>
      </c>
      <c r="AP993" s="82">
        <f>IFERROR(__xludf.DUMMYFUNCTION("""COMPUTED_VALUE"""),0.0)</f>
        <v>0</v>
      </c>
      <c r="AQ993" s="82">
        <f>IFERROR(__xludf.DUMMYFUNCTION("""COMPUTED_VALUE"""),0.0)</f>
        <v>0</v>
      </c>
      <c r="AR993" s="82">
        <f>IFERROR(__xludf.DUMMYFUNCTION("""COMPUTED_VALUE"""),0.0)</f>
        <v>0</v>
      </c>
      <c r="AS993" s="82"/>
      <c r="AT993" s="82">
        <f>IFERROR(__xludf.DUMMYFUNCTION("""COMPUTED_VALUE"""),0.0)</f>
        <v>0</v>
      </c>
      <c r="AU993" s="82"/>
      <c r="AV993" s="82"/>
      <c r="AW993" s="82" t="str">
        <f t="shared" si="1"/>
        <v/>
      </c>
      <c r="AX993" s="83" t="str">
        <f t="array" ref="AX993">IFERROR(DGET('SBV Import'!A:G,"SBV",{"RSC ID","Tier";B993,A993}))</f>
        <v/>
      </c>
      <c r="AY993" s="82" t="str">
        <f t="shared" si="2"/>
        <v/>
      </c>
      <c r="AZ993" s="82"/>
      <c r="BA993" s="84" t="s">
        <v>152</v>
      </c>
      <c r="BB993" s="84" t="str">
        <f>IFERROR(__xludf.DUMMYFUNCTION("iferror(if(A993="""",,E993&gt;=FILTER(Constants!$F$2:$F$10,Constants!$A$2:$A$10=A993)))"),"")</f>
        <v/>
      </c>
    </row>
    <row r="994">
      <c r="A994" s="80"/>
      <c r="B994" s="73"/>
      <c r="C994" s="73"/>
      <c r="D994" s="73"/>
      <c r="E994" s="82"/>
      <c r="F994" s="82"/>
      <c r="G994" s="82"/>
      <c r="H994" s="86"/>
      <c r="I994" s="86"/>
      <c r="J994" s="82"/>
      <c r="K994" s="82"/>
      <c r="L994" s="82"/>
      <c r="M994" s="82"/>
      <c r="N994" s="82"/>
      <c r="O994" s="82"/>
      <c r="P994" s="82"/>
      <c r="Q994" s="82"/>
      <c r="R994" s="82"/>
      <c r="S994" s="82"/>
      <c r="T994" s="82"/>
      <c r="U994" s="82"/>
      <c r="V994" s="82"/>
      <c r="W994" s="82"/>
      <c r="X994" s="82"/>
      <c r="Y994" s="82"/>
      <c r="Z994" s="82"/>
      <c r="AA994" s="82"/>
      <c r="AB994" s="82"/>
      <c r="AC994" s="82"/>
      <c r="AD994" s="82"/>
      <c r="AE994" s="82"/>
      <c r="AF994" s="82"/>
      <c r="AG994" s="82"/>
      <c r="AH994" s="82"/>
      <c r="AI994" s="82"/>
      <c r="AJ994" s="82"/>
      <c r="AK994" s="82"/>
      <c r="AL994" s="82"/>
      <c r="AM994" s="82"/>
      <c r="AN994" s="82">
        <f>IFERROR(__xludf.DUMMYFUNCTION("""COMPUTED_VALUE"""),0.0)</f>
        <v>0</v>
      </c>
      <c r="AO994" s="82">
        <f>IFERROR(__xludf.DUMMYFUNCTION("""COMPUTED_VALUE"""),0.0)</f>
        <v>0</v>
      </c>
      <c r="AP994" s="82">
        <f>IFERROR(__xludf.DUMMYFUNCTION("""COMPUTED_VALUE"""),0.0)</f>
        <v>0</v>
      </c>
      <c r="AQ994" s="82">
        <f>IFERROR(__xludf.DUMMYFUNCTION("""COMPUTED_VALUE"""),0.0)</f>
        <v>0</v>
      </c>
      <c r="AR994" s="82">
        <f>IFERROR(__xludf.DUMMYFUNCTION("""COMPUTED_VALUE"""),0.0)</f>
        <v>0</v>
      </c>
      <c r="AS994" s="82"/>
      <c r="AT994" s="82">
        <f>IFERROR(__xludf.DUMMYFUNCTION("""COMPUTED_VALUE"""),0.0)</f>
        <v>0</v>
      </c>
      <c r="AU994" s="82"/>
      <c r="AV994" s="82"/>
      <c r="AW994" s="82" t="str">
        <f t="shared" si="1"/>
        <v/>
      </c>
      <c r="AX994" s="83" t="str">
        <f t="array" ref="AX994">IFERROR(DGET('SBV Import'!A:G,"SBV",{"RSC ID","Tier";B994,A994}))</f>
        <v/>
      </c>
      <c r="AY994" s="82" t="str">
        <f t="shared" si="2"/>
        <v/>
      </c>
      <c r="AZ994" s="82"/>
      <c r="BA994" s="84" t="s">
        <v>152</v>
      </c>
      <c r="BB994" s="84" t="str">
        <f>IFERROR(__xludf.DUMMYFUNCTION("iferror(if(A994="""",,E994&gt;=FILTER(Constants!$F$2:$F$10,Constants!$A$2:$A$10=A994)))"),"")</f>
        <v/>
      </c>
    </row>
    <row r="995">
      <c r="A995" s="80"/>
      <c r="B995" s="73"/>
      <c r="C995" s="73"/>
      <c r="D995" s="73"/>
      <c r="E995" s="82"/>
      <c r="F995" s="82"/>
      <c r="G995" s="82"/>
      <c r="H995" s="86"/>
      <c r="I995" s="86"/>
      <c r="J995" s="82"/>
      <c r="K995" s="82"/>
      <c r="L995" s="82"/>
      <c r="M995" s="82"/>
      <c r="N995" s="82"/>
      <c r="O995" s="82"/>
      <c r="P995" s="82"/>
      <c r="Q995" s="82"/>
      <c r="R995" s="82"/>
      <c r="S995" s="82"/>
      <c r="T995" s="82"/>
      <c r="U995" s="82"/>
      <c r="V995" s="82"/>
      <c r="W995" s="82"/>
      <c r="X995" s="82"/>
      <c r="Y995" s="82"/>
      <c r="Z995" s="82"/>
      <c r="AA995" s="82"/>
      <c r="AB995" s="82"/>
      <c r="AC995" s="82"/>
      <c r="AD995" s="82"/>
      <c r="AE995" s="82"/>
      <c r="AF995" s="82"/>
      <c r="AG995" s="82"/>
      <c r="AH995" s="82"/>
      <c r="AI995" s="82"/>
      <c r="AJ995" s="82"/>
      <c r="AK995" s="82"/>
      <c r="AL995" s="82"/>
      <c r="AM995" s="82"/>
      <c r="AN995" s="82">
        <f>IFERROR(__xludf.DUMMYFUNCTION("""COMPUTED_VALUE"""),0.0)</f>
        <v>0</v>
      </c>
      <c r="AO995" s="82">
        <f>IFERROR(__xludf.DUMMYFUNCTION("""COMPUTED_VALUE"""),0.0)</f>
        <v>0</v>
      </c>
      <c r="AP995" s="82">
        <f>IFERROR(__xludf.DUMMYFUNCTION("""COMPUTED_VALUE"""),0.0)</f>
        <v>0</v>
      </c>
      <c r="AQ995" s="82">
        <f>IFERROR(__xludf.DUMMYFUNCTION("""COMPUTED_VALUE"""),0.0)</f>
        <v>0</v>
      </c>
      <c r="AR995" s="82">
        <f>IFERROR(__xludf.DUMMYFUNCTION("""COMPUTED_VALUE"""),0.0)</f>
        <v>0</v>
      </c>
      <c r="AS995" s="82"/>
      <c r="AT995" s="82">
        <f>IFERROR(__xludf.DUMMYFUNCTION("""COMPUTED_VALUE"""),0.0)</f>
        <v>0</v>
      </c>
      <c r="AU995" s="82"/>
      <c r="AV995" s="82"/>
      <c r="AW995" s="82" t="str">
        <f t="shared" si="1"/>
        <v/>
      </c>
      <c r="AX995" s="83" t="str">
        <f t="array" ref="AX995">IFERROR(DGET('SBV Import'!A:G,"SBV",{"RSC ID","Tier";B995,A995}))</f>
        <v/>
      </c>
      <c r="AY995" s="82" t="str">
        <f t="shared" si="2"/>
        <v/>
      </c>
      <c r="AZ995" s="82"/>
      <c r="BA995" s="84" t="s">
        <v>152</v>
      </c>
      <c r="BB995" s="84" t="str">
        <f>IFERROR(__xludf.DUMMYFUNCTION("iferror(if(A995="""",,E995&gt;=FILTER(Constants!$F$2:$F$10,Constants!$A$2:$A$10=A995)))"),"")</f>
        <v/>
      </c>
    </row>
    <row r="996">
      <c r="A996" s="80"/>
      <c r="B996" s="73"/>
      <c r="C996" s="73"/>
      <c r="D996" s="73"/>
      <c r="E996" s="82"/>
      <c r="F996" s="82"/>
      <c r="G996" s="82"/>
      <c r="H996" s="86"/>
      <c r="I996" s="86"/>
      <c r="J996" s="82"/>
      <c r="K996" s="82"/>
      <c r="L996" s="82"/>
      <c r="M996" s="82"/>
      <c r="N996" s="82"/>
      <c r="O996" s="82"/>
      <c r="P996" s="82"/>
      <c r="Q996" s="82"/>
      <c r="R996" s="82"/>
      <c r="S996" s="82"/>
      <c r="T996" s="82"/>
      <c r="U996" s="82"/>
      <c r="V996" s="82"/>
      <c r="W996" s="82"/>
      <c r="X996" s="82"/>
      <c r="Y996" s="82"/>
      <c r="Z996" s="82"/>
      <c r="AA996" s="82"/>
      <c r="AB996" s="82"/>
      <c r="AC996" s="82"/>
      <c r="AD996" s="82"/>
      <c r="AE996" s="82"/>
      <c r="AF996" s="82"/>
      <c r="AG996" s="82"/>
      <c r="AH996" s="82"/>
      <c r="AI996" s="82"/>
      <c r="AJ996" s="82"/>
      <c r="AK996" s="82"/>
      <c r="AL996" s="82"/>
      <c r="AM996" s="82"/>
      <c r="AN996" s="82">
        <f>IFERROR(__xludf.DUMMYFUNCTION("""COMPUTED_VALUE"""),0.0)</f>
        <v>0</v>
      </c>
      <c r="AO996" s="82">
        <f>IFERROR(__xludf.DUMMYFUNCTION("""COMPUTED_VALUE"""),0.0)</f>
        <v>0</v>
      </c>
      <c r="AP996" s="82">
        <f>IFERROR(__xludf.DUMMYFUNCTION("""COMPUTED_VALUE"""),0.0)</f>
        <v>0</v>
      </c>
      <c r="AQ996" s="82">
        <f>IFERROR(__xludf.DUMMYFUNCTION("""COMPUTED_VALUE"""),0.0)</f>
        <v>0</v>
      </c>
      <c r="AR996" s="82">
        <f>IFERROR(__xludf.DUMMYFUNCTION("""COMPUTED_VALUE"""),0.0)</f>
        <v>0</v>
      </c>
      <c r="AS996" s="82"/>
      <c r="AT996" s="82">
        <f>IFERROR(__xludf.DUMMYFUNCTION("""COMPUTED_VALUE"""),0.0)</f>
        <v>0</v>
      </c>
      <c r="AU996" s="82"/>
      <c r="AV996" s="82"/>
      <c r="AW996" s="82" t="str">
        <f t="shared" si="1"/>
        <v/>
      </c>
      <c r="AX996" s="83" t="str">
        <f t="array" ref="AX996">IFERROR(DGET('SBV Import'!A:G,"SBV",{"RSC ID","Tier";B996,A996}))</f>
        <v/>
      </c>
      <c r="AY996" s="82" t="str">
        <f t="shared" si="2"/>
        <v/>
      </c>
      <c r="AZ996" s="82"/>
      <c r="BA996" s="84" t="s">
        <v>152</v>
      </c>
      <c r="BB996" s="84" t="str">
        <f>IFERROR(__xludf.DUMMYFUNCTION("iferror(if(A996="""",,E996&gt;=FILTER(Constants!$F$2:$F$10,Constants!$A$2:$A$10=A996)))"),"")</f>
        <v/>
      </c>
    </row>
    <row r="997">
      <c r="A997" s="80"/>
      <c r="B997" s="73"/>
      <c r="C997" s="73"/>
      <c r="D997" s="73"/>
      <c r="E997" s="82"/>
      <c r="F997" s="82"/>
      <c r="G997" s="82"/>
      <c r="H997" s="86"/>
      <c r="I997" s="86"/>
      <c r="J997" s="82"/>
      <c r="K997" s="82"/>
      <c r="L997" s="82"/>
      <c r="M997" s="82"/>
      <c r="N997" s="82"/>
      <c r="O997" s="82"/>
      <c r="P997" s="82"/>
      <c r="Q997" s="82"/>
      <c r="R997" s="82"/>
      <c r="S997" s="82"/>
      <c r="T997" s="82"/>
      <c r="U997" s="82"/>
      <c r="V997" s="82"/>
      <c r="W997" s="82"/>
      <c r="X997" s="82"/>
      <c r="Y997" s="82"/>
      <c r="Z997" s="82"/>
      <c r="AA997" s="82"/>
      <c r="AB997" s="82"/>
      <c r="AC997" s="82"/>
      <c r="AD997" s="82"/>
      <c r="AE997" s="82"/>
      <c r="AF997" s="82"/>
      <c r="AG997" s="82"/>
      <c r="AH997" s="82"/>
      <c r="AI997" s="82"/>
      <c r="AJ997" s="82"/>
      <c r="AK997" s="82"/>
      <c r="AL997" s="82"/>
      <c r="AM997" s="82"/>
      <c r="AN997" s="82">
        <f>IFERROR(__xludf.DUMMYFUNCTION("""COMPUTED_VALUE"""),0.0)</f>
        <v>0</v>
      </c>
      <c r="AO997" s="82">
        <f>IFERROR(__xludf.DUMMYFUNCTION("""COMPUTED_VALUE"""),0.0)</f>
        <v>0</v>
      </c>
      <c r="AP997" s="82">
        <f>IFERROR(__xludf.DUMMYFUNCTION("""COMPUTED_VALUE"""),0.0)</f>
        <v>0</v>
      </c>
      <c r="AQ997" s="82">
        <f>IFERROR(__xludf.DUMMYFUNCTION("""COMPUTED_VALUE"""),0.0)</f>
        <v>0</v>
      </c>
      <c r="AR997" s="82">
        <f>IFERROR(__xludf.DUMMYFUNCTION("""COMPUTED_VALUE"""),0.0)</f>
        <v>0</v>
      </c>
      <c r="AS997" s="82"/>
      <c r="AT997" s="82">
        <f>IFERROR(__xludf.DUMMYFUNCTION("""COMPUTED_VALUE"""),0.0)</f>
        <v>0</v>
      </c>
      <c r="AU997" s="82"/>
      <c r="AV997" s="82"/>
      <c r="AW997" s="82" t="str">
        <f t="shared" si="1"/>
        <v/>
      </c>
      <c r="AX997" s="83" t="str">
        <f t="array" ref="AX997">IFERROR(DGET('SBV Import'!A:G,"SBV",{"RSC ID","Tier";B997,A997}))</f>
        <v/>
      </c>
      <c r="AY997" s="82" t="str">
        <f t="shared" si="2"/>
        <v/>
      </c>
      <c r="AZ997" s="82"/>
      <c r="BA997" s="84" t="s">
        <v>152</v>
      </c>
      <c r="BB997" s="84" t="str">
        <f>IFERROR(__xludf.DUMMYFUNCTION("iferror(if(A997="""",,E997&gt;=FILTER(Constants!$F$2:$F$10,Constants!$A$2:$A$10=A997)))"),"")</f>
        <v/>
      </c>
    </row>
    <row r="998">
      <c r="A998" s="80"/>
      <c r="B998" s="73"/>
      <c r="C998" s="73"/>
      <c r="D998" s="73"/>
      <c r="E998" s="82"/>
      <c r="F998" s="82"/>
      <c r="G998" s="82"/>
      <c r="H998" s="86"/>
      <c r="I998" s="86"/>
      <c r="J998" s="82"/>
      <c r="K998" s="82"/>
      <c r="L998" s="82"/>
      <c r="M998" s="82"/>
      <c r="N998" s="82"/>
      <c r="O998" s="82"/>
      <c r="P998" s="82"/>
      <c r="Q998" s="82"/>
      <c r="R998" s="82"/>
      <c r="S998" s="82"/>
      <c r="T998" s="82"/>
      <c r="U998" s="82"/>
      <c r="V998" s="82"/>
      <c r="W998" s="82"/>
      <c r="X998" s="82"/>
      <c r="Y998" s="82"/>
      <c r="Z998" s="82"/>
      <c r="AA998" s="82"/>
      <c r="AB998" s="82"/>
      <c r="AC998" s="82"/>
      <c r="AD998" s="82"/>
      <c r="AE998" s="82"/>
      <c r="AF998" s="82"/>
      <c r="AG998" s="82"/>
      <c r="AH998" s="82"/>
      <c r="AI998" s="82"/>
      <c r="AJ998" s="82"/>
      <c r="AK998" s="82"/>
      <c r="AL998" s="82"/>
      <c r="AM998" s="82"/>
      <c r="AN998" s="82">
        <f>IFERROR(__xludf.DUMMYFUNCTION("""COMPUTED_VALUE"""),0.0)</f>
        <v>0</v>
      </c>
      <c r="AO998" s="82">
        <f>IFERROR(__xludf.DUMMYFUNCTION("""COMPUTED_VALUE"""),0.0)</f>
        <v>0</v>
      </c>
      <c r="AP998" s="82">
        <f>IFERROR(__xludf.DUMMYFUNCTION("""COMPUTED_VALUE"""),0.0)</f>
        <v>0</v>
      </c>
      <c r="AQ998" s="82">
        <f>IFERROR(__xludf.DUMMYFUNCTION("""COMPUTED_VALUE"""),0.0)</f>
        <v>0</v>
      </c>
      <c r="AR998" s="82">
        <f>IFERROR(__xludf.DUMMYFUNCTION("""COMPUTED_VALUE"""),0.0)</f>
        <v>0</v>
      </c>
      <c r="AS998" s="82"/>
      <c r="AT998" s="82">
        <f>IFERROR(__xludf.DUMMYFUNCTION("""COMPUTED_VALUE"""),0.0)</f>
        <v>0</v>
      </c>
      <c r="AU998" s="82"/>
      <c r="AV998" s="82"/>
      <c r="AW998" s="82" t="str">
        <f t="shared" si="1"/>
        <v/>
      </c>
      <c r="AX998" s="83" t="str">
        <f t="array" ref="AX998">IFERROR(DGET('SBV Import'!A:G,"SBV",{"RSC ID","Tier";B998,A998}))</f>
        <v/>
      </c>
      <c r="AY998" s="82" t="str">
        <f t="shared" si="2"/>
        <v/>
      </c>
      <c r="AZ998" s="82"/>
      <c r="BA998" s="84" t="s">
        <v>152</v>
      </c>
      <c r="BB998" s="84" t="str">
        <f>IFERROR(__xludf.DUMMYFUNCTION("iferror(if(A998="""",,E998&gt;=FILTER(Constants!$F$2:$F$10,Constants!$A$2:$A$10=A998)))"),"")</f>
        <v/>
      </c>
    </row>
    <row r="999">
      <c r="A999" s="80"/>
      <c r="B999" s="73"/>
      <c r="C999" s="73"/>
      <c r="D999" s="73"/>
      <c r="E999" s="82"/>
      <c r="F999" s="82"/>
      <c r="G999" s="82"/>
      <c r="H999" s="86"/>
      <c r="I999" s="86"/>
      <c r="J999" s="82"/>
      <c r="K999" s="82"/>
      <c r="L999" s="82"/>
      <c r="M999" s="82"/>
      <c r="N999" s="82"/>
      <c r="O999" s="82"/>
      <c r="P999" s="82"/>
      <c r="Q999" s="82"/>
      <c r="R999" s="82"/>
      <c r="S999" s="82"/>
      <c r="T999" s="82"/>
      <c r="U999" s="82"/>
      <c r="V999" s="82"/>
      <c r="W999" s="82"/>
      <c r="X999" s="82"/>
      <c r="Y999" s="82"/>
      <c r="Z999" s="82"/>
      <c r="AA999" s="82"/>
      <c r="AB999" s="82"/>
      <c r="AC999" s="82"/>
      <c r="AD999" s="82"/>
      <c r="AE999" s="82"/>
      <c r="AF999" s="82"/>
      <c r="AG999" s="82"/>
      <c r="AH999" s="82"/>
      <c r="AI999" s="82"/>
      <c r="AJ999" s="82"/>
      <c r="AK999" s="82"/>
      <c r="AL999" s="82"/>
      <c r="AM999" s="82"/>
      <c r="AN999" s="82">
        <f>IFERROR(__xludf.DUMMYFUNCTION("""COMPUTED_VALUE"""),0.0)</f>
        <v>0</v>
      </c>
      <c r="AO999" s="82">
        <f>IFERROR(__xludf.DUMMYFUNCTION("""COMPUTED_VALUE"""),0.0)</f>
        <v>0</v>
      </c>
      <c r="AP999" s="82">
        <f>IFERROR(__xludf.DUMMYFUNCTION("""COMPUTED_VALUE"""),0.0)</f>
        <v>0</v>
      </c>
      <c r="AQ999" s="82">
        <f>IFERROR(__xludf.DUMMYFUNCTION("""COMPUTED_VALUE"""),0.0)</f>
        <v>0</v>
      </c>
      <c r="AR999" s="82">
        <f>IFERROR(__xludf.DUMMYFUNCTION("""COMPUTED_VALUE"""),0.0)</f>
        <v>0</v>
      </c>
      <c r="AS999" s="82"/>
      <c r="AT999" s="82">
        <f>IFERROR(__xludf.DUMMYFUNCTION("""COMPUTED_VALUE"""),0.0)</f>
        <v>0</v>
      </c>
      <c r="AU999" s="82"/>
      <c r="AV999" s="82"/>
      <c r="AW999" s="82" t="str">
        <f t="shared" si="1"/>
        <v/>
      </c>
      <c r="AX999" s="83" t="str">
        <f t="array" ref="AX999">IFERROR(DGET('SBV Import'!A:G,"SBV",{"RSC ID","Tier";B999,A999}))</f>
        <v/>
      </c>
      <c r="AY999" s="82" t="str">
        <f t="shared" si="2"/>
        <v/>
      </c>
      <c r="AZ999" s="82"/>
      <c r="BA999" s="84" t="s">
        <v>152</v>
      </c>
      <c r="BB999" s="84" t="str">
        <f>IFERROR(__xludf.DUMMYFUNCTION("iferror(if(A999="""",,E999&gt;=FILTER(Constants!$F$2:$F$10,Constants!$A$2:$A$10=A999)))"),"")</f>
        <v/>
      </c>
    </row>
    <row r="1000">
      <c r="A1000" s="80"/>
      <c r="B1000" s="73"/>
      <c r="C1000" s="73"/>
      <c r="D1000" s="73"/>
      <c r="E1000" s="82"/>
      <c r="F1000" s="82"/>
      <c r="G1000" s="82"/>
      <c r="H1000" s="86"/>
      <c r="I1000" s="86"/>
      <c r="J1000" s="82"/>
      <c r="K1000" s="82"/>
      <c r="L1000" s="82"/>
      <c r="M1000" s="82"/>
      <c r="N1000" s="82"/>
      <c r="O1000" s="82"/>
      <c r="P1000" s="82"/>
      <c r="Q1000" s="82"/>
      <c r="R1000" s="82"/>
      <c r="S1000" s="82"/>
      <c r="T1000" s="82"/>
      <c r="U1000" s="82"/>
      <c r="V1000" s="82"/>
      <c r="W1000" s="82"/>
      <c r="X1000" s="82"/>
      <c r="Y1000" s="82"/>
      <c r="Z1000" s="82"/>
      <c r="AA1000" s="82"/>
      <c r="AB1000" s="82"/>
      <c r="AC1000" s="82"/>
      <c r="AD1000" s="82"/>
      <c r="AE1000" s="82"/>
      <c r="AF1000" s="82"/>
      <c r="AG1000" s="82"/>
      <c r="AH1000" s="82"/>
      <c r="AI1000" s="82"/>
      <c r="AJ1000" s="82"/>
      <c r="AK1000" s="82"/>
      <c r="AL1000" s="82"/>
      <c r="AM1000" s="82"/>
      <c r="AN1000" s="82">
        <f>IFERROR(__xludf.DUMMYFUNCTION("""COMPUTED_VALUE"""),0.0)</f>
        <v>0</v>
      </c>
      <c r="AO1000" s="82">
        <f>IFERROR(__xludf.DUMMYFUNCTION("""COMPUTED_VALUE"""),0.0)</f>
        <v>0</v>
      </c>
      <c r="AP1000" s="82">
        <f>IFERROR(__xludf.DUMMYFUNCTION("""COMPUTED_VALUE"""),0.0)</f>
        <v>0</v>
      </c>
      <c r="AQ1000" s="82">
        <f>IFERROR(__xludf.DUMMYFUNCTION("""COMPUTED_VALUE"""),0.0)</f>
        <v>0</v>
      </c>
      <c r="AR1000" s="82">
        <f>IFERROR(__xludf.DUMMYFUNCTION("""COMPUTED_VALUE"""),0.0)</f>
        <v>0</v>
      </c>
      <c r="AS1000" s="82"/>
      <c r="AT1000" s="82">
        <f>IFERROR(__xludf.DUMMYFUNCTION("""COMPUTED_VALUE"""),0.0)</f>
        <v>0</v>
      </c>
      <c r="AU1000" s="82"/>
      <c r="AV1000" s="82"/>
      <c r="AW1000" s="82" t="str">
        <f t="shared" si="1"/>
        <v/>
      </c>
      <c r="AX1000" s="83" t="str">
        <f t="array" ref="AX1000">IFERROR(DGET('SBV Import'!A:G,"SBV",{"RSC ID","Tier";B1000,A1000}))</f>
        <v/>
      </c>
      <c r="AY1000" s="82" t="str">
        <f t="shared" si="2"/>
        <v/>
      </c>
      <c r="AZ1000" s="82"/>
      <c r="BA1000" s="84" t="s">
        <v>152</v>
      </c>
      <c r="BB1000" s="84" t="str">
        <f>IFERROR(__xludf.DUMMYFUNCTION("iferror(if(A1000="""",,E1000&gt;=FILTER(Constants!$F$2:$F$10,Constants!$A$2:$A$10=A1000)))"),"")</f>
        <v/>
      </c>
    </row>
    <row r="1001">
      <c r="A1001" s="80"/>
      <c r="B1001" s="73"/>
      <c r="C1001" s="73"/>
      <c r="D1001" s="73"/>
      <c r="E1001" s="82"/>
      <c r="F1001" s="82"/>
      <c r="G1001" s="82"/>
      <c r="H1001" s="86"/>
      <c r="I1001" s="86"/>
      <c r="J1001" s="82"/>
      <c r="K1001" s="82"/>
      <c r="L1001" s="82"/>
      <c r="M1001" s="82"/>
      <c r="N1001" s="82"/>
      <c r="O1001" s="82"/>
      <c r="P1001" s="82"/>
      <c r="Q1001" s="82"/>
      <c r="R1001" s="82"/>
      <c r="S1001" s="82"/>
      <c r="T1001" s="82"/>
      <c r="U1001" s="82"/>
      <c r="V1001" s="82"/>
      <c r="W1001" s="82"/>
      <c r="X1001" s="82"/>
      <c r="Y1001" s="82"/>
      <c r="Z1001" s="82"/>
      <c r="AA1001" s="82"/>
      <c r="AB1001" s="82"/>
      <c r="AC1001" s="82"/>
      <c r="AD1001" s="82"/>
      <c r="AE1001" s="82"/>
      <c r="AF1001" s="82"/>
      <c r="AG1001" s="82"/>
      <c r="AH1001" s="82"/>
      <c r="AI1001" s="82"/>
      <c r="AJ1001" s="82"/>
      <c r="AK1001" s="82"/>
      <c r="AL1001" s="82"/>
      <c r="AM1001" s="82"/>
      <c r="AN1001" s="82">
        <f>IFERROR(__xludf.DUMMYFUNCTION("""COMPUTED_VALUE"""),0.0)</f>
        <v>0</v>
      </c>
      <c r="AO1001" s="82">
        <f>IFERROR(__xludf.DUMMYFUNCTION("""COMPUTED_VALUE"""),0.0)</f>
        <v>0</v>
      </c>
      <c r="AP1001" s="82">
        <f>IFERROR(__xludf.DUMMYFUNCTION("""COMPUTED_VALUE"""),0.0)</f>
        <v>0</v>
      </c>
      <c r="AQ1001" s="82">
        <f>IFERROR(__xludf.DUMMYFUNCTION("""COMPUTED_VALUE"""),0.0)</f>
        <v>0</v>
      </c>
      <c r="AR1001" s="82">
        <f>IFERROR(__xludf.DUMMYFUNCTION("""COMPUTED_VALUE"""),0.0)</f>
        <v>0</v>
      </c>
      <c r="AS1001" s="82"/>
      <c r="AT1001" s="82">
        <f>IFERROR(__xludf.DUMMYFUNCTION("""COMPUTED_VALUE"""),0.0)</f>
        <v>0</v>
      </c>
      <c r="AU1001" s="82"/>
      <c r="AV1001" s="82"/>
      <c r="AW1001" s="82" t="str">
        <f t="shared" si="1"/>
        <v/>
      </c>
      <c r="AX1001" s="83" t="str">
        <f t="array" ref="AX1001">IFERROR(DGET('SBV Import'!A:G,"SBV",{"RSC ID","Tier";B1001,A1001}))</f>
        <v/>
      </c>
      <c r="AY1001" s="82" t="str">
        <f t="shared" si="2"/>
        <v/>
      </c>
      <c r="AZ1001" s="82"/>
      <c r="BA1001" s="84" t="s">
        <v>152</v>
      </c>
      <c r="BB1001" s="84" t="str">
        <f>IFERROR(__xludf.DUMMYFUNCTION("iferror(if(A1001="""",,E1001&gt;=FILTER(Constants!$F$2:$F$10,Constants!$A$2:$A$10=A1001)))"),"")</f>
        <v/>
      </c>
    </row>
    <row r="1002">
      <c r="A1002" s="80"/>
      <c r="B1002" s="73"/>
      <c r="C1002" s="73"/>
      <c r="D1002" s="73"/>
      <c r="E1002" s="82"/>
      <c r="F1002" s="82"/>
      <c r="G1002" s="82"/>
      <c r="H1002" s="86"/>
      <c r="I1002" s="86"/>
      <c r="J1002" s="82"/>
      <c r="K1002" s="82"/>
      <c r="L1002" s="82"/>
      <c r="M1002" s="82"/>
      <c r="N1002" s="82"/>
      <c r="O1002" s="82"/>
      <c r="P1002" s="82"/>
      <c r="Q1002" s="82"/>
      <c r="R1002" s="82"/>
      <c r="S1002" s="82"/>
      <c r="T1002" s="82"/>
      <c r="U1002" s="82"/>
      <c r="V1002" s="82"/>
      <c r="W1002" s="82"/>
      <c r="X1002" s="82"/>
      <c r="Y1002" s="82"/>
      <c r="Z1002" s="82"/>
      <c r="AA1002" s="82"/>
      <c r="AB1002" s="82"/>
      <c r="AC1002" s="82"/>
      <c r="AD1002" s="82"/>
      <c r="AE1002" s="82"/>
      <c r="AF1002" s="82"/>
      <c r="AG1002" s="82"/>
      <c r="AH1002" s="82"/>
      <c r="AI1002" s="82"/>
      <c r="AJ1002" s="82"/>
      <c r="AK1002" s="82"/>
      <c r="AL1002" s="82"/>
      <c r="AM1002" s="82"/>
      <c r="AN1002" s="82">
        <f>IFERROR(__xludf.DUMMYFUNCTION("""COMPUTED_VALUE"""),0.0)</f>
        <v>0</v>
      </c>
      <c r="AO1002" s="82">
        <f>IFERROR(__xludf.DUMMYFUNCTION("""COMPUTED_VALUE"""),0.0)</f>
        <v>0</v>
      </c>
      <c r="AP1002" s="82">
        <f>IFERROR(__xludf.DUMMYFUNCTION("""COMPUTED_VALUE"""),0.0)</f>
        <v>0</v>
      </c>
      <c r="AQ1002" s="82">
        <f>IFERROR(__xludf.DUMMYFUNCTION("""COMPUTED_VALUE"""),0.0)</f>
        <v>0</v>
      </c>
      <c r="AR1002" s="82">
        <f>IFERROR(__xludf.DUMMYFUNCTION("""COMPUTED_VALUE"""),0.0)</f>
        <v>0</v>
      </c>
      <c r="AS1002" s="82"/>
      <c r="AT1002" s="82">
        <f>IFERROR(__xludf.DUMMYFUNCTION("""COMPUTED_VALUE"""),0.0)</f>
        <v>0</v>
      </c>
      <c r="AU1002" s="82"/>
      <c r="AV1002" s="82"/>
      <c r="AW1002" s="82" t="str">
        <f t="shared" si="1"/>
        <v/>
      </c>
      <c r="AX1002" s="83" t="str">
        <f t="array" ref="AX1002">IFERROR(DGET('SBV Import'!A:G,"SBV",{"RSC ID","Tier";B1002,A1002}))</f>
        <v/>
      </c>
      <c r="AY1002" s="82" t="str">
        <f t="shared" si="2"/>
        <v/>
      </c>
      <c r="AZ1002" s="82"/>
      <c r="BA1002" s="84" t="s">
        <v>152</v>
      </c>
      <c r="BB1002" s="84" t="str">
        <f>IFERROR(__xludf.DUMMYFUNCTION("iferror(if(A1002="""",,E1002&gt;=FILTER(Constants!$F$2:$F$10,Constants!$A$2:$A$10=A1002)))"),"")</f>
        <v/>
      </c>
    </row>
    <row r="1003">
      <c r="A1003" s="80"/>
      <c r="B1003" s="73"/>
      <c r="C1003" s="73"/>
      <c r="D1003" s="73"/>
      <c r="E1003" s="82"/>
      <c r="F1003" s="82"/>
      <c r="G1003" s="82"/>
      <c r="H1003" s="86"/>
      <c r="I1003" s="86"/>
      <c r="J1003" s="82"/>
      <c r="K1003" s="82"/>
      <c r="L1003" s="82"/>
      <c r="M1003" s="82"/>
      <c r="N1003" s="82"/>
      <c r="O1003" s="82"/>
      <c r="P1003" s="82"/>
      <c r="Q1003" s="82"/>
      <c r="R1003" s="82"/>
      <c r="S1003" s="82"/>
      <c r="T1003" s="82"/>
      <c r="U1003" s="82"/>
      <c r="V1003" s="82"/>
      <c r="W1003" s="82"/>
      <c r="X1003" s="82"/>
      <c r="Y1003" s="82"/>
      <c r="Z1003" s="82"/>
      <c r="AA1003" s="82"/>
      <c r="AB1003" s="82"/>
      <c r="AC1003" s="82"/>
      <c r="AD1003" s="82"/>
      <c r="AE1003" s="82"/>
      <c r="AF1003" s="82"/>
      <c r="AG1003" s="82"/>
      <c r="AH1003" s="82"/>
      <c r="AI1003" s="82"/>
      <c r="AJ1003" s="82"/>
      <c r="AK1003" s="82"/>
      <c r="AL1003" s="82"/>
      <c r="AM1003" s="82"/>
      <c r="AN1003" s="82">
        <f>IFERROR(__xludf.DUMMYFUNCTION("""COMPUTED_VALUE"""),0.0)</f>
        <v>0</v>
      </c>
      <c r="AO1003" s="82">
        <f>IFERROR(__xludf.DUMMYFUNCTION("""COMPUTED_VALUE"""),0.0)</f>
        <v>0</v>
      </c>
      <c r="AP1003" s="82">
        <f>IFERROR(__xludf.DUMMYFUNCTION("""COMPUTED_VALUE"""),0.0)</f>
        <v>0</v>
      </c>
      <c r="AQ1003" s="82">
        <f>IFERROR(__xludf.DUMMYFUNCTION("""COMPUTED_VALUE"""),0.0)</f>
        <v>0</v>
      </c>
      <c r="AR1003" s="82">
        <f>IFERROR(__xludf.DUMMYFUNCTION("""COMPUTED_VALUE"""),0.0)</f>
        <v>0</v>
      </c>
      <c r="AS1003" s="82"/>
      <c r="AT1003" s="82">
        <f>IFERROR(__xludf.DUMMYFUNCTION("""COMPUTED_VALUE"""),0.0)</f>
        <v>0</v>
      </c>
      <c r="AU1003" s="82"/>
      <c r="AV1003" s="82"/>
      <c r="AW1003" s="82" t="str">
        <f t="shared" si="1"/>
        <v/>
      </c>
      <c r="AX1003" s="83" t="str">
        <f t="array" ref="AX1003">IFERROR(DGET('SBV Import'!A:G,"SBV",{"RSC ID","Tier";B1003,A1003}))</f>
        <v/>
      </c>
      <c r="AY1003" s="82" t="str">
        <f t="shared" si="2"/>
        <v/>
      </c>
      <c r="AZ1003" s="82"/>
      <c r="BA1003" s="84" t="s">
        <v>152</v>
      </c>
      <c r="BB1003" s="84" t="str">
        <f>IFERROR(__xludf.DUMMYFUNCTION("iferror(if(A1003="""",,E1003&gt;=FILTER(Constants!$F$2:$F$10,Constants!$A$2:$A$10=A1003)))"),"")</f>
        <v/>
      </c>
    </row>
    <row r="1004">
      <c r="A1004" s="80"/>
      <c r="B1004" s="73"/>
      <c r="C1004" s="73"/>
      <c r="D1004" s="73"/>
      <c r="E1004" s="82"/>
      <c r="F1004" s="82"/>
      <c r="G1004" s="82"/>
      <c r="H1004" s="86"/>
      <c r="I1004" s="86"/>
      <c r="J1004" s="82"/>
      <c r="K1004" s="82"/>
      <c r="L1004" s="82"/>
      <c r="M1004" s="82"/>
      <c r="N1004" s="82"/>
      <c r="O1004" s="82"/>
      <c r="P1004" s="82"/>
      <c r="Q1004" s="82"/>
      <c r="R1004" s="82"/>
      <c r="S1004" s="82"/>
      <c r="T1004" s="82"/>
      <c r="U1004" s="82"/>
      <c r="V1004" s="82"/>
      <c r="W1004" s="82"/>
      <c r="X1004" s="82"/>
      <c r="Y1004" s="82"/>
      <c r="Z1004" s="82"/>
      <c r="AA1004" s="82"/>
      <c r="AB1004" s="82"/>
      <c r="AC1004" s="82"/>
      <c r="AD1004" s="82"/>
      <c r="AE1004" s="82"/>
      <c r="AF1004" s="82"/>
      <c r="AG1004" s="82"/>
      <c r="AH1004" s="82"/>
      <c r="AI1004" s="82"/>
      <c r="AJ1004" s="82"/>
      <c r="AK1004" s="82"/>
      <c r="AL1004" s="82"/>
      <c r="AM1004" s="82"/>
      <c r="AN1004" s="82">
        <f>IFERROR(__xludf.DUMMYFUNCTION("""COMPUTED_VALUE"""),0.0)</f>
        <v>0</v>
      </c>
      <c r="AO1004" s="82">
        <f>IFERROR(__xludf.DUMMYFUNCTION("""COMPUTED_VALUE"""),0.0)</f>
        <v>0</v>
      </c>
      <c r="AP1004" s="82">
        <f>IFERROR(__xludf.DUMMYFUNCTION("""COMPUTED_VALUE"""),0.0)</f>
        <v>0</v>
      </c>
      <c r="AQ1004" s="82">
        <f>IFERROR(__xludf.DUMMYFUNCTION("""COMPUTED_VALUE"""),0.0)</f>
        <v>0</v>
      </c>
      <c r="AR1004" s="82">
        <f>IFERROR(__xludf.DUMMYFUNCTION("""COMPUTED_VALUE"""),0.0)</f>
        <v>0</v>
      </c>
      <c r="AS1004" s="82"/>
      <c r="AT1004" s="82">
        <f>IFERROR(__xludf.DUMMYFUNCTION("""COMPUTED_VALUE"""),0.0)</f>
        <v>0</v>
      </c>
      <c r="AU1004" s="82"/>
      <c r="AV1004" s="82"/>
      <c r="AW1004" s="82" t="str">
        <f t="shared" si="1"/>
        <v/>
      </c>
      <c r="AX1004" s="83" t="str">
        <f t="array" ref="AX1004">IFERROR(DGET('SBV Import'!A:G,"SBV",{"RSC ID","Tier";B1004,A1004}))</f>
        <v/>
      </c>
      <c r="AY1004" s="82" t="str">
        <f t="shared" si="2"/>
        <v/>
      </c>
      <c r="AZ1004" s="82"/>
      <c r="BA1004" s="84" t="s">
        <v>152</v>
      </c>
      <c r="BB1004" s="84" t="str">
        <f>IFERROR(__xludf.DUMMYFUNCTION("iferror(if(A1004="""",,E1004&gt;=FILTER(Constants!$F$2:$F$10,Constants!$A$2:$A$10=A1004)))"),"")</f>
        <v/>
      </c>
    </row>
    <row r="1005">
      <c r="A1005" s="80"/>
      <c r="B1005" s="73"/>
      <c r="C1005" s="73"/>
      <c r="D1005" s="73"/>
      <c r="E1005" s="82"/>
      <c r="F1005" s="82"/>
      <c r="G1005" s="82"/>
      <c r="H1005" s="86"/>
      <c r="I1005" s="86"/>
      <c r="J1005" s="82"/>
      <c r="K1005" s="82"/>
      <c r="L1005" s="82"/>
      <c r="M1005" s="82"/>
      <c r="N1005" s="82"/>
      <c r="O1005" s="82"/>
      <c r="P1005" s="82"/>
      <c r="Q1005" s="82"/>
      <c r="R1005" s="82"/>
      <c r="S1005" s="82"/>
      <c r="T1005" s="82"/>
      <c r="U1005" s="82"/>
      <c r="V1005" s="82"/>
      <c r="W1005" s="82"/>
      <c r="X1005" s="82"/>
      <c r="Y1005" s="82"/>
      <c r="Z1005" s="82"/>
      <c r="AA1005" s="82"/>
      <c r="AB1005" s="82"/>
      <c r="AC1005" s="82"/>
      <c r="AD1005" s="82"/>
      <c r="AE1005" s="82"/>
      <c r="AF1005" s="82"/>
      <c r="AG1005" s="82"/>
      <c r="AH1005" s="82"/>
      <c r="AI1005" s="82"/>
      <c r="AJ1005" s="82"/>
      <c r="AK1005" s="82"/>
      <c r="AL1005" s="82"/>
      <c r="AM1005" s="82"/>
      <c r="AN1005" s="82">
        <f>IFERROR(__xludf.DUMMYFUNCTION("""COMPUTED_VALUE"""),0.0)</f>
        <v>0</v>
      </c>
      <c r="AO1005" s="82">
        <f>IFERROR(__xludf.DUMMYFUNCTION("""COMPUTED_VALUE"""),0.0)</f>
        <v>0</v>
      </c>
      <c r="AP1005" s="82">
        <f>IFERROR(__xludf.DUMMYFUNCTION("""COMPUTED_VALUE"""),0.0)</f>
        <v>0</v>
      </c>
      <c r="AQ1005" s="82">
        <f>IFERROR(__xludf.DUMMYFUNCTION("""COMPUTED_VALUE"""),0.0)</f>
        <v>0</v>
      </c>
      <c r="AR1005" s="82">
        <f>IFERROR(__xludf.DUMMYFUNCTION("""COMPUTED_VALUE"""),0.0)</f>
        <v>0</v>
      </c>
      <c r="AS1005" s="82"/>
      <c r="AT1005" s="82">
        <f>IFERROR(__xludf.DUMMYFUNCTION("""COMPUTED_VALUE"""),0.0)</f>
        <v>0</v>
      </c>
      <c r="AU1005" s="82"/>
      <c r="AV1005" s="82"/>
      <c r="AW1005" s="82" t="str">
        <f t="shared" si="1"/>
        <v/>
      </c>
      <c r="AX1005" s="83" t="str">
        <f t="array" ref="AX1005">IFERROR(DGET('SBV Import'!A:G,"SBV",{"RSC ID","Tier";B1005,A1005}))</f>
        <v/>
      </c>
      <c r="AY1005" s="82" t="str">
        <f t="shared" si="2"/>
        <v/>
      </c>
      <c r="AZ1005" s="82"/>
      <c r="BA1005" s="84" t="s">
        <v>152</v>
      </c>
      <c r="BB1005" s="84" t="str">
        <f>IFERROR(__xludf.DUMMYFUNCTION("iferror(if(A1005="""",,E1005&gt;=FILTER(Constants!$F$2:$F$10,Constants!$A$2:$A$10=A1005)))"),"")</f>
        <v/>
      </c>
    </row>
    <row r="1006">
      <c r="A1006" s="80"/>
      <c r="B1006" s="73"/>
      <c r="C1006" s="73"/>
      <c r="D1006" s="73"/>
      <c r="E1006" s="82"/>
      <c r="F1006" s="82"/>
      <c r="G1006" s="82"/>
      <c r="H1006" s="86"/>
      <c r="I1006" s="86"/>
      <c r="J1006" s="82"/>
      <c r="K1006" s="82"/>
      <c r="L1006" s="82"/>
      <c r="M1006" s="82"/>
      <c r="N1006" s="82"/>
      <c r="O1006" s="82"/>
      <c r="P1006" s="82"/>
      <c r="Q1006" s="82"/>
      <c r="R1006" s="82"/>
      <c r="S1006" s="82"/>
      <c r="T1006" s="82"/>
      <c r="U1006" s="82"/>
      <c r="V1006" s="82"/>
      <c r="W1006" s="82"/>
      <c r="X1006" s="82"/>
      <c r="Y1006" s="82"/>
      <c r="Z1006" s="82"/>
      <c r="AA1006" s="82"/>
      <c r="AB1006" s="82"/>
      <c r="AC1006" s="82"/>
      <c r="AD1006" s="82"/>
      <c r="AE1006" s="82"/>
      <c r="AF1006" s="82"/>
      <c r="AG1006" s="82"/>
      <c r="AH1006" s="82"/>
      <c r="AI1006" s="82"/>
      <c r="AJ1006" s="82"/>
      <c r="AK1006" s="82"/>
      <c r="AL1006" s="82"/>
      <c r="AM1006" s="82"/>
      <c r="AN1006" s="82">
        <f>IFERROR(__xludf.DUMMYFUNCTION("""COMPUTED_VALUE"""),0.0)</f>
        <v>0</v>
      </c>
      <c r="AO1006" s="82">
        <f>IFERROR(__xludf.DUMMYFUNCTION("""COMPUTED_VALUE"""),0.0)</f>
        <v>0</v>
      </c>
      <c r="AP1006" s="82">
        <f>IFERROR(__xludf.DUMMYFUNCTION("""COMPUTED_VALUE"""),0.0)</f>
        <v>0</v>
      </c>
      <c r="AQ1006" s="82">
        <f>IFERROR(__xludf.DUMMYFUNCTION("""COMPUTED_VALUE"""),0.0)</f>
        <v>0</v>
      </c>
      <c r="AR1006" s="82">
        <f>IFERROR(__xludf.DUMMYFUNCTION("""COMPUTED_VALUE"""),0.0)</f>
        <v>0</v>
      </c>
      <c r="AS1006" s="82"/>
      <c r="AT1006" s="82">
        <f>IFERROR(__xludf.DUMMYFUNCTION("""COMPUTED_VALUE"""),0.0)</f>
        <v>0</v>
      </c>
      <c r="AU1006" s="82"/>
      <c r="AV1006" s="82"/>
      <c r="AW1006" s="82" t="str">
        <f t="shared" si="1"/>
        <v/>
      </c>
      <c r="AX1006" s="83" t="str">
        <f t="array" ref="AX1006">IFERROR(DGET('SBV Import'!A:G,"SBV",{"RSC ID","Tier";B1006,A1006}))</f>
        <v/>
      </c>
      <c r="AY1006" s="82" t="str">
        <f t="shared" si="2"/>
        <v/>
      </c>
      <c r="AZ1006" s="82"/>
      <c r="BA1006" s="84" t="s">
        <v>152</v>
      </c>
      <c r="BB1006" s="84" t="str">
        <f>IFERROR(__xludf.DUMMYFUNCTION("iferror(if(A1006="""",,E1006&gt;=FILTER(Constants!$F$2:$F$10,Constants!$A$2:$A$10=A1006)))"),"")</f>
        <v/>
      </c>
    </row>
    <row r="1007">
      <c r="A1007" s="80"/>
      <c r="B1007" s="73"/>
      <c r="C1007" s="73"/>
      <c r="D1007" s="73"/>
      <c r="E1007" s="82"/>
      <c r="F1007" s="82"/>
      <c r="G1007" s="82"/>
      <c r="H1007" s="86"/>
      <c r="I1007" s="86"/>
      <c r="J1007" s="82"/>
      <c r="K1007" s="82"/>
      <c r="L1007" s="82"/>
      <c r="M1007" s="82"/>
      <c r="N1007" s="82"/>
      <c r="O1007" s="82"/>
      <c r="P1007" s="82"/>
      <c r="Q1007" s="82"/>
      <c r="R1007" s="82"/>
      <c r="S1007" s="82"/>
      <c r="T1007" s="82"/>
      <c r="U1007" s="82"/>
      <c r="V1007" s="82"/>
      <c r="W1007" s="82"/>
      <c r="X1007" s="82"/>
      <c r="Y1007" s="82"/>
      <c r="Z1007" s="82"/>
      <c r="AA1007" s="82"/>
      <c r="AB1007" s="82"/>
      <c r="AC1007" s="82"/>
      <c r="AD1007" s="82"/>
      <c r="AE1007" s="82"/>
      <c r="AF1007" s="82"/>
      <c r="AG1007" s="82"/>
      <c r="AH1007" s="82"/>
      <c r="AI1007" s="82"/>
      <c r="AJ1007" s="82"/>
      <c r="AK1007" s="82"/>
      <c r="AL1007" s="82"/>
      <c r="AM1007" s="82"/>
      <c r="AN1007" s="82">
        <f>IFERROR(__xludf.DUMMYFUNCTION("""COMPUTED_VALUE"""),0.0)</f>
        <v>0</v>
      </c>
      <c r="AO1007" s="82">
        <f>IFERROR(__xludf.DUMMYFUNCTION("""COMPUTED_VALUE"""),0.0)</f>
        <v>0</v>
      </c>
      <c r="AP1007" s="82">
        <f>IFERROR(__xludf.DUMMYFUNCTION("""COMPUTED_VALUE"""),0.0)</f>
        <v>0</v>
      </c>
      <c r="AQ1007" s="82">
        <f>IFERROR(__xludf.DUMMYFUNCTION("""COMPUTED_VALUE"""),0.0)</f>
        <v>0</v>
      </c>
      <c r="AR1007" s="82">
        <f>IFERROR(__xludf.DUMMYFUNCTION("""COMPUTED_VALUE"""),0.0)</f>
        <v>0</v>
      </c>
      <c r="AS1007" s="82"/>
      <c r="AT1007" s="82">
        <f>IFERROR(__xludf.DUMMYFUNCTION("""COMPUTED_VALUE"""),0.0)</f>
        <v>0</v>
      </c>
      <c r="AU1007" s="82"/>
      <c r="AV1007" s="82"/>
      <c r="AW1007" s="82" t="str">
        <f t="shared" si="1"/>
        <v/>
      </c>
      <c r="AX1007" s="83" t="str">
        <f t="array" ref="AX1007">IFERROR(DGET('SBV Import'!A:G,"SBV",{"RSC ID","Tier";B1007,A1007}))</f>
        <v/>
      </c>
      <c r="AY1007" s="82" t="str">
        <f t="shared" si="2"/>
        <v/>
      </c>
      <c r="AZ1007" s="82"/>
      <c r="BA1007" s="84" t="s">
        <v>152</v>
      </c>
      <c r="BB1007" s="84" t="str">
        <f>IFERROR(__xludf.DUMMYFUNCTION("iferror(if(A1007="""",,E1007&gt;=FILTER(Constants!$F$2:$F$10,Constants!$A$2:$A$10=A1007)))"),"")</f>
        <v/>
      </c>
    </row>
    <row r="1008">
      <c r="A1008" s="80"/>
      <c r="B1008" s="73"/>
      <c r="C1008" s="73"/>
      <c r="D1008" s="73"/>
      <c r="E1008" s="82"/>
      <c r="F1008" s="82"/>
      <c r="G1008" s="82"/>
      <c r="H1008" s="86"/>
      <c r="I1008" s="86"/>
      <c r="J1008" s="82"/>
      <c r="K1008" s="82"/>
      <c r="L1008" s="82"/>
      <c r="M1008" s="82"/>
      <c r="N1008" s="82"/>
      <c r="O1008" s="82"/>
      <c r="P1008" s="82"/>
      <c r="Q1008" s="82"/>
      <c r="R1008" s="82"/>
      <c r="S1008" s="82"/>
      <c r="T1008" s="82"/>
      <c r="U1008" s="82"/>
      <c r="V1008" s="82"/>
      <c r="W1008" s="82"/>
      <c r="X1008" s="82"/>
      <c r="Y1008" s="82"/>
      <c r="Z1008" s="82"/>
      <c r="AA1008" s="82"/>
      <c r="AB1008" s="82"/>
      <c r="AC1008" s="82"/>
      <c r="AD1008" s="82"/>
      <c r="AE1008" s="82"/>
      <c r="AF1008" s="82"/>
      <c r="AG1008" s="82"/>
      <c r="AH1008" s="82"/>
      <c r="AI1008" s="82"/>
      <c r="AJ1008" s="82"/>
      <c r="AK1008" s="82"/>
      <c r="AL1008" s="82"/>
      <c r="AM1008" s="82"/>
      <c r="AN1008" s="82">
        <f>IFERROR(__xludf.DUMMYFUNCTION("""COMPUTED_VALUE"""),0.0)</f>
        <v>0</v>
      </c>
      <c r="AO1008" s="82">
        <f>IFERROR(__xludf.DUMMYFUNCTION("""COMPUTED_VALUE"""),0.0)</f>
        <v>0</v>
      </c>
      <c r="AP1008" s="82">
        <f>IFERROR(__xludf.DUMMYFUNCTION("""COMPUTED_VALUE"""),0.0)</f>
        <v>0</v>
      </c>
      <c r="AQ1008" s="82">
        <f>IFERROR(__xludf.DUMMYFUNCTION("""COMPUTED_VALUE"""),0.0)</f>
        <v>0</v>
      </c>
      <c r="AR1008" s="82">
        <f>IFERROR(__xludf.DUMMYFUNCTION("""COMPUTED_VALUE"""),0.0)</f>
        <v>0</v>
      </c>
      <c r="AS1008" s="82"/>
      <c r="AT1008" s="82">
        <f>IFERROR(__xludf.DUMMYFUNCTION("""COMPUTED_VALUE"""),0.0)</f>
        <v>0</v>
      </c>
      <c r="AU1008" s="82"/>
      <c r="AV1008" s="82"/>
      <c r="AW1008" s="82" t="str">
        <f t="shared" si="1"/>
        <v/>
      </c>
      <c r="AX1008" s="83" t="str">
        <f t="array" ref="AX1008">IFERROR(DGET('SBV Import'!A:G,"SBV",{"RSC ID","Tier";B1008,A1008}))</f>
        <v/>
      </c>
      <c r="AY1008" s="82" t="str">
        <f t="shared" si="2"/>
        <v/>
      </c>
      <c r="AZ1008" s="82"/>
      <c r="BA1008" s="84" t="s">
        <v>152</v>
      </c>
      <c r="BB1008" s="84" t="str">
        <f>IFERROR(__xludf.DUMMYFUNCTION("iferror(if(A1008="""",,E1008&gt;=FILTER(Constants!$F$2:$F$10,Constants!$A$2:$A$10=A1008)))"),"")</f>
        <v/>
      </c>
    </row>
    <row r="1009">
      <c r="A1009" s="80"/>
      <c r="B1009" s="73"/>
      <c r="C1009" s="73"/>
      <c r="D1009" s="73"/>
      <c r="E1009" s="82"/>
      <c r="F1009" s="82"/>
      <c r="G1009" s="82"/>
      <c r="H1009" s="86"/>
      <c r="I1009" s="86"/>
      <c r="J1009" s="82"/>
      <c r="K1009" s="82"/>
      <c r="L1009" s="82"/>
      <c r="M1009" s="82"/>
      <c r="N1009" s="82"/>
      <c r="O1009" s="82"/>
      <c r="P1009" s="82"/>
      <c r="Q1009" s="82"/>
      <c r="R1009" s="82"/>
      <c r="S1009" s="82"/>
      <c r="T1009" s="82"/>
      <c r="U1009" s="82"/>
      <c r="V1009" s="82"/>
      <c r="W1009" s="82"/>
      <c r="X1009" s="82"/>
      <c r="Y1009" s="82"/>
      <c r="Z1009" s="82"/>
      <c r="AA1009" s="82"/>
      <c r="AB1009" s="82"/>
      <c r="AC1009" s="82"/>
      <c r="AD1009" s="82"/>
      <c r="AE1009" s="82"/>
      <c r="AF1009" s="82"/>
      <c r="AG1009" s="82"/>
      <c r="AH1009" s="82"/>
      <c r="AI1009" s="82"/>
      <c r="AJ1009" s="82"/>
      <c r="AK1009" s="82"/>
      <c r="AL1009" s="82"/>
      <c r="AM1009" s="82"/>
      <c r="AN1009" s="82">
        <f>IFERROR(__xludf.DUMMYFUNCTION("""COMPUTED_VALUE"""),0.0)</f>
        <v>0</v>
      </c>
      <c r="AO1009" s="82">
        <f>IFERROR(__xludf.DUMMYFUNCTION("""COMPUTED_VALUE"""),0.0)</f>
        <v>0</v>
      </c>
      <c r="AP1009" s="82">
        <f>IFERROR(__xludf.DUMMYFUNCTION("""COMPUTED_VALUE"""),0.0)</f>
        <v>0</v>
      </c>
      <c r="AQ1009" s="82">
        <f>IFERROR(__xludf.DUMMYFUNCTION("""COMPUTED_VALUE"""),0.0)</f>
        <v>0</v>
      </c>
      <c r="AR1009" s="82">
        <f>IFERROR(__xludf.DUMMYFUNCTION("""COMPUTED_VALUE"""),0.0)</f>
        <v>0</v>
      </c>
      <c r="AS1009" s="82"/>
      <c r="AT1009" s="82">
        <f>IFERROR(__xludf.DUMMYFUNCTION("""COMPUTED_VALUE"""),0.0)</f>
        <v>0</v>
      </c>
      <c r="AU1009" s="82"/>
      <c r="AV1009" s="82"/>
      <c r="AW1009" s="82" t="str">
        <f t="shared" si="1"/>
        <v/>
      </c>
      <c r="AX1009" s="83" t="str">
        <f t="array" ref="AX1009">IFERROR(DGET('SBV Import'!A:G,"SBV",{"RSC ID","Tier";B1009,A1009}))</f>
        <v/>
      </c>
      <c r="AY1009" s="82" t="str">
        <f t="shared" si="2"/>
        <v/>
      </c>
      <c r="AZ1009" s="82"/>
      <c r="BA1009" s="84" t="s">
        <v>152</v>
      </c>
      <c r="BB1009" s="84" t="str">
        <f>IFERROR(__xludf.DUMMYFUNCTION("iferror(if(A1009="""",,E1009&gt;=FILTER(Constants!$F$2:$F$10,Constants!$A$2:$A$10=A1009)))"),"")</f>
        <v/>
      </c>
    </row>
    <row r="1010">
      <c r="A1010" s="80"/>
      <c r="B1010" s="73"/>
      <c r="C1010" s="73"/>
      <c r="D1010" s="73"/>
      <c r="E1010" s="82"/>
      <c r="F1010" s="82"/>
      <c r="G1010" s="82"/>
      <c r="H1010" s="86"/>
      <c r="I1010" s="86"/>
      <c r="J1010" s="82"/>
      <c r="K1010" s="82"/>
      <c r="L1010" s="82"/>
      <c r="M1010" s="82"/>
      <c r="N1010" s="82"/>
      <c r="O1010" s="82"/>
      <c r="P1010" s="82"/>
      <c r="Q1010" s="82"/>
      <c r="R1010" s="82"/>
      <c r="S1010" s="82"/>
      <c r="T1010" s="82"/>
      <c r="U1010" s="82"/>
      <c r="V1010" s="82"/>
      <c r="W1010" s="82"/>
      <c r="X1010" s="82"/>
      <c r="Y1010" s="82"/>
      <c r="Z1010" s="82"/>
      <c r="AA1010" s="82"/>
      <c r="AB1010" s="82"/>
      <c r="AC1010" s="82"/>
      <c r="AD1010" s="82"/>
      <c r="AE1010" s="82"/>
      <c r="AF1010" s="82"/>
      <c r="AG1010" s="82"/>
      <c r="AH1010" s="82"/>
      <c r="AI1010" s="82"/>
      <c r="AJ1010" s="82"/>
      <c r="AK1010" s="82"/>
      <c r="AL1010" s="82"/>
      <c r="AM1010" s="82"/>
      <c r="AN1010" s="82">
        <f>IFERROR(__xludf.DUMMYFUNCTION("""COMPUTED_VALUE"""),0.0)</f>
        <v>0</v>
      </c>
      <c r="AO1010" s="82">
        <f>IFERROR(__xludf.DUMMYFUNCTION("""COMPUTED_VALUE"""),0.0)</f>
        <v>0</v>
      </c>
      <c r="AP1010" s="82">
        <f>IFERROR(__xludf.DUMMYFUNCTION("""COMPUTED_VALUE"""),0.0)</f>
        <v>0</v>
      </c>
      <c r="AQ1010" s="82">
        <f>IFERROR(__xludf.DUMMYFUNCTION("""COMPUTED_VALUE"""),0.0)</f>
        <v>0</v>
      </c>
      <c r="AR1010" s="82">
        <f>IFERROR(__xludf.DUMMYFUNCTION("""COMPUTED_VALUE"""),0.0)</f>
        <v>0</v>
      </c>
      <c r="AS1010" s="82"/>
      <c r="AT1010" s="82">
        <f>IFERROR(__xludf.DUMMYFUNCTION("""COMPUTED_VALUE"""),0.0)</f>
        <v>0</v>
      </c>
      <c r="AU1010" s="82"/>
      <c r="AV1010" s="82"/>
      <c r="AW1010" s="82" t="str">
        <f t="shared" si="1"/>
        <v/>
      </c>
      <c r="AX1010" s="83" t="str">
        <f t="array" ref="AX1010">IFERROR(DGET('SBV Import'!A:G,"SBV",{"RSC ID","Tier";B1010,A1010}))</f>
        <v/>
      </c>
      <c r="AY1010" s="82" t="str">
        <f t="shared" si="2"/>
        <v/>
      </c>
      <c r="AZ1010" s="82"/>
      <c r="BA1010" s="84" t="s">
        <v>152</v>
      </c>
      <c r="BB1010" s="84" t="str">
        <f>IFERROR(__xludf.DUMMYFUNCTION("iferror(if(A1010="""",,E1010&gt;=FILTER(Constants!$F$2:$F$10,Constants!$A$2:$A$10=A1010)))"),"")</f>
        <v/>
      </c>
    </row>
    <row r="1011">
      <c r="A1011" s="80"/>
      <c r="B1011" s="73"/>
      <c r="C1011" s="73"/>
      <c r="D1011" s="73"/>
      <c r="E1011" s="82"/>
      <c r="F1011" s="82"/>
      <c r="G1011" s="82"/>
      <c r="H1011" s="86"/>
      <c r="I1011" s="86"/>
      <c r="J1011" s="82"/>
      <c r="K1011" s="82"/>
      <c r="L1011" s="82"/>
      <c r="M1011" s="82"/>
      <c r="N1011" s="82"/>
      <c r="O1011" s="82"/>
      <c r="P1011" s="82"/>
      <c r="Q1011" s="82"/>
      <c r="R1011" s="82"/>
      <c r="S1011" s="82"/>
      <c r="T1011" s="82"/>
      <c r="U1011" s="82"/>
      <c r="V1011" s="82"/>
      <c r="W1011" s="82"/>
      <c r="X1011" s="82"/>
      <c r="Y1011" s="82"/>
      <c r="Z1011" s="82"/>
      <c r="AA1011" s="82"/>
      <c r="AB1011" s="82"/>
      <c r="AC1011" s="82"/>
      <c r="AD1011" s="82"/>
      <c r="AE1011" s="82"/>
      <c r="AF1011" s="82"/>
      <c r="AG1011" s="82"/>
      <c r="AH1011" s="82"/>
      <c r="AI1011" s="82"/>
      <c r="AJ1011" s="82"/>
      <c r="AK1011" s="82"/>
      <c r="AL1011" s="82"/>
      <c r="AM1011" s="82"/>
      <c r="AN1011" s="82">
        <f>IFERROR(__xludf.DUMMYFUNCTION("""COMPUTED_VALUE"""),0.0)</f>
        <v>0</v>
      </c>
      <c r="AO1011" s="82">
        <f>IFERROR(__xludf.DUMMYFUNCTION("""COMPUTED_VALUE"""),0.0)</f>
        <v>0</v>
      </c>
      <c r="AP1011" s="82">
        <f>IFERROR(__xludf.DUMMYFUNCTION("""COMPUTED_VALUE"""),0.0)</f>
        <v>0</v>
      </c>
      <c r="AQ1011" s="82">
        <f>IFERROR(__xludf.DUMMYFUNCTION("""COMPUTED_VALUE"""),0.0)</f>
        <v>0</v>
      </c>
      <c r="AR1011" s="82">
        <f>IFERROR(__xludf.DUMMYFUNCTION("""COMPUTED_VALUE"""),0.0)</f>
        <v>0</v>
      </c>
      <c r="AS1011" s="82"/>
      <c r="AT1011" s="82">
        <f>IFERROR(__xludf.DUMMYFUNCTION("""COMPUTED_VALUE"""),0.0)</f>
        <v>0</v>
      </c>
      <c r="AU1011" s="82"/>
      <c r="AV1011" s="82"/>
      <c r="AW1011" s="82" t="str">
        <f t="shared" si="1"/>
        <v/>
      </c>
      <c r="AX1011" s="83" t="str">
        <f t="array" ref="AX1011">IFERROR(DGET('SBV Import'!A:G,"SBV",{"RSC ID","Tier";B1011,A1011}))</f>
        <v/>
      </c>
      <c r="AY1011" s="82" t="str">
        <f t="shared" si="2"/>
        <v/>
      </c>
      <c r="AZ1011" s="82"/>
      <c r="BA1011" s="84" t="s">
        <v>152</v>
      </c>
      <c r="BB1011" s="84" t="str">
        <f>IFERROR(__xludf.DUMMYFUNCTION("iferror(if(A1011="""",,E1011&gt;=FILTER(Constants!$F$2:$F$10,Constants!$A$2:$A$10=A1011)))"),"")</f>
        <v/>
      </c>
    </row>
    <row r="1012">
      <c r="A1012" s="80"/>
      <c r="B1012" s="73"/>
      <c r="C1012" s="73"/>
      <c r="D1012" s="73"/>
      <c r="E1012" s="82"/>
      <c r="F1012" s="82"/>
      <c r="G1012" s="82"/>
      <c r="H1012" s="86"/>
      <c r="I1012" s="86"/>
      <c r="J1012" s="82"/>
      <c r="K1012" s="82"/>
      <c r="L1012" s="82"/>
      <c r="M1012" s="82"/>
      <c r="N1012" s="82"/>
      <c r="O1012" s="82"/>
      <c r="P1012" s="82"/>
      <c r="Q1012" s="82"/>
      <c r="R1012" s="82"/>
      <c r="S1012" s="82"/>
      <c r="T1012" s="82"/>
      <c r="U1012" s="82"/>
      <c r="V1012" s="82"/>
      <c r="W1012" s="82"/>
      <c r="X1012" s="82"/>
      <c r="Y1012" s="82"/>
      <c r="Z1012" s="82"/>
      <c r="AA1012" s="82"/>
      <c r="AB1012" s="82"/>
      <c r="AC1012" s="82"/>
      <c r="AD1012" s="82"/>
      <c r="AE1012" s="82"/>
      <c r="AF1012" s="82"/>
      <c r="AG1012" s="82"/>
      <c r="AH1012" s="82"/>
      <c r="AI1012" s="82"/>
      <c r="AJ1012" s="82"/>
      <c r="AK1012" s="82"/>
      <c r="AL1012" s="82"/>
      <c r="AM1012" s="82"/>
      <c r="AN1012" s="82">
        <f>IFERROR(__xludf.DUMMYFUNCTION("""COMPUTED_VALUE"""),0.0)</f>
        <v>0</v>
      </c>
      <c r="AO1012" s="82">
        <f>IFERROR(__xludf.DUMMYFUNCTION("""COMPUTED_VALUE"""),0.0)</f>
        <v>0</v>
      </c>
      <c r="AP1012" s="82">
        <f>IFERROR(__xludf.DUMMYFUNCTION("""COMPUTED_VALUE"""),0.0)</f>
        <v>0</v>
      </c>
      <c r="AQ1012" s="82">
        <f>IFERROR(__xludf.DUMMYFUNCTION("""COMPUTED_VALUE"""),0.0)</f>
        <v>0</v>
      </c>
      <c r="AR1012" s="82">
        <f>IFERROR(__xludf.DUMMYFUNCTION("""COMPUTED_VALUE"""),0.0)</f>
        <v>0</v>
      </c>
      <c r="AS1012" s="82"/>
      <c r="AT1012" s="82">
        <f>IFERROR(__xludf.DUMMYFUNCTION("""COMPUTED_VALUE"""),0.0)</f>
        <v>0</v>
      </c>
      <c r="AU1012" s="82"/>
      <c r="AV1012" s="82"/>
      <c r="AW1012" s="82" t="str">
        <f t="shared" si="1"/>
        <v/>
      </c>
      <c r="AX1012" s="83" t="str">
        <f t="array" ref="AX1012">IFERROR(DGET('SBV Import'!A:G,"SBV",{"RSC ID","Tier";B1012,A1012}))</f>
        <v/>
      </c>
      <c r="AY1012" s="82" t="str">
        <f t="shared" si="2"/>
        <v/>
      </c>
      <c r="AZ1012" s="82"/>
      <c r="BA1012" s="84" t="s">
        <v>152</v>
      </c>
      <c r="BB1012" s="84" t="str">
        <f>IFERROR(__xludf.DUMMYFUNCTION("iferror(if(A1012="""",,E1012&gt;=FILTER(Constants!$F$2:$F$10,Constants!$A$2:$A$10=A1012)))"),"")</f>
        <v/>
      </c>
    </row>
    <row r="1013">
      <c r="A1013" s="80"/>
      <c r="B1013" s="73"/>
      <c r="C1013" s="73"/>
      <c r="D1013" s="73"/>
      <c r="E1013" s="82"/>
      <c r="F1013" s="82"/>
      <c r="G1013" s="82"/>
      <c r="H1013" s="86"/>
      <c r="I1013" s="86"/>
      <c r="J1013" s="82"/>
      <c r="K1013" s="82"/>
      <c r="L1013" s="82"/>
      <c r="M1013" s="82"/>
      <c r="N1013" s="82"/>
      <c r="O1013" s="82"/>
      <c r="P1013" s="82"/>
      <c r="Q1013" s="82"/>
      <c r="R1013" s="82"/>
      <c r="S1013" s="82"/>
      <c r="T1013" s="82"/>
      <c r="U1013" s="82"/>
      <c r="V1013" s="82"/>
      <c r="W1013" s="82"/>
      <c r="X1013" s="82"/>
      <c r="Y1013" s="82"/>
      <c r="Z1013" s="82"/>
      <c r="AA1013" s="82"/>
      <c r="AB1013" s="82"/>
      <c r="AC1013" s="82"/>
      <c r="AD1013" s="82"/>
      <c r="AE1013" s="82"/>
      <c r="AF1013" s="82"/>
      <c r="AG1013" s="82"/>
      <c r="AH1013" s="82"/>
      <c r="AI1013" s="82"/>
      <c r="AJ1013" s="82"/>
      <c r="AK1013" s="82"/>
      <c r="AL1013" s="82"/>
      <c r="AM1013" s="82"/>
      <c r="AN1013" s="82">
        <f>IFERROR(__xludf.DUMMYFUNCTION("""COMPUTED_VALUE"""),0.0)</f>
        <v>0</v>
      </c>
      <c r="AO1013" s="82">
        <f>IFERROR(__xludf.DUMMYFUNCTION("""COMPUTED_VALUE"""),0.0)</f>
        <v>0</v>
      </c>
      <c r="AP1013" s="82">
        <f>IFERROR(__xludf.DUMMYFUNCTION("""COMPUTED_VALUE"""),0.0)</f>
        <v>0</v>
      </c>
      <c r="AQ1013" s="82">
        <f>IFERROR(__xludf.DUMMYFUNCTION("""COMPUTED_VALUE"""),0.0)</f>
        <v>0</v>
      </c>
      <c r="AR1013" s="82">
        <f>IFERROR(__xludf.DUMMYFUNCTION("""COMPUTED_VALUE"""),0.0)</f>
        <v>0</v>
      </c>
      <c r="AS1013" s="82"/>
      <c r="AT1013" s="82">
        <f>IFERROR(__xludf.DUMMYFUNCTION("""COMPUTED_VALUE"""),0.0)</f>
        <v>0</v>
      </c>
      <c r="AU1013" s="82"/>
      <c r="AV1013" s="82"/>
      <c r="AW1013" s="82" t="str">
        <f t="shared" si="1"/>
        <v/>
      </c>
      <c r="AX1013" s="83" t="str">
        <f t="array" ref="AX1013">IFERROR(DGET('SBV Import'!A:G,"SBV",{"RSC ID","Tier";B1013,A1013}))</f>
        <v/>
      </c>
      <c r="AY1013" s="82" t="str">
        <f t="shared" si="2"/>
        <v/>
      </c>
      <c r="AZ1013" s="82"/>
      <c r="BA1013" s="84" t="s">
        <v>152</v>
      </c>
      <c r="BB1013" s="84" t="str">
        <f>IFERROR(__xludf.DUMMYFUNCTION("iferror(if(A1013="""",,E1013&gt;=FILTER(Constants!$F$2:$F$10,Constants!$A$2:$A$10=A1013)))"),"")</f>
        <v/>
      </c>
    </row>
    <row r="1014">
      <c r="A1014" s="80"/>
      <c r="B1014" s="73"/>
      <c r="C1014" s="73"/>
      <c r="D1014" s="73"/>
      <c r="E1014" s="82"/>
      <c r="F1014" s="82"/>
      <c r="G1014" s="82"/>
      <c r="H1014" s="86"/>
      <c r="I1014" s="86"/>
      <c r="J1014" s="82"/>
      <c r="K1014" s="82"/>
      <c r="L1014" s="82"/>
      <c r="M1014" s="82"/>
      <c r="N1014" s="82"/>
      <c r="O1014" s="82"/>
      <c r="P1014" s="82"/>
      <c r="Q1014" s="82"/>
      <c r="R1014" s="82"/>
      <c r="S1014" s="82"/>
      <c r="T1014" s="82"/>
      <c r="U1014" s="82"/>
      <c r="V1014" s="82"/>
      <c r="W1014" s="82"/>
      <c r="X1014" s="82"/>
      <c r="Y1014" s="82"/>
      <c r="Z1014" s="82"/>
      <c r="AA1014" s="82"/>
      <c r="AB1014" s="82"/>
      <c r="AC1014" s="82"/>
      <c r="AD1014" s="82"/>
      <c r="AE1014" s="82"/>
      <c r="AF1014" s="82"/>
      <c r="AG1014" s="82"/>
      <c r="AH1014" s="82"/>
      <c r="AI1014" s="82"/>
      <c r="AJ1014" s="82"/>
      <c r="AK1014" s="82"/>
      <c r="AL1014" s="82"/>
      <c r="AM1014" s="82"/>
      <c r="AN1014" s="82">
        <f>IFERROR(__xludf.DUMMYFUNCTION("""COMPUTED_VALUE"""),0.0)</f>
        <v>0</v>
      </c>
      <c r="AO1014" s="82">
        <f>IFERROR(__xludf.DUMMYFUNCTION("""COMPUTED_VALUE"""),0.0)</f>
        <v>0</v>
      </c>
      <c r="AP1014" s="82">
        <f>IFERROR(__xludf.DUMMYFUNCTION("""COMPUTED_VALUE"""),0.0)</f>
        <v>0</v>
      </c>
      <c r="AQ1014" s="82">
        <f>IFERROR(__xludf.DUMMYFUNCTION("""COMPUTED_VALUE"""),0.0)</f>
        <v>0</v>
      </c>
      <c r="AR1014" s="82">
        <f>IFERROR(__xludf.DUMMYFUNCTION("""COMPUTED_VALUE"""),0.0)</f>
        <v>0</v>
      </c>
      <c r="AS1014" s="82"/>
      <c r="AT1014" s="82">
        <f>IFERROR(__xludf.DUMMYFUNCTION("""COMPUTED_VALUE"""),0.0)</f>
        <v>0</v>
      </c>
      <c r="AU1014" s="82"/>
      <c r="AV1014" s="82"/>
      <c r="AW1014" s="82" t="str">
        <f t="shared" si="1"/>
        <v/>
      </c>
      <c r="AX1014" s="83" t="str">
        <f t="array" ref="AX1014">IFERROR(DGET('SBV Import'!A:G,"SBV",{"RSC ID","Tier";B1014,A1014}))</f>
        <v/>
      </c>
      <c r="AY1014" s="82" t="str">
        <f t="shared" si="2"/>
        <v/>
      </c>
      <c r="AZ1014" s="82"/>
      <c r="BA1014" s="84" t="s">
        <v>152</v>
      </c>
      <c r="BB1014" s="84" t="str">
        <f>IFERROR(__xludf.DUMMYFUNCTION("iferror(if(A1014="""",,E1014&gt;=FILTER(Constants!$F$2:$F$10,Constants!$A$2:$A$10=A1014)))"),"")</f>
        <v/>
      </c>
    </row>
    <row r="1015">
      <c r="A1015" s="80"/>
      <c r="B1015" s="73"/>
      <c r="C1015" s="73"/>
      <c r="D1015" s="73"/>
      <c r="E1015" s="82"/>
      <c r="F1015" s="82"/>
      <c r="G1015" s="82"/>
      <c r="H1015" s="86"/>
      <c r="I1015" s="86"/>
      <c r="J1015" s="82"/>
      <c r="K1015" s="82"/>
      <c r="L1015" s="82"/>
      <c r="M1015" s="82"/>
      <c r="N1015" s="82"/>
      <c r="O1015" s="82"/>
      <c r="P1015" s="82"/>
      <c r="Q1015" s="82"/>
      <c r="R1015" s="82"/>
      <c r="S1015" s="82"/>
      <c r="T1015" s="82"/>
      <c r="U1015" s="82"/>
      <c r="V1015" s="82"/>
      <c r="W1015" s="82"/>
      <c r="X1015" s="82"/>
      <c r="Y1015" s="82"/>
      <c r="Z1015" s="82"/>
      <c r="AA1015" s="82"/>
      <c r="AB1015" s="82"/>
      <c r="AC1015" s="82"/>
      <c r="AD1015" s="82"/>
      <c r="AE1015" s="82"/>
      <c r="AF1015" s="82"/>
      <c r="AG1015" s="82"/>
      <c r="AH1015" s="82"/>
      <c r="AI1015" s="82"/>
      <c r="AJ1015" s="82"/>
      <c r="AK1015" s="82"/>
      <c r="AL1015" s="82"/>
      <c r="AM1015" s="82"/>
      <c r="AN1015" s="82">
        <f>IFERROR(__xludf.DUMMYFUNCTION("""COMPUTED_VALUE"""),0.0)</f>
        <v>0</v>
      </c>
      <c r="AO1015" s="82">
        <f>IFERROR(__xludf.DUMMYFUNCTION("""COMPUTED_VALUE"""),0.0)</f>
        <v>0</v>
      </c>
      <c r="AP1015" s="82">
        <f>IFERROR(__xludf.DUMMYFUNCTION("""COMPUTED_VALUE"""),0.0)</f>
        <v>0</v>
      </c>
      <c r="AQ1015" s="82">
        <f>IFERROR(__xludf.DUMMYFUNCTION("""COMPUTED_VALUE"""),0.0)</f>
        <v>0</v>
      </c>
      <c r="AR1015" s="82">
        <f>IFERROR(__xludf.DUMMYFUNCTION("""COMPUTED_VALUE"""),0.0)</f>
        <v>0</v>
      </c>
      <c r="AS1015" s="82"/>
      <c r="AT1015" s="82">
        <f>IFERROR(__xludf.DUMMYFUNCTION("""COMPUTED_VALUE"""),0.0)</f>
        <v>0</v>
      </c>
      <c r="AU1015" s="82"/>
      <c r="AV1015" s="82"/>
      <c r="AW1015" s="82" t="str">
        <f t="shared" si="1"/>
        <v/>
      </c>
      <c r="AX1015" s="83" t="str">
        <f t="array" ref="AX1015">IFERROR(DGET('SBV Import'!A:G,"SBV",{"RSC ID","Tier";B1015,A1015}))</f>
        <v/>
      </c>
      <c r="AY1015" s="82" t="str">
        <f t="shared" si="2"/>
        <v/>
      </c>
      <c r="AZ1015" s="82"/>
      <c r="BA1015" s="84" t="s">
        <v>152</v>
      </c>
      <c r="BB1015" s="84" t="str">
        <f>IFERROR(__xludf.DUMMYFUNCTION("iferror(if(A1015="""",,E1015&gt;=FILTER(Constants!$F$2:$F$10,Constants!$A$2:$A$10=A1015)))"),"")</f>
        <v/>
      </c>
    </row>
    <row r="1016">
      <c r="A1016" s="80"/>
      <c r="B1016" s="73"/>
      <c r="C1016" s="73"/>
      <c r="D1016" s="73"/>
      <c r="E1016" s="82"/>
      <c r="F1016" s="82"/>
      <c r="G1016" s="82"/>
      <c r="H1016" s="86"/>
      <c r="I1016" s="86"/>
      <c r="J1016" s="82"/>
      <c r="K1016" s="82"/>
      <c r="L1016" s="82"/>
      <c r="M1016" s="82"/>
      <c r="N1016" s="82"/>
      <c r="O1016" s="82"/>
      <c r="P1016" s="82"/>
      <c r="Q1016" s="82"/>
      <c r="R1016" s="82"/>
      <c r="S1016" s="82"/>
      <c r="T1016" s="82"/>
      <c r="U1016" s="82"/>
      <c r="V1016" s="82"/>
      <c r="W1016" s="82"/>
      <c r="X1016" s="82"/>
      <c r="Y1016" s="82"/>
      <c r="Z1016" s="82"/>
      <c r="AA1016" s="82"/>
      <c r="AB1016" s="82"/>
      <c r="AC1016" s="82"/>
      <c r="AD1016" s="82"/>
      <c r="AE1016" s="82"/>
      <c r="AF1016" s="82"/>
      <c r="AG1016" s="82"/>
      <c r="AH1016" s="82"/>
      <c r="AI1016" s="82"/>
      <c r="AJ1016" s="82"/>
      <c r="AK1016" s="82"/>
      <c r="AL1016" s="82"/>
      <c r="AM1016" s="82"/>
      <c r="AN1016" s="82">
        <f>IFERROR(__xludf.DUMMYFUNCTION("""COMPUTED_VALUE"""),0.0)</f>
        <v>0</v>
      </c>
      <c r="AO1016" s="82">
        <f>IFERROR(__xludf.DUMMYFUNCTION("""COMPUTED_VALUE"""),0.0)</f>
        <v>0</v>
      </c>
      <c r="AP1016" s="82">
        <f>IFERROR(__xludf.DUMMYFUNCTION("""COMPUTED_VALUE"""),0.0)</f>
        <v>0</v>
      </c>
      <c r="AQ1016" s="82">
        <f>IFERROR(__xludf.DUMMYFUNCTION("""COMPUTED_VALUE"""),0.0)</f>
        <v>0</v>
      </c>
      <c r="AR1016" s="82">
        <f>IFERROR(__xludf.DUMMYFUNCTION("""COMPUTED_VALUE"""),0.0)</f>
        <v>0</v>
      </c>
      <c r="AS1016" s="82"/>
      <c r="AT1016" s="82">
        <f>IFERROR(__xludf.DUMMYFUNCTION("""COMPUTED_VALUE"""),0.0)</f>
        <v>0</v>
      </c>
      <c r="AU1016" s="82"/>
      <c r="AV1016" s="82"/>
      <c r="AW1016" s="82" t="str">
        <f t="shared" si="1"/>
        <v/>
      </c>
      <c r="AX1016" s="83" t="str">
        <f t="array" ref="AX1016">IFERROR(DGET('SBV Import'!A:G,"SBV",{"RSC ID","Tier";B1016,A1016}))</f>
        <v/>
      </c>
      <c r="AY1016" s="82" t="str">
        <f t="shared" si="2"/>
        <v/>
      </c>
      <c r="AZ1016" s="82"/>
      <c r="BA1016" s="84" t="s">
        <v>152</v>
      </c>
      <c r="BB1016" s="84" t="str">
        <f>IFERROR(__xludf.DUMMYFUNCTION("iferror(if(A1016="""",,E1016&gt;=FILTER(Constants!$F$2:$F$10,Constants!$A$2:$A$10=A1016)))"),"")</f>
        <v/>
      </c>
    </row>
    <row r="1017">
      <c r="A1017" s="80"/>
      <c r="B1017" s="73"/>
      <c r="C1017" s="73"/>
      <c r="D1017" s="73"/>
      <c r="E1017" s="82"/>
      <c r="F1017" s="82"/>
      <c r="G1017" s="82"/>
      <c r="H1017" s="86"/>
      <c r="I1017" s="86"/>
      <c r="J1017" s="82"/>
      <c r="K1017" s="82"/>
      <c r="L1017" s="82"/>
      <c r="M1017" s="82"/>
      <c r="N1017" s="82"/>
      <c r="O1017" s="82"/>
      <c r="P1017" s="82"/>
      <c r="Q1017" s="82"/>
      <c r="R1017" s="82"/>
      <c r="S1017" s="82"/>
      <c r="T1017" s="82"/>
      <c r="U1017" s="82"/>
      <c r="V1017" s="82"/>
      <c r="W1017" s="82"/>
      <c r="X1017" s="82"/>
      <c r="Y1017" s="82"/>
      <c r="Z1017" s="82"/>
      <c r="AA1017" s="82"/>
      <c r="AB1017" s="82"/>
      <c r="AC1017" s="82"/>
      <c r="AD1017" s="82"/>
      <c r="AE1017" s="82"/>
      <c r="AF1017" s="82"/>
      <c r="AG1017" s="82"/>
      <c r="AH1017" s="82"/>
      <c r="AI1017" s="82"/>
      <c r="AJ1017" s="82"/>
      <c r="AK1017" s="82"/>
      <c r="AL1017" s="82"/>
      <c r="AM1017" s="82"/>
      <c r="AN1017" s="82">
        <f>IFERROR(__xludf.DUMMYFUNCTION("""COMPUTED_VALUE"""),0.0)</f>
        <v>0</v>
      </c>
      <c r="AO1017" s="82">
        <f>IFERROR(__xludf.DUMMYFUNCTION("""COMPUTED_VALUE"""),0.0)</f>
        <v>0</v>
      </c>
      <c r="AP1017" s="82">
        <f>IFERROR(__xludf.DUMMYFUNCTION("""COMPUTED_VALUE"""),0.0)</f>
        <v>0</v>
      </c>
      <c r="AQ1017" s="82">
        <f>IFERROR(__xludf.DUMMYFUNCTION("""COMPUTED_VALUE"""),0.0)</f>
        <v>0</v>
      </c>
      <c r="AR1017" s="82">
        <f>IFERROR(__xludf.DUMMYFUNCTION("""COMPUTED_VALUE"""),0.0)</f>
        <v>0</v>
      </c>
      <c r="AS1017" s="82"/>
      <c r="AT1017" s="82">
        <f>IFERROR(__xludf.DUMMYFUNCTION("""COMPUTED_VALUE"""),0.0)</f>
        <v>0</v>
      </c>
      <c r="AU1017" s="82"/>
      <c r="AV1017" s="82"/>
      <c r="AW1017" s="82" t="str">
        <f t="shared" si="1"/>
        <v/>
      </c>
      <c r="AX1017" s="83" t="str">
        <f t="array" ref="AX1017">IFERROR(DGET('SBV Import'!A:G,"SBV",{"RSC ID","Tier";B1017,A1017}))</f>
        <v/>
      </c>
      <c r="AY1017" s="82" t="str">
        <f t="shared" si="2"/>
        <v/>
      </c>
      <c r="AZ1017" s="82"/>
      <c r="BA1017" s="84" t="s">
        <v>152</v>
      </c>
      <c r="BB1017" s="84" t="str">
        <f>IFERROR(__xludf.DUMMYFUNCTION("iferror(if(A1017="""",,E1017&gt;=FILTER(Constants!$F$2:$F$10,Constants!$A$2:$A$10=A1017)))"),"")</f>
        <v/>
      </c>
    </row>
    <row r="1018">
      <c r="A1018" s="80"/>
      <c r="B1018" s="73"/>
      <c r="C1018" s="73"/>
      <c r="D1018" s="73"/>
      <c r="E1018" s="82"/>
      <c r="F1018" s="82"/>
      <c r="G1018" s="82"/>
      <c r="H1018" s="86"/>
      <c r="I1018" s="86"/>
      <c r="J1018" s="82"/>
      <c r="K1018" s="82"/>
      <c r="L1018" s="82"/>
      <c r="M1018" s="82"/>
      <c r="N1018" s="82"/>
      <c r="O1018" s="82"/>
      <c r="P1018" s="82"/>
      <c r="Q1018" s="82"/>
      <c r="R1018" s="82"/>
      <c r="S1018" s="82"/>
      <c r="T1018" s="82"/>
      <c r="U1018" s="82"/>
      <c r="V1018" s="82"/>
      <c r="W1018" s="82"/>
      <c r="X1018" s="82"/>
      <c r="Y1018" s="82"/>
      <c r="Z1018" s="82"/>
      <c r="AA1018" s="82"/>
      <c r="AB1018" s="82"/>
      <c r="AC1018" s="82"/>
      <c r="AD1018" s="82"/>
      <c r="AE1018" s="82"/>
      <c r="AF1018" s="82"/>
      <c r="AG1018" s="82"/>
      <c r="AH1018" s="82"/>
      <c r="AI1018" s="82"/>
      <c r="AJ1018" s="82"/>
      <c r="AK1018" s="82"/>
      <c r="AL1018" s="82"/>
      <c r="AM1018" s="82"/>
      <c r="AN1018" s="82">
        <f>IFERROR(__xludf.DUMMYFUNCTION("""COMPUTED_VALUE"""),0.0)</f>
        <v>0</v>
      </c>
      <c r="AO1018" s="82">
        <f>IFERROR(__xludf.DUMMYFUNCTION("""COMPUTED_VALUE"""),0.0)</f>
        <v>0</v>
      </c>
      <c r="AP1018" s="82">
        <f>IFERROR(__xludf.DUMMYFUNCTION("""COMPUTED_VALUE"""),0.0)</f>
        <v>0</v>
      </c>
      <c r="AQ1018" s="82">
        <f>IFERROR(__xludf.DUMMYFUNCTION("""COMPUTED_VALUE"""),0.0)</f>
        <v>0</v>
      </c>
      <c r="AR1018" s="82">
        <f>IFERROR(__xludf.DUMMYFUNCTION("""COMPUTED_VALUE"""),0.0)</f>
        <v>0</v>
      </c>
      <c r="AS1018" s="82"/>
      <c r="AT1018" s="82">
        <f>IFERROR(__xludf.DUMMYFUNCTION("""COMPUTED_VALUE"""),0.0)</f>
        <v>0</v>
      </c>
      <c r="AU1018" s="82"/>
      <c r="AV1018" s="82"/>
      <c r="AW1018" s="82" t="str">
        <f t="shared" si="1"/>
        <v/>
      </c>
      <c r="AX1018" s="83" t="str">
        <f t="array" ref="AX1018">IFERROR(DGET('SBV Import'!A:G,"SBV",{"RSC ID","Tier";B1018,A1018}))</f>
        <v/>
      </c>
      <c r="AY1018" s="82" t="str">
        <f t="shared" si="2"/>
        <v/>
      </c>
      <c r="AZ1018" s="82"/>
      <c r="BA1018" s="84" t="s">
        <v>152</v>
      </c>
      <c r="BB1018" s="84" t="str">
        <f>IFERROR(__xludf.DUMMYFUNCTION("iferror(if(A1018="""",,E1018&gt;=FILTER(Constants!$F$2:$F$10,Constants!$A$2:$A$10=A1018)))"),"")</f>
        <v/>
      </c>
    </row>
    <row r="1019">
      <c r="A1019" s="80"/>
      <c r="B1019" s="73"/>
      <c r="C1019" s="73"/>
      <c r="D1019" s="73"/>
      <c r="E1019" s="82"/>
      <c r="F1019" s="82"/>
      <c r="G1019" s="82"/>
      <c r="H1019" s="86"/>
      <c r="I1019" s="86"/>
      <c r="J1019" s="82"/>
      <c r="K1019" s="82"/>
      <c r="L1019" s="82"/>
      <c r="M1019" s="82"/>
      <c r="N1019" s="82"/>
      <c r="O1019" s="82"/>
      <c r="P1019" s="82"/>
      <c r="Q1019" s="82"/>
      <c r="R1019" s="82"/>
      <c r="S1019" s="82"/>
      <c r="T1019" s="82"/>
      <c r="U1019" s="82"/>
      <c r="V1019" s="82"/>
      <c r="W1019" s="82"/>
      <c r="X1019" s="82"/>
      <c r="Y1019" s="82"/>
      <c r="Z1019" s="82"/>
      <c r="AA1019" s="82"/>
      <c r="AB1019" s="82"/>
      <c r="AC1019" s="82"/>
      <c r="AD1019" s="82"/>
      <c r="AE1019" s="82"/>
      <c r="AF1019" s="82"/>
      <c r="AG1019" s="82"/>
      <c r="AH1019" s="82"/>
      <c r="AI1019" s="82"/>
      <c r="AJ1019" s="82"/>
      <c r="AK1019" s="82"/>
      <c r="AL1019" s="82"/>
      <c r="AM1019" s="82"/>
      <c r="AN1019" s="82">
        <f>IFERROR(__xludf.DUMMYFUNCTION("""COMPUTED_VALUE"""),0.0)</f>
        <v>0</v>
      </c>
      <c r="AO1019" s="82">
        <f>IFERROR(__xludf.DUMMYFUNCTION("""COMPUTED_VALUE"""),0.0)</f>
        <v>0</v>
      </c>
      <c r="AP1019" s="82">
        <f>IFERROR(__xludf.DUMMYFUNCTION("""COMPUTED_VALUE"""),0.0)</f>
        <v>0</v>
      </c>
      <c r="AQ1019" s="82">
        <f>IFERROR(__xludf.DUMMYFUNCTION("""COMPUTED_VALUE"""),0.0)</f>
        <v>0</v>
      </c>
      <c r="AR1019" s="82">
        <f>IFERROR(__xludf.DUMMYFUNCTION("""COMPUTED_VALUE"""),0.0)</f>
        <v>0</v>
      </c>
      <c r="AS1019" s="82"/>
      <c r="AT1019" s="82">
        <f>IFERROR(__xludf.DUMMYFUNCTION("""COMPUTED_VALUE"""),0.0)</f>
        <v>0</v>
      </c>
      <c r="AU1019" s="82"/>
      <c r="AV1019" s="82"/>
      <c r="AW1019" s="82" t="str">
        <f t="shared" si="1"/>
        <v/>
      </c>
      <c r="AX1019" s="83" t="str">
        <f t="array" ref="AX1019">IFERROR(DGET('SBV Import'!A:G,"SBV",{"RSC ID","Tier";B1019,A1019}))</f>
        <v/>
      </c>
      <c r="AY1019" s="82" t="str">
        <f t="shared" si="2"/>
        <v/>
      </c>
      <c r="AZ1019" s="82"/>
      <c r="BA1019" s="84" t="s">
        <v>152</v>
      </c>
      <c r="BB1019" s="84" t="str">
        <f>IFERROR(__xludf.DUMMYFUNCTION("iferror(if(A1019="""",,E1019&gt;=FILTER(Constants!$F$2:$F$10,Constants!$A$2:$A$10=A1019)))"),"")</f>
        <v/>
      </c>
    </row>
    <row r="1020">
      <c r="A1020" s="80"/>
      <c r="B1020" s="73"/>
      <c r="C1020" s="73"/>
      <c r="D1020" s="73"/>
      <c r="E1020" s="82"/>
      <c r="F1020" s="82"/>
      <c r="G1020" s="82"/>
      <c r="H1020" s="86"/>
      <c r="I1020" s="86"/>
      <c r="J1020" s="82"/>
      <c r="K1020" s="82"/>
      <c r="L1020" s="82"/>
      <c r="M1020" s="82"/>
      <c r="N1020" s="82"/>
      <c r="O1020" s="82"/>
      <c r="P1020" s="82"/>
      <c r="Q1020" s="82"/>
      <c r="R1020" s="82"/>
      <c r="S1020" s="82"/>
      <c r="T1020" s="82"/>
      <c r="U1020" s="82"/>
      <c r="V1020" s="82"/>
      <c r="W1020" s="82"/>
      <c r="X1020" s="82"/>
      <c r="Y1020" s="82"/>
      <c r="Z1020" s="82"/>
      <c r="AA1020" s="82"/>
      <c r="AB1020" s="82"/>
      <c r="AC1020" s="82"/>
      <c r="AD1020" s="82"/>
      <c r="AE1020" s="82"/>
      <c r="AF1020" s="82"/>
      <c r="AG1020" s="82"/>
      <c r="AH1020" s="82"/>
      <c r="AI1020" s="82"/>
      <c r="AJ1020" s="82"/>
      <c r="AK1020" s="82"/>
      <c r="AL1020" s="82"/>
      <c r="AM1020" s="82"/>
      <c r="AN1020" s="82">
        <f>IFERROR(__xludf.DUMMYFUNCTION("""COMPUTED_VALUE"""),0.0)</f>
        <v>0</v>
      </c>
      <c r="AO1020" s="82">
        <f>IFERROR(__xludf.DUMMYFUNCTION("""COMPUTED_VALUE"""),0.0)</f>
        <v>0</v>
      </c>
      <c r="AP1020" s="82">
        <f>IFERROR(__xludf.DUMMYFUNCTION("""COMPUTED_VALUE"""),0.0)</f>
        <v>0</v>
      </c>
      <c r="AQ1020" s="82">
        <f>IFERROR(__xludf.DUMMYFUNCTION("""COMPUTED_VALUE"""),0.0)</f>
        <v>0</v>
      </c>
      <c r="AR1020" s="82">
        <f>IFERROR(__xludf.DUMMYFUNCTION("""COMPUTED_VALUE"""),0.0)</f>
        <v>0</v>
      </c>
      <c r="AS1020" s="82"/>
      <c r="AT1020" s="82">
        <f>IFERROR(__xludf.DUMMYFUNCTION("""COMPUTED_VALUE"""),0.0)</f>
        <v>0</v>
      </c>
      <c r="AU1020" s="82"/>
      <c r="AV1020" s="82"/>
      <c r="AW1020" s="82" t="str">
        <f t="shared" si="1"/>
        <v/>
      </c>
      <c r="AX1020" s="83" t="str">
        <f t="array" ref="AX1020">IFERROR(DGET('SBV Import'!A:G,"SBV",{"RSC ID","Tier";B1020,A1020}))</f>
        <v/>
      </c>
      <c r="AY1020" s="82" t="str">
        <f t="shared" si="2"/>
        <v/>
      </c>
      <c r="AZ1020" s="82"/>
      <c r="BA1020" s="84" t="s">
        <v>152</v>
      </c>
      <c r="BB1020" s="84" t="str">
        <f>IFERROR(__xludf.DUMMYFUNCTION("iferror(if(A1020="""",,E1020&gt;=FILTER(Constants!$F$2:$F$10,Constants!$A$2:$A$10=A1020)))"),"")</f>
        <v/>
      </c>
    </row>
    <row r="1021">
      <c r="A1021" s="80"/>
      <c r="B1021" s="73"/>
      <c r="C1021" s="73"/>
      <c r="D1021" s="73"/>
      <c r="E1021" s="82"/>
      <c r="F1021" s="82"/>
      <c r="G1021" s="82"/>
      <c r="H1021" s="86"/>
      <c r="I1021" s="86"/>
      <c r="J1021" s="82"/>
      <c r="K1021" s="82"/>
      <c r="L1021" s="82"/>
      <c r="M1021" s="82"/>
      <c r="N1021" s="82"/>
      <c r="O1021" s="82"/>
      <c r="P1021" s="82"/>
      <c r="Q1021" s="82"/>
      <c r="R1021" s="82"/>
      <c r="S1021" s="82"/>
      <c r="T1021" s="82"/>
      <c r="U1021" s="82"/>
      <c r="V1021" s="82"/>
      <c r="W1021" s="82"/>
      <c r="X1021" s="82"/>
      <c r="Y1021" s="82"/>
      <c r="Z1021" s="82"/>
      <c r="AA1021" s="82"/>
      <c r="AB1021" s="82"/>
      <c r="AC1021" s="82"/>
      <c r="AD1021" s="82"/>
      <c r="AE1021" s="82"/>
      <c r="AF1021" s="82"/>
      <c r="AG1021" s="82"/>
      <c r="AH1021" s="82"/>
      <c r="AI1021" s="82"/>
      <c r="AJ1021" s="82"/>
      <c r="AK1021" s="82"/>
      <c r="AL1021" s="82"/>
      <c r="AM1021" s="82"/>
      <c r="AN1021" s="82">
        <f>IFERROR(__xludf.DUMMYFUNCTION("""COMPUTED_VALUE"""),0.0)</f>
        <v>0</v>
      </c>
      <c r="AO1021" s="82">
        <f>IFERROR(__xludf.DUMMYFUNCTION("""COMPUTED_VALUE"""),0.0)</f>
        <v>0</v>
      </c>
      <c r="AP1021" s="82">
        <f>IFERROR(__xludf.DUMMYFUNCTION("""COMPUTED_VALUE"""),0.0)</f>
        <v>0</v>
      </c>
      <c r="AQ1021" s="82">
        <f>IFERROR(__xludf.DUMMYFUNCTION("""COMPUTED_VALUE"""),0.0)</f>
        <v>0</v>
      </c>
      <c r="AR1021" s="82">
        <f>IFERROR(__xludf.DUMMYFUNCTION("""COMPUTED_VALUE"""),0.0)</f>
        <v>0</v>
      </c>
      <c r="AS1021" s="82"/>
      <c r="AT1021" s="82">
        <f>IFERROR(__xludf.DUMMYFUNCTION("""COMPUTED_VALUE"""),0.0)</f>
        <v>0</v>
      </c>
      <c r="AU1021" s="82"/>
      <c r="AV1021" s="82"/>
      <c r="AW1021" s="82" t="str">
        <f t="shared" si="1"/>
        <v/>
      </c>
      <c r="AX1021" s="83" t="str">
        <f t="array" ref="AX1021">IFERROR(DGET('SBV Import'!A:G,"SBV",{"RSC ID","Tier";B1021,A1021}))</f>
        <v/>
      </c>
      <c r="AY1021" s="82" t="str">
        <f t="shared" si="2"/>
        <v/>
      </c>
      <c r="AZ1021" s="82"/>
      <c r="BA1021" s="84" t="s">
        <v>152</v>
      </c>
      <c r="BB1021" s="84" t="str">
        <f>IFERROR(__xludf.DUMMYFUNCTION("iferror(if(A1021="""",,E1021&gt;=FILTER(Constants!$F$2:$F$10,Constants!$A$2:$A$10=A1021)))"),"")</f>
        <v/>
      </c>
    </row>
    <row r="1022">
      <c r="A1022" s="80"/>
      <c r="B1022" s="73"/>
      <c r="C1022" s="73"/>
      <c r="D1022" s="73"/>
      <c r="E1022" s="82"/>
      <c r="F1022" s="82"/>
      <c r="G1022" s="82"/>
      <c r="H1022" s="86"/>
      <c r="I1022" s="86"/>
      <c r="J1022" s="82"/>
      <c r="K1022" s="82"/>
      <c r="L1022" s="82"/>
      <c r="M1022" s="82"/>
      <c r="N1022" s="82"/>
      <c r="O1022" s="82"/>
      <c r="P1022" s="82"/>
      <c r="Q1022" s="82"/>
      <c r="R1022" s="82"/>
      <c r="S1022" s="82"/>
      <c r="T1022" s="82"/>
      <c r="U1022" s="82"/>
      <c r="V1022" s="82"/>
      <c r="W1022" s="82"/>
      <c r="X1022" s="82"/>
      <c r="Y1022" s="82"/>
      <c r="Z1022" s="82"/>
      <c r="AA1022" s="82"/>
      <c r="AB1022" s="82"/>
      <c r="AC1022" s="82"/>
      <c r="AD1022" s="82"/>
      <c r="AE1022" s="82"/>
      <c r="AF1022" s="82"/>
      <c r="AG1022" s="82"/>
      <c r="AH1022" s="82"/>
      <c r="AI1022" s="82"/>
      <c r="AJ1022" s="82"/>
      <c r="AK1022" s="82"/>
      <c r="AL1022" s="82"/>
      <c r="AM1022" s="82"/>
      <c r="AN1022" s="82">
        <f>IFERROR(__xludf.DUMMYFUNCTION("""COMPUTED_VALUE"""),0.0)</f>
        <v>0</v>
      </c>
      <c r="AO1022" s="82">
        <f>IFERROR(__xludf.DUMMYFUNCTION("""COMPUTED_VALUE"""),0.0)</f>
        <v>0</v>
      </c>
      <c r="AP1022" s="82">
        <f>IFERROR(__xludf.DUMMYFUNCTION("""COMPUTED_VALUE"""),0.0)</f>
        <v>0</v>
      </c>
      <c r="AQ1022" s="82">
        <f>IFERROR(__xludf.DUMMYFUNCTION("""COMPUTED_VALUE"""),0.0)</f>
        <v>0</v>
      </c>
      <c r="AR1022" s="82">
        <f>IFERROR(__xludf.DUMMYFUNCTION("""COMPUTED_VALUE"""),0.0)</f>
        <v>0</v>
      </c>
      <c r="AS1022" s="82"/>
      <c r="AT1022" s="82">
        <f>IFERROR(__xludf.DUMMYFUNCTION("""COMPUTED_VALUE"""),0.0)</f>
        <v>0</v>
      </c>
      <c r="AU1022" s="82"/>
      <c r="AV1022" s="82"/>
      <c r="AW1022" s="82" t="str">
        <f t="shared" si="1"/>
        <v/>
      </c>
      <c r="AX1022" s="83" t="str">
        <f t="array" ref="AX1022">IFERROR(DGET('SBV Import'!A:G,"SBV",{"RSC ID","Tier";B1022,A1022}))</f>
        <v/>
      </c>
      <c r="AY1022" s="82" t="str">
        <f t="shared" si="2"/>
        <v/>
      </c>
      <c r="AZ1022" s="82"/>
      <c r="BA1022" s="84" t="s">
        <v>152</v>
      </c>
      <c r="BB1022" s="84" t="str">
        <f>IFERROR(__xludf.DUMMYFUNCTION("iferror(if(A1022="""",,E1022&gt;=FILTER(Constants!$F$2:$F$10,Constants!$A$2:$A$10=A1022)))"),"")</f>
        <v/>
      </c>
    </row>
    <row r="1023">
      <c r="A1023" s="80"/>
      <c r="B1023" s="73"/>
      <c r="C1023" s="73"/>
      <c r="D1023" s="73"/>
      <c r="E1023" s="82"/>
      <c r="F1023" s="82"/>
      <c r="G1023" s="82"/>
      <c r="H1023" s="86"/>
      <c r="I1023" s="86"/>
      <c r="J1023" s="82"/>
      <c r="K1023" s="82"/>
      <c r="L1023" s="82"/>
      <c r="M1023" s="82"/>
      <c r="N1023" s="82"/>
      <c r="O1023" s="82"/>
      <c r="P1023" s="82"/>
      <c r="Q1023" s="82"/>
      <c r="R1023" s="82"/>
      <c r="S1023" s="82"/>
      <c r="T1023" s="82"/>
      <c r="U1023" s="82"/>
      <c r="V1023" s="82"/>
      <c r="W1023" s="82"/>
      <c r="X1023" s="82"/>
      <c r="Y1023" s="82"/>
      <c r="Z1023" s="82"/>
      <c r="AA1023" s="82"/>
      <c r="AB1023" s="82"/>
      <c r="AC1023" s="82"/>
      <c r="AD1023" s="82"/>
      <c r="AE1023" s="82"/>
      <c r="AF1023" s="82"/>
      <c r="AG1023" s="82"/>
      <c r="AH1023" s="82"/>
      <c r="AI1023" s="82"/>
      <c r="AJ1023" s="82"/>
      <c r="AK1023" s="82"/>
      <c r="AL1023" s="82"/>
      <c r="AM1023" s="82"/>
      <c r="AN1023" s="82">
        <f>IFERROR(__xludf.DUMMYFUNCTION("""COMPUTED_VALUE"""),0.0)</f>
        <v>0</v>
      </c>
      <c r="AO1023" s="82">
        <f>IFERROR(__xludf.DUMMYFUNCTION("""COMPUTED_VALUE"""),0.0)</f>
        <v>0</v>
      </c>
      <c r="AP1023" s="82">
        <f>IFERROR(__xludf.DUMMYFUNCTION("""COMPUTED_VALUE"""),0.0)</f>
        <v>0</v>
      </c>
      <c r="AQ1023" s="82">
        <f>IFERROR(__xludf.DUMMYFUNCTION("""COMPUTED_VALUE"""),0.0)</f>
        <v>0</v>
      </c>
      <c r="AR1023" s="82">
        <f>IFERROR(__xludf.DUMMYFUNCTION("""COMPUTED_VALUE"""),0.0)</f>
        <v>0</v>
      </c>
      <c r="AS1023" s="82"/>
      <c r="AT1023" s="82">
        <f>IFERROR(__xludf.DUMMYFUNCTION("""COMPUTED_VALUE"""),0.0)</f>
        <v>0</v>
      </c>
      <c r="AU1023" s="82"/>
      <c r="AV1023" s="82"/>
      <c r="AW1023" s="82" t="str">
        <f t="shared" si="1"/>
        <v/>
      </c>
      <c r="AX1023" s="83" t="str">
        <f t="array" ref="AX1023">IFERROR(DGET('SBV Import'!A:G,"SBV",{"RSC ID","Tier";B1023,A1023}))</f>
        <v/>
      </c>
      <c r="AY1023" s="82" t="str">
        <f t="shared" si="2"/>
        <v/>
      </c>
      <c r="AZ1023" s="82"/>
      <c r="BA1023" s="84" t="s">
        <v>152</v>
      </c>
      <c r="BB1023" s="84" t="str">
        <f>IFERROR(__xludf.DUMMYFUNCTION("iferror(if(A1023="""",,E1023&gt;=FILTER(Constants!$F$2:$F$10,Constants!$A$2:$A$10=A1023)))"),"")</f>
        <v/>
      </c>
    </row>
    <row r="1024">
      <c r="A1024" s="80"/>
      <c r="B1024" s="73"/>
      <c r="C1024" s="73"/>
      <c r="D1024" s="73"/>
      <c r="E1024" s="82"/>
      <c r="F1024" s="82"/>
      <c r="G1024" s="82"/>
      <c r="H1024" s="86"/>
      <c r="I1024" s="86"/>
      <c r="J1024" s="82"/>
      <c r="K1024" s="82"/>
      <c r="L1024" s="82"/>
      <c r="M1024" s="82"/>
      <c r="N1024" s="82"/>
      <c r="O1024" s="82"/>
      <c r="P1024" s="82"/>
      <c r="Q1024" s="82"/>
      <c r="R1024" s="82"/>
      <c r="S1024" s="82"/>
      <c r="T1024" s="82"/>
      <c r="U1024" s="82"/>
      <c r="V1024" s="82"/>
      <c r="W1024" s="82"/>
      <c r="X1024" s="82"/>
      <c r="Y1024" s="82"/>
      <c r="Z1024" s="82"/>
      <c r="AA1024" s="82"/>
      <c r="AB1024" s="82"/>
      <c r="AC1024" s="82"/>
      <c r="AD1024" s="82"/>
      <c r="AE1024" s="82"/>
      <c r="AF1024" s="82"/>
      <c r="AG1024" s="82"/>
      <c r="AH1024" s="82"/>
      <c r="AI1024" s="82"/>
      <c r="AJ1024" s="82"/>
      <c r="AK1024" s="82"/>
      <c r="AL1024" s="82"/>
      <c r="AM1024" s="82"/>
      <c r="AN1024" s="82">
        <f>IFERROR(__xludf.DUMMYFUNCTION("""COMPUTED_VALUE"""),0.0)</f>
        <v>0</v>
      </c>
      <c r="AO1024" s="82">
        <f>IFERROR(__xludf.DUMMYFUNCTION("""COMPUTED_VALUE"""),0.0)</f>
        <v>0</v>
      </c>
      <c r="AP1024" s="82">
        <f>IFERROR(__xludf.DUMMYFUNCTION("""COMPUTED_VALUE"""),0.0)</f>
        <v>0</v>
      </c>
      <c r="AQ1024" s="82">
        <f>IFERROR(__xludf.DUMMYFUNCTION("""COMPUTED_VALUE"""),0.0)</f>
        <v>0</v>
      </c>
      <c r="AR1024" s="82">
        <f>IFERROR(__xludf.DUMMYFUNCTION("""COMPUTED_VALUE"""),0.0)</f>
        <v>0</v>
      </c>
      <c r="AS1024" s="82"/>
      <c r="AT1024" s="82">
        <f>IFERROR(__xludf.DUMMYFUNCTION("""COMPUTED_VALUE"""),0.0)</f>
        <v>0</v>
      </c>
      <c r="AU1024" s="82"/>
      <c r="AV1024" s="82"/>
      <c r="AW1024" s="82" t="str">
        <f t="shared" si="1"/>
        <v/>
      </c>
      <c r="AX1024" s="83" t="str">
        <f t="array" ref="AX1024">IFERROR(DGET('SBV Import'!A:G,"SBV",{"RSC ID","Tier";B1024,A1024}))</f>
        <v/>
      </c>
      <c r="AY1024" s="82" t="str">
        <f t="shared" si="2"/>
        <v/>
      </c>
      <c r="AZ1024" s="82"/>
      <c r="BA1024" s="84" t="s">
        <v>152</v>
      </c>
      <c r="BB1024" s="84" t="str">
        <f>IFERROR(__xludf.DUMMYFUNCTION("iferror(if(A1024="""",,E1024&gt;=FILTER(Constants!$F$2:$F$10,Constants!$A$2:$A$10=A1024)))"),"")</f>
        <v/>
      </c>
    </row>
    <row r="1025">
      <c r="A1025" s="80"/>
      <c r="B1025" s="73"/>
      <c r="C1025" s="73"/>
      <c r="D1025" s="73"/>
      <c r="E1025" s="82"/>
      <c r="F1025" s="82"/>
      <c r="G1025" s="82"/>
      <c r="H1025" s="86"/>
      <c r="I1025" s="86"/>
      <c r="J1025" s="82"/>
      <c r="K1025" s="82"/>
      <c r="L1025" s="82"/>
      <c r="M1025" s="82"/>
      <c r="N1025" s="82"/>
      <c r="O1025" s="82"/>
      <c r="P1025" s="82"/>
      <c r="Q1025" s="82"/>
      <c r="R1025" s="82"/>
      <c r="S1025" s="82"/>
      <c r="T1025" s="82"/>
      <c r="U1025" s="82"/>
      <c r="V1025" s="82"/>
      <c r="W1025" s="82"/>
      <c r="X1025" s="82"/>
      <c r="Y1025" s="82"/>
      <c r="Z1025" s="82"/>
      <c r="AA1025" s="82"/>
      <c r="AB1025" s="82"/>
      <c r="AC1025" s="82"/>
      <c r="AD1025" s="82"/>
      <c r="AE1025" s="82"/>
      <c r="AF1025" s="82"/>
      <c r="AG1025" s="82"/>
      <c r="AH1025" s="82"/>
      <c r="AI1025" s="82"/>
      <c r="AJ1025" s="82"/>
      <c r="AK1025" s="82"/>
      <c r="AL1025" s="82"/>
      <c r="AM1025" s="82"/>
      <c r="AN1025" s="82">
        <f>IFERROR(__xludf.DUMMYFUNCTION("""COMPUTED_VALUE"""),0.0)</f>
        <v>0</v>
      </c>
      <c r="AO1025" s="82">
        <f>IFERROR(__xludf.DUMMYFUNCTION("""COMPUTED_VALUE"""),0.0)</f>
        <v>0</v>
      </c>
      <c r="AP1025" s="82">
        <f>IFERROR(__xludf.DUMMYFUNCTION("""COMPUTED_VALUE"""),0.0)</f>
        <v>0</v>
      </c>
      <c r="AQ1025" s="82">
        <f>IFERROR(__xludf.DUMMYFUNCTION("""COMPUTED_VALUE"""),0.0)</f>
        <v>0</v>
      </c>
      <c r="AR1025" s="82">
        <f>IFERROR(__xludf.DUMMYFUNCTION("""COMPUTED_VALUE"""),0.0)</f>
        <v>0</v>
      </c>
      <c r="AS1025" s="82"/>
      <c r="AT1025" s="82">
        <f>IFERROR(__xludf.DUMMYFUNCTION("""COMPUTED_VALUE"""),0.0)</f>
        <v>0</v>
      </c>
      <c r="AU1025" s="82"/>
      <c r="AV1025" s="82"/>
      <c r="AW1025" s="82" t="str">
        <f t="shared" si="1"/>
        <v/>
      </c>
      <c r="AX1025" s="83" t="str">
        <f t="array" ref="AX1025">IFERROR(DGET('SBV Import'!A:G,"SBV",{"RSC ID","Tier";B1025,A1025}))</f>
        <v/>
      </c>
      <c r="AY1025" s="82" t="str">
        <f t="shared" si="2"/>
        <v/>
      </c>
      <c r="AZ1025" s="82"/>
      <c r="BA1025" s="84" t="s">
        <v>152</v>
      </c>
      <c r="BB1025" s="84" t="str">
        <f>IFERROR(__xludf.DUMMYFUNCTION("iferror(if(A1025="""",,E1025&gt;=FILTER(Constants!$F$2:$F$10,Constants!$A$2:$A$10=A1025)))"),"")</f>
        <v/>
      </c>
    </row>
    <row r="1026">
      <c r="A1026" s="80"/>
      <c r="B1026" s="73"/>
      <c r="C1026" s="73"/>
      <c r="D1026" s="73"/>
      <c r="E1026" s="82"/>
      <c r="F1026" s="82"/>
      <c r="G1026" s="82"/>
      <c r="H1026" s="86"/>
      <c r="I1026" s="86"/>
      <c r="J1026" s="82"/>
      <c r="K1026" s="82"/>
      <c r="L1026" s="82"/>
      <c r="M1026" s="82"/>
      <c r="N1026" s="82"/>
      <c r="O1026" s="82"/>
      <c r="P1026" s="82"/>
      <c r="Q1026" s="82"/>
      <c r="R1026" s="82"/>
      <c r="S1026" s="82"/>
      <c r="T1026" s="82"/>
      <c r="U1026" s="82"/>
      <c r="V1026" s="82"/>
      <c r="W1026" s="82"/>
      <c r="X1026" s="82"/>
      <c r="Y1026" s="82"/>
      <c r="Z1026" s="82"/>
      <c r="AA1026" s="82"/>
      <c r="AB1026" s="82"/>
      <c r="AC1026" s="82"/>
      <c r="AD1026" s="82"/>
      <c r="AE1026" s="82"/>
      <c r="AF1026" s="82"/>
      <c r="AG1026" s="82"/>
      <c r="AH1026" s="82"/>
      <c r="AI1026" s="82"/>
      <c r="AJ1026" s="82"/>
      <c r="AK1026" s="82"/>
      <c r="AL1026" s="82"/>
      <c r="AM1026" s="82"/>
      <c r="AN1026" s="82">
        <f>IFERROR(__xludf.DUMMYFUNCTION("""COMPUTED_VALUE"""),0.0)</f>
        <v>0</v>
      </c>
      <c r="AO1026" s="82">
        <f>IFERROR(__xludf.DUMMYFUNCTION("""COMPUTED_VALUE"""),0.0)</f>
        <v>0</v>
      </c>
      <c r="AP1026" s="82">
        <f>IFERROR(__xludf.DUMMYFUNCTION("""COMPUTED_VALUE"""),0.0)</f>
        <v>0</v>
      </c>
      <c r="AQ1026" s="82">
        <f>IFERROR(__xludf.DUMMYFUNCTION("""COMPUTED_VALUE"""),0.0)</f>
        <v>0</v>
      </c>
      <c r="AR1026" s="82">
        <f>IFERROR(__xludf.DUMMYFUNCTION("""COMPUTED_VALUE"""),0.0)</f>
        <v>0</v>
      </c>
      <c r="AS1026" s="82"/>
      <c r="AT1026" s="82">
        <f>IFERROR(__xludf.DUMMYFUNCTION("""COMPUTED_VALUE"""),0.0)</f>
        <v>0</v>
      </c>
      <c r="AU1026" s="82"/>
      <c r="AV1026" s="82"/>
      <c r="AW1026" s="82" t="str">
        <f t="shared" si="1"/>
        <v/>
      </c>
      <c r="AX1026" s="83" t="str">
        <f t="array" ref="AX1026">IFERROR(DGET('SBV Import'!A:G,"SBV",{"RSC ID","Tier";B1026,A1026}))</f>
        <v/>
      </c>
      <c r="AY1026" s="82" t="str">
        <f t="shared" si="2"/>
        <v/>
      </c>
      <c r="AZ1026" s="82"/>
      <c r="BA1026" s="84" t="s">
        <v>152</v>
      </c>
      <c r="BB1026" s="84" t="str">
        <f>IFERROR(__xludf.DUMMYFUNCTION("iferror(if(A1026="""",,E1026&gt;=FILTER(Constants!$F$2:$F$10,Constants!$A$2:$A$10=A1026)))"),"")</f>
        <v/>
      </c>
    </row>
    <row r="1027">
      <c r="A1027" s="80"/>
      <c r="B1027" s="73"/>
      <c r="C1027" s="73"/>
      <c r="D1027" s="73"/>
      <c r="E1027" s="82"/>
      <c r="F1027" s="82"/>
      <c r="G1027" s="82"/>
      <c r="H1027" s="86"/>
      <c r="I1027" s="86"/>
      <c r="J1027" s="82"/>
      <c r="K1027" s="82"/>
      <c r="L1027" s="82"/>
      <c r="M1027" s="82"/>
      <c r="N1027" s="82"/>
      <c r="O1027" s="82"/>
      <c r="P1027" s="82"/>
      <c r="Q1027" s="82"/>
      <c r="R1027" s="82"/>
      <c r="S1027" s="82"/>
      <c r="T1027" s="82"/>
      <c r="U1027" s="82"/>
      <c r="V1027" s="82"/>
      <c r="W1027" s="82"/>
      <c r="X1027" s="82"/>
      <c r="Y1027" s="82"/>
      <c r="Z1027" s="82"/>
      <c r="AA1027" s="82"/>
      <c r="AB1027" s="82"/>
      <c r="AC1027" s="82"/>
      <c r="AD1027" s="82"/>
      <c r="AE1027" s="82"/>
      <c r="AF1027" s="82"/>
      <c r="AG1027" s="82"/>
      <c r="AH1027" s="82"/>
      <c r="AI1027" s="82"/>
      <c r="AJ1027" s="82"/>
      <c r="AK1027" s="82"/>
      <c r="AL1027" s="82"/>
      <c r="AM1027" s="82"/>
      <c r="AN1027" s="82">
        <f>IFERROR(__xludf.DUMMYFUNCTION("""COMPUTED_VALUE"""),0.0)</f>
        <v>0</v>
      </c>
      <c r="AO1027" s="82">
        <f>IFERROR(__xludf.DUMMYFUNCTION("""COMPUTED_VALUE"""),0.0)</f>
        <v>0</v>
      </c>
      <c r="AP1027" s="82">
        <f>IFERROR(__xludf.DUMMYFUNCTION("""COMPUTED_VALUE"""),0.0)</f>
        <v>0</v>
      </c>
      <c r="AQ1027" s="82">
        <f>IFERROR(__xludf.DUMMYFUNCTION("""COMPUTED_VALUE"""),0.0)</f>
        <v>0</v>
      </c>
      <c r="AR1027" s="82">
        <f>IFERROR(__xludf.DUMMYFUNCTION("""COMPUTED_VALUE"""),0.0)</f>
        <v>0</v>
      </c>
      <c r="AS1027" s="82"/>
      <c r="AT1027" s="82">
        <f>IFERROR(__xludf.DUMMYFUNCTION("""COMPUTED_VALUE"""),0.0)</f>
        <v>0</v>
      </c>
      <c r="AU1027" s="82"/>
      <c r="AV1027" s="82"/>
      <c r="AW1027" s="82" t="str">
        <f t="shared" si="1"/>
        <v/>
      </c>
      <c r="AX1027" s="83" t="str">
        <f t="array" ref="AX1027">IFERROR(DGET('SBV Import'!A:G,"SBV",{"RSC ID","Tier";B1027,A1027}))</f>
        <v/>
      </c>
      <c r="AY1027" s="82" t="str">
        <f t="shared" si="2"/>
        <v/>
      </c>
      <c r="AZ1027" s="82"/>
      <c r="BA1027" s="84" t="s">
        <v>152</v>
      </c>
      <c r="BB1027" s="84" t="str">
        <f>IFERROR(__xludf.DUMMYFUNCTION("iferror(if(A1027="""",,E1027&gt;=FILTER(Constants!$F$2:$F$10,Constants!$A$2:$A$10=A1027)))"),"")</f>
        <v/>
      </c>
    </row>
    <row r="1028">
      <c r="A1028" s="80"/>
      <c r="B1028" s="73"/>
      <c r="C1028" s="73"/>
      <c r="D1028" s="73"/>
      <c r="E1028" s="82"/>
      <c r="F1028" s="82"/>
      <c r="G1028" s="82"/>
      <c r="H1028" s="86"/>
      <c r="I1028" s="86"/>
      <c r="J1028" s="82"/>
      <c r="K1028" s="82"/>
      <c r="L1028" s="82"/>
      <c r="M1028" s="82"/>
      <c r="N1028" s="82"/>
      <c r="O1028" s="82"/>
      <c r="P1028" s="82"/>
      <c r="Q1028" s="82"/>
      <c r="R1028" s="82"/>
      <c r="S1028" s="82"/>
      <c r="T1028" s="82"/>
      <c r="U1028" s="82"/>
      <c r="V1028" s="82"/>
      <c r="W1028" s="82"/>
      <c r="X1028" s="82"/>
      <c r="Y1028" s="82"/>
      <c r="Z1028" s="82"/>
      <c r="AA1028" s="82"/>
      <c r="AB1028" s="82"/>
      <c r="AC1028" s="82"/>
      <c r="AD1028" s="82"/>
      <c r="AE1028" s="82"/>
      <c r="AF1028" s="82"/>
      <c r="AG1028" s="82"/>
      <c r="AH1028" s="82"/>
      <c r="AI1028" s="82"/>
      <c r="AJ1028" s="82"/>
      <c r="AK1028" s="82"/>
      <c r="AL1028" s="82"/>
      <c r="AM1028" s="82"/>
      <c r="AN1028" s="82">
        <f>IFERROR(__xludf.DUMMYFUNCTION("""COMPUTED_VALUE"""),0.0)</f>
        <v>0</v>
      </c>
      <c r="AO1028" s="82">
        <f>IFERROR(__xludf.DUMMYFUNCTION("""COMPUTED_VALUE"""),0.0)</f>
        <v>0</v>
      </c>
      <c r="AP1028" s="82">
        <f>IFERROR(__xludf.DUMMYFUNCTION("""COMPUTED_VALUE"""),0.0)</f>
        <v>0</v>
      </c>
      <c r="AQ1028" s="82">
        <f>IFERROR(__xludf.DUMMYFUNCTION("""COMPUTED_VALUE"""),0.0)</f>
        <v>0</v>
      </c>
      <c r="AR1028" s="82">
        <f>IFERROR(__xludf.DUMMYFUNCTION("""COMPUTED_VALUE"""),0.0)</f>
        <v>0</v>
      </c>
      <c r="AS1028" s="82"/>
      <c r="AT1028" s="82">
        <f>IFERROR(__xludf.DUMMYFUNCTION("""COMPUTED_VALUE"""),0.0)</f>
        <v>0</v>
      </c>
      <c r="AU1028" s="82"/>
      <c r="AV1028" s="82"/>
      <c r="AW1028" s="82" t="str">
        <f t="shared" si="1"/>
        <v/>
      </c>
      <c r="AX1028" s="83" t="str">
        <f t="array" ref="AX1028">IFERROR(DGET('SBV Import'!A:G,"SBV",{"RSC ID","Tier";B1028,A1028}))</f>
        <v/>
      </c>
      <c r="AY1028" s="82" t="str">
        <f t="shared" si="2"/>
        <v/>
      </c>
      <c r="AZ1028" s="82"/>
      <c r="BA1028" s="84" t="s">
        <v>152</v>
      </c>
      <c r="BB1028" s="84" t="str">
        <f>IFERROR(__xludf.DUMMYFUNCTION("iferror(if(A1028="""",,E1028&gt;=FILTER(Constants!$F$2:$F$10,Constants!$A$2:$A$10=A1028)))"),"")</f>
        <v/>
      </c>
    </row>
    <row r="1029">
      <c r="A1029" s="80"/>
      <c r="B1029" s="73"/>
      <c r="C1029" s="73"/>
      <c r="D1029" s="73"/>
      <c r="E1029" s="82"/>
      <c r="F1029" s="82"/>
      <c r="G1029" s="82"/>
      <c r="H1029" s="86"/>
      <c r="I1029" s="86"/>
      <c r="J1029" s="82"/>
      <c r="K1029" s="82"/>
      <c r="L1029" s="82"/>
      <c r="M1029" s="82"/>
      <c r="N1029" s="82"/>
      <c r="O1029" s="82"/>
      <c r="P1029" s="82"/>
      <c r="Q1029" s="82"/>
      <c r="R1029" s="82"/>
      <c r="S1029" s="82"/>
      <c r="T1029" s="82"/>
      <c r="U1029" s="82"/>
      <c r="V1029" s="82"/>
      <c r="W1029" s="82"/>
      <c r="X1029" s="82"/>
      <c r="Y1029" s="82"/>
      <c r="Z1029" s="82"/>
      <c r="AA1029" s="82"/>
      <c r="AB1029" s="82"/>
      <c r="AC1029" s="82"/>
      <c r="AD1029" s="82"/>
      <c r="AE1029" s="82"/>
      <c r="AF1029" s="82"/>
      <c r="AG1029" s="82"/>
      <c r="AH1029" s="82"/>
      <c r="AI1029" s="82"/>
      <c r="AJ1029" s="82"/>
      <c r="AK1029" s="82"/>
      <c r="AL1029" s="82"/>
      <c r="AM1029" s="82"/>
      <c r="AN1029" s="82">
        <f>IFERROR(__xludf.DUMMYFUNCTION("""COMPUTED_VALUE"""),0.0)</f>
        <v>0</v>
      </c>
      <c r="AO1029" s="82">
        <f>IFERROR(__xludf.DUMMYFUNCTION("""COMPUTED_VALUE"""),0.0)</f>
        <v>0</v>
      </c>
      <c r="AP1029" s="82">
        <f>IFERROR(__xludf.DUMMYFUNCTION("""COMPUTED_VALUE"""),0.0)</f>
        <v>0</v>
      </c>
      <c r="AQ1029" s="82">
        <f>IFERROR(__xludf.DUMMYFUNCTION("""COMPUTED_VALUE"""),0.0)</f>
        <v>0</v>
      </c>
      <c r="AR1029" s="82">
        <f>IFERROR(__xludf.DUMMYFUNCTION("""COMPUTED_VALUE"""),0.0)</f>
        <v>0</v>
      </c>
      <c r="AS1029" s="82"/>
      <c r="AT1029" s="82">
        <f>IFERROR(__xludf.DUMMYFUNCTION("""COMPUTED_VALUE"""),0.0)</f>
        <v>0</v>
      </c>
      <c r="AU1029" s="82"/>
      <c r="AV1029" s="82"/>
      <c r="AW1029" s="82" t="str">
        <f t="shared" si="1"/>
        <v/>
      </c>
      <c r="AX1029" s="83" t="str">
        <f t="array" ref="AX1029">IFERROR(DGET('SBV Import'!A:G,"SBV",{"RSC ID","Tier";B1029,A1029}))</f>
        <v/>
      </c>
      <c r="AY1029" s="82" t="str">
        <f t="shared" si="2"/>
        <v/>
      </c>
      <c r="AZ1029" s="82"/>
      <c r="BA1029" s="84" t="s">
        <v>152</v>
      </c>
      <c r="BB1029" s="84" t="str">
        <f>IFERROR(__xludf.DUMMYFUNCTION("iferror(if(A1029="""",,E1029&gt;=FILTER(Constants!$F$2:$F$10,Constants!$A$2:$A$10=A1029)))"),"")</f>
        <v/>
      </c>
    </row>
    <row r="1030">
      <c r="A1030" s="80"/>
      <c r="B1030" s="73"/>
      <c r="C1030" s="73"/>
      <c r="D1030" s="73"/>
      <c r="E1030" s="82"/>
      <c r="F1030" s="82"/>
      <c r="G1030" s="82"/>
      <c r="H1030" s="86"/>
      <c r="I1030" s="86"/>
      <c r="J1030" s="82"/>
      <c r="K1030" s="82"/>
      <c r="L1030" s="82"/>
      <c r="M1030" s="82"/>
      <c r="N1030" s="82"/>
      <c r="O1030" s="82"/>
      <c r="P1030" s="82"/>
      <c r="Q1030" s="82"/>
      <c r="R1030" s="82"/>
      <c r="S1030" s="82"/>
      <c r="T1030" s="82"/>
      <c r="U1030" s="82"/>
      <c r="V1030" s="82"/>
      <c r="W1030" s="82"/>
      <c r="X1030" s="82"/>
      <c r="Y1030" s="82"/>
      <c r="Z1030" s="82"/>
      <c r="AA1030" s="82"/>
      <c r="AB1030" s="82"/>
      <c r="AC1030" s="82"/>
      <c r="AD1030" s="82"/>
      <c r="AE1030" s="82"/>
      <c r="AF1030" s="82"/>
      <c r="AG1030" s="82"/>
      <c r="AH1030" s="82"/>
      <c r="AI1030" s="82"/>
      <c r="AJ1030" s="82"/>
      <c r="AK1030" s="82"/>
      <c r="AL1030" s="82"/>
      <c r="AM1030" s="82"/>
      <c r="AN1030" s="82">
        <f>IFERROR(__xludf.DUMMYFUNCTION("""COMPUTED_VALUE"""),0.0)</f>
        <v>0</v>
      </c>
      <c r="AO1030" s="82">
        <f>IFERROR(__xludf.DUMMYFUNCTION("""COMPUTED_VALUE"""),0.0)</f>
        <v>0</v>
      </c>
      <c r="AP1030" s="82">
        <f>IFERROR(__xludf.DUMMYFUNCTION("""COMPUTED_VALUE"""),0.0)</f>
        <v>0</v>
      </c>
      <c r="AQ1030" s="82">
        <f>IFERROR(__xludf.DUMMYFUNCTION("""COMPUTED_VALUE"""),0.0)</f>
        <v>0</v>
      </c>
      <c r="AR1030" s="82">
        <f>IFERROR(__xludf.DUMMYFUNCTION("""COMPUTED_VALUE"""),0.0)</f>
        <v>0</v>
      </c>
      <c r="AS1030" s="82"/>
      <c r="AT1030" s="82">
        <f>IFERROR(__xludf.DUMMYFUNCTION("""COMPUTED_VALUE"""),0.0)</f>
        <v>0</v>
      </c>
      <c r="AU1030" s="82"/>
      <c r="AV1030" s="82"/>
      <c r="AW1030" s="82" t="str">
        <f t="shared" si="1"/>
        <v/>
      </c>
      <c r="AX1030" s="83" t="str">
        <f t="array" ref="AX1030">IFERROR(DGET('SBV Import'!A:G,"SBV",{"RSC ID","Tier";B1030,A1030}))</f>
        <v/>
      </c>
      <c r="AY1030" s="82" t="str">
        <f t="shared" si="2"/>
        <v/>
      </c>
      <c r="AZ1030" s="82"/>
      <c r="BA1030" s="84" t="s">
        <v>152</v>
      </c>
      <c r="BB1030" s="84" t="str">
        <f>IFERROR(__xludf.DUMMYFUNCTION("iferror(if(A1030="""",,E1030&gt;=FILTER(Constants!$F$2:$F$10,Constants!$A$2:$A$10=A1030)))"),"")</f>
        <v/>
      </c>
    </row>
    <row r="1031">
      <c r="A1031" s="80"/>
      <c r="B1031" s="73"/>
      <c r="C1031" s="73"/>
      <c r="D1031" s="73"/>
      <c r="E1031" s="82"/>
      <c r="F1031" s="82"/>
      <c r="G1031" s="82"/>
      <c r="H1031" s="86"/>
      <c r="I1031" s="86"/>
      <c r="J1031" s="82"/>
      <c r="K1031" s="82"/>
      <c r="L1031" s="82"/>
      <c r="M1031" s="82"/>
      <c r="N1031" s="82"/>
      <c r="O1031" s="82"/>
      <c r="P1031" s="82"/>
      <c r="Q1031" s="82"/>
      <c r="R1031" s="82"/>
      <c r="S1031" s="82"/>
      <c r="T1031" s="82"/>
      <c r="U1031" s="82"/>
      <c r="V1031" s="82"/>
      <c r="W1031" s="82"/>
      <c r="X1031" s="82"/>
      <c r="Y1031" s="82"/>
      <c r="Z1031" s="82"/>
      <c r="AA1031" s="82"/>
      <c r="AB1031" s="82"/>
      <c r="AC1031" s="82"/>
      <c r="AD1031" s="82"/>
      <c r="AE1031" s="82"/>
      <c r="AF1031" s="82"/>
      <c r="AG1031" s="82"/>
      <c r="AH1031" s="82"/>
      <c r="AI1031" s="82"/>
      <c r="AJ1031" s="82"/>
      <c r="AK1031" s="82"/>
      <c r="AL1031" s="82"/>
      <c r="AM1031" s="82"/>
      <c r="AN1031" s="82">
        <f>IFERROR(__xludf.DUMMYFUNCTION("""COMPUTED_VALUE"""),0.0)</f>
        <v>0</v>
      </c>
      <c r="AO1031" s="82">
        <f>IFERROR(__xludf.DUMMYFUNCTION("""COMPUTED_VALUE"""),0.0)</f>
        <v>0</v>
      </c>
      <c r="AP1031" s="82">
        <f>IFERROR(__xludf.DUMMYFUNCTION("""COMPUTED_VALUE"""),0.0)</f>
        <v>0</v>
      </c>
      <c r="AQ1031" s="82">
        <f>IFERROR(__xludf.DUMMYFUNCTION("""COMPUTED_VALUE"""),0.0)</f>
        <v>0</v>
      </c>
      <c r="AR1031" s="82">
        <f>IFERROR(__xludf.DUMMYFUNCTION("""COMPUTED_VALUE"""),0.0)</f>
        <v>0</v>
      </c>
      <c r="AS1031" s="82"/>
      <c r="AT1031" s="82">
        <f>IFERROR(__xludf.DUMMYFUNCTION("""COMPUTED_VALUE"""),0.0)</f>
        <v>0</v>
      </c>
      <c r="AU1031" s="82"/>
      <c r="AV1031" s="82"/>
      <c r="AW1031" s="82" t="str">
        <f t="shared" si="1"/>
        <v/>
      </c>
      <c r="AX1031" s="83" t="str">
        <f t="array" ref="AX1031">IFERROR(DGET('SBV Import'!A:G,"SBV",{"RSC ID","Tier";B1031,A1031}))</f>
        <v/>
      </c>
      <c r="AY1031" s="82" t="str">
        <f t="shared" si="2"/>
        <v/>
      </c>
      <c r="AZ1031" s="82"/>
      <c r="BA1031" s="84" t="s">
        <v>152</v>
      </c>
      <c r="BB1031" s="84" t="str">
        <f>IFERROR(__xludf.DUMMYFUNCTION("iferror(if(A1031="""",,E1031&gt;=FILTER(Constants!$F$2:$F$10,Constants!$A$2:$A$10=A1031)))"),"")</f>
        <v/>
      </c>
    </row>
    <row r="1032">
      <c r="A1032" s="80"/>
      <c r="B1032" s="73"/>
      <c r="C1032" s="73"/>
      <c r="D1032" s="73"/>
      <c r="E1032" s="82"/>
      <c r="F1032" s="82"/>
      <c r="G1032" s="82"/>
      <c r="H1032" s="86"/>
      <c r="I1032" s="86"/>
      <c r="J1032" s="82"/>
      <c r="K1032" s="82"/>
      <c r="L1032" s="82"/>
      <c r="M1032" s="82"/>
      <c r="N1032" s="82"/>
      <c r="O1032" s="82"/>
      <c r="P1032" s="82"/>
      <c r="Q1032" s="82"/>
      <c r="R1032" s="82"/>
      <c r="S1032" s="82"/>
      <c r="T1032" s="82"/>
      <c r="U1032" s="82"/>
      <c r="V1032" s="82"/>
      <c r="W1032" s="82"/>
      <c r="X1032" s="82"/>
      <c r="Y1032" s="82"/>
      <c r="Z1032" s="82"/>
      <c r="AA1032" s="82"/>
      <c r="AB1032" s="82"/>
      <c r="AC1032" s="82"/>
      <c r="AD1032" s="82"/>
      <c r="AE1032" s="82"/>
      <c r="AF1032" s="82"/>
      <c r="AG1032" s="82"/>
      <c r="AH1032" s="82"/>
      <c r="AI1032" s="82"/>
      <c r="AJ1032" s="82"/>
      <c r="AK1032" s="82"/>
      <c r="AL1032" s="82"/>
      <c r="AM1032" s="82"/>
      <c r="AN1032" s="82">
        <f>IFERROR(__xludf.DUMMYFUNCTION("""COMPUTED_VALUE"""),0.0)</f>
        <v>0</v>
      </c>
      <c r="AO1032" s="82">
        <f>IFERROR(__xludf.DUMMYFUNCTION("""COMPUTED_VALUE"""),0.0)</f>
        <v>0</v>
      </c>
      <c r="AP1032" s="82">
        <f>IFERROR(__xludf.DUMMYFUNCTION("""COMPUTED_VALUE"""),0.0)</f>
        <v>0</v>
      </c>
      <c r="AQ1032" s="82">
        <f>IFERROR(__xludf.DUMMYFUNCTION("""COMPUTED_VALUE"""),0.0)</f>
        <v>0</v>
      </c>
      <c r="AR1032" s="82">
        <f>IFERROR(__xludf.DUMMYFUNCTION("""COMPUTED_VALUE"""),0.0)</f>
        <v>0</v>
      </c>
      <c r="AS1032" s="82"/>
      <c r="AT1032" s="82">
        <f>IFERROR(__xludf.DUMMYFUNCTION("""COMPUTED_VALUE"""),0.0)</f>
        <v>0</v>
      </c>
      <c r="AU1032" s="82"/>
      <c r="AV1032" s="82"/>
      <c r="AW1032" s="82" t="str">
        <f t="shared" si="1"/>
        <v/>
      </c>
      <c r="AX1032" s="83" t="str">
        <f t="array" ref="AX1032">IFERROR(DGET('SBV Import'!A:G,"SBV",{"RSC ID","Tier";B1032,A1032}))</f>
        <v/>
      </c>
      <c r="AY1032" s="82" t="str">
        <f t="shared" si="2"/>
        <v/>
      </c>
      <c r="AZ1032" s="82"/>
      <c r="BA1032" s="84" t="s">
        <v>152</v>
      </c>
      <c r="BB1032" s="84" t="str">
        <f>IFERROR(__xludf.DUMMYFUNCTION("iferror(if(A1032="""",,E1032&gt;=FILTER(Constants!$F$2:$F$10,Constants!$A$2:$A$10=A1032)))"),"")</f>
        <v/>
      </c>
    </row>
    <row r="1033">
      <c r="A1033" s="80"/>
      <c r="B1033" s="73"/>
      <c r="C1033" s="73"/>
      <c r="D1033" s="73"/>
      <c r="E1033" s="82"/>
      <c r="F1033" s="82"/>
      <c r="G1033" s="82"/>
      <c r="H1033" s="86"/>
      <c r="I1033" s="86"/>
      <c r="J1033" s="82"/>
      <c r="K1033" s="82"/>
      <c r="L1033" s="82"/>
      <c r="M1033" s="82"/>
      <c r="N1033" s="82"/>
      <c r="O1033" s="82"/>
      <c r="P1033" s="82"/>
      <c r="Q1033" s="82"/>
      <c r="R1033" s="82"/>
      <c r="S1033" s="82"/>
      <c r="T1033" s="82"/>
      <c r="U1033" s="82"/>
      <c r="V1033" s="82"/>
      <c r="W1033" s="82"/>
      <c r="X1033" s="82"/>
      <c r="Y1033" s="82"/>
      <c r="Z1033" s="82"/>
      <c r="AA1033" s="82"/>
      <c r="AB1033" s="82"/>
      <c r="AC1033" s="82"/>
      <c r="AD1033" s="82"/>
      <c r="AE1033" s="82"/>
      <c r="AF1033" s="82"/>
      <c r="AG1033" s="82"/>
      <c r="AH1033" s="82"/>
      <c r="AI1033" s="82"/>
      <c r="AJ1033" s="82"/>
      <c r="AK1033" s="82"/>
      <c r="AL1033" s="82"/>
      <c r="AM1033" s="82"/>
      <c r="AN1033" s="82">
        <f>IFERROR(__xludf.DUMMYFUNCTION("""COMPUTED_VALUE"""),0.0)</f>
        <v>0</v>
      </c>
      <c r="AO1033" s="82">
        <f>IFERROR(__xludf.DUMMYFUNCTION("""COMPUTED_VALUE"""),0.0)</f>
        <v>0</v>
      </c>
      <c r="AP1033" s="82">
        <f>IFERROR(__xludf.DUMMYFUNCTION("""COMPUTED_VALUE"""),0.0)</f>
        <v>0</v>
      </c>
      <c r="AQ1033" s="82">
        <f>IFERROR(__xludf.DUMMYFUNCTION("""COMPUTED_VALUE"""),0.0)</f>
        <v>0</v>
      </c>
      <c r="AR1033" s="82">
        <f>IFERROR(__xludf.DUMMYFUNCTION("""COMPUTED_VALUE"""),0.0)</f>
        <v>0</v>
      </c>
      <c r="AS1033" s="82"/>
      <c r="AT1033" s="82">
        <f>IFERROR(__xludf.DUMMYFUNCTION("""COMPUTED_VALUE"""),0.0)</f>
        <v>0</v>
      </c>
      <c r="AU1033" s="82"/>
      <c r="AV1033" s="82"/>
      <c r="AW1033" s="82" t="str">
        <f t="shared" si="1"/>
        <v/>
      </c>
      <c r="AX1033" s="83" t="str">
        <f t="array" ref="AX1033">IFERROR(DGET('SBV Import'!A:G,"SBV",{"RSC ID","Tier";B1033,A1033}))</f>
        <v/>
      </c>
      <c r="AY1033" s="82" t="str">
        <f t="shared" si="2"/>
        <v/>
      </c>
      <c r="AZ1033" s="82"/>
      <c r="BA1033" s="84" t="s">
        <v>152</v>
      </c>
      <c r="BB1033" s="84" t="str">
        <f>IFERROR(__xludf.DUMMYFUNCTION("iferror(if(A1033="""",,E1033&gt;=FILTER(Constants!$F$2:$F$10,Constants!$A$2:$A$10=A1033)))"),"")</f>
        <v/>
      </c>
    </row>
    <row r="1034">
      <c r="A1034" s="80"/>
      <c r="B1034" s="73"/>
      <c r="C1034" s="73"/>
      <c r="D1034" s="73"/>
      <c r="E1034" s="82"/>
      <c r="F1034" s="82"/>
      <c r="G1034" s="82"/>
      <c r="H1034" s="86"/>
      <c r="I1034" s="86"/>
      <c r="J1034" s="82"/>
      <c r="K1034" s="82"/>
      <c r="L1034" s="82"/>
      <c r="M1034" s="82"/>
      <c r="N1034" s="82"/>
      <c r="O1034" s="82"/>
      <c r="P1034" s="82"/>
      <c r="Q1034" s="82"/>
      <c r="R1034" s="82"/>
      <c r="S1034" s="82"/>
      <c r="T1034" s="82"/>
      <c r="U1034" s="82"/>
      <c r="V1034" s="82"/>
      <c r="W1034" s="82"/>
      <c r="X1034" s="82"/>
      <c r="Y1034" s="82"/>
      <c r="Z1034" s="82"/>
      <c r="AA1034" s="82"/>
      <c r="AB1034" s="82"/>
      <c r="AC1034" s="82"/>
      <c r="AD1034" s="82"/>
      <c r="AE1034" s="82"/>
      <c r="AF1034" s="82"/>
      <c r="AG1034" s="82"/>
      <c r="AH1034" s="82"/>
      <c r="AI1034" s="82"/>
      <c r="AJ1034" s="82"/>
      <c r="AK1034" s="82"/>
      <c r="AL1034" s="82"/>
      <c r="AM1034" s="82"/>
      <c r="AN1034" s="82">
        <f>IFERROR(__xludf.DUMMYFUNCTION("""COMPUTED_VALUE"""),0.0)</f>
        <v>0</v>
      </c>
      <c r="AO1034" s="82">
        <f>IFERROR(__xludf.DUMMYFUNCTION("""COMPUTED_VALUE"""),0.0)</f>
        <v>0</v>
      </c>
      <c r="AP1034" s="82">
        <f>IFERROR(__xludf.DUMMYFUNCTION("""COMPUTED_VALUE"""),0.0)</f>
        <v>0</v>
      </c>
      <c r="AQ1034" s="82">
        <f>IFERROR(__xludf.DUMMYFUNCTION("""COMPUTED_VALUE"""),0.0)</f>
        <v>0</v>
      </c>
      <c r="AR1034" s="82">
        <f>IFERROR(__xludf.DUMMYFUNCTION("""COMPUTED_VALUE"""),0.0)</f>
        <v>0</v>
      </c>
      <c r="AS1034" s="82"/>
      <c r="AT1034" s="82">
        <f>IFERROR(__xludf.DUMMYFUNCTION("""COMPUTED_VALUE"""),0.0)</f>
        <v>0</v>
      </c>
      <c r="AU1034" s="82"/>
      <c r="AV1034" s="82"/>
      <c r="AW1034" s="82" t="str">
        <f t="shared" si="1"/>
        <v/>
      </c>
      <c r="AX1034" s="83" t="str">
        <f t="array" ref="AX1034">IFERROR(DGET('SBV Import'!A:G,"SBV",{"RSC ID","Tier";B1034,A1034}))</f>
        <v/>
      </c>
      <c r="AY1034" s="82" t="str">
        <f t="shared" si="2"/>
        <v/>
      </c>
      <c r="AZ1034" s="82"/>
      <c r="BA1034" s="84" t="s">
        <v>152</v>
      </c>
      <c r="BB1034" s="84" t="str">
        <f>IFERROR(__xludf.DUMMYFUNCTION("iferror(if(A1034="""",,E1034&gt;=FILTER(Constants!$F$2:$F$10,Constants!$A$2:$A$10=A1034)))"),"")</f>
        <v/>
      </c>
    </row>
    <row r="1035">
      <c r="A1035" s="80"/>
      <c r="B1035" s="73"/>
      <c r="C1035" s="73"/>
      <c r="D1035" s="73"/>
      <c r="E1035" s="82"/>
      <c r="F1035" s="82"/>
      <c r="G1035" s="82"/>
      <c r="H1035" s="86"/>
      <c r="I1035" s="86"/>
      <c r="J1035" s="82"/>
      <c r="K1035" s="82"/>
      <c r="L1035" s="82"/>
      <c r="M1035" s="82"/>
      <c r="N1035" s="82"/>
      <c r="O1035" s="82"/>
      <c r="P1035" s="82"/>
      <c r="Q1035" s="82"/>
      <c r="R1035" s="82"/>
      <c r="S1035" s="82"/>
      <c r="T1035" s="82"/>
      <c r="U1035" s="82"/>
      <c r="V1035" s="82"/>
      <c r="W1035" s="82"/>
      <c r="X1035" s="82"/>
      <c r="Y1035" s="82"/>
      <c r="Z1035" s="82"/>
      <c r="AA1035" s="82"/>
      <c r="AB1035" s="82"/>
      <c r="AC1035" s="82"/>
      <c r="AD1035" s="82"/>
      <c r="AE1035" s="82"/>
      <c r="AF1035" s="82"/>
      <c r="AG1035" s="82"/>
      <c r="AH1035" s="82"/>
      <c r="AI1035" s="82"/>
      <c r="AJ1035" s="82"/>
      <c r="AK1035" s="82"/>
      <c r="AL1035" s="82"/>
      <c r="AM1035" s="82"/>
      <c r="AN1035" s="82">
        <f>IFERROR(__xludf.DUMMYFUNCTION("""COMPUTED_VALUE"""),0.0)</f>
        <v>0</v>
      </c>
      <c r="AO1035" s="82">
        <f>IFERROR(__xludf.DUMMYFUNCTION("""COMPUTED_VALUE"""),0.0)</f>
        <v>0</v>
      </c>
      <c r="AP1035" s="82">
        <f>IFERROR(__xludf.DUMMYFUNCTION("""COMPUTED_VALUE"""),0.0)</f>
        <v>0</v>
      </c>
      <c r="AQ1035" s="82">
        <f>IFERROR(__xludf.DUMMYFUNCTION("""COMPUTED_VALUE"""),0.0)</f>
        <v>0</v>
      </c>
      <c r="AR1035" s="82">
        <f>IFERROR(__xludf.DUMMYFUNCTION("""COMPUTED_VALUE"""),0.0)</f>
        <v>0</v>
      </c>
      <c r="AS1035" s="82"/>
      <c r="AT1035" s="82">
        <f>IFERROR(__xludf.DUMMYFUNCTION("""COMPUTED_VALUE"""),0.0)</f>
        <v>0</v>
      </c>
      <c r="AU1035" s="82"/>
      <c r="AV1035" s="82"/>
      <c r="AW1035" s="82" t="str">
        <f t="shared" si="1"/>
        <v/>
      </c>
      <c r="AX1035" s="83" t="str">
        <f t="array" ref="AX1035">IFERROR(DGET('SBV Import'!A:G,"SBV",{"RSC ID","Tier";B1035,A1035}))</f>
        <v/>
      </c>
      <c r="AY1035" s="82" t="str">
        <f t="shared" si="2"/>
        <v/>
      </c>
      <c r="AZ1035" s="82"/>
      <c r="BA1035" s="84" t="s">
        <v>152</v>
      </c>
      <c r="BB1035" s="84" t="str">
        <f>IFERROR(__xludf.DUMMYFUNCTION("iferror(if(A1035="""",,E1035&gt;=FILTER(Constants!$F$2:$F$10,Constants!$A$2:$A$10=A1035)))"),"")</f>
        <v/>
      </c>
    </row>
    <row r="1036">
      <c r="A1036" s="80"/>
      <c r="B1036" s="73"/>
      <c r="C1036" s="73"/>
      <c r="D1036" s="73"/>
      <c r="E1036" s="82"/>
      <c r="F1036" s="82"/>
      <c r="G1036" s="82"/>
      <c r="H1036" s="86"/>
      <c r="I1036" s="86"/>
      <c r="J1036" s="82"/>
      <c r="K1036" s="82"/>
      <c r="L1036" s="82"/>
      <c r="M1036" s="82"/>
      <c r="N1036" s="82"/>
      <c r="O1036" s="82"/>
      <c r="P1036" s="82"/>
      <c r="Q1036" s="82"/>
      <c r="R1036" s="82"/>
      <c r="S1036" s="82"/>
      <c r="T1036" s="82"/>
      <c r="U1036" s="82"/>
      <c r="V1036" s="82"/>
      <c r="W1036" s="82"/>
      <c r="X1036" s="82"/>
      <c r="Y1036" s="82"/>
      <c r="Z1036" s="82"/>
      <c r="AA1036" s="82"/>
      <c r="AB1036" s="82"/>
      <c r="AC1036" s="82"/>
      <c r="AD1036" s="82"/>
      <c r="AE1036" s="82"/>
      <c r="AF1036" s="82"/>
      <c r="AG1036" s="82"/>
      <c r="AH1036" s="82"/>
      <c r="AI1036" s="82"/>
      <c r="AJ1036" s="82"/>
      <c r="AK1036" s="82"/>
      <c r="AL1036" s="82"/>
      <c r="AM1036" s="82"/>
      <c r="AN1036" s="82">
        <f>IFERROR(__xludf.DUMMYFUNCTION("""COMPUTED_VALUE"""),0.0)</f>
        <v>0</v>
      </c>
      <c r="AO1036" s="82">
        <f>IFERROR(__xludf.DUMMYFUNCTION("""COMPUTED_VALUE"""),0.0)</f>
        <v>0</v>
      </c>
      <c r="AP1036" s="82">
        <f>IFERROR(__xludf.DUMMYFUNCTION("""COMPUTED_VALUE"""),0.0)</f>
        <v>0</v>
      </c>
      <c r="AQ1036" s="82">
        <f>IFERROR(__xludf.DUMMYFUNCTION("""COMPUTED_VALUE"""),0.0)</f>
        <v>0</v>
      </c>
      <c r="AR1036" s="82">
        <f>IFERROR(__xludf.DUMMYFUNCTION("""COMPUTED_VALUE"""),0.0)</f>
        <v>0</v>
      </c>
      <c r="AS1036" s="82"/>
      <c r="AT1036" s="82">
        <f>IFERROR(__xludf.DUMMYFUNCTION("""COMPUTED_VALUE"""),0.0)</f>
        <v>0</v>
      </c>
      <c r="AU1036" s="82"/>
      <c r="AV1036" s="82"/>
      <c r="AW1036" s="82" t="str">
        <f t="shared" si="1"/>
        <v/>
      </c>
      <c r="AX1036" s="83" t="str">
        <f t="array" ref="AX1036">IFERROR(DGET('SBV Import'!A:G,"SBV",{"RSC ID","Tier";B1036,A1036}))</f>
        <v/>
      </c>
      <c r="AY1036" s="82" t="str">
        <f t="shared" si="2"/>
        <v/>
      </c>
      <c r="AZ1036" s="82"/>
      <c r="BA1036" s="84" t="s">
        <v>152</v>
      </c>
      <c r="BB1036" s="84" t="str">
        <f>IFERROR(__xludf.DUMMYFUNCTION("iferror(if(A1036="""",,E1036&gt;=FILTER(Constants!$F$2:$F$10,Constants!$A$2:$A$10=A1036)))"),"")</f>
        <v/>
      </c>
    </row>
    <row r="1037">
      <c r="A1037" s="80"/>
      <c r="B1037" s="73"/>
      <c r="C1037" s="73"/>
      <c r="D1037" s="73"/>
      <c r="E1037" s="82"/>
      <c r="F1037" s="82"/>
      <c r="G1037" s="82"/>
      <c r="H1037" s="86"/>
      <c r="I1037" s="86"/>
      <c r="J1037" s="82"/>
      <c r="K1037" s="82"/>
      <c r="L1037" s="82"/>
      <c r="M1037" s="82"/>
      <c r="N1037" s="82"/>
      <c r="O1037" s="82"/>
      <c r="P1037" s="82"/>
      <c r="Q1037" s="82"/>
      <c r="R1037" s="82"/>
      <c r="S1037" s="82"/>
      <c r="T1037" s="82"/>
      <c r="U1037" s="82"/>
      <c r="V1037" s="82"/>
      <c r="W1037" s="82"/>
      <c r="X1037" s="82"/>
      <c r="Y1037" s="82"/>
      <c r="Z1037" s="82"/>
      <c r="AA1037" s="82"/>
      <c r="AB1037" s="82"/>
      <c r="AC1037" s="82"/>
      <c r="AD1037" s="82"/>
      <c r="AE1037" s="82"/>
      <c r="AF1037" s="82"/>
      <c r="AG1037" s="82"/>
      <c r="AH1037" s="82"/>
      <c r="AI1037" s="82"/>
      <c r="AJ1037" s="82"/>
      <c r="AK1037" s="82"/>
      <c r="AL1037" s="82"/>
      <c r="AM1037" s="82"/>
      <c r="AN1037" s="82">
        <f>IFERROR(__xludf.DUMMYFUNCTION("""COMPUTED_VALUE"""),0.0)</f>
        <v>0</v>
      </c>
      <c r="AO1037" s="82">
        <f>IFERROR(__xludf.DUMMYFUNCTION("""COMPUTED_VALUE"""),0.0)</f>
        <v>0</v>
      </c>
      <c r="AP1037" s="82">
        <f>IFERROR(__xludf.DUMMYFUNCTION("""COMPUTED_VALUE"""),0.0)</f>
        <v>0</v>
      </c>
      <c r="AQ1037" s="82">
        <f>IFERROR(__xludf.DUMMYFUNCTION("""COMPUTED_VALUE"""),0.0)</f>
        <v>0</v>
      </c>
      <c r="AR1037" s="82">
        <f>IFERROR(__xludf.DUMMYFUNCTION("""COMPUTED_VALUE"""),0.0)</f>
        <v>0</v>
      </c>
      <c r="AS1037" s="82"/>
      <c r="AT1037" s="82">
        <f>IFERROR(__xludf.DUMMYFUNCTION("""COMPUTED_VALUE"""),0.0)</f>
        <v>0</v>
      </c>
      <c r="AU1037" s="82"/>
      <c r="AV1037" s="82"/>
      <c r="AW1037" s="82" t="str">
        <f t="shared" si="1"/>
        <v/>
      </c>
      <c r="AX1037" s="83" t="str">
        <f t="array" ref="AX1037">IFERROR(DGET('SBV Import'!A:G,"SBV",{"RSC ID","Tier";B1037,A1037}))</f>
        <v/>
      </c>
      <c r="AY1037" s="82" t="str">
        <f t="shared" si="2"/>
        <v/>
      </c>
      <c r="AZ1037" s="82"/>
      <c r="BA1037" s="84" t="s">
        <v>152</v>
      </c>
      <c r="BB1037" s="84" t="str">
        <f>IFERROR(__xludf.DUMMYFUNCTION("iferror(if(A1037="""",,E1037&gt;=FILTER(Constants!$F$2:$F$10,Constants!$A$2:$A$10=A1037)))"),"")</f>
        <v/>
      </c>
    </row>
    <row r="1038">
      <c r="A1038" s="80"/>
      <c r="B1038" s="73"/>
      <c r="C1038" s="73"/>
      <c r="D1038" s="73"/>
      <c r="E1038" s="82"/>
      <c r="F1038" s="82"/>
      <c r="G1038" s="82"/>
      <c r="H1038" s="86"/>
      <c r="I1038" s="86"/>
      <c r="J1038" s="82"/>
      <c r="K1038" s="82"/>
      <c r="L1038" s="82"/>
      <c r="M1038" s="82"/>
      <c r="N1038" s="82"/>
      <c r="O1038" s="82"/>
      <c r="P1038" s="82"/>
      <c r="Q1038" s="82"/>
      <c r="R1038" s="82"/>
      <c r="S1038" s="82"/>
      <c r="T1038" s="82"/>
      <c r="U1038" s="82"/>
      <c r="V1038" s="82"/>
      <c r="W1038" s="82"/>
      <c r="X1038" s="82"/>
      <c r="Y1038" s="82"/>
      <c r="Z1038" s="82"/>
      <c r="AA1038" s="82"/>
      <c r="AB1038" s="82"/>
      <c r="AC1038" s="82"/>
      <c r="AD1038" s="82"/>
      <c r="AE1038" s="82"/>
      <c r="AF1038" s="82"/>
      <c r="AG1038" s="82"/>
      <c r="AH1038" s="82"/>
      <c r="AI1038" s="82"/>
      <c r="AJ1038" s="82"/>
      <c r="AK1038" s="82"/>
      <c r="AL1038" s="82"/>
      <c r="AM1038" s="82"/>
      <c r="AN1038" s="82">
        <f>IFERROR(__xludf.DUMMYFUNCTION("""COMPUTED_VALUE"""),0.0)</f>
        <v>0</v>
      </c>
      <c r="AO1038" s="82">
        <f>IFERROR(__xludf.DUMMYFUNCTION("""COMPUTED_VALUE"""),0.0)</f>
        <v>0</v>
      </c>
      <c r="AP1038" s="82">
        <f>IFERROR(__xludf.DUMMYFUNCTION("""COMPUTED_VALUE"""),0.0)</f>
        <v>0</v>
      </c>
      <c r="AQ1038" s="82">
        <f>IFERROR(__xludf.DUMMYFUNCTION("""COMPUTED_VALUE"""),0.0)</f>
        <v>0</v>
      </c>
      <c r="AR1038" s="82">
        <f>IFERROR(__xludf.DUMMYFUNCTION("""COMPUTED_VALUE"""),0.0)</f>
        <v>0</v>
      </c>
      <c r="AS1038" s="82"/>
      <c r="AT1038" s="82">
        <f>IFERROR(__xludf.DUMMYFUNCTION("""COMPUTED_VALUE"""),0.0)</f>
        <v>0</v>
      </c>
      <c r="AU1038" s="82"/>
      <c r="AV1038" s="82"/>
      <c r="AW1038" s="82" t="str">
        <f t="shared" si="1"/>
        <v/>
      </c>
      <c r="AX1038" s="83" t="str">
        <f t="array" ref="AX1038">IFERROR(DGET('SBV Import'!A:G,"SBV",{"RSC ID","Tier";B1038,A1038}))</f>
        <v/>
      </c>
      <c r="AY1038" s="82" t="str">
        <f t="shared" si="2"/>
        <v/>
      </c>
      <c r="AZ1038" s="82"/>
      <c r="BA1038" s="84" t="s">
        <v>152</v>
      </c>
      <c r="BB1038" s="84" t="str">
        <f>IFERROR(__xludf.DUMMYFUNCTION("iferror(if(A1038="""",,E1038&gt;=FILTER(Constants!$F$2:$F$10,Constants!$A$2:$A$10=A1038)))"),"")</f>
        <v/>
      </c>
    </row>
    <row r="1039">
      <c r="A1039" s="80"/>
      <c r="B1039" s="73"/>
      <c r="C1039" s="73"/>
      <c r="D1039" s="73"/>
      <c r="E1039" s="82"/>
      <c r="F1039" s="82"/>
      <c r="G1039" s="82"/>
      <c r="H1039" s="86"/>
      <c r="I1039" s="86"/>
      <c r="J1039" s="82"/>
      <c r="K1039" s="82"/>
      <c r="L1039" s="82"/>
      <c r="M1039" s="82"/>
      <c r="N1039" s="82"/>
      <c r="O1039" s="82"/>
      <c r="P1039" s="82"/>
      <c r="Q1039" s="82"/>
      <c r="R1039" s="82"/>
      <c r="S1039" s="82"/>
      <c r="T1039" s="82"/>
      <c r="U1039" s="82"/>
      <c r="V1039" s="82"/>
      <c r="W1039" s="82"/>
      <c r="X1039" s="82"/>
      <c r="Y1039" s="82"/>
      <c r="Z1039" s="82"/>
      <c r="AA1039" s="82"/>
      <c r="AB1039" s="82"/>
      <c r="AC1039" s="82"/>
      <c r="AD1039" s="82"/>
      <c r="AE1039" s="82"/>
      <c r="AF1039" s="82"/>
      <c r="AG1039" s="82"/>
      <c r="AH1039" s="82"/>
      <c r="AI1039" s="82"/>
      <c r="AJ1039" s="82"/>
      <c r="AK1039" s="82"/>
      <c r="AL1039" s="82"/>
      <c r="AM1039" s="82"/>
      <c r="AN1039" s="82">
        <f>IFERROR(__xludf.DUMMYFUNCTION("""COMPUTED_VALUE"""),0.0)</f>
        <v>0</v>
      </c>
      <c r="AO1039" s="82">
        <f>IFERROR(__xludf.DUMMYFUNCTION("""COMPUTED_VALUE"""),0.0)</f>
        <v>0</v>
      </c>
      <c r="AP1039" s="82">
        <f>IFERROR(__xludf.DUMMYFUNCTION("""COMPUTED_VALUE"""),0.0)</f>
        <v>0</v>
      </c>
      <c r="AQ1039" s="82">
        <f>IFERROR(__xludf.DUMMYFUNCTION("""COMPUTED_VALUE"""),0.0)</f>
        <v>0</v>
      </c>
      <c r="AR1039" s="82">
        <f>IFERROR(__xludf.DUMMYFUNCTION("""COMPUTED_VALUE"""),0.0)</f>
        <v>0</v>
      </c>
      <c r="AS1039" s="82"/>
      <c r="AT1039" s="82">
        <f>IFERROR(__xludf.DUMMYFUNCTION("""COMPUTED_VALUE"""),0.0)</f>
        <v>0</v>
      </c>
      <c r="AU1039" s="82"/>
      <c r="AV1039" s="82"/>
      <c r="AW1039" s="82" t="str">
        <f t="shared" si="1"/>
        <v/>
      </c>
      <c r="AX1039" s="83" t="str">
        <f t="array" ref="AX1039">IFERROR(DGET('SBV Import'!A:G,"SBV",{"RSC ID","Tier";B1039,A1039}))</f>
        <v/>
      </c>
      <c r="AY1039" s="82" t="str">
        <f t="shared" si="2"/>
        <v/>
      </c>
      <c r="AZ1039" s="82"/>
      <c r="BA1039" s="84" t="s">
        <v>152</v>
      </c>
      <c r="BB1039" s="84" t="str">
        <f>IFERROR(__xludf.DUMMYFUNCTION("iferror(if(A1039="""",,E1039&gt;=FILTER(Constants!$F$2:$F$10,Constants!$A$2:$A$10=A1039)))"),"")</f>
        <v/>
      </c>
    </row>
    <row r="1040">
      <c r="A1040" s="80"/>
      <c r="B1040" s="73"/>
      <c r="C1040" s="73"/>
      <c r="D1040" s="73"/>
      <c r="E1040" s="82"/>
      <c r="F1040" s="82"/>
      <c r="G1040" s="82"/>
      <c r="H1040" s="86"/>
      <c r="I1040" s="86"/>
      <c r="J1040" s="82"/>
      <c r="K1040" s="82"/>
      <c r="L1040" s="82"/>
      <c r="M1040" s="82"/>
      <c r="N1040" s="82"/>
      <c r="O1040" s="82"/>
      <c r="P1040" s="82"/>
      <c r="Q1040" s="82"/>
      <c r="R1040" s="82"/>
      <c r="S1040" s="82"/>
      <c r="T1040" s="82"/>
      <c r="U1040" s="82"/>
      <c r="V1040" s="82"/>
      <c r="W1040" s="82"/>
      <c r="X1040" s="82"/>
      <c r="Y1040" s="82"/>
      <c r="Z1040" s="82"/>
      <c r="AA1040" s="82"/>
      <c r="AB1040" s="82"/>
      <c r="AC1040" s="82"/>
      <c r="AD1040" s="82"/>
      <c r="AE1040" s="82"/>
      <c r="AF1040" s="82"/>
      <c r="AG1040" s="82"/>
      <c r="AH1040" s="82"/>
      <c r="AI1040" s="82"/>
      <c r="AJ1040" s="82"/>
      <c r="AK1040" s="82"/>
      <c r="AL1040" s="82"/>
      <c r="AM1040" s="82"/>
      <c r="AN1040" s="82">
        <f>IFERROR(__xludf.DUMMYFUNCTION("""COMPUTED_VALUE"""),0.0)</f>
        <v>0</v>
      </c>
      <c r="AO1040" s="82">
        <f>IFERROR(__xludf.DUMMYFUNCTION("""COMPUTED_VALUE"""),0.0)</f>
        <v>0</v>
      </c>
      <c r="AP1040" s="82">
        <f>IFERROR(__xludf.DUMMYFUNCTION("""COMPUTED_VALUE"""),0.0)</f>
        <v>0</v>
      </c>
      <c r="AQ1040" s="82">
        <f>IFERROR(__xludf.DUMMYFUNCTION("""COMPUTED_VALUE"""),0.0)</f>
        <v>0</v>
      </c>
      <c r="AR1040" s="82">
        <f>IFERROR(__xludf.DUMMYFUNCTION("""COMPUTED_VALUE"""),0.0)</f>
        <v>0</v>
      </c>
      <c r="AS1040" s="82"/>
      <c r="AT1040" s="82">
        <f>IFERROR(__xludf.DUMMYFUNCTION("""COMPUTED_VALUE"""),0.0)</f>
        <v>0</v>
      </c>
      <c r="AU1040" s="82"/>
      <c r="AV1040" s="82"/>
      <c r="AW1040" s="82" t="str">
        <f t="shared" si="1"/>
        <v/>
      </c>
      <c r="AX1040" s="83" t="str">
        <f t="array" ref="AX1040">IFERROR(DGET('SBV Import'!A:G,"SBV",{"RSC ID","Tier";B1040,A1040}))</f>
        <v/>
      </c>
      <c r="AY1040" s="82" t="str">
        <f t="shared" si="2"/>
        <v/>
      </c>
      <c r="AZ1040" s="82"/>
      <c r="BA1040" s="84" t="s">
        <v>152</v>
      </c>
      <c r="BB1040" s="84" t="str">
        <f>IFERROR(__xludf.DUMMYFUNCTION("iferror(if(A1040="""",,E1040&gt;=FILTER(Constants!$F$2:$F$10,Constants!$A$2:$A$10=A1040)))"),"")</f>
        <v/>
      </c>
    </row>
    <row r="1041">
      <c r="A1041" s="80"/>
      <c r="B1041" s="73"/>
      <c r="C1041" s="73"/>
      <c r="D1041" s="73"/>
      <c r="E1041" s="82"/>
      <c r="F1041" s="82"/>
      <c r="G1041" s="82"/>
      <c r="H1041" s="86"/>
      <c r="I1041" s="86"/>
      <c r="J1041" s="82"/>
      <c r="K1041" s="82"/>
      <c r="L1041" s="82"/>
      <c r="M1041" s="82"/>
      <c r="N1041" s="82"/>
      <c r="O1041" s="82"/>
      <c r="P1041" s="82"/>
      <c r="Q1041" s="82"/>
      <c r="R1041" s="82"/>
      <c r="S1041" s="82"/>
      <c r="T1041" s="82"/>
      <c r="U1041" s="82"/>
      <c r="V1041" s="82"/>
      <c r="W1041" s="82"/>
      <c r="X1041" s="82"/>
      <c r="Y1041" s="82"/>
      <c r="Z1041" s="82"/>
      <c r="AA1041" s="82"/>
      <c r="AB1041" s="82"/>
      <c r="AC1041" s="82"/>
      <c r="AD1041" s="82"/>
      <c r="AE1041" s="82"/>
      <c r="AF1041" s="82"/>
      <c r="AG1041" s="82"/>
      <c r="AH1041" s="82"/>
      <c r="AI1041" s="82"/>
      <c r="AJ1041" s="82"/>
      <c r="AK1041" s="82"/>
      <c r="AL1041" s="82"/>
      <c r="AM1041" s="82"/>
      <c r="AN1041" s="82">
        <f>IFERROR(__xludf.DUMMYFUNCTION("""COMPUTED_VALUE"""),0.0)</f>
        <v>0</v>
      </c>
      <c r="AO1041" s="82">
        <f>IFERROR(__xludf.DUMMYFUNCTION("""COMPUTED_VALUE"""),0.0)</f>
        <v>0</v>
      </c>
      <c r="AP1041" s="82">
        <f>IFERROR(__xludf.DUMMYFUNCTION("""COMPUTED_VALUE"""),0.0)</f>
        <v>0</v>
      </c>
      <c r="AQ1041" s="82">
        <f>IFERROR(__xludf.DUMMYFUNCTION("""COMPUTED_VALUE"""),0.0)</f>
        <v>0</v>
      </c>
      <c r="AR1041" s="82">
        <f>IFERROR(__xludf.DUMMYFUNCTION("""COMPUTED_VALUE"""),0.0)</f>
        <v>0</v>
      </c>
      <c r="AS1041" s="82"/>
      <c r="AT1041" s="82">
        <f>IFERROR(__xludf.DUMMYFUNCTION("""COMPUTED_VALUE"""),0.0)</f>
        <v>0</v>
      </c>
      <c r="AU1041" s="82"/>
      <c r="AV1041" s="82"/>
      <c r="AW1041" s="82" t="str">
        <f t="shared" si="1"/>
        <v/>
      </c>
      <c r="AX1041" s="83" t="str">
        <f t="array" ref="AX1041">IFERROR(DGET('SBV Import'!A:G,"SBV",{"RSC ID","Tier";B1041,A1041}))</f>
        <v/>
      </c>
      <c r="AY1041" s="82" t="str">
        <f t="shared" si="2"/>
        <v/>
      </c>
      <c r="AZ1041" s="82"/>
      <c r="BA1041" s="84" t="s">
        <v>152</v>
      </c>
      <c r="BB1041" s="84" t="str">
        <f>IFERROR(__xludf.DUMMYFUNCTION("iferror(if(A1041="""",,E1041&gt;=FILTER(Constants!$F$2:$F$10,Constants!$A$2:$A$10=A1041)))"),"")</f>
        <v/>
      </c>
    </row>
    <row r="1042">
      <c r="A1042" s="80"/>
      <c r="B1042" s="73"/>
      <c r="C1042" s="73"/>
      <c r="D1042" s="73"/>
      <c r="E1042" s="82"/>
      <c r="F1042" s="82"/>
      <c r="G1042" s="82"/>
      <c r="H1042" s="86"/>
      <c r="I1042" s="86"/>
      <c r="J1042" s="82"/>
      <c r="K1042" s="82"/>
      <c r="L1042" s="82"/>
      <c r="M1042" s="82"/>
      <c r="N1042" s="82"/>
      <c r="O1042" s="82"/>
      <c r="P1042" s="82"/>
      <c r="Q1042" s="82"/>
      <c r="R1042" s="82"/>
      <c r="S1042" s="82"/>
      <c r="T1042" s="82"/>
      <c r="U1042" s="82"/>
      <c r="V1042" s="82"/>
      <c r="W1042" s="82"/>
      <c r="X1042" s="82"/>
      <c r="Y1042" s="82"/>
      <c r="Z1042" s="82"/>
      <c r="AA1042" s="82"/>
      <c r="AB1042" s="82"/>
      <c r="AC1042" s="82"/>
      <c r="AD1042" s="82"/>
      <c r="AE1042" s="82"/>
      <c r="AF1042" s="82"/>
      <c r="AG1042" s="82"/>
      <c r="AH1042" s="82"/>
      <c r="AI1042" s="82"/>
      <c r="AJ1042" s="82"/>
      <c r="AK1042" s="82"/>
      <c r="AL1042" s="82"/>
      <c r="AM1042" s="82"/>
      <c r="AN1042" s="82">
        <f>IFERROR(__xludf.DUMMYFUNCTION("""COMPUTED_VALUE"""),0.0)</f>
        <v>0</v>
      </c>
      <c r="AO1042" s="82">
        <f>IFERROR(__xludf.DUMMYFUNCTION("""COMPUTED_VALUE"""),0.0)</f>
        <v>0</v>
      </c>
      <c r="AP1042" s="82">
        <f>IFERROR(__xludf.DUMMYFUNCTION("""COMPUTED_VALUE"""),0.0)</f>
        <v>0</v>
      </c>
      <c r="AQ1042" s="82">
        <f>IFERROR(__xludf.DUMMYFUNCTION("""COMPUTED_VALUE"""),0.0)</f>
        <v>0</v>
      </c>
      <c r="AR1042" s="82">
        <f>IFERROR(__xludf.DUMMYFUNCTION("""COMPUTED_VALUE"""),0.0)</f>
        <v>0</v>
      </c>
      <c r="AS1042" s="82"/>
      <c r="AT1042" s="82">
        <f>IFERROR(__xludf.DUMMYFUNCTION("""COMPUTED_VALUE"""),0.0)</f>
        <v>0</v>
      </c>
      <c r="AU1042" s="82"/>
      <c r="AV1042" s="82"/>
      <c r="AW1042" s="82" t="str">
        <f t="shared" si="1"/>
        <v/>
      </c>
      <c r="AX1042" s="83" t="str">
        <f t="array" ref="AX1042">IFERROR(DGET('SBV Import'!A:G,"SBV",{"RSC ID","Tier";B1042,A1042}))</f>
        <v/>
      </c>
      <c r="AY1042" s="82" t="str">
        <f t="shared" si="2"/>
        <v/>
      </c>
      <c r="AZ1042" s="82"/>
      <c r="BA1042" s="84" t="s">
        <v>152</v>
      </c>
      <c r="BB1042" s="84" t="str">
        <f>IFERROR(__xludf.DUMMYFUNCTION("iferror(if(A1042="""",,E1042&gt;=FILTER(Constants!$F$2:$F$10,Constants!$A$2:$A$10=A1042)))"),"")</f>
        <v/>
      </c>
    </row>
    <row r="1043">
      <c r="A1043" s="80"/>
      <c r="B1043" s="73"/>
      <c r="C1043" s="73"/>
      <c r="D1043" s="73"/>
      <c r="E1043" s="82"/>
      <c r="F1043" s="82"/>
      <c r="G1043" s="82"/>
      <c r="H1043" s="86"/>
      <c r="I1043" s="86"/>
      <c r="J1043" s="82"/>
      <c r="K1043" s="82"/>
      <c r="L1043" s="82"/>
      <c r="M1043" s="82"/>
      <c r="N1043" s="82"/>
      <c r="O1043" s="82"/>
      <c r="P1043" s="82"/>
      <c r="Q1043" s="82"/>
      <c r="R1043" s="82"/>
      <c r="S1043" s="82"/>
      <c r="T1043" s="82"/>
      <c r="U1043" s="82"/>
      <c r="V1043" s="82"/>
      <c r="W1043" s="82"/>
      <c r="X1043" s="82"/>
      <c r="Y1043" s="82"/>
      <c r="Z1043" s="82"/>
      <c r="AA1043" s="82"/>
      <c r="AB1043" s="82"/>
      <c r="AC1043" s="82"/>
      <c r="AD1043" s="82"/>
      <c r="AE1043" s="82"/>
      <c r="AF1043" s="82"/>
      <c r="AG1043" s="82"/>
      <c r="AH1043" s="82"/>
      <c r="AI1043" s="82"/>
      <c r="AJ1043" s="82"/>
      <c r="AK1043" s="82"/>
      <c r="AL1043" s="82"/>
      <c r="AM1043" s="82"/>
      <c r="AN1043" s="82">
        <f>IFERROR(__xludf.DUMMYFUNCTION("""COMPUTED_VALUE"""),0.0)</f>
        <v>0</v>
      </c>
      <c r="AO1043" s="82">
        <f>IFERROR(__xludf.DUMMYFUNCTION("""COMPUTED_VALUE"""),0.0)</f>
        <v>0</v>
      </c>
      <c r="AP1043" s="82">
        <f>IFERROR(__xludf.DUMMYFUNCTION("""COMPUTED_VALUE"""),0.0)</f>
        <v>0</v>
      </c>
      <c r="AQ1043" s="82">
        <f>IFERROR(__xludf.DUMMYFUNCTION("""COMPUTED_VALUE"""),0.0)</f>
        <v>0</v>
      </c>
      <c r="AR1043" s="82">
        <f>IFERROR(__xludf.DUMMYFUNCTION("""COMPUTED_VALUE"""),0.0)</f>
        <v>0</v>
      </c>
      <c r="AS1043" s="82"/>
      <c r="AT1043" s="82">
        <f>IFERROR(__xludf.DUMMYFUNCTION("""COMPUTED_VALUE"""),0.0)</f>
        <v>0</v>
      </c>
      <c r="AU1043" s="82"/>
      <c r="AV1043" s="82"/>
      <c r="AW1043" s="82" t="str">
        <f t="shared" si="1"/>
        <v/>
      </c>
      <c r="AX1043" s="83" t="str">
        <f t="array" ref="AX1043">IFERROR(DGET('SBV Import'!A:G,"SBV",{"RSC ID","Tier";B1043,A1043}))</f>
        <v/>
      </c>
      <c r="AY1043" s="82" t="str">
        <f t="shared" si="2"/>
        <v/>
      </c>
      <c r="AZ1043" s="82"/>
      <c r="BA1043" s="84" t="s">
        <v>152</v>
      </c>
      <c r="BB1043" s="84" t="str">
        <f>IFERROR(__xludf.DUMMYFUNCTION("iferror(if(A1043="""",,E1043&gt;=FILTER(Constants!$F$2:$F$10,Constants!$A$2:$A$10=A1043)))"),"")</f>
        <v/>
      </c>
    </row>
    <row r="1044">
      <c r="A1044" s="80"/>
      <c r="B1044" s="73"/>
      <c r="C1044" s="73"/>
      <c r="D1044" s="73"/>
      <c r="E1044" s="82"/>
      <c r="F1044" s="82"/>
      <c r="G1044" s="82"/>
      <c r="H1044" s="86"/>
      <c r="I1044" s="86"/>
      <c r="J1044" s="82"/>
      <c r="K1044" s="82"/>
      <c r="L1044" s="82"/>
      <c r="M1044" s="82"/>
      <c r="N1044" s="82"/>
      <c r="O1044" s="82"/>
      <c r="P1044" s="82"/>
      <c r="Q1044" s="82"/>
      <c r="R1044" s="82"/>
      <c r="S1044" s="82"/>
      <c r="T1044" s="82"/>
      <c r="U1044" s="82"/>
      <c r="V1044" s="82"/>
      <c r="W1044" s="82"/>
      <c r="X1044" s="82"/>
      <c r="Y1044" s="82"/>
      <c r="Z1044" s="82"/>
      <c r="AA1044" s="82"/>
      <c r="AB1044" s="82"/>
      <c r="AC1044" s="82"/>
      <c r="AD1044" s="82"/>
      <c r="AE1044" s="82"/>
      <c r="AF1044" s="82"/>
      <c r="AG1044" s="82"/>
      <c r="AH1044" s="82"/>
      <c r="AI1044" s="82"/>
      <c r="AJ1044" s="82"/>
      <c r="AK1044" s="82"/>
      <c r="AL1044" s="82"/>
      <c r="AM1044" s="82"/>
      <c r="AN1044" s="82">
        <f>IFERROR(__xludf.DUMMYFUNCTION("""COMPUTED_VALUE"""),0.0)</f>
        <v>0</v>
      </c>
      <c r="AO1044" s="82">
        <f>IFERROR(__xludf.DUMMYFUNCTION("""COMPUTED_VALUE"""),0.0)</f>
        <v>0</v>
      </c>
      <c r="AP1044" s="82">
        <f>IFERROR(__xludf.DUMMYFUNCTION("""COMPUTED_VALUE"""),0.0)</f>
        <v>0</v>
      </c>
      <c r="AQ1044" s="82">
        <f>IFERROR(__xludf.DUMMYFUNCTION("""COMPUTED_VALUE"""),0.0)</f>
        <v>0</v>
      </c>
      <c r="AR1044" s="82">
        <f>IFERROR(__xludf.DUMMYFUNCTION("""COMPUTED_VALUE"""),0.0)</f>
        <v>0</v>
      </c>
      <c r="AS1044" s="82"/>
      <c r="AT1044" s="82">
        <f>IFERROR(__xludf.DUMMYFUNCTION("""COMPUTED_VALUE"""),0.0)</f>
        <v>0</v>
      </c>
      <c r="AU1044" s="82"/>
      <c r="AV1044" s="82"/>
      <c r="AW1044" s="82" t="str">
        <f t="shared" si="1"/>
        <v/>
      </c>
      <c r="AX1044" s="83" t="str">
        <f t="array" ref="AX1044">IFERROR(DGET('SBV Import'!A:G,"SBV",{"RSC ID","Tier";B1044,A1044}))</f>
        <v/>
      </c>
      <c r="AY1044" s="82" t="str">
        <f t="shared" si="2"/>
        <v/>
      </c>
      <c r="AZ1044" s="82"/>
      <c r="BA1044" s="84" t="s">
        <v>152</v>
      </c>
      <c r="BB1044" s="84" t="str">
        <f>IFERROR(__xludf.DUMMYFUNCTION("iferror(if(A1044="""",,E1044&gt;=FILTER(Constants!$F$2:$F$10,Constants!$A$2:$A$10=A1044)))"),"")</f>
        <v/>
      </c>
    </row>
    <row r="1045">
      <c r="A1045" s="80"/>
      <c r="B1045" s="73"/>
      <c r="C1045" s="73"/>
      <c r="D1045" s="73"/>
      <c r="E1045" s="82"/>
      <c r="F1045" s="82"/>
      <c r="G1045" s="82"/>
      <c r="H1045" s="86"/>
      <c r="I1045" s="86"/>
      <c r="J1045" s="82"/>
      <c r="K1045" s="82"/>
      <c r="L1045" s="82"/>
      <c r="M1045" s="82"/>
      <c r="N1045" s="82"/>
      <c r="O1045" s="82"/>
      <c r="P1045" s="82"/>
      <c r="Q1045" s="82"/>
      <c r="R1045" s="82"/>
      <c r="S1045" s="82"/>
      <c r="T1045" s="82"/>
      <c r="U1045" s="82"/>
      <c r="V1045" s="82"/>
      <c r="W1045" s="82"/>
      <c r="X1045" s="82"/>
      <c r="Y1045" s="82"/>
      <c r="Z1045" s="82"/>
      <c r="AA1045" s="82"/>
      <c r="AB1045" s="82"/>
      <c r="AC1045" s="82"/>
      <c r="AD1045" s="82"/>
      <c r="AE1045" s="82"/>
      <c r="AF1045" s="82"/>
      <c r="AG1045" s="82"/>
      <c r="AH1045" s="82"/>
      <c r="AI1045" s="82"/>
      <c r="AJ1045" s="82"/>
      <c r="AK1045" s="82"/>
      <c r="AL1045" s="82"/>
      <c r="AM1045" s="82"/>
      <c r="AN1045" s="82">
        <f>IFERROR(__xludf.DUMMYFUNCTION("""COMPUTED_VALUE"""),0.0)</f>
        <v>0</v>
      </c>
      <c r="AO1045" s="82">
        <f>IFERROR(__xludf.DUMMYFUNCTION("""COMPUTED_VALUE"""),0.0)</f>
        <v>0</v>
      </c>
      <c r="AP1045" s="82">
        <f>IFERROR(__xludf.DUMMYFUNCTION("""COMPUTED_VALUE"""),0.0)</f>
        <v>0</v>
      </c>
      <c r="AQ1045" s="82">
        <f>IFERROR(__xludf.DUMMYFUNCTION("""COMPUTED_VALUE"""),0.0)</f>
        <v>0</v>
      </c>
      <c r="AR1045" s="82">
        <f>IFERROR(__xludf.DUMMYFUNCTION("""COMPUTED_VALUE"""),0.0)</f>
        <v>0</v>
      </c>
      <c r="AS1045" s="82"/>
      <c r="AT1045" s="82">
        <f>IFERROR(__xludf.DUMMYFUNCTION("""COMPUTED_VALUE"""),0.0)</f>
        <v>0</v>
      </c>
      <c r="AU1045" s="82"/>
      <c r="AV1045" s="82"/>
      <c r="AW1045" s="82" t="str">
        <f t="shared" si="1"/>
        <v/>
      </c>
      <c r="AX1045" s="83" t="str">
        <f t="array" ref="AX1045">IFERROR(DGET('SBV Import'!A:G,"SBV",{"RSC ID","Tier";B1045,A1045}))</f>
        <v/>
      </c>
      <c r="AY1045" s="82" t="str">
        <f t="shared" si="2"/>
        <v/>
      </c>
      <c r="AZ1045" s="82"/>
      <c r="BA1045" s="84" t="s">
        <v>152</v>
      </c>
      <c r="BB1045" s="84" t="str">
        <f>IFERROR(__xludf.DUMMYFUNCTION("iferror(if(A1045="""",,E1045&gt;=FILTER(Constants!$F$2:$F$10,Constants!$A$2:$A$10=A1045)))"),"")</f>
        <v/>
      </c>
    </row>
    <row r="1046">
      <c r="A1046" s="80"/>
      <c r="B1046" s="73"/>
      <c r="C1046" s="73"/>
      <c r="D1046" s="73"/>
      <c r="E1046" s="82"/>
      <c r="F1046" s="82"/>
      <c r="G1046" s="82"/>
      <c r="H1046" s="86"/>
      <c r="I1046" s="86"/>
      <c r="J1046" s="82"/>
      <c r="K1046" s="82"/>
      <c r="L1046" s="82"/>
      <c r="M1046" s="82"/>
      <c r="N1046" s="82"/>
      <c r="O1046" s="82"/>
      <c r="P1046" s="82"/>
      <c r="Q1046" s="82"/>
      <c r="R1046" s="82"/>
      <c r="S1046" s="82"/>
      <c r="T1046" s="82"/>
      <c r="U1046" s="82"/>
      <c r="V1046" s="82"/>
      <c r="W1046" s="82"/>
      <c r="X1046" s="82"/>
      <c r="Y1046" s="82"/>
      <c r="Z1046" s="82"/>
      <c r="AA1046" s="82"/>
      <c r="AB1046" s="82"/>
      <c r="AC1046" s="82"/>
      <c r="AD1046" s="82"/>
      <c r="AE1046" s="82"/>
      <c r="AF1046" s="82"/>
      <c r="AG1046" s="82"/>
      <c r="AH1046" s="82"/>
      <c r="AI1046" s="82"/>
      <c r="AJ1046" s="82"/>
      <c r="AK1046" s="82"/>
      <c r="AL1046" s="82"/>
      <c r="AM1046" s="82"/>
      <c r="AN1046" s="82">
        <f>IFERROR(__xludf.DUMMYFUNCTION("""COMPUTED_VALUE"""),0.0)</f>
        <v>0</v>
      </c>
      <c r="AO1046" s="82">
        <f>IFERROR(__xludf.DUMMYFUNCTION("""COMPUTED_VALUE"""),0.0)</f>
        <v>0</v>
      </c>
      <c r="AP1046" s="82">
        <f>IFERROR(__xludf.DUMMYFUNCTION("""COMPUTED_VALUE"""),0.0)</f>
        <v>0</v>
      </c>
      <c r="AQ1046" s="82">
        <f>IFERROR(__xludf.DUMMYFUNCTION("""COMPUTED_VALUE"""),0.0)</f>
        <v>0</v>
      </c>
      <c r="AR1046" s="82">
        <f>IFERROR(__xludf.DUMMYFUNCTION("""COMPUTED_VALUE"""),0.0)</f>
        <v>0</v>
      </c>
      <c r="AS1046" s="82"/>
      <c r="AT1046" s="82">
        <f>IFERROR(__xludf.DUMMYFUNCTION("""COMPUTED_VALUE"""),0.0)</f>
        <v>0</v>
      </c>
      <c r="AU1046" s="82"/>
      <c r="AV1046" s="82"/>
      <c r="AW1046" s="82" t="str">
        <f t="shared" si="1"/>
        <v/>
      </c>
      <c r="AX1046" s="83" t="str">
        <f t="array" ref="AX1046">IFERROR(DGET('SBV Import'!A:G,"SBV",{"RSC ID","Tier";B1046,A1046}))</f>
        <v/>
      </c>
      <c r="AY1046" s="82" t="str">
        <f t="shared" si="2"/>
        <v/>
      </c>
      <c r="AZ1046" s="82"/>
      <c r="BA1046" s="84" t="s">
        <v>152</v>
      </c>
      <c r="BB1046" s="84" t="str">
        <f>IFERROR(__xludf.DUMMYFUNCTION("iferror(if(A1046="""",,E1046&gt;=FILTER(Constants!$F$2:$F$10,Constants!$A$2:$A$10=A1046)))"),"")</f>
        <v/>
      </c>
    </row>
    <row r="1047">
      <c r="A1047" s="80"/>
      <c r="B1047" s="73"/>
      <c r="C1047" s="88"/>
      <c r="D1047" s="73"/>
      <c r="E1047" s="82"/>
      <c r="F1047" s="82"/>
      <c r="G1047" s="82"/>
      <c r="H1047" s="86"/>
      <c r="I1047" s="86"/>
      <c r="J1047" s="82"/>
      <c r="K1047" s="82"/>
      <c r="L1047" s="82"/>
      <c r="M1047" s="82"/>
      <c r="N1047" s="82"/>
      <c r="O1047" s="82"/>
      <c r="P1047" s="82"/>
      <c r="Q1047" s="82"/>
      <c r="R1047" s="82"/>
      <c r="S1047" s="82"/>
      <c r="T1047" s="82"/>
      <c r="U1047" s="82"/>
      <c r="V1047" s="82"/>
      <c r="W1047" s="82"/>
      <c r="X1047" s="82"/>
      <c r="Y1047" s="82"/>
      <c r="Z1047" s="82"/>
      <c r="AA1047" s="82"/>
      <c r="AB1047" s="82"/>
      <c r="AC1047" s="82"/>
      <c r="AD1047" s="82"/>
      <c r="AE1047" s="82"/>
      <c r="AF1047" s="82"/>
      <c r="AG1047" s="82"/>
      <c r="AH1047" s="82"/>
      <c r="AI1047" s="82"/>
      <c r="AJ1047" s="82"/>
      <c r="AK1047" s="82"/>
      <c r="AL1047" s="82"/>
      <c r="AM1047" s="82"/>
      <c r="AN1047" s="82">
        <f>IFERROR(__xludf.DUMMYFUNCTION("""COMPUTED_VALUE"""),0.0)</f>
        <v>0</v>
      </c>
      <c r="AO1047" s="82">
        <f>IFERROR(__xludf.DUMMYFUNCTION("""COMPUTED_VALUE"""),0.0)</f>
        <v>0</v>
      </c>
      <c r="AP1047" s="82">
        <f>IFERROR(__xludf.DUMMYFUNCTION("""COMPUTED_VALUE"""),0.0)</f>
        <v>0</v>
      </c>
      <c r="AQ1047" s="82">
        <f>IFERROR(__xludf.DUMMYFUNCTION("""COMPUTED_VALUE"""),0.0)</f>
        <v>0</v>
      </c>
      <c r="AR1047" s="82">
        <f>IFERROR(__xludf.DUMMYFUNCTION("""COMPUTED_VALUE"""),0.0)</f>
        <v>0</v>
      </c>
      <c r="AS1047" s="82"/>
      <c r="AT1047" s="82">
        <f>IFERROR(__xludf.DUMMYFUNCTION("""COMPUTED_VALUE"""),0.0)</f>
        <v>0</v>
      </c>
      <c r="AU1047" s="82"/>
      <c r="AV1047" s="82"/>
      <c r="AW1047" s="82" t="str">
        <f t="shared" si="1"/>
        <v/>
      </c>
      <c r="AX1047" s="83" t="str">
        <f t="array" ref="AX1047">IFERROR(DGET('SBV Import'!A:G,"SBV",{"RSC ID","Tier";B1047,A1047}))</f>
        <v/>
      </c>
      <c r="AY1047" s="82" t="str">
        <f t="shared" si="2"/>
        <v/>
      </c>
      <c r="AZ1047" s="82"/>
      <c r="BA1047" s="84" t="s">
        <v>152</v>
      </c>
      <c r="BB1047" s="84" t="str">
        <f>IFERROR(__xludf.DUMMYFUNCTION("iferror(if(A1047="""",,E1047&gt;=FILTER(Constants!$F$2:$F$10,Constants!$A$2:$A$10=A1047)))"),"")</f>
        <v/>
      </c>
    </row>
    <row r="1048">
      <c r="A1048" s="80"/>
      <c r="B1048" s="73"/>
      <c r="C1048" s="73"/>
      <c r="D1048" s="73"/>
      <c r="E1048" s="82"/>
      <c r="F1048" s="82"/>
      <c r="G1048" s="82"/>
      <c r="H1048" s="86"/>
      <c r="I1048" s="86"/>
      <c r="J1048" s="82"/>
      <c r="K1048" s="82"/>
      <c r="L1048" s="82"/>
      <c r="M1048" s="82"/>
      <c r="N1048" s="82"/>
      <c r="O1048" s="82"/>
      <c r="P1048" s="82"/>
      <c r="Q1048" s="82"/>
      <c r="R1048" s="82"/>
      <c r="S1048" s="82"/>
      <c r="T1048" s="82"/>
      <c r="U1048" s="82"/>
      <c r="V1048" s="82"/>
      <c r="W1048" s="82"/>
      <c r="X1048" s="82"/>
      <c r="Y1048" s="82"/>
      <c r="Z1048" s="82"/>
      <c r="AA1048" s="82"/>
      <c r="AB1048" s="82"/>
      <c r="AC1048" s="82"/>
      <c r="AD1048" s="82"/>
      <c r="AE1048" s="82"/>
      <c r="AF1048" s="82"/>
      <c r="AG1048" s="82"/>
      <c r="AH1048" s="82"/>
      <c r="AI1048" s="82"/>
      <c r="AJ1048" s="82"/>
      <c r="AK1048" s="82"/>
      <c r="AL1048" s="82"/>
      <c r="AM1048" s="82"/>
      <c r="AN1048" s="82">
        <f>IFERROR(__xludf.DUMMYFUNCTION("""COMPUTED_VALUE"""),0.0)</f>
        <v>0</v>
      </c>
      <c r="AO1048" s="82">
        <f>IFERROR(__xludf.DUMMYFUNCTION("""COMPUTED_VALUE"""),0.0)</f>
        <v>0</v>
      </c>
      <c r="AP1048" s="82">
        <f>IFERROR(__xludf.DUMMYFUNCTION("""COMPUTED_VALUE"""),0.0)</f>
        <v>0</v>
      </c>
      <c r="AQ1048" s="82">
        <f>IFERROR(__xludf.DUMMYFUNCTION("""COMPUTED_VALUE"""),0.0)</f>
        <v>0</v>
      </c>
      <c r="AR1048" s="82">
        <f>IFERROR(__xludf.DUMMYFUNCTION("""COMPUTED_VALUE"""),0.0)</f>
        <v>0</v>
      </c>
      <c r="AS1048" s="82"/>
      <c r="AT1048" s="82">
        <f>IFERROR(__xludf.DUMMYFUNCTION("""COMPUTED_VALUE"""),0.0)</f>
        <v>0</v>
      </c>
      <c r="AU1048" s="82"/>
      <c r="AV1048" s="82"/>
      <c r="AW1048" s="82" t="str">
        <f t="shared" si="1"/>
        <v/>
      </c>
      <c r="AX1048" s="83" t="str">
        <f t="array" ref="AX1048">IFERROR(DGET('SBV Import'!A:G,"SBV",{"RSC ID","Tier";B1048,A1048}))</f>
        <v/>
      </c>
      <c r="AY1048" s="82" t="str">
        <f t="shared" si="2"/>
        <v/>
      </c>
      <c r="AZ1048" s="82"/>
      <c r="BA1048" s="84" t="s">
        <v>152</v>
      </c>
      <c r="BB1048" s="84" t="str">
        <f>IFERROR(__xludf.DUMMYFUNCTION("iferror(if(A1048="""",,E1048&gt;=FILTER(Constants!$F$2:$F$10,Constants!$A$2:$A$10=A1048)))"),"")</f>
        <v/>
      </c>
    </row>
    <row r="1049">
      <c r="A1049" s="80"/>
      <c r="B1049" s="73"/>
      <c r="C1049" s="73"/>
      <c r="D1049" s="73"/>
      <c r="E1049" s="82"/>
      <c r="F1049" s="82"/>
      <c r="G1049" s="82"/>
      <c r="H1049" s="86"/>
      <c r="I1049" s="86"/>
      <c r="J1049" s="82"/>
      <c r="K1049" s="82"/>
      <c r="L1049" s="82"/>
      <c r="M1049" s="82"/>
      <c r="N1049" s="82"/>
      <c r="O1049" s="82"/>
      <c r="P1049" s="82"/>
      <c r="Q1049" s="82"/>
      <c r="R1049" s="82"/>
      <c r="S1049" s="82"/>
      <c r="T1049" s="82"/>
      <c r="U1049" s="82"/>
      <c r="V1049" s="82"/>
      <c r="W1049" s="82"/>
      <c r="X1049" s="82"/>
      <c r="Y1049" s="82"/>
      <c r="Z1049" s="82"/>
      <c r="AA1049" s="82"/>
      <c r="AB1049" s="82"/>
      <c r="AC1049" s="82"/>
      <c r="AD1049" s="82"/>
      <c r="AE1049" s="82"/>
      <c r="AF1049" s="82"/>
      <c r="AG1049" s="82"/>
      <c r="AH1049" s="82"/>
      <c r="AI1049" s="82"/>
      <c r="AJ1049" s="82"/>
      <c r="AK1049" s="82"/>
      <c r="AL1049" s="82"/>
      <c r="AM1049" s="82"/>
      <c r="AN1049" s="82">
        <f>IFERROR(__xludf.DUMMYFUNCTION("""COMPUTED_VALUE"""),0.0)</f>
        <v>0</v>
      </c>
      <c r="AO1049" s="82">
        <f>IFERROR(__xludf.DUMMYFUNCTION("""COMPUTED_VALUE"""),0.0)</f>
        <v>0</v>
      </c>
      <c r="AP1049" s="82">
        <f>IFERROR(__xludf.DUMMYFUNCTION("""COMPUTED_VALUE"""),0.0)</f>
        <v>0</v>
      </c>
      <c r="AQ1049" s="82">
        <f>IFERROR(__xludf.DUMMYFUNCTION("""COMPUTED_VALUE"""),0.0)</f>
        <v>0</v>
      </c>
      <c r="AR1049" s="82">
        <f>IFERROR(__xludf.DUMMYFUNCTION("""COMPUTED_VALUE"""),0.0)</f>
        <v>0</v>
      </c>
      <c r="AS1049" s="82"/>
      <c r="AT1049" s="82">
        <f>IFERROR(__xludf.DUMMYFUNCTION("""COMPUTED_VALUE"""),0.0)</f>
        <v>0</v>
      </c>
      <c r="AU1049" s="82"/>
      <c r="AV1049" s="82"/>
      <c r="AW1049" s="82" t="str">
        <f t="shared" si="1"/>
        <v/>
      </c>
      <c r="AX1049" s="83" t="str">
        <f t="array" ref="AX1049">IFERROR(DGET('SBV Import'!A:G,"SBV",{"RSC ID","Tier";B1049,A1049}))</f>
        <v/>
      </c>
      <c r="AY1049" s="82" t="str">
        <f t="shared" si="2"/>
        <v/>
      </c>
      <c r="AZ1049" s="82"/>
      <c r="BA1049" s="84" t="s">
        <v>152</v>
      </c>
      <c r="BB1049" s="84" t="str">
        <f>IFERROR(__xludf.DUMMYFUNCTION("iferror(if(A1049="""",,E1049&gt;=FILTER(Constants!$F$2:$F$10,Constants!$A$2:$A$10=A1049)))"),"")</f>
        <v/>
      </c>
    </row>
    <row r="1050">
      <c r="A1050" s="85"/>
      <c r="B1050" s="73"/>
      <c r="C1050" s="73"/>
      <c r="D1050" s="73"/>
      <c r="E1050" s="82"/>
      <c r="F1050" s="82"/>
      <c r="G1050" s="82"/>
      <c r="H1050" s="86"/>
      <c r="I1050" s="86"/>
      <c r="J1050" s="82"/>
      <c r="K1050" s="82"/>
      <c r="L1050" s="82"/>
      <c r="M1050" s="82"/>
      <c r="N1050" s="82"/>
      <c r="O1050" s="82"/>
      <c r="P1050" s="82"/>
      <c r="Q1050" s="82"/>
      <c r="R1050" s="82"/>
      <c r="S1050" s="82"/>
      <c r="T1050" s="82"/>
      <c r="U1050" s="82"/>
      <c r="V1050" s="82"/>
      <c r="W1050" s="82"/>
      <c r="X1050" s="82"/>
      <c r="Y1050" s="82"/>
      <c r="Z1050" s="82"/>
      <c r="AA1050" s="82"/>
      <c r="AB1050" s="82"/>
      <c r="AC1050" s="82"/>
      <c r="AD1050" s="82"/>
      <c r="AE1050" s="82"/>
      <c r="AF1050" s="82"/>
      <c r="AG1050" s="82"/>
      <c r="AH1050" s="82"/>
      <c r="AI1050" s="82"/>
      <c r="AJ1050" s="82"/>
      <c r="AK1050" s="82"/>
      <c r="AL1050" s="82"/>
      <c r="AM1050" s="82"/>
      <c r="AN1050" s="82">
        <f>IFERROR(__xludf.DUMMYFUNCTION("""COMPUTED_VALUE"""),0.0)</f>
        <v>0</v>
      </c>
      <c r="AO1050" s="82">
        <f>IFERROR(__xludf.DUMMYFUNCTION("""COMPUTED_VALUE"""),0.0)</f>
        <v>0</v>
      </c>
      <c r="AP1050" s="82">
        <f>IFERROR(__xludf.DUMMYFUNCTION("""COMPUTED_VALUE"""),0.0)</f>
        <v>0</v>
      </c>
      <c r="AQ1050" s="82">
        <f>IFERROR(__xludf.DUMMYFUNCTION("""COMPUTED_VALUE"""),0.0)</f>
        <v>0</v>
      </c>
      <c r="AR1050" s="82">
        <f>IFERROR(__xludf.DUMMYFUNCTION("""COMPUTED_VALUE"""),0.0)</f>
        <v>0</v>
      </c>
      <c r="AS1050" s="82"/>
      <c r="AT1050" s="82">
        <f>IFERROR(__xludf.DUMMYFUNCTION("""COMPUTED_VALUE"""),0.0)</f>
        <v>0</v>
      </c>
      <c r="AU1050" s="82"/>
      <c r="AV1050" s="82"/>
      <c r="AW1050" s="82" t="str">
        <f t="shared" si="1"/>
        <v/>
      </c>
      <c r="AX1050" s="83" t="str">
        <f t="array" ref="AX1050">IFERROR(DGET('SBV Import'!A:G,"SBV",{"RSC ID","Tier";B1050,A1050}))</f>
        <v/>
      </c>
      <c r="AY1050" s="82" t="str">
        <f t="shared" si="2"/>
        <v/>
      </c>
      <c r="AZ1050" s="82"/>
      <c r="BA1050" s="84" t="s">
        <v>152</v>
      </c>
      <c r="BB1050" s="84" t="str">
        <f>IFERROR(__xludf.DUMMYFUNCTION("iferror(if(A1050="""",,E1050&gt;=FILTER(Constants!$F$2:$F$10,Constants!$A$2:$A$10=A1050)))"),"")</f>
        <v/>
      </c>
    </row>
    <row r="1051">
      <c r="A1051" s="80"/>
      <c r="B1051" s="73"/>
      <c r="C1051" s="88"/>
      <c r="D1051" s="73"/>
      <c r="E1051" s="82"/>
      <c r="F1051" s="82"/>
      <c r="G1051" s="82"/>
      <c r="H1051" s="86"/>
      <c r="I1051" s="86"/>
      <c r="J1051" s="82"/>
      <c r="K1051" s="82"/>
      <c r="L1051" s="82"/>
      <c r="M1051" s="82"/>
      <c r="N1051" s="82"/>
      <c r="O1051" s="82"/>
      <c r="P1051" s="82"/>
      <c r="Q1051" s="82"/>
      <c r="R1051" s="82"/>
      <c r="S1051" s="82"/>
      <c r="T1051" s="82"/>
      <c r="U1051" s="82"/>
      <c r="V1051" s="82"/>
      <c r="W1051" s="82"/>
      <c r="X1051" s="82"/>
      <c r="Y1051" s="82"/>
      <c r="Z1051" s="82"/>
      <c r="AA1051" s="82"/>
      <c r="AB1051" s="82"/>
      <c r="AC1051" s="82"/>
      <c r="AD1051" s="82"/>
      <c r="AE1051" s="82"/>
      <c r="AF1051" s="82"/>
      <c r="AG1051" s="82"/>
      <c r="AH1051" s="82"/>
      <c r="AI1051" s="82"/>
      <c r="AJ1051" s="82"/>
      <c r="AK1051" s="82"/>
      <c r="AL1051" s="82"/>
      <c r="AM1051" s="82"/>
      <c r="AN1051" s="82">
        <f>IFERROR(__xludf.DUMMYFUNCTION("""COMPUTED_VALUE"""),0.0)</f>
        <v>0</v>
      </c>
      <c r="AO1051" s="82">
        <f>IFERROR(__xludf.DUMMYFUNCTION("""COMPUTED_VALUE"""),0.0)</f>
        <v>0</v>
      </c>
      <c r="AP1051" s="82">
        <f>IFERROR(__xludf.DUMMYFUNCTION("""COMPUTED_VALUE"""),0.0)</f>
        <v>0</v>
      </c>
      <c r="AQ1051" s="82">
        <f>IFERROR(__xludf.DUMMYFUNCTION("""COMPUTED_VALUE"""),0.0)</f>
        <v>0</v>
      </c>
      <c r="AR1051" s="82">
        <f>IFERROR(__xludf.DUMMYFUNCTION("""COMPUTED_VALUE"""),0.0)</f>
        <v>0</v>
      </c>
      <c r="AS1051" s="82"/>
      <c r="AT1051" s="82">
        <f>IFERROR(__xludf.DUMMYFUNCTION("""COMPUTED_VALUE"""),0.0)</f>
        <v>0</v>
      </c>
      <c r="AU1051" s="82"/>
      <c r="AV1051" s="82"/>
      <c r="AW1051" s="82" t="str">
        <f t="shared" si="1"/>
        <v/>
      </c>
      <c r="AX1051" s="83" t="str">
        <f t="array" ref="AX1051">IFERROR(DGET('SBV Import'!A:G,"SBV",{"RSC ID","Tier";B1051,A1051}))</f>
        <v/>
      </c>
      <c r="AY1051" s="82" t="str">
        <f t="shared" si="2"/>
        <v/>
      </c>
      <c r="AZ1051" s="82"/>
      <c r="BA1051" s="84" t="s">
        <v>152</v>
      </c>
      <c r="BB1051" s="84" t="str">
        <f>IFERROR(__xludf.DUMMYFUNCTION("iferror(if(A1051="""",,E1051&gt;=FILTER(Constants!$F$2:$F$10,Constants!$A$2:$A$10=A1051)))"),"")</f>
        <v/>
      </c>
    </row>
    <row r="1052">
      <c r="A1052" s="80"/>
      <c r="B1052" s="73"/>
      <c r="C1052" s="73"/>
      <c r="D1052" s="73"/>
      <c r="E1052" s="82"/>
      <c r="F1052" s="82"/>
      <c r="G1052" s="82"/>
      <c r="H1052" s="86"/>
      <c r="I1052" s="86"/>
      <c r="J1052" s="82"/>
      <c r="K1052" s="82"/>
      <c r="L1052" s="82"/>
      <c r="M1052" s="82"/>
      <c r="N1052" s="82"/>
      <c r="O1052" s="82"/>
      <c r="P1052" s="82"/>
      <c r="Q1052" s="82"/>
      <c r="R1052" s="82"/>
      <c r="S1052" s="82"/>
      <c r="T1052" s="82"/>
      <c r="U1052" s="82"/>
      <c r="V1052" s="82"/>
      <c r="W1052" s="82"/>
      <c r="X1052" s="82"/>
      <c r="Y1052" s="82"/>
      <c r="Z1052" s="82"/>
      <c r="AA1052" s="82"/>
      <c r="AB1052" s="82"/>
      <c r="AC1052" s="82"/>
      <c r="AD1052" s="82"/>
      <c r="AE1052" s="82"/>
      <c r="AF1052" s="82"/>
      <c r="AG1052" s="82"/>
      <c r="AH1052" s="82"/>
      <c r="AI1052" s="82"/>
      <c r="AJ1052" s="82"/>
      <c r="AK1052" s="82"/>
      <c r="AL1052" s="82"/>
      <c r="AM1052" s="82"/>
      <c r="AN1052" s="82">
        <f>IFERROR(__xludf.DUMMYFUNCTION("""COMPUTED_VALUE"""),0.0)</f>
        <v>0</v>
      </c>
      <c r="AO1052" s="82">
        <f>IFERROR(__xludf.DUMMYFUNCTION("""COMPUTED_VALUE"""),0.0)</f>
        <v>0</v>
      </c>
      <c r="AP1052" s="82">
        <f>IFERROR(__xludf.DUMMYFUNCTION("""COMPUTED_VALUE"""),0.0)</f>
        <v>0</v>
      </c>
      <c r="AQ1052" s="82">
        <f>IFERROR(__xludf.DUMMYFUNCTION("""COMPUTED_VALUE"""),0.0)</f>
        <v>0</v>
      </c>
      <c r="AR1052" s="82">
        <f>IFERROR(__xludf.DUMMYFUNCTION("""COMPUTED_VALUE"""),0.0)</f>
        <v>0</v>
      </c>
      <c r="AS1052" s="82"/>
      <c r="AT1052" s="82">
        <f>IFERROR(__xludf.DUMMYFUNCTION("""COMPUTED_VALUE"""),0.0)</f>
        <v>0</v>
      </c>
      <c r="AU1052" s="82"/>
      <c r="AV1052" s="82"/>
      <c r="AW1052" s="82" t="str">
        <f t="shared" si="1"/>
        <v/>
      </c>
      <c r="AX1052" s="83" t="str">
        <f t="array" ref="AX1052">IFERROR(DGET('SBV Import'!A:G,"SBV",{"RSC ID","Tier";B1052,A1052}))</f>
        <v/>
      </c>
      <c r="AY1052" s="82" t="str">
        <f t="shared" si="2"/>
        <v/>
      </c>
      <c r="AZ1052" s="82"/>
      <c r="BA1052" s="84" t="s">
        <v>152</v>
      </c>
      <c r="BB1052" s="84" t="str">
        <f>IFERROR(__xludf.DUMMYFUNCTION("iferror(if(A1052="""",,E1052&gt;=FILTER(Constants!$F$2:$F$10,Constants!$A$2:$A$10=A1052)))"),"")</f>
        <v/>
      </c>
    </row>
    <row r="1053">
      <c r="A1053" s="80"/>
      <c r="B1053" s="73"/>
      <c r="C1053" s="73"/>
      <c r="D1053" s="73"/>
      <c r="E1053" s="82"/>
      <c r="F1053" s="82"/>
      <c r="G1053" s="82"/>
      <c r="H1053" s="86"/>
      <c r="I1053" s="86"/>
      <c r="J1053" s="82"/>
      <c r="K1053" s="82"/>
      <c r="L1053" s="82"/>
      <c r="M1053" s="82"/>
      <c r="N1053" s="82"/>
      <c r="O1053" s="82"/>
      <c r="P1053" s="82"/>
      <c r="Q1053" s="82"/>
      <c r="R1053" s="82"/>
      <c r="S1053" s="82"/>
      <c r="T1053" s="82"/>
      <c r="U1053" s="82"/>
      <c r="V1053" s="82"/>
      <c r="W1053" s="82"/>
      <c r="X1053" s="82"/>
      <c r="Y1053" s="82"/>
      <c r="Z1053" s="82"/>
      <c r="AA1053" s="82"/>
      <c r="AB1053" s="82"/>
      <c r="AC1053" s="82"/>
      <c r="AD1053" s="82"/>
      <c r="AE1053" s="82"/>
      <c r="AF1053" s="82"/>
      <c r="AG1053" s="82"/>
      <c r="AH1053" s="82"/>
      <c r="AI1053" s="82"/>
      <c r="AJ1053" s="82"/>
      <c r="AK1053" s="82"/>
      <c r="AL1053" s="82"/>
      <c r="AM1053" s="82"/>
      <c r="AN1053" s="82">
        <f>IFERROR(__xludf.DUMMYFUNCTION("""COMPUTED_VALUE"""),0.0)</f>
        <v>0</v>
      </c>
      <c r="AO1053" s="82">
        <f>IFERROR(__xludf.DUMMYFUNCTION("""COMPUTED_VALUE"""),0.0)</f>
        <v>0</v>
      </c>
      <c r="AP1053" s="82">
        <f>IFERROR(__xludf.DUMMYFUNCTION("""COMPUTED_VALUE"""),0.0)</f>
        <v>0</v>
      </c>
      <c r="AQ1053" s="82">
        <f>IFERROR(__xludf.DUMMYFUNCTION("""COMPUTED_VALUE"""),0.0)</f>
        <v>0</v>
      </c>
      <c r="AR1053" s="82">
        <f>IFERROR(__xludf.DUMMYFUNCTION("""COMPUTED_VALUE"""),0.0)</f>
        <v>0</v>
      </c>
      <c r="AS1053" s="82"/>
      <c r="AT1053" s="82">
        <f>IFERROR(__xludf.DUMMYFUNCTION("""COMPUTED_VALUE"""),0.0)</f>
        <v>0</v>
      </c>
      <c r="AU1053" s="82"/>
      <c r="AV1053" s="82"/>
      <c r="AW1053" s="82" t="str">
        <f t="shared" si="1"/>
        <v/>
      </c>
      <c r="AX1053" s="83" t="str">
        <f t="array" ref="AX1053">IFERROR(DGET('SBV Import'!A:G,"SBV",{"RSC ID","Tier";B1053,A1053}))</f>
        <v/>
      </c>
      <c r="AY1053" s="82" t="str">
        <f t="shared" si="2"/>
        <v/>
      </c>
      <c r="AZ1053" s="82"/>
      <c r="BA1053" s="84" t="s">
        <v>152</v>
      </c>
      <c r="BB1053" s="84" t="str">
        <f>IFERROR(__xludf.DUMMYFUNCTION("iferror(if(A1053="""",,E1053&gt;=FILTER(Constants!$F$2:$F$10,Constants!$A$2:$A$10=A1053)))"),"")</f>
        <v/>
      </c>
    </row>
    <row r="1054">
      <c r="A1054" s="80"/>
      <c r="B1054" s="73"/>
      <c r="C1054" s="73"/>
      <c r="D1054" s="73"/>
      <c r="E1054" s="82"/>
      <c r="F1054" s="82"/>
      <c r="G1054" s="82"/>
      <c r="H1054" s="86"/>
      <c r="I1054" s="86"/>
      <c r="J1054" s="82"/>
      <c r="K1054" s="82"/>
      <c r="L1054" s="82"/>
      <c r="M1054" s="82"/>
      <c r="N1054" s="82"/>
      <c r="O1054" s="82"/>
      <c r="P1054" s="82"/>
      <c r="Q1054" s="82"/>
      <c r="R1054" s="82"/>
      <c r="S1054" s="82"/>
      <c r="T1054" s="82"/>
      <c r="U1054" s="82"/>
      <c r="V1054" s="82"/>
      <c r="W1054" s="82"/>
      <c r="X1054" s="82"/>
      <c r="Y1054" s="82"/>
      <c r="Z1054" s="82"/>
      <c r="AA1054" s="82"/>
      <c r="AB1054" s="82"/>
      <c r="AC1054" s="82"/>
      <c r="AD1054" s="82"/>
      <c r="AE1054" s="82"/>
      <c r="AF1054" s="82"/>
      <c r="AG1054" s="82"/>
      <c r="AH1054" s="82"/>
      <c r="AI1054" s="82"/>
      <c r="AJ1054" s="82"/>
      <c r="AK1054" s="82"/>
      <c r="AL1054" s="82"/>
      <c r="AM1054" s="82"/>
      <c r="AN1054" s="82">
        <f>IFERROR(__xludf.DUMMYFUNCTION("""COMPUTED_VALUE"""),0.0)</f>
        <v>0</v>
      </c>
      <c r="AO1054" s="82">
        <f>IFERROR(__xludf.DUMMYFUNCTION("""COMPUTED_VALUE"""),0.0)</f>
        <v>0</v>
      </c>
      <c r="AP1054" s="82">
        <f>IFERROR(__xludf.DUMMYFUNCTION("""COMPUTED_VALUE"""),0.0)</f>
        <v>0</v>
      </c>
      <c r="AQ1054" s="82">
        <f>IFERROR(__xludf.DUMMYFUNCTION("""COMPUTED_VALUE"""),0.0)</f>
        <v>0</v>
      </c>
      <c r="AR1054" s="82">
        <f>IFERROR(__xludf.DUMMYFUNCTION("""COMPUTED_VALUE"""),0.0)</f>
        <v>0</v>
      </c>
      <c r="AS1054" s="82"/>
      <c r="AT1054" s="82">
        <f>IFERROR(__xludf.DUMMYFUNCTION("""COMPUTED_VALUE"""),0.0)</f>
        <v>0</v>
      </c>
      <c r="AU1054" s="82"/>
      <c r="AV1054" s="82"/>
      <c r="AW1054" s="82" t="str">
        <f t="shared" si="1"/>
        <v/>
      </c>
      <c r="AX1054" s="83" t="str">
        <f t="array" ref="AX1054">IFERROR(DGET('SBV Import'!A:G,"SBV",{"RSC ID","Tier";B1054,A1054}))</f>
        <v/>
      </c>
      <c r="AY1054" s="82" t="str">
        <f t="shared" si="2"/>
        <v/>
      </c>
      <c r="AZ1054" s="82"/>
      <c r="BA1054" s="84" t="s">
        <v>152</v>
      </c>
      <c r="BB1054" s="84" t="str">
        <f>IFERROR(__xludf.DUMMYFUNCTION("iferror(if(A1054="""",,E1054&gt;=FILTER(Constants!$F$2:$F$10,Constants!$A$2:$A$10=A1054)))"),"")</f>
        <v/>
      </c>
    </row>
    <row r="1055">
      <c r="A1055" s="80"/>
      <c r="B1055" s="73"/>
      <c r="C1055" s="73"/>
      <c r="D1055" s="73"/>
      <c r="E1055" s="82"/>
      <c r="F1055" s="82"/>
      <c r="G1055" s="82"/>
      <c r="H1055" s="86"/>
      <c r="I1055" s="86"/>
      <c r="J1055" s="82"/>
      <c r="K1055" s="82"/>
      <c r="L1055" s="82"/>
      <c r="M1055" s="82"/>
      <c r="N1055" s="82"/>
      <c r="O1055" s="82"/>
      <c r="P1055" s="82"/>
      <c r="Q1055" s="82"/>
      <c r="R1055" s="82"/>
      <c r="S1055" s="82"/>
      <c r="T1055" s="82"/>
      <c r="U1055" s="82"/>
      <c r="V1055" s="82"/>
      <c r="W1055" s="82"/>
      <c r="X1055" s="82"/>
      <c r="Y1055" s="82"/>
      <c r="Z1055" s="82"/>
      <c r="AA1055" s="82"/>
      <c r="AB1055" s="82"/>
      <c r="AC1055" s="82"/>
      <c r="AD1055" s="82"/>
      <c r="AE1055" s="82"/>
      <c r="AF1055" s="82"/>
      <c r="AG1055" s="82"/>
      <c r="AH1055" s="82"/>
      <c r="AI1055" s="82"/>
      <c r="AJ1055" s="82"/>
      <c r="AK1055" s="82"/>
      <c r="AL1055" s="82"/>
      <c r="AM1055" s="82"/>
      <c r="AN1055" s="82">
        <f>IFERROR(__xludf.DUMMYFUNCTION("""COMPUTED_VALUE"""),0.0)</f>
        <v>0</v>
      </c>
      <c r="AO1055" s="82">
        <f>IFERROR(__xludf.DUMMYFUNCTION("""COMPUTED_VALUE"""),0.0)</f>
        <v>0</v>
      </c>
      <c r="AP1055" s="82">
        <f>IFERROR(__xludf.DUMMYFUNCTION("""COMPUTED_VALUE"""),0.0)</f>
        <v>0</v>
      </c>
      <c r="AQ1055" s="82">
        <f>IFERROR(__xludf.DUMMYFUNCTION("""COMPUTED_VALUE"""),0.0)</f>
        <v>0</v>
      </c>
      <c r="AR1055" s="82">
        <f>IFERROR(__xludf.DUMMYFUNCTION("""COMPUTED_VALUE"""),0.0)</f>
        <v>0</v>
      </c>
      <c r="AS1055" s="82"/>
      <c r="AT1055" s="82">
        <f>IFERROR(__xludf.DUMMYFUNCTION("""COMPUTED_VALUE"""),0.0)</f>
        <v>0</v>
      </c>
      <c r="AU1055" s="82"/>
      <c r="AV1055" s="82"/>
      <c r="AW1055" s="82" t="str">
        <f t="shared" si="1"/>
        <v/>
      </c>
      <c r="AX1055" s="83" t="str">
        <f t="array" ref="AX1055">IFERROR(DGET('SBV Import'!A:G,"SBV",{"RSC ID","Tier";B1055,A1055}))</f>
        <v/>
      </c>
      <c r="AY1055" s="82" t="str">
        <f t="shared" si="2"/>
        <v/>
      </c>
      <c r="AZ1055" s="82"/>
      <c r="BA1055" s="84" t="s">
        <v>152</v>
      </c>
      <c r="BB1055" s="84" t="str">
        <f>IFERROR(__xludf.DUMMYFUNCTION("iferror(if(A1055="""",,E1055&gt;=FILTER(Constants!$F$2:$F$10,Constants!$A$2:$A$10=A1055)))"),"")</f>
        <v/>
      </c>
    </row>
    <row r="1056">
      <c r="A1056" s="80"/>
      <c r="B1056" s="73"/>
      <c r="C1056" s="73"/>
      <c r="D1056" s="73"/>
      <c r="E1056" s="82"/>
      <c r="F1056" s="82"/>
      <c r="G1056" s="82"/>
      <c r="H1056" s="86"/>
      <c r="I1056" s="86"/>
      <c r="J1056" s="82"/>
      <c r="K1056" s="82"/>
      <c r="L1056" s="82"/>
      <c r="M1056" s="82"/>
      <c r="N1056" s="82"/>
      <c r="O1056" s="82"/>
      <c r="P1056" s="82"/>
      <c r="Q1056" s="82"/>
      <c r="R1056" s="82"/>
      <c r="S1056" s="82"/>
      <c r="T1056" s="82"/>
      <c r="U1056" s="82"/>
      <c r="V1056" s="82"/>
      <c r="W1056" s="82"/>
      <c r="X1056" s="82"/>
      <c r="Y1056" s="82"/>
      <c r="Z1056" s="82"/>
      <c r="AA1056" s="82"/>
      <c r="AB1056" s="82"/>
      <c r="AC1056" s="82"/>
      <c r="AD1056" s="82"/>
      <c r="AE1056" s="82"/>
      <c r="AF1056" s="82"/>
      <c r="AG1056" s="82"/>
      <c r="AH1056" s="82"/>
      <c r="AI1056" s="82"/>
      <c r="AJ1056" s="82"/>
      <c r="AK1056" s="82"/>
      <c r="AL1056" s="82"/>
      <c r="AM1056" s="82"/>
      <c r="AN1056" s="82">
        <f>IFERROR(__xludf.DUMMYFUNCTION("""COMPUTED_VALUE"""),0.0)</f>
        <v>0</v>
      </c>
      <c r="AO1056" s="82">
        <f>IFERROR(__xludf.DUMMYFUNCTION("""COMPUTED_VALUE"""),0.0)</f>
        <v>0</v>
      </c>
      <c r="AP1056" s="82">
        <f>IFERROR(__xludf.DUMMYFUNCTION("""COMPUTED_VALUE"""),0.0)</f>
        <v>0</v>
      </c>
      <c r="AQ1056" s="82">
        <f>IFERROR(__xludf.DUMMYFUNCTION("""COMPUTED_VALUE"""),0.0)</f>
        <v>0</v>
      </c>
      <c r="AR1056" s="82">
        <f>IFERROR(__xludf.DUMMYFUNCTION("""COMPUTED_VALUE"""),0.0)</f>
        <v>0</v>
      </c>
      <c r="AS1056" s="82"/>
      <c r="AT1056" s="82">
        <f>IFERROR(__xludf.DUMMYFUNCTION("""COMPUTED_VALUE"""),0.0)</f>
        <v>0</v>
      </c>
      <c r="AU1056" s="82"/>
      <c r="AV1056" s="82"/>
      <c r="AW1056" s="82" t="str">
        <f t="shared" si="1"/>
        <v/>
      </c>
      <c r="AX1056" s="83" t="str">
        <f t="array" ref="AX1056">IFERROR(DGET('SBV Import'!A:G,"SBV",{"RSC ID","Tier";B1056,A1056}))</f>
        <v/>
      </c>
      <c r="AY1056" s="82" t="str">
        <f t="shared" si="2"/>
        <v/>
      </c>
      <c r="AZ1056" s="82"/>
      <c r="BA1056" s="84" t="s">
        <v>152</v>
      </c>
      <c r="BB1056" s="84" t="str">
        <f>IFERROR(__xludf.DUMMYFUNCTION("iferror(if(A1056="""",,E1056&gt;=FILTER(Constants!$F$2:$F$10,Constants!$A$2:$A$10=A1056)))"),"")</f>
        <v/>
      </c>
    </row>
    <row r="1057">
      <c r="A1057" s="80"/>
      <c r="B1057" s="73"/>
      <c r="C1057" s="73"/>
      <c r="D1057" s="73"/>
      <c r="E1057" s="82"/>
      <c r="F1057" s="82"/>
      <c r="G1057" s="82"/>
      <c r="H1057" s="86"/>
      <c r="I1057" s="86"/>
      <c r="J1057" s="82"/>
      <c r="K1057" s="82"/>
      <c r="L1057" s="82"/>
      <c r="M1057" s="82"/>
      <c r="N1057" s="82"/>
      <c r="O1057" s="82"/>
      <c r="P1057" s="82"/>
      <c r="Q1057" s="82"/>
      <c r="R1057" s="82"/>
      <c r="S1057" s="82"/>
      <c r="T1057" s="82"/>
      <c r="U1057" s="82"/>
      <c r="V1057" s="82"/>
      <c r="W1057" s="82"/>
      <c r="X1057" s="82"/>
      <c r="Y1057" s="82"/>
      <c r="Z1057" s="82"/>
      <c r="AA1057" s="82"/>
      <c r="AB1057" s="82"/>
      <c r="AC1057" s="82"/>
      <c r="AD1057" s="82"/>
      <c r="AE1057" s="82"/>
      <c r="AF1057" s="82"/>
      <c r="AG1057" s="82"/>
      <c r="AH1057" s="82"/>
      <c r="AI1057" s="82"/>
      <c r="AJ1057" s="82"/>
      <c r="AK1057" s="82"/>
      <c r="AL1057" s="82"/>
      <c r="AM1057" s="82"/>
      <c r="AN1057" s="82">
        <f>IFERROR(__xludf.DUMMYFUNCTION("""COMPUTED_VALUE"""),0.0)</f>
        <v>0</v>
      </c>
      <c r="AO1057" s="82">
        <f>IFERROR(__xludf.DUMMYFUNCTION("""COMPUTED_VALUE"""),0.0)</f>
        <v>0</v>
      </c>
      <c r="AP1057" s="82">
        <f>IFERROR(__xludf.DUMMYFUNCTION("""COMPUTED_VALUE"""),0.0)</f>
        <v>0</v>
      </c>
      <c r="AQ1057" s="82">
        <f>IFERROR(__xludf.DUMMYFUNCTION("""COMPUTED_VALUE"""),0.0)</f>
        <v>0</v>
      </c>
      <c r="AR1057" s="82">
        <f>IFERROR(__xludf.DUMMYFUNCTION("""COMPUTED_VALUE"""),0.0)</f>
        <v>0</v>
      </c>
      <c r="AS1057" s="82"/>
      <c r="AT1057" s="82">
        <f>IFERROR(__xludf.DUMMYFUNCTION("""COMPUTED_VALUE"""),0.0)</f>
        <v>0</v>
      </c>
      <c r="AU1057" s="82"/>
      <c r="AV1057" s="82"/>
      <c r="AW1057" s="82" t="str">
        <f t="shared" si="1"/>
        <v/>
      </c>
      <c r="AX1057" s="83" t="str">
        <f t="array" ref="AX1057">IFERROR(DGET('SBV Import'!A:G,"SBV",{"RSC ID","Tier";B1057,A1057}))</f>
        <v/>
      </c>
      <c r="AY1057" s="82" t="str">
        <f t="shared" si="2"/>
        <v/>
      </c>
      <c r="AZ1057" s="82"/>
      <c r="BA1057" s="84" t="s">
        <v>152</v>
      </c>
      <c r="BB1057" s="84" t="str">
        <f>IFERROR(__xludf.DUMMYFUNCTION("iferror(if(A1057="""",,E1057&gt;=FILTER(Constants!$F$2:$F$10,Constants!$A$2:$A$10=A1057)))"),"")</f>
        <v/>
      </c>
    </row>
    <row r="1058">
      <c r="A1058" s="80"/>
      <c r="B1058" s="73"/>
      <c r="C1058" s="73"/>
      <c r="D1058" s="73"/>
      <c r="E1058" s="82"/>
      <c r="F1058" s="82"/>
      <c r="G1058" s="82"/>
      <c r="H1058" s="86"/>
      <c r="I1058" s="86"/>
      <c r="J1058" s="82"/>
      <c r="K1058" s="82"/>
      <c r="L1058" s="82"/>
      <c r="M1058" s="82"/>
      <c r="N1058" s="82"/>
      <c r="O1058" s="82"/>
      <c r="P1058" s="82"/>
      <c r="Q1058" s="82"/>
      <c r="R1058" s="82"/>
      <c r="S1058" s="82"/>
      <c r="T1058" s="82"/>
      <c r="U1058" s="82"/>
      <c r="V1058" s="82"/>
      <c r="W1058" s="82"/>
      <c r="X1058" s="82"/>
      <c r="Y1058" s="82"/>
      <c r="Z1058" s="82"/>
      <c r="AA1058" s="82"/>
      <c r="AB1058" s="82"/>
      <c r="AC1058" s="82"/>
      <c r="AD1058" s="82"/>
      <c r="AE1058" s="82"/>
      <c r="AF1058" s="82"/>
      <c r="AG1058" s="82"/>
      <c r="AH1058" s="82"/>
      <c r="AI1058" s="82"/>
      <c r="AJ1058" s="82"/>
      <c r="AK1058" s="82"/>
      <c r="AL1058" s="82"/>
      <c r="AM1058" s="82"/>
      <c r="AN1058" s="82">
        <f>IFERROR(__xludf.DUMMYFUNCTION("""COMPUTED_VALUE"""),0.0)</f>
        <v>0</v>
      </c>
      <c r="AO1058" s="82">
        <f>IFERROR(__xludf.DUMMYFUNCTION("""COMPUTED_VALUE"""),0.0)</f>
        <v>0</v>
      </c>
      <c r="AP1058" s="82">
        <f>IFERROR(__xludf.DUMMYFUNCTION("""COMPUTED_VALUE"""),0.0)</f>
        <v>0</v>
      </c>
      <c r="AQ1058" s="82">
        <f>IFERROR(__xludf.DUMMYFUNCTION("""COMPUTED_VALUE"""),0.0)</f>
        <v>0</v>
      </c>
      <c r="AR1058" s="82">
        <f>IFERROR(__xludf.DUMMYFUNCTION("""COMPUTED_VALUE"""),0.0)</f>
        <v>0</v>
      </c>
      <c r="AS1058" s="82"/>
      <c r="AT1058" s="82">
        <f>IFERROR(__xludf.DUMMYFUNCTION("""COMPUTED_VALUE"""),0.0)</f>
        <v>0</v>
      </c>
      <c r="AU1058" s="82"/>
      <c r="AV1058" s="82"/>
      <c r="AW1058" s="82" t="str">
        <f t="shared" si="1"/>
        <v/>
      </c>
      <c r="AX1058" s="83" t="str">
        <f t="array" ref="AX1058">IFERROR(DGET('SBV Import'!A:G,"SBV",{"RSC ID","Tier";B1058,A1058}))</f>
        <v/>
      </c>
      <c r="AY1058" s="82" t="str">
        <f t="shared" si="2"/>
        <v/>
      </c>
      <c r="AZ1058" s="82"/>
      <c r="BA1058" s="84" t="s">
        <v>152</v>
      </c>
      <c r="BB1058" s="84" t="str">
        <f>IFERROR(__xludf.DUMMYFUNCTION("iferror(if(A1058="""",,E1058&gt;=FILTER(Constants!$F$2:$F$10,Constants!$A$2:$A$10=A1058)))"),"")</f>
        <v/>
      </c>
    </row>
    <row r="1059">
      <c r="A1059" s="80"/>
      <c r="B1059" s="73"/>
      <c r="C1059" s="73"/>
      <c r="D1059" s="73"/>
      <c r="E1059" s="82"/>
      <c r="F1059" s="82"/>
      <c r="G1059" s="82"/>
      <c r="H1059" s="86"/>
      <c r="I1059" s="86"/>
      <c r="J1059" s="82"/>
      <c r="K1059" s="82"/>
      <c r="L1059" s="82"/>
      <c r="M1059" s="82"/>
      <c r="N1059" s="82"/>
      <c r="O1059" s="82"/>
      <c r="P1059" s="82"/>
      <c r="Q1059" s="82"/>
      <c r="R1059" s="82"/>
      <c r="S1059" s="82"/>
      <c r="T1059" s="82"/>
      <c r="U1059" s="82"/>
      <c r="V1059" s="82"/>
      <c r="W1059" s="82"/>
      <c r="X1059" s="82"/>
      <c r="Y1059" s="82"/>
      <c r="Z1059" s="82"/>
      <c r="AA1059" s="82"/>
      <c r="AB1059" s="82"/>
      <c r="AC1059" s="82"/>
      <c r="AD1059" s="82"/>
      <c r="AE1059" s="82"/>
      <c r="AF1059" s="82"/>
      <c r="AG1059" s="82"/>
      <c r="AH1059" s="82"/>
      <c r="AI1059" s="82"/>
      <c r="AJ1059" s="82"/>
      <c r="AK1059" s="82"/>
      <c r="AL1059" s="82"/>
      <c r="AM1059" s="82"/>
      <c r="AN1059" s="82">
        <f>IFERROR(__xludf.DUMMYFUNCTION("""COMPUTED_VALUE"""),0.0)</f>
        <v>0</v>
      </c>
      <c r="AO1059" s="82">
        <f>IFERROR(__xludf.DUMMYFUNCTION("""COMPUTED_VALUE"""),0.0)</f>
        <v>0</v>
      </c>
      <c r="AP1059" s="82">
        <f>IFERROR(__xludf.DUMMYFUNCTION("""COMPUTED_VALUE"""),0.0)</f>
        <v>0</v>
      </c>
      <c r="AQ1059" s="82">
        <f>IFERROR(__xludf.DUMMYFUNCTION("""COMPUTED_VALUE"""),0.0)</f>
        <v>0</v>
      </c>
      <c r="AR1059" s="82">
        <f>IFERROR(__xludf.DUMMYFUNCTION("""COMPUTED_VALUE"""),0.0)</f>
        <v>0</v>
      </c>
      <c r="AS1059" s="82"/>
      <c r="AT1059" s="82">
        <f>IFERROR(__xludf.DUMMYFUNCTION("""COMPUTED_VALUE"""),0.0)</f>
        <v>0</v>
      </c>
      <c r="AU1059" s="82"/>
      <c r="AV1059" s="82"/>
      <c r="AW1059" s="82" t="str">
        <f t="shared" si="1"/>
        <v/>
      </c>
      <c r="AX1059" s="83" t="str">
        <f t="array" ref="AX1059">IFERROR(DGET('SBV Import'!A:G,"SBV",{"RSC ID","Tier";B1059,A1059}))</f>
        <v/>
      </c>
      <c r="AY1059" s="82" t="str">
        <f t="shared" si="2"/>
        <v/>
      </c>
      <c r="AZ1059" s="82"/>
      <c r="BA1059" s="84" t="s">
        <v>152</v>
      </c>
      <c r="BB1059" s="84" t="str">
        <f>IFERROR(__xludf.DUMMYFUNCTION("iferror(if(A1059="""",,E1059&gt;=FILTER(Constants!$F$2:$F$10,Constants!$A$2:$A$10=A1059)))"),"")</f>
        <v/>
      </c>
    </row>
    <row r="1060">
      <c r="A1060" s="80"/>
      <c r="B1060" s="73"/>
      <c r="C1060" s="73"/>
      <c r="D1060" s="73"/>
      <c r="E1060" s="82"/>
      <c r="F1060" s="82"/>
      <c r="G1060" s="82"/>
      <c r="H1060" s="86"/>
      <c r="I1060" s="86"/>
      <c r="J1060" s="82"/>
      <c r="K1060" s="82"/>
      <c r="L1060" s="82"/>
      <c r="M1060" s="82"/>
      <c r="N1060" s="82"/>
      <c r="O1060" s="82"/>
      <c r="P1060" s="82"/>
      <c r="Q1060" s="82"/>
      <c r="R1060" s="82"/>
      <c r="S1060" s="82"/>
      <c r="T1060" s="82"/>
      <c r="U1060" s="82"/>
      <c r="V1060" s="82"/>
      <c r="W1060" s="82"/>
      <c r="X1060" s="82"/>
      <c r="Y1060" s="82"/>
      <c r="Z1060" s="82"/>
      <c r="AA1060" s="82"/>
      <c r="AB1060" s="82"/>
      <c r="AC1060" s="82"/>
      <c r="AD1060" s="82"/>
      <c r="AE1060" s="82"/>
      <c r="AF1060" s="82"/>
      <c r="AG1060" s="82"/>
      <c r="AH1060" s="82"/>
      <c r="AI1060" s="82"/>
      <c r="AJ1060" s="82"/>
      <c r="AK1060" s="82"/>
      <c r="AL1060" s="82"/>
      <c r="AM1060" s="82"/>
      <c r="AN1060" s="82">
        <f>IFERROR(__xludf.DUMMYFUNCTION("""COMPUTED_VALUE"""),0.0)</f>
        <v>0</v>
      </c>
      <c r="AO1060" s="82">
        <f>IFERROR(__xludf.DUMMYFUNCTION("""COMPUTED_VALUE"""),0.0)</f>
        <v>0</v>
      </c>
      <c r="AP1060" s="82">
        <f>IFERROR(__xludf.DUMMYFUNCTION("""COMPUTED_VALUE"""),0.0)</f>
        <v>0</v>
      </c>
      <c r="AQ1060" s="82">
        <f>IFERROR(__xludf.DUMMYFUNCTION("""COMPUTED_VALUE"""),0.0)</f>
        <v>0</v>
      </c>
      <c r="AR1060" s="82">
        <f>IFERROR(__xludf.DUMMYFUNCTION("""COMPUTED_VALUE"""),0.0)</f>
        <v>0</v>
      </c>
      <c r="AS1060" s="82"/>
      <c r="AT1060" s="82">
        <f>IFERROR(__xludf.DUMMYFUNCTION("""COMPUTED_VALUE"""),0.0)</f>
        <v>0</v>
      </c>
      <c r="AU1060" s="82"/>
      <c r="AV1060" s="82"/>
      <c r="AW1060" s="82" t="str">
        <f t="shared" si="1"/>
        <v/>
      </c>
      <c r="AX1060" s="83" t="str">
        <f t="array" ref="AX1060">IFERROR(DGET('SBV Import'!A:G,"SBV",{"RSC ID","Tier";B1060,A1060}))</f>
        <v/>
      </c>
      <c r="AY1060" s="82" t="str">
        <f t="shared" si="2"/>
        <v/>
      </c>
      <c r="AZ1060" s="82"/>
      <c r="BA1060" s="84" t="s">
        <v>152</v>
      </c>
      <c r="BB1060" s="84" t="str">
        <f>IFERROR(__xludf.DUMMYFUNCTION("iferror(if(A1060="""",,E1060&gt;=FILTER(Constants!$F$2:$F$10,Constants!$A$2:$A$10=A1060)))"),"")</f>
        <v/>
      </c>
    </row>
    <row r="1061">
      <c r="A1061" s="80"/>
      <c r="B1061" s="73"/>
      <c r="C1061" s="73"/>
      <c r="D1061" s="73"/>
      <c r="E1061" s="82"/>
      <c r="F1061" s="82"/>
      <c r="G1061" s="82"/>
      <c r="H1061" s="86"/>
      <c r="I1061" s="86"/>
      <c r="J1061" s="82"/>
      <c r="K1061" s="82"/>
      <c r="L1061" s="82"/>
      <c r="M1061" s="82"/>
      <c r="N1061" s="82"/>
      <c r="O1061" s="82"/>
      <c r="P1061" s="82"/>
      <c r="Q1061" s="82"/>
      <c r="R1061" s="82"/>
      <c r="S1061" s="82"/>
      <c r="T1061" s="82"/>
      <c r="U1061" s="82"/>
      <c r="V1061" s="82"/>
      <c r="W1061" s="82"/>
      <c r="X1061" s="82"/>
      <c r="Y1061" s="82"/>
      <c r="Z1061" s="82"/>
      <c r="AA1061" s="82"/>
      <c r="AB1061" s="82"/>
      <c r="AC1061" s="82"/>
      <c r="AD1061" s="82"/>
      <c r="AE1061" s="82"/>
      <c r="AF1061" s="82"/>
      <c r="AG1061" s="82"/>
      <c r="AH1061" s="82"/>
      <c r="AI1061" s="82"/>
      <c r="AJ1061" s="82"/>
      <c r="AK1061" s="82"/>
      <c r="AL1061" s="82"/>
      <c r="AM1061" s="82"/>
      <c r="AN1061" s="82">
        <f>IFERROR(__xludf.DUMMYFUNCTION("""COMPUTED_VALUE"""),0.0)</f>
        <v>0</v>
      </c>
      <c r="AO1061" s="82">
        <f>IFERROR(__xludf.DUMMYFUNCTION("""COMPUTED_VALUE"""),0.0)</f>
        <v>0</v>
      </c>
      <c r="AP1061" s="82">
        <f>IFERROR(__xludf.DUMMYFUNCTION("""COMPUTED_VALUE"""),0.0)</f>
        <v>0</v>
      </c>
      <c r="AQ1061" s="82">
        <f>IFERROR(__xludf.DUMMYFUNCTION("""COMPUTED_VALUE"""),0.0)</f>
        <v>0</v>
      </c>
      <c r="AR1061" s="82">
        <f>IFERROR(__xludf.DUMMYFUNCTION("""COMPUTED_VALUE"""),0.0)</f>
        <v>0</v>
      </c>
      <c r="AS1061" s="82"/>
      <c r="AT1061" s="82">
        <f>IFERROR(__xludf.DUMMYFUNCTION("""COMPUTED_VALUE"""),0.0)</f>
        <v>0</v>
      </c>
      <c r="AU1061" s="82"/>
      <c r="AV1061" s="82"/>
      <c r="AW1061" s="82" t="str">
        <f t="shared" si="1"/>
        <v/>
      </c>
      <c r="AX1061" s="83" t="str">
        <f t="array" ref="AX1061">IFERROR(DGET('SBV Import'!A:G,"SBV",{"RSC ID","Tier";B1061,A1061}))</f>
        <v/>
      </c>
      <c r="AY1061" s="82" t="str">
        <f t="shared" si="2"/>
        <v/>
      </c>
      <c r="AZ1061" s="82"/>
      <c r="BA1061" s="84" t="s">
        <v>152</v>
      </c>
      <c r="BB1061" s="84" t="str">
        <f>IFERROR(__xludf.DUMMYFUNCTION("iferror(if(A1061="""",,E1061&gt;=FILTER(Constants!$F$2:$F$10,Constants!$A$2:$A$10=A1061)))"),"")</f>
        <v/>
      </c>
    </row>
    <row r="1062">
      <c r="A1062" s="80"/>
      <c r="B1062" s="73"/>
      <c r="C1062" s="73"/>
      <c r="D1062" s="73"/>
      <c r="E1062" s="82"/>
      <c r="F1062" s="82"/>
      <c r="G1062" s="82"/>
      <c r="H1062" s="86"/>
      <c r="I1062" s="86"/>
      <c r="J1062" s="82"/>
      <c r="K1062" s="82"/>
      <c r="L1062" s="82"/>
      <c r="M1062" s="82"/>
      <c r="N1062" s="82"/>
      <c r="O1062" s="82"/>
      <c r="P1062" s="82"/>
      <c r="Q1062" s="82"/>
      <c r="R1062" s="82"/>
      <c r="S1062" s="82"/>
      <c r="T1062" s="82"/>
      <c r="U1062" s="82"/>
      <c r="V1062" s="82"/>
      <c r="W1062" s="82"/>
      <c r="X1062" s="82"/>
      <c r="Y1062" s="82"/>
      <c r="Z1062" s="82"/>
      <c r="AA1062" s="82"/>
      <c r="AB1062" s="82"/>
      <c r="AC1062" s="82"/>
      <c r="AD1062" s="82"/>
      <c r="AE1062" s="82"/>
      <c r="AF1062" s="82"/>
      <c r="AG1062" s="82"/>
      <c r="AH1062" s="82"/>
      <c r="AI1062" s="82"/>
      <c r="AJ1062" s="82"/>
      <c r="AK1062" s="82"/>
      <c r="AL1062" s="82"/>
      <c r="AM1062" s="82"/>
      <c r="AN1062" s="82">
        <f>IFERROR(__xludf.DUMMYFUNCTION("""COMPUTED_VALUE"""),0.0)</f>
        <v>0</v>
      </c>
      <c r="AO1062" s="82">
        <f>IFERROR(__xludf.DUMMYFUNCTION("""COMPUTED_VALUE"""),0.0)</f>
        <v>0</v>
      </c>
      <c r="AP1062" s="82">
        <f>IFERROR(__xludf.DUMMYFUNCTION("""COMPUTED_VALUE"""),0.0)</f>
        <v>0</v>
      </c>
      <c r="AQ1062" s="82">
        <f>IFERROR(__xludf.DUMMYFUNCTION("""COMPUTED_VALUE"""),0.0)</f>
        <v>0</v>
      </c>
      <c r="AR1062" s="82">
        <f>IFERROR(__xludf.DUMMYFUNCTION("""COMPUTED_VALUE"""),0.0)</f>
        <v>0</v>
      </c>
      <c r="AS1062" s="82"/>
      <c r="AT1062" s="82">
        <f>IFERROR(__xludf.DUMMYFUNCTION("""COMPUTED_VALUE"""),0.0)</f>
        <v>0</v>
      </c>
      <c r="AU1062" s="82"/>
      <c r="AV1062" s="82"/>
      <c r="AW1062" s="82" t="str">
        <f t="shared" si="1"/>
        <v/>
      </c>
      <c r="AX1062" s="83" t="str">
        <f t="array" ref="AX1062">IFERROR(DGET('SBV Import'!A:G,"SBV",{"RSC ID","Tier";B1062,A1062}))</f>
        <v/>
      </c>
      <c r="AY1062" s="82" t="str">
        <f t="shared" si="2"/>
        <v/>
      </c>
      <c r="AZ1062" s="82"/>
      <c r="BA1062" s="84" t="s">
        <v>152</v>
      </c>
      <c r="BB1062" s="84" t="str">
        <f>IFERROR(__xludf.DUMMYFUNCTION("iferror(if(A1062="""",,E1062&gt;=FILTER(Constants!$F$2:$F$10,Constants!$A$2:$A$10=A1062)))"),"")</f>
        <v/>
      </c>
    </row>
    <row r="1063">
      <c r="A1063" s="80"/>
      <c r="B1063" s="73"/>
      <c r="C1063" s="73"/>
      <c r="D1063" s="73"/>
      <c r="E1063" s="82"/>
      <c r="F1063" s="82"/>
      <c r="G1063" s="82"/>
      <c r="H1063" s="86"/>
      <c r="I1063" s="86"/>
      <c r="J1063" s="82"/>
      <c r="K1063" s="82"/>
      <c r="L1063" s="82"/>
      <c r="M1063" s="82"/>
      <c r="N1063" s="82"/>
      <c r="O1063" s="82"/>
      <c r="P1063" s="82"/>
      <c r="Q1063" s="82"/>
      <c r="R1063" s="82"/>
      <c r="S1063" s="82"/>
      <c r="T1063" s="82"/>
      <c r="U1063" s="82"/>
      <c r="V1063" s="82"/>
      <c r="W1063" s="82"/>
      <c r="X1063" s="82"/>
      <c r="Y1063" s="82"/>
      <c r="Z1063" s="82"/>
      <c r="AA1063" s="82"/>
      <c r="AB1063" s="82"/>
      <c r="AC1063" s="82"/>
      <c r="AD1063" s="82"/>
      <c r="AE1063" s="82"/>
      <c r="AF1063" s="82"/>
      <c r="AG1063" s="82"/>
      <c r="AH1063" s="82"/>
      <c r="AI1063" s="82"/>
      <c r="AJ1063" s="82"/>
      <c r="AK1063" s="82"/>
      <c r="AL1063" s="82"/>
      <c r="AM1063" s="82"/>
      <c r="AN1063" s="82">
        <f>IFERROR(__xludf.DUMMYFUNCTION("""COMPUTED_VALUE"""),0.0)</f>
        <v>0</v>
      </c>
      <c r="AO1063" s="82">
        <f>IFERROR(__xludf.DUMMYFUNCTION("""COMPUTED_VALUE"""),0.0)</f>
        <v>0</v>
      </c>
      <c r="AP1063" s="82">
        <f>IFERROR(__xludf.DUMMYFUNCTION("""COMPUTED_VALUE"""),0.0)</f>
        <v>0</v>
      </c>
      <c r="AQ1063" s="82">
        <f>IFERROR(__xludf.DUMMYFUNCTION("""COMPUTED_VALUE"""),0.0)</f>
        <v>0</v>
      </c>
      <c r="AR1063" s="82">
        <f>IFERROR(__xludf.DUMMYFUNCTION("""COMPUTED_VALUE"""),0.0)</f>
        <v>0</v>
      </c>
      <c r="AS1063" s="82"/>
      <c r="AT1063" s="82">
        <f>IFERROR(__xludf.DUMMYFUNCTION("""COMPUTED_VALUE"""),0.0)</f>
        <v>0</v>
      </c>
      <c r="AU1063" s="82"/>
      <c r="AV1063" s="82"/>
      <c r="AW1063" s="82" t="str">
        <f t="shared" si="1"/>
        <v/>
      </c>
      <c r="AX1063" s="83" t="str">
        <f t="array" ref="AX1063">IFERROR(DGET('SBV Import'!A:G,"SBV",{"RSC ID","Tier";B1063,A1063}))</f>
        <v/>
      </c>
      <c r="AY1063" s="82" t="str">
        <f t="shared" si="2"/>
        <v/>
      </c>
      <c r="AZ1063" s="82"/>
      <c r="BA1063" s="84" t="s">
        <v>152</v>
      </c>
      <c r="BB1063" s="84" t="str">
        <f>IFERROR(__xludf.DUMMYFUNCTION("iferror(if(A1063="""",,E1063&gt;=FILTER(Constants!$F$2:$F$10,Constants!$A$2:$A$10=A1063)))"),"")</f>
        <v/>
      </c>
    </row>
    <row r="1064">
      <c r="A1064" s="80"/>
      <c r="B1064" s="73"/>
      <c r="C1064" s="73"/>
      <c r="D1064" s="73"/>
      <c r="E1064" s="82"/>
      <c r="F1064" s="82"/>
      <c r="G1064" s="82"/>
      <c r="H1064" s="86"/>
      <c r="I1064" s="86"/>
      <c r="J1064" s="82"/>
      <c r="K1064" s="82"/>
      <c r="L1064" s="82"/>
      <c r="M1064" s="82"/>
      <c r="N1064" s="82"/>
      <c r="O1064" s="82"/>
      <c r="P1064" s="82"/>
      <c r="Q1064" s="82"/>
      <c r="R1064" s="82"/>
      <c r="S1064" s="82"/>
      <c r="T1064" s="82"/>
      <c r="U1064" s="82"/>
      <c r="V1064" s="82"/>
      <c r="W1064" s="82"/>
      <c r="X1064" s="82"/>
      <c r="Y1064" s="82"/>
      <c r="Z1064" s="82"/>
      <c r="AA1064" s="82"/>
      <c r="AB1064" s="82"/>
      <c r="AC1064" s="82"/>
      <c r="AD1064" s="82"/>
      <c r="AE1064" s="82"/>
      <c r="AF1064" s="82"/>
      <c r="AG1064" s="82"/>
      <c r="AH1064" s="82"/>
      <c r="AI1064" s="82"/>
      <c r="AJ1064" s="82"/>
      <c r="AK1064" s="82"/>
      <c r="AL1064" s="82"/>
      <c r="AM1064" s="82"/>
      <c r="AN1064" s="82">
        <f>IFERROR(__xludf.DUMMYFUNCTION("""COMPUTED_VALUE"""),0.0)</f>
        <v>0</v>
      </c>
      <c r="AO1064" s="82">
        <f>IFERROR(__xludf.DUMMYFUNCTION("""COMPUTED_VALUE"""),0.0)</f>
        <v>0</v>
      </c>
      <c r="AP1064" s="82">
        <f>IFERROR(__xludf.DUMMYFUNCTION("""COMPUTED_VALUE"""),0.0)</f>
        <v>0</v>
      </c>
      <c r="AQ1064" s="82">
        <f>IFERROR(__xludf.DUMMYFUNCTION("""COMPUTED_VALUE"""),0.0)</f>
        <v>0</v>
      </c>
      <c r="AR1064" s="82">
        <f>IFERROR(__xludf.DUMMYFUNCTION("""COMPUTED_VALUE"""),0.0)</f>
        <v>0</v>
      </c>
      <c r="AS1064" s="82"/>
      <c r="AT1064" s="82">
        <f>IFERROR(__xludf.DUMMYFUNCTION("""COMPUTED_VALUE"""),0.0)</f>
        <v>0</v>
      </c>
      <c r="AU1064" s="82"/>
      <c r="AV1064" s="82"/>
      <c r="AW1064" s="82" t="str">
        <f t="shared" si="1"/>
        <v/>
      </c>
      <c r="AX1064" s="83" t="str">
        <f t="array" ref="AX1064">IFERROR(DGET('SBV Import'!A:G,"SBV",{"RSC ID","Tier";B1064,A1064}))</f>
        <v/>
      </c>
      <c r="AY1064" s="82" t="str">
        <f t="shared" si="2"/>
        <v/>
      </c>
      <c r="AZ1064" s="82"/>
      <c r="BA1064" s="84" t="s">
        <v>152</v>
      </c>
      <c r="BB1064" s="84" t="str">
        <f>IFERROR(__xludf.DUMMYFUNCTION("iferror(if(A1064="""",,E1064&gt;=FILTER(Constants!$F$2:$F$10,Constants!$A$2:$A$10=A1064)))"),"")</f>
        <v/>
      </c>
    </row>
    <row r="1065">
      <c r="A1065" s="80"/>
      <c r="B1065" s="73"/>
      <c r="C1065" s="73"/>
      <c r="D1065" s="73"/>
      <c r="E1065" s="82"/>
      <c r="F1065" s="82"/>
      <c r="G1065" s="82"/>
      <c r="H1065" s="86"/>
      <c r="I1065" s="86"/>
      <c r="J1065" s="82"/>
      <c r="K1065" s="82"/>
      <c r="L1065" s="82"/>
      <c r="M1065" s="82"/>
      <c r="N1065" s="82"/>
      <c r="O1065" s="82"/>
      <c r="P1065" s="82"/>
      <c r="Q1065" s="82"/>
      <c r="R1065" s="82"/>
      <c r="S1065" s="82"/>
      <c r="T1065" s="82"/>
      <c r="U1065" s="82"/>
      <c r="V1065" s="82"/>
      <c r="W1065" s="82"/>
      <c r="X1065" s="82"/>
      <c r="Y1065" s="82"/>
      <c r="Z1065" s="82"/>
      <c r="AA1065" s="82"/>
      <c r="AB1065" s="82"/>
      <c r="AC1065" s="82"/>
      <c r="AD1065" s="82"/>
      <c r="AE1065" s="82"/>
      <c r="AF1065" s="82"/>
      <c r="AG1065" s="82"/>
      <c r="AH1065" s="82"/>
      <c r="AI1065" s="82"/>
      <c r="AJ1065" s="82"/>
      <c r="AK1065" s="82"/>
      <c r="AL1065" s="82"/>
      <c r="AM1065" s="82"/>
      <c r="AN1065" s="82">
        <f>IFERROR(__xludf.DUMMYFUNCTION("""COMPUTED_VALUE"""),0.0)</f>
        <v>0</v>
      </c>
      <c r="AO1065" s="82">
        <f>IFERROR(__xludf.DUMMYFUNCTION("""COMPUTED_VALUE"""),0.0)</f>
        <v>0</v>
      </c>
      <c r="AP1065" s="82">
        <f>IFERROR(__xludf.DUMMYFUNCTION("""COMPUTED_VALUE"""),0.0)</f>
        <v>0</v>
      </c>
      <c r="AQ1065" s="82">
        <f>IFERROR(__xludf.DUMMYFUNCTION("""COMPUTED_VALUE"""),0.0)</f>
        <v>0</v>
      </c>
      <c r="AR1065" s="82">
        <f>IFERROR(__xludf.DUMMYFUNCTION("""COMPUTED_VALUE"""),0.0)</f>
        <v>0</v>
      </c>
      <c r="AS1065" s="82"/>
      <c r="AT1065" s="82">
        <f>IFERROR(__xludf.DUMMYFUNCTION("""COMPUTED_VALUE"""),0.0)</f>
        <v>0</v>
      </c>
      <c r="AU1065" s="82"/>
      <c r="AV1065" s="82"/>
      <c r="AW1065" s="82" t="str">
        <f t="shared" si="1"/>
        <v/>
      </c>
      <c r="AX1065" s="83" t="str">
        <f t="array" ref="AX1065">IFERROR(DGET('SBV Import'!A:G,"SBV",{"RSC ID","Tier";B1065,A1065}))</f>
        <v/>
      </c>
      <c r="AY1065" s="82" t="str">
        <f t="shared" si="2"/>
        <v/>
      </c>
      <c r="AZ1065" s="82"/>
      <c r="BA1065" s="84" t="s">
        <v>152</v>
      </c>
      <c r="BB1065" s="84" t="str">
        <f>IFERROR(__xludf.DUMMYFUNCTION("iferror(if(A1065="""",,E1065&gt;=FILTER(Constants!$F$2:$F$10,Constants!$A$2:$A$10=A1065)))"),"")</f>
        <v/>
      </c>
    </row>
    <row r="1066">
      <c r="A1066" s="80"/>
      <c r="B1066" s="73"/>
      <c r="C1066" s="73"/>
      <c r="D1066" s="73"/>
      <c r="E1066" s="82"/>
      <c r="F1066" s="82"/>
      <c r="G1066" s="82"/>
      <c r="H1066" s="86"/>
      <c r="I1066" s="86"/>
      <c r="J1066" s="82"/>
      <c r="K1066" s="82"/>
      <c r="L1066" s="82"/>
      <c r="M1066" s="82"/>
      <c r="N1066" s="82"/>
      <c r="O1066" s="82"/>
      <c r="P1066" s="82"/>
      <c r="Q1066" s="82"/>
      <c r="R1066" s="82"/>
      <c r="S1066" s="82"/>
      <c r="T1066" s="82"/>
      <c r="U1066" s="82"/>
      <c r="V1066" s="82"/>
      <c r="W1066" s="82"/>
      <c r="X1066" s="82"/>
      <c r="Y1066" s="82"/>
      <c r="Z1066" s="82"/>
      <c r="AA1066" s="82"/>
      <c r="AB1066" s="82"/>
      <c r="AC1066" s="82"/>
      <c r="AD1066" s="82"/>
      <c r="AE1066" s="82"/>
      <c r="AF1066" s="82"/>
      <c r="AG1066" s="82"/>
      <c r="AH1066" s="82"/>
      <c r="AI1066" s="82"/>
      <c r="AJ1066" s="82"/>
      <c r="AK1066" s="82"/>
      <c r="AL1066" s="82"/>
      <c r="AM1066" s="82"/>
      <c r="AN1066" s="82">
        <f>IFERROR(__xludf.DUMMYFUNCTION("""COMPUTED_VALUE"""),0.0)</f>
        <v>0</v>
      </c>
      <c r="AO1066" s="82">
        <f>IFERROR(__xludf.DUMMYFUNCTION("""COMPUTED_VALUE"""),0.0)</f>
        <v>0</v>
      </c>
      <c r="AP1066" s="82">
        <f>IFERROR(__xludf.DUMMYFUNCTION("""COMPUTED_VALUE"""),0.0)</f>
        <v>0</v>
      </c>
      <c r="AQ1066" s="82">
        <f>IFERROR(__xludf.DUMMYFUNCTION("""COMPUTED_VALUE"""),0.0)</f>
        <v>0</v>
      </c>
      <c r="AR1066" s="82">
        <f>IFERROR(__xludf.DUMMYFUNCTION("""COMPUTED_VALUE"""),0.0)</f>
        <v>0</v>
      </c>
      <c r="AS1066" s="82"/>
      <c r="AT1066" s="82">
        <f>IFERROR(__xludf.DUMMYFUNCTION("""COMPUTED_VALUE"""),0.0)</f>
        <v>0</v>
      </c>
      <c r="AU1066" s="82"/>
      <c r="AV1066" s="82"/>
      <c r="AW1066" s="82" t="str">
        <f t="shared" si="1"/>
        <v/>
      </c>
      <c r="AX1066" s="83" t="str">
        <f t="array" ref="AX1066">IFERROR(DGET('SBV Import'!A:G,"SBV",{"RSC ID","Tier";B1066,A1066}))</f>
        <v/>
      </c>
      <c r="AY1066" s="82" t="str">
        <f t="shared" si="2"/>
        <v/>
      </c>
      <c r="AZ1066" s="82"/>
      <c r="BA1066" s="84" t="s">
        <v>152</v>
      </c>
      <c r="BB1066" s="84" t="str">
        <f>IFERROR(__xludf.DUMMYFUNCTION("iferror(if(A1066="""",,E1066&gt;=FILTER(Constants!$F$2:$F$10,Constants!$A$2:$A$10=A1066)))"),"")</f>
        <v/>
      </c>
    </row>
    <row r="1067">
      <c r="A1067" s="80"/>
      <c r="B1067" s="73"/>
      <c r="C1067" s="73"/>
      <c r="D1067" s="73"/>
      <c r="E1067" s="82"/>
      <c r="F1067" s="82"/>
      <c r="G1067" s="82"/>
      <c r="H1067" s="86"/>
      <c r="I1067" s="86"/>
      <c r="J1067" s="82"/>
      <c r="K1067" s="82"/>
      <c r="L1067" s="82"/>
      <c r="M1067" s="82"/>
      <c r="N1067" s="82"/>
      <c r="O1067" s="82"/>
      <c r="P1067" s="82"/>
      <c r="Q1067" s="82"/>
      <c r="R1067" s="82"/>
      <c r="S1067" s="82"/>
      <c r="T1067" s="82"/>
      <c r="U1067" s="82"/>
      <c r="V1067" s="82"/>
      <c r="W1067" s="82"/>
      <c r="X1067" s="82"/>
      <c r="Y1067" s="82"/>
      <c r="Z1067" s="82"/>
      <c r="AA1067" s="82"/>
      <c r="AB1067" s="82"/>
      <c r="AC1067" s="82"/>
      <c r="AD1067" s="82"/>
      <c r="AE1067" s="82"/>
      <c r="AF1067" s="82"/>
      <c r="AG1067" s="82"/>
      <c r="AH1067" s="82"/>
      <c r="AI1067" s="82"/>
      <c r="AJ1067" s="82"/>
      <c r="AK1067" s="82"/>
      <c r="AL1067" s="82"/>
      <c r="AM1067" s="82"/>
      <c r="AN1067" s="82">
        <f>IFERROR(__xludf.DUMMYFUNCTION("""COMPUTED_VALUE"""),0.0)</f>
        <v>0</v>
      </c>
      <c r="AO1067" s="82">
        <f>IFERROR(__xludf.DUMMYFUNCTION("""COMPUTED_VALUE"""),0.0)</f>
        <v>0</v>
      </c>
      <c r="AP1067" s="82">
        <f>IFERROR(__xludf.DUMMYFUNCTION("""COMPUTED_VALUE"""),0.0)</f>
        <v>0</v>
      </c>
      <c r="AQ1067" s="82">
        <f>IFERROR(__xludf.DUMMYFUNCTION("""COMPUTED_VALUE"""),0.0)</f>
        <v>0</v>
      </c>
      <c r="AR1067" s="82">
        <f>IFERROR(__xludf.DUMMYFUNCTION("""COMPUTED_VALUE"""),0.0)</f>
        <v>0</v>
      </c>
      <c r="AS1067" s="82"/>
      <c r="AT1067" s="82">
        <f>IFERROR(__xludf.DUMMYFUNCTION("""COMPUTED_VALUE"""),0.0)</f>
        <v>0</v>
      </c>
      <c r="AU1067" s="82"/>
      <c r="AV1067" s="82"/>
      <c r="AW1067" s="82" t="str">
        <f t="shared" si="1"/>
        <v/>
      </c>
      <c r="AX1067" s="83" t="str">
        <f t="array" ref="AX1067">IFERROR(DGET('SBV Import'!A:G,"SBV",{"RSC ID","Tier";B1067,A1067}))</f>
        <v/>
      </c>
      <c r="AY1067" s="82" t="str">
        <f t="shared" si="2"/>
        <v/>
      </c>
      <c r="AZ1067" s="82"/>
      <c r="BA1067" s="84" t="s">
        <v>152</v>
      </c>
      <c r="BB1067" s="84" t="str">
        <f>IFERROR(__xludf.DUMMYFUNCTION("iferror(if(A1067="""",,E1067&gt;=FILTER(Constants!$F$2:$F$10,Constants!$A$2:$A$10=A1067)))"),"")</f>
        <v/>
      </c>
    </row>
    <row r="1068">
      <c r="A1068" s="80"/>
      <c r="B1068" s="73"/>
      <c r="C1068" s="73"/>
      <c r="D1068" s="73"/>
      <c r="E1068" s="82"/>
      <c r="F1068" s="82"/>
      <c r="G1068" s="82"/>
      <c r="H1068" s="86"/>
      <c r="I1068" s="86"/>
      <c r="J1068" s="82"/>
      <c r="K1068" s="82"/>
      <c r="L1068" s="82"/>
      <c r="M1068" s="82"/>
      <c r="N1068" s="82"/>
      <c r="O1068" s="82"/>
      <c r="P1068" s="82"/>
      <c r="Q1068" s="82"/>
      <c r="R1068" s="82"/>
      <c r="S1068" s="82"/>
      <c r="T1068" s="82"/>
      <c r="U1068" s="82"/>
      <c r="V1068" s="82"/>
      <c r="W1068" s="82"/>
      <c r="X1068" s="82"/>
      <c r="Y1068" s="82"/>
      <c r="Z1068" s="82"/>
      <c r="AA1068" s="82"/>
      <c r="AB1068" s="82"/>
      <c r="AC1068" s="82"/>
      <c r="AD1068" s="82"/>
      <c r="AE1068" s="82"/>
      <c r="AF1068" s="82"/>
      <c r="AG1068" s="82"/>
      <c r="AH1068" s="82"/>
      <c r="AI1068" s="82"/>
      <c r="AJ1068" s="82"/>
      <c r="AK1068" s="82"/>
      <c r="AL1068" s="82"/>
      <c r="AM1068" s="82"/>
      <c r="AN1068" s="82">
        <f>IFERROR(__xludf.DUMMYFUNCTION("""COMPUTED_VALUE"""),0.0)</f>
        <v>0</v>
      </c>
      <c r="AO1068" s="82">
        <f>IFERROR(__xludf.DUMMYFUNCTION("""COMPUTED_VALUE"""),0.0)</f>
        <v>0</v>
      </c>
      <c r="AP1068" s="82">
        <f>IFERROR(__xludf.DUMMYFUNCTION("""COMPUTED_VALUE"""),0.0)</f>
        <v>0</v>
      </c>
      <c r="AQ1068" s="82">
        <f>IFERROR(__xludf.DUMMYFUNCTION("""COMPUTED_VALUE"""),0.0)</f>
        <v>0</v>
      </c>
      <c r="AR1068" s="82">
        <f>IFERROR(__xludf.DUMMYFUNCTION("""COMPUTED_VALUE"""),0.0)</f>
        <v>0</v>
      </c>
      <c r="AS1068" s="82"/>
      <c r="AT1068" s="82">
        <f>IFERROR(__xludf.DUMMYFUNCTION("""COMPUTED_VALUE"""),0.0)</f>
        <v>0</v>
      </c>
      <c r="AU1068" s="82"/>
      <c r="AV1068" s="82"/>
      <c r="AW1068" s="82" t="str">
        <f t="shared" si="1"/>
        <v/>
      </c>
      <c r="AX1068" s="83" t="str">
        <f t="array" ref="AX1068">IFERROR(DGET('SBV Import'!A:G,"SBV",{"RSC ID","Tier";B1068,A1068}))</f>
        <v/>
      </c>
      <c r="AY1068" s="82" t="str">
        <f t="shared" si="2"/>
        <v/>
      </c>
      <c r="AZ1068" s="82"/>
      <c r="BA1068" s="84" t="s">
        <v>152</v>
      </c>
      <c r="BB1068" s="84" t="str">
        <f>IFERROR(__xludf.DUMMYFUNCTION("iferror(if(A1068="""",,E1068&gt;=FILTER(Constants!$F$2:$F$10,Constants!$A$2:$A$10=A1068)))"),"")</f>
        <v/>
      </c>
    </row>
    <row r="1069">
      <c r="A1069" s="80"/>
      <c r="B1069" s="73"/>
      <c r="C1069" s="73"/>
      <c r="D1069" s="73"/>
      <c r="E1069" s="82"/>
      <c r="F1069" s="82"/>
      <c r="G1069" s="82"/>
      <c r="H1069" s="86"/>
      <c r="I1069" s="86"/>
      <c r="J1069" s="82"/>
      <c r="K1069" s="82"/>
      <c r="L1069" s="82"/>
      <c r="M1069" s="82"/>
      <c r="N1069" s="82"/>
      <c r="O1069" s="82"/>
      <c r="P1069" s="82"/>
      <c r="Q1069" s="82"/>
      <c r="R1069" s="82"/>
      <c r="S1069" s="82"/>
      <c r="T1069" s="82"/>
      <c r="U1069" s="82"/>
      <c r="V1069" s="82"/>
      <c r="W1069" s="82"/>
      <c r="X1069" s="82"/>
      <c r="Y1069" s="82"/>
      <c r="Z1069" s="82"/>
      <c r="AA1069" s="82"/>
      <c r="AB1069" s="82"/>
      <c r="AC1069" s="82"/>
      <c r="AD1069" s="82"/>
      <c r="AE1069" s="82"/>
      <c r="AF1069" s="82"/>
      <c r="AG1069" s="82"/>
      <c r="AH1069" s="82"/>
      <c r="AI1069" s="82"/>
      <c r="AJ1069" s="82"/>
      <c r="AK1069" s="82"/>
      <c r="AL1069" s="82"/>
      <c r="AM1069" s="82"/>
      <c r="AN1069" s="82">
        <f>IFERROR(__xludf.DUMMYFUNCTION("""COMPUTED_VALUE"""),0.0)</f>
        <v>0</v>
      </c>
      <c r="AO1069" s="82">
        <f>IFERROR(__xludf.DUMMYFUNCTION("""COMPUTED_VALUE"""),0.0)</f>
        <v>0</v>
      </c>
      <c r="AP1069" s="82">
        <f>IFERROR(__xludf.DUMMYFUNCTION("""COMPUTED_VALUE"""),0.0)</f>
        <v>0</v>
      </c>
      <c r="AQ1069" s="82">
        <f>IFERROR(__xludf.DUMMYFUNCTION("""COMPUTED_VALUE"""),0.0)</f>
        <v>0</v>
      </c>
      <c r="AR1069" s="82">
        <f>IFERROR(__xludf.DUMMYFUNCTION("""COMPUTED_VALUE"""),0.0)</f>
        <v>0</v>
      </c>
      <c r="AS1069" s="82"/>
      <c r="AT1069" s="82">
        <f>IFERROR(__xludf.DUMMYFUNCTION("""COMPUTED_VALUE"""),0.0)</f>
        <v>0</v>
      </c>
      <c r="AU1069" s="82"/>
      <c r="AV1069" s="82"/>
      <c r="AW1069" s="82" t="str">
        <f t="shared" si="1"/>
        <v/>
      </c>
      <c r="AX1069" s="83" t="str">
        <f t="array" ref="AX1069">IFERROR(DGET('SBV Import'!A:G,"SBV",{"RSC ID","Tier";B1069,A1069}))</f>
        <v/>
      </c>
      <c r="AY1069" s="82" t="str">
        <f t="shared" si="2"/>
        <v/>
      </c>
      <c r="AZ1069" s="82"/>
      <c r="BA1069" s="84" t="s">
        <v>152</v>
      </c>
      <c r="BB1069" s="84" t="str">
        <f>IFERROR(__xludf.DUMMYFUNCTION("iferror(if(A1069="""",,E1069&gt;=FILTER(Constants!$F$2:$F$10,Constants!$A$2:$A$10=A1069)))"),"")</f>
        <v/>
      </c>
    </row>
    <row r="1070">
      <c r="A1070" s="80"/>
      <c r="B1070" s="73"/>
      <c r="C1070" s="73"/>
      <c r="D1070" s="73"/>
      <c r="E1070" s="82"/>
      <c r="F1070" s="82"/>
      <c r="G1070" s="82"/>
      <c r="H1070" s="86"/>
      <c r="I1070" s="86"/>
      <c r="J1070" s="82"/>
      <c r="K1070" s="82"/>
      <c r="L1070" s="82"/>
      <c r="M1070" s="82"/>
      <c r="N1070" s="82"/>
      <c r="O1070" s="82"/>
      <c r="P1070" s="82"/>
      <c r="Q1070" s="82"/>
      <c r="R1070" s="82"/>
      <c r="S1070" s="82"/>
      <c r="T1070" s="82"/>
      <c r="U1070" s="82"/>
      <c r="V1070" s="82"/>
      <c r="W1070" s="82"/>
      <c r="X1070" s="82"/>
      <c r="Y1070" s="82"/>
      <c r="Z1070" s="82"/>
      <c r="AA1070" s="82"/>
      <c r="AB1070" s="82"/>
      <c r="AC1070" s="82"/>
      <c r="AD1070" s="82"/>
      <c r="AE1070" s="82"/>
      <c r="AF1070" s="82"/>
      <c r="AG1070" s="82"/>
      <c r="AH1070" s="82"/>
      <c r="AI1070" s="82"/>
      <c r="AJ1070" s="82"/>
      <c r="AK1070" s="82"/>
      <c r="AL1070" s="82"/>
      <c r="AM1070" s="82"/>
      <c r="AN1070" s="82">
        <f>IFERROR(__xludf.DUMMYFUNCTION("""COMPUTED_VALUE"""),0.0)</f>
        <v>0</v>
      </c>
      <c r="AO1070" s="82">
        <f>IFERROR(__xludf.DUMMYFUNCTION("""COMPUTED_VALUE"""),0.0)</f>
        <v>0</v>
      </c>
      <c r="AP1070" s="82">
        <f>IFERROR(__xludf.DUMMYFUNCTION("""COMPUTED_VALUE"""),0.0)</f>
        <v>0</v>
      </c>
      <c r="AQ1070" s="82">
        <f>IFERROR(__xludf.DUMMYFUNCTION("""COMPUTED_VALUE"""),0.0)</f>
        <v>0</v>
      </c>
      <c r="AR1070" s="82">
        <f>IFERROR(__xludf.DUMMYFUNCTION("""COMPUTED_VALUE"""),0.0)</f>
        <v>0</v>
      </c>
      <c r="AS1070" s="82"/>
      <c r="AT1070" s="82">
        <f>IFERROR(__xludf.DUMMYFUNCTION("""COMPUTED_VALUE"""),0.0)</f>
        <v>0</v>
      </c>
      <c r="AU1070" s="82"/>
      <c r="AV1070" s="82"/>
      <c r="AW1070" s="82" t="str">
        <f t="shared" si="1"/>
        <v/>
      </c>
      <c r="AX1070" s="83" t="str">
        <f t="array" ref="AX1070">IFERROR(DGET('SBV Import'!A:G,"SBV",{"RSC ID","Tier";B1070,A1070}))</f>
        <v/>
      </c>
      <c r="AY1070" s="82" t="str">
        <f t="shared" si="2"/>
        <v/>
      </c>
      <c r="AZ1070" s="82"/>
      <c r="BA1070" s="84" t="s">
        <v>152</v>
      </c>
      <c r="BB1070" s="84" t="str">
        <f>IFERROR(__xludf.DUMMYFUNCTION("iferror(if(A1070="""",,E1070&gt;=FILTER(Constants!$F$2:$F$10,Constants!$A$2:$A$10=A1070)))"),"")</f>
        <v/>
      </c>
    </row>
    <row r="1071">
      <c r="A1071" s="80"/>
      <c r="B1071" s="73"/>
      <c r="C1071" s="73"/>
      <c r="D1071" s="73"/>
      <c r="E1071" s="82"/>
      <c r="F1071" s="82"/>
      <c r="G1071" s="82"/>
      <c r="H1071" s="86"/>
      <c r="I1071" s="86"/>
      <c r="J1071" s="82"/>
      <c r="K1071" s="82"/>
      <c r="L1071" s="82"/>
      <c r="M1071" s="82"/>
      <c r="N1071" s="82"/>
      <c r="O1071" s="82"/>
      <c r="P1071" s="82"/>
      <c r="Q1071" s="82"/>
      <c r="R1071" s="82"/>
      <c r="S1071" s="82"/>
      <c r="T1071" s="82"/>
      <c r="U1071" s="82"/>
      <c r="V1071" s="82"/>
      <c r="W1071" s="82"/>
      <c r="X1071" s="82"/>
      <c r="Y1071" s="82"/>
      <c r="Z1071" s="82"/>
      <c r="AA1071" s="82"/>
      <c r="AB1071" s="82"/>
      <c r="AC1071" s="82"/>
      <c r="AD1071" s="82"/>
      <c r="AE1071" s="82"/>
      <c r="AF1071" s="82"/>
      <c r="AG1071" s="82"/>
      <c r="AH1071" s="82"/>
      <c r="AI1071" s="82"/>
      <c r="AJ1071" s="82"/>
      <c r="AK1071" s="82"/>
      <c r="AL1071" s="82"/>
      <c r="AM1071" s="82"/>
      <c r="AN1071" s="82">
        <f>IFERROR(__xludf.DUMMYFUNCTION("""COMPUTED_VALUE"""),0.0)</f>
        <v>0</v>
      </c>
      <c r="AO1071" s="82">
        <f>IFERROR(__xludf.DUMMYFUNCTION("""COMPUTED_VALUE"""),0.0)</f>
        <v>0</v>
      </c>
      <c r="AP1071" s="82">
        <f>IFERROR(__xludf.DUMMYFUNCTION("""COMPUTED_VALUE"""),0.0)</f>
        <v>0</v>
      </c>
      <c r="AQ1071" s="82">
        <f>IFERROR(__xludf.DUMMYFUNCTION("""COMPUTED_VALUE"""),0.0)</f>
        <v>0</v>
      </c>
      <c r="AR1071" s="82">
        <f>IFERROR(__xludf.DUMMYFUNCTION("""COMPUTED_VALUE"""),0.0)</f>
        <v>0</v>
      </c>
      <c r="AS1071" s="82"/>
      <c r="AT1071" s="82">
        <f>IFERROR(__xludf.DUMMYFUNCTION("""COMPUTED_VALUE"""),0.0)</f>
        <v>0</v>
      </c>
      <c r="AU1071" s="82"/>
      <c r="AV1071" s="82"/>
      <c r="AW1071" s="82" t="str">
        <f t="shared" si="1"/>
        <v/>
      </c>
      <c r="AX1071" s="83" t="str">
        <f t="array" ref="AX1071">IFERROR(DGET('SBV Import'!A:G,"SBV",{"RSC ID","Tier";B1071,A1071}))</f>
        <v/>
      </c>
      <c r="AY1071" s="82" t="str">
        <f t="shared" si="2"/>
        <v/>
      </c>
      <c r="AZ1071" s="82"/>
      <c r="BA1071" s="84" t="s">
        <v>152</v>
      </c>
      <c r="BB1071" s="84" t="str">
        <f>IFERROR(__xludf.DUMMYFUNCTION("iferror(if(A1071="""",,E1071&gt;=FILTER(Constants!$F$2:$F$10,Constants!$A$2:$A$10=A1071)))"),"")</f>
        <v/>
      </c>
    </row>
    <row r="1072">
      <c r="A1072" s="89"/>
      <c r="B1072" s="87"/>
      <c r="C1072" s="73"/>
      <c r="D1072" s="73"/>
      <c r="E1072" s="82"/>
      <c r="F1072" s="82"/>
      <c r="G1072" s="86"/>
      <c r="H1072" s="86"/>
      <c r="I1072" s="86"/>
      <c r="J1072" s="82"/>
      <c r="K1072" s="82"/>
      <c r="L1072" s="82"/>
      <c r="M1072" s="82"/>
      <c r="N1072" s="82"/>
      <c r="O1072" s="82"/>
      <c r="P1072" s="82"/>
      <c r="Q1072" s="82"/>
      <c r="R1072" s="82"/>
      <c r="S1072" s="82"/>
      <c r="T1072" s="82"/>
      <c r="U1072" s="82"/>
      <c r="V1072" s="82"/>
      <c r="W1072" s="82"/>
      <c r="X1072" s="82"/>
      <c r="Y1072" s="82"/>
      <c r="Z1072" s="82"/>
      <c r="AA1072" s="82"/>
      <c r="AB1072" s="82"/>
      <c r="AC1072" s="82"/>
      <c r="AD1072" s="82"/>
      <c r="AE1072" s="82"/>
      <c r="AF1072" s="82"/>
      <c r="AG1072" s="82"/>
      <c r="AH1072" s="82"/>
      <c r="AI1072" s="82"/>
      <c r="AJ1072" s="82"/>
      <c r="AK1072" s="82"/>
      <c r="AL1072" s="82"/>
      <c r="AM1072" s="82"/>
      <c r="AN1072" s="82">
        <f>IFERROR(__xludf.DUMMYFUNCTION("""COMPUTED_VALUE"""),0.0)</f>
        <v>0</v>
      </c>
      <c r="AO1072" s="82">
        <f>IFERROR(__xludf.DUMMYFUNCTION("""COMPUTED_VALUE"""),0.0)</f>
        <v>0</v>
      </c>
      <c r="AP1072" s="82">
        <f>IFERROR(__xludf.DUMMYFUNCTION("""COMPUTED_VALUE"""),0.0)</f>
        <v>0</v>
      </c>
      <c r="AQ1072" s="82">
        <f>IFERROR(__xludf.DUMMYFUNCTION("""COMPUTED_VALUE"""),0.0)</f>
        <v>0</v>
      </c>
      <c r="AR1072" s="82">
        <f>IFERROR(__xludf.DUMMYFUNCTION("""COMPUTED_VALUE"""),0.0)</f>
        <v>0</v>
      </c>
      <c r="AS1072" s="82"/>
      <c r="AT1072" s="82">
        <f>IFERROR(__xludf.DUMMYFUNCTION("""COMPUTED_VALUE"""),0.0)</f>
        <v>0</v>
      </c>
      <c r="AU1072" s="82"/>
      <c r="AV1072" s="82"/>
      <c r="AW1072" s="82" t="str">
        <f t="shared" si="1"/>
        <v/>
      </c>
      <c r="AX1072" s="83" t="str">
        <f t="array" ref="AX1072">IFERROR(DGET('SBV Import'!A:G,"SBV",{"RSC ID","Tier";B1072,A1072}))</f>
        <v/>
      </c>
      <c r="AY1072" s="82" t="str">
        <f t="shared" si="2"/>
        <v/>
      </c>
      <c r="AZ1072" s="82"/>
      <c r="BA1072" s="84" t="s">
        <v>152</v>
      </c>
      <c r="BB1072" s="84" t="str">
        <f>IFERROR(__xludf.DUMMYFUNCTION("iferror(if(A1072="""",,E1072&gt;=FILTER(Constants!$F$2:$F$10,Constants!$A$2:$A$10=A1072)))"),"")</f>
        <v/>
      </c>
    </row>
    <row r="1073">
      <c r="A1073" s="89"/>
      <c r="B1073" s="87"/>
      <c r="C1073" s="73"/>
      <c r="D1073" s="73"/>
      <c r="E1073" s="82"/>
      <c r="F1073" s="82"/>
      <c r="G1073" s="86"/>
      <c r="H1073" s="86"/>
      <c r="I1073" s="86"/>
      <c r="J1073" s="82"/>
      <c r="K1073" s="82"/>
      <c r="L1073" s="82"/>
      <c r="M1073" s="82"/>
      <c r="N1073" s="82"/>
      <c r="O1073" s="82"/>
      <c r="P1073" s="82"/>
      <c r="Q1073" s="82"/>
      <c r="R1073" s="82"/>
      <c r="S1073" s="82"/>
      <c r="T1073" s="82"/>
      <c r="U1073" s="82"/>
      <c r="V1073" s="82"/>
      <c r="W1073" s="82"/>
      <c r="X1073" s="82"/>
      <c r="Y1073" s="82"/>
      <c r="Z1073" s="82"/>
      <c r="AA1073" s="82"/>
      <c r="AB1073" s="82"/>
      <c r="AC1073" s="82"/>
      <c r="AD1073" s="82"/>
      <c r="AE1073" s="82"/>
      <c r="AF1073" s="82"/>
      <c r="AG1073" s="82"/>
      <c r="AH1073" s="82"/>
      <c r="AI1073" s="82"/>
      <c r="AJ1073" s="82"/>
      <c r="AK1073" s="82"/>
      <c r="AL1073" s="82"/>
      <c r="AM1073" s="82"/>
      <c r="AN1073" s="82">
        <f>IFERROR(__xludf.DUMMYFUNCTION("""COMPUTED_VALUE"""),0.0)</f>
        <v>0</v>
      </c>
      <c r="AO1073" s="82">
        <f>IFERROR(__xludf.DUMMYFUNCTION("""COMPUTED_VALUE"""),0.0)</f>
        <v>0</v>
      </c>
      <c r="AP1073" s="82">
        <f>IFERROR(__xludf.DUMMYFUNCTION("""COMPUTED_VALUE"""),0.0)</f>
        <v>0</v>
      </c>
      <c r="AQ1073" s="82">
        <f>IFERROR(__xludf.DUMMYFUNCTION("""COMPUTED_VALUE"""),0.0)</f>
        <v>0</v>
      </c>
      <c r="AR1073" s="82">
        <f>IFERROR(__xludf.DUMMYFUNCTION("""COMPUTED_VALUE"""),0.0)</f>
        <v>0</v>
      </c>
      <c r="AS1073" s="82"/>
      <c r="AT1073" s="82">
        <f>IFERROR(__xludf.DUMMYFUNCTION("""COMPUTED_VALUE"""),0.0)</f>
        <v>0</v>
      </c>
      <c r="AU1073" s="82"/>
      <c r="AV1073" s="82"/>
      <c r="AW1073" s="82" t="str">
        <f t="shared" si="1"/>
        <v/>
      </c>
      <c r="AX1073" s="83" t="str">
        <f t="array" ref="AX1073">IFERROR(DGET('SBV Import'!A:G,"SBV",{"RSC ID","Tier";B1073,A1073}))</f>
        <v/>
      </c>
      <c r="AY1073" s="82" t="str">
        <f t="shared" si="2"/>
        <v/>
      </c>
      <c r="AZ1073" s="82"/>
      <c r="BA1073" s="84" t="s">
        <v>152</v>
      </c>
      <c r="BB1073" s="84" t="str">
        <f>IFERROR(__xludf.DUMMYFUNCTION("iferror(if(A1073="""",,E1073&gt;=FILTER(Constants!$F$2:$F$10,Constants!$A$2:$A$10=A1073)))"),"")</f>
        <v/>
      </c>
    </row>
    <row r="1074">
      <c r="A1074" s="89"/>
      <c r="B1074" s="87"/>
      <c r="C1074" s="73"/>
      <c r="D1074" s="73"/>
      <c r="E1074" s="82"/>
      <c r="F1074" s="82"/>
      <c r="G1074" s="86"/>
      <c r="H1074" s="86"/>
      <c r="I1074" s="86"/>
      <c r="J1074" s="82"/>
      <c r="K1074" s="82"/>
      <c r="L1074" s="82"/>
      <c r="M1074" s="82"/>
      <c r="N1074" s="82"/>
      <c r="O1074" s="82"/>
      <c r="P1074" s="82"/>
      <c r="Q1074" s="82"/>
      <c r="R1074" s="82"/>
      <c r="S1074" s="82"/>
      <c r="T1074" s="82"/>
      <c r="U1074" s="82"/>
      <c r="V1074" s="82"/>
      <c r="W1074" s="82"/>
      <c r="X1074" s="82"/>
      <c r="Y1074" s="82"/>
      <c r="Z1074" s="82"/>
      <c r="AA1074" s="82"/>
      <c r="AB1074" s="82"/>
      <c r="AC1074" s="82"/>
      <c r="AD1074" s="82"/>
      <c r="AE1074" s="82"/>
      <c r="AF1074" s="82"/>
      <c r="AG1074" s="82"/>
      <c r="AH1074" s="82"/>
      <c r="AI1074" s="82"/>
      <c r="AJ1074" s="82"/>
      <c r="AK1074" s="82"/>
      <c r="AL1074" s="82"/>
      <c r="AM1074" s="82"/>
      <c r="AN1074" s="82">
        <f>IFERROR(__xludf.DUMMYFUNCTION("""COMPUTED_VALUE"""),0.0)</f>
        <v>0</v>
      </c>
      <c r="AO1074" s="82">
        <f>IFERROR(__xludf.DUMMYFUNCTION("""COMPUTED_VALUE"""),0.0)</f>
        <v>0</v>
      </c>
      <c r="AP1074" s="82">
        <f>IFERROR(__xludf.DUMMYFUNCTION("""COMPUTED_VALUE"""),0.0)</f>
        <v>0</v>
      </c>
      <c r="AQ1074" s="82">
        <f>IFERROR(__xludf.DUMMYFUNCTION("""COMPUTED_VALUE"""),0.0)</f>
        <v>0</v>
      </c>
      <c r="AR1074" s="82">
        <f>IFERROR(__xludf.DUMMYFUNCTION("""COMPUTED_VALUE"""),0.0)</f>
        <v>0</v>
      </c>
      <c r="AS1074" s="82"/>
      <c r="AT1074" s="82">
        <f>IFERROR(__xludf.DUMMYFUNCTION("""COMPUTED_VALUE"""),0.0)</f>
        <v>0</v>
      </c>
      <c r="AU1074" s="82"/>
      <c r="AV1074" s="82"/>
      <c r="AW1074" s="82" t="str">
        <f t="shared" si="1"/>
        <v/>
      </c>
      <c r="AX1074" s="83" t="str">
        <f t="array" ref="AX1074">IFERROR(DGET('SBV Import'!A:G,"SBV",{"RSC ID","Tier";B1074,A1074}))</f>
        <v/>
      </c>
      <c r="AY1074" s="82" t="str">
        <f t="shared" si="2"/>
        <v/>
      </c>
      <c r="AZ1074" s="82"/>
      <c r="BA1074" s="84" t="s">
        <v>152</v>
      </c>
      <c r="BB1074" s="84" t="str">
        <f>IFERROR(__xludf.DUMMYFUNCTION("iferror(if(A1074="""",,E1074&gt;=FILTER(Constants!$F$2:$F$10,Constants!$A$2:$A$10=A1074)))"),"")</f>
        <v/>
      </c>
    </row>
    <row r="1075">
      <c r="A1075" s="89"/>
      <c r="B1075" s="87"/>
      <c r="C1075" s="73"/>
      <c r="D1075" s="73"/>
      <c r="E1075" s="82"/>
      <c r="F1075" s="82"/>
      <c r="G1075" s="86"/>
      <c r="H1075" s="86"/>
      <c r="I1075" s="86"/>
      <c r="J1075" s="82"/>
      <c r="K1075" s="82"/>
      <c r="L1075" s="82"/>
      <c r="M1075" s="82"/>
      <c r="N1075" s="82"/>
      <c r="O1075" s="82"/>
      <c r="P1075" s="82"/>
      <c r="Q1075" s="82"/>
      <c r="R1075" s="82"/>
      <c r="S1075" s="82"/>
      <c r="T1075" s="82"/>
      <c r="U1075" s="82"/>
      <c r="V1075" s="82"/>
      <c r="W1075" s="82"/>
      <c r="X1075" s="82"/>
      <c r="Y1075" s="82"/>
      <c r="Z1075" s="82"/>
      <c r="AA1075" s="82"/>
      <c r="AB1075" s="82"/>
      <c r="AC1075" s="82"/>
      <c r="AD1075" s="82"/>
      <c r="AE1075" s="82"/>
      <c r="AF1075" s="82"/>
      <c r="AG1075" s="82"/>
      <c r="AH1075" s="82"/>
      <c r="AI1075" s="82"/>
      <c r="AJ1075" s="82"/>
      <c r="AK1075" s="82"/>
      <c r="AL1075" s="82"/>
      <c r="AM1075" s="82"/>
      <c r="AN1075" s="82">
        <f>IFERROR(__xludf.DUMMYFUNCTION("""COMPUTED_VALUE"""),0.0)</f>
        <v>0</v>
      </c>
      <c r="AO1075" s="82">
        <f>IFERROR(__xludf.DUMMYFUNCTION("""COMPUTED_VALUE"""),0.0)</f>
        <v>0</v>
      </c>
      <c r="AP1075" s="82">
        <f>IFERROR(__xludf.DUMMYFUNCTION("""COMPUTED_VALUE"""),0.0)</f>
        <v>0</v>
      </c>
      <c r="AQ1075" s="82">
        <f>IFERROR(__xludf.DUMMYFUNCTION("""COMPUTED_VALUE"""),0.0)</f>
        <v>0</v>
      </c>
      <c r="AR1075" s="82">
        <f>IFERROR(__xludf.DUMMYFUNCTION("""COMPUTED_VALUE"""),0.0)</f>
        <v>0</v>
      </c>
      <c r="AS1075" s="82"/>
      <c r="AT1075" s="82">
        <f>IFERROR(__xludf.DUMMYFUNCTION("""COMPUTED_VALUE"""),0.0)</f>
        <v>0</v>
      </c>
      <c r="AU1075" s="82"/>
      <c r="AV1075" s="82"/>
      <c r="AW1075" s="82" t="str">
        <f t="shared" si="1"/>
        <v/>
      </c>
      <c r="AX1075" s="83" t="str">
        <f t="array" ref="AX1075">IFERROR(DGET('SBV Import'!A:G,"SBV",{"RSC ID","Tier";B1075,A1075}))</f>
        <v/>
      </c>
      <c r="AY1075" s="82" t="str">
        <f t="shared" si="2"/>
        <v/>
      </c>
      <c r="AZ1075" s="82"/>
      <c r="BA1075" s="84" t="s">
        <v>152</v>
      </c>
      <c r="BB1075" s="84" t="str">
        <f>IFERROR(__xludf.DUMMYFUNCTION("iferror(if(A1075="""",,E1075&gt;=FILTER(Constants!$F$2:$F$10,Constants!$A$2:$A$10=A1075)))"),"")</f>
        <v/>
      </c>
    </row>
    <row r="1076">
      <c r="A1076" s="89"/>
      <c r="B1076" s="87"/>
      <c r="C1076" s="73"/>
      <c r="D1076" s="73"/>
      <c r="E1076" s="82"/>
      <c r="F1076" s="82"/>
      <c r="G1076" s="86"/>
      <c r="H1076" s="86"/>
      <c r="I1076" s="86"/>
      <c r="J1076" s="82"/>
      <c r="K1076" s="82"/>
      <c r="L1076" s="82"/>
      <c r="M1076" s="82"/>
      <c r="N1076" s="82"/>
      <c r="O1076" s="82"/>
      <c r="P1076" s="82"/>
      <c r="Q1076" s="82"/>
      <c r="R1076" s="82"/>
      <c r="S1076" s="82"/>
      <c r="T1076" s="82"/>
      <c r="U1076" s="82"/>
      <c r="V1076" s="82"/>
      <c r="W1076" s="82"/>
      <c r="X1076" s="82"/>
      <c r="Y1076" s="82"/>
      <c r="Z1076" s="82"/>
      <c r="AA1076" s="82"/>
      <c r="AB1076" s="82"/>
      <c r="AC1076" s="82"/>
      <c r="AD1076" s="82"/>
      <c r="AE1076" s="82"/>
      <c r="AF1076" s="82"/>
      <c r="AG1076" s="82"/>
      <c r="AH1076" s="82"/>
      <c r="AI1076" s="82"/>
      <c r="AJ1076" s="82"/>
      <c r="AK1076" s="82"/>
      <c r="AL1076" s="82"/>
      <c r="AM1076" s="82"/>
      <c r="AN1076" s="82">
        <f>IFERROR(__xludf.DUMMYFUNCTION("""COMPUTED_VALUE"""),0.0)</f>
        <v>0</v>
      </c>
      <c r="AO1076" s="82">
        <f>IFERROR(__xludf.DUMMYFUNCTION("""COMPUTED_VALUE"""),0.0)</f>
        <v>0</v>
      </c>
      <c r="AP1076" s="82">
        <f>IFERROR(__xludf.DUMMYFUNCTION("""COMPUTED_VALUE"""),0.0)</f>
        <v>0</v>
      </c>
      <c r="AQ1076" s="82">
        <f>IFERROR(__xludf.DUMMYFUNCTION("""COMPUTED_VALUE"""),0.0)</f>
        <v>0</v>
      </c>
      <c r="AR1076" s="82">
        <f>IFERROR(__xludf.DUMMYFUNCTION("""COMPUTED_VALUE"""),0.0)</f>
        <v>0</v>
      </c>
      <c r="AS1076" s="82"/>
      <c r="AT1076" s="82">
        <f>IFERROR(__xludf.DUMMYFUNCTION("""COMPUTED_VALUE"""),0.0)</f>
        <v>0</v>
      </c>
      <c r="AU1076" s="82"/>
      <c r="AV1076" s="82"/>
      <c r="AW1076" s="82" t="str">
        <f t="shared" si="1"/>
        <v/>
      </c>
      <c r="AX1076" s="83" t="str">
        <f t="array" ref="AX1076">IFERROR(DGET('SBV Import'!A:G,"SBV",{"RSC ID","Tier";B1076,A1076}))</f>
        <v/>
      </c>
      <c r="AY1076" s="82" t="str">
        <f t="shared" si="2"/>
        <v/>
      </c>
      <c r="AZ1076" s="82"/>
      <c r="BA1076" s="84" t="s">
        <v>152</v>
      </c>
      <c r="BB1076" s="84" t="str">
        <f>IFERROR(__xludf.DUMMYFUNCTION("iferror(if(A1076="""",,E1076&gt;=FILTER(Constants!$F$2:$F$10,Constants!$A$2:$A$10=A1076)))"),"")</f>
        <v/>
      </c>
    </row>
    <row r="1077">
      <c r="A1077" s="89"/>
      <c r="B1077" s="87"/>
      <c r="C1077" s="73"/>
      <c r="D1077" s="73"/>
      <c r="E1077" s="82"/>
      <c r="F1077" s="82"/>
      <c r="G1077" s="86"/>
      <c r="H1077" s="86"/>
      <c r="I1077" s="86"/>
      <c r="J1077" s="82"/>
      <c r="K1077" s="82"/>
      <c r="L1077" s="82"/>
      <c r="M1077" s="82"/>
      <c r="N1077" s="82"/>
      <c r="O1077" s="82"/>
      <c r="P1077" s="82"/>
      <c r="Q1077" s="82"/>
      <c r="R1077" s="82"/>
      <c r="S1077" s="82"/>
      <c r="T1077" s="82"/>
      <c r="U1077" s="82"/>
      <c r="V1077" s="82"/>
      <c r="W1077" s="82"/>
      <c r="X1077" s="82"/>
      <c r="Y1077" s="82"/>
      <c r="Z1077" s="82"/>
      <c r="AA1077" s="82"/>
      <c r="AB1077" s="82"/>
      <c r="AC1077" s="82"/>
      <c r="AD1077" s="82"/>
      <c r="AE1077" s="82"/>
      <c r="AF1077" s="82"/>
      <c r="AG1077" s="82"/>
      <c r="AH1077" s="82"/>
      <c r="AI1077" s="82"/>
      <c r="AJ1077" s="82"/>
      <c r="AK1077" s="82"/>
      <c r="AL1077" s="82"/>
      <c r="AM1077" s="82"/>
      <c r="AN1077" s="82">
        <f>IFERROR(__xludf.DUMMYFUNCTION("""COMPUTED_VALUE"""),0.0)</f>
        <v>0</v>
      </c>
      <c r="AO1077" s="82">
        <f>IFERROR(__xludf.DUMMYFUNCTION("""COMPUTED_VALUE"""),0.0)</f>
        <v>0</v>
      </c>
      <c r="AP1077" s="82">
        <f>IFERROR(__xludf.DUMMYFUNCTION("""COMPUTED_VALUE"""),0.0)</f>
        <v>0</v>
      </c>
      <c r="AQ1077" s="82">
        <f>IFERROR(__xludf.DUMMYFUNCTION("""COMPUTED_VALUE"""),0.0)</f>
        <v>0</v>
      </c>
      <c r="AR1077" s="82">
        <f>IFERROR(__xludf.DUMMYFUNCTION("""COMPUTED_VALUE"""),0.0)</f>
        <v>0</v>
      </c>
      <c r="AS1077" s="82"/>
      <c r="AT1077" s="82">
        <f>IFERROR(__xludf.DUMMYFUNCTION("""COMPUTED_VALUE"""),0.0)</f>
        <v>0</v>
      </c>
      <c r="AU1077" s="82"/>
      <c r="AV1077" s="82"/>
      <c r="AW1077" s="82" t="str">
        <f t="shared" si="1"/>
        <v/>
      </c>
      <c r="AX1077" s="83" t="str">
        <f t="array" ref="AX1077">IFERROR(DGET('SBV Import'!A:G,"SBV",{"RSC ID","Tier";B1077,A1077}))</f>
        <v/>
      </c>
      <c r="AY1077" s="82" t="str">
        <f t="shared" si="2"/>
        <v/>
      </c>
      <c r="AZ1077" s="82"/>
      <c r="BA1077" s="84" t="s">
        <v>152</v>
      </c>
      <c r="BB1077" s="84" t="str">
        <f>IFERROR(__xludf.DUMMYFUNCTION("iferror(if(A1077="""",,E1077&gt;=FILTER(Constants!$F$2:$F$10,Constants!$A$2:$A$10=A1077)))"),"")</f>
        <v/>
      </c>
    </row>
    <row r="1078">
      <c r="A1078" s="89"/>
      <c r="B1078" s="87"/>
      <c r="C1078" s="73"/>
      <c r="D1078" s="73"/>
      <c r="E1078" s="82"/>
      <c r="F1078" s="82"/>
      <c r="G1078" s="86"/>
      <c r="H1078" s="86"/>
      <c r="I1078" s="86"/>
      <c r="J1078" s="82"/>
      <c r="K1078" s="82"/>
      <c r="L1078" s="82"/>
      <c r="M1078" s="82"/>
      <c r="N1078" s="82"/>
      <c r="O1078" s="82"/>
      <c r="P1078" s="82"/>
      <c r="Q1078" s="82"/>
      <c r="R1078" s="82"/>
      <c r="S1078" s="82"/>
      <c r="T1078" s="82"/>
      <c r="U1078" s="82"/>
      <c r="V1078" s="82"/>
      <c r="W1078" s="82"/>
      <c r="X1078" s="82"/>
      <c r="Y1078" s="82"/>
      <c r="Z1078" s="82"/>
      <c r="AA1078" s="82"/>
      <c r="AB1078" s="82"/>
      <c r="AC1078" s="82"/>
      <c r="AD1078" s="82"/>
      <c r="AE1078" s="82"/>
      <c r="AF1078" s="82"/>
      <c r="AG1078" s="82"/>
      <c r="AH1078" s="82"/>
      <c r="AI1078" s="82"/>
      <c r="AJ1078" s="82"/>
      <c r="AK1078" s="82"/>
      <c r="AL1078" s="82"/>
      <c r="AM1078" s="82"/>
      <c r="AN1078" s="82">
        <f>IFERROR(__xludf.DUMMYFUNCTION("""COMPUTED_VALUE"""),0.0)</f>
        <v>0</v>
      </c>
      <c r="AO1078" s="82">
        <f>IFERROR(__xludf.DUMMYFUNCTION("""COMPUTED_VALUE"""),0.0)</f>
        <v>0</v>
      </c>
      <c r="AP1078" s="82">
        <f>IFERROR(__xludf.DUMMYFUNCTION("""COMPUTED_VALUE"""),0.0)</f>
        <v>0</v>
      </c>
      <c r="AQ1078" s="82">
        <f>IFERROR(__xludf.DUMMYFUNCTION("""COMPUTED_VALUE"""),0.0)</f>
        <v>0</v>
      </c>
      <c r="AR1078" s="82">
        <f>IFERROR(__xludf.DUMMYFUNCTION("""COMPUTED_VALUE"""),0.0)</f>
        <v>0</v>
      </c>
      <c r="AS1078" s="82"/>
      <c r="AT1078" s="82">
        <f>IFERROR(__xludf.DUMMYFUNCTION("""COMPUTED_VALUE"""),0.0)</f>
        <v>0</v>
      </c>
      <c r="AU1078" s="82"/>
      <c r="AV1078" s="82"/>
      <c r="AW1078" s="82" t="str">
        <f t="shared" si="1"/>
        <v/>
      </c>
      <c r="AX1078" s="83" t="str">
        <f t="array" ref="AX1078">IFERROR(DGET('SBV Import'!A:G,"SBV",{"RSC ID","Tier";B1078,A1078}))</f>
        <v/>
      </c>
      <c r="AY1078" s="82" t="str">
        <f t="shared" si="2"/>
        <v/>
      </c>
      <c r="AZ1078" s="82"/>
      <c r="BA1078" s="84" t="s">
        <v>152</v>
      </c>
      <c r="BB1078" s="84" t="str">
        <f>IFERROR(__xludf.DUMMYFUNCTION("iferror(if(A1078="""",,E1078&gt;=FILTER(Constants!$F$2:$F$10,Constants!$A$2:$A$10=A1078)))"),"")</f>
        <v/>
      </c>
    </row>
    <row r="1079">
      <c r="A1079" s="89"/>
      <c r="B1079" s="87"/>
      <c r="C1079" s="73"/>
      <c r="D1079" s="73"/>
      <c r="E1079" s="82"/>
      <c r="F1079" s="82"/>
      <c r="G1079" s="86"/>
      <c r="H1079" s="86"/>
      <c r="I1079" s="86"/>
      <c r="J1079" s="82"/>
      <c r="K1079" s="82"/>
      <c r="L1079" s="82"/>
      <c r="M1079" s="82"/>
      <c r="N1079" s="82"/>
      <c r="O1079" s="82"/>
      <c r="P1079" s="82"/>
      <c r="Q1079" s="82"/>
      <c r="R1079" s="82"/>
      <c r="S1079" s="82"/>
      <c r="T1079" s="82"/>
      <c r="U1079" s="82"/>
      <c r="V1079" s="82"/>
      <c r="W1079" s="82"/>
      <c r="X1079" s="82"/>
      <c r="Y1079" s="82"/>
      <c r="Z1079" s="82"/>
      <c r="AA1079" s="82"/>
      <c r="AB1079" s="82"/>
      <c r="AC1079" s="82"/>
      <c r="AD1079" s="82"/>
      <c r="AE1079" s="82"/>
      <c r="AF1079" s="82"/>
      <c r="AG1079" s="82"/>
      <c r="AH1079" s="82"/>
      <c r="AI1079" s="82"/>
      <c r="AJ1079" s="82"/>
      <c r="AK1079" s="82"/>
      <c r="AL1079" s="82"/>
      <c r="AM1079" s="82"/>
      <c r="AN1079" s="82">
        <f>IFERROR(__xludf.DUMMYFUNCTION("""COMPUTED_VALUE"""),0.0)</f>
        <v>0</v>
      </c>
      <c r="AO1079" s="82">
        <f>IFERROR(__xludf.DUMMYFUNCTION("""COMPUTED_VALUE"""),0.0)</f>
        <v>0</v>
      </c>
      <c r="AP1079" s="82">
        <f>IFERROR(__xludf.DUMMYFUNCTION("""COMPUTED_VALUE"""),0.0)</f>
        <v>0</v>
      </c>
      <c r="AQ1079" s="82">
        <f>IFERROR(__xludf.DUMMYFUNCTION("""COMPUTED_VALUE"""),0.0)</f>
        <v>0</v>
      </c>
      <c r="AR1079" s="82">
        <f>IFERROR(__xludf.DUMMYFUNCTION("""COMPUTED_VALUE"""),0.0)</f>
        <v>0</v>
      </c>
      <c r="AS1079" s="82"/>
      <c r="AT1079" s="82">
        <f>IFERROR(__xludf.DUMMYFUNCTION("""COMPUTED_VALUE"""),0.0)</f>
        <v>0</v>
      </c>
      <c r="AU1079" s="82"/>
      <c r="AV1079" s="82"/>
      <c r="AW1079" s="82" t="str">
        <f t="shared" si="1"/>
        <v/>
      </c>
      <c r="AX1079" s="83" t="str">
        <f t="array" ref="AX1079">IFERROR(DGET('SBV Import'!A:G,"SBV",{"RSC ID","Tier";B1079,A1079}))</f>
        <v/>
      </c>
      <c r="AY1079" s="82" t="str">
        <f t="shared" si="2"/>
        <v/>
      </c>
      <c r="AZ1079" s="82"/>
      <c r="BA1079" s="84" t="s">
        <v>152</v>
      </c>
      <c r="BB1079" s="84" t="str">
        <f>IFERROR(__xludf.DUMMYFUNCTION("iferror(if(A1079="""",,E1079&gt;=FILTER(Constants!$F$2:$F$10,Constants!$A$2:$A$10=A1079)))"),"")</f>
        <v/>
      </c>
    </row>
    <row r="1080">
      <c r="A1080" s="89"/>
      <c r="B1080" s="87"/>
      <c r="C1080" s="73"/>
      <c r="D1080" s="73"/>
      <c r="E1080" s="82"/>
      <c r="F1080" s="82"/>
      <c r="G1080" s="86"/>
      <c r="H1080" s="86"/>
      <c r="I1080" s="86"/>
      <c r="J1080" s="82"/>
      <c r="K1080" s="82"/>
      <c r="L1080" s="82"/>
      <c r="M1080" s="82"/>
      <c r="N1080" s="82"/>
      <c r="O1080" s="82"/>
      <c r="P1080" s="82"/>
      <c r="Q1080" s="82"/>
      <c r="R1080" s="82"/>
      <c r="S1080" s="82"/>
      <c r="T1080" s="82"/>
      <c r="U1080" s="82"/>
      <c r="V1080" s="82"/>
      <c r="W1080" s="82"/>
      <c r="X1080" s="82"/>
      <c r="Y1080" s="82"/>
      <c r="Z1080" s="82"/>
      <c r="AA1080" s="82"/>
      <c r="AB1080" s="82"/>
      <c r="AC1080" s="82"/>
      <c r="AD1080" s="82"/>
      <c r="AE1080" s="82"/>
      <c r="AF1080" s="82"/>
      <c r="AG1080" s="82"/>
      <c r="AH1080" s="82"/>
      <c r="AI1080" s="82"/>
      <c r="AJ1080" s="82"/>
      <c r="AK1080" s="82"/>
      <c r="AL1080" s="82"/>
      <c r="AM1080" s="82"/>
      <c r="AN1080" s="82">
        <f>IFERROR(__xludf.DUMMYFUNCTION("""COMPUTED_VALUE"""),0.0)</f>
        <v>0</v>
      </c>
      <c r="AO1080" s="82">
        <f>IFERROR(__xludf.DUMMYFUNCTION("""COMPUTED_VALUE"""),0.0)</f>
        <v>0</v>
      </c>
      <c r="AP1080" s="82">
        <f>IFERROR(__xludf.DUMMYFUNCTION("""COMPUTED_VALUE"""),0.0)</f>
        <v>0</v>
      </c>
      <c r="AQ1080" s="82">
        <f>IFERROR(__xludf.DUMMYFUNCTION("""COMPUTED_VALUE"""),0.0)</f>
        <v>0</v>
      </c>
      <c r="AR1080" s="82">
        <f>IFERROR(__xludf.DUMMYFUNCTION("""COMPUTED_VALUE"""),0.0)</f>
        <v>0</v>
      </c>
      <c r="AS1080" s="82"/>
      <c r="AT1080" s="82">
        <f>IFERROR(__xludf.DUMMYFUNCTION("""COMPUTED_VALUE"""),0.0)</f>
        <v>0</v>
      </c>
      <c r="AU1080" s="82"/>
      <c r="AV1080" s="82"/>
      <c r="AW1080" s="82" t="str">
        <f t="shared" si="1"/>
        <v/>
      </c>
      <c r="AX1080" s="83" t="str">
        <f t="array" ref="AX1080">IFERROR(DGET('SBV Import'!A:G,"SBV",{"RSC ID","Tier";B1080,A1080}))</f>
        <v/>
      </c>
      <c r="AY1080" s="82" t="str">
        <f t="shared" si="2"/>
        <v/>
      </c>
      <c r="AZ1080" s="82"/>
      <c r="BA1080" s="84" t="s">
        <v>152</v>
      </c>
      <c r="BB1080" s="84" t="str">
        <f>IFERROR(__xludf.DUMMYFUNCTION("iferror(if(A1080="""",,E1080&gt;=FILTER(Constants!$F$2:$F$10,Constants!$A$2:$A$10=A1080)))"),"")</f>
        <v/>
      </c>
    </row>
    <row r="1081">
      <c r="A1081" s="89"/>
      <c r="B1081" s="87"/>
      <c r="C1081" s="73"/>
      <c r="D1081" s="73"/>
      <c r="E1081" s="82"/>
      <c r="F1081" s="82"/>
      <c r="G1081" s="86"/>
      <c r="H1081" s="86"/>
      <c r="I1081" s="86"/>
      <c r="J1081" s="82"/>
      <c r="K1081" s="82"/>
      <c r="L1081" s="82"/>
      <c r="M1081" s="82"/>
      <c r="N1081" s="82"/>
      <c r="O1081" s="82"/>
      <c r="P1081" s="82"/>
      <c r="Q1081" s="82"/>
      <c r="R1081" s="82"/>
      <c r="S1081" s="82"/>
      <c r="T1081" s="82"/>
      <c r="U1081" s="82"/>
      <c r="V1081" s="82"/>
      <c r="W1081" s="82"/>
      <c r="X1081" s="82"/>
      <c r="Y1081" s="82"/>
      <c r="Z1081" s="82"/>
      <c r="AA1081" s="82"/>
      <c r="AB1081" s="82"/>
      <c r="AC1081" s="82"/>
      <c r="AD1081" s="82"/>
      <c r="AE1081" s="82"/>
      <c r="AF1081" s="82"/>
      <c r="AG1081" s="82"/>
      <c r="AH1081" s="82"/>
      <c r="AI1081" s="82"/>
      <c r="AJ1081" s="82"/>
      <c r="AK1081" s="82"/>
      <c r="AL1081" s="82"/>
      <c r="AM1081" s="82"/>
      <c r="AN1081" s="82">
        <f>IFERROR(__xludf.DUMMYFUNCTION("""COMPUTED_VALUE"""),0.0)</f>
        <v>0</v>
      </c>
      <c r="AO1081" s="82">
        <f>IFERROR(__xludf.DUMMYFUNCTION("""COMPUTED_VALUE"""),0.0)</f>
        <v>0</v>
      </c>
      <c r="AP1081" s="82">
        <f>IFERROR(__xludf.DUMMYFUNCTION("""COMPUTED_VALUE"""),0.0)</f>
        <v>0</v>
      </c>
      <c r="AQ1081" s="82">
        <f>IFERROR(__xludf.DUMMYFUNCTION("""COMPUTED_VALUE"""),0.0)</f>
        <v>0</v>
      </c>
      <c r="AR1081" s="82">
        <f>IFERROR(__xludf.DUMMYFUNCTION("""COMPUTED_VALUE"""),0.0)</f>
        <v>0</v>
      </c>
      <c r="AS1081" s="82"/>
      <c r="AT1081" s="82">
        <f>IFERROR(__xludf.DUMMYFUNCTION("""COMPUTED_VALUE"""),0.0)</f>
        <v>0</v>
      </c>
      <c r="AU1081" s="82"/>
      <c r="AV1081" s="82"/>
      <c r="AW1081" s="82" t="str">
        <f t="shared" si="1"/>
        <v/>
      </c>
      <c r="AX1081" s="83" t="str">
        <f t="array" ref="AX1081">IFERROR(DGET('SBV Import'!A:G,"SBV",{"RSC ID","Tier";B1081,A1081}))</f>
        <v/>
      </c>
      <c r="AY1081" s="82" t="str">
        <f t="shared" si="2"/>
        <v/>
      </c>
      <c r="AZ1081" s="82"/>
      <c r="BA1081" s="84" t="s">
        <v>152</v>
      </c>
      <c r="BB1081" s="84" t="str">
        <f>IFERROR(__xludf.DUMMYFUNCTION("iferror(if(A1081="""",,E1081&gt;=FILTER(Constants!$F$2:$F$10,Constants!$A$2:$A$10=A1081)))"),"")</f>
        <v/>
      </c>
    </row>
    <row r="1082">
      <c r="A1082" s="89"/>
      <c r="B1082" s="87"/>
      <c r="C1082" s="73"/>
      <c r="D1082" s="73"/>
      <c r="E1082" s="82"/>
      <c r="F1082" s="82"/>
      <c r="G1082" s="86"/>
      <c r="H1082" s="86"/>
      <c r="I1082" s="86"/>
      <c r="J1082" s="82"/>
      <c r="K1082" s="82"/>
      <c r="L1082" s="82"/>
      <c r="M1082" s="82"/>
      <c r="N1082" s="82"/>
      <c r="O1082" s="82"/>
      <c r="P1082" s="82"/>
      <c r="Q1082" s="82"/>
      <c r="R1082" s="82"/>
      <c r="S1082" s="82"/>
      <c r="T1082" s="82"/>
      <c r="U1082" s="82"/>
      <c r="V1082" s="82"/>
      <c r="W1082" s="82"/>
      <c r="X1082" s="82"/>
      <c r="Y1082" s="82"/>
      <c r="Z1082" s="82"/>
      <c r="AA1082" s="82"/>
      <c r="AB1082" s="82"/>
      <c r="AC1082" s="82"/>
      <c r="AD1082" s="82"/>
      <c r="AE1082" s="82"/>
      <c r="AF1082" s="82"/>
      <c r="AG1082" s="82"/>
      <c r="AH1082" s="82"/>
      <c r="AI1082" s="82"/>
      <c r="AJ1082" s="82"/>
      <c r="AK1082" s="82"/>
      <c r="AL1082" s="82"/>
      <c r="AM1082" s="82"/>
      <c r="AN1082" s="82">
        <f>IFERROR(__xludf.DUMMYFUNCTION("""COMPUTED_VALUE"""),0.0)</f>
        <v>0</v>
      </c>
      <c r="AO1082" s="82">
        <f>IFERROR(__xludf.DUMMYFUNCTION("""COMPUTED_VALUE"""),0.0)</f>
        <v>0</v>
      </c>
      <c r="AP1082" s="82">
        <f>IFERROR(__xludf.DUMMYFUNCTION("""COMPUTED_VALUE"""),0.0)</f>
        <v>0</v>
      </c>
      <c r="AQ1082" s="82">
        <f>IFERROR(__xludf.DUMMYFUNCTION("""COMPUTED_VALUE"""),0.0)</f>
        <v>0</v>
      </c>
      <c r="AR1082" s="82">
        <f>IFERROR(__xludf.DUMMYFUNCTION("""COMPUTED_VALUE"""),0.0)</f>
        <v>0</v>
      </c>
      <c r="AS1082" s="82"/>
      <c r="AT1082" s="82">
        <f>IFERROR(__xludf.DUMMYFUNCTION("""COMPUTED_VALUE"""),0.0)</f>
        <v>0</v>
      </c>
      <c r="AU1082" s="82"/>
      <c r="AV1082" s="82"/>
      <c r="AW1082" s="82" t="str">
        <f t="shared" si="1"/>
        <v/>
      </c>
      <c r="AX1082" s="83" t="str">
        <f t="array" ref="AX1082">IFERROR(DGET('SBV Import'!A:G,"SBV",{"RSC ID","Tier";B1082,A1082}))</f>
        <v/>
      </c>
      <c r="AY1082" s="82" t="str">
        <f t="shared" si="2"/>
        <v/>
      </c>
      <c r="AZ1082" s="82"/>
      <c r="BA1082" s="84" t="s">
        <v>152</v>
      </c>
      <c r="BB1082" s="84" t="str">
        <f>IFERROR(__xludf.DUMMYFUNCTION("iferror(if(A1082="""",,E1082&gt;=FILTER(Constants!$F$2:$F$10,Constants!$A$2:$A$10=A1082)))"),"")</f>
        <v/>
      </c>
    </row>
    <row r="1083">
      <c r="A1083" s="89"/>
      <c r="B1083" s="87"/>
      <c r="C1083" s="73"/>
      <c r="D1083" s="73"/>
      <c r="E1083" s="82"/>
      <c r="F1083" s="82"/>
      <c r="G1083" s="86"/>
      <c r="H1083" s="86"/>
      <c r="I1083" s="86"/>
      <c r="J1083" s="82"/>
      <c r="K1083" s="82"/>
      <c r="L1083" s="82"/>
      <c r="M1083" s="82"/>
      <c r="N1083" s="82"/>
      <c r="O1083" s="82"/>
      <c r="P1083" s="82"/>
      <c r="Q1083" s="82"/>
      <c r="R1083" s="82"/>
      <c r="S1083" s="82"/>
      <c r="T1083" s="82"/>
      <c r="U1083" s="82"/>
      <c r="V1083" s="82"/>
      <c r="W1083" s="82"/>
      <c r="X1083" s="82"/>
      <c r="Y1083" s="82"/>
      <c r="Z1083" s="82"/>
      <c r="AA1083" s="82"/>
      <c r="AB1083" s="82"/>
      <c r="AC1083" s="82"/>
      <c r="AD1083" s="82"/>
      <c r="AE1083" s="82"/>
      <c r="AF1083" s="82"/>
      <c r="AG1083" s="82"/>
      <c r="AH1083" s="82"/>
      <c r="AI1083" s="82"/>
      <c r="AJ1083" s="82"/>
      <c r="AK1083" s="82"/>
      <c r="AL1083" s="82"/>
      <c r="AM1083" s="82"/>
      <c r="AN1083" s="82">
        <f>IFERROR(__xludf.DUMMYFUNCTION("""COMPUTED_VALUE"""),0.0)</f>
        <v>0</v>
      </c>
      <c r="AO1083" s="82">
        <f>IFERROR(__xludf.DUMMYFUNCTION("""COMPUTED_VALUE"""),0.0)</f>
        <v>0</v>
      </c>
      <c r="AP1083" s="82">
        <f>IFERROR(__xludf.DUMMYFUNCTION("""COMPUTED_VALUE"""),0.0)</f>
        <v>0</v>
      </c>
      <c r="AQ1083" s="82">
        <f>IFERROR(__xludf.DUMMYFUNCTION("""COMPUTED_VALUE"""),0.0)</f>
        <v>0</v>
      </c>
      <c r="AR1083" s="82">
        <f>IFERROR(__xludf.DUMMYFUNCTION("""COMPUTED_VALUE"""),0.0)</f>
        <v>0</v>
      </c>
      <c r="AS1083" s="82"/>
      <c r="AT1083" s="82">
        <f>IFERROR(__xludf.DUMMYFUNCTION("""COMPUTED_VALUE"""),0.0)</f>
        <v>0</v>
      </c>
      <c r="AU1083" s="82"/>
      <c r="AV1083" s="82"/>
      <c r="AW1083" s="82" t="str">
        <f t="shared" si="1"/>
        <v/>
      </c>
      <c r="AX1083" s="83" t="str">
        <f t="array" ref="AX1083">IFERROR(DGET('SBV Import'!A:G,"SBV",{"RSC ID","Tier";B1083,A1083}))</f>
        <v/>
      </c>
      <c r="AY1083" s="82" t="str">
        <f t="shared" si="2"/>
        <v/>
      </c>
      <c r="AZ1083" s="82"/>
      <c r="BA1083" s="84" t="s">
        <v>152</v>
      </c>
      <c r="BB1083" s="84" t="str">
        <f>IFERROR(__xludf.DUMMYFUNCTION("iferror(if(A1083="""",,E1083&gt;=FILTER(Constants!$F$2:$F$10,Constants!$A$2:$A$10=A1083)))"),"")</f>
        <v/>
      </c>
    </row>
    <row r="1084">
      <c r="A1084" s="89"/>
      <c r="B1084" s="87"/>
      <c r="C1084" s="73"/>
      <c r="D1084" s="73"/>
      <c r="E1084" s="82"/>
      <c r="F1084" s="82"/>
      <c r="G1084" s="86"/>
      <c r="H1084" s="86"/>
      <c r="I1084" s="86"/>
      <c r="J1084" s="82"/>
      <c r="K1084" s="82"/>
      <c r="L1084" s="82"/>
      <c r="M1084" s="82"/>
      <c r="N1084" s="82"/>
      <c r="O1084" s="82"/>
      <c r="P1084" s="82"/>
      <c r="Q1084" s="82"/>
      <c r="R1084" s="82"/>
      <c r="S1084" s="82"/>
      <c r="T1084" s="82"/>
      <c r="U1084" s="82"/>
      <c r="V1084" s="82"/>
      <c r="W1084" s="82"/>
      <c r="X1084" s="82"/>
      <c r="Y1084" s="82"/>
      <c r="Z1084" s="82"/>
      <c r="AA1084" s="82"/>
      <c r="AB1084" s="82"/>
      <c r="AC1084" s="82"/>
      <c r="AD1084" s="82"/>
      <c r="AE1084" s="82"/>
      <c r="AF1084" s="82"/>
      <c r="AG1084" s="82"/>
      <c r="AH1084" s="82"/>
      <c r="AI1084" s="82"/>
      <c r="AJ1084" s="82"/>
      <c r="AK1084" s="82"/>
      <c r="AL1084" s="82"/>
      <c r="AM1084" s="82"/>
      <c r="AN1084" s="82">
        <f>IFERROR(__xludf.DUMMYFUNCTION("""COMPUTED_VALUE"""),0.0)</f>
        <v>0</v>
      </c>
      <c r="AO1084" s="82">
        <f>IFERROR(__xludf.DUMMYFUNCTION("""COMPUTED_VALUE"""),0.0)</f>
        <v>0</v>
      </c>
      <c r="AP1084" s="82">
        <f>IFERROR(__xludf.DUMMYFUNCTION("""COMPUTED_VALUE"""),0.0)</f>
        <v>0</v>
      </c>
      <c r="AQ1084" s="82">
        <f>IFERROR(__xludf.DUMMYFUNCTION("""COMPUTED_VALUE"""),0.0)</f>
        <v>0</v>
      </c>
      <c r="AR1084" s="82">
        <f>IFERROR(__xludf.DUMMYFUNCTION("""COMPUTED_VALUE"""),0.0)</f>
        <v>0</v>
      </c>
      <c r="AS1084" s="82"/>
      <c r="AT1084" s="82">
        <f>IFERROR(__xludf.DUMMYFUNCTION("""COMPUTED_VALUE"""),0.0)</f>
        <v>0</v>
      </c>
      <c r="AU1084" s="82"/>
      <c r="AV1084" s="82"/>
      <c r="AW1084" s="82" t="str">
        <f t="shared" si="1"/>
        <v/>
      </c>
      <c r="AX1084" s="83" t="str">
        <f t="array" ref="AX1084">IFERROR(DGET('SBV Import'!A:G,"SBV",{"RSC ID","Tier";B1084,A1084}))</f>
        <v/>
      </c>
      <c r="AY1084" s="82" t="str">
        <f t="shared" si="2"/>
        <v/>
      </c>
      <c r="AZ1084" s="82"/>
      <c r="BA1084" s="84" t="s">
        <v>152</v>
      </c>
      <c r="BB1084" s="84" t="str">
        <f>IFERROR(__xludf.DUMMYFUNCTION("iferror(if(A1084="""",,E1084&gt;=FILTER(Constants!$F$2:$F$10,Constants!$A$2:$A$10=A1084)))"),"")</f>
        <v/>
      </c>
    </row>
    <row r="1085">
      <c r="A1085" s="89"/>
      <c r="B1085" s="87"/>
      <c r="C1085" s="73"/>
      <c r="D1085" s="73"/>
      <c r="E1085" s="82"/>
      <c r="F1085" s="82"/>
      <c r="G1085" s="86"/>
      <c r="H1085" s="86"/>
      <c r="I1085" s="86"/>
      <c r="J1085" s="82"/>
      <c r="K1085" s="82"/>
      <c r="L1085" s="82"/>
      <c r="M1085" s="82"/>
      <c r="N1085" s="82"/>
      <c r="O1085" s="82"/>
      <c r="P1085" s="82"/>
      <c r="Q1085" s="82"/>
      <c r="R1085" s="82"/>
      <c r="S1085" s="82"/>
      <c r="T1085" s="82"/>
      <c r="U1085" s="82"/>
      <c r="V1085" s="82"/>
      <c r="W1085" s="82"/>
      <c r="X1085" s="82"/>
      <c r="Y1085" s="82"/>
      <c r="Z1085" s="82"/>
      <c r="AA1085" s="82"/>
      <c r="AB1085" s="82"/>
      <c r="AC1085" s="82"/>
      <c r="AD1085" s="82"/>
      <c r="AE1085" s="82"/>
      <c r="AF1085" s="82"/>
      <c r="AG1085" s="82"/>
      <c r="AH1085" s="82"/>
      <c r="AI1085" s="82"/>
      <c r="AJ1085" s="82"/>
      <c r="AK1085" s="82"/>
      <c r="AL1085" s="82"/>
      <c r="AM1085" s="82"/>
      <c r="AN1085" s="82">
        <f>IFERROR(__xludf.DUMMYFUNCTION("""COMPUTED_VALUE"""),0.0)</f>
        <v>0</v>
      </c>
      <c r="AO1085" s="82">
        <f>IFERROR(__xludf.DUMMYFUNCTION("""COMPUTED_VALUE"""),0.0)</f>
        <v>0</v>
      </c>
      <c r="AP1085" s="82">
        <f>IFERROR(__xludf.DUMMYFUNCTION("""COMPUTED_VALUE"""),0.0)</f>
        <v>0</v>
      </c>
      <c r="AQ1085" s="82">
        <f>IFERROR(__xludf.DUMMYFUNCTION("""COMPUTED_VALUE"""),0.0)</f>
        <v>0</v>
      </c>
      <c r="AR1085" s="82">
        <f>IFERROR(__xludf.DUMMYFUNCTION("""COMPUTED_VALUE"""),0.0)</f>
        <v>0</v>
      </c>
      <c r="AS1085" s="82"/>
      <c r="AT1085" s="82">
        <f>IFERROR(__xludf.DUMMYFUNCTION("""COMPUTED_VALUE"""),0.0)</f>
        <v>0</v>
      </c>
      <c r="AU1085" s="82"/>
      <c r="AV1085" s="82"/>
      <c r="AW1085" s="82" t="str">
        <f t="shared" si="1"/>
        <v/>
      </c>
      <c r="AX1085" s="83" t="str">
        <f t="array" ref="AX1085">IFERROR(DGET('SBV Import'!A:G,"SBV",{"RSC ID","Tier";B1085,A1085}))</f>
        <v/>
      </c>
      <c r="AY1085" s="82" t="str">
        <f t="shared" si="2"/>
        <v/>
      </c>
      <c r="AZ1085" s="82"/>
      <c r="BA1085" s="84" t="s">
        <v>152</v>
      </c>
      <c r="BB1085" s="84" t="str">
        <f>IFERROR(__xludf.DUMMYFUNCTION("iferror(if(A1085="""",,E1085&gt;=FILTER(Constants!$F$2:$F$10,Constants!$A$2:$A$10=A1085)))"),"")</f>
        <v/>
      </c>
    </row>
    <row r="1086">
      <c r="A1086" s="89"/>
      <c r="B1086" s="87"/>
      <c r="C1086" s="73"/>
      <c r="D1086" s="73"/>
      <c r="E1086" s="82"/>
      <c r="F1086" s="82"/>
      <c r="G1086" s="86"/>
      <c r="H1086" s="86"/>
      <c r="I1086" s="86"/>
      <c r="J1086" s="82"/>
      <c r="K1086" s="82"/>
      <c r="L1086" s="82"/>
      <c r="M1086" s="82"/>
      <c r="N1086" s="82"/>
      <c r="O1086" s="82"/>
      <c r="P1086" s="82"/>
      <c r="Q1086" s="82"/>
      <c r="R1086" s="82"/>
      <c r="S1086" s="82"/>
      <c r="T1086" s="82"/>
      <c r="U1086" s="82"/>
      <c r="V1086" s="82"/>
      <c r="W1086" s="82"/>
      <c r="X1086" s="82"/>
      <c r="Y1086" s="82"/>
      <c r="Z1086" s="82"/>
      <c r="AA1086" s="82"/>
      <c r="AB1086" s="82"/>
      <c r="AC1086" s="82"/>
      <c r="AD1086" s="82"/>
      <c r="AE1086" s="82"/>
      <c r="AF1086" s="82"/>
      <c r="AG1086" s="82"/>
      <c r="AH1086" s="82"/>
      <c r="AI1086" s="82"/>
      <c r="AJ1086" s="82"/>
      <c r="AK1086" s="82"/>
      <c r="AL1086" s="82"/>
      <c r="AM1086" s="82"/>
      <c r="AN1086" s="82">
        <f>IFERROR(__xludf.DUMMYFUNCTION("""COMPUTED_VALUE"""),0.0)</f>
        <v>0</v>
      </c>
      <c r="AO1086" s="82">
        <f>IFERROR(__xludf.DUMMYFUNCTION("""COMPUTED_VALUE"""),0.0)</f>
        <v>0</v>
      </c>
      <c r="AP1086" s="82">
        <f>IFERROR(__xludf.DUMMYFUNCTION("""COMPUTED_VALUE"""),0.0)</f>
        <v>0</v>
      </c>
      <c r="AQ1086" s="82">
        <f>IFERROR(__xludf.DUMMYFUNCTION("""COMPUTED_VALUE"""),0.0)</f>
        <v>0</v>
      </c>
      <c r="AR1086" s="82">
        <f>IFERROR(__xludf.DUMMYFUNCTION("""COMPUTED_VALUE"""),0.0)</f>
        <v>0</v>
      </c>
      <c r="AS1086" s="82"/>
      <c r="AT1086" s="82">
        <f>IFERROR(__xludf.DUMMYFUNCTION("""COMPUTED_VALUE"""),0.0)</f>
        <v>0</v>
      </c>
      <c r="AU1086" s="82"/>
      <c r="AV1086" s="82"/>
      <c r="AW1086" s="82" t="str">
        <f t="shared" si="1"/>
        <v/>
      </c>
      <c r="AX1086" s="83" t="str">
        <f t="array" ref="AX1086">IFERROR(DGET('SBV Import'!A:G,"SBV",{"RSC ID","Tier";B1086,A1086}))</f>
        <v/>
      </c>
      <c r="AY1086" s="82" t="str">
        <f t="shared" si="2"/>
        <v/>
      </c>
      <c r="AZ1086" s="82"/>
      <c r="BA1086" s="84" t="s">
        <v>152</v>
      </c>
      <c r="BB1086" s="84" t="str">
        <f>IFERROR(__xludf.DUMMYFUNCTION("iferror(if(A1086="""",,E1086&gt;=FILTER(Constants!$F$2:$F$10,Constants!$A$2:$A$10=A1086)))"),"")</f>
        <v/>
      </c>
    </row>
    <row r="1087">
      <c r="A1087" s="89"/>
      <c r="B1087" s="87"/>
      <c r="C1087" s="73"/>
      <c r="D1087" s="73"/>
      <c r="E1087" s="82"/>
      <c r="F1087" s="82"/>
      <c r="G1087" s="86"/>
      <c r="H1087" s="86"/>
      <c r="I1087" s="86"/>
      <c r="J1087" s="82"/>
      <c r="K1087" s="82"/>
      <c r="L1087" s="82"/>
      <c r="M1087" s="82"/>
      <c r="N1087" s="82"/>
      <c r="O1087" s="82"/>
      <c r="P1087" s="82"/>
      <c r="Q1087" s="82"/>
      <c r="R1087" s="82"/>
      <c r="S1087" s="82"/>
      <c r="T1087" s="82"/>
      <c r="U1087" s="82"/>
      <c r="V1087" s="82"/>
      <c r="W1087" s="82"/>
      <c r="X1087" s="82"/>
      <c r="Y1087" s="82"/>
      <c r="Z1087" s="82"/>
      <c r="AA1087" s="82"/>
      <c r="AB1087" s="82"/>
      <c r="AC1087" s="82"/>
      <c r="AD1087" s="82"/>
      <c r="AE1087" s="82"/>
      <c r="AF1087" s="82"/>
      <c r="AG1087" s="82"/>
      <c r="AH1087" s="82"/>
      <c r="AI1087" s="82"/>
      <c r="AJ1087" s="82"/>
      <c r="AK1087" s="82"/>
      <c r="AL1087" s="82"/>
      <c r="AM1087" s="82"/>
      <c r="AN1087" s="82">
        <f>IFERROR(__xludf.DUMMYFUNCTION("""COMPUTED_VALUE"""),0.0)</f>
        <v>0</v>
      </c>
      <c r="AO1087" s="82">
        <f>IFERROR(__xludf.DUMMYFUNCTION("""COMPUTED_VALUE"""),0.0)</f>
        <v>0</v>
      </c>
      <c r="AP1087" s="82">
        <f>IFERROR(__xludf.DUMMYFUNCTION("""COMPUTED_VALUE"""),0.0)</f>
        <v>0</v>
      </c>
      <c r="AQ1087" s="82">
        <f>IFERROR(__xludf.DUMMYFUNCTION("""COMPUTED_VALUE"""),0.0)</f>
        <v>0</v>
      </c>
      <c r="AR1087" s="82">
        <f>IFERROR(__xludf.DUMMYFUNCTION("""COMPUTED_VALUE"""),0.0)</f>
        <v>0</v>
      </c>
      <c r="AS1087" s="82"/>
      <c r="AT1087" s="82">
        <f>IFERROR(__xludf.DUMMYFUNCTION("""COMPUTED_VALUE"""),0.0)</f>
        <v>0</v>
      </c>
      <c r="AU1087" s="82"/>
      <c r="AV1087" s="82"/>
      <c r="AW1087" s="82" t="str">
        <f t="shared" si="1"/>
        <v/>
      </c>
      <c r="AX1087" s="83" t="str">
        <f t="array" ref="AX1087">IFERROR(DGET('SBV Import'!A:G,"SBV",{"RSC ID","Tier";B1087,A1087}))</f>
        <v/>
      </c>
      <c r="AY1087" s="82" t="str">
        <f t="shared" si="2"/>
        <v/>
      </c>
      <c r="AZ1087" s="82"/>
      <c r="BA1087" s="84" t="s">
        <v>152</v>
      </c>
      <c r="BB1087" s="84" t="str">
        <f>IFERROR(__xludf.DUMMYFUNCTION("iferror(if(A1087="""",,E1087&gt;=FILTER(Constants!$F$2:$F$10,Constants!$A$2:$A$10=A1087)))"),"")</f>
        <v/>
      </c>
    </row>
    <row r="1088">
      <c r="A1088" s="89"/>
      <c r="B1088" s="87"/>
      <c r="C1088" s="73"/>
      <c r="D1088" s="73"/>
      <c r="E1088" s="82"/>
      <c r="F1088" s="82"/>
      <c r="G1088" s="86"/>
      <c r="H1088" s="86"/>
      <c r="I1088" s="86"/>
      <c r="J1088" s="82"/>
      <c r="K1088" s="82"/>
      <c r="L1088" s="82"/>
      <c r="M1088" s="82"/>
      <c r="N1088" s="82"/>
      <c r="O1088" s="82"/>
      <c r="P1088" s="82"/>
      <c r="Q1088" s="82"/>
      <c r="R1088" s="82"/>
      <c r="S1088" s="82"/>
      <c r="T1088" s="82"/>
      <c r="U1088" s="82"/>
      <c r="V1088" s="82"/>
      <c r="W1088" s="82"/>
      <c r="X1088" s="82"/>
      <c r="Y1088" s="82"/>
      <c r="Z1088" s="82"/>
      <c r="AA1088" s="82"/>
      <c r="AB1088" s="82"/>
      <c r="AC1088" s="82"/>
      <c r="AD1088" s="82"/>
      <c r="AE1088" s="82"/>
      <c r="AF1088" s="82"/>
      <c r="AG1088" s="82"/>
      <c r="AH1088" s="82"/>
      <c r="AI1088" s="82"/>
      <c r="AJ1088" s="82"/>
      <c r="AK1088" s="82"/>
      <c r="AL1088" s="82"/>
      <c r="AM1088" s="82"/>
      <c r="AN1088" s="82">
        <f>IFERROR(__xludf.DUMMYFUNCTION("""COMPUTED_VALUE"""),0.0)</f>
        <v>0</v>
      </c>
      <c r="AO1088" s="82">
        <f>IFERROR(__xludf.DUMMYFUNCTION("""COMPUTED_VALUE"""),0.0)</f>
        <v>0</v>
      </c>
      <c r="AP1088" s="82">
        <f>IFERROR(__xludf.DUMMYFUNCTION("""COMPUTED_VALUE"""),0.0)</f>
        <v>0</v>
      </c>
      <c r="AQ1088" s="82">
        <f>IFERROR(__xludf.DUMMYFUNCTION("""COMPUTED_VALUE"""),0.0)</f>
        <v>0</v>
      </c>
      <c r="AR1088" s="82">
        <f>IFERROR(__xludf.DUMMYFUNCTION("""COMPUTED_VALUE"""),0.0)</f>
        <v>0</v>
      </c>
      <c r="AS1088" s="82"/>
      <c r="AT1088" s="82">
        <f>IFERROR(__xludf.DUMMYFUNCTION("""COMPUTED_VALUE"""),0.0)</f>
        <v>0</v>
      </c>
      <c r="AU1088" s="82"/>
      <c r="AV1088" s="82"/>
      <c r="AW1088" s="82" t="str">
        <f t="shared" si="1"/>
        <v/>
      </c>
      <c r="AX1088" s="83" t="str">
        <f t="array" ref="AX1088">IFERROR(DGET('SBV Import'!A:G,"SBV",{"RSC ID","Tier";B1088,A1088}))</f>
        <v/>
      </c>
      <c r="AY1088" s="82" t="str">
        <f t="shared" si="2"/>
        <v/>
      </c>
      <c r="AZ1088" s="82"/>
      <c r="BA1088" s="84" t="s">
        <v>152</v>
      </c>
      <c r="BB1088" s="84" t="str">
        <f>IFERROR(__xludf.DUMMYFUNCTION("iferror(if(A1088="""",,E1088&gt;=FILTER(Constants!$F$2:$F$10,Constants!$A$2:$A$10=A1088)))"),"")</f>
        <v/>
      </c>
    </row>
    <row r="1089">
      <c r="A1089" s="89"/>
      <c r="B1089" s="87"/>
      <c r="C1089" s="73"/>
      <c r="D1089" s="73"/>
      <c r="E1089" s="82"/>
      <c r="F1089" s="82"/>
      <c r="G1089" s="86"/>
      <c r="H1089" s="86"/>
      <c r="I1089" s="86"/>
      <c r="J1089" s="82"/>
      <c r="K1089" s="82"/>
      <c r="L1089" s="82"/>
      <c r="M1089" s="82"/>
      <c r="N1089" s="82"/>
      <c r="O1089" s="82"/>
      <c r="P1089" s="82"/>
      <c r="Q1089" s="82"/>
      <c r="R1089" s="82"/>
      <c r="S1089" s="82"/>
      <c r="T1089" s="82"/>
      <c r="U1089" s="82"/>
      <c r="V1089" s="82"/>
      <c r="W1089" s="82"/>
      <c r="X1089" s="82"/>
      <c r="Y1089" s="82"/>
      <c r="Z1089" s="82"/>
      <c r="AA1089" s="82"/>
      <c r="AB1089" s="82"/>
      <c r="AC1089" s="82"/>
      <c r="AD1089" s="82"/>
      <c r="AE1089" s="82"/>
      <c r="AF1089" s="82"/>
      <c r="AG1089" s="82"/>
      <c r="AH1089" s="82"/>
      <c r="AI1089" s="82"/>
      <c r="AJ1089" s="82"/>
      <c r="AK1089" s="82"/>
      <c r="AL1089" s="82"/>
      <c r="AM1089" s="82"/>
      <c r="AN1089" s="82">
        <f>IFERROR(__xludf.DUMMYFUNCTION("""COMPUTED_VALUE"""),0.0)</f>
        <v>0</v>
      </c>
      <c r="AO1089" s="82">
        <f>IFERROR(__xludf.DUMMYFUNCTION("""COMPUTED_VALUE"""),0.0)</f>
        <v>0</v>
      </c>
      <c r="AP1089" s="82">
        <f>IFERROR(__xludf.DUMMYFUNCTION("""COMPUTED_VALUE"""),0.0)</f>
        <v>0</v>
      </c>
      <c r="AQ1089" s="82">
        <f>IFERROR(__xludf.DUMMYFUNCTION("""COMPUTED_VALUE"""),0.0)</f>
        <v>0</v>
      </c>
      <c r="AR1089" s="82">
        <f>IFERROR(__xludf.DUMMYFUNCTION("""COMPUTED_VALUE"""),0.0)</f>
        <v>0</v>
      </c>
      <c r="AS1089" s="82"/>
      <c r="AT1089" s="82">
        <f>IFERROR(__xludf.DUMMYFUNCTION("""COMPUTED_VALUE"""),0.0)</f>
        <v>0</v>
      </c>
      <c r="AU1089" s="82"/>
      <c r="AV1089" s="82"/>
      <c r="AW1089" s="82" t="str">
        <f t="shared" si="1"/>
        <v/>
      </c>
      <c r="AX1089" s="83" t="str">
        <f t="array" ref="AX1089">IFERROR(DGET('SBV Import'!A:G,"SBV",{"RSC ID","Tier";B1089,A1089}))</f>
        <v/>
      </c>
      <c r="AY1089" s="82" t="str">
        <f t="shared" si="2"/>
        <v/>
      </c>
      <c r="AZ1089" s="82"/>
      <c r="BA1089" s="84" t="s">
        <v>152</v>
      </c>
      <c r="BB1089" s="84" t="str">
        <f>IFERROR(__xludf.DUMMYFUNCTION("iferror(if(A1089="""",,E1089&gt;=FILTER(Constants!$F$2:$F$10,Constants!$A$2:$A$10=A1089)))"),"")</f>
        <v/>
      </c>
    </row>
    <row r="1090">
      <c r="A1090" s="89"/>
      <c r="B1090" s="87"/>
      <c r="C1090" s="73"/>
      <c r="D1090" s="73"/>
      <c r="E1090" s="82"/>
      <c r="F1090" s="82"/>
      <c r="G1090" s="86"/>
      <c r="H1090" s="86"/>
      <c r="I1090" s="86"/>
      <c r="J1090" s="82"/>
      <c r="K1090" s="82"/>
      <c r="L1090" s="82"/>
      <c r="M1090" s="82"/>
      <c r="N1090" s="82"/>
      <c r="O1090" s="82"/>
      <c r="P1090" s="82"/>
      <c r="Q1090" s="82"/>
      <c r="R1090" s="82"/>
      <c r="S1090" s="82"/>
      <c r="T1090" s="82"/>
      <c r="U1090" s="82"/>
      <c r="V1090" s="82"/>
      <c r="W1090" s="82"/>
      <c r="X1090" s="82"/>
      <c r="Y1090" s="82"/>
      <c r="Z1090" s="82"/>
      <c r="AA1090" s="82"/>
      <c r="AB1090" s="82"/>
      <c r="AC1090" s="82"/>
      <c r="AD1090" s="82"/>
      <c r="AE1090" s="82"/>
      <c r="AF1090" s="82"/>
      <c r="AG1090" s="82"/>
      <c r="AH1090" s="82"/>
      <c r="AI1090" s="82"/>
      <c r="AJ1090" s="82"/>
      <c r="AK1090" s="82"/>
      <c r="AL1090" s="82"/>
      <c r="AM1090" s="82"/>
      <c r="AN1090" s="82">
        <f>IFERROR(__xludf.DUMMYFUNCTION("""COMPUTED_VALUE"""),0.0)</f>
        <v>0</v>
      </c>
      <c r="AO1090" s="82">
        <f>IFERROR(__xludf.DUMMYFUNCTION("""COMPUTED_VALUE"""),0.0)</f>
        <v>0</v>
      </c>
      <c r="AP1090" s="82">
        <f>IFERROR(__xludf.DUMMYFUNCTION("""COMPUTED_VALUE"""),0.0)</f>
        <v>0</v>
      </c>
      <c r="AQ1090" s="82">
        <f>IFERROR(__xludf.DUMMYFUNCTION("""COMPUTED_VALUE"""),0.0)</f>
        <v>0</v>
      </c>
      <c r="AR1090" s="82">
        <f>IFERROR(__xludf.DUMMYFUNCTION("""COMPUTED_VALUE"""),0.0)</f>
        <v>0</v>
      </c>
      <c r="AS1090" s="82"/>
      <c r="AT1090" s="82">
        <f>IFERROR(__xludf.DUMMYFUNCTION("""COMPUTED_VALUE"""),0.0)</f>
        <v>0</v>
      </c>
      <c r="AU1090" s="82"/>
      <c r="AV1090" s="82"/>
      <c r="AW1090" s="82" t="str">
        <f t="shared" si="1"/>
        <v/>
      </c>
      <c r="AX1090" s="83" t="str">
        <f t="array" ref="AX1090">IFERROR(DGET('SBV Import'!A:G,"SBV",{"RSC ID","Tier";B1090,A1090}))</f>
        <v/>
      </c>
      <c r="AY1090" s="82" t="str">
        <f t="shared" si="2"/>
        <v/>
      </c>
      <c r="AZ1090" s="82"/>
      <c r="BA1090" s="84" t="s">
        <v>152</v>
      </c>
      <c r="BB1090" s="84" t="str">
        <f>IFERROR(__xludf.DUMMYFUNCTION("iferror(if(A1090="""",,E1090&gt;=FILTER(Constants!$F$2:$F$10,Constants!$A$2:$A$10=A1090)))"),"")</f>
        <v/>
      </c>
    </row>
    <row r="1091">
      <c r="A1091" s="89"/>
      <c r="B1091" s="87"/>
      <c r="C1091" s="73"/>
      <c r="D1091" s="73"/>
      <c r="E1091" s="82"/>
      <c r="F1091" s="82"/>
      <c r="G1091" s="86"/>
      <c r="H1091" s="86"/>
      <c r="I1091" s="86"/>
      <c r="J1091" s="82"/>
      <c r="K1091" s="82"/>
      <c r="L1091" s="82"/>
      <c r="M1091" s="82"/>
      <c r="N1091" s="82"/>
      <c r="O1091" s="82"/>
      <c r="P1091" s="82"/>
      <c r="Q1091" s="82"/>
      <c r="R1091" s="82"/>
      <c r="S1091" s="82"/>
      <c r="T1091" s="82"/>
      <c r="U1091" s="82"/>
      <c r="V1091" s="82"/>
      <c r="W1091" s="82"/>
      <c r="X1091" s="82"/>
      <c r="Y1091" s="82"/>
      <c r="Z1091" s="82"/>
      <c r="AA1091" s="82"/>
      <c r="AB1091" s="82"/>
      <c r="AC1091" s="82"/>
      <c r="AD1091" s="82"/>
      <c r="AE1091" s="82"/>
      <c r="AF1091" s="82"/>
      <c r="AG1091" s="82"/>
      <c r="AH1091" s="82"/>
      <c r="AI1091" s="82"/>
      <c r="AJ1091" s="82"/>
      <c r="AK1091" s="82"/>
      <c r="AL1091" s="82"/>
      <c r="AM1091" s="82"/>
      <c r="AN1091" s="82">
        <f>IFERROR(__xludf.DUMMYFUNCTION("""COMPUTED_VALUE"""),0.0)</f>
        <v>0</v>
      </c>
      <c r="AO1091" s="82">
        <f>IFERROR(__xludf.DUMMYFUNCTION("""COMPUTED_VALUE"""),0.0)</f>
        <v>0</v>
      </c>
      <c r="AP1091" s="82">
        <f>IFERROR(__xludf.DUMMYFUNCTION("""COMPUTED_VALUE"""),0.0)</f>
        <v>0</v>
      </c>
      <c r="AQ1091" s="82">
        <f>IFERROR(__xludf.DUMMYFUNCTION("""COMPUTED_VALUE"""),0.0)</f>
        <v>0</v>
      </c>
      <c r="AR1091" s="82">
        <f>IFERROR(__xludf.DUMMYFUNCTION("""COMPUTED_VALUE"""),0.0)</f>
        <v>0</v>
      </c>
      <c r="AS1091" s="82"/>
      <c r="AT1091" s="82">
        <f>IFERROR(__xludf.DUMMYFUNCTION("""COMPUTED_VALUE"""),0.0)</f>
        <v>0</v>
      </c>
      <c r="AU1091" s="82"/>
      <c r="AV1091" s="82"/>
      <c r="AW1091" s="82" t="str">
        <f t="shared" si="1"/>
        <v/>
      </c>
      <c r="AX1091" s="83" t="str">
        <f t="array" ref="AX1091">IFERROR(DGET('SBV Import'!A:G,"SBV",{"RSC ID","Tier";B1091,A1091}))</f>
        <v/>
      </c>
      <c r="AY1091" s="82" t="str">
        <f t="shared" si="2"/>
        <v/>
      </c>
      <c r="AZ1091" s="82"/>
      <c r="BA1091" s="84" t="s">
        <v>152</v>
      </c>
      <c r="BB1091" s="84" t="str">
        <f>IFERROR(__xludf.DUMMYFUNCTION("iferror(if(A1091="""",,E1091&gt;=FILTER(Constants!$F$2:$F$10,Constants!$A$2:$A$10=A1091)))"),"")</f>
        <v/>
      </c>
    </row>
    <row r="1092">
      <c r="A1092" s="89"/>
      <c r="B1092" s="87"/>
      <c r="C1092" s="73"/>
      <c r="D1092" s="73"/>
      <c r="E1092" s="82"/>
      <c r="F1092" s="82"/>
      <c r="G1092" s="86"/>
      <c r="H1092" s="86"/>
      <c r="I1092" s="86"/>
      <c r="J1092" s="82"/>
      <c r="K1092" s="82"/>
      <c r="L1092" s="82"/>
      <c r="M1092" s="82"/>
      <c r="N1092" s="82"/>
      <c r="O1092" s="82"/>
      <c r="P1092" s="82"/>
      <c r="Q1092" s="82"/>
      <c r="R1092" s="82"/>
      <c r="S1092" s="82"/>
      <c r="T1092" s="82"/>
      <c r="U1092" s="82"/>
      <c r="V1092" s="82"/>
      <c r="W1092" s="82"/>
      <c r="X1092" s="82"/>
      <c r="Y1092" s="82"/>
      <c r="Z1092" s="82"/>
      <c r="AA1092" s="82"/>
      <c r="AB1092" s="82"/>
      <c r="AC1092" s="82"/>
      <c r="AD1092" s="82"/>
      <c r="AE1092" s="82"/>
      <c r="AF1092" s="82"/>
      <c r="AG1092" s="82"/>
      <c r="AH1092" s="82"/>
      <c r="AI1092" s="82"/>
      <c r="AJ1092" s="82"/>
      <c r="AK1092" s="82"/>
      <c r="AL1092" s="82"/>
      <c r="AM1092" s="82"/>
      <c r="AN1092" s="82">
        <f>IFERROR(__xludf.DUMMYFUNCTION("""COMPUTED_VALUE"""),0.0)</f>
        <v>0</v>
      </c>
      <c r="AO1092" s="82">
        <f>IFERROR(__xludf.DUMMYFUNCTION("""COMPUTED_VALUE"""),0.0)</f>
        <v>0</v>
      </c>
      <c r="AP1092" s="82">
        <f>IFERROR(__xludf.DUMMYFUNCTION("""COMPUTED_VALUE"""),0.0)</f>
        <v>0</v>
      </c>
      <c r="AQ1092" s="82">
        <f>IFERROR(__xludf.DUMMYFUNCTION("""COMPUTED_VALUE"""),0.0)</f>
        <v>0</v>
      </c>
      <c r="AR1092" s="82">
        <f>IFERROR(__xludf.DUMMYFUNCTION("""COMPUTED_VALUE"""),0.0)</f>
        <v>0</v>
      </c>
      <c r="AS1092" s="82"/>
      <c r="AT1092" s="82">
        <f>IFERROR(__xludf.DUMMYFUNCTION("""COMPUTED_VALUE"""),0.0)</f>
        <v>0</v>
      </c>
      <c r="AU1092" s="82"/>
      <c r="AV1092" s="82"/>
      <c r="AW1092" s="82" t="str">
        <f t="shared" si="1"/>
        <v/>
      </c>
      <c r="AX1092" s="83" t="str">
        <f t="array" ref="AX1092">IFERROR(DGET('SBV Import'!A:G,"SBV",{"RSC ID","Tier";B1092,A1092}))</f>
        <v/>
      </c>
      <c r="AY1092" s="82" t="str">
        <f t="shared" si="2"/>
        <v/>
      </c>
      <c r="AZ1092" s="82"/>
      <c r="BA1092" s="84" t="s">
        <v>152</v>
      </c>
      <c r="BB1092" s="84" t="str">
        <f>IFERROR(__xludf.DUMMYFUNCTION("iferror(if(A1092="""",,E1092&gt;=FILTER(Constants!$F$2:$F$10,Constants!$A$2:$A$10=A1092)))"),"")</f>
        <v/>
      </c>
    </row>
    <row r="1093">
      <c r="A1093" s="89"/>
      <c r="B1093" s="87"/>
      <c r="C1093" s="73"/>
      <c r="D1093" s="73"/>
      <c r="E1093" s="82"/>
      <c r="F1093" s="82"/>
      <c r="G1093" s="86"/>
      <c r="H1093" s="86"/>
      <c r="I1093" s="86"/>
      <c r="J1093" s="82"/>
      <c r="K1093" s="82"/>
      <c r="L1093" s="82"/>
      <c r="M1093" s="82"/>
      <c r="N1093" s="82"/>
      <c r="O1093" s="82"/>
      <c r="P1093" s="82"/>
      <c r="Q1093" s="82"/>
      <c r="R1093" s="82"/>
      <c r="S1093" s="82"/>
      <c r="T1093" s="82"/>
      <c r="U1093" s="82"/>
      <c r="V1093" s="82"/>
      <c r="W1093" s="82"/>
      <c r="X1093" s="82"/>
      <c r="Y1093" s="82"/>
      <c r="Z1093" s="82"/>
      <c r="AA1093" s="82"/>
      <c r="AB1093" s="82"/>
      <c r="AC1093" s="82"/>
      <c r="AD1093" s="82"/>
      <c r="AE1093" s="82"/>
      <c r="AF1093" s="82"/>
      <c r="AG1093" s="82"/>
      <c r="AH1093" s="82"/>
      <c r="AI1093" s="82"/>
      <c r="AJ1093" s="82"/>
      <c r="AK1093" s="82"/>
      <c r="AL1093" s="82"/>
      <c r="AM1093" s="82"/>
      <c r="AN1093" s="82">
        <f>IFERROR(__xludf.DUMMYFUNCTION("""COMPUTED_VALUE"""),0.0)</f>
        <v>0</v>
      </c>
      <c r="AO1093" s="82">
        <f>IFERROR(__xludf.DUMMYFUNCTION("""COMPUTED_VALUE"""),0.0)</f>
        <v>0</v>
      </c>
      <c r="AP1093" s="82">
        <f>IFERROR(__xludf.DUMMYFUNCTION("""COMPUTED_VALUE"""),0.0)</f>
        <v>0</v>
      </c>
      <c r="AQ1093" s="82">
        <f>IFERROR(__xludf.DUMMYFUNCTION("""COMPUTED_VALUE"""),0.0)</f>
        <v>0</v>
      </c>
      <c r="AR1093" s="82">
        <f>IFERROR(__xludf.DUMMYFUNCTION("""COMPUTED_VALUE"""),0.0)</f>
        <v>0</v>
      </c>
      <c r="AS1093" s="82"/>
      <c r="AT1093" s="82">
        <f>IFERROR(__xludf.DUMMYFUNCTION("""COMPUTED_VALUE"""),0.0)</f>
        <v>0</v>
      </c>
      <c r="AU1093" s="82"/>
      <c r="AV1093" s="82"/>
      <c r="AW1093" s="82" t="str">
        <f t="shared" si="1"/>
        <v/>
      </c>
      <c r="AX1093" s="83" t="str">
        <f t="array" ref="AX1093">IFERROR(DGET('SBV Import'!A:G,"SBV",{"RSC ID","Tier";B1093,A1093}))</f>
        <v/>
      </c>
      <c r="AY1093" s="82" t="str">
        <f t="shared" si="2"/>
        <v/>
      </c>
      <c r="AZ1093" s="82"/>
      <c r="BA1093" s="84" t="s">
        <v>152</v>
      </c>
      <c r="BB1093" s="84" t="str">
        <f>IFERROR(__xludf.DUMMYFUNCTION("iferror(if(A1093="""",,E1093&gt;=FILTER(Constants!$F$2:$F$10,Constants!$A$2:$A$10=A1093)))"),"")</f>
        <v/>
      </c>
    </row>
    <row r="1094">
      <c r="A1094" s="89"/>
      <c r="B1094" s="87"/>
      <c r="C1094" s="73"/>
      <c r="D1094" s="73"/>
      <c r="E1094" s="82"/>
      <c r="F1094" s="82"/>
      <c r="G1094" s="86"/>
      <c r="H1094" s="86"/>
      <c r="I1094" s="86"/>
      <c r="J1094" s="82"/>
      <c r="K1094" s="82"/>
      <c r="L1094" s="82"/>
      <c r="M1094" s="82"/>
      <c r="N1094" s="82"/>
      <c r="O1094" s="82"/>
      <c r="P1094" s="82"/>
      <c r="Q1094" s="82"/>
      <c r="R1094" s="82"/>
      <c r="S1094" s="82"/>
      <c r="T1094" s="82"/>
      <c r="U1094" s="82"/>
      <c r="V1094" s="82"/>
      <c r="W1094" s="82"/>
      <c r="X1094" s="82"/>
      <c r="Y1094" s="82"/>
      <c r="Z1094" s="82"/>
      <c r="AA1094" s="82"/>
      <c r="AB1094" s="82"/>
      <c r="AC1094" s="82"/>
      <c r="AD1094" s="82"/>
      <c r="AE1094" s="82"/>
      <c r="AF1094" s="82"/>
      <c r="AG1094" s="82"/>
      <c r="AH1094" s="82"/>
      <c r="AI1094" s="82"/>
      <c r="AJ1094" s="82"/>
      <c r="AK1094" s="82"/>
      <c r="AL1094" s="82"/>
      <c r="AM1094" s="82"/>
      <c r="AN1094" s="82">
        <f>IFERROR(__xludf.DUMMYFUNCTION("""COMPUTED_VALUE"""),0.0)</f>
        <v>0</v>
      </c>
      <c r="AO1094" s="82">
        <f>IFERROR(__xludf.DUMMYFUNCTION("""COMPUTED_VALUE"""),0.0)</f>
        <v>0</v>
      </c>
      <c r="AP1094" s="82">
        <f>IFERROR(__xludf.DUMMYFUNCTION("""COMPUTED_VALUE"""),0.0)</f>
        <v>0</v>
      </c>
      <c r="AQ1094" s="82">
        <f>IFERROR(__xludf.DUMMYFUNCTION("""COMPUTED_VALUE"""),0.0)</f>
        <v>0</v>
      </c>
      <c r="AR1094" s="82">
        <f>IFERROR(__xludf.DUMMYFUNCTION("""COMPUTED_VALUE"""),0.0)</f>
        <v>0</v>
      </c>
      <c r="AS1094" s="82"/>
      <c r="AT1094" s="82">
        <f>IFERROR(__xludf.DUMMYFUNCTION("""COMPUTED_VALUE"""),0.0)</f>
        <v>0</v>
      </c>
      <c r="AU1094" s="82"/>
      <c r="AV1094" s="82"/>
      <c r="AW1094" s="82" t="str">
        <f t="shared" si="1"/>
        <v/>
      </c>
      <c r="AX1094" s="83" t="str">
        <f t="array" ref="AX1094">IFERROR(DGET('SBV Import'!A:G,"SBV",{"RSC ID","Tier";B1094,A1094}))</f>
        <v/>
      </c>
      <c r="AY1094" s="82" t="str">
        <f t="shared" si="2"/>
        <v/>
      </c>
      <c r="AZ1094" s="82"/>
      <c r="BA1094" s="84" t="s">
        <v>152</v>
      </c>
      <c r="BB1094" s="84" t="str">
        <f>IFERROR(__xludf.DUMMYFUNCTION("iferror(if(A1094="""",,E1094&gt;=FILTER(Constants!$F$2:$F$10,Constants!$A$2:$A$10=A1094)))"),"")</f>
        <v/>
      </c>
    </row>
    <row r="1095">
      <c r="A1095" s="89"/>
      <c r="B1095" s="87"/>
      <c r="C1095" s="73"/>
      <c r="D1095" s="73"/>
      <c r="E1095" s="82"/>
      <c r="F1095" s="82"/>
      <c r="G1095" s="86"/>
      <c r="H1095" s="86"/>
      <c r="I1095" s="86"/>
      <c r="J1095" s="82"/>
      <c r="K1095" s="82"/>
      <c r="L1095" s="82"/>
      <c r="M1095" s="82"/>
      <c r="N1095" s="82"/>
      <c r="O1095" s="82"/>
      <c r="P1095" s="82"/>
      <c r="Q1095" s="82"/>
      <c r="R1095" s="82"/>
      <c r="S1095" s="82"/>
      <c r="T1095" s="82"/>
      <c r="U1095" s="82"/>
      <c r="V1095" s="82"/>
      <c r="W1095" s="82"/>
      <c r="X1095" s="82"/>
      <c r="Y1095" s="82"/>
      <c r="Z1095" s="82"/>
      <c r="AA1095" s="82"/>
      <c r="AB1095" s="82"/>
      <c r="AC1095" s="82"/>
      <c r="AD1095" s="82"/>
      <c r="AE1095" s="82"/>
      <c r="AF1095" s="82"/>
      <c r="AG1095" s="82"/>
      <c r="AH1095" s="82"/>
      <c r="AI1095" s="82"/>
      <c r="AJ1095" s="82"/>
      <c r="AK1095" s="82"/>
      <c r="AL1095" s="82"/>
      <c r="AM1095" s="82"/>
      <c r="AN1095" s="82">
        <f>IFERROR(__xludf.DUMMYFUNCTION("""COMPUTED_VALUE"""),0.0)</f>
        <v>0</v>
      </c>
      <c r="AO1095" s="82">
        <f>IFERROR(__xludf.DUMMYFUNCTION("""COMPUTED_VALUE"""),0.0)</f>
        <v>0</v>
      </c>
      <c r="AP1095" s="82">
        <f>IFERROR(__xludf.DUMMYFUNCTION("""COMPUTED_VALUE"""),0.0)</f>
        <v>0</v>
      </c>
      <c r="AQ1095" s="82">
        <f>IFERROR(__xludf.DUMMYFUNCTION("""COMPUTED_VALUE"""),0.0)</f>
        <v>0</v>
      </c>
      <c r="AR1095" s="82">
        <f>IFERROR(__xludf.DUMMYFUNCTION("""COMPUTED_VALUE"""),0.0)</f>
        <v>0</v>
      </c>
      <c r="AS1095" s="82"/>
      <c r="AT1095" s="82">
        <f>IFERROR(__xludf.DUMMYFUNCTION("""COMPUTED_VALUE"""),0.0)</f>
        <v>0</v>
      </c>
      <c r="AU1095" s="82"/>
      <c r="AV1095" s="82"/>
      <c r="AW1095" s="82" t="str">
        <f t="shared" si="1"/>
        <v/>
      </c>
      <c r="AX1095" s="83" t="str">
        <f t="array" ref="AX1095">IFERROR(DGET('SBV Import'!A:G,"SBV",{"RSC ID","Tier";B1095,A1095}))</f>
        <v/>
      </c>
      <c r="AY1095" s="82" t="str">
        <f t="shared" si="2"/>
        <v/>
      </c>
      <c r="AZ1095" s="82"/>
      <c r="BA1095" s="84" t="s">
        <v>152</v>
      </c>
      <c r="BB1095" s="84" t="str">
        <f>IFERROR(__xludf.DUMMYFUNCTION("iferror(if(A1095="""",,E1095&gt;=FILTER(Constants!$F$2:$F$10,Constants!$A$2:$A$10=A1095)))"),"")</f>
        <v/>
      </c>
    </row>
    <row r="1096">
      <c r="A1096" s="89"/>
      <c r="B1096" s="87"/>
      <c r="C1096" s="73"/>
      <c r="D1096" s="73"/>
      <c r="E1096" s="82"/>
      <c r="F1096" s="82"/>
      <c r="G1096" s="86"/>
      <c r="H1096" s="86"/>
      <c r="I1096" s="86"/>
      <c r="J1096" s="82"/>
      <c r="K1096" s="82"/>
      <c r="L1096" s="82"/>
      <c r="M1096" s="82"/>
      <c r="N1096" s="82"/>
      <c r="O1096" s="82"/>
      <c r="P1096" s="82"/>
      <c r="Q1096" s="82"/>
      <c r="R1096" s="82"/>
      <c r="S1096" s="82"/>
      <c r="T1096" s="82"/>
      <c r="U1096" s="82"/>
      <c r="V1096" s="82"/>
      <c r="W1096" s="82"/>
      <c r="X1096" s="82"/>
      <c r="Y1096" s="82"/>
      <c r="Z1096" s="82"/>
      <c r="AA1096" s="82"/>
      <c r="AB1096" s="82"/>
      <c r="AC1096" s="82"/>
      <c r="AD1096" s="82"/>
      <c r="AE1096" s="82"/>
      <c r="AF1096" s="82"/>
      <c r="AG1096" s="82"/>
      <c r="AH1096" s="82"/>
      <c r="AI1096" s="82"/>
      <c r="AJ1096" s="82"/>
      <c r="AK1096" s="82"/>
      <c r="AL1096" s="82"/>
      <c r="AM1096" s="82"/>
      <c r="AN1096" s="82">
        <f>IFERROR(__xludf.DUMMYFUNCTION("""COMPUTED_VALUE"""),0.0)</f>
        <v>0</v>
      </c>
      <c r="AO1096" s="82">
        <f>IFERROR(__xludf.DUMMYFUNCTION("""COMPUTED_VALUE"""),0.0)</f>
        <v>0</v>
      </c>
      <c r="AP1096" s="82">
        <f>IFERROR(__xludf.DUMMYFUNCTION("""COMPUTED_VALUE"""),0.0)</f>
        <v>0</v>
      </c>
      <c r="AQ1096" s="82">
        <f>IFERROR(__xludf.DUMMYFUNCTION("""COMPUTED_VALUE"""),0.0)</f>
        <v>0</v>
      </c>
      <c r="AR1096" s="82">
        <f>IFERROR(__xludf.DUMMYFUNCTION("""COMPUTED_VALUE"""),0.0)</f>
        <v>0</v>
      </c>
      <c r="AS1096" s="82"/>
      <c r="AT1096" s="82">
        <f>IFERROR(__xludf.DUMMYFUNCTION("""COMPUTED_VALUE"""),0.0)</f>
        <v>0</v>
      </c>
      <c r="AU1096" s="82"/>
      <c r="AV1096" s="82"/>
      <c r="AW1096" s="82" t="str">
        <f t="shared" si="1"/>
        <v/>
      </c>
      <c r="AX1096" s="83" t="str">
        <f t="array" ref="AX1096">IFERROR(DGET('SBV Import'!A:G,"SBV",{"RSC ID","Tier";B1096,A1096}))</f>
        <v/>
      </c>
      <c r="AY1096" s="82" t="str">
        <f t="shared" si="2"/>
        <v/>
      </c>
      <c r="AZ1096" s="82"/>
      <c r="BA1096" s="84" t="s">
        <v>152</v>
      </c>
      <c r="BB1096" s="84" t="str">
        <f>IFERROR(__xludf.DUMMYFUNCTION("iferror(if(A1096="""",,E1096&gt;=FILTER(Constants!$F$2:$F$10,Constants!$A$2:$A$10=A1096)))"),"")</f>
        <v/>
      </c>
    </row>
    <row r="1097">
      <c r="A1097" s="89"/>
      <c r="B1097" s="87"/>
      <c r="C1097" s="73"/>
      <c r="D1097" s="73"/>
      <c r="E1097" s="82"/>
      <c r="F1097" s="82"/>
      <c r="G1097" s="86"/>
      <c r="H1097" s="86"/>
      <c r="I1097" s="86"/>
      <c r="J1097" s="82"/>
      <c r="K1097" s="82"/>
      <c r="L1097" s="82"/>
      <c r="M1097" s="82"/>
      <c r="N1097" s="82"/>
      <c r="O1097" s="82"/>
      <c r="P1097" s="82"/>
      <c r="Q1097" s="82"/>
      <c r="R1097" s="82"/>
      <c r="S1097" s="82"/>
      <c r="T1097" s="82"/>
      <c r="U1097" s="82"/>
      <c r="V1097" s="82"/>
      <c r="W1097" s="82"/>
      <c r="X1097" s="82"/>
      <c r="Y1097" s="82"/>
      <c r="Z1097" s="82"/>
      <c r="AA1097" s="82"/>
      <c r="AB1097" s="82"/>
      <c r="AC1097" s="82"/>
      <c r="AD1097" s="82"/>
      <c r="AE1097" s="82"/>
      <c r="AF1097" s="82"/>
      <c r="AG1097" s="82"/>
      <c r="AH1097" s="82"/>
      <c r="AI1097" s="82"/>
      <c r="AJ1097" s="82"/>
      <c r="AK1097" s="82"/>
      <c r="AL1097" s="82"/>
      <c r="AM1097" s="82"/>
      <c r="AN1097" s="82">
        <f>IFERROR(__xludf.DUMMYFUNCTION("""COMPUTED_VALUE"""),0.0)</f>
        <v>0</v>
      </c>
      <c r="AO1097" s="82">
        <f>IFERROR(__xludf.DUMMYFUNCTION("""COMPUTED_VALUE"""),0.0)</f>
        <v>0</v>
      </c>
      <c r="AP1097" s="82">
        <f>IFERROR(__xludf.DUMMYFUNCTION("""COMPUTED_VALUE"""),0.0)</f>
        <v>0</v>
      </c>
      <c r="AQ1097" s="82">
        <f>IFERROR(__xludf.DUMMYFUNCTION("""COMPUTED_VALUE"""),0.0)</f>
        <v>0</v>
      </c>
      <c r="AR1097" s="82">
        <f>IFERROR(__xludf.DUMMYFUNCTION("""COMPUTED_VALUE"""),0.0)</f>
        <v>0</v>
      </c>
      <c r="AS1097" s="82"/>
      <c r="AT1097" s="82">
        <f>IFERROR(__xludf.DUMMYFUNCTION("""COMPUTED_VALUE"""),0.0)</f>
        <v>0</v>
      </c>
      <c r="AU1097" s="82"/>
      <c r="AV1097" s="82"/>
      <c r="AW1097" s="82" t="str">
        <f t="shared" si="1"/>
        <v/>
      </c>
      <c r="AX1097" s="83" t="str">
        <f t="array" ref="AX1097">IFERROR(DGET('SBV Import'!A:G,"SBV",{"RSC ID","Tier";B1097,A1097}))</f>
        <v/>
      </c>
      <c r="AY1097" s="82" t="str">
        <f t="shared" si="2"/>
        <v/>
      </c>
      <c r="AZ1097" s="82"/>
      <c r="BA1097" s="84" t="s">
        <v>152</v>
      </c>
      <c r="BB1097" s="84" t="str">
        <f>IFERROR(__xludf.DUMMYFUNCTION("iferror(if(A1097="""",,E1097&gt;=FILTER(Constants!$F$2:$F$10,Constants!$A$2:$A$10=A1097)))"),"")</f>
        <v/>
      </c>
    </row>
    <row r="1098">
      <c r="A1098" s="89"/>
      <c r="B1098" s="87"/>
      <c r="C1098" s="73"/>
      <c r="D1098" s="73"/>
      <c r="E1098" s="82"/>
      <c r="F1098" s="82"/>
      <c r="G1098" s="86"/>
      <c r="H1098" s="86"/>
      <c r="I1098" s="86"/>
      <c r="J1098" s="82"/>
      <c r="K1098" s="82"/>
      <c r="L1098" s="82"/>
      <c r="M1098" s="82"/>
      <c r="N1098" s="82"/>
      <c r="O1098" s="82"/>
      <c r="P1098" s="82"/>
      <c r="Q1098" s="82"/>
      <c r="R1098" s="82"/>
      <c r="S1098" s="82"/>
      <c r="T1098" s="82"/>
      <c r="U1098" s="82"/>
      <c r="V1098" s="82"/>
      <c r="W1098" s="82"/>
      <c r="X1098" s="82"/>
      <c r="Y1098" s="82"/>
      <c r="Z1098" s="82"/>
      <c r="AA1098" s="82"/>
      <c r="AB1098" s="82"/>
      <c r="AC1098" s="82"/>
      <c r="AD1098" s="82"/>
      <c r="AE1098" s="82"/>
      <c r="AF1098" s="82"/>
      <c r="AG1098" s="82"/>
      <c r="AH1098" s="82"/>
      <c r="AI1098" s="82"/>
      <c r="AJ1098" s="82"/>
      <c r="AK1098" s="82"/>
      <c r="AL1098" s="82"/>
      <c r="AM1098" s="82"/>
      <c r="AN1098" s="82">
        <f>IFERROR(__xludf.DUMMYFUNCTION("""COMPUTED_VALUE"""),0.0)</f>
        <v>0</v>
      </c>
      <c r="AO1098" s="82">
        <f>IFERROR(__xludf.DUMMYFUNCTION("""COMPUTED_VALUE"""),0.0)</f>
        <v>0</v>
      </c>
      <c r="AP1098" s="82">
        <f>IFERROR(__xludf.DUMMYFUNCTION("""COMPUTED_VALUE"""),0.0)</f>
        <v>0</v>
      </c>
      <c r="AQ1098" s="82">
        <f>IFERROR(__xludf.DUMMYFUNCTION("""COMPUTED_VALUE"""),0.0)</f>
        <v>0</v>
      </c>
      <c r="AR1098" s="82">
        <f>IFERROR(__xludf.DUMMYFUNCTION("""COMPUTED_VALUE"""),0.0)</f>
        <v>0</v>
      </c>
      <c r="AS1098" s="82"/>
      <c r="AT1098" s="82">
        <f>IFERROR(__xludf.DUMMYFUNCTION("""COMPUTED_VALUE"""),0.0)</f>
        <v>0</v>
      </c>
      <c r="AU1098" s="82"/>
      <c r="AV1098" s="82"/>
      <c r="AW1098" s="82" t="str">
        <f t="shared" si="1"/>
        <v/>
      </c>
      <c r="AX1098" s="83" t="str">
        <f t="array" ref="AX1098">IFERROR(DGET('SBV Import'!A:G,"SBV",{"RSC ID","Tier";B1098,A1098}))</f>
        <v/>
      </c>
      <c r="AY1098" s="82" t="str">
        <f t="shared" si="2"/>
        <v/>
      </c>
      <c r="AZ1098" s="82"/>
      <c r="BA1098" s="84" t="s">
        <v>152</v>
      </c>
      <c r="BB1098" s="84" t="str">
        <f>IFERROR(__xludf.DUMMYFUNCTION("iferror(if(A1098="""",,E1098&gt;=FILTER(Constants!$F$2:$F$10,Constants!$A$2:$A$10=A1098)))"),"")</f>
        <v/>
      </c>
    </row>
    <row r="1099">
      <c r="A1099" s="89"/>
      <c r="B1099" s="87"/>
      <c r="C1099" s="73"/>
      <c r="D1099" s="73"/>
      <c r="E1099" s="82"/>
      <c r="F1099" s="82"/>
      <c r="G1099" s="86"/>
      <c r="H1099" s="86"/>
      <c r="I1099" s="86"/>
      <c r="J1099" s="82"/>
      <c r="K1099" s="82"/>
      <c r="L1099" s="82"/>
      <c r="M1099" s="82"/>
      <c r="N1099" s="82"/>
      <c r="O1099" s="82"/>
      <c r="P1099" s="82"/>
      <c r="Q1099" s="82"/>
      <c r="R1099" s="82"/>
      <c r="S1099" s="82"/>
      <c r="T1099" s="82"/>
      <c r="U1099" s="82"/>
      <c r="V1099" s="82"/>
      <c r="W1099" s="82"/>
      <c r="X1099" s="82"/>
      <c r="Y1099" s="82"/>
      <c r="Z1099" s="82"/>
      <c r="AA1099" s="82"/>
      <c r="AB1099" s="82"/>
      <c r="AC1099" s="82"/>
      <c r="AD1099" s="82"/>
      <c r="AE1099" s="82"/>
      <c r="AF1099" s="82"/>
      <c r="AG1099" s="82"/>
      <c r="AH1099" s="82"/>
      <c r="AI1099" s="82"/>
      <c r="AJ1099" s="82"/>
      <c r="AK1099" s="82"/>
      <c r="AL1099" s="82"/>
      <c r="AM1099" s="82"/>
      <c r="AN1099" s="82"/>
      <c r="AO1099" s="82"/>
      <c r="AP1099" s="82"/>
      <c r="AQ1099" s="82"/>
      <c r="AR1099" s="82"/>
      <c r="AS1099" s="82"/>
      <c r="AT1099" s="82"/>
      <c r="AU1099" s="82"/>
      <c r="AV1099" s="82"/>
      <c r="AW1099" s="82" t="str">
        <f t="shared" si="1"/>
        <v/>
      </c>
      <c r="AX1099" s="83" t="str">
        <f t="array" ref="AX1099">IFERROR(DGET('SBV Import'!A:G,"SBV",{"RSC ID","Tier";B1099,A1099}))</f>
        <v/>
      </c>
      <c r="AY1099" s="82" t="str">
        <f t="shared" si="2"/>
        <v/>
      </c>
      <c r="AZ1099" s="82"/>
      <c r="BA1099" s="84" t="s">
        <v>152</v>
      </c>
      <c r="BB1099" s="84" t="str">
        <f>IFERROR(__xludf.DUMMYFUNCTION("iferror(if(A1099="""",,E1099&gt;=FILTER(Constants!$F$2:$F$10,Constants!$A$2:$A$10=A1099)))"),"")</f>
        <v/>
      </c>
    </row>
    <row r="1100">
      <c r="A1100" s="89"/>
      <c r="B1100" s="87"/>
      <c r="C1100" s="73"/>
      <c r="D1100" s="73"/>
      <c r="E1100" s="82"/>
      <c r="F1100" s="82"/>
      <c r="G1100" s="86"/>
      <c r="H1100" s="86"/>
      <c r="I1100" s="86"/>
      <c r="J1100" s="82"/>
      <c r="K1100" s="82"/>
      <c r="L1100" s="82"/>
      <c r="M1100" s="82"/>
      <c r="N1100" s="82"/>
      <c r="O1100" s="82"/>
      <c r="P1100" s="82"/>
      <c r="Q1100" s="82"/>
      <c r="R1100" s="82"/>
      <c r="S1100" s="82"/>
      <c r="T1100" s="82"/>
      <c r="U1100" s="82"/>
      <c r="V1100" s="82"/>
      <c r="W1100" s="82"/>
      <c r="X1100" s="82"/>
      <c r="Y1100" s="82"/>
      <c r="Z1100" s="82"/>
      <c r="AA1100" s="82"/>
      <c r="AB1100" s="82"/>
      <c r="AC1100" s="82"/>
      <c r="AD1100" s="82"/>
      <c r="AE1100" s="82"/>
      <c r="AF1100" s="82"/>
      <c r="AG1100" s="82"/>
      <c r="AH1100" s="82"/>
      <c r="AI1100" s="82"/>
      <c r="AJ1100" s="82"/>
      <c r="AK1100" s="82"/>
      <c r="AL1100" s="82"/>
      <c r="AM1100" s="82"/>
      <c r="AN1100" s="82"/>
      <c r="AO1100" s="82"/>
      <c r="AP1100" s="82"/>
      <c r="AQ1100" s="82"/>
      <c r="AR1100" s="82"/>
      <c r="AS1100" s="82"/>
      <c r="AT1100" s="82"/>
      <c r="AU1100" s="82"/>
      <c r="AV1100" s="82"/>
      <c r="AW1100" s="82" t="str">
        <f t="shared" si="1"/>
        <v/>
      </c>
      <c r="AX1100" s="83" t="str">
        <f t="array" ref="AX1100">IFERROR(DGET('SBV Import'!A:G,"SBV",{"RSC ID","Tier";B1100,A1100}))</f>
        <v/>
      </c>
      <c r="AY1100" s="82" t="str">
        <f t="shared" si="2"/>
        <v/>
      </c>
      <c r="AZ1100" s="82"/>
      <c r="BA1100" s="84" t="s">
        <v>152</v>
      </c>
      <c r="BB1100" s="84" t="str">
        <f>IFERROR(__xludf.DUMMYFUNCTION("iferror(if(A1100="""",,E1100&gt;=FILTER(Constants!$F$2:$F$10,Constants!$A$2:$A$10=A1100)))"),"")</f>
        <v/>
      </c>
    </row>
    <row r="1101">
      <c r="A1101" s="89"/>
      <c r="B1101" s="87"/>
      <c r="C1101" s="73"/>
      <c r="D1101" s="73"/>
      <c r="E1101" s="82"/>
      <c r="F1101" s="82"/>
      <c r="G1101" s="86"/>
      <c r="H1101" s="86"/>
      <c r="I1101" s="86"/>
      <c r="J1101" s="82"/>
      <c r="K1101" s="82"/>
      <c r="L1101" s="82"/>
      <c r="M1101" s="82"/>
      <c r="N1101" s="82"/>
      <c r="O1101" s="82"/>
      <c r="P1101" s="82"/>
      <c r="Q1101" s="82"/>
      <c r="R1101" s="82"/>
      <c r="S1101" s="82"/>
      <c r="T1101" s="82"/>
      <c r="U1101" s="82"/>
      <c r="V1101" s="82"/>
      <c r="W1101" s="82"/>
      <c r="X1101" s="82"/>
      <c r="Y1101" s="82"/>
      <c r="Z1101" s="82"/>
      <c r="AA1101" s="82"/>
      <c r="AB1101" s="82"/>
      <c r="AC1101" s="82"/>
      <c r="AD1101" s="82"/>
      <c r="AE1101" s="82"/>
      <c r="AF1101" s="82"/>
      <c r="AG1101" s="82"/>
      <c r="AH1101" s="82"/>
      <c r="AI1101" s="82"/>
      <c r="AJ1101" s="82"/>
      <c r="AK1101" s="82"/>
      <c r="AL1101" s="82"/>
      <c r="AM1101" s="82"/>
      <c r="AN1101" s="82"/>
      <c r="AO1101" s="82"/>
      <c r="AP1101" s="82"/>
      <c r="AQ1101" s="82"/>
      <c r="AR1101" s="82"/>
      <c r="AS1101" s="82"/>
      <c r="AT1101" s="82"/>
      <c r="AU1101" s="82"/>
      <c r="AV1101" s="82"/>
      <c r="AW1101" s="82" t="str">
        <f t="shared" si="1"/>
        <v/>
      </c>
      <c r="AX1101" s="83" t="str">
        <f t="array" ref="AX1101">IFERROR(DGET('SBV Import'!A:G,"SBV",{"RSC ID","Tier";B1101,A1101}))</f>
        <v/>
      </c>
      <c r="AY1101" s="82" t="str">
        <f t="shared" si="2"/>
        <v/>
      </c>
      <c r="AZ1101" s="82"/>
      <c r="BA1101" s="84" t="s">
        <v>152</v>
      </c>
      <c r="BB1101" s="84" t="str">
        <f>IFERROR(__xludf.DUMMYFUNCTION("iferror(if(A1101="""",,E1101&gt;=FILTER(Constants!$F$2:$F$10,Constants!$A$2:$A$10=A1101)))"),"")</f>
        <v/>
      </c>
    </row>
    <row r="1102">
      <c r="A1102" s="89"/>
      <c r="B1102" s="87"/>
      <c r="C1102" s="73"/>
      <c r="D1102" s="73"/>
      <c r="E1102" s="82"/>
      <c r="F1102" s="82"/>
      <c r="G1102" s="86"/>
      <c r="H1102" s="86"/>
      <c r="I1102" s="86"/>
      <c r="J1102" s="82"/>
      <c r="K1102" s="82"/>
      <c r="L1102" s="82"/>
      <c r="M1102" s="82"/>
      <c r="N1102" s="82"/>
      <c r="O1102" s="82"/>
      <c r="P1102" s="82"/>
      <c r="Q1102" s="82"/>
      <c r="R1102" s="82"/>
      <c r="S1102" s="82"/>
      <c r="T1102" s="82"/>
      <c r="U1102" s="82"/>
      <c r="V1102" s="82"/>
      <c r="W1102" s="82"/>
      <c r="X1102" s="82"/>
      <c r="Y1102" s="82"/>
      <c r="Z1102" s="82"/>
      <c r="AA1102" s="82"/>
      <c r="AB1102" s="82"/>
      <c r="AC1102" s="82"/>
      <c r="AD1102" s="82"/>
      <c r="AE1102" s="82"/>
      <c r="AF1102" s="82"/>
      <c r="AG1102" s="82"/>
      <c r="AH1102" s="82"/>
      <c r="AI1102" s="82"/>
      <c r="AJ1102" s="82"/>
      <c r="AK1102" s="82"/>
      <c r="AL1102" s="82"/>
      <c r="AM1102" s="82"/>
      <c r="AN1102" s="82"/>
      <c r="AO1102" s="82"/>
      <c r="AP1102" s="82"/>
      <c r="AQ1102" s="82"/>
      <c r="AR1102" s="82"/>
      <c r="AS1102" s="82"/>
      <c r="AT1102" s="82"/>
      <c r="AU1102" s="82"/>
      <c r="AV1102" s="82"/>
      <c r="AW1102" s="82" t="str">
        <f t="shared" si="1"/>
        <v/>
      </c>
      <c r="AX1102" s="83" t="str">
        <f t="array" ref="AX1102">IFERROR(DGET('SBV Import'!A:G,"SBV",{"RSC ID","Tier";B1102,A1102}))</f>
        <v/>
      </c>
      <c r="AY1102" s="82" t="str">
        <f t="shared" si="2"/>
        <v/>
      </c>
      <c r="AZ1102" s="82"/>
      <c r="BA1102" s="84" t="s">
        <v>152</v>
      </c>
      <c r="BB1102" s="84" t="str">
        <f>IFERROR(__xludf.DUMMYFUNCTION("iferror(if(A1102="""",,E1102&gt;=FILTER(Constants!$F$2:$F$10,Constants!$A$2:$A$10=A1102)))"),"")</f>
        <v/>
      </c>
    </row>
    <row r="1103">
      <c r="A1103" s="89"/>
      <c r="B1103" s="87"/>
      <c r="C1103" s="73"/>
      <c r="D1103" s="73"/>
      <c r="E1103" s="82"/>
      <c r="F1103" s="82"/>
      <c r="G1103" s="86"/>
      <c r="H1103" s="86"/>
      <c r="I1103" s="86"/>
      <c r="J1103" s="82"/>
      <c r="K1103" s="82"/>
      <c r="L1103" s="82"/>
      <c r="M1103" s="82"/>
      <c r="N1103" s="82"/>
      <c r="O1103" s="82"/>
      <c r="P1103" s="82"/>
      <c r="Q1103" s="82"/>
      <c r="R1103" s="82"/>
      <c r="S1103" s="82"/>
      <c r="T1103" s="82"/>
      <c r="U1103" s="82"/>
      <c r="V1103" s="82"/>
      <c r="W1103" s="82"/>
      <c r="X1103" s="82"/>
      <c r="Y1103" s="82"/>
      <c r="Z1103" s="82"/>
      <c r="AA1103" s="82"/>
      <c r="AB1103" s="82"/>
      <c r="AC1103" s="82"/>
      <c r="AD1103" s="82"/>
      <c r="AE1103" s="82"/>
      <c r="AF1103" s="82"/>
      <c r="AG1103" s="82"/>
      <c r="AH1103" s="82"/>
      <c r="AI1103" s="82"/>
      <c r="AJ1103" s="82"/>
      <c r="AK1103" s="82"/>
      <c r="AL1103" s="82"/>
      <c r="AM1103" s="82"/>
      <c r="AN1103" s="82"/>
      <c r="AO1103" s="82"/>
      <c r="AP1103" s="82"/>
      <c r="AQ1103" s="82"/>
      <c r="AR1103" s="82"/>
      <c r="AS1103" s="82"/>
      <c r="AT1103" s="82"/>
      <c r="AU1103" s="82"/>
      <c r="AV1103" s="82"/>
      <c r="AW1103" s="82" t="str">
        <f t="shared" si="1"/>
        <v/>
      </c>
      <c r="AX1103" s="83" t="str">
        <f t="array" ref="AX1103">IFERROR(DGET('SBV Import'!A:G,"SBV",{"RSC ID","Tier";B1103,A1103}))</f>
        <v/>
      </c>
      <c r="AY1103" s="82" t="str">
        <f t="shared" si="2"/>
        <v/>
      </c>
      <c r="AZ1103" s="82"/>
      <c r="BA1103" s="84" t="s">
        <v>152</v>
      </c>
      <c r="BB1103" s="84" t="str">
        <f>IFERROR(__xludf.DUMMYFUNCTION("iferror(if(A1103="""",,E1103&gt;=FILTER(Constants!$F$2:$F$10,Constants!$A$2:$A$10=A1103)))"),"")</f>
        <v/>
      </c>
    </row>
    <row r="1104">
      <c r="A1104" s="89"/>
      <c r="B1104" s="87"/>
      <c r="C1104" s="73"/>
      <c r="D1104" s="73"/>
      <c r="E1104" s="82"/>
      <c r="F1104" s="82"/>
      <c r="G1104" s="86"/>
      <c r="H1104" s="86"/>
      <c r="I1104" s="86"/>
      <c r="J1104" s="82"/>
      <c r="K1104" s="82"/>
      <c r="L1104" s="82"/>
      <c r="M1104" s="82"/>
      <c r="N1104" s="82"/>
      <c r="O1104" s="82"/>
      <c r="P1104" s="82"/>
      <c r="Q1104" s="82"/>
      <c r="R1104" s="82"/>
      <c r="S1104" s="82"/>
      <c r="T1104" s="82"/>
      <c r="U1104" s="82"/>
      <c r="V1104" s="82"/>
      <c r="W1104" s="82"/>
      <c r="X1104" s="82"/>
      <c r="Y1104" s="82"/>
      <c r="Z1104" s="82"/>
      <c r="AA1104" s="82"/>
      <c r="AB1104" s="82"/>
      <c r="AC1104" s="82"/>
      <c r="AD1104" s="82"/>
      <c r="AE1104" s="82"/>
      <c r="AF1104" s="82"/>
      <c r="AG1104" s="82"/>
      <c r="AH1104" s="82"/>
      <c r="AI1104" s="82"/>
      <c r="AJ1104" s="82"/>
      <c r="AK1104" s="82"/>
      <c r="AL1104" s="82"/>
      <c r="AM1104" s="82"/>
      <c r="AN1104" s="82"/>
      <c r="AO1104" s="82"/>
      <c r="AP1104" s="82"/>
      <c r="AQ1104" s="82"/>
      <c r="AR1104" s="82"/>
      <c r="AS1104" s="82"/>
      <c r="AT1104" s="82"/>
      <c r="AU1104" s="82"/>
      <c r="AV1104" s="82"/>
      <c r="AW1104" s="82" t="str">
        <f t="shared" si="1"/>
        <v/>
      </c>
      <c r="AX1104" s="83" t="str">
        <f t="array" ref="AX1104">IFERROR(DGET('SBV Import'!A:G,"SBV",{"RSC ID","Tier";B1104,A1104}))</f>
        <v/>
      </c>
      <c r="AY1104" s="82" t="str">
        <f t="shared" si="2"/>
        <v/>
      </c>
      <c r="AZ1104" s="82"/>
      <c r="BA1104" s="84" t="s">
        <v>152</v>
      </c>
      <c r="BB1104" s="84" t="str">
        <f>IFERROR(__xludf.DUMMYFUNCTION("iferror(if(A1104="""",,E1104&gt;=FILTER(Constants!$F$2:$F$10,Constants!$A$2:$A$10=A1104)))"),"")</f>
        <v/>
      </c>
    </row>
    <row r="1105">
      <c r="A1105" s="89"/>
      <c r="B1105" s="87"/>
      <c r="C1105" s="73"/>
      <c r="D1105" s="73"/>
      <c r="E1105" s="82"/>
      <c r="F1105" s="82"/>
      <c r="G1105" s="86"/>
      <c r="H1105" s="86"/>
      <c r="I1105" s="86"/>
      <c r="J1105" s="82"/>
      <c r="K1105" s="82"/>
      <c r="L1105" s="82"/>
      <c r="M1105" s="82"/>
      <c r="N1105" s="82"/>
      <c r="O1105" s="82"/>
      <c r="P1105" s="82"/>
      <c r="Q1105" s="82"/>
      <c r="R1105" s="82"/>
      <c r="S1105" s="82"/>
      <c r="T1105" s="82"/>
      <c r="U1105" s="82"/>
      <c r="V1105" s="82"/>
      <c r="W1105" s="82"/>
      <c r="X1105" s="82"/>
      <c r="Y1105" s="82"/>
      <c r="Z1105" s="82"/>
      <c r="AA1105" s="82"/>
      <c r="AB1105" s="82"/>
      <c r="AC1105" s="82"/>
      <c r="AD1105" s="82"/>
      <c r="AE1105" s="82"/>
      <c r="AF1105" s="82"/>
      <c r="AG1105" s="82"/>
      <c r="AH1105" s="82"/>
      <c r="AI1105" s="82"/>
      <c r="AJ1105" s="82"/>
      <c r="AK1105" s="82"/>
      <c r="AL1105" s="82"/>
      <c r="AM1105" s="82"/>
      <c r="AN1105" s="82"/>
      <c r="AO1105" s="82"/>
      <c r="AP1105" s="82"/>
      <c r="AQ1105" s="82"/>
      <c r="AR1105" s="82"/>
      <c r="AS1105" s="82"/>
      <c r="AT1105" s="82"/>
      <c r="AU1105" s="82"/>
      <c r="AV1105" s="82"/>
      <c r="AW1105" s="82" t="str">
        <f t="shared" si="1"/>
        <v/>
      </c>
      <c r="AX1105" s="83" t="str">
        <f t="array" ref="AX1105">IFERROR(DGET('SBV Import'!A:G,"SBV",{"RSC ID","Tier";B1105,A1105}))</f>
        <v/>
      </c>
      <c r="AY1105" s="82" t="str">
        <f t="shared" si="2"/>
        <v/>
      </c>
      <c r="AZ1105" s="82"/>
      <c r="BA1105" s="84" t="s">
        <v>152</v>
      </c>
      <c r="BB1105" s="84" t="str">
        <f>IFERROR(__xludf.DUMMYFUNCTION("iferror(if(A1105="""",,E1105&gt;=FILTER(Constants!$F$2:$F$10,Constants!$A$2:$A$10=A1105)))"),"")</f>
        <v/>
      </c>
    </row>
    <row r="1106">
      <c r="A1106" s="89"/>
      <c r="B1106" s="87"/>
      <c r="C1106" s="73"/>
      <c r="D1106" s="73"/>
      <c r="E1106" s="82"/>
      <c r="F1106" s="82"/>
      <c r="G1106" s="86"/>
      <c r="H1106" s="86"/>
      <c r="I1106" s="86"/>
      <c r="J1106" s="82"/>
      <c r="K1106" s="82"/>
      <c r="L1106" s="82"/>
      <c r="M1106" s="82"/>
      <c r="N1106" s="82"/>
      <c r="O1106" s="82"/>
      <c r="P1106" s="82"/>
      <c r="Q1106" s="82"/>
      <c r="R1106" s="82"/>
      <c r="S1106" s="82"/>
      <c r="T1106" s="82"/>
      <c r="U1106" s="82"/>
      <c r="V1106" s="82"/>
      <c r="W1106" s="82"/>
      <c r="X1106" s="82"/>
      <c r="Y1106" s="82"/>
      <c r="Z1106" s="82"/>
      <c r="AA1106" s="82"/>
      <c r="AB1106" s="82"/>
      <c r="AC1106" s="82"/>
      <c r="AD1106" s="82"/>
      <c r="AE1106" s="82"/>
      <c r="AF1106" s="82"/>
      <c r="AG1106" s="82"/>
      <c r="AH1106" s="82"/>
      <c r="AI1106" s="82"/>
      <c r="AJ1106" s="82"/>
      <c r="AK1106" s="82"/>
      <c r="AL1106" s="82"/>
      <c r="AM1106" s="82"/>
      <c r="AN1106" s="82"/>
      <c r="AO1106" s="82"/>
      <c r="AP1106" s="82"/>
      <c r="AQ1106" s="82"/>
      <c r="AR1106" s="82"/>
      <c r="AS1106" s="82"/>
      <c r="AT1106" s="82"/>
      <c r="AU1106" s="82"/>
      <c r="AV1106" s="82"/>
      <c r="AW1106" s="82" t="str">
        <f t="shared" si="1"/>
        <v/>
      </c>
      <c r="AX1106" s="83" t="str">
        <f t="array" ref="AX1106">IFERROR(DGET('SBV Import'!A:G,"SBV",{"RSC ID","Tier";B1106,A1106}))</f>
        <v/>
      </c>
      <c r="AY1106" s="82" t="str">
        <f t="shared" si="2"/>
        <v/>
      </c>
      <c r="AZ1106" s="82"/>
      <c r="BA1106" s="84" t="s">
        <v>152</v>
      </c>
      <c r="BB1106" s="84" t="str">
        <f>IFERROR(__xludf.DUMMYFUNCTION("iferror(if(A1106="""",,E1106&gt;=FILTER(Constants!$F$2:$F$10,Constants!$A$2:$A$10=A1106)))"),"")</f>
        <v/>
      </c>
    </row>
    <row r="1107">
      <c r="A1107" s="89"/>
      <c r="B1107" s="87"/>
      <c r="C1107" s="73"/>
      <c r="D1107" s="73"/>
      <c r="E1107" s="82"/>
      <c r="F1107" s="82"/>
      <c r="G1107" s="86"/>
      <c r="H1107" s="86"/>
      <c r="I1107" s="86"/>
      <c r="J1107" s="82"/>
      <c r="K1107" s="82"/>
      <c r="L1107" s="82"/>
      <c r="M1107" s="82"/>
      <c r="N1107" s="82"/>
      <c r="O1107" s="82"/>
      <c r="P1107" s="82"/>
      <c r="Q1107" s="82"/>
      <c r="R1107" s="82"/>
      <c r="S1107" s="82"/>
      <c r="T1107" s="82"/>
      <c r="U1107" s="82"/>
      <c r="V1107" s="82"/>
      <c r="W1107" s="82"/>
      <c r="X1107" s="82"/>
      <c r="Y1107" s="82"/>
      <c r="Z1107" s="82"/>
      <c r="AA1107" s="82"/>
      <c r="AB1107" s="82"/>
      <c r="AC1107" s="82"/>
      <c r="AD1107" s="82"/>
      <c r="AE1107" s="82"/>
      <c r="AF1107" s="82"/>
      <c r="AG1107" s="82"/>
      <c r="AH1107" s="82"/>
      <c r="AI1107" s="82"/>
      <c r="AJ1107" s="82"/>
      <c r="AK1107" s="82"/>
      <c r="AL1107" s="82"/>
      <c r="AM1107" s="82"/>
      <c r="AN1107" s="82"/>
      <c r="AO1107" s="82"/>
      <c r="AP1107" s="82"/>
      <c r="AQ1107" s="82"/>
      <c r="AR1107" s="82"/>
      <c r="AS1107" s="82"/>
      <c r="AT1107" s="82"/>
      <c r="AU1107" s="82"/>
      <c r="AV1107" s="82"/>
      <c r="AW1107" s="82" t="str">
        <f t="shared" si="1"/>
        <v/>
      </c>
      <c r="AX1107" s="83" t="str">
        <f t="array" ref="AX1107">IFERROR(DGET('SBV Import'!A:G,"SBV",{"RSC ID","Tier";B1107,A1107}))</f>
        <v/>
      </c>
      <c r="AY1107" s="82" t="str">
        <f t="shared" si="2"/>
        <v/>
      </c>
      <c r="AZ1107" s="82"/>
      <c r="BA1107" s="84" t="s">
        <v>152</v>
      </c>
      <c r="BB1107" s="84" t="str">
        <f>IFERROR(__xludf.DUMMYFUNCTION("iferror(if(A1107="""",,E1107&gt;=FILTER(Constants!$F$2:$F$10,Constants!$A$2:$A$10=A1107)))"),"")</f>
        <v/>
      </c>
    </row>
    <row r="1108">
      <c r="A1108" s="89"/>
      <c r="B1108" s="87"/>
      <c r="C1108" s="73"/>
      <c r="D1108" s="73"/>
      <c r="E1108" s="82"/>
      <c r="F1108" s="82"/>
      <c r="G1108" s="86"/>
      <c r="H1108" s="86"/>
      <c r="I1108" s="86"/>
      <c r="J1108" s="82"/>
      <c r="K1108" s="82"/>
      <c r="L1108" s="82"/>
      <c r="M1108" s="82"/>
      <c r="N1108" s="82"/>
      <c r="O1108" s="82"/>
      <c r="P1108" s="82"/>
      <c r="Q1108" s="82"/>
      <c r="R1108" s="82"/>
      <c r="S1108" s="82"/>
      <c r="T1108" s="82"/>
      <c r="U1108" s="82"/>
      <c r="V1108" s="82"/>
      <c r="W1108" s="82"/>
      <c r="X1108" s="82"/>
      <c r="Y1108" s="82"/>
      <c r="Z1108" s="82"/>
      <c r="AA1108" s="82"/>
      <c r="AB1108" s="82"/>
      <c r="AC1108" s="82"/>
      <c r="AD1108" s="82"/>
      <c r="AE1108" s="82"/>
      <c r="AF1108" s="82"/>
      <c r="AG1108" s="82"/>
      <c r="AH1108" s="82"/>
      <c r="AI1108" s="82"/>
      <c r="AJ1108" s="82"/>
      <c r="AK1108" s="82"/>
      <c r="AL1108" s="82"/>
      <c r="AM1108" s="82"/>
      <c r="AN1108" s="82"/>
      <c r="AO1108" s="82"/>
      <c r="AP1108" s="82"/>
      <c r="AQ1108" s="82"/>
      <c r="AR1108" s="82"/>
      <c r="AS1108" s="82"/>
      <c r="AT1108" s="82"/>
      <c r="AU1108" s="82"/>
      <c r="AV1108" s="82"/>
      <c r="AW1108" s="82" t="str">
        <f t="shared" si="1"/>
        <v/>
      </c>
      <c r="AX1108" s="83" t="str">
        <f t="array" ref="AX1108">IFERROR(DGET('SBV Import'!A:G,"SBV",{"RSC ID","Tier";B1108,A1108}))</f>
        <v/>
      </c>
      <c r="AY1108" s="82" t="str">
        <f t="shared" si="2"/>
        <v/>
      </c>
      <c r="AZ1108" s="82"/>
      <c r="BA1108" s="84" t="s">
        <v>152</v>
      </c>
      <c r="BB1108" s="84" t="str">
        <f>IFERROR(__xludf.DUMMYFUNCTION("iferror(if(A1108="""",,E1108&gt;=FILTER(Constants!$F$2:$F$10,Constants!$A$2:$A$10=A1108)))"),"")</f>
        <v/>
      </c>
    </row>
    <row r="1109">
      <c r="A1109" s="89"/>
      <c r="B1109" s="87"/>
      <c r="C1109" s="73"/>
      <c r="D1109" s="73"/>
      <c r="E1109" s="82"/>
      <c r="F1109" s="82"/>
      <c r="G1109" s="86"/>
      <c r="H1109" s="86"/>
      <c r="I1109" s="86"/>
      <c r="J1109" s="82"/>
      <c r="K1109" s="82"/>
      <c r="L1109" s="82"/>
      <c r="M1109" s="82"/>
      <c r="N1109" s="82"/>
      <c r="O1109" s="82"/>
      <c r="P1109" s="82"/>
      <c r="Q1109" s="82"/>
      <c r="R1109" s="82"/>
      <c r="S1109" s="82"/>
      <c r="T1109" s="82"/>
      <c r="U1109" s="82"/>
      <c r="V1109" s="82"/>
      <c r="W1109" s="82"/>
      <c r="X1109" s="82"/>
      <c r="Y1109" s="82"/>
      <c r="Z1109" s="82"/>
      <c r="AA1109" s="82"/>
      <c r="AB1109" s="82"/>
      <c r="AC1109" s="82"/>
      <c r="AD1109" s="82"/>
      <c r="AE1109" s="82"/>
      <c r="AF1109" s="82"/>
      <c r="AG1109" s="82"/>
      <c r="AH1109" s="82"/>
      <c r="AI1109" s="82"/>
      <c r="AJ1109" s="82"/>
      <c r="AK1109" s="82"/>
      <c r="AL1109" s="82"/>
      <c r="AM1109" s="82"/>
      <c r="AN1109" s="82"/>
      <c r="AO1109" s="82"/>
      <c r="AP1109" s="82"/>
      <c r="AQ1109" s="82"/>
      <c r="AR1109" s="82"/>
      <c r="AS1109" s="82"/>
      <c r="AT1109" s="82"/>
      <c r="AU1109" s="82"/>
      <c r="AV1109" s="82"/>
      <c r="AW1109" s="82" t="str">
        <f t="shared" si="1"/>
        <v/>
      </c>
      <c r="AX1109" s="83" t="str">
        <f t="array" ref="AX1109">IFERROR(DGET('SBV Import'!A:G,"SBV",{"RSC ID","Tier";B1109,A1109}))</f>
        <v/>
      </c>
      <c r="AY1109" s="82" t="str">
        <f t="shared" si="2"/>
        <v/>
      </c>
      <c r="AZ1109" s="82"/>
      <c r="BA1109" s="84" t="s">
        <v>152</v>
      </c>
      <c r="BB1109" s="84" t="str">
        <f>IFERROR(__xludf.DUMMYFUNCTION("iferror(if(A1109="""",,E1109&gt;=FILTER(Constants!$F$2:$F$10,Constants!$A$2:$A$10=A1109)))"),"")</f>
        <v/>
      </c>
    </row>
    <row r="1110">
      <c r="A1110" s="89"/>
      <c r="B1110" s="87"/>
      <c r="C1110" s="73"/>
      <c r="D1110" s="73"/>
      <c r="E1110" s="82"/>
      <c r="F1110" s="82"/>
      <c r="G1110" s="86"/>
      <c r="H1110" s="86"/>
      <c r="I1110" s="86"/>
      <c r="J1110" s="82"/>
      <c r="K1110" s="82"/>
      <c r="L1110" s="82"/>
      <c r="M1110" s="82"/>
      <c r="N1110" s="82"/>
      <c r="O1110" s="82"/>
      <c r="P1110" s="82"/>
      <c r="Q1110" s="82"/>
      <c r="R1110" s="82"/>
      <c r="S1110" s="82"/>
      <c r="T1110" s="82"/>
      <c r="U1110" s="82"/>
      <c r="V1110" s="82"/>
      <c r="W1110" s="82"/>
      <c r="X1110" s="82"/>
      <c r="Y1110" s="82"/>
      <c r="Z1110" s="82"/>
      <c r="AA1110" s="82"/>
      <c r="AB1110" s="82"/>
      <c r="AC1110" s="82"/>
      <c r="AD1110" s="82"/>
      <c r="AE1110" s="82"/>
      <c r="AF1110" s="82"/>
      <c r="AG1110" s="82"/>
      <c r="AH1110" s="82"/>
      <c r="AI1110" s="82"/>
      <c r="AJ1110" s="82"/>
      <c r="AK1110" s="82"/>
      <c r="AL1110" s="82"/>
      <c r="AM1110" s="82"/>
      <c r="AN1110" s="82"/>
      <c r="AO1110" s="82"/>
      <c r="AP1110" s="82"/>
      <c r="AQ1110" s="82"/>
      <c r="AR1110" s="82"/>
      <c r="AS1110" s="82"/>
      <c r="AT1110" s="82"/>
      <c r="AU1110" s="82"/>
      <c r="AV1110" s="82"/>
      <c r="AW1110" s="82" t="str">
        <f t="shared" si="1"/>
        <v/>
      </c>
      <c r="AX1110" s="83" t="str">
        <f t="array" ref="AX1110">IFERROR(DGET('SBV Import'!A:G,"SBV",{"RSC ID","Tier";B1110,A1110}))</f>
        <v/>
      </c>
      <c r="AY1110" s="82" t="str">
        <f t="shared" si="2"/>
        <v/>
      </c>
      <c r="AZ1110" s="82"/>
      <c r="BA1110" s="84" t="s">
        <v>152</v>
      </c>
      <c r="BB1110" s="84" t="str">
        <f>IFERROR(__xludf.DUMMYFUNCTION("iferror(if(A1110="""",,E1110&gt;=FILTER(Constants!$F$2:$F$10,Constants!$A$2:$A$10=A1110)))"),"")</f>
        <v/>
      </c>
    </row>
    <row r="1111">
      <c r="A1111" s="89"/>
      <c r="B1111" s="87"/>
      <c r="C1111" s="73"/>
      <c r="D1111" s="73"/>
      <c r="E1111" s="82"/>
      <c r="F1111" s="82"/>
      <c r="G1111" s="86"/>
      <c r="H1111" s="86"/>
      <c r="I1111" s="86"/>
      <c r="J1111" s="82"/>
      <c r="K1111" s="82"/>
      <c r="L1111" s="82"/>
      <c r="M1111" s="82"/>
      <c r="N1111" s="82"/>
      <c r="O1111" s="82"/>
      <c r="P1111" s="82"/>
      <c r="Q1111" s="82"/>
      <c r="R1111" s="82"/>
      <c r="S1111" s="82"/>
      <c r="T1111" s="82"/>
      <c r="U1111" s="82"/>
      <c r="V1111" s="82"/>
      <c r="W1111" s="82"/>
      <c r="X1111" s="82"/>
      <c r="Y1111" s="82"/>
      <c r="Z1111" s="82"/>
      <c r="AA1111" s="82"/>
      <c r="AB1111" s="82"/>
      <c r="AC1111" s="82"/>
      <c r="AD1111" s="82"/>
      <c r="AE1111" s="82"/>
      <c r="AF1111" s="82"/>
      <c r="AG1111" s="82"/>
      <c r="AH1111" s="82"/>
      <c r="AI1111" s="82"/>
      <c r="AJ1111" s="82"/>
      <c r="AK1111" s="82"/>
      <c r="AL1111" s="82"/>
      <c r="AM1111" s="82"/>
      <c r="AN1111" s="82"/>
      <c r="AO1111" s="82"/>
      <c r="AP1111" s="82"/>
      <c r="AQ1111" s="82"/>
      <c r="AR1111" s="82"/>
      <c r="AS1111" s="82"/>
      <c r="AT1111" s="82"/>
      <c r="AU1111" s="82"/>
      <c r="AV1111" s="82"/>
      <c r="AW1111" s="82" t="str">
        <f t="shared" si="1"/>
        <v/>
      </c>
      <c r="AX1111" s="83" t="str">
        <f t="array" ref="AX1111">IFERROR(DGET('SBV Import'!A:G,"SBV",{"RSC ID","Tier";B1111,A1111}))</f>
        <v/>
      </c>
      <c r="AY1111" s="82" t="str">
        <f t="shared" si="2"/>
        <v/>
      </c>
      <c r="AZ1111" s="82"/>
      <c r="BA1111" s="84" t="s">
        <v>152</v>
      </c>
      <c r="BB1111" s="84" t="str">
        <f>IFERROR(__xludf.DUMMYFUNCTION("iferror(if(A1111="""",,E1111&gt;=FILTER(Constants!$F$2:$F$10,Constants!$A$2:$A$10=A1111)))"),"")</f>
        <v/>
      </c>
    </row>
    <row r="1112">
      <c r="A1112" s="89"/>
      <c r="B1112" s="87"/>
      <c r="C1112" s="73"/>
      <c r="D1112" s="73"/>
      <c r="E1112" s="82"/>
      <c r="F1112" s="82"/>
      <c r="G1112" s="86"/>
      <c r="H1112" s="86"/>
      <c r="I1112" s="86"/>
      <c r="J1112" s="82"/>
      <c r="K1112" s="82"/>
      <c r="L1112" s="82"/>
      <c r="M1112" s="82"/>
      <c r="N1112" s="82"/>
      <c r="O1112" s="82"/>
      <c r="P1112" s="82"/>
      <c r="Q1112" s="82"/>
      <c r="R1112" s="82"/>
      <c r="S1112" s="82"/>
      <c r="T1112" s="82"/>
      <c r="U1112" s="82"/>
      <c r="V1112" s="82"/>
      <c r="W1112" s="82"/>
      <c r="X1112" s="82"/>
      <c r="Y1112" s="82"/>
      <c r="Z1112" s="82"/>
      <c r="AA1112" s="82"/>
      <c r="AB1112" s="82"/>
      <c r="AC1112" s="82"/>
      <c r="AD1112" s="82"/>
      <c r="AE1112" s="82"/>
      <c r="AF1112" s="82"/>
      <c r="AG1112" s="82"/>
      <c r="AH1112" s="82"/>
      <c r="AI1112" s="82"/>
      <c r="AJ1112" s="82"/>
      <c r="AK1112" s="82"/>
      <c r="AL1112" s="82"/>
      <c r="AM1112" s="82"/>
      <c r="AN1112" s="82"/>
      <c r="AO1112" s="82"/>
      <c r="AP1112" s="82"/>
      <c r="AQ1112" s="82"/>
      <c r="AR1112" s="82"/>
      <c r="AS1112" s="82"/>
      <c r="AT1112" s="82"/>
      <c r="AU1112" s="82"/>
      <c r="AV1112" s="82"/>
      <c r="AW1112" s="82" t="str">
        <f t="shared" si="1"/>
        <v/>
      </c>
      <c r="AX1112" s="83" t="str">
        <f t="array" ref="AX1112">IFERROR(DGET('SBV Import'!A:G,"SBV",{"RSC ID","Tier";B1112,A1112}))</f>
        <v/>
      </c>
      <c r="AY1112" s="82" t="str">
        <f t="shared" si="2"/>
        <v/>
      </c>
      <c r="AZ1112" s="82"/>
      <c r="BA1112" s="84" t="s">
        <v>152</v>
      </c>
      <c r="BB1112" s="84" t="str">
        <f>IFERROR(__xludf.DUMMYFUNCTION("iferror(if(A1112="""",,E1112&gt;=FILTER(Constants!$F$2:$F$10,Constants!$A$2:$A$10=A1112)))"),"")</f>
        <v/>
      </c>
    </row>
    <row r="1113">
      <c r="A1113" s="89"/>
      <c r="B1113" s="87"/>
      <c r="C1113" s="73"/>
      <c r="D1113" s="73"/>
      <c r="E1113" s="82"/>
      <c r="F1113" s="82"/>
      <c r="G1113" s="86"/>
      <c r="H1113" s="86"/>
      <c r="I1113" s="86"/>
      <c r="J1113" s="82"/>
      <c r="K1113" s="82"/>
      <c r="L1113" s="82"/>
      <c r="M1113" s="82"/>
      <c r="N1113" s="82"/>
      <c r="O1113" s="82"/>
      <c r="P1113" s="82"/>
      <c r="Q1113" s="82"/>
      <c r="R1113" s="82"/>
      <c r="S1113" s="82"/>
      <c r="T1113" s="82"/>
      <c r="U1113" s="82"/>
      <c r="V1113" s="82"/>
      <c r="W1113" s="82"/>
      <c r="X1113" s="82"/>
      <c r="Y1113" s="82"/>
      <c r="Z1113" s="82"/>
      <c r="AA1113" s="82"/>
      <c r="AB1113" s="82"/>
      <c r="AC1113" s="82"/>
      <c r="AD1113" s="82"/>
      <c r="AE1113" s="82"/>
      <c r="AF1113" s="82"/>
      <c r="AG1113" s="82"/>
      <c r="AH1113" s="82"/>
      <c r="AI1113" s="82"/>
      <c r="AJ1113" s="82"/>
      <c r="AK1113" s="82"/>
      <c r="AL1113" s="82"/>
      <c r="AM1113" s="82"/>
      <c r="AN1113" s="82"/>
      <c r="AO1113" s="82"/>
      <c r="AP1113" s="82"/>
      <c r="AQ1113" s="82"/>
      <c r="AR1113" s="82"/>
      <c r="AS1113" s="82"/>
      <c r="AT1113" s="82"/>
      <c r="AU1113" s="82"/>
      <c r="AV1113" s="82"/>
      <c r="AW1113" s="82" t="str">
        <f t="shared" si="1"/>
        <v/>
      </c>
      <c r="AX1113" s="83" t="str">
        <f t="array" ref="AX1113">IFERROR(DGET('SBV Import'!A:G,"SBV",{"RSC ID","Tier";B1113,A1113}))</f>
        <v/>
      </c>
      <c r="AY1113" s="82" t="str">
        <f t="shared" si="2"/>
        <v/>
      </c>
      <c r="AZ1113" s="82"/>
      <c r="BA1113" s="84" t="s">
        <v>152</v>
      </c>
      <c r="BB1113" s="84" t="str">
        <f>IFERROR(__xludf.DUMMYFUNCTION("iferror(if(A1113="""",,E1113&gt;=FILTER(Constants!$F$2:$F$10,Constants!$A$2:$A$10=A1113)))"),"")</f>
        <v/>
      </c>
    </row>
    <row r="1114">
      <c r="A1114" s="89"/>
      <c r="B1114" s="87"/>
      <c r="C1114" s="73"/>
      <c r="D1114" s="73"/>
      <c r="E1114" s="82"/>
      <c r="F1114" s="82"/>
      <c r="G1114" s="86"/>
      <c r="H1114" s="86"/>
      <c r="I1114" s="86"/>
      <c r="J1114" s="82"/>
      <c r="K1114" s="82"/>
      <c r="L1114" s="82"/>
      <c r="M1114" s="82"/>
      <c r="N1114" s="82"/>
      <c r="O1114" s="82"/>
      <c r="P1114" s="82"/>
      <c r="Q1114" s="82"/>
      <c r="R1114" s="82"/>
      <c r="S1114" s="82"/>
      <c r="T1114" s="82"/>
      <c r="U1114" s="82"/>
      <c r="V1114" s="82"/>
      <c r="W1114" s="82"/>
      <c r="X1114" s="82"/>
      <c r="Y1114" s="82"/>
      <c r="Z1114" s="82"/>
      <c r="AA1114" s="82"/>
      <c r="AB1114" s="82"/>
      <c r="AC1114" s="82"/>
      <c r="AD1114" s="82"/>
      <c r="AE1114" s="82"/>
      <c r="AF1114" s="82"/>
      <c r="AG1114" s="82"/>
      <c r="AH1114" s="82"/>
      <c r="AI1114" s="82"/>
      <c r="AJ1114" s="82"/>
      <c r="AK1114" s="82"/>
      <c r="AL1114" s="82"/>
      <c r="AM1114" s="82"/>
      <c r="AN1114" s="82"/>
      <c r="AO1114" s="82"/>
      <c r="AP1114" s="82"/>
      <c r="AQ1114" s="82"/>
      <c r="AR1114" s="82"/>
      <c r="AS1114" s="82"/>
      <c r="AT1114" s="82"/>
      <c r="AU1114" s="82"/>
      <c r="AV1114" s="82"/>
      <c r="AW1114" s="82" t="str">
        <f t="shared" si="1"/>
        <v/>
      </c>
      <c r="AX1114" s="83" t="str">
        <f t="array" ref="AX1114">IFERROR(DGET('SBV Import'!A:G,"SBV",{"RSC ID","Tier";B1114,A1114}))</f>
        <v/>
      </c>
      <c r="AY1114" s="82" t="str">
        <f t="shared" si="2"/>
        <v/>
      </c>
      <c r="AZ1114" s="82"/>
      <c r="BA1114" s="84" t="s">
        <v>152</v>
      </c>
      <c r="BB1114" s="84" t="str">
        <f>IFERROR(__xludf.DUMMYFUNCTION("iferror(if(A1114="""",,E1114&gt;=FILTER(Constants!$F$2:$F$10,Constants!$A$2:$A$10=A1114)))"),"")</f>
        <v/>
      </c>
    </row>
    <row r="1115">
      <c r="A1115" s="89"/>
      <c r="B1115" s="87"/>
      <c r="C1115" s="73"/>
      <c r="D1115" s="73"/>
      <c r="E1115" s="82"/>
      <c r="F1115" s="82"/>
      <c r="G1115" s="86"/>
      <c r="H1115" s="86"/>
      <c r="I1115" s="86"/>
      <c r="J1115" s="82"/>
      <c r="K1115" s="82"/>
      <c r="L1115" s="82"/>
      <c r="M1115" s="82"/>
      <c r="N1115" s="82"/>
      <c r="O1115" s="82"/>
      <c r="P1115" s="82"/>
      <c r="Q1115" s="82"/>
      <c r="R1115" s="82"/>
      <c r="S1115" s="82"/>
      <c r="T1115" s="82"/>
      <c r="U1115" s="82"/>
      <c r="V1115" s="82"/>
      <c r="W1115" s="82"/>
      <c r="X1115" s="82"/>
      <c r="Y1115" s="82"/>
      <c r="Z1115" s="82"/>
      <c r="AA1115" s="82"/>
      <c r="AB1115" s="82"/>
      <c r="AC1115" s="82"/>
      <c r="AD1115" s="82"/>
      <c r="AE1115" s="82"/>
      <c r="AF1115" s="82"/>
      <c r="AG1115" s="82"/>
      <c r="AH1115" s="82"/>
      <c r="AI1115" s="82"/>
      <c r="AJ1115" s="82"/>
      <c r="AK1115" s="82"/>
      <c r="AL1115" s="82"/>
      <c r="AM1115" s="82"/>
      <c r="AN1115" s="82"/>
      <c r="AO1115" s="82"/>
      <c r="AP1115" s="82"/>
      <c r="AQ1115" s="82"/>
      <c r="AR1115" s="82"/>
      <c r="AS1115" s="82"/>
      <c r="AT1115" s="82"/>
      <c r="AU1115" s="82"/>
      <c r="AV1115" s="82"/>
      <c r="AW1115" s="82" t="str">
        <f t="shared" si="1"/>
        <v/>
      </c>
      <c r="AX1115" s="83" t="str">
        <f t="array" ref="AX1115">IFERROR(DGET('SBV Import'!A:G,"SBV",{"RSC ID","Tier";B1115,A1115}))</f>
        <v/>
      </c>
      <c r="AY1115" s="82" t="str">
        <f t="shared" si="2"/>
        <v/>
      </c>
      <c r="AZ1115" s="82"/>
      <c r="BA1115" s="84" t="s">
        <v>152</v>
      </c>
      <c r="BB1115" s="84" t="str">
        <f>IFERROR(__xludf.DUMMYFUNCTION("iferror(if(A1115="""",,E1115&gt;=FILTER(Constants!$F$2:$F$10,Constants!$A$2:$A$10=A1115)))"),"")</f>
        <v/>
      </c>
    </row>
    <row r="1116">
      <c r="A1116" s="89"/>
      <c r="B1116" s="87"/>
      <c r="C1116" s="73"/>
      <c r="D1116" s="73"/>
      <c r="E1116" s="82"/>
      <c r="F1116" s="82"/>
      <c r="G1116" s="86"/>
      <c r="H1116" s="86"/>
      <c r="I1116" s="86"/>
      <c r="J1116" s="82"/>
      <c r="K1116" s="82"/>
      <c r="L1116" s="82"/>
      <c r="M1116" s="82"/>
      <c r="N1116" s="82"/>
      <c r="O1116" s="82"/>
      <c r="P1116" s="82"/>
      <c r="Q1116" s="82"/>
      <c r="R1116" s="82"/>
      <c r="S1116" s="82"/>
      <c r="T1116" s="82"/>
      <c r="U1116" s="82"/>
      <c r="V1116" s="82"/>
      <c r="W1116" s="82"/>
      <c r="X1116" s="82"/>
      <c r="Y1116" s="82"/>
      <c r="Z1116" s="82"/>
      <c r="AA1116" s="82"/>
      <c r="AB1116" s="82"/>
      <c r="AC1116" s="82"/>
      <c r="AD1116" s="82"/>
      <c r="AE1116" s="82"/>
      <c r="AF1116" s="82"/>
      <c r="AG1116" s="82"/>
      <c r="AH1116" s="82"/>
      <c r="AI1116" s="82"/>
      <c r="AJ1116" s="82"/>
      <c r="AK1116" s="82"/>
      <c r="AL1116" s="82"/>
      <c r="AM1116" s="82"/>
      <c r="AN1116" s="82"/>
      <c r="AO1116" s="82"/>
      <c r="AP1116" s="82"/>
      <c r="AQ1116" s="82"/>
      <c r="AR1116" s="82"/>
      <c r="AS1116" s="82"/>
      <c r="AT1116" s="82"/>
      <c r="AU1116" s="82"/>
      <c r="AV1116" s="82"/>
      <c r="AW1116" s="82" t="str">
        <f t="shared" si="1"/>
        <v/>
      </c>
      <c r="AX1116" s="83" t="str">
        <f t="array" ref="AX1116">IFERROR(DGET('SBV Import'!A:G,"SBV",{"RSC ID","Tier";B1116,A1116}))</f>
        <v/>
      </c>
      <c r="AY1116" s="82" t="str">
        <f t="shared" si="2"/>
        <v/>
      </c>
      <c r="AZ1116" s="82"/>
      <c r="BA1116" s="84" t="s">
        <v>152</v>
      </c>
      <c r="BB1116" s="84" t="str">
        <f>IFERROR(__xludf.DUMMYFUNCTION("iferror(if(A1116="""",,E1116&gt;=FILTER(Constants!$F$2:$F$10,Constants!$A$2:$A$10=A1116)))"),"")</f>
        <v/>
      </c>
    </row>
    <row r="1117">
      <c r="A1117" s="89"/>
      <c r="B1117" s="87"/>
      <c r="C1117" s="73"/>
      <c r="D1117" s="73"/>
      <c r="E1117" s="82"/>
      <c r="F1117" s="82"/>
      <c r="G1117" s="86"/>
      <c r="H1117" s="86"/>
      <c r="I1117" s="86"/>
      <c r="J1117" s="82"/>
      <c r="K1117" s="82"/>
      <c r="L1117" s="82"/>
      <c r="M1117" s="82"/>
      <c r="N1117" s="82"/>
      <c r="O1117" s="82"/>
      <c r="P1117" s="82"/>
      <c r="Q1117" s="82"/>
      <c r="R1117" s="82"/>
      <c r="S1117" s="82"/>
      <c r="T1117" s="82"/>
      <c r="U1117" s="82"/>
      <c r="V1117" s="82"/>
      <c r="W1117" s="82"/>
      <c r="X1117" s="82"/>
      <c r="Y1117" s="82"/>
      <c r="Z1117" s="82"/>
      <c r="AA1117" s="82"/>
      <c r="AB1117" s="82"/>
      <c r="AC1117" s="82"/>
      <c r="AD1117" s="82"/>
      <c r="AE1117" s="82"/>
      <c r="AF1117" s="82"/>
      <c r="AG1117" s="82"/>
      <c r="AH1117" s="82"/>
      <c r="AI1117" s="82"/>
      <c r="AJ1117" s="82"/>
      <c r="AK1117" s="82"/>
      <c r="AL1117" s="82"/>
      <c r="AM1117" s="82"/>
      <c r="AN1117" s="82"/>
      <c r="AO1117" s="82"/>
      <c r="AP1117" s="82"/>
      <c r="AQ1117" s="82"/>
      <c r="AR1117" s="82"/>
      <c r="AS1117" s="82"/>
      <c r="AT1117" s="82"/>
      <c r="AU1117" s="82"/>
      <c r="AV1117" s="82"/>
      <c r="AW1117" s="82" t="str">
        <f t="shared" si="1"/>
        <v/>
      </c>
      <c r="AX1117" s="83" t="str">
        <f t="array" ref="AX1117">IFERROR(DGET('SBV Import'!A:G,"SBV",{"RSC ID","Tier";B1117,A1117}))</f>
        <v/>
      </c>
      <c r="AY1117" s="82" t="str">
        <f t="shared" si="2"/>
        <v/>
      </c>
      <c r="AZ1117" s="82"/>
      <c r="BA1117" s="84" t="s">
        <v>152</v>
      </c>
      <c r="BB1117" s="84" t="str">
        <f>IFERROR(__xludf.DUMMYFUNCTION("iferror(if(A1117="""",,E1117&gt;=FILTER(Constants!$F$2:$F$10,Constants!$A$2:$A$10=A1117)))"),"")</f>
        <v/>
      </c>
    </row>
    <row r="1118">
      <c r="A1118" s="89"/>
      <c r="B1118" s="87"/>
      <c r="C1118" s="73"/>
      <c r="D1118" s="73"/>
      <c r="E1118" s="82"/>
      <c r="F1118" s="82"/>
      <c r="G1118" s="86"/>
      <c r="H1118" s="86"/>
      <c r="I1118" s="86"/>
      <c r="J1118" s="82"/>
      <c r="K1118" s="82"/>
      <c r="L1118" s="82"/>
      <c r="M1118" s="82"/>
      <c r="N1118" s="82"/>
      <c r="O1118" s="82"/>
      <c r="P1118" s="82"/>
      <c r="Q1118" s="82"/>
      <c r="R1118" s="82"/>
      <c r="S1118" s="82"/>
      <c r="T1118" s="82"/>
      <c r="U1118" s="82"/>
      <c r="V1118" s="82"/>
      <c r="W1118" s="82"/>
      <c r="X1118" s="82"/>
      <c r="Y1118" s="82"/>
      <c r="Z1118" s="82"/>
      <c r="AA1118" s="82"/>
      <c r="AB1118" s="82"/>
      <c r="AC1118" s="82"/>
      <c r="AD1118" s="82"/>
      <c r="AE1118" s="82"/>
      <c r="AF1118" s="82"/>
      <c r="AG1118" s="82"/>
      <c r="AH1118" s="82"/>
      <c r="AI1118" s="82"/>
      <c r="AJ1118" s="82"/>
      <c r="AK1118" s="82"/>
      <c r="AL1118" s="82"/>
      <c r="AM1118" s="82"/>
      <c r="AN1118" s="82"/>
      <c r="AO1118" s="82"/>
      <c r="AP1118" s="82"/>
      <c r="AQ1118" s="82"/>
      <c r="AR1118" s="82"/>
      <c r="AS1118" s="82"/>
      <c r="AT1118" s="82"/>
      <c r="AU1118" s="82"/>
      <c r="AV1118" s="82"/>
      <c r="AW1118" s="82" t="str">
        <f t="shared" si="1"/>
        <v/>
      </c>
      <c r="AX1118" s="83" t="str">
        <f t="array" ref="AX1118">IFERROR(DGET('SBV Import'!A:G,"SBV",{"RSC ID","Tier";B1118,A1118}))</f>
        <v/>
      </c>
      <c r="AY1118" s="82" t="str">
        <f t="shared" si="2"/>
        <v/>
      </c>
      <c r="AZ1118" s="82"/>
      <c r="BA1118" s="84" t="s">
        <v>152</v>
      </c>
      <c r="BB1118" s="84" t="str">
        <f>IFERROR(__xludf.DUMMYFUNCTION("iferror(if(A1118="""",,E1118&gt;=FILTER(Constants!$F$2:$F$10,Constants!$A$2:$A$10=A1118)))"),"")</f>
        <v/>
      </c>
    </row>
    <row r="1119">
      <c r="A1119" s="89"/>
      <c r="B1119" s="87"/>
      <c r="C1119" s="73"/>
      <c r="D1119" s="73"/>
      <c r="E1119" s="82"/>
      <c r="F1119" s="82"/>
      <c r="G1119" s="86"/>
      <c r="H1119" s="86"/>
      <c r="I1119" s="86"/>
      <c r="J1119" s="82"/>
      <c r="K1119" s="82"/>
      <c r="L1119" s="82"/>
      <c r="M1119" s="82"/>
      <c r="N1119" s="82"/>
      <c r="O1119" s="82"/>
      <c r="P1119" s="82"/>
      <c r="Q1119" s="82"/>
      <c r="R1119" s="82"/>
      <c r="S1119" s="82"/>
      <c r="T1119" s="82"/>
      <c r="U1119" s="82"/>
      <c r="V1119" s="82"/>
      <c r="W1119" s="82"/>
      <c r="X1119" s="82"/>
      <c r="Y1119" s="82"/>
      <c r="Z1119" s="82"/>
      <c r="AA1119" s="82"/>
      <c r="AB1119" s="82"/>
      <c r="AC1119" s="82"/>
      <c r="AD1119" s="82"/>
      <c r="AE1119" s="82"/>
      <c r="AF1119" s="82"/>
      <c r="AG1119" s="82"/>
      <c r="AH1119" s="82"/>
      <c r="AI1119" s="82"/>
      <c r="AJ1119" s="82"/>
      <c r="AK1119" s="82"/>
      <c r="AL1119" s="82"/>
      <c r="AM1119" s="82"/>
      <c r="AN1119" s="82"/>
      <c r="AO1119" s="82"/>
      <c r="AP1119" s="82"/>
      <c r="AQ1119" s="82"/>
      <c r="AR1119" s="82"/>
      <c r="AS1119" s="82"/>
      <c r="AT1119" s="82"/>
      <c r="AU1119" s="82"/>
      <c r="AV1119" s="82"/>
      <c r="AW1119" s="82" t="str">
        <f t="shared" si="1"/>
        <v/>
      </c>
      <c r="AX1119" s="83" t="str">
        <f t="array" ref="AX1119">IFERROR(DGET('SBV Import'!A:G,"SBV",{"RSC ID","Tier";B1119,A1119}))</f>
        <v/>
      </c>
      <c r="AY1119" s="82" t="str">
        <f t="shared" si="2"/>
        <v/>
      </c>
      <c r="AZ1119" s="82"/>
      <c r="BA1119" s="84" t="s">
        <v>152</v>
      </c>
      <c r="BB1119" s="84" t="str">
        <f>IFERROR(__xludf.DUMMYFUNCTION("iferror(if(A1119="""",,E1119&gt;=FILTER(Constants!$F$2:$F$10,Constants!$A$2:$A$10=A1119)))"),"")</f>
        <v/>
      </c>
    </row>
    <row r="1120">
      <c r="A1120" s="89"/>
      <c r="B1120" s="87"/>
      <c r="C1120" s="73"/>
      <c r="D1120" s="73"/>
      <c r="E1120" s="82"/>
      <c r="F1120" s="82"/>
      <c r="G1120" s="86"/>
      <c r="H1120" s="86"/>
      <c r="I1120" s="86"/>
      <c r="J1120" s="82"/>
      <c r="K1120" s="82"/>
      <c r="L1120" s="82"/>
      <c r="M1120" s="82"/>
      <c r="N1120" s="82"/>
      <c r="O1120" s="82"/>
      <c r="P1120" s="82"/>
      <c r="Q1120" s="82"/>
      <c r="R1120" s="82"/>
      <c r="S1120" s="82"/>
      <c r="T1120" s="82"/>
      <c r="U1120" s="82"/>
      <c r="V1120" s="82"/>
      <c r="W1120" s="82"/>
      <c r="X1120" s="82"/>
      <c r="Y1120" s="82"/>
      <c r="Z1120" s="82"/>
      <c r="AA1120" s="82"/>
      <c r="AB1120" s="82"/>
      <c r="AC1120" s="82"/>
      <c r="AD1120" s="82"/>
      <c r="AE1120" s="82"/>
      <c r="AF1120" s="82"/>
      <c r="AG1120" s="82"/>
      <c r="AH1120" s="82"/>
      <c r="AI1120" s="82"/>
      <c r="AJ1120" s="82"/>
      <c r="AK1120" s="82"/>
      <c r="AL1120" s="82"/>
      <c r="AM1120" s="82"/>
      <c r="AN1120" s="82"/>
      <c r="AO1120" s="82"/>
      <c r="AP1120" s="82"/>
      <c r="AQ1120" s="82"/>
      <c r="AR1120" s="82"/>
      <c r="AS1120" s="82"/>
      <c r="AT1120" s="82"/>
      <c r="AU1120" s="82"/>
      <c r="AV1120" s="82"/>
      <c r="AW1120" s="82" t="str">
        <f t="shared" si="1"/>
        <v/>
      </c>
      <c r="AX1120" s="83" t="str">
        <f t="array" ref="AX1120">IFERROR(DGET('SBV Import'!A:G,"SBV",{"RSC ID","Tier";B1120,A1120}))</f>
        <v/>
      </c>
      <c r="AY1120" s="82" t="str">
        <f t="shared" si="2"/>
        <v/>
      </c>
      <c r="AZ1120" s="82"/>
      <c r="BA1120" s="84" t="s">
        <v>152</v>
      </c>
      <c r="BB1120" s="84" t="str">
        <f>IFERROR(__xludf.DUMMYFUNCTION("iferror(if(A1120="""",,E1120&gt;=FILTER(Constants!$F$2:$F$10,Constants!$A$2:$A$10=A1120)))"),"")</f>
        <v/>
      </c>
    </row>
    <row r="1121">
      <c r="A1121" s="89"/>
      <c r="B1121" s="87"/>
      <c r="C1121" s="73"/>
      <c r="D1121" s="73"/>
      <c r="E1121" s="82"/>
      <c r="F1121" s="82"/>
      <c r="G1121" s="86"/>
      <c r="H1121" s="86"/>
      <c r="I1121" s="86"/>
      <c r="J1121" s="82"/>
      <c r="K1121" s="82"/>
      <c r="L1121" s="82"/>
      <c r="M1121" s="82"/>
      <c r="N1121" s="82"/>
      <c r="O1121" s="82"/>
      <c r="P1121" s="82"/>
      <c r="Q1121" s="82"/>
      <c r="R1121" s="82"/>
      <c r="S1121" s="82"/>
      <c r="T1121" s="82"/>
      <c r="U1121" s="82"/>
      <c r="V1121" s="82"/>
      <c r="W1121" s="82"/>
      <c r="X1121" s="82"/>
      <c r="Y1121" s="82"/>
      <c r="Z1121" s="82"/>
      <c r="AA1121" s="82"/>
      <c r="AB1121" s="82"/>
      <c r="AC1121" s="82"/>
      <c r="AD1121" s="82"/>
      <c r="AE1121" s="82"/>
      <c r="AF1121" s="82"/>
      <c r="AG1121" s="82"/>
      <c r="AH1121" s="82"/>
      <c r="AI1121" s="82"/>
      <c r="AJ1121" s="82"/>
      <c r="AK1121" s="82"/>
      <c r="AL1121" s="82"/>
      <c r="AM1121" s="82"/>
      <c r="AN1121" s="82"/>
      <c r="AO1121" s="82"/>
      <c r="AP1121" s="82"/>
      <c r="AQ1121" s="82"/>
      <c r="AR1121" s="82"/>
      <c r="AS1121" s="82"/>
      <c r="AT1121" s="82"/>
      <c r="AU1121" s="82"/>
      <c r="AV1121" s="82"/>
      <c r="AW1121" s="82" t="str">
        <f t="shared" si="1"/>
        <v/>
      </c>
      <c r="AX1121" s="83" t="str">
        <f t="array" ref="AX1121">IFERROR(DGET('SBV Import'!A:G,"SBV",{"RSC ID","Tier";B1121,A1121}))</f>
        <v/>
      </c>
      <c r="AY1121" s="82" t="str">
        <f t="shared" si="2"/>
        <v/>
      </c>
      <c r="AZ1121" s="82"/>
      <c r="BA1121" s="84" t="s">
        <v>152</v>
      </c>
      <c r="BB1121" s="84" t="str">
        <f>IFERROR(__xludf.DUMMYFUNCTION("iferror(if(A1121="""",,E1121&gt;=FILTER(Constants!$F$2:$F$10,Constants!$A$2:$A$10=A1121)))"),"")</f>
        <v/>
      </c>
    </row>
    <row r="1122">
      <c r="A1122" s="89"/>
      <c r="B1122" s="87"/>
      <c r="C1122" s="73"/>
      <c r="D1122" s="73"/>
      <c r="E1122" s="82"/>
      <c r="F1122" s="82"/>
      <c r="G1122" s="86"/>
      <c r="H1122" s="86"/>
      <c r="I1122" s="86"/>
      <c r="J1122" s="82"/>
      <c r="K1122" s="82"/>
      <c r="L1122" s="82"/>
      <c r="M1122" s="82"/>
      <c r="N1122" s="82"/>
      <c r="O1122" s="82"/>
      <c r="P1122" s="82"/>
      <c r="Q1122" s="82"/>
      <c r="R1122" s="82"/>
      <c r="S1122" s="82"/>
      <c r="T1122" s="82"/>
      <c r="U1122" s="82"/>
      <c r="V1122" s="82"/>
      <c r="W1122" s="82"/>
      <c r="X1122" s="82"/>
      <c r="Y1122" s="82"/>
      <c r="Z1122" s="82"/>
      <c r="AA1122" s="82"/>
      <c r="AB1122" s="82"/>
      <c r="AC1122" s="82"/>
      <c r="AD1122" s="82"/>
      <c r="AE1122" s="82"/>
      <c r="AF1122" s="82"/>
      <c r="AG1122" s="82"/>
      <c r="AH1122" s="82"/>
      <c r="AI1122" s="82"/>
      <c r="AJ1122" s="82"/>
      <c r="AK1122" s="82"/>
      <c r="AL1122" s="82"/>
      <c r="AM1122" s="82"/>
      <c r="AN1122" s="82"/>
      <c r="AO1122" s="82"/>
      <c r="AP1122" s="82"/>
      <c r="AQ1122" s="82"/>
      <c r="AR1122" s="82"/>
      <c r="AS1122" s="82"/>
      <c r="AT1122" s="82"/>
      <c r="AU1122" s="82"/>
      <c r="AV1122" s="82"/>
      <c r="AW1122" s="82" t="str">
        <f t="shared" si="1"/>
        <v/>
      </c>
      <c r="AX1122" s="83" t="str">
        <f t="array" ref="AX1122">IFERROR(DGET('SBV Import'!A:G,"SBV",{"RSC ID","Tier";B1122,A1122}))</f>
        <v/>
      </c>
      <c r="AY1122" s="82" t="str">
        <f t="shared" si="2"/>
        <v/>
      </c>
      <c r="AZ1122" s="82"/>
      <c r="BA1122" s="84" t="s">
        <v>152</v>
      </c>
      <c r="BB1122" s="84" t="str">
        <f>IFERROR(__xludf.DUMMYFUNCTION("iferror(if(A1122="""",,E1122&gt;=FILTER(Constants!$F$2:$F$10,Constants!$A$2:$A$10=A1122)))"),"")</f>
        <v/>
      </c>
    </row>
    <row r="1123">
      <c r="A1123" s="89"/>
      <c r="B1123" s="87"/>
      <c r="C1123" s="73"/>
      <c r="D1123" s="73"/>
      <c r="E1123" s="82"/>
      <c r="F1123" s="82"/>
      <c r="G1123" s="86"/>
      <c r="H1123" s="86"/>
      <c r="I1123" s="86"/>
      <c r="J1123" s="82"/>
      <c r="K1123" s="82"/>
      <c r="L1123" s="82"/>
      <c r="M1123" s="82"/>
      <c r="N1123" s="82"/>
      <c r="O1123" s="82"/>
      <c r="P1123" s="82"/>
      <c r="Q1123" s="82"/>
      <c r="R1123" s="82"/>
      <c r="S1123" s="82"/>
      <c r="T1123" s="82"/>
      <c r="U1123" s="82"/>
      <c r="V1123" s="82"/>
      <c r="W1123" s="82"/>
      <c r="X1123" s="82"/>
      <c r="Y1123" s="82"/>
      <c r="Z1123" s="82"/>
      <c r="AA1123" s="82"/>
      <c r="AB1123" s="82"/>
      <c r="AC1123" s="82"/>
      <c r="AD1123" s="82"/>
      <c r="AE1123" s="82"/>
      <c r="AF1123" s="82"/>
      <c r="AG1123" s="82"/>
      <c r="AH1123" s="82"/>
      <c r="AI1123" s="82"/>
      <c r="AJ1123" s="82"/>
      <c r="AK1123" s="82"/>
      <c r="AL1123" s="82"/>
      <c r="AM1123" s="82"/>
      <c r="AN1123" s="82"/>
      <c r="AO1123" s="82"/>
      <c r="AP1123" s="82"/>
      <c r="AQ1123" s="82"/>
      <c r="AR1123" s="82"/>
      <c r="AS1123" s="82"/>
      <c r="AT1123" s="82"/>
      <c r="AU1123" s="82"/>
      <c r="AV1123" s="82"/>
      <c r="AW1123" s="82" t="str">
        <f t="shared" si="1"/>
        <v/>
      </c>
      <c r="AX1123" s="83" t="str">
        <f t="array" ref="AX1123">IFERROR(DGET('SBV Import'!A:G,"SBV",{"RSC ID","Tier";B1123,A1123}))</f>
        <v/>
      </c>
      <c r="AY1123" s="82" t="str">
        <f t="shared" si="2"/>
        <v/>
      </c>
      <c r="AZ1123" s="82"/>
      <c r="BA1123" s="84" t="s">
        <v>152</v>
      </c>
      <c r="BB1123" s="84" t="str">
        <f>IFERROR(__xludf.DUMMYFUNCTION("iferror(if(A1123="""",,E1123&gt;=FILTER(Constants!$F$2:$F$10,Constants!$A$2:$A$10=A1123)))"),"")</f>
        <v/>
      </c>
    </row>
    <row r="1124">
      <c r="A1124" s="89"/>
      <c r="B1124" s="87"/>
      <c r="C1124" s="73"/>
      <c r="D1124" s="73"/>
      <c r="E1124" s="82"/>
      <c r="F1124" s="82"/>
      <c r="G1124" s="86"/>
      <c r="H1124" s="86"/>
      <c r="I1124" s="86"/>
      <c r="J1124" s="82"/>
      <c r="K1124" s="82"/>
      <c r="L1124" s="82"/>
      <c r="M1124" s="82"/>
      <c r="N1124" s="82"/>
      <c r="O1124" s="82"/>
      <c r="P1124" s="82"/>
      <c r="Q1124" s="82"/>
      <c r="R1124" s="82"/>
      <c r="S1124" s="82"/>
      <c r="T1124" s="82"/>
      <c r="U1124" s="82"/>
      <c r="V1124" s="82"/>
      <c r="W1124" s="82"/>
      <c r="X1124" s="82"/>
      <c r="Y1124" s="82"/>
      <c r="Z1124" s="82"/>
      <c r="AA1124" s="82"/>
      <c r="AB1124" s="82"/>
      <c r="AC1124" s="82"/>
      <c r="AD1124" s="82"/>
      <c r="AE1124" s="82"/>
      <c r="AF1124" s="82"/>
      <c r="AG1124" s="82"/>
      <c r="AH1124" s="82"/>
      <c r="AI1124" s="82"/>
      <c r="AJ1124" s="82"/>
      <c r="AK1124" s="82"/>
      <c r="AL1124" s="82"/>
      <c r="AM1124" s="82"/>
      <c r="AN1124" s="82"/>
      <c r="AO1124" s="82"/>
      <c r="AP1124" s="82"/>
      <c r="AQ1124" s="82"/>
      <c r="AR1124" s="82"/>
      <c r="AS1124" s="82"/>
      <c r="AT1124" s="82"/>
      <c r="AU1124" s="82"/>
      <c r="AV1124" s="82"/>
      <c r="AW1124" s="82" t="str">
        <f t="shared" si="1"/>
        <v/>
      </c>
      <c r="AX1124" s="83" t="str">
        <f t="array" ref="AX1124">IFERROR(DGET('SBV Import'!A:G,"SBV",{"RSC ID","Tier";B1124,A1124}))</f>
        <v/>
      </c>
      <c r="AY1124" s="82" t="str">
        <f t="shared" si="2"/>
        <v/>
      </c>
      <c r="AZ1124" s="82"/>
      <c r="BA1124" s="84" t="s">
        <v>152</v>
      </c>
      <c r="BB1124" s="84" t="str">
        <f>IFERROR(__xludf.DUMMYFUNCTION("iferror(if(A1124="""",,E1124&gt;=FILTER(Constants!$F$2:$F$10,Constants!$A$2:$A$10=A1124)))"),"")</f>
        <v/>
      </c>
    </row>
    <row r="1125">
      <c r="A1125" s="89"/>
      <c r="B1125" s="87"/>
      <c r="C1125" s="73"/>
      <c r="D1125" s="73"/>
      <c r="E1125" s="82"/>
      <c r="F1125" s="82"/>
      <c r="G1125" s="86"/>
      <c r="H1125" s="86"/>
      <c r="I1125" s="86"/>
      <c r="J1125" s="82"/>
      <c r="K1125" s="82"/>
      <c r="L1125" s="82"/>
      <c r="M1125" s="82"/>
      <c r="N1125" s="82"/>
      <c r="O1125" s="82"/>
      <c r="P1125" s="82"/>
      <c r="Q1125" s="82"/>
      <c r="R1125" s="82"/>
      <c r="S1125" s="82"/>
      <c r="T1125" s="82"/>
      <c r="U1125" s="82"/>
      <c r="V1125" s="82"/>
      <c r="W1125" s="82"/>
      <c r="X1125" s="82"/>
      <c r="Y1125" s="82"/>
      <c r="Z1125" s="82"/>
      <c r="AA1125" s="82"/>
      <c r="AB1125" s="82"/>
      <c r="AC1125" s="82"/>
      <c r="AD1125" s="82"/>
      <c r="AE1125" s="82"/>
      <c r="AF1125" s="82"/>
      <c r="AG1125" s="82"/>
      <c r="AH1125" s="82"/>
      <c r="AI1125" s="82"/>
      <c r="AJ1125" s="82"/>
      <c r="AK1125" s="82"/>
      <c r="AL1125" s="82"/>
      <c r="AM1125" s="82"/>
      <c r="AN1125" s="82"/>
      <c r="AO1125" s="82"/>
      <c r="AP1125" s="82"/>
      <c r="AQ1125" s="82"/>
      <c r="AR1125" s="82"/>
      <c r="AS1125" s="82"/>
      <c r="AT1125" s="82"/>
      <c r="AU1125" s="82"/>
      <c r="AV1125" s="82"/>
      <c r="AW1125" s="82" t="str">
        <f t="shared" si="1"/>
        <v/>
      </c>
      <c r="AX1125" s="83" t="str">
        <f t="array" ref="AX1125">IFERROR(DGET('SBV Import'!A:G,"SBV",{"RSC ID","Tier";B1125,A1125}))</f>
        <v/>
      </c>
      <c r="AY1125" s="82" t="str">
        <f t="shared" si="2"/>
        <v/>
      </c>
      <c r="AZ1125" s="82"/>
      <c r="BA1125" s="84" t="s">
        <v>152</v>
      </c>
      <c r="BB1125" s="84" t="str">
        <f>IFERROR(__xludf.DUMMYFUNCTION("iferror(if(A1125="""",,E1125&gt;=FILTER(Constants!$F$2:$F$10,Constants!$A$2:$A$10=A1125)))"),"")</f>
        <v/>
      </c>
    </row>
    <row r="1126">
      <c r="A1126" s="89"/>
      <c r="B1126" s="87"/>
      <c r="C1126" s="73"/>
      <c r="D1126" s="73"/>
      <c r="E1126" s="82"/>
      <c r="F1126" s="82"/>
      <c r="G1126" s="86"/>
      <c r="H1126" s="86"/>
      <c r="I1126" s="86"/>
      <c r="J1126" s="82"/>
      <c r="K1126" s="82"/>
      <c r="L1126" s="82"/>
      <c r="M1126" s="82"/>
      <c r="N1126" s="82"/>
      <c r="O1126" s="82"/>
      <c r="P1126" s="82"/>
      <c r="Q1126" s="82"/>
      <c r="R1126" s="82"/>
      <c r="S1126" s="82"/>
      <c r="T1126" s="82"/>
      <c r="U1126" s="82"/>
      <c r="V1126" s="82"/>
      <c r="W1126" s="82"/>
      <c r="X1126" s="82"/>
      <c r="Y1126" s="82"/>
      <c r="Z1126" s="82"/>
      <c r="AA1126" s="82"/>
      <c r="AB1126" s="82"/>
      <c r="AC1126" s="82"/>
      <c r="AD1126" s="82"/>
      <c r="AE1126" s="82"/>
      <c r="AF1126" s="82"/>
      <c r="AG1126" s="82"/>
      <c r="AH1126" s="82"/>
      <c r="AI1126" s="82"/>
      <c r="AJ1126" s="82"/>
      <c r="AK1126" s="82"/>
      <c r="AL1126" s="82"/>
      <c r="AM1126" s="82"/>
      <c r="AN1126" s="82"/>
      <c r="AO1126" s="82"/>
      <c r="AP1126" s="82"/>
      <c r="AQ1126" s="82"/>
      <c r="AR1126" s="82"/>
      <c r="AS1126" s="82"/>
      <c r="AT1126" s="82"/>
      <c r="AU1126" s="82"/>
      <c r="AV1126" s="82"/>
      <c r="AW1126" s="82" t="str">
        <f t="shared" si="1"/>
        <v/>
      </c>
      <c r="AX1126" s="83" t="str">
        <f t="array" ref="AX1126">IFERROR(DGET('SBV Import'!A:G,"SBV",{"RSC ID","Tier";B1126,A1126}))</f>
        <v/>
      </c>
      <c r="AY1126" s="82" t="str">
        <f t="shared" si="2"/>
        <v/>
      </c>
      <c r="AZ1126" s="82"/>
      <c r="BA1126" s="84" t="s">
        <v>152</v>
      </c>
      <c r="BB1126" s="84" t="str">
        <f>IFERROR(__xludf.DUMMYFUNCTION("iferror(if(A1126="""",,E1126&gt;=FILTER(Constants!$F$2:$F$10,Constants!$A$2:$A$10=A1126)))"),"")</f>
        <v/>
      </c>
    </row>
    <row r="1127">
      <c r="A1127" s="89"/>
      <c r="B1127" s="87"/>
      <c r="C1127" s="73"/>
      <c r="D1127" s="73"/>
      <c r="E1127" s="82"/>
      <c r="F1127" s="82"/>
      <c r="G1127" s="86"/>
      <c r="H1127" s="86"/>
      <c r="I1127" s="86"/>
      <c r="J1127" s="82"/>
      <c r="K1127" s="82"/>
      <c r="L1127" s="82"/>
      <c r="M1127" s="82"/>
      <c r="N1127" s="82"/>
      <c r="O1127" s="82"/>
      <c r="P1127" s="82"/>
      <c r="Q1127" s="82"/>
      <c r="R1127" s="82"/>
      <c r="S1127" s="82"/>
      <c r="T1127" s="82"/>
      <c r="U1127" s="82"/>
      <c r="V1127" s="82"/>
      <c r="W1127" s="82"/>
      <c r="X1127" s="82"/>
      <c r="Y1127" s="82"/>
      <c r="Z1127" s="82"/>
      <c r="AA1127" s="82"/>
      <c r="AB1127" s="82"/>
      <c r="AC1127" s="82"/>
      <c r="AD1127" s="82"/>
      <c r="AE1127" s="82"/>
      <c r="AF1127" s="82"/>
      <c r="AG1127" s="82"/>
      <c r="AH1127" s="82"/>
      <c r="AI1127" s="82"/>
      <c r="AJ1127" s="82"/>
      <c r="AK1127" s="82"/>
      <c r="AL1127" s="82"/>
      <c r="AM1127" s="82"/>
      <c r="AN1127" s="82"/>
      <c r="AO1127" s="82"/>
      <c r="AP1127" s="82"/>
      <c r="AQ1127" s="82"/>
      <c r="AR1127" s="82"/>
      <c r="AS1127" s="82"/>
      <c r="AT1127" s="82"/>
      <c r="AU1127" s="82"/>
      <c r="AV1127" s="82"/>
      <c r="AW1127" s="82" t="str">
        <f t="shared" si="1"/>
        <v/>
      </c>
      <c r="AX1127" s="83" t="str">
        <f t="array" ref="AX1127">IFERROR(DGET('SBV Import'!A:G,"SBV",{"RSC ID","Tier";B1127,A1127}))</f>
        <v/>
      </c>
      <c r="AY1127" s="82" t="str">
        <f t="shared" si="2"/>
        <v/>
      </c>
      <c r="AZ1127" s="82"/>
      <c r="BA1127" s="84" t="s">
        <v>152</v>
      </c>
      <c r="BB1127" s="84" t="str">
        <f>IFERROR(__xludf.DUMMYFUNCTION("iferror(if(A1127="""",,E1127&gt;=FILTER(Constants!$F$2:$F$10,Constants!$A$2:$A$10=A1127)))"),"")</f>
        <v/>
      </c>
    </row>
    <row r="1128">
      <c r="A1128" s="89"/>
      <c r="B1128" s="87"/>
      <c r="C1128" s="73"/>
      <c r="D1128" s="73"/>
      <c r="E1128" s="82"/>
      <c r="F1128" s="82"/>
      <c r="G1128" s="86"/>
      <c r="H1128" s="86"/>
      <c r="I1128" s="86"/>
      <c r="J1128" s="82"/>
      <c r="K1128" s="82"/>
      <c r="L1128" s="82"/>
      <c r="M1128" s="82"/>
      <c r="N1128" s="82"/>
      <c r="O1128" s="82"/>
      <c r="P1128" s="82"/>
      <c r="Q1128" s="82"/>
      <c r="R1128" s="82"/>
      <c r="S1128" s="82"/>
      <c r="T1128" s="82"/>
      <c r="U1128" s="82"/>
      <c r="V1128" s="82"/>
      <c r="W1128" s="82"/>
      <c r="X1128" s="82"/>
      <c r="Y1128" s="82"/>
      <c r="Z1128" s="82"/>
      <c r="AA1128" s="82"/>
      <c r="AB1128" s="82"/>
      <c r="AC1128" s="82"/>
      <c r="AD1128" s="82"/>
      <c r="AE1128" s="82"/>
      <c r="AF1128" s="82"/>
      <c r="AG1128" s="82"/>
      <c r="AH1128" s="82"/>
      <c r="AI1128" s="82"/>
      <c r="AJ1128" s="82"/>
      <c r="AK1128" s="82"/>
      <c r="AL1128" s="82"/>
      <c r="AM1128" s="82"/>
      <c r="AN1128" s="82"/>
      <c r="AO1128" s="82"/>
      <c r="AP1128" s="82"/>
      <c r="AQ1128" s="82"/>
      <c r="AR1128" s="82"/>
      <c r="AS1128" s="82"/>
      <c r="AT1128" s="82"/>
      <c r="AU1128" s="82"/>
      <c r="AV1128" s="82"/>
      <c r="AW1128" s="82" t="str">
        <f t="shared" si="1"/>
        <v/>
      </c>
      <c r="AX1128" s="83" t="str">
        <f t="array" ref="AX1128">IFERROR(DGET('SBV Import'!A:G,"SBV",{"RSC ID","Tier";B1128,A1128}))</f>
        <v/>
      </c>
      <c r="AY1128" s="82" t="str">
        <f t="shared" si="2"/>
        <v/>
      </c>
      <c r="AZ1128" s="82"/>
      <c r="BA1128" s="84" t="s">
        <v>152</v>
      </c>
      <c r="BB1128" s="84" t="str">
        <f>IFERROR(__xludf.DUMMYFUNCTION("iferror(if(A1128="""",,E1128&gt;=FILTER(Constants!$F$2:$F$10,Constants!$A$2:$A$10=A1128)))"),"")</f>
        <v/>
      </c>
    </row>
    <row r="1129">
      <c r="A1129" s="89"/>
      <c r="B1129" s="87"/>
      <c r="C1129" s="73"/>
      <c r="D1129" s="73"/>
      <c r="E1129" s="82"/>
      <c r="F1129" s="82"/>
      <c r="G1129" s="86"/>
      <c r="H1129" s="86"/>
      <c r="I1129" s="86"/>
      <c r="J1129" s="82"/>
      <c r="K1129" s="82"/>
      <c r="L1129" s="82"/>
      <c r="M1129" s="82"/>
      <c r="N1129" s="82"/>
      <c r="O1129" s="82"/>
      <c r="P1129" s="82"/>
      <c r="Q1129" s="82"/>
      <c r="R1129" s="82"/>
      <c r="S1129" s="82"/>
      <c r="T1129" s="82"/>
      <c r="U1129" s="82"/>
      <c r="V1129" s="82"/>
      <c r="W1129" s="82"/>
      <c r="X1129" s="82"/>
      <c r="Y1129" s="82"/>
      <c r="Z1129" s="82"/>
      <c r="AA1129" s="82"/>
      <c r="AB1129" s="82"/>
      <c r="AC1129" s="82"/>
      <c r="AD1129" s="82"/>
      <c r="AE1129" s="82"/>
      <c r="AF1129" s="82"/>
      <c r="AG1129" s="82"/>
      <c r="AH1129" s="82"/>
      <c r="AI1129" s="82"/>
      <c r="AJ1129" s="82"/>
      <c r="AK1129" s="82"/>
      <c r="AL1129" s="82"/>
      <c r="AM1129" s="82"/>
      <c r="AN1129" s="82"/>
      <c r="AO1129" s="82"/>
      <c r="AP1129" s="82"/>
      <c r="AQ1129" s="82"/>
      <c r="AR1129" s="82"/>
      <c r="AS1129" s="82"/>
      <c r="AT1129" s="82"/>
      <c r="AU1129" s="82"/>
      <c r="AV1129" s="82"/>
      <c r="AW1129" s="82" t="str">
        <f t="shared" si="1"/>
        <v/>
      </c>
      <c r="AX1129" s="83" t="str">
        <f t="array" ref="AX1129">IFERROR(DGET('SBV Import'!A:G,"SBV",{"RSC ID","Tier";B1129,A1129}))</f>
        <v/>
      </c>
      <c r="AY1129" s="82" t="str">
        <f t="shared" si="2"/>
        <v/>
      </c>
      <c r="AZ1129" s="82"/>
      <c r="BA1129" s="84" t="s">
        <v>152</v>
      </c>
      <c r="BB1129" s="84" t="str">
        <f>IFERROR(__xludf.DUMMYFUNCTION("iferror(if(A1129="""",,E1129&gt;=FILTER(Constants!$F$2:$F$10,Constants!$A$2:$A$10=A1129)))"),"")</f>
        <v/>
      </c>
    </row>
    <row r="1130">
      <c r="A1130" s="89"/>
      <c r="B1130" s="87"/>
      <c r="C1130" s="73"/>
      <c r="D1130" s="73"/>
      <c r="E1130" s="82"/>
      <c r="F1130" s="82"/>
      <c r="G1130" s="86"/>
      <c r="H1130" s="86"/>
      <c r="I1130" s="86"/>
      <c r="J1130" s="82"/>
      <c r="K1130" s="82"/>
      <c r="L1130" s="82"/>
      <c r="M1130" s="82"/>
      <c r="N1130" s="82"/>
      <c r="O1130" s="82"/>
      <c r="P1130" s="82"/>
      <c r="Q1130" s="82"/>
      <c r="R1130" s="82"/>
      <c r="S1130" s="82"/>
      <c r="T1130" s="82"/>
      <c r="U1130" s="82"/>
      <c r="V1130" s="82"/>
      <c r="W1130" s="82"/>
      <c r="X1130" s="82"/>
      <c r="Y1130" s="82"/>
      <c r="Z1130" s="82"/>
      <c r="AA1130" s="82"/>
      <c r="AB1130" s="82"/>
      <c r="AC1130" s="82"/>
      <c r="AD1130" s="82"/>
      <c r="AE1130" s="82"/>
      <c r="AF1130" s="82"/>
      <c r="AG1130" s="82"/>
      <c r="AH1130" s="82"/>
      <c r="AI1130" s="82"/>
      <c r="AJ1130" s="82"/>
      <c r="AK1130" s="82"/>
      <c r="AL1130" s="82"/>
      <c r="AM1130" s="82"/>
      <c r="AN1130" s="82"/>
      <c r="AO1130" s="82"/>
      <c r="AP1130" s="82"/>
      <c r="AQ1130" s="82"/>
      <c r="AR1130" s="82"/>
      <c r="AS1130" s="82"/>
      <c r="AT1130" s="82"/>
      <c r="AU1130" s="82"/>
      <c r="AV1130" s="82"/>
      <c r="AW1130" s="82" t="str">
        <f t="shared" si="1"/>
        <v/>
      </c>
      <c r="AX1130" s="83" t="str">
        <f t="array" ref="AX1130">IFERROR(DGET('SBV Import'!A:G,"SBV",{"RSC ID","Tier";B1130,A1130}))</f>
        <v/>
      </c>
      <c r="AY1130" s="82" t="str">
        <f t="shared" si="2"/>
        <v/>
      </c>
      <c r="AZ1130" s="82"/>
      <c r="BA1130" s="84" t="s">
        <v>152</v>
      </c>
      <c r="BB1130" s="84" t="str">
        <f>IFERROR(__xludf.DUMMYFUNCTION("iferror(if(A1130="""",,E1130&gt;=FILTER(Constants!$F$2:$F$10,Constants!$A$2:$A$10=A1130)))"),"")</f>
        <v/>
      </c>
    </row>
    <row r="1131">
      <c r="A1131" s="89"/>
      <c r="B1131" s="87"/>
      <c r="C1131" s="73"/>
      <c r="D1131" s="73"/>
      <c r="E1131" s="82"/>
      <c r="F1131" s="82"/>
      <c r="G1131" s="86"/>
      <c r="H1131" s="86"/>
      <c r="I1131" s="86"/>
      <c r="J1131" s="82"/>
      <c r="K1131" s="82"/>
      <c r="L1131" s="82"/>
      <c r="M1131" s="82"/>
      <c r="N1131" s="82"/>
      <c r="O1131" s="82"/>
      <c r="P1131" s="82"/>
      <c r="Q1131" s="82"/>
      <c r="R1131" s="82"/>
      <c r="S1131" s="82"/>
      <c r="T1131" s="82"/>
      <c r="U1131" s="82"/>
      <c r="V1131" s="82"/>
      <c r="W1131" s="82"/>
      <c r="X1131" s="82"/>
      <c r="Y1131" s="82"/>
      <c r="Z1131" s="82"/>
      <c r="AA1131" s="82"/>
      <c r="AB1131" s="82"/>
      <c r="AC1131" s="82"/>
      <c r="AD1131" s="82"/>
      <c r="AE1131" s="82"/>
      <c r="AF1131" s="82"/>
      <c r="AG1131" s="82"/>
      <c r="AH1131" s="82"/>
      <c r="AI1131" s="82"/>
      <c r="AJ1131" s="82"/>
      <c r="AK1131" s="82"/>
      <c r="AL1131" s="82"/>
      <c r="AM1131" s="82"/>
      <c r="AN1131" s="82"/>
      <c r="AO1131" s="82"/>
      <c r="AP1131" s="82"/>
      <c r="AQ1131" s="82"/>
      <c r="AR1131" s="82"/>
      <c r="AS1131" s="82"/>
      <c r="AT1131" s="82"/>
      <c r="AU1131" s="82"/>
      <c r="AV1131" s="82"/>
      <c r="AW1131" s="82" t="str">
        <f t="shared" si="1"/>
        <v/>
      </c>
      <c r="AX1131" s="83" t="str">
        <f t="array" ref="AX1131">IFERROR(DGET('SBV Import'!A:G,"SBV",{"RSC ID","Tier";B1131,A1131}))</f>
        <v/>
      </c>
      <c r="AY1131" s="82" t="str">
        <f t="shared" si="2"/>
        <v/>
      </c>
      <c r="AZ1131" s="82"/>
      <c r="BA1131" s="84" t="s">
        <v>152</v>
      </c>
      <c r="BB1131" s="84" t="str">
        <f>IFERROR(__xludf.DUMMYFUNCTION("iferror(if(A1131="""",,E1131&gt;=FILTER(Constants!$F$2:$F$10,Constants!$A$2:$A$10=A1131)))"),"")</f>
        <v/>
      </c>
    </row>
    <row r="1132">
      <c r="A1132" s="89"/>
      <c r="B1132" s="87"/>
      <c r="C1132" s="73"/>
      <c r="D1132" s="73"/>
      <c r="E1132" s="82"/>
      <c r="F1132" s="82"/>
      <c r="G1132" s="86"/>
      <c r="H1132" s="86"/>
      <c r="I1132" s="86"/>
      <c r="J1132" s="82"/>
      <c r="K1132" s="82"/>
      <c r="L1132" s="82"/>
      <c r="M1132" s="82"/>
      <c r="N1132" s="82"/>
      <c r="O1132" s="82"/>
      <c r="P1132" s="82"/>
      <c r="Q1132" s="82"/>
      <c r="R1132" s="82"/>
      <c r="S1132" s="82"/>
      <c r="T1132" s="82"/>
      <c r="U1132" s="82"/>
      <c r="V1132" s="82"/>
      <c r="W1132" s="82"/>
      <c r="X1132" s="82"/>
      <c r="Y1132" s="82"/>
      <c r="Z1132" s="82"/>
      <c r="AA1132" s="82"/>
      <c r="AB1132" s="82"/>
      <c r="AC1132" s="82"/>
      <c r="AD1132" s="82"/>
      <c r="AE1132" s="82"/>
      <c r="AF1132" s="82"/>
      <c r="AG1132" s="82"/>
      <c r="AH1132" s="82"/>
      <c r="AI1132" s="82"/>
      <c r="AJ1132" s="82"/>
      <c r="AK1132" s="82"/>
      <c r="AL1132" s="82"/>
      <c r="AM1132" s="82"/>
      <c r="AN1132" s="82"/>
      <c r="AO1132" s="82"/>
      <c r="AP1132" s="82"/>
      <c r="AQ1132" s="82"/>
      <c r="AR1132" s="82"/>
      <c r="AS1132" s="82"/>
      <c r="AT1132" s="82"/>
      <c r="AU1132" s="82"/>
      <c r="AV1132" s="82"/>
      <c r="AW1132" s="82" t="str">
        <f t="shared" si="1"/>
        <v/>
      </c>
      <c r="AX1132" s="83" t="str">
        <f t="array" ref="AX1132">IFERROR(DGET('SBV Import'!A:G,"SBV",{"RSC ID","Tier";B1132,A1132}))</f>
        <v/>
      </c>
      <c r="AY1132" s="82" t="str">
        <f t="shared" si="2"/>
        <v/>
      </c>
      <c r="AZ1132" s="82"/>
      <c r="BA1132" s="84" t="s">
        <v>152</v>
      </c>
      <c r="BB1132" s="84" t="str">
        <f>IFERROR(__xludf.DUMMYFUNCTION("iferror(if(A1132="""",,E1132&gt;=FILTER(Constants!$F$2:$F$10,Constants!$A$2:$A$10=A1132)))"),"")</f>
        <v/>
      </c>
    </row>
    <row r="1133">
      <c r="A1133" s="89"/>
      <c r="B1133" s="87"/>
      <c r="C1133" s="73"/>
      <c r="D1133" s="73"/>
      <c r="E1133" s="82"/>
      <c r="F1133" s="82"/>
      <c r="G1133" s="86"/>
      <c r="H1133" s="86"/>
      <c r="I1133" s="86"/>
      <c r="J1133" s="82"/>
      <c r="K1133" s="82"/>
      <c r="L1133" s="82"/>
      <c r="M1133" s="82"/>
      <c r="N1133" s="82"/>
      <c r="O1133" s="82"/>
      <c r="P1133" s="82"/>
      <c r="Q1133" s="82"/>
      <c r="R1133" s="82"/>
      <c r="S1133" s="82"/>
      <c r="T1133" s="82"/>
      <c r="U1133" s="82"/>
      <c r="V1133" s="82"/>
      <c r="W1133" s="82"/>
      <c r="X1133" s="82"/>
      <c r="Y1133" s="82"/>
      <c r="Z1133" s="82"/>
      <c r="AA1133" s="82"/>
      <c r="AB1133" s="82"/>
      <c r="AC1133" s="82"/>
      <c r="AD1133" s="82"/>
      <c r="AE1133" s="82"/>
      <c r="AF1133" s="82"/>
      <c r="AG1133" s="82"/>
      <c r="AH1133" s="82"/>
      <c r="AI1133" s="82"/>
      <c r="AJ1133" s="82"/>
      <c r="AK1133" s="82"/>
      <c r="AL1133" s="82"/>
      <c r="AM1133" s="82"/>
      <c r="AN1133" s="82"/>
      <c r="AO1133" s="82"/>
      <c r="AP1133" s="82"/>
      <c r="AQ1133" s="82"/>
      <c r="AR1133" s="82"/>
      <c r="AS1133" s="82"/>
      <c r="AT1133" s="82"/>
      <c r="AU1133" s="82"/>
      <c r="AV1133" s="82"/>
      <c r="AW1133" s="82" t="str">
        <f t="shared" si="1"/>
        <v/>
      </c>
      <c r="AX1133" s="83" t="str">
        <f t="array" ref="AX1133">IFERROR(DGET('SBV Import'!A:G,"SBV",{"RSC ID","Tier";B1133,A1133}))</f>
        <v/>
      </c>
      <c r="AY1133" s="82" t="str">
        <f t="shared" si="2"/>
        <v/>
      </c>
      <c r="AZ1133" s="82"/>
      <c r="BA1133" s="84" t="s">
        <v>152</v>
      </c>
      <c r="BB1133" s="84" t="str">
        <f>IFERROR(__xludf.DUMMYFUNCTION("iferror(if(A1133="""",,E1133&gt;=FILTER(Constants!$F$2:$F$10,Constants!$A$2:$A$10=A1133)))"),"")</f>
        <v/>
      </c>
    </row>
    <row r="1134">
      <c r="A1134" s="89"/>
      <c r="B1134" s="87"/>
      <c r="C1134" s="73"/>
      <c r="D1134" s="73"/>
      <c r="E1134" s="82"/>
      <c r="F1134" s="82"/>
      <c r="G1134" s="86"/>
      <c r="H1134" s="86"/>
      <c r="I1134" s="86"/>
      <c r="J1134" s="82"/>
      <c r="K1134" s="82"/>
      <c r="L1134" s="82"/>
      <c r="M1134" s="82"/>
      <c r="N1134" s="82"/>
      <c r="O1134" s="82"/>
      <c r="P1134" s="82"/>
      <c r="Q1134" s="82"/>
      <c r="R1134" s="82"/>
      <c r="S1134" s="82"/>
      <c r="T1134" s="82"/>
      <c r="U1134" s="82"/>
      <c r="V1134" s="82"/>
      <c r="W1134" s="82"/>
      <c r="X1134" s="82"/>
      <c r="Y1134" s="82"/>
      <c r="Z1134" s="82"/>
      <c r="AA1134" s="82"/>
      <c r="AB1134" s="82"/>
      <c r="AC1134" s="82"/>
      <c r="AD1134" s="82"/>
      <c r="AE1134" s="82"/>
      <c r="AF1134" s="82"/>
      <c r="AG1134" s="82"/>
      <c r="AH1134" s="82"/>
      <c r="AI1134" s="82"/>
      <c r="AJ1134" s="82"/>
      <c r="AK1134" s="82"/>
      <c r="AL1134" s="82"/>
      <c r="AM1134" s="82"/>
      <c r="AN1134" s="82"/>
      <c r="AO1134" s="82"/>
      <c r="AP1134" s="82"/>
      <c r="AQ1134" s="82"/>
      <c r="AR1134" s="82"/>
      <c r="AS1134" s="82"/>
      <c r="AT1134" s="82"/>
      <c r="AU1134" s="82"/>
      <c r="AV1134" s="82"/>
      <c r="AW1134" s="82" t="str">
        <f t="shared" si="1"/>
        <v/>
      </c>
      <c r="AX1134" s="83" t="str">
        <f t="array" ref="AX1134">IFERROR(DGET('SBV Import'!A:G,"SBV",{"RSC ID","Tier";B1134,A1134}))</f>
        <v/>
      </c>
      <c r="AY1134" s="82" t="str">
        <f t="shared" si="2"/>
        <v/>
      </c>
      <c r="AZ1134" s="82"/>
      <c r="BA1134" s="84" t="s">
        <v>152</v>
      </c>
      <c r="BB1134" s="84" t="str">
        <f>IFERROR(__xludf.DUMMYFUNCTION("iferror(if(A1134="""",,E1134&gt;=FILTER(Constants!$F$2:$F$10,Constants!$A$2:$A$10=A1134)))"),"")</f>
        <v/>
      </c>
    </row>
    <row r="1135">
      <c r="A1135" s="89"/>
      <c r="B1135" s="87"/>
      <c r="C1135" s="73"/>
      <c r="D1135" s="73"/>
      <c r="E1135" s="82"/>
      <c r="F1135" s="82"/>
      <c r="G1135" s="86"/>
      <c r="H1135" s="86"/>
      <c r="I1135" s="86"/>
      <c r="J1135" s="82"/>
      <c r="K1135" s="82"/>
      <c r="L1135" s="82"/>
      <c r="M1135" s="82"/>
      <c r="N1135" s="82"/>
      <c r="O1135" s="82"/>
      <c r="P1135" s="82"/>
      <c r="Q1135" s="82"/>
      <c r="R1135" s="82"/>
      <c r="S1135" s="82"/>
      <c r="T1135" s="82"/>
      <c r="U1135" s="82"/>
      <c r="V1135" s="82"/>
      <c r="W1135" s="82"/>
      <c r="X1135" s="82"/>
      <c r="Y1135" s="82"/>
      <c r="Z1135" s="82"/>
      <c r="AA1135" s="82"/>
      <c r="AB1135" s="82"/>
      <c r="AC1135" s="82"/>
      <c r="AD1135" s="82"/>
      <c r="AE1135" s="82"/>
      <c r="AF1135" s="82"/>
      <c r="AG1135" s="82"/>
      <c r="AH1135" s="82"/>
      <c r="AI1135" s="82"/>
      <c r="AJ1135" s="82"/>
      <c r="AK1135" s="82"/>
      <c r="AL1135" s="82"/>
      <c r="AM1135" s="82"/>
      <c r="AN1135" s="82"/>
      <c r="AO1135" s="82"/>
      <c r="AP1135" s="82"/>
      <c r="AQ1135" s="82"/>
      <c r="AR1135" s="82"/>
      <c r="AS1135" s="82"/>
      <c r="AT1135" s="82"/>
      <c r="AU1135" s="82"/>
      <c r="AV1135" s="82"/>
      <c r="AW1135" s="82" t="str">
        <f t="shared" si="1"/>
        <v/>
      </c>
      <c r="AX1135" s="83" t="str">
        <f t="array" ref="AX1135">IFERROR(DGET('SBV Import'!A:G,"SBV",{"RSC ID","Tier";B1135,A1135}))</f>
        <v/>
      </c>
      <c r="AY1135" s="82" t="str">
        <f t="shared" si="2"/>
        <v/>
      </c>
      <c r="AZ1135" s="82"/>
      <c r="BA1135" s="84" t="s">
        <v>152</v>
      </c>
      <c r="BB1135" s="84" t="str">
        <f>IFERROR(__xludf.DUMMYFUNCTION("iferror(if(A1135="""",,E1135&gt;=FILTER(Constants!$F$2:$F$10,Constants!$A$2:$A$10=A1135)))"),"")</f>
        <v/>
      </c>
    </row>
    <row r="1136">
      <c r="A1136" s="89"/>
      <c r="B1136" s="87"/>
      <c r="C1136" s="73"/>
      <c r="D1136" s="73"/>
      <c r="E1136" s="82"/>
      <c r="F1136" s="82"/>
      <c r="G1136" s="86"/>
      <c r="H1136" s="86"/>
      <c r="I1136" s="86"/>
      <c r="J1136" s="82"/>
      <c r="K1136" s="82"/>
      <c r="L1136" s="82"/>
      <c r="M1136" s="82"/>
      <c r="N1136" s="82"/>
      <c r="O1136" s="82"/>
      <c r="P1136" s="82"/>
      <c r="Q1136" s="82"/>
      <c r="R1136" s="82"/>
      <c r="S1136" s="82"/>
      <c r="T1136" s="82"/>
      <c r="U1136" s="82"/>
      <c r="V1136" s="82"/>
      <c r="W1136" s="82"/>
      <c r="X1136" s="82"/>
      <c r="Y1136" s="82"/>
      <c r="Z1136" s="82"/>
      <c r="AA1136" s="82"/>
      <c r="AB1136" s="82"/>
      <c r="AC1136" s="82"/>
      <c r="AD1136" s="82"/>
      <c r="AE1136" s="82"/>
      <c r="AF1136" s="82"/>
      <c r="AG1136" s="82"/>
      <c r="AH1136" s="82"/>
      <c r="AI1136" s="82"/>
      <c r="AJ1136" s="82"/>
      <c r="AK1136" s="82"/>
      <c r="AL1136" s="82"/>
      <c r="AM1136" s="82"/>
      <c r="AN1136" s="82"/>
      <c r="AO1136" s="82"/>
      <c r="AP1136" s="82"/>
      <c r="AQ1136" s="82"/>
      <c r="AR1136" s="82"/>
      <c r="AS1136" s="82"/>
      <c r="AT1136" s="82"/>
      <c r="AU1136" s="82"/>
      <c r="AV1136" s="82"/>
      <c r="AW1136" s="82" t="str">
        <f t="shared" si="1"/>
        <v/>
      </c>
      <c r="AX1136" s="83" t="str">
        <f t="array" ref="AX1136">IFERROR(DGET('SBV Import'!A:G,"SBV",{"RSC ID","Tier";B1136,A1136}))</f>
        <v/>
      </c>
      <c r="AY1136" s="82" t="str">
        <f t="shared" si="2"/>
        <v/>
      </c>
      <c r="AZ1136" s="82"/>
      <c r="BA1136" s="84" t="s">
        <v>152</v>
      </c>
      <c r="BB1136" s="84" t="str">
        <f>IFERROR(__xludf.DUMMYFUNCTION("iferror(if(A1136="""",,E1136&gt;=FILTER(Constants!$F$2:$F$10,Constants!$A$2:$A$10=A1136)))"),"")</f>
        <v/>
      </c>
    </row>
    <row r="1137">
      <c r="A1137" s="89"/>
      <c r="B1137" s="87"/>
      <c r="C1137" s="73"/>
      <c r="D1137" s="73"/>
      <c r="E1137" s="82"/>
      <c r="F1137" s="82"/>
      <c r="G1137" s="86"/>
      <c r="H1137" s="86"/>
      <c r="I1137" s="86"/>
      <c r="J1137" s="82"/>
      <c r="K1137" s="82"/>
      <c r="L1137" s="82"/>
      <c r="M1137" s="82"/>
      <c r="N1137" s="82"/>
      <c r="O1137" s="82"/>
      <c r="P1137" s="82"/>
      <c r="Q1137" s="82"/>
      <c r="R1137" s="82"/>
      <c r="S1137" s="82"/>
      <c r="T1137" s="82"/>
      <c r="U1137" s="82"/>
      <c r="V1137" s="82"/>
      <c r="W1137" s="82"/>
      <c r="X1137" s="82"/>
      <c r="Y1137" s="82"/>
      <c r="Z1137" s="82"/>
      <c r="AA1137" s="82"/>
      <c r="AB1137" s="82"/>
      <c r="AC1137" s="82"/>
      <c r="AD1137" s="82"/>
      <c r="AE1137" s="82"/>
      <c r="AF1137" s="82"/>
      <c r="AG1137" s="82"/>
      <c r="AH1137" s="82"/>
      <c r="AI1137" s="82"/>
      <c r="AJ1137" s="82"/>
      <c r="AK1137" s="82"/>
      <c r="AL1137" s="82"/>
      <c r="AM1137" s="82"/>
      <c r="AN1137" s="82"/>
      <c r="AO1137" s="82"/>
      <c r="AP1137" s="82"/>
      <c r="AQ1137" s="82"/>
      <c r="AR1137" s="82"/>
      <c r="AS1137" s="82"/>
      <c r="AT1137" s="82"/>
      <c r="AU1137" s="82"/>
      <c r="AV1137" s="82"/>
      <c r="AW1137" s="82" t="str">
        <f t="shared" si="1"/>
        <v/>
      </c>
      <c r="AX1137" s="83" t="str">
        <f t="array" ref="AX1137">IFERROR(DGET('SBV Import'!A:G,"SBV",{"RSC ID","Tier";B1137,A1137}))</f>
        <v/>
      </c>
      <c r="AY1137" s="82" t="str">
        <f t="shared" si="2"/>
        <v/>
      </c>
      <c r="AZ1137" s="82"/>
      <c r="BA1137" s="84" t="s">
        <v>152</v>
      </c>
      <c r="BB1137" s="84" t="str">
        <f>IFERROR(__xludf.DUMMYFUNCTION("iferror(if(A1137="""",,E1137&gt;=FILTER(Constants!$F$2:$F$10,Constants!$A$2:$A$10=A1137)))"),"")</f>
        <v/>
      </c>
    </row>
    <row r="1138">
      <c r="A1138" s="89"/>
      <c r="B1138" s="87"/>
      <c r="C1138" s="73"/>
      <c r="D1138" s="73"/>
      <c r="E1138" s="82"/>
      <c r="F1138" s="82"/>
      <c r="G1138" s="86"/>
      <c r="H1138" s="86"/>
      <c r="I1138" s="86"/>
      <c r="J1138" s="82"/>
      <c r="K1138" s="82"/>
      <c r="L1138" s="82"/>
      <c r="M1138" s="82"/>
      <c r="N1138" s="82"/>
      <c r="O1138" s="82"/>
      <c r="P1138" s="82"/>
      <c r="Q1138" s="82"/>
      <c r="R1138" s="82"/>
      <c r="S1138" s="82"/>
      <c r="T1138" s="82"/>
      <c r="U1138" s="82"/>
      <c r="V1138" s="82"/>
      <c r="W1138" s="82"/>
      <c r="X1138" s="82"/>
      <c r="Y1138" s="82"/>
      <c r="Z1138" s="82"/>
      <c r="AA1138" s="82"/>
      <c r="AB1138" s="82"/>
      <c r="AC1138" s="82"/>
      <c r="AD1138" s="82"/>
      <c r="AE1138" s="82"/>
      <c r="AF1138" s="82"/>
      <c r="AG1138" s="82"/>
      <c r="AH1138" s="82"/>
      <c r="AI1138" s="82"/>
      <c r="AJ1138" s="82"/>
      <c r="AK1138" s="82"/>
      <c r="AL1138" s="82"/>
      <c r="AM1138" s="82"/>
      <c r="AN1138" s="82"/>
      <c r="AO1138" s="82"/>
      <c r="AP1138" s="82"/>
      <c r="AQ1138" s="82"/>
      <c r="AR1138" s="82"/>
      <c r="AS1138" s="82"/>
      <c r="AT1138" s="82"/>
      <c r="AU1138" s="82"/>
      <c r="AV1138" s="82"/>
      <c r="AW1138" s="82" t="str">
        <f t="shared" si="1"/>
        <v/>
      </c>
      <c r="AX1138" s="83" t="str">
        <f t="array" ref="AX1138">IFERROR(DGET('SBV Import'!A:G,"SBV",{"RSC ID","Tier";B1138,A1138}))</f>
        <v/>
      </c>
      <c r="AY1138" s="82" t="str">
        <f t="shared" si="2"/>
        <v/>
      </c>
      <c r="AZ1138" s="82"/>
      <c r="BA1138" s="84" t="s">
        <v>152</v>
      </c>
      <c r="BB1138" s="84" t="str">
        <f>IFERROR(__xludf.DUMMYFUNCTION("iferror(if(A1138="""",,E1138&gt;=FILTER(Constants!$F$2:$F$10,Constants!$A$2:$A$10=A1138)))"),"")</f>
        <v/>
      </c>
    </row>
    <row r="1139">
      <c r="A1139" s="89"/>
      <c r="B1139" s="87"/>
      <c r="C1139" s="73"/>
      <c r="D1139" s="73"/>
      <c r="E1139" s="82"/>
      <c r="F1139" s="82"/>
      <c r="G1139" s="86"/>
      <c r="H1139" s="86"/>
      <c r="I1139" s="86"/>
      <c r="J1139" s="82"/>
      <c r="K1139" s="82"/>
      <c r="L1139" s="82"/>
      <c r="M1139" s="82"/>
      <c r="N1139" s="82"/>
      <c r="O1139" s="82"/>
      <c r="P1139" s="82"/>
      <c r="Q1139" s="82"/>
      <c r="R1139" s="82"/>
      <c r="S1139" s="82"/>
      <c r="T1139" s="82"/>
      <c r="U1139" s="82"/>
      <c r="V1139" s="82"/>
      <c r="W1139" s="82"/>
      <c r="X1139" s="82"/>
      <c r="Y1139" s="82"/>
      <c r="Z1139" s="82"/>
      <c r="AA1139" s="82"/>
      <c r="AB1139" s="82"/>
      <c r="AC1139" s="82"/>
      <c r="AD1139" s="82"/>
      <c r="AE1139" s="82"/>
      <c r="AF1139" s="82"/>
      <c r="AG1139" s="82"/>
      <c r="AH1139" s="82"/>
      <c r="AI1139" s="82"/>
      <c r="AJ1139" s="82"/>
      <c r="AK1139" s="82"/>
      <c r="AL1139" s="82"/>
      <c r="AM1139" s="82"/>
      <c r="AN1139" s="82"/>
      <c r="AO1139" s="82"/>
      <c r="AP1139" s="82"/>
      <c r="AQ1139" s="82"/>
      <c r="AR1139" s="82"/>
      <c r="AS1139" s="82"/>
      <c r="AT1139" s="82"/>
      <c r="AU1139" s="82"/>
      <c r="AV1139" s="82"/>
      <c r="AW1139" s="82" t="str">
        <f t="shared" si="1"/>
        <v/>
      </c>
      <c r="AX1139" s="83" t="str">
        <f t="array" ref="AX1139">IFERROR(DGET('SBV Import'!A:G,"SBV",{"RSC ID","Tier";B1139,A1139}))</f>
        <v/>
      </c>
      <c r="AY1139" s="82" t="str">
        <f t="shared" si="2"/>
        <v/>
      </c>
      <c r="AZ1139" s="82"/>
      <c r="BA1139" s="84" t="s">
        <v>152</v>
      </c>
      <c r="BB1139" s="84" t="str">
        <f>IFERROR(__xludf.DUMMYFUNCTION("iferror(if(A1139="""",,E1139&gt;=FILTER(Constants!$F$2:$F$10,Constants!$A$2:$A$10=A1139)))"),"")</f>
        <v/>
      </c>
    </row>
    <row r="1140">
      <c r="A1140" s="89"/>
      <c r="B1140" s="87"/>
      <c r="C1140" s="73"/>
      <c r="D1140" s="73"/>
      <c r="E1140" s="82"/>
      <c r="F1140" s="82"/>
      <c r="G1140" s="86"/>
      <c r="H1140" s="86"/>
      <c r="I1140" s="86"/>
      <c r="J1140" s="82"/>
      <c r="K1140" s="82"/>
      <c r="L1140" s="82"/>
      <c r="M1140" s="82"/>
      <c r="N1140" s="82"/>
      <c r="O1140" s="82"/>
      <c r="P1140" s="82"/>
      <c r="Q1140" s="82"/>
      <c r="R1140" s="82"/>
      <c r="S1140" s="82"/>
      <c r="T1140" s="82"/>
      <c r="U1140" s="82"/>
      <c r="V1140" s="82"/>
      <c r="W1140" s="82"/>
      <c r="X1140" s="82"/>
      <c r="Y1140" s="82"/>
      <c r="Z1140" s="82"/>
      <c r="AA1140" s="82"/>
      <c r="AB1140" s="82"/>
      <c r="AC1140" s="82"/>
      <c r="AD1140" s="82"/>
      <c r="AE1140" s="82"/>
      <c r="AF1140" s="82"/>
      <c r="AG1140" s="82"/>
      <c r="AH1140" s="82"/>
      <c r="AI1140" s="82"/>
      <c r="AJ1140" s="82"/>
      <c r="AK1140" s="82"/>
      <c r="AL1140" s="82"/>
      <c r="AM1140" s="82"/>
      <c r="AN1140" s="82"/>
      <c r="AO1140" s="82"/>
      <c r="AP1140" s="82"/>
      <c r="AQ1140" s="82"/>
      <c r="AR1140" s="82"/>
      <c r="AS1140" s="82"/>
      <c r="AT1140" s="82"/>
      <c r="AU1140" s="82"/>
      <c r="AV1140" s="82"/>
      <c r="AW1140" s="82" t="str">
        <f t="shared" si="1"/>
        <v/>
      </c>
      <c r="AX1140" s="83" t="str">
        <f t="array" ref="AX1140">IFERROR(DGET('SBV Import'!A:G,"SBV",{"RSC ID","Tier";B1140,A1140}))</f>
        <v/>
      </c>
      <c r="AY1140" s="82" t="str">
        <f t="shared" si="2"/>
        <v/>
      </c>
      <c r="AZ1140" s="82"/>
      <c r="BA1140" s="84" t="s">
        <v>152</v>
      </c>
      <c r="BB1140" s="84" t="str">
        <f>IFERROR(__xludf.DUMMYFUNCTION("iferror(if(A1140="""",,E1140&gt;=FILTER(Constants!$F$2:$F$10,Constants!$A$2:$A$10=A1140)))"),"")</f>
        <v/>
      </c>
    </row>
    <row r="1141">
      <c r="A1141" s="89"/>
      <c r="B1141" s="87"/>
      <c r="C1141" s="73"/>
      <c r="D1141" s="73"/>
      <c r="E1141" s="82"/>
      <c r="F1141" s="82"/>
      <c r="G1141" s="86"/>
      <c r="H1141" s="86"/>
      <c r="I1141" s="86"/>
      <c r="J1141" s="82"/>
      <c r="K1141" s="82"/>
      <c r="L1141" s="82"/>
      <c r="M1141" s="82"/>
      <c r="N1141" s="82"/>
      <c r="O1141" s="82"/>
      <c r="P1141" s="82"/>
      <c r="Q1141" s="82"/>
      <c r="R1141" s="82"/>
      <c r="S1141" s="82"/>
      <c r="T1141" s="82"/>
      <c r="U1141" s="82"/>
      <c r="V1141" s="82"/>
      <c r="W1141" s="82"/>
      <c r="X1141" s="82"/>
      <c r="Y1141" s="82"/>
      <c r="Z1141" s="82"/>
      <c r="AA1141" s="82"/>
      <c r="AB1141" s="82"/>
      <c r="AC1141" s="82"/>
      <c r="AD1141" s="82"/>
      <c r="AE1141" s="82"/>
      <c r="AF1141" s="82"/>
      <c r="AG1141" s="82"/>
      <c r="AH1141" s="82"/>
      <c r="AI1141" s="82"/>
      <c r="AJ1141" s="82"/>
      <c r="AK1141" s="82"/>
      <c r="AL1141" s="82"/>
      <c r="AM1141" s="82"/>
      <c r="AN1141" s="82"/>
      <c r="AO1141" s="82"/>
      <c r="AP1141" s="82"/>
      <c r="AQ1141" s="82"/>
      <c r="AR1141" s="82"/>
      <c r="AS1141" s="82"/>
      <c r="AT1141" s="82"/>
      <c r="AU1141" s="82"/>
      <c r="AV1141" s="82"/>
      <c r="AW1141" s="82" t="str">
        <f t="shared" si="1"/>
        <v/>
      </c>
      <c r="AX1141" s="83" t="str">
        <f t="array" ref="AX1141">IFERROR(DGET('SBV Import'!A:G,"SBV",{"RSC ID","Tier";B1141,A1141}))</f>
        <v/>
      </c>
      <c r="AY1141" s="82" t="str">
        <f t="shared" si="2"/>
        <v/>
      </c>
      <c r="AZ1141" s="82"/>
      <c r="BA1141" s="84" t="s">
        <v>152</v>
      </c>
      <c r="BB1141" s="84" t="str">
        <f>IFERROR(__xludf.DUMMYFUNCTION("iferror(if(A1141="""",,E1141&gt;=FILTER(Constants!$F$2:$F$10,Constants!$A$2:$A$10=A1141)))"),"")</f>
        <v/>
      </c>
    </row>
    <row r="1142">
      <c r="A1142" s="89"/>
      <c r="B1142" s="87"/>
      <c r="C1142" s="73"/>
      <c r="D1142" s="73"/>
      <c r="E1142" s="82"/>
      <c r="F1142" s="82"/>
      <c r="G1142" s="86"/>
      <c r="H1142" s="86"/>
      <c r="I1142" s="86"/>
      <c r="J1142" s="82"/>
      <c r="K1142" s="82"/>
      <c r="L1142" s="82"/>
      <c r="M1142" s="82"/>
      <c r="N1142" s="82"/>
      <c r="O1142" s="82"/>
      <c r="P1142" s="82"/>
      <c r="Q1142" s="82"/>
      <c r="R1142" s="82"/>
      <c r="S1142" s="82"/>
      <c r="T1142" s="82"/>
      <c r="U1142" s="82"/>
      <c r="V1142" s="82"/>
      <c r="W1142" s="82"/>
      <c r="X1142" s="82"/>
      <c r="Y1142" s="82"/>
      <c r="Z1142" s="82"/>
      <c r="AA1142" s="82"/>
      <c r="AB1142" s="82"/>
      <c r="AC1142" s="82"/>
      <c r="AD1142" s="82"/>
      <c r="AE1142" s="82"/>
      <c r="AF1142" s="82"/>
      <c r="AG1142" s="82"/>
      <c r="AH1142" s="82"/>
      <c r="AI1142" s="82"/>
      <c r="AJ1142" s="82"/>
      <c r="AK1142" s="82"/>
      <c r="AL1142" s="82"/>
      <c r="AM1142" s="82"/>
      <c r="AN1142" s="82"/>
      <c r="AO1142" s="82"/>
      <c r="AP1142" s="82"/>
      <c r="AQ1142" s="82"/>
      <c r="AR1142" s="82"/>
      <c r="AS1142" s="82"/>
      <c r="AT1142" s="82"/>
      <c r="AU1142" s="82"/>
      <c r="AV1142" s="82"/>
      <c r="AW1142" s="82" t="str">
        <f t="shared" si="1"/>
        <v/>
      </c>
      <c r="AX1142" s="83" t="str">
        <f t="array" ref="AX1142">IFERROR(DGET('SBV Import'!A:G,"SBV",{"RSC ID","Tier";B1142,A1142}))</f>
        <v/>
      </c>
      <c r="AY1142" s="82" t="str">
        <f t="shared" si="2"/>
        <v/>
      </c>
      <c r="AZ1142" s="82"/>
      <c r="BA1142" s="84" t="s">
        <v>152</v>
      </c>
      <c r="BB1142" s="84" t="str">
        <f>IFERROR(__xludf.DUMMYFUNCTION("iferror(if(A1142="""",,E1142&gt;=FILTER(Constants!$F$2:$F$10,Constants!$A$2:$A$10=A1142)))"),"")</f>
        <v/>
      </c>
    </row>
    <row r="1143">
      <c r="A1143" s="89"/>
      <c r="B1143" s="87"/>
      <c r="C1143" s="73"/>
      <c r="D1143" s="73"/>
      <c r="E1143" s="82"/>
      <c r="F1143" s="82"/>
      <c r="G1143" s="86"/>
      <c r="H1143" s="86"/>
      <c r="I1143" s="86"/>
      <c r="J1143" s="82"/>
      <c r="K1143" s="82"/>
      <c r="L1143" s="82"/>
      <c r="M1143" s="82"/>
      <c r="N1143" s="82"/>
      <c r="O1143" s="82"/>
      <c r="P1143" s="82"/>
      <c r="Q1143" s="82"/>
      <c r="R1143" s="82"/>
      <c r="S1143" s="82"/>
      <c r="T1143" s="82"/>
      <c r="U1143" s="82"/>
      <c r="V1143" s="82"/>
      <c r="W1143" s="82"/>
      <c r="X1143" s="82"/>
      <c r="Y1143" s="82"/>
      <c r="Z1143" s="82"/>
      <c r="AA1143" s="82"/>
      <c r="AB1143" s="82"/>
      <c r="AC1143" s="82"/>
      <c r="AD1143" s="82"/>
      <c r="AE1143" s="82"/>
      <c r="AF1143" s="82"/>
      <c r="AG1143" s="82"/>
      <c r="AH1143" s="82"/>
      <c r="AI1143" s="82"/>
      <c r="AJ1143" s="82"/>
      <c r="AK1143" s="82"/>
      <c r="AL1143" s="82"/>
      <c r="AM1143" s="82"/>
      <c r="AN1143" s="82"/>
      <c r="AO1143" s="82"/>
      <c r="AP1143" s="82"/>
      <c r="AQ1143" s="82"/>
      <c r="AR1143" s="82"/>
      <c r="AS1143" s="82"/>
      <c r="AT1143" s="82"/>
      <c r="AU1143" s="82"/>
      <c r="AV1143" s="82"/>
      <c r="AW1143" s="82" t="str">
        <f t="shared" si="1"/>
        <v/>
      </c>
      <c r="AX1143" s="83" t="str">
        <f t="array" ref="AX1143">IFERROR(DGET('SBV Import'!A:G,"SBV",{"RSC ID","Tier";B1143,A1143}))</f>
        <v/>
      </c>
      <c r="AY1143" s="82" t="str">
        <f t="shared" si="2"/>
        <v/>
      </c>
      <c r="AZ1143" s="82"/>
      <c r="BA1143" s="84" t="s">
        <v>152</v>
      </c>
      <c r="BB1143" s="84" t="str">
        <f>IFERROR(__xludf.DUMMYFUNCTION("iferror(if(A1143="""",,E1143&gt;=FILTER(Constants!$F$2:$F$10,Constants!$A$2:$A$10=A1143)))"),"")</f>
        <v/>
      </c>
    </row>
    <row r="1144">
      <c r="A1144" s="89"/>
      <c r="B1144" s="87"/>
      <c r="C1144" s="73"/>
      <c r="D1144" s="73"/>
      <c r="E1144" s="82"/>
      <c r="F1144" s="82"/>
      <c r="G1144" s="86"/>
      <c r="H1144" s="86"/>
      <c r="I1144" s="86"/>
      <c r="J1144" s="82"/>
      <c r="K1144" s="82"/>
      <c r="L1144" s="82"/>
      <c r="M1144" s="82"/>
      <c r="N1144" s="82"/>
      <c r="O1144" s="82"/>
      <c r="P1144" s="82"/>
      <c r="Q1144" s="82"/>
      <c r="R1144" s="82"/>
      <c r="S1144" s="82"/>
      <c r="T1144" s="82"/>
      <c r="U1144" s="82"/>
      <c r="V1144" s="82"/>
      <c r="W1144" s="82"/>
      <c r="X1144" s="82"/>
      <c r="Y1144" s="82"/>
      <c r="Z1144" s="82"/>
      <c r="AA1144" s="82"/>
      <c r="AB1144" s="82"/>
      <c r="AC1144" s="82"/>
      <c r="AD1144" s="82"/>
      <c r="AE1144" s="82"/>
      <c r="AF1144" s="82"/>
      <c r="AG1144" s="82"/>
      <c r="AH1144" s="82"/>
      <c r="AI1144" s="82"/>
      <c r="AJ1144" s="82"/>
      <c r="AK1144" s="82"/>
      <c r="AL1144" s="82"/>
      <c r="AM1144" s="82"/>
      <c r="AN1144" s="82"/>
      <c r="AO1144" s="82"/>
      <c r="AP1144" s="82"/>
      <c r="AQ1144" s="82"/>
      <c r="AR1144" s="82"/>
      <c r="AS1144" s="82"/>
      <c r="AT1144" s="82"/>
      <c r="AU1144" s="82"/>
      <c r="AV1144" s="82"/>
      <c r="AW1144" s="82" t="str">
        <f t="shared" si="1"/>
        <v/>
      </c>
      <c r="AX1144" s="83" t="str">
        <f t="array" ref="AX1144">IFERROR(DGET('SBV Import'!A:G,"SBV",{"RSC ID","Tier";B1144,A1144}))</f>
        <v/>
      </c>
      <c r="AY1144" s="82" t="str">
        <f t="shared" si="2"/>
        <v/>
      </c>
      <c r="AZ1144" s="82"/>
      <c r="BA1144" s="84" t="s">
        <v>152</v>
      </c>
      <c r="BB1144" s="84" t="str">
        <f>IFERROR(__xludf.DUMMYFUNCTION("iferror(if(A1144="""",,E1144&gt;=FILTER(Constants!$F$2:$F$10,Constants!$A$2:$A$10=A1144)))"),"")</f>
        <v/>
      </c>
    </row>
    <row r="1145">
      <c r="A1145" s="89"/>
      <c r="B1145" s="87"/>
      <c r="C1145" s="73"/>
      <c r="D1145" s="73"/>
      <c r="E1145" s="82"/>
      <c r="F1145" s="82"/>
      <c r="G1145" s="86"/>
      <c r="H1145" s="86"/>
      <c r="I1145" s="86"/>
      <c r="J1145" s="82"/>
      <c r="K1145" s="82"/>
      <c r="L1145" s="82"/>
      <c r="M1145" s="82"/>
      <c r="N1145" s="82"/>
      <c r="O1145" s="82"/>
      <c r="P1145" s="82"/>
      <c r="Q1145" s="82"/>
      <c r="R1145" s="82"/>
      <c r="S1145" s="82"/>
      <c r="T1145" s="82"/>
      <c r="U1145" s="82"/>
      <c r="V1145" s="82"/>
      <c r="W1145" s="82"/>
      <c r="X1145" s="82"/>
      <c r="Y1145" s="82"/>
      <c r="Z1145" s="82"/>
      <c r="AA1145" s="82"/>
      <c r="AB1145" s="82"/>
      <c r="AC1145" s="82"/>
      <c r="AD1145" s="82"/>
      <c r="AE1145" s="82"/>
      <c r="AF1145" s="82"/>
      <c r="AG1145" s="82"/>
      <c r="AH1145" s="82"/>
      <c r="AI1145" s="82"/>
      <c r="AJ1145" s="82"/>
      <c r="AK1145" s="82"/>
      <c r="AL1145" s="82"/>
      <c r="AM1145" s="82"/>
      <c r="AN1145" s="82"/>
      <c r="AO1145" s="82"/>
      <c r="AP1145" s="82"/>
      <c r="AQ1145" s="82"/>
      <c r="AR1145" s="82"/>
      <c r="AS1145" s="82"/>
      <c r="AT1145" s="82"/>
      <c r="AU1145" s="82"/>
      <c r="AV1145" s="82"/>
      <c r="AW1145" s="82" t="str">
        <f t="shared" si="1"/>
        <v/>
      </c>
      <c r="AX1145" s="83" t="str">
        <f t="array" ref="AX1145">IFERROR(DGET('SBV Import'!A:G,"SBV",{"RSC ID","Tier";B1145,A1145}))</f>
        <v/>
      </c>
      <c r="AY1145" s="82" t="str">
        <f t="shared" si="2"/>
        <v/>
      </c>
      <c r="AZ1145" s="82"/>
      <c r="BA1145" s="84" t="s">
        <v>152</v>
      </c>
      <c r="BB1145" s="84" t="str">
        <f>IFERROR(__xludf.DUMMYFUNCTION("iferror(if(A1145="""",,E1145&gt;=FILTER(Constants!$F$2:$F$10,Constants!$A$2:$A$10=A1145)))"),"")</f>
        <v/>
      </c>
    </row>
    <row r="1146">
      <c r="A1146" s="89"/>
      <c r="B1146" s="87"/>
      <c r="C1146" s="73"/>
      <c r="D1146" s="73"/>
      <c r="E1146" s="82"/>
      <c r="F1146" s="82"/>
      <c r="G1146" s="86"/>
      <c r="H1146" s="86"/>
      <c r="I1146" s="86"/>
      <c r="J1146" s="82"/>
      <c r="K1146" s="82"/>
      <c r="L1146" s="82"/>
      <c r="M1146" s="82"/>
      <c r="N1146" s="82"/>
      <c r="O1146" s="82"/>
      <c r="P1146" s="82"/>
      <c r="Q1146" s="82"/>
      <c r="R1146" s="82"/>
      <c r="S1146" s="82"/>
      <c r="T1146" s="82"/>
      <c r="U1146" s="82"/>
      <c r="V1146" s="82"/>
      <c r="W1146" s="82"/>
      <c r="X1146" s="82"/>
      <c r="Y1146" s="82"/>
      <c r="Z1146" s="82"/>
      <c r="AA1146" s="82"/>
      <c r="AB1146" s="82"/>
      <c r="AC1146" s="82"/>
      <c r="AD1146" s="82"/>
      <c r="AE1146" s="82"/>
      <c r="AF1146" s="82"/>
      <c r="AG1146" s="82"/>
      <c r="AH1146" s="82"/>
      <c r="AI1146" s="82"/>
      <c r="AJ1146" s="82"/>
      <c r="AK1146" s="82"/>
      <c r="AL1146" s="82"/>
      <c r="AM1146" s="82"/>
      <c r="AN1146" s="82"/>
      <c r="AO1146" s="82"/>
      <c r="AP1146" s="82"/>
      <c r="AQ1146" s="82"/>
      <c r="AR1146" s="82"/>
      <c r="AS1146" s="82"/>
      <c r="AT1146" s="82"/>
      <c r="AU1146" s="82"/>
      <c r="AV1146" s="82"/>
      <c r="AW1146" s="82" t="str">
        <f t="shared" si="1"/>
        <v/>
      </c>
      <c r="AX1146" s="83" t="str">
        <f t="array" ref="AX1146">IFERROR(DGET('SBV Import'!A:G,"SBV",{"RSC ID","Tier";B1146,A1146}))</f>
        <v/>
      </c>
      <c r="AY1146" s="82" t="str">
        <f t="shared" si="2"/>
        <v/>
      </c>
      <c r="AZ1146" s="82"/>
      <c r="BA1146" s="84" t="s">
        <v>152</v>
      </c>
      <c r="BB1146" s="84" t="str">
        <f>IFERROR(__xludf.DUMMYFUNCTION("iferror(if(A1146="""",,E1146&gt;=FILTER(Constants!$F$2:$F$10,Constants!$A$2:$A$10=A1146)))"),"")</f>
        <v/>
      </c>
    </row>
    <row r="1147">
      <c r="A1147" s="89"/>
      <c r="B1147" s="87"/>
      <c r="C1147" s="73"/>
      <c r="D1147" s="73"/>
      <c r="E1147" s="82"/>
      <c r="F1147" s="82"/>
      <c r="G1147" s="86"/>
      <c r="H1147" s="86"/>
      <c r="I1147" s="86"/>
      <c r="J1147" s="82"/>
      <c r="K1147" s="82"/>
      <c r="L1147" s="82"/>
      <c r="M1147" s="82"/>
      <c r="N1147" s="82"/>
      <c r="O1147" s="82"/>
      <c r="P1147" s="82"/>
      <c r="Q1147" s="82"/>
      <c r="R1147" s="82"/>
      <c r="S1147" s="82"/>
      <c r="T1147" s="82"/>
      <c r="U1147" s="82"/>
      <c r="V1147" s="82"/>
      <c r="W1147" s="82"/>
      <c r="X1147" s="82"/>
      <c r="Y1147" s="82"/>
      <c r="Z1147" s="82"/>
      <c r="AA1147" s="82"/>
      <c r="AB1147" s="82"/>
      <c r="AC1147" s="82"/>
      <c r="AD1147" s="82"/>
      <c r="AE1147" s="82"/>
      <c r="AF1147" s="82"/>
      <c r="AG1147" s="82"/>
      <c r="AH1147" s="82"/>
      <c r="AI1147" s="82"/>
      <c r="AJ1147" s="82"/>
      <c r="AK1147" s="82"/>
      <c r="AL1147" s="82"/>
      <c r="AM1147" s="82"/>
      <c r="AN1147" s="82"/>
      <c r="AO1147" s="82"/>
      <c r="AP1147" s="82"/>
      <c r="AQ1147" s="82"/>
      <c r="AR1147" s="82"/>
      <c r="AS1147" s="82"/>
      <c r="AT1147" s="82"/>
      <c r="AU1147" s="82"/>
      <c r="AV1147" s="82"/>
      <c r="AW1147" s="82" t="str">
        <f t="shared" si="1"/>
        <v/>
      </c>
      <c r="AX1147" s="83" t="str">
        <f t="array" ref="AX1147">IFERROR(DGET('SBV Import'!A:G,"SBV",{"RSC ID","Tier";B1147,A1147}))</f>
        <v/>
      </c>
      <c r="AY1147" s="82" t="str">
        <f t="shared" si="2"/>
        <v/>
      </c>
      <c r="AZ1147" s="82"/>
      <c r="BA1147" s="84" t="s">
        <v>152</v>
      </c>
      <c r="BB1147" s="84" t="str">
        <f>IFERROR(__xludf.DUMMYFUNCTION("iferror(if(A1147="""",,E1147&gt;=FILTER(Constants!$F$2:$F$10,Constants!$A$2:$A$10=A1147)))"),"")</f>
        <v/>
      </c>
    </row>
    <row r="1148">
      <c r="A1148" s="89"/>
      <c r="B1148" s="87"/>
      <c r="C1148" s="73"/>
      <c r="D1148" s="73"/>
      <c r="E1148" s="82"/>
      <c r="F1148" s="82"/>
      <c r="G1148" s="86"/>
      <c r="H1148" s="86"/>
      <c r="I1148" s="86"/>
      <c r="J1148" s="82"/>
      <c r="K1148" s="82"/>
      <c r="L1148" s="82"/>
      <c r="M1148" s="82"/>
      <c r="N1148" s="82"/>
      <c r="O1148" s="82"/>
      <c r="P1148" s="82"/>
      <c r="Q1148" s="82"/>
      <c r="R1148" s="82"/>
      <c r="S1148" s="82"/>
      <c r="T1148" s="82"/>
      <c r="U1148" s="82"/>
      <c r="V1148" s="82"/>
      <c r="W1148" s="82"/>
      <c r="X1148" s="82"/>
      <c r="Y1148" s="82"/>
      <c r="Z1148" s="82"/>
      <c r="AA1148" s="82"/>
      <c r="AB1148" s="82"/>
      <c r="AC1148" s="82"/>
      <c r="AD1148" s="82"/>
      <c r="AE1148" s="82"/>
      <c r="AF1148" s="82"/>
      <c r="AG1148" s="82"/>
      <c r="AH1148" s="82"/>
      <c r="AI1148" s="82"/>
      <c r="AJ1148" s="82"/>
      <c r="AK1148" s="82"/>
      <c r="AL1148" s="82"/>
      <c r="AM1148" s="82"/>
      <c r="AN1148" s="82"/>
      <c r="AO1148" s="82"/>
      <c r="AP1148" s="82"/>
      <c r="AQ1148" s="82"/>
      <c r="AR1148" s="82"/>
      <c r="AS1148" s="82"/>
      <c r="AT1148" s="82"/>
      <c r="AU1148" s="82"/>
      <c r="AV1148" s="82"/>
      <c r="AW1148" s="82" t="str">
        <f t="shared" si="1"/>
        <v/>
      </c>
      <c r="AX1148" s="83" t="str">
        <f t="array" ref="AX1148">IFERROR(DGET('SBV Import'!A:G,"SBV",{"RSC ID","Tier";B1148,A1148}))</f>
        <v/>
      </c>
      <c r="AY1148" s="82" t="str">
        <f t="shared" si="2"/>
        <v/>
      </c>
      <c r="AZ1148" s="82"/>
      <c r="BA1148" s="84" t="s">
        <v>152</v>
      </c>
      <c r="BB1148" s="84" t="str">
        <f>IFERROR(__xludf.DUMMYFUNCTION("iferror(if(A1148="""",,E1148&gt;=FILTER(Constants!$F$2:$F$10,Constants!$A$2:$A$10=A1148)))"),"")</f>
        <v/>
      </c>
    </row>
    <row r="1149">
      <c r="A1149" s="89"/>
      <c r="B1149" s="87"/>
      <c r="C1149" s="73"/>
      <c r="D1149" s="73"/>
      <c r="E1149" s="82"/>
      <c r="F1149" s="82"/>
      <c r="G1149" s="86"/>
      <c r="H1149" s="86"/>
      <c r="I1149" s="86"/>
      <c r="J1149" s="82"/>
      <c r="K1149" s="82"/>
      <c r="L1149" s="82"/>
      <c r="M1149" s="82"/>
      <c r="N1149" s="82"/>
      <c r="O1149" s="82"/>
      <c r="P1149" s="82"/>
      <c r="Q1149" s="82"/>
      <c r="R1149" s="82"/>
      <c r="S1149" s="82"/>
      <c r="T1149" s="82"/>
      <c r="U1149" s="82"/>
      <c r="V1149" s="82"/>
      <c r="W1149" s="82"/>
      <c r="X1149" s="82"/>
      <c r="Y1149" s="82"/>
      <c r="Z1149" s="82"/>
      <c r="AA1149" s="82"/>
      <c r="AB1149" s="82"/>
      <c r="AC1149" s="82"/>
      <c r="AD1149" s="82"/>
      <c r="AE1149" s="82"/>
      <c r="AF1149" s="82"/>
      <c r="AG1149" s="82"/>
      <c r="AH1149" s="82"/>
      <c r="AI1149" s="82"/>
      <c r="AJ1149" s="82"/>
      <c r="AK1149" s="82"/>
      <c r="AL1149" s="82"/>
      <c r="AM1149" s="82"/>
      <c r="AN1149" s="82"/>
      <c r="AO1149" s="82"/>
      <c r="AP1149" s="82"/>
      <c r="AQ1149" s="82"/>
      <c r="AR1149" s="82"/>
      <c r="AS1149" s="82"/>
      <c r="AT1149" s="82"/>
      <c r="AU1149" s="82"/>
      <c r="AV1149" s="82"/>
      <c r="AW1149" s="82" t="str">
        <f t="shared" si="1"/>
        <v/>
      </c>
      <c r="AX1149" s="83" t="str">
        <f t="array" ref="AX1149">IFERROR(DGET('SBV Import'!A:G,"SBV",{"RSC ID","Tier";B1149,A1149}))</f>
        <v/>
      </c>
      <c r="AY1149" s="82" t="str">
        <f t="shared" si="2"/>
        <v/>
      </c>
      <c r="AZ1149" s="82"/>
      <c r="BA1149" s="84" t="s">
        <v>152</v>
      </c>
      <c r="BB1149" s="84" t="str">
        <f>IFERROR(__xludf.DUMMYFUNCTION("iferror(if(A1149="""",,E1149&gt;=FILTER(Constants!$F$2:$F$10,Constants!$A$2:$A$10=A1149)))"),"")</f>
        <v/>
      </c>
    </row>
    <row r="1150">
      <c r="A1150" s="89"/>
      <c r="B1150" s="87"/>
      <c r="C1150" s="73"/>
      <c r="D1150" s="73"/>
      <c r="E1150" s="82"/>
      <c r="F1150" s="82"/>
      <c r="G1150" s="86"/>
      <c r="H1150" s="86"/>
      <c r="I1150" s="86"/>
      <c r="J1150" s="82"/>
      <c r="K1150" s="82"/>
      <c r="L1150" s="82"/>
      <c r="M1150" s="82"/>
      <c r="N1150" s="82"/>
      <c r="O1150" s="82"/>
      <c r="P1150" s="82"/>
      <c r="Q1150" s="82"/>
      <c r="R1150" s="82"/>
      <c r="S1150" s="82"/>
      <c r="T1150" s="82"/>
      <c r="U1150" s="82"/>
      <c r="V1150" s="82"/>
      <c r="W1150" s="82"/>
      <c r="X1150" s="82"/>
      <c r="Y1150" s="82"/>
      <c r="Z1150" s="82"/>
      <c r="AA1150" s="82"/>
      <c r="AB1150" s="82"/>
      <c r="AC1150" s="82"/>
      <c r="AD1150" s="82"/>
      <c r="AE1150" s="82"/>
      <c r="AF1150" s="82"/>
      <c r="AG1150" s="82"/>
      <c r="AH1150" s="82"/>
      <c r="AI1150" s="82"/>
      <c r="AJ1150" s="82"/>
      <c r="AK1150" s="82"/>
      <c r="AL1150" s="82"/>
      <c r="AM1150" s="82"/>
      <c r="AN1150" s="82"/>
      <c r="AO1150" s="82"/>
      <c r="AP1150" s="82"/>
      <c r="AQ1150" s="82"/>
      <c r="AR1150" s="82"/>
      <c r="AS1150" s="82"/>
      <c r="AT1150" s="82"/>
      <c r="AU1150" s="82"/>
      <c r="AV1150" s="82"/>
      <c r="AW1150" s="82" t="str">
        <f t="shared" si="1"/>
        <v/>
      </c>
      <c r="AX1150" s="83" t="str">
        <f t="array" ref="AX1150">IFERROR(DGET('SBV Import'!A:G,"SBV",{"RSC ID","Tier";B1150,A1150}))</f>
        <v/>
      </c>
      <c r="AY1150" s="82" t="str">
        <f t="shared" si="2"/>
        <v/>
      </c>
      <c r="AZ1150" s="82"/>
      <c r="BA1150" s="84" t="s">
        <v>152</v>
      </c>
      <c r="BB1150" s="84" t="str">
        <f>IFERROR(__xludf.DUMMYFUNCTION("iferror(if(A1150="""",,E1150&gt;=FILTER(Constants!$F$2:$F$10,Constants!$A$2:$A$10=A1150)))"),"")</f>
        <v/>
      </c>
    </row>
    <row r="1151">
      <c r="A1151" s="89"/>
      <c r="B1151" s="87"/>
      <c r="C1151" s="73"/>
      <c r="D1151" s="73"/>
      <c r="E1151" s="82"/>
      <c r="F1151" s="82"/>
      <c r="G1151" s="86"/>
      <c r="H1151" s="86"/>
      <c r="I1151" s="86"/>
      <c r="J1151" s="82"/>
      <c r="K1151" s="82"/>
      <c r="L1151" s="82"/>
      <c r="M1151" s="82"/>
      <c r="N1151" s="82"/>
      <c r="O1151" s="82"/>
      <c r="P1151" s="82"/>
      <c r="Q1151" s="82"/>
      <c r="R1151" s="82"/>
      <c r="S1151" s="82"/>
      <c r="T1151" s="82"/>
      <c r="U1151" s="82"/>
      <c r="V1151" s="82"/>
      <c r="W1151" s="82"/>
      <c r="X1151" s="82"/>
      <c r="Y1151" s="82"/>
      <c r="Z1151" s="82"/>
      <c r="AA1151" s="82"/>
      <c r="AB1151" s="82"/>
      <c r="AC1151" s="82"/>
      <c r="AD1151" s="82"/>
      <c r="AE1151" s="82"/>
      <c r="AF1151" s="82"/>
      <c r="AG1151" s="82"/>
      <c r="AH1151" s="82"/>
      <c r="AI1151" s="82"/>
      <c r="AJ1151" s="82"/>
      <c r="AK1151" s="82"/>
      <c r="AL1151" s="82"/>
      <c r="AM1151" s="82"/>
      <c r="AN1151" s="82"/>
      <c r="AO1151" s="82"/>
      <c r="AP1151" s="82"/>
      <c r="AQ1151" s="82"/>
      <c r="AR1151" s="82"/>
      <c r="AS1151" s="82"/>
      <c r="AT1151" s="82"/>
      <c r="AU1151" s="82"/>
      <c r="AV1151" s="82"/>
      <c r="AW1151" s="82" t="str">
        <f t="shared" si="1"/>
        <v/>
      </c>
      <c r="AX1151" s="83" t="str">
        <f t="array" ref="AX1151">IFERROR(DGET('SBV Import'!A:G,"SBV",{"RSC ID","Tier";B1151,A1151}))</f>
        <v/>
      </c>
      <c r="AY1151" s="82" t="str">
        <f t="shared" si="2"/>
        <v/>
      </c>
      <c r="AZ1151" s="82"/>
      <c r="BA1151" s="84" t="s">
        <v>152</v>
      </c>
      <c r="BB1151" s="84" t="str">
        <f>IFERROR(__xludf.DUMMYFUNCTION("iferror(if(A1151="""",,E1151&gt;=FILTER(Constants!$F$2:$F$10,Constants!$A$2:$A$10=A1151)))"),"")</f>
        <v/>
      </c>
    </row>
    <row r="1152">
      <c r="A1152" s="89"/>
      <c r="B1152" s="87"/>
      <c r="C1152" s="73"/>
      <c r="D1152" s="73"/>
      <c r="E1152" s="82"/>
      <c r="F1152" s="82"/>
      <c r="G1152" s="86"/>
      <c r="H1152" s="86"/>
      <c r="I1152" s="86"/>
      <c r="J1152" s="82"/>
      <c r="K1152" s="82"/>
      <c r="L1152" s="82"/>
      <c r="M1152" s="82"/>
      <c r="N1152" s="82"/>
      <c r="O1152" s="82"/>
      <c r="P1152" s="82"/>
      <c r="Q1152" s="82"/>
      <c r="R1152" s="82"/>
      <c r="S1152" s="82"/>
      <c r="T1152" s="82"/>
      <c r="U1152" s="82"/>
      <c r="V1152" s="82"/>
      <c r="W1152" s="82"/>
      <c r="X1152" s="82"/>
      <c r="Y1152" s="82"/>
      <c r="Z1152" s="82"/>
      <c r="AA1152" s="82"/>
      <c r="AB1152" s="82"/>
      <c r="AC1152" s="82"/>
      <c r="AD1152" s="82"/>
      <c r="AE1152" s="82"/>
      <c r="AF1152" s="82"/>
      <c r="AG1152" s="82"/>
      <c r="AH1152" s="82"/>
      <c r="AI1152" s="82"/>
      <c r="AJ1152" s="82"/>
      <c r="AK1152" s="82"/>
      <c r="AL1152" s="82"/>
      <c r="AM1152" s="82"/>
      <c r="AN1152" s="82"/>
      <c r="AO1152" s="82"/>
      <c r="AP1152" s="82"/>
      <c r="AQ1152" s="82"/>
      <c r="AR1152" s="82"/>
      <c r="AS1152" s="82"/>
      <c r="AT1152" s="82"/>
      <c r="AU1152" s="82"/>
      <c r="AV1152" s="82"/>
      <c r="AW1152" s="82" t="str">
        <f t="shared" si="1"/>
        <v/>
      </c>
      <c r="AX1152" s="83" t="str">
        <f t="array" ref="AX1152">IFERROR(DGET('SBV Import'!A:G,"SBV",{"RSC ID","Tier";B1152,A1152}))</f>
        <v/>
      </c>
      <c r="AY1152" s="82" t="str">
        <f t="shared" si="2"/>
        <v/>
      </c>
      <c r="AZ1152" s="82"/>
      <c r="BA1152" s="84" t="s">
        <v>152</v>
      </c>
      <c r="BB1152" s="84" t="str">
        <f>IFERROR(__xludf.DUMMYFUNCTION("iferror(if(A1152="""",,E1152&gt;=FILTER(Constants!$F$2:$F$10,Constants!$A$2:$A$10=A1152)))"),"")</f>
        <v/>
      </c>
    </row>
    <row r="1153">
      <c r="A1153" s="89"/>
      <c r="B1153" s="87"/>
      <c r="C1153" s="73"/>
      <c r="D1153" s="73"/>
      <c r="E1153" s="82"/>
      <c r="F1153" s="82"/>
      <c r="G1153" s="86"/>
      <c r="H1153" s="86"/>
      <c r="I1153" s="86"/>
      <c r="J1153" s="82"/>
      <c r="K1153" s="82"/>
      <c r="L1153" s="82"/>
      <c r="M1153" s="82"/>
      <c r="N1153" s="82"/>
      <c r="O1153" s="82"/>
      <c r="P1153" s="82"/>
      <c r="Q1153" s="82"/>
      <c r="R1153" s="82"/>
      <c r="S1153" s="82"/>
      <c r="T1153" s="82"/>
      <c r="U1153" s="82"/>
      <c r="V1153" s="82"/>
      <c r="W1153" s="82"/>
      <c r="X1153" s="82"/>
      <c r="Y1153" s="82"/>
      <c r="Z1153" s="82"/>
      <c r="AA1153" s="82"/>
      <c r="AB1153" s="82"/>
      <c r="AC1153" s="82"/>
      <c r="AD1153" s="82"/>
      <c r="AE1153" s="82"/>
      <c r="AF1153" s="82"/>
      <c r="AG1153" s="82"/>
      <c r="AH1153" s="82"/>
      <c r="AI1153" s="82"/>
      <c r="AJ1153" s="82"/>
      <c r="AK1153" s="82"/>
      <c r="AL1153" s="82"/>
      <c r="AM1153" s="82"/>
      <c r="AN1153" s="82"/>
      <c r="AO1153" s="82"/>
      <c r="AP1153" s="82"/>
      <c r="AQ1153" s="82"/>
      <c r="AR1153" s="82"/>
      <c r="AS1153" s="82"/>
      <c r="AT1153" s="82"/>
      <c r="AU1153" s="82"/>
      <c r="AV1153" s="82"/>
      <c r="AW1153" s="82" t="str">
        <f t="shared" si="1"/>
        <v/>
      </c>
      <c r="AX1153" s="83" t="str">
        <f t="array" ref="AX1153">IFERROR(DGET('SBV Import'!A:G,"SBV",{"RSC ID","Tier";B1153,A1153}))</f>
        <v/>
      </c>
      <c r="AY1153" s="82" t="str">
        <f t="shared" si="2"/>
        <v/>
      </c>
      <c r="AZ1153" s="82"/>
      <c r="BA1153" s="84" t="s">
        <v>152</v>
      </c>
      <c r="BB1153" s="84" t="str">
        <f>IFERROR(__xludf.DUMMYFUNCTION("iferror(if(A1153="""",,E1153&gt;=FILTER(Constants!$F$2:$F$10,Constants!$A$2:$A$10=A1153)))"),"")</f>
        <v/>
      </c>
    </row>
    <row r="1154">
      <c r="A1154" s="89"/>
      <c r="B1154" s="87"/>
      <c r="C1154" s="73"/>
      <c r="D1154" s="73"/>
      <c r="E1154" s="82"/>
      <c r="F1154" s="82"/>
      <c r="G1154" s="86"/>
      <c r="H1154" s="86"/>
      <c r="I1154" s="86"/>
      <c r="J1154" s="82"/>
      <c r="K1154" s="82"/>
      <c r="L1154" s="82"/>
      <c r="M1154" s="82"/>
      <c r="N1154" s="82"/>
      <c r="O1154" s="82"/>
      <c r="P1154" s="82"/>
      <c r="Q1154" s="82"/>
      <c r="R1154" s="82"/>
      <c r="S1154" s="82"/>
      <c r="T1154" s="82"/>
      <c r="U1154" s="82"/>
      <c r="V1154" s="82"/>
      <c r="W1154" s="82"/>
      <c r="X1154" s="82"/>
      <c r="Y1154" s="82"/>
      <c r="Z1154" s="82"/>
      <c r="AA1154" s="82"/>
      <c r="AB1154" s="82"/>
      <c r="AC1154" s="82"/>
      <c r="AD1154" s="82"/>
      <c r="AE1154" s="82"/>
      <c r="AF1154" s="82"/>
      <c r="AG1154" s="82"/>
      <c r="AH1154" s="82"/>
      <c r="AI1154" s="82"/>
      <c r="AJ1154" s="82"/>
      <c r="AK1154" s="82"/>
      <c r="AL1154" s="82"/>
      <c r="AM1154" s="82"/>
      <c r="AN1154" s="82"/>
      <c r="AO1154" s="82"/>
      <c r="AP1154" s="82"/>
      <c r="AQ1154" s="82"/>
      <c r="AR1154" s="82"/>
      <c r="AS1154" s="82"/>
      <c r="AT1154" s="82"/>
      <c r="AU1154" s="82"/>
      <c r="AV1154" s="82"/>
      <c r="AW1154" s="82" t="str">
        <f t="shared" si="1"/>
        <v/>
      </c>
      <c r="AX1154" s="83" t="str">
        <f t="array" ref="AX1154">IFERROR(DGET('SBV Import'!A:G,"SBV",{"RSC ID","Tier";B1154,A1154}))</f>
        <v/>
      </c>
      <c r="AY1154" s="82" t="str">
        <f t="shared" si="2"/>
        <v/>
      </c>
      <c r="AZ1154" s="82"/>
      <c r="BA1154" s="84" t="s">
        <v>152</v>
      </c>
      <c r="BB1154" s="84" t="str">
        <f>IFERROR(__xludf.DUMMYFUNCTION("iferror(if(A1154="""",,E1154&gt;=FILTER(Constants!$F$2:$F$10,Constants!$A$2:$A$10=A1154)))"),"")</f>
        <v/>
      </c>
    </row>
    <row r="1155">
      <c r="A1155" s="89"/>
      <c r="B1155" s="87"/>
      <c r="C1155" s="73"/>
      <c r="D1155" s="73"/>
      <c r="E1155" s="82"/>
      <c r="F1155" s="82"/>
      <c r="G1155" s="86"/>
      <c r="H1155" s="86"/>
      <c r="I1155" s="86"/>
      <c r="J1155" s="82"/>
      <c r="K1155" s="82"/>
      <c r="L1155" s="82"/>
      <c r="M1155" s="82"/>
      <c r="N1155" s="82"/>
      <c r="O1155" s="82"/>
      <c r="P1155" s="82"/>
      <c r="Q1155" s="82"/>
      <c r="R1155" s="82"/>
      <c r="S1155" s="82"/>
      <c r="T1155" s="82"/>
      <c r="U1155" s="82"/>
      <c r="V1155" s="82"/>
      <c r="W1155" s="82"/>
      <c r="X1155" s="82"/>
      <c r="Y1155" s="82"/>
      <c r="Z1155" s="82"/>
      <c r="AA1155" s="82"/>
      <c r="AB1155" s="82"/>
      <c r="AC1155" s="82"/>
      <c r="AD1155" s="82"/>
      <c r="AE1155" s="82"/>
      <c r="AF1155" s="82"/>
      <c r="AG1155" s="82"/>
      <c r="AH1155" s="82"/>
      <c r="AI1155" s="82"/>
      <c r="AJ1155" s="82"/>
      <c r="AK1155" s="82"/>
      <c r="AL1155" s="82"/>
      <c r="AM1155" s="82"/>
      <c r="AN1155" s="82"/>
      <c r="AO1155" s="82"/>
      <c r="AP1155" s="82"/>
      <c r="AQ1155" s="82"/>
      <c r="AR1155" s="82"/>
      <c r="AS1155" s="82"/>
      <c r="AT1155" s="82"/>
      <c r="AU1155" s="82"/>
      <c r="AV1155" s="82"/>
      <c r="AW1155" s="82" t="str">
        <f t="shared" si="1"/>
        <v/>
      </c>
      <c r="AX1155" s="83" t="str">
        <f t="array" ref="AX1155">IFERROR(DGET('SBV Import'!A:G,"SBV",{"RSC ID","Tier";B1155,A1155}))</f>
        <v/>
      </c>
      <c r="AY1155" s="82" t="str">
        <f t="shared" si="2"/>
        <v/>
      </c>
      <c r="AZ1155" s="82"/>
      <c r="BA1155" s="84" t="s">
        <v>152</v>
      </c>
      <c r="BB1155" s="84" t="str">
        <f>IFERROR(__xludf.DUMMYFUNCTION("iferror(if(A1155="""",,E1155&gt;=FILTER(Constants!$F$2:$F$10,Constants!$A$2:$A$10=A1155)))"),"")</f>
        <v/>
      </c>
    </row>
    <row r="1156">
      <c r="A1156" s="89"/>
      <c r="B1156" s="87"/>
      <c r="C1156" s="73"/>
      <c r="D1156" s="73"/>
      <c r="E1156" s="82"/>
      <c r="F1156" s="82"/>
      <c r="G1156" s="86"/>
      <c r="H1156" s="86"/>
      <c r="I1156" s="86"/>
      <c r="J1156" s="82"/>
      <c r="K1156" s="82"/>
      <c r="L1156" s="82"/>
      <c r="M1156" s="82"/>
      <c r="N1156" s="82"/>
      <c r="O1156" s="82"/>
      <c r="P1156" s="82"/>
      <c r="Q1156" s="82"/>
      <c r="R1156" s="82"/>
      <c r="S1156" s="82"/>
      <c r="T1156" s="82"/>
      <c r="U1156" s="82"/>
      <c r="V1156" s="82"/>
      <c r="W1156" s="82"/>
      <c r="X1156" s="82"/>
      <c r="Y1156" s="82"/>
      <c r="Z1156" s="82"/>
      <c r="AA1156" s="82"/>
      <c r="AB1156" s="82"/>
      <c r="AC1156" s="82"/>
      <c r="AD1156" s="82"/>
      <c r="AE1156" s="82"/>
      <c r="AF1156" s="82"/>
      <c r="AG1156" s="82"/>
      <c r="AH1156" s="82"/>
      <c r="AI1156" s="82"/>
      <c r="AJ1156" s="82"/>
      <c r="AK1156" s="82"/>
      <c r="AL1156" s="82"/>
      <c r="AM1156" s="82"/>
      <c r="AN1156" s="82"/>
      <c r="AO1156" s="82"/>
      <c r="AP1156" s="82"/>
      <c r="AQ1156" s="82"/>
      <c r="AR1156" s="82"/>
      <c r="AS1156" s="82"/>
      <c r="AT1156" s="82"/>
      <c r="AU1156" s="82"/>
      <c r="AV1156" s="82"/>
      <c r="AW1156" s="82" t="str">
        <f t="shared" si="1"/>
        <v/>
      </c>
      <c r="AX1156" s="83" t="str">
        <f t="array" ref="AX1156">IFERROR(DGET('SBV Import'!A:G,"SBV",{"RSC ID","Tier";B1156,A1156}))</f>
        <v/>
      </c>
      <c r="AY1156" s="82" t="str">
        <f t="shared" si="2"/>
        <v/>
      </c>
      <c r="AZ1156" s="82"/>
      <c r="BA1156" s="84" t="s">
        <v>152</v>
      </c>
      <c r="BB1156" s="84" t="str">
        <f>IFERROR(__xludf.DUMMYFUNCTION("iferror(if(A1156="""",,E1156&gt;=FILTER(Constants!$F$2:$F$10,Constants!$A$2:$A$10=A1156)))"),"")</f>
        <v/>
      </c>
    </row>
    <row r="1157">
      <c r="A1157" s="89"/>
      <c r="B1157" s="87"/>
      <c r="C1157" s="73"/>
      <c r="D1157" s="73"/>
      <c r="E1157" s="82"/>
      <c r="F1157" s="82"/>
      <c r="G1157" s="86"/>
      <c r="H1157" s="86"/>
      <c r="I1157" s="86"/>
      <c r="J1157" s="82"/>
      <c r="K1157" s="82"/>
      <c r="L1157" s="82"/>
      <c r="M1157" s="82"/>
      <c r="N1157" s="82"/>
      <c r="O1157" s="82"/>
      <c r="P1157" s="82"/>
      <c r="Q1157" s="82"/>
      <c r="R1157" s="82"/>
      <c r="S1157" s="82"/>
      <c r="T1157" s="82"/>
      <c r="U1157" s="82"/>
      <c r="V1157" s="82"/>
      <c r="W1157" s="82"/>
      <c r="X1157" s="82"/>
      <c r="Y1157" s="82"/>
      <c r="Z1157" s="82"/>
      <c r="AA1157" s="82"/>
      <c r="AB1157" s="82"/>
      <c r="AC1157" s="82"/>
      <c r="AD1157" s="82"/>
      <c r="AE1157" s="82"/>
      <c r="AF1157" s="82"/>
      <c r="AG1157" s="82"/>
      <c r="AH1157" s="82"/>
      <c r="AI1157" s="82"/>
      <c r="AJ1157" s="82"/>
      <c r="AK1157" s="82"/>
      <c r="AL1157" s="82"/>
      <c r="AM1157" s="82"/>
      <c r="AN1157" s="82"/>
      <c r="AO1157" s="82"/>
      <c r="AP1157" s="82"/>
      <c r="AQ1157" s="82"/>
      <c r="AR1157" s="82"/>
      <c r="AS1157" s="82"/>
      <c r="AT1157" s="82"/>
      <c r="AU1157" s="82"/>
      <c r="AV1157" s="82"/>
      <c r="AW1157" s="82" t="str">
        <f t="shared" si="1"/>
        <v/>
      </c>
      <c r="AX1157" s="83" t="str">
        <f t="array" ref="AX1157">IFERROR(DGET('SBV Import'!A:G,"SBV",{"RSC ID","Tier";B1157,A1157}))</f>
        <v/>
      </c>
      <c r="AY1157" s="82" t="str">
        <f t="shared" si="2"/>
        <v/>
      </c>
      <c r="AZ1157" s="82"/>
      <c r="BA1157" s="84" t="s">
        <v>152</v>
      </c>
      <c r="BB1157" s="84" t="str">
        <f>IFERROR(__xludf.DUMMYFUNCTION("iferror(if(A1157="""",,E1157&gt;=FILTER(Constants!$F$2:$F$10,Constants!$A$2:$A$10=A1157)))"),"")</f>
        <v/>
      </c>
    </row>
    <row r="1158">
      <c r="A1158" s="89"/>
      <c r="B1158" s="87"/>
      <c r="C1158" s="73"/>
      <c r="D1158" s="73"/>
      <c r="E1158" s="82"/>
      <c r="F1158" s="82"/>
      <c r="G1158" s="86"/>
      <c r="H1158" s="86"/>
      <c r="I1158" s="86"/>
      <c r="J1158" s="82"/>
      <c r="K1158" s="82"/>
      <c r="L1158" s="82"/>
      <c r="M1158" s="82"/>
      <c r="N1158" s="82"/>
      <c r="O1158" s="82"/>
      <c r="P1158" s="82"/>
      <c r="Q1158" s="82"/>
      <c r="R1158" s="82"/>
      <c r="S1158" s="82"/>
      <c r="T1158" s="82"/>
      <c r="U1158" s="82"/>
      <c r="V1158" s="82"/>
      <c r="W1158" s="82"/>
      <c r="X1158" s="82"/>
      <c r="Y1158" s="82"/>
      <c r="Z1158" s="82"/>
      <c r="AA1158" s="82"/>
      <c r="AB1158" s="82"/>
      <c r="AC1158" s="82"/>
      <c r="AD1158" s="82"/>
      <c r="AE1158" s="82"/>
      <c r="AF1158" s="82"/>
      <c r="AG1158" s="82"/>
      <c r="AH1158" s="82"/>
      <c r="AI1158" s="82"/>
      <c r="AJ1158" s="82"/>
      <c r="AK1158" s="82"/>
      <c r="AL1158" s="82"/>
      <c r="AM1158" s="82"/>
      <c r="AN1158" s="82"/>
      <c r="AO1158" s="82"/>
      <c r="AP1158" s="82"/>
      <c r="AQ1158" s="82"/>
      <c r="AR1158" s="82"/>
      <c r="AS1158" s="82"/>
      <c r="AT1158" s="82"/>
      <c r="AU1158" s="82"/>
      <c r="AV1158" s="82"/>
      <c r="AW1158" s="82" t="str">
        <f t="shared" si="1"/>
        <v/>
      </c>
      <c r="AX1158" s="83" t="str">
        <f t="array" ref="AX1158">IFERROR(DGET('SBV Import'!A:G,"SBV",{"RSC ID","Tier";B1158,A1158}))</f>
        <v/>
      </c>
      <c r="AY1158" s="82" t="str">
        <f t="shared" si="2"/>
        <v/>
      </c>
      <c r="AZ1158" s="82"/>
      <c r="BA1158" s="84" t="s">
        <v>152</v>
      </c>
      <c r="BB1158" s="84" t="str">
        <f>IFERROR(__xludf.DUMMYFUNCTION("iferror(if(A1158="""",,E1158&gt;=FILTER(Constants!$F$2:$F$10,Constants!$A$2:$A$10=A1158)))"),"")</f>
        <v/>
      </c>
    </row>
    <row r="1159">
      <c r="A1159" s="89"/>
      <c r="B1159" s="87"/>
      <c r="C1159" s="73"/>
      <c r="D1159" s="73"/>
      <c r="E1159" s="82"/>
      <c r="F1159" s="82"/>
      <c r="G1159" s="86"/>
      <c r="H1159" s="86"/>
      <c r="I1159" s="86"/>
      <c r="J1159" s="82"/>
      <c r="K1159" s="82"/>
      <c r="L1159" s="82"/>
      <c r="M1159" s="82"/>
      <c r="N1159" s="82"/>
      <c r="O1159" s="82"/>
      <c r="P1159" s="82"/>
      <c r="Q1159" s="82"/>
      <c r="R1159" s="82"/>
      <c r="S1159" s="82"/>
      <c r="T1159" s="82"/>
      <c r="U1159" s="82"/>
      <c r="V1159" s="82"/>
      <c r="W1159" s="82"/>
      <c r="X1159" s="82"/>
      <c r="Y1159" s="82"/>
      <c r="Z1159" s="82"/>
      <c r="AA1159" s="82"/>
      <c r="AB1159" s="82"/>
      <c r="AC1159" s="82"/>
      <c r="AD1159" s="82"/>
      <c r="AE1159" s="82"/>
      <c r="AF1159" s="82"/>
      <c r="AG1159" s="82"/>
      <c r="AH1159" s="82"/>
      <c r="AI1159" s="82"/>
      <c r="AJ1159" s="82"/>
      <c r="AK1159" s="82"/>
      <c r="AL1159" s="82"/>
      <c r="AM1159" s="82"/>
      <c r="AN1159" s="82"/>
      <c r="AO1159" s="82"/>
      <c r="AP1159" s="82"/>
      <c r="AQ1159" s="82"/>
      <c r="AR1159" s="82"/>
      <c r="AS1159" s="82"/>
      <c r="AT1159" s="82"/>
      <c r="AU1159" s="82"/>
      <c r="AV1159" s="82"/>
      <c r="AW1159" s="82" t="str">
        <f t="shared" si="1"/>
        <v/>
      </c>
      <c r="AX1159" s="83" t="str">
        <f t="array" ref="AX1159">IFERROR(DGET('SBV Import'!A:G,"SBV",{"RSC ID","Tier";B1159,A1159}))</f>
        <v/>
      </c>
      <c r="AY1159" s="82" t="str">
        <f t="shared" si="2"/>
        <v/>
      </c>
      <c r="AZ1159" s="82"/>
      <c r="BA1159" s="84" t="s">
        <v>152</v>
      </c>
      <c r="BB1159" s="84" t="str">
        <f>IFERROR(__xludf.DUMMYFUNCTION("iferror(if(A1159="""",,E1159&gt;=FILTER(Constants!$F$2:$F$10,Constants!$A$2:$A$10=A1159)))"),"")</f>
        <v/>
      </c>
    </row>
    <row r="1160">
      <c r="A1160" s="89"/>
      <c r="B1160" s="87"/>
      <c r="C1160" s="73"/>
      <c r="D1160" s="73"/>
      <c r="E1160" s="82"/>
      <c r="F1160" s="82"/>
      <c r="G1160" s="86"/>
      <c r="H1160" s="86"/>
      <c r="I1160" s="86"/>
      <c r="J1160" s="82"/>
      <c r="K1160" s="82"/>
      <c r="L1160" s="82"/>
      <c r="M1160" s="82"/>
      <c r="N1160" s="82"/>
      <c r="O1160" s="82"/>
      <c r="P1160" s="82"/>
      <c r="Q1160" s="82"/>
      <c r="R1160" s="82"/>
      <c r="S1160" s="82"/>
      <c r="T1160" s="82"/>
      <c r="U1160" s="82"/>
      <c r="V1160" s="82"/>
      <c r="W1160" s="82"/>
      <c r="X1160" s="82"/>
      <c r="Y1160" s="82"/>
      <c r="Z1160" s="82"/>
      <c r="AA1160" s="82"/>
      <c r="AB1160" s="82"/>
      <c r="AC1160" s="82"/>
      <c r="AD1160" s="82"/>
      <c r="AE1160" s="82"/>
      <c r="AF1160" s="82"/>
      <c r="AG1160" s="82"/>
      <c r="AH1160" s="82"/>
      <c r="AI1160" s="82"/>
      <c r="AJ1160" s="82"/>
      <c r="AK1160" s="82"/>
      <c r="AL1160" s="82"/>
      <c r="AM1160" s="82"/>
      <c r="AN1160" s="82"/>
      <c r="AO1160" s="82"/>
      <c r="AP1160" s="82"/>
      <c r="AQ1160" s="82"/>
      <c r="AR1160" s="82"/>
      <c r="AS1160" s="82"/>
      <c r="AT1160" s="82"/>
      <c r="AU1160" s="82"/>
      <c r="AV1160" s="82"/>
      <c r="AW1160" s="82" t="str">
        <f t="shared" si="1"/>
        <v/>
      </c>
      <c r="AX1160" s="83" t="str">
        <f t="array" ref="AX1160">IFERROR(DGET('SBV Import'!A:G,"SBV",{"RSC ID","Tier";B1160,A1160}))</f>
        <v/>
      </c>
      <c r="AY1160" s="82" t="str">
        <f t="shared" si="2"/>
        <v/>
      </c>
      <c r="AZ1160" s="82"/>
      <c r="BA1160" s="84" t="s">
        <v>152</v>
      </c>
      <c r="BB1160" s="84" t="str">
        <f>IFERROR(__xludf.DUMMYFUNCTION("iferror(if(A1160="""",,E1160&gt;=FILTER(Constants!$F$2:$F$10,Constants!$A$2:$A$10=A1160)))"),"")</f>
        <v/>
      </c>
    </row>
    <row r="1161">
      <c r="A1161" s="89"/>
      <c r="B1161" s="87"/>
      <c r="C1161" s="73"/>
      <c r="D1161" s="73"/>
      <c r="E1161" s="82"/>
      <c r="F1161" s="82"/>
      <c r="G1161" s="86"/>
      <c r="H1161" s="86"/>
      <c r="I1161" s="86"/>
      <c r="J1161" s="82"/>
      <c r="K1161" s="82"/>
      <c r="L1161" s="82"/>
      <c r="M1161" s="82"/>
      <c r="N1161" s="82"/>
      <c r="O1161" s="82"/>
      <c r="P1161" s="82"/>
      <c r="Q1161" s="82"/>
      <c r="R1161" s="82"/>
      <c r="S1161" s="82"/>
      <c r="T1161" s="82"/>
      <c r="U1161" s="82"/>
      <c r="V1161" s="82"/>
      <c r="W1161" s="82"/>
      <c r="X1161" s="82"/>
      <c r="Y1161" s="82"/>
      <c r="Z1161" s="82"/>
      <c r="AA1161" s="82"/>
      <c r="AB1161" s="82"/>
      <c r="AC1161" s="82"/>
      <c r="AD1161" s="82"/>
      <c r="AE1161" s="82"/>
      <c r="AF1161" s="82"/>
      <c r="AG1161" s="82"/>
      <c r="AH1161" s="82"/>
      <c r="AI1161" s="82"/>
      <c r="AJ1161" s="82"/>
      <c r="AK1161" s="82"/>
      <c r="AL1161" s="82"/>
      <c r="AM1161" s="82"/>
      <c r="AN1161" s="82"/>
      <c r="AO1161" s="82"/>
      <c r="AP1161" s="82"/>
      <c r="AQ1161" s="82"/>
      <c r="AR1161" s="82"/>
      <c r="AS1161" s="82"/>
      <c r="AT1161" s="82"/>
      <c r="AU1161" s="82"/>
      <c r="AV1161" s="82"/>
      <c r="AW1161" s="82" t="str">
        <f t="shared" si="1"/>
        <v/>
      </c>
      <c r="AX1161" s="83" t="str">
        <f t="array" ref="AX1161">IFERROR(DGET('SBV Import'!A:G,"SBV",{"RSC ID","Tier";B1161,A1161}))</f>
        <v/>
      </c>
      <c r="AY1161" s="82" t="str">
        <f t="shared" si="2"/>
        <v/>
      </c>
      <c r="AZ1161" s="82"/>
      <c r="BA1161" s="84" t="s">
        <v>152</v>
      </c>
      <c r="BB1161" s="84" t="str">
        <f>IFERROR(__xludf.DUMMYFUNCTION("iferror(if(A1161="""",,E1161&gt;=FILTER(Constants!$F$2:$F$10,Constants!$A$2:$A$10=A1161)))"),"")</f>
        <v/>
      </c>
    </row>
    <row r="1162">
      <c r="A1162" s="89"/>
      <c r="B1162" s="87"/>
      <c r="C1162" s="73"/>
      <c r="D1162" s="73"/>
      <c r="E1162" s="82"/>
      <c r="F1162" s="82"/>
      <c r="G1162" s="86"/>
      <c r="H1162" s="86"/>
      <c r="I1162" s="86"/>
      <c r="J1162" s="82"/>
      <c r="K1162" s="82"/>
      <c r="L1162" s="82"/>
      <c r="M1162" s="82"/>
      <c r="N1162" s="82"/>
      <c r="O1162" s="82"/>
      <c r="P1162" s="82"/>
      <c r="Q1162" s="82"/>
      <c r="R1162" s="82"/>
      <c r="S1162" s="82"/>
      <c r="T1162" s="82"/>
      <c r="U1162" s="82"/>
      <c r="V1162" s="82"/>
      <c r="W1162" s="82"/>
      <c r="X1162" s="82"/>
      <c r="Y1162" s="82"/>
      <c r="Z1162" s="82"/>
      <c r="AA1162" s="82"/>
      <c r="AB1162" s="82"/>
      <c r="AC1162" s="82"/>
      <c r="AD1162" s="82"/>
      <c r="AE1162" s="82"/>
      <c r="AF1162" s="82"/>
      <c r="AG1162" s="82"/>
      <c r="AH1162" s="82"/>
      <c r="AI1162" s="82"/>
      <c r="AJ1162" s="82"/>
      <c r="AK1162" s="82"/>
      <c r="AL1162" s="82"/>
      <c r="AM1162" s="82"/>
      <c r="AN1162" s="82"/>
      <c r="AO1162" s="82"/>
      <c r="AP1162" s="82"/>
      <c r="AQ1162" s="82"/>
      <c r="AR1162" s="82"/>
      <c r="AS1162" s="82"/>
      <c r="AT1162" s="82"/>
      <c r="AU1162" s="82"/>
      <c r="AV1162" s="82"/>
      <c r="AW1162" s="82" t="str">
        <f t="shared" si="1"/>
        <v/>
      </c>
      <c r="AX1162" s="83" t="str">
        <f t="array" ref="AX1162">IFERROR(DGET('SBV Import'!A:G,"SBV",{"RSC ID","Tier";B1162,A1162}))</f>
        <v/>
      </c>
      <c r="AY1162" s="82" t="str">
        <f t="shared" si="2"/>
        <v/>
      </c>
      <c r="AZ1162" s="82"/>
      <c r="BA1162" s="84" t="s">
        <v>152</v>
      </c>
      <c r="BB1162" s="84" t="str">
        <f>IFERROR(__xludf.DUMMYFUNCTION("iferror(if(A1162="""",,E1162&gt;=FILTER(Constants!$F$2:$F$10,Constants!$A$2:$A$10=A1162)))"),"")</f>
        <v/>
      </c>
    </row>
    <row r="1163">
      <c r="A1163" s="89"/>
      <c r="B1163" s="87"/>
      <c r="C1163" s="73"/>
      <c r="D1163" s="73"/>
      <c r="E1163" s="82"/>
      <c r="F1163" s="82"/>
      <c r="G1163" s="86"/>
      <c r="H1163" s="86"/>
      <c r="I1163" s="86"/>
      <c r="J1163" s="82"/>
      <c r="K1163" s="82"/>
      <c r="L1163" s="82"/>
      <c r="M1163" s="82"/>
      <c r="N1163" s="82"/>
      <c r="O1163" s="82"/>
      <c r="P1163" s="82"/>
      <c r="Q1163" s="82"/>
      <c r="R1163" s="82"/>
      <c r="S1163" s="82"/>
      <c r="T1163" s="82"/>
      <c r="U1163" s="82"/>
      <c r="V1163" s="82"/>
      <c r="W1163" s="82"/>
      <c r="X1163" s="82"/>
      <c r="Y1163" s="82"/>
      <c r="Z1163" s="82"/>
      <c r="AA1163" s="82"/>
      <c r="AB1163" s="82"/>
      <c r="AC1163" s="82"/>
      <c r="AD1163" s="82"/>
      <c r="AE1163" s="82"/>
      <c r="AF1163" s="82"/>
      <c r="AG1163" s="82"/>
      <c r="AH1163" s="82"/>
      <c r="AI1163" s="82"/>
      <c r="AJ1163" s="82"/>
      <c r="AK1163" s="82"/>
      <c r="AL1163" s="82"/>
      <c r="AM1163" s="82"/>
      <c r="AN1163" s="82"/>
      <c r="AO1163" s="82"/>
      <c r="AP1163" s="82"/>
      <c r="AQ1163" s="82"/>
      <c r="AR1163" s="82"/>
      <c r="AS1163" s="82"/>
      <c r="AT1163" s="82"/>
      <c r="AU1163" s="82"/>
      <c r="AV1163" s="82"/>
      <c r="AW1163" s="82" t="str">
        <f t="shared" si="1"/>
        <v/>
      </c>
      <c r="AX1163" s="83" t="str">
        <f t="array" ref="AX1163">IFERROR(DGET('SBV Import'!A:G,"SBV",{"RSC ID","Tier";B1163,A1163}))</f>
        <v/>
      </c>
      <c r="AY1163" s="82" t="str">
        <f t="shared" si="2"/>
        <v/>
      </c>
      <c r="AZ1163" s="82"/>
      <c r="BA1163" s="84" t="s">
        <v>152</v>
      </c>
      <c r="BB1163" s="84" t="str">
        <f>IFERROR(__xludf.DUMMYFUNCTION("iferror(if(A1163="""",,E1163&gt;=FILTER(Constants!$F$2:$F$10,Constants!$A$2:$A$10=A1163)))"),"")</f>
        <v/>
      </c>
    </row>
    <row r="1164">
      <c r="A1164" s="89"/>
      <c r="B1164" s="87"/>
      <c r="C1164" s="73"/>
      <c r="D1164" s="73"/>
      <c r="E1164" s="82"/>
      <c r="F1164" s="82"/>
      <c r="G1164" s="86"/>
      <c r="H1164" s="86"/>
      <c r="I1164" s="86"/>
      <c r="J1164" s="82"/>
      <c r="K1164" s="82"/>
      <c r="L1164" s="82"/>
      <c r="M1164" s="82"/>
      <c r="N1164" s="82"/>
      <c r="O1164" s="82"/>
      <c r="P1164" s="82"/>
      <c r="Q1164" s="82"/>
      <c r="R1164" s="82"/>
      <c r="S1164" s="82"/>
      <c r="T1164" s="82"/>
      <c r="U1164" s="82"/>
      <c r="V1164" s="82"/>
      <c r="W1164" s="82"/>
      <c r="X1164" s="82"/>
      <c r="Y1164" s="82"/>
      <c r="Z1164" s="82"/>
      <c r="AA1164" s="82"/>
      <c r="AB1164" s="82"/>
      <c r="AC1164" s="82"/>
      <c r="AD1164" s="82"/>
      <c r="AE1164" s="82"/>
      <c r="AF1164" s="82"/>
      <c r="AG1164" s="82"/>
      <c r="AH1164" s="82"/>
      <c r="AI1164" s="82"/>
      <c r="AJ1164" s="82"/>
      <c r="AK1164" s="82"/>
      <c r="AL1164" s="82"/>
      <c r="AM1164" s="82"/>
      <c r="AN1164" s="82"/>
      <c r="AO1164" s="82"/>
      <c r="AP1164" s="82"/>
      <c r="AQ1164" s="82"/>
      <c r="AR1164" s="82"/>
      <c r="AS1164" s="82"/>
      <c r="AT1164" s="82"/>
      <c r="AU1164" s="82"/>
      <c r="AV1164" s="82"/>
      <c r="AW1164" s="82" t="str">
        <f t="shared" si="1"/>
        <v/>
      </c>
      <c r="AX1164" s="83" t="str">
        <f t="array" ref="AX1164">IFERROR(DGET('SBV Import'!A:G,"SBV",{"RSC ID","Tier";B1164,A1164}))</f>
        <v/>
      </c>
      <c r="AY1164" s="82" t="str">
        <f t="shared" si="2"/>
        <v/>
      </c>
      <c r="AZ1164" s="82"/>
      <c r="BA1164" s="84" t="s">
        <v>152</v>
      </c>
      <c r="BB1164" s="84" t="str">
        <f>IFERROR(__xludf.DUMMYFUNCTION("iferror(if(A1164="""",,E1164&gt;=FILTER(Constants!$F$2:$F$10,Constants!$A$2:$A$10=A1164)))"),"")</f>
        <v/>
      </c>
    </row>
    <row r="1165">
      <c r="A1165" s="89"/>
      <c r="B1165" s="87"/>
      <c r="C1165" s="73"/>
      <c r="D1165" s="73"/>
      <c r="E1165" s="82"/>
      <c r="F1165" s="82"/>
      <c r="G1165" s="86"/>
      <c r="H1165" s="86"/>
      <c r="I1165" s="86"/>
      <c r="J1165" s="82"/>
      <c r="K1165" s="82"/>
      <c r="L1165" s="82"/>
      <c r="M1165" s="82"/>
      <c r="N1165" s="82"/>
      <c r="O1165" s="82"/>
      <c r="P1165" s="82"/>
      <c r="Q1165" s="82"/>
      <c r="R1165" s="82"/>
      <c r="S1165" s="82"/>
      <c r="T1165" s="82"/>
      <c r="U1165" s="82"/>
      <c r="V1165" s="82"/>
      <c r="W1165" s="82"/>
      <c r="X1165" s="82"/>
      <c r="Y1165" s="82"/>
      <c r="Z1165" s="82"/>
      <c r="AA1165" s="82"/>
      <c r="AB1165" s="82"/>
      <c r="AC1165" s="82"/>
      <c r="AD1165" s="82"/>
      <c r="AE1165" s="82"/>
      <c r="AF1165" s="82"/>
      <c r="AG1165" s="82"/>
      <c r="AH1165" s="82"/>
      <c r="AI1165" s="82"/>
      <c r="AJ1165" s="82"/>
      <c r="AK1165" s="82"/>
      <c r="AL1165" s="82"/>
      <c r="AM1165" s="82"/>
      <c r="AN1165" s="82"/>
      <c r="AO1165" s="82"/>
      <c r="AP1165" s="82"/>
      <c r="AQ1165" s="82"/>
      <c r="AR1165" s="82"/>
      <c r="AS1165" s="82"/>
      <c r="AT1165" s="82"/>
      <c r="AU1165" s="82"/>
      <c r="AV1165" s="82"/>
      <c r="AW1165" s="82" t="str">
        <f t="shared" si="1"/>
        <v/>
      </c>
      <c r="AX1165" s="83" t="str">
        <f t="array" ref="AX1165">IFERROR(DGET('SBV Import'!A:G,"SBV",{"RSC ID","Tier";B1165,A1165}))</f>
        <v/>
      </c>
      <c r="AY1165" s="82" t="str">
        <f t="shared" si="2"/>
        <v/>
      </c>
      <c r="AZ1165" s="82"/>
      <c r="BA1165" s="84" t="s">
        <v>152</v>
      </c>
      <c r="BB1165" s="84" t="str">
        <f>IFERROR(__xludf.DUMMYFUNCTION("iferror(if(A1165="""",,E1165&gt;=FILTER(Constants!$F$2:$F$10,Constants!$A$2:$A$10=A1165)))"),"")</f>
        <v/>
      </c>
    </row>
    <row r="1166">
      <c r="A1166" s="89"/>
      <c r="B1166" s="87"/>
      <c r="C1166" s="73"/>
      <c r="D1166" s="73"/>
      <c r="E1166" s="82"/>
      <c r="F1166" s="82"/>
      <c r="G1166" s="86"/>
      <c r="H1166" s="86"/>
      <c r="I1166" s="86"/>
      <c r="J1166" s="82"/>
      <c r="K1166" s="82"/>
      <c r="L1166" s="82"/>
      <c r="M1166" s="82"/>
      <c r="N1166" s="82"/>
      <c r="O1166" s="82"/>
      <c r="P1166" s="82"/>
      <c r="Q1166" s="82"/>
      <c r="R1166" s="82"/>
      <c r="S1166" s="82"/>
      <c r="T1166" s="82"/>
      <c r="U1166" s="82"/>
      <c r="V1166" s="82"/>
      <c r="W1166" s="82"/>
      <c r="X1166" s="82"/>
      <c r="Y1166" s="82"/>
      <c r="Z1166" s="82"/>
      <c r="AA1166" s="82"/>
      <c r="AB1166" s="82"/>
      <c r="AC1166" s="82"/>
      <c r="AD1166" s="82"/>
      <c r="AE1166" s="82"/>
      <c r="AF1166" s="82"/>
      <c r="AG1166" s="82"/>
      <c r="AH1166" s="82"/>
      <c r="AI1166" s="82"/>
      <c r="AJ1166" s="82"/>
      <c r="AK1166" s="82"/>
      <c r="AL1166" s="82"/>
      <c r="AM1166" s="82"/>
      <c r="AN1166" s="82"/>
      <c r="AO1166" s="82"/>
      <c r="AP1166" s="82"/>
      <c r="AQ1166" s="82"/>
      <c r="AR1166" s="82"/>
      <c r="AS1166" s="82"/>
      <c r="AT1166" s="82"/>
      <c r="AU1166" s="82"/>
      <c r="AV1166" s="82"/>
      <c r="AW1166" s="82" t="str">
        <f t="shared" si="1"/>
        <v/>
      </c>
      <c r="AX1166" s="83" t="str">
        <f t="array" ref="AX1166">IFERROR(DGET('SBV Import'!A:G,"SBV",{"RSC ID","Tier";B1166,A1166}))</f>
        <v/>
      </c>
      <c r="AY1166" s="82" t="str">
        <f t="shared" si="2"/>
        <v/>
      </c>
      <c r="AZ1166" s="82"/>
      <c r="BA1166" s="84" t="s">
        <v>152</v>
      </c>
      <c r="BB1166" s="84" t="str">
        <f>IFERROR(__xludf.DUMMYFUNCTION("iferror(if(A1166="""",,E1166&gt;=FILTER(Constants!$F$2:$F$10,Constants!$A$2:$A$10=A1166)))"),"")</f>
        <v/>
      </c>
    </row>
    <row r="1167">
      <c r="A1167" s="89"/>
      <c r="B1167" s="87"/>
      <c r="C1167" s="73"/>
      <c r="D1167" s="73"/>
      <c r="E1167" s="82"/>
      <c r="F1167" s="82"/>
      <c r="G1167" s="86"/>
      <c r="H1167" s="86"/>
      <c r="I1167" s="86"/>
      <c r="J1167" s="82"/>
      <c r="K1167" s="82"/>
      <c r="L1167" s="82"/>
      <c r="M1167" s="82"/>
      <c r="N1167" s="82"/>
      <c r="O1167" s="82"/>
      <c r="P1167" s="82"/>
      <c r="Q1167" s="82"/>
      <c r="R1167" s="82"/>
      <c r="S1167" s="82"/>
      <c r="T1167" s="82"/>
      <c r="U1167" s="82"/>
      <c r="V1167" s="82"/>
      <c r="W1167" s="82"/>
      <c r="X1167" s="82"/>
      <c r="Y1167" s="82"/>
      <c r="Z1167" s="82"/>
      <c r="AA1167" s="82"/>
      <c r="AB1167" s="82"/>
      <c r="AC1167" s="82"/>
      <c r="AD1167" s="82"/>
      <c r="AE1167" s="82"/>
      <c r="AF1167" s="82"/>
      <c r="AG1167" s="82"/>
      <c r="AH1167" s="82"/>
      <c r="AI1167" s="82"/>
      <c r="AJ1167" s="82"/>
      <c r="AK1167" s="82"/>
      <c r="AL1167" s="82"/>
      <c r="AM1167" s="82"/>
      <c r="AN1167" s="82"/>
      <c r="AO1167" s="82"/>
      <c r="AP1167" s="82"/>
      <c r="AQ1167" s="82"/>
      <c r="AR1167" s="82"/>
      <c r="AS1167" s="82"/>
      <c r="AT1167" s="82"/>
      <c r="AU1167" s="82"/>
      <c r="AV1167" s="82"/>
      <c r="AW1167" s="82" t="str">
        <f t="shared" si="1"/>
        <v/>
      </c>
      <c r="AX1167" s="83" t="str">
        <f t="array" ref="AX1167">IFERROR(DGET('SBV Import'!A:G,"SBV",{"RSC ID","Tier";B1167,A1167}))</f>
        <v/>
      </c>
      <c r="AY1167" s="82" t="str">
        <f t="shared" si="2"/>
        <v/>
      </c>
      <c r="AZ1167" s="82"/>
      <c r="BA1167" s="84" t="s">
        <v>152</v>
      </c>
      <c r="BB1167" s="84" t="str">
        <f>IFERROR(__xludf.DUMMYFUNCTION("iferror(if(A1167="""",,E1167&gt;=FILTER(Constants!$F$2:$F$10,Constants!$A$2:$A$10=A1167)))"),"")</f>
        <v/>
      </c>
    </row>
    <row r="1168">
      <c r="A1168" s="89"/>
      <c r="B1168" s="87"/>
      <c r="C1168" s="73"/>
      <c r="D1168" s="73"/>
      <c r="E1168" s="82"/>
      <c r="F1168" s="82"/>
      <c r="G1168" s="86"/>
      <c r="H1168" s="86"/>
      <c r="I1168" s="86"/>
      <c r="J1168" s="82"/>
      <c r="K1168" s="82"/>
      <c r="L1168" s="82"/>
      <c r="M1168" s="82"/>
      <c r="N1168" s="82"/>
      <c r="O1168" s="82"/>
      <c r="P1168" s="82"/>
      <c r="Q1168" s="82"/>
      <c r="R1168" s="82"/>
      <c r="S1168" s="82"/>
      <c r="T1168" s="82"/>
      <c r="U1168" s="82"/>
      <c r="V1168" s="82"/>
      <c r="W1168" s="82"/>
      <c r="X1168" s="82"/>
      <c r="Y1168" s="82"/>
      <c r="Z1168" s="82"/>
      <c r="AA1168" s="82"/>
      <c r="AB1168" s="82"/>
      <c r="AC1168" s="82"/>
      <c r="AD1168" s="82"/>
      <c r="AE1168" s="82"/>
      <c r="AF1168" s="82"/>
      <c r="AG1168" s="82"/>
      <c r="AH1168" s="82"/>
      <c r="AI1168" s="82"/>
      <c r="AJ1168" s="82"/>
      <c r="AK1168" s="82"/>
      <c r="AL1168" s="82"/>
      <c r="AM1168" s="82"/>
      <c r="AN1168" s="82"/>
      <c r="AO1168" s="82"/>
      <c r="AP1168" s="82"/>
      <c r="AQ1168" s="82"/>
      <c r="AR1168" s="82"/>
      <c r="AS1168" s="82"/>
      <c r="AT1168" s="82"/>
      <c r="AU1168" s="82"/>
      <c r="AV1168" s="82"/>
      <c r="AW1168" s="82" t="str">
        <f t="shared" si="1"/>
        <v/>
      </c>
      <c r="AX1168" s="83" t="str">
        <f t="array" ref="AX1168">IFERROR(DGET('SBV Import'!A:G,"SBV",{"RSC ID","Tier";B1168,A1168}))</f>
        <v/>
      </c>
      <c r="AY1168" s="82" t="str">
        <f t="shared" si="2"/>
        <v/>
      </c>
      <c r="AZ1168" s="82"/>
      <c r="BA1168" s="84" t="s">
        <v>152</v>
      </c>
      <c r="BB1168" s="84" t="str">
        <f>IFERROR(__xludf.DUMMYFUNCTION("iferror(if(A1168="""",,E1168&gt;=FILTER(Constants!$F$2:$F$10,Constants!$A$2:$A$10=A1168)))"),"")</f>
        <v/>
      </c>
    </row>
    <row r="1169">
      <c r="A1169" s="89"/>
      <c r="B1169" s="87"/>
      <c r="C1169" s="73"/>
      <c r="D1169" s="73"/>
      <c r="E1169" s="82"/>
      <c r="F1169" s="82"/>
      <c r="G1169" s="86"/>
      <c r="H1169" s="86"/>
      <c r="I1169" s="86"/>
      <c r="J1169" s="82"/>
      <c r="K1169" s="82"/>
      <c r="L1169" s="82"/>
      <c r="M1169" s="82"/>
      <c r="N1169" s="82"/>
      <c r="O1169" s="82"/>
      <c r="P1169" s="82"/>
      <c r="Q1169" s="82"/>
      <c r="R1169" s="82"/>
      <c r="S1169" s="82"/>
      <c r="T1169" s="82"/>
      <c r="U1169" s="82"/>
      <c r="V1169" s="82"/>
      <c r="W1169" s="82"/>
      <c r="X1169" s="82"/>
      <c r="Y1169" s="82"/>
      <c r="Z1169" s="82"/>
      <c r="AA1169" s="82"/>
      <c r="AB1169" s="82"/>
      <c r="AC1169" s="82"/>
      <c r="AD1169" s="82"/>
      <c r="AE1169" s="82"/>
      <c r="AF1169" s="82"/>
      <c r="AG1169" s="82"/>
      <c r="AH1169" s="82"/>
      <c r="AI1169" s="82"/>
      <c r="AJ1169" s="82"/>
      <c r="AK1169" s="82"/>
      <c r="AL1169" s="82"/>
      <c r="AM1169" s="82"/>
      <c r="AN1169" s="82"/>
      <c r="AO1169" s="82"/>
      <c r="AP1169" s="82"/>
      <c r="AQ1169" s="82"/>
      <c r="AR1169" s="82"/>
      <c r="AS1169" s="82"/>
      <c r="AT1169" s="82"/>
      <c r="AU1169" s="82"/>
      <c r="AV1169" s="82"/>
      <c r="AW1169" s="82" t="str">
        <f t="shared" si="1"/>
        <v/>
      </c>
      <c r="AX1169" s="83" t="str">
        <f t="array" ref="AX1169">IFERROR(DGET('SBV Import'!A:G,"SBV",{"RSC ID","Tier";B1169,A1169}))</f>
        <v/>
      </c>
      <c r="AY1169" s="82" t="str">
        <f t="shared" si="2"/>
        <v/>
      </c>
      <c r="AZ1169" s="82"/>
      <c r="BA1169" s="84" t="s">
        <v>152</v>
      </c>
      <c r="BB1169" s="84" t="str">
        <f>IFERROR(__xludf.DUMMYFUNCTION("iferror(if(A1169="""",,E1169&gt;=FILTER(Constants!$F$2:$F$10,Constants!$A$2:$A$10=A1169)))"),"")</f>
        <v/>
      </c>
    </row>
    <row r="1170">
      <c r="A1170" s="89"/>
      <c r="B1170" s="87"/>
      <c r="C1170" s="73"/>
      <c r="D1170" s="73"/>
      <c r="E1170" s="82"/>
      <c r="F1170" s="82"/>
      <c r="G1170" s="86"/>
      <c r="H1170" s="86"/>
      <c r="I1170" s="86"/>
      <c r="J1170" s="82"/>
      <c r="K1170" s="82"/>
      <c r="L1170" s="82"/>
      <c r="M1170" s="82"/>
      <c r="N1170" s="82"/>
      <c r="O1170" s="82"/>
      <c r="P1170" s="82"/>
      <c r="Q1170" s="82"/>
      <c r="R1170" s="82"/>
      <c r="S1170" s="82"/>
      <c r="T1170" s="82"/>
      <c r="U1170" s="82"/>
      <c r="V1170" s="82"/>
      <c r="W1170" s="82"/>
      <c r="X1170" s="82"/>
      <c r="Y1170" s="82"/>
      <c r="Z1170" s="82"/>
      <c r="AA1170" s="82"/>
      <c r="AB1170" s="82"/>
      <c r="AC1170" s="82"/>
      <c r="AD1170" s="82"/>
      <c r="AE1170" s="82"/>
      <c r="AF1170" s="82"/>
      <c r="AG1170" s="82"/>
      <c r="AH1170" s="82"/>
      <c r="AI1170" s="82"/>
      <c r="AJ1170" s="82"/>
      <c r="AK1170" s="82"/>
      <c r="AL1170" s="82"/>
      <c r="AM1170" s="82"/>
      <c r="AN1170" s="82"/>
      <c r="AO1170" s="82"/>
      <c r="AP1170" s="82"/>
      <c r="AQ1170" s="82"/>
      <c r="AR1170" s="82"/>
      <c r="AS1170" s="82"/>
      <c r="AT1170" s="82"/>
      <c r="AU1170" s="82"/>
      <c r="AV1170" s="82"/>
      <c r="AW1170" s="82" t="str">
        <f t="shared" si="1"/>
        <v/>
      </c>
      <c r="AX1170" s="83" t="str">
        <f t="array" ref="AX1170">IFERROR(DGET('SBV Import'!A:G,"SBV",{"RSC ID","Tier";B1170,A1170}))</f>
        <v/>
      </c>
      <c r="AY1170" s="82" t="str">
        <f t="shared" si="2"/>
        <v/>
      </c>
      <c r="AZ1170" s="82"/>
      <c r="BA1170" s="84" t="s">
        <v>152</v>
      </c>
      <c r="BB1170" s="84" t="str">
        <f>IFERROR(__xludf.DUMMYFUNCTION("iferror(if(A1170="""",,E1170&gt;=FILTER(Constants!$F$2:$F$10,Constants!$A$2:$A$10=A1170)))"),"")</f>
        <v/>
      </c>
    </row>
    <row r="1171">
      <c r="A1171" s="89"/>
      <c r="B1171" s="87"/>
      <c r="C1171" s="73"/>
      <c r="D1171" s="73"/>
      <c r="E1171" s="82"/>
      <c r="F1171" s="82"/>
      <c r="G1171" s="86"/>
      <c r="H1171" s="86"/>
      <c r="I1171" s="86"/>
      <c r="J1171" s="82"/>
      <c r="K1171" s="82"/>
      <c r="L1171" s="82"/>
      <c r="M1171" s="82"/>
      <c r="N1171" s="82"/>
      <c r="O1171" s="82"/>
      <c r="P1171" s="82"/>
      <c r="Q1171" s="82"/>
      <c r="R1171" s="82"/>
      <c r="S1171" s="82"/>
      <c r="T1171" s="82"/>
      <c r="U1171" s="82"/>
      <c r="V1171" s="82"/>
      <c r="W1171" s="82"/>
      <c r="X1171" s="82"/>
      <c r="Y1171" s="82"/>
      <c r="Z1171" s="82"/>
      <c r="AA1171" s="82"/>
      <c r="AB1171" s="82"/>
      <c r="AC1171" s="82"/>
      <c r="AD1171" s="82"/>
      <c r="AE1171" s="82"/>
      <c r="AF1171" s="82"/>
      <c r="AG1171" s="82"/>
      <c r="AH1171" s="82"/>
      <c r="AI1171" s="82"/>
      <c r="AJ1171" s="82"/>
      <c r="AK1171" s="82"/>
      <c r="AL1171" s="82"/>
      <c r="AM1171" s="82"/>
      <c r="AN1171" s="82"/>
      <c r="AO1171" s="82"/>
      <c r="AP1171" s="82"/>
      <c r="AQ1171" s="82"/>
      <c r="AR1171" s="82"/>
      <c r="AS1171" s="82"/>
      <c r="AT1171" s="82"/>
      <c r="AU1171" s="82"/>
      <c r="AV1171" s="82"/>
      <c r="AW1171" s="82" t="str">
        <f t="shared" si="1"/>
        <v/>
      </c>
      <c r="AX1171" s="83" t="str">
        <f t="array" ref="AX1171">IFERROR(DGET('SBV Import'!A:G,"SBV",{"RSC ID","Tier";B1171,A1171}))</f>
        <v/>
      </c>
      <c r="AY1171" s="82" t="str">
        <f t="shared" si="2"/>
        <v/>
      </c>
      <c r="AZ1171" s="82"/>
      <c r="BA1171" s="84" t="s">
        <v>152</v>
      </c>
      <c r="BB1171" s="84" t="str">
        <f>IFERROR(__xludf.DUMMYFUNCTION("iferror(if(A1171="""",,E1171&gt;=FILTER(Constants!$F$2:$F$10,Constants!$A$2:$A$10=A1171)))"),"")</f>
        <v/>
      </c>
    </row>
    <row r="1172">
      <c r="A1172" s="89"/>
      <c r="B1172" s="87"/>
      <c r="C1172" s="73"/>
      <c r="D1172" s="73"/>
      <c r="E1172" s="82"/>
      <c r="F1172" s="82"/>
      <c r="G1172" s="86"/>
      <c r="H1172" s="86"/>
      <c r="I1172" s="86"/>
      <c r="J1172" s="82"/>
      <c r="K1172" s="82"/>
      <c r="L1172" s="82"/>
      <c r="M1172" s="82"/>
      <c r="N1172" s="82"/>
      <c r="O1172" s="82"/>
      <c r="P1172" s="82"/>
      <c r="Q1172" s="82"/>
      <c r="R1172" s="82"/>
      <c r="S1172" s="82"/>
      <c r="T1172" s="82"/>
      <c r="U1172" s="82"/>
      <c r="V1172" s="82"/>
      <c r="W1172" s="82"/>
      <c r="X1172" s="82"/>
      <c r="Y1172" s="82"/>
      <c r="Z1172" s="82"/>
      <c r="AA1172" s="82"/>
      <c r="AB1172" s="82"/>
      <c r="AC1172" s="82"/>
      <c r="AD1172" s="82"/>
      <c r="AE1172" s="82"/>
      <c r="AF1172" s="82"/>
      <c r="AG1172" s="82"/>
      <c r="AH1172" s="82"/>
      <c r="AI1172" s="82"/>
      <c r="AJ1172" s="82"/>
      <c r="AK1172" s="82"/>
      <c r="AL1172" s="82"/>
      <c r="AM1172" s="82"/>
      <c r="AN1172" s="82"/>
      <c r="AO1172" s="82"/>
      <c r="AP1172" s="82"/>
      <c r="AQ1172" s="82"/>
      <c r="AR1172" s="82"/>
      <c r="AS1172" s="82"/>
      <c r="AT1172" s="82"/>
      <c r="AU1172" s="82"/>
      <c r="AV1172" s="82"/>
      <c r="AW1172" s="82" t="str">
        <f t="shared" si="1"/>
        <v/>
      </c>
      <c r="AX1172" s="83" t="str">
        <f t="array" ref="AX1172">IFERROR(DGET('SBV Import'!A:G,"SBV",{"RSC ID","Tier";B1172,A1172}))</f>
        <v/>
      </c>
      <c r="AY1172" s="82" t="str">
        <f t="shared" si="2"/>
        <v/>
      </c>
      <c r="AZ1172" s="82"/>
      <c r="BA1172" s="84" t="s">
        <v>152</v>
      </c>
      <c r="BB1172" s="84" t="str">
        <f>IFERROR(__xludf.DUMMYFUNCTION("iferror(if(A1172="""",,E1172&gt;=FILTER(Constants!$F$2:$F$10,Constants!$A$2:$A$10=A1172)))"),"")</f>
        <v/>
      </c>
    </row>
    <row r="1173">
      <c r="A1173" s="89"/>
      <c r="B1173" s="87"/>
      <c r="C1173" s="73"/>
      <c r="D1173" s="73"/>
      <c r="E1173" s="82"/>
      <c r="F1173" s="82"/>
      <c r="G1173" s="86"/>
      <c r="H1173" s="86"/>
      <c r="I1173" s="86"/>
      <c r="J1173" s="82"/>
      <c r="K1173" s="82"/>
      <c r="L1173" s="82"/>
      <c r="M1173" s="82"/>
      <c r="N1173" s="82"/>
      <c r="O1173" s="82"/>
      <c r="P1173" s="82"/>
      <c r="Q1173" s="82"/>
      <c r="R1173" s="82"/>
      <c r="S1173" s="82"/>
      <c r="T1173" s="82"/>
      <c r="U1173" s="82"/>
      <c r="V1173" s="82"/>
      <c r="W1173" s="82"/>
      <c r="X1173" s="82"/>
      <c r="Y1173" s="82"/>
      <c r="Z1173" s="82"/>
      <c r="AA1173" s="82"/>
      <c r="AB1173" s="82"/>
      <c r="AC1173" s="82"/>
      <c r="AD1173" s="82"/>
      <c r="AE1173" s="82"/>
      <c r="AF1173" s="82"/>
      <c r="AG1173" s="82"/>
      <c r="AH1173" s="82"/>
      <c r="AI1173" s="82"/>
      <c r="AJ1173" s="82"/>
      <c r="AK1173" s="82"/>
      <c r="AL1173" s="82"/>
      <c r="AM1173" s="82"/>
      <c r="AN1173" s="82"/>
      <c r="AO1173" s="82"/>
      <c r="AP1173" s="82"/>
      <c r="AQ1173" s="82"/>
      <c r="AR1173" s="82"/>
      <c r="AS1173" s="82"/>
      <c r="AT1173" s="82"/>
      <c r="AU1173" s="82"/>
      <c r="AV1173" s="82"/>
      <c r="AW1173" s="82" t="str">
        <f t="shared" si="1"/>
        <v/>
      </c>
      <c r="AX1173" s="83" t="str">
        <f t="array" ref="AX1173">IFERROR(DGET('SBV Import'!A:G,"SBV",{"RSC ID","Tier";B1173,A1173}))</f>
        <v/>
      </c>
      <c r="AY1173" s="82" t="str">
        <f t="shared" si="2"/>
        <v/>
      </c>
      <c r="AZ1173" s="82"/>
      <c r="BA1173" s="84" t="s">
        <v>152</v>
      </c>
      <c r="BB1173" s="84" t="str">
        <f>IFERROR(__xludf.DUMMYFUNCTION("iferror(if(A1173="""",,E1173&gt;=FILTER(Constants!$F$2:$F$10,Constants!$A$2:$A$10=A1173)))"),"")</f>
        <v/>
      </c>
    </row>
    <row r="1174">
      <c r="A1174" s="89"/>
      <c r="B1174" s="87"/>
      <c r="C1174" s="73"/>
      <c r="D1174" s="73"/>
      <c r="E1174" s="82"/>
      <c r="F1174" s="82"/>
      <c r="G1174" s="86"/>
      <c r="H1174" s="86"/>
      <c r="I1174" s="86"/>
      <c r="J1174" s="82"/>
      <c r="K1174" s="82"/>
      <c r="L1174" s="82"/>
      <c r="M1174" s="82"/>
      <c r="N1174" s="82"/>
      <c r="O1174" s="82"/>
      <c r="P1174" s="82"/>
      <c r="Q1174" s="82"/>
      <c r="R1174" s="82"/>
      <c r="S1174" s="82"/>
      <c r="T1174" s="82"/>
      <c r="U1174" s="82"/>
      <c r="V1174" s="82"/>
      <c r="W1174" s="82"/>
      <c r="X1174" s="82"/>
      <c r="Y1174" s="82"/>
      <c r="Z1174" s="82"/>
      <c r="AA1174" s="82"/>
      <c r="AB1174" s="82"/>
      <c r="AC1174" s="82"/>
      <c r="AD1174" s="82"/>
      <c r="AE1174" s="82"/>
      <c r="AF1174" s="82"/>
      <c r="AG1174" s="82"/>
      <c r="AH1174" s="82"/>
      <c r="AI1174" s="82"/>
      <c r="AJ1174" s="82"/>
      <c r="AK1174" s="82"/>
      <c r="AL1174" s="82"/>
      <c r="AM1174" s="82"/>
      <c r="AN1174" s="82"/>
      <c r="AO1174" s="82"/>
      <c r="AP1174" s="82"/>
      <c r="AQ1174" s="82"/>
      <c r="AR1174" s="82"/>
      <c r="AS1174" s="82"/>
      <c r="AT1174" s="82"/>
      <c r="AU1174" s="82"/>
      <c r="AV1174" s="82"/>
      <c r="AW1174" s="82" t="str">
        <f t="shared" si="1"/>
        <v/>
      </c>
      <c r="AX1174" s="83" t="str">
        <f t="array" ref="AX1174">IFERROR(DGET('SBV Import'!A:G,"SBV",{"RSC ID","Tier";B1174,A1174}))</f>
        <v/>
      </c>
      <c r="AY1174" s="82" t="str">
        <f t="shared" si="2"/>
        <v/>
      </c>
      <c r="AZ1174" s="82"/>
      <c r="BA1174" s="84" t="s">
        <v>152</v>
      </c>
      <c r="BB1174" s="84" t="str">
        <f>IFERROR(__xludf.DUMMYFUNCTION("iferror(if(A1174="""",,E1174&gt;=FILTER(Constants!$F$2:$F$10,Constants!$A$2:$A$10=A1174)))"),"")</f>
        <v/>
      </c>
    </row>
    <row r="1175">
      <c r="A1175" s="89"/>
      <c r="B1175" s="87"/>
      <c r="C1175" s="73"/>
      <c r="D1175" s="73"/>
      <c r="E1175" s="82"/>
      <c r="F1175" s="82"/>
      <c r="G1175" s="86"/>
      <c r="H1175" s="86"/>
      <c r="I1175" s="86"/>
      <c r="J1175" s="82"/>
      <c r="K1175" s="82"/>
      <c r="L1175" s="82"/>
      <c r="M1175" s="82"/>
      <c r="N1175" s="82"/>
      <c r="O1175" s="82"/>
      <c r="P1175" s="82"/>
      <c r="Q1175" s="82"/>
      <c r="R1175" s="82"/>
      <c r="S1175" s="82"/>
      <c r="T1175" s="82"/>
      <c r="U1175" s="82"/>
      <c r="V1175" s="82"/>
      <c r="W1175" s="82"/>
      <c r="X1175" s="82"/>
      <c r="Y1175" s="82"/>
      <c r="Z1175" s="82"/>
      <c r="AA1175" s="82"/>
      <c r="AB1175" s="82"/>
      <c r="AC1175" s="82"/>
      <c r="AD1175" s="82"/>
      <c r="AE1175" s="82"/>
      <c r="AF1175" s="82"/>
      <c r="AG1175" s="82"/>
      <c r="AH1175" s="82"/>
      <c r="AI1175" s="82"/>
      <c r="AJ1175" s="82"/>
      <c r="AK1175" s="82"/>
      <c r="AL1175" s="82"/>
      <c r="AM1175" s="82"/>
      <c r="AN1175" s="82"/>
      <c r="AO1175" s="82"/>
      <c r="AP1175" s="82"/>
      <c r="AQ1175" s="82"/>
      <c r="AR1175" s="82"/>
      <c r="AS1175" s="82"/>
      <c r="AT1175" s="82"/>
      <c r="AU1175" s="82"/>
      <c r="AV1175" s="82"/>
      <c r="AW1175" s="82" t="str">
        <f t="shared" si="1"/>
        <v/>
      </c>
      <c r="AX1175" s="83" t="str">
        <f t="array" ref="AX1175">IFERROR(DGET('SBV Import'!A:G,"SBV",{"RSC ID","Tier";B1175,A1175}))</f>
        <v/>
      </c>
      <c r="AY1175" s="82" t="str">
        <f t="shared" si="2"/>
        <v/>
      </c>
      <c r="AZ1175" s="82"/>
      <c r="BA1175" s="84" t="s">
        <v>152</v>
      </c>
      <c r="BB1175" s="84" t="str">
        <f>IFERROR(__xludf.DUMMYFUNCTION("iferror(if(A1175="""",,E1175&gt;=FILTER(Constants!$F$2:$F$10,Constants!$A$2:$A$10=A1175)))"),"")</f>
        <v/>
      </c>
    </row>
    <row r="1176">
      <c r="A1176" s="89"/>
      <c r="B1176" s="87"/>
      <c r="C1176" s="73"/>
      <c r="D1176" s="73"/>
      <c r="E1176" s="82"/>
      <c r="F1176" s="82"/>
      <c r="G1176" s="86"/>
      <c r="H1176" s="86"/>
      <c r="I1176" s="86"/>
      <c r="J1176" s="82"/>
      <c r="K1176" s="82"/>
      <c r="L1176" s="82"/>
      <c r="M1176" s="82"/>
      <c r="N1176" s="82"/>
      <c r="O1176" s="82"/>
      <c r="P1176" s="82"/>
      <c r="Q1176" s="82"/>
      <c r="R1176" s="82"/>
      <c r="S1176" s="82"/>
      <c r="T1176" s="82"/>
      <c r="U1176" s="82"/>
      <c r="V1176" s="82"/>
      <c r="W1176" s="82"/>
      <c r="X1176" s="82"/>
      <c r="Y1176" s="82"/>
      <c r="Z1176" s="82"/>
      <c r="AA1176" s="82"/>
      <c r="AB1176" s="82"/>
      <c r="AC1176" s="82"/>
      <c r="AD1176" s="82"/>
      <c r="AE1176" s="82"/>
      <c r="AF1176" s="82"/>
      <c r="AG1176" s="82"/>
      <c r="AH1176" s="82"/>
      <c r="AI1176" s="82"/>
      <c r="AJ1176" s="82"/>
      <c r="AK1176" s="82"/>
      <c r="AL1176" s="82"/>
      <c r="AM1176" s="82"/>
      <c r="AN1176" s="82"/>
      <c r="AO1176" s="82"/>
      <c r="AP1176" s="82"/>
      <c r="AQ1176" s="82"/>
      <c r="AR1176" s="82"/>
      <c r="AS1176" s="82"/>
      <c r="AT1176" s="82"/>
      <c r="AU1176" s="82"/>
      <c r="AV1176" s="82"/>
      <c r="AW1176" s="82" t="str">
        <f t="shared" si="1"/>
        <v/>
      </c>
      <c r="AX1176" s="83" t="str">
        <f t="array" ref="AX1176">IFERROR(DGET('SBV Import'!A:G,"SBV",{"RSC ID","Tier";B1176,A1176}))</f>
        <v/>
      </c>
      <c r="AY1176" s="82" t="str">
        <f t="shared" si="2"/>
        <v/>
      </c>
      <c r="AZ1176" s="82"/>
      <c r="BA1176" s="84" t="s">
        <v>152</v>
      </c>
      <c r="BB1176" s="84" t="str">
        <f>IFERROR(__xludf.DUMMYFUNCTION("iferror(if(A1176="""",,E1176&gt;=FILTER(Constants!$F$2:$F$10,Constants!$A$2:$A$10=A1176)))"),"")</f>
        <v/>
      </c>
    </row>
    <row r="1177">
      <c r="A1177" s="89"/>
      <c r="B1177" s="87"/>
      <c r="C1177" s="73"/>
      <c r="D1177" s="73"/>
      <c r="E1177" s="82"/>
      <c r="F1177" s="82"/>
      <c r="G1177" s="86"/>
      <c r="H1177" s="86"/>
      <c r="I1177" s="86"/>
      <c r="J1177" s="82"/>
      <c r="K1177" s="82"/>
      <c r="L1177" s="82"/>
      <c r="M1177" s="82"/>
      <c r="N1177" s="82"/>
      <c r="O1177" s="82"/>
      <c r="P1177" s="82"/>
      <c r="Q1177" s="82"/>
      <c r="R1177" s="82"/>
      <c r="S1177" s="82"/>
      <c r="T1177" s="82"/>
      <c r="U1177" s="82"/>
      <c r="V1177" s="82"/>
      <c r="W1177" s="82"/>
      <c r="X1177" s="82"/>
      <c r="Y1177" s="82"/>
      <c r="Z1177" s="82"/>
      <c r="AA1177" s="82"/>
      <c r="AB1177" s="82"/>
      <c r="AC1177" s="82"/>
      <c r="AD1177" s="82"/>
      <c r="AE1177" s="82"/>
      <c r="AF1177" s="82"/>
      <c r="AG1177" s="82"/>
      <c r="AH1177" s="82"/>
      <c r="AI1177" s="82"/>
      <c r="AJ1177" s="82"/>
      <c r="AK1177" s="82"/>
      <c r="AL1177" s="82"/>
      <c r="AM1177" s="82"/>
      <c r="AN1177" s="82"/>
      <c r="AO1177" s="82"/>
      <c r="AP1177" s="82"/>
      <c r="AQ1177" s="82"/>
      <c r="AR1177" s="82"/>
      <c r="AS1177" s="82"/>
      <c r="AT1177" s="82"/>
      <c r="AU1177" s="82"/>
      <c r="AV1177" s="82"/>
      <c r="AW1177" s="82" t="str">
        <f t="shared" si="1"/>
        <v/>
      </c>
      <c r="AX1177" s="83" t="str">
        <f t="array" ref="AX1177">IFERROR(DGET('SBV Import'!A:G,"SBV",{"RSC ID","Tier";B1177,A1177}))</f>
        <v/>
      </c>
      <c r="AY1177" s="82" t="str">
        <f t="shared" si="2"/>
        <v/>
      </c>
      <c r="AZ1177" s="82"/>
      <c r="BA1177" s="84" t="s">
        <v>152</v>
      </c>
      <c r="BB1177" s="84" t="str">
        <f>IFERROR(__xludf.DUMMYFUNCTION("iferror(if(A1177="""",,E1177&gt;=FILTER(Constants!$F$2:$F$10,Constants!$A$2:$A$10=A1177)))"),"")</f>
        <v/>
      </c>
    </row>
    <row r="1178">
      <c r="A1178" s="89"/>
      <c r="B1178" s="87"/>
      <c r="C1178" s="73"/>
      <c r="D1178" s="73"/>
      <c r="E1178" s="82"/>
      <c r="F1178" s="82"/>
      <c r="G1178" s="86"/>
      <c r="H1178" s="86"/>
      <c r="I1178" s="86"/>
      <c r="J1178" s="82"/>
      <c r="K1178" s="82"/>
      <c r="L1178" s="82"/>
      <c r="M1178" s="82"/>
      <c r="N1178" s="82"/>
      <c r="O1178" s="82"/>
      <c r="P1178" s="82"/>
      <c r="Q1178" s="82"/>
      <c r="R1178" s="82"/>
      <c r="S1178" s="82"/>
      <c r="T1178" s="82"/>
      <c r="U1178" s="82"/>
      <c r="V1178" s="82"/>
      <c r="W1178" s="82"/>
      <c r="X1178" s="82"/>
      <c r="Y1178" s="82"/>
      <c r="Z1178" s="82"/>
      <c r="AA1178" s="82"/>
      <c r="AB1178" s="82"/>
      <c r="AC1178" s="82"/>
      <c r="AD1178" s="82"/>
      <c r="AE1178" s="82"/>
      <c r="AF1178" s="82"/>
      <c r="AG1178" s="82"/>
      <c r="AH1178" s="82"/>
      <c r="AI1178" s="82"/>
      <c r="AJ1178" s="82"/>
      <c r="AK1178" s="82"/>
      <c r="AL1178" s="82"/>
      <c r="AM1178" s="82"/>
      <c r="AN1178" s="82"/>
      <c r="AO1178" s="82"/>
      <c r="AP1178" s="82"/>
      <c r="AQ1178" s="82"/>
      <c r="AR1178" s="82"/>
      <c r="AS1178" s="82"/>
      <c r="AT1178" s="82"/>
      <c r="AU1178" s="82"/>
      <c r="AV1178" s="82"/>
      <c r="AW1178" s="82" t="str">
        <f t="shared" si="1"/>
        <v/>
      </c>
      <c r="AX1178" s="83" t="str">
        <f t="array" ref="AX1178">IFERROR(DGET('SBV Import'!A:G,"SBV",{"RSC ID","Tier";B1178,A1178}))</f>
        <v/>
      </c>
      <c r="AY1178" s="82" t="str">
        <f t="shared" si="2"/>
        <v/>
      </c>
      <c r="AZ1178" s="82"/>
      <c r="BA1178" s="84" t="s">
        <v>152</v>
      </c>
      <c r="BB1178" s="84" t="str">
        <f>IFERROR(__xludf.DUMMYFUNCTION("iferror(if(A1178="""",,E1178&gt;=FILTER(Constants!$F$2:$F$10,Constants!$A$2:$A$10=A1178)))"),"")</f>
        <v/>
      </c>
    </row>
    <row r="1179">
      <c r="A1179" s="89"/>
      <c r="B1179" s="87"/>
      <c r="C1179" s="73"/>
      <c r="D1179" s="73"/>
      <c r="E1179" s="82"/>
      <c r="F1179" s="82"/>
      <c r="G1179" s="86"/>
      <c r="H1179" s="86"/>
      <c r="I1179" s="86"/>
      <c r="J1179" s="82"/>
      <c r="K1179" s="82"/>
      <c r="L1179" s="82"/>
      <c r="M1179" s="82"/>
      <c r="N1179" s="82"/>
      <c r="O1179" s="82"/>
      <c r="P1179" s="82"/>
      <c r="Q1179" s="82"/>
      <c r="R1179" s="82"/>
      <c r="S1179" s="82"/>
      <c r="T1179" s="82"/>
      <c r="U1179" s="82"/>
      <c r="V1179" s="82"/>
      <c r="W1179" s="82"/>
      <c r="X1179" s="82"/>
      <c r="Y1179" s="82"/>
      <c r="Z1179" s="82"/>
      <c r="AA1179" s="82"/>
      <c r="AB1179" s="82"/>
      <c r="AC1179" s="82"/>
      <c r="AD1179" s="82"/>
      <c r="AE1179" s="82"/>
      <c r="AF1179" s="82"/>
      <c r="AG1179" s="82"/>
      <c r="AH1179" s="82"/>
      <c r="AI1179" s="82"/>
      <c r="AJ1179" s="82"/>
      <c r="AK1179" s="82"/>
      <c r="AL1179" s="82"/>
      <c r="AM1179" s="82"/>
      <c r="AN1179" s="82"/>
      <c r="AO1179" s="82"/>
      <c r="AP1179" s="82"/>
      <c r="AQ1179" s="82"/>
      <c r="AR1179" s="82"/>
      <c r="AS1179" s="82"/>
      <c r="AT1179" s="82"/>
      <c r="AU1179" s="82"/>
      <c r="AV1179" s="82"/>
      <c r="AW1179" s="82" t="str">
        <f t="shared" si="1"/>
        <v/>
      </c>
      <c r="AX1179" s="83" t="str">
        <f t="array" ref="AX1179">IFERROR(DGET('SBV Import'!A:G,"SBV",{"RSC ID","Tier";B1179,A1179}))</f>
        <v/>
      </c>
      <c r="AY1179" s="82" t="str">
        <f t="shared" si="2"/>
        <v/>
      </c>
      <c r="AZ1179" s="82"/>
      <c r="BA1179" s="84" t="s">
        <v>152</v>
      </c>
      <c r="BB1179" s="84" t="str">
        <f>IFERROR(__xludf.DUMMYFUNCTION("iferror(if(A1179="""",,E1179&gt;=FILTER(Constants!$F$2:$F$10,Constants!$A$2:$A$10=A1179)))"),"")</f>
        <v/>
      </c>
    </row>
    <row r="1180">
      <c r="A1180" s="89"/>
      <c r="B1180" s="87"/>
      <c r="C1180" s="73"/>
      <c r="D1180" s="73"/>
      <c r="E1180" s="82"/>
      <c r="F1180" s="82"/>
      <c r="G1180" s="86"/>
      <c r="H1180" s="86"/>
      <c r="I1180" s="86"/>
      <c r="J1180" s="82"/>
      <c r="K1180" s="82"/>
      <c r="L1180" s="82"/>
      <c r="M1180" s="82"/>
      <c r="N1180" s="82"/>
      <c r="O1180" s="82"/>
      <c r="P1180" s="82"/>
      <c r="Q1180" s="82"/>
      <c r="R1180" s="82"/>
      <c r="S1180" s="82"/>
      <c r="T1180" s="82"/>
      <c r="U1180" s="82"/>
      <c r="V1180" s="82"/>
      <c r="W1180" s="82"/>
      <c r="X1180" s="82"/>
      <c r="Y1180" s="82"/>
      <c r="Z1180" s="82"/>
      <c r="AA1180" s="82"/>
      <c r="AB1180" s="82"/>
      <c r="AC1180" s="82"/>
      <c r="AD1180" s="82"/>
      <c r="AE1180" s="82"/>
      <c r="AF1180" s="82"/>
      <c r="AG1180" s="82"/>
      <c r="AH1180" s="82"/>
      <c r="AI1180" s="82"/>
      <c r="AJ1180" s="82"/>
      <c r="AK1180" s="82"/>
      <c r="AL1180" s="82"/>
      <c r="AM1180" s="82"/>
      <c r="AN1180" s="82"/>
      <c r="AO1180" s="82"/>
      <c r="AP1180" s="82"/>
      <c r="AQ1180" s="82"/>
      <c r="AR1180" s="82"/>
      <c r="AS1180" s="82"/>
      <c r="AT1180" s="82"/>
      <c r="AU1180" s="82"/>
      <c r="AV1180" s="82"/>
      <c r="AW1180" s="82" t="str">
        <f t="shared" si="1"/>
        <v/>
      </c>
      <c r="AX1180" s="83" t="str">
        <f t="array" ref="AX1180">IFERROR(DGET('SBV Import'!A:G,"SBV",{"RSC ID","Tier";B1180,A1180}))</f>
        <v/>
      </c>
      <c r="AY1180" s="82" t="str">
        <f t="shared" si="2"/>
        <v/>
      </c>
      <c r="AZ1180" s="82"/>
      <c r="BA1180" s="84" t="s">
        <v>152</v>
      </c>
      <c r="BB1180" s="84" t="str">
        <f>IFERROR(__xludf.DUMMYFUNCTION("iferror(if(A1180="""",,E1180&gt;=FILTER(Constants!$F$2:$F$10,Constants!$A$2:$A$10=A1180)))"),"")</f>
        <v/>
      </c>
    </row>
    <row r="1181">
      <c r="A1181" s="89"/>
      <c r="B1181" s="87"/>
      <c r="C1181" s="73"/>
      <c r="D1181" s="73"/>
      <c r="E1181" s="82"/>
      <c r="F1181" s="82"/>
      <c r="G1181" s="86"/>
      <c r="H1181" s="86"/>
      <c r="I1181" s="86"/>
      <c r="J1181" s="82"/>
      <c r="K1181" s="82"/>
      <c r="L1181" s="82"/>
      <c r="M1181" s="82"/>
      <c r="N1181" s="82"/>
      <c r="O1181" s="82"/>
      <c r="P1181" s="82"/>
      <c r="Q1181" s="82"/>
      <c r="R1181" s="82"/>
      <c r="S1181" s="82"/>
      <c r="T1181" s="82"/>
      <c r="U1181" s="82"/>
      <c r="V1181" s="82"/>
      <c r="W1181" s="82"/>
      <c r="X1181" s="82"/>
      <c r="Y1181" s="82"/>
      <c r="Z1181" s="82"/>
      <c r="AA1181" s="82"/>
      <c r="AB1181" s="82"/>
      <c r="AC1181" s="82"/>
      <c r="AD1181" s="82"/>
      <c r="AE1181" s="82"/>
      <c r="AF1181" s="82"/>
      <c r="AG1181" s="82"/>
      <c r="AH1181" s="82"/>
      <c r="AI1181" s="82"/>
      <c r="AJ1181" s="82"/>
      <c r="AK1181" s="82"/>
      <c r="AL1181" s="82"/>
      <c r="AM1181" s="82"/>
      <c r="AN1181" s="82"/>
      <c r="AO1181" s="82"/>
      <c r="AP1181" s="82"/>
      <c r="AQ1181" s="82"/>
      <c r="AR1181" s="82"/>
      <c r="AS1181" s="82"/>
      <c r="AT1181" s="82"/>
      <c r="AU1181" s="82"/>
      <c r="AV1181" s="82"/>
      <c r="AW1181" s="82" t="str">
        <f t="shared" si="1"/>
        <v/>
      </c>
      <c r="AX1181" s="83" t="str">
        <f t="array" ref="AX1181">IFERROR(DGET('SBV Import'!A:G,"SBV",{"RSC ID","Tier";B1181,A1181}))</f>
        <v/>
      </c>
      <c r="AY1181" s="82" t="str">
        <f t="shared" si="2"/>
        <v/>
      </c>
      <c r="AZ1181" s="82"/>
      <c r="BA1181" s="84" t="s">
        <v>152</v>
      </c>
      <c r="BB1181" s="84" t="str">
        <f>IFERROR(__xludf.DUMMYFUNCTION("iferror(if(A1181="""",,E1181&gt;=FILTER(Constants!$F$2:$F$10,Constants!$A$2:$A$10=A1181)))"),"")</f>
        <v/>
      </c>
    </row>
    <row r="1182">
      <c r="A1182" s="89"/>
      <c r="B1182" s="87"/>
      <c r="C1182" s="73"/>
      <c r="D1182" s="73"/>
      <c r="E1182" s="82"/>
      <c r="F1182" s="82"/>
      <c r="G1182" s="86"/>
      <c r="H1182" s="86"/>
      <c r="I1182" s="86"/>
      <c r="J1182" s="82"/>
      <c r="K1182" s="82"/>
      <c r="L1182" s="82"/>
      <c r="M1182" s="82"/>
      <c r="N1182" s="82"/>
      <c r="O1182" s="82"/>
      <c r="P1182" s="82"/>
      <c r="Q1182" s="82"/>
      <c r="R1182" s="82"/>
      <c r="S1182" s="82"/>
      <c r="T1182" s="82"/>
      <c r="U1182" s="82"/>
      <c r="V1182" s="82"/>
      <c r="W1182" s="82"/>
      <c r="X1182" s="82"/>
      <c r="Y1182" s="82"/>
      <c r="Z1182" s="82"/>
      <c r="AA1182" s="82"/>
      <c r="AB1182" s="82"/>
      <c r="AC1182" s="82"/>
      <c r="AD1182" s="82"/>
      <c r="AE1182" s="82"/>
      <c r="AF1182" s="82"/>
      <c r="AG1182" s="82"/>
      <c r="AH1182" s="82"/>
      <c r="AI1182" s="82"/>
      <c r="AJ1182" s="82"/>
      <c r="AK1182" s="82"/>
      <c r="AL1182" s="82"/>
      <c r="AM1182" s="82"/>
      <c r="AN1182" s="82"/>
      <c r="AO1182" s="82"/>
      <c r="AP1182" s="82"/>
      <c r="AQ1182" s="82"/>
      <c r="AR1182" s="82"/>
      <c r="AS1182" s="82"/>
      <c r="AT1182" s="82"/>
      <c r="AU1182" s="82"/>
      <c r="AV1182" s="82"/>
      <c r="AW1182" s="82" t="str">
        <f t="shared" si="1"/>
        <v/>
      </c>
      <c r="AX1182" s="83" t="str">
        <f t="array" ref="AX1182">IFERROR(DGET('SBV Import'!A:G,"SBV",{"RSC ID","Tier";B1182,A1182}))</f>
        <v/>
      </c>
      <c r="AY1182" s="82" t="str">
        <f t="shared" si="2"/>
        <v/>
      </c>
      <c r="AZ1182" s="82"/>
      <c r="BA1182" s="84" t="s">
        <v>152</v>
      </c>
      <c r="BB1182" s="84" t="str">
        <f>IFERROR(__xludf.DUMMYFUNCTION("iferror(if(A1182="""",,E1182&gt;=FILTER(Constants!$F$2:$F$10,Constants!$A$2:$A$10=A1182)))"),"")</f>
        <v/>
      </c>
    </row>
    <row r="1183">
      <c r="A1183" s="89"/>
      <c r="B1183" s="87"/>
      <c r="C1183" s="73"/>
      <c r="D1183" s="73"/>
      <c r="E1183" s="82"/>
      <c r="F1183" s="82"/>
      <c r="G1183" s="86"/>
      <c r="H1183" s="86"/>
      <c r="I1183" s="86"/>
      <c r="J1183" s="82"/>
      <c r="K1183" s="82"/>
      <c r="L1183" s="82"/>
      <c r="M1183" s="82"/>
      <c r="N1183" s="82"/>
      <c r="O1183" s="82"/>
      <c r="P1183" s="82"/>
      <c r="Q1183" s="82"/>
      <c r="R1183" s="82"/>
      <c r="S1183" s="82"/>
      <c r="T1183" s="82"/>
      <c r="U1183" s="82"/>
      <c r="V1183" s="82"/>
      <c r="W1183" s="82"/>
      <c r="X1183" s="82"/>
      <c r="Y1183" s="82"/>
      <c r="Z1183" s="82"/>
      <c r="AA1183" s="82"/>
      <c r="AB1183" s="82"/>
      <c r="AC1183" s="82"/>
      <c r="AD1183" s="82"/>
      <c r="AE1183" s="82"/>
      <c r="AF1183" s="82"/>
      <c r="AG1183" s="82"/>
      <c r="AH1183" s="82"/>
      <c r="AI1183" s="82"/>
      <c r="AJ1183" s="82"/>
      <c r="AK1183" s="82"/>
      <c r="AL1183" s="82"/>
      <c r="AM1183" s="82"/>
      <c r="AN1183" s="82"/>
      <c r="AO1183" s="82"/>
      <c r="AP1183" s="82"/>
      <c r="AQ1183" s="82"/>
      <c r="AR1183" s="82"/>
      <c r="AS1183" s="82"/>
      <c r="AT1183" s="82"/>
      <c r="AU1183" s="82"/>
      <c r="AV1183" s="82"/>
      <c r="AW1183" s="82" t="str">
        <f t="shared" si="1"/>
        <v/>
      </c>
      <c r="AX1183" s="83" t="str">
        <f t="array" ref="AX1183">IFERROR(DGET('SBV Import'!A:G,"SBV",{"RSC ID","Tier";B1183,A1183}))</f>
        <v/>
      </c>
      <c r="AY1183" s="82" t="str">
        <f t="shared" si="2"/>
        <v/>
      </c>
      <c r="AZ1183" s="82"/>
      <c r="BA1183" s="84" t="s">
        <v>152</v>
      </c>
      <c r="BB1183" s="84" t="str">
        <f>IFERROR(__xludf.DUMMYFUNCTION("iferror(if(A1183="""",,E1183&gt;=FILTER(Constants!$F$2:$F$10,Constants!$A$2:$A$10=A1183)))"),"")</f>
        <v/>
      </c>
    </row>
    <row r="1184">
      <c r="A1184" s="89"/>
      <c r="B1184" s="87"/>
      <c r="C1184" s="73"/>
      <c r="D1184" s="73"/>
      <c r="E1184" s="82"/>
      <c r="F1184" s="82"/>
      <c r="G1184" s="86"/>
      <c r="H1184" s="86"/>
      <c r="I1184" s="86"/>
      <c r="J1184" s="82"/>
      <c r="K1184" s="82"/>
      <c r="L1184" s="82"/>
      <c r="M1184" s="82"/>
      <c r="N1184" s="82"/>
      <c r="O1184" s="82"/>
      <c r="P1184" s="82"/>
      <c r="Q1184" s="82"/>
      <c r="R1184" s="82"/>
      <c r="S1184" s="82"/>
      <c r="T1184" s="82"/>
      <c r="U1184" s="82"/>
      <c r="V1184" s="82"/>
      <c r="W1184" s="82"/>
      <c r="X1184" s="82"/>
      <c r="Y1184" s="82"/>
      <c r="Z1184" s="82"/>
      <c r="AA1184" s="82"/>
      <c r="AB1184" s="82"/>
      <c r="AC1184" s="82"/>
      <c r="AD1184" s="82"/>
      <c r="AE1184" s="82"/>
      <c r="AF1184" s="82"/>
      <c r="AG1184" s="82"/>
      <c r="AH1184" s="82"/>
      <c r="AI1184" s="82"/>
      <c r="AJ1184" s="82"/>
      <c r="AK1184" s="82"/>
      <c r="AL1184" s="82"/>
      <c r="AM1184" s="82"/>
      <c r="AN1184" s="82"/>
      <c r="AO1184" s="82"/>
      <c r="AP1184" s="82"/>
      <c r="AQ1184" s="82"/>
      <c r="AR1184" s="82"/>
      <c r="AS1184" s="82"/>
      <c r="AT1184" s="82"/>
      <c r="AU1184" s="82"/>
      <c r="AV1184" s="82"/>
      <c r="AW1184" s="82" t="str">
        <f t="shared" si="1"/>
        <v/>
      </c>
      <c r="AX1184" s="83" t="str">
        <f t="array" ref="AX1184">IFERROR(DGET('SBV Import'!A:G,"SBV",{"RSC ID","Tier";B1184,A1184}))</f>
        <v/>
      </c>
      <c r="AY1184" s="82" t="str">
        <f t="shared" si="2"/>
        <v/>
      </c>
      <c r="AZ1184" s="82"/>
      <c r="BA1184" s="84" t="s">
        <v>152</v>
      </c>
      <c r="BB1184" s="84" t="str">
        <f>IFERROR(__xludf.DUMMYFUNCTION("iferror(if(A1184="""",,E1184&gt;=FILTER(Constants!$F$2:$F$10,Constants!$A$2:$A$10=A1184)))"),"")</f>
        <v/>
      </c>
    </row>
    <row r="1185">
      <c r="A1185" s="89"/>
      <c r="B1185" s="87"/>
      <c r="C1185" s="73"/>
      <c r="D1185" s="73"/>
      <c r="E1185" s="82"/>
      <c r="F1185" s="82"/>
      <c r="G1185" s="86"/>
      <c r="H1185" s="86"/>
      <c r="I1185" s="86"/>
      <c r="J1185" s="82"/>
      <c r="K1185" s="82"/>
      <c r="L1185" s="82"/>
      <c r="M1185" s="82"/>
      <c r="N1185" s="82"/>
      <c r="O1185" s="82"/>
      <c r="P1185" s="82"/>
      <c r="Q1185" s="82"/>
      <c r="R1185" s="82"/>
      <c r="S1185" s="82"/>
      <c r="T1185" s="82"/>
      <c r="U1185" s="82"/>
      <c r="V1185" s="82"/>
      <c r="W1185" s="82"/>
      <c r="X1185" s="82"/>
      <c r="Y1185" s="82"/>
      <c r="Z1185" s="82"/>
      <c r="AA1185" s="82"/>
      <c r="AB1185" s="82"/>
      <c r="AC1185" s="82"/>
      <c r="AD1185" s="82"/>
      <c r="AE1185" s="82"/>
      <c r="AF1185" s="82"/>
      <c r="AG1185" s="82"/>
      <c r="AH1185" s="82"/>
      <c r="AI1185" s="82"/>
      <c r="AJ1185" s="82"/>
      <c r="AK1185" s="82"/>
      <c r="AL1185" s="82"/>
      <c r="AM1185" s="82"/>
      <c r="AN1185" s="82"/>
      <c r="AO1185" s="82"/>
      <c r="AP1185" s="82"/>
      <c r="AQ1185" s="82"/>
      <c r="AR1185" s="82"/>
      <c r="AS1185" s="82"/>
      <c r="AT1185" s="82"/>
      <c r="AU1185" s="82"/>
      <c r="AV1185" s="82"/>
      <c r="AW1185" s="82" t="str">
        <f t="shared" si="1"/>
        <v/>
      </c>
      <c r="AX1185" s="83" t="str">
        <f t="array" ref="AX1185">IFERROR(DGET('SBV Import'!A:G,"SBV",{"RSC ID","Tier";B1185,A1185}))</f>
        <v/>
      </c>
      <c r="AY1185" s="82" t="str">
        <f t="shared" si="2"/>
        <v/>
      </c>
      <c r="AZ1185" s="82"/>
      <c r="BA1185" s="84" t="s">
        <v>152</v>
      </c>
      <c r="BB1185" s="84" t="str">
        <f>IFERROR(__xludf.DUMMYFUNCTION("iferror(if(A1185="""",,E1185&gt;=FILTER(Constants!$F$2:$F$10,Constants!$A$2:$A$10=A1185)))"),"")</f>
        <v/>
      </c>
    </row>
    <row r="1186">
      <c r="A1186" s="89"/>
      <c r="B1186" s="87"/>
      <c r="C1186" s="73"/>
      <c r="D1186" s="73"/>
      <c r="E1186" s="82"/>
      <c r="F1186" s="82"/>
      <c r="G1186" s="86"/>
      <c r="H1186" s="86"/>
      <c r="I1186" s="86"/>
      <c r="J1186" s="82"/>
      <c r="K1186" s="82"/>
      <c r="L1186" s="82"/>
      <c r="M1186" s="82"/>
      <c r="N1186" s="82"/>
      <c r="O1186" s="82"/>
      <c r="P1186" s="82"/>
      <c r="Q1186" s="82"/>
      <c r="R1186" s="82"/>
      <c r="S1186" s="82"/>
      <c r="T1186" s="82"/>
      <c r="U1186" s="82"/>
      <c r="V1186" s="82"/>
      <c r="W1186" s="82"/>
      <c r="X1186" s="82"/>
      <c r="Y1186" s="82"/>
      <c r="Z1186" s="82"/>
      <c r="AA1186" s="82"/>
      <c r="AB1186" s="82"/>
      <c r="AC1186" s="82"/>
      <c r="AD1186" s="82"/>
      <c r="AE1186" s="82"/>
      <c r="AF1186" s="82"/>
      <c r="AG1186" s="82"/>
      <c r="AH1186" s="82"/>
      <c r="AI1186" s="82"/>
      <c r="AJ1186" s="82"/>
      <c r="AK1186" s="82"/>
      <c r="AL1186" s="82"/>
      <c r="AM1186" s="82"/>
      <c r="AN1186" s="82"/>
      <c r="AO1186" s="82"/>
      <c r="AP1186" s="82"/>
      <c r="AQ1186" s="82"/>
      <c r="AR1186" s="82"/>
      <c r="AS1186" s="82"/>
      <c r="AT1186" s="82"/>
      <c r="AU1186" s="82"/>
      <c r="AV1186" s="82"/>
      <c r="AW1186" s="82" t="str">
        <f t="shared" si="1"/>
        <v/>
      </c>
      <c r="AX1186" s="83" t="str">
        <f t="array" ref="AX1186">IFERROR(DGET('SBV Import'!A:G,"SBV",{"RSC ID","Tier";B1186,A1186}))</f>
        <v/>
      </c>
      <c r="AY1186" s="82" t="str">
        <f t="shared" si="2"/>
        <v/>
      </c>
      <c r="AZ1186" s="82"/>
      <c r="BA1186" s="84" t="s">
        <v>152</v>
      </c>
      <c r="BB1186" s="84" t="str">
        <f>IFERROR(__xludf.DUMMYFUNCTION("iferror(if(A1186="""",,E1186&gt;=FILTER(Constants!$F$2:$F$10,Constants!$A$2:$A$10=A1186)))"),"")</f>
        <v/>
      </c>
    </row>
    <row r="1187">
      <c r="A1187" s="89"/>
      <c r="B1187" s="87"/>
      <c r="C1187" s="73"/>
      <c r="D1187" s="73"/>
      <c r="E1187" s="82"/>
      <c r="F1187" s="82"/>
      <c r="G1187" s="86"/>
      <c r="H1187" s="86"/>
      <c r="I1187" s="86"/>
      <c r="J1187" s="82"/>
      <c r="K1187" s="82"/>
      <c r="L1187" s="82"/>
      <c r="M1187" s="82"/>
      <c r="N1187" s="82"/>
      <c r="O1187" s="82"/>
      <c r="P1187" s="82"/>
      <c r="Q1187" s="82"/>
      <c r="R1187" s="82"/>
      <c r="S1187" s="82"/>
      <c r="T1187" s="82"/>
      <c r="U1187" s="82"/>
      <c r="V1187" s="82"/>
      <c r="W1187" s="82"/>
      <c r="X1187" s="82"/>
      <c r="Y1187" s="82"/>
      <c r="Z1187" s="82"/>
      <c r="AA1187" s="82"/>
      <c r="AB1187" s="82"/>
      <c r="AC1187" s="82"/>
      <c r="AD1187" s="82"/>
      <c r="AE1187" s="82"/>
      <c r="AF1187" s="82"/>
      <c r="AG1187" s="82"/>
      <c r="AH1187" s="82"/>
      <c r="AI1187" s="82"/>
      <c r="AJ1187" s="82"/>
      <c r="AK1187" s="82"/>
      <c r="AL1187" s="82"/>
      <c r="AM1187" s="82"/>
      <c r="AN1187" s="82"/>
      <c r="AO1187" s="82"/>
      <c r="AP1187" s="82"/>
      <c r="AQ1187" s="82"/>
      <c r="AR1187" s="82"/>
      <c r="AS1187" s="82"/>
      <c r="AT1187" s="82"/>
      <c r="AU1187" s="82"/>
      <c r="AV1187" s="82"/>
      <c r="AW1187" s="82" t="str">
        <f t="shared" si="1"/>
        <v/>
      </c>
      <c r="AX1187" s="83" t="str">
        <f t="array" ref="AX1187">IFERROR(DGET('SBV Import'!A:G,"SBV",{"RSC ID","Tier";B1187,A1187}))</f>
        <v/>
      </c>
      <c r="AY1187" s="82" t="str">
        <f t="shared" si="2"/>
        <v/>
      </c>
      <c r="AZ1187" s="82"/>
      <c r="BA1187" s="84" t="s">
        <v>152</v>
      </c>
      <c r="BB1187" s="84" t="str">
        <f>IFERROR(__xludf.DUMMYFUNCTION("iferror(if(A1187="""",,E1187&gt;=FILTER(Constants!$F$2:$F$10,Constants!$A$2:$A$10=A1187)))"),"")</f>
        <v/>
      </c>
    </row>
    <row r="1188">
      <c r="A1188" s="89"/>
      <c r="B1188" s="87"/>
      <c r="C1188" s="73"/>
      <c r="D1188" s="73"/>
      <c r="E1188" s="82"/>
      <c r="F1188" s="82"/>
      <c r="G1188" s="86"/>
      <c r="H1188" s="86"/>
      <c r="I1188" s="86"/>
      <c r="J1188" s="82"/>
      <c r="K1188" s="82"/>
      <c r="L1188" s="82"/>
      <c r="M1188" s="82"/>
      <c r="N1188" s="82"/>
      <c r="O1188" s="82"/>
      <c r="P1188" s="82"/>
      <c r="Q1188" s="82"/>
      <c r="R1188" s="82"/>
      <c r="S1188" s="82"/>
      <c r="T1188" s="82"/>
      <c r="U1188" s="82"/>
      <c r="V1188" s="82"/>
      <c r="W1188" s="82"/>
      <c r="X1188" s="82"/>
      <c r="Y1188" s="82"/>
      <c r="Z1188" s="82"/>
      <c r="AA1188" s="82"/>
      <c r="AB1188" s="82"/>
      <c r="AC1188" s="82"/>
      <c r="AD1188" s="82"/>
      <c r="AE1188" s="82"/>
      <c r="AF1188" s="82"/>
      <c r="AG1188" s="82"/>
      <c r="AH1188" s="82"/>
      <c r="AI1188" s="82"/>
      <c r="AJ1188" s="82"/>
      <c r="AK1188" s="82"/>
      <c r="AL1188" s="82"/>
      <c r="AM1188" s="82"/>
      <c r="AN1188" s="82"/>
      <c r="AO1188" s="82"/>
      <c r="AP1188" s="82"/>
      <c r="AQ1188" s="82"/>
      <c r="AR1188" s="82"/>
      <c r="AS1188" s="82"/>
      <c r="AT1188" s="82"/>
      <c r="AU1188" s="82"/>
      <c r="AV1188" s="82"/>
      <c r="AW1188" s="82" t="str">
        <f t="shared" si="1"/>
        <v/>
      </c>
      <c r="AX1188" s="83" t="str">
        <f t="array" ref="AX1188">IFERROR(DGET('SBV Import'!A:G,"SBV",{"RSC ID","Tier";B1188,A1188}))</f>
        <v/>
      </c>
      <c r="AY1188" s="82" t="str">
        <f t="shared" si="2"/>
        <v/>
      </c>
      <c r="AZ1188" s="82"/>
      <c r="BA1188" s="84" t="s">
        <v>152</v>
      </c>
      <c r="BB1188" s="84" t="str">
        <f>IFERROR(__xludf.DUMMYFUNCTION("iferror(if(A1188="""",,E1188&gt;=FILTER(Constants!$F$2:$F$10,Constants!$A$2:$A$10=A1188)))"),"")</f>
        <v/>
      </c>
    </row>
    <row r="1189">
      <c r="A1189" s="89"/>
      <c r="B1189" s="87"/>
      <c r="C1189" s="73"/>
      <c r="D1189" s="73"/>
      <c r="E1189" s="82"/>
      <c r="F1189" s="82"/>
      <c r="G1189" s="86"/>
      <c r="H1189" s="86"/>
      <c r="I1189" s="86"/>
      <c r="J1189" s="82"/>
      <c r="K1189" s="82"/>
      <c r="L1189" s="82"/>
      <c r="M1189" s="82"/>
      <c r="N1189" s="82"/>
      <c r="O1189" s="82"/>
      <c r="P1189" s="82"/>
      <c r="Q1189" s="82"/>
      <c r="R1189" s="82"/>
      <c r="S1189" s="82"/>
      <c r="T1189" s="82"/>
      <c r="U1189" s="82"/>
      <c r="V1189" s="82"/>
      <c r="W1189" s="82"/>
      <c r="X1189" s="82"/>
      <c r="Y1189" s="82"/>
      <c r="Z1189" s="82"/>
      <c r="AA1189" s="82"/>
      <c r="AB1189" s="82"/>
      <c r="AC1189" s="82"/>
      <c r="AD1189" s="82"/>
      <c r="AE1189" s="82"/>
      <c r="AF1189" s="82"/>
      <c r="AG1189" s="82"/>
      <c r="AH1189" s="82"/>
      <c r="AI1189" s="82"/>
      <c r="AJ1189" s="82"/>
      <c r="AK1189" s="82"/>
      <c r="AL1189" s="82"/>
      <c r="AM1189" s="82"/>
      <c r="AN1189" s="82"/>
      <c r="AO1189" s="82"/>
      <c r="AP1189" s="82"/>
      <c r="AQ1189" s="82"/>
      <c r="AR1189" s="82"/>
      <c r="AS1189" s="82"/>
      <c r="AT1189" s="82"/>
      <c r="AU1189" s="82"/>
      <c r="AV1189" s="82"/>
      <c r="AW1189" s="82" t="str">
        <f t="shared" si="1"/>
        <v/>
      </c>
      <c r="AX1189" s="83" t="str">
        <f t="array" ref="AX1189">IFERROR(DGET('SBV Import'!A:G,"SBV",{"RSC ID","Tier";B1189,A1189}))</f>
        <v/>
      </c>
      <c r="AY1189" s="82" t="str">
        <f t="shared" si="2"/>
        <v/>
      </c>
      <c r="AZ1189" s="82"/>
      <c r="BA1189" s="84" t="s">
        <v>152</v>
      </c>
      <c r="BB1189" s="84" t="str">
        <f>IFERROR(__xludf.DUMMYFUNCTION("iferror(if(A1189="""",,E1189&gt;=FILTER(Constants!$F$2:$F$10,Constants!$A$2:$A$10=A1189)))"),"")</f>
        <v/>
      </c>
    </row>
    <row r="1190">
      <c r="A1190" s="89"/>
      <c r="B1190" s="87"/>
      <c r="C1190" s="73"/>
      <c r="D1190" s="73"/>
      <c r="E1190" s="82"/>
      <c r="F1190" s="82"/>
      <c r="G1190" s="86"/>
      <c r="H1190" s="86"/>
      <c r="I1190" s="86"/>
      <c r="J1190" s="82"/>
      <c r="K1190" s="82"/>
      <c r="L1190" s="82"/>
      <c r="M1190" s="82"/>
      <c r="N1190" s="82"/>
      <c r="O1190" s="82"/>
      <c r="P1190" s="82"/>
      <c r="Q1190" s="82"/>
      <c r="R1190" s="82"/>
      <c r="S1190" s="82"/>
      <c r="T1190" s="82"/>
      <c r="U1190" s="82"/>
      <c r="V1190" s="82"/>
      <c r="W1190" s="82"/>
      <c r="X1190" s="82"/>
      <c r="Y1190" s="82"/>
      <c r="Z1190" s="82"/>
      <c r="AA1190" s="82"/>
      <c r="AB1190" s="82"/>
      <c r="AC1190" s="82"/>
      <c r="AD1190" s="82"/>
      <c r="AE1190" s="82"/>
      <c r="AF1190" s="82"/>
      <c r="AG1190" s="82"/>
      <c r="AH1190" s="82"/>
      <c r="AI1190" s="82"/>
      <c r="AJ1190" s="82"/>
      <c r="AK1190" s="82"/>
      <c r="AL1190" s="82"/>
      <c r="AM1190" s="82"/>
      <c r="AN1190" s="82"/>
      <c r="AO1190" s="82"/>
      <c r="AP1190" s="82"/>
      <c r="AQ1190" s="82"/>
      <c r="AR1190" s="82"/>
      <c r="AS1190" s="82"/>
      <c r="AT1190" s="82"/>
      <c r="AU1190" s="82"/>
      <c r="AV1190" s="82"/>
      <c r="AW1190" s="82" t="str">
        <f t="shared" si="1"/>
        <v/>
      </c>
      <c r="AX1190" s="83" t="str">
        <f t="array" ref="AX1190">IFERROR(DGET('SBV Import'!A:G,"SBV",{"RSC ID","Tier";B1190,A1190}))</f>
        <v/>
      </c>
      <c r="AY1190" s="82" t="str">
        <f t="shared" si="2"/>
        <v/>
      </c>
      <c r="AZ1190" s="82"/>
      <c r="BA1190" s="84" t="s">
        <v>152</v>
      </c>
      <c r="BB1190" s="84" t="str">
        <f>IFERROR(__xludf.DUMMYFUNCTION("iferror(if(A1190="""",,E1190&gt;=FILTER(Constants!$F$2:$F$10,Constants!$A$2:$A$10=A1190)))"),"")</f>
        <v/>
      </c>
    </row>
    <row r="1191">
      <c r="A1191" s="89"/>
      <c r="B1191" s="87"/>
      <c r="C1191" s="73"/>
      <c r="D1191" s="73"/>
      <c r="E1191" s="82"/>
      <c r="F1191" s="82"/>
      <c r="G1191" s="86"/>
      <c r="H1191" s="86"/>
      <c r="I1191" s="86"/>
      <c r="J1191" s="82"/>
      <c r="K1191" s="82"/>
      <c r="L1191" s="82"/>
      <c r="M1191" s="82"/>
      <c r="N1191" s="82"/>
      <c r="O1191" s="82"/>
      <c r="P1191" s="82"/>
      <c r="Q1191" s="82"/>
      <c r="R1191" s="82"/>
      <c r="S1191" s="82"/>
      <c r="T1191" s="82"/>
      <c r="U1191" s="82"/>
      <c r="V1191" s="82"/>
      <c r="W1191" s="82"/>
      <c r="X1191" s="82"/>
      <c r="Y1191" s="82"/>
      <c r="Z1191" s="82"/>
      <c r="AA1191" s="82"/>
      <c r="AB1191" s="82"/>
      <c r="AC1191" s="82"/>
      <c r="AD1191" s="82"/>
      <c r="AE1191" s="82"/>
      <c r="AF1191" s="82"/>
      <c r="AG1191" s="82"/>
      <c r="AH1191" s="82"/>
      <c r="AI1191" s="82"/>
      <c r="AJ1191" s="82"/>
      <c r="AK1191" s="82"/>
      <c r="AL1191" s="82"/>
      <c r="AM1191" s="82"/>
      <c r="AN1191" s="82"/>
      <c r="AO1191" s="82"/>
      <c r="AP1191" s="82"/>
      <c r="AQ1191" s="82"/>
      <c r="AR1191" s="82"/>
      <c r="AS1191" s="82"/>
      <c r="AT1191" s="82"/>
      <c r="AU1191" s="82"/>
      <c r="AV1191" s="82"/>
      <c r="AW1191" s="82" t="str">
        <f t="shared" si="1"/>
        <v/>
      </c>
      <c r="AX1191" s="83" t="str">
        <f t="array" ref="AX1191">IFERROR(DGET('SBV Import'!A:G,"SBV",{"RSC ID","Tier";B1191,A1191}))</f>
        <v/>
      </c>
      <c r="AY1191" s="82" t="str">
        <f t="shared" si="2"/>
        <v/>
      </c>
      <c r="AZ1191" s="82"/>
      <c r="BA1191" s="84" t="s">
        <v>152</v>
      </c>
      <c r="BB1191" s="84" t="str">
        <f>IFERROR(__xludf.DUMMYFUNCTION("iferror(if(A1191="""",,E1191&gt;=FILTER(Constants!$F$2:$F$10,Constants!$A$2:$A$10=A1191)))"),"")</f>
        <v/>
      </c>
    </row>
    <row r="1192">
      <c r="A1192" s="89"/>
      <c r="B1192" s="87"/>
      <c r="C1192" s="73"/>
      <c r="D1192" s="73"/>
      <c r="E1192" s="82"/>
      <c r="F1192" s="82"/>
      <c r="G1192" s="86"/>
      <c r="H1192" s="86"/>
      <c r="I1192" s="86"/>
      <c r="J1192" s="82"/>
      <c r="K1192" s="82"/>
      <c r="L1192" s="82"/>
      <c r="M1192" s="82"/>
      <c r="N1192" s="82"/>
      <c r="O1192" s="82"/>
      <c r="P1192" s="82"/>
      <c r="Q1192" s="82"/>
      <c r="R1192" s="82"/>
      <c r="S1192" s="82"/>
      <c r="T1192" s="82"/>
      <c r="U1192" s="82"/>
      <c r="V1192" s="82"/>
      <c r="W1192" s="82"/>
      <c r="X1192" s="82"/>
      <c r="Y1192" s="82"/>
      <c r="Z1192" s="82"/>
      <c r="AA1192" s="82"/>
      <c r="AB1192" s="82"/>
      <c r="AC1192" s="82"/>
      <c r="AD1192" s="82"/>
      <c r="AE1192" s="82"/>
      <c r="AF1192" s="82"/>
      <c r="AG1192" s="82"/>
      <c r="AH1192" s="82"/>
      <c r="AI1192" s="82"/>
      <c r="AJ1192" s="82"/>
      <c r="AK1192" s="82"/>
      <c r="AL1192" s="82"/>
      <c r="AM1192" s="82"/>
      <c r="AN1192" s="82"/>
      <c r="AO1192" s="82"/>
      <c r="AP1192" s="82"/>
      <c r="AQ1192" s="82"/>
      <c r="AR1192" s="82"/>
      <c r="AS1192" s="82"/>
      <c r="AT1192" s="82"/>
      <c r="AU1192" s="82"/>
      <c r="AV1192" s="82"/>
      <c r="AW1192" s="82" t="str">
        <f t="shared" si="1"/>
        <v/>
      </c>
      <c r="AX1192" s="83" t="str">
        <f t="array" ref="AX1192">IFERROR(DGET('SBV Import'!A:G,"SBV",{"RSC ID","Tier";B1192,A1192}))</f>
        <v/>
      </c>
      <c r="AY1192" s="82" t="str">
        <f t="shared" si="2"/>
        <v/>
      </c>
      <c r="AZ1192" s="82"/>
      <c r="BA1192" s="84" t="s">
        <v>152</v>
      </c>
      <c r="BB1192" s="84" t="str">
        <f>IFERROR(__xludf.DUMMYFUNCTION("iferror(if(A1192="""",,E1192&gt;=FILTER(Constants!$F$2:$F$10,Constants!$A$2:$A$10=A1192)))"),"")</f>
        <v/>
      </c>
    </row>
    <row r="1193">
      <c r="A1193" s="89"/>
      <c r="B1193" s="87"/>
      <c r="C1193" s="73"/>
      <c r="D1193" s="73"/>
      <c r="E1193" s="82"/>
      <c r="F1193" s="82"/>
      <c r="G1193" s="86"/>
      <c r="H1193" s="86"/>
      <c r="I1193" s="86"/>
      <c r="J1193" s="82"/>
      <c r="K1193" s="82"/>
      <c r="L1193" s="82"/>
      <c r="M1193" s="82"/>
      <c r="N1193" s="82"/>
      <c r="O1193" s="82"/>
      <c r="P1193" s="82"/>
      <c r="Q1193" s="82"/>
      <c r="R1193" s="82"/>
      <c r="S1193" s="82"/>
      <c r="T1193" s="82"/>
      <c r="U1193" s="82"/>
      <c r="V1193" s="82"/>
      <c r="W1193" s="82"/>
      <c r="X1193" s="82"/>
      <c r="Y1193" s="82"/>
      <c r="Z1193" s="82"/>
      <c r="AA1193" s="82"/>
      <c r="AB1193" s="82"/>
      <c r="AC1193" s="82"/>
      <c r="AD1193" s="82"/>
      <c r="AE1193" s="82"/>
      <c r="AF1193" s="82"/>
      <c r="AG1193" s="82"/>
      <c r="AH1193" s="82"/>
      <c r="AI1193" s="82"/>
      <c r="AJ1193" s="82"/>
      <c r="AK1193" s="82"/>
      <c r="AL1193" s="82"/>
      <c r="AM1193" s="82"/>
      <c r="AN1193" s="82"/>
      <c r="AO1193" s="82"/>
      <c r="AP1193" s="82"/>
      <c r="AQ1193" s="82"/>
      <c r="AR1193" s="82"/>
      <c r="AS1193" s="82"/>
      <c r="AT1193" s="82"/>
      <c r="AU1193" s="82"/>
      <c r="AV1193" s="82"/>
      <c r="AW1193" s="82" t="str">
        <f t="shared" si="1"/>
        <v/>
      </c>
      <c r="AX1193" s="83" t="str">
        <f t="array" ref="AX1193">IFERROR(DGET('SBV Import'!A:G,"SBV",{"RSC ID","Tier";B1193,A1193}))</f>
        <v/>
      </c>
      <c r="AY1193" s="82" t="str">
        <f t="shared" si="2"/>
        <v/>
      </c>
      <c r="AZ1193" s="82"/>
      <c r="BA1193" s="84" t="s">
        <v>152</v>
      </c>
      <c r="BB1193" s="84" t="str">
        <f>IFERROR(__xludf.DUMMYFUNCTION("iferror(if(A1193="""",,E1193&gt;=FILTER(Constants!$F$2:$F$10,Constants!$A$2:$A$10=A1193)))"),"")</f>
        <v/>
      </c>
    </row>
    <row r="1194">
      <c r="A1194" s="89"/>
      <c r="B1194" s="87"/>
      <c r="C1194" s="73"/>
      <c r="D1194" s="73"/>
      <c r="E1194" s="82"/>
      <c r="F1194" s="82"/>
      <c r="G1194" s="86"/>
      <c r="H1194" s="86"/>
      <c r="I1194" s="86"/>
      <c r="J1194" s="82"/>
      <c r="K1194" s="82"/>
      <c r="L1194" s="82"/>
      <c r="M1194" s="82"/>
      <c r="N1194" s="82"/>
      <c r="O1194" s="82"/>
      <c r="P1194" s="82"/>
      <c r="Q1194" s="82"/>
      <c r="R1194" s="82"/>
      <c r="S1194" s="82"/>
      <c r="T1194" s="82"/>
      <c r="U1194" s="82"/>
      <c r="V1194" s="82"/>
      <c r="W1194" s="82"/>
      <c r="X1194" s="82"/>
      <c r="Y1194" s="82"/>
      <c r="Z1194" s="82"/>
      <c r="AA1194" s="82"/>
      <c r="AB1194" s="82"/>
      <c r="AC1194" s="82"/>
      <c r="AD1194" s="82"/>
      <c r="AE1194" s="82"/>
      <c r="AF1194" s="82"/>
      <c r="AG1194" s="82"/>
      <c r="AH1194" s="82"/>
      <c r="AI1194" s="82"/>
      <c r="AJ1194" s="82"/>
      <c r="AK1194" s="82"/>
      <c r="AL1194" s="82"/>
      <c r="AM1194" s="82"/>
      <c r="AN1194" s="82"/>
      <c r="AO1194" s="82"/>
      <c r="AP1194" s="82"/>
      <c r="AQ1194" s="82"/>
      <c r="AR1194" s="82"/>
      <c r="AS1194" s="82"/>
      <c r="AT1194" s="82"/>
      <c r="AU1194" s="82"/>
      <c r="AV1194" s="82"/>
      <c r="AW1194" s="82" t="str">
        <f t="shared" si="1"/>
        <v/>
      </c>
      <c r="AX1194" s="83" t="str">
        <f t="array" ref="AX1194">IFERROR(DGET('SBV Import'!A:G,"SBV",{"RSC ID","Tier";B1194,A1194}))</f>
        <v/>
      </c>
      <c r="AY1194" s="82" t="str">
        <f t="shared" si="2"/>
        <v/>
      </c>
      <c r="AZ1194" s="82"/>
      <c r="BA1194" s="84" t="s">
        <v>152</v>
      </c>
      <c r="BB1194" s="84" t="str">
        <f>IFERROR(__xludf.DUMMYFUNCTION("iferror(if(A1194="""",,E1194&gt;=FILTER(Constants!$F$2:$F$10,Constants!$A$2:$A$10=A1194)))"),"")</f>
        <v/>
      </c>
    </row>
    <row r="1195">
      <c r="A1195" s="89"/>
      <c r="B1195" s="87"/>
      <c r="C1195" s="73"/>
      <c r="D1195" s="73"/>
      <c r="E1195" s="82"/>
      <c r="F1195" s="82"/>
      <c r="G1195" s="86"/>
      <c r="H1195" s="86"/>
      <c r="I1195" s="86"/>
      <c r="J1195" s="82"/>
      <c r="K1195" s="82"/>
      <c r="L1195" s="82"/>
      <c r="M1195" s="82"/>
      <c r="N1195" s="82"/>
      <c r="O1195" s="82"/>
      <c r="P1195" s="82"/>
      <c r="Q1195" s="82"/>
      <c r="R1195" s="82"/>
      <c r="S1195" s="82"/>
      <c r="T1195" s="82"/>
      <c r="U1195" s="82"/>
      <c r="V1195" s="82"/>
      <c r="W1195" s="82"/>
      <c r="X1195" s="82"/>
      <c r="Y1195" s="82"/>
      <c r="Z1195" s="82"/>
      <c r="AA1195" s="82"/>
      <c r="AB1195" s="82"/>
      <c r="AC1195" s="82"/>
      <c r="AD1195" s="82"/>
      <c r="AE1195" s="82"/>
      <c r="AF1195" s="82"/>
      <c r="AG1195" s="82"/>
      <c r="AH1195" s="82"/>
      <c r="AI1195" s="82"/>
      <c r="AJ1195" s="82"/>
      <c r="AK1195" s="82"/>
      <c r="AL1195" s="82"/>
      <c r="AM1195" s="82"/>
      <c r="AN1195" s="82"/>
      <c r="AO1195" s="82"/>
      <c r="AP1195" s="82"/>
      <c r="AQ1195" s="82"/>
      <c r="AR1195" s="82"/>
      <c r="AS1195" s="82"/>
      <c r="AT1195" s="82"/>
      <c r="AU1195" s="82"/>
      <c r="AV1195" s="82"/>
      <c r="AW1195" s="82" t="str">
        <f t="shared" si="1"/>
        <v/>
      </c>
      <c r="AX1195" s="83" t="str">
        <f t="array" ref="AX1195">IFERROR(DGET('SBV Import'!A:G,"SBV",{"RSC ID","Tier";B1195,A1195}))</f>
        <v/>
      </c>
      <c r="AY1195" s="82" t="str">
        <f t="shared" si="2"/>
        <v/>
      </c>
      <c r="AZ1195" s="82"/>
      <c r="BA1195" s="84" t="s">
        <v>152</v>
      </c>
      <c r="BB1195" s="84" t="str">
        <f>IFERROR(__xludf.DUMMYFUNCTION("iferror(if(A1195="""",,E1195&gt;=FILTER(Constants!$F$2:$F$10,Constants!$A$2:$A$10=A1195)))"),"")</f>
        <v/>
      </c>
    </row>
    <row r="1196">
      <c r="A1196" s="89"/>
      <c r="B1196" s="87"/>
      <c r="C1196" s="73"/>
      <c r="D1196" s="73"/>
      <c r="E1196" s="82"/>
      <c r="F1196" s="82"/>
      <c r="G1196" s="86"/>
      <c r="H1196" s="86"/>
      <c r="I1196" s="86"/>
      <c r="J1196" s="82"/>
      <c r="K1196" s="82"/>
      <c r="L1196" s="82"/>
      <c r="M1196" s="82"/>
      <c r="N1196" s="82"/>
      <c r="O1196" s="82"/>
      <c r="P1196" s="82"/>
      <c r="Q1196" s="82"/>
      <c r="R1196" s="82"/>
      <c r="S1196" s="82"/>
      <c r="T1196" s="82"/>
      <c r="U1196" s="82"/>
      <c r="V1196" s="82"/>
      <c r="W1196" s="82"/>
      <c r="X1196" s="82"/>
      <c r="Y1196" s="82"/>
      <c r="Z1196" s="82"/>
      <c r="AA1196" s="82"/>
      <c r="AB1196" s="82"/>
      <c r="AC1196" s="82"/>
      <c r="AD1196" s="82"/>
      <c r="AE1196" s="82"/>
      <c r="AF1196" s="82"/>
      <c r="AG1196" s="82"/>
      <c r="AH1196" s="82"/>
      <c r="AI1196" s="82"/>
      <c r="AJ1196" s="82"/>
      <c r="AK1196" s="82"/>
      <c r="AL1196" s="82"/>
      <c r="AM1196" s="82"/>
      <c r="AN1196" s="82"/>
      <c r="AO1196" s="82"/>
      <c r="AP1196" s="82"/>
      <c r="AQ1196" s="82"/>
      <c r="AR1196" s="82"/>
      <c r="AS1196" s="82"/>
      <c r="AT1196" s="82"/>
      <c r="AU1196" s="82"/>
      <c r="AV1196" s="82"/>
      <c r="AW1196" s="82" t="str">
        <f t="shared" si="1"/>
        <v/>
      </c>
      <c r="AX1196" s="83" t="str">
        <f t="array" ref="AX1196">IFERROR(DGET('SBV Import'!A:G,"SBV",{"RSC ID","Tier";B1196,A1196}))</f>
        <v/>
      </c>
      <c r="AY1196" s="82" t="str">
        <f t="shared" si="2"/>
        <v/>
      </c>
      <c r="AZ1196" s="82"/>
      <c r="BA1196" s="84" t="s">
        <v>152</v>
      </c>
      <c r="BB1196" s="84" t="str">
        <f>IFERROR(__xludf.DUMMYFUNCTION("iferror(if(A1196="""",,E1196&gt;=FILTER(Constants!$F$2:$F$10,Constants!$A$2:$A$10=A1196)))"),"")</f>
        <v/>
      </c>
    </row>
    <row r="1197">
      <c r="A1197" s="89"/>
      <c r="B1197" s="87"/>
      <c r="C1197" s="73"/>
      <c r="D1197" s="73"/>
      <c r="E1197" s="82"/>
      <c r="F1197" s="82"/>
      <c r="G1197" s="86"/>
      <c r="H1197" s="86"/>
      <c r="I1197" s="86"/>
      <c r="J1197" s="82"/>
      <c r="K1197" s="82"/>
      <c r="L1197" s="82"/>
      <c r="M1197" s="82"/>
      <c r="N1197" s="82"/>
      <c r="O1197" s="82"/>
      <c r="P1197" s="82"/>
      <c r="Q1197" s="82"/>
      <c r="R1197" s="82"/>
      <c r="S1197" s="82"/>
      <c r="T1197" s="82"/>
      <c r="U1197" s="82"/>
      <c r="V1197" s="82"/>
      <c r="W1197" s="82"/>
      <c r="X1197" s="82"/>
      <c r="Y1197" s="82"/>
      <c r="Z1197" s="82"/>
      <c r="AA1197" s="82"/>
      <c r="AB1197" s="82"/>
      <c r="AC1197" s="82"/>
      <c r="AD1197" s="82"/>
      <c r="AE1197" s="82"/>
      <c r="AF1197" s="82"/>
      <c r="AG1197" s="82"/>
      <c r="AH1197" s="82"/>
      <c r="AI1197" s="82"/>
      <c r="AJ1197" s="82"/>
      <c r="AK1197" s="82"/>
      <c r="AL1197" s="82"/>
      <c r="AM1197" s="82"/>
      <c r="AN1197" s="82"/>
      <c r="AO1197" s="82"/>
      <c r="AP1197" s="82"/>
      <c r="AQ1197" s="82"/>
      <c r="AR1197" s="82"/>
      <c r="AS1197" s="82"/>
      <c r="AT1197" s="82"/>
      <c r="AU1197" s="82"/>
      <c r="AV1197" s="82"/>
      <c r="AW1197" s="82" t="str">
        <f t="shared" si="1"/>
        <v/>
      </c>
      <c r="AX1197" s="83" t="str">
        <f t="array" ref="AX1197">IFERROR(DGET('SBV Import'!A:G,"SBV",{"RSC ID","Tier";B1197,A1197}))</f>
        <v/>
      </c>
      <c r="AY1197" s="82" t="str">
        <f t="shared" si="2"/>
        <v/>
      </c>
      <c r="AZ1197" s="82"/>
      <c r="BA1197" s="84" t="s">
        <v>152</v>
      </c>
      <c r="BB1197" s="84" t="str">
        <f>IFERROR(__xludf.DUMMYFUNCTION("iferror(if(A1197="""",,E1197&gt;=FILTER(Constants!$F$2:$F$10,Constants!$A$2:$A$10=A1197)))"),"")</f>
        <v/>
      </c>
    </row>
    <row r="1198">
      <c r="A1198" s="89"/>
      <c r="B1198" s="87"/>
      <c r="C1198" s="73"/>
      <c r="D1198" s="73"/>
      <c r="E1198" s="82"/>
      <c r="F1198" s="82"/>
      <c r="G1198" s="86"/>
      <c r="H1198" s="86"/>
      <c r="I1198" s="86"/>
      <c r="J1198" s="82"/>
      <c r="K1198" s="82"/>
      <c r="L1198" s="82"/>
      <c r="M1198" s="82"/>
      <c r="N1198" s="82"/>
      <c r="O1198" s="82"/>
      <c r="P1198" s="82"/>
      <c r="Q1198" s="82"/>
      <c r="R1198" s="82"/>
      <c r="S1198" s="82"/>
      <c r="T1198" s="82"/>
      <c r="U1198" s="82"/>
      <c r="V1198" s="82"/>
      <c r="W1198" s="82"/>
      <c r="X1198" s="82"/>
      <c r="Y1198" s="82"/>
      <c r="Z1198" s="82"/>
      <c r="AA1198" s="82"/>
      <c r="AB1198" s="82"/>
      <c r="AC1198" s="82"/>
      <c r="AD1198" s="82"/>
      <c r="AE1198" s="82"/>
      <c r="AF1198" s="82"/>
      <c r="AG1198" s="82"/>
      <c r="AH1198" s="82"/>
      <c r="AI1198" s="82"/>
      <c r="AJ1198" s="82"/>
      <c r="AK1198" s="82"/>
      <c r="AL1198" s="82"/>
      <c r="AM1198" s="82"/>
      <c r="AN1198" s="82"/>
      <c r="AO1198" s="82"/>
      <c r="AP1198" s="82"/>
      <c r="AQ1198" s="82"/>
      <c r="AR1198" s="82"/>
      <c r="AS1198" s="82"/>
      <c r="AT1198" s="82"/>
      <c r="AU1198" s="82"/>
      <c r="AV1198" s="82"/>
      <c r="AW1198" s="82" t="str">
        <f t="shared" si="1"/>
        <v/>
      </c>
      <c r="AX1198" s="83" t="str">
        <f t="array" ref="AX1198">IFERROR(DGET('SBV Import'!A:G,"SBV",{"RSC ID","Tier";B1198,A1198}))</f>
        <v/>
      </c>
      <c r="AY1198" s="82" t="str">
        <f t="shared" si="2"/>
        <v/>
      </c>
      <c r="AZ1198" s="82"/>
      <c r="BA1198" s="84" t="s">
        <v>152</v>
      </c>
      <c r="BB1198" s="84" t="str">
        <f>IFERROR(__xludf.DUMMYFUNCTION("iferror(if(A1198="""",,E1198&gt;=FILTER(Constants!$F$2:$F$10,Constants!$A$2:$A$10=A1198)))"),"")</f>
        <v/>
      </c>
    </row>
    <row r="1199">
      <c r="A1199" s="89"/>
      <c r="B1199" s="87"/>
      <c r="C1199" s="73"/>
      <c r="D1199" s="73"/>
      <c r="E1199" s="82"/>
      <c r="F1199" s="82"/>
      <c r="G1199" s="86"/>
      <c r="H1199" s="86"/>
      <c r="I1199" s="86"/>
      <c r="J1199" s="82"/>
      <c r="K1199" s="82"/>
      <c r="L1199" s="82"/>
      <c r="M1199" s="82"/>
      <c r="N1199" s="82"/>
      <c r="O1199" s="82"/>
      <c r="P1199" s="82"/>
      <c r="Q1199" s="82"/>
      <c r="R1199" s="82"/>
      <c r="S1199" s="82"/>
      <c r="T1199" s="82"/>
      <c r="U1199" s="82"/>
      <c r="V1199" s="82"/>
      <c r="W1199" s="82"/>
      <c r="X1199" s="82"/>
      <c r="Y1199" s="82"/>
      <c r="Z1199" s="82"/>
      <c r="AA1199" s="82"/>
      <c r="AB1199" s="82"/>
      <c r="AC1199" s="82"/>
      <c r="AD1199" s="82"/>
      <c r="AE1199" s="82"/>
      <c r="AF1199" s="82"/>
      <c r="AG1199" s="82"/>
      <c r="AH1199" s="82"/>
      <c r="AI1199" s="82"/>
      <c r="AJ1199" s="82"/>
      <c r="AK1199" s="82"/>
      <c r="AL1199" s="82"/>
      <c r="AM1199" s="82"/>
      <c r="AN1199" s="82"/>
      <c r="AO1199" s="82"/>
      <c r="AP1199" s="82"/>
      <c r="AQ1199" s="82"/>
      <c r="AR1199" s="82"/>
      <c r="AS1199" s="82"/>
      <c r="AT1199" s="82"/>
      <c r="AU1199" s="82"/>
      <c r="AV1199" s="82"/>
      <c r="AW1199" s="82" t="str">
        <f t="shared" si="1"/>
        <v/>
      </c>
      <c r="AX1199" s="83" t="str">
        <f t="array" ref="AX1199">IFERROR(DGET('SBV Import'!A:G,"SBV",{"RSC ID","Tier";B1199,A1199}))</f>
        <v/>
      </c>
      <c r="AY1199" s="82" t="str">
        <f t="shared" si="2"/>
        <v/>
      </c>
      <c r="AZ1199" s="82"/>
      <c r="BA1199" s="84" t="s">
        <v>152</v>
      </c>
      <c r="BB1199" s="84" t="str">
        <f>IFERROR(__xludf.DUMMYFUNCTION("iferror(if(A1199="""",,E1199&gt;=FILTER(Constants!$F$2:$F$10,Constants!$A$2:$A$10=A1199)))"),"")</f>
        <v/>
      </c>
    </row>
    <row r="1200">
      <c r="A1200" s="90" t="str">
        <f>IFERROR(__xludf.DUMMYFUNCTION("QUERY(IMPORTRANGE(Constants!$B5, ""'Player Stats'!a2:AV""), ""Select * order by Col48 desc"")"),"Veteran")</f>
        <v>Veteran</v>
      </c>
      <c r="B1200" s="87" t="str">
        <f>IFERROR(__xludf.DUMMYFUNCTION("""COMPUTED_VALUE"""),"RSC004313")</f>
        <v>RSC004313</v>
      </c>
      <c r="C1200" s="73" t="str">
        <f>IFERROR(__xludf.DUMMYFUNCTION("""COMPUTED_VALUE"""),"Causing .")</f>
        <v>Causing .</v>
      </c>
      <c r="D1200" s="73" t="str">
        <f>IFERROR(__xludf.DUMMYFUNCTION("""COMPUTED_VALUE"""),"Dog Fighters")</f>
        <v>Dog Fighters</v>
      </c>
      <c r="E1200" s="82">
        <f>IFERROR(__xludf.DUMMYFUNCTION("""COMPUTED_VALUE"""),8.0)</f>
        <v>8</v>
      </c>
      <c r="F1200" s="82">
        <f>IFERROR(__xludf.DUMMYFUNCTION("""COMPUTED_VALUE"""),4.0)</f>
        <v>4</v>
      </c>
      <c r="G1200" s="86">
        <f>IFERROR(__xludf.DUMMYFUNCTION("""COMPUTED_VALUE"""),4.0)</f>
        <v>4</v>
      </c>
      <c r="H1200" s="86">
        <f>IFERROR(__xludf.DUMMYFUNCTION("""COMPUTED_VALUE"""),0.5)</f>
        <v>0.5</v>
      </c>
      <c r="I1200" s="86">
        <f>IFERROR(__xludf.DUMMYFUNCTION("""COMPUTED_VALUE"""),0.45161290322580644)</f>
        <v>0.4516129032</v>
      </c>
      <c r="J1200" s="82">
        <f>IFERROR(__xludf.DUMMYFUNCTION("""COMPUTED_VALUE"""),491.375)</f>
        <v>491.375</v>
      </c>
      <c r="K1200" s="82">
        <f>IFERROR(__xludf.DUMMYFUNCTION("""COMPUTED_VALUE"""),1.75)</f>
        <v>1.75</v>
      </c>
      <c r="L1200" s="82">
        <f>IFERROR(__xludf.DUMMYFUNCTION("""COMPUTED_VALUE"""),0.25)</f>
        <v>0.25</v>
      </c>
      <c r="M1200" s="82">
        <f>IFERROR(__xludf.DUMMYFUNCTION("""COMPUTED_VALUE"""),1.75)</f>
        <v>1.75</v>
      </c>
      <c r="N1200" s="82">
        <f>IFERROR(__xludf.DUMMYFUNCTION("""COMPUTED_VALUE"""),3.875)</f>
        <v>3.875</v>
      </c>
      <c r="O1200" s="82">
        <f>IFERROR(__xludf.DUMMYFUNCTION("""COMPUTED_VALUE"""),346.99999999999994)</f>
        <v>347</v>
      </c>
      <c r="P1200" s="82">
        <f>IFERROR(__xludf.DUMMYFUNCTION("""COMPUTED_VALUE"""),0.6666666666666667)</f>
        <v>0.6666666667</v>
      </c>
      <c r="Q1200" s="82">
        <f>IFERROR(__xludf.DUMMYFUNCTION("""COMPUTED_VALUE"""),0.5833333333333334)</f>
        <v>0.5833333333</v>
      </c>
      <c r="R1200" s="82">
        <f>IFERROR(__xludf.DUMMYFUNCTION("""COMPUTED_VALUE"""),1.4583333333333335)</f>
        <v>1.458333333</v>
      </c>
      <c r="S1200" s="82">
        <f>IFERROR(__xludf.DUMMYFUNCTION("""COMPUTED_VALUE"""),2.833333333333333)</f>
        <v>2.833333333</v>
      </c>
      <c r="T1200" s="82">
        <f>IFERROR(__xludf.DUMMYFUNCTION("""COMPUTED_VALUE"""),350.3542008757526)</f>
        <v>350.3542009</v>
      </c>
      <c r="U1200" s="82">
        <f>IFERROR(__xludf.DUMMYFUNCTION("""COMPUTED_VALUE"""),0.6596538040503558)</f>
        <v>0.6596538041</v>
      </c>
      <c r="V1200" s="82">
        <f>IFERROR(__xludf.DUMMYFUNCTION("""COMPUTED_VALUE"""),0.6185772441160372)</f>
        <v>0.6185772441</v>
      </c>
      <c r="W1200" s="82">
        <f>IFERROR(__xludf.DUMMYFUNCTION("""COMPUTED_VALUE"""),1.4575037629994525)</f>
        <v>1.457503763</v>
      </c>
      <c r="X1200" s="82">
        <f>IFERROR(__xludf.DUMMYFUNCTION("""COMPUTED_VALUE"""),2.522492474001094)</f>
        <v>2.522492474</v>
      </c>
      <c r="Y1200" s="82">
        <f>IFERROR(__xludf.DUMMYFUNCTION("""COMPUTED_VALUE"""),363.8947044334975)</f>
        <v>363.8947044</v>
      </c>
      <c r="Z1200" s="82">
        <f>IFERROR(__xludf.DUMMYFUNCTION("""COMPUTED_VALUE"""),0.8325208675424193)</f>
        <v>0.8325208675</v>
      </c>
      <c r="AA1200" s="82">
        <f>IFERROR(__xludf.DUMMYFUNCTION("""COMPUTED_VALUE"""),0.6376402572523262)</f>
        <v>0.6376402573</v>
      </c>
      <c r="AB1200" s="82">
        <f>IFERROR(__xludf.DUMMYFUNCTION("""COMPUTED_VALUE"""),1.3639105546433135)</f>
        <v>1.363910555</v>
      </c>
      <c r="AC1200" s="82">
        <f>IFERROR(__xludf.DUMMYFUNCTION("""COMPUTED_VALUE"""),2.83932562488597)</f>
        <v>2.839325625</v>
      </c>
      <c r="AD1200" s="82">
        <f>IFERROR(__xludf.DUMMYFUNCTION("""COMPUTED_VALUE"""),1.3503219310788288)</f>
        <v>1.350321931</v>
      </c>
      <c r="AE1200" s="82">
        <f>IFERROR(__xludf.DUMMYFUNCTION("""COMPUTED_VALUE"""),2.1020494118855617)</f>
        <v>2.102049412</v>
      </c>
      <c r="AF1200" s="82">
        <f>IFERROR(__xludf.DUMMYFUNCTION("""COMPUTED_VALUE"""),0.3920706027522198)</f>
        <v>0.3920706028</v>
      </c>
      <c r="AG1200" s="82">
        <f>IFERROR(__xludf.DUMMYFUNCTION("""COMPUTED_VALUE"""),1.283075341005522)</f>
        <v>1.283075341</v>
      </c>
      <c r="AH1200" s="82">
        <f>IFERROR(__xludf.DUMMYFUNCTION("""COMPUTED_VALUE"""),1.3647606903683769)</f>
        <v>1.36476069</v>
      </c>
      <c r="AI1200" s="82">
        <f>IFERROR(__xludf.DUMMYFUNCTION("""COMPUTED_VALUE"""),0.9904262575777073)</f>
        <v>0.9904262576</v>
      </c>
      <c r="AJ1200" s="82">
        <f>IFERROR(__xludf.DUMMYFUNCTION("""COMPUTED_VALUE"""),1.0106311258621585)</f>
        <v>1.010631126</v>
      </c>
      <c r="AK1200" s="82">
        <f>IFERROR(__xludf.DUMMYFUNCTION("""COMPUTED_VALUE"""),0.9430242364749962)</f>
        <v>0.9430242365</v>
      </c>
      <c r="AL1200" s="82">
        <f>IFERROR(__xludf.DUMMYFUNCTION("""COMPUTED_VALUE"""),1.000569172001432)</f>
        <v>1.000569172</v>
      </c>
      <c r="AM1200" s="82">
        <f>IFERROR(__xludf.DUMMYFUNCTION("""COMPUTED_VALUE"""),1.123227665706052)</f>
        <v>1.123227666</v>
      </c>
      <c r="AN1200" s="82">
        <f>IFERROR(__xludf.DUMMYFUNCTION("""COMPUTED_VALUE"""),1.423131503677995)</f>
        <v>1.423131504</v>
      </c>
      <c r="AO1200" s="82">
        <f>IFERROR(__xludf.DUMMYFUNCTION("""COMPUTED_VALUE"""),2.319887947399298)</f>
        <v>2.319887947</v>
      </c>
      <c r="AP1200" s="82">
        <f>IFERROR(__xludf.DUMMYFUNCTION("""COMPUTED_VALUE"""),0.4636278305750496)</f>
        <v>0.4636278306</v>
      </c>
      <c r="AQ1200" s="82">
        <f>IFERROR(__xludf.DUMMYFUNCTION("""COMPUTED_VALUE"""),1.2956785858562023)</f>
        <v>1.295678586</v>
      </c>
      <c r="AR1200" s="82">
        <f>IFERROR(__xludf.DUMMYFUNCTION("""COMPUTED_VALUE"""),1.5132688951780817)</f>
        <v>1.513268895</v>
      </c>
      <c r="AS1200" s="82">
        <f>IFERROR(__xludf.DUMMYFUNCTION("""COMPUTED_VALUE"""),22.0)</f>
        <v>22</v>
      </c>
      <c r="AT1200" s="82">
        <f>IFERROR(__xludf.DUMMYFUNCTION("""COMPUTED_VALUE"""),0.621996775490901)</f>
        <v>0.6219967755</v>
      </c>
      <c r="AU1200" s="82">
        <f>IFERROR(__xludf.DUMMYFUNCTION("""COMPUTED_VALUE"""),3.9502699641570156)</f>
        <v>3.950269964</v>
      </c>
      <c r="AV1200" s="82">
        <f>IFERROR(__xludf.DUMMYFUNCTION("""COMPUTED_VALUE"""),98.95273995662478)</f>
        <v>98.95273996</v>
      </c>
      <c r="AW1200" s="82">
        <f t="shared" si="1"/>
        <v>39.82702824</v>
      </c>
      <c r="AX1200" s="83">
        <f t="array" ref="AX1200">IFERROR(DGET('SBV Import'!A:G,"SBV",{"RSC ID","Tier";B1200,A1200}))</f>
        <v>79.23999454</v>
      </c>
      <c r="AY1200" s="82">
        <f t="shared" si="2"/>
        <v>8.258931877</v>
      </c>
      <c r="AZ1200" s="82">
        <v>31.56809636528446</v>
      </c>
      <c r="BA1200" s="84">
        <v>1200.0</v>
      </c>
      <c r="BB1200" s="84" t="b">
        <f>IFERROR(__xludf.DUMMYFUNCTION("iferror(if(A1200="""",,E1200&gt;=FILTER(Constants!$F$2:$F$10,Constants!$A$2:$A$10=A1200)))"),TRUE)</f>
        <v>1</v>
      </c>
    </row>
    <row r="1201">
      <c r="A1201" s="89" t="str">
        <f>IFERROR(__xludf.DUMMYFUNCTION("""COMPUTED_VALUE"""),"Veteran")</f>
        <v>Veteran</v>
      </c>
      <c r="B1201" s="87" t="str">
        <f>IFERROR(__xludf.DUMMYFUNCTION("""COMPUTED_VALUE"""),"RSC006945")</f>
        <v>RSC006945</v>
      </c>
      <c r="C1201" s="73" t="str">
        <f>IFERROR(__xludf.DUMMYFUNCTION("""COMPUTED_VALUE"""),"nuummite")</f>
        <v>nuummite</v>
      </c>
      <c r="D1201" s="73" t="str">
        <f>IFERROR(__xludf.DUMMYFUNCTION("""COMPUTED_VALUE"""),"Paradox Paloma")</f>
        <v>Paradox Paloma</v>
      </c>
      <c r="E1201" s="82">
        <f>IFERROR(__xludf.DUMMYFUNCTION("""COMPUTED_VALUE"""),36.0)</f>
        <v>36</v>
      </c>
      <c r="F1201" s="82">
        <f>IFERROR(__xludf.DUMMYFUNCTION("""COMPUTED_VALUE"""),25.0)</f>
        <v>25</v>
      </c>
      <c r="G1201" s="86">
        <f>IFERROR(__xludf.DUMMYFUNCTION("""COMPUTED_VALUE"""),11.0)</f>
        <v>11</v>
      </c>
      <c r="H1201" s="86">
        <f>IFERROR(__xludf.DUMMYFUNCTION("""COMPUTED_VALUE"""),0.6944444444444444)</f>
        <v>0.6944444444</v>
      </c>
      <c r="I1201" s="86">
        <f>IFERROR(__xludf.DUMMYFUNCTION("""COMPUTED_VALUE"""),0.33587786259541985)</f>
        <v>0.3358778626</v>
      </c>
      <c r="J1201" s="82">
        <f>IFERROR(__xludf.DUMMYFUNCTION("""COMPUTED_VALUE"""),414.77777777777777)</f>
        <v>414.7777778</v>
      </c>
      <c r="K1201" s="82">
        <f>IFERROR(__xludf.DUMMYFUNCTION("""COMPUTED_VALUE"""),1.2222222222222223)</f>
        <v>1.222222222</v>
      </c>
      <c r="L1201" s="82">
        <f>IFERROR(__xludf.DUMMYFUNCTION("""COMPUTED_VALUE"""),0.7777777777777778)</f>
        <v>0.7777777778</v>
      </c>
      <c r="M1201" s="82">
        <f>IFERROR(__xludf.DUMMYFUNCTION("""COMPUTED_VALUE"""),1.0277777777777777)</f>
        <v>1.027777778</v>
      </c>
      <c r="N1201" s="82">
        <f>IFERROR(__xludf.DUMMYFUNCTION("""COMPUTED_VALUE"""),3.638888888888889)</f>
        <v>3.638888889</v>
      </c>
      <c r="O1201" s="82">
        <f>IFERROR(__xludf.DUMMYFUNCTION("""COMPUTED_VALUE"""),353.55555555555543)</f>
        <v>353.5555556</v>
      </c>
      <c r="P1201" s="82">
        <f>IFERROR(__xludf.DUMMYFUNCTION("""COMPUTED_VALUE"""),0.6666666666666666)</f>
        <v>0.6666666667</v>
      </c>
      <c r="Q1201" s="82">
        <f>IFERROR(__xludf.DUMMYFUNCTION("""COMPUTED_VALUE"""),0.537037037037037)</f>
        <v>0.537037037</v>
      </c>
      <c r="R1201" s="82">
        <f>IFERROR(__xludf.DUMMYFUNCTION("""COMPUTED_VALUE"""),1.6388888888888888)</f>
        <v>1.638888889</v>
      </c>
      <c r="S1201" s="82">
        <f>IFERROR(__xludf.DUMMYFUNCTION("""COMPUTED_VALUE"""),2.314814814814815)</f>
        <v>2.314814815</v>
      </c>
      <c r="T1201" s="82">
        <f>IFERROR(__xludf.DUMMYFUNCTION("""COMPUTED_VALUE"""),356.6773735992172)</f>
        <v>356.6773736</v>
      </c>
      <c r="U1201" s="82">
        <f>IFERROR(__xludf.DUMMYFUNCTION("""COMPUTED_VALUE"""),0.7834444227796006)</f>
        <v>0.7834444228</v>
      </c>
      <c r="V1201" s="82">
        <f>IFERROR(__xludf.DUMMYFUNCTION("""COMPUTED_VALUE"""),0.5909854956669809)</f>
        <v>0.5909854957</v>
      </c>
      <c r="W1201" s="82">
        <f>IFERROR(__xludf.DUMMYFUNCTION("""COMPUTED_VALUE"""),1.3816257503361167)</f>
        <v>1.38162575</v>
      </c>
      <c r="X1201" s="82">
        <f>IFERROR(__xludf.DUMMYFUNCTION("""COMPUTED_VALUE"""),2.5680574072793028)</f>
        <v>2.568057407</v>
      </c>
      <c r="Y1201" s="82">
        <f>IFERROR(__xludf.DUMMYFUNCTION("""COMPUTED_VALUE"""),359.8913447731154)</f>
        <v>359.8913448</v>
      </c>
      <c r="Z1201" s="82">
        <f>IFERROR(__xludf.DUMMYFUNCTION("""COMPUTED_VALUE"""),0.8442700498792658)</f>
        <v>0.8442700499</v>
      </c>
      <c r="AA1201" s="82">
        <f>IFERROR(__xludf.DUMMYFUNCTION("""COMPUTED_VALUE"""),0.6191970952244515)</f>
        <v>0.6191970952</v>
      </c>
      <c r="AB1201" s="82">
        <f>IFERROR(__xludf.DUMMYFUNCTION("""COMPUTED_VALUE"""),1.3137622281200854)</f>
        <v>1.313762228</v>
      </c>
      <c r="AC1201" s="82">
        <f>IFERROR(__xludf.DUMMYFUNCTION("""COMPUTED_VALUE"""),2.6831236444351174)</f>
        <v>2.683123644</v>
      </c>
      <c r="AD1201" s="82">
        <f>IFERROR(__xludf.DUMMYFUNCTION("""COMPUTED_VALUE"""),1.1525083439816097)</f>
        <v>1.152508344</v>
      </c>
      <c r="AE1201" s="82">
        <f>IFERROR(__xludf.DUMMYFUNCTION("""COMPUTED_VALUE"""),1.4476673931486794)</f>
        <v>1.447667393</v>
      </c>
      <c r="AF1201" s="82">
        <f>IFERROR(__xludf.DUMMYFUNCTION("""COMPUTED_VALUE"""),1.2561069549201336)</f>
        <v>1.256106955</v>
      </c>
      <c r="AG1201" s="82">
        <f>IFERROR(__xludf.DUMMYFUNCTION("""COMPUTED_VALUE"""),0.7823164312224639)</f>
        <v>0.7823164312</v>
      </c>
      <c r="AH1201" s="82">
        <f>IFERROR(__xludf.DUMMYFUNCTION("""COMPUTED_VALUE"""),1.356213641676953)</f>
        <v>1.356213642</v>
      </c>
      <c r="AI1201" s="82">
        <f>IFERROR(__xludf.DUMMYFUNCTION("""COMPUTED_VALUE"""),0.9912475018749868)</f>
        <v>0.9912475019</v>
      </c>
      <c r="AJ1201" s="82">
        <f>IFERROR(__xludf.DUMMYFUNCTION("""COMPUTED_VALUE"""),0.8509431521656438)</f>
        <v>0.8509431522</v>
      </c>
      <c r="AK1201" s="82">
        <f>IFERROR(__xludf.DUMMYFUNCTION("""COMPUTED_VALUE"""),0.9087144117317835)</f>
        <v>0.9087144117</v>
      </c>
      <c r="AL1201" s="82">
        <f>IFERROR(__xludf.DUMMYFUNCTION("""COMPUTED_VALUE"""),1.1862032019091902)</f>
        <v>1.186203202</v>
      </c>
      <c r="AM1201" s="82">
        <f>IFERROR(__xludf.DUMMYFUNCTION("""COMPUTED_VALUE"""),0.901387487777081)</f>
        <v>0.9013874878</v>
      </c>
      <c r="AN1201" s="82">
        <f>IFERROR(__xludf.DUMMYFUNCTION("""COMPUTED_VALUE"""),1.2012888783131135)</f>
        <v>1.201288878</v>
      </c>
      <c r="AO1201" s="82">
        <f>IFERROR(__xludf.DUMMYFUNCTION("""COMPUTED_VALUE"""),1.62023920135824)</f>
        <v>1.620239201</v>
      </c>
      <c r="AP1201" s="82">
        <f>IFERROR(__xludf.DUMMYFUNCTION("""COMPUTED_VALUE"""),1.4423976951223765)</f>
        <v>1.442397695</v>
      </c>
      <c r="AQ1201" s="82">
        <f>IFERROR(__xludf.DUMMYFUNCTION("""COMPUTED_VALUE"""),0.7609540901060236)</f>
        <v>0.7609540901</v>
      </c>
      <c r="AR1201" s="82">
        <f>IFERROR(__xludf.DUMMYFUNCTION("""COMPUTED_VALUE"""),1.4210625467263707)</f>
        <v>1.421062547</v>
      </c>
      <c r="AS1201" s="82">
        <f>IFERROR(__xludf.DUMMYFUNCTION("""COMPUTED_VALUE"""),100.0)</f>
        <v>100</v>
      </c>
      <c r="AT1201" s="82">
        <f>IFERROR(__xludf.DUMMYFUNCTION("""COMPUTED_VALUE"""),0.6258866470431661)</f>
        <v>0.625886647</v>
      </c>
      <c r="AU1201" s="82">
        <f>IFERROR(__xludf.DUMMYFUNCTION("""COMPUTED_VALUE"""),3.8977935420341243)</f>
        <v>3.897793542</v>
      </c>
      <c r="AV1201" s="82">
        <f>IFERROR(__xludf.DUMMYFUNCTION("""COMPUTED_VALUE"""),97.32722547068127)</f>
        <v>97.32722547</v>
      </c>
      <c r="AW1201" s="82">
        <f t="shared" si="1"/>
        <v>34.27825205</v>
      </c>
      <c r="AX1201" s="83">
        <f t="array" ref="AX1201">IFERROR(DGET('SBV Import'!A:G,"SBV",{"RSC ID","Tier";B1201,A1201}))</f>
        <v>79.9088831</v>
      </c>
      <c r="AY1201" s="82">
        <f t="shared" si="2"/>
        <v>8.637147604</v>
      </c>
      <c r="AZ1201" s="82">
        <v>25.641104447918387</v>
      </c>
      <c r="BA1201" s="84">
        <v>1200.0</v>
      </c>
      <c r="BB1201" s="84" t="b">
        <f>IFERROR(__xludf.DUMMYFUNCTION("iferror(if(A1201="""",,E1201&gt;=FILTER(Constants!$F$2:$F$10,Constants!$A$2:$A$10=A1201)))"),TRUE)</f>
        <v>1</v>
      </c>
    </row>
    <row r="1202">
      <c r="A1202" s="89" t="str">
        <f>IFERROR(__xludf.DUMMYFUNCTION("""COMPUTED_VALUE"""),"Veteran")</f>
        <v>Veteran</v>
      </c>
      <c r="B1202" s="87" t="str">
        <f>IFERROR(__xludf.DUMMYFUNCTION("""COMPUTED_VALUE"""),"RSC004872")</f>
        <v>RSC004872</v>
      </c>
      <c r="C1202" s="73" t="str">
        <f>IFERROR(__xludf.DUMMYFUNCTION("""COMPUTED_VALUE"""),"JustLaben")</f>
        <v>JustLaben</v>
      </c>
      <c r="D1202" s="73" t="str">
        <f>IFERROR(__xludf.DUMMYFUNCTION("""COMPUTED_VALUE"""),"Cannoli")</f>
        <v>Cannoli</v>
      </c>
      <c r="E1202" s="82">
        <f>IFERROR(__xludf.DUMMYFUNCTION("""COMPUTED_VALUE"""),35.0)</f>
        <v>35</v>
      </c>
      <c r="F1202" s="82">
        <f>IFERROR(__xludf.DUMMYFUNCTION("""COMPUTED_VALUE"""),20.0)</f>
        <v>20</v>
      </c>
      <c r="G1202" s="86">
        <f>IFERROR(__xludf.DUMMYFUNCTION("""COMPUTED_VALUE"""),15.0)</f>
        <v>15</v>
      </c>
      <c r="H1202" s="86">
        <f>IFERROR(__xludf.DUMMYFUNCTION("""COMPUTED_VALUE"""),0.5714285714285714)</f>
        <v>0.5714285714</v>
      </c>
      <c r="I1202" s="86">
        <f>IFERROR(__xludf.DUMMYFUNCTION("""COMPUTED_VALUE"""),0.3728813559322034)</f>
        <v>0.3728813559</v>
      </c>
      <c r="J1202" s="82">
        <f>IFERROR(__xludf.DUMMYFUNCTION("""COMPUTED_VALUE"""),428.8857142857143)</f>
        <v>428.8857143</v>
      </c>
      <c r="K1202" s="82">
        <f>IFERROR(__xludf.DUMMYFUNCTION("""COMPUTED_VALUE"""),1.2571428571428571)</f>
        <v>1.257142857</v>
      </c>
      <c r="L1202" s="82">
        <f>IFERROR(__xludf.DUMMYFUNCTION("""COMPUTED_VALUE"""),0.7142857142857143)</f>
        <v>0.7142857143</v>
      </c>
      <c r="M1202" s="82">
        <f>IFERROR(__xludf.DUMMYFUNCTION("""COMPUTED_VALUE"""),1.5142857142857142)</f>
        <v>1.514285714</v>
      </c>
      <c r="N1202" s="82">
        <f>IFERROR(__xludf.DUMMYFUNCTION("""COMPUTED_VALUE"""),3.3714285714285714)</f>
        <v>3.371428571</v>
      </c>
      <c r="O1202" s="82">
        <f>IFERROR(__xludf.DUMMYFUNCTION("""COMPUTED_VALUE"""),351.5047619047619)</f>
        <v>351.5047619</v>
      </c>
      <c r="P1202" s="82">
        <f>IFERROR(__xludf.DUMMYFUNCTION("""COMPUTED_VALUE"""),0.7142857142857143)</f>
        <v>0.7142857143</v>
      </c>
      <c r="Q1202" s="82">
        <f>IFERROR(__xludf.DUMMYFUNCTION("""COMPUTED_VALUE"""),0.4857142857142856)</f>
        <v>0.4857142857</v>
      </c>
      <c r="R1202" s="82">
        <f>IFERROR(__xludf.DUMMYFUNCTION("""COMPUTED_VALUE"""),1.5809523809523813)</f>
        <v>1.580952381</v>
      </c>
      <c r="S1202" s="82">
        <f>IFERROR(__xludf.DUMMYFUNCTION("""COMPUTED_VALUE"""),2.466666666666667)</f>
        <v>2.466666667</v>
      </c>
      <c r="T1202" s="82">
        <f>IFERROR(__xludf.DUMMYFUNCTION("""COMPUTED_VALUE"""),355.31076566201585)</f>
        <v>355.3107657</v>
      </c>
      <c r="U1202" s="82">
        <f>IFERROR(__xludf.DUMMYFUNCTION("""COMPUTED_VALUE"""),0.7664847939827609)</f>
        <v>0.766484794</v>
      </c>
      <c r="V1202" s="82">
        <f>IFERROR(__xludf.DUMMYFUNCTION("""COMPUTED_VALUE"""),0.5587900780383838)</f>
        <v>0.558790078</v>
      </c>
      <c r="W1202" s="82">
        <f>IFERROR(__xludf.DUMMYFUNCTION("""COMPUTED_VALUE"""),1.391754753514308)</f>
        <v>1.391754754</v>
      </c>
      <c r="X1202" s="82">
        <f>IFERROR(__xludf.DUMMYFUNCTION("""COMPUTED_VALUE"""),2.578811598670098)</f>
        <v>2.578811599</v>
      </c>
      <c r="Y1202" s="82">
        <f>IFERROR(__xludf.DUMMYFUNCTION("""COMPUTED_VALUE"""),356.8651503637406)</f>
        <v>356.8651504</v>
      </c>
      <c r="Z1202" s="82">
        <f>IFERROR(__xludf.DUMMYFUNCTION("""COMPUTED_VALUE"""),0.7905413359435225)</f>
        <v>0.7905413359</v>
      </c>
      <c r="AA1202" s="82">
        <f>IFERROR(__xludf.DUMMYFUNCTION("""COMPUTED_VALUE"""),0.5954123044677847)</f>
        <v>0.5954123045</v>
      </c>
      <c r="AB1202" s="82">
        <f>IFERROR(__xludf.DUMMYFUNCTION("""COMPUTED_VALUE"""),1.3076322169141368)</f>
        <v>1.307632217</v>
      </c>
      <c r="AC1202" s="82">
        <f>IFERROR(__xludf.DUMMYFUNCTION("""COMPUTED_VALUE"""),2.7209954222592683)</f>
        <v>2.720995422</v>
      </c>
      <c r="AD1202" s="82">
        <f>IFERROR(__xludf.DUMMYFUNCTION("""COMPUTED_VALUE"""),1.2018145056993252)</f>
        <v>1.201814506</v>
      </c>
      <c r="AE1202" s="82">
        <f>IFERROR(__xludf.DUMMYFUNCTION("""COMPUTED_VALUE"""),1.5902303902204418)</f>
        <v>1.59023039</v>
      </c>
      <c r="AF1202" s="82">
        <f>IFERROR(__xludf.DUMMYFUNCTION("""COMPUTED_VALUE"""),1.1996488969508041)</f>
        <v>1.199648897</v>
      </c>
      <c r="AG1202" s="82">
        <f>IFERROR(__xludf.DUMMYFUNCTION("""COMPUTED_VALUE"""),1.158036407101728)</f>
        <v>1.158036407</v>
      </c>
      <c r="AH1202" s="82">
        <f>IFERROR(__xludf.DUMMYFUNCTION("""COMPUTED_VALUE"""),1.2390423533418673)</f>
        <v>1.239042353</v>
      </c>
      <c r="AI1202" s="82">
        <f>IFERROR(__xludf.DUMMYFUNCTION("""COMPUTED_VALUE"""),0.9892882396902255)</f>
        <v>0.9892882397</v>
      </c>
      <c r="AJ1202" s="82">
        <f>IFERROR(__xludf.DUMMYFUNCTION("""COMPUTED_VALUE"""),0.9318980883810976)</f>
        <v>0.9318980884</v>
      </c>
      <c r="AK1202" s="82">
        <f>IFERROR(__xludf.DUMMYFUNCTION("""COMPUTED_VALUE"""),0.8692249644434836)</f>
        <v>0.8692249644</v>
      </c>
      <c r="AL1202" s="82">
        <f>IFERROR(__xludf.DUMMYFUNCTION("""COMPUTED_VALUE"""),1.135941786410524)</f>
        <v>1.135941786</v>
      </c>
      <c r="AM1202" s="82">
        <f>IFERROR(__xludf.DUMMYFUNCTION("""COMPUTED_VALUE"""),0.9565129410534431)</f>
        <v>0.9565129411</v>
      </c>
      <c r="AN1202" s="82">
        <f>IFERROR(__xludf.DUMMYFUNCTION("""COMPUTED_VALUE"""),1.2421486064155474)</f>
        <v>1.242148606</v>
      </c>
      <c r="AO1202" s="82">
        <f>IFERROR(__xludf.DUMMYFUNCTION("""COMPUTED_VALUE"""),1.6665317499684753)</f>
        <v>1.66653175</v>
      </c>
      <c r="AP1202" s="82">
        <f>IFERROR(__xludf.DUMMYFUNCTION("""COMPUTED_VALUE"""),1.3246509445001415)</f>
        <v>1.324650945</v>
      </c>
      <c r="AQ1202" s="82">
        <f>IFERROR(__xludf.DUMMYFUNCTION("""COMPUTED_VALUE"""),1.1211586130674078)</f>
        <v>1.121158613</v>
      </c>
      <c r="AR1202" s="82">
        <f>IFERROR(__xludf.DUMMYFUNCTION("""COMPUTED_VALUE"""),1.316613674698718)</f>
        <v>1.316613675</v>
      </c>
      <c r="AS1202" s="82">
        <f>IFERROR(__xludf.DUMMYFUNCTION("""COMPUTED_VALUE"""),96.0)</f>
        <v>96</v>
      </c>
      <c r="AT1202" s="82">
        <f>IFERROR(__xludf.DUMMYFUNCTION("""COMPUTED_VALUE"""),0.5960901838539621)</f>
        <v>0.5960901839</v>
      </c>
      <c r="AU1202" s="82">
        <f>IFERROR(__xludf.DUMMYFUNCTION("""COMPUTED_VALUE"""),3.866216725373974)</f>
        <v>3.866216725</v>
      </c>
      <c r="AV1202" s="82">
        <f>IFERROR(__xludf.DUMMYFUNCTION("""COMPUTED_VALUE"""),96.34909908887775)</f>
        <v>96.34909909</v>
      </c>
      <c r="AW1202" s="82">
        <f t="shared" si="1"/>
        <v>31.37534659</v>
      </c>
      <c r="AX1202" s="83">
        <f t="array" ref="AX1202">IFERROR(DGET('SBV Import'!A:G,"SBV",{"RSC ID","Tier";B1202,A1202}))</f>
        <v>76.74906519</v>
      </c>
      <c r="AY1202" s="82">
        <f t="shared" si="2"/>
        <v>7.026514619</v>
      </c>
      <c r="AZ1202" s="82">
        <v>24.348831971071643</v>
      </c>
      <c r="BA1202" s="84">
        <v>1200.0</v>
      </c>
      <c r="BB1202" s="84" t="b">
        <f>IFERROR(__xludf.DUMMYFUNCTION("iferror(if(A1202="""",,E1202&gt;=FILTER(Constants!$F$2:$F$10,Constants!$A$2:$A$10=A1202)))"),TRUE)</f>
        <v>1</v>
      </c>
    </row>
    <row r="1203">
      <c r="A1203" s="89" t="str">
        <f>IFERROR(__xludf.DUMMYFUNCTION("""COMPUTED_VALUE"""),"Veteran")</f>
        <v>Veteran</v>
      </c>
      <c r="B1203" s="87" t="str">
        <f>IFERROR(__xludf.DUMMYFUNCTION("""COMPUTED_VALUE"""),"RSC006860")</f>
        <v>RSC006860</v>
      </c>
      <c r="C1203" s="73" t="str">
        <f>IFERROR(__xludf.DUMMYFUNCTION("""COMPUTED_VALUE"""),"RyAndGav")</f>
        <v>RyAndGav</v>
      </c>
      <c r="D1203" s="73" t="str">
        <f>IFERROR(__xludf.DUMMYFUNCTION("""COMPUTED_VALUE"""),"Water")</f>
        <v>Water</v>
      </c>
      <c r="E1203" s="82">
        <f>IFERROR(__xludf.DUMMYFUNCTION("""COMPUTED_VALUE"""),11.0)</f>
        <v>11</v>
      </c>
      <c r="F1203" s="82">
        <f>IFERROR(__xludf.DUMMYFUNCTION("""COMPUTED_VALUE"""),6.0)</f>
        <v>6</v>
      </c>
      <c r="G1203" s="86">
        <f>IFERROR(__xludf.DUMMYFUNCTION("""COMPUTED_VALUE"""),5.0)</f>
        <v>5</v>
      </c>
      <c r="H1203" s="86">
        <f>IFERROR(__xludf.DUMMYFUNCTION("""COMPUTED_VALUE"""),0.5454545454545454)</f>
        <v>0.5454545455</v>
      </c>
      <c r="I1203" s="86">
        <f>IFERROR(__xludf.DUMMYFUNCTION("""COMPUTED_VALUE"""),0.4799999999999999)</f>
        <v>0.48</v>
      </c>
      <c r="J1203" s="82">
        <f>IFERROR(__xludf.DUMMYFUNCTION("""COMPUTED_VALUE"""),391.27272727272725)</f>
        <v>391.2727273</v>
      </c>
      <c r="K1203" s="82">
        <f>IFERROR(__xludf.DUMMYFUNCTION("""COMPUTED_VALUE"""),1.0909090909090908)</f>
        <v>1.090909091</v>
      </c>
      <c r="L1203" s="82">
        <f>IFERROR(__xludf.DUMMYFUNCTION("""COMPUTED_VALUE"""),1.0)</f>
        <v>1</v>
      </c>
      <c r="M1203" s="82">
        <f>IFERROR(__xludf.DUMMYFUNCTION("""COMPUTED_VALUE"""),1.0)</f>
        <v>1</v>
      </c>
      <c r="N1203" s="82">
        <f>IFERROR(__xludf.DUMMYFUNCTION("""COMPUTED_VALUE"""),2.272727272727273)</f>
        <v>2.272727273</v>
      </c>
      <c r="O1203" s="82">
        <f>IFERROR(__xludf.DUMMYFUNCTION("""COMPUTED_VALUE"""),300.5151515151515)</f>
        <v>300.5151515</v>
      </c>
      <c r="P1203" s="82">
        <f>IFERROR(__xludf.DUMMYFUNCTION("""COMPUTED_VALUE"""),0.5757575757575757)</f>
        <v>0.5757575758</v>
      </c>
      <c r="Q1203" s="82">
        <f>IFERROR(__xludf.DUMMYFUNCTION("""COMPUTED_VALUE"""),0.3333333333333334)</f>
        <v>0.3333333333</v>
      </c>
      <c r="R1203" s="82">
        <f>IFERROR(__xludf.DUMMYFUNCTION("""COMPUTED_VALUE"""),1.1515151515151514)</f>
        <v>1.151515152</v>
      </c>
      <c r="S1203" s="82">
        <f>IFERROR(__xludf.DUMMYFUNCTION("""COMPUTED_VALUE"""),1.9393939393939392)</f>
        <v>1.939393939</v>
      </c>
      <c r="T1203" s="82">
        <f>IFERROR(__xludf.DUMMYFUNCTION("""COMPUTED_VALUE"""),350.9828939948414)</f>
        <v>350.982894</v>
      </c>
      <c r="U1203" s="82">
        <f>IFERROR(__xludf.DUMMYFUNCTION("""COMPUTED_VALUE"""),0.7481414043297346)</f>
        <v>0.7481414043</v>
      </c>
      <c r="V1203" s="82">
        <f>IFERROR(__xludf.DUMMYFUNCTION("""COMPUTED_VALUE"""),0.5187688840606298)</f>
        <v>0.5187688841</v>
      </c>
      <c r="W1203" s="82">
        <f>IFERROR(__xludf.DUMMYFUNCTION("""COMPUTED_VALUE"""),1.4231288191392557)</f>
        <v>1.423128819</v>
      </c>
      <c r="X1203" s="82">
        <f>IFERROR(__xludf.DUMMYFUNCTION("""COMPUTED_VALUE"""),2.5105666769803388)</f>
        <v>2.510566677</v>
      </c>
      <c r="Y1203" s="82">
        <f>IFERROR(__xludf.DUMMYFUNCTION("""COMPUTED_VALUE"""),366.10106584504115)</f>
        <v>366.1010658</v>
      </c>
      <c r="Z1203" s="82">
        <f>IFERROR(__xludf.DUMMYFUNCTION("""COMPUTED_VALUE"""),0.8391336594918187)</f>
        <v>0.8391336595</v>
      </c>
      <c r="AA1203" s="82">
        <f>IFERROR(__xludf.DUMMYFUNCTION("""COMPUTED_VALUE"""),0.6430034384232677)</f>
        <v>0.6430034384</v>
      </c>
      <c r="AB1203" s="82">
        <f>IFERROR(__xludf.DUMMYFUNCTION("""COMPUTED_VALUE"""),1.3200781485071493)</f>
        <v>1.320078149</v>
      </c>
      <c r="AC1203" s="82">
        <f>IFERROR(__xludf.DUMMYFUNCTION("""COMPUTED_VALUE"""),2.807848616203297)</f>
        <v>2.807848616</v>
      </c>
      <c r="AD1203" s="82">
        <f>IFERROR(__xludf.DUMMYFUNCTION("""COMPUTED_VALUE"""),1.0687560451909213)</f>
        <v>1.068756045</v>
      </c>
      <c r="AE1203" s="82">
        <f>IFERROR(__xludf.DUMMYFUNCTION("""COMPUTED_VALUE"""),1.300042107201072)</f>
        <v>1.300042107</v>
      </c>
      <c r="AF1203" s="82">
        <f>IFERROR(__xludf.DUMMYFUNCTION("""COMPUTED_VALUE"""),1.5552016369494643)</f>
        <v>1.555201637</v>
      </c>
      <c r="AG1203" s="82">
        <f>IFERROR(__xludf.DUMMYFUNCTION("""COMPUTED_VALUE"""),0.7575309091593407)</f>
        <v>0.7575309092</v>
      </c>
      <c r="AH1203" s="82">
        <f>IFERROR(__xludf.DUMMYFUNCTION("""COMPUTED_VALUE"""),0.8094194464801304)</f>
        <v>0.8094194465</v>
      </c>
      <c r="AI1203" s="82">
        <f>IFERROR(__xludf.DUMMYFUNCTION("""COMPUTED_VALUE"""),0.8562102502909112)</f>
        <v>0.8562102503</v>
      </c>
      <c r="AJ1203" s="82">
        <f>IFERROR(__xludf.DUMMYFUNCTION("""COMPUTED_VALUE"""),0.769583894736318)</f>
        <v>0.7695838947</v>
      </c>
      <c r="AK1203" s="82">
        <f>IFERROR(__xludf.DUMMYFUNCTION("""COMPUTED_VALUE"""),0.6425468904846188)</f>
        <v>0.6425468905</v>
      </c>
      <c r="AL1203" s="82">
        <f>IFERROR(__xludf.DUMMYFUNCTION("""COMPUTED_VALUE"""),0.8091433017368146)</f>
        <v>0.8091433017</v>
      </c>
      <c r="AM1203" s="82">
        <f>IFERROR(__xludf.DUMMYFUNCTION("""COMPUTED_VALUE"""),0.7724925042527072)</f>
        <v>0.7724925043</v>
      </c>
      <c r="AN1203" s="82">
        <f>IFERROR(__xludf.DUMMYFUNCTION("""COMPUTED_VALUE"""),1.1332130139136636)</f>
        <v>1.133213014</v>
      </c>
      <c r="AO1203" s="82">
        <f>IFERROR(__xludf.DUMMYFUNCTION("""COMPUTED_VALUE"""),1.4461639152619)</f>
        <v>1.446163915</v>
      </c>
      <c r="AP1203" s="82">
        <f>IFERROR(__xludf.DUMMYFUNCTION("""COMPUTED_VALUE"""),1.8545113223001983)</f>
        <v>1.854511322</v>
      </c>
      <c r="AQ1203" s="82">
        <f>IFERROR(__xludf.DUMMYFUNCTION("""COMPUTED_VALUE"""),0.7403877633464013)</f>
        <v>0.7403877633</v>
      </c>
      <c r="AR1203" s="82">
        <f>IFERROR(__xludf.DUMMYFUNCTION("""COMPUTED_VALUE"""),0.8875477391073794)</f>
        <v>0.8875477391</v>
      </c>
      <c r="AS1203" s="82">
        <f>IFERROR(__xludf.DUMMYFUNCTION("""COMPUTED_VALUE"""),35.0)</f>
        <v>35</v>
      </c>
      <c r="AT1203" s="82">
        <f>IFERROR(__xludf.DUMMYFUNCTION("""COMPUTED_VALUE"""),0.7240181731766973)</f>
        <v>0.7240181732</v>
      </c>
      <c r="AU1203" s="82">
        <f>IFERROR(__xludf.DUMMYFUNCTION("""COMPUTED_VALUE"""),3.7905179332521888)</f>
        <v>3.790517933</v>
      </c>
      <c r="AV1203" s="82">
        <f>IFERROR(__xludf.DUMMYFUNCTION("""COMPUTED_VALUE"""),94.00424633054321)</f>
        <v>94.00424633</v>
      </c>
      <c r="AW1203" s="82">
        <f t="shared" si="1"/>
        <v>25.51703516</v>
      </c>
      <c r="AX1203" s="83">
        <f t="array" ref="AX1203">IFERROR(DGET('SBV Import'!A:G,"SBV",{"RSC ID","Tier";B1203,A1203}))</f>
        <v>86.9865189</v>
      </c>
      <c r="AY1203" s="82">
        <f t="shared" si="2"/>
        <v>14.38670769</v>
      </c>
      <c r="AZ1203" s="82">
        <v>11.130327471034006</v>
      </c>
      <c r="BA1203" s="84">
        <v>1200.0</v>
      </c>
      <c r="BB1203" s="84" t="b">
        <f>IFERROR(__xludf.DUMMYFUNCTION("iferror(if(A1203="""",,E1203&gt;=FILTER(Constants!$F$2:$F$10,Constants!$A$2:$A$10=A1203)))"),TRUE)</f>
        <v>1</v>
      </c>
    </row>
    <row r="1204">
      <c r="A1204" s="89" t="str">
        <f>IFERROR(__xludf.DUMMYFUNCTION("""COMPUTED_VALUE"""),"Veteran")</f>
        <v>Veteran</v>
      </c>
      <c r="B1204" s="87" t="str">
        <f>IFERROR(__xludf.DUMMYFUNCTION("""COMPUTED_VALUE"""),"RSC007143")</f>
        <v>RSC007143</v>
      </c>
      <c r="C1204" s="73" t="str">
        <f>IFERROR(__xludf.DUMMYFUNCTION("""COMPUTED_VALUE"""),"OmniMurders")</f>
        <v>OmniMurders</v>
      </c>
      <c r="D1204" s="73"/>
      <c r="E1204" s="82">
        <f>IFERROR(__xludf.DUMMYFUNCTION("""COMPUTED_VALUE"""),1.0)</f>
        <v>1</v>
      </c>
      <c r="F1204" s="82">
        <f>IFERROR(__xludf.DUMMYFUNCTION("""COMPUTED_VALUE"""),1.0)</f>
        <v>1</v>
      </c>
      <c r="G1204" s="86">
        <f>IFERROR(__xludf.DUMMYFUNCTION("""COMPUTED_VALUE"""),0.0)</f>
        <v>0</v>
      </c>
      <c r="H1204" s="86">
        <f>IFERROR(__xludf.DUMMYFUNCTION("""COMPUTED_VALUE"""),1.0)</f>
        <v>1</v>
      </c>
      <c r="I1204" s="86">
        <f>IFERROR(__xludf.DUMMYFUNCTION("""COMPUTED_VALUE"""),0.3333333333333333)</f>
        <v>0.3333333333</v>
      </c>
      <c r="J1204" s="82">
        <f>IFERROR(__xludf.DUMMYFUNCTION("""COMPUTED_VALUE"""),530.0)</f>
        <v>530</v>
      </c>
      <c r="K1204" s="82">
        <f>IFERROR(__xludf.DUMMYFUNCTION("""COMPUTED_VALUE"""),1.0)</f>
        <v>1</v>
      </c>
      <c r="L1204" s="82">
        <f>IFERROR(__xludf.DUMMYFUNCTION("""COMPUTED_VALUE"""),1.0)</f>
        <v>1</v>
      </c>
      <c r="M1204" s="82">
        <f>IFERROR(__xludf.DUMMYFUNCTION("""COMPUTED_VALUE"""),3.0)</f>
        <v>3</v>
      </c>
      <c r="N1204" s="82">
        <f>IFERROR(__xludf.DUMMYFUNCTION("""COMPUTED_VALUE"""),3.0)</f>
        <v>3</v>
      </c>
      <c r="O1204" s="82">
        <f>IFERROR(__xludf.DUMMYFUNCTION("""COMPUTED_VALUE"""),442.0)</f>
        <v>442</v>
      </c>
      <c r="P1204" s="82">
        <f>IFERROR(__xludf.DUMMYFUNCTION("""COMPUTED_VALUE"""),1.0)</f>
        <v>1</v>
      </c>
      <c r="Q1204" s="82">
        <f>IFERROR(__xludf.DUMMYFUNCTION("""COMPUTED_VALUE"""),0.0)</f>
        <v>0</v>
      </c>
      <c r="R1204" s="82">
        <f>IFERROR(__xludf.DUMMYFUNCTION("""COMPUTED_VALUE"""),2.0)</f>
        <v>2</v>
      </c>
      <c r="S1204" s="82">
        <f>IFERROR(__xludf.DUMMYFUNCTION("""COMPUTED_VALUE"""),3.3333333333333335)</f>
        <v>3.333333333</v>
      </c>
      <c r="T1204" s="82">
        <f>IFERROR(__xludf.DUMMYFUNCTION("""COMPUTED_VALUE"""),348.92104454685096)</f>
        <v>348.9210445</v>
      </c>
      <c r="U1204" s="82">
        <f>IFERROR(__xludf.DUMMYFUNCTION("""COMPUTED_VALUE"""),0.7631336405529954)</f>
        <v>0.7631336406</v>
      </c>
      <c r="V1204" s="82">
        <f>IFERROR(__xludf.DUMMYFUNCTION("""COMPUTED_VALUE"""),0.4792626728110599)</f>
        <v>0.4792626728</v>
      </c>
      <c r="W1204" s="82">
        <f>IFERROR(__xludf.DUMMYFUNCTION("""COMPUTED_VALUE"""),1.314900153609831)</f>
        <v>1.314900154</v>
      </c>
      <c r="X1204" s="82">
        <f>IFERROR(__xludf.DUMMYFUNCTION("""COMPUTED_VALUE"""),2.799231950844854)</f>
        <v>2.799231951</v>
      </c>
      <c r="Y1204" s="82">
        <f>IFERROR(__xludf.DUMMYFUNCTION("""COMPUTED_VALUE"""),398.5095750128008)</f>
        <v>398.509575</v>
      </c>
      <c r="Z1204" s="82">
        <f>IFERROR(__xludf.DUMMYFUNCTION("""COMPUTED_VALUE"""),1.024679979518689)</f>
        <v>1.02467998</v>
      </c>
      <c r="AA1204" s="82">
        <f>IFERROR(__xludf.DUMMYFUNCTION("""COMPUTED_VALUE"""),0.6977470558115719)</f>
        <v>0.6977470558</v>
      </c>
      <c r="AB1204" s="82">
        <f>IFERROR(__xludf.DUMMYFUNCTION("""COMPUTED_VALUE"""),1.5137224782386074)</f>
        <v>1.513722478</v>
      </c>
      <c r="AC1204" s="82">
        <f>IFERROR(__xludf.DUMMYFUNCTION("""COMPUTED_VALUE"""),2.902355350742447)</f>
        <v>2.902355351</v>
      </c>
      <c r="AD1204" s="82">
        <f>IFERROR(__xludf.DUMMYFUNCTION("""COMPUTED_VALUE"""),1.3299554972624574)</f>
        <v>1.329955497</v>
      </c>
      <c r="AE1204" s="82">
        <f>IFERROR(__xludf.DUMMYFUNCTION("""COMPUTED_VALUE"""),0.9759144513292027)</f>
        <v>0.9759144513</v>
      </c>
      <c r="AF1204" s="82">
        <f>IFERROR(__xludf.DUMMYFUNCTION("""COMPUTED_VALUE"""),1.4331841197622368)</f>
        <v>1.43318412</v>
      </c>
      <c r="AG1204" s="82">
        <f>IFERROR(__xludf.DUMMYFUNCTION("""COMPUTED_VALUE"""),1.981869228427426)</f>
        <v>1.981869228</v>
      </c>
      <c r="AH1204" s="82">
        <f>IFERROR(__xludf.DUMMYFUNCTION("""COMPUTED_VALUE"""),1.0336432440061396)</f>
        <v>1.033643244</v>
      </c>
      <c r="AI1204" s="82">
        <f>IFERROR(__xludf.DUMMYFUNCTION("""COMPUTED_VALUE"""),1.266762228612585)</f>
        <v>1.266762229</v>
      </c>
      <c r="AJ1204" s="82">
        <f>IFERROR(__xludf.DUMMYFUNCTION("""COMPUTED_VALUE"""),1.3103864734299517)</f>
        <v>1.310386473</v>
      </c>
      <c r="AK1204" s="82">
        <f>IFERROR(__xludf.DUMMYFUNCTION("""COMPUTED_VALUE"""),0.0)</f>
        <v>0</v>
      </c>
      <c r="AL1204" s="82">
        <f>IFERROR(__xludf.DUMMYFUNCTION("""COMPUTED_VALUE"""),1.5210280373831775)</f>
        <v>1.521028037</v>
      </c>
      <c r="AM1204" s="82">
        <f>IFERROR(__xludf.DUMMYFUNCTION("""COMPUTED_VALUE"""),1.1908028315864567)</f>
        <v>1.190802832</v>
      </c>
      <c r="AN1204" s="82">
        <f>IFERROR(__xludf.DUMMYFUNCTION("""COMPUTED_VALUE"""),1.5349981113189262)</f>
        <v>1.534998111</v>
      </c>
      <c r="AO1204" s="82">
        <f>IFERROR(__xludf.DUMMYFUNCTION("""COMPUTED_VALUE"""),1.3256502556567418)</f>
        <v>1.325650256</v>
      </c>
      <c r="AP1204" s="82">
        <f>IFERROR(__xludf.DUMMYFUNCTION("""COMPUTED_VALUE"""),1.8545113223001983)</f>
        <v>1.854511322</v>
      </c>
      <c r="AQ1204" s="82">
        <f>IFERROR(__xludf.DUMMYFUNCTION("""COMPUTED_VALUE"""),2.221163290039204)</f>
        <v>2.22116329</v>
      </c>
      <c r="AR1204" s="82">
        <f>IFERROR(__xludf.DUMMYFUNCTION("""COMPUTED_VALUE"""),1.1715630156217407)</f>
        <v>1.171563016</v>
      </c>
      <c r="AS1204" s="82">
        <f>IFERROR(__xludf.DUMMYFUNCTION("""COMPUTED_VALUE"""),4.0)</f>
        <v>4</v>
      </c>
      <c r="AT1204" s="82">
        <f>IFERROR(__xludf.DUMMYFUNCTION("""COMPUTED_VALUE"""),0.6231336111945953)</f>
        <v>0.6231336112</v>
      </c>
      <c r="AU1204" s="82">
        <f>IFERROR(__xludf.DUMMYFUNCTION("""COMPUTED_VALUE"""),3.7515594367200737)</f>
        <v>3.751559437</v>
      </c>
      <c r="AV1204" s="82">
        <f>IFERROR(__xludf.DUMMYFUNCTION("""COMPUTED_VALUE"""),92.79746435300612)</f>
        <v>92.79746435</v>
      </c>
      <c r="AW1204" s="82">
        <f t="shared" si="1"/>
        <v>23.01089204</v>
      </c>
      <c r="AX1204" s="83">
        <f t="array" ref="AX1204">IFERROR(DGET('SBV Import'!A:G,"SBV",{"RSC ID","Tier";B1204,A1204}))</f>
        <v>58.78581874</v>
      </c>
      <c r="AY1204" s="82">
        <f t="shared" si="2"/>
        <v>2.757617614</v>
      </c>
      <c r="AZ1204" s="82">
        <v>20.253274421887074</v>
      </c>
      <c r="BA1204" s="84">
        <v>1200.0</v>
      </c>
      <c r="BB1204" s="84" t="b">
        <f>IFERROR(__xludf.DUMMYFUNCTION("iferror(if(A1204="""",,E1204&gt;=FILTER(Constants!$F$2:$F$10,Constants!$A$2:$A$10=A1204)))"),TRUE)</f>
        <v>1</v>
      </c>
    </row>
    <row r="1205">
      <c r="A1205" s="89" t="str">
        <f>IFERROR(__xludf.DUMMYFUNCTION("""COMPUTED_VALUE"""),"Veteran")</f>
        <v>Veteran</v>
      </c>
      <c r="B1205" s="87" t="str">
        <f>IFERROR(__xludf.DUMMYFUNCTION("""COMPUTED_VALUE"""),"RSC004662")</f>
        <v>RSC004662</v>
      </c>
      <c r="C1205" s="73" t="str">
        <f>IFERROR(__xludf.DUMMYFUNCTION("""COMPUTED_VALUE"""),"D_MATT_")</f>
        <v>D_MATT_</v>
      </c>
      <c r="D1205" s="73" t="str">
        <f>IFERROR(__xludf.DUMMYFUNCTION("""COMPUTED_VALUE"""),"Penguins")</f>
        <v>Penguins</v>
      </c>
      <c r="E1205" s="82">
        <f>IFERROR(__xludf.DUMMYFUNCTION("""COMPUTED_VALUE"""),32.0)</f>
        <v>32</v>
      </c>
      <c r="F1205" s="82">
        <f>IFERROR(__xludf.DUMMYFUNCTION("""COMPUTED_VALUE"""),19.0)</f>
        <v>19</v>
      </c>
      <c r="G1205" s="86">
        <f>IFERROR(__xludf.DUMMYFUNCTION("""COMPUTED_VALUE"""),13.0)</f>
        <v>13</v>
      </c>
      <c r="H1205" s="86">
        <f>IFERROR(__xludf.DUMMYFUNCTION("""COMPUTED_VALUE"""),0.59375)</f>
        <v>0.59375</v>
      </c>
      <c r="I1205" s="86">
        <f>IFERROR(__xludf.DUMMYFUNCTION("""COMPUTED_VALUE"""),0.35454545454545455)</f>
        <v>0.3545454545</v>
      </c>
      <c r="J1205" s="82">
        <f>IFERROR(__xludf.DUMMYFUNCTION("""COMPUTED_VALUE"""),420.3125)</f>
        <v>420.3125</v>
      </c>
      <c r="K1205" s="82">
        <f>IFERROR(__xludf.DUMMYFUNCTION("""COMPUTED_VALUE"""),1.21875)</f>
        <v>1.21875</v>
      </c>
      <c r="L1205" s="82">
        <f>IFERROR(__xludf.DUMMYFUNCTION("""COMPUTED_VALUE"""),0.53125)</f>
        <v>0.53125</v>
      </c>
      <c r="M1205" s="82">
        <f>IFERROR(__xludf.DUMMYFUNCTION("""COMPUTED_VALUE"""),1.25)</f>
        <v>1.25</v>
      </c>
      <c r="N1205" s="82">
        <f>IFERROR(__xludf.DUMMYFUNCTION("""COMPUTED_VALUE"""),3.4375)</f>
        <v>3.4375</v>
      </c>
      <c r="O1205" s="82">
        <f>IFERROR(__xludf.DUMMYFUNCTION("""COMPUTED_VALUE"""),321.9270833333333)</f>
        <v>321.9270833</v>
      </c>
      <c r="P1205" s="82">
        <f>IFERROR(__xludf.DUMMYFUNCTION("""COMPUTED_VALUE"""),0.625)</f>
        <v>0.625</v>
      </c>
      <c r="Q1205" s="82">
        <f>IFERROR(__xludf.DUMMYFUNCTION("""COMPUTED_VALUE"""),0.39583333333333337)</f>
        <v>0.3958333333</v>
      </c>
      <c r="R1205" s="82">
        <f>IFERROR(__xludf.DUMMYFUNCTION("""COMPUTED_VALUE"""),1.5104166666666663)</f>
        <v>1.510416667</v>
      </c>
      <c r="S1205" s="82">
        <f>IFERROR(__xludf.DUMMYFUNCTION("""COMPUTED_VALUE"""),2.135416666666666)</f>
        <v>2.135416667</v>
      </c>
      <c r="T1205" s="82">
        <f>IFERROR(__xludf.DUMMYFUNCTION("""COMPUTED_VALUE"""),352.80137328591496)</f>
        <v>352.8013733</v>
      </c>
      <c r="U1205" s="82">
        <f>IFERROR(__xludf.DUMMYFUNCTION("""COMPUTED_VALUE"""),0.7728318684187944)</f>
        <v>0.7728318684</v>
      </c>
      <c r="V1205" s="82">
        <f>IFERROR(__xludf.DUMMYFUNCTION("""COMPUTED_VALUE"""),0.5488451815770004)</f>
        <v>0.5488451816</v>
      </c>
      <c r="W1205" s="82">
        <f>IFERROR(__xludf.DUMMYFUNCTION("""COMPUTED_VALUE"""),1.3970801205586156)</f>
        <v>1.397080121</v>
      </c>
      <c r="X1205" s="82">
        <f>IFERROR(__xludf.DUMMYFUNCTION("""COMPUTED_VALUE"""),2.55220149800284)</f>
        <v>2.552201498</v>
      </c>
      <c r="Y1205" s="82">
        <f>IFERROR(__xludf.DUMMYFUNCTION("""COMPUTED_VALUE"""),346.504378104179)</f>
        <v>346.5043781</v>
      </c>
      <c r="Z1205" s="82">
        <f>IFERROR(__xludf.DUMMYFUNCTION("""COMPUTED_VALUE"""),0.7696019976081923)</f>
        <v>0.7696019976</v>
      </c>
      <c r="AA1205" s="82">
        <f>IFERROR(__xludf.DUMMYFUNCTION("""COMPUTED_VALUE"""),0.5522165467533776)</f>
        <v>0.5522165468</v>
      </c>
      <c r="AB1205" s="82">
        <f>IFERROR(__xludf.DUMMYFUNCTION("""COMPUTED_VALUE"""),1.3174752325155987)</f>
        <v>1.317475233</v>
      </c>
      <c r="AC1205" s="82">
        <f>IFERROR(__xludf.DUMMYFUNCTION("""COMPUTED_VALUE"""),2.6389557415091995)</f>
        <v>2.638955742</v>
      </c>
      <c r="AD1205" s="82">
        <f>IFERROR(__xludf.DUMMYFUNCTION("""COMPUTED_VALUE"""),1.213007761401589)</f>
        <v>1.213007761</v>
      </c>
      <c r="AE1205" s="82">
        <f>IFERROR(__xludf.DUMMYFUNCTION("""COMPUTED_VALUE"""),1.5836107543739393)</f>
        <v>1.583610754</v>
      </c>
      <c r="AF1205" s="82">
        <f>IFERROR(__xludf.DUMMYFUNCTION("""COMPUTED_VALUE"""),0.9620320200895006)</f>
        <v>0.9620320201</v>
      </c>
      <c r="AG1205" s="82">
        <f>IFERROR(__xludf.DUMMYFUNCTION("""COMPUTED_VALUE"""),0.9487844394715785)</f>
        <v>0.9487844395</v>
      </c>
      <c r="AH1205" s="82">
        <f>IFERROR(__xludf.DUMMYFUNCTION("""COMPUTED_VALUE"""),1.3025985794040331)</f>
        <v>1.302598579</v>
      </c>
      <c r="AI1205" s="82">
        <f>IFERROR(__xludf.DUMMYFUNCTION("""COMPUTED_VALUE"""),0.9124881809131715)</f>
        <v>0.9124881809</v>
      </c>
      <c r="AJ1205" s="82">
        <f>IFERROR(__xludf.DUMMYFUNCTION("""COMPUTED_VALUE"""),0.8087140625796698)</f>
        <v>0.8087140626</v>
      </c>
      <c r="AK1205" s="82">
        <f>IFERROR(__xludf.DUMMYFUNCTION("""COMPUTED_VALUE"""),0.721211275274355)</f>
        <v>0.7212112753</v>
      </c>
      <c r="AL1205" s="82">
        <f>IFERROR(__xludf.DUMMYFUNCTION("""COMPUTED_VALUE"""),1.0811238700202346)</f>
        <v>1.08112387</v>
      </c>
      <c r="AM1205" s="82">
        <f>IFERROR(__xludf.DUMMYFUNCTION("""COMPUTED_VALUE"""),0.8366959538021124)</f>
        <v>0.8366959538</v>
      </c>
      <c r="AN1205" s="82">
        <f>IFERROR(__xludf.DUMMYFUNCTION("""COMPUTED_VALUE"""),1.2173186672900682)</f>
        <v>1.217318667</v>
      </c>
      <c r="AO1205" s="82">
        <f>IFERROR(__xludf.DUMMYFUNCTION("""COMPUTED_VALUE"""),1.615636249081654)</f>
        <v>1.615636249</v>
      </c>
      <c r="AP1205" s="82">
        <f>IFERROR(__xludf.DUMMYFUNCTION("""COMPUTED_VALUE"""),0.9852091399719803)</f>
        <v>0.98520914</v>
      </c>
      <c r="AQ1205" s="82">
        <f>IFERROR(__xludf.DUMMYFUNCTION("""COMPUTED_VALUE"""),0.9254847041830017)</f>
        <v>0.9254847042</v>
      </c>
      <c r="AR1205" s="82">
        <f>IFERROR(__xludf.DUMMYFUNCTION("""COMPUTED_VALUE"""),1.3424159553999113)</f>
        <v>1.342415955</v>
      </c>
      <c r="AS1205" s="82">
        <f>IFERROR(__xludf.DUMMYFUNCTION("""COMPUTED_VALUE"""),78.0)</f>
        <v>78</v>
      </c>
      <c r="AT1205" s="82">
        <f>IFERROR(__xludf.DUMMYFUNCTION("""COMPUTED_VALUE"""),0.5984692438065065)</f>
        <v>0.5984692438</v>
      </c>
      <c r="AU1205" s="82">
        <f>IFERROR(__xludf.DUMMYFUNCTION("""COMPUTED_VALUE"""),3.7291750029910844)</f>
        <v>3.729175003</v>
      </c>
      <c r="AV1205" s="82">
        <f>IFERROR(__xludf.DUMMYFUNCTION("""COMPUTED_VALUE"""),92.10408207170454)</f>
        <v>92.10408207</v>
      </c>
      <c r="AW1205" s="82">
        <f t="shared" si="1"/>
        <v>21.70371633</v>
      </c>
      <c r="AX1205" s="83">
        <f t="array" ref="AX1205">IFERROR(DGET('SBV Import'!A:G,"SBV",{"RSC ID","Tier";B1205,A1205}))</f>
        <v>92.12553068</v>
      </c>
      <c r="AY1205" s="82">
        <f t="shared" si="2"/>
        <v>21.74279927</v>
      </c>
      <c r="AZ1205" s="82">
        <v>0.03908294420361358</v>
      </c>
      <c r="BA1205" s="84">
        <v>1200.0</v>
      </c>
      <c r="BB1205" s="84" t="b">
        <f>IFERROR(__xludf.DUMMYFUNCTION("iferror(if(A1205="""",,E1205&gt;=FILTER(Constants!$F$2:$F$10,Constants!$A$2:$A$10=A1205)))"),TRUE)</f>
        <v>1</v>
      </c>
    </row>
    <row r="1206">
      <c r="A1206" s="89" t="str">
        <f>IFERROR(__xludf.DUMMYFUNCTION("""COMPUTED_VALUE"""),"Veteran")</f>
        <v>Veteran</v>
      </c>
      <c r="B1206" s="87" t="str">
        <f>IFERROR(__xludf.DUMMYFUNCTION("""COMPUTED_VALUE"""),"RSC002906")</f>
        <v>RSC002906</v>
      </c>
      <c r="C1206" s="73" t="str">
        <f>IFERROR(__xludf.DUMMYFUNCTION("""COMPUTED_VALUE"""),"PackRL")</f>
        <v>PackRL</v>
      </c>
      <c r="D1206" s="73" t="str">
        <f>IFERROR(__xludf.DUMMYFUNCTION("""COMPUTED_VALUE"""),"Legati")</f>
        <v>Legati</v>
      </c>
      <c r="E1206" s="82">
        <f>IFERROR(__xludf.DUMMYFUNCTION("""COMPUTED_VALUE"""),18.0)</f>
        <v>18</v>
      </c>
      <c r="F1206" s="82">
        <f>IFERROR(__xludf.DUMMYFUNCTION("""COMPUTED_VALUE"""),12.0)</f>
        <v>12</v>
      </c>
      <c r="G1206" s="86">
        <f>IFERROR(__xludf.DUMMYFUNCTION("""COMPUTED_VALUE"""),6.0)</f>
        <v>6</v>
      </c>
      <c r="H1206" s="86">
        <f>IFERROR(__xludf.DUMMYFUNCTION("""COMPUTED_VALUE"""),0.6666666666666666)</f>
        <v>0.6666666667</v>
      </c>
      <c r="I1206" s="86">
        <f>IFERROR(__xludf.DUMMYFUNCTION("""COMPUTED_VALUE"""),0.33898305084745767)</f>
        <v>0.3389830508</v>
      </c>
      <c r="J1206" s="82">
        <f>IFERROR(__xludf.DUMMYFUNCTION("""COMPUTED_VALUE"""),458.44444444444446)</f>
        <v>458.4444444</v>
      </c>
      <c r="K1206" s="82">
        <f>IFERROR(__xludf.DUMMYFUNCTION("""COMPUTED_VALUE"""),1.1111111111111112)</f>
        <v>1.111111111</v>
      </c>
      <c r="L1206" s="82">
        <f>IFERROR(__xludf.DUMMYFUNCTION("""COMPUTED_VALUE"""),0.6111111111111112)</f>
        <v>0.6111111111</v>
      </c>
      <c r="M1206" s="82">
        <f>IFERROR(__xludf.DUMMYFUNCTION("""COMPUTED_VALUE"""),2.1666666666666665)</f>
        <v>2.166666667</v>
      </c>
      <c r="N1206" s="82">
        <f>IFERROR(__xludf.DUMMYFUNCTION("""COMPUTED_VALUE"""),3.2777777777777777)</f>
        <v>3.277777778</v>
      </c>
      <c r="O1206" s="82">
        <f>IFERROR(__xludf.DUMMYFUNCTION("""COMPUTED_VALUE"""),359.1666666666667)</f>
        <v>359.1666667</v>
      </c>
      <c r="P1206" s="82">
        <f>IFERROR(__xludf.DUMMYFUNCTION("""COMPUTED_VALUE"""),0.7407407407407407)</f>
        <v>0.7407407407</v>
      </c>
      <c r="Q1206" s="82">
        <f>IFERROR(__xludf.DUMMYFUNCTION("""COMPUTED_VALUE"""),0.5555555555555557)</f>
        <v>0.5555555556</v>
      </c>
      <c r="R1206" s="82">
        <f>IFERROR(__xludf.DUMMYFUNCTION("""COMPUTED_VALUE"""),1.5)</f>
        <v>1.5</v>
      </c>
      <c r="S1206" s="82">
        <f>IFERROR(__xludf.DUMMYFUNCTION("""COMPUTED_VALUE"""),2.8888888888888884)</f>
        <v>2.888888889</v>
      </c>
      <c r="T1206" s="82">
        <f>IFERROR(__xludf.DUMMYFUNCTION("""COMPUTED_VALUE"""),368.12910394968515)</f>
        <v>368.1291039</v>
      </c>
      <c r="U1206" s="82">
        <f>IFERROR(__xludf.DUMMYFUNCTION("""COMPUTED_VALUE"""),0.8284684915297307)</f>
        <v>0.8284684915</v>
      </c>
      <c r="V1206" s="82">
        <f>IFERROR(__xludf.DUMMYFUNCTION("""COMPUTED_VALUE"""),0.6366850363333739)</f>
        <v>0.6366850363</v>
      </c>
      <c r="W1206" s="82">
        <f>IFERROR(__xludf.DUMMYFUNCTION("""COMPUTED_VALUE"""),1.3842471932412257)</f>
        <v>1.384247193</v>
      </c>
      <c r="X1206" s="82">
        <f>IFERROR(__xludf.DUMMYFUNCTION("""COMPUTED_VALUE"""),2.674923713446732)</f>
        <v>2.674923713</v>
      </c>
      <c r="Y1206" s="82">
        <f>IFERROR(__xludf.DUMMYFUNCTION("""COMPUTED_VALUE"""),354.70091805106375)</f>
        <v>354.7009181</v>
      </c>
      <c r="Z1206" s="82">
        <f>IFERROR(__xludf.DUMMYFUNCTION("""COMPUTED_VALUE"""),0.7663450502763283)</f>
        <v>0.7663450503</v>
      </c>
      <c r="AA1206" s="82">
        <f>IFERROR(__xludf.DUMMYFUNCTION("""COMPUTED_VALUE"""),0.5986318914755024)</f>
        <v>0.5986318915</v>
      </c>
      <c r="AB1206" s="82">
        <f>IFERROR(__xludf.DUMMYFUNCTION("""COMPUTED_VALUE"""),1.326860923292201)</f>
        <v>1.326860923</v>
      </c>
      <c r="AC1206" s="82">
        <f>IFERROR(__xludf.DUMMYFUNCTION("""COMPUTED_VALUE"""),2.643316378260018)</f>
        <v>2.643316378</v>
      </c>
      <c r="AD1206" s="82">
        <f>IFERROR(__xludf.DUMMYFUNCTION("""COMPUTED_VALUE"""),1.2924816968712933)</f>
        <v>1.292481697</v>
      </c>
      <c r="AE1206" s="82">
        <f>IFERROR(__xludf.DUMMYFUNCTION("""COMPUTED_VALUE"""),1.4498835879614116)</f>
        <v>1.449883588</v>
      </c>
      <c r="AF1206" s="82">
        <f>IFERROR(__xludf.DUMMYFUNCTION("""COMPUTED_VALUE"""),1.0208462325734937)</f>
        <v>1.020846233</v>
      </c>
      <c r="AG1206" s="82">
        <f>IFERROR(__xludf.DUMMYFUNCTION("""COMPUTED_VALUE"""),1.632926728515558)</f>
        <v>1.632926729</v>
      </c>
      <c r="AH1206" s="82">
        <f>IFERROR(__xludf.DUMMYFUNCTION("""COMPUTED_VALUE"""),1.2400247676501739)</f>
        <v>1.240024768</v>
      </c>
      <c r="AI1206" s="82">
        <f>IFERROR(__xludf.DUMMYFUNCTION("""COMPUTED_VALUE"""),0.975654092037658)</f>
        <v>0.975654092</v>
      </c>
      <c r="AJ1206" s="82">
        <f>IFERROR(__xludf.DUMMYFUNCTION("""COMPUTED_VALUE"""),0.894108524722522)</f>
        <v>0.8941085247</v>
      </c>
      <c r="AK1206" s="82">
        <f>IFERROR(__xludf.DUMMYFUNCTION("""COMPUTED_VALUE"""),0.8725751727336998)</f>
        <v>0.8725751727</v>
      </c>
      <c r="AL1206" s="82">
        <f>IFERROR(__xludf.DUMMYFUNCTION("""COMPUTED_VALUE"""),1.083621485616119)</f>
        <v>1.083621486</v>
      </c>
      <c r="AM1206" s="82">
        <f>IFERROR(__xludf.DUMMYFUNCTION("""COMPUTED_VALUE"""),1.0799892626345051)</f>
        <v>1.079989263</v>
      </c>
      <c r="AN1206" s="82">
        <f>IFERROR(__xludf.DUMMYFUNCTION("""COMPUTED_VALUE"""),1.3277572761639183)</f>
        <v>1.327757276</v>
      </c>
      <c r="AO1206" s="82">
        <f>IFERROR(__xludf.DUMMYFUNCTION("""COMPUTED_VALUE"""),1.4729447285074908)</f>
        <v>1.472944729</v>
      </c>
      <c r="AP1206" s="82">
        <f>IFERROR(__xludf.DUMMYFUNCTION("""COMPUTED_VALUE"""),1.1333124747390102)</f>
        <v>1.133312475</v>
      </c>
      <c r="AQ1206" s="82">
        <f>IFERROR(__xludf.DUMMYFUNCTION("""COMPUTED_VALUE"""),1.6041734872505362)</f>
        <v>1.604173487</v>
      </c>
      <c r="AR1206" s="82">
        <f>IFERROR(__xludf.DUMMYFUNCTION("""COMPUTED_VALUE"""),1.2800410726237537)</f>
        <v>1.280041073</v>
      </c>
      <c r="AS1206" s="82">
        <f>IFERROR(__xludf.DUMMYFUNCTION("""COMPUTED_VALUE"""),52.0)</f>
        <v>52</v>
      </c>
      <c r="AT1206" s="82">
        <f>IFERROR(__xludf.DUMMYFUNCTION("""COMPUTED_VALUE"""),0.6032519135424991)</f>
        <v>0.6032519135</v>
      </c>
      <c r="AU1206" s="82">
        <f>IFERROR(__xludf.DUMMYFUNCTION("""COMPUTED_VALUE"""),3.573055048025812)</f>
        <v>3.573055048</v>
      </c>
      <c r="AV1206" s="82">
        <f>IFERROR(__xludf.DUMMYFUNCTION("""COMPUTED_VALUE"""),87.2680959645229)</f>
        <v>87.26809596</v>
      </c>
      <c r="AW1206" s="82">
        <f t="shared" si="1"/>
        <v>14.70220521</v>
      </c>
      <c r="AX1206" s="83">
        <f t="array" ref="AX1206">IFERROR(DGET('SBV Import'!A:G,"SBV",{"RSC ID","Tier";B1206,A1206}))</f>
        <v>73.17185462</v>
      </c>
      <c r="AY1206" s="82">
        <f t="shared" si="2"/>
        <v>5.649847398</v>
      </c>
      <c r="AZ1206" s="82">
        <v>9.052357814246337</v>
      </c>
      <c r="BA1206" s="84">
        <v>1200.0</v>
      </c>
      <c r="BB1206" s="84" t="b">
        <f>IFERROR(__xludf.DUMMYFUNCTION("iferror(if(A1206="""",,E1206&gt;=FILTER(Constants!$F$2:$F$10,Constants!$A$2:$A$10=A1206)))"),TRUE)</f>
        <v>1</v>
      </c>
    </row>
    <row r="1207">
      <c r="A1207" s="89" t="str">
        <f>IFERROR(__xludf.DUMMYFUNCTION("""COMPUTED_VALUE"""),"Veteran")</f>
        <v>Veteran</v>
      </c>
      <c r="B1207" s="87" t="str">
        <f>IFERROR(__xludf.DUMMYFUNCTION("""COMPUTED_VALUE"""),"RSC007811")</f>
        <v>RSC007811</v>
      </c>
      <c r="C1207" s="73" t="str">
        <f>IFERROR(__xludf.DUMMYFUNCTION("""COMPUTED_VALUE"""),"Gray")</f>
        <v>Gray</v>
      </c>
      <c r="D1207" s="73" t="str">
        <f>IFERROR(__xludf.DUMMYFUNCTION("""COMPUTED_VALUE"""),"Gorillas")</f>
        <v>Gorillas</v>
      </c>
      <c r="E1207" s="82">
        <f>IFERROR(__xludf.DUMMYFUNCTION("""COMPUTED_VALUE"""),36.0)</f>
        <v>36</v>
      </c>
      <c r="F1207" s="82">
        <f>IFERROR(__xludf.DUMMYFUNCTION("""COMPUTED_VALUE"""),22.0)</f>
        <v>22</v>
      </c>
      <c r="G1207" s="86">
        <f>IFERROR(__xludf.DUMMYFUNCTION("""COMPUTED_VALUE"""),14.0)</f>
        <v>14</v>
      </c>
      <c r="H1207" s="86">
        <f>IFERROR(__xludf.DUMMYFUNCTION("""COMPUTED_VALUE"""),0.6111111111111112)</f>
        <v>0.6111111111</v>
      </c>
      <c r="I1207" s="86">
        <f>IFERROR(__xludf.DUMMYFUNCTION("""COMPUTED_VALUE"""),0.3515625)</f>
        <v>0.3515625</v>
      </c>
      <c r="J1207" s="82">
        <f>IFERROR(__xludf.DUMMYFUNCTION("""COMPUTED_VALUE"""),423.4166666666667)</f>
        <v>423.4166667</v>
      </c>
      <c r="K1207" s="82">
        <f>IFERROR(__xludf.DUMMYFUNCTION("""COMPUTED_VALUE"""),1.25)</f>
        <v>1.25</v>
      </c>
      <c r="L1207" s="82">
        <f>IFERROR(__xludf.DUMMYFUNCTION("""COMPUTED_VALUE"""),0.5)</f>
        <v>0.5</v>
      </c>
      <c r="M1207" s="82">
        <f>IFERROR(__xludf.DUMMYFUNCTION("""COMPUTED_VALUE"""),1.4166666666666667)</f>
        <v>1.416666667</v>
      </c>
      <c r="N1207" s="82">
        <f>IFERROR(__xludf.DUMMYFUNCTION("""COMPUTED_VALUE"""),3.5555555555555554)</f>
        <v>3.555555556</v>
      </c>
      <c r="O1207" s="82">
        <f>IFERROR(__xludf.DUMMYFUNCTION("""COMPUTED_VALUE"""),334.34259259259255)</f>
        <v>334.3425926</v>
      </c>
      <c r="P1207" s="82">
        <f>IFERROR(__xludf.DUMMYFUNCTION("""COMPUTED_VALUE"""),0.6574074074074074)</f>
        <v>0.6574074074</v>
      </c>
      <c r="Q1207" s="82">
        <f>IFERROR(__xludf.DUMMYFUNCTION("""COMPUTED_VALUE"""),0.4629629629629629)</f>
        <v>0.462962963</v>
      </c>
      <c r="R1207" s="82">
        <f>IFERROR(__xludf.DUMMYFUNCTION("""COMPUTED_VALUE"""),1.509259259259259)</f>
        <v>1.509259259</v>
      </c>
      <c r="S1207" s="82">
        <f>IFERROR(__xludf.DUMMYFUNCTION("""COMPUTED_VALUE"""),2.314814814814815)</f>
        <v>2.314814815</v>
      </c>
      <c r="T1207" s="82">
        <f>IFERROR(__xludf.DUMMYFUNCTION("""COMPUTED_VALUE"""),352.50696946791675)</f>
        <v>352.5069695</v>
      </c>
      <c r="U1207" s="82">
        <f>IFERROR(__xludf.DUMMYFUNCTION("""COMPUTED_VALUE"""),0.7878414595827143)</f>
        <v>0.7878414596</v>
      </c>
      <c r="V1207" s="82">
        <f>IFERROR(__xludf.DUMMYFUNCTION("""COMPUTED_VALUE"""),0.5999832212739934)</f>
        <v>0.5999832213</v>
      </c>
      <c r="W1207" s="82">
        <f>IFERROR(__xludf.DUMMYFUNCTION("""COMPUTED_VALUE"""),1.3450636312154491)</f>
        <v>1.345063631</v>
      </c>
      <c r="X1207" s="82">
        <f>IFERROR(__xludf.DUMMYFUNCTION("""COMPUTED_VALUE"""),2.673310812442284)</f>
        <v>2.673310812</v>
      </c>
      <c r="Y1207" s="82">
        <f>IFERROR(__xludf.DUMMYFUNCTION("""COMPUTED_VALUE"""),367.76490463308437)</f>
        <v>367.7649046</v>
      </c>
      <c r="Z1207" s="82">
        <f>IFERROR(__xludf.DUMMYFUNCTION("""COMPUTED_VALUE"""),0.8493216584718114)</f>
        <v>0.8493216585</v>
      </c>
      <c r="AA1207" s="82">
        <f>IFERROR(__xludf.DUMMYFUNCTION("""COMPUTED_VALUE"""),0.6383918041393667)</f>
        <v>0.6383918041</v>
      </c>
      <c r="AB1207" s="82">
        <f>IFERROR(__xludf.DUMMYFUNCTION("""COMPUTED_VALUE"""),1.4020346380619444)</f>
        <v>1.402034638</v>
      </c>
      <c r="AC1207" s="82">
        <f>IFERROR(__xludf.DUMMYFUNCTION("""COMPUTED_VALUE"""),2.658765096993985)</f>
        <v>2.658765097</v>
      </c>
      <c r="AD1207" s="82">
        <f>IFERROR(__xludf.DUMMYFUNCTION("""COMPUTED_VALUE"""),1.151324287153244)</f>
        <v>1.151324287</v>
      </c>
      <c r="AE1207" s="82">
        <f>IFERROR(__xludf.DUMMYFUNCTION("""COMPUTED_VALUE"""),1.4717627738931456)</f>
        <v>1.471762774</v>
      </c>
      <c r="AF1207" s="82">
        <f>IFERROR(__xludf.DUMMYFUNCTION("""COMPUTED_VALUE"""),0.7832180751036796)</f>
        <v>0.7832180751</v>
      </c>
      <c r="AG1207" s="82">
        <f>IFERROR(__xludf.DUMMYFUNCTION("""COMPUTED_VALUE"""),1.010436281820361)</f>
        <v>1.010436282</v>
      </c>
      <c r="AH1207" s="82">
        <f>IFERROR(__xludf.DUMMYFUNCTION("""COMPUTED_VALUE"""),1.3372958594858517)</f>
        <v>1.337295859</v>
      </c>
      <c r="AI1207" s="82">
        <f>IFERROR(__xludf.DUMMYFUNCTION("""COMPUTED_VALUE"""),0.9484708716461919)</f>
        <v>0.9484708716</v>
      </c>
      <c r="AJ1207" s="82">
        <f>IFERROR(__xludf.DUMMYFUNCTION("""COMPUTED_VALUE"""),0.834441243744151)</f>
        <v>0.8344412437</v>
      </c>
      <c r="AK1207" s="82">
        <f>IFERROR(__xludf.DUMMYFUNCTION("""COMPUTED_VALUE"""),0.7716265164547699)</f>
        <v>0.7716265165</v>
      </c>
      <c r="AL1207" s="82">
        <f>IFERROR(__xludf.DUMMYFUNCTION("""COMPUTED_VALUE"""),1.1220727586660244)</f>
        <v>1.122072759</v>
      </c>
      <c r="AM1207" s="82">
        <f>IFERROR(__xludf.DUMMYFUNCTION("""COMPUTED_VALUE"""),0.8658981230469216)</f>
        <v>0.865898123</v>
      </c>
      <c r="AN1207" s="82">
        <f>IFERROR(__xludf.DUMMYFUNCTION("""COMPUTED_VALUE"""),1.226309025725073)</f>
        <v>1.226309026</v>
      </c>
      <c r="AO1207" s="82">
        <f>IFERROR(__xludf.DUMMYFUNCTION("""COMPUTED_VALUE"""),1.6570628195709272)</f>
        <v>1.65706282</v>
      </c>
      <c r="AP1207" s="82">
        <f>IFERROR(__xludf.DUMMYFUNCTION("""COMPUTED_VALUE"""),0.9272556611500992)</f>
        <v>0.9272556612</v>
      </c>
      <c r="AQ1207" s="82">
        <f>IFERROR(__xludf.DUMMYFUNCTION("""COMPUTED_VALUE"""),1.0488826647407352)</f>
        <v>1.048882665</v>
      </c>
      <c r="AR1207" s="82">
        <f>IFERROR(__xludf.DUMMYFUNCTION("""COMPUTED_VALUE"""),1.3885191296257666)</f>
        <v>1.38851913</v>
      </c>
      <c r="AS1207" s="82">
        <f>IFERROR(__xludf.DUMMYFUNCTION("""COMPUTED_VALUE"""),102.0)</f>
        <v>102</v>
      </c>
      <c r="AT1207" s="82">
        <f>IFERROR(__xludf.DUMMYFUNCTION("""COMPUTED_VALUE"""),0.6384139072661715)</f>
        <v>0.6384139073</v>
      </c>
      <c r="AU1207" s="82">
        <f>IFERROR(__xludf.DUMMYFUNCTION("""COMPUTED_VALUE"""),3.5523729473750953)</f>
        <v>3.552372947</v>
      </c>
      <c r="AV1207" s="82">
        <f>IFERROR(__xludf.DUMMYFUNCTION("""COMPUTED_VALUE"""),86.62744530947727)</f>
        <v>86.62744531</v>
      </c>
      <c r="AW1207" s="82">
        <f t="shared" si="1"/>
        <v>13.99636607</v>
      </c>
      <c r="AX1207" s="83">
        <f t="array" ref="AX1207">IFERROR(DGET('SBV Import'!A:G,"SBV",{"RSC ID","Tier";B1207,A1207}))</f>
        <v>76.05242331</v>
      </c>
      <c r="AY1207" s="82">
        <f t="shared" si="2"/>
        <v>6.725701723</v>
      </c>
      <c r="AZ1207" s="82">
        <v>7.2706643429179625</v>
      </c>
      <c r="BA1207" s="84">
        <v>1200.0</v>
      </c>
      <c r="BB1207" s="84" t="b">
        <f>IFERROR(__xludf.DUMMYFUNCTION("iferror(if(A1207="""",,E1207&gt;=FILTER(Constants!$F$2:$F$10,Constants!$A$2:$A$10=A1207)))"),TRUE)</f>
        <v>1</v>
      </c>
    </row>
    <row r="1208">
      <c r="A1208" s="89" t="str">
        <f>IFERROR(__xludf.DUMMYFUNCTION("""COMPUTED_VALUE"""),"Veteran")</f>
        <v>Veteran</v>
      </c>
      <c r="B1208" s="87" t="str">
        <f>IFERROR(__xludf.DUMMYFUNCTION("""COMPUTED_VALUE"""),"RSC000923")</f>
        <v>RSC000923</v>
      </c>
      <c r="C1208" s="73" t="str">
        <f>IFERROR(__xludf.DUMMYFUNCTION("""COMPUTED_VALUE"""),"Stemantics")</f>
        <v>Stemantics</v>
      </c>
      <c r="D1208" s="73" t="str">
        <f>IFERROR(__xludf.DUMMYFUNCTION("""COMPUTED_VALUE"""),"Legati")</f>
        <v>Legati</v>
      </c>
      <c r="E1208" s="82">
        <f>IFERROR(__xludf.DUMMYFUNCTION("""COMPUTED_VALUE"""),36.0)</f>
        <v>36</v>
      </c>
      <c r="F1208" s="82">
        <f>IFERROR(__xludf.DUMMYFUNCTION("""COMPUTED_VALUE"""),22.0)</f>
        <v>22</v>
      </c>
      <c r="G1208" s="86">
        <f>IFERROR(__xludf.DUMMYFUNCTION("""COMPUTED_VALUE"""),14.0)</f>
        <v>14</v>
      </c>
      <c r="H1208" s="86">
        <f>IFERROR(__xludf.DUMMYFUNCTION("""COMPUTED_VALUE"""),0.6111111111111112)</f>
        <v>0.6111111111</v>
      </c>
      <c r="I1208" s="86">
        <f>IFERROR(__xludf.DUMMYFUNCTION("""COMPUTED_VALUE"""),0.3416666666666666)</f>
        <v>0.3416666667</v>
      </c>
      <c r="J1208" s="82">
        <f>IFERROR(__xludf.DUMMYFUNCTION("""COMPUTED_VALUE"""),415.44444444444446)</f>
        <v>415.4444444</v>
      </c>
      <c r="K1208" s="82">
        <f>IFERROR(__xludf.DUMMYFUNCTION("""COMPUTED_VALUE"""),1.1388888888888888)</f>
        <v>1.138888889</v>
      </c>
      <c r="L1208" s="82">
        <f>IFERROR(__xludf.DUMMYFUNCTION("""COMPUTED_VALUE"""),0.6944444444444444)</f>
        <v>0.6944444444</v>
      </c>
      <c r="M1208" s="82">
        <f>IFERROR(__xludf.DUMMYFUNCTION("""COMPUTED_VALUE"""),1.3888888888888888)</f>
        <v>1.388888889</v>
      </c>
      <c r="N1208" s="82">
        <f>IFERROR(__xludf.DUMMYFUNCTION("""COMPUTED_VALUE"""),3.3333333333333335)</f>
        <v>3.333333333</v>
      </c>
      <c r="O1208" s="82">
        <f>IFERROR(__xludf.DUMMYFUNCTION("""COMPUTED_VALUE"""),373.75)</f>
        <v>373.75</v>
      </c>
      <c r="P1208" s="82">
        <f>IFERROR(__xludf.DUMMYFUNCTION("""COMPUTED_VALUE"""),0.8796296296296295)</f>
        <v>0.8796296296</v>
      </c>
      <c r="Q1208" s="82">
        <f>IFERROR(__xludf.DUMMYFUNCTION("""COMPUTED_VALUE"""),0.6203703703703705)</f>
        <v>0.6203703704</v>
      </c>
      <c r="R1208" s="82">
        <f>IFERROR(__xludf.DUMMYFUNCTION("""COMPUTED_VALUE"""),1.3981481481481481)</f>
        <v>1.398148148</v>
      </c>
      <c r="S1208" s="82">
        <f>IFERROR(__xludf.DUMMYFUNCTION("""COMPUTED_VALUE"""),2.8518518518518525)</f>
        <v>2.851851852</v>
      </c>
      <c r="T1208" s="82">
        <f>IFERROR(__xludf.DUMMYFUNCTION("""COMPUTED_VALUE"""),359.1697005533851)</f>
        <v>359.1697006</v>
      </c>
      <c r="U1208" s="82">
        <f>IFERROR(__xludf.DUMMYFUNCTION("""COMPUTED_VALUE"""),0.8034175690501832)</f>
        <v>0.8034175691</v>
      </c>
      <c r="V1208" s="82">
        <f>IFERROR(__xludf.DUMMYFUNCTION("""COMPUTED_VALUE"""),0.5991556227619785)</f>
        <v>0.5991556228</v>
      </c>
      <c r="W1208" s="82">
        <f>IFERROR(__xludf.DUMMYFUNCTION("""COMPUTED_VALUE"""),1.358708544600809)</f>
        <v>1.358708545</v>
      </c>
      <c r="X1208" s="82">
        <f>IFERROR(__xludf.DUMMYFUNCTION("""COMPUTED_VALUE"""),2.6290904295631186)</f>
        <v>2.62909043</v>
      </c>
      <c r="Y1208" s="82">
        <f>IFERROR(__xludf.DUMMYFUNCTION("""COMPUTED_VALUE"""),358.2298594386152)</f>
        <v>358.2298594</v>
      </c>
      <c r="Z1208" s="82">
        <f>IFERROR(__xludf.DUMMYFUNCTION("""COMPUTED_VALUE"""),0.7934656215482154)</f>
        <v>0.7934656215</v>
      </c>
      <c r="AA1208" s="82">
        <f>IFERROR(__xludf.DUMMYFUNCTION("""COMPUTED_VALUE"""),0.5939453671534929)</f>
        <v>0.5939453672</v>
      </c>
      <c r="AB1208" s="82">
        <f>IFERROR(__xludf.DUMMYFUNCTION("""COMPUTED_VALUE"""),1.3536046985503318)</f>
        <v>1.353604699</v>
      </c>
      <c r="AC1208" s="82">
        <f>IFERROR(__xludf.DUMMYFUNCTION("""COMPUTED_VALUE"""),2.674423822517202)</f>
        <v>2.674423823</v>
      </c>
      <c r="AD1208" s="82">
        <f>IFERROR(__xludf.DUMMYFUNCTION("""COMPUTED_VALUE"""),1.1597147292397418)</f>
        <v>1.159714729</v>
      </c>
      <c r="AE1208" s="82">
        <f>IFERROR(__xludf.DUMMYFUNCTION("""COMPUTED_VALUE"""),1.4353348878136412)</f>
        <v>1.435334888</v>
      </c>
      <c r="AF1208" s="82">
        <f>IFERROR(__xludf.DUMMYFUNCTION("""COMPUTED_VALUE"""),1.1692059284384984)</f>
        <v>1.169205928</v>
      </c>
      <c r="AG1208" s="82">
        <f>IFERROR(__xludf.DUMMYFUNCTION("""COMPUTED_VALUE"""),1.0260668350045956)</f>
        <v>1.026066835</v>
      </c>
      <c r="AH1208" s="82">
        <f>IFERROR(__xludf.DUMMYFUNCTION("""COMPUTED_VALUE"""),1.246374379882676)</f>
        <v>1.24637438</v>
      </c>
      <c r="AI1208" s="82">
        <f>IFERROR(__xludf.DUMMYFUNCTION("""COMPUTED_VALUE"""),1.0405944583414206)</f>
        <v>1.040594458</v>
      </c>
      <c r="AJ1208" s="82">
        <f>IFERROR(__xludf.DUMMYFUNCTION("""COMPUTED_VALUE"""),1.094859838165533)</f>
        <v>1.094859838</v>
      </c>
      <c r="AK1208" s="82">
        <f>IFERROR(__xludf.DUMMYFUNCTION("""COMPUTED_VALUE"""),1.035407741832742)</f>
        <v>1.035407742</v>
      </c>
      <c r="AL1208" s="82">
        <f>IFERROR(__xludf.DUMMYFUNCTION("""COMPUTED_VALUE"""),1.0290272727760954)</f>
        <v>1.029027273</v>
      </c>
      <c r="AM1208" s="82">
        <f>IFERROR(__xludf.DUMMYFUNCTION("""COMPUTED_VALUE"""),1.0847294637658207)</f>
        <v>1.084729464</v>
      </c>
      <c r="AN1208" s="82">
        <f>IFERROR(__xludf.DUMMYFUNCTION("""COMPUTED_VALUE"""),1.203219693547477)</f>
        <v>1.203219694</v>
      </c>
      <c r="AO1208" s="82">
        <f>IFERROR(__xludf.DUMMYFUNCTION("""COMPUTED_VALUE"""),1.5097683467201781)</f>
        <v>1.509768347</v>
      </c>
      <c r="AP1208" s="82">
        <f>IFERROR(__xludf.DUMMYFUNCTION("""COMPUTED_VALUE"""),1.2878550849306931)</f>
        <v>1.287855085</v>
      </c>
      <c r="AQ1208" s="82">
        <f>IFERROR(__xludf.DUMMYFUNCTION("""COMPUTED_VALUE"""),1.0283163379811129)</f>
        <v>1.028316338</v>
      </c>
      <c r="AR1208" s="82">
        <f>IFERROR(__xludf.DUMMYFUNCTION("""COMPUTED_VALUE"""),1.3017366840241564)</f>
        <v>1.301736684</v>
      </c>
      <c r="AS1208" s="82">
        <f>IFERROR(__xludf.DUMMYFUNCTION("""COMPUTED_VALUE"""),105.0)</f>
        <v>105</v>
      </c>
      <c r="AT1208" s="82">
        <f>IFERROR(__xludf.DUMMYFUNCTION("""COMPUTED_VALUE"""),0.5408385724404116)</f>
        <v>0.5408385724</v>
      </c>
      <c r="AU1208" s="82">
        <f>IFERROR(__xludf.DUMMYFUNCTION("""COMPUTED_VALUE"""),3.4737712719478444)</f>
        <v>3.473771272</v>
      </c>
      <c r="AV1208" s="82">
        <f>IFERROR(__xludf.DUMMYFUNCTION("""COMPUTED_VALUE"""),84.19267257045144)</f>
        <v>84.19267257</v>
      </c>
      <c r="AW1208" s="82">
        <f t="shared" si="1"/>
        <v>11.66835013</v>
      </c>
      <c r="AX1208" s="83">
        <f t="array" ref="AX1208">IFERROR(DGET('SBV Import'!A:G,"SBV",{"RSC ID","Tier";B1208,A1208}))</f>
        <v>67.07236101</v>
      </c>
      <c r="AY1208" s="82">
        <f t="shared" si="2"/>
        <v>4.043070447</v>
      </c>
      <c r="AZ1208" s="82">
        <v>7.625279682869354</v>
      </c>
      <c r="BA1208" s="84">
        <v>1200.0</v>
      </c>
      <c r="BB1208" s="84" t="b">
        <f>IFERROR(__xludf.DUMMYFUNCTION("iferror(if(A1208="""",,E1208&gt;=FILTER(Constants!$F$2:$F$10,Constants!$A$2:$A$10=A1208)))"),TRUE)</f>
        <v>1</v>
      </c>
    </row>
    <row r="1209">
      <c r="A1209" s="89" t="str">
        <f>IFERROR(__xludf.DUMMYFUNCTION("""COMPUTED_VALUE"""),"Veteran")</f>
        <v>Veteran</v>
      </c>
      <c r="B1209" s="87" t="str">
        <f>IFERROR(__xludf.DUMMYFUNCTION("""COMPUTED_VALUE"""),"RSC002544")</f>
        <v>RSC002544</v>
      </c>
      <c r="C1209" s="73" t="str">
        <f>IFERROR(__xludf.DUMMYFUNCTION("""COMPUTED_VALUE"""),"J.")</f>
        <v>J.</v>
      </c>
      <c r="D1209" s="73" t="str">
        <f>IFERROR(__xludf.DUMMYFUNCTION("""COMPUTED_VALUE"""),"Makos")</f>
        <v>Makos</v>
      </c>
      <c r="E1209" s="82">
        <f>IFERROR(__xludf.DUMMYFUNCTION("""COMPUTED_VALUE"""),35.0)</f>
        <v>35</v>
      </c>
      <c r="F1209" s="82">
        <f>IFERROR(__xludf.DUMMYFUNCTION("""COMPUTED_VALUE"""),21.0)</f>
        <v>21</v>
      </c>
      <c r="G1209" s="86">
        <f>IFERROR(__xludf.DUMMYFUNCTION("""COMPUTED_VALUE"""),14.0)</f>
        <v>14</v>
      </c>
      <c r="H1209" s="86">
        <f>IFERROR(__xludf.DUMMYFUNCTION("""COMPUTED_VALUE"""),0.6)</f>
        <v>0.6</v>
      </c>
      <c r="I1209" s="86">
        <f>IFERROR(__xludf.DUMMYFUNCTION("""COMPUTED_VALUE"""),0.32173913043478264)</f>
        <v>0.3217391304</v>
      </c>
      <c r="J1209" s="82">
        <f>IFERROR(__xludf.DUMMYFUNCTION("""COMPUTED_VALUE"""),393.74285714285713)</f>
        <v>393.7428571</v>
      </c>
      <c r="K1209" s="82">
        <f>IFERROR(__xludf.DUMMYFUNCTION("""COMPUTED_VALUE"""),1.0571428571428572)</f>
        <v>1.057142857</v>
      </c>
      <c r="L1209" s="82">
        <f>IFERROR(__xludf.DUMMYFUNCTION("""COMPUTED_VALUE"""),0.6857142857142857)</f>
        <v>0.6857142857</v>
      </c>
      <c r="M1209" s="82">
        <f>IFERROR(__xludf.DUMMYFUNCTION("""COMPUTED_VALUE"""),1.5714285714285714)</f>
        <v>1.571428571</v>
      </c>
      <c r="N1209" s="82">
        <f>IFERROR(__xludf.DUMMYFUNCTION("""COMPUTED_VALUE"""),3.2857142857142856)</f>
        <v>3.285714286</v>
      </c>
      <c r="O1209" s="82">
        <f>IFERROR(__xludf.DUMMYFUNCTION("""COMPUTED_VALUE"""),364.4095238095237)</f>
        <v>364.4095238</v>
      </c>
      <c r="P1209" s="82">
        <f>IFERROR(__xludf.DUMMYFUNCTION("""COMPUTED_VALUE"""),0.780952380952381)</f>
        <v>0.780952381</v>
      </c>
      <c r="Q1209" s="82">
        <f>IFERROR(__xludf.DUMMYFUNCTION("""COMPUTED_VALUE"""),0.5523809523809523)</f>
        <v>0.5523809524</v>
      </c>
      <c r="R1209" s="82">
        <f>IFERROR(__xludf.DUMMYFUNCTION("""COMPUTED_VALUE"""),1.590476190476191)</f>
        <v>1.59047619</v>
      </c>
      <c r="S1209" s="82">
        <f>IFERROR(__xludf.DUMMYFUNCTION("""COMPUTED_VALUE"""),2.676190476190476)</f>
        <v>2.676190476</v>
      </c>
      <c r="T1209" s="82">
        <f>IFERROR(__xludf.DUMMYFUNCTION("""COMPUTED_VALUE"""),365.50427792192147)</f>
        <v>365.5042779</v>
      </c>
      <c r="U1209" s="82">
        <f>IFERROR(__xludf.DUMMYFUNCTION("""COMPUTED_VALUE"""),0.8038583691541132)</f>
        <v>0.8038583692</v>
      </c>
      <c r="V1209" s="82">
        <f>IFERROR(__xludf.DUMMYFUNCTION("""COMPUTED_VALUE"""),0.6383422028309531)</f>
        <v>0.6383422028</v>
      </c>
      <c r="W1209" s="82">
        <f>IFERROR(__xludf.DUMMYFUNCTION("""COMPUTED_VALUE"""),1.4084863665896468)</f>
        <v>1.408486367</v>
      </c>
      <c r="X1209" s="82">
        <f>IFERROR(__xludf.DUMMYFUNCTION("""COMPUTED_VALUE"""),2.7837448585168847)</f>
        <v>2.783744859</v>
      </c>
      <c r="Y1209" s="82">
        <f>IFERROR(__xludf.DUMMYFUNCTION("""COMPUTED_VALUE"""),355.78811145342246)</f>
        <v>355.7881115</v>
      </c>
      <c r="Z1209" s="82">
        <f>IFERROR(__xludf.DUMMYFUNCTION("""COMPUTED_VALUE"""),0.7822471182021199)</f>
        <v>0.7822471182</v>
      </c>
      <c r="AA1209" s="82">
        <f>IFERROR(__xludf.DUMMYFUNCTION("""COMPUTED_VALUE"""),0.5961049466381537)</f>
        <v>0.5961049466</v>
      </c>
      <c r="AB1209" s="82">
        <f>IFERROR(__xludf.DUMMYFUNCTION("""COMPUTED_VALUE"""),1.3638846272081118)</f>
        <v>1.363884627</v>
      </c>
      <c r="AC1209" s="82">
        <f>IFERROR(__xludf.DUMMYFUNCTION("""COMPUTED_VALUE"""),2.6323207940284834)</f>
        <v>2.632320794</v>
      </c>
      <c r="AD1209" s="82">
        <f>IFERROR(__xludf.DUMMYFUNCTION("""COMPUTED_VALUE"""),1.1066779481033995)</f>
        <v>1.106677948</v>
      </c>
      <c r="AE1209" s="82">
        <f>IFERROR(__xludf.DUMMYFUNCTION("""COMPUTED_VALUE"""),1.3514180270456537)</f>
        <v>1.351418027</v>
      </c>
      <c r="AF1209" s="82">
        <f>IFERROR(__xludf.DUMMYFUNCTION("""COMPUTED_VALUE"""),1.150324770128986)</f>
        <v>1.15032477</v>
      </c>
      <c r="AG1209" s="82">
        <f>IFERROR(__xludf.DUMMYFUNCTION("""COMPUTED_VALUE"""),1.1521711881490333)</f>
        <v>1.152171188</v>
      </c>
      <c r="AH1209" s="82">
        <f>IFERROR(__xludf.DUMMYFUNCTION("""COMPUTED_VALUE"""),1.2482195533189)</f>
        <v>1.248219553</v>
      </c>
      <c r="AI1209" s="82">
        <f>IFERROR(__xludf.DUMMYFUNCTION("""COMPUTED_VALUE"""),0.9970048117668499)</f>
        <v>0.9970048118</v>
      </c>
      <c r="AJ1209" s="82">
        <f>IFERROR(__xludf.DUMMYFUNCTION("""COMPUTED_VALUE"""),0.9715049452979685)</f>
        <v>0.9715049453</v>
      </c>
      <c r="AK1209" s="82">
        <f>IFERROR(__xludf.DUMMYFUNCTION("""COMPUTED_VALUE"""),0.8653367268076975)</f>
        <v>0.8653367268</v>
      </c>
      <c r="AL1209" s="82">
        <f>IFERROR(__xludf.DUMMYFUNCTION("""COMPUTED_VALUE"""),1.1292095033388179)</f>
        <v>1.129209503</v>
      </c>
      <c r="AM1209" s="82">
        <f>IFERROR(__xludf.DUMMYFUNCTION("""COMPUTED_VALUE"""),0.9613634194968173)</f>
        <v>0.9613634195</v>
      </c>
      <c r="AN1209" s="82">
        <f>IFERROR(__xludf.DUMMYFUNCTION("""COMPUTED_VALUE"""),1.140367060489818)</f>
        <v>1.14036706</v>
      </c>
      <c r="AO1209" s="82">
        <f>IFERROR(__xludf.DUMMYFUNCTION("""COMPUTED_VALUE"""),1.401401698837127)</f>
        <v>1.401401699</v>
      </c>
      <c r="AP1209" s="82">
        <f>IFERROR(__xludf.DUMMYFUNCTION("""COMPUTED_VALUE"""),1.271664906720136)</f>
        <v>1.271664907</v>
      </c>
      <c r="AQ1209" s="82">
        <f>IFERROR(__xludf.DUMMYFUNCTION("""COMPUTED_VALUE"""),1.1634664852586307)</f>
        <v>1.163466485</v>
      </c>
      <c r="AR1209" s="82">
        <f>IFERROR(__xludf.DUMMYFUNCTION("""COMPUTED_VALUE"""),1.283140445680954)</f>
        <v>1.283140446</v>
      </c>
      <c r="AS1209" s="82">
        <f>IFERROR(__xludf.DUMMYFUNCTION("""COMPUTED_VALUE"""),90.0)</f>
        <v>90</v>
      </c>
      <c r="AT1209" s="82">
        <f>IFERROR(__xludf.DUMMYFUNCTION("""COMPUTED_VALUE"""),0.5366870629181193)</f>
        <v>0.5366870629</v>
      </c>
      <c r="AU1209" s="82">
        <f>IFERROR(__xludf.DUMMYFUNCTION("""COMPUTED_VALUE"""),3.419861478789083)</f>
        <v>3.419861479</v>
      </c>
      <c r="AV1209" s="82">
        <f>IFERROR(__xludf.DUMMYFUNCTION("""COMPUTED_VALUE"""),82.52275785125492)</f>
        <v>82.52275785</v>
      </c>
      <c r="AW1209" s="82">
        <f t="shared" si="1"/>
        <v>10.34719199</v>
      </c>
      <c r="AX1209" s="83">
        <f t="array" ref="AX1209">IFERROR(DGET('SBV Import'!A:G,"SBV",{"RSC ID","Tier";B1209,A1209}))</f>
        <v>60.90816603</v>
      </c>
      <c r="AY1209" s="82">
        <f t="shared" si="2"/>
        <v>3.01841343</v>
      </c>
      <c r="AZ1209" s="82">
        <v>7.328778564184184</v>
      </c>
      <c r="BA1209" s="84">
        <v>1200.0</v>
      </c>
      <c r="BB1209" s="84" t="b">
        <f>IFERROR(__xludf.DUMMYFUNCTION("iferror(if(A1209="""",,E1209&gt;=FILTER(Constants!$F$2:$F$10,Constants!$A$2:$A$10=A1209)))"),TRUE)</f>
        <v>1</v>
      </c>
    </row>
    <row r="1210">
      <c r="A1210" s="89" t="str">
        <f>IFERROR(__xludf.DUMMYFUNCTION("""COMPUTED_VALUE"""),"Veteran")</f>
        <v>Veteran</v>
      </c>
      <c r="B1210" s="87" t="str">
        <f>IFERROR(__xludf.DUMMYFUNCTION("""COMPUTED_VALUE"""),"RSC004917")</f>
        <v>RSC004917</v>
      </c>
      <c r="C1210" s="73" t="str">
        <f>IFERROR(__xludf.DUMMYFUNCTION("""COMPUTED_VALUE"""),"Nahzey")</f>
        <v>Nahzey</v>
      </c>
      <c r="D1210" s="73" t="str">
        <f>IFERROR(__xludf.DUMMYFUNCTION("""COMPUTED_VALUE"""),"Dog Fighters")</f>
        <v>Dog Fighters</v>
      </c>
      <c r="E1210" s="82">
        <f>IFERROR(__xludf.DUMMYFUNCTION("""COMPUTED_VALUE"""),25.0)</f>
        <v>25</v>
      </c>
      <c r="F1210" s="82">
        <f>IFERROR(__xludf.DUMMYFUNCTION("""COMPUTED_VALUE"""),14.0)</f>
        <v>14</v>
      </c>
      <c r="G1210" s="86">
        <f>IFERROR(__xludf.DUMMYFUNCTION("""COMPUTED_VALUE"""),11.0)</f>
        <v>11</v>
      </c>
      <c r="H1210" s="86">
        <f>IFERROR(__xludf.DUMMYFUNCTION("""COMPUTED_VALUE"""),0.56)</f>
        <v>0.56</v>
      </c>
      <c r="I1210" s="86">
        <f>IFERROR(__xludf.DUMMYFUNCTION("""COMPUTED_VALUE"""),0.38235294117647056)</f>
        <v>0.3823529412</v>
      </c>
      <c r="J1210" s="82">
        <f>IFERROR(__xludf.DUMMYFUNCTION("""COMPUTED_VALUE"""),407.56)</f>
        <v>407.56</v>
      </c>
      <c r="K1210" s="82">
        <f>IFERROR(__xludf.DUMMYFUNCTION("""COMPUTED_VALUE"""),1.04)</f>
        <v>1.04</v>
      </c>
      <c r="L1210" s="82">
        <f>IFERROR(__xludf.DUMMYFUNCTION("""COMPUTED_VALUE"""),0.64)</f>
        <v>0.64</v>
      </c>
      <c r="M1210" s="82">
        <f>IFERROR(__xludf.DUMMYFUNCTION("""COMPUTED_VALUE"""),1.64)</f>
        <v>1.64</v>
      </c>
      <c r="N1210" s="82">
        <f>IFERROR(__xludf.DUMMYFUNCTION("""COMPUTED_VALUE"""),2.72)</f>
        <v>2.72</v>
      </c>
      <c r="O1210" s="82">
        <f>IFERROR(__xludf.DUMMYFUNCTION("""COMPUTED_VALUE"""),341.65333333333336)</f>
        <v>341.6533333</v>
      </c>
      <c r="P1210" s="82">
        <f>IFERROR(__xludf.DUMMYFUNCTION("""COMPUTED_VALUE"""),0.6133333333333334)</f>
        <v>0.6133333333</v>
      </c>
      <c r="Q1210" s="82">
        <f>IFERROR(__xludf.DUMMYFUNCTION("""COMPUTED_VALUE"""),0.4533333333333333)</f>
        <v>0.4533333333</v>
      </c>
      <c r="R1210" s="82">
        <f>IFERROR(__xludf.DUMMYFUNCTION("""COMPUTED_VALUE"""),1.48)</f>
        <v>1.48</v>
      </c>
      <c r="S1210" s="82">
        <f>IFERROR(__xludf.DUMMYFUNCTION("""COMPUTED_VALUE"""),2.4933333333333336)</f>
        <v>2.493333333</v>
      </c>
      <c r="T1210" s="82">
        <f>IFERROR(__xludf.DUMMYFUNCTION("""COMPUTED_VALUE"""),354.35158377897875)</f>
        <v>354.3515838</v>
      </c>
      <c r="U1210" s="82">
        <f>IFERROR(__xludf.DUMMYFUNCTION("""COMPUTED_VALUE"""),0.7289697402465901)</f>
        <v>0.7289697402</v>
      </c>
      <c r="V1210" s="82">
        <f>IFERROR(__xludf.DUMMYFUNCTION("""COMPUTED_VALUE"""),0.5748674171784323)</f>
        <v>0.5748674172</v>
      </c>
      <c r="W1210" s="82">
        <f>IFERROR(__xludf.DUMMYFUNCTION("""COMPUTED_VALUE"""),1.4249906114169806)</f>
        <v>1.424990611</v>
      </c>
      <c r="X1210" s="82">
        <f>IFERROR(__xludf.DUMMYFUNCTION("""COMPUTED_VALUE"""),2.549659933338653)</f>
        <v>2.549659933</v>
      </c>
      <c r="Y1210" s="82">
        <f>IFERROR(__xludf.DUMMYFUNCTION("""COMPUTED_VALUE"""),349.73969425390004)</f>
        <v>349.7396943</v>
      </c>
      <c r="Z1210" s="82">
        <f>IFERROR(__xludf.DUMMYFUNCTION("""COMPUTED_VALUE"""),0.7392722765912406)</f>
        <v>0.7392722766</v>
      </c>
      <c r="AA1210" s="82">
        <f>IFERROR(__xludf.DUMMYFUNCTION("""COMPUTED_VALUE"""),0.5318326803607224)</f>
        <v>0.5318326804</v>
      </c>
      <c r="AB1210" s="82">
        <f>IFERROR(__xludf.DUMMYFUNCTION("""COMPUTED_VALUE"""),1.3710614185904249)</f>
        <v>1.371061419</v>
      </c>
      <c r="AC1210" s="82">
        <f>IFERROR(__xludf.DUMMYFUNCTION("""COMPUTED_VALUE"""),2.6470708448452402)</f>
        <v>2.647070845</v>
      </c>
      <c r="AD1210" s="82">
        <f>IFERROR(__xludf.DUMMYFUNCTION("""COMPUTED_VALUE"""),1.1653238299685944)</f>
        <v>1.16532383</v>
      </c>
      <c r="AE1210" s="82">
        <f>IFERROR(__xludf.DUMMYFUNCTION("""COMPUTED_VALUE"""),1.406788855650593)</f>
        <v>1.406788856</v>
      </c>
      <c r="AF1210" s="82">
        <f>IFERROR(__xludf.DUMMYFUNCTION("""COMPUTED_VALUE"""),1.2033859964489428)</f>
        <v>1.203385996</v>
      </c>
      <c r="AG1210" s="82">
        <f>IFERROR(__xludf.DUMMYFUNCTION("""COMPUTED_VALUE"""),1.196153562315296)</f>
        <v>1.196153562</v>
      </c>
      <c r="AH1210" s="82">
        <f>IFERROR(__xludf.DUMMYFUNCTION("""COMPUTED_VALUE"""),1.0275508890503546)</f>
        <v>1.027550889</v>
      </c>
      <c r="AI1210" s="82">
        <f>IFERROR(__xludf.DUMMYFUNCTION("""COMPUTED_VALUE"""),0.9641648266102693)</f>
        <v>0.9641648266</v>
      </c>
      <c r="AJ1210" s="82">
        <f>IFERROR(__xludf.DUMMYFUNCTION("""COMPUTED_VALUE"""),0.8413700863987301)</f>
        <v>0.8413700864</v>
      </c>
      <c r="AK1210" s="82">
        <f>IFERROR(__xludf.DUMMYFUNCTION("""COMPUTED_VALUE"""),0.7885876287064358)</f>
        <v>0.7885876287</v>
      </c>
      <c r="AL1210" s="82">
        <f>IFERROR(__xludf.DUMMYFUNCTION("""COMPUTED_VALUE"""),1.0386033340446497)</f>
        <v>1.038603334</v>
      </c>
      <c r="AM1210" s="82">
        <f>IFERROR(__xludf.DUMMYFUNCTION("""COMPUTED_VALUE"""),0.9779081911007784)</f>
        <v>0.9779081911</v>
      </c>
      <c r="AN1210" s="82">
        <f>IFERROR(__xludf.DUMMYFUNCTION("""COMPUTED_VALUE"""),1.1803845853757389)</f>
        <v>1.180384585</v>
      </c>
      <c r="AO1210" s="82">
        <f>IFERROR(__xludf.DUMMYFUNCTION("""COMPUTED_VALUE"""),1.3786762658830114)</f>
        <v>1.378676266</v>
      </c>
      <c r="AP1210" s="82">
        <f>IFERROR(__xludf.DUMMYFUNCTION("""COMPUTED_VALUE"""),1.186887246272127)</f>
        <v>1.186887246</v>
      </c>
      <c r="AQ1210" s="82">
        <f>IFERROR(__xludf.DUMMYFUNCTION("""COMPUTED_VALUE"""),1.2142359318880982)</f>
        <v>1.214235932</v>
      </c>
      <c r="AR1210" s="82">
        <f>IFERROR(__xludf.DUMMYFUNCTION("""COMPUTED_VALUE"""),1.0622171341637117)</f>
        <v>1.062217134</v>
      </c>
      <c r="AS1210" s="82">
        <f>IFERROR(__xludf.DUMMYFUNCTION("""COMPUTED_VALUE"""),61.0)</f>
        <v>61</v>
      </c>
      <c r="AT1210" s="82">
        <f>IFERROR(__xludf.DUMMYFUNCTION("""COMPUTED_VALUE"""),0.6054872672765219)</f>
        <v>0.6054872673</v>
      </c>
      <c r="AU1210" s="82">
        <f>IFERROR(__xludf.DUMMYFUNCTION("""COMPUTED_VALUE"""),3.3971407820427535)</f>
        <v>3.397140782</v>
      </c>
      <c r="AV1210" s="82">
        <f>IFERROR(__xludf.DUMMYFUNCTION("""COMPUTED_VALUE"""),81.81895945575079)</f>
        <v>81.81895946</v>
      </c>
      <c r="AW1210" s="82">
        <f t="shared" si="1"/>
        <v>9.847181836</v>
      </c>
      <c r="AX1210" s="83">
        <f t="array" ref="AX1210">IFERROR(DGET('SBV Import'!A:G,"SBV",{"RSC ID","Tier";B1210,A1210}))</f>
        <v>67.95022721</v>
      </c>
      <c r="AY1210" s="82">
        <f t="shared" si="2"/>
        <v>4.230550778</v>
      </c>
      <c r="AZ1210" s="82">
        <v>5.616631058620133</v>
      </c>
      <c r="BA1210" s="84">
        <v>1200.0</v>
      </c>
      <c r="BB1210" s="84" t="b">
        <f>IFERROR(__xludf.DUMMYFUNCTION("iferror(if(A1210="""",,E1210&gt;=FILTER(Constants!$F$2:$F$10,Constants!$A$2:$A$10=A1210)))"),TRUE)</f>
        <v>1</v>
      </c>
    </row>
    <row r="1211">
      <c r="A1211" s="89" t="str">
        <f>IFERROR(__xludf.DUMMYFUNCTION("""COMPUTED_VALUE"""),"Veteran")</f>
        <v>Veteran</v>
      </c>
      <c r="B1211" s="87" t="str">
        <f>IFERROR(__xludf.DUMMYFUNCTION("""COMPUTED_VALUE"""),"RSC001921")</f>
        <v>RSC001921</v>
      </c>
      <c r="C1211" s="73" t="str">
        <f>IFERROR(__xludf.DUMMYFUNCTION("""COMPUTED_VALUE"""),"Dom")</f>
        <v>Dom</v>
      </c>
      <c r="D1211" s="73" t="str">
        <f>IFERROR(__xludf.DUMMYFUNCTION("""COMPUTED_VALUE"""),"Kirin")</f>
        <v>Kirin</v>
      </c>
      <c r="E1211" s="82">
        <f>IFERROR(__xludf.DUMMYFUNCTION("""COMPUTED_VALUE"""),24.0)</f>
        <v>24</v>
      </c>
      <c r="F1211" s="82">
        <f>IFERROR(__xludf.DUMMYFUNCTION("""COMPUTED_VALUE"""),11.0)</f>
        <v>11</v>
      </c>
      <c r="G1211" s="86">
        <f>IFERROR(__xludf.DUMMYFUNCTION("""COMPUTED_VALUE"""),13.0)</f>
        <v>13</v>
      </c>
      <c r="H1211" s="86">
        <f>IFERROR(__xludf.DUMMYFUNCTION("""COMPUTED_VALUE"""),0.4583333333333333)</f>
        <v>0.4583333333</v>
      </c>
      <c r="I1211" s="86">
        <f>IFERROR(__xludf.DUMMYFUNCTION("""COMPUTED_VALUE"""),0.4035087719298246)</f>
        <v>0.4035087719</v>
      </c>
      <c r="J1211" s="82">
        <f>IFERROR(__xludf.DUMMYFUNCTION("""COMPUTED_VALUE"""),432.0416666666667)</f>
        <v>432.0416667</v>
      </c>
      <c r="K1211" s="82">
        <f>IFERROR(__xludf.DUMMYFUNCTION("""COMPUTED_VALUE"""),0.9583333333333334)</f>
        <v>0.9583333333</v>
      </c>
      <c r="L1211" s="82">
        <f>IFERROR(__xludf.DUMMYFUNCTION("""COMPUTED_VALUE"""),0.7916666666666666)</f>
        <v>0.7916666667</v>
      </c>
      <c r="M1211" s="82">
        <f>IFERROR(__xludf.DUMMYFUNCTION("""COMPUTED_VALUE"""),1.7083333333333333)</f>
        <v>1.708333333</v>
      </c>
      <c r="N1211" s="82">
        <f>IFERROR(__xludf.DUMMYFUNCTION("""COMPUTED_VALUE"""),2.375)</f>
        <v>2.375</v>
      </c>
      <c r="O1211" s="82">
        <f>IFERROR(__xludf.DUMMYFUNCTION("""COMPUTED_VALUE"""),382.1944444444445)</f>
        <v>382.1944444</v>
      </c>
      <c r="P1211" s="82">
        <f>IFERROR(__xludf.DUMMYFUNCTION("""COMPUTED_VALUE"""),0.8194444444444445)</f>
        <v>0.8194444444</v>
      </c>
      <c r="Q1211" s="82">
        <f>IFERROR(__xludf.DUMMYFUNCTION("""COMPUTED_VALUE"""),0.638888888888889)</f>
        <v>0.6388888889</v>
      </c>
      <c r="R1211" s="82">
        <f>IFERROR(__xludf.DUMMYFUNCTION("""COMPUTED_VALUE"""),1.2638888888888888)</f>
        <v>1.263888889</v>
      </c>
      <c r="S1211" s="82">
        <f>IFERROR(__xludf.DUMMYFUNCTION("""COMPUTED_VALUE"""),2.9305555555555554)</f>
        <v>2.930555556</v>
      </c>
      <c r="T1211" s="82">
        <f>IFERROR(__xludf.DUMMYFUNCTION("""COMPUTED_VALUE"""),376.17802717888503)</f>
        <v>376.1780272</v>
      </c>
      <c r="U1211" s="82">
        <f>IFERROR(__xludf.DUMMYFUNCTION("""COMPUTED_VALUE"""),0.896656905186317)</f>
        <v>0.8966569052</v>
      </c>
      <c r="V1211" s="82">
        <f>IFERROR(__xludf.DUMMYFUNCTION("""COMPUTED_VALUE"""),0.6726884272227408)</f>
        <v>0.6726884272</v>
      </c>
      <c r="W1211" s="82">
        <f>IFERROR(__xludf.DUMMYFUNCTION("""COMPUTED_VALUE"""),1.3425568004979767)</f>
        <v>1.3425568</v>
      </c>
      <c r="X1211" s="82">
        <f>IFERROR(__xludf.DUMMYFUNCTION("""COMPUTED_VALUE"""),2.88990846843788)</f>
        <v>2.889908468</v>
      </c>
      <c r="Y1211" s="82">
        <f>IFERROR(__xludf.DUMMYFUNCTION("""COMPUTED_VALUE"""),354.3630125818565)</f>
        <v>354.3630126</v>
      </c>
      <c r="Z1211" s="82">
        <f>IFERROR(__xludf.DUMMYFUNCTION("""COMPUTED_VALUE"""),0.7473406784150248)</f>
        <v>0.7473406784</v>
      </c>
      <c r="AA1211" s="82">
        <f>IFERROR(__xludf.DUMMYFUNCTION("""COMPUTED_VALUE"""),0.5507019011308226)</f>
        <v>0.5507019011</v>
      </c>
      <c r="AB1211" s="82">
        <f>IFERROR(__xludf.DUMMYFUNCTION("""COMPUTED_VALUE"""),1.4471746350055177)</f>
        <v>1.447174635</v>
      </c>
      <c r="AC1211" s="82">
        <f>IFERROR(__xludf.DUMMYFUNCTION("""COMPUTED_VALUE"""),2.5527929957055773)</f>
        <v>2.552792996</v>
      </c>
      <c r="AD1211" s="82">
        <f>IFERROR(__xludf.DUMMYFUNCTION("""COMPUTED_VALUE"""),1.219206438953238)</f>
        <v>1.219206439</v>
      </c>
      <c r="AE1211" s="82">
        <f>IFERROR(__xludf.DUMMYFUNCTION("""COMPUTED_VALUE"""),1.2823245957463283)</f>
        <v>1.282324596</v>
      </c>
      <c r="AF1211" s="82">
        <f>IFERROR(__xludf.DUMMYFUNCTION("""COMPUTED_VALUE"""),1.4375593493340808)</f>
        <v>1.437559349</v>
      </c>
      <c r="AG1211" s="82">
        <f>IFERROR(__xludf.DUMMYFUNCTION("""COMPUTED_VALUE"""),1.180461080515566)</f>
        <v>1.180461081</v>
      </c>
      <c r="AH1211" s="82">
        <f>IFERROR(__xludf.DUMMYFUNCTION("""COMPUTED_VALUE"""),0.9303535398269)</f>
        <v>0.9303535398</v>
      </c>
      <c r="AI1211" s="82">
        <f>IFERROR(__xludf.DUMMYFUNCTION("""COMPUTED_VALUE"""),1.0159935371841866)</f>
        <v>1.015993537</v>
      </c>
      <c r="AJ1211" s="82">
        <f>IFERROR(__xludf.DUMMYFUNCTION("""COMPUTED_VALUE"""),0.9138885115418495)</f>
        <v>0.9138885115</v>
      </c>
      <c r="AK1211" s="82">
        <f>IFERROR(__xludf.DUMMYFUNCTION("""COMPUTED_VALUE"""),0.949754541677792)</f>
        <v>0.9497545417</v>
      </c>
      <c r="AL1211" s="82">
        <f>IFERROR(__xludf.DUMMYFUNCTION("""COMPUTED_VALUE"""),0.9414044071879055)</f>
        <v>0.9414044072</v>
      </c>
      <c r="AM1211" s="82">
        <f>IFERROR(__xludf.DUMMYFUNCTION("""COMPUTED_VALUE"""),1.0140651814967852)</f>
        <v>1.014065181</v>
      </c>
      <c r="AN1211" s="82">
        <f>IFERROR(__xludf.DUMMYFUNCTION("""COMPUTED_VALUE"""),1.2512889478196498)</f>
        <v>1.251288948</v>
      </c>
      <c r="AO1211" s="82">
        <f>IFERROR(__xludf.DUMMYFUNCTION("""COMPUTED_VALUE"""),1.2704148283377108)</f>
        <v>1.270414828</v>
      </c>
      <c r="AP1211" s="82">
        <f>IFERROR(__xludf.DUMMYFUNCTION("""COMPUTED_VALUE"""),1.4681547968209903)</f>
        <v>1.468154797</v>
      </c>
      <c r="AQ1211" s="82">
        <f>IFERROR(__xludf.DUMMYFUNCTION("""COMPUTED_VALUE"""),1.264829095716769)</f>
        <v>1.264829096</v>
      </c>
      <c r="AR1211" s="82">
        <f>IFERROR(__xludf.DUMMYFUNCTION("""COMPUTED_VALUE"""),0.9274873873672114)</f>
        <v>0.9274873874</v>
      </c>
      <c r="AS1211" s="82">
        <f>IFERROR(__xludf.DUMMYFUNCTION("""COMPUTED_VALUE"""),63.0)</f>
        <v>63</v>
      </c>
      <c r="AT1211" s="82">
        <f>IFERROR(__xludf.DUMMYFUNCTION("""COMPUTED_VALUE"""),0.5261273128952229)</f>
        <v>0.5261273129</v>
      </c>
      <c r="AU1211" s="82">
        <f>IFERROR(__xludf.DUMMYFUNCTION("""COMPUTED_VALUE"""),3.3937809436551736)</f>
        <v>3.393780944</v>
      </c>
      <c r="AV1211" s="82">
        <f>IFERROR(__xludf.DUMMYFUNCTION("""COMPUTED_VALUE"""),81.71488479234003)</f>
        <v>81.71488479</v>
      </c>
      <c r="AW1211" s="82">
        <f t="shared" si="1"/>
        <v>9.77586824</v>
      </c>
      <c r="AX1211" s="83">
        <f t="array" ref="AX1211">IFERROR(DGET('SBV Import'!A:G,"SBV",{"RSC ID","Tier";B1211,A1211}))</f>
        <v>63.18132921</v>
      </c>
      <c r="AY1211" s="82">
        <f t="shared" si="2"/>
        <v>3.344382107</v>
      </c>
      <c r="AZ1211" s="82">
        <v>6.431486132584663</v>
      </c>
      <c r="BA1211" s="84">
        <v>1200.0</v>
      </c>
      <c r="BB1211" s="84" t="b">
        <f>IFERROR(__xludf.DUMMYFUNCTION("iferror(if(A1211="""",,E1211&gt;=FILTER(Constants!$F$2:$F$10,Constants!$A$2:$A$10=A1211)))"),TRUE)</f>
        <v>1</v>
      </c>
    </row>
    <row r="1212">
      <c r="A1212" s="89" t="str">
        <f>IFERROR(__xludf.DUMMYFUNCTION("""COMPUTED_VALUE"""),"Veteran")</f>
        <v>Veteran</v>
      </c>
      <c r="B1212" s="87" t="str">
        <f>IFERROR(__xludf.DUMMYFUNCTION("""COMPUTED_VALUE"""),"RSC006378")</f>
        <v>RSC006378</v>
      </c>
      <c r="C1212" s="73" t="str">
        <f>IFERROR(__xludf.DUMMYFUNCTION("""COMPUTED_VALUE"""),"depressed vibez")</f>
        <v>depressed vibez</v>
      </c>
      <c r="D1212" s="73" t="str">
        <f>IFERROR(__xludf.DUMMYFUNCTION("""COMPUTED_VALUE"""),"Penguins")</f>
        <v>Penguins</v>
      </c>
      <c r="E1212" s="82">
        <f>IFERROR(__xludf.DUMMYFUNCTION("""COMPUTED_VALUE"""),23.0)</f>
        <v>23</v>
      </c>
      <c r="F1212" s="82">
        <f>IFERROR(__xludf.DUMMYFUNCTION("""COMPUTED_VALUE"""),15.0)</f>
        <v>15</v>
      </c>
      <c r="G1212" s="86">
        <f>IFERROR(__xludf.DUMMYFUNCTION("""COMPUTED_VALUE"""),8.0)</f>
        <v>8</v>
      </c>
      <c r="H1212" s="86">
        <f>IFERROR(__xludf.DUMMYFUNCTION("""COMPUTED_VALUE"""),0.6521739130434783)</f>
        <v>0.652173913</v>
      </c>
      <c r="I1212" s="86">
        <f>IFERROR(__xludf.DUMMYFUNCTION("""COMPUTED_VALUE"""),0.323943661971831)</f>
        <v>0.323943662</v>
      </c>
      <c r="J1212" s="82">
        <f>IFERROR(__xludf.DUMMYFUNCTION("""COMPUTED_VALUE"""),368.30434782608694)</f>
        <v>368.3043478</v>
      </c>
      <c r="K1212" s="82">
        <f>IFERROR(__xludf.DUMMYFUNCTION("""COMPUTED_VALUE"""),1.0)</f>
        <v>1</v>
      </c>
      <c r="L1212" s="82">
        <f>IFERROR(__xludf.DUMMYFUNCTION("""COMPUTED_VALUE"""),0.6521739130434783)</f>
        <v>0.652173913</v>
      </c>
      <c r="M1212" s="82">
        <f>IFERROR(__xludf.DUMMYFUNCTION("""COMPUTED_VALUE"""),1.173913043478261)</f>
        <v>1.173913043</v>
      </c>
      <c r="N1212" s="82">
        <f>IFERROR(__xludf.DUMMYFUNCTION("""COMPUTED_VALUE"""),3.0869565217391304)</f>
        <v>3.086956522</v>
      </c>
      <c r="O1212" s="82">
        <f>IFERROR(__xludf.DUMMYFUNCTION("""COMPUTED_VALUE"""),322.6811594202898)</f>
        <v>322.6811594</v>
      </c>
      <c r="P1212" s="82">
        <f>IFERROR(__xludf.DUMMYFUNCTION("""COMPUTED_VALUE"""),0.5942028985507247)</f>
        <v>0.5942028986</v>
      </c>
      <c r="Q1212" s="82">
        <f>IFERROR(__xludf.DUMMYFUNCTION("""COMPUTED_VALUE"""),0.40579710144927544)</f>
        <v>0.4057971014</v>
      </c>
      <c r="R1212" s="82">
        <f>IFERROR(__xludf.DUMMYFUNCTION("""COMPUTED_VALUE"""),1.5362318840579712)</f>
        <v>1.536231884</v>
      </c>
      <c r="S1212" s="82">
        <f>IFERROR(__xludf.DUMMYFUNCTION("""COMPUTED_VALUE"""),2.1884057971014492)</f>
        <v>2.188405797</v>
      </c>
      <c r="T1212" s="82">
        <f>IFERROR(__xludf.DUMMYFUNCTION("""COMPUTED_VALUE"""),361.36617703053236)</f>
        <v>361.366177</v>
      </c>
      <c r="U1212" s="82">
        <f>IFERROR(__xludf.DUMMYFUNCTION("""COMPUTED_VALUE"""),0.7983983486482235)</f>
        <v>0.7983983486</v>
      </c>
      <c r="V1212" s="82">
        <f>IFERROR(__xludf.DUMMYFUNCTION("""COMPUTED_VALUE"""),0.5546871748802031)</f>
        <v>0.5546871749</v>
      </c>
      <c r="W1212" s="82">
        <f>IFERROR(__xludf.DUMMYFUNCTION("""COMPUTED_VALUE"""),1.4465637462607726)</f>
        <v>1.446563746</v>
      </c>
      <c r="X1212" s="82">
        <f>IFERROR(__xludf.DUMMYFUNCTION("""COMPUTED_VALUE"""),2.6662055190353535)</f>
        <v>2.666205519</v>
      </c>
      <c r="Y1212" s="82">
        <f>IFERROR(__xludf.DUMMYFUNCTION("""COMPUTED_VALUE"""),351.58415836004133)</f>
        <v>351.5841584</v>
      </c>
      <c r="Z1212" s="82">
        <f>IFERROR(__xludf.DUMMYFUNCTION("""COMPUTED_VALUE"""),0.7785409276944761)</f>
        <v>0.7785409277</v>
      </c>
      <c r="AA1212" s="82">
        <f>IFERROR(__xludf.DUMMYFUNCTION("""COMPUTED_VALUE"""),0.5622647475949991)</f>
        <v>0.5622647476</v>
      </c>
      <c r="AB1212" s="82">
        <f>IFERROR(__xludf.DUMMYFUNCTION("""COMPUTED_VALUE"""),1.3468586923130486)</f>
        <v>1.346858692</v>
      </c>
      <c r="AC1212" s="82">
        <f>IFERROR(__xludf.DUMMYFUNCTION("""COMPUTED_VALUE"""),2.6952574613181817)</f>
        <v>2.695257461</v>
      </c>
      <c r="AD1212" s="82">
        <f>IFERROR(__xludf.DUMMYFUNCTION("""COMPUTED_VALUE"""),1.0475567202573537)</f>
        <v>1.04755672</v>
      </c>
      <c r="AE1212" s="82">
        <f>IFERROR(__xludf.DUMMYFUNCTION("""COMPUTED_VALUE"""),1.284453988772741)</f>
        <v>1.284453989</v>
      </c>
      <c r="AF1212" s="82">
        <f>IFERROR(__xludf.DUMMYFUNCTION("""COMPUTED_VALUE"""),1.159905393025353)</f>
        <v>1.159905393</v>
      </c>
      <c r="AG1212" s="82">
        <f>IFERROR(__xludf.DUMMYFUNCTION("""COMPUTED_VALUE"""),0.8715933231735122)</f>
        <v>0.8715933232</v>
      </c>
      <c r="AH1212" s="82">
        <f>IFERROR(__xludf.DUMMYFUNCTION("""COMPUTED_VALUE"""),1.1453289958538426)</f>
        <v>1.145328996</v>
      </c>
      <c r="AI1212" s="82">
        <f>IFERROR(__xludf.DUMMYFUNCTION("""COMPUTED_VALUE"""),0.892947873738128)</f>
        <v>0.8929478737</v>
      </c>
      <c r="AJ1212" s="82">
        <f>IFERROR(__xludf.DUMMYFUNCTION("""COMPUTED_VALUE"""),0.7442436467419752)</f>
        <v>0.7442436467</v>
      </c>
      <c r="AK1212" s="82">
        <f>IFERROR(__xludf.DUMMYFUNCTION("""COMPUTED_VALUE"""),0.7315783018363751)</f>
        <v>0.7315783018</v>
      </c>
      <c r="AL1212" s="82">
        <f>IFERROR(__xludf.DUMMYFUNCTION("""COMPUTED_VALUE"""),1.0619869936800104)</f>
        <v>1.061986994</v>
      </c>
      <c r="AM1212" s="82">
        <f>IFERROR(__xludf.DUMMYFUNCTION("""COMPUTED_VALUE"""),0.820794114136117)</f>
        <v>0.8207941141</v>
      </c>
      <c r="AN1212" s="82">
        <f>IFERROR(__xludf.DUMMYFUNCTION("""COMPUTED_VALUE"""),1.066691468497344)</f>
        <v>1.066691468</v>
      </c>
      <c r="AO1212" s="82">
        <f>IFERROR(__xludf.DUMMYFUNCTION("""COMPUTED_VALUE"""),1.3256502556567418)</f>
        <v>1.325650256</v>
      </c>
      <c r="AP1212" s="82">
        <f>IFERROR(__xludf.DUMMYFUNCTION("""COMPUTED_VALUE"""),1.2094639058479555)</f>
        <v>1.209463906</v>
      </c>
      <c r="AQ1212" s="82">
        <f>IFERROR(__xludf.DUMMYFUNCTION("""COMPUTED_VALUE"""),0.8691508526240365)</f>
        <v>0.8691508526</v>
      </c>
      <c r="AR1212" s="82">
        <f>IFERROR(__xludf.DUMMYFUNCTION("""COMPUTED_VALUE"""),1.2055213639006317)</f>
        <v>1.205521364</v>
      </c>
      <c r="AS1212" s="82">
        <f>IFERROR(__xludf.DUMMYFUNCTION("""COMPUTED_VALUE"""),59.0)</f>
        <v>59</v>
      </c>
      <c r="AT1212" s="82">
        <f>IFERROR(__xludf.DUMMYFUNCTION("""COMPUTED_VALUE"""),0.6352804009219489)</f>
        <v>0.6352804009</v>
      </c>
      <c r="AU1212" s="82">
        <f>IFERROR(__xludf.DUMMYFUNCTION("""COMPUTED_VALUE"""),3.3718798376377435)</f>
        <v>3.371879838</v>
      </c>
      <c r="AV1212" s="82">
        <f>IFERROR(__xludf.DUMMYFUNCTION("""COMPUTED_VALUE"""),81.03647411475713)</f>
        <v>81.03647411</v>
      </c>
      <c r="AW1212" s="82">
        <f t="shared" si="1"/>
        <v>9.326781344</v>
      </c>
      <c r="AX1212" s="83">
        <f t="array" ref="AX1212">IFERROR(DGET('SBV Import'!A:G,"SBV",{"RSC ID","Tier";B1212,A1212}))</f>
        <v>70.78259669</v>
      </c>
      <c r="AY1212" s="82">
        <f t="shared" si="2"/>
        <v>4.928512051</v>
      </c>
      <c r="AZ1212" s="82">
        <v>4.398269292689483</v>
      </c>
      <c r="BA1212" s="84">
        <v>1200.0</v>
      </c>
      <c r="BB1212" s="84" t="b">
        <f>IFERROR(__xludf.DUMMYFUNCTION("iferror(if(A1212="""",,E1212&gt;=FILTER(Constants!$F$2:$F$10,Constants!$A$2:$A$10=A1212)))"),TRUE)</f>
        <v>1</v>
      </c>
    </row>
    <row r="1213">
      <c r="A1213" s="89" t="str">
        <f>IFERROR(__xludf.DUMMYFUNCTION("""COMPUTED_VALUE"""),"Veteran")</f>
        <v>Veteran</v>
      </c>
      <c r="B1213" s="87" t="str">
        <f>IFERROR(__xludf.DUMMYFUNCTION("""COMPUTED_VALUE"""),"RSC000645")</f>
        <v>RSC000645</v>
      </c>
      <c r="C1213" s="73" t="str">
        <f>IFERROR(__xludf.DUMMYFUNCTION("""COMPUTED_VALUE"""),"DenZ")</f>
        <v>DenZ</v>
      </c>
      <c r="D1213" s="73" t="str">
        <f>IFERROR(__xludf.DUMMYFUNCTION("""COMPUTED_VALUE"""),"Grizzly Bears")</f>
        <v>Grizzly Bears</v>
      </c>
      <c r="E1213" s="82">
        <f>IFERROR(__xludf.DUMMYFUNCTION("""COMPUTED_VALUE"""),28.0)</f>
        <v>28</v>
      </c>
      <c r="F1213" s="82">
        <f>IFERROR(__xludf.DUMMYFUNCTION("""COMPUTED_VALUE"""),17.0)</f>
        <v>17</v>
      </c>
      <c r="G1213" s="86">
        <f>IFERROR(__xludf.DUMMYFUNCTION("""COMPUTED_VALUE"""),11.0)</f>
        <v>11</v>
      </c>
      <c r="H1213" s="86">
        <f>IFERROR(__xludf.DUMMYFUNCTION("""COMPUTED_VALUE"""),0.6071428571428571)</f>
        <v>0.6071428571</v>
      </c>
      <c r="I1213" s="86">
        <f>IFERROR(__xludf.DUMMYFUNCTION("""COMPUTED_VALUE"""),0.345679012345679)</f>
        <v>0.3456790123</v>
      </c>
      <c r="J1213" s="82">
        <f>IFERROR(__xludf.DUMMYFUNCTION("""COMPUTED_VALUE"""),403.75)</f>
        <v>403.75</v>
      </c>
      <c r="K1213" s="82">
        <f>IFERROR(__xludf.DUMMYFUNCTION("""COMPUTED_VALUE"""),1.0)</f>
        <v>1</v>
      </c>
      <c r="L1213" s="82">
        <f>IFERROR(__xludf.DUMMYFUNCTION("""COMPUTED_VALUE"""),0.6785714285714286)</f>
        <v>0.6785714286</v>
      </c>
      <c r="M1213" s="82">
        <f>IFERROR(__xludf.DUMMYFUNCTION("""COMPUTED_VALUE"""),1.5714285714285714)</f>
        <v>1.571428571</v>
      </c>
      <c r="N1213" s="82">
        <f>IFERROR(__xludf.DUMMYFUNCTION("""COMPUTED_VALUE"""),2.892857142857143)</f>
        <v>2.892857143</v>
      </c>
      <c r="O1213" s="82">
        <f>IFERROR(__xludf.DUMMYFUNCTION("""COMPUTED_VALUE"""),345.36904761904765)</f>
        <v>345.3690476</v>
      </c>
      <c r="P1213" s="82">
        <f>IFERROR(__xludf.DUMMYFUNCTION("""COMPUTED_VALUE"""),0.7738095238095236)</f>
        <v>0.7738095238</v>
      </c>
      <c r="Q1213" s="82">
        <f>IFERROR(__xludf.DUMMYFUNCTION("""COMPUTED_VALUE"""),0.5238095238095237)</f>
        <v>0.5238095238</v>
      </c>
      <c r="R1213" s="82">
        <f>IFERROR(__xludf.DUMMYFUNCTION("""COMPUTED_VALUE"""),1.2857142857142854)</f>
        <v>1.285714286</v>
      </c>
      <c r="S1213" s="82">
        <f>IFERROR(__xludf.DUMMYFUNCTION("""COMPUTED_VALUE"""),2.7023809523809526)</f>
        <v>2.702380952</v>
      </c>
      <c r="T1213" s="82">
        <f>IFERROR(__xludf.DUMMYFUNCTION("""COMPUTED_VALUE"""),353.25083485015426)</f>
        <v>353.2508349</v>
      </c>
      <c r="U1213" s="82">
        <f>IFERROR(__xludf.DUMMYFUNCTION("""COMPUTED_VALUE"""),0.8161366347027454)</f>
        <v>0.8161366347</v>
      </c>
      <c r="V1213" s="82">
        <f>IFERROR(__xludf.DUMMYFUNCTION("""COMPUTED_VALUE"""),0.5676441460586676)</f>
        <v>0.5676441461</v>
      </c>
      <c r="W1213" s="82">
        <f>IFERROR(__xludf.DUMMYFUNCTION("""COMPUTED_VALUE"""),1.3272151174035047)</f>
        <v>1.327215117</v>
      </c>
      <c r="X1213" s="82">
        <f>IFERROR(__xludf.DUMMYFUNCTION("""COMPUTED_VALUE"""),2.699227927052881)</f>
        <v>2.699227927</v>
      </c>
      <c r="Y1213" s="82">
        <f>IFERROR(__xludf.DUMMYFUNCTION("""COMPUTED_VALUE"""),346.33064774459586)</f>
        <v>346.3306477</v>
      </c>
      <c r="Z1213" s="82">
        <f>IFERROR(__xludf.DUMMYFUNCTION("""COMPUTED_VALUE"""),0.7430812273453627)</f>
        <v>0.7430812273</v>
      </c>
      <c r="AA1213" s="82">
        <f>IFERROR(__xludf.DUMMYFUNCTION("""COMPUTED_VALUE"""),0.54339440294229)</f>
        <v>0.5433944029</v>
      </c>
      <c r="AB1213" s="82">
        <f>IFERROR(__xludf.DUMMYFUNCTION("""COMPUTED_VALUE"""),1.3876284669938088)</f>
        <v>1.387628467</v>
      </c>
      <c r="AC1213" s="82">
        <f>IFERROR(__xludf.DUMMYFUNCTION("""COMPUTED_VALUE"""),2.5140751167848268)</f>
        <v>2.514075117</v>
      </c>
      <c r="AD1213" s="82">
        <f>IFERROR(__xludf.DUMMYFUNCTION("""COMPUTED_VALUE"""),1.1657934480512637)</f>
        <v>1.165793448</v>
      </c>
      <c r="AE1213" s="82">
        <f>IFERROR(__xludf.DUMMYFUNCTION("""COMPUTED_VALUE"""),1.3457478983454776)</f>
        <v>1.345747898</v>
      </c>
      <c r="AF1213" s="82">
        <f>IFERROR(__xludf.DUMMYFUNCTION("""COMPUTED_VALUE"""),1.2487641111082528)</f>
        <v>1.248764111</v>
      </c>
      <c r="AG1213" s="82">
        <f>IFERROR(__xludf.DUMMYFUNCTION("""COMPUTED_VALUE"""),1.1324562797655424)</f>
        <v>1.13245628</v>
      </c>
      <c r="AH1213" s="82">
        <f>IFERROR(__xludf.DUMMYFUNCTION("""COMPUTED_VALUE"""),1.1506645619072546)</f>
        <v>1.150664562</v>
      </c>
      <c r="AI1213" s="82">
        <f>IFERROR(__xludf.DUMMYFUNCTION("""COMPUTED_VALUE"""),0.9776878454244843)</f>
        <v>0.9776878454</v>
      </c>
      <c r="AJ1213" s="82">
        <f>IFERROR(__xludf.DUMMYFUNCTION("""COMPUTED_VALUE"""),0.9481372247079213)</f>
        <v>0.9481372247</v>
      </c>
      <c r="AK1213" s="82">
        <f>IFERROR(__xludf.DUMMYFUNCTION("""COMPUTED_VALUE"""),0.9227779894261193)</f>
        <v>0.9227779894</v>
      </c>
      <c r="AL1213" s="82">
        <f>IFERROR(__xludf.DUMMYFUNCTION("""COMPUTED_VALUE"""),0.9687308928710747)</f>
        <v>0.9687308929</v>
      </c>
      <c r="AM1213" s="82">
        <f>IFERROR(__xludf.DUMMYFUNCTION("""COMPUTED_VALUE"""),1.0011681211862364)</f>
        <v>1.001168121</v>
      </c>
      <c r="AN1213" s="82">
        <f>IFERROR(__xludf.DUMMYFUNCTION("""COMPUTED_VALUE"""),1.169349976311352)</f>
        <v>1.169349976</v>
      </c>
      <c r="AO1213" s="82">
        <f>IFERROR(__xludf.DUMMYFUNCTION("""COMPUTED_VALUE"""),1.3256502556567418)</f>
        <v>1.325650256</v>
      </c>
      <c r="AP1213" s="82">
        <f>IFERROR(__xludf.DUMMYFUNCTION("""COMPUTED_VALUE"""),1.2584183972751346)</f>
        <v>1.258418397</v>
      </c>
      <c r="AQ1213" s="82">
        <f>IFERROR(__xludf.DUMMYFUNCTION("""COMPUTED_VALUE"""),1.1634664852586307)</f>
        <v>1.163466485</v>
      </c>
      <c r="AR1213" s="82">
        <f>IFERROR(__xludf.DUMMYFUNCTION("""COMPUTED_VALUE"""),1.1297214793495356)</f>
        <v>1.129721479</v>
      </c>
      <c r="AS1213" s="82">
        <f>IFERROR(__xludf.DUMMYFUNCTION("""COMPUTED_VALUE"""),67.0)</f>
        <v>67</v>
      </c>
      <c r="AT1213" s="82">
        <f>IFERROR(__xludf.DUMMYFUNCTION("""COMPUTED_VALUE"""),0.5118208507992159)</f>
        <v>0.5118208508</v>
      </c>
      <c r="AU1213" s="82">
        <f>IFERROR(__xludf.DUMMYFUNCTION("""COMPUTED_VALUE"""),3.3575471104819163)</f>
        <v>3.35754711</v>
      </c>
      <c r="AV1213" s="82">
        <f>IFERROR(__xludf.DUMMYFUNCTION("""COMPUTED_VALUE"""),80.59250223801001)</f>
        <v>80.59250224</v>
      </c>
      <c r="AW1213" s="82">
        <f t="shared" si="1"/>
        <v>9.047097048</v>
      </c>
      <c r="AX1213" s="83">
        <f t="array" ref="AX1213">IFERROR(DGET('SBV Import'!A:G,"SBV",{"RSC ID","Tier";B1213,A1213}))</f>
        <v>67.55950536</v>
      </c>
      <c r="AY1213" s="82">
        <f t="shared" si="2"/>
        <v>4.145575353</v>
      </c>
      <c r="AZ1213" s="82">
        <v>4.901521694280838</v>
      </c>
      <c r="BA1213" s="84">
        <v>1200.0</v>
      </c>
      <c r="BB1213" s="84" t="b">
        <f>IFERROR(__xludf.DUMMYFUNCTION("iferror(if(A1213="""",,E1213&gt;=FILTER(Constants!$F$2:$F$10,Constants!$A$2:$A$10=A1213)))"),TRUE)</f>
        <v>1</v>
      </c>
    </row>
    <row r="1214">
      <c r="A1214" s="89" t="str">
        <f>IFERROR(__xludf.DUMMYFUNCTION("""COMPUTED_VALUE"""),"Veteran")</f>
        <v>Veteran</v>
      </c>
      <c r="B1214" s="87" t="str">
        <f>IFERROR(__xludf.DUMMYFUNCTION("""COMPUTED_VALUE"""),"RSC005491")</f>
        <v>RSC005491</v>
      </c>
      <c r="C1214" s="73" t="str">
        <f>IFERROR(__xludf.DUMMYFUNCTION("""COMPUTED_VALUE"""),"Jackowanou")</f>
        <v>Jackowanou</v>
      </c>
      <c r="D1214" s="73" t="str">
        <f>IFERROR(__xludf.DUMMYFUNCTION("""COMPUTED_VALUE"""),"Gorillas")</f>
        <v>Gorillas</v>
      </c>
      <c r="E1214" s="82">
        <f>IFERROR(__xludf.DUMMYFUNCTION("""COMPUTED_VALUE"""),36.0)</f>
        <v>36</v>
      </c>
      <c r="F1214" s="82">
        <f>IFERROR(__xludf.DUMMYFUNCTION("""COMPUTED_VALUE"""),22.0)</f>
        <v>22</v>
      </c>
      <c r="G1214" s="86">
        <f>IFERROR(__xludf.DUMMYFUNCTION("""COMPUTED_VALUE"""),14.0)</f>
        <v>14</v>
      </c>
      <c r="H1214" s="86">
        <f>IFERROR(__xludf.DUMMYFUNCTION("""COMPUTED_VALUE"""),0.6111111111111112)</f>
        <v>0.6111111111</v>
      </c>
      <c r="I1214" s="86">
        <f>IFERROR(__xludf.DUMMYFUNCTION("""COMPUTED_VALUE"""),0.3)</f>
        <v>0.3</v>
      </c>
      <c r="J1214" s="82">
        <f>IFERROR(__xludf.DUMMYFUNCTION("""COMPUTED_VALUE"""),404.19444444444446)</f>
        <v>404.1944444</v>
      </c>
      <c r="K1214" s="82">
        <f>IFERROR(__xludf.DUMMYFUNCTION("""COMPUTED_VALUE"""),0.9166666666666666)</f>
        <v>0.9166666667</v>
      </c>
      <c r="L1214" s="82">
        <f>IFERROR(__xludf.DUMMYFUNCTION("""COMPUTED_VALUE"""),0.7777777777777778)</f>
        <v>0.7777777778</v>
      </c>
      <c r="M1214" s="82">
        <f>IFERROR(__xludf.DUMMYFUNCTION("""COMPUTED_VALUE"""),1.5)</f>
        <v>1.5</v>
      </c>
      <c r="N1214" s="82">
        <f>IFERROR(__xludf.DUMMYFUNCTION("""COMPUTED_VALUE"""),3.0555555555555554)</f>
        <v>3.055555556</v>
      </c>
      <c r="O1214" s="82">
        <f>IFERROR(__xludf.DUMMYFUNCTION("""COMPUTED_VALUE"""),334.34259259259255)</f>
        <v>334.3425926</v>
      </c>
      <c r="P1214" s="82">
        <f>IFERROR(__xludf.DUMMYFUNCTION("""COMPUTED_VALUE"""),0.6574074074074074)</f>
        <v>0.6574074074</v>
      </c>
      <c r="Q1214" s="82">
        <f>IFERROR(__xludf.DUMMYFUNCTION("""COMPUTED_VALUE"""),0.4629629629629629)</f>
        <v>0.462962963</v>
      </c>
      <c r="R1214" s="82">
        <f>IFERROR(__xludf.DUMMYFUNCTION("""COMPUTED_VALUE"""),1.509259259259259)</f>
        <v>1.509259259</v>
      </c>
      <c r="S1214" s="82">
        <f>IFERROR(__xludf.DUMMYFUNCTION("""COMPUTED_VALUE"""),2.314814814814815)</f>
        <v>2.314814815</v>
      </c>
      <c r="T1214" s="82">
        <f>IFERROR(__xludf.DUMMYFUNCTION("""COMPUTED_VALUE"""),352.50696946791675)</f>
        <v>352.5069695</v>
      </c>
      <c r="U1214" s="82">
        <f>IFERROR(__xludf.DUMMYFUNCTION("""COMPUTED_VALUE"""),0.7878414595827143)</f>
        <v>0.7878414596</v>
      </c>
      <c r="V1214" s="82">
        <f>IFERROR(__xludf.DUMMYFUNCTION("""COMPUTED_VALUE"""),0.5999832212739934)</f>
        <v>0.5999832213</v>
      </c>
      <c r="W1214" s="82">
        <f>IFERROR(__xludf.DUMMYFUNCTION("""COMPUTED_VALUE"""),1.3450636312154491)</f>
        <v>1.345063631</v>
      </c>
      <c r="X1214" s="82">
        <f>IFERROR(__xludf.DUMMYFUNCTION("""COMPUTED_VALUE"""),2.673310812442284)</f>
        <v>2.673310812</v>
      </c>
      <c r="Y1214" s="82">
        <f>IFERROR(__xludf.DUMMYFUNCTION("""COMPUTED_VALUE"""),367.76490463308437)</f>
        <v>367.7649046</v>
      </c>
      <c r="Z1214" s="82">
        <f>IFERROR(__xludf.DUMMYFUNCTION("""COMPUTED_VALUE"""),0.8493216584718114)</f>
        <v>0.8493216585</v>
      </c>
      <c r="AA1214" s="82">
        <f>IFERROR(__xludf.DUMMYFUNCTION("""COMPUTED_VALUE"""),0.6383918041393667)</f>
        <v>0.6383918041</v>
      </c>
      <c r="AB1214" s="82">
        <f>IFERROR(__xludf.DUMMYFUNCTION("""COMPUTED_VALUE"""),1.4020346380619444)</f>
        <v>1.402034638</v>
      </c>
      <c r="AC1214" s="82">
        <f>IFERROR(__xludf.DUMMYFUNCTION("""COMPUTED_VALUE"""),2.658765096993985)</f>
        <v>2.658765097</v>
      </c>
      <c r="AD1214" s="82">
        <f>IFERROR(__xludf.DUMMYFUNCTION("""COMPUTED_VALUE"""),1.099056596625786)</f>
        <v>1.099056597</v>
      </c>
      <c r="AE1214" s="82">
        <f>IFERROR(__xludf.DUMMYFUNCTION("""COMPUTED_VALUE"""),1.0792927008549733)</f>
        <v>1.079292701</v>
      </c>
      <c r="AF1214" s="82">
        <f>IFERROR(__xludf.DUMMYFUNCTION("""COMPUTED_VALUE"""),1.218339227939057)</f>
        <v>1.218339228</v>
      </c>
      <c r="AG1214" s="82">
        <f>IFERROR(__xludf.DUMMYFUNCTION("""COMPUTED_VALUE"""),1.0698737101627351)</f>
        <v>1.06987371</v>
      </c>
      <c r="AH1214" s="82">
        <f>IFERROR(__xludf.DUMMYFUNCTION("""COMPUTED_VALUE"""),1.1492386292456538)</f>
        <v>1.149238629</v>
      </c>
      <c r="AI1214" s="82">
        <f>IFERROR(__xludf.DUMMYFUNCTION("""COMPUTED_VALUE"""),0.9484708716461919)</f>
        <v>0.9484708716</v>
      </c>
      <c r="AJ1214" s="82">
        <f>IFERROR(__xludf.DUMMYFUNCTION("""COMPUTED_VALUE"""),0.834441243744151)</f>
        <v>0.8344412437</v>
      </c>
      <c r="AK1214" s="82">
        <f>IFERROR(__xludf.DUMMYFUNCTION("""COMPUTED_VALUE"""),0.7716265164547699)</f>
        <v>0.7716265165</v>
      </c>
      <c r="AL1214" s="82">
        <f>IFERROR(__xludf.DUMMYFUNCTION("""COMPUTED_VALUE"""),1.1220727586660244)</f>
        <v>1.122072759</v>
      </c>
      <c r="AM1214" s="82">
        <f>IFERROR(__xludf.DUMMYFUNCTION("""COMPUTED_VALUE"""),0.8658981230469216)</f>
        <v>0.865898123</v>
      </c>
      <c r="AN1214" s="82">
        <f>IFERROR(__xludf.DUMMYFUNCTION("""COMPUTED_VALUE"""),1.1706371864675942)</f>
        <v>1.170637186</v>
      </c>
      <c r="AO1214" s="82">
        <f>IFERROR(__xludf.DUMMYFUNCTION("""COMPUTED_VALUE"""),1.2151794010186798)</f>
        <v>1.215179401</v>
      </c>
      <c r="AP1214" s="82">
        <f>IFERROR(__xludf.DUMMYFUNCTION("""COMPUTED_VALUE"""),1.4423976951223765)</f>
        <v>1.442397695</v>
      </c>
      <c r="AQ1214" s="82">
        <f>IFERROR(__xludf.DUMMYFUNCTION("""COMPUTED_VALUE"""),1.110581645019602)</f>
        <v>1.110581645</v>
      </c>
      <c r="AR1214" s="82">
        <f>IFERROR(__xludf.DUMMYFUNCTION("""COMPUTED_VALUE"""),1.1932586270221432)</f>
        <v>1.193258627</v>
      </c>
      <c r="AS1214" s="82">
        <f>IFERROR(__xludf.DUMMYFUNCTION("""COMPUTED_VALUE"""),102.0)</f>
        <v>102</v>
      </c>
      <c r="AT1214" s="82">
        <f>IFERROR(__xludf.DUMMYFUNCTION("""COMPUTED_VALUE"""),0.6384139072661715)</f>
        <v>0.6384139073</v>
      </c>
      <c r="AU1214" s="82">
        <f>IFERROR(__xludf.DUMMYFUNCTION("""COMPUTED_VALUE"""),3.337286053461906)</f>
        <v>3.337286053</v>
      </c>
      <c r="AV1214" s="82">
        <f>IFERROR(__xludf.DUMMYFUNCTION("""COMPUTED_VALUE"""),79.96489386925678)</f>
        <v>79.96489387</v>
      </c>
      <c r="AW1214" s="82">
        <f t="shared" si="1"/>
        <v>8.669824777</v>
      </c>
      <c r="AX1214" s="83">
        <f t="array" ref="AX1214">IFERROR(DGET('SBV Import'!A:G,"SBV",{"RSC ID","Tier";B1214,A1214}))</f>
        <v>69.43809568</v>
      </c>
      <c r="AY1214" s="82">
        <f t="shared" si="2"/>
        <v>4.578232796</v>
      </c>
      <c r="AZ1214" s="82">
        <v>4.0915919810432335</v>
      </c>
      <c r="BA1214" s="84">
        <v>1200.0</v>
      </c>
      <c r="BB1214" s="84" t="b">
        <f>IFERROR(__xludf.DUMMYFUNCTION("iferror(if(A1214="""",,E1214&gt;=FILTER(Constants!$F$2:$F$10,Constants!$A$2:$A$10=A1214)))"),TRUE)</f>
        <v>1</v>
      </c>
    </row>
    <row r="1215">
      <c r="A1215" s="89" t="str">
        <f>IFERROR(__xludf.DUMMYFUNCTION("""COMPUTED_VALUE"""),"Veteran")</f>
        <v>Veteran</v>
      </c>
      <c r="B1215" s="87" t="str">
        <f>IFERROR(__xludf.DUMMYFUNCTION("""COMPUTED_VALUE"""),"RSC006417")</f>
        <v>RSC006417</v>
      </c>
      <c r="C1215" s="73" t="str">
        <f>IFERROR(__xludf.DUMMYFUNCTION("""COMPUTED_VALUE"""),"TangentOgive")</f>
        <v>TangentOgive</v>
      </c>
      <c r="D1215" s="73" t="str">
        <f>IFERROR(__xludf.DUMMYFUNCTION("""COMPUTED_VALUE"""),"Cannoli")</f>
        <v>Cannoli</v>
      </c>
      <c r="E1215" s="82">
        <f>IFERROR(__xludf.DUMMYFUNCTION("""COMPUTED_VALUE"""),36.0)</f>
        <v>36</v>
      </c>
      <c r="F1215" s="82">
        <f>IFERROR(__xludf.DUMMYFUNCTION("""COMPUTED_VALUE"""),20.0)</f>
        <v>20</v>
      </c>
      <c r="G1215" s="86">
        <f>IFERROR(__xludf.DUMMYFUNCTION("""COMPUTED_VALUE"""),16.0)</f>
        <v>16</v>
      </c>
      <c r="H1215" s="86">
        <f>IFERROR(__xludf.DUMMYFUNCTION("""COMPUTED_VALUE"""),0.5555555555555556)</f>
        <v>0.5555555556</v>
      </c>
      <c r="I1215" s="86">
        <f>IFERROR(__xludf.DUMMYFUNCTION("""COMPUTED_VALUE"""),0.2377049180327869)</f>
        <v>0.237704918</v>
      </c>
      <c r="J1215" s="82">
        <f>IFERROR(__xludf.DUMMYFUNCTION("""COMPUTED_VALUE"""),373.25)</f>
        <v>373.25</v>
      </c>
      <c r="K1215" s="82">
        <f>IFERROR(__xludf.DUMMYFUNCTION("""COMPUTED_VALUE"""),0.8055555555555556)</f>
        <v>0.8055555556</v>
      </c>
      <c r="L1215" s="82">
        <f>IFERROR(__xludf.DUMMYFUNCTION("""COMPUTED_VALUE"""),0.8611111111111112)</f>
        <v>0.8611111111</v>
      </c>
      <c r="M1215" s="82">
        <f>IFERROR(__xludf.DUMMYFUNCTION("""COMPUTED_VALUE"""),1.1111111111111112)</f>
        <v>1.111111111</v>
      </c>
      <c r="N1215" s="82">
        <f>IFERROR(__xludf.DUMMYFUNCTION("""COMPUTED_VALUE"""),3.388888888888889)</f>
        <v>3.388888889</v>
      </c>
      <c r="O1215" s="82">
        <f>IFERROR(__xludf.DUMMYFUNCTION("""COMPUTED_VALUE"""),352.60185185185185)</f>
        <v>352.6018519</v>
      </c>
      <c r="P1215" s="82">
        <f>IFERROR(__xludf.DUMMYFUNCTION("""COMPUTED_VALUE"""),0.7222222222222222)</f>
        <v>0.7222222222</v>
      </c>
      <c r="Q1215" s="82">
        <f>IFERROR(__xludf.DUMMYFUNCTION("""COMPUTED_VALUE"""),0.48148148148148145)</f>
        <v>0.4814814815</v>
      </c>
      <c r="R1215" s="82">
        <f>IFERROR(__xludf.DUMMYFUNCTION("""COMPUTED_VALUE"""),1.5740740740740742)</f>
        <v>1.574074074</v>
      </c>
      <c r="S1215" s="82">
        <f>IFERROR(__xludf.DUMMYFUNCTION("""COMPUTED_VALUE"""),2.481481481481482)</f>
        <v>2.481481481</v>
      </c>
      <c r="T1215" s="82">
        <f>IFERROR(__xludf.DUMMYFUNCTION("""COMPUTED_VALUE"""),355.96911887922323)</f>
        <v>355.9691189</v>
      </c>
      <c r="U1215" s="82">
        <f>IFERROR(__xludf.DUMMYFUNCTION("""COMPUTED_VALUE"""),0.771988817195174)</f>
        <v>0.7719888172</v>
      </c>
      <c r="V1215" s="82">
        <f>IFERROR(__xludf.DUMMYFUNCTION("""COMPUTED_VALUE"""),0.5644975552945192)</f>
        <v>0.5644975553</v>
      </c>
      <c r="W1215" s="82">
        <f>IFERROR(__xludf.DUMMYFUNCTION("""COMPUTED_VALUE"""),1.3870352284681287)</f>
        <v>1.387035228</v>
      </c>
      <c r="X1215" s="82">
        <f>IFERROR(__xludf.DUMMYFUNCTION("""COMPUTED_VALUE"""),2.5842612764848174)</f>
        <v>2.584261276</v>
      </c>
      <c r="Y1215" s="82">
        <f>IFERROR(__xludf.DUMMYFUNCTION("""COMPUTED_VALUE"""),357.38509989067376)</f>
        <v>357.3850999</v>
      </c>
      <c r="Z1215" s="82">
        <f>IFERROR(__xludf.DUMMYFUNCTION("""COMPUTED_VALUE"""),0.7933315114540075)</f>
        <v>0.7933315115</v>
      </c>
      <c r="AA1215" s="82">
        <f>IFERROR(__xludf.DUMMYFUNCTION("""COMPUTED_VALUE"""),0.5963147747483434)</f>
        <v>0.5963147747</v>
      </c>
      <c r="AB1215" s="82">
        <f>IFERROR(__xludf.DUMMYFUNCTION("""COMPUTED_VALUE"""),1.3104586196678936)</f>
        <v>1.31045862</v>
      </c>
      <c r="AC1215" s="82">
        <f>IFERROR(__xludf.DUMMYFUNCTION("""COMPUTED_VALUE"""),2.722764753808308)</f>
        <v>2.722764754</v>
      </c>
      <c r="AD1215" s="82">
        <f>IFERROR(__xludf.DUMMYFUNCTION("""COMPUTED_VALUE"""),1.044391610378215)</f>
        <v>1.04439161</v>
      </c>
      <c r="AE1215" s="82">
        <f>IFERROR(__xludf.DUMMYFUNCTION("""COMPUTED_VALUE"""),1.015408494336931)</f>
        <v>1.015408494</v>
      </c>
      <c r="AF1215" s="82">
        <f>IFERROR(__xludf.DUMMYFUNCTION("""COMPUTED_VALUE"""),1.4440546294941579)</f>
        <v>1.444054629</v>
      </c>
      <c r="AG1215" s="82">
        <f>IFERROR(__xludf.DUMMYFUNCTION("""COMPUTED_VALUE"""),0.8478795853872115)</f>
        <v>0.8478795854</v>
      </c>
      <c r="AH1215" s="82">
        <f>IFERROR(__xludf.DUMMYFUNCTION("""COMPUTED_VALUE"""),1.2446499037968222)</f>
        <v>1.244649904</v>
      </c>
      <c r="AI1215" s="82">
        <f>IFERROR(__xludf.DUMMYFUNCTION("""COMPUTED_VALUE"""),0.9905405641984527)</f>
        <v>0.9905405642</v>
      </c>
      <c r="AJ1215" s="82">
        <f>IFERROR(__xludf.DUMMYFUNCTION("""COMPUTED_VALUE"""),0.935534564925738)</f>
        <v>0.9355345649</v>
      </c>
      <c r="AK1215" s="82">
        <f>IFERROR(__xludf.DUMMYFUNCTION("""COMPUTED_VALUE"""),0.8529381163223547)</f>
        <v>0.8529381163</v>
      </c>
      <c r="AL1215" s="82">
        <f>IFERROR(__xludf.DUMMYFUNCTION("""COMPUTED_VALUE"""),1.1348479416867554)</f>
        <v>1.134847942</v>
      </c>
      <c r="AM1215" s="82">
        <f>IFERROR(__xludf.DUMMYFUNCTION("""COMPUTED_VALUE"""),0.9602285589547124)</f>
        <v>0.960228559</v>
      </c>
      <c r="AN1215" s="82">
        <f>IFERROR(__xludf.DUMMYFUNCTION("""COMPUTED_VALUE"""),1.0810151793392249)</f>
        <v>1.081015179</v>
      </c>
      <c r="AO1215" s="82">
        <f>IFERROR(__xludf.DUMMYFUNCTION("""COMPUTED_VALUE"""),1.0678849281679308)</f>
        <v>1.067884928</v>
      </c>
      <c r="AP1215" s="82">
        <f>IFERROR(__xludf.DUMMYFUNCTION("""COMPUTED_VALUE"""),1.5969403053140596)</f>
        <v>1.596940305</v>
      </c>
      <c r="AQ1215" s="82">
        <f>IFERROR(__xludf.DUMMYFUNCTION("""COMPUTED_VALUE"""),0.8226530703848904)</f>
        <v>0.8226530704</v>
      </c>
      <c r="AR1215" s="82">
        <f>IFERROR(__xludf.DUMMYFUNCTION("""COMPUTED_VALUE"""),1.323432295424559)</f>
        <v>1.323432295</v>
      </c>
      <c r="AS1215" s="82">
        <f>IFERROR(__xludf.DUMMYFUNCTION("""COMPUTED_VALUE"""),98.0)</f>
        <v>98</v>
      </c>
      <c r="AT1215" s="82">
        <f>IFERROR(__xludf.DUMMYFUNCTION("""COMPUTED_VALUE"""),0.589026000710956)</f>
        <v>0.5890260007</v>
      </c>
      <c r="AU1215" s="82">
        <f>IFERROR(__xludf.DUMMYFUNCTION("""COMPUTED_VALUE"""),3.2941435141516413)</f>
        <v>3.294143514</v>
      </c>
      <c r="AV1215" s="82">
        <f>IFERROR(__xludf.DUMMYFUNCTION("""COMPUTED_VALUE"""),78.6285065971788)</f>
        <v>78.6285066</v>
      </c>
      <c r="AW1215" s="82">
        <f t="shared" si="1"/>
        <v>7.931753329</v>
      </c>
      <c r="AX1215" s="83">
        <f t="array" ref="AX1215">IFERROR(DGET('SBV Import'!A:G,"SBV",{"RSC ID","Tier";B1215,A1215}))</f>
        <v>65.40639102</v>
      </c>
      <c r="AY1215" s="82">
        <f t="shared" si="2"/>
        <v>3.719367678</v>
      </c>
      <c r="AZ1215" s="82">
        <v>4.212385651413719</v>
      </c>
      <c r="BA1215" s="84">
        <v>1200.0</v>
      </c>
      <c r="BB1215" s="84" t="b">
        <f>IFERROR(__xludf.DUMMYFUNCTION("iferror(if(A1215="""",,E1215&gt;=FILTER(Constants!$F$2:$F$10,Constants!$A$2:$A$10=A1215)))"),TRUE)</f>
        <v>1</v>
      </c>
    </row>
    <row r="1216">
      <c r="A1216" s="89" t="str">
        <f>IFERROR(__xludf.DUMMYFUNCTION("""COMPUTED_VALUE"""),"Veteran")</f>
        <v>Veteran</v>
      </c>
      <c r="B1216" s="87" t="str">
        <f>IFERROR(__xludf.DUMMYFUNCTION("""COMPUTED_VALUE"""),"RSC001074")</f>
        <v>RSC001074</v>
      </c>
      <c r="C1216" s="73" t="str">
        <f>IFERROR(__xludf.DUMMYFUNCTION("""COMPUTED_VALUE"""),"Sabre")</f>
        <v>Sabre</v>
      </c>
      <c r="D1216" s="73"/>
      <c r="E1216" s="82">
        <f>IFERROR(__xludf.DUMMYFUNCTION("""COMPUTED_VALUE"""),4.0)</f>
        <v>4</v>
      </c>
      <c r="F1216" s="82">
        <f>IFERROR(__xludf.DUMMYFUNCTION("""COMPUTED_VALUE"""),2.0)</f>
        <v>2</v>
      </c>
      <c r="G1216" s="86">
        <f>IFERROR(__xludf.DUMMYFUNCTION("""COMPUTED_VALUE"""),2.0)</f>
        <v>2</v>
      </c>
      <c r="H1216" s="86">
        <f>IFERROR(__xludf.DUMMYFUNCTION("""COMPUTED_VALUE"""),0.5)</f>
        <v>0.5</v>
      </c>
      <c r="I1216" s="86">
        <f>IFERROR(__xludf.DUMMYFUNCTION("""COMPUTED_VALUE"""),0.5555555555555556)</f>
        <v>0.5555555556</v>
      </c>
      <c r="J1216" s="82">
        <f>IFERROR(__xludf.DUMMYFUNCTION("""COMPUTED_VALUE"""),397.75)</f>
        <v>397.75</v>
      </c>
      <c r="K1216" s="82">
        <f>IFERROR(__xludf.DUMMYFUNCTION("""COMPUTED_VALUE"""),1.25)</f>
        <v>1.25</v>
      </c>
      <c r="L1216" s="82">
        <f>IFERROR(__xludf.DUMMYFUNCTION("""COMPUTED_VALUE"""),1.0)</f>
        <v>1</v>
      </c>
      <c r="M1216" s="82">
        <f>IFERROR(__xludf.DUMMYFUNCTION("""COMPUTED_VALUE"""),1.75)</f>
        <v>1.75</v>
      </c>
      <c r="N1216" s="82">
        <f>IFERROR(__xludf.DUMMYFUNCTION("""COMPUTED_VALUE"""),2.25)</f>
        <v>2.25</v>
      </c>
      <c r="O1216" s="82">
        <f>IFERROR(__xludf.DUMMYFUNCTION("""COMPUTED_VALUE"""),381.41666666666663)</f>
        <v>381.4166667</v>
      </c>
      <c r="P1216" s="82">
        <f>IFERROR(__xludf.DUMMYFUNCTION("""COMPUTED_VALUE"""),1.1666666666666665)</f>
        <v>1.166666667</v>
      </c>
      <c r="Q1216" s="82">
        <f>IFERROR(__xludf.DUMMYFUNCTION("""COMPUTED_VALUE"""),0.5833333333333333)</f>
        <v>0.5833333333</v>
      </c>
      <c r="R1216" s="82">
        <f>IFERROR(__xludf.DUMMYFUNCTION("""COMPUTED_VALUE"""),1.3333333333333333)</f>
        <v>1.333333333</v>
      </c>
      <c r="S1216" s="82">
        <f>IFERROR(__xludf.DUMMYFUNCTION("""COMPUTED_VALUE"""),3.083333333333333)</f>
        <v>3.083333333</v>
      </c>
      <c r="T1216" s="82">
        <f>IFERROR(__xludf.DUMMYFUNCTION("""COMPUTED_VALUE"""),356.433544546851)</f>
        <v>356.4335445</v>
      </c>
      <c r="U1216" s="82">
        <f>IFERROR(__xludf.DUMMYFUNCTION("""COMPUTED_VALUE"""),0.8506336405529954)</f>
        <v>0.8506336406</v>
      </c>
      <c r="V1216" s="82">
        <f>IFERROR(__xludf.DUMMYFUNCTION("""COMPUTED_VALUE"""),0.4709293394777266)</f>
        <v>0.4709293395</v>
      </c>
      <c r="W1216" s="82">
        <f>IFERROR(__xludf.DUMMYFUNCTION("""COMPUTED_VALUE"""),1.4190668202764976)</f>
        <v>1.41906682</v>
      </c>
      <c r="X1216" s="82">
        <f>IFERROR(__xludf.DUMMYFUNCTION("""COMPUTED_VALUE"""),2.7075652841781874)</f>
        <v>2.707565284</v>
      </c>
      <c r="Y1216" s="82">
        <f>IFERROR(__xludf.DUMMYFUNCTION("""COMPUTED_VALUE"""),403.26651945724524)</f>
        <v>403.2665195</v>
      </c>
      <c r="Z1216" s="82">
        <f>IFERROR(__xludf.DUMMYFUNCTION("""COMPUTED_VALUE"""),1.0330133128520225)</f>
        <v>1.033013313</v>
      </c>
      <c r="AA1216" s="82">
        <f>IFERROR(__xludf.DUMMYFUNCTION("""COMPUTED_VALUE"""),0.7519137224782387)</f>
        <v>0.7519137225</v>
      </c>
      <c r="AB1216" s="82">
        <f>IFERROR(__xludf.DUMMYFUNCTION("""COMPUTED_VALUE"""),1.5206669226830514)</f>
        <v>1.520666923</v>
      </c>
      <c r="AC1216" s="82">
        <f>IFERROR(__xludf.DUMMYFUNCTION("""COMPUTED_VALUE"""),2.820410906298003)</f>
        <v>2.820410906</v>
      </c>
      <c r="AD1216" s="82">
        <f>IFERROR(__xludf.DUMMYFUNCTION("""COMPUTED_VALUE"""),0.9863204129500512)</f>
        <v>0.986320413</v>
      </c>
      <c r="AE1216" s="82">
        <f>IFERROR(__xludf.DUMMYFUNCTION("""COMPUTED_VALUE"""),1.2100521691718609)</f>
        <v>1.210052169</v>
      </c>
      <c r="AF1216" s="82">
        <f>IFERROR(__xludf.DUMMYFUNCTION("""COMPUTED_VALUE"""),1.3299398190314862)</f>
        <v>1.329939819</v>
      </c>
      <c r="AG1216" s="82">
        <f>IFERROR(__xludf.DUMMYFUNCTION("""COMPUTED_VALUE"""),1.1508108540378557)</f>
        <v>1.150810854</v>
      </c>
      <c r="AH1216" s="82">
        <f>IFERROR(__xludf.DUMMYFUNCTION("""COMPUTED_VALUE"""),0.7977560982251662)</f>
        <v>0.7977560982</v>
      </c>
      <c r="AI1216" s="82">
        <f>IFERROR(__xludf.DUMMYFUNCTION("""COMPUTED_VALUE"""),1.0700919498235715)</f>
        <v>1.07009195</v>
      </c>
      <c r="AJ1216" s="82">
        <f>IFERROR(__xludf.DUMMYFUNCTION("""COMPUTED_VALUE"""),1.3715266021083043)</f>
        <v>1.371526602</v>
      </c>
      <c r="AK1216" s="82">
        <f>IFERROR(__xludf.DUMMYFUNCTION("""COMPUTED_VALUE"""),1.238685476637038)</f>
        <v>1.238685477</v>
      </c>
      <c r="AL1216" s="82">
        <f>IFERROR(__xludf.DUMMYFUNCTION("""COMPUTED_VALUE"""),0.9395846018537312)</f>
        <v>0.9395846019</v>
      </c>
      <c r="AM1216" s="82">
        <f>IFERROR(__xludf.DUMMYFUNCTION("""COMPUTED_VALUE"""),1.1387844833699736)</f>
        <v>1.138784483</v>
      </c>
      <c r="AN1216" s="82">
        <f>IFERROR(__xludf.DUMMYFUNCTION("""COMPUTED_VALUE"""),1.151972639202081)</f>
        <v>1.151972639</v>
      </c>
      <c r="AO1216" s="82">
        <f>IFERROR(__xludf.DUMMYFUNCTION("""COMPUTED_VALUE"""),1.6570628195709272)</f>
        <v>1.65706282</v>
      </c>
      <c r="AP1216" s="82">
        <f>IFERROR(__xludf.DUMMYFUNCTION("""COMPUTED_VALUE"""),1.8545113223001983)</f>
        <v>1.854511322</v>
      </c>
      <c r="AQ1216" s="82">
        <f>IFERROR(__xludf.DUMMYFUNCTION("""COMPUTED_VALUE"""),1.2956785858562023)</f>
        <v>1.295678586</v>
      </c>
      <c r="AR1216" s="82">
        <f>IFERROR(__xludf.DUMMYFUNCTION("""COMPUTED_VALUE"""),0.8786722617163055)</f>
        <v>0.8786722617</v>
      </c>
      <c r="AS1216" s="82">
        <f>IFERROR(__xludf.DUMMYFUNCTION("""COMPUTED_VALUE"""),14.0)</f>
        <v>14</v>
      </c>
      <c r="AT1216" s="82">
        <f>IFERROR(__xludf.DUMMYFUNCTION("""COMPUTED_VALUE"""),0.5000000000000001)</f>
        <v>0.5</v>
      </c>
      <c r="AU1216" s="82">
        <f>IFERROR(__xludf.DUMMYFUNCTION("""COMPUTED_VALUE"""),3.2153785544167754)</f>
        <v>3.215378554</v>
      </c>
      <c r="AV1216" s="82">
        <f>IFERROR(__xludf.DUMMYFUNCTION("""COMPUTED_VALUE"""),76.18867594839811)</f>
        <v>76.18867595</v>
      </c>
      <c r="AW1216" s="82">
        <f t="shared" si="1"/>
        <v>6.78317103</v>
      </c>
      <c r="AX1216" s="83">
        <f t="array" ref="AX1216">IFERROR(DGET('SBV Import'!A:G,"SBV",{"RSC ID","Tier";B1216,A1216}))</f>
        <v>43.05015387</v>
      </c>
      <c r="AY1216" s="82">
        <f t="shared" si="2"/>
        <v>-2.560763449</v>
      </c>
      <c r="AZ1216" s="82">
        <v>9.343934479116122</v>
      </c>
      <c r="BA1216" s="84">
        <v>1200.0</v>
      </c>
      <c r="BB1216" s="84" t="b">
        <f>IFERROR(__xludf.DUMMYFUNCTION("iferror(if(A1216="""",,E1216&gt;=FILTER(Constants!$F$2:$F$10,Constants!$A$2:$A$10=A1216)))"),TRUE)</f>
        <v>1</v>
      </c>
    </row>
    <row r="1217">
      <c r="A1217" s="89" t="str">
        <f>IFERROR(__xludf.DUMMYFUNCTION("""COMPUTED_VALUE"""),"Veteran")</f>
        <v>Veteran</v>
      </c>
      <c r="B1217" s="87" t="str">
        <f>IFERROR(__xludf.DUMMYFUNCTION("""COMPUTED_VALUE"""),"RSC003358")</f>
        <v>RSC003358</v>
      </c>
      <c r="C1217" s="73" t="str">
        <f>IFERROR(__xludf.DUMMYFUNCTION("""COMPUTED_VALUE"""),"galacticcccc")</f>
        <v>galacticcccc</v>
      </c>
      <c r="D1217" s="73" t="str">
        <f>IFERROR(__xludf.DUMMYFUNCTION("""COMPUTED_VALUE"""),"Rockin Revenants")</f>
        <v>Rockin Revenants</v>
      </c>
      <c r="E1217" s="82">
        <f>IFERROR(__xludf.DUMMYFUNCTION("""COMPUTED_VALUE"""),4.0)</f>
        <v>4</v>
      </c>
      <c r="F1217" s="82">
        <f>IFERROR(__xludf.DUMMYFUNCTION("""COMPUTED_VALUE"""),2.0)</f>
        <v>2</v>
      </c>
      <c r="G1217" s="86">
        <f>IFERROR(__xludf.DUMMYFUNCTION("""COMPUTED_VALUE"""),2.0)</f>
        <v>2</v>
      </c>
      <c r="H1217" s="86">
        <f>IFERROR(__xludf.DUMMYFUNCTION("""COMPUTED_VALUE"""),0.5)</f>
        <v>0.5</v>
      </c>
      <c r="I1217" s="86">
        <f>IFERROR(__xludf.DUMMYFUNCTION("""COMPUTED_VALUE"""),0.3333333333333333)</f>
        <v>0.3333333333</v>
      </c>
      <c r="J1217" s="82">
        <f>IFERROR(__xludf.DUMMYFUNCTION("""COMPUTED_VALUE"""),400.25)</f>
        <v>400.25</v>
      </c>
      <c r="K1217" s="82">
        <f>IFERROR(__xludf.DUMMYFUNCTION("""COMPUTED_VALUE"""),1.25)</f>
        <v>1.25</v>
      </c>
      <c r="L1217" s="82">
        <f>IFERROR(__xludf.DUMMYFUNCTION("""COMPUTED_VALUE"""),0.75)</f>
        <v>0.75</v>
      </c>
      <c r="M1217" s="82">
        <f>IFERROR(__xludf.DUMMYFUNCTION("""COMPUTED_VALUE"""),0.75)</f>
        <v>0.75</v>
      </c>
      <c r="N1217" s="82">
        <f>IFERROR(__xludf.DUMMYFUNCTION("""COMPUTED_VALUE"""),3.75)</f>
        <v>3.75</v>
      </c>
      <c r="O1217" s="82">
        <f>IFERROR(__xludf.DUMMYFUNCTION("""COMPUTED_VALUE"""),375.5)</f>
        <v>375.5</v>
      </c>
      <c r="P1217" s="82">
        <f>IFERROR(__xludf.DUMMYFUNCTION("""COMPUTED_VALUE"""),0.9166666666666666)</f>
        <v>0.9166666667</v>
      </c>
      <c r="Q1217" s="82">
        <f>IFERROR(__xludf.DUMMYFUNCTION("""COMPUTED_VALUE"""),0.5833333333333334)</f>
        <v>0.5833333333</v>
      </c>
      <c r="R1217" s="82">
        <f>IFERROR(__xludf.DUMMYFUNCTION("""COMPUTED_VALUE"""),1.5833333333333333)</f>
        <v>1.583333333</v>
      </c>
      <c r="S1217" s="82">
        <f>IFERROR(__xludf.DUMMYFUNCTION("""COMPUTED_VALUE"""),2.3333333333333335)</f>
        <v>2.333333333</v>
      </c>
      <c r="T1217" s="82">
        <f>IFERROR(__xludf.DUMMYFUNCTION("""COMPUTED_VALUE"""),343.8136574074074)</f>
        <v>343.8136574</v>
      </c>
      <c r="U1217" s="82">
        <f>IFERROR(__xludf.DUMMYFUNCTION("""COMPUTED_VALUE"""),0.8738425925925926)</f>
        <v>0.8738425926</v>
      </c>
      <c r="V1217" s="82">
        <f>IFERROR(__xludf.DUMMYFUNCTION("""COMPUTED_VALUE"""),0.3113425925925926)</f>
        <v>0.3113425926</v>
      </c>
      <c r="W1217" s="82">
        <f>IFERROR(__xludf.DUMMYFUNCTION("""COMPUTED_VALUE"""),1.3171296296296295)</f>
        <v>1.31712963</v>
      </c>
      <c r="X1217" s="82">
        <f>IFERROR(__xludf.DUMMYFUNCTION("""COMPUTED_VALUE"""),2.564814814814815)</f>
        <v>2.564814815</v>
      </c>
      <c r="Y1217" s="82">
        <f>IFERROR(__xludf.DUMMYFUNCTION("""COMPUTED_VALUE"""),394.24845679012344)</f>
        <v>394.2484568</v>
      </c>
      <c r="Z1217" s="82">
        <f>IFERROR(__xludf.DUMMYFUNCTION("""COMPUTED_VALUE"""),0.9934413580246912)</f>
        <v>0.993441358</v>
      </c>
      <c r="AA1217" s="82">
        <f>IFERROR(__xludf.DUMMYFUNCTION("""COMPUTED_VALUE"""),0.7611882716049383)</f>
        <v>0.7611882716</v>
      </c>
      <c r="AB1217" s="82">
        <f>IFERROR(__xludf.DUMMYFUNCTION("""COMPUTED_VALUE"""),1.3915895061728396)</f>
        <v>1.391589506</v>
      </c>
      <c r="AC1217" s="82">
        <f>IFERROR(__xludf.DUMMYFUNCTION("""COMPUTED_VALUE"""),3.1902006172839505)</f>
        <v>3.190200617</v>
      </c>
      <c r="AD1217" s="82">
        <f>IFERROR(__xludf.DUMMYFUNCTION("""COMPUTED_VALUE"""),1.0152227436950285)</f>
        <v>1.015222744</v>
      </c>
      <c r="AE1217" s="82">
        <f>IFERROR(__xludf.DUMMYFUNCTION("""COMPUTED_VALUE"""),1.2582524271844662)</f>
        <v>1.258252427</v>
      </c>
      <c r="AF1217" s="82">
        <f>IFERROR(__xludf.DUMMYFUNCTION("""COMPUTED_VALUE"""),0.9853015712113532)</f>
        <v>0.9853015712</v>
      </c>
      <c r="AG1217" s="82">
        <f>IFERROR(__xludf.DUMMYFUNCTION("""COMPUTED_VALUE"""),0.5389520377044635)</f>
        <v>0.5389520377</v>
      </c>
      <c r="AH1217" s="82">
        <f>IFERROR(__xludf.DUMMYFUNCTION("""COMPUTED_VALUE"""),1.1754746644092393)</f>
        <v>1.175474664</v>
      </c>
      <c r="AI1217" s="82">
        <f>IFERROR(__xludf.DUMMYFUNCTION("""COMPUTED_VALUE"""),1.092161384255441)</f>
        <v>1.092161384</v>
      </c>
      <c r="AJ1217" s="82">
        <f>IFERROR(__xludf.DUMMYFUNCTION("""COMPUTED_VALUE"""),1.0490066225165562)</f>
        <v>1.049006623</v>
      </c>
      <c r="AK1217" s="82">
        <f>IFERROR(__xludf.DUMMYFUNCTION("""COMPUTED_VALUE"""),1.8736059479553904)</f>
        <v>1.873605948</v>
      </c>
      <c r="AL1217" s="82">
        <f>IFERROR(__xludf.DUMMYFUNCTION("""COMPUTED_VALUE"""),1.2021089630931459)</f>
        <v>1.202108963</v>
      </c>
      <c r="AM1217" s="82">
        <f>IFERROR(__xludf.DUMMYFUNCTION("""COMPUTED_VALUE"""),0.9097472924187726)</f>
        <v>0.9097472924</v>
      </c>
      <c r="AN1217" s="82">
        <f>IFERROR(__xludf.DUMMYFUNCTION("""COMPUTED_VALUE"""),1.1592131963309438)</f>
        <v>1.159213196</v>
      </c>
      <c r="AO1217" s="82">
        <f>IFERROR(__xludf.DUMMYFUNCTION("""COMPUTED_VALUE"""),1.6570628195709272)</f>
        <v>1.65706282</v>
      </c>
      <c r="AP1217" s="82">
        <f>IFERROR(__xludf.DUMMYFUNCTION("""COMPUTED_VALUE"""),1.3908834917251487)</f>
        <v>1.390883492</v>
      </c>
      <c r="AQ1217" s="82">
        <f>IFERROR(__xludf.DUMMYFUNCTION("""COMPUTED_VALUE"""),0.555290822509801)</f>
        <v>0.5552908225</v>
      </c>
      <c r="AR1217" s="82">
        <f>IFERROR(__xludf.DUMMYFUNCTION("""COMPUTED_VALUE"""),1.464453769527176)</f>
        <v>1.46445377</v>
      </c>
      <c r="AS1217" s="82">
        <f>IFERROR(__xludf.DUMMYFUNCTION("""COMPUTED_VALUE"""),12.0)</f>
        <v>12</v>
      </c>
      <c r="AT1217" s="82">
        <f>IFERROR(__xludf.DUMMYFUNCTION("""COMPUTED_VALUE"""),0.5358751552390167)</f>
        <v>0.5358751552</v>
      </c>
      <c r="AU1217" s="82">
        <f>IFERROR(__xludf.DUMMYFUNCTION("""COMPUTED_VALUE"""),3.2065418742576033)</f>
        <v>3.206541874</v>
      </c>
      <c r="AV1217" s="82">
        <f>IFERROR(__xludf.DUMMYFUNCTION("""COMPUTED_VALUE"""),75.91495012972958)</f>
        <v>75.91495013</v>
      </c>
      <c r="AW1217" s="82">
        <f t="shared" si="1"/>
        <v>6.668372806</v>
      </c>
      <c r="AX1217" s="83">
        <f t="array" ref="AX1217">IFERROR(DGET('SBV Import'!A:G,"SBV",{"RSC ID","Tier";B1217,A1217}))</f>
        <v>55.51083864</v>
      </c>
      <c r="AY1217" s="82">
        <f t="shared" si="2"/>
        <v>2.422675695</v>
      </c>
      <c r="AZ1217" s="82">
        <v>4.2456971111128095</v>
      </c>
      <c r="BA1217" s="84">
        <v>1200.0</v>
      </c>
      <c r="BB1217" s="84" t="b">
        <f>IFERROR(__xludf.DUMMYFUNCTION("iferror(if(A1217="""",,E1217&gt;=FILTER(Constants!$F$2:$F$10,Constants!$A$2:$A$10=A1217)))"),TRUE)</f>
        <v>1</v>
      </c>
    </row>
    <row r="1218">
      <c r="A1218" s="89" t="str">
        <f>IFERROR(__xludf.DUMMYFUNCTION("""COMPUTED_VALUE"""),"Veteran")</f>
        <v>Veteran</v>
      </c>
      <c r="B1218" s="87" t="str">
        <f>IFERROR(__xludf.DUMMYFUNCTION("""COMPUTED_VALUE"""),"RSC005257")</f>
        <v>RSC005257</v>
      </c>
      <c r="C1218" s="73" t="str">
        <f>IFERROR(__xludf.DUMMYFUNCTION("""COMPUTED_VALUE"""),"P0pfgf")</f>
        <v>P0pfgf</v>
      </c>
      <c r="D1218" s="73" t="str">
        <f>IFERROR(__xludf.DUMMYFUNCTION("""COMPUTED_VALUE"""),"Mosaic Maestros")</f>
        <v>Mosaic Maestros</v>
      </c>
      <c r="E1218" s="82">
        <f>IFERROR(__xludf.DUMMYFUNCTION("""COMPUTED_VALUE"""),29.0)</f>
        <v>29</v>
      </c>
      <c r="F1218" s="82">
        <f>IFERROR(__xludf.DUMMYFUNCTION("""COMPUTED_VALUE"""),18.0)</f>
        <v>18</v>
      </c>
      <c r="G1218" s="86">
        <f>IFERROR(__xludf.DUMMYFUNCTION("""COMPUTED_VALUE"""),11.0)</f>
        <v>11</v>
      </c>
      <c r="H1218" s="86">
        <f>IFERROR(__xludf.DUMMYFUNCTION("""COMPUTED_VALUE"""),0.6206896551724138)</f>
        <v>0.6206896552</v>
      </c>
      <c r="I1218" s="86">
        <f>IFERROR(__xludf.DUMMYFUNCTION("""COMPUTED_VALUE"""),0.22340425531914895)</f>
        <v>0.2234042553</v>
      </c>
      <c r="J1218" s="82">
        <f>IFERROR(__xludf.DUMMYFUNCTION("""COMPUTED_VALUE"""),383.3103448275862)</f>
        <v>383.3103448</v>
      </c>
      <c r="K1218" s="82">
        <f>IFERROR(__xludf.DUMMYFUNCTION("""COMPUTED_VALUE"""),0.7241379310344828)</f>
        <v>0.724137931</v>
      </c>
      <c r="L1218" s="82">
        <f>IFERROR(__xludf.DUMMYFUNCTION("""COMPUTED_VALUE"""),0.9310344827586207)</f>
        <v>0.9310344828</v>
      </c>
      <c r="M1218" s="82">
        <f>IFERROR(__xludf.DUMMYFUNCTION("""COMPUTED_VALUE"""),1.6551724137931034)</f>
        <v>1.655172414</v>
      </c>
      <c r="N1218" s="82">
        <f>IFERROR(__xludf.DUMMYFUNCTION("""COMPUTED_VALUE"""),3.2413793103448274)</f>
        <v>3.24137931</v>
      </c>
      <c r="O1218" s="82">
        <f>IFERROR(__xludf.DUMMYFUNCTION("""COMPUTED_VALUE"""),364.52873563218395)</f>
        <v>364.5287356</v>
      </c>
      <c r="P1218" s="82">
        <f>IFERROR(__xludf.DUMMYFUNCTION("""COMPUTED_VALUE"""),0.7816091954022988)</f>
        <v>0.7816091954</v>
      </c>
      <c r="Q1218" s="82">
        <f>IFERROR(__xludf.DUMMYFUNCTION("""COMPUTED_VALUE"""),0.5402298850574713)</f>
        <v>0.5402298851</v>
      </c>
      <c r="R1218" s="82">
        <f>IFERROR(__xludf.DUMMYFUNCTION("""COMPUTED_VALUE"""),1.5057471264367812)</f>
        <v>1.505747126</v>
      </c>
      <c r="S1218" s="82">
        <f>IFERROR(__xludf.DUMMYFUNCTION("""COMPUTED_VALUE"""),2.563218390804598)</f>
        <v>2.563218391</v>
      </c>
      <c r="T1218" s="82">
        <f>IFERROR(__xludf.DUMMYFUNCTION("""COMPUTED_VALUE"""),352.4126477757561)</f>
        <v>352.4126478</v>
      </c>
      <c r="U1218" s="82">
        <f>IFERROR(__xludf.DUMMYFUNCTION("""COMPUTED_VALUE"""),0.7892412310506359)</f>
        <v>0.7892412311</v>
      </c>
      <c r="V1218" s="82">
        <f>IFERROR(__xludf.DUMMYFUNCTION("""COMPUTED_VALUE"""),0.5502527924186076)</f>
        <v>0.5502527924</v>
      </c>
      <c r="W1218" s="82">
        <f>IFERROR(__xludf.DUMMYFUNCTION("""COMPUTED_VALUE"""),1.4058075210339074)</f>
        <v>1.405807521</v>
      </c>
      <c r="X1218" s="82">
        <f>IFERROR(__xludf.DUMMYFUNCTION("""COMPUTED_VALUE"""),2.5770642029792614)</f>
        <v>2.577064203</v>
      </c>
      <c r="Y1218" s="82">
        <f>IFERROR(__xludf.DUMMYFUNCTION("""COMPUTED_VALUE"""),360.47305216569845)</f>
        <v>360.4730522</v>
      </c>
      <c r="Z1218" s="82">
        <f>IFERROR(__xludf.DUMMYFUNCTION("""COMPUTED_VALUE"""),0.8237584706692817)</f>
        <v>0.8237584707</v>
      </c>
      <c r="AA1218" s="82">
        <f>IFERROR(__xludf.DUMMYFUNCTION("""COMPUTED_VALUE"""),0.5855972291831992)</f>
        <v>0.5855972292</v>
      </c>
      <c r="AB1218" s="82">
        <f>IFERROR(__xludf.DUMMYFUNCTION("""COMPUTED_VALUE"""),1.392358858802097)</f>
        <v>1.392358859</v>
      </c>
      <c r="AC1218" s="82">
        <f>IFERROR(__xludf.DUMMYFUNCTION("""COMPUTED_VALUE"""),2.693409530538234)</f>
        <v>2.693409531</v>
      </c>
      <c r="AD1218" s="82">
        <f>IFERROR(__xludf.DUMMYFUNCTION("""COMPUTED_VALUE"""),1.0633536751906496)</f>
        <v>1.063353675</v>
      </c>
      <c r="AE1218" s="82">
        <f>IFERROR(__xludf.DUMMYFUNCTION("""COMPUTED_VALUE"""),0.8790658388570379)</f>
        <v>0.8790658389</v>
      </c>
      <c r="AF1218" s="82">
        <f>IFERROR(__xludf.DUMMYFUNCTION("""COMPUTED_VALUE"""),1.5898888115595136)</f>
        <v>1.589888812</v>
      </c>
      <c r="AG1218" s="82">
        <f>IFERROR(__xludf.DUMMYFUNCTION("""COMPUTED_VALUE"""),1.1887541802385024)</f>
        <v>1.18875418</v>
      </c>
      <c r="AH1218" s="82">
        <f>IFERROR(__xludf.DUMMYFUNCTION("""COMPUTED_VALUE"""),1.2034483703995398)</f>
        <v>1.20344837</v>
      </c>
      <c r="AI1218" s="82">
        <f>IFERROR(__xludf.DUMMYFUNCTION("""COMPUTED_VALUE"""),1.0343804001726336)</f>
        <v>1.0343804</v>
      </c>
      <c r="AJ1218" s="82">
        <f>IFERROR(__xludf.DUMMYFUNCTION("""COMPUTED_VALUE"""),0.9903299075769554)</f>
        <v>0.9903299076</v>
      </c>
      <c r="AK1218" s="82">
        <f>IFERROR(__xludf.DUMMYFUNCTION("""COMPUTED_VALUE"""),0.9817849041400024)</f>
        <v>0.9817849041</v>
      </c>
      <c r="AL1218" s="82">
        <f>IFERROR(__xludf.DUMMYFUNCTION("""COMPUTED_VALUE"""),1.0710905325996356)</f>
        <v>1.071090533</v>
      </c>
      <c r="AM1218" s="82">
        <f>IFERROR(__xludf.DUMMYFUNCTION("""COMPUTED_VALUE"""),0.9946272924987059)</f>
        <v>0.9946272925</v>
      </c>
      <c r="AN1218" s="82">
        <f>IFERROR(__xludf.DUMMYFUNCTION("""COMPUTED_VALUE"""),1.110152179923304)</f>
        <v>1.11015218</v>
      </c>
      <c r="AO1218" s="82">
        <f>IFERROR(__xludf.DUMMYFUNCTION("""COMPUTED_VALUE"""),0.9599536334066061)</f>
        <v>0.9599536334</v>
      </c>
      <c r="AP1218" s="82">
        <f>IFERROR(__xludf.DUMMYFUNCTION("""COMPUTED_VALUE"""),1.7266139897277708)</f>
        <v>1.72661399</v>
      </c>
      <c r="AQ1218" s="82">
        <f>IFERROR(__xludf.DUMMYFUNCTION("""COMPUTED_VALUE"""),1.2254694014009402)</f>
        <v>1.225469401</v>
      </c>
      <c r="AR1218" s="82">
        <f>IFERROR(__xludf.DUMMYFUNCTION("""COMPUTED_VALUE"""),1.2658267065338347)</f>
        <v>1.265826707</v>
      </c>
      <c r="AS1218" s="82">
        <f>IFERROR(__xludf.DUMMYFUNCTION("""COMPUTED_VALUE"""),78.0)</f>
        <v>78</v>
      </c>
      <c r="AT1218" s="82">
        <f>IFERROR(__xludf.DUMMYFUNCTION("""COMPUTED_VALUE"""),0.5543301194801056)</f>
        <v>0.5543301195</v>
      </c>
      <c r="AU1218" s="82">
        <f>IFERROR(__xludf.DUMMYFUNCTION("""COMPUTED_VALUE"""),3.1990587742101604)</f>
        <v>3.199058774</v>
      </c>
      <c r="AV1218" s="82">
        <f>IFERROR(__xludf.DUMMYFUNCTION("""COMPUTED_VALUE"""),75.6831529332973)</f>
        <v>75.68315293</v>
      </c>
      <c r="AW1218" s="82">
        <f t="shared" si="1"/>
        <v>6.573175769</v>
      </c>
      <c r="AX1218" s="83">
        <f t="array" ref="AX1218">IFERROR(DGET('SBV Import'!A:G,"SBV",{"RSC ID","Tier";B1218,A1218}))</f>
        <v>63.79837929</v>
      </c>
      <c r="AY1218" s="82">
        <f t="shared" si="2"/>
        <v>3.442383628</v>
      </c>
      <c r="AZ1218" s="82">
        <v>3.1307921406866885</v>
      </c>
      <c r="BA1218" s="84">
        <v>1200.0</v>
      </c>
      <c r="BB1218" s="84" t="b">
        <f>IFERROR(__xludf.DUMMYFUNCTION("iferror(if(A1218="""",,E1218&gt;=FILTER(Constants!$F$2:$F$10,Constants!$A$2:$A$10=A1218)))"),TRUE)</f>
        <v>1</v>
      </c>
    </row>
    <row r="1219">
      <c r="A1219" s="89" t="str">
        <f>IFERROR(__xludf.DUMMYFUNCTION("""COMPUTED_VALUE"""),"Veteran")</f>
        <v>Veteran</v>
      </c>
      <c r="B1219" s="87" t="str">
        <f>IFERROR(__xludf.DUMMYFUNCTION("""COMPUTED_VALUE"""),"RSC007855")</f>
        <v>RSC007855</v>
      </c>
      <c r="C1219" s="73" t="str">
        <f>IFERROR(__xludf.DUMMYFUNCTION("""COMPUTED_VALUE"""),"Dub_Dill")</f>
        <v>Dub_Dill</v>
      </c>
      <c r="D1219" s="73" t="str">
        <f>IFERROR(__xludf.DUMMYFUNCTION("""COMPUTED_VALUE"""),"Legati")</f>
        <v>Legati</v>
      </c>
      <c r="E1219" s="82">
        <f>IFERROR(__xludf.DUMMYFUNCTION("""COMPUTED_VALUE"""),24.0)</f>
        <v>24</v>
      </c>
      <c r="F1219" s="82">
        <f>IFERROR(__xludf.DUMMYFUNCTION("""COMPUTED_VALUE"""),17.0)</f>
        <v>17</v>
      </c>
      <c r="G1219" s="86">
        <f>IFERROR(__xludf.DUMMYFUNCTION("""COMPUTED_VALUE"""),7.0)</f>
        <v>7</v>
      </c>
      <c r="H1219" s="86">
        <f>IFERROR(__xludf.DUMMYFUNCTION("""COMPUTED_VALUE"""),0.7083333333333334)</f>
        <v>0.7083333333</v>
      </c>
      <c r="I1219" s="86">
        <f>IFERROR(__xludf.DUMMYFUNCTION("""COMPUTED_VALUE"""),0.31343283582089554)</f>
        <v>0.3134328358</v>
      </c>
      <c r="J1219" s="82">
        <f>IFERROR(__xludf.DUMMYFUNCTION("""COMPUTED_VALUE"""),346.75)</f>
        <v>346.75</v>
      </c>
      <c r="K1219" s="82">
        <f>IFERROR(__xludf.DUMMYFUNCTION("""COMPUTED_VALUE"""),0.875)</f>
        <v>0.875</v>
      </c>
      <c r="L1219" s="82">
        <f>IFERROR(__xludf.DUMMYFUNCTION("""COMPUTED_VALUE"""),0.9583333333333334)</f>
        <v>0.9583333333</v>
      </c>
      <c r="M1219" s="82">
        <f>IFERROR(__xludf.DUMMYFUNCTION("""COMPUTED_VALUE"""),0.9166666666666666)</f>
        <v>0.9166666667</v>
      </c>
      <c r="N1219" s="82">
        <f>IFERROR(__xludf.DUMMYFUNCTION("""COMPUTED_VALUE"""),2.7916666666666665)</f>
        <v>2.791666667</v>
      </c>
      <c r="O1219" s="82">
        <f>IFERROR(__xludf.DUMMYFUNCTION("""COMPUTED_VALUE"""),357.66666666666674)</f>
        <v>357.6666667</v>
      </c>
      <c r="P1219" s="82">
        <f>IFERROR(__xludf.DUMMYFUNCTION("""COMPUTED_VALUE"""),0.8333333333333335)</f>
        <v>0.8333333333</v>
      </c>
      <c r="Q1219" s="82">
        <f>IFERROR(__xludf.DUMMYFUNCTION("""COMPUTED_VALUE"""),0.5833333333333334)</f>
        <v>0.5833333333</v>
      </c>
      <c r="R1219" s="82">
        <f>IFERROR(__xludf.DUMMYFUNCTION("""COMPUTED_VALUE"""),1.4166666666666667)</f>
        <v>1.416666667</v>
      </c>
      <c r="S1219" s="82">
        <f>IFERROR(__xludf.DUMMYFUNCTION("""COMPUTED_VALUE"""),2.555555555555555)</f>
        <v>2.555555556</v>
      </c>
      <c r="T1219" s="82">
        <f>IFERROR(__xludf.DUMMYFUNCTION("""COMPUTED_VALUE"""),352.65215099724884)</f>
        <v>352.652151</v>
      </c>
      <c r="U1219" s="82">
        <f>IFERROR(__xludf.DUMMYFUNCTION("""COMPUTED_VALUE"""),0.782569732863017)</f>
        <v>0.7825697329</v>
      </c>
      <c r="V1219" s="82">
        <f>IFERROR(__xludf.DUMMYFUNCTION("""COMPUTED_VALUE"""),0.580899601535851)</f>
        <v>0.5808996015</v>
      </c>
      <c r="W1219" s="82">
        <f>IFERROR(__xludf.DUMMYFUNCTION("""COMPUTED_VALUE"""),1.3451502352018674)</f>
        <v>1.345150235</v>
      </c>
      <c r="X1219" s="82">
        <f>IFERROR(__xludf.DUMMYFUNCTION("""COMPUTED_VALUE"""),2.6151096087199877)</f>
        <v>2.615109609</v>
      </c>
      <c r="Y1219" s="82">
        <f>IFERROR(__xludf.DUMMYFUNCTION("""COMPUTED_VALUE"""),363.99101887111846)</f>
        <v>363.9910189</v>
      </c>
      <c r="Z1219" s="82">
        <f>IFERROR(__xludf.DUMMYFUNCTION("""COMPUTED_VALUE"""),0.8201467851904063)</f>
        <v>0.8201467852</v>
      </c>
      <c r="AA1219" s="82">
        <f>IFERROR(__xludf.DUMMYFUNCTION("""COMPUTED_VALUE"""),0.6154101477233577)</f>
        <v>0.6154101477</v>
      </c>
      <c r="AB1219" s="82">
        <f>IFERROR(__xludf.DUMMYFUNCTION("""COMPUTED_VALUE"""),1.3981784628589635)</f>
        <v>1.398178463</v>
      </c>
      <c r="AC1219" s="82">
        <f>IFERROR(__xludf.DUMMYFUNCTION("""COMPUTED_VALUE"""),2.7056301554080933)</f>
        <v>2.705630155</v>
      </c>
      <c r="AD1219" s="82">
        <f>IFERROR(__xludf.DUMMYFUNCTION("""COMPUTED_VALUE"""),0.9526333948442197)</f>
        <v>0.9526333948</v>
      </c>
      <c r="AE1219" s="82">
        <f>IFERROR(__xludf.DUMMYFUNCTION("""COMPUTED_VALUE"""),1.0668821920662153)</f>
        <v>1.066882192</v>
      </c>
      <c r="AF1219" s="82">
        <f>IFERROR(__xludf.DUMMYFUNCTION("""COMPUTED_VALUE"""),1.5572270572374902)</f>
        <v>1.557227057</v>
      </c>
      <c r="AG1219" s="82">
        <f>IFERROR(__xludf.DUMMYFUNCTION("""COMPUTED_VALUE"""),0.6556149240006798)</f>
        <v>0.655614924</v>
      </c>
      <c r="AH1219" s="82">
        <f>IFERROR(__xludf.DUMMYFUNCTION("""COMPUTED_VALUE"""),1.0317990657690597)</f>
        <v>1.031799066</v>
      </c>
      <c r="AI1219" s="82">
        <f>IFERROR(__xludf.DUMMYFUNCTION("""COMPUTED_VALUE"""),1.0142194387734134)</f>
        <v>1.014219439</v>
      </c>
      <c r="AJ1219" s="82">
        <f>IFERROR(__xludf.DUMMYFUNCTION("""COMPUTED_VALUE"""),1.0648678300968768)</f>
        <v>1.06486783</v>
      </c>
      <c r="AK1219" s="82">
        <f>IFERROR(__xludf.DUMMYFUNCTION("""COMPUTED_VALUE"""),1.0041895910946537)</f>
        <v>1.004189591</v>
      </c>
      <c r="AL1219" s="82">
        <f>IFERROR(__xludf.DUMMYFUNCTION("""COMPUTED_VALUE"""),1.053166129398228)</f>
        <v>1.053166129</v>
      </c>
      <c r="AM1219" s="82">
        <f>IFERROR(__xludf.DUMMYFUNCTION("""COMPUTED_VALUE"""),0.977226938035082)</f>
        <v>0.977226938</v>
      </c>
      <c r="AN1219" s="82">
        <f>IFERROR(__xludf.DUMMYFUNCTION("""COMPUTED_VALUE"""),1.0042652737732787)</f>
        <v>1.004265274</v>
      </c>
      <c r="AO1219" s="82">
        <f>IFERROR(__xludf.DUMMYFUNCTION("""COMPUTED_VALUE"""),1.159943973699649)</f>
        <v>1.159943974</v>
      </c>
      <c r="AP1219" s="82">
        <f>IFERROR(__xludf.DUMMYFUNCTION("""COMPUTED_VALUE"""),1.7772400172043568)</f>
        <v>1.777240017</v>
      </c>
      <c r="AQ1219" s="82">
        <f>IFERROR(__xludf.DUMMYFUNCTION("""COMPUTED_VALUE"""),0.6786887830675346)</f>
        <v>0.6786887831</v>
      </c>
      <c r="AR1219" s="82">
        <f>IFERROR(__xludf.DUMMYFUNCTION("""COMPUTED_VALUE"""),1.090204472870231)</f>
        <v>1.090204473</v>
      </c>
      <c r="AS1219" s="82">
        <f>IFERROR(__xludf.DUMMYFUNCTION("""COMPUTED_VALUE"""),84.0)</f>
        <v>84</v>
      </c>
      <c r="AT1219" s="82">
        <f>IFERROR(__xludf.DUMMYFUNCTION("""COMPUTED_VALUE"""),0.6370775556071656)</f>
        <v>0.6370775556</v>
      </c>
      <c r="AU1219" s="82">
        <f>IFERROR(__xludf.DUMMYFUNCTION("""COMPUTED_VALUE"""),3.187297765222111)</f>
        <v>3.187297765</v>
      </c>
      <c r="AV1219" s="82">
        <f>IFERROR(__xludf.DUMMYFUNCTION("""COMPUTED_VALUE"""),75.31884283542865)</f>
        <v>75.31884284</v>
      </c>
      <c r="AW1219" s="82">
        <f t="shared" si="1"/>
        <v>6.427193414</v>
      </c>
      <c r="AX1219" s="83">
        <f t="array" ref="AX1219">IFERROR(DGET('SBV Import'!A:G,"SBV",{"RSC ID","Tier";B1219,A1219}))</f>
        <v>51.03358157</v>
      </c>
      <c r="AY1219" s="82">
        <f t="shared" si="2"/>
        <v>2.068204752</v>
      </c>
      <c r="AZ1219" s="82">
        <v>4.358988661624526</v>
      </c>
      <c r="BA1219" s="84">
        <v>1200.0</v>
      </c>
      <c r="BB1219" s="84" t="b">
        <f>IFERROR(__xludf.DUMMYFUNCTION("iferror(if(A1219="""",,E1219&gt;=FILTER(Constants!$F$2:$F$10,Constants!$A$2:$A$10=A1219)))"),TRUE)</f>
        <v>1</v>
      </c>
    </row>
    <row r="1220">
      <c r="A1220" s="89" t="str">
        <f>IFERROR(__xludf.DUMMYFUNCTION("""COMPUTED_VALUE"""),"Veteran")</f>
        <v>Veteran</v>
      </c>
      <c r="B1220" s="87" t="str">
        <f>IFERROR(__xludf.DUMMYFUNCTION("""COMPUTED_VALUE"""),"RSC005734")</f>
        <v>RSC005734</v>
      </c>
      <c r="C1220" s="73" t="str">
        <f>IFERROR(__xludf.DUMMYFUNCTION("""COMPUTED_VALUE"""),"Bas Radala")</f>
        <v>Bas Radala</v>
      </c>
      <c r="D1220" s="73" t="str">
        <f>IFERROR(__xludf.DUMMYFUNCTION("""COMPUTED_VALUE"""),"Possessed")</f>
        <v>Possessed</v>
      </c>
      <c r="E1220" s="82">
        <f>IFERROR(__xludf.DUMMYFUNCTION("""COMPUTED_VALUE"""),24.0)</f>
        <v>24</v>
      </c>
      <c r="F1220" s="82">
        <f>IFERROR(__xludf.DUMMYFUNCTION("""COMPUTED_VALUE"""),11.0)</f>
        <v>11</v>
      </c>
      <c r="G1220" s="86">
        <f>IFERROR(__xludf.DUMMYFUNCTION("""COMPUTED_VALUE"""),13.0)</f>
        <v>13</v>
      </c>
      <c r="H1220" s="86">
        <f>IFERROR(__xludf.DUMMYFUNCTION("""COMPUTED_VALUE"""),0.4583333333333333)</f>
        <v>0.4583333333</v>
      </c>
      <c r="I1220" s="86">
        <f>IFERROR(__xludf.DUMMYFUNCTION("""COMPUTED_VALUE"""),0.34210526315789475)</f>
        <v>0.3421052632</v>
      </c>
      <c r="J1220" s="82">
        <f>IFERROR(__xludf.DUMMYFUNCTION("""COMPUTED_VALUE"""),406.375)</f>
        <v>406.375</v>
      </c>
      <c r="K1220" s="82">
        <f>IFERROR(__xludf.DUMMYFUNCTION("""COMPUTED_VALUE"""),1.0833333333333333)</f>
        <v>1.083333333</v>
      </c>
      <c r="L1220" s="82">
        <f>IFERROR(__xludf.DUMMYFUNCTION("""COMPUTED_VALUE"""),0.625)</f>
        <v>0.625</v>
      </c>
      <c r="M1220" s="82">
        <f>IFERROR(__xludf.DUMMYFUNCTION("""COMPUTED_VALUE"""),1.3333333333333333)</f>
        <v>1.333333333</v>
      </c>
      <c r="N1220" s="82">
        <f>IFERROR(__xludf.DUMMYFUNCTION("""COMPUTED_VALUE"""),3.1666666666666665)</f>
        <v>3.166666667</v>
      </c>
      <c r="O1220" s="82">
        <f>IFERROR(__xludf.DUMMYFUNCTION("""COMPUTED_VALUE"""),372.1944444444444)</f>
        <v>372.1944444</v>
      </c>
      <c r="P1220" s="82">
        <f>IFERROR(__xludf.DUMMYFUNCTION("""COMPUTED_VALUE"""),0.8333333333333335)</f>
        <v>0.8333333333</v>
      </c>
      <c r="Q1220" s="82">
        <f>IFERROR(__xludf.DUMMYFUNCTION("""COMPUTED_VALUE"""),0.638888888888889)</f>
        <v>0.6388888889</v>
      </c>
      <c r="R1220" s="82">
        <f>IFERROR(__xludf.DUMMYFUNCTION("""COMPUTED_VALUE"""),1.5694444444444446)</f>
        <v>1.569444444</v>
      </c>
      <c r="S1220" s="82">
        <f>IFERROR(__xludf.DUMMYFUNCTION("""COMPUTED_VALUE"""),2.7222222222222228)</f>
        <v>2.722222222</v>
      </c>
      <c r="T1220" s="82">
        <f>IFERROR(__xludf.DUMMYFUNCTION("""COMPUTED_VALUE"""),345.5535798001027)</f>
        <v>345.5535798</v>
      </c>
      <c r="U1220" s="82">
        <f>IFERROR(__xludf.DUMMYFUNCTION("""COMPUTED_VALUE"""),0.7255519821510691)</f>
        <v>0.7255519822</v>
      </c>
      <c r="V1220" s="82">
        <f>IFERROR(__xludf.DUMMYFUNCTION("""COMPUTED_VALUE"""),0.5123780664128555)</f>
        <v>0.5123780664</v>
      </c>
      <c r="W1220" s="82">
        <f>IFERROR(__xludf.DUMMYFUNCTION("""COMPUTED_VALUE"""),1.4044580432374694)</f>
        <v>1.404458043</v>
      </c>
      <c r="X1220" s="82">
        <f>IFERROR(__xludf.DUMMYFUNCTION("""COMPUTED_VALUE"""),2.4733233567919)</f>
        <v>2.473323357</v>
      </c>
      <c r="Y1220" s="82">
        <f>IFERROR(__xludf.DUMMYFUNCTION("""COMPUTED_VALUE"""),350.00520352500916)</f>
        <v>350.0052035</v>
      </c>
      <c r="Z1220" s="82">
        <f>IFERROR(__xludf.DUMMYFUNCTION("""COMPUTED_VALUE"""),0.7730692992754865)</f>
        <v>0.7730692993</v>
      </c>
      <c r="AA1220" s="82">
        <f>IFERROR(__xludf.DUMMYFUNCTION("""COMPUTED_VALUE"""),0.5905411815710299)</f>
        <v>0.5905411816</v>
      </c>
      <c r="AB1220" s="82">
        <f>IFERROR(__xludf.DUMMYFUNCTION("""COMPUTED_VALUE"""),1.3026503500017297)</f>
        <v>1.30265035</v>
      </c>
      <c r="AC1220" s="82">
        <f>IFERROR(__xludf.DUMMYFUNCTION("""COMPUTED_VALUE"""),2.693129726966392)</f>
        <v>2.693129727</v>
      </c>
      <c r="AD1220" s="82">
        <f>IFERROR(__xludf.DUMMYFUNCTION("""COMPUTED_VALUE"""),1.1610541669303012)</f>
        <v>1.161054167</v>
      </c>
      <c r="AE1220" s="82">
        <f>IFERROR(__xludf.DUMMYFUNCTION("""COMPUTED_VALUE"""),1.4013405193410517)</f>
        <v>1.401340519</v>
      </c>
      <c r="AF1220" s="82">
        <f>IFERROR(__xludf.DUMMYFUNCTION("""COMPUTED_VALUE"""),1.0583512539079807)</f>
        <v>1.058351254</v>
      </c>
      <c r="AG1220" s="82">
        <f>IFERROR(__xludf.DUMMYFUNCTION("""COMPUTED_VALUE"""),1.0235542740471861)</f>
        <v>1.023554274</v>
      </c>
      <c r="AH1220" s="82">
        <f>IFERROR(__xludf.DUMMYFUNCTION("""COMPUTED_VALUE"""),1.1758314629105069)</f>
        <v>1.175831463</v>
      </c>
      <c r="AI1220" s="82">
        <f>IFERROR(__xludf.DUMMYFUNCTION("""COMPUTED_VALUE"""),1.0770961905813652)</f>
        <v>1.077096191</v>
      </c>
      <c r="AJ1220" s="82">
        <f>IFERROR(__xludf.DUMMYFUNCTION("""COMPUTED_VALUE"""),1.148550832791775)</f>
        <v>1.148550833</v>
      </c>
      <c r="AK1220" s="82">
        <f>IFERROR(__xludf.DUMMYFUNCTION("""COMPUTED_VALUE"""),1.2469091297403343)</f>
        <v>1.24690913</v>
      </c>
      <c r="AL1220" s="82">
        <f>IFERROR(__xludf.DUMMYFUNCTION("""COMPUTED_VALUE"""),1.1174733570727815)</f>
        <v>1.117473357</v>
      </c>
      <c r="AM1220" s="82">
        <f>IFERROR(__xludf.DUMMYFUNCTION("""COMPUTED_VALUE"""),1.1006333703786975)</f>
        <v>1.10063337</v>
      </c>
      <c r="AN1220" s="82">
        <f>IFERROR(__xludf.DUMMYFUNCTION("""COMPUTED_VALUE"""),1.1769525612966578)</f>
        <v>1.176952561</v>
      </c>
      <c r="AO1220" s="82">
        <f>IFERROR(__xludf.DUMMYFUNCTION("""COMPUTED_VALUE"""),1.4361211102948035)</f>
        <v>1.43612111</v>
      </c>
      <c r="AP1220" s="82">
        <f>IFERROR(__xludf.DUMMYFUNCTION("""COMPUTED_VALUE"""),1.159069576437624)</f>
        <v>1.159069576</v>
      </c>
      <c r="AQ1220" s="82">
        <f>IFERROR(__xludf.DUMMYFUNCTION("""COMPUTED_VALUE"""),0.9871836844618684)</f>
        <v>0.9871836845</v>
      </c>
      <c r="AR1220" s="82">
        <f>IFERROR(__xludf.DUMMYFUNCTION("""COMPUTED_VALUE"""),1.2366498498229486)</f>
        <v>1.23664985</v>
      </c>
      <c r="AS1220" s="82">
        <f>IFERROR(__xludf.DUMMYFUNCTION("""COMPUTED_VALUE"""),53.0)</f>
        <v>53</v>
      </c>
      <c r="AT1220" s="82">
        <f>IFERROR(__xludf.DUMMYFUNCTION("""COMPUTED_VALUE"""),0.45177118705063246)</f>
        <v>0.4517711871</v>
      </c>
      <c r="AU1220" s="82">
        <f>IFERROR(__xludf.DUMMYFUNCTION("""COMPUTED_VALUE"""),3.1641822247291542)</f>
        <v>3.164182225</v>
      </c>
      <c r="AV1220" s="82">
        <f>IFERROR(__xludf.DUMMYFUNCTION("""COMPUTED_VALUE"""),74.60281372365496)</f>
        <v>74.60281372</v>
      </c>
      <c r="AW1220" s="82">
        <f t="shared" si="1"/>
        <v>6.15270691</v>
      </c>
      <c r="AX1220" s="83">
        <f t="array" ref="AX1220">IFERROR(DGET('SBV Import'!A:G,"SBV",{"RSC ID","Tier";B1220,A1220}))</f>
        <v>67.31411213</v>
      </c>
      <c r="AY1220" s="82">
        <f t="shared" si="2"/>
        <v>4.093471101</v>
      </c>
      <c r="AZ1220" s="82">
        <v>2.059235809158946</v>
      </c>
      <c r="BA1220" s="84">
        <v>1200.0</v>
      </c>
      <c r="BB1220" s="84" t="b">
        <f>IFERROR(__xludf.DUMMYFUNCTION("iferror(if(A1220="""",,E1220&gt;=FILTER(Constants!$F$2:$F$10,Constants!$A$2:$A$10=A1220)))"),TRUE)</f>
        <v>1</v>
      </c>
    </row>
    <row r="1221">
      <c r="A1221" s="89" t="str">
        <f>IFERROR(__xludf.DUMMYFUNCTION("""COMPUTED_VALUE"""),"Veteran")</f>
        <v>Veteran</v>
      </c>
      <c r="B1221" s="87" t="str">
        <f>IFERROR(__xludf.DUMMYFUNCTION("""COMPUTED_VALUE"""),"RSC005212")</f>
        <v>RSC005212</v>
      </c>
      <c r="C1221" s="73" t="str">
        <f>IFERROR(__xludf.DUMMYFUNCTION("""COMPUTED_VALUE"""),"crackdragon")</f>
        <v>crackdragon</v>
      </c>
      <c r="D1221" s="73" t="str">
        <f>IFERROR(__xludf.DUMMYFUNCTION("""COMPUTED_VALUE"""),"Grizzly Bears")</f>
        <v>Grizzly Bears</v>
      </c>
      <c r="E1221" s="82">
        <f>IFERROR(__xludf.DUMMYFUNCTION("""COMPUTED_VALUE"""),24.0)</f>
        <v>24</v>
      </c>
      <c r="F1221" s="82">
        <f>IFERROR(__xludf.DUMMYFUNCTION("""COMPUTED_VALUE"""),16.0)</f>
        <v>16</v>
      </c>
      <c r="G1221" s="86">
        <f>IFERROR(__xludf.DUMMYFUNCTION("""COMPUTED_VALUE"""),8.0)</f>
        <v>8</v>
      </c>
      <c r="H1221" s="86">
        <f>IFERROR(__xludf.DUMMYFUNCTION("""COMPUTED_VALUE"""),0.6666666666666666)</f>
        <v>0.6666666667</v>
      </c>
      <c r="I1221" s="86">
        <f>IFERROR(__xludf.DUMMYFUNCTION("""COMPUTED_VALUE"""),0.3246753246753247)</f>
        <v>0.3246753247</v>
      </c>
      <c r="J1221" s="82">
        <f>IFERROR(__xludf.DUMMYFUNCTION("""COMPUTED_VALUE"""),392.3333333333333)</f>
        <v>392.3333333</v>
      </c>
      <c r="K1221" s="82">
        <f>IFERROR(__xludf.DUMMYFUNCTION("""COMPUTED_VALUE"""),1.0416666666666667)</f>
        <v>1.041666667</v>
      </c>
      <c r="L1221" s="82">
        <f>IFERROR(__xludf.DUMMYFUNCTION("""COMPUTED_VALUE"""),0.5416666666666666)</f>
        <v>0.5416666667</v>
      </c>
      <c r="M1221" s="82">
        <f>IFERROR(__xludf.DUMMYFUNCTION("""COMPUTED_VALUE"""),1.25)</f>
        <v>1.25</v>
      </c>
      <c r="N1221" s="82">
        <f>IFERROR(__xludf.DUMMYFUNCTION("""COMPUTED_VALUE"""),3.2083333333333335)</f>
        <v>3.208333333</v>
      </c>
      <c r="O1221" s="82">
        <f>IFERROR(__xludf.DUMMYFUNCTION("""COMPUTED_VALUE"""),351.8888888888889)</f>
        <v>351.8888889</v>
      </c>
      <c r="P1221" s="82">
        <f>IFERROR(__xludf.DUMMYFUNCTION("""COMPUTED_VALUE"""),0.6944444444444445)</f>
        <v>0.6944444444</v>
      </c>
      <c r="Q1221" s="82">
        <f>IFERROR(__xludf.DUMMYFUNCTION("""COMPUTED_VALUE"""),0.47222222222222227)</f>
        <v>0.4722222222</v>
      </c>
      <c r="R1221" s="82">
        <f>IFERROR(__xludf.DUMMYFUNCTION("""COMPUTED_VALUE"""),1.513888888888889)</f>
        <v>1.513888889</v>
      </c>
      <c r="S1221" s="82">
        <f>IFERROR(__xludf.DUMMYFUNCTION("""COMPUTED_VALUE"""),2.4166666666666665)</f>
        <v>2.416666667</v>
      </c>
      <c r="T1221" s="82">
        <f>IFERROR(__xludf.DUMMYFUNCTION("""COMPUTED_VALUE"""),351.2782304984819)</f>
        <v>351.2782305</v>
      </c>
      <c r="U1221" s="82">
        <f>IFERROR(__xludf.DUMMYFUNCTION("""COMPUTED_VALUE"""),0.7195665651500294)</f>
        <v>0.7195665652</v>
      </c>
      <c r="V1221" s="82">
        <f>IFERROR(__xludf.DUMMYFUNCTION("""COMPUTED_VALUE"""),0.5222821675687133)</f>
        <v>0.5222821676</v>
      </c>
      <c r="W1221" s="82">
        <f>IFERROR(__xludf.DUMMYFUNCTION("""COMPUTED_VALUE"""),1.5296589983847664)</f>
        <v>1.529658998</v>
      </c>
      <c r="X1221" s="82">
        <f>IFERROR(__xludf.DUMMYFUNCTION("""COMPUTED_VALUE"""),2.4908303605013686)</f>
        <v>2.490830361</v>
      </c>
      <c r="Y1221" s="82">
        <f>IFERROR(__xludf.DUMMYFUNCTION("""COMPUTED_VALUE"""),353.3712586900042)</f>
        <v>353.3712587</v>
      </c>
      <c r="Z1221" s="82">
        <f>IFERROR(__xludf.DUMMYFUNCTION("""COMPUTED_VALUE"""),0.8170934068218495)</f>
        <v>0.8170934068</v>
      </c>
      <c r="AA1221" s="82">
        <f>IFERROR(__xludf.DUMMYFUNCTION("""COMPUTED_VALUE"""),0.5745494507695414)</f>
        <v>0.5745494508</v>
      </c>
      <c r="AB1221" s="82">
        <f>IFERROR(__xludf.DUMMYFUNCTION("""COMPUTED_VALUE"""),1.3080053517308945)</f>
        <v>1.308005352</v>
      </c>
      <c r="AC1221" s="82">
        <f>IFERROR(__xludf.DUMMYFUNCTION("""COMPUTED_VALUE"""),2.7497027248823454)</f>
        <v>2.749702725</v>
      </c>
      <c r="AD1221" s="82">
        <f>IFERROR(__xludf.DUMMYFUNCTION("""COMPUTED_VALUE"""),1.1102581879119622)</f>
        <v>1.110258188</v>
      </c>
      <c r="AE1221" s="82">
        <f>IFERROR(__xludf.DUMMYFUNCTION("""COMPUTED_VALUE"""),1.2748440483913743)</f>
        <v>1.274844048</v>
      </c>
      <c r="AF1221" s="82">
        <f>IFERROR(__xludf.DUMMYFUNCTION("""COMPUTED_VALUE"""),0.942767704226621)</f>
        <v>0.9427677042</v>
      </c>
      <c r="AG1221" s="82">
        <f>IFERROR(__xludf.DUMMYFUNCTION("""COMPUTED_VALUE"""),0.9556535822623848)</f>
        <v>0.9556535823</v>
      </c>
      <c r="AH1221" s="82">
        <f>IFERROR(__xludf.DUMMYFUNCTION("""COMPUTED_VALUE"""),1.166792797017944)</f>
        <v>1.166792797</v>
      </c>
      <c r="AI1221" s="82">
        <f>IFERROR(__xludf.DUMMYFUNCTION("""COMPUTED_VALUE"""),1.0017383895083407)</f>
        <v>1.00173839</v>
      </c>
      <c r="AJ1221" s="82">
        <f>IFERROR(__xludf.DUMMYFUNCTION("""COMPUTED_VALUE"""),0.9650871483997496)</f>
        <v>0.9650871484</v>
      </c>
      <c r="AK1221" s="82">
        <f>IFERROR(__xludf.DUMMYFUNCTION("""COMPUTED_VALUE"""),0.9041515325335994)</f>
        <v>0.9041515325</v>
      </c>
      <c r="AL1221" s="82">
        <f>IFERROR(__xludf.DUMMYFUNCTION("""COMPUTED_VALUE"""),0.9896904411293435)</f>
        <v>0.9896904411</v>
      </c>
      <c r="AM1221" s="82">
        <f>IFERROR(__xludf.DUMMYFUNCTION("""COMPUTED_VALUE"""),0.970225313208494)</f>
        <v>0.9702253132</v>
      </c>
      <c r="AN1221" s="82">
        <f>IFERROR(__xludf.DUMMYFUNCTION("""COMPUTED_VALUE"""),1.136284765422878)</f>
        <v>1.136284765</v>
      </c>
      <c r="AO1221" s="82">
        <f>IFERROR(__xludf.DUMMYFUNCTION("""COMPUTED_VALUE"""),1.3808856829757727)</f>
        <v>1.380885683</v>
      </c>
      <c r="AP1221" s="82">
        <f>IFERROR(__xludf.DUMMYFUNCTION("""COMPUTED_VALUE"""),1.0045269662459406)</f>
        <v>1.004526966</v>
      </c>
      <c r="AQ1221" s="82">
        <f>IFERROR(__xludf.DUMMYFUNCTION("""COMPUTED_VALUE"""),0.9254847041830017)</f>
        <v>0.9254847042</v>
      </c>
      <c r="AR1221" s="82">
        <f>IFERROR(__xludf.DUMMYFUNCTION("""COMPUTED_VALUE"""),1.2529215583732505)</f>
        <v>1.252921558</v>
      </c>
      <c r="AS1221" s="82">
        <f>IFERROR(__xludf.DUMMYFUNCTION("""COMPUTED_VALUE"""),70.0)</f>
        <v>70</v>
      </c>
      <c r="AT1221" s="82">
        <f>IFERROR(__xludf.DUMMYFUNCTION("""COMPUTED_VALUE"""),0.6304191078858221)</f>
        <v>0.6304191079</v>
      </c>
      <c r="AU1221" s="82">
        <f>IFERROR(__xludf.DUMMYFUNCTION("""COMPUTED_VALUE"""),3.1102713062713008)</f>
        <v>3.110271306</v>
      </c>
      <c r="AV1221" s="82">
        <f>IFERROR(__xludf.DUMMYFUNCTION("""COMPUTED_VALUE"""),72.9328641470901)</f>
        <v>72.93286415</v>
      </c>
      <c r="AW1221" s="82">
        <f t="shared" si="1"/>
        <v>5.57137475</v>
      </c>
      <c r="AX1221" s="83">
        <f t="array" ref="AX1221">IFERROR(DGET('SBV Import'!A:G,"SBV",{"RSC ID","Tier";B1221,A1221}))</f>
        <v>63.70417786</v>
      </c>
      <c r="AY1221" s="82">
        <f t="shared" si="2"/>
        <v>3.427138921</v>
      </c>
      <c r="AZ1221" s="82">
        <v>2.144235829147948</v>
      </c>
      <c r="BA1221" s="84">
        <v>1200.0</v>
      </c>
      <c r="BB1221" s="84" t="b">
        <f>IFERROR(__xludf.DUMMYFUNCTION("iferror(if(A1221="""",,E1221&gt;=FILTER(Constants!$F$2:$F$10,Constants!$A$2:$A$10=A1221)))"),TRUE)</f>
        <v>1</v>
      </c>
    </row>
    <row r="1222">
      <c r="A1222" s="89" t="str">
        <f>IFERROR(__xludf.DUMMYFUNCTION("""COMPUTED_VALUE"""),"Veteran")</f>
        <v>Veteran</v>
      </c>
      <c r="B1222" s="87" t="str">
        <f>IFERROR(__xludf.DUMMYFUNCTION("""COMPUTED_VALUE"""),"RSC007341")</f>
        <v>RSC007341</v>
      </c>
      <c r="C1222" s="73" t="str">
        <f>IFERROR(__xludf.DUMMYFUNCTION("""COMPUTED_VALUE"""),"Squashy")</f>
        <v>Squashy</v>
      </c>
      <c r="D1222" s="73" t="str">
        <f>IFERROR(__xludf.DUMMYFUNCTION("""COMPUTED_VALUE"""),"Rockin Revenants")</f>
        <v>Rockin Revenants</v>
      </c>
      <c r="E1222" s="82">
        <f>IFERROR(__xludf.DUMMYFUNCTION("""COMPUTED_VALUE"""),32.0)</f>
        <v>32</v>
      </c>
      <c r="F1222" s="82">
        <f>IFERROR(__xludf.DUMMYFUNCTION("""COMPUTED_VALUE"""),16.0)</f>
        <v>16</v>
      </c>
      <c r="G1222" s="86">
        <f>IFERROR(__xludf.DUMMYFUNCTION("""COMPUTED_VALUE"""),16.0)</f>
        <v>16</v>
      </c>
      <c r="H1222" s="86">
        <f>IFERROR(__xludf.DUMMYFUNCTION("""COMPUTED_VALUE"""),0.5)</f>
        <v>0.5</v>
      </c>
      <c r="I1222" s="86">
        <f>IFERROR(__xludf.DUMMYFUNCTION("""COMPUTED_VALUE"""),0.2708333333333333)</f>
        <v>0.2708333333</v>
      </c>
      <c r="J1222" s="82">
        <f>IFERROR(__xludf.DUMMYFUNCTION("""COMPUTED_VALUE"""),375.84375)</f>
        <v>375.84375</v>
      </c>
      <c r="K1222" s="82">
        <f>IFERROR(__xludf.DUMMYFUNCTION("""COMPUTED_VALUE"""),0.8125)</f>
        <v>0.8125</v>
      </c>
      <c r="L1222" s="82">
        <f>IFERROR(__xludf.DUMMYFUNCTION("""COMPUTED_VALUE"""),0.8125)</f>
        <v>0.8125</v>
      </c>
      <c r="M1222" s="82">
        <f>IFERROR(__xludf.DUMMYFUNCTION("""COMPUTED_VALUE"""),1.375)</f>
        <v>1.375</v>
      </c>
      <c r="N1222" s="82">
        <f>IFERROR(__xludf.DUMMYFUNCTION("""COMPUTED_VALUE"""),3.0)</f>
        <v>3</v>
      </c>
      <c r="O1222" s="82">
        <f>IFERROR(__xludf.DUMMYFUNCTION("""COMPUTED_VALUE"""),353.84374999999994)</f>
        <v>353.84375</v>
      </c>
      <c r="P1222" s="82">
        <f>IFERROR(__xludf.DUMMYFUNCTION("""COMPUTED_VALUE"""),0.75)</f>
        <v>0.75</v>
      </c>
      <c r="Q1222" s="82">
        <f>IFERROR(__xludf.DUMMYFUNCTION("""COMPUTED_VALUE"""),0.6249999999999999)</f>
        <v>0.625</v>
      </c>
      <c r="R1222" s="82">
        <f>IFERROR(__xludf.DUMMYFUNCTION("""COMPUTED_VALUE"""),1.3124999999999998)</f>
        <v>1.3125</v>
      </c>
      <c r="S1222" s="82">
        <f>IFERROR(__xludf.DUMMYFUNCTION("""COMPUTED_VALUE"""),2.520833333333333)</f>
        <v>2.520833333</v>
      </c>
      <c r="T1222" s="82">
        <f>IFERROR(__xludf.DUMMYFUNCTION("""COMPUTED_VALUE"""),366.63232969106093)</f>
        <v>366.6323297</v>
      </c>
      <c r="U1222" s="82">
        <f>IFERROR(__xludf.DUMMYFUNCTION("""COMPUTED_VALUE"""),0.8497723948450348)</f>
        <v>0.8497723948</v>
      </c>
      <c r="V1222" s="82">
        <f>IFERROR(__xludf.DUMMYFUNCTION("""COMPUTED_VALUE"""),0.5970357616612955)</f>
        <v>0.5970357617</v>
      </c>
      <c r="W1222" s="82">
        <f>IFERROR(__xludf.DUMMYFUNCTION("""COMPUTED_VALUE"""),1.3776843757216148)</f>
        <v>1.377684376</v>
      </c>
      <c r="X1222" s="82">
        <f>IFERROR(__xludf.DUMMYFUNCTION("""COMPUTED_VALUE"""),2.7591311083125007)</f>
        <v>2.759131108</v>
      </c>
      <c r="Y1222" s="82">
        <f>IFERROR(__xludf.DUMMYFUNCTION("""COMPUTED_VALUE"""),364.017698345243)</f>
        <v>364.0176983</v>
      </c>
      <c r="Z1222" s="82">
        <f>IFERROR(__xludf.DUMMYFUNCTION("""COMPUTED_VALUE"""),0.8250936342278847)</f>
        <v>0.8250936342</v>
      </c>
      <c r="AA1222" s="82">
        <f>IFERROR(__xludf.DUMMYFUNCTION("""COMPUTED_VALUE"""),0.6049528785528545)</f>
        <v>0.6049528786</v>
      </c>
      <c r="AB1222" s="82">
        <f>IFERROR(__xludf.DUMMYFUNCTION("""COMPUTED_VALUE"""),1.3888519097902006)</f>
        <v>1.38885191</v>
      </c>
      <c r="AC1222" s="82">
        <f>IFERROR(__xludf.DUMMYFUNCTION("""COMPUTED_VALUE"""),2.736937126851936)</f>
        <v>2.736937127</v>
      </c>
      <c r="AD1222" s="82">
        <f>IFERROR(__xludf.DUMMYFUNCTION("""COMPUTED_VALUE"""),1.0324875732924965)</f>
        <v>1.032487573</v>
      </c>
      <c r="AE1222" s="82">
        <f>IFERROR(__xludf.DUMMYFUNCTION("""COMPUTED_VALUE"""),0.984736721136299)</f>
        <v>0.9847367211</v>
      </c>
      <c r="AF1222" s="82">
        <f>IFERROR(__xludf.DUMMYFUNCTION("""COMPUTED_VALUE"""),1.3430798146520633)</f>
        <v>1.343079815</v>
      </c>
      <c r="AG1222" s="82">
        <f>IFERROR(__xludf.DUMMYFUNCTION("""COMPUTED_VALUE"""),0.9900263594033628)</f>
        <v>0.9900263594</v>
      </c>
      <c r="AH1222" s="82">
        <f>IFERROR(__xludf.DUMMYFUNCTION("""COMPUTED_VALUE"""),1.096115789642067)</f>
        <v>1.09611579</v>
      </c>
      <c r="AI1222" s="82">
        <f>IFERROR(__xludf.DUMMYFUNCTION("""COMPUTED_VALUE"""),0.9651187888917566)</f>
        <v>0.9651187889</v>
      </c>
      <c r="AJ1222" s="82">
        <f>IFERROR(__xludf.DUMMYFUNCTION("""COMPUTED_VALUE"""),0.8825892727861213)</f>
        <v>0.8825892728</v>
      </c>
      <c r="AK1222" s="82">
        <f>IFERROR(__xludf.DUMMYFUNCTION("""COMPUTED_VALUE"""),1.0468384645182591)</f>
        <v>1.046838465</v>
      </c>
      <c r="AL1222" s="82">
        <f>IFERROR(__xludf.DUMMYFUNCTION("""COMPUTED_VALUE"""),0.9526855520245904)</f>
        <v>0.952685552</v>
      </c>
      <c r="AM1222" s="82">
        <f>IFERROR(__xludf.DUMMYFUNCTION("""COMPUTED_VALUE"""),0.9136330367697126)</f>
        <v>0.9136330368</v>
      </c>
      <c r="AN1222" s="82">
        <f>IFERROR(__xludf.DUMMYFUNCTION("""COMPUTED_VALUE"""),1.08852725736042)</f>
        <v>1.088527257</v>
      </c>
      <c r="AO1222" s="82">
        <f>IFERROR(__xludf.DUMMYFUNCTION("""COMPUTED_VALUE"""),1.0770908327211026)</f>
        <v>1.077090833</v>
      </c>
      <c r="AP1222" s="82">
        <f>IFERROR(__xludf.DUMMYFUNCTION("""COMPUTED_VALUE"""),1.506790449368911)</f>
        <v>1.506790449</v>
      </c>
      <c r="AQ1222" s="82">
        <f>IFERROR(__xludf.DUMMYFUNCTION("""COMPUTED_VALUE"""),1.0180331746013018)</f>
        <v>1.018033175</v>
      </c>
      <c r="AR1222" s="82">
        <f>IFERROR(__xludf.DUMMYFUNCTION("""COMPUTED_VALUE"""),1.1715630156217407)</f>
        <v>1.171563016</v>
      </c>
      <c r="AS1222" s="82">
        <f>IFERROR(__xludf.DUMMYFUNCTION("""COMPUTED_VALUE"""),77.0)</f>
        <v>77</v>
      </c>
      <c r="AT1222" s="82">
        <f>IFERROR(__xludf.DUMMYFUNCTION("""COMPUTED_VALUE"""),0.5260764841545491)</f>
        <v>0.5260764842</v>
      </c>
      <c r="AU1222" s="82">
        <f>IFERROR(__xludf.DUMMYFUNCTION("""COMPUTED_VALUE"""),3.0879744745947084)</f>
        <v>3.087974475</v>
      </c>
      <c r="AV1222" s="82">
        <f>IFERROR(__xludf.DUMMYFUNCTION("""COMPUTED_VALUE"""),72.24219543503371)</f>
        <v>72.24219544</v>
      </c>
      <c r="AW1222" s="82">
        <f t="shared" si="1"/>
        <v>5.352838544</v>
      </c>
      <c r="AX1222" s="83">
        <f t="array" ref="AX1222">IFERROR(DGET('SBV Import'!A:G,"SBV",{"RSC ID","Tier";B1222,A1222}))</f>
        <v>65.75868466</v>
      </c>
      <c r="AY1222" s="82">
        <f t="shared" si="2"/>
        <v>3.78452915</v>
      </c>
      <c r="AZ1222" s="82">
        <v>1.5683093945765836</v>
      </c>
      <c r="BA1222" s="84">
        <v>1200.0</v>
      </c>
      <c r="BB1222" s="84" t="b">
        <f>IFERROR(__xludf.DUMMYFUNCTION("iferror(if(A1222="""",,E1222&gt;=FILTER(Constants!$F$2:$F$10,Constants!$A$2:$A$10=A1222)))"),TRUE)</f>
        <v>1</v>
      </c>
    </row>
    <row r="1223">
      <c r="A1223" s="89" t="str">
        <f>IFERROR(__xludf.DUMMYFUNCTION("""COMPUTED_VALUE"""),"Veteran")</f>
        <v>Veteran</v>
      </c>
      <c r="B1223" s="87" t="str">
        <f>IFERROR(__xludf.DUMMYFUNCTION("""COMPUTED_VALUE"""),"RSC006424")</f>
        <v>RSC006424</v>
      </c>
      <c r="C1223" s="73" t="str">
        <f>IFERROR(__xludf.DUMMYFUNCTION("""COMPUTED_VALUE"""),"TTV Ravenshunter")</f>
        <v>TTV Ravenshunter</v>
      </c>
      <c r="D1223" s="73" t="str">
        <f>IFERROR(__xludf.DUMMYFUNCTION("""COMPUTED_VALUE"""),"Azalea")</f>
        <v>Azalea</v>
      </c>
      <c r="E1223" s="82">
        <f>IFERROR(__xludf.DUMMYFUNCTION("""COMPUTED_VALUE"""),7.0)</f>
        <v>7</v>
      </c>
      <c r="F1223" s="82">
        <f>IFERROR(__xludf.DUMMYFUNCTION("""COMPUTED_VALUE"""),2.0)</f>
        <v>2</v>
      </c>
      <c r="G1223" s="86">
        <f>IFERROR(__xludf.DUMMYFUNCTION("""COMPUTED_VALUE"""),5.0)</f>
        <v>5</v>
      </c>
      <c r="H1223" s="86">
        <f>IFERROR(__xludf.DUMMYFUNCTION("""COMPUTED_VALUE"""),0.2857142857142857)</f>
        <v>0.2857142857</v>
      </c>
      <c r="I1223" s="86">
        <f>IFERROR(__xludf.DUMMYFUNCTION("""COMPUTED_VALUE"""),0.30434782608695654)</f>
        <v>0.3043478261</v>
      </c>
      <c r="J1223" s="82">
        <f>IFERROR(__xludf.DUMMYFUNCTION("""COMPUTED_VALUE"""),401.42857142857144)</f>
        <v>401.4285714</v>
      </c>
      <c r="K1223" s="82">
        <f>IFERROR(__xludf.DUMMYFUNCTION("""COMPUTED_VALUE"""),1.0)</f>
        <v>1</v>
      </c>
      <c r="L1223" s="82">
        <f>IFERROR(__xludf.DUMMYFUNCTION("""COMPUTED_VALUE"""),0.5714285714285714)</f>
        <v>0.5714285714</v>
      </c>
      <c r="M1223" s="82">
        <f>IFERROR(__xludf.DUMMYFUNCTION("""COMPUTED_VALUE"""),1.2857142857142858)</f>
        <v>1.285714286</v>
      </c>
      <c r="N1223" s="82">
        <f>IFERROR(__xludf.DUMMYFUNCTION("""COMPUTED_VALUE"""),3.2857142857142856)</f>
        <v>3.285714286</v>
      </c>
      <c r="O1223" s="82">
        <f>IFERROR(__xludf.DUMMYFUNCTION("""COMPUTED_VALUE"""),401.90476190476187)</f>
        <v>401.9047619</v>
      </c>
      <c r="P1223" s="82">
        <f>IFERROR(__xludf.DUMMYFUNCTION("""COMPUTED_VALUE"""),1.0476190476190477)</f>
        <v>1.047619048</v>
      </c>
      <c r="Q1223" s="82">
        <f>IFERROR(__xludf.DUMMYFUNCTION("""COMPUTED_VALUE"""),0.7142857142857142)</f>
        <v>0.7142857143</v>
      </c>
      <c r="R1223" s="82">
        <f>IFERROR(__xludf.DUMMYFUNCTION("""COMPUTED_VALUE"""),1.3333333333333335)</f>
        <v>1.333333333</v>
      </c>
      <c r="S1223" s="82">
        <f>IFERROR(__xludf.DUMMYFUNCTION("""COMPUTED_VALUE"""),3.476190476190476)</f>
        <v>3.476190476</v>
      </c>
      <c r="T1223" s="82">
        <f>IFERROR(__xludf.DUMMYFUNCTION("""COMPUTED_VALUE"""),371.9652434920328)</f>
        <v>371.9652435</v>
      </c>
      <c r="U1223" s="82">
        <f>IFERROR(__xludf.DUMMYFUNCTION("""COMPUTED_VALUE"""),0.9016790113235588)</f>
        <v>0.9016790113</v>
      </c>
      <c r="V1223" s="82">
        <f>IFERROR(__xludf.DUMMYFUNCTION("""COMPUTED_VALUE"""),0.6690772094278324)</f>
        <v>0.6690772094</v>
      </c>
      <c r="W1223" s="82">
        <f>IFERROR(__xludf.DUMMYFUNCTION("""COMPUTED_VALUE"""),1.3291565923943014)</f>
        <v>1.329156592</v>
      </c>
      <c r="X1223" s="82">
        <f>IFERROR(__xludf.DUMMYFUNCTION("""COMPUTED_VALUE"""),3.0110497838982337)</f>
        <v>3.011049784</v>
      </c>
      <c r="Y1223" s="82">
        <f>IFERROR(__xludf.DUMMYFUNCTION("""COMPUTED_VALUE"""),358.6895069735004)</f>
        <v>358.689507</v>
      </c>
      <c r="Z1223" s="82">
        <f>IFERROR(__xludf.DUMMYFUNCTION("""COMPUTED_VALUE"""),0.7533603479706058)</f>
        <v>0.753360348</v>
      </c>
      <c r="AA1223" s="82">
        <f>IFERROR(__xludf.DUMMYFUNCTION("""COMPUTED_VALUE"""),0.5165182462938347)</f>
        <v>0.5165182463</v>
      </c>
      <c r="AB1223" s="82">
        <f>IFERROR(__xludf.DUMMYFUNCTION("""COMPUTED_VALUE"""),1.5381168389024402)</f>
        <v>1.538116839</v>
      </c>
      <c r="AC1223" s="82">
        <f>IFERROR(__xludf.DUMMYFUNCTION("""COMPUTED_VALUE"""),2.520254998551145)</f>
        <v>2.520254999</v>
      </c>
      <c r="AD1223" s="82">
        <f>IFERROR(__xludf.DUMMYFUNCTION("""COMPUTED_VALUE"""),1.1191533725524583)</f>
        <v>1.119153373</v>
      </c>
      <c r="AE1223" s="82">
        <f>IFERROR(__xludf.DUMMYFUNCTION("""COMPUTED_VALUE"""),1.327386028072475)</f>
        <v>1.327386028</v>
      </c>
      <c r="AF1223" s="82">
        <f>IFERROR(__xludf.DUMMYFUNCTION("""COMPUTED_VALUE"""),1.1063085874095133)</f>
        <v>1.106308587</v>
      </c>
      <c r="AG1223" s="82">
        <f>IFERROR(__xludf.DUMMYFUNCTION("""COMPUTED_VALUE"""),0.8359015734017565)</f>
        <v>0.8359015734</v>
      </c>
      <c r="AH1223" s="82">
        <f>IFERROR(__xludf.DUMMYFUNCTION("""COMPUTED_VALUE"""),1.3037229516867108)</f>
        <v>1.303722952</v>
      </c>
      <c r="AI1223" s="82">
        <f>IFERROR(__xludf.DUMMYFUNCTION("""COMPUTED_VALUE"""),1.0804900966866018)</f>
        <v>1.080490097</v>
      </c>
      <c r="AJ1223" s="82">
        <f>IFERROR(__xludf.DUMMYFUNCTION("""COMPUTED_VALUE"""),1.1618536468773584)</f>
        <v>1.161853647</v>
      </c>
      <c r="AK1223" s="82">
        <f>IFERROR(__xludf.DUMMYFUNCTION("""COMPUTED_VALUE"""),1.0675684423574108)</f>
        <v>1.067568442</v>
      </c>
      <c r="AL1223" s="82">
        <f>IFERROR(__xludf.DUMMYFUNCTION("""COMPUTED_VALUE"""),1.0031423994455824)</f>
        <v>1.003142399</v>
      </c>
      <c r="AM1223" s="82">
        <f>IFERROR(__xludf.DUMMYFUNCTION("""COMPUTED_VALUE"""),1.1544779149051634)</f>
        <v>1.154477915</v>
      </c>
      <c r="AN1223" s="82">
        <f>IFERROR(__xludf.DUMMYFUNCTION("""COMPUTED_VALUE"""),1.1626266018345506)</f>
        <v>1.162626602</v>
      </c>
      <c r="AO1223" s="82">
        <f>IFERROR(__xludf.DUMMYFUNCTION("""COMPUTED_VALUE"""),1.3256502556567418)</f>
        <v>1.325650256</v>
      </c>
      <c r="AP1223" s="82">
        <f>IFERROR(__xludf.DUMMYFUNCTION("""COMPUTED_VALUE"""),1.0597207556001131)</f>
        <v>1.059720756</v>
      </c>
      <c r="AQ1223" s="82">
        <f>IFERROR(__xludf.DUMMYFUNCTION("""COMPUTED_VALUE"""),0.9519271243025161)</f>
        <v>0.9519271243</v>
      </c>
      <c r="AR1223" s="82">
        <f>IFERROR(__xludf.DUMMYFUNCTION("""COMPUTED_VALUE"""),1.283140445680954)</f>
        <v>1.283140446</v>
      </c>
      <c r="AS1223" s="82">
        <f>IFERROR(__xludf.DUMMYFUNCTION("""COMPUTED_VALUE"""),14.0)</f>
        <v>14</v>
      </c>
      <c r="AT1223" s="82">
        <f>IFERROR(__xludf.DUMMYFUNCTION("""COMPUTED_VALUE"""),0.3266955221894604)</f>
        <v>0.3266955222</v>
      </c>
      <c r="AU1223" s="82">
        <f>IFERROR(__xludf.DUMMYFUNCTION("""COMPUTED_VALUE"""),3.087516488327667)</f>
        <v>3.087516488</v>
      </c>
      <c r="AV1223" s="82">
        <f>IFERROR(__xludf.DUMMYFUNCTION("""COMPUTED_VALUE"""),72.22800881023494)</f>
        <v>72.22800881</v>
      </c>
      <c r="AW1223" s="82">
        <f t="shared" si="1"/>
        <v>5.34847448</v>
      </c>
      <c r="AX1223" s="83">
        <f t="array" ref="AX1223">IFERROR(DGET('SBV Import'!A:G,"SBV",{"RSC ID","Tier";B1223,A1223}))</f>
        <v>55.17978536</v>
      </c>
      <c r="AY1223" s="82">
        <f t="shared" si="2"/>
        <v>2.392744132</v>
      </c>
      <c r="AZ1223" s="82">
        <v>2.9557303486517905</v>
      </c>
      <c r="BA1223" s="84">
        <v>1200.0</v>
      </c>
      <c r="BB1223" s="84" t="b">
        <f>IFERROR(__xludf.DUMMYFUNCTION("iferror(if(A1223="""",,E1223&gt;=FILTER(Constants!$F$2:$F$10,Constants!$A$2:$A$10=A1223)))"),TRUE)</f>
        <v>1</v>
      </c>
    </row>
    <row r="1224">
      <c r="A1224" s="89" t="str">
        <f>IFERROR(__xludf.DUMMYFUNCTION("""COMPUTED_VALUE"""),"Veteran")</f>
        <v>Veteran</v>
      </c>
      <c r="B1224" s="87" t="str">
        <f>IFERROR(__xludf.DUMMYFUNCTION("""COMPUTED_VALUE"""),"RSC006140")</f>
        <v>RSC006140</v>
      </c>
      <c r="C1224" s="73" t="str">
        <f>IFERROR(__xludf.DUMMYFUNCTION("""COMPUTED_VALUE"""),"Jay_Kay99")</f>
        <v>Jay_Kay99</v>
      </c>
      <c r="D1224" s="73" t="str">
        <f>IFERROR(__xludf.DUMMYFUNCTION("""COMPUTED_VALUE"""),"Blacksmiths")</f>
        <v>Blacksmiths</v>
      </c>
      <c r="E1224" s="82">
        <f>IFERROR(__xludf.DUMMYFUNCTION("""COMPUTED_VALUE"""),36.0)</f>
        <v>36</v>
      </c>
      <c r="F1224" s="82">
        <f>IFERROR(__xludf.DUMMYFUNCTION("""COMPUTED_VALUE"""),20.0)</f>
        <v>20</v>
      </c>
      <c r="G1224" s="86">
        <f>IFERROR(__xludf.DUMMYFUNCTION("""COMPUTED_VALUE"""),16.0)</f>
        <v>16</v>
      </c>
      <c r="H1224" s="86">
        <f>IFERROR(__xludf.DUMMYFUNCTION("""COMPUTED_VALUE"""),0.5555555555555556)</f>
        <v>0.5555555556</v>
      </c>
      <c r="I1224" s="86">
        <f>IFERROR(__xludf.DUMMYFUNCTION("""COMPUTED_VALUE"""),0.36363636363636365)</f>
        <v>0.3636363636</v>
      </c>
      <c r="J1224" s="82">
        <f>IFERROR(__xludf.DUMMYFUNCTION("""COMPUTED_VALUE"""),373.47222222222223)</f>
        <v>373.4722222</v>
      </c>
      <c r="K1224" s="82">
        <f>IFERROR(__xludf.DUMMYFUNCTION("""COMPUTED_VALUE"""),1.0)</f>
        <v>1</v>
      </c>
      <c r="L1224" s="82">
        <f>IFERROR(__xludf.DUMMYFUNCTION("""COMPUTED_VALUE"""),0.6111111111111112)</f>
        <v>0.6111111111</v>
      </c>
      <c r="M1224" s="82">
        <f>IFERROR(__xludf.DUMMYFUNCTION("""COMPUTED_VALUE"""),1.3333333333333333)</f>
        <v>1.333333333</v>
      </c>
      <c r="N1224" s="82">
        <f>IFERROR(__xludf.DUMMYFUNCTION("""COMPUTED_VALUE"""),2.75)</f>
        <v>2.75</v>
      </c>
      <c r="O1224" s="82">
        <f>IFERROR(__xludf.DUMMYFUNCTION("""COMPUTED_VALUE"""),364.2222222222222)</f>
        <v>364.2222222</v>
      </c>
      <c r="P1224" s="82">
        <f>IFERROR(__xludf.DUMMYFUNCTION("""COMPUTED_VALUE"""),0.7685185185185186)</f>
        <v>0.7685185185</v>
      </c>
      <c r="Q1224" s="82">
        <f>IFERROR(__xludf.DUMMYFUNCTION("""COMPUTED_VALUE"""),0.6296296296296298)</f>
        <v>0.6296296296</v>
      </c>
      <c r="R1224" s="82">
        <f>IFERROR(__xludf.DUMMYFUNCTION("""COMPUTED_VALUE"""),1.5185185185185184)</f>
        <v>1.518518519</v>
      </c>
      <c r="S1224" s="82">
        <f>IFERROR(__xludf.DUMMYFUNCTION("""COMPUTED_VALUE"""),2.407407407407407)</f>
        <v>2.407407407</v>
      </c>
      <c r="T1224" s="82">
        <f>IFERROR(__xludf.DUMMYFUNCTION("""COMPUTED_VALUE"""),352.51101807503505)</f>
        <v>352.5110181</v>
      </c>
      <c r="U1224" s="82">
        <f>IFERROR(__xludf.DUMMYFUNCTION("""COMPUTED_VALUE"""),0.7776810414092754)</f>
        <v>0.7776810414</v>
      </c>
      <c r="V1224" s="82">
        <f>IFERROR(__xludf.DUMMYFUNCTION("""COMPUTED_VALUE"""),0.574552214216324)</f>
        <v>0.5745522142</v>
      </c>
      <c r="W1224" s="82">
        <f>IFERROR(__xludf.DUMMYFUNCTION("""COMPUTED_VALUE"""),1.3898581116329183)</f>
        <v>1.389858112</v>
      </c>
      <c r="X1224" s="82">
        <f>IFERROR(__xludf.DUMMYFUNCTION("""COMPUTED_VALUE"""),2.6243962417591096)</f>
        <v>2.624396242</v>
      </c>
      <c r="Y1224" s="82">
        <f>IFERROR(__xludf.DUMMYFUNCTION("""COMPUTED_VALUE"""),342.8828393728998)</f>
        <v>342.8828394</v>
      </c>
      <c r="Z1224" s="82">
        <f>IFERROR(__xludf.DUMMYFUNCTION("""COMPUTED_VALUE"""),0.7486856502540923)</f>
        <v>0.7486856503</v>
      </c>
      <c r="AA1224" s="82">
        <f>IFERROR(__xludf.DUMMYFUNCTION("""COMPUTED_VALUE"""),0.5262238232112881)</f>
        <v>0.5262238232</v>
      </c>
      <c r="AB1224" s="82">
        <f>IFERROR(__xludf.DUMMYFUNCTION("""COMPUTED_VALUE"""),1.3526063554975445)</f>
        <v>1.352606355</v>
      </c>
      <c r="AC1224" s="82">
        <f>IFERROR(__xludf.DUMMYFUNCTION("""COMPUTED_VALUE"""),2.5386195612759375)</f>
        <v>2.538619561</v>
      </c>
      <c r="AD1224" s="82">
        <f>IFERROR(__xludf.DUMMYFUNCTION("""COMPUTED_VALUE"""),1.0892123470082886)</f>
        <v>1.089212347</v>
      </c>
      <c r="AE1224" s="82">
        <f>IFERROR(__xludf.DUMMYFUNCTION("""COMPUTED_VALUE"""),1.3356740571434962)</f>
        <v>1.335674057</v>
      </c>
      <c r="AF1224" s="82">
        <f>IFERROR(__xludf.DUMMYFUNCTION("""COMPUTED_VALUE"""),1.161314034362407)</f>
        <v>1.161314034</v>
      </c>
      <c r="AG1224" s="82">
        <f>IFERROR(__xludf.DUMMYFUNCTION("""COMPUTED_VALUE"""),0.9857511965060065)</f>
        <v>0.9857511965</v>
      </c>
      <c r="AH1224" s="82">
        <f>IFERROR(__xludf.DUMMYFUNCTION("""COMPUTED_VALUE"""),1.0832658985018695)</f>
        <v>1.083265899</v>
      </c>
      <c r="AI1224" s="82">
        <f>IFERROR(__xludf.DUMMYFUNCTION("""COMPUTED_VALUE"""),1.0332222357506404)</f>
        <v>1.033222236</v>
      </c>
      <c r="AJ1224" s="82">
        <f>IFERROR(__xludf.DUMMYFUNCTION("""COMPUTED_VALUE"""),0.9882181480544351)</f>
        <v>0.9882181481</v>
      </c>
      <c r="AK1224" s="82">
        <f>IFERROR(__xludf.DUMMYFUNCTION("""COMPUTED_VALUE"""),1.095861462284033)</f>
        <v>1.095861462</v>
      </c>
      <c r="AL1224" s="82">
        <f>IFERROR(__xludf.DUMMYFUNCTION("""COMPUTED_VALUE"""),1.092570893250707)</f>
        <v>1.092570893</v>
      </c>
      <c r="AM1224" s="82">
        <f>IFERROR(__xludf.DUMMYFUNCTION("""COMPUTED_VALUE"""),0.9173185699251509)</f>
        <v>0.9173185699</v>
      </c>
      <c r="AN1224" s="82">
        <f>IFERROR(__xludf.DUMMYFUNCTION("""COMPUTED_VALUE"""),1.0816587844173462)</f>
        <v>1.081658784</v>
      </c>
      <c r="AO1224" s="82">
        <f>IFERROR(__xludf.DUMMYFUNCTION("""COMPUTED_VALUE"""),1.3256502556567418)</f>
        <v>1.325650256</v>
      </c>
      <c r="AP1224" s="82">
        <f>IFERROR(__xludf.DUMMYFUNCTION("""COMPUTED_VALUE"""),1.1333124747390102)</f>
        <v>1.133312475</v>
      </c>
      <c r="AQ1224" s="82">
        <f>IFERROR(__xludf.DUMMYFUNCTION("""COMPUTED_VALUE"""),0.9871836844618684)</f>
        <v>0.9871836845</v>
      </c>
      <c r="AR1224" s="82">
        <f>IFERROR(__xludf.DUMMYFUNCTION("""COMPUTED_VALUE"""),1.073932764319929)</f>
        <v>1.073932764</v>
      </c>
      <c r="AS1224" s="82">
        <f>IFERROR(__xludf.DUMMYFUNCTION("""COMPUTED_VALUE"""),94.0)</f>
        <v>94</v>
      </c>
      <c r="AT1224" s="82">
        <f>IFERROR(__xludf.DUMMYFUNCTION("""COMPUTED_VALUE"""),0.5489850662111027)</f>
        <v>0.5489850662</v>
      </c>
      <c r="AU1224" s="82">
        <f>IFERROR(__xludf.DUMMYFUNCTION("""COMPUTED_VALUE"""),3.086612080750396)</f>
        <v>3.086612081</v>
      </c>
      <c r="AV1224" s="82">
        <f>IFERROR(__xludf.DUMMYFUNCTION("""COMPUTED_VALUE"""),72.199993797805)</f>
        <v>72.1999938</v>
      </c>
      <c r="AW1224" s="82">
        <f t="shared" si="1"/>
        <v>5.339870976</v>
      </c>
      <c r="AX1224" s="83">
        <f t="array" ref="AX1224">IFERROR(DGET('SBV Import'!A:G,"SBV",{"RSC ID","Tier";B1224,A1224}))</f>
        <v>60.76047384</v>
      </c>
      <c r="AY1224" s="82">
        <f t="shared" si="2"/>
        <v>2.998991242</v>
      </c>
      <c r="AZ1224" s="82">
        <v>2.3408797341062297</v>
      </c>
      <c r="BA1224" s="84">
        <v>1200.0</v>
      </c>
      <c r="BB1224" s="84" t="b">
        <f>IFERROR(__xludf.DUMMYFUNCTION("iferror(if(A1224="""",,E1224&gt;=FILTER(Constants!$F$2:$F$10,Constants!$A$2:$A$10=A1224)))"),TRUE)</f>
        <v>1</v>
      </c>
    </row>
    <row r="1225">
      <c r="A1225" s="89" t="str">
        <f>IFERROR(__xludf.DUMMYFUNCTION("""COMPUTED_VALUE"""),"Veteran")</f>
        <v>Veteran</v>
      </c>
      <c r="B1225" s="87" t="str">
        <f>IFERROR(__xludf.DUMMYFUNCTION("""COMPUTED_VALUE"""),"RSC005048")</f>
        <v>RSC005048</v>
      </c>
      <c r="C1225" s="73" t="str">
        <f>IFERROR(__xludf.DUMMYFUNCTION("""COMPUTED_VALUE"""),"heyzisthename11")</f>
        <v>heyzisthename11</v>
      </c>
      <c r="D1225" s="73" t="str">
        <f>IFERROR(__xludf.DUMMYFUNCTION("""COMPUTED_VALUE"""),"Gorillas")</f>
        <v>Gorillas</v>
      </c>
      <c r="E1225" s="82">
        <f>IFERROR(__xludf.DUMMYFUNCTION("""COMPUTED_VALUE"""),36.0)</f>
        <v>36</v>
      </c>
      <c r="F1225" s="82">
        <f>IFERROR(__xludf.DUMMYFUNCTION("""COMPUTED_VALUE"""),22.0)</f>
        <v>22</v>
      </c>
      <c r="G1225" s="86">
        <f>IFERROR(__xludf.DUMMYFUNCTION("""COMPUTED_VALUE"""),14.0)</f>
        <v>14</v>
      </c>
      <c r="H1225" s="86">
        <f>IFERROR(__xludf.DUMMYFUNCTION("""COMPUTED_VALUE"""),0.6111111111111112)</f>
        <v>0.6111111111</v>
      </c>
      <c r="I1225" s="86">
        <f>IFERROR(__xludf.DUMMYFUNCTION("""COMPUTED_VALUE"""),0.2553191489361702)</f>
        <v>0.2553191489</v>
      </c>
      <c r="J1225" s="82">
        <f>IFERROR(__xludf.DUMMYFUNCTION("""COMPUTED_VALUE"""),342.97222222222223)</f>
        <v>342.9722222</v>
      </c>
      <c r="K1225" s="82">
        <f>IFERROR(__xludf.DUMMYFUNCTION("""COMPUTED_VALUE"""),0.6666666666666666)</f>
        <v>0.6666666667</v>
      </c>
      <c r="L1225" s="82">
        <f>IFERROR(__xludf.DUMMYFUNCTION("""COMPUTED_VALUE"""),1.0)</f>
        <v>1</v>
      </c>
      <c r="M1225" s="82">
        <f>IFERROR(__xludf.DUMMYFUNCTION("""COMPUTED_VALUE"""),1.1388888888888888)</f>
        <v>1.138888889</v>
      </c>
      <c r="N1225" s="82">
        <f>IFERROR(__xludf.DUMMYFUNCTION("""COMPUTED_VALUE"""),2.611111111111111)</f>
        <v>2.611111111</v>
      </c>
      <c r="O1225" s="82">
        <f>IFERROR(__xludf.DUMMYFUNCTION("""COMPUTED_VALUE"""),334.34259259259255)</f>
        <v>334.3425926</v>
      </c>
      <c r="P1225" s="82">
        <f>IFERROR(__xludf.DUMMYFUNCTION("""COMPUTED_VALUE"""),0.6574074074074074)</f>
        <v>0.6574074074</v>
      </c>
      <c r="Q1225" s="82">
        <f>IFERROR(__xludf.DUMMYFUNCTION("""COMPUTED_VALUE"""),0.4629629629629629)</f>
        <v>0.462962963</v>
      </c>
      <c r="R1225" s="82">
        <f>IFERROR(__xludf.DUMMYFUNCTION("""COMPUTED_VALUE"""),1.509259259259259)</f>
        <v>1.509259259</v>
      </c>
      <c r="S1225" s="82">
        <f>IFERROR(__xludf.DUMMYFUNCTION("""COMPUTED_VALUE"""),2.314814814814815)</f>
        <v>2.314814815</v>
      </c>
      <c r="T1225" s="82">
        <f>IFERROR(__xludf.DUMMYFUNCTION("""COMPUTED_VALUE"""),352.50696946791675)</f>
        <v>352.5069695</v>
      </c>
      <c r="U1225" s="82">
        <f>IFERROR(__xludf.DUMMYFUNCTION("""COMPUTED_VALUE"""),0.7878414595827143)</f>
        <v>0.7878414596</v>
      </c>
      <c r="V1225" s="82">
        <f>IFERROR(__xludf.DUMMYFUNCTION("""COMPUTED_VALUE"""),0.5999832212739934)</f>
        <v>0.5999832213</v>
      </c>
      <c r="W1225" s="82">
        <f>IFERROR(__xludf.DUMMYFUNCTION("""COMPUTED_VALUE"""),1.3450636312154491)</f>
        <v>1.345063631</v>
      </c>
      <c r="X1225" s="82">
        <f>IFERROR(__xludf.DUMMYFUNCTION("""COMPUTED_VALUE"""),2.673310812442284)</f>
        <v>2.673310812</v>
      </c>
      <c r="Y1225" s="82">
        <f>IFERROR(__xludf.DUMMYFUNCTION("""COMPUTED_VALUE"""),367.76490463308437)</f>
        <v>367.7649046</v>
      </c>
      <c r="Z1225" s="82">
        <f>IFERROR(__xludf.DUMMYFUNCTION("""COMPUTED_VALUE"""),0.8493216584718114)</f>
        <v>0.8493216585</v>
      </c>
      <c r="AA1225" s="82">
        <f>IFERROR(__xludf.DUMMYFUNCTION("""COMPUTED_VALUE"""),0.6383918041393667)</f>
        <v>0.6383918041</v>
      </c>
      <c r="AB1225" s="82">
        <f>IFERROR(__xludf.DUMMYFUNCTION("""COMPUTED_VALUE"""),1.4020346380619444)</f>
        <v>1.402034638</v>
      </c>
      <c r="AC1225" s="82">
        <f>IFERROR(__xludf.DUMMYFUNCTION("""COMPUTED_VALUE"""),2.658765096993985)</f>
        <v>2.658765097</v>
      </c>
      <c r="AD1225" s="82">
        <f>IFERROR(__xludf.DUMMYFUNCTION("""COMPUTED_VALUE"""),0.9325855129227255)</f>
        <v>0.9325855129</v>
      </c>
      <c r="AE1225" s="82">
        <f>IFERROR(__xludf.DUMMYFUNCTION("""COMPUTED_VALUE"""),0.7849401460763443)</f>
        <v>0.7849401461</v>
      </c>
      <c r="AF1225" s="82">
        <f>IFERROR(__xludf.DUMMYFUNCTION("""COMPUTED_VALUE"""),1.5664361502073592)</f>
        <v>1.56643615</v>
      </c>
      <c r="AG1225" s="82">
        <f>IFERROR(__xludf.DUMMYFUNCTION("""COMPUTED_VALUE"""),0.8123115206791137)</f>
        <v>0.8123115207</v>
      </c>
      <c r="AH1225" s="82">
        <f>IFERROR(__xludf.DUMMYFUNCTION("""COMPUTED_VALUE"""),0.9820766468099225)</f>
        <v>0.9820766468</v>
      </c>
      <c r="AI1225" s="82">
        <f>IFERROR(__xludf.DUMMYFUNCTION("""COMPUTED_VALUE"""),0.9484708716461919)</f>
        <v>0.9484708716</v>
      </c>
      <c r="AJ1225" s="82">
        <f>IFERROR(__xludf.DUMMYFUNCTION("""COMPUTED_VALUE"""),0.834441243744151)</f>
        <v>0.8344412437</v>
      </c>
      <c r="AK1225" s="82">
        <f>IFERROR(__xludf.DUMMYFUNCTION("""COMPUTED_VALUE"""),0.7716265164547699)</f>
        <v>0.7716265165</v>
      </c>
      <c r="AL1225" s="82">
        <f>IFERROR(__xludf.DUMMYFUNCTION("""COMPUTED_VALUE"""),1.1220727586660244)</f>
        <v>1.122072759</v>
      </c>
      <c r="AM1225" s="82">
        <f>IFERROR(__xludf.DUMMYFUNCTION("""COMPUTED_VALUE"""),0.8658981230469216)</f>
        <v>0.865898123</v>
      </c>
      <c r="AN1225" s="82">
        <f>IFERROR(__xludf.DUMMYFUNCTION("""COMPUTED_VALUE"""),0.9933239874452192)</f>
        <v>0.9933239874</v>
      </c>
      <c r="AO1225" s="82">
        <f>IFERROR(__xludf.DUMMYFUNCTION("""COMPUTED_VALUE"""),0.8837668371044944)</f>
        <v>0.8837668371</v>
      </c>
      <c r="AP1225" s="82">
        <f>IFERROR(__xludf.DUMMYFUNCTION("""COMPUTED_VALUE"""),1.8545113223001983)</f>
        <v>1.854511322</v>
      </c>
      <c r="AQ1225" s="82">
        <f>IFERROR(__xludf.DUMMYFUNCTION("""COMPUTED_VALUE"""),0.8432193971445127)</f>
        <v>0.8432193971</v>
      </c>
      <c r="AR1225" s="82">
        <f>IFERROR(__xludf.DUMMYFUNCTION("""COMPUTED_VALUE"""),1.0196937358189224)</f>
        <v>1.019693736</v>
      </c>
      <c r="AS1225" s="82">
        <f>IFERROR(__xludf.DUMMYFUNCTION("""COMPUTED_VALUE"""),102.0)</f>
        <v>102</v>
      </c>
      <c r="AT1225" s="82">
        <f>IFERROR(__xludf.DUMMYFUNCTION("""COMPUTED_VALUE"""),0.6384139072661715)</f>
        <v>0.6384139073</v>
      </c>
      <c r="AU1225" s="82">
        <f>IFERROR(__xludf.DUMMYFUNCTION("""COMPUTED_VALUE"""),3.051239698818509)</f>
        <v>3.051239699</v>
      </c>
      <c r="AV1225" s="82">
        <f>IFERROR(__xludf.DUMMYFUNCTION("""COMPUTED_VALUE"""),71.10429563648682)</f>
        <v>71.10429564</v>
      </c>
      <c r="AW1225" s="82">
        <f t="shared" si="1"/>
        <v>5.017896377</v>
      </c>
      <c r="AX1225" s="83">
        <f t="array" ref="AX1225">IFERROR(DGET('SBV Import'!A:G,"SBV",{"RSC ID","Tier";B1225,A1225}))</f>
        <v>52.42766577</v>
      </c>
      <c r="AY1225" s="82">
        <f t="shared" si="2"/>
        <v>2.167688678</v>
      </c>
      <c r="AZ1225" s="82">
        <v>2.85020769843118</v>
      </c>
      <c r="BA1225" s="84">
        <v>1200.0</v>
      </c>
      <c r="BB1225" s="84" t="b">
        <f>IFERROR(__xludf.DUMMYFUNCTION("iferror(if(A1225="""",,E1225&gt;=FILTER(Constants!$F$2:$F$10,Constants!$A$2:$A$10=A1225)))"),TRUE)</f>
        <v>1</v>
      </c>
    </row>
    <row r="1226">
      <c r="A1226" s="89" t="str">
        <f>IFERROR(__xludf.DUMMYFUNCTION("""COMPUTED_VALUE"""),"Veteran")</f>
        <v>Veteran</v>
      </c>
      <c r="B1226" s="87" t="str">
        <f>IFERROR(__xludf.DUMMYFUNCTION("""COMPUTED_VALUE"""),"RSC001203")</f>
        <v>RSC001203</v>
      </c>
      <c r="C1226" s="73" t="str">
        <f>IFERROR(__xludf.DUMMYFUNCTION("""COMPUTED_VALUE"""),"Clyde")</f>
        <v>Clyde</v>
      </c>
      <c r="D1226" s="73" t="str">
        <f>IFERROR(__xludf.DUMMYFUNCTION("""COMPUTED_VALUE"""),"Banshees")</f>
        <v>Banshees</v>
      </c>
      <c r="E1226" s="82">
        <f>IFERROR(__xludf.DUMMYFUNCTION("""COMPUTED_VALUE"""),23.0)</f>
        <v>23</v>
      </c>
      <c r="F1226" s="82">
        <f>IFERROR(__xludf.DUMMYFUNCTION("""COMPUTED_VALUE"""),13.0)</f>
        <v>13</v>
      </c>
      <c r="G1226" s="86">
        <f>IFERROR(__xludf.DUMMYFUNCTION("""COMPUTED_VALUE"""),10.0)</f>
        <v>10</v>
      </c>
      <c r="H1226" s="86">
        <f>IFERROR(__xludf.DUMMYFUNCTION("""COMPUTED_VALUE"""),0.5652173913043478)</f>
        <v>0.5652173913</v>
      </c>
      <c r="I1226" s="86">
        <f>IFERROR(__xludf.DUMMYFUNCTION("""COMPUTED_VALUE"""),0.27272727272727276)</f>
        <v>0.2727272727</v>
      </c>
      <c r="J1226" s="82">
        <f>IFERROR(__xludf.DUMMYFUNCTION("""COMPUTED_VALUE"""),367.5217391304348)</f>
        <v>367.5217391</v>
      </c>
      <c r="K1226" s="82">
        <f>IFERROR(__xludf.DUMMYFUNCTION("""COMPUTED_VALUE"""),0.782608695652174)</f>
        <v>0.7826086957</v>
      </c>
      <c r="L1226" s="82">
        <f>IFERROR(__xludf.DUMMYFUNCTION("""COMPUTED_VALUE"""),0.8260869565217391)</f>
        <v>0.8260869565</v>
      </c>
      <c r="M1226" s="82">
        <f>IFERROR(__xludf.DUMMYFUNCTION("""COMPUTED_VALUE"""),1.4782608695652173)</f>
        <v>1.47826087</v>
      </c>
      <c r="N1226" s="82">
        <f>IFERROR(__xludf.DUMMYFUNCTION("""COMPUTED_VALUE"""),2.869565217391304)</f>
        <v>2.869565217</v>
      </c>
      <c r="O1226" s="82">
        <f>IFERROR(__xludf.DUMMYFUNCTION("""COMPUTED_VALUE"""),345.30434782608694)</f>
        <v>345.3043478</v>
      </c>
      <c r="P1226" s="82">
        <f>IFERROR(__xludf.DUMMYFUNCTION("""COMPUTED_VALUE"""),0.7536231884057973)</f>
        <v>0.7536231884</v>
      </c>
      <c r="Q1226" s="82">
        <f>IFERROR(__xludf.DUMMYFUNCTION("""COMPUTED_VALUE"""),0.5652173913043478)</f>
        <v>0.5652173913</v>
      </c>
      <c r="R1226" s="82">
        <f>IFERROR(__xludf.DUMMYFUNCTION("""COMPUTED_VALUE"""),1.420289855072464)</f>
        <v>1.420289855</v>
      </c>
      <c r="S1226" s="82">
        <f>IFERROR(__xludf.DUMMYFUNCTION("""COMPUTED_VALUE"""),2.405797101449275)</f>
        <v>2.405797101</v>
      </c>
      <c r="T1226" s="82">
        <f>IFERROR(__xludf.DUMMYFUNCTION("""COMPUTED_VALUE"""),357.7285175896434)</f>
        <v>357.7285176</v>
      </c>
      <c r="U1226" s="82">
        <f>IFERROR(__xludf.DUMMYFUNCTION("""COMPUTED_VALUE"""),0.8103304568913702)</f>
        <v>0.8103304569</v>
      </c>
      <c r="V1226" s="82">
        <f>IFERROR(__xludf.DUMMYFUNCTION("""COMPUTED_VALUE"""),0.5976222110398975)</f>
        <v>0.597622211</v>
      </c>
      <c r="W1226" s="82">
        <f>IFERROR(__xludf.DUMMYFUNCTION("""COMPUTED_VALUE"""),1.3772496771327596)</f>
        <v>1.377249677</v>
      </c>
      <c r="X1226" s="82">
        <f>IFERROR(__xludf.DUMMYFUNCTION("""COMPUTED_VALUE"""),2.6412678005595254)</f>
        <v>2.641267801</v>
      </c>
      <c r="Y1226" s="82">
        <f>IFERROR(__xludf.DUMMYFUNCTION("""COMPUTED_VALUE"""),357.7073073091803)</f>
        <v>357.7073073</v>
      </c>
      <c r="Z1226" s="82">
        <f>IFERROR(__xludf.DUMMYFUNCTION("""COMPUTED_VALUE"""),0.8217637016958327)</f>
        <v>0.8217637017</v>
      </c>
      <c r="AA1226" s="82">
        <f>IFERROR(__xludf.DUMMYFUNCTION("""COMPUTED_VALUE"""),0.5963450040212869)</f>
        <v>0.596345004</v>
      </c>
      <c r="AB1226" s="82">
        <f>IFERROR(__xludf.DUMMYFUNCTION("""COMPUTED_VALUE"""),1.351217854547722)</f>
        <v>1.351217855</v>
      </c>
      <c r="AC1226" s="82">
        <f>IFERROR(__xludf.DUMMYFUNCTION("""COMPUTED_VALUE"""),2.6976282755959455)</f>
        <v>2.697628276</v>
      </c>
      <c r="AD1226" s="82">
        <f>IFERROR(__xludf.DUMMYFUNCTION("""COMPUTED_VALUE"""),1.0274370459331197)</f>
        <v>1.027437046</v>
      </c>
      <c r="AE1226" s="82">
        <f>IFERROR(__xludf.DUMMYFUNCTION("""COMPUTED_VALUE"""),0.9523524755804418)</f>
        <v>0.9523524756</v>
      </c>
      <c r="AF1226" s="82">
        <f>IFERROR(__xludf.DUMMYFUNCTION("""COMPUTED_VALUE"""),1.3852500665743004)</f>
        <v>1.385250067</v>
      </c>
      <c r="AG1226" s="82">
        <f>IFERROR(__xludf.DUMMYFUNCTION("""COMPUTED_VALUE"""),1.0940211192369265)</f>
        <v>1.094021119</v>
      </c>
      <c r="AH1226" s="82">
        <f>IFERROR(__xludf.DUMMYFUNCTION("""COMPUTED_VALUE"""),1.0637363358587184)</f>
        <v>1.063736336</v>
      </c>
      <c r="AI1226" s="82">
        <f>IFERROR(__xludf.DUMMYFUNCTION("""COMPUTED_VALUE"""),0.9652692778108106)</f>
        <v>0.9652692778</v>
      </c>
      <c r="AJ1226" s="82">
        <f>IFERROR(__xludf.DUMMYFUNCTION("""COMPUTED_VALUE"""),0.9300195765772941)</f>
        <v>0.9300195766</v>
      </c>
      <c r="AK1226" s="82">
        <f>IFERROR(__xludf.DUMMYFUNCTION("""COMPUTED_VALUE"""),0.9457770826837854)</f>
        <v>0.9457770827</v>
      </c>
      <c r="AL1226" s="82">
        <f>IFERROR(__xludf.DUMMYFUNCTION("""COMPUTED_VALUE"""),1.0312508172296748)</f>
        <v>1.031250817</v>
      </c>
      <c r="AM1226" s="82">
        <f>IFERROR(__xludf.DUMMYFUNCTION("""COMPUTED_VALUE"""),0.9108493659520749)</f>
        <v>0.910849366</v>
      </c>
      <c r="AN1226" s="82">
        <f>IFERROR(__xludf.DUMMYFUNCTION("""COMPUTED_VALUE"""),1.0644248593091783)</f>
        <v>1.064424859</v>
      </c>
      <c r="AO1226" s="82">
        <f>IFERROR(__xludf.DUMMYFUNCTION("""COMPUTED_VALUE"""),1.0374654174704936)</f>
        <v>1.037465417</v>
      </c>
      <c r="AP1226" s="82">
        <f>IFERROR(__xludf.DUMMYFUNCTION("""COMPUTED_VALUE"""),1.531987614074077)</f>
        <v>1.531987614</v>
      </c>
      <c r="AQ1226" s="82">
        <f>IFERROR(__xludf.DUMMYFUNCTION("""COMPUTED_VALUE"""),1.0944862588598976)</f>
        <v>1.094486259</v>
      </c>
      <c r="AR1226" s="82">
        <f>IFERROR(__xludf.DUMMYFUNCTION("""COMPUTED_VALUE"""),1.120625493203404)</f>
        <v>1.120625493</v>
      </c>
      <c r="AS1226" s="82">
        <f>IFERROR(__xludf.DUMMYFUNCTION("""COMPUTED_VALUE"""),66.0)</f>
        <v>66</v>
      </c>
      <c r="AT1226" s="82">
        <f>IFERROR(__xludf.DUMMYFUNCTION("""COMPUTED_VALUE"""),0.5941598897057572)</f>
        <v>0.5941598897</v>
      </c>
      <c r="AU1226" s="82">
        <f>IFERROR(__xludf.DUMMYFUNCTION("""COMPUTED_VALUE"""),3.0471838077903897)</f>
        <v>3.047183808</v>
      </c>
      <c r="AV1226" s="82">
        <f>IFERROR(__xludf.DUMMYFUNCTION("""COMPUTED_VALUE"""),70.97865998236054)</f>
        <v>70.97865998</v>
      </c>
      <c r="AW1226" s="82">
        <f t="shared" si="1"/>
        <v>4.982720406</v>
      </c>
      <c r="AX1226" s="83">
        <f t="array" ref="AX1226">IFERROR(DGET('SBV Import'!A:G,"SBV",{"RSC ID","Tier";B1226,A1226}))</f>
        <v>64.39432012</v>
      </c>
      <c r="AY1226" s="82">
        <f t="shared" si="2"/>
        <v>3.541272376</v>
      </c>
      <c r="AZ1226" s="82">
        <v>1.4414480300594517</v>
      </c>
      <c r="BA1226" s="84">
        <v>1200.0</v>
      </c>
      <c r="BB1226" s="84" t="b">
        <f>IFERROR(__xludf.DUMMYFUNCTION("iferror(if(A1226="""",,E1226&gt;=FILTER(Constants!$F$2:$F$10,Constants!$A$2:$A$10=A1226)))"),TRUE)</f>
        <v>1</v>
      </c>
    </row>
    <row r="1227">
      <c r="A1227" s="89" t="str">
        <f>IFERROR(__xludf.DUMMYFUNCTION("""COMPUTED_VALUE"""),"Veteran")</f>
        <v>Veteran</v>
      </c>
      <c r="B1227" s="87" t="str">
        <f>IFERROR(__xludf.DUMMYFUNCTION("""COMPUTED_VALUE"""),"RSC002760")</f>
        <v>RSC002760</v>
      </c>
      <c r="C1227" s="73" t="str">
        <f>IFERROR(__xludf.DUMMYFUNCTION("""COMPUTED_VALUE"""),"gcol")</f>
        <v>gcol</v>
      </c>
      <c r="D1227" s="73" t="str">
        <f>IFERROR(__xludf.DUMMYFUNCTION("""COMPUTED_VALUE"""),"Kirin")</f>
        <v>Kirin</v>
      </c>
      <c r="E1227" s="82">
        <f>IFERROR(__xludf.DUMMYFUNCTION("""COMPUTED_VALUE"""),36.0)</f>
        <v>36</v>
      </c>
      <c r="F1227" s="82">
        <f>IFERROR(__xludf.DUMMYFUNCTION("""COMPUTED_VALUE"""),17.0)</f>
        <v>17</v>
      </c>
      <c r="G1227" s="86">
        <f>IFERROR(__xludf.DUMMYFUNCTION("""COMPUTED_VALUE"""),19.0)</f>
        <v>19</v>
      </c>
      <c r="H1227" s="86">
        <f>IFERROR(__xludf.DUMMYFUNCTION("""COMPUTED_VALUE"""),0.4722222222222222)</f>
        <v>0.4722222222</v>
      </c>
      <c r="I1227" s="86">
        <f>IFERROR(__xludf.DUMMYFUNCTION("""COMPUTED_VALUE"""),0.37362637362637363)</f>
        <v>0.3736263736</v>
      </c>
      <c r="J1227" s="82">
        <f>IFERROR(__xludf.DUMMYFUNCTION("""COMPUTED_VALUE"""),369.0833333333333)</f>
        <v>369.0833333</v>
      </c>
      <c r="K1227" s="82">
        <f>IFERROR(__xludf.DUMMYFUNCTION("""COMPUTED_VALUE"""),0.9444444444444444)</f>
        <v>0.9444444444</v>
      </c>
      <c r="L1227" s="82">
        <f>IFERROR(__xludf.DUMMYFUNCTION("""COMPUTED_VALUE"""),0.6944444444444444)</f>
        <v>0.6944444444</v>
      </c>
      <c r="M1227" s="82">
        <f>IFERROR(__xludf.DUMMYFUNCTION("""COMPUTED_VALUE"""),1.3333333333333333)</f>
        <v>1.333333333</v>
      </c>
      <c r="N1227" s="82">
        <f>IFERROR(__xludf.DUMMYFUNCTION("""COMPUTED_VALUE"""),2.5277777777777777)</f>
        <v>2.527777778</v>
      </c>
      <c r="O1227" s="82">
        <f>IFERROR(__xludf.DUMMYFUNCTION("""COMPUTED_VALUE"""),367.93518518518505)</f>
        <v>367.9351852</v>
      </c>
      <c r="P1227" s="82">
        <f>IFERROR(__xludf.DUMMYFUNCTION("""COMPUTED_VALUE"""),0.8333333333333335)</f>
        <v>0.8333333333</v>
      </c>
      <c r="Q1227" s="82">
        <f>IFERROR(__xludf.DUMMYFUNCTION("""COMPUTED_VALUE"""),0.6296296296296299)</f>
        <v>0.6296296296</v>
      </c>
      <c r="R1227" s="82">
        <f>IFERROR(__xludf.DUMMYFUNCTION("""COMPUTED_VALUE"""),1.1759259259259265)</f>
        <v>1.175925926</v>
      </c>
      <c r="S1227" s="82">
        <f>IFERROR(__xludf.DUMMYFUNCTION("""COMPUTED_VALUE"""),2.8611111111111107)</f>
        <v>2.861111111</v>
      </c>
      <c r="T1227" s="82">
        <f>IFERROR(__xludf.DUMMYFUNCTION("""COMPUTED_VALUE"""),370.0648071068151)</f>
        <v>370.0648071</v>
      </c>
      <c r="U1227" s="82">
        <f>IFERROR(__xludf.DUMMYFUNCTION("""COMPUTED_VALUE"""),0.850764395889053)</f>
        <v>0.8507643959</v>
      </c>
      <c r="V1227" s="82">
        <f>IFERROR(__xludf.DUMMYFUNCTION("""COMPUTED_VALUE"""),0.6098030849137746)</f>
        <v>0.6098030849</v>
      </c>
      <c r="W1227" s="82">
        <f>IFERROR(__xludf.DUMMYFUNCTION("""COMPUTED_VALUE"""),1.3985989280220255)</f>
        <v>1.398598928</v>
      </c>
      <c r="X1227" s="82">
        <f>IFERROR(__xludf.DUMMYFUNCTION("""COMPUTED_VALUE"""),2.7947725320532615)</f>
        <v>2.794772532</v>
      </c>
      <c r="Y1227" s="82">
        <f>IFERROR(__xludf.DUMMYFUNCTION("""COMPUTED_VALUE"""),356.10133819576015)</f>
        <v>356.1013382</v>
      </c>
      <c r="Z1227" s="82">
        <f>IFERROR(__xludf.DUMMYFUNCTION("""COMPUTED_VALUE"""),0.7705392211372077)</f>
        <v>0.7705392211</v>
      </c>
      <c r="AA1227" s="82">
        <f>IFERROR(__xludf.DUMMYFUNCTION("""COMPUTED_VALUE"""),0.5778685176446791)</f>
        <v>0.5778685176</v>
      </c>
      <c r="AB1227" s="82">
        <f>IFERROR(__xludf.DUMMYFUNCTION("""COMPUTED_VALUE"""),1.3992071447045442)</f>
        <v>1.399207145</v>
      </c>
      <c r="AC1227" s="82">
        <f>IFERROR(__xludf.DUMMYFUNCTION("""COMPUTED_VALUE"""),2.651020617508074)</f>
        <v>2.651020618</v>
      </c>
      <c r="AD1227" s="82">
        <f>IFERROR(__xludf.DUMMYFUNCTION("""COMPUTED_VALUE"""),1.0364559010178067)</f>
        <v>1.036455901</v>
      </c>
      <c r="AE1227" s="82">
        <f>IFERROR(__xludf.DUMMYFUNCTION("""COMPUTED_VALUE"""),1.2256928895203765)</f>
        <v>1.22569289</v>
      </c>
      <c r="AF1227" s="82">
        <f>IFERROR(__xludf.DUMMYFUNCTION("""COMPUTED_VALUE"""),1.201734344821058)</f>
        <v>1.201734345</v>
      </c>
      <c r="AG1227" s="82">
        <f>IFERROR(__xludf.DUMMYFUNCTION("""COMPUTED_VALUE"""),0.9529206153495444)</f>
        <v>0.9529206153</v>
      </c>
      <c r="AH1227" s="82">
        <f>IFERROR(__xludf.DUMMYFUNCTION("""COMPUTED_VALUE"""),0.9535111726720017)</f>
        <v>0.9535111727</v>
      </c>
      <c r="AI1227" s="82">
        <f>IFERROR(__xludf.DUMMYFUNCTION("""COMPUTED_VALUE"""),0.9942452730420934)</f>
        <v>0.994245273</v>
      </c>
      <c r="AJ1227" s="82">
        <f>IFERROR(__xludf.DUMMYFUNCTION("""COMPUTED_VALUE"""),0.9795112928562273)</f>
        <v>0.9795112929</v>
      </c>
      <c r="AK1227" s="82">
        <f>IFERROR(__xludf.DUMMYFUNCTION("""COMPUTED_VALUE"""),1.0325130279041779)</f>
        <v>1.032513028</v>
      </c>
      <c r="AL1227" s="82">
        <f>IFERROR(__xludf.DUMMYFUNCTION("""COMPUTED_VALUE"""),0.8407885222599053)</f>
        <v>0.8407885223</v>
      </c>
      <c r="AM1227" s="82">
        <f>IFERROR(__xludf.DUMMYFUNCTION("""COMPUTED_VALUE"""),1.0237366648974153)</f>
        <v>1.023736665</v>
      </c>
      <c r="AN1227" s="82">
        <f>IFERROR(__xludf.DUMMYFUNCTION("""COMPUTED_VALUE"""),1.0689475841244536)</f>
        <v>1.068947584</v>
      </c>
      <c r="AO1227" s="82">
        <f>IFERROR(__xludf.DUMMYFUNCTION("""COMPUTED_VALUE"""),1.2520030192313671)</f>
        <v>1.252003019</v>
      </c>
      <c r="AP1227" s="82">
        <f>IFERROR(__xludf.DUMMYFUNCTION("""COMPUTED_VALUE"""),1.2878550849306931)</f>
        <v>1.287855085</v>
      </c>
      <c r="AQ1227" s="82">
        <f>IFERROR(__xludf.DUMMYFUNCTION("""COMPUTED_VALUE"""),0.9871836844618684)</f>
        <v>0.9871836845</v>
      </c>
      <c r="AR1227" s="82">
        <f>IFERROR(__xludf.DUMMYFUNCTION("""COMPUTED_VALUE"""),0.9871503187183185)</f>
        <v>0.9871503187</v>
      </c>
      <c r="AS1227" s="82">
        <f>IFERROR(__xludf.DUMMYFUNCTION("""COMPUTED_VALUE"""),93.0)</f>
        <v>93</v>
      </c>
      <c r="AT1227" s="82">
        <f>IFERROR(__xludf.DUMMYFUNCTION("""COMPUTED_VALUE"""),0.5130690732070926)</f>
        <v>0.5130690732</v>
      </c>
      <c r="AU1227" s="82">
        <f>IFERROR(__xludf.DUMMYFUNCTION("""COMPUTED_VALUE"""),2.9777356510099224)</f>
        <v>2.977735651</v>
      </c>
      <c r="AV1227" s="82">
        <f>IFERROR(__xludf.DUMMYFUNCTION("""COMPUTED_VALUE"""),68.82742748018347)</f>
        <v>68.82742748</v>
      </c>
      <c r="AW1227" s="82">
        <f t="shared" si="1"/>
        <v>4.430742939</v>
      </c>
      <c r="AX1227" s="83">
        <f t="array" ref="AX1227">IFERROR(DGET('SBV Import'!A:G,"SBV",{"RSC ID","Tier";B1227,A1227}))</f>
        <v>52.33311105</v>
      </c>
      <c r="AY1227" s="82">
        <f t="shared" si="2"/>
        <v>2.16065364</v>
      </c>
      <c r="AZ1227" s="82">
        <v>2.2700892982042173</v>
      </c>
      <c r="BA1227" s="84">
        <v>1200.0</v>
      </c>
      <c r="BB1227" s="84" t="b">
        <f>IFERROR(__xludf.DUMMYFUNCTION("iferror(if(A1227="""",,E1227&gt;=FILTER(Constants!$F$2:$F$10,Constants!$A$2:$A$10=A1227)))"),TRUE)</f>
        <v>1</v>
      </c>
    </row>
    <row r="1228">
      <c r="A1228" s="89" t="str">
        <f>IFERROR(__xludf.DUMMYFUNCTION("""COMPUTED_VALUE"""),"Veteran")</f>
        <v>Veteran</v>
      </c>
      <c r="B1228" s="87" t="str">
        <f>IFERROR(__xludf.DUMMYFUNCTION("""COMPUTED_VALUE"""),"RSC002917")</f>
        <v>RSC002917</v>
      </c>
      <c r="C1228" s="73" t="str">
        <f>IFERROR(__xludf.DUMMYFUNCTION("""COMPUTED_VALUE"""),"Arbartenn")</f>
        <v>Arbartenn</v>
      </c>
      <c r="D1228" s="73" t="str">
        <f>IFERROR(__xludf.DUMMYFUNCTION("""COMPUTED_VALUE"""),"Grizzly Bears")</f>
        <v>Grizzly Bears</v>
      </c>
      <c r="E1228" s="82">
        <f>IFERROR(__xludf.DUMMYFUNCTION("""COMPUTED_VALUE"""),28.0)</f>
        <v>28</v>
      </c>
      <c r="F1228" s="82">
        <f>IFERROR(__xludf.DUMMYFUNCTION("""COMPUTED_VALUE"""),19.0)</f>
        <v>19</v>
      </c>
      <c r="G1228" s="86">
        <f>IFERROR(__xludf.DUMMYFUNCTION("""COMPUTED_VALUE"""),9.0)</f>
        <v>9</v>
      </c>
      <c r="H1228" s="86">
        <f>IFERROR(__xludf.DUMMYFUNCTION("""COMPUTED_VALUE"""),0.6785714285714286)</f>
        <v>0.6785714286</v>
      </c>
      <c r="I1228" s="86">
        <f>IFERROR(__xludf.DUMMYFUNCTION("""COMPUTED_VALUE"""),0.2857142857142857)</f>
        <v>0.2857142857</v>
      </c>
      <c r="J1228" s="82">
        <f>IFERROR(__xludf.DUMMYFUNCTION("""COMPUTED_VALUE"""),357.67857142857144)</f>
        <v>357.6785714</v>
      </c>
      <c r="K1228" s="82">
        <f>IFERROR(__xludf.DUMMYFUNCTION("""COMPUTED_VALUE"""),0.7857142857142857)</f>
        <v>0.7857142857</v>
      </c>
      <c r="L1228" s="82">
        <f>IFERROR(__xludf.DUMMYFUNCTION("""COMPUTED_VALUE"""),0.8571428571428571)</f>
        <v>0.8571428571</v>
      </c>
      <c r="M1228" s="82">
        <f>IFERROR(__xludf.DUMMYFUNCTION("""COMPUTED_VALUE"""),1.1785714285714286)</f>
        <v>1.178571429</v>
      </c>
      <c r="N1228" s="82">
        <f>IFERROR(__xludf.DUMMYFUNCTION("""COMPUTED_VALUE"""),2.75)</f>
        <v>2.75</v>
      </c>
      <c r="O1228" s="82">
        <f>IFERROR(__xludf.DUMMYFUNCTION("""COMPUTED_VALUE"""),353.26190476190476)</f>
        <v>353.2619048</v>
      </c>
      <c r="P1228" s="82">
        <f>IFERROR(__xludf.DUMMYFUNCTION("""COMPUTED_VALUE"""),0.6904761904761905)</f>
        <v>0.6904761905</v>
      </c>
      <c r="Q1228" s="82">
        <f>IFERROR(__xludf.DUMMYFUNCTION("""COMPUTED_VALUE"""),0.4523809523809523)</f>
        <v>0.4523809524</v>
      </c>
      <c r="R1228" s="82">
        <f>IFERROR(__xludf.DUMMYFUNCTION("""COMPUTED_VALUE"""),1.5833333333333335)</f>
        <v>1.583333333</v>
      </c>
      <c r="S1228" s="82">
        <f>IFERROR(__xludf.DUMMYFUNCTION("""COMPUTED_VALUE"""),2.4285714285714293)</f>
        <v>2.428571429</v>
      </c>
      <c r="T1228" s="82">
        <f>IFERROR(__xludf.DUMMYFUNCTION("""COMPUTED_VALUE"""),351.9385350704948)</f>
        <v>351.9385351</v>
      </c>
      <c r="U1228" s="82">
        <f>IFERROR(__xludf.DUMMYFUNCTION("""COMPUTED_VALUE"""),0.7212076096509455)</f>
        <v>0.7212076097</v>
      </c>
      <c r="V1228" s="82">
        <f>IFERROR(__xludf.DUMMYFUNCTION("""COMPUTED_VALUE"""),0.5265147713737214)</f>
        <v>0.5265147714</v>
      </c>
      <c r="W1228" s="82">
        <f>IFERROR(__xludf.DUMMYFUNCTION("""COMPUTED_VALUE"""),1.5368249942076653)</f>
        <v>1.536824994</v>
      </c>
      <c r="X1228" s="82">
        <f>IFERROR(__xludf.DUMMYFUNCTION("""COMPUTED_VALUE"""),2.463247152677064)</f>
        <v>2.463247153</v>
      </c>
      <c r="Y1228" s="82">
        <f>IFERROR(__xludf.DUMMYFUNCTION("""COMPUTED_VALUE"""),360.80261987362366)</f>
        <v>360.8026199</v>
      </c>
      <c r="Z1228" s="82">
        <f>IFERROR(__xludf.DUMMYFUNCTION("""COMPUTED_VALUE"""),0.8450446192533677)</f>
        <v>0.8450446193</v>
      </c>
      <c r="AA1228" s="82">
        <f>IFERROR(__xludf.DUMMYFUNCTION("""COMPUTED_VALUE"""),0.6236860251313374)</f>
        <v>0.6236860251</v>
      </c>
      <c r="AB1228" s="82">
        <f>IFERROR(__xludf.DUMMYFUNCTION("""COMPUTED_VALUE"""),1.2870191838133895)</f>
        <v>1.287019184</v>
      </c>
      <c r="AC1228" s="82">
        <f>IFERROR(__xludf.DUMMYFUNCTION("""COMPUTED_VALUE"""),2.8014789271833034)</f>
        <v>2.801478927</v>
      </c>
      <c r="AD1228" s="82">
        <f>IFERROR(__xludf.DUMMYFUNCTION("""COMPUTED_VALUE"""),0.9913413920160933)</f>
        <v>0.991341392</v>
      </c>
      <c r="AE1228" s="82">
        <f>IFERROR(__xludf.DUMMYFUNCTION("""COMPUTED_VALUE"""),0.9297902948704616)</f>
        <v>0.9297902949</v>
      </c>
      <c r="AF1228" s="82">
        <f>IFERROR(__xludf.DUMMYFUNCTION("""COMPUTED_VALUE"""),1.374317882082347)</f>
        <v>1.374317882</v>
      </c>
      <c r="AG1228" s="82">
        <f>IFERROR(__xludf.DUMMYFUNCTION("""COMPUTED_VALUE"""),0.9157372659196623)</f>
        <v>0.9157372659</v>
      </c>
      <c r="AH1228" s="82">
        <f>IFERROR(__xludf.DUMMYFUNCTION("""COMPUTED_VALUE"""),0.9816243746530473)</f>
        <v>0.9816243747</v>
      </c>
      <c r="AI1228" s="82">
        <f>IFERROR(__xludf.DUMMYFUNCTION("""COMPUTED_VALUE"""),1.0037602295842507)</f>
        <v>1.00376023</v>
      </c>
      <c r="AJ1228" s="82">
        <f>IFERROR(__xludf.DUMMYFUNCTION("""COMPUTED_VALUE"""),0.9573889421526921)</f>
        <v>0.9573889422</v>
      </c>
      <c r="AK1228" s="82">
        <f>IFERROR(__xludf.DUMMYFUNCTION("""COMPUTED_VALUE"""),0.859198975938799)</f>
        <v>0.8591989759</v>
      </c>
      <c r="AL1228" s="82">
        <f>IFERROR(__xludf.DUMMYFUNCTION("""COMPUTED_VALUE"""),1.0302626123995637)</f>
        <v>1.030262612</v>
      </c>
      <c r="AM1228" s="82">
        <f>IFERROR(__xludf.DUMMYFUNCTION("""COMPUTED_VALUE"""),0.9859227588803061)</f>
        <v>0.9859227589</v>
      </c>
      <c r="AN1228" s="82">
        <f>IFERROR(__xludf.DUMMYFUNCTION("""COMPUTED_VALUE"""),1.0359168520794506)</f>
        <v>1.035916852</v>
      </c>
      <c r="AO1228" s="82">
        <f>IFERROR(__xludf.DUMMYFUNCTION("""COMPUTED_VALUE"""),1.0415823437302971)</f>
        <v>1.041582344</v>
      </c>
      <c r="AP1228" s="82">
        <f>IFERROR(__xludf.DUMMYFUNCTION("""COMPUTED_VALUE"""),1.58958113340017)</f>
        <v>1.589581133</v>
      </c>
      <c r="AQ1228" s="82">
        <f>IFERROR(__xludf.DUMMYFUNCTION("""COMPUTED_VALUE"""),0.872599863943973)</f>
        <v>0.8725998639</v>
      </c>
      <c r="AR1228" s="82">
        <f>IFERROR(__xludf.DUMMYFUNCTION("""COMPUTED_VALUE"""),1.073932764319929)</f>
        <v>1.073932764</v>
      </c>
      <c r="AS1228" s="82">
        <f>IFERROR(__xludf.DUMMYFUNCTION("""COMPUTED_VALUE"""),80.0)</f>
        <v>80</v>
      </c>
      <c r="AT1228" s="82">
        <f>IFERROR(__xludf.DUMMYFUNCTION("""COMPUTED_VALUE"""),0.6244036867441237)</f>
        <v>0.6244036867</v>
      </c>
      <c r="AU1228" s="82">
        <f>IFERROR(__xludf.DUMMYFUNCTION("""COMPUTED_VALUE"""),2.9721563292402995)</f>
        <v>2.972156329</v>
      </c>
      <c r="AV1228" s="82">
        <f>IFERROR(__xludf.DUMMYFUNCTION("""COMPUTED_VALUE"""),68.65460189506597)</f>
        <v>68.6546019</v>
      </c>
      <c r="AW1228" s="82">
        <f t="shared" si="1"/>
        <v>4.390237439</v>
      </c>
      <c r="AX1228" s="83">
        <f t="array" ref="AX1228">IFERROR(DGET('SBV Import'!A:G,"SBV",{"RSC ID","Tier";B1228,A1228}))</f>
        <v>51.07557737</v>
      </c>
      <c r="AY1228" s="82">
        <f t="shared" si="2"/>
        <v>2.071072747</v>
      </c>
      <c r="AZ1228" s="82">
        <v>2.319164692247804</v>
      </c>
      <c r="BA1228" s="84">
        <v>1200.0</v>
      </c>
      <c r="BB1228" s="84" t="b">
        <f>IFERROR(__xludf.DUMMYFUNCTION("iferror(if(A1228="""",,E1228&gt;=FILTER(Constants!$F$2:$F$10,Constants!$A$2:$A$10=A1228)))"),TRUE)</f>
        <v>1</v>
      </c>
    </row>
    <row r="1229">
      <c r="A1229" s="89" t="str">
        <f>IFERROR(__xludf.DUMMYFUNCTION("""COMPUTED_VALUE"""),"Veteran")</f>
        <v>Veteran</v>
      </c>
      <c r="B1229" s="87" t="str">
        <f>IFERROR(__xludf.DUMMYFUNCTION("""COMPUTED_VALUE"""),"RSC004109")</f>
        <v>RSC004109</v>
      </c>
      <c r="C1229" s="73" t="str">
        <f>IFERROR(__xludf.DUMMYFUNCTION("""COMPUTED_VALUE"""),"Hawkish")</f>
        <v>Hawkish</v>
      </c>
      <c r="D1229" s="73" t="str">
        <f>IFERROR(__xludf.DUMMYFUNCTION("""COMPUTED_VALUE"""),"Werewolves")</f>
        <v>Werewolves</v>
      </c>
      <c r="E1229" s="82">
        <f>IFERROR(__xludf.DUMMYFUNCTION("""COMPUTED_VALUE"""),31.0)</f>
        <v>31</v>
      </c>
      <c r="F1229" s="82">
        <f>IFERROR(__xludf.DUMMYFUNCTION("""COMPUTED_VALUE"""),12.0)</f>
        <v>12</v>
      </c>
      <c r="G1229" s="86">
        <f>IFERROR(__xludf.DUMMYFUNCTION("""COMPUTED_VALUE"""),19.0)</f>
        <v>19</v>
      </c>
      <c r="H1229" s="86">
        <f>IFERROR(__xludf.DUMMYFUNCTION("""COMPUTED_VALUE"""),0.3870967741935484)</f>
        <v>0.3870967742</v>
      </c>
      <c r="I1229" s="86">
        <f>IFERROR(__xludf.DUMMYFUNCTION("""COMPUTED_VALUE"""),0.30769230769230765)</f>
        <v>0.3076923077</v>
      </c>
      <c r="J1229" s="82">
        <f>IFERROR(__xludf.DUMMYFUNCTION("""COMPUTED_VALUE"""),407.6774193548387)</f>
        <v>407.6774194</v>
      </c>
      <c r="K1229" s="82">
        <f>IFERROR(__xludf.DUMMYFUNCTION("""COMPUTED_VALUE"""),1.032258064516129)</f>
        <v>1.032258065</v>
      </c>
      <c r="L1229" s="82">
        <f>IFERROR(__xludf.DUMMYFUNCTION("""COMPUTED_VALUE"""),0.5806451612903226)</f>
        <v>0.5806451613</v>
      </c>
      <c r="M1229" s="82">
        <f>IFERROR(__xludf.DUMMYFUNCTION("""COMPUTED_VALUE"""),1.5161290322580645)</f>
        <v>1.516129032</v>
      </c>
      <c r="N1229" s="82">
        <f>IFERROR(__xludf.DUMMYFUNCTION("""COMPUTED_VALUE"""),3.3548387096774195)</f>
        <v>3.35483871</v>
      </c>
      <c r="O1229" s="82">
        <f>IFERROR(__xludf.DUMMYFUNCTION("""COMPUTED_VALUE"""),410.70967741935476)</f>
        <v>410.7096774</v>
      </c>
      <c r="P1229" s="82">
        <f>IFERROR(__xludf.DUMMYFUNCTION("""COMPUTED_VALUE"""),1.064516129032258)</f>
        <v>1.064516129</v>
      </c>
      <c r="Q1229" s="82">
        <f>IFERROR(__xludf.DUMMYFUNCTION("""COMPUTED_VALUE"""),0.7741935483870968)</f>
        <v>0.7741935484</v>
      </c>
      <c r="R1229" s="82">
        <f>IFERROR(__xludf.DUMMYFUNCTION("""COMPUTED_VALUE"""),1.5268817204301075)</f>
        <v>1.52688172</v>
      </c>
      <c r="S1229" s="82">
        <f>IFERROR(__xludf.DUMMYFUNCTION("""COMPUTED_VALUE"""),2.9784946236559144)</f>
        <v>2.978494624</v>
      </c>
      <c r="T1229" s="82">
        <f>IFERROR(__xludf.DUMMYFUNCTION("""COMPUTED_VALUE"""),360.7320265116014)</f>
        <v>360.7320265</v>
      </c>
      <c r="U1229" s="82">
        <f>IFERROR(__xludf.DUMMYFUNCTION("""COMPUTED_VALUE"""),0.8432115788712792)</f>
        <v>0.8432115789</v>
      </c>
      <c r="V1229" s="82">
        <f>IFERROR(__xludf.DUMMYFUNCTION("""COMPUTED_VALUE"""),0.6286215514622319)</f>
        <v>0.6286215515</v>
      </c>
      <c r="W1229" s="82">
        <f>IFERROR(__xludf.DUMMYFUNCTION("""COMPUTED_VALUE"""),1.3539472031364583)</f>
        <v>1.353947203</v>
      </c>
      <c r="X1229" s="82">
        <f>IFERROR(__xludf.DUMMYFUNCTION("""COMPUTED_VALUE"""),2.6994608003121368)</f>
        <v>2.6994608</v>
      </c>
      <c r="Y1229" s="82">
        <f>IFERROR(__xludf.DUMMYFUNCTION("""COMPUTED_VALUE"""),360.88336462839476)</f>
        <v>360.8833646</v>
      </c>
      <c r="Z1229" s="82">
        <f>IFERROR(__xludf.DUMMYFUNCTION("""COMPUTED_VALUE"""),0.8206918574843951)</f>
        <v>0.8206918575</v>
      </c>
      <c r="AA1229" s="82">
        <f>IFERROR(__xludf.DUMMYFUNCTION("""COMPUTED_VALUE"""),0.5924053805464923)</f>
        <v>0.5924053805</v>
      </c>
      <c r="AB1229" s="82">
        <f>IFERROR(__xludf.DUMMYFUNCTION("""COMPUTED_VALUE"""),1.3734880553605069)</f>
        <v>1.373488055</v>
      </c>
      <c r="AC1229" s="82">
        <f>IFERROR(__xludf.DUMMYFUNCTION("""COMPUTED_VALUE"""),2.6416354360062124)</f>
        <v>2.641635436</v>
      </c>
      <c r="AD1229" s="82">
        <f>IFERROR(__xludf.DUMMYFUNCTION("""COMPUTED_VALUE"""),1.1296653138185748)</f>
        <v>1.129665314</v>
      </c>
      <c r="AE1229" s="82">
        <f>IFERROR(__xludf.DUMMYFUNCTION("""COMPUTED_VALUE"""),1.2577900646903355)</f>
        <v>1.257790065</v>
      </c>
      <c r="AF1229" s="82">
        <f>IFERROR(__xludf.DUMMYFUNCTION("""COMPUTED_VALUE"""),0.9801483584681137)</f>
        <v>0.9801483585</v>
      </c>
      <c r="AG1229" s="82">
        <f>IFERROR(__xludf.DUMMYFUNCTION("""COMPUTED_VALUE"""),1.1038530887406355)</f>
        <v>1.103853089</v>
      </c>
      <c r="AH1229" s="82">
        <f>IFERROR(__xludf.DUMMYFUNCTION("""COMPUTED_VALUE"""),1.2699855036580945)</f>
        <v>1.269985504</v>
      </c>
      <c r="AI1229" s="82">
        <f>IFERROR(__xludf.DUMMYFUNCTION("""COMPUTED_VALUE"""),1.138545089525468)</f>
        <v>1.13854509</v>
      </c>
      <c r="AJ1229" s="82">
        <f>IFERROR(__xludf.DUMMYFUNCTION("""COMPUTED_VALUE"""),1.262454353932398)</f>
        <v>1.262454354</v>
      </c>
      <c r="AK1229" s="82">
        <f>IFERROR(__xludf.DUMMYFUNCTION("""COMPUTED_VALUE"""),1.2315733474079134)</f>
        <v>1.231573347</v>
      </c>
      <c r="AL1229" s="82">
        <f>IFERROR(__xludf.DUMMYFUNCTION("""COMPUTED_VALUE"""),1.1277261896867479)</f>
        <v>1.12772619</v>
      </c>
      <c r="AM1229" s="82">
        <f>IFERROR(__xludf.DUMMYFUNCTION("""COMPUTED_VALUE"""),1.1033665031592654)</f>
        <v>1.103366503</v>
      </c>
      <c r="AN1229" s="82">
        <f>IFERROR(__xludf.DUMMYFUNCTION("""COMPUTED_VALUE"""),1.1807246579944364)</f>
        <v>1.180724658</v>
      </c>
      <c r="AO1229" s="82">
        <f>IFERROR(__xludf.DUMMYFUNCTION("""COMPUTED_VALUE"""),1.3684131671295399)</f>
        <v>1.368413167</v>
      </c>
      <c r="AP1229" s="82">
        <f>IFERROR(__xludf.DUMMYFUNCTION("""COMPUTED_VALUE"""),1.0768130258517281)</f>
        <v>1.076813026</v>
      </c>
      <c r="AQ1229" s="82">
        <f>IFERROR(__xludf.DUMMYFUNCTION("""COMPUTED_VALUE"""),1.1225233831380923)</f>
        <v>1.122523383</v>
      </c>
      <c r="AR1229" s="82">
        <f>IFERROR(__xludf.DUMMYFUNCTION("""COMPUTED_VALUE"""),1.310134985211409)</f>
        <v>1.310134985</v>
      </c>
      <c r="AS1229" s="82">
        <f>IFERROR(__xludf.DUMMYFUNCTION("""COMPUTED_VALUE"""),70.0)</f>
        <v>70</v>
      </c>
      <c r="AT1229" s="82">
        <f>IFERROR(__xludf.DUMMYFUNCTION("""COMPUTED_VALUE"""),0.36263355867786334)</f>
        <v>0.3626335587</v>
      </c>
      <c r="AU1229" s="82">
        <f>IFERROR(__xludf.DUMMYFUNCTION("""COMPUTED_VALUE"""),2.964678645546689)</f>
        <v>2.964678646</v>
      </c>
      <c r="AV1229" s="82">
        <f>IFERROR(__xludf.DUMMYFUNCTION("""COMPUTED_VALUE"""),68.42297247610898)</f>
        <v>68.42297248</v>
      </c>
      <c r="AW1229" s="82">
        <f t="shared" si="1"/>
        <v>4.336779834</v>
      </c>
      <c r="AX1229" s="83">
        <f t="array" ref="AX1229">IFERROR(DGET('SBV Import'!A:G,"SBV",{"RSC ID","Tier";B1229,A1229}))</f>
        <v>62.6656246</v>
      </c>
      <c r="AY1229" s="82">
        <f t="shared" si="2"/>
        <v>3.265743467</v>
      </c>
      <c r="AZ1229" s="82">
        <v>1.0710363671950014</v>
      </c>
      <c r="BA1229" s="84">
        <v>1200.0</v>
      </c>
      <c r="BB1229" s="84" t="b">
        <f>IFERROR(__xludf.DUMMYFUNCTION("iferror(if(A1229="""",,E1229&gt;=FILTER(Constants!$F$2:$F$10,Constants!$A$2:$A$10=A1229)))"),TRUE)</f>
        <v>1</v>
      </c>
    </row>
    <row r="1230">
      <c r="A1230" s="89" t="str">
        <f>IFERROR(__xludf.DUMMYFUNCTION("""COMPUTED_VALUE"""),"Veteran")</f>
        <v>Veteran</v>
      </c>
      <c r="B1230" s="87" t="str">
        <f>IFERROR(__xludf.DUMMYFUNCTION("""COMPUTED_VALUE"""),"RSC006978")</f>
        <v>RSC006978</v>
      </c>
      <c r="C1230" s="73" t="str">
        <f>IFERROR(__xludf.DUMMYFUNCTION("""COMPUTED_VALUE"""),"Tuhlur.")</f>
        <v>Tuhlur.</v>
      </c>
      <c r="D1230" s="73" t="str">
        <f>IFERROR(__xludf.DUMMYFUNCTION("""COMPUTED_VALUE"""),"Dog Fighters")</f>
        <v>Dog Fighters</v>
      </c>
      <c r="E1230" s="82">
        <f>IFERROR(__xludf.DUMMYFUNCTION("""COMPUTED_VALUE"""),16.0)</f>
        <v>16</v>
      </c>
      <c r="F1230" s="82">
        <f>IFERROR(__xludf.DUMMYFUNCTION("""COMPUTED_VALUE"""),9.0)</f>
        <v>9</v>
      </c>
      <c r="G1230" s="86">
        <f>IFERROR(__xludf.DUMMYFUNCTION("""COMPUTED_VALUE"""),7.0)</f>
        <v>7</v>
      </c>
      <c r="H1230" s="86">
        <f>IFERROR(__xludf.DUMMYFUNCTION("""COMPUTED_VALUE"""),0.5625)</f>
        <v>0.5625</v>
      </c>
      <c r="I1230" s="86">
        <f>IFERROR(__xludf.DUMMYFUNCTION("""COMPUTED_VALUE"""),0.22727272727272727)</f>
        <v>0.2272727273</v>
      </c>
      <c r="J1230" s="82">
        <f>IFERROR(__xludf.DUMMYFUNCTION("""COMPUTED_VALUE"""),359.75)</f>
        <v>359.75</v>
      </c>
      <c r="K1230" s="82">
        <f>IFERROR(__xludf.DUMMYFUNCTION("""COMPUTED_VALUE"""),0.9375)</f>
        <v>0.9375</v>
      </c>
      <c r="L1230" s="82">
        <f>IFERROR(__xludf.DUMMYFUNCTION("""COMPUTED_VALUE"""),0.5)</f>
        <v>0.5</v>
      </c>
      <c r="M1230" s="82">
        <f>IFERROR(__xludf.DUMMYFUNCTION("""COMPUTED_VALUE"""),1.0)</f>
        <v>1</v>
      </c>
      <c r="N1230" s="82">
        <f>IFERROR(__xludf.DUMMYFUNCTION("""COMPUTED_VALUE"""),4.125)</f>
        <v>4.125</v>
      </c>
      <c r="O1230" s="82">
        <f>IFERROR(__xludf.DUMMYFUNCTION("""COMPUTED_VALUE"""),358.8541666666667)</f>
        <v>358.8541667</v>
      </c>
      <c r="P1230" s="82">
        <f>IFERROR(__xludf.DUMMYFUNCTION("""COMPUTED_VALUE"""),0.6458333333333333)</f>
        <v>0.6458333333</v>
      </c>
      <c r="Q1230" s="82">
        <f>IFERROR(__xludf.DUMMYFUNCTION("""COMPUTED_VALUE"""),0.5)</f>
        <v>0.5</v>
      </c>
      <c r="R1230" s="82">
        <f>IFERROR(__xludf.DUMMYFUNCTION("""COMPUTED_VALUE"""),1.625)</f>
        <v>1.625</v>
      </c>
      <c r="S1230" s="82">
        <f>IFERROR(__xludf.DUMMYFUNCTION("""COMPUTED_VALUE"""),2.1458333333333335)</f>
        <v>2.145833333</v>
      </c>
      <c r="T1230" s="82">
        <f>IFERROR(__xludf.DUMMYFUNCTION("""COMPUTED_VALUE"""),333.58143735471145)</f>
        <v>333.5814374</v>
      </c>
      <c r="U1230" s="82">
        <f>IFERROR(__xludf.DUMMYFUNCTION("""COMPUTED_VALUE"""),0.6198216431037816)</f>
        <v>0.6198216431</v>
      </c>
      <c r="V1230" s="82">
        <f>IFERROR(__xludf.DUMMYFUNCTION("""COMPUTED_VALUE"""),0.48681658901982816)</f>
        <v>0.486816589</v>
      </c>
      <c r="W1230" s="82">
        <f>IFERROR(__xludf.DUMMYFUNCTION("""COMPUTED_VALUE"""),1.4158074870454098)</f>
        <v>1.415807487</v>
      </c>
      <c r="X1230" s="82">
        <f>IFERROR(__xludf.DUMMYFUNCTION("""COMPUTED_VALUE"""),2.3681470076069564)</f>
        <v>2.368147008</v>
      </c>
      <c r="Y1230" s="82">
        <f>IFERROR(__xludf.DUMMYFUNCTION("""COMPUTED_VALUE"""),356.3539490292829)</f>
        <v>356.353949</v>
      </c>
      <c r="Z1230" s="82">
        <f>IFERROR(__xludf.DUMMYFUNCTION("""COMPUTED_VALUE"""),0.8112452366784859)</f>
        <v>0.8112452367</v>
      </c>
      <c r="AA1230" s="82">
        <f>IFERROR(__xludf.DUMMYFUNCTION("""COMPUTED_VALUE"""),0.6059329373402849)</f>
        <v>0.6059329373</v>
      </c>
      <c r="AB1230" s="82">
        <f>IFERROR(__xludf.DUMMYFUNCTION("""COMPUTED_VALUE"""),1.3345237329976951)</f>
        <v>1.334523733</v>
      </c>
      <c r="AC1230" s="82">
        <f>IFERROR(__xludf.DUMMYFUNCTION("""COMPUTED_VALUE"""),2.6930084246260093)</f>
        <v>2.693008425</v>
      </c>
      <c r="AD1230" s="82">
        <f>IFERROR(__xludf.DUMMYFUNCTION("""COMPUTED_VALUE"""),1.0095299939286995)</f>
        <v>1.009529994</v>
      </c>
      <c r="AE1230" s="82">
        <f>IFERROR(__xludf.DUMMYFUNCTION("""COMPUTED_VALUE"""),1.1556308223619827)</f>
        <v>1.155630822</v>
      </c>
      <c r="AF1230" s="82">
        <f>IFERROR(__xludf.DUMMYFUNCTION("""COMPUTED_VALUE"""),0.8251738256625021)</f>
        <v>0.8251738257</v>
      </c>
      <c r="AG1230" s="82">
        <f>IFERROR(__xludf.DUMMYFUNCTION("""COMPUTED_VALUE"""),0.7493309974740833)</f>
        <v>0.7493309975</v>
      </c>
      <c r="AH1230" s="82">
        <f>IFERROR(__xludf.DUMMYFUNCTION("""COMPUTED_VALUE"""),1.53174418701377)</f>
        <v>1.531744187</v>
      </c>
      <c r="AI1230" s="82">
        <f>IFERROR(__xludf.DUMMYFUNCTION("""COMPUTED_VALUE"""),1.0757617975159741)</f>
        <v>1.075761798</v>
      </c>
      <c r="AJ1230" s="82">
        <f>IFERROR(__xludf.DUMMYFUNCTION("""COMPUTED_VALUE"""),1.0419664116588396)</f>
        <v>1.041966412</v>
      </c>
      <c r="AK1230" s="82">
        <f>IFERROR(__xludf.DUMMYFUNCTION("""COMPUTED_VALUE"""),1.0270808581250606)</f>
        <v>1.027080858</v>
      </c>
      <c r="AL1230" s="82">
        <f>IFERROR(__xludf.DUMMYFUNCTION("""COMPUTED_VALUE"""),1.1477549136225755)</f>
        <v>1.147754914</v>
      </c>
      <c r="AM1230" s="82">
        <f>IFERROR(__xludf.DUMMYFUNCTION("""COMPUTED_VALUE"""),0.9061233641494775)</f>
        <v>0.9061233641</v>
      </c>
      <c r="AN1230" s="82">
        <f>IFERROR(__xludf.DUMMYFUNCTION("""COMPUTED_VALUE"""),1.0419161708433655)</f>
        <v>1.041916171</v>
      </c>
      <c r="AO1230" s="82">
        <f>IFERROR(__xludf.DUMMYFUNCTION("""COMPUTED_VALUE"""),1.2427971146781953)</f>
        <v>1.242797115</v>
      </c>
      <c r="AP1230" s="82">
        <f>IFERROR(__xludf.DUMMYFUNCTION("""COMPUTED_VALUE"""),0.9272556611500992)</f>
        <v>0.9272556612</v>
      </c>
      <c r="AQ1230" s="82">
        <f>IFERROR(__xludf.DUMMYFUNCTION("""COMPUTED_VALUE"""),0.7403877633464013)</f>
        <v>0.7403877633</v>
      </c>
      <c r="AR1230" s="82">
        <f>IFERROR(__xludf.DUMMYFUNCTION("""COMPUTED_VALUE"""),1.6108991464798934)</f>
        <v>1.610899146</v>
      </c>
      <c r="AS1230" s="82">
        <f>IFERROR(__xludf.DUMMYFUNCTION("""COMPUTED_VALUE"""),35.0)</f>
        <v>35</v>
      </c>
      <c r="AT1230" s="82">
        <f>IFERROR(__xludf.DUMMYFUNCTION("""COMPUTED_VALUE"""),0.5454407342157549)</f>
        <v>0.5454407342</v>
      </c>
      <c r="AU1230" s="82">
        <f>IFERROR(__xludf.DUMMYFUNCTION("""COMPUTED_VALUE"""),2.953254599002987)</f>
        <v>2.953254599</v>
      </c>
      <c r="AV1230" s="82">
        <f>IFERROR(__xludf.DUMMYFUNCTION("""COMPUTED_VALUE"""),68.0691001579583)</f>
        <v>68.06910016</v>
      </c>
      <c r="AW1230" s="82">
        <f t="shared" si="1"/>
        <v>4.256905215</v>
      </c>
      <c r="AX1230" s="83">
        <f t="array" ref="AX1230">IFERROR(DGET('SBV Import'!A:G,"SBV",{"RSC ID","Tier";B1230,A1230}))</f>
        <v>76.21962162</v>
      </c>
      <c r="AY1230" s="82">
        <f t="shared" si="2"/>
        <v>6.796314408</v>
      </c>
      <c r="AZ1230" s="82">
        <v>2.5394091928608535</v>
      </c>
      <c r="BA1230" s="84">
        <v>1200.0</v>
      </c>
      <c r="BB1230" s="84" t="b">
        <f>IFERROR(__xludf.DUMMYFUNCTION("iferror(if(A1230="""",,E1230&gt;=FILTER(Constants!$F$2:$F$10,Constants!$A$2:$A$10=A1230)))"),TRUE)</f>
        <v>1</v>
      </c>
    </row>
    <row r="1231">
      <c r="A1231" s="89" t="str">
        <f>IFERROR(__xludf.DUMMYFUNCTION("""COMPUTED_VALUE"""),"Veteran")</f>
        <v>Veteran</v>
      </c>
      <c r="B1231" s="87" t="str">
        <f>IFERROR(__xludf.DUMMYFUNCTION("""COMPUTED_VALUE"""),"RSC000960")</f>
        <v>RSC000960</v>
      </c>
      <c r="C1231" s="73" t="str">
        <f>IFERROR(__xludf.DUMMYFUNCTION("""COMPUTED_VALUE"""),"Catlas")</f>
        <v>Catlas</v>
      </c>
      <c r="D1231" s="73" t="str">
        <f>IFERROR(__xludf.DUMMYFUNCTION("""COMPUTED_VALUE"""),"Paradox Paloma")</f>
        <v>Paradox Paloma</v>
      </c>
      <c r="E1231" s="82">
        <f>IFERROR(__xludf.DUMMYFUNCTION("""COMPUTED_VALUE"""),36.0)</f>
        <v>36</v>
      </c>
      <c r="F1231" s="82">
        <f>IFERROR(__xludf.DUMMYFUNCTION("""COMPUTED_VALUE"""),25.0)</f>
        <v>25</v>
      </c>
      <c r="G1231" s="86">
        <f>IFERROR(__xludf.DUMMYFUNCTION("""COMPUTED_VALUE"""),11.0)</f>
        <v>11</v>
      </c>
      <c r="H1231" s="86">
        <f>IFERROR(__xludf.DUMMYFUNCTION("""COMPUTED_VALUE"""),0.6944444444444444)</f>
        <v>0.6944444444</v>
      </c>
      <c r="I1231" s="86">
        <f>IFERROR(__xludf.DUMMYFUNCTION("""COMPUTED_VALUE"""),0.23584905660377356)</f>
        <v>0.2358490566</v>
      </c>
      <c r="J1231" s="82">
        <f>IFERROR(__xludf.DUMMYFUNCTION("""COMPUTED_VALUE"""),367.5833333333333)</f>
        <v>367.5833333</v>
      </c>
      <c r="K1231" s="82">
        <f>IFERROR(__xludf.DUMMYFUNCTION("""COMPUTED_VALUE"""),0.6944444444444444)</f>
        <v>0.6944444444</v>
      </c>
      <c r="L1231" s="82">
        <f>IFERROR(__xludf.DUMMYFUNCTION("""COMPUTED_VALUE"""),0.8333333333333334)</f>
        <v>0.8333333333</v>
      </c>
      <c r="M1231" s="82">
        <f>IFERROR(__xludf.DUMMYFUNCTION("""COMPUTED_VALUE"""),1.5833333333333333)</f>
        <v>1.583333333</v>
      </c>
      <c r="N1231" s="82">
        <f>IFERROR(__xludf.DUMMYFUNCTION("""COMPUTED_VALUE"""),2.9444444444444446)</f>
        <v>2.944444444</v>
      </c>
      <c r="O1231" s="82">
        <f>IFERROR(__xludf.DUMMYFUNCTION("""COMPUTED_VALUE"""),353.55555555555543)</f>
        <v>353.5555556</v>
      </c>
      <c r="P1231" s="82">
        <f>IFERROR(__xludf.DUMMYFUNCTION("""COMPUTED_VALUE"""),0.6666666666666666)</f>
        <v>0.6666666667</v>
      </c>
      <c r="Q1231" s="82">
        <f>IFERROR(__xludf.DUMMYFUNCTION("""COMPUTED_VALUE"""),0.537037037037037)</f>
        <v>0.537037037</v>
      </c>
      <c r="R1231" s="82">
        <f>IFERROR(__xludf.DUMMYFUNCTION("""COMPUTED_VALUE"""),1.6388888888888888)</f>
        <v>1.638888889</v>
      </c>
      <c r="S1231" s="82">
        <f>IFERROR(__xludf.DUMMYFUNCTION("""COMPUTED_VALUE"""),2.314814814814815)</f>
        <v>2.314814815</v>
      </c>
      <c r="T1231" s="82">
        <f>IFERROR(__xludf.DUMMYFUNCTION("""COMPUTED_VALUE"""),356.6773735992172)</f>
        <v>356.6773736</v>
      </c>
      <c r="U1231" s="82">
        <f>IFERROR(__xludf.DUMMYFUNCTION("""COMPUTED_VALUE"""),0.7834444227796006)</f>
        <v>0.7834444228</v>
      </c>
      <c r="V1231" s="82">
        <f>IFERROR(__xludf.DUMMYFUNCTION("""COMPUTED_VALUE"""),0.5909854956669809)</f>
        <v>0.5909854957</v>
      </c>
      <c r="W1231" s="82">
        <f>IFERROR(__xludf.DUMMYFUNCTION("""COMPUTED_VALUE"""),1.3816257503361167)</f>
        <v>1.38162575</v>
      </c>
      <c r="X1231" s="82">
        <f>IFERROR(__xludf.DUMMYFUNCTION("""COMPUTED_VALUE"""),2.5680574072793028)</f>
        <v>2.568057407</v>
      </c>
      <c r="Y1231" s="82">
        <f>IFERROR(__xludf.DUMMYFUNCTION("""COMPUTED_VALUE"""),359.8913447731154)</f>
        <v>359.8913448</v>
      </c>
      <c r="Z1231" s="82">
        <f>IFERROR(__xludf.DUMMYFUNCTION("""COMPUTED_VALUE"""),0.8442700498792658)</f>
        <v>0.8442700499</v>
      </c>
      <c r="AA1231" s="82">
        <f>IFERROR(__xludf.DUMMYFUNCTION("""COMPUTED_VALUE"""),0.6191970952244515)</f>
        <v>0.6191970952</v>
      </c>
      <c r="AB1231" s="82">
        <f>IFERROR(__xludf.DUMMYFUNCTION("""COMPUTED_VALUE"""),1.3137622281200854)</f>
        <v>1.313762228</v>
      </c>
      <c r="AC1231" s="82">
        <f>IFERROR(__xludf.DUMMYFUNCTION("""COMPUTED_VALUE"""),2.6831236444351174)</f>
        <v>2.683123644</v>
      </c>
      <c r="AD1231" s="82">
        <f>IFERROR(__xludf.DUMMYFUNCTION("""COMPUTED_VALUE"""),1.021373085715821)</f>
        <v>1.021373086</v>
      </c>
      <c r="AE1231" s="82">
        <f>IFERROR(__xludf.DUMMYFUNCTION("""COMPUTED_VALUE"""),0.8225382915617496)</f>
        <v>0.8225382916</v>
      </c>
      <c r="AF1231" s="82">
        <f>IFERROR(__xludf.DUMMYFUNCTION("""COMPUTED_VALUE"""),1.3458288802715717)</f>
        <v>1.34582888</v>
      </c>
      <c r="AG1231" s="82">
        <f>IFERROR(__xludf.DUMMYFUNCTION("""COMPUTED_VALUE"""),1.2051901778292011)</f>
        <v>1.205190178</v>
      </c>
      <c r="AH1231" s="82">
        <f>IFERROR(__xludf.DUMMYFUNCTION("""COMPUTED_VALUE"""),1.097394244410359)</f>
        <v>1.097394244</v>
      </c>
      <c r="AI1231" s="82">
        <f>IFERROR(__xludf.DUMMYFUNCTION("""COMPUTED_VALUE"""),0.9912475018749868)</f>
        <v>0.9912475019</v>
      </c>
      <c r="AJ1231" s="82">
        <f>IFERROR(__xludf.DUMMYFUNCTION("""COMPUTED_VALUE"""),0.8509431521656438)</f>
        <v>0.8509431522</v>
      </c>
      <c r="AK1231" s="82">
        <f>IFERROR(__xludf.DUMMYFUNCTION("""COMPUTED_VALUE"""),0.9087144117317835)</f>
        <v>0.9087144117</v>
      </c>
      <c r="AL1231" s="82">
        <f>IFERROR(__xludf.DUMMYFUNCTION("""COMPUTED_VALUE"""),1.1862032019091902)</f>
        <v>1.186203202</v>
      </c>
      <c r="AM1231" s="82">
        <f>IFERROR(__xludf.DUMMYFUNCTION("""COMPUTED_VALUE"""),0.901387487777081)</f>
        <v>0.9013874878</v>
      </c>
      <c r="AN1231" s="82">
        <f>IFERROR(__xludf.DUMMYFUNCTION("""COMPUTED_VALUE"""),1.0646032498471358)</f>
        <v>1.06460325</v>
      </c>
      <c r="AO1231" s="82">
        <f>IFERROR(__xludf.DUMMYFUNCTION("""COMPUTED_VALUE"""),0.9205904553171818)</f>
        <v>0.9205904553</v>
      </c>
      <c r="AP1231" s="82">
        <f>IFERROR(__xludf.DUMMYFUNCTION("""COMPUTED_VALUE"""),1.545426101916832)</f>
        <v>1.545426102</v>
      </c>
      <c r="AQ1231" s="82">
        <f>IFERROR(__xludf.DUMMYFUNCTION("""COMPUTED_VALUE"""),1.1722806252984688)</f>
        <v>1.172280625</v>
      </c>
      <c r="AR1231" s="82">
        <f>IFERROR(__xludf.DUMMYFUNCTION("""COMPUTED_VALUE"""),1.1498674042213382)</f>
        <v>1.149867404</v>
      </c>
      <c r="AS1231" s="82">
        <f>IFERROR(__xludf.DUMMYFUNCTION("""COMPUTED_VALUE"""),100.0)</f>
        <v>100</v>
      </c>
      <c r="AT1231" s="82">
        <f>IFERROR(__xludf.DUMMYFUNCTION("""COMPUTED_VALUE"""),0.6258866470431661)</f>
        <v>0.625886647</v>
      </c>
      <c r="AU1231" s="82">
        <f>IFERROR(__xludf.DUMMYFUNCTION("""COMPUTED_VALUE"""),2.9496878076627646)</f>
        <v>2.949687808</v>
      </c>
      <c r="AV1231" s="82">
        <f>IFERROR(__xludf.DUMMYFUNCTION("""COMPUTED_VALUE"""),67.95861490082146)</f>
        <v>67.9586149</v>
      </c>
      <c r="AW1231" s="82">
        <f t="shared" si="1"/>
        <v>4.232402588</v>
      </c>
      <c r="AX1231" s="83">
        <f t="array" ref="AX1231">IFERROR(DGET('SBV Import'!A:G,"SBV",{"RSC ID","Tier";B1231,A1231}))</f>
        <v>57.60081139</v>
      </c>
      <c r="AY1231" s="82">
        <f t="shared" si="2"/>
        <v>2.627764661</v>
      </c>
      <c r="AZ1231" s="82">
        <v>1.604637926363774</v>
      </c>
      <c r="BA1231" s="84">
        <v>1200.0</v>
      </c>
      <c r="BB1231" s="84" t="b">
        <f>IFERROR(__xludf.DUMMYFUNCTION("iferror(if(A1231="""",,E1231&gt;=FILTER(Constants!$F$2:$F$10,Constants!$A$2:$A$10=A1231)))"),TRUE)</f>
        <v>1</v>
      </c>
    </row>
    <row r="1232">
      <c r="A1232" s="89" t="str">
        <f>IFERROR(__xludf.DUMMYFUNCTION("""COMPUTED_VALUE"""),"Veteran")</f>
        <v>Veteran</v>
      </c>
      <c r="B1232" s="87" t="str">
        <f>IFERROR(__xludf.DUMMYFUNCTION("""COMPUTED_VALUE"""),"RSC000767")</f>
        <v>RSC000767</v>
      </c>
      <c r="C1232" s="73" t="str">
        <f>IFERROR(__xludf.DUMMYFUNCTION("""COMPUTED_VALUE"""),"Tragic")</f>
        <v>Tragic</v>
      </c>
      <c r="D1232" s="73" t="str">
        <f>IFERROR(__xludf.DUMMYFUNCTION("""COMPUTED_VALUE"""),"Gouda Gangsters")</f>
        <v>Gouda Gangsters</v>
      </c>
      <c r="E1232" s="82">
        <f>IFERROR(__xludf.DUMMYFUNCTION("""COMPUTED_VALUE"""),27.0)</f>
        <v>27</v>
      </c>
      <c r="F1232" s="82">
        <f>IFERROR(__xludf.DUMMYFUNCTION("""COMPUTED_VALUE"""),12.0)</f>
        <v>12</v>
      </c>
      <c r="G1232" s="86">
        <f>IFERROR(__xludf.DUMMYFUNCTION("""COMPUTED_VALUE"""),15.0)</f>
        <v>15</v>
      </c>
      <c r="H1232" s="86">
        <f>IFERROR(__xludf.DUMMYFUNCTION("""COMPUTED_VALUE"""),0.4444444444444444)</f>
        <v>0.4444444444</v>
      </c>
      <c r="I1232" s="86">
        <f>IFERROR(__xludf.DUMMYFUNCTION("""COMPUTED_VALUE"""),0.33783783783783783)</f>
        <v>0.3378378378</v>
      </c>
      <c r="J1232" s="82">
        <f>IFERROR(__xludf.DUMMYFUNCTION("""COMPUTED_VALUE"""),359.4074074074074)</f>
        <v>359.4074074</v>
      </c>
      <c r="K1232" s="82">
        <f>IFERROR(__xludf.DUMMYFUNCTION("""COMPUTED_VALUE"""),0.9259259259259259)</f>
        <v>0.9259259259</v>
      </c>
      <c r="L1232" s="82">
        <f>IFERROR(__xludf.DUMMYFUNCTION("""COMPUTED_VALUE"""),0.7407407407407407)</f>
        <v>0.7407407407</v>
      </c>
      <c r="M1232" s="82">
        <f>IFERROR(__xludf.DUMMYFUNCTION("""COMPUTED_VALUE"""),0.9629629629629629)</f>
        <v>0.962962963</v>
      </c>
      <c r="N1232" s="82">
        <f>IFERROR(__xludf.DUMMYFUNCTION("""COMPUTED_VALUE"""),2.740740740740741)</f>
        <v>2.740740741</v>
      </c>
      <c r="O1232" s="82">
        <f>IFERROR(__xludf.DUMMYFUNCTION("""COMPUTED_VALUE"""),366.1481481481481)</f>
        <v>366.1481481</v>
      </c>
      <c r="P1232" s="82">
        <f>IFERROR(__xludf.DUMMYFUNCTION("""COMPUTED_VALUE"""),0.8518518518518517)</f>
        <v>0.8518518519</v>
      </c>
      <c r="Q1232" s="82">
        <f>IFERROR(__xludf.DUMMYFUNCTION("""COMPUTED_VALUE"""),0.7037037037037037)</f>
        <v>0.7037037037</v>
      </c>
      <c r="R1232" s="82">
        <f>IFERROR(__xludf.DUMMYFUNCTION("""COMPUTED_VALUE"""),1.333333333333333)</f>
        <v>1.333333333</v>
      </c>
      <c r="S1232" s="82">
        <f>IFERROR(__xludf.DUMMYFUNCTION("""COMPUTED_VALUE"""),2.54320987654321)</f>
        <v>2.543209877</v>
      </c>
      <c r="T1232" s="82">
        <f>IFERROR(__xludf.DUMMYFUNCTION("""COMPUTED_VALUE"""),361.8517084477422)</f>
        <v>361.8517084</v>
      </c>
      <c r="U1232" s="82">
        <f>IFERROR(__xludf.DUMMYFUNCTION("""COMPUTED_VALUE"""),0.8204306614804632)</f>
        <v>0.8204306615</v>
      </c>
      <c r="V1232" s="82">
        <f>IFERROR(__xludf.DUMMYFUNCTION("""COMPUTED_VALUE"""),0.6092229362068388)</f>
        <v>0.6092229362</v>
      </c>
      <c r="W1232" s="82">
        <f>IFERROR(__xludf.DUMMYFUNCTION("""COMPUTED_VALUE"""),1.3641819502958912)</f>
        <v>1.36418195</v>
      </c>
      <c r="X1232" s="82">
        <f>IFERROR(__xludf.DUMMYFUNCTION("""COMPUTED_VALUE"""),2.7300952833430987)</f>
        <v>2.730095283</v>
      </c>
      <c r="Y1232" s="82">
        <f>IFERROR(__xludf.DUMMYFUNCTION("""COMPUTED_VALUE"""),365.9568207600288)</f>
        <v>365.9568208</v>
      </c>
      <c r="Z1232" s="82">
        <f>IFERROR(__xludf.DUMMYFUNCTION("""COMPUTED_VALUE"""),0.8318242279223439)</f>
        <v>0.8318242279</v>
      </c>
      <c r="AA1232" s="82">
        <f>IFERROR(__xludf.DUMMYFUNCTION("""COMPUTED_VALUE"""),0.6078004488410284)</f>
        <v>0.6078004488</v>
      </c>
      <c r="AB1232" s="82">
        <f>IFERROR(__xludf.DUMMYFUNCTION("""COMPUTED_VALUE"""),1.4218971867697476)</f>
        <v>1.421897187</v>
      </c>
      <c r="AC1232" s="82">
        <f>IFERROR(__xludf.DUMMYFUNCTION("""COMPUTED_VALUE"""),2.709899641244356)</f>
        <v>2.709899641</v>
      </c>
      <c r="AD1232" s="82">
        <f>IFERROR(__xludf.DUMMYFUNCTION("""COMPUTED_VALUE"""),0.9821033166180113)</f>
        <v>0.9821033166</v>
      </c>
      <c r="AE1232" s="82">
        <f>IFERROR(__xludf.DUMMYFUNCTION("""COMPUTED_VALUE"""),1.1131269021084187)</f>
        <v>1.113126902</v>
      </c>
      <c r="AF1232" s="82">
        <f>IFERROR(__xludf.DUMMYFUNCTION("""COMPUTED_VALUE"""),1.2187235829674143)</f>
        <v>1.218723583</v>
      </c>
      <c r="AG1232" s="82">
        <f>IFERROR(__xludf.DUMMYFUNCTION("""COMPUTED_VALUE"""),0.6772381097051137)</f>
        <v>0.6772381097</v>
      </c>
      <c r="AH1232" s="82">
        <f>IFERROR(__xludf.DUMMYFUNCTION("""COMPUTED_VALUE"""),1.0113809009850354)</f>
        <v>1.011380901</v>
      </c>
      <c r="AI1232" s="82">
        <f>IFERROR(__xludf.DUMMYFUNCTION("""COMPUTED_VALUE"""),1.0118734818714457)</f>
        <v>1.011873482</v>
      </c>
      <c r="AJ1232" s="82">
        <f>IFERROR(__xludf.DUMMYFUNCTION("""COMPUTED_VALUE"""),1.0382984106355668)</f>
        <v>1.038298411</v>
      </c>
      <c r="AK1232" s="82">
        <f>IFERROR(__xludf.DUMMYFUNCTION("""COMPUTED_VALUE"""),1.155084061813437)</f>
        <v>1.155084062</v>
      </c>
      <c r="AL1232" s="82">
        <f>IFERROR(__xludf.DUMMYFUNCTION("""COMPUTED_VALUE"""),0.977386728393623)</f>
        <v>0.9773867284</v>
      </c>
      <c r="AM1232" s="82">
        <f>IFERROR(__xludf.DUMMYFUNCTION("""COMPUTED_VALUE"""),0.9315461962298104)</f>
        <v>0.9315461962</v>
      </c>
      <c r="AN1232" s="82">
        <f>IFERROR(__xludf.DUMMYFUNCTION("""COMPUTED_VALUE"""),1.0409239463479287)</f>
        <v>1.040923946</v>
      </c>
      <c r="AO1232" s="82">
        <f>IFERROR(__xludf.DUMMYFUNCTION("""COMPUTED_VALUE"""),1.227453940422909)</f>
        <v>1.22745394</v>
      </c>
      <c r="AP1232" s="82">
        <f>IFERROR(__xludf.DUMMYFUNCTION("""COMPUTED_VALUE"""),1.3737120905927394)</f>
        <v>1.373712091</v>
      </c>
      <c r="AQ1232" s="82">
        <f>IFERROR(__xludf.DUMMYFUNCTION("""COMPUTED_VALUE"""),0.7129659943335717)</f>
        <v>0.7129659943</v>
      </c>
      <c r="AR1232" s="82">
        <f>IFERROR(__xludf.DUMMYFUNCTION("""COMPUTED_VALUE"""),1.0703168290865286)</f>
        <v>1.070316829</v>
      </c>
      <c r="AS1232" s="82">
        <f>IFERROR(__xludf.DUMMYFUNCTION("""COMPUTED_VALUE"""),73.0)</f>
        <v>73</v>
      </c>
      <c r="AT1232" s="82">
        <f>IFERROR(__xludf.DUMMYFUNCTION("""COMPUTED_VALUE"""),0.5226706534017349)</f>
        <v>0.5226706534</v>
      </c>
      <c r="AU1232" s="82">
        <f>IFERROR(__xludf.DUMMYFUNCTION("""COMPUTED_VALUE"""),2.923088369413308)</f>
        <v>2.923088369</v>
      </c>
      <c r="AV1232" s="82">
        <f>IFERROR(__xludf.DUMMYFUNCTION("""COMPUTED_VALUE"""),67.13466825119667)</f>
        <v>67.13466825</v>
      </c>
      <c r="AW1232" s="82">
        <f t="shared" si="1"/>
        <v>4.055973114</v>
      </c>
      <c r="AX1232" s="83">
        <f t="array" ref="AX1232">IFERROR(DGET('SBV Import'!A:G,"SBV",{"RSC ID","Tier";B1232,A1232}))</f>
        <v>50.8142887</v>
      </c>
      <c r="AY1232" s="82">
        <f t="shared" si="2"/>
        <v>2.053353813</v>
      </c>
      <c r="AZ1232" s="82">
        <v>2.0026193011611304</v>
      </c>
      <c r="BA1232" s="84">
        <v>1200.0</v>
      </c>
      <c r="BB1232" s="84" t="b">
        <f>IFERROR(__xludf.DUMMYFUNCTION("iferror(if(A1232="""",,E1232&gt;=FILTER(Constants!$F$2:$F$10,Constants!$A$2:$A$10=A1232)))"),TRUE)</f>
        <v>1</v>
      </c>
    </row>
    <row r="1233">
      <c r="A1233" s="89" t="str">
        <f>IFERROR(__xludf.DUMMYFUNCTION("""COMPUTED_VALUE"""),"Veteran")</f>
        <v>Veteran</v>
      </c>
      <c r="B1233" s="87" t="str">
        <f>IFERROR(__xludf.DUMMYFUNCTION("""COMPUTED_VALUE"""),"RSC006427")</f>
        <v>RSC006427</v>
      </c>
      <c r="C1233" s="73" t="str">
        <f>IFERROR(__xludf.DUMMYFUNCTION("""COMPUTED_VALUE"""),"NukeTech96")</f>
        <v>NukeTech96</v>
      </c>
      <c r="D1233" s="73" t="str">
        <f>IFERROR(__xludf.DUMMYFUNCTION("""COMPUTED_VALUE"""),"Mosaic Maestros")</f>
        <v>Mosaic Maestros</v>
      </c>
      <c r="E1233" s="82">
        <f>IFERROR(__xludf.DUMMYFUNCTION("""COMPUTED_VALUE"""),29.0)</f>
        <v>29</v>
      </c>
      <c r="F1233" s="82">
        <f>IFERROR(__xludf.DUMMYFUNCTION("""COMPUTED_VALUE"""),18.0)</f>
        <v>18</v>
      </c>
      <c r="G1233" s="86">
        <f>IFERROR(__xludf.DUMMYFUNCTION("""COMPUTED_VALUE"""),11.0)</f>
        <v>11</v>
      </c>
      <c r="H1233" s="86">
        <f>IFERROR(__xludf.DUMMYFUNCTION("""COMPUTED_VALUE"""),0.6206896551724138)</f>
        <v>0.6206896552</v>
      </c>
      <c r="I1233" s="86">
        <f>IFERROR(__xludf.DUMMYFUNCTION("""COMPUTED_VALUE"""),0.3764705882352941)</f>
        <v>0.3764705882</v>
      </c>
      <c r="J1233" s="82">
        <f>IFERROR(__xludf.DUMMYFUNCTION("""COMPUTED_VALUE"""),377.0344827586207)</f>
        <v>377.0344828</v>
      </c>
      <c r="K1233" s="82">
        <f>IFERROR(__xludf.DUMMYFUNCTION("""COMPUTED_VALUE"""),1.103448275862069)</f>
        <v>1.103448276</v>
      </c>
      <c r="L1233" s="82">
        <f>IFERROR(__xludf.DUMMYFUNCTION("""COMPUTED_VALUE"""),0.4482758620689655)</f>
        <v>0.4482758621</v>
      </c>
      <c r="M1233" s="82">
        <f>IFERROR(__xludf.DUMMYFUNCTION("""COMPUTED_VALUE"""),1.2413793103448276)</f>
        <v>1.24137931</v>
      </c>
      <c r="N1233" s="82">
        <f>IFERROR(__xludf.DUMMYFUNCTION("""COMPUTED_VALUE"""),2.9310344827586206)</f>
        <v>2.931034483</v>
      </c>
      <c r="O1233" s="82">
        <f>IFERROR(__xludf.DUMMYFUNCTION("""COMPUTED_VALUE"""),364.52873563218395)</f>
        <v>364.5287356</v>
      </c>
      <c r="P1233" s="82">
        <f>IFERROR(__xludf.DUMMYFUNCTION("""COMPUTED_VALUE"""),0.7816091954022988)</f>
        <v>0.7816091954</v>
      </c>
      <c r="Q1233" s="82">
        <f>IFERROR(__xludf.DUMMYFUNCTION("""COMPUTED_VALUE"""),0.5402298850574713)</f>
        <v>0.5402298851</v>
      </c>
      <c r="R1233" s="82">
        <f>IFERROR(__xludf.DUMMYFUNCTION("""COMPUTED_VALUE"""),1.5057471264367812)</f>
        <v>1.505747126</v>
      </c>
      <c r="S1233" s="82">
        <f>IFERROR(__xludf.DUMMYFUNCTION("""COMPUTED_VALUE"""),2.563218390804598)</f>
        <v>2.563218391</v>
      </c>
      <c r="T1233" s="82">
        <f>IFERROR(__xludf.DUMMYFUNCTION("""COMPUTED_VALUE"""),352.4126477757561)</f>
        <v>352.4126478</v>
      </c>
      <c r="U1233" s="82">
        <f>IFERROR(__xludf.DUMMYFUNCTION("""COMPUTED_VALUE"""),0.7892412310506359)</f>
        <v>0.7892412311</v>
      </c>
      <c r="V1233" s="82">
        <f>IFERROR(__xludf.DUMMYFUNCTION("""COMPUTED_VALUE"""),0.5502527924186076)</f>
        <v>0.5502527924</v>
      </c>
      <c r="W1233" s="82">
        <f>IFERROR(__xludf.DUMMYFUNCTION("""COMPUTED_VALUE"""),1.4058075210339074)</f>
        <v>1.405807521</v>
      </c>
      <c r="X1233" s="82">
        <f>IFERROR(__xludf.DUMMYFUNCTION("""COMPUTED_VALUE"""),2.5770642029792614)</f>
        <v>2.577064203</v>
      </c>
      <c r="Y1233" s="82">
        <f>IFERROR(__xludf.DUMMYFUNCTION("""COMPUTED_VALUE"""),360.47305216569845)</f>
        <v>360.4730522</v>
      </c>
      <c r="Z1233" s="82">
        <f>IFERROR(__xludf.DUMMYFUNCTION("""COMPUTED_VALUE"""),0.8237584706692817)</f>
        <v>0.8237584707</v>
      </c>
      <c r="AA1233" s="82">
        <f>IFERROR(__xludf.DUMMYFUNCTION("""COMPUTED_VALUE"""),0.5855972291831992)</f>
        <v>0.5855972292</v>
      </c>
      <c r="AB1233" s="82">
        <f>IFERROR(__xludf.DUMMYFUNCTION("""COMPUTED_VALUE"""),1.392358858802097)</f>
        <v>1.392358859</v>
      </c>
      <c r="AC1233" s="82">
        <f>IFERROR(__xludf.DUMMYFUNCTION("""COMPUTED_VALUE"""),2.693409530538234)</f>
        <v>2.693409531</v>
      </c>
      <c r="AD1233" s="82">
        <f>IFERROR(__xludf.DUMMYFUNCTION("""COMPUTED_VALUE"""),1.0459436024230446)</f>
        <v>1.045943602</v>
      </c>
      <c r="AE1233" s="82">
        <f>IFERROR(__xludf.DUMMYFUNCTION("""COMPUTED_VALUE"""),1.3395288973059625)</f>
        <v>1.339528897</v>
      </c>
      <c r="AF1233" s="82">
        <f>IFERROR(__xludf.DUMMYFUNCTION("""COMPUTED_VALUE"""),0.7655020203805065)</f>
        <v>0.7655020204</v>
      </c>
      <c r="AG1233" s="82">
        <f>IFERROR(__xludf.DUMMYFUNCTION("""COMPUTED_VALUE"""),0.8915656351788768)</f>
        <v>0.8915656352</v>
      </c>
      <c r="AH1233" s="82">
        <f>IFERROR(__xludf.DUMMYFUNCTION("""COMPUTED_VALUE"""),1.088224590254903)</f>
        <v>1.08822459</v>
      </c>
      <c r="AI1233" s="82">
        <f>IFERROR(__xludf.DUMMYFUNCTION("""COMPUTED_VALUE"""),1.0343804001726336)</f>
        <v>1.0343804</v>
      </c>
      <c r="AJ1233" s="82">
        <f>IFERROR(__xludf.DUMMYFUNCTION("""COMPUTED_VALUE"""),0.9903299075769554)</f>
        <v>0.9903299076</v>
      </c>
      <c r="AK1233" s="82">
        <f>IFERROR(__xludf.DUMMYFUNCTION("""COMPUTED_VALUE"""),0.9817849041400024)</f>
        <v>0.9817849041</v>
      </c>
      <c r="AL1233" s="82">
        <f>IFERROR(__xludf.DUMMYFUNCTION("""COMPUTED_VALUE"""),1.0710905325996356)</f>
        <v>1.071090533</v>
      </c>
      <c r="AM1233" s="82">
        <f>IFERROR(__xludf.DUMMYFUNCTION("""COMPUTED_VALUE"""),0.9946272924987059)</f>
        <v>0.9946272925</v>
      </c>
      <c r="AN1233" s="82">
        <f>IFERROR(__xludf.DUMMYFUNCTION("""COMPUTED_VALUE"""),1.0919758847860208)</f>
        <v>1.091975885</v>
      </c>
      <c r="AO1233" s="82">
        <f>IFERROR(__xludf.DUMMYFUNCTION("""COMPUTED_VALUE"""),1.4627864890005426)</f>
        <v>1.462786489</v>
      </c>
      <c r="AP1233" s="82">
        <f>IFERROR(__xludf.DUMMYFUNCTION("""COMPUTED_VALUE"""),0.8313326617207786)</f>
        <v>0.8313326617</v>
      </c>
      <c r="AQ1233" s="82">
        <f>IFERROR(__xludf.DUMMYFUNCTION("""COMPUTED_VALUE"""),0.9191020510507052)</f>
        <v>0.9191020511</v>
      </c>
      <c r="AR1233" s="82">
        <f>IFERROR(__xludf.DUMMYFUNCTION("""COMPUTED_VALUE"""),1.1446305325039994)</f>
        <v>1.144630533</v>
      </c>
      <c r="AS1233" s="82">
        <f>IFERROR(__xludf.DUMMYFUNCTION("""COMPUTED_VALUE"""),78.0)</f>
        <v>78</v>
      </c>
      <c r="AT1233" s="82">
        <f>IFERROR(__xludf.DUMMYFUNCTION("""COMPUTED_VALUE"""),0.5543301194801056)</f>
        <v>0.5543301195</v>
      </c>
      <c r="AU1233" s="82">
        <f>IFERROR(__xludf.DUMMYFUNCTION("""COMPUTED_VALUE"""),2.879952602287106)</f>
        <v>2.879952602</v>
      </c>
      <c r="AV1233" s="82">
        <f>IFERROR(__xludf.DUMMYFUNCTION("""COMPUTED_VALUE"""),65.79849075491609)</f>
        <v>65.79849075</v>
      </c>
      <c r="AW1233" s="82">
        <f t="shared" si="1"/>
        <v>3.791998808</v>
      </c>
      <c r="AX1233" s="83">
        <f t="array" ref="AX1233">IFERROR(DGET('SBV Import'!A:G,"SBV",{"RSC ID","Tier";B1233,A1233}))</f>
        <v>50.15420801</v>
      </c>
      <c r="AY1233" s="82">
        <f t="shared" si="2"/>
        <v>2.009891837</v>
      </c>
      <c r="AZ1233" s="82">
        <v>1.7821069719385538</v>
      </c>
      <c r="BA1233" s="84">
        <v>1200.0</v>
      </c>
      <c r="BB1233" s="84" t="b">
        <f>IFERROR(__xludf.DUMMYFUNCTION("iferror(if(A1233="""",,E1233&gt;=FILTER(Constants!$F$2:$F$10,Constants!$A$2:$A$10=A1233)))"),TRUE)</f>
        <v>1</v>
      </c>
    </row>
    <row r="1234">
      <c r="A1234" s="89" t="str">
        <f>IFERROR(__xludf.DUMMYFUNCTION("""COMPUTED_VALUE"""),"Veteran")</f>
        <v>Veteran</v>
      </c>
      <c r="B1234" s="87" t="str">
        <f>IFERROR(__xludf.DUMMYFUNCTION("""COMPUTED_VALUE"""),"RSC007954")</f>
        <v>RSC007954</v>
      </c>
      <c r="C1234" s="73" t="str">
        <f>IFERROR(__xludf.DUMMYFUNCTION("""COMPUTED_VALUE"""),"Killer")</f>
        <v>Killer</v>
      </c>
      <c r="D1234" s="73" t="str">
        <f>IFERROR(__xludf.DUMMYFUNCTION("""COMPUTED_VALUE"""),"Makos")</f>
        <v>Makos</v>
      </c>
      <c r="E1234" s="82">
        <f>IFERROR(__xludf.DUMMYFUNCTION("""COMPUTED_VALUE"""),32.0)</f>
        <v>32</v>
      </c>
      <c r="F1234" s="82">
        <f>IFERROR(__xludf.DUMMYFUNCTION("""COMPUTED_VALUE"""),18.0)</f>
        <v>18</v>
      </c>
      <c r="G1234" s="86">
        <f>IFERROR(__xludf.DUMMYFUNCTION("""COMPUTED_VALUE"""),14.0)</f>
        <v>14</v>
      </c>
      <c r="H1234" s="86">
        <f>IFERROR(__xludf.DUMMYFUNCTION("""COMPUTED_VALUE"""),0.5625)</f>
        <v>0.5625</v>
      </c>
      <c r="I1234" s="86">
        <f>IFERROR(__xludf.DUMMYFUNCTION("""COMPUTED_VALUE"""),0.2268041237113402)</f>
        <v>0.2268041237</v>
      </c>
      <c r="J1234" s="82">
        <f>IFERROR(__xludf.DUMMYFUNCTION("""COMPUTED_VALUE"""),390.625)</f>
        <v>390.625</v>
      </c>
      <c r="K1234" s="82">
        <f>IFERROR(__xludf.DUMMYFUNCTION("""COMPUTED_VALUE"""),0.6875)</f>
        <v>0.6875</v>
      </c>
      <c r="L1234" s="82">
        <f>IFERROR(__xludf.DUMMYFUNCTION("""COMPUTED_VALUE"""),0.6875)</f>
        <v>0.6875</v>
      </c>
      <c r="M1234" s="82">
        <f>IFERROR(__xludf.DUMMYFUNCTION("""COMPUTED_VALUE"""),1.625)</f>
        <v>1.625</v>
      </c>
      <c r="N1234" s="82">
        <f>IFERROR(__xludf.DUMMYFUNCTION("""COMPUTED_VALUE"""),3.03125)</f>
        <v>3.03125</v>
      </c>
      <c r="O1234" s="82">
        <f>IFERROR(__xludf.DUMMYFUNCTION("""COMPUTED_VALUE"""),359.82291666666663)</f>
        <v>359.8229167</v>
      </c>
      <c r="P1234" s="82">
        <f>IFERROR(__xludf.DUMMYFUNCTION("""COMPUTED_VALUE"""),0.7604166666666666)</f>
        <v>0.7604166667</v>
      </c>
      <c r="Q1234" s="82">
        <f>IFERROR(__xludf.DUMMYFUNCTION("""COMPUTED_VALUE"""),0.53125)</f>
        <v>0.53125</v>
      </c>
      <c r="R1234" s="82">
        <f>IFERROR(__xludf.DUMMYFUNCTION("""COMPUTED_VALUE"""),1.5520833333333337)</f>
        <v>1.552083333</v>
      </c>
      <c r="S1234" s="82">
        <f>IFERROR(__xludf.DUMMYFUNCTION("""COMPUTED_VALUE"""),2.635416666666666)</f>
        <v>2.635416667</v>
      </c>
      <c r="T1234" s="82">
        <f>IFERROR(__xludf.DUMMYFUNCTION("""COMPUTED_VALUE"""),366.3871343342445)</f>
        <v>366.3871343</v>
      </c>
      <c r="U1234" s="82">
        <f>IFERROR(__xludf.DUMMYFUNCTION("""COMPUTED_VALUE"""),0.8308168271789002)</f>
        <v>0.8308168272</v>
      </c>
      <c r="V1234" s="82">
        <f>IFERROR(__xludf.DUMMYFUNCTION("""COMPUTED_VALUE"""),0.6189231483363953)</f>
        <v>0.6189231483</v>
      </c>
      <c r="W1234" s="82">
        <f>IFERROR(__xludf.DUMMYFUNCTION("""COMPUTED_VALUE"""),1.389387199996486)</f>
        <v>1.3893872</v>
      </c>
      <c r="X1234" s="82">
        <f>IFERROR(__xludf.DUMMYFUNCTION("""COMPUTED_VALUE"""),2.773939932155658)</f>
        <v>2.773939932</v>
      </c>
      <c r="Y1234" s="82">
        <f>IFERROR(__xludf.DUMMYFUNCTION("""COMPUTED_VALUE"""),356.4031115471128)</f>
        <v>356.4031115</v>
      </c>
      <c r="Z1234" s="82">
        <f>IFERROR(__xludf.DUMMYFUNCTION("""COMPUTED_VALUE"""),0.7695374229440882)</f>
        <v>0.7695374229</v>
      </c>
      <c r="AA1234" s="82">
        <f>IFERROR(__xludf.DUMMYFUNCTION("""COMPUTED_VALUE"""),0.5892011792022662)</f>
        <v>0.5892011792</v>
      </c>
      <c r="AB1234" s="82">
        <f>IFERROR(__xludf.DUMMYFUNCTION("""COMPUTED_VALUE"""),1.3871708594578813)</f>
        <v>1.387170859</v>
      </c>
      <c r="AC1234" s="82">
        <f>IFERROR(__xludf.DUMMYFUNCTION("""COMPUTED_VALUE"""),2.610619568541276)</f>
        <v>2.610619569</v>
      </c>
      <c r="AD1234" s="82">
        <f>IFERROR(__xludf.DUMMYFUNCTION("""COMPUTED_VALUE"""),1.096020173068448)</f>
        <v>1.096020173</v>
      </c>
      <c r="AE1234" s="82">
        <f>IFERROR(__xludf.DUMMYFUNCTION("""COMPUTED_VALUE"""),0.8933938486964932)</f>
        <v>0.8933938487</v>
      </c>
      <c r="AF1234" s="82">
        <f>IFERROR(__xludf.DUMMYFUNCTION("""COMPUTED_VALUE"""),1.16683405306626)</f>
        <v>1.166834053</v>
      </c>
      <c r="AG1234" s="82">
        <f>IFERROR(__xludf.DUMMYFUNCTION("""COMPUTED_VALUE"""),1.171449060453205)</f>
        <v>1.17144906</v>
      </c>
      <c r="AH1234" s="82">
        <f>IFERROR(__xludf.DUMMYFUNCTION("""COMPUTED_VALUE"""),1.1611228370948579)</f>
        <v>1.161122837</v>
      </c>
      <c r="AI1234" s="82">
        <f>IFERROR(__xludf.DUMMYFUNCTION("""COMPUTED_VALUE"""),0.9820839296677117)</f>
        <v>0.9820839297</v>
      </c>
      <c r="AJ1234" s="82">
        <f>IFERROR(__xludf.DUMMYFUNCTION("""COMPUTED_VALUE"""),0.9152639207473897)</f>
        <v>0.9152639207</v>
      </c>
      <c r="AK1234" s="82">
        <f>IFERROR(__xludf.DUMMYFUNCTION("""COMPUTED_VALUE"""),0.858345662830592)</f>
        <v>0.8583456628</v>
      </c>
      <c r="AL1234" s="82">
        <f>IFERROR(__xludf.DUMMYFUNCTION("""COMPUTED_VALUE"""),1.1170992026824913)</f>
        <v>1.117099203</v>
      </c>
      <c r="AM1234" s="82">
        <f>IFERROR(__xludf.DUMMYFUNCTION("""COMPUTED_VALUE"""),0.9500626297335343)</f>
        <v>0.9500626297</v>
      </c>
      <c r="AN1234" s="82">
        <f>IFERROR(__xludf.DUMMYFUNCTION("""COMPUTED_VALUE"""),1.1313370513848218)</f>
        <v>1.131337051</v>
      </c>
      <c r="AO1234" s="82">
        <f>IFERROR(__xludf.DUMMYFUNCTION("""COMPUTED_VALUE"""),0.9113845507640099)</f>
        <v>0.9113845508</v>
      </c>
      <c r="AP1234" s="82">
        <f>IFERROR(__xludf.DUMMYFUNCTION("""COMPUTED_VALUE"""),1.2749765340813863)</f>
        <v>1.274976534</v>
      </c>
      <c r="AQ1234" s="82">
        <f>IFERROR(__xludf.DUMMYFUNCTION("""COMPUTED_VALUE"""),1.2031301154379022)</f>
        <v>1.203130115</v>
      </c>
      <c r="AR1234" s="82">
        <f>IFERROR(__xludf.DUMMYFUNCTION("""COMPUTED_VALUE"""),1.1837667970344672)</f>
        <v>1.183766797</v>
      </c>
      <c r="AS1234" s="82">
        <f>IFERROR(__xludf.DUMMYFUNCTION("""COMPUTED_VALUE"""),76.0)</f>
        <v>76</v>
      </c>
      <c r="AT1234" s="82">
        <f>IFERROR(__xludf.DUMMYFUNCTION("""COMPUTED_VALUE"""),0.5156512199594427)</f>
        <v>0.51565122</v>
      </c>
      <c r="AU1234" s="82">
        <f>IFERROR(__xludf.DUMMYFUNCTION("""COMPUTED_VALUE"""),2.861788233265072)</f>
        <v>2.861788233</v>
      </c>
      <c r="AV1234" s="82">
        <f>IFERROR(__xludf.DUMMYFUNCTION("""COMPUTED_VALUE"""),65.23582958674052)</f>
        <v>65.23582959</v>
      </c>
      <c r="AW1234" s="82">
        <f t="shared" si="1"/>
        <v>3.688421696</v>
      </c>
      <c r="AX1234" s="83">
        <f t="array" ref="AX1234">IFERROR(DGET('SBV Import'!A:G,"SBV",{"RSC ID","Tier";B1234,A1234}))</f>
        <v>59.72544588</v>
      </c>
      <c r="AY1234" s="82">
        <f t="shared" si="2"/>
        <v>2.868358331</v>
      </c>
      <c r="AZ1234" s="82">
        <v>0.8200633645282545</v>
      </c>
      <c r="BA1234" s="84">
        <v>1200.0</v>
      </c>
      <c r="BB1234" s="84" t="b">
        <f>IFERROR(__xludf.DUMMYFUNCTION("iferror(if(A1234="""",,E1234&gt;=FILTER(Constants!$F$2:$F$10,Constants!$A$2:$A$10=A1234)))"),TRUE)</f>
        <v>1</v>
      </c>
    </row>
    <row r="1235">
      <c r="A1235" s="89" t="str">
        <f>IFERROR(__xludf.DUMMYFUNCTION("""COMPUTED_VALUE"""),"Veteran")</f>
        <v>Veteran</v>
      </c>
      <c r="B1235" s="87" t="str">
        <f>IFERROR(__xludf.DUMMYFUNCTION("""COMPUTED_VALUE"""),"RSC006909")</f>
        <v>RSC006909</v>
      </c>
      <c r="C1235" s="73" t="str">
        <f>IFERROR(__xludf.DUMMYFUNCTION("""COMPUTED_VALUE"""),"Dewby")</f>
        <v>Dewby</v>
      </c>
      <c r="D1235" s="73" t="str">
        <f>IFERROR(__xludf.DUMMYFUNCTION("""COMPUTED_VALUE"""),"Singularity")</f>
        <v>Singularity</v>
      </c>
      <c r="E1235" s="82">
        <f>IFERROR(__xludf.DUMMYFUNCTION("""COMPUTED_VALUE"""),24.0)</f>
        <v>24</v>
      </c>
      <c r="F1235" s="82">
        <f>IFERROR(__xludf.DUMMYFUNCTION("""COMPUTED_VALUE"""),12.0)</f>
        <v>12</v>
      </c>
      <c r="G1235" s="86">
        <f>IFERROR(__xludf.DUMMYFUNCTION("""COMPUTED_VALUE"""),12.0)</f>
        <v>12</v>
      </c>
      <c r="H1235" s="86">
        <f>IFERROR(__xludf.DUMMYFUNCTION("""COMPUTED_VALUE"""),0.5)</f>
        <v>0.5</v>
      </c>
      <c r="I1235" s="86">
        <f>IFERROR(__xludf.DUMMYFUNCTION("""COMPUTED_VALUE"""),0.30303030303030304)</f>
        <v>0.303030303</v>
      </c>
      <c r="J1235" s="82">
        <f>IFERROR(__xludf.DUMMYFUNCTION("""COMPUTED_VALUE"""),370.4583333333333)</f>
        <v>370.4583333</v>
      </c>
      <c r="K1235" s="82">
        <f>IFERROR(__xludf.DUMMYFUNCTION("""COMPUTED_VALUE"""),0.8333333333333334)</f>
        <v>0.8333333333</v>
      </c>
      <c r="L1235" s="82">
        <f>IFERROR(__xludf.DUMMYFUNCTION("""COMPUTED_VALUE"""),0.6666666666666666)</f>
        <v>0.6666666667</v>
      </c>
      <c r="M1235" s="82">
        <f>IFERROR(__xludf.DUMMYFUNCTION("""COMPUTED_VALUE"""),1.4166666666666667)</f>
        <v>1.416666667</v>
      </c>
      <c r="N1235" s="82">
        <f>IFERROR(__xludf.DUMMYFUNCTION("""COMPUTED_VALUE"""),2.75)</f>
        <v>2.75</v>
      </c>
      <c r="O1235" s="82">
        <f>IFERROR(__xludf.DUMMYFUNCTION("""COMPUTED_VALUE"""),349.23611111111114)</f>
        <v>349.2361111</v>
      </c>
      <c r="P1235" s="82">
        <f>IFERROR(__xludf.DUMMYFUNCTION("""COMPUTED_VALUE"""),0.7222222222222222)</f>
        <v>0.7222222222</v>
      </c>
      <c r="Q1235" s="82">
        <f>IFERROR(__xludf.DUMMYFUNCTION("""COMPUTED_VALUE"""),0.5555555555555556)</f>
        <v>0.5555555556</v>
      </c>
      <c r="R1235" s="82">
        <f>IFERROR(__xludf.DUMMYFUNCTION("""COMPUTED_VALUE"""),1.3333333333333333)</f>
        <v>1.333333333</v>
      </c>
      <c r="S1235" s="82">
        <f>IFERROR(__xludf.DUMMYFUNCTION("""COMPUTED_VALUE"""),2.9166666666666665)</f>
        <v>2.916666667</v>
      </c>
      <c r="T1235" s="82">
        <f>IFERROR(__xludf.DUMMYFUNCTION("""COMPUTED_VALUE"""),349.95145526440183)</f>
        <v>349.9514553</v>
      </c>
      <c r="U1235" s="82">
        <f>IFERROR(__xludf.DUMMYFUNCTION("""COMPUTED_VALUE"""),0.7782183332105981)</f>
        <v>0.7782183332</v>
      </c>
      <c r="V1235" s="82">
        <f>IFERROR(__xludf.DUMMYFUNCTION("""COMPUTED_VALUE"""),0.5248741595205803)</f>
        <v>0.5248741595</v>
      </c>
      <c r="W1235" s="82">
        <f>IFERROR(__xludf.DUMMYFUNCTION("""COMPUTED_VALUE"""),1.3541429748236207)</f>
        <v>1.354142975</v>
      </c>
      <c r="X1235" s="82">
        <f>IFERROR(__xludf.DUMMYFUNCTION("""COMPUTED_VALUE"""),2.6000086219875893)</f>
        <v>2.600008622</v>
      </c>
      <c r="Y1235" s="82">
        <f>IFERROR(__xludf.DUMMYFUNCTION("""COMPUTED_VALUE"""),353.18567409502106)</f>
        <v>353.1856741</v>
      </c>
      <c r="Z1235" s="82">
        <f>IFERROR(__xludf.DUMMYFUNCTION("""COMPUTED_VALUE"""),0.7464467361545926)</f>
        <v>0.7464467362</v>
      </c>
      <c r="AA1235" s="82">
        <f>IFERROR(__xludf.DUMMYFUNCTION("""COMPUTED_VALUE"""),0.5698636188426014)</f>
        <v>0.5698636188</v>
      </c>
      <c r="AB1235" s="82">
        <f>IFERROR(__xludf.DUMMYFUNCTION("""COMPUTED_VALUE"""),1.3987116179684336)</f>
        <v>1.398711618</v>
      </c>
      <c r="AC1235" s="82">
        <f>IFERROR(__xludf.DUMMYFUNCTION("""COMPUTED_VALUE"""),2.5479390143600478)</f>
        <v>2.547939014</v>
      </c>
      <c r="AD1235" s="82">
        <f>IFERROR(__xludf.DUMMYFUNCTION("""COMPUTED_VALUE"""),1.0489053223423361)</f>
        <v>1.048905322</v>
      </c>
      <c r="AE1235" s="82">
        <f>IFERROR(__xludf.DUMMYFUNCTION("""COMPUTED_VALUE"""),1.1164002640380575)</f>
        <v>1.116400264</v>
      </c>
      <c r="AF1235" s="82">
        <f>IFERROR(__xludf.DUMMYFUNCTION("""COMPUTED_VALUE"""),1.1698705525730404)</f>
        <v>1.169870553</v>
      </c>
      <c r="AG1235" s="82">
        <f>IFERROR(__xludf.DUMMYFUNCTION("""COMPUTED_VALUE"""),1.0128368481877001)</f>
        <v>1.012836848</v>
      </c>
      <c r="AH1235" s="82">
        <f>IFERROR(__xludf.DUMMYFUNCTION("""COMPUTED_VALUE"""),1.079303697812682)</f>
        <v>1.079303698</v>
      </c>
      <c r="AI1235" s="82">
        <f>IFERROR(__xludf.DUMMYFUNCTION("""COMPUTED_VALUE"""),0.997955876043578)</f>
        <v>0.997955876</v>
      </c>
      <c r="AJ1235" s="82">
        <f>IFERROR(__xludf.DUMMYFUNCTION("""COMPUTED_VALUE"""),0.9280457570854702)</f>
        <v>0.9280457571</v>
      </c>
      <c r="AK1235" s="82">
        <f>IFERROR(__xludf.DUMMYFUNCTION("""COMPUTED_VALUE"""),1.0584547657347043)</f>
        <v>1.058454766</v>
      </c>
      <c r="AL1235" s="82">
        <f>IFERROR(__xludf.DUMMYFUNCTION("""COMPUTED_VALUE"""),0.9846326112698713)</f>
        <v>0.9846326113</v>
      </c>
      <c r="AM1235" s="82">
        <f>IFERROR(__xludf.DUMMYFUNCTION("""COMPUTED_VALUE"""),1.121791151768184)</f>
        <v>1.121791152</v>
      </c>
      <c r="AN1235" s="82">
        <f>IFERROR(__xludf.DUMMYFUNCTION("""COMPUTED_VALUE"""),1.072929890545328)</f>
        <v>1.072929891</v>
      </c>
      <c r="AO1235" s="82">
        <f>IFERROR(__xludf.DUMMYFUNCTION("""COMPUTED_VALUE"""),1.104708546380618)</f>
        <v>1.104708546</v>
      </c>
      <c r="AP1235" s="82">
        <f>IFERROR(__xludf.DUMMYFUNCTION("""COMPUTED_VALUE"""),1.2363408815334653)</f>
        <v>1.236340882</v>
      </c>
      <c r="AQ1235" s="82">
        <f>IFERROR(__xludf.DUMMYFUNCTION("""COMPUTED_VALUE"""),1.0488826647407352)</f>
        <v>1.048882665</v>
      </c>
      <c r="AR1235" s="82">
        <f>IFERROR(__xludf.DUMMYFUNCTION("""COMPUTED_VALUE"""),1.073932764319929)</f>
        <v>1.073932764</v>
      </c>
      <c r="AS1235" s="82">
        <f>IFERROR(__xludf.DUMMYFUNCTION("""COMPUTED_VALUE"""),53.0)</f>
        <v>53</v>
      </c>
      <c r="AT1235" s="82">
        <f>IFERROR(__xludf.DUMMYFUNCTION("""COMPUTED_VALUE"""),0.5072731727740412)</f>
        <v>0.5072731728</v>
      </c>
      <c r="AU1235" s="82">
        <f>IFERROR(__xludf.DUMMYFUNCTION("""COMPUTED_VALUE"""),2.8545808240620247)</f>
        <v>2.854580824</v>
      </c>
      <c r="AV1235" s="82">
        <f>IFERROR(__xludf.DUMMYFUNCTION("""COMPUTED_VALUE"""),65.0125722153016)</f>
        <v>65.01257222</v>
      </c>
      <c r="AW1235" s="82">
        <f t="shared" si="1"/>
        <v>3.648495638</v>
      </c>
      <c r="AX1235" s="83">
        <f t="array" ref="AX1235">IFERROR(DGET('SBV Import'!A:G,"SBV",{"RSC ID","Tier";B1235,A1235}))</f>
        <v>48.84834753</v>
      </c>
      <c r="AY1235" s="82">
        <f t="shared" si="2"/>
        <v>-2.076287869</v>
      </c>
      <c r="AZ1235" s="82">
        <v>5.7247835071880555</v>
      </c>
      <c r="BA1235" s="84">
        <v>1200.0</v>
      </c>
      <c r="BB1235" s="84" t="b">
        <f>IFERROR(__xludf.DUMMYFUNCTION("iferror(if(A1235="""",,E1235&gt;=FILTER(Constants!$F$2:$F$10,Constants!$A$2:$A$10=A1235)))"),TRUE)</f>
        <v>1</v>
      </c>
    </row>
    <row r="1236">
      <c r="A1236" s="89" t="str">
        <f>IFERROR(__xludf.DUMMYFUNCTION("""COMPUTED_VALUE"""),"Veteran")</f>
        <v>Veteran</v>
      </c>
      <c r="B1236" s="87" t="str">
        <f>IFERROR(__xludf.DUMMYFUNCTION("""COMPUTED_VALUE"""),"RSC003830")</f>
        <v>RSC003830</v>
      </c>
      <c r="C1236" s="73" t="str">
        <f>IFERROR(__xludf.DUMMYFUNCTION("""COMPUTED_VALUE"""),"bradyK-")</f>
        <v>bradyK-</v>
      </c>
      <c r="D1236" s="73" t="str">
        <f>IFERROR(__xludf.DUMMYFUNCTION("""COMPUTED_VALUE"""),"Makos")</f>
        <v>Makos</v>
      </c>
      <c r="E1236" s="82">
        <f>IFERROR(__xludf.DUMMYFUNCTION("""COMPUTED_VALUE"""),36.0)</f>
        <v>36</v>
      </c>
      <c r="F1236" s="82">
        <f>IFERROR(__xludf.DUMMYFUNCTION("""COMPUTED_VALUE"""),21.0)</f>
        <v>21</v>
      </c>
      <c r="G1236" s="86">
        <f>IFERROR(__xludf.DUMMYFUNCTION("""COMPUTED_VALUE"""),15.0)</f>
        <v>15</v>
      </c>
      <c r="H1236" s="86">
        <f>IFERROR(__xludf.DUMMYFUNCTION("""COMPUTED_VALUE"""),0.5833333333333334)</f>
        <v>0.5833333333</v>
      </c>
      <c r="I1236" s="86">
        <f>IFERROR(__xludf.DUMMYFUNCTION("""COMPUTED_VALUE"""),0.3111111111111111)</f>
        <v>0.3111111111</v>
      </c>
      <c r="J1236" s="82">
        <f>IFERROR(__xludf.DUMMYFUNCTION("""COMPUTED_VALUE"""),345.72222222222223)</f>
        <v>345.7222222</v>
      </c>
      <c r="K1236" s="82">
        <f>IFERROR(__xludf.DUMMYFUNCTION("""COMPUTED_VALUE"""),0.7777777777777778)</f>
        <v>0.7777777778</v>
      </c>
      <c r="L1236" s="82">
        <f>IFERROR(__xludf.DUMMYFUNCTION("""COMPUTED_VALUE"""),0.7777777777777778)</f>
        <v>0.7777777778</v>
      </c>
      <c r="M1236" s="82">
        <f>IFERROR(__xludf.DUMMYFUNCTION("""COMPUTED_VALUE"""),1.0555555555555556)</f>
        <v>1.055555556</v>
      </c>
      <c r="N1236" s="82">
        <f>IFERROR(__xludf.DUMMYFUNCTION("""COMPUTED_VALUE"""),2.5)</f>
        <v>2.5</v>
      </c>
      <c r="O1236" s="82">
        <f>IFERROR(__xludf.DUMMYFUNCTION("""COMPUTED_VALUE"""),364.12962962962956)</f>
        <v>364.1296296</v>
      </c>
      <c r="P1236" s="82">
        <f>IFERROR(__xludf.DUMMYFUNCTION("""COMPUTED_VALUE"""),0.7777777777777778)</f>
        <v>0.7777777778</v>
      </c>
      <c r="Q1236" s="82">
        <f>IFERROR(__xludf.DUMMYFUNCTION("""COMPUTED_VALUE"""),0.5462962962962963)</f>
        <v>0.5462962963</v>
      </c>
      <c r="R1236" s="82">
        <f>IFERROR(__xludf.DUMMYFUNCTION("""COMPUTED_VALUE"""),1.583333333333334)</f>
        <v>1.583333333</v>
      </c>
      <c r="S1236" s="82">
        <f>IFERROR(__xludf.DUMMYFUNCTION("""COMPUTED_VALUE"""),2.685185185185185)</f>
        <v>2.685185185</v>
      </c>
      <c r="T1236" s="82">
        <f>IFERROR(__xludf.DUMMYFUNCTION("""COMPUTED_VALUE"""),365.7344462056029)</f>
        <v>365.7344462</v>
      </c>
      <c r="U1236" s="82">
        <f>IFERROR(__xludf.DUMMYFUNCTION("""COMPUTED_VALUE"""),0.8068916459455148)</f>
        <v>0.8068916459</v>
      </c>
      <c r="V1236" s="82">
        <f>IFERROR(__xludf.DUMMYFUNCTION("""COMPUTED_VALUE"""),0.6414610991748352)</f>
        <v>0.6414610992</v>
      </c>
      <c r="W1236" s="82">
        <f>IFERROR(__xludf.DUMMYFUNCTION("""COMPUTED_VALUE"""),1.403747227883587)</f>
        <v>1.403747228</v>
      </c>
      <c r="X1236" s="82">
        <f>IFERROR(__xludf.DUMMYFUNCTION("""COMPUTED_VALUE"""),2.7897113122429382)</f>
        <v>2.789711312</v>
      </c>
      <c r="Y1236" s="82">
        <f>IFERROR(__xludf.DUMMYFUNCTION("""COMPUTED_VALUE"""),355.69249711958327)</f>
        <v>355.6924971</v>
      </c>
      <c r="Z1236" s="82">
        <f>IFERROR(__xludf.DUMMYFUNCTION("""COMPUTED_VALUE"""),0.7804457557614844)</f>
        <v>0.7804457558</v>
      </c>
      <c r="AA1236" s="82">
        <f>IFERROR(__xludf.DUMMYFUNCTION("""COMPUTED_VALUE"""),0.5931316218907584)</f>
        <v>0.5931316219</v>
      </c>
      <c r="AB1236" s="82">
        <f>IFERROR(__xludf.DUMMYFUNCTION("""COMPUTED_VALUE"""),1.36991803338885)</f>
        <v>1.369918033</v>
      </c>
      <c r="AC1236" s="82">
        <f>IFERROR(__xludf.DUMMYFUNCTION("""COMPUTED_VALUE"""),2.627711221419405)</f>
        <v>2.627711221</v>
      </c>
      <c r="AD1236" s="82">
        <f>IFERROR(__xludf.DUMMYFUNCTION("""COMPUTED_VALUE"""),0.9719693977857254)</f>
        <v>0.9719693978</v>
      </c>
      <c r="AE1236" s="82">
        <f>IFERROR(__xludf.DUMMYFUNCTION("""COMPUTED_VALUE"""),0.996581469033548)</f>
        <v>0.996581469</v>
      </c>
      <c r="AF1236" s="82">
        <f>IFERROR(__xludf.DUMMYFUNCTION("""COMPUTED_VALUE"""),1.311307219295462)</f>
        <v>1.311307219</v>
      </c>
      <c r="AG1236" s="82">
        <f>IFERROR(__xludf.DUMMYFUNCTION("""COMPUTED_VALUE"""),0.7705246079171344)</f>
        <v>0.7705246079</v>
      </c>
      <c r="AH1236" s="82">
        <f>IFERROR(__xludf.DUMMYFUNCTION("""COMPUTED_VALUE"""),0.9513983042054295)</f>
        <v>0.9513983042</v>
      </c>
      <c r="AI1236" s="82">
        <f>IFERROR(__xludf.DUMMYFUNCTION("""COMPUTED_VALUE"""),0.9956120715655228)</f>
        <v>0.9956120716</v>
      </c>
      <c r="AJ1236" s="82">
        <f>IFERROR(__xludf.DUMMYFUNCTION("""COMPUTED_VALUE"""),0.9639184910216522)</f>
        <v>0.963918491</v>
      </c>
      <c r="AK1236" s="82">
        <f>IFERROR(__xludf.DUMMYFUNCTION("""COMPUTED_VALUE"""),0.8516436881348576)</f>
        <v>0.8516436881</v>
      </c>
      <c r="AL1236" s="82">
        <f>IFERROR(__xludf.DUMMYFUNCTION("""COMPUTED_VALUE"""),1.127933364271363)</f>
        <v>1.127933364</v>
      </c>
      <c r="AM1236" s="82">
        <f>IFERROR(__xludf.DUMMYFUNCTION("""COMPUTED_VALUE"""),0.9625315613844955)</f>
        <v>0.9625315614</v>
      </c>
      <c r="AN1236" s="82">
        <f>IFERROR(__xludf.DUMMYFUNCTION("""COMPUTED_VALUE"""),1.0012886002869683)</f>
        <v>1.0012886</v>
      </c>
      <c r="AO1236" s="82">
        <f>IFERROR(__xludf.DUMMYFUNCTION("""COMPUTED_VALUE"""),1.0310613099552437)</f>
        <v>1.03106131</v>
      </c>
      <c r="AP1236" s="82">
        <f>IFERROR(__xludf.DUMMYFUNCTION("""COMPUTED_VALUE"""),1.4423976951223765)</f>
        <v>1.442397695</v>
      </c>
      <c r="AQ1236" s="82">
        <f>IFERROR(__xludf.DUMMYFUNCTION("""COMPUTED_VALUE"""),0.7815204168656459)</f>
        <v>0.7815204169</v>
      </c>
      <c r="AR1236" s="82">
        <f>IFERROR(__xludf.DUMMYFUNCTION("""COMPUTED_VALUE"""),0.9763025130181172)</f>
        <v>0.976302513</v>
      </c>
      <c r="AS1236" s="82">
        <f>IFERROR(__xludf.DUMMYFUNCTION("""COMPUTED_VALUE"""),90.0)</f>
        <v>90</v>
      </c>
      <c r="AT1236" s="82">
        <f>IFERROR(__xludf.DUMMYFUNCTION("""COMPUTED_VALUE"""),0.5270830623394427)</f>
        <v>0.5270830623</v>
      </c>
      <c r="AU1236" s="82">
        <f>IFERROR(__xludf.DUMMYFUNCTION("""COMPUTED_VALUE"""),2.846195799135499)</f>
        <v>2.846195799</v>
      </c>
      <c r="AV1236" s="82">
        <f>IFERROR(__xludf.DUMMYFUNCTION("""COMPUTED_VALUE"""),64.75283691072717)</f>
        <v>64.75283691</v>
      </c>
      <c r="AW1236" s="82">
        <f t="shared" si="1"/>
        <v>3.602859828</v>
      </c>
      <c r="AX1236" s="83">
        <f t="array" ref="AX1236">IFERROR(DGET('SBV Import'!A:G,"SBV",{"RSC ID","Tier";B1236,A1236}))</f>
        <v>42.17734334</v>
      </c>
      <c r="AY1236" s="82">
        <f t="shared" si="2"/>
        <v>-2.651282594</v>
      </c>
      <c r="AZ1236" s="82">
        <v>6.25414242162653</v>
      </c>
      <c r="BA1236" s="84">
        <v>1200.0</v>
      </c>
      <c r="BB1236" s="84" t="b">
        <f>IFERROR(__xludf.DUMMYFUNCTION("iferror(if(A1236="""",,E1236&gt;=FILTER(Constants!$F$2:$F$10,Constants!$A$2:$A$10=A1236)))"),TRUE)</f>
        <v>1</v>
      </c>
    </row>
    <row r="1237">
      <c r="A1237" s="89" t="str">
        <f>IFERROR(__xludf.DUMMYFUNCTION("""COMPUTED_VALUE"""),"Veteran")</f>
        <v>Veteran</v>
      </c>
      <c r="B1237" s="87" t="str">
        <f>IFERROR(__xludf.DUMMYFUNCTION("""COMPUTED_VALUE"""),"RSC001118")</f>
        <v>RSC001118</v>
      </c>
      <c r="C1237" s="73" t="str">
        <f>IFERROR(__xludf.DUMMYFUNCTION("""COMPUTED_VALUE"""),"azurified")</f>
        <v>azurified</v>
      </c>
      <c r="D1237" s="73" t="str">
        <f>IFERROR(__xludf.DUMMYFUNCTION("""COMPUTED_VALUE"""),"Banshees")</f>
        <v>Banshees</v>
      </c>
      <c r="E1237" s="82">
        <f>IFERROR(__xludf.DUMMYFUNCTION("""COMPUTED_VALUE"""),36.0)</f>
        <v>36</v>
      </c>
      <c r="F1237" s="82">
        <f>IFERROR(__xludf.DUMMYFUNCTION("""COMPUTED_VALUE"""),17.0)</f>
        <v>17</v>
      </c>
      <c r="G1237" s="86">
        <f>IFERROR(__xludf.DUMMYFUNCTION("""COMPUTED_VALUE"""),19.0)</f>
        <v>19</v>
      </c>
      <c r="H1237" s="86">
        <f>IFERROR(__xludf.DUMMYFUNCTION("""COMPUTED_VALUE"""),0.4722222222222222)</f>
        <v>0.4722222222</v>
      </c>
      <c r="I1237" s="86">
        <f>IFERROR(__xludf.DUMMYFUNCTION("""COMPUTED_VALUE"""),0.34259259259259256)</f>
        <v>0.3425925926</v>
      </c>
      <c r="J1237" s="82">
        <f>IFERROR(__xludf.DUMMYFUNCTION("""COMPUTED_VALUE"""),371.19444444444446)</f>
        <v>371.1944444</v>
      </c>
      <c r="K1237" s="82">
        <f>IFERROR(__xludf.DUMMYFUNCTION("""COMPUTED_VALUE"""),1.0277777777777777)</f>
        <v>1.027777778</v>
      </c>
      <c r="L1237" s="82">
        <f>IFERROR(__xludf.DUMMYFUNCTION("""COMPUTED_VALUE"""),0.4722222222222222)</f>
        <v>0.4722222222</v>
      </c>
      <c r="M1237" s="82">
        <f>IFERROR(__xludf.DUMMYFUNCTION("""COMPUTED_VALUE"""),1.2777777777777777)</f>
        <v>1.277777778</v>
      </c>
      <c r="N1237" s="82">
        <f>IFERROR(__xludf.DUMMYFUNCTION("""COMPUTED_VALUE"""),3.0)</f>
        <v>3</v>
      </c>
      <c r="O1237" s="82">
        <f>IFERROR(__xludf.DUMMYFUNCTION("""COMPUTED_VALUE"""),339.3888888888889)</f>
        <v>339.3888889</v>
      </c>
      <c r="P1237" s="82">
        <f>IFERROR(__xludf.DUMMYFUNCTION("""COMPUTED_VALUE"""),0.7685185185185186)</f>
        <v>0.7685185185</v>
      </c>
      <c r="Q1237" s="82">
        <f>IFERROR(__xludf.DUMMYFUNCTION("""COMPUTED_VALUE"""),0.601851851851852)</f>
        <v>0.6018518519</v>
      </c>
      <c r="R1237" s="82">
        <f>IFERROR(__xludf.DUMMYFUNCTION("""COMPUTED_VALUE"""),1.2499999999999998)</f>
        <v>1.25</v>
      </c>
      <c r="S1237" s="82">
        <f>IFERROR(__xludf.DUMMYFUNCTION("""COMPUTED_VALUE"""),2.5)</f>
        <v>2.5</v>
      </c>
      <c r="T1237" s="82">
        <f>IFERROR(__xludf.DUMMYFUNCTION("""COMPUTED_VALUE"""),353.60044560910666)</f>
        <v>353.6004456</v>
      </c>
      <c r="U1237" s="82">
        <f>IFERROR(__xludf.DUMMYFUNCTION("""COMPUTED_VALUE"""),0.7955765714599603)</f>
        <v>0.7955765715</v>
      </c>
      <c r="V1237" s="82">
        <f>IFERROR(__xludf.DUMMYFUNCTION("""COMPUTED_VALUE"""),0.5842559527896632)</f>
        <v>0.5842559528</v>
      </c>
      <c r="W1237" s="82">
        <f>IFERROR(__xludf.DUMMYFUNCTION("""COMPUTED_VALUE"""),1.3570588907983854)</f>
        <v>1.357058891</v>
      </c>
      <c r="X1237" s="82">
        <f>IFERROR(__xludf.DUMMYFUNCTION("""COMPUTED_VALUE"""),2.626988868028295)</f>
        <v>2.626988868</v>
      </c>
      <c r="Y1237" s="82">
        <f>IFERROR(__xludf.DUMMYFUNCTION("""COMPUTED_VALUE"""),358.2818385870097)</f>
        <v>358.2818386</v>
      </c>
      <c r="Z1237" s="82">
        <f>IFERROR(__xludf.DUMMYFUNCTION("""COMPUTED_VALUE"""),0.8217646907520434)</f>
        <v>0.8217646908</v>
      </c>
      <c r="AA1237" s="82">
        <f>IFERROR(__xludf.DUMMYFUNCTION("""COMPUTED_VALUE"""),0.5989883595376838)</f>
        <v>0.5989883595</v>
      </c>
      <c r="AB1237" s="82">
        <f>IFERROR(__xludf.DUMMYFUNCTION("""COMPUTED_VALUE"""),1.3533482305660236)</f>
        <v>1.353348231</v>
      </c>
      <c r="AC1237" s="82">
        <f>IFERROR(__xludf.DUMMYFUNCTION("""COMPUTED_VALUE"""),2.6781667981625237)</f>
        <v>2.678166798</v>
      </c>
      <c r="AD1237" s="82">
        <f>IFERROR(__xludf.DUMMYFUNCTION("""COMPUTED_VALUE"""),1.036040358362454)</f>
        <v>1.036040358</v>
      </c>
      <c r="AE1237" s="82">
        <f>IFERROR(__xludf.DUMMYFUNCTION("""COMPUTED_VALUE"""),1.250695958763086)</f>
        <v>1.250695959</v>
      </c>
      <c r="AF1237" s="82">
        <f>IFERROR(__xludf.DUMMYFUNCTION("""COMPUTED_VALUE"""),0.7883662757431492)</f>
        <v>0.7883662757</v>
      </c>
      <c r="AG1237" s="82">
        <f>IFERROR(__xludf.DUMMYFUNCTION("""COMPUTED_VALUE"""),0.9441603786213698)</f>
        <v>0.9441603786</v>
      </c>
      <c r="AH1237" s="82">
        <f>IFERROR(__xludf.DUMMYFUNCTION("""COMPUTED_VALUE"""),1.1201692150236067)</f>
        <v>1.120169215</v>
      </c>
      <c r="AI1237" s="82">
        <f>IFERROR(__xludf.DUMMYFUNCTION("""COMPUTED_VALUE"""),0.9598089965759599)</f>
        <v>0.9598089966</v>
      </c>
      <c r="AJ1237" s="82">
        <f>IFERROR(__xludf.DUMMYFUNCTION("""COMPUTED_VALUE"""),0.9659893793858364)</f>
        <v>0.9659893794</v>
      </c>
      <c r="AK1237" s="82">
        <f>IFERROR(__xludf.DUMMYFUNCTION("""COMPUTED_VALUE"""),1.030116764712748)</f>
        <v>1.030116765</v>
      </c>
      <c r="AL1237" s="82">
        <f>IFERROR(__xludf.DUMMYFUNCTION("""COMPUTED_VALUE"""),0.9211096205740926)</f>
        <v>0.9211096206</v>
      </c>
      <c r="AM1237" s="82">
        <f>IFERROR(__xludf.DUMMYFUNCTION("""COMPUTED_VALUE"""),0.951659913913679)</f>
        <v>0.9516599139</v>
      </c>
      <c r="AN1237" s="82">
        <f>IFERROR(__xludf.DUMMYFUNCTION("""COMPUTED_VALUE"""),1.0750618323666044)</f>
        <v>1.075061832</v>
      </c>
      <c r="AO1237" s="82">
        <f>IFERROR(__xludf.DUMMYFUNCTION("""COMPUTED_VALUE"""),1.3624738738694289)</f>
        <v>1.362473874</v>
      </c>
      <c r="AP1237" s="82">
        <f>IFERROR(__xludf.DUMMYFUNCTION("""COMPUTED_VALUE"""),0.8757414577528714)</f>
        <v>0.8757414578</v>
      </c>
      <c r="AQ1237" s="82">
        <f>IFERROR(__xludf.DUMMYFUNCTION("""COMPUTED_VALUE"""),0.9460510309426239)</f>
        <v>0.9460510309</v>
      </c>
      <c r="AR1237" s="82">
        <f>IFERROR(__xludf.DUMMYFUNCTION("""COMPUTED_VALUE"""),1.1715630156217407)</f>
        <v>1.171563016</v>
      </c>
      <c r="AS1237" s="82">
        <f>IFERROR(__xludf.DUMMYFUNCTION("""COMPUTED_VALUE"""),91.0)</f>
        <v>91</v>
      </c>
      <c r="AT1237" s="82">
        <f>IFERROR(__xludf.DUMMYFUNCTION("""COMPUTED_VALUE"""),0.5360943932766302)</f>
        <v>0.5360943933</v>
      </c>
      <c r="AU1237" s="82">
        <f>IFERROR(__xludf.DUMMYFUNCTION("""COMPUTED_VALUE"""),2.837058997824964)</f>
        <v>2.837058998</v>
      </c>
      <c r="AV1237" s="82">
        <f>IFERROR(__xludf.DUMMYFUNCTION("""COMPUTED_VALUE"""),64.46981451162608)</f>
        <v>64.46981451</v>
      </c>
      <c r="AW1237" s="82">
        <f t="shared" si="1"/>
        <v>3.554107766</v>
      </c>
      <c r="AX1237" s="83">
        <f t="array" ref="AX1237">IFERROR(DGET('SBV Import'!A:G,"SBV",{"RSC ID","Tier";B1237,A1237}))</f>
        <v>63.1145176</v>
      </c>
      <c r="AY1237" s="82">
        <f t="shared" si="2"/>
        <v>3.33402957</v>
      </c>
      <c r="AZ1237" s="82">
        <v>0.22007819598614065</v>
      </c>
      <c r="BA1237" s="84">
        <v>1200.0</v>
      </c>
      <c r="BB1237" s="84" t="b">
        <f>IFERROR(__xludf.DUMMYFUNCTION("iferror(if(A1237="""",,E1237&gt;=FILTER(Constants!$F$2:$F$10,Constants!$A$2:$A$10=A1237)))"),TRUE)</f>
        <v>1</v>
      </c>
    </row>
    <row r="1238">
      <c r="A1238" s="89" t="str">
        <f>IFERROR(__xludf.DUMMYFUNCTION("""COMPUTED_VALUE"""),"Veteran")</f>
        <v>Veteran</v>
      </c>
      <c r="B1238" s="87" t="str">
        <f>IFERROR(__xludf.DUMMYFUNCTION("""COMPUTED_VALUE"""),"RSC003238")</f>
        <v>RSC003238</v>
      </c>
      <c r="C1238" s="73" t="str">
        <f>IFERROR(__xludf.DUMMYFUNCTION("""COMPUTED_VALUE"""),"BanThisOne2")</f>
        <v>BanThisOne2</v>
      </c>
      <c r="D1238" s="73" t="str">
        <f>IFERROR(__xludf.DUMMYFUNCTION("""COMPUTED_VALUE"""),"Rulers")</f>
        <v>Rulers</v>
      </c>
      <c r="E1238" s="82">
        <f>IFERROR(__xludf.DUMMYFUNCTION("""COMPUTED_VALUE"""),36.0)</f>
        <v>36</v>
      </c>
      <c r="F1238" s="82">
        <f>IFERROR(__xludf.DUMMYFUNCTION("""COMPUTED_VALUE"""),20.0)</f>
        <v>20</v>
      </c>
      <c r="G1238" s="86">
        <f>IFERROR(__xludf.DUMMYFUNCTION("""COMPUTED_VALUE"""),16.0)</f>
        <v>16</v>
      </c>
      <c r="H1238" s="86">
        <f>IFERROR(__xludf.DUMMYFUNCTION("""COMPUTED_VALUE"""),0.5555555555555556)</f>
        <v>0.5555555556</v>
      </c>
      <c r="I1238" s="86">
        <f>IFERROR(__xludf.DUMMYFUNCTION("""COMPUTED_VALUE"""),0.3214285714285714)</f>
        <v>0.3214285714</v>
      </c>
      <c r="J1238" s="82">
        <f>IFERROR(__xludf.DUMMYFUNCTION("""COMPUTED_VALUE"""),408.8888888888889)</f>
        <v>408.8888889</v>
      </c>
      <c r="K1238" s="82">
        <f>IFERROR(__xludf.DUMMYFUNCTION("""COMPUTED_VALUE"""),0.75)</f>
        <v>0.75</v>
      </c>
      <c r="L1238" s="82">
        <f>IFERROR(__xludf.DUMMYFUNCTION("""COMPUTED_VALUE"""),0.6111111111111112)</f>
        <v>0.6111111111</v>
      </c>
      <c r="M1238" s="82">
        <f>IFERROR(__xludf.DUMMYFUNCTION("""COMPUTED_VALUE"""),2.0277777777777777)</f>
        <v>2.027777778</v>
      </c>
      <c r="N1238" s="82">
        <f>IFERROR(__xludf.DUMMYFUNCTION("""COMPUTED_VALUE"""),2.3333333333333335)</f>
        <v>2.333333333</v>
      </c>
      <c r="O1238" s="82">
        <f>IFERROR(__xludf.DUMMYFUNCTION("""COMPUTED_VALUE"""),325.4444444444445)</f>
        <v>325.4444444</v>
      </c>
      <c r="P1238" s="82">
        <f>IFERROR(__xludf.DUMMYFUNCTION("""COMPUTED_VALUE"""),0.6296296296296297)</f>
        <v>0.6296296296</v>
      </c>
      <c r="Q1238" s="82">
        <f>IFERROR(__xludf.DUMMYFUNCTION("""COMPUTED_VALUE"""),0.4537037037037038)</f>
        <v>0.4537037037</v>
      </c>
      <c r="R1238" s="82">
        <f>IFERROR(__xludf.DUMMYFUNCTION("""COMPUTED_VALUE"""),1.2685185185185182)</f>
        <v>1.268518519</v>
      </c>
      <c r="S1238" s="82">
        <f>IFERROR(__xludf.DUMMYFUNCTION("""COMPUTED_VALUE"""),2.8611111111111116)</f>
        <v>2.861111111</v>
      </c>
      <c r="T1238" s="82">
        <f>IFERROR(__xludf.DUMMYFUNCTION("""COMPUTED_VALUE"""),356.1970522734145)</f>
        <v>356.1970523</v>
      </c>
      <c r="U1238" s="82">
        <f>IFERROR(__xludf.DUMMYFUNCTION("""COMPUTED_VALUE"""),0.850243376540081)</f>
        <v>0.8502433765</v>
      </c>
      <c r="V1238" s="82">
        <f>IFERROR(__xludf.DUMMYFUNCTION("""COMPUTED_VALUE"""),0.5620597721225389)</f>
        <v>0.5620597721</v>
      </c>
      <c r="W1238" s="82">
        <f>IFERROR(__xludf.DUMMYFUNCTION("""COMPUTED_VALUE"""),1.3096916774683565)</f>
        <v>1.309691677</v>
      </c>
      <c r="X1238" s="82">
        <f>IFERROR(__xludf.DUMMYFUNCTION("""COMPUTED_VALUE"""),2.67882164464711)</f>
        <v>2.678821645</v>
      </c>
      <c r="Y1238" s="82">
        <f>IFERROR(__xludf.DUMMYFUNCTION("""COMPUTED_VALUE"""),349.8107778672913)</f>
        <v>349.8107779</v>
      </c>
      <c r="Z1238" s="82">
        <f>IFERROR(__xludf.DUMMYFUNCTION("""COMPUTED_VALUE"""),0.766306314416542)</f>
        <v>0.7663063144</v>
      </c>
      <c r="AA1238" s="82">
        <f>IFERROR(__xludf.DUMMYFUNCTION("""COMPUTED_VALUE"""),0.5564774470117726)</f>
        <v>0.556477447</v>
      </c>
      <c r="AB1238" s="82">
        <f>IFERROR(__xludf.DUMMYFUNCTION("""COMPUTED_VALUE"""),1.3801796467818401)</f>
        <v>1.380179647</v>
      </c>
      <c r="AC1238" s="82">
        <f>IFERROR(__xludf.DUMMYFUNCTION("""COMPUTED_VALUE"""),2.5210898533961315)</f>
        <v>2.521089853</v>
      </c>
      <c r="AD1238" s="82">
        <f>IFERROR(__xludf.DUMMYFUNCTION("""COMPUTED_VALUE"""),1.168885908495393)</f>
        <v>1.168885908</v>
      </c>
      <c r="AE1238" s="82">
        <f>IFERROR(__xludf.DUMMYFUNCTION("""COMPUTED_VALUE"""),0.9787208925337416)</f>
        <v>0.9787208925</v>
      </c>
      <c r="AF1238" s="82">
        <f>IFERROR(__xludf.DUMMYFUNCTION("""COMPUTED_VALUE"""),1.0981776788847704)</f>
        <v>1.098177679</v>
      </c>
      <c r="AG1238" s="82">
        <f>IFERROR(__xludf.DUMMYFUNCTION("""COMPUTED_VALUE"""),1.4692129263795042)</f>
        <v>1.469212926</v>
      </c>
      <c r="AH1238" s="82">
        <f>IFERROR(__xludf.DUMMYFUNCTION("""COMPUTED_VALUE"""),0.9255256531972181)</f>
        <v>0.9255256532</v>
      </c>
      <c r="AI1238" s="82">
        <f>IFERROR(__xludf.DUMMYFUNCTION("""COMPUTED_VALUE"""),0.9136640586083108)</f>
        <v>0.9136640586</v>
      </c>
      <c r="AJ1238" s="82">
        <f>IFERROR(__xludf.DUMMYFUNCTION("""COMPUTED_VALUE"""),0.7405287086055278)</f>
        <v>0.7405287086</v>
      </c>
      <c r="AK1238" s="82">
        <f>IFERROR(__xludf.DUMMYFUNCTION("""COMPUTED_VALUE"""),0.807216111536245)</f>
        <v>0.8072161115</v>
      </c>
      <c r="AL1238" s="82">
        <f>IFERROR(__xludf.DUMMYFUNCTION("""COMPUTED_VALUE"""),0.9685627085686104)</f>
        <v>0.9685627086</v>
      </c>
      <c r="AM1238" s="82">
        <f>IFERROR(__xludf.DUMMYFUNCTION("""COMPUTED_VALUE"""),1.068048377475319)</f>
        <v>1.068048377</v>
      </c>
      <c r="AN1238" s="82">
        <f>IFERROR(__xludf.DUMMYFUNCTION("""COMPUTED_VALUE"""),1.1842333437429033)</f>
        <v>1.184233344</v>
      </c>
      <c r="AO1238" s="82">
        <f>IFERROR(__xludf.DUMMYFUNCTION("""COMPUTED_VALUE"""),0.9942376917425563)</f>
        <v>0.9942376917</v>
      </c>
      <c r="AP1238" s="82">
        <f>IFERROR(__xludf.DUMMYFUNCTION("""COMPUTED_VALUE"""),1.1333124747390102)</f>
        <v>1.133312475</v>
      </c>
      <c r="AQ1238" s="82">
        <f>IFERROR(__xludf.DUMMYFUNCTION("""COMPUTED_VALUE"""),1.501341853452425)</f>
        <v>1.501341853</v>
      </c>
      <c r="AR1238" s="82">
        <f>IFERROR(__xludf.DUMMYFUNCTION("""COMPUTED_VALUE"""),0.9112156788169095)</f>
        <v>0.9112156788</v>
      </c>
      <c r="AS1238" s="82">
        <f>IFERROR(__xludf.DUMMYFUNCTION("""COMPUTED_VALUE"""),74.0)</f>
        <v>74</v>
      </c>
      <c r="AT1238" s="82">
        <f>IFERROR(__xludf.DUMMYFUNCTION("""COMPUTED_VALUE"""),0.5313019339239632)</f>
        <v>0.5313019339</v>
      </c>
      <c r="AU1238" s="82">
        <f>IFERROR(__xludf.DUMMYFUNCTION("""COMPUTED_VALUE"""),2.8195031929753576)</f>
        <v>2.819503193</v>
      </c>
      <c r="AV1238" s="82">
        <f>IFERROR(__xludf.DUMMYFUNCTION("""COMPUTED_VALUE"""),63.92600428331815)</f>
        <v>63.92600428</v>
      </c>
      <c r="AW1238" s="82">
        <f t="shared" si="1"/>
        <v>3.463203565</v>
      </c>
      <c r="AX1238" s="83">
        <f t="array" ref="AX1238">IFERROR(DGET('SBV Import'!A:G,"SBV",{"RSC ID","Tier";B1238,A1238}))</f>
        <v>63.63585867</v>
      </c>
      <c r="AY1238" s="82">
        <f t="shared" si="2"/>
        <v>3.416147448</v>
      </c>
      <c r="AZ1238" s="82">
        <v>0.047056117094367966</v>
      </c>
      <c r="BA1238" s="84">
        <v>1200.0</v>
      </c>
      <c r="BB1238" s="84" t="b">
        <f>IFERROR(__xludf.DUMMYFUNCTION("iferror(if(A1238="""",,E1238&gt;=FILTER(Constants!$F$2:$F$10,Constants!$A$2:$A$10=A1238)))"),TRUE)</f>
        <v>1</v>
      </c>
    </row>
    <row r="1239">
      <c r="A1239" s="89" t="str">
        <f>IFERROR(__xludf.DUMMYFUNCTION("""COMPUTED_VALUE"""),"Veteran")</f>
        <v>Veteran</v>
      </c>
      <c r="B1239" s="87" t="str">
        <f>IFERROR(__xludf.DUMMYFUNCTION("""COMPUTED_VALUE"""),"RSC000926")</f>
        <v>RSC000926</v>
      </c>
      <c r="C1239" s="73" t="str">
        <f>IFERROR(__xludf.DUMMYFUNCTION("""COMPUTED_VALUE"""),"SlmRnchr")</f>
        <v>SlmRnchr</v>
      </c>
      <c r="D1239" s="73" t="str">
        <f>IFERROR(__xludf.DUMMYFUNCTION("""COMPUTED_VALUE"""),"Silver Dollar")</f>
        <v>Silver Dollar</v>
      </c>
      <c r="E1239" s="82">
        <f>IFERROR(__xludf.DUMMYFUNCTION("""COMPUTED_VALUE"""),28.0)</f>
        <v>28</v>
      </c>
      <c r="F1239" s="82">
        <f>IFERROR(__xludf.DUMMYFUNCTION("""COMPUTED_VALUE"""),20.0)</f>
        <v>20</v>
      </c>
      <c r="G1239" s="86">
        <f>IFERROR(__xludf.DUMMYFUNCTION("""COMPUTED_VALUE"""),8.0)</f>
        <v>8</v>
      </c>
      <c r="H1239" s="86">
        <f>IFERROR(__xludf.DUMMYFUNCTION("""COMPUTED_VALUE"""),0.7142857142857143)</f>
        <v>0.7142857143</v>
      </c>
      <c r="I1239" s="86">
        <f>IFERROR(__xludf.DUMMYFUNCTION("""COMPUTED_VALUE"""),0.36619718309859156)</f>
        <v>0.3661971831</v>
      </c>
      <c r="J1239" s="82">
        <f>IFERROR(__xludf.DUMMYFUNCTION("""COMPUTED_VALUE"""),336.35714285714283)</f>
        <v>336.3571429</v>
      </c>
      <c r="K1239" s="82">
        <f>IFERROR(__xludf.DUMMYFUNCTION("""COMPUTED_VALUE"""),0.9285714285714286)</f>
        <v>0.9285714286</v>
      </c>
      <c r="L1239" s="82">
        <f>IFERROR(__xludf.DUMMYFUNCTION("""COMPUTED_VALUE"""),0.6071428571428571)</f>
        <v>0.6071428571</v>
      </c>
      <c r="M1239" s="82">
        <f>IFERROR(__xludf.DUMMYFUNCTION("""COMPUTED_VALUE"""),1.1071428571428572)</f>
        <v>1.107142857</v>
      </c>
      <c r="N1239" s="82">
        <f>IFERROR(__xludf.DUMMYFUNCTION("""COMPUTED_VALUE"""),2.5357142857142856)</f>
        <v>2.535714286</v>
      </c>
      <c r="O1239" s="82">
        <f>IFERROR(__xludf.DUMMYFUNCTION("""COMPUTED_VALUE"""),325.03571428571433)</f>
        <v>325.0357143</v>
      </c>
      <c r="P1239" s="82">
        <f>IFERROR(__xludf.DUMMYFUNCTION("""COMPUTED_VALUE"""),0.6666666666666666)</f>
        <v>0.6666666667</v>
      </c>
      <c r="Q1239" s="82">
        <f>IFERROR(__xludf.DUMMYFUNCTION("""COMPUTED_VALUE"""),0.4285714285714285)</f>
        <v>0.4285714286</v>
      </c>
      <c r="R1239" s="82">
        <f>IFERROR(__xludf.DUMMYFUNCTION("""COMPUTED_VALUE"""),1.2857142857142858)</f>
        <v>1.285714286</v>
      </c>
      <c r="S1239" s="82">
        <f>IFERROR(__xludf.DUMMYFUNCTION("""COMPUTED_VALUE"""),2.3690476190476195)</f>
        <v>2.369047619</v>
      </c>
      <c r="T1239" s="82">
        <f>IFERROR(__xludf.DUMMYFUNCTION("""COMPUTED_VALUE"""),332.6112786686028)</f>
        <v>332.6112787</v>
      </c>
      <c r="U1239" s="82">
        <f>IFERROR(__xludf.DUMMYFUNCTION("""COMPUTED_VALUE"""),0.7015804221964388)</f>
        <v>0.7015804222</v>
      </c>
      <c r="V1239" s="82">
        <f>IFERROR(__xludf.DUMMYFUNCTION("""COMPUTED_VALUE"""),0.4871901946232896)</f>
        <v>0.4871901946</v>
      </c>
      <c r="W1239" s="82">
        <f>IFERROR(__xludf.DUMMYFUNCTION("""COMPUTED_VALUE"""),1.3244080387716537)</f>
        <v>1.324408039</v>
      </c>
      <c r="X1239" s="82">
        <f>IFERROR(__xludf.DUMMYFUNCTION("""COMPUTED_VALUE"""),2.4348768083582786)</f>
        <v>2.434876808</v>
      </c>
      <c r="Y1239" s="82">
        <f>IFERROR(__xludf.DUMMYFUNCTION("""COMPUTED_VALUE"""),347.5301200863131)</f>
        <v>347.5301201</v>
      </c>
      <c r="Z1239" s="82">
        <f>IFERROR(__xludf.DUMMYFUNCTION("""COMPUTED_VALUE"""),0.7712865812810977)</f>
        <v>0.7712865813</v>
      </c>
      <c r="AA1239" s="82">
        <f>IFERROR(__xludf.DUMMYFUNCTION("""COMPUTED_VALUE"""),0.5666534678825516)</f>
        <v>0.5666534679</v>
      </c>
      <c r="AB1239" s="82">
        <f>IFERROR(__xludf.DUMMYFUNCTION("""COMPUTED_VALUE"""),1.3087388948095)</f>
        <v>1.308738895</v>
      </c>
      <c r="AC1239" s="82">
        <f>IFERROR(__xludf.DUMMYFUNCTION("""COMPUTED_VALUE"""),2.606040182580219)</f>
        <v>2.606040183</v>
      </c>
      <c r="AD1239" s="82">
        <f>IFERROR(__xludf.DUMMYFUNCTION("""COMPUTED_VALUE"""),0.9678503341627042)</f>
        <v>0.9678503342</v>
      </c>
      <c r="AE1239" s="82">
        <f>IFERROR(__xludf.DUMMYFUNCTION("""COMPUTED_VALUE"""),1.2039252997622267)</f>
        <v>1.2039253</v>
      </c>
      <c r="AF1239" s="82">
        <f>IFERROR(__xludf.DUMMYFUNCTION("""COMPUTED_VALUE"""),1.0714535276941033)</f>
        <v>1.071453528</v>
      </c>
      <c r="AG1239" s="82">
        <f>IFERROR(__xludf.DUMMYFUNCTION("""COMPUTED_VALUE"""),0.845961605889319)</f>
        <v>0.8459616059</v>
      </c>
      <c r="AH1239" s="82">
        <f>IFERROR(__xludf.DUMMYFUNCTION("""COMPUTED_VALUE"""),0.9730142699502413)</f>
        <v>0.97301427</v>
      </c>
      <c r="AI1239" s="82">
        <f>IFERROR(__xludf.DUMMYFUNCTION("""COMPUTED_VALUE"""),0.9772239702357287)</f>
        <v>0.9772239702</v>
      </c>
      <c r="AJ1239" s="82">
        <f>IFERROR(__xludf.DUMMYFUNCTION("""COMPUTED_VALUE"""),0.9502355618469689)</f>
        <v>0.9502355618</v>
      </c>
      <c r="AK1239" s="82">
        <f>IFERROR(__xludf.DUMMYFUNCTION("""COMPUTED_VALUE"""),0.8796799141304825)</f>
        <v>0.8796799141</v>
      </c>
      <c r="AL1239" s="82">
        <f>IFERROR(__xludf.DUMMYFUNCTION("""COMPUTED_VALUE"""),0.9707841149218219)</f>
        <v>0.9707841149</v>
      </c>
      <c r="AM1239" s="82">
        <f>IFERROR(__xludf.DUMMYFUNCTION("""COMPUTED_VALUE"""),0.9729640575306787)</f>
        <v>0.9729640575</v>
      </c>
      <c r="AN1239" s="82">
        <f>IFERROR(__xludf.DUMMYFUNCTION("""COMPUTED_VALUE"""),0.9741652434232916)</f>
        <v>0.9741652434</v>
      </c>
      <c r="AO1239" s="82">
        <f>IFERROR(__xludf.DUMMYFUNCTION("""COMPUTED_VALUE"""),1.2309609516812603)</f>
        <v>1.230960952</v>
      </c>
      <c r="AP1239" s="82">
        <f>IFERROR(__xludf.DUMMYFUNCTION("""COMPUTED_VALUE"""),1.1259533028251203)</f>
        <v>1.125953303</v>
      </c>
      <c r="AQ1239" s="82">
        <f>IFERROR(__xludf.DUMMYFUNCTION("""COMPUTED_VALUE"""),0.8197150237049444)</f>
        <v>0.8197150237</v>
      </c>
      <c r="AR1239" s="82">
        <f>IFERROR(__xludf.DUMMYFUNCTION("""COMPUTED_VALUE"""),0.9902496917755189)</f>
        <v>0.9902496918</v>
      </c>
      <c r="AS1239" s="82">
        <f>IFERROR(__xludf.DUMMYFUNCTION("""COMPUTED_VALUE"""),71.0)</f>
        <v>71</v>
      </c>
      <c r="AT1239" s="82">
        <f>IFERROR(__xludf.DUMMYFUNCTION("""COMPUTED_VALUE"""),0.5905584501081413)</f>
        <v>0.5905584501</v>
      </c>
      <c r="AU1239" s="82">
        <f>IFERROR(__xludf.DUMMYFUNCTION("""COMPUTED_VALUE"""),2.8186321435904444)</f>
        <v>2.818632144</v>
      </c>
      <c r="AV1239" s="82">
        <f>IFERROR(__xludf.DUMMYFUNCTION("""COMPUTED_VALUE"""),63.89902257732774)</f>
        <v>63.89902258</v>
      </c>
      <c r="AW1239" s="82">
        <f t="shared" si="1"/>
        <v>3.458785906</v>
      </c>
      <c r="AX1239" s="83">
        <f t="array" ref="AX1239">IFERROR(DGET('SBV Import'!A:G,"SBV",{"RSC ID","Tier";B1239,A1239}))</f>
        <v>55.72731666</v>
      </c>
      <c r="AY1239" s="82">
        <f t="shared" si="2"/>
        <v>2.442608193</v>
      </c>
      <c r="AZ1239" s="82">
        <v>1.0161777131454315</v>
      </c>
      <c r="BA1239" s="84">
        <v>1200.0</v>
      </c>
      <c r="BB1239" s="84" t="b">
        <f>IFERROR(__xludf.DUMMYFUNCTION("iferror(if(A1239="""",,E1239&gt;=FILTER(Constants!$F$2:$F$10,Constants!$A$2:$A$10=A1239)))"),TRUE)</f>
        <v>1</v>
      </c>
    </row>
    <row r="1240">
      <c r="A1240" s="89" t="str">
        <f>IFERROR(__xludf.DUMMYFUNCTION("""COMPUTED_VALUE"""),"Veteran")</f>
        <v>Veteran</v>
      </c>
      <c r="B1240" s="87" t="str">
        <f>IFERROR(__xludf.DUMMYFUNCTION("""COMPUTED_VALUE"""),"RSC007908")</f>
        <v>RSC007908</v>
      </c>
      <c r="C1240" s="73" t="str">
        <f>IFERROR(__xludf.DUMMYFUNCTION("""COMPUTED_VALUE"""),"C01E01")</f>
        <v>C01E01</v>
      </c>
      <c r="D1240" s="73" t="str">
        <f>IFERROR(__xludf.DUMMYFUNCTION("""COMPUTED_VALUE"""),"Rockin Revenants")</f>
        <v>Rockin Revenants</v>
      </c>
      <c r="E1240" s="82">
        <f>IFERROR(__xludf.DUMMYFUNCTION("""COMPUTED_VALUE"""),28.0)</f>
        <v>28</v>
      </c>
      <c r="F1240" s="82">
        <f>IFERROR(__xludf.DUMMYFUNCTION("""COMPUTED_VALUE"""),14.0)</f>
        <v>14</v>
      </c>
      <c r="G1240" s="86">
        <f>IFERROR(__xludf.DUMMYFUNCTION("""COMPUTED_VALUE"""),14.0)</f>
        <v>14</v>
      </c>
      <c r="H1240" s="86">
        <f>IFERROR(__xludf.DUMMYFUNCTION("""COMPUTED_VALUE"""),0.5)</f>
        <v>0.5</v>
      </c>
      <c r="I1240" s="86">
        <f>IFERROR(__xludf.DUMMYFUNCTION("""COMPUTED_VALUE"""),0.37974683544303794)</f>
        <v>0.3797468354</v>
      </c>
      <c r="J1240" s="82">
        <f>IFERROR(__xludf.DUMMYFUNCTION("""COMPUTED_VALUE"""),409.89285714285717)</f>
        <v>409.8928571</v>
      </c>
      <c r="K1240" s="82">
        <f>IFERROR(__xludf.DUMMYFUNCTION("""COMPUTED_VALUE"""),1.0714285714285714)</f>
        <v>1.071428571</v>
      </c>
      <c r="L1240" s="82">
        <f>IFERROR(__xludf.DUMMYFUNCTION("""COMPUTED_VALUE"""),0.32142857142857145)</f>
        <v>0.3214285714</v>
      </c>
      <c r="M1240" s="82">
        <f>IFERROR(__xludf.DUMMYFUNCTION("""COMPUTED_VALUE"""),1.5714285714285714)</f>
        <v>1.571428571</v>
      </c>
      <c r="N1240" s="82">
        <f>IFERROR(__xludf.DUMMYFUNCTION("""COMPUTED_VALUE"""),2.8214285714285716)</f>
        <v>2.821428571</v>
      </c>
      <c r="O1240" s="82">
        <f>IFERROR(__xludf.DUMMYFUNCTION("""COMPUTED_VALUE"""),350.75)</f>
        <v>350.75</v>
      </c>
      <c r="P1240" s="82">
        <f>IFERROR(__xludf.DUMMYFUNCTION("""COMPUTED_VALUE"""),0.726190476190476)</f>
        <v>0.7261904762</v>
      </c>
      <c r="Q1240" s="82">
        <f>IFERROR(__xludf.DUMMYFUNCTION("""COMPUTED_VALUE"""),0.6309523809523808)</f>
        <v>0.630952381</v>
      </c>
      <c r="R1240" s="82">
        <f>IFERROR(__xludf.DUMMYFUNCTION("""COMPUTED_VALUE"""),1.2738095238095237)</f>
        <v>1.273809524</v>
      </c>
      <c r="S1240" s="82">
        <f>IFERROR(__xludf.DUMMYFUNCTION("""COMPUTED_VALUE"""),2.547619047619047)</f>
        <v>2.547619048</v>
      </c>
      <c r="T1240" s="82">
        <f>IFERROR(__xludf.DUMMYFUNCTION("""COMPUTED_VALUE"""),369.8921400172972)</f>
        <v>369.89214</v>
      </c>
      <c r="U1240" s="82">
        <f>IFERROR(__xludf.DUMMYFUNCTION("""COMPUTED_VALUE"""),0.8463337951668123)</f>
        <v>0.8463337952</v>
      </c>
      <c r="V1240" s="82">
        <f>IFERROR(__xludf.DUMMYFUNCTION("""COMPUTED_VALUE"""),0.6378490715282528)</f>
        <v>0.6378490715</v>
      </c>
      <c r="W1240" s="82">
        <f>IFERROR(__xludf.DUMMYFUNCTION("""COMPUTED_VALUE"""),1.3863350537347554)</f>
        <v>1.386335054</v>
      </c>
      <c r="X1240" s="82">
        <f>IFERROR(__xludf.DUMMYFUNCTION("""COMPUTED_VALUE"""),2.7868905788121703)</f>
        <v>2.786890579</v>
      </c>
      <c r="Y1240" s="82">
        <f>IFERROR(__xludf.DUMMYFUNCTION("""COMPUTED_VALUE"""),359.69901856740296)</f>
        <v>359.6990186</v>
      </c>
      <c r="Z1240" s="82">
        <f>IFERROR(__xludf.DUMMYFUNCTION("""COMPUTED_VALUE"""),0.8010439593997697)</f>
        <v>0.8010439594</v>
      </c>
      <c r="AA1240" s="82">
        <f>IFERROR(__xludf.DUMMYFUNCTION("""COMPUTED_VALUE"""),0.5826335366882713)</f>
        <v>0.5826335367</v>
      </c>
      <c r="AB1240" s="82">
        <f>IFERROR(__xludf.DUMMYFUNCTION("""COMPUTED_VALUE"""),1.388460824592681)</f>
        <v>1.388460825</v>
      </c>
      <c r="AC1240" s="82">
        <f>IFERROR(__xludf.DUMMYFUNCTION("""COMPUTED_VALUE"""),2.6721851996473616)</f>
        <v>2.6721852</v>
      </c>
      <c r="AD1240" s="82">
        <f>IFERROR(__xludf.DUMMYFUNCTION("""COMPUTED_VALUE"""),1.139543996465057)</f>
        <v>1.139543996</v>
      </c>
      <c r="AE1240" s="82">
        <f>IFERROR(__xludf.DUMMYFUNCTION("""COMPUTED_VALUE"""),1.337540292085098)</f>
        <v>1.337540292</v>
      </c>
      <c r="AF1240" s="82">
        <f>IFERROR(__xludf.DUMMYFUNCTION("""COMPUTED_VALUE"""),0.5516822345235967)</f>
        <v>0.5516822345</v>
      </c>
      <c r="AG1240" s="82">
        <f>IFERROR(__xludf.DUMMYFUNCTION("""COMPUTED_VALUE"""),1.131777392343472)</f>
        <v>1.131777392</v>
      </c>
      <c r="AH1240" s="82">
        <f>IFERROR(__xludf.DUMMYFUNCTION("""COMPUTED_VALUE"""),1.0558506842268662)</f>
        <v>1.055850684</v>
      </c>
      <c r="AI1240" s="82">
        <f>IFERROR(__xludf.DUMMYFUNCTION("""COMPUTED_VALUE"""),0.9482494004430533)</f>
        <v>0.9482494004</v>
      </c>
      <c r="AJ1240" s="82">
        <f>IFERROR(__xludf.DUMMYFUNCTION("""COMPUTED_VALUE"""),0.8580426308597827)</f>
        <v>0.8580426309</v>
      </c>
      <c r="AK1240" s="82">
        <f>IFERROR(__xludf.DUMMYFUNCTION("""COMPUTED_VALUE"""),0.9891875823235929)</f>
        <v>0.9891875823</v>
      </c>
      <c r="AL1240" s="82">
        <f>IFERROR(__xludf.DUMMYFUNCTION("""COMPUTED_VALUE"""),0.91883237055711)</f>
        <v>0.9188323706</v>
      </c>
      <c r="AM1240" s="82">
        <f>IFERROR(__xludf.DUMMYFUNCTION("""COMPUTED_VALUE"""),0.9141439089814909)</f>
        <v>0.914143909</v>
      </c>
      <c r="AN1240" s="82">
        <f>IFERROR(__xludf.DUMMYFUNCTION("""COMPUTED_VALUE"""),1.187141059542272)</f>
        <v>1.18714106</v>
      </c>
      <c r="AO1240" s="82">
        <f>IFERROR(__xludf.DUMMYFUNCTION("""COMPUTED_VALUE"""),1.4203395596322232)</f>
        <v>1.42033956</v>
      </c>
      <c r="AP1240" s="82">
        <f>IFERROR(__xludf.DUMMYFUNCTION("""COMPUTED_VALUE"""),0.5960929250250637)</f>
        <v>0.596092925</v>
      </c>
      <c r="AQ1240" s="82">
        <f>IFERROR(__xludf.DUMMYFUNCTION("""COMPUTED_VALUE"""),1.1634664852586307)</f>
        <v>1.163466485</v>
      </c>
      <c r="AR1240" s="82">
        <f>IFERROR(__xludf.DUMMYFUNCTION("""COMPUTED_VALUE"""),1.1018271218347324)</f>
        <v>1.101827122</v>
      </c>
      <c r="AS1240" s="82">
        <f>IFERROR(__xludf.DUMMYFUNCTION("""COMPUTED_VALUE"""),65.0)</f>
        <v>65</v>
      </c>
      <c r="AT1240" s="82">
        <f>IFERROR(__xludf.DUMMYFUNCTION("""COMPUTED_VALUE"""),0.5244304481389113)</f>
        <v>0.5244304481</v>
      </c>
      <c r="AU1240" s="82">
        <f>IFERROR(__xludf.DUMMYFUNCTION("""COMPUTED_VALUE"""),2.8117144215509278)</f>
        <v>2.811714422</v>
      </c>
      <c r="AV1240" s="82">
        <f>IFERROR(__xludf.DUMMYFUNCTION("""COMPUTED_VALUE"""),63.68473858215308)</f>
        <v>63.68473858</v>
      </c>
      <c r="AW1240" s="82">
        <f t="shared" si="1"/>
        <v>3.424005931</v>
      </c>
      <c r="AX1240" s="83">
        <f t="array" ref="AX1240">IFERROR(DGET('SBV Import'!A:G,"SBV",{"RSC ID","Tier";B1240,A1240}))</f>
        <v>66.45475257</v>
      </c>
      <c r="AY1240" s="82">
        <f t="shared" si="2"/>
        <v>3.91837259</v>
      </c>
      <c r="AZ1240" s="82">
        <v>0.4943666581609545</v>
      </c>
      <c r="BA1240" s="84">
        <v>1200.0</v>
      </c>
      <c r="BB1240" s="84" t="b">
        <f>IFERROR(__xludf.DUMMYFUNCTION("iferror(if(A1240="""",,E1240&gt;=FILTER(Constants!$F$2:$F$10,Constants!$A$2:$A$10=A1240)))"),TRUE)</f>
        <v>1</v>
      </c>
    </row>
    <row r="1241">
      <c r="A1241" s="89" t="str">
        <f>IFERROR(__xludf.DUMMYFUNCTION("""COMPUTED_VALUE"""),"Veteran")</f>
        <v>Veteran</v>
      </c>
      <c r="B1241" s="87" t="str">
        <f>IFERROR(__xludf.DUMMYFUNCTION("""COMPUTED_VALUE"""),"RSC007856")</f>
        <v>RSC007856</v>
      </c>
      <c r="C1241" s="73" t="str">
        <f>IFERROR(__xludf.DUMMYFUNCTION("""COMPUTED_VALUE"""),"Captain Daddy")</f>
        <v>Captain Daddy</v>
      </c>
      <c r="D1241" s="73" t="str">
        <f>IFERROR(__xludf.DUMMYFUNCTION("""COMPUTED_VALUE"""),"Repossessed")</f>
        <v>Repossessed</v>
      </c>
      <c r="E1241" s="82">
        <f>IFERROR(__xludf.DUMMYFUNCTION("""COMPUTED_VALUE"""),28.0)</f>
        <v>28</v>
      </c>
      <c r="F1241" s="82">
        <f>IFERROR(__xludf.DUMMYFUNCTION("""COMPUTED_VALUE"""),13.0)</f>
        <v>13</v>
      </c>
      <c r="G1241" s="86">
        <f>IFERROR(__xludf.DUMMYFUNCTION("""COMPUTED_VALUE"""),15.0)</f>
        <v>15</v>
      </c>
      <c r="H1241" s="86">
        <f>IFERROR(__xludf.DUMMYFUNCTION("""COMPUTED_VALUE"""),0.4642857142857143)</f>
        <v>0.4642857143</v>
      </c>
      <c r="I1241" s="86">
        <f>IFERROR(__xludf.DUMMYFUNCTION("""COMPUTED_VALUE"""),0.34285714285714286)</f>
        <v>0.3428571429</v>
      </c>
      <c r="J1241" s="82">
        <f>IFERROR(__xludf.DUMMYFUNCTION("""COMPUTED_VALUE"""),376.75)</f>
        <v>376.75</v>
      </c>
      <c r="K1241" s="82">
        <f>IFERROR(__xludf.DUMMYFUNCTION("""COMPUTED_VALUE"""),0.8571428571428571)</f>
        <v>0.8571428571</v>
      </c>
      <c r="L1241" s="82">
        <f>IFERROR(__xludf.DUMMYFUNCTION("""COMPUTED_VALUE"""),0.5714285714285714)</f>
        <v>0.5714285714</v>
      </c>
      <c r="M1241" s="82">
        <f>IFERROR(__xludf.DUMMYFUNCTION("""COMPUTED_VALUE"""),1.5714285714285714)</f>
        <v>1.571428571</v>
      </c>
      <c r="N1241" s="82">
        <f>IFERROR(__xludf.DUMMYFUNCTION("""COMPUTED_VALUE"""),2.5)</f>
        <v>2.5</v>
      </c>
      <c r="O1241" s="82">
        <f>IFERROR(__xludf.DUMMYFUNCTION("""COMPUTED_VALUE"""),336.23809523809524)</f>
        <v>336.2380952</v>
      </c>
      <c r="P1241" s="82">
        <f>IFERROR(__xludf.DUMMYFUNCTION("""COMPUTED_VALUE"""),0.7023809523809524)</f>
        <v>0.7023809524</v>
      </c>
      <c r="Q1241" s="82">
        <f>IFERROR(__xludf.DUMMYFUNCTION("""COMPUTED_VALUE"""),0.511904761904762)</f>
        <v>0.5119047619</v>
      </c>
      <c r="R1241" s="82">
        <f>IFERROR(__xludf.DUMMYFUNCTION("""COMPUTED_VALUE"""),1.3452380952380951)</f>
        <v>1.345238095</v>
      </c>
      <c r="S1241" s="82">
        <f>IFERROR(__xludf.DUMMYFUNCTION("""COMPUTED_VALUE"""),2.464285714285714)</f>
        <v>2.464285714</v>
      </c>
      <c r="T1241" s="82">
        <f>IFERROR(__xludf.DUMMYFUNCTION("""COMPUTED_VALUE"""),341.1937107238643)</f>
        <v>341.1937107</v>
      </c>
      <c r="U1241" s="82">
        <f>IFERROR(__xludf.DUMMYFUNCTION("""COMPUTED_VALUE"""),0.7213129817977497)</f>
        <v>0.7213129818</v>
      </c>
      <c r="V1241" s="82">
        <f>IFERROR(__xludf.DUMMYFUNCTION("""COMPUTED_VALUE"""),0.5611753337294717)</f>
        <v>0.5611753337</v>
      </c>
      <c r="W1241" s="82">
        <f>IFERROR(__xludf.DUMMYFUNCTION("""COMPUTED_VALUE"""),1.3133334025208725)</f>
        <v>1.313333403</v>
      </c>
      <c r="X1241" s="82">
        <f>IFERROR(__xludf.DUMMYFUNCTION("""COMPUTED_VALUE"""),2.5468861363747015)</f>
        <v>2.546886136</v>
      </c>
      <c r="Y1241" s="82">
        <f>IFERROR(__xludf.DUMMYFUNCTION("""COMPUTED_VALUE"""),347.65071740381984)</f>
        <v>347.6507174</v>
      </c>
      <c r="Z1241" s="82">
        <f>IFERROR(__xludf.DUMMYFUNCTION("""COMPUTED_VALUE"""),0.7437000586137801)</f>
        <v>0.7437000586</v>
      </c>
      <c r="AA1241" s="82">
        <f>IFERROR(__xludf.DUMMYFUNCTION("""COMPUTED_VALUE"""),0.5438375469387413)</f>
        <v>0.5438375469</v>
      </c>
      <c r="AB1241" s="82">
        <f>IFERROR(__xludf.DUMMYFUNCTION("""COMPUTED_VALUE"""),1.3790565189464463)</f>
        <v>1.379056519</v>
      </c>
      <c r="AC1241" s="82">
        <f>IFERROR(__xludf.DUMMYFUNCTION("""COMPUTED_VALUE"""),2.5029196664876543)</f>
        <v>2.502919666</v>
      </c>
      <c r="AD1241" s="82">
        <f>IFERROR(__xludf.DUMMYFUNCTION("""COMPUTED_VALUE"""),1.083702639285451)</f>
        <v>1.083702639</v>
      </c>
      <c r="AE1241" s="82">
        <f>IFERROR(__xludf.DUMMYFUNCTION("""COMPUTED_VALUE"""),1.1525383751354394)</f>
        <v>1.152538375</v>
      </c>
      <c r="AF1241" s="82">
        <f>IFERROR(__xludf.DUMMYFUNCTION("""COMPUTED_VALUE"""),1.0507339455415312)</f>
        <v>1.050733946</v>
      </c>
      <c r="AG1241" s="82">
        <f>IFERROR(__xludf.DUMMYFUNCTION("""COMPUTED_VALUE"""),1.139495408519653)</f>
        <v>1.139495409</v>
      </c>
      <c r="AH1241" s="82">
        <f>IFERROR(__xludf.DUMMYFUNCTION("""COMPUTED_VALUE"""),0.9988334957263125)</f>
        <v>0.9988334957</v>
      </c>
      <c r="AI1241" s="82">
        <f>IFERROR(__xludf.DUMMYFUNCTION("""COMPUTED_VALUE"""),0.9854756540639176)</f>
        <v>0.9854756541</v>
      </c>
      <c r="AJ1241" s="82">
        <f>IFERROR(__xludf.DUMMYFUNCTION("""COMPUTED_VALUE"""),0.9737533776674691)</f>
        <v>0.9737533777</v>
      </c>
      <c r="AK1241" s="82">
        <f>IFERROR(__xludf.DUMMYFUNCTION("""COMPUTED_VALUE"""),0.9122011092375243)</f>
        <v>0.9122011092</v>
      </c>
      <c r="AL1241" s="82">
        <f>IFERROR(__xludf.DUMMYFUNCTION("""COMPUTED_VALUE"""),1.0242929119566924)</f>
        <v>1.024292912</v>
      </c>
      <c r="AM1241" s="82">
        <f>IFERROR(__xludf.DUMMYFUNCTION("""COMPUTED_VALUE"""),0.9675680742419985)</f>
        <v>0.9675680742</v>
      </c>
      <c r="AN1241" s="82">
        <f>IFERROR(__xludf.DUMMYFUNCTION("""COMPUTED_VALUE"""),1.091151959319633)</f>
        <v>1.091151959</v>
      </c>
      <c r="AO1241" s="82">
        <f>IFERROR(__xludf.DUMMYFUNCTION("""COMPUTED_VALUE"""),1.1362716477057786)</f>
        <v>1.136271648</v>
      </c>
      <c r="AP1241" s="82">
        <f>IFERROR(__xludf.DUMMYFUNCTION("""COMPUTED_VALUE"""),1.0597207556001131)</f>
        <v>1.059720756</v>
      </c>
      <c r="AQ1241" s="82">
        <f>IFERROR(__xludf.DUMMYFUNCTION("""COMPUTED_VALUE"""),1.1634664852586307)</f>
        <v>1.163466485</v>
      </c>
      <c r="AR1241" s="82">
        <f>IFERROR(__xludf.DUMMYFUNCTION("""COMPUTED_VALUE"""),0.9763025130181172)</f>
        <v>0.976302513</v>
      </c>
      <c r="AS1241" s="82">
        <f>IFERROR(__xludf.DUMMYFUNCTION("""COMPUTED_VALUE"""),64.0)</f>
        <v>64</v>
      </c>
      <c r="AT1241" s="82">
        <f>IFERROR(__xludf.DUMMYFUNCTION("""COMPUTED_VALUE"""),0.5310586930573823)</f>
        <v>0.5310586931</v>
      </c>
      <c r="AU1241" s="82">
        <f>IFERROR(__xludf.DUMMYFUNCTION("""COMPUTED_VALUE"""),2.796808765784489)</f>
        <v>2.796808766</v>
      </c>
      <c r="AV1241" s="82">
        <f>IFERROR(__xludf.DUMMYFUNCTION("""COMPUTED_VALUE"""),63.223019615984)</f>
        <v>63.22301962</v>
      </c>
      <c r="AW1241" s="82">
        <f t="shared" si="1"/>
        <v>3.350867288</v>
      </c>
      <c r="AX1241" s="83">
        <f t="array" ref="AX1241">IFERROR(DGET('SBV Import'!A:G,"SBV",{"RSC ID","Tier";B1241,A1241}))</f>
        <v>62.61528902</v>
      </c>
      <c r="AY1241" s="82">
        <f t="shared" si="2"/>
        <v>3.258222145</v>
      </c>
      <c r="AZ1241" s="82">
        <v>0.09264514348114083</v>
      </c>
      <c r="BA1241" s="84">
        <v>1200.0</v>
      </c>
      <c r="BB1241" s="84" t="b">
        <f>IFERROR(__xludf.DUMMYFUNCTION("iferror(if(A1241="""",,E1241&gt;=FILTER(Constants!$F$2:$F$10,Constants!$A$2:$A$10=A1241)))"),TRUE)</f>
        <v>1</v>
      </c>
    </row>
    <row r="1242">
      <c r="A1242" s="89" t="str">
        <f>IFERROR(__xludf.DUMMYFUNCTION("""COMPUTED_VALUE"""),"Veteran")</f>
        <v>Veteran</v>
      </c>
      <c r="B1242" s="87" t="str">
        <f>IFERROR(__xludf.DUMMYFUNCTION("""COMPUTED_VALUE"""),"RSC005655")</f>
        <v>RSC005655</v>
      </c>
      <c r="C1242" s="73" t="str">
        <f>IFERROR(__xludf.DUMMYFUNCTION("""COMPUTED_VALUE"""),"oneplayamaker")</f>
        <v>oneplayamaker</v>
      </c>
      <c r="D1242" s="73" t="str">
        <f>IFERROR(__xludf.DUMMYFUNCTION("""COMPUTED_VALUE"""),"Paradox Paloma")</f>
        <v>Paradox Paloma</v>
      </c>
      <c r="E1242" s="82">
        <f>IFERROR(__xludf.DUMMYFUNCTION("""COMPUTED_VALUE"""),20.0)</f>
        <v>20</v>
      </c>
      <c r="F1242" s="82">
        <f>IFERROR(__xludf.DUMMYFUNCTION("""COMPUTED_VALUE"""),17.0)</f>
        <v>17</v>
      </c>
      <c r="G1242" s="86">
        <f>IFERROR(__xludf.DUMMYFUNCTION("""COMPUTED_VALUE"""),3.0)</f>
        <v>3</v>
      </c>
      <c r="H1242" s="86">
        <f>IFERROR(__xludf.DUMMYFUNCTION("""COMPUTED_VALUE"""),0.85)</f>
        <v>0.85</v>
      </c>
      <c r="I1242" s="86">
        <f>IFERROR(__xludf.DUMMYFUNCTION("""COMPUTED_VALUE"""),0.3103448275862069)</f>
        <v>0.3103448276</v>
      </c>
      <c r="J1242" s="82">
        <f>IFERROR(__xludf.DUMMYFUNCTION("""COMPUTED_VALUE"""),330.15)</f>
        <v>330.15</v>
      </c>
      <c r="K1242" s="82">
        <f>IFERROR(__xludf.DUMMYFUNCTION("""COMPUTED_VALUE"""),0.9)</f>
        <v>0.9</v>
      </c>
      <c r="L1242" s="82">
        <f>IFERROR(__xludf.DUMMYFUNCTION("""COMPUTED_VALUE"""),0.6)</f>
        <v>0.6</v>
      </c>
      <c r="M1242" s="82">
        <f>IFERROR(__xludf.DUMMYFUNCTION("""COMPUTED_VALUE"""),0.95)</f>
        <v>0.95</v>
      </c>
      <c r="N1242" s="82">
        <f>IFERROR(__xludf.DUMMYFUNCTION("""COMPUTED_VALUE"""),2.9)</f>
        <v>2.9</v>
      </c>
      <c r="O1242" s="82">
        <f>IFERROR(__xludf.DUMMYFUNCTION("""COMPUTED_VALUE"""),329.45)</f>
        <v>329.45</v>
      </c>
      <c r="P1242" s="82">
        <f>IFERROR(__xludf.DUMMYFUNCTION("""COMPUTED_VALUE"""),0.5333333333333333)</f>
        <v>0.5333333333</v>
      </c>
      <c r="Q1242" s="82">
        <f>IFERROR(__xludf.DUMMYFUNCTION("""COMPUTED_VALUE"""),0.4666666666666667)</f>
        <v>0.4666666667</v>
      </c>
      <c r="R1242" s="82">
        <f>IFERROR(__xludf.DUMMYFUNCTION("""COMPUTED_VALUE"""),1.6833333333333331)</f>
        <v>1.683333333</v>
      </c>
      <c r="S1242" s="82">
        <f>IFERROR(__xludf.DUMMYFUNCTION("""COMPUTED_VALUE"""),2.0166666666666666)</f>
        <v>2.016666667</v>
      </c>
      <c r="T1242" s="82">
        <f>IFERROR(__xludf.DUMMYFUNCTION("""COMPUTED_VALUE"""),347.6135003883931)</f>
        <v>347.6135004</v>
      </c>
      <c r="U1242" s="82">
        <f>IFERROR(__xludf.DUMMYFUNCTION("""COMPUTED_VALUE"""),0.7485563483610921)</f>
        <v>0.7485563484</v>
      </c>
      <c r="V1242" s="82">
        <f>IFERROR(__xludf.DUMMYFUNCTION("""COMPUTED_VALUE"""),0.5412052823193374)</f>
        <v>0.5412052823</v>
      </c>
      <c r="W1242" s="82">
        <f>IFERROR(__xludf.DUMMYFUNCTION("""COMPUTED_VALUE"""),1.382388585678251)</f>
        <v>1.382388586</v>
      </c>
      <c r="X1242" s="82">
        <f>IFERROR(__xludf.DUMMYFUNCTION("""COMPUTED_VALUE"""),2.453457596528546)</f>
        <v>2.453457597</v>
      </c>
      <c r="Y1242" s="82">
        <f>IFERROR(__xludf.DUMMYFUNCTION("""COMPUTED_VALUE"""),358.8285410958432)</f>
        <v>358.8285411</v>
      </c>
      <c r="Z1242" s="82">
        <f>IFERROR(__xludf.DUMMYFUNCTION("""COMPUTED_VALUE"""),0.8837468777776843)</f>
        <v>0.8837468778</v>
      </c>
      <c r="AA1242" s="82">
        <f>IFERROR(__xludf.DUMMYFUNCTION("""COMPUTED_VALUE"""),0.6596954214513676)</f>
        <v>0.6596954215</v>
      </c>
      <c r="AB1242" s="82">
        <f>IFERROR(__xludf.DUMMYFUNCTION("""COMPUTED_VALUE"""),1.2172802642162799)</f>
        <v>1.217280264</v>
      </c>
      <c r="AC1242" s="82">
        <f>IFERROR(__xludf.DUMMYFUNCTION("""COMPUTED_VALUE"""),2.757167492532096)</f>
        <v>2.757167493</v>
      </c>
      <c r="AD1242" s="82">
        <f>IFERROR(__xludf.DUMMYFUNCTION("""COMPUTED_VALUE"""),0.920077313225251)</f>
        <v>0.9200773132</v>
      </c>
      <c r="AE1242" s="82">
        <f>IFERROR(__xludf.DUMMYFUNCTION("""COMPUTED_VALUE"""),1.018391150940399)</f>
        <v>1.018391151</v>
      </c>
      <c r="AF1242" s="82">
        <f>IFERROR(__xludf.DUMMYFUNCTION("""COMPUTED_VALUE"""),0.9095106324672766)</f>
        <v>0.9095106325</v>
      </c>
      <c r="AG1242" s="82">
        <f>IFERROR(__xludf.DUMMYFUNCTION("""COMPUTED_VALUE"""),0.7804283269240689)</f>
        <v>0.7804283269</v>
      </c>
      <c r="AH1242" s="82">
        <f>IFERROR(__xludf.DUMMYFUNCTION("""COMPUTED_VALUE"""),1.0518040735119545)</f>
        <v>1.051804074</v>
      </c>
      <c r="AI1242" s="82">
        <f>IFERROR(__xludf.DUMMYFUNCTION("""COMPUTED_VALUE"""),0.9477480006728772)</f>
        <v>0.9477480007</v>
      </c>
      <c r="AJ1242" s="82">
        <f>IFERROR(__xludf.DUMMYFUNCTION("""COMPUTED_VALUE"""),0.7124825465725148)</f>
        <v>0.7124825466</v>
      </c>
      <c r="AK1242" s="82">
        <f>IFERROR(__xludf.DUMMYFUNCTION("""COMPUTED_VALUE"""),0.86227293397205)</f>
        <v>0.862272934</v>
      </c>
      <c r="AL1242" s="82">
        <f>IFERROR(__xludf.DUMMYFUNCTION("""COMPUTED_VALUE"""),1.2176990976147475)</f>
        <v>1.217699098</v>
      </c>
      <c r="AM1242" s="82">
        <f>IFERROR(__xludf.DUMMYFUNCTION("""COMPUTED_VALUE"""),0.8219692361995965)</f>
        <v>0.8219692362</v>
      </c>
      <c r="AN1242" s="82">
        <f>IFERROR(__xludf.DUMMYFUNCTION("""COMPUTED_VALUE"""),0.9561879744376292)</f>
        <v>0.9561879744</v>
      </c>
      <c r="AO1242" s="82">
        <f>IFERROR(__xludf.DUMMYFUNCTION("""COMPUTED_VALUE"""),1.1930852300910677)</f>
        <v>1.19308523</v>
      </c>
      <c r="AP1242" s="82">
        <f>IFERROR(__xludf.DUMMYFUNCTION("""COMPUTED_VALUE"""),1.112706793380119)</f>
        <v>1.112706793</v>
      </c>
      <c r="AQ1242" s="82">
        <f>IFERROR(__xludf.DUMMYFUNCTION("""COMPUTED_VALUE"""),0.7033683751790812)</f>
        <v>0.7033683752</v>
      </c>
      <c r="AR1242" s="82">
        <f>IFERROR(__xludf.DUMMYFUNCTION("""COMPUTED_VALUE"""),1.132510915101016)</f>
        <v>1.132510915</v>
      </c>
      <c r="AS1242" s="82">
        <f>IFERROR(__xludf.DUMMYFUNCTION("""COMPUTED_VALUE"""),60.0)</f>
        <v>60</v>
      </c>
      <c r="AT1242" s="82">
        <f>IFERROR(__xludf.DUMMYFUNCTION("""COMPUTED_VALUE"""),0.7259307451636119)</f>
        <v>0.7259307452</v>
      </c>
      <c r="AU1242" s="82">
        <f>IFERROR(__xludf.DUMMYFUNCTION("""COMPUTED_VALUE"""),2.7966740303157485)</f>
        <v>2.79667403</v>
      </c>
      <c r="AV1242" s="82">
        <f>IFERROR(__xludf.DUMMYFUNCTION("""COMPUTED_VALUE"""),63.2188460376921)</f>
        <v>63.21884604</v>
      </c>
      <c r="AW1242" s="82">
        <f t="shared" si="1"/>
        <v>3.350217189</v>
      </c>
      <c r="AX1242" s="83">
        <f t="array" ref="AX1242">IFERROR(DGET('SBV Import'!A:G,"SBV",{"RSC ID","Tier";B1242,A1242}))</f>
        <v>48.92350841</v>
      </c>
      <c r="AY1242" s="82">
        <f t="shared" si="2"/>
        <v>-2.071135267</v>
      </c>
      <c r="AZ1242" s="82">
        <v>5.4213524566445574</v>
      </c>
      <c r="BA1242" s="84">
        <v>1200.0</v>
      </c>
      <c r="BB1242" s="84" t="b">
        <f>IFERROR(__xludf.DUMMYFUNCTION("iferror(if(A1242="""",,E1242&gt;=FILTER(Constants!$F$2:$F$10,Constants!$A$2:$A$10=A1242)))"),TRUE)</f>
        <v>1</v>
      </c>
    </row>
    <row r="1243">
      <c r="A1243" s="89" t="str">
        <f>IFERROR(__xludf.DUMMYFUNCTION("""COMPUTED_VALUE"""),"Veteran")</f>
        <v>Veteran</v>
      </c>
      <c r="B1243" s="87" t="str">
        <f>IFERROR(__xludf.DUMMYFUNCTION("""COMPUTED_VALUE"""),"RSC006278")</f>
        <v>RSC006278</v>
      </c>
      <c r="C1243" s="73" t="str">
        <f>IFERROR(__xludf.DUMMYFUNCTION("""COMPUTED_VALUE"""),"DribblingPenguin")</f>
        <v>DribblingPenguin</v>
      </c>
      <c r="D1243" s="73" t="str">
        <f>IFERROR(__xludf.DUMMYFUNCTION("""COMPUTED_VALUE"""),"Azalea")</f>
        <v>Azalea</v>
      </c>
      <c r="E1243" s="82">
        <f>IFERROR(__xludf.DUMMYFUNCTION("""COMPUTED_VALUE"""),34.0)</f>
        <v>34</v>
      </c>
      <c r="F1243" s="82">
        <f>IFERROR(__xludf.DUMMYFUNCTION("""COMPUTED_VALUE"""),14.0)</f>
        <v>14</v>
      </c>
      <c r="G1243" s="86">
        <f>IFERROR(__xludf.DUMMYFUNCTION("""COMPUTED_VALUE"""),20.0)</f>
        <v>20</v>
      </c>
      <c r="H1243" s="86">
        <f>IFERROR(__xludf.DUMMYFUNCTION("""COMPUTED_VALUE"""),0.4117647058823529)</f>
        <v>0.4117647059</v>
      </c>
      <c r="I1243" s="86">
        <f>IFERROR(__xludf.DUMMYFUNCTION("""COMPUTED_VALUE"""),0.2783505154639175)</f>
        <v>0.2783505155</v>
      </c>
      <c r="J1243" s="82">
        <f>IFERROR(__xludf.DUMMYFUNCTION("""COMPUTED_VALUE"""),364.1764705882353)</f>
        <v>364.1764706</v>
      </c>
      <c r="K1243" s="82">
        <f>IFERROR(__xludf.DUMMYFUNCTION("""COMPUTED_VALUE"""),0.7941176470588235)</f>
        <v>0.7941176471</v>
      </c>
      <c r="L1243" s="82">
        <f>IFERROR(__xludf.DUMMYFUNCTION("""COMPUTED_VALUE"""),0.6176470588235294)</f>
        <v>0.6176470588</v>
      </c>
      <c r="M1243" s="82">
        <f>IFERROR(__xludf.DUMMYFUNCTION("""COMPUTED_VALUE"""),1.5)</f>
        <v>1.5</v>
      </c>
      <c r="N1243" s="82">
        <f>IFERROR(__xludf.DUMMYFUNCTION("""COMPUTED_VALUE"""),2.8529411764705883)</f>
        <v>2.852941176</v>
      </c>
      <c r="O1243" s="82">
        <f>IFERROR(__xludf.DUMMYFUNCTION("""COMPUTED_VALUE"""),331.1666666666666)</f>
        <v>331.1666667</v>
      </c>
      <c r="P1243" s="82">
        <f>IFERROR(__xludf.DUMMYFUNCTION("""COMPUTED_VALUE"""),0.7352941176470589)</f>
        <v>0.7352941176</v>
      </c>
      <c r="Q1243" s="82">
        <f>IFERROR(__xludf.DUMMYFUNCTION("""COMPUTED_VALUE"""),0.43137254901960786)</f>
        <v>0.431372549</v>
      </c>
      <c r="R1243" s="82">
        <f>IFERROR(__xludf.DUMMYFUNCTION("""COMPUTED_VALUE"""),1.3627450980392162)</f>
        <v>1.362745098</v>
      </c>
      <c r="S1243" s="82">
        <f>IFERROR(__xludf.DUMMYFUNCTION("""COMPUTED_VALUE"""),2.3725490196078427)</f>
        <v>2.37254902</v>
      </c>
      <c r="T1243" s="82">
        <f>IFERROR(__xludf.DUMMYFUNCTION("""COMPUTED_VALUE"""),345.23832317094514)</f>
        <v>345.2383232</v>
      </c>
      <c r="U1243" s="82">
        <f>IFERROR(__xludf.DUMMYFUNCTION("""COMPUTED_VALUE"""),0.7301582658293911)</f>
        <v>0.7301582658</v>
      </c>
      <c r="V1243" s="82">
        <f>IFERROR(__xludf.DUMMYFUNCTION("""COMPUTED_VALUE"""),0.5244892299542779)</f>
        <v>0.52448923</v>
      </c>
      <c r="W1243" s="82">
        <f>IFERROR(__xludf.DUMMYFUNCTION("""COMPUTED_VALUE"""),1.4181072457888242)</f>
        <v>1.418107246</v>
      </c>
      <c r="X1243" s="82">
        <f>IFERROR(__xludf.DUMMYFUNCTION("""COMPUTED_VALUE"""),2.5222353906279675)</f>
        <v>2.522235391</v>
      </c>
      <c r="Y1243" s="82">
        <f>IFERROR(__xludf.DUMMYFUNCTION("""COMPUTED_VALUE"""),349.19516872078674)</f>
        <v>349.1951687</v>
      </c>
      <c r="Z1243" s="82">
        <f>IFERROR(__xludf.DUMMYFUNCTION("""COMPUTED_VALUE"""),0.7867634244500191)</f>
        <v>0.7867634245</v>
      </c>
      <c r="AA1243" s="82">
        <f>IFERROR(__xludf.DUMMYFUNCTION("""COMPUTED_VALUE"""),0.5621496835779611)</f>
        <v>0.5621496836</v>
      </c>
      <c r="AB1243" s="82">
        <f>IFERROR(__xludf.DUMMYFUNCTION("""COMPUTED_VALUE"""),1.3449154093033695)</f>
        <v>1.344915409</v>
      </c>
      <c r="AC1243" s="82">
        <f>IFERROR(__xludf.DUMMYFUNCTION("""COMPUTED_VALUE"""),2.6125962395196196)</f>
        <v>2.61259624</v>
      </c>
      <c r="AD1243" s="82">
        <f>IFERROR(__xludf.DUMMYFUNCTION("""COMPUTED_VALUE"""),1.0429023744009112)</f>
        <v>1.042902374</v>
      </c>
      <c r="AE1243" s="82">
        <f>IFERROR(__xludf.DUMMYFUNCTION("""COMPUTED_VALUE"""),1.0093474383534609)</f>
        <v>1.009347438</v>
      </c>
      <c r="AF1243" s="82">
        <f>IFERROR(__xludf.DUMMYFUNCTION("""COMPUTED_VALUE"""),1.098723483916845)</f>
        <v>1.098723484</v>
      </c>
      <c r="AG1243" s="82">
        <f>IFERROR(__xludf.DUMMYFUNCTION("""COMPUTED_VALUE"""),1.115311780669507)</f>
        <v>1.115311781</v>
      </c>
      <c r="AH1243" s="82">
        <f>IFERROR(__xludf.DUMMYFUNCTION("""COMPUTED_VALUE"""),1.0919946730824206)</f>
        <v>1.091994673</v>
      </c>
      <c r="AI1243" s="82">
        <f>IFERROR(__xludf.DUMMYFUNCTION("""COMPUTED_VALUE"""),0.9592407460011009)</f>
        <v>0.959240746</v>
      </c>
      <c r="AJ1243" s="82">
        <f>IFERROR(__xludf.DUMMYFUNCTION("""COMPUTED_VALUE"""),1.0070338884842096)</f>
        <v>1.007033888</v>
      </c>
      <c r="AK1243" s="82">
        <f>IFERROR(__xludf.DUMMYFUNCTION("""COMPUTED_VALUE"""),0.822462167730713)</f>
        <v>0.8224621677</v>
      </c>
      <c r="AL1243" s="82">
        <f>IFERROR(__xludf.DUMMYFUNCTION("""COMPUTED_VALUE"""),0.9609605353092934)</f>
        <v>0.9609605353</v>
      </c>
      <c r="AM1243" s="82">
        <f>IFERROR(__xludf.DUMMYFUNCTION("""COMPUTED_VALUE"""),0.9406532904992436)</f>
        <v>0.9406532905</v>
      </c>
      <c r="AN1243" s="82">
        <f>IFERROR(__xludf.DUMMYFUNCTION("""COMPUTED_VALUE"""),1.0547362161127052)</f>
        <v>1.054736216</v>
      </c>
      <c r="AO1243" s="82">
        <f>IFERROR(__xludf.DUMMYFUNCTION("""COMPUTED_VALUE"""),1.0527222618450596)</f>
        <v>1.052722262</v>
      </c>
      <c r="AP1243" s="82">
        <f>IFERROR(__xludf.DUMMYFUNCTION("""COMPUTED_VALUE"""),1.1454334637736518)</f>
        <v>1.145433464</v>
      </c>
      <c r="AQ1243" s="82">
        <f>IFERROR(__xludf.DUMMYFUNCTION("""COMPUTED_VALUE"""),1.110581645019602)</f>
        <v>1.110581645</v>
      </c>
      <c r="AR1243" s="82">
        <f>IFERROR(__xludf.DUMMYFUNCTION("""COMPUTED_VALUE"""),1.1141334560324396)</f>
        <v>1.114133456</v>
      </c>
      <c r="AS1243" s="82">
        <f>IFERROR(__xludf.DUMMYFUNCTION("""COMPUTED_VALUE"""),77.0)</f>
        <v>77</v>
      </c>
      <c r="AT1243" s="82">
        <f>IFERROR(__xludf.DUMMYFUNCTION("""COMPUTED_VALUE"""),0.5101106000996937)</f>
        <v>0.5101106001</v>
      </c>
      <c r="AU1243" s="82">
        <f>IFERROR(__xludf.DUMMYFUNCTION("""COMPUTED_VALUE"""),2.79507320721984)</f>
        <v>2.795073207</v>
      </c>
      <c r="AV1243" s="82">
        <f>IFERROR(__xludf.DUMMYFUNCTION("""COMPUTED_VALUE"""),63.169258794001244)</f>
        <v>63.16925879</v>
      </c>
      <c r="AW1243" s="82">
        <f t="shared" si="1"/>
        <v>3.342508106</v>
      </c>
      <c r="AX1243" s="83">
        <f t="array" ref="AX1243">IFERROR(DGET('SBV Import'!A:G,"SBV",{"RSC ID","Tier";B1243,A1243}))</f>
        <v>67.95594787</v>
      </c>
      <c r="AY1243" s="82">
        <f t="shared" si="2"/>
        <v>4.231813641</v>
      </c>
      <c r="AZ1243" s="82">
        <v>0.8893055356804567</v>
      </c>
      <c r="BA1243" s="84">
        <v>1200.0</v>
      </c>
      <c r="BB1243" s="84" t="b">
        <f>IFERROR(__xludf.DUMMYFUNCTION("iferror(if(A1243="""",,E1243&gt;=FILTER(Constants!$F$2:$F$10,Constants!$A$2:$A$10=A1243)))"),TRUE)</f>
        <v>1</v>
      </c>
    </row>
    <row r="1244">
      <c r="A1244" s="89" t="str">
        <f>IFERROR(__xludf.DUMMYFUNCTION("""COMPUTED_VALUE"""),"Veteran")</f>
        <v>Veteran</v>
      </c>
      <c r="B1244" s="87" t="str">
        <f>IFERROR(__xludf.DUMMYFUNCTION("""COMPUTED_VALUE"""),"RSC005758")</f>
        <v>RSC005758</v>
      </c>
      <c r="C1244" s="73" t="str">
        <f>IFERROR(__xludf.DUMMYFUNCTION("""COMPUTED_VALUE"""),"ghostsynn.")</f>
        <v>ghostsynn.</v>
      </c>
      <c r="D1244" s="73" t="str">
        <f>IFERROR(__xludf.DUMMYFUNCTION("""COMPUTED_VALUE"""),"Typhoons")</f>
        <v>Typhoons</v>
      </c>
      <c r="E1244" s="82">
        <f>IFERROR(__xludf.DUMMYFUNCTION("""COMPUTED_VALUE"""),25.0)</f>
        <v>25</v>
      </c>
      <c r="F1244" s="82">
        <f>IFERROR(__xludf.DUMMYFUNCTION("""COMPUTED_VALUE"""),15.0)</f>
        <v>15</v>
      </c>
      <c r="G1244" s="86">
        <f>IFERROR(__xludf.DUMMYFUNCTION("""COMPUTED_VALUE"""),10.0)</f>
        <v>10</v>
      </c>
      <c r="H1244" s="86">
        <f>IFERROR(__xludf.DUMMYFUNCTION("""COMPUTED_VALUE"""),0.6)</f>
        <v>0.6</v>
      </c>
      <c r="I1244" s="86">
        <f>IFERROR(__xludf.DUMMYFUNCTION("""COMPUTED_VALUE"""),0.25)</f>
        <v>0.25</v>
      </c>
      <c r="J1244" s="82">
        <f>IFERROR(__xludf.DUMMYFUNCTION("""COMPUTED_VALUE"""),366.56)</f>
        <v>366.56</v>
      </c>
      <c r="K1244" s="82">
        <f>IFERROR(__xludf.DUMMYFUNCTION("""COMPUTED_VALUE"""),0.8)</f>
        <v>0.8</v>
      </c>
      <c r="L1244" s="82">
        <f>IFERROR(__xludf.DUMMYFUNCTION("""COMPUTED_VALUE"""),0.52)</f>
        <v>0.52</v>
      </c>
      <c r="M1244" s="82">
        <f>IFERROR(__xludf.DUMMYFUNCTION("""COMPUTED_VALUE"""),1.4)</f>
        <v>1.4</v>
      </c>
      <c r="N1244" s="82">
        <f>IFERROR(__xludf.DUMMYFUNCTION("""COMPUTED_VALUE"""),3.2)</f>
        <v>3.2</v>
      </c>
      <c r="O1244" s="82">
        <f>IFERROR(__xludf.DUMMYFUNCTION("""COMPUTED_VALUE"""),332.2933333333333)</f>
        <v>332.2933333</v>
      </c>
      <c r="P1244" s="82">
        <f>IFERROR(__xludf.DUMMYFUNCTION("""COMPUTED_VALUE"""),0.64)</f>
        <v>0.64</v>
      </c>
      <c r="Q1244" s="82">
        <f>IFERROR(__xludf.DUMMYFUNCTION("""COMPUTED_VALUE"""),0.5466666666666666)</f>
        <v>0.5466666667</v>
      </c>
      <c r="R1244" s="82">
        <f>IFERROR(__xludf.DUMMYFUNCTION("""COMPUTED_VALUE"""),1.3733333333333337)</f>
        <v>1.373333333</v>
      </c>
      <c r="S1244" s="82">
        <f>IFERROR(__xludf.DUMMYFUNCTION("""COMPUTED_VALUE"""),2.0666666666666664)</f>
        <v>2.066666667</v>
      </c>
      <c r="T1244" s="82">
        <f>IFERROR(__xludf.DUMMYFUNCTION("""COMPUTED_VALUE"""),345.7466314457808)</f>
        <v>345.7466314</v>
      </c>
      <c r="U1244" s="82">
        <f>IFERROR(__xludf.DUMMYFUNCTION("""COMPUTED_VALUE"""),0.7309194532022261)</f>
        <v>0.7309194532</v>
      </c>
      <c r="V1244" s="82">
        <f>IFERROR(__xludf.DUMMYFUNCTION("""COMPUTED_VALUE"""),0.5524275503014837)</f>
        <v>0.5524275503</v>
      </c>
      <c r="W1244" s="82">
        <f>IFERROR(__xludf.DUMMYFUNCTION("""COMPUTED_VALUE"""),1.361217006060036)</f>
        <v>1.361217006</v>
      </c>
      <c r="X1244" s="82">
        <f>IFERROR(__xludf.DUMMYFUNCTION("""COMPUTED_VALUE"""),2.540292228446281)</f>
        <v>2.540292228</v>
      </c>
      <c r="Y1244" s="82">
        <f>IFERROR(__xludf.DUMMYFUNCTION("""COMPUTED_VALUE"""),354.72748314084123)</f>
        <v>354.7274831</v>
      </c>
      <c r="Z1244" s="82">
        <f>IFERROR(__xludf.DUMMYFUNCTION("""COMPUTED_VALUE"""),0.7601273753221246)</f>
        <v>0.7601273753</v>
      </c>
      <c r="AA1244" s="82">
        <f>IFERROR(__xludf.DUMMYFUNCTION("""COMPUTED_VALUE"""),0.5755475576713548)</f>
        <v>0.5755475577</v>
      </c>
      <c r="AB1244" s="82">
        <f>IFERROR(__xludf.DUMMYFUNCTION("""COMPUTED_VALUE"""),1.4000041434934802)</f>
        <v>1.400004143</v>
      </c>
      <c r="AC1244" s="82">
        <f>IFERROR(__xludf.DUMMYFUNCTION("""COMPUTED_VALUE"""),2.6188093728467163)</f>
        <v>2.618809373</v>
      </c>
      <c r="AD1244" s="82">
        <f>IFERROR(__xludf.DUMMYFUNCTION("""COMPUTED_VALUE"""),1.0333566397347926)</f>
        <v>1.03335664</v>
      </c>
      <c r="AE1244" s="82">
        <f>IFERROR(__xludf.DUMMYFUNCTION("""COMPUTED_VALUE"""),1.0524551883965214)</f>
        <v>1.052455188</v>
      </c>
      <c r="AF1244" s="82">
        <f>IFERROR(__xludf.DUMMYFUNCTION("""COMPUTED_VALUE"""),0.9034874582804273)</f>
        <v>0.9034874583</v>
      </c>
      <c r="AG1244" s="82">
        <f>IFERROR(__xludf.DUMMYFUNCTION("""COMPUTED_VALUE"""),0.9999970403705593)</f>
        <v>0.9999970404</v>
      </c>
      <c r="AH1244" s="82">
        <f>IFERROR(__xludf.DUMMYFUNCTION("""COMPUTED_VALUE"""),1.2219293367357678)</f>
        <v>1.221929337</v>
      </c>
      <c r="AI1244" s="82">
        <f>IFERROR(__xludf.DUMMYFUNCTION("""COMPUTED_VALUE"""),0.96108914190663)</f>
        <v>0.9610891419</v>
      </c>
      <c r="AJ1244" s="82">
        <f>IFERROR(__xludf.DUMMYFUNCTION("""COMPUTED_VALUE"""),0.8756094767981623)</f>
        <v>0.8756094768</v>
      </c>
      <c r="AK1244" s="82">
        <f>IFERROR(__xludf.DUMMYFUNCTION("""COMPUTED_VALUE"""),0.9895716938236098)</f>
        <v>0.9895716938</v>
      </c>
      <c r="AL1244" s="82">
        <f>IFERROR(__xludf.DUMMYFUNCTION("""COMPUTED_VALUE"""),1.0089010989572984)</f>
        <v>1.008901099</v>
      </c>
      <c r="AM1244" s="82">
        <f>IFERROR(__xludf.DUMMYFUNCTION("""COMPUTED_VALUE"""),0.8135546940324664)</f>
        <v>0.813554694</v>
      </c>
      <c r="AN1244" s="82">
        <f>IFERROR(__xludf.DUMMYFUNCTION("""COMPUTED_VALUE"""),1.061639448462388)</f>
        <v>1.061639448</v>
      </c>
      <c r="AO1244" s="82">
        <f>IFERROR(__xludf.DUMMYFUNCTION("""COMPUTED_VALUE"""),1.0605202045253934)</f>
        <v>1.060520205</v>
      </c>
      <c r="AP1244" s="82">
        <f>IFERROR(__xludf.DUMMYFUNCTION("""COMPUTED_VALUE"""),0.9643458875961032)</f>
        <v>0.9643458876</v>
      </c>
      <c r="AQ1244" s="82">
        <f>IFERROR(__xludf.DUMMYFUNCTION("""COMPUTED_VALUE"""),1.0365428686849618)</f>
        <v>1.036542869</v>
      </c>
      <c r="AR1244" s="82">
        <f>IFERROR(__xludf.DUMMYFUNCTION("""COMPUTED_VALUE"""),1.2496672166631901)</f>
        <v>1.249667217</v>
      </c>
      <c r="AS1244" s="82">
        <f>IFERROR(__xludf.DUMMYFUNCTION("""COMPUTED_VALUE"""),56.0)</f>
        <v>56</v>
      </c>
      <c r="AT1244" s="82">
        <f>IFERROR(__xludf.DUMMYFUNCTION("""COMPUTED_VALUE"""),0.5577593307600843)</f>
        <v>0.5577593308</v>
      </c>
      <c r="AU1244" s="82">
        <f>IFERROR(__xludf.DUMMYFUNCTION("""COMPUTED_VALUE"""),2.7736181600880965)</f>
        <v>2.77361816</v>
      </c>
      <c r="AV1244" s="82">
        <f>IFERROR(__xludf.DUMMYFUNCTION("""COMPUTED_VALUE"""),62.50466527755347)</f>
        <v>62.50466528</v>
      </c>
      <c r="AW1244" s="82">
        <f t="shared" si="1"/>
        <v>3.241786971</v>
      </c>
      <c r="AX1244" s="83">
        <f t="array" ref="AX1244">IFERROR(DGET('SBV Import'!A:G,"SBV",{"RSC ID","Tier";B1244,A1244}))</f>
        <v>76.79877654</v>
      </c>
      <c r="AY1244" s="82">
        <f t="shared" si="2"/>
        <v>7.048656539</v>
      </c>
      <c r="AZ1244" s="82">
        <v>3.806869567347301</v>
      </c>
      <c r="BA1244" s="84">
        <v>1200.0</v>
      </c>
      <c r="BB1244" s="84" t="b">
        <f>IFERROR(__xludf.DUMMYFUNCTION("iferror(if(A1244="""",,E1244&gt;=FILTER(Constants!$F$2:$F$10,Constants!$A$2:$A$10=A1244)))"),TRUE)</f>
        <v>1</v>
      </c>
    </row>
    <row r="1245">
      <c r="A1245" s="89" t="str">
        <f>IFERROR(__xludf.DUMMYFUNCTION("""COMPUTED_VALUE"""),"Veteran")</f>
        <v>Veteran</v>
      </c>
      <c r="B1245" s="87" t="str">
        <f>IFERROR(__xludf.DUMMYFUNCTION("""COMPUTED_VALUE"""),"RSC003272")</f>
        <v>RSC003272</v>
      </c>
      <c r="C1245" s="73" t="str">
        <f>IFERROR(__xludf.DUMMYFUNCTION("""COMPUTED_VALUE"""),"jknop2")</f>
        <v>jknop2</v>
      </c>
      <c r="D1245" s="73" t="str">
        <f>IFERROR(__xludf.DUMMYFUNCTION("""COMPUTED_VALUE"""),"Singularity")</f>
        <v>Singularity</v>
      </c>
      <c r="E1245" s="82">
        <f>IFERROR(__xludf.DUMMYFUNCTION("""COMPUTED_VALUE"""),32.0)</f>
        <v>32</v>
      </c>
      <c r="F1245" s="82">
        <f>IFERROR(__xludf.DUMMYFUNCTION("""COMPUTED_VALUE"""),18.0)</f>
        <v>18</v>
      </c>
      <c r="G1245" s="86">
        <f>IFERROR(__xludf.DUMMYFUNCTION("""COMPUTED_VALUE"""),14.0)</f>
        <v>14</v>
      </c>
      <c r="H1245" s="86">
        <f>IFERROR(__xludf.DUMMYFUNCTION("""COMPUTED_VALUE"""),0.5625)</f>
        <v>0.5625</v>
      </c>
      <c r="I1245" s="86">
        <f>IFERROR(__xludf.DUMMYFUNCTION("""COMPUTED_VALUE"""),0.2564102564102564)</f>
        <v>0.2564102564</v>
      </c>
      <c r="J1245" s="82">
        <f>IFERROR(__xludf.DUMMYFUNCTION("""COMPUTED_VALUE"""),393.75)</f>
        <v>393.75</v>
      </c>
      <c r="K1245" s="82">
        <f>IFERROR(__xludf.DUMMYFUNCTION("""COMPUTED_VALUE"""),0.625)</f>
        <v>0.625</v>
      </c>
      <c r="L1245" s="82">
        <f>IFERROR(__xludf.DUMMYFUNCTION("""COMPUTED_VALUE"""),0.65625)</f>
        <v>0.65625</v>
      </c>
      <c r="M1245" s="82">
        <f>IFERROR(__xludf.DUMMYFUNCTION("""COMPUTED_VALUE"""),1.96875)</f>
        <v>1.96875</v>
      </c>
      <c r="N1245" s="82">
        <f>IFERROR(__xludf.DUMMYFUNCTION("""COMPUTED_VALUE"""),2.4375)</f>
        <v>2.4375</v>
      </c>
      <c r="O1245" s="82">
        <f>IFERROR(__xludf.DUMMYFUNCTION("""COMPUTED_VALUE"""),328.62500000000006)</f>
        <v>328.625</v>
      </c>
      <c r="P1245" s="82">
        <f>IFERROR(__xludf.DUMMYFUNCTION("""COMPUTED_VALUE"""),0.6145833333333333)</f>
        <v>0.6145833333</v>
      </c>
      <c r="Q1245" s="82">
        <f>IFERROR(__xludf.DUMMYFUNCTION("""COMPUTED_VALUE"""),0.4375)</f>
        <v>0.4375</v>
      </c>
      <c r="R1245" s="82">
        <f>IFERROR(__xludf.DUMMYFUNCTION("""COMPUTED_VALUE"""),1.354166666666667)</f>
        <v>1.354166667</v>
      </c>
      <c r="S1245" s="82">
        <f>IFERROR(__xludf.DUMMYFUNCTION("""COMPUTED_VALUE"""),2.8125000000000004)</f>
        <v>2.8125</v>
      </c>
      <c r="T1245" s="82">
        <f>IFERROR(__xludf.DUMMYFUNCTION("""COMPUTED_VALUE"""),351.1566415344768)</f>
        <v>351.1566415</v>
      </c>
      <c r="U1245" s="82">
        <f>IFERROR(__xludf.DUMMYFUNCTION("""COMPUTED_VALUE"""),0.7625211244396177)</f>
        <v>0.7625211244</v>
      </c>
      <c r="V1245" s="82">
        <f>IFERROR(__xludf.DUMMYFUNCTION("""COMPUTED_VALUE"""),0.5419813994645037)</f>
        <v>0.5419813995</v>
      </c>
      <c r="W1245" s="82">
        <f>IFERROR(__xludf.DUMMYFUNCTION("""COMPUTED_VALUE"""),1.3579699446596305)</f>
        <v>1.357969945</v>
      </c>
      <c r="X1245" s="82">
        <f>IFERROR(__xludf.DUMMYFUNCTION("""COMPUTED_VALUE"""),2.5789685179630357)</f>
        <v>2.578968518</v>
      </c>
      <c r="Y1245" s="82">
        <f>IFERROR(__xludf.DUMMYFUNCTION("""COMPUTED_VALUE"""),342.62396035607446)</f>
        <v>342.6239604</v>
      </c>
      <c r="Z1245" s="82">
        <f>IFERROR(__xludf.DUMMYFUNCTION("""COMPUTED_VALUE"""),0.6959298497744929)</f>
        <v>0.6959298498</v>
      </c>
      <c r="AA1245" s="82">
        <f>IFERROR(__xludf.DUMMYFUNCTION("""COMPUTED_VALUE"""),0.5161469952735855)</f>
        <v>0.5161469953</v>
      </c>
      <c r="AB1245" s="82">
        <f>IFERROR(__xludf.DUMMYFUNCTION("""COMPUTED_VALUE"""),1.3729691728172813)</f>
        <v>1.372969173</v>
      </c>
      <c r="AC1245" s="82">
        <f>IFERROR(__xludf.DUMMYFUNCTION("""COMPUTED_VALUE"""),2.524881049923858)</f>
        <v>2.52488105</v>
      </c>
      <c r="AD1245" s="82">
        <f>IFERROR(__xludf.DUMMYFUNCTION("""COMPUTED_VALUE"""),1.1492191018713123)</f>
        <v>1.149219102</v>
      </c>
      <c r="AE1245" s="82">
        <f>IFERROR(__xludf.DUMMYFUNCTION("""COMPUTED_VALUE"""),0.8980790236293545)</f>
        <v>0.8980790236</v>
      </c>
      <c r="AF1245" s="82">
        <f>IFERROR(__xludf.DUMMYFUNCTION("""COMPUTED_VALUE"""),1.2714401246337825)</f>
        <v>1.271440125</v>
      </c>
      <c r="AG1245" s="82">
        <f>IFERROR(__xludf.DUMMYFUNCTION("""COMPUTED_VALUE"""),1.4339360555053096)</f>
        <v>1.433936056</v>
      </c>
      <c r="AH1245" s="82">
        <f>IFERROR(__xludf.DUMMYFUNCTION("""COMPUTED_VALUE"""),0.9653920132489041)</f>
        <v>0.9653920132</v>
      </c>
      <c r="AI1245" s="82">
        <f>IFERROR(__xludf.DUMMYFUNCTION("""COMPUTED_VALUE"""),0.9358359237176365)</f>
        <v>0.9358359237</v>
      </c>
      <c r="AJ1245" s="82">
        <f>IFERROR(__xludf.DUMMYFUNCTION("""COMPUTED_VALUE"""),0.8059885997060016)</f>
        <v>0.8059885997</v>
      </c>
      <c r="AK1245" s="82">
        <f>IFERROR(__xludf.DUMMYFUNCTION("""COMPUTED_VALUE"""),0.8072232745113855)</f>
        <v>0.8072232745</v>
      </c>
      <c r="AL1245" s="82">
        <f>IFERROR(__xludf.DUMMYFUNCTION("""COMPUTED_VALUE"""),0.9971992914806985)</f>
        <v>0.9971992915</v>
      </c>
      <c r="AM1245" s="82">
        <f>IFERROR(__xludf.DUMMYFUNCTION("""COMPUTED_VALUE"""),1.0905522810419634)</f>
        <v>1.090552281</v>
      </c>
      <c r="AN1245" s="82">
        <f>IFERROR(__xludf.DUMMYFUNCTION("""COMPUTED_VALUE"""),1.1403877477959004)</f>
        <v>1.140387748</v>
      </c>
      <c r="AO1245" s="82">
        <f>IFERROR(__xludf.DUMMYFUNCTION("""COMPUTED_VALUE"""),0.8285314097854636)</f>
        <v>0.8285314098</v>
      </c>
      <c r="AP1245" s="82">
        <f>IFERROR(__xludf.DUMMYFUNCTION("""COMPUTED_VALUE"""),1.2170230552595052)</f>
        <v>1.217023055</v>
      </c>
      <c r="AQ1245" s="82">
        <f>IFERROR(__xludf.DUMMYFUNCTION("""COMPUTED_VALUE"""),1.4576384090882277)</f>
        <v>1.457638409</v>
      </c>
      <c r="AR1245" s="82">
        <f>IFERROR(__xludf.DUMMYFUNCTION("""COMPUTED_VALUE"""),0.9518949501926643)</f>
        <v>0.9518949502</v>
      </c>
      <c r="AS1245" s="82">
        <f>IFERROR(__xludf.DUMMYFUNCTION("""COMPUTED_VALUE"""),68.0)</f>
        <v>68</v>
      </c>
      <c r="AT1245" s="82">
        <f>IFERROR(__xludf.DUMMYFUNCTION("""COMPUTED_VALUE"""),0.5525225640938712)</f>
        <v>0.5525225641</v>
      </c>
      <c r="AU1245" s="82">
        <f>IFERROR(__xludf.DUMMYFUNCTION("""COMPUTED_VALUE"""),2.752920778079957)</f>
        <v>2.752920778</v>
      </c>
      <c r="AV1245" s="82">
        <f>IFERROR(__xludf.DUMMYFUNCTION("""COMPUTED_VALUE"""),61.86354126577254)</f>
        <v>61.86354127</v>
      </c>
      <c r="AW1245" s="82">
        <f t="shared" si="1"/>
        <v>3.149042427</v>
      </c>
      <c r="AX1245" s="83">
        <f t="array" ref="AX1245">IFERROR(DGET('SBV Import'!A:G,"SBV",{"RSC ID","Tier";B1245,A1245}))</f>
        <v>53.52969456</v>
      </c>
      <c r="AY1245" s="82">
        <f t="shared" si="2"/>
        <v>2.252958591</v>
      </c>
      <c r="AZ1245" s="82">
        <v>0.896083835439871</v>
      </c>
      <c r="BA1245" s="84">
        <v>1200.0</v>
      </c>
      <c r="BB1245" s="84" t="b">
        <f>IFERROR(__xludf.DUMMYFUNCTION("iferror(if(A1245="""",,E1245&gt;=FILTER(Constants!$F$2:$F$10,Constants!$A$2:$A$10=A1245)))"),TRUE)</f>
        <v>1</v>
      </c>
    </row>
    <row r="1246">
      <c r="A1246" s="89" t="str">
        <f>IFERROR(__xludf.DUMMYFUNCTION("""COMPUTED_VALUE"""),"Veteran")</f>
        <v>Veteran</v>
      </c>
      <c r="B1246" s="87" t="str">
        <f>IFERROR(__xludf.DUMMYFUNCTION("""COMPUTED_VALUE"""),"RSC006836")</f>
        <v>RSC006836</v>
      </c>
      <c r="C1246" s="73" t="str">
        <f>IFERROR(__xludf.DUMMYFUNCTION("""COMPUTED_VALUE"""),"BawaRL")</f>
        <v>BawaRL</v>
      </c>
      <c r="D1246" s="73"/>
      <c r="E1246" s="82">
        <f>IFERROR(__xludf.DUMMYFUNCTION("""COMPUTED_VALUE"""),20.0)</f>
        <v>20</v>
      </c>
      <c r="F1246" s="82">
        <f>IFERROR(__xludf.DUMMYFUNCTION("""COMPUTED_VALUE"""),9.0)</f>
        <v>9</v>
      </c>
      <c r="G1246" s="86">
        <f>IFERROR(__xludf.DUMMYFUNCTION("""COMPUTED_VALUE"""),11.0)</f>
        <v>11</v>
      </c>
      <c r="H1246" s="86">
        <f>IFERROR(__xludf.DUMMYFUNCTION("""COMPUTED_VALUE"""),0.45)</f>
        <v>0.45</v>
      </c>
      <c r="I1246" s="86">
        <f>IFERROR(__xludf.DUMMYFUNCTION("""COMPUTED_VALUE"""),0.26229508196721313)</f>
        <v>0.262295082</v>
      </c>
      <c r="J1246" s="82">
        <f>IFERROR(__xludf.DUMMYFUNCTION("""COMPUTED_VALUE"""),371.75)</f>
        <v>371.75</v>
      </c>
      <c r="K1246" s="82">
        <f>IFERROR(__xludf.DUMMYFUNCTION("""COMPUTED_VALUE"""),0.8)</f>
        <v>0.8</v>
      </c>
      <c r="L1246" s="82">
        <f>IFERROR(__xludf.DUMMYFUNCTION("""COMPUTED_VALUE"""),0.65)</f>
        <v>0.65</v>
      </c>
      <c r="M1246" s="82">
        <f>IFERROR(__xludf.DUMMYFUNCTION("""COMPUTED_VALUE"""),1.4)</f>
        <v>1.4</v>
      </c>
      <c r="N1246" s="82">
        <f>IFERROR(__xludf.DUMMYFUNCTION("""COMPUTED_VALUE"""),3.05)</f>
        <v>3.05</v>
      </c>
      <c r="O1246" s="82">
        <f>IFERROR(__xludf.DUMMYFUNCTION("""COMPUTED_VALUE"""),354.45000000000005)</f>
        <v>354.45</v>
      </c>
      <c r="P1246" s="82">
        <f>IFERROR(__xludf.DUMMYFUNCTION("""COMPUTED_VALUE"""),0.7333333333333332)</f>
        <v>0.7333333333</v>
      </c>
      <c r="Q1246" s="82">
        <f>IFERROR(__xludf.DUMMYFUNCTION("""COMPUTED_VALUE"""),0.5333333333333333)</f>
        <v>0.5333333333</v>
      </c>
      <c r="R1246" s="82">
        <f>IFERROR(__xludf.DUMMYFUNCTION("""COMPUTED_VALUE"""),1.3666666666666667)</f>
        <v>1.366666667</v>
      </c>
      <c r="S1246" s="82">
        <f>IFERROR(__xludf.DUMMYFUNCTION("""COMPUTED_VALUE"""),2.716666666666667)</f>
        <v>2.716666667</v>
      </c>
      <c r="T1246" s="82">
        <f>IFERROR(__xludf.DUMMYFUNCTION("""COMPUTED_VALUE"""),344.7537148874133)</f>
        <v>344.7537149</v>
      </c>
      <c r="U1246" s="82">
        <f>IFERROR(__xludf.DUMMYFUNCTION("""COMPUTED_VALUE"""),0.7505926758891286)</f>
        <v>0.7505926759</v>
      </c>
      <c r="V1246" s="82">
        <f>IFERROR(__xludf.DUMMYFUNCTION("""COMPUTED_VALUE"""),0.4777915153081473)</f>
        <v>0.4777915153</v>
      </c>
      <c r="W1246" s="82">
        <f>IFERROR(__xludf.DUMMYFUNCTION("""COMPUTED_VALUE"""),1.4028814088499648)</f>
        <v>1.402881409</v>
      </c>
      <c r="X1246" s="82">
        <f>IFERROR(__xludf.DUMMYFUNCTION("""COMPUTED_VALUE"""),2.485775428609071)</f>
        <v>2.485775429</v>
      </c>
      <c r="Y1246" s="82">
        <f>IFERROR(__xludf.DUMMYFUNCTION("""COMPUTED_VALUE"""),350.60723872728477)</f>
        <v>350.6072387</v>
      </c>
      <c r="Z1246" s="82">
        <f>IFERROR(__xludf.DUMMYFUNCTION("""COMPUTED_VALUE"""),0.8046824101791318)</f>
        <v>0.8046824102</v>
      </c>
      <c r="AA1246" s="82">
        <f>IFERROR(__xludf.DUMMYFUNCTION("""COMPUTED_VALUE"""),0.5926185327667283)</f>
        <v>0.5926185328</v>
      </c>
      <c r="AB1246" s="82">
        <f>IFERROR(__xludf.DUMMYFUNCTION("""COMPUTED_VALUE"""),1.2547926788797814)</f>
        <v>1.254792679</v>
      </c>
      <c r="AC1246" s="82">
        <f>IFERROR(__xludf.DUMMYFUNCTION("""COMPUTED_VALUE"""),2.692528320859986)</f>
        <v>2.692528321</v>
      </c>
      <c r="AD1246" s="82">
        <f>IFERROR(__xludf.DUMMYFUNCTION("""COMPUTED_VALUE"""),1.060303265127851)</f>
        <v>1.060303265</v>
      </c>
      <c r="AE1246" s="82">
        <f>IFERROR(__xludf.DUMMYFUNCTION("""COMPUTED_VALUE"""),0.9941810456897033)</f>
        <v>0.9941810457</v>
      </c>
      <c r="AF1246" s="82">
        <f>IFERROR(__xludf.DUMMYFUNCTION("""COMPUTED_VALUE"""),1.0968269874473513)</f>
        <v>1.096826987</v>
      </c>
      <c r="AG1246" s="82">
        <f>IFERROR(__xludf.DUMMYFUNCTION("""COMPUTED_VALUE"""),1.1157221615684374)</f>
        <v>1.115722162</v>
      </c>
      <c r="AH1246" s="82">
        <f>IFERROR(__xludf.DUMMYFUNCTION("""COMPUTED_VALUE"""),1.1327643153724891)</f>
        <v>1.132764315</v>
      </c>
      <c r="AI1246" s="82">
        <f>IFERROR(__xludf.DUMMYFUNCTION("""COMPUTED_VALUE"""),1.0281252520099842)</f>
        <v>1.028125252</v>
      </c>
      <c r="AJ1246" s="82">
        <f>IFERROR(__xludf.DUMMYFUNCTION("""COMPUTED_VALUE"""),0.9770057141373641)</f>
        <v>0.9770057141</v>
      </c>
      <c r="AK1246" s="82">
        <f>IFERROR(__xludf.DUMMYFUNCTION("""COMPUTED_VALUE"""),1.1162469743510721)</f>
        <v>1.116246974</v>
      </c>
      <c r="AL1246" s="82">
        <f>IFERROR(__xludf.DUMMYFUNCTION("""COMPUTED_VALUE"""),0.9741854571920048)</f>
        <v>0.9741854572</v>
      </c>
      <c r="AM1246" s="82">
        <f>IFERROR(__xludf.DUMMYFUNCTION("""COMPUTED_VALUE"""),1.0928849949195902)</f>
        <v>1.092884995</v>
      </c>
      <c r="AN1246" s="82">
        <f>IFERROR(__xludf.DUMMYFUNCTION("""COMPUTED_VALUE"""),1.0766708450619074)</f>
        <v>1.076670845</v>
      </c>
      <c r="AO1246" s="82">
        <f>IFERROR(__xludf.DUMMYFUNCTION("""COMPUTED_VALUE"""),1.0605202045253934)</f>
        <v>1.060520205</v>
      </c>
      <c r="AP1246" s="82">
        <f>IFERROR(__xludf.DUMMYFUNCTION("""COMPUTED_VALUE"""),1.2054323594951288)</f>
        <v>1.205432359</v>
      </c>
      <c r="AQ1246" s="82">
        <f>IFERROR(__xludf.DUMMYFUNCTION("""COMPUTED_VALUE"""),1.0365428686849618)</f>
        <v>1.036542869</v>
      </c>
      <c r="AR1246" s="82">
        <f>IFERROR(__xludf.DUMMYFUNCTION("""COMPUTED_VALUE"""),1.191089065882103)</f>
        <v>1.191089066</v>
      </c>
      <c r="AS1246" s="82">
        <f>IFERROR(__xludf.DUMMYFUNCTION("""COMPUTED_VALUE"""),42.0)</f>
        <v>42</v>
      </c>
      <c r="AT1246" s="82">
        <f>IFERROR(__xludf.DUMMYFUNCTION("""COMPUTED_VALUE"""),0.48233130649351236)</f>
        <v>0.4823313065</v>
      </c>
      <c r="AU1246" s="82">
        <f>IFERROR(__xludf.DUMMYFUNCTION("""COMPUTED_VALUE"""),2.7497630673268585)</f>
        <v>2.749763067</v>
      </c>
      <c r="AV1246" s="82">
        <f>IFERROR(__xludf.DUMMYFUNCTION("""COMPUTED_VALUE"""),61.76572772658801)</f>
        <v>61.76572773</v>
      </c>
      <c r="AW1246" s="82">
        <f t="shared" si="1"/>
        <v>3.135260057</v>
      </c>
      <c r="AX1246" s="83">
        <f t="array" ref="AX1246">IFERROR(DGET('SBV Import'!A:G,"SBV",{"RSC ID","Tier";B1246,A1246}))</f>
        <v>58.2245427</v>
      </c>
      <c r="AY1246" s="82">
        <f t="shared" si="2"/>
        <v>2.694802147</v>
      </c>
      <c r="AZ1246" s="82">
        <v>0.4404579099502657</v>
      </c>
      <c r="BA1246" s="84">
        <v>1200.0</v>
      </c>
      <c r="BB1246" s="84" t="b">
        <f>IFERROR(__xludf.DUMMYFUNCTION("iferror(if(A1246="""",,E1246&gt;=FILTER(Constants!$F$2:$F$10,Constants!$A$2:$A$10=A1246)))"),TRUE)</f>
        <v>1</v>
      </c>
    </row>
    <row r="1247">
      <c r="A1247" s="89" t="str">
        <f>IFERROR(__xludf.DUMMYFUNCTION("""COMPUTED_VALUE"""),"Veteran")</f>
        <v>Veteran</v>
      </c>
      <c r="B1247" s="87" t="str">
        <f>IFERROR(__xludf.DUMMYFUNCTION("""COMPUTED_VALUE"""),"RSC007936")</f>
        <v>RSC007936</v>
      </c>
      <c r="C1247" s="73" t="str">
        <f>IFERROR(__xludf.DUMMYFUNCTION("""COMPUTED_VALUE"""),"Crazics")</f>
        <v>Crazics</v>
      </c>
      <c r="D1247" s="73" t="str">
        <f>IFERROR(__xludf.DUMMYFUNCTION("""COMPUTED_VALUE"""),"Gouda Gangsters")</f>
        <v>Gouda Gangsters</v>
      </c>
      <c r="E1247" s="82">
        <f>IFERROR(__xludf.DUMMYFUNCTION("""COMPUTED_VALUE"""),29.0)</f>
        <v>29</v>
      </c>
      <c r="F1247" s="82">
        <f>IFERROR(__xludf.DUMMYFUNCTION("""COMPUTED_VALUE"""),12.0)</f>
        <v>12</v>
      </c>
      <c r="G1247" s="86">
        <f>IFERROR(__xludf.DUMMYFUNCTION("""COMPUTED_VALUE"""),17.0)</f>
        <v>17</v>
      </c>
      <c r="H1247" s="86">
        <f>IFERROR(__xludf.DUMMYFUNCTION("""COMPUTED_VALUE"""),0.41379310344827586)</f>
        <v>0.4137931034</v>
      </c>
      <c r="I1247" s="86">
        <f>IFERROR(__xludf.DUMMYFUNCTION("""COMPUTED_VALUE"""),0.28735632183908044)</f>
        <v>0.2873563218</v>
      </c>
      <c r="J1247" s="82">
        <f>IFERROR(__xludf.DUMMYFUNCTION("""COMPUTED_VALUE"""),355.51724137931035)</f>
        <v>355.5172414</v>
      </c>
      <c r="K1247" s="82">
        <f>IFERROR(__xludf.DUMMYFUNCTION("""COMPUTED_VALUE"""),0.8620689655172413)</f>
        <v>0.8620689655</v>
      </c>
      <c r="L1247" s="82">
        <f>IFERROR(__xludf.DUMMYFUNCTION("""COMPUTED_VALUE"""),0.6206896551724138)</f>
        <v>0.6206896552</v>
      </c>
      <c r="M1247" s="82">
        <f>IFERROR(__xludf.DUMMYFUNCTION("""COMPUTED_VALUE"""),1.2758620689655173)</f>
        <v>1.275862069</v>
      </c>
      <c r="N1247" s="82">
        <f>IFERROR(__xludf.DUMMYFUNCTION("""COMPUTED_VALUE"""),3.0)</f>
        <v>3</v>
      </c>
      <c r="O1247" s="82">
        <f>IFERROR(__xludf.DUMMYFUNCTION("""COMPUTED_VALUE"""),375.64367816091954)</f>
        <v>375.6436782</v>
      </c>
      <c r="P1247" s="82">
        <f>IFERROR(__xludf.DUMMYFUNCTION("""COMPUTED_VALUE"""),0.8850574712643681)</f>
        <v>0.8850574713</v>
      </c>
      <c r="Q1247" s="82">
        <f>IFERROR(__xludf.DUMMYFUNCTION("""COMPUTED_VALUE"""),0.7126436781609194)</f>
        <v>0.7126436782</v>
      </c>
      <c r="R1247" s="82">
        <f>IFERROR(__xludf.DUMMYFUNCTION("""COMPUTED_VALUE"""),1.3908045977011496)</f>
        <v>1.390804598</v>
      </c>
      <c r="S1247" s="82">
        <f>IFERROR(__xludf.DUMMYFUNCTION("""COMPUTED_VALUE"""),2.5632183908045976)</f>
        <v>2.563218391</v>
      </c>
      <c r="T1247" s="82">
        <f>IFERROR(__xludf.DUMMYFUNCTION("""COMPUTED_VALUE"""),358.7005943053484)</f>
        <v>358.7005943</v>
      </c>
      <c r="U1247" s="82">
        <f>IFERROR(__xludf.DUMMYFUNCTION("""COMPUTED_VALUE"""),0.8228783781357878)</f>
        <v>0.8228783781</v>
      </c>
      <c r="V1247" s="82">
        <f>IFERROR(__xludf.DUMMYFUNCTION("""COMPUTED_VALUE"""),0.5960207981987923)</f>
        <v>0.5960207982</v>
      </c>
      <c r="W1247" s="82">
        <f>IFERROR(__xludf.DUMMYFUNCTION("""COMPUTED_VALUE"""),1.351676546421101)</f>
        <v>1.351676546</v>
      </c>
      <c r="X1247" s="82">
        <f>IFERROR(__xludf.DUMMYFUNCTION("""COMPUTED_VALUE"""),2.67006541732595)</f>
        <v>2.670065417</v>
      </c>
      <c r="Y1247" s="82">
        <f>IFERROR(__xludf.DUMMYFUNCTION("""COMPUTED_VALUE"""),353.5447893996217)</f>
        <v>353.5447894</v>
      </c>
      <c r="Z1247" s="82">
        <f>IFERROR(__xludf.DUMMYFUNCTION("""COMPUTED_VALUE"""),0.7898241615208158)</f>
        <v>0.7898241615</v>
      </c>
      <c r="AA1247" s="82">
        <f>IFERROR(__xludf.DUMMYFUNCTION("""COMPUTED_VALUE"""),0.580892624867981)</f>
        <v>0.5808926249</v>
      </c>
      <c r="AB1247" s="82">
        <f>IFERROR(__xludf.DUMMYFUNCTION("""COMPUTED_VALUE"""),1.3585127644418933)</f>
        <v>1.358512764</v>
      </c>
      <c r="AC1247" s="82">
        <f>IFERROR(__xludf.DUMMYFUNCTION("""COMPUTED_VALUE"""),2.639969135797518)</f>
        <v>2.639969136</v>
      </c>
      <c r="AD1247" s="82">
        <f>IFERROR(__xludf.DUMMYFUNCTION("""COMPUTED_VALUE"""),1.0055790724084441)</f>
        <v>1.005579072</v>
      </c>
      <c r="AE1247" s="82">
        <f>IFERROR(__xludf.DUMMYFUNCTION("""COMPUTED_VALUE"""),1.0914694782916203)</f>
        <v>1.091469478</v>
      </c>
      <c r="AF1247" s="82">
        <f>IFERROR(__xludf.DUMMYFUNCTION("""COMPUTED_VALUE"""),1.068510131822516)</f>
        <v>1.068510132</v>
      </c>
      <c r="AG1247" s="82">
        <f>IFERROR(__xludf.DUMMYFUNCTION("""COMPUTED_VALUE"""),0.9391608988596212)</f>
        <v>0.9391608989</v>
      </c>
      <c r="AH1247" s="82">
        <f>IFERROR(__xludf.DUMMYFUNCTION("""COMPUTED_VALUE"""),1.136376921730079)</f>
        <v>1.136376922</v>
      </c>
      <c r="AI1247" s="82">
        <f>IFERROR(__xludf.DUMMYFUNCTION("""COMPUTED_VALUE"""),1.0472346132807022)</f>
        <v>1.047234613</v>
      </c>
      <c r="AJ1247" s="82">
        <f>IFERROR(__xludf.DUMMYFUNCTION("""COMPUTED_VALUE"""),1.0755629200872254)</f>
        <v>1.07556292</v>
      </c>
      <c r="AK1247" s="82">
        <f>IFERROR(__xludf.DUMMYFUNCTION("""COMPUTED_VALUE"""),1.1956691449603234)</f>
        <v>1.195669145</v>
      </c>
      <c r="AL1247" s="82">
        <f>IFERROR(__xludf.DUMMYFUNCTION("""COMPUTED_VALUE"""),1.0289477918246417)</f>
        <v>1.028947792</v>
      </c>
      <c r="AM1247" s="82">
        <f>IFERROR(__xludf.DUMMYFUNCTION("""COMPUTED_VALUE"""),0.9599833675130106)</f>
        <v>0.9599833675</v>
      </c>
      <c r="AN1247" s="82">
        <f>IFERROR(__xludf.DUMMYFUNCTION("""COMPUTED_VALUE"""),1.0296571586010494)</f>
        <v>1.029657159</v>
      </c>
      <c r="AO1247" s="82">
        <f>IFERROR(__xludf.DUMMYFUNCTION("""COMPUTED_VALUE"""),1.142801944531674)</f>
        <v>1.142801945</v>
      </c>
      <c r="AP1247" s="82">
        <f>IFERROR(__xludf.DUMMYFUNCTION("""COMPUTED_VALUE"""),1.1510759931518473)</f>
        <v>1.151075993</v>
      </c>
      <c r="AQ1247" s="82">
        <f>IFERROR(__xludf.DUMMYFUNCTION("""COMPUTED_VALUE"""),0.9446326635798915)</f>
        <v>0.9446326636</v>
      </c>
      <c r="AR1247" s="82">
        <f>IFERROR(__xludf.DUMMYFUNCTION("""COMPUTED_VALUE"""),1.1715630156217407)</f>
        <v>1.171563016</v>
      </c>
      <c r="AS1247" s="82">
        <f>IFERROR(__xludf.DUMMYFUNCTION("""COMPUTED_VALUE"""),61.0)</f>
        <v>61</v>
      </c>
      <c r="AT1247" s="82">
        <f>IFERROR(__xludf.DUMMYFUNCTION("""COMPUTED_VALUE"""),0.4098772031627852)</f>
        <v>0.4098772032</v>
      </c>
      <c r="AU1247" s="82">
        <f>IFERROR(__xludf.DUMMYFUNCTION("""COMPUTED_VALUE"""),2.7323998007883263)</f>
        <v>2.732399801</v>
      </c>
      <c r="AV1247" s="82">
        <f>IFERROR(__xludf.DUMMYFUNCTION("""COMPUTED_VALUE"""),61.22788158274105)</f>
        <v>61.22788158</v>
      </c>
      <c r="AW1247" s="82">
        <f t="shared" si="1"/>
        <v>3.061153379</v>
      </c>
      <c r="AX1247" s="83">
        <f t="array" ref="AX1247">IFERROR(DGET('SBV Import'!A:G,"SBV",{"RSC ID","Tier";B1247,A1247}))</f>
        <v>56.37460659</v>
      </c>
      <c r="AY1247" s="82">
        <f t="shared" si="2"/>
        <v>2.503958591</v>
      </c>
      <c r="AZ1247" s="82">
        <v>0.55719478740646</v>
      </c>
      <c r="BA1247" s="84">
        <v>1200.0</v>
      </c>
      <c r="BB1247" s="84" t="b">
        <f>IFERROR(__xludf.DUMMYFUNCTION("iferror(if(A1247="""",,E1247&gt;=FILTER(Constants!$F$2:$F$10,Constants!$A$2:$A$10=A1247)))"),TRUE)</f>
        <v>1</v>
      </c>
    </row>
    <row r="1248">
      <c r="A1248" s="89" t="str">
        <f>IFERROR(__xludf.DUMMYFUNCTION("""COMPUTED_VALUE"""),"Veteran")</f>
        <v>Veteran</v>
      </c>
      <c r="B1248" s="87" t="str">
        <f>IFERROR(__xludf.DUMMYFUNCTION("""COMPUTED_VALUE"""),"RSC007655")</f>
        <v>RSC007655</v>
      </c>
      <c r="C1248" s="73" t="str">
        <f>IFERROR(__xludf.DUMMYFUNCTION("""COMPUTED_VALUE"""),"Dx Geo xD")</f>
        <v>Dx Geo xD</v>
      </c>
      <c r="D1248" s="73" t="str">
        <f>IFERROR(__xludf.DUMMYFUNCTION("""COMPUTED_VALUE"""),"Water")</f>
        <v>Water</v>
      </c>
      <c r="E1248" s="82">
        <f>IFERROR(__xludf.DUMMYFUNCTION("""COMPUTED_VALUE"""),28.0)</f>
        <v>28</v>
      </c>
      <c r="F1248" s="82">
        <f>IFERROR(__xludf.DUMMYFUNCTION("""COMPUTED_VALUE"""),14.0)</f>
        <v>14</v>
      </c>
      <c r="G1248" s="86">
        <f>IFERROR(__xludf.DUMMYFUNCTION("""COMPUTED_VALUE"""),14.0)</f>
        <v>14</v>
      </c>
      <c r="H1248" s="86">
        <f>IFERROR(__xludf.DUMMYFUNCTION("""COMPUTED_VALUE"""),0.5)</f>
        <v>0.5</v>
      </c>
      <c r="I1248" s="86">
        <f>IFERROR(__xludf.DUMMYFUNCTION("""COMPUTED_VALUE"""),0.33333333333333337)</f>
        <v>0.3333333333</v>
      </c>
      <c r="J1248" s="82">
        <f>IFERROR(__xludf.DUMMYFUNCTION("""COMPUTED_VALUE"""),365.85714285714283)</f>
        <v>365.8571429</v>
      </c>
      <c r="K1248" s="82">
        <f>IFERROR(__xludf.DUMMYFUNCTION("""COMPUTED_VALUE"""),0.9642857142857143)</f>
        <v>0.9642857143</v>
      </c>
      <c r="L1248" s="82">
        <f>IFERROR(__xludf.DUMMYFUNCTION("""COMPUTED_VALUE"""),0.39285714285714285)</f>
        <v>0.3928571429</v>
      </c>
      <c r="M1248" s="82">
        <f>IFERROR(__xludf.DUMMYFUNCTION("""COMPUTED_VALUE"""),1.1785714285714286)</f>
        <v>1.178571429</v>
      </c>
      <c r="N1248" s="82">
        <f>IFERROR(__xludf.DUMMYFUNCTION("""COMPUTED_VALUE"""),2.892857142857143)</f>
        <v>2.892857143</v>
      </c>
      <c r="O1248" s="82">
        <f>IFERROR(__xludf.DUMMYFUNCTION("""COMPUTED_VALUE"""),308.9880952380951)</f>
        <v>308.9880952</v>
      </c>
      <c r="P1248" s="82">
        <f>IFERROR(__xludf.DUMMYFUNCTION("""COMPUTED_VALUE"""),0.630952380952381)</f>
        <v>0.630952381</v>
      </c>
      <c r="Q1248" s="82">
        <f>IFERROR(__xludf.DUMMYFUNCTION("""COMPUTED_VALUE"""),0.4166666666666668)</f>
        <v>0.4166666667</v>
      </c>
      <c r="R1248" s="82">
        <f>IFERROR(__xludf.DUMMYFUNCTION("""COMPUTED_VALUE"""),1.1428571428571428)</f>
        <v>1.142857143</v>
      </c>
      <c r="S1248" s="82">
        <f>IFERROR(__xludf.DUMMYFUNCTION("""COMPUTED_VALUE"""),2.25)</f>
        <v>2.25</v>
      </c>
      <c r="T1248" s="82">
        <f>IFERROR(__xludf.DUMMYFUNCTION("""COMPUTED_VALUE"""),356.4107656113521)</f>
        <v>356.4107656</v>
      </c>
      <c r="U1248" s="82">
        <f>IFERROR(__xludf.DUMMYFUNCTION("""COMPUTED_VALUE"""),0.7916081616338292)</f>
        <v>0.7916081616</v>
      </c>
      <c r="V1248" s="82">
        <f>IFERROR(__xludf.DUMMYFUNCTION("""COMPUTED_VALUE"""),0.5674816445395363)</f>
        <v>0.5674816445</v>
      </c>
      <c r="W1248" s="82">
        <f>IFERROR(__xludf.DUMMYFUNCTION("""COMPUTED_VALUE"""),1.3656184902276325)</f>
        <v>1.36561849</v>
      </c>
      <c r="X1248" s="82">
        <f>IFERROR(__xludf.DUMMYFUNCTION("""COMPUTED_VALUE"""),2.547189520969678)</f>
        <v>2.547189521</v>
      </c>
      <c r="Y1248" s="82">
        <f>IFERROR(__xludf.DUMMYFUNCTION("""COMPUTED_VALUE"""),364.1734710013037)</f>
        <v>364.173471</v>
      </c>
      <c r="Z1248" s="82">
        <f>IFERROR(__xludf.DUMMYFUNCTION("""COMPUTED_VALUE"""),0.8311408740616919)</f>
        <v>0.8311408741</v>
      </c>
      <c r="AA1248" s="82">
        <f>IFERROR(__xludf.DUMMYFUNCTION("""COMPUTED_VALUE"""),0.6171952172446039)</f>
        <v>0.6171952172</v>
      </c>
      <c r="AB1248" s="82">
        <f>IFERROR(__xludf.DUMMYFUNCTION("""COMPUTED_VALUE"""),1.3229728224921986)</f>
        <v>1.322972822</v>
      </c>
      <c r="AC1248" s="82">
        <f>IFERROR(__xludf.DUMMYFUNCTION("""COMPUTED_VALUE"""),2.785169348952245)</f>
        <v>2.785169349</v>
      </c>
      <c r="AD1248" s="82">
        <f>IFERROR(__xludf.DUMMYFUNCTION("""COMPUTED_VALUE"""),1.0046232688262817)</f>
        <v>1.004623269</v>
      </c>
      <c r="AE1248" s="82">
        <f>IFERROR(__xludf.DUMMYFUNCTION("""COMPUTED_VALUE"""),1.1601952742058739)</f>
        <v>1.160195274</v>
      </c>
      <c r="AF1248" s="82">
        <f>IFERROR(__xludf.DUMMYFUNCTION("""COMPUTED_VALUE"""),0.6365200699561603)</f>
        <v>0.63652007</v>
      </c>
      <c r="AG1248" s="82">
        <f>IFERROR(__xludf.DUMMYFUNCTION("""COMPUTED_VALUE"""),0.8908508236406939)</f>
        <v>0.8908508236</v>
      </c>
      <c r="AH1248" s="82">
        <f>IFERROR(__xludf.DUMMYFUNCTION("""COMPUTED_VALUE"""),1.0386647203141917)</f>
        <v>1.03866472</v>
      </c>
      <c r="AI1248" s="82">
        <f>IFERROR(__xludf.DUMMYFUNCTION("""COMPUTED_VALUE"""),0.8669437768191072)</f>
        <v>0.8669437768</v>
      </c>
      <c r="AJ1248" s="82">
        <f>IFERROR(__xludf.DUMMYFUNCTION("""COMPUTED_VALUE"""),0.7970513841723602)</f>
        <v>0.7970513842</v>
      </c>
      <c r="AK1248" s="82">
        <f>IFERROR(__xludf.DUMMYFUNCTION("""COMPUTED_VALUE"""),0.7342381391115422)</f>
        <v>0.7342381391</v>
      </c>
      <c r="AL1248" s="82">
        <f>IFERROR(__xludf.DUMMYFUNCTION("""COMPUTED_VALUE"""),0.8368787849867513)</f>
        <v>0.836878785</v>
      </c>
      <c r="AM1248" s="82">
        <f>IFERROR(__xludf.DUMMYFUNCTION("""COMPUTED_VALUE"""),0.8833264982746387)</f>
        <v>0.8833264983</v>
      </c>
      <c r="AN1248" s="82">
        <f>IFERROR(__xludf.DUMMYFUNCTION("""COMPUTED_VALUE"""),1.0596038175438733)</f>
        <v>1.059603818</v>
      </c>
      <c r="AO1248" s="82">
        <f>IFERROR(__xludf.DUMMYFUNCTION("""COMPUTED_VALUE"""),1.278305603669001)</f>
        <v>1.278305604</v>
      </c>
      <c r="AP1248" s="82">
        <f>IFERROR(__xludf.DUMMYFUNCTION("""COMPUTED_VALUE"""),0.7285580194750779)</f>
        <v>0.7285580195</v>
      </c>
      <c r="AQ1248" s="82">
        <f>IFERROR(__xludf.DUMMYFUNCTION("""COMPUTED_VALUE"""),0.872599863943973)</f>
        <v>0.8725998639</v>
      </c>
      <c r="AR1248" s="82">
        <f>IFERROR(__xludf.DUMMYFUNCTION("""COMPUTED_VALUE"""),1.1297214793495356)</f>
        <v>1.129721479</v>
      </c>
      <c r="AS1248" s="82">
        <f>IFERROR(__xludf.DUMMYFUNCTION("""COMPUTED_VALUE"""),69.0)</f>
        <v>69</v>
      </c>
      <c r="AT1248" s="82">
        <f>IFERROR(__xludf.DUMMYFUNCTION("""COMPUTED_VALUE"""),0.5992845677639937)</f>
        <v>0.5992845678</v>
      </c>
      <c r="AU1248" s="82">
        <f>IFERROR(__xludf.DUMMYFUNCTION("""COMPUTED_VALUE"""),2.7266164261173578)</f>
        <v>2.726616426</v>
      </c>
      <c r="AV1248" s="82">
        <f>IFERROR(__xludf.DUMMYFUNCTION("""COMPUTED_VALUE"""),61.048735236153576)</f>
        <v>61.04873524</v>
      </c>
      <c r="AW1248" s="82">
        <f t="shared" si="1"/>
        <v>3.037086707</v>
      </c>
      <c r="AX1248" s="83">
        <f t="array" ref="AX1248">IFERROR(DGET('SBV Import'!A:G,"SBV",{"RSC ID","Tier";B1248,A1248}))</f>
        <v>62.75176994</v>
      </c>
      <c r="AY1248" s="82">
        <f t="shared" si="2"/>
        <v>3.278678511</v>
      </c>
      <c r="AZ1248" s="82">
        <v>0.24159180373140243</v>
      </c>
      <c r="BA1248" s="84">
        <v>1200.0</v>
      </c>
      <c r="BB1248" s="84" t="b">
        <f>IFERROR(__xludf.DUMMYFUNCTION("iferror(if(A1248="""",,E1248&gt;=FILTER(Constants!$F$2:$F$10,Constants!$A$2:$A$10=A1248)))"),TRUE)</f>
        <v>1</v>
      </c>
    </row>
    <row r="1249">
      <c r="A1249" s="89" t="str">
        <f>IFERROR(__xludf.DUMMYFUNCTION("""COMPUTED_VALUE"""),"Veteran")</f>
        <v>Veteran</v>
      </c>
      <c r="B1249" s="87" t="str">
        <f>IFERROR(__xludf.DUMMYFUNCTION("""COMPUTED_VALUE"""),"RSC007760")</f>
        <v>RSC007760</v>
      </c>
      <c r="C1249" s="73" t="str">
        <f>IFERROR(__xludf.DUMMYFUNCTION("""COMPUTED_VALUE"""),"BossMan")</f>
        <v>BossMan</v>
      </c>
      <c r="D1249" s="73" t="str">
        <f>IFERROR(__xludf.DUMMYFUNCTION("""COMPUTED_VALUE"""),"Blacksmiths")</f>
        <v>Blacksmiths</v>
      </c>
      <c r="E1249" s="82">
        <f>IFERROR(__xludf.DUMMYFUNCTION("""COMPUTED_VALUE"""),36.0)</f>
        <v>36</v>
      </c>
      <c r="F1249" s="82">
        <f>IFERROR(__xludf.DUMMYFUNCTION("""COMPUTED_VALUE"""),20.0)</f>
        <v>20</v>
      </c>
      <c r="G1249" s="86">
        <f>IFERROR(__xludf.DUMMYFUNCTION("""COMPUTED_VALUE"""),16.0)</f>
        <v>16</v>
      </c>
      <c r="H1249" s="86">
        <f>IFERROR(__xludf.DUMMYFUNCTION("""COMPUTED_VALUE"""),0.5555555555555556)</f>
        <v>0.5555555556</v>
      </c>
      <c r="I1249" s="86">
        <f>IFERROR(__xludf.DUMMYFUNCTION("""COMPUTED_VALUE"""),0.30275229357798167)</f>
        <v>0.3027522936</v>
      </c>
      <c r="J1249" s="82">
        <f>IFERROR(__xludf.DUMMYFUNCTION("""COMPUTED_VALUE"""),329.3611111111111)</f>
        <v>329.3611111</v>
      </c>
      <c r="K1249" s="82">
        <f>IFERROR(__xludf.DUMMYFUNCTION("""COMPUTED_VALUE"""),0.9166666666666666)</f>
        <v>0.9166666667</v>
      </c>
      <c r="L1249" s="82">
        <f>IFERROR(__xludf.DUMMYFUNCTION("""COMPUTED_VALUE"""),0.5)</f>
        <v>0.5</v>
      </c>
      <c r="M1249" s="82">
        <f>IFERROR(__xludf.DUMMYFUNCTION("""COMPUTED_VALUE"""),1.0833333333333333)</f>
        <v>1.083333333</v>
      </c>
      <c r="N1249" s="82">
        <f>IFERROR(__xludf.DUMMYFUNCTION("""COMPUTED_VALUE"""),3.0277777777777777)</f>
        <v>3.027777778</v>
      </c>
      <c r="O1249" s="82">
        <f>IFERROR(__xludf.DUMMYFUNCTION("""COMPUTED_VALUE"""),364.2222222222222)</f>
        <v>364.2222222</v>
      </c>
      <c r="P1249" s="82">
        <f>IFERROR(__xludf.DUMMYFUNCTION("""COMPUTED_VALUE"""),0.7685185185185186)</f>
        <v>0.7685185185</v>
      </c>
      <c r="Q1249" s="82">
        <f>IFERROR(__xludf.DUMMYFUNCTION("""COMPUTED_VALUE"""),0.6296296296296298)</f>
        <v>0.6296296296</v>
      </c>
      <c r="R1249" s="82">
        <f>IFERROR(__xludf.DUMMYFUNCTION("""COMPUTED_VALUE"""),1.5185185185185184)</f>
        <v>1.518518519</v>
      </c>
      <c r="S1249" s="82">
        <f>IFERROR(__xludf.DUMMYFUNCTION("""COMPUTED_VALUE"""),2.407407407407407)</f>
        <v>2.407407407</v>
      </c>
      <c r="T1249" s="82">
        <f>IFERROR(__xludf.DUMMYFUNCTION("""COMPUTED_VALUE"""),352.51101807503505)</f>
        <v>352.5110181</v>
      </c>
      <c r="U1249" s="82">
        <f>IFERROR(__xludf.DUMMYFUNCTION("""COMPUTED_VALUE"""),0.7776810414092754)</f>
        <v>0.7776810414</v>
      </c>
      <c r="V1249" s="82">
        <f>IFERROR(__xludf.DUMMYFUNCTION("""COMPUTED_VALUE"""),0.574552214216324)</f>
        <v>0.5745522142</v>
      </c>
      <c r="W1249" s="82">
        <f>IFERROR(__xludf.DUMMYFUNCTION("""COMPUTED_VALUE"""),1.3898581116329183)</f>
        <v>1.389858112</v>
      </c>
      <c r="X1249" s="82">
        <f>IFERROR(__xludf.DUMMYFUNCTION("""COMPUTED_VALUE"""),2.6243962417591096)</f>
        <v>2.624396242</v>
      </c>
      <c r="Y1249" s="82">
        <f>IFERROR(__xludf.DUMMYFUNCTION("""COMPUTED_VALUE"""),342.8828393728998)</f>
        <v>342.8828394</v>
      </c>
      <c r="Z1249" s="82">
        <f>IFERROR(__xludf.DUMMYFUNCTION("""COMPUTED_VALUE"""),0.7486856502540923)</f>
        <v>0.7486856503</v>
      </c>
      <c r="AA1249" s="82">
        <f>IFERROR(__xludf.DUMMYFUNCTION("""COMPUTED_VALUE"""),0.5262238232112881)</f>
        <v>0.5262238232</v>
      </c>
      <c r="AB1249" s="82">
        <f>IFERROR(__xludf.DUMMYFUNCTION("""COMPUTED_VALUE"""),1.3526063554975445)</f>
        <v>1.352606355</v>
      </c>
      <c r="AC1249" s="82">
        <f>IFERROR(__xludf.DUMMYFUNCTION("""COMPUTED_VALUE"""),2.5386195612759375)</f>
        <v>2.538619561</v>
      </c>
      <c r="AD1249" s="82">
        <f>IFERROR(__xludf.DUMMYFUNCTION("""COMPUTED_VALUE"""),0.9605645815156025)</f>
        <v>0.9605645815</v>
      </c>
      <c r="AE1249" s="82">
        <f>IFERROR(__xludf.DUMMYFUNCTION("""COMPUTED_VALUE"""),1.2243678857148714)</f>
        <v>1.224367886</v>
      </c>
      <c r="AF1249" s="82">
        <f>IFERROR(__xludf.DUMMYFUNCTION("""COMPUTED_VALUE"""),0.9501660281146967)</f>
        <v>0.9501660281</v>
      </c>
      <c r="AG1249" s="82">
        <f>IFERROR(__xludf.DUMMYFUNCTION("""COMPUTED_VALUE"""),0.8009228471611303)</f>
        <v>0.8009228472</v>
      </c>
      <c r="AH1249" s="82">
        <f>IFERROR(__xludf.DUMMYFUNCTION("""COMPUTED_VALUE"""),1.192686696330341)</f>
        <v>1.192686696</v>
      </c>
      <c r="AI1249" s="82">
        <f>IFERROR(__xludf.DUMMYFUNCTION("""COMPUTED_VALUE"""),1.0332222357506404)</f>
        <v>1.033222236</v>
      </c>
      <c r="AJ1249" s="82">
        <f>IFERROR(__xludf.DUMMYFUNCTION("""COMPUTED_VALUE"""),0.9882181480544351)</f>
        <v>0.9882181481</v>
      </c>
      <c r="AK1249" s="82">
        <f>IFERROR(__xludf.DUMMYFUNCTION("""COMPUTED_VALUE"""),1.095861462284033)</f>
        <v>1.095861462</v>
      </c>
      <c r="AL1249" s="82">
        <f>IFERROR(__xludf.DUMMYFUNCTION("""COMPUTED_VALUE"""),1.092570893250707)</f>
        <v>1.092570893</v>
      </c>
      <c r="AM1249" s="82">
        <f>IFERROR(__xludf.DUMMYFUNCTION("""COMPUTED_VALUE"""),0.9173185699251509)</f>
        <v>0.9173185699</v>
      </c>
      <c r="AN1249" s="82">
        <f>IFERROR(__xludf.DUMMYFUNCTION("""COMPUTED_VALUE"""),0.9539031764102991)</f>
        <v>0.9539031764</v>
      </c>
      <c r="AO1249" s="82">
        <f>IFERROR(__xludf.DUMMYFUNCTION("""COMPUTED_VALUE"""),1.2151794010186798)</f>
        <v>1.215179401</v>
      </c>
      <c r="AP1249" s="82">
        <f>IFERROR(__xludf.DUMMYFUNCTION("""COMPUTED_VALUE"""),0.9272556611500992)</f>
        <v>0.9272556612</v>
      </c>
      <c r="AQ1249" s="82">
        <f>IFERROR(__xludf.DUMMYFUNCTION("""COMPUTED_VALUE"""),0.8020867436252681)</f>
        <v>0.8020867436</v>
      </c>
      <c r="AR1249" s="82">
        <f>IFERROR(__xludf.DUMMYFUNCTION("""COMPUTED_VALUE"""),1.182410821321942)</f>
        <v>1.182410821</v>
      </c>
      <c r="AS1249" s="82">
        <f>IFERROR(__xludf.DUMMYFUNCTION("""COMPUTED_VALUE"""),94.0)</f>
        <v>94</v>
      </c>
      <c r="AT1249" s="82">
        <f>IFERROR(__xludf.DUMMYFUNCTION("""COMPUTED_VALUE"""),0.5489850662111027)</f>
        <v>0.5489850662</v>
      </c>
      <c r="AU1249" s="82">
        <f>IFERROR(__xludf.DUMMYFUNCTION("""COMPUTED_VALUE"""),2.722491717642392)</f>
        <v>2.722491718</v>
      </c>
      <c r="AV1249" s="82">
        <f>IFERROR(__xludf.DUMMYFUNCTION("""COMPUTED_VALUE"""),60.92096788645413)</f>
        <v>60.92096789</v>
      </c>
      <c r="AW1249" s="82">
        <f t="shared" si="1"/>
        <v>3.020106421</v>
      </c>
      <c r="AX1249" s="83">
        <f t="array" ref="AX1249">IFERROR(DGET('SBV Import'!A:G,"SBV",{"RSC ID","Tier";B1249,A1249}))</f>
        <v>50.27606702</v>
      </c>
      <c r="AY1249" s="82">
        <f t="shared" si="2"/>
        <v>2.017777845</v>
      </c>
      <c r="AZ1249" s="82">
        <v>1.0023285767319927</v>
      </c>
      <c r="BA1249" s="84">
        <v>1200.0</v>
      </c>
      <c r="BB1249" s="84" t="b">
        <f>IFERROR(__xludf.DUMMYFUNCTION("iferror(if(A1249="""",,E1249&gt;=FILTER(Constants!$F$2:$F$10,Constants!$A$2:$A$10=A1249)))"),TRUE)</f>
        <v>1</v>
      </c>
    </row>
    <row r="1250">
      <c r="A1250" s="89" t="str">
        <f>IFERROR(__xludf.DUMMYFUNCTION("""COMPUTED_VALUE"""),"Veteran")</f>
        <v>Veteran</v>
      </c>
      <c r="B1250" s="87" t="str">
        <f>IFERROR(__xludf.DUMMYFUNCTION("""COMPUTED_VALUE"""),"RSC000278")</f>
        <v>RSC000278</v>
      </c>
      <c r="C1250" s="73" t="str">
        <f>IFERROR(__xludf.DUMMYFUNCTION("""COMPUTED_VALUE"""),"Tinsel")</f>
        <v>Tinsel</v>
      </c>
      <c r="D1250" s="73" t="str">
        <f>IFERROR(__xludf.DUMMYFUNCTION("""COMPUTED_VALUE"""),"Peppermint")</f>
        <v>Peppermint</v>
      </c>
      <c r="E1250" s="82">
        <f>IFERROR(__xludf.DUMMYFUNCTION("""COMPUTED_VALUE"""),17.0)</f>
        <v>17</v>
      </c>
      <c r="F1250" s="82">
        <f>IFERROR(__xludf.DUMMYFUNCTION("""COMPUTED_VALUE"""),5.0)</f>
        <v>5</v>
      </c>
      <c r="G1250" s="86">
        <f>IFERROR(__xludf.DUMMYFUNCTION("""COMPUTED_VALUE"""),12.0)</f>
        <v>12</v>
      </c>
      <c r="H1250" s="86">
        <f>IFERROR(__xludf.DUMMYFUNCTION("""COMPUTED_VALUE"""),0.29411764705882354)</f>
        <v>0.2941176471</v>
      </c>
      <c r="I1250" s="86">
        <f>IFERROR(__xludf.DUMMYFUNCTION("""COMPUTED_VALUE"""),0.2692307692307692)</f>
        <v>0.2692307692</v>
      </c>
      <c r="J1250" s="82">
        <f>IFERROR(__xludf.DUMMYFUNCTION("""COMPUTED_VALUE"""),384.4117647058824)</f>
        <v>384.4117647</v>
      </c>
      <c r="K1250" s="82">
        <f>IFERROR(__xludf.DUMMYFUNCTION("""COMPUTED_VALUE"""),0.8235294117647058)</f>
        <v>0.8235294118</v>
      </c>
      <c r="L1250" s="82">
        <f>IFERROR(__xludf.DUMMYFUNCTION("""COMPUTED_VALUE"""),0.7647058823529411)</f>
        <v>0.7647058824</v>
      </c>
      <c r="M1250" s="82">
        <f>IFERROR(__xludf.DUMMYFUNCTION("""COMPUTED_VALUE"""),1.3529411764705883)</f>
        <v>1.352941176</v>
      </c>
      <c r="N1250" s="82">
        <f>IFERROR(__xludf.DUMMYFUNCTION("""COMPUTED_VALUE"""),3.0588235294117645)</f>
        <v>3.058823529</v>
      </c>
      <c r="O1250" s="82">
        <f>IFERROR(__xludf.DUMMYFUNCTION("""COMPUTED_VALUE"""),416.4705882352941)</f>
        <v>416.4705882</v>
      </c>
      <c r="P1250" s="82">
        <f>IFERROR(__xludf.DUMMYFUNCTION("""COMPUTED_VALUE"""),1.215686274509804)</f>
        <v>1.215686275</v>
      </c>
      <c r="Q1250" s="82">
        <f>IFERROR(__xludf.DUMMYFUNCTION("""COMPUTED_VALUE"""),0.8823529411764705)</f>
        <v>0.8823529412</v>
      </c>
      <c r="R1250" s="82">
        <f>IFERROR(__xludf.DUMMYFUNCTION("""COMPUTED_VALUE"""),1.3333333333333333)</f>
        <v>1.333333333</v>
      </c>
      <c r="S1250" s="82">
        <f>IFERROR(__xludf.DUMMYFUNCTION("""COMPUTED_VALUE"""),3.2941176470588234)</f>
        <v>3.294117647</v>
      </c>
      <c r="T1250" s="82">
        <f>IFERROR(__xludf.DUMMYFUNCTION("""COMPUTED_VALUE"""),355.69238767333565)</f>
        <v>355.6923877</v>
      </c>
      <c r="U1250" s="82">
        <f>IFERROR(__xludf.DUMMYFUNCTION("""COMPUTED_VALUE"""),0.8427340648889546)</f>
        <v>0.8427340649</v>
      </c>
      <c r="V1250" s="82">
        <f>IFERROR(__xludf.DUMMYFUNCTION("""COMPUTED_VALUE"""),0.5575700346821274)</f>
        <v>0.5575700347</v>
      </c>
      <c r="W1250" s="82">
        <f>IFERROR(__xludf.DUMMYFUNCTION("""COMPUTED_VALUE"""),1.2686753880457209)</f>
        <v>1.268675388</v>
      </c>
      <c r="X1250" s="82">
        <f>IFERROR(__xludf.DUMMYFUNCTION("""COMPUTED_VALUE"""),2.742334588541563)</f>
        <v>2.742334589</v>
      </c>
      <c r="Y1250" s="82">
        <f>IFERROR(__xludf.DUMMYFUNCTION("""COMPUTED_VALUE"""),346.4000406436466)</f>
        <v>346.4000406</v>
      </c>
      <c r="Z1250" s="82">
        <f>IFERROR(__xludf.DUMMYFUNCTION("""COMPUTED_VALUE"""),0.7750752076738537)</f>
        <v>0.7750752077</v>
      </c>
      <c r="AA1250" s="82">
        <f>IFERROR(__xludf.DUMMYFUNCTION("""COMPUTED_VALUE"""),0.5747084764771282)</f>
        <v>0.5747084765</v>
      </c>
      <c r="AB1250" s="82">
        <f>IFERROR(__xludf.DUMMYFUNCTION("""COMPUTED_VALUE"""),1.3115224291493035)</f>
        <v>1.311522429</v>
      </c>
      <c r="AC1250" s="82">
        <f>IFERROR(__xludf.DUMMYFUNCTION("""COMPUTED_VALUE"""),2.5033418356096373)</f>
        <v>2.503341836</v>
      </c>
      <c r="AD1250" s="82">
        <f>IFERROR(__xludf.DUMMYFUNCTION("""COMPUTED_VALUE"""),1.1097336016231583)</f>
        <v>1.109733602</v>
      </c>
      <c r="AE1250" s="82">
        <f>IFERROR(__xludf.DUMMYFUNCTION("""COMPUTED_VALUE"""),1.0625154870277327)</f>
        <v>1.062515487</v>
      </c>
      <c r="AF1250" s="82">
        <f>IFERROR(__xludf.DUMMYFUNCTION("""COMPUTED_VALUE"""),1.3305978833659577)</f>
        <v>1.330597883</v>
      </c>
      <c r="AG1250" s="82">
        <f>IFERROR(__xludf.DUMMYFUNCTION("""COMPUTED_VALUE"""),1.0315806625954163)</f>
        <v>1.031580663</v>
      </c>
      <c r="AH1250" s="82">
        <f>IFERROR(__xludf.DUMMYFUNCTION("""COMPUTED_VALUE"""),1.221896061456925)</f>
        <v>1.221896061</v>
      </c>
      <c r="AI1250" s="82">
        <f>IFERROR(__xludf.DUMMYFUNCTION("""COMPUTED_VALUE"""),1.1708729302854144)</f>
        <v>1.17087293</v>
      </c>
      <c r="AJ1250" s="82">
        <f>IFERROR(__xludf.DUMMYFUNCTION("""COMPUTED_VALUE"""),1.4425502957092313)</f>
        <v>1.442550296</v>
      </c>
      <c r="AK1250" s="82">
        <f>IFERROR(__xludf.DUMMYFUNCTION("""COMPUTED_VALUE"""),1.5824970609826672)</f>
        <v>1.582497061</v>
      </c>
      <c r="AL1250" s="82">
        <f>IFERROR(__xludf.DUMMYFUNCTION("""COMPUTED_VALUE"""),1.0509649244376154)</f>
        <v>1.050964924</v>
      </c>
      <c r="AM1250" s="82">
        <f>IFERROR(__xludf.DUMMYFUNCTION("""COMPUTED_VALUE"""),1.2012092400478058)</f>
        <v>1.20120924</v>
      </c>
      <c r="AN1250" s="82">
        <f>IFERROR(__xludf.DUMMYFUNCTION("""COMPUTED_VALUE"""),1.1133421373439716)</f>
        <v>1.113342137</v>
      </c>
      <c r="AO1250" s="82">
        <f>IFERROR(__xludf.DUMMYFUNCTION("""COMPUTED_VALUE"""),1.0917119752467284)</f>
        <v>1.091711975</v>
      </c>
      <c r="AP1250" s="82">
        <f>IFERROR(__xludf.DUMMYFUNCTION("""COMPUTED_VALUE"""),1.4181557170530927)</f>
        <v>1.418155717</v>
      </c>
      <c r="AQ1250" s="82">
        <f>IFERROR(__xludf.DUMMYFUNCTION("""COMPUTED_VALUE"""),1.0017010915863078)</f>
        <v>1.001701092</v>
      </c>
      <c r="AR1250" s="82">
        <f>IFERROR(__xludf.DUMMYFUNCTION("""COMPUTED_VALUE"""),1.194534839457461)</f>
        <v>1.194534839</v>
      </c>
      <c r="AS1250" s="82">
        <f>IFERROR(__xludf.DUMMYFUNCTION("""COMPUTED_VALUE"""),40.0)</f>
        <v>40</v>
      </c>
      <c r="AT1250" s="82">
        <f>IFERROR(__xludf.DUMMYFUNCTION("""COMPUTED_VALUE"""),0.3245544114353519)</f>
        <v>0.3245544114</v>
      </c>
      <c r="AU1250" s="82">
        <f>IFERROR(__xludf.DUMMYFUNCTION("""COMPUTED_VALUE"""),2.7213786368847357)</f>
        <v>2.721378637</v>
      </c>
      <c r="AV1250" s="82">
        <f>IFERROR(__xludf.DUMMYFUNCTION("""COMPUTED_VALUE"""),60.88648899436507)</f>
        <v>60.88648899</v>
      </c>
      <c r="AW1250" s="82">
        <f t="shared" si="1"/>
        <v>3.015550197</v>
      </c>
      <c r="AX1250" s="83">
        <f t="array" ref="AX1250">IFERROR(DGET('SBV Import'!A:G,"SBV",{"RSC ID","Tier";B1250,A1250}))</f>
        <v>53.91698199</v>
      </c>
      <c r="AY1250" s="82">
        <f t="shared" si="2"/>
        <v>2.284415125</v>
      </c>
      <c r="AZ1250" s="82">
        <v>0.731135072216849</v>
      </c>
      <c r="BA1250" s="84">
        <v>1200.0</v>
      </c>
      <c r="BB1250" s="84" t="b">
        <f>IFERROR(__xludf.DUMMYFUNCTION("iferror(if(A1250="""",,E1250&gt;=FILTER(Constants!$F$2:$F$10,Constants!$A$2:$A$10=A1250)))"),TRUE)</f>
        <v>1</v>
      </c>
    </row>
    <row r="1251">
      <c r="A1251" s="89" t="str">
        <f>IFERROR(__xludf.DUMMYFUNCTION("""COMPUTED_VALUE"""),"Veteran")</f>
        <v>Veteran</v>
      </c>
      <c r="B1251" s="87" t="str">
        <f>IFERROR(__xludf.DUMMYFUNCTION("""COMPUTED_VALUE"""),"RSC007846")</f>
        <v>RSC007846</v>
      </c>
      <c r="C1251" s="73" t="str">
        <f>IFERROR(__xludf.DUMMYFUNCTION("""COMPUTED_VALUE"""),"Lovegreyhounds")</f>
        <v>Lovegreyhounds</v>
      </c>
      <c r="D1251" s="73" t="str">
        <f>IFERROR(__xludf.DUMMYFUNCTION("""COMPUTED_VALUE"""),"Water")</f>
        <v>Water</v>
      </c>
      <c r="E1251" s="82">
        <f>IFERROR(__xludf.DUMMYFUNCTION("""COMPUTED_VALUE"""),25.0)</f>
        <v>25</v>
      </c>
      <c r="F1251" s="82">
        <f>IFERROR(__xludf.DUMMYFUNCTION("""COMPUTED_VALUE"""),11.0)</f>
        <v>11</v>
      </c>
      <c r="G1251" s="86">
        <f>IFERROR(__xludf.DUMMYFUNCTION("""COMPUTED_VALUE"""),14.0)</f>
        <v>14</v>
      </c>
      <c r="H1251" s="86">
        <f>IFERROR(__xludf.DUMMYFUNCTION("""COMPUTED_VALUE"""),0.44)</f>
        <v>0.44</v>
      </c>
      <c r="I1251" s="86">
        <f>IFERROR(__xludf.DUMMYFUNCTION("""COMPUTED_VALUE"""),0.3194444444444445)</f>
        <v>0.3194444444</v>
      </c>
      <c r="J1251" s="82">
        <f>IFERROR(__xludf.DUMMYFUNCTION("""COMPUTED_VALUE"""),390.48)</f>
        <v>390.48</v>
      </c>
      <c r="K1251" s="82">
        <f>IFERROR(__xludf.DUMMYFUNCTION("""COMPUTED_VALUE"""),0.92)</f>
        <v>0.92</v>
      </c>
      <c r="L1251" s="82">
        <f>IFERROR(__xludf.DUMMYFUNCTION("""COMPUTED_VALUE"""),0.48)</f>
        <v>0.48</v>
      </c>
      <c r="M1251" s="82">
        <f>IFERROR(__xludf.DUMMYFUNCTION("""COMPUTED_VALUE"""),1.6)</f>
        <v>1.6</v>
      </c>
      <c r="N1251" s="82">
        <f>IFERROR(__xludf.DUMMYFUNCTION("""COMPUTED_VALUE"""),2.88)</f>
        <v>2.88</v>
      </c>
      <c r="O1251" s="82">
        <f>IFERROR(__xludf.DUMMYFUNCTION("""COMPUTED_VALUE"""),335.4933333333333)</f>
        <v>335.4933333</v>
      </c>
      <c r="P1251" s="82">
        <f>IFERROR(__xludf.DUMMYFUNCTION("""COMPUTED_VALUE"""),0.76)</f>
        <v>0.76</v>
      </c>
      <c r="Q1251" s="82">
        <f>IFERROR(__xludf.DUMMYFUNCTION("""COMPUTED_VALUE"""),0.56)</f>
        <v>0.56</v>
      </c>
      <c r="R1251" s="82">
        <f>IFERROR(__xludf.DUMMYFUNCTION("""COMPUTED_VALUE"""),1.1466666666666665)</f>
        <v>1.146666667</v>
      </c>
      <c r="S1251" s="82">
        <f>IFERROR(__xludf.DUMMYFUNCTION("""COMPUTED_VALUE"""),2.6266666666666665)</f>
        <v>2.626666667</v>
      </c>
      <c r="T1251" s="82">
        <f>IFERROR(__xludf.DUMMYFUNCTION("""COMPUTED_VALUE"""),357.97496960232127)</f>
        <v>357.9749696</v>
      </c>
      <c r="U1251" s="82">
        <f>IFERROR(__xludf.DUMMYFUNCTION("""COMPUTED_VALUE"""),0.814643005732759)</f>
        <v>0.8146430057</v>
      </c>
      <c r="V1251" s="82">
        <f>IFERROR(__xludf.DUMMYFUNCTION("""COMPUTED_VALUE"""),0.624518009497706)</f>
        <v>0.6245180095</v>
      </c>
      <c r="W1251" s="82">
        <f>IFERROR(__xludf.DUMMYFUNCTION("""COMPUTED_VALUE"""),1.3252624700059235)</f>
        <v>1.32526247</v>
      </c>
      <c r="X1251" s="82">
        <f>IFERROR(__xludf.DUMMYFUNCTION("""COMPUTED_VALUE"""),2.6211925142816983)</f>
        <v>2.621192514</v>
      </c>
      <c r="Y1251" s="82">
        <f>IFERROR(__xludf.DUMMYFUNCTION("""COMPUTED_VALUE"""),367.7489644789815)</f>
        <v>367.7489645</v>
      </c>
      <c r="Z1251" s="82">
        <f>IFERROR(__xludf.DUMMYFUNCTION("""COMPUTED_VALUE"""),0.8367387150320107)</f>
        <v>0.836738715</v>
      </c>
      <c r="AA1251" s="82">
        <f>IFERROR(__xludf.DUMMYFUNCTION("""COMPUTED_VALUE"""),0.6083820356816562)</f>
        <v>0.6083820357</v>
      </c>
      <c r="AB1251" s="82">
        <f>IFERROR(__xludf.DUMMYFUNCTION("""COMPUTED_VALUE"""),1.3736596009491011)</f>
        <v>1.373659601</v>
      </c>
      <c r="AC1251" s="82">
        <f>IFERROR(__xludf.DUMMYFUNCTION("""COMPUTED_VALUE"""),2.804444813576566)</f>
        <v>2.804444814</v>
      </c>
      <c r="AD1251" s="82">
        <f>IFERROR(__xludf.DUMMYFUNCTION("""COMPUTED_VALUE"""),1.061811283556497)</f>
        <v>1.061811284</v>
      </c>
      <c r="AE1251" s="82">
        <f>IFERROR(__xludf.DUMMYFUNCTION("""COMPUTED_VALUE"""),1.0995069111446625)</f>
        <v>1.099506911</v>
      </c>
      <c r="AF1251" s="82">
        <f>IFERROR(__xludf.DUMMYFUNCTION("""COMPUTED_VALUE"""),0.7889779313785759)</f>
        <v>0.7889779314</v>
      </c>
      <c r="AG1251" s="82">
        <f>IFERROR(__xludf.DUMMYFUNCTION("""COMPUTED_VALUE"""),1.1647718247624912)</f>
        <v>1.164771825</v>
      </c>
      <c r="AH1251" s="82">
        <f>IFERROR(__xludf.DUMMYFUNCTION("""COMPUTED_VALUE"""),1.0269412277459213)</f>
        <v>1.026941228</v>
      </c>
      <c r="AI1251" s="82">
        <f>IFERROR(__xludf.DUMMYFUNCTION("""COMPUTED_VALUE"""),0.9371977423618106)</f>
        <v>0.9371977424</v>
      </c>
      <c r="AJ1251" s="82">
        <f>IFERROR(__xludf.DUMMYFUNCTION("""COMPUTED_VALUE"""),0.9329239859076572)</f>
        <v>0.9329239859</v>
      </c>
      <c r="AK1251" s="82">
        <f>IFERROR(__xludf.DUMMYFUNCTION("""COMPUTED_VALUE"""),0.896691514869848)</f>
        <v>0.8966915149</v>
      </c>
      <c r="AL1251" s="82">
        <f>IFERROR(__xludf.DUMMYFUNCTION("""COMPUTED_VALUE"""),0.8652374096593419)</f>
        <v>0.8652374097</v>
      </c>
      <c r="AM1251" s="82">
        <f>IFERROR(__xludf.DUMMYFUNCTION("""COMPUTED_VALUE"""),1.0020884205777112)</f>
        <v>1.002088421</v>
      </c>
      <c r="AN1251" s="82">
        <f>IFERROR(__xludf.DUMMYFUNCTION("""COMPUTED_VALUE"""),1.1309170990713477)</f>
        <v>1.130917099</v>
      </c>
      <c r="AO1251" s="82">
        <f>IFERROR(__xludf.DUMMYFUNCTION("""COMPUTED_VALUE"""),1.2195982352042025)</f>
        <v>1.219598235</v>
      </c>
      <c r="AP1251" s="82">
        <f>IFERROR(__xludf.DUMMYFUNCTION("""COMPUTED_VALUE"""),0.8901654347040951)</f>
        <v>0.8901654347</v>
      </c>
      <c r="AQ1251" s="82">
        <f>IFERROR(__xludf.DUMMYFUNCTION("""COMPUTED_VALUE"""),1.1846204213542422)</f>
        <v>1.184620421</v>
      </c>
      <c r="AR1251" s="82">
        <f>IFERROR(__xludf.DUMMYFUNCTION("""COMPUTED_VALUE"""),1.124700494996871)</f>
        <v>1.124700495</v>
      </c>
      <c r="AS1251" s="82">
        <f>IFERROR(__xludf.DUMMYFUNCTION("""COMPUTED_VALUE"""),59.0)</f>
        <v>59</v>
      </c>
      <c r="AT1251" s="82">
        <f>IFERROR(__xludf.DUMMYFUNCTION("""COMPUTED_VALUE"""),0.5133897312865366)</f>
        <v>0.5133897313</v>
      </c>
      <c r="AU1251" s="82">
        <f>IFERROR(__xludf.DUMMYFUNCTION("""COMPUTED_VALUE"""),2.718251570140695)</f>
        <v>2.71825157</v>
      </c>
      <c r="AV1251" s="82">
        <f>IFERROR(__xludf.DUMMYFUNCTION("""COMPUTED_VALUE"""),60.78962468682812)</f>
        <v>60.78962469</v>
      </c>
      <c r="AW1251" s="82">
        <f t="shared" si="1"/>
        <v>3.002808806</v>
      </c>
      <c r="AX1251" s="83">
        <f t="array" ref="AX1251">IFERROR(DGET('SBV Import'!A:G,"SBV",{"RSC ID","Tier";B1251,A1251}))</f>
        <v>57.9280726</v>
      </c>
      <c r="AY1251" s="82">
        <f t="shared" si="2"/>
        <v>2.662582811</v>
      </c>
      <c r="AZ1251" s="82">
        <v>0.3402259951663882</v>
      </c>
      <c r="BA1251" s="84">
        <v>1200.0</v>
      </c>
      <c r="BB1251" s="84" t="b">
        <f>IFERROR(__xludf.DUMMYFUNCTION("iferror(if(A1251="""",,E1251&gt;=FILTER(Constants!$F$2:$F$10,Constants!$A$2:$A$10=A1251)))"),TRUE)</f>
        <v>1</v>
      </c>
    </row>
    <row r="1252">
      <c r="A1252" s="89" t="str">
        <f>IFERROR(__xludf.DUMMYFUNCTION("""COMPUTED_VALUE"""),"Veteran")</f>
        <v>Veteran</v>
      </c>
      <c r="B1252" s="87" t="str">
        <f>IFERROR(__xludf.DUMMYFUNCTION("""COMPUTED_VALUE"""),"RSC000550")</f>
        <v>RSC000550</v>
      </c>
      <c r="C1252" s="73" t="str">
        <f>IFERROR(__xludf.DUMMYFUNCTION("""COMPUTED_VALUE"""),"ARJ")</f>
        <v>ARJ</v>
      </c>
      <c r="D1252" s="73" t="str">
        <f>IFERROR(__xludf.DUMMYFUNCTION("""COMPUTED_VALUE"""),"Giraffes")</f>
        <v>Giraffes</v>
      </c>
      <c r="E1252" s="82">
        <f>IFERROR(__xludf.DUMMYFUNCTION("""COMPUTED_VALUE"""),32.0)</f>
        <v>32</v>
      </c>
      <c r="F1252" s="82">
        <f>IFERROR(__xludf.DUMMYFUNCTION("""COMPUTED_VALUE"""),16.0)</f>
        <v>16</v>
      </c>
      <c r="G1252" s="86">
        <f>IFERROR(__xludf.DUMMYFUNCTION("""COMPUTED_VALUE"""),16.0)</f>
        <v>16</v>
      </c>
      <c r="H1252" s="86">
        <f>IFERROR(__xludf.DUMMYFUNCTION("""COMPUTED_VALUE"""),0.5)</f>
        <v>0.5</v>
      </c>
      <c r="I1252" s="86">
        <f>IFERROR(__xludf.DUMMYFUNCTION("""COMPUTED_VALUE"""),0.3670886075949367)</f>
        <v>0.3670886076</v>
      </c>
      <c r="J1252" s="82">
        <f>IFERROR(__xludf.DUMMYFUNCTION("""COMPUTED_VALUE"""),354.625)</f>
        <v>354.625</v>
      </c>
      <c r="K1252" s="82">
        <f>IFERROR(__xludf.DUMMYFUNCTION("""COMPUTED_VALUE"""),0.90625)</f>
        <v>0.90625</v>
      </c>
      <c r="L1252" s="82">
        <f>IFERROR(__xludf.DUMMYFUNCTION("""COMPUTED_VALUE"""),0.625)</f>
        <v>0.625</v>
      </c>
      <c r="M1252" s="82">
        <f>IFERROR(__xludf.DUMMYFUNCTION("""COMPUTED_VALUE"""),1.1875)</f>
        <v>1.1875</v>
      </c>
      <c r="N1252" s="82">
        <f>IFERROR(__xludf.DUMMYFUNCTION("""COMPUTED_VALUE"""),2.46875)</f>
        <v>2.46875</v>
      </c>
      <c r="O1252" s="82">
        <f>IFERROR(__xludf.DUMMYFUNCTION("""COMPUTED_VALUE"""),344.25)</f>
        <v>344.25</v>
      </c>
      <c r="P1252" s="82">
        <f>IFERROR(__xludf.DUMMYFUNCTION("""COMPUTED_VALUE"""),0.8125)</f>
        <v>0.8125</v>
      </c>
      <c r="Q1252" s="82">
        <f>IFERROR(__xludf.DUMMYFUNCTION("""COMPUTED_VALUE"""),0.5729166666666667)</f>
        <v>0.5729166667</v>
      </c>
      <c r="R1252" s="82">
        <f>IFERROR(__xludf.DUMMYFUNCTION("""COMPUTED_VALUE"""),1.2604166666666665)</f>
        <v>1.260416667</v>
      </c>
      <c r="S1252" s="82">
        <f>IFERROR(__xludf.DUMMYFUNCTION("""COMPUTED_VALUE"""),2.6458333333333335)</f>
        <v>2.645833333</v>
      </c>
      <c r="T1252" s="82">
        <f>IFERROR(__xludf.DUMMYFUNCTION("""COMPUTED_VALUE"""),348.46817851115094)</f>
        <v>348.4681785</v>
      </c>
      <c r="U1252" s="82">
        <f>IFERROR(__xludf.DUMMYFUNCTION("""COMPUTED_VALUE"""),0.7804122395614488)</f>
        <v>0.7804122396</v>
      </c>
      <c r="V1252" s="82">
        <f>IFERROR(__xludf.DUMMYFUNCTION("""COMPUTED_VALUE"""),0.5547151864942805)</f>
        <v>0.5547151865</v>
      </c>
      <c r="W1252" s="82">
        <f>IFERROR(__xludf.DUMMYFUNCTION("""COMPUTED_VALUE"""),1.3359648270721534)</f>
        <v>1.335964827</v>
      </c>
      <c r="X1252" s="82">
        <f>IFERROR(__xludf.DUMMYFUNCTION("""COMPUTED_VALUE"""),2.611374569404668)</f>
        <v>2.611374569</v>
      </c>
      <c r="Y1252" s="82">
        <f>IFERROR(__xludf.DUMMYFUNCTION("""COMPUTED_VALUE"""),357.0946139707442)</f>
        <v>357.094614</v>
      </c>
      <c r="Z1252" s="82">
        <f>IFERROR(__xludf.DUMMYFUNCTION("""COMPUTED_VALUE"""),0.8028708648449917)</f>
        <v>0.8028708648</v>
      </c>
      <c r="AA1252" s="82">
        <f>IFERROR(__xludf.DUMMYFUNCTION("""COMPUTED_VALUE"""),0.6095036569928056)</f>
        <v>0.609503657</v>
      </c>
      <c r="AB1252" s="82">
        <f>IFERROR(__xludf.DUMMYFUNCTION("""COMPUTED_VALUE"""),1.3722231208155617)</f>
        <v>1.372223121</v>
      </c>
      <c r="AC1252" s="82">
        <f>IFERROR(__xludf.DUMMYFUNCTION("""COMPUTED_VALUE"""),2.6193706810735033)</f>
        <v>2.619370681</v>
      </c>
      <c r="AD1252" s="82">
        <f>IFERROR(__xludf.DUMMYFUNCTION("""COMPUTED_VALUE"""),0.9930841466823509)</f>
        <v>0.9930841467</v>
      </c>
      <c r="AE1252" s="82">
        <f>IFERROR(__xludf.DUMMYFUNCTION("""COMPUTED_VALUE"""),1.1287618466202127)</f>
        <v>1.128761847</v>
      </c>
      <c r="AF1252" s="82">
        <f>IFERROR(__xludf.DUMMYFUNCTION("""COMPUTED_VALUE"""),1.0254245283509058)</f>
        <v>1.025424528</v>
      </c>
      <c r="AG1252" s="82">
        <f>IFERROR(__xludf.DUMMYFUNCTION("""COMPUTED_VALUE"""),0.8653840486918963)</f>
        <v>0.8653840487</v>
      </c>
      <c r="AH1252" s="82">
        <f>IFERROR(__xludf.DUMMYFUNCTION("""COMPUTED_VALUE"""),0.9424973784116061)</f>
        <v>0.9424973784</v>
      </c>
      <c r="AI1252" s="82">
        <f>IFERROR(__xludf.DUMMYFUNCTION("""COMPUTED_VALUE"""),0.98789508261795)</f>
        <v>0.9878950826</v>
      </c>
      <c r="AJ1252" s="82">
        <f>IFERROR(__xludf.DUMMYFUNCTION("""COMPUTED_VALUE"""),1.0411164238743653)</f>
        <v>1.041116424</v>
      </c>
      <c r="AK1252" s="82">
        <f>IFERROR(__xludf.DUMMYFUNCTION("""COMPUTED_VALUE"""),1.0328122983028767)</f>
        <v>1.032812298</v>
      </c>
      <c r="AL1252" s="82">
        <f>IFERROR(__xludf.DUMMYFUNCTION("""COMPUTED_VALUE"""),0.9434504869630025)</f>
        <v>0.943450487</v>
      </c>
      <c r="AM1252" s="82">
        <f>IFERROR(__xludf.DUMMYFUNCTION("""COMPUTED_VALUE"""),1.0131956419934507)</f>
        <v>1.013195642</v>
      </c>
      <c r="AN1252" s="82">
        <f>IFERROR(__xludf.DUMMYFUNCTION("""COMPUTED_VALUE"""),1.0270730287291967)</f>
        <v>1.027073029</v>
      </c>
      <c r="AO1252" s="82">
        <f>IFERROR(__xludf.DUMMYFUNCTION("""COMPUTED_VALUE"""),1.2013705441889222)</f>
        <v>1.201370544</v>
      </c>
      <c r="AP1252" s="82">
        <f>IFERROR(__xludf.DUMMYFUNCTION("""COMPUTED_VALUE"""),1.159069576437624)</f>
        <v>1.159069576</v>
      </c>
      <c r="AQ1252" s="82">
        <f>IFERROR(__xludf.DUMMYFUNCTION("""COMPUTED_VALUE"""),0.8792104689738516)</f>
        <v>0.879210469</v>
      </c>
      <c r="AR1252" s="82">
        <f>IFERROR(__xludf.DUMMYFUNCTION("""COMPUTED_VALUE"""),0.9640987316053908)</f>
        <v>0.9640987316</v>
      </c>
      <c r="AS1252" s="82">
        <f>IFERROR(__xludf.DUMMYFUNCTION("""COMPUTED_VALUE"""),78.0)</f>
        <v>78</v>
      </c>
      <c r="AT1252" s="82">
        <f>IFERROR(__xludf.DUMMYFUNCTION("""COMPUTED_VALUE"""),0.5)</f>
        <v>0.5</v>
      </c>
      <c r="AU1252" s="82">
        <f>IFERROR(__xludf.DUMMYFUNCTION("""COMPUTED_VALUE"""),2.6936848693376154)</f>
        <v>2.693684869</v>
      </c>
      <c r="AV1252" s="82">
        <f>IFERROR(__xludf.DUMMYFUNCTION("""COMPUTED_VALUE"""),60.028644299603386)</f>
        <v>60.0286443</v>
      </c>
      <c r="AW1252" s="82">
        <f t="shared" si="1"/>
        <v>2.905655671</v>
      </c>
      <c r="AX1252" s="83">
        <f t="array" ref="AX1252">IFERROR(DGET('SBV Import'!A:G,"SBV",{"RSC ID","Tier";B1252,A1252}))</f>
        <v>51.314033</v>
      </c>
      <c r="AY1252" s="82">
        <f t="shared" si="2"/>
        <v>2.08750522</v>
      </c>
      <c r="AZ1252" s="82">
        <v>0.8181504514910971</v>
      </c>
      <c r="BA1252" s="84">
        <v>1200.0</v>
      </c>
      <c r="BB1252" s="84" t="b">
        <f>IFERROR(__xludf.DUMMYFUNCTION("iferror(if(A1252="""",,E1252&gt;=FILTER(Constants!$F$2:$F$10,Constants!$A$2:$A$10=A1252)))"),TRUE)</f>
        <v>1</v>
      </c>
    </row>
    <row r="1253">
      <c r="A1253" s="89" t="str">
        <f>IFERROR(__xludf.DUMMYFUNCTION("""COMPUTED_VALUE"""),"Veteran")</f>
        <v>Veteran</v>
      </c>
      <c r="B1253" s="87" t="str">
        <f>IFERROR(__xludf.DUMMYFUNCTION("""COMPUTED_VALUE"""),"RSC000023")</f>
        <v>RSC000023</v>
      </c>
      <c r="C1253" s="73" t="str">
        <f>IFERROR(__xludf.DUMMYFUNCTION("""COMPUTED_VALUE"""),"n0maa")</f>
        <v>n0maa</v>
      </c>
      <c r="D1253" s="73"/>
      <c r="E1253" s="82">
        <f>IFERROR(__xludf.DUMMYFUNCTION("""COMPUTED_VALUE"""),4.0)</f>
        <v>4</v>
      </c>
      <c r="F1253" s="82">
        <f>IFERROR(__xludf.DUMMYFUNCTION("""COMPUTED_VALUE"""),1.0)</f>
        <v>1</v>
      </c>
      <c r="G1253" s="86">
        <f>IFERROR(__xludf.DUMMYFUNCTION("""COMPUTED_VALUE"""),3.0)</f>
        <v>3</v>
      </c>
      <c r="H1253" s="86">
        <f>IFERROR(__xludf.DUMMYFUNCTION("""COMPUTED_VALUE"""),0.25)</f>
        <v>0.25</v>
      </c>
      <c r="I1253" s="86">
        <f>IFERROR(__xludf.DUMMYFUNCTION("""COMPUTED_VALUE"""),0.07692307692307693)</f>
        <v>0.07692307692</v>
      </c>
      <c r="J1253" s="82">
        <f>IFERROR(__xludf.DUMMYFUNCTION("""COMPUTED_VALUE"""),350.5)</f>
        <v>350.5</v>
      </c>
      <c r="K1253" s="82">
        <f>IFERROR(__xludf.DUMMYFUNCTION("""COMPUTED_VALUE"""),0.25)</f>
        <v>0.25</v>
      </c>
      <c r="L1253" s="82">
        <f>IFERROR(__xludf.DUMMYFUNCTION("""COMPUTED_VALUE"""),1.25)</f>
        <v>1.25</v>
      </c>
      <c r="M1253" s="82">
        <f>IFERROR(__xludf.DUMMYFUNCTION("""COMPUTED_VALUE"""),1.75)</f>
        <v>1.75</v>
      </c>
      <c r="N1253" s="82">
        <f>IFERROR(__xludf.DUMMYFUNCTION("""COMPUTED_VALUE"""),3.25)</f>
        <v>3.25</v>
      </c>
      <c r="O1253" s="82">
        <f>IFERROR(__xludf.DUMMYFUNCTION("""COMPUTED_VALUE"""),392.50000000000006)</f>
        <v>392.5</v>
      </c>
      <c r="P1253" s="82">
        <f>IFERROR(__xludf.DUMMYFUNCTION("""COMPUTED_VALUE"""),1.1666666666666667)</f>
        <v>1.166666667</v>
      </c>
      <c r="Q1253" s="82">
        <f>IFERROR(__xludf.DUMMYFUNCTION("""COMPUTED_VALUE"""),0.8333333333333334)</f>
        <v>0.8333333333</v>
      </c>
      <c r="R1253" s="82">
        <f>IFERROR(__xludf.DUMMYFUNCTION("""COMPUTED_VALUE"""),1.3333333333333333)</f>
        <v>1.333333333</v>
      </c>
      <c r="S1253" s="82">
        <f>IFERROR(__xludf.DUMMYFUNCTION("""COMPUTED_VALUE"""),3.3333333333333335)</f>
        <v>3.333333333</v>
      </c>
      <c r="T1253" s="82">
        <f>IFERROR(__xludf.DUMMYFUNCTION("""COMPUTED_VALUE"""),336.0216931216931)</f>
        <v>336.0216931</v>
      </c>
      <c r="U1253" s="82">
        <f>IFERROR(__xludf.DUMMYFUNCTION("""COMPUTED_VALUE"""),0.8116402116402116)</f>
        <v>0.8116402116</v>
      </c>
      <c r="V1253" s="82">
        <f>IFERROR(__xludf.DUMMYFUNCTION("""COMPUTED_VALUE"""),0.7544973544973544)</f>
        <v>0.7544973545</v>
      </c>
      <c r="W1253" s="82">
        <f>IFERROR(__xludf.DUMMYFUNCTION("""COMPUTED_VALUE"""),1.1423280423280424)</f>
        <v>1.142328042</v>
      </c>
      <c r="X1253" s="82">
        <f>IFERROR(__xludf.DUMMYFUNCTION("""COMPUTED_VALUE"""),2.7952380952380955)</f>
        <v>2.795238095</v>
      </c>
      <c r="Y1253" s="82">
        <f>IFERROR(__xludf.DUMMYFUNCTION("""COMPUTED_VALUE"""),372.7574955908288)</f>
        <v>372.7574956</v>
      </c>
      <c r="Z1253" s="82">
        <f>IFERROR(__xludf.DUMMYFUNCTION("""COMPUTED_VALUE"""),0.8084656084656084)</f>
        <v>0.8084656085</v>
      </c>
      <c r="AA1253" s="82">
        <f>IFERROR(__xludf.DUMMYFUNCTION("""COMPUTED_VALUE"""),0.5662257495590829)</f>
        <v>0.5662257496</v>
      </c>
      <c r="AB1253" s="82">
        <f>IFERROR(__xludf.DUMMYFUNCTION("""COMPUTED_VALUE"""),1.6357142857142861)</f>
        <v>1.635714286</v>
      </c>
      <c r="AC1253" s="82">
        <f>IFERROR(__xludf.DUMMYFUNCTION("""COMPUTED_VALUE"""),2.809347442680776)</f>
        <v>2.809347443</v>
      </c>
      <c r="AD1253" s="82">
        <f>IFERROR(__xludf.DUMMYFUNCTION("""COMPUTED_VALUE"""),0.9402896095877289)</f>
        <v>0.9402896096</v>
      </c>
      <c r="AE1253" s="82">
        <f>IFERROR(__xludf.DUMMYFUNCTION("""COMPUTED_VALUE"""),0.3092277486910995)</f>
        <v>0.3092277487</v>
      </c>
      <c r="AF1253" s="82">
        <f>IFERROR(__xludf.DUMMYFUNCTION("""COMPUTED_VALUE"""),2.2076000622955925)</f>
        <v>2.207600062</v>
      </c>
      <c r="AG1253" s="82">
        <f>IFERROR(__xludf.DUMMYFUNCTION("""COMPUTED_VALUE"""),1.0698689956331875)</f>
        <v>1.069868996</v>
      </c>
      <c r="AH1253" s="82">
        <f>IFERROR(__xludf.DUMMYFUNCTION("""COMPUTED_VALUE"""),1.1568522820013811)</f>
        <v>1.156852282</v>
      </c>
      <c r="AI1253" s="82">
        <f>IFERROR(__xludf.DUMMYFUNCTION("""COMPUTED_VALUE"""),1.1680793473588411)</f>
        <v>1.168079347</v>
      </c>
      <c r="AJ1253" s="82">
        <f>IFERROR(__xludf.DUMMYFUNCTION("""COMPUTED_VALUE"""),1.4374185136897002)</f>
        <v>1.437418514</v>
      </c>
      <c r="AK1253" s="82">
        <f>IFERROR(__xludf.DUMMYFUNCTION("""COMPUTED_VALUE"""),1.1044880785413747)</f>
        <v>1.104488079</v>
      </c>
      <c r="AL1253" s="82">
        <f>IFERROR(__xludf.DUMMYFUNCTION("""COMPUTED_VALUE"""),1.1672070402964334)</f>
        <v>1.16720704</v>
      </c>
      <c r="AM1253" s="82">
        <f>IFERROR(__xludf.DUMMYFUNCTION("""COMPUTED_VALUE"""),1.192504258943782)</f>
        <v>1.192504259</v>
      </c>
      <c r="AN1253" s="82">
        <f>IFERROR(__xludf.DUMMYFUNCTION("""COMPUTED_VALUE"""),1.015126109466573)</f>
        <v>1.015126109</v>
      </c>
      <c r="AO1253" s="82">
        <f>IFERROR(__xludf.DUMMYFUNCTION("""COMPUTED_VALUE"""),0.33141256391418544)</f>
        <v>0.3314125639</v>
      </c>
      <c r="AP1253" s="82">
        <f>IFERROR(__xludf.DUMMYFUNCTION("""COMPUTED_VALUE"""),2.318139152875248)</f>
        <v>2.318139153</v>
      </c>
      <c r="AQ1253" s="82">
        <f>IFERROR(__xludf.DUMMYFUNCTION("""COMPUTED_VALUE"""),1.2956785858562023)</f>
        <v>1.295678586</v>
      </c>
      <c r="AR1253" s="82">
        <f>IFERROR(__xludf.DUMMYFUNCTION("""COMPUTED_VALUE"""),1.2691932669235524)</f>
        <v>1.269193267</v>
      </c>
      <c r="AS1253" s="82">
        <f>IFERROR(__xludf.DUMMYFUNCTION("""COMPUTED_VALUE"""),11.0)</f>
        <v>11</v>
      </c>
      <c r="AT1253" s="82">
        <f>IFERROR(__xludf.DUMMYFUNCTION("""COMPUTED_VALUE"""),0.3993768201200188)</f>
        <v>0.3993768201</v>
      </c>
      <c r="AU1253" s="82">
        <f>IFERROR(__xludf.DUMMYFUNCTION("""COMPUTED_VALUE"""),2.6771076557336912)</f>
        <v>2.677107656</v>
      </c>
      <c r="AV1253" s="82">
        <f>IFERROR(__xludf.DUMMYFUNCTION("""COMPUTED_VALUE"""),59.51514700387209)</f>
        <v>59.515147</v>
      </c>
      <c r="AW1253" s="82">
        <f t="shared" si="1"/>
        <v>2.842945523</v>
      </c>
      <c r="AX1253" s="83">
        <f t="array" ref="AX1253">IFERROR(DGET('SBV Import'!A:G,"SBV",{"RSC ID","Tier";B1253,A1253}))</f>
        <v>40.50198544</v>
      </c>
      <c r="AY1253" s="82">
        <f t="shared" si="2"/>
        <v>-2.840891463</v>
      </c>
      <c r="AZ1253" s="82">
        <v>5.683836985537947</v>
      </c>
      <c r="BA1253" s="84">
        <v>1200.0</v>
      </c>
      <c r="BB1253" s="84" t="b">
        <f>IFERROR(__xludf.DUMMYFUNCTION("iferror(if(A1253="""",,E1253&gt;=FILTER(Constants!$F$2:$F$10,Constants!$A$2:$A$10=A1253)))"),TRUE)</f>
        <v>1</v>
      </c>
    </row>
    <row r="1254">
      <c r="A1254" s="89" t="str">
        <f>IFERROR(__xludf.DUMMYFUNCTION("""COMPUTED_VALUE"""),"Veteran")</f>
        <v>Veteran</v>
      </c>
      <c r="B1254" s="87" t="str">
        <f>IFERROR(__xludf.DUMMYFUNCTION("""COMPUTED_VALUE"""),"RSC005088")</f>
        <v>RSC005088</v>
      </c>
      <c r="C1254" s="73" t="str">
        <f>IFERROR(__xludf.DUMMYFUNCTION("""COMPUTED_VALUE"""),"Thirteen")</f>
        <v>Thirteen</v>
      </c>
      <c r="D1254" s="73" t="str">
        <f>IFERROR(__xludf.DUMMYFUNCTION("""COMPUTED_VALUE"""),"Repossessed")</f>
        <v>Repossessed</v>
      </c>
      <c r="E1254" s="82">
        <f>IFERROR(__xludf.DUMMYFUNCTION("""COMPUTED_VALUE"""),22.0)</f>
        <v>22</v>
      </c>
      <c r="F1254" s="82">
        <f>IFERROR(__xludf.DUMMYFUNCTION("""COMPUTED_VALUE"""),14.0)</f>
        <v>14</v>
      </c>
      <c r="G1254" s="86">
        <f>IFERROR(__xludf.DUMMYFUNCTION("""COMPUTED_VALUE"""),8.0)</f>
        <v>8</v>
      </c>
      <c r="H1254" s="86">
        <f>IFERROR(__xludf.DUMMYFUNCTION("""COMPUTED_VALUE"""),0.6363636363636364)</f>
        <v>0.6363636364</v>
      </c>
      <c r="I1254" s="86">
        <f>IFERROR(__xludf.DUMMYFUNCTION("""COMPUTED_VALUE"""),0.25925925925925924)</f>
        <v>0.2592592593</v>
      </c>
      <c r="J1254" s="82">
        <f>IFERROR(__xludf.DUMMYFUNCTION("""COMPUTED_VALUE"""),321.09090909090907)</f>
        <v>321.0909091</v>
      </c>
      <c r="K1254" s="82">
        <f>IFERROR(__xludf.DUMMYFUNCTION("""COMPUTED_VALUE"""),0.6363636363636364)</f>
        <v>0.6363636364</v>
      </c>
      <c r="L1254" s="82">
        <f>IFERROR(__xludf.DUMMYFUNCTION("""COMPUTED_VALUE"""),0.8181818181818182)</f>
        <v>0.8181818182</v>
      </c>
      <c r="M1254" s="82">
        <f>IFERROR(__xludf.DUMMYFUNCTION("""COMPUTED_VALUE"""),0.9545454545454546)</f>
        <v>0.9545454545</v>
      </c>
      <c r="N1254" s="82">
        <f>IFERROR(__xludf.DUMMYFUNCTION("""COMPUTED_VALUE"""),2.4545454545454546)</f>
        <v>2.454545455</v>
      </c>
      <c r="O1254" s="82">
        <f>IFERROR(__xludf.DUMMYFUNCTION("""COMPUTED_VALUE"""),340.60606060606057)</f>
        <v>340.6060606</v>
      </c>
      <c r="P1254" s="82">
        <f>IFERROR(__xludf.DUMMYFUNCTION("""COMPUTED_VALUE"""),0.6515151515151515)</f>
        <v>0.6515151515</v>
      </c>
      <c r="Q1254" s="82">
        <f>IFERROR(__xludf.DUMMYFUNCTION("""COMPUTED_VALUE"""),0.48484848484848475)</f>
        <v>0.4848484848</v>
      </c>
      <c r="R1254" s="82">
        <f>IFERROR(__xludf.DUMMYFUNCTION("""COMPUTED_VALUE"""),1.4696969696969695)</f>
        <v>1.46969697</v>
      </c>
      <c r="S1254" s="82">
        <f>IFERROR(__xludf.DUMMYFUNCTION("""COMPUTED_VALUE"""),2.454545454545454)</f>
        <v>2.454545455</v>
      </c>
      <c r="T1254" s="82">
        <f>IFERROR(__xludf.DUMMYFUNCTION("""COMPUTED_VALUE"""),337.2658711690472)</f>
        <v>337.2658712</v>
      </c>
      <c r="U1254" s="82">
        <f>IFERROR(__xludf.DUMMYFUNCTION("""COMPUTED_VALUE"""),0.6843883554360669)</f>
        <v>0.6843883554</v>
      </c>
      <c r="V1254" s="82">
        <f>IFERROR(__xludf.DUMMYFUNCTION("""COMPUTED_VALUE"""),0.5361646371379005)</f>
        <v>0.5361646371</v>
      </c>
      <c r="W1254" s="82">
        <f>IFERROR(__xludf.DUMMYFUNCTION("""COMPUTED_VALUE"""),1.3423377103076222)</f>
        <v>1.34233771</v>
      </c>
      <c r="X1254" s="82">
        <f>IFERROR(__xludf.DUMMYFUNCTION("""COMPUTED_VALUE"""),2.3279286618609607)</f>
        <v>2.327928662</v>
      </c>
      <c r="Y1254" s="82">
        <f>IFERROR(__xludf.DUMMYFUNCTION("""COMPUTED_VALUE"""),343.78366338871706)</f>
        <v>343.7836634</v>
      </c>
      <c r="Z1254" s="82">
        <f>IFERROR(__xludf.DUMMYFUNCTION("""COMPUTED_VALUE"""),0.7536911265127793)</f>
        <v>0.7536911265</v>
      </c>
      <c r="AA1254" s="82">
        <f>IFERROR(__xludf.DUMMYFUNCTION("""COMPUTED_VALUE"""),0.5407028778898236)</f>
        <v>0.5407028779</v>
      </c>
      <c r="AB1254" s="82">
        <f>IFERROR(__xludf.DUMMYFUNCTION("""COMPUTED_VALUE"""),1.29606117997976)</f>
        <v>1.29606118</v>
      </c>
      <c r="AC1254" s="82">
        <f>IFERROR(__xludf.DUMMYFUNCTION("""COMPUTED_VALUE"""),2.6045753597797674)</f>
        <v>2.60457536</v>
      </c>
      <c r="AD1254" s="82">
        <f>IFERROR(__xludf.DUMMYFUNCTION("""COMPUTED_VALUE"""),0.9339911790044856)</f>
        <v>0.933991179</v>
      </c>
      <c r="AE1254" s="82">
        <f>IFERROR(__xludf.DUMMYFUNCTION("""COMPUTED_VALUE"""),0.8443294792496757)</f>
        <v>0.8443294792</v>
      </c>
      <c r="AF1254" s="82">
        <f>IFERROR(__xludf.DUMMYFUNCTION("""COMPUTED_VALUE"""),1.5131819186443005)</f>
        <v>1.513181919</v>
      </c>
      <c r="AG1254" s="82">
        <f>IFERROR(__xludf.DUMMYFUNCTION("""COMPUTED_VALUE"""),0.7364972188738508)</f>
        <v>0.7364972189</v>
      </c>
      <c r="AH1254" s="82">
        <f>IFERROR(__xludf.DUMMYFUNCTION("""COMPUTED_VALUE"""),0.942397556411269)</f>
        <v>0.9423975564</v>
      </c>
      <c r="AI1254" s="82">
        <f>IFERROR(__xludf.DUMMYFUNCTION("""COMPUTED_VALUE"""),1.0099037279563314)</f>
        <v>1.009903728</v>
      </c>
      <c r="AJ1254" s="82">
        <f>IFERROR(__xludf.DUMMYFUNCTION("""COMPUTED_VALUE"""),0.9519670320808281)</f>
        <v>0.9519670321</v>
      </c>
      <c r="AK1254" s="82">
        <f>IFERROR(__xludf.DUMMYFUNCTION("""COMPUTED_VALUE"""),0.9042903079857216)</f>
        <v>0.904290308</v>
      </c>
      <c r="AL1254" s="82">
        <f>IFERROR(__xludf.DUMMYFUNCTION("""COMPUTED_VALUE"""),1.094878701843339)</f>
        <v>1.094878702</v>
      </c>
      <c r="AM1254" s="82">
        <f>IFERROR(__xludf.DUMMYFUNCTION("""COMPUTED_VALUE"""),1.0543903233629484)</f>
        <v>1.054390323</v>
      </c>
      <c r="AN1254" s="82">
        <f>IFERROR(__xludf.DUMMYFUNCTION("""COMPUTED_VALUE"""),0.9299508283324952)</f>
        <v>0.9299508283</v>
      </c>
      <c r="AO1254" s="82">
        <f>IFERROR(__xludf.DUMMYFUNCTION("""COMPUTED_VALUE"""),0.8435956172361084)</f>
        <v>0.8435956172</v>
      </c>
      <c r="AP1254" s="82">
        <f>IFERROR(__xludf.DUMMYFUNCTION("""COMPUTED_VALUE"""),1.517327445518344)</f>
        <v>1.517327446</v>
      </c>
      <c r="AQ1254" s="82">
        <f>IFERROR(__xludf.DUMMYFUNCTION("""COMPUTED_VALUE"""),0.7067337741033831)</f>
        <v>0.7067337741</v>
      </c>
      <c r="AR1254" s="82">
        <f>IFERROR(__xludf.DUMMYFUNCTION("""COMPUTED_VALUE"""),0.9585515582359697)</f>
        <v>0.9585515582</v>
      </c>
      <c r="AS1254" s="82">
        <f>IFERROR(__xludf.DUMMYFUNCTION("""COMPUTED_VALUE"""),57.0)</f>
        <v>57</v>
      </c>
      <c r="AT1254" s="82">
        <f>IFERROR(__xludf.DUMMYFUNCTION("""COMPUTED_VALUE"""),0.6071279892661278)</f>
        <v>0.6071279893</v>
      </c>
      <c r="AU1254" s="82">
        <f>IFERROR(__xludf.DUMMYFUNCTION("""COMPUTED_VALUE"""),2.6754470053779684)</f>
        <v>2.675447005</v>
      </c>
      <c r="AV1254" s="82">
        <f>IFERROR(__xludf.DUMMYFUNCTION("""COMPUTED_VALUE"""),59.463706545469776)</f>
        <v>59.46370655</v>
      </c>
      <c r="AW1254" s="82">
        <f t="shared" si="1"/>
        <v>2.836785482</v>
      </c>
      <c r="AX1254" s="83">
        <f t="array" ref="AX1254">IFERROR(DGET('SBV Import'!A:G,"SBV",{"RSC ID","Tier";B1254,A1254}))</f>
        <v>44.82089119</v>
      </c>
      <c r="AY1254" s="82">
        <f t="shared" si="2"/>
        <v>-2.392683634</v>
      </c>
      <c r="AZ1254" s="82">
        <v>5.229469116598358</v>
      </c>
      <c r="BA1254" s="84">
        <v>1200.0</v>
      </c>
      <c r="BB1254" s="84" t="b">
        <f>IFERROR(__xludf.DUMMYFUNCTION("iferror(if(A1254="""",,E1254&gt;=FILTER(Constants!$F$2:$F$10,Constants!$A$2:$A$10=A1254)))"),TRUE)</f>
        <v>1</v>
      </c>
    </row>
    <row r="1255">
      <c r="A1255" s="89" t="str">
        <f>IFERROR(__xludf.DUMMYFUNCTION("""COMPUTED_VALUE"""),"Veteran")</f>
        <v>Veteran</v>
      </c>
      <c r="B1255" s="87" t="str">
        <f>IFERROR(__xludf.DUMMYFUNCTION("""COMPUTED_VALUE"""),"RSC002780")</f>
        <v>RSC002780</v>
      </c>
      <c r="C1255" s="73" t="str">
        <f>IFERROR(__xludf.DUMMYFUNCTION("""COMPUTED_VALUE"""),"Lickadoss77")</f>
        <v>Lickadoss77</v>
      </c>
      <c r="D1255" s="73" t="str">
        <f>IFERROR(__xludf.DUMMYFUNCTION("""COMPUTED_VALUE"""),"Water")</f>
        <v>Water</v>
      </c>
      <c r="E1255" s="82">
        <f>IFERROR(__xludf.DUMMYFUNCTION("""COMPUTED_VALUE"""),34.0)</f>
        <v>34</v>
      </c>
      <c r="F1255" s="82">
        <f>IFERROR(__xludf.DUMMYFUNCTION("""COMPUTED_VALUE"""),17.0)</f>
        <v>17</v>
      </c>
      <c r="G1255" s="86">
        <f>IFERROR(__xludf.DUMMYFUNCTION("""COMPUTED_VALUE"""),17.0)</f>
        <v>17</v>
      </c>
      <c r="H1255" s="86">
        <f>IFERROR(__xludf.DUMMYFUNCTION("""COMPUTED_VALUE"""),0.5)</f>
        <v>0.5</v>
      </c>
      <c r="I1255" s="86">
        <f>IFERROR(__xludf.DUMMYFUNCTION("""COMPUTED_VALUE"""),0.25842696629213485)</f>
        <v>0.2584269663</v>
      </c>
      <c r="J1255" s="82">
        <f>IFERROR(__xludf.DUMMYFUNCTION("""COMPUTED_VALUE"""),340.55882352941177)</f>
        <v>340.5588235</v>
      </c>
      <c r="K1255" s="82">
        <f>IFERROR(__xludf.DUMMYFUNCTION("""COMPUTED_VALUE"""),0.6764705882352942)</f>
        <v>0.6764705882</v>
      </c>
      <c r="L1255" s="82">
        <f>IFERROR(__xludf.DUMMYFUNCTION("""COMPUTED_VALUE"""),0.7352941176470589)</f>
        <v>0.7352941176</v>
      </c>
      <c r="M1255" s="82">
        <f>IFERROR(__xludf.DUMMYFUNCTION("""COMPUTED_VALUE"""),1.2058823529411764)</f>
        <v>1.205882353</v>
      </c>
      <c r="N1255" s="82">
        <f>IFERROR(__xludf.DUMMYFUNCTION("""COMPUTED_VALUE"""),2.6176470588235294)</f>
        <v>2.617647059</v>
      </c>
      <c r="O1255" s="82">
        <f>IFERROR(__xludf.DUMMYFUNCTION("""COMPUTED_VALUE"""),322.02941176470586)</f>
        <v>322.0294118</v>
      </c>
      <c r="P1255" s="82">
        <f>IFERROR(__xludf.DUMMYFUNCTION("""COMPUTED_VALUE"""),0.676470588235294)</f>
        <v>0.6764705882</v>
      </c>
      <c r="Q1255" s="82">
        <f>IFERROR(__xludf.DUMMYFUNCTION("""COMPUTED_VALUE"""),0.48039215686274506)</f>
        <v>0.4803921569</v>
      </c>
      <c r="R1255" s="82">
        <f>IFERROR(__xludf.DUMMYFUNCTION("""COMPUTED_VALUE"""),1.2156862745098038)</f>
        <v>1.215686275</v>
      </c>
      <c r="S1255" s="82">
        <f>IFERROR(__xludf.DUMMYFUNCTION("""COMPUTED_VALUE"""),2.3333333333333335)</f>
        <v>2.333333333</v>
      </c>
      <c r="T1255" s="82">
        <f>IFERROR(__xludf.DUMMYFUNCTION("""COMPUTED_VALUE"""),355.1595891379954)</f>
        <v>355.1595891</v>
      </c>
      <c r="U1255" s="82">
        <f>IFERROR(__xludf.DUMMYFUNCTION("""COMPUTED_VALUE"""),0.7948120582831486)</f>
        <v>0.7948120583</v>
      </c>
      <c r="V1255" s="82">
        <f>IFERROR(__xludf.DUMMYFUNCTION("""COMPUTED_VALUE"""),0.5927156059556441)</f>
        <v>0.592715606</v>
      </c>
      <c r="W1255" s="82">
        <f>IFERROR(__xludf.DUMMYFUNCTION("""COMPUTED_VALUE"""),1.3467540488681247)</f>
        <v>1.346754049</v>
      </c>
      <c r="X1255" s="82">
        <f>IFERROR(__xludf.DUMMYFUNCTION("""COMPUTED_VALUE"""),2.587475077528376)</f>
        <v>2.587475078</v>
      </c>
      <c r="Y1255" s="82">
        <f>IFERROR(__xludf.DUMMYFUNCTION("""COMPUTED_VALUE"""),366.3606869172577)</f>
        <v>366.3606869</v>
      </c>
      <c r="Z1255" s="82">
        <f>IFERROR(__xludf.DUMMYFUNCTION("""COMPUTED_VALUE"""),0.833364986939326)</f>
        <v>0.8333649869</v>
      </c>
      <c r="AA1255" s="82">
        <f>IFERROR(__xludf.DUMMYFUNCTION("""COMPUTED_VALUE"""),0.6149792268442972)</f>
        <v>0.6149792268</v>
      </c>
      <c r="AB1255" s="82">
        <f>IFERROR(__xludf.DUMMYFUNCTION("""COMPUTED_VALUE"""),1.3600915236429802)</f>
        <v>1.360091524</v>
      </c>
      <c r="AC1255" s="82">
        <f>IFERROR(__xludf.DUMMYFUNCTION("""COMPUTED_VALUE"""),2.7969655990163296)</f>
        <v>2.796965599</v>
      </c>
      <c r="AD1255" s="82">
        <f>IFERROR(__xludf.DUMMYFUNCTION("""COMPUTED_VALUE"""),0.929572510618004)</f>
        <v>0.9295725106</v>
      </c>
      <c r="AE1255" s="82">
        <f>IFERROR(__xludf.DUMMYFUNCTION("""COMPUTED_VALUE"""),0.8117338727173394)</f>
        <v>0.8117338727</v>
      </c>
      <c r="AF1255" s="82">
        <f>IFERROR(__xludf.DUMMYFUNCTION("""COMPUTED_VALUE"""),1.1956405770324068)</f>
        <v>1.195640577</v>
      </c>
      <c r="AG1255" s="82">
        <f>IFERROR(__xludf.DUMMYFUNCTION("""COMPUTED_VALUE"""),0.886618534105148)</f>
        <v>0.8866185341</v>
      </c>
      <c r="AH1255" s="82">
        <f>IFERROR(__xludf.DUMMYFUNCTION("""COMPUTED_VALUE"""),0.9358881853048657)</f>
        <v>0.9358881853</v>
      </c>
      <c r="AI1255" s="82">
        <f>IFERROR(__xludf.DUMMYFUNCTION("""COMPUTED_VALUE"""),0.9067174915544319)</f>
        <v>0.9067174916</v>
      </c>
      <c r="AJ1255" s="82">
        <f>IFERROR(__xludf.DUMMYFUNCTION("""COMPUTED_VALUE"""),0.851107606113223)</f>
        <v>0.8511076061</v>
      </c>
      <c r="AK1255" s="82">
        <f>IFERROR(__xludf.DUMMYFUNCTION("""COMPUTED_VALUE"""),0.810493518368226)</f>
        <v>0.8104935184</v>
      </c>
      <c r="AL1255" s="82">
        <f>IFERROR(__xludf.DUMMYFUNCTION("""COMPUTED_VALUE"""),0.9026787597420061)</f>
        <v>0.9026787597</v>
      </c>
      <c r="AM1255" s="82">
        <f>IFERROR(__xludf.DUMMYFUNCTION("""COMPUTED_VALUE"""),0.9017800223846772)</f>
        <v>0.9017800224</v>
      </c>
      <c r="AN1255" s="82">
        <f>IFERROR(__xludf.DUMMYFUNCTION("""COMPUTED_VALUE"""),0.9863342470012124)</f>
        <v>0.986334247</v>
      </c>
      <c r="AO1255" s="82">
        <f>IFERROR(__xludf.DUMMYFUNCTION("""COMPUTED_VALUE"""),0.8967634082383842)</f>
        <v>0.8967634082</v>
      </c>
      <c r="AP1255" s="82">
        <f>IFERROR(__xludf.DUMMYFUNCTION("""COMPUTED_VALUE"""),1.3636112663972046)</f>
        <v>1.363611266</v>
      </c>
      <c r="AQ1255" s="82">
        <f>IFERROR(__xludf.DUMMYFUNCTION("""COMPUTED_VALUE"""),0.8928205381530133)</f>
        <v>0.8928205382</v>
      </c>
      <c r="AR1255" s="82">
        <f>IFERROR(__xludf.DUMMYFUNCTION("""COMPUTED_VALUE"""),1.022246160689558)</f>
        <v>1.022246161</v>
      </c>
      <c r="AS1255" s="82">
        <f>IFERROR(__xludf.DUMMYFUNCTION("""COMPUTED_VALUE"""),90.0)</f>
        <v>90</v>
      </c>
      <c r="AT1255" s="82">
        <f>IFERROR(__xludf.DUMMYFUNCTION("""COMPUTED_VALUE"""),0.6019696547429342)</f>
        <v>0.6019696547</v>
      </c>
      <c r="AU1255" s="82">
        <f>IFERROR(__xludf.DUMMYFUNCTION("""COMPUTED_VALUE"""),2.658060365844321)</f>
        <v>2.658060366</v>
      </c>
      <c r="AV1255" s="82">
        <f>IFERROR(__xludf.DUMMYFUNCTION("""COMPUTED_VALUE"""),58.92513639757294)</f>
        <v>58.9251364</v>
      </c>
      <c r="AW1255" s="82">
        <f t="shared" si="1"/>
        <v>2.773587652</v>
      </c>
      <c r="AX1255" s="83">
        <f t="array" ref="AX1255">IFERROR(DGET('SBV Import'!A:G,"SBV",{"RSC ID","Tier";B1255,A1255}))</f>
        <v>52.11616518</v>
      </c>
      <c r="AY1255" s="82">
        <f t="shared" si="2"/>
        <v>2.144674728</v>
      </c>
      <c r="AZ1255" s="82">
        <v>0.6289129241683207</v>
      </c>
      <c r="BA1255" s="84">
        <v>1200.0</v>
      </c>
      <c r="BB1255" s="84" t="b">
        <f>IFERROR(__xludf.DUMMYFUNCTION("iferror(if(A1255="""",,E1255&gt;=FILTER(Constants!$F$2:$F$10,Constants!$A$2:$A$10=A1255)))"),TRUE)</f>
        <v>1</v>
      </c>
    </row>
    <row r="1256">
      <c r="A1256" s="89" t="str">
        <f>IFERROR(__xludf.DUMMYFUNCTION("""COMPUTED_VALUE"""),"Veteran")</f>
        <v>Veteran</v>
      </c>
      <c r="B1256" s="87" t="str">
        <f>IFERROR(__xludf.DUMMYFUNCTION("""COMPUTED_VALUE"""),"RSC008007")</f>
        <v>RSC008007</v>
      </c>
      <c r="C1256" s="73" t="str">
        <f>IFERROR(__xludf.DUMMYFUNCTION("""COMPUTED_VALUE"""),"Frog_Boot")</f>
        <v>Frog_Boot</v>
      </c>
      <c r="D1256" s="73" t="str">
        <f>IFERROR(__xludf.DUMMYFUNCTION("""COMPUTED_VALUE"""),"Folks")</f>
        <v>Folks</v>
      </c>
      <c r="E1256" s="82">
        <f>IFERROR(__xludf.DUMMYFUNCTION("""COMPUTED_VALUE"""),34.0)</f>
        <v>34</v>
      </c>
      <c r="F1256" s="82">
        <f>IFERROR(__xludf.DUMMYFUNCTION("""COMPUTED_VALUE"""),18.0)</f>
        <v>18</v>
      </c>
      <c r="G1256" s="86">
        <f>IFERROR(__xludf.DUMMYFUNCTION("""COMPUTED_VALUE"""),16.0)</f>
        <v>16</v>
      </c>
      <c r="H1256" s="86">
        <f>IFERROR(__xludf.DUMMYFUNCTION("""COMPUTED_VALUE"""),0.5294117647058824)</f>
        <v>0.5294117647</v>
      </c>
      <c r="I1256" s="86">
        <f>IFERROR(__xludf.DUMMYFUNCTION("""COMPUTED_VALUE"""),0.28723404255319146)</f>
        <v>0.2872340426</v>
      </c>
      <c r="J1256" s="82">
        <f>IFERROR(__xludf.DUMMYFUNCTION("""COMPUTED_VALUE"""),391.05882352941177)</f>
        <v>391.0588235</v>
      </c>
      <c r="K1256" s="82">
        <f>IFERROR(__xludf.DUMMYFUNCTION("""COMPUTED_VALUE"""),0.7941176470588235)</f>
        <v>0.7941176471</v>
      </c>
      <c r="L1256" s="82">
        <f>IFERROR(__xludf.DUMMYFUNCTION("""COMPUTED_VALUE"""),0.5)</f>
        <v>0.5</v>
      </c>
      <c r="M1256" s="82">
        <f>IFERROR(__xludf.DUMMYFUNCTION("""COMPUTED_VALUE"""),1.6764705882352942)</f>
        <v>1.676470588</v>
      </c>
      <c r="N1256" s="82">
        <f>IFERROR(__xludf.DUMMYFUNCTION("""COMPUTED_VALUE"""),2.764705882352941)</f>
        <v>2.764705882</v>
      </c>
      <c r="O1256" s="82">
        <f>IFERROR(__xludf.DUMMYFUNCTION("""COMPUTED_VALUE"""),340.29411764705884)</f>
        <v>340.2941176</v>
      </c>
      <c r="P1256" s="82">
        <f>IFERROR(__xludf.DUMMYFUNCTION("""COMPUTED_VALUE"""),0.715686274509804)</f>
        <v>0.7156862745</v>
      </c>
      <c r="Q1256" s="82">
        <f>IFERROR(__xludf.DUMMYFUNCTION("""COMPUTED_VALUE"""),0.5980392156862746)</f>
        <v>0.5980392157</v>
      </c>
      <c r="R1256" s="82">
        <f>IFERROR(__xludf.DUMMYFUNCTION("""COMPUTED_VALUE"""),1.2352941176470587)</f>
        <v>1.235294118</v>
      </c>
      <c r="S1256" s="82">
        <f>IFERROR(__xludf.DUMMYFUNCTION("""COMPUTED_VALUE"""),2.549019607843137)</f>
        <v>2.549019608</v>
      </c>
      <c r="T1256" s="82">
        <f>IFERROR(__xludf.DUMMYFUNCTION("""COMPUTED_VALUE"""),363.1115303358698)</f>
        <v>363.1115303</v>
      </c>
      <c r="U1256" s="82">
        <f>IFERROR(__xludf.DUMMYFUNCTION("""COMPUTED_VALUE"""),0.8190100933299811)</f>
        <v>0.8190100933</v>
      </c>
      <c r="V1256" s="82">
        <f>IFERROR(__xludf.DUMMYFUNCTION("""COMPUTED_VALUE"""),0.6190361300161034)</f>
        <v>0.61903613</v>
      </c>
      <c r="W1256" s="82">
        <f>IFERROR(__xludf.DUMMYFUNCTION("""COMPUTED_VALUE"""),1.3703725237912463)</f>
        <v>1.370372524</v>
      </c>
      <c r="X1256" s="82">
        <f>IFERROR(__xludf.DUMMYFUNCTION("""COMPUTED_VALUE"""),2.7042125167636764)</f>
        <v>2.704212517</v>
      </c>
      <c r="Y1256" s="82">
        <f>IFERROR(__xludf.DUMMYFUNCTION("""COMPUTED_VALUE"""),356.3438692151082)</f>
        <v>356.3438692</v>
      </c>
      <c r="Z1256" s="82">
        <f>IFERROR(__xludf.DUMMYFUNCTION("""COMPUTED_VALUE"""),0.7954893657360607)</f>
        <v>0.7954893657</v>
      </c>
      <c r="AA1256" s="82">
        <f>IFERROR(__xludf.DUMMYFUNCTION("""COMPUTED_VALUE"""),0.5660362865658364)</f>
        <v>0.5660362866</v>
      </c>
      <c r="AB1256" s="82">
        <f>IFERROR(__xludf.DUMMYFUNCTION("""COMPUTED_VALUE"""),1.3818228121765146)</f>
        <v>1.381822812</v>
      </c>
      <c r="AC1256" s="82">
        <f>IFERROR(__xludf.DUMMYFUNCTION("""COMPUTED_VALUE"""),2.6443534310639856)</f>
        <v>2.644353431</v>
      </c>
      <c r="AD1256" s="82">
        <f>IFERROR(__xludf.DUMMYFUNCTION("""COMPUTED_VALUE"""),1.0974198164002866)</f>
        <v>1.097419816</v>
      </c>
      <c r="AE1256" s="82">
        <f>IFERROR(__xludf.DUMMYFUNCTION("""COMPUTED_VALUE"""),0.9982756291456292)</f>
        <v>0.9982756291</v>
      </c>
      <c r="AF1256" s="82">
        <f>IFERROR(__xludf.DUMMYFUNCTION("""COMPUTED_VALUE"""),0.883335595026105)</f>
        <v>0.883335595</v>
      </c>
      <c r="AG1256" s="82">
        <f>IFERROR(__xludf.DUMMYFUNCTION("""COMPUTED_VALUE"""),1.2132312286802378)</f>
        <v>1.213231229</v>
      </c>
      <c r="AH1256" s="82">
        <f>IFERROR(__xludf.DUMMYFUNCTION("""COMPUTED_VALUE"""),1.045512997572541)</f>
        <v>1.045512998</v>
      </c>
      <c r="AI1256" s="82">
        <f>IFERROR(__xludf.DUMMYFUNCTION("""COMPUTED_VALUE"""),0.9371614207136155)</f>
        <v>0.9371614207</v>
      </c>
      <c r="AJ1256" s="82">
        <f>IFERROR(__xludf.DUMMYFUNCTION("""COMPUTED_VALUE"""),0.8738430458163503)</f>
        <v>0.8738430458</v>
      </c>
      <c r="AK1256" s="82">
        <f>IFERROR(__xludf.DUMMYFUNCTION("""COMPUTED_VALUE"""),0.9660812781165413)</f>
        <v>0.9660812781</v>
      </c>
      <c r="AL1256" s="82">
        <f>IFERROR(__xludf.DUMMYFUNCTION("""COMPUTED_VALUE"""),0.9014294260873807)</f>
        <v>0.9014294261</v>
      </c>
      <c r="AM1256" s="82">
        <f>IFERROR(__xludf.DUMMYFUNCTION("""COMPUTED_VALUE"""),0.9426106831624795)</f>
        <v>0.9426106832</v>
      </c>
      <c r="AN1256" s="82">
        <f>IFERROR(__xludf.DUMMYFUNCTION("""COMPUTED_VALUE"""),1.1325935010042423)</f>
        <v>1.132593501</v>
      </c>
      <c r="AO1256" s="82">
        <f>IFERROR(__xludf.DUMMYFUNCTION("""COMPUTED_VALUE"""),1.0527222618450596)</f>
        <v>1.052722262</v>
      </c>
      <c r="AP1256" s="82">
        <f>IFERROR(__xludf.DUMMYFUNCTION("""COMPUTED_VALUE"""),0.9272556611500992)</f>
        <v>0.9272556612</v>
      </c>
      <c r="AQ1256" s="82">
        <f>IFERROR(__xludf.DUMMYFUNCTION("""COMPUTED_VALUE"""),1.2412383091395554)</f>
        <v>1.241238309</v>
      </c>
      <c r="AR1256" s="82">
        <f>IFERROR(__xludf.DUMMYFUNCTION("""COMPUTED_VALUE"""),1.0796757202788592)</f>
        <v>1.07967572</v>
      </c>
      <c r="AS1256" s="82">
        <f>IFERROR(__xludf.DUMMYFUNCTION("""COMPUTED_VALUE"""),75.0)</f>
        <v>75</v>
      </c>
      <c r="AT1256" s="82">
        <f>IFERROR(__xludf.DUMMYFUNCTION("""COMPUTED_VALUE"""),0.510304665214693)</f>
        <v>0.5103046652</v>
      </c>
      <c r="AU1256" s="82">
        <f>IFERROR(__xludf.DUMMYFUNCTION("""COMPUTED_VALUE"""),2.650251179195664)</f>
        <v>2.650251179</v>
      </c>
      <c r="AV1256" s="82">
        <f>IFERROR(__xludf.DUMMYFUNCTION("""COMPUTED_VALUE"""),58.683238312541505)</f>
        <v>58.68323831</v>
      </c>
      <c r="AW1256" s="82">
        <f t="shared" si="1"/>
        <v>2.745956088</v>
      </c>
      <c r="AX1256" s="83">
        <f t="array" ref="AX1256">IFERROR(DGET('SBV Import'!A:G,"SBV",{"RSC ID","Tier";B1256,A1256}))</f>
        <v>66.58536304</v>
      </c>
      <c r="AY1256" s="82">
        <f t="shared" si="2"/>
        <v>3.94426666</v>
      </c>
      <c r="AZ1256" s="82">
        <v>1.198310571250472</v>
      </c>
      <c r="BA1256" s="84">
        <v>1200.0</v>
      </c>
      <c r="BB1256" s="84" t="b">
        <f>IFERROR(__xludf.DUMMYFUNCTION("iferror(if(A1256="""",,E1256&gt;=FILTER(Constants!$F$2:$F$10,Constants!$A$2:$A$10=A1256)))"),TRUE)</f>
        <v>1</v>
      </c>
    </row>
    <row r="1257">
      <c r="A1257" s="89" t="str">
        <f>IFERROR(__xludf.DUMMYFUNCTION("""COMPUTED_VALUE"""),"Veteran")</f>
        <v>Veteran</v>
      </c>
      <c r="B1257" s="87" t="str">
        <f>IFERROR(__xludf.DUMMYFUNCTION("""COMPUTED_VALUE"""),"RSC007301")</f>
        <v>RSC007301</v>
      </c>
      <c r="C1257" s="73" t="str">
        <f>IFERROR(__xludf.DUMMYFUNCTION("""COMPUTED_VALUE"""),"DeathFletch")</f>
        <v>DeathFletch</v>
      </c>
      <c r="D1257" s="73" t="str">
        <f>IFERROR(__xludf.DUMMYFUNCTION("""COMPUTED_VALUE"""),"Azalea")</f>
        <v>Azalea</v>
      </c>
      <c r="E1257" s="82">
        <f>IFERROR(__xludf.DUMMYFUNCTION("""COMPUTED_VALUE"""),30.0)</f>
        <v>30</v>
      </c>
      <c r="F1257" s="82">
        <f>IFERROR(__xludf.DUMMYFUNCTION("""COMPUTED_VALUE"""),14.0)</f>
        <v>14</v>
      </c>
      <c r="G1257" s="86">
        <f>IFERROR(__xludf.DUMMYFUNCTION("""COMPUTED_VALUE"""),16.0)</f>
        <v>16</v>
      </c>
      <c r="H1257" s="86">
        <f>IFERROR(__xludf.DUMMYFUNCTION("""COMPUTED_VALUE"""),0.4666666666666667)</f>
        <v>0.4666666667</v>
      </c>
      <c r="I1257" s="86">
        <f>IFERROR(__xludf.DUMMYFUNCTION("""COMPUTED_VALUE"""),0.3026315789473685)</f>
        <v>0.3026315789</v>
      </c>
      <c r="J1257" s="82">
        <f>IFERROR(__xludf.DUMMYFUNCTION("""COMPUTED_VALUE"""),333.93333333333334)</f>
        <v>333.9333333</v>
      </c>
      <c r="K1257" s="82">
        <f>IFERROR(__xludf.DUMMYFUNCTION("""COMPUTED_VALUE"""),0.7666666666666667)</f>
        <v>0.7666666667</v>
      </c>
      <c r="L1257" s="82">
        <f>IFERROR(__xludf.DUMMYFUNCTION("""COMPUTED_VALUE"""),0.6333333333333333)</f>
        <v>0.6333333333</v>
      </c>
      <c r="M1257" s="82">
        <f>IFERROR(__xludf.DUMMYFUNCTION("""COMPUTED_VALUE"""),0.9666666666666667)</f>
        <v>0.9666666667</v>
      </c>
      <c r="N1257" s="82">
        <f>IFERROR(__xludf.DUMMYFUNCTION("""COMPUTED_VALUE"""),2.533333333333333)</f>
        <v>2.533333333</v>
      </c>
      <c r="O1257" s="82">
        <f>IFERROR(__xludf.DUMMYFUNCTION("""COMPUTED_VALUE"""),333.2666666666666)</f>
        <v>333.2666667</v>
      </c>
      <c r="P1257" s="82">
        <f>IFERROR(__xludf.DUMMYFUNCTION("""COMPUTED_VALUE"""),0.7333333333333333)</f>
        <v>0.7333333333</v>
      </c>
      <c r="Q1257" s="82">
        <f>IFERROR(__xludf.DUMMYFUNCTION("""COMPUTED_VALUE"""),0.43333333333333335)</f>
        <v>0.4333333333</v>
      </c>
      <c r="R1257" s="82">
        <f>IFERROR(__xludf.DUMMYFUNCTION("""COMPUTED_VALUE"""),1.422222222222223)</f>
        <v>1.422222222</v>
      </c>
      <c r="S1257" s="82">
        <f>IFERROR(__xludf.DUMMYFUNCTION("""COMPUTED_VALUE"""),2.2777777777777777)</f>
        <v>2.277777778</v>
      </c>
      <c r="T1257" s="82">
        <f>IFERROR(__xludf.DUMMYFUNCTION("""COMPUTED_VALUE"""),344.6652586279773)</f>
        <v>344.6652586</v>
      </c>
      <c r="U1257" s="82">
        <f>IFERROR(__xludf.DUMMYFUNCTION("""COMPUTED_VALUE"""),0.7232606385921285)</f>
        <v>0.7232606386</v>
      </c>
      <c r="V1257" s="82">
        <f>IFERROR(__xludf.DUMMYFUNCTION("""COMPUTED_VALUE"""),0.5198191690013957)</f>
        <v>0.519819169</v>
      </c>
      <c r="W1257" s="82">
        <f>IFERROR(__xludf.DUMMYFUNCTION("""COMPUTED_VALUE"""),1.4239079913340866)</f>
        <v>1.423907991</v>
      </c>
      <c r="X1257" s="82">
        <f>IFERROR(__xludf.DUMMYFUNCTION("""COMPUTED_VALUE"""),2.518123541842025)</f>
        <v>2.518123542</v>
      </c>
      <c r="Y1257" s="82">
        <f>IFERROR(__xludf.DUMMYFUNCTION("""COMPUTED_VALUE"""),347.553656974019)</f>
        <v>347.553657</v>
      </c>
      <c r="Z1257" s="82">
        <f>IFERROR(__xludf.DUMMYFUNCTION("""COMPUTED_VALUE"""),0.7725884035757394)</f>
        <v>0.7725884036</v>
      </c>
      <c r="AA1257" s="82">
        <f>IFERROR(__xludf.DUMMYFUNCTION("""COMPUTED_VALUE"""),0.5579271687387313)</f>
        <v>0.5579271687</v>
      </c>
      <c r="AB1257" s="82">
        <f>IFERROR(__xludf.DUMMYFUNCTION("""COMPUTED_VALUE"""),1.3518166431293837)</f>
        <v>1.351816643</v>
      </c>
      <c r="AC1257" s="82">
        <f>IFERROR(__xludf.DUMMYFUNCTION("""COMPUTED_VALUE"""),2.6058399295714847)</f>
        <v>2.60583993</v>
      </c>
      <c r="AD1257" s="82">
        <f>IFERROR(__xludf.DUMMYFUNCTION("""COMPUTED_VALUE"""),0.9608108751918445)</f>
        <v>0.9608108752</v>
      </c>
      <c r="AE1257" s="82">
        <f>IFERROR(__xludf.DUMMYFUNCTION("""COMPUTED_VALUE"""),0.9923351983000711)</f>
        <v>0.9923351983</v>
      </c>
      <c r="AF1257" s="82">
        <f>IFERROR(__xludf.DUMMYFUNCTION("""COMPUTED_VALUE"""),1.1351541362738575)</f>
        <v>1.135154136</v>
      </c>
      <c r="AG1257" s="82">
        <f>IFERROR(__xludf.DUMMYFUNCTION("""COMPUTED_VALUE"""),0.7150871174576492)</f>
        <v>0.7150871175</v>
      </c>
      <c r="AH1257" s="82">
        <f>IFERROR(__xludf.DUMMYFUNCTION("""COMPUTED_VALUE"""),0.9721753453021672)</f>
        <v>0.9721753453</v>
      </c>
      <c r="AI1257" s="82">
        <f>IFERROR(__xludf.DUMMYFUNCTION("""COMPUTED_VALUE"""),0.9669285149112923)</f>
        <v>0.9669285149</v>
      </c>
      <c r="AJ1257" s="82">
        <f>IFERROR(__xludf.DUMMYFUNCTION("""COMPUTED_VALUE"""),1.0139267840716617)</f>
        <v>1.013926784</v>
      </c>
      <c r="AK1257" s="82">
        <f>IFERROR(__xludf.DUMMYFUNCTION("""COMPUTED_VALUE"""),0.8336232274115498)</f>
        <v>0.8336232274</v>
      </c>
      <c r="AL1257" s="82">
        <f>IFERROR(__xludf.DUMMYFUNCTION("""COMPUTED_VALUE"""),0.9988160968811726)</f>
        <v>0.9988160969</v>
      </c>
      <c r="AM1257" s="82">
        <f>IFERROR(__xludf.DUMMYFUNCTION("""COMPUTED_VALUE"""),0.9045536249232503)</f>
        <v>0.9045536249</v>
      </c>
      <c r="AN1257" s="82">
        <f>IFERROR(__xludf.DUMMYFUNCTION("""COMPUTED_VALUE"""),0.9671453508926418)</f>
        <v>0.9671453509</v>
      </c>
      <c r="AO1257" s="82">
        <f>IFERROR(__xludf.DUMMYFUNCTION("""COMPUTED_VALUE"""),1.0163318626701687)</f>
        <v>1.016331863</v>
      </c>
      <c r="AP1257" s="82">
        <f>IFERROR(__xludf.DUMMYFUNCTION("""COMPUTED_VALUE"""),1.1745238374567921)</f>
        <v>1.174523837</v>
      </c>
      <c r="AQ1257" s="82">
        <f>IFERROR(__xludf.DUMMYFUNCTION("""COMPUTED_VALUE"""),0.7157081712348546)</f>
        <v>0.7157081712</v>
      </c>
      <c r="AR1257" s="82">
        <f>IFERROR(__xludf.DUMMYFUNCTION("""COMPUTED_VALUE"""),0.9893198798583588)</f>
        <v>0.9893198799</v>
      </c>
      <c r="AS1257" s="82">
        <f>IFERROR(__xludf.DUMMYFUNCTION("""COMPUTED_VALUE"""),74.0)</f>
        <v>74</v>
      </c>
      <c r="AT1257" s="82">
        <f>IFERROR(__xludf.DUMMYFUNCTION("""COMPUTED_VALUE"""),0.5443879861054928)</f>
        <v>0.5443879861</v>
      </c>
      <c r="AU1257" s="82">
        <f>IFERROR(__xludf.DUMMYFUNCTION("""COMPUTED_VALUE"""),2.635850075394167)</f>
        <v>2.635850075</v>
      </c>
      <c r="AV1257" s="82">
        <f>IFERROR(__xludf.DUMMYFUNCTION("""COMPUTED_VALUE"""),58.237148394519096)</f>
        <v>58.23714839</v>
      </c>
      <c r="AW1257" s="82">
        <f t="shared" si="1"/>
        <v>2.696186593</v>
      </c>
      <c r="AX1257" s="83">
        <f t="array" ref="AX1257">IFERROR(DGET('SBV Import'!A:G,"SBV",{"RSC ID","Tier";B1257,A1257}))</f>
        <v>54.5498483</v>
      </c>
      <c r="AY1257" s="82">
        <f t="shared" si="2"/>
        <v>2.337575091</v>
      </c>
      <c r="AZ1257" s="82">
        <v>0.35861150196755487</v>
      </c>
      <c r="BA1257" s="84">
        <v>1200.0</v>
      </c>
      <c r="BB1257" s="84" t="b">
        <f>IFERROR(__xludf.DUMMYFUNCTION("iferror(if(A1257="""",,E1257&gt;=FILTER(Constants!$F$2:$F$10,Constants!$A$2:$A$10=A1257)))"),TRUE)</f>
        <v>1</v>
      </c>
    </row>
    <row r="1258">
      <c r="A1258" s="89" t="str">
        <f>IFERROR(__xludf.DUMMYFUNCTION("""COMPUTED_VALUE"""),"Veteran")</f>
        <v>Veteran</v>
      </c>
      <c r="B1258" s="87" t="str">
        <f>IFERROR(__xludf.DUMMYFUNCTION("""COMPUTED_VALUE"""),"RSC007817")</f>
        <v>RSC007817</v>
      </c>
      <c r="C1258" s="73" t="str">
        <f>IFERROR(__xludf.DUMMYFUNCTION("""COMPUTED_VALUE"""),"HiChew.RL")</f>
        <v>HiChew.RL</v>
      </c>
      <c r="D1258" s="73" t="str">
        <f>IFERROR(__xludf.DUMMYFUNCTION("""COMPUTED_VALUE"""),"Dog Fighters")</f>
        <v>Dog Fighters</v>
      </c>
      <c r="E1258" s="82">
        <f>IFERROR(__xludf.DUMMYFUNCTION("""COMPUTED_VALUE"""),32.0)</f>
        <v>32</v>
      </c>
      <c r="F1258" s="82">
        <f>IFERROR(__xludf.DUMMYFUNCTION("""COMPUTED_VALUE"""),19.0)</f>
        <v>19</v>
      </c>
      <c r="G1258" s="86">
        <f>IFERROR(__xludf.DUMMYFUNCTION("""COMPUTED_VALUE"""),13.0)</f>
        <v>13</v>
      </c>
      <c r="H1258" s="86">
        <f>IFERROR(__xludf.DUMMYFUNCTION("""COMPUTED_VALUE"""),0.59375)</f>
        <v>0.59375</v>
      </c>
      <c r="I1258" s="86">
        <f>IFERROR(__xludf.DUMMYFUNCTION("""COMPUTED_VALUE"""),0.18518518518518517)</f>
        <v>0.1851851852</v>
      </c>
      <c r="J1258" s="82">
        <f>IFERROR(__xludf.DUMMYFUNCTION("""COMPUTED_VALUE"""),364.375)</f>
        <v>364.375</v>
      </c>
      <c r="K1258" s="82">
        <f>IFERROR(__xludf.DUMMYFUNCTION("""COMPUTED_VALUE"""),0.46875)</f>
        <v>0.46875</v>
      </c>
      <c r="L1258" s="82">
        <f>IFERROR(__xludf.DUMMYFUNCTION("""COMPUTED_VALUE"""),0.84375)</f>
        <v>0.84375</v>
      </c>
      <c r="M1258" s="82">
        <f>IFERROR(__xludf.DUMMYFUNCTION("""COMPUTED_VALUE"""),1.59375)</f>
        <v>1.59375</v>
      </c>
      <c r="N1258" s="82">
        <f>IFERROR(__xludf.DUMMYFUNCTION("""COMPUTED_VALUE"""),2.53125)</f>
        <v>2.53125</v>
      </c>
      <c r="O1258" s="82">
        <f>IFERROR(__xludf.DUMMYFUNCTION("""COMPUTED_VALUE"""),342.88541666666674)</f>
        <v>342.8854167</v>
      </c>
      <c r="P1258" s="82">
        <f>IFERROR(__xludf.DUMMYFUNCTION("""COMPUTED_VALUE"""),0.6145833333333335)</f>
        <v>0.6145833333</v>
      </c>
      <c r="Q1258" s="82">
        <f>IFERROR(__xludf.DUMMYFUNCTION("""COMPUTED_VALUE"""),0.4791666666666666)</f>
        <v>0.4791666667</v>
      </c>
      <c r="R1258" s="82">
        <f>IFERROR(__xludf.DUMMYFUNCTION("""COMPUTED_VALUE"""),1.46875)</f>
        <v>1.46875</v>
      </c>
      <c r="S1258" s="82">
        <f>IFERROR(__xludf.DUMMYFUNCTION("""COMPUTED_VALUE"""),2.458333333333333)</f>
        <v>2.458333333</v>
      </c>
      <c r="T1258" s="82">
        <f>IFERROR(__xludf.DUMMYFUNCTION("""COMPUTED_VALUE"""),349.13103497758743)</f>
        <v>349.131035</v>
      </c>
      <c r="U1258" s="82">
        <f>IFERROR(__xludf.DUMMYFUNCTION("""COMPUTED_VALUE"""),0.7012988224044061)</f>
        <v>0.7012988224</v>
      </c>
      <c r="V1258" s="82">
        <f>IFERROR(__xludf.DUMMYFUNCTION("""COMPUTED_VALUE"""),0.5571896259837276)</f>
        <v>0.557189626</v>
      </c>
      <c r="W1258" s="82">
        <f>IFERROR(__xludf.DUMMYFUNCTION("""COMPUTED_VALUE"""),1.4235299917071633)</f>
        <v>1.423529992</v>
      </c>
      <c r="X1258" s="82">
        <f>IFERROR(__xludf.DUMMYFUNCTION("""COMPUTED_VALUE"""),2.4853704245443997)</f>
        <v>2.485370425</v>
      </c>
      <c r="Y1258" s="82">
        <f>IFERROR(__xludf.DUMMYFUNCTION("""COMPUTED_VALUE"""),351.7637429446382)</f>
        <v>351.7637429</v>
      </c>
      <c r="Z1258" s="82">
        <f>IFERROR(__xludf.DUMMYFUNCTION("""COMPUTED_VALUE"""),0.7626694023977401)</f>
        <v>0.7626694024</v>
      </c>
      <c r="AA1258" s="82">
        <f>IFERROR(__xludf.DUMMYFUNCTION("""COMPUTED_VALUE"""),0.5552180012611714)</f>
        <v>0.5552180013</v>
      </c>
      <c r="AB1258" s="82">
        <f>IFERROR(__xludf.DUMMYFUNCTION("""COMPUTED_VALUE"""),1.346935663486779)</f>
        <v>1.346935663</v>
      </c>
      <c r="AC1258" s="82">
        <f>IFERROR(__xludf.DUMMYFUNCTION("""COMPUTED_VALUE"""),2.676352408368132)</f>
        <v>2.676352408</v>
      </c>
      <c r="AD1258" s="82">
        <f>IFERROR(__xludf.DUMMYFUNCTION("""COMPUTED_VALUE"""),1.0358514977973345)</f>
        <v>1.035851498</v>
      </c>
      <c r="AE1258" s="82">
        <f>IFERROR(__xludf.DUMMYFUNCTION("""COMPUTED_VALUE"""),0.6146175505747403)</f>
        <v>0.6146175506</v>
      </c>
      <c r="AF1258" s="82">
        <f>IFERROR(__xludf.DUMMYFUNCTION("""COMPUTED_VALUE"""),1.5196733500776838)</f>
        <v>1.51967335</v>
      </c>
      <c r="AG1258" s="82">
        <f>IFERROR(__xludf.DUMMYFUNCTION("""COMPUTED_VALUE"""),1.1832413701737607)</f>
        <v>1.18324137</v>
      </c>
      <c r="AH1258" s="82">
        <f>IFERROR(__xludf.DUMMYFUNCTION("""COMPUTED_VALUE"""),0.9457835194220159)</f>
        <v>0.9457835194</v>
      </c>
      <c r="AI1258" s="82">
        <f>IFERROR(__xludf.DUMMYFUNCTION("""COMPUTED_VALUE"""),0.9821109621167834)</f>
        <v>0.9821109621</v>
      </c>
      <c r="AJ1258" s="82">
        <f>IFERROR(__xludf.DUMMYFUNCTION("""COMPUTED_VALUE"""),0.8763501573070261)</f>
        <v>0.8763501573</v>
      </c>
      <c r="AK1258" s="82">
        <f>IFERROR(__xludf.DUMMYFUNCTION("""COMPUTED_VALUE"""),0.859970545612169)</f>
        <v>0.8599705456</v>
      </c>
      <c r="AL1258" s="82">
        <f>IFERROR(__xludf.DUMMYFUNCTION("""COMPUTED_VALUE"""),1.0317661085865895)</f>
        <v>1.031766109</v>
      </c>
      <c r="AM1258" s="82">
        <f>IFERROR(__xludf.DUMMYFUNCTION("""COMPUTED_VALUE"""),0.9891215044067232)</f>
        <v>0.9891215044</v>
      </c>
      <c r="AN1258" s="82">
        <f>IFERROR(__xludf.DUMMYFUNCTION("""COMPUTED_VALUE"""),1.0553112015317618)</f>
        <v>1.055311202</v>
      </c>
      <c r="AO1258" s="82">
        <f>IFERROR(__xludf.DUMMYFUNCTION("""COMPUTED_VALUE"""),0.6213985573390977)</f>
        <v>0.6213985573</v>
      </c>
      <c r="AP1258" s="82">
        <f>IFERROR(__xludf.DUMMYFUNCTION("""COMPUTED_VALUE"""),1.5647439281907922)</f>
        <v>1.564743928</v>
      </c>
      <c r="AQ1258" s="82">
        <f>IFERROR(__xludf.DUMMYFUNCTION("""COMPUTED_VALUE"""),1.1799929978333272)</f>
        <v>1.179992998</v>
      </c>
      <c r="AR1258" s="82">
        <f>IFERROR(__xludf.DUMMYFUNCTION("""COMPUTED_VALUE"""),0.9885062944308437)</f>
        <v>0.9885062944</v>
      </c>
      <c r="AS1258" s="82">
        <f>IFERROR(__xludf.DUMMYFUNCTION("""COMPUTED_VALUE"""),78.0)</f>
        <v>78</v>
      </c>
      <c r="AT1258" s="82">
        <f>IFERROR(__xludf.DUMMYFUNCTION("""COMPUTED_VALUE"""),0.6043853627758308)</f>
        <v>0.6043853628</v>
      </c>
      <c r="AU1258" s="82">
        <f>IFERROR(__xludf.DUMMYFUNCTION("""COMPUTED_VALUE"""),2.6354482203004257)</f>
        <v>2.63544822</v>
      </c>
      <c r="AV1258" s="82">
        <f>IFERROR(__xludf.DUMMYFUNCTION("""COMPUTED_VALUE"""),58.22470049411543)</f>
        <v>58.22470049</v>
      </c>
      <c r="AW1258" s="82">
        <f t="shared" si="1"/>
        <v>2.69481947</v>
      </c>
      <c r="AX1258" s="83">
        <f t="array" ref="AX1258">IFERROR(DGET('SBV Import'!A:G,"SBV",{"RSC ID","Tier";B1258,A1258}))</f>
        <v>57.62389008</v>
      </c>
      <c r="AY1258" s="82">
        <f t="shared" si="2"/>
        <v>2.630194752</v>
      </c>
      <c r="AZ1258" s="82">
        <v>0.06462471780654289</v>
      </c>
      <c r="BA1258" s="84">
        <v>1200.0</v>
      </c>
      <c r="BB1258" s="84" t="b">
        <f>IFERROR(__xludf.DUMMYFUNCTION("iferror(if(A1258="""",,E1258&gt;=FILTER(Constants!$F$2:$F$10,Constants!$A$2:$A$10=A1258)))"),TRUE)</f>
        <v>1</v>
      </c>
    </row>
    <row r="1259">
      <c r="A1259" s="89" t="str">
        <f>IFERROR(__xludf.DUMMYFUNCTION("""COMPUTED_VALUE"""),"Veteran")</f>
        <v>Veteran</v>
      </c>
      <c r="B1259" s="87" t="str">
        <f>IFERROR(__xludf.DUMMYFUNCTION("""COMPUTED_VALUE"""),"RSC007383")</f>
        <v>RSC007383</v>
      </c>
      <c r="C1259" s="73" t="str">
        <f>IFERROR(__xludf.DUMMYFUNCTION("""COMPUTED_VALUE"""),"ttv. blestbb")</f>
        <v>ttv. blestbb</v>
      </c>
      <c r="D1259" s="73" t="str">
        <f>IFERROR(__xludf.DUMMYFUNCTION("""COMPUTED_VALUE"""),"Gouda Gangsters")</f>
        <v>Gouda Gangsters</v>
      </c>
      <c r="E1259" s="82">
        <f>IFERROR(__xludf.DUMMYFUNCTION("""COMPUTED_VALUE"""),32.0)</f>
        <v>32</v>
      </c>
      <c r="F1259" s="82">
        <f>IFERROR(__xludf.DUMMYFUNCTION("""COMPUTED_VALUE"""),13.0)</f>
        <v>13</v>
      </c>
      <c r="G1259" s="86">
        <f>IFERROR(__xludf.DUMMYFUNCTION("""COMPUTED_VALUE"""),19.0)</f>
        <v>19</v>
      </c>
      <c r="H1259" s="86">
        <f>IFERROR(__xludf.DUMMYFUNCTION("""COMPUTED_VALUE"""),0.40625)</f>
        <v>0.40625</v>
      </c>
      <c r="I1259" s="86">
        <f>IFERROR(__xludf.DUMMYFUNCTION("""COMPUTED_VALUE"""),0.23711340206185566)</f>
        <v>0.2371134021</v>
      </c>
      <c r="J1259" s="82">
        <f>IFERROR(__xludf.DUMMYFUNCTION("""COMPUTED_VALUE"""),358.875)</f>
        <v>358.875</v>
      </c>
      <c r="K1259" s="82">
        <f>IFERROR(__xludf.DUMMYFUNCTION("""COMPUTED_VALUE"""),0.71875)</f>
        <v>0.71875</v>
      </c>
      <c r="L1259" s="82">
        <f>IFERROR(__xludf.DUMMYFUNCTION("""COMPUTED_VALUE"""),0.65625)</f>
        <v>0.65625</v>
      </c>
      <c r="M1259" s="82">
        <f>IFERROR(__xludf.DUMMYFUNCTION("""COMPUTED_VALUE"""),1.40625)</f>
        <v>1.40625</v>
      </c>
      <c r="N1259" s="82">
        <f>IFERROR(__xludf.DUMMYFUNCTION("""COMPUTED_VALUE"""),3.03125)</f>
        <v>3.03125</v>
      </c>
      <c r="O1259" s="82">
        <f>IFERROR(__xludf.DUMMYFUNCTION("""COMPUTED_VALUE"""),377.30208333333337)</f>
        <v>377.3020833</v>
      </c>
      <c r="P1259" s="82">
        <f>IFERROR(__xludf.DUMMYFUNCTION("""COMPUTED_VALUE"""),0.9166666666666667)</f>
        <v>0.9166666667</v>
      </c>
      <c r="Q1259" s="82">
        <f>IFERROR(__xludf.DUMMYFUNCTION("""COMPUTED_VALUE"""),0.7083333333333334)</f>
        <v>0.7083333333</v>
      </c>
      <c r="R1259" s="82">
        <f>IFERROR(__xludf.DUMMYFUNCTION("""COMPUTED_VALUE"""),1.3645833333333333)</f>
        <v>1.364583333</v>
      </c>
      <c r="S1259" s="82">
        <f>IFERROR(__xludf.DUMMYFUNCTION("""COMPUTED_VALUE"""),2.5312500000000004)</f>
        <v>2.53125</v>
      </c>
      <c r="T1259" s="82">
        <f>IFERROR(__xludf.DUMMYFUNCTION("""COMPUTED_VALUE"""),362.11727269353804)</f>
        <v>362.1172727</v>
      </c>
      <c r="U1259" s="82">
        <f>IFERROR(__xludf.DUMMYFUNCTION("""COMPUTED_VALUE"""),0.837351573740345)</f>
        <v>0.8373515737</v>
      </c>
      <c r="V1259" s="82">
        <f>IFERROR(__xludf.DUMMYFUNCTION("""COMPUTED_VALUE"""),0.6142923605391012)</f>
        <v>0.6142923605</v>
      </c>
      <c r="W1259" s="82">
        <f>IFERROR(__xludf.DUMMYFUNCTION("""COMPUTED_VALUE"""),1.3338718807547985)</f>
        <v>1.333871881</v>
      </c>
      <c r="X1259" s="82">
        <f>IFERROR(__xludf.DUMMYFUNCTION("""COMPUTED_VALUE"""),2.777977977914691)</f>
        <v>2.777977978</v>
      </c>
      <c r="Y1259" s="82">
        <f>IFERROR(__xludf.DUMMYFUNCTION("""COMPUTED_VALUE"""),357.7506881063274)</f>
        <v>357.7506881</v>
      </c>
      <c r="Z1259" s="82">
        <f>IFERROR(__xludf.DUMMYFUNCTION("""COMPUTED_VALUE"""),0.7934074946565288)</f>
        <v>0.7934074947</v>
      </c>
      <c r="AA1259" s="82">
        <f>IFERROR(__xludf.DUMMYFUNCTION("""COMPUTED_VALUE"""),0.583264220646709)</f>
        <v>0.5832642206</v>
      </c>
      <c r="AB1259" s="82">
        <f>IFERROR(__xludf.DUMMYFUNCTION("""COMPUTED_VALUE"""),1.4218742189851434)</f>
        <v>1.421874219</v>
      </c>
      <c r="AC1259" s="82">
        <f>IFERROR(__xludf.DUMMYFUNCTION("""COMPUTED_VALUE"""),2.5890698671336763)</f>
        <v>2.589069867</v>
      </c>
      <c r="AD1259" s="82">
        <f>IFERROR(__xludf.DUMMYFUNCTION("""COMPUTED_VALUE"""),1.0031427246153568)</f>
        <v>1.003142725</v>
      </c>
      <c r="AE1259" s="82">
        <f>IFERROR(__xludf.DUMMYFUNCTION("""COMPUTED_VALUE"""),0.9059027105751647)</f>
        <v>0.9059027106</v>
      </c>
      <c r="AF1259" s="82">
        <f>IFERROR(__xludf.DUMMYFUNCTION("""COMPUTED_VALUE"""),1.1251333045465504)</f>
        <v>1.125133305</v>
      </c>
      <c r="AG1259" s="82">
        <f>IFERROR(__xludf.DUMMYFUNCTION("""COMPUTED_VALUE"""),0.9890115322603604)</f>
        <v>0.9890115323</v>
      </c>
      <c r="AH1259" s="82">
        <f>IFERROR(__xludf.DUMMYFUNCTION("""COMPUTED_VALUE"""),1.1707872539399082)</f>
        <v>1.170787254</v>
      </c>
      <c r="AI1259" s="82">
        <f>IFERROR(__xludf.DUMMYFUNCTION("""COMPUTED_VALUE"""),1.041933406067173)</f>
        <v>1.041933406</v>
      </c>
      <c r="AJ1259" s="82">
        <f>IFERROR(__xludf.DUMMYFUNCTION("""COMPUTED_VALUE"""),1.094721375600969)</f>
        <v>1.094721376</v>
      </c>
      <c r="AK1259" s="82">
        <f>IFERROR(__xludf.DUMMYFUNCTION("""COMPUTED_VALUE"""),1.1530882993754017)</f>
        <v>1.153088299</v>
      </c>
      <c r="AL1259" s="82">
        <f>IFERROR(__xludf.DUMMYFUNCTION("""COMPUTED_VALUE"""),1.0230242896800223)</f>
        <v>1.02302429</v>
      </c>
      <c r="AM1259" s="82">
        <f>IFERROR(__xludf.DUMMYFUNCTION("""COMPUTED_VALUE"""),0.9111843290781237)</f>
        <v>0.9111843291</v>
      </c>
      <c r="AN1259" s="82">
        <f>IFERROR(__xludf.DUMMYFUNCTION("""COMPUTED_VALUE"""),1.0393819758482634)</f>
        <v>1.039381976</v>
      </c>
      <c r="AO1259" s="82">
        <f>IFERROR(__xludf.DUMMYFUNCTION("""COMPUTED_VALUE"""),0.9528111212532832)</f>
        <v>0.9528111213</v>
      </c>
      <c r="AP1259" s="82">
        <f>IFERROR(__xludf.DUMMYFUNCTION("""COMPUTED_VALUE"""),1.2170230552595052)</f>
        <v>1.217023055</v>
      </c>
      <c r="AQ1259" s="82">
        <f>IFERROR(__xludf.DUMMYFUNCTION("""COMPUTED_VALUE"""),1.041170292205877)</f>
        <v>1.041170292</v>
      </c>
      <c r="AR1259" s="82">
        <f>IFERROR(__xludf.DUMMYFUNCTION("""COMPUTED_VALUE"""),1.1837667970344672)</f>
        <v>1.183766797</v>
      </c>
      <c r="AS1259" s="82">
        <f>IFERROR(__xludf.DUMMYFUNCTION("""COMPUTED_VALUE"""),77.0)</f>
        <v>77</v>
      </c>
      <c r="AT1259" s="82">
        <f>IFERROR(__xludf.DUMMYFUNCTION("""COMPUTED_VALUE"""),0.44675078636956367)</f>
        <v>0.4467507864</v>
      </c>
      <c r="AU1259" s="82">
        <f>IFERROR(__xludf.DUMMYFUNCTION("""COMPUTED_VALUE"""),2.615532922902778)</f>
        <v>2.615532923</v>
      </c>
      <c r="AV1259" s="82">
        <f>IFERROR(__xludf.DUMMYFUNCTION("""COMPUTED_VALUE"""),57.60780240727677)</f>
        <v>57.60780241</v>
      </c>
      <c r="AW1259" s="82">
        <f t="shared" si="1"/>
        <v>2.628500384</v>
      </c>
      <c r="AX1259" s="83">
        <f t="array" ref="AX1259">IFERROR(DGET('SBV Import'!A:G,"SBV",{"RSC ID","Tier";B1259,A1259}))</f>
        <v>56.18241735</v>
      </c>
      <c r="AY1259" s="82">
        <f t="shared" si="2"/>
        <v>2.48546433</v>
      </c>
      <c r="AZ1259" s="82">
        <v>0.14303605447257706</v>
      </c>
      <c r="BA1259" s="84">
        <v>1200.0</v>
      </c>
      <c r="BB1259" s="84" t="b">
        <f>IFERROR(__xludf.DUMMYFUNCTION("iferror(if(A1259="""",,E1259&gt;=FILTER(Constants!$F$2:$F$10,Constants!$A$2:$A$10=A1259)))"),TRUE)</f>
        <v>1</v>
      </c>
    </row>
    <row r="1260">
      <c r="A1260" s="89" t="str">
        <f>IFERROR(__xludf.DUMMYFUNCTION("""COMPUTED_VALUE"""),"Veteran")</f>
        <v>Veteran</v>
      </c>
      <c r="B1260" s="87" t="str">
        <f>IFERROR(__xludf.DUMMYFUNCTION("""COMPUTED_VALUE"""),"RSC006315")</f>
        <v>RSC006315</v>
      </c>
      <c r="C1260" s="73" t="str">
        <f>IFERROR(__xludf.DUMMYFUNCTION("""COMPUTED_VALUE"""),"BIGbadBULLMAN13")</f>
        <v>BIGbadBULLMAN13</v>
      </c>
      <c r="D1260" s="73" t="str">
        <f>IFERROR(__xludf.DUMMYFUNCTION("""COMPUTED_VALUE"""),"Singularity")</f>
        <v>Singularity</v>
      </c>
      <c r="E1260" s="82">
        <f>IFERROR(__xludf.DUMMYFUNCTION("""COMPUTED_VALUE"""),24.0)</f>
        <v>24</v>
      </c>
      <c r="F1260" s="82">
        <f>IFERROR(__xludf.DUMMYFUNCTION("""COMPUTED_VALUE"""),14.0)</f>
        <v>14</v>
      </c>
      <c r="G1260" s="86">
        <f>IFERROR(__xludf.DUMMYFUNCTION("""COMPUTED_VALUE"""),10.0)</f>
        <v>10</v>
      </c>
      <c r="H1260" s="86">
        <f>IFERROR(__xludf.DUMMYFUNCTION("""COMPUTED_VALUE"""),0.5833333333333334)</f>
        <v>0.5833333333</v>
      </c>
      <c r="I1260" s="86">
        <f>IFERROR(__xludf.DUMMYFUNCTION("""COMPUTED_VALUE"""),0.29824561403508776)</f>
        <v>0.298245614</v>
      </c>
      <c r="J1260" s="82">
        <f>IFERROR(__xludf.DUMMYFUNCTION("""COMPUTED_VALUE"""),363.2916666666667)</f>
        <v>363.2916667</v>
      </c>
      <c r="K1260" s="82">
        <f>IFERROR(__xludf.DUMMYFUNCTION("""COMPUTED_VALUE"""),0.7083333333333334)</f>
        <v>0.7083333333</v>
      </c>
      <c r="L1260" s="82">
        <f>IFERROR(__xludf.DUMMYFUNCTION("""COMPUTED_VALUE"""),0.5833333333333334)</f>
        <v>0.5833333333</v>
      </c>
      <c r="M1260" s="82">
        <f>IFERROR(__xludf.DUMMYFUNCTION("""COMPUTED_VALUE"""),1.7083333333333333)</f>
        <v>1.708333333</v>
      </c>
      <c r="N1260" s="82">
        <f>IFERROR(__xludf.DUMMYFUNCTION("""COMPUTED_VALUE"""),2.375)</f>
        <v>2.375</v>
      </c>
      <c r="O1260" s="82">
        <f>IFERROR(__xludf.DUMMYFUNCTION("""COMPUTED_VALUE"""),319.8055555555556)</f>
        <v>319.8055556</v>
      </c>
      <c r="P1260" s="82">
        <f>IFERROR(__xludf.DUMMYFUNCTION("""COMPUTED_VALUE"""),0.5972222222222223)</f>
        <v>0.5972222222</v>
      </c>
      <c r="Q1260" s="82">
        <f>IFERROR(__xludf.DUMMYFUNCTION("""COMPUTED_VALUE"""),0.4305555555555554)</f>
        <v>0.4305555556</v>
      </c>
      <c r="R1260" s="82">
        <f>IFERROR(__xludf.DUMMYFUNCTION("""COMPUTED_VALUE"""),1.222222222222222)</f>
        <v>1.222222222</v>
      </c>
      <c r="S1260" s="82">
        <f>IFERROR(__xludf.DUMMYFUNCTION("""COMPUTED_VALUE"""),2.819444444444444)</f>
        <v>2.819444444</v>
      </c>
      <c r="T1260" s="82">
        <f>IFERROR(__xludf.DUMMYFUNCTION("""COMPUTED_VALUE"""),338.1986396461195)</f>
        <v>338.1986396</v>
      </c>
      <c r="U1260" s="82">
        <f>IFERROR(__xludf.DUMMYFUNCTION("""COMPUTED_VALUE"""),0.723969540139788)</f>
        <v>0.7239695401</v>
      </c>
      <c r="V1260" s="82">
        <f>IFERROR(__xludf.DUMMYFUNCTION("""COMPUTED_VALUE"""),0.5343313028700155)</f>
        <v>0.5343313029</v>
      </c>
      <c r="W1260" s="82">
        <f>IFERROR(__xludf.DUMMYFUNCTION("""COMPUTED_VALUE"""),1.2570728412059609)</f>
        <v>1.257072841</v>
      </c>
      <c r="X1260" s="82">
        <f>IFERROR(__xludf.DUMMYFUNCTION("""COMPUTED_VALUE"""),2.5392490350809513)</f>
        <v>2.539249035</v>
      </c>
      <c r="Y1260" s="82">
        <f>IFERROR(__xludf.DUMMYFUNCTION("""COMPUTED_VALUE"""),344.7211893683131)</f>
        <v>344.7211894</v>
      </c>
      <c r="Z1260" s="82">
        <f>IFERROR(__xludf.DUMMYFUNCTION("""COMPUTED_VALUE"""),0.7231599417373583)</f>
        <v>0.7231599417</v>
      </c>
      <c r="AA1260" s="82">
        <f>IFERROR(__xludf.DUMMYFUNCTION("""COMPUTED_VALUE"""),0.540144515322076)</f>
        <v>0.5401445153</v>
      </c>
      <c r="AB1260" s="82">
        <f>IFERROR(__xludf.DUMMYFUNCTION("""COMPUTED_VALUE"""),1.3670866246354008)</f>
        <v>1.367086625</v>
      </c>
      <c r="AC1260" s="82">
        <f>IFERROR(__xludf.DUMMYFUNCTION("""COMPUTED_VALUE"""),2.470119807505373)</f>
        <v>2.470119808</v>
      </c>
      <c r="AD1260" s="82">
        <f>IFERROR(__xludf.DUMMYFUNCTION("""COMPUTED_VALUE"""),1.053871006108975)</f>
        <v>1.053871006</v>
      </c>
      <c r="AE1260" s="82">
        <f>IFERROR(__xludf.DUMMYFUNCTION("""COMPUTED_VALUE"""),0.9794974699948055)</f>
        <v>0.97949747</v>
      </c>
      <c r="AF1260" s="82">
        <f>IFERROR(__xludf.DUMMYFUNCTION("""COMPUTED_VALUE"""),1.0799578942044887)</f>
        <v>1.079957894</v>
      </c>
      <c r="AG1260" s="82">
        <f>IFERROR(__xludf.DUMMYFUNCTION("""COMPUTED_VALUE"""),1.2496160100966114)</f>
        <v>1.24961601</v>
      </c>
      <c r="AH1260" s="82">
        <f>IFERROR(__xludf.DUMMYFUNCTION("""COMPUTED_VALUE"""),0.9614918243170413)</f>
        <v>0.9614918243</v>
      </c>
      <c r="AI1260" s="82">
        <f>IFERROR(__xludf.DUMMYFUNCTION("""COMPUTED_VALUE"""),0.9456145532997713)</f>
        <v>0.9456145533</v>
      </c>
      <c r="AJ1260" s="82">
        <f>IFERROR(__xludf.DUMMYFUNCTION("""COMPUTED_VALUE"""),0.8249272781654701)</f>
        <v>0.8249272782</v>
      </c>
      <c r="AK1260" s="82">
        <f>IFERROR(__xludf.DUMMYFUNCTION("""COMPUTED_VALUE"""),0.8057838895886188)</f>
        <v>0.8057838896</v>
      </c>
      <c r="AL1260" s="82">
        <f>IFERROR(__xludf.DUMMYFUNCTION("""COMPUTED_VALUE"""),0.9722763726640493)</f>
        <v>0.9722763727</v>
      </c>
      <c r="AM1260" s="82">
        <f>IFERROR(__xludf.DUMMYFUNCTION("""COMPUTED_VALUE"""),1.1103457776265573)</f>
        <v>1.110345778</v>
      </c>
      <c r="AN1260" s="82">
        <f>IFERROR(__xludf.DUMMYFUNCTION("""COMPUTED_VALUE"""),1.0521736267759212)</f>
        <v>1.052173627</v>
      </c>
      <c r="AO1260" s="82">
        <f>IFERROR(__xludf.DUMMYFUNCTION("""COMPUTED_VALUE"""),0.9390022644235254)</f>
        <v>0.9390022644</v>
      </c>
      <c r="AP1260" s="82">
        <f>IFERROR(__xludf.DUMMYFUNCTION("""COMPUTED_VALUE"""),1.0817982713417824)</f>
        <v>1.081798271</v>
      </c>
      <c r="AQ1260" s="82">
        <f>IFERROR(__xludf.DUMMYFUNCTION("""COMPUTED_VALUE"""),1.264829095716769)</f>
        <v>1.264829096</v>
      </c>
      <c r="AR1260" s="82">
        <f>IFERROR(__xludf.DUMMYFUNCTION("""COMPUTED_VALUE"""),0.9274873873672114)</f>
        <v>0.9274873874</v>
      </c>
      <c r="AS1260" s="82">
        <f>IFERROR(__xludf.DUMMYFUNCTION("""COMPUTED_VALUE"""),56.0)</f>
        <v>56</v>
      </c>
      <c r="AT1260" s="82">
        <f>IFERROR(__xludf.DUMMYFUNCTION("""COMPUTED_VALUE"""),0.5978984244560307)</f>
        <v>0.5978984245</v>
      </c>
      <c r="AU1260" s="82">
        <f>IFERROR(__xludf.DUMMYFUNCTION("""COMPUTED_VALUE"""),2.6032865874760756)</f>
        <v>2.603286587</v>
      </c>
      <c r="AV1260" s="82">
        <f>IFERROR(__xludf.DUMMYFUNCTION("""COMPUTED_VALUE"""),57.22845879293488)</f>
        <v>57.22845879</v>
      </c>
      <c r="AW1260" s="82">
        <f t="shared" si="1"/>
        <v>2.589078857</v>
      </c>
      <c r="AX1260" s="83">
        <f t="array" ref="AX1260">IFERROR(DGET('SBV Import'!A:G,"SBV",{"RSC ID","Tier";B1260,A1260}))</f>
        <v>48.56315538</v>
      </c>
      <c r="AY1260" s="82">
        <f t="shared" si="2"/>
        <v>-2.096067405</v>
      </c>
      <c r="AZ1260" s="82">
        <v>4.685146262168962</v>
      </c>
      <c r="BA1260" s="84">
        <v>1200.0</v>
      </c>
      <c r="BB1260" s="84" t="b">
        <f>IFERROR(__xludf.DUMMYFUNCTION("iferror(if(A1260="""",,E1260&gt;=FILTER(Constants!$F$2:$F$10,Constants!$A$2:$A$10=A1260)))"),TRUE)</f>
        <v>1</v>
      </c>
    </row>
    <row r="1261">
      <c r="A1261" s="89" t="str">
        <f>IFERROR(__xludf.DUMMYFUNCTION("""COMPUTED_VALUE"""),"Veteran")</f>
        <v>Veteran</v>
      </c>
      <c r="B1261" s="87" t="str">
        <f>IFERROR(__xludf.DUMMYFUNCTION("""COMPUTED_VALUE"""),"RSC006869")</f>
        <v>RSC006869</v>
      </c>
      <c r="C1261" s="73" t="str">
        <f>IFERROR(__xludf.DUMMYFUNCTION("""COMPUTED_VALUE"""),"Flurry ^-^")</f>
        <v>Flurry ^-^</v>
      </c>
      <c r="D1261" s="73" t="str">
        <f>IFERROR(__xludf.DUMMYFUNCTION("""COMPUTED_VALUE"""),"Dump Trucks")</f>
        <v>Dump Trucks</v>
      </c>
      <c r="E1261" s="82">
        <f>IFERROR(__xludf.DUMMYFUNCTION("""COMPUTED_VALUE"""),23.0)</f>
        <v>23</v>
      </c>
      <c r="F1261" s="82">
        <f>IFERROR(__xludf.DUMMYFUNCTION("""COMPUTED_VALUE"""),9.0)</f>
        <v>9</v>
      </c>
      <c r="G1261" s="86">
        <f>IFERROR(__xludf.DUMMYFUNCTION("""COMPUTED_VALUE"""),14.0)</f>
        <v>14</v>
      </c>
      <c r="H1261" s="86">
        <f>IFERROR(__xludf.DUMMYFUNCTION("""COMPUTED_VALUE"""),0.391304347826087)</f>
        <v>0.3913043478</v>
      </c>
      <c r="I1261" s="86">
        <f>IFERROR(__xludf.DUMMYFUNCTION("""COMPUTED_VALUE"""),0.3275862068965517)</f>
        <v>0.3275862069</v>
      </c>
      <c r="J1261" s="82">
        <f>IFERROR(__xludf.DUMMYFUNCTION("""COMPUTED_VALUE"""),331.4347826086956)</f>
        <v>331.4347826</v>
      </c>
      <c r="K1261" s="82">
        <f>IFERROR(__xludf.DUMMYFUNCTION("""COMPUTED_VALUE"""),0.8260869565217391)</f>
        <v>0.8260869565</v>
      </c>
      <c r="L1261" s="82">
        <f>IFERROR(__xludf.DUMMYFUNCTION("""COMPUTED_VALUE"""),0.5652173913043478)</f>
        <v>0.5652173913</v>
      </c>
      <c r="M1261" s="82">
        <f>IFERROR(__xludf.DUMMYFUNCTION("""COMPUTED_VALUE"""),1.0)</f>
        <v>1</v>
      </c>
      <c r="N1261" s="82">
        <f>IFERROR(__xludf.DUMMYFUNCTION("""COMPUTED_VALUE"""),2.5217391304347827)</f>
        <v>2.52173913</v>
      </c>
      <c r="O1261" s="82">
        <f>IFERROR(__xludf.DUMMYFUNCTION("""COMPUTED_VALUE"""),324.42028985507244)</f>
        <v>324.4202899</v>
      </c>
      <c r="P1261" s="82">
        <f>IFERROR(__xludf.DUMMYFUNCTION("""COMPUTED_VALUE"""),0.681159420289855)</f>
        <v>0.6811594203</v>
      </c>
      <c r="Q1261" s="82">
        <f>IFERROR(__xludf.DUMMYFUNCTION("""COMPUTED_VALUE"""),0.5652173913043478)</f>
        <v>0.5652173913</v>
      </c>
      <c r="R1261" s="82">
        <f>IFERROR(__xludf.DUMMYFUNCTION("""COMPUTED_VALUE"""),1.0724637681159417)</f>
        <v>1.072463768</v>
      </c>
      <c r="S1261" s="82">
        <f>IFERROR(__xludf.DUMMYFUNCTION("""COMPUTED_VALUE"""),2.5217391304347823)</f>
        <v>2.52173913</v>
      </c>
      <c r="T1261" s="82">
        <f>IFERROR(__xludf.DUMMYFUNCTION("""COMPUTED_VALUE"""),339.66556575573884)</f>
        <v>339.6655658</v>
      </c>
      <c r="U1261" s="82">
        <f>IFERROR(__xludf.DUMMYFUNCTION("""COMPUTED_VALUE"""),0.6925336415638502)</f>
        <v>0.6925336416</v>
      </c>
      <c r="V1261" s="82">
        <f>IFERROR(__xludf.DUMMYFUNCTION("""COMPUTED_VALUE"""),0.5209466054996761)</f>
        <v>0.5209466055</v>
      </c>
      <c r="W1261" s="82">
        <f>IFERROR(__xludf.DUMMYFUNCTION("""COMPUTED_VALUE"""),1.3483754866164446)</f>
        <v>1.348375487</v>
      </c>
      <c r="X1261" s="82">
        <f>IFERROR(__xludf.DUMMYFUNCTION("""COMPUTED_VALUE"""),2.5544135712257465)</f>
        <v>2.554413571</v>
      </c>
      <c r="Y1261" s="82">
        <f>IFERROR(__xludf.DUMMYFUNCTION("""COMPUTED_VALUE"""),345.71173186974227)</f>
        <v>345.7117319</v>
      </c>
      <c r="Z1261" s="82">
        <f>IFERROR(__xludf.DUMMYFUNCTION("""COMPUTED_VALUE"""),0.720359731744395)</f>
        <v>0.7203597317</v>
      </c>
      <c r="AA1261" s="82">
        <f>IFERROR(__xludf.DUMMYFUNCTION("""COMPUTED_VALUE"""),0.5390397421504513)</f>
        <v>0.5390397422</v>
      </c>
      <c r="AB1261" s="82">
        <f>IFERROR(__xludf.DUMMYFUNCTION("""COMPUTED_VALUE"""),1.38886296992506)</f>
        <v>1.38886297</v>
      </c>
      <c r="AC1261" s="82">
        <f>IFERROR(__xludf.DUMMYFUNCTION("""COMPUTED_VALUE"""),2.510057650855213)</f>
        <v>2.510057651</v>
      </c>
      <c r="AD1261" s="82">
        <f>IFERROR(__xludf.DUMMYFUNCTION("""COMPUTED_VALUE"""),0.9587027342583042)</f>
        <v>0.9587027343</v>
      </c>
      <c r="AE1261" s="82">
        <f>IFERROR(__xludf.DUMMYFUNCTION("""COMPUTED_VALUE"""),1.1467700374107797)</f>
        <v>1.146770037</v>
      </c>
      <c r="AF1261" s="82">
        <f>IFERROR(__xludf.DUMMYFUNCTION("""COMPUTED_VALUE"""),1.0485634863386197)</f>
        <v>1.048563486</v>
      </c>
      <c r="AG1261" s="82">
        <f>IFERROR(__xludf.DUMMYFUNCTION("""COMPUTED_VALUE"""),0.7200134366415988)</f>
        <v>0.7200134366</v>
      </c>
      <c r="AH1261" s="82">
        <f>IFERROR(__xludf.DUMMYFUNCTION("""COMPUTED_VALUE"""),1.0046538690358724)</f>
        <v>1.004653869</v>
      </c>
      <c r="AI1261" s="82">
        <f>IFERROR(__xludf.DUMMYFUNCTION("""COMPUTED_VALUE"""),0.9551168047701674)</f>
        <v>0.9551168048</v>
      </c>
      <c r="AJ1261" s="82">
        <f>IFERROR(__xludf.DUMMYFUNCTION("""COMPUTED_VALUE"""),0.9835759296135991)</f>
        <v>0.9835759296</v>
      </c>
      <c r="AK1261" s="82">
        <f>IFERROR(__xludf.DUMMYFUNCTION("""COMPUTED_VALUE"""),1.0849814267667768)</f>
        <v>1.084981427</v>
      </c>
      <c r="AL1261" s="82">
        <f>IFERROR(__xludf.DUMMYFUNCTION("""COMPUTED_VALUE"""),0.7953747148037644)</f>
        <v>0.7953747148</v>
      </c>
      <c r="AM1261" s="82">
        <f>IFERROR(__xludf.DUMMYFUNCTION("""COMPUTED_VALUE"""),0.987208633261651)</f>
        <v>0.9872086333</v>
      </c>
      <c r="AN1261" s="82">
        <f>IFERROR(__xludf.DUMMYFUNCTION("""COMPUTED_VALUE"""),0.9599089911882013)</f>
        <v>0.9599089912</v>
      </c>
      <c r="AO1261" s="82">
        <f>IFERROR(__xludf.DUMMYFUNCTION("""COMPUTED_VALUE"""),1.0951023851077433)</f>
        <v>1.095102385</v>
      </c>
      <c r="AP1261" s="82">
        <f>IFERROR(__xludf.DUMMYFUNCTION("""COMPUTED_VALUE"""),1.0482020517348947)</f>
        <v>1.048202052</v>
      </c>
      <c r="AQ1261" s="82">
        <f>IFERROR(__xludf.DUMMYFUNCTION("""COMPUTED_VALUE"""),0.7403877633464013)</f>
        <v>0.7403877633</v>
      </c>
      <c r="AR1261" s="82">
        <f>IFERROR(__xludf.DUMMYFUNCTION("""COMPUTED_VALUE"""),0.98479210008784)</f>
        <v>0.9847921001</v>
      </c>
      <c r="AS1261" s="82">
        <f>IFERROR(__xludf.DUMMYFUNCTION("""COMPUTED_VALUE"""),45.0)</f>
        <v>45</v>
      </c>
      <c r="AT1261" s="82">
        <f>IFERROR(__xludf.DUMMYFUNCTION("""COMPUTED_VALUE"""),0.48382217261879873)</f>
        <v>0.4838221726</v>
      </c>
      <c r="AU1261" s="82">
        <f>IFERROR(__xludf.DUMMYFUNCTION("""COMPUTED_VALUE"""),2.596654560686715)</f>
        <v>2.596654561</v>
      </c>
      <c r="AV1261" s="82">
        <f>IFERROR(__xludf.DUMMYFUNCTION("""COMPUTED_VALUE"""),57.02302452014804)</f>
        <v>57.02302452</v>
      </c>
      <c r="AW1261" s="82">
        <f t="shared" si="1"/>
        <v>2.568149019</v>
      </c>
      <c r="AX1261" s="83">
        <f t="array" ref="AX1261">IFERROR(DGET('SBV Import'!A:G,"SBV",{"RSC ID","Tier";B1261,A1261}))</f>
        <v>62.46345692</v>
      </c>
      <c r="AY1261" s="82">
        <f t="shared" si="2"/>
        <v>3.235697785</v>
      </c>
      <c r="AZ1261" s="82">
        <v>0.6675487662350132</v>
      </c>
      <c r="BA1261" s="84">
        <v>1200.0</v>
      </c>
      <c r="BB1261" s="84" t="b">
        <f>IFERROR(__xludf.DUMMYFUNCTION("iferror(if(A1261="""",,E1261&gt;=FILTER(Constants!$F$2:$F$10,Constants!$A$2:$A$10=A1261)))"),TRUE)</f>
        <v>1</v>
      </c>
    </row>
    <row r="1262">
      <c r="A1262" s="89" t="str">
        <f>IFERROR(__xludf.DUMMYFUNCTION("""COMPUTED_VALUE"""),"Veteran")</f>
        <v>Veteran</v>
      </c>
      <c r="B1262" s="87" t="str">
        <f>IFERROR(__xludf.DUMMYFUNCTION("""COMPUTED_VALUE"""),"RSC006060")</f>
        <v>RSC006060</v>
      </c>
      <c r="C1262" s="73" t="str">
        <f>IFERROR(__xludf.DUMMYFUNCTION("""COMPUTED_VALUE"""),"WP_Merciless")</f>
        <v>WP_Merciless</v>
      </c>
      <c r="D1262" s="73" t="str">
        <f>IFERROR(__xludf.DUMMYFUNCTION("""COMPUTED_VALUE"""),"Rulers")</f>
        <v>Rulers</v>
      </c>
      <c r="E1262" s="82">
        <f>IFERROR(__xludf.DUMMYFUNCTION("""COMPUTED_VALUE"""),30.0)</f>
        <v>30</v>
      </c>
      <c r="F1262" s="82">
        <f>IFERROR(__xludf.DUMMYFUNCTION("""COMPUTED_VALUE"""),16.0)</f>
        <v>16</v>
      </c>
      <c r="G1262" s="86">
        <f>IFERROR(__xludf.DUMMYFUNCTION("""COMPUTED_VALUE"""),14.0)</f>
        <v>14</v>
      </c>
      <c r="H1262" s="86">
        <f>IFERROR(__xludf.DUMMYFUNCTION("""COMPUTED_VALUE"""),0.5333333333333333)</f>
        <v>0.5333333333</v>
      </c>
      <c r="I1262" s="86">
        <f>IFERROR(__xludf.DUMMYFUNCTION("""COMPUTED_VALUE"""),0.30588235294117644)</f>
        <v>0.3058823529</v>
      </c>
      <c r="J1262" s="82">
        <f>IFERROR(__xludf.DUMMYFUNCTION("""COMPUTED_VALUE"""),389.8333333333333)</f>
        <v>389.8333333</v>
      </c>
      <c r="K1262" s="82">
        <f>IFERROR(__xludf.DUMMYFUNCTION("""COMPUTED_VALUE"""),0.8666666666666667)</f>
        <v>0.8666666667</v>
      </c>
      <c r="L1262" s="82">
        <f>IFERROR(__xludf.DUMMYFUNCTION("""COMPUTED_VALUE"""),0.3333333333333333)</f>
        <v>0.3333333333</v>
      </c>
      <c r="M1262" s="82">
        <f>IFERROR(__xludf.DUMMYFUNCTION("""COMPUTED_VALUE"""),1.7666666666666666)</f>
        <v>1.766666667</v>
      </c>
      <c r="N1262" s="82">
        <f>IFERROR(__xludf.DUMMYFUNCTION("""COMPUTED_VALUE"""),2.8333333333333335)</f>
        <v>2.833333333</v>
      </c>
      <c r="O1262" s="82">
        <f>IFERROR(__xludf.DUMMYFUNCTION("""COMPUTED_VALUE"""),326.31111111111113)</f>
        <v>326.3111111</v>
      </c>
      <c r="P1262" s="82">
        <f>IFERROR(__xludf.DUMMYFUNCTION("""COMPUTED_VALUE"""),0.6888888888888888)</f>
        <v>0.6888888889</v>
      </c>
      <c r="Q1262" s="82">
        <f>IFERROR(__xludf.DUMMYFUNCTION("""COMPUTED_VALUE"""),0.5000000000000001)</f>
        <v>0.5</v>
      </c>
      <c r="R1262" s="82">
        <f>IFERROR(__xludf.DUMMYFUNCTION("""COMPUTED_VALUE"""),1.188888888888889)</f>
        <v>1.188888889</v>
      </c>
      <c r="S1262" s="82">
        <f>IFERROR(__xludf.DUMMYFUNCTION("""COMPUTED_VALUE"""),2.855555555555556)</f>
        <v>2.855555556</v>
      </c>
      <c r="T1262" s="82">
        <f>IFERROR(__xludf.DUMMYFUNCTION("""COMPUTED_VALUE"""),357.85580030930697)</f>
        <v>357.8558003</v>
      </c>
      <c r="U1262" s="82">
        <f>IFERROR(__xludf.DUMMYFUNCTION("""COMPUTED_VALUE"""),0.8718071692893764)</f>
        <v>0.8718071693</v>
      </c>
      <c r="V1262" s="82">
        <f>IFERROR(__xludf.DUMMYFUNCTION("""COMPUTED_VALUE"""),0.5716177785210597)</f>
        <v>0.5716177785</v>
      </c>
      <c r="W1262" s="82">
        <f>IFERROR(__xludf.DUMMYFUNCTION("""COMPUTED_VALUE"""),1.2831605393654932)</f>
        <v>1.283160539</v>
      </c>
      <c r="X1262" s="82">
        <f>IFERROR(__xludf.DUMMYFUNCTION("""COMPUTED_VALUE"""),2.749201290917861)</f>
        <v>2.749201291</v>
      </c>
      <c r="Y1262" s="82">
        <f>IFERROR(__xludf.DUMMYFUNCTION("""COMPUTED_VALUE"""),351.0832223102036)</f>
        <v>351.0832223</v>
      </c>
      <c r="Z1262" s="82">
        <f>IFERROR(__xludf.DUMMYFUNCTION("""COMPUTED_VALUE"""),0.7677386445440059)</f>
        <v>0.7677386445</v>
      </c>
      <c r="AA1262" s="82">
        <f>IFERROR(__xludf.DUMMYFUNCTION("""COMPUTED_VALUE"""),0.5526312572537073)</f>
        <v>0.5526312573</v>
      </c>
      <c r="AB1262" s="82">
        <f>IFERROR(__xludf.DUMMYFUNCTION("""COMPUTED_VALUE"""),1.407466908805208)</f>
        <v>1.407466909</v>
      </c>
      <c r="AC1262" s="82">
        <f>IFERROR(__xludf.DUMMYFUNCTION("""COMPUTED_VALUE"""),2.501588739173364)</f>
        <v>2.501588739</v>
      </c>
      <c r="AD1262" s="82">
        <f>IFERROR(__xludf.DUMMYFUNCTION("""COMPUTED_VALUE"""),1.1103730071979674)</f>
        <v>1.110373007</v>
      </c>
      <c r="AE1262" s="82">
        <f>IFERROR(__xludf.DUMMYFUNCTION("""COMPUTED_VALUE"""),1.1288563794797883)</f>
        <v>1.128856379</v>
      </c>
      <c r="AF1262" s="82">
        <f>IFERROR(__xludf.DUMMYFUNCTION("""COMPUTED_VALUE"""),0.6031749542901866)</f>
        <v>0.6031749543</v>
      </c>
      <c r="AG1262" s="82">
        <f>IFERROR(__xludf.DUMMYFUNCTION("""COMPUTED_VALUE"""),1.2552100909899058)</f>
        <v>1.255210091</v>
      </c>
      <c r="AH1262" s="82">
        <f>IFERROR(__xludf.DUMMYFUNCTION("""COMPUTED_VALUE"""),1.132613562319437)</f>
        <v>1.132613562</v>
      </c>
      <c r="AI1262" s="82">
        <f>IFERROR(__xludf.DUMMYFUNCTION("""COMPUTED_VALUE"""),0.9118508372061297)</f>
        <v>0.9118508372</v>
      </c>
      <c r="AJ1262" s="82">
        <f>IFERROR(__xludf.DUMMYFUNCTION("""COMPUTED_VALUE"""),0.7901849321225619)</f>
        <v>0.7901849321</v>
      </c>
      <c r="AK1262" s="82">
        <f>IFERROR(__xludf.DUMMYFUNCTION("""COMPUTED_VALUE"""),0.8747103725388747)</f>
        <v>0.8747103725</v>
      </c>
      <c r="AL1262" s="82">
        <f>IFERROR(__xludf.DUMMYFUNCTION("""COMPUTED_VALUE"""),0.926531678940797)</f>
        <v>0.9265316789</v>
      </c>
      <c r="AM1262" s="82">
        <f>IFERROR(__xludf.DUMMYFUNCTION("""COMPUTED_VALUE"""),1.0386855138578037)</f>
        <v>1.038685514</v>
      </c>
      <c r="AN1262" s="82">
        <f>IFERROR(__xludf.DUMMYFUNCTION("""COMPUTED_VALUE"""),1.1290442082940153)</f>
        <v>1.129044208</v>
      </c>
      <c r="AO1262" s="82">
        <f>IFERROR(__xludf.DUMMYFUNCTION("""COMPUTED_VALUE"""),1.1488968882358428)</f>
        <v>1.148896888</v>
      </c>
      <c r="AP1262" s="82">
        <f>IFERROR(__xludf.DUMMYFUNCTION("""COMPUTED_VALUE"""),0.6181704407667327)</f>
        <v>0.6181704408</v>
      </c>
      <c r="AQ1262" s="82">
        <f>IFERROR(__xludf.DUMMYFUNCTION("""COMPUTED_VALUE"""),1.3080183819119757)</f>
        <v>1.308018382</v>
      </c>
      <c r="AR1262" s="82">
        <f>IFERROR(__xludf.DUMMYFUNCTION("""COMPUTED_VALUE"""),1.1064761814205328)</f>
        <v>1.106476181</v>
      </c>
      <c r="AS1262" s="82">
        <f>IFERROR(__xludf.DUMMYFUNCTION("""COMPUTED_VALUE"""),62.0)</f>
        <v>62</v>
      </c>
      <c r="AT1262" s="82">
        <f>IFERROR(__xludf.DUMMYFUNCTION("""COMPUTED_VALUE"""),0.5000000000000001)</f>
        <v>0.5</v>
      </c>
      <c r="AU1262" s="82">
        <f>IFERROR(__xludf.DUMMYFUNCTION("""COMPUTED_VALUE"""),2.586017218461868)</f>
        <v>2.586017218</v>
      </c>
      <c r="AV1262" s="82">
        <f>IFERROR(__xludf.DUMMYFUNCTION("""COMPUTED_VALUE"""),56.693521227451484)</f>
        <v>56.69352123</v>
      </c>
      <c r="AW1262" s="82">
        <f t="shared" si="1"/>
        <v>2.535179403</v>
      </c>
      <c r="AX1262" s="83">
        <f t="array" ref="AX1262">IFERROR(DGET('SBV Import'!A:G,"SBV",{"RSC ID","Tier";B1262,A1262}))</f>
        <v>60.99067101</v>
      </c>
      <c r="AY1262" s="82">
        <f t="shared" si="2"/>
        <v>3.029351091</v>
      </c>
      <c r="AZ1262" s="82">
        <v>0.4941716873437416</v>
      </c>
      <c r="BA1262" s="84">
        <v>1200.0</v>
      </c>
      <c r="BB1262" s="84" t="b">
        <f>IFERROR(__xludf.DUMMYFUNCTION("iferror(if(A1262="""",,E1262&gt;=FILTER(Constants!$F$2:$F$10,Constants!$A$2:$A$10=A1262)))"),TRUE)</f>
        <v>1</v>
      </c>
    </row>
    <row r="1263">
      <c r="A1263" s="89" t="str">
        <f>IFERROR(__xludf.DUMMYFUNCTION("""COMPUTED_VALUE"""),"Veteran")</f>
        <v>Veteran</v>
      </c>
      <c r="B1263" s="87" t="str">
        <f>IFERROR(__xludf.DUMMYFUNCTION("""COMPUTED_VALUE"""),"RSC003405")</f>
        <v>RSC003405</v>
      </c>
      <c r="C1263" s="73" t="str">
        <f>IFERROR(__xludf.DUMMYFUNCTION("""COMPUTED_VALUE"""),"Shai")</f>
        <v>Shai</v>
      </c>
      <c r="D1263" s="73" t="str">
        <f>IFERROR(__xludf.DUMMYFUNCTION("""COMPUTED_VALUE"""),"Werewolves")</f>
        <v>Werewolves</v>
      </c>
      <c r="E1263" s="82">
        <f>IFERROR(__xludf.DUMMYFUNCTION("""COMPUTED_VALUE"""),16.0)</f>
        <v>16</v>
      </c>
      <c r="F1263" s="82">
        <f>IFERROR(__xludf.DUMMYFUNCTION("""COMPUTED_VALUE"""),6.0)</f>
        <v>6</v>
      </c>
      <c r="G1263" s="86">
        <f>IFERROR(__xludf.DUMMYFUNCTION("""COMPUTED_VALUE"""),10.0)</f>
        <v>10</v>
      </c>
      <c r="H1263" s="86">
        <f>IFERROR(__xludf.DUMMYFUNCTION("""COMPUTED_VALUE"""),0.375)</f>
        <v>0.375</v>
      </c>
      <c r="I1263" s="86">
        <f>IFERROR(__xludf.DUMMYFUNCTION("""COMPUTED_VALUE"""),0.40476190476190477)</f>
        <v>0.4047619048</v>
      </c>
      <c r="J1263" s="82">
        <f>IFERROR(__xludf.DUMMYFUNCTION("""COMPUTED_VALUE"""),349.9375)</f>
        <v>349.9375</v>
      </c>
      <c r="K1263" s="82">
        <f>IFERROR(__xludf.DUMMYFUNCTION("""COMPUTED_VALUE"""),1.0625)</f>
        <v>1.0625</v>
      </c>
      <c r="L1263" s="82">
        <f>IFERROR(__xludf.DUMMYFUNCTION("""COMPUTED_VALUE"""),0.375)</f>
        <v>0.375</v>
      </c>
      <c r="M1263" s="82">
        <f>IFERROR(__xludf.DUMMYFUNCTION("""COMPUTED_VALUE"""),1.3125)</f>
        <v>1.3125</v>
      </c>
      <c r="N1263" s="82">
        <f>IFERROR(__xludf.DUMMYFUNCTION("""COMPUTED_VALUE"""),2.625)</f>
        <v>2.625</v>
      </c>
      <c r="O1263" s="82">
        <f>IFERROR(__xludf.DUMMYFUNCTION("""COMPUTED_VALUE"""),390.6041666666667)</f>
        <v>390.6041667</v>
      </c>
      <c r="P1263" s="82">
        <f>IFERROR(__xludf.DUMMYFUNCTION("""COMPUTED_VALUE"""),0.9583333333333334)</f>
        <v>0.9583333333</v>
      </c>
      <c r="Q1263" s="82">
        <f>IFERROR(__xludf.DUMMYFUNCTION("""COMPUTED_VALUE"""),0.7291666666666666)</f>
        <v>0.7291666667</v>
      </c>
      <c r="R1263" s="82">
        <f>IFERROR(__xludf.DUMMYFUNCTION("""COMPUTED_VALUE"""),1.520833333333333)</f>
        <v>1.520833333</v>
      </c>
      <c r="S1263" s="82">
        <f>IFERROR(__xludf.DUMMYFUNCTION("""COMPUTED_VALUE"""),2.5208333333333335)</f>
        <v>2.520833333</v>
      </c>
      <c r="T1263" s="82">
        <f>IFERROR(__xludf.DUMMYFUNCTION("""COMPUTED_VALUE"""),355.5039467858096)</f>
        <v>355.5039468</v>
      </c>
      <c r="U1263" s="82">
        <f>IFERROR(__xludf.DUMMYFUNCTION("""COMPUTED_VALUE"""),0.8263292307428789)</f>
        <v>0.8263292307</v>
      </c>
      <c r="V1263" s="82">
        <f>IFERROR(__xludf.DUMMYFUNCTION("""COMPUTED_VALUE"""),0.5832178568835241)</f>
        <v>0.5832178569</v>
      </c>
      <c r="W1263" s="82">
        <f>IFERROR(__xludf.DUMMYFUNCTION("""COMPUTED_VALUE"""),1.3838377040815346)</f>
        <v>1.383837704</v>
      </c>
      <c r="X1263" s="82">
        <f>IFERROR(__xludf.DUMMYFUNCTION("""COMPUTED_VALUE"""),2.6275325542783263)</f>
        <v>2.627532554</v>
      </c>
      <c r="Y1263" s="82">
        <f>IFERROR(__xludf.DUMMYFUNCTION("""COMPUTED_VALUE"""),341.6049444113782)</f>
        <v>341.6049444</v>
      </c>
      <c r="Z1263" s="82">
        <f>IFERROR(__xludf.DUMMYFUNCTION("""COMPUTED_VALUE"""),0.7372617129765578)</f>
        <v>0.737261713</v>
      </c>
      <c r="AA1263" s="82">
        <f>IFERROR(__xludf.DUMMYFUNCTION("""COMPUTED_VALUE"""),0.5133454007285443)</f>
        <v>0.5133454007</v>
      </c>
      <c r="AB1263" s="82">
        <f>IFERROR(__xludf.DUMMYFUNCTION("""COMPUTED_VALUE"""),1.3123500142557922)</f>
        <v>1.312350014</v>
      </c>
      <c r="AC1263" s="82">
        <f>IFERROR(__xludf.DUMMYFUNCTION("""COMPUTED_VALUE"""),2.6027753819752126)</f>
        <v>2.602775382</v>
      </c>
      <c r="AD1263" s="82">
        <f>IFERROR(__xludf.DUMMYFUNCTION("""COMPUTED_VALUE"""),1.0243923740711063)</f>
        <v>1.024392374</v>
      </c>
      <c r="AE1263" s="82">
        <f>IFERROR(__xludf.DUMMYFUNCTION("""COMPUTED_VALUE"""),1.4411436011105916)</f>
        <v>1.441143601</v>
      </c>
      <c r="AF1263" s="82">
        <f>IFERROR(__xludf.DUMMYFUNCTION("""COMPUTED_VALUE"""),0.730502307934963)</f>
        <v>0.7305023079</v>
      </c>
      <c r="AG1263" s="82">
        <f>IFERROR(__xludf.DUMMYFUNCTION("""COMPUTED_VALUE"""),1.000114287912964)</f>
        <v>1.000114288</v>
      </c>
      <c r="AH1263" s="82">
        <f>IFERROR(__xludf.DUMMYFUNCTION("""COMPUTED_VALUE"""),1.0085388152119072)</f>
        <v>1.008538815</v>
      </c>
      <c r="AI1263" s="82">
        <f>IFERROR(__xludf.DUMMYFUNCTION("""COMPUTED_VALUE"""),1.0987336995783197)</f>
        <v>1.0987337</v>
      </c>
      <c r="AJ1263" s="82">
        <f>IFERROR(__xludf.DUMMYFUNCTION("""COMPUTED_VALUE"""),1.1597475893135007)</f>
        <v>1.159747589</v>
      </c>
      <c r="AK1263" s="82">
        <f>IFERROR(__xludf.DUMMYFUNCTION("""COMPUTED_VALUE"""),1.2502474985300225)</f>
        <v>1.250247499</v>
      </c>
      <c r="AL1263" s="82">
        <f>IFERROR(__xludf.DUMMYFUNCTION("""COMPUTED_VALUE"""),1.0989968902044938)</f>
        <v>1.09899689</v>
      </c>
      <c r="AM1263" s="82">
        <f>IFERROR(__xludf.DUMMYFUNCTION("""COMPUTED_VALUE"""),0.9593918557654946)</f>
        <v>0.9593918558</v>
      </c>
      <c r="AN1263" s="82">
        <f>IFERROR(__xludf.DUMMYFUNCTION("""COMPUTED_VALUE"""),1.0134969841125787)</f>
        <v>1.013496984</v>
      </c>
      <c r="AO1263" s="82">
        <f>IFERROR(__xludf.DUMMYFUNCTION("""COMPUTED_VALUE"""),1.4085033966352882)</f>
        <v>1.408503397</v>
      </c>
      <c r="AP1263" s="82">
        <f>IFERROR(__xludf.DUMMYFUNCTION("""COMPUTED_VALUE"""),0.6954417458625743)</f>
        <v>0.6954417459</v>
      </c>
      <c r="AQ1263" s="82">
        <f>IFERROR(__xludf.DUMMYFUNCTION("""COMPUTED_VALUE"""),0.9717589393921517)</f>
        <v>0.9717589394</v>
      </c>
      <c r="AR1263" s="82">
        <f>IFERROR(__xludf.DUMMYFUNCTION("""COMPUTED_VALUE"""),1.025117638669023)</f>
        <v>1.025117639</v>
      </c>
      <c r="AS1263" s="82">
        <f>IFERROR(__xludf.DUMMYFUNCTION("""COMPUTED_VALUE"""),38.0)</f>
        <v>38</v>
      </c>
      <c r="AT1263" s="82">
        <f>IFERROR(__xludf.DUMMYFUNCTION("""COMPUTED_VALUE"""),0.42372515599513527)</f>
        <v>0.423725156</v>
      </c>
      <c r="AU1263" s="82">
        <f>IFERROR(__xludf.DUMMYFUNCTION("""COMPUTED_VALUE"""),2.5761017394826387)</f>
        <v>2.576101739</v>
      </c>
      <c r="AV1263" s="82">
        <f>IFERROR(__xludf.DUMMYFUNCTION("""COMPUTED_VALUE"""),56.386378437151095)</f>
        <v>56.38637844</v>
      </c>
      <c r="AW1263" s="82">
        <f t="shared" si="1"/>
        <v>2.505099162</v>
      </c>
      <c r="AX1263" s="83">
        <f t="array" ref="AX1263">IFERROR(DGET('SBV Import'!A:G,"SBV",{"RSC ID","Tier";B1263,A1263}))</f>
        <v>44.92205607</v>
      </c>
      <c r="AY1263" s="82">
        <f t="shared" si="2"/>
        <v>-2.38366808</v>
      </c>
      <c r="AZ1263" s="82">
        <v>4.888767242816785</v>
      </c>
      <c r="BA1263" s="84">
        <v>1200.0</v>
      </c>
      <c r="BB1263" s="84" t="b">
        <f>IFERROR(__xludf.DUMMYFUNCTION("iferror(if(A1263="""",,E1263&gt;=FILTER(Constants!$F$2:$F$10,Constants!$A$2:$A$10=A1263)))"),TRUE)</f>
        <v>1</v>
      </c>
    </row>
    <row r="1264">
      <c r="A1264" s="89" t="str">
        <f>IFERROR(__xludf.DUMMYFUNCTION("""COMPUTED_VALUE"""),"Veteran")</f>
        <v>Veteran</v>
      </c>
      <c r="B1264" s="87" t="str">
        <f>IFERROR(__xludf.DUMMYFUNCTION("""COMPUTED_VALUE"""),"RSC005490")</f>
        <v>RSC005490</v>
      </c>
      <c r="C1264" s="73" t="str">
        <f>IFERROR(__xludf.DUMMYFUNCTION("""COMPUTED_VALUE"""),"iProfessorEx")</f>
        <v>iProfessorEx</v>
      </c>
      <c r="D1264" s="73" t="str">
        <f>IFERROR(__xludf.DUMMYFUNCTION("""COMPUTED_VALUE"""),"Repossessed")</f>
        <v>Repossessed</v>
      </c>
      <c r="E1264" s="82">
        <f>IFERROR(__xludf.DUMMYFUNCTION("""COMPUTED_VALUE"""),24.0)</f>
        <v>24</v>
      </c>
      <c r="F1264" s="82">
        <f>IFERROR(__xludf.DUMMYFUNCTION("""COMPUTED_VALUE"""),12.0)</f>
        <v>12</v>
      </c>
      <c r="G1264" s="86">
        <f>IFERROR(__xludf.DUMMYFUNCTION("""COMPUTED_VALUE"""),12.0)</f>
        <v>12</v>
      </c>
      <c r="H1264" s="86">
        <f>IFERROR(__xludf.DUMMYFUNCTION("""COMPUTED_VALUE"""),0.5)</f>
        <v>0.5</v>
      </c>
      <c r="I1264" s="86">
        <f>IFERROR(__xludf.DUMMYFUNCTION("""COMPUTED_VALUE"""),0.29230769230769227)</f>
        <v>0.2923076923</v>
      </c>
      <c r="J1264" s="82">
        <f>IFERROR(__xludf.DUMMYFUNCTION("""COMPUTED_VALUE"""),401.6666666666667)</f>
        <v>401.6666667</v>
      </c>
      <c r="K1264" s="82">
        <f>IFERROR(__xludf.DUMMYFUNCTION("""COMPUTED_VALUE"""),0.7916666666666666)</f>
        <v>0.7916666667</v>
      </c>
      <c r="L1264" s="82">
        <f>IFERROR(__xludf.DUMMYFUNCTION("""COMPUTED_VALUE"""),0.3333333333333333)</f>
        <v>0.3333333333</v>
      </c>
      <c r="M1264" s="82">
        <f>IFERROR(__xludf.DUMMYFUNCTION("""COMPUTED_VALUE"""),2.0)</f>
        <v>2</v>
      </c>
      <c r="N1264" s="82">
        <f>IFERROR(__xludf.DUMMYFUNCTION("""COMPUTED_VALUE"""),2.7083333333333335)</f>
        <v>2.708333333</v>
      </c>
      <c r="O1264" s="82">
        <f>IFERROR(__xludf.DUMMYFUNCTION("""COMPUTED_VALUE"""),344.6388888888889)</f>
        <v>344.6388889</v>
      </c>
      <c r="P1264" s="82">
        <f>IFERROR(__xludf.DUMMYFUNCTION("""COMPUTED_VALUE"""),0.6527777777777778)</f>
        <v>0.6527777778</v>
      </c>
      <c r="Q1264" s="82">
        <f>IFERROR(__xludf.DUMMYFUNCTION("""COMPUTED_VALUE"""),0.49999999999999994)</f>
        <v>0.5</v>
      </c>
      <c r="R1264" s="82">
        <f>IFERROR(__xludf.DUMMYFUNCTION("""COMPUTED_VALUE"""),1.513888888888889)</f>
        <v>1.513888889</v>
      </c>
      <c r="S1264" s="82">
        <f>IFERROR(__xludf.DUMMYFUNCTION("""COMPUTED_VALUE"""),2.472222222222222)</f>
        <v>2.472222222</v>
      </c>
      <c r="T1264" s="82">
        <f>IFERROR(__xludf.DUMMYFUNCTION("""COMPUTED_VALUE"""),351.8374903293955)</f>
        <v>351.8374903</v>
      </c>
      <c r="U1264" s="82">
        <f>IFERROR(__xludf.DUMMYFUNCTION("""COMPUTED_VALUE"""),0.7601983638977271)</f>
        <v>0.7601983639</v>
      </c>
      <c r="V1264" s="82">
        <f>IFERROR(__xludf.DUMMYFUNCTION("""COMPUTED_VALUE"""),0.5899035542919483)</f>
        <v>0.5899035543</v>
      </c>
      <c r="W1264" s="82">
        <f>IFERROR(__xludf.DUMMYFUNCTION("""COMPUTED_VALUE"""),1.3699052395682019)</f>
        <v>1.36990524</v>
      </c>
      <c r="X1264" s="82">
        <f>IFERROR(__xludf.DUMMYFUNCTION("""COMPUTED_VALUE"""),2.556208911572848)</f>
        <v>2.556208912</v>
      </c>
      <c r="Y1264" s="82">
        <f>IFERROR(__xludf.DUMMYFUNCTION("""COMPUTED_VALUE"""),338.8644959647149)</f>
        <v>338.864496</v>
      </c>
      <c r="Z1264" s="82">
        <f>IFERROR(__xludf.DUMMYFUNCTION("""COMPUTED_VALUE"""),0.6995799383480789)</f>
        <v>0.6995799383</v>
      </c>
      <c r="AA1264" s="82">
        <f>IFERROR(__xludf.DUMMYFUNCTION("""COMPUTED_VALUE"""),0.5174343593194582)</f>
        <v>0.5174343593</v>
      </c>
      <c r="AB1264" s="82">
        <f>IFERROR(__xludf.DUMMYFUNCTION("""COMPUTED_VALUE"""),1.328211298729979)</f>
        <v>1.328211299</v>
      </c>
      <c r="AC1264" s="82">
        <f>IFERROR(__xludf.DUMMYFUNCTION("""COMPUTED_VALUE"""),2.526027689936545)</f>
        <v>2.52602769</v>
      </c>
      <c r="AD1264" s="82">
        <f>IFERROR(__xludf.DUMMYFUNCTION("""COMPUTED_VALUE"""),1.1853312207381301)</f>
        <v>1.185331221</v>
      </c>
      <c r="AE1264" s="82">
        <f>IFERROR(__xludf.DUMMYFUNCTION("""COMPUTED_VALUE"""),1.1316314594955832)</f>
        <v>1.131631459</v>
      </c>
      <c r="AF1264" s="82">
        <f>IFERROR(__xludf.DUMMYFUNCTION("""COMPUTED_VALUE"""),0.644204095320885)</f>
        <v>0.6442040953</v>
      </c>
      <c r="AG1264" s="82">
        <f>IFERROR(__xludf.DUMMYFUNCTION("""COMPUTED_VALUE"""),1.5057845102751182)</f>
        <v>1.50578451</v>
      </c>
      <c r="AH1264" s="82">
        <f>IFERROR(__xludf.DUMMYFUNCTION("""COMPUTED_VALUE"""),1.0721708808351853)</f>
        <v>1.072170881</v>
      </c>
      <c r="AI1264" s="82">
        <f>IFERROR(__xludf.DUMMYFUNCTION("""COMPUTED_VALUE"""),0.979539981842847)</f>
        <v>0.9795399818</v>
      </c>
      <c r="AJ1264" s="82">
        <f>IFERROR(__xludf.DUMMYFUNCTION("""COMPUTED_VALUE"""),0.8586940051157476)</f>
        <v>0.8586940051</v>
      </c>
      <c r="AK1264" s="82">
        <f>IFERROR(__xludf.DUMMYFUNCTION("""COMPUTED_VALUE"""),0.8475961813794153)</f>
        <v>0.8475961814</v>
      </c>
      <c r="AL1264" s="82">
        <f>IFERROR(__xludf.DUMMYFUNCTION("""COMPUTED_VALUE"""),1.1051048241600063)</f>
        <v>1.105104824</v>
      </c>
      <c r="AM1264" s="82">
        <f>IFERROR(__xludf.DUMMYFUNCTION("""COMPUTED_VALUE"""),0.9671440432859814)</f>
        <v>0.9671440433</v>
      </c>
      <c r="AN1264" s="82">
        <f>IFERROR(__xludf.DUMMYFUNCTION("""COMPUTED_VALUE"""),1.163316178703966)</f>
        <v>1.163316179</v>
      </c>
      <c r="AO1264" s="82">
        <f>IFERROR(__xludf.DUMMYFUNCTION("""COMPUTED_VALUE"""),1.0494731190615871)</f>
        <v>1.049473119</v>
      </c>
      <c r="AP1264" s="82">
        <f>IFERROR(__xludf.DUMMYFUNCTION("""COMPUTED_VALUE"""),0.6181704407667327)</f>
        <v>0.6181704408</v>
      </c>
      <c r="AQ1264" s="82">
        <f>IFERROR(__xludf.DUMMYFUNCTION("""COMPUTED_VALUE"""),1.4807755266928027)</f>
        <v>1.480775527</v>
      </c>
      <c r="AR1264" s="82">
        <f>IFERROR(__xludf.DUMMYFUNCTION("""COMPUTED_VALUE"""),1.057661055769627)</f>
        <v>1.057661056</v>
      </c>
      <c r="AS1264" s="82">
        <f>IFERROR(__xludf.DUMMYFUNCTION("""COMPUTED_VALUE"""),41.0)</f>
        <v>41</v>
      </c>
      <c r="AT1264" s="82">
        <f>IFERROR(__xludf.DUMMYFUNCTION("""COMPUTED_VALUE"""),0.4505872576121089)</f>
        <v>0.4505872576</v>
      </c>
      <c r="AU1264" s="82">
        <f>IFERROR(__xludf.DUMMYFUNCTION("""COMPUTED_VALUE"""),2.5524197375146196)</f>
        <v>2.552419738</v>
      </c>
      <c r="AV1264" s="82">
        <f>IFERROR(__xludf.DUMMYFUNCTION("""COMPUTED_VALUE"""),55.65280256254196)</f>
        <v>55.65280256</v>
      </c>
      <c r="AW1264" s="82">
        <f t="shared" si="1"/>
        <v>2.435714694</v>
      </c>
      <c r="AX1264" s="83">
        <f t="array" ref="AX1264">IFERROR(DGET('SBV Import'!A:G,"SBV",{"RSC ID","Tier";B1264,A1264}))</f>
        <v>63.2450582</v>
      </c>
      <c r="AY1264" s="82">
        <f t="shared" si="2"/>
        <v>3.354303371</v>
      </c>
      <c r="AZ1264" s="82">
        <v>0.9185886767134979</v>
      </c>
      <c r="BA1264" s="84">
        <v>1200.0</v>
      </c>
      <c r="BB1264" s="84" t="b">
        <f>IFERROR(__xludf.DUMMYFUNCTION("iferror(if(A1264="""",,E1264&gt;=FILTER(Constants!$F$2:$F$10,Constants!$A$2:$A$10=A1264)))"),TRUE)</f>
        <v>1</v>
      </c>
    </row>
    <row r="1265">
      <c r="A1265" s="89" t="str">
        <f>IFERROR(__xludf.DUMMYFUNCTION("""COMPUTED_VALUE"""),"Veteran")</f>
        <v>Veteran</v>
      </c>
      <c r="B1265" s="87" t="str">
        <f>IFERROR(__xludf.DUMMYFUNCTION("""COMPUTED_VALUE"""),"RSC006000")</f>
        <v>RSC006000</v>
      </c>
      <c r="C1265" s="73" t="str">
        <f>IFERROR(__xludf.DUMMYFUNCTION("""COMPUTED_VALUE"""),"janixity.")</f>
        <v>janixity.</v>
      </c>
      <c r="D1265" s="73" t="str">
        <f>IFERROR(__xludf.DUMMYFUNCTION("""COMPUTED_VALUE"""),"Grizzly Bears")</f>
        <v>Grizzly Bears</v>
      </c>
      <c r="E1265" s="82">
        <f>IFERROR(__xludf.DUMMYFUNCTION("""COMPUTED_VALUE"""),28.0)</f>
        <v>28</v>
      </c>
      <c r="F1265" s="82">
        <f>IFERROR(__xludf.DUMMYFUNCTION("""COMPUTED_VALUE"""),17.0)</f>
        <v>17</v>
      </c>
      <c r="G1265" s="86">
        <f>IFERROR(__xludf.DUMMYFUNCTION("""COMPUTED_VALUE"""),11.0)</f>
        <v>11</v>
      </c>
      <c r="H1265" s="86">
        <f>IFERROR(__xludf.DUMMYFUNCTION("""COMPUTED_VALUE"""),0.6071428571428571)</f>
        <v>0.6071428571</v>
      </c>
      <c r="I1265" s="86">
        <f>IFERROR(__xludf.DUMMYFUNCTION("""COMPUTED_VALUE"""),0.2987012987012987)</f>
        <v>0.2987012987</v>
      </c>
      <c r="J1265" s="82">
        <f>IFERROR(__xludf.DUMMYFUNCTION("""COMPUTED_VALUE"""),374.57142857142856)</f>
        <v>374.5714286</v>
      </c>
      <c r="K1265" s="82">
        <f>IFERROR(__xludf.DUMMYFUNCTION("""COMPUTED_VALUE"""),0.8214285714285714)</f>
        <v>0.8214285714</v>
      </c>
      <c r="L1265" s="82">
        <f>IFERROR(__xludf.DUMMYFUNCTION("""COMPUTED_VALUE"""),0.5)</f>
        <v>0.5</v>
      </c>
      <c r="M1265" s="82">
        <f>IFERROR(__xludf.DUMMYFUNCTION("""COMPUTED_VALUE"""),1.6071428571428572)</f>
        <v>1.607142857</v>
      </c>
      <c r="N1265" s="82">
        <f>IFERROR(__xludf.DUMMYFUNCTION("""COMPUTED_VALUE"""),2.75)</f>
        <v>2.75</v>
      </c>
      <c r="O1265" s="82">
        <f>IFERROR(__xludf.DUMMYFUNCTION("""COMPUTED_VALUE"""),346.10714285714295)</f>
        <v>346.1071429</v>
      </c>
      <c r="P1265" s="82">
        <f>IFERROR(__xludf.DUMMYFUNCTION("""COMPUTED_VALUE"""),0.7619047619047618)</f>
        <v>0.7619047619</v>
      </c>
      <c r="Q1265" s="82">
        <f>IFERROR(__xludf.DUMMYFUNCTION("""COMPUTED_VALUE"""),0.47619047619047616)</f>
        <v>0.4761904762</v>
      </c>
      <c r="R1265" s="82">
        <f>IFERROR(__xludf.DUMMYFUNCTION("""COMPUTED_VALUE"""),1.4404761904761905)</f>
        <v>1.44047619</v>
      </c>
      <c r="S1265" s="82">
        <f>IFERROR(__xludf.DUMMYFUNCTION("""COMPUTED_VALUE"""),2.5476190476190483)</f>
        <v>2.547619048</v>
      </c>
      <c r="T1265" s="82">
        <f>IFERROR(__xludf.DUMMYFUNCTION("""COMPUTED_VALUE"""),349.85267051005576)</f>
        <v>349.8526705</v>
      </c>
      <c r="U1265" s="82">
        <f>IFERROR(__xludf.DUMMYFUNCTION("""COMPUTED_VALUE"""),0.7544671714577883)</f>
        <v>0.7544671715</v>
      </c>
      <c r="V1265" s="82">
        <f>IFERROR(__xludf.DUMMYFUNCTION("""COMPUTED_VALUE"""),0.515116640573842)</f>
        <v>0.5151166406</v>
      </c>
      <c r="W1265" s="82">
        <f>IFERROR(__xludf.DUMMYFUNCTION("""COMPUTED_VALUE"""),1.4805136775492895)</f>
        <v>1.480513678</v>
      </c>
      <c r="X1265" s="82">
        <f>IFERROR(__xludf.DUMMYFUNCTION("""COMPUTED_VALUE"""),2.533219920367071)</f>
        <v>2.53321992</v>
      </c>
      <c r="Y1265" s="82">
        <f>IFERROR(__xludf.DUMMYFUNCTION("""COMPUTED_VALUE"""),355.3379710850171)</f>
        <v>355.3379711</v>
      </c>
      <c r="Z1265" s="82">
        <f>IFERROR(__xludf.DUMMYFUNCTION("""COMPUTED_VALUE"""),0.8180077688273365)</f>
        <v>0.8180077688</v>
      </c>
      <c r="AA1265" s="82">
        <f>IFERROR(__xludf.DUMMYFUNCTION("""COMPUTED_VALUE"""),0.5778616131298773)</f>
        <v>0.5778616131</v>
      </c>
      <c r="AB1265" s="82">
        <f>IFERROR(__xludf.DUMMYFUNCTION("""COMPUTED_VALUE"""),1.3370629599074983)</f>
        <v>1.33706296</v>
      </c>
      <c r="AC1265" s="82">
        <f>IFERROR(__xludf.DUMMYFUNCTION("""COMPUTED_VALUE"""),2.676273506295419)</f>
        <v>2.676273506</v>
      </c>
      <c r="AD1265" s="82">
        <f>IFERROR(__xludf.DUMMYFUNCTION("""COMPUTED_VALUE"""),1.0541272226767167)</f>
        <v>1.054127223</v>
      </c>
      <c r="AE1265" s="82">
        <f>IFERROR(__xludf.DUMMYFUNCTION("""COMPUTED_VALUE"""),1.0041818705537955)</f>
        <v>1.004181871</v>
      </c>
      <c r="AF1265" s="82">
        <f>IFERROR(__xludf.DUMMYFUNCTION("""COMPUTED_VALUE"""),0.8652590665987403)</f>
        <v>0.8652590666</v>
      </c>
      <c r="AG1265" s="82">
        <f>IFERROR(__xludf.DUMMYFUNCTION("""COMPUTED_VALUE"""),1.201994898769796)</f>
        <v>1.201994899</v>
      </c>
      <c r="AH1265" s="82">
        <f>IFERROR(__xludf.DUMMYFUNCTION("""COMPUTED_VALUE"""),1.0275481909943633)</f>
        <v>1.027548191</v>
      </c>
      <c r="AI1265" s="82">
        <f>IFERROR(__xludf.DUMMYFUNCTION("""COMPUTED_VALUE"""),0.9892939858156516)</f>
        <v>0.9892939858</v>
      </c>
      <c r="AJ1265" s="82">
        <f>IFERROR(__xludf.DUMMYFUNCTION("""COMPUTED_VALUE"""),1.009858070342017)</f>
        <v>1.00985807</v>
      </c>
      <c r="AK1265" s="82">
        <f>IFERROR(__xludf.DUMMYFUNCTION("""COMPUTED_VALUE"""),0.9244323298505714)</f>
        <v>0.9244323299</v>
      </c>
      <c r="AL1265" s="82">
        <f>IFERROR(__xludf.DUMMYFUNCTION("""COMPUTED_VALUE"""),0.9729570299280358)</f>
        <v>0.9729570299</v>
      </c>
      <c r="AM1265" s="82">
        <f>IFERROR(__xludf.DUMMYFUNCTION("""COMPUTED_VALUE"""),1.0056841204887932)</f>
        <v>1.00568412</v>
      </c>
      <c r="AN1265" s="82">
        <f>IFERROR(__xludf.DUMMYFUNCTION("""COMPUTED_VALUE"""),1.084842330964481)</f>
        <v>1.084842331</v>
      </c>
      <c r="AO1265" s="82">
        <f>IFERROR(__xludf.DUMMYFUNCTION("""COMPUTED_VALUE"""),1.0889269957180379)</f>
        <v>1.088926996</v>
      </c>
      <c r="AP1265" s="82">
        <f>IFERROR(__xludf.DUMMYFUNCTION("""COMPUTED_VALUE"""),0.9272556611500992)</f>
        <v>0.9272556612</v>
      </c>
      <c r="AQ1265" s="82">
        <f>IFERROR(__xludf.DUMMYFUNCTION("""COMPUTED_VALUE"""),1.189908905378145)</f>
        <v>1.189908905</v>
      </c>
      <c r="AR1265" s="82">
        <f>IFERROR(__xludf.DUMMYFUNCTION("""COMPUTED_VALUE"""),1.073932764319929)</f>
        <v>1.073932764</v>
      </c>
      <c r="AS1265" s="82">
        <f>IFERROR(__xludf.DUMMYFUNCTION("""COMPUTED_VALUE"""),77.0)</f>
        <v>77</v>
      </c>
      <c r="AT1265" s="82">
        <f>IFERROR(__xludf.DUMMYFUNCTION("""COMPUTED_VALUE"""),0.572997244153191)</f>
        <v>0.5729972442</v>
      </c>
      <c r="AU1265" s="82">
        <f>IFERROR(__xludf.DUMMYFUNCTION("""COMPUTED_VALUE"""),2.54895764630503)</f>
        <v>2.548957646</v>
      </c>
      <c r="AV1265" s="82">
        <f>IFERROR(__xludf.DUMMYFUNCTION("""COMPUTED_VALUE"""),55.545560506296844)</f>
        <v>55.54556051</v>
      </c>
      <c r="AW1265" s="82">
        <f t="shared" si="1"/>
        <v>2.42585341</v>
      </c>
      <c r="AX1265" s="83">
        <f t="array" ref="AX1265">IFERROR(DGET('SBV Import'!A:G,"SBV",{"RSC ID","Tier";B1265,A1265}))</f>
        <v>51.02832397</v>
      </c>
      <c r="AY1265" s="82">
        <f t="shared" si="2"/>
        <v>2.067846243</v>
      </c>
      <c r="AZ1265" s="82">
        <v>0.3580071675551597</v>
      </c>
      <c r="BA1265" s="84">
        <v>1200.0</v>
      </c>
      <c r="BB1265" s="84" t="b">
        <f>IFERROR(__xludf.DUMMYFUNCTION("iferror(if(A1265="""",,E1265&gt;=FILTER(Constants!$F$2:$F$10,Constants!$A$2:$A$10=A1265)))"),TRUE)</f>
        <v>1</v>
      </c>
    </row>
    <row r="1266">
      <c r="A1266" s="89" t="str">
        <f>IFERROR(__xludf.DUMMYFUNCTION("""COMPUTED_VALUE"""),"Veteran")</f>
        <v>Veteran</v>
      </c>
      <c r="B1266" s="87" t="str">
        <f>IFERROR(__xludf.DUMMYFUNCTION("""COMPUTED_VALUE"""),"RSC002937")</f>
        <v>RSC002937</v>
      </c>
      <c r="C1266" s="73" t="str">
        <f>IFERROR(__xludf.DUMMYFUNCTION("""COMPUTED_VALUE"""),"SirTommyNoble")</f>
        <v>SirTommyNoble</v>
      </c>
      <c r="D1266" s="73" t="str">
        <f>IFERROR(__xludf.DUMMYFUNCTION("""COMPUTED_VALUE"""),"Kirin")</f>
        <v>Kirin</v>
      </c>
      <c r="E1266" s="82">
        <f>IFERROR(__xludf.DUMMYFUNCTION("""COMPUTED_VALUE"""),36.0)</f>
        <v>36</v>
      </c>
      <c r="F1266" s="82">
        <f>IFERROR(__xludf.DUMMYFUNCTION("""COMPUTED_VALUE"""),17.0)</f>
        <v>17</v>
      </c>
      <c r="G1266" s="86">
        <f>IFERROR(__xludf.DUMMYFUNCTION("""COMPUTED_VALUE"""),19.0)</f>
        <v>19</v>
      </c>
      <c r="H1266" s="86">
        <f>IFERROR(__xludf.DUMMYFUNCTION("""COMPUTED_VALUE"""),0.4722222222222222)</f>
        <v>0.4722222222</v>
      </c>
      <c r="I1266" s="86">
        <f>IFERROR(__xludf.DUMMYFUNCTION("""COMPUTED_VALUE"""),0.23913043478260873)</f>
        <v>0.2391304348</v>
      </c>
      <c r="J1266" s="82">
        <f>IFERROR(__xludf.DUMMYFUNCTION("""COMPUTED_VALUE"""),368.47222222222223)</f>
        <v>368.4722222</v>
      </c>
      <c r="K1266" s="82">
        <f>IFERROR(__xludf.DUMMYFUNCTION("""COMPUTED_VALUE"""),0.6111111111111112)</f>
        <v>0.6111111111</v>
      </c>
      <c r="L1266" s="82">
        <f>IFERROR(__xludf.DUMMYFUNCTION("""COMPUTED_VALUE"""),0.7222222222222222)</f>
        <v>0.7222222222</v>
      </c>
      <c r="M1266" s="82">
        <f>IFERROR(__xludf.DUMMYFUNCTION("""COMPUTED_VALUE"""),1.5)</f>
        <v>1.5</v>
      </c>
      <c r="N1266" s="82">
        <f>IFERROR(__xludf.DUMMYFUNCTION("""COMPUTED_VALUE"""),2.5555555555555554)</f>
        <v>2.555555556</v>
      </c>
      <c r="O1266" s="82">
        <f>IFERROR(__xludf.DUMMYFUNCTION("""COMPUTED_VALUE"""),367.93518518518505)</f>
        <v>367.9351852</v>
      </c>
      <c r="P1266" s="82">
        <f>IFERROR(__xludf.DUMMYFUNCTION("""COMPUTED_VALUE"""),0.8333333333333335)</f>
        <v>0.8333333333</v>
      </c>
      <c r="Q1266" s="82">
        <f>IFERROR(__xludf.DUMMYFUNCTION("""COMPUTED_VALUE"""),0.6296296296296299)</f>
        <v>0.6296296296</v>
      </c>
      <c r="R1266" s="82">
        <f>IFERROR(__xludf.DUMMYFUNCTION("""COMPUTED_VALUE"""),1.1759259259259265)</f>
        <v>1.175925926</v>
      </c>
      <c r="S1266" s="82">
        <f>IFERROR(__xludf.DUMMYFUNCTION("""COMPUTED_VALUE"""),2.8611111111111107)</f>
        <v>2.861111111</v>
      </c>
      <c r="T1266" s="82">
        <f>IFERROR(__xludf.DUMMYFUNCTION("""COMPUTED_VALUE"""),370.0648071068151)</f>
        <v>370.0648071</v>
      </c>
      <c r="U1266" s="82">
        <f>IFERROR(__xludf.DUMMYFUNCTION("""COMPUTED_VALUE"""),0.850764395889053)</f>
        <v>0.8507643959</v>
      </c>
      <c r="V1266" s="82">
        <f>IFERROR(__xludf.DUMMYFUNCTION("""COMPUTED_VALUE"""),0.6098030849137746)</f>
        <v>0.6098030849</v>
      </c>
      <c r="W1266" s="82">
        <f>IFERROR(__xludf.DUMMYFUNCTION("""COMPUTED_VALUE"""),1.3985989280220255)</f>
        <v>1.398598928</v>
      </c>
      <c r="X1266" s="82">
        <f>IFERROR(__xludf.DUMMYFUNCTION("""COMPUTED_VALUE"""),2.7947725320532615)</f>
        <v>2.794772532</v>
      </c>
      <c r="Y1266" s="82">
        <f>IFERROR(__xludf.DUMMYFUNCTION("""COMPUTED_VALUE"""),356.10133819576015)</f>
        <v>356.1013382</v>
      </c>
      <c r="Z1266" s="82">
        <f>IFERROR(__xludf.DUMMYFUNCTION("""COMPUTED_VALUE"""),0.7705392211372077)</f>
        <v>0.7705392211</v>
      </c>
      <c r="AA1266" s="82">
        <f>IFERROR(__xludf.DUMMYFUNCTION("""COMPUTED_VALUE"""),0.5778685176446791)</f>
        <v>0.5778685176</v>
      </c>
      <c r="AB1266" s="82">
        <f>IFERROR(__xludf.DUMMYFUNCTION("""COMPUTED_VALUE"""),1.3992071447045442)</f>
        <v>1.399207145</v>
      </c>
      <c r="AC1266" s="82">
        <f>IFERROR(__xludf.DUMMYFUNCTION("""COMPUTED_VALUE"""),2.651020617508074)</f>
        <v>2.651020618</v>
      </c>
      <c r="AD1266" s="82">
        <f>IFERROR(__xludf.DUMMYFUNCTION("""COMPUTED_VALUE"""),1.0347397852789348)</f>
        <v>1.034739785</v>
      </c>
      <c r="AE1266" s="82">
        <f>IFERROR(__xludf.DUMMYFUNCTION("""COMPUTED_VALUE"""),0.7930953991014201)</f>
        <v>0.7930953991</v>
      </c>
      <c r="AF1266" s="82">
        <f>IFERROR(__xludf.DUMMYFUNCTION("""COMPUTED_VALUE"""),1.2498037186139004)</f>
        <v>1.249803719</v>
      </c>
      <c r="AG1266" s="82">
        <f>IFERROR(__xludf.DUMMYFUNCTION("""COMPUTED_VALUE"""),1.0720356922682375)</f>
        <v>1.072035692</v>
      </c>
      <c r="AH1266" s="82">
        <f>IFERROR(__xludf.DUMMYFUNCTION("""COMPUTED_VALUE"""),0.9639893174266391)</f>
        <v>0.9639893174</v>
      </c>
      <c r="AI1266" s="82">
        <f>IFERROR(__xludf.DUMMYFUNCTION("""COMPUTED_VALUE"""),0.9942452730420934)</f>
        <v>0.994245273</v>
      </c>
      <c r="AJ1266" s="82">
        <f>IFERROR(__xludf.DUMMYFUNCTION("""COMPUTED_VALUE"""),0.9795112928562273)</f>
        <v>0.9795112929</v>
      </c>
      <c r="AK1266" s="82">
        <f>IFERROR(__xludf.DUMMYFUNCTION("""COMPUTED_VALUE"""),1.0325130279041779)</f>
        <v>1.032513028</v>
      </c>
      <c r="AL1266" s="82">
        <f>IFERROR(__xludf.DUMMYFUNCTION("""COMPUTED_VALUE"""),0.8407885222599053)</f>
        <v>0.8407885223</v>
      </c>
      <c r="AM1266" s="82">
        <f>IFERROR(__xludf.DUMMYFUNCTION("""COMPUTED_VALUE"""),1.0237366648974153)</f>
        <v>1.023736665</v>
      </c>
      <c r="AN1266" s="82">
        <f>IFERROR(__xludf.DUMMYFUNCTION("""COMPUTED_VALUE"""),1.0671776701596205)</f>
        <v>1.06717767</v>
      </c>
      <c r="AO1266" s="82">
        <f>IFERROR(__xludf.DUMMYFUNCTION("""COMPUTED_VALUE"""),0.81011960067912)</f>
        <v>0.8101196007</v>
      </c>
      <c r="AP1266" s="82">
        <f>IFERROR(__xludf.DUMMYFUNCTION("""COMPUTED_VALUE"""),1.339369288327921)</f>
        <v>1.339369288</v>
      </c>
      <c r="AQ1266" s="82">
        <f>IFERROR(__xludf.DUMMYFUNCTION("""COMPUTED_VALUE"""),1.110581645019602)</f>
        <v>1.110581645</v>
      </c>
      <c r="AR1266" s="82">
        <f>IFERROR(__xludf.DUMMYFUNCTION("""COMPUTED_VALUE"""),0.9979981244185198)</f>
        <v>0.9979981244</v>
      </c>
      <c r="AS1266" s="82">
        <f>IFERROR(__xludf.DUMMYFUNCTION("""COMPUTED_VALUE"""),93.0)</f>
        <v>93</v>
      </c>
      <c r="AT1266" s="82">
        <f>IFERROR(__xludf.DUMMYFUNCTION("""COMPUTED_VALUE"""),0.5130690732070926)</f>
        <v>0.5130690732</v>
      </c>
      <c r="AU1266" s="82">
        <f>IFERROR(__xludf.DUMMYFUNCTION("""COMPUTED_VALUE"""),2.5422589342278443)</f>
        <v>2.542258934</v>
      </c>
      <c r="AV1266" s="82">
        <f>IFERROR(__xludf.DUMMYFUNCTION("""COMPUTED_VALUE"""),55.338060583891114)</f>
        <v>55.33806058</v>
      </c>
      <c r="AW1266" s="82">
        <f t="shared" si="1"/>
        <v>2.406972032</v>
      </c>
      <c r="AX1266" s="83">
        <f t="array" ref="AX1266">IFERROR(DGET('SBV Import'!A:G,"SBV",{"RSC ID","Tier";B1266,A1266}))</f>
        <v>51.94249464</v>
      </c>
      <c r="AY1266" s="82">
        <f t="shared" si="2"/>
        <v>2.132044181</v>
      </c>
      <c r="AZ1266" s="82">
        <v>0.2749278514333007</v>
      </c>
      <c r="BA1266" s="84">
        <v>1200.0</v>
      </c>
      <c r="BB1266" s="84" t="b">
        <f>IFERROR(__xludf.DUMMYFUNCTION("iferror(if(A1266="""",,E1266&gt;=FILTER(Constants!$F$2:$F$10,Constants!$A$2:$A$10=A1266)))"),TRUE)</f>
        <v>1</v>
      </c>
    </row>
    <row r="1267">
      <c r="A1267" s="89" t="str">
        <f>IFERROR(__xludf.DUMMYFUNCTION("""COMPUTED_VALUE"""),"Veteran")</f>
        <v>Veteran</v>
      </c>
      <c r="B1267" s="87" t="str">
        <f>IFERROR(__xludf.DUMMYFUNCTION("""COMPUTED_VALUE"""),"RSC001098")</f>
        <v>RSC001098</v>
      </c>
      <c r="C1267" s="73" t="str">
        <f>IFERROR(__xludf.DUMMYFUNCTION("""COMPUTED_VALUE"""),"Wafe")</f>
        <v>Wafe</v>
      </c>
      <c r="D1267" s="73" t="str">
        <f>IFERROR(__xludf.DUMMYFUNCTION("""COMPUTED_VALUE"""),"Silver Dollar")</f>
        <v>Silver Dollar</v>
      </c>
      <c r="E1267" s="82">
        <f>IFERROR(__xludf.DUMMYFUNCTION("""COMPUTED_VALUE"""),34.0)</f>
        <v>34</v>
      </c>
      <c r="F1267" s="82">
        <f>IFERROR(__xludf.DUMMYFUNCTION("""COMPUTED_VALUE"""),20.0)</f>
        <v>20</v>
      </c>
      <c r="G1267" s="86">
        <f>IFERROR(__xludf.DUMMYFUNCTION("""COMPUTED_VALUE"""),14.0)</f>
        <v>14</v>
      </c>
      <c r="H1267" s="86">
        <f>IFERROR(__xludf.DUMMYFUNCTION("""COMPUTED_VALUE"""),0.5882352941176471)</f>
        <v>0.5882352941</v>
      </c>
      <c r="I1267" s="86">
        <f>IFERROR(__xludf.DUMMYFUNCTION("""COMPUTED_VALUE"""),0.27956989247311825)</f>
        <v>0.2795698925</v>
      </c>
      <c r="J1267" s="82">
        <f>IFERROR(__xludf.DUMMYFUNCTION("""COMPUTED_VALUE"""),378.8529411764706)</f>
        <v>378.8529412</v>
      </c>
      <c r="K1267" s="82">
        <f>IFERROR(__xludf.DUMMYFUNCTION("""COMPUTED_VALUE"""),0.7647058823529411)</f>
        <v>0.7647058824</v>
      </c>
      <c r="L1267" s="82">
        <f>IFERROR(__xludf.DUMMYFUNCTION("""COMPUTED_VALUE"""),0.5)</f>
        <v>0.5</v>
      </c>
      <c r="M1267" s="82">
        <f>IFERROR(__xludf.DUMMYFUNCTION("""COMPUTED_VALUE"""),1.3529411764705883)</f>
        <v>1.352941176</v>
      </c>
      <c r="N1267" s="82">
        <f>IFERROR(__xludf.DUMMYFUNCTION("""COMPUTED_VALUE"""),2.735294117647059)</f>
        <v>2.735294118</v>
      </c>
      <c r="O1267" s="82">
        <f>IFERROR(__xludf.DUMMYFUNCTION("""COMPUTED_VALUE"""),337.99019607843144)</f>
        <v>337.9901961</v>
      </c>
      <c r="P1267" s="82">
        <f>IFERROR(__xludf.DUMMYFUNCTION("""COMPUTED_VALUE"""),0.6862745098039217)</f>
        <v>0.6862745098</v>
      </c>
      <c r="Q1267" s="82">
        <f>IFERROR(__xludf.DUMMYFUNCTION("""COMPUTED_VALUE"""),0.4607843137254901)</f>
        <v>0.4607843137</v>
      </c>
      <c r="R1267" s="82">
        <f>IFERROR(__xludf.DUMMYFUNCTION("""COMPUTED_VALUE"""),1.2941176470588236)</f>
        <v>1.294117647</v>
      </c>
      <c r="S1267" s="82">
        <f>IFERROR(__xludf.DUMMYFUNCTION("""COMPUTED_VALUE"""),2.4901960784313726)</f>
        <v>2.490196078</v>
      </c>
      <c r="T1267" s="82">
        <f>IFERROR(__xludf.DUMMYFUNCTION("""COMPUTED_VALUE"""),336.7333469617671)</f>
        <v>336.733347</v>
      </c>
      <c r="U1267" s="82">
        <f>IFERROR(__xludf.DUMMYFUNCTION("""COMPUTED_VALUE"""),0.7075142966270812)</f>
        <v>0.7075142966</v>
      </c>
      <c r="V1267" s="82">
        <f>IFERROR(__xludf.DUMMYFUNCTION("""COMPUTED_VALUE"""),0.4925991917986575)</f>
        <v>0.4925991918</v>
      </c>
      <c r="W1267" s="82">
        <f>IFERROR(__xludf.DUMMYFUNCTION("""COMPUTED_VALUE"""),1.3603917967642665)</f>
        <v>1.360391797</v>
      </c>
      <c r="X1267" s="82">
        <f>IFERROR(__xludf.DUMMYFUNCTION("""COMPUTED_VALUE"""),2.4478131621812693)</f>
        <v>2.447813162</v>
      </c>
      <c r="Y1267" s="82">
        <f>IFERROR(__xludf.DUMMYFUNCTION("""COMPUTED_VALUE"""),347.1959565901795)</f>
        <v>347.1959566</v>
      </c>
      <c r="Z1267" s="82">
        <f>IFERROR(__xludf.DUMMYFUNCTION("""COMPUTED_VALUE"""),0.7674948434487454)</f>
        <v>0.7674948434</v>
      </c>
      <c r="AA1267" s="82">
        <f>IFERROR(__xludf.DUMMYFUNCTION("""COMPUTED_VALUE"""),0.5653262039398101)</f>
        <v>0.5653262039</v>
      </c>
      <c r="AB1267" s="82">
        <f>IFERROR(__xludf.DUMMYFUNCTION("""COMPUTED_VALUE"""),1.303977997298821)</f>
        <v>1.303977997</v>
      </c>
      <c r="AC1267" s="82">
        <f>IFERROR(__xludf.DUMMYFUNCTION("""COMPUTED_VALUE"""),2.6321965170601174)</f>
        <v>2.632196517</v>
      </c>
      <c r="AD1267" s="82">
        <f>IFERROR(__xludf.DUMMYFUNCTION("""COMPUTED_VALUE"""),1.0911790128467946)</f>
        <v>1.091179013</v>
      </c>
      <c r="AE1267" s="82">
        <f>IFERROR(__xludf.DUMMYFUNCTION("""COMPUTED_VALUE"""),0.9963661500535013)</f>
        <v>0.9963661501</v>
      </c>
      <c r="AF1267" s="82">
        <f>IFERROR(__xludf.DUMMYFUNCTION("""COMPUTED_VALUE"""),0.8844451159621722)</f>
        <v>0.884445116</v>
      </c>
      <c r="AG1267" s="82">
        <f>IFERROR(__xludf.DUMMYFUNCTION("""COMPUTED_VALUE"""),1.0375490838596926)</f>
        <v>1.037549084</v>
      </c>
      <c r="AH1267" s="82">
        <f>IFERROR(__xludf.DUMMYFUNCTION("""COMPUTED_VALUE"""),1.039167896438861)</f>
        <v>1.039167896</v>
      </c>
      <c r="AI1267" s="82">
        <f>IFERROR(__xludf.DUMMYFUNCTION("""COMPUTED_VALUE"""),1.0037324759427733)</f>
        <v>1.003732476</v>
      </c>
      <c r="AJ1267" s="82">
        <f>IFERROR(__xludf.DUMMYFUNCTION("""COMPUTED_VALUE"""),0.9699797065240723)</f>
        <v>0.9699797065</v>
      </c>
      <c r="AK1267" s="82">
        <f>IFERROR(__xludf.DUMMYFUNCTION("""COMPUTED_VALUE"""),0.9354142706629303)</f>
        <v>0.9354142707</v>
      </c>
      <c r="AL1267" s="82">
        <f>IFERROR(__xludf.DUMMYFUNCTION("""COMPUTED_VALUE"""),0.9512830422360102)</f>
        <v>0.9512830422</v>
      </c>
      <c r="AM1267" s="82">
        <f>IFERROR(__xludf.DUMMYFUNCTION("""COMPUTED_VALUE"""),1.0173146042781858)</f>
        <v>1.017314604</v>
      </c>
      <c r="AN1267" s="82">
        <f>IFERROR(__xludf.DUMMYFUNCTION("""COMPUTED_VALUE"""),1.0972425456103825)</f>
        <v>1.097242546</v>
      </c>
      <c r="AO1267" s="82">
        <f>IFERROR(__xludf.DUMMYFUNCTION("""COMPUTED_VALUE"""),1.0137325484433908)</f>
        <v>1.013732548</v>
      </c>
      <c r="AP1267" s="82">
        <f>IFERROR(__xludf.DUMMYFUNCTION("""COMPUTED_VALUE"""),0.9272556611500992)</f>
        <v>0.9272556612</v>
      </c>
      <c r="AQ1267" s="82">
        <f>IFERROR(__xludf.DUMMYFUNCTION("""COMPUTED_VALUE"""),1.0017010915863078)</f>
        <v>1.001701092</v>
      </c>
      <c r="AR1267" s="82">
        <f>IFERROR(__xludf.DUMMYFUNCTION("""COMPUTED_VALUE"""),1.0681898083609989)</f>
        <v>1.068189808</v>
      </c>
      <c r="AS1267" s="82">
        <f>IFERROR(__xludf.DUMMYFUNCTION("""COMPUTED_VALUE"""),77.0)</f>
        <v>77</v>
      </c>
      <c r="AT1267" s="82">
        <f>IFERROR(__xludf.DUMMYFUNCTION("""COMPUTED_VALUE"""),0.5362079583090211)</f>
        <v>0.5362079583</v>
      </c>
      <c r="AU1267" s="82">
        <f>IFERROR(__xludf.DUMMYFUNCTION("""COMPUTED_VALUE"""),2.5388731078068725)</f>
        <v>2.538873108</v>
      </c>
      <c r="AV1267" s="82">
        <f>IFERROR(__xludf.DUMMYFUNCTION("""COMPUTED_VALUE"""),55.23318091276393)</f>
        <v>55.23318091</v>
      </c>
      <c r="AW1267" s="82">
        <f t="shared" si="1"/>
        <v>2.397527312</v>
      </c>
      <c r="AX1267" s="83">
        <f t="array" ref="AX1267">IFERROR(DGET('SBV Import'!A:G,"SBV",{"RSC ID","Tier";B1267,A1267}))</f>
        <v>63.31331178</v>
      </c>
      <c r="AY1267" s="82">
        <f t="shared" si="2"/>
        <v>3.364979516</v>
      </c>
      <c r="AZ1267" s="82">
        <v>0.967452203820701</v>
      </c>
      <c r="BA1267" s="84">
        <v>1200.0</v>
      </c>
      <c r="BB1267" s="84" t="b">
        <f>IFERROR(__xludf.DUMMYFUNCTION("iferror(if(A1267="""",,E1267&gt;=FILTER(Constants!$F$2:$F$10,Constants!$A$2:$A$10=A1267)))"),TRUE)</f>
        <v>1</v>
      </c>
    </row>
    <row r="1268">
      <c r="A1268" s="89" t="str">
        <f>IFERROR(__xludf.DUMMYFUNCTION("""COMPUTED_VALUE"""),"Veteran")</f>
        <v>Veteran</v>
      </c>
      <c r="B1268" s="87" t="str">
        <f>IFERROR(__xludf.DUMMYFUNCTION("""COMPUTED_VALUE"""),"RSC007900")</f>
        <v>RSC007900</v>
      </c>
      <c r="C1268" s="73" t="str">
        <f>IFERROR(__xludf.DUMMYFUNCTION("""COMPUTED_VALUE"""),"Car.")</f>
        <v>Car.</v>
      </c>
      <c r="D1268" s="73" t="str">
        <f>IFERROR(__xludf.DUMMYFUNCTION("""COMPUTED_VALUE"""),"Supernova")</f>
        <v>Supernova</v>
      </c>
      <c r="E1268" s="82">
        <f>IFERROR(__xludf.DUMMYFUNCTION("""COMPUTED_VALUE"""),16.0)</f>
        <v>16</v>
      </c>
      <c r="F1268" s="82">
        <f>IFERROR(__xludf.DUMMYFUNCTION("""COMPUTED_VALUE"""),6.0)</f>
        <v>6</v>
      </c>
      <c r="G1268" s="86">
        <f>IFERROR(__xludf.DUMMYFUNCTION("""COMPUTED_VALUE"""),10.0)</f>
        <v>10</v>
      </c>
      <c r="H1268" s="86">
        <f>IFERROR(__xludf.DUMMYFUNCTION("""COMPUTED_VALUE"""),0.375)</f>
        <v>0.375</v>
      </c>
      <c r="I1268" s="86">
        <f>IFERROR(__xludf.DUMMYFUNCTION("""COMPUTED_VALUE"""),0.2653061224489796)</f>
        <v>0.2653061224</v>
      </c>
      <c r="J1268" s="82">
        <f>IFERROR(__xludf.DUMMYFUNCTION("""COMPUTED_VALUE"""),369.125)</f>
        <v>369.125</v>
      </c>
      <c r="K1268" s="82">
        <f>IFERROR(__xludf.DUMMYFUNCTION("""COMPUTED_VALUE"""),0.8125)</f>
        <v>0.8125</v>
      </c>
      <c r="L1268" s="82">
        <f>IFERROR(__xludf.DUMMYFUNCTION("""COMPUTED_VALUE"""),0.5625)</f>
        <v>0.5625</v>
      </c>
      <c r="M1268" s="82">
        <f>IFERROR(__xludf.DUMMYFUNCTION("""COMPUTED_VALUE"""),1.0625)</f>
        <v>1.0625</v>
      </c>
      <c r="N1268" s="82">
        <f>IFERROR(__xludf.DUMMYFUNCTION("""COMPUTED_VALUE"""),3.0625)</f>
        <v>3.0625</v>
      </c>
      <c r="O1268" s="82">
        <f>IFERROR(__xludf.DUMMYFUNCTION("""COMPUTED_VALUE"""),361.35416666666674)</f>
        <v>361.3541667</v>
      </c>
      <c r="P1268" s="82">
        <f>IFERROR(__xludf.DUMMYFUNCTION("""COMPUTED_VALUE"""),0.9791666666666667)</f>
        <v>0.9791666667</v>
      </c>
      <c r="Q1268" s="82">
        <f>IFERROR(__xludf.DUMMYFUNCTION("""COMPUTED_VALUE"""),0.7083333333333333)</f>
        <v>0.7083333333</v>
      </c>
      <c r="R1268" s="82">
        <f>IFERROR(__xludf.DUMMYFUNCTION("""COMPUTED_VALUE"""),1.1458333333333333)</f>
        <v>1.145833333</v>
      </c>
      <c r="S1268" s="82">
        <f>IFERROR(__xludf.DUMMYFUNCTION("""COMPUTED_VALUE"""),2.7291666666666665)</f>
        <v>2.729166667</v>
      </c>
      <c r="T1268" s="82">
        <f>IFERROR(__xludf.DUMMYFUNCTION("""COMPUTED_VALUE"""),356.13916576886044)</f>
        <v>356.1391658</v>
      </c>
      <c r="U1268" s="82">
        <f>IFERROR(__xludf.DUMMYFUNCTION("""COMPUTED_VALUE"""),0.7844841806454382)</f>
        <v>0.7844841806</v>
      </c>
      <c r="V1268" s="82">
        <f>IFERROR(__xludf.DUMMYFUNCTION("""COMPUTED_VALUE"""),0.5324668730352379)</f>
        <v>0.532466873</v>
      </c>
      <c r="W1268" s="82">
        <f>IFERROR(__xludf.DUMMYFUNCTION("""COMPUTED_VALUE"""),1.431577918148769)</f>
        <v>1.431577918</v>
      </c>
      <c r="X1268" s="82">
        <f>IFERROR(__xludf.DUMMYFUNCTION("""COMPUTED_VALUE"""),2.505741596259527)</f>
        <v>2.505741596</v>
      </c>
      <c r="Y1268" s="82">
        <f>IFERROR(__xludf.DUMMYFUNCTION("""COMPUTED_VALUE"""),344.2493534349091)</f>
        <v>344.2493534</v>
      </c>
      <c r="Z1268" s="82">
        <f>IFERROR(__xludf.DUMMYFUNCTION("""COMPUTED_VALUE"""),0.7746096886197424)</f>
        <v>0.7746096886</v>
      </c>
      <c r="AA1268" s="82">
        <f>IFERROR(__xludf.DUMMYFUNCTION("""COMPUTED_VALUE"""),0.5517338117433659)</f>
        <v>0.5517338117</v>
      </c>
      <c r="AB1268" s="82">
        <f>IFERROR(__xludf.DUMMYFUNCTION("""COMPUTED_VALUE"""),1.2839255033528205)</f>
        <v>1.283925503</v>
      </c>
      <c r="AC1268" s="82">
        <f>IFERROR(__xludf.DUMMYFUNCTION("""COMPUTED_VALUE"""),2.7404604549285434)</f>
        <v>2.740460455</v>
      </c>
      <c r="AD1268" s="82">
        <f>IFERROR(__xludf.DUMMYFUNCTION("""COMPUTED_VALUE"""),1.0722605469462252)</f>
        <v>1.072260547</v>
      </c>
      <c r="AE1268" s="82">
        <f>IFERROR(__xludf.DUMMYFUNCTION("""COMPUTED_VALUE"""),1.048915359486109)</f>
        <v>1.048915359</v>
      </c>
      <c r="AF1268" s="82">
        <f>IFERROR(__xludf.DUMMYFUNCTION("""COMPUTED_VALUE"""),1.0195133740718467)</f>
        <v>1.019513374</v>
      </c>
      <c r="AG1268" s="82">
        <f>IFERROR(__xludf.DUMMYFUNCTION("""COMPUTED_VALUE"""),0.8275402250562094)</f>
        <v>0.8275402251</v>
      </c>
      <c r="AH1268" s="82">
        <f>IFERROR(__xludf.DUMMYFUNCTION("""COMPUTED_VALUE"""),1.1175129327235096)</f>
        <v>1.117512933</v>
      </c>
      <c r="AI1268" s="82">
        <f>IFERROR(__xludf.DUMMYFUNCTION("""COMPUTED_VALUE"""),1.014643154696417)</f>
        <v>1.014643155</v>
      </c>
      <c r="AJ1268" s="82">
        <f>IFERROR(__xludf.DUMMYFUNCTION("""COMPUTED_VALUE"""),1.2481662356289358)</f>
        <v>1.248166236</v>
      </c>
      <c r="AK1268" s="82">
        <f>IFERROR(__xludf.DUMMYFUNCTION("""COMPUTED_VALUE"""),1.3302862003331741)</f>
        <v>1.3302862</v>
      </c>
      <c r="AL1268" s="82">
        <f>IFERROR(__xludf.DUMMYFUNCTION("""COMPUTED_VALUE"""),0.8003988597526404)</f>
        <v>0.8003988598</v>
      </c>
      <c r="AM1268" s="82">
        <f>IFERROR(__xludf.DUMMYFUNCTION("""COMPUTED_VALUE"""),1.089165247821507)</f>
        <v>1.089165248</v>
      </c>
      <c r="AN1268" s="82">
        <f>IFERROR(__xludf.DUMMYFUNCTION("""COMPUTED_VALUE"""),1.0690682600766013)</f>
        <v>1.06906826</v>
      </c>
      <c r="AO1268" s="82">
        <f>IFERROR(__xludf.DUMMYFUNCTION("""COMPUTED_VALUE"""),1.0770908327211026)</f>
        <v>1.077090833</v>
      </c>
      <c r="AP1268" s="82">
        <f>IFERROR(__xludf.DUMMYFUNCTION("""COMPUTED_VALUE"""),1.0431626187938616)</f>
        <v>1.043162619</v>
      </c>
      <c r="AQ1268" s="82">
        <f>IFERROR(__xludf.DUMMYFUNCTION("""COMPUTED_VALUE"""),0.7866619985555514)</f>
        <v>0.7866619986</v>
      </c>
      <c r="AR1268" s="82">
        <f>IFERROR(__xludf.DUMMYFUNCTION("""COMPUTED_VALUE"""),1.1959705784471937)</f>
        <v>1.195970578</v>
      </c>
      <c r="AS1268" s="82">
        <f>IFERROR(__xludf.DUMMYFUNCTION("""COMPUTED_VALUE"""),36.0)</f>
        <v>36</v>
      </c>
      <c r="AT1268" s="82">
        <f>IFERROR(__xludf.DUMMYFUNCTION("""COMPUTED_VALUE"""),0.3946849622818207)</f>
        <v>0.3946849623</v>
      </c>
      <c r="AU1268" s="82">
        <f>IFERROR(__xludf.DUMMYFUNCTION("""COMPUTED_VALUE"""),2.5361648721615966)</f>
        <v>2.536164872</v>
      </c>
      <c r="AV1268" s="82">
        <f>IFERROR(__xludf.DUMMYFUNCTION("""COMPUTED_VALUE"""),55.149290355926134)</f>
        <v>55.14929036</v>
      </c>
      <c r="AW1268" s="82">
        <f t="shared" si="1"/>
        <v>2.39001999</v>
      </c>
      <c r="AX1268" s="83">
        <f t="array" ref="AX1268">IFERROR(DGET('SBV Import'!A:G,"SBV",{"RSC ID","Tier";B1268,A1268}))</f>
        <v>60.26521318</v>
      </c>
      <c r="AY1268" s="82">
        <f t="shared" si="2"/>
        <v>2.935307539</v>
      </c>
      <c r="AZ1268" s="82">
        <v>0.5452875482691497</v>
      </c>
      <c r="BA1268" s="84">
        <v>1200.0</v>
      </c>
      <c r="BB1268" s="84" t="b">
        <f>IFERROR(__xludf.DUMMYFUNCTION("iferror(if(A1268="""",,E1268&gt;=FILTER(Constants!$F$2:$F$10,Constants!$A$2:$A$10=A1268)))"),TRUE)</f>
        <v>1</v>
      </c>
    </row>
    <row r="1269">
      <c r="A1269" s="89" t="str">
        <f>IFERROR(__xludf.DUMMYFUNCTION("""COMPUTED_VALUE"""),"Veteran")</f>
        <v>Veteran</v>
      </c>
      <c r="B1269" s="87" t="str">
        <f>IFERROR(__xludf.DUMMYFUNCTION("""COMPUTED_VALUE"""),"RSC004165")</f>
        <v>RSC004165</v>
      </c>
      <c r="C1269" s="73" t="str">
        <f>IFERROR(__xludf.DUMMYFUNCTION("""COMPUTED_VALUE"""),"Absolutely TOR")</f>
        <v>Absolutely TOR</v>
      </c>
      <c r="D1269" s="73" t="str">
        <f>IFERROR(__xludf.DUMMYFUNCTION("""COMPUTED_VALUE"""),"Rulers")</f>
        <v>Rulers</v>
      </c>
      <c r="E1269" s="82">
        <f>IFERROR(__xludf.DUMMYFUNCTION("""COMPUTED_VALUE"""),21.0)</f>
        <v>21</v>
      </c>
      <c r="F1269" s="82">
        <f>IFERROR(__xludf.DUMMYFUNCTION("""COMPUTED_VALUE"""),14.0)</f>
        <v>14</v>
      </c>
      <c r="G1269" s="86">
        <f>IFERROR(__xludf.DUMMYFUNCTION("""COMPUTED_VALUE"""),7.0)</f>
        <v>7</v>
      </c>
      <c r="H1269" s="86">
        <f>IFERROR(__xludf.DUMMYFUNCTION("""COMPUTED_VALUE"""),0.6666666666666666)</f>
        <v>0.6666666667</v>
      </c>
      <c r="I1269" s="86">
        <f>IFERROR(__xludf.DUMMYFUNCTION("""COMPUTED_VALUE"""),0.33333333333333337)</f>
        <v>0.3333333333</v>
      </c>
      <c r="J1269" s="82">
        <f>IFERROR(__xludf.DUMMYFUNCTION("""COMPUTED_VALUE"""),351.85714285714283)</f>
        <v>351.8571429</v>
      </c>
      <c r="K1269" s="82">
        <f>IFERROR(__xludf.DUMMYFUNCTION("""COMPUTED_VALUE"""),0.7142857142857143)</f>
        <v>0.7142857143</v>
      </c>
      <c r="L1269" s="82">
        <f>IFERROR(__xludf.DUMMYFUNCTION("""COMPUTED_VALUE"""),0.6190476190476191)</f>
        <v>0.619047619</v>
      </c>
      <c r="M1269" s="82">
        <f>IFERROR(__xludf.DUMMYFUNCTION("""COMPUTED_VALUE"""),1.5238095238095237)</f>
        <v>1.523809524</v>
      </c>
      <c r="N1269" s="82">
        <f>IFERROR(__xludf.DUMMYFUNCTION("""COMPUTED_VALUE"""),2.142857142857143)</f>
        <v>2.142857143</v>
      </c>
      <c r="O1269" s="82">
        <f>IFERROR(__xludf.DUMMYFUNCTION("""COMPUTED_VALUE"""),325.31746031746025)</f>
        <v>325.3174603</v>
      </c>
      <c r="P1269" s="82">
        <f>IFERROR(__xludf.DUMMYFUNCTION("""COMPUTED_VALUE"""),0.5714285714285714)</f>
        <v>0.5714285714</v>
      </c>
      <c r="Q1269" s="82">
        <f>IFERROR(__xludf.DUMMYFUNCTION("""COMPUTED_VALUE"""),0.36507936507936506)</f>
        <v>0.3650793651</v>
      </c>
      <c r="R1269" s="82">
        <f>IFERROR(__xludf.DUMMYFUNCTION("""COMPUTED_VALUE"""),1.365079365079365)</f>
        <v>1.365079365</v>
      </c>
      <c r="S1269" s="82">
        <f>IFERROR(__xludf.DUMMYFUNCTION("""COMPUTED_VALUE"""),2.825396825396826)</f>
        <v>2.825396825</v>
      </c>
      <c r="T1269" s="82">
        <f>IFERROR(__xludf.DUMMYFUNCTION("""COMPUTED_VALUE"""),356.02610920330153)</f>
        <v>356.0261092</v>
      </c>
      <c r="U1269" s="82">
        <f>IFERROR(__xludf.DUMMYFUNCTION("""COMPUTED_VALUE"""),0.8260447518904565)</f>
        <v>0.8260447519</v>
      </c>
      <c r="V1269" s="82">
        <f>IFERROR(__xludf.DUMMYFUNCTION("""COMPUTED_VALUE"""),0.5413185028834977)</f>
        <v>0.5413185029</v>
      </c>
      <c r="W1269" s="82">
        <f>IFERROR(__xludf.DUMMYFUNCTION("""COMPUTED_VALUE"""),1.3644199428583637)</f>
        <v>1.364419943</v>
      </c>
      <c r="X1269" s="82">
        <f>IFERROR(__xludf.DUMMYFUNCTION("""COMPUTED_VALUE"""),2.560340115116341)</f>
        <v>2.560340115</v>
      </c>
      <c r="Y1269" s="82">
        <f>IFERROR(__xludf.DUMMYFUNCTION("""COMPUTED_VALUE"""),354.518301528967)</f>
        <v>354.5183015</v>
      </c>
      <c r="Z1269" s="82">
        <f>IFERROR(__xludf.DUMMYFUNCTION("""COMPUTED_VALUE"""),0.810546575876229)</f>
        <v>0.8105465759</v>
      </c>
      <c r="AA1269" s="82">
        <f>IFERROR(__xludf.DUMMYFUNCTION("""COMPUTED_VALUE"""),0.6022354407197301)</f>
        <v>0.6022354407</v>
      </c>
      <c r="AB1269" s="82">
        <f>IFERROR(__xludf.DUMMYFUNCTION("""COMPUTED_VALUE"""),1.3028246984949003)</f>
        <v>1.302824698</v>
      </c>
      <c r="AC1269" s="82">
        <f>IFERROR(__xludf.DUMMYFUNCTION("""COMPUTED_VALUE"""),2.6397801779980647)</f>
        <v>2.639780178</v>
      </c>
      <c r="AD1269" s="82">
        <f>IFERROR(__xludf.DUMMYFUNCTION("""COMPUTED_VALUE"""),0.9924935929672822)</f>
        <v>0.992493593</v>
      </c>
      <c r="AE1269" s="82">
        <f>IFERROR(__xludf.DUMMYFUNCTION("""COMPUTED_VALUE"""),0.8812395678971892)</f>
        <v>0.8812395679</v>
      </c>
      <c r="AF1269" s="82">
        <f>IFERROR(__xludf.DUMMYFUNCTION("""COMPUTED_VALUE"""),1.0279162885329312)</f>
        <v>1.027916289</v>
      </c>
      <c r="AG1269" s="82">
        <f>IFERROR(__xludf.DUMMYFUNCTION("""COMPUTED_VALUE"""),1.1696197696972723)</f>
        <v>1.16961977</v>
      </c>
      <c r="AH1269" s="82">
        <f>IFERROR(__xludf.DUMMYFUNCTION("""COMPUTED_VALUE"""),0.8117559032821534)</f>
        <v>0.8117559033</v>
      </c>
      <c r="AI1269" s="82">
        <f>IFERROR(__xludf.DUMMYFUNCTION("""COMPUTED_VALUE"""),0.9137460762230061)</f>
        <v>0.9137460762</v>
      </c>
      <c r="AJ1269" s="82">
        <f>IFERROR(__xludf.DUMMYFUNCTION("""COMPUTED_VALUE"""),0.6917646654383076)</f>
        <v>0.6917646654</v>
      </c>
      <c r="AK1269" s="82">
        <f>IFERROR(__xludf.DUMMYFUNCTION("""COMPUTED_VALUE"""),0.6744261707934585)</f>
        <v>0.6744261708</v>
      </c>
      <c r="AL1269" s="82">
        <f>IFERROR(__xludf.DUMMYFUNCTION("""COMPUTED_VALUE"""),1.000483298580069)</f>
        <v>1.000483299</v>
      </c>
      <c r="AM1269" s="82">
        <f>IFERROR(__xludf.DUMMYFUNCTION("""COMPUTED_VALUE"""),1.1035240235137436)</f>
        <v>1.103524024</v>
      </c>
      <c r="AN1269" s="82">
        <f>IFERROR(__xludf.DUMMYFUNCTION("""COMPUTED_VALUE"""),1.0190566976222413)</f>
        <v>1.019056698</v>
      </c>
      <c r="AO1269" s="82">
        <f>IFERROR(__xludf.DUMMYFUNCTION("""COMPUTED_VALUE"""),0.9468930397548155)</f>
        <v>0.9468930398</v>
      </c>
      <c r="AP1269" s="82">
        <f>IFERROR(__xludf.DUMMYFUNCTION("""COMPUTED_VALUE"""),1.1480308185667893)</f>
        <v>1.148030819</v>
      </c>
      <c r="AQ1269" s="82">
        <f>IFERROR(__xludf.DUMMYFUNCTION("""COMPUTED_VALUE"""),1.1282099250992783)</f>
        <v>1.128209925</v>
      </c>
      <c r="AR1269" s="82">
        <f>IFERROR(__xludf.DUMMYFUNCTION("""COMPUTED_VALUE"""),0.8368307254441005)</f>
        <v>0.8368307254</v>
      </c>
      <c r="AS1269" s="82">
        <f>IFERROR(__xludf.DUMMYFUNCTION("""COMPUTED_VALUE"""),46.0)</f>
        <v>46</v>
      </c>
      <c r="AT1269" s="82">
        <f>IFERROR(__xludf.DUMMYFUNCTION("""COMPUTED_VALUE"""),0.5896177590893925)</f>
        <v>0.5896177591</v>
      </c>
      <c r="AU1269" s="82">
        <f>IFERROR(__xludf.DUMMYFUNCTION("""COMPUTED_VALUE"""),2.534517494980936)</f>
        <v>2.534517495</v>
      </c>
      <c r="AV1269" s="82">
        <f>IFERROR(__xludf.DUMMYFUNCTION("""COMPUTED_VALUE"""),55.09826104861731)</f>
        <v>55.09826105</v>
      </c>
      <c r="AW1269" s="82">
        <f t="shared" si="1"/>
        <v>2.385473832</v>
      </c>
      <c r="AX1269" s="83">
        <f t="array" ref="AX1269">IFERROR(DGET('SBV Import'!A:G,"SBV",{"RSC ID","Tier";B1269,A1269}))</f>
        <v>44.70050454</v>
      </c>
      <c r="AY1269" s="82">
        <f t="shared" si="2"/>
        <v>-2.403491468</v>
      </c>
      <c r="AZ1269" s="82">
        <v>4.788965299732033</v>
      </c>
      <c r="BA1269" s="84">
        <v>1200.0</v>
      </c>
      <c r="BB1269" s="84" t="b">
        <f>IFERROR(__xludf.DUMMYFUNCTION("iferror(if(A1269="""",,E1269&gt;=FILTER(Constants!$F$2:$F$10,Constants!$A$2:$A$10=A1269)))"),TRUE)</f>
        <v>1</v>
      </c>
    </row>
    <row r="1270">
      <c r="A1270" s="89" t="str">
        <f>IFERROR(__xludf.DUMMYFUNCTION("""COMPUTED_VALUE"""),"Veteran")</f>
        <v>Veteran</v>
      </c>
      <c r="B1270" s="87" t="str">
        <f>IFERROR(__xludf.DUMMYFUNCTION("""COMPUTED_VALUE"""),"RSC007237")</f>
        <v>RSC007237</v>
      </c>
      <c r="C1270" s="73" t="str">
        <f>IFERROR(__xludf.DUMMYFUNCTION("""COMPUTED_VALUE"""),"FuDaah")</f>
        <v>FuDaah</v>
      </c>
      <c r="D1270" s="73" t="str">
        <f>IFERROR(__xludf.DUMMYFUNCTION("""COMPUTED_VALUE"""),"Typhoons")</f>
        <v>Typhoons</v>
      </c>
      <c r="E1270" s="82">
        <f>IFERROR(__xludf.DUMMYFUNCTION("""COMPUTED_VALUE"""),25.0)</f>
        <v>25</v>
      </c>
      <c r="F1270" s="82">
        <f>IFERROR(__xludf.DUMMYFUNCTION("""COMPUTED_VALUE"""),12.0)</f>
        <v>12</v>
      </c>
      <c r="G1270" s="86">
        <f>IFERROR(__xludf.DUMMYFUNCTION("""COMPUTED_VALUE"""),13.0)</f>
        <v>13</v>
      </c>
      <c r="H1270" s="86">
        <f>IFERROR(__xludf.DUMMYFUNCTION("""COMPUTED_VALUE"""),0.48)</f>
        <v>0.48</v>
      </c>
      <c r="I1270" s="86">
        <f>IFERROR(__xludf.DUMMYFUNCTION("""COMPUTED_VALUE"""),0.24285714285714288)</f>
        <v>0.2428571429</v>
      </c>
      <c r="J1270" s="82">
        <f>IFERROR(__xludf.DUMMYFUNCTION("""COMPUTED_VALUE"""),337.84)</f>
        <v>337.84</v>
      </c>
      <c r="K1270" s="82">
        <f>IFERROR(__xludf.DUMMYFUNCTION("""COMPUTED_VALUE"""),0.68)</f>
        <v>0.68</v>
      </c>
      <c r="L1270" s="82">
        <f>IFERROR(__xludf.DUMMYFUNCTION("""COMPUTED_VALUE"""),0.52)</f>
        <v>0.52</v>
      </c>
      <c r="M1270" s="82">
        <f>IFERROR(__xludf.DUMMYFUNCTION("""COMPUTED_VALUE"""),1.52)</f>
        <v>1.52</v>
      </c>
      <c r="N1270" s="82">
        <f>IFERROR(__xludf.DUMMYFUNCTION("""COMPUTED_VALUE"""),2.8)</f>
        <v>2.8</v>
      </c>
      <c r="O1270" s="82">
        <f>IFERROR(__xludf.DUMMYFUNCTION("""COMPUTED_VALUE"""),342.2933333333333)</f>
        <v>342.2933333</v>
      </c>
      <c r="P1270" s="82">
        <f>IFERROR(__xludf.DUMMYFUNCTION("""COMPUTED_VALUE"""),0.6533333333333333)</f>
        <v>0.6533333333</v>
      </c>
      <c r="Q1270" s="82">
        <f>IFERROR(__xludf.DUMMYFUNCTION("""COMPUTED_VALUE"""),0.5466666666666665)</f>
        <v>0.5466666667</v>
      </c>
      <c r="R1270" s="82">
        <f>IFERROR(__xludf.DUMMYFUNCTION("""COMPUTED_VALUE"""),1.4666666666666668)</f>
        <v>1.466666667</v>
      </c>
      <c r="S1270" s="82">
        <f>IFERROR(__xludf.DUMMYFUNCTION("""COMPUTED_VALUE"""),2.4133333333333336)</f>
        <v>2.413333333</v>
      </c>
      <c r="T1270" s="82">
        <f>IFERROR(__xludf.DUMMYFUNCTION("""COMPUTED_VALUE"""),354.69742712654084)</f>
        <v>354.6974271</v>
      </c>
      <c r="U1270" s="82">
        <f>IFERROR(__xludf.DUMMYFUNCTION("""COMPUTED_VALUE"""),0.7505337803808392)</f>
        <v>0.7505337804</v>
      </c>
      <c r="V1270" s="82">
        <f>IFERROR(__xludf.DUMMYFUNCTION("""COMPUTED_VALUE"""),0.5724584920163351)</f>
        <v>0.572458492</v>
      </c>
      <c r="W1270" s="82">
        <f>IFERROR(__xludf.DUMMYFUNCTION("""COMPUTED_VALUE"""),1.4020156461911364)</f>
        <v>1.402015646</v>
      </c>
      <c r="X1270" s="82">
        <f>IFERROR(__xludf.DUMMYFUNCTION("""COMPUTED_VALUE"""),2.5806018740155987)</f>
        <v>2.580601874</v>
      </c>
      <c r="Y1270" s="82">
        <f>IFERROR(__xludf.DUMMYFUNCTION("""COMPUTED_VALUE"""),342.9624831847891)</f>
        <v>342.9624832</v>
      </c>
      <c r="Z1270" s="82">
        <f>IFERROR(__xludf.DUMMYFUNCTION("""COMPUTED_VALUE"""),0.6824148706171583)</f>
        <v>0.6824148706</v>
      </c>
      <c r="AA1270" s="82">
        <f>IFERROR(__xludf.DUMMYFUNCTION("""COMPUTED_VALUE"""),0.49896589077830894)</f>
        <v>0.4989658908</v>
      </c>
      <c r="AB1270" s="82">
        <f>IFERROR(__xludf.DUMMYFUNCTION("""COMPUTED_VALUE"""),1.4155566423651391)</f>
        <v>1.415556642</v>
      </c>
      <c r="AC1270" s="82">
        <f>IFERROR(__xludf.DUMMYFUNCTION("""COMPUTED_VALUE"""),2.56920731718052)</f>
        <v>2.569207317</v>
      </c>
      <c r="AD1270" s="82">
        <f>IFERROR(__xludf.DUMMYFUNCTION("""COMPUTED_VALUE"""),0.9850640130161726)</f>
        <v>0.985064013</v>
      </c>
      <c r="AE1270" s="82">
        <f>IFERROR(__xludf.DUMMYFUNCTION("""COMPUTED_VALUE"""),0.9964612866437474)</f>
        <v>0.9964612866</v>
      </c>
      <c r="AF1270" s="82">
        <f>IFERROR(__xludf.DUMMYFUNCTION("""COMPUTED_VALUE"""),1.0421554050295525)</f>
        <v>1.042155405</v>
      </c>
      <c r="AG1270" s="82">
        <f>IFERROR(__xludf.DUMMYFUNCTION("""COMPUTED_VALUE"""),1.0737825350883556)</f>
        <v>1.073782535</v>
      </c>
      <c r="AH1270" s="82">
        <f>IFERROR(__xludf.DUMMYFUNCTION("""COMPUTED_VALUE"""),1.0898303072999007)</f>
        <v>1.089830307</v>
      </c>
      <c r="AI1270" s="82">
        <f>IFERROR(__xludf.DUMMYFUNCTION("""COMPUTED_VALUE"""),0.9650290843841326)</f>
        <v>0.9650290844</v>
      </c>
      <c r="AJ1270" s="82">
        <f>IFERROR(__xludf.DUMMYFUNCTION("""COMPUTED_VALUE"""),0.8704915760111637)</f>
        <v>0.870491576</v>
      </c>
      <c r="AK1270" s="82">
        <f>IFERROR(__xludf.DUMMYFUNCTION("""COMPUTED_VALUE"""),0.9549455100948478)</f>
        <v>0.9549455101</v>
      </c>
      <c r="AL1270" s="82">
        <f>IFERROR(__xludf.DUMMYFUNCTION("""COMPUTED_VALUE"""),1.046112909403806)</f>
        <v>1.046112909</v>
      </c>
      <c r="AM1270" s="82">
        <f>IFERROR(__xludf.DUMMYFUNCTION("""COMPUTED_VALUE"""),0.9351823532461505)</f>
        <v>0.9351823532</v>
      </c>
      <c r="AN1270" s="82">
        <f>IFERROR(__xludf.DUMMYFUNCTION("""COMPUTED_VALUE"""),0.9784599281660114)</f>
        <v>0.9784599282</v>
      </c>
      <c r="AO1270" s="82">
        <f>IFERROR(__xludf.DUMMYFUNCTION("""COMPUTED_VALUE"""),0.9014421738465844)</f>
        <v>0.9014421738</v>
      </c>
      <c r="AP1270" s="82">
        <f>IFERROR(__xludf.DUMMYFUNCTION("""COMPUTED_VALUE"""),0.9643458875961032)</f>
        <v>0.9643458876</v>
      </c>
      <c r="AQ1270" s="82">
        <f>IFERROR(__xludf.DUMMYFUNCTION("""COMPUTED_VALUE"""),1.1253894002865301)</f>
        <v>1.1253894</v>
      </c>
      <c r="AR1270" s="82">
        <f>IFERROR(__xludf.DUMMYFUNCTION("""COMPUTED_VALUE"""),1.0934588145802913)</f>
        <v>1.093458815</v>
      </c>
      <c r="AS1270" s="82">
        <f>IFERROR(__xludf.DUMMYFUNCTION("""COMPUTED_VALUE"""),49.0)</f>
        <v>49</v>
      </c>
      <c r="AT1270" s="82">
        <f>IFERROR(__xludf.DUMMYFUNCTION("""COMPUTED_VALUE"""),0.5)</f>
        <v>0.5</v>
      </c>
      <c r="AU1270" s="82">
        <f>IFERROR(__xludf.DUMMYFUNCTION("""COMPUTED_VALUE"""),2.5314930435168654)</f>
        <v>2.531493044</v>
      </c>
      <c r="AV1270" s="82">
        <f>IFERROR(__xludf.DUMMYFUNCTION("""COMPUTED_VALUE"""),55.0045753614459)</f>
        <v>55.00457536</v>
      </c>
      <c r="AW1270" s="82">
        <f t="shared" si="1"/>
        <v>2.377167447</v>
      </c>
      <c r="AX1270" s="83">
        <f t="array" ref="AX1270">IFERROR(DGET('SBV Import'!A:G,"SBV",{"RSC ID","Tier";B1270,A1270}))</f>
        <v>52.76936354</v>
      </c>
      <c r="AY1270" s="82">
        <f t="shared" si="2"/>
        <v>2.193475185</v>
      </c>
      <c r="AZ1270" s="82">
        <v>0.1836922619305179</v>
      </c>
      <c r="BA1270" s="84">
        <v>1200.0</v>
      </c>
      <c r="BB1270" s="84" t="b">
        <f>IFERROR(__xludf.DUMMYFUNCTION("iferror(if(A1270="""",,E1270&gt;=FILTER(Constants!$F$2:$F$10,Constants!$A$2:$A$10=A1270)))"),TRUE)</f>
        <v>1</v>
      </c>
    </row>
    <row r="1271">
      <c r="A1271" s="89" t="str">
        <f>IFERROR(__xludf.DUMMYFUNCTION("""COMPUTED_VALUE"""),"Veteran")</f>
        <v>Veteran</v>
      </c>
      <c r="B1271" s="87" t="str">
        <f>IFERROR(__xludf.DUMMYFUNCTION("""COMPUTED_VALUE"""),"RSC006290")</f>
        <v>RSC006290</v>
      </c>
      <c r="C1271" s="73" t="str">
        <f>IFERROR(__xludf.DUMMYFUNCTION("""COMPUTED_VALUE"""),"Dirt D Dan")</f>
        <v>Dirt D Dan</v>
      </c>
      <c r="D1271" s="73" t="str">
        <f>IFERROR(__xludf.DUMMYFUNCTION("""COMPUTED_VALUE"""),"Blacksmiths")</f>
        <v>Blacksmiths</v>
      </c>
      <c r="E1271" s="82">
        <f>IFERROR(__xludf.DUMMYFUNCTION("""COMPUTED_VALUE"""),36.0)</f>
        <v>36</v>
      </c>
      <c r="F1271" s="82">
        <f>IFERROR(__xludf.DUMMYFUNCTION("""COMPUTED_VALUE"""),20.0)</f>
        <v>20</v>
      </c>
      <c r="G1271" s="86">
        <f>IFERROR(__xludf.DUMMYFUNCTION("""COMPUTED_VALUE"""),16.0)</f>
        <v>16</v>
      </c>
      <c r="H1271" s="86">
        <f>IFERROR(__xludf.DUMMYFUNCTION("""COMPUTED_VALUE"""),0.5555555555555556)</f>
        <v>0.5555555556</v>
      </c>
      <c r="I1271" s="86">
        <f>IFERROR(__xludf.DUMMYFUNCTION("""COMPUTED_VALUE"""),0.2777777777777778)</f>
        <v>0.2777777778</v>
      </c>
      <c r="J1271" s="82">
        <f>IFERROR(__xludf.DUMMYFUNCTION("""COMPUTED_VALUE"""),339.5)</f>
        <v>339.5</v>
      </c>
      <c r="K1271" s="82">
        <f>IFERROR(__xludf.DUMMYFUNCTION("""COMPUTED_VALUE"""),0.6944444444444444)</f>
        <v>0.6944444444</v>
      </c>
      <c r="L1271" s="82">
        <f>IFERROR(__xludf.DUMMYFUNCTION("""COMPUTED_VALUE"""),0.6388888888888888)</f>
        <v>0.6388888889</v>
      </c>
      <c r="M1271" s="82">
        <f>IFERROR(__xludf.DUMMYFUNCTION("""COMPUTED_VALUE"""),1.1388888888888888)</f>
        <v>1.138888889</v>
      </c>
      <c r="N1271" s="82">
        <f>IFERROR(__xludf.DUMMYFUNCTION("""COMPUTED_VALUE"""),2.5)</f>
        <v>2.5</v>
      </c>
      <c r="O1271" s="82">
        <f>IFERROR(__xludf.DUMMYFUNCTION("""COMPUTED_VALUE"""),364.2222222222222)</f>
        <v>364.2222222</v>
      </c>
      <c r="P1271" s="82">
        <f>IFERROR(__xludf.DUMMYFUNCTION("""COMPUTED_VALUE"""),0.7685185185185186)</f>
        <v>0.7685185185</v>
      </c>
      <c r="Q1271" s="82">
        <f>IFERROR(__xludf.DUMMYFUNCTION("""COMPUTED_VALUE"""),0.6296296296296298)</f>
        <v>0.6296296296</v>
      </c>
      <c r="R1271" s="82">
        <f>IFERROR(__xludf.DUMMYFUNCTION("""COMPUTED_VALUE"""),1.5185185185185184)</f>
        <v>1.518518519</v>
      </c>
      <c r="S1271" s="82">
        <f>IFERROR(__xludf.DUMMYFUNCTION("""COMPUTED_VALUE"""),2.407407407407407)</f>
        <v>2.407407407</v>
      </c>
      <c r="T1271" s="82">
        <f>IFERROR(__xludf.DUMMYFUNCTION("""COMPUTED_VALUE"""),352.51101807503505)</f>
        <v>352.5110181</v>
      </c>
      <c r="U1271" s="82">
        <f>IFERROR(__xludf.DUMMYFUNCTION("""COMPUTED_VALUE"""),0.7776810414092754)</f>
        <v>0.7776810414</v>
      </c>
      <c r="V1271" s="82">
        <f>IFERROR(__xludf.DUMMYFUNCTION("""COMPUTED_VALUE"""),0.574552214216324)</f>
        <v>0.5745522142</v>
      </c>
      <c r="W1271" s="82">
        <f>IFERROR(__xludf.DUMMYFUNCTION("""COMPUTED_VALUE"""),1.3898581116329183)</f>
        <v>1.389858112</v>
      </c>
      <c r="X1271" s="82">
        <f>IFERROR(__xludf.DUMMYFUNCTION("""COMPUTED_VALUE"""),2.6243962417591096)</f>
        <v>2.624396242</v>
      </c>
      <c r="Y1271" s="82">
        <f>IFERROR(__xludf.DUMMYFUNCTION("""COMPUTED_VALUE"""),342.8828393728998)</f>
        <v>342.8828394</v>
      </c>
      <c r="Z1271" s="82">
        <f>IFERROR(__xludf.DUMMYFUNCTION("""COMPUTED_VALUE"""),0.7486856502540923)</f>
        <v>0.7486856503</v>
      </c>
      <c r="AA1271" s="82">
        <f>IFERROR(__xludf.DUMMYFUNCTION("""COMPUTED_VALUE"""),0.5262238232112881)</f>
        <v>0.5262238232</v>
      </c>
      <c r="AB1271" s="82">
        <f>IFERROR(__xludf.DUMMYFUNCTION("""COMPUTED_VALUE"""),1.3526063554975445)</f>
        <v>1.352606355</v>
      </c>
      <c r="AC1271" s="82">
        <f>IFERROR(__xludf.DUMMYFUNCTION("""COMPUTED_VALUE"""),2.5386195612759375)</f>
        <v>2.538619561</v>
      </c>
      <c r="AD1271" s="82">
        <f>IFERROR(__xludf.DUMMYFUNCTION("""COMPUTED_VALUE"""),0.9901341245916923)</f>
        <v>0.9901341246</v>
      </c>
      <c r="AE1271" s="82">
        <f>IFERROR(__xludf.DUMMYFUNCTION("""COMPUTED_VALUE"""),0.9275514285718722)</f>
        <v>0.9275514286</v>
      </c>
      <c r="AF1271" s="82">
        <f>IFERROR(__xludf.DUMMYFUNCTION("""COMPUTED_VALUE"""),1.2141010359243347)</f>
        <v>1.214101036</v>
      </c>
      <c r="AG1271" s="82">
        <f>IFERROR(__xludf.DUMMYFUNCTION("""COMPUTED_VALUE"""),0.8419958136822139)</f>
        <v>0.8419958137</v>
      </c>
      <c r="AH1271" s="82">
        <f>IFERROR(__xludf.DUMMYFUNCTION("""COMPUTED_VALUE"""),0.9847871804562449)</f>
        <v>0.9847871805</v>
      </c>
      <c r="AI1271" s="82">
        <f>IFERROR(__xludf.DUMMYFUNCTION("""COMPUTED_VALUE"""),1.0332222357506404)</f>
        <v>1.033222236</v>
      </c>
      <c r="AJ1271" s="82">
        <f>IFERROR(__xludf.DUMMYFUNCTION("""COMPUTED_VALUE"""),0.9882181480544351)</f>
        <v>0.9882181481</v>
      </c>
      <c r="AK1271" s="82">
        <f>IFERROR(__xludf.DUMMYFUNCTION("""COMPUTED_VALUE"""),1.095861462284033)</f>
        <v>1.095861462</v>
      </c>
      <c r="AL1271" s="82">
        <f>IFERROR(__xludf.DUMMYFUNCTION("""COMPUTED_VALUE"""),1.092570893250707)</f>
        <v>1.092570893</v>
      </c>
      <c r="AM1271" s="82">
        <f>IFERROR(__xludf.DUMMYFUNCTION("""COMPUTED_VALUE"""),0.9173185699251509)</f>
        <v>0.9173185699</v>
      </c>
      <c r="AN1271" s="82">
        <f>IFERROR(__xludf.DUMMYFUNCTION("""COMPUTED_VALUE"""),0.9832676580995764)</f>
        <v>0.9832676581</v>
      </c>
      <c r="AO1271" s="82">
        <f>IFERROR(__xludf.DUMMYFUNCTION("""COMPUTED_VALUE"""),0.9205904553171818)</f>
        <v>0.9205904553</v>
      </c>
      <c r="AP1271" s="82">
        <f>IFERROR(__xludf.DUMMYFUNCTION("""COMPUTED_VALUE"""),1.1848266781362378)</f>
        <v>1.184826678</v>
      </c>
      <c r="AQ1271" s="82">
        <f>IFERROR(__xludf.DUMMYFUNCTION("""COMPUTED_VALUE"""),0.8432193971445127)</f>
        <v>0.8432193971</v>
      </c>
      <c r="AR1271" s="82">
        <f>IFERROR(__xludf.DUMMYFUNCTION("""COMPUTED_VALUE"""),0.9763025130181172)</f>
        <v>0.976302513</v>
      </c>
      <c r="AS1271" s="82">
        <f>IFERROR(__xludf.DUMMYFUNCTION("""COMPUTED_VALUE"""),94.0)</f>
        <v>94</v>
      </c>
      <c r="AT1271" s="82">
        <f>IFERROR(__xludf.DUMMYFUNCTION("""COMPUTED_VALUE"""),0.5489850662111027)</f>
        <v>0.5489850662</v>
      </c>
      <c r="AU1271" s="82">
        <f>IFERROR(__xludf.DUMMYFUNCTION("""COMPUTED_VALUE"""),2.523666414829529)</f>
        <v>2.523666415</v>
      </c>
      <c r="AV1271" s="82">
        <f>IFERROR(__xludf.DUMMYFUNCTION("""COMPUTED_VALUE"""),54.76213699021753)</f>
        <v>54.76213699</v>
      </c>
      <c r="AW1271" s="82">
        <f t="shared" si="1"/>
        <v>2.355910398</v>
      </c>
      <c r="AX1271" s="83">
        <f t="array" ref="AX1271">IFERROR(DGET('SBV Import'!A:G,"SBV",{"RSC ID","Tier";B1271,A1271}))</f>
        <v>48.30064673</v>
      </c>
      <c r="AY1271" s="82">
        <f t="shared" si="2"/>
        <v>-2.114598046</v>
      </c>
      <c r="AZ1271" s="82">
        <v>4.4705084443833645</v>
      </c>
      <c r="BA1271" s="84">
        <v>1200.0</v>
      </c>
      <c r="BB1271" s="84" t="b">
        <f>IFERROR(__xludf.DUMMYFUNCTION("iferror(if(A1271="""",,E1271&gt;=FILTER(Constants!$F$2:$F$10,Constants!$A$2:$A$10=A1271)))"),TRUE)</f>
        <v>1</v>
      </c>
    </row>
    <row r="1272">
      <c r="A1272" s="89" t="str">
        <f>IFERROR(__xludf.DUMMYFUNCTION("""COMPUTED_VALUE"""),"Veteran")</f>
        <v>Veteran</v>
      </c>
      <c r="B1272" s="87" t="str">
        <f>IFERROR(__xludf.DUMMYFUNCTION("""COMPUTED_VALUE"""),"RSC007207")</f>
        <v>RSC007207</v>
      </c>
      <c r="C1272" s="73" t="str">
        <f>IFERROR(__xludf.DUMMYFUNCTION("""COMPUTED_VALUE"""),".S")</f>
        <v>.S</v>
      </c>
      <c r="D1272" s="73" t="str">
        <f>IFERROR(__xludf.DUMMYFUNCTION("""COMPUTED_VALUE"""),"Slots")</f>
        <v>Slots</v>
      </c>
      <c r="E1272" s="82">
        <f>IFERROR(__xludf.DUMMYFUNCTION("""COMPUTED_VALUE"""),32.0)</f>
        <v>32</v>
      </c>
      <c r="F1272" s="82">
        <f>IFERROR(__xludf.DUMMYFUNCTION("""COMPUTED_VALUE"""),14.0)</f>
        <v>14</v>
      </c>
      <c r="G1272" s="86">
        <f>IFERROR(__xludf.DUMMYFUNCTION("""COMPUTED_VALUE"""),18.0)</f>
        <v>18</v>
      </c>
      <c r="H1272" s="86">
        <f>IFERROR(__xludf.DUMMYFUNCTION("""COMPUTED_VALUE"""),0.4375)</f>
        <v>0.4375</v>
      </c>
      <c r="I1272" s="86">
        <f>IFERROR(__xludf.DUMMYFUNCTION("""COMPUTED_VALUE"""),0.28125)</f>
        <v>0.28125</v>
      </c>
      <c r="J1272" s="82">
        <f>IFERROR(__xludf.DUMMYFUNCTION("""COMPUTED_VALUE"""),374.71875)</f>
        <v>374.71875</v>
      </c>
      <c r="K1272" s="82">
        <f>IFERROR(__xludf.DUMMYFUNCTION("""COMPUTED_VALUE"""),0.84375)</f>
        <v>0.84375</v>
      </c>
      <c r="L1272" s="82">
        <f>IFERROR(__xludf.DUMMYFUNCTION("""COMPUTED_VALUE"""),0.53125)</f>
        <v>0.53125</v>
      </c>
      <c r="M1272" s="82">
        <f>IFERROR(__xludf.DUMMYFUNCTION("""COMPUTED_VALUE"""),1.1875)</f>
        <v>1.1875</v>
      </c>
      <c r="N1272" s="82">
        <f>IFERROR(__xludf.DUMMYFUNCTION("""COMPUTED_VALUE"""),3.0)</f>
        <v>3</v>
      </c>
      <c r="O1272" s="82">
        <f>IFERROR(__xludf.DUMMYFUNCTION("""COMPUTED_VALUE"""),385.5833333333332)</f>
        <v>385.5833333</v>
      </c>
      <c r="P1272" s="82">
        <f>IFERROR(__xludf.DUMMYFUNCTION("""COMPUTED_VALUE"""),0.9479166666666666)</f>
        <v>0.9479166667</v>
      </c>
      <c r="Q1272" s="82">
        <f>IFERROR(__xludf.DUMMYFUNCTION("""COMPUTED_VALUE"""),0.71875)</f>
        <v>0.71875</v>
      </c>
      <c r="R1272" s="82">
        <f>IFERROR(__xludf.DUMMYFUNCTION("""COMPUTED_VALUE"""),1.4062500000000004)</f>
        <v>1.40625</v>
      </c>
      <c r="S1272" s="82">
        <f>IFERROR(__xludf.DUMMYFUNCTION("""COMPUTED_VALUE"""),3.0520833333333335)</f>
        <v>3.052083333</v>
      </c>
      <c r="T1272" s="82">
        <f>IFERROR(__xludf.DUMMYFUNCTION("""COMPUTED_VALUE"""),358.2453916347847)</f>
        <v>358.2453916</v>
      </c>
      <c r="U1272" s="82">
        <f>IFERROR(__xludf.DUMMYFUNCTION("""COMPUTED_VALUE"""),0.8080329650967151)</f>
        <v>0.8080329651</v>
      </c>
      <c r="V1272" s="82">
        <f>IFERROR(__xludf.DUMMYFUNCTION("""COMPUTED_VALUE"""),0.6311934764005198)</f>
        <v>0.6311934764</v>
      </c>
      <c r="W1272" s="82">
        <f>IFERROR(__xludf.DUMMYFUNCTION("""COMPUTED_VALUE"""),1.305365429815275)</f>
        <v>1.30536543</v>
      </c>
      <c r="X1272" s="82">
        <f>IFERROR(__xludf.DUMMYFUNCTION("""COMPUTED_VALUE"""),2.673049458813611)</f>
        <v>2.673049459</v>
      </c>
      <c r="Y1272" s="82">
        <f>IFERROR(__xludf.DUMMYFUNCTION("""COMPUTED_VALUE"""),357.16203137358184)</f>
        <v>357.1620314</v>
      </c>
      <c r="Z1272" s="82">
        <f>IFERROR(__xludf.DUMMYFUNCTION("""COMPUTED_VALUE"""),0.8088162296907871)</f>
        <v>0.8088162297</v>
      </c>
      <c r="AA1272" s="82">
        <f>IFERROR(__xludf.DUMMYFUNCTION("""COMPUTED_VALUE"""),0.601062517917757)</f>
        <v>0.6010625179</v>
      </c>
      <c r="AB1272" s="82">
        <f>IFERROR(__xludf.DUMMYFUNCTION("""COMPUTED_VALUE"""),1.3243886954588437)</f>
        <v>1.324388695</v>
      </c>
      <c r="AC1272" s="82">
        <f>IFERROR(__xludf.DUMMYFUNCTION("""COMPUTED_VALUE"""),2.6406342532570584)</f>
        <v>2.640634253</v>
      </c>
      <c r="AD1272" s="82">
        <f>IFERROR(__xludf.DUMMYFUNCTION("""COMPUTED_VALUE"""),1.04915617306492)</f>
        <v>1.049156173</v>
      </c>
      <c r="AE1272" s="82">
        <f>IFERROR(__xludf.DUMMYFUNCTION("""COMPUTED_VALUE"""),1.0431912330970017)</f>
        <v>1.043191233</v>
      </c>
      <c r="AF1272" s="82">
        <f>IFERROR(__xludf.DUMMYFUNCTION("""COMPUTED_VALUE"""),0.883851486598089)</f>
        <v>0.8838514866</v>
      </c>
      <c r="AG1272" s="82">
        <f>IFERROR(__xludf.DUMMYFUNCTION("""COMPUTED_VALUE"""),0.8966400906862032)</f>
        <v>0.8966400907</v>
      </c>
      <c r="AH1272" s="82">
        <f>IFERROR(__xludf.DUMMYFUNCTION("""COMPUTED_VALUE"""),1.1360906934762685)</f>
        <v>1.136090693</v>
      </c>
      <c r="AI1272" s="82">
        <f>IFERROR(__xludf.DUMMYFUNCTION("""COMPUTED_VALUE"""),1.0763106583836208)</f>
        <v>1.076310658</v>
      </c>
      <c r="AJ1272" s="82">
        <f>IFERROR(__xludf.DUMMYFUNCTION("""COMPUTED_VALUE"""),1.17311633016508)</f>
        <v>1.17311633</v>
      </c>
      <c r="AK1272" s="82">
        <f>IFERROR(__xludf.DUMMYFUNCTION("""COMPUTED_VALUE"""),1.1387158246609028)</f>
        <v>1.138715825</v>
      </c>
      <c r="AL1272" s="82">
        <f>IFERROR(__xludf.DUMMYFUNCTION("""COMPUTED_VALUE"""),1.0772845426119502)</f>
        <v>1.077284543</v>
      </c>
      <c r="AM1272" s="82">
        <f>IFERROR(__xludf.DUMMYFUNCTION("""COMPUTED_VALUE"""),1.1417983020366373)</f>
        <v>1.141798302</v>
      </c>
      <c r="AN1272" s="82">
        <f>IFERROR(__xludf.DUMMYFUNCTION("""COMPUTED_VALUE"""),1.085269006652432)</f>
        <v>1.085269007</v>
      </c>
      <c r="AO1272" s="82">
        <f>IFERROR(__xludf.DUMMYFUNCTION("""COMPUTED_VALUE"""),1.118517403210376)</f>
        <v>1.118517403</v>
      </c>
      <c r="AP1272" s="82">
        <f>IFERROR(__xludf.DUMMYFUNCTION("""COMPUTED_VALUE"""),0.9852091399719803)</f>
        <v>0.98520914</v>
      </c>
      <c r="AQ1272" s="82">
        <f>IFERROR(__xludf.DUMMYFUNCTION("""COMPUTED_VALUE"""),0.8792104689738516)</f>
        <v>0.879210469</v>
      </c>
      <c r="AR1272" s="82">
        <f>IFERROR(__xludf.DUMMYFUNCTION("""COMPUTED_VALUE"""),1.1715630156217407)</f>
        <v>1.171563016</v>
      </c>
      <c r="AS1272" s="82">
        <f>IFERROR(__xludf.DUMMYFUNCTION("""COMPUTED_VALUE"""),75.0)</f>
        <v>75</v>
      </c>
      <c r="AT1272" s="82">
        <f>IFERROR(__xludf.DUMMYFUNCTION("""COMPUTED_VALUE"""),0.42307578709709054)</f>
        <v>0.4230757871</v>
      </c>
      <c r="AU1272" s="82">
        <f>IFERROR(__xludf.DUMMYFUNCTION("""COMPUTED_VALUE"""),2.512576974215789)</f>
        <v>2.512576974</v>
      </c>
      <c r="AV1272" s="82">
        <f>IFERROR(__xludf.DUMMYFUNCTION("""COMPUTED_VALUE"""),54.41862945617813)</f>
        <v>54.41862946</v>
      </c>
      <c r="AW1272" s="82">
        <f t="shared" si="1"/>
        <v>2.326369785</v>
      </c>
      <c r="AX1272" s="83">
        <f t="array" ref="AX1272">IFERROR(DGET('SBV Import'!A:G,"SBV",{"RSC ID","Tier";B1272,A1272}))</f>
        <v>49.21375506</v>
      </c>
      <c r="AY1272" s="82">
        <f t="shared" si="2"/>
        <v>-2.051469676</v>
      </c>
      <c r="AZ1272" s="82">
        <v>4.37783946056395</v>
      </c>
      <c r="BA1272" s="84">
        <v>1200.0</v>
      </c>
      <c r="BB1272" s="84" t="b">
        <f>IFERROR(__xludf.DUMMYFUNCTION("iferror(if(A1272="""",,E1272&gt;=FILTER(Constants!$F$2:$F$10,Constants!$A$2:$A$10=A1272)))"),TRUE)</f>
        <v>1</v>
      </c>
    </row>
    <row r="1273">
      <c r="A1273" s="89" t="str">
        <f>IFERROR(__xludf.DUMMYFUNCTION("""COMPUTED_VALUE"""),"Veteran")</f>
        <v>Veteran</v>
      </c>
      <c r="B1273" s="87" t="str">
        <f>IFERROR(__xludf.DUMMYFUNCTION("""COMPUTED_VALUE"""),"RSC007115")</f>
        <v>RSC007115</v>
      </c>
      <c r="C1273" s="73" t="str">
        <f>IFERROR(__xludf.DUMMYFUNCTION("""COMPUTED_VALUE"""),"Zoomin")</f>
        <v>Zoomin</v>
      </c>
      <c r="D1273" s="73" t="str">
        <f>IFERROR(__xludf.DUMMYFUNCTION("""COMPUTED_VALUE"""),"Legati")</f>
        <v>Legati</v>
      </c>
      <c r="E1273" s="82">
        <f>IFERROR(__xludf.DUMMYFUNCTION("""COMPUTED_VALUE"""),25.0)</f>
        <v>25</v>
      </c>
      <c r="F1273" s="82">
        <f>IFERROR(__xludf.DUMMYFUNCTION("""COMPUTED_VALUE"""),14.0)</f>
        <v>14</v>
      </c>
      <c r="G1273" s="86">
        <f>IFERROR(__xludf.DUMMYFUNCTION("""COMPUTED_VALUE"""),11.0)</f>
        <v>11</v>
      </c>
      <c r="H1273" s="86">
        <f>IFERROR(__xludf.DUMMYFUNCTION("""COMPUTED_VALUE"""),0.56)</f>
        <v>0.56</v>
      </c>
      <c r="I1273" s="86">
        <f>IFERROR(__xludf.DUMMYFUNCTION("""COMPUTED_VALUE"""),0.39999999999999997)</f>
        <v>0.4</v>
      </c>
      <c r="J1273" s="82">
        <f>IFERROR(__xludf.DUMMYFUNCTION("""COMPUTED_VALUE"""),374.84)</f>
        <v>374.84</v>
      </c>
      <c r="K1273" s="82">
        <f>IFERROR(__xludf.DUMMYFUNCTION("""COMPUTED_VALUE"""),0.88)</f>
        <v>0.88</v>
      </c>
      <c r="L1273" s="82">
        <f>IFERROR(__xludf.DUMMYFUNCTION("""COMPUTED_VALUE"""),0.64)</f>
        <v>0.64</v>
      </c>
      <c r="M1273" s="82">
        <f>IFERROR(__xludf.DUMMYFUNCTION("""COMPUTED_VALUE"""),1.36)</f>
        <v>1.36</v>
      </c>
      <c r="N1273" s="82">
        <f>IFERROR(__xludf.DUMMYFUNCTION("""COMPUTED_VALUE"""),2.2)</f>
        <v>2.2</v>
      </c>
      <c r="O1273" s="82">
        <f>IFERROR(__xludf.DUMMYFUNCTION("""COMPUTED_VALUE"""),395.33333333333326)</f>
        <v>395.3333333</v>
      </c>
      <c r="P1273" s="82">
        <f>IFERROR(__xludf.DUMMYFUNCTION("""COMPUTED_VALUE"""),0.9599999999999999)</f>
        <v>0.96</v>
      </c>
      <c r="Q1273" s="82">
        <f>IFERROR(__xludf.DUMMYFUNCTION("""COMPUTED_VALUE"""),0.68)</f>
        <v>0.68</v>
      </c>
      <c r="R1273" s="82">
        <f>IFERROR(__xludf.DUMMYFUNCTION("""COMPUTED_VALUE"""),1.413333333333333)</f>
        <v>1.413333333</v>
      </c>
      <c r="S1273" s="82">
        <f>IFERROR(__xludf.DUMMYFUNCTION("""COMPUTED_VALUE"""),2.9466666666666668)</f>
        <v>2.946666667</v>
      </c>
      <c r="T1273" s="82">
        <f>IFERROR(__xludf.DUMMYFUNCTION("""COMPUTED_VALUE"""),357.346416442986)</f>
        <v>357.3464164</v>
      </c>
      <c r="U1273" s="82">
        <f>IFERROR(__xludf.DUMMYFUNCTION("""COMPUTED_VALUE"""),0.7907036307222677)</f>
        <v>0.7907036307</v>
      </c>
      <c r="V1273" s="82">
        <f>IFERROR(__xludf.DUMMYFUNCTION("""COMPUTED_VALUE"""),0.5867650505113998)</f>
        <v>0.5867650505</v>
      </c>
      <c r="W1273" s="82">
        <f>IFERROR(__xludf.DUMMYFUNCTION("""COMPUTED_VALUE"""),1.3710591069153233)</f>
        <v>1.371059107</v>
      </c>
      <c r="X1273" s="82">
        <f>IFERROR(__xludf.DUMMYFUNCTION("""COMPUTED_VALUE"""),2.5759920636567495)</f>
        <v>2.575992064</v>
      </c>
      <c r="Y1273" s="82">
        <f>IFERROR(__xludf.DUMMYFUNCTION("""COMPUTED_VALUE"""),361.7112471924125)</f>
        <v>361.7112472</v>
      </c>
      <c r="Z1273" s="82">
        <f>IFERROR(__xludf.DUMMYFUNCTION("""COMPUTED_VALUE"""),0.8095697245634335)</f>
        <v>0.8095697246</v>
      </c>
      <c r="AA1273" s="82">
        <f>IFERROR(__xludf.DUMMYFUNCTION("""COMPUTED_VALUE"""),0.5945037617966518)</f>
        <v>0.5945037618</v>
      </c>
      <c r="AB1273" s="82">
        <f>IFERROR(__xludf.DUMMYFUNCTION("""COMPUTED_VALUE"""),1.3505376684416057)</f>
        <v>1.350537668</v>
      </c>
      <c r="AC1273" s="82">
        <f>IFERROR(__xludf.DUMMYFUNCTION("""COMPUTED_VALUE"""),2.7277231231367978)</f>
        <v>2.727723123</v>
      </c>
      <c r="AD1273" s="82">
        <f>IFERROR(__xludf.DUMMYFUNCTION("""COMPUTED_VALUE"""),1.0362962249846868)</f>
        <v>1.036296225</v>
      </c>
      <c r="AE1273" s="82">
        <f>IFERROR(__xludf.DUMMYFUNCTION("""COMPUTED_VALUE"""),1.0869971705952153)</f>
        <v>1.086997171</v>
      </c>
      <c r="AF1273" s="82">
        <f>IFERROR(__xludf.DUMMYFUNCTION("""COMPUTED_VALUE"""),1.0765280913712874)</f>
        <v>1.076528091</v>
      </c>
      <c r="AG1273" s="82">
        <f>IFERROR(__xludf.DUMMYFUNCTION("""COMPUTED_VALUE"""),1.007006344050598)</f>
        <v>1.007006344</v>
      </c>
      <c r="AH1273" s="82">
        <f>IFERROR(__xludf.DUMMYFUNCTION("""COMPUTED_VALUE"""),0.806533471575395)</f>
        <v>0.8065334716</v>
      </c>
      <c r="AI1273" s="82">
        <f>IFERROR(__xludf.DUMMYFUNCTION("""COMPUTED_VALUE"""),1.1063027783193342)</f>
        <v>1.106302778</v>
      </c>
      <c r="AJ1273" s="82">
        <f>IFERROR(__xludf.DUMMYFUNCTION("""COMPUTED_VALUE"""),1.2141085012131392)</f>
        <v>1.214108501</v>
      </c>
      <c r="AK1273" s="82">
        <f>IFERROR(__xludf.DUMMYFUNCTION("""COMPUTED_VALUE"""),1.1588965624441)</f>
        <v>1.158896562</v>
      </c>
      <c r="AL1273" s="82">
        <f>IFERROR(__xludf.DUMMYFUNCTION("""COMPUTED_VALUE"""),1.0308332632814938)</f>
        <v>1.030833263</v>
      </c>
      <c r="AM1273" s="82">
        <f>IFERROR(__xludf.DUMMYFUNCTION("""COMPUTED_VALUE"""),1.1438958637487906)</f>
        <v>1.143895864</v>
      </c>
      <c r="AN1273" s="82">
        <f>IFERROR(__xludf.DUMMYFUNCTION("""COMPUTED_VALUE"""),1.0856201736731816)</f>
        <v>1.085620174</v>
      </c>
      <c r="AO1273" s="82">
        <f>IFERROR(__xludf.DUMMYFUNCTION("""COMPUTED_VALUE"""),1.1665722249779327)</f>
        <v>1.166572225</v>
      </c>
      <c r="AP1273" s="82">
        <f>IFERROR(__xludf.DUMMYFUNCTION("""COMPUTED_VALUE"""),1.186887246272127)</f>
        <v>1.186887246</v>
      </c>
      <c r="AQ1273" s="82">
        <f>IFERROR(__xludf.DUMMYFUNCTION("""COMPUTED_VALUE"""),1.006927358151106)</f>
        <v>1.006927358</v>
      </c>
      <c r="AR1273" s="82">
        <f>IFERROR(__xludf.DUMMYFUNCTION("""COMPUTED_VALUE"""),0.8591462114559433)</f>
        <v>0.8591462115</v>
      </c>
      <c r="AS1273" s="82">
        <f>IFERROR(__xludf.DUMMYFUNCTION("""COMPUTED_VALUE"""),70.0)</f>
        <v>70</v>
      </c>
      <c r="AT1273" s="82">
        <f>IFERROR(__xludf.DUMMYFUNCTION("""COMPUTED_VALUE"""),0.4884079427258692)</f>
        <v>0.4884079427</v>
      </c>
      <c r="AU1273" s="82">
        <f>IFERROR(__xludf.DUMMYFUNCTION("""COMPUTED_VALUE"""),2.502766964949002)</f>
        <v>2.502766965</v>
      </c>
      <c r="AV1273" s="82">
        <f>IFERROR(__xludf.DUMMYFUNCTION("""COMPUTED_VALUE"""),54.1147537054065)</f>
        <v>54.11475371</v>
      </c>
      <c r="AW1273" s="82">
        <f t="shared" si="1"/>
        <v>2.300790151</v>
      </c>
      <c r="AX1273" s="83">
        <f t="array" ref="AX1273">IFERROR(DGET('SBV Import'!A:G,"SBV",{"RSC ID","Tier";B1273,A1273}))</f>
        <v>37.81062417</v>
      </c>
      <c r="AY1273" s="82">
        <f t="shared" si="2"/>
        <v>-3.195649399</v>
      </c>
      <c r="AZ1273" s="82">
        <v>5.49643955011552</v>
      </c>
      <c r="BA1273" s="84">
        <v>1200.0</v>
      </c>
      <c r="BB1273" s="84" t="b">
        <f>IFERROR(__xludf.DUMMYFUNCTION("iferror(if(A1273="""",,E1273&gt;=FILTER(Constants!$F$2:$F$10,Constants!$A$2:$A$10=A1273)))"),TRUE)</f>
        <v>1</v>
      </c>
    </row>
    <row r="1274">
      <c r="A1274" s="89" t="str">
        <f>IFERROR(__xludf.DUMMYFUNCTION("""COMPUTED_VALUE"""),"Veteran")</f>
        <v>Veteran</v>
      </c>
      <c r="B1274" s="87" t="str">
        <f>IFERROR(__xludf.DUMMYFUNCTION("""COMPUTED_VALUE"""),"RSC003789")</f>
        <v>RSC003789</v>
      </c>
      <c r="C1274" s="73" t="str">
        <f>IFERROR(__xludf.DUMMYFUNCTION("""COMPUTED_VALUE"""),"monterszn")</f>
        <v>monterszn</v>
      </c>
      <c r="D1274" s="73" t="str">
        <f>IFERROR(__xludf.DUMMYFUNCTION("""COMPUTED_VALUE"""),"Merciless Mob")</f>
        <v>Merciless Mob</v>
      </c>
      <c r="E1274" s="82">
        <f>IFERROR(__xludf.DUMMYFUNCTION("""COMPUTED_VALUE"""),32.0)</f>
        <v>32</v>
      </c>
      <c r="F1274" s="82">
        <f>IFERROR(__xludf.DUMMYFUNCTION("""COMPUTED_VALUE"""),15.0)</f>
        <v>15</v>
      </c>
      <c r="G1274" s="86">
        <f>IFERROR(__xludf.DUMMYFUNCTION("""COMPUTED_VALUE"""),17.0)</f>
        <v>17</v>
      </c>
      <c r="H1274" s="86">
        <f>IFERROR(__xludf.DUMMYFUNCTION("""COMPUTED_VALUE"""),0.46875)</f>
        <v>0.46875</v>
      </c>
      <c r="I1274" s="86">
        <f>IFERROR(__xludf.DUMMYFUNCTION("""COMPUTED_VALUE"""),0.26153846153846155)</f>
        <v>0.2615384615</v>
      </c>
      <c r="J1274" s="82">
        <f>IFERROR(__xludf.DUMMYFUNCTION("""COMPUTED_VALUE"""),394.65625)</f>
        <v>394.65625</v>
      </c>
      <c r="K1274" s="82">
        <f>IFERROR(__xludf.DUMMYFUNCTION("""COMPUTED_VALUE"""),0.53125)</f>
        <v>0.53125</v>
      </c>
      <c r="L1274" s="82">
        <f>IFERROR(__xludf.DUMMYFUNCTION("""COMPUTED_VALUE"""),0.75)</f>
        <v>0.75</v>
      </c>
      <c r="M1274" s="82">
        <f>IFERROR(__xludf.DUMMYFUNCTION("""COMPUTED_VALUE"""),2.0625)</f>
        <v>2.0625</v>
      </c>
      <c r="N1274" s="82">
        <f>IFERROR(__xludf.DUMMYFUNCTION("""COMPUTED_VALUE"""),2.03125)</f>
        <v>2.03125</v>
      </c>
      <c r="O1274" s="82">
        <f>IFERROR(__xludf.DUMMYFUNCTION("""COMPUTED_VALUE"""),336.87499999999994)</f>
        <v>336.875</v>
      </c>
      <c r="P1274" s="82">
        <f>IFERROR(__xludf.DUMMYFUNCTION("""COMPUTED_VALUE"""),0.7916666666666667)</f>
        <v>0.7916666667</v>
      </c>
      <c r="Q1274" s="82">
        <f>IFERROR(__xludf.DUMMYFUNCTION("""COMPUTED_VALUE"""),0.6041666666666666)</f>
        <v>0.6041666667</v>
      </c>
      <c r="R1274" s="82">
        <f>IFERROR(__xludf.DUMMYFUNCTION("""COMPUTED_VALUE"""),1.1041666666666667)</f>
        <v>1.104166667</v>
      </c>
      <c r="S1274" s="82">
        <f>IFERROR(__xludf.DUMMYFUNCTION("""COMPUTED_VALUE"""),2.666666666666666)</f>
        <v>2.666666667</v>
      </c>
      <c r="T1274" s="82">
        <f>IFERROR(__xludf.DUMMYFUNCTION("""COMPUTED_VALUE"""),349.7503775523369)</f>
        <v>349.7503776</v>
      </c>
      <c r="U1274" s="82">
        <f>IFERROR(__xludf.DUMMYFUNCTION("""COMPUTED_VALUE"""),0.761661929025996)</f>
        <v>0.761661929</v>
      </c>
      <c r="V1274" s="82">
        <f>IFERROR(__xludf.DUMMYFUNCTION("""COMPUTED_VALUE"""),0.5625044919283506)</f>
        <v>0.5625044919</v>
      </c>
      <c r="W1274" s="82">
        <f>IFERROR(__xludf.DUMMYFUNCTION("""COMPUTED_VALUE"""),1.3353151823594938)</f>
        <v>1.335315182</v>
      </c>
      <c r="X1274" s="82">
        <f>IFERROR(__xludf.DUMMYFUNCTION("""COMPUTED_VALUE"""),2.51677452413714)</f>
        <v>2.516774524</v>
      </c>
      <c r="Y1274" s="82">
        <f>IFERROR(__xludf.DUMMYFUNCTION("""COMPUTED_VALUE"""),343.69630308324594)</f>
        <v>343.6963031</v>
      </c>
      <c r="Z1274" s="82">
        <f>IFERROR(__xludf.DUMMYFUNCTION("""COMPUTED_VALUE"""),0.7375297158337017)</f>
        <v>0.7375297158</v>
      </c>
      <c r="AA1274" s="82">
        <f>IFERROR(__xludf.DUMMYFUNCTION("""COMPUTED_VALUE"""),0.5198085337936343)</f>
        <v>0.5198085338</v>
      </c>
      <c r="AB1274" s="82">
        <f>IFERROR(__xludf.DUMMYFUNCTION("""COMPUTED_VALUE"""),1.3644346048604628)</f>
        <v>1.364434605</v>
      </c>
      <c r="AC1274" s="82">
        <f>IFERROR(__xludf.DUMMYFUNCTION("""COMPUTED_VALUE"""),2.536984307002527)</f>
        <v>2.536984307</v>
      </c>
      <c r="AD1274" s="82">
        <f>IFERROR(__xludf.DUMMYFUNCTION("""COMPUTED_VALUE"""),1.1482702794868618)</f>
        <v>1.148270279</v>
      </c>
      <c r="AE1274" s="82">
        <f>IFERROR(__xludf.DUMMYFUNCTION("""COMPUTED_VALUE"""),0.7203099598495178)</f>
        <v>0.7203099598</v>
      </c>
      <c r="AF1274" s="82">
        <f>IFERROR(__xludf.DUMMYFUNCTION("""COMPUTED_VALUE"""),1.4428389517317013)</f>
        <v>1.442838952</v>
      </c>
      <c r="AG1274" s="82">
        <f>IFERROR(__xludf.DUMMYFUNCTION("""COMPUTED_VALUE"""),1.511615135421552)</f>
        <v>1.511615135</v>
      </c>
      <c r="AH1274" s="82">
        <f>IFERROR(__xludf.DUMMYFUNCTION("""COMPUTED_VALUE"""),0.8006553270327252)</f>
        <v>0.800655327</v>
      </c>
      <c r="AI1274" s="82">
        <f>IFERROR(__xludf.DUMMYFUNCTION("""COMPUTED_VALUE"""),0.9631869516698084)</f>
        <v>0.9631869517</v>
      </c>
      <c r="AJ1274" s="82">
        <f>IFERROR(__xludf.DUMMYFUNCTION("""COMPUTED_VALUE"""),1.0393937736641772)</f>
        <v>1.039393774</v>
      </c>
      <c r="AK1274" s="82">
        <f>IFERROR(__xludf.DUMMYFUNCTION("""COMPUTED_VALUE"""),1.0740654969625074)</f>
        <v>1.074065497</v>
      </c>
      <c r="AL1274" s="82">
        <f>IFERROR(__xludf.DUMMYFUNCTION("""COMPUTED_VALUE"""),0.8268959128552789)</f>
        <v>0.8268959129</v>
      </c>
      <c r="AM1274" s="82">
        <f>IFERROR(__xludf.DUMMYFUNCTION("""COMPUTED_VALUE"""),1.0595572392727217)</f>
        <v>1.059557239</v>
      </c>
      <c r="AN1274" s="82">
        <f>IFERROR(__xludf.DUMMYFUNCTION("""COMPUTED_VALUE"""),1.1430124497551133)</f>
        <v>1.14301245</v>
      </c>
      <c r="AO1274" s="82">
        <f>IFERROR(__xludf.DUMMYFUNCTION("""COMPUTED_VALUE"""),0.7042516983176441)</f>
        <v>0.7042516983</v>
      </c>
      <c r="AP1274" s="82">
        <f>IFERROR(__xludf.DUMMYFUNCTION("""COMPUTED_VALUE"""),1.3908834917251487)</f>
        <v>1.390883492</v>
      </c>
      <c r="AQ1274" s="82">
        <f>IFERROR(__xludf.DUMMYFUNCTION("""COMPUTED_VALUE"""),1.5270497619019527)</f>
        <v>1.527049762</v>
      </c>
      <c r="AR1274" s="82">
        <f>IFERROR(__xludf.DUMMYFUNCTION("""COMPUTED_VALUE"""),0.7932457918272202)</f>
        <v>0.7932457918</v>
      </c>
      <c r="AS1274" s="82">
        <f>IFERROR(__xludf.DUMMYFUNCTION("""COMPUTED_VALUE"""),67.0)</f>
        <v>67</v>
      </c>
      <c r="AT1274" s="82">
        <f>IFERROR(__xludf.DUMMYFUNCTION("""COMPUTED_VALUE"""),0.4517275364932238)</f>
        <v>0.4517275365</v>
      </c>
      <c r="AU1274" s="82">
        <f>IFERROR(__xludf.DUMMYFUNCTION("""COMPUTED_VALUE"""),2.4895238023005506)</f>
        <v>2.489523802</v>
      </c>
      <c r="AV1274" s="82">
        <f>IFERROR(__xludf.DUMMYFUNCTION("""COMPUTED_VALUE"""),53.704532279213396)</f>
        <v>53.70453228</v>
      </c>
      <c r="AW1274" s="82">
        <f t="shared" si="1"/>
        <v>2.267060404</v>
      </c>
      <c r="AX1274" s="83">
        <f t="array" ref="AX1274">IFERROR(DGET('SBV Import'!A:G,"SBV",{"RSC ID","Tier";B1274,A1274}))</f>
        <v>65.83364572</v>
      </c>
      <c r="AY1274" s="82">
        <f t="shared" si="2"/>
        <v>3.798613959</v>
      </c>
      <c r="AZ1274" s="82">
        <v>1.53155355442131</v>
      </c>
      <c r="BA1274" s="84">
        <v>1200.0</v>
      </c>
      <c r="BB1274" s="84" t="b">
        <f>IFERROR(__xludf.DUMMYFUNCTION("iferror(if(A1274="""",,E1274&gt;=FILTER(Constants!$F$2:$F$10,Constants!$A$2:$A$10=A1274)))"),TRUE)</f>
        <v>1</v>
      </c>
    </row>
    <row r="1275">
      <c r="A1275" s="89" t="str">
        <f>IFERROR(__xludf.DUMMYFUNCTION("""COMPUTED_VALUE"""),"Veteran")</f>
        <v>Veteran</v>
      </c>
      <c r="B1275" s="87" t="str">
        <f>IFERROR(__xludf.DUMMYFUNCTION("""COMPUTED_VALUE"""),"RSC007512")</f>
        <v>RSC007512</v>
      </c>
      <c r="C1275" s="73" t="str">
        <f>IFERROR(__xludf.DUMMYFUNCTION("""COMPUTED_VALUE"""),"BigGreenRL")</f>
        <v>BigGreenRL</v>
      </c>
      <c r="D1275" s="73" t="str">
        <f>IFERROR(__xludf.DUMMYFUNCTION("""COMPUTED_VALUE"""),"Banshees")</f>
        <v>Banshees</v>
      </c>
      <c r="E1275" s="82">
        <f>IFERROR(__xludf.DUMMYFUNCTION("""COMPUTED_VALUE"""),32.0)</f>
        <v>32</v>
      </c>
      <c r="F1275" s="82">
        <f>IFERROR(__xludf.DUMMYFUNCTION("""COMPUTED_VALUE"""),16.0)</f>
        <v>16</v>
      </c>
      <c r="G1275" s="86">
        <f>IFERROR(__xludf.DUMMYFUNCTION("""COMPUTED_VALUE"""),16.0)</f>
        <v>16</v>
      </c>
      <c r="H1275" s="86">
        <f>IFERROR(__xludf.DUMMYFUNCTION("""COMPUTED_VALUE"""),0.5)</f>
        <v>0.5</v>
      </c>
      <c r="I1275" s="86">
        <f>IFERROR(__xludf.DUMMYFUNCTION("""COMPUTED_VALUE"""),0.35064935064935066)</f>
        <v>0.3506493506</v>
      </c>
      <c r="J1275" s="82">
        <f>IFERROR(__xludf.DUMMYFUNCTION("""COMPUTED_VALUE"""),363.5)</f>
        <v>363.5</v>
      </c>
      <c r="K1275" s="82">
        <f>IFERROR(__xludf.DUMMYFUNCTION("""COMPUTED_VALUE"""),0.84375)</f>
        <v>0.84375</v>
      </c>
      <c r="L1275" s="82">
        <f>IFERROR(__xludf.DUMMYFUNCTION("""COMPUTED_VALUE"""),0.46875)</f>
        <v>0.46875</v>
      </c>
      <c r="M1275" s="82">
        <f>IFERROR(__xludf.DUMMYFUNCTION("""COMPUTED_VALUE"""),1.3125)</f>
        <v>1.3125</v>
      </c>
      <c r="N1275" s="82">
        <f>IFERROR(__xludf.DUMMYFUNCTION("""COMPUTED_VALUE"""),2.40625)</f>
        <v>2.40625</v>
      </c>
      <c r="O1275" s="82">
        <f>IFERROR(__xludf.DUMMYFUNCTION("""COMPUTED_VALUE"""),329.5833333333333)</f>
        <v>329.5833333</v>
      </c>
      <c r="P1275" s="82">
        <f>IFERROR(__xludf.DUMMYFUNCTION("""COMPUTED_VALUE"""),0.7291666666666669)</f>
        <v>0.7291666667</v>
      </c>
      <c r="Q1275" s="82">
        <f>IFERROR(__xludf.DUMMYFUNCTION("""COMPUTED_VALUE"""),0.5937500000000002)</f>
        <v>0.59375</v>
      </c>
      <c r="R1275" s="82">
        <f>IFERROR(__xludf.DUMMYFUNCTION("""COMPUTED_VALUE"""),1.1770833333333333)</f>
        <v>1.177083333</v>
      </c>
      <c r="S1275" s="82">
        <f>IFERROR(__xludf.DUMMYFUNCTION("""COMPUTED_VALUE"""),2.53125)</f>
        <v>2.53125</v>
      </c>
      <c r="T1275" s="82">
        <f>IFERROR(__xludf.DUMMYFUNCTION("""COMPUTED_VALUE"""),355.57054099278463)</f>
        <v>355.570541</v>
      </c>
      <c r="U1275" s="82">
        <f>IFERROR(__xludf.DUMMYFUNCTION("""COMPUTED_VALUE"""),0.8083569762257886)</f>
        <v>0.8083569762</v>
      </c>
      <c r="V1275" s="82">
        <f>IFERROR(__xludf.DUMMYFUNCTION("""COMPUTED_VALUE"""),0.5975657246661489)</f>
        <v>0.5975657247</v>
      </c>
      <c r="W1275" s="82">
        <f>IFERROR(__xludf.DUMMYFUNCTION("""COMPUTED_VALUE"""),1.3357388711958025)</f>
        <v>1.335738871</v>
      </c>
      <c r="X1275" s="82">
        <f>IFERROR(__xludf.DUMMYFUNCTION("""COMPUTED_VALUE"""),2.694052952722308)</f>
        <v>2.694052953</v>
      </c>
      <c r="Y1275" s="82">
        <f>IFERROR(__xludf.DUMMYFUNCTION("""COMPUTED_VALUE"""),356.4431927490102)</f>
        <v>356.4431927</v>
      </c>
      <c r="Z1275" s="82">
        <f>IFERROR(__xludf.DUMMYFUNCTION("""COMPUTED_VALUE"""),0.8009799860907576)</f>
        <v>0.8009799861</v>
      </c>
      <c r="AA1275" s="82">
        <f>IFERROR(__xludf.DUMMYFUNCTION("""COMPUTED_VALUE"""),0.5849994706174606)</f>
        <v>0.5849994706</v>
      </c>
      <c r="AB1275" s="82">
        <f>IFERROR(__xludf.DUMMYFUNCTION("""COMPUTED_VALUE"""),1.3812072355772531)</f>
        <v>1.381207236</v>
      </c>
      <c r="AC1275" s="82">
        <f>IFERROR(__xludf.DUMMYFUNCTION("""COMPUTED_VALUE"""),2.610226007721199)</f>
        <v>2.610226008</v>
      </c>
      <c r="AD1275" s="82">
        <f>IFERROR(__xludf.DUMMYFUNCTION("""COMPUTED_VALUE"""),1.0197978454759236)</f>
        <v>1.019797845</v>
      </c>
      <c r="AE1275" s="82">
        <f>IFERROR(__xludf.DUMMYFUNCTION("""COMPUTED_VALUE"""),1.0533971068590422)</f>
        <v>1.053397107</v>
      </c>
      <c r="AF1275" s="82">
        <f>IFERROR(__xludf.DUMMYFUNCTION("""COMPUTED_VALUE"""),0.801282776384805)</f>
        <v>0.8012827764</v>
      </c>
      <c r="AG1275" s="82">
        <f>IFERROR(__xludf.DUMMYFUNCTION("""COMPUTED_VALUE"""),0.9502556648940967)</f>
        <v>0.9502556649</v>
      </c>
      <c r="AH1275" s="82">
        <f>IFERROR(__xludf.DUMMYFUNCTION("""COMPUTED_VALUE"""),0.921855039710038)</f>
        <v>0.9218550397</v>
      </c>
      <c r="AI1275" s="82">
        <f>IFERROR(__xludf.DUMMYFUNCTION("""COMPUTED_VALUE"""),0.9269140587774997)</f>
        <v>0.9269140588</v>
      </c>
      <c r="AJ1275" s="82">
        <f>IFERROR(__xludf.DUMMYFUNCTION("""COMPUTED_VALUE"""),0.9020354720894962)</f>
        <v>0.9020354721</v>
      </c>
      <c r="AK1275" s="82">
        <f>IFERROR(__xludf.DUMMYFUNCTION("""COMPUTED_VALUE"""),0.9936145523268082)</f>
        <v>0.9936145523</v>
      </c>
      <c r="AL1275" s="82">
        <f>IFERROR(__xludf.DUMMYFUNCTION("""COMPUTED_VALUE"""),0.8812226391821367)</f>
        <v>0.8812226392</v>
      </c>
      <c r="AM1275" s="82">
        <f>IFERROR(__xludf.DUMMYFUNCTION("""COMPUTED_VALUE"""),0.9395695052846688)</f>
        <v>0.9395695053</v>
      </c>
      <c r="AN1275" s="82">
        <f>IFERROR(__xludf.DUMMYFUNCTION("""COMPUTED_VALUE"""),1.0527770065366597)</f>
        <v>1.052777007</v>
      </c>
      <c r="AO1275" s="82">
        <f>IFERROR(__xludf.DUMMYFUNCTION("""COMPUTED_VALUE"""),1.118517403210376)</f>
        <v>1.118517403</v>
      </c>
      <c r="AP1275" s="82">
        <f>IFERROR(__xludf.DUMMYFUNCTION("""COMPUTED_VALUE"""),0.869302182328218)</f>
        <v>0.8693021823</v>
      </c>
      <c r="AQ1275" s="82">
        <f>IFERROR(__xludf.DUMMYFUNCTION("""COMPUTED_VALUE"""),0.9717589393921517)</f>
        <v>0.9717589394</v>
      </c>
      <c r="AR1275" s="82">
        <f>IFERROR(__xludf.DUMMYFUNCTION("""COMPUTED_VALUE"""),0.9396911687799379)</f>
        <v>0.9396911688</v>
      </c>
      <c r="AS1275" s="82">
        <f>IFERROR(__xludf.DUMMYFUNCTION("""COMPUTED_VALUE"""),83.0)</f>
        <v>83</v>
      </c>
      <c r="AT1275" s="82">
        <f>IFERROR(__xludf.DUMMYFUNCTION("""COMPUTED_VALUE"""),0.5663332332090288)</f>
        <v>0.5663332332</v>
      </c>
      <c r="AU1275" s="82">
        <f>IFERROR(__xludf.DUMMYFUNCTION("""COMPUTED_VALUE"""),2.482034875849899)</f>
        <v>2.482034876</v>
      </c>
      <c r="AV1275" s="82">
        <f>IFERROR(__xludf.DUMMYFUNCTION("""COMPUTED_VALUE"""),53.47255460357857)</f>
        <v>53.4725546</v>
      </c>
      <c r="AW1275" s="82">
        <f t="shared" si="1"/>
        <v>2.248384815</v>
      </c>
      <c r="AX1275" s="83">
        <f t="array" ref="AX1275">IFERROR(DGET('SBV Import'!A:G,"SBV",{"RSC ID","Tier";B1275,A1275}))</f>
        <v>53.11318334</v>
      </c>
      <c r="AY1275" s="82">
        <f t="shared" si="2"/>
        <v>2.22000774</v>
      </c>
      <c r="AZ1275" s="82">
        <v>0.02837707491530983</v>
      </c>
      <c r="BA1275" s="84">
        <v>1200.0</v>
      </c>
      <c r="BB1275" s="84" t="b">
        <f>IFERROR(__xludf.DUMMYFUNCTION("iferror(if(A1275="""",,E1275&gt;=FILTER(Constants!$F$2:$F$10,Constants!$A$2:$A$10=A1275)))"),TRUE)</f>
        <v>1</v>
      </c>
    </row>
    <row r="1276">
      <c r="A1276" s="89" t="str">
        <f>IFERROR(__xludf.DUMMYFUNCTION("""COMPUTED_VALUE"""),"Veteran")</f>
        <v>Veteran</v>
      </c>
      <c r="B1276" s="87" t="str">
        <f>IFERROR(__xludf.DUMMYFUNCTION("""COMPUTED_VALUE"""),"RSC004220")</f>
        <v>RSC004220</v>
      </c>
      <c r="C1276" s="73" t="str">
        <f>IFERROR(__xludf.DUMMYFUNCTION("""COMPUTED_VALUE"""),"Logixaal")</f>
        <v>Logixaal</v>
      </c>
      <c r="D1276" s="73" t="str">
        <f>IFERROR(__xludf.DUMMYFUNCTION("""COMPUTED_VALUE"""),"Typhoons")</f>
        <v>Typhoons</v>
      </c>
      <c r="E1276" s="82">
        <f>IFERROR(__xludf.DUMMYFUNCTION("""COMPUTED_VALUE"""),23.0)</f>
        <v>23</v>
      </c>
      <c r="F1276" s="82">
        <f>IFERROR(__xludf.DUMMYFUNCTION("""COMPUTED_VALUE"""),14.0)</f>
        <v>14</v>
      </c>
      <c r="G1276" s="86">
        <f>IFERROR(__xludf.DUMMYFUNCTION("""COMPUTED_VALUE"""),9.0)</f>
        <v>9</v>
      </c>
      <c r="H1276" s="86">
        <f>IFERROR(__xludf.DUMMYFUNCTION("""COMPUTED_VALUE"""),0.6086956521739131)</f>
        <v>0.6086956522</v>
      </c>
      <c r="I1276" s="86">
        <f>IFERROR(__xludf.DUMMYFUNCTION("""COMPUTED_VALUE"""),0.33999999999999997)</f>
        <v>0.34</v>
      </c>
      <c r="J1276" s="82">
        <f>IFERROR(__xludf.DUMMYFUNCTION("""COMPUTED_VALUE"""),313.4782608695652)</f>
        <v>313.4782609</v>
      </c>
      <c r="K1276" s="82">
        <f>IFERROR(__xludf.DUMMYFUNCTION("""COMPUTED_VALUE"""),0.7391304347826086)</f>
        <v>0.7391304348</v>
      </c>
      <c r="L1276" s="82">
        <f>IFERROR(__xludf.DUMMYFUNCTION("""COMPUTED_VALUE"""),0.6086956521739131)</f>
        <v>0.6086956522</v>
      </c>
      <c r="M1276" s="82">
        <f>IFERROR(__xludf.DUMMYFUNCTION("""COMPUTED_VALUE"""),1.0)</f>
        <v>1</v>
      </c>
      <c r="N1276" s="82">
        <f>IFERROR(__xludf.DUMMYFUNCTION("""COMPUTED_VALUE"""),2.1739130434782608)</f>
        <v>2.173913043</v>
      </c>
      <c r="O1276" s="82">
        <f>IFERROR(__xludf.DUMMYFUNCTION("""COMPUTED_VALUE"""),327.9130434782609)</f>
        <v>327.9130435</v>
      </c>
      <c r="P1276" s="82">
        <f>IFERROR(__xludf.DUMMYFUNCTION("""COMPUTED_VALUE"""),0.6521739130434783)</f>
        <v>0.652173913</v>
      </c>
      <c r="Q1276" s="82">
        <f>IFERROR(__xludf.DUMMYFUNCTION("""COMPUTED_VALUE"""),0.4927536231884058)</f>
        <v>0.4927536232</v>
      </c>
      <c r="R1276" s="82">
        <f>IFERROR(__xludf.DUMMYFUNCTION("""COMPUTED_VALUE"""),1.333333333333333)</f>
        <v>1.333333333</v>
      </c>
      <c r="S1276" s="82">
        <f>IFERROR(__xludf.DUMMYFUNCTION("""COMPUTED_VALUE"""),2.2028985507246377)</f>
        <v>2.202898551</v>
      </c>
      <c r="T1276" s="82">
        <f>IFERROR(__xludf.DUMMYFUNCTION("""COMPUTED_VALUE"""),348.5343110392347)</f>
        <v>348.534311</v>
      </c>
      <c r="U1276" s="82">
        <f>IFERROR(__xludf.DUMMYFUNCTION("""COMPUTED_VALUE"""),0.7279636021808108)</f>
        <v>0.7279636022</v>
      </c>
      <c r="V1276" s="82">
        <f>IFERROR(__xludf.DUMMYFUNCTION("""COMPUTED_VALUE"""),0.546753193762371)</f>
        <v>0.5467531938</v>
      </c>
      <c r="W1276" s="82">
        <f>IFERROR(__xludf.DUMMYFUNCTION("""COMPUTED_VALUE"""),1.384092216521767)</f>
        <v>1.384092217</v>
      </c>
      <c r="X1276" s="82">
        <f>IFERROR(__xludf.DUMMYFUNCTION("""COMPUTED_VALUE"""),2.464833613403662)</f>
        <v>2.464833613</v>
      </c>
      <c r="Y1276" s="82">
        <f>IFERROR(__xludf.DUMMYFUNCTION("""COMPUTED_VALUE"""),347.28611160308344)</f>
        <v>347.2861116</v>
      </c>
      <c r="Z1276" s="82">
        <f>IFERROR(__xludf.DUMMYFUNCTION("""COMPUTED_VALUE"""),0.7380852122426191)</f>
        <v>0.7380852122</v>
      </c>
      <c r="AA1276" s="82">
        <f>IFERROR(__xludf.DUMMYFUNCTION("""COMPUTED_VALUE"""),0.5550409451044644)</f>
        <v>0.5550409451</v>
      </c>
      <c r="AB1276" s="82">
        <f>IFERROR(__xludf.DUMMYFUNCTION("""COMPUTED_VALUE"""),1.329434953061826)</f>
        <v>1.329434953</v>
      </c>
      <c r="AC1276" s="82">
        <f>IFERROR(__xludf.DUMMYFUNCTION("""COMPUTED_VALUE"""),2.6062909220511785)</f>
        <v>2.606290922</v>
      </c>
      <c r="AD1276" s="82">
        <f>IFERROR(__xludf.DUMMYFUNCTION("""COMPUTED_VALUE"""),0.9026513021857967)</f>
        <v>0.9026513022</v>
      </c>
      <c r="AE1276" s="82">
        <f>IFERROR(__xludf.DUMMYFUNCTION("""COMPUTED_VALUE"""),1.001416127193246)</f>
        <v>1.001416127</v>
      </c>
      <c r="AF1276" s="82">
        <f>IFERROR(__xludf.DUMMYFUNCTION("""COMPUTED_VALUE"""),1.0966680161935625)</f>
        <v>1.096668016</v>
      </c>
      <c r="AG1276" s="82">
        <f>IFERROR(__xludf.DUMMYFUNCTION("""COMPUTED_VALUE"""),0.7521992690931563)</f>
        <v>0.7521992691</v>
      </c>
      <c r="AH1276" s="82">
        <f>IFERROR(__xludf.DUMMYFUNCTION("""COMPUTED_VALUE"""),0.8341022197811164)</f>
        <v>0.8341022198</v>
      </c>
      <c r="AI1276" s="82">
        <f>IFERROR(__xludf.DUMMYFUNCTION("""COMPUTED_VALUE"""),0.9408343256091867)</f>
        <v>0.9408343256</v>
      </c>
      <c r="AJ1276" s="82">
        <f>IFERROR(__xludf.DUMMYFUNCTION("""COMPUTED_VALUE"""),0.8958880788678388)</f>
        <v>0.8958880789</v>
      </c>
      <c r="AK1276" s="82">
        <f>IFERROR(__xludf.DUMMYFUNCTION("""COMPUTED_VALUE"""),0.9012359302332044)</f>
        <v>0.9012359302</v>
      </c>
      <c r="AL1276" s="82">
        <f>IFERROR(__xludf.DUMMYFUNCTION("""COMPUTED_VALUE"""),0.9633269499080116)</f>
        <v>0.9633269499</v>
      </c>
      <c r="AM1276" s="82">
        <f>IFERROR(__xludf.DUMMYFUNCTION("""COMPUTED_VALUE"""),0.8937311381771846)</f>
        <v>0.8937311382</v>
      </c>
      <c r="AN1276" s="82">
        <f>IFERROR(__xludf.DUMMYFUNCTION("""COMPUTED_VALUE"""),0.9079029025930646)</f>
        <v>0.9079029026</v>
      </c>
      <c r="AO1276" s="82">
        <f>IFERROR(__xludf.DUMMYFUNCTION("""COMPUTED_VALUE"""),0.9798284498332438)</f>
        <v>0.9798284498</v>
      </c>
      <c r="AP1276" s="82">
        <f>IFERROR(__xludf.DUMMYFUNCTION("""COMPUTED_VALUE"""),1.128832978791425)</f>
        <v>1.128832979</v>
      </c>
      <c r="AQ1276" s="82">
        <f>IFERROR(__xludf.DUMMYFUNCTION("""COMPUTED_VALUE"""),0.7403877633464013)</f>
        <v>0.7403877633</v>
      </c>
      <c r="AR1276" s="82">
        <f>IFERROR(__xludf.DUMMYFUNCTION("""COMPUTED_VALUE"""),0.8489587069722758)</f>
        <v>0.848958707</v>
      </c>
      <c r="AS1276" s="82">
        <f>IFERROR(__xludf.DUMMYFUNCTION("""COMPUTED_VALUE"""),49.0)</f>
        <v>49</v>
      </c>
      <c r="AT1276" s="82">
        <f>IFERROR(__xludf.DUMMYFUNCTION("""COMPUTED_VALUE"""),0.531845495444913)</f>
        <v>0.5318454954</v>
      </c>
      <c r="AU1276" s="82">
        <f>IFERROR(__xludf.DUMMYFUNCTION("""COMPUTED_VALUE"""),2.469311537334154)</f>
        <v>2.469311537</v>
      </c>
      <c r="AV1276" s="82">
        <f>IFERROR(__xludf.DUMMYFUNCTION("""COMPUTED_VALUE"""),53.07843529760773)</f>
        <v>53.0784353</v>
      </c>
      <c r="AW1276" s="82">
        <f t="shared" si="1"/>
        <v>2.217299113</v>
      </c>
      <c r="AX1276" s="83">
        <f t="array" ref="AX1276">IFERROR(DGET('SBV Import'!A:G,"SBV",{"RSC ID","Tier";B1276,A1276}))</f>
        <v>46.84111405</v>
      </c>
      <c r="AY1276" s="82">
        <f t="shared" si="2"/>
        <v>-2.223579657</v>
      </c>
      <c r="AZ1276" s="82">
        <v>4.4408787698557</v>
      </c>
      <c r="BA1276" s="84">
        <v>1200.0</v>
      </c>
      <c r="BB1276" s="84" t="b">
        <f>IFERROR(__xludf.DUMMYFUNCTION("iferror(if(A1276="""",,E1276&gt;=FILTER(Constants!$F$2:$F$10,Constants!$A$2:$A$10=A1276)))"),TRUE)</f>
        <v>1</v>
      </c>
    </row>
    <row r="1277">
      <c r="A1277" s="89" t="str">
        <f>IFERROR(__xludf.DUMMYFUNCTION("""COMPUTED_VALUE"""),"Veteran")</f>
        <v>Veteran</v>
      </c>
      <c r="B1277" s="87" t="str">
        <f>IFERROR(__xludf.DUMMYFUNCTION("""COMPUTED_VALUE"""),"RSC007888")</f>
        <v>RSC007888</v>
      </c>
      <c r="C1277" s="73" t="str">
        <f>IFERROR(__xludf.DUMMYFUNCTION("""COMPUTED_VALUE"""),"SejRL")</f>
        <v>SejRL</v>
      </c>
      <c r="D1277" s="73" t="str">
        <f>IFERROR(__xludf.DUMMYFUNCTION("""COMPUTED_VALUE"""),"Supernova")</f>
        <v>Supernova</v>
      </c>
      <c r="E1277" s="82">
        <f>IFERROR(__xludf.DUMMYFUNCTION("""COMPUTED_VALUE"""),35.0)</f>
        <v>35</v>
      </c>
      <c r="F1277" s="82">
        <f>IFERROR(__xludf.DUMMYFUNCTION("""COMPUTED_VALUE"""),12.0)</f>
        <v>12</v>
      </c>
      <c r="G1277" s="86">
        <f>IFERROR(__xludf.DUMMYFUNCTION("""COMPUTED_VALUE"""),23.0)</f>
        <v>23</v>
      </c>
      <c r="H1277" s="86">
        <f>IFERROR(__xludf.DUMMYFUNCTION("""COMPUTED_VALUE"""),0.34285714285714286)</f>
        <v>0.3428571429</v>
      </c>
      <c r="I1277" s="86">
        <f>IFERROR(__xludf.DUMMYFUNCTION("""COMPUTED_VALUE"""),0.3670886075949367)</f>
        <v>0.3670886076</v>
      </c>
      <c r="J1277" s="82">
        <f>IFERROR(__xludf.DUMMYFUNCTION("""COMPUTED_VALUE"""),376.62857142857143)</f>
        <v>376.6285714</v>
      </c>
      <c r="K1277" s="82">
        <f>IFERROR(__xludf.DUMMYFUNCTION("""COMPUTED_VALUE"""),0.8285714285714286)</f>
        <v>0.8285714286</v>
      </c>
      <c r="L1277" s="82">
        <f>IFERROR(__xludf.DUMMYFUNCTION("""COMPUTED_VALUE"""),0.6)</f>
        <v>0.6</v>
      </c>
      <c r="M1277" s="82">
        <f>IFERROR(__xludf.DUMMYFUNCTION("""COMPUTED_VALUE"""),1.5714285714285714)</f>
        <v>1.571428571</v>
      </c>
      <c r="N1277" s="82">
        <f>IFERROR(__xludf.DUMMYFUNCTION("""COMPUTED_VALUE"""),2.257142857142857)</f>
        <v>2.257142857</v>
      </c>
      <c r="O1277" s="82">
        <f>IFERROR(__xludf.DUMMYFUNCTION("""COMPUTED_VALUE"""),367.18095238095236)</f>
        <v>367.1809524</v>
      </c>
      <c r="P1277" s="82">
        <f>IFERROR(__xludf.DUMMYFUNCTION("""COMPUTED_VALUE"""),1.0285714285714285)</f>
        <v>1.028571429</v>
      </c>
      <c r="Q1277" s="82">
        <f>IFERROR(__xludf.DUMMYFUNCTION("""COMPUTED_VALUE"""),0.7238095238095238)</f>
        <v>0.7238095238</v>
      </c>
      <c r="R1277" s="82">
        <f>IFERROR(__xludf.DUMMYFUNCTION("""COMPUTED_VALUE"""),1.0857142857142856)</f>
        <v>1.085714286</v>
      </c>
      <c r="S1277" s="82">
        <f>IFERROR(__xludf.DUMMYFUNCTION("""COMPUTED_VALUE"""),2.914285714285714)</f>
        <v>2.914285714</v>
      </c>
      <c r="T1277" s="82">
        <f>IFERROR(__xludf.DUMMYFUNCTION("""COMPUTED_VALUE"""),353.29465591750613)</f>
        <v>353.2946559</v>
      </c>
      <c r="U1277" s="82">
        <f>IFERROR(__xludf.DUMMYFUNCTION("""COMPUTED_VALUE"""),0.7904380491660267)</f>
        <v>0.7904380492</v>
      </c>
      <c r="V1277" s="82">
        <f>IFERROR(__xludf.DUMMYFUNCTION("""COMPUTED_VALUE"""),0.5637325346319322)</f>
        <v>0.5637325346</v>
      </c>
      <c r="W1277" s="82">
        <f>IFERROR(__xludf.DUMMYFUNCTION("""COMPUTED_VALUE"""),1.3600159263661042)</f>
        <v>1.360015926</v>
      </c>
      <c r="X1277" s="82">
        <f>IFERROR(__xludf.DUMMYFUNCTION("""COMPUTED_VALUE"""),2.5868478508622625)</f>
        <v>2.586847851</v>
      </c>
      <c r="Y1277" s="82">
        <f>IFERROR(__xludf.DUMMYFUNCTION("""COMPUTED_VALUE"""),348.6770437188241)</f>
        <v>348.6770437</v>
      </c>
      <c r="Z1277" s="82">
        <f>IFERROR(__xludf.DUMMYFUNCTION("""COMPUTED_VALUE"""),0.764510263749752)</f>
        <v>0.7645102637</v>
      </c>
      <c r="AA1277" s="82">
        <f>IFERROR(__xludf.DUMMYFUNCTION("""COMPUTED_VALUE"""),0.5342813938243034)</f>
        <v>0.5342813938</v>
      </c>
      <c r="AB1277" s="82">
        <f>IFERROR(__xludf.DUMMYFUNCTION("""COMPUTED_VALUE"""),1.3560037916604808)</f>
        <v>1.356003792</v>
      </c>
      <c r="AC1277" s="82">
        <f>IFERROR(__xludf.DUMMYFUNCTION("""COMPUTED_VALUE"""),2.6070981394297603)</f>
        <v>2.607098139</v>
      </c>
      <c r="AD1277" s="82">
        <f>IFERROR(__xludf.DUMMYFUNCTION("""COMPUTED_VALUE"""),1.0801645196128473)</f>
        <v>1.08016452</v>
      </c>
      <c r="AE1277" s="82">
        <f>IFERROR(__xludf.DUMMYFUNCTION("""COMPUTED_VALUE"""),1.0837937276439835)</f>
        <v>1.083793728</v>
      </c>
      <c r="AF1277" s="82">
        <f>IFERROR(__xludf.DUMMYFUNCTION("""COMPUTED_VALUE"""),1.1230037334919956)</f>
        <v>1.123003733</v>
      </c>
      <c r="AG1277" s="82">
        <f>IFERROR(__xludf.DUMMYFUNCTION("""COMPUTED_VALUE"""),1.1588673874608377)</f>
        <v>1.158867387</v>
      </c>
      <c r="AH1277" s="82">
        <f>IFERROR(__xludf.DUMMYFUNCTION("""COMPUTED_VALUE"""),0.8657682743145805)</f>
        <v>0.8657682743</v>
      </c>
      <c r="AI1277" s="82">
        <f>IFERROR(__xludf.DUMMYFUNCTION("""COMPUTED_VALUE"""),1.0393051415606147)</f>
        <v>1.039305142</v>
      </c>
      <c r="AJ1277" s="82">
        <f>IFERROR(__xludf.DUMMYFUNCTION("""COMPUTED_VALUE"""),1.3012676068120088)</f>
        <v>1.301267607</v>
      </c>
      <c r="AK1277" s="82">
        <f>IFERROR(__xludf.DUMMYFUNCTION("""COMPUTED_VALUE"""),1.2839591106482933)</f>
        <v>1.283959111</v>
      </c>
      <c r="AL1277" s="82">
        <f>IFERROR(__xludf.DUMMYFUNCTION("""COMPUTED_VALUE"""),0.7983099790715399)</f>
        <v>0.7983099791</v>
      </c>
      <c r="AM1277" s="82">
        <f>IFERROR(__xludf.DUMMYFUNCTION("""COMPUTED_VALUE"""),1.1265779366630737)</f>
        <v>1.126577937</v>
      </c>
      <c r="AN1277" s="82">
        <f>IFERROR(__xludf.DUMMYFUNCTION("""COMPUTED_VALUE"""),1.0908002751162311)</f>
        <v>1.090800275</v>
      </c>
      <c r="AO1277" s="82">
        <f>IFERROR(__xludf.DUMMYFUNCTION("""COMPUTED_VALUE"""),1.098395926115586)</f>
        <v>1.098395926</v>
      </c>
      <c r="AP1277" s="82">
        <f>IFERROR(__xludf.DUMMYFUNCTION("""COMPUTED_VALUE"""),1.112706793380119)</f>
        <v>1.112706793</v>
      </c>
      <c r="AQ1277" s="82">
        <f>IFERROR(__xludf.DUMMYFUNCTION("""COMPUTED_VALUE"""),1.1634664852586307)</f>
        <v>1.163466485</v>
      </c>
      <c r="AR1277" s="82">
        <f>IFERROR(__xludf.DUMMYFUNCTION("""COMPUTED_VALUE"""),0.8814616974677858)</f>
        <v>0.8814616975</v>
      </c>
      <c r="AS1277" s="82">
        <f>IFERROR(__xludf.DUMMYFUNCTION("""COMPUTED_VALUE"""),78.0)</f>
        <v>78</v>
      </c>
      <c r="AT1277" s="82">
        <f>IFERROR(__xludf.DUMMYFUNCTION("""COMPUTED_VALUE"""),0.37154517833340694)</f>
        <v>0.3715451783</v>
      </c>
      <c r="AU1277" s="82">
        <f>IFERROR(__xludf.DUMMYFUNCTION("""COMPUTED_VALUE"""),2.4546278318291943)</f>
        <v>2.454627832</v>
      </c>
      <c r="AV1277" s="82">
        <f>IFERROR(__xludf.DUMMYFUNCTION("""COMPUTED_VALUE"""),52.62359148318487)</f>
        <v>52.62359148</v>
      </c>
      <c r="AW1277" s="82">
        <f t="shared" si="1"/>
        <v>2.182404221</v>
      </c>
      <c r="AX1277" s="83">
        <f t="array" ref="AX1277">IFERROR(DGET('SBV Import'!A:G,"SBV",{"RSC ID","Tier";B1277,A1277}))</f>
        <v>51.84942256</v>
      </c>
      <c r="AY1277" s="82">
        <f t="shared" si="2"/>
        <v>2.125333546</v>
      </c>
      <c r="AZ1277" s="82">
        <v>0.05707067454077075</v>
      </c>
      <c r="BA1277" s="84">
        <v>1200.0</v>
      </c>
      <c r="BB1277" s="84" t="b">
        <f>IFERROR(__xludf.DUMMYFUNCTION("iferror(if(A1277="""",,E1277&gt;=FILTER(Constants!$F$2:$F$10,Constants!$A$2:$A$10=A1277)))"),TRUE)</f>
        <v>1</v>
      </c>
    </row>
    <row r="1278">
      <c r="A1278" s="89" t="str">
        <f>IFERROR(__xludf.DUMMYFUNCTION("""COMPUTED_VALUE"""),"Veteran")</f>
        <v>Veteran</v>
      </c>
      <c r="B1278" s="87" t="str">
        <f>IFERROR(__xludf.DUMMYFUNCTION("""COMPUTED_VALUE"""),"RSC005210")</f>
        <v>RSC005210</v>
      </c>
      <c r="C1278" s="73" t="str">
        <f>IFERROR(__xludf.DUMMYFUNCTION("""COMPUTED_VALUE"""),"baldmanstreamer")</f>
        <v>baldmanstreamer</v>
      </c>
      <c r="D1278" s="73" t="str">
        <f>IFERROR(__xludf.DUMMYFUNCTION("""COMPUTED_VALUE"""),"Merciless Mob")</f>
        <v>Merciless Mob</v>
      </c>
      <c r="E1278" s="82">
        <f>IFERROR(__xludf.DUMMYFUNCTION("""COMPUTED_VALUE"""),23.0)</f>
        <v>23</v>
      </c>
      <c r="F1278" s="82">
        <f>IFERROR(__xludf.DUMMYFUNCTION("""COMPUTED_VALUE"""),10.0)</f>
        <v>10</v>
      </c>
      <c r="G1278" s="86">
        <f>IFERROR(__xludf.DUMMYFUNCTION("""COMPUTED_VALUE"""),13.0)</f>
        <v>13</v>
      </c>
      <c r="H1278" s="86">
        <f>IFERROR(__xludf.DUMMYFUNCTION("""COMPUTED_VALUE"""),0.43478260869565216)</f>
        <v>0.4347826087</v>
      </c>
      <c r="I1278" s="86">
        <f>IFERROR(__xludf.DUMMYFUNCTION("""COMPUTED_VALUE"""),0.36363636363636365)</f>
        <v>0.3636363636</v>
      </c>
      <c r="J1278" s="82">
        <f>IFERROR(__xludf.DUMMYFUNCTION("""COMPUTED_VALUE"""),342.4347826086956)</f>
        <v>342.4347826</v>
      </c>
      <c r="K1278" s="82">
        <f>IFERROR(__xludf.DUMMYFUNCTION("""COMPUTED_VALUE"""),0.8695652173913043)</f>
        <v>0.8695652174</v>
      </c>
      <c r="L1278" s="82">
        <f>IFERROR(__xludf.DUMMYFUNCTION("""COMPUTED_VALUE"""),0.43478260869565216)</f>
        <v>0.4347826087</v>
      </c>
      <c r="M1278" s="82">
        <f>IFERROR(__xludf.DUMMYFUNCTION("""COMPUTED_VALUE"""),1.3478260869565217)</f>
        <v>1.347826087</v>
      </c>
      <c r="N1278" s="82">
        <f>IFERROR(__xludf.DUMMYFUNCTION("""COMPUTED_VALUE"""),2.391304347826087)</f>
        <v>2.391304348</v>
      </c>
      <c r="O1278" s="82">
        <f>IFERROR(__xludf.DUMMYFUNCTION("""COMPUTED_VALUE"""),335.07246376811594)</f>
        <v>335.0724638</v>
      </c>
      <c r="P1278" s="82">
        <f>IFERROR(__xludf.DUMMYFUNCTION("""COMPUTED_VALUE"""),0.8115942028985508)</f>
        <v>0.8115942029</v>
      </c>
      <c r="Q1278" s="82">
        <f>IFERROR(__xludf.DUMMYFUNCTION("""COMPUTED_VALUE"""),0.6086956521739131)</f>
        <v>0.6086956522</v>
      </c>
      <c r="R1278" s="82">
        <f>IFERROR(__xludf.DUMMYFUNCTION("""COMPUTED_VALUE"""),1.028985507246377)</f>
        <v>1.028985507</v>
      </c>
      <c r="S1278" s="82">
        <f>IFERROR(__xludf.DUMMYFUNCTION("""COMPUTED_VALUE"""),2.666666666666667)</f>
        <v>2.666666667</v>
      </c>
      <c r="T1278" s="82">
        <f>IFERROR(__xludf.DUMMYFUNCTION("""COMPUTED_VALUE"""),349.3724926482162)</f>
        <v>349.3724926</v>
      </c>
      <c r="U1278" s="82">
        <f>IFERROR(__xludf.DUMMYFUNCTION("""COMPUTED_VALUE"""),0.7728941385860216)</f>
        <v>0.7728941386</v>
      </c>
      <c r="V1278" s="82">
        <f>IFERROR(__xludf.DUMMYFUNCTION("""COMPUTED_VALUE"""),0.5576860772277384)</f>
        <v>0.5576860772</v>
      </c>
      <c r="W1278" s="82">
        <f>IFERROR(__xludf.DUMMYFUNCTION("""COMPUTED_VALUE"""),1.3399045710325823)</f>
        <v>1.339904571</v>
      </c>
      <c r="X1278" s="82">
        <f>IFERROR(__xludf.DUMMYFUNCTION("""COMPUTED_VALUE"""),2.5875545641597597)</f>
        <v>2.587554564</v>
      </c>
      <c r="Y1278" s="82">
        <f>IFERROR(__xludf.DUMMYFUNCTION("""COMPUTED_VALUE"""),343.2930576832819)</f>
        <v>343.2930577</v>
      </c>
      <c r="Z1278" s="82">
        <f>IFERROR(__xludf.DUMMYFUNCTION("""COMPUTED_VALUE"""),0.7083596435438316)</f>
        <v>0.7083596435</v>
      </c>
      <c r="AA1278" s="82">
        <f>IFERROR(__xludf.DUMMYFUNCTION("""COMPUTED_VALUE"""),0.503314101299474)</f>
        <v>0.5033141013</v>
      </c>
      <c r="AB1278" s="82">
        <f>IFERROR(__xludf.DUMMYFUNCTION("""COMPUTED_VALUE"""),1.4285332007199016)</f>
        <v>1.428533201</v>
      </c>
      <c r="AC1278" s="82">
        <f>IFERROR(__xludf.DUMMYFUNCTION("""COMPUTED_VALUE"""),2.472060877067159)</f>
        <v>2.472060877</v>
      </c>
      <c r="AD1278" s="82">
        <f>IFERROR(__xludf.DUMMYFUNCTION("""COMPUTED_VALUE"""),0.9974998764018755)</f>
        <v>0.9974998764</v>
      </c>
      <c r="AE1278" s="82">
        <f>IFERROR(__xludf.DUMMYFUNCTION("""COMPUTED_VALUE"""),1.2275758865101096)</f>
        <v>1.227575887</v>
      </c>
      <c r="AF1278" s="82">
        <f>IFERROR(__xludf.DUMMYFUNCTION("""COMPUTED_VALUE"""),0.8638395140790119)</f>
        <v>0.8638395141</v>
      </c>
      <c r="AG1278" s="82">
        <f>IFERROR(__xludf.DUMMYFUNCTION("""COMPUTED_VALUE"""),0.9435035085479931)</f>
        <v>0.9435035085</v>
      </c>
      <c r="AH1278" s="82">
        <f>IFERROR(__xludf.DUMMYFUNCTION("""COMPUTED_VALUE"""),0.9673323056117934)</f>
        <v>0.9673323056</v>
      </c>
      <c r="AI1278" s="82">
        <f>IFERROR(__xludf.DUMMYFUNCTION("""COMPUTED_VALUE"""),0.9590693910338871)</f>
        <v>0.959069391</v>
      </c>
      <c r="AJ1278" s="82">
        <f>IFERROR(__xludf.DUMMYFUNCTION("""COMPUTED_VALUE"""),1.0500716234998617)</f>
        <v>1.050071623</v>
      </c>
      <c r="AK1278" s="82">
        <f>IFERROR(__xludf.DUMMYFUNCTION("""COMPUTED_VALUE"""),1.0914664665823175)</f>
        <v>1.091466467</v>
      </c>
      <c r="AL1278" s="82">
        <f>IFERROR(__xludf.DUMMYFUNCTION("""COMPUTED_VALUE"""),0.7679543226376195)</f>
        <v>0.7679543226</v>
      </c>
      <c r="AM1278" s="82">
        <f>IFERROR(__xludf.DUMMYFUNCTION("""COMPUTED_VALUE"""),1.0305740808726083)</f>
        <v>1.030574081</v>
      </c>
      <c r="AN1278" s="82">
        <f>IFERROR(__xludf.DUMMYFUNCTION("""COMPUTED_VALUE"""),0.9917674425551979)</f>
        <v>0.9917674426</v>
      </c>
      <c r="AO1278" s="82">
        <f>IFERROR(__xludf.DUMMYFUNCTION("""COMPUTED_VALUE"""),1.1527393527449927)</f>
        <v>1.152739353</v>
      </c>
      <c r="AP1278" s="82">
        <f>IFERROR(__xludf.DUMMYFUNCTION("""COMPUTED_VALUE"""),0.8063092705653035)</f>
        <v>0.8063092706</v>
      </c>
      <c r="AQ1278" s="82">
        <f>IFERROR(__xludf.DUMMYFUNCTION("""COMPUTED_VALUE"""),0.9979139419016714)</f>
        <v>0.9979139419</v>
      </c>
      <c r="AR1278" s="82">
        <f>IFERROR(__xludf.DUMMYFUNCTION("""COMPUTED_VALUE"""),0.9338545776695034)</f>
        <v>0.9338545777</v>
      </c>
      <c r="AS1278" s="82">
        <f>IFERROR(__xludf.DUMMYFUNCTION("""COMPUTED_VALUE"""),47.0)</f>
        <v>47</v>
      </c>
      <c r="AT1278" s="82">
        <f>IFERROR(__xludf.DUMMYFUNCTION("""COMPUTED_VALUE"""),0.4330521093236098)</f>
        <v>0.4330521093</v>
      </c>
      <c r="AU1278" s="82">
        <f>IFERROR(__xludf.DUMMYFUNCTION("""COMPUTED_VALUE"""),2.452568836549596)</f>
        <v>2.452568837</v>
      </c>
      <c r="AV1278" s="82">
        <f>IFERROR(__xludf.DUMMYFUNCTION("""COMPUTED_VALUE"""),52.55981185572402)</f>
        <v>52.55981186</v>
      </c>
      <c r="AW1278" s="82">
        <f t="shared" si="1"/>
        <v>2.177593278</v>
      </c>
      <c r="AX1278" s="83">
        <f t="array" ref="AX1278">IFERROR(DGET('SBV Import'!A:G,"SBV",{"RSC ID","Tier";B1278,A1278}))</f>
        <v>53.60050655</v>
      </c>
      <c r="AY1278" s="82">
        <f t="shared" si="2"/>
        <v>2.258650567</v>
      </c>
      <c r="AZ1278" s="82">
        <v>0.08105728947132596</v>
      </c>
      <c r="BA1278" s="84">
        <v>1200.0</v>
      </c>
      <c r="BB1278" s="84" t="b">
        <f>IFERROR(__xludf.DUMMYFUNCTION("iferror(if(A1278="""",,E1278&gt;=FILTER(Constants!$F$2:$F$10,Constants!$A$2:$A$10=A1278)))"),TRUE)</f>
        <v>1</v>
      </c>
    </row>
    <row r="1279">
      <c r="A1279" s="89" t="str">
        <f>IFERROR(__xludf.DUMMYFUNCTION("""COMPUTED_VALUE"""),"Veteran")</f>
        <v>Veteran</v>
      </c>
      <c r="B1279" s="87" t="str">
        <f>IFERROR(__xludf.DUMMYFUNCTION("""COMPUTED_VALUE"""),"RSC007437")</f>
        <v>RSC007437</v>
      </c>
      <c r="C1279" s="73" t="str">
        <f>IFERROR(__xludf.DUMMYFUNCTION("""COMPUTED_VALUE"""),"luckyy.12")</f>
        <v>luckyy.12</v>
      </c>
      <c r="D1279" s="73" t="str">
        <f>IFERROR(__xludf.DUMMYFUNCTION("""COMPUTED_VALUE"""),"Mellow Fellows")</f>
        <v>Mellow Fellows</v>
      </c>
      <c r="E1279" s="82">
        <f>IFERROR(__xludf.DUMMYFUNCTION("""COMPUTED_VALUE"""),36.0)</f>
        <v>36</v>
      </c>
      <c r="F1279" s="82">
        <f>IFERROR(__xludf.DUMMYFUNCTION("""COMPUTED_VALUE"""),14.0)</f>
        <v>14</v>
      </c>
      <c r="G1279" s="86">
        <f>IFERROR(__xludf.DUMMYFUNCTION("""COMPUTED_VALUE"""),22.0)</f>
        <v>22</v>
      </c>
      <c r="H1279" s="86">
        <f>IFERROR(__xludf.DUMMYFUNCTION("""COMPUTED_VALUE"""),0.3888888888888889)</f>
        <v>0.3888888889</v>
      </c>
      <c r="I1279" s="86">
        <f>IFERROR(__xludf.DUMMYFUNCTION("""COMPUTED_VALUE"""),0.1956521739130435)</f>
        <v>0.1956521739</v>
      </c>
      <c r="J1279" s="82">
        <f>IFERROR(__xludf.DUMMYFUNCTION("""COMPUTED_VALUE"""),362.1388888888889)</f>
        <v>362.1388889</v>
      </c>
      <c r="K1279" s="82">
        <f>IFERROR(__xludf.DUMMYFUNCTION("""COMPUTED_VALUE"""),0.5)</f>
        <v>0.5</v>
      </c>
      <c r="L1279" s="82">
        <f>IFERROR(__xludf.DUMMYFUNCTION("""COMPUTED_VALUE"""),0.75)</f>
        <v>0.75</v>
      </c>
      <c r="M1279" s="82">
        <f>IFERROR(__xludf.DUMMYFUNCTION("""COMPUTED_VALUE"""),1.75)</f>
        <v>1.75</v>
      </c>
      <c r="N1279" s="82">
        <f>IFERROR(__xludf.DUMMYFUNCTION("""COMPUTED_VALUE"""),2.5555555555555554)</f>
        <v>2.555555556</v>
      </c>
      <c r="O1279" s="82">
        <f>IFERROR(__xludf.DUMMYFUNCTION("""COMPUTED_VALUE"""),349.324074074074)</f>
        <v>349.3240741</v>
      </c>
      <c r="P1279" s="82">
        <f>IFERROR(__xludf.DUMMYFUNCTION("""COMPUTED_VALUE"""),0.7592592592592594)</f>
        <v>0.7592592593</v>
      </c>
      <c r="Q1279" s="82">
        <f>IFERROR(__xludf.DUMMYFUNCTION("""COMPUTED_VALUE"""),0.537037037037037)</f>
        <v>0.537037037</v>
      </c>
      <c r="R1279" s="82">
        <f>IFERROR(__xludf.DUMMYFUNCTION("""COMPUTED_VALUE"""),1.4166666666666665)</f>
        <v>1.416666667</v>
      </c>
      <c r="S1279" s="82">
        <f>IFERROR(__xludf.DUMMYFUNCTION("""COMPUTED_VALUE"""),2.7129629629629637)</f>
        <v>2.712962963</v>
      </c>
      <c r="T1279" s="82">
        <f>IFERROR(__xludf.DUMMYFUNCTION("""COMPUTED_VALUE"""),338.0814465497977)</f>
        <v>338.0814465</v>
      </c>
      <c r="U1279" s="82">
        <f>IFERROR(__xludf.DUMMYFUNCTION("""COMPUTED_VALUE"""),0.7102969867242348)</f>
        <v>0.7102969867</v>
      </c>
      <c r="V1279" s="82">
        <f>IFERROR(__xludf.DUMMYFUNCTION("""COMPUTED_VALUE"""),0.547005816303956)</f>
        <v>0.5470058163</v>
      </c>
      <c r="W1279" s="82">
        <f>IFERROR(__xludf.DUMMYFUNCTION("""COMPUTED_VALUE"""),1.2917926042256005)</f>
        <v>1.291792604</v>
      </c>
      <c r="X1279" s="82">
        <f>IFERROR(__xludf.DUMMYFUNCTION("""COMPUTED_VALUE"""),2.58639410996994)</f>
        <v>2.58639411</v>
      </c>
      <c r="Y1279" s="82">
        <f>IFERROR(__xludf.DUMMYFUNCTION("""COMPUTED_VALUE"""),348.2561267932117)</f>
        <v>348.2561268</v>
      </c>
      <c r="Z1279" s="82">
        <f>IFERROR(__xludf.DUMMYFUNCTION("""COMPUTED_VALUE"""),0.7429287373390756)</f>
        <v>0.7429287373</v>
      </c>
      <c r="AA1279" s="82">
        <f>IFERROR(__xludf.DUMMYFUNCTION("""COMPUTED_VALUE"""),0.5547285605429182)</f>
        <v>0.5547285605</v>
      </c>
      <c r="AB1279" s="82">
        <f>IFERROR(__xludf.DUMMYFUNCTION("""COMPUTED_VALUE"""),1.3721900717081992)</f>
        <v>1.372190072</v>
      </c>
      <c r="AC1279" s="82">
        <f>IFERROR(__xludf.DUMMYFUNCTION("""COMPUTED_VALUE"""),2.521510569583101)</f>
        <v>2.52151057</v>
      </c>
      <c r="AD1279" s="82">
        <f>IFERROR(__xludf.DUMMYFUNCTION("""COMPUTED_VALUE"""),1.0398636550159548)</f>
        <v>1.039863655</v>
      </c>
      <c r="AE1279" s="82">
        <f>IFERROR(__xludf.DUMMYFUNCTION("""COMPUTED_VALUE"""),0.6730120600676105)</f>
        <v>0.6730120601</v>
      </c>
      <c r="AF1279" s="82">
        <f>IFERROR(__xludf.DUMMYFUNCTION("""COMPUTED_VALUE"""),1.3520125938097864)</f>
        <v>1.352012594</v>
      </c>
      <c r="AG1279" s="82">
        <f>IFERROR(__xludf.DUMMYFUNCTION("""COMPUTED_VALUE"""),1.2753335241826056)</f>
        <v>1.275333524</v>
      </c>
      <c r="AH1279" s="82">
        <f>IFERROR(__xludf.DUMMYFUNCTION("""COMPUTED_VALUE"""),1.0135018216394323)</f>
        <v>1.013501822</v>
      </c>
      <c r="AI1279" s="82">
        <f>IFERROR(__xludf.DUMMYFUNCTION("""COMPUTED_VALUE"""),1.033254198474983)</f>
        <v>1.033254198</v>
      </c>
      <c r="AJ1279" s="82">
        <f>IFERROR(__xludf.DUMMYFUNCTION("""COMPUTED_VALUE"""),1.068932113538634)</f>
        <v>1.068932114</v>
      </c>
      <c r="AK1279" s="82">
        <f>IFERROR(__xludf.DUMMYFUNCTION("""COMPUTED_VALUE"""),0.9817757344258665)</f>
        <v>0.9817757344</v>
      </c>
      <c r="AL1279" s="82">
        <f>IFERROR(__xludf.DUMMYFUNCTION("""COMPUTED_VALUE"""),1.0966672684396774)</f>
        <v>1.096667268</v>
      </c>
      <c r="AM1279" s="82">
        <f>IFERROR(__xludf.DUMMYFUNCTION("""COMPUTED_VALUE"""),1.0489364140233426)</f>
        <v>1.048936414</v>
      </c>
      <c r="AN1279" s="82">
        <f>IFERROR(__xludf.DUMMYFUNCTION("""COMPUTED_VALUE"""),1.048834925433168)</f>
        <v>1.048834925</v>
      </c>
      <c r="AO1279" s="82">
        <f>IFERROR(__xludf.DUMMYFUNCTION("""COMPUTED_VALUE"""),0.6628251278283709)</f>
        <v>0.6628251278</v>
      </c>
      <c r="AP1279" s="82">
        <f>IFERROR(__xludf.DUMMYFUNCTION("""COMPUTED_VALUE"""),1.3908834917251487)</f>
        <v>1.390883492</v>
      </c>
      <c r="AQ1279" s="82">
        <f>IFERROR(__xludf.DUMMYFUNCTION("""COMPUTED_VALUE"""),1.2956785858562023)</f>
        <v>1.295678586</v>
      </c>
      <c r="AR1279" s="82">
        <f>IFERROR(__xludf.DUMMYFUNCTION("""COMPUTED_VALUE"""),0.9979981244185198)</f>
        <v>0.9979981244</v>
      </c>
      <c r="AS1279" s="82">
        <f>IFERROR(__xludf.DUMMYFUNCTION("""COMPUTED_VALUE"""),68.0)</f>
        <v>68</v>
      </c>
      <c r="AT1279" s="82">
        <f>IFERROR(__xludf.DUMMYFUNCTION("""COMPUTED_VALUE"""),0.4299694241264085)</f>
        <v>0.4299694241</v>
      </c>
      <c r="AU1279" s="82">
        <f>IFERROR(__xludf.DUMMYFUNCTION("""COMPUTED_VALUE"""),2.4334120662986796)</f>
        <v>2.433412066</v>
      </c>
      <c r="AV1279" s="82">
        <f>IFERROR(__xludf.DUMMYFUNCTION("""COMPUTED_VALUE"""),51.96640997566)</f>
        <v>51.96640998</v>
      </c>
      <c r="AW1279" s="82">
        <f t="shared" si="1"/>
        <v>2.13377505</v>
      </c>
      <c r="AX1279" s="83">
        <f t="array" ref="AX1279">IFERROR(DGET('SBV Import'!A:G,"SBV",{"RSC ID","Tier";B1279,A1279}))</f>
        <v>55.96164641</v>
      </c>
      <c r="AY1279" s="82">
        <f t="shared" si="2"/>
        <v>2.464511666</v>
      </c>
      <c r="AZ1279" s="82">
        <v>0.3307366164855665</v>
      </c>
      <c r="BA1279" s="84">
        <v>1200.0</v>
      </c>
      <c r="BB1279" s="84" t="b">
        <f>IFERROR(__xludf.DUMMYFUNCTION("iferror(if(A1279="""",,E1279&gt;=FILTER(Constants!$F$2:$F$10,Constants!$A$2:$A$10=A1279)))"),TRUE)</f>
        <v>1</v>
      </c>
    </row>
    <row r="1280">
      <c r="A1280" s="89" t="str">
        <f>IFERROR(__xludf.DUMMYFUNCTION("""COMPUTED_VALUE"""),"Veteran")</f>
        <v>Veteran</v>
      </c>
      <c r="B1280" s="87" t="str">
        <f>IFERROR(__xludf.DUMMYFUNCTION("""COMPUTED_VALUE"""),"RSC005246")</f>
        <v>RSC005246</v>
      </c>
      <c r="C1280" s="73" t="str">
        <f>IFERROR(__xludf.DUMMYFUNCTION("""COMPUTED_VALUE"""),"Irishhhh")</f>
        <v>Irishhhh</v>
      </c>
      <c r="D1280" s="73" t="str">
        <f>IFERROR(__xludf.DUMMYFUNCTION("""COMPUTED_VALUE"""),"Mosaic Maestros")</f>
        <v>Mosaic Maestros</v>
      </c>
      <c r="E1280" s="82">
        <f>IFERROR(__xludf.DUMMYFUNCTION("""COMPUTED_VALUE"""),27.0)</f>
        <v>27</v>
      </c>
      <c r="F1280" s="82">
        <f>IFERROR(__xludf.DUMMYFUNCTION("""COMPUTED_VALUE"""),17.0)</f>
        <v>17</v>
      </c>
      <c r="G1280" s="86">
        <f>IFERROR(__xludf.DUMMYFUNCTION("""COMPUTED_VALUE"""),10.0)</f>
        <v>10</v>
      </c>
      <c r="H1280" s="86">
        <f>IFERROR(__xludf.DUMMYFUNCTION("""COMPUTED_VALUE"""),0.6296296296296297)</f>
        <v>0.6296296296</v>
      </c>
      <c r="I1280" s="86">
        <f>IFERROR(__xludf.DUMMYFUNCTION("""COMPUTED_VALUE"""),0.2948717948717949)</f>
        <v>0.2948717949</v>
      </c>
      <c r="J1280" s="82">
        <f>IFERROR(__xludf.DUMMYFUNCTION("""COMPUTED_VALUE"""),351.44444444444446)</f>
        <v>351.4444444</v>
      </c>
      <c r="K1280" s="82">
        <f>IFERROR(__xludf.DUMMYFUNCTION("""COMPUTED_VALUE"""),0.8518518518518519)</f>
        <v>0.8518518519</v>
      </c>
      <c r="L1280" s="82">
        <f>IFERROR(__xludf.DUMMYFUNCTION("""COMPUTED_VALUE"""),0.4444444444444444)</f>
        <v>0.4444444444</v>
      </c>
      <c r="M1280" s="82">
        <f>IFERROR(__xludf.DUMMYFUNCTION("""COMPUTED_VALUE"""),1.2962962962962963)</f>
        <v>1.296296296</v>
      </c>
      <c r="N1280" s="82">
        <f>IFERROR(__xludf.DUMMYFUNCTION("""COMPUTED_VALUE"""),2.888888888888889)</f>
        <v>2.888888889</v>
      </c>
      <c r="O1280" s="82">
        <f>IFERROR(__xludf.DUMMYFUNCTION("""COMPUTED_VALUE"""),361.283950617284)</f>
        <v>361.2839506</v>
      </c>
      <c r="P1280" s="82">
        <f>IFERROR(__xludf.DUMMYFUNCTION("""COMPUTED_VALUE"""),0.7777777777777777)</f>
        <v>0.7777777778</v>
      </c>
      <c r="Q1280" s="82">
        <f>IFERROR(__xludf.DUMMYFUNCTION("""COMPUTED_VALUE"""),0.5308641975308641)</f>
        <v>0.5308641975</v>
      </c>
      <c r="R1280" s="82">
        <f>IFERROR(__xludf.DUMMYFUNCTION("""COMPUTED_VALUE"""),1.5061728395061722)</f>
        <v>1.50617284</v>
      </c>
      <c r="S1280" s="82">
        <f>IFERROR(__xludf.DUMMYFUNCTION("""COMPUTED_VALUE"""),2.5555555555555554)</f>
        <v>2.555555556</v>
      </c>
      <c r="T1280" s="82">
        <f>IFERROR(__xludf.DUMMYFUNCTION("""COMPUTED_VALUE"""),350.1079213127415)</f>
        <v>350.1079213</v>
      </c>
      <c r="U1280" s="82">
        <f>IFERROR(__xludf.DUMMYFUNCTION("""COMPUTED_VALUE"""),0.790149164685192)</f>
        <v>0.7901491647</v>
      </c>
      <c r="V1280" s="82">
        <f>IFERROR(__xludf.DUMMYFUNCTION("""COMPUTED_VALUE"""),0.5524075162152436)</f>
        <v>0.5524075162</v>
      </c>
      <c r="W1280" s="82">
        <f>IFERROR(__xludf.DUMMYFUNCTION("""COMPUTED_VALUE"""),1.3786264986844696)</f>
        <v>1.378626499</v>
      </c>
      <c r="X1280" s="82">
        <f>IFERROR(__xludf.DUMMYFUNCTION("""COMPUTED_VALUE"""),2.587475778273434)</f>
        <v>2.587475778</v>
      </c>
      <c r="Y1280" s="82">
        <f>IFERROR(__xludf.DUMMYFUNCTION("""COMPUTED_VALUE"""),363.0495000823424)</f>
        <v>363.0495001</v>
      </c>
      <c r="Z1280" s="82">
        <f>IFERROR(__xludf.DUMMYFUNCTION("""COMPUTED_VALUE"""),0.8381122563991767)</f>
        <v>0.8381122564</v>
      </c>
      <c r="AA1280" s="82">
        <f>IFERROR(__xludf.DUMMYFUNCTION("""COMPUTED_VALUE"""),0.5964122568070643)</f>
        <v>0.5964122568</v>
      </c>
      <c r="AB1280" s="82">
        <f>IFERROR(__xludf.DUMMYFUNCTION("""COMPUTED_VALUE"""),1.401114162602579)</f>
        <v>1.401114163</v>
      </c>
      <c r="AC1280" s="82">
        <f>IFERROR(__xludf.DUMMYFUNCTION("""COMPUTED_VALUE"""),2.6820061996629554)</f>
        <v>2.6820062</v>
      </c>
      <c r="AD1280" s="82">
        <f>IFERROR(__xludf.DUMMYFUNCTION("""COMPUTED_VALUE"""),0.9680345086957404)</f>
        <v>0.9680345087</v>
      </c>
      <c r="AE1280" s="82">
        <f>IFERROR(__xludf.DUMMYFUNCTION("""COMPUTED_VALUE"""),1.0163935025979756)</f>
        <v>1.016393503</v>
      </c>
      <c r="AF1280" s="82">
        <f>IFERROR(__xludf.DUMMYFUNCTION("""COMPUTED_VALUE"""),0.7451966980420717)</f>
        <v>0.745196698</v>
      </c>
      <c r="AG1280" s="82">
        <f>IFERROR(__xludf.DUMMYFUNCTION("""COMPUTED_VALUE"""),0.9251896318629863)</f>
        <v>0.9251896319</v>
      </c>
      <c r="AH1280" s="82">
        <f>IFERROR(__xludf.DUMMYFUNCTION("""COMPUTED_VALUE"""),1.0771372897094467)</f>
        <v>1.07713729</v>
      </c>
      <c r="AI1280" s="82">
        <f>IFERROR(__xludf.DUMMYFUNCTION("""COMPUTED_VALUE"""),1.0319216693602293)</f>
        <v>1.031921669</v>
      </c>
      <c r="AJ1280" s="82">
        <f>IFERROR(__xludf.DUMMYFUNCTION("""COMPUTED_VALUE"""),0.9843429728710232)</f>
        <v>0.9843429729</v>
      </c>
      <c r="AK1280" s="82">
        <f>IFERROR(__xludf.DUMMYFUNCTION("""COMPUTED_VALUE"""),0.9610010398989842)</f>
        <v>0.9610010399</v>
      </c>
      <c r="AL1280" s="82">
        <f>IFERROR(__xludf.DUMMYFUNCTION("""COMPUTED_VALUE"""),1.092516965939224)</f>
        <v>1.092516966</v>
      </c>
      <c r="AM1280" s="82">
        <f>IFERROR(__xludf.DUMMYFUNCTION("""COMPUTED_VALUE"""),0.987663566559383)</f>
        <v>0.9876635666</v>
      </c>
      <c r="AN1280" s="82">
        <f>IFERROR(__xludf.DUMMYFUNCTION("""COMPUTED_VALUE"""),1.0178614310485878)</f>
        <v>1.017861431</v>
      </c>
      <c r="AO1280" s="82">
        <f>IFERROR(__xludf.DUMMYFUNCTION("""COMPUTED_VALUE"""),1.1292576251890762)</f>
        <v>1.129257625</v>
      </c>
      <c r="AP1280" s="82">
        <f>IFERROR(__xludf.DUMMYFUNCTION("""COMPUTED_VALUE"""),0.8242272543556436)</f>
        <v>0.8242272544</v>
      </c>
      <c r="AQ1280" s="82">
        <f>IFERROR(__xludf.DUMMYFUNCTION("""COMPUTED_VALUE"""),0.9597619154490388)</f>
        <v>0.9597619154</v>
      </c>
      <c r="AR1280" s="82">
        <f>IFERROR(__xludf.DUMMYFUNCTION("""COMPUTED_VALUE"""),1.1281717928209354)</f>
        <v>1.128171793</v>
      </c>
      <c r="AS1280" s="82">
        <f>IFERROR(__xludf.DUMMYFUNCTION("""COMPUTED_VALUE"""),73.0)</f>
        <v>73</v>
      </c>
      <c r="AT1280" s="82">
        <f>IFERROR(__xludf.DUMMYFUNCTION("""COMPUTED_VALUE"""),0.5583121696469362)</f>
        <v>0.5583121696</v>
      </c>
      <c r="AU1280" s="82">
        <f>IFERROR(__xludf.DUMMYFUNCTION("""COMPUTED_VALUE"""),2.4309585848875592)</f>
        <v>2.430958585</v>
      </c>
      <c r="AV1280" s="82">
        <f>IFERROR(__xludf.DUMMYFUNCTION("""COMPUTED_VALUE"""),51.89041070944803)</f>
        <v>51.89041071</v>
      </c>
      <c r="AW1280" s="82">
        <f t="shared" si="1"/>
        <v>2.128283873</v>
      </c>
      <c r="AX1280" s="83">
        <f t="array" ref="AX1280">IFERROR(DGET('SBV Import'!A:G,"SBV",{"RSC ID","Tier";B1280,A1280}))</f>
        <v>42.52529041</v>
      </c>
      <c r="AY1280" s="82">
        <f t="shared" si="2"/>
        <v>-2.6145537</v>
      </c>
      <c r="AZ1280" s="82">
        <v>4.742837572748805</v>
      </c>
      <c r="BA1280" s="84">
        <v>1200.0</v>
      </c>
      <c r="BB1280" s="84" t="b">
        <f>IFERROR(__xludf.DUMMYFUNCTION("iferror(if(A1280="""",,E1280&gt;=FILTER(Constants!$F$2:$F$10,Constants!$A$2:$A$10=A1280)))"),TRUE)</f>
        <v>1</v>
      </c>
    </row>
    <row r="1281">
      <c r="A1281" s="89" t="str">
        <f>IFERROR(__xludf.DUMMYFUNCTION("""COMPUTED_VALUE"""),"Veteran")</f>
        <v>Veteran</v>
      </c>
      <c r="B1281" s="87" t="str">
        <f>IFERROR(__xludf.DUMMYFUNCTION("""COMPUTED_VALUE"""),"RSC006128")</f>
        <v>RSC006128</v>
      </c>
      <c r="C1281" s="73" t="str">
        <f>IFERROR(__xludf.DUMMYFUNCTION("""COMPUTED_VALUE"""),"anth0tex")</f>
        <v>anth0tex</v>
      </c>
      <c r="D1281" s="73" t="str">
        <f>IFERROR(__xludf.DUMMYFUNCTION("""COMPUTED_VALUE"""),"Azalea")</f>
        <v>Azalea</v>
      </c>
      <c r="E1281" s="82">
        <f>IFERROR(__xludf.DUMMYFUNCTION("""COMPUTED_VALUE"""),27.0)</f>
        <v>27</v>
      </c>
      <c r="F1281" s="82">
        <f>IFERROR(__xludf.DUMMYFUNCTION("""COMPUTED_VALUE"""),12.0)</f>
        <v>12</v>
      </c>
      <c r="G1281" s="86">
        <f>IFERROR(__xludf.DUMMYFUNCTION("""COMPUTED_VALUE"""),15.0)</f>
        <v>15</v>
      </c>
      <c r="H1281" s="86">
        <f>IFERROR(__xludf.DUMMYFUNCTION("""COMPUTED_VALUE"""),0.4444444444444444)</f>
        <v>0.4444444444</v>
      </c>
      <c r="I1281" s="86">
        <f>IFERROR(__xludf.DUMMYFUNCTION("""COMPUTED_VALUE"""),0.3421052631578947)</f>
        <v>0.3421052632</v>
      </c>
      <c r="J1281" s="82">
        <f>IFERROR(__xludf.DUMMYFUNCTION("""COMPUTED_VALUE"""),340.44444444444446)</f>
        <v>340.4444444</v>
      </c>
      <c r="K1281" s="82">
        <f>IFERROR(__xludf.DUMMYFUNCTION("""COMPUTED_VALUE"""),0.9629629629629629)</f>
        <v>0.962962963</v>
      </c>
      <c r="L1281" s="82">
        <f>IFERROR(__xludf.DUMMYFUNCTION("""COMPUTED_VALUE"""),0.2962962962962963)</f>
        <v>0.2962962963</v>
      </c>
      <c r="M1281" s="82">
        <f>IFERROR(__xludf.DUMMYFUNCTION("""COMPUTED_VALUE"""),1.3703703703703705)</f>
        <v>1.37037037</v>
      </c>
      <c r="N1281" s="82">
        <f>IFERROR(__xludf.DUMMYFUNCTION("""COMPUTED_VALUE"""),2.814814814814815)</f>
        <v>2.814814815</v>
      </c>
      <c r="O1281" s="82">
        <f>IFERROR(__xludf.DUMMYFUNCTION("""COMPUTED_VALUE"""),344.03703703703695)</f>
        <v>344.037037</v>
      </c>
      <c r="P1281" s="82">
        <f>IFERROR(__xludf.DUMMYFUNCTION("""COMPUTED_VALUE"""),0.6913580246913581)</f>
        <v>0.6913580247</v>
      </c>
      <c r="Q1281" s="82">
        <f>IFERROR(__xludf.DUMMYFUNCTION("""COMPUTED_VALUE"""),0.48148148148148157)</f>
        <v>0.4814814815</v>
      </c>
      <c r="R1281" s="82">
        <f>IFERROR(__xludf.DUMMYFUNCTION("""COMPUTED_VALUE"""),1.54320987654321)</f>
        <v>1.543209877</v>
      </c>
      <c r="S1281" s="82">
        <f>IFERROR(__xludf.DUMMYFUNCTION("""COMPUTED_VALUE"""),2.432098765432099)</f>
        <v>2.432098765</v>
      </c>
      <c r="T1281" s="82">
        <f>IFERROR(__xludf.DUMMYFUNCTION("""COMPUTED_VALUE"""),348.94335113043604)</f>
        <v>348.9433511</v>
      </c>
      <c r="U1281" s="82">
        <f>IFERROR(__xludf.DUMMYFUNCTION("""COMPUTED_VALUE"""),0.730202381645078)</f>
        <v>0.7302023816</v>
      </c>
      <c r="V1281" s="82">
        <f>IFERROR(__xludf.DUMMYFUNCTION("""COMPUTED_VALUE"""),0.5242653203074723)</f>
        <v>0.5242653203</v>
      </c>
      <c r="W1281" s="82">
        <f>IFERROR(__xludf.DUMMYFUNCTION("""COMPUTED_VALUE"""),1.4600322985397252)</f>
        <v>1.460032299</v>
      </c>
      <c r="X1281" s="82">
        <f>IFERROR(__xludf.DUMMYFUNCTION("""COMPUTED_VALUE"""),2.5698535333418797)</f>
        <v>2.569853533</v>
      </c>
      <c r="Y1281" s="82">
        <f>IFERROR(__xludf.DUMMYFUNCTION("""COMPUTED_VALUE"""),351.54984958115415)</f>
        <v>351.5498496</v>
      </c>
      <c r="Z1281" s="82">
        <f>IFERROR(__xludf.DUMMYFUNCTION("""COMPUTED_VALUE"""),0.7946385901615926)</f>
        <v>0.7946385902</v>
      </c>
      <c r="AA1281" s="82">
        <f>IFERROR(__xludf.DUMMYFUNCTION("""COMPUTED_VALUE"""),0.5672782854657096)</f>
        <v>0.5672782855</v>
      </c>
      <c r="AB1281" s="82">
        <f>IFERROR(__xludf.DUMMYFUNCTION("""COMPUTED_VALUE"""),1.3457174780556318)</f>
        <v>1.345717478</v>
      </c>
      <c r="AC1281" s="82">
        <f>IFERROR(__xludf.DUMMYFUNCTION("""COMPUTED_VALUE"""),2.6683064987811465)</f>
        <v>2.668306499</v>
      </c>
      <c r="AD1281" s="82">
        <f>IFERROR(__xludf.DUMMYFUNCTION("""COMPUTED_VALUE"""),0.9684101553451353)</f>
        <v>0.9684101553</v>
      </c>
      <c r="AE1281" s="82">
        <f>IFERROR(__xludf.DUMMYFUNCTION("""COMPUTED_VALUE"""),1.2118250672511903)</f>
        <v>1.211825067</v>
      </c>
      <c r="AF1281" s="82">
        <f>IFERROR(__xludf.DUMMYFUNCTION("""COMPUTED_VALUE"""),0.5223120713197237)</f>
        <v>0.5223120713</v>
      </c>
      <c r="AG1281" s="82">
        <f>IFERROR(__xludf.DUMMYFUNCTION("""COMPUTED_VALUE"""),1.0183195155868514)</f>
        <v>1.018319516</v>
      </c>
      <c r="AH1281" s="82">
        <f>IFERROR(__xludf.DUMMYFUNCTION("""COMPUTED_VALUE"""),1.054906854254034)</f>
        <v>1.054906854</v>
      </c>
      <c r="AI1281" s="82">
        <f>IFERROR(__xludf.DUMMYFUNCTION("""COMPUTED_VALUE"""),0.9859395111627587)</f>
        <v>0.9859395112</v>
      </c>
      <c r="AJ1281" s="82">
        <f>IFERROR(__xludf.DUMMYFUNCTION("""COMPUTED_VALUE"""),0.9468033001122138)</f>
        <v>0.9468033001</v>
      </c>
      <c r="AK1281" s="82">
        <f>IFERROR(__xludf.DUMMYFUNCTION("""COMPUTED_VALUE"""),0.9183927733367929)</f>
        <v>0.9183927733</v>
      </c>
      <c r="AL1281" s="82">
        <f>IFERROR(__xludf.DUMMYFUNCTION("""COMPUTED_VALUE"""),1.0569696835382862)</f>
        <v>1.056969684</v>
      </c>
      <c r="AM1281" s="82">
        <f>IFERROR(__xludf.DUMMYFUNCTION("""COMPUTED_VALUE"""),0.9463958680436382)</f>
        <v>0.946395868</v>
      </c>
      <c r="AN1281" s="82">
        <f>IFERROR(__xludf.DUMMYFUNCTION("""COMPUTED_VALUE"""),0.9860029796815912)</f>
        <v>0.9860029797</v>
      </c>
      <c r="AO1281" s="82">
        <f>IFERROR(__xludf.DUMMYFUNCTION("""COMPUTED_VALUE"""),1.2765520980398253)</f>
        <v>1.276552098</v>
      </c>
      <c r="AP1281" s="82">
        <f>IFERROR(__xludf.DUMMYFUNCTION("""COMPUTED_VALUE"""),0.5494848362370958)</f>
        <v>0.5494848362</v>
      </c>
      <c r="AQ1281" s="82">
        <f>IFERROR(__xludf.DUMMYFUNCTION("""COMPUTED_VALUE"""),1.0146054534746982)</f>
        <v>1.014605453</v>
      </c>
      <c r="AR1281" s="82">
        <f>IFERROR(__xludf.DUMMYFUNCTION("""COMPUTED_VALUE"""),1.099244310953732)</f>
        <v>1.099244311</v>
      </c>
      <c r="AS1281" s="82">
        <f>IFERROR(__xludf.DUMMYFUNCTION("""COMPUTED_VALUE"""),66.0)</f>
        <v>66</v>
      </c>
      <c r="AT1281" s="82">
        <f>IFERROR(__xludf.DUMMYFUNCTION("""COMPUTED_VALUE"""),0.5629877595253138)</f>
        <v>0.5629877595</v>
      </c>
      <c r="AU1281" s="82">
        <f>IFERROR(__xludf.DUMMYFUNCTION("""COMPUTED_VALUE"""),2.414045661357668)</f>
        <v>2.414045661</v>
      </c>
      <c r="AV1281" s="82">
        <f>IFERROR(__xludf.DUMMYFUNCTION("""COMPUTED_VALUE"""),51.366514432123495)</f>
        <v>51.36651443</v>
      </c>
      <c r="AW1281" s="82">
        <f t="shared" si="1"/>
        <v>2.091155831</v>
      </c>
      <c r="AX1281" s="83">
        <f t="array" ref="AX1281">IFERROR(DGET('SBV Import'!A:G,"SBV",{"RSC ID","Tier";B1281,A1281}))</f>
        <v>44.38357854</v>
      </c>
      <c r="AY1281" s="82">
        <f t="shared" si="2"/>
        <v>-2.432361415</v>
      </c>
      <c r="AZ1281" s="82">
        <v>4.523517245624357</v>
      </c>
      <c r="BA1281" s="84">
        <v>1200.0</v>
      </c>
      <c r="BB1281" s="84" t="b">
        <f>IFERROR(__xludf.DUMMYFUNCTION("iferror(if(A1281="""",,E1281&gt;=FILTER(Constants!$F$2:$F$10,Constants!$A$2:$A$10=A1281)))"),TRUE)</f>
        <v>1</v>
      </c>
    </row>
    <row r="1282">
      <c r="A1282" s="89" t="str">
        <f>IFERROR(__xludf.DUMMYFUNCTION("""COMPUTED_VALUE"""),"Veteran")</f>
        <v>Veteran</v>
      </c>
      <c r="B1282" s="87" t="str">
        <f>IFERROR(__xludf.DUMMYFUNCTION("""COMPUTED_VALUE"""),"RSC006992")</f>
        <v>RSC006992</v>
      </c>
      <c r="C1282" s="73" t="str">
        <f>IFERROR(__xludf.DUMMYFUNCTION("""COMPUTED_VALUE"""),"Dxso.")</f>
        <v>Dxso.</v>
      </c>
      <c r="D1282" s="73" t="str">
        <f>IFERROR(__xludf.DUMMYFUNCTION("""COMPUTED_VALUE"""),"Kirin")</f>
        <v>Kirin</v>
      </c>
      <c r="E1282" s="82">
        <f>IFERROR(__xludf.DUMMYFUNCTION("""COMPUTED_VALUE"""),20.0)</f>
        <v>20</v>
      </c>
      <c r="F1282" s="82">
        <f>IFERROR(__xludf.DUMMYFUNCTION("""COMPUTED_VALUE"""),8.0)</f>
        <v>8</v>
      </c>
      <c r="G1282" s="86">
        <f>IFERROR(__xludf.DUMMYFUNCTION("""COMPUTED_VALUE"""),12.0)</f>
        <v>12</v>
      </c>
      <c r="H1282" s="86">
        <f>IFERROR(__xludf.DUMMYFUNCTION("""COMPUTED_VALUE"""),0.4)</f>
        <v>0.4</v>
      </c>
      <c r="I1282" s="86">
        <f>IFERROR(__xludf.DUMMYFUNCTION("""COMPUTED_VALUE"""),0.3103448275862069)</f>
        <v>0.3103448276</v>
      </c>
      <c r="J1282" s="82">
        <f>IFERROR(__xludf.DUMMYFUNCTION("""COMPUTED_VALUE"""),367.95)</f>
        <v>367.95</v>
      </c>
      <c r="K1282" s="82">
        <f>IFERROR(__xludf.DUMMYFUNCTION("""COMPUTED_VALUE"""),0.9)</f>
        <v>0.9</v>
      </c>
      <c r="L1282" s="82">
        <f>IFERROR(__xludf.DUMMYFUNCTION("""COMPUTED_VALUE"""),0.4)</f>
        <v>0.4</v>
      </c>
      <c r="M1282" s="82">
        <f>IFERROR(__xludf.DUMMYFUNCTION("""COMPUTED_VALUE"""),1.3)</f>
        <v>1.3</v>
      </c>
      <c r="N1282" s="82">
        <f>IFERROR(__xludf.DUMMYFUNCTION("""COMPUTED_VALUE"""),2.9)</f>
        <v>2.9</v>
      </c>
      <c r="O1282" s="82">
        <f>IFERROR(__xludf.DUMMYFUNCTION("""COMPUTED_VALUE"""),373.3833333333333)</f>
        <v>373.3833333</v>
      </c>
      <c r="P1282" s="82">
        <f>IFERROR(__xludf.DUMMYFUNCTION("""COMPUTED_VALUE"""),0.9499999999999998)</f>
        <v>0.95</v>
      </c>
      <c r="Q1282" s="82">
        <f>IFERROR(__xludf.DUMMYFUNCTION("""COMPUTED_VALUE"""),0.75)</f>
        <v>0.75</v>
      </c>
      <c r="R1282" s="82">
        <f>IFERROR(__xludf.DUMMYFUNCTION("""COMPUTED_VALUE"""),1.2333333333333332)</f>
        <v>1.233333333</v>
      </c>
      <c r="S1282" s="82">
        <f>IFERROR(__xludf.DUMMYFUNCTION("""COMPUTED_VALUE"""),2.6333333333333337)</f>
        <v>2.633333333</v>
      </c>
      <c r="T1282" s="82">
        <f>IFERROR(__xludf.DUMMYFUNCTION("""COMPUTED_VALUE"""),351.25285162322683)</f>
        <v>351.2528516</v>
      </c>
      <c r="U1282" s="82">
        <f>IFERROR(__xludf.DUMMYFUNCTION("""COMPUTED_VALUE"""),0.7615743575909404)</f>
        <v>0.7615743576</v>
      </c>
      <c r="V1282" s="82">
        <f>IFERROR(__xludf.DUMMYFUNCTION("""COMPUTED_VALUE"""),0.5399028770305069)</f>
        <v>0.539902877</v>
      </c>
      <c r="W1282" s="82">
        <f>IFERROR(__xludf.DUMMYFUNCTION("""COMPUTED_VALUE"""),1.3638005646547224)</f>
        <v>1.363800565</v>
      </c>
      <c r="X1282" s="82">
        <f>IFERROR(__xludf.DUMMYFUNCTION("""COMPUTED_VALUE"""),2.723229086757034)</f>
        <v>2.723229087</v>
      </c>
      <c r="Y1282" s="82">
        <f>IFERROR(__xludf.DUMMYFUNCTION("""COMPUTED_VALUE"""),349.6765074290223)</f>
        <v>349.6765074</v>
      </c>
      <c r="Z1282" s="82">
        <f>IFERROR(__xludf.DUMMYFUNCTION("""COMPUTED_VALUE"""),0.7298128008774547)</f>
        <v>0.7298128009</v>
      </c>
      <c r="AA1282" s="82">
        <f>IFERROR(__xludf.DUMMYFUNCTION("""COMPUTED_VALUE"""),0.5477695273787663)</f>
        <v>0.5477695274</v>
      </c>
      <c r="AB1282" s="82">
        <f>IFERROR(__xludf.DUMMYFUNCTION("""COMPUTED_VALUE"""),1.3701246301439909)</f>
        <v>1.37012463</v>
      </c>
      <c r="AC1282" s="82">
        <f>IFERROR(__xludf.DUMMYFUNCTION("""COMPUTED_VALUE"""),2.588041978866243)</f>
        <v>2.588041979</v>
      </c>
      <c r="AD1282" s="82">
        <f>IFERROR(__xludf.DUMMYFUNCTION("""COMPUTED_VALUE"""),1.0522582792459596)</f>
        <v>1.052258279</v>
      </c>
      <c r="AE1282" s="82">
        <f>IFERROR(__xludf.DUMMYFUNCTION("""COMPUTED_VALUE"""),1.233192948819107)</f>
        <v>1.233192949</v>
      </c>
      <c r="AF1282" s="82">
        <f>IFERROR(__xludf.DUMMYFUNCTION("""COMPUTED_VALUE"""),0.7302341222121543)</f>
        <v>0.7302341222</v>
      </c>
      <c r="AG1282" s="82">
        <f>IFERROR(__xludf.DUMMYFUNCTION("""COMPUTED_VALUE"""),0.9488187945817592)</f>
        <v>0.9488187946</v>
      </c>
      <c r="AH1282" s="82">
        <f>IFERROR(__xludf.DUMMYFUNCTION("""COMPUTED_VALUE"""),1.120538238437082)</f>
        <v>1.120538238</v>
      </c>
      <c r="AI1282" s="82">
        <f>IFERROR(__xludf.DUMMYFUNCTION("""COMPUTED_VALUE"""),1.0630044186341436)</f>
        <v>1.063004419</v>
      </c>
      <c r="AJ1282" s="82">
        <f>IFERROR(__xludf.DUMMYFUNCTION("""COMPUTED_VALUE"""),1.2474159489890118)</f>
        <v>1.247415949</v>
      </c>
      <c r="AK1282" s="82">
        <f>IFERROR(__xludf.DUMMYFUNCTION("""COMPUTED_VALUE"""),1.3891387357019431)</f>
        <v>1.389138736</v>
      </c>
      <c r="AL1282" s="82">
        <f>IFERROR(__xludf.DUMMYFUNCTION("""COMPUTED_VALUE"""),0.9043355497110972)</f>
        <v>0.9043355497</v>
      </c>
      <c r="AM1282" s="82">
        <f>IFERROR(__xludf.DUMMYFUNCTION("""COMPUTED_VALUE"""),0.9669892797999037)</f>
        <v>0.9669892798</v>
      </c>
      <c r="AN1282" s="82">
        <f>IFERROR(__xludf.DUMMYFUNCTION("""COMPUTED_VALUE"""),1.0656651982260357)</f>
        <v>1.065665198</v>
      </c>
      <c r="AO1282" s="82">
        <f>IFERROR(__xludf.DUMMYFUNCTION("""COMPUTED_VALUE"""),1.1930852300910677)</f>
        <v>1.19308523</v>
      </c>
      <c r="AP1282" s="82">
        <f>IFERROR(__xludf.DUMMYFUNCTION("""COMPUTED_VALUE"""),0.7418045289200793)</f>
        <v>0.7418045289</v>
      </c>
      <c r="AQ1282" s="82">
        <f>IFERROR(__xludf.DUMMYFUNCTION("""COMPUTED_VALUE"""),0.9625040923503217)</f>
        <v>0.9625040924</v>
      </c>
      <c r="AR1282" s="82">
        <f>IFERROR(__xludf.DUMMYFUNCTION("""COMPUTED_VALUE"""),1.132510915101016)</f>
        <v>1.132510915</v>
      </c>
      <c r="AS1282" s="82">
        <f>IFERROR(__xludf.DUMMYFUNCTION("""COMPUTED_VALUE"""),41.0)</f>
        <v>41</v>
      </c>
      <c r="AT1282" s="82">
        <f>IFERROR(__xludf.DUMMYFUNCTION("""COMPUTED_VALUE"""),0.3728771676310855)</f>
        <v>0.3728771676</v>
      </c>
      <c r="AU1282" s="82">
        <f>IFERROR(__xludf.DUMMYFUNCTION("""COMPUTED_VALUE"""),2.41250334550943)</f>
        <v>2.412503346</v>
      </c>
      <c r="AV1282" s="82">
        <f>IFERROR(__xludf.DUMMYFUNCTION("""COMPUTED_VALUE"""),51.318739514326325)</f>
        <v>51.31873951</v>
      </c>
      <c r="AW1282" s="82">
        <f t="shared" si="1"/>
        <v>2.087832102</v>
      </c>
      <c r="AX1282" s="83">
        <f t="array" ref="AX1282">IFERROR(DGET('SBV Import'!A:G,"SBV",{"RSC ID","Tier";B1282,A1282}))</f>
        <v>61.3439522</v>
      </c>
      <c r="AY1282" s="82">
        <f t="shared" si="2"/>
        <v>3.076909099</v>
      </c>
      <c r="AZ1282" s="82">
        <v>0.9890769977504674</v>
      </c>
      <c r="BA1282" s="84">
        <v>1200.0</v>
      </c>
      <c r="BB1282" s="84" t="b">
        <f>IFERROR(__xludf.DUMMYFUNCTION("iferror(if(A1282="""",,E1282&gt;=FILTER(Constants!$F$2:$F$10,Constants!$A$2:$A$10=A1282)))"),TRUE)</f>
        <v>1</v>
      </c>
    </row>
    <row r="1283">
      <c r="A1283" s="89" t="str">
        <f>IFERROR(__xludf.DUMMYFUNCTION("""COMPUTED_VALUE"""),"Veteran")</f>
        <v>Veteran</v>
      </c>
      <c r="B1283" s="87" t="str">
        <f>IFERROR(__xludf.DUMMYFUNCTION("""COMPUTED_VALUE"""),"RSC007995")</f>
        <v>RSC007995</v>
      </c>
      <c r="C1283" s="73" t="str">
        <f>IFERROR(__xludf.DUMMYFUNCTION("""COMPUTED_VALUE"""),"Tylanz")</f>
        <v>Tylanz</v>
      </c>
      <c r="D1283" s="73" t="str">
        <f>IFERROR(__xludf.DUMMYFUNCTION("""COMPUTED_VALUE"""),"Cannoli")</f>
        <v>Cannoli</v>
      </c>
      <c r="E1283" s="82">
        <f>IFERROR(__xludf.DUMMYFUNCTION("""COMPUTED_VALUE"""),34.0)</f>
        <v>34</v>
      </c>
      <c r="F1283" s="82">
        <f>IFERROR(__xludf.DUMMYFUNCTION("""COMPUTED_VALUE"""),20.0)</f>
        <v>20</v>
      </c>
      <c r="G1283" s="86">
        <f>IFERROR(__xludf.DUMMYFUNCTION("""COMPUTED_VALUE"""),14.0)</f>
        <v>14</v>
      </c>
      <c r="H1283" s="86">
        <f>IFERROR(__xludf.DUMMYFUNCTION("""COMPUTED_VALUE"""),0.5882352941176471)</f>
        <v>0.5882352941</v>
      </c>
      <c r="I1283" s="86">
        <f>IFERROR(__xludf.DUMMYFUNCTION("""COMPUTED_VALUE"""),0.3026315789473684)</f>
        <v>0.3026315789</v>
      </c>
      <c r="J1283" s="82">
        <f>IFERROR(__xludf.DUMMYFUNCTION("""COMPUTED_VALUE"""),319.2352941176471)</f>
        <v>319.2352941</v>
      </c>
      <c r="K1283" s="82">
        <f>IFERROR(__xludf.DUMMYFUNCTION("""COMPUTED_VALUE"""),0.6764705882352942)</f>
        <v>0.6764705882</v>
      </c>
      <c r="L1283" s="82">
        <f>IFERROR(__xludf.DUMMYFUNCTION("""COMPUTED_VALUE"""),0.6764705882352942)</f>
        <v>0.6764705882</v>
      </c>
      <c r="M1283" s="82">
        <f>IFERROR(__xludf.DUMMYFUNCTION("""COMPUTED_VALUE"""),1.088235294117647)</f>
        <v>1.088235294</v>
      </c>
      <c r="N1283" s="82">
        <f>IFERROR(__xludf.DUMMYFUNCTION("""COMPUTED_VALUE"""),2.235294117647059)</f>
        <v>2.235294118</v>
      </c>
      <c r="O1283" s="82">
        <f>IFERROR(__xludf.DUMMYFUNCTION("""COMPUTED_VALUE"""),352.9313725490196)</f>
        <v>352.9313725</v>
      </c>
      <c r="P1283" s="82">
        <f>IFERROR(__xludf.DUMMYFUNCTION("""COMPUTED_VALUE"""),0.7156862745098039)</f>
        <v>0.7156862745</v>
      </c>
      <c r="Q1283" s="82">
        <f>IFERROR(__xludf.DUMMYFUNCTION("""COMPUTED_VALUE"""),0.4999999999999999)</f>
        <v>0.5</v>
      </c>
      <c r="R1283" s="82">
        <f>IFERROR(__xludf.DUMMYFUNCTION("""COMPUTED_VALUE"""),1.588235294117647)</f>
        <v>1.588235294</v>
      </c>
      <c r="S1283" s="82">
        <f>IFERROR(__xludf.DUMMYFUNCTION("""COMPUTED_VALUE"""),2.450980392156863)</f>
        <v>2.450980392</v>
      </c>
      <c r="T1283" s="82">
        <f>IFERROR(__xludf.DUMMYFUNCTION("""COMPUTED_VALUE"""),356.5050845143992)</f>
        <v>356.5050845</v>
      </c>
      <c r="U1283" s="82">
        <f>IFERROR(__xludf.DUMMYFUNCTION("""COMPUTED_VALUE"""),0.7713901476294043)</f>
        <v>0.7713901476</v>
      </c>
      <c r="V1283" s="82">
        <f>IFERROR(__xludf.DUMMYFUNCTION("""COMPUTED_VALUE"""),0.5712793909467644)</f>
        <v>0.5712793909</v>
      </c>
      <c r="W1283" s="82">
        <f>IFERROR(__xludf.DUMMYFUNCTION("""COMPUTED_VALUE"""),1.3860803610923593)</f>
        <v>1.386080361</v>
      </c>
      <c r="X1283" s="82">
        <f>IFERROR(__xludf.DUMMYFUNCTION("""COMPUTED_VALUE"""),2.5886960448220084)</f>
        <v>2.588696045</v>
      </c>
      <c r="Y1283" s="82">
        <f>IFERROR(__xludf.DUMMYFUNCTION("""COMPUTED_VALUE"""),358.47886100725407)</f>
        <v>358.478861</v>
      </c>
      <c r="Z1283" s="82">
        <f>IFERROR(__xludf.DUMMYFUNCTION("""COMPUTED_VALUE"""),0.7993854860480598)</f>
        <v>0.799385486</v>
      </c>
      <c r="AA1283" s="82">
        <f>IFERROR(__xludf.DUMMYFUNCTION("""COMPUTED_VALUE"""),0.5966344205121784)</f>
        <v>0.5966344205</v>
      </c>
      <c r="AB1283" s="82">
        <f>IFERROR(__xludf.DUMMYFUNCTION("""COMPUTED_VALUE"""),1.3134007764389697)</f>
        <v>1.313400776</v>
      </c>
      <c r="AC1283" s="82">
        <f>IFERROR(__xludf.DUMMYFUNCTION("""COMPUTED_VALUE"""),2.727313245303998)</f>
        <v>2.727313245</v>
      </c>
      <c r="AD1283" s="82">
        <f>IFERROR(__xludf.DUMMYFUNCTION("""COMPUTED_VALUE"""),0.8905275285149579)</f>
        <v>0.8905275285</v>
      </c>
      <c r="AE1283" s="82">
        <f>IFERROR(__xludf.DUMMYFUNCTION("""COMPUTED_VALUE"""),0.8462382668211518)</f>
        <v>0.8462382668</v>
      </c>
      <c r="AF1283" s="82">
        <f>IFERROR(__xludf.DUMMYFUNCTION("""COMPUTED_VALUE"""),1.133810864707706)</f>
        <v>1.133810865</v>
      </c>
      <c r="AG1283" s="82">
        <f>IFERROR(__xludf.DUMMYFUNCTION("""COMPUTED_VALUE"""),0.8285630050167817)</f>
        <v>0.828563005</v>
      </c>
      <c r="AH1283" s="82">
        <f>IFERROR(__xludf.DUMMYFUNCTION("""COMPUTED_VALUE"""),0.8195956667228752)</f>
        <v>0.8195956667</v>
      </c>
      <c r="AI1283" s="82">
        <f>IFERROR(__xludf.DUMMYFUNCTION("""COMPUTED_VALUE"""),0.9899757054790751)</f>
        <v>0.9899757055</v>
      </c>
      <c r="AJ1283" s="82">
        <f>IFERROR(__xludf.DUMMYFUNCTION("""COMPUTED_VALUE"""),0.9277876787890194)</f>
        <v>0.9277876788</v>
      </c>
      <c r="AK1283" s="82">
        <f>IFERROR(__xludf.DUMMYFUNCTION("""COMPUTED_VALUE"""),0.8752284922642924)</f>
        <v>0.8752284923</v>
      </c>
      <c r="AL1283" s="82">
        <f>IFERROR(__xludf.DUMMYFUNCTION("""COMPUTED_VALUE"""),1.1458464737686427)</f>
        <v>1.145846474</v>
      </c>
      <c r="AM1283" s="82">
        <f>IFERROR(__xludf.DUMMYFUNCTION("""COMPUTED_VALUE"""),0.9468011499686846)</f>
        <v>0.94680115</v>
      </c>
      <c r="AN1283" s="82">
        <f>IFERROR(__xludf.DUMMYFUNCTION("""COMPUTED_VALUE"""),0.9245765538432645)</f>
        <v>0.9245765538</v>
      </c>
      <c r="AO1283" s="82">
        <f>IFERROR(__xludf.DUMMYFUNCTION("""COMPUTED_VALUE"""),0.8967634082383842)</f>
        <v>0.8967634082</v>
      </c>
      <c r="AP1283" s="82">
        <f>IFERROR(__xludf.DUMMYFUNCTION("""COMPUTED_VALUE"""),1.2545223650854282)</f>
        <v>1.254522365</v>
      </c>
      <c r="AQ1283" s="82">
        <f>IFERROR(__xludf.DUMMYFUNCTION("""COMPUTED_VALUE"""),0.8057160954063779)</f>
        <v>0.8057160954</v>
      </c>
      <c r="AR1283" s="82">
        <f>IFERROR(__xludf.DUMMYFUNCTION("""COMPUTED_VALUE"""),0.8729293057573755)</f>
        <v>0.8729293058</v>
      </c>
      <c r="AS1283" s="82">
        <f>IFERROR(__xludf.DUMMYFUNCTION("""COMPUTED_VALUE"""),95.0)</f>
        <v>95</v>
      </c>
      <c r="AT1283" s="82">
        <f>IFERROR(__xludf.DUMMYFUNCTION("""COMPUTED_VALUE"""),0.6026819145914007)</f>
        <v>0.6026819146</v>
      </c>
      <c r="AU1283" s="82">
        <f>IFERROR(__xludf.DUMMYFUNCTION("""COMPUTED_VALUE"""),2.3883183982430305)</f>
        <v>2.388318398</v>
      </c>
      <c r="AV1283" s="82">
        <f>IFERROR(__xludf.DUMMYFUNCTION("""COMPUTED_VALUE"""),50.569584359821924)</f>
        <v>50.56958436</v>
      </c>
      <c r="AW1283" s="82">
        <f t="shared" si="1"/>
        <v>2.037026895</v>
      </c>
      <c r="AX1283" s="83">
        <f t="array" ref="AX1283">IFERROR(DGET('SBV Import'!A:G,"SBV",{"RSC ID","Tier";B1283,A1283}))</f>
        <v>32.78356095</v>
      </c>
      <c r="AY1283" s="82">
        <f t="shared" si="2"/>
        <v>-4.072997995</v>
      </c>
      <c r="AZ1283" s="82">
        <v>6.110024890475711</v>
      </c>
      <c r="BA1283" s="84">
        <v>1200.0</v>
      </c>
      <c r="BB1283" s="84" t="b">
        <f>IFERROR(__xludf.DUMMYFUNCTION("iferror(if(A1283="""",,E1283&gt;=FILTER(Constants!$F$2:$F$10,Constants!$A$2:$A$10=A1283)))"),TRUE)</f>
        <v>1</v>
      </c>
    </row>
    <row r="1284">
      <c r="A1284" s="89" t="str">
        <f>IFERROR(__xludf.DUMMYFUNCTION("""COMPUTED_VALUE"""),"Veteran")</f>
        <v>Veteran</v>
      </c>
      <c r="B1284" s="87" t="str">
        <f>IFERROR(__xludf.DUMMYFUNCTION("""COMPUTED_VALUE"""),"RSC007024")</f>
        <v>RSC007024</v>
      </c>
      <c r="C1284" s="73" t="str">
        <f>IFERROR(__xludf.DUMMYFUNCTION("""COMPUTED_VALUE"""),"zSmyte.")</f>
        <v>zSmyte.</v>
      </c>
      <c r="D1284" s="73" t="str">
        <f>IFERROR(__xludf.DUMMYFUNCTION("""COMPUTED_VALUE"""),"Giraffes")</f>
        <v>Giraffes</v>
      </c>
      <c r="E1284" s="82">
        <f>IFERROR(__xludf.DUMMYFUNCTION("""COMPUTED_VALUE"""),31.0)</f>
        <v>31</v>
      </c>
      <c r="F1284" s="82">
        <f>IFERROR(__xludf.DUMMYFUNCTION("""COMPUTED_VALUE"""),15.0)</f>
        <v>15</v>
      </c>
      <c r="G1284" s="86">
        <f>IFERROR(__xludf.DUMMYFUNCTION("""COMPUTED_VALUE"""),16.0)</f>
        <v>16</v>
      </c>
      <c r="H1284" s="86">
        <f>IFERROR(__xludf.DUMMYFUNCTION("""COMPUTED_VALUE"""),0.4838709677419355)</f>
        <v>0.4838709677</v>
      </c>
      <c r="I1284" s="86">
        <f>IFERROR(__xludf.DUMMYFUNCTION("""COMPUTED_VALUE"""),0.2714285714285714)</f>
        <v>0.2714285714</v>
      </c>
      <c r="J1284" s="82">
        <f>IFERROR(__xludf.DUMMYFUNCTION("""COMPUTED_VALUE"""),334.0967741935484)</f>
        <v>334.0967742</v>
      </c>
      <c r="K1284" s="82">
        <f>IFERROR(__xludf.DUMMYFUNCTION("""COMPUTED_VALUE"""),0.6129032258064516)</f>
        <v>0.6129032258</v>
      </c>
      <c r="L1284" s="82">
        <f>IFERROR(__xludf.DUMMYFUNCTION("""COMPUTED_VALUE"""),0.7096774193548387)</f>
        <v>0.7096774194</v>
      </c>
      <c r="M1284" s="82">
        <f>IFERROR(__xludf.DUMMYFUNCTION("""COMPUTED_VALUE"""),1.4516129032258065)</f>
        <v>1.451612903</v>
      </c>
      <c r="N1284" s="82">
        <f>IFERROR(__xludf.DUMMYFUNCTION("""COMPUTED_VALUE"""),2.2580645161290325)</f>
        <v>2.258064516</v>
      </c>
      <c r="O1284" s="82">
        <f>IFERROR(__xludf.DUMMYFUNCTION("""COMPUTED_VALUE"""),345.5161290322581)</f>
        <v>345.516129</v>
      </c>
      <c r="P1284" s="82">
        <f>IFERROR(__xludf.DUMMYFUNCTION("""COMPUTED_VALUE"""),0.8064516129032258)</f>
        <v>0.8064516129</v>
      </c>
      <c r="Q1284" s="82">
        <f>IFERROR(__xludf.DUMMYFUNCTION("""COMPUTED_VALUE"""),0.5913978494623656)</f>
        <v>0.5913978495</v>
      </c>
      <c r="R1284" s="82">
        <f>IFERROR(__xludf.DUMMYFUNCTION("""COMPUTED_VALUE"""),1.268817204301075)</f>
        <v>1.268817204</v>
      </c>
      <c r="S1284" s="82">
        <f>IFERROR(__xludf.DUMMYFUNCTION("""COMPUTED_VALUE"""),2.5268817204301075)</f>
        <v>2.52688172</v>
      </c>
      <c r="T1284" s="82">
        <f>IFERROR(__xludf.DUMMYFUNCTION("""COMPUTED_VALUE"""),348.0043445206106)</f>
        <v>348.0043445</v>
      </c>
      <c r="U1284" s="82">
        <f>IFERROR(__xludf.DUMMYFUNCTION("""COMPUTED_VALUE"""),0.7842146281507199)</f>
        <v>0.7842146282</v>
      </c>
      <c r="V1284" s="82">
        <f>IFERROR(__xludf.DUMMYFUNCTION("""COMPUTED_VALUE"""),0.5638647538423694)</f>
        <v>0.5638647538</v>
      </c>
      <c r="W1284" s="82">
        <f>IFERROR(__xludf.DUMMYFUNCTION("""COMPUTED_VALUE"""),1.3177008177737983)</f>
        <v>1.317700818</v>
      </c>
      <c r="X1284" s="82">
        <f>IFERROR(__xludf.DUMMYFUNCTION("""COMPUTED_VALUE"""),2.6266169228067318)</f>
        <v>2.626616923</v>
      </c>
      <c r="Y1284" s="82">
        <f>IFERROR(__xludf.DUMMYFUNCTION("""COMPUTED_VALUE"""),348.5421252065854)</f>
        <v>348.5421252</v>
      </c>
      <c r="Z1284" s="82">
        <f>IFERROR(__xludf.DUMMYFUNCTION("""COMPUTED_VALUE"""),0.7616409966323596)</f>
        <v>0.7616409966</v>
      </c>
      <c r="AA1284" s="82">
        <f>IFERROR(__xludf.DUMMYFUNCTION("""COMPUTED_VALUE"""),0.5708645773997634)</f>
        <v>0.5708645774</v>
      </c>
      <c r="AB1284" s="82">
        <f>IFERROR(__xludf.DUMMYFUNCTION("""COMPUTED_VALUE"""),1.3680645550558521)</f>
        <v>1.368064555</v>
      </c>
      <c r="AC1284" s="82">
        <f>IFERROR(__xludf.DUMMYFUNCTION("""COMPUTED_VALUE"""),2.5576951941402934)</f>
        <v>2.557695194</v>
      </c>
      <c r="AD1284" s="82">
        <f>IFERROR(__xludf.DUMMYFUNCTION("""COMPUTED_VALUE"""),0.9585549350613644)</f>
        <v>0.9585549351</v>
      </c>
      <c r="AE1284" s="82">
        <f>IFERROR(__xludf.DUMMYFUNCTION("""COMPUTED_VALUE"""),0.8047140693797199)</f>
        <v>0.8047140694</v>
      </c>
      <c r="AF1284" s="82">
        <f>IFERROR(__xludf.DUMMYFUNCTION("""COMPUTED_VALUE"""),1.243162472240536)</f>
        <v>1.243162472</v>
      </c>
      <c r="AG1284" s="82">
        <f>IFERROR(__xludf.DUMMYFUNCTION("""COMPUTED_VALUE"""),1.0610704720484068)</f>
        <v>1.061070472</v>
      </c>
      <c r="AH1284" s="82">
        <f>IFERROR(__xludf.DUMMYFUNCTION("""COMPUTED_VALUE"""),0.8828512956908556)</f>
        <v>0.8828512957</v>
      </c>
      <c r="AI1284" s="82">
        <f>IFERROR(__xludf.DUMMYFUNCTION("""COMPUTED_VALUE"""),0.9928500447551019)</f>
        <v>0.9928500448</v>
      </c>
      <c r="AJ1284" s="82">
        <f>IFERROR(__xludf.DUMMYFUNCTION("""COMPUTED_VALUE"""),1.0283557382816788)</f>
        <v>1.028355738</v>
      </c>
      <c r="AK1284" s="82">
        <f>IFERROR(__xludf.DUMMYFUNCTION("""COMPUTED_VALUE"""),1.0488292545905311)</f>
        <v>1.048829255</v>
      </c>
      <c r="AL1284" s="82">
        <f>IFERROR(__xludf.DUMMYFUNCTION("""COMPUTED_VALUE"""),0.9629023426157463)</f>
        <v>0.9629023426</v>
      </c>
      <c r="AM1284" s="82">
        <f>IFERROR(__xludf.DUMMYFUNCTION("""COMPUTED_VALUE"""),0.9620290261931116)</f>
        <v>0.9620290262</v>
      </c>
      <c r="AN1284" s="82">
        <f>IFERROR(__xludf.DUMMYFUNCTION("""COMPUTED_VALUE"""),0.9676187120468728)</f>
        <v>0.967618712</v>
      </c>
      <c r="AO1284" s="82">
        <f>IFERROR(__xludf.DUMMYFUNCTION("""COMPUTED_VALUE"""),0.8124953179831643)</f>
        <v>0.812495318</v>
      </c>
      <c r="AP1284" s="82">
        <f>IFERROR(__xludf.DUMMYFUNCTION("""COMPUTED_VALUE"""),1.3161048093743344)</f>
        <v>1.316104809</v>
      </c>
      <c r="AQ1284" s="82">
        <f>IFERROR(__xludf.DUMMYFUNCTION("""COMPUTED_VALUE"""),1.074756430664131)</f>
        <v>1.074756431</v>
      </c>
      <c r="AR1284" s="82">
        <f>IFERROR(__xludf.DUMMYFUNCTION("""COMPUTED_VALUE"""),0.8818216246615254)</f>
        <v>0.8818216247</v>
      </c>
      <c r="AS1284" s="82">
        <f>IFERROR(__xludf.DUMMYFUNCTION("""COMPUTED_VALUE"""),66.0)</f>
        <v>66</v>
      </c>
      <c r="AT1284" s="82">
        <f>IFERROR(__xludf.DUMMYFUNCTION("""COMPUTED_VALUE"""),0.4507981295450618)</f>
        <v>0.4507981295</v>
      </c>
      <c r="AU1284" s="82">
        <f>IFERROR(__xludf.DUMMYFUNCTION("""COMPUTED_VALUE"""),2.3823850647792097)</f>
        <v>2.382385065</v>
      </c>
      <c r="AV1284" s="82">
        <f>IFERROR(__xludf.DUMMYFUNCTION("""COMPUTED_VALUE"""),50.38579287585246)</f>
        <v>50.38579288</v>
      </c>
      <c r="AW1284" s="82">
        <f t="shared" si="1"/>
        <v>2.024931439</v>
      </c>
      <c r="AX1284" s="83">
        <f t="array" ref="AX1284">IFERROR(DGET('SBV Import'!A:G,"SBV",{"RSC ID","Tier";B1284,A1284}))</f>
        <v>49.45154463</v>
      </c>
      <c r="AY1284" s="82">
        <f t="shared" si="2"/>
        <v>-2.035629126</v>
      </c>
      <c r="AZ1284" s="82">
        <v>4.060560564629258</v>
      </c>
      <c r="BA1284" s="84">
        <v>1200.0</v>
      </c>
      <c r="BB1284" s="84" t="b">
        <f>IFERROR(__xludf.DUMMYFUNCTION("iferror(if(A1284="""",,E1284&gt;=FILTER(Constants!$F$2:$F$10,Constants!$A$2:$A$10=A1284)))"),TRUE)</f>
        <v>1</v>
      </c>
    </row>
    <row r="1285">
      <c r="A1285" s="89" t="str">
        <f>IFERROR(__xludf.DUMMYFUNCTION("""COMPUTED_VALUE"""),"Veteran")</f>
        <v>Veteran</v>
      </c>
      <c r="B1285" s="87" t="str">
        <f>IFERROR(__xludf.DUMMYFUNCTION("""COMPUTED_VALUE"""),"RSC006320")</f>
        <v>RSC006320</v>
      </c>
      <c r="C1285" s="73" t="str">
        <f>IFERROR(__xludf.DUMMYFUNCTION("""COMPUTED_VALUE"""),"Escape_Plan")</f>
        <v>Escape_Plan</v>
      </c>
      <c r="D1285" s="73" t="str">
        <f>IFERROR(__xludf.DUMMYFUNCTION("""COMPUTED_VALUE"""),"Singularity")</f>
        <v>Singularity</v>
      </c>
      <c r="E1285" s="82">
        <f>IFERROR(__xludf.DUMMYFUNCTION("""COMPUTED_VALUE"""),28.0)</f>
        <v>28</v>
      </c>
      <c r="F1285" s="82">
        <f>IFERROR(__xludf.DUMMYFUNCTION("""COMPUTED_VALUE"""),16.0)</f>
        <v>16</v>
      </c>
      <c r="G1285" s="86">
        <f>IFERROR(__xludf.DUMMYFUNCTION("""COMPUTED_VALUE"""),12.0)</f>
        <v>12</v>
      </c>
      <c r="H1285" s="86">
        <f>IFERROR(__xludf.DUMMYFUNCTION("""COMPUTED_VALUE"""),0.5714285714285714)</f>
        <v>0.5714285714</v>
      </c>
      <c r="I1285" s="86">
        <f>IFERROR(__xludf.DUMMYFUNCTION("""COMPUTED_VALUE"""),0.3108108108108108)</f>
        <v>0.3108108108</v>
      </c>
      <c r="J1285" s="82">
        <f>IFERROR(__xludf.DUMMYFUNCTION("""COMPUTED_VALUE"""),348.9642857142857)</f>
        <v>348.9642857</v>
      </c>
      <c r="K1285" s="82">
        <f>IFERROR(__xludf.DUMMYFUNCTION("""COMPUTED_VALUE"""),0.8214285714285714)</f>
        <v>0.8214285714</v>
      </c>
      <c r="L1285" s="82">
        <f>IFERROR(__xludf.DUMMYFUNCTION("""COMPUTED_VALUE"""),0.39285714285714285)</f>
        <v>0.3928571429</v>
      </c>
      <c r="M1285" s="82">
        <f>IFERROR(__xludf.DUMMYFUNCTION("""COMPUTED_VALUE"""),1.4285714285714286)</f>
        <v>1.428571429</v>
      </c>
      <c r="N1285" s="82">
        <f>IFERROR(__xludf.DUMMYFUNCTION("""COMPUTED_VALUE"""),2.642857142857143)</f>
        <v>2.642857143</v>
      </c>
      <c r="O1285" s="82">
        <f>IFERROR(__xludf.DUMMYFUNCTION("""COMPUTED_VALUE"""),328.42857142857144)</f>
        <v>328.4285714</v>
      </c>
      <c r="P1285" s="82">
        <f>IFERROR(__xludf.DUMMYFUNCTION("""COMPUTED_VALUE"""),0.7023809523809523)</f>
        <v>0.7023809524</v>
      </c>
      <c r="Q1285" s="82">
        <f>IFERROR(__xludf.DUMMYFUNCTION("""COMPUTED_VALUE"""),0.5119047619047619)</f>
        <v>0.5119047619</v>
      </c>
      <c r="R1285" s="82">
        <f>IFERROR(__xludf.DUMMYFUNCTION("""COMPUTED_VALUE"""),1.119047619047619)</f>
        <v>1.119047619</v>
      </c>
      <c r="S1285" s="82">
        <f>IFERROR(__xludf.DUMMYFUNCTION("""COMPUTED_VALUE"""),2.8690476190476195)</f>
        <v>2.869047619</v>
      </c>
      <c r="T1285" s="82">
        <f>IFERROR(__xludf.DUMMYFUNCTION("""COMPUTED_VALUE"""),354.4743973279137)</f>
        <v>354.4743973</v>
      </c>
      <c r="U1285" s="82">
        <f>IFERROR(__xludf.DUMMYFUNCTION("""COMPUTED_VALUE"""),0.7849340481626382)</f>
        <v>0.7849340482</v>
      </c>
      <c r="V1285" s="82">
        <f>IFERROR(__xludf.DUMMYFUNCTION("""COMPUTED_VALUE"""),0.530308467465843)</f>
        <v>0.5303084675</v>
      </c>
      <c r="W1285" s="82">
        <f>IFERROR(__xludf.DUMMYFUNCTION("""COMPUTED_VALUE"""),1.3719655287336021)</f>
        <v>1.371965529</v>
      </c>
      <c r="X1285" s="82">
        <f>IFERROR(__xludf.DUMMYFUNCTION("""COMPUTED_VALUE"""),2.584411625640011)</f>
        <v>2.584411626</v>
      </c>
      <c r="Y1285" s="82">
        <f>IFERROR(__xludf.DUMMYFUNCTION("""COMPUTED_VALUE"""),350.2218104889906)</f>
        <v>350.2218105</v>
      </c>
      <c r="Z1285" s="82">
        <f>IFERROR(__xludf.DUMMYFUNCTION("""COMPUTED_VALUE"""),0.748152159321011)</f>
        <v>0.7481521593</v>
      </c>
      <c r="AA1285" s="82">
        <f>IFERROR(__xludf.DUMMYFUNCTION("""COMPUTED_VALUE"""),0.5529390334759762)</f>
        <v>0.5529390335</v>
      </c>
      <c r="AB1285" s="82">
        <f>IFERROR(__xludf.DUMMYFUNCTION("""COMPUTED_VALUE"""),1.3596697962601876)</f>
        <v>1.359669796</v>
      </c>
      <c r="AC1285" s="82">
        <f>IFERROR(__xludf.DUMMYFUNCTION("""COMPUTED_VALUE"""),2.5822992060431207)</f>
        <v>2.582299206</v>
      </c>
      <c r="AD1285" s="82">
        <f>IFERROR(__xludf.DUMMYFUNCTION("""COMPUTED_VALUE"""),0.9964093476275817)</f>
        <v>0.9964093476</v>
      </c>
      <c r="AE1285" s="82">
        <f>IFERROR(__xludf.DUMMYFUNCTION("""COMPUTED_VALUE"""),1.0979431940343027)</f>
        <v>1.097943194</v>
      </c>
      <c r="AF1285" s="82">
        <f>IFERROR(__xludf.DUMMYFUNCTION("""COMPUTED_VALUE"""),0.710489075780199)</f>
        <v>0.7104890758</v>
      </c>
      <c r="AG1285" s="82">
        <f>IFERROR(__xludf.DUMMYFUNCTION("""COMPUTED_VALUE"""),1.0506752687312442)</f>
        <v>1.050675269</v>
      </c>
      <c r="AH1285" s="82">
        <f>IFERROR(__xludf.DUMMYFUNCTION("""COMPUTED_VALUE"""),1.0234511696678308)</f>
        <v>1.02345117</v>
      </c>
      <c r="AI1285" s="82">
        <f>IFERROR(__xludf.DUMMYFUNCTION("""COMPUTED_VALUE"""),0.9265226879693428)</f>
        <v>0.926522688</v>
      </c>
      <c r="AJ1285" s="82">
        <f>IFERROR(__xludf.DUMMYFUNCTION("""COMPUTED_VALUE"""),0.894827984625046)</f>
        <v>0.8948279846</v>
      </c>
      <c r="AK1285" s="82">
        <f>IFERROR(__xludf.DUMMYFUNCTION("""COMPUTED_VALUE"""),0.9652962253289562)</f>
        <v>0.9652962253</v>
      </c>
      <c r="AL1285" s="82">
        <f>IFERROR(__xludf.DUMMYFUNCTION("""COMPUTED_VALUE"""),0.815652868538585)</f>
        <v>0.8156528685</v>
      </c>
      <c r="AM1285" s="82">
        <f>IFERROR(__xludf.DUMMYFUNCTION("""COMPUTED_VALUE"""),1.1101357038421154)</f>
        <v>1.110135704</v>
      </c>
      <c r="AN1285" s="82">
        <f>IFERROR(__xludf.DUMMYFUNCTION("""COMPUTED_VALUE"""),1.010678338658843)</f>
        <v>1.010678339</v>
      </c>
      <c r="AO1285" s="82">
        <f>IFERROR(__xludf.DUMMYFUNCTION("""COMPUTED_VALUE"""),1.0889269957180379)</f>
        <v>1.088926996</v>
      </c>
      <c r="AP1285" s="82">
        <f>IFERROR(__xludf.DUMMYFUNCTION("""COMPUTED_VALUE"""),0.7285580194750779)</f>
        <v>0.7285580195</v>
      </c>
      <c r="AQ1285" s="82">
        <f>IFERROR(__xludf.DUMMYFUNCTION("""COMPUTED_VALUE"""),1.0576968047805735)</f>
        <v>1.057696805</v>
      </c>
      <c r="AR1285" s="82">
        <f>IFERROR(__xludf.DUMMYFUNCTION("""COMPUTED_VALUE"""),1.032091228047724)</f>
        <v>1.032091228</v>
      </c>
      <c r="AS1285" s="82">
        <f>IFERROR(__xludf.DUMMYFUNCTION("""COMPUTED_VALUE"""),63.0)</f>
        <v>63</v>
      </c>
      <c r="AT1285" s="82">
        <f>IFERROR(__xludf.DUMMYFUNCTION("""COMPUTED_VALUE"""),0.5249985322821215)</f>
        <v>0.5249985323</v>
      </c>
      <c r="AU1285" s="82">
        <f>IFERROR(__xludf.DUMMYFUNCTION("""COMPUTED_VALUE"""),2.3785386867187412)</f>
        <v>2.378538687</v>
      </c>
      <c r="AV1285" s="82">
        <f>IFERROR(__xludf.DUMMYFUNCTION("""COMPUTED_VALUE"""),50.26664711471301)</f>
        <v>50.26664711</v>
      </c>
      <c r="AW1285" s="82">
        <f t="shared" si="1"/>
        <v>2.017166049</v>
      </c>
      <c r="AX1285" s="83">
        <f t="array" ref="AX1285">IFERROR(DGET('SBV Import'!A:G,"SBV",{"RSC ID","Tier";B1285,A1285}))</f>
        <v>43.12953877</v>
      </c>
      <c r="AY1285" s="82">
        <f t="shared" si="2"/>
        <v>-2.552792635</v>
      </c>
      <c r="AZ1285" s="82">
        <v>4.569958684546995</v>
      </c>
      <c r="BA1285" s="84">
        <v>1200.0</v>
      </c>
      <c r="BB1285" s="84" t="b">
        <f>IFERROR(__xludf.DUMMYFUNCTION("iferror(if(A1285="""",,E1285&gt;=FILTER(Constants!$F$2:$F$10,Constants!$A$2:$A$10=A1285)))"),TRUE)</f>
        <v>1</v>
      </c>
    </row>
    <row r="1286">
      <c r="A1286" s="89" t="str">
        <f>IFERROR(__xludf.DUMMYFUNCTION("""COMPUTED_VALUE"""),"Veteran")</f>
        <v>Veteran</v>
      </c>
      <c r="B1286" s="87" t="str">
        <f>IFERROR(__xludf.DUMMYFUNCTION("""COMPUTED_VALUE"""),"RSC001954")</f>
        <v>RSC001954</v>
      </c>
      <c r="C1286" s="73" t="str">
        <f>IFERROR(__xludf.DUMMYFUNCTION("""COMPUTED_VALUE"""),"Kiwi")</f>
        <v>Kiwi</v>
      </c>
      <c r="D1286" s="73" t="str">
        <f>IFERROR(__xludf.DUMMYFUNCTION("""COMPUTED_VALUE"""),"Supernova")</f>
        <v>Supernova</v>
      </c>
      <c r="E1286" s="82">
        <f>IFERROR(__xludf.DUMMYFUNCTION("""COMPUTED_VALUE"""),12.0)</f>
        <v>12</v>
      </c>
      <c r="F1286" s="82">
        <f>IFERROR(__xludf.DUMMYFUNCTION("""COMPUTED_VALUE"""),4.0)</f>
        <v>4</v>
      </c>
      <c r="G1286" s="86">
        <f>IFERROR(__xludf.DUMMYFUNCTION("""COMPUTED_VALUE"""),8.0)</f>
        <v>8</v>
      </c>
      <c r="H1286" s="86">
        <f>IFERROR(__xludf.DUMMYFUNCTION("""COMPUTED_VALUE"""),0.3333333333333333)</f>
        <v>0.3333333333</v>
      </c>
      <c r="I1286" s="86">
        <f>IFERROR(__xludf.DUMMYFUNCTION("""COMPUTED_VALUE"""),0.4761904761904762)</f>
        <v>0.4761904762</v>
      </c>
      <c r="J1286" s="82">
        <f>IFERROR(__xludf.DUMMYFUNCTION("""COMPUTED_VALUE"""),318.75)</f>
        <v>318.75</v>
      </c>
      <c r="K1286" s="82">
        <f>IFERROR(__xludf.DUMMYFUNCTION("""COMPUTED_VALUE"""),0.8333333333333334)</f>
        <v>0.8333333333</v>
      </c>
      <c r="L1286" s="82">
        <f>IFERROR(__xludf.DUMMYFUNCTION("""COMPUTED_VALUE"""),0.5833333333333334)</f>
        <v>0.5833333333</v>
      </c>
      <c r="M1286" s="82">
        <f>IFERROR(__xludf.DUMMYFUNCTION("""COMPUTED_VALUE"""),0.8333333333333334)</f>
        <v>0.8333333333</v>
      </c>
      <c r="N1286" s="82">
        <f>IFERROR(__xludf.DUMMYFUNCTION("""COMPUTED_VALUE"""),1.75)</f>
        <v>1.75</v>
      </c>
      <c r="O1286" s="82">
        <f>IFERROR(__xludf.DUMMYFUNCTION("""COMPUTED_VALUE"""),314.16666666666663)</f>
        <v>314.1666667</v>
      </c>
      <c r="P1286" s="82">
        <f>IFERROR(__xludf.DUMMYFUNCTION("""COMPUTED_VALUE"""),0.8055555555555555)</f>
        <v>0.8055555556</v>
      </c>
      <c r="Q1286" s="82">
        <f>IFERROR(__xludf.DUMMYFUNCTION("""COMPUTED_VALUE"""),0.4444444444444444)</f>
        <v>0.4444444444</v>
      </c>
      <c r="R1286" s="82">
        <f>IFERROR(__xludf.DUMMYFUNCTION("""COMPUTED_VALUE"""),0.9722222222222223)</f>
        <v>0.9722222222</v>
      </c>
      <c r="S1286" s="82">
        <f>IFERROR(__xludf.DUMMYFUNCTION("""COMPUTED_VALUE"""),2.2499999999999996)</f>
        <v>2.25</v>
      </c>
      <c r="T1286" s="82">
        <f>IFERROR(__xludf.DUMMYFUNCTION("""COMPUTED_VALUE"""),326.9624056516255)</f>
        <v>326.9624057</v>
      </c>
      <c r="U1286" s="82">
        <f>IFERROR(__xludf.DUMMYFUNCTION("""COMPUTED_VALUE"""),0.6554856894768433)</f>
        <v>0.6554856895</v>
      </c>
      <c r="V1286" s="82">
        <f>IFERROR(__xludf.DUMMYFUNCTION("""COMPUTED_VALUE"""),0.5159618876770105)</f>
        <v>0.5159618877</v>
      </c>
      <c r="W1286" s="82">
        <f>IFERROR(__xludf.DUMMYFUNCTION("""COMPUTED_VALUE"""),1.2915157225473881)</f>
        <v>1.291515723</v>
      </c>
      <c r="X1286" s="82">
        <f>IFERROR(__xludf.DUMMYFUNCTION("""COMPUTED_VALUE"""),2.297979518155031)</f>
        <v>2.297979518</v>
      </c>
      <c r="Y1286" s="82">
        <f>IFERROR(__xludf.DUMMYFUNCTION("""COMPUTED_VALUE"""),340.6253470206535)</f>
        <v>340.625347</v>
      </c>
      <c r="Z1286" s="82">
        <f>IFERROR(__xludf.DUMMYFUNCTION("""COMPUTED_VALUE"""),0.7524069609525249)</f>
        <v>0.752406961</v>
      </c>
      <c r="AA1286" s="82">
        <f>IFERROR(__xludf.DUMMYFUNCTION("""COMPUTED_VALUE"""),0.5246010457668109)</f>
        <v>0.5246010458</v>
      </c>
      <c r="AB1286" s="82">
        <f>IFERROR(__xludf.DUMMYFUNCTION("""COMPUTED_VALUE"""),1.2891927912333967)</f>
        <v>1.289192791</v>
      </c>
      <c r="AC1286" s="82">
        <f>IFERROR(__xludf.DUMMYFUNCTION("""COMPUTED_VALUE"""),2.5457749052895924)</f>
        <v>2.545774905</v>
      </c>
      <c r="AD1286" s="82">
        <f>IFERROR(__xludf.DUMMYFUNCTION("""COMPUTED_VALUE"""),0.9357788631644987)</f>
        <v>0.9357788632</v>
      </c>
      <c r="AE1286" s="82">
        <f>IFERROR(__xludf.DUMMYFUNCTION("""COMPUTED_VALUE"""),1.1075566502978096)</f>
        <v>1.10755665</v>
      </c>
      <c r="AF1286" s="82">
        <f>IFERROR(__xludf.DUMMYFUNCTION("""COMPUTED_VALUE"""),1.1119561008130918)</f>
        <v>1.111956101</v>
      </c>
      <c r="AG1286" s="82">
        <f>IFERROR(__xludf.DUMMYFUNCTION("""COMPUTED_VALUE"""),0.6463993120346776)</f>
        <v>0.646399312</v>
      </c>
      <c r="AH1286" s="82">
        <f>IFERROR(__xludf.DUMMYFUNCTION("""COMPUTED_VALUE"""),0.6874134851293658)</f>
        <v>0.6874134851</v>
      </c>
      <c r="AI1286" s="82">
        <f>IFERROR(__xludf.DUMMYFUNCTION("""COMPUTED_VALUE"""),0.9608648004670219)</f>
        <v>0.9608648005</v>
      </c>
      <c r="AJ1286" s="82">
        <f>IFERROR(__xludf.DUMMYFUNCTION("""COMPUTED_VALUE"""),1.2289445345458054)</f>
        <v>1.228944535</v>
      </c>
      <c r="AK1286" s="82">
        <f>IFERROR(__xludf.DUMMYFUNCTION("""COMPUTED_VALUE"""),0.8613900659318938)</f>
        <v>0.8613900659</v>
      </c>
      <c r="AL1286" s="82">
        <f>IFERROR(__xludf.DUMMYFUNCTION("""COMPUTED_VALUE"""),0.7527761414352814)</f>
        <v>0.7527761414</v>
      </c>
      <c r="AM1286" s="82">
        <f>IFERROR(__xludf.DUMMYFUNCTION("""COMPUTED_VALUE"""),0.9791209983483435)</f>
        <v>0.9791209983</v>
      </c>
      <c r="AN1286" s="82">
        <f>IFERROR(__xludf.DUMMYFUNCTION("""COMPUTED_VALUE"""),0.9231710339300147)</f>
        <v>0.9231710339</v>
      </c>
      <c r="AO1286" s="82">
        <f>IFERROR(__xludf.DUMMYFUNCTION("""COMPUTED_VALUE"""),1.104708546380618)</f>
        <v>1.104708546</v>
      </c>
      <c r="AP1286" s="82">
        <f>IFERROR(__xludf.DUMMYFUNCTION("""COMPUTED_VALUE"""),1.0817982713417824)</f>
        <v>1.081798271</v>
      </c>
      <c r="AQ1286" s="82">
        <f>IFERROR(__xludf.DUMMYFUNCTION("""COMPUTED_VALUE"""),0.6169898027886679)</f>
        <v>0.6169898028</v>
      </c>
      <c r="AR1286" s="82">
        <f>IFERROR(__xludf.DUMMYFUNCTION("""COMPUTED_VALUE"""),0.683411759112682)</f>
        <v>0.6834117591</v>
      </c>
      <c r="AS1286" s="82">
        <f>IFERROR(__xludf.DUMMYFUNCTION("""COMPUTED_VALUE"""),27.0)</f>
        <v>27</v>
      </c>
      <c r="AT1286" s="82">
        <f>IFERROR(__xludf.DUMMYFUNCTION("""COMPUTED_VALUE"""),0.4722313631244363)</f>
        <v>0.4722313631</v>
      </c>
      <c r="AU1286" s="82">
        <f>IFERROR(__xludf.DUMMYFUNCTION("""COMPUTED_VALUE"""),2.375927985461821)</f>
        <v>2.375927985</v>
      </c>
      <c r="AV1286" s="82">
        <f>IFERROR(__xludf.DUMMYFUNCTION("""COMPUTED_VALUE"""),50.18577779207404)</f>
        <v>50.18577779</v>
      </c>
      <c r="AW1286" s="82">
        <f t="shared" si="1"/>
        <v>2.011928958</v>
      </c>
      <c r="AX1286" s="83">
        <f t="array" ref="AX1286">IFERROR(DGET('SBV Import'!A:G,"SBV",{"RSC ID","Tier";B1286,A1286}))</f>
        <v>52.44426442</v>
      </c>
      <c r="AY1286" s="82">
        <f t="shared" si="2"/>
        <v>2.168928112</v>
      </c>
      <c r="AZ1286" s="82">
        <v>0.15699915403248044</v>
      </c>
      <c r="BA1286" s="84">
        <v>1200.0</v>
      </c>
      <c r="BB1286" s="84" t="b">
        <f>IFERROR(__xludf.DUMMYFUNCTION("iferror(if(A1286="""",,E1286&gt;=FILTER(Constants!$F$2:$F$10,Constants!$A$2:$A$10=A1286)))"),TRUE)</f>
        <v>1</v>
      </c>
    </row>
    <row r="1287">
      <c r="A1287" s="89" t="str">
        <f>IFERROR(__xludf.DUMMYFUNCTION("""COMPUTED_VALUE"""),"Veteran")</f>
        <v>Veteran</v>
      </c>
      <c r="B1287" s="87" t="str">
        <f>IFERROR(__xludf.DUMMYFUNCTION("""COMPUTED_VALUE"""),"RSC007504")</f>
        <v>RSC007504</v>
      </c>
      <c r="C1287" s="73" t="str">
        <f>IFERROR(__xludf.DUMMYFUNCTION("""COMPUTED_VALUE"""),"Percussive3260")</f>
        <v>Percussive3260</v>
      </c>
      <c r="D1287" s="73" t="str">
        <f>IFERROR(__xludf.DUMMYFUNCTION("""COMPUTED_VALUE"""),"Dread")</f>
        <v>Dread</v>
      </c>
      <c r="E1287" s="82">
        <f>IFERROR(__xludf.DUMMYFUNCTION("""COMPUTED_VALUE"""),36.0)</f>
        <v>36</v>
      </c>
      <c r="F1287" s="82">
        <f>IFERROR(__xludf.DUMMYFUNCTION("""COMPUTED_VALUE"""),13.0)</f>
        <v>13</v>
      </c>
      <c r="G1287" s="86">
        <f>IFERROR(__xludf.DUMMYFUNCTION("""COMPUTED_VALUE"""),23.0)</f>
        <v>23</v>
      </c>
      <c r="H1287" s="86">
        <f>IFERROR(__xludf.DUMMYFUNCTION("""COMPUTED_VALUE"""),0.3611111111111111)</f>
        <v>0.3611111111</v>
      </c>
      <c r="I1287" s="86">
        <f>IFERROR(__xludf.DUMMYFUNCTION("""COMPUTED_VALUE"""),0.2553191489361702)</f>
        <v>0.2553191489</v>
      </c>
      <c r="J1287" s="82">
        <f>IFERROR(__xludf.DUMMYFUNCTION("""COMPUTED_VALUE"""),354.47222222222223)</f>
        <v>354.4722222</v>
      </c>
      <c r="K1287" s="82">
        <f>IFERROR(__xludf.DUMMYFUNCTION("""COMPUTED_VALUE"""),0.6666666666666666)</f>
        <v>0.6666666667</v>
      </c>
      <c r="L1287" s="82">
        <f>IFERROR(__xludf.DUMMYFUNCTION("""COMPUTED_VALUE"""),0.5833333333333334)</f>
        <v>0.5833333333</v>
      </c>
      <c r="M1287" s="82">
        <f>IFERROR(__xludf.DUMMYFUNCTION("""COMPUTED_VALUE"""),1.3888888888888888)</f>
        <v>1.388888889</v>
      </c>
      <c r="N1287" s="82">
        <f>IFERROR(__xludf.DUMMYFUNCTION("""COMPUTED_VALUE"""),2.611111111111111)</f>
        <v>2.611111111</v>
      </c>
      <c r="O1287" s="82">
        <f>IFERROR(__xludf.DUMMYFUNCTION("""COMPUTED_VALUE"""),358.4537037037037)</f>
        <v>358.4537037</v>
      </c>
      <c r="P1287" s="82">
        <f>IFERROR(__xludf.DUMMYFUNCTION("""COMPUTED_VALUE"""),0.8240740740740742)</f>
        <v>0.8240740741</v>
      </c>
      <c r="Q1287" s="82">
        <f>IFERROR(__xludf.DUMMYFUNCTION("""COMPUTED_VALUE"""),0.611111111111111)</f>
        <v>0.6111111111</v>
      </c>
      <c r="R1287" s="82">
        <f>IFERROR(__xludf.DUMMYFUNCTION("""COMPUTED_VALUE"""),1.2129629629629628)</f>
        <v>1.212962963</v>
      </c>
      <c r="S1287" s="82">
        <f>IFERROR(__xludf.DUMMYFUNCTION("""COMPUTED_VALUE"""),2.731481481481482)</f>
        <v>2.731481481</v>
      </c>
      <c r="T1287" s="82">
        <f>IFERROR(__xludf.DUMMYFUNCTION("""COMPUTED_VALUE"""),357.1822305055052)</f>
        <v>357.1822305</v>
      </c>
      <c r="U1287" s="82">
        <f>IFERROR(__xludf.DUMMYFUNCTION("""COMPUTED_VALUE"""),0.829367901172502)</f>
        <v>0.8293679012</v>
      </c>
      <c r="V1287" s="82">
        <f>IFERROR(__xludf.DUMMYFUNCTION("""COMPUTED_VALUE"""),0.6132602717895355)</f>
        <v>0.6132602718</v>
      </c>
      <c r="W1287" s="82">
        <f>IFERROR(__xludf.DUMMYFUNCTION("""COMPUTED_VALUE"""),1.299358393972353)</f>
        <v>1.299358394</v>
      </c>
      <c r="X1287" s="82">
        <f>IFERROR(__xludf.DUMMYFUNCTION("""COMPUTED_VALUE"""),2.7365321141794796)</f>
        <v>2.736532114</v>
      </c>
      <c r="Y1287" s="82">
        <f>IFERROR(__xludf.DUMMYFUNCTION("""COMPUTED_VALUE"""),358.22901977346254)</f>
        <v>358.2290198</v>
      </c>
      <c r="Z1287" s="82">
        <f>IFERROR(__xludf.DUMMYFUNCTION("""COMPUTED_VALUE"""),0.823014214442159)</f>
        <v>0.8230142144</v>
      </c>
      <c r="AA1287" s="82">
        <f>IFERROR(__xludf.DUMMYFUNCTION("""COMPUTED_VALUE"""),0.6107800260470684)</f>
        <v>0.610780026</v>
      </c>
      <c r="AB1287" s="82">
        <f>IFERROR(__xludf.DUMMYFUNCTION("""COMPUTED_VALUE"""),1.379195394431739)</f>
        <v>1.379195394</v>
      </c>
      <c r="AC1287" s="82">
        <f>IFERROR(__xludf.DUMMYFUNCTION("""COMPUTED_VALUE"""),2.607767636594593)</f>
        <v>2.607767637</v>
      </c>
      <c r="AD1287" s="82">
        <f>IFERROR(__xludf.DUMMYFUNCTION("""COMPUTED_VALUE"""),0.9895128609245113)</f>
        <v>0.9895128609</v>
      </c>
      <c r="AE1287" s="82">
        <f>IFERROR(__xludf.DUMMYFUNCTION("""COMPUTED_VALUE"""),0.810030562009837)</f>
        <v>0.810030562</v>
      </c>
      <c r="AF1287" s="82">
        <f>IFERROR(__xludf.DUMMYFUNCTION("""COMPUTED_VALUE"""),0.9550628842737895)</f>
        <v>0.9550628843</v>
      </c>
      <c r="AG1287" s="82">
        <f>IFERROR(__xludf.DUMMYFUNCTION("""COMPUTED_VALUE"""),1.0070283692189559)</f>
        <v>1.007028369</v>
      </c>
      <c r="AH1287" s="82">
        <f>IFERROR(__xludf.DUMMYFUNCTION("""COMPUTED_VALUE"""),1.0012821213322842)</f>
        <v>1.001282121</v>
      </c>
      <c r="AI1287" s="82">
        <f>IFERROR(__xludf.DUMMYFUNCTION("""COMPUTED_VALUE"""),1.0035597325107664)</f>
        <v>1.003559733</v>
      </c>
      <c r="AJ1287" s="82">
        <f>IFERROR(__xludf.DUMMYFUNCTION("""COMPUTED_VALUE"""),0.9936170340195903)</f>
        <v>0.993617034</v>
      </c>
      <c r="AK1287" s="82">
        <f>IFERROR(__xludf.DUMMYFUNCTION("""COMPUTED_VALUE"""),0.9964955162150761)</f>
        <v>0.9964955162</v>
      </c>
      <c r="AL1287" s="82">
        <f>IFERROR(__xludf.DUMMYFUNCTION("""COMPUTED_VALUE"""),0.9335091600514734)</f>
        <v>0.9335091601</v>
      </c>
      <c r="AM1287" s="82">
        <f>IFERROR(__xludf.DUMMYFUNCTION("""COMPUTED_VALUE"""),0.9981543674668286)</f>
        <v>0.9981543675</v>
      </c>
      <c r="AN1287" s="82">
        <f>IFERROR(__xludf.DUMMYFUNCTION("""COMPUTED_VALUE"""),1.0266305502379884)</f>
        <v>1.02663055</v>
      </c>
      <c r="AO1287" s="82">
        <f>IFERROR(__xludf.DUMMYFUNCTION("""COMPUTED_VALUE"""),0.8837668371044944)</f>
        <v>0.8837668371</v>
      </c>
      <c r="AP1287" s="82">
        <f>IFERROR(__xludf.DUMMYFUNCTION("""COMPUTED_VALUE"""),1.0817982713417824)</f>
        <v>1.081798271</v>
      </c>
      <c r="AQ1287" s="82">
        <f>IFERROR(__xludf.DUMMYFUNCTION("""COMPUTED_VALUE"""),1.0283163379811129)</f>
        <v>1.028316338</v>
      </c>
      <c r="AR1287" s="82">
        <f>IFERROR(__xludf.DUMMYFUNCTION("""COMPUTED_VALUE"""),1.0196937358189224)</f>
        <v>1.019693736</v>
      </c>
      <c r="AS1287" s="82">
        <f>IFERROR(__xludf.DUMMYFUNCTION("""COMPUTED_VALUE"""),65.0)</f>
        <v>65</v>
      </c>
      <c r="AT1287" s="82">
        <f>IFERROR(__xludf.DUMMYFUNCTION("""COMPUTED_VALUE"""),0.3829827642750242)</f>
        <v>0.3829827643</v>
      </c>
      <c r="AU1287" s="82">
        <f>IFERROR(__xludf.DUMMYFUNCTION("""COMPUTED_VALUE"""),2.3353799253909386)</f>
        <v>2.335379925</v>
      </c>
      <c r="AV1287" s="82">
        <f>IFERROR(__xludf.DUMMYFUNCTION("""COMPUTED_VALUE"""),48.92975734792536)</f>
        <v>48.92975735</v>
      </c>
      <c r="AW1287" s="82">
        <f t="shared" si="1"/>
        <v>-2.070707996</v>
      </c>
      <c r="AX1287" s="83">
        <f t="array" ref="AX1287">IFERROR(DGET('SBV Import'!A:G,"SBV",{"RSC ID","Tier";B1287,A1287}))</f>
        <v>57.43390325</v>
      </c>
      <c r="AY1287" s="82">
        <f t="shared" si="2"/>
        <v>2.610302806</v>
      </c>
      <c r="AZ1287" s="82">
        <v>4.6810108024990775</v>
      </c>
      <c r="BA1287" s="84">
        <v>1200.0</v>
      </c>
      <c r="BB1287" s="84" t="b">
        <f>IFERROR(__xludf.DUMMYFUNCTION("iferror(if(A1287="""",,E1287&gt;=FILTER(Constants!$F$2:$F$10,Constants!$A$2:$A$10=A1287)))"),TRUE)</f>
        <v>1</v>
      </c>
    </row>
    <row r="1288">
      <c r="A1288" s="89" t="str">
        <f>IFERROR(__xludf.DUMMYFUNCTION("""COMPUTED_VALUE"""),"Veteran")</f>
        <v>Veteran</v>
      </c>
      <c r="B1288" s="87" t="str">
        <f>IFERROR(__xludf.DUMMYFUNCTION("""COMPUTED_VALUE"""),"RSC006613")</f>
        <v>RSC006613</v>
      </c>
      <c r="C1288" s="73" t="str">
        <f>IFERROR(__xludf.DUMMYFUNCTION("""COMPUTED_VALUE"""),"steel.reserve")</f>
        <v>steel.reserve</v>
      </c>
      <c r="D1288" s="73" t="str">
        <f>IFERROR(__xludf.DUMMYFUNCTION("""COMPUTED_VALUE"""),"Dog Fighters")</f>
        <v>Dog Fighters</v>
      </c>
      <c r="E1288" s="82">
        <f>IFERROR(__xludf.DUMMYFUNCTION("""COMPUTED_VALUE"""),23.0)</f>
        <v>23</v>
      </c>
      <c r="F1288" s="82">
        <f>IFERROR(__xludf.DUMMYFUNCTION("""COMPUTED_VALUE"""),12.0)</f>
        <v>12</v>
      </c>
      <c r="G1288" s="86">
        <f>IFERROR(__xludf.DUMMYFUNCTION("""COMPUTED_VALUE"""),11.0)</f>
        <v>11</v>
      </c>
      <c r="H1288" s="86">
        <f>IFERROR(__xludf.DUMMYFUNCTION("""COMPUTED_VALUE"""),0.5217391304347826)</f>
        <v>0.5217391304</v>
      </c>
      <c r="I1288" s="86">
        <f>IFERROR(__xludf.DUMMYFUNCTION("""COMPUTED_VALUE"""),0.3793103448275862)</f>
        <v>0.3793103448</v>
      </c>
      <c r="J1288" s="82">
        <f>IFERROR(__xludf.DUMMYFUNCTION("""COMPUTED_VALUE"""),344.9130434782609)</f>
        <v>344.9130435</v>
      </c>
      <c r="K1288" s="82">
        <f>IFERROR(__xludf.DUMMYFUNCTION("""COMPUTED_VALUE"""),0.9565217391304348)</f>
        <v>0.9565217391</v>
      </c>
      <c r="L1288" s="82">
        <f>IFERROR(__xludf.DUMMYFUNCTION("""COMPUTED_VALUE"""),0.34782608695652173)</f>
        <v>0.347826087</v>
      </c>
      <c r="M1288" s="82">
        <f>IFERROR(__xludf.DUMMYFUNCTION("""COMPUTED_VALUE"""),1.3478260869565217)</f>
        <v>1.347826087</v>
      </c>
      <c r="N1288" s="82">
        <f>IFERROR(__xludf.DUMMYFUNCTION("""COMPUTED_VALUE"""),2.5217391304347827)</f>
        <v>2.52173913</v>
      </c>
      <c r="O1288" s="82">
        <f>IFERROR(__xludf.DUMMYFUNCTION("""COMPUTED_VALUE"""),368.7246376811594)</f>
        <v>368.7246377</v>
      </c>
      <c r="P1288" s="82">
        <f>IFERROR(__xludf.DUMMYFUNCTION("""COMPUTED_VALUE"""),0.7971014492753624)</f>
        <v>0.7971014493</v>
      </c>
      <c r="Q1288" s="82">
        <f>IFERROR(__xludf.DUMMYFUNCTION("""COMPUTED_VALUE"""),0.5942028985507246)</f>
        <v>0.5942028986</v>
      </c>
      <c r="R1288" s="82">
        <f>IFERROR(__xludf.DUMMYFUNCTION("""COMPUTED_VALUE"""),1.5507246376811594)</f>
        <v>1.550724638</v>
      </c>
      <c r="S1288" s="82">
        <f>IFERROR(__xludf.DUMMYFUNCTION("""COMPUTED_VALUE"""),2.420289855072464)</f>
        <v>2.420289855</v>
      </c>
      <c r="T1288" s="82">
        <f>IFERROR(__xludf.DUMMYFUNCTION("""COMPUTED_VALUE"""),350.7685253098938)</f>
        <v>350.7685253</v>
      </c>
      <c r="U1288" s="82">
        <f>IFERROR(__xludf.DUMMYFUNCTION("""COMPUTED_VALUE"""),0.7062418346530267)</f>
        <v>0.7062418347</v>
      </c>
      <c r="V1288" s="82">
        <f>IFERROR(__xludf.DUMMYFUNCTION("""COMPUTED_VALUE"""),0.5562739004174889)</f>
        <v>0.5562739004</v>
      </c>
      <c r="W1288" s="82">
        <f>IFERROR(__xludf.DUMMYFUNCTION("""COMPUTED_VALUE"""),1.4582947053676165)</f>
        <v>1.458294705</v>
      </c>
      <c r="X1288" s="82">
        <f>IFERROR(__xludf.DUMMYFUNCTION("""COMPUTED_VALUE"""),2.421638020693059)</f>
        <v>2.421638021</v>
      </c>
      <c r="Y1288" s="82">
        <f>IFERROR(__xludf.DUMMYFUNCTION("""COMPUTED_VALUE"""),349.7220141046302)</f>
        <v>349.7220141</v>
      </c>
      <c r="Z1288" s="82">
        <f>IFERROR(__xludf.DUMMYFUNCTION("""COMPUTED_VALUE"""),0.7680500562142802)</f>
        <v>0.7680500562</v>
      </c>
      <c r="AA1288" s="82">
        <f>IFERROR(__xludf.DUMMYFUNCTION("""COMPUTED_VALUE"""),0.55749639629651)</f>
        <v>0.5574963963</v>
      </c>
      <c r="AB1288" s="82">
        <f>IFERROR(__xludf.DUMMYFUNCTION("""COMPUTED_VALUE"""),1.316154313558636)</f>
        <v>1.316154314</v>
      </c>
      <c r="AC1288" s="82">
        <f>IFERROR(__xludf.DUMMYFUNCTION("""COMPUTED_VALUE"""),2.7891398056194627)</f>
        <v>2.789139806</v>
      </c>
      <c r="AD1288" s="82">
        <f>IFERROR(__xludf.DUMMYFUNCTION("""COMPUTED_VALUE"""),0.9862491623849262)</f>
        <v>0.9862491624</v>
      </c>
      <c r="AE1288" s="82">
        <f>IFERROR(__xludf.DUMMYFUNCTION("""COMPUTED_VALUE"""),1.2453898432676793)</f>
        <v>1.245389843</v>
      </c>
      <c r="AF1288" s="82">
        <f>IFERROR(__xludf.DUMMYFUNCTION("""COMPUTED_VALUE"""),0.6239073279525326)</f>
        <v>0.623907328</v>
      </c>
      <c r="AG1288" s="82">
        <f>IFERROR(__xludf.DUMMYFUNCTION("""COMPUTED_VALUE"""),1.0240638753918232)</f>
        <v>1.024063875</v>
      </c>
      <c r="AH1288" s="82">
        <f>IFERROR(__xludf.DUMMYFUNCTION("""COMPUTED_VALUE"""),0.9041279054402614)</f>
        <v>0.9041279054</v>
      </c>
      <c r="AI1288" s="82">
        <f>IFERROR(__xludf.DUMMYFUNCTION("""COMPUTED_VALUE"""),1.0511907741876267)</f>
        <v>1.051190774</v>
      </c>
      <c r="AJ1288" s="82">
        <f>IFERROR(__xludf.DUMMYFUNCTION("""COMPUTED_VALUE"""),1.1286522691861982)</f>
        <v>1.128652269</v>
      </c>
      <c r="AK1288" s="82">
        <f>IFERROR(__xludf.DUMMYFUNCTION("""COMPUTED_VALUE"""),1.0681840332698866)</f>
        <v>1.068184033</v>
      </c>
      <c r="AL1288" s="82">
        <f>IFERROR(__xludf.DUMMYFUNCTION("""COMPUTED_VALUE"""),1.0633822038668395)</f>
        <v>1.063382204</v>
      </c>
      <c r="AM1288" s="82">
        <f>IFERROR(__xludf.DUMMYFUNCTION("""COMPUTED_VALUE"""),0.9994432835919015)</f>
        <v>0.9994432836</v>
      </c>
      <c r="AN1288" s="82">
        <f>IFERROR(__xludf.DUMMYFUNCTION("""COMPUTED_VALUE"""),0.9989450383177229)</f>
        <v>0.9989450383</v>
      </c>
      <c r="AO1288" s="82">
        <f>IFERROR(__xludf.DUMMYFUNCTION("""COMPUTED_VALUE"""),1.268013288019492)</f>
        <v>1.268013288</v>
      </c>
      <c r="AP1288" s="82">
        <f>IFERROR(__xludf.DUMMYFUNCTION("""COMPUTED_VALUE"""),0.6450474164522428)</f>
        <v>0.6450474165</v>
      </c>
      <c r="AQ1288" s="82">
        <f>IFERROR(__xludf.DUMMYFUNCTION("""COMPUTED_VALUE"""),0.9979139419016714)</f>
        <v>0.9979139419</v>
      </c>
      <c r="AR1288" s="82">
        <f>IFERROR(__xludf.DUMMYFUNCTION("""COMPUTED_VALUE"""),0.98479210008784)</f>
        <v>0.9847921001</v>
      </c>
      <c r="AS1288" s="82">
        <f>IFERROR(__xludf.DUMMYFUNCTION("""COMPUTED_VALUE"""),60.0)</f>
        <v>60</v>
      </c>
      <c r="AT1288" s="82">
        <f>IFERROR(__xludf.DUMMYFUNCTION("""COMPUTED_VALUE"""),0.5344691858613647)</f>
        <v>0.5344691859</v>
      </c>
      <c r="AU1288" s="82">
        <f>IFERROR(__xludf.DUMMYFUNCTION("""COMPUTED_VALUE"""),2.3144134806749803)</f>
        <v>2.314413481</v>
      </c>
      <c r="AV1288" s="82">
        <f>IFERROR(__xludf.DUMMYFUNCTION("""COMPUTED_VALUE"""),48.28029882492027)</f>
        <v>48.28029882</v>
      </c>
      <c r="AW1288" s="82">
        <f t="shared" si="1"/>
        <v>-2.116047577</v>
      </c>
      <c r="AX1288" s="83">
        <f t="array" ref="AX1288">IFERROR(DGET('SBV Import'!A:G,"SBV",{"RSC ID","Tier";B1288,A1288}))</f>
        <v>39.37176694</v>
      </c>
      <c r="AY1288" s="82">
        <f t="shared" si="2"/>
        <v>-2.981770631</v>
      </c>
      <c r="AZ1288" s="82">
        <v>0.8657230541687535</v>
      </c>
      <c r="BA1288" s="84">
        <v>1200.0</v>
      </c>
      <c r="BB1288" s="84" t="b">
        <f>IFERROR(__xludf.DUMMYFUNCTION("iferror(if(A1288="""",,E1288&gt;=FILTER(Constants!$F$2:$F$10,Constants!$A$2:$A$10=A1288)))"),TRUE)</f>
        <v>1</v>
      </c>
    </row>
    <row r="1289">
      <c r="A1289" s="89" t="str">
        <f>IFERROR(__xludf.DUMMYFUNCTION("""COMPUTED_VALUE"""),"Veteran")</f>
        <v>Veteran</v>
      </c>
      <c r="B1289" s="87" t="str">
        <f>IFERROR(__xludf.DUMMYFUNCTION("""COMPUTED_VALUE"""),"RSC004229")</f>
        <v>RSC004229</v>
      </c>
      <c r="C1289" s="73" t="str">
        <f>IFERROR(__xludf.DUMMYFUNCTION("""COMPUTED_VALUE"""),"ImNotDotey")</f>
        <v>ImNotDotey</v>
      </c>
      <c r="D1289" s="73"/>
      <c r="E1289" s="82">
        <f>IFERROR(__xludf.DUMMYFUNCTION("""COMPUTED_VALUE"""),28.0)</f>
        <v>28</v>
      </c>
      <c r="F1289" s="82">
        <f>IFERROR(__xludf.DUMMYFUNCTION("""COMPUTED_VALUE"""),11.0)</f>
        <v>11</v>
      </c>
      <c r="G1289" s="86">
        <f>IFERROR(__xludf.DUMMYFUNCTION("""COMPUTED_VALUE"""),17.0)</f>
        <v>17</v>
      </c>
      <c r="H1289" s="86">
        <f>IFERROR(__xludf.DUMMYFUNCTION("""COMPUTED_VALUE"""),0.39285714285714285)</f>
        <v>0.3928571429</v>
      </c>
      <c r="I1289" s="86">
        <f>IFERROR(__xludf.DUMMYFUNCTION("""COMPUTED_VALUE"""),0.3)</f>
        <v>0.3</v>
      </c>
      <c r="J1289" s="82">
        <f>IFERROR(__xludf.DUMMYFUNCTION("""COMPUTED_VALUE"""),331.5)</f>
        <v>331.5</v>
      </c>
      <c r="K1289" s="82">
        <f>IFERROR(__xludf.DUMMYFUNCTION("""COMPUTED_VALUE"""),0.75)</f>
        <v>0.75</v>
      </c>
      <c r="L1289" s="82">
        <f>IFERROR(__xludf.DUMMYFUNCTION("""COMPUTED_VALUE"""),0.6428571428571429)</f>
        <v>0.6428571429</v>
      </c>
      <c r="M1289" s="82">
        <f>IFERROR(__xludf.DUMMYFUNCTION("""COMPUTED_VALUE"""),1.25)</f>
        <v>1.25</v>
      </c>
      <c r="N1289" s="82">
        <f>IFERROR(__xludf.DUMMYFUNCTION("""COMPUTED_VALUE"""),2.5)</f>
        <v>2.5</v>
      </c>
      <c r="O1289" s="82">
        <f>IFERROR(__xludf.DUMMYFUNCTION("""COMPUTED_VALUE"""),399.9285714285714)</f>
        <v>399.9285714</v>
      </c>
      <c r="P1289" s="82">
        <f>IFERROR(__xludf.DUMMYFUNCTION("""COMPUTED_VALUE"""),1.0476190476190477)</f>
        <v>1.047619048</v>
      </c>
      <c r="Q1289" s="82">
        <f>IFERROR(__xludf.DUMMYFUNCTION("""COMPUTED_VALUE"""),0.7261904761904762)</f>
        <v>0.7261904762</v>
      </c>
      <c r="R1289" s="82">
        <f>IFERROR(__xludf.DUMMYFUNCTION("""COMPUTED_VALUE"""),1.4404761904761902)</f>
        <v>1.44047619</v>
      </c>
      <c r="S1289" s="82">
        <f>IFERROR(__xludf.DUMMYFUNCTION("""COMPUTED_VALUE"""),2.857142857142857)</f>
        <v>2.857142857</v>
      </c>
      <c r="T1289" s="82">
        <f>IFERROR(__xludf.DUMMYFUNCTION("""COMPUTED_VALUE"""),357.59433766174254)</f>
        <v>357.5943377</v>
      </c>
      <c r="U1289" s="82">
        <f>IFERROR(__xludf.DUMMYFUNCTION("""COMPUTED_VALUE"""),0.829423657202491)</f>
        <v>0.8294236572</v>
      </c>
      <c r="V1289" s="82">
        <f>IFERROR(__xludf.DUMMYFUNCTION("""COMPUTED_VALUE"""),0.6122776984539691)</f>
        <v>0.6122776985</v>
      </c>
      <c r="W1289" s="82">
        <f>IFERROR(__xludf.DUMMYFUNCTION("""COMPUTED_VALUE"""),1.2993423274610119)</f>
        <v>1.299342327</v>
      </c>
      <c r="X1289" s="82">
        <f>IFERROR(__xludf.DUMMYFUNCTION("""COMPUTED_VALUE"""),2.717003533652239)</f>
        <v>2.717003534</v>
      </c>
      <c r="Y1289" s="82">
        <f>IFERROR(__xludf.DUMMYFUNCTION("""COMPUTED_VALUE"""),357.5315073009332)</f>
        <v>357.5315073</v>
      </c>
      <c r="Z1289" s="82">
        <f>IFERROR(__xludf.DUMMYFUNCTION("""COMPUTED_VALUE"""),0.7969339643997101)</f>
        <v>0.7969339644</v>
      </c>
      <c r="AA1289" s="82">
        <f>IFERROR(__xludf.DUMMYFUNCTION("""COMPUTED_VALUE"""),0.602087624510337)</f>
        <v>0.6020876245</v>
      </c>
      <c r="AB1289" s="82">
        <f>IFERROR(__xludf.DUMMYFUNCTION("""COMPUTED_VALUE"""),1.367614381723593)</f>
        <v>1.367614382</v>
      </c>
      <c r="AC1289" s="82">
        <f>IFERROR(__xludf.DUMMYFUNCTION("""COMPUTED_VALUE"""),2.5863148686878987)</f>
        <v>2.586314869</v>
      </c>
      <c r="AD1289" s="82">
        <f>IFERROR(__xludf.DUMMYFUNCTION("""COMPUTED_VALUE"""),0.9271910117867667)</f>
        <v>0.9271910118</v>
      </c>
      <c r="AE1289" s="82">
        <f>IFERROR(__xludf.DUMMYFUNCTION("""COMPUTED_VALUE"""),0.9411068338202111)</f>
        <v>0.9411068338</v>
      </c>
      <c r="AF1289" s="82">
        <f>IFERROR(__xludf.DUMMYFUNCTION("""COMPUTED_VALUE"""),1.0677135963057913)</f>
        <v>1.067713596</v>
      </c>
      <c r="AG1289" s="82">
        <f>IFERROR(__xludf.DUMMYFUNCTION("""COMPUTED_VALUE"""),0.9140003327726309)</f>
        <v>0.9140003328</v>
      </c>
      <c r="AH1289" s="82">
        <f>IFERROR(__xludf.DUMMYFUNCTION("""COMPUTED_VALUE"""),0.9666263107663731)</f>
        <v>0.9666263108</v>
      </c>
      <c r="AI1289" s="82">
        <f>IFERROR(__xludf.DUMMYFUNCTION("""COMPUTED_VALUE"""),1.1183861971742792)</f>
        <v>1.118386197</v>
      </c>
      <c r="AJ1289" s="82">
        <f>IFERROR(__xludf.DUMMYFUNCTION("""COMPUTED_VALUE"""),1.263068684527873)</f>
        <v>1.263068685</v>
      </c>
      <c r="AK1289" s="82">
        <f>IFERROR(__xludf.DUMMYFUNCTION("""COMPUTED_VALUE"""),1.1860475696308104)</f>
        <v>1.18604757</v>
      </c>
      <c r="AL1289" s="82">
        <f>IFERROR(__xludf.DUMMYFUNCTION("""COMPUTED_VALUE"""),1.10861946080904)</f>
        <v>1.108619461</v>
      </c>
      <c r="AM1289" s="82">
        <f>IFERROR(__xludf.DUMMYFUNCTION("""COMPUTED_VALUE"""),1.051578631295426)</f>
        <v>1.051578631</v>
      </c>
      <c r="AN1289" s="82">
        <f>IFERROR(__xludf.DUMMYFUNCTION("""COMPUTED_VALUE"""),0.9600978752872152)</f>
        <v>0.9600978753</v>
      </c>
      <c r="AO1289" s="82">
        <f>IFERROR(__xludf.DUMMYFUNCTION("""COMPUTED_VALUE"""),0.9942376917425563)</f>
        <v>0.9942376917</v>
      </c>
      <c r="AP1289" s="82">
        <f>IFERROR(__xludf.DUMMYFUNCTION("""COMPUTED_VALUE"""),1.1921858500501274)</f>
        <v>1.19218585</v>
      </c>
      <c r="AQ1289" s="82">
        <f>IFERROR(__xludf.DUMMYFUNCTION("""COMPUTED_VALUE"""),0.9254847041830017)</f>
        <v>0.9254847042</v>
      </c>
      <c r="AR1289" s="82">
        <f>IFERROR(__xludf.DUMMYFUNCTION("""COMPUTED_VALUE"""),0.9763025130181172)</f>
        <v>0.976302513</v>
      </c>
      <c r="AS1289" s="82">
        <f>IFERROR(__xludf.DUMMYFUNCTION("""COMPUTED_VALUE"""),61.0)</f>
        <v>61</v>
      </c>
      <c r="AT1289" s="82">
        <f>IFERROR(__xludf.DUMMYFUNCTION("""COMPUTED_VALUE"""),0.35615156237063544)</f>
        <v>0.3561515624</v>
      </c>
      <c r="AU1289" s="82">
        <f>IFERROR(__xludf.DUMMYFUNCTION("""COMPUTED_VALUE"""),2.293133225060952)</f>
        <v>2.293133225</v>
      </c>
      <c r="AV1289" s="82">
        <f>IFERROR(__xludf.DUMMYFUNCTION("""COMPUTED_VALUE"""),47.6211196666275)</f>
        <v>47.62111967</v>
      </c>
      <c r="AW1289" s="82">
        <f t="shared" si="1"/>
        <v>-2.164053561</v>
      </c>
      <c r="AX1289" s="83">
        <f t="array" ref="AX1289">IFERROR(DGET('SBV Import'!A:G,"SBV",{"RSC ID","Tier";B1289,A1289}))</f>
        <v>39.2133773</v>
      </c>
      <c r="AY1289" s="82">
        <f t="shared" si="2"/>
        <v>-3.002415308</v>
      </c>
      <c r="AZ1289" s="82">
        <v>0.8383617472690195</v>
      </c>
      <c r="BA1289" s="84">
        <v>1200.0</v>
      </c>
      <c r="BB1289" s="84" t="b">
        <f>IFERROR(__xludf.DUMMYFUNCTION("iferror(if(A1289="""",,E1289&gt;=FILTER(Constants!$F$2:$F$10,Constants!$A$2:$A$10=A1289)))"),TRUE)</f>
        <v>1</v>
      </c>
    </row>
    <row r="1290">
      <c r="A1290" s="89" t="str">
        <f>IFERROR(__xludf.DUMMYFUNCTION("""COMPUTED_VALUE"""),"Veteran")</f>
        <v>Veteran</v>
      </c>
      <c r="B1290" s="87" t="str">
        <f>IFERROR(__xludf.DUMMYFUNCTION("""COMPUTED_VALUE"""),"RSC000601")</f>
        <v>RSC000601</v>
      </c>
      <c r="C1290" s="73" t="str">
        <f>IFERROR(__xludf.DUMMYFUNCTION("""COMPUTED_VALUE"""),"Bxffledd")</f>
        <v>Bxffledd</v>
      </c>
      <c r="D1290" s="73"/>
      <c r="E1290" s="82">
        <f>IFERROR(__xludf.DUMMYFUNCTION("""COMPUTED_VALUE"""),6.0)</f>
        <v>6</v>
      </c>
      <c r="F1290" s="82">
        <f>IFERROR(__xludf.DUMMYFUNCTION("""COMPUTED_VALUE"""),3.0)</f>
        <v>3</v>
      </c>
      <c r="G1290" s="86">
        <f>IFERROR(__xludf.DUMMYFUNCTION("""COMPUTED_VALUE"""),3.0)</f>
        <v>3</v>
      </c>
      <c r="H1290" s="86">
        <f>IFERROR(__xludf.DUMMYFUNCTION("""COMPUTED_VALUE"""),0.5)</f>
        <v>0.5</v>
      </c>
      <c r="I1290" s="86">
        <f>IFERROR(__xludf.DUMMYFUNCTION("""COMPUTED_VALUE"""),0.375)</f>
        <v>0.375</v>
      </c>
      <c r="J1290" s="82">
        <f>IFERROR(__xludf.DUMMYFUNCTION("""COMPUTED_VALUE"""),373.0)</f>
        <v>373</v>
      </c>
      <c r="K1290" s="82">
        <f>IFERROR(__xludf.DUMMYFUNCTION("""COMPUTED_VALUE"""),1.0)</f>
        <v>1</v>
      </c>
      <c r="L1290" s="82">
        <f>IFERROR(__xludf.DUMMYFUNCTION("""COMPUTED_VALUE"""),0.3333333333333333)</f>
        <v>0.3333333333</v>
      </c>
      <c r="M1290" s="82">
        <f>IFERROR(__xludf.DUMMYFUNCTION("""COMPUTED_VALUE"""),1.5)</f>
        <v>1.5</v>
      </c>
      <c r="N1290" s="82">
        <f>IFERROR(__xludf.DUMMYFUNCTION("""COMPUTED_VALUE"""),2.6666666666666665)</f>
        <v>2.666666667</v>
      </c>
      <c r="O1290" s="82">
        <f>IFERROR(__xludf.DUMMYFUNCTION("""COMPUTED_VALUE"""),378.5)</f>
        <v>378.5</v>
      </c>
      <c r="P1290" s="82">
        <f>IFERROR(__xludf.DUMMYFUNCTION("""COMPUTED_VALUE"""),0.9444444444444443)</f>
        <v>0.9444444444</v>
      </c>
      <c r="Q1290" s="82">
        <f>IFERROR(__xludf.DUMMYFUNCTION("""COMPUTED_VALUE"""),0.7777777777777777)</f>
        <v>0.7777777778</v>
      </c>
      <c r="R1290" s="82">
        <f>IFERROR(__xludf.DUMMYFUNCTION("""COMPUTED_VALUE"""),1.1666666666666665)</f>
        <v>1.166666667</v>
      </c>
      <c r="S1290" s="82">
        <f>IFERROR(__xludf.DUMMYFUNCTION("""COMPUTED_VALUE"""),2.8888888888888893)</f>
        <v>2.888888889</v>
      </c>
      <c r="T1290" s="82">
        <f>IFERROR(__xludf.DUMMYFUNCTION("""COMPUTED_VALUE"""),356.23604269293924)</f>
        <v>356.2360427</v>
      </c>
      <c r="U1290" s="82">
        <f>IFERROR(__xludf.DUMMYFUNCTION("""COMPUTED_VALUE"""),0.801070364288755)</f>
        <v>0.8010703643</v>
      </c>
      <c r="V1290" s="82">
        <f>IFERROR(__xludf.DUMMYFUNCTION("""COMPUTED_VALUE"""),0.5876892902754971)</f>
        <v>0.5876892903</v>
      </c>
      <c r="W1290" s="82">
        <f>IFERROR(__xludf.DUMMYFUNCTION("""COMPUTED_VALUE"""),1.397220701818403)</f>
        <v>1.397220702</v>
      </c>
      <c r="X1290" s="82">
        <f>IFERROR(__xludf.DUMMYFUNCTION("""COMPUTED_VALUE"""),2.6431536216018974)</f>
        <v>2.643153622</v>
      </c>
      <c r="Y1290" s="82">
        <f>IFERROR(__xludf.DUMMYFUNCTION("""COMPUTED_VALUE"""),364.686092359464)</f>
        <v>364.6860924</v>
      </c>
      <c r="Z1290" s="82">
        <f>IFERROR(__xludf.DUMMYFUNCTION("""COMPUTED_VALUE"""),0.830642218573253)</f>
        <v>0.8306422186</v>
      </c>
      <c r="AA1290" s="82">
        <f>IFERROR(__xludf.DUMMYFUNCTION("""COMPUTED_VALUE"""),0.5935099028968761)</f>
        <v>0.5935099029</v>
      </c>
      <c r="AB1290" s="82">
        <f>IFERROR(__xludf.DUMMYFUNCTION("""COMPUTED_VALUE"""),1.3393642684830425)</f>
        <v>1.339364268</v>
      </c>
      <c r="AC1290" s="82">
        <f>IFERROR(__xludf.DUMMYFUNCTION("""COMPUTED_VALUE"""),2.61498814085021)</f>
        <v>2.614988141</v>
      </c>
      <c r="AD1290" s="82">
        <f>IFERROR(__xludf.DUMMYFUNCTION("""COMPUTED_VALUE"""),1.022797435423836)</f>
        <v>1.022797435</v>
      </c>
      <c r="AE1290" s="82">
        <f>IFERROR(__xludf.DUMMYFUNCTION("""COMPUTED_VALUE"""),1.2038877601449673)</f>
        <v>1.20388776</v>
      </c>
      <c r="AF1290" s="82">
        <f>IFERROR(__xludf.DUMMYFUNCTION("""COMPUTED_VALUE"""),0.5616306176297295)</f>
        <v>0.5616306176</v>
      </c>
      <c r="AG1290" s="82">
        <f>IFERROR(__xludf.DUMMYFUNCTION("""COMPUTED_VALUE"""),1.1199343115961222)</f>
        <v>1.119934312</v>
      </c>
      <c r="AH1290" s="82">
        <f>IFERROR(__xludf.DUMMYFUNCTION("""COMPUTED_VALUE"""),1.0197624321920076)</f>
        <v>1.019762432</v>
      </c>
      <c r="AI1290" s="82">
        <f>IFERROR(__xludf.DUMMYFUNCTION("""COMPUTED_VALUE"""),1.0624977673195504)</f>
        <v>1.062497767</v>
      </c>
      <c r="AJ1290" s="82">
        <f>IFERROR(__xludf.DUMMYFUNCTION("""COMPUTED_VALUE"""),1.1789781354388096)</f>
        <v>1.178978135</v>
      </c>
      <c r="AK1290" s="82">
        <f>IFERROR(__xludf.DUMMYFUNCTION("""COMPUTED_VALUE"""),1.3234506577670844)</f>
        <v>1.323450658</v>
      </c>
      <c r="AL1290" s="82">
        <f>IFERROR(__xludf.DUMMYFUNCTION("""COMPUTED_VALUE"""),0.8349909682474046)</f>
        <v>0.8349909682</v>
      </c>
      <c r="AM1290" s="82">
        <f>IFERROR(__xludf.DUMMYFUNCTION("""COMPUTED_VALUE"""),1.0929704824111066)</f>
        <v>1.092970482</v>
      </c>
      <c r="AN1290" s="82">
        <f>IFERROR(__xludf.DUMMYFUNCTION("""COMPUTED_VALUE"""),1.0802911236263386)</f>
        <v>1.080291124</v>
      </c>
      <c r="AO1290" s="82">
        <f>IFERROR(__xludf.DUMMYFUNCTION("""COMPUTED_VALUE"""),1.3256502556567418)</f>
        <v>1.325650256</v>
      </c>
      <c r="AP1290" s="82">
        <f>IFERROR(__xludf.DUMMYFUNCTION("""COMPUTED_VALUE"""),0.6181704407667327)</f>
        <v>0.6181704408</v>
      </c>
      <c r="AQ1290" s="82">
        <f>IFERROR(__xludf.DUMMYFUNCTION("""COMPUTED_VALUE"""),1.110581645019602)</f>
        <v>1.110581645</v>
      </c>
      <c r="AR1290" s="82">
        <f>IFERROR(__xludf.DUMMYFUNCTION("""COMPUTED_VALUE"""),1.041389347219325)</f>
        <v>1.041389347</v>
      </c>
      <c r="AS1290" s="82">
        <f>IFERROR(__xludf.DUMMYFUNCTION("""COMPUTED_VALUE"""),17.0)</f>
        <v>17</v>
      </c>
      <c r="AT1290" s="82">
        <f>IFERROR(__xludf.DUMMYFUNCTION("""COMPUTED_VALUE"""),0.5)</f>
        <v>0.5</v>
      </c>
      <c r="AU1290" s="82">
        <f>IFERROR(__xludf.DUMMYFUNCTION("""COMPUTED_VALUE"""),2.2841921385663086)</f>
        <v>2.284192139</v>
      </c>
      <c r="AV1290" s="82">
        <f>IFERROR(__xludf.DUMMYFUNCTION("""COMPUTED_VALUE"""),47.34415974769322)</f>
        <v>47.34415975</v>
      </c>
      <c r="AW1290" s="82">
        <f t="shared" si="1"/>
        <v>-2.184844378</v>
      </c>
      <c r="AX1290" s="83">
        <f t="array" ref="AX1290">IFERROR(DGET('SBV Import'!A:G,"SBV",{"RSC ID","Tier";B1290,A1290}))</f>
        <v>41.61323684</v>
      </c>
      <c r="AY1290" s="82">
        <f t="shared" si="2"/>
        <v>-2.712709763</v>
      </c>
      <c r="AZ1290" s="82">
        <v>0.5278653844824022</v>
      </c>
      <c r="BA1290" s="84">
        <v>1200.0</v>
      </c>
      <c r="BB1290" s="84" t="b">
        <f>IFERROR(__xludf.DUMMYFUNCTION("iferror(if(A1290="""",,E1290&gt;=FILTER(Constants!$F$2:$F$10,Constants!$A$2:$A$10=A1290)))"),TRUE)</f>
        <v>1</v>
      </c>
    </row>
    <row r="1291">
      <c r="A1291" s="89" t="str">
        <f>IFERROR(__xludf.DUMMYFUNCTION("""COMPUTED_VALUE"""),"Veteran")</f>
        <v>Veteran</v>
      </c>
      <c r="B1291" s="87" t="str">
        <f>IFERROR(__xludf.DUMMYFUNCTION("""COMPUTED_VALUE"""),"RSC002209")</f>
        <v>RSC002209</v>
      </c>
      <c r="C1291" s="73" t="str">
        <f>IFERROR(__xludf.DUMMYFUNCTION("""COMPUTED_VALUE"""),"Panick")</f>
        <v>Panick</v>
      </c>
      <c r="D1291" s="73" t="str">
        <f>IFERROR(__xludf.DUMMYFUNCTION("""COMPUTED_VALUE"""),"Repossessed")</f>
        <v>Repossessed</v>
      </c>
      <c r="E1291" s="82">
        <f>IFERROR(__xludf.DUMMYFUNCTION("""COMPUTED_VALUE"""),34.0)</f>
        <v>34</v>
      </c>
      <c r="F1291" s="82">
        <f>IFERROR(__xludf.DUMMYFUNCTION("""COMPUTED_VALUE"""),18.0)</f>
        <v>18</v>
      </c>
      <c r="G1291" s="86">
        <f>IFERROR(__xludf.DUMMYFUNCTION("""COMPUTED_VALUE"""),16.0)</f>
        <v>16</v>
      </c>
      <c r="H1291" s="86">
        <f>IFERROR(__xludf.DUMMYFUNCTION("""COMPUTED_VALUE"""),0.5294117647058824)</f>
        <v>0.5294117647</v>
      </c>
      <c r="I1291" s="86">
        <f>IFERROR(__xludf.DUMMYFUNCTION("""COMPUTED_VALUE"""),0.2391304347826087)</f>
        <v>0.2391304348</v>
      </c>
      <c r="J1291" s="82">
        <f>IFERROR(__xludf.DUMMYFUNCTION("""COMPUTED_VALUE"""),296.97058823529414)</f>
        <v>296.9705882</v>
      </c>
      <c r="K1291" s="82">
        <f>IFERROR(__xludf.DUMMYFUNCTION("""COMPUTED_VALUE"""),0.6470588235294118)</f>
        <v>0.6470588235</v>
      </c>
      <c r="L1291" s="82">
        <f>IFERROR(__xludf.DUMMYFUNCTION("""COMPUTED_VALUE"""),0.5294117647058824)</f>
        <v>0.5294117647</v>
      </c>
      <c r="M1291" s="82">
        <f>IFERROR(__xludf.DUMMYFUNCTION("""COMPUTED_VALUE"""),0.7647058823529411)</f>
        <v>0.7647058824</v>
      </c>
      <c r="N1291" s="82">
        <f>IFERROR(__xludf.DUMMYFUNCTION("""COMPUTED_VALUE"""),2.7058823529411766)</f>
        <v>2.705882353</v>
      </c>
      <c r="O1291" s="82">
        <f>IFERROR(__xludf.DUMMYFUNCTION("""COMPUTED_VALUE"""),337.16666666666663)</f>
        <v>337.1666667</v>
      </c>
      <c r="P1291" s="82">
        <f>IFERROR(__xludf.DUMMYFUNCTION("""COMPUTED_VALUE"""),0.6568627450980393)</f>
        <v>0.6568627451</v>
      </c>
      <c r="Q1291" s="82">
        <f>IFERROR(__xludf.DUMMYFUNCTION("""COMPUTED_VALUE"""),0.5)</f>
        <v>0.5</v>
      </c>
      <c r="R1291" s="82">
        <f>IFERROR(__xludf.DUMMYFUNCTION("""COMPUTED_VALUE"""),1.4019607843137256)</f>
        <v>1.401960784</v>
      </c>
      <c r="S1291" s="82">
        <f>IFERROR(__xludf.DUMMYFUNCTION("""COMPUTED_VALUE"""),2.4607843137254903)</f>
        <v>2.460784314</v>
      </c>
      <c r="T1291" s="82">
        <f>IFERROR(__xludf.DUMMYFUNCTION("""COMPUTED_VALUE"""),345.8847776997379)</f>
        <v>345.8847777</v>
      </c>
      <c r="U1291" s="82">
        <f>IFERROR(__xludf.DUMMYFUNCTION("""COMPUTED_VALUE"""),0.7273501054986865)</f>
        <v>0.7273501055</v>
      </c>
      <c r="V1291" s="82">
        <f>IFERROR(__xludf.DUMMYFUNCTION("""COMPUTED_VALUE"""),0.5660961712622389)</f>
        <v>0.5660961713</v>
      </c>
      <c r="W1291" s="82">
        <f>IFERROR(__xludf.DUMMYFUNCTION("""COMPUTED_VALUE"""),1.3516752826237872)</f>
        <v>1.351675283</v>
      </c>
      <c r="X1291" s="82">
        <f>IFERROR(__xludf.DUMMYFUNCTION("""COMPUTED_VALUE"""),2.488863468889857)</f>
        <v>2.488863469</v>
      </c>
      <c r="Y1291" s="82">
        <f>IFERROR(__xludf.DUMMYFUNCTION("""COMPUTED_VALUE"""),344.4025997613184)</f>
        <v>344.4025998</v>
      </c>
      <c r="Z1291" s="82">
        <f>IFERROR(__xludf.DUMMYFUNCTION("""COMPUTED_VALUE"""),0.7395363581886645)</f>
        <v>0.7395363582</v>
      </c>
      <c r="AA1291" s="82">
        <f>IFERROR(__xludf.DUMMYFUNCTION("""COMPUTED_VALUE"""),0.5355129356499807)</f>
        <v>0.5355129356</v>
      </c>
      <c r="AB1291" s="82">
        <f>IFERROR(__xludf.DUMMYFUNCTION("""COMPUTED_VALUE"""),1.332971983789264)</f>
        <v>1.332971984</v>
      </c>
      <c r="AC1291" s="82">
        <f>IFERROR(__xludf.DUMMYFUNCTION("""COMPUTED_VALUE"""),2.5632120425144094)</f>
        <v>2.563212043</v>
      </c>
      <c r="AD1291" s="82">
        <f>IFERROR(__xludf.DUMMYFUNCTION("""COMPUTED_VALUE"""),0.8622774289192471)</f>
        <v>0.8622774289</v>
      </c>
      <c r="AE1291" s="82">
        <f>IFERROR(__xludf.DUMMYFUNCTION("""COMPUTED_VALUE"""),0.8749520106276363)</f>
        <v>0.8749520106</v>
      </c>
      <c r="AF1291" s="82">
        <f>IFERROR(__xludf.DUMMYFUNCTION("""COMPUTED_VALUE"""),0.9886068654220406)</f>
        <v>0.9886068654</v>
      </c>
      <c r="AG1291" s="82">
        <f>IFERROR(__xludf.DUMMYFUNCTION("""COMPUTED_VALUE"""),0.5736848873440668)</f>
        <v>0.5736848873</v>
      </c>
      <c r="AH1291" s="82">
        <f>IFERROR(__xludf.DUMMYFUNCTION("""COMPUTED_VALUE"""),1.0556607522360162)</f>
        <v>1.055660752</v>
      </c>
      <c r="AI1291" s="82">
        <f>IFERROR(__xludf.DUMMYFUNCTION("""COMPUTED_VALUE"""),0.9747947536429618)</f>
        <v>0.9747947536</v>
      </c>
      <c r="AJ1291" s="82">
        <f>IFERROR(__xludf.DUMMYFUNCTION("""COMPUTED_VALUE"""),0.9030901901742083)</f>
        <v>0.9030901902</v>
      </c>
      <c r="AK1291" s="82">
        <f>IFERROR(__xludf.DUMMYFUNCTION("""COMPUTED_VALUE"""),0.8832421510379366)</f>
        <v>0.883242151</v>
      </c>
      <c r="AL1291" s="82">
        <f>IFERROR(__xludf.DUMMYFUNCTION("""COMPUTED_VALUE"""),1.0372023535063297)</f>
        <v>1.037202354</v>
      </c>
      <c r="AM1291" s="82">
        <f>IFERROR(__xludf.DUMMYFUNCTION("""COMPUTED_VALUE"""),0.9887180813590827)</f>
        <v>0.9887180814</v>
      </c>
      <c r="AN1291" s="82">
        <f>IFERROR(__xludf.DUMMYFUNCTION("""COMPUTED_VALUE"""),0.8600930038838623)</f>
        <v>0.8600930039</v>
      </c>
      <c r="AO1291" s="82">
        <f>IFERROR(__xludf.DUMMYFUNCTION("""COMPUTED_VALUE"""),0.8577736948367153)</f>
        <v>0.8577736948</v>
      </c>
      <c r="AP1291" s="82">
        <f>IFERROR(__xludf.DUMMYFUNCTION("""COMPUTED_VALUE"""),0.9818001118059874)</f>
        <v>0.9818001118</v>
      </c>
      <c r="AQ1291" s="82">
        <f>IFERROR(__xludf.DUMMYFUNCTION("""COMPUTED_VALUE"""),0.5661788778531304)</f>
        <v>0.5661788779</v>
      </c>
      <c r="AR1291" s="82">
        <f>IFERROR(__xludf.DUMMYFUNCTION("""COMPUTED_VALUE"""),1.0567038964431388)</f>
        <v>1.056703896</v>
      </c>
      <c r="AS1291" s="82">
        <f>IFERROR(__xludf.DUMMYFUNCTION("""COMPUTED_VALUE"""),75.0)</f>
        <v>75</v>
      </c>
      <c r="AT1291" s="82">
        <f>IFERROR(__xludf.DUMMYFUNCTION("""COMPUTED_VALUE"""),0.5423994113027684)</f>
        <v>0.5423994113</v>
      </c>
      <c r="AU1291" s="82">
        <f>IFERROR(__xludf.DUMMYFUNCTION("""COMPUTED_VALUE"""),2.27725064966177)</f>
        <v>2.27725065</v>
      </c>
      <c r="AV1291" s="82">
        <f>IFERROR(__xludf.DUMMYFUNCTION("""COMPUTED_VALUE"""),47.12913954791818)</f>
        <v>47.12913955</v>
      </c>
      <c r="AW1291" s="82">
        <f t="shared" si="1"/>
        <v>-2.201245895</v>
      </c>
      <c r="AX1291" s="83">
        <f t="array" ref="AX1291">IFERROR(DGET('SBV Import'!A:G,"SBV",{"RSC ID","Tier";B1291,A1291}))</f>
        <v>40.92266728</v>
      </c>
      <c r="AY1291" s="82">
        <f t="shared" si="2"/>
        <v>-2.791209766</v>
      </c>
      <c r="AZ1291" s="82">
        <v>0.5899638705097452</v>
      </c>
      <c r="BA1291" s="84">
        <v>1200.0</v>
      </c>
      <c r="BB1291" s="84" t="b">
        <f>IFERROR(__xludf.DUMMYFUNCTION("iferror(if(A1291="""",,E1291&gt;=FILTER(Constants!$F$2:$F$10,Constants!$A$2:$A$10=A1291)))"),TRUE)</f>
        <v>1</v>
      </c>
    </row>
    <row r="1292">
      <c r="A1292" s="89" t="str">
        <f>IFERROR(__xludf.DUMMYFUNCTION("""COMPUTED_VALUE"""),"Veteran")</f>
        <v>Veteran</v>
      </c>
      <c r="B1292" s="87" t="str">
        <f>IFERROR(__xludf.DUMMYFUNCTION("""COMPUTED_VALUE"""),"RSC004332")</f>
        <v>RSC004332</v>
      </c>
      <c r="C1292" s="73" t="str">
        <f>IFERROR(__xludf.DUMMYFUNCTION("""COMPUTED_VALUE"""),"FriendBrady")</f>
        <v>FriendBrady</v>
      </c>
      <c r="D1292" s="73" t="str">
        <f>IFERROR(__xludf.DUMMYFUNCTION("""COMPUTED_VALUE"""),"Makos")</f>
        <v>Makos</v>
      </c>
      <c r="E1292" s="82">
        <f>IFERROR(__xludf.DUMMYFUNCTION("""COMPUTED_VALUE"""),5.0)</f>
        <v>5</v>
      </c>
      <c r="F1292" s="82">
        <f>IFERROR(__xludf.DUMMYFUNCTION("""COMPUTED_VALUE"""),3.0)</f>
        <v>3</v>
      </c>
      <c r="G1292" s="86">
        <f>IFERROR(__xludf.DUMMYFUNCTION("""COMPUTED_VALUE"""),2.0)</f>
        <v>2</v>
      </c>
      <c r="H1292" s="86">
        <f>IFERROR(__xludf.DUMMYFUNCTION("""COMPUTED_VALUE"""),0.6)</f>
        <v>0.6</v>
      </c>
      <c r="I1292" s="86">
        <f>IFERROR(__xludf.DUMMYFUNCTION("""COMPUTED_VALUE"""),0.23076923076923075)</f>
        <v>0.2307692308</v>
      </c>
      <c r="J1292" s="82">
        <f>IFERROR(__xludf.DUMMYFUNCTION("""COMPUTED_VALUE"""),268.6)</f>
        <v>268.6</v>
      </c>
      <c r="K1292" s="82">
        <f>IFERROR(__xludf.DUMMYFUNCTION("""COMPUTED_VALUE"""),0.6)</f>
        <v>0.6</v>
      </c>
      <c r="L1292" s="82">
        <f>IFERROR(__xludf.DUMMYFUNCTION("""COMPUTED_VALUE"""),0.8)</f>
        <v>0.8</v>
      </c>
      <c r="M1292" s="82">
        <f>IFERROR(__xludf.DUMMYFUNCTION("""COMPUTED_VALUE"""),0.8)</f>
        <v>0.8</v>
      </c>
      <c r="N1292" s="82">
        <f>IFERROR(__xludf.DUMMYFUNCTION("""COMPUTED_VALUE"""),2.6)</f>
        <v>2.6</v>
      </c>
      <c r="O1292" s="82">
        <f>IFERROR(__xludf.DUMMYFUNCTION("""COMPUTED_VALUE"""),389.7333333333333)</f>
        <v>389.7333333</v>
      </c>
      <c r="P1292" s="82">
        <f>IFERROR(__xludf.DUMMYFUNCTION("""COMPUTED_VALUE"""),0.8666666666666666)</f>
        <v>0.8666666667</v>
      </c>
      <c r="Q1292" s="82">
        <f>IFERROR(__xludf.DUMMYFUNCTION("""COMPUTED_VALUE"""),0.6000000000000001)</f>
        <v>0.6</v>
      </c>
      <c r="R1292" s="82">
        <f>IFERROR(__xludf.DUMMYFUNCTION("""COMPUTED_VALUE"""),1.7333333333333336)</f>
        <v>1.733333333</v>
      </c>
      <c r="S1292" s="82">
        <f>IFERROR(__xludf.DUMMYFUNCTION("""COMPUTED_VALUE"""),3.0666666666666664)</f>
        <v>3.066666667</v>
      </c>
      <c r="T1292" s="82">
        <f>IFERROR(__xludf.DUMMYFUNCTION("""COMPUTED_VALUE"""),363.1684201680672)</f>
        <v>363.1684202</v>
      </c>
      <c r="U1292" s="82">
        <f>IFERROR(__xludf.DUMMYFUNCTION("""COMPUTED_VALUE"""),0.6750034235916589)</f>
        <v>0.6750034236</v>
      </c>
      <c r="V1292" s="82">
        <f>IFERROR(__xludf.DUMMYFUNCTION("""COMPUTED_VALUE"""),0.8075362589480237)</f>
        <v>0.8075362589</v>
      </c>
      <c r="W1292" s="82">
        <f>IFERROR(__xludf.DUMMYFUNCTION("""COMPUTED_VALUE"""),1.4624774354186119)</f>
        <v>1.462477435</v>
      </c>
      <c r="X1292" s="82">
        <f>IFERROR(__xludf.DUMMYFUNCTION("""COMPUTED_VALUE"""),2.932413320883909)</f>
        <v>2.932413321</v>
      </c>
      <c r="Y1292" s="82">
        <f>IFERROR(__xludf.DUMMYFUNCTION("""COMPUTED_VALUE"""),350.47526444651936)</f>
        <v>350.4752644</v>
      </c>
      <c r="Z1292" s="82">
        <f>IFERROR(__xludf.DUMMYFUNCTION("""COMPUTED_VALUE"""),0.8376495487083723)</f>
        <v>0.8376495487</v>
      </c>
      <c r="AA1292" s="82">
        <f>IFERROR(__xludf.DUMMYFUNCTION("""COMPUTED_VALUE"""),0.5974731818653388)</f>
        <v>0.5974731819</v>
      </c>
      <c r="AB1292" s="82">
        <f>IFERROR(__xludf.DUMMYFUNCTION("""COMPUTED_VALUE"""),1.301733789812221)</f>
        <v>1.30173379</v>
      </c>
      <c r="AC1292" s="82">
        <f>IFERROR(__xludf.DUMMYFUNCTION("""COMPUTED_VALUE"""),2.7048307915758896)</f>
        <v>2.704830792</v>
      </c>
      <c r="AD1292" s="82">
        <f>IFERROR(__xludf.DUMMYFUNCTION("""COMPUTED_VALUE"""),0.76638789451855)</f>
        <v>0.7663878945</v>
      </c>
      <c r="AE1292" s="82">
        <f>IFERROR(__xludf.DUMMYFUNCTION("""COMPUTED_VALUE"""),0.7162900056774101)</f>
        <v>0.7162900057</v>
      </c>
      <c r="AF1292" s="82">
        <f>IFERROR(__xludf.DUMMYFUNCTION("""COMPUTED_VALUE"""),1.3389722321968713)</f>
        <v>1.338972232</v>
      </c>
      <c r="AG1292" s="82">
        <f>IFERROR(__xludf.DUMMYFUNCTION("""COMPUTED_VALUE"""),0.61456497961492)</f>
        <v>0.6145649796</v>
      </c>
      <c r="AH1292" s="82">
        <f>IFERROR(__xludf.DUMMYFUNCTION("""COMPUTED_VALUE"""),0.9612431240052496)</f>
        <v>0.961243124</v>
      </c>
      <c r="AI1292" s="82">
        <f>IFERROR(__xludf.DUMMYFUNCTION("""COMPUTED_VALUE"""),1.0731476408465592)</f>
        <v>1.073147641</v>
      </c>
      <c r="AJ1292" s="82">
        <f>IFERROR(__xludf.DUMMYFUNCTION("""COMPUTED_VALUE"""),1.2839441051353153)</f>
        <v>1.283944105</v>
      </c>
      <c r="AK1292" s="82">
        <f>IFERROR(__xludf.DUMMYFUNCTION("""COMPUTED_VALUE"""),0.7430006929739839)</f>
        <v>0.743000693</v>
      </c>
      <c r="AL1292" s="82">
        <f>IFERROR(__xludf.DUMMYFUNCTION("""COMPUTED_VALUE"""),1.1852034714212143)</f>
        <v>1.185203471</v>
      </c>
      <c r="AM1292" s="82">
        <f>IFERROR(__xludf.DUMMYFUNCTION("""COMPUTED_VALUE"""),1.0457825453276448)</f>
        <v>1.045782545</v>
      </c>
      <c r="AN1292" s="82">
        <f>IFERROR(__xludf.DUMMYFUNCTION("""COMPUTED_VALUE"""),0.7779254579250258)</f>
        <v>0.7779254579</v>
      </c>
      <c r="AO1292" s="82">
        <f>IFERROR(__xludf.DUMMYFUNCTION("""COMPUTED_VALUE"""),0.7953901533940451)</f>
        <v>0.7953901534</v>
      </c>
      <c r="AP1292" s="82">
        <f>IFERROR(__xludf.DUMMYFUNCTION("""COMPUTED_VALUE"""),1.4836090578401586)</f>
        <v>1.483609058</v>
      </c>
      <c r="AQ1292" s="82">
        <f>IFERROR(__xludf.DUMMYFUNCTION("""COMPUTED_VALUE"""),0.5923102106771211)</f>
        <v>0.5923102107</v>
      </c>
      <c r="AR1292" s="82">
        <f>IFERROR(__xludf.DUMMYFUNCTION("""COMPUTED_VALUE"""),1.015354613538842)</f>
        <v>1.015354614</v>
      </c>
      <c r="AS1292" s="82">
        <f>IFERROR(__xludf.DUMMYFUNCTION("""COMPUTED_VALUE"""),14.0)</f>
        <v>14</v>
      </c>
      <c r="AT1292" s="82">
        <f>IFERROR(__xludf.DUMMYFUNCTION("""COMPUTED_VALUE"""),0.5300247304346983)</f>
        <v>0.5300247304</v>
      </c>
      <c r="AU1292" s="82">
        <f>IFERROR(__xludf.DUMMYFUNCTION("""COMPUTED_VALUE"""),2.2749990003821305)</f>
        <v>2.274999</v>
      </c>
      <c r="AV1292" s="82">
        <f>IFERROR(__xludf.DUMMYFUNCTION("""COMPUTED_VALUE"""),47.05939225240426)</f>
        <v>47.05939225</v>
      </c>
      <c r="AW1292" s="82">
        <f t="shared" si="1"/>
        <v>-2.206615707</v>
      </c>
      <c r="AX1292" s="83">
        <f t="array" ref="AX1292">IFERROR(DGET('SBV Import'!A:G,"SBV",{"RSC ID","Tier";B1292,A1292}))</f>
        <v>16.78831428</v>
      </c>
      <c r="AY1292" s="82">
        <f t="shared" si="2"/>
        <v>-10.86816318</v>
      </c>
      <c r="AZ1292" s="82">
        <v>8.661547472735567</v>
      </c>
      <c r="BA1292" s="84">
        <v>1200.0</v>
      </c>
      <c r="BB1292" s="84" t="b">
        <f>IFERROR(__xludf.DUMMYFUNCTION("iferror(if(A1292="""",,E1292&gt;=FILTER(Constants!$F$2:$F$10,Constants!$A$2:$A$10=A1292)))"),TRUE)</f>
        <v>1</v>
      </c>
    </row>
    <row r="1293">
      <c r="A1293" s="89" t="str">
        <f>IFERROR(__xludf.DUMMYFUNCTION("""COMPUTED_VALUE"""),"Veteran")</f>
        <v>Veteran</v>
      </c>
      <c r="B1293" s="87" t="str">
        <f>IFERROR(__xludf.DUMMYFUNCTION("""COMPUTED_VALUE"""),"RSC002747")</f>
        <v>RSC002747</v>
      </c>
      <c r="C1293" s="73" t="str">
        <f>IFERROR(__xludf.DUMMYFUNCTION("""COMPUTED_VALUE"""),"derrrrrrrrp")</f>
        <v>derrrrrrrrp</v>
      </c>
      <c r="D1293" s="73" t="str">
        <f>IFERROR(__xludf.DUMMYFUNCTION("""COMPUTED_VALUE"""),"Folks")</f>
        <v>Folks</v>
      </c>
      <c r="E1293" s="82">
        <f>IFERROR(__xludf.DUMMYFUNCTION("""COMPUTED_VALUE"""),15.0)</f>
        <v>15</v>
      </c>
      <c r="F1293" s="82">
        <f>IFERROR(__xludf.DUMMYFUNCTION("""COMPUTED_VALUE"""),9.0)</f>
        <v>9</v>
      </c>
      <c r="G1293" s="86">
        <f>IFERROR(__xludf.DUMMYFUNCTION("""COMPUTED_VALUE"""),6.0)</f>
        <v>6</v>
      </c>
      <c r="H1293" s="86">
        <f>IFERROR(__xludf.DUMMYFUNCTION("""COMPUTED_VALUE"""),0.6)</f>
        <v>0.6</v>
      </c>
      <c r="I1293" s="86">
        <f>IFERROR(__xludf.DUMMYFUNCTION("""COMPUTED_VALUE"""),0.34210526315789475)</f>
        <v>0.3421052632</v>
      </c>
      <c r="J1293" s="82">
        <f>IFERROR(__xludf.DUMMYFUNCTION("""COMPUTED_VALUE"""),314.8)</f>
        <v>314.8</v>
      </c>
      <c r="K1293" s="82">
        <f>IFERROR(__xludf.DUMMYFUNCTION("""COMPUTED_VALUE"""),0.8666666666666667)</f>
        <v>0.8666666667</v>
      </c>
      <c r="L1293" s="82">
        <f>IFERROR(__xludf.DUMMYFUNCTION("""COMPUTED_VALUE"""),0.3333333333333333)</f>
        <v>0.3333333333</v>
      </c>
      <c r="M1293" s="82">
        <f>IFERROR(__xludf.DUMMYFUNCTION("""COMPUTED_VALUE"""),1.3333333333333333)</f>
        <v>1.333333333</v>
      </c>
      <c r="N1293" s="82">
        <f>IFERROR(__xludf.DUMMYFUNCTION("""COMPUTED_VALUE"""),2.533333333333333)</f>
        <v>2.533333333</v>
      </c>
      <c r="O1293" s="82">
        <f>IFERROR(__xludf.DUMMYFUNCTION("""COMPUTED_VALUE"""),332.4888888888889)</f>
        <v>332.4888889</v>
      </c>
      <c r="P1293" s="82">
        <f>IFERROR(__xludf.DUMMYFUNCTION("""COMPUTED_VALUE"""),0.6222222222222221)</f>
        <v>0.6222222222</v>
      </c>
      <c r="Q1293" s="82">
        <f>IFERROR(__xludf.DUMMYFUNCTION("""COMPUTED_VALUE"""),0.5555555555555555)</f>
        <v>0.5555555556</v>
      </c>
      <c r="R1293" s="82">
        <f>IFERROR(__xludf.DUMMYFUNCTION("""COMPUTED_VALUE"""),1.288888888888889)</f>
        <v>1.288888889</v>
      </c>
      <c r="S1293" s="82">
        <f>IFERROR(__xludf.DUMMYFUNCTION("""COMPUTED_VALUE"""),2.7777777777777777)</f>
        <v>2.777777778</v>
      </c>
      <c r="T1293" s="82">
        <f>IFERROR(__xludf.DUMMYFUNCTION("""COMPUTED_VALUE"""),370.3202156924529)</f>
        <v>370.3202157</v>
      </c>
      <c r="U1293" s="82">
        <f>IFERROR(__xludf.DUMMYFUNCTION("""COMPUTED_VALUE"""),0.8820358585121393)</f>
        <v>0.8820358585</v>
      </c>
      <c r="V1293" s="82">
        <f>IFERROR(__xludf.DUMMYFUNCTION("""COMPUTED_VALUE"""),0.6226375714149275)</f>
        <v>0.6226375714</v>
      </c>
      <c r="W1293" s="82">
        <f>IFERROR(__xludf.DUMMYFUNCTION("""COMPUTED_VALUE"""),1.3786360315838497)</f>
        <v>1.378636032</v>
      </c>
      <c r="X1293" s="82">
        <f>IFERROR(__xludf.DUMMYFUNCTION("""COMPUTED_VALUE"""),2.819243938499947)</f>
        <v>2.819243938</v>
      </c>
      <c r="Y1293" s="82">
        <f>IFERROR(__xludf.DUMMYFUNCTION("""COMPUTED_VALUE"""),360.2946098174281)</f>
        <v>360.2946098</v>
      </c>
      <c r="Z1293" s="82">
        <f>IFERROR(__xludf.DUMMYFUNCTION("""COMPUTED_VALUE"""),0.8127038307465252)</f>
        <v>0.8127038307</v>
      </c>
      <c r="AA1293" s="82">
        <f>IFERROR(__xludf.DUMMYFUNCTION("""COMPUTED_VALUE"""),0.5649404240389904)</f>
        <v>0.564940424</v>
      </c>
      <c r="AB1293" s="82">
        <f>IFERROR(__xludf.DUMMYFUNCTION("""COMPUTED_VALUE"""),1.419155412243015)</f>
        <v>1.419155412</v>
      </c>
      <c r="AC1293" s="82">
        <f>IFERROR(__xludf.DUMMYFUNCTION("""COMPUTED_VALUE"""),2.6791836139473717)</f>
        <v>2.679183614</v>
      </c>
      <c r="AD1293" s="82">
        <f>IFERROR(__xludf.DUMMYFUNCTION("""COMPUTED_VALUE"""),0.8737294187096455)</f>
        <v>0.8737294187</v>
      </c>
      <c r="AE1293" s="82">
        <f>IFERROR(__xludf.DUMMYFUNCTION("""COMPUTED_VALUE"""),1.0663991405953788)</f>
        <v>1.066399141</v>
      </c>
      <c r="AF1293" s="82">
        <f>IFERROR(__xludf.DUMMYFUNCTION("""COMPUTED_VALUE"""),0.5900327169902215)</f>
        <v>0.590032717</v>
      </c>
      <c r="AG1293" s="82">
        <f>IFERROR(__xludf.DUMMYFUNCTION("""COMPUTED_VALUE"""),0.9395259474971542)</f>
        <v>0.9395259475</v>
      </c>
      <c r="AH1293" s="82">
        <f>IFERROR(__xludf.DUMMYFUNCTION("""COMPUTED_VALUE"""),0.9455616704078187)</f>
        <v>0.9455616704</v>
      </c>
      <c r="AI1293" s="82">
        <f>IFERROR(__xludf.DUMMYFUNCTION("""COMPUTED_VALUE"""),0.8978415835797025)</f>
        <v>0.8978415836</v>
      </c>
      <c r="AJ1293" s="82">
        <f>IFERROR(__xludf.DUMMYFUNCTION("""COMPUTED_VALUE"""),0.7054386918824554)</f>
        <v>0.7054386919</v>
      </c>
      <c r="AK1293" s="82">
        <f>IFERROR(__xludf.DUMMYFUNCTION("""COMPUTED_VALUE"""),0.8922615355399612)</f>
        <v>0.8922615355</v>
      </c>
      <c r="AL1293" s="82">
        <f>IFERROR(__xludf.DUMMYFUNCTION("""COMPUTED_VALUE"""),0.9349014963783773)</f>
        <v>0.9349014964</v>
      </c>
      <c r="AM1293" s="82">
        <f>IFERROR(__xludf.DUMMYFUNCTION("""COMPUTED_VALUE"""),0.9852917443021152)</f>
        <v>0.9852917443</v>
      </c>
      <c r="AN1293" s="82">
        <f>IFERROR(__xludf.DUMMYFUNCTION("""COMPUTED_VALUE"""),0.9117309536664113)</f>
        <v>0.9117309537</v>
      </c>
      <c r="AO1293" s="82">
        <f>IFERROR(__xludf.DUMMYFUNCTION("""COMPUTED_VALUE"""),1.1488968882358428)</f>
        <v>1.148896888</v>
      </c>
      <c r="AP1293" s="82">
        <f>IFERROR(__xludf.DUMMYFUNCTION("""COMPUTED_VALUE"""),0.6181704407667327)</f>
        <v>0.6181704408</v>
      </c>
      <c r="AQ1293" s="82">
        <f>IFERROR(__xludf.DUMMYFUNCTION("""COMPUTED_VALUE"""),0.9871836844618684)</f>
        <v>0.9871836845</v>
      </c>
      <c r="AR1293" s="82">
        <f>IFERROR(__xludf.DUMMYFUNCTION("""COMPUTED_VALUE"""),0.9893198798583588)</f>
        <v>0.9893198799</v>
      </c>
      <c r="AS1293" s="82">
        <f>IFERROR(__xludf.DUMMYFUNCTION("""COMPUTED_VALUE"""),35.0)</f>
        <v>35</v>
      </c>
      <c r="AT1293" s="82">
        <f>IFERROR(__xludf.DUMMYFUNCTION("""COMPUTED_VALUE"""),0.5834289813718331)</f>
        <v>0.5834289814</v>
      </c>
      <c r="AU1293" s="82">
        <f>IFERROR(__xludf.DUMMYFUNCTION("""COMPUTED_VALUE"""),2.273238170338363)</f>
        <v>2.27323817</v>
      </c>
      <c r="AV1293" s="82">
        <f>IFERROR(__xludf.DUMMYFUNCTION("""COMPUTED_VALUE"""),47.00484861875626)</f>
        <v>47.00484862</v>
      </c>
      <c r="AW1293" s="82">
        <f t="shared" si="1"/>
        <v>-2.210832052</v>
      </c>
      <c r="AX1293" s="83">
        <f t="array" ref="AX1293">IFERROR(DGET('SBV Import'!A:G,"SBV",{"RSC ID","Tier";B1293,A1293}))</f>
        <v>30.3929147</v>
      </c>
      <c r="AY1293" s="82">
        <f t="shared" si="2"/>
        <v>-4.620283923</v>
      </c>
      <c r="AZ1293" s="82">
        <v>2.4094518712259676</v>
      </c>
      <c r="BA1293" s="84">
        <v>1200.0</v>
      </c>
      <c r="BB1293" s="84" t="b">
        <f>IFERROR(__xludf.DUMMYFUNCTION("iferror(if(A1293="""",,E1293&gt;=FILTER(Constants!$F$2:$F$10,Constants!$A$2:$A$10=A1293)))"),TRUE)</f>
        <v>1</v>
      </c>
    </row>
    <row r="1294">
      <c r="A1294" s="89" t="str">
        <f>IFERROR(__xludf.DUMMYFUNCTION("""COMPUTED_VALUE"""),"Veteran")</f>
        <v>Veteran</v>
      </c>
      <c r="B1294" s="87" t="str">
        <f>IFERROR(__xludf.DUMMYFUNCTION("""COMPUTED_VALUE"""),"RSC005505")</f>
        <v>RSC005505</v>
      </c>
      <c r="C1294" s="73" t="str">
        <f>IFERROR(__xludf.DUMMYFUNCTION("""COMPUTED_VALUE"""),"The_Wheelman_95")</f>
        <v>The_Wheelman_95</v>
      </c>
      <c r="D1294" s="73" t="str">
        <f>IFERROR(__xludf.DUMMYFUNCTION("""COMPUTED_VALUE"""),"Penguins")</f>
        <v>Penguins</v>
      </c>
      <c r="E1294" s="82">
        <f>IFERROR(__xludf.DUMMYFUNCTION("""COMPUTED_VALUE"""),17.0)</f>
        <v>17</v>
      </c>
      <c r="F1294" s="82">
        <f>IFERROR(__xludf.DUMMYFUNCTION("""COMPUTED_VALUE"""),10.0)</f>
        <v>10</v>
      </c>
      <c r="G1294" s="86">
        <f>IFERROR(__xludf.DUMMYFUNCTION("""COMPUTED_VALUE"""),7.0)</f>
        <v>7</v>
      </c>
      <c r="H1294" s="86">
        <f>IFERROR(__xludf.DUMMYFUNCTION("""COMPUTED_VALUE"""),0.5882352941176471)</f>
        <v>0.5882352941</v>
      </c>
      <c r="I1294" s="86">
        <f>IFERROR(__xludf.DUMMYFUNCTION("""COMPUTED_VALUE"""),0.31428571428571433)</f>
        <v>0.3142857143</v>
      </c>
      <c r="J1294" s="82">
        <f>IFERROR(__xludf.DUMMYFUNCTION("""COMPUTED_VALUE"""),329.6470588235294)</f>
        <v>329.6470588</v>
      </c>
      <c r="K1294" s="82">
        <f>IFERROR(__xludf.DUMMYFUNCTION("""COMPUTED_VALUE"""),0.6470588235294118)</f>
        <v>0.6470588235</v>
      </c>
      <c r="L1294" s="82">
        <f>IFERROR(__xludf.DUMMYFUNCTION("""COMPUTED_VALUE"""),0.5294117647058824)</f>
        <v>0.5294117647</v>
      </c>
      <c r="M1294" s="82">
        <f>IFERROR(__xludf.DUMMYFUNCTION("""COMPUTED_VALUE"""),1.4705882352941178)</f>
        <v>1.470588235</v>
      </c>
      <c r="N1294" s="82">
        <f>IFERROR(__xludf.DUMMYFUNCTION("""COMPUTED_VALUE"""),2.0588235294117645)</f>
        <v>2.058823529</v>
      </c>
      <c r="O1294" s="82">
        <f>IFERROR(__xludf.DUMMYFUNCTION("""COMPUTED_VALUE"""),344.9019607843137)</f>
        <v>344.9019608</v>
      </c>
      <c r="P1294" s="82">
        <f>IFERROR(__xludf.DUMMYFUNCTION("""COMPUTED_VALUE"""),0.6470588235294119)</f>
        <v>0.6470588235</v>
      </c>
      <c r="Q1294" s="82">
        <f>IFERROR(__xludf.DUMMYFUNCTION("""COMPUTED_VALUE"""),0.4705882352941176)</f>
        <v>0.4705882353</v>
      </c>
      <c r="R1294" s="82">
        <f>IFERROR(__xludf.DUMMYFUNCTION("""COMPUTED_VALUE"""),1.5490196078431373)</f>
        <v>1.549019608</v>
      </c>
      <c r="S1294" s="82">
        <f>IFERROR(__xludf.DUMMYFUNCTION("""COMPUTED_VALUE"""),2.3529411764705883)</f>
        <v>2.352941176</v>
      </c>
      <c r="T1294" s="82">
        <f>IFERROR(__xludf.DUMMYFUNCTION("""COMPUTED_VALUE"""),349.58783914875096)</f>
        <v>349.5878391</v>
      </c>
      <c r="U1294" s="82">
        <f>IFERROR(__xludf.DUMMYFUNCTION("""COMPUTED_VALUE"""),0.7948603486561583)</f>
        <v>0.7948603487</v>
      </c>
      <c r="V1294" s="82">
        <f>IFERROR(__xludf.DUMMYFUNCTION("""COMPUTED_VALUE"""),0.5687404054673383)</f>
        <v>0.5687404055</v>
      </c>
      <c r="W1294" s="82">
        <f>IFERROR(__xludf.DUMMYFUNCTION("""COMPUTED_VALUE"""),1.3303838675511293)</f>
        <v>1.330383868</v>
      </c>
      <c r="X1294" s="82">
        <f>IFERROR(__xludf.DUMMYFUNCTION("""COMPUTED_VALUE"""),2.6183055774661135)</f>
        <v>2.618305577</v>
      </c>
      <c r="Y1294" s="82">
        <f>IFERROR(__xludf.DUMMYFUNCTION("""COMPUTED_VALUE"""),347.6047989453246)</f>
        <v>347.6047989</v>
      </c>
      <c r="Z1294" s="82">
        <f>IFERROR(__xludf.DUMMYFUNCTION("""COMPUTED_VALUE"""),0.7625575903554238)</f>
        <v>0.7625575904</v>
      </c>
      <c r="AA1294" s="82">
        <f>IFERROR(__xludf.DUMMYFUNCTION("""COMPUTED_VALUE"""),0.5315120126556031)</f>
        <v>0.5315120127</v>
      </c>
      <c r="AB1294" s="82">
        <f>IFERROR(__xludf.DUMMYFUNCTION("""COMPUTED_VALUE"""),1.3663864566849997)</f>
        <v>1.366386457</v>
      </c>
      <c r="AC1294" s="82">
        <f>IFERROR(__xludf.DUMMYFUNCTION("""COMPUTED_VALUE"""),2.5259397068871876)</f>
        <v>2.525939707</v>
      </c>
      <c r="AD1294" s="82">
        <f>IFERROR(__xludf.DUMMYFUNCTION("""COMPUTED_VALUE"""),0.9483386300296164)</f>
        <v>0.94833863</v>
      </c>
      <c r="AE1294" s="82">
        <f>IFERROR(__xludf.DUMMYFUNCTION("""COMPUTED_VALUE"""),0.8485376471406196)</f>
        <v>0.8485376471</v>
      </c>
      <c r="AF1294" s="82">
        <f>IFERROR(__xludf.DUMMYFUNCTION("""COMPUTED_VALUE"""),0.9960485409554015)</f>
        <v>0.996048541</v>
      </c>
      <c r="AG1294" s="82">
        <f>IFERROR(__xludf.DUMMYFUNCTION("""COMPUTED_VALUE"""),1.0762608397494826)</f>
        <v>1.07626084</v>
      </c>
      <c r="AH1294" s="82">
        <f>IFERROR(__xludf.DUMMYFUNCTION("""COMPUTED_VALUE"""),0.8150723169671107)</f>
        <v>0.815072317</v>
      </c>
      <c r="AI1294" s="82">
        <f>IFERROR(__xludf.DUMMYFUNCTION("""COMPUTED_VALUE"""),0.986595991508608)</f>
        <v>0.9865959915</v>
      </c>
      <c r="AJ1294" s="82">
        <f>IFERROR(__xludf.DUMMYFUNCTION("""COMPUTED_VALUE"""),0.8140534681637736)</f>
        <v>0.8140534682</v>
      </c>
      <c r="AK1294" s="82">
        <f>IFERROR(__xludf.DUMMYFUNCTION("""COMPUTED_VALUE"""),0.8274218444308202)</f>
        <v>0.8274218444</v>
      </c>
      <c r="AL1294" s="82">
        <f>IFERROR(__xludf.DUMMYFUNCTION("""COMPUTED_VALUE"""),1.1643403423813732)</f>
        <v>1.164340342</v>
      </c>
      <c r="AM1294" s="82">
        <f>IFERROR(__xludf.DUMMYFUNCTION("""COMPUTED_VALUE"""),0.8986503320012275)</f>
        <v>0.898650332</v>
      </c>
      <c r="AN1294" s="82">
        <f>IFERROR(__xludf.DUMMYFUNCTION("""COMPUTED_VALUE"""),0.9547313447093521)</f>
        <v>0.9547313447</v>
      </c>
      <c r="AO1294" s="82">
        <f>IFERROR(__xludf.DUMMYFUNCTION("""COMPUTED_VALUE"""),0.8577736948367153)</f>
        <v>0.8577736948</v>
      </c>
      <c r="AP1294" s="82">
        <f>IFERROR(__xludf.DUMMYFUNCTION("""COMPUTED_VALUE"""),0.9818001118059874)</f>
        <v>0.9818001118</v>
      </c>
      <c r="AQ1294" s="82">
        <f>IFERROR(__xludf.DUMMYFUNCTION("""COMPUTED_VALUE"""),1.0888055343329432)</f>
        <v>1.088805534</v>
      </c>
      <c r="AR1294" s="82">
        <f>IFERROR(__xludf.DUMMYFUNCTION("""COMPUTED_VALUE"""),0.8040138342502141)</f>
        <v>0.8040138343</v>
      </c>
      <c r="AS1294" s="82">
        <f>IFERROR(__xludf.DUMMYFUNCTION("""COMPUTED_VALUE"""),43.0)</f>
        <v>43</v>
      </c>
      <c r="AT1294" s="82">
        <f>IFERROR(__xludf.DUMMYFUNCTION("""COMPUTED_VALUE"""),0.600323801629303)</f>
        <v>0.6003238016</v>
      </c>
      <c r="AU1294" s="82">
        <f>IFERROR(__xludf.DUMMYFUNCTION("""COMPUTED_VALUE"""),2.265028695885627)</f>
        <v>2.265028696</v>
      </c>
      <c r="AV1294" s="82">
        <f>IFERROR(__xludf.DUMMYFUNCTION("""COMPUTED_VALUE"""),46.75055118183011)</f>
        <v>46.75055118</v>
      </c>
      <c r="AW1294" s="82">
        <f t="shared" si="1"/>
        <v>-2.23068925</v>
      </c>
      <c r="AX1294" s="83">
        <f t="array" ref="AX1294">IFERROR(DGET('SBV Import'!A:G,"SBV",{"RSC ID","Tier";B1294,A1294}))</f>
        <v>35.30621804</v>
      </c>
      <c r="AY1294" s="82">
        <f t="shared" si="2"/>
        <v>-3.592604078</v>
      </c>
      <c r="AZ1294" s="82">
        <v>1.3619148286498008</v>
      </c>
      <c r="BA1294" s="84">
        <v>1200.0</v>
      </c>
      <c r="BB1294" s="84" t="b">
        <f>IFERROR(__xludf.DUMMYFUNCTION("iferror(if(A1294="""",,E1294&gt;=FILTER(Constants!$F$2:$F$10,Constants!$A$2:$A$10=A1294)))"),TRUE)</f>
        <v>1</v>
      </c>
    </row>
    <row r="1295">
      <c r="A1295" s="89" t="str">
        <f>IFERROR(__xludf.DUMMYFUNCTION("""COMPUTED_VALUE"""),"Veteran")</f>
        <v>Veteran</v>
      </c>
      <c r="B1295" s="87" t="str">
        <f>IFERROR(__xludf.DUMMYFUNCTION("""COMPUTED_VALUE"""),"RSC003904")</f>
        <v>RSC003904</v>
      </c>
      <c r="C1295" s="73" t="str">
        <f>IFERROR(__xludf.DUMMYFUNCTION("""COMPUTED_VALUE"""),"Tyyphoon454")</f>
        <v>Tyyphoon454</v>
      </c>
      <c r="D1295" s="73" t="str">
        <f>IFERROR(__xludf.DUMMYFUNCTION("""COMPUTED_VALUE"""),"Giraffes")</f>
        <v>Giraffes</v>
      </c>
      <c r="E1295" s="82">
        <f>IFERROR(__xludf.DUMMYFUNCTION("""COMPUTED_VALUE"""),26.0)</f>
        <v>26</v>
      </c>
      <c r="F1295" s="82">
        <f>IFERROR(__xludf.DUMMYFUNCTION("""COMPUTED_VALUE"""),15.0)</f>
        <v>15</v>
      </c>
      <c r="G1295" s="86">
        <f>IFERROR(__xludf.DUMMYFUNCTION("""COMPUTED_VALUE"""),11.0)</f>
        <v>11</v>
      </c>
      <c r="H1295" s="86">
        <f>IFERROR(__xludf.DUMMYFUNCTION("""COMPUTED_VALUE"""),0.5769230769230769)</f>
        <v>0.5769230769</v>
      </c>
      <c r="I1295" s="86">
        <f>IFERROR(__xludf.DUMMYFUNCTION("""COMPUTED_VALUE"""),0.2727272727272727)</f>
        <v>0.2727272727</v>
      </c>
      <c r="J1295" s="82">
        <f>IFERROR(__xludf.DUMMYFUNCTION("""COMPUTED_VALUE"""),346.3076923076923)</f>
        <v>346.3076923</v>
      </c>
      <c r="K1295" s="82">
        <f>IFERROR(__xludf.DUMMYFUNCTION("""COMPUTED_VALUE"""),0.8076923076923077)</f>
        <v>0.8076923077</v>
      </c>
      <c r="L1295" s="82">
        <f>IFERROR(__xludf.DUMMYFUNCTION("""COMPUTED_VALUE"""),0.34615384615384615)</f>
        <v>0.3461538462</v>
      </c>
      <c r="M1295" s="82">
        <f>IFERROR(__xludf.DUMMYFUNCTION("""COMPUTED_VALUE"""),1.5769230769230769)</f>
        <v>1.576923077</v>
      </c>
      <c r="N1295" s="82">
        <f>IFERROR(__xludf.DUMMYFUNCTION("""COMPUTED_VALUE"""),2.9615384615384617)</f>
        <v>2.961538462</v>
      </c>
      <c r="O1295" s="82">
        <f>IFERROR(__xludf.DUMMYFUNCTION("""COMPUTED_VALUE"""),337.29487179487177)</f>
        <v>337.2948718</v>
      </c>
      <c r="P1295" s="82">
        <f>IFERROR(__xludf.DUMMYFUNCTION("""COMPUTED_VALUE"""),0.7435897435897435)</f>
        <v>0.7435897436</v>
      </c>
      <c r="Q1295" s="82">
        <f>IFERROR(__xludf.DUMMYFUNCTION("""COMPUTED_VALUE"""),0.5000000000000001)</f>
        <v>0.5</v>
      </c>
      <c r="R1295" s="82">
        <f>IFERROR(__xludf.DUMMYFUNCTION("""COMPUTED_VALUE"""),1.3461538461538458)</f>
        <v>1.346153846</v>
      </c>
      <c r="S1295" s="82">
        <f>IFERROR(__xludf.DUMMYFUNCTION("""COMPUTED_VALUE"""),2.5)</f>
        <v>2.5</v>
      </c>
      <c r="T1295" s="82">
        <f>IFERROR(__xludf.DUMMYFUNCTION("""COMPUTED_VALUE"""),345.5943986758732)</f>
        <v>345.5943987</v>
      </c>
      <c r="U1295" s="82">
        <f>IFERROR(__xludf.DUMMYFUNCTION("""COMPUTED_VALUE"""),0.7594743349932122)</f>
        <v>0.759474335</v>
      </c>
      <c r="V1295" s="82">
        <f>IFERROR(__xludf.DUMMYFUNCTION("""COMPUTED_VALUE"""),0.5300206894314725)</f>
        <v>0.5300206894</v>
      </c>
      <c r="W1295" s="82">
        <f>IFERROR(__xludf.DUMMYFUNCTION("""COMPUTED_VALUE"""),1.3657539069362663)</f>
        <v>1.365753907</v>
      </c>
      <c r="X1295" s="82">
        <f>IFERROR(__xludf.DUMMYFUNCTION("""COMPUTED_VALUE"""),2.5637626473252655)</f>
        <v>2.563762647</v>
      </c>
      <c r="Y1295" s="82">
        <f>IFERROR(__xludf.DUMMYFUNCTION("""COMPUTED_VALUE"""),359.3938103055602)</f>
        <v>359.3938103</v>
      </c>
      <c r="Z1295" s="82">
        <f>IFERROR(__xludf.DUMMYFUNCTION("""COMPUTED_VALUE"""),0.8253672177572375)</f>
        <v>0.8253672178</v>
      </c>
      <c r="AA1295" s="82">
        <f>IFERROR(__xludf.DUMMYFUNCTION("""COMPUTED_VALUE"""),0.6071544168944877)</f>
        <v>0.6071544169</v>
      </c>
      <c r="AB1295" s="82">
        <f>IFERROR(__xludf.DUMMYFUNCTION("""COMPUTED_VALUE"""),1.3646505963777877)</f>
        <v>1.364650596</v>
      </c>
      <c r="AC1295" s="82">
        <f>IFERROR(__xludf.DUMMYFUNCTION("""COMPUTED_VALUE"""),2.666270821509758)</f>
        <v>2.666270822</v>
      </c>
      <c r="AD1295" s="82">
        <f>IFERROR(__xludf.DUMMYFUNCTION("""COMPUTED_VALUE"""),0.9635883601146555)</f>
        <v>0.9635883601</v>
      </c>
      <c r="AE1295" s="82">
        <f>IFERROR(__xludf.DUMMYFUNCTION("""COMPUTED_VALUE"""),0.9785853984933425)</f>
        <v>0.9785853985</v>
      </c>
      <c r="AF1295" s="82">
        <f>IFERROR(__xludf.DUMMYFUNCTION("""COMPUTED_VALUE"""),0.5701248916616237)</f>
        <v>0.5701248917</v>
      </c>
      <c r="AG1295" s="82">
        <f>IFERROR(__xludf.DUMMYFUNCTION("""COMPUTED_VALUE"""),1.1555507916156174)</f>
        <v>1.155550792</v>
      </c>
      <c r="AH1295" s="82">
        <f>IFERROR(__xludf.DUMMYFUNCTION("""COMPUTED_VALUE"""),1.110741803738268)</f>
        <v>1.110741804</v>
      </c>
      <c r="AI1295" s="82">
        <f>IFERROR(__xludf.DUMMYFUNCTION("""COMPUTED_VALUE"""),0.9759847760472952)</f>
        <v>0.975984776</v>
      </c>
      <c r="AJ1295" s="82">
        <f>IFERROR(__xludf.DUMMYFUNCTION("""COMPUTED_VALUE"""),0.9790847555057793)</f>
        <v>0.9790847555</v>
      </c>
      <c r="AK1295" s="82">
        <f>IFERROR(__xludf.DUMMYFUNCTION("""COMPUTED_VALUE"""),0.9433594008119303)</f>
        <v>0.9433594008</v>
      </c>
      <c r="AL1295" s="82">
        <f>IFERROR(__xludf.DUMMYFUNCTION("""COMPUTED_VALUE"""),0.9856489074035392)</f>
        <v>0.9856489074</v>
      </c>
      <c r="AM1295" s="82">
        <f>IFERROR(__xludf.DUMMYFUNCTION("""COMPUTED_VALUE"""),0.9751292704916392)</f>
        <v>0.9751292705</v>
      </c>
      <c r="AN1295" s="82">
        <f>IFERROR(__xludf.DUMMYFUNCTION("""COMPUTED_VALUE"""),1.002984252127403)</f>
        <v>1.002984252</v>
      </c>
      <c r="AO1295" s="82">
        <f>IFERROR(__xludf.DUMMYFUNCTION("""COMPUTED_VALUE"""),1.0707175141842915)</f>
        <v>1.070717514</v>
      </c>
      <c r="AP1295" s="82">
        <f>IFERROR(__xludf.DUMMYFUNCTION("""COMPUTED_VALUE"""),0.6419462269500686)</f>
        <v>0.641946227</v>
      </c>
      <c r="AQ1295" s="82">
        <f>IFERROR(__xludf.DUMMYFUNCTION("""COMPUTED_VALUE"""),1.1675345498924021)</f>
        <v>1.16753455</v>
      </c>
      <c r="AR1295" s="82">
        <f>IFERROR(__xludf.DUMMYFUNCTION("""COMPUTED_VALUE"""),1.1565429769599236)</f>
        <v>1.156542977</v>
      </c>
      <c r="AS1295" s="82">
        <f>IFERROR(__xludf.DUMMYFUNCTION("""COMPUTED_VALUE"""),65.0)</f>
        <v>65</v>
      </c>
      <c r="AT1295" s="82">
        <f>IFERROR(__xludf.DUMMYFUNCTION("""COMPUTED_VALUE"""),0.5443806259678126)</f>
        <v>0.544380626</v>
      </c>
      <c r="AU1295" s="82">
        <f>IFERROR(__xludf.DUMMYFUNCTION("""COMPUTED_VALUE"""),2.253602649952793)</f>
        <v>2.25360265</v>
      </c>
      <c r="AV1295" s="82">
        <f>IFERROR(__xludf.DUMMYFUNCTION("""COMPUTED_VALUE"""),46.396616930417494)</f>
        <v>46.39661693</v>
      </c>
      <c r="AW1295" s="82">
        <f t="shared" si="1"/>
        <v>-2.258882346</v>
      </c>
      <c r="AX1295" s="83">
        <f t="array" ref="AX1295">IFERROR(DGET('SBV Import'!A:G,"SBV",{"RSC ID","Tier";B1295,A1295}))</f>
        <v>48.67319029</v>
      </c>
      <c r="AY1295" s="82">
        <f t="shared" si="2"/>
        <v>-2.088392832</v>
      </c>
      <c r="AZ1295" s="82">
        <v>0.17048951376616728</v>
      </c>
      <c r="BA1295" s="84">
        <v>1200.0</v>
      </c>
      <c r="BB1295" s="84" t="b">
        <f>IFERROR(__xludf.DUMMYFUNCTION("iferror(if(A1295="""",,E1295&gt;=FILTER(Constants!$F$2:$F$10,Constants!$A$2:$A$10=A1295)))"),TRUE)</f>
        <v>1</v>
      </c>
    </row>
    <row r="1296">
      <c r="A1296" s="89" t="str">
        <f>IFERROR(__xludf.DUMMYFUNCTION("""COMPUTED_VALUE"""),"Veteran")</f>
        <v>Veteran</v>
      </c>
      <c r="B1296" s="87" t="str">
        <f>IFERROR(__xludf.DUMMYFUNCTION("""COMPUTED_VALUE"""),"RSC000698")</f>
        <v>RSC000698</v>
      </c>
      <c r="C1296" s="73" t="str">
        <f>IFERROR(__xludf.DUMMYFUNCTION("""COMPUTED_VALUE"""),"Inedibledeer")</f>
        <v>Inedibledeer</v>
      </c>
      <c r="D1296" s="73" t="str">
        <f>IFERROR(__xludf.DUMMYFUNCTION("""COMPUTED_VALUE"""),"Werewolves")</f>
        <v>Werewolves</v>
      </c>
      <c r="E1296" s="82">
        <f>IFERROR(__xludf.DUMMYFUNCTION("""COMPUTED_VALUE"""),10.0)</f>
        <v>10</v>
      </c>
      <c r="F1296" s="82">
        <f>IFERROR(__xludf.DUMMYFUNCTION("""COMPUTED_VALUE"""),6.0)</f>
        <v>6</v>
      </c>
      <c r="G1296" s="86">
        <f>IFERROR(__xludf.DUMMYFUNCTION("""COMPUTED_VALUE"""),4.0)</f>
        <v>4</v>
      </c>
      <c r="H1296" s="86">
        <f>IFERROR(__xludf.DUMMYFUNCTION("""COMPUTED_VALUE"""),0.6)</f>
        <v>0.6</v>
      </c>
      <c r="I1296" s="86">
        <f>IFERROR(__xludf.DUMMYFUNCTION("""COMPUTED_VALUE"""),0.27586206896551724)</f>
        <v>0.275862069</v>
      </c>
      <c r="J1296" s="82">
        <f>IFERROR(__xludf.DUMMYFUNCTION("""COMPUTED_VALUE"""),327.4)</f>
        <v>327.4</v>
      </c>
      <c r="K1296" s="82">
        <f>IFERROR(__xludf.DUMMYFUNCTION("""COMPUTED_VALUE"""),0.8)</f>
        <v>0.8</v>
      </c>
      <c r="L1296" s="82">
        <f>IFERROR(__xludf.DUMMYFUNCTION("""COMPUTED_VALUE"""),0.4)</f>
        <v>0.4</v>
      </c>
      <c r="M1296" s="82">
        <f>IFERROR(__xludf.DUMMYFUNCTION("""COMPUTED_VALUE"""),1.0)</f>
        <v>1</v>
      </c>
      <c r="N1296" s="82">
        <f>IFERROR(__xludf.DUMMYFUNCTION("""COMPUTED_VALUE"""),2.9)</f>
        <v>2.9</v>
      </c>
      <c r="O1296" s="82">
        <f>IFERROR(__xludf.DUMMYFUNCTION("""COMPUTED_VALUE"""),376.3333333333333)</f>
        <v>376.3333333</v>
      </c>
      <c r="P1296" s="82">
        <f>IFERROR(__xludf.DUMMYFUNCTION("""COMPUTED_VALUE"""),0.9333333333333332)</f>
        <v>0.9333333333</v>
      </c>
      <c r="Q1296" s="82">
        <f>IFERROR(__xludf.DUMMYFUNCTION("""COMPUTED_VALUE"""),0.5666666666666667)</f>
        <v>0.5666666667</v>
      </c>
      <c r="R1296" s="82">
        <f>IFERROR(__xludf.DUMMYFUNCTION("""COMPUTED_VALUE"""),1.5)</f>
        <v>1.5</v>
      </c>
      <c r="S1296" s="82">
        <f>IFERROR(__xludf.DUMMYFUNCTION("""COMPUTED_VALUE"""),2.766666666666666)</f>
        <v>2.766666667</v>
      </c>
      <c r="T1296" s="82">
        <f>IFERROR(__xludf.DUMMYFUNCTION("""COMPUTED_VALUE"""),360.212393495559)</f>
        <v>360.2123935</v>
      </c>
      <c r="U1296" s="82">
        <f>IFERROR(__xludf.DUMMYFUNCTION("""COMPUTED_VALUE"""),0.8284809717276767)</f>
        <v>0.8284809717</v>
      </c>
      <c r="V1296" s="82">
        <f>IFERROR(__xludf.DUMMYFUNCTION("""COMPUTED_VALUE"""),0.5797259642084212)</f>
        <v>0.5797259642</v>
      </c>
      <c r="W1296" s="82">
        <f>IFERROR(__xludf.DUMMYFUNCTION("""COMPUTED_VALUE"""),1.3637883345704087)</f>
        <v>1.363788335</v>
      </c>
      <c r="X1296" s="82">
        <f>IFERROR(__xludf.DUMMYFUNCTION("""COMPUTED_VALUE"""),2.6547394618394278)</f>
        <v>2.654739462</v>
      </c>
      <c r="Y1296" s="82">
        <f>IFERROR(__xludf.DUMMYFUNCTION("""COMPUTED_VALUE"""),354.97160683937335)</f>
        <v>354.9716068</v>
      </c>
      <c r="Z1296" s="82">
        <f>IFERROR(__xludf.DUMMYFUNCTION("""COMPUTED_VALUE"""),0.7948667178688081)</f>
        <v>0.7948667179</v>
      </c>
      <c r="AA1296" s="82">
        <f>IFERROR(__xludf.DUMMYFUNCTION("""COMPUTED_VALUE"""),0.582976376496612)</f>
        <v>0.5829763765</v>
      </c>
      <c r="AB1296" s="82">
        <f>IFERROR(__xludf.DUMMYFUNCTION("""COMPUTED_VALUE"""),1.3251528825015852)</f>
        <v>1.325152883</v>
      </c>
      <c r="AC1296" s="82">
        <f>IFERROR(__xludf.DUMMYFUNCTION("""COMPUTED_VALUE"""),2.6201982836820483)</f>
        <v>2.620198284</v>
      </c>
      <c r="AD1296" s="82">
        <f>IFERROR(__xludf.DUMMYFUNCTION("""COMPUTED_VALUE"""),0.9223272895405134)</f>
        <v>0.9223272895</v>
      </c>
      <c r="AE1296" s="82">
        <f>IFERROR(__xludf.DUMMYFUNCTION("""COMPUTED_VALUE"""),1.006458041349316)</f>
        <v>1.006458041</v>
      </c>
      <c r="AF1296" s="82">
        <f>IFERROR(__xludf.DUMMYFUNCTION("""COMPUTED_VALUE"""),0.6861341490435584)</f>
        <v>0.686134149</v>
      </c>
      <c r="AG1296" s="82">
        <f>IFERROR(__xludf.DUMMYFUNCTION("""COMPUTED_VALUE"""),0.7546299096540687)</f>
        <v>0.7546299097</v>
      </c>
      <c r="AH1296" s="82">
        <f>IFERROR(__xludf.DUMMYFUNCTION("""COMPUTED_VALUE"""),1.1067864665283111)</f>
        <v>1.106786467</v>
      </c>
      <c r="AI1296" s="82">
        <f>IFERROR(__xludf.DUMMYFUNCTION("""COMPUTED_VALUE"""),1.0447539843960785)</f>
        <v>1.044753984</v>
      </c>
      <c r="AJ1296" s="82">
        <f>IFERROR(__xludf.DUMMYFUNCTION("""COMPUTED_VALUE"""),1.1265597704519419)</f>
        <v>1.12655977</v>
      </c>
      <c r="AK1296" s="82">
        <f>IFERROR(__xludf.DUMMYFUNCTION("""COMPUTED_VALUE"""),0.9774733264541875)</f>
        <v>0.9774733265</v>
      </c>
      <c r="AL1296" s="82">
        <f>IFERROR(__xludf.DUMMYFUNCTION("""COMPUTED_VALUE"""),1.0998774237737543)</f>
        <v>1.099877424</v>
      </c>
      <c r="AM1296" s="82">
        <f>IFERROR(__xludf.DUMMYFUNCTION("""COMPUTED_VALUE"""),1.0421612766285118)</f>
        <v>1.042161277</v>
      </c>
      <c r="AN1296" s="82">
        <f>IFERROR(__xludf.DUMMYFUNCTION("""COMPUTED_VALUE"""),0.94822336159588)</f>
        <v>0.9482233616</v>
      </c>
      <c r="AO1296" s="82">
        <f>IFERROR(__xludf.DUMMYFUNCTION("""COMPUTED_VALUE"""),1.0605202045253934)</f>
        <v>1.060520205</v>
      </c>
      <c r="AP1296" s="82">
        <f>IFERROR(__xludf.DUMMYFUNCTION("""COMPUTED_VALUE"""),0.7418045289200793)</f>
        <v>0.7418045289</v>
      </c>
      <c r="AQ1296" s="82">
        <f>IFERROR(__xludf.DUMMYFUNCTION("""COMPUTED_VALUE"""),0.7403877633464013)</f>
        <v>0.7403877633</v>
      </c>
      <c r="AR1296" s="82">
        <f>IFERROR(__xludf.DUMMYFUNCTION("""COMPUTED_VALUE"""),1.132510915101016)</f>
        <v>1.132510915</v>
      </c>
      <c r="AS1296" s="82">
        <f>IFERROR(__xludf.DUMMYFUNCTION("""COMPUTED_VALUE"""),25.0)</f>
        <v>25</v>
      </c>
      <c r="AT1296" s="82">
        <f>IFERROR(__xludf.DUMMYFUNCTION("""COMPUTED_VALUE"""),0.4544027401270341)</f>
        <v>0.4544027401</v>
      </c>
      <c r="AU1296" s="82">
        <f>IFERROR(__xludf.DUMMYFUNCTION("""COMPUTED_VALUE"""),2.2058695848887293)</f>
        <v>2.205869585</v>
      </c>
      <c r="AV1296" s="82">
        <f>IFERROR(__xludf.DUMMYFUNCTION("""COMPUTED_VALUE"""),44.91803310969864)</f>
        <v>44.91803311</v>
      </c>
      <c r="AW1296" s="82">
        <f t="shared" si="1"/>
        <v>-2.384025441</v>
      </c>
      <c r="AX1296" s="83">
        <f t="array" ref="AX1296">IFERROR(DGET('SBV Import'!A:G,"SBV",{"RSC ID","Tier";B1296,A1296}))</f>
        <v>36.5708851</v>
      </c>
      <c r="AY1296" s="82">
        <f t="shared" si="2"/>
        <v>-3.383213607</v>
      </c>
      <c r="AZ1296" s="82">
        <v>0.9991881657737349</v>
      </c>
      <c r="BA1296" s="84">
        <v>1200.0</v>
      </c>
      <c r="BB1296" s="84" t="b">
        <f>IFERROR(__xludf.DUMMYFUNCTION("iferror(if(A1296="""",,E1296&gt;=FILTER(Constants!$F$2:$F$10,Constants!$A$2:$A$10=A1296)))"),TRUE)</f>
        <v>1</v>
      </c>
    </row>
    <row r="1297">
      <c r="A1297" s="89" t="str">
        <f>IFERROR(__xludf.DUMMYFUNCTION("""COMPUTED_VALUE"""),"Veteran")</f>
        <v>Veteran</v>
      </c>
      <c r="B1297" s="87" t="str">
        <f>IFERROR(__xludf.DUMMYFUNCTION("""COMPUTED_VALUE"""),"RSC007479")</f>
        <v>RSC007479</v>
      </c>
      <c r="C1297" s="73" t="str">
        <f>IFERROR(__xludf.DUMMYFUNCTION("""COMPUTED_VALUE"""),"Metatonixz")</f>
        <v>Metatonixz</v>
      </c>
      <c r="D1297" s="73" t="str">
        <f>IFERROR(__xludf.DUMMYFUNCTION("""COMPUTED_VALUE"""),"Folks")</f>
        <v>Folks</v>
      </c>
      <c r="E1297" s="82">
        <f>IFERROR(__xludf.DUMMYFUNCTION("""COMPUTED_VALUE"""),35.0)</f>
        <v>35</v>
      </c>
      <c r="F1297" s="82">
        <f>IFERROR(__xludf.DUMMYFUNCTION("""COMPUTED_VALUE"""),18.0)</f>
        <v>18</v>
      </c>
      <c r="G1297" s="86">
        <f>IFERROR(__xludf.DUMMYFUNCTION("""COMPUTED_VALUE"""),17.0)</f>
        <v>17</v>
      </c>
      <c r="H1297" s="86">
        <f>IFERROR(__xludf.DUMMYFUNCTION("""COMPUTED_VALUE"""),0.5142857142857142)</f>
        <v>0.5142857143</v>
      </c>
      <c r="I1297" s="86">
        <f>IFERROR(__xludf.DUMMYFUNCTION("""COMPUTED_VALUE"""),0.3076923076923077)</f>
        <v>0.3076923077</v>
      </c>
      <c r="J1297" s="82">
        <f>IFERROR(__xludf.DUMMYFUNCTION("""COMPUTED_VALUE"""),334.7142857142857)</f>
        <v>334.7142857</v>
      </c>
      <c r="K1297" s="82">
        <f>IFERROR(__xludf.DUMMYFUNCTION("""COMPUTED_VALUE"""),0.6857142857142857)</f>
        <v>0.6857142857</v>
      </c>
      <c r="L1297" s="82">
        <f>IFERROR(__xludf.DUMMYFUNCTION("""COMPUTED_VALUE"""),0.5142857142857142)</f>
        <v>0.5142857143</v>
      </c>
      <c r="M1297" s="82">
        <f>IFERROR(__xludf.DUMMYFUNCTION("""COMPUTED_VALUE"""),1.2)</f>
        <v>1.2</v>
      </c>
      <c r="N1297" s="82">
        <f>IFERROR(__xludf.DUMMYFUNCTION("""COMPUTED_VALUE"""),2.2285714285714286)</f>
        <v>2.228571429</v>
      </c>
      <c r="O1297" s="82">
        <f>IFERROR(__xludf.DUMMYFUNCTION("""COMPUTED_VALUE"""),343.59047619047624)</f>
        <v>343.5904762</v>
      </c>
      <c r="P1297" s="82">
        <f>IFERROR(__xludf.DUMMYFUNCTION("""COMPUTED_VALUE"""),0.7333333333333335)</f>
        <v>0.7333333333</v>
      </c>
      <c r="Q1297" s="82">
        <f>IFERROR(__xludf.DUMMYFUNCTION("""COMPUTED_VALUE"""),0.6190476190476192)</f>
        <v>0.619047619</v>
      </c>
      <c r="R1297" s="82">
        <f>IFERROR(__xludf.DUMMYFUNCTION("""COMPUTED_VALUE"""),1.2571428571428571)</f>
        <v>1.257142857</v>
      </c>
      <c r="S1297" s="82">
        <f>IFERROR(__xludf.DUMMYFUNCTION("""COMPUTED_VALUE"""),2.6095238095238096)</f>
        <v>2.60952381</v>
      </c>
      <c r="T1297" s="82">
        <f>IFERROR(__xludf.DUMMYFUNCTION("""COMPUTED_VALUE"""),362.9662519181103)</f>
        <v>362.9662519</v>
      </c>
      <c r="U1297" s="82">
        <f>IFERROR(__xludf.DUMMYFUNCTION("""COMPUTED_VALUE"""),0.8183138865817775)</f>
        <v>0.8183138866</v>
      </c>
      <c r="V1297" s="82">
        <f>IFERROR(__xludf.DUMMYFUNCTION("""COMPUTED_VALUE"""),0.619291560314963)</f>
        <v>0.6192915603</v>
      </c>
      <c r="W1297" s="82">
        <f>IFERROR(__xludf.DUMMYFUNCTION("""COMPUTED_VALUE"""),1.3682088190298636)</f>
        <v>1.368208819</v>
      </c>
      <c r="X1297" s="82">
        <f>IFERROR(__xludf.DUMMYFUNCTION("""COMPUTED_VALUE"""),2.704117669345939)</f>
        <v>2.704117669</v>
      </c>
      <c r="Y1297" s="82">
        <f>IFERROR(__xludf.DUMMYFUNCTION("""COMPUTED_VALUE"""),356.2429729518194)</f>
        <v>356.242973</v>
      </c>
      <c r="Z1297" s="82">
        <f>IFERROR(__xludf.DUMMYFUNCTION("""COMPUTED_VALUE"""),0.7939629122025588)</f>
        <v>0.7939629122</v>
      </c>
      <c r="AA1297" s="82">
        <f>IFERROR(__xludf.DUMMYFUNCTION("""COMPUTED_VALUE"""),0.5677776534349304)</f>
        <v>0.5677776534</v>
      </c>
      <c r="AB1297" s="82">
        <f>IFERROR(__xludf.DUMMYFUNCTION("""COMPUTED_VALUE"""),1.3794736796744194)</f>
        <v>1.37947368</v>
      </c>
      <c r="AC1297" s="82">
        <f>IFERROR(__xludf.DUMMYFUNCTION("""COMPUTED_VALUE"""),2.6410793874553544)</f>
        <v>2.641079387</v>
      </c>
      <c r="AD1297" s="82">
        <f>IFERROR(__xludf.DUMMYFUNCTION("""COMPUTED_VALUE"""),0.939567405192171)</f>
        <v>0.9395674052</v>
      </c>
      <c r="AE1297" s="82">
        <f>IFERROR(__xludf.DUMMYFUNCTION("""COMPUTED_VALUE"""),0.8636603488342082)</f>
        <v>0.8636603488</v>
      </c>
      <c r="AF1297" s="82">
        <f>IFERROR(__xludf.DUMMYFUNCTION("""COMPUTED_VALUE"""),0.905787170689791)</f>
        <v>0.9057871707</v>
      </c>
      <c r="AG1297" s="82">
        <f>IFERROR(__xludf.DUMMYFUNCTION("""COMPUTED_VALUE"""),0.8698969887437226)</f>
        <v>0.8698969887</v>
      </c>
      <c r="AH1297" s="82">
        <f>IFERROR(__xludf.DUMMYFUNCTION("""COMPUTED_VALUE"""),0.8438108445951064)</f>
        <v>0.8438108446</v>
      </c>
      <c r="AI1297" s="82">
        <f>IFERROR(__xludf.DUMMYFUNCTION("""COMPUTED_VALUE"""),0.9466182444642113)</f>
        <v>0.9466182445</v>
      </c>
      <c r="AJ1297" s="82">
        <f>IFERROR(__xludf.DUMMYFUNCTION("""COMPUTED_VALUE"""),0.896151642246448)</f>
        <v>0.8961516422</v>
      </c>
      <c r="AK1297" s="82">
        <f>IFERROR(__xludf.DUMMYFUNCTION("""COMPUTED_VALUE"""),0.9996060962509811)</f>
        <v>0.9996060963</v>
      </c>
      <c r="AL1297" s="82">
        <f>IFERROR(__xludf.DUMMYFUNCTION("""COMPUTED_VALUE"""),0.918823822546504)</f>
        <v>0.9188238225</v>
      </c>
      <c r="AM1297" s="82">
        <f>IFERROR(__xludf.DUMMYFUNCTION("""COMPUTED_VALUE"""),0.9650185859533956)</f>
        <v>0.965018586</v>
      </c>
      <c r="AN1297" s="82">
        <f>IFERROR(__xludf.DUMMYFUNCTION("""COMPUTED_VALUE"""),0.9694071630243246)</f>
        <v>0.969407163</v>
      </c>
      <c r="AO1297" s="82">
        <f>IFERROR(__xludf.DUMMYFUNCTION("""COMPUTED_VALUE"""),0.909017318164623)</f>
        <v>0.9090173182</v>
      </c>
      <c r="AP1297" s="82">
        <f>IFERROR(__xludf.DUMMYFUNCTION("""COMPUTED_VALUE"""),0.9537486800401018)</f>
        <v>0.95374868</v>
      </c>
      <c r="AQ1297" s="82">
        <f>IFERROR(__xludf.DUMMYFUNCTION("""COMPUTED_VALUE"""),0.8884653160156816)</f>
        <v>0.888465316</v>
      </c>
      <c r="AR1297" s="82">
        <f>IFERROR(__xludf.DUMMYFUNCTION("""COMPUTED_VALUE"""),0.8703039544618646)</f>
        <v>0.8703039545</v>
      </c>
      <c r="AS1297" s="82">
        <f>IFERROR(__xludf.DUMMYFUNCTION("""COMPUTED_VALUE"""),77.0)</f>
        <v>77</v>
      </c>
      <c r="AT1297" s="82">
        <f>IFERROR(__xludf.DUMMYFUNCTION("""COMPUTED_VALUE"""),0.4999999999999998)</f>
        <v>0.5</v>
      </c>
      <c r="AU1297" s="82">
        <f>IFERROR(__xludf.DUMMYFUNCTION("""COMPUTED_VALUE"""),2.2055484246886023)</f>
        <v>2.205548425</v>
      </c>
      <c r="AV1297" s="82">
        <f>IFERROR(__xludf.DUMMYFUNCTION("""COMPUTED_VALUE"""),44.90808482175339)</f>
        <v>44.90808482</v>
      </c>
      <c r="AW1297" s="82">
        <f t="shared" si="1"/>
        <v>-2.38490956</v>
      </c>
      <c r="AX1297" s="83">
        <f t="array" ref="AX1297">IFERROR(DGET('SBV Import'!A:G,"SBV",{"RSC ID","Tier";B1297,A1297}))</f>
        <v>42.0646906</v>
      </c>
      <c r="AY1297" s="82">
        <f t="shared" si="2"/>
        <v>-2.66336155</v>
      </c>
      <c r="AZ1297" s="82">
        <v>0.27845198997919063</v>
      </c>
      <c r="BA1297" s="84">
        <v>1200.0</v>
      </c>
      <c r="BB1297" s="84" t="b">
        <f>IFERROR(__xludf.DUMMYFUNCTION("iferror(if(A1297="""",,E1297&gt;=FILTER(Constants!$F$2:$F$10,Constants!$A$2:$A$10=A1297)))"),TRUE)</f>
        <v>1</v>
      </c>
    </row>
    <row r="1298">
      <c r="A1298" s="89" t="str">
        <f>IFERROR(__xludf.DUMMYFUNCTION("""COMPUTED_VALUE"""),"Veteran")</f>
        <v>Veteran</v>
      </c>
      <c r="B1298" s="87" t="str">
        <f>IFERROR(__xludf.DUMMYFUNCTION("""COMPUTED_VALUE"""),"RSC004385")</f>
        <v>RSC004385</v>
      </c>
      <c r="C1298" s="73" t="str">
        <f>IFERROR(__xludf.DUMMYFUNCTION("""COMPUTED_VALUE"""),"Braybaum02")</f>
        <v>Braybaum02</v>
      </c>
      <c r="D1298" s="73" t="str">
        <f>IFERROR(__xludf.DUMMYFUNCTION("""COMPUTED_VALUE"""),"Peppermint")</f>
        <v>Peppermint</v>
      </c>
      <c r="E1298" s="82">
        <f>IFERROR(__xludf.DUMMYFUNCTION("""COMPUTED_VALUE"""),35.0)</f>
        <v>35</v>
      </c>
      <c r="F1298" s="82">
        <f>IFERROR(__xludf.DUMMYFUNCTION("""COMPUTED_VALUE"""),14.0)</f>
        <v>14</v>
      </c>
      <c r="G1298" s="86">
        <f>IFERROR(__xludf.DUMMYFUNCTION("""COMPUTED_VALUE"""),21.0)</f>
        <v>21</v>
      </c>
      <c r="H1298" s="86">
        <f>IFERROR(__xludf.DUMMYFUNCTION("""COMPUTED_VALUE"""),0.4)</f>
        <v>0.4</v>
      </c>
      <c r="I1298" s="86">
        <f>IFERROR(__xludf.DUMMYFUNCTION("""COMPUTED_VALUE"""),0.46052631578947373)</f>
        <v>0.4605263158</v>
      </c>
      <c r="J1298" s="82">
        <f>IFERROR(__xludf.DUMMYFUNCTION("""COMPUTED_VALUE"""),361.0857142857143)</f>
        <v>361.0857143</v>
      </c>
      <c r="K1298" s="82">
        <f>IFERROR(__xludf.DUMMYFUNCTION("""COMPUTED_VALUE"""),1.0)</f>
        <v>1</v>
      </c>
      <c r="L1298" s="82">
        <f>IFERROR(__xludf.DUMMYFUNCTION("""COMPUTED_VALUE"""),0.4)</f>
        <v>0.4</v>
      </c>
      <c r="M1298" s="82">
        <f>IFERROR(__xludf.DUMMYFUNCTION("""COMPUTED_VALUE"""),1.3428571428571427)</f>
        <v>1.342857143</v>
      </c>
      <c r="N1298" s="82">
        <f>IFERROR(__xludf.DUMMYFUNCTION("""COMPUTED_VALUE"""),2.1714285714285713)</f>
        <v>2.171428571</v>
      </c>
      <c r="O1298" s="82">
        <f>IFERROR(__xludf.DUMMYFUNCTION("""COMPUTED_VALUE"""),381.02857142857147)</f>
        <v>381.0285714</v>
      </c>
      <c r="P1298" s="82">
        <f>IFERROR(__xludf.DUMMYFUNCTION("""COMPUTED_VALUE"""),1.0285714285714285)</f>
        <v>1.028571429</v>
      </c>
      <c r="Q1298" s="82">
        <f>IFERROR(__xludf.DUMMYFUNCTION("""COMPUTED_VALUE"""),0.7238095238095239)</f>
        <v>0.7238095238</v>
      </c>
      <c r="R1298" s="82">
        <f>IFERROR(__xludf.DUMMYFUNCTION("""COMPUTED_VALUE"""),1.1714285714285715)</f>
        <v>1.171428571</v>
      </c>
      <c r="S1298" s="82">
        <f>IFERROR(__xludf.DUMMYFUNCTION("""COMPUTED_VALUE"""),3.2095238095238097)</f>
        <v>3.20952381</v>
      </c>
      <c r="T1298" s="82">
        <f>IFERROR(__xludf.DUMMYFUNCTION("""COMPUTED_VALUE"""),351.55075680894373)</f>
        <v>351.5507568</v>
      </c>
      <c r="U1298" s="82">
        <f>IFERROR(__xludf.DUMMYFUNCTION("""COMPUTED_VALUE"""),0.8222637401702928)</f>
        <v>0.8222637402</v>
      </c>
      <c r="V1298" s="82">
        <f>IFERROR(__xludf.DUMMYFUNCTION("""COMPUTED_VALUE"""),0.5740360597503524)</f>
        <v>0.5740360598</v>
      </c>
      <c r="W1298" s="82">
        <f>IFERROR(__xludf.DUMMYFUNCTION("""COMPUTED_VALUE"""),1.2771134150841488)</f>
        <v>1.277113415</v>
      </c>
      <c r="X1298" s="82">
        <f>IFERROR(__xludf.DUMMYFUNCTION("""COMPUTED_VALUE"""),2.6878898066312864)</f>
        <v>2.687889807</v>
      </c>
      <c r="Y1298" s="82">
        <f>IFERROR(__xludf.DUMMYFUNCTION("""COMPUTED_VALUE"""),356.2415074852467)</f>
        <v>356.2415075</v>
      </c>
      <c r="Z1298" s="82">
        <f>IFERROR(__xludf.DUMMYFUNCTION("""COMPUTED_VALUE"""),0.8312750542182583)</f>
        <v>0.8312750542</v>
      </c>
      <c r="AA1298" s="82">
        <f>IFERROR(__xludf.DUMMYFUNCTION("""COMPUTED_VALUE"""),0.6133629703691634)</f>
        <v>0.6133629704</v>
      </c>
      <c r="AB1298" s="82">
        <f>IFERROR(__xludf.DUMMYFUNCTION("""COMPUTED_VALUE"""),1.3289380812929137)</f>
        <v>1.328938081</v>
      </c>
      <c r="AC1298" s="82">
        <f>IFERROR(__xludf.DUMMYFUNCTION("""COMPUTED_VALUE"""),2.570883881300026)</f>
        <v>2.570883881</v>
      </c>
      <c r="AD1298" s="82">
        <f>IFERROR(__xludf.DUMMYFUNCTION("""COMPUTED_VALUE"""),1.0135980976351224)</f>
        <v>1.013598098</v>
      </c>
      <c r="AE1298" s="82">
        <f>IFERROR(__xludf.DUMMYFUNCTION("""COMPUTED_VALUE"""),1.2029712607464358)</f>
        <v>1.202971261</v>
      </c>
      <c r="AF1298" s="82">
        <f>IFERROR(__xludf.DUMMYFUNCTION("""COMPUTED_VALUE"""),0.6521424007048435)</f>
        <v>0.6521424007</v>
      </c>
      <c r="AG1298" s="82">
        <f>IFERROR(__xludf.DUMMYFUNCTION("""COMPUTED_VALUE"""),1.0104738224904257)</f>
        <v>1.010473822</v>
      </c>
      <c r="AH1298" s="82">
        <f>IFERROR(__xludf.DUMMYFUNCTION("""COMPUTED_VALUE"""),0.8446233558905581)</f>
        <v>0.8446233559</v>
      </c>
      <c r="AI1298" s="82">
        <f>IFERROR(__xludf.DUMMYFUNCTION("""COMPUTED_VALUE"""),1.0838508068854704)</f>
        <v>1.083850807</v>
      </c>
      <c r="AJ1298" s="82">
        <f>IFERROR(__xludf.DUMMYFUNCTION("""COMPUTED_VALUE"""),1.2509020869124168)</f>
        <v>1.250902087</v>
      </c>
      <c r="AK1298" s="82">
        <f>IFERROR(__xludf.DUMMYFUNCTION("""COMPUTED_VALUE"""),1.260912988853536)</f>
        <v>1.260912989</v>
      </c>
      <c r="AL1298" s="82">
        <f>IFERROR(__xludf.DUMMYFUNCTION("""COMPUTED_VALUE"""),0.9172470961409377)</f>
        <v>0.9172470961</v>
      </c>
      <c r="AM1298" s="82">
        <f>IFERROR(__xludf.DUMMYFUNCTION("""COMPUTED_VALUE"""),1.1940682246740923)</f>
        <v>1.194068225</v>
      </c>
      <c r="AN1298" s="82">
        <f>IFERROR(__xludf.DUMMYFUNCTION("""COMPUTED_VALUE"""),1.0457846970807865)</f>
        <v>1.045784697</v>
      </c>
      <c r="AO1298" s="82">
        <f>IFERROR(__xludf.DUMMYFUNCTION("""COMPUTED_VALUE"""),1.3256502556567418)</f>
        <v>1.325650256</v>
      </c>
      <c r="AP1298" s="82">
        <f>IFERROR(__xludf.DUMMYFUNCTION("""COMPUTED_VALUE"""),0.7418045289200793)</f>
        <v>0.7418045289</v>
      </c>
      <c r="AQ1298" s="82">
        <f>IFERROR(__xludf.DUMMYFUNCTION("""COMPUTED_VALUE"""),0.9942349964937389)</f>
        <v>0.9942349965</v>
      </c>
      <c r="AR1298" s="82">
        <f>IFERROR(__xludf.DUMMYFUNCTION("""COMPUTED_VALUE"""),0.8479884684500217)</f>
        <v>0.8479884685</v>
      </c>
      <c r="AS1298" s="82">
        <f>IFERROR(__xludf.DUMMYFUNCTION("""COMPUTED_VALUE"""),78.0)</f>
        <v>78</v>
      </c>
      <c r="AT1298" s="82">
        <f>IFERROR(__xludf.DUMMYFUNCTION("""COMPUTED_VALUE"""),0.37154517833340694)</f>
        <v>0.3715451783</v>
      </c>
      <c r="AU1298" s="82">
        <f>IFERROR(__xludf.DUMMYFUNCTION("""COMPUTED_VALUE"""),2.200071032544388)</f>
        <v>2.200071033</v>
      </c>
      <c r="AV1298" s="82">
        <f>IFERROR(__xludf.DUMMYFUNCTION("""COMPUTED_VALUE"""),44.73841661810256)</f>
        <v>44.73841662</v>
      </c>
      <c r="AW1298" s="82">
        <f t="shared" si="1"/>
        <v>-2.400078535</v>
      </c>
      <c r="AX1298" s="83">
        <f t="array" ref="AX1298">IFERROR(DGET('SBV Import'!A:G,"SBV",{"RSC ID","Tier";B1298,A1298}))</f>
        <v>37.00277279</v>
      </c>
      <c r="AY1298" s="82">
        <f t="shared" si="2"/>
        <v>-3.315974863</v>
      </c>
      <c r="AZ1298" s="82">
        <v>0.9158963271494165</v>
      </c>
      <c r="BA1298" s="84">
        <v>1200.0</v>
      </c>
      <c r="BB1298" s="84" t="b">
        <f>IFERROR(__xludf.DUMMYFUNCTION("iferror(if(A1298="""",,E1298&gt;=FILTER(Constants!$F$2:$F$10,Constants!$A$2:$A$10=A1298)))"),TRUE)</f>
        <v>1</v>
      </c>
    </row>
    <row r="1299">
      <c r="A1299" s="89" t="str">
        <f>IFERROR(__xludf.DUMMYFUNCTION("""COMPUTED_VALUE"""),"Veteran")</f>
        <v>Veteran</v>
      </c>
      <c r="B1299" s="87" t="str">
        <f>IFERROR(__xludf.DUMMYFUNCTION("""COMPUTED_VALUE"""),"RSC006885")</f>
        <v>RSC006885</v>
      </c>
      <c r="C1299" s="73" t="str">
        <f>IFERROR(__xludf.DUMMYFUNCTION("""COMPUTED_VALUE"""),"ski")</f>
        <v>ski</v>
      </c>
      <c r="D1299" s="73" t="str">
        <f>IFERROR(__xludf.DUMMYFUNCTION("""COMPUTED_VALUE"""),"Dread")</f>
        <v>Dread</v>
      </c>
      <c r="E1299" s="82">
        <f>IFERROR(__xludf.DUMMYFUNCTION("""COMPUTED_VALUE"""),19.0)</f>
        <v>19</v>
      </c>
      <c r="F1299" s="82">
        <f>IFERROR(__xludf.DUMMYFUNCTION("""COMPUTED_VALUE"""),9.0)</f>
        <v>9</v>
      </c>
      <c r="G1299" s="86">
        <f>IFERROR(__xludf.DUMMYFUNCTION("""COMPUTED_VALUE"""),10.0)</f>
        <v>10</v>
      </c>
      <c r="H1299" s="86">
        <f>IFERROR(__xludf.DUMMYFUNCTION("""COMPUTED_VALUE"""),0.47368421052631576)</f>
        <v>0.4736842105</v>
      </c>
      <c r="I1299" s="86">
        <f>IFERROR(__xludf.DUMMYFUNCTION("""COMPUTED_VALUE"""),0.28260869565217395)</f>
        <v>0.2826086957</v>
      </c>
      <c r="J1299" s="82">
        <f>IFERROR(__xludf.DUMMYFUNCTION("""COMPUTED_VALUE"""),352.2631578947368)</f>
        <v>352.2631579</v>
      </c>
      <c r="K1299" s="82">
        <f>IFERROR(__xludf.DUMMYFUNCTION("""COMPUTED_VALUE"""),0.6842105263157895)</f>
        <v>0.6842105263</v>
      </c>
      <c r="L1299" s="82">
        <f>IFERROR(__xludf.DUMMYFUNCTION("""COMPUTED_VALUE"""),0.5263157894736842)</f>
        <v>0.5263157895</v>
      </c>
      <c r="M1299" s="82">
        <f>IFERROR(__xludf.DUMMYFUNCTION("""COMPUTED_VALUE"""),1.368421052631579)</f>
        <v>1.368421053</v>
      </c>
      <c r="N1299" s="82">
        <f>IFERROR(__xludf.DUMMYFUNCTION("""COMPUTED_VALUE"""),2.4210526315789473)</f>
        <v>2.421052632</v>
      </c>
      <c r="O1299" s="82">
        <f>IFERROR(__xludf.DUMMYFUNCTION("""COMPUTED_VALUE"""),369.421052631579)</f>
        <v>369.4210526</v>
      </c>
      <c r="P1299" s="82">
        <f>IFERROR(__xludf.DUMMYFUNCTION("""COMPUTED_VALUE"""),0.7894736842105262)</f>
        <v>0.7894736842</v>
      </c>
      <c r="Q1299" s="82">
        <f>IFERROR(__xludf.DUMMYFUNCTION("""COMPUTED_VALUE"""),0.631578947368421)</f>
        <v>0.6315789474</v>
      </c>
      <c r="R1299" s="82">
        <f>IFERROR(__xludf.DUMMYFUNCTION("""COMPUTED_VALUE"""),1.3333333333333333)</f>
        <v>1.333333333</v>
      </c>
      <c r="S1299" s="82">
        <f>IFERROR(__xludf.DUMMYFUNCTION("""COMPUTED_VALUE"""),2.859649122807017)</f>
        <v>2.859649123</v>
      </c>
      <c r="T1299" s="82">
        <f>IFERROR(__xludf.DUMMYFUNCTION("""COMPUTED_VALUE"""),359.66357924263053)</f>
        <v>359.6635792</v>
      </c>
      <c r="U1299" s="82">
        <f>IFERROR(__xludf.DUMMYFUNCTION("""COMPUTED_VALUE"""),0.8195473179288498)</f>
        <v>0.8195473179</v>
      </c>
      <c r="V1299" s="82">
        <f>IFERROR(__xludf.DUMMYFUNCTION("""COMPUTED_VALUE"""),0.6207643291300642)</f>
        <v>0.6207643291</v>
      </c>
      <c r="W1299" s="82">
        <f>IFERROR(__xludf.DUMMYFUNCTION("""COMPUTED_VALUE"""),1.3274782680093542)</f>
        <v>1.327478268</v>
      </c>
      <c r="X1299" s="82">
        <f>IFERROR(__xludf.DUMMYFUNCTION("""COMPUTED_VALUE"""),2.7639802696285516)</f>
        <v>2.76398027</v>
      </c>
      <c r="Y1299" s="82">
        <f>IFERROR(__xludf.DUMMYFUNCTION("""COMPUTED_VALUE"""),362.06395837833935)</f>
        <v>362.0639584</v>
      </c>
      <c r="Z1299" s="82">
        <f>IFERROR(__xludf.DUMMYFUNCTION("""COMPUTED_VALUE"""),0.8352503984599601)</f>
        <v>0.8352503985</v>
      </c>
      <c r="AA1299" s="82">
        <f>IFERROR(__xludf.DUMMYFUNCTION("""COMPUTED_VALUE"""),0.6234914155265475)</f>
        <v>0.6234914155</v>
      </c>
      <c r="AB1299" s="82">
        <f>IFERROR(__xludf.DUMMYFUNCTION("""COMPUTED_VALUE"""),1.3930779021920847)</f>
        <v>1.393077902</v>
      </c>
      <c r="AC1299" s="82">
        <f>IFERROR(__xludf.DUMMYFUNCTION("""COMPUTED_VALUE"""),2.605086577509851)</f>
        <v>2.605086578</v>
      </c>
      <c r="AD1299" s="82">
        <f>IFERROR(__xludf.DUMMYFUNCTION("""COMPUTED_VALUE"""),0.9729307481266579)</f>
        <v>0.9729307481</v>
      </c>
      <c r="AE1299" s="82">
        <f>IFERROR(__xludf.DUMMYFUNCTION("""COMPUTED_VALUE"""),0.8191681531398741)</f>
        <v>0.8191681531</v>
      </c>
      <c r="AF1299" s="82">
        <f>IFERROR(__xludf.DUMMYFUNCTION("""COMPUTED_VALUE"""),0.8441428003129808)</f>
        <v>0.8441428003</v>
      </c>
      <c r="AG1299" s="82">
        <f>IFERROR(__xludf.DUMMYFUNCTION("""COMPUTED_VALUE"""),0.982300451739485)</f>
        <v>0.9823004517</v>
      </c>
      <c r="AH1299" s="82">
        <f>IFERROR(__xludf.DUMMYFUNCTION("""COMPUTED_VALUE"""),0.9293559194847113)</f>
        <v>0.9293559195</v>
      </c>
      <c r="AI1299" s="82">
        <f>IFERROR(__xludf.DUMMYFUNCTION("""COMPUTED_VALUE"""),1.0271294452707598)</f>
        <v>1.027129445</v>
      </c>
      <c r="AJ1299" s="82">
        <f>IFERROR(__xludf.DUMMYFUNCTION("""COMPUTED_VALUE"""),0.963304579173872)</f>
        <v>0.9633045792</v>
      </c>
      <c r="AK1299" s="82">
        <f>IFERROR(__xludf.DUMMYFUNCTION("""COMPUTED_VALUE"""),1.0174214556650063)</f>
        <v>1.017421456</v>
      </c>
      <c r="AL1299" s="82">
        <f>IFERROR(__xludf.DUMMYFUNCTION("""COMPUTED_VALUE"""),1.004410667552968)</f>
        <v>1.004410668</v>
      </c>
      <c r="AM1299" s="82">
        <f>IFERROR(__xludf.DUMMYFUNCTION("""COMPUTED_VALUE"""),1.0346127120478044)</f>
        <v>1.034612712</v>
      </c>
      <c r="AN1299" s="82">
        <f>IFERROR(__xludf.DUMMYFUNCTION("""COMPUTED_VALUE"""),1.020232607652192)</f>
        <v>1.020232608</v>
      </c>
      <c r="AO1299" s="82">
        <f>IFERROR(__xludf.DUMMYFUNCTION("""COMPUTED_VALUE"""),0.9070238591335602)</f>
        <v>0.9070238591</v>
      </c>
      <c r="AP1299" s="82">
        <f>IFERROR(__xludf.DUMMYFUNCTION("""COMPUTED_VALUE"""),0.9760585906843148)</f>
        <v>0.9760585907</v>
      </c>
      <c r="AQ1299" s="82">
        <f>IFERROR(__xludf.DUMMYFUNCTION("""COMPUTED_VALUE"""),1.013162202474023)</f>
        <v>1.013162202</v>
      </c>
      <c r="AR1299" s="82">
        <f>IFERROR(__xludf.DUMMYFUNCTION("""COMPUTED_VALUE"""),0.9454719073438609)</f>
        <v>0.9454719073</v>
      </c>
      <c r="AS1299" s="82">
        <f>IFERROR(__xludf.DUMMYFUNCTION("""COMPUTED_VALUE"""),37.0)</f>
        <v>37</v>
      </c>
      <c r="AT1299" s="82">
        <f>IFERROR(__xludf.DUMMYFUNCTION("""COMPUTED_VALUE"""),0.4260907951130422)</f>
        <v>0.4260907951</v>
      </c>
      <c r="AU1299" s="82">
        <f>IFERROR(__xludf.DUMMYFUNCTION("""COMPUTED_VALUE"""),2.189511924052555)</f>
        <v>2.189511924</v>
      </c>
      <c r="AV1299" s="82">
        <f>IFERROR(__xludf.DUMMYFUNCTION("""COMPUTED_VALUE"""),44.411336700726935)</f>
        <v>44.4113367</v>
      </c>
      <c r="AW1299" s="82">
        <f t="shared" si="1"/>
        <v>-2.429808388</v>
      </c>
      <c r="AX1299" s="83">
        <f t="array" ref="AX1299">IFERROR(DGET('SBV Import'!A:G,"SBV",{"RSC ID","Tier";B1299,A1299}))</f>
        <v>46.13193037</v>
      </c>
      <c r="AY1299" s="82">
        <f t="shared" si="2"/>
        <v>-2.280398049</v>
      </c>
      <c r="AZ1299" s="82">
        <v>0.1494103388343353</v>
      </c>
      <c r="BA1299" s="84">
        <v>1200.0</v>
      </c>
      <c r="BB1299" s="84" t="b">
        <f>IFERROR(__xludf.DUMMYFUNCTION("iferror(if(A1299="""",,E1299&gt;=FILTER(Constants!$F$2:$F$10,Constants!$A$2:$A$10=A1299)))"),TRUE)</f>
        <v>1</v>
      </c>
    </row>
    <row r="1300">
      <c r="A1300" s="90" t="str">
        <f>IFERROR(__xludf.DUMMYFUNCTION("""COMPUTED_VALUE"""),"Veteran")</f>
        <v>Veteran</v>
      </c>
      <c r="B1300" s="87" t="str">
        <f>IFERROR(__xludf.DUMMYFUNCTION("""COMPUTED_VALUE"""),"RSC007607")</f>
        <v>RSC007607</v>
      </c>
      <c r="C1300" s="73" t="str">
        <f>IFERROR(__xludf.DUMMYFUNCTION("""COMPUTED_VALUE"""),"GameGang")</f>
        <v>GameGang</v>
      </c>
      <c r="D1300" s="73" t="str">
        <f>IFERROR(__xludf.DUMMYFUNCTION("""COMPUTED_VALUE"""),"Rockin Revenants")</f>
        <v>Rockin Revenants</v>
      </c>
      <c r="E1300" s="82">
        <f>IFERROR(__xludf.DUMMYFUNCTION("""COMPUTED_VALUE"""),32.0)</f>
        <v>32</v>
      </c>
      <c r="F1300" s="82">
        <f>IFERROR(__xludf.DUMMYFUNCTION("""COMPUTED_VALUE"""),16.0)</f>
        <v>16</v>
      </c>
      <c r="G1300" s="86">
        <f>IFERROR(__xludf.DUMMYFUNCTION("""COMPUTED_VALUE"""),16.0)</f>
        <v>16</v>
      </c>
      <c r="H1300" s="86">
        <f>IFERROR(__xludf.DUMMYFUNCTION("""COMPUTED_VALUE"""),0.5)</f>
        <v>0.5</v>
      </c>
      <c r="I1300" s="86">
        <f>IFERROR(__xludf.DUMMYFUNCTION("""COMPUTED_VALUE"""),0.2191780821917808)</f>
        <v>0.2191780822</v>
      </c>
      <c r="J1300" s="82">
        <f>IFERROR(__xludf.DUMMYFUNCTION("""COMPUTED_VALUE"""),288.34375)</f>
        <v>288.34375</v>
      </c>
      <c r="K1300" s="82">
        <f>IFERROR(__xludf.DUMMYFUNCTION("""COMPUTED_VALUE"""),0.5)</f>
        <v>0.5</v>
      </c>
      <c r="L1300" s="82">
        <f>IFERROR(__xludf.DUMMYFUNCTION("""COMPUTED_VALUE"""),0.75)</f>
        <v>0.75</v>
      </c>
      <c r="M1300" s="82">
        <f>IFERROR(__xludf.DUMMYFUNCTION("""COMPUTED_VALUE"""),0.9375)</f>
        <v>0.9375</v>
      </c>
      <c r="N1300" s="82">
        <f>IFERROR(__xludf.DUMMYFUNCTION("""COMPUTED_VALUE"""),2.28125)</f>
        <v>2.28125</v>
      </c>
      <c r="O1300" s="82">
        <f>IFERROR(__xludf.DUMMYFUNCTION("""COMPUTED_VALUE"""),353.84374999999994)</f>
        <v>353.84375</v>
      </c>
      <c r="P1300" s="82">
        <f>IFERROR(__xludf.DUMMYFUNCTION("""COMPUTED_VALUE"""),0.75)</f>
        <v>0.75</v>
      </c>
      <c r="Q1300" s="82">
        <f>IFERROR(__xludf.DUMMYFUNCTION("""COMPUTED_VALUE"""),0.6249999999999999)</f>
        <v>0.625</v>
      </c>
      <c r="R1300" s="82">
        <f>IFERROR(__xludf.DUMMYFUNCTION("""COMPUTED_VALUE"""),1.3124999999999998)</f>
        <v>1.3125</v>
      </c>
      <c r="S1300" s="82">
        <f>IFERROR(__xludf.DUMMYFUNCTION("""COMPUTED_VALUE"""),2.520833333333333)</f>
        <v>2.520833333</v>
      </c>
      <c r="T1300" s="82">
        <f>IFERROR(__xludf.DUMMYFUNCTION("""COMPUTED_VALUE"""),366.63232969106093)</f>
        <v>366.6323297</v>
      </c>
      <c r="U1300" s="82">
        <f>IFERROR(__xludf.DUMMYFUNCTION("""COMPUTED_VALUE"""),0.8497723948450348)</f>
        <v>0.8497723948</v>
      </c>
      <c r="V1300" s="82">
        <f>IFERROR(__xludf.DUMMYFUNCTION("""COMPUTED_VALUE"""),0.5970357616612955)</f>
        <v>0.5970357617</v>
      </c>
      <c r="W1300" s="82">
        <f>IFERROR(__xludf.DUMMYFUNCTION("""COMPUTED_VALUE"""),1.3776843757216148)</f>
        <v>1.377684376</v>
      </c>
      <c r="X1300" s="82">
        <f>IFERROR(__xludf.DUMMYFUNCTION("""COMPUTED_VALUE"""),2.7591311083125007)</f>
        <v>2.759131108</v>
      </c>
      <c r="Y1300" s="82">
        <f>IFERROR(__xludf.DUMMYFUNCTION("""COMPUTED_VALUE"""),364.017698345243)</f>
        <v>364.0176983</v>
      </c>
      <c r="Z1300" s="82">
        <f>IFERROR(__xludf.DUMMYFUNCTION("""COMPUTED_VALUE"""),0.8250936342278847)</f>
        <v>0.8250936342</v>
      </c>
      <c r="AA1300" s="82">
        <f>IFERROR(__xludf.DUMMYFUNCTION("""COMPUTED_VALUE"""),0.6049528785528545)</f>
        <v>0.6049528786</v>
      </c>
      <c r="AB1300" s="82">
        <f>IFERROR(__xludf.DUMMYFUNCTION("""COMPUTED_VALUE"""),1.3888519097902006)</f>
        <v>1.38885191</v>
      </c>
      <c r="AC1300" s="82">
        <f>IFERROR(__xludf.DUMMYFUNCTION("""COMPUTED_VALUE"""),2.736937126851936)</f>
        <v>2.736937127</v>
      </c>
      <c r="AD1300" s="82">
        <f>IFERROR(__xludf.DUMMYFUNCTION("""COMPUTED_VALUE"""),0.7921146452789446)</f>
        <v>0.7921146453</v>
      </c>
      <c r="AE1300" s="82">
        <f>IFERROR(__xludf.DUMMYFUNCTION("""COMPUTED_VALUE"""),0.6059918283915686)</f>
        <v>0.6059918284</v>
      </c>
      <c r="AF1300" s="82">
        <f>IFERROR(__xludf.DUMMYFUNCTION("""COMPUTED_VALUE"""),1.2397659827557508)</f>
        <v>1.239765983</v>
      </c>
      <c r="AG1300" s="82">
        <f>IFERROR(__xludf.DUMMYFUNCTION("""COMPUTED_VALUE"""),0.6750179723204747)</f>
        <v>0.6750179723</v>
      </c>
      <c r="AH1300" s="82">
        <f>IFERROR(__xludf.DUMMYFUNCTION("""COMPUTED_VALUE"""),0.8335047150403219)</f>
        <v>0.833504715</v>
      </c>
      <c r="AI1300" s="82">
        <f>IFERROR(__xludf.DUMMYFUNCTION("""COMPUTED_VALUE"""),0.9651187888917566)</f>
        <v>0.9651187889</v>
      </c>
      <c r="AJ1300" s="82">
        <f>IFERROR(__xludf.DUMMYFUNCTION("""COMPUTED_VALUE"""),0.8825892727861213)</f>
        <v>0.8825892728</v>
      </c>
      <c r="AK1300" s="82">
        <f>IFERROR(__xludf.DUMMYFUNCTION("""COMPUTED_VALUE"""),1.0468384645182591)</f>
        <v>1.046838465</v>
      </c>
      <c r="AL1300" s="82">
        <f>IFERROR(__xludf.DUMMYFUNCTION("""COMPUTED_VALUE"""),0.9526855520245904)</f>
        <v>0.952685552</v>
      </c>
      <c r="AM1300" s="82">
        <f>IFERROR(__xludf.DUMMYFUNCTION("""COMPUTED_VALUE"""),0.9136330367697126)</f>
        <v>0.9136330368</v>
      </c>
      <c r="AN1300" s="82">
        <f>IFERROR(__xludf.DUMMYFUNCTION("""COMPUTED_VALUE"""),0.8351077578502201)</f>
        <v>0.8351077579</v>
      </c>
      <c r="AO1300" s="82">
        <f>IFERROR(__xludf.DUMMYFUNCTION("""COMPUTED_VALUE"""),0.6628251278283709)</f>
        <v>0.6628251278</v>
      </c>
      <c r="AP1300" s="82">
        <f>IFERROR(__xludf.DUMMYFUNCTION("""COMPUTED_VALUE"""),1.3908834917251487)</f>
        <v>1.390883492</v>
      </c>
      <c r="AQ1300" s="82">
        <f>IFERROR(__xludf.DUMMYFUNCTION("""COMPUTED_VALUE"""),0.6941135281372512)</f>
        <v>0.6941135281</v>
      </c>
      <c r="AR1300" s="82">
        <f>IFERROR(__xludf.DUMMYFUNCTION("""COMPUTED_VALUE"""),0.890876043129032)</f>
        <v>0.8908760431</v>
      </c>
      <c r="AS1300" s="82">
        <f>IFERROR(__xludf.DUMMYFUNCTION("""COMPUTED_VALUE"""),77.0)</f>
        <v>77</v>
      </c>
      <c r="AT1300" s="82">
        <f>IFERROR(__xludf.DUMMYFUNCTION("""COMPUTED_VALUE"""),0.5260764841545491)</f>
        <v>0.5260764842</v>
      </c>
      <c r="AU1300" s="82">
        <f>IFERROR(__xludf.DUMMYFUNCTION("""COMPUTED_VALUE"""),2.1370574577471646)</f>
        <v>2.137057458</v>
      </c>
      <c r="AV1300" s="82">
        <f>IFERROR(__xludf.DUMMYFUNCTION("""COMPUTED_VALUE"""),42.78650232020894)</f>
        <v>42.78650232</v>
      </c>
      <c r="AW1300" s="82">
        <f t="shared" si="1"/>
        <v>-2.587544767</v>
      </c>
      <c r="AX1300" s="83">
        <f t="array" ref="AX1300">IFERROR(DGET('SBV Import'!A:G,"SBV",{"RSC ID","Tier";B1300,A1300}))</f>
        <v>31.49531453</v>
      </c>
      <c r="AY1300" s="82">
        <f t="shared" si="2"/>
        <v>-4.355530826</v>
      </c>
      <c r="AZ1300" s="82">
        <v>1.7679860596281163</v>
      </c>
      <c r="BA1300" s="84">
        <v>1200.0</v>
      </c>
      <c r="BB1300" s="84" t="b">
        <f>IFERROR(__xludf.DUMMYFUNCTION("iferror(if(A1300="""",,E1300&gt;=FILTER(Constants!$F$2:$F$10,Constants!$A$2:$A$10=A1300)))"),TRUE)</f>
        <v>1</v>
      </c>
    </row>
    <row r="1301">
      <c r="A1301" s="89" t="str">
        <f>IFERROR(__xludf.DUMMYFUNCTION("""COMPUTED_VALUE"""),"Veteran")</f>
        <v>Veteran</v>
      </c>
      <c r="B1301" s="87" t="str">
        <f>IFERROR(__xludf.DUMMYFUNCTION("""COMPUTED_VALUE"""),"RSC004094")</f>
        <v>RSC004094</v>
      </c>
      <c r="C1301" s="73" t="str">
        <f>IFERROR(__xludf.DUMMYFUNCTION("""COMPUTED_VALUE"""),"Moxen")</f>
        <v>Moxen</v>
      </c>
      <c r="D1301" s="73"/>
      <c r="E1301" s="82">
        <f>IFERROR(__xludf.DUMMYFUNCTION("""COMPUTED_VALUE"""),16.0)</f>
        <v>16</v>
      </c>
      <c r="F1301" s="82">
        <f>IFERROR(__xludf.DUMMYFUNCTION("""COMPUTED_VALUE"""),8.0)</f>
        <v>8</v>
      </c>
      <c r="G1301" s="86">
        <f>IFERROR(__xludf.DUMMYFUNCTION("""COMPUTED_VALUE"""),8.0)</f>
        <v>8</v>
      </c>
      <c r="H1301" s="86">
        <f>IFERROR(__xludf.DUMMYFUNCTION("""COMPUTED_VALUE"""),0.5)</f>
        <v>0.5</v>
      </c>
      <c r="I1301" s="86">
        <f>IFERROR(__xludf.DUMMYFUNCTION("""COMPUTED_VALUE"""),0.30952380952380953)</f>
        <v>0.3095238095</v>
      </c>
      <c r="J1301" s="82">
        <f>IFERROR(__xludf.DUMMYFUNCTION("""COMPUTED_VALUE"""),311.125)</f>
        <v>311.125</v>
      </c>
      <c r="K1301" s="82">
        <f>IFERROR(__xludf.DUMMYFUNCTION("""COMPUTED_VALUE"""),0.8125)</f>
        <v>0.8125</v>
      </c>
      <c r="L1301" s="82">
        <f>IFERROR(__xludf.DUMMYFUNCTION("""COMPUTED_VALUE"""),0.375)</f>
        <v>0.375</v>
      </c>
      <c r="M1301" s="82">
        <f>IFERROR(__xludf.DUMMYFUNCTION("""COMPUTED_VALUE"""),1.0)</f>
        <v>1</v>
      </c>
      <c r="N1301" s="82">
        <f>IFERROR(__xludf.DUMMYFUNCTION("""COMPUTED_VALUE"""),2.625)</f>
        <v>2.625</v>
      </c>
      <c r="O1301" s="82">
        <f>IFERROR(__xludf.DUMMYFUNCTION("""COMPUTED_VALUE"""),383.68750000000006)</f>
        <v>383.6875</v>
      </c>
      <c r="P1301" s="82">
        <f>IFERROR(__xludf.DUMMYFUNCTION("""COMPUTED_VALUE"""),0.8333333333333336)</f>
        <v>0.8333333333</v>
      </c>
      <c r="Q1301" s="82">
        <f>IFERROR(__xludf.DUMMYFUNCTION("""COMPUTED_VALUE"""),0.625)</f>
        <v>0.625</v>
      </c>
      <c r="R1301" s="82">
        <f>IFERROR(__xludf.DUMMYFUNCTION("""COMPUTED_VALUE"""),1.5833333333333333)</f>
        <v>1.583333333</v>
      </c>
      <c r="S1301" s="82">
        <f>IFERROR(__xludf.DUMMYFUNCTION("""COMPUTED_VALUE"""),2.6875)</f>
        <v>2.6875</v>
      </c>
      <c r="T1301" s="82">
        <f>IFERROR(__xludf.DUMMYFUNCTION("""COMPUTED_VALUE"""),368.00721511274753)</f>
        <v>368.0072151</v>
      </c>
      <c r="U1301" s="82">
        <f>IFERROR(__xludf.DUMMYFUNCTION("""COMPUTED_VALUE"""),0.8270545158027369)</f>
        <v>0.8270545158</v>
      </c>
      <c r="V1301" s="82">
        <f>IFERROR(__xludf.DUMMYFUNCTION("""COMPUTED_VALUE"""),0.6532107623515357)</f>
        <v>0.6532107624</v>
      </c>
      <c r="W1301" s="82">
        <f>IFERROR(__xludf.DUMMYFUNCTION("""COMPUTED_VALUE"""),1.3806722061584489)</f>
        <v>1.380672206</v>
      </c>
      <c r="X1301" s="82">
        <f>IFERROR(__xludf.DUMMYFUNCTION("""COMPUTED_VALUE"""),2.7113071707177494)</f>
        <v>2.711307171</v>
      </c>
      <c r="Y1301" s="82">
        <f>IFERROR(__xludf.DUMMYFUNCTION("""COMPUTED_VALUE"""),361.2198493697059)</f>
        <v>361.2198494</v>
      </c>
      <c r="Z1301" s="82">
        <f>IFERROR(__xludf.DUMMYFUNCTION("""COMPUTED_VALUE"""),0.7949240150062415)</f>
        <v>0.794924015</v>
      </c>
      <c r="AA1301" s="82">
        <f>IFERROR(__xludf.DUMMYFUNCTION("""COMPUTED_VALUE"""),0.5685741874408068)</f>
        <v>0.5685741874</v>
      </c>
      <c r="AB1301" s="82">
        <f>IFERROR(__xludf.DUMMYFUNCTION("""COMPUTED_VALUE"""),1.4343646829998427)</f>
        <v>1.434364683</v>
      </c>
      <c r="AC1301" s="82">
        <f>IFERROR(__xludf.DUMMYFUNCTION("""COMPUTED_VALUE"""),2.5905688343138933)</f>
        <v>2.590568834</v>
      </c>
      <c r="AD1301" s="82">
        <f>IFERROR(__xludf.DUMMYFUNCTION("""COMPUTED_VALUE"""),0.8613175619858193)</f>
        <v>0.861317562</v>
      </c>
      <c r="AE1301" s="82">
        <f>IFERROR(__xludf.DUMMYFUNCTION("""COMPUTED_VALUE"""),1.0221102704937408)</f>
        <v>1.02211027</v>
      </c>
      <c r="AF1301" s="82">
        <f>IFERROR(__xludf.DUMMYFUNCTION("""COMPUTED_VALUE"""),0.6595445383968307)</f>
        <v>0.6595445384</v>
      </c>
      <c r="AG1301" s="82">
        <f>IFERROR(__xludf.DUMMYFUNCTION("""COMPUTED_VALUE"""),0.6971727705318228)</f>
        <v>0.6971727705</v>
      </c>
      <c r="AH1301" s="82">
        <f>IFERROR(__xludf.DUMMYFUNCTION("""COMPUTED_VALUE"""),1.0132909673080452)</f>
        <v>1.013290967</v>
      </c>
      <c r="AI1301" s="82">
        <f>IFERROR(__xludf.DUMMYFUNCTION("""COMPUTED_VALUE"""),1.0426086344053023)</f>
        <v>1.042608634</v>
      </c>
      <c r="AJ1301" s="82">
        <f>IFERROR(__xludf.DUMMYFUNCTION("""COMPUTED_VALUE"""),1.0075917819329026)</f>
        <v>1.007591782</v>
      </c>
      <c r="AK1301" s="82">
        <f>IFERROR(__xludf.DUMMYFUNCTION("""COMPUTED_VALUE"""),0.9568121592945316)</f>
        <v>0.9568121593</v>
      </c>
      <c r="AL1301" s="82">
        <f>IFERROR(__xludf.DUMMYFUNCTION("""COMPUTED_VALUE"""),1.1467843897131558)</f>
        <v>1.14678439</v>
      </c>
      <c r="AM1301" s="82">
        <f>IFERROR(__xludf.DUMMYFUNCTION("""COMPUTED_VALUE"""),0.9912193015329034)</f>
        <v>0.9912193015</v>
      </c>
      <c r="AN1301" s="82">
        <f>IFERROR(__xludf.DUMMYFUNCTION("""COMPUTED_VALUE"""),0.9010873346869829)</f>
        <v>0.9010873347</v>
      </c>
      <c r="AO1301" s="82">
        <f>IFERROR(__xludf.DUMMYFUNCTION("""COMPUTED_VALUE"""),1.0770908327211026)</f>
        <v>1.077090833</v>
      </c>
      <c r="AP1301" s="82">
        <f>IFERROR(__xludf.DUMMYFUNCTION("""COMPUTED_VALUE"""),0.6954417458625743)</f>
        <v>0.6954417459</v>
      </c>
      <c r="AQ1301" s="82">
        <f>IFERROR(__xludf.DUMMYFUNCTION("""COMPUTED_VALUE"""),0.7403877633464013)</f>
        <v>0.7403877633</v>
      </c>
      <c r="AR1301" s="82">
        <f>IFERROR(__xludf.DUMMYFUNCTION("""COMPUTED_VALUE"""),1.025117638669023)</f>
        <v>1.025117639</v>
      </c>
      <c r="AS1301" s="82">
        <f>IFERROR(__xludf.DUMMYFUNCTION("""COMPUTED_VALUE"""),40.0)</f>
        <v>40</v>
      </c>
      <c r="AT1301" s="82">
        <f>IFERROR(__xludf.DUMMYFUNCTION("""COMPUTED_VALUE"""),0.4999999999999998)</f>
        <v>0.5</v>
      </c>
      <c r="AU1301" s="82">
        <f>IFERROR(__xludf.DUMMYFUNCTION("""COMPUTED_VALUE"""),2.134443469962126)</f>
        <v>2.13444347</v>
      </c>
      <c r="AV1301" s="82">
        <f>IFERROR(__xludf.DUMMYFUNCTION("""COMPUTED_VALUE"""),42.705531193772224)</f>
        <v>42.70553119</v>
      </c>
      <c r="AW1301" s="82">
        <f t="shared" si="1"/>
        <v>-2.595866007</v>
      </c>
      <c r="AX1301" s="83">
        <f t="array" ref="AX1301">IFERROR(DGET('SBV Import'!A:G,"SBV",{"RSC ID","Tier";B1301,A1301}))</f>
        <v>25.67212302</v>
      </c>
      <c r="AY1301" s="82">
        <f t="shared" si="2"/>
        <v>-6.051508436</v>
      </c>
      <c r="AZ1301" s="82">
        <v>3.455642429581311</v>
      </c>
      <c r="BA1301" s="84">
        <v>1200.0</v>
      </c>
      <c r="BB1301" s="84" t="b">
        <f>IFERROR(__xludf.DUMMYFUNCTION("iferror(if(A1301="""",,E1301&gt;=FILTER(Constants!$F$2:$F$10,Constants!$A$2:$A$10=A1301)))"),TRUE)</f>
        <v>1</v>
      </c>
    </row>
    <row r="1302">
      <c r="A1302" s="89" t="str">
        <f>IFERROR(__xludf.DUMMYFUNCTION("""COMPUTED_VALUE"""),"Veteran")</f>
        <v>Veteran</v>
      </c>
      <c r="B1302" s="87" t="str">
        <f>IFERROR(__xludf.DUMMYFUNCTION("""COMPUTED_VALUE"""),"RSC007795")</f>
        <v>RSC007795</v>
      </c>
      <c r="C1302" s="73" t="str">
        <f>IFERROR(__xludf.DUMMYFUNCTION("""COMPUTED_VALUE"""),"Gizmeaux")</f>
        <v>Gizmeaux</v>
      </c>
      <c r="D1302" s="73" t="str">
        <f>IFERROR(__xludf.DUMMYFUNCTION("""COMPUTED_VALUE"""),"Gouda Gangsters")</f>
        <v>Gouda Gangsters</v>
      </c>
      <c r="E1302" s="82">
        <f>IFERROR(__xludf.DUMMYFUNCTION("""COMPUTED_VALUE"""),16.0)</f>
        <v>16</v>
      </c>
      <c r="F1302" s="82">
        <f>IFERROR(__xludf.DUMMYFUNCTION("""COMPUTED_VALUE"""),6.0)</f>
        <v>6</v>
      </c>
      <c r="G1302" s="86">
        <f>IFERROR(__xludf.DUMMYFUNCTION("""COMPUTED_VALUE"""),10.0)</f>
        <v>10</v>
      </c>
      <c r="H1302" s="86">
        <f>IFERROR(__xludf.DUMMYFUNCTION("""COMPUTED_VALUE"""),0.375)</f>
        <v>0.375</v>
      </c>
      <c r="I1302" s="86">
        <f>IFERROR(__xludf.DUMMYFUNCTION("""COMPUTED_VALUE"""),0.34210526315789475)</f>
        <v>0.3421052632</v>
      </c>
      <c r="J1302" s="82">
        <f>IFERROR(__xludf.DUMMYFUNCTION("""COMPUTED_VALUE"""),332.125)</f>
        <v>332.125</v>
      </c>
      <c r="K1302" s="82">
        <f>IFERROR(__xludf.DUMMYFUNCTION("""COMPUTED_VALUE"""),0.8125)</f>
        <v>0.8125</v>
      </c>
      <c r="L1302" s="82">
        <f>IFERROR(__xludf.DUMMYFUNCTION("""COMPUTED_VALUE"""),0.5625)</f>
        <v>0.5625</v>
      </c>
      <c r="M1302" s="82">
        <f>IFERROR(__xludf.DUMMYFUNCTION("""COMPUTED_VALUE"""),1.125)</f>
        <v>1.125</v>
      </c>
      <c r="N1302" s="82">
        <f>IFERROR(__xludf.DUMMYFUNCTION("""COMPUTED_VALUE"""),2.375)</f>
        <v>2.375</v>
      </c>
      <c r="O1302" s="82">
        <f>IFERROR(__xludf.DUMMYFUNCTION("""COMPUTED_VALUE"""),387.75)</f>
        <v>387.75</v>
      </c>
      <c r="P1302" s="82">
        <f>IFERROR(__xludf.DUMMYFUNCTION("""COMPUTED_VALUE"""),1.0208333333333335)</f>
        <v>1.020833333</v>
      </c>
      <c r="Q1302" s="82">
        <f>IFERROR(__xludf.DUMMYFUNCTION("""COMPUTED_VALUE"""),0.7291666666666667)</f>
        <v>0.7291666667</v>
      </c>
      <c r="R1302" s="82">
        <f>IFERROR(__xludf.DUMMYFUNCTION("""COMPUTED_VALUE"""),1.2708333333333333)</f>
        <v>1.270833333</v>
      </c>
      <c r="S1302" s="82">
        <f>IFERROR(__xludf.DUMMYFUNCTION("""COMPUTED_VALUE"""),2.5625000000000004)</f>
        <v>2.5625</v>
      </c>
      <c r="T1302" s="82">
        <f>IFERROR(__xludf.DUMMYFUNCTION("""COMPUTED_VALUE"""),354.8268119531346)</f>
        <v>354.826812</v>
      </c>
      <c r="U1302" s="82">
        <f>IFERROR(__xludf.DUMMYFUNCTION("""COMPUTED_VALUE"""),0.7995586988837532)</f>
        <v>0.7995586989</v>
      </c>
      <c r="V1302" s="82">
        <f>IFERROR(__xludf.DUMMYFUNCTION("""COMPUTED_VALUE"""),0.5670821017796632)</f>
        <v>0.5670821018</v>
      </c>
      <c r="W1302" s="82">
        <f>IFERROR(__xludf.DUMMYFUNCTION("""COMPUTED_VALUE"""),1.3778946955418445)</f>
        <v>1.377894696</v>
      </c>
      <c r="X1302" s="82">
        <f>IFERROR(__xludf.DUMMYFUNCTION("""COMPUTED_VALUE"""),2.592543613498851)</f>
        <v>2.592543613</v>
      </c>
      <c r="Y1302" s="82">
        <f>IFERROR(__xludf.DUMMYFUNCTION("""COMPUTED_VALUE"""),366.8055238386066)</f>
        <v>366.8055238</v>
      </c>
      <c r="Z1302" s="82">
        <f>IFERROR(__xludf.DUMMYFUNCTION("""COMPUTED_VALUE"""),0.8825236009080142)</f>
        <v>0.8825236009</v>
      </c>
      <c r="AA1302" s="82">
        <f>IFERROR(__xludf.DUMMYFUNCTION("""COMPUTED_VALUE"""),0.6490074694249033)</f>
        <v>0.6490074694</v>
      </c>
      <c r="AB1302" s="82">
        <f>IFERROR(__xludf.DUMMYFUNCTION("""COMPUTED_VALUE"""),1.3506491541460357)</f>
        <v>1.350649154</v>
      </c>
      <c r="AC1302" s="82">
        <f>IFERROR(__xludf.DUMMYFUNCTION("""COMPUTED_VALUE"""),2.7752566854247416)</f>
        <v>2.775256685</v>
      </c>
      <c r="AD1302" s="82">
        <f>IFERROR(__xludf.DUMMYFUNCTION("""COMPUTED_VALUE"""),0.9054525584138533)</f>
        <v>0.9054525584</v>
      </c>
      <c r="AE1302" s="82">
        <f>IFERROR(__xludf.DUMMYFUNCTION("""COMPUTED_VALUE"""),0.9206552653821745)</f>
        <v>0.9206552654</v>
      </c>
      <c r="AF1302" s="82">
        <f>IFERROR(__xludf.DUMMYFUNCTION("""COMPUTED_VALUE"""),0.8667080526799499)</f>
        <v>0.8667080527</v>
      </c>
      <c r="AG1302" s="82">
        <f>IFERROR(__xludf.DUMMYFUNCTION("""COMPUTED_VALUE"""),0.8329328134894475)</f>
        <v>0.8329328135</v>
      </c>
      <c r="AH1302" s="82">
        <f>IFERROR(__xludf.DUMMYFUNCTION("""COMPUTED_VALUE"""),0.8557766971513542)</f>
        <v>0.8557766972</v>
      </c>
      <c r="AI1302" s="82">
        <f>IFERROR(__xludf.DUMMYFUNCTION("""COMPUTED_VALUE"""),1.092786641081717)</f>
        <v>1.092786641</v>
      </c>
      <c r="AJ1302" s="82">
        <f>IFERROR(__xludf.DUMMYFUNCTION("""COMPUTED_VALUE"""),1.2767459534346848)</f>
        <v>1.276745953</v>
      </c>
      <c r="AK1302" s="82">
        <f>IFERROR(__xludf.DUMMYFUNCTION("""COMPUTED_VALUE"""),1.2858220430134129)</f>
        <v>1.285822043</v>
      </c>
      <c r="AL1302" s="82">
        <f>IFERROR(__xludf.DUMMYFUNCTION("""COMPUTED_VALUE"""),0.922300766121746)</f>
        <v>0.9223007661</v>
      </c>
      <c r="AM1302" s="82">
        <f>IFERROR(__xludf.DUMMYFUNCTION("""COMPUTED_VALUE"""),0.9884115301503823)</f>
        <v>0.9884115302</v>
      </c>
      <c r="AN1302" s="82">
        <f>IFERROR(__xludf.DUMMYFUNCTION("""COMPUTED_VALUE"""),0.9619080145694309)</f>
        <v>0.9619080146</v>
      </c>
      <c r="AO1302" s="82">
        <f>IFERROR(__xludf.DUMMYFUNCTION("""COMPUTED_VALUE"""),1.0770908327211026)</f>
        <v>1.077090833</v>
      </c>
      <c r="AP1302" s="82">
        <f>IFERROR(__xludf.DUMMYFUNCTION("""COMPUTED_VALUE"""),1.0431626187938616)</f>
        <v>1.043162619</v>
      </c>
      <c r="AQ1302" s="82">
        <f>IFERROR(__xludf.DUMMYFUNCTION("""COMPUTED_VALUE"""),0.8329362337647015)</f>
        <v>0.8329362338</v>
      </c>
      <c r="AR1302" s="82">
        <f>IFERROR(__xludf.DUMMYFUNCTION("""COMPUTED_VALUE"""),0.9274873873672114)</f>
        <v>0.9274873874</v>
      </c>
      <c r="AS1302" s="82">
        <f>IFERROR(__xludf.DUMMYFUNCTION("""COMPUTED_VALUE"""),44.0)</f>
        <v>44</v>
      </c>
      <c r="AT1302" s="82">
        <f>IFERROR(__xludf.DUMMYFUNCTION("""COMPUTED_VALUE"""),0.45552674156856526)</f>
        <v>0.4555267416</v>
      </c>
      <c r="AU1302" s="82">
        <f>IFERROR(__xludf.DUMMYFUNCTION("""COMPUTED_VALUE"""),2.1109981482112725)</f>
        <v>2.110998148</v>
      </c>
      <c r="AV1302" s="82">
        <f>IFERROR(__xludf.DUMMYFUNCTION("""COMPUTED_VALUE"""),41.97928674737361)</f>
        <v>41.97928675</v>
      </c>
      <c r="AW1302" s="82">
        <f t="shared" si="1"/>
        <v>-2.672580776</v>
      </c>
      <c r="AX1302" s="83">
        <f t="array" ref="AX1302">IFERROR(DGET('SBV Import'!A:G,"SBV",{"RSC ID","Tier";B1302,A1302}))</f>
        <v>38.04857285</v>
      </c>
      <c r="AY1302" s="82">
        <f t="shared" si="2"/>
        <v>-3.161507634</v>
      </c>
      <c r="AZ1302" s="82">
        <v>0.48892685794015645</v>
      </c>
      <c r="BA1302" s="84">
        <v>1200.0</v>
      </c>
      <c r="BB1302" s="84" t="b">
        <f>IFERROR(__xludf.DUMMYFUNCTION("iferror(if(A1302="""",,E1302&gt;=FILTER(Constants!$F$2:$F$10,Constants!$A$2:$A$10=A1302)))"),TRUE)</f>
        <v>1</v>
      </c>
    </row>
    <row r="1303">
      <c r="A1303" s="89" t="str">
        <f>IFERROR(__xludf.DUMMYFUNCTION("""COMPUTED_VALUE"""),"Veteran")</f>
        <v>Veteran</v>
      </c>
      <c r="B1303" s="87" t="str">
        <f>IFERROR(__xludf.DUMMYFUNCTION("""COMPUTED_VALUE"""),"RSC006700")</f>
        <v>RSC006700</v>
      </c>
      <c r="C1303" s="73" t="str">
        <f>IFERROR(__xludf.DUMMYFUNCTION("""COMPUTED_VALUE"""),"Terx")</f>
        <v>Terx</v>
      </c>
      <c r="D1303" s="73" t="str">
        <f>IFERROR(__xludf.DUMMYFUNCTION("""COMPUTED_VALUE"""),"Penguins")</f>
        <v>Penguins</v>
      </c>
      <c r="E1303" s="82">
        <f>IFERROR(__xludf.DUMMYFUNCTION("""COMPUTED_VALUE"""),36.0)</f>
        <v>36</v>
      </c>
      <c r="F1303" s="82">
        <f>IFERROR(__xludf.DUMMYFUNCTION("""COMPUTED_VALUE"""),22.0)</f>
        <v>22</v>
      </c>
      <c r="G1303" s="86">
        <f>IFERROR(__xludf.DUMMYFUNCTION("""COMPUTED_VALUE"""),14.0)</f>
        <v>14</v>
      </c>
      <c r="H1303" s="86">
        <f>IFERROR(__xludf.DUMMYFUNCTION("""COMPUTED_VALUE"""),0.6111111111111112)</f>
        <v>0.6111111111</v>
      </c>
      <c r="I1303" s="86">
        <f>IFERROR(__xludf.DUMMYFUNCTION("""COMPUTED_VALUE"""),0.19999999999999998)</f>
        <v>0.2</v>
      </c>
      <c r="J1303" s="82">
        <f>IFERROR(__xludf.DUMMYFUNCTION("""COMPUTED_VALUE"""),275.0833333333333)</f>
        <v>275.0833333</v>
      </c>
      <c r="K1303" s="82">
        <f>IFERROR(__xludf.DUMMYFUNCTION("""COMPUTED_VALUE"""),0.4722222222222222)</f>
        <v>0.4722222222</v>
      </c>
      <c r="L1303" s="82">
        <f>IFERROR(__xludf.DUMMYFUNCTION("""COMPUTED_VALUE"""),0.6111111111111112)</f>
        <v>0.6111111111</v>
      </c>
      <c r="M1303" s="82">
        <f>IFERROR(__xludf.DUMMYFUNCTION("""COMPUTED_VALUE"""),1.0555555555555556)</f>
        <v>1.055555556</v>
      </c>
      <c r="N1303" s="82">
        <f>IFERROR(__xludf.DUMMYFUNCTION("""COMPUTED_VALUE"""),2.361111111111111)</f>
        <v>2.361111111</v>
      </c>
      <c r="O1303" s="82">
        <f>IFERROR(__xludf.DUMMYFUNCTION("""COMPUTED_VALUE"""),327.59259259259255)</f>
        <v>327.5925926</v>
      </c>
      <c r="P1303" s="82">
        <f>IFERROR(__xludf.DUMMYFUNCTION("""COMPUTED_VALUE"""),0.6203703703703703)</f>
        <v>0.6203703704</v>
      </c>
      <c r="Q1303" s="82">
        <f>IFERROR(__xludf.DUMMYFUNCTION("""COMPUTED_VALUE"""),0.4166666666666668)</f>
        <v>0.4166666667</v>
      </c>
      <c r="R1303" s="82">
        <f>IFERROR(__xludf.DUMMYFUNCTION("""COMPUTED_VALUE"""),1.5277777777777775)</f>
        <v>1.527777778</v>
      </c>
      <c r="S1303" s="82">
        <f>IFERROR(__xludf.DUMMYFUNCTION("""COMPUTED_VALUE"""),2.2037037037037033)</f>
        <v>2.203703704</v>
      </c>
      <c r="T1303" s="82">
        <f>IFERROR(__xludf.DUMMYFUNCTION("""COMPUTED_VALUE"""),354.7786011441707)</f>
        <v>354.7786011</v>
      </c>
      <c r="U1303" s="82">
        <f>IFERROR(__xludf.DUMMYFUNCTION("""COMPUTED_VALUE"""),0.7862001074370173)</f>
        <v>0.7862001074</v>
      </c>
      <c r="V1303" s="82">
        <f>IFERROR(__xludf.DUMMYFUNCTION("""COMPUTED_VALUE"""),0.5554088573007425)</f>
        <v>0.5554088573</v>
      </c>
      <c r="W1303" s="82">
        <f>IFERROR(__xludf.DUMMYFUNCTION("""COMPUTED_VALUE"""),1.3971396634755928)</f>
        <v>1.397139663</v>
      </c>
      <c r="X1303" s="82">
        <f>IFERROR(__xludf.DUMMYFUNCTION("""COMPUTED_VALUE"""),2.6042273568170557)</f>
        <v>2.604227357</v>
      </c>
      <c r="Y1303" s="82">
        <f>IFERROR(__xludf.DUMMYFUNCTION("""COMPUTED_VALUE"""),348.3869072734055)</f>
        <v>348.3869073</v>
      </c>
      <c r="Z1303" s="82">
        <f>IFERROR(__xludf.DUMMYFUNCTION("""COMPUTED_VALUE"""),0.7707942263399628)</f>
        <v>0.7707942263</v>
      </c>
      <c r="AA1303" s="82">
        <f>IFERROR(__xludf.DUMMYFUNCTION("""COMPUTED_VALUE"""),0.5505378181380323)</f>
        <v>0.5505378181</v>
      </c>
      <c r="AB1303" s="82">
        <f>IFERROR(__xludf.DUMMYFUNCTION("""COMPUTED_VALUE"""),1.338410098990893)</f>
        <v>1.338410099</v>
      </c>
      <c r="AC1303" s="82">
        <f>IFERROR(__xludf.DUMMYFUNCTION("""COMPUTED_VALUE"""),2.6302566716068716)</f>
        <v>2.630256672</v>
      </c>
      <c r="AD1303" s="82">
        <f>IFERROR(__xludf.DUMMYFUNCTION("""COMPUTED_VALUE"""),0.7895914788710894)</f>
        <v>0.7895914789</v>
      </c>
      <c r="AE1303" s="82">
        <f>IFERROR(__xludf.DUMMYFUNCTION("""COMPUTED_VALUE"""),0.6126436941082459)</f>
        <v>0.6126436941</v>
      </c>
      <c r="AF1303" s="82">
        <f>IFERROR(__xludf.DUMMYFUNCTION("""COMPUTED_VALUE"""),1.110025671220813)</f>
        <v>1.110025671</v>
      </c>
      <c r="AG1303" s="82">
        <f>IFERROR(__xludf.DUMMYFUNCTION("""COMPUTED_VALUE"""),0.788663770806423)</f>
        <v>0.7886637708</v>
      </c>
      <c r="AH1303" s="82">
        <f>IFERROR(__xludf.DUMMYFUNCTION("""COMPUTED_VALUE"""),0.8976732714334931)</f>
        <v>0.8976732714</v>
      </c>
      <c r="AI1303" s="82">
        <f>IFERROR(__xludf.DUMMYFUNCTION("""COMPUTED_VALUE"""),0.9233719044387049)</f>
        <v>0.9233719044</v>
      </c>
      <c r="AJ1303" s="82">
        <f>IFERROR(__xludf.DUMMYFUNCTION("""COMPUTED_VALUE"""),0.7890743902245885)</f>
        <v>0.7890743902</v>
      </c>
      <c r="AK1303" s="82">
        <f>IFERROR(__xludf.DUMMYFUNCTION("""COMPUTED_VALUE"""),0.7501980949523287)</f>
        <v>0.750198095</v>
      </c>
      <c r="AL1303" s="82">
        <f>IFERROR(__xludf.DUMMYFUNCTION("""COMPUTED_VALUE"""),1.0935039765295926)</f>
        <v>1.093503977</v>
      </c>
      <c r="AM1303" s="82">
        <f>IFERROR(__xludf.DUMMYFUNCTION("""COMPUTED_VALUE"""),0.846202501457906)</f>
        <v>0.8462025015</v>
      </c>
      <c r="AN1303" s="82">
        <f>IFERROR(__xludf.DUMMYFUNCTION("""COMPUTED_VALUE"""),0.79670263607921)</f>
        <v>0.7967026361</v>
      </c>
      <c r="AO1303" s="82">
        <f>IFERROR(__xludf.DUMMYFUNCTION("""COMPUTED_VALUE"""),0.6260015096156836)</f>
        <v>0.6260015096</v>
      </c>
      <c r="AP1303" s="82">
        <f>IFERROR(__xludf.DUMMYFUNCTION("""COMPUTED_VALUE"""),1.1333124747390102)</f>
        <v>1.133312475</v>
      </c>
      <c r="AQ1303" s="82">
        <f>IFERROR(__xludf.DUMMYFUNCTION("""COMPUTED_VALUE"""),0.7815204168656459)</f>
        <v>0.7815204169</v>
      </c>
      <c r="AR1303" s="82">
        <f>IFERROR(__xludf.DUMMYFUNCTION("""COMPUTED_VALUE"""),0.9220634845171107)</f>
        <v>0.9220634845</v>
      </c>
      <c r="AS1303" s="82">
        <f>IFERROR(__xludf.DUMMYFUNCTION("""COMPUTED_VALUE"""),90.0)</f>
        <v>90</v>
      </c>
      <c r="AT1303" s="82">
        <f>IFERROR(__xludf.DUMMYFUNCTION("""COMPUTED_VALUE"""),0.6107245462808761)</f>
        <v>0.6107245463</v>
      </c>
      <c r="AU1303" s="82">
        <f>IFERROR(__xludf.DUMMYFUNCTION("""COMPUTED_VALUE"""),2.0929275528423426)</f>
        <v>2.092927553</v>
      </c>
      <c r="AV1303" s="82">
        <f>IFERROR(__xludf.DUMMYFUNCTION("""COMPUTED_VALUE"""),41.419530320515264)</f>
        <v>41.41953032</v>
      </c>
      <c r="AW1303" s="82">
        <f t="shared" si="1"/>
        <v>-2.734355184</v>
      </c>
      <c r="AX1303" s="83">
        <f t="array" ref="AX1303">IFERROR(DGET('SBV Import'!A:G,"SBV",{"RSC ID","Tier";B1303,A1303}))</f>
        <v>32.0331216</v>
      </c>
      <c r="AY1303" s="82">
        <f t="shared" si="2"/>
        <v>-4.234228129</v>
      </c>
      <c r="AZ1303" s="82">
        <v>1.4998729451486912</v>
      </c>
      <c r="BA1303" s="84">
        <v>1200.0</v>
      </c>
      <c r="BB1303" s="84" t="b">
        <f>IFERROR(__xludf.DUMMYFUNCTION("iferror(if(A1303="""",,E1303&gt;=FILTER(Constants!$F$2:$F$10,Constants!$A$2:$A$10=A1303)))"),TRUE)</f>
        <v>1</v>
      </c>
    </row>
    <row r="1304">
      <c r="A1304" s="89" t="str">
        <f>IFERROR(__xludf.DUMMYFUNCTION("""COMPUTED_VALUE"""),"Veteran")</f>
        <v>Veteran</v>
      </c>
      <c r="B1304" s="87" t="str">
        <f>IFERROR(__xludf.DUMMYFUNCTION("""COMPUTED_VALUE"""),"RSC004859")</f>
        <v>RSC004859</v>
      </c>
      <c r="C1304" s="73" t="str">
        <f>IFERROR(__xludf.DUMMYFUNCTION("""COMPUTED_VALUE"""),"LowFadeEnthusiast")</f>
        <v>LowFadeEnthusiast</v>
      </c>
      <c r="D1304" s="73"/>
      <c r="E1304" s="82">
        <f>IFERROR(__xludf.DUMMYFUNCTION("""COMPUTED_VALUE"""),8.0)</f>
        <v>8</v>
      </c>
      <c r="F1304" s="82">
        <f>IFERROR(__xludf.DUMMYFUNCTION("""COMPUTED_VALUE"""),5.0)</f>
        <v>5</v>
      </c>
      <c r="G1304" s="86">
        <f>IFERROR(__xludf.DUMMYFUNCTION("""COMPUTED_VALUE"""),3.0)</f>
        <v>3</v>
      </c>
      <c r="H1304" s="86">
        <f>IFERROR(__xludf.DUMMYFUNCTION("""COMPUTED_VALUE"""),0.625)</f>
        <v>0.625</v>
      </c>
      <c r="I1304" s="86">
        <f>IFERROR(__xludf.DUMMYFUNCTION("""COMPUTED_VALUE"""),0.3157894736842105)</f>
        <v>0.3157894737</v>
      </c>
      <c r="J1304" s="82">
        <f>IFERROR(__xludf.DUMMYFUNCTION("""COMPUTED_VALUE"""),283.125)</f>
        <v>283.125</v>
      </c>
      <c r="K1304" s="82">
        <f>IFERROR(__xludf.DUMMYFUNCTION("""COMPUTED_VALUE"""),0.75)</f>
        <v>0.75</v>
      </c>
      <c r="L1304" s="82">
        <f>IFERROR(__xludf.DUMMYFUNCTION("""COMPUTED_VALUE"""),0.25)</f>
        <v>0.25</v>
      </c>
      <c r="M1304" s="82">
        <f>IFERROR(__xludf.DUMMYFUNCTION("""COMPUTED_VALUE"""),0.875)</f>
        <v>0.875</v>
      </c>
      <c r="N1304" s="82">
        <f>IFERROR(__xludf.DUMMYFUNCTION("""COMPUTED_VALUE"""),2.375)</f>
        <v>2.375</v>
      </c>
      <c r="O1304" s="82">
        <f>IFERROR(__xludf.DUMMYFUNCTION("""COMPUTED_VALUE"""),311.95833333333337)</f>
        <v>311.9583333</v>
      </c>
      <c r="P1304" s="82">
        <f>IFERROR(__xludf.DUMMYFUNCTION("""COMPUTED_VALUE"""),0.41666666666666663)</f>
        <v>0.4166666667</v>
      </c>
      <c r="Q1304" s="82">
        <f>IFERROR(__xludf.DUMMYFUNCTION("""COMPUTED_VALUE"""),0.375)</f>
        <v>0.375</v>
      </c>
      <c r="R1304" s="82">
        <f>IFERROR(__xludf.DUMMYFUNCTION("""COMPUTED_VALUE"""),1.3333333333333335)</f>
        <v>1.333333333</v>
      </c>
      <c r="S1304" s="82">
        <f>IFERROR(__xludf.DUMMYFUNCTION("""COMPUTED_VALUE"""),2.541666666666667)</f>
        <v>2.541666667</v>
      </c>
      <c r="T1304" s="82">
        <f>IFERROR(__xludf.DUMMYFUNCTION("""COMPUTED_VALUE"""),338.7839856594811)</f>
        <v>338.7839857</v>
      </c>
      <c r="U1304" s="82">
        <f>IFERROR(__xludf.DUMMYFUNCTION("""COMPUTED_VALUE"""),0.6641234319814883)</f>
        <v>0.664123432</v>
      </c>
      <c r="V1304" s="82">
        <f>IFERROR(__xludf.DUMMYFUNCTION("""COMPUTED_VALUE"""),0.517148033126294)</f>
        <v>0.5171480331</v>
      </c>
      <c r="W1304" s="82">
        <f>IFERROR(__xludf.DUMMYFUNCTION("""COMPUTED_VALUE"""),1.3584628851540617)</f>
        <v>1.358462885</v>
      </c>
      <c r="X1304" s="82">
        <f>IFERROR(__xludf.DUMMYFUNCTION("""COMPUTED_VALUE"""),2.590229570088905)</f>
        <v>2.59022957</v>
      </c>
      <c r="Y1304" s="82">
        <f>IFERROR(__xludf.DUMMYFUNCTION("""COMPUTED_VALUE"""),349.3048338610806)</f>
        <v>349.3048339</v>
      </c>
      <c r="Z1304" s="82">
        <f>IFERROR(__xludf.DUMMYFUNCTION("""COMPUTED_VALUE"""),0.7094661632769049)</f>
        <v>0.7094661633</v>
      </c>
      <c r="AA1304" s="82">
        <f>IFERROR(__xludf.DUMMYFUNCTION("""COMPUTED_VALUE"""),0.48773261478504437)</f>
        <v>0.4877326148</v>
      </c>
      <c r="AB1304" s="82">
        <f>IFERROR(__xludf.DUMMYFUNCTION("""COMPUTED_VALUE"""),1.4309313725490198)</f>
        <v>1.430931373</v>
      </c>
      <c r="AC1304" s="82">
        <f>IFERROR(__xludf.DUMMYFUNCTION("""COMPUTED_VALUE"""),2.3985381398936387)</f>
        <v>2.39853814</v>
      </c>
      <c r="AD1304" s="82">
        <f>IFERROR(__xludf.DUMMYFUNCTION("""COMPUTED_VALUE"""),0.8105384539642515)</f>
        <v>0.810538454</v>
      </c>
      <c r="AE1304" s="82">
        <f>IFERROR(__xludf.DUMMYFUNCTION("""COMPUTED_VALUE"""),1.0571328680932097)</f>
        <v>1.057132868</v>
      </c>
      <c r="AF1304" s="82">
        <f>IFERROR(__xludf.DUMMYFUNCTION("""COMPUTED_VALUE"""),0.5125759328401303)</f>
        <v>0.5125759328</v>
      </c>
      <c r="AG1304" s="82">
        <f>IFERROR(__xludf.DUMMYFUNCTION("""COMPUTED_VALUE"""),0.6114898427597546)</f>
        <v>0.6114898428</v>
      </c>
      <c r="AH1304" s="82">
        <f>IFERROR(__xludf.DUMMYFUNCTION("""COMPUTED_VALUE"""),0.9901864642041163)</f>
        <v>0.9901864642</v>
      </c>
      <c r="AI1304" s="82">
        <f>IFERROR(__xludf.DUMMYFUNCTION("""COMPUTED_VALUE"""),0.9208178265158296)</f>
        <v>0.9208178265</v>
      </c>
      <c r="AJ1304" s="82">
        <f>IFERROR(__xludf.DUMMYFUNCTION("""COMPUTED_VALUE"""),0.6273934130339204)</f>
        <v>0.627393413</v>
      </c>
      <c r="AK1304" s="82">
        <f>IFERROR(__xludf.DUMMYFUNCTION("""COMPUTED_VALUE"""),0.7251308638515509)</f>
        <v>0.7251308639</v>
      </c>
      <c r="AL1304" s="82">
        <f>IFERROR(__xludf.DUMMYFUNCTION("""COMPUTED_VALUE"""),0.98150148075788)</f>
        <v>0.9815014808</v>
      </c>
      <c r="AM1304" s="82">
        <f>IFERROR(__xludf.DUMMYFUNCTION("""COMPUTED_VALUE"""),0.9812515060506505)</f>
        <v>0.9812515061</v>
      </c>
      <c r="AN1304" s="82">
        <f>IFERROR(__xludf.DUMMYFUNCTION("""COMPUTED_VALUE"""),0.8199930948437189)</f>
        <v>0.8199930948</v>
      </c>
      <c r="AO1304" s="82">
        <f>IFERROR(__xludf.DUMMYFUNCTION("""COMPUTED_VALUE"""),0.9942376917425563)</f>
        <v>0.9942376917</v>
      </c>
      <c r="AP1304" s="82">
        <f>IFERROR(__xludf.DUMMYFUNCTION("""COMPUTED_VALUE"""),0.4636278305750496)</f>
        <v>0.4636278306</v>
      </c>
      <c r="AQ1304" s="82">
        <f>IFERROR(__xludf.DUMMYFUNCTION("""COMPUTED_VALUE"""),0.6478392929281012)</f>
        <v>0.6478392929</v>
      </c>
      <c r="AR1304" s="82">
        <f>IFERROR(__xludf.DUMMYFUNCTION("""COMPUTED_VALUE"""),0.9274873873672114)</f>
        <v>0.9274873874</v>
      </c>
      <c r="AS1304" s="82">
        <f>IFERROR(__xludf.DUMMYFUNCTION("""COMPUTED_VALUE"""),16.0)</f>
        <v>16</v>
      </c>
      <c r="AT1304" s="82">
        <f>IFERROR(__xludf.DUMMYFUNCTION("""COMPUTED_VALUE"""),0.6590787936162182)</f>
        <v>0.6590787936</v>
      </c>
      <c r="AU1304" s="82">
        <f>IFERROR(__xludf.DUMMYFUNCTION("""COMPUTED_VALUE"""),2.056155394363132)</f>
        <v>2.056155394</v>
      </c>
      <c r="AV1304" s="82">
        <f>IFERROR(__xludf.DUMMYFUNCTION("""COMPUTED_VALUE"""),40.280472551916105)</f>
        <v>40.28047255</v>
      </c>
      <c r="AW1304" s="82">
        <f t="shared" si="1"/>
        <v>-2.867638066</v>
      </c>
      <c r="AX1304" s="83">
        <f t="array" ref="AX1304">IFERROR(DGET('SBV Import'!A:G,"SBV",{"RSC ID","Tier";B1304,A1304}))</f>
        <v>26.195611</v>
      </c>
      <c r="AY1304" s="82">
        <f t="shared" si="2"/>
        <v>-5.864965844</v>
      </c>
      <c r="AZ1304" s="82">
        <v>2.997327778035264</v>
      </c>
      <c r="BA1304" s="84">
        <v>1200.0</v>
      </c>
      <c r="BB1304" s="84" t="b">
        <f>IFERROR(__xludf.DUMMYFUNCTION("iferror(if(A1304="""",,E1304&gt;=FILTER(Constants!$F$2:$F$10,Constants!$A$2:$A$10=A1304)))"),TRUE)</f>
        <v>1</v>
      </c>
    </row>
    <row r="1305">
      <c r="A1305" s="89" t="str">
        <f>IFERROR(__xludf.DUMMYFUNCTION("""COMPUTED_VALUE"""),"Veteran")</f>
        <v>Veteran</v>
      </c>
      <c r="B1305" s="87" t="str">
        <f>IFERROR(__xludf.DUMMYFUNCTION("""COMPUTED_VALUE"""),"RSC002668")</f>
        <v>RSC002668</v>
      </c>
      <c r="C1305" s="73" t="str">
        <f>IFERROR(__xludf.DUMMYFUNCTION("""COMPUTED_VALUE"""),"Azorh &lt;3")</f>
        <v>Azorh &lt;3</v>
      </c>
      <c r="D1305" s="73" t="str">
        <f>IFERROR(__xludf.DUMMYFUNCTION("""COMPUTED_VALUE"""),"Peppermint")</f>
        <v>Peppermint</v>
      </c>
      <c r="E1305" s="82">
        <f>IFERROR(__xludf.DUMMYFUNCTION("""COMPUTED_VALUE"""),30.0)</f>
        <v>30</v>
      </c>
      <c r="F1305" s="82">
        <f>IFERROR(__xludf.DUMMYFUNCTION("""COMPUTED_VALUE"""),13.0)</f>
        <v>13</v>
      </c>
      <c r="G1305" s="86">
        <f>IFERROR(__xludf.DUMMYFUNCTION("""COMPUTED_VALUE"""),17.0)</f>
        <v>17</v>
      </c>
      <c r="H1305" s="86">
        <f>IFERROR(__xludf.DUMMYFUNCTION("""COMPUTED_VALUE"""),0.43333333333333335)</f>
        <v>0.4333333333</v>
      </c>
      <c r="I1305" s="86">
        <f>IFERROR(__xludf.DUMMYFUNCTION("""COMPUTED_VALUE"""),0.24)</f>
        <v>0.24</v>
      </c>
      <c r="J1305" s="82">
        <f>IFERROR(__xludf.DUMMYFUNCTION("""COMPUTED_VALUE"""),351.8333333333333)</f>
        <v>351.8333333</v>
      </c>
      <c r="K1305" s="82">
        <f>IFERROR(__xludf.DUMMYFUNCTION("""COMPUTED_VALUE"""),0.6)</f>
        <v>0.6</v>
      </c>
      <c r="L1305" s="82">
        <f>IFERROR(__xludf.DUMMYFUNCTION("""COMPUTED_VALUE"""),0.6333333333333333)</f>
        <v>0.6333333333</v>
      </c>
      <c r="M1305" s="82">
        <f>IFERROR(__xludf.DUMMYFUNCTION("""COMPUTED_VALUE"""),1.6)</f>
        <v>1.6</v>
      </c>
      <c r="N1305" s="82">
        <f>IFERROR(__xludf.DUMMYFUNCTION("""COMPUTED_VALUE"""),2.5)</f>
        <v>2.5</v>
      </c>
      <c r="O1305" s="82">
        <f>IFERROR(__xludf.DUMMYFUNCTION("""COMPUTED_VALUE"""),374.6777777777778)</f>
        <v>374.6777778</v>
      </c>
      <c r="P1305" s="82">
        <f>IFERROR(__xludf.DUMMYFUNCTION("""COMPUTED_VALUE"""),0.9888888888888889)</f>
        <v>0.9888888889</v>
      </c>
      <c r="Q1305" s="82">
        <f>IFERROR(__xludf.DUMMYFUNCTION("""COMPUTED_VALUE"""),0.688888888888889)</f>
        <v>0.6888888889</v>
      </c>
      <c r="R1305" s="82">
        <f>IFERROR(__xludf.DUMMYFUNCTION("""COMPUTED_VALUE"""),1.1666666666666672)</f>
        <v>1.166666667</v>
      </c>
      <c r="S1305" s="82">
        <f>IFERROR(__xludf.DUMMYFUNCTION("""COMPUTED_VALUE"""),3.18888888888889)</f>
        <v>3.188888889</v>
      </c>
      <c r="T1305" s="82">
        <f>IFERROR(__xludf.DUMMYFUNCTION("""COMPUTED_VALUE"""),350.7031323472329)</f>
        <v>350.7031323</v>
      </c>
      <c r="U1305" s="82">
        <f>IFERROR(__xludf.DUMMYFUNCTION("""COMPUTED_VALUE"""),0.8005109337156372)</f>
        <v>0.8005109337</v>
      </c>
      <c r="V1305" s="82">
        <f>IFERROR(__xludf.DUMMYFUNCTION("""COMPUTED_VALUE"""),0.5745123467084335)</f>
        <v>0.5745123467</v>
      </c>
      <c r="W1305" s="82">
        <f>IFERROR(__xludf.DUMMYFUNCTION("""COMPUTED_VALUE"""),1.3082777164984747)</f>
        <v>1.308277716</v>
      </c>
      <c r="X1305" s="82">
        <f>IFERROR(__xludf.DUMMYFUNCTION("""COMPUTED_VALUE"""),2.6285254508218823)</f>
        <v>2.628525451</v>
      </c>
      <c r="Y1305" s="82">
        <f>IFERROR(__xludf.DUMMYFUNCTION("""COMPUTED_VALUE"""),359.07998043628413)</f>
        <v>359.0799804</v>
      </c>
      <c r="Z1305" s="82">
        <f>IFERROR(__xludf.DUMMYFUNCTION("""COMPUTED_VALUE"""),0.859036479117276)</f>
        <v>0.8590364791</v>
      </c>
      <c r="AA1305" s="82">
        <f>IFERROR(__xludf.DUMMYFUNCTION("""COMPUTED_VALUE"""),0.6269108776795408)</f>
        <v>0.6269108777</v>
      </c>
      <c r="AB1305" s="82">
        <f>IFERROR(__xludf.DUMMYFUNCTION("""COMPUTED_VALUE"""),1.3063751626910947)</f>
        <v>1.306375163</v>
      </c>
      <c r="AC1305" s="82">
        <f>IFERROR(__xludf.DUMMYFUNCTION("""COMPUTED_VALUE"""),2.630343952051676)</f>
        <v>2.630343952</v>
      </c>
      <c r="AD1305" s="82">
        <f>IFERROR(__xludf.DUMMYFUNCTION("""COMPUTED_VALUE"""),0.9798188495661995)</f>
        <v>0.9798188496</v>
      </c>
      <c r="AE1305" s="82">
        <f>IFERROR(__xludf.DUMMYFUNCTION("""COMPUTED_VALUE"""),0.6984569509976395)</f>
        <v>0.698456951</v>
      </c>
      <c r="AF1305" s="82">
        <f>IFERROR(__xludf.DUMMYFUNCTION("""COMPUTED_VALUE"""),1.010244607140276)</f>
        <v>1.010244607</v>
      </c>
      <c r="AG1305" s="82">
        <f>IFERROR(__xludf.DUMMYFUNCTION("""COMPUTED_VALUE"""),1.2247630280294421)</f>
        <v>1.224763028</v>
      </c>
      <c r="AH1305" s="82">
        <f>IFERROR(__xludf.DUMMYFUNCTION("""COMPUTED_VALUE"""),0.9504460426363605)</f>
        <v>0.9504460426</v>
      </c>
      <c r="AI1305" s="82">
        <f>IFERROR(__xludf.DUMMYFUNCTION("""COMPUTED_VALUE"""),1.0683616518338008)</f>
        <v>1.068361652</v>
      </c>
      <c r="AJ1305" s="82">
        <f>IFERROR(__xludf.DUMMYFUNCTION("""COMPUTED_VALUE"""),1.2353221514400559)</f>
        <v>1.235322151</v>
      </c>
      <c r="AK1305" s="82">
        <f>IFERROR(__xludf.DUMMYFUNCTION("""COMPUTED_VALUE"""),1.199084567695987)</f>
        <v>1.199084568</v>
      </c>
      <c r="AL1305" s="82">
        <f>IFERROR(__xludf.DUMMYFUNCTION("""COMPUTED_VALUE"""),0.8917576535578234)</f>
        <v>0.8917576536</v>
      </c>
      <c r="AM1305" s="82">
        <f>IFERROR(__xludf.DUMMYFUNCTION("""COMPUTED_VALUE"""),1.2131854716840555)</f>
        <v>1.213185472</v>
      </c>
      <c r="AN1305" s="82">
        <f>IFERROR(__xludf.DUMMYFUNCTION("""COMPUTED_VALUE"""),1.0189877399352998)</f>
        <v>1.01898774</v>
      </c>
      <c r="AO1305" s="82">
        <f>IFERROR(__xludf.DUMMYFUNCTION("""COMPUTED_VALUE"""),0.7953901533940451)</f>
        <v>0.7953901534</v>
      </c>
      <c r="AP1305" s="82">
        <f>IFERROR(__xludf.DUMMYFUNCTION("""COMPUTED_VALUE"""),1.1745238374567921)</f>
        <v>1.174523837</v>
      </c>
      <c r="AQ1305" s="82">
        <f>IFERROR(__xludf.DUMMYFUNCTION("""COMPUTED_VALUE"""),1.1846204213542422)</f>
        <v>1.184620421</v>
      </c>
      <c r="AR1305" s="82">
        <f>IFERROR(__xludf.DUMMYFUNCTION("""COMPUTED_VALUE"""),0.9763025130181172)</f>
        <v>0.976302513</v>
      </c>
      <c r="AS1305" s="82">
        <f>IFERROR(__xludf.DUMMYFUNCTION("""COMPUTED_VALUE"""),69.0)</f>
        <v>69</v>
      </c>
      <c r="AT1305" s="82">
        <f>IFERROR(__xludf.DUMMYFUNCTION("""COMPUTED_VALUE"""),0.3989040452828181)</f>
        <v>0.3989040453</v>
      </c>
      <c r="AU1305" s="82">
        <f>IFERROR(__xludf.DUMMYFUNCTION("""COMPUTED_VALUE"""),2.0431311503920906)</f>
        <v>2.04313115</v>
      </c>
      <c r="AV1305" s="82">
        <f>IFERROR(__xludf.DUMMYFUNCTION("""COMPUTED_VALUE"""),39.87703237084181)</f>
        <v>39.87703237</v>
      </c>
      <c r="AW1305" s="82">
        <f t="shared" si="1"/>
        <v>-2.917419799</v>
      </c>
      <c r="AX1305" s="83">
        <f t="array" ref="AX1305">IFERROR(DGET('SBV Import'!A:G,"SBV",{"RSC ID","Tier";B1305,A1305}))</f>
        <v>40.72230276</v>
      </c>
      <c r="AY1305" s="82">
        <f t="shared" si="2"/>
        <v>-2.814692568</v>
      </c>
      <c r="AZ1305" s="82">
        <v>0.1027272306442204</v>
      </c>
      <c r="BA1305" s="84">
        <v>1200.0</v>
      </c>
      <c r="BB1305" s="84" t="b">
        <f>IFERROR(__xludf.DUMMYFUNCTION("iferror(if(A1305="""",,E1305&gt;=FILTER(Constants!$F$2:$F$10,Constants!$A$2:$A$10=A1305)))"),TRUE)</f>
        <v>1</v>
      </c>
    </row>
    <row r="1306">
      <c r="A1306" s="89" t="str">
        <f>IFERROR(__xludf.DUMMYFUNCTION("""COMPUTED_VALUE"""),"Veteran")</f>
        <v>Veteran</v>
      </c>
      <c r="B1306" s="87" t="str">
        <f>IFERROR(__xludf.DUMMYFUNCTION("""COMPUTED_VALUE"""),"RSC007625")</f>
        <v>RSC007625</v>
      </c>
      <c r="C1306" s="73" t="str">
        <f>IFERROR(__xludf.DUMMYFUNCTION("""COMPUTED_VALUE"""),"assassin_funny.")</f>
        <v>assassin_funny.</v>
      </c>
      <c r="D1306" s="73" t="str">
        <f>IFERROR(__xludf.DUMMYFUNCTION("""COMPUTED_VALUE"""),"Mellow Fellows")</f>
        <v>Mellow Fellows</v>
      </c>
      <c r="E1306" s="82">
        <f>IFERROR(__xludf.DUMMYFUNCTION("""COMPUTED_VALUE"""),5.0)</f>
        <v>5</v>
      </c>
      <c r="F1306" s="82">
        <f>IFERROR(__xludf.DUMMYFUNCTION("""COMPUTED_VALUE"""),1.0)</f>
        <v>1</v>
      </c>
      <c r="G1306" s="86">
        <f>IFERROR(__xludf.DUMMYFUNCTION("""COMPUTED_VALUE"""),4.0)</f>
        <v>4</v>
      </c>
      <c r="H1306" s="86">
        <f>IFERROR(__xludf.DUMMYFUNCTION("""COMPUTED_VALUE"""),0.2)</f>
        <v>0.2</v>
      </c>
      <c r="I1306" s="86">
        <f>IFERROR(__xludf.DUMMYFUNCTION("""COMPUTED_VALUE"""),0.19999999999999998)</f>
        <v>0.2</v>
      </c>
      <c r="J1306" s="82">
        <f>IFERROR(__xludf.DUMMYFUNCTION("""COMPUTED_VALUE"""),342.4)</f>
        <v>342.4</v>
      </c>
      <c r="K1306" s="82">
        <f>IFERROR(__xludf.DUMMYFUNCTION("""COMPUTED_VALUE"""),0.6)</f>
        <v>0.6</v>
      </c>
      <c r="L1306" s="82">
        <f>IFERROR(__xludf.DUMMYFUNCTION("""COMPUTED_VALUE"""),0.6)</f>
        <v>0.6</v>
      </c>
      <c r="M1306" s="82">
        <f>IFERROR(__xludf.DUMMYFUNCTION("""COMPUTED_VALUE"""),1.4)</f>
        <v>1.4</v>
      </c>
      <c r="N1306" s="82">
        <f>IFERROR(__xludf.DUMMYFUNCTION("""COMPUTED_VALUE"""),3.0)</f>
        <v>3</v>
      </c>
      <c r="O1306" s="82">
        <f>IFERROR(__xludf.DUMMYFUNCTION("""COMPUTED_VALUE"""),403.66666666666663)</f>
        <v>403.6666667</v>
      </c>
      <c r="P1306" s="82">
        <f>IFERROR(__xludf.DUMMYFUNCTION("""COMPUTED_VALUE"""),1.0666666666666669)</f>
        <v>1.066666667</v>
      </c>
      <c r="Q1306" s="82">
        <f>IFERROR(__xludf.DUMMYFUNCTION("""COMPUTED_VALUE"""),0.8)</f>
        <v>0.8</v>
      </c>
      <c r="R1306" s="82">
        <f>IFERROR(__xludf.DUMMYFUNCTION("""COMPUTED_VALUE"""),1.6)</f>
        <v>1.6</v>
      </c>
      <c r="S1306" s="82">
        <f>IFERROR(__xludf.DUMMYFUNCTION("""COMPUTED_VALUE"""),3.6)</f>
        <v>3.6</v>
      </c>
      <c r="T1306" s="82">
        <f>IFERROR(__xludf.DUMMYFUNCTION("""COMPUTED_VALUE"""),340.30281979458454)</f>
        <v>340.3028198</v>
      </c>
      <c r="U1306" s="82">
        <f>IFERROR(__xludf.DUMMYFUNCTION("""COMPUTED_VALUE"""),0.765552443199502)</f>
        <v>0.7655524432</v>
      </c>
      <c r="V1306" s="82">
        <f>IFERROR(__xludf.DUMMYFUNCTION("""COMPUTED_VALUE"""),0.4891378773731715)</f>
        <v>0.4891378774</v>
      </c>
      <c r="W1306" s="82">
        <f>IFERROR(__xludf.DUMMYFUNCTION("""COMPUTED_VALUE"""),1.3287145969498912)</f>
        <v>1.328714597</v>
      </c>
      <c r="X1306" s="82">
        <f>IFERROR(__xludf.DUMMYFUNCTION("""COMPUTED_VALUE"""),2.604400871459695)</f>
        <v>2.604400871</v>
      </c>
      <c r="Y1306" s="82">
        <f>IFERROR(__xludf.DUMMYFUNCTION("""COMPUTED_VALUE"""),339.0120199190787)</f>
        <v>339.0120199</v>
      </c>
      <c r="Z1306" s="82">
        <f>IFERROR(__xludf.DUMMYFUNCTION("""COMPUTED_VALUE"""),0.7310198153335409)</f>
        <v>0.7310198153</v>
      </c>
      <c r="AA1306" s="82">
        <f>IFERROR(__xludf.DUMMYFUNCTION("""COMPUTED_VALUE"""),0.5182882041705572)</f>
        <v>0.5182882042</v>
      </c>
      <c r="AB1306" s="82">
        <f>IFERROR(__xludf.DUMMYFUNCTION("""COMPUTED_VALUE"""),1.365156136528686)</f>
        <v>1.365156137</v>
      </c>
      <c r="AC1306" s="82">
        <f>IFERROR(__xludf.DUMMYFUNCTION("""COMPUTED_VALUE"""),2.453497250752153)</f>
        <v>2.453497251</v>
      </c>
      <c r="AD1306" s="82">
        <f>IFERROR(__xludf.DUMMYFUNCTION("""COMPUTED_VALUE"""),1.00999368719059)</f>
        <v>1.009993687</v>
      </c>
      <c r="AE1306" s="82">
        <f>IFERROR(__xludf.DUMMYFUNCTION("""COMPUTED_VALUE"""),0.8207711848771695)</f>
        <v>0.8207711849</v>
      </c>
      <c r="AF1306" s="82">
        <f>IFERROR(__xludf.DUMMYFUNCTION("""COMPUTED_VALUE"""),1.1576570625608011)</f>
        <v>1.157657063</v>
      </c>
      <c r="AG1306" s="82">
        <f>IFERROR(__xludf.DUMMYFUNCTION("""COMPUTED_VALUE"""),1.025523720356204)</f>
        <v>1.02552372</v>
      </c>
      <c r="AH1306" s="82">
        <f>IFERROR(__xludf.DUMMYFUNCTION("""COMPUTED_VALUE"""),1.2227443903107327)</f>
        <v>1.22274439</v>
      </c>
      <c r="AI1306" s="82">
        <f>IFERROR(__xludf.DUMMYFUNCTION("""COMPUTED_VALUE"""),1.1861984185447836)</f>
        <v>1.186198419</v>
      </c>
      <c r="AJ1306" s="82">
        <f>IFERROR(__xludf.DUMMYFUNCTION("""COMPUTED_VALUE"""),1.393329322036655)</f>
        <v>1.393329322</v>
      </c>
      <c r="AK1306" s="82">
        <f>IFERROR(__xludf.DUMMYFUNCTION("""COMPUTED_VALUE"""),1.6355306693815221)</f>
        <v>1.635530669</v>
      </c>
      <c r="AL1306" s="82">
        <f>IFERROR(__xludf.DUMMYFUNCTION("""COMPUTED_VALUE"""),1.2041713123893223)</f>
        <v>1.204171312</v>
      </c>
      <c r="AM1306" s="82">
        <f>IFERROR(__xludf.DUMMYFUNCTION("""COMPUTED_VALUE"""),1.382275685533118)</f>
        <v>1.382275686</v>
      </c>
      <c r="AN1306" s="82">
        <f>IFERROR(__xludf.DUMMYFUNCTION("""COMPUTED_VALUE"""),0.9916667043690572)</f>
        <v>0.9916667044</v>
      </c>
      <c r="AO1306" s="82">
        <f>IFERROR(__xludf.DUMMYFUNCTION("""COMPUTED_VALUE"""),0.7953901533940451)</f>
        <v>0.7953901534</v>
      </c>
      <c r="AP1306" s="82">
        <f>IFERROR(__xludf.DUMMYFUNCTION("""COMPUTED_VALUE"""),1.112706793380119)</f>
        <v>1.112706793</v>
      </c>
      <c r="AQ1306" s="82">
        <f>IFERROR(__xludf.DUMMYFUNCTION("""COMPUTED_VALUE"""),1.0365428686849618)</f>
        <v>1.036542869</v>
      </c>
      <c r="AR1306" s="82">
        <f>IFERROR(__xludf.DUMMYFUNCTION("""COMPUTED_VALUE"""),1.1715630156217407)</f>
        <v>1.171563016</v>
      </c>
      <c r="AS1306" s="82">
        <f>IFERROR(__xludf.DUMMYFUNCTION("""COMPUTED_VALUE"""),10.0)</f>
        <v>10</v>
      </c>
      <c r="AT1306" s="82">
        <f>IFERROR(__xludf.DUMMYFUNCTION("""COMPUTED_VALUE"""),0.3198661571644606)</f>
        <v>0.3198661572</v>
      </c>
      <c r="AU1306" s="82">
        <f>IFERROR(__xludf.DUMMYFUNCTION("""COMPUTED_VALUE"""),2.041357660024829)</f>
        <v>2.04135766</v>
      </c>
      <c r="AV1306" s="82">
        <f>IFERROR(__xludf.DUMMYFUNCTION("""COMPUTED_VALUE"""),39.82209656984696)</f>
        <v>39.82209657</v>
      </c>
      <c r="AW1306" s="82">
        <f t="shared" si="1"/>
        <v>-2.924307124</v>
      </c>
      <c r="AX1306" s="83">
        <f t="array" ref="AX1306">IFERROR(DGET('SBV Import'!A:G,"SBV",{"RSC ID","Tier";B1306,A1306}))</f>
        <v>35.3559139</v>
      </c>
      <c r="AY1306" s="82">
        <f t="shared" si="2"/>
        <v>-3.584007846</v>
      </c>
      <c r="AZ1306" s="82">
        <v>0.6597007211481536</v>
      </c>
      <c r="BA1306" s="84">
        <v>1200.0</v>
      </c>
      <c r="BB1306" s="84" t="b">
        <f>IFERROR(__xludf.DUMMYFUNCTION("iferror(if(A1306="""",,E1306&gt;=FILTER(Constants!$F$2:$F$10,Constants!$A$2:$A$10=A1306)))"),TRUE)</f>
        <v>1</v>
      </c>
    </row>
    <row r="1307">
      <c r="A1307" s="89" t="str">
        <f>IFERROR(__xludf.DUMMYFUNCTION("""COMPUTED_VALUE"""),"Veteran")</f>
        <v>Veteran</v>
      </c>
      <c r="B1307" s="87" t="str">
        <f>IFERROR(__xludf.DUMMYFUNCTION("""COMPUTED_VALUE"""),"RSC001612")</f>
        <v>RSC001612</v>
      </c>
      <c r="C1307" s="73" t="str">
        <f>IFERROR(__xludf.DUMMYFUNCTION("""COMPUTED_VALUE"""),"Reverse Fridge")</f>
        <v>Reverse Fridge</v>
      </c>
      <c r="D1307" s="73" t="str">
        <f>IFERROR(__xludf.DUMMYFUNCTION("""COMPUTED_VALUE"""),"Mellow Fellows")</f>
        <v>Mellow Fellows</v>
      </c>
      <c r="E1307" s="82">
        <f>IFERROR(__xludf.DUMMYFUNCTION("""COMPUTED_VALUE"""),27.0)</f>
        <v>27</v>
      </c>
      <c r="F1307" s="82">
        <f>IFERROR(__xludf.DUMMYFUNCTION("""COMPUTED_VALUE"""),11.0)</f>
        <v>11</v>
      </c>
      <c r="G1307" s="86">
        <f>IFERROR(__xludf.DUMMYFUNCTION("""COMPUTED_VALUE"""),16.0)</f>
        <v>16</v>
      </c>
      <c r="H1307" s="86">
        <f>IFERROR(__xludf.DUMMYFUNCTION("""COMPUTED_VALUE"""),0.4074074074074074)</f>
        <v>0.4074074074</v>
      </c>
      <c r="I1307" s="86">
        <f>IFERROR(__xludf.DUMMYFUNCTION("""COMPUTED_VALUE"""),0.3)</f>
        <v>0.3</v>
      </c>
      <c r="J1307" s="82">
        <f>IFERROR(__xludf.DUMMYFUNCTION("""COMPUTED_VALUE"""),315.3703703703704)</f>
        <v>315.3703704</v>
      </c>
      <c r="K1307" s="82">
        <f>IFERROR(__xludf.DUMMYFUNCTION("""COMPUTED_VALUE"""),0.7777777777777778)</f>
        <v>0.7777777778</v>
      </c>
      <c r="L1307" s="82">
        <f>IFERROR(__xludf.DUMMYFUNCTION("""COMPUTED_VALUE"""),0.25925925925925924)</f>
        <v>0.2592592593</v>
      </c>
      <c r="M1307" s="82">
        <f>IFERROR(__xludf.DUMMYFUNCTION("""COMPUTED_VALUE"""),1.037037037037037)</f>
        <v>1.037037037</v>
      </c>
      <c r="N1307" s="82">
        <f>IFERROR(__xludf.DUMMYFUNCTION("""COMPUTED_VALUE"""),2.5925925925925926)</f>
        <v>2.592592593</v>
      </c>
      <c r="O1307" s="82">
        <f>IFERROR(__xludf.DUMMYFUNCTION("""COMPUTED_VALUE"""),340.22222222222223)</f>
        <v>340.2222222</v>
      </c>
      <c r="P1307" s="82">
        <f>IFERROR(__xludf.DUMMYFUNCTION("""COMPUTED_VALUE"""),0.728395061728395)</f>
        <v>0.7283950617</v>
      </c>
      <c r="Q1307" s="82">
        <f>IFERROR(__xludf.DUMMYFUNCTION("""COMPUTED_VALUE"""),0.4938271604938272)</f>
        <v>0.4938271605</v>
      </c>
      <c r="R1307" s="82">
        <f>IFERROR(__xludf.DUMMYFUNCTION("""COMPUTED_VALUE"""),1.3456790123456788)</f>
        <v>1.345679012</v>
      </c>
      <c r="S1307" s="82">
        <f>IFERROR(__xludf.DUMMYFUNCTION("""COMPUTED_VALUE"""),2.567901234567901)</f>
        <v>2.567901235</v>
      </c>
      <c r="T1307" s="82">
        <f>IFERROR(__xludf.DUMMYFUNCTION("""COMPUTED_VALUE"""),338.91905661273825)</f>
        <v>338.9190566</v>
      </c>
      <c r="U1307" s="82">
        <f>IFERROR(__xludf.DUMMYFUNCTION("""COMPUTED_VALUE"""),0.722421533827949)</f>
        <v>0.7224215338</v>
      </c>
      <c r="V1307" s="82">
        <f>IFERROR(__xludf.DUMMYFUNCTION("""COMPUTED_VALUE"""),0.5402074244387657)</f>
        <v>0.5402074244</v>
      </c>
      <c r="W1307" s="82">
        <f>IFERROR(__xludf.DUMMYFUNCTION("""COMPUTED_VALUE"""),1.282206720630642)</f>
        <v>1.282206721</v>
      </c>
      <c r="X1307" s="82">
        <f>IFERROR(__xludf.DUMMYFUNCTION("""COMPUTED_VALUE"""),2.6055081481513622)</f>
        <v>2.605508148</v>
      </c>
      <c r="Y1307" s="82">
        <f>IFERROR(__xludf.DUMMYFUNCTION("""COMPUTED_VALUE"""),343.4341631930304)</f>
        <v>343.4341632</v>
      </c>
      <c r="Z1307" s="82">
        <f>IFERROR(__xludf.DUMMYFUNCTION("""COMPUTED_VALUE"""),0.7092253285598153)</f>
        <v>0.7092253286</v>
      </c>
      <c r="AA1307" s="82">
        <f>IFERROR(__xludf.DUMMYFUNCTION("""COMPUTED_VALUE"""),0.5290473650847188)</f>
        <v>0.5290473651</v>
      </c>
      <c r="AB1307" s="82">
        <f>IFERROR(__xludf.DUMMYFUNCTION("""COMPUTED_VALUE"""),1.3606360847074837)</f>
        <v>1.360636085</v>
      </c>
      <c r="AC1307" s="82">
        <f>IFERROR(__xludf.DUMMYFUNCTION("""COMPUTED_VALUE"""),2.49098425801588)</f>
        <v>2.490984258</v>
      </c>
      <c r="AD1307" s="82">
        <f>IFERROR(__xludf.DUMMYFUNCTION("""COMPUTED_VALUE"""),0.9182847956599866)</f>
        <v>0.9182847957</v>
      </c>
      <c r="AE1307" s="82">
        <f>IFERROR(__xludf.DUMMYFUNCTION("""COMPUTED_VALUE"""),1.0966582078465361)</f>
        <v>1.096658208</v>
      </c>
      <c r="AF1307" s="82">
        <f>IFERROR(__xludf.DUMMYFUNCTION("""COMPUTED_VALUE"""),0.4900492401426909)</f>
        <v>0.4900492401</v>
      </c>
      <c r="AG1307" s="82">
        <f>IFERROR(__xludf.DUMMYFUNCTION("""COMPUTED_VALUE"""),0.7621707587300864)</f>
        <v>0.7621707587</v>
      </c>
      <c r="AH1307" s="82">
        <f>IFERROR(__xludf.DUMMYFUNCTION("""COMPUTED_VALUE"""),1.0407904362501454)</f>
        <v>1.040790436</v>
      </c>
      <c r="AI1307" s="82">
        <f>IFERROR(__xludf.DUMMYFUNCTION("""COMPUTED_VALUE"""),1.003845064430747)</f>
        <v>1.003845064</v>
      </c>
      <c r="AJ1307" s="82">
        <f>IFERROR(__xludf.DUMMYFUNCTION("""COMPUTED_VALUE"""),1.0082687567032969)</f>
        <v>1.008268757</v>
      </c>
      <c r="AK1307" s="82">
        <f>IFERROR(__xludf.DUMMYFUNCTION("""COMPUTED_VALUE"""),0.9141436014265741)</f>
        <v>0.9141436014</v>
      </c>
      <c r="AL1307" s="82">
        <f>IFERROR(__xludf.DUMMYFUNCTION("""COMPUTED_VALUE"""),1.0495023857649244)</f>
        <v>1.049502386</v>
      </c>
      <c r="AM1307" s="82">
        <f>IFERROR(__xludf.DUMMYFUNCTION("""COMPUTED_VALUE"""),0.9855663803584174)</f>
        <v>0.9855663804</v>
      </c>
      <c r="AN1307" s="82">
        <f>IFERROR(__xludf.DUMMYFUNCTION("""COMPUTED_VALUE"""),0.9133828733669223)</f>
        <v>0.9133828734</v>
      </c>
      <c r="AO1307" s="82">
        <f>IFERROR(__xludf.DUMMYFUNCTION("""COMPUTED_VALUE"""),1.0310613099552437)</f>
        <v>1.03106131</v>
      </c>
      <c r="AP1307" s="82">
        <f>IFERROR(__xludf.DUMMYFUNCTION("""COMPUTED_VALUE"""),0.4807992317074588)</f>
        <v>0.4807992317</v>
      </c>
      <c r="AQ1307" s="82">
        <f>IFERROR(__xludf.DUMMYFUNCTION("""COMPUTED_VALUE"""),0.767809532359231)</f>
        <v>0.7678095324</v>
      </c>
      <c r="AR1307" s="82">
        <f>IFERROR(__xludf.DUMMYFUNCTION("""COMPUTED_VALUE"""),1.0124618653521216)</f>
        <v>1.012461865</v>
      </c>
      <c r="AS1307" s="82">
        <f>IFERROR(__xludf.DUMMYFUNCTION("""COMPUTED_VALUE"""),47.0)</f>
        <v>47</v>
      </c>
      <c r="AT1307" s="82">
        <f>IFERROR(__xludf.DUMMYFUNCTION("""COMPUTED_VALUE"""),0.41661331966060194)</f>
        <v>0.4166133197</v>
      </c>
      <c r="AU1307" s="82">
        <f>IFERROR(__xludf.DUMMYFUNCTION("""COMPUTED_VALUE"""),2.0372383285232427)</f>
        <v>2.037238329</v>
      </c>
      <c r="AV1307" s="82">
        <f>IFERROR(__xludf.DUMMYFUNCTION("""COMPUTED_VALUE"""),39.694495777770264)</f>
        <v>39.69449578</v>
      </c>
      <c r="AW1307" s="82">
        <f t="shared" si="1"/>
        <v>-2.940406536</v>
      </c>
      <c r="AX1307" s="83">
        <f t="array" ref="AX1307">IFERROR(DGET('SBV Import'!A:G,"SBV",{"RSC ID","Tier";B1307,A1307}))</f>
        <v>41.21211299</v>
      </c>
      <c r="AY1307" s="82">
        <f t="shared" si="2"/>
        <v>-2.757853584</v>
      </c>
      <c r="AZ1307" s="82">
        <v>0.18255295218252732</v>
      </c>
      <c r="BA1307" s="84">
        <v>1200.0</v>
      </c>
      <c r="BB1307" s="84" t="b">
        <f>IFERROR(__xludf.DUMMYFUNCTION("iferror(if(A1307="""",,E1307&gt;=FILTER(Constants!$F$2:$F$10,Constants!$A$2:$A$10=A1307)))"),TRUE)</f>
        <v>1</v>
      </c>
    </row>
    <row r="1308">
      <c r="A1308" s="89" t="str">
        <f>IFERROR(__xludf.DUMMYFUNCTION("""COMPUTED_VALUE"""),"Veteran")</f>
        <v>Veteran</v>
      </c>
      <c r="B1308" s="87" t="str">
        <f>IFERROR(__xludf.DUMMYFUNCTION("""COMPUTED_VALUE"""),"RSC007688")</f>
        <v>RSC007688</v>
      </c>
      <c r="C1308" s="73" t="str">
        <f>IFERROR(__xludf.DUMMYFUNCTION("""COMPUTED_VALUE"""),"Yami ^^")</f>
        <v>Yami ^^</v>
      </c>
      <c r="D1308" s="73" t="str">
        <f>IFERROR(__xludf.DUMMYFUNCTION("""COMPUTED_VALUE"""),"Typhoons")</f>
        <v>Typhoons</v>
      </c>
      <c r="E1308" s="82">
        <f>IFERROR(__xludf.DUMMYFUNCTION("""COMPUTED_VALUE"""),35.0)</f>
        <v>35</v>
      </c>
      <c r="F1308" s="82">
        <f>IFERROR(__xludf.DUMMYFUNCTION("""COMPUTED_VALUE"""),19.0)</f>
        <v>19</v>
      </c>
      <c r="G1308" s="86">
        <f>IFERROR(__xludf.DUMMYFUNCTION("""COMPUTED_VALUE"""),16.0)</f>
        <v>16</v>
      </c>
      <c r="H1308" s="86">
        <f>IFERROR(__xludf.DUMMYFUNCTION("""COMPUTED_VALUE"""),0.5428571428571428)</f>
        <v>0.5428571429</v>
      </c>
      <c r="I1308" s="86">
        <f>IFERROR(__xludf.DUMMYFUNCTION("""COMPUTED_VALUE"""),0.25609756097560976)</f>
        <v>0.256097561</v>
      </c>
      <c r="J1308" s="82">
        <f>IFERROR(__xludf.DUMMYFUNCTION("""COMPUTED_VALUE"""),297.2857142857143)</f>
        <v>297.2857143</v>
      </c>
      <c r="K1308" s="82">
        <f>IFERROR(__xludf.DUMMYFUNCTION("""COMPUTED_VALUE"""),0.6)</f>
        <v>0.6</v>
      </c>
      <c r="L1308" s="82">
        <f>IFERROR(__xludf.DUMMYFUNCTION("""COMPUTED_VALUE"""),0.45714285714285713)</f>
        <v>0.4571428571</v>
      </c>
      <c r="M1308" s="82">
        <f>IFERROR(__xludf.DUMMYFUNCTION("""COMPUTED_VALUE"""),1.1142857142857143)</f>
        <v>1.114285714</v>
      </c>
      <c r="N1308" s="82">
        <f>IFERROR(__xludf.DUMMYFUNCTION("""COMPUTED_VALUE"""),2.342857142857143)</f>
        <v>2.342857143</v>
      </c>
      <c r="O1308" s="82">
        <f>IFERROR(__xludf.DUMMYFUNCTION("""COMPUTED_VALUE"""),335.20952380952383)</f>
        <v>335.2095238</v>
      </c>
      <c r="P1308" s="82">
        <f>IFERROR(__xludf.DUMMYFUNCTION("""COMPUTED_VALUE"""),0.6476190476190478)</f>
        <v>0.6476190476</v>
      </c>
      <c r="Q1308" s="82">
        <f>IFERROR(__xludf.DUMMYFUNCTION("""COMPUTED_VALUE"""),0.5238095238095237)</f>
        <v>0.5238095238</v>
      </c>
      <c r="R1308" s="82">
        <f>IFERROR(__xludf.DUMMYFUNCTION("""COMPUTED_VALUE"""),1.3809523809523807)</f>
        <v>1.380952381</v>
      </c>
      <c r="S1308" s="82">
        <f>IFERROR(__xludf.DUMMYFUNCTION("""COMPUTED_VALUE"""),2.2380952380952386)</f>
        <v>2.238095238</v>
      </c>
      <c r="T1308" s="82">
        <f>IFERROR(__xludf.DUMMYFUNCTION("""COMPUTED_VALUE"""),349.60472311729205)</f>
        <v>349.6047231</v>
      </c>
      <c r="U1308" s="82">
        <f>IFERROR(__xludf.DUMMYFUNCTION("""COMPUTED_VALUE"""),0.7360106241390751)</f>
        <v>0.7360106241</v>
      </c>
      <c r="V1308" s="82">
        <f>IFERROR(__xludf.DUMMYFUNCTION("""COMPUTED_VALUE"""),0.5566246359211429)</f>
        <v>0.5566246359</v>
      </c>
      <c r="W1308" s="82">
        <f>IFERROR(__xludf.DUMMYFUNCTION("""COMPUTED_VALUE"""),1.382945532661142)</f>
        <v>1.382945533</v>
      </c>
      <c r="X1308" s="82">
        <f>IFERROR(__xludf.DUMMYFUNCTION("""COMPUTED_VALUE"""),2.5298182238547335)</f>
        <v>2.529818224</v>
      </c>
      <c r="Y1308" s="82">
        <f>IFERROR(__xludf.DUMMYFUNCTION("""COMPUTED_VALUE"""),349.04760916683347)</f>
        <v>349.0476092</v>
      </c>
      <c r="Z1308" s="82">
        <f>IFERROR(__xludf.DUMMYFUNCTION("""COMPUTED_VALUE"""),0.7342133242389854)</f>
        <v>0.7342133242</v>
      </c>
      <c r="AA1308" s="82">
        <f>IFERROR(__xludf.DUMMYFUNCTION("""COMPUTED_VALUE"""),0.5474468278377754)</f>
        <v>0.5474468278</v>
      </c>
      <c r="AB1308" s="82">
        <f>IFERROR(__xludf.DUMMYFUNCTION("""COMPUTED_VALUE"""),1.3811991461936308)</f>
        <v>1.381199146</v>
      </c>
      <c r="AC1308" s="82">
        <f>IFERROR(__xludf.DUMMYFUNCTION("""COMPUTED_VALUE"""),2.602168216064639)</f>
        <v>2.602168216</v>
      </c>
      <c r="AD1308" s="82">
        <f>IFERROR(__xludf.DUMMYFUNCTION("""COMPUTED_VALUE"""),0.851705344710215)</f>
        <v>0.8517053447</v>
      </c>
      <c r="AE1308" s="82">
        <f>IFERROR(__xludf.DUMMYFUNCTION("""COMPUTED_VALUE"""),0.8172011868919731)</f>
        <v>0.8172011869</v>
      </c>
      <c r="AF1308" s="82">
        <f>IFERROR(__xludf.DUMMYFUNCTION("""COMPUTED_VALUE"""),0.8350452206443728)</f>
        <v>0.8350452206</v>
      </c>
      <c r="AG1308" s="82">
        <f>IFERROR(__xludf.DUMMYFUNCTION("""COMPUTED_VALUE"""),0.8067523914683207)</f>
        <v>0.8067523915</v>
      </c>
      <c r="AH1308" s="82">
        <f>IFERROR(__xludf.DUMMYFUNCTION("""COMPUTED_VALUE"""),0.9003480744993257)</f>
        <v>0.9003480745</v>
      </c>
      <c r="AI1308" s="82">
        <f>IFERROR(__xludf.DUMMYFUNCTION("""COMPUTED_VALUE"""),0.9588243568925164)</f>
        <v>0.9588243569</v>
      </c>
      <c r="AJ1308" s="82">
        <f>IFERROR(__xludf.DUMMYFUNCTION("""COMPUTED_VALUE"""),0.8799044828688165)</f>
        <v>0.8799044829</v>
      </c>
      <c r="AK1308" s="82">
        <f>IFERROR(__xludf.DUMMYFUNCTION("""COMPUTED_VALUE"""),0.94104624554155)</f>
        <v>0.9410462455</v>
      </c>
      <c r="AL1308" s="82">
        <f>IFERROR(__xludf.DUMMYFUNCTION("""COMPUTED_VALUE"""),0.9985587634063029)</f>
        <v>0.9985587634</v>
      </c>
      <c r="AM1308" s="82">
        <f>IFERROR(__xludf.DUMMYFUNCTION("""COMPUTED_VALUE"""),0.8846861869328339)</f>
        <v>0.8846861869</v>
      </c>
      <c r="AN1308" s="82">
        <f>IFERROR(__xludf.DUMMYFUNCTION("""COMPUTED_VALUE"""),0.8610056791522064)</f>
        <v>0.8610056792</v>
      </c>
      <c r="AO1308" s="82">
        <f>IFERROR(__xludf.DUMMYFUNCTION("""COMPUTED_VALUE"""),0.7953901533940451)</f>
        <v>0.7953901534</v>
      </c>
      <c r="AP1308" s="82">
        <f>IFERROR(__xludf.DUMMYFUNCTION("""COMPUTED_VALUE"""),0.8477766044800906)</f>
        <v>0.8477766045</v>
      </c>
      <c r="AQ1308" s="82">
        <f>IFERROR(__xludf.DUMMYFUNCTION("""COMPUTED_VALUE"""),0.8250035077288472)</f>
        <v>0.8250035077</v>
      </c>
      <c r="AR1308" s="82">
        <f>IFERROR(__xludf.DUMMYFUNCTION("""COMPUTED_VALUE"""),0.91493492648555)</f>
        <v>0.9149349265</v>
      </c>
      <c r="AS1308" s="82">
        <f>IFERROR(__xludf.DUMMYFUNCTION("""COMPUTED_VALUE"""),71.0)</f>
        <v>71</v>
      </c>
      <c r="AT1308" s="82">
        <f>IFERROR(__xludf.DUMMYFUNCTION("""COMPUTED_VALUE"""),0.5160284966553347)</f>
        <v>0.5160284967</v>
      </c>
      <c r="AU1308" s="82">
        <f>IFERROR(__xludf.DUMMYFUNCTION("""COMPUTED_VALUE"""),2.011199285475498)</f>
        <v>2.011199285</v>
      </c>
      <c r="AV1308" s="82">
        <f>IFERROR(__xludf.DUMMYFUNCTION("""COMPUTED_VALUE"""),38.887907981538774)</f>
        <v>38.88790798</v>
      </c>
      <c r="AW1308" s="82">
        <f t="shared" si="1"/>
        <v>-3.045563496</v>
      </c>
      <c r="AX1308" s="83">
        <f t="array" ref="AX1308">IFERROR(DGET('SBV Import'!A:G,"SBV",{"RSC ID","Tier";B1308,A1308}))</f>
        <v>38.50361554</v>
      </c>
      <c r="AY1308" s="82">
        <f t="shared" si="2"/>
        <v>-3.097797319</v>
      </c>
      <c r="AZ1308" s="82">
        <v>0.05223382368697038</v>
      </c>
      <c r="BA1308" s="84">
        <v>1200.0</v>
      </c>
      <c r="BB1308" s="84" t="b">
        <f>IFERROR(__xludf.DUMMYFUNCTION("iferror(if(A1308="""",,E1308&gt;=FILTER(Constants!$F$2:$F$10,Constants!$A$2:$A$10=A1308)))"),TRUE)</f>
        <v>1</v>
      </c>
    </row>
    <row r="1309">
      <c r="A1309" s="89" t="str">
        <f>IFERROR(__xludf.DUMMYFUNCTION("""COMPUTED_VALUE"""),"Veteran")</f>
        <v>Veteran</v>
      </c>
      <c r="B1309" s="87" t="str">
        <f>IFERROR(__xludf.DUMMYFUNCTION("""COMPUTED_VALUE"""),"RSC007231")</f>
        <v>RSC007231</v>
      </c>
      <c r="C1309" s="73" t="str">
        <f>IFERROR(__xludf.DUMMYFUNCTION("""COMPUTED_VALUE"""),"BlitzzyG")</f>
        <v>BlitzzyG</v>
      </c>
      <c r="D1309" s="73" t="str">
        <f>IFERROR(__xludf.DUMMYFUNCTION("""COMPUTED_VALUE"""),"Silver Dollar")</f>
        <v>Silver Dollar</v>
      </c>
      <c r="E1309" s="82">
        <f>IFERROR(__xludf.DUMMYFUNCTION("""COMPUTED_VALUE"""),21.0)</f>
        <v>21</v>
      </c>
      <c r="F1309" s="82">
        <f>IFERROR(__xludf.DUMMYFUNCTION("""COMPUTED_VALUE"""),13.0)</f>
        <v>13</v>
      </c>
      <c r="G1309" s="86">
        <f>IFERROR(__xludf.DUMMYFUNCTION("""COMPUTED_VALUE"""),8.0)</f>
        <v>8</v>
      </c>
      <c r="H1309" s="86">
        <f>IFERROR(__xludf.DUMMYFUNCTION("""COMPUTED_VALUE"""),0.6190476190476191)</f>
        <v>0.619047619</v>
      </c>
      <c r="I1309" s="86">
        <f>IFERROR(__xludf.DUMMYFUNCTION("""COMPUTED_VALUE"""),0.2926829268292683)</f>
        <v>0.2926829268</v>
      </c>
      <c r="J1309" s="82">
        <f>IFERROR(__xludf.DUMMYFUNCTION("""COMPUTED_VALUE"""),309.85714285714283)</f>
        <v>309.8571429</v>
      </c>
      <c r="K1309" s="82">
        <f>IFERROR(__xludf.DUMMYFUNCTION("""COMPUTED_VALUE"""),0.5714285714285714)</f>
        <v>0.5714285714</v>
      </c>
      <c r="L1309" s="82">
        <f>IFERROR(__xludf.DUMMYFUNCTION("""COMPUTED_VALUE"""),0.5714285714285714)</f>
        <v>0.5714285714</v>
      </c>
      <c r="M1309" s="82">
        <f>IFERROR(__xludf.DUMMYFUNCTION("""COMPUTED_VALUE"""),1.0952380952380953)</f>
        <v>1.095238095</v>
      </c>
      <c r="N1309" s="82">
        <f>IFERROR(__xludf.DUMMYFUNCTION("""COMPUTED_VALUE"""),1.9523809523809523)</f>
        <v>1.952380952</v>
      </c>
      <c r="O1309" s="82">
        <f>IFERROR(__xludf.DUMMYFUNCTION("""COMPUTED_VALUE"""),329.44444444444446)</f>
        <v>329.4444444</v>
      </c>
      <c r="P1309" s="82">
        <f>IFERROR(__xludf.DUMMYFUNCTION("""COMPUTED_VALUE"""),0.619047619047619)</f>
        <v>0.619047619</v>
      </c>
      <c r="Q1309" s="82">
        <f>IFERROR(__xludf.DUMMYFUNCTION("""COMPUTED_VALUE"""),0.44444444444444436)</f>
        <v>0.4444444444</v>
      </c>
      <c r="R1309" s="82">
        <f>IFERROR(__xludf.DUMMYFUNCTION("""COMPUTED_VALUE"""),1.2698412698412698)</f>
        <v>1.26984127</v>
      </c>
      <c r="S1309" s="82">
        <f>IFERROR(__xludf.DUMMYFUNCTION("""COMPUTED_VALUE"""),2.4126984126984126)</f>
        <v>2.412698413</v>
      </c>
      <c r="T1309" s="82">
        <f>IFERROR(__xludf.DUMMYFUNCTION("""COMPUTED_VALUE"""),334.3403999750214)</f>
        <v>334.3404</v>
      </c>
      <c r="U1309" s="82">
        <f>IFERROR(__xludf.DUMMYFUNCTION("""COMPUTED_VALUE"""),0.6673374772824661)</f>
        <v>0.6673374773</v>
      </c>
      <c r="V1309" s="82">
        <f>IFERROR(__xludf.DUMMYFUNCTION("""COMPUTED_VALUE"""),0.4949199098520504)</f>
        <v>0.4949199099</v>
      </c>
      <c r="W1309" s="82">
        <f>IFERROR(__xludf.DUMMYFUNCTION("""COMPUTED_VALUE"""),1.4253186867477776)</f>
        <v>1.425318687</v>
      </c>
      <c r="X1309" s="82">
        <f>IFERROR(__xludf.DUMMYFUNCTION("""COMPUTED_VALUE"""),2.386346331497351)</f>
        <v>2.386346331</v>
      </c>
      <c r="Y1309" s="82">
        <f>IFERROR(__xludf.DUMMYFUNCTION("""COMPUTED_VALUE"""),349.75221647520823)</f>
        <v>349.7522165</v>
      </c>
      <c r="Z1309" s="82">
        <f>IFERROR(__xludf.DUMMYFUNCTION("""COMPUTED_VALUE"""),0.785083826334346)</f>
        <v>0.7850838263</v>
      </c>
      <c r="AA1309" s="82">
        <f>IFERROR(__xludf.DUMMYFUNCTION("""COMPUTED_VALUE"""),0.5751893008248713)</f>
        <v>0.5751893008</v>
      </c>
      <c r="AB1309" s="82">
        <f>IFERROR(__xludf.DUMMYFUNCTION("""COMPUTED_VALUE"""),1.3096728342376756)</f>
        <v>1.309672834</v>
      </c>
      <c r="AC1309" s="82">
        <f>IFERROR(__xludf.DUMMYFUNCTION("""COMPUTED_VALUE"""),2.6960980877969627)</f>
        <v>2.696098088</v>
      </c>
      <c r="AD1309" s="82">
        <f>IFERROR(__xludf.DUMMYFUNCTION("""COMPUTED_VALUE"""),0.8859333215379542)</f>
        <v>0.8859333215</v>
      </c>
      <c r="AE1309" s="82">
        <f>IFERROR(__xludf.DUMMYFUNCTION("""COMPUTED_VALUE"""),0.7278567616105944)</f>
        <v>0.7278567616</v>
      </c>
      <c r="AF1309" s="82">
        <f>IFERROR(__xludf.DUMMYFUNCTION("""COMPUTED_VALUE"""),0.9934617535637281)</f>
        <v>0.9934617536</v>
      </c>
      <c r="AG1309" s="82">
        <f>IFERROR(__xludf.DUMMYFUNCTION("""COMPUTED_VALUE"""),0.8362684684344112)</f>
        <v>0.8362684684</v>
      </c>
      <c r="AH1309" s="82">
        <f>IFERROR(__xludf.DUMMYFUNCTION("""COMPUTED_VALUE"""),0.724150564557643)</f>
        <v>0.7241505646</v>
      </c>
      <c r="AI1309" s="82">
        <f>IFERROR(__xludf.DUMMYFUNCTION("""COMPUTED_VALUE"""),0.9853563747278441)</f>
        <v>0.9853563747</v>
      </c>
      <c r="AJ1309" s="82">
        <f>IFERROR(__xludf.DUMMYFUNCTION("""COMPUTED_VALUE"""),0.9276380244198285)</f>
        <v>0.9276380244</v>
      </c>
      <c r="AK1309" s="82">
        <f>IFERROR(__xludf.DUMMYFUNCTION("""COMPUTED_VALUE"""),0.8980128614694547)</f>
        <v>0.8980128615</v>
      </c>
      <c r="AL1309" s="82">
        <f>IFERROR(__xludf.DUMMYFUNCTION("""COMPUTED_VALUE"""),0.8909174359726746)</f>
        <v>0.890917436</v>
      </c>
      <c r="AM1309" s="82">
        <f>IFERROR(__xludf.DUMMYFUNCTION("""COMPUTED_VALUE"""),1.0110428569622274)</f>
        <v>1.011042857</v>
      </c>
      <c r="AN1309" s="82">
        <f>IFERROR(__xludf.DUMMYFUNCTION("""COMPUTED_VALUE"""),0.8974153378573453)</f>
        <v>0.8974153379</v>
      </c>
      <c r="AO1309" s="82">
        <f>IFERROR(__xludf.DUMMYFUNCTION("""COMPUTED_VALUE"""),0.7575144318038524)</f>
        <v>0.7575144318</v>
      </c>
      <c r="AP1309" s="82">
        <f>IFERROR(__xludf.DUMMYFUNCTION("""COMPUTED_VALUE"""),1.0597207556001131)</f>
        <v>1.059720756</v>
      </c>
      <c r="AQ1309" s="82">
        <f>IFERROR(__xludf.DUMMYFUNCTION("""COMPUTED_VALUE"""),0.8109008836651064)</f>
        <v>0.8109008837</v>
      </c>
      <c r="AR1309" s="82">
        <f>IFERROR(__xludf.DUMMYFUNCTION("""COMPUTED_VALUE"""),0.7624457720712915)</f>
        <v>0.7624457721</v>
      </c>
      <c r="AS1309" s="82">
        <f>IFERROR(__xludf.DUMMYFUNCTION("""COMPUTED_VALUE"""),45.0)</f>
        <v>45</v>
      </c>
      <c r="AT1309" s="82">
        <f>IFERROR(__xludf.DUMMYFUNCTION("""COMPUTED_VALUE"""),0.5530561079707524)</f>
        <v>0.553056108</v>
      </c>
      <c r="AU1309" s="82">
        <f>IFERROR(__xludf.DUMMYFUNCTION("""COMPUTED_VALUE"""),1.9927099360670697)</f>
        <v>1.992709936</v>
      </c>
      <c r="AV1309" s="82">
        <f>IFERROR(__xludf.DUMMYFUNCTION("""COMPUTED_VALUE"""),38.31518019097622)</f>
        <v>38.31518019</v>
      </c>
      <c r="AW1309" s="82">
        <f t="shared" si="1"/>
        <v>-3.123931623</v>
      </c>
      <c r="AX1309" s="83">
        <f t="array" ref="AX1309">IFERROR(DGET('SBV Import'!A:G,"SBV",{"RSC ID","Tier";B1309,A1309}))</f>
        <v>39.8080471</v>
      </c>
      <c r="AY1309" s="82">
        <f t="shared" si="2"/>
        <v>-2.926072746</v>
      </c>
      <c r="AZ1309" s="82">
        <v>0.1978588769679579</v>
      </c>
      <c r="BA1309" s="84">
        <v>1200.0</v>
      </c>
      <c r="BB1309" s="84" t="b">
        <f>IFERROR(__xludf.DUMMYFUNCTION("iferror(if(A1309="""",,E1309&gt;=FILTER(Constants!$F$2:$F$10,Constants!$A$2:$A$10=A1309)))"),TRUE)</f>
        <v>1</v>
      </c>
    </row>
    <row r="1310">
      <c r="A1310" s="89" t="str">
        <f>IFERROR(__xludf.DUMMYFUNCTION("""COMPUTED_VALUE"""),"Veteran")</f>
        <v>Veteran</v>
      </c>
      <c r="B1310" s="87" t="str">
        <f>IFERROR(__xludf.DUMMYFUNCTION("""COMPUTED_VALUE"""),"RSC000156")</f>
        <v>RSC000156</v>
      </c>
      <c r="C1310" s="73" t="str">
        <f>IFERROR(__xludf.DUMMYFUNCTION("""COMPUTED_VALUE"""),"Drupenson")</f>
        <v>Drupenson</v>
      </c>
      <c r="D1310" s="73"/>
      <c r="E1310" s="82">
        <f>IFERROR(__xludf.DUMMYFUNCTION("""COMPUTED_VALUE"""),6.0)</f>
        <v>6</v>
      </c>
      <c r="F1310" s="82">
        <f>IFERROR(__xludf.DUMMYFUNCTION("""COMPUTED_VALUE"""),2.0)</f>
        <v>2</v>
      </c>
      <c r="G1310" s="86">
        <f>IFERROR(__xludf.DUMMYFUNCTION("""COMPUTED_VALUE"""),4.0)</f>
        <v>4</v>
      </c>
      <c r="H1310" s="86">
        <f>IFERROR(__xludf.DUMMYFUNCTION("""COMPUTED_VALUE"""),0.3333333333333333)</f>
        <v>0.3333333333</v>
      </c>
      <c r="I1310" s="86">
        <f>IFERROR(__xludf.DUMMYFUNCTION("""COMPUTED_VALUE"""),0.4117647058823529)</f>
        <v>0.4117647059</v>
      </c>
      <c r="J1310" s="82">
        <f>IFERROR(__xludf.DUMMYFUNCTION("""COMPUTED_VALUE"""),303.6666666666667)</f>
        <v>303.6666667</v>
      </c>
      <c r="K1310" s="82">
        <f>IFERROR(__xludf.DUMMYFUNCTION("""COMPUTED_VALUE"""),1.1666666666666667)</f>
        <v>1.166666667</v>
      </c>
      <c r="L1310" s="82">
        <f>IFERROR(__xludf.DUMMYFUNCTION("""COMPUTED_VALUE"""),0.0)</f>
        <v>0</v>
      </c>
      <c r="M1310" s="82">
        <f>IFERROR(__xludf.DUMMYFUNCTION("""COMPUTED_VALUE"""),0.5)</f>
        <v>0.5</v>
      </c>
      <c r="N1310" s="82">
        <f>IFERROR(__xludf.DUMMYFUNCTION("""COMPUTED_VALUE"""),2.8333333333333335)</f>
        <v>2.833333333</v>
      </c>
      <c r="O1310" s="82">
        <f>IFERROR(__xludf.DUMMYFUNCTION("""COMPUTED_VALUE"""),334.72222222222223)</f>
        <v>334.7222222</v>
      </c>
      <c r="P1310" s="82">
        <f>IFERROR(__xludf.DUMMYFUNCTION("""COMPUTED_VALUE"""),0.888888888888889)</f>
        <v>0.8888888889</v>
      </c>
      <c r="Q1310" s="82">
        <f>IFERROR(__xludf.DUMMYFUNCTION("""COMPUTED_VALUE"""),0.6666666666666666)</f>
        <v>0.6666666667</v>
      </c>
      <c r="R1310" s="82">
        <f>IFERROR(__xludf.DUMMYFUNCTION("""COMPUTED_VALUE"""),0.9999999999999999)</f>
        <v>1</v>
      </c>
      <c r="S1310" s="82">
        <f>IFERROR(__xludf.DUMMYFUNCTION("""COMPUTED_VALUE"""),2.055555555555556)</f>
        <v>2.055555556</v>
      </c>
      <c r="T1310" s="82">
        <f>IFERROR(__xludf.DUMMYFUNCTION("""COMPUTED_VALUE"""),358.3558901338313)</f>
        <v>358.3558901</v>
      </c>
      <c r="U1310" s="82">
        <f>IFERROR(__xludf.DUMMYFUNCTION("""COMPUTED_VALUE"""),0.8061344537815126)</f>
        <v>0.8061344538</v>
      </c>
      <c r="V1310" s="82">
        <f>IFERROR(__xludf.DUMMYFUNCTION("""COMPUTED_VALUE"""),0.566604419545596)</f>
        <v>0.5666044195</v>
      </c>
      <c r="W1310" s="82">
        <f>IFERROR(__xludf.DUMMYFUNCTION("""COMPUTED_VALUE"""),1.3637581699346404)</f>
        <v>1.36375817</v>
      </c>
      <c r="X1310" s="82">
        <f>IFERROR(__xludf.DUMMYFUNCTION("""COMPUTED_VALUE"""),2.5752100840336127)</f>
        <v>2.575210084</v>
      </c>
      <c r="Y1310" s="82">
        <f>IFERROR(__xludf.DUMMYFUNCTION("""COMPUTED_VALUE"""),363.67424006639703)</f>
        <v>363.6742401</v>
      </c>
      <c r="Z1310" s="82">
        <f>IFERROR(__xludf.DUMMYFUNCTION("""COMPUTED_VALUE"""),0.8818788256043159)</f>
        <v>0.8818788256</v>
      </c>
      <c r="AA1310" s="82">
        <f>IFERROR(__xludf.DUMMYFUNCTION("""COMPUTED_VALUE"""),0.6230801950409794)</f>
        <v>0.623080195</v>
      </c>
      <c r="AB1310" s="82">
        <f>IFERROR(__xludf.DUMMYFUNCTION("""COMPUTED_VALUE"""),1.2570619358854653)</f>
        <v>1.257061936</v>
      </c>
      <c r="AC1310" s="82">
        <f>IFERROR(__xludf.DUMMYFUNCTION("""COMPUTED_VALUE"""),2.886715426911506)</f>
        <v>2.886715427</v>
      </c>
      <c r="AD1310" s="82">
        <f>IFERROR(__xludf.DUMMYFUNCTION("""COMPUTED_VALUE"""),0.8349963599600164)</f>
        <v>0.83499636</v>
      </c>
      <c r="AE1310" s="82">
        <f>IFERROR(__xludf.DUMMYFUNCTION("""COMPUTED_VALUE"""),1.3229330751503159)</f>
        <v>1.322933075</v>
      </c>
      <c r="AF1310" s="82">
        <f>IFERROR(__xludf.DUMMYFUNCTION("""COMPUTED_VALUE"""),0.0)</f>
        <v>0</v>
      </c>
      <c r="AG1310" s="82">
        <f>IFERROR(__xludf.DUMMYFUNCTION("""COMPUTED_VALUE"""),0.39775287575452967)</f>
        <v>0.3977528758</v>
      </c>
      <c r="AH1310" s="82">
        <f>IFERROR(__xludf.DUMMYFUNCTION("""COMPUTED_VALUE"""),0.9815076702467739)</f>
        <v>0.9815076702</v>
      </c>
      <c r="AI1310" s="82">
        <f>IFERROR(__xludf.DUMMYFUNCTION("""COMPUTED_VALUE"""),0.9340497294385678)</f>
        <v>0.9340497294</v>
      </c>
      <c r="AJ1310" s="82">
        <f>IFERROR(__xludf.DUMMYFUNCTION("""COMPUTED_VALUE"""),1.1026558717583423)</f>
        <v>1.102655872</v>
      </c>
      <c r="AK1310" s="82">
        <f>IFERROR(__xludf.DUMMYFUNCTION("""COMPUTED_VALUE"""),1.176599835210107)</f>
        <v>1.176599835</v>
      </c>
      <c r="AL1310" s="82">
        <f>IFERROR(__xludf.DUMMYFUNCTION("""COMPUTED_VALUE"""),0.7332678344635882)</f>
        <v>0.7332678345</v>
      </c>
      <c r="AM1310" s="82">
        <f>IFERROR(__xludf.DUMMYFUNCTION("""COMPUTED_VALUE"""),0.798208879461939)</f>
        <v>0.7982088795</v>
      </c>
      <c r="AN1310" s="82">
        <f>IFERROR(__xludf.DUMMYFUNCTION("""COMPUTED_VALUE"""),0.879486339252542)</f>
        <v>0.8794863393</v>
      </c>
      <c r="AO1310" s="82">
        <f>IFERROR(__xludf.DUMMYFUNCTION("""COMPUTED_VALUE"""),1.5465919649328654)</f>
        <v>1.546591965</v>
      </c>
      <c r="AP1310" s="82">
        <f>IFERROR(__xludf.DUMMYFUNCTION("""COMPUTED_VALUE"""),0.0)</f>
        <v>0</v>
      </c>
      <c r="AQ1310" s="82">
        <f>IFERROR(__xludf.DUMMYFUNCTION("""COMPUTED_VALUE"""),0.37019388167320066)</f>
        <v>0.3701938817</v>
      </c>
      <c r="AR1310" s="82">
        <f>IFERROR(__xludf.DUMMYFUNCTION("""COMPUTED_VALUE"""),1.1064761814205328)</f>
        <v>1.106476181</v>
      </c>
      <c r="AS1310" s="82">
        <f>IFERROR(__xludf.DUMMYFUNCTION("""COMPUTED_VALUE"""),15.0)</f>
        <v>15</v>
      </c>
      <c r="AT1310" s="82">
        <f>IFERROR(__xludf.DUMMYFUNCTION("""COMPUTED_VALUE"""),0.4741736082583073)</f>
        <v>0.4741736083</v>
      </c>
      <c r="AU1310" s="82">
        <f>IFERROR(__xludf.DUMMYFUNCTION("""COMPUTED_VALUE"""),1.9503574042828404)</f>
        <v>1.950357404</v>
      </c>
      <c r="AV1310" s="82">
        <f>IFERROR(__xludf.DUMMYFUNCTION("""COMPUTED_VALUE"""),37.00326426480227)</f>
        <v>37.00326426</v>
      </c>
      <c r="AW1310" s="82">
        <f t="shared" si="1"/>
        <v>-3.315899528</v>
      </c>
      <c r="AX1310" s="83">
        <f t="array" ref="AX1310">IFERROR(DGET('SBV Import'!A:G,"SBV",{"RSC ID","Tier";B1310,A1310}))</f>
        <v>47.94760354</v>
      </c>
      <c r="AY1310" s="82">
        <f t="shared" si="2"/>
        <v>-2.1400205</v>
      </c>
      <c r="AZ1310" s="82">
        <v>1.1758790273853563</v>
      </c>
      <c r="BA1310" s="84">
        <v>1200.0</v>
      </c>
      <c r="BB1310" s="84" t="b">
        <f>IFERROR(__xludf.DUMMYFUNCTION("iferror(if(A1310="""",,E1310&gt;=FILTER(Constants!$F$2:$F$10,Constants!$A$2:$A$10=A1310)))"),TRUE)</f>
        <v>1</v>
      </c>
    </row>
    <row r="1311">
      <c r="A1311" s="89" t="str">
        <f>IFERROR(__xludf.DUMMYFUNCTION("""COMPUTED_VALUE"""),"Veteran")</f>
        <v>Veteran</v>
      </c>
      <c r="B1311" s="87" t="str">
        <f>IFERROR(__xludf.DUMMYFUNCTION("""COMPUTED_VALUE"""),"RSC007825")</f>
        <v>RSC007825</v>
      </c>
      <c r="C1311" s="73" t="str">
        <f>IFERROR(__xludf.DUMMYFUNCTION("""COMPUTED_VALUE"""),"Acryonix")</f>
        <v>Acryonix</v>
      </c>
      <c r="D1311" s="73" t="str">
        <f>IFERROR(__xludf.DUMMYFUNCTION("""COMPUTED_VALUE"""),"Slots")</f>
        <v>Slots</v>
      </c>
      <c r="E1311" s="82">
        <f>IFERROR(__xludf.DUMMYFUNCTION("""COMPUTED_VALUE"""),8.0)</f>
        <v>8</v>
      </c>
      <c r="F1311" s="82">
        <f>IFERROR(__xludf.DUMMYFUNCTION("""COMPUTED_VALUE"""),4.0)</f>
        <v>4</v>
      </c>
      <c r="G1311" s="86">
        <f>IFERROR(__xludf.DUMMYFUNCTION("""COMPUTED_VALUE"""),4.0)</f>
        <v>4</v>
      </c>
      <c r="H1311" s="86">
        <f>IFERROR(__xludf.DUMMYFUNCTION("""COMPUTED_VALUE"""),0.5)</f>
        <v>0.5</v>
      </c>
      <c r="I1311" s="86">
        <f>IFERROR(__xludf.DUMMYFUNCTION("""COMPUTED_VALUE"""),0.4444444444444444)</f>
        <v>0.4444444444</v>
      </c>
      <c r="J1311" s="82">
        <f>IFERROR(__xludf.DUMMYFUNCTION("""COMPUTED_VALUE"""),339.5)</f>
        <v>339.5</v>
      </c>
      <c r="K1311" s="82">
        <f>IFERROR(__xludf.DUMMYFUNCTION("""COMPUTED_VALUE"""),1.0)</f>
        <v>1</v>
      </c>
      <c r="L1311" s="82">
        <f>IFERROR(__xludf.DUMMYFUNCTION("""COMPUTED_VALUE"""),0.125)</f>
        <v>0.125</v>
      </c>
      <c r="M1311" s="82">
        <f>IFERROR(__xludf.DUMMYFUNCTION("""COMPUTED_VALUE"""),1.375)</f>
        <v>1.375</v>
      </c>
      <c r="N1311" s="82">
        <f>IFERROR(__xludf.DUMMYFUNCTION("""COMPUTED_VALUE"""),2.25)</f>
        <v>2.25</v>
      </c>
      <c r="O1311" s="82">
        <f>IFERROR(__xludf.DUMMYFUNCTION("""COMPUTED_VALUE"""),394.79166666666663)</f>
        <v>394.7916667</v>
      </c>
      <c r="P1311" s="82">
        <f>IFERROR(__xludf.DUMMYFUNCTION("""COMPUTED_VALUE"""),0.9583333333333333)</f>
        <v>0.9583333333</v>
      </c>
      <c r="Q1311" s="82">
        <f>IFERROR(__xludf.DUMMYFUNCTION("""COMPUTED_VALUE"""),0.75)</f>
        <v>0.75</v>
      </c>
      <c r="R1311" s="82">
        <f>IFERROR(__xludf.DUMMYFUNCTION("""COMPUTED_VALUE"""),1.4166666666666667)</f>
        <v>1.416666667</v>
      </c>
      <c r="S1311" s="82">
        <f>IFERROR(__xludf.DUMMYFUNCTION("""COMPUTED_VALUE"""),3.4999999999999996)</f>
        <v>3.5</v>
      </c>
      <c r="T1311" s="82">
        <f>IFERROR(__xludf.DUMMYFUNCTION("""COMPUTED_VALUE"""),362.65815615892825)</f>
        <v>362.6581562</v>
      </c>
      <c r="U1311" s="82">
        <f>IFERROR(__xludf.DUMMYFUNCTION("""COMPUTED_VALUE"""),0.8668338054918938)</f>
        <v>0.8668338055</v>
      </c>
      <c r="V1311" s="82">
        <f>IFERROR(__xludf.DUMMYFUNCTION("""COMPUTED_VALUE"""),0.7245484165888577)</f>
        <v>0.7245484166</v>
      </c>
      <c r="W1311" s="82">
        <f>IFERROR(__xludf.DUMMYFUNCTION("""COMPUTED_VALUE"""),1.1493551587301587)</f>
        <v>1.149355159</v>
      </c>
      <c r="X1311" s="82">
        <f>IFERROR(__xludf.DUMMYFUNCTION("""COMPUTED_VALUE"""),2.9213046474903095)</f>
        <v>2.921304647</v>
      </c>
      <c r="Y1311" s="82">
        <f>IFERROR(__xludf.DUMMYFUNCTION("""COMPUTED_VALUE"""),349.00806480273087)</f>
        <v>349.0080648</v>
      </c>
      <c r="Z1311" s="82">
        <f>IFERROR(__xludf.DUMMYFUNCTION("""COMPUTED_VALUE"""),0.7536921340505899)</f>
        <v>0.7536921341</v>
      </c>
      <c r="AA1311" s="82">
        <f>IFERROR(__xludf.DUMMYFUNCTION("""COMPUTED_VALUE"""),0.5465794720666044)</f>
        <v>0.5465794721</v>
      </c>
      <c r="AB1311" s="82">
        <f>IFERROR(__xludf.DUMMYFUNCTION("""COMPUTED_VALUE"""),1.3882398580223334)</f>
        <v>1.388239858</v>
      </c>
      <c r="AC1311" s="82">
        <f>IFERROR(__xludf.DUMMYFUNCTION("""COMPUTED_VALUE"""),2.4428603392114425)</f>
        <v>2.442860339</v>
      </c>
      <c r="AD1311" s="82">
        <f>IFERROR(__xludf.DUMMYFUNCTION("""COMPUTED_VALUE"""),0.9727568908526366)</f>
        <v>0.9727568909</v>
      </c>
      <c r="AE1311" s="82">
        <f>IFERROR(__xludf.DUMMYFUNCTION("""COMPUTED_VALUE"""),1.3268016937176597)</f>
        <v>1.326801694</v>
      </c>
      <c r="AF1311" s="82">
        <f>IFERROR(__xludf.DUMMYFUNCTION("""COMPUTED_VALUE"""),0.2286950139700232)</f>
        <v>0.228695014</v>
      </c>
      <c r="AG1311" s="82">
        <f>IFERROR(__xludf.DUMMYFUNCTION("""COMPUTED_VALUE"""),0.9904628454904078)</f>
        <v>0.9904628455</v>
      </c>
      <c r="AH1311" s="82">
        <f>IFERROR(__xludf.DUMMYFUNCTION("""COMPUTED_VALUE"""),0.9210514264300111)</f>
        <v>0.9210514264</v>
      </c>
      <c r="AI1311" s="82">
        <f>IFERROR(__xludf.DUMMYFUNCTION("""COMPUTED_VALUE"""),1.0886055089676694)</f>
        <v>1.088605509</v>
      </c>
      <c r="AJ1311" s="82">
        <f>IFERROR(__xludf.DUMMYFUNCTION("""COMPUTED_VALUE"""),1.1055560215369278)</f>
        <v>1.105556022</v>
      </c>
      <c r="AK1311" s="82">
        <f>IFERROR(__xludf.DUMMYFUNCTION("""COMPUTED_VALUE"""),1.0351275122937502)</f>
        <v>1.035127512</v>
      </c>
      <c r="AL1311" s="82">
        <f>IFERROR(__xludf.DUMMYFUNCTION("""COMPUTED_VALUE"""),1.2325752017608218)</f>
        <v>1.232575202</v>
      </c>
      <c r="AM1311" s="82">
        <f>IFERROR(__xludf.DUMMYFUNCTION("""COMPUTED_VALUE"""),1.1980948317070754)</f>
        <v>1.198094832</v>
      </c>
      <c r="AN1311" s="82">
        <f>IFERROR(__xludf.DUMMYFUNCTION("""COMPUTED_VALUE"""),0.9832676580995764)</f>
        <v>0.9832676581</v>
      </c>
      <c r="AO1311" s="82">
        <f>IFERROR(__xludf.DUMMYFUNCTION("""COMPUTED_VALUE"""),1.3256502556567418)</f>
        <v>1.325650256</v>
      </c>
      <c r="AP1311" s="82">
        <f>IFERROR(__xludf.DUMMYFUNCTION("""COMPUTED_VALUE"""),0.2318139152875248)</f>
        <v>0.2318139153</v>
      </c>
      <c r="AQ1311" s="82">
        <f>IFERROR(__xludf.DUMMYFUNCTION("""COMPUTED_VALUE"""),1.0180331746013018)</f>
        <v>1.018033175</v>
      </c>
      <c r="AR1311" s="82">
        <f>IFERROR(__xludf.DUMMYFUNCTION("""COMPUTED_VALUE"""),0.8786722617163055)</f>
        <v>0.8786722617</v>
      </c>
      <c r="AS1311" s="82">
        <f>IFERROR(__xludf.DUMMYFUNCTION("""COMPUTED_VALUE"""),20.0)</f>
        <v>20</v>
      </c>
      <c r="AT1311" s="82">
        <f>IFERROR(__xludf.DUMMYFUNCTION("""COMPUTED_VALUE"""),0.44362365470593096)</f>
        <v>0.4436236547</v>
      </c>
      <c r="AU1311" s="82">
        <f>IFERROR(__xludf.DUMMYFUNCTION("""COMPUTED_VALUE"""),1.9403545002959772)</f>
        <v>1.9403545</v>
      </c>
      <c r="AV1311" s="82">
        <f>IFERROR(__xludf.DUMMYFUNCTION("""COMPUTED_VALUE"""),36.69341338941159)</f>
        <v>36.69341339</v>
      </c>
      <c r="AW1311" s="82">
        <f t="shared" si="1"/>
        <v>-3.363925245</v>
      </c>
      <c r="AX1311" s="83">
        <f t="array" ref="AX1311">IFERROR(DGET('SBV Import'!A:G,"SBV",{"RSC ID","Tier";B1311,A1311}))</f>
        <v>12.92434563</v>
      </c>
      <c r="AY1311" s="82">
        <f t="shared" si="2"/>
        <v>-14.48567279</v>
      </c>
      <c r="AZ1311" s="82">
        <v>11.121747547299677</v>
      </c>
      <c r="BA1311" s="84">
        <v>1200.0</v>
      </c>
      <c r="BB1311" s="84" t="b">
        <f>IFERROR(__xludf.DUMMYFUNCTION("iferror(if(A1311="""",,E1311&gt;=FILTER(Constants!$F$2:$F$10,Constants!$A$2:$A$10=A1311)))"),TRUE)</f>
        <v>1</v>
      </c>
    </row>
    <row r="1312">
      <c r="A1312" s="89" t="str">
        <f>IFERROR(__xludf.DUMMYFUNCTION("""COMPUTED_VALUE"""),"Veteran")</f>
        <v>Veteran</v>
      </c>
      <c r="B1312" s="87" t="str">
        <f>IFERROR(__xludf.DUMMYFUNCTION("""COMPUTED_VALUE"""),"RSC006531")</f>
        <v>RSC006531</v>
      </c>
      <c r="C1312" s="73" t="str">
        <f>IFERROR(__xludf.DUMMYFUNCTION("""COMPUTED_VALUE"""),"Corners-")</f>
        <v>Corners-</v>
      </c>
      <c r="D1312" s="73"/>
      <c r="E1312" s="82">
        <f>IFERROR(__xludf.DUMMYFUNCTION("""COMPUTED_VALUE"""),4.0)</f>
        <v>4</v>
      </c>
      <c r="F1312" s="82">
        <f>IFERROR(__xludf.DUMMYFUNCTION("""COMPUTED_VALUE"""),1.0)</f>
        <v>1</v>
      </c>
      <c r="G1312" s="86">
        <f>IFERROR(__xludf.DUMMYFUNCTION("""COMPUTED_VALUE"""),3.0)</f>
        <v>3</v>
      </c>
      <c r="H1312" s="86">
        <f>IFERROR(__xludf.DUMMYFUNCTION("""COMPUTED_VALUE"""),0.25)</f>
        <v>0.25</v>
      </c>
      <c r="I1312" s="86">
        <f>IFERROR(__xludf.DUMMYFUNCTION("""COMPUTED_VALUE"""),0.16666666666666666)</f>
        <v>0.1666666667</v>
      </c>
      <c r="J1312" s="82">
        <f>IFERROR(__xludf.DUMMYFUNCTION("""COMPUTED_VALUE"""),261.0)</f>
        <v>261</v>
      </c>
      <c r="K1312" s="82">
        <f>IFERROR(__xludf.DUMMYFUNCTION("""COMPUTED_VALUE"""),0.5)</f>
        <v>0.5</v>
      </c>
      <c r="L1312" s="82">
        <f>IFERROR(__xludf.DUMMYFUNCTION("""COMPUTED_VALUE"""),0.75)</f>
        <v>0.75</v>
      </c>
      <c r="M1312" s="82">
        <f>IFERROR(__xludf.DUMMYFUNCTION("""COMPUTED_VALUE"""),0.5)</f>
        <v>0.5</v>
      </c>
      <c r="N1312" s="82">
        <f>IFERROR(__xludf.DUMMYFUNCTION("""COMPUTED_VALUE"""),3.0)</f>
        <v>3</v>
      </c>
      <c r="O1312" s="82">
        <f>IFERROR(__xludf.DUMMYFUNCTION("""COMPUTED_VALUE"""),414.33333333333337)</f>
        <v>414.3333333</v>
      </c>
      <c r="P1312" s="82">
        <f>IFERROR(__xludf.DUMMYFUNCTION("""COMPUTED_VALUE"""),1.0)</f>
        <v>1</v>
      </c>
      <c r="Q1312" s="82">
        <f>IFERROR(__xludf.DUMMYFUNCTION("""COMPUTED_VALUE"""),0.6666666666666666)</f>
        <v>0.6666666667</v>
      </c>
      <c r="R1312" s="82">
        <f>IFERROR(__xludf.DUMMYFUNCTION("""COMPUTED_VALUE"""),1.9166666666666667)</f>
        <v>1.916666667</v>
      </c>
      <c r="S1312" s="82">
        <f>IFERROR(__xludf.DUMMYFUNCTION("""COMPUTED_VALUE"""),1.9166666666666665)</f>
        <v>1.916666667</v>
      </c>
      <c r="T1312" s="82">
        <f>IFERROR(__xludf.DUMMYFUNCTION("""COMPUTED_VALUE"""),328.7067901234568)</f>
        <v>328.7067901</v>
      </c>
      <c r="U1312" s="82">
        <f>IFERROR(__xludf.DUMMYFUNCTION("""COMPUTED_VALUE"""),0.6018518518518519)</f>
        <v>0.6018518519</v>
      </c>
      <c r="V1312" s="82">
        <f>IFERROR(__xludf.DUMMYFUNCTION("""COMPUTED_VALUE"""),0.4290123456790123)</f>
        <v>0.4290123457</v>
      </c>
      <c r="W1312" s="82">
        <f>IFERROR(__xludf.DUMMYFUNCTION("""COMPUTED_VALUE"""),1.4475308641975309)</f>
        <v>1.447530864</v>
      </c>
      <c r="X1312" s="82">
        <f>IFERROR(__xludf.DUMMYFUNCTION("""COMPUTED_VALUE"""),2.373456790123457)</f>
        <v>2.37345679</v>
      </c>
      <c r="Y1312" s="82">
        <f>IFERROR(__xludf.DUMMYFUNCTION("""COMPUTED_VALUE"""),346.29012345679007)</f>
        <v>346.2901235</v>
      </c>
      <c r="Z1312" s="82">
        <f>IFERROR(__xludf.DUMMYFUNCTION("""COMPUTED_VALUE"""),0.7489711934156379)</f>
        <v>0.7489711934</v>
      </c>
      <c r="AA1312" s="82">
        <f>IFERROR(__xludf.DUMMYFUNCTION("""COMPUTED_VALUE"""),0.522633744855967)</f>
        <v>0.5226337449</v>
      </c>
      <c r="AB1312" s="82">
        <f>IFERROR(__xludf.DUMMYFUNCTION("""COMPUTED_VALUE"""),1.3930041152263373)</f>
        <v>1.393004115</v>
      </c>
      <c r="AC1312" s="82">
        <f>IFERROR(__xludf.DUMMYFUNCTION("""COMPUTED_VALUE"""),2.664609053497943)</f>
        <v>2.664609053</v>
      </c>
      <c r="AD1312" s="82">
        <f>IFERROR(__xludf.DUMMYFUNCTION("""COMPUTED_VALUE"""),0.7537032745681742)</f>
        <v>0.7537032746</v>
      </c>
      <c r="AE1312" s="82">
        <f>IFERROR(__xludf.DUMMYFUNCTION("""COMPUTED_VALUE"""),0.6675824175824175)</f>
        <v>0.6675824176</v>
      </c>
      <c r="AF1312" s="82">
        <f>IFERROR(__xludf.DUMMYFUNCTION("""COMPUTED_VALUE"""),1.4350393700787403)</f>
        <v>1.43503937</v>
      </c>
      <c r="AG1312" s="82">
        <f>IFERROR(__xludf.DUMMYFUNCTION("""COMPUTED_VALUE"""),0.3589364844903989)</f>
        <v>0.3589364845</v>
      </c>
      <c r="AH1312" s="82">
        <f>IFERROR(__xludf.DUMMYFUNCTION("""COMPUTED_VALUE"""),1.1258687258687257)</f>
        <v>1.125868726</v>
      </c>
      <c r="AI1312" s="82">
        <f>IFERROR(__xludf.DUMMYFUNCTION("""COMPUTED_VALUE"""),1.2604952066177784)</f>
        <v>1.260495207</v>
      </c>
      <c r="AJ1312" s="82">
        <f>IFERROR(__xludf.DUMMYFUNCTION("""COMPUTED_VALUE"""),1.6615384615384614)</f>
        <v>1.661538462</v>
      </c>
      <c r="AK1312" s="82">
        <f>IFERROR(__xludf.DUMMYFUNCTION("""COMPUTED_VALUE"""),1.5539568345323742)</f>
        <v>1.553956835</v>
      </c>
      <c r="AL1312" s="82">
        <f>IFERROR(__xludf.DUMMYFUNCTION("""COMPUTED_VALUE"""),1.32409381663113)</f>
        <v>1.324093817</v>
      </c>
      <c r="AM1312" s="82">
        <f>IFERROR(__xludf.DUMMYFUNCTION("""COMPUTED_VALUE"""),0.8075422626788036)</f>
        <v>0.8075422627</v>
      </c>
      <c r="AN1312" s="82">
        <f>IFERROR(__xludf.DUMMYFUNCTION("""COMPUTED_VALUE"""),0.7559141642532825)</f>
        <v>0.7559141643</v>
      </c>
      <c r="AO1312" s="82">
        <f>IFERROR(__xludf.DUMMYFUNCTION("""COMPUTED_VALUE"""),0.6628251278283709)</f>
        <v>0.6628251278</v>
      </c>
      <c r="AP1312" s="82">
        <f>IFERROR(__xludf.DUMMYFUNCTION("""COMPUTED_VALUE"""),1.3908834917251487)</f>
        <v>1.390883492</v>
      </c>
      <c r="AQ1312" s="82">
        <f>IFERROR(__xludf.DUMMYFUNCTION("""COMPUTED_VALUE"""),0.37019388167320066)</f>
        <v>0.3701938817</v>
      </c>
      <c r="AR1312" s="82">
        <f>IFERROR(__xludf.DUMMYFUNCTION("""COMPUTED_VALUE"""),1.1715630156217407)</f>
        <v>1.171563016</v>
      </c>
      <c r="AS1312" s="82">
        <f>IFERROR(__xludf.DUMMYFUNCTION("""COMPUTED_VALUE"""),8.0)</f>
        <v>8</v>
      </c>
      <c r="AT1312" s="82">
        <f>IFERROR(__xludf.DUMMYFUNCTION("""COMPUTED_VALUE"""),0.34445266793706497)</f>
        <v>0.3444526679</v>
      </c>
      <c r="AU1312" s="82">
        <f>IFERROR(__xludf.DUMMYFUNCTION("""COMPUTED_VALUE"""),1.9255871269318194)</f>
        <v>1.925587127</v>
      </c>
      <c r="AV1312" s="82">
        <f>IFERROR(__xludf.DUMMYFUNCTION("""COMPUTED_VALUE"""),36.23597787167449)</f>
        <v>36.23597787</v>
      </c>
      <c r="AW1312" s="82">
        <f t="shared" si="1"/>
        <v>-3.436811555</v>
      </c>
      <c r="AX1312" s="83">
        <f t="array" ref="AX1312">IFERROR(DGET('SBV Import'!A:G,"SBV",{"RSC ID","Tier";B1312,A1312}))</f>
        <v>32.76152083</v>
      </c>
      <c r="AY1312" s="82">
        <f t="shared" si="2"/>
        <v>-4.077604692</v>
      </c>
      <c r="AZ1312" s="82">
        <v>0.6407931365427482</v>
      </c>
      <c r="BA1312" s="84">
        <v>1200.0</v>
      </c>
      <c r="BB1312" s="84" t="b">
        <f>IFERROR(__xludf.DUMMYFUNCTION("iferror(if(A1312="""",,E1312&gt;=FILTER(Constants!$F$2:$F$10,Constants!$A$2:$A$10=A1312)))"),TRUE)</f>
        <v>1</v>
      </c>
    </row>
    <row r="1313">
      <c r="A1313" s="89" t="str">
        <f>IFERROR(__xludf.DUMMYFUNCTION("""COMPUTED_VALUE"""),"Veteran")</f>
        <v>Veteran</v>
      </c>
      <c r="B1313" s="87" t="str">
        <f>IFERROR(__xludf.DUMMYFUNCTION("""COMPUTED_VALUE"""),"RSC004239")</f>
        <v>RSC004239</v>
      </c>
      <c r="C1313" s="73" t="str">
        <f>IFERROR(__xludf.DUMMYFUNCTION("""COMPUTED_VALUE"""),"Nitro")</f>
        <v>Nitro</v>
      </c>
      <c r="D1313" s="73" t="str">
        <f>IFERROR(__xludf.DUMMYFUNCTION("""COMPUTED_VALUE"""),"Slots")</f>
        <v>Slots</v>
      </c>
      <c r="E1313" s="82">
        <f>IFERROR(__xludf.DUMMYFUNCTION("""COMPUTED_VALUE"""),31.0)</f>
        <v>31</v>
      </c>
      <c r="F1313" s="82">
        <f>IFERROR(__xludf.DUMMYFUNCTION("""COMPUTED_VALUE"""),14.0)</f>
        <v>14</v>
      </c>
      <c r="G1313" s="86">
        <f>IFERROR(__xludf.DUMMYFUNCTION("""COMPUTED_VALUE"""),17.0)</f>
        <v>17</v>
      </c>
      <c r="H1313" s="86">
        <f>IFERROR(__xludf.DUMMYFUNCTION("""COMPUTED_VALUE"""),0.45161290322580644)</f>
        <v>0.4516129032</v>
      </c>
      <c r="I1313" s="86">
        <f>IFERROR(__xludf.DUMMYFUNCTION("""COMPUTED_VALUE"""),0.22222222222222224)</f>
        <v>0.2222222222</v>
      </c>
      <c r="J1313" s="82">
        <f>IFERROR(__xludf.DUMMYFUNCTION("""COMPUTED_VALUE"""),342.741935483871)</f>
        <v>342.7419355</v>
      </c>
      <c r="K1313" s="82">
        <f>IFERROR(__xludf.DUMMYFUNCTION("""COMPUTED_VALUE"""),0.5806451612903226)</f>
        <v>0.5806451613</v>
      </c>
      <c r="L1313" s="82">
        <f>IFERROR(__xludf.DUMMYFUNCTION("""COMPUTED_VALUE"""),0.4838709677419355)</f>
        <v>0.4838709677</v>
      </c>
      <c r="M1313" s="82">
        <f>IFERROR(__xludf.DUMMYFUNCTION("""COMPUTED_VALUE"""),1.8709677419354838)</f>
        <v>1.870967742</v>
      </c>
      <c r="N1313" s="82">
        <f>IFERROR(__xludf.DUMMYFUNCTION("""COMPUTED_VALUE"""),2.6129032258064515)</f>
        <v>2.612903226</v>
      </c>
      <c r="O1313" s="82">
        <f>IFERROR(__xludf.DUMMYFUNCTION("""COMPUTED_VALUE"""),387.6989247311828)</f>
        <v>387.6989247</v>
      </c>
      <c r="P1313" s="82">
        <f>IFERROR(__xludf.DUMMYFUNCTION("""COMPUTED_VALUE"""),0.9354838709677421)</f>
        <v>0.935483871</v>
      </c>
      <c r="Q1313" s="82">
        <f>IFERROR(__xludf.DUMMYFUNCTION("""COMPUTED_VALUE"""),0.6881720430107525)</f>
        <v>0.688172043</v>
      </c>
      <c r="R1313" s="82">
        <f>IFERROR(__xludf.DUMMYFUNCTION("""COMPUTED_VALUE"""),1.4838709677419357)</f>
        <v>1.483870968</v>
      </c>
      <c r="S1313" s="82">
        <f>IFERROR(__xludf.DUMMYFUNCTION("""COMPUTED_VALUE"""),2.9784946236559144)</f>
        <v>2.978494624</v>
      </c>
      <c r="T1313" s="82">
        <f>IFERROR(__xludf.DUMMYFUNCTION("""COMPUTED_VALUE"""),360.0989414106204)</f>
        <v>360.0989414</v>
      </c>
      <c r="U1313" s="82">
        <f>IFERROR(__xludf.DUMMYFUNCTION("""COMPUTED_VALUE"""),0.8145744087967615)</f>
        <v>0.8145744088</v>
      </c>
      <c r="V1313" s="82">
        <f>IFERROR(__xludf.DUMMYFUNCTION("""COMPUTED_VALUE"""),0.6258177561880247)</f>
        <v>0.6258177562</v>
      </c>
      <c r="W1313" s="82">
        <f>IFERROR(__xludf.DUMMYFUNCTION("""COMPUTED_VALUE"""),1.329759415197206)</f>
        <v>1.329759415</v>
      </c>
      <c r="X1313" s="82">
        <f>IFERROR(__xludf.DUMMYFUNCTION("""COMPUTED_VALUE"""),2.6629379577661334)</f>
        <v>2.662937958</v>
      </c>
      <c r="Y1313" s="82">
        <f>IFERROR(__xludf.DUMMYFUNCTION("""COMPUTED_VALUE"""),355.8558589997911)</f>
        <v>355.855859</v>
      </c>
      <c r="Z1313" s="82">
        <f>IFERROR(__xludf.DUMMYFUNCTION("""COMPUTED_VALUE"""),0.7985948537884197)</f>
        <v>0.7985948538</v>
      </c>
      <c r="AA1313" s="82">
        <f>IFERROR(__xludf.DUMMYFUNCTION("""COMPUTED_VALUE"""),0.5871776796438405)</f>
        <v>0.5871776796</v>
      </c>
      <c r="AB1313" s="82">
        <f>IFERROR(__xludf.DUMMYFUNCTION("""COMPUTED_VALUE"""),1.3393025330123574)</f>
        <v>1.339302533</v>
      </c>
      <c r="AC1313" s="82">
        <f>IFERROR(__xludf.DUMMYFUNCTION("""COMPUTED_VALUE"""),2.6408667757618844)</f>
        <v>2.640866776</v>
      </c>
      <c r="AD1313" s="82">
        <f>IFERROR(__xludf.DUMMYFUNCTION("""COMPUTED_VALUE"""),0.9631482152555262)</f>
        <v>0.9631482153</v>
      </c>
      <c r="AE1313" s="82">
        <f>IFERROR(__xludf.DUMMYFUNCTION("""COMPUTED_VALUE"""),0.7270835249386157)</f>
        <v>0.7270835249</v>
      </c>
      <c r="AF1313" s="82">
        <f>IFERROR(__xludf.DUMMYFUNCTION("""COMPUTED_VALUE"""),0.824062263462455)</f>
        <v>0.8240622635</v>
      </c>
      <c r="AG1313" s="82">
        <f>IFERROR(__xludf.DUMMYFUNCTION("""COMPUTED_VALUE"""),1.3969717041655298)</f>
        <v>1.396971704</v>
      </c>
      <c r="AH1313" s="82">
        <f>IFERROR(__xludf.DUMMYFUNCTION("""COMPUTED_VALUE"""),0.9894112227803065)</f>
        <v>0.9894112228</v>
      </c>
      <c r="AI1313" s="82">
        <f>IFERROR(__xludf.DUMMYFUNCTION("""COMPUTED_VALUE"""),1.0766455552811252)</f>
        <v>1.076645555</v>
      </c>
      <c r="AJ1313" s="82">
        <f>IFERROR(__xludf.DUMMYFUNCTION("""COMPUTED_VALUE"""),1.1484326795259632)</f>
        <v>1.14843268</v>
      </c>
      <c r="AK1313" s="82">
        <f>IFERROR(__xludf.DUMMYFUNCTION("""COMPUTED_VALUE"""),1.0996364935417295)</f>
        <v>1.099636494</v>
      </c>
      <c r="AL1313" s="82">
        <f>IFERROR(__xludf.DUMMYFUNCTION("""COMPUTED_VALUE"""),1.115894311996185)</f>
        <v>1.115894312</v>
      </c>
      <c r="AM1313" s="82">
        <f>IFERROR(__xludf.DUMMYFUNCTION("""COMPUTED_VALUE"""),1.1184994434322055)</f>
        <v>1.118499443</v>
      </c>
      <c r="AN1313" s="82">
        <f>IFERROR(__xludf.DUMMYFUNCTION("""COMPUTED_VALUE"""),0.9926570257311985)</f>
        <v>0.9926570257</v>
      </c>
      <c r="AO1313" s="82">
        <f>IFERROR(__xludf.DUMMYFUNCTION("""COMPUTED_VALUE"""),0.7697324065103662)</f>
        <v>0.7697324065</v>
      </c>
      <c r="AP1313" s="82">
        <f>IFERROR(__xludf.DUMMYFUNCTION("""COMPUTED_VALUE"""),0.8973441882097734)</f>
        <v>0.8973441882</v>
      </c>
      <c r="AQ1313" s="82">
        <f>IFERROR(__xludf.DUMMYFUNCTION("""COMPUTED_VALUE"""),1.38524162174488)</f>
        <v>1.385241622</v>
      </c>
      <c r="AR1313" s="82">
        <f>IFERROR(__xludf.DUMMYFUNCTION("""COMPUTED_VALUE"""),1.0203935942511935)</f>
        <v>1.020393594</v>
      </c>
      <c r="AS1313" s="82">
        <f>IFERROR(__xludf.DUMMYFUNCTION("""COMPUTED_VALUE"""),72.0)</f>
        <v>72</v>
      </c>
      <c r="AT1313" s="82">
        <f>IFERROR(__xludf.DUMMYFUNCTION("""COMPUTED_VALUE"""),0.4249341412679472)</f>
        <v>0.4249341413</v>
      </c>
      <c r="AU1313" s="82">
        <f>IFERROR(__xludf.DUMMYFUNCTION("""COMPUTED_VALUE"""),1.9211373911117022)</f>
        <v>1.921137391</v>
      </c>
      <c r="AV1313" s="82">
        <f>IFERROR(__xludf.DUMMYFUNCTION("""COMPUTED_VALUE"""),36.09814244498928)</f>
        <v>36.09814244</v>
      </c>
      <c r="AW1313" s="82">
        <f t="shared" si="1"/>
        <v>-3.459249666</v>
      </c>
      <c r="AX1313" s="83">
        <f t="array" ref="AX1313">IFERROR(DGET('SBV Import'!A:G,"SBV",{"RSC ID","Tier";B1313,A1313}))</f>
        <v>33.22926621</v>
      </c>
      <c r="AY1313" s="82">
        <f t="shared" si="2"/>
        <v>-3.98145243</v>
      </c>
      <c r="AZ1313" s="82">
        <v>0.5222027639122282</v>
      </c>
      <c r="BA1313" s="84">
        <v>1200.0</v>
      </c>
      <c r="BB1313" s="84" t="b">
        <f>IFERROR(__xludf.DUMMYFUNCTION("iferror(if(A1313="""",,E1313&gt;=FILTER(Constants!$F$2:$F$10,Constants!$A$2:$A$10=A1313)))"),TRUE)</f>
        <v>1</v>
      </c>
    </row>
    <row r="1314">
      <c r="A1314" s="89" t="str">
        <f>IFERROR(__xludf.DUMMYFUNCTION("""COMPUTED_VALUE"""),"Veteran")</f>
        <v>Veteran</v>
      </c>
      <c r="B1314" s="87" t="str">
        <f>IFERROR(__xludf.DUMMYFUNCTION("""COMPUTED_VALUE"""),"RSC002730")</f>
        <v>RSC002730</v>
      </c>
      <c r="C1314" s="73" t="str">
        <f>IFERROR(__xludf.DUMMYFUNCTION("""COMPUTED_VALUE"""),"AquaP")</f>
        <v>AquaP</v>
      </c>
      <c r="D1314" s="73" t="str">
        <f>IFERROR(__xludf.DUMMYFUNCTION("""COMPUTED_VALUE"""),"Merciless Mob")</f>
        <v>Merciless Mob</v>
      </c>
      <c r="E1314" s="82">
        <f>IFERROR(__xludf.DUMMYFUNCTION("""COMPUTED_VALUE"""),12.0)</f>
        <v>12</v>
      </c>
      <c r="F1314" s="82">
        <f>IFERROR(__xludf.DUMMYFUNCTION("""COMPUTED_VALUE"""),5.0)</f>
        <v>5</v>
      </c>
      <c r="G1314" s="86">
        <f>IFERROR(__xludf.DUMMYFUNCTION("""COMPUTED_VALUE"""),7.0)</f>
        <v>7</v>
      </c>
      <c r="H1314" s="86">
        <f>IFERROR(__xludf.DUMMYFUNCTION("""COMPUTED_VALUE"""),0.4166666666666667)</f>
        <v>0.4166666667</v>
      </c>
      <c r="I1314" s="86">
        <f>IFERROR(__xludf.DUMMYFUNCTION("""COMPUTED_VALUE"""),0.38461538461538464)</f>
        <v>0.3846153846</v>
      </c>
      <c r="J1314" s="82">
        <f>IFERROR(__xludf.DUMMYFUNCTION("""COMPUTED_VALUE"""),307.6666666666667)</f>
        <v>307.6666667</v>
      </c>
      <c r="K1314" s="82">
        <f>IFERROR(__xludf.DUMMYFUNCTION("""COMPUTED_VALUE"""),0.8333333333333334)</f>
        <v>0.8333333333</v>
      </c>
      <c r="L1314" s="82">
        <f>IFERROR(__xludf.DUMMYFUNCTION("""COMPUTED_VALUE"""),0.3333333333333333)</f>
        <v>0.3333333333</v>
      </c>
      <c r="M1314" s="82">
        <f>IFERROR(__xludf.DUMMYFUNCTION("""COMPUTED_VALUE"""),0.9166666666666666)</f>
        <v>0.9166666667</v>
      </c>
      <c r="N1314" s="82">
        <f>IFERROR(__xludf.DUMMYFUNCTION("""COMPUTED_VALUE"""),2.1666666666666665)</f>
        <v>2.166666667</v>
      </c>
      <c r="O1314" s="82">
        <f>IFERROR(__xludf.DUMMYFUNCTION("""COMPUTED_VALUE"""),355.27777777777777)</f>
        <v>355.2777778</v>
      </c>
      <c r="P1314" s="82">
        <f>IFERROR(__xludf.DUMMYFUNCTION("""COMPUTED_VALUE"""),0.8611111111111112)</f>
        <v>0.8611111111</v>
      </c>
      <c r="Q1314" s="82">
        <f>IFERROR(__xludf.DUMMYFUNCTION("""COMPUTED_VALUE"""),0.6388888888888888)</f>
        <v>0.6388888889</v>
      </c>
      <c r="R1314" s="82">
        <f>IFERROR(__xludf.DUMMYFUNCTION("""COMPUTED_VALUE"""),1.1666666666666667)</f>
        <v>1.166666667</v>
      </c>
      <c r="S1314" s="82">
        <f>IFERROR(__xludf.DUMMYFUNCTION("""COMPUTED_VALUE"""),2.888888888888889)</f>
        <v>2.888888889</v>
      </c>
      <c r="T1314" s="82">
        <f>IFERROR(__xludf.DUMMYFUNCTION("""COMPUTED_VALUE"""),351.0708818785799)</f>
        <v>351.0708819</v>
      </c>
      <c r="U1314" s="82">
        <f>IFERROR(__xludf.DUMMYFUNCTION("""COMPUTED_VALUE"""),0.7356950979709623)</f>
        <v>0.735695098</v>
      </c>
      <c r="V1314" s="82">
        <f>IFERROR(__xludf.DUMMYFUNCTION("""COMPUTED_VALUE"""),0.5854662613095921)</f>
        <v>0.5854662613</v>
      </c>
      <c r="W1314" s="82">
        <f>IFERROR(__xludf.DUMMYFUNCTION("""COMPUTED_VALUE"""),1.3424021655445806)</f>
        <v>1.342402166</v>
      </c>
      <c r="X1314" s="82">
        <f>IFERROR(__xludf.DUMMYFUNCTION("""COMPUTED_VALUE"""),2.3699828103756118)</f>
        <v>2.36998281</v>
      </c>
      <c r="Y1314" s="82">
        <f>IFERROR(__xludf.DUMMYFUNCTION("""COMPUTED_VALUE"""),342.274419052465)</f>
        <v>342.2744191</v>
      </c>
      <c r="Z1314" s="82">
        <f>IFERROR(__xludf.DUMMYFUNCTION("""COMPUTED_VALUE"""),0.773580271939835)</f>
        <v>0.7735802719</v>
      </c>
      <c r="AA1314" s="82">
        <f>IFERROR(__xludf.DUMMYFUNCTION("""COMPUTED_VALUE"""),0.5334274718659394)</f>
        <v>0.5334274719</v>
      </c>
      <c r="AB1314" s="82">
        <f>IFERROR(__xludf.DUMMYFUNCTION("""COMPUTED_VALUE"""),1.2564717013348545)</f>
        <v>1.256471701</v>
      </c>
      <c r="AC1314" s="82">
        <f>IFERROR(__xludf.DUMMYFUNCTION("""COMPUTED_VALUE"""),2.665005438091416)</f>
        <v>2.665005438</v>
      </c>
      <c r="AD1314" s="82">
        <f>IFERROR(__xludf.DUMMYFUNCTION("""COMPUTED_VALUE"""),0.898888872613955)</f>
        <v>0.8988888726</v>
      </c>
      <c r="AE1314" s="82">
        <f>IFERROR(__xludf.DUMMYFUNCTION("""COMPUTED_VALUE"""),1.0772422249647877)</f>
        <v>1.077242225</v>
      </c>
      <c r="AF1314" s="82">
        <f>IFERROR(__xludf.DUMMYFUNCTION("""COMPUTED_VALUE"""),0.6248897008759728)</f>
        <v>0.6248897009</v>
      </c>
      <c r="AG1314" s="82">
        <f>IFERROR(__xludf.DUMMYFUNCTION("""COMPUTED_VALUE"""),0.7295561576856966)</f>
        <v>0.7295561577</v>
      </c>
      <c r="AH1314" s="82">
        <f>IFERROR(__xludf.DUMMYFUNCTION("""COMPUTED_VALUE"""),0.8130064710931163)</f>
        <v>0.8130064711</v>
      </c>
      <c r="AI1314" s="82">
        <f>IFERROR(__xludf.DUMMYFUNCTION("""COMPUTED_VALUE"""),1.0119830385154325)</f>
        <v>1.011983039</v>
      </c>
      <c r="AJ1314" s="82">
        <f>IFERROR(__xludf.DUMMYFUNCTION("""COMPUTED_VALUE"""),1.1704728133788638)</f>
        <v>1.170472813</v>
      </c>
      <c r="AK1314" s="82">
        <f>IFERROR(__xludf.DUMMYFUNCTION("""COMPUTED_VALUE"""),1.0912480037018684)</f>
        <v>1.091248004</v>
      </c>
      <c r="AL1314" s="82">
        <f>IFERROR(__xludf.DUMMYFUNCTION("""COMPUTED_VALUE"""),0.8690887847259825)</f>
        <v>0.8690887847</v>
      </c>
      <c r="AM1314" s="82">
        <f>IFERROR(__xludf.DUMMYFUNCTION("""COMPUTED_VALUE"""),1.2189493004934653)</f>
        <v>1.2189493</v>
      </c>
      <c r="AN1314" s="82">
        <f>IFERROR(__xludf.DUMMYFUNCTION("""COMPUTED_VALUE"""),0.8910712306587226)</f>
        <v>0.8910712307</v>
      </c>
      <c r="AO1314" s="82">
        <f>IFERROR(__xludf.DUMMYFUNCTION("""COMPUTED_VALUE"""),1.104708546380618)</f>
        <v>1.104708546</v>
      </c>
      <c r="AP1314" s="82">
        <f>IFERROR(__xludf.DUMMYFUNCTION("""COMPUTED_VALUE"""),0.6181704407667327)</f>
        <v>0.6181704408</v>
      </c>
      <c r="AQ1314" s="82">
        <f>IFERROR(__xludf.DUMMYFUNCTION("""COMPUTED_VALUE"""),0.6786887830675346)</f>
        <v>0.6786887831</v>
      </c>
      <c r="AR1314" s="82">
        <f>IFERROR(__xludf.DUMMYFUNCTION("""COMPUTED_VALUE"""),0.8461288446157016)</f>
        <v>0.8461288446</v>
      </c>
      <c r="AS1314" s="82">
        <f>IFERROR(__xludf.DUMMYFUNCTION("""COMPUTED_VALUE"""),23.0)</f>
        <v>23</v>
      </c>
      <c r="AT1314" s="82">
        <f>IFERROR(__xludf.DUMMYFUNCTION("""COMPUTED_VALUE"""),0.3870741646537039)</f>
        <v>0.3870741647</v>
      </c>
      <c r="AU1314" s="82">
        <f>IFERROR(__xludf.DUMMYFUNCTION("""COMPUTED_VALUE"""),1.879939839220632)</f>
        <v>1.879939839</v>
      </c>
      <c r="AV1314" s="82">
        <f>IFERROR(__xludf.DUMMYFUNCTION("""COMPUTED_VALUE"""),34.82200328238558)</f>
        <v>34.82200328</v>
      </c>
      <c r="AW1314" s="82">
        <f t="shared" si="1"/>
        <v>-3.6780164</v>
      </c>
      <c r="AX1314" s="83">
        <f t="array" ref="AX1314">IFERROR(DGET('SBV Import'!A:G,"SBV",{"RSC ID","Tier";B1314,A1314}))</f>
        <v>31.19904753</v>
      </c>
      <c r="AY1314" s="82">
        <f t="shared" si="2"/>
        <v>-4.424503232</v>
      </c>
      <c r="AZ1314" s="82">
        <v>0.746486831201699</v>
      </c>
      <c r="BA1314" s="84">
        <v>1200.0</v>
      </c>
      <c r="BB1314" s="84" t="b">
        <f>IFERROR(__xludf.DUMMYFUNCTION("iferror(if(A1314="""",,E1314&gt;=FILTER(Constants!$F$2:$F$10,Constants!$A$2:$A$10=A1314)))"),TRUE)</f>
        <v>1</v>
      </c>
    </row>
    <row r="1315">
      <c r="A1315" s="89" t="str">
        <f>IFERROR(__xludf.DUMMYFUNCTION("""COMPUTED_VALUE"""),"Veteran")</f>
        <v>Veteran</v>
      </c>
      <c r="B1315" s="87" t="str">
        <f>IFERROR(__xludf.DUMMYFUNCTION("""COMPUTED_VALUE"""),"RSC001007")</f>
        <v>RSC001007</v>
      </c>
      <c r="C1315" s="73" t="str">
        <f>IFERROR(__xludf.DUMMYFUNCTION("""COMPUTED_VALUE"""),"Tdeez")</f>
        <v>Tdeez</v>
      </c>
      <c r="D1315" s="73" t="str">
        <f>IFERROR(__xludf.DUMMYFUNCTION("""COMPUTED_VALUE"""),"Supernova")</f>
        <v>Supernova</v>
      </c>
      <c r="E1315" s="82">
        <f>IFERROR(__xludf.DUMMYFUNCTION("""COMPUTED_VALUE"""),26.0)</f>
        <v>26</v>
      </c>
      <c r="F1315" s="82">
        <f>IFERROR(__xludf.DUMMYFUNCTION("""COMPUTED_VALUE"""),8.0)</f>
        <v>8</v>
      </c>
      <c r="G1315" s="86">
        <f>IFERROR(__xludf.DUMMYFUNCTION("""COMPUTED_VALUE"""),18.0)</f>
        <v>18</v>
      </c>
      <c r="H1315" s="86">
        <f>IFERROR(__xludf.DUMMYFUNCTION("""COMPUTED_VALUE"""),0.3076923076923077)</f>
        <v>0.3076923077</v>
      </c>
      <c r="I1315" s="86">
        <f>IFERROR(__xludf.DUMMYFUNCTION("""COMPUTED_VALUE"""),0.375)</f>
        <v>0.375</v>
      </c>
      <c r="J1315" s="82">
        <f>IFERROR(__xludf.DUMMYFUNCTION("""COMPUTED_VALUE"""),328.0)</f>
        <v>328</v>
      </c>
      <c r="K1315" s="82">
        <f>IFERROR(__xludf.DUMMYFUNCTION("""COMPUTED_VALUE"""),0.8076923076923077)</f>
        <v>0.8076923077</v>
      </c>
      <c r="L1315" s="82">
        <f>IFERROR(__xludf.DUMMYFUNCTION("""COMPUTED_VALUE"""),0.4230769230769231)</f>
        <v>0.4230769231</v>
      </c>
      <c r="M1315" s="82">
        <f>IFERROR(__xludf.DUMMYFUNCTION("""COMPUTED_VALUE"""),1.5384615384615385)</f>
        <v>1.538461538</v>
      </c>
      <c r="N1315" s="82">
        <f>IFERROR(__xludf.DUMMYFUNCTION("""COMPUTED_VALUE"""),2.1538461538461537)</f>
        <v>2.153846154</v>
      </c>
      <c r="O1315" s="82">
        <f>IFERROR(__xludf.DUMMYFUNCTION("""COMPUTED_VALUE"""),389.9358974358974)</f>
        <v>389.9358974</v>
      </c>
      <c r="P1315" s="82">
        <f>IFERROR(__xludf.DUMMYFUNCTION("""COMPUTED_VALUE"""),1.1153846153846152)</f>
        <v>1.115384615</v>
      </c>
      <c r="Q1315" s="82">
        <f>IFERROR(__xludf.DUMMYFUNCTION("""COMPUTED_VALUE"""),0.846153846153846)</f>
        <v>0.8461538462</v>
      </c>
      <c r="R1315" s="82">
        <f>IFERROR(__xludf.DUMMYFUNCTION("""COMPUTED_VALUE"""),1.1153846153846154)</f>
        <v>1.115384615</v>
      </c>
      <c r="S1315" s="82">
        <f>IFERROR(__xludf.DUMMYFUNCTION("""COMPUTED_VALUE"""),3.3205128205128207)</f>
        <v>3.320512821</v>
      </c>
      <c r="T1315" s="82">
        <f>IFERROR(__xludf.DUMMYFUNCTION("""COMPUTED_VALUE"""),363.339804393483)</f>
        <v>363.3398044</v>
      </c>
      <c r="U1315" s="82">
        <f>IFERROR(__xludf.DUMMYFUNCTION("""COMPUTED_VALUE"""),0.8334345464779881)</f>
        <v>0.8334345465</v>
      </c>
      <c r="V1315" s="82">
        <f>IFERROR(__xludf.DUMMYFUNCTION("""COMPUTED_VALUE"""),0.5839289848808984)</f>
        <v>0.5839289849</v>
      </c>
      <c r="W1315" s="82">
        <f>IFERROR(__xludf.DUMMYFUNCTION("""COMPUTED_VALUE"""),1.3808287564781379)</f>
        <v>1.380828756</v>
      </c>
      <c r="X1315" s="82">
        <f>IFERROR(__xludf.DUMMYFUNCTION("""COMPUTED_VALUE"""),2.7112979309921283)</f>
        <v>2.711297931</v>
      </c>
      <c r="Y1315" s="82">
        <f>IFERROR(__xludf.DUMMYFUNCTION("""COMPUTED_VALUE"""),352.1284965004261)</f>
        <v>352.1284965</v>
      </c>
      <c r="Z1315" s="82">
        <f>IFERROR(__xludf.DUMMYFUNCTION("""COMPUTED_VALUE"""),0.7588714939496902)</f>
        <v>0.7588714939</v>
      </c>
      <c r="AA1315" s="82">
        <f>IFERROR(__xludf.DUMMYFUNCTION("""COMPUTED_VALUE"""),0.5376282761780942)</f>
        <v>0.5376282762</v>
      </c>
      <c r="AB1315" s="82">
        <f>IFERROR(__xludf.DUMMYFUNCTION("""COMPUTED_VALUE"""),1.3966309985005663)</f>
        <v>1.396630999</v>
      </c>
      <c r="AC1315" s="82">
        <f>IFERROR(__xludf.DUMMYFUNCTION("""COMPUTED_VALUE"""),2.6297447415923116)</f>
        <v>2.629744742</v>
      </c>
      <c r="AD1315" s="82">
        <f>IFERROR(__xludf.DUMMYFUNCTION("""COMPUTED_VALUE"""),0.9314781486297662)</f>
        <v>0.9314781486</v>
      </c>
      <c r="AE1315" s="82">
        <f>IFERROR(__xludf.DUMMYFUNCTION("""COMPUTED_VALUE"""),1.0643334400248985)</f>
        <v>1.06433344</v>
      </c>
      <c r="AF1315" s="82">
        <f>IFERROR(__xludf.DUMMYFUNCTION("""COMPUTED_VALUE"""),0.7869320529130337)</f>
        <v>0.7869320529</v>
      </c>
      <c r="AG1315" s="82">
        <f>IFERROR(__xludf.DUMMYFUNCTION("""COMPUTED_VALUE"""),1.1015519060605432)</f>
        <v>1.101551906</v>
      </c>
      <c r="AH1315" s="82">
        <f>IFERROR(__xludf.DUMMYFUNCTION("""COMPUTED_VALUE"""),0.8190324025677104)</f>
        <v>0.8190324026</v>
      </c>
      <c r="AI1315" s="82">
        <f>IFERROR(__xludf.DUMMYFUNCTION("""COMPUTED_VALUE"""),1.073198952387864)</f>
        <v>1.073198952</v>
      </c>
      <c r="AJ1315" s="82">
        <f>IFERROR(__xludf.DUMMYFUNCTION("""COMPUTED_VALUE"""),1.338298994321894)</f>
        <v>1.338298994</v>
      </c>
      <c r="AK1315" s="82">
        <f>IFERROR(__xludf.DUMMYFUNCTION("""COMPUTED_VALUE"""),1.4490697808508899)</f>
        <v>1.449069781</v>
      </c>
      <c r="AL1315" s="82">
        <f>IFERROR(__xludf.DUMMYFUNCTION("""COMPUTED_VALUE"""),0.807764619726961)</f>
        <v>0.8077646197</v>
      </c>
      <c r="AM1315" s="82">
        <f>IFERROR(__xludf.DUMMYFUNCTION("""COMPUTED_VALUE"""),1.2246949265725904)</f>
        <v>1.224694927</v>
      </c>
      <c r="AN1315" s="82">
        <f>IFERROR(__xludf.DUMMYFUNCTION("""COMPUTED_VALUE"""),0.9499610953068072)</f>
        <v>0.9499610953</v>
      </c>
      <c r="AO1315" s="82">
        <f>IFERROR(__xludf.DUMMYFUNCTION("""COMPUTED_VALUE"""),1.0707175141842915)</f>
        <v>1.070717514</v>
      </c>
      <c r="AP1315" s="82">
        <f>IFERROR(__xludf.DUMMYFUNCTION("""COMPUTED_VALUE"""),0.7846009440500838)</f>
        <v>0.7846009441</v>
      </c>
      <c r="AQ1315" s="82">
        <f>IFERROR(__xludf.DUMMYFUNCTION("""COMPUTED_VALUE"""),1.139058097456002)</f>
        <v>1.139058097</v>
      </c>
      <c r="AR1315" s="82">
        <f>IFERROR(__xludf.DUMMYFUNCTION("""COMPUTED_VALUE"""),0.8411221650617625)</f>
        <v>0.8411221651</v>
      </c>
      <c r="AS1315" s="82">
        <f>IFERROR(__xludf.DUMMYFUNCTION("""COMPUTED_VALUE"""),54.0)</f>
        <v>54</v>
      </c>
      <c r="AT1315" s="82">
        <f>IFERROR(__xludf.DUMMYFUNCTION("""COMPUTED_VALUE"""),0.31544624471782384)</f>
        <v>0.3154462447</v>
      </c>
      <c r="AU1315" s="82">
        <f>IFERROR(__xludf.DUMMYFUNCTION("""COMPUTED_VALUE"""),1.8748309006733974)</f>
        <v>1.874830901</v>
      </c>
      <c r="AV1315" s="82">
        <f>IFERROR(__xludf.DUMMYFUNCTION("""COMPUTED_VALUE"""),34.6637483312977)</f>
        <v>34.66374833</v>
      </c>
      <c r="AW1315" s="82">
        <f t="shared" si="1"/>
        <v>-3.706594918</v>
      </c>
      <c r="AX1315" s="83">
        <f t="array" ref="AX1315">IFERROR(DGET('SBV Import'!A:G,"SBV",{"RSC ID","Tier";B1315,A1315}))</f>
        <v>25.16101577</v>
      </c>
      <c r="AY1315" s="82">
        <f t="shared" si="2"/>
        <v>-6.241468044</v>
      </c>
      <c r="AZ1315" s="82">
        <v>2.5348731262745576</v>
      </c>
      <c r="BA1315" s="84">
        <v>1200.0</v>
      </c>
      <c r="BB1315" s="84" t="b">
        <f>IFERROR(__xludf.DUMMYFUNCTION("iferror(if(A1315="""",,E1315&gt;=FILTER(Constants!$F$2:$F$10,Constants!$A$2:$A$10=A1315)))"),TRUE)</f>
        <v>1</v>
      </c>
    </row>
    <row r="1316">
      <c r="A1316" s="89" t="str">
        <f>IFERROR(__xludf.DUMMYFUNCTION("""COMPUTED_VALUE"""),"Veteran")</f>
        <v>Veteran</v>
      </c>
      <c r="B1316" s="87" t="str">
        <f>IFERROR(__xludf.DUMMYFUNCTION("""COMPUTED_VALUE"""),"RSC007327")</f>
        <v>RSC007327</v>
      </c>
      <c r="C1316" s="73" t="str">
        <f>IFERROR(__xludf.DUMMYFUNCTION("""COMPUTED_VALUE"""),"JustAChillGuyONG")</f>
        <v>JustAChillGuyONG</v>
      </c>
      <c r="D1316" s="73" t="str">
        <f>IFERROR(__xludf.DUMMYFUNCTION("""COMPUTED_VALUE"""),"Slots")</f>
        <v>Slots</v>
      </c>
      <c r="E1316" s="82">
        <f>IFERROR(__xludf.DUMMYFUNCTION("""COMPUTED_VALUE"""),18.0)</f>
        <v>18</v>
      </c>
      <c r="F1316" s="82">
        <f>IFERROR(__xludf.DUMMYFUNCTION("""COMPUTED_VALUE"""),7.0)</f>
        <v>7</v>
      </c>
      <c r="G1316" s="86">
        <f>IFERROR(__xludf.DUMMYFUNCTION("""COMPUTED_VALUE"""),11.0)</f>
        <v>11</v>
      </c>
      <c r="H1316" s="86">
        <f>IFERROR(__xludf.DUMMYFUNCTION("""COMPUTED_VALUE"""),0.3888888888888889)</f>
        <v>0.3888888889</v>
      </c>
      <c r="I1316" s="86">
        <f>IFERROR(__xludf.DUMMYFUNCTION("""COMPUTED_VALUE"""),0.3181818181818182)</f>
        <v>0.3181818182</v>
      </c>
      <c r="J1316" s="82">
        <f>IFERROR(__xludf.DUMMYFUNCTION("""COMPUTED_VALUE"""),317.22222222222223)</f>
        <v>317.2222222</v>
      </c>
      <c r="K1316" s="82">
        <f>IFERROR(__xludf.DUMMYFUNCTION("""COMPUTED_VALUE"""),0.7777777777777778)</f>
        <v>0.7777777778</v>
      </c>
      <c r="L1316" s="82">
        <f>IFERROR(__xludf.DUMMYFUNCTION("""COMPUTED_VALUE"""),0.2777777777777778)</f>
        <v>0.2777777778</v>
      </c>
      <c r="M1316" s="82">
        <f>IFERROR(__xludf.DUMMYFUNCTION("""COMPUTED_VALUE"""),1.3888888888888888)</f>
        <v>1.388888889</v>
      </c>
      <c r="N1316" s="82">
        <f>IFERROR(__xludf.DUMMYFUNCTION("""COMPUTED_VALUE"""),2.4444444444444446)</f>
        <v>2.444444444</v>
      </c>
      <c r="O1316" s="82">
        <f>IFERROR(__xludf.DUMMYFUNCTION("""COMPUTED_VALUE"""),402.37037037037044)</f>
        <v>402.3703704</v>
      </c>
      <c r="P1316" s="82">
        <f>IFERROR(__xludf.DUMMYFUNCTION("""COMPUTED_VALUE"""),1.074074074074074)</f>
        <v>1.074074074</v>
      </c>
      <c r="Q1316" s="82">
        <f>IFERROR(__xludf.DUMMYFUNCTION("""COMPUTED_VALUE"""),0.8148148148148149)</f>
        <v>0.8148148148</v>
      </c>
      <c r="R1316" s="82">
        <f>IFERROR(__xludf.DUMMYFUNCTION("""COMPUTED_VALUE"""),1.3518518518518519)</f>
        <v>1.351851852</v>
      </c>
      <c r="S1316" s="82">
        <f>IFERROR(__xludf.DUMMYFUNCTION("""COMPUTED_VALUE"""),3.018518518518518)</f>
        <v>3.018518519</v>
      </c>
      <c r="T1316" s="82">
        <f>IFERROR(__xludf.DUMMYFUNCTION("""COMPUTED_VALUE"""),368.6225336621742)</f>
        <v>368.6225337</v>
      </c>
      <c r="U1316" s="82">
        <f>IFERROR(__xludf.DUMMYFUNCTION("""COMPUTED_VALUE"""),0.8618078858928532)</f>
        <v>0.8618078859</v>
      </c>
      <c r="V1316" s="82">
        <f>IFERROR(__xludf.DUMMYFUNCTION("""COMPUTED_VALUE"""),0.7124361102465679)</f>
        <v>0.7124361102</v>
      </c>
      <c r="W1316" s="82">
        <f>IFERROR(__xludf.DUMMYFUNCTION("""COMPUTED_VALUE"""),1.2562247121070649)</f>
        <v>1.256224712</v>
      </c>
      <c r="X1316" s="82">
        <f>IFERROR(__xludf.DUMMYFUNCTION("""COMPUTED_VALUE"""),2.8678193072964318)</f>
        <v>2.867819307</v>
      </c>
      <c r="Y1316" s="82">
        <f>IFERROR(__xludf.DUMMYFUNCTION("""COMPUTED_VALUE"""),356.3136221405884)</f>
        <v>356.3136221</v>
      </c>
      <c r="Z1316" s="82">
        <f>IFERROR(__xludf.DUMMYFUNCTION("""COMPUTED_VALUE"""),0.776187151628328)</f>
        <v>0.7761871516</v>
      </c>
      <c r="AA1316" s="82">
        <f>IFERROR(__xludf.DUMMYFUNCTION("""COMPUTED_VALUE"""),0.5622774089059492)</f>
        <v>0.5622774089</v>
      </c>
      <c r="AB1316" s="82">
        <f>IFERROR(__xludf.DUMMYFUNCTION("""COMPUTED_VALUE"""),1.4087892437184377)</f>
        <v>1.408789244</v>
      </c>
      <c r="AC1316" s="82">
        <f>IFERROR(__xludf.DUMMYFUNCTION("""COMPUTED_VALUE"""),2.55422272051357)</f>
        <v>2.554222721</v>
      </c>
      <c r="AD1316" s="82">
        <f>IFERROR(__xludf.DUMMYFUNCTION("""COMPUTED_VALUE"""),0.890289347672085)</f>
        <v>0.8902893477</v>
      </c>
      <c r="AE1316" s="82">
        <f>IFERROR(__xludf.DUMMYFUNCTION("""COMPUTED_VALUE"""),1.0020492817307178)</f>
        <v>1.002049282</v>
      </c>
      <c r="AF1316" s="82">
        <f>IFERROR(__xludf.DUMMYFUNCTION("""COMPUTED_VALUE"""),0.4940226539036374)</f>
        <v>0.4940226539</v>
      </c>
      <c r="AG1316" s="82">
        <f>IFERROR(__xludf.DUMMYFUNCTION("""COMPUTED_VALUE"""),0.9858741434048554)</f>
        <v>0.9858741434</v>
      </c>
      <c r="AH1316" s="82">
        <f>IFERROR(__xludf.DUMMYFUNCTION("""COMPUTED_VALUE"""),0.957020867762443)</f>
        <v>0.9570208678</v>
      </c>
      <c r="AI1316" s="82">
        <f>IFERROR(__xludf.DUMMYFUNCTION("""COMPUTED_VALUE"""),1.0915512038098154)</f>
        <v>1.091551204</v>
      </c>
      <c r="AJ1316" s="82">
        <f>IFERROR(__xludf.DUMMYFUNCTION("""COMPUTED_VALUE"""),1.246303371848713)</f>
        <v>1.246303372</v>
      </c>
      <c r="AK1316" s="82">
        <f>IFERROR(__xludf.DUMMYFUNCTION("""COMPUTED_VALUE"""),1.1437022956806815)</f>
        <v>1.143702296</v>
      </c>
      <c r="AL1316" s="82">
        <f>IFERROR(__xludf.DUMMYFUNCTION("""COMPUTED_VALUE"""),1.0761226385877982)</f>
        <v>1.076122639</v>
      </c>
      <c r="AM1316" s="82">
        <f>IFERROR(__xludf.DUMMYFUNCTION("""COMPUTED_VALUE"""),1.052548363433732)</f>
        <v>1.052548363</v>
      </c>
      <c r="AN1316" s="82">
        <f>IFERROR(__xludf.DUMMYFUNCTION("""COMPUTED_VALUE"""),0.9187462490179318)</f>
        <v>0.918746249</v>
      </c>
      <c r="AO1316" s="82">
        <f>IFERROR(__xludf.DUMMYFUNCTION("""COMPUTED_VALUE"""),1.0310613099552437)</f>
        <v>1.03106131</v>
      </c>
      <c r="AP1316" s="82">
        <f>IFERROR(__xludf.DUMMYFUNCTION("""COMPUTED_VALUE"""),0.5151420339722773)</f>
        <v>0.515142034</v>
      </c>
      <c r="AQ1316" s="82">
        <f>IFERROR(__xludf.DUMMYFUNCTION("""COMPUTED_VALUE"""),1.0283163379811129)</f>
        <v>1.028316338</v>
      </c>
      <c r="AR1316" s="82">
        <f>IFERROR(__xludf.DUMMYFUNCTION("""COMPUTED_VALUE"""),0.9546069016177148)</f>
        <v>0.9546069016</v>
      </c>
      <c r="AS1316" s="82">
        <f>IFERROR(__xludf.DUMMYFUNCTION("""COMPUTED_VALUE"""),42.0)</f>
        <v>42</v>
      </c>
      <c r="AT1316" s="82">
        <f>IFERROR(__xludf.DUMMYFUNCTION("""COMPUTED_VALUE"""),0.3709833081284656)</f>
        <v>0.3709833081</v>
      </c>
      <c r="AU1316" s="82">
        <f>IFERROR(__xludf.DUMMYFUNCTION("""COMPUTED_VALUE"""),1.7670154560473577)</f>
        <v>1.767015456</v>
      </c>
      <c r="AV1316" s="82">
        <f>IFERROR(__xludf.DUMMYFUNCTION("""COMPUTED_VALUE"""),31.32404718632159)</f>
        <v>31.32404719</v>
      </c>
      <c r="AW1316" s="82">
        <f t="shared" si="1"/>
        <v>-4.395212639</v>
      </c>
      <c r="AX1316" s="83">
        <f t="array" ref="AX1316">IFERROR(DGET('SBV Import'!A:G,"SBV",{"RSC ID","Tier";B1316,A1316}))</f>
        <v>23.38146245</v>
      </c>
      <c r="AY1316" s="82">
        <f t="shared" si="2"/>
        <v>-6.968812941</v>
      </c>
      <c r="AZ1316" s="82">
        <v>2.5736003020869846</v>
      </c>
      <c r="BA1316" s="84">
        <v>1200.0</v>
      </c>
      <c r="BB1316" s="84" t="b">
        <f>IFERROR(__xludf.DUMMYFUNCTION("iferror(if(A1316="""",,E1316&gt;=FILTER(Constants!$F$2:$F$10,Constants!$A$2:$A$10=A1316)))"),TRUE)</f>
        <v>1</v>
      </c>
    </row>
    <row r="1317">
      <c r="A1317" s="89" t="str">
        <f>IFERROR(__xludf.DUMMYFUNCTION("""COMPUTED_VALUE"""),"Veteran")</f>
        <v>Veteran</v>
      </c>
      <c r="B1317" s="87" t="str">
        <f>IFERROR(__xludf.DUMMYFUNCTION("""COMPUTED_VALUE"""),"RSC007610")</f>
        <v>RSC007610</v>
      </c>
      <c r="C1317" s="73" t="str">
        <f>IFERROR(__xludf.DUMMYFUNCTION("""COMPUTED_VALUE"""),"Halibut907")</f>
        <v>Halibut907</v>
      </c>
      <c r="D1317" s="73" t="str">
        <f>IFERROR(__xludf.DUMMYFUNCTION("""COMPUTED_VALUE"""),"Dump Trucks")</f>
        <v>Dump Trucks</v>
      </c>
      <c r="E1317" s="82">
        <f>IFERROR(__xludf.DUMMYFUNCTION("""COMPUTED_VALUE"""),36.0)</f>
        <v>36</v>
      </c>
      <c r="F1317" s="82">
        <f>IFERROR(__xludf.DUMMYFUNCTION("""COMPUTED_VALUE"""),12.0)</f>
        <v>12</v>
      </c>
      <c r="G1317" s="86">
        <f>IFERROR(__xludf.DUMMYFUNCTION("""COMPUTED_VALUE"""),24.0)</f>
        <v>24</v>
      </c>
      <c r="H1317" s="86">
        <f>IFERROR(__xludf.DUMMYFUNCTION("""COMPUTED_VALUE"""),0.3333333333333333)</f>
        <v>0.3333333333</v>
      </c>
      <c r="I1317" s="86">
        <f>IFERROR(__xludf.DUMMYFUNCTION("""COMPUTED_VALUE"""),0.3230769230769231)</f>
        <v>0.3230769231</v>
      </c>
      <c r="J1317" s="82">
        <f>IFERROR(__xludf.DUMMYFUNCTION("""COMPUTED_VALUE"""),351.6111111111111)</f>
        <v>351.6111111</v>
      </c>
      <c r="K1317" s="82">
        <f>IFERROR(__xludf.DUMMYFUNCTION("""COMPUTED_VALUE"""),0.5833333333333334)</f>
        <v>0.5833333333</v>
      </c>
      <c r="L1317" s="82">
        <f>IFERROR(__xludf.DUMMYFUNCTION("""COMPUTED_VALUE"""),0.3888888888888889)</f>
        <v>0.3888888889</v>
      </c>
      <c r="M1317" s="82">
        <f>IFERROR(__xludf.DUMMYFUNCTION("""COMPUTED_VALUE"""),1.7777777777777777)</f>
        <v>1.777777778</v>
      </c>
      <c r="N1317" s="82">
        <f>IFERROR(__xludf.DUMMYFUNCTION("""COMPUTED_VALUE"""),1.8055555555555556)</f>
        <v>1.805555556</v>
      </c>
      <c r="O1317" s="82">
        <f>IFERROR(__xludf.DUMMYFUNCTION("""COMPUTED_VALUE"""),348.05555555555554)</f>
        <v>348.0555556</v>
      </c>
      <c r="P1317" s="82">
        <f>IFERROR(__xludf.DUMMYFUNCTION("""COMPUTED_VALUE"""),0.7962962962962963)</f>
        <v>0.7962962963</v>
      </c>
      <c r="Q1317" s="82">
        <f>IFERROR(__xludf.DUMMYFUNCTION("""COMPUTED_VALUE"""),0.5833333333333334)</f>
        <v>0.5833333333</v>
      </c>
      <c r="R1317" s="82">
        <f>IFERROR(__xludf.DUMMYFUNCTION("""COMPUTED_VALUE"""),1.166666666666667)</f>
        <v>1.166666667</v>
      </c>
      <c r="S1317" s="82">
        <f>IFERROR(__xludf.DUMMYFUNCTION("""COMPUTED_VALUE"""),2.907407407407408)</f>
        <v>2.907407407</v>
      </c>
      <c r="T1317" s="82">
        <f>IFERROR(__xludf.DUMMYFUNCTION("""COMPUTED_VALUE"""),349.2934516457573)</f>
        <v>349.2934516</v>
      </c>
      <c r="U1317" s="82">
        <f>IFERROR(__xludf.DUMMYFUNCTION("""COMPUTED_VALUE"""),0.7434232543270682)</f>
        <v>0.7434232543</v>
      </c>
      <c r="V1317" s="82">
        <f>IFERROR(__xludf.DUMMYFUNCTION("""COMPUTED_VALUE"""),0.5431855778154497)</f>
        <v>0.5431855778</v>
      </c>
      <c r="W1317" s="82">
        <f>IFERROR(__xludf.DUMMYFUNCTION("""COMPUTED_VALUE"""),1.3474107262254955)</f>
        <v>1.347410726</v>
      </c>
      <c r="X1317" s="82">
        <f>IFERROR(__xludf.DUMMYFUNCTION("""COMPUTED_VALUE"""),2.652527166355966)</f>
        <v>2.652527166</v>
      </c>
      <c r="Y1317" s="82">
        <f>IFERROR(__xludf.DUMMYFUNCTION("""COMPUTED_VALUE"""),349.3648593188867)</f>
        <v>349.3648593</v>
      </c>
      <c r="Z1317" s="82">
        <f>IFERROR(__xludf.DUMMYFUNCTION("""COMPUTED_VALUE"""),0.7345657711863157)</f>
        <v>0.7345657712</v>
      </c>
      <c r="AA1317" s="82">
        <f>IFERROR(__xludf.DUMMYFUNCTION("""COMPUTED_VALUE"""),0.5376528576769899)</f>
        <v>0.5376528577</v>
      </c>
      <c r="AB1317" s="82">
        <f>IFERROR(__xludf.DUMMYFUNCTION("""COMPUTED_VALUE"""),1.4079390598718315)</f>
        <v>1.40793906</v>
      </c>
      <c r="AC1317" s="82">
        <f>IFERROR(__xludf.DUMMYFUNCTION("""COMPUTED_VALUE"""),2.541636746922866)</f>
        <v>2.541636747</v>
      </c>
      <c r="AD1317" s="82">
        <f>IFERROR(__xludf.DUMMYFUNCTION("""COMPUTED_VALUE"""),1.0064295298519823)</f>
        <v>1.00642953</v>
      </c>
      <c r="AE1317" s="82">
        <f>IFERROR(__xludf.DUMMYFUNCTION("""COMPUTED_VALUE"""),0.7941199497919109)</f>
        <v>0.7941199498</v>
      </c>
      <c r="AF1317" s="82">
        <f>IFERROR(__xludf.DUMMYFUNCTION("""COMPUTED_VALUE"""),0.723308512799768)</f>
        <v>0.7233085128</v>
      </c>
      <c r="AG1317" s="82">
        <f>IFERROR(__xludf.DUMMYFUNCTION("""COMPUTED_VALUE"""),1.262680913149475)</f>
        <v>1.262680913</v>
      </c>
      <c r="AH1317" s="82">
        <f>IFERROR(__xludf.DUMMYFUNCTION("""COMPUTED_VALUE"""),0.7103908761712403)</f>
        <v>0.7103908762</v>
      </c>
      <c r="AI1317" s="82">
        <f>IFERROR(__xludf.DUMMYFUNCTION("""COMPUTED_VALUE"""),0.996455999720667)</f>
        <v>0.9964559997</v>
      </c>
      <c r="AJ1317" s="82">
        <f>IFERROR(__xludf.DUMMYFUNCTION("""COMPUTED_VALUE"""),1.071121049363848)</f>
        <v>1.071121049</v>
      </c>
      <c r="AK1317" s="82">
        <f>IFERROR(__xludf.DUMMYFUNCTION("""COMPUTED_VALUE"""),1.0739116743109185)</f>
        <v>1.073911674</v>
      </c>
      <c r="AL1317" s="82">
        <f>IFERROR(__xludf.DUMMYFUNCTION("""COMPUTED_VALUE"""),0.8658582301291698)</f>
        <v>0.8658582301</v>
      </c>
      <c r="AM1317" s="82">
        <f>IFERROR(__xludf.DUMMYFUNCTION("""COMPUTED_VALUE"""),1.0960895874260153)</f>
        <v>1.096089587</v>
      </c>
      <c r="AN1317" s="82">
        <f>IFERROR(__xludf.DUMMYFUNCTION("""COMPUTED_VALUE"""),1.0183441348571787)</f>
        <v>1.018344135</v>
      </c>
      <c r="AO1317" s="82">
        <f>IFERROR(__xludf.DUMMYFUNCTION("""COMPUTED_VALUE"""),0.7732959824664327)</f>
        <v>0.7732959825</v>
      </c>
      <c r="AP1317" s="82">
        <f>IFERROR(__xludf.DUMMYFUNCTION("""COMPUTED_VALUE"""),0.7211988475611882)</f>
        <v>0.7211988476</v>
      </c>
      <c r="AQ1317" s="82">
        <f>IFERROR(__xludf.DUMMYFUNCTION("""COMPUTED_VALUE"""),1.3162449126158247)</f>
        <v>1.316244913</v>
      </c>
      <c r="AR1317" s="82">
        <f>IFERROR(__xludf.DUMMYFUNCTION("""COMPUTED_VALUE"""),0.7051073705130847)</f>
        <v>0.7051073705</v>
      </c>
      <c r="AS1317" s="82">
        <f>IFERROR(__xludf.DUMMYFUNCTION("""COMPUTED_VALUE"""),64.0)</f>
        <v>64</v>
      </c>
      <c r="AT1317" s="82">
        <f>IFERROR(__xludf.DUMMYFUNCTION("""COMPUTED_VALUE"""),0.3905443022799497)</f>
        <v>0.3905443023</v>
      </c>
      <c r="AU1317" s="82">
        <f>IFERROR(__xludf.DUMMYFUNCTION("""COMPUTED_VALUE"""),1.7406027772202657)</f>
        <v>1.740602777</v>
      </c>
      <c r="AV1317" s="82">
        <f>IFERROR(__xludf.DUMMYFUNCTION("""COMPUTED_VALUE"""),30.50588561376874)</f>
        <v>30.50588561</v>
      </c>
      <c r="AW1317" s="82">
        <f t="shared" si="1"/>
        <v>-4.592111851</v>
      </c>
      <c r="AX1317" s="83">
        <f t="array" ref="AX1317">IFERROR(DGET('SBV Import'!A:G,"SBV",{"RSC ID","Tier";B1317,A1317}))</f>
        <v>40.43853922</v>
      </c>
      <c r="AY1317" s="82">
        <f t="shared" si="2"/>
        <v>-2.84851042</v>
      </c>
      <c r="AZ1317" s="82">
        <v>1.743601430983309</v>
      </c>
      <c r="BA1317" s="84">
        <v>1200.0</v>
      </c>
      <c r="BB1317" s="84" t="b">
        <f>IFERROR(__xludf.DUMMYFUNCTION("iferror(if(A1317="""",,E1317&gt;=FILTER(Constants!$F$2:$F$10,Constants!$A$2:$A$10=A1317)))"),TRUE)</f>
        <v>1</v>
      </c>
    </row>
    <row r="1318">
      <c r="A1318" s="89" t="str">
        <f>IFERROR(__xludf.DUMMYFUNCTION("""COMPUTED_VALUE"""),"Veteran")</f>
        <v>Veteran</v>
      </c>
      <c r="B1318" s="87" t="str">
        <f>IFERROR(__xludf.DUMMYFUNCTION("""COMPUTED_VALUE"""),"RSC001487")</f>
        <v>RSC001487</v>
      </c>
      <c r="C1318" s="73" t="str">
        <f>IFERROR(__xludf.DUMMYFUNCTION("""COMPUTED_VALUE"""),"M1ke1sMy1ke")</f>
        <v>M1ke1sMy1ke</v>
      </c>
      <c r="D1318" s="73" t="str">
        <f>IFERROR(__xludf.DUMMYFUNCTION("""COMPUTED_VALUE"""),"Dump Trucks")</f>
        <v>Dump Trucks</v>
      </c>
      <c r="E1318" s="82">
        <f>IFERROR(__xludf.DUMMYFUNCTION("""COMPUTED_VALUE"""),31.0)</f>
        <v>31</v>
      </c>
      <c r="F1318" s="82">
        <f>IFERROR(__xludf.DUMMYFUNCTION("""COMPUTED_VALUE"""),11.0)</f>
        <v>11</v>
      </c>
      <c r="G1318" s="86">
        <f>IFERROR(__xludf.DUMMYFUNCTION("""COMPUTED_VALUE"""),20.0)</f>
        <v>20</v>
      </c>
      <c r="H1318" s="86">
        <f>IFERROR(__xludf.DUMMYFUNCTION("""COMPUTED_VALUE"""),0.3548387096774194)</f>
        <v>0.3548387097</v>
      </c>
      <c r="I1318" s="86">
        <f>IFERROR(__xludf.DUMMYFUNCTION("""COMPUTED_VALUE"""),0.21875)</f>
        <v>0.21875</v>
      </c>
      <c r="J1318" s="82">
        <f>IFERROR(__xludf.DUMMYFUNCTION("""COMPUTED_VALUE"""),322.80645161290323)</f>
        <v>322.8064516</v>
      </c>
      <c r="K1318" s="82">
        <f>IFERROR(__xludf.DUMMYFUNCTION("""COMPUTED_VALUE"""),0.45161290322580644)</f>
        <v>0.4516129032</v>
      </c>
      <c r="L1318" s="82">
        <f>IFERROR(__xludf.DUMMYFUNCTION("""COMPUTED_VALUE"""),0.5161290322580645)</f>
        <v>0.5161290323</v>
      </c>
      <c r="M1318" s="82">
        <f>IFERROR(__xludf.DUMMYFUNCTION("""COMPUTED_VALUE"""),1.5806451612903225)</f>
        <v>1.580645161</v>
      </c>
      <c r="N1318" s="82">
        <f>IFERROR(__xludf.DUMMYFUNCTION("""COMPUTED_VALUE"""),2.064516129032258)</f>
        <v>2.064516129</v>
      </c>
      <c r="O1318" s="82">
        <f>IFERROR(__xludf.DUMMYFUNCTION("""COMPUTED_VALUE"""),350.52688172043014)</f>
        <v>350.5268817</v>
      </c>
      <c r="P1318" s="82">
        <f>IFERROR(__xludf.DUMMYFUNCTION("""COMPUTED_VALUE"""),0.8172043010752689)</f>
        <v>0.8172043011</v>
      </c>
      <c r="Q1318" s="82">
        <f>IFERROR(__xludf.DUMMYFUNCTION("""COMPUTED_VALUE"""),0.5806451612903226)</f>
        <v>0.5806451613</v>
      </c>
      <c r="R1318" s="82">
        <f>IFERROR(__xludf.DUMMYFUNCTION("""COMPUTED_VALUE"""),1.1720430107526882)</f>
        <v>1.172043011</v>
      </c>
      <c r="S1318" s="82">
        <f>IFERROR(__xludf.DUMMYFUNCTION("""COMPUTED_VALUE"""),2.9032258064516134)</f>
        <v>2.903225806</v>
      </c>
      <c r="T1318" s="82">
        <f>IFERROR(__xludf.DUMMYFUNCTION("""COMPUTED_VALUE"""),350.2767965407747)</f>
        <v>350.2767965</v>
      </c>
      <c r="U1318" s="82">
        <f>IFERROR(__xludf.DUMMYFUNCTION("""COMPUTED_VALUE"""),0.7486729378704743)</f>
        <v>0.7486729379</v>
      </c>
      <c r="V1318" s="82">
        <f>IFERROR(__xludf.DUMMYFUNCTION("""COMPUTED_VALUE"""),0.540309232819655)</f>
        <v>0.5403092328</v>
      </c>
      <c r="W1318" s="82">
        <f>IFERROR(__xludf.DUMMYFUNCTION("""COMPUTED_VALUE"""),1.3623846989011121)</f>
        <v>1.362384699</v>
      </c>
      <c r="X1318" s="82">
        <f>IFERROR(__xludf.DUMMYFUNCTION("""COMPUTED_VALUE"""),2.643224734115374)</f>
        <v>2.643224734</v>
      </c>
      <c r="Y1318" s="82">
        <f>IFERROR(__xludf.DUMMYFUNCTION("""COMPUTED_VALUE"""),350.2289690406323)</f>
        <v>350.228969</v>
      </c>
      <c r="Z1318" s="82">
        <f>IFERROR(__xludf.DUMMYFUNCTION("""COMPUTED_VALUE"""),0.7465694889743675)</f>
        <v>0.746569489</v>
      </c>
      <c r="AA1318" s="82">
        <f>IFERROR(__xludf.DUMMYFUNCTION("""COMPUTED_VALUE"""),0.5435886572527269)</f>
        <v>0.5435886573</v>
      </c>
      <c r="AB1318" s="82">
        <f>IFERROR(__xludf.DUMMYFUNCTION("""COMPUTED_VALUE"""),1.3964597554503042)</f>
        <v>1.396459755</v>
      </c>
      <c r="AC1318" s="82">
        <f>IFERROR(__xludf.DUMMYFUNCTION("""COMPUTED_VALUE"""),2.5583021955264273)</f>
        <v>2.558302196</v>
      </c>
      <c r="AD1318" s="82">
        <f>IFERROR(__xludf.DUMMYFUNCTION("""COMPUTED_VALUE"""),0.9217011730844354)</f>
        <v>0.9217011731</v>
      </c>
      <c r="AE1318" s="82">
        <f>IFERROR(__xludf.DUMMYFUNCTION("""COMPUTED_VALUE"""),0.6049174388927003)</f>
        <v>0.6049174389</v>
      </c>
      <c r="AF1318" s="82">
        <f>IFERROR(__xludf.DUMMYFUNCTION("""COMPUTED_VALUE"""),0.9494845511798533)</f>
        <v>0.9494845512</v>
      </c>
      <c r="AG1318" s="82">
        <f>IFERROR(__xludf.DUMMYFUNCTION("""COMPUTED_VALUE"""),1.1318945319556493)</f>
        <v>1.131894532</v>
      </c>
      <c r="AH1318" s="82">
        <f>IFERROR(__xludf.DUMMYFUNCTION("""COMPUTED_VALUE"""),0.806986810487976)</f>
        <v>0.8069868105</v>
      </c>
      <c r="AI1318" s="82">
        <f>IFERROR(__xludf.DUMMYFUNCTION("""COMPUTED_VALUE"""),1.000713964447903)</f>
        <v>1.000713964</v>
      </c>
      <c r="AJ1318" s="82">
        <f>IFERROR(__xludf.DUMMYFUNCTION("""COMPUTED_VALUE"""),1.0915371181970663)</f>
        <v>1.091537118</v>
      </c>
      <c r="AK1318" s="82">
        <f>IFERROR(__xludf.DUMMYFUNCTION("""COMPUTED_VALUE"""),1.074653413305878)</f>
        <v>1.074653413</v>
      </c>
      <c r="AL1318" s="82">
        <f>IFERROR(__xludf.DUMMYFUNCTION("""COMPUTED_VALUE"""),0.8602878553304717)</f>
        <v>0.8602878553</v>
      </c>
      <c r="AM1318" s="82">
        <f>IFERROR(__xludf.DUMMYFUNCTION("""COMPUTED_VALUE"""),1.098365102664362)</f>
        <v>1.098365103</v>
      </c>
      <c r="AN1318" s="82">
        <f>IFERROR(__xludf.DUMMYFUNCTION("""COMPUTED_VALUE"""),0.9349194217874921)</f>
        <v>0.9349194218</v>
      </c>
      <c r="AO1318" s="82">
        <f>IFERROR(__xludf.DUMMYFUNCTION("""COMPUTED_VALUE"""),0.5986807606191736)</f>
        <v>0.5986807606</v>
      </c>
      <c r="AP1318" s="82">
        <f>IFERROR(__xludf.DUMMYFUNCTION("""COMPUTED_VALUE"""),0.9571671340904249)</f>
        <v>0.9571671341</v>
      </c>
      <c r="AQ1318" s="82">
        <f>IFERROR(__xludf.DUMMYFUNCTION("""COMPUTED_VALUE"""),1.1702903356120538)</f>
        <v>1.170290336</v>
      </c>
      <c r="AR1318" s="82">
        <f>IFERROR(__xludf.DUMMYFUNCTION("""COMPUTED_VALUE"""),0.8062369139762516)</f>
        <v>0.806236914</v>
      </c>
      <c r="AS1318" s="82">
        <f>IFERROR(__xludf.DUMMYFUNCTION("""COMPUTED_VALUE"""),55.0)</f>
        <v>55</v>
      </c>
      <c r="AT1318" s="82">
        <f>IFERROR(__xludf.DUMMYFUNCTION("""COMPUTED_VALUE"""),0.3801112817128225)</f>
        <v>0.3801112817</v>
      </c>
      <c r="AU1318" s="82">
        <f>IFERROR(__xludf.DUMMYFUNCTION("""COMPUTED_VALUE"""),1.7146841005316955)</f>
        <v>1.714684101</v>
      </c>
      <c r="AV1318" s="82">
        <f>IFERROR(__xludf.DUMMYFUNCTION("""COMPUTED_VALUE"""),29.703026296967508)</f>
        <v>29.7030263</v>
      </c>
      <c r="AW1318" s="82">
        <f t="shared" si="1"/>
        <v>-4.797761228</v>
      </c>
      <c r="AX1318" s="83">
        <f t="array" ref="AX1318">IFERROR(DGET('SBV Import'!A:G,"SBV",{"RSC ID","Tier";B1318,A1318}))</f>
        <v>39.26976608</v>
      </c>
      <c r="AY1318" s="82">
        <f t="shared" si="2"/>
        <v>-2.995039282</v>
      </c>
      <c r="AZ1318" s="82">
        <v>1.802721945055901</v>
      </c>
      <c r="BA1318" s="84">
        <v>1200.0</v>
      </c>
      <c r="BB1318" s="84" t="b">
        <f>IFERROR(__xludf.DUMMYFUNCTION("iferror(if(A1318="""",,E1318&gt;=FILTER(Constants!$F$2:$F$10,Constants!$A$2:$A$10=A1318)))"),TRUE)</f>
        <v>1</v>
      </c>
    </row>
    <row r="1319">
      <c r="A1319" s="89" t="str">
        <f>IFERROR(__xludf.DUMMYFUNCTION("""COMPUTED_VALUE"""),"Veteran")</f>
        <v>Veteran</v>
      </c>
      <c r="B1319" s="87" t="str">
        <f>IFERROR(__xludf.DUMMYFUNCTION("""COMPUTED_VALUE"""),"RSC000796")</f>
        <v>RSC000796</v>
      </c>
      <c r="C1319" s="73" t="str">
        <f>IFERROR(__xludf.DUMMYFUNCTION("""COMPUTED_VALUE"""),"hoyci")</f>
        <v>hoyci</v>
      </c>
      <c r="D1319" s="73" t="str">
        <f>IFERROR(__xludf.DUMMYFUNCTION("""COMPUTED_VALUE"""),"Dread")</f>
        <v>Dread</v>
      </c>
      <c r="E1319" s="82">
        <f>IFERROR(__xludf.DUMMYFUNCTION("""COMPUTED_VALUE"""),21.0)</f>
        <v>21</v>
      </c>
      <c r="F1319" s="82">
        <f>IFERROR(__xludf.DUMMYFUNCTION("""COMPUTED_VALUE"""),7.0)</f>
        <v>7</v>
      </c>
      <c r="G1319" s="86">
        <f>IFERROR(__xludf.DUMMYFUNCTION("""COMPUTED_VALUE"""),14.0)</f>
        <v>14</v>
      </c>
      <c r="H1319" s="86">
        <f>IFERROR(__xludf.DUMMYFUNCTION("""COMPUTED_VALUE"""),0.3333333333333333)</f>
        <v>0.3333333333</v>
      </c>
      <c r="I1319" s="86">
        <f>IFERROR(__xludf.DUMMYFUNCTION("""COMPUTED_VALUE"""),0.3414634146341463)</f>
        <v>0.3414634146</v>
      </c>
      <c r="J1319" s="82">
        <f>IFERROR(__xludf.DUMMYFUNCTION("""COMPUTED_VALUE"""),288.3333333333333)</f>
        <v>288.3333333</v>
      </c>
      <c r="K1319" s="82">
        <f>IFERROR(__xludf.DUMMYFUNCTION("""COMPUTED_VALUE"""),0.6666666666666666)</f>
        <v>0.6666666667</v>
      </c>
      <c r="L1319" s="82">
        <f>IFERROR(__xludf.DUMMYFUNCTION("""COMPUTED_VALUE"""),0.47619047619047616)</f>
        <v>0.4761904762</v>
      </c>
      <c r="M1319" s="82">
        <f>IFERROR(__xludf.DUMMYFUNCTION("""COMPUTED_VALUE"""),1.0952380952380953)</f>
        <v>1.095238095</v>
      </c>
      <c r="N1319" s="82">
        <f>IFERROR(__xludf.DUMMYFUNCTION("""COMPUTED_VALUE"""),1.9523809523809523)</f>
        <v>1.952380952</v>
      </c>
      <c r="O1319" s="82">
        <f>IFERROR(__xludf.DUMMYFUNCTION("""COMPUTED_VALUE"""),359.82539682539687)</f>
        <v>359.8253968</v>
      </c>
      <c r="P1319" s="82">
        <f>IFERROR(__xludf.DUMMYFUNCTION("""COMPUTED_VALUE"""),0.8571428571428571)</f>
        <v>0.8571428571</v>
      </c>
      <c r="Q1319" s="82">
        <f>IFERROR(__xludf.DUMMYFUNCTION("""COMPUTED_VALUE"""),0.6031746031746033)</f>
        <v>0.6031746032</v>
      </c>
      <c r="R1319" s="82">
        <f>IFERROR(__xludf.DUMMYFUNCTION("""COMPUTED_VALUE"""),1.1746031746031749)</f>
        <v>1.174603175</v>
      </c>
      <c r="S1319" s="82">
        <f>IFERROR(__xludf.DUMMYFUNCTION("""COMPUTED_VALUE"""),2.6666666666666665)</f>
        <v>2.666666667</v>
      </c>
      <c r="T1319" s="82">
        <f>IFERROR(__xludf.DUMMYFUNCTION("""COMPUTED_VALUE"""),350.53847577555905)</f>
        <v>350.5384758</v>
      </c>
      <c r="U1319" s="82">
        <f>IFERROR(__xludf.DUMMYFUNCTION("""COMPUTED_VALUE"""),0.8084991024342788)</f>
        <v>0.8084991024</v>
      </c>
      <c r="V1319" s="82">
        <f>IFERROR(__xludf.DUMMYFUNCTION("""COMPUTED_VALUE"""),0.5776431432426107)</f>
        <v>0.5776431432</v>
      </c>
      <c r="W1319" s="82">
        <f>IFERROR(__xludf.DUMMYFUNCTION("""COMPUTED_VALUE"""),1.284428869292935)</f>
        <v>1.284428869</v>
      </c>
      <c r="X1319" s="82">
        <f>IFERROR(__xludf.DUMMYFUNCTION("""COMPUTED_VALUE"""),2.690395127361897)</f>
        <v>2.690395127</v>
      </c>
      <c r="Y1319" s="82">
        <f>IFERROR(__xludf.DUMMYFUNCTION("""COMPUTED_VALUE"""),367.4954415199206)</f>
        <v>367.4954415</v>
      </c>
      <c r="Z1319" s="82">
        <f>IFERROR(__xludf.DUMMYFUNCTION("""COMPUTED_VALUE"""),0.8876318485663084)</f>
        <v>0.8876318486</v>
      </c>
      <c r="AA1319" s="82">
        <f>IFERROR(__xludf.DUMMYFUNCTION("""COMPUTED_VALUE"""),0.6651858415617339)</f>
        <v>0.6651858416</v>
      </c>
      <c r="AB1319" s="82">
        <f>IFERROR(__xludf.DUMMYFUNCTION("""COMPUTED_VALUE"""),1.3478666435692974)</f>
        <v>1.347866644</v>
      </c>
      <c r="AC1319" s="82">
        <f>IFERROR(__xludf.DUMMYFUNCTION("""COMPUTED_VALUE"""),2.685759706708949)</f>
        <v>2.685759707</v>
      </c>
      <c r="AD1319" s="82">
        <f>IFERROR(__xludf.DUMMYFUNCTION("""COMPUTED_VALUE"""),0.7845902309449567)</f>
        <v>0.7845902309</v>
      </c>
      <c r="AE1319" s="82">
        <f>IFERROR(__xludf.DUMMYFUNCTION("""COMPUTED_VALUE"""),0.7510621298046686)</f>
        <v>0.7510621298</v>
      </c>
      <c r="AF1319" s="82">
        <f>IFERROR(__xludf.DUMMYFUNCTION("""COMPUTED_VALUE"""),0.7158758446699175)</f>
        <v>0.7158758447</v>
      </c>
      <c r="AG1319" s="82">
        <f>IFERROR(__xludf.DUMMYFUNCTION("""COMPUTED_VALUE"""),0.8125715555492833)</f>
        <v>0.8125715555</v>
      </c>
      <c r="AH1319" s="82">
        <f>IFERROR(__xludf.DUMMYFUNCTION("""COMPUTED_VALUE"""),0.7269380605807593)</f>
        <v>0.7269380606</v>
      </c>
      <c r="AI1319" s="82">
        <f>IFERROR(__xludf.DUMMYFUNCTION("""COMPUTED_VALUE"""),1.02649330014142)</f>
        <v>1.0264933</v>
      </c>
      <c r="AJ1319" s="82">
        <f>IFERROR(__xludf.DUMMYFUNCTION("""COMPUTED_VALUE"""),1.060165502425567)</f>
        <v>1.060165502</v>
      </c>
      <c r="AK1319" s="82">
        <f>IFERROR(__xludf.DUMMYFUNCTION("""COMPUTED_VALUE"""),1.044199364660803)</f>
        <v>1.044199365</v>
      </c>
      <c r="AL1319" s="82">
        <f>IFERROR(__xludf.DUMMYFUNCTION("""COMPUTED_VALUE"""),0.9144945295801252)</f>
        <v>0.9144945296</v>
      </c>
      <c r="AM1319" s="82">
        <f>IFERROR(__xludf.DUMMYFUNCTION("""COMPUTED_VALUE"""),0.9911803063966675)</f>
        <v>0.9911803064</v>
      </c>
      <c r="AN1319" s="82">
        <f>IFERROR(__xludf.DUMMYFUNCTION("""COMPUTED_VALUE"""),0.8350775888621831)</f>
        <v>0.8350775889</v>
      </c>
      <c r="AO1319" s="82">
        <f>IFERROR(__xludf.DUMMYFUNCTION("""COMPUTED_VALUE"""),0.8837668371044944)</f>
        <v>0.8837668371</v>
      </c>
      <c r="AP1319" s="82">
        <f>IFERROR(__xludf.DUMMYFUNCTION("""COMPUTED_VALUE"""),0.8831006296667611)</f>
        <v>0.8831006297</v>
      </c>
      <c r="AQ1319" s="82">
        <f>IFERROR(__xludf.DUMMYFUNCTION("""COMPUTED_VALUE"""),0.8109008836651064)</f>
        <v>0.8109008837</v>
      </c>
      <c r="AR1319" s="82">
        <f>IFERROR(__xludf.DUMMYFUNCTION("""COMPUTED_VALUE"""),0.7624457720712915)</f>
        <v>0.7624457721</v>
      </c>
      <c r="AS1319" s="82">
        <f>IFERROR(__xludf.DUMMYFUNCTION("""COMPUTED_VALUE"""),41.0)</f>
        <v>41</v>
      </c>
      <c r="AT1319" s="82">
        <f>IFERROR(__xludf.DUMMYFUNCTION("""COMPUTED_VALUE"""),0.3953855457920262)</f>
        <v>0.3953855458</v>
      </c>
      <c r="AU1319" s="82">
        <f>IFERROR(__xludf.DUMMYFUNCTION("""COMPUTED_VALUE"""),1.7108243590916592)</f>
        <v>1.710824359</v>
      </c>
      <c r="AV1319" s="82">
        <f>IFERROR(__xludf.DUMMYFUNCTION("""COMPUTED_VALUE"""),29.583466590551495)</f>
        <v>29.58346659</v>
      </c>
      <c r="AW1319" s="82">
        <f t="shared" si="1"/>
        <v>-4.829494779</v>
      </c>
      <c r="AX1319" s="83">
        <f t="array" ref="AX1319">IFERROR(DGET('SBV Import'!A:G,"SBV",{"RSC ID","Tier";B1319,A1319}))</f>
        <v>28.39944307</v>
      </c>
      <c r="AY1319" s="82">
        <f t="shared" si="2"/>
        <v>-5.160282863</v>
      </c>
      <c r="AZ1319" s="82">
        <v>0.33078808393659376</v>
      </c>
      <c r="BA1319" s="84">
        <v>1200.0</v>
      </c>
      <c r="BB1319" s="84" t="b">
        <f>IFERROR(__xludf.DUMMYFUNCTION("iferror(if(A1319="""",,E1319&gt;=FILTER(Constants!$F$2:$F$10,Constants!$A$2:$A$10=A1319)))"),TRUE)</f>
        <v>1</v>
      </c>
    </row>
    <row r="1320">
      <c r="A1320" s="89" t="str">
        <f>IFERROR(__xludf.DUMMYFUNCTION("""COMPUTED_VALUE"""),"Veteran")</f>
        <v>Veteran</v>
      </c>
      <c r="B1320" s="87" t="str">
        <f>IFERROR(__xludf.DUMMYFUNCTION("""COMPUTED_VALUE"""),"RSC003746")</f>
        <v>RSC003746</v>
      </c>
      <c r="C1320" s="73" t="str">
        <f>IFERROR(__xludf.DUMMYFUNCTION("""COMPUTED_VALUE"""),"archhie.")</f>
        <v>archhie.</v>
      </c>
      <c r="D1320" s="73"/>
      <c r="E1320" s="82">
        <f>IFERROR(__xludf.DUMMYFUNCTION("""COMPUTED_VALUE"""),4.0)</f>
        <v>4</v>
      </c>
      <c r="F1320" s="82">
        <f>IFERROR(__xludf.DUMMYFUNCTION("""COMPUTED_VALUE"""),1.0)</f>
        <v>1</v>
      </c>
      <c r="G1320" s="86">
        <f>IFERROR(__xludf.DUMMYFUNCTION("""COMPUTED_VALUE"""),3.0)</f>
        <v>3</v>
      </c>
      <c r="H1320" s="86">
        <f>IFERROR(__xludf.DUMMYFUNCTION("""COMPUTED_VALUE"""),0.25)</f>
        <v>0.25</v>
      </c>
      <c r="I1320" s="86">
        <f>IFERROR(__xludf.DUMMYFUNCTION("""COMPUTED_VALUE"""),0.25)</f>
        <v>0.25</v>
      </c>
      <c r="J1320" s="82">
        <f>IFERROR(__xludf.DUMMYFUNCTION("""COMPUTED_VALUE"""),364.75)</f>
        <v>364.75</v>
      </c>
      <c r="K1320" s="82">
        <f>IFERROR(__xludf.DUMMYFUNCTION("""COMPUTED_VALUE"""),0.5)</f>
        <v>0.5</v>
      </c>
      <c r="L1320" s="82">
        <f>IFERROR(__xludf.DUMMYFUNCTION("""COMPUTED_VALUE"""),0.25)</f>
        <v>0.25</v>
      </c>
      <c r="M1320" s="82">
        <f>IFERROR(__xludf.DUMMYFUNCTION("""COMPUTED_VALUE"""),2.25)</f>
        <v>2.25</v>
      </c>
      <c r="N1320" s="82">
        <f>IFERROR(__xludf.DUMMYFUNCTION("""COMPUTED_VALUE"""),2.0)</f>
        <v>2</v>
      </c>
      <c r="O1320" s="82">
        <f>IFERROR(__xludf.DUMMYFUNCTION("""COMPUTED_VALUE"""),327.0833333333333)</f>
        <v>327.0833333</v>
      </c>
      <c r="P1320" s="82">
        <f>IFERROR(__xludf.DUMMYFUNCTION("""COMPUTED_VALUE"""),1.0)</f>
        <v>1</v>
      </c>
      <c r="Q1320" s="82">
        <f>IFERROR(__xludf.DUMMYFUNCTION("""COMPUTED_VALUE"""),0.6666666666666666)</f>
        <v>0.6666666667</v>
      </c>
      <c r="R1320" s="82">
        <f>IFERROR(__xludf.DUMMYFUNCTION("""COMPUTED_VALUE"""),0.75)</f>
        <v>0.75</v>
      </c>
      <c r="S1320" s="82">
        <f>IFERROR(__xludf.DUMMYFUNCTION("""COMPUTED_VALUE"""),3.0833333333333335)</f>
        <v>3.083333333</v>
      </c>
      <c r="T1320" s="82">
        <f>IFERROR(__xludf.DUMMYFUNCTION("""COMPUTED_VALUE"""),370.83703703703696)</f>
        <v>370.837037</v>
      </c>
      <c r="U1320" s="82">
        <f>IFERROR(__xludf.DUMMYFUNCTION("""COMPUTED_VALUE"""),0.938888888888889)</f>
        <v>0.9388888889</v>
      </c>
      <c r="V1320" s="82">
        <f>IFERROR(__xludf.DUMMYFUNCTION("""COMPUTED_VALUE"""),0.737037037037037)</f>
        <v>0.737037037</v>
      </c>
      <c r="W1320" s="82">
        <f>IFERROR(__xludf.DUMMYFUNCTION("""COMPUTED_VALUE"""),1.187037037037037)</f>
        <v>1.187037037</v>
      </c>
      <c r="X1320" s="82">
        <f>IFERROR(__xludf.DUMMYFUNCTION("""COMPUTED_VALUE"""),3.1611111111111114)</f>
        <v>3.161111111</v>
      </c>
      <c r="Y1320" s="82">
        <f>IFERROR(__xludf.DUMMYFUNCTION("""COMPUTED_VALUE"""),345.5203703703703)</f>
        <v>345.5203704</v>
      </c>
      <c r="Z1320" s="82">
        <f>IFERROR(__xludf.DUMMYFUNCTION("""COMPUTED_VALUE"""),0.6222222222222222)</f>
        <v>0.6222222222</v>
      </c>
      <c r="AA1320" s="82">
        <f>IFERROR(__xludf.DUMMYFUNCTION("""COMPUTED_VALUE"""),0.5135802469135803)</f>
        <v>0.5135802469</v>
      </c>
      <c r="AB1320" s="82">
        <f>IFERROR(__xludf.DUMMYFUNCTION("""COMPUTED_VALUE"""),1.6537037037037035)</f>
        <v>1.653703704</v>
      </c>
      <c r="AC1320" s="82">
        <f>IFERROR(__xludf.DUMMYFUNCTION("""COMPUTED_VALUE"""),2.215432098765432)</f>
        <v>2.215432099</v>
      </c>
      <c r="AD1320" s="82">
        <f>IFERROR(__xludf.DUMMYFUNCTION("""COMPUTED_VALUE"""),1.055654112691003)</f>
        <v>1.055654113</v>
      </c>
      <c r="AE1320" s="82">
        <f>IFERROR(__xludf.DUMMYFUNCTION("""COMPUTED_VALUE"""),0.8035714285714286)</f>
        <v>0.8035714286</v>
      </c>
      <c r="AF1320" s="82">
        <f>IFERROR(__xludf.DUMMYFUNCTION("""COMPUTED_VALUE"""),0.48677884615384615)</f>
        <v>0.4867788462</v>
      </c>
      <c r="AG1320" s="82">
        <f>IFERROR(__xludf.DUMMYFUNCTION("""COMPUTED_VALUE"""),1.3605823068309073)</f>
        <v>1.360582307</v>
      </c>
      <c r="AH1320" s="82">
        <f>IFERROR(__xludf.DUMMYFUNCTION("""COMPUTED_VALUE"""),0.9027584285316244)</f>
        <v>0.9027584285</v>
      </c>
      <c r="AI1320" s="82">
        <f>IFERROR(__xludf.DUMMYFUNCTION("""COMPUTED_VALUE"""),0.8820136627848911)</f>
        <v>0.8820136628</v>
      </c>
      <c r="AJ1320" s="82">
        <f>IFERROR(__xludf.DUMMYFUNCTION("""COMPUTED_VALUE"""),1.0650887573964496)</f>
        <v>1.065088757</v>
      </c>
      <c r="AK1320" s="82">
        <f>IFERROR(__xludf.DUMMYFUNCTION("""COMPUTED_VALUE"""),0.9045226130653266)</f>
        <v>0.9045226131</v>
      </c>
      <c r="AL1320" s="82">
        <f>IFERROR(__xludf.DUMMYFUNCTION("""COMPUTED_VALUE"""),0.6318252730109205)</f>
        <v>0.631825273</v>
      </c>
      <c r="AM1320" s="82">
        <f>IFERROR(__xludf.DUMMYFUNCTION("""COMPUTED_VALUE"""),0.9753954305799648)</f>
        <v>0.9753954306</v>
      </c>
      <c r="AN1320" s="82">
        <f>IFERROR(__xludf.DUMMYFUNCTION("""COMPUTED_VALUE"""),1.0563972851010912)</f>
        <v>1.056397285</v>
      </c>
      <c r="AO1320" s="82">
        <f>IFERROR(__xludf.DUMMYFUNCTION("""COMPUTED_VALUE"""),0.6628251278283709)</f>
        <v>0.6628251278</v>
      </c>
      <c r="AP1320" s="82">
        <f>IFERROR(__xludf.DUMMYFUNCTION("""COMPUTED_VALUE"""),0.4636278305750496)</f>
        <v>0.4636278306</v>
      </c>
      <c r="AQ1320" s="82">
        <f>IFERROR(__xludf.DUMMYFUNCTION("""COMPUTED_VALUE"""),1.665872467529403)</f>
        <v>1.665872468</v>
      </c>
      <c r="AR1320" s="82">
        <f>IFERROR(__xludf.DUMMYFUNCTION("""COMPUTED_VALUE"""),0.7810420104144938)</f>
        <v>0.7810420104</v>
      </c>
      <c r="AS1320" s="82">
        <f>IFERROR(__xludf.DUMMYFUNCTION("""COMPUTED_VALUE"""),8.0)</f>
        <v>8</v>
      </c>
      <c r="AT1320" s="82">
        <f>IFERROR(__xludf.DUMMYFUNCTION("""COMPUTED_VALUE"""),0.34445266793706497)</f>
        <v>0.3444526679</v>
      </c>
      <c r="AU1320" s="82">
        <f>IFERROR(__xludf.DUMMYFUNCTION("""COMPUTED_VALUE"""),1.696694179611467)</f>
        <v>1.69669418</v>
      </c>
      <c r="AV1320" s="82">
        <f>IFERROR(__xludf.DUMMYFUNCTION("""COMPUTED_VALUE"""),29.14576884926408)</f>
        <v>29.14576885</v>
      </c>
      <c r="AW1320" s="82">
        <f t="shared" si="1"/>
        <v>-4.948221578</v>
      </c>
      <c r="AX1320" s="83">
        <f t="array" ref="AX1320">IFERROR(DGET('SBV Import'!A:G,"SBV",{"RSC ID","Tier";B1320,A1320}))</f>
        <v>48.52990751</v>
      </c>
      <c r="AY1320" s="82">
        <f t="shared" si="2"/>
        <v>-2.098397067</v>
      </c>
      <c r="AZ1320" s="82">
        <v>2.849824511827858</v>
      </c>
      <c r="BA1320" s="84">
        <v>1200.0</v>
      </c>
      <c r="BB1320" s="84" t="b">
        <f>IFERROR(__xludf.DUMMYFUNCTION("iferror(if(A1320="""",,E1320&gt;=FILTER(Constants!$F$2:$F$10,Constants!$A$2:$A$10=A1320)))"),TRUE)</f>
        <v>1</v>
      </c>
    </row>
    <row r="1321">
      <c r="A1321" s="89" t="str">
        <f>IFERROR(__xludf.DUMMYFUNCTION("""COMPUTED_VALUE"""),"Veteran")</f>
        <v>Veteran</v>
      </c>
      <c r="B1321" s="87" t="str">
        <f>IFERROR(__xludf.DUMMYFUNCTION("""COMPUTED_VALUE"""),"RSC003416")</f>
        <v>RSC003416</v>
      </c>
      <c r="C1321" s="73" t="str">
        <f>IFERROR(__xludf.DUMMYFUNCTION("""COMPUTED_VALUE"""),"DrSkimMilk")</f>
        <v>DrSkimMilk</v>
      </c>
      <c r="D1321" s="73" t="str">
        <f>IFERROR(__xludf.DUMMYFUNCTION("""COMPUTED_VALUE"""),"Merciless Mob")</f>
        <v>Merciless Mob</v>
      </c>
      <c r="E1321" s="82">
        <f>IFERROR(__xludf.DUMMYFUNCTION("""COMPUTED_VALUE"""),29.0)</f>
        <v>29</v>
      </c>
      <c r="F1321" s="82">
        <f>IFERROR(__xludf.DUMMYFUNCTION("""COMPUTED_VALUE"""),15.0)</f>
        <v>15</v>
      </c>
      <c r="G1321" s="86">
        <f>IFERROR(__xludf.DUMMYFUNCTION("""COMPUTED_VALUE"""),14.0)</f>
        <v>14</v>
      </c>
      <c r="H1321" s="86">
        <f>IFERROR(__xludf.DUMMYFUNCTION("""COMPUTED_VALUE"""),0.5172413793103449)</f>
        <v>0.5172413793</v>
      </c>
      <c r="I1321" s="86">
        <f>IFERROR(__xludf.DUMMYFUNCTION("""COMPUTED_VALUE"""),0.2985074626865672)</f>
        <v>0.2985074627</v>
      </c>
      <c r="J1321" s="82">
        <f>IFERROR(__xludf.DUMMYFUNCTION("""COMPUTED_VALUE"""),280.6896551724138)</f>
        <v>280.6896552</v>
      </c>
      <c r="K1321" s="82">
        <f>IFERROR(__xludf.DUMMYFUNCTION("""COMPUTED_VALUE"""),0.6896551724137931)</f>
        <v>0.6896551724</v>
      </c>
      <c r="L1321" s="82">
        <f>IFERROR(__xludf.DUMMYFUNCTION("""COMPUTED_VALUE"""),0.2413793103448276)</f>
        <v>0.2413793103</v>
      </c>
      <c r="M1321" s="82">
        <f>IFERROR(__xludf.DUMMYFUNCTION("""COMPUTED_VALUE"""),1.0344827586206897)</f>
        <v>1.034482759</v>
      </c>
      <c r="N1321" s="82">
        <f>IFERROR(__xludf.DUMMYFUNCTION("""COMPUTED_VALUE"""),2.310344827586207)</f>
        <v>2.310344828</v>
      </c>
      <c r="O1321" s="82">
        <f>IFERROR(__xludf.DUMMYFUNCTION("""COMPUTED_VALUE"""),330.68965517241384)</f>
        <v>330.6896552</v>
      </c>
      <c r="P1321" s="82">
        <f>IFERROR(__xludf.DUMMYFUNCTION("""COMPUTED_VALUE"""),0.7471264367816093)</f>
        <v>0.7471264368</v>
      </c>
      <c r="Q1321" s="82">
        <f>IFERROR(__xludf.DUMMYFUNCTION("""COMPUTED_VALUE"""),0.5862068965517241)</f>
        <v>0.5862068966</v>
      </c>
      <c r="R1321" s="82">
        <f>IFERROR(__xludf.DUMMYFUNCTION("""COMPUTED_VALUE"""),1.1379310344827587)</f>
        <v>1.137931034</v>
      </c>
      <c r="S1321" s="82">
        <f>IFERROR(__xludf.DUMMYFUNCTION("""COMPUTED_VALUE"""),2.5747126436781604)</f>
        <v>2.574712644</v>
      </c>
      <c r="T1321" s="82">
        <f>IFERROR(__xludf.DUMMYFUNCTION("""COMPUTED_VALUE"""),349.50366378957324)</f>
        <v>349.5036638</v>
      </c>
      <c r="U1321" s="82">
        <f>IFERROR(__xludf.DUMMYFUNCTION("""COMPUTED_VALUE"""),0.7634985205011625)</f>
        <v>0.7634985205</v>
      </c>
      <c r="V1321" s="82">
        <f>IFERROR(__xludf.DUMMYFUNCTION("""COMPUTED_VALUE"""),0.5568245714297013)</f>
        <v>0.5568245714</v>
      </c>
      <c r="W1321" s="82">
        <f>IFERROR(__xludf.DUMMYFUNCTION("""COMPUTED_VALUE"""),1.3287427776111453)</f>
        <v>1.328742778</v>
      </c>
      <c r="X1321" s="82">
        <f>IFERROR(__xludf.DUMMYFUNCTION("""COMPUTED_VALUE"""),2.5213800291239705)</f>
        <v>2.521380029</v>
      </c>
      <c r="Y1321" s="82">
        <f>IFERROR(__xludf.DUMMYFUNCTION("""COMPUTED_VALUE"""),344.6044842062994)</f>
        <v>344.6044842</v>
      </c>
      <c r="Z1321" s="82">
        <f>IFERROR(__xludf.DUMMYFUNCTION("""COMPUTED_VALUE"""),0.7457471292610611)</f>
        <v>0.7457471293</v>
      </c>
      <c r="AA1321" s="82">
        <f>IFERROR(__xludf.DUMMYFUNCTION("""COMPUTED_VALUE"""),0.5272549024314974)</f>
        <v>0.5272549024</v>
      </c>
      <c r="AB1321" s="82">
        <f>IFERROR(__xludf.DUMMYFUNCTION("""COMPUTED_VALUE"""),1.358272092361849)</f>
        <v>1.358272092</v>
      </c>
      <c r="AC1321" s="82">
        <f>IFERROR(__xludf.DUMMYFUNCTION("""COMPUTED_VALUE"""),2.535501042017936)</f>
        <v>2.535501042</v>
      </c>
      <c r="AD1321" s="82">
        <f>IFERROR(__xludf.DUMMYFUNCTION("""COMPUTED_VALUE"""),0.8145269955465158)</f>
        <v>0.8145269955</v>
      </c>
      <c r="AE1321" s="82">
        <f>IFERROR(__xludf.DUMMYFUNCTION("""COMPUTED_VALUE"""),0.9247842135137042)</f>
        <v>0.9247842135</v>
      </c>
      <c r="AF1321" s="82">
        <f>IFERROR(__xludf.DUMMYFUNCTION("""COMPUTED_VALUE"""),0.4578038235997025)</f>
        <v>0.4578038236</v>
      </c>
      <c r="AG1321" s="82">
        <f>IFERROR(__xludf.DUMMYFUNCTION("""COMPUTED_VALUE"""),0.7616167367628572)</f>
        <v>0.7616167368</v>
      </c>
      <c r="AH1321" s="82">
        <f>IFERROR(__xludf.DUMMYFUNCTION("""COMPUTED_VALUE"""),0.9111985320847933)</f>
        <v>0.9111985321</v>
      </c>
      <c r="AI1321" s="82">
        <f>IFERROR(__xludf.DUMMYFUNCTION("""COMPUTED_VALUE"""),0.946169352237501)</f>
        <v>0.9461693522</v>
      </c>
      <c r="AJ1321" s="82">
        <f>IFERROR(__xludf.DUMMYFUNCTION("""COMPUTED_VALUE"""),0.9785564958150718)</f>
        <v>0.9785564958</v>
      </c>
      <c r="AK1321" s="82">
        <f>IFERROR(__xludf.DUMMYFUNCTION("""COMPUTED_VALUE"""),1.05276765184155)</f>
        <v>1.052767652</v>
      </c>
      <c r="AL1321" s="82">
        <f>IFERROR(__xludf.DUMMYFUNCTION("""COMPUTED_VALUE"""),0.8563967787118031)</f>
        <v>0.8563967787</v>
      </c>
      <c r="AM1321" s="82">
        <f>IFERROR(__xludf.DUMMYFUNCTION("""COMPUTED_VALUE"""),1.0211521523682092)</f>
        <v>1.021152152</v>
      </c>
      <c r="AN1321" s="82">
        <f>IFERROR(__xludf.DUMMYFUNCTION("""COMPUTED_VALUE"""),0.8129397935026714)</f>
        <v>0.8129397935</v>
      </c>
      <c r="AO1321" s="82">
        <f>IFERROR(__xludf.DUMMYFUNCTION("""COMPUTED_VALUE"""),0.9142415556253393)</f>
        <v>0.9142415556</v>
      </c>
      <c r="AP1321" s="82">
        <f>IFERROR(__xludf.DUMMYFUNCTION("""COMPUTED_VALUE"""),0.44764066400349617)</f>
        <v>0.447640664</v>
      </c>
      <c r="AQ1321" s="82">
        <f>IFERROR(__xludf.DUMMYFUNCTION("""COMPUTED_VALUE"""),0.7659183758755876)</f>
        <v>0.7659183759</v>
      </c>
      <c r="AR1321" s="82">
        <f>IFERROR(__xludf.DUMMYFUNCTION("""COMPUTED_VALUE"""),0.902238184444329)</f>
        <v>0.9022381844</v>
      </c>
      <c r="AS1321" s="82">
        <f>IFERROR(__xludf.DUMMYFUNCTION("""COMPUTED_VALUE"""),64.0)</f>
        <v>64</v>
      </c>
      <c r="AT1321" s="82">
        <f>IFERROR(__xludf.DUMMYFUNCTION("""COMPUTED_VALUE"""),0.494051608769492)</f>
        <v>0.4940516088</v>
      </c>
      <c r="AU1321" s="82">
        <f>IFERROR(__xludf.DUMMYFUNCTION("""COMPUTED_VALUE"""),1.6533548260129765)</f>
        <v>1.653354826</v>
      </c>
      <c r="AV1321" s="82">
        <f>IFERROR(__xludf.DUMMYFUNCTION("""COMPUTED_VALUE"""),27.803285039662974)</f>
        <v>27.80328504</v>
      </c>
      <c r="AW1321" s="82">
        <f t="shared" si="1"/>
        <v>-5.338865285</v>
      </c>
      <c r="AX1321" s="83">
        <f t="array" ref="AX1321">IFERROR(DGET('SBV Import'!A:G,"SBV",{"RSC ID","Tier";B1321,A1321}))</f>
        <v>27.93329513</v>
      </c>
      <c r="AY1321" s="82">
        <f t="shared" si="2"/>
        <v>-5.299198424</v>
      </c>
      <c r="AZ1321" s="82">
        <v>0.03966686097262695</v>
      </c>
      <c r="BA1321" s="84">
        <v>1200.0</v>
      </c>
      <c r="BB1321" s="84" t="b">
        <f>IFERROR(__xludf.DUMMYFUNCTION("iferror(if(A1321="""",,E1321&gt;=FILTER(Constants!$F$2:$F$10,Constants!$A$2:$A$10=A1321)))"),TRUE)</f>
        <v>1</v>
      </c>
    </row>
    <row r="1322">
      <c r="A1322" s="89" t="str">
        <f>IFERROR(__xludf.DUMMYFUNCTION("""COMPUTED_VALUE"""),"Veteran")</f>
        <v>Veteran</v>
      </c>
      <c r="B1322" s="87" t="str">
        <f>IFERROR(__xludf.DUMMYFUNCTION("""COMPUTED_VALUE"""),"RSC006319")</f>
        <v>RSC006319</v>
      </c>
      <c r="C1322" s="73" t="str">
        <f>IFERROR(__xludf.DUMMYFUNCTION("""COMPUTED_VALUE"""),"red crayon chewer 14")</f>
        <v>red crayon chewer 14</v>
      </c>
      <c r="D1322" s="73" t="str">
        <f>IFERROR(__xludf.DUMMYFUNCTION("""COMPUTED_VALUE"""),"Mosaic Maestros")</f>
        <v>Mosaic Maestros</v>
      </c>
      <c r="E1322" s="82">
        <f>IFERROR(__xludf.DUMMYFUNCTION("""COMPUTED_VALUE"""),2.0)</f>
        <v>2</v>
      </c>
      <c r="F1322" s="82">
        <f>IFERROR(__xludf.DUMMYFUNCTION("""COMPUTED_VALUE"""),1.0)</f>
        <v>1</v>
      </c>
      <c r="G1322" s="86">
        <f>IFERROR(__xludf.DUMMYFUNCTION("""COMPUTED_VALUE"""),1.0)</f>
        <v>1</v>
      </c>
      <c r="H1322" s="86">
        <f>IFERROR(__xludf.DUMMYFUNCTION("""COMPUTED_VALUE"""),0.5)</f>
        <v>0.5</v>
      </c>
      <c r="I1322" s="86">
        <f>IFERROR(__xludf.DUMMYFUNCTION("""COMPUTED_VALUE"""),0.5)</f>
        <v>0.5</v>
      </c>
      <c r="J1322" s="82">
        <f>IFERROR(__xludf.DUMMYFUNCTION("""COMPUTED_VALUE"""),272.0)</f>
        <v>272</v>
      </c>
      <c r="K1322" s="82">
        <f>IFERROR(__xludf.DUMMYFUNCTION("""COMPUTED_VALUE"""),1.0)</f>
        <v>1</v>
      </c>
      <c r="L1322" s="82">
        <f>IFERROR(__xludf.DUMMYFUNCTION("""COMPUTED_VALUE"""),0.0)</f>
        <v>0</v>
      </c>
      <c r="M1322" s="82">
        <f>IFERROR(__xludf.DUMMYFUNCTION("""COMPUTED_VALUE"""),0.5)</f>
        <v>0.5</v>
      </c>
      <c r="N1322" s="82">
        <f>IFERROR(__xludf.DUMMYFUNCTION("""COMPUTED_VALUE"""),2.0)</f>
        <v>2</v>
      </c>
      <c r="O1322" s="82">
        <f>IFERROR(__xludf.DUMMYFUNCTION("""COMPUTED_VALUE"""),408.3333333333333)</f>
        <v>408.3333333</v>
      </c>
      <c r="P1322" s="82">
        <f>IFERROR(__xludf.DUMMYFUNCTION("""COMPUTED_VALUE"""),0.8333333333333334)</f>
        <v>0.8333333333</v>
      </c>
      <c r="Q1322" s="82">
        <f>IFERROR(__xludf.DUMMYFUNCTION("""COMPUTED_VALUE"""),0.6666666666666666)</f>
        <v>0.6666666667</v>
      </c>
      <c r="R1322" s="82">
        <f>IFERROR(__xludf.DUMMYFUNCTION("""COMPUTED_VALUE"""),1.5)</f>
        <v>1.5</v>
      </c>
      <c r="S1322" s="82">
        <f>IFERROR(__xludf.DUMMYFUNCTION("""COMPUTED_VALUE"""),2.6666666666666665)</f>
        <v>2.666666667</v>
      </c>
      <c r="T1322" s="82">
        <f>IFERROR(__xludf.DUMMYFUNCTION("""COMPUTED_VALUE"""),383.52645502645504)</f>
        <v>383.526455</v>
      </c>
      <c r="U1322" s="82">
        <f>IFERROR(__xludf.DUMMYFUNCTION("""COMPUTED_VALUE"""),0.776984126984127)</f>
        <v>0.776984127</v>
      </c>
      <c r="V1322" s="82">
        <f>IFERROR(__xludf.DUMMYFUNCTION("""COMPUTED_VALUE"""),0.5211640211640212)</f>
        <v>0.5211640212</v>
      </c>
      <c r="W1322" s="82">
        <f>IFERROR(__xludf.DUMMYFUNCTION("""COMPUTED_VALUE"""),1.7727513227513227)</f>
        <v>1.772751323</v>
      </c>
      <c r="X1322" s="82">
        <f>IFERROR(__xludf.DUMMYFUNCTION("""COMPUTED_VALUE"""),2.4365079365079367)</f>
        <v>2.436507937</v>
      </c>
      <c r="Y1322" s="82">
        <f>IFERROR(__xludf.DUMMYFUNCTION("""COMPUTED_VALUE"""),325.6910052910053)</f>
        <v>325.6910053</v>
      </c>
      <c r="Z1322" s="82">
        <f>IFERROR(__xludf.DUMMYFUNCTION("""COMPUTED_VALUE"""),0.6299823633156966)</f>
        <v>0.6299823633</v>
      </c>
      <c r="AA1322" s="82">
        <f>IFERROR(__xludf.DUMMYFUNCTION("""COMPUTED_VALUE"""),0.43959435626102294)</f>
        <v>0.4395943563</v>
      </c>
      <c r="AB1322" s="82">
        <f>IFERROR(__xludf.DUMMYFUNCTION("""COMPUTED_VALUE"""),1.2741622574955906)</f>
        <v>1.274162257</v>
      </c>
      <c r="AC1322" s="82">
        <f>IFERROR(__xludf.DUMMYFUNCTION("""COMPUTED_VALUE"""),2.847354497354498)</f>
        <v>2.847354497</v>
      </c>
      <c r="AD1322" s="82">
        <f>IFERROR(__xludf.DUMMYFUNCTION("""COMPUTED_VALUE"""),0.8351474114459123)</f>
        <v>0.8351474114</v>
      </c>
      <c r="AE1322" s="82">
        <f>IFERROR(__xludf.DUMMYFUNCTION("""COMPUTED_VALUE"""),1.5873460246360585)</f>
        <v>1.587346025</v>
      </c>
      <c r="AF1322" s="82">
        <f>IFERROR(__xludf.DUMMYFUNCTION("""COMPUTED_VALUE"""),0.0)</f>
        <v>0</v>
      </c>
      <c r="AG1322" s="82">
        <f>IFERROR(__xludf.DUMMYFUNCTION("""COMPUTED_VALUE"""),0.3924146999792374)</f>
        <v>0.3924147</v>
      </c>
      <c r="AH1322" s="82">
        <f>IFERROR(__xludf.DUMMYFUNCTION("""COMPUTED_VALUE"""),0.702406392269813)</f>
        <v>0.7024063923</v>
      </c>
      <c r="AI1322" s="82">
        <f>IFERROR(__xludf.DUMMYFUNCTION("""COMPUTED_VALUE"""),1.0646810095672987)</f>
        <v>1.06468101</v>
      </c>
      <c r="AJ1322" s="82">
        <f>IFERROR(__xludf.DUMMYFUNCTION("""COMPUTED_VALUE"""),1.0725229826353422)</f>
        <v>1.072522983</v>
      </c>
      <c r="AK1322" s="82">
        <f>IFERROR(__xludf.DUMMYFUNCTION("""COMPUTED_VALUE"""),1.279187817258883)</f>
        <v>1.279187817</v>
      </c>
      <c r="AL1322" s="82">
        <f>IFERROR(__xludf.DUMMYFUNCTION("""COMPUTED_VALUE"""),0.8461423668109237)</f>
        <v>0.8461423668</v>
      </c>
      <c r="AM1322" s="82">
        <f>IFERROR(__xludf.DUMMYFUNCTION("""COMPUTED_VALUE"""),1.0944625407166122)</f>
        <v>1.094462541</v>
      </c>
      <c r="AN1322" s="82">
        <f>IFERROR(__xludf.DUMMYFUNCTION("""COMPUTED_VALUE"""),0.7877726156202791)</f>
        <v>0.7877726156</v>
      </c>
      <c r="AO1322" s="82">
        <f>IFERROR(__xludf.DUMMYFUNCTION("""COMPUTED_VALUE"""),1.3256502556567418)</f>
        <v>1.325650256</v>
      </c>
      <c r="AP1322" s="82">
        <f>IFERROR(__xludf.DUMMYFUNCTION("""COMPUTED_VALUE"""),0.0)</f>
        <v>0</v>
      </c>
      <c r="AQ1322" s="82">
        <f>IFERROR(__xludf.DUMMYFUNCTION("""COMPUTED_VALUE"""),0.37019388167320066)</f>
        <v>0.3701938817</v>
      </c>
      <c r="AR1322" s="82">
        <f>IFERROR(__xludf.DUMMYFUNCTION("""COMPUTED_VALUE"""),0.7810420104144938)</f>
        <v>0.7810420104</v>
      </c>
      <c r="AS1322" s="82">
        <f>IFERROR(__xludf.DUMMYFUNCTION("""COMPUTED_VALUE"""),5.0)</f>
        <v>5</v>
      </c>
      <c r="AT1322" s="82">
        <f>IFERROR(__xludf.DUMMYFUNCTION("""COMPUTED_VALUE"""),0.5)</f>
        <v>0.5</v>
      </c>
      <c r="AU1322" s="82">
        <f>IFERROR(__xludf.DUMMYFUNCTION("""COMPUTED_VALUE"""),1.5991364314940713)</f>
        <v>1.599136431</v>
      </c>
      <c r="AV1322" s="82">
        <f>IFERROR(__xludf.DUMMYFUNCTION("""COMPUTED_VALUE"""),26.123811056305478)</f>
        <v>26.12381106</v>
      </c>
      <c r="AW1322" s="82">
        <f t="shared" si="1"/>
        <v>-5.890085456</v>
      </c>
      <c r="AX1322" s="83">
        <f t="array" ref="AX1322">IFERROR(DGET('SBV Import'!A:G,"SBV",{"RSC ID","Tier";B1322,A1322}))</f>
        <v>2.102370669</v>
      </c>
      <c r="AY1322" s="82">
        <f t="shared" si="2"/>
        <v>-36.11596822</v>
      </c>
      <c r="AZ1322" s="82">
        <v>30.225882768223975</v>
      </c>
      <c r="BA1322" s="84">
        <v>1200.0</v>
      </c>
      <c r="BB1322" s="84" t="b">
        <f>IFERROR(__xludf.DUMMYFUNCTION("iferror(if(A1322="""",,E1322&gt;=FILTER(Constants!$F$2:$F$10,Constants!$A$2:$A$10=A1322)))"),TRUE)</f>
        <v>1</v>
      </c>
    </row>
    <row r="1323">
      <c r="A1323" s="89" t="str">
        <f>IFERROR(__xludf.DUMMYFUNCTION("""COMPUTED_VALUE"""),"Veteran")</f>
        <v>Veteran</v>
      </c>
      <c r="B1323" s="87" t="str">
        <f>IFERROR(__xludf.DUMMYFUNCTION("""COMPUTED_VALUE"""),"RSC000625")</f>
        <v>RSC000625</v>
      </c>
      <c r="C1323" s="73" t="str">
        <f>IFERROR(__xludf.DUMMYFUNCTION("""COMPUTED_VALUE"""),"Sly")</f>
        <v>Sly</v>
      </c>
      <c r="D1323" s="73" t="str">
        <f>IFERROR(__xludf.DUMMYFUNCTION("""COMPUTED_VALUE"""),"Rulers")</f>
        <v>Rulers</v>
      </c>
      <c r="E1323" s="82">
        <f>IFERROR(__xludf.DUMMYFUNCTION("""COMPUTED_VALUE"""),21.0)</f>
        <v>21</v>
      </c>
      <c r="F1323" s="82">
        <f>IFERROR(__xludf.DUMMYFUNCTION("""COMPUTED_VALUE"""),10.0)</f>
        <v>10</v>
      </c>
      <c r="G1323" s="86">
        <f>IFERROR(__xludf.DUMMYFUNCTION("""COMPUTED_VALUE"""),11.0)</f>
        <v>11</v>
      </c>
      <c r="H1323" s="86">
        <f>IFERROR(__xludf.DUMMYFUNCTION("""COMPUTED_VALUE"""),0.47619047619047616)</f>
        <v>0.4761904762</v>
      </c>
      <c r="I1323" s="86">
        <f>IFERROR(__xludf.DUMMYFUNCTION("""COMPUTED_VALUE"""),0.1875)</f>
        <v>0.1875</v>
      </c>
      <c r="J1323" s="82">
        <f>IFERROR(__xludf.DUMMYFUNCTION("""COMPUTED_VALUE"""),247.42857142857142)</f>
        <v>247.4285714</v>
      </c>
      <c r="K1323" s="82">
        <f>IFERROR(__xludf.DUMMYFUNCTION("""COMPUTED_VALUE"""),0.2857142857142857)</f>
        <v>0.2857142857</v>
      </c>
      <c r="L1323" s="82">
        <f>IFERROR(__xludf.DUMMYFUNCTION("""COMPUTED_VALUE"""),0.6190476190476191)</f>
        <v>0.619047619</v>
      </c>
      <c r="M1323" s="82">
        <f>IFERROR(__xludf.DUMMYFUNCTION("""COMPUTED_VALUE"""),0.9047619047619048)</f>
        <v>0.9047619048</v>
      </c>
      <c r="N1323" s="82">
        <f>IFERROR(__xludf.DUMMYFUNCTION("""COMPUTED_VALUE"""),1.5238095238095237)</f>
        <v>1.523809524</v>
      </c>
      <c r="O1323" s="82">
        <f>IFERROR(__xludf.DUMMYFUNCTION("""COMPUTED_VALUE"""),324.3333333333333)</f>
        <v>324.3333333</v>
      </c>
      <c r="P1323" s="82">
        <f>IFERROR(__xludf.DUMMYFUNCTION("""COMPUTED_VALUE"""),0.6031746031746031)</f>
        <v>0.6031746032</v>
      </c>
      <c r="Q1323" s="82">
        <f>IFERROR(__xludf.DUMMYFUNCTION("""COMPUTED_VALUE"""),0.47619047619047616)</f>
        <v>0.4761904762</v>
      </c>
      <c r="R1323" s="82">
        <f>IFERROR(__xludf.DUMMYFUNCTION("""COMPUTED_VALUE"""),1.2857142857142858)</f>
        <v>1.285714286</v>
      </c>
      <c r="S1323" s="82">
        <f>IFERROR(__xludf.DUMMYFUNCTION("""COMPUTED_VALUE"""),2.9047619047619047)</f>
        <v>2.904761905</v>
      </c>
      <c r="T1323" s="82">
        <f>IFERROR(__xludf.DUMMYFUNCTION("""COMPUTED_VALUE"""),353.998355292253)</f>
        <v>353.9983553</v>
      </c>
      <c r="U1323" s="82">
        <f>IFERROR(__xludf.DUMMYFUNCTION("""COMPUTED_VALUE"""),0.8436365829764263)</f>
        <v>0.843636583</v>
      </c>
      <c r="V1323" s="82">
        <f>IFERROR(__xludf.DUMMYFUNCTION("""COMPUTED_VALUE"""),0.5691467465065504)</f>
        <v>0.5691467465</v>
      </c>
      <c r="W1323" s="82">
        <f>IFERROR(__xludf.DUMMYFUNCTION("""COMPUTED_VALUE"""),1.2928650379395836)</f>
        <v>1.292865038</v>
      </c>
      <c r="X1323" s="82">
        <f>IFERROR(__xludf.DUMMYFUNCTION("""COMPUTED_VALUE"""),2.6967608223625215)</f>
        <v>2.696760822</v>
      </c>
      <c r="Y1323" s="82">
        <f>IFERROR(__xludf.DUMMYFUNCTION("""COMPUTED_VALUE"""),343.2854764300265)</f>
        <v>343.2854764</v>
      </c>
      <c r="Z1323" s="82">
        <f>IFERROR(__xludf.DUMMYFUNCTION("""COMPUTED_VALUE"""),0.7200198670604774)</f>
        <v>0.7200198671</v>
      </c>
      <c r="AA1323" s="82">
        <f>IFERROR(__xludf.DUMMYFUNCTION("""COMPUTED_VALUE"""),0.516214010101051)</f>
        <v>0.5162140101</v>
      </c>
      <c r="AB1323" s="82">
        <f>IFERROR(__xludf.DUMMYFUNCTION("""COMPUTED_VALUE"""),1.4185527921782544)</f>
        <v>1.418552792</v>
      </c>
      <c r="AC1323" s="82">
        <f>IFERROR(__xludf.DUMMYFUNCTION("""COMPUTED_VALUE"""),2.4302582633981524)</f>
        <v>2.430258263</v>
      </c>
      <c r="AD1323" s="82">
        <f>IFERROR(__xludf.DUMMYFUNCTION("""COMPUTED_VALUE"""),0.7207662089339977)</f>
        <v>0.7207662089</v>
      </c>
      <c r="AE1323" s="82">
        <f>IFERROR(__xludf.DUMMYFUNCTION("""COMPUTED_VALUE"""),0.3968144474689716)</f>
        <v>0.3968144475</v>
      </c>
      <c r="AF1323" s="82">
        <f>IFERROR(__xludf.DUMMYFUNCTION("""COMPUTED_VALUE"""),1.199207318930453)</f>
        <v>1.199207319</v>
      </c>
      <c r="AG1323" s="82">
        <f>IFERROR(__xludf.DUMMYFUNCTION("""COMPUTED_VALUE"""),0.6378062979049235)</f>
        <v>0.6378062979</v>
      </c>
      <c r="AH1323" s="82">
        <f>IFERROR(__xludf.DUMMYFUNCTION("""COMPUTED_VALUE"""),0.6270154685859722)</f>
        <v>0.6270154686</v>
      </c>
      <c r="AI1323" s="82">
        <f>IFERROR(__xludf.DUMMYFUNCTION("""COMPUTED_VALUE"""),0.9162001136010112)</f>
        <v>0.9162001136</v>
      </c>
      <c r="AJ1323" s="82">
        <f>IFERROR(__xludf.DUMMYFUNCTION("""COMPUTED_VALUE"""),0.7149697101168236)</f>
        <v>0.7149697101</v>
      </c>
      <c r="AK1323" s="82">
        <f>IFERROR(__xludf.DUMMYFUNCTION("""COMPUTED_VALUE"""),0.836674335948252)</f>
        <v>0.8366743359</v>
      </c>
      <c r="AL1323" s="82">
        <f>IFERROR(__xludf.DUMMYFUNCTION("""COMPUTED_VALUE"""),0.9944690652036705)</f>
        <v>0.9944690652</v>
      </c>
      <c r="AM1323" s="82">
        <f>IFERROR(__xludf.DUMMYFUNCTION("""COMPUTED_VALUE"""),1.0771299703980282)</f>
        <v>1.07712997</v>
      </c>
      <c r="AN1323" s="82">
        <f>IFERROR(__xludf.DUMMYFUNCTION("""COMPUTED_VALUE"""),0.7166082826965984)</f>
        <v>0.7166082827</v>
      </c>
      <c r="AO1323" s="82">
        <f>IFERROR(__xludf.DUMMYFUNCTION("""COMPUTED_VALUE"""),0.3787572159019262)</f>
        <v>0.3787572159</v>
      </c>
      <c r="AP1323" s="82">
        <f>IFERROR(__xludf.DUMMYFUNCTION("""COMPUTED_VALUE"""),1.1480308185667893)</f>
        <v>1.148030819</v>
      </c>
      <c r="AQ1323" s="82">
        <f>IFERROR(__xludf.DUMMYFUNCTION("""COMPUTED_VALUE"""),0.6698746430276965)</f>
        <v>0.669874643</v>
      </c>
      <c r="AR1323" s="82">
        <f>IFERROR(__xludf.DUMMYFUNCTION("""COMPUTED_VALUE"""),0.5950796269824714)</f>
        <v>0.595079627</v>
      </c>
      <c r="AS1323" s="82">
        <f>IFERROR(__xludf.DUMMYFUNCTION("""COMPUTED_VALUE"""),40.0)</f>
        <v>40</v>
      </c>
      <c r="AT1323" s="82">
        <f>IFERROR(__xludf.DUMMYFUNCTION("""COMPUTED_VALUE"""),0.51867895849608)</f>
        <v>0.5186789585</v>
      </c>
      <c r="AU1323" s="82">
        <f>IFERROR(__xludf.DUMMYFUNCTION("""COMPUTED_VALUE"""),1.5589352641092575)</f>
        <v>1.558935264</v>
      </c>
      <c r="AV1323" s="82">
        <f>IFERROR(__xludf.DUMMYFUNCTION("""COMPUTED_VALUE"""),24.87853599195712)</f>
        <v>24.87853599</v>
      </c>
      <c r="AW1323" s="82">
        <f t="shared" si="1"/>
        <v>-6.349912682</v>
      </c>
      <c r="AX1323" s="83">
        <f t="array" ref="AX1323">IFERROR(DGET('SBV Import'!A:G,"SBV",{"RSC ID","Tier";B1323,A1323}))</f>
        <v>9.777666202</v>
      </c>
      <c r="AY1323" s="82">
        <f t="shared" si="2"/>
        <v>-18.58051146</v>
      </c>
      <c r="AZ1323" s="82">
        <v>12.230598780301158</v>
      </c>
      <c r="BA1323" s="84">
        <v>1200.0</v>
      </c>
      <c r="BB1323" s="84" t="b">
        <f>IFERROR(__xludf.DUMMYFUNCTION("iferror(if(A1323="""",,E1323&gt;=FILTER(Constants!$F$2:$F$10,Constants!$A$2:$A$10=A1323)))"),TRUE)</f>
        <v>1</v>
      </c>
    </row>
    <row r="1324">
      <c r="A1324" s="89" t="str">
        <f>IFERROR(__xludf.DUMMYFUNCTION("""COMPUTED_VALUE"""),"Veteran")</f>
        <v>Veteran</v>
      </c>
      <c r="B1324" s="87" t="str">
        <f>IFERROR(__xludf.DUMMYFUNCTION("""COMPUTED_VALUE"""),"RSC007510")</f>
        <v>RSC007510</v>
      </c>
      <c r="C1324" s="73" t="str">
        <f>IFERROR(__xludf.DUMMYFUNCTION("""COMPUTED_VALUE"""),"Faolaen")</f>
        <v>Faolaen</v>
      </c>
      <c r="D1324" s="73" t="str">
        <f>IFERROR(__xludf.DUMMYFUNCTION("""COMPUTED_VALUE"""),"Dread")</f>
        <v>Dread</v>
      </c>
      <c r="E1324" s="82">
        <f>IFERROR(__xludf.DUMMYFUNCTION("""COMPUTED_VALUE"""),24.0)</f>
        <v>24</v>
      </c>
      <c r="F1324" s="82">
        <f>IFERROR(__xludf.DUMMYFUNCTION("""COMPUTED_VALUE"""),8.0)</f>
        <v>8</v>
      </c>
      <c r="G1324" s="86">
        <f>IFERROR(__xludf.DUMMYFUNCTION("""COMPUTED_VALUE"""),16.0)</f>
        <v>16</v>
      </c>
      <c r="H1324" s="86">
        <f>IFERROR(__xludf.DUMMYFUNCTION("""COMPUTED_VALUE"""),0.3333333333333333)</f>
        <v>0.3333333333</v>
      </c>
      <c r="I1324" s="86">
        <f>IFERROR(__xludf.DUMMYFUNCTION("""COMPUTED_VALUE"""),0.25)</f>
        <v>0.25</v>
      </c>
      <c r="J1324" s="82">
        <f>IFERROR(__xludf.DUMMYFUNCTION("""COMPUTED_VALUE"""),322.75)</f>
        <v>322.75</v>
      </c>
      <c r="K1324" s="82">
        <f>IFERROR(__xludf.DUMMYFUNCTION("""COMPUTED_VALUE"""),0.5416666666666666)</f>
        <v>0.5416666667</v>
      </c>
      <c r="L1324" s="82">
        <f>IFERROR(__xludf.DUMMYFUNCTION("""COMPUTED_VALUE"""),0.2916666666666667)</f>
        <v>0.2916666667</v>
      </c>
      <c r="M1324" s="82">
        <f>IFERROR(__xludf.DUMMYFUNCTION("""COMPUTED_VALUE"""),1.5416666666666667)</f>
        <v>1.541666667</v>
      </c>
      <c r="N1324" s="82">
        <f>IFERROR(__xludf.DUMMYFUNCTION("""COMPUTED_VALUE"""),2.1666666666666665)</f>
        <v>2.166666667</v>
      </c>
      <c r="O1324" s="82">
        <f>IFERROR(__xludf.DUMMYFUNCTION("""COMPUTED_VALUE"""),343.0694444444444)</f>
        <v>343.0694444</v>
      </c>
      <c r="P1324" s="82">
        <f>IFERROR(__xludf.DUMMYFUNCTION("""COMPUTED_VALUE"""),0.8055555555555555)</f>
        <v>0.8055555556</v>
      </c>
      <c r="Q1324" s="82">
        <f>IFERROR(__xludf.DUMMYFUNCTION("""COMPUTED_VALUE"""),0.5694444444444445)</f>
        <v>0.5694444444</v>
      </c>
      <c r="R1324" s="82">
        <f>IFERROR(__xludf.DUMMYFUNCTION("""COMPUTED_VALUE"""),1.1805555555555556)</f>
        <v>1.180555556</v>
      </c>
      <c r="S1324" s="82">
        <f>IFERROR(__xludf.DUMMYFUNCTION("""COMPUTED_VALUE"""),2.680555555555556)</f>
        <v>2.680555556</v>
      </c>
      <c r="T1324" s="82">
        <f>IFERROR(__xludf.DUMMYFUNCTION("""COMPUTED_VALUE"""),352.761061549335)</f>
        <v>352.7610615</v>
      </c>
      <c r="U1324" s="82">
        <f>IFERROR(__xludf.DUMMYFUNCTION("""COMPUTED_VALUE"""),0.8222752325123373)</f>
        <v>0.8222752325</v>
      </c>
      <c r="V1324" s="82">
        <f>IFERROR(__xludf.DUMMYFUNCTION("""COMPUTED_VALUE"""),0.5912576827250272)</f>
        <v>0.5912576827</v>
      </c>
      <c r="W1324" s="82">
        <f>IFERROR(__xludf.DUMMYFUNCTION("""COMPUTED_VALUE"""),1.2916580882744446)</f>
        <v>1.291658088</v>
      </c>
      <c r="X1324" s="82">
        <f>IFERROR(__xludf.DUMMYFUNCTION("""COMPUTED_VALUE"""),2.655247681519357)</f>
        <v>2.655247682</v>
      </c>
      <c r="Y1324" s="82">
        <f>IFERROR(__xludf.DUMMYFUNCTION("""COMPUTED_VALUE"""),352.0464829363043)</f>
        <v>352.0464829</v>
      </c>
      <c r="Z1324" s="82">
        <f>IFERROR(__xludf.DUMMYFUNCTION("""COMPUTED_VALUE"""),0.8019906307590462)</f>
        <v>0.8019906308</v>
      </c>
      <c r="AA1324" s="82">
        <f>IFERROR(__xludf.DUMMYFUNCTION("""COMPUTED_VALUE"""),0.5980337263670237)</f>
        <v>0.5980337264</v>
      </c>
      <c r="AB1324" s="82">
        <f>IFERROR(__xludf.DUMMYFUNCTION("""COMPUTED_VALUE"""),1.3402917794410223)</f>
        <v>1.340291779</v>
      </c>
      <c r="AC1324" s="82">
        <f>IFERROR(__xludf.DUMMYFUNCTION("""COMPUTED_VALUE"""),2.614037793398739)</f>
        <v>2.614037793</v>
      </c>
      <c r="AD1324" s="82">
        <f>IFERROR(__xludf.DUMMYFUNCTION("""COMPUTED_VALUE"""),0.9167823445019193)</f>
        <v>0.9167823445</v>
      </c>
      <c r="AE1324" s="82">
        <f>IFERROR(__xludf.DUMMYFUNCTION("""COMPUTED_VALUE"""),0.6754027365057927)</f>
        <v>0.6754027365</v>
      </c>
      <c r="AF1324" s="82">
        <f>IFERROR(__xludf.DUMMYFUNCTION("""COMPUTED_VALUE"""),0.4877093946498693)</f>
        <v>0.4877093946</v>
      </c>
      <c r="AG1324" s="82">
        <f>IFERROR(__xludf.DUMMYFUNCTION("""COMPUTED_VALUE"""),1.1502470509142637)</f>
        <v>1.150247051</v>
      </c>
      <c r="AH1324" s="82">
        <f>IFERROR(__xludf.DUMMYFUNCTION("""COMPUTED_VALUE"""),0.8288582024858921)</f>
        <v>0.8288582025</v>
      </c>
      <c r="AI1324" s="82">
        <f>IFERROR(__xludf.DUMMYFUNCTION("""COMPUTED_VALUE"""),0.9725263977199615)</f>
        <v>0.9725263977</v>
      </c>
      <c r="AJ1324" s="82">
        <f>IFERROR(__xludf.DUMMYFUNCTION("""COMPUTED_VALUE"""),0.9796665686917295)</f>
        <v>0.9796665687</v>
      </c>
      <c r="AK1324" s="82">
        <f>IFERROR(__xludf.DUMMYFUNCTION("""COMPUTED_VALUE"""),0.9631070531209871)</f>
        <v>0.9631070531</v>
      </c>
      <c r="AL1324" s="82">
        <f>IFERROR(__xludf.DUMMYFUNCTION("""COMPUTED_VALUE"""),0.9139845647021702)</f>
        <v>0.9139845647</v>
      </c>
      <c r="AM1324" s="82">
        <f>IFERROR(__xludf.DUMMYFUNCTION("""COMPUTED_VALUE"""),1.0095312667862748)</f>
        <v>1.009531267</v>
      </c>
      <c r="AN1324" s="82">
        <f>IFERROR(__xludf.DUMMYFUNCTION("""COMPUTED_VALUE"""),0.9347559253361952)</f>
        <v>0.9347559253</v>
      </c>
      <c r="AO1324" s="82">
        <f>IFERROR(__xludf.DUMMYFUNCTION("""COMPUTED_VALUE"""),0.7180605551474017)</f>
        <v>0.7180605551</v>
      </c>
      <c r="AP1324" s="82">
        <f>IFERROR(__xludf.DUMMYFUNCTION("""COMPUTED_VALUE"""),0.5408991356708912)</f>
        <v>0.5408991357</v>
      </c>
      <c r="AQ1324" s="82">
        <f>IFERROR(__xludf.DUMMYFUNCTION("""COMPUTED_VALUE"""),1.1414311351590354)</f>
        <v>1.141431135</v>
      </c>
      <c r="AR1324" s="82">
        <f>IFERROR(__xludf.DUMMYFUNCTION("""COMPUTED_VALUE"""),0.8461288446157016)</f>
        <v>0.8461288446</v>
      </c>
      <c r="AS1324" s="82">
        <f>IFERROR(__xludf.DUMMYFUNCTION("""COMPUTED_VALUE"""),42.0)</f>
        <v>42</v>
      </c>
      <c r="AT1324" s="82">
        <f>IFERROR(__xludf.DUMMYFUNCTION("""COMPUTED_VALUE"""),0.3807991502176715)</f>
        <v>0.3807991502</v>
      </c>
      <c r="AU1324" s="82">
        <f>IFERROR(__xludf.DUMMYFUNCTION("""COMPUTED_VALUE"""),1.5502356135631161)</f>
        <v>1.550235614</v>
      </c>
      <c r="AV1324" s="82">
        <f>IFERROR(__xludf.DUMMYFUNCTION("""COMPUTED_VALUE"""),24.60905481520535)</f>
        <v>24.60905482</v>
      </c>
      <c r="AW1324" s="82">
        <f t="shared" si="1"/>
        <v>-6.455738452</v>
      </c>
      <c r="AX1324" s="83">
        <f t="array" ref="AX1324">IFERROR(DGET('SBV Import'!A:G,"SBV",{"RSC ID","Tier";B1324,A1324}))</f>
        <v>36.62031551</v>
      </c>
      <c r="AY1324" s="82">
        <f t="shared" si="2"/>
        <v>-3.375411823</v>
      </c>
      <c r="AZ1324" s="82">
        <v>3.0803266288389874</v>
      </c>
      <c r="BA1324" s="84">
        <v>1200.0</v>
      </c>
      <c r="BB1324" s="84" t="b">
        <f>IFERROR(__xludf.DUMMYFUNCTION("iferror(if(A1324="""",,E1324&gt;=FILTER(Constants!$F$2:$F$10,Constants!$A$2:$A$10=A1324)))"),TRUE)</f>
        <v>1</v>
      </c>
    </row>
    <row r="1325">
      <c r="A1325" s="89" t="str">
        <f>IFERROR(__xludf.DUMMYFUNCTION("""COMPUTED_VALUE"""),"Veteran")</f>
        <v>Veteran</v>
      </c>
      <c r="B1325" s="87" t="str">
        <f>IFERROR(__xludf.DUMMYFUNCTION("""COMPUTED_VALUE"""),"RSC005960")</f>
        <v>RSC005960</v>
      </c>
      <c r="C1325" s="73" t="str">
        <f>IFERROR(__xludf.DUMMYFUNCTION("""COMPUTED_VALUE"""),"Hyper")</f>
        <v>Hyper</v>
      </c>
      <c r="D1325" s="73" t="str">
        <f>IFERROR(__xludf.DUMMYFUNCTION("""COMPUTED_VALUE"""),"Possessed")</f>
        <v>Possessed</v>
      </c>
      <c r="E1325" s="82">
        <f>IFERROR(__xludf.DUMMYFUNCTION("""COMPUTED_VALUE"""),12.0)</f>
        <v>12</v>
      </c>
      <c r="F1325" s="82">
        <f>IFERROR(__xludf.DUMMYFUNCTION("""COMPUTED_VALUE"""),4.0)</f>
        <v>4</v>
      </c>
      <c r="G1325" s="86">
        <f>IFERROR(__xludf.DUMMYFUNCTION("""COMPUTED_VALUE"""),8.0)</f>
        <v>8</v>
      </c>
      <c r="H1325" s="86">
        <f>IFERROR(__xludf.DUMMYFUNCTION("""COMPUTED_VALUE"""),0.3333333333333333)</f>
        <v>0.3333333333</v>
      </c>
      <c r="I1325" s="86">
        <f>IFERROR(__xludf.DUMMYFUNCTION("""COMPUTED_VALUE"""),0.125)</f>
        <v>0.125</v>
      </c>
      <c r="J1325" s="82">
        <f>IFERROR(__xludf.DUMMYFUNCTION("""COMPUTED_VALUE"""),308.75)</f>
        <v>308.75</v>
      </c>
      <c r="K1325" s="82">
        <f>IFERROR(__xludf.DUMMYFUNCTION("""COMPUTED_VALUE"""),0.25)</f>
        <v>0.25</v>
      </c>
      <c r="L1325" s="82">
        <f>IFERROR(__xludf.DUMMYFUNCTION("""COMPUTED_VALUE"""),0.75)</f>
        <v>0.75</v>
      </c>
      <c r="M1325" s="82">
        <f>IFERROR(__xludf.DUMMYFUNCTION("""COMPUTED_VALUE"""),1.6666666666666667)</f>
        <v>1.666666667</v>
      </c>
      <c r="N1325" s="82">
        <f>IFERROR(__xludf.DUMMYFUNCTION("""COMPUTED_VALUE"""),2.0)</f>
        <v>2</v>
      </c>
      <c r="O1325" s="82">
        <f>IFERROR(__xludf.DUMMYFUNCTION("""COMPUTED_VALUE"""),411.8611111111111)</f>
        <v>411.8611111</v>
      </c>
      <c r="P1325" s="82">
        <f>IFERROR(__xludf.DUMMYFUNCTION("""COMPUTED_VALUE"""),1.111111111111111)</f>
        <v>1.111111111</v>
      </c>
      <c r="Q1325" s="82">
        <f>IFERROR(__xludf.DUMMYFUNCTION("""COMPUTED_VALUE"""),0.888888888888889)</f>
        <v>0.8888888889</v>
      </c>
      <c r="R1325" s="82">
        <f>IFERROR(__xludf.DUMMYFUNCTION("""COMPUTED_VALUE"""),1.4166666666666667)</f>
        <v>1.416666667</v>
      </c>
      <c r="S1325" s="82">
        <f>IFERROR(__xludf.DUMMYFUNCTION("""COMPUTED_VALUE"""),3.0833333333333335)</f>
        <v>3.083333333</v>
      </c>
      <c r="T1325" s="82">
        <f>IFERROR(__xludf.DUMMYFUNCTION("""COMPUTED_VALUE"""),364.6856202443017)</f>
        <v>364.6856202</v>
      </c>
      <c r="U1325" s="82">
        <f>IFERROR(__xludf.DUMMYFUNCTION("""COMPUTED_VALUE"""),0.8285792699159668)</f>
        <v>0.8285792699</v>
      </c>
      <c r="V1325" s="82">
        <f>IFERROR(__xludf.DUMMYFUNCTION("""COMPUTED_VALUE"""),0.5474833581179305)</f>
        <v>0.5474833581</v>
      </c>
      <c r="W1325" s="82">
        <f>IFERROR(__xludf.DUMMYFUNCTION("""COMPUTED_VALUE"""),1.4128157763196982)</f>
        <v>1.412815776</v>
      </c>
      <c r="X1325" s="82">
        <f>IFERROR(__xludf.DUMMYFUNCTION("""COMPUTED_VALUE"""),2.856069940424492)</f>
        <v>2.85606994</v>
      </c>
      <c r="Y1325" s="82">
        <f>IFERROR(__xludf.DUMMYFUNCTION("""COMPUTED_VALUE"""),347.89127320775907)</f>
        <v>347.8912732</v>
      </c>
      <c r="Z1325" s="82">
        <f>IFERROR(__xludf.DUMMYFUNCTION("""COMPUTED_VALUE"""),0.6918217722182777)</f>
        <v>0.6918217722</v>
      </c>
      <c r="AA1325" s="82">
        <f>IFERROR(__xludf.DUMMYFUNCTION("""COMPUTED_VALUE"""),0.5224841398578141)</f>
        <v>0.5224841399</v>
      </c>
      <c r="AB1325" s="82">
        <f>IFERROR(__xludf.DUMMYFUNCTION("""COMPUTED_VALUE"""),1.4622831605701485)</f>
        <v>1.462283161</v>
      </c>
      <c r="AC1325" s="82">
        <f>IFERROR(__xludf.DUMMYFUNCTION("""COMPUTED_VALUE"""),2.5063842732855526)</f>
        <v>2.506384273</v>
      </c>
      <c r="AD1325" s="82">
        <f>IFERROR(__xludf.DUMMYFUNCTION("""COMPUTED_VALUE"""),0.8874899250939702)</f>
        <v>0.8874899251</v>
      </c>
      <c r="AE1325" s="82">
        <f>IFERROR(__xludf.DUMMYFUNCTION("""COMPUTED_VALUE"""),0.3613647474527907)</f>
        <v>0.3613647475</v>
      </c>
      <c r="AF1325" s="82">
        <f>IFERROR(__xludf.DUMMYFUNCTION("""COMPUTED_VALUE"""),1.4354502707088885)</f>
        <v>1.435450271</v>
      </c>
      <c r="AG1325" s="82">
        <f>IFERROR(__xludf.DUMMYFUNCTION("""COMPUTED_VALUE"""),1.1397701290746098)</f>
        <v>1.139770129</v>
      </c>
      <c r="AH1325" s="82">
        <f>IFERROR(__xludf.DUMMYFUNCTION("""COMPUTED_VALUE"""),0.7979622364044971)</f>
        <v>0.7979622364</v>
      </c>
      <c r="AI1325" s="82">
        <f>IFERROR(__xludf.DUMMYFUNCTION("""COMPUTED_VALUE"""),1.1293593392445984)</f>
        <v>1.129359339</v>
      </c>
      <c r="AJ1325" s="82">
        <f>IFERROR(__xludf.DUMMYFUNCTION("""COMPUTED_VALUE"""),1.3409834779281868)</f>
        <v>1.340983478</v>
      </c>
      <c r="AK1325" s="82">
        <f>IFERROR(__xludf.DUMMYFUNCTION("""COMPUTED_VALUE"""),1.623590700445397)</f>
        <v>1.6235907</v>
      </c>
      <c r="AL1325" s="82">
        <f>IFERROR(__xludf.DUMMYFUNCTION("""COMPUTED_VALUE"""),1.0027256847010866)</f>
        <v>1.002725685</v>
      </c>
      <c r="AM1325" s="82">
        <f>IFERROR(__xludf.DUMMYFUNCTION("""COMPUTED_VALUE"""),1.0795720684890036)</f>
        <v>1.079572068</v>
      </c>
      <c r="AN1325" s="82">
        <f>IFERROR(__xludf.DUMMYFUNCTION("""COMPUTED_VALUE"""),0.8942088054145632)</f>
        <v>0.8942088054</v>
      </c>
      <c r="AO1325" s="82">
        <f>IFERROR(__xludf.DUMMYFUNCTION("""COMPUTED_VALUE"""),0.33141256391418544)</f>
        <v>0.3314125639</v>
      </c>
      <c r="AP1325" s="82">
        <f>IFERROR(__xludf.DUMMYFUNCTION("""COMPUTED_VALUE"""),1.3908834917251487)</f>
        <v>1.390883492</v>
      </c>
      <c r="AQ1325" s="82">
        <f>IFERROR(__xludf.DUMMYFUNCTION("""COMPUTED_VALUE"""),1.2339796055773358)</f>
        <v>1.233979606</v>
      </c>
      <c r="AR1325" s="82">
        <f>IFERROR(__xludf.DUMMYFUNCTION("""COMPUTED_VALUE"""),0.7810420104144938)</f>
        <v>0.7810420104</v>
      </c>
      <c r="AS1325" s="82">
        <f>IFERROR(__xludf.DUMMYFUNCTION("""COMPUTED_VALUE"""),21.0)</f>
        <v>21</v>
      </c>
      <c r="AT1325" s="82">
        <f>IFERROR(__xludf.DUMMYFUNCTION("""COMPUTED_VALUE"""),0.26356476241854415)</f>
        <v>0.2635647624</v>
      </c>
      <c r="AU1325" s="82">
        <f>IFERROR(__xludf.DUMMYFUNCTION("""COMPUTED_VALUE"""),1.5293503798178876)</f>
        <v>1.52935038</v>
      </c>
      <c r="AV1325" s="82">
        <f>IFERROR(__xludf.DUMMYFUNCTION("""COMPUTED_VALUE"""),23.962111890710958)</f>
        <v>23.96211189</v>
      </c>
      <c r="AW1325" s="82">
        <f t="shared" si="1"/>
        <v>-6.719609304</v>
      </c>
      <c r="AX1325" s="83">
        <f t="array" ref="AX1325">IFERROR(DGET('SBV Import'!A:G,"SBV",{"RSC ID","Tier";B1325,A1325}))</f>
        <v>27.66094848</v>
      </c>
      <c r="AY1325" s="82">
        <f t="shared" si="2"/>
        <v>-5.382765015</v>
      </c>
      <c r="AZ1325" s="82">
        <v>1.336844289266236</v>
      </c>
      <c r="BA1325" s="84">
        <v>1200.0</v>
      </c>
      <c r="BB1325" s="84" t="b">
        <f>IFERROR(__xludf.DUMMYFUNCTION("iferror(if(A1325="""",,E1325&gt;=FILTER(Constants!$F$2:$F$10,Constants!$A$2:$A$10=A1325)))"),TRUE)</f>
        <v>1</v>
      </c>
    </row>
    <row r="1326">
      <c r="A1326" s="89" t="str">
        <f>IFERROR(__xludf.DUMMYFUNCTION("""COMPUTED_VALUE"""),"Veteran")</f>
        <v>Veteran</v>
      </c>
      <c r="B1326" s="87" t="str">
        <f>IFERROR(__xludf.DUMMYFUNCTION("""COMPUTED_VALUE"""),"RSC003887")</f>
        <v>RSC003887</v>
      </c>
      <c r="C1326" s="73" t="str">
        <f>IFERROR(__xludf.DUMMYFUNCTION("""COMPUTED_VALUE"""),"Cundy")</f>
        <v>Cundy</v>
      </c>
      <c r="D1326" s="73" t="str">
        <f>IFERROR(__xludf.DUMMYFUNCTION("""COMPUTED_VALUE"""),"Possessed")</f>
        <v>Possessed</v>
      </c>
      <c r="E1326" s="82">
        <f>IFERROR(__xludf.DUMMYFUNCTION("""COMPUTED_VALUE"""),29.0)</f>
        <v>29</v>
      </c>
      <c r="F1326" s="82">
        <f>IFERROR(__xludf.DUMMYFUNCTION("""COMPUTED_VALUE"""),9.0)</f>
        <v>9</v>
      </c>
      <c r="G1326" s="86">
        <f>IFERROR(__xludf.DUMMYFUNCTION("""COMPUTED_VALUE"""),20.0)</f>
        <v>20</v>
      </c>
      <c r="H1326" s="86">
        <f>IFERROR(__xludf.DUMMYFUNCTION("""COMPUTED_VALUE"""),0.3103448275862069)</f>
        <v>0.3103448276</v>
      </c>
      <c r="I1326" s="86">
        <f>IFERROR(__xludf.DUMMYFUNCTION("""COMPUTED_VALUE"""),0.16129032258064518)</f>
        <v>0.1612903226</v>
      </c>
      <c r="J1326" s="82">
        <f>IFERROR(__xludf.DUMMYFUNCTION("""COMPUTED_VALUE"""),273.82758620689657)</f>
        <v>273.8275862</v>
      </c>
      <c r="K1326" s="82">
        <f>IFERROR(__xludf.DUMMYFUNCTION("""COMPUTED_VALUE"""),0.3448275862068966)</f>
        <v>0.3448275862</v>
      </c>
      <c r="L1326" s="82">
        <f>IFERROR(__xludf.DUMMYFUNCTION("""COMPUTED_VALUE"""),0.6206896551724138)</f>
        <v>0.6206896552</v>
      </c>
      <c r="M1326" s="82">
        <f>IFERROR(__xludf.DUMMYFUNCTION("""COMPUTED_VALUE"""),0.9310344827586207)</f>
        <v>0.9310344828</v>
      </c>
      <c r="N1326" s="82">
        <f>IFERROR(__xludf.DUMMYFUNCTION("""COMPUTED_VALUE"""),2.1379310344827585)</f>
        <v>2.137931034</v>
      </c>
      <c r="O1326" s="82">
        <f>IFERROR(__xludf.DUMMYFUNCTION("""COMPUTED_VALUE"""),393.02298850574715)</f>
        <v>393.0229885</v>
      </c>
      <c r="P1326" s="82">
        <f>IFERROR(__xludf.DUMMYFUNCTION("""COMPUTED_VALUE"""),1.0114942528735633)</f>
        <v>1.011494253</v>
      </c>
      <c r="Q1326" s="82">
        <f>IFERROR(__xludf.DUMMYFUNCTION("""COMPUTED_VALUE"""),0.7931034482758621)</f>
        <v>0.7931034483</v>
      </c>
      <c r="R1326" s="82">
        <f>IFERROR(__xludf.DUMMYFUNCTION("""COMPUTED_VALUE"""),1.3908045977011496)</f>
        <v>1.390804598</v>
      </c>
      <c r="S1326" s="82">
        <f>IFERROR(__xludf.DUMMYFUNCTION("""COMPUTED_VALUE"""),2.632183908045977)</f>
        <v>2.632183908</v>
      </c>
      <c r="T1326" s="82">
        <f>IFERROR(__xludf.DUMMYFUNCTION("""COMPUTED_VALUE"""),352.86648401420166)</f>
        <v>352.866484</v>
      </c>
      <c r="U1326" s="82">
        <f>IFERROR(__xludf.DUMMYFUNCTION("""COMPUTED_VALUE"""),0.7664679644771345)</f>
        <v>0.7664679645</v>
      </c>
      <c r="V1326" s="82">
        <f>IFERROR(__xludf.DUMMYFUNCTION("""COMPUTED_VALUE"""),0.5484422230713215)</f>
        <v>0.5484422231</v>
      </c>
      <c r="W1326" s="82">
        <f>IFERROR(__xludf.DUMMYFUNCTION("""COMPUTED_VALUE"""),1.368391827450834)</f>
        <v>1.368391827</v>
      </c>
      <c r="X1326" s="82">
        <f>IFERROR(__xludf.DUMMYFUNCTION("""COMPUTED_VALUE"""),2.64420371043171)</f>
        <v>2.64420371</v>
      </c>
      <c r="Y1326" s="82">
        <f>IFERROR(__xludf.DUMMYFUNCTION("""COMPUTED_VALUE"""),341.36744994302944)</f>
        <v>341.3674499</v>
      </c>
      <c r="Z1326" s="82">
        <f>IFERROR(__xludf.DUMMYFUNCTION("""COMPUTED_VALUE"""),0.6926699078363072)</f>
        <v>0.6926699078</v>
      </c>
      <c r="AA1326" s="82">
        <f>IFERROR(__xludf.DUMMYFUNCTION("""COMPUTED_VALUE"""),0.5186663717175187)</f>
        <v>0.5186663717</v>
      </c>
      <c r="AB1326" s="82">
        <f>IFERROR(__xludf.DUMMYFUNCTION("""COMPUTED_VALUE"""),1.3498413502120354)</f>
        <v>1.34984135</v>
      </c>
      <c r="AC1326" s="82">
        <f>IFERROR(__xludf.DUMMYFUNCTION("""COMPUTED_VALUE"""),2.559231189787899)</f>
        <v>2.55923119</v>
      </c>
      <c r="AD1326" s="82">
        <f>IFERROR(__xludf.DUMMYFUNCTION("""COMPUTED_VALUE"""),0.8021490808587505)</f>
        <v>0.8021490809</v>
      </c>
      <c r="AE1326" s="82">
        <f>IFERROR(__xludf.DUMMYFUNCTION("""COMPUTED_VALUE"""),0.49782382965651617)</f>
        <v>0.4978238297</v>
      </c>
      <c r="AF1326" s="82">
        <f>IFERROR(__xludf.DUMMYFUNCTION("""COMPUTED_VALUE"""),1.1967031005250135)</f>
        <v>1.196703101</v>
      </c>
      <c r="AG1326" s="82">
        <f>IFERROR(__xludf.DUMMYFUNCTION("""COMPUTED_VALUE"""),0.6897362290852715)</f>
        <v>0.6897362291</v>
      </c>
      <c r="AH1326" s="82">
        <f>IFERROR(__xludf.DUMMYFUNCTION("""COMPUTED_VALUE"""),0.8353801887901903)</f>
        <v>0.8353801888</v>
      </c>
      <c r="AI1326" s="82">
        <f>IFERROR(__xludf.DUMMYFUNCTION("""COMPUTED_VALUE"""),1.1138008462428224)</f>
        <v>1.113800846</v>
      </c>
      <c r="AJ1326" s="82">
        <f>IFERROR(__xludf.DUMMYFUNCTION("""COMPUTED_VALUE"""),1.3196823608454133)</f>
        <v>1.319682361</v>
      </c>
      <c r="AK1326" s="82">
        <f>IFERROR(__xludf.DUMMYFUNCTION("""COMPUTED_VALUE"""),1.4461020959225526)</f>
        <v>1.446102096</v>
      </c>
      <c r="AL1326" s="82">
        <f>IFERROR(__xludf.DUMMYFUNCTION("""COMPUTED_VALUE"""),1.0163789126774223)</f>
        <v>1.016378913</v>
      </c>
      <c r="AM1326" s="82">
        <f>IFERROR(__xludf.DUMMYFUNCTION("""COMPUTED_VALUE"""),0.99545428276259)</f>
        <v>0.9954542828</v>
      </c>
      <c r="AN1326" s="82">
        <f>IFERROR(__xludf.DUMMYFUNCTION("""COMPUTED_VALUE"""),0.7930657125558617)</f>
        <v>0.7930657126</v>
      </c>
      <c r="AO1326" s="82">
        <f>IFERROR(__xludf.DUMMYFUNCTION("""COMPUTED_VALUE"""),0.45712077781266963)</f>
        <v>0.4571207778</v>
      </c>
      <c r="AP1326" s="82">
        <f>IFERROR(__xludf.DUMMYFUNCTION("""COMPUTED_VALUE"""),1.1510759931518473)</f>
        <v>1.151075993</v>
      </c>
      <c r="AQ1326" s="82">
        <f>IFERROR(__xludf.DUMMYFUNCTION("""COMPUTED_VALUE"""),0.6893265382880288)</f>
        <v>0.6893265383</v>
      </c>
      <c r="AR1326" s="82">
        <f>IFERROR(__xludf.DUMMYFUNCTION("""COMPUTED_VALUE"""),0.834906976649976)</f>
        <v>0.8349069766</v>
      </c>
      <c r="AS1326" s="82">
        <f>IFERROR(__xludf.DUMMYFUNCTION("""COMPUTED_VALUE"""),53.0)</f>
        <v>53</v>
      </c>
      <c r="AT1326" s="82">
        <f>IFERROR(__xludf.DUMMYFUNCTION("""COMPUTED_VALUE"""),0.3103900892171545)</f>
        <v>0.3103900892</v>
      </c>
      <c r="AU1326" s="82">
        <f>IFERROR(__xludf.DUMMYFUNCTION("""COMPUTED_VALUE"""),1.4815073649995725)</f>
        <v>1.481507365</v>
      </c>
      <c r="AV1326" s="82">
        <f>IFERROR(__xludf.DUMMYFUNCTION("""COMPUTED_VALUE"""),22.480122256275543)</f>
        <v>22.48012226</v>
      </c>
      <c r="AW1326" s="82">
        <f t="shared" si="1"/>
        <v>-7.38045942</v>
      </c>
      <c r="AX1326" s="83">
        <f t="array" ref="AX1326">IFERROR(DGET('SBV Import'!A:G,"SBV",{"RSC ID","Tier";B1326,A1326}))</f>
        <v>27.09717937</v>
      </c>
      <c r="AY1326" s="82">
        <f t="shared" si="2"/>
        <v>-5.561615837</v>
      </c>
      <c r="AZ1326" s="82">
        <v>1.8188435831543837</v>
      </c>
      <c r="BA1326" s="84">
        <v>1200.0</v>
      </c>
      <c r="BB1326" s="84" t="b">
        <f>IFERROR(__xludf.DUMMYFUNCTION("iferror(if(A1326="""",,E1326&gt;=FILTER(Constants!$F$2:$F$10,Constants!$A$2:$A$10=A1326)))"),TRUE)</f>
        <v>1</v>
      </c>
    </row>
    <row r="1327">
      <c r="A1327" s="89" t="str">
        <f>IFERROR(__xludf.DUMMYFUNCTION("""COMPUTED_VALUE"""),"Veteran")</f>
        <v>Veteran</v>
      </c>
      <c r="B1327" s="87" t="str">
        <f>IFERROR(__xludf.DUMMYFUNCTION("""COMPUTED_VALUE"""),"RSC007991")</f>
        <v>RSC007991</v>
      </c>
      <c r="C1327" s="73" t="str">
        <f>IFERROR(__xludf.DUMMYFUNCTION("""COMPUTED_VALUE"""),"TTV 50D Drew")</f>
        <v>TTV 50D Drew</v>
      </c>
      <c r="D1327" s="73" t="str">
        <f>IFERROR(__xludf.DUMMYFUNCTION("""COMPUTED_VALUE"""),"Dump Trucks")</f>
        <v>Dump Trucks</v>
      </c>
      <c r="E1327" s="82">
        <f>IFERROR(__xludf.DUMMYFUNCTION("""COMPUTED_VALUE"""),10.0)</f>
        <v>10</v>
      </c>
      <c r="F1327" s="82">
        <f>IFERROR(__xludf.DUMMYFUNCTION("""COMPUTED_VALUE"""),2.0)</f>
        <v>2</v>
      </c>
      <c r="G1327" s="86">
        <f>IFERROR(__xludf.DUMMYFUNCTION("""COMPUTED_VALUE"""),8.0)</f>
        <v>8</v>
      </c>
      <c r="H1327" s="86">
        <f>IFERROR(__xludf.DUMMYFUNCTION("""COMPUTED_VALUE"""),0.2)</f>
        <v>0.2</v>
      </c>
      <c r="I1327" s="86">
        <f>IFERROR(__xludf.DUMMYFUNCTION("""COMPUTED_VALUE"""),0.2727272727272727)</f>
        <v>0.2727272727</v>
      </c>
      <c r="J1327" s="82">
        <f>IFERROR(__xludf.DUMMYFUNCTION("""COMPUTED_VALUE"""),297.3)</f>
        <v>297.3</v>
      </c>
      <c r="K1327" s="82">
        <f>IFERROR(__xludf.DUMMYFUNCTION("""COMPUTED_VALUE"""),0.6)</f>
        <v>0.6</v>
      </c>
      <c r="L1327" s="82">
        <f>IFERROR(__xludf.DUMMYFUNCTION("""COMPUTED_VALUE"""),0.3)</f>
        <v>0.3</v>
      </c>
      <c r="M1327" s="82">
        <f>IFERROR(__xludf.DUMMYFUNCTION("""COMPUTED_VALUE"""),1.4)</f>
        <v>1.4</v>
      </c>
      <c r="N1327" s="82">
        <f>IFERROR(__xludf.DUMMYFUNCTION("""COMPUTED_VALUE"""),2.2)</f>
        <v>2.2</v>
      </c>
      <c r="O1327" s="82">
        <f>IFERROR(__xludf.DUMMYFUNCTION("""COMPUTED_VALUE"""),373.6)</f>
        <v>373.6</v>
      </c>
      <c r="P1327" s="82">
        <f>IFERROR(__xludf.DUMMYFUNCTION("""COMPUTED_VALUE"""),0.9666666666666668)</f>
        <v>0.9666666667</v>
      </c>
      <c r="Q1327" s="82">
        <f>IFERROR(__xludf.DUMMYFUNCTION("""COMPUTED_VALUE"""),0.6333333333333333)</f>
        <v>0.6333333333</v>
      </c>
      <c r="R1327" s="82">
        <f>IFERROR(__xludf.DUMMYFUNCTION("""COMPUTED_VALUE"""),1.3666666666666667)</f>
        <v>1.366666667</v>
      </c>
      <c r="S1327" s="82">
        <f>IFERROR(__xludf.DUMMYFUNCTION("""COMPUTED_VALUE"""),3.1999999999999997)</f>
        <v>3.2</v>
      </c>
      <c r="T1327" s="82">
        <f>IFERROR(__xludf.DUMMYFUNCTION("""COMPUTED_VALUE"""),361.9157816913582)</f>
        <v>361.9157817</v>
      </c>
      <c r="U1327" s="82">
        <f>IFERROR(__xludf.DUMMYFUNCTION("""COMPUTED_VALUE"""),0.8090807947770038)</f>
        <v>0.8090807948</v>
      </c>
      <c r="V1327" s="82">
        <f>IFERROR(__xludf.DUMMYFUNCTION("""COMPUTED_VALUE"""),0.5605021538769785)</f>
        <v>0.5605021539</v>
      </c>
      <c r="W1327" s="82">
        <f>IFERROR(__xludf.DUMMYFUNCTION("""COMPUTED_VALUE"""),1.342705626663943)</f>
        <v>1.342705627</v>
      </c>
      <c r="X1327" s="82">
        <f>IFERROR(__xludf.DUMMYFUNCTION("""COMPUTED_VALUE"""),2.8187684449656443)</f>
        <v>2.818768445</v>
      </c>
      <c r="Y1327" s="82">
        <f>IFERROR(__xludf.DUMMYFUNCTION("""COMPUTED_VALUE"""),358.0909260803433)</f>
        <v>358.0909261</v>
      </c>
      <c r="Z1327" s="82">
        <f>IFERROR(__xludf.DUMMYFUNCTION("""COMPUTED_VALUE"""),0.7699499442133095)</f>
        <v>0.7699499442</v>
      </c>
      <c r="AA1327" s="82">
        <f>IFERROR(__xludf.DUMMYFUNCTION("""COMPUTED_VALUE"""),0.5614320460925526)</f>
        <v>0.5614320461</v>
      </c>
      <c r="AB1327" s="82">
        <f>IFERROR(__xludf.DUMMYFUNCTION("""COMPUTED_VALUE"""),1.4239851509405383)</f>
        <v>1.423985151</v>
      </c>
      <c r="AC1327" s="82">
        <f>IFERROR(__xludf.DUMMYFUNCTION("""COMPUTED_VALUE"""),2.6251939569656764)</f>
        <v>2.625193957</v>
      </c>
      <c r="AD1327" s="82">
        <f>IFERROR(__xludf.DUMMYFUNCTION("""COMPUTED_VALUE"""),0.8302360611430185)</f>
        <v>0.8302360611</v>
      </c>
      <c r="AE1327" s="82">
        <f>IFERROR(__xludf.DUMMYFUNCTION("""COMPUTED_VALUE"""),0.779271437720598)</f>
        <v>0.7792714377</v>
      </c>
      <c r="AF1327" s="82">
        <f>IFERROR(__xludf.DUMMYFUNCTION("""COMPUTED_VALUE"""),0.5343478379760045)</f>
        <v>0.534347838</v>
      </c>
      <c r="AG1327" s="82">
        <f>IFERROR(__xludf.DUMMYFUNCTION("""COMPUTED_VALUE"""),0.9831563194850057)</f>
        <v>0.9831563195</v>
      </c>
      <c r="AH1327" s="82">
        <f>IFERROR(__xludf.DUMMYFUNCTION("""COMPUTED_VALUE"""),0.8380333171812053)</f>
        <v>0.8380333172</v>
      </c>
      <c r="AI1327" s="82">
        <f>IFERROR(__xludf.DUMMYFUNCTION("""COMPUTED_VALUE"""),1.0322843570237181)</f>
        <v>1.032284357</v>
      </c>
      <c r="AJ1327" s="82">
        <f>IFERROR(__xludf.DUMMYFUNCTION("""COMPUTED_VALUE"""),1.1947714899512556)</f>
        <v>1.19477149</v>
      </c>
      <c r="AK1327" s="82">
        <f>IFERROR(__xludf.DUMMYFUNCTION("""COMPUTED_VALUE"""),1.129939160719693)</f>
        <v>1.129939161</v>
      </c>
      <c r="AL1327" s="82">
        <f>IFERROR(__xludf.DUMMYFUNCTION("""COMPUTED_VALUE"""),1.017845341172999)</f>
        <v>1.017845341</v>
      </c>
      <c r="AM1327" s="82">
        <f>IFERROR(__xludf.DUMMYFUNCTION("""COMPUTED_VALUE"""),1.1352475602298018)</f>
        <v>1.13524756</v>
      </c>
      <c r="AN1327" s="82">
        <f>IFERROR(__xludf.DUMMYFUNCTION("""COMPUTED_VALUE"""),0.8610470537643713)</f>
        <v>0.8610470538</v>
      </c>
      <c r="AO1327" s="82">
        <f>IFERROR(__xludf.DUMMYFUNCTION("""COMPUTED_VALUE"""),0.7953901533940451)</f>
        <v>0.7953901534</v>
      </c>
      <c r="AP1327" s="82">
        <f>IFERROR(__xludf.DUMMYFUNCTION("""COMPUTED_VALUE"""),0.5563533966900595)</f>
        <v>0.5563533967</v>
      </c>
      <c r="AQ1327" s="82">
        <f>IFERROR(__xludf.DUMMYFUNCTION("""COMPUTED_VALUE"""),1.0365428686849618)</f>
        <v>1.036542869</v>
      </c>
      <c r="AR1327" s="82">
        <f>IFERROR(__xludf.DUMMYFUNCTION("""COMPUTED_VALUE"""),0.8591462114559433)</f>
        <v>0.8591462115</v>
      </c>
      <c r="AS1327" s="82">
        <f>IFERROR(__xludf.DUMMYFUNCTION("""COMPUTED_VALUE"""),14.0)</f>
        <v>14</v>
      </c>
      <c r="AT1327" s="82">
        <f>IFERROR(__xludf.DUMMYFUNCTION("""COMPUTED_VALUE"""),0.24846322231185392)</f>
        <v>0.2484632223</v>
      </c>
      <c r="AU1327" s="82">
        <f>IFERROR(__xludf.DUMMYFUNCTION("""COMPUTED_VALUE"""),1.439150488902738)</f>
        <v>1.439150489</v>
      </c>
      <c r="AV1327" s="82">
        <f>IFERROR(__xludf.DUMMYFUNCTION("""COMPUTED_VALUE"""),21.16807176027412)</f>
        <v>21.16807176</v>
      </c>
      <c r="AW1327" s="82">
        <f t="shared" si="1"/>
        <v>-8.03869331</v>
      </c>
      <c r="AX1327" s="83">
        <f t="array" ref="AX1327">IFERROR(DGET('SBV Import'!A:G,"SBV",{"RSC ID","Tier";B1327,A1327}))</f>
        <v>22.33846248</v>
      </c>
      <c r="AY1327" s="82">
        <f t="shared" si="2"/>
        <v>-7.448045632</v>
      </c>
      <c r="AZ1327" s="82">
        <v>0.5906476779400709</v>
      </c>
      <c r="BA1327" s="84">
        <v>1200.0</v>
      </c>
      <c r="BB1327" s="84" t="b">
        <f>IFERROR(__xludf.DUMMYFUNCTION("iferror(if(A1327="""",,E1327&gt;=FILTER(Constants!$F$2:$F$10,Constants!$A$2:$A$10=A1327)))"),TRUE)</f>
        <v>1</v>
      </c>
    </row>
    <row r="1328">
      <c r="A1328" s="89" t="str">
        <f>IFERROR(__xludf.DUMMYFUNCTION("""COMPUTED_VALUE"""),"Veteran")</f>
        <v>Veteran</v>
      </c>
      <c r="B1328" s="87" t="str">
        <f>IFERROR(__xludf.DUMMYFUNCTION("""COMPUTED_VALUE"""),"RSC007187")</f>
        <v>RSC007187</v>
      </c>
      <c r="C1328" s="73" t="str">
        <f>IFERROR(__xludf.DUMMYFUNCTION("""COMPUTED_VALUE"""),"Evil Gooby")</f>
        <v>Evil Gooby</v>
      </c>
      <c r="D1328" s="73" t="str">
        <f>IFERROR(__xludf.DUMMYFUNCTION("""COMPUTED_VALUE"""),"Mellow Fellows")</f>
        <v>Mellow Fellows</v>
      </c>
      <c r="E1328" s="82">
        <f>IFERROR(__xludf.DUMMYFUNCTION("""COMPUTED_VALUE"""),36.0)</f>
        <v>36</v>
      </c>
      <c r="F1328" s="82">
        <f>IFERROR(__xludf.DUMMYFUNCTION("""COMPUTED_VALUE"""),14.0)</f>
        <v>14</v>
      </c>
      <c r="G1328" s="86">
        <f>IFERROR(__xludf.DUMMYFUNCTION("""COMPUTED_VALUE"""),22.0)</f>
        <v>22</v>
      </c>
      <c r="H1328" s="86">
        <f>IFERROR(__xludf.DUMMYFUNCTION("""COMPUTED_VALUE"""),0.3888888888888889)</f>
        <v>0.3888888889</v>
      </c>
      <c r="I1328" s="86">
        <f>IFERROR(__xludf.DUMMYFUNCTION("""COMPUTED_VALUE"""),0.2676056338028169)</f>
        <v>0.2676056338</v>
      </c>
      <c r="J1328" s="82">
        <f>IFERROR(__xludf.DUMMYFUNCTION("""COMPUTED_VALUE"""),308.6111111111111)</f>
        <v>308.6111111</v>
      </c>
      <c r="K1328" s="82">
        <f>IFERROR(__xludf.DUMMYFUNCTION("""COMPUTED_VALUE"""),0.5277777777777778)</f>
        <v>0.5277777778</v>
      </c>
      <c r="L1328" s="82">
        <f>IFERROR(__xludf.DUMMYFUNCTION("""COMPUTED_VALUE"""),0.2777777777777778)</f>
        <v>0.2777777778</v>
      </c>
      <c r="M1328" s="82">
        <f>IFERROR(__xludf.DUMMYFUNCTION("""COMPUTED_VALUE"""),1.5555555555555556)</f>
        <v>1.555555556</v>
      </c>
      <c r="N1328" s="82">
        <f>IFERROR(__xludf.DUMMYFUNCTION("""COMPUTED_VALUE"""),1.9722222222222223)</f>
        <v>1.972222222</v>
      </c>
      <c r="O1328" s="82">
        <f>IFERROR(__xludf.DUMMYFUNCTION("""COMPUTED_VALUE"""),349.324074074074)</f>
        <v>349.3240741</v>
      </c>
      <c r="P1328" s="82">
        <f>IFERROR(__xludf.DUMMYFUNCTION("""COMPUTED_VALUE"""),0.7592592592592594)</f>
        <v>0.7592592593</v>
      </c>
      <c r="Q1328" s="82">
        <f>IFERROR(__xludf.DUMMYFUNCTION("""COMPUTED_VALUE"""),0.537037037037037)</f>
        <v>0.537037037</v>
      </c>
      <c r="R1328" s="82">
        <f>IFERROR(__xludf.DUMMYFUNCTION("""COMPUTED_VALUE"""),1.4166666666666665)</f>
        <v>1.416666667</v>
      </c>
      <c r="S1328" s="82">
        <f>IFERROR(__xludf.DUMMYFUNCTION("""COMPUTED_VALUE"""),2.7129629629629637)</f>
        <v>2.712962963</v>
      </c>
      <c r="T1328" s="82">
        <f>IFERROR(__xludf.DUMMYFUNCTION("""COMPUTED_VALUE"""),338.0814465497977)</f>
        <v>338.0814465</v>
      </c>
      <c r="U1328" s="82">
        <f>IFERROR(__xludf.DUMMYFUNCTION("""COMPUTED_VALUE"""),0.7102969867242348)</f>
        <v>0.7102969867</v>
      </c>
      <c r="V1328" s="82">
        <f>IFERROR(__xludf.DUMMYFUNCTION("""COMPUTED_VALUE"""),0.547005816303956)</f>
        <v>0.5470058163</v>
      </c>
      <c r="W1328" s="82">
        <f>IFERROR(__xludf.DUMMYFUNCTION("""COMPUTED_VALUE"""),1.2917926042256005)</f>
        <v>1.291792604</v>
      </c>
      <c r="X1328" s="82">
        <f>IFERROR(__xludf.DUMMYFUNCTION("""COMPUTED_VALUE"""),2.58639410996994)</f>
        <v>2.58639411</v>
      </c>
      <c r="Y1328" s="82">
        <f>IFERROR(__xludf.DUMMYFUNCTION("""COMPUTED_VALUE"""),348.2561267932117)</f>
        <v>348.2561268</v>
      </c>
      <c r="Z1328" s="82">
        <f>IFERROR(__xludf.DUMMYFUNCTION("""COMPUTED_VALUE"""),0.7429287373390756)</f>
        <v>0.7429287373</v>
      </c>
      <c r="AA1328" s="82">
        <f>IFERROR(__xludf.DUMMYFUNCTION("""COMPUTED_VALUE"""),0.5547285605429182)</f>
        <v>0.5547285605</v>
      </c>
      <c r="AB1328" s="82">
        <f>IFERROR(__xludf.DUMMYFUNCTION("""COMPUTED_VALUE"""),1.3721900717081992)</f>
        <v>1.372190072</v>
      </c>
      <c r="AC1328" s="82">
        <f>IFERROR(__xludf.DUMMYFUNCTION("""COMPUTED_VALUE"""),2.521510569583101)</f>
        <v>2.52151057</v>
      </c>
      <c r="AD1328" s="82">
        <f>IFERROR(__xludf.DUMMYFUNCTION("""COMPUTED_VALUE"""),0.8861613260126759)</f>
        <v>0.886161326</v>
      </c>
      <c r="AE1328" s="82">
        <f>IFERROR(__xludf.DUMMYFUNCTION("""COMPUTED_VALUE"""),0.7104016189602556)</f>
        <v>0.710401619</v>
      </c>
      <c r="AF1328" s="82">
        <f>IFERROR(__xludf.DUMMYFUNCTION("""COMPUTED_VALUE"""),0.5007454051147358)</f>
        <v>0.5007454051</v>
      </c>
      <c r="AG1328" s="82">
        <f>IFERROR(__xludf.DUMMYFUNCTION("""COMPUTED_VALUE"""),1.1336297992734272)</f>
        <v>1.133629799</v>
      </c>
      <c r="AH1328" s="82">
        <f>IFERROR(__xludf.DUMMYFUNCTION("""COMPUTED_VALUE"""),0.7821590145260837)</f>
        <v>0.7821590145</v>
      </c>
      <c r="AI1328" s="82">
        <f>IFERROR(__xludf.DUMMYFUNCTION("""COMPUTED_VALUE"""),1.033254198474983)</f>
        <v>1.033254198</v>
      </c>
      <c r="AJ1328" s="82">
        <f>IFERROR(__xludf.DUMMYFUNCTION("""COMPUTED_VALUE"""),1.068932113538634)</f>
        <v>1.068932114</v>
      </c>
      <c r="AK1328" s="82">
        <f>IFERROR(__xludf.DUMMYFUNCTION("""COMPUTED_VALUE"""),0.9817757344258665)</f>
        <v>0.9817757344</v>
      </c>
      <c r="AL1328" s="82">
        <f>IFERROR(__xludf.DUMMYFUNCTION("""COMPUTED_VALUE"""),1.0966672684396774)</f>
        <v>1.096667268</v>
      </c>
      <c r="AM1328" s="82">
        <f>IFERROR(__xludf.DUMMYFUNCTION("""COMPUTED_VALUE"""),1.0489364140233426)</f>
        <v>1.048936414</v>
      </c>
      <c r="AN1328" s="82">
        <f>IFERROR(__xludf.DUMMYFUNCTION("""COMPUTED_VALUE"""),0.8938065522407374)</f>
        <v>0.8938065522</v>
      </c>
      <c r="AO1328" s="82">
        <f>IFERROR(__xludf.DUMMYFUNCTION("""COMPUTED_VALUE"""),0.6996487460410582)</f>
        <v>0.699648746</v>
      </c>
      <c r="AP1328" s="82">
        <f>IFERROR(__xludf.DUMMYFUNCTION("""COMPUTED_VALUE"""),0.5151420339722773)</f>
        <v>0.515142034</v>
      </c>
      <c r="AQ1328" s="82">
        <f>IFERROR(__xludf.DUMMYFUNCTION("""COMPUTED_VALUE"""),1.1517142985388467)</f>
        <v>1.151714299</v>
      </c>
      <c r="AR1328" s="82">
        <f>IFERROR(__xludf.DUMMYFUNCTION("""COMPUTED_VALUE"""),0.7701942047142926)</f>
        <v>0.7701942047</v>
      </c>
      <c r="AS1328" s="82">
        <f>IFERROR(__xludf.DUMMYFUNCTION("""COMPUTED_VALUE"""),68.0)</f>
        <v>68</v>
      </c>
      <c r="AT1328" s="82">
        <f>IFERROR(__xludf.DUMMYFUNCTION("""COMPUTED_VALUE"""),0.4299694241264085)</f>
        <v>0.4299694241</v>
      </c>
      <c r="AU1328" s="82">
        <f>IFERROR(__xludf.DUMMYFUNCTION("""COMPUTED_VALUE"""),1.4154345906762063)</f>
        <v>1.415434591</v>
      </c>
      <c r="AV1328" s="82">
        <f>IFERROR(__xludf.DUMMYFUNCTION("""COMPUTED_VALUE"""),20.43344591203869)</f>
        <v>20.43344591</v>
      </c>
      <c r="AW1328" s="82">
        <f t="shared" si="1"/>
        <v>-8.440846321</v>
      </c>
      <c r="AX1328" s="83">
        <f t="array" ref="AX1328">IFERROR(DGET('SBV Import'!A:G,"SBV",{"RSC ID","Tier";B1328,A1328}))</f>
        <v>23.5814511</v>
      </c>
      <c r="AY1328" s="82">
        <f t="shared" si="2"/>
        <v>-6.881616927</v>
      </c>
      <c r="AZ1328" s="82">
        <v>1.559229393414788</v>
      </c>
      <c r="BA1328" s="84">
        <v>1200.0</v>
      </c>
      <c r="BB1328" s="84" t="b">
        <f>IFERROR(__xludf.DUMMYFUNCTION("iferror(if(A1328="""",,E1328&gt;=FILTER(Constants!$F$2:$F$10,Constants!$A$2:$A$10=A1328)))"),TRUE)</f>
        <v>1</v>
      </c>
    </row>
    <row r="1329">
      <c r="A1329" s="89" t="str">
        <f>IFERROR(__xludf.DUMMYFUNCTION("""COMPUTED_VALUE"""),"Veteran")</f>
        <v>Veteran</v>
      </c>
      <c r="B1329" s="87" t="str">
        <f>IFERROR(__xludf.DUMMYFUNCTION("""COMPUTED_VALUE"""),"RSC003250")</f>
        <v>RSC003250</v>
      </c>
      <c r="C1329" s="73" t="str">
        <f>IFERROR(__xludf.DUMMYFUNCTION("""COMPUTED_VALUE"""),"Chefty")</f>
        <v>Chefty</v>
      </c>
      <c r="D1329" s="73" t="str">
        <f>IFERROR(__xludf.DUMMYFUNCTION("""COMPUTED_VALUE"""),"Werewolves")</f>
        <v>Werewolves</v>
      </c>
      <c r="E1329" s="82">
        <f>IFERROR(__xludf.DUMMYFUNCTION("""COMPUTED_VALUE"""),35.0)</f>
        <v>35</v>
      </c>
      <c r="F1329" s="82">
        <f>IFERROR(__xludf.DUMMYFUNCTION("""COMPUTED_VALUE"""),14.0)</f>
        <v>14</v>
      </c>
      <c r="G1329" s="86">
        <f>IFERROR(__xludf.DUMMYFUNCTION("""COMPUTED_VALUE"""),21.0)</f>
        <v>21</v>
      </c>
      <c r="H1329" s="86">
        <f>IFERROR(__xludf.DUMMYFUNCTION("""COMPUTED_VALUE"""),0.4)</f>
        <v>0.4</v>
      </c>
      <c r="I1329" s="86">
        <f>IFERROR(__xludf.DUMMYFUNCTION("""COMPUTED_VALUE"""),0.21333333333333332)</f>
        <v>0.2133333333</v>
      </c>
      <c r="J1329" s="82">
        <f>IFERROR(__xludf.DUMMYFUNCTION("""COMPUTED_VALUE"""),311.6857142857143)</f>
        <v>311.6857143</v>
      </c>
      <c r="K1329" s="82">
        <f>IFERROR(__xludf.DUMMYFUNCTION("""COMPUTED_VALUE"""),0.45714285714285713)</f>
        <v>0.4571428571</v>
      </c>
      <c r="L1329" s="82">
        <f>IFERROR(__xludf.DUMMYFUNCTION("""COMPUTED_VALUE"""),0.45714285714285713)</f>
        <v>0.4571428571</v>
      </c>
      <c r="M1329" s="82">
        <f>IFERROR(__xludf.DUMMYFUNCTION("""COMPUTED_VALUE"""),1.4285714285714286)</f>
        <v>1.428571429</v>
      </c>
      <c r="N1329" s="82">
        <f>IFERROR(__xludf.DUMMYFUNCTION("""COMPUTED_VALUE"""),2.142857142857143)</f>
        <v>2.142857143</v>
      </c>
      <c r="O1329" s="82">
        <f>IFERROR(__xludf.DUMMYFUNCTION("""COMPUTED_VALUE"""),408.48571428571427)</f>
        <v>408.4857143</v>
      </c>
      <c r="P1329" s="82">
        <f>IFERROR(__xludf.DUMMYFUNCTION("""COMPUTED_VALUE"""),1.076190476190476)</f>
        <v>1.076190476</v>
      </c>
      <c r="Q1329" s="82">
        <f>IFERROR(__xludf.DUMMYFUNCTION("""COMPUTED_VALUE"""),0.7523809523809526)</f>
        <v>0.7523809524</v>
      </c>
      <c r="R1329" s="82">
        <f>IFERROR(__xludf.DUMMYFUNCTION("""COMPUTED_VALUE"""),1.5142857142857142)</f>
        <v>1.514285714</v>
      </c>
      <c r="S1329" s="82">
        <f>IFERROR(__xludf.DUMMYFUNCTION("""COMPUTED_VALUE"""),2.9619047619047616)</f>
        <v>2.961904762</v>
      </c>
      <c r="T1329" s="82">
        <f>IFERROR(__xludf.DUMMYFUNCTION("""COMPUTED_VALUE"""),359.832687294449)</f>
        <v>359.8326873</v>
      </c>
      <c r="U1329" s="82">
        <f>IFERROR(__xludf.DUMMYFUNCTION("""COMPUTED_VALUE"""),0.845946079563581)</f>
        <v>0.8459460796</v>
      </c>
      <c r="V1329" s="82">
        <f>IFERROR(__xludf.DUMMYFUNCTION("""COMPUTED_VALUE"""),0.6167511407271584)</f>
        <v>0.6167511407</v>
      </c>
      <c r="W1329" s="82">
        <f>IFERROR(__xludf.DUMMYFUNCTION("""COMPUTED_VALUE"""),1.344673342994926)</f>
        <v>1.344673343</v>
      </c>
      <c r="X1329" s="82">
        <f>IFERROR(__xludf.DUMMYFUNCTION("""COMPUTED_VALUE"""),2.692064063061275)</f>
        <v>2.692064063</v>
      </c>
      <c r="Y1329" s="82">
        <f>IFERROR(__xludf.DUMMYFUNCTION("""COMPUTED_VALUE"""),358.66895896545947)</f>
        <v>358.668959</v>
      </c>
      <c r="Z1329" s="82">
        <f>IFERROR(__xludf.DUMMYFUNCTION("""COMPUTED_VALUE"""),0.8158345309721087)</f>
        <v>0.815834531</v>
      </c>
      <c r="AA1329" s="82">
        <f>IFERROR(__xludf.DUMMYFUNCTION("""COMPUTED_VALUE"""),0.5911452142939682)</f>
        <v>0.5911452143</v>
      </c>
      <c r="AB1329" s="82">
        <f>IFERROR(__xludf.DUMMYFUNCTION("""COMPUTED_VALUE"""),1.3639608119121112)</f>
        <v>1.363960812</v>
      </c>
      <c r="AC1329" s="82">
        <f>IFERROR(__xludf.DUMMYFUNCTION("""COMPUTED_VALUE"""),2.6270347740601534)</f>
        <v>2.627034774</v>
      </c>
      <c r="AD1329" s="82">
        <f>IFERROR(__xludf.DUMMYFUNCTION("""COMPUTED_VALUE"""),0.8690066605840018)</f>
        <v>0.8690066606</v>
      </c>
      <c r="AE1329" s="82">
        <f>IFERROR(__xludf.DUMMYFUNCTION("""COMPUTED_VALUE"""),0.5603377152939922)</f>
        <v>0.5603377153</v>
      </c>
      <c r="AF1329" s="82">
        <f>IFERROR(__xludf.DUMMYFUNCTION("""COMPUTED_VALUE"""),0.7733173610968733)</f>
        <v>0.7733173611</v>
      </c>
      <c r="AG1329" s="82">
        <f>IFERROR(__xludf.DUMMYFUNCTION("""COMPUTED_VALUE"""),1.0473698482354057)</f>
        <v>1.047369848</v>
      </c>
      <c r="AH1329" s="82">
        <f>IFERROR(__xludf.DUMMYFUNCTION("""COMPUTED_VALUE"""),0.8156942435692616)</f>
        <v>0.8156942436</v>
      </c>
      <c r="AI1329" s="82">
        <f>IFERROR(__xludf.DUMMYFUNCTION("""COMPUTED_VALUE"""),1.135210137125349)</f>
        <v>1.135210137</v>
      </c>
      <c r="AJ1329" s="82">
        <f>IFERROR(__xludf.DUMMYFUNCTION("""COMPUTED_VALUE"""),1.2721738443964143)</f>
        <v>1.272173844</v>
      </c>
      <c r="AK1329" s="82">
        <f>IFERROR(__xludf.DUMMYFUNCTION("""COMPUTED_VALUE"""),1.2199101107358872)</f>
        <v>1.219910111</v>
      </c>
      <c r="AL1329" s="82">
        <f>IFERROR(__xludf.DUMMYFUNCTION("""COMPUTED_VALUE"""),1.1261364867344055)</f>
        <v>1.126136487</v>
      </c>
      <c r="AM1329" s="82">
        <f>IFERROR(__xludf.DUMMYFUNCTION("""COMPUTED_VALUE"""),1.1002356156920863)</f>
        <v>1.100235616</v>
      </c>
      <c r="AN1329" s="82">
        <f>IFERROR(__xludf.DUMMYFUNCTION("""COMPUTED_VALUE"""),0.9027112882144565)</f>
        <v>0.9027112882</v>
      </c>
      <c r="AO1329" s="82">
        <f>IFERROR(__xludf.DUMMYFUNCTION("""COMPUTED_VALUE"""),0.6060115454430819)</f>
        <v>0.6060115454</v>
      </c>
      <c r="AP1329" s="82">
        <f>IFERROR(__xludf.DUMMYFUNCTION("""COMPUTED_VALUE"""),0.8477766044800906)</f>
        <v>0.8477766045</v>
      </c>
      <c r="AQ1329" s="82">
        <f>IFERROR(__xludf.DUMMYFUNCTION("""COMPUTED_VALUE"""),1.0576968047805735)</f>
        <v>1.057696805</v>
      </c>
      <c r="AR1329" s="82">
        <f>IFERROR(__xludf.DUMMYFUNCTION("""COMPUTED_VALUE"""),0.8368307254441005)</f>
        <v>0.8368307254</v>
      </c>
      <c r="AS1329" s="82">
        <f>IFERROR(__xludf.DUMMYFUNCTION("""COMPUTED_VALUE"""),82.0)</f>
        <v>82</v>
      </c>
      <c r="AT1329" s="82">
        <f>IFERROR(__xludf.DUMMYFUNCTION("""COMPUTED_VALUE"""),0.3716867763915645)</f>
        <v>0.3716867764</v>
      </c>
      <c r="AU1329" s="82">
        <f>IFERROR(__xludf.DUMMYFUNCTION("""COMPUTED_VALUE"""),1.4064854938130138)</f>
        <v>1.406485494</v>
      </c>
      <c r="AV1329" s="82">
        <f>IFERROR(__xludf.DUMMYFUNCTION("""COMPUTED_VALUE"""),20.156237863190302)</f>
        <v>20.15623786</v>
      </c>
      <c r="AW1329" s="82">
        <f t="shared" si="1"/>
        <v>-8.599354895</v>
      </c>
      <c r="AX1329" s="83">
        <f t="array" ref="AX1329">IFERROR(DGET('SBV Import'!A:G,"SBV",{"RSC ID","Tier";B1329,A1329}))</f>
        <v>19.9257799</v>
      </c>
      <c r="AY1329" s="82">
        <f t="shared" si="2"/>
        <v>-8.734067149</v>
      </c>
      <c r="AZ1329" s="82">
        <v>0.1347122543175221</v>
      </c>
      <c r="BA1329" s="84">
        <v>1200.0</v>
      </c>
      <c r="BB1329" s="84" t="b">
        <f>IFERROR(__xludf.DUMMYFUNCTION("iferror(if(A1329="""",,E1329&gt;=FILTER(Constants!$F$2:$F$10,Constants!$A$2:$A$10=A1329)))"),TRUE)</f>
        <v>1</v>
      </c>
    </row>
    <row r="1330">
      <c r="A1330" s="89" t="str">
        <f>IFERROR(__xludf.DUMMYFUNCTION("""COMPUTED_VALUE"""),"Veteran")</f>
        <v>Veteran</v>
      </c>
      <c r="B1330" s="87" t="str">
        <f>IFERROR(__xludf.DUMMYFUNCTION("""COMPUTED_VALUE"""),"RSC003104")</f>
        <v>RSC003104</v>
      </c>
      <c r="C1330" s="73" t="str">
        <f>IFERROR(__xludf.DUMMYFUNCTION("""COMPUTED_VALUE"""),"nizz")</f>
        <v>nizz</v>
      </c>
      <c r="D1330" s="73" t="str">
        <f>IFERROR(__xludf.DUMMYFUNCTION("""COMPUTED_VALUE"""),"Folks")</f>
        <v>Folks</v>
      </c>
      <c r="E1330" s="82">
        <f>IFERROR(__xludf.DUMMYFUNCTION("""COMPUTED_VALUE"""),21.0)</f>
        <v>21</v>
      </c>
      <c r="F1330" s="82">
        <f>IFERROR(__xludf.DUMMYFUNCTION("""COMPUTED_VALUE"""),8.0)</f>
        <v>8</v>
      </c>
      <c r="G1330" s="86">
        <f>IFERROR(__xludf.DUMMYFUNCTION("""COMPUTED_VALUE"""),13.0)</f>
        <v>13</v>
      </c>
      <c r="H1330" s="86">
        <f>IFERROR(__xludf.DUMMYFUNCTION("""COMPUTED_VALUE"""),0.38095238095238093)</f>
        <v>0.380952381</v>
      </c>
      <c r="I1330" s="86">
        <f>IFERROR(__xludf.DUMMYFUNCTION("""COMPUTED_VALUE"""),0.21276595744680848)</f>
        <v>0.2127659574</v>
      </c>
      <c r="J1330" s="82">
        <f>IFERROR(__xludf.DUMMYFUNCTION("""COMPUTED_VALUE"""),268.6666666666667)</f>
        <v>268.6666667</v>
      </c>
      <c r="K1330" s="82">
        <f>IFERROR(__xludf.DUMMYFUNCTION("""COMPUTED_VALUE"""),0.47619047619047616)</f>
        <v>0.4761904762</v>
      </c>
      <c r="L1330" s="82">
        <f>IFERROR(__xludf.DUMMYFUNCTION("""COMPUTED_VALUE"""),0.3333333333333333)</f>
        <v>0.3333333333</v>
      </c>
      <c r="M1330" s="82">
        <f>IFERROR(__xludf.DUMMYFUNCTION("""COMPUTED_VALUE"""),1.3333333333333333)</f>
        <v>1.333333333</v>
      </c>
      <c r="N1330" s="82">
        <f>IFERROR(__xludf.DUMMYFUNCTION("""COMPUTED_VALUE"""),2.238095238095238)</f>
        <v>2.238095238</v>
      </c>
      <c r="O1330" s="82">
        <f>IFERROR(__xludf.DUMMYFUNCTION("""COMPUTED_VALUE"""),345.99999999999994)</f>
        <v>346</v>
      </c>
      <c r="P1330" s="82">
        <f>IFERROR(__xludf.DUMMYFUNCTION("""COMPUTED_VALUE"""),0.7936507936507937)</f>
        <v>0.7936507937</v>
      </c>
      <c r="Q1330" s="82">
        <f>IFERROR(__xludf.DUMMYFUNCTION("""COMPUTED_VALUE"""),0.6507936507936508)</f>
        <v>0.6507936508</v>
      </c>
      <c r="R1330" s="82">
        <f>IFERROR(__xludf.DUMMYFUNCTION("""COMPUTED_VALUE"""),1.2539682539682542)</f>
        <v>1.253968254</v>
      </c>
      <c r="S1330" s="82">
        <f>IFERROR(__xludf.DUMMYFUNCTION("""COMPUTED_VALUE"""),2.619047619047619)</f>
        <v>2.619047619</v>
      </c>
      <c r="T1330" s="82">
        <f>IFERROR(__xludf.DUMMYFUNCTION("""COMPUTED_VALUE"""),357.925945230267)</f>
        <v>357.9259452</v>
      </c>
      <c r="U1330" s="82">
        <f>IFERROR(__xludf.DUMMYFUNCTION("""COMPUTED_VALUE"""),0.7811882103017913)</f>
        <v>0.7811882103</v>
      </c>
      <c r="V1330" s="82">
        <f>IFERROR(__xludf.DUMMYFUNCTION("""COMPUTED_VALUE"""),0.6162889306382724)</f>
        <v>0.6162889306</v>
      </c>
      <c r="W1330" s="82">
        <f>IFERROR(__xludf.DUMMYFUNCTION("""COMPUTED_VALUE"""),1.3584748018620492)</f>
        <v>1.358474802</v>
      </c>
      <c r="X1330" s="82">
        <f>IFERROR(__xludf.DUMMYFUNCTION("""COMPUTED_VALUE"""),2.6641469588952345)</f>
        <v>2.664146959</v>
      </c>
      <c r="Y1330" s="82">
        <f>IFERROR(__xludf.DUMMYFUNCTION("""COMPUTED_VALUE"""),349.8182511716314)</f>
        <v>349.8182512</v>
      </c>
      <c r="Z1330" s="82">
        <f>IFERROR(__xludf.DUMMYFUNCTION("""COMPUTED_VALUE"""),0.7647567700757614)</f>
        <v>0.7647567701</v>
      </c>
      <c r="AA1330" s="82">
        <f>IFERROR(__xludf.DUMMYFUNCTION("""COMPUTED_VALUE"""),0.5590321287150196)</f>
        <v>0.5590321287</v>
      </c>
      <c r="AB1330" s="82">
        <f>IFERROR(__xludf.DUMMYFUNCTION("""COMPUTED_VALUE"""),1.364319998960271)</f>
        <v>1.364319999</v>
      </c>
      <c r="AC1330" s="82">
        <f>IFERROR(__xludf.DUMMYFUNCTION("""COMPUTED_VALUE"""),2.592598323919795)</f>
        <v>2.592598324</v>
      </c>
      <c r="AD1330" s="82">
        <f>IFERROR(__xludf.DUMMYFUNCTION("""COMPUTED_VALUE"""),0.7680178657540961)</f>
        <v>0.7680178658</v>
      </c>
      <c r="AE1330" s="82">
        <f>IFERROR(__xludf.DUMMYFUNCTION("""COMPUTED_VALUE"""),0.6226691868884036)</f>
        <v>0.6226691869</v>
      </c>
      <c r="AF1330" s="82">
        <f>IFERROR(__xludf.DUMMYFUNCTION("""COMPUTED_VALUE"""),0.5962686511409047)</f>
        <v>0.5962686511</v>
      </c>
      <c r="AG1330" s="82">
        <f>IFERROR(__xludf.DUMMYFUNCTION("""COMPUTED_VALUE"""),0.977287831556708)</f>
        <v>0.9772878316</v>
      </c>
      <c r="AH1330" s="82">
        <f>IFERROR(__xludf.DUMMYFUNCTION("""COMPUTED_VALUE"""),0.863263397745094)</f>
        <v>0.8632633977</v>
      </c>
      <c r="AI1330" s="82">
        <f>IFERROR(__xludf.DUMMYFUNCTION("""COMPUTED_VALUE"""),0.9666804114393142)</f>
        <v>0.9666804114</v>
      </c>
      <c r="AJ1330" s="82">
        <f>IFERROR(__xludf.DUMMYFUNCTION("""COMPUTED_VALUE"""),1.0159533684516153)</f>
        <v>1.015953368</v>
      </c>
      <c r="AK1330" s="82">
        <f>IFERROR(__xludf.DUMMYFUNCTION("""COMPUTED_VALUE"""),1.0559878953523356)</f>
        <v>1.055987895</v>
      </c>
      <c r="AL1330" s="82">
        <f>IFERROR(__xludf.DUMMYFUNCTION("""COMPUTED_VALUE"""),0.9230706762094161)</f>
        <v>0.9230706762</v>
      </c>
      <c r="AM1330" s="82">
        <f>IFERROR(__xludf.DUMMYFUNCTION("""COMPUTED_VALUE"""),0.9830717522180844)</f>
        <v>0.9830717522</v>
      </c>
      <c r="AN1330" s="82">
        <f>IFERROR(__xludf.DUMMYFUNCTION("""COMPUTED_VALUE"""),0.7781185394484621)</f>
        <v>0.7781185394</v>
      </c>
      <c r="AO1330" s="82">
        <f>IFERROR(__xludf.DUMMYFUNCTION("""COMPUTED_VALUE"""),0.6312620265032103)</f>
        <v>0.6312620265</v>
      </c>
      <c r="AP1330" s="82">
        <f>IFERROR(__xludf.DUMMYFUNCTION("""COMPUTED_VALUE"""),0.6181704407667327)</f>
        <v>0.6181704408</v>
      </c>
      <c r="AQ1330" s="82">
        <f>IFERROR(__xludf.DUMMYFUNCTION("""COMPUTED_VALUE"""),0.9871836844618684)</f>
        <v>0.9871836845</v>
      </c>
      <c r="AR1330" s="82">
        <f>IFERROR(__xludf.DUMMYFUNCTION("""COMPUTED_VALUE"""),0.874023202130505)</f>
        <v>0.8740232021</v>
      </c>
      <c r="AS1330" s="82">
        <f>IFERROR(__xludf.DUMMYFUNCTION("""COMPUTED_VALUE"""),40.0)</f>
        <v>40</v>
      </c>
      <c r="AT1330" s="82">
        <f>IFERROR(__xludf.DUMMYFUNCTION("""COMPUTED_VALUE"""),0.4160950109431063)</f>
        <v>0.4160950109</v>
      </c>
      <c r="AU1330" s="82">
        <f>IFERROR(__xludf.DUMMYFUNCTION("""COMPUTED_VALUE"""),1.3950207797765923)</f>
        <v>1.39502078</v>
      </c>
      <c r="AV1330" s="82">
        <f>IFERROR(__xludf.DUMMYFUNCTION("""COMPUTED_VALUE"""),19.801105825038757)</f>
        <v>19.80110583</v>
      </c>
      <c r="AW1330" s="82">
        <f t="shared" si="1"/>
        <v>-8.808078604</v>
      </c>
      <c r="AX1330" s="83">
        <f t="array" ref="AX1330">IFERROR(DGET('SBV Import'!A:G,"SBV",{"RSC ID","Tier";B1330,A1330}))</f>
        <v>23.24593349</v>
      </c>
      <c r="AY1330" s="82">
        <f t="shared" si="2"/>
        <v>-7.02873809</v>
      </c>
      <c r="AZ1330" s="82">
        <v>1.7793405139585907</v>
      </c>
      <c r="BA1330" s="84">
        <v>1200.0</v>
      </c>
      <c r="BB1330" s="84" t="b">
        <f>IFERROR(__xludf.DUMMYFUNCTION("iferror(if(A1330="""",,E1330&gt;=FILTER(Constants!$F$2:$F$10,Constants!$A$2:$A$10=A1330)))"),TRUE)</f>
        <v>1</v>
      </c>
    </row>
    <row r="1331">
      <c r="A1331" s="89" t="str">
        <f>IFERROR(__xludf.DUMMYFUNCTION("""COMPUTED_VALUE"""),"Veteran")</f>
        <v>Veteran</v>
      </c>
      <c r="B1331" s="87" t="str">
        <f>IFERROR(__xludf.DUMMYFUNCTION("""COMPUTED_VALUE"""),"RSC007720")</f>
        <v>RSC007720</v>
      </c>
      <c r="C1331" s="73" t="str">
        <f>IFERROR(__xludf.DUMMYFUNCTION("""COMPUTED_VALUE"""),"trock")</f>
        <v>trock</v>
      </c>
      <c r="D1331" s="73"/>
      <c r="E1331" s="82">
        <f>IFERROR(__xludf.DUMMYFUNCTION("""COMPUTED_VALUE"""),4.0)</f>
        <v>4</v>
      </c>
      <c r="F1331" s="82">
        <f>IFERROR(__xludf.DUMMYFUNCTION("""COMPUTED_VALUE"""),2.0)</f>
        <v>2</v>
      </c>
      <c r="G1331" s="86">
        <f>IFERROR(__xludf.DUMMYFUNCTION("""COMPUTED_VALUE"""),2.0)</f>
        <v>2</v>
      </c>
      <c r="H1331" s="86">
        <f>IFERROR(__xludf.DUMMYFUNCTION("""COMPUTED_VALUE"""),0.5)</f>
        <v>0.5</v>
      </c>
      <c r="I1331" s="86">
        <f>IFERROR(__xludf.DUMMYFUNCTION("""COMPUTED_VALUE"""),0.16666666666666666)</f>
        <v>0.1666666667</v>
      </c>
      <c r="J1331" s="82">
        <f>IFERROR(__xludf.DUMMYFUNCTION("""COMPUTED_VALUE"""),255.5)</f>
        <v>255.5</v>
      </c>
      <c r="K1331" s="82">
        <f>IFERROR(__xludf.DUMMYFUNCTION("""COMPUTED_VALUE"""),0.25)</f>
        <v>0.25</v>
      </c>
      <c r="L1331" s="82">
        <f>IFERROR(__xludf.DUMMYFUNCTION("""COMPUTED_VALUE"""),0.5)</f>
        <v>0.5</v>
      </c>
      <c r="M1331" s="82">
        <f>IFERROR(__xludf.DUMMYFUNCTION("""COMPUTED_VALUE"""),1.5)</f>
        <v>1.5</v>
      </c>
      <c r="N1331" s="82">
        <f>IFERROR(__xludf.DUMMYFUNCTION("""COMPUTED_VALUE"""),1.5)</f>
        <v>1.5</v>
      </c>
      <c r="O1331" s="82">
        <f>IFERROR(__xludf.DUMMYFUNCTION("""COMPUTED_VALUE"""),400.8333333333333)</f>
        <v>400.8333333</v>
      </c>
      <c r="P1331" s="82">
        <f>IFERROR(__xludf.DUMMYFUNCTION("""COMPUTED_VALUE"""),0.9166666666666666)</f>
        <v>0.9166666667</v>
      </c>
      <c r="Q1331" s="82">
        <f>IFERROR(__xludf.DUMMYFUNCTION("""COMPUTED_VALUE"""),0.7499999999999999)</f>
        <v>0.75</v>
      </c>
      <c r="R1331" s="82">
        <f>IFERROR(__xludf.DUMMYFUNCTION("""COMPUTED_VALUE"""),1.4166666666666667)</f>
        <v>1.416666667</v>
      </c>
      <c r="S1331" s="82">
        <f>IFERROR(__xludf.DUMMYFUNCTION("""COMPUTED_VALUE"""),2.416666666666667)</f>
        <v>2.416666667</v>
      </c>
      <c r="T1331" s="82">
        <f>IFERROR(__xludf.DUMMYFUNCTION("""COMPUTED_VALUE"""),390.19444444444446)</f>
        <v>390.1944444</v>
      </c>
      <c r="U1331" s="82">
        <f>IFERROR(__xludf.DUMMYFUNCTION("""COMPUTED_VALUE"""),0.9444444444444443)</f>
        <v>0.9444444444</v>
      </c>
      <c r="V1331" s="82">
        <f>IFERROR(__xludf.DUMMYFUNCTION("""COMPUTED_VALUE"""),0.7592592592592592)</f>
        <v>0.7592592593</v>
      </c>
      <c r="W1331" s="82">
        <f>IFERROR(__xludf.DUMMYFUNCTION("""COMPUTED_VALUE"""),1.3518518518518519)</f>
        <v>1.351851852</v>
      </c>
      <c r="X1331" s="82">
        <f>IFERROR(__xludf.DUMMYFUNCTION("""COMPUTED_VALUE"""),3.074074074074074)</f>
        <v>3.074074074</v>
      </c>
      <c r="Y1331" s="82">
        <f>IFERROR(__xludf.DUMMYFUNCTION("""COMPUTED_VALUE"""),334.34259259259255)</f>
        <v>334.3425926</v>
      </c>
      <c r="Z1331" s="82">
        <f>IFERROR(__xludf.DUMMYFUNCTION("""COMPUTED_VALUE"""),0.6574074074074074)</f>
        <v>0.6574074074</v>
      </c>
      <c r="AA1331" s="82">
        <f>IFERROR(__xludf.DUMMYFUNCTION("""COMPUTED_VALUE"""),0.46296296296296297)</f>
        <v>0.462962963</v>
      </c>
      <c r="AB1331" s="82">
        <f>IFERROR(__xludf.DUMMYFUNCTION("""COMPUTED_VALUE"""),1.5092592592592589)</f>
        <v>1.509259259</v>
      </c>
      <c r="AC1331" s="82">
        <f>IFERROR(__xludf.DUMMYFUNCTION("""COMPUTED_VALUE"""),2.314814814814815)</f>
        <v>2.314814815</v>
      </c>
      <c r="AD1331" s="82">
        <f>IFERROR(__xludf.DUMMYFUNCTION("""COMPUTED_VALUE"""),0.7641862139632779)</f>
        <v>0.764186214</v>
      </c>
      <c r="AE1331" s="82">
        <f>IFERROR(__xludf.DUMMYFUNCTION("""COMPUTED_VALUE"""),0.38028169014084506)</f>
        <v>0.3802816901</v>
      </c>
      <c r="AF1331" s="82">
        <f>IFERROR(__xludf.DUMMYFUNCTION("""COMPUTED_VALUE"""),1.08)</f>
        <v>1.08</v>
      </c>
      <c r="AG1331" s="82">
        <f>IFERROR(__xludf.DUMMYFUNCTION("""COMPUTED_VALUE"""),0.9938650306748469)</f>
        <v>0.9938650307</v>
      </c>
      <c r="AH1331" s="82">
        <f>IFERROR(__xludf.DUMMYFUNCTION("""COMPUTED_VALUE"""),0.648)</f>
        <v>0.648</v>
      </c>
      <c r="AI1331" s="82">
        <f>IFERROR(__xludf.DUMMYFUNCTION("""COMPUTED_VALUE"""),1.0272656083149425)</f>
        <v>1.027265608</v>
      </c>
      <c r="AJ1331" s="82">
        <f>IFERROR(__xludf.DUMMYFUNCTION("""COMPUTED_VALUE"""),0.9705882352941178)</f>
        <v>0.9705882353</v>
      </c>
      <c r="AK1331" s="82">
        <f>IFERROR(__xludf.DUMMYFUNCTION("""COMPUTED_VALUE"""),0.9878048780487805)</f>
        <v>0.987804878</v>
      </c>
      <c r="AL1331" s="82">
        <f>IFERROR(__xludf.DUMMYFUNCTION("""COMPUTED_VALUE"""),1.047945205479452)</f>
        <v>1.047945205</v>
      </c>
      <c r="AM1331" s="82">
        <f>IFERROR(__xludf.DUMMYFUNCTION("""COMPUTED_VALUE"""),0.7861445783132531)</f>
        <v>0.7861445783</v>
      </c>
      <c r="AN1331" s="82">
        <f>IFERROR(__xludf.DUMMYFUNCTION("""COMPUTED_VALUE"""),0.7399849385697843)</f>
        <v>0.7399849386</v>
      </c>
      <c r="AO1331" s="82">
        <f>IFERROR(__xludf.DUMMYFUNCTION("""COMPUTED_VALUE"""),0.33141256391418544)</f>
        <v>0.3314125639</v>
      </c>
      <c r="AP1331" s="82">
        <f>IFERROR(__xludf.DUMMYFUNCTION("""COMPUTED_VALUE"""),0.9272556611500992)</f>
        <v>0.9272556612</v>
      </c>
      <c r="AQ1331" s="82">
        <f>IFERROR(__xludf.DUMMYFUNCTION("""COMPUTED_VALUE"""),1.110581645019602)</f>
        <v>1.110581645</v>
      </c>
      <c r="AR1331" s="82">
        <f>IFERROR(__xludf.DUMMYFUNCTION("""COMPUTED_VALUE"""),0.5857815078108703)</f>
        <v>0.5857815078</v>
      </c>
      <c r="AS1331" s="82">
        <f>IFERROR(__xludf.DUMMYFUNCTION("""COMPUTED_VALUE"""),9.0)</f>
        <v>9</v>
      </c>
      <c r="AT1331" s="82">
        <f>IFERROR(__xludf.DUMMYFUNCTION("""COMPUTED_VALUE"""),0.4210451229082831)</f>
        <v>0.4210451229</v>
      </c>
      <c r="AU1331" s="82">
        <f>IFERROR(__xludf.DUMMYFUNCTION("""COMPUTED_VALUE"""),1.327462589711482)</f>
        <v>1.32746259</v>
      </c>
      <c r="AV1331" s="82">
        <f>IFERROR(__xludf.DUMMYFUNCTION("""COMPUTED_VALUE"""),17.70841710594526)</f>
        <v>17.70841711</v>
      </c>
      <c r="AW1331" s="82">
        <f t="shared" si="1"/>
        <v>-10.17947603</v>
      </c>
      <c r="AX1331" s="83">
        <f t="array" ref="AX1331">IFERROR(DGET('SBV Import'!A:G,"SBV",{"RSC ID","Tier";B1331,A1331}))</f>
        <v>15.66195009</v>
      </c>
      <c r="AY1331" s="82">
        <f t="shared" si="2"/>
        <v>-11.79313929</v>
      </c>
      <c r="AZ1331" s="82">
        <v>1.613663260721328</v>
      </c>
      <c r="BA1331" s="84">
        <v>1200.0</v>
      </c>
      <c r="BB1331" s="84" t="b">
        <f>IFERROR(__xludf.DUMMYFUNCTION("iferror(if(A1331="""",,E1331&gt;=FILTER(Constants!$F$2:$F$10,Constants!$A$2:$A$10=A1331)))"),TRUE)</f>
        <v>1</v>
      </c>
    </row>
    <row r="1332">
      <c r="A1332" s="89" t="str">
        <f>IFERROR(__xludf.DUMMYFUNCTION("""COMPUTED_VALUE"""),"Veteran")</f>
        <v>Veteran</v>
      </c>
      <c r="B1332" s="87" t="str">
        <f>IFERROR(__xludf.DUMMYFUNCTION("""COMPUTED_VALUE"""),"RSC008028")</f>
        <v>RSC008028</v>
      </c>
      <c r="C1332" s="73" t="str">
        <f>IFERROR(__xludf.DUMMYFUNCTION("""COMPUTED_VALUE"""),"krozex.")</f>
        <v>krozex.</v>
      </c>
      <c r="D1332" s="73"/>
      <c r="E1332" s="82">
        <f>IFERROR(__xludf.DUMMYFUNCTION("""COMPUTED_VALUE"""),4.0)</f>
        <v>4</v>
      </c>
      <c r="F1332" s="82">
        <f>IFERROR(__xludf.DUMMYFUNCTION("""COMPUTED_VALUE"""),2.0)</f>
        <v>2</v>
      </c>
      <c r="G1332" s="86">
        <f>IFERROR(__xludf.DUMMYFUNCTION("""COMPUTED_VALUE"""),2.0)</f>
        <v>2</v>
      </c>
      <c r="H1332" s="86">
        <f>IFERROR(__xludf.DUMMYFUNCTION("""COMPUTED_VALUE"""),0.5)</f>
        <v>0.5</v>
      </c>
      <c r="I1332" s="86">
        <f>IFERROR(__xludf.DUMMYFUNCTION("""COMPUTED_VALUE"""),0.14285714285714285)</f>
        <v>0.1428571429</v>
      </c>
      <c r="J1332" s="82">
        <f>IFERROR(__xludf.DUMMYFUNCTION("""COMPUTED_VALUE"""),274.75)</f>
        <v>274.75</v>
      </c>
      <c r="K1332" s="82">
        <f>IFERROR(__xludf.DUMMYFUNCTION("""COMPUTED_VALUE"""),0.25)</f>
        <v>0.25</v>
      </c>
      <c r="L1332" s="82">
        <f>IFERROR(__xludf.DUMMYFUNCTION("""COMPUTED_VALUE"""),0.5)</f>
        <v>0.5</v>
      </c>
      <c r="M1332" s="82">
        <f>IFERROR(__xludf.DUMMYFUNCTION("""COMPUTED_VALUE"""),1.0)</f>
        <v>1</v>
      </c>
      <c r="N1332" s="82">
        <f>IFERROR(__xludf.DUMMYFUNCTION("""COMPUTED_VALUE"""),1.75)</f>
        <v>1.75</v>
      </c>
      <c r="O1332" s="82">
        <f>IFERROR(__xludf.DUMMYFUNCTION("""COMPUTED_VALUE"""),352.6666666666667)</f>
        <v>352.6666667</v>
      </c>
      <c r="P1332" s="82">
        <f>IFERROR(__xludf.DUMMYFUNCTION("""COMPUTED_VALUE"""),0.6666666666666666)</f>
        <v>0.6666666667</v>
      </c>
      <c r="Q1332" s="82">
        <f>IFERROR(__xludf.DUMMYFUNCTION("""COMPUTED_VALUE"""),0.49999999999999994)</f>
        <v>0.5</v>
      </c>
      <c r="R1332" s="82">
        <f>IFERROR(__xludf.DUMMYFUNCTION("""COMPUTED_VALUE"""),1.666666666666667)</f>
        <v>1.666666667</v>
      </c>
      <c r="S1332" s="82">
        <f>IFERROR(__xludf.DUMMYFUNCTION("""COMPUTED_VALUE"""),2.5)</f>
        <v>2.5</v>
      </c>
      <c r="T1332" s="82">
        <f>IFERROR(__xludf.DUMMYFUNCTION("""COMPUTED_VALUE"""),345.00982216708024)</f>
        <v>345.0098222</v>
      </c>
      <c r="U1332" s="82">
        <f>IFERROR(__xludf.DUMMYFUNCTION("""COMPUTED_VALUE"""),0.7756151778329198)</f>
        <v>0.7756151778</v>
      </c>
      <c r="V1332" s="82">
        <f>IFERROR(__xludf.DUMMYFUNCTION("""COMPUTED_VALUE"""),0.5602770885028949)</f>
        <v>0.5602770885</v>
      </c>
      <c r="W1332" s="82">
        <f>IFERROR(__xludf.DUMMYFUNCTION("""COMPUTED_VALUE"""),1.4053453267162945)</f>
        <v>1.405345327</v>
      </c>
      <c r="X1332" s="82">
        <f>IFERROR(__xludf.DUMMYFUNCTION("""COMPUTED_VALUE"""),2.5627843258891647)</f>
        <v>2.562784326</v>
      </c>
      <c r="Y1332" s="82">
        <f>IFERROR(__xludf.DUMMYFUNCTION("""COMPUTED_VALUE"""),342.3536669423766)</f>
        <v>342.3536669</v>
      </c>
      <c r="Z1332" s="82">
        <f>IFERROR(__xludf.DUMMYFUNCTION("""COMPUTED_VALUE"""),0.7875137854976564)</f>
        <v>0.7875137855</v>
      </c>
      <c r="AA1332" s="82">
        <f>IFERROR(__xludf.DUMMYFUNCTION("""COMPUTED_VALUE"""),0.5547715053763441)</f>
        <v>0.5547715054</v>
      </c>
      <c r="AB1332" s="82">
        <f>IFERROR(__xludf.DUMMYFUNCTION("""COMPUTED_VALUE"""),1.2917959057071957)</f>
        <v>1.291795906</v>
      </c>
      <c r="AC1332" s="82">
        <f>IFERROR(__xludf.DUMMYFUNCTION("""COMPUTED_VALUE"""),2.557571684587814)</f>
        <v>2.557571685</v>
      </c>
      <c r="AD1332" s="82">
        <f>IFERROR(__xludf.DUMMYFUNCTION("""COMPUTED_VALUE"""),0.8025326629442665)</f>
        <v>0.8025326629</v>
      </c>
      <c r="AE1332" s="82">
        <f>IFERROR(__xludf.DUMMYFUNCTION("""COMPUTED_VALUE"""),0.3174547602897092)</f>
        <v>0.3174547603</v>
      </c>
      <c r="AF1332" s="82">
        <f>IFERROR(__xludf.DUMMYFUNCTION("""COMPUTED_VALUE"""),0.9012719563900665)</f>
        <v>0.9012719564</v>
      </c>
      <c r="AG1332" s="82">
        <f>IFERROR(__xludf.DUMMYFUNCTION("""COMPUTED_VALUE"""),0.7741160934029655)</f>
        <v>0.7741160934</v>
      </c>
      <c r="AH1332" s="82">
        <f>IFERROR(__xludf.DUMMYFUNCTION("""COMPUTED_VALUE"""),0.6842427958307786)</f>
        <v>0.6842427958</v>
      </c>
      <c r="AI1332" s="82">
        <f>IFERROR(__xludf.DUMMYFUNCTION("""COMPUTED_VALUE"""),1.0221931203334798)</f>
        <v>1.02219312</v>
      </c>
      <c r="AJ1332" s="82">
        <f>IFERROR(__xludf.DUMMYFUNCTION("""COMPUTED_VALUE"""),0.8595327756856733)</f>
        <v>0.8595327757</v>
      </c>
      <c r="AK1332" s="82">
        <f>IFERROR(__xludf.DUMMYFUNCTION("""COMPUTED_VALUE"""),0.8924155748293042)</f>
        <v>0.8924155748</v>
      </c>
      <c r="AL1332" s="82">
        <f>IFERROR(__xludf.DUMMYFUNCTION("""COMPUTED_VALUE"""),1.1859481331616701)</f>
        <v>1.185948133</v>
      </c>
      <c r="AM1332" s="82">
        <f>IFERROR(__xludf.DUMMYFUNCTION("""COMPUTED_VALUE"""),0.9755015179174777)</f>
        <v>0.9755015179</v>
      </c>
      <c r="AN1332" s="82">
        <f>IFERROR(__xludf.DUMMYFUNCTION("""COMPUTED_VALUE"""),0.7957372284620283)</f>
        <v>0.7957372285</v>
      </c>
      <c r="AO1332" s="82">
        <f>IFERROR(__xludf.DUMMYFUNCTION("""COMPUTED_VALUE"""),0.33141256391418544)</f>
        <v>0.3314125639</v>
      </c>
      <c r="AP1332" s="82">
        <f>IFERROR(__xludf.DUMMYFUNCTION("""COMPUTED_VALUE"""),0.9272556611500992)</f>
        <v>0.9272556612</v>
      </c>
      <c r="AQ1332" s="82">
        <f>IFERROR(__xludf.DUMMYFUNCTION("""COMPUTED_VALUE"""),0.7403877633464013)</f>
        <v>0.7403877633</v>
      </c>
      <c r="AR1332" s="82">
        <f>IFERROR(__xludf.DUMMYFUNCTION("""COMPUTED_VALUE"""),0.683411759112682)</f>
        <v>0.6834117591</v>
      </c>
      <c r="AS1332" s="82">
        <f>IFERROR(__xludf.DUMMYFUNCTION("""COMPUTED_VALUE"""),6.0)</f>
        <v>6</v>
      </c>
      <c r="AT1332" s="82">
        <f>IFERROR(__xludf.DUMMYFUNCTION("""COMPUTED_VALUE"""),0.39839556112833874)</f>
        <v>0.3983955611</v>
      </c>
      <c r="AU1332" s="82">
        <f>IFERROR(__xludf.DUMMYFUNCTION("""COMPUTED_VALUE"""),1.3233436518733672)</f>
        <v>1.323343652</v>
      </c>
      <c r="AV1332" s="82">
        <f>IFERROR(__xludf.DUMMYFUNCTION("""COMPUTED_VALUE"""),17.580828508024524)</f>
        <v>17.58082851</v>
      </c>
      <c r="AW1332" s="82">
        <f t="shared" si="1"/>
        <v>-10.27161136</v>
      </c>
      <c r="AX1332" s="83">
        <f t="array" ref="AX1332">IFERROR(DGET('SBV Import'!A:G,"SBV",{"RSC ID","Tier";B1332,A1332}))</f>
        <v>18.3531551</v>
      </c>
      <c r="AY1332" s="82">
        <f t="shared" si="2"/>
        <v>-9.729601282</v>
      </c>
      <c r="AZ1332" s="82">
        <v>0.5420100817757785</v>
      </c>
      <c r="BA1332" s="84">
        <v>1200.0</v>
      </c>
      <c r="BB1332" s="84" t="b">
        <f>IFERROR(__xludf.DUMMYFUNCTION("iferror(if(A1332="""",,E1332&gt;=FILTER(Constants!$F$2:$F$10,Constants!$A$2:$A$10=A1332)))"),TRUE)</f>
        <v>1</v>
      </c>
    </row>
    <row r="1333">
      <c r="A1333" s="89" t="str">
        <f>IFERROR(__xludf.DUMMYFUNCTION("""COMPUTED_VALUE"""),"Veteran")</f>
        <v>Veteran</v>
      </c>
      <c r="B1333" s="87" t="str">
        <f>IFERROR(__xludf.DUMMYFUNCTION("""COMPUTED_VALUE"""),"RSC000290")</f>
        <v>RSC000290</v>
      </c>
      <c r="C1333" s="73" t="str">
        <f>IFERROR(__xludf.DUMMYFUNCTION("""COMPUTED_VALUE"""),"JimJam")</f>
        <v>JimJam</v>
      </c>
      <c r="D1333" s="73" t="str">
        <f>IFERROR(__xludf.DUMMYFUNCTION("""COMPUTED_VALUE"""),"Cannoli")</f>
        <v>Cannoli</v>
      </c>
      <c r="E1333" s="82">
        <f>IFERROR(__xludf.DUMMYFUNCTION("""COMPUTED_VALUE"""),3.0)</f>
        <v>3</v>
      </c>
      <c r="F1333" s="82">
        <f>IFERROR(__xludf.DUMMYFUNCTION("""COMPUTED_VALUE"""),0.0)</f>
        <v>0</v>
      </c>
      <c r="G1333" s="86">
        <f>IFERROR(__xludf.DUMMYFUNCTION("""COMPUTED_VALUE"""),3.0)</f>
        <v>3</v>
      </c>
      <c r="H1333" s="86">
        <f>IFERROR(__xludf.DUMMYFUNCTION("""COMPUTED_VALUE"""),0.0)</f>
        <v>0</v>
      </c>
      <c r="I1333" s="86">
        <f>IFERROR(__xludf.DUMMYFUNCTION("""COMPUTED_VALUE"""),0.2857142857142857)</f>
        <v>0.2857142857</v>
      </c>
      <c r="J1333" s="82">
        <f>IFERROR(__xludf.DUMMYFUNCTION("""COMPUTED_VALUE"""),292.0)</f>
        <v>292</v>
      </c>
      <c r="K1333" s="82">
        <f>IFERROR(__xludf.DUMMYFUNCTION("""COMPUTED_VALUE"""),0.6666666666666666)</f>
        <v>0.6666666667</v>
      </c>
      <c r="L1333" s="82">
        <f>IFERROR(__xludf.DUMMYFUNCTION("""COMPUTED_VALUE"""),0.0)</f>
        <v>0</v>
      </c>
      <c r="M1333" s="82">
        <f>IFERROR(__xludf.DUMMYFUNCTION("""COMPUTED_VALUE"""),1.3333333333333333)</f>
        <v>1.333333333</v>
      </c>
      <c r="N1333" s="82">
        <f>IFERROR(__xludf.DUMMYFUNCTION("""COMPUTED_VALUE"""),2.3333333333333335)</f>
        <v>2.333333333</v>
      </c>
      <c r="O1333" s="82">
        <f>IFERROR(__xludf.DUMMYFUNCTION("""COMPUTED_VALUE"""),361.6666666666667)</f>
        <v>361.6666667</v>
      </c>
      <c r="P1333" s="82">
        <f>IFERROR(__xludf.DUMMYFUNCTION("""COMPUTED_VALUE"""),0.8888888888888888)</f>
        <v>0.8888888889</v>
      </c>
      <c r="Q1333" s="82">
        <f>IFERROR(__xludf.DUMMYFUNCTION("""COMPUTED_VALUE"""),0.2222222222222222)</f>
        <v>0.2222222222</v>
      </c>
      <c r="R1333" s="82">
        <f>IFERROR(__xludf.DUMMYFUNCTION("""COMPUTED_VALUE"""),1.3333333333333333)</f>
        <v>1.333333333</v>
      </c>
      <c r="S1333" s="82">
        <f>IFERROR(__xludf.DUMMYFUNCTION("""COMPUTED_VALUE"""),3.0)</f>
        <v>3</v>
      </c>
      <c r="T1333" s="82">
        <f>IFERROR(__xludf.DUMMYFUNCTION("""COMPUTED_VALUE"""),357.57562921464887)</f>
        <v>357.5756292</v>
      </c>
      <c r="U1333" s="82">
        <f>IFERROR(__xludf.DUMMYFUNCTION("""COMPUTED_VALUE"""),0.8429873430853823)</f>
        <v>0.8429873431</v>
      </c>
      <c r="V1333" s="82">
        <f>IFERROR(__xludf.DUMMYFUNCTION("""COMPUTED_VALUE"""),0.5542239858906525)</f>
        <v>0.5542239859</v>
      </c>
      <c r="W1333" s="82">
        <f>IFERROR(__xludf.DUMMYFUNCTION("""COMPUTED_VALUE"""),1.34279593318809)</f>
        <v>1.342795933</v>
      </c>
      <c r="X1333" s="82">
        <f>IFERROR(__xludf.DUMMYFUNCTION("""COMPUTED_VALUE"""),2.5975801431683787)</f>
        <v>2.597580143</v>
      </c>
      <c r="Y1333" s="82">
        <f>IFERROR(__xludf.DUMMYFUNCTION("""COMPUTED_VALUE"""),351.0552183836498)</f>
        <v>351.0552184</v>
      </c>
      <c r="Z1333" s="82">
        <f>IFERROR(__xludf.DUMMYFUNCTION("""COMPUTED_VALUE"""),0.7572718470104091)</f>
        <v>0.757271847</v>
      </c>
      <c r="AA1333" s="82">
        <f>IFERROR(__xludf.DUMMYFUNCTION("""COMPUTED_VALUE"""),0.6032209426980669)</f>
        <v>0.6032209427</v>
      </c>
      <c r="AB1333" s="82">
        <f>IFERROR(__xludf.DUMMYFUNCTION("""COMPUTED_VALUE"""),1.3100888750561952)</f>
        <v>1.310088875</v>
      </c>
      <c r="AC1333" s="82">
        <f>IFERROR(__xludf.DUMMYFUNCTION("""COMPUTED_VALUE"""),2.6918573849292806)</f>
        <v>2.691857385</v>
      </c>
      <c r="AD1333" s="82">
        <f>IFERROR(__xludf.DUMMYFUNCTION("""COMPUTED_VALUE"""),0.831777978816109)</f>
        <v>0.8317779788</v>
      </c>
      <c r="AE1333" s="82">
        <f>IFERROR(__xludf.DUMMYFUNCTION("""COMPUTED_VALUE"""),0.8803531641887421)</f>
        <v>0.8803531642</v>
      </c>
      <c r="AF1333" s="82">
        <f>IFERROR(__xludf.DUMMYFUNCTION("""COMPUTED_VALUE"""),0.0)</f>
        <v>0</v>
      </c>
      <c r="AG1333" s="82">
        <f>IFERROR(__xludf.DUMMYFUNCTION("""COMPUTED_VALUE"""),1.017742657555306)</f>
        <v>1.017742658</v>
      </c>
      <c r="AH1333" s="82">
        <f>IFERROR(__xludf.DUMMYFUNCTION("""COMPUTED_VALUE"""),0.8668116470050785)</f>
        <v>0.866811647</v>
      </c>
      <c r="AI1333" s="82">
        <f>IFERROR(__xludf.DUMMYFUNCTION("""COMPUTED_VALUE"""),1.0114410410491426)</f>
        <v>1.011441041</v>
      </c>
      <c r="AJ1333" s="82">
        <f>IFERROR(__xludf.DUMMYFUNCTION("""COMPUTED_VALUE"""),1.0544510498052133)</f>
        <v>1.05445105</v>
      </c>
      <c r="AK1333" s="82">
        <f>IFERROR(__xludf.DUMMYFUNCTION("""COMPUTED_VALUE"""),0.4009610335884422)</f>
        <v>0.4009610336</v>
      </c>
      <c r="AL1333" s="82">
        <f>IFERROR(__xludf.DUMMYFUNCTION("""COMPUTED_VALUE"""),0.9929530618756861)</f>
        <v>0.9929530619</v>
      </c>
      <c r="AM1333" s="82">
        <f>IFERROR(__xludf.DUMMYFUNCTION("""COMPUTED_VALUE"""),1.1549210552328801)</f>
        <v>1.154921055</v>
      </c>
      <c r="AN1333" s="82">
        <f>IFERROR(__xludf.DUMMYFUNCTION("""COMPUTED_VALUE"""),0.845697072651182)</f>
        <v>0.8456970727</v>
      </c>
      <c r="AO1333" s="82">
        <f>IFERROR(__xludf.DUMMYFUNCTION("""COMPUTED_VALUE"""),0.8837668371044944)</f>
        <v>0.8837668371</v>
      </c>
      <c r="AP1333" s="82">
        <f>IFERROR(__xludf.DUMMYFUNCTION("""COMPUTED_VALUE"""),0.0)</f>
        <v>0</v>
      </c>
      <c r="AQ1333" s="82">
        <f>IFERROR(__xludf.DUMMYFUNCTION("""COMPUTED_VALUE"""),0.9871836844618684)</f>
        <v>0.9871836845</v>
      </c>
      <c r="AR1333" s="82">
        <f>IFERROR(__xludf.DUMMYFUNCTION("""COMPUTED_VALUE"""),0.9112156788169095)</f>
        <v>0.9112156788</v>
      </c>
      <c r="AS1333" s="82">
        <f>IFERROR(__xludf.DUMMYFUNCTION("""COMPUTED_VALUE"""),5.0)</f>
        <v>5</v>
      </c>
      <c r="AT1333" s="82">
        <f>IFERROR(__xludf.DUMMYFUNCTION("""COMPUTED_VALUE"""),0.32829036526615446)</f>
        <v>0.3282903653</v>
      </c>
      <c r="AU1333" s="82">
        <f>IFERROR(__xludf.DUMMYFUNCTION("""COMPUTED_VALUE"""),1.321535072029838)</f>
        <v>1.321535072</v>
      </c>
      <c r="AV1333" s="82">
        <f>IFERROR(__xludf.DUMMYFUNCTION("""COMPUTED_VALUE"""),17.524805772180265)</f>
        <v>17.52480577</v>
      </c>
      <c r="AW1333" s="82">
        <f t="shared" si="1"/>
        <v>-10.31240062</v>
      </c>
      <c r="AX1333" s="83">
        <f t="array" ref="AX1333">IFERROR(DGET('SBV Import'!A:G,"SBV",{"RSC ID","Tier";B1333,A1333}))</f>
        <v>12.96746361</v>
      </c>
      <c r="AY1333" s="82">
        <f t="shared" si="2"/>
        <v>-14.4376957</v>
      </c>
      <c r="AZ1333" s="82">
        <v>4.125295085293899</v>
      </c>
      <c r="BA1333" s="84">
        <v>1200.0</v>
      </c>
      <c r="BB1333" s="84" t="b">
        <f>IFERROR(__xludf.DUMMYFUNCTION("iferror(if(A1333="""",,E1333&gt;=FILTER(Constants!$F$2:$F$10,Constants!$A$2:$A$10=A1333)))"),TRUE)</f>
        <v>1</v>
      </c>
    </row>
    <row r="1334">
      <c r="A1334" s="89" t="str">
        <f>IFERROR(__xludf.DUMMYFUNCTION("""COMPUTED_VALUE"""),"Veteran")</f>
        <v>Veteran</v>
      </c>
      <c r="B1334" s="87" t="str">
        <f>IFERROR(__xludf.DUMMYFUNCTION("""COMPUTED_VALUE"""),"RSC007036")</f>
        <v>RSC007036</v>
      </c>
      <c r="C1334" s="73" t="str">
        <f>IFERROR(__xludf.DUMMYFUNCTION("""COMPUTED_VALUE"""),"PoiisonDeath")</f>
        <v>PoiisonDeath</v>
      </c>
      <c r="D1334" s="73" t="str">
        <f>IFERROR(__xludf.DUMMYFUNCTION("""COMPUTED_VALUE"""),"Silver Dollar")</f>
        <v>Silver Dollar</v>
      </c>
      <c r="E1334" s="82">
        <f>IFERROR(__xludf.DUMMYFUNCTION("""COMPUTED_VALUE"""),6.0)</f>
        <v>6</v>
      </c>
      <c r="F1334" s="82">
        <f>IFERROR(__xludf.DUMMYFUNCTION("""COMPUTED_VALUE"""),2.0)</f>
        <v>2</v>
      </c>
      <c r="G1334" s="86">
        <f>IFERROR(__xludf.DUMMYFUNCTION("""COMPUTED_VALUE"""),4.0)</f>
        <v>4</v>
      </c>
      <c r="H1334" s="86">
        <f>IFERROR(__xludf.DUMMYFUNCTION("""COMPUTED_VALUE"""),0.3333333333333333)</f>
        <v>0.3333333333</v>
      </c>
      <c r="I1334" s="86">
        <f>IFERROR(__xludf.DUMMYFUNCTION("""COMPUTED_VALUE"""),0.42857142857142855)</f>
        <v>0.4285714286</v>
      </c>
      <c r="J1334" s="82">
        <f>IFERROR(__xludf.DUMMYFUNCTION("""COMPUTED_VALUE"""),252.83333333333334)</f>
        <v>252.8333333</v>
      </c>
      <c r="K1334" s="82">
        <f>IFERROR(__xludf.DUMMYFUNCTION("""COMPUTED_VALUE"""),0.5)</f>
        <v>0.5</v>
      </c>
      <c r="L1334" s="82">
        <f>IFERROR(__xludf.DUMMYFUNCTION("""COMPUTED_VALUE"""),0.3333333333333333)</f>
        <v>0.3333333333</v>
      </c>
      <c r="M1334" s="82">
        <f>IFERROR(__xludf.DUMMYFUNCTION("""COMPUTED_VALUE"""),1.0)</f>
        <v>1</v>
      </c>
      <c r="N1334" s="82">
        <f>IFERROR(__xludf.DUMMYFUNCTION("""COMPUTED_VALUE"""),1.1666666666666667)</f>
        <v>1.166666667</v>
      </c>
      <c r="O1334" s="82">
        <f>IFERROR(__xludf.DUMMYFUNCTION("""COMPUTED_VALUE"""),333.38888888888886)</f>
        <v>333.3888889</v>
      </c>
      <c r="P1334" s="82">
        <f>IFERROR(__xludf.DUMMYFUNCTION("""COMPUTED_VALUE"""),0.8888888888888888)</f>
        <v>0.8888888889</v>
      </c>
      <c r="Q1334" s="82">
        <f>IFERROR(__xludf.DUMMYFUNCTION("""COMPUTED_VALUE"""),0.4444444444444444)</f>
        <v>0.4444444444</v>
      </c>
      <c r="R1334" s="82">
        <f>IFERROR(__xludf.DUMMYFUNCTION("""COMPUTED_VALUE"""),1.0555555555555556)</f>
        <v>1.055555556</v>
      </c>
      <c r="S1334" s="82">
        <f>IFERROR(__xludf.DUMMYFUNCTION("""COMPUTED_VALUE"""),2.4444444444444446)</f>
        <v>2.444444444</v>
      </c>
      <c r="T1334" s="82">
        <f>IFERROR(__xludf.DUMMYFUNCTION("""COMPUTED_VALUE"""),338.3219201822143)</f>
        <v>338.3219202</v>
      </c>
      <c r="U1334" s="82">
        <f>IFERROR(__xludf.DUMMYFUNCTION("""COMPUTED_VALUE"""),0.7574030453932415)</f>
        <v>0.7574030454</v>
      </c>
      <c r="V1334" s="82">
        <f>IFERROR(__xludf.DUMMYFUNCTION("""COMPUTED_VALUE"""),0.5847297673278066)</f>
        <v>0.5847297673</v>
      </c>
      <c r="W1334" s="82">
        <f>IFERROR(__xludf.DUMMYFUNCTION("""COMPUTED_VALUE"""),1.2047741655584792)</f>
        <v>1.204774166</v>
      </c>
      <c r="X1334" s="82">
        <f>IFERROR(__xludf.DUMMYFUNCTION("""COMPUTED_VALUE"""),2.5972552320591533)</f>
        <v>2.597255232</v>
      </c>
      <c r="Y1334" s="82">
        <f>IFERROR(__xludf.DUMMYFUNCTION("""COMPUTED_VALUE"""),333.650455103478)</f>
        <v>333.6504551</v>
      </c>
      <c r="Z1334" s="82">
        <f>IFERROR(__xludf.DUMMYFUNCTION("""COMPUTED_VALUE"""),0.6439574707548564)</f>
        <v>0.6439574708</v>
      </c>
      <c r="AA1334" s="82">
        <f>IFERROR(__xludf.DUMMYFUNCTION("""COMPUTED_VALUE"""),0.45143663526016464)</f>
        <v>0.4514366353</v>
      </c>
      <c r="AB1334" s="82">
        <f>IFERROR(__xludf.DUMMYFUNCTION("""COMPUTED_VALUE"""),1.487924883758217)</f>
        <v>1.487924884</v>
      </c>
      <c r="AC1334" s="82">
        <f>IFERROR(__xludf.DUMMYFUNCTION("""COMPUTED_VALUE"""),2.307082064026508)</f>
        <v>2.307082064</v>
      </c>
      <c r="AD1334" s="82">
        <f>IFERROR(__xludf.DUMMYFUNCTION("""COMPUTED_VALUE"""),0.7577790752748108)</f>
        <v>0.7577790753</v>
      </c>
      <c r="AE1334" s="82">
        <f>IFERROR(__xludf.DUMMYFUNCTION("""COMPUTED_VALUE"""),0.7764487915854018)</f>
        <v>0.7764487916</v>
      </c>
      <c r="AF1334" s="82">
        <f>IFERROR(__xludf.DUMMYFUNCTION("""COMPUTED_VALUE"""),0.7383834347897619)</f>
        <v>0.7383834348</v>
      </c>
      <c r="AG1334" s="82">
        <f>IFERROR(__xludf.DUMMYFUNCTION("""COMPUTED_VALUE"""),0.672076938100658)</f>
        <v>0.6720769381</v>
      </c>
      <c r="AH1334" s="82">
        <f>IFERROR(__xludf.DUMMYFUNCTION("""COMPUTED_VALUE"""),0.5056892794834116)</f>
        <v>0.5056892795</v>
      </c>
      <c r="AI1334" s="82">
        <f>IFERROR(__xludf.DUMMYFUNCTION("""COMPUTED_VALUE"""),0.9854191200775032)</f>
        <v>0.9854191201</v>
      </c>
      <c r="AJ1334" s="82">
        <f>IFERROR(__xludf.DUMMYFUNCTION("""COMPUTED_VALUE"""),1.1736008909594233)</f>
        <v>1.173600891</v>
      </c>
      <c r="AK1334" s="82">
        <f>IFERROR(__xludf.DUMMYFUNCTION("""COMPUTED_VALUE"""),0.7600852039319618)</f>
        <v>0.7600852039</v>
      </c>
      <c r="AL1334" s="82">
        <f>IFERROR(__xludf.DUMMYFUNCTION("""COMPUTED_VALUE"""),0.8761439162054471)</f>
        <v>0.8761439162</v>
      </c>
      <c r="AM1334" s="82">
        <f>IFERROR(__xludf.DUMMYFUNCTION("""COMPUTED_VALUE"""),0.9411645086980699)</f>
        <v>0.9411645087</v>
      </c>
      <c r="AN1334" s="82">
        <f>IFERROR(__xludf.DUMMYFUNCTION("""COMPUTED_VALUE"""),0.7322616776323306)</f>
        <v>0.7322616776</v>
      </c>
      <c r="AO1334" s="82">
        <f>IFERROR(__xludf.DUMMYFUNCTION("""COMPUTED_VALUE"""),0.6628251278283709)</f>
        <v>0.6628251278</v>
      </c>
      <c r="AP1334" s="82">
        <f>IFERROR(__xludf.DUMMYFUNCTION("""COMPUTED_VALUE"""),0.6181704407667327)</f>
        <v>0.6181704408</v>
      </c>
      <c r="AQ1334" s="82">
        <f>IFERROR(__xludf.DUMMYFUNCTION("""COMPUTED_VALUE"""),0.7403877633464013)</f>
        <v>0.7403877633</v>
      </c>
      <c r="AR1334" s="82">
        <f>IFERROR(__xludf.DUMMYFUNCTION("""COMPUTED_VALUE"""),0.45560783940845473)</f>
        <v>0.4556078394</v>
      </c>
      <c r="AS1334" s="82">
        <f>IFERROR(__xludf.DUMMYFUNCTION("""COMPUTED_VALUE"""),12.0)</f>
        <v>12</v>
      </c>
      <c r="AT1334" s="82">
        <f>IFERROR(__xludf.DUMMYFUNCTION("""COMPUTED_VALUE"""),0.3899247554466129)</f>
        <v>0.3899247554</v>
      </c>
      <c r="AU1334" s="82">
        <f>IFERROR(__xludf.DUMMYFUNCTION("""COMPUTED_VALUE"""),1.3118310302095222)</f>
        <v>1.31183103</v>
      </c>
      <c r="AV1334" s="82">
        <f>IFERROR(__xludf.DUMMYFUNCTION("""COMPUTED_VALUE"""),17.22421247879253)</f>
        <v>17.22421248</v>
      </c>
      <c r="AW1334" s="82">
        <f t="shared" si="1"/>
        <v>-10.53479235</v>
      </c>
      <c r="AX1334" s="83">
        <f t="array" ref="AX1334">IFERROR(DGET('SBV Import'!A:G,"SBV",{"RSC ID","Tier";B1334,A1334}))</f>
        <v>12.03239451</v>
      </c>
      <c r="AY1334" s="82">
        <f t="shared" si="2"/>
        <v>-15.52349525</v>
      </c>
      <c r="AZ1334" s="82">
        <v>4.9887029058464805</v>
      </c>
      <c r="BA1334" s="84">
        <v>1200.0</v>
      </c>
      <c r="BB1334" s="84" t="b">
        <f>IFERROR(__xludf.DUMMYFUNCTION("iferror(if(A1334="""",,E1334&gt;=FILTER(Constants!$F$2:$F$10,Constants!$A$2:$A$10=A1334)))"),TRUE)</f>
        <v>1</v>
      </c>
    </row>
    <row r="1335">
      <c r="A1335" s="89" t="str">
        <f>IFERROR(__xludf.DUMMYFUNCTION("""COMPUTED_VALUE"""),"Veteran")</f>
        <v>Veteran</v>
      </c>
      <c r="B1335" s="87" t="str">
        <f>IFERROR(__xludf.DUMMYFUNCTION("""COMPUTED_VALUE"""),"RSC005267")</f>
        <v>RSC005267</v>
      </c>
      <c r="C1335" s="73" t="str">
        <f>IFERROR(__xludf.DUMMYFUNCTION("""COMPUTED_VALUE"""),"jj.dunbar")</f>
        <v>jj.dunbar</v>
      </c>
      <c r="D1335" s="73" t="str">
        <f>IFERROR(__xludf.DUMMYFUNCTION("""COMPUTED_VALUE"""),"Banshees")</f>
        <v>Banshees</v>
      </c>
      <c r="E1335" s="82">
        <f>IFERROR(__xludf.DUMMYFUNCTION("""COMPUTED_VALUE"""),17.0)</f>
        <v>17</v>
      </c>
      <c r="F1335" s="82">
        <f>IFERROR(__xludf.DUMMYFUNCTION("""COMPUTED_VALUE"""),5.0)</f>
        <v>5</v>
      </c>
      <c r="G1335" s="86">
        <f>IFERROR(__xludf.DUMMYFUNCTION("""COMPUTED_VALUE"""),12.0)</f>
        <v>12</v>
      </c>
      <c r="H1335" s="86">
        <f>IFERROR(__xludf.DUMMYFUNCTION("""COMPUTED_VALUE"""),0.29411764705882354)</f>
        <v>0.2941176471</v>
      </c>
      <c r="I1335" s="86">
        <f>IFERROR(__xludf.DUMMYFUNCTION("""COMPUTED_VALUE"""),0.32142857142857145)</f>
        <v>0.3214285714</v>
      </c>
      <c r="J1335" s="82">
        <f>IFERROR(__xludf.DUMMYFUNCTION("""COMPUTED_VALUE"""),261.4117647058824)</f>
        <v>261.4117647</v>
      </c>
      <c r="K1335" s="82">
        <f>IFERROR(__xludf.DUMMYFUNCTION("""COMPUTED_VALUE"""),0.5294117647058824)</f>
        <v>0.5294117647</v>
      </c>
      <c r="L1335" s="82">
        <f>IFERROR(__xludf.DUMMYFUNCTION("""COMPUTED_VALUE"""),0.47058823529411764)</f>
        <v>0.4705882353</v>
      </c>
      <c r="M1335" s="82">
        <f>IFERROR(__xludf.DUMMYFUNCTION("""COMPUTED_VALUE"""),0.8235294117647058)</f>
        <v>0.8235294118</v>
      </c>
      <c r="N1335" s="82">
        <f>IFERROR(__xludf.DUMMYFUNCTION("""COMPUTED_VALUE"""),1.6470588235294117)</f>
        <v>1.647058824</v>
      </c>
      <c r="O1335" s="82">
        <f>IFERROR(__xludf.DUMMYFUNCTION("""COMPUTED_VALUE"""),349.84313725490193)</f>
        <v>349.8431373</v>
      </c>
      <c r="P1335" s="82">
        <f>IFERROR(__xludf.DUMMYFUNCTION("""COMPUTED_VALUE"""),0.8627450980392157)</f>
        <v>0.862745098</v>
      </c>
      <c r="Q1335" s="82">
        <f>IFERROR(__xludf.DUMMYFUNCTION("""COMPUTED_VALUE"""),0.6666666666666665)</f>
        <v>0.6666666667</v>
      </c>
      <c r="R1335" s="82">
        <f>IFERROR(__xludf.DUMMYFUNCTION("""COMPUTED_VALUE"""),1.156862745098039)</f>
        <v>1.156862745</v>
      </c>
      <c r="S1335" s="82">
        <f>IFERROR(__xludf.DUMMYFUNCTION("""COMPUTED_VALUE"""),2.568627450980392)</f>
        <v>2.568627451</v>
      </c>
      <c r="T1335" s="82">
        <f>IFERROR(__xludf.DUMMYFUNCTION("""COMPUTED_VALUE"""),344.30699220733885)</f>
        <v>344.3069922</v>
      </c>
      <c r="U1335" s="82">
        <f>IFERROR(__xludf.DUMMYFUNCTION("""COMPUTED_VALUE"""),0.7515581998464939)</f>
        <v>0.7515581998</v>
      </c>
      <c r="V1335" s="82">
        <f>IFERROR(__xludf.DUMMYFUNCTION("""COMPUTED_VALUE"""),0.5411185033894909)</f>
        <v>0.5411185034</v>
      </c>
      <c r="W1335" s="82">
        <f>IFERROR(__xludf.DUMMYFUNCTION("""COMPUTED_VALUE"""),1.369873746186152)</f>
        <v>1.369873746</v>
      </c>
      <c r="X1335" s="82">
        <f>IFERROR(__xludf.DUMMYFUNCTION("""COMPUTED_VALUE"""),2.4814320351796626)</f>
        <v>2.481432035</v>
      </c>
      <c r="Y1335" s="82">
        <f>IFERROR(__xludf.DUMMYFUNCTION("""COMPUTED_VALUE"""),362.52012601089547)</f>
        <v>362.520126</v>
      </c>
      <c r="Z1335" s="82">
        <f>IFERROR(__xludf.DUMMYFUNCTION("""COMPUTED_VALUE"""),0.8608901788375711)</f>
        <v>0.8608901788</v>
      </c>
      <c r="AA1335" s="82">
        <f>IFERROR(__xludf.DUMMYFUNCTION("""COMPUTED_VALUE"""),0.6288966902626415)</f>
        <v>0.6288966903</v>
      </c>
      <c r="AB1335" s="82">
        <f>IFERROR(__xludf.DUMMYFUNCTION("""COMPUTED_VALUE"""),1.303790023981413)</f>
        <v>1.303790024</v>
      </c>
      <c r="AC1335" s="82">
        <f>IFERROR(__xludf.DUMMYFUNCTION("""COMPUTED_VALUE"""),2.7797251107009773)</f>
        <v>2.779725111</v>
      </c>
      <c r="AD1335" s="82">
        <f>IFERROR(__xludf.DUMMYFUNCTION("""COMPUTED_VALUE"""),0.7210958673726868)</f>
        <v>0.7210958674</v>
      </c>
      <c r="AE1335" s="82">
        <f>IFERROR(__xludf.DUMMYFUNCTION("""COMPUTED_VALUE"""),0.6149585367796017)</f>
        <v>0.6149585368</v>
      </c>
      <c r="AF1335" s="82">
        <f>IFERROR(__xludf.DUMMYFUNCTION("""COMPUTED_VALUE"""),0.7482758974253615)</f>
        <v>0.7482758974</v>
      </c>
      <c r="AG1335" s="82">
        <f>IFERROR(__xludf.DUMMYFUNCTION("""COMPUTED_VALUE"""),0.6316426699215534)</f>
        <v>0.6316426699</v>
      </c>
      <c r="AH1335" s="82">
        <f>IFERROR(__xludf.DUMMYFUNCTION("""COMPUTED_VALUE"""),0.5925257922766559)</f>
        <v>0.5925257923</v>
      </c>
      <c r="AI1335" s="82">
        <f>IFERROR(__xludf.DUMMYFUNCTION("""COMPUTED_VALUE"""),1.0160790956119452)</f>
        <v>1.016079096</v>
      </c>
      <c r="AJ1335" s="82">
        <f>IFERROR(__xludf.DUMMYFUNCTION("""COMPUTED_VALUE"""),1.1479418336669494)</f>
        <v>1.147941834</v>
      </c>
      <c r="AK1335" s="82">
        <f>IFERROR(__xludf.DUMMYFUNCTION("""COMPUTED_VALUE"""),1.2320160232754183)</f>
        <v>1.232016023</v>
      </c>
      <c r="AL1335" s="82">
        <f>IFERROR(__xludf.DUMMYFUNCTION("""COMPUTED_VALUE"""),0.8445031874790255)</f>
        <v>0.8445031875</v>
      </c>
      <c r="AM1335" s="82">
        <f>IFERROR(__xludf.DUMMYFUNCTION("""COMPUTED_VALUE"""),1.0351391513305808)</f>
        <v>1.035139151</v>
      </c>
      <c r="AN1335" s="82">
        <f>IFERROR(__xludf.DUMMYFUNCTION("""COMPUTED_VALUE"""),0.7571067266039189)</f>
        <v>0.7571067266</v>
      </c>
      <c r="AO1335" s="82">
        <f>IFERROR(__xludf.DUMMYFUNCTION("""COMPUTED_VALUE"""),0.7018148412300398)</f>
        <v>0.7018148412</v>
      </c>
      <c r="AP1335" s="82">
        <f>IFERROR(__xludf.DUMMYFUNCTION("""COMPUTED_VALUE"""),0.872711210494211)</f>
        <v>0.8727112105</v>
      </c>
      <c r="AQ1335" s="82">
        <f>IFERROR(__xludf.DUMMYFUNCTION("""COMPUTED_VALUE"""),0.6097310992264482)</f>
        <v>0.6097310992</v>
      </c>
      <c r="AR1335" s="82">
        <f>IFERROR(__xludf.DUMMYFUNCTION("""COMPUTED_VALUE"""),0.6432110674001713)</f>
        <v>0.6432110674</v>
      </c>
      <c r="AS1335" s="82">
        <f>IFERROR(__xludf.DUMMYFUNCTION("""COMPUTED_VALUE"""),33.0)</f>
        <v>33</v>
      </c>
      <c r="AT1335" s="82">
        <f>IFERROR(__xludf.DUMMYFUNCTION("""COMPUTED_VALUE"""),0.3908335677974448)</f>
        <v>0.3908335678</v>
      </c>
      <c r="AU1335" s="82">
        <f>IFERROR(__xludf.DUMMYFUNCTION("""COMPUTED_VALUE"""),1.3053380554225298)</f>
        <v>1.305338055</v>
      </c>
      <c r="AV1335" s="82">
        <f>IFERROR(__xludf.DUMMYFUNCTION("""COMPUTED_VALUE"""),17.02308549364089)</f>
        <v>17.02308549</v>
      </c>
      <c r="AW1335" s="82">
        <f t="shared" si="1"/>
        <v>-10.68698551</v>
      </c>
      <c r="AX1335" s="83">
        <f t="array" ref="AX1335">IFERROR(DGET('SBV Import'!A:G,"SBV",{"RSC ID","Tier";B1335,A1335}))</f>
        <v>15.04682037</v>
      </c>
      <c r="AY1335" s="82">
        <f t="shared" si="2"/>
        <v>-12.33997538</v>
      </c>
      <c r="AZ1335" s="82">
        <v>1.6529898649255585</v>
      </c>
      <c r="BA1335" s="84">
        <v>1200.0</v>
      </c>
      <c r="BB1335" s="84" t="b">
        <f>IFERROR(__xludf.DUMMYFUNCTION("iferror(if(A1335="""",,E1335&gt;=FILTER(Constants!$F$2:$F$10,Constants!$A$2:$A$10=A1335)))"),TRUE)</f>
        <v>1</v>
      </c>
    </row>
    <row r="1336">
      <c r="A1336" s="89" t="str">
        <f>IFERROR(__xludf.DUMMYFUNCTION("""COMPUTED_VALUE"""),"Veteran")</f>
        <v>Veteran</v>
      </c>
      <c r="B1336" s="87" t="str">
        <f>IFERROR(__xludf.DUMMYFUNCTION("""COMPUTED_VALUE"""),"RSC001893")</f>
        <v>RSC001893</v>
      </c>
      <c r="C1336" s="73" t="str">
        <f>IFERROR(__xludf.DUMMYFUNCTION("""COMPUTED_VALUE"""),"cjax")</f>
        <v>cjax</v>
      </c>
      <c r="D1336" s="73" t="str">
        <f>IFERROR(__xludf.DUMMYFUNCTION("""COMPUTED_VALUE"""),"Peppermint")</f>
        <v>Peppermint</v>
      </c>
      <c r="E1336" s="82">
        <f>IFERROR(__xludf.DUMMYFUNCTION("""COMPUTED_VALUE"""),25.0)</f>
        <v>25</v>
      </c>
      <c r="F1336" s="82">
        <f>IFERROR(__xludf.DUMMYFUNCTION("""COMPUTED_VALUE"""),9.0)</f>
        <v>9</v>
      </c>
      <c r="G1336" s="86">
        <f>IFERROR(__xludf.DUMMYFUNCTION("""COMPUTED_VALUE"""),16.0)</f>
        <v>16</v>
      </c>
      <c r="H1336" s="86">
        <f>IFERROR(__xludf.DUMMYFUNCTION("""COMPUTED_VALUE"""),0.36)</f>
        <v>0.36</v>
      </c>
      <c r="I1336" s="86">
        <f>IFERROR(__xludf.DUMMYFUNCTION("""COMPUTED_VALUE"""),0.3)</f>
        <v>0.3</v>
      </c>
      <c r="J1336" s="82">
        <f>IFERROR(__xludf.DUMMYFUNCTION("""COMPUTED_VALUE"""),300.6)</f>
        <v>300.6</v>
      </c>
      <c r="K1336" s="82">
        <f>IFERROR(__xludf.DUMMYFUNCTION("""COMPUTED_VALUE"""),0.48)</f>
        <v>0.48</v>
      </c>
      <c r="L1336" s="82">
        <f>IFERROR(__xludf.DUMMYFUNCTION("""COMPUTED_VALUE"""),0.4)</f>
        <v>0.4</v>
      </c>
      <c r="M1336" s="82">
        <f>IFERROR(__xludf.DUMMYFUNCTION("""COMPUTED_VALUE"""),1.64)</f>
        <v>1.64</v>
      </c>
      <c r="N1336" s="82">
        <f>IFERROR(__xludf.DUMMYFUNCTION("""COMPUTED_VALUE"""),1.6)</f>
        <v>1.6</v>
      </c>
      <c r="O1336" s="82">
        <f>IFERROR(__xludf.DUMMYFUNCTION("""COMPUTED_VALUE"""),363.26666666666665)</f>
        <v>363.2666667</v>
      </c>
      <c r="P1336" s="82">
        <f>IFERROR(__xludf.DUMMYFUNCTION("""COMPUTED_VALUE"""),0.9466666666666665)</f>
        <v>0.9466666667</v>
      </c>
      <c r="Q1336" s="82">
        <f>IFERROR(__xludf.DUMMYFUNCTION("""COMPUTED_VALUE"""),0.72)</f>
        <v>0.72</v>
      </c>
      <c r="R1336" s="82">
        <f>IFERROR(__xludf.DUMMYFUNCTION("""COMPUTED_VALUE"""),1.0533333333333337)</f>
        <v>1.053333333</v>
      </c>
      <c r="S1336" s="82">
        <f>IFERROR(__xludf.DUMMYFUNCTION("""COMPUTED_VALUE"""),3.266666666666668)</f>
        <v>3.266666667</v>
      </c>
      <c r="T1336" s="82">
        <f>IFERROR(__xludf.DUMMYFUNCTION("""COMPUTED_VALUE"""),354.4940281819543)</f>
        <v>354.4940282</v>
      </c>
      <c r="U1336" s="82">
        <f>IFERROR(__xludf.DUMMYFUNCTION("""COMPUTED_VALUE"""),0.8514741756047792)</f>
        <v>0.8514741756</v>
      </c>
      <c r="V1336" s="82">
        <f>IFERROR(__xludf.DUMMYFUNCTION("""COMPUTED_VALUE"""),0.6106791318656893)</f>
        <v>0.6106791319</v>
      </c>
      <c r="W1336" s="82">
        <f>IFERROR(__xludf.DUMMYFUNCTION("""COMPUTED_VALUE"""),1.2529112546441865)</f>
        <v>1.252911255</v>
      </c>
      <c r="X1336" s="82">
        <f>IFERROR(__xludf.DUMMYFUNCTION("""COMPUTED_VALUE"""),2.763993008228173)</f>
        <v>2.763993008</v>
      </c>
      <c r="Y1336" s="82">
        <f>IFERROR(__xludf.DUMMYFUNCTION("""COMPUTED_VALUE"""),355.20894490806927)</f>
        <v>355.2089449</v>
      </c>
      <c r="Z1336" s="82">
        <f>IFERROR(__xludf.DUMMYFUNCTION("""COMPUTED_VALUE"""),0.8075769253603123)</f>
        <v>0.8075769254</v>
      </c>
      <c r="AA1336" s="82">
        <f>IFERROR(__xludf.DUMMYFUNCTION("""COMPUTED_VALUE"""),0.6019671731368543)</f>
        <v>0.6019671731</v>
      </c>
      <c r="AB1336" s="82">
        <f>IFERROR(__xludf.DUMMYFUNCTION("""COMPUTED_VALUE"""),1.3821033925508857)</f>
        <v>1.382103393</v>
      </c>
      <c r="AC1336" s="82">
        <f>IFERROR(__xludf.DUMMYFUNCTION("""COMPUTED_VALUE"""),2.5014732407115874)</f>
        <v>2.501473241</v>
      </c>
      <c r="AD1336" s="82">
        <f>IFERROR(__xludf.DUMMYFUNCTION("""COMPUTED_VALUE"""),0.8462624725787734)</f>
        <v>0.8462624726</v>
      </c>
      <c r="AE1336" s="82">
        <f>IFERROR(__xludf.DUMMYFUNCTION("""COMPUTED_VALUE"""),0.5943706226943531)</f>
        <v>0.5943706227</v>
      </c>
      <c r="AF1336" s="82">
        <f>IFERROR(__xludf.DUMMYFUNCTION("""COMPUTED_VALUE"""),0.6644880615592338)</f>
        <v>0.6644880616</v>
      </c>
      <c r="AG1336" s="82">
        <f>IFERROR(__xludf.DUMMYFUNCTION("""COMPUTED_VALUE"""),1.1865971886322673)</f>
        <v>1.186597189</v>
      </c>
      <c r="AH1336" s="82">
        <f>IFERROR(__xludf.DUMMYFUNCTION("""COMPUTED_VALUE"""),0.6396230724998091)</f>
        <v>0.6396230725</v>
      </c>
      <c r="AI1336" s="82">
        <f>IFERROR(__xludf.DUMMYFUNCTION("""COMPUTED_VALUE"""),1.0247469288261453)</f>
        <v>1.024746929</v>
      </c>
      <c r="AJ1336" s="82">
        <f>IFERROR(__xludf.DUMMYFUNCTION("""COMPUTED_VALUE"""),1.1117972732341233)</f>
        <v>1.111797273</v>
      </c>
      <c r="AK1336" s="82">
        <f>IFERROR(__xludf.DUMMYFUNCTION("""COMPUTED_VALUE"""),1.1790152347278084)</f>
        <v>1.179015235</v>
      </c>
      <c r="AL1336" s="82">
        <f>IFERROR(__xludf.DUMMYFUNCTION("""COMPUTED_VALUE"""),0.8407086530900939)</f>
        <v>0.8407086531</v>
      </c>
      <c r="AM1336" s="82">
        <f>IFERROR(__xludf.DUMMYFUNCTION("""COMPUTED_VALUE"""),1.1818650253246221)</f>
        <v>1.181865025</v>
      </c>
      <c r="AN1336" s="82">
        <f>IFERROR(__xludf.DUMMYFUNCTION("""COMPUTED_VALUE"""),0.8706045891744704)</f>
        <v>0.8706045892</v>
      </c>
      <c r="AO1336" s="82">
        <f>IFERROR(__xludf.DUMMYFUNCTION("""COMPUTED_VALUE"""),0.6363121227152361)</f>
        <v>0.6363121227</v>
      </c>
      <c r="AP1336" s="82">
        <f>IFERROR(__xludf.DUMMYFUNCTION("""COMPUTED_VALUE"""),0.7418045289200793)</f>
        <v>0.7418045289</v>
      </c>
      <c r="AQ1336" s="82">
        <f>IFERROR(__xludf.DUMMYFUNCTION("""COMPUTED_VALUE"""),1.2142359318880982)</f>
        <v>1.214235932</v>
      </c>
      <c r="AR1336" s="82">
        <f>IFERROR(__xludf.DUMMYFUNCTION("""COMPUTED_VALUE"""),0.6248336083315951)</f>
        <v>0.6248336083</v>
      </c>
      <c r="AS1336" s="82">
        <f>IFERROR(__xludf.DUMMYFUNCTION("""COMPUTED_VALUE"""),49.0)</f>
        <v>49</v>
      </c>
      <c r="AT1336" s="82">
        <f>IFERROR(__xludf.DUMMYFUNCTION("""COMPUTED_VALUE"""),0.3585333009526381)</f>
        <v>0.358533301</v>
      </c>
      <c r="AU1336" s="82">
        <f>IFERROR(__xludf.DUMMYFUNCTION("""COMPUTED_VALUE"""),1.2693094833835947)</f>
        <v>1.269309483</v>
      </c>
      <c r="AV1336" s="82">
        <f>IFERROR(__xludf.DUMMYFUNCTION("""COMPUTED_VALUE"""),15.907061127116826)</f>
        <v>15.90706113</v>
      </c>
      <c r="AW1336" s="82">
        <f t="shared" si="1"/>
        <v>-11.58369519</v>
      </c>
      <c r="AX1336" s="83">
        <f t="array" ref="AX1336">IFERROR(DGET('SBV Import'!A:G,"SBV",{"RSC ID","Tier";B1336,A1336}))</f>
        <v>16.70369859</v>
      </c>
      <c r="AY1336" s="82">
        <f t="shared" si="2"/>
        <v>-10.93441055</v>
      </c>
      <c r="AZ1336" s="82">
        <v>0.6492846452292493</v>
      </c>
      <c r="BA1336" s="84">
        <v>1200.0</v>
      </c>
      <c r="BB1336" s="84" t="b">
        <f>IFERROR(__xludf.DUMMYFUNCTION("iferror(if(A1336="""",,E1336&gt;=FILTER(Constants!$F$2:$F$10,Constants!$A$2:$A$10=A1336)))"),TRUE)</f>
        <v>1</v>
      </c>
    </row>
    <row r="1337">
      <c r="A1337" s="89" t="str">
        <f>IFERROR(__xludf.DUMMYFUNCTION("""COMPUTED_VALUE"""),"Veteran")</f>
        <v>Veteran</v>
      </c>
      <c r="B1337" s="87" t="str">
        <f>IFERROR(__xludf.DUMMYFUNCTION("""COMPUTED_VALUE"""),"RSC007443")</f>
        <v>RSC007443</v>
      </c>
      <c r="C1337" s="73" t="str">
        <f>IFERROR(__xludf.DUMMYFUNCTION("""COMPUTED_VALUE"""),"Allusion.-.")</f>
        <v>Allusion.-.</v>
      </c>
      <c r="D1337" s="73" t="str">
        <f>IFERROR(__xludf.DUMMYFUNCTION("""COMPUTED_VALUE"""),"Possessed")</f>
        <v>Possessed</v>
      </c>
      <c r="E1337" s="82">
        <f>IFERROR(__xludf.DUMMYFUNCTION("""COMPUTED_VALUE"""),14.0)</f>
        <v>14</v>
      </c>
      <c r="F1337" s="82">
        <f>IFERROR(__xludf.DUMMYFUNCTION("""COMPUTED_VALUE"""),4.0)</f>
        <v>4</v>
      </c>
      <c r="G1337" s="86">
        <f>IFERROR(__xludf.DUMMYFUNCTION("""COMPUTED_VALUE"""),10.0)</f>
        <v>10</v>
      </c>
      <c r="H1337" s="86">
        <f>IFERROR(__xludf.DUMMYFUNCTION("""COMPUTED_VALUE"""),0.2857142857142857)</f>
        <v>0.2857142857</v>
      </c>
      <c r="I1337" s="86">
        <f>IFERROR(__xludf.DUMMYFUNCTION("""COMPUTED_VALUE"""),0.3333333333333333)</f>
        <v>0.3333333333</v>
      </c>
      <c r="J1337" s="82">
        <f>IFERROR(__xludf.DUMMYFUNCTION("""COMPUTED_VALUE"""),288.07142857142856)</f>
        <v>288.0714286</v>
      </c>
      <c r="K1337" s="82">
        <f>IFERROR(__xludf.DUMMYFUNCTION("""COMPUTED_VALUE"""),0.5714285714285714)</f>
        <v>0.5714285714</v>
      </c>
      <c r="L1337" s="82">
        <f>IFERROR(__xludf.DUMMYFUNCTION("""COMPUTED_VALUE"""),0.2857142857142857)</f>
        <v>0.2857142857</v>
      </c>
      <c r="M1337" s="82">
        <f>IFERROR(__xludf.DUMMYFUNCTION("""COMPUTED_VALUE"""),1.3571428571428572)</f>
        <v>1.357142857</v>
      </c>
      <c r="N1337" s="82">
        <f>IFERROR(__xludf.DUMMYFUNCTION("""COMPUTED_VALUE"""),1.7142857142857142)</f>
        <v>1.714285714</v>
      </c>
      <c r="O1337" s="82">
        <f>IFERROR(__xludf.DUMMYFUNCTION("""COMPUTED_VALUE"""),361.9047619047618)</f>
        <v>361.9047619</v>
      </c>
      <c r="P1337" s="82">
        <f>IFERROR(__xludf.DUMMYFUNCTION("""COMPUTED_VALUE"""),0.9761904761904763)</f>
        <v>0.9761904762</v>
      </c>
      <c r="Q1337" s="82">
        <f>IFERROR(__xludf.DUMMYFUNCTION("""COMPUTED_VALUE"""),0.6904761904761905)</f>
        <v>0.6904761905</v>
      </c>
      <c r="R1337" s="82">
        <f>IFERROR(__xludf.DUMMYFUNCTION("""COMPUTED_VALUE"""),1.1666666666666665)</f>
        <v>1.166666667</v>
      </c>
      <c r="S1337" s="82">
        <f>IFERROR(__xludf.DUMMYFUNCTION("""COMPUTED_VALUE"""),2.2857142857142856)</f>
        <v>2.285714286</v>
      </c>
      <c r="T1337" s="82">
        <f>IFERROR(__xludf.DUMMYFUNCTION("""COMPUTED_VALUE"""),344.23829697830377)</f>
        <v>344.238297</v>
      </c>
      <c r="U1337" s="82">
        <f>IFERROR(__xludf.DUMMYFUNCTION("""COMPUTED_VALUE"""),0.7432326362007633)</f>
        <v>0.7432326362</v>
      </c>
      <c r="V1337" s="82">
        <f>IFERROR(__xludf.DUMMYFUNCTION("""COMPUTED_VALUE"""),0.5071087738744423)</f>
        <v>0.5071087739</v>
      </c>
      <c r="W1337" s="82">
        <f>IFERROR(__xludf.DUMMYFUNCTION("""COMPUTED_VALUE"""),1.3500575096987855)</f>
        <v>1.35005751</v>
      </c>
      <c r="X1337" s="82">
        <f>IFERROR(__xludf.DUMMYFUNCTION("""COMPUTED_VALUE"""),2.4738966822697934)</f>
        <v>2.473896682</v>
      </c>
      <c r="Y1337" s="82">
        <f>IFERROR(__xludf.DUMMYFUNCTION("""COMPUTED_VALUE"""),342.16553358041665)</f>
        <v>342.1655336</v>
      </c>
      <c r="Z1337" s="82">
        <f>IFERROR(__xludf.DUMMYFUNCTION("""COMPUTED_VALUE"""),0.7443610054685154)</f>
        <v>0.7443610055</v>
      </c>
      <c r="AA1337" s="82">
        <f>IFERROR(__xludf.DUMMYFUNCTION("""COMPUTED_VALUE"""),0.5511312813242562)</f>
        <v>0.5511312813</v>
      </c>
      <c r="AB1337" s="82">
        <f>IFERROR(__xludf.DUMMYFUNCTION("""COMPUTED_VALUE"""),1.288450248118697)</f>
        <v>1.288450248</v>
      </c>
      <c r="AC1337" s="82">
        <f>IFERROR(__xludf.DUMMYFUNCTION("""COMPUTED_VALUE"""),2.5794835844938446)</f>
        <v>2.579483584</v>
      </c>
      <c r="AD1337" s="82">
        <f>IFERROR(__xludf.DUMMYFUNCTION("""COMPUTED_VALUE"""),0.8419066220874208)</f>
        <v>0.8419066221</v>
      </c>
      <c r="AE1337" s="82">
        <f>IFERROR(__xludf.DUMMYFUNCTION("""COMPUTED_VALUE"""),0.7676766612309347)</f>
        <v>0.7676766612</v>
      </c>
      <c r="AF1337" s="82">
        <f>IFERROR(__xludf.DUMMYFUNCTION("""COMPUTED_VALUE"""),0.5184142061901703)</f>
        <v>0.5184142062</v>
      </c>
      <c r="AG1337" s="82">
        <f>IFERROR(__xludf.DUMMYFUNCTION("""COMPUTED_VALUE"""),1.0533141338786347)</f>
        <v>1.053314134</v>
      </c>
      <c r="AH1337" s="82">
        <f>IFERROR(__xludf.DUMMYFUNCTION("""COMPUTED_VALUE"""),0.6645848512434311)</f>
        <v>0.6645848512</v>
      </c>
      <c r="AI1337" s="82">
        <f>IFERROR(__xludf.DUMMYFUNCTION("""COMPUTED_VALUE"""),1.0513204517961332)</f>
        <v>1.051320452</v>
      </c>
      <c r="AJ1337" s="82">
        <f>IFERROR(__xludf.DUMMYFUNCTION("""COMPUTED_VALUE"""),1.3134386578885189)</f>
        <v>1.313438658</v>
      </c>
      <c r="AK1337" s="82">
        <f>IFERROR(__xludf.DUMMYFUNCTION("""COMPUTED_VALUE"""),1.3615938553000644)</f>
        <v>1.361593855</v>
      </c>
      <c r="AL1337" s="82">
        <f>IFERROR(__xludf.DUMMYFUNCTION("""COMPUTED_VALUE"""),0.8641607178104319)</f>
        <v>0.8641607178</v>
      </c>
      <c r="AM1337" s="82">
        <f>IFERROR(__xludf.DUMMYFUNCTION("""COMPUTED_VALUE"""),0.9239327988496063)</f>
        <v>0.9239327988</v>
      </c>
      <c r="AN1337" s="82">
        <f>IFERROR(__xludf.DUMMYFUNCTION("""COMPUTED_VALUE"""),0.8343190543058261)</f>
        <v>0.8343190543</v>
      </c>
      <c r="AO1337" s="82">
        <f>IFERROR(__xludf.DUMMYFUNCTION("""COMPUTED_VALUE"""),0.7575144318038524)</f>
        <v>0.7575144318</v>
      </c>
      <c r="AP1337" s="82">
        <f>IFERROR(__xludf.DUMMYFUNCTION("""COMPUTED_VALUE"""),0.5298603778000566)</f>
        <v>0.5298603778</v>
      </c>
      <c r="AQ1337" s="82">
        <f>IFERROR(__xludf.DUMMYFUNCTION("""COMPUTED_VALUE"""),1.0048119645415448)</f>
        <v>1.004811965</v>
      </c>
      <c r="AR1337" s="82">
        <f>IFERROR(__xludf.DUMMYFUNCTION("""COMPUTED_VALUE"""),0.6694645803552803)</f>
        <v>0.6694645804</v>
      </c>
      <c r="AS1337" s="82">
        <f>IFERROR(__xludf.DUMMYFUNCTION("""COMPUTED_VALUE"""),23.0)</f>
        <v>23</v>
      </c>
      <c r="AT1337" s="82">
        <f>IFERROR(__xludf.DUMMYFUNCTION("""COMPUTED_VALUE"""),0.29024955207331116)</f>
        <v>0.2902495521</v>
      </c>
      <c r="AU1337" s="82">
        <f>IFERROR(__xludf.DUMMYFUNCTION("""COMPUTED_VALUE"""),1.219637142915038)</f>
        <v>1.219637143</v>
      </c>
      <c r="AV1337" s="82">
        <f>IFERROR(__xludf.DUMMYFUNCTION("""COMPUTED_VALUE"""),14.368406132817285)</f>
        <v>14.36840613</v>
      </c>
      <c r="AW1337" s="82">
        <f t="shared" si="1"/>
        <v>-12.980188</v>
      </c>
      <c r="AX1337" s="83">
        <f t="array" ref="AX1337">IFERROR(DGET('SBV Import'!A:G,"SBV",{"RSC ID","Tier";B1337,A1337}))</f>
        <v>32.32340879</v>
      </c>
      <c r="AY1337" s="82">
        <f t="shared" si="2"/>
        <v>-4.170777272</v>
      </c>
      <c r="AZ1337" s="82">
        <v>8.809410732559293</v>
      </c>
      <c r="BA1337" s="84">
        <v>1200.0</v>
      </c>
      <c r="BB1337" s="84" t="b">
        <f>IFERROR(__xludf.DUMMYFUNCTION("iferror(if(A1337="""",,E1337&gt;=FILTER(Constants!$F$2:$F$10,Constants!$A$2:$A$10=A1337)))"),TRUE)</f>
        <v>1</v>
      </c>
    </row>
    <row r="1338">
      <c r="A1338" s="89" t="str">
        <f>IFERROR(__xludf.DUMMYFUNCTION("""COMPUTED_VALUE"""),"Veteran")</f>
        <v>Veteran</v>
      </c>
      <c r="B1338" s="87" t="str">
        <f>IFERROR(__xludf.DUMMYFUNCTION("""COMPUTED_VALUE"""),"RSC000367")</f>
        <v>RSC000367</v>
      </c>
      <c r="C1338" s="73" t="str">
        <f>IFERROR(__xludf.DUMMYFUNCTION("""COMPUTED_VALUE"""),"Pana")</f>
        <v>Pana</v>
      </c>
      <c r="D1338" s="73" t="str">
        <f>IFERROR(__xludf.DUMMYFUNCTION("""COMPUTED_VALUE"""),"Supernova")</f>
        <v>Supernova</v>
      </c>
      <c r="E1338" s="82">
        <f>IFERROR(__xludf.DUMMYFUNCTION("""COMPUTED_VALUE"""),20.0)</f>
        <v>20</v>
      </c>
      <c r="F1338" s="82">
        <f>IFERROR(__xludf.DUMMYFUNCTION("""COMPUTED_VALUE"""),5.0)</f>
        <v>5</v>
      </c>
      <c r="G1338" s="86">
        <f>IFERROR(__xludf.DUMMYFUNCTION("""COMPUTED_VALUE"""),15.0)</f>
        <v>15</v>
      </c>
      <c r="H1338" s="86">
        <f>IFERROR(__xludf.DUMMYFUNCTION("""COMPUTED_VALUE"""),0.25)</f>
        <v>0.25</v>
      </c>
      <c r="I1338" s="86">
        <f>IFERROR(__xludf.DUMMYFUNCTION("""COMPUTED_VALUE"""),0.15555555555555556)</f>
        <v>0.1555555556</v>
      </c>
      <c r="J1338" s="82">
        <f>IFERROR(__xludf.DUMMYFUNCTION("""COMPUTED_VALUE"""),290.05)</f>
        <v>290.05</v>
      </c>
      <c r="K1338" s="82">
        <f>IFERROR(__xludf.DUMMYFUNCTION("""COMPUTED_VALUE"""),0.35)</f>
        <v>0.35</v>
      </c>
      <c r="L1338" s="82">
        <f>IFERROR(__xludf.DUMMYFUNCTION("""COMPUTED_VALUE"""),0.35)</f>
        <v>0.35</v>
      </c>
      <c r="M1338" s="82">
        <f>IFERROR(__xludf.DUMMYFUNCTION("""COMPUTED_VALUE"""),1.65)</f>
        <v>1.65</v>
      </c>
      <c r="N1338" s="82">
        <f>IFERROR(__xludf.DUMMYFUNCTION("""COMPUTED_VALUE"""),2.25)</f>
        <v>2.25</v>
      </c>
      <c r="O1338" s="82">
        <f>IFERROR(__xludf.DUMMYFUNCTION("""COMPUTED_VALUE"""),397.34999999999997)</f>
        <v>397.35</v>
      </c>
      <c r="P1338" s="82">
        <f>IFERROR(__xludf.DUMMYFUNCTION("""COMPUTED_VALUE"""),1.1833333333333331)</f>
        <v>1.183333333</v>
      </c>
      <c r="Q1338" s="82">
        <f>IFERROR(__xludf.DUMMYFUNCTION("""COMPUTED_VALUE"""),0.7833333333333333)</f>
        <v>0.7833333333</v>
      </c>
      <c r="R1338" s="82">
        <f>IFERROR(__xludf.DUMMYFUNCTION("""COMPUTED_VALUE"""),1.1833333333333333)</f>
        <v>1.183333333</v>
      </c>
      <c r="S1338" s="82">
        <f>IFERROR(__xludf.DUMMYFUNCTION("""COMPUTED_VALUE"""),3.1333333333333333)</f>
        <v>3.133333333</v>
      </c>
      <c r="T1338" s="82">
        <f>IFERROR(__xludf.DUMMYFUNCTION("""COMPUTED_VALUE"""),348.6781970496428)</f>
        <v>348.678197</v>
      </c>
      <c r="U1338" s="82">
        <f>IFERROR(__xludf.DUMMYFUNCTION("""COMPUTED_VALUE"""),0.8011054867349238)</f>
        <v>0.8011054867</v>
      </c>
      <c r="V1338" s="82">
        <f>IFERROR(__xludf.DUMMYFUNCTION("""COMPUTED_VALUE"""),0.589006365991063)</f>
        <v>0.589006366</v>
      </c>
      <c r="W1338" s="82">
        <f>IFERROR(__xludf.DUMMYFUNCTION("""COMPUTED_VALUE"""),1.257087708868877)</f>
        <v>1.257087709</v>
      </c>
      <c r="X1338" s="82">
        <f>IFERROR(__xludf.DUMMYFUNCTION("""COMPUTED_VALUE"""),2.6616965034250697)</f>
        <v>2.661696503</v>
      </c>
      <c r="Y1338" s="82">
        <f>IFERROR(__xludf.DUMMYFUNCTION("""COMPUTED_VALUE"""),345.081661689013)</f>
        <v>345.0816617</v>
      </c>
      <c r="Z1338" s="82">
        <f>IFERROR(__xludf.DUMMYFUNCTION("""COMPUTED_VALUE"""),0.7237936201652259)</f>
        <v>0.7237936202</v>
      </c>
      <c r="AA1338" s="82">
        <f>IFERROR(__xludf.DUMMYFUNCTION("""COMPUTED_VALUE"""),0.49425899817883356)</f>
        <v>0.4942589982</v>
      </c>
      <c r="AB1338" s="82">
        <f>IFERROR(__xludf.DUMMYFUNCTION("""COMPUTED_VALUE"""),1.4249446333380935)</f>
        <v>1.424944633</v>
      </c>
      <c r="AC1338" s="82">
        <f>IFERROR(__xludf.DUMMYFUNCTION("""COMPUTED_VALUE"""),2.4211221743657942)</f>
        <v>2.421122174</v>
      </c>
      <c r="AD1338" s="82">
        <f>IFERROR(__xludf.DUMMYFUNCTION("""COMPUTED_VALUE"""),0.8405256847910758)</f>
        <v>0.8405256848</v>
      </c>
      <c r="AE1338" s="82">
        <f>IFERROR(__xludf.DUMMYFUNCTION("""COMPUTED_VALUE"""),0.4835632564985898)</f>
        <v>0.4835632565</v>
      </c>
      <c r="AF1338" s="82">
        <f>IFERROR(__xludf.DUMMYFUNCTION("""COMPUTED_VALUE"""),0.7081307599651679)</f>
        <v>0.70813076</v>
      </c>
      <c r="AG1338" s="82">
        <f>IFERROR(__xludf.DUMMYFUNCTION("""COMPUTED_VALUE"""),1.157939727198164)</f>
        <v>1.157939727</v>
      </c>
      <c r="AH1338" s="82">
        <f>IFERROR(__xludf.DUMMYFUNCTION("""COMPUTED_VALUE"""),0.9293211320859431)</f>
        <v>0.9293211321</v>
      </c>
      <c r="AI1338" s="82">
        <f>IFERROR(__xludf.DUMMYFUNCTION("""COMPUTED_VALUE"""),1.1395894649054514)</f>
        <v>1.139589465</v>
      </c>
      <c r="AJ1338" s="82">
        <f>IFERROR(__xludf.DUMMYFUNCTION("""COMPUTED_VALUE"""),1.4771254883751457)</f>
        <v>1.477125488</v>
      </c>
      <c r="AK1338" s="82">
        <f>IFERROR(__xludf.DUMMYFUNCTION("""COMPUTED_VALUE"""),1.3299233736044525)</f>
        <v>1.329923374</v>
      </c>
      <c r="AL1338" s="82">
        <f>IFERROR(__xludf.DUMMYFUNCTION("""COMPUTED_VALUE"""),0.9413291729644644)</f>
        <v>0.941329173</v>
      </c>
      <c r="AM1338" s="82">
        <f>IFERROR(__xludf.DUMMYFUNCTION("""COMPUTED_VALUE"""),1.177194067505954)</f>
        <v>1.177194068</v>
      </c>
      <c r="AN1338" s="82">
        <f>IFERROR(__xludf.DUMMYFUNCTION("""COMPUTED_VALUE"""),0.840049438090669)</f>
        <v>0.8400494381</v>
      </c>
      <c r="AO1338" s="82">
        <f>IFERROR(__xludf.DUMMYFUNCTION("""COMPUTED_VALUE"""),0.46397758947985956)</f>
        <v>0.4639775895</v>
      </c>
      <c r="AP1338" s="82">
        <f>IFERROR(__xludf.DUMMYFUNCTION("""COMPUTED_VALUE"""),0.6490789628050694)</f>
        <v>0.6490789628</v>
      </c>
      <c r="AQ1338" s="82">
        <f>IFERROR(__xludf.DUMMYFUNCTION("""COMPUTED_VALUE"""),1.2216398095215621)</f>
        <v>1.22163981</v>
      </c>
      <c r="AR1338" s="82">
        <f>IFERROR(__xludf.DUMMYFUNCTION("""COMPUTED_VALUE"""),0.8786722617163055)</f>
        <v>0.8786722617</v>
      </c>
      <c r="AS1338" s="82">
        <f>IFERROR(__xludf.DUMMYFUNCTION("""COMPUTED_VALUE"""),40.0)</f>
        <v>40</v>
      </c>
      <c r="AT1338" s="82">
        <f>IFERROR(__xludf.DUMMYFUNCTION("""COMPUTED_VALUE"""),0.2812302212016141)</f>
        <v>0.2812302212</v>
      </c>
      <c r="AU1338" s="82">
        <f>IFERROR(__xludf.DUMMYFUNCTION("""COMPUTED_VALUE"""),1.0453427040870298)</f>
        <v>1.045342704</v>
      </c>
      <c r="AV1338" s="82">
        <f>IFERROR(__xludf.DUMMYFUNCTION("""COMPUTED_VALUE"""),8.969445539222697)</f>
        <v>8.969445539</v>
      </c>
      <c r="AW1338" s="82">
        <f t="shared" si="1"/>
        <v>-19.8508598</v>
      </c>
      <c r="AX1338" s="83">
        <f t="array" ref="AX1338">IFERROR(DGET('SBV Import'!A:G,"SBV",{"RSC ID","Tier";B1338,A1338}))</f>
        <v>19.59498704</v>
      </c>
      <c r="AY1338" s="82">
        <f t="shared" si="2"/>
        <v>-8.932218232</v>
      </c>
      <c r="AZ1338" s="82">
        <v>10.918641564267892</v>
      </c>
      <c r="BA1338" s="84">
        <v>1200.0</v>
      </c>
      <c r="BB1338" s="84" t="b">
        <f>IFERROR(__xludf.DUMMYFUNCTION("iferror(if(A1338="""",,E1338&gt;=FILTER(Constants!$F$2:$F$10,Constants!$A$2:$A$10=A1338)))"),TRUE)</f>
        <v>1</v>
      </c>
    </row>
    <row r="1339">
      <c r="A1339" s="89" t="str">
        <f>IFERROR(__xludf.DUMMYFUNCTION("""COMPUTED_VALUE"""),"Veteran")</f>
        <v>Veteran</v>
      </c>
      <c r="B1339" s="87" t="str">
        <f>IFERROR(__xludf.DUMMYFUNCTION("""COMPUTED_VALUE"""),"RSC006174")</f>
        <v>RSC006174</v>
      </c>
      <c r="C1339" s="73" t="str">
        <f>IFERROR(__xludf.DUMMYFUNCTION("""COMPUTED_VALUE"""),"I like bananas")</f>
        <v>I like bananas</v>
      </c>
      <c r="D1339" s="73"/>
      <c r="E1339" s="82">
        <f>IFERROR(__xludf.DUMMYFUNCTION("""COMPUTED_VALUE"""),5.0)</f>
        <v>5</v>
      </c>
      <c r="F1339" s="82">
        <f>IFERROR(__xludf.DUMMYFUNCTION("""COMPUTED_VALUE"""),1.0)</f>
        <v>1</v>
      </c>
      <c r="G1339" s="86">
        <f>IFERROR(__xludf.DUMMYFUNCTION("""COMPUTED_VALUE"""),4.0)</f>
        <v>4</v>
      </c>
      <c r="H1339" s="86">
        <f>IFERROR(__xludf.DUMMYFUNCTION("""COMPUTED_VALUE"""),0.2)</f>
        <v>0.2</v>
      </c>
      <c r="I1339" s="86">
        <f>IFERROR(__xludf.DUMMYFUNCTION("""COMPUTED_VALUE"""),0.125)</f>
        <v>0.125</v>
      </c>
      <c r="J1339" s="82">
        <f>IFERROR(__xludf.DUMMYFUNCTION("""COMPUTED_VALUE"""),405.6)</f>
        <v>405.6</v>
      </c>
      <c r="K1339" s="82">
        <f>IFERROR(__xludf.DUMMYFUNCTION("""COMPUTED_VALUE"""),0.2)</f>
        <v>0.2</v>
      </c>
      <c r="L1339" s="82">
        <f>IFERROR(__xludf.DUMMYFUNCTION("""COMPUTED_VALUE"""),0.2)</f>
        <v>0.2</v>
      </c>
      <c r="M1339" s="82">
        <f>IFERROR(__xludf.DUMMYFUNCTION("""COMPUTED_VALUE"""),3.6)</f>
        <v>3.6</v>
      </c>
      <c r="N1339" s="82">
        <f>IFERROR(__xludf.DUMMYFUNCTION("""COMPUTED_VALUE"""),1.6)</f>
        <v>1.6</v>
      </c>
      <c r="O1339" s="82">
        <f>IFERROR(__xludf.DUMMYFUNCTION("""COMPUTED_VALUE"""),431.5333333333333)</f>
        <v>431.5333333</v>
      </c>
      <c r="P1339" s="82">
        <f>IFERROR(__xludf.DUMMYFUNCTION("""COMPUTED_VALUE"""),1.2)</f>
        <v>1.2</v>
      </c>
      <c r="Q1339" s="82">
        <f>IFERROR(__xludf.DUMMYFUNCTION("""COMPUTED_VALUE"""),0.7333333333333332)</f>
        <v>0.7333333333</v>
      </c>
      <c r="R1339" s="82">
        <f>IFERROR(__xludf.DUMMYFUNCTION("""COMPUTED_VALUE"""),1.0666666666666667)</f>
        <v>1.066666667</v>
      </c>
      <c r="S1339" s="82">
        <f>IFERROR(__xludf.DUMMYFUNCTION("""COMPUTED_VALUE"""),4.466666666666667)</f>
        <v>4.466666667</v>
      </c>
      <c r="T1339" s="82">
        <f>IFERROR(__xludf.DUMMYFUNCTION("""COMPUTED_VALUE"""),374.64695611577963)</f>
        <v>374.6469561</v>
      </c>
      <c r="U1339" s="82">
        <f>IFERROR(__xludf.DUMMYFUNCTION("""COMPUTED_VALUE"""),0.8889604730781201)</f>
        <v>0.8889604731</v>
      </c>
      <c r="V1339" s="82">
        <f>IFERROR(__xludf.DUMMYFUNCTION("""COMPUTED_VALUE"""),0.6564737005913476)</f>
        <v>0.6564737006</v>
      </c>
      <c r="W1339" s="82">
        <f>IFERROR(__xludf.DUMMYFUNCTION("""COMPUTED_VALUE"""),1.3237659508247746)</f>
        <v>1.323765951</v>
      </c>
      <c r="X1339" s="82">
        <f>IFERROR(__xludf.DUMMYFUNCTION("""COMPUTED_VALUE"""),2.9219296607531904)</f>
        <v>2.921929661</v>
      </c>
      <c r="Y1339" s="82">
        <f>IFERROR(__xludf.DUMMYFUNCTION("""COMPUTED_VALUE"""),350.80464882249197)</f>
        <v>350.8046488</v>
      </c>
      <c r="Z1339" s="82">
        <f>IFERROR(__xludf.DUMMYFUNCTION("""COMPUTED_VALUE"""),0.7159663865546217)</f>
        <v>0.7159663866</v>
      </c>
      <c r="AA1339" s="82">
        <f>IFERROR(__xludf.DUMMYFUNCTION("""COMPUTED_VALUE"""),0.47135802469135796)</f>
        <v>0.4713580247</v>
      </c>
      <c r="AB1339" s="82">
        <f>IFERROR(__xludf.DUMMYFUNCTION("""COMPUTED_VALUE"""),1.5262703599958503)</f>
        <v>1.52627036</v>
      </c>
      <c r="AC1339" s="82">
        <f>IFERROR(__xludf.DUMMYFUNCTION("""COMPUTED_VALUE"""),2.464703807448906)</f>
        <v>2.464703807</v>
      </c>
      <c r="AD1339" s="82">
        <f>IFERROR(__xludf.DUMMYFUNCTION("""COMPUTED_VALUE"""),1.1561990451421715)</f>
        <v>1.156199045</v>
      </c>
      <c r="AE1339" s="82">
        <f>IFERROR(__xludf.DUMMYFUNCTION("""COMPUTED_VALUE"""),0.27934272300469487)</f>
        <v>0.279342723</v>
      </c>
      <c r="AF1339" s="82">
        <f>IFERROR(__xludf.DUMMYFUNCTION("""COMPUTED_VALUE"""),0.42430591932949197)</f>
        <v>0.4243059193</v>
      </c>
      <c r="AG1339" s="82">
        <f>IFERROR(__xludf.DUMMYFUNCTION("""COMPUTED_VALUE"""),2.358690894062693)</f>
        <v>2.358690894</v>
      </c>
      <c r="AH1339" s="82">
        <f>IFERROR(__xludf.DUMMYFUNCTION("""COMPUTED_VALUE"""),0.6491652243017718)</f>
        <v>0.6491652243</v>
      </c>
      <c r="AI1339" s="82">
        <f>IFERROR(__xludf.DUMMYFUNCTION("""COMPUTED_VALUE"""),1.1518399556941115)</f>
        <v>1.151839956</v>
      </c>
      <c r="AJ1339" s="82">
        <f>IFERROR(__xludf.DUMMYFUNCTION("""COMPUTED_VALUE"""),1.3498912902672404)</f>
        <v>1.34989129</v>
      </c>
      <c r="AK1339" s="82">
        <f>IFERROR(__xludf.DUMMYFUNCTION("""COMPUTED_VALUE"""),1.1170795306388526)</f>
        <v>1.117079531</v>
      </c>
      <c r="AL1339" s="82">
        <f>IFERROR(__xludf.DUMMYFUNCTION("""COMPUTED_VALUE"""),0.8057819178700572)</f>
        <v>0.8057819179</v>
      </c>
      <c r="AM1339" s="82">
        <f>IFERROR(__xludf.DUMMYFUNCTION("""COMPUTED_VALUE"""),1.528670154748108)</f>
        <v>1.528670155</v>
      </c>
      <c r="AN1339" s="82">
        <f>IFERROR(__xludf.DUMMYFUNCTION("""COMPUTED_VALUE"""),1.1747079885867104)</f>
        <v>1.174707989</v>
      </c>
      <c r="AO1339" s="82">
        <f>IFERROR(__xludf.DUMMYFUNCTION("""COMPUTED_VALUE"""),0.26513005113134835)</f>
        <v>0.2651300511</v>
      </c>
      <c r="AP1339" s="82">
        <f>IFERROR(__xludf.DUMMYFUNCTION("""COMPUTED_VALUE"""),0.37090226446003965)</f>
        <v>0.3709022645</v>
      </c>
      <c r="AQ1339" s="82">
        <f>IFERROR(__xludf.DUMMYFUNCTION("""COMPUTED_VALUE"""),2.665395948047045)</f>
        <v>2.665395948</v>
      </c>
      <c r="AR1339" s="82">
        <f>IFERROR(__xludf.DUMMYFUNCTION("""COMPUTED_VALUE"""),0.6248336083315951)</f>
        <v>0.6248336083</v>
      </c>
      <c r="AS1339" s="82">
        <f>IFERROR(__xludf.DUMMYFUNCTION("""COMPUTED_VALUE"""),6.0)</f>
        <v>6</v>
      </c>
      <c r="AT1339" s="82">
        <f>IFERROR(__xludf.DUMMYFUNCTION("""COMPUTED_VALUE"""),0.15144669311670023)</f>
        <v>0.1514466931</v>
      </c>
      <c r="AU1339" s="82">
        <f>IFERROR(__xludf.DUMMYFUNCTION("""COMPUTED_VALUE"""),0.7281967243236597)</f>
        <v>0.7281967243</v>
      </c>
      <c r="AV1339" s="82">
        <f>IFERROR(__xludf.DUMMYFUNCTION("""COMPUTED_VALUE"""),-0.8544975462421078)</f>
        <v>-0.8544975462</v>
      </c>
      <c r="AW1339" s="82">
        <f t="shared" si="1"/>
        <v>-47.69460931</v>
      </c>
      <c r="AX1339" s="83">
        <f t="array" ref="AX1339">IFERROR(DGET('SBV Import'!A:G,"SBV",{"RSC ID","Tier";B1339,A1339}))</f>
        <v>19.18340175</v>
      </c>
      <c r="AY1339" s="82">
        <f t="shared" si="2"/>
        <v>-9.186904959</v>
      </c>
      <c r="AZ1339" s="82">
        <v>38.50770434992169</v>
      </c>
      <c r="BA1339" s="84">
        <v>1200.0</v>
      </c>
      <c r="BB1339" s="84" t="b">
        <f>IFERROR(__xludf.DUMMYFUNCTION("iferror(if(A1339="""",,E1339&gt;=FILTER(Constants!$F$2:$F$10,Constants!$A$2:$A$10=A1339)))"),TRUE)</f>
        <v>1</v>
      </c>
    </row>
    <row r="1340">
      <c r="A1340" s="89" t="str">
        <f>IFERROR(__xludf.DUMMYFUNCTION("""COMPUTED_VALUE"""),"Veteran")</f>
        <v>Veteran</v>
      </c>
      <c r="B1340" s="87" t="str">
        <f>IFERROR(__xludf.DUMMYFUNCTION("""COMPUTED_VALUE"""),"RSC004188")</f>
        <v>RSC004188</v>
      </c>
      <c r="C1340" s="73" t="str">
        <f>IFERROR(__xludf.DUMMYFUNCTION("""COMPUTED_VALUE"""),"wntr")</f>
        <v>wntr</v>
      </c>
      <c r="D1340" s="73" t="str">
        <f>IFERROR(__xludf.DUMMYFUNCTION("""COMPUTED_VALUE"""),"Azalea")</f>
        <v>Azalea</v>
      </c>
      <c r="E1340" s="82">
        <f>IFERROR(__xludf.DUMMYFUNCTION("""COMPUTED_VALUE"""),9.0)</f>
        <v>9</v>
      </c>
      <c r="F1340" s="82">
        <f>IFERROR(__xludf.DUMMYFUNCTION("""COMPUTED_VALUE"""),3.0)</f>
        <v>3</v>
      </c>
      <c r="G1340" s="86">
        <f>IFERROR(__xludf.DUMMYFUNCTION("""COMPUTED_VALUE"""),6.0)</f>
        <v>6</v>
      </c>
      <c r="H1340" s="86">
        <f>IFERROR(__xludf.DUMMYFUNCTION("""COMPUTED_VALUE"""),0.3333333333333333)</f>
        <v>0.3333333333</v>
      </c>
      <c r="I1340" s="86">
        <f>IFERROR(__xludf.DUMMYFUNCTION("""COMPUTED_VALUE"""),0.14285714285714285)</f>
        <v>0.1428571429</v>
      </c>
      <c r="J1340" s="82">
        <f>IFERROR(__xludf.DUMMYFUNCTION("""COMPUTED_VALUE"""),238.55555555555554)</f>
        <v>238.5555556</v>
      </c>
      <c r="K1340" s="82">
        <f>IFERROR(__xludf.DUMMYFUNCTION("""COMPUTED_VALUE"""),0.1111111111111111)</f>
        <v>0.1111111111</v>
      </c>
      <c r="L1340" s="82">
        <f>IFERROR(__xludf.DUMMYFUNCTION("""COMPUTED_VALUE"""),0.5555555555555556)</f>
        <v>0.5555555556</v>
      </c>
      <c r="M1340" s="82">
        <f>IFERROR(__xludf.DUMMYFUNCTION("""COMPUTED_VALUE"""),1.2222222222222223)</f>
        <v>1.222222222</v>
      </c>
      <c r="N1340" s="82">
        <f>IFERROR(__xludf.DUMMYFUNCTION("""COMPUTED_VALUE"""),0.7777777777777778)</f>
        <v>0.7777777778</v>
      </c>
      <c r="O1340" s="82">
        <f>IFERROR(__xludf.DUMMYFUNCTION("""COMPUTED_VALUE"""),350.55555555555554)</f>
        <v>350.5555556</v>
      </c>
      <c r="P1340" s="82">
        <f>IFERROR(__xludf.DUMMYFUNCTION("""COMPUTED_VALUE"""),0.9629629629629631)</f>
        <v>0.962962963</v>
      </c>
      <c r="Q1340" s="82">
        <f>IFERROR(__xludf.DUMMYFUNCTION("""COMPUTED_VALUE"""),0.5185185185185185)</f>
        <v>0.5185185185</v>
      </c>
      <c r="R1340" s="82">
        <f>IFERROR(__xludf.DUMMYFUNCTION("""COMPUTED_VALUE"""),0.9629629629629629)</f>
        <v>0.962962963</v>
      </c>
      <c r="S1340" s="82">
        <f>IFERROR(__xludf.DUMMYFUNCTION("""COMPUTED_VALUE"""),2.6666666666666665)</f>
        <v>2.666666667</v>
      </c>
      <c r="T1340" s="82">
        <f>IFERROR(__xludf.DUMMYFUNCTION("""COMPUTED_VALUE"""),343.24963645271714)</f>
        <v>343.2496365</v>
      </c>
      <c r="U1340" s="82">
        <f>IFERROR(__xludf.DUMMYFUNCTION("""COMPUTED_VALUE"""),0.7673773250793768)</f>
        <v>0.7673773251</v>
      </c>
      <c r="V1340" s="82">
        <f>IFERROR(__xludf.DUMMYFUNCTION("""COMPUTED_VALUE"""),0.544703882626588)</f>
        <v>0.5447038826</v>
      </c>
      <c r="W1340" s="82">
        <f>IFERROR(__xludf.DUMMYFUNCTION("""COMPUTED_VALUE"""),1.3392838376520146)</f>
        <v>1.339283838</v>
      </c>
      <c r="X1340" s="82">
        <f>IFERROR(__xludf.DUMMYFUNCTION("""COMPUTED_VALUE"""),2.46072709346385)</f>
        <v>2.460727093</v>
      </c>
      <c r="Y1340" s="82">
        <f>IFERROR(__xludf.DUMMYFUNCTION("""COMPUTED_VALUE"""),358.6460656380608)</f>
        <v>358.6460656</v>
      </c>
      <c r="Z1340" s="82">
        <f>IFERROR(__xludf.DUMMYFUNCTION("""COMPUTED_VALUE"""),0.8782715564616281)</f>
        <v>0.8782715565</v>
      </c>
      <c r="AA1340" s="82">
        <f>IFERROR(__xludf.DUMMYFUNCTION("""COMPUTED_VALUE"""),0.6150312642522556)</f>
        <v>0.6150312643</v>
      </c>
      <c r="AB1340" s="82">
        <f>IFERROR(__xludf.DUMMYFUNCTION("""COMPUTED_VALUE"""),1.2734299210868796)</f>
        <v>1.273429921</v>
      </c>
      <c r="AC1340" s="82">
        <f>IFERROR(__xludf.DUMMYFUNCTION("""COMPUTED_VALUE"""),2.626183380972653)</f>
        <v>2.626183381</v>
      </c>
      <c r="AD1340" s="82">
        <f>IFERROR(__xludf.DUMMYFUNCTION("""COMPUTED_VALUE"""),0.6651559250514727)</f>
        <v>0.6651559251</v>
      </c>
      <c r="AE1340" s="82">
        <f>IFERROR(__xludf.DUMMYFUNCTION("""COMPUTED_VALUE"""),0.12651111184649366)</f>
        <v>0.1265111118</v>
      </c>
      <c r="AF1340" s="82">
        <f>IFERROR(__xludf.DUMMYFUNCTION("""COMPUTED_VALUE"""),0.9032964466139627)</f>
        <v>0.9032964466</v>
      </c>
      <c r="AG1340" s="82">
        <f>IFERROR(__xludf.DUMMYFUNCTION("""COMPUTED_VALUE"""),0.9597875799706739)</f>
        <v>0.95978758</v>
      </c>
      <c r="AH1340" s="82">
        <f>IFERROR(__xludf.DUMMYFUNCTION("""COMPUTED_VALUE"""),0.2961627826194354)</f>
        <v>0.2961627826</v>
      </c>
      <c r="AI1340" s="82">
        <f>IFERROR(__xludf.DUMMYFUNCTION("""COMPUTED_VALUE"""),1.0212845647218765)</f>
        <v>1.021284565</v>
      </c>
      <c r="AJ1340" s="82">
        <f>IFERROR(__xludf.DUMMYFUNCTION("""COMPUTED_VALUE"""),1.2548754458744986)</f>
        <v>1.254875446</v>
      </c>
      <c r="AK1340" s="82">
        <f>IFERROR(__xludf.DUMMYFUNCTION("""COMPUTED_VALUE"""),0.9519273408116674)</f>
        <v>0.9519273408</v>
      </c>
      <c r="AL1340" s="82">
        <f>IFERROR(__xludf.DUMMYFUNCTION("""COMPUTED_VALUE"""),0.7190133531747801)</f>
        <v>0.7190133532</v>
      </c>
      <c r="AM1340" s="82">
        <f>IFERROR(__xludf.DUMMYFUNCTION("""COMPUTED_VALUE"""),1.0836905375447081)</f>
        <v>1.083690538</v>
      </c>
      <c r="AN1340" s="82">
        <f>IFERROR(__xludf.DUMMYFUNCTION("""COMPUTED_VALUE"""),0.6909100513630471)</f>
        <v>0.6909100514</v>
      </c>
      <c r="AO1340" s="82">
        <f>IFERROR(__xludf.DUMMYFUNCTION("""COMPUTED_VALUE"""),0.14729447285074906)</f>
        <v>0.1472944729</v>
      </c>
      <c r="AP1340" s="82">
        <f>IFERROR(__xludf.DUMMYFUNCTION("""COMPUTED_VALUE"""),1.0302840679445546)</f>
        <v>1.030284068</v>
      </c>
      <c r="AQ1340" s="82">
        <f>IFERROR(__xludf.DUMMYFUNCTION("""COMPUTED_VALUE"""),0.9049183774233795)</f>
        <v>0.9049183774</v>
      </c>
      <c r="AR1340" s="82">
        <f>IFERROR(__xludf.DUMMYFUNCTION("""COMPUTED_VALUE"""),0.3037385596056365)</f>
        <v>0.3037385596</v>
      </c>
      <c r="AS1340" s="82">
        <f>IFERROR(__xludf.DUMMYFUNCTION("""COMPUTED_VALUE"""),16.0)</f>
        <v>16</v>
      </c>
      <c r="AT1340" s="82">
        <f>IFERROR(__xludf.DUMMYFUNCTION("""COMPUTED_VALUE"""),0.3196366571660155)</f>
        <v>0.3196366572</v>
      </c>
      <c r="AU1340" s="82">
        <f>IFERROR(__xludf.DUMMYFUNCTION("""COMPUTED_VALUE"""),0.626509626097013)</f>
        <v>0.6265096261</v>
      </c>
      <c r="AV1340" s="82">
        <f>IFERROR(__xludf.DUMMYFUNCTION("""COMPUTED_VALUE"""),-4.004366468591378)</f>
        <v>-4.004366469</v>
      </c>
      <c r="AW1340" s="82">
        <f t="shared" si="1"/>
        <v>-65.0213002</v>
      </c>
      <c r="AX1340" s="83">
        <f t="array" ref="AX1340">IFERROR(DGET('SBV Import'!A:G,"SBV",{"RSC ID","Tier";B1340,A1340}))</f>
        <v>6.362832856</v>
      </c>
      <c r="AY1340" s="82">
        <f t="shared" si="2"/>
        <v>-24.7218214</v>
      </c>
      <c r="AZ1340" s="82">
        <v>40.2994788059606</v>
      </c>
      <c r="BA1340" s="84">
        <v>1200.0</v>
      </c>
      <c r="BB1340" s="84" t="b">
        <f>IFERROR(__xludf.DUMMYFUNCTION("iferror(if(A1340="""",,E1340&gt;=FILTER(Constants!$F$2:$F$10,Constants!$A$2:$A$10=A1340)))"),TRUE)</f>
        <v>1</v>
      </c>
    </row>
    <row r="1341">
      <c r="A1341" s="89" t="str">
        <f>IFERROR(__xludf.DUMMYFUNCTION("""COMPUTED_VALUE"""),"Veteran")</f>
        <v>Veteran</v>
      </c>
      <c r="B1341" s="87" t="str">
        <f>IFERROR(__xludf.DUMMYFUNCTION("""COMPUTED_VALUE"""),"RSC007486")</f>
        <v>RSC007486</v>
      </c>
      <c r="C1341" s="73" t="str">
        <f>IFERROR(__xludf.DUMMYFUNCTION("""COMPUTED_VALUE"""),"risfox")</f>
        <v>risfox</v>
      </c>
      <c r="D1341" s="73"/>
      <c r="E1341" s="82">
        <f>IFERROR(__xludf.DUMMYFUNCTION("""COMPUTED_VALUE"""),1.0)</f>
        <v>1</v>
      </c>
      <c r="F1341" s="82">
        <f>IFERROR(__xludf.DUMMYFUNCTION("""COMPUTED_VALUE"""),0.0)</f>
        <v>0</v>
      </c>
      <c r="G1341" s="86">
        <f>IFERROR(__xludf.DUMMYFUNCTION("""COMPUTED_VALUE"""),1.0)</f>
        <v>1</v>
      </c>
      <c r="H1341" s="86">
        <f>IFERROR(__xludf.DUMMYFUNCTION("""COMPUTED_VALUE"""),0.0)</f>
        <v>0</v>
      </c>
      <c r="I1341" s="86">
        <f>IFERROR(__xludf.DUMMYFUNCTION("""COMPUTED_VALUE"""),0.0)</f>
        <v>0</v>
      </c>
      <c r="J1341" s="82">
        <f>IFERROR(__xludf.DUMMYFUNCTION("""COMPUTED_VALUE"""),288.0)</f>
        <v>288</v>
      </c>
      <c r="K1341" s="82">
        <f>IFERROR(__xludf.DUMMYFUNCTION("""COMPUTED_VALUE"""),0.0)</f>
        <v>0</v>
      </c>
      <c r="L1341" s="82">
        <f>IFERROR(__xludf.DUMMYFUNCTION("""COMPUTED_VALUE"""),0.0)</f>
        <v>0</v>
      </c>
      <c r="M1341" s="82">
        <f>IFERROR(__xludf.DUMMYFUNCTION("""COMPUTED_VALUE"""),2.0)</f>
        <v>2</v>
      </c>
      <c r="N1341" s="82">
        <f>IFERROR(__xludf.DUMMYFUNCTION("""COMPUTED_VALUE"""),6.0)</f>
        <v>6</v>
      </c>
      <c r="O1341" s="82">
        <f>IFERROR(__xludf.DUMMYFUNCTION("""COMPUTED_VALUE"""),498.3333333333333)</f>
        <v>498.3333333</v>
      </c>
      <c r="P1341" s="82">
        <f>IFERROR(__xludf.DUMMYFUNCTION("""COMPUTED_VALUE"""),1.3333333333333333)</f>
        <v>1.333333333</v>
      </c>
      <c r="Q1341" s="82">
        <f>IFERROR(__xludf.DUMMYFUNCTION("""COMPUTED_VALUE"""),1.0)</f>
        <v>1</v>
      </c>
      <c r="R1341" s="82">
        <f>IFERROR(__xludf.DUMMYFUNCTION("""COMPUTED_VALUE"""),2.3333333333333335)</f>
        <v>2.333333333</v>
      </c>
      <c r="S1341" s="82">
        <f>IFERROR(__xludf.DUMMYFUNCTION("""COMPUTED_VALUE"""),3.6666666666666665)</f>
        <v>3.666666667</v>
      </c>
      <c r="T1341" s="82">
        <f>IFERROR(__xludf.DUMMYFUNCTION("""COMPUTED_VALUE"""),346.1847494553377)</f>
        <v>346.1847495</v>
      </c>
      <c r="U1341" s="82">
        <f>IFERROR(__xludf.DUMMYFUNCTION("""COMPUTED_VALUE"""),0.8412490922294844)</f>
        <v>0.8412490922</v>
      </c>
      <c r="V1341" s="82">
        <f>IFERROR(__xludf.DUMMYFUNCTION("""COMPUTED_VALUE"""),0.515758896151053)</f>
        <v>0.5157588962</v>
      </c>
      <c r="W1341" s="82">
        <f>IFERROR(__xludf.DUMMYFUNCTION("""COMPUTED_VALUE"""),1.2790123456790123)</f>
        <v>1.279012346</v>
      </c>
      <c r="X1341" s="82">
        <f>IFERROR(__xludf.DUMMYFUNCTION("""COMPUTED_VALUE"""),2.733696441539579)</f>
        <v>2.733696442</v>
      </c>
      <c r="Y1341" s="82">
        <f>IFERROR(__xludf.DUMMYFUNCTION("""COMPUTED_VALUE"""),336.1567901234567)</f>
        <v>336.1567901</v>
      </c>
      <c r="Z1341" s="82">
        <f>IFERROR(__xludf.DUMMYFUNCTION("""COMPUTED_VALUE"""),0.71999515855725)</f>
        <v>0.7199951586</v>
      </c>
      <c r="AA1341" s="82">
        <f>IFERROR(__xludf.DUMMYFUNCTION("""COMPUTED_VALUE"""),0.44872912127814096)</f>
        <v>0.4487291213</v>
      </c>
      <c r="AB1341" s="82">
        <f>IFERROR(__xludf.DUMMYFUNCTION("""COMPUTED_VALUE"""),1.4427257322682163)</f>
        <v>1.442725732</v>
      </c>
      <c r="AC1341" s="82">
        <f>IFERROR(__xludf.DUMMYFUNCTION("""COMPUTED_VALUE"""),2.3608085209392398)</f>
        <v>2.360808521</v>
      </c>
      <c r="AD1341" s="82">
        <f>IFERROR(__xludf.DUMMYFUNCTION("""COMPUTED_VALUE"""),0.8567430688942185)</f>
        <v>0.8567430689</v>
      </c>
      <c r="AE1341" s="82">
        <f>IFERROR(__xludf.DUMMYFUNCTION("""COMPUTED_VALUE"""),0.0)</f>
        <v>0</v>
      </c>
      <c r="AF1341" s="82">
        <f>IFERROR(__xludf.DUMMYFUNCTION("""COMPUTED_VALUE"""),0.0)</f>
        <v>0</v>
      </c>
      <c r="AG1341" s="82">
        <f>IFERROR(__xludf.DUMMYFUNCTION("""COMPUTED_VALUE"""),1.3862648702159428)</f>
        <v>1.38626487</v>
      </c>
      <c r="AH1341" s="82">
        <f>IFERROR(__xludf.DUMMYFUNCTION("""COMPUTED_VALUE"""),2.54150217892848)</f>
        <v>2.541502179</v>
      </c>
      <c r="AI1341" s="82">
        <f>IFERROR(__xludf.DUMMYFUNCTION("""COMPUTED_VALUE"""),1.439501116433856)</f>
        <v>1.439501116</v>
      </c>
      <c r="AJ1341" s="82">
        <f>IFERROR(__xludf.DUMMYFUNCTION("""COMPUTED_VALUE"""),1.5849447513812154)</f>
        <v>1.584944751</v>
      </c>
      <c r="AK1341" s="82">
        <f>IFERROR(__xludf.DUMMYFUNCTION("""COMPUTED_VALUE"""),1.9388904533934104)</f>
        <v>1.938890453</v>
      </c>
      <c r="AL1341" s="82">
        <f>IFERROR(__xludf.DUMMYFUNCTION("""COMPUTED_VALUE"""),1.8243243243243243)</f>
        <v>1.824324324</v>
      </c>
      <c r="AM1341" s="82">
        <f>IFERROR(__xludf.DUMMYFUNCTION("""COMPUTED_VALUE"""),1.341285232314109)</f>
        <v>1.341285232</v>
      </c>
      <c r="AN1341" s="82">
        <f>IFERROR(__xludf.DUMMYFUNCTION("""COMPUTED_VALUE"""),0.8341121812450014)</f>
        <v>0.8341121812</v>
      </c>
      <c r="AO1341" s="82">
        <f>IFERROR(__xludf.DUMMYFUNCTION("""COMPUTED_VALUE"""),0.0)</f>
        <v>0</v>
      </c>
      <c r="AP1341" s="82">
        <f>IFERROR(__xludf.DUMMYFUNCTION("""COMPUTED_VALUE"""),0.0)</f>
        <v>0</v>
      </c>
      <c r="AQ1341" s="82">
        <f>IFERROR(__xludf.DUMMYFUNCTION("""COMPUTED_VALUE"""),1.4807755266928027)</f>
        <v>1.480775527</v>
      </c>
      <c r="AR1341" s="82">
        <f>IFERROR(__xludf.DUMMYFUNCTION("""COMPUTED_VALUE"""),2.3431260312434814)</f>
        <v>2.343126031</v>
      </c>
      <c r="AS1341" s="82">
        <f>IFERROR(__xludf.DUMMYFUNCTION("""COMPUTED_VALUE"""),1.0)</f>
        <v>1</v>
      </c>
      <c r="AT1341" s="82">
        <f>IFERROR(__xludf.DUMMYFUNCTION("""COMPUTED_VALUE"""),0.0997335823282657)</f>
        <v>0.09973358233</v>
      </c>
      <c r="AU1341" s="82">
        <f>IFERROR(__xludf.DUMMYFUNCTION("""COMPUTED_VALUE"""),0.5700454754377542)</f>
        <v>0.5700454754</v>
      </c>
      <c r="AV1341" s="82">
        <f>IFERROR(__xludf.DUMMYFUNCTION("""COMPUTED_VALUE"""),-5.753405201037374)</f>
        <v>-5.753405201</v>
      </c>
      <c r="AW1341" s="82">
        <f t="shared" si="1"/>
        <v>-77.70490273</v>
      </c>
      <c r="AX1341" s="83">
        <f t="array" ref="AX1341">IFERROR(DGET('SBV Import'!A:G,"SBV",{"RSC ID","Tier";B1341,A1341}))</f>
        <v>28.72907978</v>
      </c>
      <c r="AY1341" s="82">
        <f t="shared" si="2"/>
        <v>-5.065086214</v>
      </c>
      <c r="AZ1341" s="82">
        <v>72.63981651791109</v>
      </c>
      <c r="BA1341" s="84">
        <v>1200.0</v>
      </c>
      <c r="BB1341" s="84" t="b">
        <f>IFERROR(__xludf.DUMMYFUNCTION("iferror(if(A1341="""",,E1341&gt;=FILTER(Constants!$F$2:$F$10,Constants!$A$2:$A$10=A1341)))"),TRUE)</f>
        <v>1</v>
      </c>
    </row>
    <row r="1342">
      <c r="A1342" s="89" t="str">
        <f>IFERROR(__xludf.DUMMYFUNCTION("""COMPUTED_VALUE"""),"Veteran")</f>
        <v>Veteran</v>
      </c>
      <c r="B1342" s="87" t="str">
        <f>IFERROR(__xludf.DUMMYFUNCTION("""COMPUTED_VALUE"""),"RSC003027")</f>
        <v>RSC003027</v>
      </c>
      <c r="C1342" s="73" t="str">
        <f>IFERROR(__xludf.DUMMYFUNCTION("""COMPUTED_VALUE"""),"Defiance")</f>
        <v>Defiance</v>
      </c>
      <c r="D1342" s="73" t="str">
        <f>IFERROR(__xludf.DUMMYFUNCTION("""COMPUTED_VALUE"""),"Paradox Paloma")</f>
        <v>Paradox Paloma</v>
      </c>
      <c r="E1342" s="82">
        <f>IFERROR(__xludf.DUMMYFUNCTION("""COMPUTED_VALUE"""),3.0)</f>
        <v>3</v>
      </c>
      <c r="F1342" s="82">
        <f>IFERROR(__xludf.DUMMYFUNCTION("""COMPUTED_VALUE"""),0.0)</f>
        <v>0</v>
      </c>
      <c r="G1342" s="86">
        <f>IFERROR(__xludf.DUMMYFUNCTION("""COMPUTED_VALUE"""),3.0)</f>
        <v>3</v>
      </c>
      <c r="H1342" s="86">
        <f>IFERROR(__xludf.DUMMYFUNCTION("""COMPUTED_VALUE"""),0.0)</f>
        <v>0</v>
      </c>
      <c r="I1342" s="86">
        <f>IFERROR(__xludf.DUMMYFUNCTION("""COMPUTED_VALUE"""),0.0)</f>
        <v>0</v>
      </c>
      <c r="J1342" s="82">
        <f>IFERROR(__xludf.DUMMYFUNCTION("""COMPUTED_VALUE"""),282.3333333333333)</f>
        <v>282.3333333</v>
      </c>
      <c r="K1342" s="82">
        <f>IFERROR(__xludf.DUMMYFUNCTION("""COMPUTED_VALUE"""),0.0)</f>
        <v>0</v>
      </c>
      <c r="L1342" s="82">
        <f>IFERROR(__xludf.DUMMYFUNCTION("""COMPUTED_VALUE"""),0.3333333333333333)</f>
        <v>0.3333333333</v>
      </c>
      <c r="M1342" s="82">
        <f>IFERROR(__xludf.DUMMYFUNCTION("""COMPUTED_VALUE"""),1.6666666666666667)</f>
        <v>1.666666667</v>
      </c>
      <c r="N1342" s="82">
        <f>IFERROR(__xludf.DUMMYFUNCTION("""COMPUTED_VALUE"""),1.3333333333333333)</f>
        <v>1.333333333</v>
      </c>
      <c r="O1342" s="82">
        <f>IFERROR(__xludf.DUMMYFUNCTION("""COMPUTED_VALUE"""),433.0)</f>
        <v>433</v>
      </c>
      <c r="P1342" s="82">
        <f>IFERROR(__xludf.DUMMYFUNCTION("""COMPUTED_VALUE"""),0.9999999999999999)</f>
        <v>1</v>
      </c>
      <c r="Q1342" s="82">
        <f>IFERROR(__xludf.DUMMYFUNCTION("""COMPUTED_VALUE"""),0.3333333333333333)</f>
        <v>0.3333333333</v>
      </c>
      <c r="R1342" s="82">
        <f>IFERROR(__xludf.DUMMYFUNCTION("""COMPUTED_VALUE"""),1.888888888888889)</f>
        <v>1.888888889</v>
      </c>
      <c r="S1342" s="82">
        <f>IFERROR(__xludf.DUMMYFUNCTION("""COMPUTED_VALUE"""),2.6666666666666665)</f>
        <v>2.666666667</v>
      </c>
      <c r="T1342" s="82">
        <f>IFERROR(__xludf.DUMMYFUNCTION("""COMPUTED_VALUE"""),351.68666666666667)</f>
        <v>351.6866667</v>
      </c>
      <c r="U1342" s="82">
        <f>IFERROR(__xludf.DUMMYFUNCTION("""COMPUTED_VALUE"""),0.7529166666666667)</f>
        <v>0.7529166667</v>
      </c>
      <c r="V1342" s="82">
        <f>IFERROR(__xludf.DUMMYFUNCTION("""COMPUTED_VALUE"""),0.5779166666666667)</f>
        <v>0.5779166667</v>
      </c>
      <c r="W1342" s="82">
        <f>IFERROR(__xludf.DUMMYFUNCTION("""COMPUTED_VALUE"""),1.3695833333333332)</f>
        <v>1.369583333</v>
      </c>
      <c r="X1342" s="82">
        <f>IFERROR(__xludf.DUMMYFUNCTION("""COMPUTED_VALUE"""),2.5420833333333337)</f>
        <v>2.542083333</v>
      </c>
      <c r="Y1342" s="82">
        <f>IFERROR(__xludf.DUMMYFUNCTION("""COMPUTED_VALUE"""),332.16569444444445)</f>
        <v>332.1656944</v>
      </c>
      <c r="Z1342" s="82">
        <f>IFERROR(__xludf.DUMMYFUNCTION("""COMPUTED_VALUE"""),0.5481944444444444)</f>
        <v>0.5481944444</v>
      </c>
      <c r="AA1342" s="82">
        <f>IFERROR(__xludf.DUMMYFUNCTION("""COMPUTED_VALUE"""),0.4358333333333333)</f>
        <v>0.4358333333</v>
      </c>
      <c r="AB1342" s="82">
        <f>IFERROR(__xludf.DUMMYFUNCTION("""COMPUTED_VALUE"""),1.427361111111111)</f>
        <v>1.427361111</v>
      </c>
      <c r="AC1342" s="82">
        <f>IFERROR(__xludf.DUMMYFUNCTION("""COMPUTED_VALUE"""),2.497777777777778)</f>
        <v>2.497777778</v>
      </c>
      <c r="AD1342" s="82">
        <f>IFERROR(__xludf.DUMMYFUNCTION("""COMPUTED_VALUE"""),0.8499774000007525)</f>
        <v>0.8499774</v>
      </c>
      <c r="AE1342" s="82">
        <f>IFERROR(__xludf.DUMMYFUNCTION("""COMPUTED_VALUE"""),0.0)</f>
        <v>0</v>
      </c>
      <c r="AF1342" s="82">
        <f>IFERROR(__xludf.DUMMYFUNCTION("""COMPUTED_VALUE"""),0.7648183556405354)</f>
        <v>0.7648183556</v>
      </c>
      <c r="AG1342" s="82">
        <f>IFERROR(__xludf.DUMMYFUNCTION("""COMPUTED_VALUE"""),1.1676559307190815)</f>
        <v>1.167655931</v>
      </c>
      <c r="AH1342" s="82">
        <f>IFERROR(__xludf.DUMMYFUNCTION("""COMPUTED_VALUE"""),0.5338078291814946)</f>
        <v>0.5338078292</v>
      </c>
      <c r="AI1342" s="82">
        <f>IFERROR(__xludf.DUMMYFUNCTION("""COMPUTED_VALUE"""),1.2312095994540595)</f>
        <v>1.231209599</v>
      </c>
      <c r="AJ1342" s="82">
        <f>IFERROR(__xludf.DUMMYFUNCTION("""COMPUTED_VALUE"""),1.3281682346430546)</f>
        <v>1.328168235</v>
      </c>
      <c r="AK1342" s="82">
        <f>IFERROR(__xludf.DUMMYFUNCTION("""COMPUTED_VALUE"""),0.5767844268204757)</f>
        <v>0.5767844268</v>
      </c>
      <c r="AL1342" s="82">
        <f>IFERROR(__xludf.DUMMYFUNCTION("""COMPUTED_VALUE"""),1.3791704695264175)</f>
        <v>1.37917047</v>
      </c>
      <c r="AM1342" s="82">
        <f>IFERROR(__xludf.DUMMYFUNCTION("""COMPUTED_VALUE"""),1.049008359285363)</f>
        <v>1.049008359</v>
      </c>
      <c r="AN1342" s="82">
        <f>IFERROR(__xludf.DUMMYFUNCTION("""COMPUTED_VALUE"""),0.8177002517529123)</f>
        <v>0.8177002518</v>
      </c>
      <c r="AO1342" s="82">
        <f>IFERROR(__xludf.DUMMYFUNCTION("""COMPUTED_VALUE"""),0.0)</f>
        <v>0</v>
      </c>
      <c r="AP1342" s="82">
        <f>IFERROR(__xludf.DUMMYFUNCTION("""COMPUTED_VALUE"""),0.6181704407667327)</f>
        <v>0.6181704408</v>
      </c>
      <c r="AQ1342" s="82">
        <f>IFERROR(__xludf.DUMMYFUNCTION("""COMPUTED_VALUE"""),1.2339796055773358)</f>
        <v>1.233979606</v>
      </c>
      <c r="AR1342" s="82">
        <f>IFERROR(__xludf.DUMMYFUNCTION("""COMPUTED_VALUE"""),0.5206946736096625)</f>
        <v>0.5206946736</v>
      </c>
      <c r="AS1342" s="82">
        <f>IFERROR(__xludf.DUMMYFUNCTION("""COMPUTED_VALUE"""),2.0)</f>
        <v>2</v>
      </c>
      <c r="AT1342" s="82">
        <f>IFERROR(__xludf.DUMMYFUNCTION("""COMPUTED_VALUE"""),0.10121324194858082)</f>
        <v>0.1012132419</v>
      </c>
      <c r="AU1342" s="82">
        <f>IFERROR(__xludf.DUMMYFUNCTION("""COMPUTED_VALUE"""),0.5469146662598892)</f>
        <v>0.5469146663</v>
      </c>
      <c r="AV1342" s="82">
        <f>IFERROR(__xludf.DUMMYFUNCTION("""COMPUTED_VALUE"""),-6.469907277001376)</f>
        <v>-6.469907277</v>
      </c>
      <c r="AW1342" s="82">
        <f t="shared" si="1"/>
        <v>-83.69580818</v>
      </c>
      <c r="AX1342" s="83">
        <f t="array" ref="AX1342">IFERROR(DGET('SBV Import'!A:G,"SBV",{"RSC ID","Tier";B1342,A1342}))</f>
        <v>6.362930688</v>
      </c>
      <c r="AY1342" s="82">
        <f t="shared" si="2"/>
        <v>-24.72161342</v>
      </c>
      <c r="AZ1342" s="82">
        <v>58.97419476584606</v>
      </c>
      <c r="BA1342" s="84">
        <v>1200.0</v>
      </c>
      <c r="BB1342" s="84" t="b">
        <f>IFERROR(__xludf.DUMMYFUNCTION("iferror(if(A1342="""",,E1342&gt;=FILTER(Constants!$F$2:$F$10,Constants!$A$2:$A$10=A1342)))"),TRUE)</f>
        <v>1</v>
      </c>
    </row>
    <row r="1343">
      <c r="A1343" s="89" t="str">
        <f>IFERROR(__xludf.DUMMYFUNCTION("""COMPUTED_VALUE"""),"Veteran")</f>
        <v>Veteran</v>
      </c>
      <c r="B1343" s="87" t="str">
        <f>IFERROR(__xludf.DUMMYFUNCTION("""COMPUTED_VALUE"""),"RSC004198")</f>
        <v>RSC004198</v>
      </c>
      <c r="C1343" s="73" t="str">
        <f>IFERROR(__xludf.DUMMYFUNCTION("""COMPUTED_VALUE"""),"Dr. Cereal")</f>
        <v>Dr. Cereal</v>
      </c>
      <c r="D1343" s="73" t="str">
        <f>IFERROR(__xludf.DUMMYFUNCTION("""COMPUTED_VALUE"""),"Giraffes")</f>
        <v>Giraffes</v>
      </c>
      <c r="E1343" s="82">
        <f>IFERROR(__xludf.DUMMYFUNCTION("""COMPUTED_VALUE"""),6.0)</f>
        <v>6</v>
      </c>
      <c r="F1343" s="82">
        <f>IFERROR(__xludf.DUMMYFUNCTION("""COMPUTED_VALUE"""),1.0)</f>
        <v>1</v>
      </c>
      <c r="G1343" s="86">
        <f>IFERROR(__xludf.DUMMYFUNCTION("""COMPUTED_VALUE"""),5.0)</f>
        <v>5</v>
      </c>
      <c r="H1343" s="86">
        <f>IFERROR(__xludf.DUMMYFUNCTION("""COMPUTED_VALUE"""),0.16666666666666666)</f>
        <v>0.1666666667</v>
      </c>
      <c r="I1343" s="86">
        <f>IFERROR(__xludf.DUMMYFUNCTION("""COMPUTED_VALUE"""),0.27272727272727276)</f>
        <v>0.2727272727</v>
      </c>
      <c r="J1343" s="82">
        <f>IFERROR(__xludf.DUMMYFUNCTION("""COMPUTED_VALUE"""),208.0)</f>
        <v>208</v>
      </c>
      <c r="K1343" s="82">
        <f>IFERROR(__xludf.DUMMYFUNCTION("""COMPUTED_VALUE"""),0.5)</f>
        <v>0.5</v>
      </c>
      <c r="L1343" s="82">
        <f>IFERROR(__xludf.DUMMYFUNCTION("""COMPUTED_VALUE"""),0.0)</f>
        <v>0</v>
      </c>
      <c r="M1343" s="82">
        <f>IFERROR(__xludf.DUMMYFUNCTION("""COMPUTED_VALUE"""),0.5)</f>
        <v>0.5</v>
      </c>
      <c r="N1343" s="82">
        <f>IFERROR(__xludf.DUMMYFUNCTION("""COMPUTED_VALUE"""),1.8333333333333333)</f>
        <v>1.833333333</v>
      </c>
      <c r="O1343" s="82">
        <f>IFERROR(__xludf.DUMMYFUNCTION("""COMPUTED_VALUE"""),370.8333333333333)</f>
        <v>370.8333333</v>
      </c>
      <c r="P1343" s="82">
        <f>IFERROR(__xludf.DUMMYFUNCTION("""COMPUTED_VALUE"""),1.0555555555555556)</f>
        <v>1.055555556</v>
      </c>
      <c r="Q1343" s="82">
        <f>IFERROR(__xludf.DUMMYFUNCTION("""COMPUTED_VALUE"""),0.8888888888888888)</f>
        <v>0.8888888889</v>
      </c>
      <c r="R1343" s="82">
        <f>IFERROR(__xludf.DUMMYFUNCTION("""COMPUTED_VALUE"""),0.9444444444444443)</f>
        <v>0.9444444444</v>
      </c>
      <c r="S1343" s="82">
        <f>IFERROR(__xludf.DUMMYFUNCTION("""COMPUTED_VALUE"""),2.7222222222222228)</f>
        <v>2.722222222</v>
      </c>
      <c r="T1343" s="82">
        <f>IFERROR(__xludf.DUMMYFUNCTION("""COMPUTED_VALUE"""),340.4308831423068)</f>
        <v>340.4308831</v>
      </c>
      <c r="U1343" s="82">
        <f>IFERROR(__xludf.DUMMYFUNCTION("""COMPUTED_VALUE"""),0.7700084462126234)</f>
        <v>0.7700084462</v>
      </c>
      <c r="V1343" s="82">
        <f>IFERROR(__xludf.DUMMYFUNCTION("""COMPUTED_VALUE"""),0.503312234716753)</f>
        <v>0.5033122347</v>
      </c>
      <c r="W1343" s="82">
        <f>IFERROR(__xludf.DUMMYFUNCTION("""COMPUTED_VALUE"""),1.278682165297681)</f>
        <v>1.278682165</v>
      </c>
      <c r="X1343" s="82">
        <f>IFERROR(__xludf.DUMMYFUNCTION("""COMPUTED_VALUE"""),2.4510314190088276)</f>
        <v>2.451031419</v>
      </c>
      <c r="Y1343" s="82">
        <f>IFERROR(__xludf.DUMMYFUNCTION("""COMPUTED_VALUE"""),343.8267193887753)</f>
        <v>343.8267194</v>
      </c>
      <c r="Z1343" s="82">
        <f>IFERROR(__xludf.DUMMYFUNCTION("""COMPUTED_VALUE"""),0.7887234603986523)</f>
        <v>0.7887234604</v>
      </c>
      <c r="AA1343" s="82">
        <f>IFERROR(__xludf.DUMMYFUNCTION("""COMPUTED_VALUE"""),0.6007575467116532)</f>
        <v>0.6007575467</v>
      </c>
      <c r="AB1343" s="82">
        <f>IFERROR(__xludf.DUMMYFUNCTION("""COMPUTED_VALUE"""),1.2221601066620957)</f>
        <v>1.222160107</v>
      </c>
      <c r="AC1343" s="82">
        <f>IFERROR(__xludf.DUMMYFUNCTION("""COMPUTED_VALUE"""),2.5684031395703744)</f>
        <v>2.56840314</v>
      </c>
      <c r="AD1343" s="82">
        <f>IFERROR(__xludf.DUMMYFUNCTION("""COMPUTED_VALUE"""),0.6049558928106692)</f>
        <v>0.6049558928</v>
      </c>
      <c r="AE1343" s="82">
        <f>IFERROR(__xludf.DUMMYFUNCTION("""COMPUTED_VALUE"""),0.6339357520153897)</f>
        <v>0.633935752</v>
      </c>
      <c r="AF1343" s="82">
        <f>IFERROR(__xludf.DUMMYFUNCTION("""COMPUTED_VALUE"""),0.0)</f>
        <v>0</v>
      </c>
      <c r="AG1343" s="82">
        <f>IFERROR(__xludf.DUMMYFUNCTION("""COMPUTED_VALUE"""),0.40911170089291793)</f>
        <v>0.4091117009</v>
      </c>
      <c r="AH1343" s="82">
        <f>IFERROR(__xludf.DUMMYFUNCTION("""COMPUTED_VALUE"""),0.7138027925164432)</f>
        <v>0.7138027925</v>
      </c>
      <c r="AI1343" s="82">
        <f>IFERROR(__xludf.DUMMYFUNCTION("""COMPUTED_VALUE"""),1.0893057936177832)</f>
        <v>1.089305794</v>
      </c>
      <c r="AJ1343" s="82">
        <f>IFERROR(__xludf.DUMMYFUNCTION("""COMPUTED_VALUE"""),1.370836334000528)</f>
        <v>1.370836334</v>
      </c>
      <c r="AK1343" s="82">
        <f>IFERROR(__xludf.DUMMYFUNCTION("""COMPUTED_VALUE"""),1.766078445101032)</f>
        <v>1.766078445</v>
      </c>
      <c r="AL1343" s="82">
        <f>IFERROR(__xludf.DUMMYFUNCTION("""COMPUTED_VALUE"""),0.7386076619161845)</f>
        <v>0.7386076619</v>
      </c>
      <c r="AM1343" s="82">
        <f>IFERROR(__xludf.DUMMYFUNCTION("""COMPUTED_VALUE"""),1.1106435442280302)</f>
        <v>1.110643544</v>
      </c>
      <c r="AN1343" s="82">
        <f>IFERROR(__xludf.DUMMYFUNCTION("""COMPUTED_VALUE"""),0.6024143531213899)</f>
        <v>0.6024143531</v>
      </c>
      <c r="AO1343" s="82">
        <f>IFERROR(__xludf.DUMMYFUNCTION("""COMPUTED_VALUE"""),0.6628251278283709)</f>
        <v>0.6628251278</v>
      </c>
      <c r="AP1343" s="82">
        <f>IFERROR(__xludf.DUMMYFUNCTION("""COMPUTED_VALUE"""),0.0)</f>
        <v>0</v>
      </c>
      <c r="AQ1343" s="82">
        <f>IFERROR(__xludf.DUMMYFUNCTION("""COMPUTED_VALUE"""),0.37019388167320066)</f>
        <v>0.3701938817</v>
      </c>
      <c r="AR1343" s="82">
        <f>IFERROR(__xludf.DUMMYFUNCTION("""COMPUTED_VALUE"""),0.715955176213286)</f>
        <v>0.7159551762</v>
      </c>
      <c r="AS1343" s="82">
        <f>IFERROR(__xludf.DUMMYFUNCTION("""COMPUTED_VALUE"""),8.0)</f>
        <v>8</v>
      </c>
      <c r="AT1343" s="82">
        <f>IFERROR(__xludf.DUMMYFUNCTION("""COMPUTED_VALUE"""),0.2088375576689729)</f>
        <v>0.2088375577</v>
      </c>
      <c r="AU1343" s="82">
        <f>IFERROR(__xludf.DUMMYFUNCTION("""COMPUTED_VALUE"""),0.2441401113364836)</f>
        <v>0.2441401113</v>
      </c>
      <c r="AV1343" s="82">
        <f>IFERROR(__xludf.DUMMYFUNCTION("""COMPUTED_VALUE"""),-15.848679782690311)</f>
        <v>-15.84867978</v>
      </c>
      <c r="AW1343" s="82">
        <f t="shared" si="1"/>
        <v>-236.9707176</v>
      </c>
      <c r="AX1343" s="83">
        <f t="array" ref="AX1343">IFERROR(DGET('SBV Import'!A:G,"SBV",{"RSC ID","Tier";B1343,A1343}))</f>
        <v>-0.02553420056</v>
      </c>
      <c r="AY1343" s="82">
        <f t="shared" si="2"/>
        <v>-44.06248421</v>
      </c>
      <c r="AZ1343" s="82">
        <v>192.90823335148792</v>
      </c>
      <c r="BA1343" s="84">
        <v>1200.0</v>
      </c>
      <c r="BB1343" s="84" t="b">
        <f>IFERROR(__xludf.DUMMYFUNCTION("iferror(if(A1343="""",,E1343&gt;=FILTER(Constants!$F$2:$F$10,Constants!$A$2:$A$10=A1343)))"),TRUE)</f>
        <v>1</v>
      </c>
    </row>
    <row r="1344">
      <c r="A1344" s="89" t="str">
        <f>IFERROR(__xludf.DUMMYFUNCTION("""COMPUTED_VALUE"""),"Veteran")</f>
        <v>Veteran</v>
      </c>
      <c r="B1344" s="87" t="str">
        <f>IFERROR(__xludf.DUMMYFUNCTION("""COMPUTED_VALUE"""),"RSC007062")</f>
        <v>RSC007062</v>
      </c>
      <c r="C1344" s="73" t="str">
        <f>IFERROR(__xludf.DUMMYFUNCTION("""COMPUTED_VALUE"""),"Ice Phoenix")</f>
        <v>Ice Phoenix</v>
      </c>
      <c r="D1344" s="73" t="str">
        <f>IFERROR(__xludf.DUMMYFUNCTION("""COMPUTED_VALUE"""),"Mellow Fellows")</f>
        <v>Mellow Fellows</v>
      </c>
      <c r="E1344" s="82">
        <f>IFERROR(__xludf.DUMMYFUNCTION("""COMPUTED_VALUE"""),4.0)</f>
        <v>4</v>
      </c>
      <c r="F1344" s="82">
        <f>IFERROR(__xludf.DUMMYFUNCTION("""COMPUTED_VALUE"""),0.0)</f>
        <v>0</v>
      </c>
      <c r="G1344" s="86">
        <f>IFERROR(__xludf.DUMMYFUNCTION("""COMPUTED_VALUE"""),4.0)</f>
        <v>4</v>
      </c>
      <c r="H1344" s="86">
        <f>IFERROR(__xludf.DUMMYFUNCTION("""COMPUTED_VALUE"""),0.0)</f>
        <v>0</v>
      </c>
      <c r="I1344" s="86">
        <f>IFERROR(__xludf.DUMMYFUNCTION("""COMPUTED_VALUE"""),0.0)</f>
        <v>0</v>
      </c>
      <c r="J1344" s="82">
        <f>IFERROR(__xludf.DUMMYFUNCTION("""COMPUTED_VALUE"""),180.75)</f>
        <v>180.75</v>
      </c>
      <c r="K1344" s="82">
        <f>IFERROR(__xludf.DUMMYFUNCTION("""COMPUTED_VALUE"""),0.0)</f>
        <v>0</v>
      </c>
      <c r="L1344" s="82">
        <f>IFERROR(__xludf.DUMMYFUNCTION("""COMPUTED_VALUE"""),0.25)</f>
        <v>0.25</v>
      </c>
      <c r="M1344" s="82">
        <f>IFERROR(__xludf.DUMMYFUNCTION("""COMPUTED_VALUE"""),0.75)</f>
        <v>0.75</v>
      </c>
      <c r="N1344" s="82">
        <f>IFERROR(__xludf.DUMMYFUNCTION("""COMPUTED_VALUE"""),1.0)</f>
        <v>1</v>
      </c>
      <c r="O1344" s="82">
        <f>IFERROR(__xludf.DUMMYFUNCTION("""COMPUTED_VALUE"""),349.0833333333333)</f>
        <v>349.0833333</v>
      </c>
      <c r="P1344" s="82">
        <f>IFERROR(__xludf.DUMMYFUNCTION("""COMPUTED_VALUE"""),0.8333333333333333)</f>
        <v>0.8333333333</v>
      </c>
      <c r="Q1344" s="82">
        <f>IFERROR(__xludf.DUMMYFUNCTION("""COMPUTED_VALUE"""),0.6666666666666666)</f>
        <v>0.6666666667</v>
      </c>
      <c r="R1344" s="82">
        <f>IFERROR(__xludf.DUMMYFUNCTION("""COMPUTED_VALUE"""),0.8333333333333334)</f>
        <v>0.8333333333</v>
      </c>
      <c r="S1344" s="82">
        <f>IFERROR(__xludf.DUMMYFUNCTION("""COMPUTED_VALUE"""),3.0833333333333335)</f>
        <v>3.083333333</v>
      </c>
      <c r="T1344" s="82">
        <f>IFERROR(__xludf.DUMMYFUNCTION("""COMPUTED_VALUE"""),373.7903361344538)</f>
        <v>373.7903361</v>
      </c>
      <c r="U1344" s="82">
        <f>IFERROR(__xludf.DUMMYFUNCTION("""COMPUTED_VALUE"""),0.913056333644569)</f>
        <v>0.9130563336</v>
      </c>
      <c r="V1344" s="82">
        <f>IFERROR(__xludf.DUMMYFUNCTION("""COMPUTED_VALUE"""),0.7506224712107065)</f>
        <v>0.7506224712</v>
      </c>
      <c r="W1344" s="82">
        <f>IFERROR(__xludf.DUMMYFUNCTION("""COMPUTED_VALUE"""),1.237877373171491)</f>
        <v>1.237877373</v>
      </c>
      <c r="X1344" s="82">
        <f>IFERROR(__xludf.DUMMYFUNCTION("""COMPUTED_VALUE"""),2.99853719265484)</f>
        <v>2.998537193</v>
      </c>
      <c r="Y1344" s="82">
        <f>IFERROR(__xludf.DUMMYFUNCTION("""COMPUTED_VALUE"""),352.3459954352111)</f>
        <v>352.3459954</v>
      </c>
      <c r="Z1344" s="82">
        <f>IFERROR(__xludf.DUMMYFUNCTION("""COMPUTED_VALUE"""),0.7173980703392467)</f>
        <v>0.7173980703</v>
      </c>
      <c r="AA1344" s="82">
        <f>IFERROR(__xludf.DUMMYFUNCTION("""COMPUTED_VALUE"""),0.48906525573192233)</f>
        <v>0.4890652557</v>
      </c>
      <c r="AB1344" s="82">
        <f>IFERROR(__xludf.DUMMYFUNCTION("""COMPUTED_VALUE"""),1.5810872497147008)</f>
        <v>1.58108725</v>
      </c>
      <c r="AC1344" s="82">
        <f>IFERROR(__xludf.DUMMYFUNCTION("""COMPUTED_VALUE"""),2.4663761801016704)</f>
        <v>2.46637618</v>
      </c>
      <c r="AD1344" s="82">
        <f>IFERROR(__xludf.DUMMYFUNCTION("""COMPUTED_VALUE"""),0.5129900789045184)</f>
        <v>0.5129900789</v>
      </c>
      <c r="AE1344" s="82">
        <f>IFERROR(__xludf.DUMMYFUNCTION("""COMPUTED_VALUE"""),0.0)</f>
        <v>0</v>
      </c>
      <c r="AF1344" s="82">
        <f>IFERROR(__xludf.DUMMYFUNCTION("""COMPUTED_VALUE"""),0.511179228272629)</f>
        <v>0.5111792283</v>
      </c>
      <c r="AG1344" s="82">
        <f>IFERROR(__xludf.DUMMYFUNCTION("""COMPUTED_VALUE"""),0.474357123640921)</f>
        <v>0.4743571236</v>
      </c>
      <c r="AH1344" s="82">
        <f>IFERROR(__xludf.DUMMYFUNCTION("""COMPUTED_VALUE"""),0.4054531535245274)</f>
        <v>0.4054531535</v>
      </c>
      <c r="AI1344" s="82">
        <f>IFERROR(__xludf.DUMMYFUNCTION("""COMPUTED_VALUE"""),0.9339014404261289)</f>
        <v>0.9339014404</v>
      </c>
      <c r="AJ1344" s="82">
        <f>IFERROR(__xludf.DUMMYFUNCTION("""COMPUTED_VALUE"""),0.912685562354064)</f>
        <v>0.9126855624</v>
      </c>
      <c r="AK1344" s="82">
        <f>IFERROR(__xludf.DUMMYFUNCTION("""COMPUTED_VALUE"""),0.8881517570229087)</f>
        <v>0.888151757</v>
      </c>
      <c r="AL1344" s="82">
        <f>IFERROR(__xludf.DUMMYFUNCTION("""COMPUTED_VALUE"""),0.6731953838030824)</f>
        <v>0.6731953838</v>
      </c>
      <c r="AM1344" s="82">
        <f>IFERROR(__xludf.DUMMYFUNCTION("""COMPUTED_VALUE"""),1.0282791692183137)</f>
        <v>1.028279169</v>
      </c>
      <c r="AN1344" s="82">
        <f>IFERROR(__xludf.DUMMYFUNCTION("""COMPUTED_VALUE"""),0.5234922804167847)</f>
        <v>0.5234922804</v>
      </c>
      <c r="AO1344" s="82">
        <f>IFERROR(__xludf.DUMMYFUNCTION("""COMPUTED_VALUE"""),0.0)</f>
        <v>0</v>
      </c>
      <c r="AP1344" s="82">
        <f>IFERROR(__xludf.DUMMYFUNCTION("""COMPUTED_VALUE"""),0.4636278305750496)</f>
        <v>0.4636278306</v>
      </c>
      <c r="AQ1344" s="82">
        <f>IFERROR(__xludf.DUMMYFUNCTION("""COMPUTED_VALUE"""),0.555290822509801)</f>
        <v>0.5552908225</v>
      </c>
      <c r="AR1344" s="82">
        <f>IFERROR(__xludf.DUMMYFUNCTION("""COMPUTED_VALUE"""),0.3905210052072469)</f>
        <v>0.3905210052</v>
      </c>
      <c r="AS1344" s="82">
        <f>IFERROR(__xludf.DUMMYFUNCTION("""COMPUTED_VALUE"""),1.0)</f>
        <v>1</v>
      </c>
      <c r="AT1344" s="82">
        <f>IFERROR(__xludf.DUMMYFUNCTION("""COMPUTED_VALUE"""),0.04401330543243437)</f>
        <v>0.04401330543</v>
      </c>
      <c r="AU1344" s="82">
        <f>IFERROR(__xludf.DUMMYFUNCTION("""COMPUTED_VALUE"""),0.12144625195820702)</f>
        <v>0.121446252</v>
      </c>
      <c r="AV1344" s="82">
        <f>IFERROR(__xludf.DUMMYFUNCTION("""COMPUTED_VALUE"""),-19.649256073670088)</f>
        <v>-19.64925607</v>
      </c>
      <c r="AW1344" s="82">
        <f t="shared" si="1"/>
        <v>-374.7580194</v>
      </c>
      <c r="AX1344" s="83">
        <f t="array" ref="AX1344">IFERROR(DGET('SBV Import'!A:G,"SBV",{"RSC ID","Tier";B1344,A1344}))</f>
        <v>-16.32254799</v>
      </c>
      <c r="AY1344" s="82">
        <f t="shared" si="2"/>
        <v>-250.6169692</v>
      </c>
      <c r="AZ1344" s="82">
        <v>124.14105021021854</v>
      </c>
      <c r="BA1344" s="84">
        <v>1200.0</v>
      </c>
      <c r="BB1344" s="84" t="b">
        <f>IFERROR(__xludf.DUMMYFUNCTION("iferror(if(A1344="""",,E1344&gt;=FILTER(Constants!$F$2:$F$10,Constants!$A$2:$A$10=A1344)))"),TRUE)</f>
        <v>1</v>
      </c>
    </row>
    <row r="1345">
      <c r="A1345" s="89" t="str">
        <f>IFERROR(__xludf.DUMMYFUNCTION("""COMPUTED_VALUE"""),"Veteran")</f>
        <v>Veteran</v>
      </c>
      <c r="B1345" s="87" t="str">
        <f>IFERROR(__xludf.DUMMYFUNCTION("""COMPUTED_VALUE"""),"RSC003694")</f>
        <v>RSC003694</v>
      </c>
      <c r="C1345" s="73" t="str">
        <f>IFERROR(__xludf.DUMMYFUNCTION("""COMPUTED_VALUE"""),"TheCroctopusTV")</f>
        <v>TheCroctopusTV</v>
      </c>
      <c r="D1345" s="73"/>
      <c r="E1345" s="82">
        <f>IFERROR(__xludf.DUMMYFUNCTION("""COMPUTED_VALUE"""),4.0)</f>
        <v>4</v>
      </c>
      <c r="F1345" s="82">
        <f>IFERROR(__xludf.DUMMYFUNCTION("""COMPUTED_VALUE"""),1.0)</f>
        <v>1</v>
      </c>
      <c r="G1345" s="86">
        <f>IFERROR(__xludf.DUMMYFUNCTION("""COMPUTED_VALUE"""),3.0)</f>
        <v>3</v>
      </c>
      <c r="H1345" s="86">
        <f>IFERROR(__xludf.DUMMYFUNCTION("""COMPUTED_VALUE"""),0.25)</f>
        <v>0.25</v>
      </c>
      <c r="I1345" s="86">
        <f>IFERROR(__xludf.DUMMYFUNCTION("""COMPUTED_VALUE"""),0.5)</f>
        <v>0.5</v>
      </c>
      <c r="J1345" s="82">
        <f>IFERROR(__xludf.DUMMYFUNCTION("""COMPUTED_VALUE"""),227.5)</f>
        <v>227.5</v>
      </c>
      <c r="K1345" s="82">
        <f>IFERROR(__xludf.DUMMYFUNCTION("""COMPUTED_VALUE"""),0.25)</f>
        <v>0.25</v>
      </c>
      <c r="L1345" s="82">
        <f>IFERROR(__xludf.DUMMYFUNCTION("""COMPUTED_VALUE"""),0.0)</f>
        <v>0</v>
      </c>
      <c r="M1345" s="82">
        <f>IFERROR(__xludf.DUMMYFUNCTION("""COMPUTED_VALUE"""),1.25)</f>
        <v>1.25</v>
      </c>
      <c r="N1345" s="82">
        <f>IFERROR(__xludf.DUMMYFUNCTION("""COMPUTED_VALUE"""),0.5)</f>
        <v>0.5</v>
      </c>
      <c r="O1345" s="82">
        <f>IFERROR(__xludf.DUMMYFUNCTION("""COMPUTED_VALUE"""),380.1666666666667)</f>
        <v>380.1666667</v>
      </c>
      <c r="P1345" s="82">
        <f>IFERROR(__xludf.DUMMYFUNCTION("""COMPUTED_VALUE"""),1.0)</f>
        <v>1</v>
      </c>
      <c r="Q1345" s="82">
        <f>IFERROR(__xludf.DUMMYFUNCTION("""COMPUTED_VALUE"""),0.5833333333333334)</f>
        <v>0.5833333333</v>
      </c>
      <c r="R1345" s="82">
        <f>IFERROR(__xludf.DUMMYFUNCTION("""COMPUTED_VALUE"""),1.0)</f>
        <v>1</v>
      </c>
      <c r="S1345" s="82">
        <f>IFERROR(__xludf.DUMMYFUNCTION("""COMPUTED_VALUE"""),3.4166666666666665)</f>
        <v>3.416666667</v>
      </c>
      <c r="T1345" s="82">
        <f>IFERROR(__xludf.DUMMYFUNCTION("""COMPUTED_VALUE"""),365.6980494015788)</f>
        <v>365.6980494</v>
      </c>
      <c r="U1345" s="82">
        <f>IFERROR(__xludf.DUMMYFUNCTION("""COMPUTED_VALUE"""),0.8678278584160939)</f>
        <v>0.8678278584</v>
      </c>
      <c r="V1345" s="82">
        <f>IFERROR(__xludf.DUMMYFUNCTION("""COMPUTED_VALUE"""),0.5793837535014006)</f>
        <v>0.5793837535</v>
      </c>
      <c r="W1345" s="82">
        <f>IFERROR(__xludf.DUMMYFUNCTION("""COMPUTED_VALUE"""),1.2781512605042016)</f>
        <v>1.278151261</v>
      </c>
      <c r="X1345" s="82">
        <f>IFERROR(__xludf.DUMMYFUNCTION("""COMPUTED_VALUE"""),2.746228673287497)</f>
        <v>2.746228673</v>
      </c>
      <c r="Y1345" s="82">
        <f>IFERROR(__xludf.DUMMYFUNCTION("""COMPUTED_VALUE"""),319.2554316271963)</f>
        <v>319.2554316</v>
      </c>
      <c r="Z1345" s="82">
        <f>IFERROR(__xludf.DUMMYFUNCTION("""COMPUTED_VALUE"""),0.6737874543756895)</f>
        <v>0.6737874544</v>
      </c>
      <c r="AA1345" s="82">
        <f>IFERROR(__xludf.DUMMYFUNCTION("""COMPUTED_VALUE"""),0.466797385620915)</f>
        <v>0.4667973856</v>
      </c>
      <c r="AB1345" s="82">
        <f>IFERROR(__xludf.DUMMYFUNCTION("""COMPUTED_VALUE"""),1.1688074017485781)</f>
        <v>1.168807402</v>
      </c>
      <c r="AC1345" s="82">
        <f>IFERROR(__xludf.DUMMYFUNCTION("""COMPUTED_VALUE"""),2.3460606060606066)</f>
        <v>2.346060606</v>
      </c>
      <c r="AD1345" s="82">
        <f>IFERROR(__xludf.DUMMYFUNCTION("""COMPUTED_VALUE"""),0.7125955503418286)</f>
        <v>0.7125955503</v>
      </c>
      <c r="AE1345" s="82">
        <f>IFERROR(__xludf.DUMMYFUNCTION("""COMPUTED_VALUE"""),0.3710368876363871)</f>
        <v>0.3710368876</v>
      </c>
      <c r="AF1345" s="82">
        <f>IFERROR(__xludf.DUMMYFUNCTION("""COMPUTED_VALUE"""),0.0)</f>
        <v>0</v>
      </c>
      <c r="AG1345" s="82">
        <f>IFERROR(__xludf.DUMMYFUNCTION("""COMPUTED_VALUE"""),1.0694661910336594)</f>
        <v>1.069466191</v>
      </c>
      <c r="AH1345" s="82">
        <f>IFERROR(__xludf.DUMMYFUNCTION("""COMPUTED_VALUE"""),0.21312322397313352)</f>
        <v>0.213123224</v>
      </c>
      <c r="AI1345" s="82">
        <f>IFERROR(__xludf.DUMMYFUNCTION("""COMPUTED_VALUE"""),1.0395643818411502)</f>
        <v>1.039564382</v>
      </c>
      <c r="AJ1345" s="82">
        <f>IFERROR(__xludf.DUMMYFUNCTION("""COMPUTED_VALUE"""),1.1523022570687447)</f>
        <v>1.152302257</v>
      </c>
      <c r="AK1345" s="82">
        <f>IFERROR(__xludf.DUMMYFUNCTION("""COMPUTED_VALUE"""),1.0068168632759622)</f>
        <v>1.006816863</v>
      </c>
      <c r="AL1345" s="82">
        <f>IFERROR(__xludf.DUMMYFUNCTION("""COMPUTED_VALUE"""),0.782380013149244)</f>
        <v>0.7823800131</v>
      </c>
      <c r="AM1345" s="82">
        <f>IFERROR(__xludf.DUMMYFUNCTION("""COMPUTED_VALUE"""),1.2441304323636644)</f>
        <v>1.244130432</v>
      </c>
      <c r="AN1345" s="82">
        <f>IFERROR(__xludf.DUMMYFUNCTION("""COMPUTED_VALUE"""),0.6588906987265203)</f>
        <v>0.6588906987</v>
      </c>
      <c r="AO1345" s="82">
        <f>IFERROR(__xludf.DUMMYFUNCTION("""COMPUTED_VALUE"""),0.33141256391418544)</f>
        <v>0.3314125639</v>
      </c>
      <c r="AP1345" s="82">
        <f>IFERROR(__xludf.DUMMYFUNCTION("""COMPUTED_VALUE"""),0.0)</f>
        <v>0</v>
      </c>
      <c r="AQ1345" s="82">
        <f>IFERROR(__xludf.DUMMYFUNCTION("""COMPUTED_VALUE"""),0.9254847041830017)</f>
        <v>0.9254847042</v>
      </c>
      <c r="AR1345" s="82">
        <f>IFERROR(__xludf.DUMMYFUNCTION("""COMPUTED_VALUE"""),0.19526050260362346)</f>
        <v>0.1952605026</v>
      </c>
      <c r="AS1345" s="82">
        <f>IFERROR(__xludf.DUMMYFUNCTION("""COMPUTED_VALUE"""),4.0)</f>
        <v>4</v>
      </c>
      <c r="AT1345" s="82">
        <f>IFERROR(__xludf.DUMMYFUNCTION("""COMPUTED_VALUE"""),0.1630859559789061)</f>
        <v>0.163085956</v>
      </c>
      <c r="AU1345" s="82">
        <f>IFERROR(__xludf.DUMMYFUNCTION("""COMPUTED_VALUE"""),-0.0762816651838445)</f>
        <v>-0.07628166518</v>
      </c>
      <c r="AV1345" s="82">
        <f>IFERROR(__xludf.DUMMYFUNCTION("""COMPUTED_VALUE"""),-25.774094250273606)</f>
        <v>-25.77409425</v>
      </c>
      <c r="AW1345" s="82">
        <f t="shared" si="1"/>
        <v>-820.4303677</v>
      </c>
      <c r="AX1345" s="83">
        <f t="array" ref="AX1345">IFERROR(DGET('SBV Import'!A:G,"SBV",{"RSC ID","Tier";B1345,A1345}))</f>
        <v>-25.65005813</v>
      </c>
      <c r="AY1345" s="82">
        <f t="shared" si="2"/>
        <v>-807.0686394</v>
      </c>
      <c r="AZ1345" s="82">
        <v>13.361728303894779</v>
      </c>
      <c r="BA1345" s="84">
        <v>1200.0</v>
      </c>
      <c r="BB1345" s="84" t="b">
        <f>IFERROR(__xludf.DUMMYFUNCTION("iferror(if(A1345="""",,E1345&gt;=FILTER(Constants!$F$2:$F$10,Constants!$A$2:$A$10=A1345)))"),TRUE)</f>
        <v>1</v>
      </c>
    </row>
    <row r="1346">
      <c r="A1346" s="89" t="str">
        <f>IFERROR(__xludf.DUMMYFUNCTION("""COMPUTED_VALUE"""),"Veteran")</f>
        <v>Veteran</v>
      </c>
      <c r="B1346" s="87" t="str">
        <f>IFERROR(__xludf.DUMMYFUNCTION("""COMPUTED_VALUE"""),"RSC007505")</f>
        <v>RSC007505</v>
      </c>
      <c r="C1346" s="73" t="str">
        <f>IFERROR(__xludf.DUMMYFUNCTION("""COMPUTED_VALUE"""),"Detroeux_RL")</f>
        <v>Detroeux_RL</v>
      </c>
      <c r="D1346" s="73"/>
      <c r="E1346" s="82">
        <f>IFERROR(__xludf.DUMMYFUNCTION("""COMPUTED_VALUE"""),4.0)</f>
        <v>4</v>
      </c>
      <c r="F1346" s="82">
        <f>IFERROR(__xludf.DUMMYFUNCTION("""COMPUTED_VALUE"""),0.0)</f>
        <v>0</v>
      </c>
      <c r="G1346" s="86">
        <f>IFERROR(__xludf.DUMMYFUNCTION("""COMPUTED_VALUE"""),4.0)</f>
        <v>4</v>
      </c>
      <c r="H1346" s="86">
        <f>IFERROR(__xludf.DUMMYFUNCTION("""COMPUTED_VALUE"""),0.0)</f>
        <v>0</v>
      </c>
      <c r="I1346" s="86">
        <f>IFERROR(__xludf.DUMMYFUNCTION("""COMPUTED_VALUE"""),0.3333333333333333)</f>
        <v>0.3333333333</v>
      </c>
      <c r="J1346" s="82">
        <f>IFERROR(__xludf.DUMMYFUNCTION("""COMPUTED_VALUE"""),189.0)</f>
        <v>189</v>
      </c>
      <c r="K1346" s="82">
        <f>IFERROR(__xludf.DUMMYFUNCTION("""COMPUTED_VALUE"""),0.25)</f>
        <v>0.25</v>
      </c>
      <c r="L1346" s="82">
        <f>IFERROR(__xludf.DUMMYFUNCTION("""COMPUTED_VALUE"""),0.25)</f>
        <v>0.25</v>
      </c>
      <c r="M1346" s="82">
        <f>IFERROR(__xludf.DUMMYFUNCTION("""COMPUTED_VALUE"""),0.75)</f>
        <v>0.75</v>
      </c>
      <c r="N1346" s="82">
        <f>IFERROR(__xludf.DUMMYFUNCTION("""COMPUTED_VALUE"""),0.75)</f>
        <v>0.75</v>
      </c>
      <c r="O1346" s="82">
        <f>IFERROR(__xludf.DUMMYFUNCTION("""COMPUTED_VALUE"""),531.6666666666666)</f>
        <v>531.6666667</v>
      </c>
      <c r="P1346" s="82">
        <f>IFERROR(__xludf.DUMMYFUNCTION("""COMPUTED_VALUE"""),1.9166666666666665)</f>
        <v>1.916666667</v>
      </c>
      <c r="Q1346" s="82">
        <f>IFERROR(__xludf.DUMMYFUNCTION("""COMPUTED_VALUE"""),1.3333333333333335)</f>
        <v>1.333333333</v>
      </c>
      <c r="R1346" s="82">
        <f>IFERROR(__xludf.DUMMYFUNCTION("""COMPUTED_VALUE"""),1.1666666666666667)</f>
        <v>1.166666667</v>
      </c>
      <c r="S1346" s="82">
        <f>IFERROR(__xludf.DUMMYFUNCTION("""COMPUTED_VALUE"""),4.583333333333333)</f>
        <v>4.583333333</v>
      </c>
      <c r="T1346" s="82">
        <f>IFERROR(__xludf.DUMMYFUNCTION("""COMPUTED_VALUE"""),379.0114814814815)</f>
        <v>379.0114815</v>
      </c>
      <c r="U1346" s="82">
        <f>IFERROR(__xludf.DUMMYFUNCTION("""COMPUTED_VALUE"""),0.9646296296296296)</f>
        <v>0.9646296296</v>
      </c>
      <c r="V1346" s="82">
        <f>IFERROR(__xludf.DUMMYFUNCTION("""COMPUTED_VALUE"""),0.7642592592592593)</f>
        <v>0.7642592593</v>
      </c>
      <c r="W1346" s="82">
        <f>IFERROR(__xludf.DUMMYFUNCTION("""COMPUTED_VALUE"""),1.221851851851852)</f>
        <v>1.221851852</v>
      </c>
      <c r="X1346" s="82">
        <f>IFERROR(__xludf.DUMMYFUNCTION("""COMPUTED_VALUE"""),2.7750000000000004)</f>
        <v>2.775</v>
      </c>
      <c r="Y1346" s="82">
        <f>IFERROR(__xludf.DUMMYFUNCTION("""COMPUTED_VALUE"""),375.5833333333333)</f>
        <v>375.5833333</v>
      </c>
      <c r="Z1346" s="82">
        <f>IFERROR(__xludf.DUMMYFUNCTION("""COMPUTED_VALUE"""),0.8909876543209876)</f>
        <v>0.8909876543</v>
      </c>
      <c r="AA1346" s="82">
        <f>IFERROR(__xludf.DUMMYFUNCTION("""COMPUTED_VALUE"""),0.6279012345679013)</f>
        <v>0.6279012346</v>
      </c>
      <c r="AB1346" s="82">
        <f>IFERROR(__xludf.DUMMYFUNCTION("""COMPUTED_VALUE"""),1.4093827160493826)</f>
        <v>1.409382716</v>
      </c>
      <c r="AC1346" s="82">
        <f>IFERROR(__xludf.DUMMYFUNCTION("""COMPUTED_VALUE"""),2.7846913580246913)</f>
        <v>2.784691358</v>
      </c>
      <c r="AD1346" s="82">
        <f>IFERROR(__xludf.DUMMYFUNCTION("""COMPUTED_VALUE"""),0.5032172176614156)</f>
        <v>0.5032172177</v>
      </c>
      <c r="AE1346" s="82">
        <f>IFERROR(__xludf.DUMMYFUNCTION("""COMPUTED_VALUE"""),0.2805875017320216)</f>
        <v>0.2805875017</v>
      </c>
      <c r="AF1346" s="82">
        <f>IFERROR(__xludf.DUMMYFUNCTION("""COMPUTED_VALUE"""),0.3981517892253244)</f>
        <v>0.3981517892</v>
      </c>
      <c r="AG1346" s="82">
        <f>IFERROR(__xludf.DUMMYFUNCTION("""COMPUTED_VALUE"""),0.5321478626489139)</f>
        <v>0.5321478626</v>
      </c>
      <c r="AH1346" s="82">
        <f>IFERROR(__xludf.DUMMYFUNCTION("""COMPUTED_VALUE"""),0.2693296683809186)</f>
        <v>0.2693296684</v>
      </c>
      <c r="AI1346" s="82">
        <f>IFERROR(__xludf.DUMMYFUNCTION("""COMPUTED_VALUE"""),1.4027719281444615)</f>
        <v>1.402771928</v>
      </c>
      <c r="AJ1346" s="82">
        <f>IFERROR(__xludf.DUMMYFUNCTION("""COMPUTED_VALUE"""),1.9869456709541178)</f>
        <v>1.986945671</v>
      </c>
      <c r="AK1346" s="82">
        <f>IFERROR(__xludf.DUMMYFUNCTION("""COMPUTED_VALUE"""),1.7446086745820208)</f>
        <v>1.744608675</v>
      </c>
      <c r="AL1346" s="82">
        <f>IFERROR(__xludf.DUMMYFUNCTION("""COMPUTED_VALUE"""),0.9548347984237647)</f>
        <v>0.9548347984</v>
      </c>
      <c r="AM1346" s="82">
        <f>IFERROR(__xludf.DUMMYFUNCTION("""COMPUTED_VALUE"""),1.6516516516516513)</f>
        <v>1.651651652</v>
      </c>
      <c r="AN1346" s="82">
        <f>IFERROR(__xludf.DUMMYFUNCTION("""COMPUTED_VALUE"""),0.5473861189420322)</f>
        <v>0.5473861189</v>
      </c>
      <c r="AO1346" s="82">
        <f>IFERROR(__xludf.DUMMYFUNCTION("""COMPUTED_VALUE"""),0.33141256391418544)</f>
        <v>0.3314125639</v>
      </c>
      <c r="AP1346" s="82">
        <f>IFERROR(__xludf.DUMMYFUNCTION("""COMPUTED_VALUE"""),0.4636278305750496)</f>
        <v>0.4636278306</v>
      </c>
      <c r="AQ1346" s="82">
        <f>IFERROR(__xludf.DUMMYFUNCTION("""COMPUTED_VALUE"""),0.555290822509801)</f>
        <v>0.5552908225</v>
      </c>
      <c r="AR1346" s="82">
        <f>IFERROR(__xludf.DUMMYFUNCTION("""COMPUTED_VALUE"""),0.2928907539054352)</f>
        <v>0.2928907539</v>
      </c>
      <c r="AS1346" s="82">
        <f>IFERROR(__xludf.DUMMYFUNCTION("""COMPUTED_VALUE"""),5.0)</f>
        <v>5</v>
      </c>
      <c r="AT1346" s="82">
        <f>IFERROR(__xludf.DUMMYFUNCTION("""COMPUTED_VALUE"""),0.06491510899821656)</f>
        <v>0.064915109</v>
      </c>
      <c r="AU1346" s="82">
        <f>IFERROR(__xludf.DUMMYFUNCTION("""COMPUTED_VALUE"""),-0.532026530885988)</f>
        <v>-0.5320265309</v>
      </c>
      <c r="AV1346" s="82">
        <f>IFERROR(__xludf.DUMMYFUNCTION("""COMPUTED_VALUE"""),-39.89128919466863)</f>
        <v>-39.89128919</v>
      </c>
      <c r="AW1346" s="82">
        <f t="shared" si="1"/>
        <v>-6180.839057</v>
      </c>
      <c r="AX1346" s="83">
        <f t="array" ref="AX1346">IFERROR(DGET('SBV Import'!A:G,"SBV",{"RSC ID","Tier";B1346,A1346}))</f>
        <v>-38.8561037</v>
      </c>
      <c r="AY1346" s="82">
        <f t="shared" si="2"/>
        <v>-5276.110222</v>
      </c>
      <c r="AZ1346" s="82">
        <v>904.7288353083195</v>
      </c>
      <c r="BA1346" s="84">
        <v>1200.0</v>
      </c>
      <c r="BB1346" s="84" t="b">
        <f>IFERROR(__xludf.DUMMYFUNCTION("iferror(if(A1346="""",,E1346&gt;=FILTER(Constants!$F$2:$F$10,Constants!$A$2:$A$10=A1346)))"),TRUE)</f>
        <v>1</v>
      </c>
    </row>
    <row r="1347">
      <c r="A1347" s="89"/>
      <c r="B1347" s="87"/>
      <c r="C1347" s="73"/>
      <c r="D1347" s="73"/>
      <c r="E1347" s="82"/>
      <c r="F1347" s="82"/>
      <c r="G1347" s="86"/>
      <c r="H1347" s="86"/>
      <c r="I1347" s="86"/>
      <c r="J1347" s="82"/>
      <c r="K1347" s="82"/>
      <c r="L1347" s="82"/>
      <c r="M1347" s="82"/>
      <c r="N1347" s="82"/>
      <c r="O1347" s="82"/>
      <c r="P1347" s="82"/>
      <c r="Q1347" s="82"/>
      <c r="R1347" s="82"/>
      <c r="S1347" s="82"/>
      <c r="T1347" s="82"/>
      <c r="U1347" s="82"/>
      <c r="V1347" s="82"/>
      <c r="W1347" s="82"/>
      <c r="X1347" s="82"/>
      <c r="Y1347" s="82"/>
      <c r="Z1347" s="82"/>
      <c r="AA1347" s="82"/>
      <c r="AB1347" s="82"/>
      <c r="AC1347" s="82"/>
      <c r="AD1347" s="82"/>
      <c r="AE1347" s="82"/>
      <c r="AF1347" s="82"/>
      <c r="AG1347" s="82"/>
      <c r="AH1347" s="82"/>
      <c r="AI1347" s="82"/>
      <c r="AJ1347" s="82"/>
      <c r="AK1347" s="82"/>
      <c r="AL1347" s="82"/>
      <c r="AM1347" s="82"/>
      <c r="AN1347" s="82">
        <f>IFERROR(__xludf.DUMMYFUNCTION("""COMPUTED_VALUE"""),0.0)</f>
        <v>0</v>
      </c>
      <c r="AO1347" s="82">
        <f>IFERROR(__xludf.DUMMYFUNCTION("""COMPUTED_VALUE"""),0.0)</f>
        <v>0</v>
      </c>
      <c r="AP1347" s="82">
        <f>IFERROR(__xludf.DUMMYFUNCTION("""COMPUTED_VALUE"""),0.0)</f>
        <v>0</v>
      </c>
      <c r="AQ1347" s="82">
        <f>IFERROR(__xludf.DUMMYFUNCTION("""COMPUTED_VALUE"""),0.0)</f>
        <v>0</v>
      </c>
      <c r="AR1347" s="82">
        <f>IFERROR(__xludf.DUMMYFUNCTION("""COMPUTED_VALUE"""),0.0)</f>
        <v>0</v>
      </c>
      <c r="AS1347" s="82"/>
      <c r="AT1347" s="82">
        <f>IFERROR(__xludf.DUMMYFUNCTION("""COMPUTED_VALUE"""),0.0)</f>
        <v>0</v>
      </c>
      <c r="AU1347" s="82"/>
      <c r="AV1347" s="82"/>
      <c r="AW1347" s="82" t="str">
        <f t="shared" si="1"/>
        <v/>
      </c>
      <c r="AX1347" s="83" t="str">
        <f t="array" ref="AX1347">IFERROR(DGET('SBV Import'!A:G,"SBV",{"RSC ID","Tier";B1347,A1347}))</f>
        <v/>
      </c>
      <c r="AY1347" s="82" t="str">
        <f t="shared" si="2"/>
        <v/>
      </c>
      <c r="AZ1347" s="82"/>
      <c r="BA1347" s="84" t="s">
        <v>152</v>
      </c>
      <c r="BB1347" s="84" t="str">
        <f>IFERROR(__xludf.DUMMYFUNCTION("iferror(if(A1347="""",,E1347&gt;=FILTER(Constants!$F$2:$F$10,Constants!$A$2:$A$10=A1347)))"),"")</f>
        <v/>
      </c>
    </row>
    <row r="1348">
      <c r="A1348" s="89"/>
      <c r="B1348" s="87"/>
      <c r="C1348" s="73"/>
      <c r="D1348" s="73"/>
      <c r="E1348" s="82"/>
      <c r="F1348" s="82"/>
      <c r="G1348" s="86"/>
      <c r="H1348" s="86"/>
      <c r="I1348" s="86"/>
      <c r="J1348" s="82"/>
      <c r="K1348" s="82"/>
      <c r="L1348" s="82"/>
      <c r="M1348" s="82"/>
      <c r="N1348" s="82"/>
      <c r="O1348" s="82"/>
      <c r="P1348" s="82"/>
      <c r="Q1348" s="82"/>
      <c r="R1348" s="82"/>
      <c r="S1348" s="82"/>
      <c r="T1348" s="82"/>
      <c r="U1348" s="82"/>
      <c r="V1348" s="82"/>
      <c r="W1348" s="82"/>
      <c r="X1348" s="82"/>
      <c r="Y1348" s="82"/>
      <c r="Z1348" s="82"/>
      <c r="AA1348" s="82"/>
      <c r="AB1348" s="82"/>
      <c r="AC1348" s="82"/>
      <c r="AD1348" s="82"/>
      <c r="AE1348" s="82"/>
      <c r="AF1348" s="82"/>
      <c r="AG1348" s="82"/>
      <c r="AH1348" s="82"/>
      <c r="AI1348" s="82"/>
      <c r="AJ1348" s="82"/>
      <c r="AK1348" s="82"/>
      <c r="AL1348" s="82"/>
      <c r="AM1348" s="82"/>
      <c r="AN1348" s="82">
        <f>IFERROR(__xludf.DUMMYFUNCTION("""COMPUTED_VALUE"""),0.0)</f>
        <v>0</v>
      </c>
      <c r="AO1348" s="82">
        <f>IFERROR(__xludf.DUMMYFUNCTION("""COMPUTED_VALUE"""),0.0)</f>
        <v>0</v>
      </c>
      <c r="AP1348" s="82">
        <f>IFERROR(__xludf.DUMMYFUNCTION("""COMPUTED_VALUE"""),0.0)</f>
        <v>0</v>
      </c>
      <c r="AQ1348" s="82">
        <f>IFERROR(__xludf.DUMMYFUNCTION("""COMPUTED_VALUE"""),0.0)</f>
        <v>0</v>
      </c>
      <c r="AR1348" s="82">
        <f>IFERROR(__xludf.DUMMYFUNCTION("""COMPUTED_VALUE"""),0.0)</f>
        <v>0</v>
      </c>
      <c r="AS1348" s="82"/>
      <c r="AT1348" s="82">
        <f>IFERROR(__xludf.DUMMYFUNCTION("""COMPUTED_VALUE"""),0.0)</f>
        <v>0</v>
      </c>
      <c r="AU1348" s="82"/>
      <c r="AV1348" s="82"/>
      <c r="AW1348" s="82" t="str">
        <f t="shared" si="1"/>
        <v/>
      </c>
      <c r="AX1348" s="83" t="str">
        <f t="array" ref="AX1348">IFERROR(DGET('SBV Import'!A:G,"SBV",{"RSC ID","Tier";B1348,A1348}))</f>
        <v/>
      </c>
      <c r="AY1348" s="82" t="str">
        <f t="shared" si="2"/>
        <v/>
      </c>
      <c r="AZ1348" s="82"/>
      <c r="BA1348" s="84" t="s">
        <v>152</v>
      </c>
      <c r="BB1348" s="84" t="str">
        <f>IFERROR(__xludf.DUMMYFUNCTION("iferror(if(A1348="""",,E1348&gt;=FILTER(Constants!$F$2:$F$10,Constants!$A$2:$A$10=A1348)))"),"")</f>
        <v/>
      </c>
    </row>
    <row r="1349">
      <c r="A1349" s="89"/>
      <c r="B1349" s="87"/>
      <c r="C1349" s="73"/>
      <c r="D1349" s="73"/>
      <c r="E1349" s="82"/>
      <c r="F1349" s="82"/>
      <c r="G1349" s="86"/>
      <c r="H1349" s="86"/>
      <c r="I1349" s="86"/>
      <c r="J1349" s="82"/>
      <c r="K1349" s="82"/>
      <c r="L1349" s="82"/>
      <c r="M1349" s="82"/>
      <c r="N1349" s="82"/>
      <c r="O1349" s="82"/>
      <c r="P1349" s="82"/>
      <c r="Q1349" s="82"/>
      <c r="R1349" s="82"/>
      <c r="S1349" s="82"/>
      <c r="T1349" s="82"/>
      <c r="U1349" s="82"/>
      <c r="V1349" s="82"/>
      <c r="W1349" s="82"/>
      <c r="X1349" s="82"/>
      <c r="Y1349" s="82"/>
      <c r="Z1349" s="82"/>
      <c r="AA1349" s="82"/>
      <c r="AB1349" s="82"/>
      <c r="AC1349" s="82"/>
      <c r="AD1349" s="82"/>
      <c r="AE1349" s="82"/>
      <c r="AF1349" s="82"/>
      <c r="AG1349" s="82"/>
      <c r="AH1349" s="82"/>
      <c r="AI1349" s="82"/>
      <c r="AJ1349" s="82"/>
      <c r="AK1349" s="82"/>
      <c r="AL1349" s="82"/>
      <c r="AM1349" s="82"/>
      <c r="AN1349" s="82">
        <f>IFERROR(__xludf.DUMMYFUNCTION("""COMPUTED_VALUE"""),0.0)</f>
        <v>0</v>
      </c>
      <c r="AO1349" s="82">
        <f>IFERROR(__xludf.DUMMYFUNCTION("""COMPUTED_VALUE"""),0.0)</f>
        <v>0</v>
      </c>
      <c r="AP1349" s="82">
        <f>IFERROR(__xludf.DUMMYFUNCTION("""COMPUTED_VALUE"""),0.0)</f>
        <v>0</v>
      </c>
      <c r="AQ1349" s="82">
        <f>IFERROR(__xludf.DUMMYFUNCTION("""COMPUTED_VALUE"""),0.0)</f>
        <v>0</v>
      </c>
      <c r="AR1349" s="82">
        <f>IFERROR(__xludf.DUMMYFUNCTION("""COMPUTED_VALUE"""),0.0)</f>
        <v>0</v>
      </c>
      <c r="AS1349" s="82"/>
      <c r="AT1349" s="82">
        <f>IFERROR(__xludf.DUMMYFUNCTION("""COMPUTED_VALUE"""),0.0)</f>
        <v>0</v>
      </c>
      <c r="AU1349" s="82"/>
      <c r="AV1349" s="82"/>
      <c r="AW1349" s="82" t="str">
        <f t="shared" si="1"/>
        <v/>
      </c>
      <c r="AX1349" s="83" t="str">
        <f t="array" ref="AX1349">IFERROR(DGET('SBV Import'!A:G,"SBV",{"RSC ID","Tier";B1349,A1349}))</f>
        <v/>
      </c>
      <c r="AY1349" s="82" t="str">
        <f t="shared" si="2"/>
        <v/>
      </c>
      <c r="AZ1349" s="82"/>
      <c r="BA1349" s="84" t="s">
        <v>152</v>
      </c>
      <c r="BB1349" s="84" t="str">
        <f>IFERROR(__xludf.DUMMYFUNCTION("iferror(if(A1349="""",,E1349&gt;=FILTER(Constants!$F$2:$F$10,Constants!$A$2:$A$10=A1349)))"),"")</f>
        <v/>
      </c>
    </row>
    <row r="1350">
      <c r="A1350" s="90"/>
      <c r="B1350" s="87"/>
      <c r="C1350" s="73"/>
      <c r="D1350" s="73"/>
      <c r="E1350" s="82"/>
      <c r="F1350" s="82"/>
      <c r="G1350" s="86"/>
      <c r="H1350" s="86"/>
      <c r="I1350" s="86"/>
      <c r="J1350" s="82"/>
      <c r="K1350" s="82"/>
      <c r="L1350" s="82"/>
      <c r="M1350" s="82"/>
      <c r="N1350" s="82"/>
      <c r="O1350" s="82"/>
      <c r="P1350" s="82"/>
      <c r="Q1350" s="82"/>
      <c r="R1350" s="82"/>
      <c r="S1350" s="82"/>
      <c r="T1350" s="82"/>
      <c r="U1350" s="82"/>
      <c r="V1350" s="82"/>
      <c r="W1350" s="82"/>
      <c r="X1350" s="82"/>
      <c r="Y1350" s="82"/>
      <c r="Z1350" s="82"/>
      <c r="AA1350" s="82"/>
      <c r="AB1350" s="82"/>
      <c r="AC1350" s="82"/>
      <c r="AD1350" s="82"/>
      <c r="AE1350" s="82"/>
      <c r="AF1350" s="82"/>
      <c r="AG1350" s="82"/>
      <c r="AH1350" s="82"/>
      <c r="AI1350" s="82"/>
      <c r="AJ1350" s="82"/>
      <c r="AK1350" s="82"/>
      <c r="AL1350" s="82"/>
      <c r="AM1350" s="82"/>
      <c r="AN1350" s="82">
        <f>IFERROR(__xludf.DUMMYFUNCTION("""COMPUTED_VALUE"""),0.0)</f>
        <v>0</v>
      </c>
      <c r="AO1350" s="82">
        <f>IFERROR(__xludf.DUMMYFUNCTION("""COMPUTED_VALUE"""),0.0)</f>
        <v>0</v>
      </c>
      <c r="AP1350" s="82">
        <f>IFERROR(__xludf.DUMMYFUNCTION("""COMPUTED_VALUE"""),0.0)</f>
        <v>0</v>
      </c>
      <c r="AQ1350" s="82">
        <f>IFERROR(__xludf.DUMMYFUNCTION("""COMPUTED_VALUE"""),0.0)</f>
        <v>0</v>
      </c>
      <c r="AR1350" s="82">
        <f>IFERROR(__xludf.DUMMYFUNCTION("""COMPUTED_VALUE"""),0.0)</f>
        <v>0</v>
      </c>
      <c r="AS1350" s="82"/>
      <c r="AT1350" s="82">
        <f>IFERROR(__xludf.DUMMYFUNCTION("""COMPUTED_VALUE"""),0.0)</f>
        <v>0</v>
      </c>
      <c r="AU1350" s="82"/>
      <c r="AV1350" s="82"/>
      <c r="AW1350" s="82" t="str">
        <f t="shared" si="1"/>
        <v/>
      </c>
      <c r="AX1350" s="83" t="str">
        <f t="array" ref="AX1350">IFERROR(DGET('SBV Import'!A:G,"SBV",{"RSC ID","Tier";B1350,A1350}))</f>
        <v/>
      </c>
      <c r="AY1350" s="82" t="str">
        <f t="shared" si="2"/>
        <v/>
      </c>
      <c r="AZ1350" s="82"/>
      <c r="BA1350" s="84" t="s">
        <v>152</v>
      </c>
      <c r="BB1350" s="84" t="str">
        <f>IFERROR(__xludf.DUMMYFUNCTION("iferror(if(A1350="""",,E1350&gt;=FILTER(Constants!$F$2:$F$10,Constants!$A$2:$A$10=A1350)))"),"")</f>
        <v/>
      </c>
    </row>
    <row r="1351">
      <c r="A1351" s="89"/>
      <c r="B1351" s="87"/>
      <c r="C1351" s="73"/>
      <c r="D1351" s="73"/>
      <c r="E1351" s="82"/>
      <c r="F1351" s="82"/>
      <c r="G1351" s="86"/>
      <c r="H1351" s="86"/>
      <c r="I1351" s="86"/>
      <c r="J1351" s="82"/>
      <c r="K1351" s="82"/>
      <c r="L1351" s="82"/>
      <c r="M1351" s="82"/>
      <c r="N1351" s="82"/>
      <c r="O1351" s="82"/>
      <c r="P1351" s="82"/>
      <c r="Q1351" s="82"/>
      <c r="R1351" s="82"/>
      <c r="S1351" s="82"/>
      <c r="T1351" s="82"/>
      <c r="U1351" s="82"/>
      <c r="V1351" s="82"/>
      <c r="W1351" s="82"/>
      <c r="X1351" s="82"/>
      <c r="Y1351" s="82"/>
      <c r="Z1351" s="82"/>
      <c r="AA1351" s="82"/>
      <c r="AB1351" s="82"/>
      <c r="AC1351" s="82"/>
      <c r="AD1351" s="82"/>
      <c r="AE1351" s="82"/>
      <c r="AF1351" s="82"/>
      <c r="AG1351" s="82"/>
      <c r="AH1351" s="82"/>
      <c r="AI1351" s="82"/>
      <c r="AJ1351" s="82"/>
      <c r="AK1351" s="82"/>
      <c r="AL1351" s="82"/>
      <c r="AM1351" s="82"/>
      <c r="AN1351" s="82">
        <f>IFERROR(__xludf.DUMMYFUNCTION("""COMPUTED_VALUE"""),0.0)</f>
        <v>0</v>
      </c>
      <c r="AO1351" s="82">
        <f>IFERROR(__xludf.DUMMYFUNCTION("""COMPUTED_VALUE"""),0.0)</f>
        <v>0</v>
      </c>
      <c r="AP1351" s="82">
        <f>IFERROR(__xludf.DUMMYFUNCTION("""COMPUTED_VALUE"""),0.0)</f>
        <v>0</v>
      </c>
      <c r="AQ1351" s="82">
        <f>IFERROR(__xludf.DUMMYFUNCTION("""COMPUTED_VALUE"""),0.0)</f>
        <v>0</v>
      </c>
      <c r="AR1351" s="82">
        <f>IFERROR(__xludf.DUMMYFUNCTION("""COMPUTED_VALUE"""),0.0)</f>
        <v>0</v>
      </c>
      <c r="AS1351" s="82"/>
      <c r="AT1351" s="82">
        <f>IFERROR(__xludf.DUMMYFUNCTION("""COMPUTED_VALUE"""),0.0)</f>
        <v>0</v>
      </c>
      <c r="AU1351" s="82"/>
      <c r="AV1351" s="82"/>
      <c r="AW1351" s="82" t="str">
        <f t="shared" si="1"/>
        <v/>
      </c>
      <c r="AX1351" s="83" t="str">
        <f t="array" ref="AX1351">IFERROR(DGET('SBV Import'!A:G,"SBV",{"RSC ID","Tier";B1351,A1351}))</f>
        <v/>
      </c>
      <c r="AY1351" s="82" t="str">
        <f t="shared" si="2"/>
        <v/>
      </c>
      <c r="AZ1351" s="82"/>
      <c r="BA1351" s="84" t="s">
        <v>152</v>
      </c>
      <c r="BB1351" s="84" t="str">
        <f>IFERROR(__xludf.DUMMYFUNCTION("iferror(if(A1351="""",,E1351&gt;=FILTER(Constants!$F$2:$F$10,Constants!$A$2:$A$10=A1351)))"),"")</f>
        <v/>
      </c>
    </row>
    <row r="1352">
      <c r="A1352" s="89"/>
      <c r="B1352" s="87"/>
      <c r="C1352" s="73"/>
      <c r="D1352" s="73"/>
      <c r="E1352" s="82"/>
      <c r="F1352" s="82"/>
      <c r="G1352" s="86"/>
      <c r="H1352" s="86"/>
      <c r="I1352" s="86"/>
      <c r="J1352" s="82"/>
      <c r="K1352" s="82"/>
      <c r="L1352" s="82"/>
      <c r="M1352" s="82"/>
      <c r="N1352" s="82"/>
      <c r="O1352" s="82"/>
      <c r="P1352" s="82"/>
      <c r="Q1352" s="82"/>
      <c r="R1352" s="82"/>
      <c r="S1352" s="82"/>
      <c r="T1352" s="82"/>
      <c r="U1352" s="82"/>
      <c r="V1352" s="82"/>
      <c r="W1352" s="82"/>
      <c r="X1352" s="82"/>
      <c r="Y1352" s="82"/>
      <c r="Z1352" s="82"/>
      <c r="AA1352" s="82"/>
      <c r="AB1352" s="82"/>
      <c r="AC1352" s="82"/>
      <c r="AD1352" s="82"/>
      <c r="AE1352" s="82"/>
      <c r="AF1352" s="82"/>
      <c r="AG1352" s="82"/>
      <c r="AH1352" s="82"/>
      <c r="AI1352" s="82"/>
      <c r="AJ1352" s="82"/>
      <c r="AK1352" s="82"/>
      <c r="AL1352" s="82"/>
      <c r="AM1352" s="82"/>
      <c r="AN1352" s="82">
        <f>IFERROR(__xludf.DUMMYFUNCTION("""COMPUTED_VALUE"""),0.0)</f>
        <v>0</v>
      </c>
      <c r="AO1352" s="82">
        <f>IFERROR(__xludf.DUMMYFUNCTION("""COMPUTED_VALUE"""),0.0)</f>
        <v>0</v>
      </c>
      <c r="AP1352" s="82">
        <f>IFERROR(__xludf.DUMMYFUNCTION("""COMPUTED_VALUE"""),0.0)</f>
        <v>0</v>
      </c>
      <c r="AQ1352" s="82">
        <f>IFERROR(__xludf.DUMMYFUNCTION("""COMPUTED_VALUE"""),0.0)</f>
        <v>0</v>
      </c>
      <c r="AR1352" s="82">
        <f>IFERROR(__xludf.DUMMYFUNCTION("""COMPUTED_VALUE"""),0.0)</f>
        <v>0</v>
      </c>
      <c r="AS1352" s="82"/>
      <c r="AT1352" s="82">
        <f>IFERROR(__xludf.DUMMYFUNCTION("""COMPUTED_VALUE"""),0.0)</f>
        <v>0</v>
      </c>
      <c r="AU1352" s="82"/>
      <c r="AV1352" s="82"/>
      <c r="AW1352" s="82" t="str">
        <f t="shared" si="1"/>
        <v/>
      </c>
      <c r="AX1352" s="83" t="str">
        <f t="array" ref="AX1352">IFERROR(DGET('SBV Import'!A:G,"SBV",{"RSC ID","Tier";B1352,A1352}))</f>
        <v/>
      </c>
      <c r="AY1352" s="82" t="str">
        <f t="shared" si="2"/>
        <v/>
      </c>
      <c r="AZ1352" s="82"/>
      <c r="BA1352" s="84" t="s">
        <v>152</v>
      </c>
      <c r="BB1352" s="84" t="str">
        <f>IFERROR(__xludf.DUMMYFUNCTION("iferror(if(A1352="""",,E1352&gt;=FILTER(Constants!$F$2:$F$10,Constants!$A$2:$A$10=A1352)))"),"")</f>
        <v/>
      </c>
    </row>
    <row r="1353">
      <c r="A1353" s="89"/>
      <c r="B1353" s="87"/>
      <c r="C1353" s="73"/>
      <c r="D1353" s="73"/>
      <c r="E1353" s="82"/>
      <c r="F1353" s="82"/>
      <c r="G1353" s="86"/>
      <c r="H1353" s="86"/>
      <c r="I1353" s="86"/>
      <c r="J1353" s="82"/>
      <c r="K1353" s="82"/>
      <c r="L1353" s="82"/>
      <c r="M1353" s="82"/>
      <c r="N1353" s="82"/>
      <c r="O1353" s="82"/>
      <c r="P1353" s="82"/>
      <c r="Q1353" s="82"/>
      <c r="R1353" s="82"/>
      <c r="S1353" s="82"/>
      <c r="T1353" s="82"/>
      <c r="U1353" s="82"/>
      <c r="V1353" s="82"/>
      <c r="W1353" s="82"/>
      <c r="X1353" s="82"/>
      <c r="Y1353" s="82"/>
      <c r="Z1353" s="82"/>
      <c r="AA1353" s="82"/>
      <c r="AB1353" s="82"/>
      <c r="AC1353" s="82"/>
      <c r="AD1353" s="82"/>
      <c r="AE1353" s="82"/>
      <c r="AF1353" s="82"/>
      <c r="AG1353" s="82"/>
      <c r="AH1353" s="82"/>
      <c r="AI1353" s="82"/>
      <c r="AJ1353" s="82"/>
      <c r="AK1353" s="82"/>
      <c r="AL1353" s="82"/>
      <c r="AM1353" s="82"/>
      <c r="AN1353" s="82">
        <f>IFERROR(__xludf.DUMMYFUNCTION("""COMPUTED_VALUE"""),0.0)</f>
        <v>0</v>
      </c>
      <c r="AO1353" s="82">
        <f>IFERROR(__xludf.DUMMYFUNCTION("""COMPUTED_VALUE"""),0.0)</f>
        <v>0</v>
      </c>
      <c r="AP1353" s="82">
        <f>IFERROR(__xludf.DUMMYFUNCTION("""COMPUTED_VALUE"""),0.0)</f>
        <v>0</v>
      </c>
      <c r="AQ1353" s="82">
        <f>IFERROR(__xludf.DUMMYFUNCTION("""COMPUTED_VALUE"""),0.0)</f>
        <v>0</v>
      </c>
      <c r="AR1353" s="82">
        <f>IFERROR(__xludf.DUMMYFUNCTION("""COMPUTED_VALUE"""),0.0)</f>
        <v>0</v>
      </c>
      <c r="AS1353" s="82"/>
      <c r="AT1353" s="82">
        <f>IFERROR(__xludf.DUMMYFUNCTION("""COMPUTED_VALUE"""),0.0)</f>
        <v>0</v>
      </c>
      <c r="AU1353" s="82"/>
      <c r="AV1353" s="82"/>
      <c r="AW1353" s="82" t="str">
        <f t="shared" si="1"/>
        <v/>
      </c>
      <c r="AX1353" s="83" t="str">
        <f t="array" ref="AX1353">IFERROR(DGET('SBV Import'!A:G,"SBV",{"RSC ID","Tier";B1353,A1353}))</f>
        <v/>
      </c>
      <c r="AY1353" s="82" t="str">
        <f t="shared" si="2"/>
        <v/>
      </c>
      <c r="AZ1353" s="82"/>
      <c r="BA1353" s="84" t="s">
        <v>152</v>
      </c>
      <c r="BB1353" s="84" t="str">
        <f>IFERROR(__xludf.DUMMYFUNCTION("iferror(if(A1353="""",,E1353&gt;=FILTER(Constants!$F$2:$F$10,Constants!$A$2:$A$10=A1353)))"),"")</f>
        <v/>
      </c>
    </row>
    <row r="1354">
      <c r="A1354" s="89"/>
      <c r="B1354" s="87"/>
      <c r="C1354" s="73"/>
      <c r="D1354" s="73"/>
      <c r="E1354" s="82"/>
      <c r="F1354" s="82"/>
      <c r="G1354" s="86"/>
      <c r="H1354" s="86"/>
      <c r="I1354" s="86"/>
      <c r="J1354" s="82"/>
      <c r="K1354" s="82"/>
      <c r="L1354" s="82"/>
      <c r="M1354" s="82"/>
      <c r="N1354" s="82"/>
      <c r="O1354" s="82"/>
      <c r="P1354" s="82"/>
      <c r="Q1354" s="82"/>
      <c r="R1354" s="82"/>
      <c r="S1354" s="82"/>
      <c r="T1354" s="82"/>
      <c r="U1354" s="82"/>
      <c r="V1354" s="82"/>
      <c r="W1354" s="82"/>
      <c r="X1354" s="82"/>
      <c r="Y1354" s="82"/>
      <c r="Z1354" s="82"/>
      <c r="AA1354" s="82"/>
      <c r="AB1354" s="82"/>
      <c r="AC1354" s="82"/>
      <c r="AD1354" s="82"/>
      <c r="AE1354" s="82"/>
      <c r="AF1354" s="82"/>
      <c r="AG1354" s="82"/>
      <c r="AH1354" s="82"/>
      <c r="AI1354" s="82"/>
      <c r="AJ1354" s="82"/>
      <c r="AK1354" s="82"/>
      <c r="AL1354" s="82"/>
      <c r="AM1354" s="82"/>
      <c r="AN1354" s="82">
        <f>IFERROR(__xludf.DUMMYFUNCTION("""COMPUTED_VALUE"""),0.0)</f>
        <v>0</v>
      </c>
      <c r="AO1354" s="82">
        <f>IFERROR(__xludf.DUMMYFUNCTION("""COMPUTED_VALUE"""),0.0)</f>
        <v>0</v>
      </c>
      <c r="AP1354" s="82">
        <f>IFERROR(__xludf.DUMMYFUNCTION("""COMPUTED_VALUE"""),0.0)</f>
        <v>0</v>
      </c>
      <c r="AQ1354" s="82">
        <f>IFERROR(__xludf.DUMMYFUNCTION("""COMPUTED_VALUE"""),0.0)</f>
        <v>0</v>
      </c>
      <c r="AR1354" s="82">
        <f>IFERROR(__xludf.DUMMYFUNCTION("""COMPUTED_VALUE"""),0.0)</f>
        <v>0</v>
      </c>
      <c r="AS1354" s="82"/>
      <c r="AT1354" s="82">
        <f>IFERROR(__xludf.DUMMYFUNCTION("""COMPUTED_VALUE"""),0.0)</f>
        <v>0</v>
      </c>
      <c r="AU1354" s="82"/>
      <c r="AV1354" s="82"/>
      <c r="AW1354" s="82" t="str">
        <f t="shared" si="1"/>
        <v/>
      </c>
      <c r="AX1354" s="83" t="str">
        <f t="array" ref="AX1354">IFERROR(DGET('SBV Import'!A:G,"SBV",{"RSC ID","Tier";B1354,A1354}))</f>
        <v/>
      </c>
      <c r="AY1354" s="82" t="str">
        <f t="shared" si="2"/>
        <v/>
      </c>
      <c r="AZ1354" s="82"/>
      <c r="BA1354" s="84" t="s">
        <v>152</v>
      </c>
      <c r="BB1354" s="84" t="str">
        <f>IFERROR(__xludf.DUMMYFUNCTION("iferror(if(A1354="""",,E1354&gt;=FILTER(Constants!$F$2:$F$10,Constants!$A$2:$A$10=A1354)))"),"")</f>
        <v/>
      </c>
    </row>
    <row r="1355">
      <c r="A1355" s="89"/>
      <c r="B1355" s="87"/>
      <c r="C1355" s="73"/>
      <c r="D1355" s="73"/>
      <c r="E1355" s="82"/>
      <c r="F1355" s="82"/>
      <c r="G1355" s="86"/>
      <c r="H1355" s="86"/>
      <c r="I1355" s="86"/>
      <c r="J1355" s="82"/>
      <c r="K1355" s="82"/>
      <c r="L1355" s="82"/>
      <c r="M1355" s="82"/>
      <c r="N1355" s="82"/>
      <c r="O1355" s="82"/>
      <c r="P1355" s="82"/>
      <c r="Q1355" s="82"/>
      <c r="R1355" s="82"/>
      <c r="S1355" s="82"/>
      <c r="T1355" s="82"/>
      <c r="U1355" s="82"/>
      <c r="V1355" s="82"/>
      <c r="W1355" s="82"/>
      <c r="X1355" s="82"/>
      <c r="Y1355" s="82"/>
      <c r="Z1355" s="82"/>
      <c r="AA1355" s="82"/>
      <c r="AB1355" s="82"/>
      <c r="AC1355" s="82"/>
      <c r="AD1355" s="82"/>
      <c r="AE1355" s="82"/>
      <c r="AF1355" s="82"/>
      <c r="AG1355" s="82"/>
      <c r="AH1355" s="82"/>
      <c r="AI1355" s="82"/>
      <c r="AJ1355" s="82"/>
      <c r="AK1355" s="82"/>
      <c r="AL1355" s="82"/>
      <c r="AM1355" s="82"/>
      <c r="AN1355" s="82">
        <f>IFERROR(__xludf.DUMMYFUNCTION("""COMPUTED_VALUE"""),0.0)</f>
        <v>0</v>
      </c>
      <c r="AO1355" s="82">
        <f>IFERROR(__xludf.DUMMYFUNCTION("""COMPUTED_VALUE"""),0.0)</f>
        <v>0</v>
      </c>
      <c r="AP1355" s="82">
        <f>IFERROR(__xludf.DUMMYFUNCTION("""COMPUTED_VALUE"""),0.0)</f>
        <v>0</v>
      </c>
      <c r="AQ1355" s="82">
        <f>IFERROR(__xludf.DUMMYFUNCTION("""COMPUTED_VALUE"""),0.0)</f>
        <v>0</v>
      </c>
      <c r="AR1355" s="82">
        <f>IFERROR(__xludf.DUMMYFUNCTION("""COMPUTED_VALUE"""),0.0)</f>
        <v>0</v>
      </c>
      <c r="AS1355" s="82"/>
      <c r="AT1355" s="82">
        <f>IFERROR(__xludf.DUMMYFUNCTION("""COMPUTED_VALUE"""),0.0)</f>
        <v>0</v>
      </c>
      <c r="AU1355" s="82"/>
      <c r="AV1355" s="82"/>
      <c r="AW1355" s="82" t="str">
        <f t="shared" si="1"/>
        <v/>
      </c>
      <c r="AX1355" s="83" t="str">
        <f t="array" ref="AX1355">IFERROR(DGET('SBV Import'!A:G,"SBV",{"RSC ID","Tier";B1355,A1355}))</f>
        <v/>
      </c>
      <c r="AY1355" s="82" t="str">
        <f t="shared" si="2"/>
        <v/>
      </c>
      <c r="AZ1355" s="82"/>
      <c r="BA1355" s="84" t="s">
        <v>152</v>
      </c>
      <c r="BB1355" s="84" t="str">
        <f>IFERROR(__xludf.DUMMYFUNCTION("iferror(if(A1355="""",,E1355&gt;=FILTER(Constants!$F$2:$F$10,Constants!$A$2:$A$10=A1355)))"),"")</f>
        <v/>
      </c>
    </row>
    <row r="1356">
      <c r="A1356" s="89"/>
      <c r="B1356" s="87"/>
      <c r="C1356" s="73"/>
      <c r="D1356" s="73"/>
      <c r="E1356" s="82"/>
      <c r="F1356" s="82"/>
      <c r="G1356" s="86"/>
      <c r="H1356" s="86"/>
      <c r="I1356" s="86"/>
      <c r="J1356" s="82"/>
      <c r="K1356" s="82"/>
      <c r="L1356" s="82"/>
      <c r="M1356" s="82"/>
      <c r="N1356" s="82"/>
      <c r="O1356" s="82"/>
      <c r="P1356" s="82"/>
      <c r="Q1356" s="82"/>
      <c r="R1356" s="82"/>
      <c r="S1356" s="82"/>
      <c r="T1356" s="82"/>
      <c r="U1356" s="82"/>
      <c r="V1356" s="82"/>
      <c r="W1356" s="82"/>
      <c r="X1356" s="82"/>
      <c r="Y1356" s="82"/>
      <c r="Z1356" s="82"/>
      <c r="AA1356" s="82"/>
      <c r="AB1356" s="82"/>
      <c r="AC1356" s="82"/>
      <c r="AD1356" s="82"/>
      <c r="AE1356" s="82"/>
      <c r="AF1356" s="82"/>
      <c r="AG1356" s="82"/>
      <c r="AH1356" s="82"/>
      <c r="AI1356" s="82"/>
      <c r="AJ1356" s="82"/>
      <c r="AK1356" s="82"/>
      <c r="AL1356" s="82"/>
      <c r="AM1356" s="82"/>
      <c r="AN1356" s="82">
        <f>IFERROR(__xludf.DUMMYFUNCTION("""COMPUTED_VALUE"""),0.0)</f>
        <v>0</v>
      </c>
      <c r="AO1356" s="82">
        <f>IFERROR(__xludf.DUMMYFUNCTION("""COMPUTED_VALUE"""),0.0)</f>
        <v>0</v>
      </c>
      <c r="AP1356" s="82">
        <f>IFERROR(__xludf.DUMMYFUNCTION("""COMPUTED_VALUE"""),0.0)</f>
        <v>0</v>
      </c>
      <c r="AQ1356" s="82">
        <f>IFERROR(__xludf.DUMMYFUNCTION("""COMPUTED_VALUE"""),0.0)</f>
        <v>0</v>
      </c>
      <c r="AR1356" s="82">
        <f>IFERROR(__xludf.DUMMYFUNCTION("""COMPUTED_VALUE"""),0.0)</f>
        <v>0</v>
      </c>
      <c r="AS1356" s="82"/>
      <c r="AT1356" s="82">
        <f>IFERROR(__xludf.DUMMYFUNCTION("""COMPUTED_VALUE"""),0.0)</f>
        <v>0</v>
      </c>
      <c r="AU1356" s="82"/>
      <c r="AV1356" s="82"/>
      <c r="AW1356" s="82" t="str">
        <f t="shared" si="1"/>
        <v/>
      </c>
      <c r="AX1356" s="83" t="str">
        <f t="array" ref="AX1356">IFERROR(DGET('SBV Import'!A:G,"SBV",{"RSC ID","Tier";B1356,A1356}))</f>
        <v/>
      </c>
      <c r="AY1356" s="82" t="str">
        <f t="shared" si="2"/>
        <v/>
      </c>
      <c r="AZ1356" s="82"/>
      <c r="BA1356" s="84" t="s">
        <v>152</v>
      </c>
      <c r="BB1356" s="84" t="str">
        <f>IFERROR(__xludf.DUMMYFUNCTION("iferror(if(A1356="""",,E1356&gt;=FILTER(Constants!$F$2:$F$10,Constants!$A$2:$A$10=A1356)))"),"")</f>
        <v/>
      </c>
    </row>
    <row r="1357">
      <c r="A1357" s="89"/>
      <c r="B1357" s="87"/>
      <c r="C1357" s="73"/>
      <c r="D1357" s="73"/>
      <c r="E1357" s="82"/>
      <c r="F1357" s="82"/>
      <c r="G1357" s="86"/>
      <c r="H1357" s="86"/>
      <c r="I1357" s="86"/>
      <c r="J1357" s="82"/>
      <c r="K1357" s="82"/>
      <c r="L1357" s="82"/>
      <c r="M1357" s="82"/>
      <c r="N1357" s="82"/>
      <c r="O1357" s="82"/>
      <c r="P1357" s="82"/>
      <c r="Q1357" s="82"/>
      <c r="R1357" s="82"/>
      <c r="S1357" s="82"/>
      <c r="T1357" s="82"/>
      <c r="U1357" s="82"/>
      <c r="V1357" s="82"/>
      <c r="W1357" s="82"/>
      <c r="X1357" s="82"/>
      <c r="Y1357" s="82"/>
      <c r="Z1357" s="82"/>
      <c r="AA1357" s="82"/>
      <c r="AB1357" s="82"/>
      <c r="AC1357" s="82"/>
      <c r="AD1357" s="82"/>
      <c r="AE1357" s="82"/>
      <c r="AF1357" s="82"/>
      <c r="AG1357" s="82"/>
      <c r="AH1357" s="82"/>
      <c r="AI1357" s="82"/>
      <c r="AJ1357" s="82"/>
      <c r="AK1357" s="82"/>
      <c r="AL1357" s="82"/>
      <c r="AM1357" s="82"/>
      <c r="AN1357" s="82">
        <f>IFERROR(__xludf.DUMMYFUNCTION("""COMPUTED_VALUE"""),0.0)</f>
        <v>0</v>
      </c>
      <c r="AO1357" s="82">
        <f>IFERROR(__xludf.DUMMYFUNCTION("""COMPUTED_VALUE"""),0.0)</f>
        <v>0</v>
      </c>
      <c r="AP1357" s="82">
        <f>IFERROR(__xludf.DUMMYFUNCTION("""COMPUTED_VALUE"""),0.0)</f>
        <v>0</v>
      </c>
      <c r="AQ1357" s="82">
        <f>IFERROR(__xludf.DUMMYFUNCTION("""COMPUTED_VALUE"""),0.0)</f>
        <v>0</v>
      </c>
      <c r="AR1357" s="82">
        <f>IFERROR(__xludf.DUMMYFUNCTION("""COMPUTED_VALUE"""),0.0)</f>
        <v>0</v>
      </c>
      <c r="AS1357" s="82"/>
      <c r="AT1357" s="82">
        <f>IFERROR(__xludf.DUMMYFUNCTION("""COMPUTED_VALUE"""),0.0)</f>
        <v>0</v>
      </c>
      <c r="AU1357" s="82"/>
      <c r="AV1357" s="82"/>
      <c r="AW1357" s="82" t="str">
        <f t="shared" si="1"/>
        <v/>
      </c>
      <c r="AX1357" s="83" t="str">
        <f t="array" ref="AX1357">IFERROR(DGET('SBV Import'!A:G,"SBV",{"RSC ID","Tier";B1357,A1357}))</f>
        <v/>
      </c>
      <c r="AY1357" s="82" t="str">
        <f t="shared" si="2"/>
        <v/>
      </c>
      <c r="AZ1357" s="82"/>
      <c r="BA1357" s="84" t="s">
        <v>152</v>
      </c>
      <c r="BB1357" s="84" t="str">
        <f>IFERROR(__xludf.DUMMYFUNCTION("iferror(if(A1357="""",,E1357&gt;=FILTER(Constants!$F$2:$F$10,Constants!$A$2:$A$10=A1357)))"),"")</f>
        <v/>
      </c>
    </row>
    <row r="1358">
      <c r="A1358" s="89"/>
      <c r="B1358" s="87"/>
      <c r="C1358" s="73"/>
      <c r="D1358" s="73"/>
      <c r="E1358" s="82"/>
      <c r="F1358" s="82"/>
      <c r="G1358" s="86"/>
      <c r="H1358" s="86"/>
      <c r="I1358" s="86"/>
      <c r="J1358" s="82"/>
      <c r="K1358" s="82"/>
      <c r="L1358" s="82"/>
      <c r="M1358" s="82"/>
      <c r="N1358" s="82"/>
      <c r="O1358" s="82"/>
      <c r="P1358" s="82"/>
      <c r="Q1358" s="82"/>
      <c r="R1358" s="82"/>
      <c r="S1358" s="82"/>
      <c r="T1358" s="82"/>
      <c r="U1358" s="82"/>
      <c r="V1358" s="82"/>
      <c r="W1358" s="82"/>
      <c r="X1358" s="82"/>
      <c r="Y1358" s="82"/>
      <c r="Z1358" s="82"/>
      <c r="AA1358" s="82"/>
      <c r="AB1358" s="82"/>
      <c r="AC1358" s="82"/>
      <c r="AD1358" s="82"/>
      <c r="AE1358" s="82"/>
      <c r="AF1358" s="82"/>
      <c r="AG1358" s="82"/>
      <c r="AH1358" s="82"/>
      <c r="AI1358" s="82"/>
      <c r="AJ1358" s="82"/>
      <c r="AK1358" s="82"/>
      <c r="AL1358" s="82"/>
      <c r="AM1358" s="82"/>
      <c r="AN1358" s="82">
        <f>IFERROR(__xludf.DUMMYFUNCTION("""COMPUTED_VALUE"""),0.0)</f>
        <v>0</v>
      </c>
      <c r="AO1358" s="82">
        <f>IFERROR(__xludf.DUMMYFUNCTION("""COMPUTED_VALUE"""),0.0)</f>
        <v>0</v>
      </c>
      <c r="AP1358" s="82">
        <f>IFERROR(__xludf.DUMMYFUNCTION("""COMPUTED_VALUE"""),0.0)</f>
        <v>0</v>
      </c>
      <c r="AQ1358" s="82">
        <f>IFERROR(__xludf.DUMMYFUNCTION("""COMPUTED_VALUE"""),0.0)</f>
        <v>0</v>
      </c>
      <c r="AR1358" s="82">
        <f>IFERROR(__xludf.DUMMYFUNCTION("""COMPUTED_VALUE"""),0.0)</f>
        <v>0</v>
      </c>
      <c r="AS1358" s="82"/>
      <c r="AT1358" s="82">
        <f>IFERROR(__xludf.DUMMYFUNCTION("""COMPUTED_VALUE"""),0.0)</f>
        <v>0</v>
      </c>
      <c r="AU1358" s="82"/>
      <c r="AV1358" s="82"/>
      <c r="AW1358" s="82" t="str">
        <f t="shared" si="1"/>
        <v/>
      </c>
      <c r="AX1358" s="83" t="str">
        <f t="array" ref="AX1358">IFERROR(DGET('SBV Import'!A:G,"SBV",{"RSC ID","Tier";B1358,A1358}))</f>
        <v/>
      </c>
      <c r="AY1358" s="82" t="str">
        <f t="shared" si="2"/>
        <v/>
      </c>
      <c r="AZ1358" s="82"/>
      <c r="BA1358" s="84" t="s">
        <v>152</v>
      </c>
      <c r="BB1358" s="84" t="str">
        <f>IFERROR(__xludf.DUMMYFUNCTION("iferror(if(A1358="""",,E1358&gt;=FILTER(Constants!$F$2:$F$10,Constants!$A$2:$A$10=A1358)))"),"")</f>
        <v/>
      </c>
    </row>
    <row r="1359">
      <c r="A1359" s="89"/>
      <c r="B1359" s="87"/>
      <c r="C1359" s="73"/>
      <c r="D1359" s="73"/>
      <c r="E1359" s="82"/>
      <c r="F1359" s="82"/>
      <c r="G1359" s="86"/>
      <c r="H1359" s="86"/>
      <c r="I1359" s="86"/>
      <c r="J1359" s="82"/>
      <c r="K1359" s="82"/>
      <c r="L1359" s="82"/>
      <c r="M1359" s="82"/>
      <c r="N1359" s="82"/>
      <c r="O1359" s="82"/>
      <c r="P1359" s="82"/>
      <c r="Q1359" s="82"/>
      <c r="R1359" s="82"/>
      <c r="S1359" s="82"/>
      <c r="T1359" s="82"/>
      <c r="U1359" s="82"/>
      <c r="V1359" s="82"/>
      <c r="W1359" s="82"/>
      <c r="X1359" s="82"/>
      <c r="Y1359" s="82"/>
      <c r="Z1359" s="82"/>
      <c r="AA1359" s="82"/>
      <c r="AB1359" s="82"/>
      <c r="AC1359" s="82"/>
      <c r="AD1359" s="82"/>
      <c r="AE1359" s="82"/>
      <c r="AF1359" s="82"/>
      <c r="AG1359" s="82"/>
      <c r="AH1359" s="82"/>
      <c r="AI1359" s="82"/>
      <c r="AJ1359" s="82"/>
      <c r="AK1359" s="82"/>
      <c r="AL1359" s="82"/>
      <c r="AM1359" s="82"/>
      <c r="AN1359" s="82">
        <f>IFERROR(__xludf.DUMMYFUNCTION("""COMPUTED_VALUE"""),0.0)</f>
        <v>0</v>
      </c>
      <c r="AO1359" s="82">
        <f>IFERROR(__xludf.DUMMYFUNCTION("""COMPUTED_VALUE"""),0.0)</f>
        <v>0</v>
      </c>
      <c r="AP1359" s="82">
        <f>IFERROR(__xludf.DUMMYFUNCTION("""COMPUTED_VALUE"""),0.0)</f>
        <v>0</v>
      </c>
      <c r="AQ1359" s="82">
        <f>IFERROR(__xludf.DUMMYFUNCTION("""COMPUTED_VALUE"""),0.0)</f>
        <v>0</v>
      </c>
      <c r="AR1359" s="82">
        <f>IFERROR(__xludf.DUMMYFUNCTION("""COMPUTED_VALUE"""),0.0)</f>
        <v>0</v>
      </c>
      <c r="AS1359" s="82"/>
      <c r="AT1359" s="82">
        <f>IFERROR(__xludf.DUMMYFUNCTION("""COMPUTED_VALUE"""),0.0)</f>
        <v>0</v>
      </c>
      <c r="AU1359" s="82"/>
      <c r="AV1359" s="82"/>
      <c r="AW1359" s="82" t="str">
        <f t="shared" si="1"/>
        <v/>
      </c>
      <c r="AX1359" s="83" t="str">
        <f t="array" ref="AX1359">IFERROR(DGET('SBV Import'!A:G,"SBV",{"RSC ID","Tier";B1359,A1359}))</f>
        <v/>
      </c>
      <c r="AY1359" s="82" t="str">
        <f t="shared" si="2"/>
        <v/>
      </c>
      <c r="AZ1359" s="82"/>
      <c r="BA1359" s="84" t="s">
        <v>152</v>
      </c>
      <c r="BB1359" s="84" t="str">
        <f>IFERROR(__xludf.DUMMYFUNCTION("iferror(if(A1359="""",,E1359&gt;=FILTER(Constants!$F$2:$F$10,Constants!$A$2:$A$10=A1359)))"),"")</f>
        <v/>
      </c>
    </row>
    <row r="1360">
      <c r="A1360" s="89"/>
      <c r="B1360" s="87"/>
      <c r="C1360" s="73"/>
      <c r="D1360" s="73"/>
      <c r="E1360" s="82"/>
      <c r="F1360" s="82"/>
      <c r="G1360" s="86"/>
      <c r="H1360" s="86"/>
      <c r="I1360" s="86"/>
      <c r="J1360" s="82"/>
      <c r="K1360" s="82"/>
      <c r="L1360" s="82"/>
      <c r="M1360" s="82"/>
      <c r="N1360" s="82"/>
      <c r="O1360" s="82"/>
      <c r="P1360" s="82"/>
      <c r="Q1360" s="82"/>
      <c r="R1360" s="82"/>
      <c r="S1360" s="82"/>
      <c r="T1360" s="82"/>
      <c r="U1360" s="82"/>
      <c r="V1360" s="82"/>
      <c r="W1360" s="82"/>
      <c r="X1360" s="82"/>
      <c r="Y1360" s="82"/>
      <c r="Z1360" s="82"/>
      <c r="AA1360" s="82"/>
      <c r="AB1360" s="82"/>
      <c r="AC1360" s="82"/>
      <c r="AD1360" s="82"/>
      <c r="AE1360" s="82"/>
      <c r="AF1360" s="82"/>
      <c r="AG1360" s="82"/>
      <c r="AH1360" s="82"/>
      <c r="AI1360" s="82"/>
      <c r="AJ1360" s="82"/>
      <c r="AK1360" s="82"/>
      <c r="AL1360" s="82"/>
      <c r="AM1360" s="82"/>
      <c r="AN1360" s="82">
        <f>IFERROR(__xludf.DUMMYFUNCTION("""COMPUTED_VALUE"""),0.0)</f>
        <v>0</v>
      </c>
      <c r="AO1360" s="82">
        <f>IFERROR(__xludf.DUMMYFUNCTION("""COMPUTED_VALUE"""),0.0)</f>
        <v>0</v>
      </c>
      <c r="AP1360" s="82">
        <f>IFERROR(__xludf.DUMMYFUNCTION("""COMPUTED_VALUE"""),0.0)</f>
        <v>0</v>
      </c>
      <c r="AQ1360" s="82">
        <f>IFERROR(__xludf.DUMMYFUNCTION("""COMPUTED_VALUE"""),0.0)</f>
        <v>0</v>
      </c>
      <c r="AR1360" s="82">
        <f>IFERROR(__xludf.DUMMYFUNCTION("""COMPUTED_VALUE"""),0.0)</f>
        <v>0</v>
      </c>
      <c r="AS1360" s="82"/>
      <c r="AT1360" s="82">
        <f>IFERROR(__xludf.DUMMYFUNCTION("""COMPUTED_VALUE"""),0.0)</f>
        <v>0</v>
      </c>
      <c r="AU1360" s="82"/>
      <c r="AV1360" s="82"/>
      <c r="AW1360" s="82" t="str">
        <f t="shared" si="1"/>
        <v/>
      </c>
      <c r="AX1360" s="83" t="str">
        <f t="array" ref="AX1360">IFERROR(DGET('SBV Import'!A:G,"SBV",{"RSC ID","Tier";B1360,A1360}))</f>
        <v/>
      </c>
      <c r="AY1360" s="82" t="str">
        <f t="shared" si="2"/>
        <v/>
      </c>
      <c r="AZ1360" s="82"/>
      <c r="BA1360" s="84" t="s">
        <v>152</v>
      </c>
      <c r="BB1360" s="84" t="str">
        <f>IFERROR(__xludf.DUMMYFUNCTION("iferror(if(A1360="""",,E1360&gt;=FILTER(Constants!$F$2:$F$10,Constants!$A$2:$A$10=A1360)))"),"")</f>
        <v/>
      </c>
    </row>
    <row r="1361">
      <c r="A1361" s="89"/>
      <c r="B1361" s="87"/>
      <c r="C1361" s="73"/>
      <c r="D1361" s="73"/>
      <c r="E1361" s="82"/>
      <c r="F1361" s="82"/>
      <c r="G1361" s="86"/>
      <c r="H1361" s="86"/>
      <c r="I1361" s="86"/>
      <c r="J1361" s="82"/>
      <c r="K1361" s="82"/>
      <c r="L1361" s="82"/>
      <c r="M1361" s="82"/>
      <c r="N1361" s="82"/>
      <c r="O1361" s="82"/>
      <c r="P1361" s="82"/>
      <c r="Q1361" s="82"/>
      <c r="R1361" s="82"/>
      <c r="S1361" s="82"/>
      <c r="T1361" s="82"/>
      <c r="U1361" s="82"/>
      <c r="V1361" s="82"/>
      <c r="W1361" s="82"/>
      <c r="X1361" s="82"/>
      <c r="Y1361" s="82"/>
      <c r="Z1361" s="82"/>
      <c r="AA1361" s="82"/>
      <c r="AB1361" s="82"/>
      <c r="AC1361" s="82"/>
      <c r="AD1361" s="82"/>
      <c r="AE1361" s="82"/>
      <c r="AF1361" s="82"/>
      <c r="AG1361" s="82"/>
      <c r="AH1361" s="82"/>
      <c r="AI1361" s="82"/>
      <c r="AJ1361" s="82"/>
      <c r="AK1361" s="82"/>
      <c r="AL1361" s="82"/>
      <c r="AM1361" s="82"/>
      <c r="AN1361" s="82">
        <f>IFERROR(__xludf.DUMMYFUNCTION("""COMPUTED_VALUE"""),0.0)</f>
        <v>0</v>
      </c>
      <c r="AO1361" s="82">
        <f>IFERROR(__xludf.DUMMYFUNCTION("""COMPUTED_VALUE"""),0.0)</f>
        <v>0</v>
      </c>
      <c r="AP1361" s="82">
        <f>IFERROR(__xludf.DUMMYFUNCTION("""COMPUTED_VALUE"""),0.0)</f>
        <v>0</v>
      </c>
      <c r="AQ1361" s="82">
        <f>IFERROR(__xludf.DUMMYFUNCTION("""COMPUTED_VALUE"""),0.0)</f>
        <v>0</v>
      </c>
      <c r="AR1361" s="82">
        <f>IFERROR(__xludf.DUMMYFUNCTION("""COMPUTED_VALUE"""),0.0)</f>
        <v>0</v>
      </c>
      <c r="AS1361" s="82"/>
      <c r="AT1361" s="82">
        <f>IFERROR(__xludf.DUMMYFUNCTION("""COMPUTED_VALUE"""),0.0)</f>
        <v>0</v>
      </c>
      <c r="AU1361" s="82"/>
      <c r="AV1361" s="82"/>
      <c r="AW1361" s="82" t="str">
        <f t="shared" si="1"/>
        <v/>
      </c>
      <c r="AX1361" s="83" t="str">
        <f t="array" ref="AX1361">IFERROR(DGET('SBV Import'!A:G,"SBV",{"RSC ID","Tier";B1361,A1361}))</f>
        <v/>
      </c>
      <c r="AY1361" s="82" t="str">
        <f t="shared" si="2"/>
        <v/>
      </c>
      <c r="AZ1361" s="82"/>
      <c r="BA1361" s="84" t="s">
        <v>152</v>
      </c>
      <c r="BB1361" s="84" t="str">
        <f>IFERROR(__xludf.DUMMYFUNCTION("iferror(if(A1361="""",,E1361&gt;=FILTER(Constants!$F$2:$F$10,Constants!$A$2:$A$10=A1361)))"),"")</f>
        <v/>
      </c>
    </row>
    <row r="1362">
      <c r="A1362" s="89"/>
      <c r="B1362" s="87"/>
      <c r="C1362" s="73"/>
      <c r="D1362" s="73"/>
      <c r="E1362" s="82"/>
      <c r="F1362" s="82"/>
      <c r="G1362" s="86"/>
      <c r="H1362" s="86"/>
      <c r="I1362" s="86"/>
      <c r="J1362" s="82"/>
      <c r="K1362" s="82"/>
      <c r="L1362" s="82"/>
      <c r="M1362" s="82"/>
      <c r="N1362" s="82"/>
      <c r="O1362" s="82"/>
      <c r="P1362" s="82"/>
      <c r="Q1362" s="82"/>
      <c r="R1362" s="82"/>
      <c r="S1362" s="82"/>
      <c r="T1362" s="82"/>
      <c r="U1362" s="82"/>
      <c r="V1362" s="82"/>
      <c r="W1362" s="82"/>
      <c r="X1362" s="82"/>
      <c r="Y1362" s="82"/>
      <c r="Z1362" s="82"/>
      <c r="AA1362" s="82"/>
      <c r="AB1362" s="82"/>
      <c r="AC1362" s="82"/>
      <c r="AD1362" s="82"/>
      <c r="AE1362" s="82"/>
      <c r="AF1362" s="82"/>
      <c r="AG1362" s="82"/>
      <c r="AH1362" s="82"/>
      <c r="AI1362" s="82"/>
      <c r="AJ1362" s="82"/>
      <c r="AK1362" s="82"/>
      <c r="AL1362" s="82"/>
      <c r="AM1362" s="82"/>
      <c r="AN1362" s="82">
        <f>IFERROR(__xludf.DUMMYFUNCTION("""COMPUTED_VALUE"""),0.0)</f>
        <v>0</v>
      </c>
      <c r="AO1362" s="82">
        <f>IFERROR(__xludf.DUMMYFUNCTION("""COMPUTED_VALUE"""),0.0)</f>
        <v>0</v>
      </c>
      <c r="AP1362" s="82">
        <f>IFERROR(__xludf.DUMMYFUNCTION("""COMPUTED_VALUE"""),0.0)</f>
        <v>0</v>
      </c>
      <c r="AQ1362" s="82">
        <f>IFERROR(__xludf.DUMMYFUNCTION("""COMPUTED_VALUE"""),0.0)</f>
        <v>0</v>
      </c>
      <c r="AR1362" s="82">
        <f>IFERROR(__xludf.DUMMYFUNCTION("""COMPUTED_VALUE"""),0.0)</f>
        <v>0</v>
      </c>
      <c r="AS1362" s="82"/>
      <c r="AT1362" s="82">
        <f>IFERROR(__xludf.DUMMYFUNCTION("""COMPUTED_VALUE"""),0.0)</f>
        <v>0</v>
      </c>
      <c r="AU1362" s="82"/>
      <c r="AV1362" s="82"/>
      <c r="AW1362" s="82" t="str">
        <f t="shared" si="1"/>
        <v/>
      </c>
      <c r="AX1362" s="83" t="str">
        <f t="array" ref="AX1362">IFERROR(DGET('SBV Import'!A:G,"SBV",{"RSC ID","Tier";B1362,A1362}))</f>
        <v/>
      </c>
      <c r="AY1362" s="82" t="str">
        <f t="shared" si="2"/>
        <v/>
      </c>
      <c r="AZ1362" s="82"/>
      <c r="BA1362" s="84" t="s">
        <v>152</v>
      </c>
      <c r="BB1362" s="84" t="str">
        <f>IFERROR(__xludf.DUMMYFUNCTION("iferror(if(A1362="""",,E1362&gt;=FILTER(Constants!$F$2:$F$10,Constants!$A$2:$A$10=A1362)))"),"")</f>
        <v/>
      </c>
    </row>
    <row r="1363">
      <c r="A1363" s="89"/>
      <c r="B1363" s="87"/>
      <c r="C1363" s="73"/>
      <c r="D1363" s="73"/>
      <c r="E1363" s="82"/>
      <c r="F1363" s="82"/>
      <c r="G1363" s="86"/>
      <c r="H1363" s="86"/>
      <c r="I1363" s="86"/>
      <c r="J1363" s="82"/>
      <c r="K1363" s="82"/>
      <c r="L1363" s="82"/>
      <c r="M1363" s="82"/>
      <c r="N1363" s="82"/>
      <c r="O1363" s="82"/>
      <c r="P1363" s="82"/>
      <c r="Q1363" s="82"/>
      <c r="R1363" s="82"/>
      <c r="S1363" s="82"/>
      <c r="T1363" s="82"/>
      <c r="U1363" s="82"/>
      <c r="V1363" s="82"/>
      <c r="W1363" s="82"/>
      <c r="X1363" s="82"/>
      <c r="Y1363" s="82"/>
      <c r="Z1363" s="82"/>
      <c r="AA1363" s="82"/>
      <c r="AB1363" s="82"/>
      <c r="AC1363" s="82"/>
      <c r="AD1363" s="82"/>
      <c r="AE1363" s="82"/>
      <c r="AF1363" s="82"/>
      <c r="AG1363" s="82"/>
      <c r="AH1363" s="82"/>
      <c r="AI1363" s="82"/>
      <c r="AJ1363" s="82"/>
      <c r="AK1363" s="82"/>
      <c r="AL1363" s="82"/>
      <c r="AM1363" s="82"/>
      <c r="AN1363" s="82">
        <f>IFERROR(__xludf.DUMMYFUNCTION("""COMPUTED_VALUE"""),0.0)</f>
        <v>0</v>
      </c>
      <c r="AO1363" s="82">
        <f>IFERROR(__xludf.DUMMYFUNCTION("""COMPUTED_VALUE"""),0.0)</f>
        <v>0</v>
      </c>
      <c r="AP1363" s="82">
        <f>IFERROR(__xludf.DUMMYFUNCTION("""COMPUTED_VALUE"""),0.0)</f>
        <v>0</v>
      </c>
      <c r="AQ1363" s="82">
        <f>IFERROR(__xludf.DUMMYFUNCTION("""COMPUTED_VALUE"""),0.0)</f>
        <v>0</v>
      </c>
      <c r="AR1363" s="82">
        <f>IFERROR(__xludf.DUMMYFUNCTION("""COMPUTED_VALUE"""),0.0)</f>
        <v>0</v>
      </c>
      <c r="AS1363" s="82"/>
      <c r="AT1363" s="82">
        <f>IFERROR(__xludf.DUMMYFUNCTION("""COMPUTED_VALUE"""),0.0)</f>
        <v>0</v>
      </c>
      <c r="AU1363" s="82"/>
      <c r="AV1363" s="82"/>
      <c r="AW1363" s="82" t="str">
        <f t="shared" si="1"/>
        <v/>
      </c>
      <c r="AX1363" s="83" t="str">
        <f t="array" ref="AX1363">IFERROR(DGET('SBV Import'!A:G,"SBV",{"RSC ID","Tier";B1363,A1363}))</f>
        <v/>
      </c>
      <c r="AY1363" s="82" t="str">
        <f t="shared" si="2"/>
        <v/>
      </c>
      <c r="AZ1363" s="82"/>
      <c r="BA1363" s="84" t="s">
        <v>152</v>
      </c>
      <c r="BB1363" s="84" t="str">
        <f>IFERROR(__xludf.DUMMYFUNCTION("iferror(if(A1363="""",,E1363&gt;=FILTER(Constants!$F$2:$F$10,Constants!$A$2:$A$10=A1363)))"),"")</f>
        <v/>
      </c>
    </row>
    <row r="1364">
      <c r="A1364" s="89"/>
      <c r="B1364" s="87"/>
      <c r="C1364" s="73"/>
      <c r="D1364" s="73"/>
      <c r="E1364" s="82"/>
      <c r="F1364" s="82"/>
      <c r="G1364" s="86"/>
      <c r="H1364" s="86"/>
      <c r="I1364" s="86"/>
      <c r="J1364" s="82"/>
      <c r="K1364" s="82"/>
      <c r="L1364" s="82"/>
      <c r="M1364" s="82"/>
      <c r="N1364" s="82"/>
      <c r="O1364" s="82"/>
      <c r="P1364" s="82"/>
      <c r="Q1364" s="82"/>
      <c r="R1364" s="82"/>
      <c r="S1364" s="82"/>
      <c r="T1364" s="82"/>
      <c r="U1364" s="82"/>
      <c r="V1364" s="82"/>
      <c r="W1364" s="82"/>
      <c r="X1364" s="82"/>
      <c r="Y1364" s="82"/>
      <c r="Z1364" s="82"/>
      <c r="AA1364" s="82"/>
      <c r="AB1364" s="82"/>
      <c r="AC1364" s="82"/>
      <c r="AD1364" s="82"/>
      <c r="AE1364" s="82"/>
      <c r="AF1364" s="82"/>
      <c r="AG1364" s="82"/>
      <c r="AH1364" s="82"/>
      <c r="AI1364" s="82"/>
      <c r="AJ1364" s="82"/>
      <c r="AK1364" s="82"/>
      <c r="AL1364" s="82"/>
      <c r="AM1364" s="82"/>
      <c r="AN1364" s="82">
        <f>IFERROR(__xludf.DUMMYFUNCTION("""COMPUTED_VALUE"""),0.0)</f>
        <v>0</v>
      </c>
      <c r="AO1364" s="82">
        <f>IFERROR(__xludf.DUMMYFUNCTION("""COMPUTED_VALUE"""),0.0)</f>
        <v>0</v>
      </c>
      <c r="AP1364" s="82">
        <f>IFERROR(__xludf.DUMMYFUNCTION("""COMPUTED_VALUE"""),0.0)</f>
        <v>0</v>
      </c>
      <c r="AQ1364" s="82">
        <f>IFERROR(__xludf.DUMMYFUNCTION("""COMPUTED_VALUE"""),0.0)</f>
        <v>0</v>
      </c>
      <c r="AR1364" s="82">
        <f>IFERROR(__xludf.DUMMYFUNCTION("""COMPUTED_VALUE"""),0.0)</f>
        <v>0</v>
      </c>
      <c r="AS1364" s="82"/>
      <c r="AT1364" s="82">
        <f>IFERROR(__xludf.DUMMYFUNCTION("""COMPUTED_VALUE"""),0.0)</f>
        <v>0</v>
      </c>
      <c r="AU1364" s="82"/>
      <c r="AV1364" s="82"/>
      <c r="AW1364" s="82" t="str">
        <f t="shared" si="1"/>
        <v/>
      </c>
      <c r="AX1364" s="83" t="str">
        <f t="array" ref="AX1364">IFERROR(DGET('SBV Import'!A:G,"SBV",{"RSC ID","Tier";B1364,A1364}))</f>
        <v/>
      </c>
      <c r="AY1364" s="82" t="str">
        <f t="shared" si="2"/>
        <v/>
      </c>
      <c r="AZ1364" s="82"/>
      <c r="BA1364" s="84" t="s">
        <v>152</v>
      </c>
      <c r="BB1364" s="84" t="str">
        <f>IFERROR(__xludf.DUMMYFUNCTION("iferror(if(A1364="""",,E1364&gt;=FILTER(Constants!$F$2:$F$10,Constants!$A$2:$A$10=A1364)))"),"")</f>
        <v/>
      </c>
    </row>
    <row r="1365">
      <c r="A1365" s="89"/>
      <c r="B1365" s="87"/>
      <c r="C1365" s="73"/>
      <c r="D1365" s="73"/>
      <c r="E1365" s="82"/>
      <c r="F1365" s="82"/>
      <c r="G1365" s="86"/>
      <c r="H1365" s="86"/>
      <c r="I1365" s="86"/>
      <c r="J1365" s="82"/>
      <c r="K1365" s="82"/>
      <c r="L1365" s="82"/>
      <c r="M1365" s="82"/>
      <c r="N1365" s="82"/>
      <c r="O1365" s="82"/>
      <c r="P1365" s="82"/>
      <c r="Q1365" s="82"/>
      <c r="R1365" s="82"/>
      <c r="S1365" s="82"/>
      <c r="T1365" s="82"/>
      <c r="U1365" s="82"/>
      <c r="V1365" s="82"/>
      <c r="W1365" s="82"/>
      <c r="X1365" s="82"/>
      <c r="Y1365" s="82"/>
      <c r="Z1365" s="82"/>
      <c r="AA1365" s="82"/>
      <c r="AB1365" s="82"/>
      <c r="AC1365" s="82"/>
      <c r="AD1365" s="82"/>
      <c r="AE1365" s="82"/>
      <c r="AF1365" s="82"/>
      <c r="AG1365" s="82"/>
      <c r="AH1365" s="82"/>
      <c r="AI1365" s="82"/>
      <c r="AJ1365" s="82"/>
      <c r="AK1365" s="82"/>
      <c r="AL1365" s="82"/>
      <c r="AM1365" s="82"/>
      <c r="AN1365" s="82">
        <f>IFERROR(__xludf.DUMMYFUNCTION("""COMPUTED_VALUE"""),0.0)</f>
        <v>0</v>
      </c>
      <c r="AO1365" s="82">
        <f>IFERROR(__xludf.DUMMYFUNCTION("""COMPUTED_VALUE"""),0.0)</f>
        <v>0</v>
      </c>
      <c r="AP1365" s="82">
        <f>IFERROR(__xludf.DUMMYFUNCTION("""COMPUTED_VALUE"""),0.0)</f>
        <v>0</v>
      </c>
      <c r="AQ1365" s="82">
        <f>IFERROR(__xludf.DUMMYFUNCTION("""COMPUTED_VALUE"""),0.0)</f>
        <v>0</v>
      </c>
      <c r="AR1365" s="82">
        <f>IFERROR(__xludf.DUMMYFUNCTION("""COMPUTED_VALUE"""),0.0)</f>
        <v>0</v>
      </c>
      <c r="AS1365" s="82"/>
      <c r="AT1365" s="82">
        <f>IFERROR(__xludf.DUMMYFUNCTION("""COMPUTED_VALUE"""),0.0)</f>
        <v>0</v>
      </c>
      <c r="AU1365" s="82"/>
      <c r="AV1365" s="82"/>
      <c r="AW1365" s="82" t="str">
        <f t="shared" si="1"/>
        <v/>
      </c>
      <c r="AX1365" s="83" t="str">
        <f t="array" ref="AX1365">IFERROR(DGET('SBV Import'!A:G,"SBV",{"RSC ID","Tier";B1365,A1365}))</f>
        <v/>
      </c>
      <c r="AY1365" s="82" t="str">
        <f t="shared" si="2"/>
        <v/>
      </c>
      <c r="AZ1365" s="82"/>
      <c r="BA1365" s="84" t="s">
        <v>152</v>
      </c>
      <c r="BB1365" s="84" t="str">
        <f>IFERROR(__xludf.DUMMYFUNCTION("iferror(if(A1365="""",,E1365&gt;=FILTER(Constants!$F$2:$F$10,Constants!$A$2:$A$10=A1365)))"),"")</f>
        <v/>
      </c>
    </row>
    <row r="1366">
      <c r="A1366" s="89"/>
      <c r="B1366" s="87"/>
      <c r="C1366" s="73"/>
      <c r="D1366" s="73"/>
      <c r="E1366" s="82"/>
      <c r="F1366" s="82"/>
      <c r="G1366" s="86"/>
      <c r="H1366" s="86"/>
      <c r="I1366" s="86"/>
      <c r="J1366" s="82"/>
      <c r="K1366" s="82"/>
      <c r="L1366" s="82"/>
      <c r="M1366" s="82"/>
      <c r="N1366" s="82"/>
      <c r="O1366" s="82"/>
      <c r="P1366" s="82"/>
      <c r="Q1366" s="82"/>
      <c r="R1366" s="82"/>
      <c r="S1366" s="82"/>
      <c r="T1366" s="82"/>
      <c r="U1366" s="82"/>
      <c r="V1366" s="82"/>
      <c r="W1366" s="82"/>
      <c r="X1366" s="82"/>
      <c r="Y1366" s="82"/>
      <c r="Z1366" s="82"/>
      <c r="AA1366" s="82"/>
      <c r="AB1366" s="82"/>
      <c r="AC1366" s="82"/>
      <c r="AD1366" s="82"/>
      <c r="AE1366" s="82"/>
      <c r="AF1366" s="82"/>
      <c r="AG1366" s="82"/>
      <c r="AH1366" s="82"/>
      <c r="AI1366" s="82"/>
      <c r="AJ1366" s="82"/>
      <c r="AK1366" s="82"/>
      <c r="AL1366" s="82"/>
      <c r="AM1366" s="82"/>
      <c r="AN1366" s="82">
        <f>IFERROR(__xludf.DUMMYFUNCTION("""COMPUTED_VALUE"""),0.0)</f>
        <v>0</v>
      </c>
      <c r="AO1366" s="82">
        <f>IFERROR(__xludf.DUMMYFUNCTION("""COMPUTED_VALUE"""),0.0)</f>
        <v>0</v>
      </c>
      <c r="AP1366" s="82">
        <f>IFERROR(__xludf.DUMMYFUNCTION("""COMPUTED_VALUE"""),0.0)</f>
        <v>0</v>
      </c>
      <c r="AQ1366" s="82">
        <f>IFERROR(__xludf.DUMMYFUNCTION("""COMPUTED_VALUE"""),0.0)</f>
        <v>0</v>
      </c>
      <c r="AR1366" s="82">
        <f>IFERROR(__xludf.DUMMYFUNCTION("""COMPUTED_VALUE"""),0.0)</f>
        <v>0</v>
      </c>
      <c r="AS1366" s="82"/>
      <c r="AT1366" s="82">
        <f>IFERROR(__xludf.DUMMYFUNCTION("""COMPUTED_VALUE"""),0.0)</f>
        <v>0</v>
      </c>
      <c r="AU1366" s="82"/>
      <c r="AV1366" s="82"/>
      <c r="AW1366" s="82" t="str">
        <f t="shared" si="1"/>
        <v/>
      </c>
      <c r="AX1366" s="83" t="str">
        <f t="array" ref="AX1366">IFERROR(DGET('SBV Import'!A:G,"SBV",{"RSC ID","Tier";B1366,A1366}))</f>
        <v/>
      </c>
      <c r="AY1366" s="82" t="str">
        <f t="shared" si="2"/>
        <v/>
      </c>
      <c r="AZ1366" s="82"/>
      <c r="BA1366" s="84" t="s">
        <v>152</v>
      </c>
      <c r="BB1366" s="84" t="str">
        <f>IFERROR(__xludf.DUMMYFUNCTION("iferror(if(A1366="""",,E1366&gt;=FILTER(Constants!$F$2:$F$10,Constants!$A$2:$A$10=A1366)))"),"")</f>
        <v/>
      </c>
    </row>
    <row r="1367">
      <c r="A1367" s="89"/>
      <c r="B1367" s="87"/>
      <c r="C1367" s="73"/>
      <c r="D1367" s="73"/>
      <c r="E1367" s="82"/>
      <c r="F1367" s="82"/>
      <c r="G1367" s="86"/>
      <c r="H1367" s="86"/>
      <c r="I1367" s="86"/>
      <c r="J1367" s="82"/>
      <c r="K1367" s="82"/>
      <c r="L1367" s="82"/>
      <c r="M1367" s="82"/>
      <c r="N1367" s="82"/>
      <c r="O1367" s="82"/>
      <c r="P1367" s="82"/>
      <c r="Q1367" s="82"/>
      <c r="R1367" s="82"/>
      <c r="S1367" s="82"/>
      <c r="T1367" s="82"/>
      <c r="U1367" s="82"/>
      <c r="V1367" s="82"/>
      <c r="W1367" s="82"/>
      <c r="X1367" s="82"/>
      <c r="Y1367" s="82"/>
      <c r="Z1367" s="82"/>
      <c r="AA1367" s="82"/>
      <c r="AB1367" s="82"/>
      <c r="AC1367" s="82"/>
      <c r="AD1367" s="82"/>
      <c r="AE1367" s="82"/>
      <c r="AF1367" s="82"/>
      <c r="AG1367" s="82"/>
      <c r="AH1367" s="82"/>
      <c r="AI1367" s="82"/>
      <c r="AJ1367" s="82"/>
      <c r="AK1367" s="82"/>
      <c r="AL1367" s="82"/>
      <c r="AM1367" s="82"/>
      <c r="AN1367" s="82">
        <f>IFERROR(__xludf.DUMMYFUNCTION("""COMPUTED_VALUE"""),0.0)</f>
        <v>0</v>
      </c>
      <c r="AO1367" s="82">
        <f>IFERROR(__xludf.DUMMYFUNCTION("""COMPUTED_VALUE"""),0.0)</f>
        <v>0</v>
      </c>
      <c r="AP1367" s="82">
        <f>IFERROR(__xludf.DUMMYFUNCTION("""COMPUTED_VALUE"""),0.0)</f>
        <v>0</v>
      </c>
      <c r="AQ1367" s="82">
        <f>IFERROR(__xludf.DUMMYFUNCTION("""COMPUTED_VALUE"""),0.0)</f>
        <v>0</v>
      </c>
      <c r="AR1367" s="82">
        <f>IFERROR(__xludf.DUMMYFUNCTION("""COMPUTED_VALUE"""),0.0)</f>
        <v>0</v>
      </c>
      <c r="AS1367" s="82"/>
      <c r="AT1367" s="82">
        <f>IFERROR(__xludf.DUMMYFUNCTION("""COMPUTED_VALUE"""),0.0)</f>
        <v>0</v>
      </c>
      <c r="AU1367" s="82"/>
      <c r="AV1367" s="82"/>
      <c r="AW1367" s="82" t="str">
        <f t="shared" si="1"/>
        <v/>
      </c>
      <c r="AX1367" s="83" t="str">
        <f t="array" ref="AX1367">IFERROR(DGET('SBV Import'!A:G,"SBV",{"RSC ID","Tier";B1367,A1367}))</f>
        <v/>
      </c>
      <c r="AY1367" s="82" t="str">
        <f t="shared" si="2"/>
        <v/>
      </c>
      <c r="AZ1367" s="82"/>
      <c r="BA1367" s="84" t="s">
        <v>152</v>
      </c>
      <c r="BB1367" s="84" t="str">
        <f>IFERROR(__xludf.DUMMYFUNCTION("iferror(if(A1367="""",,E1367&gt;=FILTER(Constants!$F$2:$F$10,Constants!$A$2:$A$10=A1367)))"),"")</f>
        <v/>
      </c>
    </row>
    <row r="1368">
      <c r="A1368" s="89"/>
      <c r="B1368" s="87"/>
      <c r="C1368" s="73"/>
      <c r="D1368" s="73"/>
      <c r="E1368" s="82"/>
      <c r="F1368" s="82"/>
      <c r="G1368" s="86"/>
      <c r="H1368" s="86"/>
      <c r="I1368" s="86"/>
      <c r="J1368" s="82"/>
      <c r="K1368" s="82"/>
      <c r="L1368" s="82"/>
      <c r="M1368" s="82"/>
      <c r="N1368" s="82"/>
      <c r="O1368" s="82"/>
      <c r="P1368" s="82"/>
      <c r="Q1368" s="82"/>
      <c r="R1368" s="82"/>
      <c r="S1368" s="82"/>
      <c r="T1368" s="82"/>
      <c r="U1368" s="82"/>
      <c r="V1368" s="82"/>
      <c r="W1368" s="82"/>
      <c r="X1368" s="82"/>
      <c r="Y1368" s="82"/>
      <c r="Z1368" s="82"/>
      <c r="AA1368" s="82"/>
      <c r="AB1368" s="82"/>
      <c r="AC1368" s="82"/>
      <c r="AD1368" s="82"/>
      <c r="AE1368" s="82"/>
      <c r="AF1368" s="82"/>
      <c r="AG1368" s="82"/>
      <c r="AH1368" s="82"/>
      <c r="AI1368" s="82"/>
      <c r="AJ1368" s="82"/>
      <c r="AK1368" s="82"/>
      <c r="AL1368" s="82"/>
      <c r="AM1368" s="82"/>
      <c r="AN1368" s="82">
        <f>IFERROR(__xludf.DUMMYFUNCTION("""COMPUTED_VALUE"""),0.0)</f>
        <v>0</v>
      </c>
      <c r="AO1368" s="82">
        <f>IFERROR(__xludf.DUMMYFUNCTION("""COMPUTED_VALUE"""),0.0)</f>
        <v>0</v>
      </c>
      <c r="AP1368" s="82">
        <f>IFERROR(__xludf.DUMMYFUNCTION("""COMPUTED_VALUE"""),0.0)</f>
        <v>0</v>
      </c>
      <c r="AQ1368" s="82">
        <f>IFERROR(__xludf.DUMMYFUNCTION("""COMPUTED_VALUE"""),0.0)</f>
        <v>0</v>
      </c>
      <c r="AR1368" s="82">
        <f>IFERROR(__xludf.DUMMYFUNCTION("""COMPUTED_VALUE"""),0.0)</f>
        <v>0</v>
      </c>
      <c r="AS1368" s="82"/>
      <c r="AT1368" s="82">
        <f>IFERROR(__xludf.DUMMYFUNCTION("""COMPUTED_VALUE"""),0.0)</f>
        <v>0</v>
      </c>
      <c r="AU1368" s="82"/>
      <c r="AV1368" s="82"/>
      <c r="AW1368" s="82" t="str">
        <f t="shared" si="1"/>
        <v/>
      </c>
      <c r="AX1368" s="83" t="str">
        <f t="array" ref="AX1368">IFERROR(DGET('SBV Import'!A:G,"SBV",{"RSC ID","Tier";B1368,A1368}))</f>
        <v/>
      </c>
      <c r="AY1368" s="82" t="str">
        <f t="shared" si="2"/>
        <v/>
      </c>
      <c r="AZ1368" s="82"/>
      <c r="BA1368" s="84" t="s">
        <v>152</v>
      </c>
      <c r="BB1368" s="84" t="str">
        <f>IFERROR(__xludf.DUMMYFUNCTION("iferror(if(A1368="""",,E1368&gt;=FILTER(Constants!$F$2:$F$10,Constants!$A$2:$A$10=A1368)))"),"")</f>
        <v/>
      </c>
    </row>
    <row r="1369">
      <c r="A1369" s="89"/>
      <c r="B1369" s="87"/>
      <c r="C1369" s="73"/>
      <c r="D1369" s="73"/>
      <c r="E1369" s="82"/>
      <c r="F1369" s="82"/>
      <c r="G1369" s="86"/>
      <c r="H1369" s="86"/>
      <c r="I1369" s="86"/>
      <c r="J1369" s="82"/>
      <c r="K1369" s="82"/>
      <c r="L1369" s="82"/>
      <c r="M1369" s="82"/>
      <c r="N1369" s="82"/>
      <c r="O1369" s="82"/>
      <c r="P1369" s="82"/>
      <c r="Q1369" s="82"/>
      <c r="R1369" s="82"/>
      <c r="S1369" s="82"/>
      <c r="T1369" s="82"/>
      <c r="U1369" s="82"/>
      <c r="V1369" s="82"/>
      <c r="W1369" s="82"/>
      <c r="X1369" s="82"/>
      <c r="Y1369" s="82"/>
      <c r="Z1369" s="82"/>
      <c r="AA1369" s="82"/>
      <c r="AB1369" s="82"/>
      <c r="AC1369" s="82"/>
      <c r="AD1369" s="82"/>
      <c r="AE1369" s="82"/>
      <c r="AF1369" s="82"/>
      <c r="AG1369" s="82"/>
      <c r="AH1369" s="82"/>
      <c r="AI1369" s="82"/>
      <c r="AJ1369" s="82"/>
      <c r="AK1369" s="82"/>
      <c r="AL1369" s="82"/>
      <c r="AM1369" s="82"/>
      <c r="AN1369" s="82">
        <f>IFERROR(__xludf.DUMMYFUNCTION("""COMPUTED_VALUE"""),0.0)</f>
        <v>0</v>
      </c>
      <c r="AO1369" s="82">
        <f>IFERROR(__xludf.DUMMYFUNCTION("""COMPUTED_VALUE"""),0.0)</f>
        <v>0</v>
      </c>
      <c r="AP1369" s="82">
        <f>IFERROR(__xludf.DUMMYFUNCTION("""COMPUTED_VALUE"""),0.0)</f>
        <v>0</v>
      </c>
      <c r="AQ1369" s="82">
        <f>IFERROR(__xludf.DUMMYFUNCTION("""COMPUTED_VALUE"""),0.0)</f>
        <v>0</v>
      </c>
      <c r="AR1369" s="82">
        <f>IFERROR(__xludf.DUMMYFUNCTION("""COMPUTED_VALUE"""),0.0)</f>
        <v>0</v>
      </c>
      <c r="AS1369" s="82"/>
      <c r="AT1369" s="82">
        <f>IFERROR(__xludf.DUMMYFUNCTION("""COMPUTED_VALUE"""),0.0)</f>
        <v>0</v>
      </c>
      <c r="AU1369" s="82"/>
      <c r="AV1369" s="82"/>
      <c r="AW1369" s="82" t="str">
        <f t="shared" si="1"/>
        <v/>
      </c>
      <c r="AX1369" s="83" t="str">
        <f t="array" ref="AX1369">IFERROR(DGET('SBV Import'!A:G,"SBV",{"RSC ID","Tier";B1369,A1369}))</f>
        <v/>
      </c>
      <c r="AY1369" s="82" t="str">
        <f t="shared" si="2"/>
        <v/>
      </c>
      <c r="AZ1369" s="82"/>
      <c r="BA1369" s="84" t="s">
        <v>152</v>
      </c>
      <c r="BB1369" s="84" t="str">
        <f>IFERROR(__xludf.DUMMYFUNCTION("iferror(if(A1369="""",,E1369&gt;=FILTER(Constants!$F$2:$F$10,Constants!$A$2:$A$10=A1369)))"),"")</f>
        <v/>
      </c>
    </row>
    <row r="1370">
      <c r="A1370" s="89"/>
      <c r="B1370" s="87"/>
      <c r="C1370" s="73"/>
      <c r="D1370" s="73"/>
      <c r="E1370" s="82"/>
      <c r="F1370" s="82"/>
      <c r="G1370" s="86"/>
      <c r="H1370" s="86"/>
      <c r="I1370" s="86"/>
      <c r="J1370" s="82"/>
      <c r="K1370" s="82"/>
      <c r="L1370" s="82"/>
      <c r="M1370" s="82"/>
      <c r="N1370" s="82"/>
      <c r="O1370" s="82"/>
      <c r="P1370" s="82"/>
      <c r="Q1370" s="82"/>
      <c r="R1370" s="82"/>
      <c r="S1370" s="82"/>
      <c r="T1370" s="82"/>
      <c r="U1370" s="82"/>
      <c r="V1370" s="82"/>
      <c r="W1370" s="82"/>
      <c r="X1370" s="82"/>
      <c r="Y1370" s="82"/>
      <c r="Z1370" s="82"/>
      <c r="AA1370" s="82"/>
      <c r="AB1370" s="82"/>
      <c r="AC1370" s="82"/>
      <c r="AD1370" s="82"/>
      <c r="AE1370" s="82"/>
      <c r="AF1370" s="82"/>
      <c r="AG1370" s="82"/>
      <c r="AH1370" s="82"/>
      <c r="AI1370" s="82"/>
      <c r="AJ1370" s="82"/>
      <c r="AK1370" s="82"/>
      <c r="AL1370" s="82"/>
      <c r="AM1370" s="82"/>
      <c r="AN1370" s="82">
        <f>IFERROR(__xludf.DUMMYFUNCTION("""COMPUTED_VALUE"""),0.0)</f>
        <v>0</v>
      </c>
      <c r="AO1370" s="82">
        <f>IFERROR(__xludf.DUMMYFUNCTION("""COMPUTED_VALUE"""),0.0)</f>
        <v>0</v>
      </c>
      <c r="AP1370" s="82">
        <f>IFERROR(__xludf.DUMMYFUNCTION("""COMPUTED_VALUE"""),0.0)</f>
        <v>0</v>
      </c>
      <c r="AQ1370" s="82">
        <f>IFERROR(__xludf.DUMMYFUNCTION("""COMPUTED_VALUE"""),0.0)</f>
        <v>0</v>
      </c>
      <c r="AR1370" s="82">
        <f>IFERROR(__xludf.DUMMYFUNCTION("""COMPUTED_VALUE"""),0.0)</f>
        <v>0</v>
      </c>
      <c r="AS1370" s="82"/>
      <c r="AT1370" s="82">
        <f>IFERROR(__xludf.DUMMYFUNCTION("""COMPUTED_VALUE"""),0.0)</f>
        <v>0</v>
      </c>
      <c r="AU1370" s="82"/>
      <c r="AV1370" s="82"/>
      <c r="AW1370" s="82" t="str">
        <f t="shared" si="1"/>
        <v/>
      </c>
      <c r="AX1370" s="83" t="str">
        <f t="array" ref="AX1370">IFERROR(DGET('SBV Import'!A:G,"SBV",{"RSC ID","Tier";B1370,A1370}))</f>
        <v/>
      </c>
      <c r="AY1370" s="82" t="str">
        <f t="shared" si="2"/>
        <v/>
      </c>
      <c r="AZ1370" s="82"/>
      <c r="BA1370" s="84" t="s">
        <v>152</v>
      </c>
      <c r="BB1370" s="84" t="str">
        <f>IFERROR(__xludf.DUMMYFUNCTION("iferror(if(A1370="""",,E1370&gt;=FILTER(Constants!$F$2:$F$10,Constants!$A$2:$A$10=A1370)))"),"")</f>
        <v/>
      </c>
    </row>
    <row r="1371">
      <c r="A1371" s="89"/>
      <c r="B1371" s="87"/>
      <c r="C1371" s="73"/>
      <c r="D1371" s="73"/>
      <c r="E1371" s="82"/>
      <c r="F1371" s="82"/>
      <c r="G1371" s="86"/>
      <c r="H1371" s="86"/>
      <c r="I1371" s="86"/>
      <c r="J1371" s="82"/>
      <c r="K1371" s="82"/>
      <c r="L1371" s="82"/>
      <c r="M1371" s="82"/>
      <c r="N1371" s="82"/>
      <c r="O1371" s="82"/>
      <c r="P1371" s="82"/>
      <c r="Q1371" s="82"/>
      <c r="R1371" s="82"/>
      <c r="S1371" s="82"/>
      <c r="T1371" s="82"/>
      <c r="U1371" s="82"/>
      <c r="V1371" s="82"/>
      <c r="W1371" s="82"/>
      <c r="X1371" s="82"/>
      <c r="Y1371" s="82"/>
      <c r="Z1371" s="82"/>
      <c r="AA1371" s="82"/>
      <c r="AB1371" s="82"/>
      <c r="AC1371" s="82"/>
      <c r="AD1371" s="82"/>
      <c r="AE1371" s="82"/>
      <c r="AF1371" s="82"/>
      <c r="AG1371" s="82"/>
      <c r="AH1371" s="82"/>
      <c r="AI1371" s="82"/>
      <c r="AJ1371" s="82"/>
      <c r="AK1371" s="82"/>
      <c r="AL1371" s="82"/>
      <c r="AM1371" s="82"/>
      <c r="AN1371" s="82">
        <f>IFERROR(__xludf.DUMMYFUNCTION("""COMPUTED_VALUE"""),0.0)</f>
        <v>0</v>
      </c>
      <c r="AO1371" s="82">
        <f>IFERROR(__xludf.DUMMYFUNCTION("""COMPUTED_VALUE"""),0.0)</f>
        <v>0</v>
      </c>
      <c r="AP1371" s="82">
        <f>IFERROR(__xludf.DUMMYFUNCTION("""COMPUTED_VALUE"""),0.0)</f>
        <v>0</v>
      </c>
      <c r="AQ1371" s="82">
        <f>IFERROR(__xludf.DUMMYFUNCTION("""COMPUTED_VALUE"""),0.0)</f>
        <v>0</v>
      </c>
      <c r="AR1371" s="82">
        <f>IFERROR(__xludf.DUMMYFUNCTION("""COMPUTED_VALUE"""),0.0)</f>
        <v>0</v>
      </c>
      <c r="AS1371" s="82"/>
      <c r="AT1371" s="82">
        <f>IFERROR(__xludf.DUMMYFUNCTION("""COMPUTED_VALUE"""),0.0)</f>
        <v>0</v>
      </c>
      <c r="AU1371" s="82"/>
      <c r="AV1371" s="82"/>
      <c r="AW1371" s="82" t="str">
        <f t="shared" si="1"/>
        <v/>
      </c>
      <c r="AX1371" s="83" t="str">
        <f t="array" ref="AX1371">IFERROR(DGET('SBV Import'!A:G,"SBV",{"RSC ID","Tier";B1371,A1371}))</f>
        <v/>
      </c>
      <c r="AY1371" s="82" t="str">
        <f t="shared" si="2"/>
        <v/>
      </c>
      <c r="AZ1371" s="82"/>
      <c r="BA1371" s="84" t="s">
        <v>152</v>
      </c>
      <c r="BB1371" s="84" t="str">
        <f>IFERROR(__xludf.DUMMYFUNCTION("iferror(if(A1371="""",,E1371&gt;=FILTER(Constants!$F$2:$F$10,Constants!$A$2:$A$10=A1371)))"),"")</f>
        <v/>
      </c>
    </row>
    <row r="1372">
      <c r="A1372" s="89"/>
      <c r="B1372" s="87"/>
      <c r="C1372" s="73"/>
      <c r="D1372" s="73"/>
      <c r="E1372" s="82"/>
      <c r="F1372" s="82"/>
      <c r="G1372" s="86"/>
      <c r="H1372" s="86"/>
      <c r="I1372" s="86"/>
      <c r="J1372" s="82"/>
      <c r="K1372" s="82"/>
      <c r="L1372" s="82"/>
      <c r="M1372" s="82"/>
      <c r="N1372" s="82"/>
      <c r="O1372" s="82"/>
      <c r="P1372" s="82"/>
      <c r="Q1372" s="82"/>
      <c r="R1372" s="82"/>
      <c r="S1372" s="82"/>
      <c r="T1372" s="82"/>
      <c r="U1372" s="82"/>
      <c r="V1372" s="82"/>
      <c r="W1372" s="82"/>
      <c r="X1372" s="82"/>
      <c r="Y1372" s="82"/>
      <c r="Z1372" s="82"/>
      <c r="AA1372" s="82"/>
      <c r="AB1372" s="82"/>
      <c r="AC1372" s="82"/>
      <c r="AD1372" s="82"/>
      <c r="AE1372" s="82"/>
      <c r="AF1372" s="82"/>
      <c r="AG1372" s="82"/>
      <c r="AH1372" s="82"/>
      <c r="AI1372" s="82"/>
      <c r="AJ1372" s="82"/>
      <c r="AK1372" s="82"/>
      <c r="AL1372" s="82"/>
      <c r="AM1372" s="82"/>
      <c r="AN1372" s="82">
        <f>IFERROR(__xludf.DUMMYFUNCTION("""COMPUTED_VALUE"""),0.0)</f>
        <v>0</v>
      </c>
      <c r="AO1372" s="82">
        <f>IFERROR(__xludf.DUMMYFUNCTION("""COMPUTED_VALUE"""),0.0)</f>
        <v>0</v>
      </c>
      <c r="AP1372" s="82">
        <f>IFERROR(__xludf.DUMMYFUNCTION("""COMPUTED_VALUE"""),0.0)</f>
        <v>0</v>
      </c>
      <c r="AQ1372" s="82">
        <f>IFERROR(__xludf.DUMMYFUNCTION("""COMPUTED_VALUE"""),0.0)</f>
        <v>0</v>
      </c>
      <c r="AR1372" s="82">
        <f>IFERROR(__xludf.DUMMYFUNCTION("""COMPUTED_VALUE"""),0.0)</f>
        <v>0</v>
      </c>
      <c r="AS1372" s="82"/>
      <c r="AT1372" s="82">
        <f>IFERROR(__xludf.DUMMYFUNCTION("""COMPUTED_VALUE"""),0.0)</f>
        <v>0</v>
      </c>
      <c r="AU1372" s="82"/>
      <c r="AV1372" s="82"/>
      <c r="AW1372" s="82" t="str">
        <f t="shared" si="1"/>
        <v/>
      </c>
      <c r="AX1372" s="83" t="str">
        <f t="array" ref="AX1372">IFERROR(DGET('SBV Import'!A:G,"SBV",{"RSC ID","Tier";B1372,A1372}))</f>
        <v/>
      </c>
      <c r="AY1372" s="82" t="str">
        <f t="shared" si="2"/>
        <v/>
      </c>
      <c r="AZ1372" s="82"/>
      <c r="BA1372" s="84" t="s">
        <v>152</v>
      </c>
      <c r="BB1372" s="84" t="str">
        <f>IFERROR(__xludf.DUMMYFUNCTION("iferror(if(A1372="""",,E1372&gt;=FILTER(Constants!$F$2:$F$10,Constants!$A$2:$A$10=A1372)))"),"")</f>
        <v/>
      </c>
    </row>
    <row r="1373">
      <c r="A1373" s="89"/>
      <c r="B1373" s="87"/>
      <c r="C1373" s="73"/>
      <c r="D1373" s="73"/>
      <c r="E1373" s="82"/>
      <c r="F1373" s="82"/>
      <c r="G1373" s="86"/>
      <c r="H1373" s="86"/>
      <c r="I1373" s="86"/>
      <c r="J1373" s="82"/>
      <c r="K1373" s="82"/>
      <c r="L1373" s="82"/>
      <c r="M1373" s="82"/>
      <c r="N1373" s="82"/>
      <c r="O1373" s="82"/>
      <c r="P1373" s="82"/>
      <c r="Q1373" s="82"/>
      <c r="R1373" s="82"/>
      <c r="S1373" s="82"/>
      <c r="T1373" s="82"/>
      <c r="U1373" s="82"/>
      <c r="V1373" s="82"/>
      <c r="W1373" s="82"/>
      <c r="X1373" s="82"/>
      <c r="Y1373" s="82"/>
      <c r="Z1373" s="82"/>
      <c r="AA1373" s="82"/>
      <c r="AB1373" s="82"/>
      <c r="AC1373" s="82"/>
      <c r="AD1373" s="82"/>
      <c r="AE1373" s="82"/>
      <c r="AF1373" s="82"/>
      <c r="AG1373" s="82"/>
      <c r="AH1373" s="82"/>
      <c r="AI1373" s="82"/>
      <c r="AJ1373" s="82"/>
      <c r="AK1373" s="82"/>
      <c r="AL1373" s="82"/>
      <c r="AM1373" s="82"/>
      <c r="AN1373" s="82">
        <f>IFERROR(__xludf.DUMMYFUNCTION("""COMPUTED_VALUE"""),0.0)</f>
        <v>0</v>
      </c>
      <c r="AO1373" s="82">
        <f>IFERROR(__xludf.DUMMYFUNCTION("""COMPUTED_VALUE"""),0.0)</f>
        <v>0</v>
      </c>
      <c r="AP1373" s="82">
        <f>IFERROR(__xludf.DUMMYFUNCTION("""COMPUTED_VALUE"""),0.0)</f>
        <v>0</v>
      </c>
      <c r="AQ1373" s="82">
        <f>IFERROR(__xludf.DUMMYFUNCTION("""COMPUTED_VALUE"""),0.0)</f>
        <v>0</v>
      </c>
      <c r="AR1373" s="82">
        <f>IFERROR(__xludf.DUMMYFUNCTION("""COMPUTED_VALUE"""),0.0)</f>
        <v>0</v>
      </c>
      <c r="AS1373" s="82"/>
      <c r="AT1373" s="82">
        <f>IFERROR(__xludf.DUMMYFUNCTION("""COMPUTED_VALUE"""),0.0)</f>
        <v>0</v>
      </c>
      <c r="AU1373" s="82"/>
      <c r="AV1373" s="82"/>
      <c r="AW1373" s="82" t="str">
        <f t="shared" si="1"/>
        <v/>
      </c>
      <c r="AX1373" s="83" t="str">
        <f t="array" ref="AX1373">IFERROR(DGET('SBV Import'!A:G,"SBV",{"RSC ID","Tier";B1373,A1373}))</f>
        <v/>
      </c>
      <c r="AY1373" s="82" t="str">
        <f t="shared" si="2"/>
        <v/>
      </c>
      <c r="AZ1373" s="82"/>
      <c r="BA1373" s="84" t="s">
        <v>152</v>
      </c>
      <c r="BB1373" s="84" t="str">
        <f>IFERROR(__xludf.DUMMYFUNCTION("iferror(if(A1373="""",,E1373&gt;=FILTER(Constants!$F$2:$F$10,Constants!$A$2:$A$10=A1373)))"),"")</f>
        <v/>
      </c>
    </row>
    <row r="1374">
      <c r="A1374" s="89"/>
      <c r="B1374" s="87"/>
      <c r="C1374" s="73"/>
      <c r="D1374" s="73"/>
      <c r="E1374" s="82"/>
      <c r="F1374" s="82"/>
      <c r="G1374" s="86"/>
      <c r="H1374" s="86"/>
      <c r="I1374" s="86"/>
      <c r="J1374" s="82"/>
      <c r="K1374" s="82"/>
      <c r="L1374" s="82"/>
      <c r="M1374" s="82"/>
      <c r="N1374" s="82"/>
      <c r="O1374" s="82"/>
      <c r="P1374" s="82"/>
      <c r="Q1374" s="82"/>
      <c r="R1374" s="82"/>
      <c r="S1374" s="82"/>
      <c r="T1374" s="82"/>
      <c r="U1374" s="82"/>
      <c r="V1374" s="82"/>
      <c r="W1374" s="82"/>
      <c r="X1374" s="82"/>
      <c r="Y1374" s="82"/>
      <c r="Z1374" s="82"/>
      <c r="AA1374" s="82"/>
      <c r="AB1374" s="82"/>
      <c r="AC1374" s="82"/>
      <c r="AD1374" s="82"/>
      <c r="AE1374" s="82"/>
      <c r="AF1374" s="82"/>
      <c r="AG1374" s="82"/>
      <c r="AH1374" s="82"/>
      <c r="AI1374" s="82"/>
      <c r="AJ1374" s="82"/>
      <c r="AK1374" s="82"/>
      <c r="AL1374" s="82"/>
      <c r="AM1374" s="82"/>
      <c r="AN1374" s="82">
        <f>IFERROR(__xludf.DUMMYFUNCTION("""COMPUTED_VALUE"""),0.0)</f>
        <v>0</v>
      </c>
      <c r="AO1374" s="82">
        <f>IFERROR(__xludf.DUMMYFUNCTION("""COMPUTED_VALUE"""),0.0)</f>
        <v>0</v>
      </c>
      <c r="AP1374" s="82">
        <f>IFERROR(__xludf.DUMMYFUNCTION("""COMPUTED_VALUE"""),0.0)</f>
        <v>0</v>
      </c>
      <c r="AQ1374" s="82">
        <f>IFERROR(__xludf.DUMMYFUNCTION("""COMPUTED_VALUE"""),0.0)</f>
        <v>0</v>
      </c>
      <c r="AR1374" s="82">
        <f>IFERROR(__xludf.DUMMYFUNCTION("""COMPUTED_VALUE"""),0.0)</f>
        <v>0</v>
      </c>
      <c r="AS1374" s="82"/>
      <c r="AT1374" s="82">
        <f>IFERROR(__xludf.DUMMYFUNCTION("""COMPUTED_VALUE"""),0.0)</f>
        <v>0</v>
      </c>
      <c r="AU1374" s="82"/>
      <c r="AV1374" s="82"/>
      <c r="AW1374" s="82" t="str">
        <f t="shared" si="1"/>
        <v/>
      </c>
      <c r="AX1374" s="83" t="str">
        <f t="array" ref="AX1374">IFERROR(DGET('SBV Import'!A:G,"SBV",{"RSC ID","Tier";B1374,A1374}))</f>
        <v/>
      </c>
      <c r="AY1374" s="82" t="str">
        <f t="shared" si="2"/>
        <v/>
      </c>
      <c r="AZ1374" s="82"/>
      <c r="BA1374" s="84" t="s">
        <v>152</v>
      </c>
      <c r="BB1374" s="84" t="str">
        <f>IFERROR(__xludf.DUMMYFUNCTION("iferror(if(A1374="""",,E1374&gt;=FILTER(Constants!$F$2:$F$10,Constants!$A$2:$A$10=A1374)))"),"")</f>
        <v/>
      </c>
    </row>
    <row r="1375">
      <c r="A1375" s="90"/>
      <c r="B1375" s="87"/>
      <c r="C1375" s="73"/>
      <c r="D1375" s="73"/>
      <c r="E1375" s="82"/>
      <c r="F1375" s="82"/>
      <c r="G1375" s="86"/>
      <c r="H1375" s="86"/>
      <c r="I1375" s="86"/>
      <c r="J1375" s="82"/>
      <c r="K1375" s="82"/>
      <c r="L1375" s="82"/>
      <c r="M1375" s="82"/>
      <c r="N1375" s="82"/>
      <c r="O1375" s="82"/>
      <c r="P1375" s="82"/>
      <c r="Q1375" s="82"/>
      <c r="R1375" s="82"/>
      <c r="S1375" s="82"/>
      <c r="T1375" s="82"/>
      <c r="U1375" s="82"/>
      <c r="V1375" s="82"/>
      <c r="W1375" s="82"/>
      <c r="X1375" s="82"/>
      <c r="Y1375" s="82"/>
      <c r="Z1375" s="82"/>
      <c r="AA1375" s="82"/>
      <c r="AB1375" s="82"/>
      <c r="AC1375" s="82"/>
      <c r="AD1375" s="82"/>
      <c r="AE1375" s="82"/>
      <c r="AF1375" s="82"/>
      <c r="AG1375" s="82"/>
      <c r="AH1375" s="82"/>
      <c r="AI1375" s="82"/>
      <c r="AJ1375" s="82"/>
      <c r="AK1375" s="82"/>
      <c r="AL1375" s="82"/>
      <c r="AM1375" s="82"/>
      <c r="AN1375" s="82">
        <f>IFERROR(__xludf.DUMMYFUNCTION("""COMPUTED_VALUE"""),0.0)</f>
        <v>0</v>
      </c>
      <c r="AO1375" s="82">
        <f>IFERROR(__xludf.DUMMYFUNCTION("""COMPUTED_VALUE"""),0.0)</f>
        <v>0</v>
      </c>
      <c r="AP1375" s="82">
        <f>IFERROR(__xludf.DUMMYFUNCTION("""COMPUTED_VALUE"""),0.0)</f>
        <v>0</v>
      </c>
      <c r="AQ1375" s="82">
        <f>IFERROR(__xludf.DUMMYFUNCTION("""COMPUTED_VALUE"""),0.0)</f>
        <v>0</v>
      </c>
      <c r="AR1375" s="82">
        <f>IFERROR(__xludf.DUMMYFUNCTION("""COMPUTED_VALUE"""),0.0)</f>
        <v>0</v>
      </c>
      <c r="AS1375" s="82"/>
      <c r="AT1375" s="82">
        <f>IFERROR(__xludf.DUMMYFUNCTION("""COMPUTED_VALUE"""),0.0)</f>
        <v>0</v>
      </c>
      <c r="AU1375" s="82"/>
      <c r="AV1375" s="82"/>
      <c r="AW1375" s="82" t="str">
        <f t="shared" si="1"/>
        <v/>
      </c>
      <c r="AX1375" s="83" t="str">
        <f t="array" ref="AX1375">IFERROR(DGET('SBV Import'!A:G,"SBV",{"RSC ID","Tier";B1375,A1375}))</f>
        <v/>
      </c>
      <c r="AY1375" s="82" t="str">
        <f t="shared" si="2"/>
        <v/>
      </c>
      <c r="AZ1375" s="82"/>
      <c r="BA1375" s="84" t="s">
        <v>152</v>
      </c>
      <c r="BB1375" s="84" t="str">
        <f>IFERROR(__xludf.DUMMYFUNCTION("iferror(if(A1375="""",,E1375&gt;=FILTER(Constants!$F$2:$F$10,Constants!$A$2:$A$10=A1375)))"),"")</f>
        <v/>
      </c>
    </row>
    <row r="1376">
      <c r="A1376" s="89"/>
      <c r="B1376" s="87"/>
      <c r="C1376" s="73"/>
      <c r="D1376" s="73"/>
      <c r="E1376" s="82"/>
      <c r="F1376" s="82"/>
      <c r="G1376" s="86"/>
      <c r="H1376" s="86"/>
      <c r="I1376" s="86"/>
      <c r="J1376" s="82"/>
      <c r="K1376" s="82"/>
      <c r="L1376" s="82"/>
      <c r="M1376" s="82"/>
      <c r="N1376" s="82"/>
      <c r="O1376" s="82"/>
      <c r="P1376" s="82"/>
      <c r="Q1376" s="82"/>
      <c r="R1376" s="82"/>
      <c r="S1376" s="82"/>
      <c r="T1376" s="82"/>
      <c r="U1376" s="82"/>
      <c r="V1376" s="82"/>
      <c r="W1376" s="82"/>
      <c r="X1376" s="82"/>
      <c r="Y1376" s="82"/>
      <c r="Z1376" s="82"/>
      <c r="AA1376" s="82"/>
      <c r="AB1376" s="82"/>
      <c r="AC1376" s="82"/>
      <c r="AD1376" s="82"/>
      <c r="AE1376" s="82"/>
      <c r="AF1376" s="82"/>
      <c r="AG1376" s="82"/>
      <c r="AH1376" s="82"/>
      <c r="AI1376" s="82"/>
      <c r="AJ1376" s="82"/>
      <c r="AK1376" s="82"/>
      <c r="AL1376" s="82"/>
      <c r="AM1376" s="82"/>
      <c r="AN1376" s="82">
        <f>IFERROR(__xludf.DUMMYFUNCTION("""COMPUTED_VALUE"""),0.0)</f>
        <v>0</v>
      </c>
      <c r="AO1376" s="82">
        <f>IFERROR(__xludf.DUMMYFUNCTION("""COMPUTED_VALUE"""),0.0)</f>
        <v>0</v>
      </c>
      <c r="AP1376" s="82">
        <f>IFERROR(__xludf.DUMMYFUNCTION("""COMPUTED_VALUE"""),0.0)</f>
        <v>0</v>
      </c>
      <c r="AQ1376" s="82">
        <f>IFERROR(__xludf.DUMMYFUNCTION("""COMPUTED_VALUE"""),0.0)</f>
        <v>0</v>
      </c>
      <c r="AR1376" s="82">
        <f>IFERROR(__xludf.DUMMYFUNCTION("""COMPUTED_VALUE"""),0.0)</f>
        <v>0</v>
      </c>
      <c r="AS1376" s="82"/>
      <c r="AT1376" s="82">
        <f>IFERROR(__xludf.DUMMYFUNCTION("""COMPUTED_VALUE"""),0.0)</f>
        <v>0</v>
      </c>
      <c r="AU1376" s="82"/>
      <c r="AV1376" s="82"/>
      <c r="AW1376" s="82" t="str">
        <f t="shared" si="1"/>
        <v/>
      </c>
      <c r="AX1376" s="83" t="str">
        <f t="array" ref="AX1376">IFERROR(DGET('SBV Import'!A:G,"SBV",{"RSC ID","Tier";B1376,A1376}))</f>
        <v/>
      </c>
      <c r="AY1376" s="82" t="str">
        <f t="shared" si="2"/>
        <v/>
      </c>
      <c r="AZ1376" s="82"/>
      <c r="BA1376" s="84" t="s">
        <v>152</v>
      </c>
      <c r="BB1376" s="84" t="str">
        <f>IFERROR(__xludf.DUMMYFUNCTION("iferror(if(A1376="""",,E1376&gt;=FILTER(Constants!$F$2:$F$10,Constants!$A$2:$A$10=A1376)))"),"")</f>
        <v/>
      </c>
    </row>
    <row r="1377">
      <c r="A1377" s="89"/>
      <c r="B1377" s="87"/>
      <c r="C1377" s="73"/>
      <c r="D1377" s="73"/>
      <c r="E1377" s="82"/>
      <c r="F1377" s="82"/>
      <c r="G1377" s="86"/>
      <c r="H1377" s="86"/>
      <c r="I1377" s="86"/>
      <c r="J1377" s="82"/>
      <c r="K1377" s="82"/>
      <c r="L1377" s="82"/>
      <c r="M1377" s="82"/>
      <c r="N1377" s="82"/>
      <c r="O1377" s="82"/>
      <c r="P1377" s="82"/>
      <c r="Q1377" s="82"/>
      <c r="R1377" s="82"/>
      <c r="S1377" s="82"/>
      <c r="T1377" s="82"/>
      <c r="U1377" s="82"/>
      <c r="V1377" s="82"/>
      <c r="W1377" s="82"/>
      <c r="X1377" s="82"/>
      <c r="Y1377" s="82"/>
      <c r="Z1377" s="82"/>
      <c r="AA1377" s="82"/>
      <c r="AB1377" s="82"/>
      <c r="AC1377" s="82"/>
      <c r="AD1377" s="82"/>
      <c r="AE1377" s="82"/>
      <c r="AF1377" s="82"/>
      <c r="AG1377" s="82"/>
      <c r="AH1377" s="82"/>
      <c r="AI1377" s="82"/>
      <c r="AJ1377" s="82"/>
      <c r="AK1377" s="82"/>
      <c r="AL1377" s="82"/>
      <c r="AM1377" s="82"/>
      <c r="AN1377" s="82">
        <f>IFERROR(__xludf.DUMMYFUNCTION("""COMPUTED_VALUE"""),0.0)</f>
        <v>0</v>
      </c>
      <c r="AO1377" s="82">
        <f>IFERROR(__xludf.DUMMYFUNCTION("""COMPUTED_VALUE"""),0.0)</f>
        <v>0</v>
      </c>
      <c r="AP1377" s="82">
        <f>IFERROR(__xludf.DUMMYFUNCTION("""COMPUTED_VALUE"""),0.0)</f>
        <v>0</v>
      </c>
      <c r="AQ1377" s="82">
        <f>IFERROR(__xludf.DUMMYFUNCTION("""COMPUTED_VALUE"""),0.0)</f>
        <v>0</v>
      </c>
      <c r="AR1377" s="82">
        <f>IFERROR(__xludf.DUMMYFUNCTION("""COMPUTED_VALUE"""),0.0)</f>
        <v>0</v>
      </c>
      <c r="AS1377" s="82"/>
      <c r="AT1377" s="82">
        <f>IFERROR(__xludf.DUMMYFUNCTION("""COMPUTED_VALUE"""),0.0)</f>
        <v>0</v>
      </c>
      <c r="AU1377" s="82"/>
      <c r="AV1377" s="82"/>
      <c r="AW1377" s="82" t="str">
        <f t="shared" si="1"/>
        <v/>
      </c>
      <c r="AX1377" s="83" t="str">
        <f t="array" ref="AX1377">IFERROR(DGET('SBV Import'!A:G,"SBV",{"RSC ID","Tier";B1377,A1377}))</f>
        <v/>
      </c>
      <c r="AY1377" s="82" t="str">
        <f t="shared" si="2"/>
        <v/>
      </c>
      <c r="AZ1377" s="82"/>
      <c r="BA1377" s="84" t="s">
        <v>152</v>
      </c>
      <c r="BB1377" s="84" t="str">
        <f>IFERROR(__xludf.DUMMYFUNCTION("iferror(if(A1377="""",,E1377&gt;=FILTER(Constants!$F$2:$F$10,Constants!$A$2:$A$10=A1377)))"),"")</f>
        <v/>
      </c>
    </row>
    <row r="1378">
      <c r="A1378" s="89"/>
      <c r="B1378" s="87"/>
      <c r="C1378" s="73"/>
      <c r="D1378" s="73"/>
      <c r="E1378" s="82"/>
      <c r="F1378" s="82"/>
      <c r="G1378" s="86"/>
      <c r="H1378" s="86"/>
      <c r="I1378" s="86"/>
      <c r="J1378" s="82"/>
      <c r="K1378" s="82"/>
      <c r="L1378" s="82"/>
      <c r="M1378" s="82"/>
      <c r="N1378" s="82"/>
      <c r="O1378" s="82"/>
      <c r="P1378" s="82"/>
      <c r="Q1378" s="82"/>
      <c r="R1378" s="82"/>
      <c r="S1378" s="82"/>
      <c r="T1378" s="82"/>
      <c r="U1378" s="82"/>
      <c r="V1378" s="82"/>
      <c r="W1378" s="82"/>
      <c r="X1378" s="82"/>
      <c r="Y1378" s="82"/>
      <c r="Z1378" s="82"/>
      <c r="AA1378" s="82"/>
      <c r="AB1378" s="82"/>
      <c r="AC1378" s="82"/>
      <c r="AD1378" s="82"/>
      <c r="AE1378" s="82"/>
      <c r="AF1378" s="82"/>
      <c r="AG1378" s="82"/>
      <c r="AH1378" s="82"/>
      <c r="AI1378" s="82"/>
      <c r="AJ1378" s="82"/>
      <c r="AK1378" s="82"/>
      <c r="AL1378" s="82"/>
      <c r="AM1378" s="82"/>
      <c r="AN1378" s="82">
        <f>IFERROR(__xludf.DUMMYFUNCTION("""COMPUTED_VALUE"""),0.0)</f>
        <v>0</v>
      </c>
      <c r="AO1378" s="82">
        <f>IFERROR(__xludf.DUMMYFUNCTION("""COMPUTED_VALUE"""),0.0)</f>
        <v>0</v>
      </c>
      <c r="AP1378" s="82">
        <f>IFERROR(__xludf.DUMMYFUNCTION("""COMPUTED_VALUE"""),0.0)</f>
        <v>0</v>
      </c>
      <c r="AQ1378" s="82">
        <f>IFERROR(__xludf.DUMMYFUNCTION("""COMPUTED_VALUE"""),0.0)</f>
        <v>0</v>
      </c>
      <c r="AR1378" s="82">
        <f>IFERROR(__xludf.DUMMYFUNCTION("""COMPUTED_VALUE"""),0.0)</f>
        <v>0</v>
      </c>
      <c r="AS1378" s="82"/>
      <c r="AT1378" s="82">
        <f>IFERROR(__xludf.DUMMYFUNCTION("""COMPUTED_VALUE"""),0.0)</f>
        <v>0</v>
      </c>
      <c r="AU1378" s="82"/>
      <c r="AV1378" s="82"/>
      <c r="AW1378" s="82" t="str">
        <f t="shared" si="1"/>
        <v/>
      </c>
      <c r="AX1378" s="83" t="str">
        <f t="array" ref="AX1378">IFERROR(DGET('SBV Import'!A:G,"SBV",{"RSC ID","Tier";B1378,A1378}))</f>
        <v/>
      </c>
      <c r="AY1378" s="82" t="str">
        <f t="shared" si="2"/>
        <v/>
      </c>
      <c r="AZ1378" s="82"/>
      <c r="BA1378" s="84" t="s">
        <v>152</v>
      </c>
      <c r="BB1378" s="84" t="str">
        <f>IFERROR(__xludf.DUMMYFUNCTION("iferror(if(A1378="""",,E1378&gt;=FILTER(Constants!$F$2:$F$10,Constants!$A$2:$A$10=A1378)))"),"")</f>
        <v/>
      </c>
    </row>
    <row r="1379">
      <c r="A1379" s="89"/>
      <c r="B1379" s="87"/>
      <c r="C1379" s="73"/>
      <c r="D1379" s="73"/>
      <c r="E1379" s="82"/>
      <c r="F1379" s="82"/>
      <c r="G1379" s="86"/>
      <c r="H1379" s="86"/>
      <c r="I1379" s="86"/>
      <c r="J1379" s="82"/>
      <c r="K1379" s="82"/>
      <c r="L1379" s="82"/>
      <c r="M1379" s="82"/>
      <c r="N1379" s="82"/>
      <c r="O1379" s="82"/>
      <c r="P1379" s="82"/>
      <c r="Q1379" s="82"/>
      <c r="R1379" s="82"/>
      <c r="S1379" s="82"/>
      <c r="T1379" s="82"/>
      <c r="U1379" s="82"/>
      <c r="V1379" s="82"/>
      <c r="W1379" s="82"/>
      <c r="X1379" s="82"/>
      <c r="Y1379" s="82"/>
      <c r="Z1379" s="82"/>
      <c r="AA1379" s="82"/>
      <c r="AB1379" s="82"/>
      <c r="AC1379" s="82"/>
      <c r="AD1379" s="82"/>
      <c r="AE1379" s="82"/>
      <c r="AF1379" s="82"/>
      <c r="AG1379" s="82"/>
      <c r="AH1379" s="82"/>
      <c r="AI1379" s="82"/>
      <c r="AJ1379" s="82"/>
      <c r="AK1379" s="82"/>
      <c r="AL1379" s="82"/>
      <c r="AM1379" s="82"/>
      <c r="AN1379" s="82">
        <f>IFERROR(__xludf.DUMMYFUNCTION("""COMPUTED_VALUE"""),0.0)</f>
        <v>0</v>
      </c>
      <c r="AO1379" s="82">
        <f>IFERROR(__xludf.DUMMYFUNCTION("""COMPUTED_VALUE"""),0.0)</f>
        <v>0</v>
      </c>
      <c r="AP1379" s="82">
        <f>IFERROR(__xludf.DUMMYFUNCTION("""COMPUTED_VALUE"""),0.0)</f>
        <v>0</v>
      </c>
      <c r="AQ1379" s="82">
        <f>IFERROR(__xludf.DUMMYFUNCTION("""COMPUTED_VALUE"""),0.0)</f>
        <v>0</v>
      </c>
      <c r="AR1379" s="82">
        <f>IFERROR(__xludf.DUMMYFUNCTION("""COMPUTED_VALUE"""),0.0)</f>
        <v>0</v>
      </c>
      <c r="AS1379" s="82"/>
      <c r="AT1379" s="82">
        <f>IFERROR(__xludf.DUMMYFUNCTION("""COMPUTED_VALUE"""),0.0)</f>
        <v>0</v>
      </c>
      <c r="AU1379" s="82"/>
      <c r="AV1379" s="82"/>
      <c r="AW1379" s="82" t="str">
        <f t="shared" si="1"/>
        <v/>
      </c>
      <c r="AX1379" s="83" t="str">
        <f t="array" ref="AX1379">IFERROR(DGET('SBV Import'!A:G,"SBV",{"RSC ID","Tier";B1379,A1379}))</f>
        <v/>
      </c>
      <c r="AY1379" s="82" t="str">
        <f t="shared" si="2"/>
        <v/>
      </c>
      <c r="AZ1379" s="82"/>
      <c r="BA1379" s="84" t="s">
        <v>152</v>
      </c>
      <c r="BB1379" s="84" t="str">
        <f>IFERROR(__xludf.DUMMYFUNCTION("iferror(if(A1379="""",,E1379&gt;=FILTER(Constants!$F$2:$F$10,Constants!$A$2:$A$10=A1379)))"),"")</f>
        <v/>
      </c>
    </row>
    <row r="1380">
      <c r="A1380" s="89"/>
      <c r="B1380" s="87"/>
      <c r="C1380" s="73"/>
      <c r="D1380" s="73"/>
      <c r="E1380" s="82"/>
      <c r="F1380" s="82"/>
      <c r="G1380" s="86"/>
      <c r="H1380" s="86"/>
      <c r="I1380" s="86"/>
      <c r="J1380" s="82"/>
      <c r="K1380" s="82"/>
      <c r="L1380" s="82"/>
      <c r="M1380" s="82"/>
      <c r="N1380" s="82"/>
      <c r="O1380" s="82"/>
      <c r="P1380" s="82"/>
      <c r="Q1380" s="82"/>
      <c r="R1380" s="82"/>
      <c r="S1380" s="82"/>
      <c r="T1380" s="82"/>
      <c r="U1380" s="82"/>
      <c r="V1380" s="82"/>
      <c r="W1380" s="82"/>
      <c r="X1380" s="82"/>
      <c r="Y1380" s="82"/>
      <c r="Z1380" s="82"/>
      <c r="AA1380" s="82"/>
      <c r="AB1380" s="82"/>
      <c r="AC1380" s="82"/>
      <c r="AD1380" s="82"/>
      <c r="AE1380" s="82"/>
      <c r="AF1380" s="82"/>
      <c r="AG1380" s="82"/>
      <c r="AH1380" s="82"/>
      <c r="AI1380" s="82"/>
      <c r="AJ1380" s="82"/>
      <c r="AK1380" s="82"/>
      <c r="AL1380" s="82"/>
      <c r="AM1380" s="82"/>
      <c r="AN1380" s="82">
        <f>IFERROR(__xludf.DUMMYFUNCTION("""COMPUTED_VALUE"""),0.0)</f>
        <v>0</v>
      </c>
      <c r="AO1380" s="82">
        <f>IFERROR(__xludf.DUMMYFUNCTION("""COMPUTED_VALUE"""),0.0)</f>
        <v>0</v>
      </c>
      <c r="AP1380" s="82">
        <f>IFERROR(__xludf.DUMMYFUNCTION("""COMPUTED_VALUE"""),0.0)</f>
        <v>0</v>
      </c>
      <c r="AQ1380" s="82">
        <f>IFERROR(__xludf.DUMMYFUNCTION("""COMPUTED_VALUE"""),0.0)</f>
        <v>0</v>
      </c>
      <c r="AR1380" s="82">
        <f>IFERROR(__xludf.DUMMYFUNCTION("""COMPUTED_VALUE"""),0.0)</f>
        <v>0</v>
      </c>
      <c r="AS1380" s="82"/>
      <c r="AT1380" s="82">
        <f>IFERROR(__xludf.DUMMYFUNCTION("""COMPUTED_VALUE"""),0.0)</f>
        <v>0</v>
      </c>
      <c r="AU1380" s="82"/>
      <c r="AV1380" s="82"/>
      <c r="AW1380" s="82" t="str">
        <f t="shared" si="1"/>
        <v/>
      </c>
      <c r="AX1380" s="83" t="str">
        <f t="array" ref="AX1380">IFERROR(DGET('SBV Import'!A:G,"SBV",{"RSC ID","Tier";B1380,A1380}))</f>
        <v/>
      </c>
      <c r="AY1380" s="82" t="str">
        <f t="shared" si="2"/>
        <v/>
      </c>
      <c r="AZ1380" s="82"/>
      <c r="BA1380" s="84" t="s">
        <v>152</v>
      </c>
      <c r="BB1380" s="84" t="str">
        <f>IFERROR(__xludf.DUMMYFUNCTION("iferror(if(A1380="""",,E1380&gt;=FILTER(Constants!$F$2:$F$10,Constants!$A$2:$A$10=A1380)))"),"")</f>
        <v/>
      </c>
    </row>
    <row r="1381">
      <c r="A1381" s="89"/>
      <c r="B1381" s="87"/>
      <c r="C1381" s="73"/>
      <c r="D1381" s="73"/>
      <c r="E1381" s="82"/>
      <c r="F1381" s="82"/>
      <c r="G1381" s="86"/>
      <c r="H1381" s="86"/>
      <c r="I1381" s="86"/>
      <c r="J1381" s="82"/>
      <c r="K1381" s="82"/>
      <c r="L1381" s="82"/>
      <c r="M1381" s="82"/>
      <c r="N1381" s="82"/>
      <c r="O1381" s="82"/>
      <c r="P1381" s="82"/>
      <c r="Q1381" s="82"/>
      <c r="R1381" s="82"/>
      <c r="S1381" s="82"/>
      <c r="T1381" s="82"/>
      <c r="U1381" s="82"/>
      <c r="V1381" s="82"/>
      <c r="W1381" s="82"/>
      <c r="X1381" s="82"/>
      <c r="Y1381" s="82"/>
      <c r="Z1381" s="82"/>
      <c r="AA1381" s="82"/>
      <c r="AB1381" s="82"/>
      <c r="AC1381" s="82"/>
      <c r="AD1381" s="82"/>
      <c r="AE1381" s="82"/>
      <c r="AF1381" s="82"/>
      <c r="AG1381" s="82"/>
      <c r="AH1381" s="82"/>
      <c r="AI1381" s="82"/>
      <c r="AJ1381" s="82"/>
      <c r="AK1381" s="82"/>
      <c r="AL1381" s="82"/>
      <c r="AM1381" s="82"/>
      <c r="AN1381" s="82">
        <f>IFERROR(__xludf.DUMMYFUNCTION("""COMPUTED_VALUE"""),0.0)</f>
        <v>0</v>
      </c>
      <c r="AO1381" s="82">
        <f>IFERROR(__xludf.DUMMYFUNCTION("""COMPUTED_VALUE"""),0.0)</f>
        <v>0</v>
      </c>
      <c r="AP1381" s="82">
        <f>IFERROR(__xludf.DUMMYFUNCTION("""COMPUTED_VALUE"""),0.0)</f>
        <v>0</v>
      </c>
      <c r="AQ1381" s="82">
        <f>IFERROR(__xludf.DUMMYFUNCTION("""COMPUTED_VALUE"""),0.0)</f>
        <v>0</v>
      </c>
      <c r="AR1381" s="82">
        <f>IFERROR(__xludf.DUMMYFUNCTION("""COMPUTED_VALUE"""),0.0)</f>
        <v>0</v>
      </c>
      <c r="AS1381" s="82"/>
      <c r="AT1381" s="82">
        <f>IFERROR(__xludf.DUMMYFUNCTION("""COMPUTED_VALUE"""),0.0)</f>
        <v>0</v>
      </c>
      <c r="AU1381" s="82"/>
      <c r="AV1381" s="82"/>
      <c r="AW1381" s="82" t="str">
        <f t="shared" si="1"/>
        <v/>
      </c>
      <c r="AX1381" s="83" t="str">
        <f t="array" ref="AX1381">IFERROR(DGET('SBV Import'!A:G,"SBV",{"RSC ID","Tier";B1381,A1381}))</f>
        <v/>
      </c>
      <c r="AY1381" s="82" t="str">
        <f t="shared" si="2"/>
        <v/>
      </c>
      <c r="AZ1381" s="82"/>
      <c r="BA1381" s="84" t="s">
        <v>152</v>
      </c>
      <c r="BB1381" s="84" t="str">
        <f>IFERROR(__xludf.DUMMYFUNCTION("iferror(if(A1381="""",,E1381&gt;=FILTER(Constants!$F$2:$F$10,Constants!$A$2:$A$10=A1381)))"),"")</f>
        <v/>
      </c>
    </row>
    <row r="1382">
      <c r="A1382" s="89"/>
      <c r="B1382" s="87"/>
      <c r="C1382" s="73"/>
      <c r="D1382" s="73"/>
      <c r="E1382" s="82"/>
      <c r="F1382" s="82"/>
      <c r="G1382" s="86"/>
      <c r="H1382" s="86"/>
      <c r="I1382" s="86"/>
      <c r="J1382" s="82"/>
      <c r="K1382" s="82"/>
      <c r="L1382" s="82"/>
      <c r="M1382" s="82"/>
      <c r="N1382" s="82"/>
      <c r="O1382" s="82"/>
      <c r="P1382" s="82"/>
      <c r="Q1382" s="82"/>
      <c r="R1382" s="82"/>
      <c r="S1382" s="82"/>
      <c r="T1382" s="82"/>
      <c r="U1382" s="82"/>
      <c r="V1382" s="82"/>
      <c r="W1382" s="82"/>
      <c r="X1382" s="82"/>
      <c r="Y1382" s="82"/>
      <c r="Z1382" s="82"/>
      <c r="AA1382" s="82"/>
      <c r="AB1382" s="82"/>
      <c r="AC1382" s="82"/>
      <c r="AD1382" s="82"/>
      <c r="AE1382" s="82"/>
      <c r="AF1382" s="82"/>
      <c r="AG1382" s="82"/>
      <c r="AH1382" s="82"/>
      <c r="AI1382" s="82"/>
      <c r="AJ1382" s="82"/>
      <c r="AK1382" s="82"/>
      <c r="AL1382" s="82"/>
      <c r="AM1382" s="82"/>
      <c r="AN1382" s="82">
        <f>IFERROR(__xludf.DUMMYFUNCTION("""COMPUTED_VALUE"""),0.0)</f>
        <v>0</v>
      </c>
      <c r="AO1382" s="82">
        <f>IFERROR(__xludf.DUMMYFUNCTION("""COMPUTED_VALUE"""),0.0)</f>
        <v>0</v>
      </c>
      <c r="AP1382" s="82">
        <f>IFERROR(__xludf.DUMMYFUNCTION("""COMPUTED_VALUE"""),0.0)</f>
        <v>0</v>
      </c>
      <c r="AQ1382" s="82">
        <f>IFERROR(__xludf.DUMMYFUNCTION("""COMPUTED_VALUE"""),0.0)</f>
        <v>0</v>
      </c>
      <c r="AR1382" s="82">
        <f>IFERROR(__xludf.DUMMYFUNCTION("""COMPUTED_VALUE"""),0.0)</f>
        <v>0</v>
      </c>
      <c r="AS1382" s="82"/>
      <c r="AT1382" s="82">
        <f>IFERROR(__xludf.DUMMYFUNCTION("""COMPUTED_VALUE"""),0.0)</f>
        <v>0</v>
      </c>
      <c r="AU1382" s="82"/>
      <c r="AV1382" s="82"/>
      <c r="AW1382" s="82" t="str">
        <f t="shared" si="1"/>
        <v/>
      </c>
      <c r="AX1382" s="83" t="str">
        <f t="array" ref="AX1382">IFERROR(DGET('SBV Import'!A:G,"SBV",{"RSC ID","Tier";B1382,A1382}))</f>
        <v/>
      </c>
      <c r="AY1382" s="82" t="str">
        <f t="shared" si="2"/>
        <v/>
      </c>
      <c r="AZ1382" s="82"/>
      <c r="BA1382" s="84" t="s">
        <v>152</v>
      </c>
      <c r="BB1382" s="84" t="str">
        <f>IFERROR(__xludf.DUMMYFUNCTION("iferror(if(A1382="""",,E1382&gt;=FILTER(Constants!$F$2:$F$10,Constants!$A$2:$A$10=A1382)))"),"")</f>
        <v/>
      </c>
    </row>
    <row r="1383">
      <c r="A1383" s="89"/>
      <c r="B1383" s="87"/>
      <c r="C1383" s="73"/>
      <c r="D1383" s="73"/>
      <c r="E1383" s="82"/>
      <c r="F1383" s="82"/>
      <c r="G1383" s="86"/>
      <c r="H1383" s="86"/>
      <c r="I1383" s="86"/>
      <c r="J1383" s="82"/>
      <c r="K1383" s="82"/>
      <c r="L1383" s="82"/>
      <c r="M1383" s="82"/>
      <c r="N1383" s="82"/>
      <c r="O1383" s="82"/>
      <c r="P1383" s="82"/>
      <c r="Q1383" s="82"/>
      <c r="R1383" s="82"/>
      <c r="S1383" s="82"/>
      <c r="T1383" s="82"/>
      <c r="U1383" s="82"/>
      <c r="V1383" s="82"/>
      <c r="W1383" s="82"/>
      <c r="X1383" s="82"/>
      <c r="Y1383" s="82"/>
      <c r="Z1383" s="82"/>
      <c r="AA1383" s="82"/>
      <c r="AB1383" s="82"/>
      <c r="AC1383" s="82"/>
      <c r="AD1383" s="82"/>
      <c r="AE1383" s="82"/>
      <c r="AF1383" s="82"/>
      <c r="AG1383" s="82"/>
      <c r="AH1383" s="82"/>
      <c r="AI1383" s="82"/>
      <c r="AJ1383" s="82"/>
      <c r="AK1383" s="82"/>
      <c r="AL1383" s="82"/>
      <c r="AM1383" s="82"/>
      <c r="AN1383" s="82">
        <f>IFERROR(__xludf.DUMMYFUNCTION("""COMPUTED_VALUE"""),0.0)</f>
        <v>0</v>
      </c>
      <c r="AO1383" s="82">
        <f>IFERROR(__xludf.DUMMYFUNCTION("""COMPUTED_VALUE"""),0.0)</f>
        <v>0</v>
      </c>
      <c r="AP1383" s="82">
        <f>IFERROR(__xludf.DUMMYFUNCTION("""COMPUTED_VALUE"""),0.0)</f>
        <v>0</v>
      </c>
      <c r="AQ1383" s="82">
        <f>IFERROR(__xludf.DUMMYFUNCTION("""COMPUTED_VALUE"""),0.0)</f>
        <v>0</v>
      </c>
      <c r="AR1383" s="82">
        <f>IFERROR(__xludf.DUMMYFUNCTION("""COMPUTED_VALUE"""),0.0)</f>
        <v>0</v>
      </c>
      <c r="AS1383" s="82"/>
      <c r="AT1383" s="82">
        <f>IFERROR(__xludf.DUMMYFUNCTION("""COMPUTED_VALUE"""),0.0)</f>
        <v>0</v>
      </c>
      <c r="AU1383" s="82"/>
      <c r="AV1383" s="82"/>
      <c r="AW1383" s="82" t="str">
        <f t="shared" si="1"/>
        <v/>
      </c>
      <c r="AX1383" s="83" t="str">
        <f t="array" ref="AX1383">IFERROR(DGET('SBV Import'!A:G,"SBV",{"RSC ID","Tier";B1383,A1383}))</f>
        <v/>
      </c>
      <c r="AY1383" s="82" t="str">
        <f t="shared" si="2"/>
        <v/>
      </c>
      <c r="AZ1383" s="82"/>
      <c r="BA1383" s="84" t="s">
        <v>152</v>
      </c>
      <c r="BB1383" s="84" t="str">
        <f>IFERROR(__xludf.DUMMYFUNCTION("iferror(if(A1383="""",,E1383&gt;=FILTER(Constants!$F$2:$F$10,Constants!$A$2:$A$10=A1383)))"),"")</f>
        <v/>
      </c>
    </row>
    <row r="1384">
      <c r="A1384" s="89"/>
      <c r="B1384" s="87"/>
      <c r="C1384" s="73"/>
      <c r="D1384" s="73"/>
      <c r="E1384" s="82"/>
      <c r="F1384" s="82"/>
      <c r="G1384" s="86"/>
      <c r="H1384" s="86"/>
      <c r="I1384" s="86"/>
      <c r="J1384" s="82"/>
      <c r="K1384" s="82"/>
      <c r="L1384" s="82"/>
      <c r="M1384" s="82"/>
      <c r="N1384" s="82"/>
      <c r="O1384" s="82"/>
      <c r="P1384" s="82"/>
      <c r="Q1384" s="82"/>
      <c r="R1384" s="82"/>
      <c r="S1384" s="82"/>
      <c r="T1384" s="82"/>
      <c r="U1384" s="82"/>
      <c r="V1384" s="82"/>
      <c r="W1384" s="82"/>
      <c r="X1384" s="82"/>
      <c r="Y1384" s="82"/>
      <c r="Z1384" s="82"/>
      <c r="AA1384" s="82"/>
      <c r="AB1384" s="82"/>
      <c r="AC1384" s="82"/>
      <c r="AD1384" s="82"/>
      <c r="AE1384" s="82"/>
      <c r="AF1384" s="82"/>
      <c r="AG1384" s="82"/>
      <c r="AH1384" s="82"/>
      <c r="AI1384" s="82"/>
      <c r="AJ1384" s="82"/>
      <c r="AK1384" s="82"/>
      <c r="AL1384" s="82"/>
      <c r="AM1384" s="82"/>
      <c r="AN1384" s="82">
        <f>IFERROR(__xludf.DUMMYFUNCTION("""COMPUTED_VALUE"""),0.0)</f>
        <v>0</v>
      </c>
      <c r="AO1384" s="82">
        <f>IFERROR(__xludf.DUMMYFUNCTION("""COMPUTED_VALUE"""),0.0)</f>
        <v>0</v>
      </c>
      <c r="AP1384" s="82">
        <f>IFERROR(__xludf.DUMMYFUNCTION("""COMPUTED_VALUE"""),0.0)</f>
        <v>0</v>
      </c>
      <c r="AQ1384" s="82">
        <f>IFERROR(__xludf.DUMMYFUNCTION("""COMPUTED_VALUE"""),0.0)</f>
        <v>0</v>
      </c>
      <c r="AR1384" s="82">
        <f>IFERROR(__xludf.DUMMYFUNCTION("""COMPUTED_VALUE"""),0.0)</f>
        <v>0</v>
      </c>
      <c r="AS1384" s="82"/>
      <c r="AT1384" s="82">
        <f>IFERROR(__xludf.DUMMYFUNCTION("""COMPUTED_VALUE"""),0.0)</f>
        <v>0</v>
      </c>
      <c r="AU1384" s="82"/>
      <c r="AV1384" s="82"/>
      <c r="AW1384" s="82" t="str">
        <f t="shared" si="1"/>
        <v/>
      </c>
      <c r="AX1384" s="83" t="str">
        <f t="array" ref="AX1384">IFERROR(DGET('SBV Import'!A:G,"SBV",{"RSC ID","Tier";B1384,A1384}))</f>
        <v/>
      </c>
      <c r="AY1384" s="82" t="str">
        <f t="shared" si="2"/>
        <v/>
      </c>
      <c r="AZ1384" s="82"/>
      <c r="BA1384" s="84" t="s">
        <v>152</v>
      </c>
      <c r="BB1384" s="84" t="str">
        <f>IFERROR(__xludf.DUMMYFUNCTION("iferror(if(A1384="""",,E1384&gt;=FILTER(Constants!$F$2:$F$10,Constants!$A$2:$A$10=A1384)))"),"")</f>
        <v/>
      </c>
    </row>
    <row r="1385">
      <c r="A1385" s="89"/>
      <c r="B1385" s="87"/>
      <c r="C1385" s="73"/>
      <c r="D1385" s="73"/>
      <c r="E1385" s="82"/>
      <c r="F1385" s="82"/>
      <c r="G1385" s="86"/>
      <c r="H1385" s="86"/>
      <c r="I1385" s="86"/>
      <c r="J1385" s="82"/>
      <c r="K1385" s="82"/>
      <c r="L1385" s="82"/>
      <c r="M1385" s="82"/>
      <c r="N1385" s="82"/>
      <c r="O1385" s="82"/>
      <c r="P1385" s="82"/>
      <c r="Q1385" s="82"/>
      <c r="R1385" s="82"/>
      <c r="S1385" s="82"/>
      <c r="T1385" s="82"/>
      <c r="U1385" s="82"/>
      <c r="V1385" s="82"/>
      <c r="W1385" s="82"/>
      <c r="X1385" s="82"/>
      <c r="Y1385" s="82"/>
      <c r="Z1385" s="82"/>
      <c r="AA1385" s="82"/>
      <c r="AB1385" s="82"/>
      <c r="AC1385" s="82"/>
      <c r="AD1385" s="82"/>
      <c r="AE1385" s="82"/>
      <c r="AF1385" s="82"/>
      <c r="AG1385" s="82"/>
      <c r="AH1385" s="82"/>
      <c r="AI1385" s="82"/>
      <c r="AJ1385" s="82"/>
      <c r="AK1385" s="82"/>
      <c r="AL1385" s="82"/>
      <c r="AM1385" s="82"/>
      <c r="AN1385" s="82">
        <f>IFERROR(__xludf.DUMMYFUNCTION("""COMPUTED_VALUE"""),0.0)</f>
        <v>0</v>
      </c>
      <c r="AO1385" s="82">
        <f>IFERROR(__xludf.DUMMYFUNCTION("""COMPUTED_VALUE"""),0.0)</f>
        <v>0</v>
      </c>
      <c r="AP1385" s="82">
        <f>IFERROR(__xludf.DUMMYFUNCTION("""COMPUTED_VALUE"""),0.0)</f>
        <v>0</v>
      </c>
      <c r="AQ1385" s="82">
        <f>IFERROR(__xludf.DUMMYFUNCTION("""COMPUTED_VALUE"""),0.0)</f>
        <v>0</v>
      </c>
      <c r="AR1385" s="82">
        <f>IFERROR(__xludf.DUMMYFUNCTION("""COMPUTED_VALUE"""),0.0)</f>
        <v>0</v>
      </c>
      <c r="AS1385" s="82"/>
      <c r="AT1385" s="82">
        <f>IFERROR(__xludf.DUMMYFUNCTION("""COMPUTED_VALUE"""),0.0)</f>
        <v>0</v>
      </c>
      <c r="AU1385" s="82"/>
      <c r="AV1385" s="82"/>
      <c r="AW1385" s="82" t="str">
        <f t="shared" si="1"/>
        <v/>
      </c>
      <c r="AX1385" s="83" t="str">
        <f t="array" ref="AX1385">IFERROR(DGET('SBV Import'!A:G,"SBV",{"RSC ID","Tier";B1385,A1385}))</f>
        <v/>
      </c>
      <c r="AY1385" s="82" t="str">
        <f t="shared" si="2"/>
        <v/>
      </c>
      <c r="AZ1385" s="82"/>
      <c r="BA1385" s="84" t="s">
        <v>152</v>
      </c>
      <c r="BB1385" s="84" t="str">
        <f>IFERROR(__xludf.DUMMYFUNCTION("iferror(if(A1385="""",,E1385&gt;=FILTER(Constants!$F$2:$F$10,Constants!$A$2:$A$10=A1385)))"),"")</f>
        <v/>
      </c>
    </row>
    <row r="1386">
      <c r="A1386" s="89"/>
      <c r="B1386" s="87"/>
      <c r="C1386" s="73"/>
      <c r="D1386" s="73"/>
      <c r="E1386" s="82"/>
      <c r="F1386" s="82"/>
      <c r="G1386" s="86"/>
      <c r="H1386" s="86"/>
      <c r="I1386" s="86"/>
      <c r="J1386" s="82"/>
      <c r="K1386" s="82"/>
      <c r="L1386" s="82"/>
      <c r="M1386" s="82"/>
      <c r="N1386" s="82"/>
      <c r="O1386" s="82"/>
      <c r="P1386" s="82"/>
      <c r="Q1386" s="82"/>
      <c r="R1386" s="82"/>
      <c r="S1386" s="82"/>
      <c r="T1386" s="82"/>
      <c r="U1386" s="82"/>
      <c r="V1386" s="82"/>
      <c r="W1386" s="82"/>
      <c r="X1386" s="82"/>
      <c r="Y1386" s="82"/>
      <c r="Z1386" s="82"/>
      <c r="AA1386" s="82"/>
      <c r="AB1386" s="82"/>
      <c r="AC1386" s="82"/>
      <c r="AD1386" s="82"/>
      <c r="AE1386" s="82"/>
      <c r="AF1386" s="82"/>
      <c r="AG1386" s="82"/>
      <c r="AH1386" s="82"/>
      <c r="AI1386" s="82"/>
      <c r="AJ1386" s="82"/>
      <c r="AK1386" s="82"/>
      <c r="AL1386" s="82"/>
      <c r="AM1386" s="82"/>
      <c r="AN1386" s="82">
        <f>IFERROR(__xludf.DUMMYFUNCTION("""COMPUTED_VALUE"""),0.0)</f>
        <v>0</v>
      </c>
      <c r="AO1386" s="82">
        <f>IFERROR(__xludf.DUMMYFUNCTION("""COMPUTED_VALUE"""),0.0)</f>
        <v>0</v>
      </c>
      <c r="AP1386" s="82">
        <f>IFERROR(__xludf.DUMMYFUNCTION("""COMPUTED_VALUE"""),0.0)</f>
        <v>0</v>
      </c>
      <c r="AQ1386" s="82">
        <f>IFERROR(__xludf.DUMMYFUNCTION("""COMPUTED_VALUE"""),0.0)</f>
        <v>0</v>
      </c>
      <c r="AR1386" s="82">
        <f>IFERROR(__xludf.DUMMYFUNCTION("""COMPUTED_VALUE"""),0.0)</f>
        <v>0</v>
      </c>
      <c r="AS1386" s="82"/>
      <c r="AT1386" s="82">
        <f>IFERROR(__xludf.DUMMYFUNCTION("""COMPUTED_VALUE"""),0.0)</f>
        <v>0</v>
      </c>
      <c r="AU1386" s="82"/>
      <c r="AV1386" s="82"/>
      <c r="AW1386" s="82" t="str">
        <f t="shared" si="1"/>
        <v/>
      </c>
      <c r="AX1386" s="83" t="str">
        <f t="array" ref="AX1386">IFERROR(DGET('SBV Import'!A:G,"SBV",{"RSC ID","Tier";B1386,A1386}))</f>
        <v/>
      </c>
      <c r="AY1386" s="82" t="str">
        <f t="shared" si="2"/>
        <v/>
      </c>
      <c r="AZ1386" s="82"/>
      <c r="BA1386" s="84" t="s">
        <v>152</v>
      </c>
      <c r="BB1386" s="84" t="str">
        <f>IFERROR(__xludf.DUMMYFUNCTION("iferror(if(A1386="""",,E1386&gt;=FILTER(Constants!$F$2:$F$10,Constants!$A$2:$A$10=A1386)))"),"")</f>
        <v/>
      </c>
    </row>
    <row r="1387">
      <c r="A1387" s="89"/>
      <c r="B1387" s="87"/>
      <c r="C1387" s="73"/>
      <c r="D1387" s="73"/>
      <c r="E1387" s="82"/>
      <c r="F1387" s="82"/>
      <c r="G1387" s="86"/>
      <c r="H1387" s="86"/>
      <c r="I1387" s="86"/>
      <c r="J1387" s="82"/>
      <c r="K1387" s="82"/>
      <c r="L1387" s="82"/>
      <c r="M1387" s="82"/>
      <c r="N1387" s="82"/>
      <c r="O1387" s="82"/>
      <c r="P1387" s="82"/>
      <c r="Q1387" s="82"/>
      <c r="R1387" s="82"/>
      <c r="S1387" s="82"/>
      <c r="T1387" s="82"/>
      <c r="U1387" s="82"/>
      <c r="V1387" s="82"/>
      <c r="W1387" s="82"/>
      <c r="X1387" s="82"/>
      <c r="Y1387" s="82"/>
      <c r="Z1387" s="82"/>
      <c r="AA1387" s="82"/>
      <c r="AB1387" s="82"/>
      <c r="AC1387" s="82"/>
      <c r="AD1387" s="82"/>
      <c r="AE1387" s="82"/>
      <c r="AF1387" s="82"/>
      <c r="AG1387" s="82"/>
      <c r="AH1387" s="82"/>
      <c r="AI1387" s="82"/>
      <c r="AJ1387" s="82"/>
      <c r="AK1387" s="82"/>
      <c r="AL1387" s="82"/>
      <c r="AM1387" s="82"/>
      <c r="AN1387" s="82">
        <f>IFERROR(__xludf.DUMMYFUNCTION("""COMPUTED_VALUE"""),0.0)</f>
        <v>0</v>
      </c>
      <c r="AO1387" s="82">
        <f>IFERROR(__xludf.DUMMYFUNCTION("""COMPUTED_VALUE"""),0.0)</f>
        <v>0</v>
      </c>
      <c r="AP1387" s="82">
        <f>IFERROR(__xludf.DUMMYFUNCTION("""COMPUTED_VALUE"""),0.0)</f>
        <v>0</v>
      </c>
      <c r="AQ1387" s="82">
        <f>IFERROR(__xludf.DUMMYFUNCTION("""COMPUTED_VALUE"""),0.0)</f>
        <v>0</v>
      </c>
      <c r="AR1387" s="82">
        <f>IFERROR(__xludf.DUMMYFUNCTION("""COMPUTED_VALUE"""),0.0)</f>
        <v>0</v>
      </c>
      <c r="AS1387" s="82"/>
      <c r="AT1387" s="82">
        <f>IFERROR(__xludf.DUMMYFUNCTION("""COMPUTED_VALUE"""),0.0)</f>
        <v>0</v>
      </c>
      <c r="AU1387" s="82"/>
      <c r="AV1387" s="82"/>
      <c r="AW1387" s="82" t="str">
        <f t="shared" si="1"/>
        <v/>
      </c>
      <c r="AX1387" s="83" t="str">
        <f t="array" ref="AX1387">IFERROR(DGET('SBV Import'!A:G,"SBV",{"RSC ID","Tier";B1387,A1387}))</f>
        <v/>
      </c>
      <c r="AY1387" s="82" t="str">
        <f t="shared" si="2"/>
        <v/>
      </c>
      <c r="AZ1387" s="82"/>
      <c r="BA1387" s="84" t="s">
        <v>152</v>
      </c>
      <c r="BB1387" s="84" t="str">
        <f>IFERROR(__xludf.DUMMYFUNCTION("iferror(if(A1387="""",,E1387&gt;=FILTER(Constants!$F$2:$F$10,Constants!$A$2:$A$10=A1387)))"),"")</f>
        <v/>
      </c>
    </row>
    <row r="1388">
      <c r="A1388" s="89"/>
      <c r="B1388" s="87"/>
      <c r="C1388" s="73"/>
      <c r="D1388" s="73"/>
      <c r="E1388" s="82"/>
      <c r="F1388" s="82"/>
      <c r="G1388" s="86"/>
      <c r="H1388" s="86"/>
      <c r="I1388" s="86"/>
      <c r="J1388" s="82"/>
      <c r="K1388" s="82"/>
      <c r="L1388" s="82"/>
      <c r="M1388" s="82"/>
      <c r="N1388" s="82"/>
      <c r="O1388" s="82"/>
      <c r="P1388" s="82"/>
      <c r="Q1388" s="82"/>
      <c r="R1388" s="82"/>
      <c r="S1388" s="82"/>
      <c r="T1388" s="82"/>
      <c r="U1388" s="82"/>
      <c r="V1388" s="82"/>
      <c r="W1388" s="82"/>
      <c r="X1388" s="82"/>
      <c r="Y1388" s="82"/>
      <c r="Z1388" s="82"/>
      <c r="AA1388" s="82"/>
      <c r="AB1388" s="82"/>
      <c r="AC1388" s="82"/>
      <c r="AD1388" s="82"/>
      <c r="AE1388" s="82"/>
      <c r="AF1388" s="82"/>
      <c r="AG1388" s="82"/>
      <c r="AH1388" s="82"/>
      <c r="AI1388" s="82"/>
      <c r="AJ1388" s="82"/>
      <c r="AK1388" s="82"/>
      <c r="AL1388" s="82"/>
      <c r="AM1388" s="82"/>
      <c r="AN1388" s="82">
        <f>IFERROR(__xludf.DUMMYFUNCTION("""COMPUTED_VALUE"""),0.0)</f>
        <v>0</v>
      </c>
      <c r="AO1388" s="82">
        <f>IFERROR(__xludf.DUMMYFUNCTION("""COMPUTED_VALUE"""),0.0)</f>
        <v>0</v>
      </c>
      <c r="AP1388" s="82">
        <f>IFERROR(__xludf.DUMMYFUNCTION("""COMPUTED_VALUE"""),0.0)</f>
        <v>0</v>
      </c>
      <c r="AQ1388" s="82">
        <f>IFERROR(__xludf.DUMMYFUNCTION("""COMPUTED_VALUE"""),0.0)</f>
        <v>0</v>
      </c>
      <c r="AR1388" s="82">
        <f>IFERROR(__xludf.DUMMYFUNCTION("""COMPUTED_VALUE"""),0.0)</f>
        <v>0</v>
      </c>
      <c r="AS1388" s="82"/>
      <c r="AT1388" s="82">
        <f>IFERROR(__xludf.DUMMYFUNCTION("""COMPUTED_VALUE"""),0.0)</f>
        <v>0</v>
      </c>
      <c r="AU1388" s="82"/>
      <c r="AV1388" s="82"/>
      <c r="AW1388" s="82" t="str">
        <f t="shared" si="1"/>
        <v/>
      </c>
      <c r="AX1388" s="83" t="str">
        <f t="array" ref="AX1388">IFERROR(DGET('SBV Import'!A:G,"SBV",{"RSC ID","Tier";B1388,A1388}))</f>
        <v/>
      </c>
      <c r="AY1388" s="82" t="str">
        <f t="shared" si="2"/>
        <v/>
      </c>
      <c r="AZ1388" s="82"/>
      <c r="BA1388" s="84" t="s">
        <v>152</v>
      </c>
      <c r="BB1388" s="84" t="str">
        <f>IFERROR(__xludf.DUMMYFUNCTION("iferror(if(A1388="""",,E1388&gt;=FILTER(Constants!$F$2:$F$10,Constants!$A$2:$A$10=A1388)))"),"")</f>
        <v/>
      </c>
    </row>
    <row r="1389">
      <c r="A1389" s="89"/>
      <c r="B1389" s="87"/>
      <c r="C1389" s="73"/>
      <c r="D1389" s="73"/>
      <c r="E1389" s="82"/>
      <c r="F1389" s="82"/>
      <c r="G1389" s="86"/>
      <c r="H1389" s="86"/>
      <c r="I1389" s="86"/>
      <c r="J1389" s="82"/>
      <c r="K1389" s="82"/>
      <c r="L1389" s="82"/>
      <c r="M1389" s="82"/>
      <c r="N1389" s="82"/>
      <c r="O1389" s="82"/>
      <c r="P1389" s="82"/>
      <c r="Q1389" s="82"/>
      <c r="R1389" s="82"/>
      <c r="S1389" s="82"/>
      <c r="T1389" s="82"/>
      <c r="U1389" s="82"/>
      <c r="V1389" s="82"/>
      <c r="W1389" s="82"/>
      <c r="X1389" s="82"/>
      <c r="Y1389" s="82"/>
      <c r="Z1389" s="82"/>
      <c r="AA1389" s="82"/>
      <c r="AB1389" s="82"/>
      <c r="AC1389" s="82"/>
      <c r="AD1389" s="82"/>
      <c r="AE1389" s="82"/>
      <c r="AF1389" s="82"/>
      <c r="AG1389" s="82"/>
      <c r="AH1389" s="82"/>
      <c r="AI1389" s="82"/>
      <c r="AJ1389" s="82"/>
      <c r="AK1389" s="82"/>
      <c r="AL1389" s="82"/>
      <c r="AM1389" s="82"/>
      <c r="AN1389" s="82">
        <f>IFERROR(__xludf.DUMMYFUNCTION("""COMPUTED_VALUE"""),0.0)</f>
        <v>0</v>
      </c>
      <c r="AO1389" s="82">
        <f>IFERROR(__xludf.DUMMYFUNCTION("""COMPUTED_VALUE"""),0.0)</f>
        <v>0</v>
      </c>
      <c r="AP1389" s="82">
        <f>IFERROR(__xludf.DUMMYFUNCTION("""COMPUTED_VALUE"""),0.0)</f>
        <v>0</v>
      </c>
      <c r="AQ1389" s="82">
        <f>IFERROR(__xludf.DUMMYFUNCTION("""COMPUTED_VALUE"""),0.0)</f>
        <v>0</v>
      </c>
      <c r="AR1389" s="82">
        <f>IFERROR(__xludf.DUMMYFUNCTION("""COMPUTED_VALUE"""),0.0)</f>
        <v>0</v>
      </c>
      <c r="AS1389" s="82"/>
      <c r="AT1389" s="82">
        <f>IFERROR(__xludf.DUMMYFUNCTION("""COMPUTED_VALUE"""),0.0)</f>
        <v>0</v>
      </c>
      <c r="AU1389" s="82"/>
      <c r="AV1389" s="82"/>
      <c r="AW1389" s="82" t="str">
        <f t="shared" si="1"/>
        <v/>
      </c>
      <c r="AX1389" s="83" t="str">
        <f t="array" ref="AX1389">IFERROR(DGET('SBV Import'!A:G,"SBV",{"RSC ID","Tier";B1389,A1389}))</f>
        <v/>
      </c>
      <c r="AY1389" s="82" t="str">
        <f t="shared" si="2"/>
        <v/>
      </c>
      <c r="AZ1389" s="82"/>
      <c r="BA1389" s="84" t="s">
        <v>152</v>
      </c>
      <c r="BB1389" s="84" t="str">
        <f>IFERROR(__xludf.DUMMYFUNCTION("iferror(if(A1389="""",,E1389&gt;=FILTER(Constants!$F$2:$F$10,Constants!$A$2:$A$10=A1389)))"),"")</f>
        <v/>
      </c>
    </row>
    <row r="1390">
      <c r="A1390" s="89"/>
      <c r="B1390" s="87"/>
      <c r="C1390" s="73"/>
      <c r="D1390" s="73"/>
      <c r="E1390" s="82"/>
      <c r="F1390" s="82"/>
      <c r="G1390" s="86"/>
      <c r="H1390" s="86"/>
      <c r="I1390" s="86"/>
      <c r="J1390" s="82"/>
      <c r="K1390" s="82"/>
      <c r="L1390" s="82"/>
      <c r="M1390" s="82"/>
      <c r="N1390" s="82"/>
      <c r="O1390" s="82"/>
      <c r="P1390" s="82"/>
      <c r="Q1390" s="82"/>
      <c r="R1390" s="82"/>
      <c r="S1390" s="82"/>
      <c r="T1390" s="82"/>
      <c r="U1390" s="82"/>
      <c r="V1390" s="82"/>
      <c r="W1390" s="82"/>
      <c r="X1390" s="82"/>
      <c r="Y1390" s="82"/>
      <c r="Z1390" s="82"/>
      <c r="AA1390" s="82"/>
      <c r="AB1390" s="82"/>
      <c r="AC1390" s="82"/>
      <c r="AD1390" s="82"/>
      <c r="AE1390" s="82"/>
      <c r="AF1390" s="82"/>
      <c r="AG1390" s="82"/>
      <c r="AH1390" s="82"/>
      <c r="AI1390" s="82"/>
      <c r="AJ1390" s="82"/>
      <c r="AK1390" s="82"/>
      <c r="AL1390" s="82"/>
      <c r="AM1390" s="82"/>
      <c r="AN1390" s="82">
        <f>IFERROR(__xludf.DUMMYFUNCTION("""COMPUTED_VALUE"""),0.0)</f>
        <v>0</v>
      </c>
      <c r="AO1390" s="82">
        <f>IFERROR(__xludf.DUMMYFUNCTION("""COMPUTED_VALUE"""),0.0)</f>
        <v>0</v>
      </c>
      <c r="AP1390" s="82">
        <f>IFERROR(__xludf.DUMMYFUNCTION("""COMPUTED_VALUE"""),0.0)</f>
        <v>0</v>
      </c>
      <c r="AQ1390" s="82">
        <f>IFERROR(__xludf.DUMMYFUNCTION("""COMPUTED_VALUE"""),0.0)</f>
        <v>0</v>
      </c>
      <c r="AR1390" s="82">
        <f>IFERROR(__xludf.DUMMYFUNCTION("""COMPUTED_VALUE"""),0.0)</f>
        <v>0</v>
      </c>
      <c r="AS1390" s="82"/>
      <c r="AT1390" s="82">
        <f>IFERROR(__xludf.DUMMYFUNCTION("""COMPUTED_VALUE"""),0.0)</f>
        <v>0</v>
      </c>
      <c r="AU1390" s="82"/>
      <c r="AV1390" s="82"/>
      <c r="AW1390" s="82" t="str">
        <f t="shared" si="1"/>
        <v/>
      </c>
      <c r="AX1390" s="83" t="str">
        <f t="array" ref="AX1390">IFERROR(DGET('SBV Import'!A:G,"SBV",{"RSC ID","Tier";B1390,A1390}))</f>
        <v/>
      </c>
      <c r="AY1390" s="82" t="str">
        <f t="shared" si="2"/>
        <v/>
      </c>
      <c r="AZ1390" s="82"/>
      <c r="BA1390" s="84" t="s">
        <v>152</v>
      </c>
      <c r="BB1390" s="84" t="str">
        <f>IFERROR(__xludf.DUMMYFUNCTION("iferror(if(A1390="""",,E1390&gt;=FILTER(Constants!$F$2:$F$10,Constants!$A$2:$A$10=A1390)))"),"")</f>
        <v/>
      </c>
    </row>
    <row r="1391">
      <c r="A1391" s="89"/>
      <c r="B1391" s="87"/>
      <c r="C1391" s="73"/>
      <c r="D1391" s="73"/>
      <c r="E1391" s="82"/>
      <c r="F1391" s="82"/>
      <c r="G1391" s="86"/>
      <c r="H1391" s="86"/>
      <c r="I1391" s="86"/>
      <c r="J1391" s="82"/>
      <c r="K1391" s="82"/>
      <c r="L1391" s="82"/>
      <c r="M1391" s="82"/>
      <c r="N1391" s="82"/>
      <c r="O1391" s="82"/>
      <c r="P1391" s="82"/>
      <c r="Q1391" s="82"/>
      <c r="R1391" s="82"/>
      <c r="S1391" s="82"/>
      <c r="T1391" s="82"/>
      <c r="U1391" s="82"/>
      <c r="V1391" s="82"/>
      <c r="W1391" s="82"/>
      <c r="X1391" s="82"/>
      <c r="Y1391" s="82"/>
      <c r="Z1391" s="82"/>
      <c r="AA1391" s="82"/>
      <c r="AB1391" s="82"/>
      <c r="AC1391" s="82"/>
      <c r="AD1391" s="82"/>
      <c r="AE1391" s="82"/>
      <c r="AF1391" s="82"/>
      <c r="AG1391" s="82"/>
      <c r="AH1391" s="82"/>
      <c r="AI1391" s="82"/>
      <c r="AJ1391" s="82"/>
      <c r="AK1391" s="82"/>
      <c r="AL1391" s="82"/>
      <c r="AM1391" s="82"/>
      <c r="AN1391" s="82">
        <f>IFERROR(__xludf.DUMMYFUNCTION("""COMPUTED_VALUE"""),0.0)</f>
        <v>0</v>
      </c>
      <c r="AO1391" s="82">
        <f>IFERROR(__xludf.DUMMYFUNCTION("""COMPUTED_VALUE"""),0.0)</f>
        <v>0</v>
      </c>
      <c r="AP1391" s="82">
        <f>IFERROR(__xludf.DUMMYFUNCTION("""COMPUTED_VALUE"""),0.0)</f>
        <v>0</v>
      </c>
      <c r="AQ1391" s="82">
        <f>IFERROR(__xludf.DUMMYFUNCTION("""COMPUTED_VALUE"""),0.0)</f>
        <v>0</v>
      </c>
      <c r="AR1391" s="82">
        <f>IFERROR(__xludf.DUMMYFUNCTION("""COMPUTED_VALUE"""),0.0)</f>
        <v>0</v>
      </c>
      <c r="AS1391" s="82"/>
      <c r="AT1391" s="82">
        <f>IFERROR(__xludf.DUMMYFUNCTION("""COMPUTED_VALUE"""),0.0)</f>
        <v>0</v>
      </c>
      <c r="AU1391" s="82"/>
      <c r="AV1391" s="82"/>
      <c r="AW1391" s="82" t="str">
        <f t="shared" si="1"/>
        <v/>
      </c>
      <c r="AX1391" s="83" t="str">
        <f t="array" ref="AX1391">IFERROR(DGET('SBV Import'!A:G,"SBV",{"RSC ID","Tier";B1391,A1391}))</f>
        <v/>
      </c>
      <c r="AY1391" s="82" t="str">
        <f t="shared" si="2"/>
        <v/>
      </c>
      <c r="AZ1391" s="82"/>
      <c r="BA1391" s="84" t="s">
        <v>152</v>
      </c>
      <c r="BB1391" s="84" t="str">
        <f>IFERROR(__xludf.DUMMYFUNCTION("iferror(if(A1391="""",,E1391&gt;=FILTER(Constants!$F$2:$F$10,Constants!$A$2:$A$10=A1391)))"),"")</f>
        <v/>
      </c>
    </row>
    <row r="1392">
      <c r="A1392" s="89"/>
      <c r="B1392" s="87"/>
      <c r="C1392" s="73"/>
      <c r="D1392" s="73"/>
      <c r="E1392" s="82"/>
      <c r="F1392" s="82"/>
      <c r="G1392" s="86"/>
      <c r="H1392" s="86"/>
      <c r="I1392" s="86"/>
      <c r="J1392" s="82"/>
      <c r="K1392" s="82"/>
      <c r="L1392" s="82"/>
      <c r="M1392" s="82"/>
      <c r="N1392" s="82"/>
      <c r="O1392" s="82"/>
      <c r="P1392" s="82"/>
      <c r="Q1392" s="82"/>
      <c r="R1392" s="82"/>
      <c r="S1392" s="82"/>
      <c r="T1392" s="82"/>
      <c r="U1392" s="82"/>
      <c r="V1392" s="82"/>
      <c r="W1392" s="82"/>
      <c r="X1392" s="82"/>
      <c r="Y1392" s="82"/>
      <c r="Z1392" s="82"/>
      <c r="AA1392" s="82"/>
      <c r="AB1392" s="82"/>
      <c r="AC1392" s="82"/>
      <c r="AD1392" s="82"/>
      <c r="AE1392" s="82"/>
      <c r="AF1392" s="82"/>
      <c r="AG1392" s="82"/>
      <c r="AH1392" s="82"/>
      <c r="AI1392" s="82"/>
      <c r="AJ1392" s="82"/>
      <c r="AK1392" s="82"/>
      <c r="AL1392" s="82"/>
      <c r="AM1392" s="82"/>
      <c r="AN1392" s="82">
        <f>IFERROR(__xludf.DUMMYFUNCTION("""COMPUTED_VALUE"""),0.0)</f>
        <v>0</v>
      </c>
      <c r="AO1392" s="82">
        <f>IFERROR(__xludf.DUMMYFUNCTION("""COMPUTED_VALUE"""),0.0)</f>
        <v>0</v>
      </c>
      <c r="AP1392" s="82">
        <f>IFERROR(__xludf.DUMMYFUNCTION("""COMPUTED_VALUE"""),0.0)</f>
        <v>0</v>
      </c>
      <c r="AQ1392" s="82">
        <f>IFERROR(__xludf.DUMMYFUNCTION("""COMPUTED_VALUE"""),0.0)</f>
        <v>0</v>
      </c>
      <c r="AR1392" s="82">
        <f>IFERROR(__xludf.DUMMYFUNCTION("""COMPUTED_VALUE"""),0.0)</f>
        <v>0</v>
      </c>
      <c r="AS1392" s="82"/>
      <c r="AT1392" s="82">
        <f>IFERROR(__xludf.DUMMYFUNCTION("""COMPUTED_VALUE"""),0.0)</f>
        <v>0</v>
      </c>
      <c r="AU1392" s="82"/>
      <c r="AV1392" s="82"/>
      <c r="AW1392" s="82" t="str">
        <f t="shared" si="1"/>
        <v/>
      </c>
      <c r="AX1392" s="83" t="str">
        <f t="array" ref="AX1392">IFERROR(DGET('SBV Import'!A:G,"SBV",{"RSC ID","Tier";B1392,A1392}))</f>
        <v/>
      </c>
      <c r="AY1392" s="82" t="str">
        <f t="shared" si="2"/>
        <v/>
      </c>
      <c r="AZ1392" s="82"/>
      <c r="BA1392" s="84" t="s">
        <v>152</v>
      </c>
      <c r="BB1392" s="84" t="str">
        <f>IFERROR(__xludf.DUMMYFUNCTION("iferror(if(A1392="""",,E1392&gt;=FILTER(Constants!$F$2:$F$10,Constants!$A$2:$A$10=A1392)))"),"")</f>
        <v/>
      </c>
    </row>
    <row r="1393">
      <c r="A1393" s="89"/>
      <c r="B1393" s="87"/>
      <c r="C1393" s="73"/>
      <c r="D1393" s="73"/>
      <c r="E1393" s="82"/>
      <c r="F1393" s="82"/>
      <c r="G1393" s="86"/>
      <c r="H1393" s="86"/>
      <c r="I1393" s="86"/>
      <c r="J1393" s="82"/>
      <c r="K1393" s="82"/>
      <c r="L1393" s="82"/>
      <c r="M1393" s="82"/>
      <c r="N1393" s="82"/>
      <c r="O1393" s="82"/>
      <c r="P1393" s="82"/>
      <c r="Q1393" s="82"/>
      <c r="R1393" s="82"/>
      <c r="S1393" s="82"/>
      <c r="T1393" s="82"/>
      <c r="U1393" s="82"/>
      <c r="V1393" s="82"/>
      <c r="W1393" s="82"/>
      <c r="X1393" s="82"/>
      <c r="Y1393" s="82"/>
      <c r="Z1393" s="82"/>
      <c r="AA1393" s="82"/>
      <c r="AB1393" s="82"/>
      <c r="AC1393" s="82"/>
      <c r="AD1393" s="82"/>
      <c r="AE1393" s="82"/>
      <c r="AF1393" s="82"/>
      <c r="AG1393" s="82"/>
      <c r="AH1393" s="82"/>
      <c r="AI1393" s="82"/>
      <c r="AJ1393" s="82"/>
      <c r="AK1393" s="82"/>
      <c r="AL1393" s="82"/>
      <c r="AM1393" s="82"/>
      <c r="AN1393" s="82">
        <f>IFERROR(__xludf.DUMMYFUNCTION("""COMPUTED_VALUE"""),0.0)</f>
        <v>0</v>
      </c>
      <c r="AO1393" s="82">
        <f>IFERROR(__xludf.DUMMYFUNCTION("""COMPUTED_VALUE"""),0.0)</f>
        <v>0</v>
      </c>
      <c r="AP1393" s="82">
        <f>IFERROR(__xludf.DUMMYFUNCTION("""COMPUTED_VALUE"""),0.0)</f>
        <v>0</v>
      </c>
      <c r="AQ1393" s="82">
        <f>IFERROR(__xludf.DUMMYFUNCTION("""COMPUTED_VALUE"""),0.0)</f>
        <v>0</v>
      </c>
      <c r="AR1393" s="82">
        <f>IFERROR(__xludf.DUMMYFUNCTION("""COMPUTED_VALUE"""),0.0)</f>
        <v>0</v>
      </c>
      <c r="AS1393" s="82"/>
      <c r="AT1393" s="82">
        <f>IFERROR(__xludf.DUMMYFUNCTION("""COMPUTED_VALUE"""),0.0)</f>
        <v>0</v>
      </c>
      <c r="AU1393" s="82"/>
      <c r="AV1393" s="82"/>
      <c r="AW1393" s="82" t="str">
        <f t="shared" si="1"/>
        <v/>
      </c>
      <c r="AX1393" s="83" t="str">
        <f t="array" ref="AX1393">IFERROR(DGET('SBV Import'!A:G,"SBV",{"RSC ID","Tier";B1393,A1393}))</f>
        <v/>
      </c>
      <c r="AY1393" s="82" t="str">
        <f t="shared" si="2"/>
        <v/>
      </c>
      <c r="AZ1393" s="82"/>
      <c r="BA1393" s="84" t="s">
        <v>152</v>
      </c>
      <c r="BB1393" s="84" t="str">
        <f>IFERROR(__xludf.DUMMYFUNCTION("iferror(if(A1393="""",,E1393&gt;=FILTER(Constants!$F$2:$F$10,Constants!$A$2:$A$10=A1393)))"),"")</f>
        <v/>
      </c>
    </row>
    <row r="1394">
      <c r="A1394" s="89"/>
      <c r="B1394" s="87"/>
      <c r="C1394" s="73"/>
      <c r="D1394" s="73"/>
      <c r="E1394" s="82"/>
      <c r="F1394" s="82"/>
      <c r="G1394" s="86"/>
      <c r="H1394" s="86"/>
      <c r="I1394" s="86"/>
      <c r="J1394" s="82"/>
      <c r="K1394" s="82"/>
      <c r="L1394" s="82"/>
      <c r="M1394" s="82"/>
      <c r="N1394" s="82"/>
      <c r="O1394" s="82"/>
      <c r="P1394" s="82"/>
      <c r="Q1394" s="82"/>
      <c r="R1394" s="82"/>
      <c r="S1394" s="82"/>
      <c r="T1394" s="82"/>
      <c r="U1394" s="82"/>
      <c r="V1394" s="82"/>
      <c r="W1394" s="82"/>
      <c r="X1394" s="82"/>
      <c r="Y1394" s="82"/>
      <c r="Z1394" s="82"/>
      <c r="AA1394" s="82"/>
      <c r="AB1394" s="82"/>
      <c r="AC1394" s="82"/>
      <c r="AD1394" s="82"/>
      <c r="AE1394" s="82"/>
      <c r="AF1394" s="82"/>
      <c r="AG1394" s="82"/>
      <c r="AH1394" s="82"/>
      <c r="AI1394" s="82"/>
      <c r="AJ1394" s="82"/>
      <c r="AK1394" s="82"/>
      <c r="AL1394" s="82"/>
      <c r="AM1394" s="82"/>
      <c r="AN1394" s="82">
        <f>IFERROR(__xludf.DUMMYFUNCTION("""COMPUTED_VALUE"""),0.0)</f>
        <v>0</v>
      </c>
      <c r="AO1394" s="82">
        <f>IFERROR(__xludf.DUMMYFUNCTION("""COMPUTED_VALUE"""),0.0)</f>
        <v>0</v>
      </c>
      <c r="AP1394" s="82">
        <f>IFERROR(__xludf.DUMMYFUNCTION("""COMPUTED_VALUE"""),0.0)</f>
        <v>0</v>
      </c>
      <c r="AQ1394" s="82">
        <f>IFERROR(__xludf.DUMMYFUNCTION("""COMPUTED_VALUE"""),0.0)</f>
        <v>0</v>
      </c>
      <c r="AR1394" s="82">
        <f>IFERROR(__xludf.DUMMYFUNCTION("""COMPUTED_VALUE"""),0.0)</f>
        <v>0</v>
      </c>
      <c r="AS1394" s="82"/>
      <c r="AT1394" s="82">
        <f>IFERROR(__xludf.DUMMYFUNCTION("""COMPUTED_VALUE"""),0.0)</f>
        <v>0</v>
      </c>
      <c r="AU1394" s="82"/>
      <c r="AV1394" s="82"/>
      <c r="AW1394" s="82" t="str">
        <f t="shared" si="1"/>
        <v/>
      </c>
      <c r="AX1394" s="83" t="str">
        <f t="array" ref="AX1394">IFERROR(DGET('SBV Import'!A:G,"SBV",{"RSC ID","Tier";B1394,A1394}))</f>
        <v/>
      </c>
      <c r="AY1394" s="82" t="str">
        <f t="shared" si="2"/>
        <v/>
      </c>
      <c r="AZ1394" s="82"/>
      <c r="BA1394" s="84" t="s">
        <v>152</v>
      </c>
      <c r="BB1394" s="84" t="str">
        <f>IFERROR(__xludf.DUMMYFUNCTION("iferror(if(A1394="""",,E1394&gt;=FILTER(Constants!$F$2:$F$10,Constants!$A$2:$A$10=A1394)))"),"")</f>
        <v/>
      </c>
    </row>
    <row r="1395">
      <c r="A1395" s="89"/>
      <c r="B1395" s="87"/>
      <c r="C1395" s="73"/>
      <c r="D1395" s="73"/>
      <c r="E1395" s="82"/>
      <c r="F1395" s="82"/>
      <c r="G1395" s="86"/>
      <c r="H1395" s="86"/>
      <c r="I1395" s="86"/>
      <c r="J1395" s="82"/>
      <c r="K1395" s="82"/>
      <c r="L1395" s="82"/>
      <c r="M1395" s="82"/>
      <c r="N1395" s="82"/>
      <c r="O1395" s="82"/>
      <c r="P1395" s="82"/>
      <c r="Q1395" s="82"/>
      <c r="R1395" s="82"/>
      <c r="S1395" s="82"/>
      <c r="T1395" s="82"/>
      <c r="U1395" s="82"/>
      <c r="V1395" s="82"/>
      <c r="W1395" s="82"/>
      <c r="X1395" s="82"/>
      <c r="Y1395" s="82"/>
      <c r="Z1395" s="82"/>
      <c r="AA1395" s="82"/>
      <c r="AB1395" s="82"/>
      <c r="AC1395" s="82"/>
      <c r="AD1395" s="82"/>
      <c r="AE1395" s="82"/>
      <c r="AF1395" s="82"/>
      <c r="AG1395" s="82"/>
      <c r="AH1395" s="82"/>
      <c r="AI1395" s="82"/>
      <c r="AJ1395" s="82"/>
      <c r="AK1395" s="82"/>
      <c r="AL1395" s="82"/>
      <c r="AM1395" s="82"/>
      <c r="AN1395" s="82">
        <f>IFERROR(__xludf.DUMMYFUNCTION("""COMPUTED_VALUE"""),0.0)</f>
        <v>0</v>
      </c>
      <c r="AO1395" s="82">
        <f>IFERROR(__xludf.DUMMYFUNCTION("""COMPUTED_VALUE"""),0.0)</f>
        <v>0</v>
      </c>
      <c r="AP1395" s="82">
        <f>IFERROR(__xludf.DUMMYFUNCTION("""COMPUTED_VALUE"""),0.0)</f>
        <v>0</v>
      </c>
      <c r="AQ1395" s="82">
        <f>IFERROR(__xludf.DUMMYFUNCTION("""COMPUTED_VALUE"""),0.0)</f>
        <v>0</v>
      </c>
      <c r="AR1395" s="82">
        <f>IFERROR(__xludf.DUMMYFUNCTION("""COMPUTED_VALUE"""),0.0)</f>
        <v>0</v>
      </c>
      <c r="AS1395" s="82"/>
      <c r="AT1395" s="82">
        <f>IFERROR(__xludf.DUMMYFUNCTION("""COMPUTED_VALUE"""),0.0)</f>
        <v>0</v>
      </c>
      <c r="AU1395" s="82"/>
      <c r="AV1395" s="82"/>
      <c r="AW1395" s="82" t="str">
        <f t="shared" si="1"/>
        <v/>
      </c>
      <c r="AX1395" s="83" t="str">
        <f t="array" ref="AX1395">IFERROR(DGET('SBV Import'!A:G,"SBV",{"RSC ID","Tier";B1395,A1395}))</f>
        <v/>
      </c>
      <c r="AY1395" s="82" t="str">
        <f t="shared" si="2"/>
        <v/>
      </c>
      <c r="AZ1395" s="82"/>
      <c r="BA1395" s="84" t="s">
        <v>152</v>
      </c>
      <c r="BB1395" s="84" t="str">
        <f>IFERROR(__xludf.DUMMYFUNCTION("iferror(if(A1395="""",,E1395&gt;=FILTER(Constants!$F$2:$F$10,Constants!$A$2:$A$10=A1395)))"),"")</f>
        <v/>
      </c>
    </row>
    <row r="1396">
      <c r="A1396" s="89"/>
      <c r="B1396" s="87"/>
      <c r="C1396" s="73"/>
      <c r="D1396" s="73"/>
      <c r="E1396" s="82"/>
      <c r="F1396" s="82"/>
      <c r="G1396" s="86"/>
      <c r="H1396" s="86"/>
      <c r="I1396" s="86"/>
      <c r="J1396" s="82"/>
      <c r="K1396" s="82"/>
      <c r="L1396" s="82"/>
      <c r="M1396" s="82"/>
      <c r="N1396" s="82"/>
      <c r="O1396" s="82"/>
      <c r="P1396" s="82"/>
      <c r="Q1396" s="82"/>
      <c r="R1396" s="82"/>
      <c r="S1396" s="82"/>
      <c r="T1396" s="82"/>
      <c r="U1396" s="82"/>
      <c r="V1396" s="82"/>
      <c r="W1396" s="82"/>
      <c r="X1396" s="82"/>
      <c r="Y1396" s="82"/>
      <c r="Z1396" s="82"/>
      <c r="AA1396" s="82"/>
      <c r="AB1396" s="82"/>
      <c r="AC1396" s="82"/>
      <c r="AD1396" s="82"/>
      <c r="AE1396" s="82"/>
      <c r="AF1396" s="82"/>
      <c r="AG1396" s="82"/>
      <c r="AH1396" s="82"/>
      <c r="AI1396" s="82"/>
      <c r="AJ1396" s="82"/>
      <c r="AK1396" s="82"/>
      <c r="AL1396" s="82"/>
      <c r="AM1396" s="82"/>
      <c r="AN1396" s="82">
        <f>IFERROR(__xludf.DUMMYFUNCTION("""COMPUTED_VALUE"""),0.0)</f>
        <v>0</v>
      </c>
      <c r="AO1396" s="82">
        <f>IFERROR(__xludf.DUMMYFUNCTION("""COMPUTED_VALUE"""),0.0)</f>
        <v>0</v>
      </c>
      <c r="AP1396" s="82">
        <f>IFERROR(__xludf.DUMMYFUNCTION("""COMPUTED_VALUE"""),0.0)</f>
        <v>0</v>
      </c>
      <c r="AQ1396" s="82">
        <f>IFERROR(__xludf.DUMMYFUNCTION("""COMPUTED_VALUE"""),0.0)</f>
        <v>0</v>
      </c>
      <c r="AR1396" s="82">
        <f>IFERROR(__xludf.DUMMYFUNCTION("""COMPUTED_VALUE"""),0.0)</f>
        <v>0</v>
      </c>
      <c r="AS1396" s="82"/>
      <c r="AT1396" s="82">
        <f>IFERROR(__xludf.DUMMYFUNCTION("""COMPUTED_VALUE"""),0.0)</f>
        <v>0</v>
      </c>
      <c r="AU1396" s="82"/>
      <c r="AV1396" s="82"/>
      <c r="AW1396" s="82" t="str">
        <f t="shared" si="1"/>
        <v/>
      </c>
      <c r="AX1396" s="83" t="str">
        <f t="array" ref="AX1396">IFERROR(DGET('SBV Import'!A:G,"SBV",{"RSC ID","Tier";B1396,A1396}))</f>
        <v/>
      </c>
      <c r="AY1396" s="82" t="str">
        <f t="shared" si="2"/>
        <v/>
      </c>
      <c r="AZ1396" s="82"/>
      <c r="BA1396" s="84" t="s">
        <v>152</v>
      </c>
      <c r="BB1396" s="84" t="str">
        <f>IFERROR(__xludf.DUMMYFUNCTION("iferror(if(A1396="""",,E1396&gt;=FILTER(Constants!$F$2:$F$10,Constants!$A$2:$A$10=A1396)))"),"")</f>
        <v/>
      </c>
    </row>
    <row r="1397">
      <c r="A1397" s="89"/>
      <c r="B1397" s="87"/>
      <c r="C1397" s="73"/>
      <c r="D1397" s="73"/>
      <c r="E1397" s="82"/>
      <c r="F1397" s="82"/>
      <c r="G1397" s="86"/>
      <c r="H1397" s="86"/>
      <c r="I1397" s="86"/>
      <c r="J1397" s="82"/>
      <c r="K1397" s="82"/>
      <c r="L1397" s="82"/>
      <c r="M1397" s="82"/>
      <c r="N1397" s="82"/>
      <c r="O1397" s="82"/>
      <c r="P1397" s="82"/>
      <c r="Q1397" s="82"/>
      <c r="R1397" s="82"/>
      <c r="S1397" s="82"/>
      <c r="T1397" s="82"/>
      <c r="U1397" s="82"/>
      <c r="V1397" s="82"/>
      <c r="W1397" s="82"/>
      <c r="X1397" s="82"/>
      <c r="Y1397" s="82"/>
      <c r="Z1397" s="82"/>
      <c r="AA1397" s="82"/>
      <c r="AB1397" s="82"/>
      <c r="AC1397" s="82"/>
      <c r="AD1397" s="82"/>
      <c r="AE1397" s="82"/>
      <c r="AF1397" s="82"/>
      <c r="AG1397" s="82"/>
      <c r="AH1397" s="82"/>
      <c r="AI1397" s="82"/>
      <c r="AJ1397" s="82"/>
      <c r="AK1397" s="82"/>
      <c r="AL1397" s="82"/>
      <c r="AM1397" s="82"/>
      <c r="AN1397" s="82">
        <f>IFERROR(__xludf.DUMMYFUNCTION("""COMPUTED_VALUE"""),0.0)</f>
        <v>0</v>
      </c>
      <c r="AO1397" s="82">
        <f>IFERROR(__xludf.DUMMYFUNCTION("""COMPUTED_VALUE"""),0.0)</f>
        <v>0</v>
      </c>
      <c r="AP1397" s="82">
        <f>IFERROR(__xludf.DUMMYFUNCTION("""COMPUTED_VALUE"""),0.0)</f>
        <v>0</v>
      </c>
      <c r="AQ1397" s="82">
        <f>IFERROR(__xludf.DUMMYFUNCTION("""COMPUTED_VALUE"""),0.0)</f>
        <v>0</v>
      </c>
      <c r="AR1397" s="82">
        <f>IFERROR(__xludf.DUMMYFUNCTION("""COMPUTED_VALUE"""),0.0)</f>
        <v>0</v>
      </c>
      <c r="AS1397" s="82"/>
      <c r="AT1397" s="82">
        <f>IFERROR(__xludf.DUMMYFUNCTION("""COMPUTED_VALUE"""),0.0)</f>
        <v>0</v>
      </c>
      <c r="AU1397" s="82"/>
      <c r="AV1397" s="82"/>
      <c r="AW1397" s="82" t="str">
        <f t="shared" si="1"/>
        <v/>
      </c>
      <c r="AX1397" s="83" t="str">
        <f t="array" ref="AX1397">IFERROR(DGET('SBV Import'!A:G,"SBV",{"RSC ID","Tier";B1397,A1397}))</f>
        <v/>
      </c>
      <c r="AY1397" s="82" t="str">
        <f t="shared" si="2"/>
        <v/>
      </c>
      <c r="AZ1397" s="82"/>
      <c r="BA1397" s="84" t="s">
        <v>152</v>
      </c>
      <c r="BB1397" s="84" t="str">
        <f>IFERROR(__xludf.DUMMYFUNCTION("iferror(if(A1397="""",,E1397&gt;=FILTER(Constants!$F$2:$F$10,Constants!$A$2:$A$10=A1397)))"),"")</f>
        <v/>
      </c>
    </row>
    <row r="1398">
      <c r="A1398" s="89"/>
      <c r="B1398" s="87"/>
      <c r="C1398" s="73"/>
      <c r="D1398" s="73"/>
      <c r="E1398" s="82"/>
      <c r="F1398" s="82"/>
      <c r="G1398" s="86"/>
      <c r="H1398" s="86"/>
      <c r="I1398" s="86"/>
      <c r="J1398" s="82"/>
      <c r="K1398" s="82"/>
      <c r="L1398" s="82"/>
      <c r="M1398" s="82"/>
      <c r="N1398" s="82"/>
      <c r="O1398" s="82"/>
      <c r="P1398" s="82"/>
      <c r="Q1398" s="82"/>
      <c r="R1398" s="82"/>
      <c r="S1398" s="82"/>
      <c r="T1398" s="82"/>
      <c r="U1398" s="82"/>
      <c r="V1398" s="82"/>
      <c r="W1398" s="82"/>
      <c r="X1398" s="82"/>
      <c r="Y1398" s="82"/>
      <c r="Z1398" s="82"/>
      <c r="AA1398" s="82"/>
      <c r="AB1398" s="82"/>
      <c r="AC1398" s="82"/>
      <c r="AD1398" s="82"/>
      <c r="AE1398" s="82"/>
      <c r="AF1398" s="82"/>
      <c r="AG1398" s="82"/>
      <c r="AH1398" s="82"/>
      <c r="AI1398" s="82"/>
      <c r="AJ1398" s="82"/>
      <c r="AK1398" s="82"/>
      <c r="AL1398" s="82"/>
      <c r="AM1398" s="82"/>
      <c r="AN1398" s="82">
        <f>IFERROR(__xludf.DUMMYFUNCTION("""COMPUTED_VALUE"""),0.0)</f>
        <v>0</v>
      </c>
      <c r="AO1398" s="82">
        <f>IFERROR(__xludf.DUMMYFUNCTION("""COMPUTED_VALUE"""),0.0)</f>
        <v>0</v>
      </c>
      <c r="AP1398" s="82">
        <f>IFERROR(__xludf.DUMMYFUNCTION("""COMPUTED_VALUE"""),0.0)</f>
        <v>0</v>
      </c>
      <c r="AQ1398" s="82">
        <f>IFERROR(__xludf.DUMMYFUNCTION("""COMPUTED_VALUE"""),0.0)</f>
        <v>0</v>
      </c>
      <c r="AR1398" s="82">
        <f>IFERROR(__xludf.DUMMYFUNCTION("""COMPUTED_VALUE"""),0.0)</f>
        <v>0</v>
      </c>
      <c r="AS1398" s="82"/>
      <c r="AT1398" s="82">
        <f>IFERROR(__xludf.DUMMYFUNCTION("""COMPUTED_VALUE"""),0.0)</f>
        <v>0</v>
      </c>
      <c r="AU1398" s="82"/>
      <c r="AV1398" s="82"/>
      <c r="AW1398" s="82" t="str">
        <f t="shared" si="1"/>
        <v/>
      </c>
      <c r="AX1398" s="83" t="str">
        <f t="array" ref="AX1398">IFERROR(DGET('SBV Import'!A:G,"SBV",{"RSC ID","Tier";B1398,A1398}))</f>
        <v/>
      </c>
      <c r="AY1398" s="82" t="str">
        <f t="shared" si="2"/>
        <v/>
      </c>
      <c r="AZ1398" s="82"/>
      <c r="BA1398" s="84" t="s">
        <v>152</v>
      </c>
      <c r="BB1398" s="84" t="str">
        <f>IFERROR(__xludf.DUMMYFUNCTION("iferror(if(A1398="""",,E1398&gt;=FILTER(Constants!$F$2:$F$10,Constants!$A$2:$A$10=A1398)))"),"")</f>
        <v/>
      </c>
    </row>
    <row r="1399">
      <c r="A1399" s="89"/>
      <c r="B1399" s="87"/>
      <c r="C1399" s="73"/>
      <c r="D1399" s="73"/>
      <c r="E1399" s="82"/>
      <c r="F1399" s="82"/>
      <c r="G1399" s="86"/>
      <c r="H1399" s="86"/>
      <c r="I1399" s="86"/>
      <c r="J1399" s="82"/>
      <c r="K1399" s="82"/>
      <c r="L1399" s="82"/>
      <c r="M1399" s="82"/>
      <c r="N1399" s="82"/>
      <c r="O1399" s="82"/>
      <c r="P1399" s="82"/>
      <c r="Q1399" s="82"/>
      <c r="R1399" s="82"/>
      <c r="S1399" s="82"/>
      <c r="T1399" s="82"/>
      <c r="U1399" s="82"/>
      <c r="V1399" s="82"/>
      <c r="W1399" s="82"/>
      <c r="X1399" s="82"/>
      <c r="Y1399" s="82"/>
      <c r="Z1399" s="82"/>
      <c r="AA1399" s="82"/>
      <c r="AB1399" s="82"/>
      <c r="AC1399" s="82"/>
      <c r="AD1399" s="82"/>
      <c r="AE1399" s="82"/>
      <c r="AF1399" s="82"/>
      <c r="AG1399" s="82"/>
      <c r="AH1399" s="82"/>
      <c r="AI1399" s="82"/>
      <c r="AJ1399" s="82"/>
      <c r="AK1399" s="82"/>
      <c r="AL1399" s="82"/>
      <c r="AM1399" s="82"/>
      <c r="AN1399" s="82">
        <f>IFERROR(__xludf.DUMMYFUNCTION("""COMPUTED_VALUE"""),0.0)</f>
        <v>0</v>
      </c>
      <c r="AO1399" s="82">
        <f>IFERROR(__xludf.DUMMYFUNCTION("""COMPUTED_VALUE"""),0.0)</f>
        <v>0</v>
      </c>
      <c r="AP1399" s="82">
        <f>IFERROR(__xludf.DUMMYFUNCTION("""COMPUTED_VALUE"""),0.0)</f>
        <v>0</v>
      </c>
      <c r="AQ1399" s="82">
        <f>IFERROR(__xludf.DUMMYFUNCTION("""COMPUTED_VALUE"""),0.0)</f>
        <v>0</v>
      </c>
      <c r="AR1399" s="82">
        <f>IFERROR(__xludf.DUMMYFUNCTION("""COMPUTED_VALUE"""),0.0)</f>
        <v>0</v>
      </c>
      <c r="AS1399" s="82"/>
      <c r="AT1399" s="82">
        <f>IFERROR(__xludf.DUMMYFUNCTION("""COMPUTED_VALUE"""),0.0)</f>
        <v>0</v>
      </c>
      <c r="AU1399" s="82"/>
      <c r="AV1399" s="82"/>
      <c r="AW1399" s="82" t="str">
        <f t="shared" si="1"/>
        <v/>
      </c>
      <c r="AX1399" s="83" t="str">
        <f t="array" ref="AX1399">IFERROR(DGET('SBV Import'!A:G,"SBV",{"RSC ID","Tier";B1399,A1399}))</f>
        <v/>
      </c>
      <c r="AY1399" s="82" t="str">
        <f t="shared" si="2"/>
        <v/>
      </c>
      <c r="AZ1399" s="82"/>
      <c r="BA1399" s="84" t="s">
        <v>152</v>
      </c>
      <c r="BB1399" s="84" t="str">
        <f>IFERROR(__xludf.DUMMYFUNCTION("iferror(if(A1399="""",,E1399&gt;=FILTER(Constants!$F$2:$F$10,Constants!$A$2:$A$10=A1399)))"),"")</f>
        <v/>
      </c>
    </row>
    <row r="1400">
      <c r="A1400" s="89"/>
      <c r="B1400" s="87"/>
      <c r="C1400" s="73"/>
      <c r="D1400" s="73"/>
      <c r="E1400" s="82"/>
      <c r="F1400" s="82"/>
      <c r="G1400" s="86"/>
      <c r="H1400" s="86"/>
      <c r="I1400" s="86"/>
      <c r="J1400" s="82"/>
      <c r="K1400" s="82"/>
      <c r="L1400" s="82"/>
      <c r="M1400" s="82"/>
      <c r="N1400" s="82"/>
      <c r="O1400" s="82"/>
      <c r="P1400" s="82"/>
      <c r="Q1400" s="82"/>
      <c r="R1400" s="82"/>
      <c r="S1400" s="82"/>
      <c r="T1400" s="82"/>
      <c r="U1400" s="82"/>
      <c r="V1400" s="82"/>
      <c r="W1400" s="82"/>
      <c r="X1400" s="82"/>
      <c r="Y1400" s="82"/>
      <c r="Z1400" s="82"/>
      <c r="AA1400" s="82"/>
      <c r="AB1400" s="82"/>
      <c r="AC1400" s="82"/>
      <c r="AD1400" s="82"/>
      <c r="AE1400" s="82"/>
      <c r="AF1400" s="82"/>
      <c r="AG1400" s="82"/>
      <c r="AH1400" s="82"/>
      <c r="AI1400" s="82"/>
      <c r="AJ1400" s="82"/>
      <c r="AK1400" s="82"/>
      <c r="AL1400" s="82"/>
      <c r="AM1400" s="82"/>
      <c r="AN1400" s="82">
        <f>IFERROR(__xludf.DUMMYFUNCTION("""COMPUTED_VALUE"""),0.0)</f>
        <v>0</v>
      </c>
      <c r="AO1400" s="82">
        <f>IFERROR(__xludf.DUMMYFUNCTION("""COMPUTED_VALUE"""),0.0)</f>
        <v>0</v>
      </c>
      <c r="AP1400" s="82">
        <f>IFERROR(__xludf.DUMMYFUNCTION("""COMPUTED_VALUE"""),0.0)</f>
        <v>0</v>
      </c>
      <c r="AQ1400" s="82">
        <f>IFERROR(__xludf.DUMMYFUNCTION("""COMPUTED_VALUE"""),0.0)</f>
        <v>0</v>
      </c>
      <c r="AR1400" s="82">
        <f>IFERROR(__xludf.DUMMYFUNCTION("""COMPUTED_VALUE"""),0.0)</f>
        <v>0</v>
      </c>
      <c r="AS1400" s="82"/>
      <c r="AT1400" s="82">
        <f>IFERROR(__xludf.DUMMYFUNCTION("""COMPUTED_VALUE"""),0.0)</f>
        <v>0</v>
      </c>
      <c r="AU1400" s="82"/>
      <c r="AV1400" s="82"/>
      <c r="AW1400" s="82" t="str">
        <f t="shared" si="1"/>
        <v/>
      </c>
      <c r="AX1400" s="83" t="str">
        <f t="array" ref="AX1400">IFERROR(DGET('SBV Import'!A:G,"SBV",{"RSC ID","Tier";B1400,A1400}))</f>
        <v/>
      </c>
      <c r="AY1400" s="82" t="str">
        <f t="shared" si="2"/>
        <v/>
      </c>
      <c r="AZ1400" s="82"/>
      <c r="BA1400" s="84" t="s">
        <v>152</v>
      </c>
      <c r="BB1400" s="84" t="str">
        <f>IFERROR(__xludf.DUMMYFUNCTION("iferror(if(A1400="""",,E1400&gt;=FILTER(Constants!$F$2:$F$10,Constants!$A$2:$A$10=A1400)))"),"")</f>
        <v/>
      </c>
    </row>
    <row r="1401">
      <c r="A1401" s="89"/>
      <c r="B1401" s="87"/>
      <c r="C1401" s="73"/>
      <c r="D1401" s="73"/>
      <c r="E1401" s="82"/>
      <c r="F1401" s="82"/>
      <c r="G1401" s="86"/>
      <c r="H1401" s="86"/>
      <c r="I1401" s="86"/>
      <c r="J1401" s="82"/>
      <c r="K1401" s="82"/>
      <c r="L1401" s="82"/>
      <c r="M1401" s="82"/>
      <c r="N1401" s="82"/>
      <c r="O1401" s="82"/>
      <c r="P1401" s="82"/>
      <c r="Q1401" s="82"/>
      <c r="R1401" s="82"/>
      <c r="S1401" s="82"/>
      <c r="T1401" s="82"/>
      <c r="U1401" s="82"/>
      <c r="V1401" s="82"/>
      <c r="W1401" s="82"/>
      <c r="X1401" s="82"/>
      <c r="Y1401" s="82"/>
      <c r="Z1401" s="82"/>
      <c r="AA1401" s="82"/>
      <c r="AB1401" s="82"/>
      <c r="AC1401" s="82"/>
      <c r="AD1401" s="82"/>
      <c r="AE1401" s="82"/>
      <c r="AF1401" s="82"/>
      <c r="AG1401" s="82"/>
      <c r="AH1401" s="82"/>
      <c r="AI1401" s="82"/>
      <c r="AJ1401" s="82"/>
      <c r="AK1401" s="82"/>
      <c r="AL1401" s="82"/>
      <c r="AM1401" s="82"/>
      <c r="AN1401" s="82">
        <f>IFERROR(__xludf.DUMMYFUNCTION("""COMPUTED_VALUE"""),0.0)</f>
        <v>0</v>
      </c>
      <c r="AO1401" s="82">
        <f>IFERROR(__xludf.DUMMYFUNCTION("""COMPUTED_VALUE"""),0.0)</f>
        <v>0</v>
      </c>
      <c r="AP1401" s="82">
        <f>IFERROR(__xludf.DUMMYFUNCTION("""COMPUTED_VALUE"""),0.0)</f>
        <v>0</v>
      </c>
      <c r="AQ1401" s="82">
        <f>IFERROR(__xludf.DUMMYFUNCTION("""COMPUTED_VALUE"""),0.0)</f>
        <v>0</v>
      </c>
      <c r="AR1401" s="82">
        <f>IFERROR(__xludf.DUMMYFUNCTION("""COMPUTED_VALUE"""),0.0)</f>
        <v>0</v>
      </c>
      <c r="AS1401" s="82"/>
      <c r="AT1401" s="82">
        <f>IFERROR(__xludf.DUMMYFUNCTION("""COMPUTED_VALUE"""),0.0)</f>
        <v>0</v>
      </c>
      <c r="AU1401" s="82"/>
      <c r="AV1401" s="82"/>
      <c r="AW1401" s="82" t="str">
        <f t="shared" si="1"/>
        <v/>
      </c>
      <c r="AX1401" s="83" t="str">
        <f t="array" ref="AX1401">IFERROR(DGET('SBV Import'!A:G,"SBV",{"RSC ID","Tier";B1401,A1401}))</f>
        <v/>
      </c>
      <c r="AY1401" s="82" t="str">
        <f t="shared" si="2"/>
        <v/>
      </c>
      <c r="AZ1401" s="82"/>
      <c r="BA1401" s="84" t="s">
        <v>152</v>
      </c>
      <c r="BB1401" s="84" t="str">
        <f>IFERROR(__xludf.DUMMYFUNCTION("iferror(if(A1401="""",,E1401&gt;=FILTER(Constants!$F$2:$F$10,Constants!$A$2:$A$10=A1401)))"),"")</f>
        <v/>
      </c>
    </row>
    <row r="1402">
      <c r="A1402" s="89"/>
      <c r="B1402" s="87"/>
      <c r="C1402" s="73"/>
      <c r="D1402" s="73"/>
      <c r="E1402" s="82"/>
      <c r="F1402" s="82"/>
      <c r="G1402" s="86"/>
      <c r="H1402" s="86"/>
      <c r="I1402" s="86"/>
      <c r="J1402" s="82"/>
      <c r="K1402" s="82"/>
      <c r="L1402" s="82"/>
      <c r="M1402" s="82"/>
      <c r="N1402" s="82"/>
      <c r="O1402" s="82"/>
      <c r="P1402" s="82"/>
      <c r="Q1402" s="82"/>
      <c r="R1402" s="82"/>
      <c r="S1402" s="82"/>
      <c r="T1402" s="82"/>
      <c r="U1402" s="82"/>
      <c r="V1402" s="82"/>
      <c r="W1402" s="82"/>
      <c r="X1402" s="82"/>
      <c r="Y1402" s="82"/>
      <c r="Z1402" s="82"/>
      <c r="AA1402" s="82"/>
      <c r="AB1402" s="82"/>
      <c r="AC1402" s="82"/>
      <c r="AD1402" s="82"/>
      <c r="AE1402" s="82"/>
      <c r="AF1402" s="82"/>
      <c r="AG1402" s="82"/>
      <c r="AH1402" s="82"/>
      <c r="AI1402" s="82"/>
      <c r="AJ1402" s="82"/>
      <c r="AK1402" s="82"/>
      <c r="AL1402" s="82"/>
      <c r="AM1402" s="82"/>
      <c r="AN1402" s="82">
        <f>IFERROR(__xludf.DUMMYFUNCTION("""COMPUTED_VALUE"""),0.0)</f>
        <v>0</v>
      </c>
      <c r="AO1402" s="82">
        <f>IFERROR(__xludf.DUMMYFUNCTION("""COMPUTED_VALUE"""),0.0)</f>
        <v>0</v>
      </c>
      <c r="AP1402" s="82">
        <f>IFERROR(__xludf.DUMMYFUNCTION("""COMPUTED_VALUE"""),0.0)</f>
        <v>0</v>
      </c>
      <c r="AQ1402" s="82">
        <f>IFERROR(__xludf.DUMMYFUNCTION("""COMPUTED_VALUE"""),0.0)</f>
        <v>0</v>
      </c>
      <c r="AR1402" s="82">
        <f>IFERROR(__xludf.DUMMYFUNCTION("""COMPUTED_VALUE"""),0.0)</f>
        <v>0</v>
      </c>
      <c r="AS1402" s="82"/>
      <c r="AT1402" s="82">
        <f>IFERROR(__xludf.DUMMYFUNCTION("""COMPUTED_VALUE"""),0.0)</f>
        <v>0</v>
      </c>
      <c r="AU1402" s="82"/>
      <c r="AV1402" s="82"/>
      <c r="AW1402" s="82" t="str">
        <f t="shared" si="1"/>
        <v/>
      </c>
      <c r="AX1402" s="83" t="str">
        <f t="array" ref="AX1402">IFERROR(DGET('SBV Import'!A:G,"SBV",{"RSC ID","Tier";B1402,A1402}))</f>
        <v/>
      </c>
      <c r="AY1402" s="82" t="str">
        <f t="shared" si="2"/>
        <v/>
      </c>
      <c r="AZ1402" s="82"/>
      <c r="BA1402" s="84" t="s">
        <v>152</v>
      </c>
      <c r="BB1402" s="84" t="str">
        <f>IFERROR(__xludf.DUMMYFUNCTION("iferror(if(A1402="""",,E1402&gt;=FILTER(Constants!$F$2:$F$10,Constants!$A$2:$A$10=A1402)))"),"")</f>
        <v/>
      </c>
    </row>
    <row r="1403">
      <c r="A1403" s="89"/>
      <c r="B1403" s="87"/>
      <c r="C1403" s="73"/>
      <c r="D1403" s="73"/>
      <c r="E1403" s="82"/>
      <c r="F1403" s="82"/>
      <c r="G1403" s="86"/>
      <c r="H1403" s="86"/>
      <c r="I1403" s="86"/>
      <c r="J1403" s="82"/>
      <c r="K1403" s="82"/>
      <c r="L1403" s="82"/>
      <c r="M1403" s="82"/>
      <c r="N1403" s="82"/>
      <c r="O1403" s="82"/>
      <c r="P1403" s="82"/>
      <c r="Q1403" s="82"/>
      <c r="R1403" s="82"/>
      <c r="S1403" s="82"/>
      <c r="T1403" s="82"/>
      <c r="U1403" s="82"/>
      <c r="V1403" s="82"/>
      <c r="W1403" s="82"/>
      <c r="X1403" s="82"/>
      <c r="Y1403" s="82"/>
      <c r="Z1403" s="82"/>
      <c r="AA1403" s="82"/>
      <c r="AB1403" s="82"/>
      <c r="AC1403" s="82"/>
      <c r="AD1403" s="82"/>
      <c r="AE1403" s="82"/>
      <c r="AF1403" s="82"/>
      <c r="AG1403" s="82"/>
      <c r="AH1403" s="82"/>
      <c r="AI1403" s="82"/>
      <c r="AJ1403" s="82"/>
      <c r="AK1403" s="82"/>
      <c r="AL1403" s="82"/>
      <c r="AM1403" s="82"/>
      <c r="AN1403" s="82">
        <f>IFERROR(__xludf.DUMMYFUNCTION("""COMPUTED_VALUE"""),0.0)</f>
        <v>0</v>
      </c>
      <c r="AO1403" s="82">
        <f>IFERROR(__xludf.DUMMYFUNCTION("""COMPUTED_VALUE"""),0.0)</f>
        <v>0</v>
      </c>
      <c r="AP1403" s="82">
        <f>IFERROR(__xludf.DUMMYFUNCTION("""COMPUTED_VALUE"""),0.0)</f>
        <v>0</v>
      </c>
      <c r="AQ1403" s="82">
        <f>IFERROR(__xludf.DUMMYFUNCTION("""COMPUTED_VALUE"""),0.0)</f>
        <v>0</v>
      </c>
      <c r="AR1403" s="82">
        <f>IFERROR(__xludf.DUMMYFUNCTION("""COMPUTED_VALUE"""),0.0)</f>
        <v>0</v>
      </c>
      <c r="AS1403" s="82"/>
      <c r="AT1403" s="82">
        <f>IFERROR(__xludf.DUMMYFUNCTION("""COMPUTED_VALUE"""),0.0)</f>
        <v>0</v>
      </c>
      <c r="AU1403" s="82"/>
      <c r="AV1403" s="82"/>
      <c r="AW1403" s="82" t="str">
        <f t="shared" si="1"/>
        <v/>
      </c>
      <c r="AX1403" s="83" t="str">
        <f t="array" ref="AX1403">IFERROR(DGET('SBV Import'!A:G,"SBV",{"RSC ID","Tier";B1403,A1403}))</f>
        <v/>
      </c>
      <c r="AY1403" s="82" t="str">
        <f t="shared" si="2"/>
        <v/>
      </c>
      <c r="AZ1403" s="82"/>
      <c r="BA1403" s="84" t="s">
        <v>152</v>
      </c>
      <c r="BB1403" s="84" t="str">
        <f>IFERROR(__xludf.DUMMYFUNCTION("iferror(if(A1403="""",,E1403&gt;=FILTER(Constants!$F$2:$F$10,Constants!$A$2:$A$10=A1403)))"),"")</f>
        <v/>
      </c>
    </row>
    <row r="1404">
      <c r="A1404" s="89"/>
      <c r="B1404" s="87"/>
      <c r="C1404" s="73"/>
      <c r="D1404" s="73"/>
      <c r="E1404" s="82"/>
      <c r="F1404" s="82"/>
      <c r="G1404" s="86"/>
      <c r="H1404" s="86"/>
      <c r="I1404" s="86"/>
      <c r="J1404" s="82"/>
      <c r="K1404" s="82"/>
      <c r="L1404" s="82"/>
      <c r="M1404" s="82"/>
      <c r="N1404" s="82"/>
      <c r="O1404" s="82"/>
      <c r="P1404" s="82"/>
      <c r="Q1404" s="82"/>
      <c r="R1404" s="82"/>
      <c r="S1404" s="82"/>
      <c r="T1404" s="82"/>
      <c r="U1404" s="82"/>
      <c r="V1404" s="82"/>
      <c r="W1404" s="82"/>
      <c r="X1404" s="82"/>
      <c r="Y1404" s="82"/>
      <c r="Z1404" s="82"/>
      <c r="AA1404" s="82"/>
      <c r="AB1404" s="82"/>
      <c r="AC1404" s="82"/>
      <c r="AD1404" s="82"/>
      <c r="AE1404" s="82"/>
      <c r="AF1404" s="82"/>
      <c r="AG1404" s="82"/>
      <c r="AH1404" s="82"/>
      <c r="AI1404" s="82"/>
      <c r="AJ1404" s="82"/>
      <c r="AK1404" s="82"/>
      <c r="AL1404" s="82"/>
      <c r="AM1404" s="82"/>
      <c r="AN1404" s="82">
        <f>IFERROR(__xludf.DUMMYFUNCTION("""COMPUTED_VALUE"""),0.0)</f>
        <v>0</v>
      </c>
      <c r="AO1404" s="82">
        <f>IFERROR(__xludf.DUMMYFUNCTION("""COMPUTED_VALUE"""),0.0)</f>
        <v>0</v>
      </c>
      <c r="AP1404" s="82">
        <f>IFERROR(__xludf.DUMMYFUNCTION("""COMPUTED_VALUE"""),0.0)</f>
        <v>0</v>
      </c>
      <c r="AQ1404" s="82">
        <f>IFERROR(__xludf.DUMMYFUNCTION("""COMPUTED_VALUE"""),0.0)</f>
        <v>0</v>
      </c>
      <c r="AR1404" s="82">
        <f>IFERROR(__xludf.DUMMYFUNCTION("""COMPUTED_VALUE"""),0.0)</f>
        <v>0</v>
      </c>
      <c r="AS1404" s="82"/>
      <c r="AT1404" s="82">
        <f>IFERROR(__xludf.DUMMYFUNCTION("""COMPUTED_VALUE"""),0.0)</f>
        <v>0</v>
      </c>
      <c r="AU1404" s="82"/>
      <c r="AV1404" s="82"/>
      <c r="AW1404" s="82" t="str">
        <f t="shared" si="1"/>
        <v/>
      </c>
      <c r="AX1404" s="83" t="str">
        <f t="array" ref="AX1404">IFERROR(DGET('SBV Import'!A:G,"SBV",{"RSC ID","Tier";B1404,A1404}))</f>
        <v/>
      </c>
      <c r="AY1404" s="82" t="str">
        <f t="shared" si="2"/>
        <v/>
      </c>
      <c r="AZ1404" s="82"/>
      <c r="BA1404" s="84" t="s">
        <v>152</v>
      </c>
      <c r="BB1404" s="84" t="str">
        <f>IFERROR(__xludf.DUMMYFUNCTION("iferror(if(A1404="""",,E1404&gt;=FILTER(Constants!$F$2:$F$10,Constants!$A$2:$A$10=A1404)))"),"")</f>
        <v/>
      </c>
    </row>
    <row r="1405">
      <c r="A1405" s="89"/>
      <c r="B1405" s="87"/>
      <c r="C1405" s="73"/>
      <c r="D1405" s="73"/>
      <c r="E1405" s="82"/>
      <c r="F1405" s="82"/>
      <c r="G1405" s="86"/>
      <c r="H1405" s="86"/>
      <c r="I1405" s="86"/>
      <c r="J1405" s="82"/>
      <c r="K1405" s="82"/>
      <c r="L1405" s="82"/>
      <c r="M1405" s="82"/>
      <c r="N1405" s="82"/>
      <c r="O1405" s="82"/>
      <c r="P1405" s="82"/>
      <c r="Q1405" s="82"/>
      <c r="R1405" s="82"/>
      <c r="S1405" s="82"/>
      <c r="T1405" s="82"/>
      <c r="U1405" s="82"/>
      <c r="V1405" s="82"/>
      <c r="W1405" s="82"/>
      <c r="X1405" s="82"/>
      <c r="Y1405" s="82"/>
      <c r="Z1405" s="82"/>
      <c r="AA1405" s="82"/>
      <c r="AB1405" s="82"/>
      <c r="AC1405" s="82"/>
      <c r="AD1405" s="82"/>
      <c r="AE1405" s="82"/>
      <c r="AF1405" s="82"/>
      <c r="AG1405" s="82"/>
      <c r="AH1405" s="82"/>
      <c r="AI1405" s="82"/>
      <c r="AJ1405" s="82"/>
      <c r="AK1405" s="82"/>
      <c r="AL1405" s="82"/>
      <c r="AM1405" s="82"/>
      <c r="AN1405" s="82">
        <f>IFERROR(__xludf.DUMMYFUNCTION("""COMPUTED_VALUE"""),0.0)</f>
        <v>0</v>
      </c>
      <c r="AO1405" s="82">
        <f>IFERROR(__xludf.DUMMYFUNCTION("""COMPUTED_VALUE"""),0.0)</f>
        <v>0</v>
      </c>
      <c r="AP1405" s="82">
        <f>IFERROR(__xludf.DUMMYFUNCTION("""COMPUTED_VALUE"""),0.0)</f>
        <v>0</v>
      </c>
      <c r="AQ1405" s="82">
        <f>IFERROR(__xludf.DUMMYFUNCTION("""COMPUTED_VALUE"""),0.0)</f>
        <v>0</v>
      </c>
      <c r="AR1405" s="82">
        <f>IFERROR(__xludf.DUMMYFUNCTION("""COMPUTED_VALUE"""),0.0)</f>
        <v>0</v>
      </c>
      <c r="AS1405" s="82"/>
      <c r="AT1405" s="82">
        <f>IFERROR(__xludf.DUMMYFUNCTION("""COMPUTED_VALUE"""),0.0)</f>
        <v>0</v>
      </c>
      <c r="AU1405" s="82"/>
      <c r="AV1405" s="82"/>
      <c r="AW1405" s="82" t="str">
        <f t="shared" si="1"/>
        <v/>
      </c>
      <c r="AX1405" s="83" t="str">
        <f t="array" ref="AX1405">IFERROR(DGET('SBV Import'!A:G,"SBV",{"RSC ID","Tier";B1405,A1405}))</f>
        <v/>
      </c>
      <c r="AY1405" s="82" t="str">
        <f t="shared" si="2"/>
        <v/>
      </c>
      <c r="AZ1405" s="82"/>
      <c r="BA1405" s="84" t="s">
        <v>152</v>
      </c>
      <c r="BB1405" s="84" t="str">
        <f>IFERROR(__xludf.DUMMYFUNCTION("iferror(if(A1405="""",,E1405&gt;=FILTER(Constants!$F$2:$F$10,Constants!$A$2:$A$10=A1405)))"),"")</f>
        <v/>
      </c>
    </row>
    <row r="1406">
      <c r="A1406" s="89"/>
      <c r="B1406" s="87"/>
      <c r="C1406" s="73"/>
      <c r="D1406" s="73"/>
      <c r="E1406" s="82"/>
      <c r="F1406" s="82"/>
      <c r="G1406" s="86"/>
      <c r="H1406" s="86"/>
      <c r="I1406" s="86"/>
      <c r="J1406" s="82"/>
      <c r="K1406" s="82"/>
      <c r="L1406" s="82"/>
      <c r="M1406" s="82"/>
      <c r="N1406" s="82"/>
      <c r="O1406" s="82"/>
      <c r="P1406" s="82"/>
      <c r="Q1406" s="82"/>
      <c r="R1406" s="82"/>
      <c r="S1406" s="82"/>
      <c r="T1406" s="82"/>
      <c r="U1406" s="82"/>
      <c r="V1406" s="82"/>
      <c r="W1406" s="82"/>
      <c r="X1406" s="82"/>
      <c r="Y1406" s="82"/>
      <c r="Z1406" s="82"/>
      <c r="AA1406" s="82"/>
      <c r="AB1406" s="82"/>
      <c r="AC1406" s="82"/>
      <c r="AD1406" s="82"/>
      <c r="AE1406" s="82"/>
      <c r="AF1406" s="82"/>
      <c r="AG1406" s="82"/>
      <c r="AH1406" s="82"/>
      <c r="AI1406" s="82"/>
      <c r="AJ1406" s="82"/>
      <c r="AK1406" s="82"/>
      <c r="AL1406" s="82"/>
      <c r="AM1406" s="82"/>
      <c r="AN1406" s="82">
        <f>IFERROR(__xludf.DUMMYFUNCTION("""COMPUTED_VALUE"""),0.0)</f>
        <v>0</v>
      </c>
      <c r="AO1406" s="82">
        <f>IFERROR(__xludf.DUMMYFUNCTION("""COMPUTED_VALUE"""),0.0)</f>
        <v>0</v>
      </c>
      <c r="AP1406" s="82">
        <f>IFERROR(__xludf.DUMMYFUNCTION("""COMPUTED_VALUE"""),0.0)</f>
        <v>0</v>
      </c>
      <c r="AQ1406" s="82">
        <f>IFERROR(__xludf.DUMMYFUNCTION("""COMPUTED_VALUE"""),0.0)</f>
        <v>0</v>
      </c>
      <c r="AR1406" s="82">
        <f>IFERROR(__xludf.DUMMYFUNCTION("""COMPUTED_VALUE"""),0.0)</f>
        <v>0</v>
      </c>
      <c r="AS1406" s="82"/>
      <c r="AT1406" s="82">
        <f>IFERROR(__xludf.DUMMYFUNCTION("""COMPUTED_VALUE"""),0.0)</f>
        <v>0</v>
      </c>
      <c r="AU1406" s="82"/>
      <c r="AV1406" s="82"/>
      <c r="AW1406" s="82" t="str">
        <f t="shared" si="1"/>
        <v/>
      </c>
      <c r="AX1406" s="83" t="str">
        <f t="array" ref="AX1406">IFERROR(DGET('SBV Import'!A:G,"SBV",{"RSC ID","Tier";B1406,A1406}))</f>
        <v/>
      </c>
      <c r="AY1406" s="82" t="str">
        <f t="shared" si="2"/>
        <v/>
      </c>
      <c r="AZ1406" s="82"/>
      <c r="BA1406" s="84" t="s">
        <v>152</v>
      </c>
      <c r="BB1406" s="84" t="str">
        <f>IFERROR(__xludf.DUMMYFUNCTION("iferror(if(A1406="""",,E1406&gt;=FILTER(Constants!$F$2:$F$10,Constants!$A$2:$A$10=A1406)))"),"")</f>
        <v/>
      </c>
    </row>
    <row r="1407">
      <c r="A1407" s="89"/>
      <c r="B1407" s="87"/>
      <c r="C1407" s="73"/>
      <c r="D1407" s="73"/>
      <c r="E1407" s="82"/>
      <c r="F1407" s="82"/>
      <c r="G1407" s="86"/>
      <c r="H1407" s="86"/>
      <c r="I1407" s="86"/>
      <c r="J1407" s="82"/>
      <c r="K1407" s="82"/>
      <c r="L1407" s="82"/>
      <c r="M1407" s="82"/>
      <c r="N1407" s="82"/>
      <c r="O1407" s="82"/>
      <c r="P1407" s="82"/>
      <c r="Q1407" s="82"/>
      <c r="R1407" s="82"/>
      <c r="S1407" s="82"/>
      <c r="T1407" s="82"/>
      <c r="U1407" s="82"/>
      <c r="V1407" s="82"/>
      <c r="W1407" s="82"/>
      <c r="X1407" s="82"/>
      <c r="Y1407" s="82"/>
      <c r="Z1407" s="82"/>
      <c r="AA1407" s="82"/>
      <c r="AB1407" s="82"/>
      <c r="AC1407" s="82"/>
      <c r="AD1407" s="82"/>
      <c r="AE1407" s="82"/>
      <c r="AF1407" s="82"/>
      <c r="AG1407" s="82"/>
      <c r="AH1407" s="82"/>
      <c r="AI1407" s="82"/>
      <c r="AJ1407" s="82"/>
      <c r="AK1407" s="82"/>
      <c r="AL1407" s="82"/>
      <c r="AM1407" s="82"/>
      <c r="AN1407" s="82">
        <f>IFERROR(__xludf.DUMMYFUNCTION("""COMPUTED_VALUE"""),0.0)</f>
        <v>0</v>
      </c>
      <c r="AO1407" s="82">
        <f>IFERROR(__xludf.DUMMYFUNCTION("""COMPUTED_VALUE"""),0.0)</f>
        <v>0</v>
      </c>
      <c r="AP1407" s="82">
        <f>IFERROR(__xludf.DUMMYFUNCTION("""COMPUTED_VALUE"""),0.0)</f>
        <v>0</v>
      </c>
      <c r="AQ1407" s="82">
        <f>IFERROR(__xludf.DUMMYFUNCTION("""COMPUTED_VALUE"""),0.0)</f>
        <v>0</v>
      </c>
      <c r="AR1407" s="82">
        <f>IFERROR(__xludf.DUMMYFUNCTION("""COMPUTED_VALUE"""),0.0)</f>
        <v>0</v>
      </c>
      <c r="AS1407" s="82"/>
      <c r="AT1407" s="82">
        <f>IFERROR(__xludf.DUMMYFUNCTION("""COMPUTED_VALUE"""),0.0)</f>
        <v>0</v>
      </c>
      <c r="AU1407" s="82"/>
      <c r="AV1407" s="82"/>
      <c r="AW1407" s="82" t="str">
        <f t="shared" si="1"/>
        <v/>
      </c>
      <c r="AX1407" s="83" t="str">
        <f t="array" ref="AX1407">IFERROR(DGET('SBV Import'!A:G,"SBV",{"RSC ID","Tier";B1407,A1407}))</f>
        <v/>
      </c>
      <c r="AY1407" s="82" t="str">
        <f t="shared" si="2"/>
        <v/>
      </c>
      <c r="AZ1407" s="82"/>
      <c r="BA1407" s="84" t="s">
        <v>152</v>
      </c>
      <c r="BB1407" s="84" t="str">
        <f>IFERROR(__xludf.DUMMYFUNCTION("iferror(if(A1407="""",,E1407&gt;=FILTER(Constants!$F$2:$F$10,Constants!$A$2:$A$10=A1407)))"),"")</f>
        <v/>
      </c>
    </row>
    <row r="1408">
      <c r="A1408" s="89"/>
      <c r="B1408" s="87"/>
      <c r="C1408" s="73"/>
      <c r="D1408" s="73"/>
      <c r="E1408" s="82"/>
      <c r="F1408" s="82"/>
      <c r="G1408" s="86"/>
      <c r="H1408" s="86"/>
      <c r="I1408" s="86"/>
      <c r="J1408" s="82"/>
      <c r="K1408" s="82"/>
      <c r="L1408" s="82"/>
      <c r="M1408" s="82"/>
      <c r="N1408" s="82"/>
      <c r="O1408" s="82"/>
      <c r="P1408" s="82"/>
      <c r="Q1408" s="82"/>
      <c r="R1408" s="82"/>
      <c r="S1408" s="82"/>
      <c r="T1408" s="82"/>
      <c r="U1408" s="82"/>
      <c r="V1408" s="82"/>
      <c r="W1408" s="82"/>
      <c r="X1408" s="82"/>
      <c r="Y1408" s="82"/>
      <c r="Z1408" s="82"/>
      <c r="AA1408" s="82"/>
      <c r="AB1408" s="82"/>
      <c r="AC1408" s="82"/>
      <c r="AD1408" s="82"/>
      <c r="AE1408" s="82"/>
      <c r="AF1408" s="82"/>
      <c r="AG1408" s="82"/>
      <c r="AH1408" s="82"/>
      <c r="AI1408" s="82"/>
      <c r="AJ1408" s="82"/>
      <c r="AK1408" s="82"/>
      <c r="AL1408" s="82"/>
      <c r="AM1408" s="82"/>
      <c r="AN1408" s="82">
        <f>IFERROR(__xludf.DUMMYFUNCTION("""COMPUTED_VALUE"""),0.0)</f>
        <v>0</v>
      </c>
      <c r="AO1408" s="82">
        <f>IFERROR(__xludf.DUMMYFUNCTION("""COMPUTED_VALUE"""),0.0)</f>
        <v>0</v>
      </c>
      <c r="AP1408" s="82">
        <f>IFERROR(__xludf.DUMMYFUNCTION("""COMPUTED_VALUE"""),0.0)</f>
        <v>0</v>
      </c>
      <c r="AQ1408" s="82">
        <f>IFERROR(__xludf.DUMMYFUNCTION("""COMPUTED_VALUE"""),0.0)</f>
        <v>0</v>
      </c>
      <c r="AR1408" s="82">
        <f>IFERROR(__xludf.DUMMYFUNCTION("""COMPUTED_VALUE"""),0.0)</f>
        <v>0</v>
      </c>
      <c r="AS1408" s="82"/>
      <c r="AT1408" s="82">
        <f>IFERROR(__xludf.DUMMYFUNCTION("""COMPUTED_VALUE"""),0.0)</f>
        <v>0</v>
      </c>
      <c r="AU1408" s="82"/>
      <c r="AV1408" s="82"/>
      <c r="AW1408" s="82" t="str">
        <f t="shared" si="1"/>
        <v/>
      </c>
      <c r="AX1408" s="83" t="str">
        <f t="array" ref="AX1408">IFERROR(DGET('SBV Import'!A:G,"SBV",{"RSC ID","Tier";B1408,A1408}))</f>
        <v/>
      </c>
      <c r="AY1408" s="82" t="str">
        <f t="shared" si="2"/>
        <v/>
      </c>
      <c r="AZ1408" s="82"/>
      <c r="BA1408" s="84" t="s">
        <v>152</v>
      </c>
      <c r="BB1408" s="84" t="str">
        <f>IFERROR(__xludf.DUMMYFUNCTION("iferror(if(A1408="""",,E1408&gt;=FILTER(Constants!$F$2:$F$10,Constants!$A$2:$A$10=A1408)))"),"")</f>
        <v/>
      </c>
    </row>
    <row r="1409">
      <c r="A1409" s="89"/>
      <c r="B1409" s="87"/>
      <c r="C1409" s="73"/>
      <c r="D1409" s="73"/>
      <c r="E1409" s="82"/>
      <c r="F1409" s="82"/>
      <c r="G1409" s="86"/>
      <c r="H1409" s="86"/>
      <c r="I1409" s="86"/>
      <c r="J1409" s="82"/>
      <c r="K1409" s="82"/>
      <c r="L1409" s="82"/>
      <c r="M1409" s="82"/>
      <c r="N1409" s="82"/>
      <c r="O1409" s="82"/>
      <c r="P1409" s="82"/>
      <c r="Q1409" s="82"/>
      <c r="R1409" s="82"/>
      <c r="S1409" s="82"/>
      <c r="T1409" s="82"/>
      <c r="U1409" s="82"/>
      <c r="V1409" s="82"/>
      <c r="W1409" s="82"/>
      <c r="X1409" s="82"/>
      <c r="Y1409" s="82"/>
      <c r="Z1409" s="82"/>
      <c r="AA1409" s="82"/>
      <c r="AB1409" s="82"/>
      <c r="AC1409" s="82"/>
      <c r="AD1409" s="82"/>
      <c r="AE1409" s="82"/>
      <c r="AF1409" s="82"/>
      <c r="AG1409" s="82"/>
      <c r="AH1409" s="82"/>
      <c r="AI1409" s="82"/>
      <c r="AJ1409" s="82"/>
      <c r="AK1409" s="82"/>
      <c r="AL1409" s="82"/>
      <c r="AM1409" s="82"/>
      <c r="AN1409" s="82">
        <f>IFERROR(__xludf.DUMMYFUNCTION("""COMPUTED_VALUE"""),0.0)</f>
        <v>0</v>
      </c>
      <c r="AO1409" s="82">
        <f>IFERROR(__xludf.DUMMYFUNCTION("""COMPUTED_VALUE"""),0.0)</f>
        <v>0</v>
      </c>
      <c r="AP1409" s="82">
        <f>IFERROR(__xludf.DUMMYFUNCTION("""COMPUTED_VALUE"""),0.0)</f>
        <v>0</v>
      </c>
      <c r="AQ1409" s="82">
        <f>IFERROR(__xludf.DUMMYFUNCTION("""COMPUTED_VALUE"""),0.0)</f>
        <v>0</v>
      </c>
      <c r="AR1409" s="82">
        <f>IFERROR(__xludf.DUMMYFUNCTION("""COMPUTED_VALUE"""),0.0)</f>
        <v>0</v>
      </c>
      <c r="AS1409" s="82"/>
      <c r="AT1409" s="82">
        <f>IFERROR(__xludf.DUMMYFUNCTION("""COMPUTED_VALUE"""),0.0)</f>
        <v>0</v>
      </c>
      <c r="AU1409" s="82"/>
      <c r="AV1409" s="82"/>
      <c r="AW1409" s="82" t="str">
        <f t="shared" si="1"/>
        <v/>
      </c>
      <c r="AX1409" s="83" t="str">
        <f t="array" ref="AX1409">IFERROR(DGET('SBV Import'!A:G,"SBV",{"RSC ID","Tier";B1409,A1409}))</f>
        <v/>
      </c>
      <c r="AY1409" s="82" t="str">
        <f t="shared" si="2"/>
        <v/>
      </c>
      <c r="AZ1409" s="82"/>
      <c r="BA1409" s="84" t="s">
        <v>152</v>
      </c>
      <c r="BB1409" s="84" t="str">
        <f>IFERROR(__xludf.DUMMYFUNCTION("iferror(if(A1409="""",,E1409&gt;=FILTER(Constants!$F$2:$F$10,Constants!$A$2:$A$10=A1409)))"),"")</f>
        <v/>
      </c>
    </row>
    <row r="1410">
      <c r="A1410" s="89"/>
      <c r="B1410" s="87"/>
      <c r="C1410" s="73"/>
      <c r="D1410" s="73"/>
      <c r="E1410" s="82"/>
      <c r="F1410" s="82"/>
      <c r="G1410" s="86"/>
      <c r="H1410" s="86"/>
      <c r="I1410" s="86"/>
      <c r="J1410" s="82"/>
      <c r="K1410" s="82"/>
      <c r="L1410" s="82"/>
      <c r="M1410" s="82"/>
      <c r="N1410" s="82"/>
      <c r="O1410" s="82"/>
      <c r="P1410" s="82"/>
      <c r="Q1410" s="82"/>
      <c r="R1410" s="82"/>
      <c r="S1410" s="82"/>
      <c r="T1410" s="82"/>
      <c r="U1410" s="82"/>
      <c r="V1410" s="82"/>
      <c r="W1410" s="82"/>
      <c r="X1410" s="82"/>
      <c r="Y1410" s="82"/>
      <c r="Z1410" s="82"/>
      <c r="AA1410" s="82"/>
      <c r="AB1410" s="82"/>
      <c r="AC1410" s="82"/>
      <c r="AD1410" s="82"/>
      <c r="AE1410" s="82"/>
      <c r="AF1410" s="82"/>
      <c r="AG1410" s="82"/>
      <c r="AH1410" s="82"/>
      <c r="AI1410" s="82"/>
      <c r="AJ1410" s="82"/>
      <c r="AK1410" s="82"/>
      <c r="AL1410" s="82"/>
      <c r="AM1410" s="82"/>
      <c r="AN1410" s="82">
        <f>IFERROR(__xludf.DUMMYFUNCTION("""COMPUTED_VALUE"""),0.0)</f>
        <v>0</v>
      </c>
      <c r="AO1410" s="82">
        <f>IFERROR(__xludf.DUMMYFUNCTION("""COMPUTED_VALUE"""),0.0)</f>
        <v>0</v>
      </c>
      <c r="AP1410" s="82">
        <f>IFERROR(__xludf.DUMMYFUNCTION("""COMPUTED_VALUE"""),0.0)</f>
        <v>0</v>
      </c>
      <c r="AQ1410" s="82">
        <f>IFERROR(__xludf.DUMMYFUNCTION("""COMPUTED_VALUE"""),0.0)</f>
        <v>0</v>
      </c>
      <c r="AR1410" s="82">
        <f>IFERROR(__xludf.DUMMYFUNCTION("""COMPUTED_VALUE"""),0.0)</f>
        <v>0</v>
      </c>
      <c r="AS1410" s="82"/>
      <c r="AT1410" s="82">
        <f>IFERROR(__xludf.DUMMYFUNCTION("""COMPUTED_VALUE"""),0.0)</f>
        <v>0</v>
      </c>
      <c r="AU1410" s="82"/>
      <c r="AV1410" s="82"/>
      <c r="AW1410" s="82" t="str">
        <f t="shared" si="1"/>
        <v/>
      </c>
      <c r="AX1410" s="83" t="str">
        <f t="array" ref="AX1410">IFERROR(DGET('SBV Import'!A:G,"SBV",{"RSC ID","Tier";B1410,A1410}))</f>
        <v/>
      </c>
      <c r="AY1410" s="82" t="str">
        <f t="shared" si="2"/>
        <v/>
      </c>
      <c r="AZ1410" s="82"/>
      <c r="BA1410" s="84" t="s">
        <v>152</v>
      </c>
      <c r="BB1410" s="84" t="str">
        <f>IFERROR(__xludf.DUMMYFUNCTION("iferror(if(A1410="""",,E1410&gt;=FILTER(Constants!$F$2:$F$10,Constants!$A$2:$A$10=A1410)))"),"")</f>
        <v/>
      </c>
    </row>
    <row r="1411">
      <c r="A1411" s="89"/>
      <c r="B1411" s="87"/>
      <c r="C1411" s="73"/>
      <c r="D1411" s="73"/>
      <c r="E1411" s="82"/>
      <c r="F1411" s="82"/>
      <c r="G1411" s="86"/>
      <c r="H1411" s="86"/>
      <c r="I1411" s="86"/>
      <c r="J1411" s="82"/>
      <c r="K1411" s="82"/>
      <c r="L1411" s="82"/>
      <c r="M1411" s="82"/>
      <c r="N1411" s="82"/>
      <c r="O1411" s="82"/>
      <c r="P1411" s="82"/>
      <c r="Q1411" s="82"/>
      <c r="R1411" s="82"/>
      <c r="S1411" s="82"/>
      <c r="T1411" s="82"/>
      <c r="U1411" s="82"/>
      <c r="V1411" s="82"/>
      <c r="W1411" s="82"/>
      <c r="X1411" s="82"/>
      <c r="Y1411" s="82"/>
      <c r="Z1411" s="82"/>
      <c r="AA1411" s="82"/>
      <c r="AB1411" s="82"/>
      <c r="AC1411" s="82"/>
      <c r="AD1411" s="82"/>
      <c r="AE1411" s="82"/>
      <c r="AF1411" s="82"/>
      <c r="AG1411" s="82"/>
      <c r="AH1411" s="82"/>
      <c r="AI1411" s="82"/>
      <c r="AJ1411" s="82"/>
      <c r="AK1411" s="82"/>
      <c r="AL1411" s="82"/>
      <c r="AM1411" s="82"/>
      <c r="AN1411" s="82">
        <f>IFERROR(__xludf.DUMMYFUNCTION("""COMPUTED_VALUE"""),0.0)</f>
        <v>0</v>
      </c>
      <c r="AO1411" s="82">
        <f>IFERROR(__xludf.DUMMYFUNCTION("""COMPUTED_VALUE"""),0.0)</f>
        <v>0</v>
      </c>
      <c r="AP1411" s="82">
        <f>IFERROR(__xludf.DUMMYFUNCTION("""COMPUTED_VALUE"""),0.0)</f>
        <v>0</v>
      </c>
      <c r="AQ1411" s="82">
        <f>IFERROR(__xludf.DUMMYFUNCTION("""COMPUTED_VALUE"""),0.0)</f>
        <v>0</v>
      </c>
      <c r="AR1411" s="82">
        <f>IFERROR(__xludf.DUMMYFUNCTION("""COMPUTED_VALUE"""),0.0)</f>
        <v>0</v>
      </c>
      <c r="AS1411" s="82"/>
      <c r="AT1411" s="82">
        <f>IFERROR(__xludf.DUMMYFUNCTION("""COMPUTED_VALUE"""),0.0)</f>
        <v>0</v>
      </c>
      <c r="AU1411" s="82"/>
      <c r="AV1411" s="82"/>
      <c r="AW1411" s="82" t="str">
        <f t="shared" si="1"/>
        <v/>
      </c>
      <c r="AX1411" s="83" t="str">
        <f t="array" ref="AX1411">IFERROR(DGET('SBV Import'!A:G,"SBV",{"RSC ID","Tier";B1411,A1411}))</f>
        <v/>
      </c>
      <c r="AY1411" s="82" t="str">
        <f t="shared" si="2"/>
        <v/>
      </c>
      <c r="AZ1411" s="82"/>
      <c r="BA1411" s="84" t="s">
        <v>152</v>
      </c>
      <c r="BB1411" s="84" t="str">
        <f>IFERROR(__xludf.DUMMYFUNCTION("iferror(if(A1411="""",,E1411&gt;=FILTER(Constants!$F$2:$F$10,Constants!$A$2:$A$10=A1411)))"),"")</f>
        <v/>
      </c>
    </row>
    <row r="1412">
      <c r="A1412" s="89"/>
      <c r="B1412" s="87"/>
      <c r="C1412" s="73"/>
      <c r="D1412" s="73"/>
      <c r="E1412" s="82"/>
      <c r="F1412" s="82"/>
      <c r="G1412" s="86"/>
      <c r="H1412" s="86"/>
      <c r="I1412" s="86"/>
      <c r="J1412" s="82"/>
      <c r="K1412" s="82"/>
      <c r="L1412" s="82"/>
      <c r="M1412" s="82"/>
      <c r="N1412" s="82"/>
      <c r="O1412" s="82"/>
      <c r="P1412" s="82"/>
      <c r="Q1412" s="82"/>
      <c r="R1412" s="82"/>
      <c r="S1412" s="82"/>
      <c r="T1412" s="82"/>
      <c r="U1412" s="82"/>
      <c r="V1412" s="82"/>
      <c r="W1412" s="82"/>
      <c r="X1412" s="82"/>
      <c r="Y1412" s="82"/>
      <c r="Z1412" s="82"/>
      <c r="AA1412" s="82"/>
      <c r="AB1412" s="82"/>
      <c r="AC1412" s="82"/>
      <c r="AD1412" s="82"/>
      <c r="AE1412" s="82"/>
      <c r="AF1412" s="82"/>
      <c r="AG1412" s="82"/>
      <c r="AH1412" s="82"/>
      <c r="AI1412" s="82"/>
      <c r="AJ1412" s="82"/>
      <c r="AK1412" s="82"/>
      <c r="AL1412" s="82"/>
      <c r="AM1412" s="82"/>
      <c r="AN1412" s="82">
        <f>IFERROR(__xludf.DUMMYFUNCTION("""COMPUTED_VALUE"""),0.0)</f>
        <v>0</v>
      </c>
      <c r="AO1412" s="82">
        <f>IFERROR(__xludf.DUMMYFUNCTION("""COMPUTED_VALUE"""),0.0)</f>
        <v>0</v>
      </c>
      <c r="AP1412" s="82">
        <f>IFERROR(__xludf.DUMMYFUNCTION("""COMPUTED_VALUE"""),0.0)</f>
        <v>0</v>
      </c>
      <c r="AQ1412" s="82">
        <f>IFERROR(__xludf.DUMMYFUNCTION("""COMPUTED_VALUE"""),0.0)</f>
        <v>0</v>
      </c>
      <c r="AR1412" s="82">
        <f>IFERROR(__xludf.DUMMYFUNCTION("""COMPUTED_VALUE"""),0.0)</f>
        <v>0</v>
      </c>
      <c r="AS1412" s="82"/>
      <c r="AT1412" s="82">
        <f>IFERROR(__xludf.DUMMYFUNCTION("""COMPUTED_VALUE"""),0.0)</f>
        <v>0</v>
      </c>
      <c r="AU1412" s="82"/>
      <c r="AV1412" s="82"/>
      <c r="AW1412" s="82" t="str">
        <f t="shared" si="1"/>
        <v/>
      </c>
      <c r="AX1412" s="83" t="str">
        <f t="array" ref="AX1412">IFERROR(DGET('SBV Import'!A:G,"SBV",{"RSC ID","Tier";B1412,A1412}))</f>
        <v/>
      </c>
      <c r="AY1412" s="82" t="str">
        <f t="shared" si="2"/>
        <v/>
      </c>
      <c r="AZ1412" s="82"/>
      <c r="BA1412" s="84" t="s">
        <v>152</v>
      </c>
      <c r="BB1412" s="84" t="str">
        <f>IFERROR(__xludf.DUMMYFUNCTION("iferror(if(A1412="""",,E1412&gt;=FILTER(Constants!$F$2:$F$10,Constants!$A$2:$A$10=A1412)))"),"")</f>
        <v/>
      </c>
    </row>
    <row r="1413">
      <c r="A1413" s="89"/>
      <c r="B1413" s="87"/>
      <c r="C1413" s="73"/>
      <c r="D1413" s="73"/>
      <c r="E1413" s="82"/>
      <c r="F1413" s="82"/>
      <c r="G1413" s="86"/>
      <c r="H1413" s="86"/>
      <c r="I1413" s="86"/>
      <c r="J1413" s="82"/>
      <c r="K1413" s="82"/>
      <c r="L1413" s="82"/>
      <c r="M1413" s="82"/>
      <c r="N1413" s="82"/>
      <c r="O1413" s="82"/>
      <c r="P1413" s="82"/>
      <c r="Q1413" s="82"/>
      <c r="R1413" s="82"/>
      <c r="S1413" s="82"/>
      <c r="T1413" s="82"/>
      <c r="U1413" s="82"/>
      <c r="V1413" s="82"/>
      <c r="W1413" s="82"/>
      <c r="X1413" s="82"/>
      <c r="Y1413" s="82"/>
      <c r="Z1413" s="82"/>
      <c r="AA1413" s="82"/>
      <c r="AB1413" s="82"/>
      <c r="AC1413" s="82"/>
      <c r="AD1413" s="82"/>
      <c r="AE1413" s="82"/>
      <c r="AF1413" s="82"/>
      <c r="AG1413" s="82"/>
      <c r="AH1413" s="82"/>
      <c r="AI1413" s="82"/>
      <c r="AJ1413" s="82"/>
      <c r="AK1413" s="82"/>
      <c r="AL1413" s="82"/>
      <c r="AM1413" s="82"/>
      <c r="AN1413" s="82">
        <f>IFERROR(__xludf.DUMMYFUNCTION("""COMPUTED_VALUE"""),0.0)</f>
        <v>0</v>
      </c>
      <c r="AO1413" s="82">
        <f>IFERROR(__xludf.DUMMYFUNCTION("""COMPUTED_VALUE"""),0.0)</f>
        <v>0</v>
      </c>
      <c r="AP1413" s="82">
        <f>IFERROR(__xludf.DUMMYFUNCTION("""COMPUTED_VALUE"""),0.0)</f>
        <v>0</v>
      </c>
      <c r="AQ1413" s="82">
        <f>IFERROR(__xludf.DUMMYFUNCTION("""COMPUTED_VALUE"""),0.0)</f>
        <v>0</v>
      </c>
      <c r="AR1413" s="82">
        <f>IFERROR(__xludf.DUMMYFUNCTION("""COMPUTED_VALUE"""),0.0)</f>
        <v>0</v>
      </c>
      <c r="AS1413" s="82"/>
      <c r="AT1413" s="82">
        <f>IFERROR(__xludf.DUMMYFUNCTION("""COMPUTED_VALUE"""),0.0)</f>
        <v>0</v>
      </c>
      <c r="AU1413" s="82"/>
      <c r="AV1413" s="82"/>
      <c r="AW1413" s="82" t="str">
        <f t="shared" si="1"/>
        <v/>
      </c>
      <c r="AX1413" s="83" t="str">
        <f t="array" ref="AX1413">IFERROR(DGET('SBV Import'!A:G,"SBV",{"RSC ID","Tier";B1413,A1413}))</f>
        <v/>
      </c>
      <c r="AY1413" s="82" t="str">
        <f t="shared" si="2"/>
        <v/>
      </c>
      <c r="AZ1413" s="82"/>
      <c r="BA1413" s="84" t="s">
        <v>152</v>
      </c>
      <c r="BB1413" s="84" t="str">
        <f>IFERROR(__xludf.DUMMYFUNCTION("iferror(if(A1413="""",,E1413&gt;=FILTER(Constants!$F$2:$F$10,Constants!$A$2:$A$10=A1413)))"),"")</f>
        <v/>
      </c>
    </row>
    <row r="1414">
      <c r="A1414" s="89"/>
      <c r="B1414" s="87"/>
      <c r="C1414" s="73"/>
      <c r="D1414" s="73"/>
      <c r="E1414" s="82"/>
      <c r="F1414" s="82"/>
      <c r="G1414" s="86"/>
      <c r="H1414" s="86"/>
      <c r="I1414" s="86"/>
      <c r="J1414" s="82"/>
      <c r="K1414" s="82"/>
      <c r="L1414" s="82"/>
      <c r="M1414" s="82"/>
      <c r="N1414" s="82"/>
      <c r="O1414" s="82"/>
      <c r="P1414" s="82"/>
      <c r="Q1414" s="82"/>
      <c r="R1414" s="82"/>
      <c r="S1414" s="82"/>
      <c r="T1414" s="82"/>
      <c r="U1414" s="82"/>
      <c r="V1414" s="82"/>
      <c r="W1414" s="82"/>
      <c r="X1414" s="82"/>
      <c r="Y1414" s="82"/>
      <c r="Z1414" s="82"/>
      <c r="AA1414" s="82"/>
      <c r="AB1414" s="82"/>
      <c r="AC1414" s="82"/>
      <c r="AD1414" s="82"/>
      <c r="AE1414" s="82"/>
      <c r="AF1414" s="82"/>
      <c r="AG1414" s="82"/>
      <c r="AH1414" s="82"/>
      <c r="AI1414" s="82"/>
      <c r="AJ1414" s="82"/>
      <c r="AK1414" s="82"/>
      <c r="AL1414" s="82"/>
      <c r="AM1414" s="82"/>
      <c r="AN1414" s="82">
        <f>IFERROR(__xludf.DUMMYFUNCTION("""COMPUTED_VALUE"""),0.0)</f>
        <v>0</v>
      </c>
      <c r="AO1414" s="82">
        <f>IFERROR(__xludf.DUMMYFUNCTION("""COMPUTED_VALUE"""),0.0)</f>
        <v>0</v>
      </c>
      <c r="AP1414" s="82">
        <f>IFERROR(__xludf.DUMMYFUNCTION("""COMPUTED_VALUE"""),0.0)</f>
        <v>0</v>
      </c>
      <c r="AQ1414" s="82">
        <f>IFERROR(__xludf.DUMMYFUNCTION("""COMPUTED_VALUE"""),0.0)</f>
        <v>0</v>
      </c>
      <c r="AR1414" s="82">
        <f>IFERROR(__xludf.DUMMYFUNCTION("""COMPUTED_VALUE"""),0.0)</f>
        <v>0</v>
      </c>
      <c r="AS1414" s="82"/>
      <c r="AT1414" s="82">
        <f>IFERROR(__xludf.DUMMYFUNCTION("""COMPUTED_VALUE"""),0.0)</f>
        <v>0</v>
      </c>
      <c r="AU1414" s="82"/>
      <c r="AV1414" s="82"/>
      <c r="AW1414" s="82" t="str">
        <f t="shared" si="1"/>
        <v/>
      </c>
      <c r="AX1414" s="83" t="str">
        <f t="array" ref="AX1414">IFERROR(DGET('SBV Import'!A:G,"SBV",{"RSC ID","Tier";B1414,A1414}))</f>
        <v/>
      </c>
      <c r="AY1414" s="82" t="str">
        <f t="shared" si="2"/>
        <v/>
      </c>
      <c r="AZ1414" s="82"/>
      <c r="BA1414" s="84" t="s">
        <v>152</v>
      </c>
      <c r="BB1414" s="84" t="str">
        <f>IFERROR(__xludf.DUMMYFUNCTION("iferror(if(A1414="""",,E1414&gt;=FILTER(Constants!$F$2:$F$10,Constants!$A$2:$A$10=A1414)))"),"")</f>
        <v/>
      </c>
    </row>
    <row r="1415">
      <c r="A1415" s="89"/>
      <c r="B1415" s="87"/>
      <c r="C1415" s="73"/>
      <c r="D1415" s="73"/>
      <c r="E1415" s="82"/>
      <c r="F1415" s="82"/>
      <c r="G1415" s="86"/>
      <c r="H1415" s="86"/>
      <c r="I1415" s="86"/>
      <c r="J1415" s="82"/>
      <c r="K1415" s="82"/>
      <c r="L1415" s="82"/>
      <c r="M1415" s="82"/>
      <c r="N1415" s="82"/>
      <c r="O1415" s="82"/>
      <c r="P1415" s="82"/>
      <c r="Q1415" s="82"/>
      <c r="R1415" s="82"/>
      <c r="S1415" s="82"/>
      <c r="T1415" s="82"/>
      <c r="U1415" s="82"/>
      <c r="V1415" s="82"/>
      <c r="W1415" s="82"/>
      <c r="X1415" s="82"/>
      <c r="Y1415" s="82"/>
      <c r="Z1415" s="82"/>
      <c r="AA1415" s="82"/>
      <c r="AB1415" s="82"/>
      <c r="AC1415" s="82"/>
      <c r="AD1415" s="82"/>
      <c r="AE1415" s="82"/>
      <c r="AF1415" s="82"/>
      <c r="AG1415" s="82"/>
      <c r="AH1415" s="82"/>
      <c r="AI1415" s="82"/>
      <c r="AJ1415" s="82"/>
      <c r="AK1415" s="82"/>
      <c r="AL1415" s="82"/>
      <c r="AM1415" s="82"/>
      <c r="AN1415" s="82">
        <f>IFERROR(__xludf.DUMMYFUNCTION("""COMPUTED_VALUE"""),0.0)</f>
        <v>0</v>
      </c>
      <c r="AO1415" s="82">
        <f>IFERROR(__xludf.DUMMYFUNCTION("""COMPUTED_VALUE"""),0.0)</f>
        <v>0</v>
      </c>
      <c r="AP1415" s="82">
        <f>IFERROR(__xludf.DUMMYFUNCTION("""COMPUTED_VALUE"""),0.0)</f>
        <v>0</v>
      </c>
      <c r="AQ1415" s="82">
        <f>IFERROR(__xludf.DUMMYFUNCTION("""COMPUTED_VALUE"""),0.0)</f>
        <v>0</v>
      </c>
      <c r="AR1415" s="82">
        <f>IFERROR(__xludf.DUMMYFUNCTION("""COMPUTED_VALUE"""),0.0)</f>
        <v>0</v>
      </c>
      <c r="AS1415" s="82"/>
      <c r="AT1415" s="82">
        <f>IFERROR(__xludf.DUMMYFUNCTION("""COMPUTED_VALUE"""),0.0)</f>
        <v>0</v>
      </c>
      <c r="AU1415" s="82"/>
      <c r="AV1415" s="82"/>
      <c r="AW1415" s="82" t="str">
        <f t="shared" si="1"/>
        <v/>
      </c>
      <c r="AX1415" s="83" t="str">
        <f t="array" ref="AX1415">IFERROR(DGET('SBV Import'!A:G,"SBV",{"RSC ID","Tier";B1415,A1415}))</f>
        <v/>
      </c>
      <c r="AY1415" s="82" t="str">
        <f t="shared" si="2"/>
        <v/>
      </c>
      <c r="AZ1415" s="82"/>
      <c r="BA1415" s="84" t="s">
        <v>152</v>
      </c>
      <c r="BB1415" s="84" t="str">
        <f>IFERROR(__xludf.DUMMYFUNCTION("iferror(if(A1415="""",,E1415&gt;=FILTER(Constants!$F$2:$F$10,Constants!$A$2:$A$10=A1415)))"),"")</f>
        <v/>
      </c>
    </row>
    <row r="1416">
      <c r="A1416" s="89"/>
      <c r="B1416" s="87"/>
      <c r="C1416" s="73"/>
      <c r="D1416" s="73"/>
      <c r="E1416" s="82"/>
      <c r="F1416" s="82"/>
      <c r="G1416" s="86"/>
      <c r="H1416" s="86"/>
      <c r="I1416" s="86"/>
      <c r="J1416" s="82"/>
      <c r="K1416" s="82"/>
      <c r="L1416" s="82"/>
      <c r="M1416" s="82"/>
      <c r="N1416" s="82"/>
      <c r="O1416" s="82"/>
      <c r="P1416" s="82"/>
      <c r="Q1416" s="82"/>
      <c r="R1416" s="82"/>
      <c r="S1416" s="82"/>
      <c r="T1416" s="82"/>
      <c r="U1416" s="82"/>
      <c r="V1416" s="82"/>
      <c r="W1416" s="82"/>
      <c r="X1416" s="82"/>
      <c r="Y1416" s="82"/>
      <c r="Z1416" s="82"/>
      <c r="AA1416" s="82"/>
      <c r="AB1416" s="82"/>
      <c r="AC1416" s="82"/>
      <c r="AD1416" s="82"/>
      <c r="AE1416" s="82"/>
      <c r="AF1416" s="82"/>
      <c r="AG1416" s="82"/>
      <c r="AH1416" s="82"/>
      <c r="AI1416" s="82"/>
      <c r="AJ1416" s="82"/>
      <c r="AK1416" s="82"/>
      <c r="AL1416" s="82"/>
      <c r="AM1416" s="82"/>
      <c r="AN1416" s="82">
        <f>IFERROR(__xludf.DUMMYFUNCTION("""COMPUTED_VALUE"""),0.0)</f>
        <v>0</v>
      </c>
      <c r="AO1416" s="82">
        <f>IFERROR(__xludf.DUMMYFUNCTION("""COMPUTED_VALUE"""),0.0)</f>
        <v>0</v>
      </c>
      <c r="AP1416" s="82">
        <f>IFERROR(__xludf.DUMMYFUNCTION("""COMPUTED_VALUE"""),0.0)</f>
        <v>0</v>
      </c>
      <c r="AQ1416" s="82">
        <f>IFERROR(__xludf.DUMMYFUNCTION("""COMPUTED_VALUE"""),0.0)</f>
        <v>0</v>
      </c>
      <c r="AR1416" s="82">
        <f>IFERROR(__xludf.DUMMYFUNCTION("""COMPUTED_VALUE"""),0.0)</f>
        <v>0</v>
      </c>
      <c r="AS1416" s="82"/>
      <c r="AT1416" s="82">
        <f>IFERROR(__xludf.DUMMYFUNCTION("""COMPUTED_VALUE"""),0.0)</f>
        <v>0</v>
      </c>
      <c r="AU1416" s="82"/>
      <c r="AV1416" s="82"/>
      <c r="AW1416" s="82" t="str">
        <f t="shared" si="1"/>
        <v/>
      </c>
      <c r="AX1416" s="83" t="str">
        <f t="array" ref="AX1416">IFERROR(DGET('SBV Import'!A:G,"SBV",{"RSC ID","Tier";B1416,A1416}))</f>
        <v/>
      </c>
      <c r="AY1416" s="82" t="str">
        <f t="shared" si="2"/>
        <v/>
      </c>
      <c r="AZ1416" s="82"/>
      <c r="BA1416" s="84" t="s">
        <v>152</v>
      </c>
      <c r="BB1416" s="84" t="str">
        <f>IFERROR(__xludf.DUMMYFUNCTION("iferror(if(A1416="""",,E1416&gt;=FILTER(Constants!$F$2:$F$10,Constants!$A$2:$A$10=A1416)))"),"")</f>
        <v/>
      </c>
    </row>
    <row r="1417">
      <c r="A1417" s="89"/>
      <c r="B1417" s="87"/>
      <c r="C1417" s="73"/>
      <c r="D1417" s="73"/>
      <c r="E1417" s="82"/>
      <c r="F1417" s="82"/>
      <c r="G1417" s="86"/>
      <c r="H1417" s="86"/>
      <c r="I1417" s="86"/>
      <c r="J1417" s="82"/>
      <c r="K1417" s="82"/>
      <c r="L1417" s="82"/>
      <c r="M1417" s="82"/>
      <c r="N1417" s="82"/>
      <c r="O1417" s="82"/>
      <c r="P1417" s="82"/>
      <c r="Q1417" s="82"/>
      <c r="R1417" s="82"/>
      <c r="S1417" s="82"/>
      <c r="T1417" s="82"/>
      <c r="U1417" s="82"/>
      <c r="V1417" s="82"/>
      <c r="W1417" s="82"/>
      <c r="X1417" s="82"/>
      <c r="Y1417" s="82"/>
      <c r="Z1417" s="82"/>
      <c r="AA1417" s="82"/>
      <c r="AB1417" s="82"/>
      <c r="AC1417" s="82"/>
      <c r="AD1417" s="82"/>
      <c r="AE1417" s="82"/>
      <c r="AF1417" s="82"/>
      <c r="AG1417" s="82"/>
      <c r="AH1417" s="82"/>
      <c r="AI1417" s="82"/>
      <c r="AJ1417" s="82"/>
      <c r="AK1417" s="82"/>
      <c r="AL1417" s="82"/>
      <c r="AM1417" s="82"/>
      <c r="AN1417" s="82">
        <f>IFERROR(__xludf.DUMMYFUNCTION("""COMPUTED_VALUE"""),0.0)</f>
        <v>0</v>
      </c>
      <c r="AO1417" s="82">
        <f>IFERROR(__xludf.DUMMYFUNCTION("""COMPUTED_VALUE"""),0.0)</f>
        <v>0</v>
      </c>
      <c r="AP1417" s="82">
        <f>IFERROR(__xludf.DUMMYFUNCTION("""COMPUTED_VALUE"""),0.0)</f>
        <v>0</v>
      </c>
      <c r="AQ1417" s="82">
        <f>IFERROR(__xludf.DUMMYFUNCTION("""COMPUTED_VALUE"""),0.0)</f>
        <v>0</v>
      </c>
      <c r="AR1417" s="82">
        <f>IFERROR(__xludf.DUMMYFUNCTION("""COMPUTED_VALUE"""),0.0)</f>
        <v>0</v>
      </c>
      <c r="AS1417" s="82"/>
      <c r="AT1417" s="82">
        <f>IFERROR(__xludf.DUMMYFUNCTION("""COMPUTED_VALUE"""),0.0)</f>
        <v>0</v>
      </c>
      <c r="AU1417" s="82"/>
      <c r="AV1417" s="82"/>
      <c r="AW1417" s="82" t="str">
        <f t="shared" si="1"/>
        <v/>
      </c>
      <c r="AX1417" s="83" t="str">
        <f t="array" ref="AX1417">IFERROR(DGET('SBV Import'!A:G,"SBV",{"RSC ID","Tier";B1417,A1417}))</f>
        <v/>
      </c>
      <c r="AY1417" s="82" t="str">
        <f t="shared" si="2"/>
        <v/>
      </c>
      <c r="AZ1417" s="82"/>
      <c r="BA1417" s="84" t="s">
        <v>152</v>
      </c>
      <c r="BB1417" s="84" t="str">
        <f>IFERROR(__xludf.DUMMYFUNCTION("iferror(if(A1417="""",,E1417&gt;=FILTER(Constants!$F$2:$F$10,Constants!$A$2:$A$10=A1417)))"),"")</f>
        <v/>
      </c>
    </row>
    <row r="1418">
      <c r="A1418" s="89"/>
      <c r="B1418" s="87"/>
      <c r="C1418" s="73"/>
      <c r="D1418" s="73"/>
      <c r="E1418" s="82"/>
      <c r="F1418" s="82"/>
      <c r="G1418" s="86"/>
      <c r="H1418" s="86"/>
      <c r="I1418" s="86"/>
      <c r="J1418" s="82"/>
      <c r="K1418" s="82"/>
      <c r="L1418" s="82"/>
      <c r="M1418" s="82"/>
      <c r="N1418" s="82"/>
      <c r="O1418" s="82"/>
      <c r="P1418" s="82"/>
      <c r="Q1418" s="82"/>
      <c r="R1418" s="82"/>
      <c r="S1418" s="82"/>
      <c r="T1418" s="82"/>
      <c r="U1418" s="82"/>
      <c r="V1418" s="82"/>
      <c r="W1418" s="82"/>
      <c r="X1418" s="82"/>
      <c r="Y1418" s="82"/>
      <c r="Z1418" s="82"/>
      <c r="AA1418" s="82"/>
      <c r="AB1418" s="82"/>
      <c r="AC1418" s="82"/>
      <c r="AD1418" s="82"/>
      <c r="AE1418" s="82"/>
      <c r="AF1418" s="82"/>
      <c r="AG1418" s="82"/>
      <c r="AH1418" s="82"/>
      <c r="AI1418" s="82"/>
      <c r="AJ1418" s="82"/>
      <c r="AK1418" s="82"/>
      <c r="AL1418" s="82"/>
      <c r="AM1418" s="82"/>
      <c r="AN1418" s="82">
        <f>IFERROR(__xludf.DUMMYFUNCTION("""COMPUTED_VALUE"""),0.0)</f>
        <v>0</v>
      </c>
      <c r="AO1418" s="82">
        <f>IFERROR(__xludf.DUMMYFUNCTION("""COMPUTED_VALUE"""),0.0)</f>
        <v>0</v>
      </c>
      <c r="AP1418" s="82">
        <f>IFERROR(__xludf.DUMMYFUNCTION("""COMPUTED_VALUE"""),0.0)</f>
        <v>0</v>
      </c>
      <c r="AQ1418" s="82">
        <f>IFERROR(__xludf.DUMMYFUNCTION("""COMPUTED_VALUE"""),0.0)</f>
        <v>0</v>
      </c>
      <c r="AR1418" s="82">
        <f>IFERROR(__xludf.DUMMYFUNCTION("""COMPUTED_VALUE"""),0.0)</f>
        <v>0</v>
      </c>
      <c r="AS1418" s="82"/>
      <c r="AT1418" s="82">
        <f>IFERROR(__xludf.DUMMYFUNCTION("""COMPUTED_VALUE"""),0.0)</f>
        <v>0</v>
      </c>
      <c r="AU1418" s="82"/>
      <c r="AV1418" s="82"/>
      <c r="AW1418" s="82" t="str">
        <f t="shared" si="1"/>
        <v/>
      </c>
      <c r="AX1418" s="83" t="str">
        <f t="array" ref="AX1418">IFERROR(DGET('SBV Import'!A:G,"SBV",{"RSC ID","Tier";B1418,A1418}))</f>
        <v/>
      </c>
      <c r="AY1418" s="82" t="str">
        <f t="shared" si="2"/>
        <v/>
      </c>
      <c r="AZ1418" s="82"/>
      <c r="BA1418" s="84" t="s">
        <v>152</v>
      </c>
      <c r="BB1418" s="84" t="str">
        <f>IFERROR(__xludf.DUMMYFUNCTION("iferror(if(A1418="""",,E1418&gt;=FILTER(Constants!$F$2:$F$10,Constants!$A$2:$A$10=A1418)))"),"")</f>
        <v/>
      </c>
    </row>
    <row r="1419">
      <c r="A1419" s="89"/>
      <c r="B1419" s="87"/>
      <c r="C1419" s="73"/>
      <c r="D1419" s="73"/>
      <c r="E1419" s="82"/>
      <c r="F1419" s="82"/>
      <c r="G1419" s="86"/>
      <c r="H1419" s="86"/>
      <c r="I1419" s="86"/>
      <c r="J1419" s="82"/>
      <c r="K1419" s="82"/>
      <c r="L1419" s="82"/>
      <c r="M1419" s="82"/>
      <c r="N1419" s="82"/>
      <c r="O1419" s="82"/>
      <c r="P1419" s="82"/>
      <c r="Q1419" s="82"/>
      <c r="R1419" s="82"/>
      <c r="S1419" s="82"/>
      <c r="T1419" s="82"/>
      <c r="U1419" s="82"/>
      <c r="V1419" s="82"/>
      <c r="W1419" s="82"/>
      <c r="X1419" s="82"/>
      <c r="Y1419" s="82"/>
      <c r="Z1419" s="82"/>
      <c r="AA1419" s="82"/>
      <c r="AB1419" s="82"/>
      <c r="AC1419" s="82"/>
      <c r="AD1419" s="82"/>
      <c r="AE1419" s="82"/>
      <c r="AF1419" s="82"/>
      <c r="AG1419" s="82"/>
      <c r="AH1419" s="82"/>
      <c r="AI1419" s="82"/>
      <c r="AJ1419" s="82"/>
      <c r="AK1419" s="82"/>
      <c r="AL1419" s="82"/>
      <c r="AM1419" s="82"/>
      <c r="AN1419" s="82">
        <f>IFERROR(__xludf.DUMMYFUNCTION("""COMPUTED_VALUE"""),0.0)</f>
        <v>0</v>
      </c>
      <c r="AO1419" s="82">
        <f>IFERROR(__xludf.DUMMYFUNCTION("""COMPUTED_VALUE"""),0.0)</f>
        <v>0</v>
      </c>
      <c r="AP1419" s="82">
        <f>IFERROR(__xludf.DUMMYFUNCTION("""COMPUTED_VALUE"""),0.0)</f>
        <v>0</v>
      </c>
      <c r="AQ1419" s="82">
        <f>IFERROR(__xludf.DUMMYFUNCTION("""COMPUTED_VALUE"""),0.0)</f>
        <v>0</v>
      </c>
      <c r="AR1419" s="82">
        <f>IFERROR(__xludf.DUMMYFUNCTION("""COMPUTED_VALUE"""),0.0)</f>
        <v>0</v>
      </c>
      <c r="AS1419" s="82"/>
      <c r="AT1419" s="82">
        <f>IFERROR(__xludf.DUMMYFUNCTION("""COMPUTED_VALUE"""),0.0)</f>
        <v>0</v>
      </c>
      <c r="AU1419" s="82"/>
      <c r="AV1419" s="82"/>
      <c r="AW1419" s="82" t="str">
        <f t="shared" si="1"/>
        <v/>
      </c>
      <c r="AX1419" s="83" t="str">
        <f t="array" ref="AX1419">IFERROR(DGET('SBV Import'!A:G,"SBV",{"RSC ID","Tier";B1419,A1419}))</f>
        <v/>
      </c>
      <c r="AY1419" s="82" t="str">
        <f t="shared" si="2"/>
        <v/>
      </c>
      <c r="AZ1419" s="82"/>
      <c r="BA1419" s="84" t="s">
        <v>152</v>
      </c>
      <c r="BB1419" s="84" t="str">
        <f>IFERROR(__xludf.DUMMYFUNCTION("iferror(if(A1419="""",,E1419&gt;=FILTER(Constants!$F$2:$F$10,Constants!$A$2:$A$10=A1419)))"),"")</f>
        <v/>
      </c>
    </row>
    <row r="1420">
      <c r="A1420" s="89"/>
      <c r="B1420" s="87"/>
      <c r="C1420" s="73"/>
      <c r="D1420" s="73"/>
      <c r="E1420" s="82"/>
      <c r="F1420" s="82"/>
      <c r="G1420" s="86"/>
      <c r="H1420" s="86"/>
      <c r="I1420" s="86"/>
      <c r="J1420" s="82"/>
      <c r="K1420" s="82"/>
      <c r="L1420" s="82"/>
      <c r="M1420" s="82"/>
      <c r="N1420" s="82"/>
      <c r="O1420" s="82"/>
      <c r="P1420" s="82"/>
      <c r="Q1420" s="82"/>
      <c r="R1420" s="82"/>
      <c r="S1420" s="82"/>
      <c r="T1420" s="82"/>
      <c r="U1420" s="82"/>
      <c r="V1420" s="82"/>
      <c r="W1420" s="82"/>
      <c r="X1420" s="82"/>
      <c r="Y1420" s="82"/>
      <c r="Z1420" s="82"/>
      <c r="AA1420" s="82"/>
      <c r="AB1420" s="82"/>
      <c r="AC1420" s="82"/>
      <c r="AD1420" s="82"/>
      <c r="AE1420" s="82"/>
      <c r="AF1420" s="82"/>
      <c r="AG1420" s="82"/>
      <c r="AH1420" s="82"/>
      <c r="AI1420" s="82"/>
      <c r="AJ1420" s="82"/>
      <c r="AK1420" s="82"/>
      <c r="AL1420" s="82"/>
      <c r="AM1420" s="82"/>
      <c r="AN1420" s="82">
        <f>IFERROR(__xludf.DUMMYFUNCTION("""COMPUTED_VALUE"""),0.0)</f>
        <v>0</v>
      </c>
      <c r="AO1420" s="82">
        <f>IFERROR(__xludf.DUMMYFUNCTION("""COMPUTED_VALUE"""),0.0)</f>
        <v>0</v>
      </c>
      <c r="AP1420" s="82">
        <f>IFERROR(__xludf.DUMMYFUNCTION("""COMPUTED_VALUE"""),0.0)</f>
        <v>0</v>
      </c>
      <c r="AQ1420" s="82">
        <f>IFERROR(__xludf.DUMMYFUNCTION("""COMPUTED_VALUE"""),0.0)</f>
        <v>0</v>
      </c>
      <c r="AR1420" s="82">
        <f>IFERROR(__xludf.DUMMYFUNCTION("""COMPUTED_VALUE"""),0.0)</f>
        <v>0</v>
      </c>
      <c r="AS1420" s="82"/>
      <c r="AT1420" s="82">
        <f>IFERROR(__xludf.DUMMYFUNCTION("""COMPUTED_VALUE"""),0.0)</f>
        <v>0</v>
      </c>
      <c r="AU1420" s="82"/>
      <c r="AV1420" s="82"/>
      <c r="AW1420" s="82" t="str">
        <f t="shared" si="1"/>
        <v/>
      </c>
      <c r="AX1420" s="83" t="str">
        <f t="array" ref="AX1420">IFERROR(DGET('SBV Import'!A:G,"SBV",{"RSC ID","Tier";B1420,A1420}))</f>
        <v/>
      </c>
      <c r="AY1420" s="82" t="str">
        <f t="shared" si="2"/>
        <v/>
      </c>
      <c r="AZ1420" s="82"/>
      <c r="BA1420" s="84" t="s">
        <v>152</v>
      </c>
      <c r="BB1420" s="84" t="str">
        <f>IFERROR(__xludf.DUMMYFUNCTION("iferror(if(A1420="""",,E1420&gt;=FILTER(Constants!$F$2:$F$10,Constants!$A$2:$A$10=A1420)))"),"")</f>
        <v/>
      </c>
    </row>
    <row r="1421">
      <c r="A1421" s="89"/>
      <c r="B1421" s="87"/>
      <c r="C1421" s="73"/>
      <c r="D1421" s="73"/>
      <c r="E1421" s="82"/>
      <c r="F1421" s="82"/>
      <c r="G1421" s="86"/>
      <c r="H1421" s="86"/>
      <c r="I1421" s="86"/>
      <c r="J1421" s="82"/>
      <c r="K1421" s="82"/>
      <c r="L1421" s="82"/>
      <c r="M1421" s="82"/>
      <c r="N1421" s="82"/>
      <c r="O1421" s="82"/>
      <c r="P1421" s="82"/>
      <c r="Q1421" s="82"/>
      <c r="R1421" s="82"/>
      <c r="S1421" s="82"/>
      <c r="T1421" s="82"/>
      <c r="U1421" s="82"/>
      <c r="V1421" s="82"/>
      <c r="W1421" s="82"/>
      <c r="X1421" s="82"/>
      <c r="Y1421" s="82"/>
      <c r="Z1421" s="82"/>
      <c r="AA1421" s="82"/>
      <c r="AB1421" s="82"/>
      <c r="AC1421" s="82"/>
      <c r="AD1421" s="82"/>
      <c r="AE1421" s="82"/>
      <c r="AF1421" s="82"/>
      <c r="AG1421" s="82"/>
      <c r="AH1421" s="82"/>
      <c r="AI1421" s="82"/>
      <c r="AJ1421" s="82"/>
      <c r="AK1421" s="82"/>
      <c r="AL1421" s="82"/>
      <c r="AM1421" s="82"/>
      <c r="AN1421" s="82">
        <f>IFERROR(__xludf.DUMMYFUNCTION("""COMPUTED_VALUE"""),0.0)</f>
        <v>0</v>
      </c>
      <c r="AO1421" s="82">
        <f>IFERROR(__xludf.DUMMYFUNCTION("""COMPUTED_VALUE"""),0.0)</f>
        <v>0</v>
      </c>
      <c r="AP1421" s="82">
        <f>IFERROR(__xludf.DUMMYFUNCTION("""COMPUTED_VALUE"""),0.0)</f>
        <v>0</v>
      </c>
      <c r="AQ1421" s="82">
        <f>IFERROR(__xludf.DUMMYFUNCTION("""COMPUTED_VALUE"""),0.0)</f>
        <v>0</v>
      </c>
      <c r="AR1421" s="82">
        <f>IFERROR(__xludf.DUMMYFUNCTION("""COMPUTED_VALUE"""),0.0)</f>
        <v>0</v>
      </c>
      <c r="AS1421" s="82"/>
      <c r="AT1421" s="82">
        <f>IFERROR(__xludf.DUMMYFUNCTION("""COMPUTED_VALUE"""),0.0)</f>
        <v>0</v>
      </c>
      <c r="AU1421" s="82"/>
      <c r="AV1421" s="82"/>
      <c r="AW1421" s="82" t="str">
        <f t="shared" si="1"/>
        <v/>
      </c>
      <c r="AX1421" s="83" t="str">
        <f t="array" ref="AX1421">IFERROR(DGET('SBV Import'!A:G,"SBV",{"RSC ID","Tier";B1421,A1421}))</f>
        <v/>
      </c>
      <c r="AY1421" s="82" t="str">
        <f t="shared" si="2"/>
        <v/>
      </c>
      <c r="AZ1421" s="82"/>
      <c r="BA1421" s="84" t="s">
        <v>152</v>
      </c>
      <c r="BB1421" s="84" t="str">
        <f>IFERROR(__xludf.DUMMYFUNCTION("iferror(if(A1421="""",,E1421&gt;=FILTER(Constants!$F$2:$F$10,Constants!$A$2:$A$10=A1421)))"),"")</f>
        <v/>
      </c>
    </row>
    <row r="1422">
      <c r="A1422" s="89"/>
      <c r="B1422" s="87"/>
      <c r="C1422" s="73"/>
      <c r="D1422" s="73"/>
      <c r="E1422" s="82"/>
      <c r="F1422" s="82"/>
      <c r="G1422" s="86"/>
      <c r="H1422" s="86"/>
      <c r="I1422" s="86"/>
      <c r="J1422" s="82"/>
      <c r="K1422" s="82"/>
      <c r="L1422" s="82"/>
      <c r="M1422" s="82"/>
      <c r="N1422" s="82"/>
      <c r="O1422" s="82"/>
      <c r="P1422" s="82"/>
      <c r="Q1422" s="82"/>
      <c r="R1422" s="82"/>
      <c r="S1422" s="82"/>
      <c r="T1422" s="82"/>
      <c r="U1422" s="82"/>
      <c r="V1422" s="82"/>
      <c r="W1422" s="82"/>
      <c r="X1422" s="82"/>
      <c r="Y1422" s="82"/>
      <c r="Z1422" s="82"/>
      <c r="AA1422" s="82"/>
      <c r="AB1422" s="82"/>
      <c r="AC1422" s="82"/>
      <c r="AD1422" s="82"/>
      <c r="AE1422" s="82"/>
      <c r="AF1422" s="82"/>
      <c r="AG1422" s="82"/>
      <c r="AH1422" s="82"/>
      <c r="AI1422" s="82"/>
      <c r="AJ1422" s="82"/>
      <c r="AK1422" s="82"/>
      <c r="AL1422" s="82"/>
      <c r="AM1422" s="82"/>
      <c r="AN1422" s="82">
        <f>IFERROR(__xludf.DUMMYFUNCTION("""COMPUTED_VALUE"""),0.0)</f>
        <v>0</v>
      </c>
      <c r="AO1422" s="82">
        <f>IFERROR(__xludf.DUMMYFUNCTION("""COMPUTED_VALUE"""),0.0)</f>
        <v>0</v>
      </c>
      <c r="AP1422" s="82">
        <f>IFERROR(__xludf.DUMMYFUNCTION("""COMPUTED_VALUE"""),0.0)</f>
        <v>0</v>
      </c>
      <c r="AQ1422" s="82">
        <f>IFERROR(__xludf.DUMMYFUNCTION("""COMPUTED_VALUE"""),0.0)</f>
        <v>0</v>
      </c>
      <c r="AR1422" s="82">
        <f>IFERROR(__xludf.DUMMYFUNCTION("""COMPUTED_VALUE"""),0.0)</f>
        <v>0</v>
      </c>
      <c r="AS1422" s="82"/>
      <c r="AT1422" s="82">
        <f>IFERROR(__xludf.DUMMYFUNCTION("""COMPUTED_VALUE"""),0.0)</f>
        <v>0</v>
      </c>
      <c r="AU1422" s="82"/>
      <c r="AV1422" s="82"/>
      <c r="AW1422" s="82" t="str">
        <f t="shared" si="1"/>
        <v/>
      </c>
      <c r="AX1422" s="83" t="str">
        <f t="array" ref="AX1422">IFERROR(DGET('SBV Import'!A:G,"SBV",{"RSC ID","Tier";B1422,A1422}))</f>
        <v/>
      </c>
      <c r="AY1422" s="82" t="str">
        <f t="shared" si="2"/>
        <v/>
      </c>
      <c r="AZ1422" s="82"/>
      <c r="BA1422" s="84" t="s">
        <v>152</v>
      </c>
      <c r="BB1422" s="84" t="str">
        <f>IFERROR(__xludf.DUMMYFUNCTION("iferror(if(A1422="""",,E1422&gt;=FILTER(Constants!$F$2:$F$10,Constants!$A$2:$A$10=A1422)))"),"")</f>
        <v/>
      </c>
    </row>
    <row r="1423">
      <c r="A1423" s="89"/>
      <c r="B1423" s="87"/>
      <c r="C1423" s="73"/>
      <c r="D1423" s="73"/>
      <c r="E1423" s="82"/>
      <c r="F1423" s="82"/>
      <c r="G1423" s="86"/>
      <c r="H1423" s="86"/>
      <c r="I1423" s="86"/>
      <c r="J1423" s="82"/>
      <c r="K1423" s="82"/>
      <c r="L1423" s="82"/>
      <c r="M1423" s="82"/>
      <c r="N1423" s="82"/>
      <c r="O1423" s="82"/>
      <c r="P1423" s="82"/>
      <c r="Q1423" s="82"/>
      <c r="R1423" s="82"/>
      <c r="S1423" s="82"/>
      <c r="T1423" s="82"/>
      <c r="U1423" s="82"/>
      <c r="V1423" s="82"/>
      <c r="W1423" s="82"/>
      <c r="X1423" s="82"/>
      <c r="Y1423" s="82"/>
      <c r="Z1423" s="82"/>
      <c r="AA1423" s="82"/>
      <c r="AB1423" s="82"/>
      <c r="AC1423" s="82"/>
      <c r="AD1423" s="82"/>
      <c r="AE1423" s="82"/>
      <c r="AF1423" s="82"/>
      <c r="AG1423" s="82"/>
      <c r="AH1423" s="82"/>
      <c r="AI1423" s="82"/>
      <c r="AJ1423" s="82"/>
      <c r="AK1423" s="82"/>
      <c r="AL1423" s="82"/>
      <c r="AM1423" s="82"/>
      <c r="AN1423" s="82">
        <f>IFERROR(__xludf.DUMMYFUNCTION("""COMPUTED_VALUE"""),0.0)</f>
        <v>0</v>
      </c>
      <c r="AO1423" s="82">
        <f>IFERROR(__xludf.DUMMYFUNCTION("""COMPUTED_VALUE"""),0.0)</f>
        <v>0</v>
      </c>
      <c r="AP1423" s="82">
        <f>IFERROR(__xludf.DUMMYFUNCTION("""COMPUTED_VALUE"""),0.0)</f>
        <v>0</v>
      </c>
      <c r="AQ1423" s="82">
        <f>IFERROR(__xludf.DUMMYFUNCTION("""COMPUTED_VALUE"""),0.0)</f>
        <v>0</v>
      </c>
      <c r="AR1423" s="82">
        <f>IFERROR(__xludf.DUMMYFUNCTION("""COMPUTED_VALUE"""),0.0)</f>
        <v>0</v>
      </c>
      <c r="AS1423" s="82"/>
      <c r="AT1423" s="82">
        <f>IFERROR(__xludf.DUMMYFUNCTION("""COMPUTED_VALUE"""),0.0)</f>
        <v>0</v>
      </c>
      <c r="AU1423" s="82"/>
      <c r="AV1423" s="82"/>
      <c r="AW1423" s="82" t="str">
        <f t="shared" si="1"/>
        <v/>
      </c>
      <c r="AX1423" s="83" t="str">
        <f t="array" ref="AX1423">IFERROR(DGET('SBV Import'!A:G,"SBV",{"RSC ID","Tier";B1423,A1423}))</f>
        <v/>
      </c>
      <c r="AY1423" s="82" t="str">
        <f t="shared" si="2"/>
        <v/>
      </c>
      <c r="AZ1423" s="82"/>
      <c r="BA1423" s="84" t="s">
        <v>152</v>
      </c>
      <c r="BB1423" s="84" t="str">
        <f>IFERROR(__xludf.DUMMYFUNCTION("iferror(if(A1423="""",,E1423&gt;=FILTER(Constants!$F$2:$F$10,Constants!$A$2:$A$10=A1423)))"),"")</f>
        <v/>
      </c>
    </row>
    <row r="1424">
      <c r="A1424" s="89"/>
      <c r="B1424" s="87"/>
      <c r="C1424" s="73"/>
      <c r="D1424" s="73"/>
      <c r="E1424" s="82"/>
      <c r="F1424" s="82"/>
      <c r="G1424" s="86"/>
      <c r="H1424" s="86"/>
      <c r="I1424" s="86"/>
      <c r="J1424" s="82"/>
      <c r="K1424" s="82"/>
      <c r="L1424" s="82"/>
      <c r="M1424" s="82"/>
      <c r="N1424" s="82"/>
      <c r="O1424" s="82"/>
      <c r="P1424" s="82"/>
      <c r="Q1424" s="82"/>
      <c r="R1424" s="82"/>
      <c r="S1424" s="82"/>
      <c r="T1424" s="82"/>
      <c r="U1424" s="82"/>
      <c r="V1424" s="82"/>
      <c r="W1424" s="82"/>
      <c r="X1424" s="82"/>
      <c r="Y1424" s="82"/>
      <c r="Z1424" s="82"/>
      <c r="AA1424" s="82"/>
      <c r="AB1424" s="82"/>
      <c r="AC1424" s="82"/>
      <c r="AD1424" s="82"/>
      <c r="AE1424" s="82"/>
      <c r="AF1424" s="82"/>
      <c r="AG1424" s="82"/>
      <c r="AH1424" s="82"/>
      <c r="AI1424" s="82"/>
      <c r="AJ1424" s="82"/>
      <c r="AK1424" s="82"/>
      <c r="AL1424" s="82"/>
      <c r="AM1424" s="82"/>
      <c r="AN1424" s="82">
        <f>IFERROR(__xludf.DUMMYFUNCTION("""COMPUTED_VALUE"""),0.0)</f>
        <v>0</v>
      </c>
      <c r="AO1424" s="82">
        <f>IFERROR(__xludf.DUMMYFUNCTION("""COMPUTED_VALUE"""),0.0)</f>
        <v>0</v>
      </c>
      <c r="AP1424" s="82">
        <f>IFERROR(__xludf.DUMMYFUNCTION("""COMPUTED_VALUE"""),0.0)</f>
        <v>0</v>
      </c>
      <c r="AQ1424" s="82">
        <f>IFERROR(__xludf.DUMMYFUNCTION("""COMPUTED_VALUE"""),0.0)</f>
        <v>0</v>
      </c>
      <c r="AR1424" s="82">
        <f>IFERROR(__xludf.DUMMYFUNCTION("""COMPUTED_VALUE"""),0.0)</f>
        <v>0</v>
      </c>
      <c r="AS1424" s="82"/>
      <c r="AT1424" s="82">
        <f>IFERROR(__xludf.DUMMYFUNCTION("""COMPUTED_VALUE"""),0.0)</f>
        <v>0</v>
      </c>
      <c r="AU1424" s="82"/>
      <c r="AV1424" s="82"/>
      <c r="AW1424" s="82" t="str">
        <f t="shared" si="1"/>
        <v/>
      </c>
      <c r="AX1424" s="83" t="str">
        <f t="array" ref="AX1424">IFERROR(DGET('SBV Import'!A:G,"SBV",{"RSC ID","Tier";B1424,A1424}))</f>
        <v/>
      </c>
      <c r="AY1424" s="82" t="str">
        <f t="shared" si="2"/>
        <v/>
      </c>
      <c r="AZ1424" s="82"/>
      <c r="BA1424" s="84" t="s">
        <v>152</v>
      </c>
      <c r="BB1424" s="84" t="str">
        <f>IFERROR(__xludf.DUMMYFUNCTION("iferror(if(A1424="""",,E1424&gt;=FILTER(Constants!$F$2:$F$10,Constants!$A$2:$A$10=A1424)))"),"")</f>
        <v/>
      </c>
    </row>
    <row r="1425">
      <c r="A1425" s="89"/>
      <c r="B1425" s="87"/>
      <c r="C1425" s="73"/>
      <c r="D1425" s="73"/>
      <c r="E1425" s="82"/>
      <c r="F1425" s="82"/>
      <c r="G1425" s="86"/>
      <c r="H1425" s="86"/>
      <c r="I1425" s="86"/>
      <c r="J1425" s="82"/>
      <c r="K1425" s="82"/>
      <c r="L1425" s="82"/>
      <c r="M1425" s="82"/>
      <c r="N1425" s="82"/>
      <c r="O1425" s="82"/>
      <c r="P1425" s="82"/>
      <c r="Q1425" s="82"/>
      <c r="R1425" s="82"/>
      <c r="S1425" s="82"/>
      <c r="T1425" s="82"/>
      <c r="U1425" s="82"/>
      <c r="V1425" s="82"/>
      <c r="W1425" s="82"/>
      <c r="X1425" s="82"/>
      <c r="Y1425" s="82"/>
      <c r="Z1425" s="82"/>
      <c r="AA1425" s="82"/>
      <c r="AB1425" s="82"/>
      <c r="AC1425" s="82"/>
      <c r="AD1425" s="82"/>
      <c r="AE1425" s="82"/>
      <c r="AF1425" s="82"/>
      <c r="AG1425" s="82"/>
      <c r="AH1425" s="82"/>
      <c r="AI1425" s="82"/>
      <c r="AJ1425" s="82"/>
      <c r="AK1425" s="82"/>
      <c r="AL1425" s="82"/>
      <c r="AM1425" s="82"/>
      <c r="AN1425" s="82">
        <f>IFERROR(__xludf.DUMMYFUNCTION("""COMPUTED_VALUE"""),0.0)</f>
        <v>0</v>
      </c>
      <c r="AO1425" s="82">
        <f>IFERROR(__xludf.DUMMYFUNCTION("""COMPUTED_VALUE"""),0.0)</f>
        <v>0</v>
      </c>
      <c r="AP1425" s="82">
        <f>IFERROR(__xludf.DUMMYFUNCTION("""COMPUTED_VALUE"""),0.0)</f>
        <v>0</v>
      </c>
      <c r="AQ1425" s="82">
        <f>IFERROR(__xludf.DUMMYFUNCTION("""COMPUTED_VALUE"""),0.0)</f>
        <v>0</v>
      </c>
      <c r="AR1425" s="82">
        <f>IFERROR(__xludf.DUMMYFUNCTION("""COMPUTED_VALUE"""),0.0)</f>
        <v>0</v>
      </c>
      <c r="AS1425" s="82"/>
      <c r="AT1425" s="82">
        <f>IFERROR(__xludf.DUMMYFUNCTION("""COMPUTED_VALUE"""),0.0)</f>
        <v>0</v>
      </c>
      <c r="AU1425" s="82"/>
      <c r="AV1425" s="82"/>
      <c r="AW1425" s="82" t="str">
        <f t="shared" si="1"/>
        <v/>
      </c>
      <c r="AX1425" s="83" t="str">
        <f t="array" ref="AX1425">IFERROR(DGET('SBV Import'!A:G,"SBV",{"RSC ID","Tier";B1425,A1425}))</f>
        <v/>
      </c>
      <c r="AY1425" s="82" t="str">
        <f t="shared" si="2"/>
        <v/>
      </c>
      <c r="AZ1425" s="82"/>
      <c r="BA1425" s="84" t="s">
        <v>152</v>
      </c>
      <c r="BB1425" s="84" t="str">
        <f>IFERROR(__xludf.DUMMYFUNCTION("iferror(if(A1425="""",,E1425&gt;=FILTER(Constants!$F$2:$F$10,Constants!$A$2:$A$10=A1425)))"),"")</f>
        <v/>
      </c>
    </row>
    <row r="1426">
      <c r="A1426" s="89"/>
      <c r="B1426" s="87"/>
      <c r="C1426" s="73"/>
      <c r="D1426" s="73"/>
      <c r="E1426" s="82"/>
      <c r="F1426" s="82"/>
      <c r="G1426" s="86"/>
      <c r="H1426" s="86"/>
      <c r="I1426" s="86"/>
      <c r="J1426" s="82"/>
      <c r="K1426" s="82"/>
      <c r="L1426" s="82"/>
      <c r="M1426" s="82"/>
      <c r="N1426" s="82"/>
      <c r="O1426" s="82"/>
      <c r="P1426" s="82"/>
      <c r="Q1426" s="82"/>
      <c r="R1426" s="82"/>
      <c r="S1426" s="82"/>
      <c r="T1426" s="82"/>
      <c r="U1426" s="82"/>
      <c r="V1426" s="82"/>
      <c r="W1426" s="82"/>
      <c r="X1426" s="82"/>
      <c r="Y1426" s="82"/>
      <c r="Z1426" s="82"/>
      <c r="AA1426" s="82"/>
      <c r="AB1426" s="82"/>
      <c r="AC1426" s="82"/>
      <c r="AD1426" s="82"/>
      <c r="AE1426" s="82"/>
      <c r="AF1426" s="82"/>
      <c r="AG1426" s="82"/>
      <c r="AH1426" s="82"/>
      <c r="AI1426" s="82"/>
      <c r="AJ1426" s="82"/>
      <c r="AK1426" s="82"/>
      <c r="AL1426" s="82"/>
      <c r="AM1426" s="82"/>
      <c r="AN1426" s="82">
        <f>IFERROR(__xludf.DUMMYFUNCTION("""COMPUTED_VALUE"""),0.0)</f>
        <v>0</v>
      </c>
      <c r="AO1426" s="82">
        <f>IFERROR(__xludf.DUMMYFUNCTION("""COMPUTED_VALUE"""),0.0)</f>
        <v>0</v>
      </c>
      <c r="AP1426" s="82">
        <f>IFERROR(__xludf.DUMMYFUNCTION("""COMPUTED_VALUE"""),0.0)</f>
        <v>0</v>
      </c>
      <c r="AQ1426" s="82">
        <f>IFERROR(__xludf.DUMMYFUNCTION("""COMPUTED_VALUE"""),0.0)</f>
        <v>0</v>
      </c>
      <c r="AR1426" s="82">
        <f>IFERROR(__xludf.DUMMYFUNCTION("""COMPUTED_VALUE"""),0.0)</f>
        <v>0</v>
      </c>
      <c r="AS1426" s="82"/>
      <c r="AT1426" s="82">
        <f>IFERROR(__xludf.DUMMYFUNCTION("""COMPUTED_VALUE"""),0.0)</f>
        <v>0</v>
      </c>
      <c r="AU1426" s="82"/>
      <c r="AV1426" s="82"/>
      <c r="AW1426" s="82" t="str">
        <f t="shared" si="1"/>
        <v/>
      </c>
      <c r="AX1426" s="83" t="str">
        <f t="array" ref="AX1426">IFERROR(DGET('SBV Import'!A:G,"SBV",{"RSC ID","Tier";B1426,A1426}))</f>
        <v/>
      </c>
      <c r="AY1426" s="82" t="str">
        <f t="shared" si="2"/>
        <v/>
      </c>
      <c r="AZ1426" s="82"/>
      <c r="BA1426" s="84" t="s">
        <v>152</v>
      </c>
      <c r="BB1426" s="84" t="str">
        <f>IFERROR(__xludf.DUMMYFUNCTION("iferror(if(A1426="""",,E1426&gt;=FILTER(Constants!$F$2:$F$10,Constants!$A$2:$A$10=A1426)))"),"")</f>
        <v/>
      </c>
    </row>
    <row r="1427">
      <c r="A1427" s="89"/>
      <c r="B1427" s="87"/>
      <c r="C1427" s="73"/>
      <c r="D1427" s="73"/>
      <c r="E1427" s="82"/>
      <c r="F1427" s="82"/>
      <c r="G1427" s="86"/>
      <c r="H1427" s="86"/>
      <c r="I1427" s="86"/>
      <c r="J1427" s="82"/>
      <c r="K1427" s="82"/>
      <c r="L1427" s="82"/>
      <c r="M1427" s="82"/>
      <c r="N1427" s="82"/>
      <c r="O1427" s="82"/>
      <c r="P1427" s="82"/>
      <c r="Q1427" s="82"/>
      <c r="R1427" s="82"/>
      <c r="S1427" s="82"/>
      <c r="T1427" s="82"/>
      <c r="U1427" s="82"/>
      <c r="V1427" s="82"/>
      <c r="W1427" s="82"/>
      <c r="X1427" s="82"/>
      <c r="Y1427" s="82"/>
      <c r="Z1427" s="82"/>
      <c r="AA1427" s="82"/>
      <c r="AB1427" s="82"/>
      <c r="AC1427" s="82"/>
      <c r="AD1427" s="82"/>
      <c r="AE1427" s="82"/>
      <c r="AF1427" s="82"/>
      <c r="AG1427" s="82"/>
      <c r="AH1427" s="82"/>
      <c r="AI1427" s="82"/>
      <c r="AJ1427" s="82"/>
      <c r="AK1427" s="82"/>
      <c r="AL1427" s="82"/>
      <c r="AM1427" s="82"/>
      <c r="AN1427" s="82">
        <f>IFERROR(__xludf.DUMMYFUNCTION("""COMPUTED_VALUE"""),0.0)</f>
        <v>0</v>
      </c>
      <c r="AO1427" s="82">
        <f>IFERROR(__xludf.DUMMYFUNCTION("""COMPUTED_VALUE"""),0.0)</f>
        <v>0</v>
      </c>
      <c r="AP1427" s="82">
        <f>IFERROR(__xludf.DUMMYFUNCTION("""COMPUTED_VALUE"""),0.0)</f>
        <v>0</v>
      </c>
      <c r="AQ1427" s="82">
        <f>IFERROR(__xludf.DUMMYFUNCTION("""COMPUTED_VALUE"""),0.0)</f>
        <v>0</v>
      </c>
      <c r="AR1427" s="82">
        <f>IFERROR(__xludf.DUMMYFUNCTION("""COMPUTED_VALUE"""),0.0)</f>
        <v>0</v>
      </c>
      <c r="AS1427" s="82"/>
      <c r="AT1427" s="82">
        <f>IFERROR(__xludf.DUMMYFUNCTION("""COMPUTED_VALUE"""),0.0)</f>
        <v>0</v>
      </c>
      <c r="AU1427" s="82"/>
      <c r="AV1427" s="82"/>
      <c r="AW1427" s="82" t="str">
        <f t="shared" si="1"/>
        <v/>
      </c>
      <c r="AX1427" s="83" t="str">
        <f t="array" ref="AX1427">IFERROR(DGET('SBV Import'!A:G,"SBV",{"RSC ID","Tier";B1427,A1427}))</f>
        <v/>
      </c>
      <c r="AY1427" s="82" t="str">
        <f t="shared" si="2"/>
        <v/>
      </c>
      <c r="AZ1427" s="82"/>
      <c r="BA1427" s="84" t="s">
        <v>152</v>
      </c>
      <c r="BB1427" s="84" t="str">
        <f>IFERROR(__xludf.DUMMYFUNCTION("iferror(if(A1427="""",,E1427&gt;=FILTER(Constants!$F$2:$F$10,Constants!$A$2:$A$10=A1427)))"),"")</f>
        <v/>
      </c>
    </row>
    <row r="1428">
      <c r="A1428" s="89"/>
      <c r="B1428" s="87"/>
      <c r="C1428" s="73"/>
      <c r="D1428" s="73"/>
      <c r="E1428" s="82"/>
      <c r="F1428" s="82"/>
      <c r="G1428" s="86"/>
      <c r="H1428" s="86"/>
      <c r="I1428" s="86"/>
      <c r="J1428" s="82"/>
      <c r="K1428" s="82"/>
      <c r="L1428" s="82"/>
      <c r="M1428" s="82"/>
      <c r="N1428" s="82"/>
      <c r="O1428" s="82"/>
      <c r="P1428" s="82"/>
      <c r="Q1428" s="82"/>
      <c r="R1428" s="82"/>
      <c r="S1428" s="82"/>
      <c r="T1428" s="82"/>
      <c r="U1428" s="82"/>
      <c r="V1428" s="82"/>
      <c r="W1428" s="82"/>
      <c r="X1428" s="82"/>
      <c r="Y1428" s="82"/>
      <c r="Z1428" s="82"/>
      <c r="AA1428" s="82"/>
      <c r="AB1428" s="82"/>
      <c r="AC1428" s="82"/>
      <c r="AD1428" s="82"/>
      <c r="AE1428" s="82"/>
      <c r="AF1428" s="82"/>
      <c r="AG1428" s="82"/>
      <c r="AH1428" s="82"/>
      <c r="AI1428" s="82"/>
      <c r="AJ1428" s="82"/>
      <c r="AK1428" s="82"/>
      <c r="AL1428" s="82"/>
      <c r="AM1428" s="82"/>
      <c r="AN1428" s="82">
        <f>IFERROR(__xludf.DUMMYFUNCTION("""COMPUTED_VALUE"""),0.0)</f>
        <v>0</v>
      </c>
      <c r="AO1428" s="82">
        <f>IFERROR(__xludf.DUMMYFUNCTION("""COMPUTED_VALUE"""),0.0)</f>
        <v>0</v>
      </c>
      <c r="AP1428" s="82">
        <f>IFERROR(__xludf.DUMMYFUNCTION("""COMPUTED_VALUE"""),0.0)</f>
        <v>0</v>
      </c>
      <c r="AQ1428" s="82">
        <f>IFERROR(__xludf.DUMMYFUNCTION("""COMPUTED_VALUE"""),0.0)</f>
        <v>0</v>
      </c>
      <c r="AR1428" s="82">
        <f>IFERROR(__xludf.DUMMYFUNCTION("""COMPUTED_VALUE"""),0.0)</f>
        <v>0</v>
      </c>
      <c r="AS1428" s="82"/>
      <c r="AT1428" s="82">
        <f>IFERROR(__xludf.DUMMYFUNCTION("""COMPUTED_VALUE"""),0.0)</f>
        <v>0</v>
      </c>
      <c r="AU1428" s="82"/>
      <c r="AV1428" s="82"/>
      <c r="AW1428" s="82" t="str">
        <f t="shared" si="1"/>
        <v/>
      </c>
      <c r="AX1428" s="83" t="str">
        <f t="array" ref="AX1428">IFERROR(DGET('SBV Import'!A:G,"SBV",{"RSC ID","Tier";B1428,A1428}))</f>
        <v/>
      </c>
      <c r="AY1428" s="82" t="str">
        <f t="shared" si="2"/>
        <v/>
      </c>
      <c r="AZ1428" s="82"/>
      <c r="BA1428" s="84" t="s">
        <v>152</v>
      </c>
      <c r="BB1428" s="84" t="str">
        <f>IFERROR(__xludf.DUMMYFUNCTION("iferror(if(A1428="""",,E1428&gt;=FILTER(Constants!$F$2:$F$10,Constants!$A$2:$A$10=A1428)))"),"")</f>
        <v/>
      </c>
    </row>
    <row r="1429">
      <c r="A1429" s="89"/>
      <c r="B1429" s="87"/>
      <c r="C1429" s="73"/>
      <c r="D1429" s="73"/>
      <c r="E1429" s="82"/>
      <c r="F1429" s="82"/>
      <c r="G1429" s="86"/>
      <c r="H1429" s="86"/>
      <c r="I1429" s="86"/>
      <c r="J1429" s="82"/>
      <c r="K1429" s="82"/>
      <c r="L1429" s="82"/>
      <c r="M1429" s="82"/>
      <c r="N1429" s="82"/>
      <c r="O1429" s="82"/>
      <c r="P1429" s="82"/>
      <c r="Q1429" s="82"/>
      <c r="R1429" s="82"/>
      <c r="S1429" s="82"/>
      <c r="T1429" s="82"/>
      <c r="U1429" s="82"/>
      <c r="V1429" s="82"/>
      <c r="W1429" s="82"/>
      <c r="X1429" s="82"/>
      <c r="Y1429" s="82"/>
      <c r="Z1429" s="82"/>
      <c r="AA1429" s="82"/>
      <c r="AB1429" s="82"/>
      <c r="AC1429" s="82"/>
      <c r="AD1429" s="82"/>
      <c r="AE1429" s="82"/>
      <c r="AF1429" s="82"/>
      <c r="AG1429" s="82"/>
      <c r="AH1429" s="82"/>
      <c r="AI1429" s="82"/>
      <c r="AJ1429" s="82"/>
      <c r="AK1429" s="82"/>
      <c r="AL1429" s="82"/>
      <c r="AM1429" s="82"/>
      <c r="AN1429" s="82">
        <f>IFERROR(__xludf.DUMMYFUNCTION("""COMPUTED_VALUE"""),0.0)</f>
        <v>0</v>
      </c>
      <c r="AO1429" s="82">
        <f>IFERROR(__xludf.DUMMYFUNCTION("""COMPUTED_VALUE"""),0.0)</f>
        <v>0</v>
      </c>
      <c r="AP1429" s="82">
        <f>IFERROR(__xludf.DUMMYFUNCTION("""COMPUTED_VALUE"""),0.0)</f>
        <v>0</v>
      </c>
      <c r="AQ1429" s="82">
        <f>IFERROR(__xludf.DUMMYFUNCTION("""COMPUTED_VALUE"""),0.0)</f>
        <v>0</v>
      </c>
      <c r="AR1429" s="82">
        <f>IFERROR(__xludf.DUMMYFUNCTION("""COMPUTED_VALUE"""),0.0)</f>
        <v>0</v>
      </c>
      <c r="AS1429" s="82"/>
      <c r="AT1429" s="82">
        <f>IFERROR(__xludf.DUMMYFUNCTION("""COMPUTED_VALUE"""),0.0)</f>
        <v>0</v>
      </c>
      <c r="AU1429" s="82"/>
      <c r="AV1429" s="82"/>
      <c r="AW1429" s="82" t="str">
        <f t="shared" si="1"/>
        <v/>
      </c>
      <c r="AX1429" s="83" t="str">
        <f t="array" ref="AX1429">IFERROR(DGET('SBV Import'!A:G,"SBV",{"RSC ID","Tier";B1429,A1429}))</f>
        <v/>
      </c>
      <c r="AY1429" s="82" t="str">
        <f t="shared" si="2"/>
        <v/>
      </c>
      <c r="AZ1429" s="82"/>
      <c r="BA1429" s="84" t="s">
        <v>152</v>
      </c>
      <c r="BB1429" s="84" t="str">
        <f>IFERROR(__xludf.DUMMYFUNCTION("iferror(if(A1429="""",,E1429&gt;=FILTER(Constants!$F$2:$F$10,Constants!$A$2:$A$10=A1429)))"),"")</f>
        <v/>
      </c>
    </row>
    <row r="1430">
      <c r="A1430" s="89"/>
      <c r="B1430" s="87"/>
      <c r="C1430" s="73"/>
      <c r="D1430" s="73"/>
      <c r="E1430" s="82"/>
      <c r="F1430" s="82"/>
      <c r="G1430" s="86"/>
      <c r="H1430" s="86"/>
      <c r="I1430" s="86"/>
      <c r="J1430" s="82"/>
      <c r="K1430" s="82"/>
      <c r="L1430" s="82"/>
      <c r="M1430" s="82"/>
      <c r="N1430" s="82"/>
      <c r="O1430" s="82"/>
      <c r="P1430" s="82"/>
      <c r="Q1430" s="82"/>
      <c r="R1430" s="82"/>
      <c r="S1430" s="82"/>
      <c r="T1430" s="82"/>
      <c r="U1430" s="82"/>
      <c r="V1430" s="82"/>
      <c r="W1430" s="82"/>
      <c r="X1430" s="82"/>
      <c r="Y1430" s="82"/>
      <c r="Z1430" s="82"/>
      <c r="AA1430" s="82"/>
      <c r="AB1430" s="82"/>
      <c r="AC1430" s="82"/>
      <c r="AD1430" s="82"/>
      <c r="AE1430" s="82"/>
      <c r="AF1430" s="82"/>
      <c r="AG1430" s="82"/>
      <c r="AH1430" s="82"/>
      <c r="AI1430" s="82"/>
      <c r="AJ1430" s="82"/>
      <c r="AK1430" s="82"/>
      <c r="AL1430" s="82"/>
      <c r="AM1430" s="82"/>
      <c r="AN1430" s="82">
        <f>IFERROR(__xludf.DUMMYFUNCTION("""COMPUTED_VALUE"""),0.0)</f>
        <v>0</v>
      </c>
      <c r="AO1430" s="82">
        <f>IFERROR(__xludf.DUMMYFUNCTION("""COMPUTED_VALUE"""),0.0)</f>
        <v>0</v>
      </c>
      <c r="AP1430" s="82">
        <f>IFERROR(__xludf.DUMMYFUNCTION("""COMPUTED_VALUE"""),0.0)</f>
        <v>0</v>
      </c>
      <c r="AQ1430" s="82">
        <f>IFERROR(__xludf.DUMMYFUNCTION("""COMPUTED_VALUE"""),0.0)</f>
        <v>0</v>
      </c>
      <c r="AR1430" s="82">
        <f>IFERROR(__xludf.DUMMYFUNCTION("""COMPUTED_VALUE"""),0.0)</f>
        <v>0</v>
      </c>
      <c r="AS1430" s="82"/>
      <c r="AT1430" s="82">
        <f>IFERROR(__xludf.DUMMYFUNCTION("""COMPUTED_VALUE"""),0.0)</f>
        <v>0</v>
      </c>
      <c r="AU1430" s="82"/>
      <c r="AV1430" s="82"/>
      <c r="AW1430" s="82" t="str">
        <f t="shared" si="1"/>
        <v/>
      </c>
      <c r="AX1430" s="83" t="str">
        <f t="array" ref="AX1430">IFERROR(DGET('SBV Import'!A:G,"SBV",{"RSC ID","Tier";B1430,A1430}))</f>
        <v/>
      </c>
      <c r="AY1430" s="82" t="str">
        <f t="shared" si="2"/>
        <v/>
      </c>
      <c r="AZ1430" s="82"/>
      <c r="BA1430" s="84" t="s">
        <v>152</v>
      </c>
      <c r="BB1430" s="84" t="str">
        <f>IFERROR(__xludf.DUMMYFUNCTION("iferror(if(A1430="""",,E1430&gt;=FILTER(Constants!$F$2:$F$10,Constants!$A$2:$A$10=A1430)))"),"")</f>
        <v/>
      </c>
    </row>
    <row r="1431">
      <c r="A1431" s="89"/>
      <c r="B1431" s="87"/>
      <c r="C1431" s="73"/>
      <c r="D1431" s="73"/>
      <c r="E1431" s="82"/>
      <c r="F1431" s="82"/>
      <c r="G1431" s="86"/>
      <c r="H1431" s="86"/>
      <c r="I1431" s="86"/>
      <c r="J1431" s="82"/>
      <c r="K1431" s="82"/>
      <c r="L1431" s="82"/>
      <c r="M1431" s="82"/>
      <c r="N1431" s="82"/>
      <c r="O1431" s="82"/>
      <c r="P1431" s="82"/>
      <c r="Q1431" s="82"/>
      <c r="R1431" s="82"/>
      <c r="S1431" s="82"/>
      <c r="T1431" s="82"/>
      <c r="U1431" s="82"/>
      <c r="V1431" s="82"/>
      <c r="W1431" s="82"/>
      <c r="X1431" s="82"/>
      <c r="Y1431" s="82"/>
      <c r="Z1431" s="82"/>
      <c r="AA1431" s="82"/>
      <c r="AB1431" s="82"/>
      <c r="AC1431" s="82"/>
      <c r="AD1431" s="82"/>
      <c r="AE1431" s="82"/>
      <c r="AF1431" s="82"/>
      <c r="AG1431" s="82"/>
      <c r="AH1431" s="82"/>
      <c r="AI1431" s="82"/>
      <c r="AJ1431" s="82"/>
      <c r="AK1431" s="82"/>
      <c r="AL1431" s="82"/>
      <c r="AM1431" s="82"/>
      <c r="AN1431" s="82">
        <f>IFERROR(__xludf.DUMMYFUNCTION("""COMPUTED_VALUE"""),0.0)</f>
        <v>0</v>
      </c>
      <c r="AO1431" s="82">
        <f>IFERROR(__xludf.DUMMYFUNCTION("""COMPUTED_VALUE"""),0.0)</f>
        <v>0</v>
      </c>
      <c r="AP1431" s="82">
        <f>IFERROR(__xludf.DUMMYFUNCTION("""COMPUTED_VALUE"""),0.0)</f>
        <v>0</v>
      </c>
      <c r="AQ1431" s="82">
        <f>IFERROR(__xludf.DUMMYFUNCTION("""COMPUTED_VALUE"""),0.0)</f>
        <v>0</v>
      </c>
      <c r="AR1431" s="82">
        <f>IFERROR(__xludf.DUMMYFUNCTION("""COMPUTED_VALUE"""),0.0)</f>
        <v>0</v>
      </c>
      <c r="AS1431" s="82"/>
      <c r="AT1431" s="82">
        <f>IFERROR(__xludf.DUMMYFUNCTION("""COMPUTED_VALUE"""),0.0)</f>
        <v>0</v>
      </c>
      <c r="AU1431" s="82"/>
      <c r="AV1431" s="82"/>
      <c r="AW1431" s="82" t="str">
        <f t="shared" si="1"/>
        <v/>
      </c>
      <c r="AX1431" s="83" t="str">
        <f t="array" ref="AX1431">IFERROR(DGET('SBV Import'!A:G,"SBV",{"RSC ID","Tier";B1431,A1431}))</f>
        <v/>
      </c>
      <c r="AY1431" s="82" t="str">
        <f t="shared" si="2"/>
        <v/>
      </c>
      <c r="AZ1431" s="82"/>
      <c r="BA1431" s="84" t="s">
        <v>152</v>
      </c>
      <c r="BB1431" s="84" t="str">
        <f>IFERROR(__xludf.DUMMYFUNCTION("iferror(if(A1431="""",,E1431&gt;=FILTER(Constants!$F$2:$F$10,Constants!$A$2:$A$10=A1431)))"),"")</f>
        <v/>
      </c>
    </row>
    <row r="1432">
      <c r="A1432" s="89"/>
      <c r="B1432" s="87"/>
      <c r="C1432" s="73"/>
      <c r="D1432" s="73"/>
      <c r="E1432" s="82"/>
      <c r="F1432" s="82"/>
      <c r="G1432" s="86"/>
      <c r="H1432" s="86"/>
      <c r="I1432" s="86"/>
      <c r="J1432" s="82"/>
      <c r="K1432" s="82"/>
      <c r="L1432" s="82"/>
      <c r="M1432" s="82"/>
      <c r="N1432" s="82"/>
      <c r="O1432" s="82"/>
      <c r="P1432" s="82"/>
      <c r="Q1432" s="82"/>
      <c r="R1432" s="82"/>
      <c r="S1432" s="82"/>
      <c r="T1432" s="82"/>
      <c r="U1432" s="82"/>
      <c r="V1432" s="82"/>
      <c r="W1432" s="82"/>
      <c r="X1432" s="82"/>
      <c r="Y1432" s="82"/>
      <c r="Z1432" s="82"/>
      <c r="AA1432" s="82"/>
      <c r="AB1432" s="82"/>
      <c r="AC1432" s="82"/>
      <c r="AD1432" s="82"/>
      <c r="AE1432" s="82"/>
      <c r="AF1432" s="82"/>
      <c r="AG1432" s="82"/>
      <c r="AH1432" s="82"/>
      <c r="AI1432" s="82"/>
      <c r="AJ1432" s="82"/>
      <c r="AK1432" s="82"/>
      <c r="AL1432" s="82"/>
      <c r="AM1432" s="82"/>
      <c r="AN1432" s="82">
        <f>IFERROR(__xludf.DUMMYFUNCTION("""COMPUTED_VALUE"""),0.0)</f>
        <v>0</v>
      </c>
      <c r="AO1432" s="82">
        <f>IFERROR(__xludf.DUMMYFUNCTION("""COMPUTED_VALUE"""),0.0)</f>
        <v>0</v>
      </c>
      <c r="AP1432" s="82">
        <f>IFERROR(__xludf.DUMMYFUNCTION("""COMPUTED_VALUE"""),0.0)</f>
        <v>0</v>
      </c>
      <c r="AQ1432" s="82">
        <f>IFERROR(__xludf.DUMMYFUNCTION("""COMPUTED_VALUE"""),0.0)</f>
        <v>0</v>
      </c>
      <c r="AR1432" s="82">
        <f>IFERROR(__xludf.DUMMYFUNCTION("""COMPUTED_VALUE"""),0.0)</f>
        <v>0</v>
      </c>
      <c r="AS1432" s="82"/>
      <c r="AT1432" s="82">
        <f>IFERROR(__xludf.DUMMYFUNCTION("""COMPUTED_VALUE"""),0.0)</f>
        <v>0</v>
      </c>
      <c r="AU1432" s="82"/>
      <c r="AV1432" s="82"/>
      <c r="AW1432" s="82" t="str">
        <f t="shared" si="1"/>
        <v/>
      </c>
      <c r="AX1432" s="83" t="str">
        <f t="array" ref="AX1432">IFERROR(DGET('SBV Import'!A:G,"SBV",{"RSC ID","Tier";B1432,A1432}))</f>
        <v/>
      </c>
      <c r="AY1432" s="82" t="str">
        <f t="shared" si="2"/>
        <v/>
      </c>
      <c r="AZ1432" s="82"/>
      <c r="BA1432" s="84" t="s">
        <v>152</v>
      </c>
      <c r="BB1432" s="84" t="str">
        <f>IFERROR(__xludf.DUMMYFUNCTION("iferror(if(A1432="""",,E1432&gt;=FILTER(Constants!$F$2:$F$10,Constants!$A$2:$A$10=A1432)))"),"")</f>
        <v/>
      </c>
    </row>
    <row r="1433">
      <c r="A1433" s="89"/>
      <c r="B1433" s="87"/>
      <c r="C1433" s="73"/>
      <c r="D1433" s="73"/>
      <c r="E1433" s="82"/>
      <c r="F1433" s="82"/>
      <c r="G1433" s="86"/>
      <c r="H1433" s="86"/>
      <c r="I1433" s="86"/>
      <c r="J1433" s="82"/>
      <c r="K1433" s="82"/>
      <c r="L1433" s="82"/>
      <c r="M1433" s="82"/>
      <c r="N1433" s="82"/>
      <c r="O1433" s="82"/>
      <c r="P1433" s="82"/>
      <c r="Q1433" s="82"/>
      <c r="R1433" s="82"/>
      <c r="S1433" s="82"/>
      <c r="T1433" s="82"/>
      <c r="U1433" s="82"/>
      <c r="V1433" s="82"/>
      <c r="W1433" s="82"/>
      <c r="X1433" s="82"/>
      <c r="Y1433" s="82"/>
      <c r="Z1433" s="82"/>
      <c r="AA1433" s="82"/>
      <c r="AB1433" s="82"/>
      <c r="AC1433" s="82"/>
      <c r="AD1433" s="82"/>
      <c r="AE1433" s="82"/>
      <c r="AF1433" s="82"/>
      <c r="AG1433" s="82"/>
      <c r="AH1433" s="82"/>
      <c r="AI1433" s="82"/>
      <c r="AJ1433" s="82"/>
      <c r="AK1433" s="82"/>
      <c r="AL1433" s="82"/>
      <c r="AM1433" s="82"/>
      <c r="AN1433" s="82">
        <f>IFERROR(__xludf.DUMMYFUNCTION("""COMPUTED_VALUE"""),0.0)</f>
        <v>0</v>
      </c>
      <c r="AO1433" s="82">
        <f>IFERROR(__xludf.DUMMYFUNCTION("""COMPUTED_VALUE"""),0.0)</f>
        <v>0</v>
      </c>
      <c r="AP1433" s="82">
        <f>IFERROR(__xludf.DUMMYFUNCTION("""COMPUTED_VALUE"""),0.0)</f>
        <v>0</v>
      </c>
      <c r="AQ1433" s="82">
        <f>IFERROR(__xludf.DUMMYFUNCTION("""COMPUTED_VALUE"""),0.0)</f>
        <v>0</v>
      </c>
      <c r="AR1433" s="82">
        <f>IFERROR(__xludf.DUMMYFUNCTION("""COMPUTED_VALUE"""),0.0)</f>
        <v>0</v>
      </c>
      <c r="AS1433" s="82"/>
      <c r="AT1433" s="82">
        <f>IFERROR(__xludf.DUMMYFUNCTION("""COMPUTED_VALUE"""),0.0)</f>
        <v>0</v>
      </c>
      <c r="AU1433" s="82"/>
      <c r="AV1433" s="82"/>
      <c r="AW1433" s="82" t="str">
        <f t="shared" si="1"/>
        <v/>
      </c>
      <c r="AX1433" s="83" t="str">
        <f t="array" ref="AX1433">IFERROR(DGET('SBV Import'!A:G,"SBV",{"RSC ID","Tier";B1433,A1433}))</f>
        <v/>
      </c>
      <c r="AY1433" s="82" t="str">
        <f t="shared" si="2"/>
        <v/>
      </c>
      <c r="AZ1433" s="82"/>
      <c r="BA1433" s="84" t="s">
        <v>152</v>
      </c>
      <c r="BB1433" s="84" t="str">
        <f>IFERROR(__xludf.DUMMYFUNCTION("iferror(if(A1433="""",,E1433&gt;=FILTER(Constants!$F$2:$F$10,Constants!$A$2:$A$10=A1433)))"),"")</f>
        <v/>
      </c>
    </row>
    <row r="1434">
      <c r="A1434" s="89"/>
      <c r="B1434" s="87"/>
      <c r="C1434" s="73"/>
      <c r="D1434" s="73"/>
      <c r="E1434" s="82"/>
      <c r="F1434" s="82"/>
      <c r="G1434" s="86"/>
      <c r="H1434" s="86"/>
      <c r="I1434" s="86"/>
      <c r="J1434" s="82"/>
      <c r="K1434" s="82"/>
      <c r="L1434" s="82"/>
      <c r="M1434" s="82"/>
      <c r="N1434" s="82"/>
      <c r="O1434" s="82"/>
      <c r="P1434" s="82"/>
      <c r="Q1434" s="82"/>
      <c r="R1434" s="82"/>
      <c r="S1434" s="82"/>
      <c r="T1434" s="82"/>
      <c r="U1434" s="82"/>
      <c r="V1434" s="82"/>
      <c r="W1434" s="82"/>
      <c r="X1434" s="82"/>
      <c r="Y1434" s="82"/>
      <c r="Z1434" s="82"/>
      <c r="AA1434" s="82"/>
      <c r="AB1434" s="82"/>
      <c r="AC1434" s="82"/>
      <c r="AD1434" s="82"/>
      <c r="AE1434" s="82"/>
      <c r="AF1434" s="82"/>
      <c r="AG1434" s="82"/>
      <c r="AH1434" s="82"/>
      <c r="AI1434" s="82"/>
      <c r="AJ1434" s="82"/>
      <c r="AK1434" s="82"/>
      <c r="AL1434" s="82"/>
      <c r="AM1434" s="82"/>
      <c r="AN1434" s="82">
        <f>IFERROR(__xludf.DUMMYFUNCTION("""COMPUTED_VALUE"""),0.0)</f>
        <v>0</v>
      </c>
      <c r="AO1434" s="82">
        <f>IFERROR(__xludf.DUMMYFUNCTION("""COMPUTED_VALUE"""),0.0)</f>
        <v>0</v>
      </c>
      <c r="AP1434" s="82">
        <f>IFERROR(__xludf.DUMMYFUNCTION("""COMPUTED_VALUE"""),0.0)</f>
        <v>0</v>
      </c>
      <c r="AQ1434" s="82">
        <f>IFERROR(__xludf.DUMMYFUNCTION("""COMPUTED_VALUE"""),0.0)</f>
        <v>0</v>
      </c>
      <c r="AR1434" s="82">
        <f>IFERROR(__xludf.DUMMYFUNCTION("""COMPUTED_VALUE"""),0.0)</f>
        <v>0</v>
      </c>
      <c r="AS1434" s="82"/>
      <c r="AT1434" s="82">
        <f>IFERROR(__xludf.DUMMYFUNCTION("""COMPUTED_VALUE"""),0.0)</f>
        <v>0</v>
      </c>
      <c r="AU1434" s="82"/>
      <c r="AV1434" s="82"/>
      <c r="AW1434" s="82" t="str">
        <f t="shared" si="1"/>
        <v/>
      </c>
      <c r="AX1434" s="83" t="str">
        <f t="array" ref="AX1434">IFERROR(DGET('SBV Import'!A:G,"SBV",{"RSC ID","Tier";B1434,A1434}))</f>
        <v/>
      </c>
      <c r="AY1434" s="82" t="str">
        <f t="shared" si="2"/>
        <v/>
      </c>
      <c r="AZ1434" s="82"/>
      <c r="BA1434" s="84" t="s">
        <v>152</v>
      </c>
      <c r="BB1434" s="84" t="str">
        <f>IFERROR(__xludf.DUMMYFUNCTION("iferror(if(A1434="""",,E1434&gt;=FILTER(Constants!$F$2:$F$10,Constants!$A$2:$A$10=A1434)))"),"")</f>
        <v/>
      </c>
    </row>
    <row r="1435">
      <c r="A1435" s="89"/>
      <c r="B1435" s="87"/>
      <c r="C1435" s="73"/>
      <c r="D1435" s="73"/>
      <c r="E1435" s="82"/>
      <c r="F1435" s="82"/>
      <c r="G1435" s="86"/>
      <c r="H1435" s="86"/>
      <c r="I1435" s="86"/>
      <c r="J1435" s="82"/>
      <c r="K1435" s="82"/>
      <c r="L1435" s="82"/>
      <c r="M1435" s="82"/>
      <c r="N1435" s="82"/>
      <c r="O1435" s="82"/>
      <c r="P1435" s="82"/>
      <c r="Q1435" s="82"/>
      <c r="R1435" s="82"/>
      <c r="S1435" s="82"/>
      <c r="T1435" s="82"/>
      <c r="U1435" s="82"/>
      <c r="V1435" s="82"/>
      <c r="W1435" s="82"/>
      <c r="X1435" s="82"/>
      <c r="Y1435" s="82"/>
      <c r="Z1435" s="82"/>
      <c r="AA1435" s="82"/>
      <c r="AB1435" s="82"/>
      <c r="AC1435" s="82"/>
      <c r="AD1435" s="82"/>
      <c r="AE1435" s="82"/>
      <c r="AF1435" s="82"/>
      <c r="AG1435" s="82"/>
      <c r="AH1435" s="82"/>
      <c r="AI1435" s="82"/>
      <c r="AJ1435" s="82"/>
      <c r="AK1435" s="82"/>
      <c r="AL1435" s="82"/>
      <c r="AM1435" s="82"/>
      <c r="AN1435" s="82">
        <f>IFERROR(__xludf.DUMMYFUNCTION("""COMPUTED_VALUE"""),0.0)</f>
        <v>0</v>
      </c>
      <c r="AO1435" s="82">
        <f>IFERROR(__xludf.DUMMYFUNCTION("""COMPUTED_VALUE"""),0.0)</f>
        <v>0</v>
      </c>
      <c r="AP1435" s="82">
        <f>IFERROR(__xludf.DUMMYFUNCTION("""COMPUTED_VALUE"""),0.0)</f>
        <v>0</v>
      </c>
      <c r="AQ1435" s="82">
        <f>IFERROR(__xludf.DUMMYFUNCTION("""COMPUTED_VALUE"""),0.0)</f>
        <v>0</v>
      </c>
      <c r="AR1435" s="82">
        <f>IFERROR(__xludf.DUMMYFUNCTION("""COMPUTED_VALUE"""),0.0)</f>
        <v>0</v>
      </c>
      <c r="AS1435" s="82"/>
      <c r="AT1435" s="82">
        <f>IFERROR(__xludf.DUMMYFUNCTION("""COMPUTED_VALUE"""),0.0)</f>
        <v>0</v>
      </c>
      <c r="AU1435" s="82"/>
      <c r="AV1435" s="82"/>
      <c r="AW1435" s="82" t="str">
        <f t="shared" si="1"/>
        <v/>
      </c>
      <c r="AX1435" s="83" t="str">
        <f t="array" ref="AX1435">IFERROR(DGET('SBV Import'!A:G,"SBV",{"RSC ID","Tier";B1435,A1435}))</f>
        <v/>
      </c>
      <c r="AY1435" s="82" t="str">
        <f t="shared" si="2"/>
        <v/>
      </c>
      <c r="AZ1435" s="82"/>
      <c r="BA1435" s="84" t="s">
        <v>152</v>
      </c>
      <c r="BB1435" s="84" t="str">
        <f>IFERROR(__xludf.DUMMYFUNCTION("iferror(if(A1435="""",,E1435&gt;=FILTER(Constants!$F$2:$F$10,Constants!$A$2:$A$10=A1435)))"),"")</f>
        <v/>
      </c>
    </row>
    <row r="1436">
      <c r="A1436" s="89"/>
      <c r="B1436" s="87"/>
      <c r="C1436" s="73"/>
      <c r="D1436" s="73"/>
      <c r="E1436" s="82"/>
      <c r="F1436" s="82"/>
      <c r="G1436" s="86"/>
      <c r="H1436" s="86"/>
      <c r="I1436" s="86"/>
      <c r="J1436" s="82"/>
      <c r="K1436" s="82"/>
      <c r="L1436" s="82"/>
      <c r="M1436" s="82"/>
      <c r="N1436" s="82"/>
      <c r="O1436" s="82"/>
      <c r="P1436" s="82"/>
      <c r="Q1436" s="82"/>
      <c r="R1436" s="82"/>
      <c r="S1436" s="82"/>
      <c r="T1436" s="82"/>
      <c r="U1436" s="82"/>
      <c r="V1436" s="82"/>
      <c r="W1436" s="82"/>
      <c r="X1436" s="82"/>
      <c r="Y1436" s="82"/>
      <c r="Z1436" s="82"/>
      <c r="AA1436" s="82"/>
      <c r="AB1436" s="82"/>
      <c r="AC1436" s="82"/>
      <c r="AD1436" s="82"/>
      <c r="AE1436" s="82"/>
      <c r="AF1436" s="82"/>
      <c r="AG1436" s="82"/>
      <c r="AH1436" s="82"/>
      <c r="AI1436" s="82"/>
      <c r="AJ1436" s="82"/>
      <c r="AK1436" s="82"/>
      <c r="AL1436" s="82"/>
      <c r="AM1436" s="82"/>
      <c r="AN1436" s="82">
        <f>IFERROR(__xludf.DUMMYFUNCTION("""COMPUTED_VALUE"""),0.0)</f>
        <v>0</v>
      </c>
      <c r="AO1436" s="82">
        <f>IFERROR(__xludf.DUMMYFUNCTION("""COMPUTED_VALUE"""),0.0)</f>
        <v>0</v>
      </c>
      <c r="AP1436" s="82">
        <f>IFERROR(__xludf.DUMMYFUNCTION("""COMPUTED_VALUE"""),0.0)</f>
        <v>0</v>
      </c>
      <c r="AQ1436" s="82">
        <f>IFERROR(__xludf.DUMMYFUNCTION("""COMPUTED_VALUE"""),0.0)</f>
        <v>0</v>
      </c>
      <c r="AR1436" s="82">
        <f>IFERROR(__xludf.DUMMYFUNCTION("""COMPUTED_VALUE"""),0.0)</f>
        <v>0</v>
      </c>
      <c r="AS1436" s="82"/>
      <c r="AT1436" s="82">
        <f>IFERROR(__xludf.DUMMYFUNCTION("""COMPUTED_VALUE"""),0.0)</f>
        <v>0</v>
      </c>
      <c r="AU1436" s="82"/>
      <c r="AV1436" s="82"/>
      <c r="AW1436" s="82" t="str">
        <f t="shared" si="1"/>
        <v/>
      </c>
      <c r="AX1436" s="83" t="str">
        <f t="array" ref="AX1436">IFERROR(DGET('SBV Import'!A:G,"SBV",{"RSC ID","Tier";B1436,A1436}))</f>
        <v/>
      </c>
      <c r="AY1436" s="82" t="str">
        <f t="shared" si="2"/>
        <v/>
      </c>
      <c r="AZ1436" s="82"/>
      <c r="BA1436" s="84" t="s">
        <v>152</v>
      </c>
      <c r="BB1436" s="84" t="str">
        <f>IFERROR(__xludf.DUMMYFUNCTION("iferror(if(A1436="""",,E1436&gt;=FILTER(Constants!$F$2:$F$10,Constants!$A$2:$A$10=A1436)))"),"")</f>
        <v/>
      </c>
    </row>
    <row r="1437">
      <c r="A1437" s="89"/>
      <c r="B1437" s="87"/>
      <c r="C1437" s="73"/>
      <c r="D1437" s="73"/>
      <c r="E1437" s="82"/>
      <c r="F1437" s="82"/>
      <c r="G1437" s="86"/>
      <c r="H1437" s="86"/>
      <c r="I1437" s="86"/>
      <c r="J1437" s="82"/>
      <c r="K1437" s="82"/>
      <c r="L1437" s="82"/>
      <c r="M1437" s="82"/>
      <c r="N1437" s="82"/>
      <c r="O1437" s="82"/>
      <c r="P1437" s="82"/>
      <c r="Q1437" s="82"/>
      <c r="R1437" s="82"/>
      <c r="S1437" s="82"/>
      <c r="T1437" s="82"/>
      <c r="U1437" s="82"/>
      <c r="V1437" s="82"/>
      <c r="W1437" s="82"/>
      <c r="X1437" s="82"/>
      <c r="Y1437" s="82"/>
      <c r="Z1437" s="82"/>
      <c r="AA1437" s="82"/>
      <c r="AB1437" s="82"/>
      <c r="AC1437" s="82"/>
      <c r="AD1437" s="82"/>
      <c r="AE1437" s="82"/>
      <c r="AF1437" s="82"/>
      <c r="AG1437" s="82"/>
      <c r="AH1437" s="82"/>
      <c r="AI1437" s="82"/>
      <c r="AJ1437" s="82"/>
      <c r="AK1437" s="82"/>
      <c r="AL1437" s="82"/>
      <c r="AM1437" s="82"/>
      <c r="AN1437" s="82">
        <f>IFERROR(__xludf.DUMMYFUNCTION("""COMPUTED_VALUE"""),0.0)</f>
        <v>0</v>
      </c>
      <c r="AO1437" s="82">
        <f>IFERROR(__xludf.DUMMYFUNCTION("""COMPUTED_VALUE"""),0.0)</f>
        <v>0</v>
      </c>
      <c r="AP1437" s="82">
        <f>IFERROR(__xludf.DUMMYFUNCTION("""COMPUTED_VALUE"""),0.0)</f>
        <v>0</v>
      </c>
      <c r="AQ1437" s="82">
        <f>IFERROR(__xludf.DUMMYFUNCTION("""COMPUTED_VALUE"""),0.0)</f>
        <v>0</v>
      </c>
      <c r="AR1437" s="82">
        <f>IFERROR(__xludf.DUMMYFUNCTION("""COMPUTED_VALUE"""),0.0)</f>
        <v>0</v>
      </c>
      <c r="AS1437" s="82"/>
      <c r="AT1437" s="82">
        <f>IFERROR(__xludf.DUMMYFUNCTION("""COMPUTED_VALUE"""),0.0)</f>
        <v>0</v>
      </c>
      <c r="AU1437" s="82"/>
      <c r="AV1437" s="82"/>
      <c r="AW1437" s="82" t="str">
        <f t="shared" si="1"/>
        <v/>
      </c>
      <c r="AX1437" s="83" t="str">
        <f t="array" ref="AX1437">IFERROR(DGET('SBV Import'!A:G,"SBV",{"RSC ID","Tier";B1437,A1437}))</f>
        <v/>
      </c>
      <c r="AY1437" s="82" t="str">
        <f t="shared" si="2"/>
        <v/>
      </c>
      <c r="AZ1437" s="82"/>
      <c r="BA1437" s="84" t="s">
        <v>152</v>
      </c>
      <c r="BB1437" s="84" t="str">
        <f>IFERROR(__xludf.DUMMYFUNCTION("iferror(if(A1437="""",,E1437&gt;=FILTER(Constants!$F$2:$F$10,Constants!$A$2:$A$10=A1437)))"),"")</f>
        <v/>
      </c>
    </row>
    <row r="1438">
      <c r="A1438" s="89"/>
      <c r="B1438" s="87"/>
      <c r="C1438" s="73"/>
      <c r="D1438" s="73"/>
      <c r="E1438" s="82"/>
      <c r="F1438" s="82"/>
      <c r="G1438" s="86"/>
      <c r="H1438" s="86"/>
      <c r="I1438" s="86"/>
      <c r="J1438" s="82"/>
      <c r="K1438" s="82"/>
      <c r="L1438" s="82"/>
      <c r="M1438" s="82"/>
      <c r="N1438" s="82"/>
      <c r="O1438" s="82"/>
      <c r="P1438" s="82"/>
      <c r="Q1438" s="82"/>
      <c r="R1438" s="82"/>
      <c r="S1438" s="82"/>
      <c r="T1438" s="82"/>
      <c r="U1438" s="82"/>
      <c r="V1438" s="82"/>
      <c r="W1438" s="82"/>
      <c r="X1438" s="82"/>
      <c r="Y1438" s="82"/>
      <c r="Z1438" s="82"/>
      <c r="AA1438" s="82"/>
      <c r="AB1438" s="82"/>
      <c r="AC1438" s="82"/>
      <c r="AD1438" s="82"/>
      <c r="AE1438" s="82"/>
      <c r="AF1438" s="82"/>
      <c r="AG1438" s="82"/>
      <c r="AH1438" s="82"/>
      <c r="AI1438" s="82"/>
      <c r="AJ1438" s="82"/>
      <c r="AK1438" s="82"/>
      <c r="AL1438" s="82"/>
      <c r="AM1438" s="82"/>
      <c r="AN1438" s="82">
        <f>IFERROR(__xludf.DUMMYFUNCTION("""COMPUTED_VALUE"""),0.0)</f>
        <v>0</v>
      </c>
      <c r="AO1438" s="82">
        <f>IFERROR(__xludf.DUMMYFUNCTION("""COMPUTED_VALUE"""),0.0)</f>
        <v>0</v>
      </c>
      <c r="AP1438" s="82">
        <f>IFERROR(__xludf.DUMMYFUNCTION("""COMPUTED_VALUE"""),0.0)</f>
        <v>0</v>
      </c>
      <c r="AQ1438" s="82">
        <f>IFERROR(__xludf.DUMMYFUNCTION("""COMPUTED_VALUE"""),0.0)</f>
        <v>0</v>
      </c>
      <c r="AR1438" s="82">
        <f>IFERROR(__xludf.DUMMYFUNCTION("""COMPUTED_VALUE"""),0.0)</f>
        <v>0</v>
      </c>
      <c r="AS1438" s="82"/>
      <c r="AT1438" s="82">
        <f>IFERROR(__xludf.DUMMYFUNCTION("""COMPUTED_VALUE"""),0.0)</f>
        <v>0</v>
      </c>
      <c r="AU1438" s="82"/>
      <c r="AV1438" s="82"/>
      <c r="AW1438" s="82" t="str">
        <f t="shared" si="1"/>
        <v/>
      </c>
      <c r="AX1438" s="83" t="str">
        <f t="array" ref="AX1438">IFERROR(DGET('SBV Import'!A:G,"SBV",{"RSC ID","Tier";B1438,A1438}))</f>
        <v/>
      </c>
      <c r="AY1438" s="82" t="str">
        <f t="shared" si="2"/>
        <v/>
      </c>
      <c r="AZ1438" s="82"/>
      <c r="BA1438" s="84" t="s">
        <v>152</v>
      </c>
      <c r="BB1438" s="84" t="str">
        <f>IFERROR(__xludf.DUMMYFUNCTION("iferror(if(A1438="""",,E1438&gt;=FILTER(Constants!$F$2:$F$10,Constants!$A$2:$A$10=A1438)))"),"")</f>
        <v/>
      </c>
    </row>
    <row r="1439">
      <c r="A1439" s="89"/>
      <c r="B1439" s="87"/>
      <c r="C1439" s="73"/>
      <c r="D1439" s="73"/>
      <c r="E1439" s="82"/>
      <c r="F1439" s="82"/>
      <c r="G1439" s="86"/>
      <c r="H1439" s="86"/>
      <c r="I1439" s="86"/>
      <c r="J1439" s="82"/>
      <c r="K1439" s="82"/>
      <c r="L1439" s="82"/>
      <c r="M1439" s="82"/>
      <c r="N1439" s="82"/>
      <c r="O1439" s="82"/>
      <c r="P1439" s="82"/>
      <c r="Q1439" s="82"/>
      <c r="R1439" s="82"/>
      <c r="S1439" s="82"/>
      <c r="T1439" s="82"/>
      <c r="U1439" s="82"/>
      <c r="V1439" s="82"/>
      <c r="W1439" s="82"/>
      <c r="X1439" s="82"/>
      <c r="Y1439" s="82"/>
      <c r="Z1439" s="82"/>
      <c r="AA1439" s="82"/>
      <c r="AB1439" s="82"/>
      <c r="AC1439" s="82"/>
      <c r="AD1439" s="82"/>
      <c r="AE1439" s="82"/>
      <c r="AF1439" s="82"/>
      <c r="AG1439" s="82"/>
      <c r="AH1439" s="82"/>
      <c r="AI1439" s="82"/>
      <c r="AJ1439" s="82"/>
      <c r="AK1439" s="82"/>
      <c r="AL1439" s="82"/>
      <c r="AM1439" s="82"/>
      <c r="AN1439" s="82">
        <f>IFERROR(__xludf.DUMMYFUNCTION("""COMPUTED_VALUE"""),0.0)</f>
        <v>0</v>
      </c>
      <c r="AO1439" s="82">
        <f>IFERROR(__xludf.DUMMYFUNCTION("""COMPUTED_VALUE"""),0.0)</f>
        <v>0</v>
      </c>
      <c r="AP1439" s="82">
        <f>IFERROR(__xludf.DUMMYFUNCTION("""COMPUTED_VALUE"""),0.0)</f>
        <v>0</v>
      </c>
      <c r="AQ1439" s="82">
        <f>IFERROR(__xludf.DUMMYFUNCTION("""COMPUTED_VALUE"""),0.0)</f>
        <v>0</v>
      </c>
      <c r="AR1439" s="82">
        <f>IFERROR(__xludf.DUMMYFUNCTION("""COMPUTED_VALUE"""),0.0)</f>
        <v>0</v>
      </c>
      <c r="AS1439" s="82"/>
      <c r="AT1439" s="82">
        <f>IFERROR(__xludf.DUMMYFUNCTION("""COMPUTED_VALUE"""),0.0)</f>
        <v>0</v>
      </c>
      <c r="AU1439" s="82"/>
      <c r="AV1439" s="82"/>
      <c r="AW1439" s="82" t="str">
        <f t="shared" si="1"/>
        <v/>
      </c>
      <c r="AX1439" s="83" t="str">
        <f t="array" ref="AX1439">IFERROR(DGET('SBV Import'!A:G,"SBV",{"RSC ID","Tier";B1439,A1439}))</f>
        <v/>
      </c>
      <c r="AY1439" s="82" t="str">
        <f t="shared" si="2"/>
        <v/>
      </c>
      <c r="AZ1439" s="82"/>
      <c r="BA1439" s="84" t="s">
        <v>152</v>
      </c>
      <c r="BB1439" s="84" t="str">
        <f>IFERROR(__xludf.DUMMYFUNCTION("iferror(if(A1439="""",,E1439&gt;=FILTER(Constants!$F$2:$F$10,Constants!$A$2:$A$10=A1439)))"),"")</f>
        <v/>
      </c>
    </row>
    <row r="1440">
      <c r="A1440" s="89"/>
      <c r="B1440" s="87"/>
      <c r="C1440" s="73"/>
      <c r="D1440" s="73"/>
      <c r="E1440" s="82"/>
      <c r="F1440" s="82"/>
      <c r="G1440" s="86"/>
      <c r="H1440" s="86"/>
      <c r="I1440" s="86"/>
      <c r="J1440" s="82"/>
      <c r="K1440" s="82"/>
      <c r="L1440" s="82"/>
      <c r="M1440" s="82"/>
      <c r="N1440" s="82"/>
      <c r="O1440" s="82"/>
      <c r="P1440" s="82"/>
      <c r="Q1440" s="82"/>
      <c r="R1440" s="82"/>
      <c r="S1440" s="82"/>
      <c r="T1440" s="82"/>
      <c r="U1440" s="82"/>
      <c r="V1440" s="82"/>
      <c r="W1440" s="82"/>
      <c r="X1440" s="82"/>
      <c r="Y1440" s="82"/>
      <c r="Z1440" s="82"/>
      <c r="AA1440" s="82"/>
      <c r="AB1440" s="82"/>
      <c r="AC1440" s="82"/>
      <c r="AD1440" s="82"/>
      <c r="AE1440" s="82"/>
      <c r="AF1440" s="82"/>
      <c r="AG1440" s="82"/>
      <c r="AH1440" s="82"/>
      <c r="AI1440" s="82"/>
      <c r="AJ1440" s="82"/>
      <c r="AK1440" s="82"/>
      <c r="AL1440" s="82"/>
      <c r="AM1440" s="82"/>
      <c r="AN1440" s="82">
        <f>IFERROR(__xludf.DUMMYFUNCTION("""COMPUTED_VALUE"""),0.0)</f>
        <v>0</v>
      </c>
      <c r="AO1440" s="82">
        <f>IFERROR(__xludf.DUMMYFUNCTION("""COMPUTED_VALUE"""),0.0)</f>
        <v>0</v>
      </c>
      <c r="AP1440" s="82">
        <f>IFERROR(__xludf.DUMMYFUNCTION("""COMPUTED_VALUE"""),0.0)</f>
        <v>0</v>
      </c>
      <c r="AQ1440" s="82">
        <f>IFERROR(__xludf.DUMMYFUNCTION("""COMPUTED_VALUE"""),0.0)</f>
        <v>0</v>
      </c>
      <c r="AR1440" s="82">
        <f>IFERROR(__xludf.DUMMYFUNCTION("""COMPUTED_VALUE"""),0.0)</f>
        <v>0</v>
      </c>
      <c r="AS1440" s="82"/>
      <c r="AT1440" s="82">
        <f>IFERROR(__xludf.DUMMYFUNCTION("""COMPUTED_VALUE"""),0.0)</f>
        <v>0</v>
      </c>
      <c r="AU1440" s="82"/>
      <c r="AV1440" s="82"/>
      <c r="AW1440" s="82" t="str">
        <f t="shared" si="1"/>
        <v/>
      </c>
      <c r="AX1440" s="83" t="str">
        <f t="array" ref="AX1440">IFERROR(DGET('SBV Import'!A:G,"SBV",{"RSC ID","Tier";B1440,A1440}))</f>
        <v/>
      </c>
      <c r="AY1440" s="82" t="str">
        <f t="shared" si="2"/>
        <v/>
      </c>
      <c r="AZ1440" s="82"/>
      <c r="BA1440" s="84" t="s">
        <v>152</v>
      </c>
      <c r="BB1440" s="84" t="str">
        <f>IFERROR(__xludf.DUMMYFUNCTION("iferror(if(A1440="""",,E1440&gt;=FILTER(Constants!$F$2:$F$10,Constants!$A$2:$A$10=A1440)))"),"")</f>
        <v/>
      </c>
    </row>
    <row r="1441">
      <c r="A1441" s="89"/>
      <c r="B1441" s="87"/>
      <c r="C1441" s="73"/>
      <c r="D1441" s="73"/>
      <c r="E1441" s="82"/>
      <c r="F1441" s="82"/>
      <c r="G1441" s="86"/>
      <c r="H1441" s="86"/>
      <c r="I1441" s="86"/>
      <c r="J1441" s="82"/>
      <c r="K1441" s="82"/>
      <c r="L1441" s="82"/>
      <c r="M1441" s="82"/>
      <c r="N1441" s="82"/>
      <c r="O1441" s="82"/>
      <c r="P1441" s="82"/>
      <c r="Q1441" s="82"/>
      <c r="R1441" s="82"/>
      <c r="S1441" s="82"/>
      <c r="T1441" s="82"/>
      <c r="U1441" s="82"/>
      <c r="V1441" s="82"/>
      <c r="W1441" s="82"/>
      <c r="X1441" s="82"/>
      <c r="Y1441" s="82"/>
      <c r="Z1441" s="82"/>
      <c r="AA1441" s="82"/>
      <c r="AB1441" s="82"/>
      <c r="AC1441" s="82"/>
      <c r="AD1441" s="82"/>
      <c r="AE1441" s="82"/>
      <c r="AF1441" s="82"/>
      <c r="AG1441" s="82"/>
      <c r="AH1441" s="82"/>
      <c r="AI1441" s="82"/>
      <c r="AJ1441" s="82"/>
      <c r="AK1441" s="82"/>
      <c r="AL1441" s="82"/>
      <c r="AM1441" s="82"/>
      <c r="AN1441" s="82">
        <f>IFERROR(__xludf.DUMMYFUNCTION("""COMPUTED_VALUE"""),0.0)</f>
        <v>0</v>
      </c>
      <c r="AO1441" s="82">
        <f>IFERROR(__xludf.DUMMYFUNCTION("""COMPUTED_VALUE"""),0.0)</f>
        <v>0</v>
      </c>
      <c r="AP1441" s="82">
        <f>IFERROR(__xludf.DUMMYFUNCTION("""COMPUTED_VALUE"""),0.0)</f>
        <v>0</v>
      </c>
      <c r="AQ1441" s="82">
        <f>IFERROR(__xludf.DUMMYFUNCTION("""COMPUTED_VALUE"""),0.0)</f>
        <v>0</v>
      </c>
      <c r="AR1441" s="82">
        <f>IFERROR(__xludf.DUMMYFUNCTION("""COMPUTED_VALUE"""),0.0)</f>
        <v>0</v>
      </c>
      <c r="AS1441" s="82"/>
      <c r="AT1441" s="82">
        <f>IFERROR(__xludf.DUMMYFUNCTION("""COMPUTED_VALUE"""),0.0)</f>
        <v>0</v>
      </c>
      <c r="AU1441" s="82"/>
      <c r="AV1441" s="82"/>
      <c r="AW1441" s="82" t="str">
        <f t="shared" si="1"/>
        <v/>
      </c>
      <c r="AX1441" s="83" t="str">
        <f t="array" ref="AX1441">IFERROR(DGET('SBV Import'!A:G,"SBV",{"RSC ID","Tier";B1441,A1441}))</f>
        <v/>
      </c>
      <c r="AY1441" s="82" t="str">
        <f t="shared" si="2"/>
        <v/>
      </c>
      <c r="AZ1441" s="82"/>
      <c r="BA1441" s="84" t="s">
        <v>152</v>
      </c>
      <c r="BB1441" s="84" t="str">
        <f>IFERROR(__xludf.DUMMYFUNCTION("iferror(if(A1441="""",,E1441&gt;=FILTER(Constants!$F$2:$F$10,Constants!$A$2:$A$10=A1441)))"),"")</f>
        <v/>
      </c>
    </row>
    <row r="1442">
      <c r="A1442" s="89"/>
      <c r="B1442" s="87"/>
      <c r="C1442" s="73"/>
      <c r="D1442" s="73"/>
      <c r="E1442" s="82"/>
      <c r="F1442" s="82"/>
      <c r="G1442" s="86"/>
      <c r="H1442" s="86"/>
      <c r="I1442" s="86"/>
      <c r="J1442" s="82"/>
      <c r="K1442" s="82"/>
      <c r="L1442" s="82"/>
      <c r="M1442" s="82"/>
      <c r="N1442" s="82"/>
      <c r="O1442" s="82"/>
      <c r="P1442" s="82"/>
      <c r="Q1442" s="82"/>
      <c r="R1442" s="82"/>
      <c r="S1442" s="82"/>
      <c r="T1442" s="82"/>
      <c r="U1442" s="82"/>
      <c r="V1442" s="82"/>
      <c r="W1442" s="82"/>
      <c r="X1442" s="82"/>
      <c r="Y1442" s="82"/>
      <c r="Z1442" s="82"/>
      <c r="AA1442" s="82"/>
      <c r="AB1442" s="82"/>
      <c r="AC1442" s="82"/>
      <c r="AD1442" s="82"/>
      <c r="AE1442" s="82"/>
      <c r="AF1442" s="82"/>
      <c r="AG1442" s="82"/>
      <c r="AH1442" s="82"/>
      <c r="AI1442" s="82"/>
      <c r="AJ1442" s="82"/>
      <c r="AK1442" s="82"/>
      <c r="AL1442" s="82"/>
      <c r="AM1442" s="82"/>
      <c r="AN1442" s="82">
        <f>IFERROR(__xludf.DUMMYFUNCTION("""COMPUTED_VALUE"""),0.0)</f>
        <v>0</v>
      </c>
      <c r="AO1442" s="82">
        <f>IFERROR(__xludf.DUMMYFUNCTION("""COMPUTED_VALUE"""),0.0)</f>
        <v>0</v>
      </c>
      <c r="AP1442" s="82">
        <f>IFERROR(__xludf.DUMMYFUNCTION("""COMPUTED_VALUE"""),0.0)</f>
        <v>0</v>
      </c>
      <c r="AQ1442" s="82">
        <f>IFERROR(__xludf.DUMMYFUNCTION("""COMPUTED_VALUE"""),0.0)</f>
        <v>0</v>
      </c>
      <c r="AR1442" s="82">
        <f>IFERROR(__xludf.DUMMYFUNCTION("""COMPUTED_VALUE"""),0.0)</f>
        <v>0</v>
      </c>
      <c r="AS1442" s="82"/>
      <c r="AT1442" s="82">
        <f>IFERROR(__xludf.DUMMYFUNCTION("""COMPUTED_VALUE"""),0.0)</f>
        <v>0</v>
      </c>
      <c r="AU1442" s="82"/>
      <c r="AV1442" s="82"/>
      <c r="AW1442" s="82" t="str">
        <f t="shared" si="1"/>
        <v/>
      </c>
      <c r="AX1442" s="83" t="str">
        <f t="array" ref="AX1442">IFERROR(DGET('SBV Import'!A:G,"SBV",{"RSC ID","Tier";B1442,A1442}))</f>
        <v/>
      </c>
      <c r="AY1442" s="82" t="str">
        <f t="shared" si="2"/>
        <v/>
      </c>
      <c r="AZ1442" s="82"/>
      <c r="BA1442" s="84" t="s">
        <v>152</v>
      </c>
      <c r="BB1442" s="84" t="str">
        <f>IFERROR(__xludf.DUMMYFUNCTION("iferror(if(A1442="""",,E1442&gt;=FILTER(Constants!$F$2:$F$10,Constants!$A$2:$A$10=A1442)))"),"")</f>
        <v/>
      </c>
    </row>
    <row r="1443">
      <c r="A1443" s="89"/>
      <c r="B1443" s="87"/>
      <c r="C1443" s="73"/>
      <c r="D1443" s="73"/>
      <c r="E1443" s="82"/>
      <c r="F1443" s="82"/>
      <c r="G1443" s="86"/>
      <c r="H1443" s="86"/>
      <c r="I1443" s="86"/>
      <c r="J1443" s="82"/>
      <c r="K1443" s="82"/>
      <c r="L1443" s="82"/>
      <c r="M1443" s="82"/>
      <c r="N1443" s="82"/>
      <c r="O1443" s="82"/>
      <c r="P1443" s="82"/>
      <c r="Q1443" s="82"/>
      <c r="R1443" s="82"/>
      <c r="S1443" s="82"/>
      <c r="T1443" s="82"/>
      <c r="U1443" s="82"/>
      <c r="V1443" s="82"/>
      <c r="W1443" s="82"/>
      <c r="X1443" s="82"/>
      <c r="Y1443" s="82"/>
      <c r="Z1443" s="82"/>
      <c r="AA1443" s="82"/>
      <c r="AB1443" s="82"/>
      <c r="AC1443" s="82"/>
      <c r="AD1443" s="82"/>
      <c r="AE1443" s="82"/>
      <c r="AF1443" s="82"/>
      <c r="AG1443" s="82"/>
      <c r="AH1443" s="82"/>
      <c r="AI1443" s="82"/>
      <c r="AJ1443" s="82"/>
      <c r="AK1443" s="82"/>
      <c r="AL1443" s="82"/>
      <c r="AM1443" s="82"/>
      <c r="AN1443" s="82">
        <f>IFERROR(__xludf.DUMMYFUNCTION("""COMPUTED_VALUE"""),0.0)</f>
        <v>0</v>
      </c>
      <c r="AO1443" s="82">
        <f>IFERROR(__xludf.DUMMYFUNCTION("""COMPUTED_VALUE"""),0.0)</f>
        <v>0</v>
      </c>
      <c r="AP1443" s="82">
        <f>IFERROR(__xludf.DUMMYFUNCTION("""COMPUTED_VALUE"""),0.0)</f>
        <v>0</v>
      </c>
      <c r="AQ1443" s="82">
        <f>IFERROR(__xludf.DUMMYFUNCTION("""COMPUTED_VALUE"""),0.0)</f>
        <v>0</v>
      </c>
      <c r="AR1443" s="82">
        <f>IFERROR(__xludf.DUMMYFUNCTION("""COMPUTED_VALUE"""),0.0)</f>
        <v>0</v>
      </c>
      <c r="AS1443" s="82"/>
      <c r="AT1443" s="82">
        <f>IFERROR(__xludf.DUMMYFUNCTION("""COMPUTED_VALUE"""),0.0)</f>
        <v>0</v>
      </c>
      <c r="AU1443" s="82"/>
      <c r="AV1443" s="82"/>
      <c r="AW1443" s="82" t="str">
        <f t="shared" si="1"/>
        <v/>
      </c>
      <c r="AX1443" s="83" t="str">
        <f t="array" ref="AX1443">IFERROR(DGET('SBV Import'!A:G,"SBV",{"RSC ID","Tier";B1443,A1443}))</f>
        <v/>
      </c>
      <c r="AY1443" s="82" t="str">
        <f t="shared" si="2"/>
        <v/>
      </c>
      <c r="AZ1443" s="82"/>
      <c r="BA1443" s="84" t="s">
        <v>152</v>
      </c>
      <c r="BB1443" s="84" t="str">
        <f>IFERROR(__xludf.DUMMYFUNCTION("iferror(if(A1443="""",,E1443&gt;=FILTER(Constants!$F$2:$F$10,Constants!$A$2:$A$10=A1443)))"),"")</f>
        <v/>
      </c>
    </row>
    <row r="1444">
      <c r="A1444" s="89"/>
      <c r="B1444" s="87"/>
      <c r="C1444" s="73"/>
      <c r="D1444" s="73"/>
      <c r="E1444" s="82"/>
      <c r="F1444" s="82"/>
      <c r="G1444" s="86"/>
      <c r="H1444" s="86"/>
      <c r="I1444" s="86"/>
      <c r="J1444" s="82"/>
      <c r="K1444" s="82"/>
      <c r="L1444" s="82"/>
      <c r="M1444" s="82"/>
      <c r="N1444" s="82"/>
      <c r="O1444" s="82"/>
      <c r="P1444" s="82"/>
      <c r="Q1444" s="82"/>
      <c r="R1444" s="82"/>
      <c r="S1444" s="82"/>
      <c r="T1444" s="82"/>
      <c r="U1444" s="82"/>
      <c r="V1444" s="82"/>
      <c r="W1444" s="82"/>
      <c r="X1444" s="82"/>
      <c r="Y1444" s="82"/>
      <c r="Z1444" s="82"/>
      <c r="AA1444" s="82"/>
      <c r="AB1444" s="82"/>
      <c r="AC1444" s="82"/>
      <c r="AD1444" s="82"/>
      <c r="AE1444" s="82"/>
      <c r="AF1444" s="82"/>
      <c r="AG1444" s="82"/>
      <c r="AH1444" s="82"/>
      <c r="AI1444" s="82"/>
      <c r="AJ1444" s="82"/>
      <c r="AK1444" s="82"/>
      <c r="AL1444" s="82"/>
      <c r="AM1444" s="82"/>
      <c r="AN1444" s="82">
        <f>IFERROR(__xludf.DUMMYFUNCTION("""COMPUTED_VALUE"""),0.0)</f>
        <v>0</v>
      </c>
      <c r="AO1444" s="82">
        <f>IFERROR(__xludf.DUMMYFUNCTION("""COMPUTED_VALUE"""),0.0)</f>
        <v>0</v>
      </c>
      <c r="AP1444" s="82">
        <f>IFERROR(__xludf.DUMMYFUNCTION("""COMPUTED_VALUE"""),0.0)</f>
        <v>0</v>
      </c>
      <c r="AQ1444" s="82">
        <f>IFERROR(__xludf.DUMMYFUNCTION("""COMPUTED_VALUE"""),0.0)</f>
        <v>0</v>
      </c>
      <c r="AR1444" s="82">
        <f>IFERROR(__xludf.DUMMYFUNCTION("""COMPUTED_VALUE"""),0.0)</f>
        <v>0</v>
      </c>
      <c r="AS1444" s="82"/>
      <c r="AT1444" s="82">
        <f>IFERROR(__xludf.DUMMYFUNCTION("""COMPUTED_VALUE"""),0.0)</f>
        <v>0</v>
      </c>
      <c r="AU1444" s="82"/>
      <c r="AV1444" s="82"/>
      <c r="AW1444" s="82" t="str">
        <f t="shared" si="1"/>
        <v/>
      </c>
      <c r="AX1444" s="83" t="str">
        <f t="array" ref="AX1444">IFERROR(DGET('SBV Import'!A:G,"SBV",{"RSC ID","Tier";B1444,A1444}))</f>
        <v/>
      </c>
      <c r="AY1444" s="82" t="str">
        <f t="shared" si="2"/>
        <v/>
      </c>
      <c r="AZ1444" s="82"/>
      <c r="BA1444" s="84" t="s">
        <v>152</v>
      </c>
      <c r="BB1444" s="84" t="str">
        <f>IFERROR(__xludf.DUMMYFUNCTION("iferror(if(A1444="""",,E1444&gt;=FILTER(Constants!$F$2:$F$10,Constants!$A$2:$A$10=A1444)))"),"")</f>
        <v/>
      </c>
    </row>
    <row r="1445">
      <c r="A1445" s="89"/>
      <c r="B1445" s="87"/>
      <c r="C1445" s="73"/>
      <c r="D1445" s="73"/>
      <c r="E1445" s="82"/>
      <c r="F1445" s="82"/>
      <c r="G1445" s="86"/>
      <c r="H1445" s="86"/>
      <c r="I1445" s="86"/>
      <c r="J1445" s="82"/>
      <c r="K1445" s="82"/>
      <c r="L1445" s="82"/>
      <c r="M1445" s="82"/>
      <c r="N1445" s="82"/>
      <c r="O1445" s="82"/>
      <c r="P1445" s="82"/>
      <c r="Q1445" s="82"/>
      <c r="R1445" s="82"/>
      <c r="S1445" s="82"/>
      <c r="T1445" s="82"/>
      <c r="U1445" s="82"/>
      <c r="V1445" s="82"/>
      <c r="W1445" s="82"/>
      <c r="X1445" s="82"/>
      <c r="Y1445" s="82"/>
      <c r="Z1445" s="82"/>
      <c r="AA1445" s="82"/>
      <c r="AB1445" s="82"/>
      <c r="AC1445" s="82"/>
      <c r="AD1445" s="82"/>
      <c r="AE1445" s="82"/>
      <c r="AF1445" s="82"/>
      <c r="AG1445" s="82"/>
      <c r="AH1445" s="82"/>
      <c r="AI1445" s="82"/>
      <c r="AJ1445" s="82"/>
      <c r="AK1445" s="82"/>
      <c r="AL1445" s="82"/>
      <c r="AM1445" s="82"/>
      <c r="AN1445" s="82">
        <f>IFERROR(__xludf.DUMMYFUNCTION("""COMPUTED_VALUE"""),0.0)</f>
        <v>0</v>
      </c>
      <c r="AO1445" s="82">
        <f>IFERROR(__xludf.DUMMYFUNCTION("""COMPUTED_VALUE"""),0.0)</f>
        <v>0</v>
      </c>
      <c r="AP1445" s="82">
        <f>IFERROR(__xludf.DUMMYFUNCTION("""COMPUTED_VALUE"""),0.0)</f>
        <v>0</v>
      </c>
      <c r="AQ1445" s="82">
        <f>IFERROR(__xludf.DUMMYFUNCTION("""COMPUTED_VALUE"""),0.0)</f>
        <v>0</v>
      </c>
      <c r="AR1445" s="82">
        <f>IFERROR(__xludf.DUMMYFUNCTION("""COMPUTED_VALUE"""),0.0)</f>
        <v>0</v>
      </c>
      <c r="AS1445" s="82"/>
      <c r="AT1445" s="82">
        <f>IFERROR(__xludf.DUMMYFUNCTION("""COMPUTED_VALUE"""),0.0)</f>
        <v>0</v>
      </c>
      <c r="AU1445" s="82"/>
      <c r="AV1445" s="82"/>
      <c r="AW1445" s="82" t="str">
        <f t="shared" si="1"/>
        <v/>
      </c>
      <c r="AX1445" s="83" t="str">
        <f t="array" ref="AX1445">IFERROR(DGET('SBV Import'!A:G,"SBV",{"RSC ID","Tier";B1445,A1445}))</f>
        <v/>
      </c>
      <c r="AY1445" s="82" t="str">
        <f t="shared" si="2"/>
        <v/>
      </c>
      <c r="AZ1445" s="82"/>
      <c r="BA1445" s="84" t="s">
        <v>152</v>
      </c>
      <c r="BB1445" s="84" t="str">
        <f>IFERROR(__xludf.DUMMYFUNCTION("iferror(if(A1445="""",,E1445&gt;=FILTER(Constants!$F$2:$F$10,Constants!$A$2:$A$10=A1445)))"),"")</f>
        <v/>
      </c>
    </row>
    <row r="1446">
      <c r="A1446" s="89"/>
      <c r="B1446" s="87"/>
      <c r="C1446" s="73"/>
      <c r="D1446" s="73"/>
      <c r="E1446" s="82"/>
      <c r="F1446" s="82"/>
      <c r="G1446" s="86"/>
      <c r="H1446" s="86"/>
      <c r="I1446" s="86"/>
      <c r="J1446" s="82"/>
      <c r="K1446" s="82"/>
      <c r="L1446" s="82"/>
      <c r="M1446" s="82"/>
      <c r="N1446" s="82"/>
      <c r="O1446" s="82"/>
      <c r="P1446" s="82"/>
      <c r="Q1446" s="82"/>
      <c r="R1446" s="82"/>
      <c r="S1446" s="82"/>
      <c r="T1446" s="82"/>
      <c r="U1446" s="82"/>
      <c r="V1446" s="82"/>
      <c r="W1446" s="82"/>
      <c r="X1446" s="82"/>
      <c r="Y1446" s="82"/>
      <c r="Z1446" s="82"/>
      <c r="AA1446" s="82"/>
      <c r="AB1446" s="82"/>
      <c r="AC1446" s="82"/>
      <c r="AD1446" s="82"/>
      <c r="AE1446" s="82"/>
      <c r="AF1446" s="82"/>
      <c r="AG1446" s="82"/>
      <c r="AH1446" s="82"/>
      <c r="AI1446" s="82"/>
      <c r="AJ1446" s="82"/>
      <c r="AK1446" s="82"/>
      <c r="AL1446" s="82"/>
      <c r="AM1446" s="82"/>
      <c r="AN1446" s="82">
        <f>IFERROR(__xludf.DUMMYFUNCTION("""COMPUTED_VALUE"""),0.0)</f>
        <v>0</v>
      </c>
      <c r="AO1446" s="82">
        <f>IFERROR(__xludf.DUMMYFUNCTION("""COMPUTED_VALUE"""),0.0)</f>
        <v>0</v>
      </c>
      <c r="AP1446" s="82">
        <f>IFERROR(__xludf.DUMMYFUNCTION("""COMPUTED_VALUE"""),0.0)</f>
        <v>0</v>
      </c>
      <c r="AQ1446" s="82">
        <f>IFERROR(__xludf.DUMMYFUNCTION("""COMPUTED_VALUE"""),0.0)</f>
        <v>0</v>
      </c>
      <c r="AR1446" s="82">
        <f>IFERROR(__xludf.DUMMYFUNCTION("""COMPUTED_VALUE"""),0.0)</f>
        <v>0</v>
      </c>
      <c r="AS1446" s="82"/>
      <c r="AT1446" s="82">
        <f>IFERROR(__xludf.DUMMYFUNCTION("""COMPUTED_VALUE"""),0.0)</f>
        <v>0</v>
      </c>
      <c r="AU1446" s="82"/>
      <c r="AV1446" s="82"/>
      <c r="AW1446" s="82" t="str">
        <f t="shared" si="1"/>
        <v/>
      </c>
      <c r="AX1446" s="83" t="str">
        <f t="array" ref="AX1446">IFERROR(DGET('SBV Import'!A:G,"SBV",{"RSC ID","Tier";B1446,A1446}))</f>
        <v/>
      </c>
      <c r="AY1446" s="82" t="str">
        <f t="shared" si="2"/>
        <v/>
      </c>
      <c r="AZ1446" s="82"/>
      <c r="BA1446" s="84" t="s">
        <v>152</v>
      </c>
      <c r="BB1446" s="84" t="str">
        <f>IFERROR(__xludf.DUMMYFUNCTION("iferror(if(A1446="""",,E1446&gt;=FILTER(Constants!$F$2:$F$10,Constants!$A$2:$A$10=A1446)))"),"")</f>
        <v/>
      </c>
    </row>
    <row r="1447">
      <c r="A1447" s="89"/>
      <c r="B1447" s="87"/>
      <c r="C1447" s="73"/>
      <c r="D1447" s="73"/>
      <c r="E1447" s="82"/>
      <c r="F1447" s="82"/>
      <c r="G1447" s="86"/>
      <c r="H1447" s="86"/>
      <c r="I1447" s="86"/>
      <c r="J1447" s="82"/>
      <c r="K1447" s="82"/>
      <c r="L1447" s="82"/>
      <c r="M1447" s="82"/>
      <c r="N1447" s="82"/>
      <c r="O1447" s="82"/>
      <c r="P1447" s="82"/>
      <c r="Q1447" s="82"/>
      <c r="R1447" s="82"/>
      <c r="S1447" s="82"/>
      <c r="T1447" s="82"/>
      <c r="U1447" s="82"/>
      <c r="V1447" s="82"/>
      <c r="W1447" s="82"/>
      <c r="X1447" s="82"/>
      <c r="Y1447" s="82"/>
      <c r="Z1447" s="82"/>
      <c r="AA1447" s="82"/>
      <c r="AB1447" s="82"/>
      <c r="AC1447" s="82"/>
      <c r="AD1447" s="82"/>
      <c r="AE1447" s="82"/>
      <c r="AF1447" s="82"/>
      <c r="AG1447" s="82"/>
      <c r="AH1447" s="82"/>
      <c r="AI1447" s="82"/>
      <c r="AJ1447" s="82"/>
      <c r="AK1447" s="82"/>
      <c r="AL1447" s="82"/>
      <c r="AM1447" s="82"/>
      <c r="AN1447" s="82">
        <f>IFERROR(__xludf.DUMMYFUNCTION("""COMPUTED_VALUE"""),0.0)</f>
        <v>0</v>
      </c>
      <c r="AO1447" s="82">
        <f>IFERROR(__xludf.DUMMYFUNCTION("""COMPUTED_VALUE"""),0.0)</f>
        <v>0</v>
      </c>
      <c r="AP1447" s="82">
        <f>IFERROR(__xludf.DUMMYFUNCTION("""COMPUTED_VALUE"""),0.0)</f>
        <v>0</v>
      </c>
      <c r="AQ1447" s="82">
        <f>IFERROR(__xludf.DUMMYFUNCTION("""COMPUTED_VALUE"""),0.0)</f>
        <v>0</v>
      </c>
      <c r="AR1447" s="82">
        <f>IFERROR(__xludf.DUMMYFUNCTION("""COMPUTED_VALUE"""),0.0)</f>
        <v>0</v>
      </c>
      <c r="AS1447" s="82"/>
      <c r="AT1447" s="82">
        <f>IFERROR(__xludf.DUMMYFUNCTION("""COMPUTED_VALUE"""),0.0)</f>
        <v>0</v>
      </c>
      <c r="AU1447" s="82"/>
      <c r="AV1447" s="82"/>
      <c r="AW1447" s="82" t="str">
        <f t="shared" si="1"/>
        <v/>
      </c>
      <c r="AX1447" s="83" t="str">
        <f t="array" ref="AX1447">IFERROR(DGET('SBV Import'!A:G,"SBV",{"RSC ID","Tier";B1447,A1447}))</f>
        <v/>
      </c>
      <c r="AY1447" s="82" t="str">
        <f t="shared" si="2"/>
        <v/>
      </c>
      <c r="AZ1447" s="82"/>
      <c r="BA1447" s="84" t="s">
        <v>152</v>
      </c>
      <c r="BB1447" s="84" t="str">
        <f>IFERROR(__xludf.DUMMYFUNCTION("iferror(if(A1447="""",,E1447&gt;=FILTER(Constants!$F$2:$F$10,Constants!$A$2:$A$10=A1447)))"),"")</f>
        <v/>
      </c>
    </row>
    <row r="1448">
      <c r="A1448" s="89"/>
      <c r="B1448" s="87"/>
      <c r="C1448" s="73"/>
      <c r="D1448" s="73"/>
      <c r="E1448" s="82"/>
      <c r="F1448" s="82"/>
      <c r="G1448" s="86"/>
      <c r="H1448" s="86"/>
      <c r="I1448" s="86"/>
      <c r="J1448" s="82"/>
      <c r="K1448" s="82"/>
      <c r="L1448" s="82"/>
      <c r="M1448" s="82"/>
      <c r="N1448" s="82"/>
      <c r="O1448" s="82"/>
      <c r="P1448" s="82"/>
      <c r="Q1448" s="82"/>
      <c r="R1448" s="82"/>
      <c r="S1448" s="82"/>
      <c r="T1448" s="82"/>
      <c r="U1448" s="82"/>
      <c r="V1448" s="82"/>
      <c r="W1448" s="82"/>
      <c r="X1448" s="82"/>
      <c r="Y1448" s="82"/>
      <c r="Z1448" s="82"/>
      <c r="AA1448" s="82"/>
      <c r="AB1448" s="82"/>
      <c r="AC1448" s="82"/>
      <c r="AD1448" s="82"/>
      <c r="AE1448" s="82"/>
      <c r="AF1448" s="82"/>
      <c r="AG1448" s="82"/>
      <c r="AH1448" s="82"/>
      <c r="AI1448" s="82"/>
      <c r="AJ1448" s="82"/>
      <c r="AK1448" s="82"/>
      <c r="AL1448" s="82"/>
      <c r="AM1448" s="82"/>
      <c r="AN1448" s="82">
        <f>IFERROR(__xludf.DUMMYFUNCTION("""COMPUTED_VALUE"""),0.0)</f>
        <v>0</v>
      </c>
      <c r="AO1448" s="82">
        <f>IFERROR(__xludf.DUMMYFUNCTION("""COMPUTED_VALUE"""),0.0)</f>
        <v>0</v>
      </c>
      <c r="AP1448" s="82">
        <f>IFERROR(__xludf.DUMMYFUNCTION("""COMPUTED_VALUE"""),0.0)</f>
        <v>0</v>
      </c>
      <c r="AQ1448" s="82">
        <f>IFERROR(__xludf.DUMMYFUNCTION("""COMPUTED_VALUE"""),0.0)</f>
        <v>0</v>
      </c>
      <c r="AR1448" s="82">
        <f>IFERROR(__xludf.DUMMYFUNCTION("""COMPUTED_VALUE"""),0.0)</f>
        <v>0</v>
      </c>
      <c r="AS1448" s="82"/>
      <c r="AT1448" s="82">
        <f>IFERROR(__xludf.DUMMYFUNCTION("""COMPUTED_VALUE"""),0.0)</f>
        <v>0</v>
      </c>
      <c r="AU1448" s="82"/>
      <c r="AV1448" s="82"/>
      <c r="AW1448" s="82" t="str">
        <f t="shared" si="1"/>
        <v/>
      </c>
      <c r="AX1448" s="83" t="str">
        <f t="array" ref="AX1448">IFERROR(DGET('SBV Import'!A:G,"SBV",{"RSC ID","Tier";B1448,A1448}))</f>
        <v/>
      </c>
      <c r="AY1448" s="82" t="str">
        <f t="shared" si="2"/>
        <v/>
      </c>
      <c r="AZ1448" s="82"/>
      <c r="BA1448" s="84" t="s">
        <v>152</v>
      </c>
      <c r="BB1448" s="84" t="str">
        <f>IFERROR(__xludf.DUMMYFUNCTION("iferror(if(A1448="""",,E1448&gt;=FILTER(Constants!$F$2:$F$10,Constants!$A$2:$A$10=A1448)))"),"")</f>
        <v/>
      </c>
    </row>
    <row r="1449">
      <c r="A1449" s="89"/>
      <c r="B1449" s="87"/>
      <c r="C1449" s="73"/>
      <c r="D1449" s="73"/>
      <c r="E1449" s="82"/>
      <c r="F1449" s="82"/>
      <c r="G1449" s="86"/>
      <c r="H1449" s="86"/>
      <c r="I1449" s="86"/>
      <c r="J1449" s="82"/>
      <c r="K1449" s="82"/>
      <c r="L1449" s="82"/>
      <c r="M1449" s="82"/>
      <c r="N1449" s="82"/>
      <c r="O1449" s="82"/>
      <c r="P1449" s="82"/>
      <c r="Q1449" s="82"/>
      <c r="R1449" s="82"/>
      <c r="S1449" s="82"/>
      <c r="T1449" s="82"/>
      <c r="U1449" s="82"/>
      <c r="V1449" s="82"/>
      <c r="W1449" s="82"/>
      <c r="X1449" s="82"/>
      <c r="Y1449" s="82"/>
      <c r="Z1449" s="82"/>
      <c r="AA1449" s="82"/>
      <c r="AB1449" s="82"/>
      <c r="AC1449" s="82"/>
      <c r="AD1449" s="82"/>
      <c r="AE1449" s="82"/>
      <c r="AF1449" s="82"/>
      <c r="AG1449" s="82"/>
      <c r="AH1449" s="82"/>
      <c r="AI1449" s="82"/>
      <c r="AJ1449" s="82"/>
      <c r="AK1449" s="82"/>
      <c r="AL1449" s="82"/>
      <c r="AM1449" s="82"/>
      <c r="AN1449" s="82">
        <f>IFERROR(__xludf.DUMMYFUNCTION("""COMPUTED_VALUE"""),0.0)</f>
        <v>0</v>
      </c>
      <c r="AO1449" s="82">
        <f>IFERROR(__xludf.DUMMYFUNCTION("""COMPUTED_VALUE"""),0.0)</f>
        <v>0</v>
      </c>
      <c r="AP1449" s="82">
        <f>IFERROR(__xludf.DUMMYFUNCTION("""COMPUTED_VALUE"""),0.0)</f>
        <v>0</v>
      </c>
      <c r="AQ1449" s="82">
        <f>IFERROR(__xludf.DUMMYFUNCTION("""COMPUTED_VALUE"""),0.0)</f>
        <v>0</v>
      </c>
      <c r="AR1449" s="82">
        <f>IFERROR(__xludf.DUMMYFUNCTION("""COMPUTED_VALUE"""),0.0)</f>
        <v>0</v>
      </c>
      <c r="AS1449" s="82"/>
      <c r="AT1449" s="82">
        <f>IFERROR(__xludf.DUMMYFUNCTION("""COMPUTED_VALUE"""),0.0)</f>
        <v>0</v>
      </c>
      <c r="AU1449" s="82"/>
      <c r="AV1449" s="82"/>
      <c r="AW1449" s="82" t="str">
        <f t="shared" si="1"/>
        <v/>
      </c>
      <c r="AX1449" s="83" t="str">
        <f t="array" ref="AX1449">IFERROR(DGET('SBV Import'!A:G,"SBV",{"RSC ID","Tier";B1449,A1449}))</f>
        <v/>
      </c>
      <c r="AY1449" s="82" t="str">
        <f t="shared" si="2"/>
        <v/>
      </c>
      <c r="AZ1449" s="82"/>
      <c r="BA1449" s="84" t="s">
        <v>152</v>
      </c>
      <c r="BB1449" s="84" t="str">
        <f>IFERROR(__xludf.DUMMYFUNCTION("iferror(if(A1449="""",,E1449&gt;=FILTER(Constants!$F$2:$F$10,Constants!$A$2:$A$10=A1449)))"),"")</f>
        <v/>
      </c>
    </row>
    <row r="1450">
      <c r="A1450" s="89"/>
      <c r="B1450" s="87"/>
      <c r="C1450" s="73"/>
      <c r="D1450" s="73"/>
      <c r="E1450" s="82"/>
      <c r="F1450" s="82"/>
      <c r="G1450" s="86"/>
      <c r="H1450" s="86"/>
      <c r="I1450" s="86"/>
      <c r="J1450" s="82"/>
      <c r="K1450" s="82"/>
      <c r="L1450" s="82"/>
      <c r="M1450" s="82"/>
      <c r="N1450" s="82"/>
      <c r="O1450" s="82"/>
      <c r="P1450" s="82"/>
      <c r="Q1450" s="82"/>
      <c r="R1450" s="82"/>
      <c r="S1450" s="82"/>
      <c r="T1450" s="82"/>
      <c r="U1450" s="82"/>
      <c r="V1450" s="82"/>
      <c r="W1450" s="82"/>
      <c r="X1450" s="82"/>
      <c r="Y1450" s="82"/>
      <c r="Z1450" s="82"/>
      <c r="AA1450" s="82"/>
      <c r="AB1450" s="82"/>
      <c r="AC1450" s="82"/>
      <c r="AD1450" s="82"/>
      <c r="AE1450" s="82"/>
      <c r="AF1450" s="82"/>
      <c r="AG1450" s="82"/>
      <c r="AH1450" s="82"/>
      <c r="AI1450" s="82"/>
      <c r="AJ1450" s="82"/>
      <c r="AK1450" s="82"/>
      <c r="AL1450" s="82"/>
      <c r="AM1450" s="82"/>
      <c r="AN1450" s="82">
        <f>IFERROR(__xludf.DUMMYFUNCTION("""COMPUTED_VALUE"""),0.0)</f>
        <v>0</v>
      </c>
      <c r="AO1450" s="82">
        <f>IFERROR(__xludf.DUMMYFUNCTION("""COMPUTED_VALUE"""),0.0)</f>
        <v>0</v>
      </c>
      <c r="AP1450" s="82">
        <f>IFERROR(__xludf.DUMMYFUNCTION("""COMPUTED_VALUE"""),0.0)</f>
        <v>0</v>
      </c>
      <c r="AQ1450" s="82">
        <f>IFERROR(__xludf.DUMMYFUNCTION("""COMPUTED_VALUE"""),0.0)</f>
        <v>0</v>
      </c>
      <c r="AR1450" s="82">
        <f>IFERROR(__xludf.DUMMYFUNCTION("""COMPUTED_VALUE"""),0.0)</f>
        <v>0</v>
      </c>
      <c r="AS1450" s="82"/>
      <c r="AT1450" s="82">
        <f>IFERROR(__xludf.DUMMYFUNCTION("""COMPUTED_VALUE"""),0.0)</f>
        <v>0</v>
      </c>
      <c r="AU1450" s="82"/>
      <c r="AV1450" s="82"/>
      <c r="AW1450" s="82" t="str">
        <f t="shared" si="1"/>
        <v/>
      </c>
      <c r="AX1450" s="83" t="str">
        <f t="array" ref="AX1450">IFERROR(DGET('SBV Import'!A:G,"SBV",{"RSC ID","Tier";B1450,A1450}))</f>
        <v/>
      </c>
      <c r="AY1450" s="82" t="str">
        <f t="shared" si="2"/>
        <v/>
      </c>
      <c r="AZ1450" s="82"/>
      <c r="BA1450" s="84" t="s">
        <v>152</v>
      </c>
      <c r="BB1450" s="84" t="str">
        <f>IFERROR(__xludf.DUMMYFUNCTION("iferror(if(A1450="""",,E1450&gt;=FILTER(Constants!$F$2:$F$10,Constants!$A$2:$A$10=A1450)))"),"")</f>
        <v/>
      </c>
    </row>
    <row r="1451">
      <c r="A1451" s="89"/>
      <c r="B1451" s="87"/>
      <c r="C1451" s="73"/>
      <c r="D1451" s="73"/>
      <c r="E1451" s="82"/>
      <c r="F1451" s="82"/>
      <c r="G1451" s="86"/>
      <c r="H1451" s="86"/>
      <c r="I1451" s="86"/>
      <c r="J1451" s="82"/>
      <c r="K1451" s="82"/>
      <c r="L1451" s="82"/>
      <c r="M1451" s="82"/>
      <c r="N1451" s="82"/>
      <c r="O1451" s="82"/>
      <c r="P1451" s="82"/>
      <c r="Q1451" s="82"/>
      <c r="R1451" s="82"/>
      <c r="S1451" s="82"/>
      <c r="T1451" s="82"/>
      <c r="U1451" s="82"/>
      <c r="V1451" s="82"/>
      <c r="W1451" s="82"/>
      <c r="X1451" s="82"/>
      <c r="Y1451" s="82"/>
      <c r="Z1451" s="82"/>
      <c r="AA1451" s="82"/>
      <c r="AB1451" s="82"/>
      <c r="AC1451" s="82"/>
      <c r="AD1451" s="82"/>
      <c r="AE1451" s="82"/>
      <c r="AF1451" s="82"/>
      <c r="AG1451" s="82"/>
      <c r="AH1451" s="82"/>
      <c r="AI1451" s="82"/>
      <c r="AJ1451" s="82"/>
      <c r="AK1451" s="82"/>
      <c r="AL1451" s="82"/>
      <c r="AM1451" s="82"/>
      <c r="AN1451" s="82">
        <f>IFERROR(__xludf.DUMMYFUNCTION("""COMPUTED_VALUE"""),0.0)</f>
        <v>0</v>
      </c>
      <c r="AO1451" s="82">
        <f>IFERROR(__xludf.DUMMYFUNCTION("""COMPUTED_VALUE"""),0.0)</f>
        <v>0</v>
      </c>
      <c r="AP1451" s="82">
        <f>IFERROR(__xludf.DUMMYFUNCTION("""COMPUTED_VALUE"""),0.0)</f>
        <v>0</v>
      </c>
      <c r="AQ1451" s="82">
        <f>IFERROR(__xludf.DUMMYFUNCTION("""COMPUTED_VALUE"""),0.0)</f>
        <v>0</v>
      </c>
      <c r="AR1451" s="82">
        <f>IFERROR(__xludf.DUMMYFUNCTION("""COMPUTED_VALUE"""),0.0)</f>
        <v>0</v>
      </c>
      <c r="AS1451" s="82"/>
      <c r="AT1451" s="82">
        <f>IFERROR(__xludf.DUMMYFUNCTION("""COMPUTED_VALUE"""),0.0)</f>
        <v>0</v>
      </c>
      <c r="AU1451" s="82"/>
      <c r="AV1451" s="82"/>
      <c r="AW1451" s="82" t="str">
        <f t="shared" si="1"/>
        <v/>
      </c>
      <c r="AX1451" s="83" t="str">
        <f t="array" ref="AX1451">IFERROR(DGET('SBV Import'!A:G,"SBV",{"RSC ID","Tier";B1451,A1451}))</f>
        <v/>
      </c>
      <c r="AY1451" s="82" t="str">
        <f t="shared" si="2"/>
        <v/>
      </c>
      <c r="AZ1451" s="82"/>
      <c r="BA1451" s="84" t="s">
        <v>152</v>
      </c>
      <c r="BB1451" s="84" t="str">
        <f>IFERROR(__xludf.DUMMYFUNCTION("iferror(if(A1451="""",,E1451&gt;=FILTER(Constants!$F$2:$F$10,Constants!$A$2:$A$10=A1451)))"),"")</f>
        <v/>
      </c>
    </row>
    <row r="1452">
      <c r="A1452" s="89"/>
      <c r="B1452" s="87"/>
      <c r="C1452" s="73"/>
      <c r="D1452" s="73"/>
      <c r="E1452" s="82"/>
      <c r="F1452" s="82"/>
      <c r="G1452" s="86"/>
      <c r="H1452" s="86"/>
      <c r="I1452" s="86"/>
      <c r="J1452" s="82"/>
      <c r="K1452" s="82"/>
      <c r="L1452" s="82"/>
      <c r="M1452" s="82"/>
      <c r="N1452" s="82"/>
      <c r="O1452" s="82"/>
      <c r="P1452" s="82"/>
      <c r="Q1452" s="82"/>
      <c r="R1452" s="82"/>
      <c r="S1452" s="82"/>
      <c r="T1452" s="82"/>
      <c r="U1452" s="82"/>
      <c r="V1452" s="82"/>
      <c r="W1452" s="82"/>
      <c r="X1452" s="82"/>
      <c r="Y1452" s="82"/>
      <c r="Z1452" s="82"/>
      <c r="AA1452" s="82"/>
      <c r="AB1452" s="82"/>
      <c r="AC1452" s="82"/>
      <c r="AD1452" s="82"/>
      <c r="AE1452" s="82"/>
      <c r="AF1452" s="82"/>
      <c r="AG1452" s="82"/>
      <c r="AH1452" s="82"/>
      <c r="AI1452" s="82"/>
      <c r="AJ1452" s="82"/>
      <c r="AK1452" s="82"/>
      <c r="AL1452" s="82"/>
      <c r="AM1452" s="82"/>
      <c r="AN1452" s="82">
        <f>IFERROR(__xludf.DUMMYFUNCTION("""COMPUTED_VALUE"""),0.0)</f>
        <v>0</v>
      </c>
      <c r="AO1452" s="82">
        <f>IFERROR(__xludf.DUMMYFUNCTION("""COMPUTED_VALUE"""),0.0)</f>
        <v>0</v>
      </c>
      <c r="AP1452" s="82">
        <f>IFERROR(__xludf.DUMMYFUNCTION("""COMPUTED_VALUE"""),0.0)</f>
        <v>0</v>
      </c>
      <c r="AQ1452" s="82">
        <f>IFERROR(__xludf.DUMMYFUNCTION("""COMPUTED_VALUE"""),0.0)</f>
        <v>0</v>
      </c>
      <c r="AR1452" s="82">
        <f>IFERROR(__xludf.DUMMYFUNCTION("""COMPUTED_VALUE"""),0.0)</f>
        <v>0</v>
      </c>
      <c r="AS1452" s="82"/>
      <c r="AT1452" s="82">
        <f>IFERROR(__xludf.DUMMYFUNCTION("""COMPUTED_VALUE"""),0.0)</f>
        <v>0</v>
      </c>
      <c r="AU1452" s="82"/>
      <c r="AV1452" s="82"/>
      <c r="AW1452" s="82" t="str">
        <f t="shared" si="1"/>
        <v/>
      </c>
      <c r="AX1452" s="83" t="str">
        <f t="array" ref="AX1452">IFERROR(DGET('SBV Import'!A:G,"SBV",{"RSC ID","Tier";B1452,A1452}))</f>
        <v/>
      </c>
      <c r="AY1452" s="82" t="str">
        <f t="shared" si="2"/>
        <v/>
      </c>
      <c r="AZ1452" s="82"/>
      <c r="BA1452" s="84" t="s">
        <v>152</v>
      </c>
      <c r="BB1452" s="84" t="str">
        <f>IFERROR(__xludf.DUMMYFUNCTION("iferror(if(A1452="""",,E1452&gt;=FILTER(Constants!$F$2:$F$10,Constants!$A$2:$A$10=A1452)))"),"")</f>
        <v/>
      </c>
    </row>
    <row r="1453">
      <c r="A1453" s="89"/>
      <c r="B1453" s="87"/>
      <c r="C1453" s="73"/>
      <c r="D1453" s="73"/>
      <c r="E1453" s="82"/>
      <c r="F1453" s="82"/>
      <c r="G1453" s="86"/>
      <c r="H1453" s="86"/>
      <c r="I1453" s="86"/>
      <c r="J1453" s="82"/>
      <c r="K1453" s="82"/>
      <c r="L1453" s="82"/>
      <c r="M1453" s="82"/>
      <c r="N1453" s="82"/>
      <c r="O1453" s="82"/>
      <c r="P1453" s="82"/>
      <c r="Q1453" s="82"/>
      <c r="R1453" s="82"/>
      <c r="S1453" s="82"/>
      <c r="T1453" s="82"/>
      <c r="U1453" s="82"/>
      <c r="V1453" s="82"/>
      <c r="W1453" s="82"/>
      <c r="X1453" s="82"/>
      <c r="Y1453" s="82"/>
      <c r="Z1453" s="82"/>
      <c r="AA1453" s="82"/>
      <c r="AB1453" s="82"/>
      <c r="AC1453" s="82"/>
      <c r="AD1453" s="82"/>
      <c r="AE1453" s="82"/>
      <c r="AF1453" s="82"/>
      <c r="AG1453" s="82"/>
      <c r="AH1453" s="82"/>
      <c r="AI1453" s="82"/>
      <c r="AJ1453" s="82"/>
      <c r="AK1453" s="82"/>
      <c r="AL1453" s="82"/>
      <c r="AM1453" s="82"/>
      <c r="AN1453" s="82">
        <f>IFERROR(__xludf.DUMMYFUNCTION("""COMPUTED_VALUE"""),0.0)</f>
        <v>0</v>
      </c>
      <c r="AO1453" s="82">
        <f>IFERROR(__xludf.DUMMYFUNCTION("""COMPUTED_VALUE"""),0.0)</f>
        <v>0</v>
      </c>
      <c r="AP1453" s="82">
        <f>IFERROR(__xludf.DUMMYFUNCTION("""COMPUTED_VALUE"""),0.0)</f>
        <v>0</v>
      </c>
      <c r="AQ1453" s="82">
        <f>IFERROR(__xludf.DUMMYFUNCTION("""COMPUTED_VALUE"""),0.0)</f>
        <v>0</v>
      </c>
      <c r="AR1453" s="82">
        <f>IFERROR(__xludf.DUMMYFUNCTION("""COMPUTED_VALUE"""),0.0)</f>
        <v>0</v>
      </c>
      <c r="AS1453" s="82"/>
      <c r="AT1453" s="82">
        <f>IFERROR(__xludf.DUMMYFUNCTION("""COMPUTED_VALUE"""),0.0)</f>
        <v>0</v>
      </c>
      <c r="AU1453" s="82"/>
      <c r="AV1453" s="82"/>
      <c r="AW1453" s="82" t="str">
        <f t="shared" si="1"/>
        <v/>
      </c>
      <c r="AX1453" s="83" t="str">
        <f t="array" ref="AX1453">IFERROR(DGET('SBV Import'!A:G,"SBV",{"RSC ID","Tier";B1453,A1453}))</f>
        <v/>
      </c>
      <c r="AY1453" s="82" t="str">
        <f t="shared" si="2"/>
        <v/>
      </c>
      <c r="AZ1453" s="82"/>
      <c r="BA1453" s="84" t="s">
        <v>152</v>
      </c>
      <c r="BB1453" s="84" t="str">
        <f>IFERROR(__xludf.DUMMYFUNCTION("iferror(if(A1453="""",,E1453&gt;=FILTER(Constants!$F$2:$F$10,Constants!$A$2:$A$10=A1453)))"),"")</f>
        <v/>
      </c>
    </row>
    <row r="1454">
      <c r="A1454" s="89"/>
      <c r="B1454" s="87"/>
      <c r="C1454" s="73"/>
      <c r="D1454" s="73"/>
      <c r="E1454" s="82"/>
      <c r="F1454" s="82"/>
      <c r="G1454" s="86"/>
      <c r="H1454" s="86"/>
      <c r="I1454" s="86"/>
      <c r="J1454" s="82"/>
      <c r="K1454" s="82"/>
      <c r="L1454" s="82"/>
      <c r="M1454" s="82"/>
      <c r="N1454" s="82"/>
      <c r="O1454" s="82"/>
      <c r="P1454" s="82"/>
      <c r="Q1454" s="82"/>
      <c r="R1454" s="82"/>
      <c r="S1454" s="82"/>
      <c r="T1454" s="82"/>
      <c r="U1454" s="82"/>
      <c r="V1454" s="82"/>
      <c r="W1454" s="82"/>
      <c r="X1454" s="82"/>
      <c r="Y1454" s="82"/>
      <c r="Z1454" s="82"/>
      <c r="AA1454" s="82"/>
      <c r="AB1454" s="82"/>
      <c r="AC1454" s="82"/>
      <c r="AD1454" s="82"/>
      <c r="AE1454" s="82"/>
      <c r="AF1454" s="82"/>
      <c r="AG1454" s="82"/>
      <c r="AH1454" s="82"/>
      <c r="AI1454" s="82"/>
      <c r="AJ1454" s="82"/>
      <c r="AK1454" s="82"/>
      <c r="AL1454" s="82"/>
      <c r="AM1454" s="82"/>
      <c r="AN1454" s="82">
        <f>IFERROR(__xludf.DUMMYFUNCTION("""COMPUTED_VALUE"""),0.0)</f>
        <v>0</v>
      </c>
      <c r="AO1454" s="82">
        <f>IFERROR(__xludf.DUMMYFUNCTION("""COMPUTED_VALUE"""),0.0)</f>
        <v>0</v>
      </c>
      <c r="AP1454" s="82">
        <f>IFERROR(__xludf.DUMMYFUNCTION("""COMPUTED_VALUE"""),0.0)</f>
        <v>0</v>
      </c>
      <c r="AQ1454" s="82">
        <f>IFERROR(__xludf.DUMMYFUNCTION("""COMPUTED_VALUE"""),0.0)</f>
        <v>0</v>
      </c>
      <c r="AR1454" s="82">
        <f>IFERROR(__xludf.DUMMYFUNCTION("""COMPUTED_VALUE"""),0.0)</f>
        <v>0</v>
      </c>
      <c r="AS1454" s="82"/>
      <c r="AT1454" s="82">
        <f>IFERROR(__xludf.DUMMYFUNCTION("""COMPUTED_VALUE"""),0.0)</f>
        <v>0</v>
      </c>
      <c r="AU1454" s="82"/>
      <c r="AV1454" s="82"/>
      <c r="AW1454" s="82" t="str">
        <f t="shared" si="1"/>
        <v/>
      </c>
      <c r="AX1454" s="83" t="str">
        <f t="array" ref="AX1454">IFERROR(DGET('SBV Import'!A:G,"SBV",{"RSC ID","Tier";B1454,A1454}))</f>
        <v/>
      </c>
      <c r="AY1454" s="82" t="str">
        <f t="shared" si="2"/>
        <v/>
      </c>
      <c r="AZ1454" s="82"/>
      <c r="BA1454" s="84" t="s">
        <v>152</v>
      </c>
      <c r="BB1454" s="84" t="str">
        <f>IFERROR(__xludf.DUMMYFUNCTION("iferror(if(A1454="""",,E1454&gt;=FILTER(Constants!$F$2:$F$10,Constants!$A$2:$A$10=A1454)))"),"")</f>
        <v/>
      </c>
    </row>
    <row r="1455">
      <c r="A1455" s="89"/>
      <c r="B1455" s="87"/>
      <c r="C1455" s="73"/>
      <c r="D1455" s="73"/>
      <c r="E1455" s="82"/>
      <c r="F1455" s="82"/>
      <c r="G1455" s="86"/>
      <c r="H1455" s="86"/>
      <c r="I1455" s="86"/>
      <c r="J1455" s="82"/>
      <c r="K1455" s="82"/>
      <c r="L1455" s="82"/>
      <c r="M1455" s="82"/>
      <c r="N1455" s="82"/>
      <c r="O1455" s="82"/>
      <c r="P1455" s="82"/>
      <c r="Q1455" s="82"/>
      <c r="R1455" s="82"/>
      <c r="S1455" s="82"/>
      <c r="T1455" s="82"/>
      <c r="U1455" s="82"/>
      <c r="V1455" s="82"/>
      <c r="W1455" s="82"/>
      <c r="X1455" s="82"/>
      <c r="Y1455" s="82"/>
      <c r="Z1455" s="82"/>
      <c r="AA1455" s="82"/>
      <c r="AB1455" s="82"/>
      <c r="AC1455" s="82"/>
      <c r="AD1455" s="82"/>
      <c r="AE1455" s="82"/>
      <c r="AF1455" s="82"/>
      <c r="AG1455" s="82"/>
      <c r="AH1455" s="82"/>
      <c r="AI1455" s="82"/>
      <c r="AJ1455" s="82"/>
      <c r="AK1455" s="82"/>
      <c r="AL1455" s="82"/>
      <c r="AM1455" s="82"/>
      <c r="AN1455" s="82">
        <f>IFERROR(__xludf.DUMMYFUNCTION("""COMPUTED_VALUE"""),0.0)</f>
        <v>0</v>
      </c>
      <c r="AO1455" s="82">
        <f>IFERROR(__xludf.DUMMYFUNCTION("""COMPUTED_VALUE"""),0.0)</f>
        <v>0</v>
      </c>
      <c r="AP1455" s="82">
        <f>IFERROR(__xludf.DUMMYFUNCTION("""COMPUTED_VALUE"""),0.0)</f>
        <v>0</v>
      </c>
      <c r="AQ1455" s="82">
        <f>IFERROR(__xludf.DUMMYFUNCTION("""COMPUTED_VALUE"""),0.0)</f>
        <v>0</v>
      </c>
      <c r="AR1455" s="82">
        <f>IFERROR(__xludf.DUMMYFUNCTION("""COMPUTED_VALUE"""),0.0)</f>
        <v>0</v>
      </c>
      <c r="AS1455" s="82"/>
      <c r="AT1455" s="82">
        <f>IFERROR(__xludf.DUMMYFUNCTION("""COMPUTED_VALUE"""),0.0)</f>
        <v>0</v>
      </c>
      <c r="AU1455" s="82"/>
      <c r="AV1455" s="82"/>
      <c r="AW1455" s="82" t="str">
        <f t="shared" si="1"/>
        <v/>
      </c>
      <c r="AX1455" s="83" t="str">
        <f t="array" ref="AX1455">IFERROR(DGET('SBV Import'!A:G,"SBV",{"RSC ID","Tier";B1455,A1455}))</f>
        <v/>
      </c>
      <c r="AY1455" s="82" t="str">
        <f t="shared" si="2"/>
        <v/>
      </c>
      <c r="AZ1455" s="82"/>
      <c r="BA1455" s="84" t="s">
        <v>152</v>
      </c>
      <c r="BB1455" s="84" t="str">
        <f>IFERROR(__xludf.DUMMYFUNCTION("iferror(if(A1455="""",,E1455&gt;=FILTER(Constants!$F$2:$F$10,Constants!$A$2:$A$10=A1455)))"),"")</f>
        <v/>
      </c>
    </row>
    <row r="1456">
      <c r="A1456" s="89"/>
      <c r="B1456" s="87"/>
      <c r="C1456" s="73"/>
      <c r="D1456" s="73"/>
      <c r="E1456" s="82"/>
      <c r="F1456" s="82"/>
      <c r="G1456" s="86"/>
      <c r="H1456" s="86"/>
      <c r="I1456" s="86"/>
      <c r="J1456" s="82"/>
      <c r="K1456" s="82"/>
      <c r="L1456" s="82"/>
      <c r="M1456" s="82"/>
      <c r="N1456" s="82"/>
      <c r="O1456" s="82"/>
      <c r="P1456" s="82"/>
      <c r="Q1456" s="82"/>
      <c r="R1456" s="82"/>
      <c r="S1456" s="82"/>
      <c r="T1456" s="82"/>
      <c r="U1456" s="82"/>
      <c r="V1456" s="82"/>
      <c r="W1456" s="82"/>
      <c r="X1456" s="82"/>
      <c r="Y1456" s="82"/>
      <c r="Z1456" s="82"/>
      <c r="AA1456" s="82"/>
      <c r="AB1456" s="82"/>
      <c r="AC1456" s="82"/>
      <c r="AD1456" s="82"/>
      <c r="AE1456" s="82"/>
      <c r="AF1456" s="82"/>
      <c r="AG1456" s="82"/>
      <c r="AH1456" s="82"/>
      <c r="AI1456" s="82"/>
      <c r="AJ1456" s="82"/>
      <c r="AK1456" s="82"/>
      <c r="AL1456" s="82"/>
      <c r="AM1456" s="82"/>
      <c r="AN1456" s="82">
        <f>IFERROR(__xludf.DUMMYFUNCTION("""COMPUTED_VALUE"""),0.0)</f>
        <v>0</v>
      </c>
      <c r="AO1456" s="82">
        <f>IFERROR(__xludf.DUMMYFUNCTION("""COMPUTED_VALUE"""),0.0)</f>
        <v>0</v>
      </c>
      <c r="AP1456" s="82">
        <f>IFERROR(__xludf.DUMMYFUNCTION("""COMPUTED_VALUE"""),0.0)</f>
        <v>0</v>
      </c>
      <c r="AQ1456" s="82">
        <f>IFERROR(__xludf.DUMMYFUNCTION("""COMPUTED_VALUE"""),0.0)</f>
        <v>0</v>
      </c>
      <c r="AR1456" s="82">
        <f>IFERROR(__xludf.DUMMYFUNCTION("""COMPUTED_VALUE"""),0.0)</f>
        <v>0</v>
      </c>
      <c r="AS1456" s="82"/>
      <c r="AT1456" s="82">
        <f>IFERROR(__xludf.DUMMYFUNCTION("""COMPUTED_VALUE"""),0.0)</f>
        <v>0</v>
      </c>
      <c r="AU1456" s="82"/>
      <c r="AV1456" s="82"/>
      <c r="AW1456" s="82" t="str">
        <f t="shared" si="1"/>
        <v/>
      </c>
      <c r="AX1456" s="83" t="str">
        <f t="array" ref="AX1456">IFERROR(DGET('SBV Import'!A:G,"SBV",{"RSC ID","Tier";B1456,A1456}))</f>
        <v/>
      </c>
      <c r="AY1456" s="82" t="str">
        <f t="shared" si="2"/>
        <v/>
      </c>
      <c r="AZ1456" s="82"/>
      <c r="BA1456" s="84" t="s">
        <v>152</v>
      </c>
      <c r="BB1456" s="84" t="str">
        <f>IFERROR(__xludf.DUMMYFUNCTION("iferror(if(A1456="""",,E1456&gt;=FILTER(Constants!$F$2:$F$10,Constants!$A$2:$A$10=A1456)))"),"")</f>
        <v/>
      </c>
    </row>
    <row r="1457">
      <c r="A1457" s="89"/>
      <c r="B1457" s="87"/>
      <c r="C1457" s="73"/>
      <c r="D1457" s="73"/>
      <c r="E1457" s="82"/>
      <c r="F1457" s="82"/>
      <c r="G1457" s="86"/>
      <c r="H1457" s="86"/>
      <c r="I1457" s="86"/>
      <c r="J1457" s="82"/>
      <c r="K1457" s="82"/>
      <c r="L1457" s="82"/>
      <c r="M1457" s="82"/>
      <c r="N1457" s="82"/>
      <c r="O1457" s="82"/>
      <c r="P1457" s="82"/>
      <c r="Q1457" s="82"/>
      <c r="R1457" s="82"/>
      <c r="S1457" s="82"/>
      <c r="T1457" s="82"/>
      <c r="U1457" s="82"/>
      <c r="V1457" s="82"/>
      <c r="W1457" s="82"/>
      <c r="X1457" s="82"/>
      <c r="Y1457" s="82"/>
      <c r="Z1457" s="82"/>
      <c r="AA1457" s="82"/>
      <c r="AB1457" s="82"/>
      <c r="AC1457" s="82"/>
      <c r="AD1457" s="82"/>
      <c r="AE1457" s="82"/>
      <c r="AF1457" s="82"/>
      <c r="AG1457" s="82"/>
      <c r="AH1457" s="82"/>
      <c r="AI1457" s="82"/>
      <c r="AJ1457" s="82"/>
      <c r="AK1457" s="82"/>
      <c r="AL1457" s="82"/>
      <c r="AM1457" s="82"/>
      <c r="AN1457" s="82">
        <f>IFERROR(__xludf.DUMMYFUNCTION("""COMPUTED_VALUE"""),0.0)</f>
        <v>0</v>
      </c>
      <c r="AO1457" s="82">
        <f>IFERROR(__xludf.DUMMYFUNCTION("""COMPUTED_VALUE"""),0.0)</f>
        <v>0</v>
      </c>
      <c r="AP1457" s="82">
        <f>IFERROR(__xludf.DUMMYFUNCTION("""COMPUTED_VALUE"""),0.0)</f>
        <v>0</v>
      </c>
      <c r="AQ1457" s="82">
        <f>IFERROR(__xludf.DUMMYFUNCTION("""COMPUTED_VALUE"""),0.0)</f>
        <v>0</v>
      </c>
      <c r="AR1457" s="82">
        <f>IFERROR(__xludf.DUMMYFUNCTION("""COMPUTED_VALUE"""),0.0)</f>
        <v>0</v>
      </c>
      <c r="AS1457" s="82"/>
      <c r="AT1457" s="82">
        <f>IFERROR(__xludf.DUMMYFUNCTION("""COMPUTED_VALUE"""),0.0)</f>
        <v>0</v>
      </c>
      <c r="AU1457" s="82"/>
      <c r="AV1457" s="82"/>
      <c r="AW1457" s="82" t="str">
        <f t="shared" si="1"/>
        <v/>
      </c>
      <c r="AX1457" s="83" t="str">
        <f t="array" ref="AX1457">IFERROR(DGET('SBV Import'!A:G,"SBV",{"RSC ID","Tier";B1457,A1457}))</f>
        <v/>
      </c>
      <c r="AY1457" s="82" t="str">
        <f t="shared" si="2"/>
        <v/>
      </c>
      <c r="AZ1457" s="82"/>
      <c r="BA1457" s="84" t="s">
        <v>152</v>
      </c>
      <c r="BB1457" s="84" t="str">
        <f>IFERROR(__xludf.DUMMYFUNCTION("iferror(if(A1457="""",,E1457&gt;=FILTER(Constants!$F$2:$F$10,Constants!$A$2:$A$10=A1457)))"),"")</f>
        <v/>
      </c>
    </row>
    <row r="1458">
      <c r="A1458" s="89"/>
      <c r="B1458" s="87"/>
      <c r="C1458" s="73"/>
      <c r="D1458" s="73"/>
      <c r="E1458" s="82"/>
      <c r="F1458" s="82"/>
      <c r="G1458" s="86"/>
      <c r="H1458" s="86"/>
      <c r="I1458" s="86"/>
      <c r="J1458" s="82"/>
      <c r="K1458" s="82"/>
      <c r="L1458" s="82"/>
      <c r="M1458" s="82"/>
      <c r="N1458" s="82"/>
      <c r="O1458" s="82"/>
      <c r="P1458" s="82"/>
      <c r="Q1458" s="82"/>
      <c r="R1458" s="82"/>
      <c r="S1458" s="82"/>
      <c r="T1458" s="82"/>
      <c r="U1458" s="82"/>
      <c r="V1458" s="82"/>
      <c r="W1458" s="82"/>
      <c r="X1458" s="82"/>
      <c r="Y1458" s="82"/>
      <c r="Z1458" s="82"/>
      <c r="AA1458" s="82"/>
      <c r="AB1458" s="82"/>
      <c r="AC1458" s="82"/>
      <c r="AD1458" s="82"/>
      <c r="AE1458" s="82"/>
      <c r="AF1458" s="82"/>
      <c r="AG1458" s="82"/>
      <c r="AH1458" s="82"/>
      <c r="AI1458" s="82"/>
      <c r="AJ1458" s="82"/>
      <c r="AK1458" s="82"/>
      <c r="AL1458" s="82"/>
      <c r="AM1458" s="82"/>
      <c r="AN1458" s="82">
        <f>IFERROR(__xludf.DUMMYFUNCTION("""COMPUTED_VALUE"""),0.0)</f>
        <v>0</v>
      </c>
      <c r="AO1458" s="82">
        <f>IFERROR(__xludf.DUMMYFUNCTION("""COMPUTED_VALUE"""),0.0)</f>
        <v>0</v>
      </c>
      <c r="AP1458" s="82">
        <f>IFERROR(__xludf.DUMMYFUNCTION("""COMPUTED_VALUE"""),0.0)</f>
        <v>0</v>
      </c>
      <c r="AQ1458" s="82">
        <f>IFERROR(__xludf.DUMMYFUNCTION("""COMPUTED_VALUE"""),0.0)</f>
        <v>0</v>
      </c>
      <c r="AR1458" s="82">
        <f>IFERROR(__xludf.DUMMYFUNCTION("""COMPUTED_VALUE"""),0.0)</f>
        <v>0</v>
      </c>
      <c r="AS1458" s="82"/>
      <c r="AT1458" s="82">
        <f>IFERROR(__xludf.DUMMYFUNCTION("""COMPUTED_VALUE"""),0.0)</f>
        <v>0</v>
      </c>
      <c r="AU1458" s="82"/>
      <c r="AV1458" s="82"/>
      <c r="AW1458" s="82" t="str">
        <f t="shared" si="1"/>
        <v/>
      </c>
      <c r="AX1458" s="83" t="str">
        <f t="array" ref="AX1458">IFERROR(DGET('SBV Import'!A:G,"SBV",{"RSC ID","Tier";B1458,A1458}))</f>
        <v/>
      </c>
      <c r="AY1458" s="82" t="str">
        <f t="shared" si="2"/>
        <v/>
      </c>
      <c r="AZ1458" s="82"/>
      <c r="BA1458" s="84" t="s">
        <v>152</v>
      </c>
      <c r="BB1458" s="84" t="str">
        <f>IFERROR(__xludf.DUMMYFUNCTION("iferror(if(A1458="""",,E1458&gt;=FILTER(Constants!$F$2:$F$10,Constants!$A$2:$A$10=A1458)))"),"")</f>
        <v/>
      </c>
    </row>
    <row r="1459">
      <c r="A1459" s="89"/>
      <c r="B1459" s="87"/>
      <c r="C1459" s="73"/>
      <c r="D1459" s="73"/>
      <c r="E1459" s="82"/>
      <c r="F1459" s="82"/>
      <c r="G1459" s="86"/>
      <c r="H1459" s="86"/>
      <c r="I1459" s="86"/>
      <c r="J1459" s="82"/>
      <c r="K1459" s="82"/>
      <c r="L1459" s="82"/>
      <c r="M1459" s="82"/>
      <c r="N1459" s="82"/>
      <c r="O1459" s="82"/>
      <c r="P1459" s="82"/>
      <c r="Q1459" s="82"/>
      <c r="R1459" s="82"/>
      <c r="S1459" s="82"/>
      <c r="T1459" s="82"/>
      <c r="U1459" s="82"/>
      <c r="V1459" s="82"/>
      <c r="W1459" s="82"/>
      <c r="X1459" s="82"/>
      <c r="Y1459" s="82"/>
      <c r="Z1459" s="82"/>
      <c r="AA1459" s="82"/>
      <c r="AB1459" s="82"/>
      <c r="AC1459" s="82"/>
      <c r="AD1459" s="82"/>
      <c r="AE1459" s="82"/>
      <c r="AF1459" s="82"/>
      <c r="AG1459" s="82"/>
      <c r="AH1459" s="82"/>
      <c r="AI1459" s="82"/>
      <c r="AJ1459" s="82"/>
      <c r="AK1459" s="82"/>
      <c r="AL1459" s="82"/>
      <c r="AM1459" s="82"/>
      <c r="AN1459" s="82">
        <f>IFERROR(__xludf.DUMMYFUNCTION("""COMPUTED_VALUE"""),0.0)</f>
        <v>0</v>
      </c>
      <c r="AO1459" s="82">
        <f>IFERROR(__xludf.DUMMYFUNCTION("""COMPUTED_VALUE"""),0.0)</f>
        <v>0</v>
      </c>
      <c r="AP1459" s="82">
        <f>IFERROR(__xludf.DUMMYFUNCTION("""COMPUTED_VALUE"""),0.0)</f>
        <v>0</v>
      </c>
      <c r="AQ1459" s="82">
        <f>IFERROR(__xludf.DUMMYFUNCTION("""COMPUTED_VALUE"""),0.0)</f>
        <v>0</v>
      </c>
      <c r="AR1459" s="82">
        <f>IFERROR(__xludf.DUMMYFUNCTION("""COMPUTED_VALUE"""),0.0)</f>
        <v>0</v>
      </c>
      <c r="AS1459" s="82"/>
      <c r="AT1459" s="82">
        <f>IFERROR(__xludf.DUMMYFUNCTION("""COMPUTED_VALUE"""),0.0)</f>
        <v>0</v>
      </c>
      <c r="AU1459" s="82"/>
      <c r="AV1459" s="82"/>
      <c r="AW1459" s="82" t="str">
        <f t="shared" si="1"/>
        <v/>
      </c>
      <c r="AX1459" s="83" t="str">
        <f t="array" ref="AX1459">IFERROR(DGET('SBV Import'!A:G,"SBV",{"RSC ID","Tier";B1459,A1459}))</f>
        <v/>
      </c>
      <c r="AY1459" s="82" t="str">
        <f t="shared" si="2"/>
        <v/>
      </c>
      <c r="AZ1459" s="82"/>
      <c r="BA1459" s="84" t="s">
        <v>152</v>
      </c>
      <c r="BB1459" s="84" t="str">
        <f>IFERROR(__xludf.DUMMYFUNCTION("iferror(if(A1459="""",,E1459&gt;=FILTER(Constants!$F$2:$F$10,Constants!$A$2:$A$10=A1459)))"),"")</f>
        <v/>
      </c>
    </row>
    <row r="1460">
      <c r="A1460" s="89"/>
      <c r="B1460" s="87"/>
      <c r="C1460" s="73"/>
      <c r="D1460" s="73"/>
      <c r="E1460" s="82"/>
      <c r="F1460" s="82"/>
      <c r="G1460" s="86"/>
      <c r="H1460" s="86"/>
      <c r="I1460" s="86"/>
      <c r="J1460" s="82"/>
      <c r="K1460" s="82"/>
      <c r="L1460" s="82"/>
      <c r="M1460" s="82"/>
      <c r="N1460" s="82"/>
      <c r="O1460" s="82"/>
      <c r="P1460" s="82"/>
      <c r="Q1460" s="82"/>
      <c r="R1460" s="82"/>
      <c r="S1460" s="82"/>
      <c r="T1460" s="82"/>
      <c r="U1460" s="82"/>
      <c r="V1460" s="82"/>
      <c r="W1460" s="82"/>
      <c r="X1460" s="82"/>
      <c r="Y1460" s="82"/>
      <c r="Z1460" s="82"/>
      <c r="AA1460" s="82"/>
      <c r="AB1460" s="82"/>
      <c r="AC1460" s="82"/>
      <c r="AD1460" s="82"/>
      <c r="AE1460" s="82"/>
      <c r="AF1460" s="82"/>
      <c r="AG1460" s="82"/>
      <c r="AH1460" s="82"/>
      <c r="AI1460" s="82"/>
      <c r="AJ1460" s="82"/>
      <c r="AK1460" s="82"/>
      <c r="AL1460" s="82"/>
      <c r="AM1460" s="82"/>
      <c r="AN1460" s="82">
        <f>IFERROR(__xludf.DUMMYFUNCTION("""COMPUTED_VALUE"""),0.0)</f>
        <v>0</v>
      </c>
      <c r="AO1460" s="82">
        <f>IFERROR(__xludf.DUMMYFUNCTION("""COMPUTED_VALUE"""),0.0)</f>
        <v>0</v>
      </c>
      <c r="AP1460" s="82">
        <f>IFERROR(__xludf.DUMMYFUNCTION("""COMPUTED_VALUE"""),0.0)</f>
        <v>0</v>
      </c>
      <c r="AQ1460" s="82">
        <f>IFERROR(__xludf.DUMMYFUNCTION("""COMPUTED_VALUE"""),0.0)</f>
        <v>0</v>
      </c>
      <c r="AR1460" s="82">
        <f>IFERROR(__xludf.DUMMYFUNCTION("""COMPUTED_VALUE"""),0.0)</f>
        <v>0</v>
      </c>
      <c r="AS1460" s="82"/>
      <c r="AT1460" s="82">
        <f>IFERROR(__xludf.DUMMYFUNCTION("""COMPUTED_VALUE"""),0.0)</f>
        <v>0</v>
      </c>
      <c r="AU1460" s="82"/>
      <c r="AV1460" s="82"/>
      <c r="AW1460" s="82" t="str">
        <f t="shared" si="1"/>
        <v/>
      </c>
      <c r="AX1460" s="83" t="str">
        <f t="array" ref="AX1460">IFERROR(DGET('SBV Import'!A:G,"SBV",{"RSC ID","Tier";B1460,A1460}))</f>
        <v/>
      </c>
      <c r="AY1460" s="82" t="str">
        <f t="shared" si="2"/>
        <v/>
      </c>
      <c r="AZ1460" s="82"/>
      <c r="BA1460" s="84" t="s">
        <v>152</v>
      </c>
      <c r="BB1460" s="84" t="str">
        <f>IFERROR(__xludf.DUMMYFUNCTION("iferror(if(A1460="""",,E1460&gt;=FILTER(Constants!$F$2:$F$10,Constants!$A$2:$A$10=A1460)))"),"")</f>
        <v/>
      </c>
    </row>
    <row r="1461">
      <c r="A1461" s="89"/>
      <c r="B1461" s="87"/>
      <c r="C1461" s="73"/>
      <c r="D1461" s="73"/>
      <c r="E1461" s="82"/>
      <c r="F1461" s="82"/>
      <c r="G1461" s="86"/>
      <c r="H1461" s="86"/>
      <c r="I1461" s="86"/>
      <c r="J1461" s="82"/>
      <c r="K1461" s="82"/>
      <c r="L1461" s="82"/>
      <c r="M1461" s="82"/>
      <c r="N1461" s="82"/>
      <c r="O1461" s="82"/>
      <c r="P1461" s="82"/>
      <c r="Q1461" s="82"/>
      <c r="R1461" s="82"/>
      <c r="S1461" s="82"/>
      <c r="T1461" s="82"/>
      <c r="U1461" s="82"/>
      <c r="V1461" s="82"/>
      <c r="W1461" s="82"/>
      <c r="X1461" s="82"/>
      <c r="Y1461" s="82"/>
      <c r="Z1461" s="82"/>
      <c r="AA1461" s="82"/>
      <c r="AB1461" s="82"/>
      <c r="AC1461" s="82"/>
      <c r="AD1461" s="82"/>
      <c r="AE1461" s="82"/>
      <c r="AF1461" s="82"/>
      <c r="AG1461" s="82"/>
      <c r="AH1461" s="82"/>
      <c r="AI1461" s="82"/>
      <c r="AJ1461" s="82"/>
      <c r="AK1461" s="82"/>
      <c r="AL1461" s="82"/>
      <c r="AM1461" s="82"/>
      <c r="AN1461" s="82">
        <f>IFERROR(__xludf.DUMMYFUNCTION("""COMPUTED_VALUE"""),0.0)</f>
        <v>0</v>
      </c>
      <c r="AO1461" s="82">
        <f>IFERROR(__xludf.DUMMYFUNCTION("""COMPUTED_VALUE"""),0.0)</f>
        <v>0</v>
      </c>
      <c r="AP1461" s="82">
        <f>IFERROR(__xludf.DUMMYFUNCTION("""COMPUTED_VALUE"""),0.0)</f>
        <v>0</v>
      </c>
      <c r="AQ1461" s="82">
        <f>IFERROR(__xludf.DUMMYFUNCTION("""COMPUTED_VALUE"""),0.0)</f>
        <v>0</v>
      </c>
      <c r="AR1461" s="82">
        <f>IFERROR(__xludf.DUMMYFUNCTION("""COMPUTED_VALUE"""),0.0)</f>
        <v>0</v>
      </c>
      <c r="AS1461" s="82"/>
      <c r="AT1461" s="82">
        <f>IFERROR(__xludf.DUMMYFUNCTION("""COMPUTED_VALUE"""),0.0)</f>
        <v>0</v>
      </c>
      <c r="AU1461" s="82"/>
      <c r="AV1461" s="82"/>
      <c r="AW1461" s="82" t="str">
        <f t="shared" si="1"/>
        <v/>
      </c>
      <c r="AX1461" s="83" t="str">
        <f t="array" ref="AX1461">IFERROR(DGET('SBV Import'!A:G,"SBV",{"RSC ID","Tier";B1461,A1461}))</f>
        <v/>
      </c>
      <c r="AY1461" s="82" t="str">
        <f t="shared" si="2"/>
        <v/>
      </c>
      <c r="AZ1461" s="82"/>
      <c r="BA1461" s="84" t="s">
        <v>152</v>
      </c>
      <c r="BB1461" s="84" t="str">
        <f>IFERROR(__xludf.DUMMYFUNCTION("iferror(if(A1461="""",,E1461&gt;=FILTER(Constants!$F$2:$F$10,Constants!$A$2:$A$10=A1461)))"),"")</f>
        <v/>
      </c>
    </row>
    <row r="1462">
      <c r="A1462" s="89"/>
      <c r="B1462" s="87"/>
      <c r="C1462" s="73"/>
      <c r="D1462" s="73"/>
      <c r="E1462" s="82"/>
      <c r="F1462" s="82"/>
      <c r="G1462" s="86"/>
      <c r="H1462" s="86"/>
      <c r="I1462" s="86"/>
      <c r="J1462" s="82"/>
      <c r="K1462" s="82"/>
      <c r="L1462" s="82"/>
      <c r="M1462" s="82"/>
      <c r="N1462" s="82"/>
      <c r="O1462" s="82"/>
      <c r="P1462" s="82"/>
      <c r="Q1462" s="82"/>
      <c r="R1462" s="82"/>
      <c r="S1462" s="82"/>
      <c r="T1462" s="82"/>
      <c r="U1462" s="82"/>
      <c r="V1462" s="82"/>
      <c r="W1462" s="82"/>
      <c r="X1462" s="82"/>
      <c r="Y1462" s="82"/>
      <c r="Z1462" s="82"/>
      <c r="AA1462" s="82"/>
      <c r="AB1462" s="82"/>
      <c r="AC1462" s="82"/>
      <c r="AD1462" s="82"/>
      <c r="AE1462" s="82"/>
      <c r="AF1462" s="82"/>
      <c r="AG1462" s="82"/>
      <c r="AH1462" s="82"/>
      <c r="AI1462" s="82"/>
      <c r="AJ1462" s="82"/>
      <c r="AK1462" s="82"/>
      <c r="AL1462" s="82"/>
      <c r="AM1462" s="82"/>
      <c r="AN1462" s="82">
        <f>IFERROR(__xludf.DUMMYFUNCTION("""COMPUTED_VALUE"""),0.0)</f>
        <v>0</v>
      </c>
      <c r="AO1462" s="82">
        <f>IFERROR(__xludf.DUMMYFUNCTION("""COMPUTED_VALUE"""),0.0)</f>
        <v>0</v>
      </c>
      <c r="AP1462" s="82">
        <f>IFERROR(__xludf.DUMMYFUNCTION("""COMPUTED_VALUE"""),0.0)</f>
        <v>0</v>
      </c>
      <c r="AQ1462" s="82">
        <f>IFERROR(__xludf.DUMMYFUNCTION("""COMPUTED_VALUE"""),0.0)</f>
        <v>0</v>
      </c>
      <c r="AR1462" s="82">
        <f>IFERROR(__xludf.DUMMYFUNCTION("""COMPUTED_VALUE"""),0.0)</f>
        <v>0</v>
      </c>
      <c r="AS1462" s="82"/>
      <c r="AT1462" s="82">
        <f>IFERROR(__xludf.DUMMYFUNCTION("""COMPUTED_VALUE"""),0.0)</f>
        <v>0</v>
      </c>
      <c r="AU1462" s="82"/>
      <c r="AV1462" s="82"/>
      <c r="AW1462" s="82" t="str">
        <f t="shared" si="1"/>
        <v/>
      </c>
      <c r="AX1462" s="83" t="str">
        <f t="array" ref="AX1462">IFERROR(DGET('SBV Import'!A:G,"SBV",{"RSC ID","Tier";B1462,A1462}))</f>
        <v/>
      </c>
      <c r="AY1462" s="82" t="str">
        <f t="shared" si="2"/>
        <v/>
      </c>
      <c r="AZ1462" s="82"/>
      <c r="BA1462" s="84" t="s">
        <v>152</v>
      </c>
      <c r="BB1462" s="84" t="str">
        <f>IFERROR(__xludf.DUMMYFUNCTION("iferror(if(A1462="""",,E1462&gt;=FILTER(Constants!$F$2:$F$10,Constants!$A$2:$A$10=A1462)))"),"")</f>
        <v/>
      </c>
    </row>
    <row r="1463">
      <c r="A1463" s="89"/>
      <c r="B1463" s="87"/>
      <c r="C1463" s="73"/>
      <c r="D1463" s="73"/>
      <c r="E1463" s="82"/>
      <c r="F1463" s="82"/>
      <c r="G1463" s="86"/>
      <c r="H1463" s="86"/>
      <c r="I1463" s="86"/>
      <c r="J1463" s="82"/>
      <c r="K1463" s="82"/>
      <c r="L1463" s="82"/>
      <c r="M1463" s="82"/>
      <c r="N1463" s="82"/>
      <c r="O1463" s="82"/>
      <c r="P1463" s="82"/>
      <c r="Q1463" s="82"/>
      <c r="R1463" s="82"/>
      <c r="S1463" s="82"/>
      <c r="T1463" s="82"/>
      <c r="U1463" s="82"/>
      <c r="V1463" s="82"/>
      <c r="W1463" s="82"/>
      <c r="X1463" s="82"/>
      <c r="Y1463" s="82"/>
      <c r="Z1463" s="82"/>
      <c r="AA1463" s="82"/>
      <c r="AB1463" s="82"/>
      <c r="AC1463" s="82"/>
      <c r="AD1463" s="82"/>
      <c r="AE1463" s="82"/>
      <c r="AF1463" s="82"/>
      <c r="AG1463" s="82"/>
      <c r="AH1463" s="82"/>
      <c r="AI1463" s="82"/>
      <c r="AJ1463" s="82"/>
      <c r="AK1463" s="82"/>
      <c r="AL1463" s="82"/>
      <c r="AM1463" s="82"/>
      <c r="AN1463" s="82">
        <f>IFERROR(__xludf.DUMMYFUNCTION("""COMPUTED_VALUE"""),0.0)</f>
        <v>0</v>
      </c>
      <c r="AO1463" s="82">
        <f>IFERROR(__xludf.DUMMYFUNCTION("""COMPUTED_VALUE"""),0.0)</f>
        <v>0</v>
      </c>
      <c r="AP1463" s="82">
        <f>IFERROR(__xludf.DUMMYFUNCTION("""COMPUTED_VALUE"""),0.0)</f>
        <v>0</v>
      </c>
      <c r="AQ1463" s="82">
        <f>IFERROR(__xludf.DUMMYFUNCTION("""COMPUTED_VALUE"""),0.0)</f>
        <v>0</v>
      </c>
      <c r="AR1463" s="82">
        <f>IFERROR(__xludf.DUMMYFUNCTION("""COMPUTED_VALUE"""),0.0)</f>
        <v>0</v>
      </c>
      <c r="AS1463" s="82"/>
      <c r="AT1463" s="82">
        <f>IFERROR(__xludf.DUMMYFUNCTION("""COMPUTED_VALUE"""),0.0)</f>
        <v>0</v>
      </c>
      <c r="AU1463" s="82"/>
      <c r="AV1463" s="82"/>
      <c r="AW1463" s="82" t="str">
        <f t="shared" si="1"/>
        <v/>
      </c>
      <c r="AX1463" s="83" t="str">
        <f t="array" ref="AX1463">IFERROR(DGET('SBV Import'!A:G,"SBV",{"RSC ID","Tier";B1463,A1463}))</f>
        <v/>
      </c>
      <c r="AY1463" s="82" t="str">
        <f t="shared" si="2"/>
        <v/>
      </c>
      <c r="AZ1463" s="82"/>
      <c r="BA1463" s="84" t="s">
        <v>152</v>
      </c>
      <c r="BB1463" s="84" t="str">
        <f>IFERROR(__xludf.DUMMYFUNCTION("iferror(if(A1463="""",,E1463&gt;=FILTER(Constants!$F$2:$F$10,Constants!$A$2:$A$10=A1463)))"),"")</f>
        <v/>
      </c>
    </row>
    <row r="1464">
      <c r="A1464" s="89"/>
      <c r="B1464" s="87"/>
      <c r="C1464" s="73"/>
      <c r="D1464" s="73"/>
      <c r="E1464" s="82"/>
      <c r="F1464" s="82"/>
      <c r="G1464" s="86"/>
      <c r="H1464" s="86"/>
      <c r="I1464" s="86"/>
      <c r="J1464" s="82"/>
      <c r="K1464" s="82"/>
      <c r="L1464" s="82"/>
      <c r="M1464" s="82"/>
      <c r="N1464" s="82"/>
      <c r="O1464" s="82"/>
      <c r="P1464" s="82"/>
      <c r="Q1464" s="82"/>
      <c r="R1464" s="82"/>
      <c r="S1464" s="82"/>
      <c r="T1464" s="82"/>
      <c r="U1464" s="82"/>
      <c r="V1464" s="82"/>
      <c r="W1464" s="82"/>
      <c r="X1464" s="82"/>
      <c r="Y1464" s="82"/>
      <c r="Z1464" s="82"/>
      <c r="AA1464" s="82"/>
      <c r="AB1464" s="82"/>
      <c r="AC1464" s="82"/>
      <c r="AD1464" s="82"/>
      <c r="AE1464" s="82"/>
      <c r="AF1464" s="82"/>
      <c r="AG1464" s="82"/>
      <c r="AH1464" s="82"/>
      <c r="AI1464" s="82"/>
      <c r="AJ1464" s="82"/>
      <c r="AK1464" s="82"/>
      <c r="AL1464" s="82"/>
      <c r="AM1464" s="82"/>
      <c r="AN1464" s="82">
        <f>IFERROR(__xludf.DUMMYFUNCTION("""COMPUTED_VALUE"""),0.0)</f>
        <v>0</v>
      </c>
      <c r="AO1464" s="82">
        <f>IFERROR(__xludf.DUMMYFUNCTION("""COMPUTED_VALUE"""),0.0)</f>
        <v>0</v>
      </c>
      <c r="AP1464" s="82">
        <f>IFERROR(__xludf.DUMMYFUNCTION("""COMPUTED_VALUE"""),0.0)</f>
        <v>0</v>
      </c>
      <c r="AQ1464" s="82">
        <f>IFERROR(__xludf.DUMMYFUNCTION("""COMPUTED_VALUE"""),0.0)</f>
        <v>0</v>
      </c>
      <c r="AR1464" s="82">
        <f>IFERROR(__xludf.DUMMYFUNCTION("""COMPUTED_VALUE"""),0.0)</f>
        <v>0</v>
      </c>
      <c r="AS1464" s="82"/>
      <c r="AT1464" s="82">
        <f>IFERROR(__xludf.DUMMYFUNCTION("""COMPUTED_VALUE"""),0.0)</f>
        <v>0</v>
      </c>
      <c r="AU1464" s="82"/>
      <c r="AV1464" s="82"/>
      <c r="AW1464" s="82" t="str">
        <f t="shared" si="1"/>
        <v/>
      </c>
      <c r="AX1464" s="83" t="str">
        <f t="array" ref="AX1464">IFERROR(DGET('SBV Import'!A:G,"SBV",{"RSC ID","Tier";B1464,A1464}))</f>
        <v/>
      </c>
      <c r="AY1464" s="82" t="str">
        <f t="shared" si="2"/>
        <v/>
      </c>
      <c r="AZ1464" s="82"/>
      <c r="BA1464" s="84" t="s">
        <v>152</v>
      </c>
      <c r="BB1464" s="84" t="str">
        <f>IFERROR(__xludf.DUMMYFUNCTION("iferror(if(A1464="""",,E1464&gt;=FILTER(Constants!$F$2:$F$10,Constants!$A$2:$A$10=A1464)))"),"")</f>
        <v/>
      </c>
    </row>
    <row r="1465">
      <c r="A1465" s="89"/>
      <c r="B1465" s="87"/>
      <c r="C1465" s="73"/>
      <c r="D1465" s="73"/>
      <c r="E1465" s="82"/>
      <c r="F1465" s="82"/>
      <c r="G1465" s="86"/>
      <c r="H1465" s="86"/>
      <c r="I1465" s="86"/>
      <c r="J1465" s="82"/>
      <c r="K1465" s="82"/>
      <c r="L1465" s="82"/>
      <c r="M1465" s="82"/>
      <c r="N1465" s="82"/>
      <c r="O1465" s="82"/>
      <c r="P1465" s="82"/>
      <c r="Q1465" s="82"/>
      <c r="R1465" s="82"/>
      <c r="S1465" s="82"/>
      <c r="T1465" s="82"/>
      <c r="U1465" s="82"/>
      <c r="V1465" s="82"/>
      <c r="W1465" s="82"/>
      <c r="X1465" s="82"/>
      <c r="Y1465" s="82"/>
      <c r="Z1465" s="82"/>
      <c r="AA1465" s="82"/>
      <c r="AB1465" s="82"/>
      <c r="AC1465" s="82"/>
      <c r="AD1465" s="82"/>
      <c r="AE1465" s="82"/>
      <c r="AF1465" s="82"/>
      <c r="AG1465" s="82"/>
      <c r="AH1465" s="82"/>
      <c r="AI1465" s="82"/>
      <c r="AJ1465" s="82"/>
      <c r="AK1465" s="82"/>
      <c r="AL1465" s="82"/>
      <c r="AM1465" s="82"/>
      <c r="AN1465" s="82">
        <f>IFERROR(__xludf.DUMMYFUNCTION("""COMPUTED_VALUE"""),0.0)</f>
        <v>0</v>
      </c>
      <c r="AO1465" s="82">
        <f>IFERROR(__xludf.DUMMYFUNCTION("""COMPUTED_VALUE"""),0.0)</f>
        <v>0</v>
      </c>
      <c r="AP1465" s="82">
        <f>IFERROR(__xludf.DUMMYFUNCTION("""COMPUTED_VALUE"""),0.0)</f>
        <v>0</v>
      </c>
      <c r="AQ1465" s="82">
        <f>IFERROR(__xludf.DUMMYFUNCTION("""COMPUTED_VALUE"""),0.0)</f>
        <v>0</v>
      </c>
      <c r="AR1465" s="82">
        <f>IFERROR(__xludf.DUMMYFUNCTION("""COMPUTED_VALUE"""),0.0)</f>
        <v>0</v>
      </c>
      <c r="AS1465" s="82"/>
      <c r="AT1465" s="82">
        <f>IFERROR(__xludf.DUMMYFUNCTION("""COMPUTED_VALUE"""),0.0)</f>
        <v>0</v>
      </c>
      <c r="AU1465" s="82"/>
      <c r="AV1465" s="82"/>
      <c r="AW1465" s="82" t="str">
        <f t="shared" si="1"/>
        <v/>
      </c>
      <c r="AX1465" s="83" t="str">
        <f t="array" ref="AX1465">IFERROR(DGET('SBV Import'!A:G,"SBV",{"RSC ID","Tier";B1465,A1465}))</f>
        <v/>
      </c>
      <c r="AY1465" s="82" t="str">
        <f t="shared" si="2"/>
        <v/>
      </c>
      <c r="AZ1465" s="82"/>
      <c r="BA1465" s="84" t="s">
        <v>152</v>
      </c>
      <c r="BB1465" s="84" t="str">
        <f>IFERROR(__xludf.DUMMYFUNCTION("iferror(if(A1465="""",,E1465&gt;=FILTER(Constants!$F$2:$F$10,Constants!$A$2:$A$10=A1465)))"),"")</f>
        <v/>
      </c>
    </row>
    <row r="1466">
      <c r="A1466" s="89"/>
      <c r="B1466" s="87"/>
      <c r="C1466" s="73"/>
      <c r="D1466" s="73"/>
      <c r="E1466" s="82"/>
      <c r="F1466" s="82"/>
      <c r="G1466" s="86"/>
      <c r="H1466" s="86"/>
      <c r="I1466" s="86"/>
      <c r="J1466" s="82"/>
      <c r="K1466" s="82"/>
      <c r="L1466" s="82"/>
      <c r="M1466" s="82"/>
      <c r="N1466" s="82"/>
      <c r="O1466" s="82"/>
      <c r="P1466" s="82"/>
      <c r="Q1466" s="82"/>
      <c r="R1466" s="82"/>
      <c r="S1466" s="82"/>
      <c r="T1466" s="82"/>
      <c r="U1466" s="82"/>
      <c r="V1466" s="82"/>
      <c r="W1466" s="82"/>
      <c r="X1466" s="82"/>
      <c r="Y1466" s="82"/>
      <c r="Z1466" s="82"/>
      <c r="AA1466" s="82"/>
      <c r="AB1466" s="82"/>
      <c r="AC1466" s="82"/>
      <c r="AD1466" s="82"/>
      <c r="AE1466" s="82"/>
      <c r="AF1466" s="82"/>
      <c r="AG1466" s="82"/>
      <c r="AH1466" s="82"/>
      <c r="AI1466" s="82"/>
      <c r="AJ1466" s="82"/>
      <c r="AK1466" s="82"/>
      <c r="AL1466" s="82"/>
      <c r="AM1466" s="82"/>
      <c r="AN1466" s="82">
        <f>IFERROR(__xludf.DUMMYFUNCTION("""COMPUTED_VALUE"""),0.0)</f>
        <v>0</v>
      </c>
      <c r="AO1466" s="82">
        <f>IFERROR(__xludf.DUMMYFUNCTION("""COMPUTED_VALUE"""),0.0)</f>
        <v>0</v>
      </c>
      <c r="AP1466" s="82">
        <f>IFERROR(__xludf.DUMMYFUNCTION("""COMPUTED_VALUE"""),0.0)</f>
        <v>0</v>
      </c>
      <c r="AQ1466" s="82">
        <f>IFERROR(__xludf.DUMMYFUNCTION("""COMPUTED_VALUE"""),0.0)</f>
        <v>0</v>
      </c>
      <c r="AR1466" s="82">
        <f>IFERROR(__xludf.DUMMYFUNCTION("""COMPUTED_VALUE"""),0.0)</f>
        <v>0</v>
      </c>
      <c r="AS1466" s="82"/>
      <c r="AT1466" s="82">
        <f>IFERROR(__xludf.DUMMYFUNCTION("""COMPUTED_VALUE"""),0.0)</f>
        <v>0</v>
      </c>
      <c r="AU1466" s="82"/>
      <c r="AV1466" s="82"/>
      <c r="AW1466" s="82" t="str">
        <f t="shared" si="1"/>
        <v/>
      </c>
      <c r="AX1466" s="83" t="str">
        <f t="array" ref="AX1466">IFERROR(DGET('SBV Import'!A:G,"SBV",{"RSC ID","Tier";B1466,A1466}))</f>
        <v/>
      </c>
      <c r="AY1466" s="82" t="str">
        <f t="shared" si="2"/>
        <v/>
      </c>
      <c r="AZ1466" s="82"/>
      <c r="BA1466" s="84" t="s">
        <v>152</v>
      </c>
      <c r="BB1466" s="84" t="str">
        <f>IFERROR(__xludf.DUMMYFUNCTION("iferror(if(A1466="""",,E1466&gt;=FILTER(Constants!$F$2:$F$10,Constants!$A$2:$A$10=A1466)))"),"")</f>
        <v/>
      </c>
    </row>
    <row r="1467">
      <c r="A1467" s="89"/>
      <c r="B1467" s="87"/>
      <c r="C1467" s="73"/>
      <c r="D1467" s="73"/>
      <c r="E1467" s="82"/>
      <c r="F1467" s="82"/>
      <c r="G1467" s="86"/>
      <c r="H1467" s="86"/>
      <c r="I1467" s="86"/>
      <c r="J1467" s="82"/>
      <c r="K1467" s="82"/>
      <c r="L1467" s="82"/>
      <c r="M1467" s="82"/>
      <c r="N1467" s="82"/>
      <c r="O1467" s="82"/>
      <c r="P1467" s="82"/>
      <c r="Q1467" s="82"/>
      <c r="R1467" s="82"/>
      <c r="S1467" s="82"/>
      <c r="T1467" s="82"/>
      <c r="U1467" s="82"/>
      <c r="V1467" s="82"/>
      <c r="W1467" s="82"/>
      <c r="X1467" s="82"/>
      <c r="Y1467" s="82"/>
      <c r="Z1467" s="82"/>
      <c r="AA1467" s="82"/>
      <c r="AB1467" s="82"/>
      <c r="AC1467" s="82"/>
      <c r="AD1467" s="82"/>
      <c r="AE1467" s="82"/>
      <c r="AF1467" s="82"/>
      <c r="AG1467" s="82"/>
      <c r="AH1467" s="82"/>
      <c r="AI1467" s="82"/>
      <c r="AJ1467" s="82"/>
      <c r="AK1467" s="82"/>
      <c r="AL1467" s="82"/>
      <c r="AM1467" s="82"/>
      <c r="AN1467" s="82">
        <f>IFERROR(__xludf.DUMMYFUNCTION("""COMPUTED_VALUE"""),0.0)</f>
        <v>0</v>
      </c>
      <c r="AO1467" s="82">
        <f>IFERROR(__xludf.DUMMYFUNCTION("""COMPUTED_VALUE"""),0.0)</f>
        <v>0</v>
      </c>
      <c r="AP1467" s="82">
        <f>IFERROR(__xludf.DUMMYFUNCTION("""COMPUTED_VALUE"""),0.0)</f>
        <v>0</v>
      </c>
      <c r="AQ1467" s="82">
        <f>IFERROR(__xludf.DUMMYFUNCTION("""COMPUTED_VALUE"""),0.0)</f>
        <v>0</v>
      </c>
      <c r="AR1467" s="82">
        <f>IFERROR(__xludf.DUMMYFUNCTION("""COMPUTED_VALUE"""),0.0)</f>
        <v>0</v>
      </c>
      <c r="AS1467" s="82"/>
      <c r="AT1467" s="82">
        <f>IFERROR(__xludf.DUMMYFUNCTION("""COMPUTED_VALUE"""),0.0)</f>
        <v>0</v>
      </c>
      <c r="AU1467" s="82"/>
      <c r="AV1467" s="82"/>
      <c r="AW1467" s="82" t="str">
        <f t="shared" si="1"/>
        <v/>
      </c>
      <c r="AX1467" s="83" t="str">
        <f t="array" ref="AX1467">IFERROR(DGET('SBV Import'!A:G,"SBV",{"RSC ID","Tier";B1467,A1467}))</f>
        <v/>
      </c>
      <c r="AY1467" s="82" t="str">
        <f t="shared" si="2"/>
        <v/>
      </c>
      <c r="AZ1467" s="82"/>
      <c r="BA1467" s="84" t="s">
        <v>152</v>
      </c>
      <c r="BB1467" s="84" t="str">
        <f>IFERROR(__xludf.DUMMYFUNCTION("iferror(if(A1467="""",,E1467&gt;=FILTER(Constants!$F$2:$F$10,Constants!$A$2:$A$10=A1467)))"),"")</f>
        <v/>
      </c>
    </row>
    <row r="1468">
      <c r="A1468" s="89"/>
      <c r="B1468" s="87"/>
      <c r="C1468" s="73"/>
      <c r="D1468" s="73"/>
      <c r="E1468" s="82"/>
      <c r="F1468" s="82"/>
      <c r="G1468" s="86"/>
      <c r="H1468" s="86"/>
      <c r="I1468" s="86"/>
      <c r="J1468" s="82"/>
      <c r="K1468" s="82"/>
      <c r="L1468" s="82"/>
      <c r="M1468" s="82"/>
      <c r="N1468" s="82"/>
      <c r="O1468" s="82"/>
      <c r="P1468" s="82"/>
      <c r="Q1468" s="82"/>
      <c r="R1468" s="82"/>
      <c r="S1468" s="82"/>
      <c r="T1468" s="82"/>
      <c r="U1468" s="82"/>
      <c r="V1468" s="82"/>
      <c r="W1468" s="82"/>
      <c r="X1468" s="82"/>
      <c r="Y1468" s="82"/>
      <c r="Z1468" s="82"/>
      <c r="AA1468" s="82"/>
      <c r="AB1468" s="82"/>
      <c r="AC1468" s="82"/>
      <c r="AD1468" s="82"/>
      <c r="AE1468" s="82"/>
      <c r="AF1468" s="82"/>
      <c r="AG1468" s="82"/>
      <c r="AH1468" s="82"/>
      <c r="AI1468" s="82"/>
      <c r="AJ1468" s="82"/>
      <c r="AK1468" s="82"/>
      <c r="AL1468" s="82"/>
      <c r="AM1468" s="82"/>
      <c r="AN1468" s="82">
        <f>IFERROR(__xludf.DUMMYFUNCTION("""COMPUTED_VALUE"""),0.0)</f>
        <v>0</v>
      </c>
      <c r="AO1468" s="82">
        <f>IFERROR(__xludf.DUMMYFUNCTION("""COMPUTED_VALUE"""),0.0)</f>
        <v>0</v>
      </c>
      <c r="AP1468" s="82">
        <f>IFERROR(__xludf.DUMMYFUNCTION("""COMPUTED_VALUE"""),0.0)</f>
        <v>0</v>
      </c>
      <c r="AQ1468" s="82">
        <f>IFERROR(__xludf.DUMMYFUNCTION("""COMPUTED_VALUE"""),0.0)</f>
        <v>0</v>
      </c>
      <c r="AR1468" s="82">
        <f>IFERROR(__xludf.DUMMYFUNCTION("""COMPUTED_VALUE"""),0.0)</f>
        <v>0</v>
      </c>
      <c r="AS1468" s="82"/>
      <c r="AT1468" s="82">
        <f>IFERROR(__xludf.DUMMYFUNCTION("""COMPUTED_VALUE"""),0.0)</f>
        <v>0</v>
      </c>
      <c r="AU1468" s="82"/>
      <c r="AV1468" s="82"/>
      <c r="AW1468" s="82" t="str">
        <f t="shared" si="1"/>
        <v/>
      </c>
      <c r="AX1468" s="83" t="str">
        <f t="array" ref="AX1468">IFERROR(DGET('SBV Import'!A:G,"SBV",{"RSC ID","Tier";B1468,A1468}))</f>
        <v/>
      </c>
      <c r="AY1468" s="82" t="str">
        <f t="shared" si="2"/>
        <v/>
      </c>
      <c r="AZ1468" s="82"/>
      <c r="BA1468" s="84" t="s">
        <v>152</v>
      </c>
      <c r="BB1468" s="84" t="str">
        <f>IFERROR(__xludf.DUMMYFUNCTION("iferror(if(A1468="""",,E1468&gt;=FILTER(Constants!$F$2:$F$10,Constants!$A$2:$A$10=A1468)))"),"")</f>
        <v/>
      </c>
    </row>
    <row r="1469">
      <c r="A1469" s="89"/>
      <c r="B1469" s="87"/>
      <c r="C1469" s="73"/>
      <c r="D1469" s="73"/>
      <c r="E1469" s="82"/>
      <c r="F1469" s="82"/>
      <c r="G1469" s="86"/>
      <c r="H1469" s="86"/>
      <c r="I1469" s="86"/>
      <c r="J1469" s="82"/>
      <c r="K1469" s="82"/>
      <c r="L1469" s="82"/>
      <c r="M1469" s="82"/>
      <c r="N1469" s="82"/>
      <c r="O1469" s="82"/>
      <c r="P1469" s="82"/>
      <c r="Q1469" s="82"/>
      <c r="R1469" s="82"/>
      <c r="S1469" s="82"/>
      <c r="T1469" s="82"/>
      <c r="U1469" s="82"/>
      <c r="V1469" s="82"/>
      <c r="W1469" s="82"/>
      <c r="X1469" s="82"/>
      <c r="Y1469" s="82"/>
      <c r="Z1469" s="82"/>
      <c r="AA1469" s="82"/>
      <c r="AB1469" s="82"/>
      <c r="AC1469" s="82"/>
      <c r="AD1469" s="82"/>
      <c r="AE1469" s="82"/>
      <c r="AF1469" s="82"/>
      <c r="AG1469" s="82"/>
      <c r="AH1469" s="82"/>
      <c r="AI1469" s="82"/>
      <c r="AJ1469" s="82"/>
      <c r="AK1469" s="82"/>
      <c r="AL1469" s="82"/>
      <c r="AM1469" s="82"/>
      <c r="AN1469" s="82">
        <f>IFERROR(__xludf.DUMMYFUNCTION("""COMPUTED_VALUE"""),0.0)</f>
        <v>0</v>
      </c>
      <c r="AO1469" s="82">
        <f>IFERROR(__xludf.DUMMYFUNCTION("""COMPUTED_VALUE"""),0.0)</f>
        <v>0</v>
      </c>
      <c r="AP1469" s="82">
        <f>IFERROR(__xludf.DUMMYFUNCTION("""COMPUTED_VALUE"""),0.0)</f>
        <v>0</v>
      </c>
      <c r="AQ1469" s="82">
        <f>IFERROR(__xludf.DUMMYFUNCTION("""COMPUTED_VALUE"""),0.0)</f>
        <v>0</v>
      </c>
      <c r="AR1469" s="82">
        <f>IFERROR(__xludf.DUMMYFUNCTION("""COMPUTED_VALUE"""),0.0)</f>
        <v>0</v>
      </c>
      <c r="AS1469" s="82"/>
      <c r="AT1469" s="82">
        <f>IFERROR(__xludf.DUMMYFUNCTION("""COMPUTED_VALUE"""),0.0)</f>
        <v>0</v>
      </c>
      <c r="AU1469" s="82"/>
      <c r="AV1469" s="82"/>
      <c r="AW1469" s="82" t="str">
        <f t="shared" si="1"/>
        <v/>
      </c>
      <c r="AX1469" s="83" t="str">
        <f t="array" ref="AX1469">IFERROR(DGET('SBV Import'!A:G,"SBV",{"RSC ID","Tier";B1469,A1469}))</f>
        <v/>
      </c>
      <c r="AY1469" s="82" t="str">
        <f t="shared" si="2"/>
        <v/>
      </c>
      <c r="AZ1469" s="82"/>
      <c r="BA1469" s="84" t="s">
        <v>152</v>
      </c>
      <c r="BB1469" s="84" t="str">
        <f>IFERROR(__xludf.DUMMYFUNCTION("iferror(if(A1469="""",,E1469&gt;=FILTER(Constants!$F$2:$F$10,Constants!$A$2:$A$10=A1469)))"),"")</f>
        <v/>
      </c>
    </row>
    <row r="1470">
      <c r="A1470" s="89"/>
      <c r="B1470" s="87"/>
      <c r="C1470" s="73"/>
      <c r="D1470" s="73"/>
      <c r="E1470" s="82"/>
      <c r="F1470" s="82"/>
      <c r="G1470" s="86"/>
      <c r="H1470" s="86"/>
      <c r="I1470" s="86"/>
      <c r="J1470" s="82"/>
      <c r="K1470" s="82"/>
      <c r="L1470" s="82"/>
      <c r="M1470" s="82"/>
      <c r="N1470" s="82"/>
      <c r="O1470" s="82"/>
      <c r="P1470" s="82"/>
      <c r="Q1470" s="82"/>
      <c r="R1470" s="82"/>
      <c r="S1470" s="82"/>
      <c r="T1470" s="82"/>
      <c r="U1470" s="82"/>
      <c r="V1470" s="82"/>
      <c r="W1470" s="82"/>
      <c r="X1470" s="82"/>
      <c r="Y1470" s="82"/>
      <c r="Z1470" s="82"/>
      <c r="AA1470" s="82"/>
      <c r="AB1470" s="82"/>
      <c r="AC1470" s="82"/>
      <c r="AD1470" s="82"/>
      <c r="AE1470" s="82"/>
      <c r="AF1470" s="82"/>
      <c r="AG1470" s="82"/>
      <c r="AH1470" s="82"/>
      <c r="AI1470" s="82"/>
      <c r="AJ1470" s="82"/>
      <c r="AK1470" s="82"/>
      <c r="AL1470" s="82"/>
      <c r="AM1470" s="82"/>
      <c r="AN1470" s="82">
        <f>IFERROR(__xludf.DUMMYFUNCTION("""COMPUTED_VALUE"""),0.0)</f>
        <v>0</v>
      </c>
      <c r="AO1470" s="82">
        <f>IFERROR(__xludf.DUMMYFUNCTION("""COMPUTED_VALUE"""),0.0)</f>
        <v>0</v>
      </c>
      <c r="AP1470" s="82">
        <f>IFERROR(__xludf.DUMMYFUNCTION("""COMPUTED_VALUE"""),0.0)</f>
        <v>0</v>
      </c>
      <c r="AQ1470" s="82">
        <f>IFERROR(__xludf.DUMMYFUNCTION("""COMPUTED_VALUE"""),0.0)</f>
        <v>0</v>
      </c>
      <c r="AR1470" s="82">
        <f>IFERROR(__xludf.DUMMYFUNCTION("""COMPUTED_VALUE"""),0.0)</f>
        <v>0</v>
      </c>
      <c r="AS1470" s="82"/>
      <c r="AT1470" s="82">
        <f>IFERROR(__xludf.DUMMYFUNCTION("""COMPUTED_VALUE"""),0.0)</f>
        <v>0</v>
      </c>
      <c r="AU1470" s="82"/>
      <c r="AV1470" s="82"/>
      <c r="AW1470" s="82" t="str">
        <f t="shared" si="1"/>
        <v/>
      </c>
      <c r="AX1470" s="83" t="str">
        <f t="array" ref="AX1470">IFERROR(DGET('SBV Import'!A:G,"SBV",{"RSC ID","Tier";B1470,A1470}))</f>
        <v/>
      </c>
      <c r="AY1470" s="82" t="str">
        <f t="shared" si="2"/>
        <v/>
      </c>
      <c r="AZ1470" s="82"/>
      <c r="BA1470" s="84" t="s">
        <v>152</v>
      </c>
      <c r="BB1470" s="84" t="str">
        <f>IFERROR(__xludf.DUMMYFUNCTION("iferror(if(A1470="""",,E1470&gt;=FILTER(Constants!$F$2:$F$10,Constants!$A$2:$A$10=A1470)))"),"")</f>
        <v/>
      </c>
    </row>
    <row r="1471">
      <c r="A1471" s="89"/>
      <c r="B1471" s="87"/>
      <c r="C1471" s="73"/>
      <c r="D1471" s="73"/>
      <c r="E1471" s="82"/>
      <c r="F1471" s="82"/>
      <c r="G1471" s="86"/>
      <c r="H1471" s="86"/>
      <c r="I1471" s="86"/>
      <c r="J1471" s="82"/>
      <c r="K1471" s="82"/>
      <c r="L1471" s="82"/>
      <c r="M1471" s="82"/>
      <c r="N1471" s="82"/>
      <c r="O1471" s="82"/>
      <c r="P1471" s="82"/>
      <c r="Q1471" s="82"/>
      <c r="R1471" s="82"/>
      <c r="S1471" s="82"/>
      <c r="T1471" s="82"/>
      <c r="U1471" s="82"/>
      <c r="V1471" s="82"/>
      <c r="W1471" s="82"/>
      <c r="X1471" s="82"/>
      <c r="Y1471" s="82"/>
      <c r="Z1471" s="82"/>
      <c r="AA1471" s="82"/>
      <c r="AB1471" s="82"/>
      <c r="AC1471" s="82"/>
      <c r="AD1471" s="82"/>
      <c r="AE1471" s="82"/>
      <c r="AF1471" s="82"/>
      <c r="AG1471" s="82"/>
      <c r="AH1471" s="82"/>
      <c r="AI1471" s="82"/>
      <c r="AJ1471" s="82"/>
      <c r="AK1471" s="82"/>
      <c r="AL1471" s="82"/>
      <c r="AM1471" s="82"/>
      <c r="AN1471" s="82">
        <f>IFERROR(__xludf.DUMMYFUNCTION("""COMPUTED_VALUE"""),0.0)</f>
        <v>0</v>
      </c>
      <c r="AO1471" s="82">
        <f>IFERROR(__xludf.DUMMYFUNCTION("""COMPUTED_VALUE"""),0.0)</f>
        <v>0</v>
      </c>
      <c r="AP1471" s="82">
        <f>IFERROR(__xludf.DUMMYFUNCTION("""COMPUTED_VALUE"""),0.0)</f>
        <v>0</v>
      </c>
      <c r="AQ1471" s="82">
        <f>IFERROR(__xludf.DUMMYFUNCTION("""COMPUTED_VALUE"""),0.0)</f>
        <v>0</v>
      </c>
      <c r="AR1471" s="82">
        <f>IFERROR(__xludf.DUMMYFUNCTION("""COMPUTED_VALUE"""),0.0)</f>
        <v>0</v>
      </c>
      <c r="AS1471" s="82"/>
      <c r="AT1471" s="82">
        <f>IFERROR(__xludf.DUMMYFUNCTION("""COMPUTED_VALUE"""),0.0)</f>
        <v>0</v>
      </c>
      <c r="AU1471" s="82"/>
      <c r="AV1471" s="82"/>
      <c r="AW1471" s="82" t="str">
        <f t="shared" si="1"/>
        <v/>
      </c>
      <c r="AX1471" s="83" t="str">
        <f t="array" ref="AX1471">IFERROR(DGET('SBV Import'!A:G,"SBV",{"RSC ID","Tier";B1471,A1471}))</f>
        <v/>
      </c>
      <c r="AY1471" s="82" t="str">
        <f t="shared" si="2"/>
        <v/>
      </c>
      <c r="AZ1471" s="82"/>
      <c r="BA1471" s="84" t="s">
        <v>152</v>
      </c>
      <c r="BB1471" s="84" t="str">
        <f>IFERROR(__xludf.DUMMYFUNCTION("iferror(if(A1471="""",,E1471&gt;=FILTER(Constants!$F$2:$F$10,Constants!$A$2:$A$10=A1471)))"),"")</f>
        <v/>
      </c>
    </row>
    <row r="1472">
      <c r="A1472" s="89"/>
      <c r="B1472" s="87"/>
      <c r="C1472" s="73"/>
      <c r="D1472" s="73"/>
      <c r="E1472" s="82"/>
      <c r="F1472" s="82"/>
      <c r="G1472" s="86"/>
      <c r="H1472" s="86"/>
      <c r="I1472" s="86"/>
      <c r="J1472" s="82"/>
      <c r="K1472" s="82"/>
      <c r="L1472" s="82"/>
      <c r="M1472" s="82"/>
      <c r="N1472" s="82"/>
      <c r="O1472" s="82"/>
      <c r="P1472" s="82"/>
      <c r="Q1472" s="82"/>
      <c r="R1472" s="82"/>
      <c r="S1472" s="82"/>
      <c r="T1472" s="82"/>
      <c r="U1472" s="82"/>
      <c r="V1472" s="82"/>
      <c r="W1472" s="82"/>
      <c r="X1472" s="82"/>
      <c r="Y1472" s="82"/>
      <c r="Z1472" s="82"/>
      <c r="AA1472" s="82"/>
      <c r="AB1472" s="82"/>
      <c r="AC1472" s="82"/>
      <c r="AD1472" s="82"/>
      <c r="AE1472" s="82"/>
      <c r="AF1472" s="82"/>
      <c r="AG1472" s="82"/>
      <c r="AH1472" s="82"/>
      <c r="AI1472" s="82"/>
      <c r="AJ1472" s="82"/>
      <c r="AK1472" s="82"/>
      <c r="AL1472" s="82"/>
      <c r="AM1472" s="82"/>
      <c r="AN1472" s="82">
        <f>IFERROR(__xludf.DUMMYFUNCTION("""COMPUTED_VALUE"""),0.0)</f>
        <v>0</v>
      </c>
      <c r="AO1472" s="82">
        <f>IFERROR(__xludf.DUMMYFUNCTION("""COMPUTED_VALUE"""),0.0)</f>
        <v>0</v>
      </c>
      <c r="AP1472" s="82">
        <f>IFERROR(__xludf.DUMMYFUNCTION("""COMPUTED_VALUE"""),0.0)</f>
        <v>0</v>
      </c>
      <c r="AQ1472" s="82">
        <f>IFERROR(__xludf.DUMMYFUNCTION("""COMPUTED_VALUE"""),0.0)</f>
        <v>0</v>
      </c>
      <c r="AR1472" s="82">
        <f>IFERROR(__xludf.DUMMYFUNCTION("""COMPUTED_VALUE"""),0.0)</f>
        <v>0</v>
      </c>
      <c r="AS1472" s="82"/>
      <c r="AT1472" s="82">
        <f>IFERROR(__xludf.DUMMYFUNCTION("""COMPUTED_VALUE"""),0.0)</f>
        <v>0</v>
      </c>
      <c r="AU1472" s="82"/>
      <c r="AV1472" s="82"/>
      <c r="AW1472" s="82" t="str">
        <f t="shared" si="1"/>
        <v/>
      </c>
      <c r="AX1472" s="83" t="str">
        <f t="array" ref="AX1472">IFERROR(DGET('SBV Import'!A:G,"SBV",{"RSC ID","Tier";B1472,A1472}))</f>
        <v/>
      </c>
      <c r="AY1472" s="82" t="str">
        <f t="shared" si="2"/>
        <v/>
      </c>
      <c r="AZ1472" s="82"/>
      <c r="BA1472" s="84" t="s">
        <v>152</v>
      </c>
      <c r="BB1472" s="84" t="str">
        <f>IFERROR(__xludf.DUMMYFUNCTION("iferror(if(A1472="""",,E1472&gt;=FILTER(Constants!$F$2:$F$10,Constants!$A$2:$A$10=A1472)))"),"")</f>
        <v/>
      </c>
    </row>
    <row r="1473">
      <c r="A1473" s="89"/>
      <c r="B1473" s="87"/>
      <c r="C1473" s="73"/>
      <c r="D1473" s="73"/>
      <c r="E1473" s="82"/>
      <c r="F1473" s="82"/>
      <c r="G1473" s="86"/>
      <c r="H1473" s="86"/>
      <c r="I1473" s="86"/>
      <c r="J1473" s="82"/>
      <c r="K1473" s="82"/>
      <c r="L1473" s="82"/>
      <c r="M1473" s="82"/>
      <c r="N1473" s="82"/>
      <c r="O1473" s="82"/>
      <c r="P1473" s="82"/>
      <c r="Q1473" s="82"/>
      <c r="R1473" s="82"/>
      <c r="S1473" s="82"/>
      <c r="T1473" s="82"/>
      <c r="U1473" s="82"/>
      <c r="V1473" s="82"/>
      <c r="W1473" s="82"/>
      <c r="X1473" s="82"/>
      <c r="Y1473" s="82"/>
      <c r="Z1473" s="82"/>
      <c r="AA1473" s="82"/>
      <c r="AB1473" s="82"/>
      <c r="AC1473" s="82"/>
      <c r="AD1473" s="82"/>
      <c r="AE1473" s="82"/>
      <c r="AF1473" s="82"/>
      <c r="AG1473" s="82"/>
      <c r="AH1473" s="82"/>
      <c r="AI1473" s="82"/>
      <c r="AJ1473" s="82"/>
      <c r="AK1473" s="82"/>
      <c r="AL1473" s="82"/>
      <c r="AM1473" s="82"/>
      <c r="AN1473" s="82">
        <f>IFERROR(__xludf.DUMMYFUNCTION("""COMPUTED_VALUE"""),0.0)</f>
        <v>0</v>
      </c>
      <c r="AO1473" s="82">
        <f>IFERROR(__xludf.DUMMYFUNCTION("""COMPUTED_VALUE"""),0.0)</f>
        <v>0</v>
      </c>
      <c r="AP1473" s="82">
        <f>IFERROR(__xludf.DUMMYFUNCTION("""COMPUTED_VALUE"""),0.0)</f>
        <v>0</v>
      </c>
      <c r="AQ1473" s="82">
        <f>IFERROR(__xludf.DUMMYFUNCTION("""COMPUTED_VALUE"""),0.0)</f>
        <v>0</v>
      </c>
      <c r="AR1473" s="82">
        <f>IFERROR(__xludf.DUMMYFUNCTION("""COMPUTED_VALUE"""),0.0)</f>
        <v>0</v>
      </c>
      <c r="AS1473" s="82"/>
      <c r="AT1473" s="82">
        <f>IFERROR(__xludf.DUMMYFUNCTION("""COMPUTED_VALUE"""),0.0)</f>
        <v>0</v>
      </c>
      <c r="AU1473" s="82"/>
      <c r="AV1473" s="82"/>
      <c r="AW1473" s="82" t="str">
        <f t="shared" si="1"/>
        <v/>
      </c>
      <c r="AX1473" s="83" t="str">
        <f t="array" ref="AX1473">IFERROR(DGET('SBV Import'!A:G,"SBV",{"RSC ID","Tier";B1473,A1473}))</f>
        <v/>
      </c>
      <c r="AY1473" s="82" t="str">
        <f t="shared" si="2"/>
        <v/>
      </c>
      <c r="AZ1473" s="82"/>
      <c r="BA1473" s="84" t="s">
        <v>152</v>
      </c>
      <c r="BB1473" s="84" t="str">
        <f>IFERROR(__xludf.DUMMYFUNCTION("iferror(if(A1473="""",,E1473&gt;=FILTER(Constants!$F$2:$F$10,Constants!$A$2:$A$10=A1473)))"),"")</f>
        <v/>
      </c>
    </row>
    <row r="1474">
      <c r="A1474" s="89"/>
      <c r="B1474" s="87"/>
      <c r="C1474" s="73"/>
      <c r="D1474" s="73"/>
      <c r="E1474" s="82"/>
      <c r="F1474" s="82"/>
      <c r="G1474" s="86"/>
      <c r="H1474" s="86"/>
      <c r="I1474" s="86"/>
      <c r="J1474" s="82"/>
      <c r="K1474" s="82"/>
      <c r="L1474" s="82"/>
      <c r="M1474" s="82"/>
      <c r="N1474" s="82"/>
      <c r="O1474" s="82"/>
      <c r="P1474" s="82"/>
      <c r="Q1474" s="82"/>
      <c r="R1474" s="82"/>
      <c r="S1474" s="82"/>
      <c r="T1474" s="82"/>
      <c r="U1474" s="82"/>
      <c r="V1474" s="82"/>
      <c r="W1474" s="82"/>
      <c r="X1474" s="82"/>
      <c r="Y1474" s="82"/>
      <c r="Z1474" s="82"/>
      <c r="AA1474" s="82"/>
      <c r="AB1474" s="82"/>
      <c r="AC1474" s="82"/>
      <c r="AD1474" s="82"/>
      <c r="AE1474" s="82"/>
      <c r="AF1474" s="82"/>
      <c r="AG1474" s="82"/>
      <c r="AH1474" s="82"/>
      <c r="AI1474" s="82"/>
      <c r="AJ1474" s="82"/>
      <c r="AK1474" s="82"/>
      <c r="AL1474" s="82"/>
      <c r="AM1474" s="82"/>
      <c r="AN1474" s="82">
        <f>IFERROR(__xludf.DUMMYFUNCTION("""COMPUTED_VALUE"""),0.0)</f>
        <v>0</v>
      </c>
      <c r="AO1474" s="82">
        <f>IFERROR(__xludf.DUMMYFUNCTION("""COMPUTED_VALUE"""),0.0)</f>
        <v>0</v>
      </c>
      <c r="AP1474" s="82">
        <f>IFERROR(__xludf.DUMMYFUNCTION("""COMPUTED_VALUE"""),0.0)</f>
        <v>0</v>
      </c>
      <c r="AQ1474" s="82">
        <f>IFERROR(__xludf.DUMMYFUNCTION("""COMPUTED_VALUE"""),0.0)</f>
        <v>0</v>
      </c>
      <c r="AR1474" s="82">
        <f>IFERROR(__xludf.DUMMYFUNCTION("""COMPUTED_VALUE"""),0.0)</f>
        <v>0</v>
      </c>
      <c r="AS1474" s="82"/>
      <c r="AT1474" s="82">
        <f>IFERROR(__xludf.DUMMYFUNCTION("""COMPUTED_VALUE"""),0.0)</f>
        <v>0</v>
      </c>
      <c r="AU1474" s="82"/>
      <c r="AV1474" s="82"/>
      <c r="AW1474" s="82" t="str">
        <f t="shared" si="1"/>
        <v/>
      </c>
      <c r="AX1474" s="83" t="str">
        <f t="array" ref="AX1474">IFERROR(DGET('SBV Import'!A:G,"SBV",{"RSC ID","Tier";B1474,A1474}))</f>
        <v/>
      </c>
      <c r="AY1474" s="82" t="str">
        <f t="shared" si="2"/>
        <v/>
      </c>
      <c r="AZ1474" s="82"/>
      <c r="BA1474" s="84" t="s">
        <v>152</v>
      </c>
      <c r="BB1474" s="84" t="str">
        <f>IFERROR(__xludf.DUMMYFUNCTION("iferror(if(A1474="""",,E1474&gt;=FILTER(Constants!$F$2:$F$10,Constants!$A$2:$A$10=A1474)))"),"")</f>
        <v/>
      </c>
    </row>
    <row r="1475">
      <c r="A1475" s="89"/>
      <c r="B1475" s="87"/>
      <c r="C1475" s="73"/>
      <c r="D1475" s="73"/>
      <c r="E1475" s="82"/>
      <c r="F1475" s="82"/>
      <c r="G1475" s="86"/>
      <c r="H1475" s="86"/>
      <c r="I1475" s="86"/>
      <c r="J1475" s="82"/>
      <c r="K1475" s="82"/>
      <c r="L1475" s="82"/>
      <c r="M1475" s="82"/>
      <c r="N1475" s="82"/>
      <c r="O1475" s="82"/>
      <c r="P1475" s="82"/>
      <c r="Q1475" s="82"/>
      <c r="R1475" s="82"/>
      <c r="S1475" s="82"/>
      <c r="T1475" s="82"/>
      <c r="U1475" s="82"/>
      <c r="V1475" s="82"/>
      <c r="W1475" s="82"/>
      <c r="X1475" s="82"/>
      <c r="Y1475" s="82"/>
      <c r="Z1475" s="82"/>
      <c r="AA1475" s="82"/>
      <c r="AB1475" s="82"/>
      <c r="AC1475" s="82"/>
      <c r="AD1475" s="82"/>
      <c r="AE1475" s="82"/>
      <c r="AF1475" s="82"/>
      <c r="AG1475" s="82"/>
      <c r="AH1475" s="82"/>
      <c r="AI1475" s="82"/>
      <c r="AJ1475" s="82"/>
      <c r="AK1475" s="82"/>
      <c r="AL1475" s="82"/>
      <c r="AM1475" s="82"/>
      <c r="AN1475" s="82">
        <f>IFERROR(__xludf.DUMMYFUNCTION("""COMPUTED_VALUE"""),0.0)</f>
        <v>0</v>
      </c>
      <c r="AO1475" s="82">
        <f>IFERROR(__xludf.DUMMYFUNCTION("""COMPUTED_VALUE"""),0.0)</f>
        <v>0</v>
      </c>
      <c r="AP1475" s="82">
        <f>IFERROR(__xludf.DUMMYFUNCTION("""COMPUTED_VALUE"""),0.0)</f>
        <v>0</v>
      </c>
      <c r="AQ1475" s="82">
        <f>IFERROR(__xludf.DUMMYFUNCTION("""COMPUTED_VALUE"""),0.0)</f>
        <v>0</v>
      </c>
      <c r="AR1475" s="82">
        <f>IFERROR(__xludf.DUMMYFUNCTION("""COMPUTED_VALUE"""),0.0)</f>
        <v>0</v>
      </c>
      <c r="AS1475" s="82"/>
      <c r="AT1475" s="82">
        <f>IFERROR(__xludf.DUMMYFUNCTION("""COMPUTED_VALUE"""),0.0)</f>
        <v>0</v>
      </c>
      <c r="AU1475" s="82"/>
      <c r="AV1475" s="82"/>
      <c r="AW1475" s="82" t="str">
        <f t="shared" si="1"/>
        <v/>
      </c>
      <c r="AX1475" s="83" t="str">
        <f t="array" ref="AX1475">IFERROR(DGET('SBV Import'!A:G,"SBV",{"RSC ID","Tier";B1475,A1475}))</f>
        <v/>
      </c>
      <c r="AY1475" s="82" t="str">
        <f t="shared" si="2"/>
        <v/>
      </c>
      <c r="AZ1475" s="82"/>
      <c r="BA1475" s="84" t="s">
        <v>152</v>
      </c>
      <c r="BB1475" s="84" t="str">
        <f>IFERROR(__xludf.DUMMYFUNCTION("iferror(if(A1475="""",,E1475&gt;=FILTER(Constants!$F$2:$F$10,Constants!$A$2:$A$10=A1475)))"),"")</f>
        <v/>
      </c>
    </row>
    <row r="1476">
      <c r="A1476" s="89"/>
      <c r="B1476" s="87"/>
      <c r="C1476" s="73"/>
      <c r="D1476" s="73"/>
      <c r="E1476" s="82"/>
      <c r="F1476" s="82"/>
      <c r="G1476" s="86"/>
      <c r="H1476" s="86"/>
      <c r="I1476" s="86"/>
      <c r="J1476" s="82"/>
      <c r="K1476" s="82"/>
      <c r="L1476" s="82"/>
      <c r="M1476" s="82"/>
      <c r="N1476" s="82"/>
      <c r="O1476" s="82"/>
      <c r="P1476" s="82"/>
      <c r="Q1476" s="82"/>
      <c r="R1476" s="82"/>
      <c r="S1476" s="82"/>
      <c r="T1476" s="82"/>
      <c r="U1476" s="82"/>
      <c r="V1476" s="82"/>
      <c r="W1476" s="82"/>
      <c r="X1476" s="82"/>
      <c r="Y1476" s="82"/>
      <c r="Z1476" s="82"/>
      <c r="AA1476" s="82"/>
      <c r="AB1476" s="82"/>
      <c r="AC1476" s="82"/>
      <c r="AD1476" s="82"/>
      <c r="AE1476" s="82"/>
      <c r="AF1476" s="82"/>
      <c r="AG1476" s="82"/>
      <c r="AH1476" s="82"/>
      <c r="AI1476" s="82"/>
      <c r="AJ1476" s="82"/>
      <c r="AK1476" s="82"/>
      <c r="AL1476" s="82"/>
      <c r="AM1476" s="82"/>
      <c r="AN1476" s="82">
        <f>IFERROR(__xludf.DUMMYFUNCTION("""COMPUTED_VALUE"""),0.0)</f>
        <v>0</v>
      </c>
      <c r="AO1476" s="82">
        <f>IFERROR(__xludf.DUMMYFUNCTION("""COMPUTED_VALUE"""),0.0)</f>
        <v>0</v>
      </c>
      <c r="AP1476" s="82">
        <f>IFERROR(__xludf.DUMMYFUNCTION("""COMPUTED_VALUE"""),0.0)</f>
        <v>0</v>
      </c>
      <c r="AQ1476" s="82">
        <f>IFERROR(__xludf.DUMMYFUNCTION("""COMPUTED_VALUE"""),0.0)</f>
        <v>0</v>
      </c>
      <c r="AR1476" s="82">
        <f>IFERROR(__xludf.DUMMYFUNCTION("""COMPUTED_VALUE"""),0.0)</f>
        <v>0</v>
      </c>
      <c r="AS1476" s="82"/>
      <c r="AT1476" s="82">
        <f>IFERROR(__xludf.DUMMYFUNCTION("""COMPUTED_VALUE"""),0.0)</f>
        <v>0</v>
      </c>
      <c r="AU1476" s="82"/>
      <c r="AV1476" s="82"/>
      <c r="AW1476" s="82" t="str">
        <f t="shared" si="1"/>
        <v/>
      </c>
      <c r="AX1476" s="83" t="str">
        <f t="array" ref="AX1476">IFERROR(DGET('SBV Import'!A:G,"SBV",{"RSC ID","Tier";B1476,A1476}))</f>
        <v/>
      </c>
      <c r="AY1476" s="82" t="str">
        <f t="shared" si="2"/>
        <v/>
      </c>
      <c r="AZ1476" s="82"/>
      <c r="BA1476" s="84" t="s">
        <v>152</v>
      </c>
      <c r="BB1476" s="84" t="str">
        <f>IFERROR(__xludf.DUMMYFUNCTION("iferror(if(A1476="""",,E1476&gt;=FILTER(Constants!$F$2:$F$10,Constants!$A$2:$A$10=A1476)))"),"")</f>
        <v/>
      </c>
    </row>
    <row r="1477">
      <c r="A1477" s="89"/>
      <c r="B1477" s="87"/>
      <c r="C1477" s="73"/>
      <c r="D1477" s="73"/>
      <c r="E1477" s="82"/>
      <c r="F1477" s="82"/>
      <c r="G1477" s="86"/>
      <c r="H1477" s="86"/>
      <c r="I1477" s="86"/>
      <c r="J1477" s="82"/>
      <c r="K1477" s="82"/>
      <c r="L1477" s="82"/>
      <c r="M1477" s="82"/>
      <c r="N1477" s="82"/>
      <c r="O1477" s="82"/>
      <c r="P1477" s="82"/>
      <c r="Q1477" s="82"/>
      <c r="R1477" s="82"/>
      <c r="S1477" s="82"/>
      <c r="T1477" s="82"/>
      <c r="U1477" s="82"/>
      <c r="V1477" s="82"/>
      <c r="W1477" s="82"/>
      <c r="X1477" s="82"/>
      <c r="Y1477" s="82"/>
      <c r="Z1477" s="82"/>
      <c r="AA1477" s="82"/>
      <c r="AB1477" s="82"/>
      <c r="AC1477" s="82"/>
      <c r="AD1477" s="82"/>
      <c r="AE1477" s="82"/>
      <c r="AF1477" s="82"/>
      <c r="AG1477" s="82"/>
      <c r="AH1477" s="82"/>
      <c r="AI1477" s="82"/>
      <c r="AJ1477" s="82"/>
      <c r="AK1477" s="82"/>
      <c r="AL1477" s="82"/>
      <c r="AM1477" s="82"/>
      <c r="AN1477" s="82">
        <f>IFERROR(__xludf.DUMMYFUNCTION("""COMPUTED_VALUE"""),0.0)</f>
        <v>0</v>
      </c>
      <c r="AO1477" s="82">
        <f>IFERROR(__xludf.DUMMYFUNCTION("""COMPUTED_VALUE"""),0.0)</f>
        <v>0</v>
      </c>
      <c r="AP1477" s="82">
        <f>IFERROR(__xludf.DUMMYFUNCTION("""COMPUTED_VALUE"""),0.0)</f>
        <v>0</v>
      </c>
      <c r="AQ1477" s="82">
        <f>IFERROR(__xludf.DUMMYFUNCTION("""COMPUTED_VALUE"""),0.0)</f>
        <v>0</v>
      </c>
      <c r="AR1477" s="82">
        <f>IFERROR(__xludf.DUMMYFUNCTION("""COMPUTED_VALUE"""),0.0)</f>
        <v>0</v>
      </c>
      <c r="AS1477" s="82"/>
      <c r="AT1477" s="82">
        <f>IFERROR(__xludf.DUMMYFUNCTION("""COMPUTED_VALUE"""),0.0)</f>
        <v>0</v>
      </c>
      <c r="AU1477" s="82"/>
      <c r="AV1477" s="82"/>
      <c r="AW1477" s="82" t="str">
        <f t="shared" si="1"/>
        <v/>
      </c>
      <c r="AX1477" s="83" t="str">
        <f t="array" ref="AX1477">IFERROR(DGET('SBV Import'!A:G,"SBV",{"RSC ID","Tier";B1477,A1477}))</f>
        <v/>
      </c>
      <c r="AY1477" s="82" t="str">
        <f t="shared" si="2"/>
        <v/>
      </c>
      <c r="AZ1477" s="82"/>
      <c r="BA1477" s="84" t="s">
        <v>152</v>
      </c>
      <c r="BB1477" s="84" t="str">
        <f>IFERROR(__xludf.DUMMYFUNCTION("iferror(if(A1477="""",,E1477&gt;=FILTER(Constants!$F$2:$F$10,Constants!$A$2:$A$10=A1477)))"),"")</f>
        <v/>
      </c>
    </row>
    <row r="1478">
      <c r="A1478" s="89"/>
      <c r="B1478" s="87"/>
      <c r="C1478" s="73"/>
      <c r="D1478" s="73"/>
      <c r="E1478" s="82"/>
      <c r="F1478" s="82"/>
      <c r="G1478" s="86"/>
      <c r="H1478" s="86"/>
      <c r="I1478" s="86"/>
      <c r="J1478" s="82"/>
      <c r="K1478" s="82"/>
      <c r="L1478" s="82"/>
      <c r="M1478" s="82"/>
      <c r="N1478" s="82"/>
      <c r="O1478" s="82"/>
      <c r="P1478" s="82"/>
      <c r="Q1478" s="82"/>
      <c r="R1478" s="82"/>
      <c r="S1478" s="82"/>
      <c r="T1478" s="82"/>
      <c r="U1478" s="82"/>
      <c r="V1478" s="82"/>
      <c r="W1478" s="82"/>
      <c r="X1478" s="82"/>
      <c r="Y1478" s="82"/>
      <c r="Z1478" s="82"/>
      <c r="AA1478" s="82"/>
      <c r="AB1478" s="82"/>
      <c r="AC1478" s="82"/>
      <c r="AD1478" s="82"/>
      <c r="AE1478" s="82"/>
      <c r="AF1478" s="82"/>
      <c r="AG1478" s="82"/>
      <c r="AH1478" s="82"/>
      <c r="AI1478" s="82"/>
      <c r="AJ1478" s="82"/>
      <c r="AK1478" s="82"/>
      <c r="AL1478" s="82"/>
      <c r="AM1478" s="82"/>
      <c r="AN1478" s="82">
        <f>IFERROR(__xludf.DUMMYFUNCTION("""COMPUTED_VALUE"""),0.0)</f>
        <v>0</v>
      </c>
      <c r="AO1478" s="82">
        <f>IFERROR(__xludf.DUMMYFUNCTION("""COMPUTED_VALUE"""),0.0)</f>
        <v>0</v>
      </c>
      <c r="AP1478" s="82">
        <f>IFERROR(__xludf.DUMMYFUNCTION("""COMPUTED_VALUE"""),0.0)</f>
        <v>0</v>
      </c>
      <c r="AQ1478" s="82">
        <f>IFERROR(__xludf.DUMMYFUNCTION("""COMPUTED_VALUE"""),0.0)</f>
        <v>0</v>
      </c>
      <c r="AR1478" s="82">
        <f>IFERROR(__xludf.DUMMYFUNCTION("""COMPUTED_VALUE"""),0.0)</f>
        <v>0</v>
      </c>
      <c r="AS1478" s="82"/>
      <c r="AT1478" s="82">
        <f>IFERROR(__xludf.DUMMYFUNCTION("""COMPUTED_VALUE"""),0.0)</f>
        <v>0</v>
      </c>
      <c r="AU1478" s="82"/>
      <c r="AV1478" s="82"/>
      <c r="AW1478" s="82" t="str">
        <f t="shared" si="1"/>
        <v/>
      </c>
      <c r="AX1478" s="83" t="str">
        <f t="array" ref="AX1478">IFERROR(DGET('SBV Import'!A:G,"SBV",{"RSC ID","Tier";B1478,A1478}))</f>
        <v/>
      </c>
      <c r="AY1478" s="82" t="str">
        <f t="shared" si="2"/>
        <v/>
      </c>
      <c r="AZ1478" s="82"/>
      <c r="BA1478" s="84" t="s">
        <v>152</v>
      </c>
      <c r="BB1478" s="84" t="str">
        <f>IFERROR(__xludf.DUMMYFUNCTION("iferror(if(A1478="""",,E1478&gt;=FILTER(Constants!$F$2:$F$10,Constants!$A$2:$A$10=A1478)))"),"")</f>
        <v/>
      </c>
    </row>
    <row r="1479">
      <c r="A1479" s="89"/>
      <c r="B1479" s="87"/>
      <c r="C1479" s="73"/>
      <c r="D1479" s="73"/>
      <c r="E1479" s="82"/>
      <c r="F1479" s="82"/>
      <c r="G1479" s="86"/>
      <c r="H1479" s="86"/>
      <c r="I1479" s="86"/>
      <c r="J1479" s="82"/>
      <c r="K1479" s="82"/>
      <c r="L1479" s="82"/>
      <c r="M1479" s="82"/>
      <c r="N1479" s="82"/>
      <c r="O1479" s="82"/>
      <c r="P1479" s="82"/>
      <c r="Q1479" s="82"/>
      <c r="R1479" s="82"/>
      <c r="S1479" s="82"/>
      <c r="T1479" s="82"/>
      <c r="U1479" s="82"/>
      <c r="V1479" s="82"/>
      <c r="W1479" s="82"/>
      <c r="X1479" s="82"/>
      <c r="Y1479" s="82"/>
      <c r="Z1479" s="82"/>
      <c r="AA1479" s="82"/>
      <c r="AB1479" s="82"/>
      <c r="AC1479" s="82"/>
      <c r="AD1479" s="82"/>
      <c r="AE1479" s="82"/>
      <c r="AF1479" s="82"/>
      <c r="AG1479" s="82"/>
      <c r="AH1479" s="82"/>
      <c r="AI1479" s="82"/>
      <c r="AJ1479" s="82"/>
      <c r="AK1479" s="82"/>
      <c r="AL1479" s="82"/>
      <c r="AM1479" s="82"/>
      <c r="AN1479" s="82">
        <f>IFERROR(__xludf.DUMMYFUNCTION("""COMPUTED_VALUE"""),0.0)</f>
        <v>0</v>
      </c>
      <c r="AO1479" s="82">
        <f>IFERROR(__xludf.DUMMYFUNCTION("""COMPUTED_VALUE"""),0.0)</f>
        <v>0</v>
      </c>
      <c r="AP1479" s="82">
        <f>IFERROR(__xludf.DUMMYFUNCTION("""COMPUTED_VALUE"""),0.0)</f>
        <v>0</v>
      </c>
      <c r="AQ1479" s="82">
        <f>IFERROR(__xludf.DUMMYFUNCTION("""COMPUTED_VALUE"""),0.0)</f>
        <v>0</v>
      </c>
      <c r="AR1479" s="82">
        <f>IFERROR(__xludf.DUMMYFUNCTION("""COMPUTED_VALUE"""),0.0)</f>
        <v>0</v>
      </c>
      <c r="AS1479" s="82"/>
      <c r="AT1479" s="82">
        <f>IFERROR(__xludf.DUMMYFUNCTION("""COMPUTED_VALUE"""),0.0)</f>
        <v>0</v>
      </c>
      <c r="AU1479" s="82"/>
      <c r="AV1479" s="82"/>
      <c r="AW1479" s="82" t="str">
        <f t="shared" si="1"/>
        <v/>
      </c>
      <c r="AX1479" s="83" t="str">
        <f t="array" ref="AX1479">IFERROR(DGET('SBV Import'!A:G,"SBV",{"RSC ID","Tier";B1479,A1479}))</f>
        <v/>
      </c>
      <c r="AY1479" s="82" t="str">
        <f t="shared" si="2"/>
        <v/>
      </c>
      <c r="AZ1479" s="82"/>
      <c r="BA1479" s="84" t="s">
        <v>152</v>
      </c>
      <c r="BB1479" s="84" t="str">
        <f>IFERROR(__xludf.DUMMYFUNCTION("iferror(if(A1479="""",,E1479&gt;=FILTER(Constants!$F$2:$F$10,Constants!$A$2:$A$10=A1479)))"),"")</f>
        <v/>
      </c>
    </row>
    <row r="1480">
      <c r="A1480" s="89"/>
      <c r="B1480" s="87"/>
      <c r="C1480" s="73"/>
      <c r="D1480" s="73"/>
      <c r="E1480" s="82"/>
      <c r="F1480" s="82"/>
      <c r="G1480" s="86"/>
      <c r="H1480" s="86"/>
      <c r="I1480" s="86"/>
      <c r="J1480" s="82"/>
      <c r="K1480" s="82"/>
      <c r="L1480" s="82"/>
      <c r="M1480" s="82"/>
      <c r="N1480" s="82"/>
      <c r="O1480" s="82"/>
      <c r="P1480" s="82"/>
      <c r="Q1480" s="82"/>
      <c r="R1480" s="82"/>
      <c r="S1480" s="82"/>
      <c r="T1480" s="82"/>
      <c r="U1480" s="82"/>
      <c r="V1480" s="82"/>
      <c r="W1480" s="82"/>
      <c r="X1480" s="82"/>
      <c r="Y1480" s="82"/>
      <c r="Z1480" s="82"/>
      <c r="AA1480" s="82"/>
      <c r="AB1480" s="82"/>
      <c r="AC1480" s="82"/>
      <c r="AD1480" s="82"/>
      <c r="AE1480" s="82"/>
      <c r="AF1480" s="82"/>
      <c r="AG1480" s="82"/>
      <c r="AH1480" s="82"/>
      <c r="AI1480" s="82"/>
      <c r="AJ1480" s="82"/>
      <c r="AK1480" s="82"/>
      <c r="AL1480" s="82"/>
      <c r="AM1480" s="82"/>
      <c r="AN1480" s="82">
        <f>IFERROR(__xludf.DUMMYFUNCTION("""COMPUTED_VALUE"""),0.0)</f>
        <v>0</v>
      </c>
      <c r="AO1480" s="82">
        <f>IFERROR(__xludf.DUMMYFUNCTION("""COMPUTED_VALUE"""),0.0)</f>
        <v>0</v>
      </c>
      <c r="AP1480" s="82">
        <f>IFERROR(__xludf.DUMMYFUNCTION("""COMPUTED_VALUE"""),0.0)</f>
        <v>0</v>
      </c>
      <c r="AQ1480" s="82">
        <f>IFERROR(__xludf.DUMMYFUNCTION("""COMPUTED_VALUE"""),0.0)</f>
        <v>0</v>
      </c>
      <c r="AR1480" s="82">
        <f>IFERROR(__xludf.DUMMYFUNCTION("""COMPUTED_VALUE"""),0.0)</f>
        <v>0</v>
      </c>
      <c r="AS1480" s="82"/>
      <c r="AT1480" s="82">
        <f>IFERROR(__xludf.DUMMYFUNCTION("""COMPUTED_VALUE"""),0.0)</f>
        <v>0</v>
      </c>
      <c r="AU1480" s="82"/>
      <c r="AV1480" s="82"/>
      <c r="AW1480" s="82" t="str">
        <f t="shared" si="1"/>
        <v/>
      </c>
      <c r="AX1480" s="83" t="str">
        <f t="array" ref="AX1480">IFERROR(DGET('SBV Import'!A:G,"SBV",{"RSC ID","Tier";B1480,A1480}))</f>
        <v/>
      </c>
      <c r="AY1480" s="82" t="str">
        <f t="shared" si="2"/>
        <v/>
      </c>
      <c r="AZ1480" s="82"/>
      <c r="BA1480" s="84" t="s">
        <v>152</v>
      </c>
      <c r="BB1480" s="84" t="str">
        <f>IFERROR(__xludf.DUMMYFUNCTION("iferror(if(A1480="""",,E1480&gt;=FILTER(Constants!$F$2:$F$10,Constants!$A$2:$A$10=A1480)))"),"")</f>
        <v/>
      </c>
    </row>
    <row r="1481">
      <c r="A1481" s="89"/>
      <c r="B1481" s="87"/>
      <c r="C1481" s="73"/>
      <c r="D1481" s="73"/>
      <c r="E1481" s="82"/>
      <c r="F1481" s="82"/>
      <c r="G1481" s="86"/>
      <c r="H1481" s="86"/>
      <c r="I1481" s="86"/>
      <c r="J1481" s="82"/>
      <c r="K1481" s="82"/>
      <c r="L1481" s="82"/>
      <c r="M1481" s="82"/>
      <c r="N1481" s="82"/>
      <c r="O1481" s="82"/>
      <c r="P1481" s="82"/>
      <c r="Q1481" s="82"/>
      <c r="R1481" s="82"/>
      <c r="S1481" s="82"/>
      <c r="T1481" s="82"/>
      <c r="U1481" s="82"/>
      <c r="V1481" s="82"/>
      <c r="W1481" s="82"/>
      <c r="X1481" s="82"/>
      <c r="Y1481" s="82"/>
      <c r="Z1481" s="82"/>
      <c r="AA1481" s="82"/>
      <c r="AB1481" s="82"/>
      <c r="AC1481" s="82"/>
      <c r="AD1481" s="82"/>
      <c r="AE1481" s="82"/>
      <c r="AF1481" s="82"/>
      <c r="AG1481" s="82"/>
      <c r="AH1481" s="82"/>
      <c r="AI1481" s="82"/>
      <c r="AJ1481" s="82"/>
      <c r="AK1481" s="82"/>
      <c r="AL1481" s="82"/>
      <c r="AM1481" s="82"/>
      <c r="AN1481" s="82">
        <f>IFERROR(__xludf.DUMMYFUNCTION("""COMPUTED_VALUE"""),0.0)</f>
        <v>0</v>
      </c>
      <c r="AO1481" s="82">
        <f>IFERROR(__xludf.DUMMYFUNCTION("""COMPUTED_VALUE"""),0.0)</f>
        <v>0</v>
      </c>
      <c r="AP1481" s="82">
        <f>IFERROR(__xludf.DUMMYFUNCTION("""COMPUTED_VALUE"""),0.0)</f>
        <v>0</v>
      </c>
      <c r="AQ1481" s="82">
        <f>IFERROR(__xludf.DUMMYFUNCTION("""COMPUTED_VALUE"""),0.0)</f>
        <v>0</v>
      </c>
      <c r="AR1481" s="82">
        <f>IFERROR(__xludf.DUMMYFUNCTION("""COMPUTED_VALUE"""),0.0)</f>
        <v>0</v>
      </c>
      <c r="AS1481" s="82"/>
      <c r="AT1481" s="82">
        <f>IFERROR(__xludf.DUMMYFUNCTION("""COMPUTED_VALUE"""),0.0)</f>
        <v>0</v>
      </c>
      <c r="AU1481" s="82"/>
      <c r="AV1481" s="82"/>
      <c r="AW1481" s="82" t="str">
        <f t="shared" si="1"/>
        <v/>
      </c>
      <c r="AX1481" s="83" t="str">
        <f t="array" ref="AX1481">IFERROR(DGET('SBV Import'!A:G,"SBV",{"RSC ID","Tier";B1481,A1481}))</f>
        <v/>
      </c>
      <c r="AY1481" s="82" t="str">
        <f t="shared" si="2"/>
        <v/>
      </c>
      <c r="AZ1481" s="82"/>
      <c r="BA1481" s="84" t="s">
        <v>152</v>
      </c>
      <c r="BB1481" s="84" t="str">
        <f>IFERROR(__xludf.DUMMYFUNCTION("iferror(if(A1481="""",,E1481&gt;=FILTER(Constants!$F$2:$F$10,Constants!$A$2:$A$10=A1481)))"),"")</f>
        <v/>
      </c>
    </row>
    <row r="1482">
      <c r="A1482" s="89"/>
      <c r="B1482" s="87"/>
      <c r="C1482" s="73"/>
      <c r="D1482" s="73"/>
      <c r="E1482" s="82"/>
      <c r="F1482" s="82"/>
      <c r="G1482" s="86"/>
      <c r="H1482" s="86"/>
      <c r="I1482" s="86"/>
      <c r="J1482" s="82"/>
      <c r="K1482" s="82"/>
      <c r="L1482" s="82"/>
      <c r="M1482" s="82"/>
      <c r="N1482" s="82"/>
      <c r="O1482" s="82"/>
      <c r="P1482" s="82"/>
      <c r="Q1482" s="82"/>
      <c r="R1482" s="82"/>
      <c r="S1482" s="82"/>
      <c r="T1482" s="82"/>
      <c r="U1482" s="82"/>
      <c r="V1482" s="82"/>
      <c r="W1482" s="82"/>
      <c r="X1482" s="82"/>
      <c r="Y1482" s="82"/>
      <c r="Z1482" s="82"/>
      <c r="AA1482" s="82"/>
      <c r="AB1482" s="82"/>
      <c r="AC1482" s="82"/>
      <c r="AD1482" s="82"/>
      <c r="AE1482" s="82"/>
      <c r="AF1482" s="82"/>
      <c r="AG1482" s="82"/>
      <c r="AH1482" s="82"/>
      <c r="AI1482" s="82"/>
      <c r="AJ1482" s="82"/>
      <c r="AK1482" s="82"/>
      <c r="AL1482" s="82"/>
      <c r="AM1482" s="82"/>
      <c r="AN1482" s="82">
        <f>IFERROR(__xludf.DUMMYFUNCTION("""COMPUTED_VALUE"""),0.0)</f>
        <v>0</v>
      </c>
      <c r="AO1482" s="82">
        <f>IFERROR(__xludf.DUMMYFUNCTION("""COMPUTED_VALUE"""),0.0)</f>
        <v>0</v>
      </c>
      <c r="AP1482" s="82">
        <f>IFERROR(__xludf.DUMMYFUNCTION("""COMPUTED_VALUE"""),0.0)</f>
        <v>0</v>
      </c>
      <c r="AQ1482" s="82">
        <f>IFERROR(__xludf.DUMMYFUNCTION("""COMPUTED_VALUE"""),0.0)</f>
        <v>0</v>
      </c>
      <c r="AR1482" s="82">
        <f>IFERROR(__xludf.DUMMYFUNCTION("""COMPUTED_VALUE"""),0.0)</f>
        <v>0</v>
      </c>
      <c r="AS1482" s="82"/>
      <c r="AT1482" s="82">
        <f>IFERROR(__xludf.DUMMYFUNCTION("""COMPUTED_VALUE"""),0.0)</f>
        <v>0</v>
      </c>
      <c r="AU1482" s="82"/>
      <c r="AV1482" s="82"/>
      <c r="AW1482" s="82" t="str">
        <f t="shared" si="1"/>
        <v/>
      </c>
      <c r="AX1482" s="83" t="str">
        <f t="array" ref="AX1482">IFERROR(DGET('SBV Import'!A:G,"SBV",{"RSC ID","Tier";B1482,A1482}))</f>
        <v/>
      </c>
      <c r="AY1482" s="82" t="str">
        <f t="shared" si="2"/>
        <v/>
      </c>
      <c r="AZ1482" s="82"/>
      <c r="BA1482" s="84" t="s">
        <v>152</v>
      </c>
      <c r="BB1482" s="84" t="str">
        <f>IFERROR(__xludf.DUMMYFUNCTION("iferror(if(A1482="""",,E1482&gt;=FILTER(Constants!$F$2:$F$10,Constants!$A$2:$A$10=A1482)))"),"")</f>
        <v/>
      </c>
    </row>
    <row r="1483">
      <c r="A1483" s="89"/>
      <c r="B1483" s="87"/>
      <c r="C1483" s="73"/>
      <c r="D1483" s="73"/>
      <c r="E1483" s="82"/>
      <c r="F1483" s="82"/>
      <c r="G1483" s="86"/>
      <c r="H1483" s="86"/>
      <c r="I1483" s="86"/>
      <c r="J1483" s="82"/>
      <c r="K1483" s="82"/>
      <c r="L1483" s="82"/>
      <c r="M1483" s="82"/>
      <c r="N1483" s="82"/>
      <c r="O1483" s="82"/>
      <c r="P1483" s="82"/>
      <c r="Q1483" s="82"/>
      <c r="R1483" s="82"/>
      <c r="S1483" s="82"/>
      <c r="T1483" s="82"/>
      <c r="U1483" s="82"/>
      <c r="V1483" s="82"/>
      <c r="W1483" s="82"/>
      <c r="X1483" s="82"/>
      <c r="Y1483" s="82"/>
      <c r="Z1483" s="82"/>
      <c r="AA1483" s="82"/>
      <c r="AB1483" s="82"/>
      <c r="AC1483" s="82"/>
      <c r="AD1483" s="82"/>
      <c r="AE1483" s="82"/>
      <c r="AF1483" s="82"/>
      <c r="AG1483" s="82"/>
      <c r="AH1483" s="82"/>
      <c r="AI1483" s="82"/>
      <c r="AJ1483" s="82"/>
      <c r="AK1483" s="82"/>
      <c r="AL1483" s="82"/>
      <c r="AM1483" s="82"/>
      <c r="AN1483" s="82">
        <f>IFERROR(__xludf.DUMMYFUNCTION("""COMPUTED_VALUE"""),0.0)</f>
        <v>0</v>
      </c>
      <c r="AO1483" s="82">
        <f>IFERROR(__xludf.DUMMYFUNCTION("""COMPUTED_VALUE"""),0.0)</f>
        <v>0</v>
      </c>
      <c r="AP1483" s="82">
        <f>IFERROR(__xludf.DUMMYFUNCTION("""COMPUTED_VALUE"""),0.0)</f>
        <v>0</v>
      </c>
      <c r="AQ1483" s="82">
        <f>IFERROR(__xludf.DUMMYFUNCTION("""COMPUTED_VALUE"""),0.0)</f>
        <v>0</v>
      </c>
      <c r="AR1483" s="82">
        <f>IFERROR(__xludf.DUMMYFUNCTION("""COMPUTED_VALUE"""),0.0)</f>
        <v>0</v>
      </c>
      <c r="AS1483" s="82"/>
      <c r="AT1483" s="82">
        <f>IFERROR(__xludf.DUMMYFUNCTION("""COMPUTED_VALUE"""),0.0)</f>
        <v>0</v>
      </c>
      <c r="AU1483" s="82"/>
      <c r="AV1483" s="82"/>
      <c r="AW1483" s="82" t="str">
        <f t="shared" si="1"/>
        <v/>
      </c>
      <c r="AX1483" s="83" t="str">
        <f t="array" ref="AX1483">IFERROR(DGET('SBV Import'!A:G,"SBV",{"RSC ID","Tier";B1483,A1483}))</f>
        <v/>
      </c>
      <c r="AY1483" s="82" t="str">
        <f t="shared" si="2"/>
        <v/>
      </c>
      <c r="AZ1483" s="82"/>
      <c r="BA1483" s="84" t="s">
        <v>152</v>
      </c>
      <c r="BB1483" s="84" t="str">
        <f>IFERROR(__xludf.DUMMYFUNCTION("iferror(if(A1483="""",,E1483&gt;=FILTER(Constants!$F$2:$F$10,Constants!$A$2:$A$10=A1483)))"),"")</f>
        <v/>
      </c>
    </row>
    <row r="1484">
      <c r="A1484" s="89"/>
      <c r="B1484" s="87"/>
      <c r="C1484" s="73"/>
      <c r="D1484" s="73"/>
      <c r="E1484" s="82"/>
      <c r="F1484" s="82"/>
      <c r="G1484" s="86"/>
      <c r="H1484" s="86"/>
      <c r="I1484" s="86"/>
      <c r="J1484" s="82"/>
      <c r="K1484" s="82"/>
      <c r="L1484" s="82"/>
      <c r="M1484" s="82"/>
      <c r="N1484" s="82"/>
      <c r="O1484" s="82"/>
      <c r="P1484" s="82"/>
      <c r="Q1484" s="82"/>
      <c r="R1484" s="82"/>
      <c r="S1484" s="82"/>
      <c r="T1484" s="82"/>
      <c r="U1484" s="82"/>
      <c r="V1484" s="82"/>
      <c r="W1484" s="82"/>
      <c r="X1484" s="82"/>
      <c r="Y1484" s="82"/>
      <c r="Z1484" s="82"/>
      <c r="AA1484" s="82"/>
      <c r="AB1484" s="82"/>
      <c r="AC1484" s="82"/>
      <c r="AD1484" s="82"/>
      <c r="AE1484" s="82"/>
      <c r="AF1484" s="82"/>
      <c r="AG1484" s="82"/>
      <c r="AH1484" s="82"/>
      <c r="AI1484" s="82"/>
      <c r="AJ1484" s="82"/>
      <c r="AK1484" s="82"/>
      <c r="AL1484" s="82"/>
      <c r="AM1484" s="82"/>
      <c r="AN1484" s="82">
        <f>IFERROR(__xludf.DUMMYFUNCTION("""COMPUTED_VALUE"""),0.0)</f>
        <v>0</v>
      </c>
      <c r="AO1484" s="82">
        <f>IFERROR(__xludf.DUMMYFUNCTION("""COMPUTED_VALUE"""),0.0)</f>
        <v>0</v>
      </c>
      <c r="AP1484" s="82">
        <f>IFERROR(__xludf.DUMMYFUNCTION("""COMPUTED_VALUE"""),0.0)</f>
        <v>0</v>
      </c>
      <c r="AQ1484" s="82">
        <f>IFERROR(__xludf.DUMMYFUNCTION("""COMPUTED_VALUE"""),0.0)</f>
        <v>0</v>
      </c>
      <c r="AR1484" s="82">
        <f>IFERROR(__xludf.DUMMYFUNCTION("""COMPUTED_VALUE"""),0.0)</f>
        <v>0</v>
      </c>
      <c r="AS1484" s="82"/>
      <c r="AT1484" s="82">
        <f>IFERROR(__xludf.DUMMYFUNCTION("""COMPUTED_VALUE"""),0.0)</f>
        <v>0</v>
      </c>
      <c r="AU1484" s="82"/>
      <c r="AV1484" s="82"/>
      <c r="AW1484" s="82" t="str">
        <f t="shared" si="1"/>
        <v/>
      </c>
      <c r="AX1484" s="83" t="str">
        <f t="array" ref="AX1484">IFERROR(DGET('SBV Import'!A:G,"SBV",{"RSC ID","Tier";B1484,A1484}))</f>
        <v/>
      </c>
      <c r="AY1484" s="82" t="str">
        <f t="shared" si="2"/>
        <v/>
      </c>
      <c r="AZ1484" s="82"/>
      <c r="BA1484" s="84" t="s">
        <v>152</v>
      </c>
      <c r="BB1484" s="84" t="str">
        <f>IFERROR(__xludf.DUMMYFUNCTION("iferror(if(A1484="""",,E1484&gt;=FILTER(Constants!$F$2:$F$10,Constants!$A$2:$A$10=A1484)))"),"")</f>
        <v/>
      </c>
    </row>
    <row r="1485">
      <c r="A1485" s="89"/>
      <c r="B1485" s="87"/>
      <c r="C1485" s="73"/>
      <c r="D1485" s="73"/>
      <c r="E1485" s="82"/>
      <c r="F1485" s="82"/>
      <c r="G1485" s="86"/>
      <c r="H1485" s="86"/>
      <c r="I1485" s="86"/>
      <c r="J1485" s="82"/>
      <c r="K1485" s="82"/>
      <c r="L1485" s="82"/>
      <c r="M1485" s="82"/>
      <c r="N1485" s="82"/>
      <c r="O1485" s="82"/>
      <c r="P1485" s="82"/>
      <c r="Q1485" s="82"/>
      <c r="R1485" s="82"/>
      <c r="S1485" s="82"/>
      <c r="T1485" s="82"/>
      <c r="U1485" s="82"/>
      <c r="V1485" s="82"/>
      <c r="W1485" s="82"/>
      <c r="X1485" s="82"/>
      <c r="Y1485" s="82"/>
      <c r="Z1485" s="82"/>
      <c r="AA1485" s="82"/>
      <c r="AB1485" s="82"/>
      <c r="AC1485" s="82"/>
      <c r="AD1485" s="82"/>
      <c r="AE1485" s="82"/>
      <c r="AF1485" s="82"/>
      <c r="AG1485" s="82"/>
      <c r="AH1485" s="82"/>
      <c r="AI1485" s="82"/>
      <c r="AJ1485" s="82"/>
      <c r="AK1485" s="82"/>
      <c r="AL1485" s="82"/>
      <c r="AM1485" s="82"/>
      <c r="AN1485" s="82">
        <f>IFERROR(__xludf.DUMMYFUNCTION("""COMPUTED_VALUE"""),0.0)</f>
        <v>0</v>
      </c>
      <c r="AO1485" s="82">
        <f>IFERROR(__xludf.DUMMYFUNCTION("""COMPUTED_VALUE"""),0.0)</f>
        <v>0</v>
      </c>
      <c r="AP1485" s="82">
        <f>IFERROR(__xludf.DUMMYFUNCTION("""COMPUTED_VALUE"""),0.0)</f>
        <v>0</v>
      </c>
      <c r="AQ1485" s="82">
        <f>IFERROR(__xludf.DUMMYFUNCTION("""COMPUTED_VALUE"""),0.0)</f>
        <v>0</v>
      </c>
      <c r="AR1485" s="82">
        <f>IFERROR(__xludf.DUMMYFUNCTION("""COMPUTED_VALUE"""),0.0)</f>
        <v>0</v>
      </c>
      <c r="AS1485" s="82"/>
      <c r="AT1485" s="82">
        <f>IFERROR(__xludf.DUMMYFUNCTION("""COMPUTED_VALUE"""),0.0)</f>
        <v>0</v>
      </c>
      <c r="AU1485" s="82"/>
      <c r="AV1485" s="82"/>
      <c r="AW1485" s="82" t="str">
        <f t="shared" si="1"/>
        <v/>
      </c>
      <c r="AX1485" s="83" t="str">
        <f t="array" ref="AX1485">IFERROR(DGET('SBV Import'!A:G,"SBV",{"RSC ID","Tier";B1485,A1485}))</f>
        <v/>
      </c>
      <c r="AY1485" s="82" t="str">
        <f t="shared" si="2"/>
        <v/>
      </c>
      <c r="AZ1485" s="82"/>
      <c r="BA1485" s="84" t="s">
        <v>152</v>
      </c>
      <c r="BB1485" s="84" t="str">
        <f>IFERROR(__xludf.DUMMYFUNCTION("iferror(if(A1485="""",,E1485&gt;=FILTER(Constants!$F$2:$F$10,Constants!$A$2:$A$10=A1485)))"),"")</f>
        <v/>
      </c>
    </row>
    <row r="1486">
      <c r="A1486" s="89"/>
      <c r="B1486" s="87"/>
      <c r="C1486" s="73"/>
      <c r="D1486" s="73"/>
      <c r="E1486" s="82"/>
      <c r="F1486" s="82"/>
      <c r="G1486" s="86"/>
      <c r="H1486" s="86"/>
      <c r="I1486" s="86"/>
      <c r="J1486" s="82"/>
      <c r="K1486" s="82"/>
      <c r="L1486" s="82"/>
      <c r="M1486" s="82"/>
      <c r="N1486" s="82"/>
      <c r="O1486" s="82"/>
      <c r="P1486" s="82"/>
      <c r="Q1486" s="82"/>
      <c r="R1486" s="82"/>
      <c r="S1486" s="82"/>
      <c r="T1486" s="82"/>
      <c r="U1486" s="82"/>
      <c r="V1486" s="82"/>
      <c r="W1486" s="82"/>
      <c r="X1486" s="82"/>
      <c r="Y1486" s="82"/>
      <c r="Z1486" s="82"/>
      <c r="AA1486" s="82"/>
      <c r="AB1486" s="82"/>
      <c r="AC1486" s="82"/>
      <c r="AD1486" s="82"/>
      <c r="AE1486" s="82"/>
      <c r="AF1486" s="82"/>
      <c r="AG1486" s="82"/>
      <c r="AH1486" s="82"/>
      <c r="AI1486" s="82"/>
      <c r="AJ1486" s="82"/>
      <c r="AK1486" s="82"/>
      <c r="AL1486" s="82"/>
      <c r="AM1486" s="82"/>
      <c r="AN1486" s="82">
        <f>IFERROR(__xludf.DUMMYFUNCTION("""COMPUTED_VALUE"""),0.0)</f>
        <v>0</v>
      </c>
      <c r="AO1486" s="82">
        <f>IFERROR(__xludf.DUMMYFUNCTION("""COMPUTED_VALUE"""),0.0)</f>
        <v>0</v>
      </c>
      <c r="AP1486" s="82">
        <f>IFERROR(__xludf.DUMMYFUNCTION("""COMPUTED_VALUE"""),0.0)</f>
        <v>0</v>
      </c>
      <c r="AQ1486" s="82">
        <f>IFERROR(__xludf.DUMMYFUNCTION("""COMPUTED_VALUE"""),0.0)</f>
        <v>0</v>
      </c>
      <c r="AR1486" s="82">
        <f>IFERROR(__xludf.DUMMYFUNCTION("""COMPUTED_VALUE"""),0.0)</f>
        <v>0</v>
      </c>
      <c r="AS1486" s="82"/>
      <c r="AT1486" s="82">
        <f>IFERROR(__xludf.DUMMYFUNCTION("""COMPUTED_VALUE"""),0.0)</f>
        <v>0</v>
      </c>
      <c r="AU1486" s="82"/>
      <c r="AV1486" s="82"/>
      <c r="AW1486" s="82" t="str">
        <f t="shared" si="1"/>
        <v/>
      </c>
      <c r="AX1486" s="83" t="str">
        <f t="array" ref="AX1486">IFERROR(DGET('SBV Import'!A:G,"SBV",{"RSC ID","Tier";B1486,A1486}))</f>
        <v/>
      </c>
      <c r="AY1486" s="82" t="str">
        <f t="shared" si="2"/>
        <v/>
      </c>
      <c r="AZ1486" s="82"/>
      <c r="BA1486" s="84" t="s">
        <v>152</v>
      </c>
      <c r="BB1486" s="84" t="str">
        <f>IFERROR(__xludf.DUMMYFUNCTION("iferror(if(A1486="""",,E1486&gt;=FILTER(Constants!$F$2:$F$10,Constants!$A$2:$A$10=A1486)))"),"")</f>
        <v/>
      </c>
    </row>
    <row r="1487">
      <c r="A1487" s="89"/>
      <c r="B1487" s="87"/>
      <c r="C1487" s="73"/>
      <c r="D1487" s="73"/>
      <c r="E1487" s="82"/>
      <c r="F1487" s="82"/>
      <c r="G1487" s="86"/>
      <c r="H1487" s="86"/>
      <c r="I1487" s="86"/>
      <c r="J1487" s="82"/>
      <c r="K1487" s="82"/>
      <c r="L1487" s="82"/>
      <c r="M1487" s="82"/>
      <c r="N1487" s="82"/>
      <c r="O1487" s="82"/>
      <c r="P1487" s="82"/>
      <c r="Q1487" s="82"/>
      <c r="R1487" s="82"/>
      <c r="S1487" s="82"/>
      <c r="T1487" s="82"/>
      <c r="U1487" s="82"/>
      <c r="V1487" s="82"/>
      <c r="W1487" s="82"/>
      <c r="X1487" s="82"/>
      <c r="Y1487" s="82"/>
      <c r="Z1487" s="82"/>
      <c r="AA1487" s="82"/>
      <c r="AB1487" s="82"/>
      <c r="AC1487" s="82"/>
      <c r="AD1487" s="82"/>
      <c r="AE1487" s="82"/>
      <c r="AF1487" s="82"/>
      <c r="AG1487" s="82"/>
      <c r="AH1487" s="82"/>
      <c r="AI1487" s="82"/>
      <c r="AJ1487" s="82"/>
      <c r="AK1487" s="82"/>
      <c r="AL1487" s="82"/>
      <c r="AM1487" s="82"/>
      <c r="AN1487" s="82">
        <f>IFERROR(__xludf.DUMMYFUNCTION("""COMPUTED_VALUE"""),0.0)</f>
        <v>0</v>
      </c>
      <c r="AO1487" s="82">
        <f>IFERROR(__xludf.DUMMYFUNCTION("""COMPUTED_VALUE"""),0.0)</f>
        <v>0</v>
      </c>
      <c r="AP1487" s="82">
        <f>IFERROR(__xludf.DUMMYFUNCTION("""COMPUTED_VALUE"""),0.0)</f>
        <v>0</v>
      </c>
      <c r="AQ1487" s="82">
        <f>IFERROR(__xludf.DUMMYFUNCTION("""COMPUTED_VALUE"""),0.0)</f>
        <v>0</v>
      </c>
      <c r="AR1487" s="82">
        <f>IFERROR(__xludf.DUMMYFUNCTION("""COMPUTED_VALUE"""),0.0)</f>
        <v>0</v>
      </c>
      <c r="AS1487" s="82"/>
      <c r="AT1487" s="82">
        <f>IFERROR(__xludf.DUMMYFUNCTION("""COMPUTED_VALUE"""),0.0)</f>
        <v>0</v>
      </c>
      <c r="AU1487" s="82"/>
      <c r="AV1487" s="82"/>
      <c r="AW1487" s="82" t="str">
        <f t="shared" si="1"/>
        <v/>
      </c>
      <c r="AX1487" s="83" t="str">
        <f t="array" ref="AX1487">IFERROR(DGET('SBV Import'!A:G,"SBV",{"RSC ID","Tier";B1487,A1487}))</f>
        <v/>
      </c>
      <c r="AY1487" s="82" t="str">
        <f t="shared" si="2"/>
        <v/>
      </c>
      <c r="AZ1487" s="82"/>
      <c r="BA1487" s="84" t="s">
        <v>152</v>
      </c>
      <c r="BB1487" s="84" t="str">
        <f>IFERROR(__xludf.DUMMYFUNCTION("iferror(if(A1487="""",,E1487&gt;=FILTER(Constants!$F$2:$F$10,Constants!$A$2:$A$10=A1487)))"),"")</f>
        <v/>
      </c>
    </row>
    <row r="1488">
      <c r="A1488" s="89"/>
      <c r="B1488" s="87"/>
      <c r="C1488" s="73"/>
      <c r="D1488" s="73"/>
      <c r="E1488" s="82"/>
      <c r="F1488" s="82"/>
      <c r="G1488" s="86"/>
      <c r="H1488" s="86"/>
      <c r="I1488" s="86"/>
      <c r="J1488" s="82"/>
      <c r="K1488" s="82"/>
      <c r="L1488" s="82"/>
      <c r="M1488" s="82"/>
      <c r="N1488" s="82"/>
      <c r="O1488" s="82"/>
      <c r="P1488" s="82"/>
      <c r="Q1488" s="82"/>
      <c r="R1488" s="82"/>
      <c r="S1488" s="82"/>
      <c r="T1488" s="82"/>
      <c r="U1488" s="82"/>
      <c r="V1488" s="82"/>
      <c r="W1488" s="82"/>
      <c r="X1488" s="82"/>
      <c r="Y1488" s="82"/>
      <c r="Z1488" s="82"/>
      <c r="AA1488" s="82"/>
      <c r="AB1488" s="82"/>
      <c r="AC1488" s="82"/>
      <c r="AD1488" s="82"/>
      <c r="AE1488" s="82"/>
      <c r="AF1488" s="82"/>
      <c r="AG1488" s="82"/>
      <c r="AH1488" s="82"/>
      <c r="AI1488" s="82"/>
      <c r="AJ1488" s="82"/>
      <c r="AK1488" s="82"/>
      <c r="AL1488" s="82"/>
      <c r="AM1488" s="82"/>
      <c r="AN1488" s="82">
        <f>IFERROR(__xludf.DUMMYFUNCTION("""COMPUTED_VALUE"""),0.0)</f>
        <v>0</v>
      </c>
      <c r="AO1488" s="82">
        <f>IFERROR(__xludf.DUMMYFUNCTION("""COMPUTED_VALUE"""),0.0)</f>
        <v>0</v>
      </c>
      <c r="AP1488" s="82">
        <f>IFERROR(__xludf.DUMMYFUNCTION("""COMPUTED_VALUE"""),0.0)</f>
        <v>0</v>
      </c>
      <c r="AQ1488" s="82">
        <f>IFERROR(__xludf.DUMMYFUNCTION("""COMPUTED_VALUE"""),0.0)</f>
        <v>0</v>
      </c>
      <c r="AR1488" s="82">
        <f>IFERROR(__xludf.DUMMYFUNCTION("""COMPUTED_VALUE"""),0.0)</f>
        <v>0</v>
      </c>
      <c r="AS1488" s="82"/>
      <c r="AT1488" s="82">
        <f>IFERROR(__xludf.DUMMYFUNCTION("""COMPUTED_VALUE"""),0.0)</f>
        <v>0</v>
      </c>
      <c r="AU1488" s="82"/>
      <c r="AV1488" s="82"/>
      <c r="AW1488" s="82" t="str">
        <f t="shared" si="1"/>
        <v/>
      </c>
      <c r="AX1488" s="83" t="str">
        <f t="array" ref="AX1488">IFERROR(DGET('SBV Import'!A:G,"SBV",{"RSC ID","Tier";B1488,A1488}))</f>
        <v/>
      </c>
      <c r="AY1488" s="82" t="str">
        <f t="shared" si="2"/>
        <v/>
      </c>
      <c r="AZ1488" s="82"/>
      <c r="BA1488" s="84" t="s">
        <v>152</v>
      </c>
      <c r="BB1488" s="84" t="str">
        <f>IFERROR(__xludf.DUMMYFUNCTION("iferror(if(A1488="""",,E1488&gt;=FILTER(Constants!$F$2:$F$10,Constants!$A$2:$A$10=A1488)))"),"")</f>
        <v/>
      </c>
    </row>
    <row r="1489">
      <c r="A1489" s="89"/>
      <c r="B1489" s="87"/>
      <c r="C1489" s="73"/>
      <c r="D1489" s="73"/>
      <c r="E1489" s="82"/>
      <c r="F1489" s="82"/>
      <c r="G1489" s="86"/>
      <c r="H1489" s="86"/>
      <c r="I1489" s="86"/>
      <c r="J1489" s="82"/>
      <c r="K1489" s="82"/>
      <c r="L1489" s="82"/>
      <c r="M1489" s="82"/>
      <c r="N1489" s="82"/>
      <c r="O1489" s="82"/>
      <c r="P1489" s="82"/>
      <c r="Q1489" s="82"/>
      <c r="R1489" s="82"/>
      <c r="S1489" s="82"/>
      <c r="T1489" s="82"/>
      <c r="U1489" s="82"/>
      <c r="V1489" s="82"/>
      <c r="W1489" s="82"/>
      <c r="X1489" s="82"/>
      <c r="Y1489" s="82"/>
      <c r="Z1489" s="82"/>
      <c r="AA1489" s="82"/>
      <c r="AB1489" s="82"/>
      <c r="AC1489" s="82"/>
      <c r="AD1489" s="82"/>
      <c r="AE1489" s="82"/>
      <c r="AF1489" s="82"/>
      <c r="AG1489" s="82"/>
      <c r="AH1489" s="82"/>
      <c r="AI1489" s="82"/>
      <c r="AJ1489" s="82"/>
      <c r="AK1489" s="82"/>
      <c r="AL1489" s="82"/>
      <c r="AM1489" s="82"/>
      <c r="AN1489" s="82">
        <f>IFERROR(__xludf.DUMMYFUNCTION("""COMPUTED_VALUE"""),0.0)</f>
        <v>0</v>
      </c>
      <c r="AO1489" s="82">
        <f>IFERROR(__xludf.DUMMYFUNCTION("""COMPUTED_VALUE"""),0.0)</f>
        <v>0</v>
      </c>
      <c r="AP1489" s="82">
        <f>IFERROR(__xludf.DUMMYFUNCTION("""COMPUTED_VALUE"""),0.0)</f>
        <v>0</v>
      </c>
      <c r="AQ1489" s="82">
        <f>IFERROR(__xludf.DUMMYFUNCTION("""COMPUTED_VALUE"""),0.0)</f>
        <v>0</v>
      </c>
      <c r="AR1489" s="82">
        <f>IFERROR(__xludf.DUMMYFUNCTION("""COMPUTED_VALUE"""),0.0)</f>
        <v>0</v>
      </c>
      <c r="AS1489" s="82"/>
      <c r="AT1489" s="82">
        <f>IFERROR(__xludf.DUMMYFUNCTION("""COMPUTED_VALUE"""),0.0)</f>
        <v>0</v>
      </c>
      <c r="AU1489" s="82"/>
      <c r="AV1489" s="82"/>
      <c r="AW1489" s="82" t="str">
        <f t="shared" si="1"/>
        <v/>
      </c>
      <c r="AX1489" s="83" t="str">
        <f t="array" ref="AX1489">IFERROR(DGET('SBV Import'!A:G,"SBV",{"RSC ID","Tier";B1489,A1489}))</f>
        <v/>
      </c>
      <c r="AY1489" s="82" t="str">
        <f t="shared" si="2"/>
        <v/>
      </c>
      <c r="AZ1489" s="82"/>
      <c r="BA1489" s="84" t="s">
        <v>152</v>
      </c>
      <c r="BB1489" s="84" t="str">
        <f>IFERROR(__xludf.DUMMYFUNCTION("iferror(if(A1489="""",,E1489&gt;=FILTER(Constants!$F$2:$F$10,Constants!$A$2:$A$10=A1489)))"),"")</f>
        <v/>
      </c>
    </row>
    <row r="1490">
      <c r="A1490" s="89"/>
      <c r="B1490" s="87"/>
      <c r="C1490" s="73"/>
      <c r="D1490" s="73"/>
      <c r="E1490" s="82"/>
      <c r="F1490" s="82"/>
      <c r="G1490" s="86"/>
      <c r="H1490" s="86"/>
      <c r="I1490" s="86"/>
      <c r="J1490" s="82"/>
      <c r="K1490" s="82"/>
      <c r="L1490" s="82"/>
      <c r="M1490" s="82"/>
      <c r="N1490" s="82"/>
      <c r="O1490" s="82"/>
      <c r="P1490" s="82"/>
      <c r="Q1490" s="82"/>
      <c r="R1490" s="82"/>
      <c r="S1490" s="82"/>
      <c r="T1490" s="82"/>
      <c r="U1490" s="82"/>
      <c r="V1490" s="82"/>
      <c r="W1490" s="82"/>
      <c r="X1490" s="82"/>
      <c r="Y1490" s="82"/>
      <c r="Z1490" s="82"/>
      <c r="AA1490" s="82"/>
      <c r="AB1490" s="82"/>
      <c r="AC1490" s="82"/>
      <c r="AD1490" s="82"/>
      <c r="AE1490" s="82"/>
      <c r="AF1490" s="82"/>
      <c r="AG1490" s="82"/>
      <c r="AH1490" s="82"/>
      <c r="AI1490" s="82"/>
      <c r="AJ1490" s="82"/>
      <c r="AK1490" s="82"/>
      <c r="AL1490" s="82"/>
      <c r="AM1490" s="82"/>
      <c r="AN1490" s="82">
        <f>IFERROR(__xludf.DUMMYFUNCTION("""COMPUTED_VALUE"""),0.0)</f>
        <v>0</v>
      </c>
      <c r="AO1490" s="82">
        <f>IFERROR(__xludf.DUMMYFUNCTION("""COMPUTED_VALUE"""),0.0)</f>
        <v>0</v>
      </c>
      <c r="AP1490" s="82">
        <f>IFERROR(__xludf.DUMMYFUNCTION("""COMPUTED_VALUE"""),0.0)</f>
        <v>0</v>
      </c>
      <c r="AQ1490" s="82">
        <f>IFERROR(__xludf.DUMMYFUNCTION("""COMPUTED_VALUE"""),0.0)</f>
        <v>0</v>
      </c>
      <c r="AR1490" s="82">
        <f>IFERROR(__xludf.DUMMYFUNCTION("""COMPUTED_VALUE"""),0.0)</f>
        <v>0</v>
      </c>
      <c r="AS1490" s="82"/>
      <c r="AT1490" s="82">
        <f>IFERROR(__xludf.DUMMYFUNCTION("""COMPUTED_VALUE"""),0.0)</f>
        <v>0</v>
      </c>
      <c r="AU1490" s="82"/>
      <c r="AV1490" s="82"/>
      <c r="AW1490" s="82" t="str">
        <f t="shared" si="1"/>
        <v/>
      </c>
      <c r="AX1490" s="83" t="str">
        <f t="array" ref="AX1490">IFERROR(DGET('SBV Import'!A:G,"SBV",{"RSC ID","Tier";B1490,A1490}))</f>
        <v/>
      </c>
      <c r="AY1490" s="82" t="str">
        <f t="shared" si="2"/>
        <v/>
      </c>
      <c r="AZ1490" s="82"/>
      <c r="BA1490" s="84" t="s">
        <v>152</v>
      </c>
      <c r="BB1490" s="84" t="str">
        <f>IFERROR(__xludf.DUMMYFUNCTION("iferror(if(A1490="""",,E1490&gt;=FILTER(Constants!$F$2:$F$10,Constants!$A$2:$A$10=A1490)))"),"")</f>
        <v/>
      </c>
    </row>
    <row r="1491">
      <c r="A1491" s="89"/>
      <c r="B1491" s="87"/>
      <c r="C1491" s="73"/>
      <c r="D1491" s="73"/>
      <c r="E1491" s="82"/>
      <c r="F1491" s="82"/>
      <c r="G1491" s="86"/>
      <c r="H1491" s="86"/>
      <c r="I1491" s="86"/>
      <c r="J1491" s="82"/>
      <c r="K1491" s="82"/>
      <c r="L1491" s="82"/>
      <c r="M1491" s="82"/>
      <c r="N1491" s="82"/>
      <c r="O1491" s="82"/>
      <c r="P1491" s="82"/>
      <c r="Q1491" s="82"/>
      <c r="R1491" s="82"/>
      <c r="S1491" s="82"/>
      <c r="T1491" s="82"/>
      <c r="U1491" s="82"/>
      <c r="V1491" s="82"/>
      <c r="W1491" s="82"/>
      <c r="X1491" s="82"/>
      <c r="Y1491" s="82"/>
      <c r="Z1491" s="82"/>
      <c r="AA1491" s="82"/>
      <c r="AB1491" s="82"/>
      <c r="AC1491" s="82"/>
      <c r="AD1491" s="82"/>
      <c r="AE1491" s="82"/>
      <c r="AF1491" s="82"/>
      <c r="AG1491" s="82"/>
      <c r="AH1491" s="82"/>
      <c r="AI1491" s="82"/>
      <c r="AJ1491" s="82"/>
      <c r="AK1491" s="82"/>
      <c r="AL1491" s="82"/>
      <c r="AM1491" s="82"/>
      <c r="AN1491" s="82">
        <f>IFERROR(__xludf.DUMMYFUNCTION("""COMPUTED_VALUE"""),0.0)</f>
        <v>0</v>
      </c>
      <c r="AO1491" s="82">
        <f>IFERROR(__xludf.DUMMYFUNCTION("""COMPUTED_VALUE"""),0.0)</f>
        <v>0</v>
      </c>
      <c r="AP1491" s="82">
        <f>IFERROR(__xludf.DUMMYFUNCTION("""COMPUTED_VALUE"""),0.0)</f>
        <v>0</v>
      </c>
      <c r="AQ1491" s="82">
        <f>IFERROR(__xludf.DUMMYFUNCTION("""COMPUTED_VALUE"""),0.0)</f>
        <v>0</v>
      </c>
      <c r="AR1491" s="82">
        <f>IFERROR(__xludf.DUMMYFUNCTION("""COMPUTED_VALUE"""),0.0)</f>
        <v>0</v>
      </c>
      <c r="AS1491" s="82"/>
      <c r="AT1491" s="82">
        <f>IFERROR(__xludf.DUMMYFUNCTION("""COMPUTED_VALUE"""),0.0)</f>
        <v>0</v>
      </c>
      <c r="AU1491" s="82"/>
      <c r="AV1491" s="82"/>
      <c r="AW1491" s="82" t="str">
        <f t="shared" si="1"/>
        <v/>
      </c>
      <c r="AX1491" s="83" t="str">
        <f t="array" ref="AX1491">IFERROR(DGET('SBV Import'!A:G,"SBV",{"RSC ID","Tier";B1491,A1491}))</f>
        <v/>
      </c>
      <c r="AY1491" s="82" t="str">
        <f t="shared" si="2"/>
        <v/>
      </c>
      <c r="AZ1491" s="82"/>
      <c r="BA1491" s="84" t="s">
        <v>152</v>
      </c>
      <c r="BB1491" s="84" t="str">
        <f>IFERROR(__xludf.DUMMYFUNCTION("iferror(if(A1491="""",,E1491&gt;=FILTER(Constants!$F$2:$F$10,Constants!$A$2:$A$10=A1491)))"),"")</f>
        <v/>
      </c>
    </row>
    <row r="1492">
      <c r="A1492" s="89"/>
      <c r="B1492" s="87"/>
      <c r="C1492" s="73"/>
      <c r="D1492" s="73"/>
      <c r="E1492" s="82"/>
      <c r="F1492" s="82"/>
      <c r="G1492" s="86"/>
      <c r="H1492" s="86"/>
      <c r="I1492" s="86"/>
      <c r="J1492" s="82"/>
      <c r="K1492" s="82"/>
      <c r="L1492" s="82"/>
      <c r="M1492" s="82"/>
      <c r="N1492" s="82"/>
      <c r="O1492" s="82"/>
      <c r="P1492" s="82"/>
      <c r="Q1492" s="82"/>
      <c r="R1492" s="82"/>
      <c r="S1492" s="82"/>
      <c r="T1492" s="82"/>
      <c r="U1492" s="82"/>
      <c r="V1492" s="82"/>
      <c r="W1492" s="82"/>
      <c r="X1492" s="82"/>
      <c r="Y1492" s="82"/>
      <c r="Z1492" s="82"/>
      <c r="AA1492" s="82"/>
      <c r="AB1492" s="82"/>
      <c r="AC1492" s="82"/>
      <c r="AD1492" s="82"/>
      <c r="AE1492" s="82"/>
      <c r="AF1492" s="82"/>
      <c r="AG1492" s="82"/>
      <c r="AH1492" s="82"/>
      <c r="AI1492" s="82"/>
      <c r="AJ1492" s="82"/>
      <c r="AK1492" s="82"/>
      <c r="AL1492" s="82"/>
      <c r="AM1492" s="82"/>
      <c r="AN1492" s="82">
        <f>IFERROR(__xludf.DUMMYFUNCTION("""COMPUTED_VALUE"""),0.0)</f>
        <v>0</v>
      </c>
      <c r="AO1492" s="82">
        <f>IFERROR(__xludf.DUMMYFUNCTION("""COMPUTED_VALUE"""),0.0)</f>
        <v>0</v>
      </c>
      <c r="AP1492" s="82">
        <f>IFERROR(__xludf.DUMMYFUNCTION("""COMPUTED_VALUE"""),0.0)</f>
        <v>0</v>
      </c>
      <c r="AQ1492" s="82">
        <f>IFERROR(__xludf.DUMMYFUNCTION("""COMPUTED_VALUE"""),0.0)</f>
        <v>0</v>
      </c>
      <c r="AR1492" s="82">
        <f>IFERROR(__xludf.DUMMYFUNCTION("""COMPUTED_VALUE"""),0.0)</f>
        <v>0</v>
      </c>
      <c r="AS1492" s="82"/>
      <c r="AT1492" s="82">
        <f>IFERROR(__xludf.DUMMYFUNCTION("""COMPUTED_VALUE"""),0.0)</f>
        <v>0</v>
      </c>
      <c r="AU1492" s="82"/>
      <c r="AV1492" s="82"/>
      <c r="AW1492" s="82" t="str">
        <f t="shared" si="1"/>
        <v/>
      </c>
      <c r="AX1492" s="83" t="str">
        <f t="array" ref="AX1492">IFERROR(DGET('SBV Import'!A:G,"SBV",{"RSC ID","Tier";B1492,A1492}))</f>
        <v/>
      </c>
      <c r="AY1492" s="82" t="str">
        <f t="shared" si="2"/>
        <v/>
      </c>
      <c r="AZ1492" s="82"/>
      <c r="BA1492" s="84" t="s">
        <v>152</v>
      </c>
      <c r="BB1492" s="84" t="str">
        <f>IFERROR(__xludf.DUMMYFUNCTION("iferror(if(A1492="""",,E1492&gt;=FILTER(Constants!$F$2:$F$10,Constants!$A$2:$A$10=A1492)))"),"")</f>
        <v/>
      </c>
    </row>
    <row r="1493">
      <c r="A1493" s="89"/>
      <c r="B1493" s="87"/>
      <c r="C1493" s="73"/>
      <c r="D1493" s="73"/>
      <c r="E1493" s="82"/>
      <c r="F1493" s="82"/>
      <c r="G1493" s="86"/>
      <c r="H1493" s="86"/>
      <c r="I1493" s="86"/>
      <c r="J1493" s="82"/>
      <c r="K1493" s="82"/>
      <c r="L1493" s="82"/>
      <c r="M1493" s="82"/>
      <c r="N1493" s="82"/>
      <c r="O1493" s="82"/>
      <c r="P1493" s="82"/>
      <c r="Q1493" s="82"/>
      <c r="R1493" s="82"/>
      <c r="S1493" s="82"/>
      <c r="T1493" s="82"/>
      <c r="U1493" s="82"/>
      <c r="V1493" s="82"/>
      <c r="W1493" s="82"/>
      <c r="X1493" s="82"/>
      <c r="Y1493" s="82"/>
      <c r="Z1493" s="82"/>
      <c r="AA1493" s="82"/>
      <c r="AB1493" s="82"/>
      <c r="AC1493" s="82"/>
      <c r="AD1493" s="82"/>
      <c r="AE1493" s="82"/>
      <c r="AF1493" s="82"/>
      <c r="AG1493" s="82"/>
      <c r="AH1493" s="82"/>
      <c r="AI1493" s="82"/>
      <c r="AJ1493" s="82"/>
      <c r="AK1493" s="82"/>
      <c r="AL1493" s="82"/>
      <c r="AM1493" s="82"/>
      <c r="AN1493" s="82">
        <f>IFERROR(__xludf.DUMMYFUNCTION("""COMPUTED_VALUE"""),0.0)</f>
        <v>0</v>
      </c>
      <c r="AO1493" s="82">
        <f>IFERROR(__xludf.DUMMYFUNCTION("""COMPUTED_VALUE"""),0.0)</f>
        <v>0</v>
      </c>
      <c r="AP1493" s="82">
        <f>IFERROR(__xludf.DUMMYFUNCTION("""COMPUTED_VALUE"""),0.0)</f>
        <v>0</v>
      </c>
      <c r="AQ1493" s="82">
        <f>IFERROR(__xludf.DUMMYFUNCTION("""COMPUTED_VALUE"""),0.0)</f>
        <v>0</v>
      </c>
      <c r="AR1493" s="82">
        <f>IFERROR(__xludf.DUMMYFUNCTION("""COMPUTED_VALUE"""),0.0)</f>
        <v>0</v>
      </c>
      <c r="AS1493" s="82"/>
      <c r="AT1493" s="82">
        <f>IFERROR(__xludf.DUMMYFUNCTION("""COMPUTED_VALUE"""),0.0)</f>
        <v>0</v>
      </c>
      <c r="AU1493" s="82"/>
      <c r="AV1493" s="82"/>
      <c r="AW1493" s="82" t="str">
        <f t="shared" si="1"/>
        <v/>
      </c>
      <c r="AX1493" s="83" t="str">
        <f t="array" ref="AX1493">IFERROR(DGET('SBV Import'!A:G,"SBV",{"RSC ID","Tier";B1493,A1493}))</f>
        <v/>
      </c>
      <c r="AY1493" s="82" t="str">
        <f t="shared" si="2"/>
        <v/>
      </c>
      <c r="AZ1493" s="82"/>
      <c r="BA1493" s="84" t="s">
        <v>152</v>
      </c>
      <c r="BB1493" s="84" t="str">
        <f>IFERROR(__xludf.DUMMYFUNCTION("iferror(if(A1493="""",,E1493&gt;=FILTER(Constants!$F$2:$F$10,Constants!$A$2:$A$10=A1493)))"),"")</f>
        <v/>
      </c>
    </row>
    <row r="1494">
      <c r="A1494" s="89"/>
      <c r="B1494" s="87"/>
      <c r="C1494" s="73"/>
      <c r="D1494" s="73"/>
      <c r="E1494" s="82"/>
      <c r="F1494" s="82"/>
      <c r="G1494" s="86"/>
      <c r="H1494" s="86"/>
      <c r="I1494" s="86"/>
      <c r="J1494" s="82"/>
      <c r="K1494" s="82"/>
      <c r="L1494" s="82"/>
      <c r="M1494" s="82"/>
      <c r="N1494" s="82"/>
      <c r="O1494" s="82"/>
      <c r="P1494" s="82"/>
      <c r="Q1494" s="82"/>
      <c r="R1494" s="82"/>
      <c r="S1494" s="82"/>
      <c r="T1494" s="82"/>
      <c r="U1494" s="82"/>
      <c r="V1494" s="82"/>
      <c r="W1494" s="82"/>
      <c r="X1494" s="82"/>
      <c r="Y1494" s="82"/>
      <c r="Z1494" s="82"/>
      <c r="AA1494" s="82"/>
      <c r="AB1494" s="82"/>
      <c r="AC1494" s="82"/>
      <c r="AD1494" s="82"/>
      <c r="AE1494" s="82"/>
      <c r="AF1494" s="82"/>
      <c r="AG1494" s="82"/>
      <c r="AH1494" s="82"/>
      <c r="AI1494" s="82"/>
      <c r="AJ1494" s="82"/>
      <c r="AK1494" s="82"/>
      <c r="AL1494" s="82"/>
      <c r="AM1494" s="82"/>
      <c r="AN1494" s="82">
        <f>IFERROR(__xludf.DUMMYFUNCTION("""COMPUTED_VALUE"""),0.0)</f>
        <v>0</v>
      </c>
      <c r="AO1494" s="82">
        <f>IFERROR(__xludf.DUMMYFUNCTION("""COMPUTED_VALUE"""),0.0)</f>
        <v>0</v>
      </c>
      <c r="AP1494" s="82">
        <f>IFERROR(__xludf.DUMMYFUNCTION("""COMPUTED_VALUE"""),0.0)</f>
        <v>0</v>
      </c>
      <c r="AQ1494" s="82">
        <f>IFERROR(__xludf.DUMMYFUNCTION("""COMPUTED_VALUE"""),0.0)</f>
        <v>0</v>
      </c>
      <c r="AR1494" s="82">
        <f>IFERROR(__xludf.DUMMYFUNCTION("""COMPUTED_VALUE"""),0.0)</f>
        <v>0</v>
      </c>
      <c r="AS1494" s="82"/>
      <c r="AT1494" s="82">
        <f>IFERROR(__xludf.DUMMYFUNCTION("""COMPUTED_VALUE"""),0.0)</f>
        <v>0</v>
      </c>
      <c r="AU1494" s="82"/>
      <c r="AV1494" s="82"/>
      <c r="AW1494" s="82" t="str">
        <f t="shared" si="1"/>
        <v/>
      </c>
      <c r="AX1494" s="83" t="str">
        <f t="array" ref="AX1494">IFERROR(DGET('SBV Import'!A:G,"SBV",{"RSC ID","Tier";B1494,A1494}))</f>
        <v/>
      </c>
      <c r="AY1494" s="82" t="str">
        <f t="shared" si="2"/>
        <v/>
      </c>
      <c r="AZ1494" s="82"/>
      <c r="BA1494" s="84" t="s">
        <v>152</v>
      </c>
      <c r="BB1494" s="84" t="str">
        <f>IFERROR(__xludf.DUMMYFUNCTION("iferror(if(A1494="""",,E1494&gt;=FILTER(Constants!$F$2:$F$10,Constants!$A$2:$A$10=A1494)))"),"")</f>
        <v/>
      </c>
    </row>
    <row r="1495">
      <c r="A1495" s="89"/>
      <c r="B1495" s="87"/>
      <c r="C1495" s="73"/>
      <c r="D1495" s="73"/>
      <c r="E1495" s="82"/>
      <c r="F1495" s="82"/>
      <c r="G1495" s="86"/>
      <c r="H1495" s="86"/>
      <c r="I1495" s="86"/>
      <c r="J1495" s="82"/>
      <c r="K1495" s="82"/>
      <c r="L1495" s="82"/>
      <c r="M1495" s="82"/>
      <c r="N1495" s="82"/>
      <c r="O1495" s="82"/>
      <c r="P1495" s="82"/>
      <c r="Q1495" s="82"/>
      <c r="R1495" s="82"/>
      <c r="S1495" s="82"/>
      <c r="T1495" s="82"/>
      <c r="U1495" s="82"/>
      <c r="V1495" s="82"/>
      <c r="W1495" s="82"/>
      <c r="X1495" s="82"/>
      <c r="Y1495" s="82"/>
      <c r="Z1495" s="82"/>
      <c r="AA1495" s="82"/>
      <c r="AB1495" s="82"/>
      <c r="AC1495" s="82"/>
      <c r="AD1495" s="82"/>
      <c r="AE1495" s="82"/>
      <c r="AF1495" s="82"/>
      <c r="AG1495" s="82"/>
      <c r="AH1495" s="82"/>
      <c r="AI1495" s="82"/>
      <c r="AJ1495" s="82"/>
      <c r="AK1495" s="82"/>
      <c r="AL1495" s="82"/>
      <c r="AM1495" s="82"/>
      <c r="AN1495" s="82">
        <f>IFERROR(__xludf.DUMMYFUNCTION("""COMPUTED_VALUE"""),0.0)</f>
        <v>0</v>
      </c>
      <c r="AO1495" s="82">
        <f>IFERROR(__xludf.DUMMYFUNCTION("""COMPUTED_VALUE"""),0.0)</f>
        <v>0</v>
      </c>
      <c r="AP1495" s="82">
        <f>IFERROR(__xludf.DUMMYFUNCTION("""COMPUTED_VALUE"""),0.0)</f>
        <v>0</v>
      </c>
      <c r="AQ1495" s="82">
        <f>IFERROR(__xludf.DUMMYFUNCTION("""COMPUTED_VALUE"""),0.0)</f>
        <v>0</v>
      </c>
      <c r="AR1495" s="82">
        <f>IFERROR(__xludf.DUMMYFUNCTION("""COMPUTED_VALUE"""),0.0)</f>
        <v>0</v>
      </c>
      <c r="AS1495" s="82"/>
      <c r="AT1495" s="82">
        <f>IFERROR(__xludf.DUMMYFUNCTION("""COMPUTED_VALUE"""),0.0)</f>
        <v>0</v>
      </c>
      <c r="AU1495" s="82"/>
      <c r="AV1495" s="82"/>
      <c r="AW1495" s="82" t="str">
        <f t="shared" si="1"/>
        <v/>
      </c>
      <c r="AX1495" s="83" t="str">
        <f t="array" ref="AX1495">IFERROR(DGET('SBV Import'!A:G,"SBV",{"RSC ID","Tier";B1495,A1495}))</f>
        <v/>
      </c>
      <c r="AY1495" s="82" t="str">
        <f t="shared" si="2"/>
        <v/>
      </c>
      <c r="AZ1495" s="82"/>
      <c r="BA1495" s="84" t="s">
        <v>152</v>
      </c>
      <c r="BB1495" s="84" t="str">
        <f>IFERROR(__xludf.DUMMYFUNCTION("iferror(if(A1495="""",,E1495&gt;=FILTER(Constants!$F$2:$F$10,Constants!$A$2:$A$10=A1495)))"),"")</f>
        <v/>
      </c>
    </row>
    <row r="1496">
      <c r="A1496" s="89"/>
      <c r="B1496" s="87"/>
      <c r="C1496" s="73"/>
      <c r="D1496" s="73"/>
      <c r="E1496" s="82"/>
      <c r="F1496" s="82"/>
      <c r="G1496" s="86"/>
      <c r="H1496" s="86"/>
      <c r="I1496" s="86"/>
      <c r="J1496" s="82"/>
      <c r="K1496" s="82"/>
      <c r="L1496" s="82"/>
      <c r="M1496" s="82"/>
      <c r="N1496" s="82"/>
      <c r="O1496" s="82"/>
      <c r="P1496" s="82"/>
      <c r="Q1496" s="82"/>
      <c r="R1496" s="82"/>
      <c r="S1496" s="82"/>
      <c r="T1496" s="82"/>
      <c r="U1496" s="82"/>
      <c r="V1496" s="82"/>
      <c r="W1496" s="82"/>
      <c r="X1496" s="82"/>
      <c r="Y1496" s="82"/>
      <c r="Z1496" s="82"/>
      <c r="AA1496" s="82"/>
      <c r="AB1496" s="82"/>
      <c r="AC1496" s="82"/>
      <c r="AD1496" s="82"/>
      <c r="AE1496" s="82"/>
      <c r="AF1496" s="82"/>
      <c r="AG1496" s="82"/>
      <c r="AH1496" s="82"/>
      <c r="AI1496" s="82"/>
      <c r="AJ1496" s="82"/>
      <c r="AK1496" s="82"/>
      <c r="AL1496" s="82"/>
      <c r="AM1496" s="82"/>
      <c r="AN1496" s="82">
        <f>IFERROR(__xludf.DUMMYFUNCTION("""COMPUTED_VALUE"""),0.0)</f>
        <v>0</v>
      </c>
      <c r="AO1496" s="82">
        <f>IFERROR(__xludf.DUMMYFUNCTION("""COMPUTED_VALUE"""),0.0)</f>
        <v>0</v>
      </c>
      <c r="AP1496" s="82">
        <f>IFERROR(__xludf.DUMMYFUNCTION("""COMPUTED_VALUE"""),0.0)</f>
        <v>0</v>
      </c>
      <c r="AQ1496" s="82">
        <f>IFERROR(__xludf.DUMMYFUNCTION("""COMPUTED_VALUE"""),0.0)</f>
        <v>0</v>
      </c>
      <c r="AR1496" s="82">
        <f>IFERROR(__xludf.DUMMYFUNCTION("""COMPUTED_VALUE"""),0.0)</f>
        <v>0</v>
      </c>
      <c r="AS1496" s="82"/>
      <c r="AT1496" s="82">
        <f>IFERROR(__xludf.DUMMYFUNCTION("""COMPUTED_VALUE"""),0.0)</f>
        <v>0</v>
      </c>
      <c r="AU1496" s="82"/>
      <c r="AV1496" s="82"/>
      <c r="AW1496" s="82" t="str">
        <f t="shared" si="1"/>
        <v/>
      </c>
      <c r="AX1496" s="83" t="str">
        <f t="array" ref="AX1496">IFERROR(DGET('SBV Import'!A:G,"SBV",{"RSC ID","Tier";B1496,A1496}))</f>
        <v/>
      </c>
      <c r="AY1496" s="82" t="str">
        <f t="shared" si="2"/>
        <v/>
      </c>
      <c r="AZ1496" s="82"/>
      <c r="BA1496" s="84" t="s">
        <v>152</v>
      </c>
      <c r="BB1496" s="84" t="str">
        <f>IFERROR(__xludf.DUMMYFUNCTION("iferror(if(A1496="""",,E1496&gt;=FILTER(Constants!$F$2:$F$10,Constants!$A$2:$A$10=A1496)))"),"")</f>
        <v/>
      </c>
    </row>
    <row r="1497">
      <c r="A1497" s="89"/>
      <c r="B1497" s="87"/>
      <c r="C1497" s="73"/>
      <c r="D1497" s="73"/>
      <c r="E1497" s="82"/>
      <c r="F1497" s="82"/>
      <c r="G1497" s="86"/>
      <c r="H1497" s="86"/>
      <c r="I1497" s="86"/>
      <c r="J1497" s="82"/>
      <c r="K1497" s="82"/>
      <c r="L1497" s="82"/>
      <c r="M1497" s="82"/>
      <c r="N1497" s="82"/>
      <c r="O1497" s="82"/>
      <c r="P1497" s="82"/>
      <c r="Q1497" s="82"/>
      <c r="R1497" s="82"/>
      <c r="S1497" s="82"/>
      <c r="T1497" s="82"/>
      <c r="U1497" s="82"/>
      <c r="V1497" s="82"/>
      <c r="W1497" s="82"/>
      <c r="X1497" s="82"/>
      <c r="Y1497" s="82"/>
      <c r="Z1497" s="82"/>
      <c r="AA1497" s="82"/>
      <c r="AB1497" s="82"/>
      <c r="AC1497" s="82"/>
      <c r="AD1497" s="82"/>
      <c r="AE1497" s="82"/>
      <c r="AF1497" s="82"/>
      <c r="AG1497" s="82"/>
      <c r="AH1497" s="82"/>
      <c r="AI1497" s="82"/>
      <c r="AJ1497" s="82"/>
      <c r="AK1497" s="82"/>
      <c r="AL1497" s="82"/>
      <c r="AM1497" s="82"/>
      <c r="AN1497" s="82">
        <f>IFERROR(__xludf.DUMMYFUNCTION("""COMPUTED_VALUE"""),0.0)</f>
        <v>0</v>
      </c>
      <c r="AO1497" s="82">
        <f>IFERROR(__xludf.DUMMYFUNCTION("""COMPUTED_VALUE"""),0.0)</f>
        <v>0</v>
      </c>
      <c r="AP1497" s="82">
        <f>IFERROR(__xludf.DUMMYFUNCTION("""COMPUTED_VALUE"""),0.0)</f>
        <v>0</v>
      </c>
      <c r="AQ1497" s="82">
        <f>IFERROR(__xludf.DUMMYFUNCTION("""COMPUTED_VALUE"""),0.0)</f>
        <v>0</v>
      </c>
      <c r="AR1497" s="82">
        <f>IFERROR(__xludf.DUMMYFUNCTION("""COMPUTED_VALUE"""),0.0)</f>
        <v>0</v>
      </c>
      <c r="AS1497" s="82"/>
      <c r="AT1497" s="82">
        <f>IFERROR(__xludf.DUMMYFUNCTION("""COMPUTED_VALUE"""),0.0)</f>
        <v>0</v>
      </c>
      <c r="AU1497" s="82"/>
      <c r="AV1497" s="82"/>
      <c r="AW1497" s="82" t="str">
        <f t="shared" si="1"/>
        <v/>
      </c>
      <c r="AX1497" s="83" t="str">
        <f t="array" ref="AX1497">IFERROR(DGET('SBV Import'!A:G,"SBV",{"RSC ID","Tier";B1497,A1497}))</f>
        <v/>
      </c>
      <c r="AY1497" s="82" t="str">
        <f t="shared" si="2"/>
        <v/>
      </c>
      <c r="AZ1497" s="82"/>
      <c r="BA1497" s="84" t="s">
        <v>152</v>
      </c>
      <c r="BB1497" s="84" t="str">
        <f>IFERROR(__xludf.DUMMYFUNCTION("iferror(if(A1497="""",,E1497&gt;=FILTER(Constants!$F$2:$F$10,Constants!$A$2:$A$10=A1497)))"),"")</f>
        <v/>
      </c>
    </row>
    <row r="1498">
      <c r="A1498" s="89"/>
      <c r="B1498" s="87"/>
      <c r="C1498" s="73"/>
      <c r="D1498" s="73"/>
      <c r="E1498" s="82"/>
      <c r="F1498" s="82"/>
      <c r="G1498" s="86"/>
      <c r="H1498" s="86"/>
      <c r="I1498" s="86"/>
      <c r="J1498" s="82"/>
      <c r="K1498" s="82"/>
      <c r="L1498" s="82"/>
      <c r="M1498" s="82"/>
      <c r="N1498" s="82"/>
      <c r="O1498" s="82"/>
      <c r="P1498" s="82"/>
      <c r="Q1498" s="82"/>
      <c r="R1498" s="82"/>
      <c r="S1498" s="82"/>
      <c r="T1498" s="82"/>
      <c r="U1498" s="82"/>
      <c r="V1498" s="82"/>
      <c r="W1498" s="82"/>
      <c r="X1498" s="82"/>
      <c r="Y1498" s="82"/>
      <c r="Z1498" s="82"/>
      <c r="AA1498" s="82"/>
      <c r="AB1498" s="82"/>
      <c r="AC1498" s="82"/>
      <c r="AD1498" s="82"/>
      <c r="AE1498" s="82"/>
      <c r="AF1498" s="82"/>
      <c r="AG1498" s="82"/>
      <c r="AH1498" s="82"/>
      <c r="AI1498" s="82"/>
      <c r="AJ1498" s="82"/>
      <c r="AK1498" s="82"/>
      <c r="AL1498" s="82"/>
      <c r="AM1498" s="82"/>
      <c r="AN1498" s="82">
        <f>IFERROR(__xludf.DUMMYFUNCTION("""COMPUTED_VALUE"""),0.0)</f>
        <v>0</v>
      </c>
      <c r="AO1498" s="82">
        <f>IFERROR(__xludf.DUMMYFUNCTION("""COMPUTED_VALUE"""),0.0)</f>
        <v>0</v>
      </c>
      <c r="AP1498" s="82">
        <f>IFERROR(__xludf.DUMMYFUNCTION("""COMPUTED_VALUE"""),0.0)</f>
        <v>0</v>
      </c>
      <c r="AQ1498" s="82">
        <f>IFERROR(__xludf.DUMMYFUNCTION("""COMPUTED_VALUE"""),0.0)</f>
        <v>0</v>
      </c>
      <c r="AR1498" s="82">
        <f>IFERROR(__xludf.DUMMYFUNCTION("""COMPUTED_VALUE"""),0.0)</f>
        <v>0</v>
      </c>
      <c r="AS1498" s="82"/>
      <c r="AT1498" s="82">
        <f>IFERROR(__xludf.DUMMYFUNCTION("""COMPUTED_VALUE"""),0.0)</f>
        <v>0</v>
      </c>
      <c r="AU1498" s="82"/>
      <c r="AV1498" s="82"/>
      <c r="AW1498" s="82" t="str">
        <f t="shared" si="1"/>
        <v/>
      </c>
      <c r="AX1498" s="83" t="str">
        <f t="array" ref="AX1498">IFERROR(DGET('SBV Import'!A:G,"SBV",{"RSC ID","Tier";B1498,A1498}))</f>
        <v/>
      </c>
      <c r="AY1498" s="82" t="str">
        <f t="shared" si="2"/>
        <v/>
      </c>
      <c r="AZ1498" s="82"/>
      <c r="BA1498" s="84" t="s">
        <v>152</v>
      </c>
      <c r="BB1498" s="84" t="str">
        <f>IFERROR(__xludf.DUMMYFUNCTION("iferror(if(A1498="""",,E1498&gt;=FILTER(Constants!$F$2:$F$10,Constants!$A$2:$A$10=A1498)))"),"")</f>
        <v/>
      </c>
    </row>
    <row r="1499">
      <c r="A1499" s="89"/>
      <c r="B1499" s="87"/>
      <c r="C1499" s="73"/>
      <c r="D1499" s="73"/>
      <c r="E1499" s="82"/>
      <c r="F1499" s="82"/>
      <c r="G1499" s="86"/>
      <c r="H1499" s="86"/>
      <c r="I1499" s="86"/>
      <c r="J1499" s="82"/>
      <c r="K1499" s="82"/>
      <c r="L1499" s="82"/>
      <c r="M1499" s="82"/>
      <c r="N1499" s="82"/>
      <c r="O1499" s="82"/>
      <c r="P1499" s="82"/>
      <c r="Q1499" s="82"/>
      <c r="R1499" s="82"/>
      <c r="S1499" s="82"/>
      <c r="T1499" s="82"/>
      <c r="U1499" s="82"/>
      <c r="V1499" s="82"/>
      <c r="W1499" s="82"/>
      <c r="X1499" s="82"/>
      <c r="Y1499" s="82"/>
      <c r="Z1499" s="82"/>
      <c r="AA1499" s="82"/>
      <c r="AB1499" s="82"/>
      <c r="AC1499" s="82"/>
      <c r="AD1499" s="82"/>
      <c r="AE1499" s="82"/>
      <c r="AF1499" s="82"/>
      <c r="AG1499" s="82"/>
      <c r="AH1499" s="82"/>
      <c r="AI1499" s="82"/>
      <c r="AJ1499" s="82"/>
      <c r="AK1499" s="82"/>
      <c r="AL1499" s="82"/>
      <c r="AM1499" s="82"/>
      <c r="AN1499" s="82"/>
      <c r="AO1499" s="82"/>
      <c r="AP1499" s="82"/>
      <c r="AQ1499" s="82"/>
      <c r="AR1499" s="82"/>
      <c r="AS1499" s="82"/>
      <c r="AT1499" s="82"/>
      <c r="AU1499" s="82"/>
      <c r="AV1499" s="82"/>
      <c r="AW1499" s="82" t="str">
        <f t="shared" si="1"/>
        <v/>
      </c>
      <c r="AX1499" s="83" t="str">
        <f t="array" ref="AX1499">IFERROR(DGET('SBV Import'!A:G,"SBV",{"RSC ID","Tier";B1499,A1499}))</f>
        <v/>
      </c>
      <c r="AY1499" s="82" t="str">
        <f t="shared" si="2"/>
        <v/>
      </c>
      <c r="AZ1499" s="82"/>
      <c r="BA1499" s="84" t="s">
        <v>152</v>
      </c>
      <c r="BB1499" s="84" t="str">
        <f>IFERROR(__xludf.DUMMYFUNCTION("iferror(if(A1499="""",,E1499&gt;=FILTER(Constants!$F$2:$F$10,Constants!$A$2:$A$10=A1499)))"),"")</f>
        <v/>
      </c>
    </row>
    <row r="1500">
      <c r="A1500" s="90"/>
      <c r="B1500" s="87"/>
      <c r="C1500" s="73"/>
      <c r="D1500" s="73"/>
      <c r="E1500" s="82"/>
      <c r="F1500" s="82"/>
      <c r="G1500" s="86"/>
      <c r="H1500" s="86"/>
      <c r="I1500" s="86"/>
      <c r="J1500" s="82"/>
      <c r="K1500" s="82"/>
      <c r="L1500" s="82"/>
      <c r="M1500" s="82"/>
      <c r="N1500" s="82"/>
      <c r="O1500" s="82"/>
      <c r="P1500" s="82"/>
      <c r="Q1500" s="82"/>
      <c r="R1500" s="82"/>
      <c r="S1500" s="82"/>
      <c r="T1500" s="82"/>
      <c r="U1500" s="82"/>
      <c r="V1500" s="82"/>
      <c r="W1500" s="82"/>
      <c r="X1500" s="82"/>
      <c r="Y1500" s="82"/>
      <c r="Z1500" s="82"/>
      <c r="AA1500" s="82"/>
      <c r="AB1500" s="82"/>
      <c r="AC1500" s="82"/>
      <c r="AD1500" s="82"/>
      <c r="AE1500" s="82"/>
      <c r="AF1500" s="82"/>
      <c r="AG1500" s="82"/>
      <c r="AH1500" s="82"/>
      <c r="AI1500" s="82"/>
      <c r="AJ1500" s="82"/>
      <c r="AK1500" s="82"/>
      <c r="AL1500" s="82"/>
      <c r="AM1500" s="82"/>
      <c r="AN1500" s="82"/>
      <c r="AO1500" s="82"/>
      <c r="AP1500" s="82"/>
      <c r="AQ1500" s="82"/>
      <c r="AR1500" s="82"/>
      <c r="AS1500" s="82"/>
      <c r="AT1500" s="82"/>
      <c r="AU1500" s="82"/>
      <c r="AV1500" s="82"/>
      <c r="AW1500" s="82" t="str">
        <f t="shared" si="1"/>
        <v/>
      </c>
      <c r="AX1500" s="83" t="str">
        <f t="array" ref="AX1500">IFERROR(DGET('SBV Import'!A:G,"SBV",{"RSC ID","Tier";B1500,A1500}))</f>
        <v/>
      </c>
      <c r="AY1500" s="82" t="str">
        <f t="shared" si="2"/>
        <v/>
      </c>
      <c r="AZ1500" s="82"/>
      <c r="BA1500" s="84" t="s">
        <v>152</v>
      </c>
      <c r="BB1500" s="84" t="str">
        <f>IFERROR(__xludf.DUMMYFUNCTION("iferror(if(A1500="""",,E1500&gt;=FILTER(Constants!$F$2:$F$10,Constants!$A$2:$A$10=A1500)))"),"")</f>
        <v/>
      </c>
    </row>
    <row r="1501">
      <c r="A1501" s="89"/>
      <c r="B1501" s="87"/>
      <c r="C1501" s="73"/>
      <c r="D1501" s="73"/>
      <c r="E1501" s="82"/>
      <c r="F1501" s="82"/>
      <c r="G1501" s="86"/>
      <c r="H1501" s="86"/>
      <c r="I1501" s="86"/>
      <c r="J1501" s="82"/>
      <c r="K1501" s="82"/>
      <c r="L1501" s="82"/>
      <c r="M1501" s="82"/>
      <c r="N1501" s="82"/>
      <c r="O1501" s="82"/>
      <c r="P1501" s="82"/>
      <c r="Q1501" s="82"/>
      <c r="R1501" s="82"/>
      <c r="S1501" s="82"/>
      <c r="T1501" s="82"/>
      <c r="U1501" s="82"/>
      <c r="V1501" s="82"/>
      <c r="W1501" s="82"/>
      <c r="X1501" s="82"/>
      <c r="Y1501" s="82"/>
      <c r="Z1501" s="82"/>
      <c r="AA1501" s="82"/>
      <c r="AB1501" s="82"/>
      <c r="AC1501" s="82"/>
      <c r="AD1501" s="82"/>
      <c r="AE1501" s="82"/>
      <c r="AF1501" s="82"/>
      <c r="AG1501" s="82"/>
      <c r="AH1501" s="82"/>
      <c r="AI1501" s="82"/>
      <c r="AJ1501" s="82"/>
      <c r="AK1501" s="82"/>
      <c r="AL1501" s="82"/>
      <c r="AM1501" s="82"/>
      <c r="AN1501" s="82"/>
      <c r="AO1501" s="82"/>
      <c r="AP1501" s="82"/>
      <c r="AQ1501" s="82"/>
      <c r="AR1501" s="82"/>
      <c r="AS1501" s="82"/>
      <c r="AT1501" s="82"/>
      <c r="AU1501" s="82"/>
      <c r="AV1501" s="82"/>
      <c r="AW1501" s="82" t="str">
        <f t="shared" si="1"/>
        <v/>
      </c>
      <c r="AX1501" s="83" t="str">
        <f t="array" ref="AX1501">IFERROR(DGET('SBV Import'!A:G,"SBV",{"RSC ID","Tier";B1501,A1501}))</f>
        <v/>
      </c>
      <c r="AY1501" s="82" t="str">
        <f t="shared" si="2"/>
        <v/>
      </c>
      <c r="AZ1501" s="82"/>
      <c r="BA1501" s="84" t="s">
        <v>152</v>
      </c>
      <c r="BB1501" s="84" t="str">
        <f>IFERROR(__xludf.DUMMYFUNCTION("iferror(if(A1501="""",,E1501&gt;=FILTER(Constants!$F$2:$F$10,Constants!$A$2:$A$10=A1501)))"),"")</f>
        <v/>
      </c>
    </row>
    <row r="1502">
      <c r="A1502" s="89"/>
      <c r="B1502" s="87"/>
      <c r="C1502" s="73"/>
      <c r="D1502" s="73"/>
      <c r="E1502" s="82"/>
      <c r="F1502" s="82"/>
      <c r="G1502" s="86"/>
      <c r="H1502" s="86"/>
      <c r="I1502" s="86"/>
      <c r="J1502" s="82"/>
      <c r="K1502" s="82"/>
      <c r="L1502" s="82"/>
      <c r="M1502" s="82"/>
      <c r="N1502" s="82"/>
      <c r="O1502" s="82"/>
      <c r="P1502" s="82"/>
      <c r="Q1502" s="82"/>
      <c r="R1502" s="82"/>
      <c r="S1502" s="82"/>
      <c r="T1502" s="82"/>
      <c r="U1502" s="82"/>
      <c r="V1502" s="82"/>
      <c r="W1502" s="82"/>
      <c r="X1502" s="82"/>
      <c r="Y1502" s="82"/>
      <c r="Z1502" s="82"/>
      <c r="AA1502" s="82"/>
      <c r="AB1502" s="82"/>
      <c r="AC1502" s="82"/>
      <c r="AD1502" s="82"/>
      <c r="AE1502" s="82"/>
      <c r="AF1502" s="82"/>
      <c r="AG1502" s="82"/>
      <c r="AH1502" s="82"/>
      <c r="AI1502" s="82"/>
      <c r="AJ1502" s="82"/>
      <c r="AK1502" s="82"/>
      <c r="AL1502" s="82"/>
      <c r="AM1502" s="82"/>
      <c r="AN1502" s="82"/>
      <c r="AO1502" s="82"/>
      <c r="AP1502" s="82"/>
      <c r="AQ1502" s="82"/>
      <c r="AR1502" s="82"/>
      <c r="AS1502" s="82"/>
      <c r="AT1502" s="82"/>
      <c r="AU1502" s="82"/>
      <c r="AV1502" s="82"/>
      <c r="AW1502" s="82" t="str">
        <f t="shared" si="1"/>
        <v/>
      </c>
      <c r="AX1502" s="83" t="str">
        <f t="array" ref="AX1502">IFERROR(DGET('SBV Import'!A:G,"SBV",{"RSC ID","Tier";B1502,A1502}))</f>
        <v/>
      </c>
      <c r="AY1502" s="82" t="str">
        <f t="shared" si="2"/>
        <v/>
      </c>
      <c r="AZ1502" s="82"/>
      <c r="BA1502" s="84" t="s">
        <v>152</v>
      </c>
      <c r="BB1502" s="84" t="str">
        <f>IFERROR(__xludf.DUMMYFUNCTION("iferror(if(A1502="""",,E1502&gt;=FILTER(Constants!$F$2:$F$10,Constants!$A$2:$A$10=A1502)))"),"")</f>
        <v/>
      </c>
    </row>
    <row r="1503">
      <c r="A1503" s="89"/>
      <c r="B1503" s="87"/>
      <c r="C1503" s="73"/>
      <c r="D1503" s="73"/>
      <c r="E1503" s="82"/>
      <c r="F1503" s="82"/>
      <c r="G1503" s="86"/>
      <c r="H1503" s="86"/>
      <c r="I1503" s="86"/>
      <c r="J1503" s="82"/>
      <c r="K1503" s="82"/>
      <c r="L1503" s="82"/>
      <c r="M1503" s="82"/>
      <c r="N1503" s="82"/>
      <c r="O1503" s="82"/>
      <c r="P1503" s="82"/>
      <c r="Q1503" s="82"/>
      <c r="R1503" s="82"/>
      <c r="S1503" s="82"/>
      <c r="T1503" s="82"/>
      <c r="U1503" s="82"/>
      <c r="V1503" s="82"/>
      <c r="W1503" s="82"/>
      <c r="X1503" s="82"/>
      <c r="Y1503" s="82"/>
      <c r="Z1503" s="82"/>
      <c r="AA1503" s="82"/>
      <c r="AB1503" s="82"/>
      <c r="AC1503" s="82"/>
      <c r="AD1503" s="82"/>
      <c r="AE1503" s="82"/>
      <c r="AF1503" s="82"/>
      <c r="AG1503" s="82"/>
      <c r="AH1503" s="82"/>
      <c r="AI1503" s="82"/>
      <c r="AJ1503" s="82"/>
      <c r="AK1503" s="82"/>
      <c r="AL1503" s="82"/>
      <c r="AM1503" s="82"/>
      <c r="AN1503" s="82"/>
      <c r="AO1503" s="82"/>
      <c r="AP1503" s="82"/>
      <c r="AQ1503" s="82"/>
      <c r="AR1503" s="82"/>
      <c r="AS1503" s="82"/>
      <c r="AT1503" s="82"/>
      <c r="AU1503" s="82"/>
      <c r="AV1503" s="82"/>
      <c r="AW1503" s="82" t="str">
        <f t="shared" si="1"/>
        <v/>
      </c>
      <c r="AX1503" s="83" t="str">
        <f t="array" ref="AX1503">IFERROR(DGET('SBV Import'!A:G,"SBV",{"RSC ID","Tier";B1503,A1503}))</f>
        <v/>
      </c>
      <c r="AY1503" s="82" t="str">
        <f t="shared" si="2"/>
        <v/>
      </c>
      <c r="AZ1503" s="82"/>
      <c r="BA1503" s="84" t="s">
        <v>152</v>
      </c>
      <c r="BB1503" s="84" t="str">
        <f>IFERROR(__xludf.DUMMYFUNCTION("iferror(if(A1503="""",,E1503&gt;=FILTER(Constants!$F$2:$F$10,Constants!$A$2:$A$10=A1503)))"),"")</f>
        <v/>
      </c>
    </row>
    <row r="1504">
      <c r="A1504" s="89"/>
      <c r="B1504" s="87"/>
      <c r="C1504" s="73"/>
      <c r="D1504" s="73"/>
      <c r="E1504" s="82"/>
      <c r="F1504" s="82"/>
      <c r="G1504" s="86"/>
      <c r="H1504" s="86"/>
      <c r="I1504" s="86"/>
      <c r="J1504" s="82"/>
      <c r="K1504" s="82"/>
      <c r="L1504" s="82"/>
      <c r="M1504" s="82"/>
      <c r="N1504" s="82"/>
      <c r="O1504" s="82"/>
      <c r="P1504" s="82"/>
      <c r="Q1504" s="82"/>
      <c r="R1504" s="82"/>
      <c r="S1504" s="82"/>
      <c r="T1504" s="82"/>
      <c r="U1504" s="82"/>
      <c r="V1504" s="82"/>
      <c r="W1504" s="82"/>
      <c r="X1504" s="82"/>
      <c r="Y1504" s="82"/>
      <c r="Z1504" s="82"/>
      <c r="AA1504" s="82"/>
      <c r="AB1504" s="82"/>
      <c r="AC1504" s="82"/>
      <c r="AD1504" s="82"/>
      <c r="AE1504" s="82"/>
      <c r="AF1504" s="82"/>
      <c r="AG1504" s="82"/>
      <c r="AH1504" s="82"/>
      <c r="AI1504" s="82"/>
      <c r="AJ1504" s="82"/>
      <c r="AK1504" s="82"/>
      <c r="AL1504" s="82"/>
      <c r="AM1504" s="82"/>
      <c r="AN1504" s="82"/>
      <c r="AO1504" s="82"/>
      <c r="AP1504" s="82"/>
      <c r="AQ1504" s="82"/>
      <c r="AR1504" s="82"/>
      <c r="AS1504" s="82"/>
      <c r="AT1504" s="82"/>
      <c r="AU1504" s="82"/>
      <c r="AV1504" s="82"/>
      <c r="AW1504" s="82" t="str">
        <f t="shared" si="1"/>
        <v/>
      </c>
      <c r="AX1504" s="83" t="str">
        <f t="array" ref="AX1504">IFERROR(DGET('SBV Import'!A:G,"SBV",{"RSC ID","Tier";B1504,A1504}))</f>
        <v/>
      </c>
      <c r="AY1504" s="82" t="str">
        <f t="shared" si="2"/>
        <v/>
      </c>
      <c r="AZ1504" s="82"/>
      <c r="BA1504" s="84" t="s">
        <v>152</v>
      </c>
      <c r="BB1504" s="84" t="str">
        <f>IFERROR(__xludf.DUMMYFUNCTION("iferror(if(A1504="""",,E1504&gt;=FILTER(Constants!$F$2:$F$10,Constants!$A$2:$A$10=A1504)))"),"")</f>
        <v/>
      </c>
    </row>
    <row r="1505">
      <c r="A1505" s="89"/>
      <c r="B1505" s="87"/>
      <c r="C1505" s="73"/>
      <c r="D1505" s="73"/>
      <c r="E1505" s="82"/>
      <c r="F1505" s="82"/>
      <c r="G1505" s="86"/>
      <c r="H1505" s="86"/>
      <c r="I1505" s="86"/>
      <c r="J1505" s="82"/>
      <c r="K1505" s="82"/>
      <c r="L1505" s="82"/>
      <c r="M1505" s="82"/>
      <c r="N1505" s="82"/>
      <c r="O1505" s="82"/>
      <c r="P1505" s="82"/>
      <c r="Q1505" s="82"/>
      <c r="R1505" s="82"/>
      <c r="S1505" s="82"/>
      <c r="T1505" s="82"/>
      <c r="U1505" s="82"/>
      <c r="V1505" s="82"/>
      <c r="W1505" s="82"/>
      <c r="X1505" s="82"/>
      <c r="Y1505" s="82"/>
      <c r="Z1505" s="82"/>
      <c r="AA1505" s="82"/>
      <c r="AB1505" s="82"/>
      <c r="AC1505" s="82"/>
      <c r="AD1505" s="82"/>
      <c r="AE1505" s="82"/>
      <c r="AF1505" s="82"/>
      <c r="AG1505" s="82"/>
      <c r="AH1505" s="82"/>
      <c r="AI1505" s="82"/>
      <c r="AJ1505" s="82"/>
      <c r="AK1505" s="82"/>
      <c r="AL1505" s="82"/>
      <c r="AM1505" s="82"/>
      <c r="AN1505" s="82"/>
      <c r="AO1505" s="82"/>
      <c r="AP1505" s="82"/>
      <c r="AQ1505" s="82"/>
      <c r="AR1505" s="82"/>
      <c r="AS1505" s="82"/>
      <c r="AT1505" s="82"/>
      <c r="AU1505" s="82"/>
      <c r="AV1505" s="82"/>
      <c r="AW1505" s="82" t="str">
        <f t="shared" si="1"/>
        <v/>
      </c>
      <c r="AX1505" s="83" t="str">
        <f t="array" ref="AX1505">IFERROR(DGET('SBV Import'!A:G,"SBV",{"RSC ID","Tier";B1505,A1505}))</f>
        <v/>
      </c>
      <c r="AY1505" s="82" t="str">
        <f t="shared" si="2"/>
        <v/>
      </c>
      <c r="AZ1505" s="82"/>
      <c r="BA1505" s="84" t="s">
        <v>152</v>
      </c>
      <c r="BB1505" s="84" t="str">
        <f>IFERROR(__xludf.DUMMYFUNCTION("iferror(if(A1505="""",,E1505&gt;=FILTER(Constants!$F$2:$F$10,Constants!$A$2:$A$10=A1505)))"),"")</f>
        <v/>
      </c>
    </row>
    <row r="1506">
      <c r="A1506" s="89"/>
      <c r="B1506" s="87"/>
      <c r="C1506" s="73"/>
      <c r="D1506" s="73"/>
      <c r="E1506" s="82"/>
      <c r="F1506" s="82"/>
      <c r="G1506" s="86"/>
      <c r="H1506" s="86"/>
      <c r="I1506" s="86"/>
      <c r="J1506" s="82"/>
      <c r="K1506" s="82"/>
      <c r="L1506" s="82"/>
      <c r="M1506" s="82"/>
      <c r="N1506" s="82"/>
      <c r="O1506" s="82"/>
      <c r="P1506" s="82"/>
      <c r="Q1506" s="82"/>
      <c r="R1506" s="82"/>
      <c r="S1506" s="82"/>
      <c r="T1506" s="82"/>
      <c r="U1506" s="82"/>
      <c r="V1506" s="82"/>
      <c r="W1506" s="82"/>
      <c r="X1506" s="82"/>
      <c r="Y1506" s="82"/>
      <c r="Z1506" s="82"/>
      <c r="AA1506" s="82"/>
      <c r="AB1506" s="82"/>
      <c r="AC1506" s="82"/>
      <c r="AD1506" s="82"/>
      <c r="AE1506" s="82"/>
      <c r="AF1506" s="82"/>
      <c r="AG1506" s="82"/>
      <c r="AH1506" s="82"/>
      <c r="AI1506" s="82"/>
      <c r="AJ1506" s="82"/>
      <c r="AK1506" s="82"/>
      <c r="AL1506" s="82"/>
      <c r="AM1506" s="82"/>
      <c r="AN1506" s="82"/>
      <c r="AO1506" s="82"/>
      <c r="AP1506" s="82"/>
      <c r="AQ1506" s="82"/>
      <c r="AR1506" s="82"/>
      <c r="AS1506" s="82"/>
      <c r="AT1506" s="82"/>
      <c r="AU1506" s="82"/>
      <c r="AV1506" s="82"/>
      <c r="AW1506" s="82" t="str">
        <f t="shared" si="1"/>
        <v/>
      </c>
      <c r="AX1506" s="83" t="str">
        <f t="array" ref="AX1506">IFERROR(DGET('SBV Import'!A:G,"SBV",{"RSC ID","Tier";B1506,A1506}))</f>
        <v/>
      </c>
      <c r="AY1506" s="82" t="str">
        <f t="shared" si="2"/>
        <v/>
      </c>
      <c r="AZ1506" s="82"/>
      <c r="BA1506" s="84" t="s">
        <v>152</v>
      </c>
      <c r="BB1506" s="84" t="str">
        <f>IFERROR(__xludf.DUMMYFUNCTION("iferror(if(A1506="""",,E1506&gt;=FILTER(Constants!$F$2:$F$10,Constants!$A$2:$A$10=A1506)))"),"")</f>
        <v/>
      </c>
    </row>
    <row r="1507">
      <c r="A1507" s="89"/>
      <c r="B1507" s="87"/>
      <c r="C1507" s="73"/>
      <c r="D1507" s="73"/>
      <c r="E1507" s="82"/>
      <c r="F1507" s="82"/>
      <c r="G1507" s="86"/>
      <c r="H1507" s="86"/>
      <c r="I1507" s="86"/>
      <c r="J1507" s="82"/>
      <c r="K1507" s="82"/>
      <c r="L1507" s="82"/>
      <c r="M1507" s="82"/>
      <c r="N1507" s="82"/>
      <c r="O1507" s="82"/>
      <c r="P1507" s="82"/>
      <c r="Q1507" s="82"/>
      <c r="R1507" s="82"/>
      <c r="S1507" s="82"/>
      <c r="T1507" s="82"/>
      <c r="U1507" s="82"/>
      <c r="V1507" s="82"/>
      <c r="W1507" s="82"/>
      <c r="X1507" s="82"/>
      <c r="Y1507" s="82"/>
      <c r="Z1507" s="82"/>
      <c r="AA1507" s="82"/>
      <c r="AB1507" s="82"/>
      <c r="AC1507" s="82"/>
      <c r="AD1507" s="82"/>
      <c r="AE1507" s="82"/>
      <c r="AF1507" s="82"/>
      <c r="AG1507" s="82"/>
      <c r="AH1507" s="82"/>
      <c r="AI1507" s="82"/>
      <c r="AJ1507" s="82"/>
      <c r="AK1507" s="82"/>
      <c r="AL1507" s="82"/>
      <c r="AM1507" s="82"/>
      <c r="AN1507" s="82"/>
      <c r="AO1507" s="82"/>
      <c r="AP1507" s="82"/>
      <c r="AQ1507" s="82"/>
      <c r="AR1507" s="82"/>
      <c r="AS1507" s="82"/>
      <c r="AT1507" s="82"/>
      <c r="AU1507" s="82"/>
      <c r="AV1507" s="82"/>
      <c r="AW1507" s="82" t="str">
        <f t="shared" si="1"/>
        <v/>
      </c>
      <c r="AX1507" s="83" t="str">
        <f t="array" ref="AX1507">IFERROR(DGET('SBV Import'!A:G,"SBV",{"RSC ID","Tier";B1507,A1507}))</f>
        <v/>
      </c>
      <c r="AY1507" s="82" t="str">
        <f t="shared" si="2"/>
        <v/>
      </c>
      <c r="AZ1507" s="82"/>
      <c r="BA1507" s="84" t="s">
        <v>152</v>
      </c>
      <c r="BB1507" s="84" t="str">
        <f>IFERROR(__xludf.DUMMYFUNCTION("iferror(if(A1507="""",,E1507&gt;=FILTER(Constants!$F$2:$F$10,Constants!$A$2:$A$10=A1507)))"),"")</f>
        <v/>
      </c>
    </row>
    <row r="1508">
      <c r="A1508" s="89"/>
      <c r="B1508" s="87"/>
      <c r="C1508" s="73"/>
      <c r="D1508" s="73"/>
      <c r="E1508" s="82"/>
      <c r="F1508" s="82"/>
      <c r="G1508" s="86"/>
      <c r="H1508" s="86"/>
      <c r="I1508" s="86"/>
      <c r="J1508" s="82"/>
      <c r="K1508" s="82"/>
      <c r="L1508" s="82"/>
      <c r="M1508" s="82"/>
      <c r="N1508" s="82"/>
      <c r="O1508" s="82"/>
      <c r="P1508" s="82"/>
      <c r="Q1508" s="82"/>
      <c r="R1508" s="82"/>
      <c r="S1508" s="82"/>
      <c r="T1508" s="82"/>
      <c r="U1508" s="82"/>
      <c r="V1508" s="82"/>
      <c r="W1508" s="82"/>
      <c r="X1508" s="82"/>
      <c r="Y1508" s="82"/>
      <c r="Z1508" s="82"/>
      <c r="AA1508" s="82"/>
      <c r="AB1508" s="82"/>
      <c r="AC1508" s="82"/>
      <c r="AD1508" s="82"/>
      <c r="AE1508" s="82"/>
      <c r="AF1508" s="82"/>
      <c r="AG1508" s="82"/>
      <c r="AH1508" s="82"/>
      <c r="AI1508" s="82"/>
      <c r="AJ1508" s="82"/>
      <c r="AK1508" s="82"/>
      <c r="AL1508" s="82"/>
      <c r="AM1508" s="82"/>
      <c r="AN1508" s="82"/>
      <c r="AO1508" s="82"/>
      <c r="AP1508" s="82"/>
      <c r="AQ1508" s="82"/>
      <c r="AR1508" s="82"/>
      <c r="AS1508" s="82"/>
      <c r="AT1508" s="82"/>
      <c r="AU1508" s="82"/>
      <c r="AV1508" s="82"/>
      <c r="AW1508" s="82" t="str">
        <f t="shared" si="1"/>
        <v/>
      </c>
      <c r="AX1508" s="83" t="str">
        <f t="array" ref="AX1508">IFERROR(DGET('SBV Import'!A:G,"SBV",{"RSC ID","Tier";B1508,A1508}))</f>
        <v/>
      </c>
      <c r="AY1508" s="82" t="str">
        <f t="shared" si="2"/>
        <v/>
      </c>
      <c r="AZ1508" s="82"/>
      <c r="BA1508" s="84" t="s">
        <v>152</v>
      </c>
      <c r="BB1508" s="84" t="str">
        <f>IFERROR(__xludf.DUMMYFUNCTION("iferror(if(A1508="""",,E1508&gt;=FILTER(Constants!$F$2:$F$10,Constants!$A$2:$A$10=A1508)))"),"")</f>
        <v/>
      </c>
    </row>
    <row r="1509">
      <c r="A1509" s="89"/>
      <c r="B1509" s="87"/>
      <c r="C1509" s="73"/>
      <c r="D1509" s="73"/>
      <c r="E1509" s="82"/>
      <c r="F1509" s="82"/>
      <c r="G1509" s="86"/>
      <c r="H1509" s="86"/>
      <c r="I1509" s="86"/>
      <c r="J1509" s="82"/>
      <c r="K1509" s="82"/>
      <c r="L1509" s="82"/>
      <c r="M1509" s="82"/>
      <c r="N1509" s="82"/>
      <c r="O1509" s="82"/>
      <c r="P1509" s="82"/>
      <c r="Q1509" s="82"/>
      <c r="R1509" s="82"/>
      <c r="S1509" s="82"/>
      <c r="T1509" s="82"/>
      <c r="U1509" s="82"/>
      <c r="V1509" s="82"/>
      <c r="W1509" s="82"/>
      <c r="X1509" s="82"/>
      <c r="Y1509" s="82"/>
      <c r="Z1509" s="82"/>
      <c r="AA1509" s="82"/>
      <c r="AB1509" s="82"/>
      <c r="AC1509" s="82"/>
      <c r="AD1509" s="82"/>
      <c r="AE1509" s="82"/>
      <c r="AF1509" s="82"/>
      <c r="AG1509" s="82"/>
      <c r="AH1509" s="82"/>
      <c r="AI1509" s="82"/>
      <c r="AJ1509" s="82"/>
      <c r="AK1509" s="82"/>
      <c r="AL1509" s="82"/>
      <c r="AM1509" s="82"/>
      <c r="AN1509" s="82"/>
      <c r="AO1509" s="82"/>
      <c r="AP1509" s="82"/>
      <c r="AQ1509" s="82"/>
      <c r="AR1509" s="82"/>
      <c r="AS1509" s="82"/>
      <c r="AT1509" s="82"/>
      <c r="AU1509" s="82"/>
      <c r="AV1509" s="82"/>
      <c r="AW1509" s="82" t="str">
        <f t="shared" si="1"/>
        <v/>
      </c>
      <c r="AX1509" s="83" t="str">
        <f t="array" ref="AX1509">IFERROR(DGET('SBV Import'!A:G,"SBV",{"RSC ID","Tier";B1509,A1509}))</f>
        <v/>
      </c>
      <c r="AY1509" s="82" t="str">
        <f t="shared" si="2"/>
        <v/>
      </c>
      <c r="AZ1509" s="82"/>
      <c r="BA1509" s="84" t="s">
        <v>152</v>
      </c>
      <c r="BB1509" s="84" t="str">
        <f>IFERROR(__xludf.DUMMYFUNCTION("iferror(if(A1509="""",,E1509&gt;=FILTER(Constants!$F$2:$F$10,Constants!$A$2:$A$10=A1509)))"),"")</f>
        <v/>
      </c>
    </row>
    <row r="1510">
      <c r="A1510" s="89"/>
      <c r="B1510" s="87"/>
      <c r="C1510" s="73"/>
      <c r="D1510" s="73"/>
      <c r="E1510" s="82"/>
      <c r="F1510" s="82"/>
      <c r="G1510" s="86"/>
      <c r="H1510" s="86"/>
      <c r="I1510" s="86"/>
      <c r="J1510" s="82"/>
      <c r="K1510" s="82"/>
      <c r="L1510" s="82"/>
      <c r="M1510" s="82"/>
      <c r="N1510" s="82"/>
      <c r="O1510" s="82"/>
      <c r="P1510" s="82"/>
      <c r="Q1510" s="82"/>
      <c r="R1510" s="82"/>
      <c r="S1510" s="82"/>
      <c r="T1510" s="82"/>
      <c r="U1510" s="82"/>
      <c r="V1510" s="82"/>
      <c r="W1510" s="82"/>
      <c r="X1510" s="82"/>
      <c r="Y1510" s="82"/>
      <c r="Z1510" s="82"/>
      <c r="AA1510" s="82"/>
      <c r="AB1510" s="82"/>
      <c r="AC1510" s="82"/>
      <c r="AD1510" s="82"/>
      <c r="AE1510" s="82"/>
      <c r="AF1510" s="82"/>
      <c r="AG1510" s="82"/>
      <c r="AH1510" s="82"/>
      <c r="AI1510" s="82"/>
      <c r="AJ1510" s="82"/>
      <c r="AK1510" s="82"/>
      <c r="AL1510" s="82"/>
      <c r="AM1510" s="82"/>
      <c r="AN1510" s="82"/>
      <c r="AO1510" s="82"/>
      <c r="AP1510" s="82"/>
      <c r="AQ1510" s="82"/>
      <c r="AR1510" s="82"/>
      <c r="AS1510" s="82"/>
      <c r="AT1510" s="82"/>
      <c r="AU1510" s="82"/>
      <c r="AV1510" s="82"/>
      <c r="AW1510" s="82" t="str">
        <f t="shared" si="1"/>
        <v/>
      </c>
      <c r="AX1510" s="83" t="str">
        <f t="array" ref="AX1510">IFERROR(DGET('SBV Import'!A:G,"SBV",{"RSC ID","Tier";B1510,A1510}))</f>
        <v/>
      </c>
      <c r="AY1510" s="82" t="str">
        <f t="shared" si="2"/>
        <v/>
      </c>
      <c r="AZ1510" s="82"/>
      <c r="BA1510" s="84" t="s">
        <v>152</v>
      </c>
      <c r="BB1510" s="84" t="str">
        <f>IFERROR(__xludf.DUMMYFUNCTION("iferror(if(A1510="""",,E1510&gt;=FILTER(Constants!$F$2:$F$10,Constants!$A$2:$A$10=A1510)))"),"")</f>
        <v/>
      </c>
    </row>
    <row r="1511">
      <c r="A1511" s="89"/>
      <c r="B1511" s="87"/>
      <c r="C1511" s="73"/>
      <c r="D1511" s="73"/>
      <c r="E1511" s="82"/>
      <c r="F1511" s="82"/>
      <c r="G1511" s="86"/>
      <c r="H1511" s="86"/>
      <c r="I1511" s="86"/>
      <c r="J1511" s="82"/>
      <c r="K1511" s="82"/>
      <c r="L1511" s="82"/>
      <c r="M1511" s="82"/>
      <c r="N1511" s="82"/>
      <c r="O1511" s="82"/>
      <c r="P1511" s="82"/>
      <c r="Q1511" s="82"/>
      <c r="R1511" s="82"/>
      <c r="S1511" s="82"/>
      <c r="T1511" s="82"/>
      <c r="U1511" s="82"/>
      <c r="V1511" s="82"/>
      <c r="W1511" s="82"/>
      <c r="X1511" s="82"/>
      <c r="Y1511" s="82"/>
      <c r="Z1511" s="82"/>
      <c r="AA1511" s="82"/>
      <c r="AB1511" s="82"/>
      <c r="AC1511" s="82"/>
      <c r="AD1511" s="82"/>
      <c r="AE1511" s="82"/>
      <c r="AF1511" s="82"/>
      <c r="AG1511" s="82"/>
      <c r="AH1511" s="82"/>
      <c r="AI1511" s="82"/>
      <c r="AJ1511" s="82"/>
      <c r="AK1511" s="82"/>
      <c r="AL1511" s="82"/>
      <c r="AM1511" s="82"/>
      <c r="AN1511" s="82"/>
      <c r="AO1511" s="82"/>
      <c r="AP1511" s="82"/>
      <c r="AQ1511" s="82"/>
      <c r="AR1511" s="82"/>
      <c r="AS1511" s="82"/>
      <c r="AT1511" s="82"/>
      <c r="AU1511" s="82"/>
      <c r="AV1511" s="82"/>
      <c r="AW1511" s="82" t="str">
        <f t="shared" si="1"/>
        <v/>
      </c>
      <c r="AX1511" s="83" t="str">
        <f t="array" ref="AX1511">IFERROR(DGET('SBV Import'!A:G,"SBV",{"RSC ID","Tier";B1511,A1511}))</f>
        <v/>
      </c>
      <c r="AY1511" s="82" t="str">
        <f t="shared" si="2"/>
        <v/>
      </c>
      <c r="AZ1511" s="82"/>
      <c r="BA1511" s="84" t="s">
        <v>152</v>
      </c>
      <c r="BB1511" s="84" t="str">
        <f>IFERROR(__xludf.DUMMYFUNCTION("iferror(if(A1511="""",,E1511&gt;=FILTER(Constants!$F$2:$F$10,Constants!$A$2:$A$10=A1511)))"),"")</f>
        <v/>
      </c>
    </row>
    <row r="1512">
      <c r="A1512" s="89"/>
      <c r="B1512" s="87"/>
      <c r="C1512" s="73"/>
      <c r="D1512" s="73"/>
      <c r="E1512" s="82"/>
      <c r="F1512" s="82"/>
      <c r="G1512" s="86"/>
      <c r="H1512" s="86"/>
      <c r="I1512" s="86"/>
      <c r="J1512" s="82"/>
      <c r="K1512" s="82"/>
      <c r="L1512" s="82"/>
      <c r="M1512" s="82"/>
      <c r="N1512" s="82"/>
      <c r="O1512" s="82"/>
      <c r="P1512" s="82"/>
      <c r="Q1512" s="82"/>
      <c r="R1512" s="82"/>
      <c r="S1512" s="82"/>
      <c r="T1512" s="82"/>
      <c r="U1512" s="82"/>
      <c r="V1512" s="82"/>
      <c r="W1512" s="82"/>
      <c r="X1512" s="82"/>
      <c r="Y1512" s="82"/>
      <c r="Z1512" s="82"/>
      <c r="AA1512" s="82"/>
      <c r="AB1512" s="82"/>
      <c r="AC1512" s="82"/>
      <c r="AD1512" s="82"/>
      <c r="AE1512" s="82"/>
      <c r="AF1512" s="82"/>
      <c r="AG1512" s="82"/>
      <c r="AH1512" s="82"/>
      <c r="AI1512" s="82"/>
      <c r="AJ1512" s="82"/>
      <c r="AK1512" s="82"/>
      <c r="AL1512" s="82"/>
      <c r="AM1512" s="82"/>
      <c r="AN1512" s="82"/>
      <c r="AO1512" s="82"/>
      <c r="AP1512" s="82"/>
      <c r="AQ1512" s="82"/>
      <c r="AR1512" s="82"/>
      <c r="AS1512" s="82"/>
      <c r="AT1512" s="82"/>
      <c r="AU1512" s="82"/>
      <c r="AV1512" s="82"/>
      <c r="AW1512" s="82" t="str">
        <f t="shared" si="1"/>
        <v/>
      </c>
      <c r="AX1512" s="83" t="str">
        <f t="array" ref="AX1512">IFERROR(DGET('SBV Import'!A:G,"SBV",{"RSC ID","Tier";B1512,A1512}))</f>
        <v/>
      </c>
      <c r="AY1512" s="82" t="str">
        <f t="shared" si="2"/>
        <v/>
      </c>
      <c r="AZ1512" s="82"/>
      <c r="BA1512" s="84" t="s">
        <v>152</v>
      </c>
      <c r="BB1512" s="84" t="str">
        <f>IFERROR(__xludf.DUMMYFUNCTION("iferror(if(A1512="""",,E1512&gt;=FILTER(Constants!$F$2:$F$10,Constants!$A$2:$A$10=A1512)))"),"")</f>
        <v/>
      </c>
    </row>
    <row r="1513">
      <c r="A1513" s="89"/>
      <c r="B1513" s="87"/>
      <c r="C1513" s="73"/>
      <c r="D1513" s="73"/>
      <c r="E1513" s="82"/>
      <c r="F1513" s="82"/>
      <c r="G1513" s="86"/>
      <c r="H1513" s="86"/>
      <c r="I1513" s="86"/>
      <c r="J1513" s="82"/>
      <c r="K1513" s="82"/>
      <c r="L1513" s="82"/>
      <c r="M1513" s="82"/>
      <c r="N1513" s="82"/>
      <c r="O1513" s="82"/>
      <c r="P1513" s="82"/>
      <c r="Q1513" s="82"/>
      <c r="R1513" s="82"/>
      <c r="S1513" s="82"/>
      <c r="T1513" s="82"/>
      <c r="U1513" s="82"/>
      <c r="V1513" s="82"/>
      <c r="W1513" s="82"/>
      <c r="X1513" s="82"/>
      <c r="Y1513" s="82"/>
      <c r="Z1513" s="82"/>
      <c r="AA1513" s="82"/>
      <c r="AB1513" s="82"/>
      <c r="AC1513" s="82"/>
      <c r="AD1513" s="82"/>
      <c r="AE1513" s="82"/>
      <c r="AF1513" s="82"/>
      <c r="AG1513" s="82"/>
      <c r="AH1513" s="82"/>
      <c r="AI1513" s="82"/>
      <c r="AJ1513" s="82"/>
      <c r="AK1513" s="82"/>
      <c r="AL1513" s="82"/>
      <c r="AM1513" s="82"/>
      <c r="AN1513" s="82"/>
      <c r="AO1513" s="82"/>
      <c r="AP1513" s="82"/>
      <c r="AQ1513" s="82"/>
      <c r="AR1513" s="82"/>
      <c r="AS1513" s="82"/>
      <c r="AT1513" s="82"/>
      <c r="AU1513" s="82"/>
      <c r="AV1513" s="82"/>
      <c r="AW1513" s="82" t="str">
        <f t="shared" si="1"/>
        <v/>
      </c>
      <c r="AX1513" s="83" t="str">
        <f t="array" ref="AX1513">IFERROR(DGET('SBV Import'!A:G,"SBV",{"RSC ID","Tier";B1513,A1513}))</f>
        <v/>
      </c>
      <c r="AY1513" s="82" t="str">
        <f t="shared" si="2"/>
        <v/>
      </c>
      <c r="AZ1513" s="82"/>
      <c r="BA1513" s="84" t="s">
        <v>152</v>
      </c>
      <c r="BB1513" s="84" t="str">
        <f>IFERROR(__xludf.DUMMYFUNCTION("iferror(if(A1513="""",,E1513&gt;=FILTER(Constants!$F$2:$F$10,Constants!$A$2:$A$10=A1513)))"),"")</f>
        <v/>
      </c>
    </row>
    <row r="1514">
      <c r="A1514" s="89"/>
      <c r="B1514" s="87"/>
      <c r="C1514" s="73"/>
      <c r="D1514" s="73"/>
      <c r="E1514" s="82"/>
      <c r="F1514" s="82"/>
      <c r="G1514" s="86"/>
      <c r="H1514" s="86"/>
      <c r="I1514" s="86"/>
      <c r="J1514" s="82"/>
      <c r="K1514" s="82"/>
      <c r="L1514" s="82"/>
      <c r="M1514" s="82"/>
      <c r="N1514" s="82"/>
      <c r="O1514" s="82"/>
      <c r="P1514" s="82"/>
      <c r="Q1514" s="82"/>
      <c r="R1514" s="82"/>
      <c r="S1514" s="82"/>
      <c r="T1514" s="82"/>
      <c r="U1514" s="82"/>
      <c r="V1514" s="82"/>
      <c r="W1514" s="82"/>
      <c r="X1514" s="82"/>
      <c r="Y1514" s="82"/>
      <c r="Z1514" s="82"/>
      <c r="AA1514" s="82"/>
      <c r="AB1514" s="82"/>
      <c r="AC1514" s="82"/>
      <c r="AD1514" s="82"/>
      <c r="AE1514" s="82"/>
      <c r="AF1514" s="82"/>
      <c r="AG1514" s="82"/>
      <c r="AH1514" s="82"/>
      <c r="AI1514" s="82"/>
      <c r="AJ1514" s="82"/>
      <c r="AK1514" s="82"/>
      <c r="AL1514" s="82"/>
      <c r="AM1514" s="82"/>
      <c r="AN1514" s="82"/>
      <c r="AO1514" s="82"/>
      <c r="AP1514" s="82"/>
      <c r="AQ1514" s="82"/>
      <c r="AR1514" s="82"/>
      <c r="AS1514" s="82"/>
      <c r="AT1514" s="82"/>
      <c r="AU1514" s="82"/>
      <c r="AV1514" s="82"/>
      <c r="AW1514" s="82" t="str">
        <f t="shared" si="1"/>
        <v/>
      </c>
      <c r="AX1514" s="83" t="str">
        <f t="array" ref="AX1514">IFERROR(DGET('SBV Import'!A:G,"SBV",{"RSC ID","Tier";B1514,A1514}))</f>
        <v/>
      </c>
      <c r="AY1514" s="82" t="str">
        <f t="shared" si="2"/>
        <v/>
      </c>
      <c r="AZ1514" s="82"/>
      <c r="BA1514" s="84" t="s">
        <v>152</v>
      </c>
      <c r="BB1514" s="84" t="str">
        <f>IFERROR(__xludf.DUMMYFUNCTION("iferror(if(A1514="""",,E1514&gt;=FILTER(Constants!$F$2:$F$10,Constants!$A$2:$A$10=A1514)))"),"")</f>
        <v/>
      </c>
    </row>
    <row r="1515">
      <c r="A1515" s="89"/>
      <c r="B1515" s="87"/>
      <c r="C1515" s="73"/>
      <c r="D1515" s="73"/>
      <c r="E1515" s="82"/>
      <c r="F1515" s="82"/>
      <c r="G1515" s="86"/>
      <c r="H1515" s="86"/>
      <c r="I1515" s="86"/>
      <c r="J1515" s="82"/>
      <c r="K1515" s="82"/>
      <c r="L1515" s="82"/>
      <c r="M1515" s="82"/>
      <c r="N1515" s="82"/>
      <c r="O1515" s="82"/>
      <c r="P1515" s="82"/>
      <c r="Q1515" s="82"/>
      <c r="R1515" s="82"/>
      <c r="S1515" s="82"/>
      <c r="T1515" s="82"/>
      <c r="U1515" s="82"/>
      <c r="V1515" s="82"/>
      <c r="W1515" s="82"/>
      <c r="X1515" s="82"/>
      <c r="Y1515" s="82"/>
      <c r="Z1515" s="82"/>
      <c r="AA1515" s="82"/>
      <c r="AB1515" s="82"/>
      <c r="AC1515" s="82"/>
      <c r="AD1515" s="82"/>
      <c r="AE1515" s="82"/>
      <c r="AF1515" s="82"/>
      <c r="AG1515" s="82"/>
      <c r="AH1515" s="82"/>
      <c r="AI1515" s="82"/>
      <c r="AJ1515" s="82"/>
      <c r="AK1515" s="82"/>
      <c r="AL1515" s="82"/>
      <c r="AM1515" s="82"/>
      <c r="AN1515" s="82"/>
      <c r="AO1515" s="82"/>
      <c r="AP1515" s="82"/>
      <c r="AQ1515" s="82"/>
      <c r="AR1515" s="82"/>
      <c r="AS1515" s="82"/>
      <c r="AT1515" s="82"/>
      <c r="AU1515" s="82"/>
      <c r="AV1515" s="82"/>
      <c r="AW1515" s="82" t="str">
        <f t="shared" si="1"/>
        <v/>
      </c>
      <c r="AX1515" s="83" t="str">
        <f t="array" ref="AX1515">IFERROR(DGET('SBV Import'!A:G,"SBV",{"RSC ID","Tier";B1515,A1515}))</f>
        <v/>
      </c>
      <c r="AY1515" s="82" t="str">
        <f t="shared" si="2"/>
        <v/>
      </c>
      <c r="AZ1515" s="82"/>
      <c r="BA1515" s="84" t="s">
        <v>152</v>
      </c>
      <c r="BB1515" s="84" t="str">
        <f>IFERROR(__xludf.DUMMYFUNCTION("iferror(if(A1515="""",,E1515&gt;=FILTER(Constants!$F$2:$F$10,Constants!$A$2:$A$10=A1515)))"),"")</f>
        <v/>
      </c>
    </row>
    <row r="1516">
      <c r="A1516" s="89"/>
      <c r="B1516" s="87"/>
      <c r="C1516" s="73"/>
      <c r="D1516" s="73"/>
      <c r="E1516" s="82"/>
      <c r="F1516" s="82"/>
      <c r="G1516" s="86"/>
      <c r="H1516" s="86"/>
      <c r="I1516" s="86"/>
      <c r="J1516" s="82"/>
      <c r="K1516" s="82"/>
      <c r="L1516" s="82"/>
      <c r="M1516" s="82"/>
      <c r="N1516" s="82"/>
      <c r="O1516" s="82"/>
      <c r="P1516" s="82"/>
      <c r="Q1516" s="82"/>
      <c r="R1516" s="82"/>
      <c r="S1516" s="82"/>
      <c r="T1516" s="82"/>
      <c r="U1516" s="82"/>
      <c r="V1516" s="82"/>
      <c r="W1516" s="82"/>
      <c r="X1516" s="82"/>
      <c r="Y1516" s="82"/>
      <c r="Z1516" s="82"/>
      <c r="AA1516" s="82"/>
      <c r="AB1516" s="82"/>
      <c r="AC1516" s="82"/>
      <c r="AD1516" s="82"/>
      <c r="AE1516" s="82"/>
      <c r="AF1516" s="82"/>
      <c r="AG1516" s="82"/>
      <c r="AH1516" s="82"/>
      <c r="AI1516" s="82"/>
      <c r="AJ1516" s="82"/>
      <c r="AK1516" s="82"/>
      <c r="AL1516" s="82"/>
      <c r="AM1516" s="82"/>
      <c r="AN1516" s="82"/>
      <c r="AO1516" s="82"/>
      <c r="AP1516" s="82"/>
      <c r="AQ1516" s="82"/>
      <c r="AR1516" s="82"/>
      <c r="AS1516" s="82"/>
      <c r="AT1516" s="82"/>
      <c r="AU1516" s="82"/>
      <c r="AV1516" s="82"/>
      <c r="AW1516" s="82" t="str">
        <f t="shared" si="1"/>
        <v/>
      </c>
      <c r="AX1516" s="83" t="str">
        <f t="array" ref="AX1516">IFERROR(DGET('SBV Import'!A:G,"SBV",{"RSC ID","Tier";B1516,A1516}))</f>
        <v/>
      </c>
      <c r="AY1516" s="82" t="str">
        <f t="shared" si="2"/>
        <v/>
      </c>
      <c r="AZ1516" s="82"/>
      <c r="BA1516" s="84" t="s">
        <v>152</v>
      </c>
      <c r="BB1516" s="84" t="str">
        <f>IFERROR(__xludf.DUMMYFUNCTION("iferror(if(A1516="""",,E1516&gt;=FILTER(Constants!$F$2:$F$10,Constants!$A$2:$A$10=A1516)))"),"")</f>
        <v/>
      </c>
    </row>
    <row r="1517">
      <c r="A1517" s="89"/>
      <c r="B1517" s="87"/>
      <c r="C1517" s="73"/>
      <c r="D1517" s="73"/>
      <c r="E1517" s="82"/>
      <c r="F1517" s="82"/>
      <c r="G1517" s="86"/>
      <c r="H1517" s="86"/>
      <c r="I1517" s="86"/>
      <c r="J1517" s="82"/>
      <c r="K1517" s="82"/>
      <c r="L1517" s="82"/>
      <c r="M1517" s="82"/>
      <c r="N1517" s="82"/>
      <c r="O1517" s="82"/>
      <c r="P1517" s="82"/>
      <c r="Q1517" s="82"/>
      <c r="R1517" s="82"/>
      <c r="S1517" s="82"/>
      <c r="T1517" s="82"/>
      <c r="U1517" s="82"/>
      <c r="V1517" s="82"/>
      <c r="W1517" s="82"/>
      <c r="X1517" s="82"/>
      <c r="Y1517" s="82"/>
      <c r="Z1517" s="82"/>
      <c r="AA1517" s="82"/>
      <c r="AB1517" s="82"/>
      <c r="AC1517" s="82"/>
      <c r="AD1517" s="82"/>
      <c r="AE1517" s="82"/>
      <c r="AF1517" s="82"/>
      <c r="AG1517" s="82"/>
      <c r="AH1517" s="82"/>
      <c r="AI1517" s="82"/>
      <c r="AJ1517" s="82"/>
      <c r="AK1517" s="82"/>
      <c r="AL1517" s="82"/>
      <c r="AM1517" s="82"/>
      <c r="AN1517" s="82"/>
      <c r="AO1517" s="82"/>
      <c r="AP1517" s="82"/>
      <c r="AQ1517" s="82"/>
      <c r="AR1517" s="82"/>
      <c r="AS1517" s="82"/>
      <c r="AT1517" s="82"/>
      <c r="AU1517" s="82"/>
      <c r="AV1517" s="82"/>
      <c r="AW1517" s="82" t="str">
        <f t="shared" si="1"/>
        <v/>
      </c>
      <c r="AX1517" s="83" t="str">
        <f t="array" ref="AX1517">IFERROR(DGET('SBV Import'!A:G,"SBV",{"RSC ID","Tier";B1517,A1517}))</f>
        <v/>
      </c>
      <c r="AY1517" s="82" t="str">
        <f t="shared" si="2"/>
        <v/>
      </c>
      <c r="AZ1517" s="82"/>
      <c r="BA1517" s="84" t="s">
        <v>152</v>
      </c>
      <c r="BB1517" s="84" t="str">
        <f>IFERROR(__xludf.DUMMYFUNCTION("iferror(if(A1517="""",,E1517&gt;=FILTER(Constants!$F$2:$F$10,Constants!$A$2:$A$10=A1517)))"),"")</f>
        <v/>
      </c>
    </row>
    <row r="1518">
      <c r="A1518" s="89"/>
      <c r="B1518" s="87"/>
      <c r="C1518" s="73"/>
      <c r="D1518" s="73"/>
      <c r="E1518" s="82"/>
      <c r="F1518" s="82"/>
      <c r="G1518" s="86"/>
      <c r="H1518" s="86"/>
      <c r="I1518" s="86"/>
      <c r="J1518" s="82"/>
      <c r="K1518" s="82"/>
      <c r="L1518" s="82"/>
      <c r="M1518" s="82"/>
      <c r="N1518" s="82"/>
      <c r="O1518" s="82"/>
      <c r="P1518" s="82"/>
      <c r="Q1518" s="82"/>
      <c r="R1518" s="82"/>
      <c r="S1518" s="82"/>
      <c r="T1518" s="82"/>
      <c r="U1518" s="82"/>
      <c r="V1518" s="82"/>
      <c r="W1518" s="82"/>
      <c r="X1518" s="82"/>
      <c r="Y1518" s="82"/>
      <c r="Z1518" s="82"/>
      <c r="AA1518" s="82"/>
      <c r="AB1518" s="82"/>
      <c r="AC1518" s="82"/>
      <c r="AD1518" s="82"/>
      <c r="AE1518" s="82"/>
      <c r="AF1518" s="82"/>
      <c r="AG1518" s="82"/>
      <c r="AH1518" s="82"/>
      <c r="AI1518" s="82"/>
      <c r="AJ1518" s="82"/>
      <c r="AK1518" s="82"/>
      <c r="AL1518" s="82"/>
      <c r="AM1518" s="82"/>
      <c r="AN1518" s="82"/>
      <c r="AO1518" s="82"/>
      <c r="AP1518" s="82"/>
      <c r="AQ1518" s="82"/>
      <c r="AR1518" s="82"/>
      <c r="AS1518" s="82"/>
      <c r="AT1518" s="82"/>
      <c r="AU1518" s="82"/>
      <c r="AV1518" s="82"/>
      <c r="AW1518" s="82" t="str">
        <f t="shared" si="1"/>
        <v/>
      </c>
      <c r="AX1518" s="83" t="str">
        <f t="array" ref="AX1518">IFERROR(DGET('SBV Import'!A:G,"SBV",{"RSC ID","Tier";B1518,A1518}))</f>
        <v/>
      </c>
      <c r="AY1518" s="82" t="str">
        <f t="shared" si="2"/>
        <v/>
      </c>
      <c r="AZ1518" s="82"/>
      <c r="BA1518" s="84" t="s">
        <v>152</v>
      </c>
      <c r="BB1518" s="84" t="str">
        <f>IFERROR(__xludf.DUMMYFUNCTION("iferror(if(A1518="""",,E1518&gt;=FILTER(Constants!$F$2:$F$10,Constants!$A$2:$A$10=A1518)))"),"")</f>
        <v/>
      </c>
    </row>
    <row r="1519">
      <c r="A1519" s="89"/>
      <c r="B1519" s="87"/>
      <c r="C1519" s="73"/>
      <c r="D1519" s="73"/>
      <c r="E1519" s="82"/>
      <c r="F1519" s="82"/>
      <c r="G1519" s="86"/>
      <c r="H1519" s="86"/>
      <c r="I1519" s="86"/>
      <c r="J1519" s="82"/>
      <c r="K1519" s="82"/>
      <c r="L1519" s="82"/>
      <c r="M1519" s="82"/>
      <c r="N1519" s="82"/>
      <c r="O1519" s="82"/>
      <c r="P1519" s="82"/>
      <c r="Q1519" s="82"/>
      <c r="R1519" s="82"/>
      <c r="S1519" s="82"/>
      <c r="T1519" s="82"/>
      <c r="U1519" s="82"/>
      <c r="V1519" s="82"/>
      <c r="W1519" s="82"/>
      <c r="X1519" s="82"/>
      <c r="Y1519" s="82"/>
      <c r="Z1519" s="82"/>
      <c r="AA1519" s="82"/>
      <c r="AB1519" s="82"/>
      <c r="AC1519" s="82"/>
      <c r="AD1519" s="82"/>
      <c r="AE1519" s="82"/>
      <c r="AF1519" s="82"/>
      <c r="AG1519" s="82"/>
      <c r="AH1519" s="82"/>
      <c r="AI1519" s="82"/>
      <c r="AJ1519" s="82"/>
      <c r="AK1519" s="82"/>
      <c r="AL1519" s="82"/>
      <c r="AM1519" s="82"/>
      <c r="AN1519" s="82"/>
      <c r="AO1519" s="82"/>
      <c r="AP1519" s="82"/>
      <c r="AQ1519" s="82"/>
      <c r="AR1519" s="82"/>
      <c r="AS1519" s="82"/>
      <c r="AT1519" s="82"/>
      <c r="AU1519" s="82"/>
      <c r="AV1519" s="82"/>
      <c r="AW1519" s="82" t="str">
        <f t="shared" si="1"/>
        <v/>
      </c>
      <c r="AX1519" s="83" t="str">
        <f t="array" ref="AX1519">IFERROR(DGET('SBV Import'!A:G,"SBV",{"RSC ID","Tier";B1519,A1519}))</f>
        <v/>
      </c>
      <c r="AY1519" s="82" t="str">
        <f t="shared" si="2"/>
        <v/>
      </c>
      <c r="AZ1519" s="82"/>
      <c r="BA1519" s="84" t="s">
        <v>152</v>
      </c>
      <c r="BB1519" s="84" t="str">
        <f>IFERROR(__xludf.DUMMYFUNCTION("iferror(if(A1519="""",,E1519&gt;=FILTER(Constants!$F$2:$F$10,Constants!$A$2:$A$10=A1519)))"),"")</f>
        <v/>
      </c>
    </row>
    <row r="1520">
      <c r="A1520" s="89"/>
      <c r="B1520" s="87"/>
      <c r="C1520" s="73"/>
      <c r="D1520" s="73"/>
      <c r="E1520" s="82"/>
      <c r="F1520" s="82"/>
      <c r="G1520" s="86"/>
      <c r="H1520" s="86"/>
      <c r="I1520" s="86"/>
      <c r="J1520" s="82"/>
      <c r="K1520" s="82"/>
      <c r="L1520" s="82"/>
      <c r="M1520" s="82"/>
      <c r="N1520" s="82"/>
      <c r="O1520" s="82"/>
      <c r="P1520" s="82"/>
      <c r="Q1520" s="82"/>
      <c r="R1520" s="82"/>
      <c r="S1520" s="82"/>
      <c r="T1520" s="82"/>
      <c r="U1520" s="82"/>
      <c r="V1520" s="82"/>
      <c r="W1520" s="82"/>
      <c r="X1520" s="82"/>
      <c r="Y1520" s="82"/>
      <c r="Z1520" s="82"/>
      <c r="AA1520" s="82"/>
      <c r="AB1520" s="82"/>
      <c r="AC1520" s="82"/>
      <c r="AD1520" s="82"/>
      <c r="AE1520" s="82"/>
      <c r="AF1520" s="82"/>
      <c r="AG1520" s="82"/>
      <c r="AH1520" s="82"/>
      <c r="AI1520" s="82"/>
      <c r="AJ1520" s="82"/>
      <c r="AK1520" s="82"/>
      <c r="AL1520" s="82"/>
      <c r="AM1520" s="82"/>
      <c r="AN1520" s="82"/>
      <c r="AO1520" s="82"/>
      <c r="AP1520" s="82"/>
      <c r="AQ1520" s="82"/>
      <c r="AR1520" s="82"/>
      <c r="AS1520" s="82"/>
      <c r="AT1520" s="82"/>
      <c r="AU1520" s="82"/>
      <c r="AV1520" s="82"/>
      <c r="AW1520" s="82" t="str">
        <f t="shared" si="1"/>
        <v/>
      </c>
      <c r="AX1520" s="83" t="str">
        <f t="array" ref="AX1520">IFERROR(DGET('SBV Import'!A:G,"SBV",{"RSC ID","Tier";B1520,A1520}))</f>
        <v/>
      </c>
      <c r="AY1520" s="82" t="str">
        <f t="shared" si="2"/>
        <v/>
      </c>
      <c r="AZ1520" s="82"/>
      <c r="BA1520" s="84" t="s">
        <v>152</v>
      </c>
      <c r="BB1520" s="84" t="str">
        <f>IFERROR(__xludf.DUMMYFUNCTION("iferror(if(A1520="""",,E1520&gt;=FILTER(Constants!$F$2:$F$10,Constants!$A$2:$A$10=A1520)))"),"")</f>
        <v/>
      </c>
    </row>
    <row r="1521">
      <c r="A1521" s="89"/>
      <c r="B1521" s="87"/>
      <c r="C1521" s="73"/>
      <c r="D1521" s="73"/>
      <c r="E1521" s="82"/>
      <c r="F1521" s="82"/>
      <c r="G1521" s="86"/>
      <c r="H1521" s="86"/>
      <c r="I1521" s="86"/>
      <c r="J1521" s="82"/>
      <c r="K1521" s="82"/>
      <c r="L1521" s="82"/>
      <c r="M1521" s="82"/>
      <c r="N1521" s="82"/>
      <c r="O1521" s="82"/>
      <c r="P1521" s="82"/>
      <c r="Q1521" s="82"/>
      <c r="R1521" s="82"/>
      <c r="S1521" s="82"/>
      <c r="T1521" s="82"/>
      <c r="U1521" s="82"/>
      <c r="V1521" s="82"/>
      <c r="W1521" s="82"/>
      <c r="X1521" s="82"/>
      <c r="Y1521" s="82"/>
      <c r="Z1521" s="82"/>
      <c r="AA1521" s="82"/>
      <c r="AB1521" s="82"/>
      <c r="AC1521" s="82"/>
      <c r="AD1521" s="82"/>
      <c r="AE1521" s="82"/>
      <c r="AF1521" s="82"/>
      <c r="AG1521" s="82"/>
      <c r="AH1521" s="82"/>
      <c r="AI1521" s="82"/>
      <c r="AJ1521" s="82"/>
      <c r="AK1521" s="82"/>
      <c r="AL1521" s="82"/>
      <c r="AM1521" s="82"/>
      <c r="AN1521" s="82"/>
      <c r="AO1521" s="82"/>
      <c r="AP1521" s="82"/>
      <c r="AQ1521" s="82"/>
      <c r="AR1521" s="82"/>
      <c r="AS1521" s="82"/>
      <c r="AT1521" s="82"/>
      <c r="AU1521" s="82"/>
      <c r="AV1521" s="82"/>
      <c r="AW1521" s="82" t="str">
        <f t="shared" si="1"/>
        <v/>
      </c>
      <c r="AX1521" s="83" t="str">
        <f t="array" ref="AX1521">IFERROR(DGET('SBV Import'!A:G,"SBV",{"RSC ID","Tier";B1521,A1521}))</f>
        <v/>
      </c>
      <c r="AY1521" s="82" t="str">
        <f t="shared" si="2"/>
        <v/>
      </c>
      <c r="AZ1521" s="82"/>
      <c r="BA1521" s="84" t="s">
        <v>152</v>
      </c>
      <c r="BB1521" s="84" t="str">
        <f>IFERROR(__xludf.DUMMYFUNCTION("iferror(if(A1521="""",,E1521&gt;=FILTER(Constants!$F$2:$F$10,Constants!$A$2:$A$10=A1521)))"),"")</f>
        <v/>
      </c>
    </row>
    <row r="1522">
      <c r="A1522" s="89"/>
      <c r="B1522" s="87"/>
      <c r="C1522" s="73"/>
      <c r="D1522" s="73"/>
      <c r="E1522" s="82"/>
      <c r="F1522" s="82"/>
      <c r="G1522" s="86"/>
      <c r="H1522" s="86"/>
      <c r="I1522" s="86"/>
      <c r="J1522" s="82"/>
      <c r="K1522" s="82"/>
      <c r="L1522" s="82"/>
      <c r="M1522" s="82"/>
      <c r="N1522" s="82"/>
      <c r="O1522" s="82"/>
      <c r="P1522" s="82"/>
      <c r="Q1522" s="82"/>
      <c r="R1522" s="82"/>
      <c r="S1522" s="82"/>
      <c r="T1522" s="82"/>
      <c r="U1522" s="82"/>
      <c r="V1522" s="82"/>
      <c r="W1522" s="82"/>
      <c r="X1522" s="82"/>
      <c r="Y1522" s="82"/>
      <c r="Z1522" s="82"/>
      <c r="AA1522" s="82"/>
      <c r="AB1522" s="82"/>
      <c r="AC1522" s="82"/>
      <c r="AD1522" s="82"/>
      <c r="AE1522" s="82"/>
      <c r="AF1522" s="82"/>
      <c r="AG1522" s="82"/>
      <c r="AH1522" s="82"/>
      <c r="AI1522" s="82"/>
      <c r="AJ1522" s="82"/>
      <c r="AK1522" s="82"/>
      <c r="AL1522" s="82"/>
      <c r="AM1522" s="82"/>
      <c r="AN1522" s="82"/>
      <c r="AO1522" s="82"/>
      <c r="AP1522" s="82"/>
      <c r="AQ1522" s="82"/>
      <c r="AR1522" s="82"/>
      <c r="AS1522" s="82"/>
      <c r="AT1522" s="82"/>
      <c r="AU1522" s="82"/>
      <c r="AV1522" s="82"/>
      <c r="AW1522" s="82" t="str">
        <f t="shared" si="1"/>
        <v/>
      </c>
      <c r="AX1522" s="83" t="str">
        <f t="array" ref="AX1522">IFERROR(DGET('SBV Import'!A:G,"SBV",{"RSC ID","Tier";B1522,A1522}))</f>
        <v/>
      </c>
      <c r="AY1522" s="82" t="str">
        <f t="shared" si="2"/>
        <v/>
      </c>
      <c r="AZ1522" s="82"/>
      <c r="BA1522" s="84" t="s">
        <v>152</v>
      </c>
      <c r="BB1522" s="84" t="str">
        <f>IFERROR(__xludf.DUMMYFUNCTION("iferror(if(A1522="""",,E1522&gt;=FILTER(Constants!$F$2:$F$10,Constants!$A$2:$A$10=A1522)))"),"")</f>
        <v/>
      </c>
    </row>
    <row r="1523">
      <c r="A1523" s="89"/>
      <c r="B1523" s="87"/>
      <c r="C1523" s="73"/>
      <c r="D1523" s="73"/>
      <c r="E1523" s="82"/>
      <c r="F1523" s="82"/>
      <c r="G1523" s="86"/>
      <c r="H1523" s="86"/>
      <c r="I1523" s="86"/>
      <c r="J1523" s="82"/>
      <c r="K1523" s="82"/>
      <c r="L1523" s="82"/>
      <c r="M1523" s="82"/>
      <c r="N1523" s="82"/>
      <c r="O1523" s="82"/>
      <c r="P1523" s="82"/>
      <c r="Q1523" s="82"/>
      <c r="R1523" s="82"/>
      <c r="S1523" s="82"/>
      <c r="T1523" s="82"/>
      <c r="U1523" s="82"/>
      <c r="V1523" s="82"/>
      <c r="W1523" s="82"/>
      <c r="X1523" s="82"/>
      <c r="Y1523" s="82"/>
      <c r="Z1523" s="82"/>
      <c r="AA1523" s="82"/>
      <c r="AB1523" s="82"/>
      <c r="AC1523" s="82"/>
      <c r="AD1523" s="82"/>
      <c r="AE1523" s="82"/>
      <c r="AF1523" s="82"/>
      <c r="AG1523" s="82"/>
      <c r="AH1523" s="82"/>
      <c r="AI1523" s="82"/>
      <c r="AJ1523" s="82"/>
      <c r="AK1523" s="82"/>
      <c r="AL1523" s="82"/>
      <c r="AM1523" s="82"/>
      <c r="AN1523" s="82"/>
      <c r="AO1523" s="82"/>
      <c r="AP1523" s="82"/>
      <c r="AQ1523" s="82"/>
      <c r="AR1523" s="82"/>
      <c r="AS1523" s="82"/>
      <c r="AT1523" s="82"/>
      <c r="AU1523" s="82"/>
      <c r="AV1523" s="82"/>
      <c r="AW1523" s="82" t="str">
        <f t="shared" si="1"/>
        <v/>
      </c>
      <c r="AX1523" s="83" t="str">
        <f t="array" ref="AX1523">IFERROR(DGET('SBV Import'!A:G,"SBV",{"RSC ID","Tier";B1523,A1523}))</f>
        <v/>
      </c>
      <c r="AY1523" s="82" t="str">
        <f t="shared" si="2"/>
        <v/>
      </c>
      <c r="AZ1523" s="82"/>
      <c r="BA1523" s="84" t="s">
        <v>152</v>
      </c>
      <c r="BB1523" s="84" t="str">
        <f>IFERROR(__xludf.DUMMYFUNCTION("iferror(if(A1523="""",,E1523&gt;=FILTER(Constants!$F$2:$F$10,Constants!$A$2:$A$10=A1523)))"),"")</f>
        <v/>
      </c>
    </row>
    <row r="1524">
      <c r="A1524" s="89"/>
      <c r="B1524" s="87"/>
      <c r="C1524" s="73"/>
      <c r="D1524" s="73"/>
      <c r="E1524" s="82"/>
      <c r="F1524" s="82"/>
      <c r="G1524" s="86"/>
      <c r="H1524" s="86"/>
      <c r="I1524" s="86"/>
      <c r="J1524" s="82"/>
      <c r="K1524" s="82"/>
      <c r="L1524" s="82"/>
      <c r="M1524" s="82"/>
      <c r="N1524" s="82"/>
      <c r="O1524" s="82"/>
      <c r="P1524" s="82"/>
      <c r="Q1524" s="82"/>
      <c r="R1524" s="82"/>
      <c r="S1524" s="82"/>
      <c r="T1524" s="82"/>
      <c r="U1524" s="82"/>
      <c r="V1524" s="82"/>
      <c r="W1524" s="82"/>
      <c r="X1524" s="82"/>
      <c r="Y1524" s="82"/>
      <c r="Z1524" s="82"/>
      <c r="AA1524" s="82"/>
      <c r="AB1524" s="82"/>
      <c r="AC1524" s="82"/>
      <c r="AD1524" s="82"/>
      <c r="AE1524" s="82"/>
      <c r="AF1524" s="82"/>
      <c r="AG1524" s="82"/>
      <c r="AH1524" s="82"/>
      <c r="AI1524" s="82"/>
      <c r="AJ1524" s="82"/>
      <c r="AK1524" s="82"/>
      <c r="AL1524" s="82"/>
      <c r="AM1524" s="82"/>
      <c r="AN1524" s="82"/>
      <c r="AO1524" s="82"/>
      <c r="AP1524" s="82"/>
      <c r="AQ1524" s="82"/>
      <c r="AR1524" s="82"/>
      <c r="AS1524" s="82"/>
      <c r="AT1524" s="82"/>
      <c r="AU1524" s="82"/>
      <c r="AV1524" s="82"/>
      <c r="AW1524" s="82" t="str">
        <f t="shared" si="1"/>
        <v/>
      </c>
      <c r="AX1524" s="83" t="str">
        <f t="array" ref="AX1524">IFERROR(DGET('SBV Import'!A:G,"SBV",{"RSC ID","Tier";B1524,A1524}))</f>
        <v/>
      </c>
      <c r="AY1524" s="82" t="str">
        <f t="shared" si="2"/>
        <v/>
      </c>
      <c r="AZ1524" s="82"/>
      <c r="BA1524" s="84" t="s">
        <v>152</v>
      </c>
      <c r="BB1524" s="84" t="str">
        <f>IFERROR(__xludf.DUMMYFUNCTION("iferror(if(A1524="""",,E1524&gt;=FILTER(Constants!$F$2:$F$10,Constants!$A$2:$A$10=A1524)))"),"")</f>
        <v/>
      </c>
    </row>
    <row r="1525">
      <c r="A1525" s="89"/>
      <c r="B1525" s="87"/>
      <c r="C1525" s="73"/>
      <c r="D1525" s="73"/>
      <c r="E1525" s="82"/>
      <c r="F1525" s="82"/>
      <c r="G1525" s="86"/>
      <c r="H1525" s="86"/>
      <c r="I1525" s="86"/>
      <c r="J1525" s="82"/>
      <c r="K1525" s="82"/>
      <c r="L1525" s="82"/>
      <c r="M1525" s="82"/>
      <c r="N1525" s="82"/>
      <c r="O1525" s="82"/>
      <c r="P1525" s="82"/>
      <c r="Q1525" s="82"/>
      <c r="R1525" s="82"/>
      <c r="S1525" s="82"/>
      <c r="T1525" s="82"/>
      <c r="U1525" s="82"/>
      <c r="V1525" s="82"/>
      <c r="W1525" s="82"/>
      <c r="X1525" s="82"/>
      <c r="Y1525" s="82"/>
      <c r="Z1525" s="82"/>
      <c r="AA1525" s="82"/>
      <c r="AB1525" s="82"/>
      <c r="AC1525" s="82"/>
      <c r="AD1525" s="82"/>
      <c r="AE1525" s="82"/>
      <c r="AF1525" s="82"/>
      <c r="AG1525" s="82"/>
      <c r="AH1525" s="82"/>
      <c r="AI1525" s="82"/>
      <c r="AJ1525" s="82"/>
      <c r="AK1525" s="82"/>
      <c r="AL1525" s="82"/>
      <c r="AM1525" s="82"/>
      <c r="AN1525" s="82"/>
      <c r="AO1525" s="82"/>
      <c r="AP1525" s="82"/>
      <c r="AQ1525" s="82"/>
      <c r="AR1525" s="82"/>
      <c r="AS1525" s="82"/>
      <c r="AT1525" s="82"/>
      <c r="AU1525" s="82"/>
      <c r="AV1525" s="82"/>
      <c r="AW1525" s="82" t="str">
        <f t="shared" si="1"/>
        <v/>
      </c>
      <c r="AX1525" s="83" t="str">
        <f t="array" ref="AX1525">IFERROR(DGET('SBV Import'!A:G,"SBV",{"RSC ID","Tier";B1525,A1525}))</f>
        <v/>
      </c>
      <c r="AY1525" s="82" t="str">
        <f t="shared" si="2"/>
        <v/>
      </c>
      <c r="AZ1525" s="82"/>
      <c r="BA1525" s="84" t="s">
        <v>152</v>
      </c>
      <c r="BB1525" s="84" t="str">
        <f>IFERROR(__xludf.DUMMYFUNCTION("iferror(if(A1525="""",,E1525&gt;=FILTER(Constants!$F$2:$F$10,Constants!$A$2:$A$10=A1525)))"),"")</f>
        <v/>
      </c>
    </row>
    <row r="1526">
      <c r="A1526" s="89"/>
      <c r="B1526" s="87"/>
      <c r="C1526" s="73"/>
      <c r="D1526" s="73"/>
      <c r="E1526" s="82"/>
      <c r="F1526" s="82"/>
      <c r="G1526" s="86"/>
      <c r="H1526" s="86"/>
      <c r="I1526" s="86"/>
      <c r="J1526" s="82"/>
      <c r="K1526" s="82"/>
      <c r="L1526" s="82"/>
      <c r="M1526" s="82"/>
      <c r="N1526" s="82"/>
      <c r="O1526" s="82"/>
      <c r="P1526" s="82"/>
      <c r="Q1526" s="82"/>
      <c r="R1526" s="82"/>
      <c r="S1526" s="82"/>
      <c r="T1526" s="82"/>
      <c r="U1526" s="82"/>
      <c r="V1526" s="82"/>
      <c r="W1526" s="82"/>
      <c r="X1526" s="82"/>
      <c r="Y1526" s="82"/>
      <c r="Z1526" s="82"/>
      <c r="AA1526" s="82"/>
      <c r="AB1526" s="82"/>
      <c r="AC1526" s="82"/>
      <c r="AD1526" s="82"/>
      <c r="AE1526" s="82"/>
      <c r="AF1526" s="82"/>
      <c r="AG1526" s="82"/>
      <c r="AH1526" s="82"/>
      <c r="AI1526" s="82"/>
      <c r="AJ1526" s="82"/>
      <c r="AK1526" s="82"/>
      <c r="AL1526" s="82"/>
      <c r="AM1526" s="82"/>
      <c r="AN1526" s="82"/>
      <c r="AO1526" s="82"/>
      <c r="AP1526" s="82"/>
      <c r="AQ1526" s="82"/>
      <c r="AR1526" s="82"/>
      <c r="AS1526" s="82"/>
      <c r="AT1526" s="82"/>
      <c r="AU1526" s="82"/>
      <c r="AV1526" s="82"/>
      <c r="AW1526" s="82" t="str">
        <f t="shared" si="1"/>
        <v/>
      </c>
      <c r="AX1526" s="83" t="str">
        <f t="array" ref="AX1526">IFERROR(DGET('SBV Import'!A:G,"SBV",{"RSC ID","Tier";B1526,A1526}))</f>
        <v/>
      </c>
      <c r="AY1526" s="82" t="str">
        <f t="shared" si="2"/>
        <v/>
      </c>
      <c r="AZ1526" s="82"/>
      <c r="BA1526" s="84" t="s">
        <v>152</v>
      </c>
      <c r="BB1526" s="84" t="str">
        <f>IFERROR(__xludf.DUMMYFUNCTION("iferror(if(A1526="""",,E1526&gt;=FILTER(Constants!$F$2:$F$10,Constants!$A$2:$A$10=A1526)))"),"")</f>
        <v/>
      </c>
    </row>
    <row r="1527">
      <c r="A1527" s="89"/>
      <c r="B1527" s="87"/>
      <c r="C1527" s="73"/>
      <c r="D1527" s="73"/>
      <c r="E1527" s="82"/>
      <c r="F1527" s="82"/>
      <c r="G1527" s="86"/>
      <c r="H1527" s="86"/>
      <c r="I1527" s="86"/>
      <c r="J1527" s="82"/>
      <c r="K1527" s="82"/>
      <c r="L1527" s="82"/>
      <c r="M1527" s="82"/>
      <c r="N1527" s="82"/>
      <c r="O1527" s="82"/>
      <c r="P1527" s="82"/>
      <c r="Q1527" s="82"/>
      <c r="R1527" s="82"/>
      <c r="S1527" s="82"/>
      <c r="T1527" s="82"/>
      <c r="U1527" s="82"/>
      <c r="V1527" s="82"/>
      <c r="W1527" s="82"/>
      <c r="X1527" s="82"/>
      <c r="Y1527" s="82"/>
      <c r="Z1527" s="82"/>
      <c r="AA1527" s="82"/>
      <c r="AB1527" s="82"/>
      <c r="AC1527" s="82"/>
      <c r="AD1527" s="82"/>
      <c r="AE1527" s="82"/>
      <c r="AF1527" s="82"/>
      <c r="AG1527" s="82"/>
      <c r="AH1527" s="82"/>
      <c r="AI1527" s="82"/>
      <c r="AJ1527" s="82"/>
      <c r="AK1527" s="82"/>
      <c r="AL1527" s="82"/>
      <c r="AM1527" s="82"/>
      <c r="AN1527" s="82"/>
      <c r="AO1527" s="82"/>
      <c r="AP1527" s="82"/>
      <c r="AQ1527" s="82"/>
      <c r="AR1527" s="82"/>
      <c r="AS1527" s="82"/>
      <c r="AT1527" s="82"/>
      <c r="AU1527" s="82"/>
      <c r="AV1527" s="82"/>
      <c r="AW1527" s="82" t="str">
        <f t="shared" si="1"/>
        <v/>
      </c>
      <c r="AX1527" s="83" t="str">
        <f t="array" ref="AX1527">IFERROR(DGET('SBV Import'!A:G,"SBV",{"RSC ID","Tier";B1527,A1527}))</f>
        <v/>
      </c>
      <c r="AY1527" s="82" t="str">
        <f t="shared" si="2"/>
        <v/>
      </c>
      <c r="AZ1527" s="82"/>
      <c r="BA1527" s="84" t="s">
        <v>152</v>
      </c>
      <c r="BB1527" s="84" t="str">
        <f>IFERROR(__xludf.DUMMYFUNCTION("iferror(if(A1527="""",,E1527&gt;=FILTER(Constants!$F$2:$F$10,Constants!$A$2:$A$10=A1527)))"),"")</f>
        <v/>
      </c>
    </row>
    <row r="1528">
      <c r="A1528" s="89"/>
      <c r="B1528" s="87"/>
      <c r="C1528" s="73"/>
      <c r="D1528" s="73"/>
      <c r="E1528" s="82"/>
      <c r="F1528" s="82"/>
      <c r="G1528" s="86"/>
      <c r="H1528" s="86"/>
      <c r="I1528" s="86"/>
      <c r="J1528" s="82"/>
      <c r="K1528" s="82"/>
      <c r="L1528" s="82"/>
      <c r="M1528" s="82"/>
      <c r="N1528" s="82"/>
      <c r="O1528" s="82"/>
      <c r="P1528" s="82"/>
      <c r="Q1528" s="82"/>
      <c r="R1528" s="82"/>
      <c r="S1528" s="82"/>
      <c r="T1528" s="82"/>
      <c r="U1528" s="82"/>
      <c r="V1528" s="82"/>
      <c r="W1528" s="82"/>
      <c r="X1528" s="82"/>
      <c r="Y1528" s="82"/>
      <c r="Z1528" s="82"/>
      <c r="AA1528" s="82"/>
      <c r="AB1528" s="82"/>
      <c r="AC1528" s="82"/>
      <c r="AD1528" s="82"/>
      <c r="AE1528" s="82"/>
      <c r="AF1528" s="82"/>
      <c r="AG1528" s="82"/>
      <c r="AH1528" s="82"/>
      <c r="AI1528" s="82"/>
      <c r="AJ1528" s="82"/>
      <c r="AK1528" s="82"/>
      <c r="AL1528" s="82"/>
      <c r="AM1528" s="82"/>
      <c r="AN1528" s="82"/>
      <c r="AO1528" s="82"/>
      <c r="AP1528" s="82"/>
      <c r="AQ1528" s="82"/>
      <c r="AR1528" s="82"/>
      <c r="AS1528" s="82"/>
      <c r="AT1528" s="82"/>
      <c r="AU1528" s="82"/>
      <c r="AV1528" s="82"/>
      <c r="AW1528" s="82" t="str">
        <f t="shared" si="1"/>
        <v/>
      </c>
      <c r="AX1528" s="83" t="str">
        <f t="array" ref="AX1528">IFERROR(DGET('SBV Import'!A:G,"SBV",{"RSC ID","Tier";B1528,A1528}))</f>
        <v/>
      </c>
      <c r="AY1528" s="82" t="str">
        <f t="shared" si="2"/>
        <v/>
      </c>
      <c r="AZ1528" s="82"/>
      <c r="BA1528" s="84" t="s">
        <v>152</v>
      </c>
      <c r="BB1528" s="84" t="str">
        <f>IFERROR(__xludf.DUMMYFUNCTION("iferror(if(A1528="""",,E1528&gt;=FILTER(Constants!$F$2:$F$10,Constants!$A$2:$A$10=A1528)))"),"")</f>
        <v/>
      </c>
    </row>
    <row r="1529">
      <c r="A1529" s="89"/>
      <c r="B1529" s="87"/>
      <c r="C1529" s="73"/>
      <c r="D1529" s="73"/>
      <c r="E1529" s="82"/>
      <c r="F1529" s="82"/>
      <c r="G1529" s="86"/>
      <c r="H1529" s="86"/>
      <c r="I1529" s="86"/>
      <c r="J1529" s="82"/>
      <c r="K1529" s="82"/>
      <c r="L1529" s="82"/>
      <c r="M1529" s="82"/>
      <c r="N1529" s="82"/>
      <c r="O1529" s="82"/>
      <c r="P1529" s="82"/>
      <c r="Q1529" s="82"/>
      <c r="R1529" s="82"/>
      <c r="S1529" s="82"/>
      <c r="T1529" s="82"/>
      <c r="U1529" s="82"/>
      <c r="V1529" s="82"/>
      <c r="W1529" s="82"/>
      <c r="X1529" s="82"/>
      <c r="Y1529" s="82"/>
      <c r="Z1529" s="82"/>
      <c r="AA1529" s="82"/>
      <c r="AB1529" s="82"/>
      <c r="AC1529" s="82"/>
      <c r="AD1529" s="82"/>
      <c r="AE1529" s="82"/>
      <c r="AF1529" s="82"/>
      <c r="AG1529" s="82"/>
      <c r="AH1529" s="82"/>
      <c r="AI1529" s="82"/>
      <c r="AJ1529" s="82"/>
      <c r="AK1529" s="82"/>
      <c r="AL1529" s="82"/>
      <c r="AM1529" s="82"/>
      <c r="AN1529" s="82"/>
      <c r="AO1529" s="82"/>
      <c r="AP1529" s="82"/>
      <c r="AQ1529" s="82"/>
      <c r="AR1529" s="82"/>
      <c r="AS1529" s="82"/>
      <c r="AT1529" s="82"/>
      <c r="AU1529" s="82"/>
      <c r="AV1529" s="82"/>
      <c r="AW1529" s="82" t="str">
        <f t="shared" si="1"/>
        <v/>
      </c>
      <c r="AX1529" s="83" t="str">
        <f t="array" ref="AX1529">IFERROR(DGET('SBV Import'!A:G,"SBV",{"RSC ID","Tier";B1529,A1529}))</f>
        <v/>
      </c>
      <c r="AY1529" s="82" t="str">
        <f t="shared" si="2"/>
        <v/>
      </c>
      <c r="AZ1529" s="82"/>
      <c r="BA1529" s="84" t="s">
        <v>152</v>
      </c>
      <c r="BB1529" s="84" t="str">
        <f>IFERROR(__xludf.DUMMYFUNCTION("iferror(if(A1529="""",,E1529&gt;=FILTER(Constants!$F$2:$F$10,Constants!$A$2:$A$10=A1529)))"),"")</f>
        <v/>
      </c>
    </row>
    <row r="1530">
      <c r="A1530" s="89"/>
      <c r="B1530" s="87"/>
      <c r="C1530" s="73"/>
      <c r="D1530" s="73"/>
      <c r="E1530" s="82"/>
      <c r="F1530" s="82"/>
      <c r="G1530" s="86"/>
      <c r="H1530" s="86"/>
      <c r="I1530" s="86"/>
      <c r="J1530" s="82"/>
      <c r="K1530" s="82"/>
      <c r="L1530" s="82"/>
      <c r="M1530" s="82"/>
      <c r="N1530" s="82"/>
      <c r="O1530" s="82"/>
      <c r="P1530" s="82"/>
      <c r="Q1530" s="82"/>
      <c r="R1530" s="82"/>
      <c r="S1530" s="82"/>
      <c r="T1530" s="82"/>
      <c r="U1530" s="82"/>
      <c r="V1530" s="82"/>
      <c r="W1530" s="82"/>
      <c r="X1530" s="82"/>
      <c r="Y1530" s="82"/>
      <c r="Z1530" s="82"/>
      <c r="AA1530" s="82"/>
      <c r="AB1530" s="82"/>
      <c r="AC1530" s="82"/>
      <c r="AD1530" s="82"/>
      <c r="AE1530" s="82"/>
      <c r="AF1530" s="82"/>
      <c r="AG1530" s="82"/>
      <c r="AH1530" s="82"/>
      <c r="AI1530" s="82"/>
      <c r="AJ1530" s="82"/>
      <c r="AK1530" s="82"/>
      <c r="AL1530" s="82"/>
      <c r="AM1530" s="82"/>
      <c r="AN1530" s="82"/>
      <c r="AO1530" s="82"/>
      <c r="AP1530" s="82"/>
      <c r="AQ1530" s="82"/>
      <c r="AR1530" s="82"/>
      <c r="AS1530" s="82"/>
      <c r="AT1530" s="82"/>
      <c r="AU1530" s="82"/>
      <c r="AV1530" s="82"/>
      <c r="AW1530" s="82" t="str">
        <f t="shared" si="1"/>
        <v/>
      </c>
      <c r="AX1530" s="83" t="str">
        <f t="array" ref="AX1530">IFERROR(DGET('SBV Import'!A:G,"SBV",{"RSC ID","Tier";B1530,A1530}))</f>
        <v/>
      </c>
      <c r="AY1530" s="82" t="str">
        <f t="shared" si="2"/>
        <v/>
      </c>
      <c r="AZ1530" s="82"/>
      <c r="BA1530" s="84" t="s">
        <v>152</v>
      </c>
      <c r="BB1530" s="84" t="str">
        <f>IFERROR(__xludf.DUMMYFUNCTION("iferror(if(A1530="""",,E1530&gt;=FILTER(Constants!$F$2:$F$10,Constants!$A$2:$A$10=A1530)))"),"")</f>
        <v/>
      </c>
    </row>
    <row r="1531">
      <c r="A1531" s="89"/>
      <c r="B1531" s="87"/>
      <c r="C1531" s="73"/>
      <c r="D1531" s="73"/>
      <c r="E1531" s="82"/>
      <c r="F1531" s="82"/>
      <c r="G1531" s="86"/>
      <c r="H1531" s="86"/>
      <c r="I1531" s="86"/>
      <c r="J1531" s="82"/>
      <c r="K1531" s="82"/>
      <c r="L1531" s="82"/>
      <c r="M1531" s="82"/>
      <c r="N1531" s="82"/>
      <c r="O1531" s="82"/>
      <c r="P1531" s="82"/>
      <c r="Q1531" s="82"/>
      <c r="R1531" s="82"/>
      <c r="S1531" s="82"/>
      <c r="T1531" s="82"/>
      <c r="U1531" s="82"/>
      <c r="V1531" s="82"/>
      <c r="W1531" s="82"/>
      <c r="X1531" s="82"/>
      <c r="Y1531" s="82"/>
      <c r="Z1531" s="82"/>
      <c r="AA1531" s="82"/>
      <c r="AB1531" s="82"/>
      <c r="AC1531" s="82"/>
      <c r="AD1531" s="82"/>
      <c r="AE1531" s="82"/>
      <c r="AF1531" s="82"/>
      <c r="AG1531" s="82"/>
      <c r="AH1531" s="82"/>
      <c r="AI1531" s="82"/>
      <c r="AJ1531" s="82"/>
      <c r="AK1531" s="82"/>
      <c r="AL1531" s="82"/>
      <c r="AM1531" s="82"/>
      <c r="AN1531" s="82"/>
      <c r="AO1531" s="82"/>
      <c r="AP1531" s="82"/>
      <c r="AQ1531" s="82"/>
      <c r="AR1531" s="82"/>
      <c r="AS1531" s="82"/>
      <c r="AT1531" s="82"/>
      <c r="AU1531" s="82"/>
      <c r="AV1531" s="82"/>
      <c r="AW1531" s="82" t="str">
        <f t="shared" si="1"/>
        <v/>
      </c>
      <c r="AX1531" s="83" t="str">
        <f t="array" ref="AX1531">IFERROR(DGET('SBV Import'!A:G,"SBV",{"RSC ID","Tier";B1531,A1531}))</f>
        <v/>
      </c>
      <c r="AY1531" s="82" t="str">
        <f t="shared" si="2"/>
        <v/>
      </c>
      <c r="AZ1531" s="82"/>
      <c r="BA1531" s="84" t="s">
        <v>152</v>
      </c>
      <c r="BB1531" s="84" t="str">
        <f>IFERROR(__xludf.DUMMYFUNCTION("iferror(if(A1531="""",,E1531&gt;=FILTER(Constants!$F$2:$F$10,Constants!$A$2:$A$10=A1531)))"),"")</f>
        <v/>
      </c>
    </row>
    <row r="1532">
      <c r="A1532" s="89"/>
      <c r="B1532" s="87"/>
      <c r="C1532" s="73"/>
      <c r="D1532" s="73"/>
      <c r="E1532" s="82"/>
      <c r="F1532" s="82"/>
      <c r="G1532" s="86"/>
      <c r="H1532" s="86"/>
      <c r="I1532" s="86"/>
      <c r="J1532" s="82"/>
      <c r="K1532" s="82"/>
      <c r="L1532" s="82"/>
      <c r="M1532" s="82"/>
      <c r="N1532" s="82"/>
      <c r="O1532" s="82"/>
      <c r="P1532" s="82"/>
      <c r="Q1532" s="82"/>
      <c r="R1532" s="82"/>
      <c r="S1532" s="82"/>
      <c r="T1532" s="82"/>
      <c r="U1532" s="82"/>
      <c r="V1532" s="82"/>
      <c r="W1532" s="82"/>
      <c r="X1532" s="82"/>
      <c r="Y1532" s="82"/>
      <c r="Z1532" s="82"/>
      <c r="AA1532" s="82"/>
      <c r="AB1532" s="82"/>
      <c r="AC1532" s="82"/>
      <c r="AD1532" s="82"/>
      <c r="AE1532" s="82"/>
      <c r="AF1532" s="82"/>
      <c r="AG1532" s="82"/>
      <c r="AH1532" s="82"/>
      <c r="AI1532" s="82"/>
      <c r="AJ1532" s="82"/>
      <c r="AK1532" s="82"/>
      <c r="AL1532" s="82"/>
      <c r="AM1532" s="82"/>
      <c r="AN1532" s="82"/>
      <c r="AO1532" s="82"/>
      <c r="AP1532" s="82"/>
      <c r="AQ1532" s="82"/>
      <c r="AR1532" s="82"/>
      <c r="AS1532" s="82"/>
      <c r="AT1532" s="82"/>
      <c r="AU1532" s="82"/>
      <c r="AV1532" s="82"/>
      <c r="AW1532" s="82" t="str">
        <f t="shared" si="1"/>
        <v/>
      </c>
      <c r="AX1532" s="83" t="str">
        <f t="array" ref="AX1532">IFERROR(DGET('SBV Import'!A:G,"SBV",{"RSC ID","Tier";B1532,A1532}))</f>
        <v/>
      </c>
      <c r="AY1532" s="82" t="str">
        <f t="shared" si="2"/>
        <v/>
      </c>
      <c r="AZ1532" s="82"/>
      <c r="BA1532" s="84" t="s">
        <v>152</v>
      </c>
      <c r="BB1532" s="84" t="str">
        <f>IFERROR(__xludf.DUMMYFUNCTION("iferror(if(A1532="""",,E1532&gt;=FILTER(Constants!$F$2:$F$10,Constants!$A$2:$A$10=A1532)))"),"")</f>
        <v/>
      </c>
    </row>
    <row r="1533">
      <c r="A1533" s="89"/>
      <c r="B1533" s="87"/>
      <c r="C1533" s="73"/>
      <c r="D1533" s="73"/>
      <c r="E1533" s="82"/>
      <c r="F1533" s="82"/>
      <c r="G1533" s="86"/>
      <c r="H1533" s="86"/>
      <c r="I1533" s="86"/>
      <c r="J1533" s="82"/>
      <c r="K1533" s="82"/>
      <c r="L1533" s="82"/>
      <c r="M1533" s="82"/>
      <c r="N1533" s="82"/>
      <c r="O1533" s="82"/>
      <c r="P1533" s="82"/>
      <c r="Q1533" s="82"/>
      <c r="R1533" s="82"/>
      <c r="S1533" s="82"/>
      <c r="T1533" s="82"/>
      <c r="U1533" s="82"/>
      <c r="V1533" s="82"/>
      <c r="W1533" s="82"/>
      <c r="X1533" s="82"/>
      <c r="Y1533" s="82"/>
      <c r="Z1533" s="82"/>
      <c r="AA1533" s="82"/>
      <c r="AB1533" s="82"/>
      <c r="AC1533" s="82"/>
      <c r="AD1533" s="82"/>
      <c r="AE1533" s="82"/>
      <c r="AF1533" s="82"/>
      <c r="AG1533" s="82"/>
      <c r="AH1533" s="82"/>
      <c r="AI1533" s="82"/>
      <c r="AJ1533" s="82"/>
      <c r="AK1533" s="82"/>
      <c r="AL1533" s="82"/>
      <c r="AM1533" s="82"/>
      <c r="AN1533" s="82"/>
      <c r="AO1533" s="82"/>
      <c r="AP1533" s="82"/>
      <c r="AQ1533" s="82"/>
      <c r="AR1533" s="82"/>
      <c r="AS1533" s="82"/>
      <c r="AT1533" s="82"/>
      <c r="AU1533" s="82"/>
      <c r="AV1533" s="82"/>
      <c r="AW1533" s="82" t="str">
        <f t="shared" si="1"/>
        <v/>
      </c>
      <c r="AX1533" s="83" t="str">
        <f t="array" ref="AX1533">IFERROR(DGET('SBV Import'!A:G,"SBV",{"RSC ID","Tier";B1533,A1533}))</f>
        <v/>
      </c>
      <c r="AY1533" s="82" t="str">
        <f t="shared" si="2"/>
        <v/>
      </c>
      <c r="AZ1533" s="82"/>
      <c r="BA1533" s="84" t="s">
        <v>152</v>
      </c>
      <c r="BB1533" s="84" t="str">
        <f>IFERROR(__xludf.DUMMYFUNCTION("iferror(if(A1533="""",,E1533&gt;=FILTER(Constants!$F$2:$F$10,Constants!$A$2:$A$10=A1533)))"),"")</f>
        <v/>
      </c>
    </row>
    <row r="1534">
      <c r="A1534" s="89"/>
      <c r="B1534" s="87"/>
      <c r="C1534" s="73"/>
      <c r="D1534" s="73"/>
      <c r="E1534" s="82"/>
      <c r="F1534" s="82"/>
      <c r="G1534" s="86"/>
      <c r="H1534" s="86"/>
      <c r="I1534" s="86"/>
      <c r="J1534" s="82"/>
      <c r="K1534" s="82"/>
      <c r="L1534" s="82"/>
      <c r="M1534" s="82"/>
      <c r="N1534" s="82"/>
      <c r="O1534" s="82"/>
      <c r="P1534" s="82"/>
      <c r="Q1534" s="82"/>
      <c r="R1534" s="82"/>
      <c r="S1534" s="82"/>
      <c r="T1534" s="82"/>
      <c r="U1534" s="82"/>
      <c r="V1534" s="82"/>
      <c r="W1534" s="82"/>
      <c r="X1534" s="82"/>
      <c r="Y1534" s="82"/>
      <c r="Z1534" s="82"/>
      <c r="AA1534" s="82"/>
      <c r="AB1534" s="82"/>
      <c r="AC1534" s="82"/>
      <c r="AD1534" s="82"/>
      <c r="AE1534" s="82"/>
      <c r="AF1534" s="82"/>
      <c r="AG1534" s="82"/>
      <c r="AH1534" s="82"/>
      <c r="AI1534" s="82"/>
      <c r="AJ1534" s="82"/>
      <c r="AK1534" s="82"/>
      <c r="AL1534" s="82"/>
      <c r="AM1534" s="82"/>
      <c r="AN1534" s="82"/>
      <c r="AO1534" s="82"/>
      <c r="AP1534" s="82"/>
      <c r="AQ1534" s="82"/>
      <c r="AR1534" s="82"/>
      <c r="AS1534" s="82"/>
      <c r="AT1534" s="82"/>
      <c r="AU1534" s="82"/>
      <c r="AV1534" s="82"/>
      <c r="AW1534" s="82" t="str">
        <f t="shared" si="1"/>
        <v/>
      </c>
      <c r="AX1534" s="83" t="str">
        <f t="array" ref="AX1534">IFERROR(DGET('SBV Import'!A:G,"SBV",{"RSC ID","Tier";B1534,A1534}))</f>
        <v/>
      </c>
      <c r="AY1534" s="82" t="str">
        <f t="shared" si="2"/>
        <v/>
      </c>
      <c r="AZ1534" s="82"/>
      <c r="BA1534" s="84" t="s">
        <v>152</v>
      </c>
      <c r="BB1534" s="84" t="str">
        <f>IFERROR(__xludf.DUMMYFUNCTION("iferror(if(A1534="""",,E1534&gt;=FILTER(Constants!$F$2:$F$10,Constants!$A$2:$A$10=A1534)))"),"")</f>
        <v/>
      </c>
    </row>
    <row r="1535">
      <c r="A1535" s="89"/>
      <c r="B1535" s="87"/>
      <c r="C1535" s="73"/>
      <c r="D1535" s="73"/>
      <c r="E1535" s="82"/>
      <c r="F1535" s="82"/>
      <c r="G1535" s="86"/>
      <c r="H1535" s="86"/>
      <c r="I1535" s="86"/>
      <c r="J1535" s="82"/>
      <c r="K1535" s="82"/>
      <c r="L1535" s="82"/>
      <c r="M1535" s="82"/>
      <c r="N1535" s="82"/>
      <c r="O1535" s="82"/>
      <c r="P1535" s="82"/>
      <c r="Q1535" s="82"/>
      <c r="R1535" s="82"/>
      <c r="S1535" s="82"/>
      <c r="T1535" s="82"/>
      <c r="U1535" s="82"/>
      <c r="V1535" s="82"/>
      <c r="W1535" s="82"/>
      <c r="X1535" s="82"/>
      <c r="Y1535" s="82"/>
      <c r="Z1535" s="82"/>
      <c r="AA1535" s="82"/>
      <c r="AB1535" s="82"/>
      <c r="AC1535" s="82"/>
      <c r="AD1535" s="82"/>
      <c r="AE1535" s="82"/>
      <c r="AF1535" s="82"/>
      <c r="AG1535" s="82"/>
      <c r="AH1535" s="82"/>
      <c r="AI1535" s="82"/>
      <c r="AJ1535" s="82"/>
      <c r="AK1535" s="82"/>
      <c r="AL1535" s="82"/>
      <c r="AM1535" s="82"/>
      <c r="AN1535" s="82"/>
      <c r="AO1535" s="82"/>
      <c r="AP1535" s="82"/>
      <c r="AQ1535" s="82"/>
      <c r="AR1535" s="82"/>
      <c r="AS1535" s="82"/>
      <c r="AT1535" s="82"/>
      <c r="AU1535" s="82"/>
      <c r="AV1535" s="82"/>
      <c r="AW1535" s="82" t="str">
        <f t="shared" si="1"/>
        <v/>
      </c>
      <c r="AX1535" s="83" t="str">
        <f t="array" ref="AX1535">IFERROR(DGET('SBV Import'!A:G,"SBV",{"RSC ID","Tier";B1535,A1535}))</f>
        <v/>
      </c>
      <c r="AY1535" s="82" t="str">
        <f t="shared" si="2"/>
        <v/>
      </c>
      <c r="AZ1535" s="82"/>
      <c r="BA1535" s="84" t="s">
        <v>152</v>
      </c>
      <c r="BB1535" s="84" t="str">
        <f>IFERROR(__xludf.DUMMYFUNCTION("iferror(if(A1535="""",,E1535&gt;=FILTER(Constants!$F$2:$F$10,Constants!$A$2:$A$10=A1535)))"),"")</f>
        <v/>
      </c>
    </row>
    <row r="1536">
      <c r="A1536" s="89"/>
      <c r="B1536" s="87"/>
      <c r="C1536" s="73"/>
      <c r="D1536" s="73"/>
      <c r="E1536" s="82"/>
      <c r="F1536" s="82"/>
      <c r="G1536" s="86"/>
      <c r="H1536" s="86"/>
      <c r="I1536" s="86"/>
      <c r="J1536" s="82"/>
      <c r="K1536" s="82"/>
      <c r="L1536" s="82"/>
      <c r="M1536" s="82"/>
      <c r="N1536" s="82"/>
      <c r="O1536" s="82"/>
      <c r="P1536" s="82"/>
      <c r="Q1536" s="82"/>
      <c r="R1536" s="82"/>
      <c r="S1536" s="82"/>
      <c r="T1536" s="82"/>
      <c r="U1536" s="82"/>
      <c r="V1536" s="82"/>
      <c r="W1536" s="82"/>
      <c r="X1536" s="82"/>
      <c r="Y1536" s="82"/>
      <c r="Z1536" s="82"/>
      <c r="AA1536" s="82"/>
      <c r="AB1536" s="82"/>
      <c r="AC1536" s="82"/>
      <c r="AD1536" s="82"/>
      <c r="AE1536" s="82"/>
      <c r="AF1536" s="82"/>
      <c r="AG1536" s="82"/>
      <c r="AH1536" s="82"/>
      <c r="AI1536" s="82"/>
      <c r="AJ1536" s="82"/>
      <c r="AK1536" s="82"/>
      <c r="AL1536" s="82"/>
      <c r="AM1536" s="82"/>
      <c r="AN1536" s="82"/>
      <c r="AO1536" s="82"/>
      <c r="AP1536" s="82"/>
      <c r="AQ1536" s="82"/>
      <c r="AR1536" s="82"/>
      <c r="AS1536" s="82"/>
      <c r="AT1536" s="82"/>
      <c r="AU1536" s="82"/>
      <c r="AV1536" s="82"/>
      <c r="AW1536" s="82" t="str">
        <f t="shared" si="1"/>
        <v/>
      </c>
      <c r="AX1536" s="83" t="str">
        <f t="array" ref="AX1536">IFERROR(DGET('SBV Import'!A:G,"SBV",{"RSC ID","Tier";B1536,A1536}))</f>
        <v/>
      </c>
      <c r="AY1536" s="82" t="str">
        <f t="shared" si="2"/>
        <v/>
      </c>
      <c r="AZ1536" s="82"/>
      <c r="BA1536" s="84" t="s">
        <v>152</v>
      </c>
      <c r="BB1536" s="84" t="str">
        <f>IFERROR(__xludf.DUMMYFUNCTION("iferror(if(A1536="""",,E1536&gt;=FILTER(Constants!$F$2:$F$10,Constants!$A$2:$A$10=A1536)))"),"")</f>
        <v/>
      </c>
    </row>
    <row r="1537">
      <c r="A1537" s="89"/>
      <c r="B1537" s="87"/>
      <c r="C1537" s="73"/>
      <c r="D1537" s="73"/>
      <c r="E1537" s="82"/>
      <c r="F1537" s="82"/>
      <c r="G1537" s="86"/>
      <c r="H1537" s="86"/>
      <c r="I1537" s="86"/>
      <c r="J1537" s="82"/>
      <c r="K1537" s="82"/>
      <c r="L1537" s="82"/>
      <c r="M1537" s="82"/>
      <c r="N1537" s="82"/>
      <c r="O1537" s="82"/>
      <c r="P1537" s="82"/>
      <c r="Q1537" s="82"/>
      <c r="R1537" s="82"/>
      <c r="S1537" s="82"/>
      <c r="T1537" s="82"/>
      <c r="U1537" s="82"/>
      <c r="V1537" s="82"/>
      <c r="W1537" s="82"/>
      <c r="X1537" s="82"/>
      <c r="Y1537" s="82"/>
      <c r="Z1537" s="82"/>
      <c r="AA1537" s="82"/>
      <c r="AB1537" s="82"/>
      <c r="AC1537" s="82"/>
      <c r="AD1537" s="82"/>
      <c r="AE1537" s="82"/>
      <c r="AF1537" s="82"/>
      <c r="AG1537" s="82"/>
      <c r="AH1537" s="82"/>
      <c r="AI1537" s="82"/>
      <c r="AJ1537" s="82"/>
      <c r="AK1537" s="82"/>
      <c r="AL1537" s="82"/>
      <c r="AM1537" s="82"/>
      <c r="AN1537" s="82"/>
      <c r="AO1537" s="82"/>
      <c r="AP1537" s="82"/>
      <c r="AQ1537" s="82"/>
      <c r="AR1537" s="82"/>
      <c r="AS1537" s="82"/>
      <c r="AT1537" s="82"/>
      <c r="AU1537" s="82"/>
      <c r="AV1537" s="82"/>
      <c r="AW1537" s="82" t="str">
        <f t="shared" si="1"/>
        <v/>
      </c>
      <c r="AX1537" s="83" t="str">
        <f t="array" ref="AX1537">IFERROR(DGET('SBV Import'!A:G,"SBV",{"RSC ID","Tier";B1537,A1537}))</f>
        <v/>
      </c>
      <c r="AY1537" s="82" t="str">
        <f t="shared" si="2"/>
        <v/>
      </c>
      <c r="AZ1537" s="82"/>
      <c r="BA1537" s="84" t="s">
        <v>152</v>
      </c>
      <c r="BB1537" s="84" t="str">
        <f>IFERROR(__xludf.DUMMYFUNCTION("iferror(if(A1537="""",,E1537&gt;=FILTER(Constants!$F$2:$F$10,Constants!$A$2:$A$10=A1537)))"),"")</f>
        <v/>
      </c>
    </row>
    <row r="1538">
      <c r="A1538" s="89"/>
      <c r="B1538" s="87"/>
      <c r="C1538" s="73"/>
      <c r="D1538" s="73"/>
      <c r="E1538" s="82"/>
      <c r="F1538" s="82"/>
      <c r="G1538" s="86"/>
      <c r="H1538" s="86"/>
      <c r="I1538" s="86"/>
      <c r="J1538" s="82"/>
      <c r="K1538" s="82"/>
      <c r="L1538" s="82"/>
      <c r="M1538" s="82"/>
      <c r="N1538" s="82"/>
      <c r="O1538" s="82"/>
      <c r="P1538" s="82"/>
      <c r="Q1538" s="82"/>
      <c r="R1538" s="82"/>
      <c r="S1538" s="82"/>
      <c r="T1538" s="82"/>
      <c r="U1538" s="82"/>
      <c r="V1538" s="82"/>
      <c r="W1538" s="82"/>
      <c r="X1538" s="82"/>
      <c r="Y1538" s="82"/>
      <c r="Z1538" s="82"/>
      <c r="AA1538" s="82"/>
      <c r="AB1538" s="82"/>
      <c r="AC1538" s="82"/>
      <c r="AD1538" s="82"/>
      <c r="AE1538" s="82"/>
      <c r="AF1538" s="82"/>
      <c r="AG1538" s="82"/>
      <c r="AH1538" s="82"/>
      <c r="AI1538" s="82"/>
      <c r="AJ1538" s="82"/>
      <c r="AK1538" s="82"/>
      <c r="AL1538" s="82"/>
      <c r="AM1538" s="82"/>
      <c r="AN1538" s="82"/>
      <c r="AO1538" s="82"/>
      <c r="AP1538" s="82"/>
      <c r="AQ1538" s="82"/>
      <c r="AR1538" s="82"/>
      <c r="AS1538" s="82"/>
      <c r="AT1538" s="82"/>
      <c r="AU1538" s="82"/>
      <c r="AV1538" s="82"/>
      <c r="AW1538" s="82" t="str">
        <f t="shared" si="1"/>
        <v/>
      </c>
      <c r="AX1538" s="83" t="str">
        <f t="array" ref="AX1538">IFERROR(DGET('SBV Import'!A:G,"SBV",{"RSC ID","Tier";B1538,A1538}))</f>
        <v/>
      </c>
      <c r="AY1538" s="82" t="str">
        <f t="shared" si="2"/>
        <v/>
      </c>
      <c r="AZ1538" s="82"/>
      <c r="BA1538" s="84" t="s">
        <v>152</v>
      </c>
      <c r="BB1538" s="84" t="str">
        <f>IFERROR(__xludf.DUMMYFUNCTION("iferror(if(A1538="""",,E1538&gt;=FILTER(Constants!$F$2:$F$10,Constants!$A$2:$A$10=A1538)))"),"")</f>
        <v/>
      </c>
    </row>
    <row r="1539">
      <c r="A1539" s="89"/>
      <c r="B1539" s="87"/>
      <c r="C1539" s="73"/>
      <c r="D1539" s="73"/>
      <c r="E1539" s="82"/>
      <c r="F1539" s="82"/>
      <c r="G1539" s="86"/>
      <c r="H1539" s="86"/>
      <c r="I1539" s="86"/>
      <c r="J1539" s="82"/>
      <c r="K1539" s="82"/>
      <c r="L1539" s="82"/>
      <c r="M1539" s="82"/>
      <c r="N1539" s="82"/>
      <c r="O1539" s="82"/>
      <c r="P1539" s="82"/>
      <c r="Q1539" s="82"/>
      <c r="R1539" s="82"/>
      <c r="S1539" s="82"/>
      <c r="T1539" s="82"/>
      <c r="U1539" s="82"/>
      <c r="V1539" s="82"/>
      <c r="W1539" s="82"/>
      <c r="X1539" s="82"/>
      <c r="Y1539" s="82"/>
      <c r="Z1539" s="82"/>
      <c r="AA1539" s="82"/>
      <c r="AB1539" s="82"/>
      <c r="AC1539" s="82"/>
      <c r="AD1539" s="82"/>
      <c r="AE1539" s="82"/>
      <c r="AF1539" s="82"/>
      <c r="AG1539" s="82"/>
      <c r="AH1539" s="82"/>
      <c r="AI1539" s="82"/>
      <c r="AJ1539" s="82"/>
      <c r="AK1539" s="82"/>
      <c r="AL1539" s="82"/>
      <c r="AM1539" s="82"/>
      <c r="AN1539" s="82"/>
      <c r="AO1539" s="82"/>
      <c r="AP1539" s="82"/>
      <c r="AQ1539" s="82"/>
      <c r="AR1539" s="82"/>
      <c r="AS1539" s="82"/>
      <c r="AT1539" s="82"/>
      <c r="AU1539" s="82"/>
      <c r="AV1539" s="82"/>
      <c r="AW1539" s="82" t="str">
        <f t="shared" si="1"/>
        <v/>
      </c>
      <c r="AX1539" s="83" t="str">
        <f t="array" ref="AX1539">IFERROR(DGET('SBV Import'!A:G,"SBV",{"RSC ID","Tier";B1539,A1539}))</f>
        <v/>
      </c>
      <c r="AY1539" s="82" t="str">
        <f t="shared" si="2"/>
        <v/>
      </c>
      <c r="AZ1539" s="82"/>
      <c r="BA1539" s="84" t="s">
        <v>152</v>
      </c>
      <c r="BB1539" s="84" t="str">
        <f>IFERROR(__xludf.DUMMYFUNCTION("iferror(if(A1539="""",,E1539&gt;=FILTER(Constants!$F$2:$F$10,Constants!$A$2:$A$10=A1539)))"),"")</f>
        <v/>
      </c>
    </row>
    <row r="1540">
      <c r="A1540" s="89"/>
      <c r="B1540" s="87"/>
      <c r="C1540" s="73"/>
      <c r="D1540" s="73"/>
      <c r="E1540" s="82"/>
      <c r="F1540" s="82"/>
      <c r="G1540" s="86"/>
      <c r="H1540" s="86"/>
      <c r="I1540" s="86"/>
      <c r="J1540" s="82"/>
      <c r="K1540" s="82"/>
      <c r="L1540" s="82"/>
      <c r="M1540" s="82"/>
      <c r="N1540" s="82"/>
      <c r="O1540" s="82"/>
      <c r="P1540" s="82"/>
      <c r="Q1540" s="82"/>
      <c r="R1540" s="82"/>
      <c r="S1540" s="82"/>
      <c r="T1540" s="82"/>
      <c r="U1540" s="82"/>
      <c r="V1540" s="82"/>
      <c r="W1540" s="82"/>
      <c r="X1540" s="82"/>
      <c r="Y1540" s="82"/>
      <c r="Z1540" s="82"/>
      <c r="AA1540" s="82"/>
      <c r="AB1540" s="82"/>
      <c r="AC1540" s="82"/>
      <c r="AD1540" s="82"/>
      <c r="AE1540" s="82"/>
      <c r="AF1540" s="82"/>
      <c r="AG1540" s="82"/>
      <c r="AH1540" s="82"/>
      <c r="AI1540" s="82"/>
      <c r="AJ1540" s="82"/>
      <c r="AK1540" s="82"/>
      <c r="AL1540" s="82"/>
      <c r="AM1540" s="82"/>
      <c r="AN1540" s="82"/>
      <c r="AO1540" s="82"/>
      <c r="AP1540" s="82"/>
      <c r="AQ1540" s="82"/>
      <c r="AR1540" s="82"/>
      <c r="AS1540" s="82"/>
      <c r="AT1540" s="82"/>
      <c r="AU1540" s="82"/>
      <c r="AV1540" s="82"/>
      <c r="AW1540" s="82" t="str">
        <f t="shared" si="1"/>
        <v/>
      </c>
      <c r="AX1540" s="83" t="str">
        <f t="array" ref="AX1540">IFERROR(DGET('SBV Import'!A:G,"SBV",{"RSC ID","Tier";B1540,A1540}))</f>
        <v/>
      </c>
      <c r="AY1540" s="82" t="str">
        <f t="shared" si="2"/>
        <v/>
      </c>
      <c r="AZ1540" s="82"/>
      <c r="BA1540" s="84" t="s">
        <v>152</v>
      </c>
      <c r="BB1540" s="84" t="str">
        <f>IFERROR(__xludf.DUMMYFUNCTION("iferror(if(A1540="""",,E1540&gt;=FILTER(Constants!$F$2:$F$10,Constants!$A$2:$A$10=A1540)))"),"")</f>
        <v/>
      </c>
    </row>
    <row r="1541">
      <c r="A1541" s="89"/>
      <c r="B1541" s="87"/>
      <c r="C1541" s="73"/>
      <c r="D1541" s="73"/>
      <c r="E1541" s="82"/>
      <c r="F1541" s="82"/>
      <c r="G1541" s="86"/>
      <c r="H1541" s="86"/>
      <c r="I1541" s="86"/>
      <c r="J1541" s="82"/>
      <c r="K1541" s="82"/>
      <c r="L1541" s="82"/>
      <c r="M1541" s="82"/>
      <c r="N1541" s="82"/>
      <c r="O1541" s="82"/>
      <c r="P1541" s="82"/>
      <c r="Q1541" s="82"/>
      <c r="R1541" s="82"/>
      <c r="S1541" s="82"/>
      <c r="T1541" s="82"/>
      <c r="U1541" s="82"/>
      <c r="V1541" s="82"/>
      <c r="W1541" s="82"/>
      <c r="X1541" s="82"/>
      <c r="Y1541" s="82"/>
      <c r="Z1541" s="82"/>
      <c r="AA1541" s="82"/>
      <c r="AB1541" s="82"/>
      <c r="AC1541" s="82"/>
      <c r="AD1541" s="82"/>
      <c r="AE1541" s="82"/>
      <c r="AF1541" s="82"/>
      <c r="AG1541" s="82"/>
      <c r="AH1541" s="82"/>
      <c r="AI1541" s="82"/>
      <c r="AJ1541" s="82"/>
      <c r="AK1541" s="82"/>
      <c r="AL1541" s="82"/>
      <c r="AM1541" s="82"/>
      <c r="AN1541" s="82"/>
      <c r="AO1541" s="82"/>
      <c r="AP1541" s="82"/>
      <c r="AQ1541" s="82"/>
      <c r="AR1541" s="82"/>
      <c r="AS1541" s="82"/>
      <c r="AT1541" s="82"/>
      <c r="AU1541" s="82"/>
      <c r="AV1541" s="82"/>
      <c r="AW1541" s="82" t="str">
        <f t="shared" si="1"/>
        <v/>
      </c>
      <c r="AX1541" s="83" t="str">
        <f t="array" ref="AX1541">IFERROR(DGET('SBV Import'!A:G,"SBV",{"RSC ID","Tier";B1541,A1541}))</f>
        <v/>
      </c>
      <c r="AY1541" s="82" t="str">
        <f t="shared" si="2"/>
        <v/>
      </c>
      <c r="AZ1541" s="82"/>
      <c r="BA1541" s="84" t="s">
        <v>152</v>
      </c>
      <c r="BB1541" s="84" t="str">
        <f>IFERROR(__xludf.DUMMYFUNCTION("iferror(if(A1541="""",,E1541&gt;=FILTER(Constants!$F$2:$F$10,Constants!$A$2:$A$10=A1541)))"),"")</f>
        <v/>
      </c>
    </row>
    <row r="1542">
      <c r="A1542" s="89"/>
      <c r="B1542" s="87"/>
      <c r="C1542" s="73"/>
      <c r="D1542" s="73"/>
      <c r="E1542" s="82"/>
      <c r="F1542" s="82"/>
      <c r="G1542" s="86"/>
      <c r="H1542" s="86"/>
      <c r="I1542" s="86"/>
      <c r="J1542" s="82"/>
      <c r="K1542" s="82"/>
      <c r="L1542" s="82"/>
      <c r="M1542" s="82"/>
      <c r="N1542" s="82"/>
      <c r="O1542" s="82"/>
      <c r="P1542" s="82"/>
      <c r="Q1542" s="82"/>
      <c r="R1542" s="82"/>
      <c r="S1542" s="82"/>
      <c r="T1542" s="82"/>
      <c r="U1542" s="82"/>
      <c r="V1542" s="82"/>
      <c r="W1542" s="82"/>
      <c r="X1542" s="82"/>
      <c r="Y1542" s="82"/>
      <c r="Z1542" s="82"/>
      <c r="AA1542" s="82"/>
      <c r="AB1542" s="82"/>
      <c r="AC1542" s="82"/>
      <c r="AD1542" s="82"/>
      <c r="AE1542" s="82"/>
      <c r="AF1542" s="82"/>
      <c r="AG1542" s="82"/>
      <c r="AH1542" s="82"/>
      <c r="AI1542" s="82"/>
      <c r="AJ1542" s="82"/>
      <c r="AK1542" s="82"/>
      <c r="AL1542" s="82"/>
      <c r="AM1542" s="82"/>
      <c r="AN1542" s="82"/>
      <c r="AO1542" s="82"/>
      <c r="AP1542" s="82"/>
      <c r="AQ1542" s="82"/>
      <c r="AR1542" s="82"/>
      <c r="AS1542" s="82"/>
      <c r="AT1542" s="82"/>
      <c r="AU1542" s="82"/>
      <c r="AV1542" s="82"/>
      <c r="AW1542" s="82" t="str">
        <f t="shared" si="1"/>
        <v/>
      </c>
      <c r="AX1542" s="83" t="str">
        <f t="array" ref="AX1542">IFERROR(DGET('SBV Import'!A:G,"SBV",{"RSC ID","Tier";B1542,A1542}))</f>
        <v/>
      </c>
      <c r="AY1542" s="82" t="str">
        <f t="shared" si="2"/>
        <v/>
      </c>
      <c r="AZ1542" s="82"/>
      <c r="BA1542" s="84" t="s">
        <v>152</v>
      </c>
      <c r="BB1542" s="84" t="str">
        <f>IFERROR(__xludf.DUMMYFUNCTION("iferror(if(A1542="""",,E1542&gt;=FILTER(Constants!$F$2:$F$10,Constants!$A$2:$A$10=A1542)))"),"")</f>
        <v/>
      </c>
    </row>
    <row r="1543">
      <c r="A1543" s="89"/>
      <c r="B1543" s="87"/>
      <c r="C1543" s="73"/>
      <c r="D1543" s="73"/>
      <c r="E1543" s="82"/>
      <c r="F1543" s="82"/>
      <c r="G1543" s="86"/>
      <c r="H1543" s="86"/>
      <c r="I1543" s="86"/>
      <c r="J1543" s="82"/>
      <c r="K1543" s="82"/>
      <c r="L1543" s="82"/>
      <c r="M1543" s="82"/>
      <c r="N1543" s="82"/>
      <c r="O1543" s="82"/>
      <c r="P1543" s="82"/>
      <c r="Q1543" s="82"/>
      <c r="R1543" s="82"/>
      <c r="S1543" s="82"/>
      <c r="T1543" s="82"/>
      <c r="U1543" s="82"/>
      <c r="V1543" s="82"/>
      <c r="W1543" s="82"/>
      <c r="X1543" s="82"/>
      <c r="Y1543" s="82"/>
      <c r="Z1543" s="82"/>
      <c r="AA1543" s="82"/>
      <c r="AB1543" s="82"/>
      <c r="AC1543" s="82"/>
      <c r="AD1543" s="82"/>
      <c r="AE1543" s="82"/>
      <c r="AF1543" s="82"/>
      <c r="AG1543" s="82"/>
      <c r="AH1543" s="82"/>
      <c r="AI1543" s="82"/>
      <c r="AJ1543" s="82"/>
      <c r="AK1543" s="82"/>
      <c r="AL1543" s="82"/>
      <c r="AM1543" s="82"/>
      <c r="AN1543" s="82"/>
      <c r="AO1543" s="82"/>
      <c r="AP1543" s="82"/>
      <c r="AQ1543" s="82"/>
      <c r="AR1543" s="82"/>
      <c r="AS1543" s="82"/>
      <c r="AT1543" s="82"/>
      <c r="AU1543" s="82"/>
      <c r="AV1543" s="82"/>
      <c r="AW1543" s="82" t="str">
        <f t="shared" si="1"/>
        <v/>
      </c>
      <c r="AX1543" s="83" t="str">
        <f t="array" ref="AX1543">IFERROR(DGET('SBV Import'!A:G,"SBV",{"RSC ID","Tier";B1543,A1543}))</f>
        <v/>
      </c>
      <c r="AY1543" s="82" t="str">
        <f t="shared" si="2"/>
        <v/>
      </c>
      <c r="AZ1543" s="82"/>
      <c r="BA1543" s="84" t="s">
        <v>152</v>
      </c>
      <c r="BB1543" s="84" t="str">
        <f>IFERROR(__xludf.DUMMYFUNCTION("iferror(if(A1543="""",,E1543&gt;=FILTER(Constants!$F$2:$F$10,Constants!$A$2:$A$10=A1543)))"),"")</f>
        <v/>
      </c>
    </row>
    <row r="1544">
      <c r="A1544" s="89"/>
      <c r="B1544" s="87"/>
      <c r="C1544" s="73"/>
      <c r="D1544" s="73"/>
      <c r="E1544" s="82"/>
      <c r="F1544" s="82"/>
      <c r="G1544" s="86"/>
      <c r="H1544" s="86"/>
      <c r="I1544" s="86"/>
      <c r="J1544" s="82"/>
      <c r="K1544" s="82"/>
      <c r="L1544" s="82"/>
      <c r="M1544" s="82"/>
      <c r="N1544" s="82"/>
      <c r="O1544" s="82"/>
      <c r="P1544" s="82"/>
      <c r="Q1544" s="82"/>
      <c r="R1544" s="82"/>
      <c r="S1544" s="82"/>
      <c r="T1544" s="82"/>
      <c r="U1544" s="82"/>
      <c r="V1544" s="82"/>
      <c r="W1544" s="82"/>
      <c r="X1544" s="82"/>
      <c r="Y1544" s="82"/>
      <c r="Z1544" s="82"/>
      <c r="AA1544" s="82"/>
      <c r="AB1544" s="82"/>
      <c r="AC1544" s="82"/>
      <c r="AD1544" s="82"/>
      <c r="AE1544" s="82"/>
      <c r="AF1544" s="82"/>
      <c r="AG1544" s="82"/>
      <c r="AH1544" s="82"/>
      <c r="AI1544" s="82"/>
      <c r="AJ1544" s="82"/>
      <c r="AK1544" s="82"/>
      <c r="AL1544" s="82"/>
      <c r="AM1544" s="82"/>
      <c r="AN1544" s="82"/>
      <c r="AO1544" s="82"/>
      <c r="AP1544" s="82"/>
      <c r="AQ1544" s="82"/>
      <c r="AR1544" s="82"/>
      <c r="AS1544" s="82"/>
      <c r="AT1544" s="82"/>
      <c r="AU1544" s="82"/>
      <c r="AV1544" s="82"/>
      <c r="AW1544" s="82" t="str">
        <f t="shared" si="1"/>
        <v/>
      </c>
      <c r="AX1544" s="83" t="str">
        <f t="array" ref="AX1544">IFERROR(DGET('SBV Import'!A:G,"SBV",{"RSC ID","Tier";B1544,A1544}))</f>
        <v/>
      </c>
      <c r="AY1544" s="82" t="str">
        <f t="shared" si="2"/>
        <v/>
      </c>
      <c r="AZ1544" s="82"/>
      <c r="BA1544" s="84" t="s">
        <v>152</v>
      </c>
      <c r="BB1544" s="84" t="str">
        <f>IFERROR(__xludf.DUMMYFUNCTION("iferror(if(A1544="""",,E1544&gt;=FILTER(Constants!$F$2:$F$10,Constants!$A$2:$A$10=A1544)))"),"")</f>
        <v/>
      </c>
    </row>
    <row r="1545">
      <c r="A1545" s="89"/>
      <c r="B1545" s="87"/>
      <c r="C1545" s="73"/>
      <c r="D1545" s="73"/>
      <c r="E1545" s="82"/>
      <c r="F1545" s="82"/>
      <c r="G1545" s="86"/>
      <c r="H1545" s="86"/>
      <c r="I1545" s="86"/>
      <c r="J1545" s="82"/>
      <c r="K1545" s="82"/>
      <c r="L1545" s="82"/>
      <c r="M1545" s="82"/>
      <c r="N1545" s="82"/>
      <c r="O1545" s="82"/>
      <c r="P1545" s="82"/>
      <c r="Q1545" s="82"/>
      <c r="R1545" s="82"/>
      <c r="S1545" s="82"/>
      <c r="T1545" s="82"/>
      <c r="U1545" s="82"/>
      <c r="V1545" s="82"/>
      <c r="W1545" s="82"/>
      <c r="X1545" s="82"/>
      <c r="Y1545" s="82"/>
      <c r="Z1545" s="82"/>
      <c r="AA1545" s="82"/>
      <c r="AB1545" s="82"/>
      <c r="AC1545" s="82"/>
      <c r="AD1545" s="82"/>
      <c r="AE1545" s="82"/>
      <c r="AF1545" s="82"/>
      <c r="AG1545" s="82"/>
      <c r="AH1545" s="82"/>
      <c r="AI1545" s="82"/>
      <c r="AJ1545" s="82"/>
      <c r="AK1545" s="82"/>
      <c r="AL1545" s="82"/>
      <c r="AM1545" s="82"/>
      <c r="AN1545" s="82"/>
      <c r="AO1545" s="82"/>
      <c r="AP1545" s="82"/>
      <c r="AQ1545" s="82"/>
      <c r="AR1545" s="82"/>
      <c r="AS1545" s="82"/>
      <c r="AT1545" s="82"/>
      <c r="AU1545" s="82"/>
      <c r="AV1545" s="82"/>
      <c r="AW1545" s="82" t="str">
        <f t="shared" si="1"/>
        <v/>
      </c>
      <c r="AX1545" s="83" t="str">
        <f t="array" ref="AX1545">IFERROR(DGET('SBV Import'!A:G,"SBV",{"RSC ID","Tier";B1545,A1545}))</f>
        <v/>
      </c>
      <c r="AY1545" s="82" t="str">
        <f t="shared" si="2"/>
        <v/>
      </c>
      <c r="AZ1545" s="82"/>
      <c r="BA1545" s="84" t="s">
        <v>152</v>
      </c>
      <c r="BB1545" s="84" t="str">
        <f>IFERROR(__xludf.DUMMYFUNCTION("iferror(if(A1545="""",,E1545&gt;=FILTER(Constants!$F$2:$F$10,Constants!$A$2:$A$10=A1545)))"),"")</f>
        <v/>
      </c>
    </row>
    <row r="1546">
      <c r="A1546" s="89"/>
      <c r="B1546" s="87"/>
      <c r="C1546" s="73"/>
      <c r="D1546" s="73"/>
      <c r="E1546" s="82"/>
      <c r="F1546" s="82"/>
      <c r="G1546" s="86"/>
      <c r="H1546" s="86"/>
      <c r="I1546" s="86"/>
      <c r="J1546" s="82"/>
      <c r="K1546" s="82"/>
      <c r="L1546" s="82"/>
      <c r="M1546" s="82"/>
      <c r="N1546" s="82"/>
      <c r="O1546" s="82"/>
      <c r="P1546" s="82"/>
      <c r="Q1546" s="82"/>
      <c r="R1546" s="82"/>
      <c r="S1546" s="82"/>
      <c r="T1546" s="82"/>
      <c r="U1546" s="82"/>
      <c r="V1546" s="82"/>
      <c r="W1546" s="82"/>
      <c r="X1546" s="82"/>
      <c r="Y1546" s="82"/>
      <c r="Z1546" s="82"/>
      <c r="AA1546" s="82"/>
      <c r="AB1546" s="82"/>
      <c r="AC1546" s="82"/>
      <c r="AD1546" s="82"/>
      <c r="AE1546" s="82"/>
      <c r="AF1546" s="82"/>
      <c r="AG1546" s="82"/>
      <c r="AH1546" s="82"/>
      <c r="AI1546" s="82"/>
      <c r="AJ1546" s="82"/>
      <c r="AK1546" s="82"/>
      <c r="AL1546" s="82"/>
      <c r="AM1546" s="82"/>
      <c r="AN1546" s="82"/>
      <c r="AO1546" s="82"/>
      <c r="AP1546" s="82"/>
      <c r="AQ1546" s="82"/>
      <c r="AR1546" s="82"/>
      <c r="AS1546" s="82"/>
      <c r="AT1546" s="82"/>
      <c r="AU1546" s="82"/>
      <c r="AV1546" s="82"/>
      <c r="AW1546" s="82" t="str">
        <f t="shared" si="1"/>
        <v/>
      </c>
      <c r="AX1546" s="83" t="str">
        <f t="array" ref="AX1546">IFERROR(DGET('SBV Import'!A:G,"SBV",{"RSC ID","Tier";B1546,A1546}))</f>
        <v/>
      </c>
      <c r="AY1546" s="82" t="str">
        <f t="shared" si="2"/>
        <v/>
      </c>
      <c r="AZ1546" s="82"/>
      <c r="BA1546" s="84" t="s">
        <v>152</v>
      </c>
      <c r="BB1546" s="84" t="str">
        <f>IFERROR(__xludf.DUMMYFUNCTION("iferror(if(A1546="""",,E1546&gt;=FILTER(Constants!$F$2:$F$10,Constants!$A$2:$A$10=A1546)))"),"")</f>
        <v/>
      </c>
    </row>
    <row r="1547">
      <c r="A1547" s="89"/>
      <c r="B1547" s="87"/>
      <c r="C1547" s="73"/>
      <c r="D1547" s="73"/>
      <c r="E1547" s="82"/>
      <c r="F1547" s="82"/>
      <c r="G1547" s="86"/>
      <c r="H1547" s="86"/>
      <c r="I1547" s="86"/>
      <c r="J1547" s="82"/>
      <c r="K1547" s="82"/>
      <c r="L1547" s="82"/>
      <c r="M1547" s="82"/>
      <c r="N1547" s="82"/>
      <c r="O1547" s="82"/>
      <c r="P1547" s="82"/>
      <c r="Q1547" s="82"/>
      <c r="R1547" s="82"/>
      <c r="S1547" s="82"/>
      <c r="T1547" s="82"/>
      <c r="U1547" s="82"/>
      <c r="V1547" s="82"/>
      <c r="W1547" s="82"/>
      <c r="X1547" s="82"/>
      <c r="Y1547" s="82"/>
      <c r="Z1547" s="82"/>
      <c r="AA1547" s="82"/>
      <c r="AB1547" s="82"/>
      <c r="AC1547" s="82"/>
      <c r="AD1547" s="82"/>
      <c r="AE1547" s="82"/>
      <c r="AF1547" s="82"/>
      <c r="AG1547" s="82"/>
      <c r="AH1547" s="82"/>
      <c r="AI1547" s="82"/>
      <c r="AJ1547" s="82"/>
      <c r="AK1547" s="82"/>
      <c r="AL1547" s="82"/>
      <c r="AM1547" s="82"/>
      <c r="AN1547" s="82"/>
      <c r="AO1547" s="82"/>
      <c r="AP1547" s="82"/>
      <c r="AQ1547" s="82"/>
      <c r="AR1547" s="82"/>
      <c r="AS1547" s="82"/>
      <c r="AT1547" s="82"/>
      <c r="AU1547" s="82"/>
      <c r="AV1547" s="82"/>
      <c r="AW1547" s="82" t="str">
        <f t="shared" si="1"/>
        <v/>
      </c>
      <c r="AX1547" s="83" t="str">
        <f t="array" ref="AX1547">IFERROR(DGET('SBV Import'!A:G,"SBV",{"RSC ID","Tier";B1547,A1547}))</f>
        <v/>
      </c>
      <c r="AY1547" s="82" t="str">
        <f t="shared" si="2"/>
        <v/>
      </c>
      <c r="AZ1547" s="82"/>
      <c r="BA1547" s="84" t="s">
        <v>152</v>
      </c>
      <c r="BB1547" s="84" t="str">
        <f>IFERROR(__xludf.DUMMYFUNCTION("iferror(if(A1547="""",,E1547&gt;=FILTER(Constants!$F$2:$F$10,Constants!$A$2:$A$10=A1547)))"),"")</f>
        <v/>
      </c>
    </row>
    <row r="1548">
      <c r="A1548" s="89"/>
      <c r="B1548" s="87"/>
      <c r="C1548" s="73"/>
      <c r="D1548" s="73"/>
      <c r="E1548" s="82"/>
      <c r="F1548" s="82"/>
      <c r="G1548" s="86"/>
      <c r="H1548" s="86"/>
      <c r="I1548" s="86"/>
      <c r="J1548" s="82"/>
      <c r="K1548" s="82"/>
      <c r="L1548" s="82"/>
      <c r="M1548" s="82"/>
      <c r="N1548" s="82"/>
      <c r="O1548" s="82"/>
      <c r="P1548" s="82"/>
      <c r="Q1548" s="82"/>
      <c r="R1548" s="82"/>
      <c r="S1548" s="82"/>
      <c r="T1548" s="82"/>
      <c r="U1548" s="82"/>
      <c r="V1548" s="82"/>
      <c r="W1548" s="82"/>
      <c r="X1548" s="82"/>
      <c r="Y1548" s="82"/>
      <c r="Z1548" s="82"/>
      <c r="AA1548" s="82"/>
      <c r="AB1548" s="82"/>
      <c r="AC1548" s="82"/>
      <c r="AD1548" s="82"/>
      <c r="AE1548" s="82"/>
      <c r="AF1548" s="82"/>
      <c r="AG1548" s="82"/>
      <c r="AH1548" s="82"/>
      <c r="AI1548" s="82"/>
      <c r="AJ1548" s="82"/>
      <c r="AK1548" s="82"/>
      <c r="AL1548" s="82"/>
      <c r="AM1548" s="82"/>
      <c r="AN1548" s="82"/>
      <c r="AO1548" s="82"/>
      <c r="AP1548" s="82"/>
      <c r="AQ1548" s="82"/>
      <c r="AR1548" s="82"/>
      <c r="AS1548" s="82"/>
      <c r="AT1548" s="82"/>
      <c r="AU1548" s="82"/>
      <c r="AV1548" s="82"/>
      <c r="AW1548" s="82" t="str">
        <f t="shared" si="1"/>
        <v/>
      </c>
      <c r="AX1548" s="83" t="str">
        <f t="array" ref="AX1548">IFERROR(DGET('SBV Import'!A:G,"SBV",{"RSC ID","Tier";B1548,A1548}))</f>
        <v/>
      </c>
      <c r="AY1548" s="82" t="str">
        <f t="shared" si="2"/>
        <v/>
      </c>
      <c r="AZ1548" s="82"/>
      <c r="BA1548" s="84" t="s">
        <v>152</v>
      </c>
      <c r="BB1548" s="84" t="str">
        <f>IFERROR(__xludf.DUMMYFUNCTION("iferror(if(A1548="""",,E1548&gt;=FILTER(Constants!$F$2:$F$10,Constants!$A$2:$A$10=A1548)))"),"")</f>
        <v/>
      </c>
    </row>
    <row r="1549">
      <c r="A1549" s="89"/>
      <c r="B1549" s="87"/>
      <c r="C1549" s="73"/>
      <c r="D1549" s="73"/>
      <c r="E1549" s="82"/>
      <c r="F1549" s="82"/>
      <c r="G1549" s="86"/>
      <c r="H1549" s="86"/>
      <c r="I1549" s="86"/>
      <c r="J1549" s="82"/>
      <c r="K1549" s="82"/>
      <c r="L1549" s="82"/>
      <c r="M1549" s="82"/>
      <c r="N1549" s="82"/>
      <c r="O1549" s="82"/>
      <c r="P1549" s="82"/>
      <c r="Q1549" s="82"/>
      <c r="R1549" s="82"/>
      <c r="S1549" s="82"/>
      <c r="T1549" s="82"/>
      <c r="U1549" s="82"/>
      <c r="V1549" s="82"/>
      <c r="W1549" s="82"/>
      <c r="X1549" s="82"/>
      <c r="Y1549" s="82"/>
      <c r="Z1549" s="82"/>
      <c r="AA1549" s="82"/>
      <c r="AB1549" s="82"/>
      <c r="AC1549" s="82"/>
      <c r="AD1549" s="82"/>
      <c r="AE1549" s="82"/>
      <c r="AF1549" s="82"/>
      <c r="AG1549" s="82"/>
      <c r="AH1549" s="82"/>
      <c r="AI1549" s="82"/>
      <c r="AJ1549" s="82"/>
      <c r="AK1549" s="82"/>
      <c r="AL1549" s="82"/>
      <c r="AM1549" s="82"/>
      <c r="AN1549" s="82"/>
      <c r="AO1549" s="82"/>
      <c r="AP1549" s="82"/>
      <c r="AQ1549" s="82"/>
      <c r="AR1549" s="82"/>
      <c r="AS1549" s="82"/>
      <c r="AT1549" s="82"/>
      <c r="AU1549" s="82"/>
      <c r="AV1549" s="82"/>
      <c r="AW1549" s="82" t="str">
        <f t="shared" si="1"/>
        <v/>
      </c>
      <c r="AX1549" s="83" t="str">
        <f t="array" ref="AX1549">IFERROR(DGET('SBV Import'!A:G,"SBV",{"RSC ID","Tier";B1549,A1549}))</f>
        <v/>
      </c>
      <c r="AY1549" s="82" t="str">
        <f t="shared" si="2"/>
        <v/>
      </c>
      <c r="AZ1549" s="82"/>
      <c r="BA1549" s="84" t="s">
        <v>152</v>
      </c>
      <c r="BB1549" s="84" t="str">
        <f>IFERROR(__xludf.DUMMYFUNCTION("iferror(if(A1549="""",,E1549&gt;=FILTER(Constants!$F$2:$F$10,Constants!$A$2:$A$10=A1549)))"),"")</f>
        <v/>
      </c>
    </row>
    <row r="1550">
      <c r="A1550" s="89"/>
      <c r="B1550" s="87"/>
      <c r="C1550" s="73"/>
      <c r="D1550" s="73"/>
      <c r="E1550" s="82"/>
      <c r="F1550" s="82"/>
      <c r="G1550" s="86"/>
      <c r="H1550" s="86"/>
      <c r="I1550" s="86"/>
      <c r="J1550" s="82"/>
      <c r="K1550" s="82"/>
      <c r="L1550" s="82"/>
      <c r="M1550" s="82"/>
      <c r="N1550" s="82"/>
      <c r="O1550" s="82"/>
      <c r="P1550" s="82"/>
      <c r="Q1550" s="82"/>
      <c r="R1550" s="82"/>
      <c r="S1550" s="82"/>
      <c r="T1550" s="82"/>
      <c r="U1550" s="82"/>
      <c r="V1550" s="82"/>
      <c r="W1550" s="82"/>
      <c r="X1550" s="82"/>
      <c r="Y1550" s="82"/>
      <c r="Z1550" s="82"/>
      <c r="AA1550" s="82"/>
      <c r="AB1550" s="82"/>
      <c r="AC1550" s="82"/>
      <c r="AD1550" s="82"/>
      <c r="AE1550" s="82"/>
      <c r="AF1550" s="82"/>
      <c r="AG1550" s="82"/>
      <c r="AH1550" s="82"/>
      <c r="AI1550" s="82"/>
      <c r="AJ1550" s="82"/>
      <c r="AK1550" s="82"/>
      <c r="AL1550" s="82"/>
      <c r="AM1550" s="82"/>
      <c r="AN1550" s="82"/>
      <c r="AO1550" s="82"/>
      <c r="AP1550" s="82"/>
      <c r="AQ1550" s="82"/>
      <c r="AR1550" s="82"/>
      <c r="AS1550" s="82"/>
      <c r="AT1550" s="82"/>
      <c r="AU1550" s="82"/>
      <c r="AV1550" s="82"/>
      <c r="AW1550" s="82" t="str">
        <f t="shared" si="1"/>
        <v/>
      </c>
      <c r="AX1550" s="83" t="str">
        <f t="array" ref="AX1550">IFERROR(DGET('SBV Import'!A:G,"SBV",{"RSC ID","Tier";B1550,A1550}))</f>
        <v/>
      </c>
      <c r="AY1550" s="82" t="str">
        <f t="shared" si="2"/>
        <v/>
      </c>
      <c r="AZ1550" s="82"/>
      <c r="BA1550" s="84" t="s">
        <v>152</v>
      </c>
      <c r="BB1550" s="84" t="str">
        <f>IFERROR(__xludf.DUMMYFUNCTION("iferror(if(A1550="""",,E1550&gt;=FILTER(Constants!$F$2:$F$10,Constants!$A$2:$A$10=A1550)))"),"")</f>
        <v/>
      </c>
    </row>
    <row r="1551">
      <c r="A1551" s="89"/>
      <c r="B1551" s="87"/>
      <c r="C1551" s="73"/>
      <c r="D1551" s="73"/>
      <c r="E1551" s="82"/>
      <c r="F1551" s="82"/>
      <c r="G1551" s="86"/>
      <c r="H1551" s="86"/>
      <c r="I1551" s="86"/>
      <c r="J1551" s="82"/>
      <c r="K1551" s="82"/>
      <c r="L1551" s="82"/>
      <c r="M1551" s="82"/>
      <c r="N1551" s="82"/>
      <c r="O1551" s="82"/>
      <c r="P1551" s="82"/>
      <c r="Q1551" s="82"/>
      <c r="R1551" s="82"/>
      <c r="S1551" s="82"/>
      <c r="T1551" s="82"/>
      <c r="U1551" s="82"/>
      <c r="V1551" s="82"/>
      <c r="W1551" s="82"/>
      <c r="X1551" s="82"/>
      <c r="Y1551" s="82"/>
      <c r="Z1551" s="82"/>
      <c r="AA1551" s="82"/>
      <c r="AB1551" s="82"/>
      <c r="AC1551" s="82"/>
      <c r="AD1551" s="82"/>
      <c r="AE1551" s="82"/>
      <c r="AF1551" s="82"/>
      <c r="AG1551" s="82"/>
      <c r="AH1551" s="82"/>
      <c r="AI1551" s="82"/>
      <c r="AJ1551" s="82"/>
      <c r="AK1551" s="82"/>
      <c r="AL1551" s="82"/>
      <c r="AM1551" s="82"/>
      <c r="AN1551" s="82"/>
      <c r="AO1551" s="82"/>
      <c r="AP1551" s="82"/>
      <c r="AQ1551" s="82"/>
      <c r="AR1551" s="82"/>
      <c r="AS1551" s="82"/>
      <c r="AT1551" s="82"/>
      <c r="AU1551" s="82"/>
      <c r="AV1551" s="82"/>
      <c r="AW1551" s="82" t="str">
        <f t="shared" si="1"/>
        <v/>
      </c>
      <c r="AX1551" s="83" t="str">
        <f t="array" ref="AX1551">IFERROR(DGET('SBV Import'!A:G,"SBV",{"RSC ID","Tier";B1551,A1551}))</f>
        <v/>
      </c>
      <c r="AY1551" s="82" t="str">
        <f t="shared" si="2"/>
        <v/>
      </c>
      <c r="AZ1551" s="82"/>
      <c r="BA1551" s="84" t="s">
        <v>152</v>
      </c>
      <c r="BB1551" s="84" t="str">
        <f>IFERROR(__xludf.DUMMYFUNCTION("iferror(if(A1551="""",,E1551&gt;=FILTER(Constants!$F$2:$F$10,Constants!$A$2:$A$10=A1551)))"),"")</f>
        <v/>
      </c>
    </row>
    <row r="1552">
      <c r="A1552" s="89"/>
      <c r="B1552" s="87"/>
      <c r="C1552" s="73"/>
      <c r="D1552" s="73"/>
      <c r="E1552" s="82"/>
      <c r="F1552" s="82"/>
      <c r="G1552" s="86"/>
      <c r="H1552" s="86"/>
      <c r="I1552" s="86"/>
      <c r="J1552" s="82"/>
      <c r="K1552" s="82"/>
      <c r="L1552" s="82"/>
      <c r="M1552" s="82"/>
      <c r="N1552" s="82"/>
      <c r="O1552" s="82"/>
      <c r="P1552" s="82"/>
      <c r="Q1552" s="82"/>
      <c r="R1552" s="82"/>
      <c r="S1552" s="82"/>
      <c r="T1552" s="82"/>
      <c r="U1552" s="82"/>
      <c r="V1552" s="82"/>
      <c r="W1552" s="82"/>
      <c r="X1552" s="82"/>
      <c r="Y1552" s="82"/>
      <c r="Z1552" s="82"/>
      <c r="AA1552" s="82"/>
      <c r="AB1552" s="82"/>
      <c r="AC1552" s="82"/>
      <c r="AD1552" s="82"/>
      <c r="AE1552" s="82"/>
      <c r="AF1552" s="82"/>
      <c r="AG1552" s="82"/>
      <c r="AH1552" s="82"/>
      <c r="AI1552" s="82"/>
      <c r="AJ1552" s="82"/>
      <c r="AK1552" s="82"/>
      <c r="AL1552" s="82"/>
      <c r="AM1552" s="82"/>
      <c r="AN1552" s="82"/>
      <c r="AO1552" s="82"/>
      <c r="AP1552" s="82"/>
      <c r="AQ1552" s="82"/>
      <c r="AR1552" s="82"/>
      <c r="AS1552" s="82"/>
      <c r="AT1552" s="82"/>
      <c r="AU1552" s="82"/>
      <c r="AV1552" s="82"/>
      <c r="AW1552" s="82" t="str">
        <f t="shared" si="1"/>
        <v/>
      </c>
      <c r="AX1552" s="83" t="str">
        <f t="array" ref="AX1552">IFERROR(DGET('SBV Import'!A:G,"SBV",{"RSC ID","Tier";B1552,A1552}))</f>
        <v/>
      </c>
      <c r="AY1552" s="82" t="str">
        <f t="shared" si="2"/>
        <v/>
      </c>
      <c r="AZ1552" s="82"/>
      <c r="BA1552" s="84" t="s">
        <v>152</v>
      </c>
      <c r="BB1552" s="84" t="str">
        <f>IFERROR(__xludf.DUMMYFUNCTION("iferror(if(A1552="""",,E1552&gt;=FILTER(Constants!$F$2:$F$10,Constants!$A$2:$A$10=A1552)))"),"")</f>
        <v/>
      </c>
    </row>
    <row r="1553">
      <c r="A1553" s="89"/>
      <c r="B1553" s="87"/>
      <c r="C1553" s="73"/>
      <c r="D1553" s="73"/>
      <c r="E1553" s="82"/>
      <c r="F1553" s="82"/>
      <c r="G1553" s="86"/>
      <c r="H1553" s="86"/>
      <c r="I1553" s="86"/>
      <c r="J1553" s="82"/>
      <c r="K1553" s="82"/>
      <c r="L1553" s="82"/>
      <c r="M1553" s="82"/>
      <c r="N1553" s="82"/>
      <c r="O1553" s="82"/>
      <c r="P1553" s="82"/>
      <c r="Q1553" s="82"/>
      <c r="R1553" s="82"/>
      <c r="S1553" s="82"/>
      <c r="T1553" s="82"/>
      <c r="U1553" s="82"/>
      <c r="V1553" s="82"/>
      <c r="W1553" s="82"/>
      <c r="X1553" s="82"/>
      <c r="Y1553" s="82"/>
      <c r="Z1553" s="82"/>
      <c r="AA1553" s="82"/>
      <c r="AB1553" s="82"/>
      <c r="AC1553" s="82"/>
      <c r="AD1553" s="82"/>
      <c r="AE1553" s="82"/>
      <c r="AF1553" s="82"/>
      <c r="AG1553" s="82"/>
      <c r="AH1553" s="82"/>
      <c r="AI1553" s="82"/>
      <c r="AJ1553" s="82"/>
      <c r="AK1553" s="82"/>
      <c r="AL1553" s="82"/>
      <c r="AM1553" s="82"/>
      <c r="AN1553" s="82"/>
      <c r="AO1553" s="82"/>
      <c r="AP1553" s="82"/>
      <c r="AQ1553" s="82"/>
      <c r="AR1553" s="82"/>
      <c r="AS1553" s="82"/>
      <c r="AT1553" s="82"/>
      <c r="AU1553" s="82"/>
      <c r="AV1553" s="82"/>
      <c r="AW1553" s="82" t="str">
        <f t="shared" si="1"/>
        <v/>
      </c>
      <c r="AX1553" s="83" t="str">
        <f t="array" ref="AX1553">IFERROR(DGET('SBV Import'!A:G,"SBV",{"RSC ID","Tier";B1553,A1553}))</f>
        <v/>
      </c>
      <c r="AY1553" s="82" t="str">
        <f t="shared" si="2"/>
        <v/>
      </c>
      <c r="AZ1553" s="82"/>
      <c r="BA1553" s="84" t="s">
        <v>152</v>
      </c>
      <c r="BB1553" s="84" t="str">
        <f>IFERROR(__xludf.DUMMYFUNCTION("iferror(if(A1553="""",,E1553&gt;=FILTER(Constants!$F$2:$F$10,Constants!$A$2:$A$10=A1553)))"),"")</f>
        <v/>
      </c>
    </row>
    <row r="1554">
      <c r="A1554" s="89"/>
      <c r="B1554" s="87"/>
      <c r="C1554" s="73"/>
      <c r="D1554" s="73"/>
      <c r="E1554" s="82"/>
      <c r="F1554" s="82"/>
      <c r="G1554" s="86"/>
      <c r="H1554" s="86"/>
      <c r="I1554" s="86"/>
      <c r="J1554" s="82"/>
      <c r="K1554" s="82"/>
      <c r="L1554" s="82"/>
      <c r="M1554" s="82"/>
      <c r="N1554" s="82"/>
      <c r="O1554" s="82"/>
      <c r="P1554" s="82"/>
      <c r="Q1554" s="82"/>
      <c r="R1554" s="82"/>
      <c r="S1554" s="82"/>
      <c r="T1554" s="82"/>
      <c r="U1554" s="82"/>
      <c r="V1554" s="82"/>
      <c r="W1554" s="82"/>
      <c r="X1554" s="82"/>
      <c r="Y1554" s="82"/>
      <c r="Z1554" s="82"/>
      <c r="AA1554" s="82"/>
      <c r="AB1554" s="82"/>
      <c r="AC1554" s="82"/>
      <c r="AD1554" s="82"/>
      <c r="AE1554" s="82"/>
      <c r="AF1554" s="82"/>
      <c r="AG1554" s="82"/>
      <c r="AH1554" s="82"/>
      <c r="AI1554" s="82"/>
      <c r="AJ1554" s="82"/>
      <c r="AK1554" s="82"/>
      <c r="AL1554" s="82"/>
      <c r="AM1554" s="82"/>
      <c r="AN1554" s="82"/>
      <c r="AO1554" s="82"/>
      <c r="AP1554" s="82"/>
      <c r="AQ1554" s="82"/>
      <c r="AR1554" s="82"/>
      <c r="AS1554" s="82"/>
      <c r="AT1554" s="82"/>
      <c r="AU1554" s="82"/>
      <c r="AV1554" s="82"/>
      <c r="AW1554" s="82" t="str">
        <f t="shared" si="1"/>
        <v/>
      </c>
      <c r="AX1554" s="83" t="str">
        <f t="array" ref="AX1554">IFERROR(DGET('SBV Import'!A:G,"SBV",{"RSC ID","Tier";B1554,A1554}))</f>
        <v/>
      </c>
      <c r="AY1554" s="82" t="str">
        <f t="shared" si="2"/>
        <v/>
      </c>
      <c r="AZ1554" s="82"/>
      <c r="BA1554" s="84" t="s">
        <v>152</v>
      </c>
      <c r="BB1554" s="84" t="str">
        <f>IFERROR(__xludf.DUMMYFUNCTION("iferror(if(A1554="""",,E1554&gt;=FILTER(Constants!$F$2:$F$10,Constants!$A$2:$A$10=A1554)))"),"")</f>
        <v/>
      </c>
    </row>
    <row r="1555">
      <c r="A1555" s="89"/>
      <c r="B1555" s="87"/>
      <c r="C1555" s="73"/>
      <c r="D1555" s="73"/>
      <c r="E1555" s="82"/>
      <c r="F1555" s="82"/>
      <c r="G1555" s="86"/>
      <c r="H1555" s="86"/>
      <c r="I1555" s="86"/>
      <c r="J1555" s="82"/>
      <c r="K1555" s="82"/>
      <c r="L1555" s="82"/>
      <c r="M1555" s="82"/>
      <c r="N1555" s="82"/>
      <c r="O1555" s="82"/>
      <c r="P1555" s="82"/>
      <c r="Q1555" s="82"/>
      <c r="R1555" s="82"/>
      <c r="S1555" s="82"/>
      <c r="T1555" s="82"/>
      <c r="U1555" s="82"/>
      <c r="V1555" s="82"/>
      <c r="W1555" s="82"/>
      <c r="X1555" s="82"/>
      <c r="Y1555" s="82"/>
      <c r="Z1555" s="82"/>
      <c r="AA1555" s="82"/>
      <c r="AB1555" s="82"/>
      <c r="AC1555" s="82"/>
      <c r="AD1555" s="82"/>
      <c r="AE1555" s="82"/>
      <c r="AF1555" s="82"/>
      <c r="AG1555" s="82"/>
      <c r="AH1555" s="82"/>
      <c r="AI1555" s="82"/>
      <c r="AJ1555" s="82"/>
      <c r="AK1555" s="82"/>
      <c r="AL1555" s="82"/>
      <c r="AM1555" s="82"/>
      <c r="AN1555" s="82"/>
      <c r="AO1555" s="82"/>
      <c r="AP1555" s="82"/>
      <c r="AQ1555" s="82"/>
      <c r="AR1555" s="82"/>
      <c r="AS1555" s="82"/>
      <c r="AT1555" s="82"/>
      <c r="AU1555" s="82"/>
      <c r="AV1555" s="82"/>
      <c r="AW1555" s="82" t="str">
        <f t="shared" si="1"/>
        <v/>
      </c>
      <c r="AX1555" s="83" t="str">
        <f t="array" ref="AX1555">IFERROR(DGET('SBV Import'!A:G,"SBV",{"RSC ID","Tier";B1555,A1555}))</f>
        <v/>
      </c>
      <c r="AY1555" s="82" t="str">
        <f t="shared" si="2"/>
        <v/>
      </c>
      <c r="AZ1555" s="82"/>
      <c r="BA1555" s="84" t="s">
        <v>152</v>
      </c>
      <c r="BB1555" s="84" t="str">
        <f>IFERROR(__xludf.DUMMYFUNCTION("iferror(if(A1555="""",,E1555&gt;=FILTER(Constants!$F$2:$F$10,Constants!$A$2:$A$10=A1555)))"),"")</f>
        <v/>
      </c>
    </row>
    <row r="1556">
      <c r="A1556" s="89"/>
      <c r="B1556" s="87"/>
      <c r="C1556" s="73"/>
      <c r="D1556" s="73"/>
      <c r="E1556" s="82"/>
      <c r="F1556" s="82"/>
      <c r="G1556" s="86"/>
      <c r="H1556" s="86"/>
      <c r="I1556" s="86"/>
      <c r="J1556" s="82"/>
      <c r="K1556" s="82"/>
      <c r="L1556" s="82"/>
      <c r="M1556" s="82"/>
      <c r="N1556" s="82"/>
      <c r="O1556" s="82"/>
      <c r="P1556" s="82"/>
      <c r="Q1556" s="82"/>
      <c r="R1556" s="82"/>
      <c r="S1556" s="82"/>
      <c r="T1556" s="82"/>
      <c r="U1556" s="82"/>
      <c r="V1556" s="82"/>
      <c r="W1556" s="82"/>
      <c r="X1556" s="82"/>
      <c r="Y1556" s="82"/>
      <c r="Z1556" s="82"/>
      <c r="AA1556" s="82"/>
      <c r="AB1556" s="82"/>
      <c r="AC1556" s="82"/>
      <c r="AD1556" s="82"/>
      <c r="AE1556" s="82"/>
      <c r="AF1556" s="82"/>
      <c r="AG1556" s="82"/>
      <c r="AH1556" s="82"/>
      <c r="AI1556" s="82"/>
      <c r="AJ1556" s="82"/>
      <c r="AK1556" s="82"/>
      <c r="AL1556" s="82"/>
      <c r="AM1556" s="82"/>
      <c r="AN1556" s="82"/>
      <c r="AO1556" s="82"/>
      <c r="AP1556" s="82"/>
      <c r="AQ1556" s="82"/>
      <c r="AR1556" s="82"/>
      <c r="AS1556" s="82"/>
      <c r="AT1556" s="82"/>
      <c r="AU1556" s="82"/>
      <c r="AV1556" s="82"/>
      <c r="AW1556" s="82" t="str">
        <f t="shared" si="1"/>
        <v/>
      </c>
      <c r="AX1556" s="83" t="str">
        <f t="array" ref="AX1556">IFERROR(DGET('SBV Import'!A:G,"SBV",{"RSC ID","Tier";B1556,A1556}))</f>
        <v/>
      </c>
      <c r="AY1556" s="82" t="str">
        <f t="shared" si="2"/>
        <v/>
      </c>
      <c r="AZ1556" s="82"/>
      <c r="BA1556" s="84" t="s">
        <v>152</v>
      </c>
      <c r="BB1556" s="84" t="str">
        <f>IFERROR(__xludf.DUMMYFUNCTION("iferror(if(A1556="""",,E1556&gt;=FILTER(Constants!$F$2:$F$10,Constants!$A$2:$A$10=A1556)))"),"")</f>
        <v/>
      </c>
    </row>
    <row r="1557">
      <c r="A1557" s="89"/>
      <c r="B1557" s="87"/>
      <c r="C1557" s="73"/>
      <c r="D1557" s="73"/>
      <c r="E1557" s="82"/>
      <c r="F1557" s="82"/>
      <c r="G1557" s="86"/>
      <c r="H1557" s="86"/>
      <c r="I1557" s="86"/>
      <c r="J1557" s="82"/>
      <c r="K1557" s="82"/>
      <c r="L1557" s="82"/>
      <c r="M1557" s="82"/>
      <c r="N1557" s="82"/>
      <c r="O1557" s="82"/>
      <c r="P1557" s="82"/>
      <c r="Q1557" s="82"/>
      <c r="R1557" s="82"/>
      <c r="S1557" s="82"/>
      <c r="T1557" s="82"/>
      <c r="U1557" s="82"/>
      <c r="V1557" s="82"/>
      <c r="W1557" s="82"/>
      <c r="X1557" s="82"/>
      <c r="Y1557" s="82"/>
      <c r="Z1557" s="82"/>
      <c r="AA1557" s="82"/>
      <c r="AB1557" s="82"/>
      <c r="AC1557" s="82"/>
      <c r="AD1557" s="82"/>
      <c r="AE1557" s="82"/>
      <c r="AF1557" s="82"/>
      <c r="AG1557" s="82"/>
      <c r="AH1557" s="82"/>
      <c r="AI1557" s="82"/>
      <c r="AJ1557" s="82"/>
      <c r="AK1557" s="82"/>
      <c r="AL1557" s="82"/>
      <c r="AM1557" s="82"/>
      <c r="AN1557" s="82"/>
      <c r="AO1557" s="82"/>
      <c r="AP1557" s="82"/>
      <c r="AQ1557" s="82"/>
      <c r="AR1557" s="82"/>
      <c r="AS1557" s="82"/>
      <c r="AT1557" s="82"/>
      <c r="AU1557" s="82"/>
      <c r="AV1557" s="82"/>
      <c r="AW1557" s="82" t="str">
        <f t="shared" si="1"/>
        <v/>
      </c>
      <c r="AX1557" s="83" t="str">
        <f t="array" ref="AX1557">IFERROR(DGET('SBV Import'!A:G,"SBV",{"RSC ID","Tier";B1557,A1557}))</f>
        <v/>
      </c>
      <c r="AY1557" s="82" t="str">
        <f t="shared" si="2"/>
        <v/>
      </c>
      <c r="AZ1557" s="82"/>
      <c r="BA1557" s="84" t="s">
        <v>152</v>
      </c>
      <c r="BB1557" s="84" t="str">
        <f>IFERROR(__xludf.DUMMYFUNCTION("iferror(if(A1557="""",,E1557&gt;=FILTER(Constants!$F$2:$F$10,Constants!$A$2:$A$10=A1557)))"),"")</f>
        <v/>
      </c>
    </row>
    <row r="1558">
      <c r="A1558" s="89"/>
      <c r="B1558" s="87"/>
      <c r="C1558" s="73"/>
      <c r="D1558" s="73"/>
      <c r="E1558" s="82"/>
      <c r="F1558" s="82"/>
      <c r="G1558" s="86"/>
      <c r="H1558" s="86"/>
      <c r="I1558" s="86"/>
      <c r="J1558" s="82"/>
      <c r="K1558" s="82"/>
      <c r="L1558" s="82"/>
      <c r="M1558" s="82"/>
      <c r="N1558" s="82"/>
      <c r="O1558" s="82"/>
      <c r="P1558" s="82"/>
      <c r="Q1558" s="82"/>
      <c r="R1558" s="82"/>
      <c r="S1558" s="82"/>
      <c r="T1558" s="82"/>
      <c r="U1558" s="82"/>
      <c r="V1558" s="82"/>
      <c r="W1558" s="82"/>
      <c r="X1558" s="82"/>
      <c r="Y1558" s="82"/>
      <c r="Z1558" s="82"/>
      <c r="AA1558" s="82"/>
      <c r="AB1558" s="82"/>
      <c r="AC1558" s="82"/>
      <c r="AD1558" s="82"/>
      <c r="AE1558" s="82"/>
      <c r="AF1558" s="82"/>
      <c r="AG1558" s="82"/>
      <c r="AH1558" s="82"/>
      <c r="AI1558" s="82"/>
      <c r="AJ1558" s="82"/>
      <c r="AK1558" s="82"/>
      <c r="AL1558" s="82"/>
      <c r="AM1558" s="82"/>
      <c r="AN1558" s="82"/>
      <c r="AO1558" s="82"/>
      <c r="AP1558" s="82"/>
      <c r="AQ1558" s="82"/>
      <c r="AR1558" s="82"/>
      <c r="AS1558" s="82"/>
      <c r="AT1558" s="82"/>
      <c r="AU1558" s="82"/>
      <c r="AV1558" s="82"/>
      <c r="AW1558" s="82" t="str">
        <f t="shared" si="1"/>
        <v/>
      </c>
      <c r="AX1558" s="83" t="str">
        <f t="array" ref="AX1558">IFERROR(DGET('SBV Import'!A:G,"SBV",{"RSC ID","Tier";B1558,A1558}))</f>
        <v/>
      </c>
      <c r="AY1558" s="82" t="str">
        <f t="shared" si="2"/>
        <v/>
      </c>
      <c r="AZ1558" s="82"/>
      <c r="BA1558" s="84" t="s">
        <v>152</v>
      </c>
      <c r="BB1558" s="84" t="str">
        <f>IFERROR(__xludf.DUMMYFUNCTION("iferror(if(A1558="""",,E1558&gt;=FILTER(Constants!$F$2:$F$10,Constants!$A$2:$A$10=A1558)))"),"")</f>
        <v/>
      </c>
    </row>
    <row r="1559">
      <c r="A1559" s="89"/>
      <c r="B1559" s="87"/>
      <c r="C1559" s="73"/>
      <c r="D1559" s="73"/>
      <c r="E1559" s="82"/>
      <c r="F1559" s="82"/>
      <c r="G1559" s="86"/>
      <c r="H1559" s="86"/>
      <c r="I1559" s="86"/>
      <c r="J1559" s="82"/>
      <c r="K1559" s="82"/>
      <c r="L1559" s="82"/>
      <c r="M1559" s="82"/>
      <c r="N1559" s="82"/>
      <c r="O1559" s="82"/>
      <c r="P1559" s="82"/>
      <c r="Q1559" s="82"/>
      <c r="R1559" s="82"/>
      <c r="S1559" s="82"/>
      <c r="T1559" s="82"/>
      <c r="U1559" s="82"/>
      <c r="V1559" s="82"/>
      <c r="W1559" s="82"/>
      <c r="X1559" s="82"/>
      <c r="Y1559" s="82"/>
      <c r="Z1559" s="82"/>
      <c r="AA1559" s="82"/>
      <c r="AB1559" s="82"/>
      <c r="AC1559" s="82"/>
      <c r="AD1559" s="82"/>
      <c r="AE1559" s="82"/>
      <c r="AF1559" s="82"/>
      <c r="AG1559" s="82"/>
      <c r="AH1559" s="82"/>
      <c r="AI1559" s="82"/>
      <c r="AJ1559" s="82"/>
      <c r="AK1559" s="82"/>
      <c r="AL1559" s="82"/>
      <c r="AM1559" s="82"/>
      <c r="AN1559" s="82"/>
      <c r="AO1559" s="82"/>
      <c r="AP1559" s="82"/>
      <c r="AQ1559" s="82"/>
      <c r="AR1559" s="82"/>
      <c r="AS1559" s="82"/>
      <c r="AT1559" s="82"/>
      <c r="AU1559" s="82"/>
      <c r="AV1559" s="82"/>
      <c r="AW1559" s="82" t="str">
        <f t="shared" si="1"/>
        <v/>
      </c>
      <c r="AX1559" s="83" t="str">
        <f t="array" ref="AX1559">IFERROR(DGET('SBV Import'!A:G,"SBV",{"RSC ID","Tier";B1559,A1559}))</f>
        <v/>
      </c>
      <c r="AY1559" s="82" t="str">
        <f t="shared" si="2"/>
        <v/>
      </c>
      <c r="AZ1559" s="82"/>
      <c r="BA1559" s="84" t="s">
        <v>152</v>
      </c>
      <c r="BB1559" s="84" t="str">
        <f>IFERROR(__xludf.DUMMYFUNCTION("iferror(if(A1559="""",,E1559&gt;=FILTER(Constants!$F$2:$F$10,Constants!$A$2:$A$10=A1559)))"),"")</f>
        <v/>
      </c>
    </row>
    <row r="1560">
      <c r="A1560" s="89"/>
      <c r="B1560" s="87"/>
      <c r="C1560" s="73"/>
      <c r="D1560" s="73"/>
      <c r="E1560" s="82"/>
      <c r="F1560" s="82"/>
      <c r="G1560" s="86"/>
      <c r="H1560" s="86"/>
      <c r="I1560" s="86"/>
      <c r="J1560" s="82"/>
      <c r="K1560" s="82"/>
      <c r="L1560" s="82"/>
      <c r="M1560" s="82"/>
      <c r="N1560" s="82"/>
      <c r="O1560" s="82"/>
      <c r="P1560" s="82"/>
      <c r="Q1560" s="82"/>
      <c r="R1560" s="82"/>
      <c r="S1560" s="82"/>
      <c r="T1560" s="82"/>
      <c r="U1560" s="82"/>
      <c r="V1560" s="82"/>
      <c r="W1560" s="82"/>
      <c r="X1560" s="82"/>
      <c r="Y1560" s="82"/>
      <c r="Z1560" s="82"/>
      <c r="AA1560" s="82"/>
      <c r="AB1560" s="82"/>
      <c r="AC1560" s="82"/>
      <c r="AD1560" s="82"/>
      <c r="AE1560" s="82"/>
      <c r="AF1560" s="82"/>
      <c r="AG1560" s="82"/>
      <c r="AH1560" s="82"/>
      <c r="AI1560" s="82"/>
      <c r="AJ1560" s="82"/>
      <c r="AK1560" s="82"/>
      <c r="AL1560" s="82"/>
      <c r="AM1560" s="82"/>
      <c r="AN1560" s="82"/>
      <c r="AO1560" s="82"/>
      <c r="AP1560" s="82"/>
      <c r="AQ1560" s="82"/>
      <c r="AR1560" s="82"/>
      <c r="AS1560" s="82"/>
      <c r="AT1560" s="82"/>
      <c r="AU1560" s="82"/>
      <c r="AV1560" s="82"/>
      <c r="AW1560" s="82" t="str">
        <f t="shared" si="1"/>
        <v/>
      </c>
      <c r="AX1560" s="83" t="str">
        <f t="array" ref="AX1560">IFERROR(DGET('SBV Import'!A:G,"SBV",{"RSC ID","Tier";B1560,A1560}))</f>
        <v/>
      </c>
      <c r="AY1560" s="82" t="str">
        <f t="shared" si="2"/>
        <v/>
      </c>
      <c r="AZ1560" s="82"/>
      <c r="BA1560" s="84" t="s">
        <v>152</v>
      </c>
      <c r="BB1560" s="84" t="str">
        <f>IFERROR(__xludf.DUMMYFUNCTION("iferror(if(A1560="""",,E1560&gt;=FILTER(Constants!$F$2:$F$10,Constants!$A$2:$A$10=A1560)))"),"")</f>
        <v/>
      </c>
    </row>
    <row r="1561">
      <c r="A1561" s="89"/>
      <c r="B1561" s="87"/>
      <c r="C1561" s="73"/>
      <c r="D1561" s="73"/>
      <c r="E1561" s="82"/>
      <c r="F1561" s="82"/>
      <c r="G1561" s="86"/>
      <c r="H1561" s="86"/>
      <c r="I1561" s="86"/>
      <c r="J1561" s="82"/>
      <c r="K1561" s="82"/>
      <c r="L1561" s="82"/>
      <c r="M1561" s="82"/>
      <c r="N1561" s="82"/>
      <c r="O1561" s="82"/>
      <c r="P1561" s="82"/>
      <c r="Q1561" s="82"/>
      <c r="R1561" s="82"/>
      <c r="S1561" s="82"/>
      <c r="T1561" s="82"/>
      <c r="U1561" s="82"/>
      <c r="V1561" s="82"/>
      <c r="W1561" s="82"/>
      <c r="X1561" s="82"/>
      <c r="Y1561" s="82"/>
      <c r="Z1561" s="82"/>
      <c r="AA1561" s="82"/>
      <c r="AB1561" s="82"/>
      <c r="AC1561" s="82"/>
      <c r="AD1561" s="82"/>
      <c r="AE1561" s="82"/>
      <c r="AF1561" s="82"/>
      <c r="AG1561" s="82"/>
      <c r="AH1561" s="82"/>
      <c r="AI1561" s="82"/>
      <c r="AJ1561" s="82"/>
      <c r="AK1561" s="82"/>
      <c r="AL1561" s="82"/>
      <c r="AM1561" s="82"/>
      <c r="AN1561" s="82"/>
      <c r="AO1561" s="82"/>
      <c r="AP1561" s="82"/>
      <c r="AQ1561" s="82"/>
      <c r="AR1561" s="82"/>
      <c r="AS1561" s="82"/>
      <c r="AT1561" s="82"/>
      <c r="AU1561" s="82"/>
      <c r="AV1561" s="82"/>
      <c r="AW1561" s="82" t="str">
        <f t="shared" si="1"/>
        <v/>
      </c>
      <c r="AX1561" s="83" t="str">
        <f t="array" ref="AX1561">IFERROR(DGET('SBV Import'!A:G,"SBV",{"RSC ID","Tier";B1561,A1561}))</f>
        <v/>
      </c>
      <c r="AY1561" s="82" t="str">
        <f t="shared" si="2"/>
        <v/>
      </c>
      <c r="AZ1561" s="82"/>
      <c r="BA1561" s="84" t="s">
        <v>152</v>
      </c>
      <c r="BB1561" s="84" t="str">
        <f>IFERROR(__xludf.DUMMYFUNCTION("iferror(if(A1561="""",,E1561&gt;=FILTER(Constants!$F$2:$F$10,Constants!$A$2:$A$10=A1561)))"),"")</f>
        <v/>
      </c>
    </row>
    <row r="1562">
      <c r="A1562" s="89"/>
      <c r="B1562" s="87"/>
      <c r="C1562" s="73"/>
      <c r="D1562" s="73"/>
      <c r="E1562" s="82"/>
      <c r="F1562" s="82"/>
      <c r="G1562" s="86"/>
      <c r="H1562" s="86"/>
      <c r="I1562" s="86"/>
      <c r="J1562" s="82"/>
      <c r="K1562" s="82"/>
      <c r="L1562" s="82"/>
      <c r="M1562" s="82"/>
      <c r="N1562" s="82"/>
      <c r="O1562" s="82"/>
      <c r="P1562" s="82"/>
      <c r="Q1562" s="82"/>
      <c r="R1562" s="82"/>
      <c r="S1562" s="82"/>
      <c r="T1562" s="82"/>
      <c r="U1562" s="82"/>
      <c r="V1562" s="82"/>
      <c r="W1562" s="82"/>
      <c r="X1562" s="82"/>
      <c r="Y1562" s="82"/>
      <c r="Z1562" s="82"/>
      <c r="AA1562" s="82"/>
      <c r="AB1562" s="82"/>
      <c r="AC1562" s="82"/>
      <c r="AD1562" s="82"/>
      <c r="AE1562" s="82"/>
      <c r="AF1562" s="82"/>
      <c r="AG1562" s="82"/>
      <c r="AH1562" s="82"/>
      <c r="AI1562" s="82"/>
      <c r="AJ1562" s="82"/>
      <c r="AK1562" s="82"/>
      <c r="AL1562" s="82"/>
      <c r="AM1562" s="82"/>
      <c r="AN1562" s="82"/>
      <c r="AO1562" s="82"/>
      <c r="AP1562" s="82"/>
      <c r="AQ1562" s="82"/>
      <c r="AR1562" s="82"/>
      <c r="AS1562" s="82"/>
      <c r="AT1562" s="82"/>
      <c r="AU1562" s="82"/>
      <c r="AV1562" s="82"/>
      <c r="AW1562" s="82" t="str">
        <f t="shared" si="1"/>
        <v/>
      </c>
      <c r="AX1562" s="83" t="str">
        <f t="array" ref="AX1562">IFERROR(DGET('SBV Import'!A:G,"SBV",{"RSC ID","Tier";B1562,A1562}))</f>
        <v/>
      </c>
      <c r="AY1562" s="82" t="str">
        <f t="shared" si="2"/>
        <v/>
      </c>
      <c r="AZ1562" s="82"/>
      <c r="BA1562" s="84" t="s">
        <v>152</v>
      </c>
      <c r="BB1562" s="84" t="str">
        <f>IFERROR(__xludf.DUMMYFUNCTION("iferror(if(A1562="""",,E1562&gt;=FILTER(Constants!$F$2:$F$10,Constants!$A$2:$A$10=A1562)))"),"")</f>
        <v/>
      </c>
    </row>
    <row r="1563">
      <c r="A1563" s="89"/>
      <c r="B1563" s="87"/>
      <c r="C1563" s="73"/>
      <c r="D1563" s="73"/>
      <c r="E1563" s="82"/>
      <c r="F1563" s="82"/>
      <c r="G1563" s="86"/>
      <c r="H1563" s="86"/>
      <c r="I1563" s="86"/>
      <c r="J1563" s="82"/>
      <c r="K1563" s="82"/>
      <c r="L1563" s="82"/>
      <c r="M1563" s="82"/>
      <c r="N1563" s="82"/>
      <c r="O1563" s="82"/>
      <c r="P1563" s="82"/>
      <c r="Q1563" s="82"/>
      <c r="R1563" s="82"/>
      <c r="S1563" s="82"/>
      <c r="T1563" s="82"/>
      <c r="U1563" s="82"/>
      <c r="V1563" s="82"/>
      <c r="W1563" s="82"/>
      <c r="X1563" s="82"/>
      <c r="Y1563" s="82"/>
      <c r="Z1563" s="82"/>
      <c r="AA1563" s="82"/>
      <c r="AB1563" s="82"/>
      <c r="AC1563" s="82"/>
      <c r="AD1563" s="82"/>
      <c r="AE1563" s="82"/>
      <c r="AF1563" s="82"/>
      <c r="AG1563" s="82"/>
      <c r="AH1563" s="82"/>
      <c r="AI1563" s="82"/>
      <c r="AJ1563" s="82"/>
      <c r="AK1563" s="82"/>
      <c r="AL1563" s="82"/>
      <c r="AM1563" s="82"/>
      <c r="AN1563" s="82"/>
      <c r="AO1563" s="82"/>
      <c r="AP1563" s="82"/>
      <c r="AQ1563" s="82"/>
      <c r="AR1563" s="82"/>
      <c r="AS1563" s="82"/>
      <c r="AT1563" s="82"/>
      <c r="AU1563" s="82"/>
      <c r="AV1563" s="82"/>
      <c r="AW1563" s="82" t="str">
        <f t="shared" si="1"/>
        <v/>
      </c>
      <c r="AX1563" s="83" t="str">
        <f t="array" ref="AX1563">IFERROR(DGET('SBV Import'!A:G,"SBV",{"RSC ID","Tier";B1563,A1563}))</f>
        <v/>
      </c>
      <c r="AY1563" s="82" t="str">
        <f t="shared" si="2"/>
        <v/>
      </c>
      <c r="AZ1563" s="82"/>
      <c r="BA1563" s="84" t="s">
        <v>152</v>
      </c>
      <c r="BB1563" s="84" t="str">
        <f>IFERROR(__xludf.DUMMYFUNCTION("iferror(if(A1563="""",,E1563&gt;=FILTER(Constants!$F$2:$F$10,Constants!$A$2:$A$10=A1563)))"),"")</f>
        <v/>
      </c>
    </row>
    <row r="1564">
      <c r="A1564" s="89"/>
      <c r="B1564" s="87"/>
      <c r="C1564" s="73"/>
      <c r="D1564" s="73"/>
      <c r="E1564" s="82"/>
      <c r="F1564" s="82"/>
      <c r="G1564" s="86"/>
      <c r="H1564" s="86"/>
      <c r="I1564" s="86"/>
      <c r="J1564" s="82"/>
      <c r="K1564" s="82"/>
      <c r="L1564" s="82"/>
      <c r="M1564" s="82"/>
      <c r="N1564" s="82"/>
      <c r="O1564" s="82"/>
      <c r="P1564" s="82"/>
      <c r="Q1564" s="82"/>
      <c r="R1564" s="82"/>
      <c r="S1564" s="82"/>
      <c r="T1564" s="82"/>
      <c r="U1564" s="82"/>
      <c r="V1564" s="82"/>
      <c r="W1564" s="82"/>
      <c r="X1564" s="82"/>
      <c r="Y1564" s="82"/>
      <c r="Z1564" s="82"/>
      <c r="AA1564" s="82"/>
      <c r="AB1564" s="82"/>
      <c r="AC1564" s="82"/>
      <c r="AD1564" s="82"/>
      <c r="AE1564" s="82"/>
      <c r="AF1564" s="82"/>
      <c r="AG1564" s="82"/>
      <c r="AH1564" s="82"/>
      <c r="AI1564" s="82"/>
      <c r="AJ1564" s="82"/>
      <c r="AK1564" s="82"/>
      <c r="AL1564" s="82"/>
      <c r="AM1564" s="82"/>
      <c r="AN1564" s="82"/>
      <c r="AO1564" s="82"/>
      <c r="AP1564" s="82"/>
      <c r="AQ1564" s="82"/>
      <c r="AR1564" s="82"/>
      <c r="AS1564" s="82"/>
      <c r="AT1564" s="82"/>
      <c r="AU1564" s="82"/>
      <c r="AV1564" s="82"/>
      <c r="AW1564" s="82" t="str">
        <f t="shared" si="1"/>
        <v/>
      </c>
      <c r="AX1564" s="83" t="str">
        <f t="array" ref="AX1564">IFERROR(DGET('SBV Import'!A:G,"SBV",{"RSC ID","Tier";B1564,A1564}))</f>
        <v/>
      </c>
      <c r="AY1564" s="82" t="str">
        <f t="shared" si="2"/>
        <v/>
      </c>
      <c r="AZ1564" s="82"/>
      <c r="BA1564" s="84" t="s">
        <v>152</v>
      </c>
      <c r="BB1564" s="84" t="str">
        <f>IFERROR(__xludf.DUMMYFUNCTION("iferror(if(A1564="""",,E1564&gt;=FILTER(Constants!$F$2:$F$10,Constants!$A$2:$A$10=A1564)))"),"")</f>
        <v/>
      </c>
    </row>
    <row r="1565">
      <c r="A1565" s="89"/>
      <c r="B1565" s="87"/>
      <c r="C1565" s="73"/>
      <c r="D1565" s="73"/>
      <c r="E1565" s="82"/>
      <c r="F1565" s="82"/>
      <c r="G1565" s="86"/>
      <c r="H1565" s="86"/>
      <c r="I1565" s="86"/>
      <c r="J1565" s="82"/>
      <c r="K1565" s="82"/>
      <c r="L1565" s="82"/>
      <c r="M1565" s="82"/>
      <c r="N1565" s="82"/>
      <c r="O1565" s="82"/>
      <c r="P1565" s="82"/>
      <c r="Q1565" s="82"/>
      <c r="R1565" s="82"/>
      <c r="S1565" s="82"/>
      <c r="T1565" s="82"/>
      <c r="U1565" s="82"/>
      <c r="V1565" s="82"/>
      <c r="W1565" s="82"/>
      <c r="X1565" s="82"/>
      <c r="Y1565" s="82"/>
      <c r="Z1565" s="82"/>
      <c r="AA1565" s="82"/>
      <c r="AB1565" s="82"/>
      <c r="AC1565" s="82"/>
      <c r="AD1565" s="82"/>
      <c r="AE1565" s="82"/>
      <c r="AF1565" s="82"/>
      <c r="AG1565" s="82"/>
      <c r="AH1565" s="82"/>
      <c r="AI1565" s="82"/>
      <c r="AJ1565" s="82"/>
      <c r="AK1565" s="82"/>
      <c r="AL1565" s="82"/>
      <c r="AM1565" s="82"/>
      <c r="AN1565" s="82"/>
      <c r="AO1565" s="82"/>
      <c r="AP1565" s="82"/>
      <c r="AQ1565" s="82"/>
      <c r="AR1565" s="82"/>
      <c r="AS1565" s="82"/>
      <c r="AT1565" s="82"/>
      <c r="AU1565" s="82"/>
      <c r="AV1565" s="82"/>
      <c r="AW1565" s="82" t="str">
        <f t="shared" si="1"/>
        <v/>
      </c>
      <c r="AX1565" s="83" t="str">
        <f t="array" ref="AX1565">IFERROR(DGET('SBV Import'!A:G,"SBV",{"RSC ID","Tier";B1565,A1565}))</f>
        <v/>
      </c>
      <c r="AY1565" s="82" t="str">
        <f t="shared" si="2"/>
        <v/>
      </c>
      <c r="AZ1565" s="82"/>
      <c r="BA1565" s="84" t="s">
        <v>152</v>
      </c>
      <c r="BB1565" s="84" t="str">
        <f>IFERROR(__xludf.DUMMYFUNCTION("iferror(if(A1565="""",,E1565&gt;=FILTER(Constants!$F$2:$F$10,Constants!$A$2:$A$10=A1565)))"),"")</f>
        <v/>
      </c>
    </row>
    <row r="1566">
      <c r="A1566" s="89"/>
      <c r="B1566" s="87"/>
      <c r="C1566" s="73"/>
      <c r="D1566" s="73"/>
      <c r="E1566" s="82"/>
      <c r="F1566" s="82"/>
      <c r="G1566" s="86"/>
      <c r="H1566" s="86"/>
      <c r="I1566" s="86"/>
      <c r="J1566" s="82"/>
      <c r="K1566" s="82"/>
      <c r="L1566" s="82"/>
      <c r="M1566" s="82"/>
      <c r="N1566" s="82"/>
      <c r="O1566" s="82"/>
      <c r="P1566" s="82"/>
      <c r="Q1566" s="82"/>
      <c r="R1566" s="82"/>
      <c r="S1566" s="82"/>
      <c r="T1566" s="82"/>
      <c r="U1566" s="82"/>
      <c r="V1566" s="82"/>
      <c r="W1566" s="82"/>
      <c r="X1566" s="82"/>
      <c r="Y1566" s="82"/>
      <c r="Z1566" s="82"/>
      <c r="AA1566" s="82"/>
      <c r="AB1566" s="82"/>
      <c r="AC1566" s="82"/>
      <c r="AD1566" s="82"/>
      <c r="AE1566" s="82"/>
      <c r="AF1566" s="82"/>
      <c r="AG1566" s="82"/>
      <c r="AH1566" s="82"/>
      <c r="AI1566" s="82"/>
      <c r="AJ1566" s="82"/>
      <c r="AK1566" s="82"/>
      <c r="AL1566" s="82"/>
      <c r="AM1566" s="82"/>
      <c r="AN1566" s="82"/>
      <c r="AO1566" s="82"/>
      <c r="AP1566" s="82"/>
      <c r="AQ1566" s="82"/>
      <c r="AR1566" s="82"/>
      <c r="AS1566" s="82"/>
      <c r="AT1566" s="82"/>
      <c r="AU1566" s="82"/>
      <c r="AV1566" s="82"/>
      <c r="AW1566" s="82" t="str">
        <f t="shared" si="1"/>
        <v/>
      </c>
      <c r="AX1566" s="83" t="str">
        <f t="array" ref="AX1566">IFERROR(DGET('SBV Import'!A:G,"SBV",{"RSC ID","Tier";B1566,A1566}))</f>
        <v/>
      </c>
      <c r="AY1566" s="82" t="str">
        <f t="shared" si="2"/>
        <v/>
      </c>
      <c r="AZ1566" s="82"/>
      <c r="BA1566" s="84" t="s">
        <v>152</v>
      </c>
      <c r="BB1566" s="84" t="str">
        <f>IFERROR(__xludf.DUMMYFUNCTION("iferror(if(A1566="""",,E1566&gt;=FILTER(Constants!$F$2:$F$10,Constants!$A$2:$A$10=A1566)))"),"")</f>
        <v/>
      </c>
    </row>
    <row r="1567">
      <c r="A1567" s="89"/>
      <c r="B1567" s="87"/>
      <c r="C1567" s="73"/>
      <c r="D1567" s="73"/>
      <c r="E1567" s="82"/>
      <c r="F1567" s="82"/>
      <c r="G1567" s="86"/>
      <c r="H1567" s="86"/>
      <c r="I1567" s="86"/>
      <c r="J1567" s="82"/>
      <c r="K1567" s="82"/>
      <c r="L1567" s="82"/>
      <c r="M1567" s="82"/>
      <c r="N1567" s="82"/>
      <c r="O1567" s="82"/>
      <c r="P1567" s="82"/>
      <c r="Q1567" s="82"/>
      <c r="R1567" s="82"/>
      <c r="S1567" s="82"/>
      <c r="T1567" s="82"/>
      <c r="U1567" s="82"/>
      <c r="V1567" s="82"/>
      <c r="W1567" s="82"/>
      <c r="X1567" s="82"/>
      <c r="Y1567" s="82"/>
      <c r="Z1567" s="82"/>
      <c r="AA1567" s="82"/>
      <c r="AB1567" s="82"/>
      <c r="AC1567" s="82"/>
      <c r="AD1567" s="82"/>
      <c r="AE1567" s="82"/>
      <c r="AF1567" s="82"/>
      <c r="AG1567" s="82"/>
      <c r="AH1567" s="82"/>
      <c r="AI1567" s="82"/>
      <c r="AJ1567" s="82"/>
      <c r="AK1567" s="82"/>
      <c r="AL1567" s="82"/>
      <c r="AM1567" s="82"/>
      <c r="AN1567" s="82"/>
      <c r="AO1567" s="82"/>
      <c r="AP1567" s="82"/>
      <c r="AQ1567" s="82"/>
      <c r="AR1567" s="82"/>
      <c r="AS1567" s="82"/>
      <c r="AT1567" s="82"/>
      <c r="AU1567" s="82"/>
      <c r="AV1567" s="82"/>
      <c r="AW1567" s="82" t="str">
        <f t="shared" si="1"/>
        <v/>
      </c>
      <c r="AX1567" s="83" t="str">
        <f t="array" ref="AX1567">IFERROR(DGET('SBV Import'!A:G,"SBV",{"RSC ID","Tier";B1567,A1567}))</f>
        <v/>
      </c>
      <c r="AY1567" s="82" t="str">
        <f t="shared" si="2"/>
        <v/>
      </c>
      <c r="AZ1567" s="82"/>
      <c r="BA1567" s="84" t="s">
        <v>152</v>
      </c>
      <c r="BB1567" s="84" t="str">
        <f>IFERROR(__xludf.DUMMYFUNCTION("iferror(if(A1567="""",,E1567&gt;=FILTER(Constants!$F$2:$F$10,Constants!$A$2:$A$10=A1567)))"),"")</f>
        <v/>
      </c>
    </row>
    <row r="1568">
      <c r="A1568" s="89"/>
      <c r="B1568" s="87"/>
      <c r="C1568" s="73"/>
      <c r="D1568" s="73"/>
      <c r="E1568" s="82"/>
      <c r="F1568" s="82"/>
      <c r="G1568" s="86"/>
      <c r="H1568" s="86"/>
      <c r="I1568" s="86"/>
      <c r="J1568" s="82"/>
      <c r="K1568" s="82"/>
      <c r="L1568" s="82"/>
      <c r="M1568" s="82"/>
      <c r="N1568" s="82"/>
      <c r="O1568" s="82"/>
      <c r="P1568" s="82"/>
      <c r="Q1568" s="82"/>
      <c r="R1568" s="82"/>
      <c r="S1568" s="82"/>
      <c r="T1568" s="82"/>
      <c r="U1568" s="82"/>
      <c r="V1568" s="82"/>
      <c r="W1568" s="82"/>
      <c r="X1568" s="82"/>
      <c r="Y1568" s="82"/>
      <c r="Z1568" s="82"/>
      <c r="AA1568" s="82"/>
      <c r="AB1568" s="82"/>
      <c r="AC1568" s="82"/>
      <c r="AD1568" s="82"/>
      <c r="AE1568" s="82"/>
      <c r="AF1568" s="82"/>
      <c r="AG1568" s="82"/>
      <c r="AH1568" s="82"/>
      <c r="AI1568" s="82"/>
      <c r="AJ1568" s="82"/>
      <c r="AK1568" s="82"/>
      <c r="AL1568" s="82"/>
      <c r="AM1568" s="82"/>
      <c r="AN1568" s="82"/>
      <c r="AO1568" s="82"/>
      <c r="AP1568" s="82"/>
      <c r="AQ1568" s="82"/>
      <c r="AR1568" s="82"/>
      <c r="AS1568" s="82"/>
      <c r="AT1568" s="82"/>
      <c r="AU1568" s="82"/>
      <c r="AV1568" s="82"/>
      <c r="AW1568" s="82" t="str">
        <f t="shared" si="1"/>
        <v/>
      </c>
      <c r="AX1568" s="83" t="str">
        <f t="array" ref="AX1568">IFERROR(DGET('SBV Import'!A:G,"SBV",{"RSC ID","Tier";B1568,A1568}))</f>
        <v/>
      </c>
      <c r="AY1568" s="82" t="str">
        <f t="shared" si="2"/>
        <v/>
      </c>
      <c r="AZ1568" s="82"/>
      <c r="BA1568" s="84" t="s">
        <v>152</v>
      </c>
      <c r="BB1568" s="84" t="str">
        <f>IFERROR(__xludf.DUMMYFUNCTION("iferror(if(A1568="""",,E1568&gt;=FILTER(Constants!$F$2:$F$10,Constants!$A$2:$A$10=A1568)))"),"")</f>
        <v/>
      </c>
    </row>
    <row r="1569">
      <c r="A1569" s="89"/>
      <c r="B1569" s="87"/>
      <c r="C1569" s="73"/>
      <c r="D1569" s="73"/>
      <c r="E1569" s="82"/>
      <c r="F1569" s="82"/>
      <c r="G1569" s="86"/>
      <c r="H1569" s="86"/>
      <c r="I1569" s="86"/>
      <c r="J1569" s="82"/>
      <c r="K1569" s="82"/>
      <c r="L1569" s="82"/>
      <c r="M1569" s="82"/>
      <c r="N1569" s="82"/>
      <c r="O1569" s="82"/>
      <c r="P1569" s="82"/>
      <c r="Q1569" s="82"/>
      <c r="R1569" s="82"/>
      <c r="S1569" s="82"/>
      <c r="T1569" s="82"/>
      <c r="U1569" s="82"/>
      <c r="V1569" s="82"/>
      <c r="W1569" s="82"/>
      <c r="X1569" s="82"/>
      <c r="Y1569" s="82"/>
      <c r="Z1569" s="82"/>
      <c r="AA1569" s="82"/>
      <c r="AB1569" s="82"/>
      <c r="AC1569" s="82"/>
      <c r="AD1569" s="82"/>
      <c r="AE1569" s="82"/>
      <c r="AF1569" s="82"/>
      <c r="AG1569" s="82"/>
      <c r="AH1569" s="82"/>
      <c r="AI1569" s="82"/>
      <c r="AJ1569" s="82"/>
      <c r="AK1569" s="82"/>
      <c r="AL1569" s="82"/>
      <c r="AM1569" s="82"/>
      <c r="AN1569" s="82"/>
      <c r="AO1569" s="82"/>
      <c r="AP1569" s="82"/>
      <c r="AQ1569" s="82"/>
      <c r="AR1569" s="82"/>
      <c r="AS1569" s="82"/>
      <c r="AT1569" s="82"/>
      <c r="AU1569" s="82"/>
      <c r="AV1569" s="82"/>
      <c r="AW1569" s="82" t="str">
        <f t="shared" si="1"/>
        <v/>
      </c>
      <c r="AX1569" s="83" t="str">
        <f t="array" ref="AX1569">IFERROR(DGET('SBV Import'!A:G,"SBV",{"RSC ID","Tier";B1569,A1569}))</f>
        <v/>
      </c>
      <c r="AY1569" s="82" t="str">
        <f t="shared" si="2"/>
        <v/>
      </c>
      <c r="AZ1569" s="82"/>
      <c r="BA1569" s="84" t="s">
        <v>152</v>
      </c>
      <c r="BB1569" s="84" t="str">
        <f>IFERROR(__xludf.DUMMYFUNCTION("iferror(if(A1569="""",,E1569&gt;=FILTER(Constants!$F$2:$F$10,Constants!$A$2:$A$10=A1569)))"),"")</f>
        <v/>
      </c>
    </row>
    <row r="1570">
      <c r="A1570" s="89"/>
      <c r="B1570" s="87"/>
      <c r="C1570" s="73"/>
      <c r="D1570" s="73"/>
      <c r="E1570" s="82"/>
      <c r="F1570" s="82"/>
      <c r="G1570" s="86"/>
      <c r="H1570" s="86"/>
      <c r="I1570" s="86"/>
      <c r="J1570" s="82"/>
      <c r="K1570" s="82"/>
      <c r="L1570" s="82"/>
      <c r="M1570" s="82"/>
      <c r="N1570" s="82"/>
      <c r="O1570" s="82"/>
      <c r="P1570" s="82"/>
      <c r="Q1570" s="82"/>
      <c r="R1570" s="82"/>
      <c r="S1570" s="82"/>
      <c r="T1570" s="82"/>
      <c r="U1570" s="82"/>
      <c r="V1570" s="82"/>
      <c r="W1570" s="82"/>
      <c r="X1570" s="82"/>
      <c r="Y1570" s="82"/>
      <c r="Z1570" s="82"/>
      <c r="AA1570" s="82"/>
      <c r="AB1570" s="82"/>
      <c r="AC1570" s="82"/>
      <c r="AD1570" s="82"/>
      <c r="AE1570" s="82"/>
      <c r="AF1570" s="82"/>
      <c r="AG1570" s="82"/>
      <c r="AH1570" s="82"/>
      <c r="AI1570" s="82"/>
      <c r="AJ1570" s="82"/>
      <c r="AK1570" s="82"/>
      <c r="AL1570" s="82"/>
      <c r="AM1570" s="82"/>
      <c r="AN1570" s="82"/>
      <c r="AO1570" s="82"/>
      <c r="AP1570" s="82"/>
      <c r="AQ1570" s="82"/>
      <c r="AR1570" s="82"/>
      <c r="AS1570" s="82"/>
      <c r="AT1570" s="82"/>
      <c r="AU1570" s="82"/>
      <c r="AV1570" s="82"/>
      <c r="AW1570" s="82" t="str">
        <f t="shared" si="1"/>
        <v/>
      </c>
      <c r="AX1570" s="83" t="str">
        <f t="array" ref="AX1570">IFERROR(DGET('SBV Import'!A:G,"SBV",{"RSC ID","Tier";B1570,A1570}))</f>
        <v/>
      </c>
      <c r="AY1570" s="82" t="str">
        <f t="shared" si="2"/>
        <v/>
      </c>
      <c r="AZ1570" s="82"/>
      <c r="BA1570" s="84" t="s">
        <v>152</v>
      </c>
      <c r="BB1570" s="84" t="str">
        <f>IFERROR(__xludf.DUMMYFUNCTION("iferror(if(A1570="""",,E1570&gt;=FILTER(Constants!$F$2:$F$10,Constants!$A$2:$A$10=A1570)))"),"")</f>
        <v/>
      </c>
    </row>
    <row r="1571">
      <c r="A1571" s="89"/>
      <c r="B1571" s="87"/>
      <c r="C1571" s="73"/>
      <c r="D1571" s="73"/>
      <c r="E1571" s="82"/>
      <c r="F1571" s="82"/>
      <c r="G1571" s="86"/>
      <c r="H1571" s="86"/>
      <c r="I1571" s="86"/>
      <c r="J1571" s="82"/>
      <c r="K1571" s="82"/>
      <c r="L1571" s="82"/>
      <c r="M1571" s="82"/>
      <c r="N1571" s="82"/>
      <c r="O1571" s="82"/>
      <c r="P1571" s="82"/>
      <c r="Q1571" s="82"/>
      <c r="R1571" s="82"/>
      <c r="S1571" s="82"/>
      <c r="T1571" s="82"/>
      <c r="U1571" s="82"/>
      <c r="V1571" s="82"/>
      <c r="W1571" s="82"/>
      <c r="X1571" s="82"/>
      <c r="Y1571" s="82"/>
      <c r="Z1571" s="82"/>
      <c r="AA1571" s="82"/>
      <c r="AB1571" s="82"/>
      <c r="AC1571" s="82"/>
      <c r="AD1571" s="82"/>
      <c r="AE1571" s="82"/>
      <c r="AF1571" s="82"/>
      <c r="AG1571" s="82"/>
      <c r="AH1571" s="82"/>
      <c r="AI1571" s="82"/>
      <c r="AJ1571" s="82"/>
      <c r="AK1571" s="82"/>
      <c r="AL1571" s="82"/>
      <c r="AM1571" s="82"/>
      <c r="AN1571" s="82"/>
      <c r="AO1571" s="82"/>
      <c r="AP1571" s="82"/>
      <c r="AQ1571" s="82"/>
      <c r="AR1571" s="82"/>
      <c r="AS1571" s="82"/>
      <c r="AT1571" s="82"/>
      <c r="AU1571" s="82"/>
      <c r="AV1571" s="82"/>
      <c r="AW1571" s="82" t="str">
        <f t="shared" si="1"/>
        <v/>
      </c>
      <c r="AX1571" s="83" t="str">
        <f t="array" ref="AX1571">IFERROR(DGET('SBV Import'!A:G,"SBV",{"RSC ID","Tier";B1571,A1571}))</f>
        <v/>
      </c>
      <c r="AY1571" s="82" t="str">
        <f t="shared" si="2"/>
        <v/>
      </c>
      <c r="AZ1571" s="82"/>
      <c r="BA1571" s="84" t="s">
        <v>152</v>
      </c>
      <c r="BB1571" s="84" t="str">
        <f>IFERROR(__xludf.DUMMYFUNCTION("iferror(if(A1571="""",,E1571&gt;=FILTER(Constants!$F$2:$F$10,Constants!$A$2:$A$10=A1571)))"),"")</f>
        <v/>
      </c>
    </row>
    <row r="1572">
      <c r="A1572" s="89"/>
      <c r="B1572" s="87"/>
      <c r="C1572" s="73"/>
      <c r="D1572" s="73"/>
      <c r="E1572" s="82"/>
      <c r="F1572" s="82"/>
      <c r="G1572" s="86"/>
      <c r="H1572" s="86"/>
      <c r="I1572" s="86"/>
      <c r="J1572" s="82"/>
      <c r="K1572" s="82"/>
      <c r="L1572" s="82"/>
      <c r="M1572" s="82"/>
      <c r="N1572" s="82"/>
      <c r="O1572" s="82"/>
      <c r="P1572" s="82"/>
      <c r="Q1572" s="82"/>
      <c r="R1572" s="82"/>
      <c r="S1572" s="82"/>
      <c r="T1572" s="82"/>
      <c r="U1572" s="82"/>
      <c r="V1572" s="82"/>
      <c r="W1572" s="82"/>
      <c r="X1572" s="82"/>
      <c r="Y1572" s="82"/>
      <c r="Z1572" s="82"/>
      <c r="AA1572" s="82"/>
      <c r="AB1572" s="82"/>
      <c r="AC1572" s="82"/>
      <c r="AD1572" s="82"/>
      <c r="AE1572" s="82"/>
      <c r="AF1572" s="82"/>
      <c r="AG1572" s="82"/>
      <c r="AH1572" s="82"/>
      <c r="AI1572" s="82"/>
      <c r="AJ1572" s="82"/>
      <c r="AK1572" s="82"/>
      <c r="AL1572" s="82"/>
      <c r="AM1572" s="82"/>
      <c r="AN1572" s="82"/>
      <c r="AO1572" s="82"/>
      <c r="AP1572" s="82"/>
      <c r="AQ1572" s="82"/>
      <c r="AR1572" s="82"/>
      <c r="AS1572" s="82"/>
      <c r="AT1572" s="82"/>
      <c r="AU1572" s="82"/>
      <c r="AV1572" s="82"/>
      <c r="AW1572" s="82" t="str">
        <f t="shared" si="1"/>
        <v/>
      </c>
      <c r="AX1572" s="83" t="str">
        <f t="array" ref="AX1572">IFERROR(DGET('SBV Import'!A:G,"SBV",{"RSC ID","Tier";B1572,A1572}))</f>
        <v/>
      </c>
      <c r="AY1572" s="82" t="str">
        <f t="shared" si="2"/>
        <v/>
      </c>
      <c r="AZ1572" s="82"/>
      <c r="BA1572" s="84" t="s">
        <v>152</v>
      </c>
      <c r="BB1572" s="84" t="str">
        <f>IFERROR(__xludf.DUMMYFUNCTION("iferror(if(A1572="""",,E1572&gt;=FILTER(Constants!$F$2:$F$10,Constants!$A$2:$A$10=A1572)))"),"")</f>
        <v/>
      </c>
    </row>
    <row r="1573">
      <c r="A1573" s="89"/>
      <c r="B1573" s="87"/>
      <c r="C1573" s="73"/>
      <c r="D1573" s="73"/>
      <c r="E1573" s="82"/>
      <c r="F1573" s="82"/>
      <c r="G1573" s="86"/>
      <c r="H1573" s="86"/>
      <c r="I1573" s="86"/>
      <c r="J1573" s="82"/>
      <c r="K1573" s="82"/>
      <c r="L1573" s="82"/>
      <c r="M1573" s="82"/>
      <c r="N1573" s="82"/>
      <c r="O1573" s="82"/>
      <c r="P1573" s="82"/>
      <c r="Q1573" s="82"/>
      <c r="R1573" s="82"/>
      <c r="S1573" s="82"/>
      <c r="T1573" s="82"/>
      <c r="U1573" s="82"/>
      <c r="V1573" s="82"/>
      <c r="W1573" s="82"/>
      <c r="X1573" s="82"/>
      <c r="Y1573" s="82"/>
      <c r="Z1573" s="82"/>
      <c r="AA1573" s="82"/>
      <c r="AB1573" s="82"/>
      <c r="AC1573" s="82"/>
      <c r="AD1573" s="82"/>
      <c r="AE1573" s="82"/>
      <c r="AF1573" s="82"/>
      <c r="AG1573" s="82"/>
      <c r="AH1573" s="82"/>
      <c r="AI1573" s="82"/>
      <c r="AJ1573" s="82"/>
      <c r="AK1573" s="82"/>
      <c r="AL1573" s="82"/>
      <c r="AM1573" s="82"/>
      <c r="AN1573" s="82"/>
      <c r="AO1573" s="82"/>
      <c r="AP1573" s="82"/>
      <c r="AQ1573" s="82"/>
      <c r="AR1573" s="82"/>
      <c r="AS1573" s="82"/>
      <c r="AT1573" s="82"/>
      <c r="AU1573" s="82"/>
      <c r="AV1573" s="82"/>
      <c r="AW1573" s="82" t="str">
        <f t="shared" si="1"/>
        <v/>
      </c>
      <c r="AX1573" s="83" t="str">
        <f t="array" ref="AX1573">IFERROR(DGET('SBV Import'!A:G,"SBV",{"RSC ID","Tier";B1573,A1573}))</f>
        <v/>
      </c>
      <c r="AY1573" s="82" t="str">
        <f t="shared" si="2"/>
        <v/>
      </c>
      <c r="AZ1573" s="82"/>
      <c r="BA1573" s="84" t="s">
        <v>152</v>
      </c>
      <c r="BB1573" s="84" t="str">
        <f>IFERROR(__xludf.DUMMYFUNCTION("iferror(if(A1573="""",,E1573&gt;=FILTER(Constants!$F$2:$F$10,Constants!$A$2:$A$10=A1573)))"),"")</f>
        <v/>
      </c>
    </row>
    <row r="1574">
      <c r="A1574" s="89"/>
      <c r="B1574" s="87"/>
      <c r="C1574" s="73"/>
      <c r="D1574" s="73"/>
      <c r="E1574" s="82"/>
      <c r="F1574" s="82"/>
      <c r="G1574" s="86"/>
      <c r="H1574" s="86"/>
      <c r="I1574" s="86"/>
      <c r="J1574" s="82"/>
      <c r="K1574" s="82"/>
      <c r="L1574" s="82"/>
      <c r="M1574" s="82"/>
      <c r="N1574" s="82"/>
      <c r="O1574" s="82"/>
      <c r="P1574" s="82"/>
      <c r="Q1574" s="82"/>
      <c r="R1574" s="82"/>
      <c r="S1574" s="82"/>
      <c r="T1574" s="82"/>
      <c r="U1574" s="82"/>
      <c r="V1574" s="82"/>
      <c r="W1574" s="82"/>
      <c r="X1574" s="82"/>
      <c r="Y1574" s="82"/>
      <c r="Z1574" s="82"/>
      <c r="AA1574" s="82"/>
      <c r="AB1574" s="82"/>
      <c r="AC1574" s="82"/>
      <c r="AD1574" s="82"/>
      <c r="AE1574" s="82"/>
      <c r="AF1574" s="82"/>
      <c r="AG1574" s="82"/>
      <c r="AH1574" s="82"/>
      <c r="AI1574" s="82"/>
      <c r="AJ1574" s="82"/>
      <c r="AK1574" s="82"/>
      <c r="AL1574" s="82"/>
      <c r="AM1574" s="82"/>
      <c r="AN1574" s="82"/>
      <c r="AO1574" s="82"/>
      <c r="AP1574" s="82"/>
      <c r="AQ1574" s="82"/>
      <c r="AR1574" s="82"/>
      <c r="AS1574" s="82"/>
      <c r="AT1574" s="82"/>
      <c r="AU1574" s="82"/>
      <c r="AV1574" s="82"/>
      <c r="AW1574" s="82" t="str">
        <f t="shared" si="1"/>
        <v/>
      </c>
      <c r="AX1574" s="83" t="str">
        <f t="array" ref="AX1574">IFERROR(DGET('SBV Import'!A:G,"SBV",{"RSC ID","Tier";B1574,A1574}))</f>
        <v/>
      </c>
      <c r="AY1574" s="82" t="str">
        <f t="shared" si="2"/>
        <v/>
      </c>
      <c r="AZ1574" s="82"/>
      <c r="BA1574" s="84" t="s">
        <v>152</v>
      </c>
      <c r="BB1574" s="84" t="str">
        <f>IFERROR(__xludf.DUMMYFUNCTION("iferror(if(A1574="""",,E1574&gt;=FILTER(Constants!$F$2:$F$10,Constants!$A$2:$A$10=A1574)))"),"")</f>
        <v/>
      </c>
    </row>
    <row r="1575">
      <c r="A1575" s="89"/>
      <c r="B1575" s="87"/>
      <c r="C1575" s="73"/>
      <c r="D1575" s="73"/>
      <c r="E1575" s="82"/>
      <c r="F1575" s="82"/>
      <c r="G1575" s="86"/>
      <c r="H1575" s="86"/>
      <c r="I1575" s="86"/>
      <c r="J1575" s="82"/>
      <c r="K1575" s="82"/>
      <c r="L1575" s="82"/>
      <c r="M1575" s="82"/>
      <c r="N1575" s="82"/>
      <c r="O1575" s="82"/>
      <c r="P1575" s="82"/>
      <c r="Q1575" s="82"/>
      <c r="R1575" s="82"/>
      <c r="S1575" s="82"/>
      <c r="T1575" s="82"/>
      <c r="U1575" s="82"/>
      <c r="V1575" s="82"/>
      <c r="W1575" s="82"/>
      <c r="X1575" s="82"/>
      <c r="Y1575" s="82"/>
      <c r="Z1575" s="82"/>
      <c r="AA1575" s="82"/>
      <c r="AB1575" s="82"/>
      <c r="AC1575" s="82"/>
      <c r="AD1575" s="82"/>
      <c r="AE1575" s="82"/>
      <c r="AF1575" s="82"/>
      <c r="AG1575" s="82"/>
      <c r="AH1575" s="82"/>
      <c r="AI1575" s="82"/>
      <c r="AJ1575" s="82"/>
      <c r="AK1575" s="82"/>
      <c r="AL1575" s="82"/>
      <c r="AM1575" s="82"/>
      <c r="AN1575" s="82"/>
      <c r="AO1575" s="82"/>
      <c r="AP1575" s="82"/>
      <c r="AQ1575" s="82"/>
      <c r="AR1575" s="82"/>
      <c r="AS1575" s="82"/>
      <c r="AT1575" s="82"/>
      <c r="AU1575" s="82"/>
      <c r="AV1575" s="82"/>
      <c r="AW1575" s="82" t="str">
        <f t="shared" si="1"/>
        <v/>
      </c>
      <c r="AX1575" s="83" t="str">
        <f t="array" ref="AX1575">IFERROR(DGET('SBV Import'!A:G,"SBV",{"RSC ID","Tier";B1575,A1575}))</f>
        <v/>
      </c>
      <c r="AY1575" s="82" t="str">
        <f t="shared" si="2"/>
        <v/>
      </c>
      <c r="AZ1575" s="82"/>
      <c r="BA1575" s="84" t="s">
        <v>152</v>
      </c>
      <c r="BB1575" s="84" t="str">
        <f>IFERROR(__xludf.DUMMYFUNCTION("iferror(if(A1575="""",,E1575&gt;=FILTER(Constants!$F$2:$F$10,Constants!$A$2:$A$10=A1575)))"),"")</f>
        <v/>
      </c>
    </row>
    <row r="1576">
      <c r="A1576" s="89"/>
      <c r="B1576" s="87"/>
      <c r="C1576" s="73"/>
      <c r="D1576" s="73"/>
      <c r="E1576" s="82"/>
      <c r="F1576" s="82"/>
      <c r="G1576" s="86"/>
      <c r="H1576" s="86"/>
      <c r="I1576" s="86"/>
      <c r="J1576" s="82"/>
      <c r="K1576" s="82"/>
      <c r="L1576" s="82"/>
      <c r="M1576" s="82"/>
      <c r="N1576" s="82"/>
      <c r="O1576" s="82"/>
      <c r="P1576" s="82"/>
      <c r="Q1576" s="82"/>
      <c r="R1576" s="82"/>
      <c r="S1576" s="82"/>
      <c r="T1576" s="82"/>
      <c r="U1576" s="82"/>
      <c r="V1576" s="82"/>
      <c r="W1576" s="82"/>
      <c r="X1576" s="82"/>
      <c r="Y1576" s="82"/>
      <c r="Z1576" s="82"/>
      <c r="AA1576" s="82"/>
      <c r="AB1576" s="82"/>
      <c r="AC1576" s="82"/>
      <c r="AD1576" s="82"/>
      <c r="AE1576" s="82"/>
      <c r="AF1576" s="82"/>
      <c r="AG1576" s="82"/>
      <c r="AH1576" s="82"/>
      <c r="AI1576" s="82"/>
      <c r="AJ1576" s="82"/>
      <c r="AK1576" s="82"/>
      <c r="AL1576" s="82"/>
      <c r="AM1576" s="82"/>
      <c r="AN1576" s="82"/>
      <c r="AO1576" s="82"/>
      <c r="AP1576" s="82"/>
      <c r="AQ1576" s="82"/>
      <c r="AR1576" s="82"/>
      <c r="AS1576" s="82"/>
      <c r="AT1576" s="82"/>
      <c r="AU1576" s="82"/>
      <c r="AV1576" s="82"/>
      <c r="AW1576" s="82" t="str">
        <f t="shared" si="1"/>
        <v/>
      </c>
      <c r="AX1576" s="83" t="str">
        <f t="array" ref="AX1576">IFERROR(DGET('SBV Import'!A:G,"SBV",{"RSC ID","Tier";B1576,A1576}))</f>
        <v/>
      </c>
      <c r="AY1576" s="82" t="str">
        <f t="shared" si="2"/>
        <v/>
      </c>
      <c r="AZ1576" s="82"/>
      <c r="BA1576" s="84" t="s">
        <v>152</v>
      </c>
      <c r="BB1576" s="84" t="str">
        <f>IFERROR(__xludf.DUMMYFUNCTION("iferror(if(A1576="""",,E1576&gt;=FILTER(Constants!$F$2:$F$10,Constants!$A$2:$A$10=A1576)))"),"")</f>
        <v/>
      </c>
    </row>
    <row r="1577">
      <c r="A1577" s="89"/>
      <c r="B1577" s="87"/>
      <c r="C1577" s="73"/>
      <c r="D1577" s="73"/>
      <c r="E1577" s="82"/>
      <c r="F1577" s="82"/>
      <c r="G1577" s="86"/>
      <c r="H1577" s="86"/>
      <c r="I1577" s="86"/>
      <c r="J1577" s="82"/>
      <c r="K1577" s="82"/>
      <c r="L1577" s="82"/>
      <c r="M1577" s="82"/>
      <c r="N1577" s="82"/>
      <c r="O1577" s="82"/>
      <c r="P1577" s="82"/>
      <c r="Q1577" s="82"/>
      <c r="R1577" s="82"/>
      <c r="S1577" s="82"/>
      <c r="T1577" s="82"/>
      <c r="U1577" s="82"/>
      <c r="V1577" s="82"/>
      <c r="W1577" s="82"/>
      <c r="X1577" s="82"/>
      <c r="Y1577" s="82"/>
      <c r="Z1577" s="82"/>
      <c r="AA1577" s="82"/>
      <c r="AB1577" s="82"/>
      <c r="AC1577" s="82"/>
      <c r="AD1577" s="82"/>
      <c r="AE1577" s="82"/>
      <c r="AF1577" s="82"/>
      <c r="AG1577" s="82"/>
      <c r="AH1577" s="82"/>
      <c r="AI1577" s="82"/>
      <c r="AJ1577" s="82"/>
      <c r="AK1577" s="82"/>
      <c r="AL1577" s="82"/>
      <c r="AM1577" s="82"/>
      <c r="AN1577" s="82"/>
      <c r="AO1577" s="82"/>
      <c r="AP1577" s="82"/>
      <c r="AQ1577" s="82"/>
      <c r="AR1577" s="82"/>
      <c r="AS1577" s="82"/>
      <c r="AT1577" s="82"/>
      <c r="AU1577" s="82"/>
      <c r="AV1577" s="82"/>
      <c r="AW1577" s="82" t="str">
        <f t="shared" si="1"/>
        <v/>
      </c>
      <c r="AX1577" s="83" t="str">
        <f t="array" ref="AX1577">IFERROR(DGET('SBV Import'!A:G,"SBV",{"RSC ID","Tier";B1577,A1577}))</f>
        <v/>
      </c>
      <c r="AY1577" s="82" t="str">
        <f t="shared" si="2"/>
        <v/>
      </c>
      <c r="AZ1577" s="82"/>
      <c r="BA1577" s="84" t="s">
        <v>152</v>
      </c>
      <c r="BB1577" s="84" t="str">
        <f>IFERROR(__xludf.DUMMYFUNCTION("iferror(if(A1577="""",,E1577&gt;=FILTER(Constants!$F$2:$F$10,Constants!$A$2:$A$10=A1577)))"),"")</f>
        <v/>
      </c>
    </row>
    <row r="1578">
      <c r="A1578" s="89"/>
      <c r="B1578" s="87"/>
      <c r="C1578" s="73"/>
      <c r="D1578" s="73"/>
      <c r="E1578" s="82"/>
      <c r="F1578" s="82"/>
      <c r="G1578" s="86"/>
      <c r="H1578" s="86"/>
      <c r="I1578" s="86"/>
      <c r="J1578" s="82"/>
      <c r="K1578" s="82"/>
      <c r="L1578" s="82"/>
      <c r="M1578" s="82"/>
      <c r="N1578" s="82"/>
      <c r="O1578" s="82"/>
      <c r="P1578" s="82"/>
      <c r="Q1578" s="82"/>
      <c r="R1578" s="82"/>
      <c r="S1578" s="82"/>
      <c r="T1578" s="82"/>
      <c r="U1578" s="82"/>
      <c r="V1578" s="82"/>
      <c r="W1578" s="82"/>
      <c r="X1578" s="82"/>
      <c r="Y1578" s="82"/>
      <c r="Z1578" s="82"/>
      <c r="AA1578" s="82"/>
      <c r="AB1578" s="82"/>
      <c r="AC1578" s="82"/>
      <c r="AD1578" s="82"/>
      <c r="AE1578" s="82"/>
      <c r="AF1578" s="82"/>
      <c r="AG1578" s="82"/>
      <c r="AH1578" s="82"/>
      <c r="AI1578" s="82"/>
      <c r="AJ1578" s="82"/>
      <c r="AK1578" s="82"/>
      <c r="AL1578" s="82"/>
      <c r="AM1578" s="82"/>
      <c r="AN1578" s="82"/>
      <c r="AO1578" s="82"/>
      <c r="AP1578" s="82"/>
      <c r="AQ1578" s="82"/>
      <c r="AR1578" s="82"/>
      <c r="AS1578" s="82"/>
      <c r="AT1578" s="82"/>
      <c r="AU1578" s="82"/>
      <c r="AV1578" s="82"/>
      <c r="AW1578" s="82" t="str">
        <f t="shared" si="1"/>
        <v/>
      </c>
      <c r="AX1578" s="83" t="str">
        <f t="array" ref="AX1578">IFERROR(DGET('SBV Import'!A:G,"SBV",{"RSC ID","Tier";B1578,A1578}))</f>
        <v/>
      </c>
      <c r="AY1578" s="82" t="str">
        <f t="shared" si="2"/>
        <v/>
      </c>
      <c r="AZ1578" s="82"/>
      <c r="BA1578" s="84" t="s">
        <v>152</v>
      </c>
      <c r="BB1578" s="84" t="str">
        <f>IFERROR(__xludf.DUMMYFUNCTION("iferror(if(A1578="""",,E1578&gt;=FILTER(Constants!$F$2:$F$10,Constants!$A$2:$A$10=A1578)))"),"")</f>
        <v/>
      </c>
    </row>
    <row r="1579">
      <c r="A1579" s="89"/>
      <c r="B1579" s="87"/>
      <c r="C1579" s="73"/>
      <c r="D1579" s="73"/>
      <c r="E1579" s="82"/>
      <c r="F1579" s="82"/>
      <c r="G1579" s="86"/>
      <c r="H1579" s="86"/>
      <c r="I1579" s="86"/>
      <c r="J1579" s="82"/>
      <c r="K1579" s="82"/>
      <c r="L1579" s="82"/>
      <c r="M1579" s="82"/>
      <c r="N1579" s="82"/>
      <c r="O1579" s="82"/>
      <c r="P1579" s="82"/>
      <c r="Q1579" s="82"/>
      <c r="R1579" s="82"/>
      <c r="S1579" s="82"/>
      <c r="T1579" s="82"/>
      <c r="U1579" s="82"/>
      <c r="V1579" s="82"/>
      <c r="W1579" s="82"/>
      <c r="X1579" s="82"/>
      <c r="Y1579" s="82"/>
      <c r="Z1579" s="82"/>
      <c r="AA1579" s="82"/>
      <c r="AB1579" s="82"/>
      <c r="AC1579" s="82"/>
      <c r="AD1579" s="82"/>
      <c r="AE1579" s="82"/>
      <c r="AF1579" s="82"/>
      <c r="AG1579" s="82"/>
      <c r="AH1579" s="82"/>
      <c r="AI1579" s="82"/>
      <c r="AJ1579" s="82"/>
      <c r="AK1579" s="82"/>
      <c r="AL1579" s="82"/>
      <c r="AM1579" s="82"/>
      <c r="AN1579" s="82"/>
      <c r="AO1579" s="82"/>
      <c r="AP1579" s="82"/>
      <c r="AQ1579" s="82"/>
      <c r="AR1579" s="82"/>
      <c r="AS1579" s="82"/>
      <c r="AT1579" s="82"/>
      <c r="AU1579" s="82"/>
      <c r="AV1579" s="82"/>
      <c r="AW1579" s="82" t="str">
        <f t="shared" si="1"/>
        <v/>
      </c>
      <c r="AX1579" s="83" t="str">
        <f t="array" ref="AX1579">IFERROR(DGET('SBV Import'!A:G,"SBV",{"RSC ID","Tier";B1579,A1579}))</f>
        <v/>
      </c>
      <c r="AY1579" s="82" t="str">
        <f t="shared" si="2"/>
        <v/>
      </c>
      <c r="AZ1579" s="82"/>
      <c r="BA1579" s="84" t="s">
        <v>152</v>
      </c>
      <c r="BB1579" s="84" t="str">
        <f>IFERROR(__xludf.DUMMYFUNCTION("iferror(if(A1579="""",,E1579&gt;=FILTER(Constants!$F$2:$F$10,Constants!$A$2:$A$10=A1579)))"),"")</f>
        <v/>
      </c>
    </row>
    <row r="1580">
      <c r="A1580" s="89"/>
      <c r="B1580" s="87"/>
      <c r="C1580" s="73"/>
      <c r="D1580" s="73"/>
      <c r="E1580" s="82"/>
      <c r="F1580" s="82"/>
      <c r="G1580" s="86"/>
      <c r="H1580" s="86"/>
      <c r="I1580" s="86"/>
      <c r="J1580" s="82"/>
      <c r="K1580" s="82"/>
      <c r="L1580" s="82"/>
      <c r="M1580" s="82"/>
      <c r="N1580" s="82"/>
      <c r="O1580" s="82"/>
      <c r="P1580" s="82"/>
      <c r="Q1580" s="82"/>
      <c r="R1580" s="82"/>
      <c r="S1580" s="82"/>
      <c r="T1580" s="82"/>
      <c r="U1580" s="82"/>
      <c r="V1580" s="82"/>
      <c r="W1580" s="82"/>
      <c r="X1580" s="82"/>
      <c r="Y1580" s="82"/>
      <c r="Z1580" s="82"/>
      <c r="AA1580" s="82"/>
      <c r="AB1580" s="82"/>
      <c r="AC1580" s="82"/>
      <c r="AD1580" s="82"/>
      <c r="AE1580" s="82"/>
      <c r="AF1580" s="82"/>
      <c r="AG1580" s="82"/>
      <c r="AH1580" s="82"/>
      <c r="AI1580" s="82"/>
      <c r="AJ1580" s="82"/>
      <c r="AK1580" s="82"/>
      <c r="AL1580" s="82"/>
      <c r="AM1580" s="82"/>
      <c r="AN1580" s="82"/>
      <c r="AO1580" s="82"/>
      <c r="AP1580" s="82"/>
      <c r="AQ1580" s="82"/>
      <c r="AR1580" s="82"/>
      <c r="AS1580" s="82"/>
      <c r="AT1580" s="82"/>
      <c r="AU1580" s="82"/>
      <c r="AV1580" s="82"/>
      <c r="AW1580" s="82" t="str">
        <f t="shared" si="1"/>
        <v/>
      </c>
      <c r="AX1580" s="83" t="str">
        <f t="array" ref="AX1580">IFERROR(DGET('SBV Import'!A:G,"SBV",{"RSC ID","Tier";B1580,A1580}))</f>
        <v/>
      </c>
      <c r="AY1580" s="82" t="str">
        <f t="shared" si="2"/>
        <v/>
      </c>
      <c r="AZ1580" s="82"/>
      <c r="BA1580" s="84" t="s">
        <v>152</v>
      </c>
      <c r="BB1580" s="84" t="str">
        <f>IFERROR(__xludf.DUMMYFUNCTION("iferror(if(A1580="""",,E1580&gt;=FILTER(Constants!$F$2:$F$10,Constants!$A$2:$A$10=A1580)))"),"")</f>
        <v/>
      </c>
    </row>
    <row r="1581">
      <c r="A1581" s="89"/>
      <c r="B1581" s="87"/>
      <c r="C1581" s="73"/>
      <c r="D1581" s="73"/>
      <c r="E1581" s="82"/>
      <c r="F1581" s="82"/>
      <c r="G1581" s="86"/>
      <c r="H1581" s="86"/>
      <c r="I1581" s="86"/>
      <c r="J1581" s="82"/>
      <c r="K1581" s="82"/>
      <c r="L1581" s="82"/>
      <c r="M1581" s="82"/>
      <c r="N1581" s="82"/>
      <c r="O1581" s="82"/>
      <c r="P1581" s="82"/>
      <c r="Q1581" s="82"/>
      <c r="R1581" s="82"/>
      <c r="S1581" s="82"/>
      <c r="T1581" s="82"/>
      <c r="U1581" s="82"/>
      <c r="V1581" s="82"/>
      <c r="W1581" s="82"/>
      <c r="X1581" s="82"/>
      <c r="Y1581" s="82"/>
      <c r="Z1581" s="82"/>
      <c r="AA1581" s="82"/>
      <c r="AB1581" s="82"/>
      <c r="AC1581" s="82"/>
      <c r="AD1581" s="82"/>
      <c r="AE1581" s="82"/>
      <c r="AF1581" s="82"/>
      <c r="AG1581" s="82"/>
      <c r="AH1581" s="82"/>
      <c r="AI1581" s="82"/>
      <c r="AJ1581" s="82"/>
      <c r="AK1581" s="82"/>
      <c r="AL1581" s="82"/>
      <c r="AM1581" s="82"/>
      <c r="AN1581" s="82"/>
      <c r="AO1581" s="82"/>
      <c r="AP1581" s="82"/>
      <c r="AQ1581" s="82"/>
      <c r="AR1581" s="82"/>
      <c r="AS1581" s="82"/>
      <c r="AT1581" s="82"/>
      <c r="AU1581" s="82"/>
      <c r="AV1581" s="82"/>
      <c r="AW1581" s="82" t="str">
        <f t="shared" si="1"/>
        <v/>
      </c>
      <c r="AX1581" s="83" t="str">
        <f t="array" ref="AX1581">IFERROR(DGET('SBV Import'!A:G,"SBV",{"RSC ID","Tier";B1581,A1581}))</f>
        <v/>
      </c>
      <c r="AY1581" s="82" t="str">
        <f t="shared" si="2"/>
        <v/>
      </c>
      <c r="AZ1581" s="82"/>
      <c r="BA1581" s="84" t="s">
        <v>152</v>
      </c>
      <c r="BB1581" s="84" t="str">
        <f>IFERROR(__xludf.DUMMYFUNCTION("iferror(if(A1581="""",,E1581&gt;=FILTER(Constants!$F$2:$F$10,Constants!$A$2:$A$10=A1581)))"),"")</f>
        <v/>
      </c>
    </row>
    <row r="1582">
      <c r="A1582" s="89"/>
      <c r="B1582" s="87"/>
      <c r="C1582" s="73"/>
      <c r="D1582" s="73"/>
      <c r="E1582" s="82"/>
      <c r="F1582" s="82"/>
      <c r="G1582" s="86"/>
      <c r="H1582" s="86"/>
      <c r="I1582" s="86"/>
      <c r="J1582" s="82"/>
      <c r="K1582" s="82"/>
      <c r="L1582" s="82"/>
      <c r="M1582" s="82"/>
      <c r="N1582" s="82"/>
      <c r="O1582" s="82"/>
      <c r="P1582" s="82"/>
      <c r="Q1582" s="82"/>
      <c r="R1582" s="82"/>
      <c r="S1582" s="82"/>
      <c r="T1582" s="82"/>
      <c r="U1582" s="82"/>
      <c r="V1582" s="82"/>
      <c r="W1582" s="82"/>
      <c r="X1582" s="82"/>
      <c r="Y1582" s="82"/>
      <c r="Z1582" s="82"/>
      <c r="AA1582" s="82"/>
      <c r="AB1582" s="82"/>
      <c r="AC1582" s="82"/>
      <c r="AD1582" s="82"/>
      <c r="AE1582" s="82"/>
      <c r="AF1582" s="82"/>
      <c r="AG1582" s="82"/>
      <c r="AH1582" s="82"/>
      <c r="AI1582" s="82"/>
      <c r="AJ1582" s="82"/>
      <c r="AK1582" s="82"/>
      <c r="AL1582" s="82"/>
      <c r="AM1582" s="82"/>
      <c r="AN1582" s="82"/>
      <c r="AO1582" s="82"/>
      <c r="AP1582" s="82"/>
      <c r="AQ1582" s="82"/>
      <c r="AR1582" s="82"/>
      <c r="AS1582" s="82"/>
      <c r="AT1582" s="82"/>
      <c r="AU1582" s="82"/>
      <c r="AV1582" s="82"/>
      <c r="AW1582" s="82" t="str">
        <f t="shared" si="1"/>
        <v/>
      </c>
      <c r="AX1582" s="83" t="str">
        <f t="array" ref="AX1582">IFERROR(DGET('SBV Import'!A:G,"SBV",{"RSC ID","Tier";B1582,A1582}))</f>
        <v/>
      </c>
      <c r="AY1582" s="82" t="str">
        <f t="shared" si="2"/>
        <v/>
      </c>
      <c r="AZ1582" s="82"/>
      <c r="BA1582" s="84" t="s">
        <v>152</v>
      </c>
      <c r="BB1582" s="84" t="str">
        <f>IFERROR(__xludf.DUMMYFUNCTION("iferror(if(A1582="""",,E1582&gt;=FILTER(Constants!$F$2:$F$10,Constants!$A$2:$A$10=A1582)))"),"")</f>
        <v/>
      </c>
    </row>
    <row r="1583">
      <c r="A1583" s="89"/>
      <c r="B1583" s="87"/>
      <c r="C1583" s="73"/>
      <c r="D1583" s="73"/>
      <c r="E1583" s="82"/>
      <c r="F1583" s="82"/>
      <c r="G1583" s="86"/>
      <c r="H1583" s="86"/>
      <c r="I1583" s="86"/>
      <c r="J1583" s="82"/>
      <c r="K1583" s="82"/>
      <c r="L1583" s="82"/>
      <c r="M1583" s="82"/>
      <c r="N1583" s="82"/>
      <c r="O1583" s="82"/>
      <c r="P1583" s="82"/>
      <c r="Q1583" s="82"/>
      <c r="R1583" s="82"/>
      <c r="S1583" s="82"/>
      <c r="T1583" s="82"/>
      <c r="U1583" s="82"/>
      <c r="V1583" s="82"/>
      <c r="W1583" s="82"/>
      <c r="X1583" s="82"/>
      <c r="Y1583" s="82"/>
      <c r="Z1583" s="82"/>
      <c r="AA1583" s="82"/>
      <c r="AB1583" s="82"/>
      <c r="AC1583" s="82"/>
      <c r="AD1583" s="82"/>
      <c r="AE1583" s="82"/>
      <c r="AF1583" s="82"/>
      <c r="AG1583" s="82"/>
      <c r="AH1583" s="82"/>
      <c r="AI1583" s="82"/>
      <c r="AJ1583" s="82"/>
      <c r="AK1583" s="82"/>
      <c r="AL1583" s="82"/>
      <c r="AM1583" s="82"/>
      <c r="AN1583" s="82"/>
      <c r="AO1583" s="82"/>
      <c r="AP1583" s="82"/>
      <c r="AQ1583" s="82"/>
      <c r="AR1583" s="82"/>
      <c r="AS1583" s="82"/>
      <c r="AT1583" s="82"/>
      <c r="AU1583" s="82"/>
      <c r="AV1583" s="82"/>
      <c r="AW1583" s="82" t="str">
        <f t="shared" si="1"/>
        <v/>
      </c>
      <c r="AX1583" s="83" t="str">
        <f t="array" ref="AX1583">IFERROR(DGET('SBV Import'!A:G,"SBV",{"RSC ID","Tier";B1583,A1583}))</f>
        <v/>
      </c>
      <c r="AY1583" s="82" t="str">
        <f t="shared" si="2"/>
        <v/>
      </c>
      <c r="AZ1583" s="82"/>
      <c r="BA1583" s="84" t="s">
        <v>152</v>
      </c>
      <c r="BB1583" s="84" t="str">
        <f>IFERROR(__xludf.DUMMYFUNCTION("iferror(if(A1583="""",,E1583&gt;=FILTER(Constants!$F$2:$F$10,Constants!$A$2:$A$10=A1583)))"),"")</f>
        <v/>
      </c>
    </row>
    <row r="1584">
      <c r="A1584" s="89"/>
      <c r="B1584" s="87"/>
      <c r="C1584" s="73"/>
      <c r="D1584" s="73"/>
      <c r="E1584" s="82"/>
      <c r="F1584" s="82"/>
      <c r="G1584" s="86"/>
      <c r="H1584" s="86"/>
      <c r="I1584" s="86"/>
      <c r="J1584" s="82"/>
      <c r="K1584" s="82"/>
      <c r="L1584" s="82"/>
      <c r="M1584" s="82"/>
      <c r="N1584" s="82"/>
      <c r="O1584" s="82"/>
      <c r="P1584" s="82"/>
      <c r="Q1584" s="82"/>
      <c r="R1584" s="82"/>
      <c r="S1584" s="82"/>
      <c r="T1584" s="82"/>
      <c r="U1584" s="82"/>
      <c r="V1584" s="82"/>
      <c r="W1584" s="82"/>
      <c r="X1584" s="82"/>
      <c r="Y1584" s="82"/>
      <c r="Z1584" s="82"/>
      <c r="AA1584" s="82"/>
      <c r="AB1584" s="82"/>
      <c r="AC1584" s="82"/>
      <c r="AD1584" s="82"/>
      <c r="AE1584" s="82"/>
      <c r="AF1584" s="82"/>
      <c r="AG1584" s="82"/>
      <c r="AH1584" s="82"/>
      <c r="AI1584" s="82"/>
      <c r="AJ1584" s="82"/>
      <c r="AK1584" s="82"/>
      <c r="AL1584" s="82"/>
      <c r="AM1584" s="82"/>
      <c r="AN1584" s="82"/>
      <c r="AO1584" s="82"/>
      <c r="AP1584" s="82"/>
      <c r="AQ1584" s="82"/>
      <c r="AR1584" s="82"/>
      <c r="AS1584" s="82"/>
      <c r="AT1584" s="82"/>
      <c r="AU1584" s="82"/>
      <c r="AV1584" s="82"/>
      <c r="AW1584" s="82" t="str">
        <f t="shared" si="1"/>
        <v/>
      </c>
      <c r="AX1584" s="83" t="str">
        <f t="array" ref="AX1584">IFERROR(DGET('SBV Import'!A:G,"SBV",{"RSC ID","Tier";B1584,A1584}))</f>
        <v/>
      </c>
      <c r="AY1584" s="82" t="str">
        <f t="shared" si="2"/>
        <v/>
      </c>
      <c r="AZ1584" s="82"/>
      <c r="BA1584" s="84" t="s">
        <v>152</v>
      </c>
      <c r="BB1584" s="84" t="str">
        <f>IFERROR(__xludf.DUMMYFUNCTION("iferror(if(A1584="""",,E1584&gt;=FILTER(Constants!$F$2:$F$10,Constants!$A$2:$A$10=A1584)))"),"")</f>
        <v/>
      </c>
    </row>
    <row r="1585">
      <c r="A1585" s="89"/>
      <c r="B1585" s="87"/>
      <c r="C1585" s="73"/>
      <c r="D1585" s="73"/>
      <c r="E1585" s="82"/>
      <c r="F1585" s="82"/>
      <c r="G1585" s="86"/>
      <c r="H1585" s="86"/>
      <c r="I1585" s="86"/>
      <c r="J1585" s="82"/>
      <c r="K1585" s="82"/>
      <c r="L1585" s="82"/>
      <c r="M1585" s="82"/>
      <c r="N1585" s="82"/>
      <c r="O1585" s="82"/>
      <c r="P1585" s="82"/>
      <c r="Q1585" s="82"/>
      <c r="R1585" s="82"/>
      <c r="S1585" s="82"/>
      <c r="T1585" s="82"/>
      <c r="U1585" s="82"/>
      <c r="V1585" s="82"/>
      <c r="W1585" s="82"/>
      <c r="X1585" s="82"/>
      <c r="Y1585" s="82"/>
      <c r="Z1585" s="82"/>
      <c r="AA1585" s="82"/>
      <c r="AB1585" s="82"/>
      <c r="AC1585" s="82"/>
      <c r="AD1585" s="82"/>
      <c r="AE1585" s="82"/>
      <c r="AF1585" s="82"/>
      <c r="AG1585" s="82"/>
      <c r="AH1585" s="82"/>
      <c r="AI1585" s="82"/>
      <c r="AJ1585" s="82"/>
      <c r="AK1585" s="82"/>
      <c r="AL1585" s="82"/>
      <c r="AM1585" s="82"/>
      <c r="AN1585" s="82"/>
      <c r="AO1585" s="82"/>
      <c r="AP1585" s="82"/>
      <c r="AQ1585" s="82"/>
      <c r="AR1585" s="82"/>
      <c r="AS1585" s="82"/>
      <c r="AT1585" s="82"/>
      <c r="AU1585" s="82"/>
      <c r="AV1585" s="82"/>
      <c r="AW1585" s="82" t="str">
        <f t="shared" si="1"/>
        <v/>
      </c>
      <c r="AX1585" s="83" t="str">
        <f t="array" ref="AX1585">IFERROR(DGET('SBV Import'!A:G,"SBV",{"RSC ID","Tier";B1585,A1585}))</f>
        <v/>
      </c>
      <c r="AY1585" s="82" t="str">
        <f t="shared" si="2"/>
        <v/>
      </c>
      <c r="AZ1585" s="82"/>
      <c r="BA1585" s="84" t="s">
        <v>152</v>
      </c>
      <c r="BB1585" s="84" t="str">
        <f>IFERROR(__xludf.DUMMYFUNCTION("iferror(if(A1585="""",,E1585&gt;=FILTER(Constants!$F$2:$F$10,Constants!$A$2:$A$10=A1585)))"),"")</f>
        <v/>
      </c>
    </row>
    <row r="1586">
      <c r="A1586" s="89"/>
      <c r="B1586" s="87"/>
      <c r="C1586" s="73"/>
      <c r="D1586" s="73"/>
      <c r="E1586" s="82"/>
      <c r="F1586" s="82"/>
      <c r="G1586" s="86"/>
      <c r="H1586" s="86"/>
      <c r="I1586" s="86"/>
      <c r="J1586" s="82"/>
      <c r="K1586" s="82"/>
      <c r="L1586" s="82"/>
      <c r="M1586" s="82"/>
      <c r="N1586" s="82"/>
      <c r="O1586" s="82"/>
      <c r="P1586" s="82"/>
      <c r="Q1586" s="82"/>
      <c r="R1586" s="82"/>
      <c r="S1586" s="82"/>
      <c r="T1586" s="82"/>
      <c r="U1586" s="82"/>
      <c r="V1586" s="82"/>
      <c r="W1586" s="82"/>
      <c r="X1586" s="82"/>
      <c r="Y1586" s="82"/>
      <c r="Z1586" s="82"/>
      <c r="AA1586" s="82"/>
      <c r="AB1586" s="82"/>
      <c r="AC1586" s="82"/>
      <c r="AD1586" s="82"/>
      <c r="AE1586" s="82"/>
      <c r="AF1586" s="82"/>
      <c r="AG1586" s="82"/>
      <c r="AH1586" s="82"/>
      <c r="AI1586" s="82"/>
      <c r="AJ1586" s="82"/>
      <c r="AK1586" s="82"/>
      <c r="AL1586" s="82"/>
      <c r="AM1586" s="82"/>
      <c r="AN1586" s="82"/>
      <c r="AO1586" s="82"/>
      <c r="AP1586" s="82"/>
      <c r="AQ1586" s="82"/>
      <c r="AR1586" s="82"/>
      <c r="AS1586" s="82"/>
      <c r="AT1586" s="82"/>
      <c r="AU1586" s="82"/>
      <c r="AV1586" s="82"/>
      <c r="AW1586" s="82" t="str">
        <f t="shared" si="1"/>
        <v/>
      </c>
      <c r="AX1586" s="83" t="str">
        <f t="array" ref="AX1586">IFERROR(DGET('SBV Import'!A:G,"SBV",{"RSC ID","Tier";B1586,A1586}))</f>
        <v/>
      </c>
      <c r="AY1586" s="82" t="str">
        <f t="shared" si="2"/>
        <v/>
      </c>
      <c r="AZ1586" s="82"/>
      <c r="BA1586" s="84" t="s">
        <v>152</v>
      </c>
      <c r="BB1586" s="84" t="str">
        <f>IFERROR(__xludf.DUMMYFUNCTION("iferror(if(A1586="""",,E1586&gt;=FILTER(Constants!$F$2:$F$10,Constants!$A$2:$A$10=A1586)))"),"")</f>
        <v/>
      </c>
    </row>
    <row r="1587">
      <c r="A1587" s="89"/>
      <c r="B1587" s="87"/>
      <c r="C1587" s="73"/>
      <c r="D1587" s="73"/>
      <c r="E1587" s="82"/>
      <c r="F1587" s="82"/>
      <c r="G1587" s="86"/>
      <c r="H1587" s="86"/>
      <c r="I1587" s="86"/>
      <c r="J1587" s="82"/>
      <c r="K1587" s="82"/>
      <c r="L1587" s="82"/>
      <c r="M1587" s="82"/>
      <c r="N1587" s="82"/>
      <c r="O1587" s="82"/>
      <c r="P1587" s="82"/>
      <c r="Q1587" s="82"/>
      <c r="R1587" s="82"/>
      <c r="S1587" s="82"/>
      <c r="T1587" s="82"/>
      <c r="U1587" s="82"/>
      <c r="V1587" s="82"/>
      <c r="W1587" s="82"/>
      <c r="X1587" s="82"/>
      <c r="Y1587" s="82"/>
      <c r="Z1587" s="82"/>
      <c r="AA1587" s="82"/>
      <c r="AB1587" s="82"/>
      <c r="AC1587" s="82"/>
      <c r="AD1587" s="82"/>
      <c r="AE1587" s="82"/>
      <c r="AF1587" s="82"/>
      <c r="AG1587" s="82"/>
      <c r="AH1587" s="82"/>
      <c r="AI1587" s="82"/>
      <c r="AJ1587" s="82"/>
      <c r="AK1587" s="82"/>
      <c r="AL1587" s="82"/>
      <c r="AM1587" s="82"/>
      <c r="AN1587" s="82"/>
      <c r="AO1587" s="82"/>
      <c r="AP1587" s="82"/>
      <c r="AQ1587" s="82"/>
      <c r="AR1587" s="82"/>
      <c r="AS1587" s="82"/>
      <c r="AT1587" s="82"/>
      <c r="AU1587" s="82"/>
      <c r="AV1587" s="82"/>
      <c r="AW1587" s="82" t="str">
        <f t="shared" si="1"/>
        <v/>
      </c>
      <c r="AX1587" s="83" t="str">
        <f t="array" ref="AX1587">IFERROR(DGET('SBV Import'!A:G,"SBV",{"RSC ID","Tier";B1587,A1587}))</f>
        <v/>
      </c>
      <c r="AY1587" s="82" t="str">
        <f t="shared" si="2"/>
        <v/>
      </c>
      <c r="AZ1587" s="82"/>
      <c r="BA1587" s="84" t="s">
        <v>152</v>
      </c>
      <c r="BB1587" s="84" t="str">
        <f>IFERROR(__xludf.DUMMYFUNCTION("iferror(if(A1587="""",,E1587&gt;=FILTER(Constants!$F$2:$F$10,Constants!$A$2:$A$10=A1587)))"),"")</f>
        <v/>
      </c>
    </row>
    <row r="1588">
      <c r="A1588" s="89"/>
      <c r="B1588" s="87"/>
      <c r="C1588" s="73"/>
      <c r="D1588" s="73"/>
      <c r="E1588" s="82"/>
      <c r="F1588" s="82"/>
      <c r="G1588" s="86"/>
      <c r="H1588" s="86"/>
      <c r="I1588" s="86"/>
      <c r="J1588" s="82"/>
      <c r="K1588" s="82"/>
      <c r="L1588" s="82"/>
      <c r="M1588" s="82"/>
      <c r="N1588" s="82"/>
      <c r="O1588" s="82"/>
      <c r="P1588" s="82"/>
      <c r="Q1588" s="82"/>
      <c r="R1588" s="82"/>
      <c r="S1588" s="82"/>
      <c r="T1588" s="82"/>
      <c r="U1588" s="82"/>
      <c r="V1588" s="82"/>
      <c r="W1588" s="82"/>
      <c r="X1588" s="82"/>
      <c r="Y1588" s="82"/>
      <c r="Z1588" s="82"/>
      <c r="AA1588" s="82"/>
      <c r="AB1588" s="82"/>
      <c r="AC1588" s="82"/>
      <c r="AD1588" s="82"/>
      <c r="AE1588" s="82"/>
      <c r="AF1588" s="82"/>
      <c r="AG1588" s="82"/>
      <c r="AH1588" s="82"/>
      <c r="AI1588" s="82"/>
      <c r="AJ1588" s="82"/>
      <c r="AK1588" s="82"/>
      <c r="AL1588" s="82"/>
      <c r="AM1588" s="82"/>
      <c r="AN1588" s="82"/>
      <c r="AO1588" s="82"/>
      <c r="AP1588" s="82"/>
      <c r="AQ1588" s="82"/>
      <c r="AR1588" s="82"/>
      <c r="AS1588" s="82"/>
      <c r="AT1588" s="82"/>
      <c r="AU1588" s="82"/>
      <c r="AV1588" s="82"/>
      <c r="AW1588" s="82" t="str">
        <f t="shared" si="1"/>
        <v/>
      </c>
      <c r="AX1588" s="83" t="str">
        <f t="array" ref="AX1588">IFERROR(DGET('SBV Import'!A:G,"SBV",{"RSC ID","Tier";B1588,A1588}))</f>
        <v/>
      </c>
      <c r="AY1588" s="82" t="str">
        <f t="shared" si="2"/>
        <v/>
      </c>
      <c r="AZ1588" s="82"/>
      <c r="BA1588" s="84" t="s">
        <v>152</v>
      </c>
      <c r="BB1588" s="84" t="str">
        <f>IFERROR(__xludf.DUMMYFUNCTION("iferror(if(A1588="""",,E1588&gt;=FILTER(Constants!$F$2:$F$10,Constants!$A$2:$A$10=A1588)))"),"")</f>
        <v/>
      </c>
    </row>
    <row r="1589">
      <c r="A1589" s="89"/>
      <c r="B1589" s="87"/>
      <c r="C1589" s="73"/>
      <c r="D1589" s="73"/>
      <c r="E1589" s="82"/>
      <c r="F1589" s="82"/>
      <c r="G1589" s="86"/>
      <c r="H1589" s="86"/>
      <c r="I1589" s="86"/>
      <c r="J1589" s="82"/>
      <c r="K1589" s="82"/>
      <c r="L1589" s="82"/>
      <c r="M1589" s="82"/>
      <c r="N1589" s="82"/>
      <c r="O1589" s="82"/>
      <c r="P1589" s="82"/>
      <c r="Q1589" s="82"/>
      <c r="R1589" s="82"/>
      <c r="S1589" s="82"/>
      <c r="T1589" s="82"/>
      <c r="U1589" s="82"/>
      <c r="V1589" s="82"/>
      <c r="W1589" s="82"/>
      <c r="X1589" s="82"/>
      <c r="Y1589" s="82"/>
      <c r="Z1589" s="82"/>
      <c r="AA1589" s="82"/>
      <c r="AB1589" s="82"/>
      <c r="AC1589" s="82"/>
      <c r="AD1589" s="82"/>
      <c r="AE1589" s="82"/>
      <c r="AF1589" s="82"/>
      <c r="AG1589" s="82"/>
      <c r="AH1589" s="82"/>
      <c r="AI1589" s="82"/>
      <c r="AJ1589" s="82"/>
      <c r="AK1589" s="82"/>
      <c r="AL1589" s="82"/>
      <c r="AM1589" s="82"/>
      <c r="AN1589" s="82"/>
      <c r="AO1589" s="82"/>
      <c r="AP1589" s="82"/>
      <c r="AQ1589" s="82"/>
      <c r="AR1589" s="82"/>
      <c r="AS1589" s="82"/>
      <c r="AT1589" s="82"/>
      <c r="AU1589" s="82"/>
      <c r="AV1589" s="82"/>
      <c r="AW1589" s="82" t="str">
        <f t="shared" si="1"/>
        <v/>
      </c>
      <c r="AX1589" s="83" t="str">
        <f t="array" ref="AX1589">IFERROR(DGET('SBV Import'!A:G,"SBV",{"RSC ID","Tier";B1589,A1589}))</f>
        <v/>
      </c>
      <c r="AY1589" s="82" t="str">
        <f t="shared" si="2"/>
        <v/>
      </c>
      <c r="AZ1589" s="82"/>
      <c r="BA1589" s="84" t="s">
        <v>152</v>
      </c>
      <c r="BB1589" s="84" t="str">
        <f>IFERROR(__xludf.DUMMYFUNCTION("iferror(if(A1589="""",,E1589&gt;=FILTER(Constants!$F$2:$F$10,Constants!$A$2:$A$10=A1589)))"),"")</f>
        <v/>
      </c>
    </row>
    <row r="1590">
      <c r="A1590" s="89"/>
      <c r="B1590" s="87"/>
      <c r="C1590" s="73"/>
      <c r="D1590" s="73"/>
      <c r="E1590" s="82"/>
      <c r="F1590" s="82"/>
      <c r="G1590" s="86"/>
      <c r="H1590" s="86"/>
      <c r="I1590" s="86"/>
      <c r="J1590" s="82"/>
      <c r="K1590" s="82"/>
      <c r="L1590" s="82"/>
      <c r="M1590" s="82"/>
      <c r="N1590" s="82"/>
      <c r="O1590" s="82"/>
      <c r="P1590" s="82"/>
      <c r="Q1590" s="82"/>
      <c r="R1590" s="82"/>
      <c r="S1590" s="82"/>
      <c r="T1590" s="82"/>
      <c r="U1590" s="82"/>
      <c r="V1590" s="82"/>
      <c r="W1590" s="82"/>
      <c r="X1590" s="82"/>
      <c r="Y1590" s="82"/>
      <c r="Z1590" s="82"/>
      <c r="AA1590" s="82"/>
      <c r="AB1590" s="82"/>
      <c r="AC1590" s="82"/>
      <c r="AD1590" s="82"/>
      <c r="AE1590" s="82"/>
      <c r="AF1590" s="82"/>
      <c r="AG1590" s="82"/>
      <c r="AH1590" s="82"/>
      <c r="AI1590" s="82"/>
      <c r="AJ1590" s="82"/>
      <c r="AK1590" s="82"/>
      <c r="AL1590" s="82"/>
      <c r="AM1590" s="82"/>
      <c r="AN1590" s="82"/>
      <c r="AO1590" s="82"/>
      <c r="AP1590" s="82"/>
      <c r="AQ1590" s="82"/>
      <c r="AR1590" s="82"/>
      <c r="AS1590" s="82"/>
      <c r="AT1590" s="82"/>
      <c r="AU1590" s="82"/>
      <c r="AV1590" s="82"/>
      <c r="AW1590" s="82" t="str">
        <f t="shared" si="1"/>
        <v/>
      </c>
      <c r="AX1590" s="83" t="str">
        <f t="array" ref="AX1590">IFERROR(DGET('SBV Import'!A:G,"SBV",{"RSC ID","Tier";B1590,A1590}))</f>
        <v/>
      </c>
      <c r="AY1590" s="82" t="str">
        <f t="shared" si="2"/>
        <v/>
      </c>
      <c r="AZ1590" s="82"/>
      <c r="BA1590" s="84" t="s">
        <v>152</v>
      </c>
      <c r="BB1590" s="84" t="str">
        <f>IFERROR(__xludf.DUMMYFUNCTION("iferror(if(A1590="""",,E1590&gt;=FILTER(Constants!$F$2:$F$10,Constants!$A$2:$A$10=A1590)))"),"")</f>
        <v/>
      </c>
    </row>
    <row r="1591">
      <c r="A1591" s="89"/>
      <c r="B1591" s="87"/>
      <c r="C1591" s="73"/>
      <c r="D1591" s="73"/>
      <c r="E1591" s="82"/>
      <c r="F1591" s="82"/>
      <c r="G1591" s="86"/>
      <c r="H1591" s="86"/>
      <c r="I1591" s="86"/>
      <c r="J1591" s="82"/>
      <c r="K1591" s="82"/>
      <c r="L1591" s="82"/>
      <c r="M1591" s="82"/>
      <c r="N1591" s="82"/>
      <c r="O1591" s="82"/>
      <c r="P1591" s="82"/>
      <c r="Q1591" s="82"/>
      <c r="R1591" s="82"/>
      <c r="S1591" s="82"/>
      <c r="T1591" s="82"/>
      <c r="U1591" s="82"/>
      <c r="V1591" s="82"/>
      <c r="W1591" s="82"/>
      <c r="X1591" s="82"/>
      <c r="Y1591" s="82"/>
      <c r="Z1591" s="82"/>
      <c r="AA1591" s="82"/>
      <c r="AB1591" s="82"/>
      <c r="AC1591" s="82"/>
      <c r="AD1591" s="82"/>
      <c r="AE1591" s="82"/>
      <c r="AF1591" s="82"/>
      <c r="AG1591" s="82"/>
      <c r="AH1591" s="82"/>
      <c r="AI1591" s="82"/>
      <c r="AJ1591" s="82"/>
      <c r="AK1591" s="82"/>
      <c r="AL1591" s="82"/>
      <c r="AM1591" s="82"/>
      <c r="AN1591" s="82"/>
      <c r="AO1591" s="82"/>
      <c r="AP1591" s="82"/>
      <c r="AQ1591" s="82"/>
      <c r="AR1591" s="82"/>
      <c r="AS1591" s="82"/>
      <c r="AT1591" s="82"/>
      <c r="AU1591" s="82"/>
      <c r="AV1591" s="82"/>
      <c r="AW1591" s="82" t="str">
        <f t="shared" si="1"/>
        <v/>
      </c>
      <c r="AX1591" s="83" t="str">
        <f t="array" ref="AX1591">IFERROR(DGET('SBV Import'!A:G,"SBV",{"RSC ID","Tier";B1591,A1591}))</f>
        <v/>
      </c>
      <c r="AY1591" s="82" t="str">
        <f t="shared" si="2"/>
        <v/>
      </c>
      <c r="AZ1591" s="82"/>
      <c r="BA1591" s="84" t="s">
        <v>152</v>
      </c>
      <c r="BB1591" s="84" t="str">
        <f>IFERROR(__xludf.DUMMYFUNCTION("iferror(if(A1591="""",,E1591&gt;=FILTER(Constants!$F$2:$F$10,Constants!$A$2:$A$10=A1591)))"),"")</f>
        <v/>
      </c>
    </row>
    <row r="1592">
      <c r="A1592" s="89"/>
      <c r="B1592" s="87"/>
      <c r="C1592" s="73"/>
      <c r="D1592" s="73"/>
      <c r="E1592" s="82"/>
      <c r="F1592" s="82"/>
      <c r="G1592" s="86"/>
      <c r="H1592" s="86"/>
      <c r="I1592" s="86"/>
      <c r="J1592" s="82"/>
      <c r="K1592" s="82"/>
      <c r="L1592" s="82"/>
      <c r="M1592" s="82"/>
      <c r="N1592" s="82"/>
      <c r="O1592" s="82"/>
      <c r="P1592" s="82"/>
      <c r="Q1592" s="82"/>
      <c r="R1592" s="82"/>
      <c r="S1592" s="82"/>
      <c r="T1592" s="82"/>
      <c r="U1592" s="82"/>
      <c r="V1592" s="82"/>
      <c r="W1592" s="82"/>
      <c r="X1592" s="82"/>
      <c r="Y1592" s="82"/>
      <c r="Z1592" s="82"/>
      <c r="AA1592" s="82"/>
      <c r="AB1592" s="82"/>
      <c r="AC1592" s="82"/>
      <c r="AD1592" s="82"/>
      <c r="AE1592" s="82"/>
      <c r="AF1592" s="82"/>
      <c r="AG1592" s="82"/>
      <c r="AH1592" s="82"/>
      <c r="AI1592" s="82"/>
      <c r="AJ1592" s="82"/>
      <c r="AK1592" s="82"/>
      <c r="AL1592" s="82"/>
      <c r="AM1592" s="82"/>
      <c r="AN1592" s="82"/>
      <c r="AO1592" s="82"/>
      <c r="AP1592" s="82"/>
      <c r="AQ1592" s="82"/>
      <c r="AR1592" s="82"/>
      <c r="AS1592" s="82"/>
      <c r="AT1592" s="82"/>
      <c r="AU1592" s="82"/>
      <c r="AV1592" s="82"/>
      <c r="AW1592" s="82" t="str">
        <f t="shared" si="1"/>
        <v/>
      </c>
      <c r="AX1592" s="83" t="str">
        <f t="array" ref="AX1592">IFERROR(DGET('SBV Import'!A:G,"SBV",{"RSC ID","Tier";B1592,A1592}))</f>
        <v/>
      </c>
      <c r="AY1592" s="82" t="str">
        <f t="shared" si="2"/>
        <v/>
      </c>
      <c r="AZ1592" s="82"/>
      <c r="BA1592" s="84" t="s">
        <v>152</v>
      </c>
      <c r="BB1592" s="84" t="str">
        <f>IFERROR(__xludf.DUMMYFUNCTION("iferror(if(A1592="""",,E1592&gt;=FILTER(Constants!$F$2:$F$10,Constants!$A$2:$A$10=A1592)))"),"")</f>
        <v/>
      </c>
    </row>
    <row r="1593">
      <c r="A1593" s="89"/>
      <c r="B1593" s="87"/>
      <c r="C1593" s="73"/>
      <c r="D1593" s="73"/>
      <c r="E1593" s="82"/>
      <c r="F1593" s="82"/>
      <c r="G1593" s="86"/>
      <c r="H1593" s="86"/>
      <c r="I1593" s="86"/>
      <c r="J1593" s="82"/>
      <c r="K1593" s="82"/>
      <c r="L1593" s="82"/>
      <c r="M1593" s="82"/>
      <c r="N1593" s="82"/>
      <c r="O1593" s="82"/>
      <c r="P1593" s="82"/>
      <c r="Q1593" s="82"/>
      <c r="R1593" s="82"/>
      <c r="S1593" s="82"/>
      <c r="T1593" s="82"/>
      <c r="U1593" s="82"/>
      <c r="V1593" s="82"/>
      <c r="W1593" s="82"/>
      <c r="X1593" s="82"/>
      <c r="Y1593" s="82"/>
      <c r="Z1593" s="82"/>
      <c r="AA1593" s="82"/>
      <c r="AB1593" s="82"/>
      <c r="AC1593" s="82"/>
      <c r="AD1593" s="82"/>
      <c r="AE1593" s="82"/>
      <c r="AF1593" s="82"/>
      <c r="AG1593" s="82"/>
      <c r="AH1593" s="82"/>
      <c r="AI1593" s="82"/>
      <c r="AJ1593" s="82"/>
      <c r="AK1593" s="82"/>
      <c r="AL1593" s="82"/>
      <c r="AM1593" s="82"/>
      <c r="AN1593" s="82"/>
      <c r="AO1593" s="82"/>
      <c r="AP1593" s="82"/>
      <c r="AQ1593" s="82"/>
      <c r="AR1593" s="82"/>
      <c r="AS1593" s="82"/>
      <c r="AT1593" s="82"/>
      <c r="AU1593" s="82"/>
      <c r="AV1593" s="82"/>
      <c r="AW1593" s="82" t="str">
        <f t="shared" si="1"/>
        <v/>
      </c>
      <c r="AX1593" s="83" t="str">
        <f t="array" ref="AX1593">IFERROR(DGET('SBV Import'!A:G,"SBV",{"RSC ID","Tier";B1593,A1593}))</f>
        <v/>
      </c>
      <c r="AY1593" s="82" t="str">
        <f t="shared" si="2"/>
        <v/>
      </c>
      <c r="AZ1593" s="82"/>
      <c r="BA1593" s="84" t="s">
        <v>152</v>
      </c>
      <c r="BB1593" s="84" t="str">
        <f>IFERROR(__xludf.DUMMYFUNCTION("iferror(if(A1593="""",,E1593&gt;=FILTER(Constants!$F$2:$F$10,Constants!$A$2:$A$10=A1593)))"),"")</f>
        <v/>
      </c>
    </row>
    <row r="1594">
      <c r="A1594" s="89"/>
      <c r="B1594" s="87"/>
      <c r="C1594" s="73"/>
      <c r="D1594" s="73"/>
      <c r="E1594" s="82"/>
      <c r="F1594" s="82"/>
      <c r="G1594" s="86"/>
      <c r="H1594" s="86"/>
      <c r="I1594" s="86"/>
      <c r="J1594" s="82"/>
      <c r="K1594" s="82"/>
      <c r="L1594" s="82"/>
      <c r="M1594" s="82"/>
      <c r="N1594" s="82"/>
      <c r="O1594" s="82"/>
      <c r="P1594" s="82"/>
      <c r="Q1594" s="82"/>
      <c r="R1594" s="82"/>
      <c r="S1594" s="82"/>
      <c r="T1594" s="82"/>
      <c r="U1594" s="82"/>
      <c r="V1594" s="82"/>
      <c r="W1594" s="82"/>
      <c r="X1594" s="82"/>
      <c r="Y1594" s="82"/>
      <c r="Z1594" s="82"/>
      <c r="AA1594" s="82"/>
      <c r="AB1594" s="82"/>
      <c r="AC1594" s="82"/>
      <c r="AD1594" s="82"/>
      <c r="AE1594" s="82"/>
      <c r="AF1594" s="82"/>
      <c r="AG1594" s="82"/>
      <c r="AH1594" s="82"/>
      <c r="AI1594" s="82"/>
      <c r="AJ1594" s="82"/>
      <c r="AK1594" s="82"/>
      <c r="AL1594" s="82"/>
      <c r="AM1594" s="82"/>
      <c r="AN1594" s="82"/>
      <c r="AO1594" s="82"/>
      <c r="AP1594" s="82"/>
      <c r="AQ1594" s="82"/>
      <c r="AR1594" s="82"/>
      <c r="AS1594" s="82"/>
      <c r="AT1594" s="82"/>
      <c r="AU1594" s="82"/>
      <c r="AV1594" s="82"/>
      <c r="AW1594" s="82" t="str">
        <f t="shared" si="1"/>
        <v/>
      </c>
      <c r="AX1594" s="83" t="str">
        <f t="array" ref="AX1594">IFERROR(DGET('SBV Import'!A:G,"SBV",{"RSC ID","Tier";B1594,A1594}))</f>
        <v/>
      </c>
      <c r="AY1594" s="82" t="str">
        <f t="shared" si="2"/>
        <v/>
      </c>
      <c r="AZ1594" s="82"/>
      <c r="BA1594" s="84" t="s">
        <v>152</v>
      </c>
      <c r="BB1594" s="84" t="str">
        <f>IFERROR(__xludf.DUMMYFUNCTION("iferror(if(A1594="""",,E1594&gt;=FILTER(Constants!$F$2:$F$10,Constants!$A$2:$A$10=A1594)))"),"")</f>
        <v/>
      </c>
    </row>
    <row r="1595">
      <c r="A1595" s="89"/>
      <c r="B1595" s="87"/>
      <c r="C1595" s="73"/>
      <c r="D1595" s="73"/>
      <c r="E1595" s="82"/>
      <c r="F1595" s="82"/>
      <c r="G1595" s="86"/>
      <c r="H1595" s="86"/>
      <c r="I1595" s="86"/>
      <c r="J1595" s="82"/>
      <c r="K1595" s="82"/>
      <c r="L1595" s="82"/>
      <c r="M1595" s="82"/>
      <c r="N1595" s="82"/>
      <c r="O1595" s="82"/>
      <c r="P1595" s="82"/>
      <c r="Q1595" s="82"/>
      <c r="R1595" s="82"/>
      <c r="S1595" s="82"/>
      <c r="T1595" s="82"/>
      <c r="U1595" s="82"/>
      <c r="V1595" s="82"/>
      <c r="W1595" s="82"/>
      <c r="X1595" s="82"/>
      <c r="Y1595" s="82"/>
      <c r="Z1595" s="82"/>
      <c r="AA1595" s="82"/>
      <c r="AB1595" s="82"/>
      <c r="AC1595" s="82"/>
      <c r="AD1595" s="82"/>
      <c r="AE1595" s="82"/>
      <c r="AF1595" s="82"/>
      <c r="AG1595" s="82"/>
      <c r="AH1595" s="82"/>
      <c r="AI1595" s="82"/>
      <c r="AJ1595" s="82"/>
      <c r="AK1595" s="82"/>
      <c r="AL1595" s="82"/>
      <c r="AM1595" s="82"/>
      <c r="AN1595" s="82"/>
      <c r="AO1595" s="82"/>
      <c r="AP1595" s="82"/>
      <c r="AQ1595" s="82"/>
      <c r="AR1595" s="82"/>
      <c r="AS1595" s="82"/>
      <c r="AT1595" s="82"/>
      <c r="AU1595" s="82"/>
      <c r="AV1595" s="82"/>
      <c r="AW1595" s="82" t="str">
        <f t="shared" si="1"/>
        <v/>
      </c>
      <c r="AX1595" s="83" t="str">
        <f t="array" ref="AX1595">IFERROR(DGET('SBV Import'!A:G,"SBV",{"RSC ID","Tier";B1595,A1595}))</f>
        <v/>
      </c>
      <c r="AY1595" s="82" t="str">
        <f t="shared" si="2"/>
        <v/>
      </c>
      <c r="AZ1595" s="82"/>
      <c r="BA1595" s="84" t="s">
        <v>152</v>
      </c>
      <c r="BB1595" s="84" t="str">
        <f>IFERROR(__xludf.DUMMYFUNCTION("iferror(if(A1595="""",,E1595&gt;=FILTER(Constants!$F$2:$F$10,Constants!$A$2:$A$10=A1595)))"),"")</f>
        <v/>
      </c>
    </row>
    <row r="1596">
      <c r="A1596" s="89"/>
      <c r="B1596" s="87"/>
      <c r="C1596" s="73"/>
      <c r="D1596" s="73"/>
      <c r="E1596" s="82"/>
      <c r="F1596" s="82"/>
      <c r="G1596" s="86"/>
      <c r="H1596" s="86"/>
      <c r="I1596" s="86"/>
      <c r="J1596" s="82"/>
      <c r="K1596" s="82"/>
      <c r="L1596" s="82"/>
      <c r="M1596" s="82"/>
      <c r="N1596" s="82"/>
      <c r="O1596" s="82"/>
      <c r="P1596" s="82"/>
      <c r="Q1596" s="82"/>
      <c r="R1596" s="82"/>
      <c r="S1596" s="82"/>
      <c r="T1596" s="82"/>
      <c r="U1596" s="82"/>
      <c r="V1596" s="82"/>
      <c r="W1596" s="82"/>
      <c r="X1596" s="82"/>
      <c r="Y1596" s="82"/>
      <c r="Z1596" s="82"/>
      <c r="AA1596" s="82"/>
      <c r="AB1596" s="82"/>
      <c r="AC1596" s="82"/>
      <c r="AD1596" s="82"/>
      <c r="AE1596" s="82"/>
      <c r="AF1596" s="82"/>
      <c r="AG1596" s="82"/>
      <c r="AH1596" s="82"/>
      <c r="AI1596" s="82"/>
      <c r="AJ1596" s="82"/>
      <c r="AK1596" s="82"/>
      <c r="AL1596" s="82"/>
      <c r="AM1596" s="82"/>
      <c r="AN1596" s="82"/>
      <c r="AO1596" s="82"/>
      <c r="AP1596" s="82"/>
      <c r="AQ1596" s="82"/>
      <c r="AR1596" s="82"/>
      <c r="AS1596" s="82"/>
      <c r="AT1596" s="82"/>
      <c r="AU1596" s="82"/>
      <c r="AV1596" s="82"/>
      <c r="AW1596" s="82" t="str">
        <f t="shared" si="1"/>
        <v/>
      </c>
      <c r="AX1596" s="83" t="str">
        <f t="array" ref="AX1596">IFERROR(DGET('SBV Import'!A:G,"SBV",{"RSC ID","Tier";B1596,A1596}))</f>
        <v/>
      </c>
      <c r="AY1596" s="82" t="str">
        <f t="shared" si="2"/>
        <v/>
      </c>
      <c r="AZ1596" s="82"/>
      <c r="BA1596" s="84" t="s">
        <v>152</v>
      </c>
      <c r="BB1596" s="84" t="str">
        <f>IFERROR(__xludf.DUMMYFUNCTION("iferror(if(A1596="""",,E1596&gt;=FILTER(Constants!$F$2:$F$10,Constants!$A$2:$A$10=A1596)))"),"")</f>
        <v/>
      </c>
    </row>
    <row r="1597">
      <c r="A1597" s="89"/>
      <c r="B1597" s="87"/>
      <c r="C1597" s="73"/>
      <c r="D1597" s="73"/>
      <c r="E1597" s="82"/>
      <c r="F1597" s="82"/>
      <c r="G1597" s="86"/>
      <c r="H1597" s="86"/>
      <c r="I1597" s="86"/>
      <c r="J1597" s="82"/>
      <c r="K1597" s="82"/>
      <c r="L1597" s="82"/>
      <c r="M1597" s="82"/>
      <c r="N1597" s="82"/>
      <c r="O1597" s="82"/>
      <c r="P1597" s="82"/>
      <c r="Q1597" s="82"/>
      <c r="R1597" s="82"/>
      <c r="S1597" s="82"/>
      <c r="T1597" s="82"/>
      <c r="U1597" s="82"/>
      <c r="V1597" s="82"/>
      <c r="W1597" s="82"/>
      <c r="X1597" s="82"/>
      <c r="Y1597" s="82"/>
      <c r="Z1597" s="82"/>
      <c r="AA1597" s="82"/>
      <c r="AB1597" s="82"/>
      <c r="AC1597" s="82"/>
      <c r="AD1597" s="82"/>
      <c r="AE1597" s="82"/>
      <c r="AF1597" s="82"/>
      <c r="AG1597" s="82"/>
      <c r="AH1597" s="82"/>
      <c r="AI1597" s="82"/>
      <c r="AJ1597" s="82"/>
      <c r="AK1597" s="82"/>
      <c r="AL1597" s="82"/>
      <c r="AM1597" s="82"/>
      <c r="AN1597" s="82"/>
      <c r="AO1597" s="82"/>
      <c r="AP1597" s="82"/>
      <c r="AQ1597" s="82"/>
      <c r="AR1597" s="82"/>
      <c r="AS1597" s="82"/>
      <c r="AT1597" s="82"/>
      <c r="AU1597" s="82"/>
      <c r="AV1597" s="82"/>
      <c r="AW1597" s="82" t="str">
        <f t="shared" si="1"/>
        <v/>
      </c>
      <c r="AX1597" s="83" t="str">
        <f t="array" ref="AX1597">IFERROR(DGET('SBV Import'!A:G,"SBV",{"RSC ID","Tier";B1597,A1597}))</f>
        <v/>
      </c>
      <c r="AY1597" s="82" t="str">
        <f t="shared" si="2"/>
        <v/>
      </c>
      <c r="AZ1597" s="82"/>
      <c r="BA1597" s="84" t="s">
        <v>152</v>
      </c>
      <c r="BB1597" s="84" t="str">
        <f>IFERROR(__xludf.DUMMYFUNCTION("iferror(if(A1597="""",,E1597&gt;=FILTER(Constants!$F$2:$F$10,Constants!$A$2:$A$10=A1597)))"),"")</f>
        <v/>
      </c>
    </row>
    <row r="1598">
      <c r="A1598" s="89"/>
      <c r="B1598" s="87"/>
      <c r="C1598" s="73"/>
      <c r="D1598" s="73"/>
      <c r="E1598" s="82"/>
      <c r="F1598" s="82"/>
      <c r="G1598" s="86"/>
      <c r="H1598" s="86"/>
      <c r="I1598" s="86"/>
      <c r="J1598" s="82"/>
      <c r="K1598" s="82"/>
      <c r="L1598" s="82"/>
      <c r="M1598" s="82"/>
      <c r="N1598" s="82"/>
      <c r="O1598" s="82"/>
      <c r="P1598" s="82"/>
      <c r="Q1598" s="82"/>
      <c r="R1598" s="82"/>
      <c r="S1598" s="82"/>
      <c r="T1598" s="82"/>
      <c r="U1598" s="82"/>
      <c r="V1598" s="82"/>
      <c r="W1598" s="82"/>
      <c r="X1598" s="82"/>
      <c r="Y1598" s="82"/>
      <c r="Z1598" s="82"/>
      <c r="AA1598" s="82"/>
      <c r="AB1598" s="82"/>
      <c r="AC1598" s="82"/>
      <c r="AD1598" s="82"/>
      <c r="AE1598" s="82"/>
      <c r="AF1598" s="82"/>
      <c r="AG1598" s="82"/>
      <c r="AH1598" s="82"/>
      <c r="AI1598" s="82"/>
      <c r="AJ1598" s="82"/>
      <c r="AK1598" s="82"/>
      <c r="AL1598" s="82"/>
      <c r="AM1598" s="82"/>
      <c r="AN1598" s="82"/>
      <c r="AO1598" s="82"/>
      <c r="AP1598" s="82"/>
      <c r="AQ1598" s="82"/>
      <c r="AR1598" s="82"/>
      <c r="AS1598" s="82"/>
      <c r="AT1598" s="82"/>
      <c r="AU1598" s="82"/>
      <c r="AV1598" s="82"/>
      <c r="AW1598" s="82" t="str">
        <f t="shared" si="1"/>
        <v/>
      </c>
      <c r="AX1598" s="83" t="str">
        <f t="array" ref="AX1598">IFERROR(DGET('SBV Import'!A:G,"SBV",{"RSC ID","Tier";B1598,A1598}))</f>
        <v/>
      </c>
      <c r="AY1598" s="82" t="str">
        <f t="shared" si="2"/>
        <v/>
      </c>
      <c r="AZ1598" s="82"/>
      <c r="BA1598" s="84" t="s">
        <v>152</v>
      </c>
      <c r="BB1598" s="84" t="str">
        <f>IFERROR(__xludf.DUMMYFUNCTION("iferror(if(A1598="""",,E1598&gt;=FILTER(Constants!$F$2:$F$10,Constants!$A$2:$A$10=A1598)))"),"")</f>
        <v/>
      </c>
    </row>
    <row r="1599">
      <c r="A1599" s="89"/>
      <c r="B1599" s="87"/>
      <c r="C1599" s="73"/>
      <c r="D1599" s="73"/>
      <c r="E1599" s="82"/>
      <c r="F1599" s="82"/>
      <c r="G1599" s="86"/>
      <c r="H1599" s="86"/>
      <c r="I1599" s="86"/>
      <c r="J1599" s="82"/>
      <c r="K1599" s="82"/>
      <c r="L1599" s="82"/>
      <c r="M1599" s="82"/>
      <c r="N1599" s="82"/>
      <c r="O1599" s="82"/>
      <c r="P1599" s="82"/>
      <c r="Q1599" s="82"/>
      <c r="R1599" s="82"/>
      <c r="S1599" s="82"/>
      <c r="T1599" s="82"/>
      <c r="U1599" s="82"/>
      <c r="V1599" s="82"/>
      <c r="W1599" s="82"/>
      <c r="X1599" s="82"/>
      <c r="Y1599" s="82"/>
      <c r="Z1599" s="82"/>
      <c r="AA1599" s="82"/>
      <c r="AB1599" s="82"/>
      <c r="AC1599" s="82"/>
      <c r="AD1599" s="82"/>
      <c r="AE1599" s="82"/>
      <c r="AF1599" s="82"/>
      <c r="AG1599" s="82"/>
      <c r="AH1599" s="82"/>
      <c r="AI1599" s="82"/>
      <c r="AJ1599" s="82"/>
      <c r="AK1599" s="82"/>
      <c r="AL1599" s="82"/>
      <c r="AM1599" s="82"/>
      <c r="AN1599" s="82"/>
      <c r="AO1599" s="82"/>
      <c r="AP1599" s="82"/>
      <c r="AQ1599" s="82"/>
      <c r="AR1599" s="82"/>
      <c r="AS1599" s="82"/>
      <c r="AT1599" s="82"/>
      <c r="AU1599" s="82"/>
      <c r="AV1599" s="82"/>
      <c r="AW1599" s="82" t="str">
        <f t="shared" si="1"/>
        <v/>
      </c>
      <c r="AX1599" s="83" t="str">
        <f t="array" ref="AX1599">IFERROR(DGET('SBV Import'!A:G,"SBV",{"RSC ID","Tier";B1599,A1599}))</f>
        <v/>
      </c>
      <c r="AY1599" s="82" t="str">
        <f t="shared" si="2"/>
        <v/>
      </c>
      <c r="AZ1599" s="82"/>
      <c r="BA1599" s="84" t="s">
        <v>152</v>
      </c>
      <c r="BB1599" s="84" t="str">
        <f>IFERROR(__xludf.DUMMYFUNCTION("iferror(if(A1599="""",,E1599&gt;=FILTER(Constants!$F$2:$F$10,Constants!$A$2:$A$10=A1599)))"),"")</f>
        <v/>
      </c>
    </row>
    <row r="1600">
      <c r="A1600" s="90"/>
      <c r="B1600" s="87"/>
      <c r="C1600" s="73"/>
      <c r="D1600" s="73"/>
      <c r="E1600" s="82"/>
      <c r="F1600" s="82"/>
      <c r="G1600" s="86"/>
      <c r="H1600" s="86"/>
      <c r="I1600" s="86"/>
      <c r="J1600" s="82"/>
      <c r="K1600" s="82"/>
      <c r="L1600" s="82"/>
      <c r="M1600" s="82"/>
      <c r="N1600" s="82"/>
      <c r="O1600" s="82"/>
      <c r="P1600" s="82"/>
      <c r="Q1600" s="82"/>
      <c r="R1600" s="82"/>
      <c r="S1600" s="82"/>
      <c r="T1600" s="82"/>
      <c r="U1600" s="82"/>
      <c r="V1600" s="82"/>
      <c r="W1600" s="82"/>
      <c r="X1600" s="82"/>
      <c r="Y1600" s="82"/>
      <c r="Z1600" s="82"/>
      <c r="AA1600" s="82"/>
      <c r="AB1600" s="82"/>
      <c r="AC1600" s="82"/>
      <c r="AD1600" s="82"/>
      <c r="AE1600" s="82"/>
      <c r="AF1600" s="82"/>
      <c r="AG1600" s="82"/>
      <c r="AH1600" s="82"/>
      <c r="AI1600" s="82"/>
      <c r="AJ1600" s="82"/>
      <c r="AK1600" s="82"/>
      <c r="AL1600" s="82"/>
      <c r="AM1600" s="82"/>
      <c r="AN1600" s="82"/>
      <c r="AO1600" s="82"/>
      <c r="AP1600" s="82"/>
      <c r="AQ1600" s="82"/>
      <c r="AR1600" s="82"/>
      <c r="AS1600" s="82"/>
      <c r="AT1600" s="82"/>
      <c r="AU1600" s="82"/>
      <c r="AV1600" s="82"/>
      <c r="AW1600" s="82" t="str">
        <f t="shared" si="1"/>
        <v/>
      </c>
      <c r="AX1600" s="83" t="str">
        <f t="array" ref="AX1600">IFERROR(DGET('SBV Import'!A:G,"SBV",{"RSC ID","Tier";B1600,A1600}))</f>
        <v/>
      </c>
      <c r="AY1600" s="82" t="str">
        <f t="shared" si="2"/>
        <v/>
      </c>
      <c r="AZ1600" s="82"/>
      <c r="BA1600" s="84" t="s">
        <v>152</v>
      </c>
      <c r="BB1600" s="84" t="str">
        <f>IFERROR(__xludf.DUMMYFUNCTION("iferror(if(A1600="""",,E1600&gt;=FILTER(Constants!$F$2:$F$10,Constants!$A$2:$A$10=A1600)))"),"")</f>
        <v/>
      </c>
    </row>
    <row r="1601">
      <c r="A1601" s="89"/>
      <c r="B1601" s="87"/>
      <c r="C1601" s="73"/>
      <c r="D1601" s="73"/>
      <c r="E1601" s="82"/>
      <c r="F1601" s="82"/>
      <c r="G1601" s="86"/>
      <c r="H1601" s="86"/>
      <c r="I1601" s="86"/>
      <c r="J1601" s="82"/>
      <c r="K1601" s="82"/>
      <c r="L1601" s="82"/>
      <c r="M1601" s="82"/>
      <c r="N1601" s="82"/>
      <c r="O1601" s="82"/>
      <c r="P1601" s="82"/>
      <c r="Q1601" s="82"/>
      <c r="R1601" s="82"/>
      <c r="S1601" s="82"/>
      <c r="T1601" s="82"/>
      <c r="U1601" s="82"/>
      <c r="V1601" s="82"/>
      <c r="W1601" s="82"/>
      <c r="X1601" s="82"/>
      <c r="Y1601" s="82"/>
      <c r="Z1601" s="82"/>
      <c r="AA1601" s="82"/>
      <c r="AB1601" s="82"/>
      <c r="AC1601" s="82"/>
      <c r="AD1601" s="82"/>
      <c r="AE1601" s="82"/>
      <c r="AF1601" s="82"/>
      <c r="AG1601" s="82"/>
      <c r="AH1601" s="82"/>
      <c r="AI1601" s="82"/>
      <c r="AJ1601" s="82"/>
      <c r="AK1601" s="82"/>
      <c r="AL1601" s="82"/>
      <c r="AM1601" s="82"/>
      <c r="AN1601" s="82"/>
      <c r="AO1601" s="82"/>
      <c r="AP1601" s="82"/>
      <c r="AQ1601" s="82"/>
      <c r="AR1601" s="82"/>
      <c r="AS1601" s="82"/>
      <c r="AT1601" s="82"/>
      <c r="AU1601" s="82"/>
      <c r="AV1601" s="82"/>
      <c r="AW1601" s="82" t="str">
        <f t="shared" si="1"/>
        <v/>
      </c>
      <c r="AX1601" s="83" t="str">
        <f t="array" ref="AX1601">IFERROR(DGET('SBV Import'!A:G,"SBV",{"RSC ID","Tier";B1601,A1601}))</f>
        <v/>
      </c>
      <c r="AY1601" s="82" t="str">
        <f t="shared" si="2"/>
        <v/>
      </c>
      <c r="AZ1601" s="82"/>
      <c r="BA1601" s="84" t="s">
        <v>152</v>
      </c>
      <c r="BB1601" s="84" t="str">
        <f>IFERROR(__xludf.DUMMYFUNCTION("iferror(if(A1601="""",,E1601&gt;=FILTER(Constants!$F$2:$F$10,Constants!$A$2:$A$10=A1601)))"),"")</f>
        <v/>
      </c>
    </row>
    <row r="1602">
      <c r="A1602" s="89"/>
      <c r="B1602" s="87"/>
      <c r="C1602" s="73"/>
      <c r="D1602" s="73"/>
      <c r="E1602" s="82"/>
      <c r="F1602" s="82"/>
      <c r="G1602" s="86"/>
      <c r="H1602" s="86"/>
      <c r="I1602" s="86"/>
      <c r="J1602" s="82"/>
      <c r="K1602" s="82"/>
      <c r="L1602" s="82"/>
      <c r="M1602" s="82"/>
      <c r="N1602" s="82"/>
      <c r="O1602" s="82"/>
      <c r="P1602" s="82"/>
      <c r="Q1602" s="82"/>
      <c r="R1602" s="82"/>
      <c r="S1602" s="82"/>
      <c r="T1602" s="82"/>
      <c r="U1602" s="82"/>
      <c r="V1602" s="82"/>
      <c r="W1602" s="82"/>
      <c r="X1602" s="82"/>
      <c r="Y1602" s="82"/>
      <c r="Z1602" s="82"/>
      <c r="AA1602" s="82"/>
      <c r="AB1602" s="82"/>
      <c r="AC1602" s="82"/>
      <c r="AD1602" s="82"/>
      <c r="AE1602" s="82"/>
      <c r="AF1602" s="82"/>
      <c r="AG1602" s="82"/>
      <c r="AH1602" s="82"/>
      <c r="AI1602" s="82"/>
      <c r="AJ1602" s="82"/>
      <c r="AK1602" s="82"/>
      <c r="AL1602" s="82"/>
      <c r="AM1602" s="82"/>
      <c r="AN1602" s="82"/>
      <c r="AO1602" s="82"/>
      <c r="AP1602" s="82"/>
      <c r="AQ1602" s="82"/>
      <c r="AR1602" s="82"/>
      <c r="AS1602" s="82"/>
      <c r="AT1602" s="82"/>
      <c r="AU1602" s="82"/>
      <c r="AV1602" s="82"/>
      <c r="AW1602" s="82" t="str">
        <f t="shared" si="1"/>
        <v/>
      </c>
      <c r="AX1602" s="83" t="str">
        <f t="array" ref="AX1602">IFERROR(DGET('SBV Import'!A:G,"SBV",{"RSC ID","Tier";B1602,A1602}))</f>
        <v/>
      </c>
      <c r="AY1602" s="82" t="str">
        <f t="shared" si="2"/>
        <v/>
      </c>
      <c r="AZ1602" s="82"/>
      <c r="BA1602" s="84" t="s">
        <v>152</v>
      </c>
      <c r="BB1602" s="84" t="str">
        <f>IFERROR(__xludf.DUMMYFUNCTION("iferror(if(A1602="""",,E1602&gt;=FILTER(Constants!$F$2:$F$10,Constants!$A$2:$A$10=A1602)))"),"")</f>
        <v/>
      </c>
    </row>
    <row r="1603">
      <c r="A1603" s="89"/>
      <c r="B1603" s="87"/>
      <c r="C1603" s="73"/>
      <c r="D1603" s="73"/>
      <c r="E1603" s="82"/>
      <c r="F1603" s="82"/>
      <c r="G1603" s="86"/>
      <c r="H1603" s="86"/>
      <c r="I1603" s="86"/>
      <c r="J1603" s="82"/>
      <c r="K1603" s="82"/>
      <c r="L1603" s="82"/>
      <c r="M1603" s="82"/>
      <c r="N1603" s="82"/>
      <c r="O1603" s="82"/>
      <c r="P1603" s="82"/>
      <c r="Q1603" s="82"/>
      <c r="R1603" s="82"/>
      <c r="S1603" s="82"/>
      <c r="T1603" s="82"/>
      <c r="U1603" s="82"/>
      <c r="V1603" s="82"/>
      <c r="W1603" s="82"/>
      <c r="X1603" s="82"/>
      <c r="Y1603" s="82"/>
      <c r="Z1603" s="82"/>
      <c r="AA1603" s="82"/>
      <c r="AB1603" s="82"/>
      <c r="AC1603" s="82"/>
      <c r="AD1603" s="82"/>
      <c r="AE1603" s="82"/>
      <c r="AF1603" s="82"/>
      <c r="AG1603" s="82"/>
      <c r="AH1603" s="82"/>
      <c r="AI1603" s="82"/>
      <c r="AJ1603" s="82"/>
      <c r="AK1603" s="82"/>
      <c r="AL1603" s="82"/>
      <c r="AM1603" s="82"/>
      <c r="AN1603" s="82"/>
      <c r="AO1603" s="82"/>
      <c r="AP1603" s="82"/>
      <c r="AQ1603" s="82"/>
      <c r="AR1603" s="82"/>
      <c r="AS1603" s="82"/>
      <c r="AT1603" s="82"/>
      <c r="AU1603" s="82"/>
      <c r="AV1603" s="82"/>
      <c r="AW1603" s="82" t="str">
        <f t="shared" si="1"/>
        <v/>
      </c>
      <c r="AX1603" s="83" t="str">
        <f t="array" ref="AX1603">IFERROR(DGET('SBV Import'!A:G,"SBV",{"RSC ID","Tier";B1603,A1603}))</f>
        <v/>
      </c>
      <c r="AY1603" s="82" t="str">
        <f t="shared" si="2"/>
        <v/>
      </c>
      <c r="AZ1603" s="82"/>
      <c r="BA1603" s="84" t="s">
        <v>152</v>
      </c>
      <c r="BB1603" s="84" t="str">
        <f>IFERROR(__xludf.DUMMYFUNCTION("iferror(if(A1603="""",,E1603&gt;=FILTER(Constants!$F$2:$F$10,Constants!$A$2:$A$10=A1603)))"),"")</f>
        <v/>
      </c>
    </row>
    <row r="1604">
      <c r="A1604" s="89"/>
      <c r="B1604" s="87"/>
      <c r="C1604" s="73"/>
      <c r="D1604" s="73"/>
      <c r="E1604" s="82"/>
      <c r="F1604" s="82"/>
      <c r="G1604" s="86"/>
      <c r="H1604" s="86"/>
      <c r="I1604" s="86"/>
      <c r="J1604" s="82"/>
      <c r="K1604" s="82"/>
      <c r="L1604" s="82"/>
      <c r="M1604" s="82"/>
      <c r="N1604" s="82"/>
      <c r="O1604" s="82"/>
      <c r="P1604" s="82"/>
      <c r="Q1604" s="82"/>
      <c r="R1604" s="82"/>
      <c r="S1604" s="82"/>
      <c r="T1604" s="82"/>
      <c r="U1604" s="82"/>
      <c r="V1604" s="82"/>
      <c r="W1604" s="82"/>
      <c r="X1604" s="82"/>
      <c r="Y1604" s="82"/>
      <c r="Z1604" s="82"/>
      <c r="AA1604" s="82"/>
      <c r="AB1604" s="82"/>
      <c r="AC1604" s="82"/>
      <c r="AD1604" s="82"/>
      <c r="AE1604" s="82"/>
      <c r="AF1604" s="82"/>
      <c r="AG1604" s="82"/>
      <c r="AH1604" s="82"/>
      <c r="AI1604" s="82"/>
      <c r="AJ1604" s="82"/>
      <c r="AK1604" s="82"/>
      <c r="AL1604" s="82"/>
      <c r="AM1604" s="82"/>
      <c r="AN1604" s="82"/>
      <c r="AO1604" s="82"/>
      <c r="AP1604" s="82"/>
      <c r="AQ1604" s="82"/>
      <c r="AR1604" s="82"/>
      <c r="AS1604" s="82"/>
      <c r="AT1604" s="82"/>
      <c r="AU1604" s="82"/>
      <c r="AV1604" s="82"/>
      <c r="AW1604" s="82" t="str">
        <f t="shared" si="1"/>
        <v/>
      </c>
      <c r="AX1604" s="83" t="str">
        <f t="array" ref="AX1604">IFERROR(DGET('SBV Import'!A:G,"SBV",{"RSC ID","Tier";B1604,A1604}))</f>
        <v/>
      </c>
      <c r="AY1604" s="82" t="str">
        <f t="shared" si="2"/>
        <v/>
      </c>
      <c r="AZ1604" s="82"/>
      <c r="BA1604" s="84" t="s">
        <v>152</v>
      </c>
      <c r="BB1604" s="84" t="str">
        <f>IFERROR(__xludf.DUMMYFUNCTION("iferror(if(A1604="""",,E1604&gt;=FILTER(Constants!$F$2:$F$10,Constants!$A$2:$A$10=A1604)))"),"")</f>
        <v/>
      </c>
    </row>
    <row r="1605">
      <c r="A1605" s="89"/>
      <c r="B1605" s="87"/>
      <c r="C1605" s="73"/>
      <c r="D1605" s="73"/>
      <c r="E1605" s="82"/>
      <c r="F1605" s="82"/>
      <c r="G1605" s="86"/>
      <c r="H1605" s="86"/>
      <c r="I1605" s="86"/>
      <c r="J1605" s="82"/>
      <c r="K1605" s="82"/>
      <c r="L1605" s="82"/>
      <c r="M1605" s="82"/>
      <c r="N1605" s="82"/>
      <c r="O1605" s="82"/>
      <c r="P1605" s="82"/>
      <c r="Q1605" s="82"/>
      <c r="R1605" s="82"/>
      <c r="S1605" s="82"/>
      <c r="T1605" s="82"/>
      <c r="U1605" s="82"/>
      <c r="V1605" s="82"/>
      <c r="W1605" s="82"/>
      <c r="X1605" s="82"/>
      <c r="Y1605" s="82"/>
      <c r="Z1605" s="82"/>
      <c r="AA1605" s="82"/>
      <c r="AB1605" s="82"/>
      <c r="AC1605" s="82"/>
      <c r="AD1605" s="82"/>
      <c r="AE1605" s="82"/>
      <c r="AF1605" s="82"/>
      <c r="AG1605" s="82"/>
      <c r="AH1605" s="82"/>
      <c r="AI1605" s="82"/>
      <c r="AJ1605" s="82"/>
      <c r="AK1605" s="82"/>
      <c r="AL1605" s="82"/>
      <c r="AM1605" s="82"/>
      <c r="AN1605" s="82"/>
      <c r="AO1605" s="82"/>
      <c r="AP1605" s="82"/>
      <c r="AQ1605" s="82"/>
      <c r="AR1605" s="82"/>
      <c r="AS1605" s="82"/>
      <c r="AT1605" s="82"/>
      <c r="AU1605" s="82"/>
      <c r="AV1605" s="82"/>
      <c r="AW1605" s="82" t="str">
        <f t="shared" si="1"/>
        <v/>
      </c>
      <c r="AX1605" s="83" t="str">
        <f t="array" ref="AX1605">IFERROR(DGET('SBV Import'!A:G,"SBV",{"RSC ID","Tier";B1605,A1605}))</f>
        <v/>
      </c>
      <c r="AY1605" s="82" t="str">
        <f t="shared" si="2"/>
        <v/>
      </c>
      <c r="AZ1605" s="82"/>
      <c r="BA1605" s="84" t="s">
        <v>152</v>
      </c>
      <c r="BB1605" s="84" t="str">
        <f>IFERROR(__xludf.DUMMYFUNCTION("iferror(if(A1605="""",,E1605&gt;=FILTER(Constants!$F$2:$F$10,Constants!$A$2:$A$10=A1605)))"),"")</f>
        <v/>
      </c>
    </row>
    <row r="1606">
      <c r="A1606" s="89"/>
      <c r="B1606" s="87"/>
      <c r="C1606" s="73"/>
      <c r="D1606" s="73"/>
      <c r="E1606" s="82"/>
      <c r="F1606" s="82"/>
      <c r="G1606" s="86"/>
      <c r="H1606" s="86"/>
      <c r="I1606" s="86"/>
      <c r="J1606" s="82"/>
      <c r="K1606" s="82"/>
      <c r="L1606" s="82"/>
      <c r="M1606" s="82"/>
      <c r="N1606" s="82"/>
      <c r="O1606" s="82"/>
      <c r="P1606" s="82"/>
      <c r="Q1606" s="82"/>
      <c r="R1606" s="82"/>
      <c r="S1606" s="82"/>
      <c r="T1606" s="82"/>
      <c r="U1606" s="82"/>
      <c r="V1606" s="82"/>
      <c r="W1606" s="82"/>
      <c r="X1606" s="82"/>
      <c r="Y1606" s="82"/>
      <c r="Z1606" s="82"/>
      <c r="AA1606" s="82"/>
      <c r="AB1606" s="82"/>
      <c r="AC1606" s="82"/>
      <c r="AD1606" s="82"/>
      <c r="AE1606" s="82"/>
      <c r="AF1606" s="82"/>
      <c r="AG1606" s="82"/>
      <c r="AH1606" s="82"/>
      <c r="AI1606" s="82"/>
      <c r="AJ1606" s="82"/>
      <c r="AK1606" s="82"/>
      <c r="AL1606" s="82"/>
      <c r="AM1606" s="82"/>
      <c r="AN1606" s="82"/>
      <c r="AO1606" s="82"/>
      <c r="AP1606" s="82"/>
      <c r="AQ1606" s="82"/>
      <c r="AR1606" s="82"/>
      <c r="AS1606" s="82"/>
      <c r="AT1606" s="82"/>
      <c r="AU1606" s="82"/>
      <c r="AV1606" s="82"/>
      <c r="AW1606" s="82" t="str">
        <f t="shared" si="1"/>
        <v/>
      </c>
      <c r="AX1606" s="83" t="str">
        <f t="array" ref="AX1606">IFERROR(DGET('SBV Import'!A:G,"SBV",{"RSC ID","Tier";B1606,A1606}))</f>
        <v/>
      </c>
      <c r="AY1606" s="82" t="str">
        <f t="shared" si="2"/>
        <v/>
      </c>
      <c r="AZ1606" s="82"/>
      <c r="BA1606" s="84" t="s">
        <v>152</v>
      </c>
      <c r="BB1606" s="84" t="str">
        <f>IFERROR(__xludf.DUMMYFUNCTION("iferror(if(A1606="""",,E1606&gt;=FILTER(Constants!$F$2:$F$10,Constants!$A$2:$A$10=A1606)))"),"")</f>
        <v/>
      </c>
    </row>
    <row r="1607">
      <c r="A1607" s="89"/>
      <c r="B1607" s="87"/>
      <c r="C1607" s="73"/>
      <c r="D1607" s="73"/>
      <c r="E1607" s="82"/>
      <c r="F1607" s="82"/>
      <c r="G1607" s="86"/>
      <c r="H1607" s="86"/>
      <c r="I1607" s="86"/>
      <c r="J1607" s="82"/>
      <c r="K1607" s="82"/>
      <c r="L1607" s="82"/>
      <c r="M1607" s="82"/>
      <c r="N1607" s="82"/>
      <c r="O1607" s="82"/>
      <c r="P1607" s="82"/>
      <c r="Q1607" s="82"/>
      <c r="R1607" s="82"/>
      <c r="S1607" s="82"/>
      <c r="T1607" s="82"/>
      <c r="U1607" s="82"/>
      <c r="V1607" s="82"/>
      <c r="W1607" s="82"/>
      <c r="X1607" s="82"/>
      <c r="Y1607" s="82"/>
      <c r="Z1607" s="82"/>
      <c r="AA1607" s="82"/>
      <c r="AB1607" s="82"/>
      <c r="AC1607" s="82"/>
      <c r="AD1607" s="82"/>
      <c r="AE1607" s="82"/>
      <c r="AF1607" s="82"/>
      <c r="AG1607" s="82"/>
      <c r="AH1607" s="82"/>
      <c r="AI1607" s="82"/>
      <c r="AJ1607" s="82"/>
      <c r="AK1607" s="82"/>
      <c r="AL1607" s="82"/>
      <c r="AM1607" s="82"/>
      <c r="AN1607" s="82"/>
      <c r="AO1607" s="82"/>
      <c r="AP1607" s="82"/>
      <c r="AQ1607" s="82"/>
      <c r="AR1607" s="82"/>
      <c r="AS1607" s="82"/>
      <c r="AT1607" s="82"/>
      <c r="AU1607" s="82"/>
      <c r="AV1607" s="82"/>
      <c r="AW1607" s="82" t="str">
        <f t="shared" si="1"/>
        <v/>
      </c>
      <c r="AX1607" s="83" t="str">
        <f t="array" ref="AX1607">IFERROR(DGET('SBV Import'!A:G,"SBV",{"RSC ID","Tier";B1607,A1607}))</f>
        <v/>
      </c>
      <c r="AY1607" s="82" t="str">
        <f t="shared" si="2"/>
        <v/>
      </c>
      <c r="AZ1607" s="82"/>
      <c r="BA1607" s="84" t="s">
        <v>152</v>
      </c>
      <c r="BB1607" s="84" t="str">
        <f>IFERROR(__xludf.DUMMYFUNCTION("iferror(if(A1607="""",,E1607&gt;=FILTER(Constants!$F$2:$F$10,Constants!$A$2:$A$10=A1607)))"),"")</f>
        <v/>
      </c>
    </row>
    <row r="1608">
      <c r="A1608" s="89"/>
      <c r="B1608" s="87"/>
      <c r="C1608" s="73"/>
      <c r="D1608" s="73"/>
      <c r="E1608" s="82"/>
      <c r="F1608" s="82"/>
      <c r="G1608" s="86"/>
      <c r="H1608" s="86"/>
      <c r="I1608" s="86"/>
      <c r="J1608" s="82"/>
      <c r="K1608" s="82"/>
      <c r="L1608" s="82"/>
      <c r="M1608" s="82"/>
      <c r="N1608" s="82"/>
      <c r="O1608" s="82"/>
      <c r="P1608" s="82"/>
      <c r="Q1608" s="82"/>
      <c r="R1608" s="82"/>
      <c r="S1608" s="82"/>
      <c r="T1608" s="82"/>
      <c r="U1608" s="82"/>
      <c r="V1608" s="82"/>
      <c r="W1608" s="82"/>
      <c r="X1608" s="82"/>
      <c r="Y1608" s="82"/>
      <c r="Z1608" s="82"/>
      <c r="AA1608" s="82"/>
      <c r="AB1608" s="82"/>
      <c r="AC1608" s="82"/>
      <c r="AD1608" s="82"/>
      <c r="AE1608" s="82"/>
      <c r="AF1608" s="82"/>
      <c r="AG1608" s="82"/>
      <c r="AH1608" s="82"/>
      <c r="AI1608" s="82"/>
      <c r="AJ1608" s="82"/>
      <c r="AK1608" s="82"/>
      <c r="AL1608" s="82"/>
      <c r="AM1608" s="82"/>
      <c r="AN1608" s="82"/>
      <c r="AO1608" s="82"/>
      <c r="AP1608" s="82"/>
      <c r="AQ1608" s="82"/>
      <c r="AR1608" s="82"/>
      <c r="AS1608" s="82"/>
      <c r="AT1608" s="82"/>
      <c r="AU1608" s="82"/>
      <c r="AV1608" s="82"/>
      <c r="AW1608" s="82" t="str">
        <f t="shared" si="1"/>
        <v/>
      </c>
      <c r="AX1608" s="83" t="str">
        <f t="array" ref="AX1608">IFERROR(DGET('SBV Import'!A:G,"SBV",{"RSC ID","Tier";B1608,A1608}))</f>
        <v/>
      </c>
      <c r="AY1608" s="82" t="str">
        <f t="shared" si="2"/>
        <v/>
      </c>
      <c r="AZ1608" s="82"/>
      <c r="BA1608" s="84" t="s">
        <v>152</v>
      </c>
      <c r="BB1608" s="84" t="str">
        <f>IFERROR(__xludf.DUMMYFUNCTION("iferror(if(A1608="""",,E1608&gt;=FILTER(Constants!$F$2:$F$10,Constants!$A$2:$A$10=A1608)))"),"")</f>
        <v/>
      </c>
    </row>
    <row r="1609">
      <c r="A1609" s="89"/>
      <c r="B1609" s="87"/>
      <c r="C1609" s="73"/>
      <c r="D1609" s="73"/>
      <c r="E1609" s="82"/>
      <c r="F1609" s="82"/>
      <c r="G1609" s="86"/>
      <c r="H1609" s="86"/>
      <c r="I1609" s="86"/>
      <c r="J1609" s="82"/>
      <c r="K1609" s="82"/>
      <c r="L1609" s="82"/>
      <c r="M1609" s="82"/>
      <c r="N1609" s="82"/>
      <c r="O1609" s="82"/>
      <c r="P1609" s="82"/>
      <c r="Q1609" s="82"/>
      <c r="R1609" s="82"/>
      <c r="S1609" s="82"/>
      <c r="T1609" s="82"/>
      <c r="U1609" s="82"/>
      <c r="V1609" s="82"/>
      <c r="W1609" s="82"/>
      <c r="X1609" s="82"/>
      <c r="Y1609" s="82"/>
      <c r="Z1609" s="82"/>
      <c r="AA1609" s="82"/>
      <c r="AB1609" s="82"/>
      <c r="AC1609" s="82"/>
      <c r="AD1609" s="82"/>
      <c r="AE1609" s="82"/>
      <c r="AF1609" s="82"/>
      <c r="AG1609" s="82"/>
      <c r="AH1609" s="82"/>
      <c r="AI1609" s="82"/>
      <c r="AJ1609" s="82"/>
      <c r="AK1609" s="82"/>
      <c r="AL1609" s="82"/>
      <c r="AM1609" s="82"/>
      <c r="AN1609" s="82"/>
      <c r="AO1609" s="82"/>
      <c r="AP1609" s="82"/>
      <c r="AQ1609" s="82"/>
      <c r="AR1609" s="82"/>
      <c r="AS1609" s="82"/>
      <c r="AT1609" s="82"/>
      <c r="AU1609" s="82"/>
      <c r="AV1609" s="82"/>
      <c r="AW1609" s="82" t="str">
        <f t="shared" si="1"/>
        <v/>
      </c>
      <c r="AX1609" s="83" t="str">
        <f t="array" ref="AX1609">IFERROR(DGET('SBV Import'!A:G,"SBV",{"RSC ID","Tier";B1609,A1609}))</f>
        <v/>
      </c>
      <c r="AY1609" s="82" t="str">
        <f t="shared" si="2"/>
        <v/>
      </c>
      <c r="AZ1609" s="82"/>
      <c r="BA1609" s="84" t="s">
        <v>152</v>
      </c>
      <c r="BB1609" s="84" t="str">
        <f>IFERROR(__xludf.DUMMYFUNCTION("iferror(if(A1609="""",,E1609&gt;=FILTER(Constants!$F$2:$F$10,Constants!$A$2:$A$10=A1609)))"),"")</f>
        <v/>
      </c>
    </row>
    <row r="1610">
      <c r="A1610" s="89"/>
      <c r="B1610" s="87"/>
      <c r="C1610" s="73"/>
      <c r="D1610" s="73"/>
      <c r="E1610" s="82"/>
      <c r="F1610" s="82"/>
      <c r="G1610" s="86"/>
      <c r="H1610" s="86"/>
      <c r="I1610" s="86"/>
      <c r="J1610" s="82"/>
      <c r="K1610" s="82"/>
      <c r="L1610" s="82"/>
      <c r="M1610" s="82"/>
      <c r="N1610" s="82"/>
      <c r="O1610" s="82"/>
      <c r="P1610" s="82"/>
      <c r="Q1610" s="82"/>
      <c r="R1610" s="82"/>
      <c r="S1610" s="82"/>
      <c r="T1610" s="82"/>
      <c r="U1610" s="82"/>
      <c r="V1610" s="82"/>
      <c r="W1610" s="82"/>
      <c r="X1610" s="82"/>
      <c r="Y1610" s="82"/>
      <c r="Z1610" s="82"/>
      <c r="AA1610" s="82"/>
      <c r="AB1610" s="82"/>
      <c r="AC1610" s="82"/>
      <c r="AD1610" s="82"/>
      <c r="AE1610" s="82"/>
      <c r="AF1610" s="82"/>
      <c r="AG1610" s="82"/>
      <c r="AH1610" s="82"/>
      <c r="AI1610" s="82"/>
      <c r="AJ1610" s="82"/>
      <c r="AK1610" s="82"/>
      <c r="AL1610" s="82"/>
      <c r="AM1610" s="82"/>
      <c r="AN1610" s="82"/>
      <c r="AO1610" s="82"/>
      <c r="AP1610" s="82"/>
      <c r="AQ1610" s="82"/>
      <c r="AR1610" s="82"/>
      <c r="AS1610" s="82"/>
      <c r="AT1610" s="82"/>
      <c r="AU1610" s="82"/>
      <c r="AV1610" s="82"/>
      <c r="AW1610" s="82" t="str">
        <f t="shared" si="1"/>
        <v/>
      </c>
      <c r="AX1610" s="83" t="str">
        <f t="array" ref="AX1610">IFERROR(DGET('SBV Import'!A:G,"SBV",{"RSC ID","Tier";B1610,A1610}))</f>
        <v/>
      </c>
      <c r="AY1610" s="82" t="str">
        <f t="shared" si="2"/>
        <v/>
      </c>
      <c r="AZ1610" s="82"/>
      <c r="BA1610" s="84" t="s">
        <v>152</v>
      </c>
      <c r="BB1610" s="84" t="str">
        <f>IFERROR(__xludf.DUMMYFUNCTION("iferror(if(A1610="""",,E1610&gt;=FILTER(Constants!$F$2:$F$10,Constants!$A$2:$A$10=A1610)))"),"")</f>
        <v/>
      </c>
    </row>
    <row r="1611">
      <c r="A1611" s="89"/>
      <c r="B1611" s="87"/>
      <c r="C1611" s="73"/>
      <c r="D1611" s="73"/>
      <c r="E1611" s="82"/>
      <c r="F1611" s="82"/>
      <c r="G1611" s="86"/>
      <c r="H1611" s="86"/>
      <c r="I1611" s="86"/>
      <c r="J1611" s="82"/>
      <c r="K1611" s="82"/>
      <c r="L1611" s="82"/>
      <c r="M1611" s="82"/>
      <c r="N1611" s="82"/>
      <c r="O1611" s="82"/>
      <c r="P1611" s="82"/>
      <c r="Q1611" s="82"/>
      <c r="R1611" s="82"/>
      <c r="S1611" s="82"/>
      <c r="T1611" s="82"/>
      <c r="U1611" s="82"/>
      <c r="V1611" s="82"/>
      <c r="W1611" s="82"/>
      <c r="X1611" s="82"/>
      <c r="Y1611" s="82"/>
      <c r="Z1611" s="82"/>
      <c r="AA1611" s="82"/>
      <c r="AB1611" s="82"/>
      <c r="AC1611" s="82"/>
      <c r="AD1611" s="82"/>
      <c r="AE1611" s="82"/>
      <c r="AF1611" s="82"/>
      <c r="AG1611" s="82"/>
      <c r="AH1611" s="82"/>
      <c r="AI1611" s="82"/>
      <c r="AJ1611" s="82"/>
      <c r="AK1611" s="82"/>
      <c r="AL1611" s="82"/>
      <c r="AM1611" s="82"/>
      <c r="AN1611" s="82"/>
      <c r="AO1611" s="82"/>
      <c r="AP1611" s="82"/>
      <c r="AQ1611" s="82"/>
      <c r="AR1611" s="82"/>
      <c r="AS1611" s="82"/>
      <c r="AT1611" s="82"/>
      <c r="AU1611" s="82"/>
      <c r="AV1611" s="82"/>
      <c r="AW1611" s="82" t="str">
        <f t="shared" si="1"/>
        <v/>
      </c>
      <c r="AX1611" s="83" t="str">
        <f t="array" ref="AX1611">IFERROR(DGET('SBV Import'!A:G,"SBV",{"RSC ID","Tier";B1611,A1611}))</f>
        <v/>
      </c>
      <c r="AY1611" s="82" t="str">
        <f t="shared" si="2"/>
        <v/>
      </c>
      <c r="AZ1611" s="82"/>
      <c r="BA1611" s="84" t="s">
        <v>152</v>
      </c>
      <c r="BB1611" s="84" t="str">
        <f>IFERROR(__xludf.DUMMYFUNCTION("iferror(if(A1611="""",,E1611&gt;=FILTER(Constants!$F$2:$F$10,Constants!$A$2:$A$10=A1611)))"),"")</f>
        <v/>
      </c>
    </row>
    <row r="1612">
      <c r="A1612" s="89"/>
      <c r="B1612" s="87"/>
      <c r="C1612" s="73"/>
      <c r="D1612" s="73"/>
      <c r="E1612" s="82"/>
      <c r="F1612" s="82"/>
      <c r="G1612" s="86"/>
      <c r="H1612" s="86"/>
      <c r="I1612" s="86"/>
      <c r="J1612" s="82"/>
      <c r="K1612" s="82"/>
      <c r="L1612" s="82"/>
      <c r="M1612" s="82"/>
      <c r="N1612" s="82"/>
      <c r="O1612" s="82"/>
      <c r="P1612" s="82"/>
      <c r="Q1612" s="82"/>
      <c r="R1612" s="82"/>
      <c r="S1612" s="82"/>
      <c r="T1612" s="82"/>
      <c r="U1612" s="82"/>
      <c r="V1612" s="82"/>
      <c r="W1612" s="82"/>
      <c r="X1612" s="82"/>
      <c r="Y1612" s="82"/>
      <c r="Z1612" s="82"/>
      <c r="AA1612" s="82"/>
      <c r="AB1612" s="82"/>
      <c r="AC1612" s="82"/>
      <c r="AD1612" s="82"/>
      <c r="AE1612" s="82"/>
      <c r="AF1612" s="82"/>
      <c r="AG1612" s="82"/>
      <c r="AH1612" s="82"/>
      <c r="AI1612" s="82"/>
      <c r="AJ1612" s="82"/>
      <c r="AK1612" s="82"/>
      <c r="AL1612" s="82"/>
      <c r="AM1612" s="82"/>
      <c r="AN1612" s="82"/>
      <c r="AO1612" s="82"/>
      <c r="AP1612" s="82"/>
      <c r="AQ1612" s="82"/>
      <c r="AR1612" s="82"/>
      <c r="AS1612" s="82"/>
      <c r="AT1612" s="82"/>
      <c r="AU1612" s="82"/>
      <c r="AV1612" s="82"/>
      <c r="AW1612" s="82" t="str">
        <f t="shared" si="1"/>
        <v/>
      </c>
      <c r="AX1612" s="83" t="str">
        <f t="array" ref="AX1612">IFERROR(DGET('SBV Import'!A:G,"SBV",{"RSC ID","Tier";B1612,A1612}))</f>
        <v/>
      </c>
      <c r="AY1612" s="82" t="str">
        <f t="shared" si="2"/>
        <v/>
      </c>
      <c r="AZ1612" s="82"/>
      <c r="BA1612" s="84" t="s">
        <v>152</v>
      </c>
      <c r="BB1612" s="84" t="str">
        <f>IFERROR(__xludf.DUMMYFUNCTION("iferror(if(A1612="""",,E1612&gt;=FILTER(Constants!$F$2:$F$10,Constants!$A$2:$A$10=A1612)))"),"")</f>
        <v/>
      </c>
    </row>
    <row r="1613">
      <c r="A1613" s="89"/>
      <c r="B1613" s="87"/>
      <c r="C1613" s="73"/>
      <c r="D1613" s="73"/>
      <c r="E1613" s="82"/>
      <c r="F1613" s="82"/>
      <c r="G1613" s="86"/>
      <c r="H1613" s="86"/>
      <c r="I1613" s="86"/>
      <c r="J1613" s="82"/>
      <c r="K1613" s="82"/>
      <c r="L1613" s="82"/>
      <c r="M1613" s="82"/>
      <c r="N1613" s="82"/>
      <c r="O1613" s="82"/>
      <c r="P1613" s="82"/>
      <c r="Q1613" s="82"/>
      <c r="R1613" s="82"/>
      <c r="S1613" s="82"/>
      <c r="T1613" s="82"/>
      <c r="U1613" s="82"/>
      <c r="V1613" s="82"/>
      <c r="W1613" s="82"/>
      <c r="X1613" s="82"/>
      <c r="Y1613" s="82"/>
      <c r="Z1613" s="82"/>
      <c r="AA1613" s="82"/>
      <c r="AB1613" s="82"/>
      <c r="AC1613" s="82"/>
      <c r="AD1613" s="82"/>
      <c r="AE1613" s="82"/>
      <c r="AF1613" s="82"/>
      <c r="AG1613" s="82"/>
      <c r="AH1613" s="82"/>
      <c r="AI1613" s="82"/>
      <c r="AJ1613" s="82"/>
      <c r="AK1613" s="82"/>
      <c r="AL1613" s="82"/>
      <c r="AM1613" s="82"/>
      <c r="AN1613" s="82"/>
      <c r="AO1613" s="82"/>
      <c r="AP1613" s="82"/>
      <c r="AQ1613" s="82"/>
      <c r="AR1613" s="82"/>
      <c r="AS1613" s="82"/>
      <c r="AT1613" s="82"/>
      <c r="AU1613" s="82"/>
      <c r="AV1613" s="82"/>
      <c r="AW1613" s="82" t="str">
        <f t="shared" si="1"/>
        <v/>
      </c>
      <c r="AX1613" s="83" t="str">
        <f t="array" ref="AX1613">IFERROR(DGET('SBV Import'!A:G,"SBV",{"RSC ID","Tier";B1613,A1613}))</f>
        <v/>
      </c>
      <c r="AY1613" s="82" t="str">
        <f t="shared" si="2"/>
        <v/>
      </c>
      <c r="AZ1613" s="82"/>
      <c r="BA1613" s="84" t="s">
        <v>152</v>
      </c>
      <c r="BB1613" s="84" t="str">
        <f>IFERROR(__xludf.DUMMYFUNCTION("iferror(if(A1613="""",,E1613&gt;=FILTER(Constants!$F$2:$F$10,Constants!$A$2:$A$10=A1613)))"),"")</f>
        <v/>
      </c>
    </row>
    <row r="1614">
      <c r="A1614" s="89"/>
      <c r="B1614" s="87"/>
      <c r="C1614" s="73"/>
      <c r="D1614" s="73"/>
      <c r="E1614" s="82"/>
      <c r="F1614" s="82"/>
      <c r="G1614" s="86"/>
      <c r="H1614" s="86"/>
      <c r="I1614" s="86"/>
      <c r="J1614" s="82"/>
      <c r="K1614" s="82"/>
      <c r="L1614" s="82"/>
      <c r="M1614" s="82"/>
      <c r="N1614" s="82"/>
      <c r="O1614" s="82"/>
      <c r="P1614" s="82"/>
      <c r="Q1614" s="82"/>
      <c r="R1614" s="82"/>
      <c r="S1614" s="82"/>
      <c r="T1614" s="82"/>
      <c r="U1614" s="82"/>
      <c r="V1614" s="82"/>
      <c r="W1614" s="82"/>
      <c r="X1614" s="82"/>
      <c r="Y1614" s="82"/>
      <c r="Z1614" s="82"/>
      <c r="AA1614" s="82"/>
      <c r="AB1614" s="82"/>
      <c r="AC1614" s="82"/>
      <c r="AD1614" s="82"/>
      <c r="AE1614" s="82"/>
      <c r="AF1614" s="82"/>
      <c r="AG1614" s="82"/>
      <c r="AH1614" s="82"/>
      <c r="AI1614" s="82"/>
      <c r="AJ1614" s="82"/>
      <c r="AK1614" s="82"/>
      <c r="AL1614" s="82"/>
      <c r="AM1614" s="82"/>
      <c r="AN1614" s="82"/>
      <c r="AO1614" s="82"/>
      <c r="AP1614" s="82"/>
      <c r="AQ1614" s="82"/>
      <c r="AR1614" s="82"/>
      <c r="AS1614" s="82"/>
      <c r="AT1614" s="82"/>
      <c r="AU1614" s="82"/>
      <c r="AV1614" s="82"/>
      <c r="AW1614" s="82" t="str">
        <f t="shared" si="1"/>
        <v/>
      </c>
      <c r="AX1614" s="83" t="str">
        <f t="array" ref="AX1614">IFERROR(DGET('SBV Import'!A:G,"SBV",{"RSC ID","Tier";B1614,A1614}))</f>
        <v/>
      </c>
      <c r="AY1614" s="82" t="str">
        <f t="shared" si="2"/>
        <v/>
      </c>
      <c r="AZ1614" s="82"/>
      <c r="BA1614" s="84" t="s">
        <v>152</v>
      </c>
      <c r="BB1614" s="84" t="str">
        <f>IFERROR(__xludf.DUMMYFUNCTION("iferror(if(A1614="""",,E1614&gt;=FILTER(Constants!$F$2:$F$10,Constants!$A$2:$A$10=A1614)))"),"")</f>
        <v/>
      </c>
    </row>
    <row r="1615">
      <c r="A1615" s="89"/>
      <c r="B1615" s="87"/>
      <c r="C1615" s="73"/>
      <c r="D1615" s="73"/>
      <c r="E1615" s="82"/>
      <c r="F1615" s="82"/>
      <c r="G1615" s="86"/>
      <c r="H1615" s="86"/>
      <c r="I1615" s="86"/>
      <c r="J1615" s="82"/>
      <c r="K1615" s="82"/>
      <c r="L1615" s="82"/>
      <c r="M1615" s="82"/>
      <c r="N1615" s="82"/>
      <c r="O1615" s="82"/>
      <c r="P1615" s="82"/>
      <c r="Q1615" s="82"/>
      <c r="R1615" s="82"/>
      <c r="S1615" s="82"/>
      <c r="T1615" s="82"/>
      <c r="U1615" s="82"/>
      <c r="V1615" s="82"/>
      <c r="W1615" s="82"/>
      <c r="X1615" s="82"/>
      <c r="Y1615" s="82"/>
      <c r="Z1615" s="82"/>
      <c r="AA1615" s="82"/>
      <c r="AB1615" s="82"/>
      <c r="AC1615" s="82"/>
      <c r="AD1615" s="82"/>
      <c r="AE1615" s="82"/>
      <c r="AF1615" s="82"/>
      <c r="AG1615" s="82"/>
      <c r="AH1615" s="82"/>
      <c r="AI1615" s="82"/>
      <c r="AJ1615" s="82"/>
      <c r="AK1615" s="82"/>
      <c r="AL1615" s="82"/>
      <c r="AM1615" s="82"/>
      <c r="AN1615" s="82"/>
      <c r="AO1615" s="82"/>
      <c r="AP1615" s="82"/>
      <c r="AQ1615" s="82"/>
      <c r="AR1615" s="82"/>
      <c r="AS1615" s="82"/>
      <c r="AT1615" s="82"/>
      <c r="AU1615" s="82"/>
      <c r="AV1615" s="82"/>
      <c r="AW1615" s="82" t="str">
        <f t="shared" si="1"/>
        <v/>
      </c>
      <c r="AX1615" s="83" t="str">
        <f t="array" ref="AX1615">IFERROR(DGET('SBV Import'!A:G,"SBV",{"RSC ID","Tier";B1615,A1615}))</f>
        <v/>
      </c>
      <c r="AY1615" s="82" t="str">
        <f t="shared" si="2"/>
        <v/>
      </c>
      <c r="AZ1615" s="82"/>
      <c r="BA1615" s="84" t="s">
        <v>152</v>
      </c>
      <c r="BB1615" s="84" t="str">
        <f>IFERROR(__xludf.DUMMYFUNCTION("iferror(if(A1615="""",,E1615&gt;=FILTER(Constants!$F$2:$F$10,Constants!$A$2:$A$10=A1615)))"),"")</f>
        <v/>
      </c>
    </row>
    <row r="1616">
      <c r="A1616" s="89"/>
      <c r="B1616" s="87"/>
      <c r="C1616" s="73"/>
      <c r="D1616" s="73"/>
      <c r="E1616" s="82"/>
      <c r="F1616" s="82"/>
      <c r="G1616" s="86"/>
      <c r="H1616" s="86"/>
      <c r="I1616" s="86"/>
      <c r="J1616" s="82"/>
      <c r="K1616" s="82"/>
      <c r="L1616" s="82"/>
      <c r="M1616" s="82"/>
      <c r="N1616" s="82"/>
      <c r="O1616" s="82"/>
      <c r="P1616" s="82"/>
      <c r="Q1616" s="82"/>
      <c r="R1616" s="82"/>
      <c r="S1616" s="82"/>
      <c r="T1616" s="82"/>
      <c r="U1616" s="82"/>
      <c r="V1616" s="82"/>
      <c r="W1616" s="82"/>
      <c r="X1616" s="82"/>
      <c r="Y1616" s="82"/>
      <c r="Z1616" s="82"/>
      <c r="AA1616" s="82"/>
      <c r="AB1616" s="82"/>
      <c r="AC1616" s="82"/>
      <c r="AD1616" s="82"/>
      <c r="AE1616" s="82"/>
      <c r="AF1616" s="82"/>
      <c r="AG1616" s="82"/>
      <c r="AH1616" s="82"/>
      <c r="AI1616" s="82"/>
      <c r="AJ1616" s="82"/>
      <c r="AK1616" s="82"/>
      <c r="AL1616" s="82"/>
      <c r="AM1616" s="82"/>
      <c r="AN1616" s="82"/>
      <c r="AO1616" s="82"/>
      <c r="AP1616" s="82"/>
      <c r="AQ1616" s="82"/>
      <c r="AR1616" s="82"/>
      <c r="AS1616" s="82"/>
      <c r="AT1616" s="82"/>
      <c r="AU1616" s="82"/>
      <c r="AV1616" s="82"/>
      <c r="AW1616" s="82" t="str">
        <f t="shared" si="1"/>
        <v/>
      </c>
      <c r="AX1616" s="83" t="str">
        <f t="array" ref="AX1616">IFERROR(DGET('SBV Import'!A:G,"SBV",{"RSC ID","Tier";B1616,A1616}))</f>
        <v/>
      </c>
      <c r="AY1616" s="82" t="str">
        <f t="shared" si="2"/>
        <v/>
      </c>
      <c r="AZ1616" s="82"/>
      <c r="BA1616" s="84" t="s">
        <v>152</v>
      </c>
      <c r="BB1616" s="84" t="str">
        <f>IFERROR(__xludf.DUMMYFUNCTION("iferror(if(A1616="""",,E1616&gt;=FILTER(Constants!$F$2:$F$10,Constants!$A$2:$A$10=A1616)))"),"")</f>
        <v/>
      </c>
    </row>
    <row r="1617">
      <c r="A1617" s="89"/>
      <c r="B1617" s="87"/>
      <c r="C1617" s="73"/>
      <c r="D1617" s="73"/>
      <c r="E1617" s="82"/>
      <c r="F1617" s="82"/>
      <c r="G1617" s="86"/>
      <c r="H1617" s="86"/>
      <c r="I1617" s="86"/>
      <c r="J1617" s="82"/>
      <c r="K1617" s="82"/>
      <c r="L1617" s="82"/>
      <c r="M1617" s="82"/>
      <c r="N1617" s="82"/>
      <c r="O1617" s="82"/>
      <c r="P1617" s="82"/>
      <c r="Q1617" s="82"/>
      <c r="R1617" s="82"/>
      <c r="S1617" s="82"/>
      <c r="T1617" s="82"/>
      <c r="U1617" s="82"/>
      <c r="V1617" s="82"/>
      <c r="W1617" s="82"/>
      <c r="X1617" s="82"/>
      <c r="Y1617" s="82"/>
      <c r="Z1617" s="82"/>
      <c r="AA1617" s="82"/>
      <c r="AB1617" s="82"/>
      <c r="AC1617" s="82"/>
      <c r="AD1617" s="82"/>
      <c r="AE1617" s="82"/>
      <c r="AF1617" s="82"/>
      <c r="AG1617" s="82"/>
      <c r="AH1617" s="82"/>
      <c r="AI1617" s="82"/>
      <c r="AJ1617" s="82"/>
      <c r="AK1617" s="82"/>
      <c r="AL1617" s="82"/>
      <c r="AM1617" s="82"/>
      <c r="AN1617" s="82"/>
      <c r="AO1617" s="82"/>
      <c r="AP1617" s="82"/>
      <c r="AQ1617" s="82"/>
      <c r="AR1617" s="82"/>
      <c r="AS1617" s="82"/>
      <c r="AT1617" s="82"/>
      <c r="AU1617" s="82"/>
      <c r="AV1617" s="82"/>
      <c r="AW1617" s="82" t="str">
        <f t="shared" si="1"/>
        <v/>
      </c>
      <c r="AX1617" s="83" t="str">
        <f t="array" ref="AX1617">IFERROR(DGET('SBV Import'!A:G,"SBV",{"RSC ID","Tier";B1617,A1617}))</f>
        <v/>
      </c>
      <c r="AY1617" s="82" t="str">
        <f t="shared" si="2"/>
        <v/>
      </c>
      <c r="AZ1617" s="82"/>
      <c r="BA1617" s="84" t="s">
        <v>152</v>
      </c>
      <c r="BB1617" s="84" t="str">
        <f>IFERROR(__xludf.DUMMYFUNCTION("iferror(if(A1617="""",,E1617&gt;=FILTER(Constants!$F$2:$F$10,Constants!$A$2:$A$10=A1617)))"),"")</f>
        <v/>
      </c>
    </row>
    <row r="1618">
      <c r="A1618" s="89"/>
      <c r="B1618" s="87"/>
      <c r="C1618" s="73"/>
      <c r="D1618" s="73"/>
      <c r="E1618" s="82"/>
      <c r="F1618" s="82"/>
      <c r="G1618" s="86"/>
      <c r="H1618" s="86"/>
      <c r="I1618" s="86"/>
      <c r="J1618" s="82"/>
      <c r="K1618" s="82"/>
      <c r="L1618" s="82"/>
      <c r="M1618" s="82"/>
      <c r="N1618" s="82"/>
      <c r="O1618" s="82"/>
      <c r="P1618" s="82"/>
      <c r="Q1618" s="82"/>
      <c r="R1618" s="82"/>
      <c r="S1618" s="82"/>
      <c r="T1618" s="82"/>
      <c r="U1618" s="82"/>
      <c r="V1618" s="82"/>
      <c r="W1618" s="82"/>
      <c r="X1618" s="82"/>
      <c r="Y1618" s="82"/>
      <c r="Z1618" s="82"/>
      <c r="AA1618" s="82"/>
      <c r="AB1618" s="82"/>
      <c r="AC1618" s="82"/>
      <c r="AD1618" s="82"/>
      <c r="AE1618" s="82"/>
      <c r="AF1618" s="82"/>
      <c r="AG1618" s="82"/>
      <c r="AH1618" s="82"/>
      <c r="AI1618" s="82"/>
      <c r="AJ1618" s="82"/>
      <c r="AK1618" s="82"/>
      <c r="AL1618" s="82"/>
      <c r="AM1618" s="82"/>
      <c r="AN1618" s="82"/>
      <c r="AO1618" s="82"/>
      <c r="AP1618" s="82"/>
      <c r="AQ1618" s="82"/>
      <c r="AR1618" s="82"/>
      <c r="AS1618" s="82"/>
      <c r="AT1618" s="82"/>
      <c r="AU1618" s="82"/>
      <c r="AV1618" s="82"/>
      <c r="AW1618" s="82" t="str">
        <f t="shared" si="1"/>
        <v/>
      </c>
      <c r="AX1618" s="83" t="str">
        <f t="array" ref="AX1618">IFERROR(DGET('SBV Import'!A:G,"SBV",{"RSC ID","Tier";B1618,A1618}))</f>
        <v/>
      </c>
      <c r="AY1618" s="82" t="str">
        <f t="shared" si="2"/>
        <v/>
      </c>
      <c r="AZ1618" s="82"/>
      <c r="BA1618" s="84" t="s">
        <v>152</v>
      </c>
      <c r="BB1618" s="84" t="str">
        <f>IFERROR(__xludf.DUMMYFUNCTION("iferror(if(A1618="""",,E1618&gt;=FILTER(Constants!$F$2:$F$10,Constants!$A$2:$A$10=A1618)))"),"")</f>
        <v/>
      </c>
    </row>
    <row r="1619">
      <c r="A1619" s="89"/>
      <c r="B1619" s="87"/>
      <c r="C1619" s="73"/>
      <c r="D1619" s="73"/>
      <c r="E1619" s="82"/>
      <c r="F1619" s="82"/>
      <c r="G1619" s="86"/>
      <c r="H1619" s="86"/>
      <c r="I1619" s="86"/>
      <c r="J1619" s="82"/>
      <c r="K1619" s="82"/>
      <c r="L1619" s="82"/>
      <c r="M1619" s="82"/>
      <c r="N1619" s="82"/>
      <c r="O1619" s="82"/>
      <c r="P1619" s="82"/>
      <c r="Q1619" s="82"/>
      <c r="R1619" s="82"/>
      <c r="S1619" s="82"/>
      <c r="T1619" s="82"/>
      <c r="U1619" s="82"/>
      <c r="V1619" s="82"/>
      <c r="W1619" s="82"/>
      <c r="X1619" s="82"/>
      <c r="Y1619" s="82"/>
      <c r="Z1619" s="82"/>
      <c r="AA1619" s="82"/>
      <c r="AB1619" s="82"/>
      <c r="AC1619" s="82"/>
      <c r="AD1619" s="82"/>
      <c r="AE1619" s="82"/>
      <c r="AF1619" s="82"/>
      <c r="AG1619" s="82"/>
      <c r="AH1619" s="82"/>
      <c r="AI1619" s="82"/>
      <c r="AJ1619" s="82"/>
      <c r="AK1619" s="82"/>
      <c r="AL1619" s="82"/>
      <c r="AM1619" s="82"/>
      <c r="AN1619" s="82"/>
      <c r="AO1619" s="82"/>
      <c r="AP1619" s="82"/>
      <c r="AQ1619" s="82"/>
      <c r="AR1619" s="82"/>
      <c r="AS1619" s="82"/>
      <c r="AT1619" s="82"/>
      <c r="AU1619" s="82"/>
      <c r="AV1619" s="82"/>
      <c r="AW1619" s="82" t="str">
        <f t="shared" si="1"/>
        <v/>
      </c>
      <c r="AX1619" s="83" t="str">
        <f t="array" ref="AX1619">IFERROR(DGET('SBV Import'!A:G,"SBV",{"RSC ID","Tier";B1619,A1619}))</f>
        <v/>
      </c>
      <c r="AY1619" s="82" t="str">
        <f t="shared" si="2"/>
        <v/>
      </c>
      <c r="AZ1619" s="82"/>
      <c r="BA1619" s="84" t="s">
        <v>152</v>
      </c>
      <c r="BB1619" s="84" t="str">
        <f>IFERROR(__xludf.DUMMYFUNCTION("iferror(if(A1619="""",,E1619&gt;=FILTER(Constants!$F$2:$F$10,Constants!$A$2:$A$10=A1619)))"),"")</f>
        <v/>
      </c>
    </row>
    <row r="1620">
      <c r="A1620" s="89"/>
      <c r="B1620" s="87"/>
      <c r="C1620" s="73"/>
      <c r="D1620" s="73"/>
      <c r="E1620" s="82"/>
      <c r="F1620" s="82"/>
      <c r="G1620" s="86"/>
      <c r="H1620" s="86"/>
      <c r="I1620" s="86"/>
      <c r="J1620" s="82"/>
      <c r="K1620" s="82"/>
      <c r="L1620" s="82"/>
      <c r="M1620" s="82"/>
      <c r="N1620" s="82"/>
      <c r="O1620" s="82"/>
      <c r="P1620" s="82"/>
      <c r="Q1620" s="82"/>
      <c r="R1620" s="82"/>
      <c r="S1620" s="82"/>
      <c r="T1620" s="82"/>
      <c r="U1620" s="82"/>
      <c r="V1620" s="82"/>
      <c r="W1620" s="82"/>
      <c r="X1620" s="82"/>
      <c r="Y1620" s="82"/>
      <c r="Z1620" s="82"/>
      <c r="AA1620" s="82"/>
      <c r="AB1620" s="82"/>
      <c r="AC1620" s="82"/>
      <c r="AD1620" s="82"/>
      <c r="AE1620" s="82"/>
      <c r="AF1620" s="82"/>
      <c r="AG1620" s="82"/>
      <c r="AH1620" s="82"/>
      <c r="AI1620" s="82"/>
      <c r="AJ1620" s="82"/>
      <c r="AK1620" s="82"/>
      <c r="AL1620" s="82"/>
      <c r="AM1620" s="82"/>
      <c r="AN1620" s="82"/>
      <c r="AO1620" s="82"/>
      <c r="AP1620" s="82"/>
      <c r="AQ1620" s="82"/>
      <c r="AR1620" s="82"/>
      <c r="AS1620" s="82"/>
      <c r="AT1620" s="82"/>
      <c r="AU1620" s="82"/>
      <c r="AV1620" s="82"/>
      <c r="AW1620" s="82" t="str">
        <f t="shared" si="1"/>
        <v/>
      </c>
      <c r="AX1620" s="83" t="str">
        <f t="array" ref="AX1620">IFERROR(DGET('SBV Import'!A:G,"SBV",{"RSC ID","Tier";B1620,A1620}))</f>
        <v/>
      </c>
      <c r="AY1620" s="82" t="str">
        <f t="shared" si="2"/>
        <v/>
      </c>
      <c r="AZ1620" s="82"/>
      <c r="BA1620" s="84" t="s">
        <v>152</v>
      </c>
      <c r="BB1620" s="84" t="str">
        <f>IFERROR(__xludf.DUMMYFUNCTION("iferror(if(A1620="""",,E1620&gt;=FILTER(Constants!$F$2:$F$10,Constants!$A$2:$A$10=A1620)))"),"")</f>
        <v/>
      </c>
    </row>
    <row r="1621">
      <c r="A1621" s="89"/>
      <c r="B1621" s="87"/>
      <c r="C1621" s="73"/>
      <c r="D1621" s="73"/>
      <c r="E1621" s="82"/>
      <c r="F1621" s="82"/>
      <c r="G1621" s="86"/>
      <c r="H1621" s="86"/>
      <c r="I1621" s="86"/>
      <c r="J1621" s="82"/>
      <c r="K1621" s="82"/>
      <c r="L1621" s="82"/>
      <c r="M1621" s="82"/>
      <c r="N1621" s="82"/>
      <c r="O1621" s="82"/>
      <c r="P1621" s="82"/>
      <c r="Q1621" s="82"/>
      <c r="R1621" s="82"/>
      <c r="S1621" s="82"/>
      <c r="T1621" s="82"/>
      <c r="U1621" s="82"/>
      <c r="V1621" s="82"/>
      <c r="W1621" s="82"/>
      <c r="X1621" s="82"/>
      <c r="Y1621" s="82"/>
      <c r="Z1621" s="82"/>
      <c r="AA1621" s="82"/>
      <c r="AB1621" s="82"/>
      <c r="AC1621" s="82"/>
      <c r="AD1621" s="82"/>
      <c r="AE1621" s="82"/>
      <c r="AF1621" s="82"/>
      <c r="AG1621" s="82"/>
      <c r="AH1621" s="82"/>
      <c r="AI1621" s="82"/>
      <c r="AJ1621" s="82"/>
      <c r="AK1621" s="82"/>
      <c r="AL1621" s="82"/>
      <c r="AM1621" s="82"/>
      <c r="AN1621" s="82"/>
      <c r="AO1621" s="82"/>
      <c r="AP1621" s="82"/>
      <c r="AQ1621" s="82"/>
      <c r="AR1621" s="82"/>
      <c r="AS1621" s="82"/>
      <c r="AT1621" s="82"/>
      <c r="AU1621" s="82"/>
      <c r="AV1621" s="82"/>
      <c r="AW1621" s="82" t="str">
        <f t="shared" si="1"/>
        <v/>
      </c>
      <c r="AX1621" s="83" t="str">
        <f t="array" ref="AX1621">IFERROR(DGET('SBV Import'!A:G,"SBV",{"RSC ID","Tier";B1621,A1621}))</f>
        <v/>
      </c>
      <c r="AY1621" s="82" t="str">
        <f t="shared" si="2"/>
        <v/>
      </c>
      <c r="AZ1621" s="82"/>
      <c r="BA1621" s="84" t="s">
        <v>152</v>
      </c>
      <c r="BB1621" s="84" t="str">
        <f>IFERROR(__xludf.DUMMYFUNCTION("iferror(if(A1621="""",,E1621&gt;=FILTER(Constants!$F$2:$F$10,Constants!$A$2:$A$10=A1621)))"),"")</f>
        <v/>
      </c>
    </row>
    <row r="1622">
      <c r="A1622" s="89"/>
      <c r="B1622" s="87"/>
      <c r="C1622" s="73"/>
      <c r="D1622" s="73"/>
      <c r="E1622" s="82"/>
      <c r="F1622" s="82"/>
      <c r="G1622" s="86"/>
      <c r="H1622" s="86"/>
      <c r="I1622" s="86"/>
      <c r="J1622" s="82"/>
      <c r="K1622" s="82"/>
      <c r="L1622" s="82"/>
      <c r="M1622" s="82"/>
      <c r="N1622" s="82"/>
      <c r="O1622" s="82"/>
      <c r="P1622" s="82"/>
      <c r="Q1622" s="82"/>
      <c r="R1622" s="82"/>
      <c r="S1622" s="82"/>
      <c r="T1622" s="82"/>
      <c r="U1622" s="82"/>
      <c r="V1622" s="82"/>
      <c r="W1622" s="82"/>
      <c r="X1622" s="82"/>
      <c r="Y1622" s="82"/>
      <c r="Z1622" s="82"/>
      <c r="AA1622" s="82"/>
      <c r="AB1622" s="82"/>
      <c r="AC1622" s="82"/>
      <c r="AD1622" s="82"/>
      <c r="AE1622" s="82"/>
      <c r="AF1622" s="82"/>
      <c r="AG1622" s="82"/>
      <c r="AH1622" s="82"/>
      <c r="AI1622" s="82"/>
      <c r="AJ1622" s="82"/>
      <c r="AK1622" s="82"/>
      <c r="AL1622" s="82"/>
      <c r="AM1622" s="82"/>
      <c r="AN1622" s="82"/>
      <c r="AO1622" s="82"/>
      <c r="AP1622" s="82"/>
      <c r="AQ1622" s="82"/>
      <c r="AR1622" s="82"/>
      <c r="AS1622" s="82"/>
      <c r="AT1622" s="82"/>
      <c r="AU1622" s="82"/>
      <c r="AV1622" s="82"/>
      <c r="AW1622" s="82" t="str">
        <f t="shared" si="1"/>
        <v/>
      </c>
      <c r="AX1622" s="83" t="str">
        <f t="array" ref="AX1622">IFERROR(DGET('SBV Import'!A:G,"SBV",{"RSC ID","Tier";B1622,A1622}))</f>
        <v/>
      </c>
      <c r="AY1622" s="82" t="str">
        <f t="shared" si="2"/>
        <v/>
      </c>
      <c r="AZ1622" s="82"/>
      <c r="BA1622" s="84" t="s">
        <v>152</v>
      </c>
      <c r="BB1622" s="84" t="str">
        <f>IFERROR(__xludf.DUMMYFUNCTION("iferror(if(A1622="""",,E1622&gt;=FILTER(Constants!$F$2:$F$10,Constants!$A$2:$A$10=A1622)))"),"")</f>
        <v/>
      </c>
    </row>
    <row r="1623">
      <c r="A1623" s="89"/>
      <c r="B1623" s="87"/>
      <c r="C1623" s="73"/>
      <c r="D1623" s="73"/>
      <c r="E1623" s="82"/>
      <c r="F1623" s="82"/>
      <c r="G1623" s="86"/>
      <c r="H1623" s="86"/>
      <c r="I1623" s="86"/>
      <c r="J1623" s="82"/>
      <c r="K1623" s="82"/>
      <c r="L1623" s="82"/>
      <c r="M1623" s="82"/>
      <c r="N1623" s="82"/>
      <c r="O1623" s="82"/>
      <c r="P1623" s="82"/>
      <c r="Q1623" s="82"/>
      <c r="R1623" s="82"/>
      <c r="S1623" s="82"/>
      <c r="T1623" s="82"/>
      <c r="U1623" s="82"/>
      <c r="V1623" s="82"/>
      <c r="W1623" s="82"/>
      <c r="X1623" s="82"/>
      <c r="Y1623" s="82"/>
      <c r="Z1623" s="82"/>
      <c r="AA1623" s="82"/>
      <c r="AB1623" s="82"/>
      <c r="AC1623" s="82"/>
      <c r="AD1623" s="82"/>
      <c r="AE1623" s="82"/>
      <c r="AF1623" s="82"/>
      <c r="AG1623" s="82"/>
      <c r="AH1623" s="82"/>
      <c r="AI1623" s="82"/>
      <c r="AJ1623" s="82"/>
      <c r="AK1623" s="82"/>
      <c r="AL1623" s="82"/>
      <c r="AM1623" s="82"/>
      <c r="AN1623" s="82"/>
      <c r="AO1623" s="82"/>
      <c r="AP1623" s="82"/>
      <c r="AQ1623" s="82"/>
      <c r="AR1623" s="82"/>
      <c r="AS1623" s="82"/>
      <c r="AT1623" s="82"/>
      <c r="AU1623" s="82"/>
      <c r="AV1623" s="82"/>
      <c r="AW1623" s="82" t="str">
        <f t="shared" si="1"/>
        <v/>
      </c>
      <c r="AX1623" s="83" t="str">
        <f t="array" ref="AX1623">IFERROR(DGET('SBV Import'!A:G,"SBV",{"RSC ID","Tier";B1623,A1623}))</f>
        <v/>
      </c>
      <c r="AY1623" s="82" t="str">
        <f t="shared" si="2"/>
        <v/>
      </c>
      <c r="AZ1623" s="82"/>
      <c r="BA1623" s="84" t="s">
        <v>152</v>
      </c>
      <c r="BB1623" s="84" t="str">
        <f>IFERROR(__xludf.DUMMYFUNCTION("iferror(if(A1623="""",,E1623&gt;=FILTER(Constants!$F$2:$F$10,Constants!$A$2:$A$10=A1623)))"),"")</f>
        <v/>
      </c>
    </row>
    <row r="1624">
      <c r="A1624" s="89"/>
      <c r="B1624" s="87"/>
      <c r="C1624" s="73"/>
      <c r="D1624" s="73"/>
      <c r="E1624" s="82"/>
      <c r="F1624" s="82"/>
      <c r="G1624" s="86"/>
      <c r="H1624" s="86"/>
      <c r="I1624" s="86"/>
      <c r="J1624" s="82"/>
      <c r="K1624" s="82"/>
      <c r="L1624" s="82"/>
      <c r="M1624" s="82"/>
      <c r="N1624" s="82"/>
      <c r="O1624" s="82"/>
      <c r="P1624" s="82"/>
      <c r="Q1624" s="82"/>
      <c r="R1624" s="82"/>
      <c r="S1624" s="82"/>
      <c r="T1624" s="82"/>
      <c r="U1624" s="82"/>
      <c r="V1624" s="82"/>
      <c r="W1624" s="82"/>
      <c r="X1624" s="82"/>
      <c r="Y1624" s="82"/>
      <c r="Z1624" s="82"/>
      <c r="AA1624" s="82"/>
      <c r="AB1624" s="82"/>
      <c r="AC1624" s="82"/>
      <c r="AD1624" s="82"/>
      <c r="AE1624" s="82"/>
      <c r="AF1624" s="82"/>
      <c r="AG1624" s="82"/>
      <c r="AH1624" s="82"/>
      <c r="AI1624" s="82"/>
      <c r="AJ1624" s="82"/>
      <c r="AK1624" s="82"/>
      <c r="AL1624" s="82"/>
      <c r="AM1624" s="82"/>
      <c r="AN1624" s="82"/>
      <c r="AO1624" s="82"/>
      <c r="AP1624" s="82"/>
      <c r="AQ1624" s="82"/>
      <c r="AR1624" s="82"/>
      <c r="AS1624" s="82"/>
      <c r="AT1624" s="82"/>
      <c r="AU1624" s="82"/>
      <c r="AV1624" s="82"/>
      <c r="AW1624" s="82" t="str">
        <f t="shared" si="1"/>
        <v/>
      </c>
      <c r="AX1624" s="83" t="str">
        <f t="array" ref="AX1624">IFERROR(DGET('SBV Import'!A:G,"SBV",{"RSC ID","Tier";B1624,A1624}))</f>
        <v/>
      </c>
      <c r="AY1624" s="82" t="str">
        <f t="shared" si="2"/>
        <v/>
      </c>
      <c r="AZ1624" s="82"/>
      <c r="BA1624" s="84" t="s">
        <v>152</v>
      </c>
      <c r="BB1624" s="84" t="str">
        <f>IFERROR(__xludf.DUMMYFUNCTION("iferror(if(A1624="""",,E1624&gt;=FILTER(Constants!$F$2:$F$10,Constants!$A$2:$A$10=A1624)))"),"")</f>
        <v/>
      </c>
    </row>
    <row r="1625">
      <c r="A1625" s="89"/>
      <c r="B1625" s="87"/>
      <c r="C1625" s="73"/>
      <c r="D1625" s="73"/>
      <c r="E1625" s="82"/>
      <c r="F1625" s="82"/>
      <c r="G1625" s="86"/>
      <c r="H1625" s="86"/>
      <c r="I1625" s="86"/>
      <c r="J1625" s="82"/>
      <c r="K1625" s="82"/>
      <c r="L1625" s="82"/>
      <c r="M1625" s="82"/>
      <c r="N1625" s="82"/>
      <c r="O1625" s="82"/>
      <c r="P1625" s="82"/>
      <c r="Q1625" s="82"/>
      <c r="R1625" s="82"/>
      <c r="S1625" s="82"/>
      <c r="T1625" s="82"/>
      <c r="U1625" s="82"/>
      <c r="V1625" s="82"/>
      <c r="W1625" s="82"/>
      <c r="X1625" s="82"/>
      <c r="Y1625" s="82"/>
      <c r="Z1625" s="82"/>
      <c r="AA1625" s="82"/>
      <c r="AB1625" s="82"/>
      <c r="AC1625" s="82"/>
      <c r="AD1625" s="82"/>
      <c r="AE1625" s="82"/>
      <c r="AF1625" s="82"/>
      <c r="AG1625" s="82"/>
      <c r="AH1625" s="82"/>
      <c r="AI1625" s="82"/>
      <c r="AJ1625" s="82"/>
      <c r="AK1625" s="82"/>
      <c r="AL1625" s="82"/>
      <c r="AM1625" s="82"/>
      <c r="AN1625" s="82"/>
      <c r="AO1625" s="82"/>
      <c r="AP1625" s="82"/>
      <c r="AQ1625" s="82"/>
      <c r="AR1625" s="82"/>
      <c r="AS1625" s="82"/>
      <c r="AT1625" s="82"/>
      <c r="AU1625" s="82"/>
      <c r="AV1625" s="82"/>
      <c r="AW1625" s="82" t="str">
        <f t="shared" si="1"/>
        <v/>
      </c>
      <c r="AX1625" s="83" t="str">
        <f t="array" ref="AX1625">IFERROR(DGET('SBV Import'!A:G,"SBV",{"RSC ID","Tier";B1625,A1625}))</f>
        <v/>
      </c>
      <c r="AY1625" s="82" t="str">
        <f t="shared" si="2"/>
        <v/>
      </c>
      <c r="AZ1625" s="82"/>
      <c r="BA1625" s="84" t="s">
        <v>152</v>
      </c>
      <c r="BB1625" s="84" t="str">
        <f>IFERROR(__xludf.DUMMYFUNCTION("iferror(if(A1625="""",,E1625&gt;=FILTER(Constants!$F$2:$F$10,Constants!$A$2:$A$10=A1625)))"),"")</f>
        <v/>
      </c>
    </row>
    <row r="1626">
      <c r="A1626" s="89"/>
      <c r="B1626" s="87"/>
      <c r="C1626" s="73"/>
      <c r="D1626" s="73"/>
      <c r="E1626" s="82"/>
      <c r="F1626" s="82"/>
      <c r="G1626" s="86"/>
      <c r="H1626" s="86"/>
      <c r="I1626" s="86"/>
      <c r="J1626" s="82"/>
      <c r="K1626" s="82"/>
      <c r="L1626" s="82"/>
      <c r="M1626" s="82"/>
      <c r="N1626" s="82"/>
      <c r="O1626" s="82"/>
      <c r="P1626" s="82"/>
      <c r="Q1626" s="82"/>
      <c r="R1626" s="82"/>
      <c r="S1626" s="82"/>
      <c r="T1626" s="82"/>
      <c r="U1626" s="82"/>
      <c r="V1626" s="82"/>
      <c r="W1626" s="82"/>
      <c r="X1626" s="82"/>
      <c r="Y1626" s="82"/>
      <c r="Z1626" s="82"/>
      <c r="AA1626" s="82"/>
      <c r="AB1626" s="82"/>
      <c r="AC1626" s="82"/>
      <c r="AD1626" s="82"/>
      <c r="AE1626" s="82"/>
      <c r="AF1626" s="82"/>
      <c r="AG1626" s="82"/>
      <c r="AH1626" s="82"/>
      <c r="AI1626" s="82"/>
      <c r="AJ1626" s="82"/>
      <c r="AK1626" s="82"/>
      <c r="AL1626" s="82"/>
      <c r="AM1626" s="82"/>
      <c r="AN1626" s="82"/>
      <c r="AO1626" s="82"/>
      <c r="AP1626" s="82"/>
      <c r="AQ1626" s="82"/>
      <c r="AR1626" s="82"/>
      <c r="AS1626" s="82"/>
      <c r="AT1626" s="82"/>
      <c r="AU1626" s="82"/>
      <c r="AV1626" s="82"/>
      <c r="AW1626" s="82" t="str">
        <f t="shared" si="1"/>
        <v/>
      </c>
      <c r="AX1626" s="83" t="str">
        <f t="array" ref="AX1626">IFERROR(DGET('SBV Import'!A:G,"SBV",{"RSC ID","Tier";B1626,A1626}))</f>
        <v/>
      </c>
      <c r="AY1626" s="82" t="str">
        <f t="shared" si="2"/>
        <v/>
      </c>
      <c r="AZ1626" s="82"/>
      <c r="BA1626" s="84" t="s">
        <v>152</v>
      </c>
      <c r="BB1626" s="84" t="str">
        <f>IFERROR(__xludf.DUMMYFUNCTION("iferror(if(A1626="""",,E1626&gt;=FILTER(Constants!$F$2:$F$10,Constants!$A$2:$A$10=A1626)))"),"")</f>
        <v/>
      </c>
    </row>
    <row r="1627">
      <c r="A1627" s="89"/>
      <c r="B1627" s="87"/>
      <c r="C1627" s="73"/>
      <c r="D1627" s="73"/>
      <c r="E1627" s="82"/>
      <c r="F1627" s="82"/>
      <c r="G1627" s="86"/>
      <c r="H1627" s="86"/>
      <c r="I1627" s="86"/>
      <c r="J1627" s="82"/>
      <c r="K1627" s="82"/>
      <c r="L1627" s="82"/>
      <c r="M1627" s="82"/>
      <c r="N1627" s="82"/>
      <c r="O1627" s="82"/>
      <c r="P1627" s="82"/>
      <c r="Q1627" s="82"/>
      <c r="R1627" s="82"/>
      <c r="S1627" s="82"/>
      <c r="T1627" s="82"/>
      <c r="U1627" s="82"/>
      <c r="V1627" s="82"/>
      <c r="W1627" s="82"/>
      <c r="X1627" s="82"/>
      <c r="Y1627" s="82"/>
      <c r="Z1627" s="82"/>
      <c r="AA1627" s="82"/>
      <c r="AB1627" s="82"/>
      <c r="AC1627" s="82"/>
      <c r="AD1627" s="82"/>
      <c r="AE1627" s="82"/>
      <c r="AF1627" s="82"/>
      <c r="AG1627" s="82"/>
      <c r="AH1627" s="82"/>
      <c r="AI1627" s="82"/>
      <c r="AJ1627" s="82"/>
      <c r="AK1627" s="82"/>
      <c r="AL1627" s="82"/>
      <c r="AM1627" s="82"/>
      <c r="AN1627" s="82"/>
      <c r="AO1627" s="82"/>
      <c r="AP1627" s="82"/>
      <c r="AQ1627" s="82"/>
      <c r="AR1627" s="82"/>
      <c r="AS1627" s="82"/>
      <c r="AT1627" s="82"/>
      <c r="AU1627" s="82"/>
      <c r="AV1627" s="82"/>
      <c r="AW1627" s="82" t="str">
        <f t="shared" si="1"/>
        <v/>
      </c>
      <c r="AX1627" s="83" t="str">
        <f t="array" ref="AX1627">IFERROR(DGET('SBV Import'!A:G,"SBV",{"RSC ID","Tier";B1627,A1627}))</f>
        <v/>
      </c>
      <c r="AY1627" s="82" t="str">
        <f t="shared" si="2"/>
        <v/>
      </c>
      <c r="AZ1627" s="82"/>
      <c r="BA1627" s="84" t="s">
        <v>152</v>
      </c>
      <c r="BB1627" s="84" t="str">
        <f>IFERROR(__xludf.DUMMYFUNCTION("iferror(if(A1627="""",,E1627&gt;=FILTER(Constants!$F$2:$F$10,Constants!$A$2:$A$10=A1627)))"),"")</f>
        <v/>
      </c>
    </row>
    <row r="1628">
      <c r="A1628" s="89"/>
      <c r="B1628" s="87"/>
      <c r="C1628" s="73"/>
      <c r="D1628" s="73"/>
      <c r="E1628" s="82"/>
      <c r="F1628" s="82"/>
      <c r="G1628" s="86"/>
      <c r="H1628" s="86"/>
      <c r="I1628" s="86"/>
      <c r="J1628" s="82"/>
      <c r="K1628" s="82"/>
      <c r="L1628" s="82"/>
      <c r="M1628" s="82"/>
      <c r="N1628" s="82"/>
      <c r="O1628" s="82"/>
      <c r="P1628" s="82"/>
      <c r="Q1628" s="82"/>
      <c r="R1628" s="82"/>
      <c r="S1628" s="82"/>
      <c r="T1628" s="82"/>
      <c r="U1628" s="82"/>
      <c r="V1628" s="82"/>
      <c r="W1628" s="82"/>
      <c r="X1628" s="82"/>
      <c r="Y1628" s="82"/>
      <c r="Z1628" s="82"/>
      <c r="AA1628" s="82"/>
      <c r="AB1628" s="82"/>
      <c r="AC1628" s="82"/>
      <c r="AD1628" s="82"/>
      <c r="AE1628" s="82"/>
      <c r="AF1628" s="82"/>
      <c r="AG1628" s="82"/>
      <c r="AH1628" s="82"/>
      <c r="AI1628" s="82"/>
      <c r="AJ1628" s="82"/>
      <c r="AK1628" s="82"/>
      <c r="AL1628" s="82"/>
      <c r="AM1628" s="82"/>
      <c r="AN1628" s="82"/>
      <c r="AO1628" s="82"/>
      <c r="AP1628" s="82"/>
      <c r="AQ1628" s="82"/>
      <c r="AR1628" s="82"/>
      <c r="AS1628" s="82"/>
      <c r="AT1628" s="82"/>
      <c r="AU1628" s="82"/>
      <c r="AV1628" s="82"/>
      <c r="AW1628" s="82" t="str">
        <f t="shared" si="1"/>
        <v/>
      </c>
      <c r="AX1628" s="83" t="str">
        <f t="array" ref="AX1628">IFERROR(DGET('SBV Import'!A:G,"SBV",{"RSC ID","Tier";B1628,A1628}))</f>
        <v/>
      </c>
      <c r="AY1628" s="82" t="str">
        <f t="shared" si="2"/>
        <v/>
      </c>
      <c r="AZ1628" s="82"/>
      <c r="BA1628" s="84" t="s">
        <v>152</v>
      </c>
      <c r="BB1628" s="84" t="str">
        <f>IFERROR(__xludf.DUMMYFUNCTION("iferror(if(A1628="""",,E1628&gt;=FILTER(Constants!$F$2:$F$10,Constants!$A$2:$A$10=A1628)))"),"")</f>
        <v/>
      </c>
    </row>
    <row r="1629">
      <c r="A1629" s="89"/>
      <c r="B1629" s="87"/>
      <c r="C1629" s="73"/>
      <c r="D1629" s="73"/>
      <c r="E1629" s="82"/>
      <c r="F1629" s="82"/>
      <c r="G1629" s="86"/>
      <c r="H1629" s="86"/>
      <c r="I1629" s="86"/>
      <c r="J1629" s="82"/>
      <c r="K1629" s="82"/>
      <c r="L1629" s="82"/>
      <c r="M1629" s="82"/>
      <c r="N1629" s="82"/>
      <c r="O1629" s="82"/>
      <c r="P1629" s="82"/>
      <c r="Q1629" s="82"/>
      <c r="R1629" s="82"/>
      <c r="S1629" s="82"/>
      <c r="T1629" s="82"/>
      <c r="U1629" s="82"/>
      <c r="V1629" s="82"/>
      <c r="W1629" s="82"/>
      <c r="X1629" s="82"/>
      <c r="Y1629" s="82"/>
      <c r="Z1629" s="82"/>
      <c r="AA1629" s="82"/>
      <c r="AB1629" s="82"/>
      <c r="AC1629" s="82"/>
      <c r="AD1629" s="82"/>
      <c r="AE1629" s="82"/>
      <c r="AF1629" s="82"/>
      <c r="AG1629" s="82"/>
      <c r="AH1629" s="82"/>
      <c r="AI1629" s="82"/>
      <c r="AJ1629" s="82"/>
      <c r="AK1629" s="82"/>
      <c r="AL1629" s="82"/>
      <c r="AM1629" s="82"/>
      <c r="AN1629" s="82"/>
      <c r="AO1629" s="82"/>
      <c r="AP1629" s="82"/>
      <c r="AQ1629" s="82"/>
      <c r="AR1629" s="82"/>
      <c r="AS1629" s="82"/>
      <c r="AT1629" s="82"/>
      <c r="AU1629" s="82"/>
      <c r="AV1629" s="82"/>
      <c r="AW1629" s="82" t="str">
        <f t="shared" si="1"/>
        <v/>
      </c>
      <c r="AX1629" s="83" t="str">
        <f t="array" ref="AX1629">IFERROR(DGET('SBV Import'!A:G,"SBV",{"RSC ID","Tier";B1629,A1629}))</f>
        <v/>
      </c>
      <c r="AY1629" s="82" t="str">
        <f t="shared" si="2"/>
        <v/>
      </c>
      <c r="AZ1629" s="82"/>
      <c r="BA1629" s="84" t="s">
        <v>152</v>
      </c>
      <c r="BB1629" s="84" t="str">
        <f>IFERROR(__xludf.DUMMYFUNCTION("iferror(if(A1629="""",,E1629&gt;=FILTER(Constants!$F$2:$F$10,Constants!$A$2:$A$10=A1629)))"),"")</f>
        <v/>
      </c>
    </row>
    <row r="1630">
      <c r="A1630" s="89"/>
      <c r="B1630" s="87"/>
      <c r="C1630" s="73"/>
      <c r="D1630" s="73"/>
      <c r="E1630" s="82"/>
      <c r="F1630" s="82"/>
      <c r="G1630" s="86"/>
      <c r="H1630" s="86"/>
      <c r="I1630" s="86"/>
      <c r="J1630" s="82"/>
      <c r="K1630" s="82"/>
      <c r="L1630" s="82"/>
      <c r="M1630" s="82"/>
      <c r="N1630" s="82"/>
      <c r="O1630" s="82"/>
      <c r="P1630" s="82"/>
      <c r="Q1630" s="82"/>
      <c r="R1630" s="82"/>
      <c r="S1630" s="82"/>
      <c r="T1630" s="82"/>
      <c r="U1630" s="82"/>
      <c r="V1630" s="82"/>
      <c r="W1630" s="82"/>
      <c r="X1630" s="82"/>
      <c r="Y1630" s="82"/>
      <c r="Z1630" s="82"/>
      <c r="AA1630" s="82"/>
      <c r="AB1630" s="82"/>
      <c r="AC1630" s="82"/>
      <c r="AD1630" s="82"/>
      <c r="AE1630" s="82"/>
      <c r="AF1630" s="82"/>
      <c r="AG1630" s="82"/>
      <c r="AH1630" s="82"/>
      <c r="AI1630" s="82"/>
      <c r="AJ1630" s="82"/>
      <c r="AK1630" s="82"/>
      <c r="AL1630" s="82"/>
      <c r="AM1630" s="82"/>
      <c r="AN1630" s="82"/>
      <c r="AO1630" s="82"/>
      <c r="AP1630" s="82"/>
      <c r="AQ1630" s="82"/>
      <c r="AR1630" s="82"/>
      <c r="AS1630" s="82"/>
      <c r="AT1630" s="82"/>
      <c r="AU1630" s="82"/>
      <c r="AV1630" s="82"/>
      <c r="AW1630" s="82" t="str">
        <f t="shared" si="1"/>
        <v/>
      </c>
      <c r="AX1630" s="83" t="str">
        <f t="array" ref="AX1630">IFERROR(DGET('SBV Import'!A:G,"SBV",{"RSC ID","Tier";B1630,A1630}))</f>
        <v/>
      </c>
      <c r="AY1630" s="82" t="str">
        <f t="shared" si="2"/>
        <v/>
      </c>
      <c r="AZ1630" s="82"/>
      <c r="BA1630" s="84" t="s">
        <v>152</v>
      </c>
      <c r="BB1630" s="84" t="str">
        <f>IFERROR(__xludf.DUMMYFUNCTION("iferror(if(A1630="""",,E1630&gt;=FILTER(Constants!$F$2:$F$10,Constants!$A$2:$A$10=A1630)))"),"")</f>
        <v/>
      </c>
    </row>
    <row r="1631">
      <c r="A1631" s="89"/>
      <c r="B1631" s="87"/>
      <c r="C1631" s="73"/>
      <c r="D1631" s="73"/>
      <c r="E1631" s="82"/>
      <c r="F1631" s="82"/>
      <c r="G1631" s="86"/>
      <c r="H1631" s="86"/>
      <c r="I1631" s="86"/>
      <c r="J1631" s="82"/>
      <c r="K1631" s="82"/>
      <c r="L1631" s="82"/>
      <c r="M1631" s="82"/>
      <c r="N1631" s="82"/>
      <c r="O1631" s="82"/>
      <c r="P1631" s="82"/>
      <c r="Q1631" s="82"/>
      <c r="R1631" s="82"/>
      <c r="S1631" s="82"/>
      <c r="T1631" s="82"/>
      <c r="U1631" s="82"/>
      <c r="V1631" s="82"/>
      <c r="W1631" s="82"/>
      <c r="X1631" s="82"/>
      <c r="Y1631" s="82"/>
      <c r="Z1631" s="82"/>
      <c r="AA1631" s="82"/>
      <c r="AB1631" s="82"/>
      <c r="AC1631" s="82"/>
      <c r="AD1631" s="82"/>
      <c r="AE1631" s="82"/>
      <c r="AF1631" s="82"/>
      <c r="AG1631" s="82"/>
      <c r="AH1631" s="82"/>
      <c r="AI1631" s="82"/>
      <c r="AJ1631" s="82"/>
      <c r="AK1631" s="82"/>
      <c r="AL1631" s="82"/>
      <c r="AM1631" s="82"/>
      <c r="AN1631" s="82"/>
      <c r="AO1631" s="82"/>
      <c r="AP1631" s="82"/>
      <c r="AQ1631" s="82"/>
      <c r="AR1631" s="82"/>
      <c r="AS1631" s="82"/>
      <c r="AT1631" s="82"/>
      <c r="AU1631" s="82"/>
      <c r="AV1631" s="82"/>
      <c r="AW1631" s="82" t="str">
        <f t="shared" si="1"/>
        <v/>
      </c>
      <c r="AX1631" s="83" t="str">
        <f t="array" ref="AX1631">IFERROR(DGET('SBV Import'!A:G,"SBV",{"RSC ID","Tier";B1631,A1631}))</f>
        <v/>
      </c>
      <c r="AY1631" s="82" t="str">
        <f t="shared" si="2"/>
        <v/>
      </c>
      <c r="AZ1631" s="82"/>
      <c r="BA1631" s="84" t="s">
        <v>152</v>
      </c>
      <c r="BB1631" s="84" t="str">
        <f>IFERROR(__xludf.DUMMYFUNCTION("iferror(if(A1631="""",,E1631&gt;=FILTER(Constants!$F$2:$F$10,Constants!$A$2:$A$10=A1631)))"),"")</f>
        <v/>
      </c>
    </row>
    <row r="1632">
      <c r="A1632" s="89"/>
      <c r="B1632" s="87"/>
      <c r="C1632" s="73"/>
      <c r="D1632" s="73"/>
      <c r="E1632" s="82"/>
      <c r="F1632" s="82"/>
      <c r="G1632" s="86"/>
      <c r="H1632" s="86"/>
      <c r="I1632" s="86"/>
      <c r="J1632" s="82"/>
      <c r="K1632" s="82"/>
      <c r="L1632" s="82"/>
      <c r="M1632" s="82"/>
      <c r="N1632" s="82"/>
      <c r="O1632" s="82"/>
      <c r="P1632" s="82"/>
      <c r="Q1632" s="82"/>
      <c r="R1632" s="82"/>
      <c r="S1632" s="82"/>
      <c r="T1632" s="82"/>
      <c r="U1632" s="82"/>
      <c r="V1632" s="82"/>
      <c r="W1632" s="82"/>
      <c r="X1632" s="82"/>
      <c r="Y1632" s="82"/>
      <c r="Z1632" s="82"/>
      <c r="AA1632" s="82"/>
      <c r="AB1632" s="82"/>
      <c r="AC1632" s="82"/>
      <c r="AD1632" s="82"/>
      <c r="AE1632" s="82"/>
      <c r="AF1632" s="82"/>
      <c r="AG1632" s="82"/>
      <c r="AH1632" s="82"/>
      <c r="AI1632" s="82"/>
      <c r="AJ1632" s="82"/>
      <c r="AK1632" s="82"/>
      <c r="AL1632" s="82"/>
      <c r="AM1632" s="82"/>
      <c r="AN1632" s="82"/>
      <c r="AO1632" s="82"/>
      <c r="AP1632" s="82"/>
      <c r="AQ1632" s="82"/>
      <c r="AR1632" s="82"/>
      <c r="AS1632" s="82"/>
      <c r="AT1632" s="82"/>
      <c r="AU1632" s="82"/>
      <c r="AV1632" s="82"/>
      <c r="AW1632" s="82" t="str">
        <f t="shared" si="1"/>
        <v/>
      </c>
      <c r="AX1632" s="83" t="str">
        <f t="array" ref="AX1632">IFERROR(DGET('SBV Import'!A:G,"SBV",{"RSC ID","Tier";B1632,A1632}))</f>
        <v/>
      </c>
      <c r="AY1632" s="82" t="str">
        <f t="shared" si="2"/>
        <v/>
      </c>
      <c r="AZ1632" s="82"/>
      <c r="BA1632" s="84" t="s">
        <v>152</v>
      </c>
      <c r="BB1632" s="84" t="str">
        <f>IFERROR(__xludf.DUMMYFUNCTION("iferror(if(A1632="""",,E1632&gt;=FILTER(Constants!$F$2:$F$10,Constants!$A$2:$A$10=A1632)))"),"")</f>
        <v/>
      </c>
    </row>
    <row r="1633">
      <c r="A1633" s="89"/>
      <c r="B1633" s="87"/>
      <c r="C1633" s="73"/>
      <c r="D1633" s="73"/>
      <c r="E1633" s="82"/>
      <c r="F1633" s="82"/>
      <c r="G1633" s="86"/>
      <c r="H1633" s="86"/>
      <c r="I1633" s="86"/>
      <c r="J1633" s="82"/>
      <c r="K1633" s="82"/>
      <c r="L1633" s="82"/>
      <c r="M1633" s="82"/>
      <c r="N1633" s="82"/>
      <c r="O1633" s="82"/>
      <c r="P1633" s="82"/>
      <c r="Q1633" s="82"/>
      <c r="R1633" s="82"/>
      <c r="S1633" s="82"/>
      <c r="T1633" s="82"/>
      <c r="U1633" s="82"/>
      <c r="V1633" s="82"/>
      <c r="W1633" s="82"/>
      <c r="X1633" s="82"/>
      <c r="Y1633" s="82"/>
      <c r="Z1633" s="82"/>
      <c r="AA1633" s="82"/>
      <c r="AB1633" s="82"/>
      <c r="AC1633" s="82"/>
      <c r="AD1633" s="82"/>
      <c r="AE1633" s="82"/>
      <c r="AF1633" s="82"/>
      <c r="AG1633" s="82"/>
      <c r="AH1633" s="82"/>
      <c r="AI1633" s="82"/>
      <c r="AJ1633" s="82"/>
      <c r="AK1633" s="82"/>
      <c r="AL1633" s="82"/>
      <c r="AM1633" s="82"/>
      <c r="AN1633" s="82"/>
      <c r="AO1633" s="82"/>
      <c r="AP1633" s="82"/>
      <c r="AQ1633" s="82"/>
      <c r="AR1633" s="82"/>
      <c r="AS1633" s="82"/>
      <c r="AT1633" s="82"/>
      <c r="AU1633" s="82"/>
      <c r="AV1633" s="82"/>
      <c r="AW1633" s="82" t="str">
        <f t="shared" si="1"/>
        <v/>
      </c>
      <c r="AX1633" s="83" t="str">
        <f t="array" ref="AX1633">IFERROR(DGET('SBV Import'!A:G,"SBV",{"RSC ID","Tier";B1633,A1633}))</f>
        <v/>
      </c>
      <c r="AY1633" s="82" t="str">
        <f t="shared" si="2"/>
        <v/>
      </c>
      <c r="AZ1633" s="82"/>
      <c r="BA1633" s="84" t="s">
        <v>152</v>
      </c>
      <c r="BB1633" s="84" t="str">
        <f>IFERROR(__xludf.DUMMYFUNCTION("iferror(if(A1633="""",,E1633&gt;=FILTER(Constants!$F$2:$F$10,Constants!$A$2:$A$10=A1633)))"),"")</f>
        <v/>
      </c>
    </row>
    <row r="1634">
      <c r="A1634" s="89"/>
      <c r="B1634" s="87"/>
      <c r="C1634" s="73"/>
      <c r="D1634" s="73"/>
      <c r="E1634" s="82"/>
      <c r="F1634" s="82"/>
      <c r="G1634" s="86"/>
      <c r="H1634" s="86"/>
      <c r="I1634" s="86"/>
      <c r="J1634" s="82"/>
      <c r="K1634" s="82"/>
      <c r="L1634" s="82"/>
      <c r="M1634" s="82"/>
      <c r="N1634" s="82"/>
      <c r="O1634" s="82"/>
      <c r="P1634" s="82"/>
      <c r="Q1634" s="82"/>
      <c r="R1634" s="82"/>
      <c r="S1634" s="82"/>
      <c r="T1634" s="82"/>
      <c r="U1634" s="82"/>
      <c r="V1634" s="82"/>
      <c r="W1634" s="82"/>
      <c r="X1634" s="82"/>
      <c r="Y1634" s="82"/>
      <c r="Z1634" s="82"/>
      <c r="AA1634" s="82"/>
      <c r="AB1634" s="82"/>
      <c r="AC1634" s="82"/>
      <c r="AD1634" s="82"/>
      <c r="AE1634" s="82"/>
      <c r="AF1634" s="82"/>
      <c r="AG1634" s="82"/>
      <c r="AH1634" s="82"/>
      <c r="AI1634" s="82"/>
      <c r="AJ1634" s="82"/>
      <c r="AK1634" s="82"/>
      <c r="AL1634" s="82"/>
      <c r="AM1634" s="82"/>
      <c r="AN1634" s="82"/>
      <c r="AO1634" s="82"/>
      <c r="AP1634" s="82"/>
      <c r="AQ1634" s="82"/>
      <c r="AR1634" s="82"/>
      <c r="AS1634" s="82"/>
      <c r="AT1634" s="82"/>
      <c r="AU1634" s="82"/>
      <c r="AV1634" s="82"/>
      <c r="AW1634" s="82" t="str">
        <f t="shared" si="1"/>
        <v/>
      </c>
      <c r="AX1634" s="83" t="str">
        <f t="array" ref="AX1634">IFERROR(DGET('SBV Import'!A:G,"SBV",{"RSC ID","Tier";B1634,A1634}))</f>
        <v/>
      </c>
      <c r="AY1634" s="82" t="str">
        <f t="shared" si="2"/>
        <v/>
      </c>
      <c r="AZ1634" s="82"/>
      <c r="BA1634" s="84" t="s">
        <v>152</v>
      </c>
      <c r="BB1634" s="84" t="str">
        <f>IFERROR(__xludf.DUMMYFUNCTION("iferror(if(A1634="""",,E1634&gt;=FILTER(Constants!$F$2:$F$10,Constants!$A$2:$A$10=A1634)))"),"")</f>
        <v/>
      </c>
    </row>
    <row r="1635">
      <c r="A1635" s="89"/>
      <c r="B1635" s="87"/>
      <c r="C1635" s="73"/>
      <c r="D1635" s="73"/>
      <c r="E1635" s="82"/>
      <c r="F1635" s="82"/>
      <c r="G1635" s="86"/>
      <c r="H1635" s="86"/>
      <c r="I1635" s="86"/>
      <c r="J1635" s="82"/>
      <c r="K1635" s="82"/>
      <c r="L1635" s="82"/>
      <c r="M1635" s="82"/>
      <c r="N1635" s="82"/>
      <c r="O1635" s="82"/>
      <c r="P1635" s="82"/>
      <c r="Q1635" s="82"/>
      <c r="R1635" s="82"/>
      <c r="S1635" s="82"/>
      <c r="T1635" s="82"/>
      <c r="U1635" s="82"/>
      <c r="V1635" s="82"/>
      <c r="W1635" s="82"/>
      <c r="X1635" s="82"/>
      <c r="Y1635" s="82"/>
      <c r="Z1635" s="82"/>
      <c r="AA1635" s="82"/>
      <c r="AB1635" s="82"/>
      <c r="AC1635" s="82"/>
      <c r="AD1635" s="82"/>
      <c r="AE1635" s="82"/>
      <c r="AF1635" s="82"/>
      <c r="AG1635" s="82"/>
      <c r="AH1635" s="82"/>
      <c r="AI1635" s="82"/>
      <c r="AJ1635" s="82"/>
      <c r="AK1635" s="82"/>
      <c r="AL1635" s="82"/>
      <c r="AM1635" s="82"/>
      <c r="AN1635" s="82"/>
      <c r="AO1635" s="82"/>
      <c r="AP1635" s="82"/>
      <c r="AQ1635" s="82"/>
      <c r="AR1635" s="82"/>
      <c r="AS1635" s="82"/>
      <c r="AT1635" s="82"/>
      <c r="AU1635" s="82"/>
      <c r="AV1635" s="82"/>
      <c r="AW1635" s="82" t="str">
        <f t="shared" si="1"/>
        <v/>
      </c>
      <c r="AX1635" s="83" t="str">
        <f t="array" ref="AX1635">IFERROR(DGET('SBV Import'!A:G,"SBV",{"RSC ID","Tier";B1635,A1635}))</f>
        <v/>
      </c>
      <c r="AY1635" s="82" t="str">
        <f t="shared" si="2"/>
        <v/>
      </c>
      <c r="AZ1635" s="82"/>
      <c r="BA1635" s="84" t="s">
        <v>152</v>
      </c>
      <c r="BB1635" s="84" t="str">
        <f>IFERROR(__xludf.DUMMYFUNCTION("iferror(if(A1635="""",,E1635&gt;=FILTER(Constants!$F$2:$F$10,Constants!$A$2:$A$10=A1635)))"),"")</f>
        <v/>
      </c>
    </row>
    <row r="1636">
      <c r="A1636" s="89"/>
      <c r="B1636" s="87"/>
      <c r="C1636" s="73"/>
      <c r="D1636" s="73"/>
      <c r="E1636" s="82"/>
      <c r="F1636" s="82"/>
      <c r="G1636" s="86"/>
      <c r="H1636" s="86"/>
      <c r="I1636" s="86"/>
      <c r="J1636" s="82"/>
      <c r="K1636" s="82"/>
      <c r="L1636" s="82"/>
      <c r="M1636" s="82"/>
      <c r="N1636" s="82"/>
      <c r="O1636" s="82"/>
      <c r="P1636" s="82"/>
      <c r="Q1636" s="82"/>
      <c r="R1636" s="82"/>
      <c r="S1636" s="82"/>
      <c r="T1636" s="82"/>
      <c r="U1636" s="82"/>
      <c r="V1636" s="82"/>
      <c r="W1636" s="82"/>
      <c r="X1636" s="82"/>
      <c r="Y1636" s="82"/>
      <c r="Z1636" s="82"/>
      <c r="AA1636" s="82"/>
      <c r="AB1636" s="82"/>
      <c r="AC1636" s="82"/>
      <c r="AD1636" s="82"/>
      <c r="AE1636" s="82"/>
      <c r="AF1636" s="82"/>
      <c r="AG1636" s="82"/>
      <c r="AH1636" s="82"/>
      <c r="AI1636" s="82"/>
      <c r="AJ1636" s="82"/>
      <c r="AK1636" s="82"/>
      <c r="AL1636" s="82"/>
      <c r="AM1636" s="82"/>
      <c r="AN1636" s="82"/>
      <c r="AO1636" s="82"/>
      <c r="AP1636" s="82"/>
      <c r="AQ1636" s="82"/>
      <c r="AR1636" s="82"/>
      <c r="AS1636" s="82"/>
      <c r="AT1636" s="82"/>
      <c r="AU1636" s="82"/>
      <c r="AV1636" s="82"/>
      <c r="AW1636" s="82" t="str">
        <f t="shared" si="1"/>
        <v/>
      </c>
      <c r="AX1636" s="83" t="str">
        <f t="array" ref="AX1636">IFERROR(DGET('SBV Import'!A:G,"SBV",{"RSC ID","Tier";B1636,A1636}))</f>
        <v/>
      </c>
      <c r="AY1636" s="82" t="str">
        <f t="shared" si="2"/>
        <v/>
      </c>
      <c r="AZ1636" s="82"/>
      <c r="BA1636" s="84" t="s">
        <v>152</v>
      </c>
      <c r="BB1636" s="84" t="str">
        <f>IFERROR(__xludf.DUMMYFUNCTION("iferror(if(A1636="""",,E1636&gt;=FILTER(Constants!$F$2:$F$10,Constants!$A$2:$A$10=A1636)))"),"")</f>
        <v/>
      </c>
    </row>
    <row r="1637">
      <c r="A1637" s="89"/>
      <c r="B1637" s="87"/>
      <c r="C1637" s="73"/>
      <c r="D1637" s="73"/>
      <c r="E1637" s="82"/>
      <c r="F1637" s="82"/>
      <c r="G1637" s="86"/>
      <c r="H1637" s="86"/>
      <c r="I1637" s="86"/>
      <c r="J1637" s="82"/>
      <c r="K1637" s="82"/>
      <c r="L1637" s="82"/>
      <c r="M1637" s="82"/>
      <c r="N1637" s="82"/>
      <c r="O1637" s="82"/>
      <c r="P1637" s="82"/>
      <c r="Q1637" s="82"/>
      <c r="R1637" s="82"/>
      <c r="S1637" s="82"/>
      <c r="T1637" s="82"/>
      <c r="U1637" s="82"/>
      <c r="V1637" s="82"/>
      <c r="W1637" s="82"/>
      <c r="X1637" s="82"/>
      <c r="Y1637" s="82"/>
      <c r="Z1637" s="82"/>
      <c r="AA1637" s="82"/>
      <c r="AB1637" s="82"/>
      <c r="AC1637" s="82"/>
      <c r="AD1637" s="82"/>
      <c r="AE1637" s="82"/>
      <c r="AF1637" s="82"/>
      <c r="AG1637" s="82"/>
      <c r="AH1637" s="82"/>
      <c r="AI1637" s="82"/>
      <c r="AJ1637" s="82"/>
      <c r="AK1637" s="82"/>
      <c r="AL1637" s="82"/>
      <c r="AM1637" s="82"/>
      <c r="AN1637" s="82"/>
      <c r="AO1637" s="82"/>
      <c r="AP1637" s="82"/>
      <c r="AQ1637" s="82"/>
      <c r="AR1637" s="82"/>
      <c r="AS1637" s="82"/>
      <c r="AT1637" s="82"/>
      <c r="AU1637" s="82"/>
      <c r="AV1637" s="82"/>
      <c r="AW1637" s="82" t="str">
        <f t="shared" si="1"/>
        <v/>
      </c>
      <c r="AX1637" s="83" t="str">
        <f t="array" ref="AX1637">IFERROR(DGET('SBV Import'!A:G,"SBV",{"RSC ID","Tier";B1637,A1637}))</f>
        <v/>
      </c>
      <c r="AY1637" s="82" t="str">
        <f t="shared" si="2"/>
        <v/>
      </c>
      <c r="AZ1637" s="82"/>
      <c r="BA1637" s="84" t="s">
        <v>152</v>
      </c>
      <c r="BB1637" s="84" t="str">
        <f>IFERROR(__xludf.DUMMYFUNCTION("iferror(if(A1637="""",,E1637&gt;=FILTER(Constants!$F$2:$F$10,Constants!$A$2:$A$10=A1637)))"),"")</f>
        <v/>
      </c>
    </row>
    <row r="1638">
      <c r="A1638" s="89"/>
      <c r="B1638" s="87"/>
      <c r="C1638" s="73"/>
      <c r="D1638" s="73"/>
      <c r="E1638" s="82"/>
      <c r="F1638" s="82"/>
      <c r="G1638" s="86"/>
      <c r="H1638" s="86"/>
      <c r="I1638" s="86"/>
      <c r="J1638" s="82"/>
      <c r="K1638" s="82"/>
      <c r="L1638" s="82"/>
      <c r="M1638" s="82"/>
      <c r="N1638" s="82"/>
      <c r="O1638" s="82"/>
      <c r="P1638" s="82"/>
      <c r="Q1638" s="82"/>
      <c r="R1638" s="82"/>
      <c r="S1638" s="82"/>
      <c r="T1638" s="82"/>
      <c r="U1638" s="82"/>
      <c r="V1638" s="82"/>
      <c r="W1638" s="82"/>
      <c r="X1638" s="82"/>
      <c r="Y1638" s="82"/>
      <c r="Z1638" s="82"/>
      <c r="AA1638" s="82"/>
      <c r="AB1638" s="82"/>
      <c r="AC1638" s="82"/>
      <c r="AD1638" s="82"/>
      <c r="AE1638" s="82"/>
      <c r="AF1638" s="82"/>
      <c r="AG1638" s="82"/>
      <c r="AH1638" s="82"/>
      <c r="AI1638" s="82"/>
      <c r="AJ1638" s="82"/>
      <c r="AK1638" s="82"/>
      <c r="AL1638" s="82"/>
      <c r="AM1638" s="82"/>
      <c r="AN1638" s="82"/>
      <c r="AO1638" s="82"/>
      <c r="AP1638" s="82"/>
      <c r="AQ1638" s="82"/>
      <c r="AR1638" s="82"/>
      <c r="AS1638" s="82"/>
      <c r="AT1638" s="82"/>
      <c r="AU1638" s="82"/>
      <c r="AV1638" s="82"/>
      <c r="AW1638" s="82" t="str">
        <f t="shared" si="1"/>
        <v/>
      </c>
      <c r="AX1638" s="83" t="str">
        <f t="array" ref="AX1638">IFERROR(DGET('SBV Import'!A:G,"SBV",{"RSC ID","Tier";B1638,A1638}))</f>
        <v/>
      </c>
      <c r="AY1638" s="82" t="str">
        <f t="shared" si="2"/>
        <v/>
      </c>
      <c r="AZ1638" s="82"/>
      <c r="BA1638" s="84" t="s">
        <v>152</v>
      </c>
      <c r="BB1638" s="84" t="str">
        <f>IFERROR(__xludf.DUMMYFUNCTION("iferror(if(A1638="""",,E1638&gt;=FILTER(Constants!$F$2:$F$10,Constants!$A$2:$A$10=A1638)))"),"")</f>
        <v/>
      </c>
    </row>
    <row r="1639">
      <c r="A1639" s="89"/>
      <c r="B1639" s="87"/>
      <c r="C1639" s="73"/>
      <c r="D1639" s="73"/>
      <c r="E1639" s="82"/>
      <c r="F1639" s="82"/>
      <c r="G1639" s="86"/>
      <c r="H1639" s="86"/>
      <c r="I1639" s="86"/>
      <c r="J1639" s="82"/>
      <c r="K1639" s="82"/>
      <c r="L1639" s="82"/>
      <c r="M1639" s="82"/>
      <c r="N1639" s="82"/>
      <c r="O1639" s="82"/>
      <c r="P1639" s="82"/>
      <c r="Q1639" s="82"/>
      <c r="R1639" s="82"/>
      <c r="S1639" s="82"/>
      <c r="T1639" s="82"/>
      <c r="U1639" s="82"/>
      <c r="V1639" s="82"/>
      <c r="W1639" s="82"/>
      <c r="X1639" s="82"/>
      <c r="Y1639" s="82"/>
      <c r="Z1639" s="82"/>
      <c r="AA1639" s="82"/>
      <c r="AB1639" s="82"/>
      <c r="AC1639" s="82"/>
      <c r="AD1639" s="82"/>
      <c r="AE1639" s="82"/>
      <c r="AF1639" s="82"/>
      <c r="AG1639" s="82"/>
      <c r="AH1639" s="82"/>
      <c r="AI1639" s="82"/>
      <c r="AJ1639" s="82"/>
      <c r="AK1639" s="82"/>
      <c r="AL1639" s="82"/>
      <c r="AM1639" s="82"/>
      <c r="AN1639" s="82"/>
      <c r="AO1639" s="82"/>
      <c r="AP1639" s="82"/>
      <c r="AQ1639" s="82"/>
      <c r="AR1639" s="82"/>
      <c r="AS1639" s="82"/>
      <c r="AT1639" s="82"/>
      <c r="AU1639" s="82"/>
      <c r="AV1639" s="82"/>
      <c r="AW1639" s="82" t="str">
        <f t="shared" si="1"/>
        <v/>
      </c>
      <c r="AX1639" s="83" t="str">
        <f t="array" ref="AX1639">IFERROR(DGET('SBV Import'!A:G,"SBV",{"RSC ID","Tier";B1639,A1639}))</f>
        <v/>
      </c>
      <c r="AY1639" s="82" t="str">
        <f t="shared" si="2"/>
        <v/>
      </c>
      <c r="AZ1639" s="82"/>
      <c r="BA1639" s="84" t="s">
        <v>152</v>
      </c>
      <c r="BB1639" s="84" t="str">
        <f>IFERROR(__xludf.DUMMYFUNCTION("iferror(if(A1639="""",,E1639&gt;=FILTER(Constants!$F$2:$F$10,Constants!$A$2:$A$10=A1639)))"),"")</f>
        <v/>
      </c>
    </row>
    <row r="1640">
      <c r="A1640" s="89"/>
      <c r="B1640" s="87"/>
      <c r="C1640" s="73"/>
      <c r="D1640" s="73"/>
      <c r="E1640" s="82"/>
      <c r="F1640" s="82"/>
      <c r="G1640" s="86"/>
      <c r="H1640" s="86"/>
      <c r="I1640" s="86"/>
      <c r="J1640" s="82"/>
      <c r="K1640" s="82"/>
      <c r="L1640" s="82"/>
      <c r="M1640" s="82"/>
      <c r="N1640" s="82"/>
      <c r="O1640" s="82"/>
      <c r="P1640" s="82"/>
      <c r="Q1640" s="82"/>
      <c r="R1640" s="82"/>
      <c r="S1640" s="82"/>
      <c r="T1640" s="82"/>
      <c r="U1640" s="82"/>
      <c r="V1640" s="82"/>
      <c r="W1640" s="82"/>
      <c r="X1640" s="82"/>
      <c r="Y1640" s="82"/>
      <c r="Z1640" s="82"/>
      <c r="AA1640" s="82"/>
      <c r="AB1640" s="82"/>
      <c r="AC1640" s="82"/>
      <c r="AD1640" s="82"/>
      <c r="AE1640" s="82"/>
      <c r="AF1640" s="82"/>
      <c r="AG1640" s="82"/>
      <c r="AH1640" s="82"/>
      <c r="AI1640" s="82"/>
      <c r="AJ1640" s="82"/>
      <c r="AK1640" s="82"/>
      <c r="AL1640" s="82"/>
      <c r="AM1640" s="82"/>
      <c r="AN1640" s="82"/>
      <c r="AO1640" s="82"/>
      <c r="AP1640" s="82"/>
      <c r="AQ1640" s="82"/>
      <c r="AR1640" s="82"/>
      <c r="AS1640" s="82"/>
      <c r="AT1640" s="82"/>
      <c r="AU1640" s="82"/>
      <c r="AV1640" s="82"/>
      <c r="AW1640" s="82" t="str">
        <f t="shared" si="1"/>
        <v/>
      </c>
      <c r="AX1640" s="83" t="str">
        <f t="array" ref="AX1640">IFERROR(DGET('SBV Import'!A:G,"SBV",{"RSC ID","Tier";B1640,A1640}))</f>
        <v/>
      </c>
      <c r="AY1640" s="82" t="str">
        <f t="shared" si="2"/>
        <v/>
      </c>
      <c r="AZ1640" s="82"/>
      <c r="BA1640" s="84" t="s">
        <v>152</v>
      </c>
      <c r="BB1640" s="84" t="str">
        <f>IFERROR(__xludf.DUMMYFUNCTION("iferror(if(A1640="""",,E1640&gt;=FILTER(Constants!$F$2:$F$10,Constants!$A$2:$A$10=A1640)))"),"")</f>
        <v/>
      </c>
    </row>
    <row r="1641">
      <c r="A1641" s="89"/>
      <c r="B1641" s="87"/>
      <c r="C1641" s="73"/>
      <c r="D1641" s="73"/>
      <c r="E1641" s="82"/>
      <c r="F1641" s="82"/>
      <c r="G1641" s="86"/>
      <c r="H1641" s="86"/>
      <c r="I1641" s="86"/>
      <c r="J1641" s="82"/>
      <c r="K1641" s="82"/>
      <c r="L1641" s="82"/>
      <c r="M1641" s="82"/>
      <c r="N1641" s="82"/>
      <c r="O1641" s="82"/>
      <c r="P1641" s="82"/>
      <c r="Q1641" s="82"/>
      <c r="R1641" s="82"/>
      <c r="S1641" s="82"/>
      <c r="T1641" s="82"/>
      <c r="U1641" s="82"/>
      <c r="V1641" s="82"/>
      <c r="W1641" s="82"/>
      <c r="X1641" s="82"/>
      <c r="Y1641" s="82"/>
      <c r="Z1641" s="82"/>
      <c r="AA1641" s="82"/>
      <c r="AB1641" s="82"/>
      <c r="AC1641" s="82"/>
      <c r="AD1641" s="82"/>
      <c r="AE1641" s="82"/>
      <c r="AF1641" s="82"/>
      <c r="AG1641" s="82"/>
      <c r="AH1641" s="82"/>
      <c r="AI1641" s="82"/>
      <c r="AJ1641" s="82"/>
      <c r="AK1641" s="82"/>
      <c r="AL1641" s="82"/>
      <c r="AM1641" s="82"/>
      <c r="AN1641" s="82"/>
      <c r="AO1641" s="82"/>
      <c r="AP1641" s="82"/>
      <c r="AQ1641" s="82"/>
      <c r="AR1641" s="82"/>
      <c r="AS1641" s="82"/>
      <c r="AT1641" s="82"/>
      <c r="AU1641" s="82"/>
      <c r="AV1641" s="82"/>
      <c r="AW1641" s="82" t="str">
        <f t="shared" si="1"/>
        <v/>
      </c>
      <c r="AX1641" s="83" t="str">
        <f t="array" ref="AX1641">IFERROR(DGET('SBV Import'!A:G,"SBV",{"RSC ID","Tier";B1641,A1641}))</f>
        <v/>
      </c>
      <c r="AY1641" s="82" t="str">
        <f t="shared" si="2"/>
        <v/>
      </c>
      <c r="AZ1641" s="82"/>
      <c r="BA1641" s="84" t="s">
        <v>152</v>
      </c>
      <c r="BB1641" s="84" t="str">
        <f>IFERROR(__xludf.DUMMYFUNCTION("iferror(if(A1641="""",,E1641&gt;=FILTER(Constants!$F$2:$F$10,Constants!$A$2:$A$10=A1641)))"),"")</f>
        <v/>
      </c>
    </row>
    <row r="1642">
      <c r="A1642" s="89"/>
      <c r="B1642" s="87"/>
      <c r="C1642" s="73"/>
      <c r="D1642" s="73"/>
      <c r="E1642" s="82"/>
      <c r="F1642" s="82"/>
      <c r="G1642" s="86"/>
      <c r="H1642" s="86"/>
      <c r="I1642" s="86"/>
      <c r="J1642" s="82"/>
      <c r="K1642" s="82"/>
      <c r="L1642" s="82"/>
      <c r="M1642" s="82"/>
      <c r="N1642" s="82"/>
      <c r="O1642" s="82"/>
      <c r="P1642" s="82"/>
      <c r="Q1642" s="82"/>
      <c r="R1642" s="82"/>
      <c r="S1642" s="82"/>
      <c r="T1642" s="82"/>
      <c r="U1642" s="82"/>
      <c r="V1642" s="82"/>
      <c r="W1642" s="82"/>
      <c r="X1642" s="82"/>
      <c r="Y1642" s="82"/>
      <c r="Z1642" s="82"/>
      <c r="AA1642" s="82"/>
      <c r="AB1642" s="82"/>
      <c r="AC1642" s="82"/>
      <c r="AD1642" s="82"/>
      <c r="AE1642" s="82"/>
      <c r="AF1642" s="82"/>
      <c r="AG1642" s="82"/>
      <c r="AH1642" s="82"/>
      <c r="AI1642" s="82"/>
      <c r="AJ1642" s="82"/>
      <c r="AK1642" s="82"/>
      <c r="AL1642" s="82"/>
      <c r="AM1642" s="82"/>
      <c r="AN1642" s="82"/>
      <c r="AO1642" s="82"/>
      <c r="AP1642" s="82"/>
      <c r="AQ1642" s="82"/>
      <c r="AR1642" s="82"/>
      <c r="AS1642" s="82"/>
      <c r="AT1642" s="82"/>
      <c r="AU1642" s="82"/>
      <c r="AV1642" s="82"/>
      <c r="AW1642" s="82" t="str">
        <f t="shared" si="1"/>
        <v/>
      </c>
      <c r="AX1642" s="83" t="str">
        <f t="array" ref="AX1642">IFERROR(DGET('SBV Import'!A:G,"SBV",{"RSC ID","Tier";B1642,A1642}))</f>
        <v/>
      </c>
      <c r="AY1642" s="82" t="str">
        <f t="shared" si="2"/>
        <v/>
      </c>
      <c r="AZ1642" s="82"/>
      <c r="BA1642" s="84" t="s">
        <v>152</v>
      </c>
      <c r="BB1642" s="84" t="str">
        <f>IFERROR(__xludf.DUMMYFUNCTION("iferror(if(A1642="""",,E1642&gt;=FILTER(Constants!$F$2:$F$10,Constants!$A$2:$A$10=A1642)))"),"")</f>
        <v/>
      </c>
    </row>
    <row r="1643">
      <c r="A1643" s="89"/>
      <c r="B1643" s="87"/>
      <c r="C1643" s="73"/>
      <c r="D1643" s="73"/>
      <c r="E1643" s="82"/>
      <c r="F1643" s="82"/>
      <c r="G1643" s="86"/>
      <c r="H1643" s="86"/>
      <c r="I1643" s="86"/>
      <c r="J1643" s="82"/>
      <c r="K1643" s="82"/>
      <c r="L1643" s="82"/>
      <c r="M1643" s="82"/>
      <c r="N1643" s="82"/>
      <c r="O1643" s="82"/>
      <c r="P1643" s="82"/>
      <c r="Q1643" s="82"/>
      <c r="R1643" s="82"/>
      <c r="S1643" s="82"/>
      <c r="T1643" s="82"/>
      <c r="U1643" s="82"/>
      <c r="V1643" s="82"/>
      <c r="W1643" s="82"/>
      <c r="X1643" s="82"/>
      <c r="Y1643" s="82"/>
      <c r="Z1643" s="82"/>
      <c r="AA1643" s="82"/>
      <c r="AB1643" s="82"/>
      <c r="AC1643" s="82"/>
      <c r="AD1643" s="82"/>
      <c r="AE1643" s="82"/>
      <c r="AF1643" s="82"/>
      <c r="AG1643" s="82"/>
      <c r="AH1643" s="82"/>
      <c r="AI1643" s="82"/>
      <c r="AJ1643" s="82"/>
      <c r="AK1643" s="82"/>
      <c r="AL1643" s="82"/>
      <c r="AM1643" s="82"/>
      <c r="AN1643" s="82"/>
      <c r="AO1643" s="82"/>
      <c r="AP1643" s="82"/>
      <c r="AQ1643" s="82"/>
      <c r="AR1643" s="82"/>
      <c r="AS1643" s="82"/>
      <c r="AT1643" s="82"/>
      <c r="AU1643" s="82"/>
      <c r="AV1643" s="82"/>
      <c r="AW1643" s="82" t="str">
        <f t="shared" si="1"/>
        <v/>
      </c>
      <c r="AX1643" s="83" t="str">
        <f t="array" ref="AX1643">IFERROR(DGET('SBV Import'!A:G,"SBV",{"RSC ID","Tier";B1643,A1643}))</f>
        <v/>
      </c>
      <c r="AY1643" s="82" t="str">
        <f t="shared" si="2"/>
        <v/>
      </c>
      <c r="AZ1643" s="82"/>
      <c r="BA1643" s="84" t="s">
        <v>152</v>
      </c>
      <c r="BB1643" s="84" t="str">
        <f>IFERROR(__xludf.DUMMYFUNCTION("iferror(if(A1643="""",,E1643&gt;=FILTER(Constants!$F$2:$F$10,Constants!$A$2:$A$10=A1643)))"),"")</f>
        <v/>
      </c>
    </row>
    <row r="1644">
      <c r="A1644" s="89"/>
      <c r="B1644" s="87"/>
      <c r="C1644" s="73"/>
      <c r="D1644" s="73"/>
      <c r="E1644" s="82"/>
      <c r="F1644" s="82"/>
      <c r="G1644" s="86"/>
      <c r="H1644" s="86"/>
      <c r="I1644" s="86"/>
      <c r="J1644" s="82"/>
      <c r="K1644" s="82"/>
      <c r="L1644" s="82"/>
      <c r="M1644" s="82"/>
      <c r="N1644" s="82"/>
      <c r="O1644" s="82"/>
      <c r="P1644" s="82"/>
      <c r="Q1644" s="82"/>
      <c r="R1644" s="82"/>
      <c r="S1644" s="82"/>
      <c r="T1644" s="82"/>
      <c r="U1644" s="82"/>
      <c r="V1644" s="82"/>
      <c r="W1644" s="82"/>
      <c r="X1644" s="82"/>
      <c r="Y1644" s="82"/>
      <c r="Z1644" s="82"/>
      <c r="AA1644" s="82"/>
      <c r="AB1644" s="82"/>
      <c r="AC1644" s="82"/>
      <c r="AD1644" s="82"/>
      <c r="AE1644" s="82"/>
      <c r="AF1644" s="82"/>
      <c r="AG1644" s="82"/>
      <c r="AH1644" s="82"/>
      <c r="AI1644" s="82"/>
      <c r="AJ1644" s="82"/>
      <c r="AK1644" s="82"/>
      <c r="AL1644" s="82"/>
      <c r="AM1644" s="82"/>
      <c r="AN1644" s="82"/>
      <c r="AO1644" s="82"/>
      <c r="AP1644" s="82"/>
      <c r="AQ1644" s="82"/>
      <c r="AR1644" s="82"/>
      <c r="AS1644" s="82"/>
      <c r="AT1644" s="82"/>
      <c r="AU1644" s="82"/>
      <c r="AV1644" s="82"/>
      <c r="AW1644" s="82" t="str">
        <f t="shared" si="1"/>
        <v/>
      </c>
      <c r="AX1644" s="83" t="str">
        <f t="array" ref="AX1644">IFERROR(DGET('SBV Import'!A:G,"SBV",{"RSC ID","Tier";B1644,A1644}))</f>
        <v/>
      </c>
      <c r="AY1644" s="82" t="str">
        <f t="shared" si="2"/>
        <v/>
      </c>
      <c r="AZ1644" s="82"/>
      <c r="BA1644" s="84" t="s">
        <v>152</v>
      </c>
      <c r="BB1644" s="84" t="str">
        <f>IFERROR(__xludf.DUMMYFUNCTION("iferror(if(A1644="""",,E1644&gt;=FILTER(Constants!$F$2:$F$10,Constants!$A$2:$A$10=A1644)))"),"")</f>
        <v/>
      </c>
    </row>
    <row r="1645">
      <c r="A1645" s="89"/>
      <c r="B1645" s="87"/>
      <c r="C1645" s="73"/>
      <c r="D1645" s="73"/>
      <c r="E1645" s="82"/>
      <c r="F1645" s="82"/>
      <c r="G1645" s="86"/>
      <c r="H1645" s="86"/>
      <c r="I1645" s="86"/>
      <c r="J1645" s="82"/>
      <c r="K1645" s="82"/>
      <c r="L1645" s="82"/>
      <c r="M1645" s="82"/>
      <c r="N1645" s="82"/>
      <c r="O1645" s="82"/>
      <c r="P1645" s="82"/>
      <c r="Q1645" s="82"/>
      <c r="R1645" s="82"/>
      <c r="S1645" s="82"/>
      <c r="T1645" s="82"/>
      <c r="U1645" s="82"/>
      <c r="V1645" s="82"/>
      <c r="W1645" s="82"/>
      <c r="X1645" s="82"/>
      <c r="Y1645" s="82"/>
      <c r="Z1645" s="82"/>
      <c r="AA1645" s="82"/>
      <c r="AB1645" s="82"/>
      <c r="AC1645" s="82"/>
      <c r="AD1645" s="82"/>
      <c r="AE1645" s="82"/>
      <c r="AF1645" s="82"/>
      <c r="AG1645" s="82"/>
      <c r="AH1645" s="82"/>
      <c r="AI1645" s="82"/>
      <c r="AJ1645" s="82"/>
      <c r="AK1645" s="82"/>
      <c r="AL1645" s="82"/>
      <c r="AM1645" s="82"/>
      <c r="AN1645" s="82"/>
      <c r="AO1645" s="82"/>
      <c r="AP1645" s="82"/>
      <c r="AQ1645" s="82"/>
      <c r="AR1645" s="82"/>
      <c r="AS1645" s="82"/>
      <c r="AT1645" s="82"/>
      <c r="AU1645" s="82"/>
      <c r="AV1645" s="82"/>
      <c r="AW1645" s="82" t="str">
        <f t="shared" si="1"/>
        <v/>
      </c>
      <c r="AX1645" s="83" t="str">
        <f t="array" ref="AX1645">IFERROR(DGET('SBV Import'!A:G,"SBV",{"RSC ID","Tier";B1645,A1645}))</f>
        <v/>
      </c>
      <c r="AY1645" s="82" t="str">
        <f t="shared" si="2"/>
        <v/>
      </c>
      <c r="AZ1645" s="82"/>
      <c r="BA1645" s="84" t="s">
        <v>152</v>
      </c>
      <c r="BB1645" s="84" t="str">
        <f>IFERROR(__xludf.DUMMYFUNCTION("iferror(if(A1645="""",,E1645&gt;=FILTER(Constants!$F$2:$F$10,Constants!$A$2:$A$10=A1645)))"),"")</f>
        <v/>
      </c>
    </row>
    <row r="1646">
      <c r="A1646" s="89"/>
      <c r="B1646" s="87"/>
      <c r="C1646" s="73"/>
      <c r="D1646" s="73"/>
      <c r="E1646" s="82"/>
      <c r="F1646" s="82"/>
      <c r="G1646" s="86"/>
      <c r="H1646" s="86"/>
      <c r="I1646" s="86"/>
      <c r="J1646" s="82"/>
      <c r="K1646" s="82"/>
      <c r="L1646" s="82"/>
      <c r="M1646" s="82"/>
      <c r="N1646" s="82"/>
      <c r="O1646" s="82"/>
      <c r="P1646" s="82"/>
      <c r="Q1646" s="82"/>
      <c r="R1646" s="82"/>
      <c r="S1646" s="82"/>
      <c r="T1646" s="82"/>
      <c r="U1646" s="82"/>
      <c r="V1646" s="82"/>
      <c r="W1646" s="82"/>
      <c r="X1646" s="82"/>
      <c r="Y1646" s="82"/>
      <c r="Z1646" s="82"/>
      <c r="AA1646" s="82"/>
      <c r="AB1646" s="82"/>
      <c r="AC1646" s="82"/>
      <c r="AD1646" s="82"/>
      <c r="AE1646" s="82"/>
      <c r="AF1646" s="82"/>
      <c r="AG1646" s="82"/>
      <c r="AH1646" s="82"/>
      <c r="AI1646" s="82"/>
      <c r="AJ1646" s="82"/>
      <c r="AK1646" s="82"/>
      <c r="AL1646" s="82"/>
      <c r="AM1646" s="82"/>
      <c r="AN1646" s="82"/>
      <c r="AO1646" s="82"/>
      <c r="AP1646" s="82"/>
      <c r="AQ1646" s="82"/>
      <c r="AR1646" s="82"/>
      <c r="AS1646" s="82"/>
      <c r="AT1646" s="82"/>
      <c r="AU1646" s="82"/>
      <c r="AV1646" s="82"/>
      <c r="AW1646" s="82" t="str">
        <f t="shared" si="1"/>
        <v/>
      </c>
      <c r="AX1646" s="83" t="str">
        <f t="array" ref="AX1646">IFERROR(DGET('SBV Import'!A:G,"SBV",{"RSC ID","Tier";B1646,A1646}))</f>
        <v/>
      </c>
      <c r="AY1646" s="82" t="str">
        <f t="shared" si="2"/>
        <v/>
      </c>
      <c r="AZ1646" s="82"/>
      <c r="BA1646" s="84" t="s">
        <v>152</v>
      </c>
      <c r="BB1646" s="84" t="str">
        <f>IFERROR(__xludf.DUMMYFUNCTION("iferror(if(A1646="""",,E1646&gt;=FILTER(Constants!$F$2:$F$10,Constants!$A$2:$A$10=A1646)))"),"")</f>
        <v/>
      </c>
    </row>
    <row r="1647">
      <c r="A1647" s="89"/>
      <c r="B1647" s="87"/>
      <c r="C1647" s="73"/>
      <c r="D1647" s="73"/>
      <c r="E1647" s="82"/>
      <c r="F1647" s="82"/>
      <c r="G1647" s="86"/>
      <c r="H1647" s="86"/>
      <c r="I1647" s="86"/>
      <c r="J1647" s="82"/>
      <c r="K1647" s="82"/>
      <c r="L1647" s="82"/>
      <c r="M1647" s="82"/>
      <c r="N1647" s="82"/>
      <c r="O1647" s="82"/>
      <c r="P1647" s="82"/>
      <c r="Q1647" s="82"/>
      <c r="R1647" s="82"/>
      <c r="S1647" s="82"/>
      <c r="T1647" s="82"/>
      <c r="U1647" s="82"/>
      <c r="V1647" s="82"/>
      <c r="W1647" s="82"/>
      <c r="X1647" s="82"/>
      <c r="Y1647" s="82"/>
      <c r="Z1647" s="82"/>
      <c r="AA1647" s="82"/>
      <c r="AB1647" s="82"/>
      <c r="AC1647" s="82"/>
      <c r="AD1647" s="82"/>
      <c r="AE1647" s="82"/>
      <c r="AF1647" s="82"/>
      <c r="AG1647" s="82"/>
      <c r="AH1647" s="82"/>
      <c r="AI1647" s="82"/>
      <c r="AJ1647" s="82"/>
      <c r="AK1647" s="82"/>
      <c r="AL1647" s="82"/>
      <c r="AM1647" s="82"/>
      <c r="AN1647" s="82"/>
      <c r="AO1647" s="82"/>
      <c r="AP1647" s="82"/>
      <c r="AQ1647" s="82"/>
      <c r="AR1647" s="82"/>
      <c r="AS1647" s="82"/>
      <c r="AT1647" s="82"/>
      <c r="AU1647" s="82"/>
      <c r="AV1647" s="82"/>
      <c r="AW1647" s="82" t="str">
        <f t="shared" si="1"/>
        <v/>
      </c>
      <c r="AX1647" s="83" t="str">
        <f t="array" ref="AX1647">IFERROR(DGET('SBV Import'!A:G,"SBV",{"RSC ID","Tier";B1647,A1647}))</f>
        <v/>
      </c>
      <c r="AY1647" s="82" t="str">
        <f t="shared" si="2"/>
        <v/>
      </c>
      <c r="AZ1647" s="82"/>
      <c r="BA1647" s="84" t="s">
        <v>152</v>
      </c>
      <c r="BB1647" s="84" t="str">
        <f>IFERROR(__xludf.DUMMYFUNCTION("iferror(if(A1647="""",,E1647&gt;=FILTER(Constants!$F$2:$F$10,Constants!$A$2:$A$10=A1647)))"),"")</f>
        <v/>
      </c>
    </row>
    <row r="1648">
      <c r="A1648" s="89"/>
      <c r="B1648" s="87"/>
      <c r="C1648" s="73"/>
      <c r="D1648" s="73"/>
      <c r="E1648" s="82"/>
      <c r="F1648" s="82"/>
      <c r="G1648" s="86"/>
      <c r="H1648" s="86"/>
      <c r="I1648" s="86"/>
      <c r="J1648" s="82"/>
      <c r="K1648" s="82"/>
      <c r="L1648" s="82"/>
      <c r="M1648" s="82"/>
      <c r="N1648" s="82"/>
      <c r="O1648" s="82"/>
      <c r="P1648" s="82"/>
      <c r="Q1648" s="82"/>
      <c r="R1648" s="82"/>
      <c r="S1648" s="82"/>
      <c r="T1648" s="82"/>
      <c r="U1648" s="82"/>
      <c r="V1648" s="82"/>
      <c r="W1648" s="82"/>
      <c r="X1648" s="82"/>
      <c r="Y1648" s="82"/>
      <c r="Z1648" s="82"/>
      <c r="AA1648" s="82"/>
      <c r="AB1648" s="82"/>
      <c r="AC1648" s="82"/>
      <c r="AD1648" s="82"/>
      <c r="AE1648" s="82"/>
      <c r="AF1648" s="82"/>
      <c r="AG1648" s="82"/>
      <c r="AH1648" s="82"/>
      <c r="AI1648" s="82"/>
      <c r="AJ1648" s="82"/>
      <c r="AK1648" s="82"/>
      <c r="AL1648" s="82"/>
      <c r="AM1648" s="82"/>
      <c r="AN1648" s="82"/>
      <c r="AO1648" s="82"/>
      <c r="AP1648" s="82"/>
      <c r="AQ1648" s="82"/>
      <c r="AR1648" s="82"/>
      <c r="AS1648" s="82"/>
      <c r="AT1648" s="82"/>
      <c r="AU1648" s="82"/>
      <c r="AV1648" s="82"/>
      <c r="AW1648" s="82" t="str">
        <f t="shared" si="1"/>
        <v/>
      </c>
      <c r="AX1648" s="83" t="str">
        <f t="array" ref="AX1648">IFERROR(DGET('SBV Import'!A:G,"SBV",{"RSC ID","Tier";B1648,A1648}))</f>
        <v/>
      </c>
      <c r="AY1648" s="82" t="str">
        <f t="shared" si="2"/>
        <v/>
      </c>
      <c r="AZ1648" s="82"/>
      <c r="BA1648" s="84" t="s">
        <v>152</v>
      </c>
      <c r="BB1648" s="84" t="str">
        <f>IFERROR(__xludf.DUMMYFUNCTION("iferror(if(A1648="""",,E1648&gt;=FILTER(Constants!$F$2:$F$10,Constants!$A$2:$A$10=A1648)))"),"")</f>
        <v/>
      </c>
    </row>
    <row r="1649">
      <c r="A1649" s="89"/>
      <c r="B1649" s="87"/>
      <c r="C1649" s="73"/>
      <c r="D1649" s="73"/>
      <c r="E1649" s="82"/>
      <c r="F1649" s="82"/>
      <c r="G1649" s="86"/>
      <c r="H1649" s="86"/>
      <c r="I1649" s="86"/>
      <c r="J1649" s="82"/>
      <c r="K1649" s="82"/>
      <c r="L1649" s="82"/>
      <c r="M1649" s="82"/>
      <c r="N1649" s="82"/>
      <c r="O1649" s="82"/>
      <c r="P1649" s="82"/>
      <c r="Q1649" s="82"/>
      <c r="R1649" s="82"/>
      <c r="S1649" s="82"/>
      <c r="T1649" s="82"/>
      <c r="U1649" s="82"/>
      <c r="V1649" s="82"/>
      <c r="W1649" s="82"/>
      <c r="X1649" s="82"/>
      <c r="Y1649" s="82"/>
      <c r="Z1649" s="82"/>
      <c r="AA1649" s="82"/>
      <c r="AB1649" s="82"/>
      <c r="AC1649" s="82"/>
      <c r="AD1649" s="82"/>
      <c r="AE1649" s="82"/>
      <c r="AF1649" s="82"/>
      <c r="AG1649" s="82"/>
      <c r="AH1649" s="82"/>
      <c r="AI1649" s="82"/>
      <c r="AJ1649" s="82"/>
      <c r="AK1649" s="82"/>
      <c r="AL1649" s="82"/>
      <c r="AM1649" s="82"/>
      <c r="AN1649" s="82"/>
      <c r="AO1649" s="82"/>
      <c r="AP1649" s="82"/>
      <c r="AQ1649" s="82"/>
      <c r="AR1649" s="82"/>
      <c r="AS1649" s="82"/>
      <c r="AT1649" s="82"/>
      <c r="AU1649" s="82"/>
      <c r="AV1649" s="82"/>
      <c r="AW1649" s="82" t="str">
        <f t="shared" si="1"/>
        <v/>
      </c>
      <c r="AX1649" s="83" t="str">
        <f t="array" ref="AX1649">IFERROR(DGET('SBV Import'!A:G,"SBV",{"RSC ID","Tier";B1649,A1649}))</f>
        <v/>
      </c>
      <c r="AY1649" s="82" t="str">
        <f t="shared" si="2"/>
        <v/>
      </c>
      <c r="AZ1649" s="82"/>
      <c r="BA1649" s="84" t="s">
        <v>152</v>
      </c>
      <c r="BB1649" s="84" t="str">
        <f>IFERROR(__xludf.DUMMYFUNCTION("iferror(if(A1649="""",,E1649&gt;=FILTER(Constants!$F$2:$F$10,Constants!$A$2:$A$10=A1649)))"),"")</f>
        <v/>
      </c>
    </row>
    <row r="1650">
      <c r="A1650" s="89"/>
      <c r="B1650" s="87"/>
      <c r="C1650" s="73"/>
      <c r="D1650" s="73"/>
      <c r="E1650" s="82"/>
      <c r="F1650" s="82"/>
      <c r="G1650" s="86"/>
      <c r="H1650" s="86"/>
      <c r="I1650" s="86"/>
      <c r="J1650" s="82"/>
      <c r="K1650" s="82"/>
      <c r="L1650" s="82"/>
      <c r="M1650" s="82"/>
      <c r="N1650" s="82"/>
      <c r="O1650" s="82"/>
      <c r="P1650" s="82"/>
      <c r="Q1650" s="82"/>
      <c r="R1650" s="82"/>
      <c r="S1650" s="82"/>
      <c r="T1650" s="82"/>
      <c r="U1650" s="82"/>
      <c r="V1650" s="82"/>
      <c r="W1650" s="82"/>
      <c r="X1650" s="82"/>
      <c r="Y1650" s="82"/>
      <c r="Z1650" s="82"/>
      <c r="AA1650" s="82"/>
      <c r="AB1650" s="82"/>
      <c r="AC1650" s="82"/>
      <c r="AD1650" s="82"/>
      <c r="AE1650" s="82"/>
      <c r="AF1650" s="82"/>
      <c r="AG1650" s="82"/>
      <c r="AH1650" s="82"/>
      <c r="AI1650" s="82"/>
      <c r="AJ1650" s="82"/>
      <c r="AK1650" s="82"/>
      <c r="AL1650" s="82"/>
      <c r="AM1650" s="82"/>
      <c r="AN1650" s="82"/>
      <c r="AO1650" s="82"/>
      <c r="AP1650" s="82"/>
      <c r="AQ1650" s="82"/>
      <c r="AR1650" s="82"/>
      <c r="AS1650" s="82"/>
      <c r="AT1650" s="82"/>
      <c r="AU1650" s="82"/>
      <c r="AV1650" s="82"/>
      <c r="AW1650" s="82" t="str">
        <f t="shared" si="1"/>
        <v/>
      </c>
      <c r="AX1650" s="83" t="str">
        <f t="array" ref="AX1650">IFERROR(DGET('SBV Import'!A:G,"SBV",{"RSC ID","Tier";B1650,A1650}))</f>
        <v/>
      </c>
      <c r="AY1650" s="82" t="str">
        <f t="shared" si="2"/>
        <v/>
      </c>
      <c r="AZ1650" s="82"/>
      <c r="BA1650" s="84" t="s">
        <v>152</v>
      </c>
      <c r="BB1650" s="84" t="str">
        <f>IFERROR(__xludf.DUMMYFUNCTION("iferror(if(A1650="""",,E1650&gt;=FILTER(Constants!$F$2:$F$10,Constants!$A$2:$A$10=A1650)))"),"")</f>
        <v/>
      </c>
    </row>
    <row r="1651">
      <c r="A1651" s="89"/>
      <c r="B1651" s="87"/>
      <c r="C1651" s="73"/>
      <c r="D1651" s="73"/>
      <c r="E1651" s="82"/>
      <c r="F1651" s="82"/>
      <c r="G1651" s="86"/>
      <c r="H1651" s="86"/>
      <c r="I1651" s="86"/>
      <c r="J1651" s="82"/>
      <c r="K1651" s="82"/>
      <c r="L1651" s="82"/>
      <c r="M1651" s="82"/>
      <c r="N1651" s="82"/>
      <c r="O1651" s="82"/>
      <c r="P1651" s="82"/>
      <c r="Q1651" s="82"/>
      <c r="R1651" s="82"/>
      <c r="S1651" s="82"/>
      <c r="T1651" s="82"/>
      <c r="U1651" s="82"/>
      <c r="V1651" s="82"/>
      <c r="W1651" s="82"/>
      <c r="X1651" s="82"/>
      <c r="Y1651" s="82"/>
      <c r="Z1651" s="82"/>
      <c r="AA1651" s="82"/>
      <c r="AB1651" s="82"/>
      <c r="AC1651" s="82"/>
      <c r="AD1651" s="82"/>
      <c r="AE1651" s="82"/>
      <c r="AF1651" s="82"/>
      <c r="AG1651" s="82"/>
      <c r="AH1651" s="82"/>
      <c r="AI1651" s="82"/>
      <c r="AJ1651" s="82"/>
      <c r="AK1651" s="82"/>
      <c r="AL1651" s="82"/>
      <c r="AM1651" s="82"/>
      <c r="AN1651" s="82"/>
      <c r="AO1651" s="82"/>
      <c r="AP1651" s="82"/>
      <c r="AQ1651" s="82"/>
      <c r="AR1651" s="82"/>
      <c r="AS1651" s="82"/>
      <c r="AT1651" s="82"/>
      <c r="AU1651" s="82"/>
      <c r="AV1651" s="82"/>
      <c r="AW1651" s="82" t="str">
        <f t="shared" si="1"/>
        <v/>
      </c>
      <c r="AX1651" s="83" t="str">
        <f t="array" ref="AX1651">IFERROR(DGET('SBV Import'!A:G,"SBV",{"RSC ID","Tier";B1651,A1651}))</f>
        <v/>
      </c>
      <c r="AY1651" s="82" t="str">
        <f t="shared" si="2"/>
        <v/>
      </c>
      <c r="AZ1651" s="82"/>
      <c r="BA1651" s="84" t="s">
        <v>152</v>
      </c>
      <c r="BB1651" s="84" t="str">
        <f>IFERROR(__xludf.DUMMYFUNCTION("iferror(if(A1651="""",,E1651&gt;=FILTER(Constants!$F$2:$F$10,Constants!$A$2:$A$10=A1651)))"),"")</f>
        <v/>
      </c>
    </row>
    <row r="1652">
      <c r="A1652" s="89"/>
      <c r="B1652" s="87"/>
      <c r="C1652" s="73"/>
      <c r="D1652" s="73"/>
      <c r="E1652" s="82"/>
      <c r="F1652" s="82"/>
      <c r="G1652" s="86"/>
      <c r="H1652" s="86"/>
      <c r="I1652" s="86"/>
      <c r="J1652" s="82"/>
      <c r="K1652" s="82"/>
      <c r="L1652" s="82"/>
      <c r="M1652" s="82"/>
      <c r="N1652" s="82"/>
      <c r="O1652" s="82"/>
      <c r="P1652" s="82"/>
      <c r="Q1652" s="82"/>
      <c r="R1652" s="82"/>
      <c r="S1652" s="82"/>
      <c r="T1652" s="82"/>
      <c r="U1652" s="82"/>
      <c r="V1652" s="82"/>
      <c r="W1652" s="82"/>
      <c r="X1652" s="82"/>
      <c r="Y1652" s="82"/>
      <c r="Z1652" s="82"/>
      <c r="AA1652" s="82"/>
      <c r="AB1652" s="82"/>
      <c r="AC1652" s="82"/>
      <c r="AD1652" s="82"/>
      <c r="AE1652" s="82"/>
      <c r="AF1652" s="82"/>
      <c r="AG1652" s="82"/>
      <c r="AH1652" s="82"/>
      <c r="AI1652" s="82"/>
      <c r="AJ1652" s="82"/>
      <c r="AK1652" s="82"/>
      <c r="AL1652" s="82"/>
      <c r="AM1652" s="82"/>
      <c r="AN1652" s="82"/>
      <c r="AO1652" s="82"/>
      <c r="AP1652" s="82"/>
      <c r="AQ1652" s="82"/>
      <c r="AR1652" s="82"/>
      <c r="AS1652" s="82"/>
      <c r="AT1652" s="82"/>
      <c r="AU1652" s="82"/>
      <c r="AV1652" s="82"/>
      <c r="AW1652" s="82" t="str">
        <f t="shared" si="1"/>
        <v/>
      </c>
      <c r="AX1652" s="83" t="str">
        <f t="array" ref="AX1652">IFERROR(DGET('SBV Import'!A:G,"SBV",{"RSC ID","Tier";B1652,A1652}))</f>
        <v/>
      </c>
      <c r="AY1652" s="82" t="str">
        <f t="shared" si="2"/>
        <v/>
      </c>
      <c r="AZ1652" s="82"/>
      <c r="BA1652" s="84" t="s">
        <v>152</v>
      </c>
      <c r="BB1652" s="84" t="str">
        <f>IFERROR(__xludf.DUMMYFUNCTION("iferror(if(A1652="""",,E1652&gt;=FILTER(Constants!$F$2:$F$10,Constants!$A$2:$A$10=A1652)))"),"")</f>
        <v/>
      </c>
    </row>
    <row r="1653">
      <c r="A1653" s="89"/>
      <c r="B1653" s="87"/>
      <c r="C1653" s="73"/>
      <c r="D1653" s="73"/>
      <c r="E1653" s="82"/>
      <c r="F1653" s="82"/>
      <c r="G1653" s="86"/>
      <c r="H1653" s="86"/>
      <c r="I1653" s="86"/>
      <c r="J1653" s="82"/>
      <c r="K1653" s="82"/>
      <c r="L1653" s="82"/>
      <c r="M1653" s="82"/>
      <c r="N1653" s="82"/>
      <c r="O1653" s="82"/>
      <c r="P1653" s="82"/>
      <c r="Q1653" s="82"/>
      <c r="R1653" s="82"/>
      <c r="S1653" s="82"/>
      <c r="T1653" s="82"/>
      <c r="U1653" s="82"/>
      <c r="V1653" s="82"/>
      <c r="W1653" s="82"/>
      <c r="X1653" s="82"/>
      <c r="Y1653" s="82"/>
      <c r="Z1653" s="82"/>
      <c r="AA1653" s="82"/>
      <c r="AB1653" s="82"/>
      <c r="AC1653" s="82"/>
      <c r="AD1653" s="82"/>
      <c r="AE1653" s="82"/>
      <c r="AF1653" s="82"/>
      <c r="AG1653" s="82"/>
      <c r="AH1653" s="82"/>
      <c r="AI1653" s="82"/>
      <c r="AJ1653" s="82"/>
      <c r="AK1653" s="82"/>
      <c r="AL1653" s="82"/>
      <c r="AM1653" s="82"/>
      <c r="AN1653" s="82"/>
      <c r="AO1653" s="82"/>
      <c r="AP1653" s="82"/>
      <c r="AQ1653" s="82"/>
      <c r="AR1653" s="82"/>
      <c r="AS1653" s="82"/>
      <c r="AT1653" s="82"/>
      <c r="AU1653" s="82"/>
      <c r="AV1653" s="82"/>
      <c r="AW1653" s="82" t="str">
        <f t="shared" si="1"/>
        <v/>
      </c>
      <c r="AX1653" s="83" t="str">
        <f t="array" ref="AX1653">IFERROR(DGET('SBV Import'!A:G,"SBV",{"RSC ID","Tier";B1653,A1653}))</f>
        <v/>
      </c>
      <c r="AY1653" s="82" t="str">
        <f t="shared" si="2"/>
        <v/>
      </c>
      <c r="AZ1653" s="82"/>
      <c r="BA1653" s="84" t="s">
        <v>152</v>
      </c>
      <c r="BB1653" s="84" t="str">
        <f>IFERROR(__xludf.DUMMYFUNCTION("iferror(if(A1653="""",,E1653&gt;=FILTER(Constants!$F$2:$F$10,Constants!$A$2:$A$10=A1653)))"),"")</f>
        <v/>
      </c>
    </row>
    <row r="1654">
      <c r="A1654" s="89"/>
      <c r="B1654" s="87"/>
      <c r="C1654" s="73"/>
      <c r="D1654" s="73"/>
      <c r="E1654" s="82"/>
      <c r="F1654" s="82"/>
      <c r="G1654" s="86"/>
      <c r="H1654" s="86"/>
      <c r="I1654" s="86"/>
      <c r="J1654" s="82"/>
      <c r="K1654" s="82"/>
      <c r="L1654" s="82"/>
      <c r="M1654" s="82"/>
      <c r="N1654" s="82"/>
      <c r="O1654" s="82"/>
      <c r="P1654" s="82"/>
      <c r="Q1654" s="82"/>
      <c r="R1654" s="82"/>
      <c r="S1654" s="82"/>
      <c r="T1654" s="82"/>
      <c r="U1654" s="82"/>
      <c r="V1654" s="82"/>
      <c r="W1654" s="82"/>
      <c r="X1654" s="82"/>
      <c r="Y1654" s="82"/>
      <c r="Z1654" s="82"/>
      <c r="AA1654" s="82"/>
      <c r="AB1654" s="82"/>
      <c r="AC1654" s="82"/>
      <c r="AD1654" s="82"/>
      <c r="AE1654" s="82"/>
      <c r="AF1654" s="82"/>
      <c r="AG1654" s="82"/>
      <c r="AH1654" s="82"/>
      <c r="AI1654" s="82"/>
      <c r="AJ1654" s="82"/>
      <c r="AK1654" s="82"/>
      <c r="AL1654" s="82"/>
      <c r="AM1654" s="82"/>
      <c r="AN1654" s="82"/>
      <c r="AO1654" s="82"/>
      <c r="AP1654" s="82"/>
      <c r="AQ1654" s="82"/>
      <c r="AR1654" s="82"/>
      <c r="AS1654" s="82"/>
      <c r="AT1654" s="82"/>
      <c r="AU1654" s="82"/>
      <c r="AV1654" s="82"/>
      <c r="AW1654" s="82" t="str">
        <f t="shared" si="1"/>
        <v/>
      </c>
      <c r="AX1654" s="83" t="str">
        <f t="array" ref="AX1654">IFERROR(DGET('SBV Import'!A:G,"SBV",{"RSC ID","Tier";B1654,A1654}))</f>
        <v/>
      </c>
      <c r="AY1654" s="82" t="str">
        <f t="shared" si="2"/>
        <v/>
      </c>
      <c r="AZ1654" s="82"/>
      <c r="BA1654" s="84" t="s">
        <v>152</v>
      </c>
      <c r="BB1654" s="84" t="str">
        <f>IFERROR(__xludf.DUMMYFUNCTION("iferror(if(A1654="""",,E1654&gt;=FILTER(Constants!$F$2:$F$10,Constants!$A$2:$A$10=A1654)))"),"")</f>
        <v/>
      </c>
    </row>
    <row r="1655">
      <c r="A1655" s="89"/>
      <c r="B1655" s="87"/>
      <c r="C1655" s="73"/>
      <c r="D1655" s="73"/>
      <c r="E1655" s="82"/>
      <c r="F1655" s="82"/>
      <c r="G1655" s="86"/>
      <c r="H1655" s="86"/>
      <c r="I1655" s="86"/>
      <c r="J1655" s="82"/>
      <c r="K1655" s="82"/>
      <c r="L1655" s="82"/>
      <c r="M1655" s="82"/>
      <c r="N1655" s="82"/>
      <c r="O1655" s="82"/>
      <c r="P1655" s="82"/>
      <c r="Q1655" s="82"/>
      <c r="R1655" s="82"/>
      <c r="S1655" s="82"/>
      <c r="T1655" s="82"/>
      <c r="U1655" s="82"/>
      <c r="V1655" s="82"/>
      <c r="W1655" s="82"/>
      <c r="X1655" s="82"/>
      <c r="Y1655" s="82"/>
      <c r="Z1655" s="82"/>
      <c r="AA1655" s="82"/>
      <c r="AB1655" s="82"/>
      <c r="AC1655" s="82"/>
      <c r="AD1655" s="82"/>
      <c r="AE1655" s="82"/>
      <c r="AF1655" s="82"/>
      <c r="AG1655" s="82"/>
      <c r="AH1655" s="82"/>
      <c r="AI1655" s="82"/>
      <c r="AJ1655" s="82"/>
      <c r="AK1655" s="82"/>
      <c r="AL1655" s="82"/>
      <c r="AM1655" s="82"/>
      <c r="AN1655" s="82"/>
      <c r="AO1655" s="82"/>
      <c r="AP1655" s="82"/>
      <c r="AQ1655" s="82"/>
      <c r="AR1655" s="82"/>
      <c r="AS1655" s="82"/>
      <c r="AT1655" s="82"/>
      <c r="AU1655" s="82"/>
      <c r="AV1655" s="82"/>
      <c r="AW1655" s="82" t="str">
        <f t="shared" si="1"/>
        <v/>
      </c>
      <c r="AX1655" s="83" t="str">
        <f t="array" ref="AX1655">IFERROR(DGET('SBV Import'!A:G,"SBV",{"RSC ID","Tier";B1655,A1655}))</f>
        <v/>
      </c>
      <c r="AY1655" s="82" t="str">
        <f t="shared" si="2"/>
        <v/>
      </c>
      <c r="AZ1655" s="82"/>
      <c r="BA1655" s="84" t="s">
        <v>152</v>
      </c>
      <c r="BB1655" s="84" t="str">
        <f>IFERROR(__xludf.DUMMYFUNCTION("iferror(if(A1655="""",,E1655&gt;=FILTER(Constants!$F$2:$F$10,Constants!$A$2:$A$10=A1655)))"),"")</f>
        <v/>
      </c>
    </row>
    <row r="1656">
      <c r="A1656" s="89"/>
      <c r="B1656" s="87"/>
      <c r="C1656" s="73"/>
      <c r="D1656" s="73"/>
      <c r="E1656" s="82"/>
      <c r="F1656" s="82"/>
      <c r="G1656" s="86"/>
      <c r="H1656" s="86"/>
      <c r="I1656" s="86"/>
      <c r="J1656" s="82"/>
      <c r="K1656" s="82"/>
      <c r="L1656" s="82"/>
      <c r="M1656" s="82"/>
      <c r="N1656" s="82"/>
      <c r="O1656" s="82"/>
      <c r="P1656" s="82"/>
      <c r="Q1656" s="82"/>
      <c r="R1656" s="82"/>
      <c r="S1656" s="82"/>
      <c r="T1656" s="82"/>
      <c r="U1656" s="82"/>
      <c r="V1656" s="82"/>
      <c r="W1656" s="82"/>
      <c r="X1656" s="82"/>
      <c r="Y1656" s="82"/>
      <c r="Z1656" s="82"/>
      <c r="AA1656" s="82"/>
      <c r="AB1656" s="82"/>
      <c r="AC1656" s="82"/>
      <c r="AD1656" s="82"/>
      <c r="AE1656" s="82"/>
      <c r="AF1656" s="82"/>
      <c r="AG1656" s="82"/>
      <c r="AH1656" s="82"/>
      <c r="AI1656" s="82"/>
      <c r="AJ1656" s="82"/>
      <c r="AK1656" s="82"/>
      <c r="AL1656" s="82"/>
      <c r="AM1656" s="82"/>
      <c r="AN1656" s="82"/>
      <c r="AO1656" s="82"/>
      <c r="AP1656" s="82"/>
      <c r="AQ1656" s="82"/>
      <c r="AR1656" s="82"/>
      <c r="AS1656" s="82"/>
      <c r="AT1656" s="82"/>
      <c r="AU1656" s="82"/>
      <c r="AV1656" s="82"/>
      <c r="AW1656" s="82" t="str">
        <f t="shared" si="1"/>
        <v/>
      </c>
      <c r="AX1656" s="83" t="str">
        <f t="array" ref="AX1656">IFERROR(DGET('SBV Import'!A:G,"SBV",{"RSC ID","Tier";B1656,A1656}))</f>
        <v/>
      </c>
      <c r="AY1656" s="82" t="str">
        <f t="shared" si="2"/>
        <v/>
      </c>
      <c r="AZ1656" s="82"/>
      <c r="BA1656" s="84" t="s">
        <v>152</v>
      </c>
      <c r="BB1656" s="84" t="str">
        <f>IFERROR(__xludf.DUMMYFUNCTION("iferror(if(A1656="""",,E1656&gt;=FILTER(Constants!$F$2:$F$10,Constants!$A$2:$A$10=A1656)))"),"")</f>
        <v/>
      </c>
    </row>
    <row r="1657">
      <c r="A1657" s="89"/>
      <c r="B1657" s="87"/>
      <c r="C1657" s="73"/>
      <c r="D1657" s="73"/>
      <c r="E1657" s="82"/>
      <c r="F1657" s="82"/>
      <c r="G1657" s="86"/>
      <c r="H1657" s="86"/>
      <c r="I1657" s="86"/>
      <c r="J1657" s="82"/>
      <c r="K1657" s="82"/>
      <c r="L1657" s="82"/>
      <c r="M1657" s="82"/>
      <c r="N1657" s="82"/>
      <c r="O1657" s="82"/>
      <c r="P1657" s="82"/>
      <c r="Q1657" s="82"/>
      <c r="R1657" s="82"/>
      <c r="S1657" s="82"/>
      <c r="T1657" s="82"/>
      <c r="U1657" s="82"/>
      <c r="V1657" s="82"/>
      <c r="W1657" s="82"/>
      <c r="X1657" s="82"/>
      <c r="Y1657" s="82"/>
      <c r="Z1657" s="82"/>
      <c r="AA1657" s="82"/>
      <c r="AB1657" s="82"/>
      <c r="AC1657" s="82"/>
      <c r="AD1657" s="82"/>
      <c r="AE1657" s="82"/>
      <c r="AF1657" s="82"/>
      <c r="AG1657" s="82"/>
      <c r="AH1657" s="82"/>
      <c r="AI1657" s="82"/>
      <c r="AJ1657" s="82"/>
      <c r="AK1657" s="82"/>
      <c r="AL1657" s="82"/>
      <c r="AM1657" s="82"/>
      <c r="AN1657" s="82"/>
      <c r="AO1657" s="82"/>
      <c r="AP1657" s="82"/>
      <c r="AQ1657" s="82"/>
      <c r="AR1657" s="82"/>
      <c r="AS1657" s="82"/>
      <c r="AT1657" s="82"/>
      <c r="AU1657" s="82"/>
      <c r="AV1657" s="82"/>
      <c r="AW1657" s="82" t="str">
        <f t="shared" si="1"/>
        <v/>
      </c>
      <c r="AX1657" s="83" t="str">
        <f t="array" ref="AX1657">IFERROR(DGET('SBV Import'!A:G,"SBV",{"RSC ID","Tier";B1657,A1657}))</f>
        <v/>
      </c>
      <c r="AY1657" s="82" t="str">
        <f t="shared" si="2"/>
        <v/>
      </c>
      <c r="AZ1657" s="82"/>
      <c r="BA1657" s="84" t="s">
        <v>152</v>
      </c>
      <c r="BB1657" s="84" t="str">
        <f>IFERROR(__xludf.DUMMYFUNCTION("iferror(if(A1657="""",,E1657&gt;=FILTER(Constants!$F$2:$F$10,Constants!$A$2:$A$10=A1657)))"),"")</f>
        <v/>
      </c>
    </row>
    <row r="1658">
      <c r="A1658" s="89"/>
      <c r="B1658" s="87"/>
      <c r="C1658" s="73"/>
      <c r="D1658" s="73"/>
      <c r="E1658" s="82"/>
      <c r="F1658" s="82"/>
      <c r="G1658" s="86"/>
      <c r="H1658" s="86"/>
      <c r="I1658" s="86"/>
      <c r="J1658" s="82"/>
      <c r="K1658" s="82"/>
      <c r="L1658" s="82"/>
      <c r="M1658" s="82"/>
      <c r="N1658" s="82"/>
      <c r="O1658" s="82"/>
      <c r="P1658" s="82"/>
      <c r="Q1658" s="82"/>
      <c r="R1658" s="82"/>
      <c r="S1658" s="82"/>
      <c r="T1658" s="82"/>
      <c r="U1658" s="82"/>
      <c r="V1658" s="82"/>
      <c r="W1658" s="82"/>
      <c r="X1658" s="82"/>
      <c r="Y1658" s="82"/>
      <c r="Z1658" s="82"/>
      <c r="AA1658" s="82"/>
      <c r="AB1658" s="82"/>
      <c r="AC1658" s="82"/>
      <c r="AD1658" s="82"/>
      <c r="AE1658" s="82"/>
      <c r="AF1658" s="82"/>
      <c r="AG1658" s="82"/>
      <c r="AH1658" s="82"/>
      <c r="AI1658" s="82"/>
      <c r="AJ1658" s="82"/>
      <c r="AK1658" s="82"/>
      <c r="AL1658" s="82"/>
      <c r="AM1658" s="82"/>
      <c r="AN1658" s="82"/>
      <c r="AO1658" s="82"/>
      <c r="AP1658" s="82"/>
      <c r="AQ1658" s="82"/>
      <c r="AR1658" s="82"/>
      <c r="AS1658" s="82"/>
      <c r="AT1658" s="82"/>
      <c r="AU1658" s="82"/>
      <c r="AV1658" s="82"/>
      <c r="AW1658" s="82" t="str">
        <f t="shared" si="1"/>
        <v/>
      </c>
      <c r="AX1658" s="83" t="str">
        <f t="array" ref="AX1658">IFERROR(DGET('SBV Import'!A:G,"SBV",{"RSC ID","Tier";B1658,A1658}))</f>
        <v/>
      </c>
      <c r="AY1658" s="82" t="str">
        <f t="shared" si="2"/>
        <v/>
      </c>
      <c r="AZ1658" s="82"/>
      <c r="BA1658" s="84" t="s">
        <v>152</v>
      </c>
      <c r="BB1658" s="84" t="str">
        <f>IFERROR(__xludf.DUMMYFUNCTION("iferror(if(A1658="""",,E1658&gt;=FILTER(Constants!$F$2:$F$10,Constants!$A$2:$A$10=A1658)))"),"")</f>
        <v/>
      </c>
    </row>
    <row r="1659">
      <c r="A1659" s="89"/>
      <c r="B1659" s="87"/>
      <c r="C1659" s="73"/>
      <c r="D1659" s="73"/>
      <c r="E1659" s="82"/>
      <c r="F1659" s="82"/>
      <c r="G1659" s="86"/>
      <c r="H1659" s="86"/>
      <c r="I1659" s="86"/>
      <c r="J1659" s="82"/>
      <c r="K1659" s="82"/>
      <c r="L1659" s="82"/>
      <c r="M1659" s="82"/>
      <c r="N1659" s="82"/>
      <c r="O1659" s="82"/>
      <c r="P1659" s="82"/>
      <c r="Q1659" s="82"/>
      <c r="R1659" s="82"/>
      <c r="S1659" s="82"/>
      <c r="T1659" s="82"/>
      <c r="U1659" s="82"/>
      <c r="V1659" s="82"/>
      <c r="W1659" s="82"/>
      <c r="X1659" s="82"/>
      <c r="Y1659" s="82"/>
      <c r="Z1659" s="82"/>
      <c r="AA1659" s="82"/>
      <c r="AB1659" s="82"/>
      <c r="AC1659" s="82"/>
      <c r="AD1659" s="82"/>
      <c r="AE1659" s="82"/>
      <c r="AF1659" s="82"/>
      <c r="AG1659" s="82"/>
      <c r="AH1659" s="82"/>
      <c r="AI1659" s="82"/>
      <c r="AJ1659" s="82"/>
      <c r="AK1659" s="82"/>
      <c r="AL1659" s="82"/>
      <c r="AM1659" s="82"/>
      <c r="AN1659" s="82"/>
      <c r="AO1659" s="82"/>
      <c r="AP1659" s="82"/>
      <c r="AQ1659" s="82"/>
      <c r="AR1659" s="82"/>
      <c r="AS1659" s="82"/>
      <c r="AT1659" s="82"/>
      <c r="AU1659" s="82"/>
      <c r="AV1659" s="82"/>
      <c r="AW1659" s="82" t="str">
        <f t="shared" si="1"/>
        <v/>
      </c>
      <c r="AX1659" s="83" t="str">
        <f t="array" ref="AX1659">IFERROR(DGET('SBV Import'!A:G,"SBV",{"RSC ID","Tier";B1659,A1659}))</f>
        <v/>
      </c>
      <c r="AY1659" s="82" t="str">
        <f t="shared" si="2"/>
        <v/>
      </c>
      <c r="AZ1659" s="82"/>
      <c r="BA1659" s="84" t="s">
        <v>152</v>
      </c>
      <c r="BB1659" s="84" t="str">
        <f>IFERROR(__xludf.DUMMYFUNCTION("iferror(if(A1659="""",,E1659&gt;=FILTER(Constants!$F$2:$F$10,Constants!$A$2:$A$10=A1659)))"),"")</f>
        <v/>
      </c>
    </row>
    <row r="1660">
      <c r="A1660" s="89"/>
      <c r="B1660" s="87"/>
      <c r="C1660" s="73"/>
      <c r="D1660" s="73"/>
      <c r="E1660" s="82"/>
      <c r="F1660" s="82"/>
      <c r="G1660" s="86"/>
      <c r="H1660" s="86"/>
      <c r="I1660" s="86"/>
      <c r="J1660" s="82"/>
      <c r="K1660" s="82"/>
      <c r="L1660" s="82"/>
      <c r="M1660" s="82"/>
      <c r="N1660" s="82"/>
      <c r="O1660" s="82"/>
      <c r="P1660" s="82"/>
      <c r="Q1660" s="82"/>
      <c r="R1660" s="82"/>
      <c r="S1660" s="82"/>
      <c r="T1660" s="82"/>
      <c r="U1660" s="82"/>
      <c r="V1660" s="82"/>
      <c r="W1660" s="82"/>
      <c r="X1660" s="82"/>
      <c r="Y1660" s="82"/>
      <c r="Z1660" s="82"/>
      <c r="AA1660" s="82"/>
      <c r="AB1660" s="82"/>
      <c r="AC1660" s="82"/>
      <c r="AD1660" s="82"/>
      <c r="AE1660" s="82"/>
      <c r="AF1660" s="82"/>
      <c r="AG1660" s="82"/>
      <c r="AH1660" s="82"/>
      <c r="AI1660" s="82"/>
      <c r="AJ1660" s="82"/>
      <c r="AK1660" s="82"/>
      <c r="AL1660" s="82"/>
      <c r="AM1660" s="82"/>
      <c r="AN1660" s="82"/>
      <c r="AO1660" s="82"/>
      <c r="AP1660" s="82"/>
      <c r="AQ1660" s="82"/>
      <c r="AR1660" s="82"/>
      <c r="AS1660" s="82"/>
      <c r="AT1660" s="82"/>
      <c r="AU1660" s="82"/>
      <c r="AV1660" s="82"/>
      <c r="AW1660" s="82" t="str">
        <f t="shared" si="1"/>
        <v/>
      </c>
      <c r="AX1660" s="83" t="str">
        <f t="array" ref="AX1660">IFERROR(DGET('SBV Import'!A:G,"SBV",{"RSC ID","Tier";B1660,A1660}))</f>
        <v/>
      </c>
      <c r="AY1660" s="82" t="str">
        <f t="shared" si="2"/>
        <v/>
      </c>
      <c r="AZ1660" s="82"/>
      <c r="BA1660" s="84" t="s">
        <v>152</v>
      </c>
      <c r="BB1660" s="84" t="str">
        <f>IFERROR(__xludf.DUMMYFUNCTION("iferror(if(A1660="""",,E1660&gt;=FILTER(Constants!$F$2:$F$10,Constants!$A$2:$A$10=A1660)))"),"")</f>
        <v/>
      </c>
    </row>
    <row r="1661">
      <c r="A1661" s="89"/>
      <c r="B1661" s="87"/>
      <c r="C1661" s="73"/>
      <c r="D1661" s="73"/>
      <c r="E1661" s="82"/>
      <c r="F1661" s="82"/>
      <c r="G1661" s="86"/>
      <c r="H1661" s="86"/>
      <c r="I1661" s="86"/>
      <c r="J1661" s="82"/>
      <c r="K1661" s="82"/>
      <c r="L1661" s="82"/>
      <c r="M1661" s="82"/>
      <c r="N1661" s="82"/>
      <c r="O1661" s="82"/>
      <c r="P1661" s="82"/>
      <c r="Q1661" s="82"/>
      <c r="R1661" s="82"/>
      <c r="S1661" s="82"/>
      <c r="T1661" s="82"/>
      <c r="U1661" s="82"/>
      <c r="V1661" s="82"/>
      <c r="W1661" s="82"/>
      <c r="X1661" s="82"/>
      <c r="Y1661" s="82"/>
      <c r="Z1661" s="82"/>
      <c r="AA1661" s="82"/>
      <c r="AB1661" s="82"/>
      <c r="AC1661" s="82"/>
      <c r="AD1661" s="82"/>
      <c r="AE1661" s="82"/>
      <c r="AF1661" s="82"/>
      <c r="AG1661" s="82"/>
      <c r="AH1661" s="82"/>
      <c r="AI1661" s="82"/>
      <c r="AJ1661" s="82"/>
      <c r="AK1661" s="82"/>
      <c r="AL1661" s="82"/>
      <c r="AM1661" s="82"/>
      <c r="AN1661" s="82"/>
      <c r="AO1661" s="82"/>
      <c r="AP1661" s="82"/>
      <c r="AQ1661" s="82"/>
      <c r="AR1661" s="82"/>
      <c r="AS1661" s="82"/>
      <c r="AT1661" s="82"/>
      <c r="AU1661" s="82"/>
      <c r="AV1661" s="82"/>
      <c r="AW1661" s="82" t="str">
        <f t="shared" si="1"/>
        <v/>
      </c>
      <c r="AX1661" s="83" t="str">
        <f t="array" ref="AX1661">IFERROR(DGET('SBV Import'!A:G,"SBV",{"RSC ID","Tier";B1661,A1661}))</f>
        <v/>
      </c>
      <c r="AY1661" s="82" t="str">
        <f t="shared" si="2"/>
        <v/>
      </c>
      <c r="AZ1661" s="82"/>
      <c r="BA1661" s="84" t="s">
        <v>152</v>
      </c>
      <c r="BB1661" s="84" t="str">
        <f>IFERROR(__xludf.DUMMYFUNCTION("iferror(if(A1661="""",,E1661&gt;=FILTER(Constants!$F$2:$F$10,Constants!$A$2:$A$10=A1661)))"),"")</f>
        <v/>
      </c>
    </row>
    <row r="1662">
      <c r="A1662" s="89"/>
      <c r="B1662" s="87"/>
      <c r="C1662" s="73"/>
      <c r="D1662" s="73"/>
      <c r="E1662" s="82"/>
      <c r="F1662" s="82"/>
      <c r="G1662" s="86"/>
      <c r="H1662" s="86"/>
      <c r="I1662" s="86"/>
      <c r="J1662" s="82"/>
      <c r="K1662" s="82"/>
      <c r="L1662" s="82"/>
      <c r="M1662" s="82"/>
      <c r="N1662" s="82"/>
      <c r="O1662" s="82"/>
      <c r="P1662" s="82"/>
      <c r="Q1662" s="82"/>
      <c r="R1662" s="82"/>
      <c r="S1662" s="82"/>
      <c r="T1662" s="82"/>
      <c r="U1662" s="82"/>
      <c r="V1662" s="82"/>
      <c r="W1662" s="82"/>
      <c r="X1662" s="82"/>
      <c r="Y1662" s="82"/>
      <c r="Z1662" s="82"/>
      <c r="AA1662" s="82"/>
      <c r="AB1662" s="82"/>
      <c r="AC1662" s="82"/>
      <c r="AD1662" s="82"/>
      <c r="AE1662" s="82"/>
      <c r="AF1662" s="82"/>
      <c r="AG1662" s="82"/>
      <c r="AH1662" s="82"/>
      <c r="AI1662" s="82"/>
      <c r="AJ1662" s="82"/>
      <c r="AK1662" s="82"/>
      <c r="AL1662" s="82"/>
      <c r="AM1662" s="82"/>
      <c r="AN1662" s="82"/>
      <c r="AO1662" s="82"/>
      <c r="AP1662" s="82"/>
      <c r="AQ1662" s="82"/>
      <c r="AR1662" s="82"/>
      <c r="AS1662" s="82"/>
      <c r="AT1662" s="82"/>
      <c r="AU1662" s="82"/>
      <c r="AV1662" s="82"/>
      <c r="AW1662" s="82" t="str">
        <f t="shared" si="1"/>
        <v/>
      </c>
      <c r="AX1662" s="83" t="str">
        <f t="array" ref="AX1662">IFERROR(DGET('SBV Import'!A:G,"SBV",{"RSC ID","Tier";B1662,A1662}))</f>
        <v/>
      </c>
      <c r="AY1662" s="82" t="str">
        <f t="shared" si="2"/>
        <v/>
      </c>
      <c r="AZ1662" s="82"/>
      <c r="BA1662" s="84" t="s">
        <v>152</v>
      </c>
      <c r="BB1662" s="84" t="str">
        <f>IFERROR(__xludf.DUMMYFUNCTION("iferror(if(A1662="""",,E1662&gt;=FILTER(Constants!$F$2:$F$10,Constants!$A$2:$A$10=A1662)))"),"")</f>
        <v/>
      </c>
    </row>
    <row r="1663">
      <c r="A1663" s="89"/>
      <c r="B1663" s="87"/>
      <c r="C1663" s="73"/>
      <c r="D1663" s="73"/>
      <c r="E1663" s="82"/>
      <c r="F1663" s="82"/>
      <c r="G1663" s="86"/>
      <c r="H1663" s="86"/>
      <c r="I1663" s="86"/>
      <c r="J1663" s="82"/>
      <c r="K1663" s="82"/>
      <c r="L1663" s="82"/>
      <c r="M1663" s="82"/>
      <c r="N1663" s="82"/>
      <c r="O1663" s="82"/>
      <c r="P1663" s="82"/>
      <c r="Q1663" s="82"/>
      <c r="R1663" s="82"/>
      <c r="S1663" s="82"/>
      <c r="T1663" s="82"/>
      <c r="U1663" s="82"/>
      <c r="V1663" s="82"/>
      <c r="W1663" s="82"/>
      <c r="X1663" s="82"/>
      <c r="Y1663" s="82"/>
      <c r="Z1663" s="82"/>
      <c r="AA1663" s="82"/>
      <c r="AB1663" s="82"/>
      <c r="AC1663" s="82"/>
      <c r="AD1663" s="82"/>
      <c r="AE1663" s="82"/>
      <c r="AF1663" s="82"/>
      <c r="AG1663" s="82"/>
      <c r="AH1663" s="82"/>
      <c r="AI1663" s="82"/>
      <c r="AJ1663" s="82"/>
      <c r="AK1663" s="82"/>
      <c r="AL1663" s="82"/>
      <c r="AM1663" s="82"/>
      <c r="AN1663" s="82"/>
      <c r="AO1663" s="82"/>
      <c r="AP1663" s="82"/>
      <c r="AQ1663" s="82"/>
      <c r="AR1663" s="82"/>
      <c r="AS1663" s="82"/>
      <c r="AT1663" s="82"/>
      <c r="AU1663" s="82"/>
      <c r="AV1663" s="82"/>
      <c r="AW1663" s="82" t="str">
        <f t="shared" si="1"/>
        <v/>
      </c>
      <c r="AX1663" s="83" t="str">
        <f t="array" ref="AX1663">IFERROR(DGET('SBV Import'!A:G,"SBV",{"RSC ID","Tier";B1663,A1663}))</f>
        <v/>
      </c>
      <c r="AY1663" s="82" t="str">
        <f t="shared" si="2"/>
        <v/>
      </c>
      <c r="AZ1663" s="82"/>
      <c r="BA1663" s="84" t="s">
        <v>152</v>
      </c>
      <c r="BB1663" s="84" t="str">
        <f>IFERROR(__xludf.DUMMYFUNCTION("iferror(if(A1663="""",,E1663&gt;=FILTER(Constants!$F$2:$F$10,Constants!$A$2:$A$10=A1663)))"),"")</f>
        <v/>
      </c>
    </row>
    <row r="1664">
      <c r="A1664" s="89"/>
      <c r="B1664" s="87"/>
      <c r="C1664" s="73"/>
      <c r="D1664" s="73"/>
      <c r="E1664" s="82"/>
      <c r="F1664" s="82"/>
      <c r="G1664" s="86"/>
      <c r="H1664" s="86"/>
      <c r="I1664" s="86"/>
      <c r="J1664" s="82"/>
      <c r="K1664" s="82"/>
      <c r="L1664" s="82"/>
      <c r="M1664" s="82"/>
      <c r="N1664" s="82"/>
      <c r="O1664" s="82"/>
      <c r="P1664" s="82"/>
      <c r="Q1664" s="82"/>
      <c r="R1664" s="82"/>
      <c r="S1664" s="82"/>
      <c r="T1664" s="82"/>
      <c r="U1664" s="82"/>
      <c r="V1664" s="82"/>
      <c r="W1664" s="82"/>
      <c r="X1664" s="82"/>
      <c r="Y1664" s="82"/>
      <c r="Z1664" s="82"/>
      <c r="AA1664" s="82"/>
      <c r="AB1664" s="82"/>
      <c r="AC1664" s="82"/>
      <c r="AD1664" s="82"/>
      <c r="AE1664" s="82"/>
      <c r="AF1664" s="82"/>
      <c r="AG1664" s="82"/>
      <c r="AH1664" s="82"/>
      <c r="AI1664" s="82"/>
      <c r="AJ1664" s="82"/>
      <c r="AK1664" s="82"/>
      <c r="AL1664" s="82"/>
      <c r="AM1664" s="82"/>
      <c r="AN1664" s="82"/>
      <c r="AO1664" s="82"/>
      <c r="AP1664" s="82"/>
      <c r="AQ1664" s="82"/>
      <c r="AR1664" s="82"/>
      <c r="AS1664" s="82"/>
      <c r="AT1664" s="82"/>
      <c r="AU1664" s="82"/>
      <c r="AV1664" s="82"/>
      <c r="AW1664" s="82" t="str">
        <f t="shared" si="1"/>
        <v/>
      </c>
      <c r="AX1664" s="83" t="str">
        <f t="array" ref="AX1664">IFERROR(DGET('SBV Import'!A:G,"SBV",{"RSC ID","Tier";B1664,A1664}))</f>
        <v/>
      </c>
      <c r="AY1664" s="82" t="str">
        <f t="shared" si="2"/>
        <v/>
      </c>
      <c r="AZ1664" s="82"/>
      <c r="BA1664" s="84" t="s">
        <v>152</v>
      </c>
      <c r="BB1664" s="84" t="str">
        <f>IFERROR(__xludf.DUMMYFUNCTION("iferror(if(A1664="""",,E1664&gt;=FILTER(Constants!$F$2:$F$10,Constants!$A$2:$A$10=A1664)))"),"")</f>
        <v/>
      </c>
    </row>
    <row r="1665">
      <c r="A1665" s="89"/>
      <c r="B1665" s="87"/>
      <c r="C1665" s="73"/>
      <c r="D1665" s="73"/>
      <c r="E1665" s="82"/>
      <c r="F1665" s="82"/>
      <c r="G1665" s="86"/>
      <c r="H1665" s="86"/>
      <c r="I1665" s="86"/>
      <c r="J1665" s="82"/>
      <c r="K1665" s="82"/>
      <c r="L1665" s="82"/>
      <c r="M1665" s="82"/>
      <c r="N1665" s="82"/>
      <c r="O1665" s="82"/>
      <c r="P1665" s="82"/>
      <c r="Q1665" s="82"/>
      <c r="R1665" s="82"/>
      <c r="S1665" s="82"/>
      <c r="T1665" s="82"/>
      <c r="U1665" s="82"/>
      <c r="V1665" s="82"/>
      <c r="W1665" s="82"/>
      <c r="X1665" s="82"/>
      <c r="Y1665" s="82"/>
      <c r="Z1665" s="82"/>
      <c r="AA1665" s="82"/>
      <c r="AB1665" s="82"/>
      <c r="AC1665" s="82"/>
      <c r="AD1665" s="82"/>
      <c r="AE1665" s="82"/>
      <c r="AF1665" s="82"/>
      <c r="AG1665" s="82"/>
      <c r="AH1665" s="82"/>
      <c r="AI1665" s="82"/>
      <c r="AJ1665" s="82"/>
      <c r="AK1665" s="82"/>
      <c r="AL1665" s="82"/>
      <c r="AM1665" s="82"/>
      <c r="AN1665" s="82"/>
      <c r="AO1665" s="82"/>
      <c r="AP1665" s="82"/>
      <c r="AQ1665" s="82"/>
      <c r="AR1665" s="82"/>
      <c r="AS1665" s="82"/>
      <c r="AT1665" s="82"/>
      <c r="AU1665" s="82"/>
      <c r="AV1665" s="82"/>
      <c r="AW1665" s="82" t="str">
        <f t="shared" si="1"/>
        <v/>
      </c>
      <c r="AX1665" s="83" t="str">
        <f t="array" ref="AX1665">IFERROR(DGET('SBV Import'!A:G,"SBV",{"RSC ID","Tier";B1665,A1665}))</f>
        <v/>
      </c>
      <c r="AY1665" s="82" t="str">
        <f t="shared" si="2"/>
        <v/>
      </c>
      <c r="AZ1665" s="82"/>
      <c r="BA1665" s="84" t="s">
        <v>152</v>
      </c>
      <c r="BB1665" s="84" t="str">
        <f>IFERROR(__xludf.DUMMYFUNCTION("iferror(if(A1665="""",,E1665&gt;=FILTER(Constants!$F$2:$F$10,Constants!$A$2:$A$10=A1665)))"),"")</f>
        <v/>
      </c>
    </row>
    <row r="1666">
      <c r="A1666" s="89"/>
      <c r="B1666" s="87"/>
      <c r="C1666" s="73"/>
      <c r="D1666" s="73"/>
      <c r="E1666" s="82"/>
      <c r="F1666" s="82"/>
      <c r="G1666" s="86"/>
      <c r="H1666" s="86"/>
      <c r="I1666" s="86"/>
      <c r="J1666" s="82"/>
      <c r="K1666" s="82"/>
      <c r="L1666" s="82"/>
      <c r="M1666" s="82"/>
      <c r="N1666" s="82"/>
      <c r="O1666" s="82"/>
      <c r="P1666" s="82"/>
      <c r="Q1666" s="82"/>
      <c r="R1666" s="82"/>
      <c r="S1666" s="82"/>
      <c r="T1666" s="82"/>
      <c r="U1666" s="82"/>
      <c r="V1666" s="82"/>
      <c r="W1666" s="82"/>
      <c r="X1666" s="82"/>
      <c r="Y1666" s="82"/>
      <c r="Z1666" s="82"/>
      <c r="AA1666" s="82"/>
      <c r="AB1666" s="82"/>
      <c r="AC1666" s="82"/>
      <c r="AD1666" s="82"/>
      <c r="AE1666" s="82"/>
      <c r="AF1666" s="82"/>
      <c r="AG1666" s="82"/>
      <c r="AH1666" s="82"/>
      <c r="AI1666" s="82"/>
      <c r="AJ1666" s="82"/>
      <c r="AK1666" s="82"/>
      <c r="AL1666" s="82"/>
      <c r="AM1666" s="82"/>
      <c r="AN1666" s="82"/>
      <c r="AO1666" s="82"/>
      <c r="AP1666" s="82"/>
      <c r="AQ1666" s="82"/>
      <c r="AR1666" s="82"/>
      <c r="AS1666" s="82"/>
      <c r="AT1666" s="82"/>
      <c r="AU1666" s="82"/>
      <c r="AV1666" s="82"/>
      <c r="AW1666" s="82" t="str">
        <f t="shared" si="1"/>
        <v/>
      </c>
      <c r="AX1666" s="83" t="str">
        <f t="array" ref="AX1666">IFERROR(DGET('SBV Import'!A:G,"SBV",{"RSC ID","Tier";B1666,A1666}))</f>
        <v/>
      </c>
      <c r="AY1666" s="82" t="str">
        <f t="shared" si="2"/>
        <v/>
      </c>
      <c r="AZ1666" s="82"/>
      <c r="BA1666" s="84" t="s">
        <v>152</v>
      </c>
      <c r="BB1666" s="84" t="str">
        <f>IFERROR(__xludf.DUMMYFUNCTION("iferror(if(A1666="""",,E1666&gt;=FILTER(Constants!$F$2:$F$10,Constants!$A$2:$A$10=A1666)))"),"")</f>
        <v/>
      </c>
    </row>
    <row r="1667">
      <c r="A1667" s="89"/>
      <c r="B1667" s="87"/>
      <c r="C1667" s="73"/>
      <c r="D1667" s="73"/>
      <c r="E1667" s="82"/>
      <c r="F1667" s="82"/>
      <c r="G1667" s="86"/>
      <c r="H1667" s="86"/>
      <c r="I1667" s="86"/>
      <c r="J1667" s="82"/>
      <c r="K1667" s="82"/>
      <c r="L1667" s="82"/>
      <c r="M1667" s="82"/>
      <c r="N1667" s="82"/>
      <c r="O1667" s="82"/>
      <c r="P1667" s="82"/>
      <c r="Q1667" s="82"/>
      <c r="R1667" s="82"/>
      <c r="S1667" s="82"/>
      <c r="T1667" s="82"/>
      <c r="U1667" s="82"/>
      <c r="V1667" s="82"/>
      <c r="W1667" s="82"/>
      <c r="X1667" s="82"/>
      <c r="Y1667" s="82"/>
      <c r="Z1667" s="82"/>
      <c r="AA1667" s="82"/>
      <c r="AB1667" s="82"/>
      <c r="AC1667" s="82"/>
      <c r="AD1667" s="82"/>
      <c r="AE1667" s="82"/>
      <c r="AF1667" s="82"/>
      <c r="AG1667" s="82"/>
      <c r="AH1667" s="82"/>
      <c r="AI1667" s="82"/>
      <c r="AJ1667" s="82"/>
      <c r="AK1667" s="82"/>
      <c r="AL1667" s="82"/>
      <c r="AM1667" s="82"/>
      <c r="AN1667" s="82"/>
      <c r="AO1667" s="82"/>
      <c r="AP1667" s="82"/>
      <c r="AQ1667" s="82"/>
      <c r="AR1667" s="82"/>
      <c r="AS1667" s="82"/>
      <c r="AT1667" s="82"/>
      <c r="AU1667" s="82"/>
      <c r="AV1667" s="82"/>
      <c r="AW1667" s="82" t="str">
        <f t="shared" si="1"/>
        <v/>
      </c>
      <c r="AX1667" s="83" t="str">
        <f t="array" ref="AX1667">IFERROR(DGET('SBV Import'!A:G,"SBV",{"RSC ID","Tier";B1667,A1667}))</f>
        <v/>
      </c>
      <c r="AY1667" s="82" t="str">
        <f t="shared" si="2"/>
        <v/>
      </c>
      <c r="AZ1667" s="82"/>
      <c r="BA1667" s="84" t="s">
        <v>152</v>
      </c>
      <c r="BB1667" s="84" t="str">
        <f>IFERROR(__xludf.DUMMYFUNCTION("iferror(if(A1667="""",,E1667&gt;=FILTER(Constants!$F$2:$F$10,Constants!$A$2:$A$10=A1667)))"),"")</f>
        <v/>
      </c>
    </row>
    <row r="1668">
      <c r="A1668" s="89"/>
      <c r="B1668" s="87"/>
      <c r="C1668" s="73"/>
      <c r="D1668" s="73"/>
      <c r="E1668" s="82"/>
      <c r="F1668" s="82"/>
      <c r="G1668" s="86"/>
      <c r="H1668" s="86"/>
      <c r="I1668" s="86"/>
      <c r="J1668" s="82"/>
      <c r="K1668" s="82"/>
      <c r="L1668" s="82"/>
      <c r="M1668" s="82"/>
      <c r="N1668" s="82"/>
      <c r="O1668" s="82"/>
      <c r="P1668" s="82"/>
      <c r="Q1668" s="82"/>
      <c r="R1668" s="82"/>
      <c r="S1668" s="82"/>
      <c r="T1668" s="82"/>
      <c r="U1668" s="82"/>
      <c r="V1668" s="82"/>
      <c r="W1668" s="82"/>
      <c r="X1668" s="82"/>
      <c r="Y1668" s="82"/>
      <c r="Z1668" s="82"/>
      <c r="AA1668" s="82"/>
      <c r="AB1668" s="82"/>
      <c r="AC1668" s="82"/>
      <c r="AD1668" s="82"/>
      <c r="AE1668" s="82"/>
      <c r="AF1668" s="82"/>
      <c r="AG1668" s="82"/>
      <c r="AH1668" s="82"/>
      <c r="AI1668" s="82"/>
      <c r="AJ1668" s="82"/>
      <c r="AK1668" s="82"/>
      <c r="AL1668" s="82"/>
      <c r="AM1668" s="82"/>
      <c r="AN1668" s="82"/>
      <c r="AO1668" s="82"/>
      <c r="AP1668" s="82"/>
      <c r="AQ1668" s="82"/>
      <c r="AR1668" s="82"/>
      <c r="AS1668" s="82"/>
      <c r="AT1668" s="82"/>
      <c r="AU1668" s="82"/>
      <c r="AV1668" s="82"/>
      <c r="AW1668" s="82" t="str">
        <f t="shared" si="1"/>
        <v/>
      </c>
      <c r="AX1668" s="83" t="str">
        <f t="array" ref="AX1668">IFERROR(DGET('SBV Import'!A:G,"SBV",{"RSC ID","Tier";B1668,A1668}))</f>
        <v/>
      </c>
      <c r="AY1668" s="82" t="str">
        <f t="shared" si="2"/>
        <v/>
      </c>
      <c r="AZ1668" s="82"/>
      <c r="BA1668" s="84" t="s">
        <v>152</v>
      </c>
      <c r="BB1668" s="84" t="str">
        <f>IFERROR(__xludf.DUMMYFUNCTION("iferror(if(A1668="""",,E1668&gt;=FILTER(Constants!$F$2:$F$10,Constants!$A$2:$A$10=A1668)))"),"")</f>
        <v/>
      </c>
    </row>
    <row r="1669">
      <c r="A1669" s="89"/>
      <c r="B1669" s="87"/>
      <c r="C1669" s="73"/>
      <c r="D1669" s="73"/>
      <c r="E1669" s="82"/>
      <c r="F1669" s="82"/>
      <c r="G1669" s="86"/>
      <c r="H1669" s="86"/>
      <c r="I1669" s="86"/>
      <c r="J1669" s="82"/>
      <c r="K1669" s="82"/>
      <c r="L1669" s="82"/>
      <c r="M1669" s="82"/>
      <c r="N1669" s="82"/>
      <c r="O1669" s="82"/>
      <c r="P1669" s="82"/>
      <c r="Q1669" s="82"/>
      <c r="R1669" s="82"/>
      <c r="S1669" s="82"/>
      <c r="T1669" s="82"/>
      <c r="U1669" s="82"/>
      <c r="V1669" s="82"/>
      <c r="W1669" s="82"/>
      <c r="X1669" s="82"/>
      <c r="Y1669" s="82"/>
      <c r="Z1669" s="82"/>
      <c r="AA1669" s="82"/>
      <c r="AB1669" s="82"/>
      <c r="AC1669" s="82"/>
      <c r="AD1669" s="82"/>
      <c r="AE1669" s="82"/>
      <c r="AF1669" s="82"/>
      <c r="AG1669" s="82"/>
      <c r="AH1669" s="82"/>
      <c r="AI1669" s="82"/>
      <c r="AJ1669" s="82"/>
      <c r="AK1669" s="82"/>
      <c r="AL1669" s="82"/>
      <c r="AM1669" s="82"/>
      <c r="AN1669" s="82"/>
      <c r="AO1669" s="82"/>
      <c r="AP1669" s="82"/>
      <c r="AQ1669" s="82"/>
      <c r="AR1669" s="82"/>
      <c r="AS1669" s="82"/>
      <c r="AT1669" s="82"/>
      <c r="AU1669" s="82"/>
      <c r="AV1669" s="82"/>
      <c r="AW1669" s="82" t="str">
        <f t="shared" si="1"/>
        <v/>
      </c>
      <c r="AX1669" s="83" t="str">
        <f t="array" ref="AX1669">IFERROR(DGET('SBV Import'!A:G,"SBV",{"RSC ID","Tier";B1669,A1669}))</f>
        <v/>
      </c>
      <c r="AY1669" s="82" t="str">
        <f t="shared" si="2"/>
        <v/>
      </c>
      <c r="AZ1669" s="82"/>
      <c r="BA1669" s="84" t="s">
        <v>152</v>
      </c>
      <c r="BB1669" s="84" t="str">
        <f>IFERROR(__xludf.DUMMYFUNCTION("iferror(if(A1669="""",,E1669&gt;=FILTER(Constants!$F$2:$F$10,Constants!$A$2:$A$10=A1669)))"),"")</f>
        <v/>
      </c>
    </row>
    <row r="1670">
      <c r="A1670" s="89"/>
      <c r="B1670" s="87"/>
      <c r="C1670" s="73"/>
      <c r="D1670" s="73"/>
      <c r="E1670" s="82"/>
      <c r="F1670" s="82"/>
      <c r="G1670" s="86"/>
      <c r="H1670" s="86"/>
      <c r="I1670" s="86"/>
      <c r="J1670" s="82"/>
      <c r="K1670" s="82"/>
      <c r="L1670" s="82"/>
      <c r="M1670" s="82"/>
      <c r="N1670" s="82"/>
      <c r="O1670" s="82"/>
      <c r="P1670" s="82"/>
      <c r="Q1670" s="82"/>
      <c r="R1670" s="82"/>
      <c r="S1670" s="82"/>
      <c r="T1670" s="82"/>
      <c r="U1670" s="82"/>
      <c r="V1670" s="82"/>
      <c r="W1670" s="82"/>
      <c r="X1670" s="82"/>
      <c r="Y1670" s="82"/>
      <c r="Z1670" s="82"/>
      <c r="AA1670" s="82"/>
      <c r="AB1670" s="82"/>
      <c r="AC1670" s="82"/>
      <c r="AD1670" s="82"/>
      <c r="AE1670" s="82"/>
      <c r="AF1670" s="82"/>
      <c r="AG1670" s="82"/>
      <c r="AH1670" s="82"/>
      <c r="AI1670" s="82"/>
      <c r="AJ1670" s="82"/>
      <c r="AK1670" s="82"/>
      <c r="AL1670" s="82"/>
      <c r="AM1670" s="82"/>
      <c r="AN1670" s="82"/>
      <c r="AO1670" s="82"/>
      <c r="AP1670" s="82"/>
      <c r="AQ1670" s="82"/>
      <c r="AR1670" s="82"/>
      <c r="AS1670" s="82"/>
      <c r="AT1670" s="82"/>
      <c r="AU1670" s="82"/>
      <c r="AV1670" s="82"/>
      <c r="AW1670" s="82" t="str">
        <f t="shared" si="1"/>
        <v/>
      </c>
      <c r="AX1670" s="83" t="str">
        <f t="array" ref="AX1670">IFERROR(DGET('SBV Import'!A:G,"SBV",{"RSC ID","Tier";B1670,A1670}))</f>
        <v/>
      </c>
      <c r="AY1670" s="82" t="str">
        <f t="shared" si="2"/>
        <v/>
      </c>
      <c r="AZ1670" s="82"/>
      <c r="BA1670" s="84" t="s">
        <v>152</v>
      </c>
      <c r="BB1670" s="84" t="str">
        <f>IFERROR(__xludf.DUMMYFUNCTION("iferror(if(A1670="""",,E1670&gt;=FILTER(Constants!$F$2:$F$10,Constants!$A$2:$A$10=A1670)))"),"")</f>
        <v/>
      </c>
    </row>
    <row r="1671">
      <c r="A1671" s="89"/>
      <c r="B1671" s="87"/>
      <c r="C1671" s="73"/>
      <c r="D1671" s="73"/>
      <c r="E1671" s="82"/>
      <c r="F1671" s="82"/>
      <c r="G1671" s="86"/>
      <c r="H1671" s="86"/>
      <c r="I1671" s="86"/>
      <c r="J1671" s="82"/>
      <c r="K1671" s="82"/>
      <c r="L1671" s="82"/>
      <c r="M1671" s="82"/>
      <c r="N1671" s="82"/>
      <c r="O1671" s="82"/>
      <c r="P1671" s="82"/>
      <c r="Q1671" s="82"/>
      <c r="R1671" s="82"/>
      <c r="S1671" s="82"/>
      <c r="T1671" s="82"/>
      <c r="U1671" s="82"/>
      <c r="V1671" s="82"/>
      <c r="W1671" s="82"/>
      <c r="X1671" s="82"/>
      <c r="Y1671" s="82"/>
      <c r="Z1671" s="82"/>
      <c r="AA1671" s="82"/>
      <c r="AB1671" s="82"/>
      <c r="AC1671" s="82"/>
      <c r="AD1671" s="82"/>
      <c r="AE1671" s="82"/>
      <c r="AF1671" s="82"/>
      <c r="AG1671" s="82"/>
      <c r="AH1671" s="82"/>
      <c r="AI1671" s="82"/>
      <c r="AJ1671" s="82"/>
      <c r="AK1671" s="82"/>
      <c r="AL1671" s="82"/>
      <c r="AM1671" s="82"/>
      <c r="AN1671" s="82"/>
      <c r="AO1671" s="82"/>
      <c r="AP1671" s="82"/>
      <c r="AQ1671" s="82"/>
      <c r="AR1671" s="82"/>
      <c r="AS1671" s="82"/>
      <c r="AT1671" s="82"/>
      <c r="AU1671" s="82"/>
      <c r="AV1671" s="82"/>
      <c r="AW1671" s="82" t="str">
        <f t="shared" si="1"/>
        <v/>
      </c>
      <c r="AX1671" s="83" t="str">
        <f t="array" ref="AX1671">IFERROR(DGET('SBV Import'!A:G,"SBV",{"RSC ID","Tier";B1671,A1671}))</f>
        <v/>
      </c>
      <c r="AY1671" s="82" t="str">
        <f t="shared" si="2"/>
        <v/>
      </c>
      <c r="AZ1671" s="82"/>
      <c r="BA1671" s="84" t="s">
        <v>152</v>
      </c>
      <c r="BB1671" s="84" t="str">
        <f>IFERROR(__xludf.DUMMYFUNCTION("iferror(if(A1671="""",,E1671&gt;=FILTER(Constants!$F$2:$F$10,Constants!$A$2:$A$10=A1671)))"),"")</f>
        <v/>
      </c>
    </row>
    <row r="1672">
      <c r="A1672" s="89"/>
      <c r="B1672" s="87"/>
      <c r="C1672" s="73"/>
      <c r="D1672" s="73"/>
      <c r="E1672" s="82"/>
      <c r="F1672" s="82"/>
      <c r="G1672" s="86"/>
      <c r="H1672" s="86"/>
      <c r="I1672" s="86"/>
      <c r="J1672" s="82"/>
      <c r="K1672" s="82"/>
      <c r="L1672" s="82"/>
      <c r="M1672" s="82"/>
      <c r="N1672" s="82"/>
      <c r="O1672" s="82"/>
      <c r="P1672" s="82"/>
      <c r="Q1672" s="82"/>
      <c r="R1672" s="82"/>
      <c r="S1672" s="82"/>
      <c r="T1672" s="82"/>
      <c r="U1672" s="82"/>
      <c r="V1672" s="82"/>
      <c r="W1672" s="82"/>
      <c r="X1672" s="82"/>
      <c r="Y1672" s="82"/>
      <c r="Z1672" s="82"/>
      <c r="AA1672" s="82"/>
      <c r="AB1672" s="82"/>
      <c r="AC1672" s="82"/>
      <c r="AD1672" s="82"/>
      <c r="AE1672" s="82"/>
      <c r="AF1672" s="82"/>
      <c r="AG1672" s="82"/>
      <c r="AH1672" s="82"/>
      <c r="AI1672" s="82"/>
      <c r="AJ1672" s="82"/>
      <c r="AK1672" s="82"/>
      <c r="AL1672" s="82"/>
      <c r="AM1672" s="82"/>
      <c r="AN1672" s="82"/>
      <c r="AO1672" s="82"/>
      <c r="AP1672" s="82"/>
      <c r="AQ1672" s="82"/>
      <c r="AR1672" s="82"/>
      <c r="AS1672" s="82"/>
      <c r="AT1672" s="82"/>
      <c r="AU1672" s="82"/>
      <c r="AV1672" s="82"/>
      <c r="AW1672" s="82" t="str">
        <f t="shared" si="1"/>
        <v/>
      </c>
      <c r="AX1672" s="83" t="str">
        <f t="array" ref="AX1672">IFERROR(DGET('SBV Import'!A:G,"SBV",{"RSC ID","Tier";B1672,A1672}))</f>
        <v/>
      </c>
      <c r="AY1672" s="82" t="str">
        <f t="shared" si="2"/>
        <v/>
      </c>
      <c r="AZ1672" s="82"/>
      <c r="BA1672" s="84" t="s">
        <v>152</v>
      </c>
      <c r="BB1672" s="84" t="str">
        <f>IFERROR(__xludf.DUMMYFUNCTION("iferror(if(A1672="""",,E1672&gt;=FILTER(Constants!$F$2:$F$10,Constants!$A$2:$A$10=A1672)))"),"")</f>
        <v/>
      </c>
    </row>
    <row r="1673">
      <c r="A1673" s="89"/>
      <c r="B1673" s="87"/>
      <c r="C1673" s="73"/>
      <c r="D1673" s="73"/>
      <c r="E1673" s="82"/>
      <c r="F1673" s="82"/>
      <c r="G1673" s="86"/>
      <c r="H1673" s="86"/>
      <c r="I1673" s="86"/>
      <c r="J1673" s="82"/>
      <c r="K1673" s="82"/>
      <c r="L1673" s="82"/>
      <c r="M1673" s="82"/>
      <c r="N1673" s="82"/>
      <c r="O1673" s="82"/>
      <c r="P1673" s="82"/>
      <c r="Q1673" s="82"/>
      <c r="R1673" s="82"/>
      <c r="S1673" s="82"/>
      <c r="T1673" s="82"/>
      <c r="U1673" s="82"/>
      <c r="V1673" s="82"/>
      <c r="W1673" s="82"/>
      <c r="X1673" s="82"/>
      <c r="Y1673" s="82"/>
      <c r="Z1673" s="82"/>
      <c r="AA1673" s="82"/>
      <c r="AB1673" s="82"/>
      <c r="AC1673" s="82"/>
      <c r="AD1673" s="82"/>
      <c r="AE1673" s="82"/>
      <c r="AF1673" s="82"/>
      <c r="AG1673" s="82"/>
      <c r="AH1673" s="82"/>
      <c r="AI1673" s="82"/>
      <c r="AJ1673" s="82"/>
      <c r="AK1673" s="82"/>
      <c r="AL1673" s="82"/>
      <c r="AM1673" s="82"/>
      <c r="AN1673" s="82"/>
      <c r="AO1673" s="82"/>
      <c r="AP1673" s="82"/>
      <c r="AQ1673" s="82"/>
      <c r="AR1673" s="82"/>
      <c r="AS1673" s="82"/>
      <c r="AT1673" s="82"/>
      <c r="AU1673" s="82"/>
      <c r="AV1673" s="82"/>
      <c r="AW1673" s="82" t="str">
        <f t="shared" si="1"/>
        <v/>
      </c>
      <c r="AX1673" s="83" t="str">
        <f t="array" ref="AX1673">IFERROR(DGET('SBV Import'!A:G,"SBV",{"RSC ID","Tier";B1673,A1673}))</f>
        <v/>
      </c>
      <c r="AY1673" s="82" t="str">
        <f t="shared" si="2"/>
        <v/>
      </c>
      <c r="AZ1673" s="82"/>
      <c r="BA1673" s="84" t="s">
        <v>152</v>
      </c>
      <c r="BB1673" s="84" t="str">
        <f>IFERROR(__xludf.DUMMYFUNCTION("iferror(if(A1673="""",,E1673&gt;=FILTER(Constants!$F$2:$F$10,Constants!$A$2:$A$10=A1673)))"),"")</f>
        <v/>
      </c>
    </row>
    <row r="1674">
      <c r="A1674" s="89"/>
      <c r="B1674" s="87"/>
      <c r="C1674" s="73"/>
      <c r="D1674" s="73"/>
      <c r="E1674" s="82"/>
      <c r="F1674" s="82"/>
      <c r="G1674" s="86"/>
      <c r="H1674" s="86"/>
      <c r="I1674" s="86"/>
      <c r="J1674" s="82"/>
      <c r="K1674" s="82"/>
      <c r="L1674" s="82"/>
      <c r="M1674" s="82"/>
      <c r="N1674" s="82"/>
      <c r="O1674" s="82"/>
      <c r="P1674" s="82"/>
      <c r="Q1674" s="82"/>
      <c r="R1674" s="82"/>
      <c r="S1674" s="82"/>
      <c r="T1674" s="82"/>
      <c r="U1674" s="82"/>
      <c r="V1674" s="82"/>
      <c r="W1674" s="82"/>
      <c r="X1674" s="82"/>
      <c r="Y1674" s="82"/>
      <c r="Z1674" s="82"/>
      <c r="AA1674" s="82"/>
      <c r="AB1674" s="82"/>
      <c r="AC1674" s="82"/>
      <c r="AD1674" s="82"/>
      <c r="AE1674" s="82"/>
      <c r="AF1674" s="82"/>
      <c r="AG1674" s="82"/>
      <c r="AH1674" s="82"/>
      <c r="AI1674" s="82"/>
      <c r="AJ1674" s="82"/>
      <c r="AK1674" s="82"/>
      <c r="AL1674" s="82"/>
      <c r="AM1674" s="82"/>
      <c r="AN1674" s="82"/>
      <c r="AO1674" s="82"/>
      <c r="AP1674" s="82"/>
      <c r="AQ1674" s="82"/>
      <c r="AR1674" s="82"/>
      <c r="AS1674" s="82"/>
      <c r="AT1674" s="82"/>
      <c r="AU1674" s="82"/>
      <c r="AV1674" s="82"/>
      <c r="AW1674" s="82" t="str">
        <f t="shared" si="1"/>
        <v/>
      </c>
      <c r="AX1674" s="83" t="str">
        <f t="array" ref="AX1674">IFERROR(DGET('SBV Import'!A:G,"SBV",{"RSC ID","Tier";B1674,A1674}))</f>
        <v/>
      </c>
      <c r="AY1674" s="82" t="str">
        <f t="shared" si="2"/>
        <v/>
      </c>
      <c r="AZ1674" s="82"/>
      <c r="BA1674" s="84" t="s">
        <v>152</v>
      </c>
      <c r="BB1674" s="84" t="str">
        <f>IFERROR(__xludf.DUMMYFUNCTION("iferror(if(A1674="""",,E1674&gt;=FILTER(Constants!$F$2:$F$10,Constants!$A$2:$A$10=A1674)))"),"")</f>
        <v/>
      </c>
    </row>
    <row r="1675">
      <c r="A1675" s="89"/>
      <c r="B1675" s="87"/>
      <c r="C1675" s="73"/>
      <c r="D1675" s="73"/>
      <c r="E1675" s="82"/>
      <c r="F1675" s="82"/>
      <c r="G1675" s="86"/>
      <c r="H1675" s="86"/>
      <c r="I1675" s="86"/>
      <c r="J1675" s="82"/>
      <c r="K1675" s="82"/>
      <c r="L1675" s="82"/>
      <c r="M1675" s="82"/>
      <c r="N1675" s="82"/>
      <c r="O1675" s="82"/>
      <c r="P1675" s="82"/>
      <c r="Q1675" s="82"/>
      <c r="R1675" s="82"/>
      <c r="S1675" s="82"/>
      <c r="T1675" s="82"/>
      <c r="U1675" s="82"/>
      <c r="V1675" s="82"/>
      <c r="W1675" s="82"/>
      <c r="X1675" s="82"/>
      <c r="Y1675" s="82"/>
      <c r="Z1675" s="82"/>
      <c r="AA1675" s="82"/>
      <c r="AB1675" s="82"/>
      <c r="AC1675" s="82"/>
      <c r="AD1675" s="82"/>
      <c r="AE1675" s="82"/>
      <c r="AF1675" s="82"/>
      <c r="AG1675" s="82"/>
      <c r="AH1675" s="82"/>
      <c r="AI1675" s="82"/>
      <c r="AJ1675" s="82"/>
      <c r="AK1675" s="82"/>
      <c r="AL1675" s="82"/>
      <c r="AM1675" s="82"/>
      <c r="AN1675" s="82"/>
      <c r="AO1675" s="82"/>
      <c r="AP1675" s="82"/>
      <c r="AQ1675" s="82"/>
      <c r="AR1675" s="82"/>
      <c r="AS1675" s="82"/>
      <c r="AT1675" s="82"/>
      <c r="AU1675" s="82"/>
      <c r="AV1675" s="82"/>
      <c r="AW1675" s="82" t="str">
        <f t="shared" si="1"/>
        <v/>
      </c>
      <c r="AX1675" s="83" t="str">
        <f t="array" ref="AX1675">IFERROR(DGET('SBV Import'!A:G,"SBV",{"RSC ID","Tier";B1675,A1675}))</f>
        <v/>
      </c>
      <c r="AY1675" s="82" t="str">
        <f t="shared" si="2"/>
        <v/>
      </c>
      <c r="AZ1675" s="82"/>
      <c r="BA1675" s="84" t="s">
        <v>152</v>
      </c>
      <c r="BB1675" s="84" t="str">
        <f>IFERROR(__xludf.DUMMYFUNCTION("iferror(if(A1675="""",,E1675&gt;=FILTER(Constants!$F$2:$F$10,Constants!$A$2:$A$10=A1675)))"),"")</f>
        <v/>
      </c>
    </row>
    <row r="1676">
      <c r="A1676" s="89"/>
      <c r="B1676" s="87"/>
      <c r="C1676" s="73"/>
      <c r="D1676" s="73"/>
      <c r="E1676" s="82"/>
      <c r="F1676" s="82"/>
      <c r="G1676" s="86"/>
      <c r="H1676" s="86"/>
      <c r="I1676" s="86"/>
      <c r="J1676" s="82"/>
      <c r="K1676" s="82"/>
      <c r="L1676" s="82"/>
      <c r="M1676" s="82"/>
      <c r="N1676" s="82"/>
      <c r="O1676" s="82"/>
      <c r="P1676" s="82"/>
      <c r="Q1676" s="82"/>
      <c r="R1676" s="82"/>
      <c r="S1676" s="82"/>
      <c r="T1676" s="82"/>
      <c r="U1676" s="82"/>
      <c r="V1676" s="82"/>
      <c r="W1676" s="82"/>
      <c r="X1676" s="82"/>
      <c r="Y1676" s="82"/>
      <c r="Z1676" s="82"/>
      <c r="AA1676" s="82"/>
      <c r="AB1676" s="82"/>
      <c r="AC1676" s="82"/>
      <c r="AD1676" s="82"/>
      <c r="AE1676" s="82"/>
      <c r="AF1676" s="82"/>
      <c r="AG1676" s="82"/>
      <c r="AH1676" s="82"/>
      <c r="AI1676" s="82"/>
      <c r="AJ1676" s="82"/>
      <c r="AK1676" s="82"/>
      <c r="AL1676" s="82"/>
      <c r="AM1676" s="82"/>
      <c r="AN1676" s="82"/>
      <c r="AO1676" s="82"/>
      <c r="AP1676" s="82"/>
      <c r="AQ1676" s="82"/>
      <c r="AR1676" s="82"/>
      <c r="AS1676" s="82"/>
      <c r="AT1676" s="82"/>
      <c r="AU1676" s="82"/>
      <c r="AV1676" s="82"/>
      <c r="AW1676" s="82" t="str">
        <f t="shared" si="1"/>
        <v/>
      </c>
      <c r="AX1676" s="83" t="str">
        <f t="array" ref="AX1676">IFERROR(DGET('SBV Import'!A:G,"SBV",{"RSC ID","Tier";B1676,A1676}))</f>
        <v/>
      </c>
      <c r="AY1676" s="82" t="str">
        <f t="shared" si="2"/>
        <v/>
      </c>
      <c r="AZ1676" s="82"/>
      <c r="BA1676" s="84" t="s">
        <v>152</v>
      </c>
      <c r="BB1676" s="84" t="str">
        <f>IFERROR(__xludf.DUMMYFUNCTION("iferror(if(A1676="""",,E1676&gt;=FILTER(Constants!$F$2:$F$10,Constants!$A$2:$A$10=A1676)))"),"")</f>
        <v/>
      </c>
    </row>
    <row r="1677">
      <c r="A1677" s="89"/>
      <c r="B1677" s="87"/>
      <c r="C1677" s="73"/>
      <c r="D1677" s="73"/>
      <c r="E1677" s="82"/>
      <c r="F1677" s="82"/>
      <c r="G1677" s="86"/>
      <c r="H1677" s="86"/>
      <c r="I1677" s="86"/>
      <c r="J1677" s="82"/>
      <c r="K1677" s="82"/>
      <c r="L1677" s="82"/>
      <c r="M1677" s="82"/>
      <c r="N1677" s="82"/>
      <c r="O1677" s="82"/>
      <c r="P1677" s="82"/>
      <c r="Q1677" s="82"/>
      <c r="R1677" s="82"/>
      <c r="S1677" s="82"/>
      <c r="T1677" s="82"/>
      <c r="U1677" s="82"/>
      <c r="V1677" s="82"/>
      <c r="W1677" s="82"/>
      <c r="X1677" s="82"/>
      <c r="Y1677" s="82"/>
      <c r="Z1677" s="82"/>
      <c r="AA1677" s="82"/>
      <c r="AB1677" s="82"/>
      <c r="AC1677" s="82"/>
      <c r="AD1677" s="82"/>
      <c r="AE1677" s="82"/>
      <c r="AF1677" s="82"/>
      <c r="AG1677" s="82"/>
      <c r="AH1677" s="82"/>
      <c r="AI1677" s="82"/>
      <c r="AJ1677" s="82"/>
      <c r="AK1677" s="82"/>
      <c r="AL1677" s="82"/>
      <c r="AM1677" s="82"/>
      <c r="AN1677" s="82"/>
      <c r="AO1677" s="82"/>
      <c r="AP1677" s="82"/>
      <c r="AQ1677" s="82"/>
      <c r="AR1677" s="82"/>
      <c r="AS1677" s="82"/>
      <c r="AT1677" s="82"/>
      <c r="AU1677" s="82"/>
      <c r="AV1677" s="82"/>
      <c r="AW1677" s="82" t="str">
        <f t="shared" si="1"/>
        <v/>
      </c>
      <c r="AX1677" s="83" t="str">
        <f t="array" ref="AX1677">IFERROR(DGET('SBV Import'!A:G,"SBV",{"RSC ID","Tier";B1677,A1677}))</f>
        <v/>
      </c>
      <c r="AY1677" s="82" t="str">
        <f t="shared" si="2"/>
        <v/>
      </c>
      <c r="AZ1677" s="82"/>
      <c r="BA1677" s="84" t="s">
        <v>152</v>
      </c>
      <c r="BB1677" s="84" t="str">
        <f>IFERROR(__xludf.DUMMYFUNCTION("iferror(if(A1677="""",,E1677&gt;=FILTER(Constants!$F$2:$F$10,Constants!$A$2:$A$10=A1677)))"),"")</f>
        <v/>
      </c>
    </row>
    <row r="1678">
      <c r="A1678" s="89"/>
      <c r="B1678" s="87"/>
      <c r="C1678" s="73"/>
      <c r="D1678" s="73"/>
      <c r="E1678" s="82"/>
      <c r="F1678" s="82"/>
      <c r="G1678" s="86"/>
      <c r="H1678" s="86"/>
      <c r="I1678" s="86"/>
      <c r="J1678" s="82"/>
      <c r="K1678" s="82"/>
      <c r="L1678" s="82"/>
      <c r="M1678" s="82"/>
      <c r="N1678" s="82"/>
      <c r="O1678" s="82"/>
      <c r="P1678" s="82"/>
      <c r="Q1678" s="82"/>
      <c r="R1678" s="82"/>
      <c r="S1678" s="82"/>
      <c r="T1678" s="82"/>
      <c r="U1678" s="82"/>
      <c r="V1678" s="82"/>
      <c r="W1678" s="82"/>
      <c r="X1678" s="82"/>
      <c r="Y1678" s="82"/>
      <c r="Z1678" s="82"/>
      <c r="AA1678" s="82"/>
      <c r="AB1678" s="82"/>
      <c r="AC1678" s="82"/>
      <c r="AD1678" s="82"/>
      <c r="AE1678" s="82"/>
      <c r="AF1678" s="82"/>
      <c r="AG1678" s="82"/>
      <c r="AH1678" s="82"/>
      <c r="AI1678" s="82"/>
      <c r="AJ1678" s="82"/>
      <c r="AK1678" s="82"/>
      <c r="AL1678" s="82"/>
      <c r="AM1678" s="82"/>
      <c r="AN1678" s="82"/>
      <c r="AO1678" s="82"/>
      <c r="AP1678" s="82"/>
      <c r="AQ1678" s="82"/>
      <c r="AR1678" s="82"/>
      <c r="AS1678" s="82"/>
      <c r="AT1678" s="82"/>
      <c r="AU1678" s="82"/>
      <c r="AV1678" s="82"/>
      <c r="AW1678" s="82" t="str">
        <f t="shared" si="1"/>
        <v/>
      </c>
      <c r="AX1678" s="83" t="str">
        <f t="array" ref="AX1678">IFERROR(DGET('SBV Import'!A:G,"SBV",{"RSC ID","Tier";B1678,A1678}))</f>
        <v/>
      </c>
      <c r="AY1678" s="82" t="str">
        <f t="shared" si="2"/>
        <v/>
      </c>
      <c r="AZ1678" s="82"/>
      <c r="BA1678" s="84" t="s">
        <v>152</v>
      </c>
      <c r="BB1678" s="84" t="str">
        <f>IFERROR(__xludf.DUMMYFUNCTION("iferror(if(A1678="""",,E1678&gt;=FILTER(Constants!$F$2:$F$10,Constants!$A$2:$A$10=A1678)))"),"")</f>
        <v/>
      </c>
    </row>
    <row r="1679">
      <c r="A1679" s="89"/>
      <c r="B1679" s="87"/>
      <c r="C1679" s="73"/>
      <c r="D1679" s="73"/>
      <c r="E1679" s="82"/>
      <c r="F1679" s="82"/>
      <c r="G1679" s="86"/>
      <c r="H1679" s="86"/>
      <c r="I1679" s="86"/>
      <c r="J1679" s="82"/>
      <c r="K1679" s="82"/>
      <c r="L1679" s="82"/>
      <c r="M1679" s="82"/>
      <c r="N1679" s="82"/>
      <c r="O1679" s="82"/>
      <c r="P1679" s="82"/>
      <c r="Q1679" s="82"/>
      <c r="R1679" s="82"/>
      <c r="S1679" s="82"/>
      <c r="T1679" s="82"/>
      <c r="U1679" s="82"/>
      <c r="V1679" s="82"/>
      <c r="W1679" s="82"/>
      <c r="X1679" s="82"/>
      <c r="Y1679" s="82"/>
      <c r="Z1679" s="82"/>
      <c r="AA1679" s="82"/>
      <c r="AB1679" s="82"/>
      <c r="AC1679" s="82"/>
      <c r="AD1679" s="82"/>
      <c r="AE1679" s="82"/>
      <c r="AF1679" s="82"/>
      <c r="AG1679" s="82"/>
      <c r="AH1679" s="82"/>
      <c r="AI1679" s="82"/>
      <c r="AJ1679" s="82"/>
      <c r="AK1679" s="82"/>
      <c r="AL1679" s="82"/>
      <c r="AM1679" s="82"/>
      <c r="AN1679" s="82"/>
      <c r="AO1679" s="82"/>
      <c r="AP1679" s="82"/>
      <c r="AQ1679" s="82"/>
      <c r="AR1679" s="82"/>
      <c r="AS1679" s="82"/>
      <c r="AT1679" s="82"/>
      <c r="AU1679" s="82"/>
      <c r="AV1679" s="82"/>
      <c r="AW1679" s="82" t="str">
        <f t="shared" si="1"/>
        <v/>
      </c>
      <c r="AX1679" s="83" t="str">
        <f t="array" ref="AX1679">IFERROR(DGET('SBV Import'!A:G,"SBV",{"RSC ID","Tier";B1679,A1679}))</f>
        <v/>
      </c>
      <c r="AY1679" s="82" t="str">
        <f t="shared" si="2"/>
        <v/>
      </c>
      <c r="AZ1679" s="82"/>
      <c r="BA1679" s="84" t="s">
        <v>152</v>
      </c>
      <c r="BB1679" s="84" t="str">
        <f>IFERROR(__xludf.DUMMYFUNCTION("iferror(if(A1679="""",,E1679&gt;=FILTER(Constants!$F$2:$F$10,Constants!$A$2:$A$10=A1679)))"),"")</f>
        <v/>
      </c>
    </row>
    <row r="1680">
      <c r="A1680" s="89"/>
      <c r="B1680" s="87"/>
      <c r="C1680" s="73"/>
      <c r="D1680" s="73"/>
      <c r="E1680" s="82"/>
      <c r="F1680" s="82"/>
      <c r="G1680" s="86"/>
      <c r="H1680" s="86"/>
      <c r="I1680" s="86"/>
      <c r="J1680" s="82"/>
      <c r="K1680" s="82"/>
      <c r="L1680" s="82"/>
      <c r="M1680" s="82"/>
      <c r="N1680" s="82"/>
      <c r="O1680" s="82"/>
      <c r="P1680" s="82"/>
      <c r="Q1680" s="82"/>
      <c r="R1680" s="82"/>
      <c r="S1680" s="82"/>
      <c r="T1680" s="82"/>
      <c r="U1680" s="82"/>
      <c r="V1680" s="82"/>
      <c r="W1680" s="82"/>
      <c r="X1680" s="82"/>
      <c r="Y1680" s="82"/>
      <c r="Z1680" s="82"/>
      <c r="AA1680" s="82"/>
      <c r="AB1680" s="82"/>
      <c r="AC1680" s="82"/>
      <c r="AD1680" s="82"/>
      <c r="AE1680" s="82"/>
      <c r="AF1680" s="82"/>
      <c r="AG1680" s="82"/>
      <c r="AH1680" s="82"/>
      <c r="AI1680" s="82"/>
      <c r="AJ1680" s="82"/>
      <c r="AK1680" s="82"/>
      <c r="AL1680" s="82"/>
      <c r="AM1680" s="82"/>
      <c r="AN1680" s="82"/>
      <c r="AO1680" s="82"/>
      <c r="AP1680" s="82"/>
      <c r="AQ1680" s="82"/>
      <c r="AR1680" s="82"/>
      <c r="AS1680" s="82"/>
      <c r="AT1680" s="82"/>
      <c r="AU1680" s="82"/>
      <c r="AV1680" s="82"/>
      <c r="AW1680" s="82" t="str">
        <f t="shared" si="1"/>
        <v/>
      </c>
      <c r="AX1680" s="83" t="str">
        <f t="array" ref="AX1680">IFERROR(DGET('SBV Import'!A:G,"SBV",{"RSC ID","Tier";B1680,A1680}))</f>
        <v/>
      </c>
      <c r="AY1680" s="82" t="str">
        <f t="shared" si="2"/>
        <v/>
      </c>
      <c r="AZ1680" s="82"/>
      <c r="BA1680" s="84" t="s">
        <v>152</v>
      </c>
      <c r="BB1680" s="84" t="str">
        <f>IFERROR(__xludf.DUMMYFUNCTION("iferror(if(A1680="""",,E1680&gt;=FILTER(Constants!$F$2:$F$10,Constants!$A$2:$A$10=A1680)))"),"")</f>
        <v/>
      </c>
    </row>
    <row r="1681">
      <c r="A1681" s="89"/>
      <c r="B1681" s="87"/>
      <c r="C1681" s="73"/>
      <c r="D1681" s="73"/>
      <c r="E1681" s="82"/>
      <c r="F1681" s="82"/>
      <c r="G1681" s="86"/>
      <c r="H1681" s="86"/>
      <c r="I1681" s="86"/>
      <c r="J1681" s="82"/>
      <c r="K1681" s="82"/>
      <c r="L1681" s="82"/>
      <c r="M1681" s="82"/>
      <c r="N1681" s="82"/>
      <c r="O1681" s="82"/>
      <c r="P1681" s="82"/>
      <c r="Q1681" s="82"/>
      <c r="R1681" s="82"/>
      <c r="S1681" s="82"/>
      <c r="T1681" s="82"/>
      <c r="U1681" s="82"/>
      <c r="V1681" s="82"/>
      <c r="W1681" s="82"/>
      <c r="X1681" s="82"/>
      <c r="Y1681" s="82"/>
      <c r="Z1681" s="82"/>
      <c r="AA1681" s="82"/>
      <c r="AB1681" s="82"/>
      <c r="AC1681" s="82"/>
      <c r="AD1681" s="82"/>
      <c r="AE1681" s="82"/>
      <c r="AF1681" s="82"/>
      <c r="AG1681" s="82"/>
      <c r="AH1681" s="82"/>
      <c r="AI1681" s="82"/>
      <c r="AJ1681" s="82"/>
      <c r="AK1681" s="82"/>
      <c r="AL1681" s="82"/>
      <c r="AM1681" s="82"/>
      <c r="AN1681" s="82"/>
      <c r="AO1681" s="82"/>
      <c r="AP1681" s="82"/>
      <c r="AQ1681" s="82"/>
      <c r="AR1681" s="82"/>
      <c r="AS1681" s="82"/>
      <c r="AT1681" s="82"/>
      <c r="AU1681" s="82"/>
      <c r="AV1681" s="82"/>
      <c r="AW1681" s="82" t="str">
        <f t="shared" si="1"/>
        <v/>
      </c>
      <c r="AX1681" s="83" t="str">
        <f t="array" ref="AX1681">IFERROR(DGET('SBV Import'!A:G,"SBV",{"RSC ID","Tier";B1681,A1681}))</f>
        <v/>
      </c>
      <c r="AY1681" s="82" t="str">
        <f t="shared" si="2"/>
        <v/>
      </c>
      <c r="AZ1681" s="82"/>
      <c r="BA1681" s="84" t="s">
        <v>152</v>
      </c>
      <c r="BB1681" s="84" t="str">
        <f>IFERROR(__xludf.DUMMYFUNCTION("iferror(if(A1681="""",,E1681&gt;=FILTER(Constants!$F$2:$F$10,Constants!$A$2:$A$10=A1681)))"),"")</f>
        <v/>
      </c>
    </row>
    <row r="1682">
      <c r="A1682" s="89"/>
      <c r="B1682" s="87"/>
      <c r="C1682" s="73"/>
      <c r="D1682" s="73"/>
      <c r="E1682" s="82"/>
      <c r="F1682" s="82"/>
      <c r="G1682" s="86"/>
      <c r="H1682" s="86"/>
      <c r="I1682" s="86"/>
      <c r="J1682" s="82"/>
      <c r="K1682" s="82"/>
      <c r="L1682" s="82"/>
      <c r="M1682" s="82"/>
      <c r="N1682" s="82"/>
      <c r="O1682" s="82"/>
      <c r="P1682" s="82"/>
      <c r="Q1682" s="82"/>
      <c r="R1682" s="82"/>
      <c r="S1682" s="82"/>
      <c r="T1682" s="82"/>
      <c r="U1682" s="82"/>
      <c r="V1682" s="82"/>
      <c r="W1682" s="82"/>
      <c r="X1682" s="82"/>
      <c r="Y1682" s="82"/>
      <c r="Z1682" s="82"/>
      <c r="AA1682" s="82"/>
      <c r="AB1682" s="82"/>
      <c r="AC1682" s="82"/>
      <c r="AD1682" s="82"/>
      <c r="AE1682" s="82"/>
      <c r="AF1682" s="82"/>
      <c r="AG1682" s="82"/>
      <c r="AH1682" s="82"/>
      <c r="AI1682" s="82"/>
      <c r="AJ1682" s="82"/>
      <c r="AK1682" s="82"/>
      <c r="AL1682" s="82"/>
      <c r="AM1682" s="82"/>
      <c r="AN1682" s="82"/>
      <c r="AO1682" s="82"/>
      <c r="AP1682" s="82"/>
      <c r="AQ1682" s="82"/>
      <c r="AR1682" s="82"/>
      <c r="AS1682" s="82"/>
      <c r="AT1682" s="82"/>
      <c r="AU1682" s="82"/>
      <c r="AV1682" s="82"/>
      <c r="AW1682" s="82" t="str">
        <f t="shared" si="1"/>
        <v/>
      </c>
      <c r="AX1682" s="83" t="str">
        <f t="array" ref="AX1682">IFERROR(DGET('SBV Import'!A:G,"SBV",{"RSC ID","Tier";B1682,A1682}))</f>
        <v/>
      </c>
      <c r="AY1682" s="82" t="str">
        <f t="shared" si="2"/>
        <v/>
      </c>
      <c r="AZ1682" s="82"/>
      <c r="BA1682" s="84" t="s">
        <v>152</v>
      </c>
      <c r="BB1682" s="84" t="str">
        <f>IFERROR(__xludf.DUMMYFUNCTION("iferror(if(A1682="""",,E1682&gt;=FILTER(Constants!$F$2:$F$10,Constants!$A$2:$A$10=A1682)))"),"")</f>
        <v/>
      </c>
    </row>
    <row r="1683">
      <c r="A1683" s="89"/>
      <c r="B1683" s="87"/>
      <c r="C1683" s="73"/>
      <c r="D1683" s="73"/>
      <c r="E1683" s="82"/>
      <c r="F1683" s="82"/>
      <c r="G1683" s="86"/>
      <c r="H1683" s="86"/>
      <c r="I1683" s="86"/>
      <c r="J1683" s="82"/>
      <c r="K1683" s="82"/>
      <c r="L1683" s="82"/>
      <c r="M1683" s="82"/>
      <c r="N1683" s="82"/>
      <c r="O1683" s="82"/>
      <c r="P1683" s="82"/>
      <c r="Q1683" s="82"/>
      <c r="R1683" s="82"/>
      <c r="S1683" s="82"/>
      <c r="T1683" s="82"/>
      <c r="U1683" s="82"/>
      <c r="V1683" s="82"/>
      <c r="W1683" s="82"/>
      <c r="X1683" s="82"/>
      <c r="Y1683" s="82"/>
      <c r="Z1683" s="82"/>
      <c r="AA1683" s="82"/>
      <c r="AB1683" s="82"/>
      <c r="AC1683" s="82"/>
      <c r="AD1683" s="82"/>
      <c r="AE1683" s="82"/>
      <c r="AF1683" s="82"/>
      <c r="AG1683" s="82"/>
      <c r="AH1683" s="82"/>
      <c r="AI1683" s="82"/>
      <c r="AJ1683" s="82"/>
      <c r="AK1683" s="82"/>
      <c r="AL1683" s="82"/>
      <c r="AM1683" s="82"/>
      <c r="AN1683" s="82"/>
      <c r="AO1683" s="82"/>
      <c r="AP1683" s="82"/>
      <c r="AQ1683" s="82"/>
      <c r="AR1683" s="82"/>
      <c r="AS1683" s="82"/>
      <c r="AT1683" s="82"/>
      <c r="AU1683" s="82"/>
      <c r="AV1683" s="82"/>
      <c r="AW1683" s="82" t="str">
        <f t="shared" si="1"/>
        <v/>
      </c>
      <c r="AX1683" s="83" t="str">
        <f t="array" ref="AX1683">IFERROR(DGET('SBV Import'!A:G,"SBV",{"RSC ID","Tier";B1683,A1683}))</f>
        <v/>
      </c>
      <c r="AY1683" s="82" t="str">
        <f t="shared" si="2"/>
        <v/>
      </c>
      <c r="AZ1683" s="82"/>
      <c r="BA1683" s="84" t="s">
        <v>152</v>
      </c>
      <c r="BB1683" s="84" t="str">
        <f>IFERROR(__xludf.DUMMYFUNCTION("iferror(if(A1683="""",,E1683&gt;=FILTER(Constants!$F$2:$F$10,Constants!$A$2:$A$10=A1683)))"),"")</f>
        <v/>
      </c>
    </row>
    <row r="1684">
      <c r="A1684" s="89"/>
      <c r="B1684" s="87"/>
      <c r="C1684" s="73"/>
      <c r="D1684" s="73"/>
      <c r="E1684" s="82"/>
      <c r="F1684" s="82"/>
      <c r="G1684" s="86"/>
      <c r="H1684" s="86"/>
      <c r="I1684" s="86"/>
      <c r="J1684" s="82"/>
      <c r="K1684" s="82"/>
      <c r="L1684" s="82"/>
      <c r="M1684" s="82"/>
      <c r="N1684" s="82"/>
      <c r="O1684" s="82"/>
      <c r="P1684" s="82"/>
      <c r="Q1684" s="82"/>
      <c r="R1684" s="82"/>
      <c r="S1684" s="82"/>
      <c r="T1684" s="82"/>
      <c r="U1684" s="82"/>
      <c r="V1684" s="82"/>
      <c r="W1684" s="82"/>
      <c r="X1684" s="82"/>
      <c r="Y1684" s="82"/>
      <c r="Z1684" s="82"/>
      <c r="AA1684" s="82"/>
      <c r="AB1684" s="82"/>
      <c r="AC1684" s="82"/>
      <c r="AD1684" s="82"/>
      <c r="AE1684" s="82"/>
      <c r="AF1684" s="82"/>
      <c r="AG1684" s="82"/>
      <c r="AH1684" s="82"/>
      <c r="AI1684" s="82"/>
      <c r="AJ1684" s="82"/>
      <c r="AK1684" s="82"/>
      <c r="AL1684" s="82"/>
      <c r="AM1684" s="82"/>
      <c r="AN1684" s="82"/>
      <c r="AO1684" s="82"/>
      <c r="AP1684" s="82"/>
      <c r="AQ1684" s="82"/>
      <c r="AR1684" s="82"/>
      <c r="AS1684" s="82"/>
      <c r="AT1684" s="82"/>
      <c r="AU1684" s="82"/>
      <c r="AV1684" s="82"/>
      <c r="AW1684" s="82" t="str">
        <f t="shared" si="1"/>
        <v/>
      </c>
      <c r="AX1684" s="83" t="str">
        <f t="array" ref="AX1684">IFERROR(DGET('SBV Import'!A:G,"SBV",{"RSC ID","Tier";B1684,A1684}))</f>
        <v/>
      </c>
      <c r="AY1684" s="82" t="str">
        <f t="shared" si="2"/>
        <v/>
      </c>
      <c r="AZ1684" s="82"/>
      <c r="BA1684" s="84" t="s">
        <v>152</v>
      </c>
      <c r="BB1684" s="84" t="str">
        <f>IFERROR(__xludf.DUMMYFUNCTION("iferror(if(A1684="""",,E1684&gt;=FILTER(Constants!$F$2:$F$10,Constants!$A$2:$A$10=A1684)))"),"")</f>
        <v/>
      </c>
    </row>
    <row r="1685">
      <c r="A1685" s="89"/>
      <c r="B1685" s="87"/>
      <c r="C1685" s="73"/>
      <c r="D1685" s="73"/>
      <c r="E1685" s="82"/>
      <c r="F1685" s="82"/>
      <c r="G1685" s="86"/>
      <c r="H1685" s="86"/>
      <c r="I1685" s="86"/>
      <c r="J1685" s="82"/>
      <c r="K1685" s="82"/>
      <c r="L1685" s="82"/>
      <c r="M1685" s="82"/>
      <c r="N1685" s="82"/>
      <c r="O1685" s="82"/>
      <c r="P1685" s="82"/>
      <c r="Q1685" s="82"/>
      <c r="R1685" s="82"/>
      <c r="S1685" s="82"/>
      <c r="T1685" s="82"/>
      <c r="U1685" s="82"/>
      <c r="V1685" s="82"/>
      <c r="W1685" s="82"/>
      <c r="X1685" s="82"/>
      <c r="Y1685" s="82"/>
      <c r="Z1685" s="82"/>
      <c r="AA1685" s="82"/>
      <c r="AB1685" s="82"/>
      <c r="AC1685" s="82"/>
      <c r="AD1685" s="82"/>
      <c r="AE1685" s="82"/>
      <c r="AF1685" s="82"/>
      <c r="AG1685" s="82"/>
      <c r="AH1685" s="82"/>
      <c r="AI1685" s="82"/>
      <c r="AJ1685" s="82"/>
      <c r="AK1685" s="82"/>
      <c r="AL1685" s="82"/>
      <c r="AM1685" s="82"/>
      <c r="AN1685" s="82"/>
      <c r="AO1685" s="82"/>
      <c r="AP1685" s="82"/>
      <c r="AQ1685" s="82"/>
      <c r="AR1685" s="82"/>
      <c r="AS1685" s="82"/>
      <c r="AT1685" s="82"/>
      <c r="AU1685" s="82"/>
      <c r="AV1685" s="82"/>
      <c r="AW1685" s="82" t="str">
        <f t="shared" si="1"/>
        <v/>
      </c>
      <c r="AX1685" s="83" t="str">
        <f t="array" ref="AX1685">IFERROR(DGET('SBV Import'!A:G,"SBV",{"RSC ID","Tier";B1685,A1685}))</f>
        <v/>
      </c>
      <c r="AY1685" s="82" t="str">
        <f t="shared" si="2"/>
        <v/>
      </c>
      <c r="AZ1685" s="82"/>
      <c r="BA1685" s="84" t="s">
        <v>152</v>
      </c>
      <c r="BB1685" s="84" t="str">
        <f>IFERROR(__xludf.DUMMYFUNCTION("iferror(if(A1685="""",,E1685&gt;=FILTER(Constants!$F$2:$F$10,Constants!$A$2:$A$10=A1685)))"),"")</f>
        <v/>
      </c>
    </row>
    <row r="1686">
      <c r="A1686" s="89"/>
      <c r="B1686" s="87"/>
      <c r="C1686" s="73"/>
      <c r="D1686" s="73"/>
      <c r="E1686" s="82"/>
      <c r="F1686" s="82"/>
      <c r="G1686" s="86"/>
      <c r="H1686" s="86"/>
      <c r="I1686" s="86"/>
      <c r="J1686" s="82"/>
      <c r="K1686" s="82"/>
      <c r="L1686" s="82"/>
      <c r="M1686" s="82"/>
      <c r="N1686" s="82"/>
      <c r="O1686" s="82"/>
      <c r="P1686" s="82"/>
      <c r="Q1686" s="82"/>
      <c r="R1686" s="82"/>
      <c r="S1686" s="82"/>
      <c r="T1686" s="82"/>
      <c r="U1686" s="82"/>
      <c r="V1686" s="82"/>
      <c r="W1686" s="82"/>
      <c r="X1686" s="82"/>
      <c r="Y1686" s="82"/>
      <c r="Z1686" s="82"/>
      <c r="AA1686" s="82"/>
      <c r="AB1686" s="82"/>
      <c r="AC1686" s="82"/>
      <c r="AD1686" s="82"/>
      <c r="AE1686" s="82"/>
      <c r="AF1686" s="82"/>
      <c r="AG1686" s="82"/>
      <c r="AH1686" s="82"/>
      <c r="AI1686" s="82"/>
      <c r="AJ1686" s="82"/>
      <c r="AK1686" s="82"/>
      <c r="AL1686" s="82"/>
      <c r="AM1686" s="82"/>
      <c r="AN1686" s="82"/>
      <c r="AO1686" s="82"/>
      <c r="AP1686" s="82"/>
      <c r="AQ1686" s="82"/>
      <c r="AR1686" s="82"/>
      <c r="AS1686" s="82"/>
      <c r="AT1686" s="82"/>
      <c r="AU1686" s="82"/>
      <c r="AV1686" s="82"/>
      <c r="AW1686" s="82" t="str">
        <f t="shared" si="1"/>
        <v/>
      </c>
      <c r="AX1686" s="83" t="str">
        <f t="array" ref="AX1686">IFERROR(DGET('SBV Import'!A:G,"SBV",{"RSC ID","Tier";B1686,A1686}))</f>
        <v/>
      </c>
      <c r="AY1686" s="82" t="str">
        <f t="shared" si="2"/>
        <v/>
      </c>
      <c r="AZ1686" s="82"/>
      <c r="BA1686" s="84" t="s">
        <v>152</v>
      </c>
      <c r="BB1686" s="84" t="str">
        <f>IFERROR(__xludf.DUMMYFUNCTION("iferror(if(A1686="""",,E1686&gt;=FILTER(Constants!$F$2:$F$10,Constants!$A$2:$A$10=A1686)))"),"")</f>
        <v/>
      </c>
    </row>
    <row r="1687">
      <c r="A1687" s="89"/>
      <c r="B1687" s="87"/>
      <c r="C1687" s="73"/>
      <c r="D1687" s="73"/>
      <c r="E1687" s="82"/>
      <c r="F1687" s="82"/>
      <c r="G1687" s="86"/>
      <c r="H1687" s="86"/>
      <c r="I1687" s="86"/>
      <c r="J1687" s="82"/>
      <c r="K1687" s="82"/>
      <c r="L1687" s="82"/>
      <c r="M1687" s="82"/>
      <c r="N1687" s="82"/>
      <c r="O1687" s="82"/>
      <c r="P1687" s="82"/>
      <c r="Q1687" s="82"/>
      <c r="R1687" s="82"/>
      <c r="S1687" s="82"/>
      <c r="T1687" s="82"/>
      <c r="U1687" s="82"/>
      <c r="V1687" s="82"/>
      <c r="W1687" s="82"/>
      <c r="X1687" s="82"/>
      <c r="Y1687" s="82"/>
      <c r="Z1687" s="82"/>
      <c r="AA1687" s="82"/>
      <c r="AB1687" s="82"/>
      <c r="AC1687" s="82"/>
      <c r="AD1687" s="82"/>
      <c r="AE1687" s="82"/>
      <c r="AF1687" s="82"/>
      <c r="AG1687" s="82"/>
      <c r="AH1687" s="82"/>
      <c r="AI1687" s="82"/>
      <c r="AJ1687" s="82"/>
      <c r="AK1687" s="82"/>
      <c r="AL1687" s="82"/>
      <c r="AM1687" s="82"/>
      <c r="AN1687" s="82"/>
      <c r="AO1687" s="82"/>
      <c r="AP1687" s="82"/>
      <c r="AQ1687" s="82"/>
      <c r="AR1687" s="82"/>
      <c r="AS1687" s="82"/>
      <c r="AT1687" s="82"/>
      <c r="AU1687" s="82"/>
      <c r="AV1687" s="82"/>
      <c r="AW1687" s="82" t="str">
        <f t="shared" si="1"/>
        <v/>
      </c>
      <c r="AX1687" s="83" t="str">
        <f t="array" ref="AX1687">IFERROR(DGET('SBV Import'!A:G,"SBV",{"RSC ID","Tier";B1687,A1687}))</f>
        <v/>
      </c>
      <c r="AY1687" s="82" t="str">
        <f t="shared" si="2"/>
        <v/>
      </c>
      <c r="AZ1687" s="82"/>
      <c r="BA1687" s="84" t="s">
        <v>152</v>
      </c>
      <c r="BB1687" s="84" t="str">
        <f>IFERROR(__xludf.DUMMYFUNCTION("iferror(if(A1687="""",,E1687&gt;=FILTER(Constants!$F$2:$F$10,Constants!$A$2:$A$10=A1687)))"),"")</f>
        <v/>
      </c>
    </row>
    <row r="1688">
      <c r="A1688" s="89"/>
      <c r="B1688" s="87"/>
      <c r="C1688" s="73"/>
      <c r="D1688" s="73"/>
      <c r="E1688" s="82"/>
      <c r="F1688" s="82"/>
      <c r="G1688" s="86"/>
      <c r="H1688" s="86"/>
      <c r="I1688" s="86"/>
      <c r="J1688" s="82"/>
      <c r="K1688" s="82"/>
      <c r="L1688" s="82"/>
      <c r="M1688" s="82"/>
      <c r="N1688" s="82"/>
      <c r="O1688" s="82"/>
      <c r="P1688" s="82"/>
      <c r="Q1688" s="82"/>
      <c r="R1688" s="82"/>
      <c r="S1688" s="82"/>
      <c r="T1688" s="82"/>
      <c r="U1688" s="82"/>
      <c r="V1688" s="82"/>
      <c r="W1688" s="82"/>
      <c r="X1688" s="82"/>
      <c r="Y1688" s="82"/>
      <c r="Z1688" s="82"/>
      <c r="AA1688" s="82"/>
      <c r="AB1688" s="82"/>
      <c r="AC1688" s="82"/>
      <c r="AD1688" s="82"/>
      <c r="AE1688" s="82"/>
      <c r="AF1688" s="82"/>
      <c r="AG1688" s="82"/>
      <c r="AH1688" s="82"/>
      <c r="AI1688" s="82"/>
      <c r="AJ1688" s="82"/>
      <c r="AK1688" s="82"/>
      <c r="AL1688" s="82"/>
      <c r="AM1688" s="82"/>
      <c r="AN1688" s="82"/>
      <c r="AO1688" s="82"/>
      <c r="AP1688" s="82"/>
      <c r="AQ1688" s="82"/>
      <c r="AR1688" s="82"/>
      <c r="AS1688" s="82"/>
      <c r="AT1688" s="82"/>
      <c r="AU1688" s="82"/>
      <c r="AV1688" s="82"/>
      <c r="AW1688" s="82" t="str">
        <f t="shared" si="1"/>
        <v/>
      </c>
      <c r="AX1688" s="83" t="str">
        <f t="array" ref="AX1688">IFERROR(DGET('SBV Import'!A:G,"SBV",{"RSC ID","Tier";B1688,A1688}))</f>
        <v/>
      </c>
      <c r="AY1688" s="82" t="str">
        <f t="shared" si="2"/>
        <v/>
      </c>
      <c r="AZ1688" s="82"/>
      <c r="BA1688" s="84" t="s">
        <v>152</v>
      </c>
      <c r="BB1688" s="84" t="str">
        <f>IFERROR(__xludf.DUMMYFUNCTION("iferror(if(A1688="""",,E1688&gt;=FILTER(Constants!$F$2:$F$10,Constants!$A$2:$A$10=A1688)))"),"")</f>
        <v/>
      </c>
    </row>
    <row r="1689">
      <c r="A1689" s="89"/>
      <c r="B1689" s="87"/>
      <c r="C1689" s="73"/>
      <c r="D1689" s="73"/>
      <c r="E1689" s="82"/>
      <c r="F1689" s="82"/>
      <c r="G1689" s="86"/>
      <c r="H1689" s="86"/>
      <c r="I1689" s="86"/>
      <c r="J1689" s="82"/>
      <c r="K1689" s="82"/>
      <c r="L1689" s="82"/>
      <c r="M1689" s="82"/>
      <c r="N1689" s="82"/>
      <c r="O1689" s="82"/>
      <c r="P1689" s="82"/>
      <c r="Q1689" s="82"/>
      <c r="R1689" s="82"/>
      <c r="S1689" s="82"/>
      <c r="T1689" s="82"/>
      <c r="U1689" s="82"/>
      <c r="V1689" s="82"/>
      <c r="W1689" s="82"/>
      <c r="X1689" s="82"/>
      <c r="Y1689" s="82"/>
      <c r="Z1689" s="82"/>
      <c r="AA1689" s="82"/>
      <c r="AB1689" s="82"/>
      <c r="AC1689" s="82"/>
      <c r="AD1689" s="82"/>
      <c r="AE1689" s="82"/>
      <c r="AF1689" s="82"/>
      <c r="AG1689" s="82"/>
      <c r="AH1689" s="82"/>
      <c r="AI1689" s="82"/>
      <c r="AJ1689" s="82"/>
      <c r="AK1689" s="82"/>
      <c r="AL1689" s="82"/>
      <c r="AM1689" s="82"/>
      <c r="AN1689" s="82"/>
      <c r="AO1689" s="82"/>
      <c r="AP1689" s="82"/>
      <c r="AQ1689" s="82"/>
      <c r="AR1689" s="82"/>
      <c r="AS1689" s="82"/>
      <c r="AT1689" s="82"/>
      <c r="AU1689" s="82"/>
      <c r="AV1689" s="82"/>
      <c r="AW1689" s="82" t="str">
        <f t="shared" si="1"/>
        <v/>
      </c>
      <c r="AX1689" s="83" t="str">
        <f t="array" ref="AX1689">IFERROR(DGET('SBV Import'!A:G,"SBV",{"RSC ID","Tier";B1689,A1689}))</f>
        <v/>
      </c>
      <c r="AY1689" s="82" t="str">
        <f t="shared" si="2"/>
        <v/>
      </c>
      <c r="AZ1689" s="82"/>
      <c r="BA1689" s="84" t="s">
        <v>152</v>
      </c>
      <c r="BB1689" s="84" t="str">
        <f>IFERROR(__xludf.DUMMYFUNCTION("iferror(if(A1689="""",,E1689&gt;=FILTER(Constants!$F$2:$F$10,Constants!$A$2:$A$10=A1689)))"),"")</f>
        <v/>
      </c>
    </row>
    <row r="1690">
      <c r="A1690" s="89"/>
      <c r="B1690" s="87"/>
      <c r="C1690" s="73"/>
      <c r="D1690" s="73"/>
      <c r="E1690" s="82"/>
      <c r="F1690" s="82"/>
      <c r="G1690" s="86"/>
      <c r="H1690" s="86"/>
      <c r="I1690" s="86"/>
      <c r="J1690" s="82"/>
      <c r="K1690" s="82"/>
      <c r="L1690" s="82"/>
      <c r="M1690" s="82"/>
      <c r="N1690" s="82"/>
      <c r="O1690" s="82"/>
      <c r="P1690" s="82"/>
      <c r="Q1690" s="82"/>
      <c r="R1690" s="82"/>
      <c r="S1690" s="82"/>
      <c r="T1690" s="82"/>
      <c r="U1690" s="82"/>
      <c r="V1690" s="82"/>
      <c r="W1690" s="82"/>
      <c r="X1690" s="82"/>
      <c r="Y1690" s="82"/>
      <c r="Z1690" s="82"/>
      <c r="AA1690" s="82"/>
      <c r="AB1690" s="82"/>
      <c r="AC1690" s="82"/>
      <c r="AD1690" s="82"/>
      <c r="AE1690" s="82"/>
      <c r="AF1690" s="82"/>
      <c r="AG1690" s="82"/>
      <c r="AH1690" s="82"/>
      <c r="AI1690" s="82"/>
      <c r="AJ1690" s="82"/>
      <c r="AK1690" s="82"/>
      <c r="AL1690" s="82"/>
      <c r="AM1690" s="82"/>
      <c r="AN1690" s="82"/>
      <c r="AO1690" s="82"/>
      <c r="AP1690" s="82"/>
      <c r="AQ1690" s="82"/>
      <c r="AR1690" s="82"/>
      <c r="AS1690" s="82"/>
      <c r="AT1690" s="82"/>
      <c r="AU1690" s="82"/>
      <c r="AV1690" s="82"/>
      <c r="AW1690" s="82" t="str">
        <f t="shared" si="1"/>
        <v/>
      </c>
      <c r="AX1690" s="83" t="str">
        <f t="array" ref="AX1690">IFERROR(DGET('SBV Import'!A:G,"SBV",{"RSC ID","Tier";B1690,A1690}))</f>
        <v/>
      </c>
      <c r="AY1690" s="82" t="str">
        <f t="shared" si="2"/>
        <v/>
      </c>
      <c r="AZ1690" s="82"/>
      <c r="BA1690" s="84" t="s">
        <v>152</v>
      </c>
      <c r="BB1690" s="84" t="str">
        <f>IFERROR(__xludf.DUMMYFUNCTION("iferror(if(A1690="""",,E1690&gt;=FILTER(Constants!$F$2:$F$10,Constants!$A$2:$A$10=A1690)))"),"")</f>
        <v/>
      </c>
    </row>
    <row r="1691">
      <c r="A1691" s="89"/>
      <c r="B1691" s="87"/>
      <c r="C1691" s="73"/>
      <c r="D1691" s="73"/>
      <c r="E1691" s="82"/>
      <c r="F1691" s="82"/>
      <c r="G1691" s="86"/>
      <c r="H1691" s="86"/>
      <c r="I1691" s="86"/>
      <c r="J1691" s="82"/>
      <c r="K1691" s="82"/>
      <c r="L1691" s="82"/>
      <c r="M1691" s="82"/>
      <c r="N1691" s="82"/>
      <c r="O1691" s="82"/>
      <c r="P1691" s="82"/>
      <c r="Q1691" s="82"/>
      <c r="R1691" s="82"/>
      <c r="S1691" s="82"/>
      <c r="T1691" s="82"/>
      <c r="U1691" s="82"/>
      <c r="V1691" s="82"/>
      <c r="W1691" s="82"/>
      <c r="X1691" s="82"/>
      <c r="Y1691" s="82"/>
      <c r="Z1691" s="82"/>
      <c r="AA1691" s="82"/>
      <c r="AB1691" s="82"/>
      <c r="AC1691" s="82"/>
      <c r="AD1691" s="82"/>
      <c r="AE1691" s="82"/>
      <c r="AF1691" s="82"/>
      <c r="AG1691" s="82"/>
      <c r="AH1691" s="82"/>
      <c r="AI1691" s="82"/>
      <c r="AJ1691" s="82"/>
      <c r="AK1691" s="82"/>
      <c r="AL1691" s="82"/>
      <c r="AM1691" s="82"/>
      <c r="AN1691" s="82"/>
      <c r="AO1691" s="82"/>
      <c r="AP1691" s="82"/>
      <c r="AQ1691" s="82"/>
      <c r="AR1691" s="82"/>
      <c r="AS1691" s="82"/>
      <c r="AT1691" s="82"/>
      <c r="AU1691" s="82"/>
      <c r="AV1691" s="82"/>
      <c r="AW1691" s="82" t="str">
        <f t="shared" si="1"/>
        <v/>
      </c>
      <c r="AX1691" s="83" t="str">
        <f t="array" ref="AX1691">IFERROR(DGET('SBV Import'!A:G,"SBV",{"RSC ID","Tier";B1691,A1691}))</f>
        <v/>
      </c>
      <c r="AY1691" s="82" t="str">
        <f t="shared" si="2"/>
        <v/>
      </c>
      <c r="AZ1691" s="82"/>
      <c r="BA1691" s="84" t="s">
        <v>152</v>
      </c>
      <c r="BB1691" s="84" t="str">
        <f>IFERROR(__xludf.DUMMYFUNCTION("iferror(if(A1691="""",,E1691&gt;=FILTER(Constants!$F$2:$F$10,Constants!$A$2:$A$10=A1691)))"),"")</f>
        <v/>
      </c>
    </row>
    <row r="1692">
      <c r="A1692" s="89"/>
      <c r="B1692" s="87"/>
      <c r="C1692" s="73"/>
      <c r="D1692" s="73"/>
      <c r="E1692" s="82"/>
      <c r="F1692" s="82"/>
      <c r="G1692" s="86"/>
      <c r="H1692" s="86"/>
      <c r="I1692" s="86"/>
      <c r="J1692" s="82"/>
      <c r="K1692" s="82"/>
      <c r="L1692" s="82"/>
      <c r="M1692" s="82"/>
      <c r="N1692" s="82"/>
      <c r="O1692" s="82"/>
      <c r="P1692" s="82"/>
      <c r="Q1692" s="82"/>
      <c r="R1692" s="82"/>
      <c r="S1692" s="82"/>
      <c r="T1692" s="82"/>
      <c r="U1692" s="82"/>
      <c r="V1692" s="82"/>
      <c r="W1692" s="82"/>
      <c r="X1692" s="82"/>
      <c r="Y1692" s="82"/>
      <c r="Z1692" s="82"/>
      <c r="AA1692" s="82"/>
      <c r="AB1692" s="82"/>
      <c r="AC1692" s="82"/>
      <c r="AD1692" s="82"/>
      <c r="AE1692" s="82"/>
      <c r="AF1692" s="82"/>
      <c r="AG1692" s="82"/>
      <c r="AH1692" s="82"/>
      <c r="AI1692" s="82"/>
      <c r="AJ1692" s="82"/>
      <c r="AK1692" s="82"/>
      <c r="AL1692" s="82"/>
      <c r="AM1692" s="82"/>
      <c r="AN1692" s="82"/>
      <c r="AO1692" s="82"/>
      <c r="AP1692" s="82"/>
      <c r="AQ1692" s="82"/>
      <c r="AR1692" s="82"/>
      <c r="AS1692" s="82"/>
      <c r="AT1692" s="82"/>
      <c r="AU1692" s="82"/>
      <c r="AV1692" s="82"/>
      <c r="AW1692" s="82" t="str">
        <f t="shared" si="1"/>
        <v/>
      </c>
      <c r="AX1692" s="83" t="str">
        <f t="array" ref="AX1692">IFERROR(DGET('SBV Import'!A:G,"SBV",{"RSC ID","Tier";B1692,A1692}))</f>
        <v/>
      </c>
      <c r="AY1692" s="82" t="str">
        <f t="shared" si="2"/>
        <v/>
      </c>
      <c r="AZ1692" s="82"/>
      <c r="BA1692" s="84" t="s">
        <v>152</v>
      </c>
      <c r="BB1692" s="84" t="str">
        <f>IFERROR(__xludf.DUMMYFUNCTION("iferror(if(A1692="""",,E1692&gt;=FILTER(Constants!$F$2:$F$10,Constants!$A$2:$A$10=A1692)))"),"")</f>
        <v/>
      </c>
    </row>
    <row r="1693">
      <c r="A1693" s="89"/>
      <c r="B1693" s="87"/>
      <c r="C1693" s="73"/>
      <c r="D1693" s="73"/>
      <c r="E1693" s="82"/>
      <c r="F1693" s="82"/>
      <c r="G1693" s="86"/>
      <c r="H1693" s="86"/>
      <c r="I1693" s="86"/>
      <c r="J1693" s="82"/>
      <c r="K1693" s="82"/>
      <c r="L1693" s="82"/>
      <c r="M1693" s="82"/>
      <c r="N1693" s="82"/>
      <c r="O1693" s="82"/>
      <c r="P1693" s="82"/>
      <c r="Q1693" s="82"/>
      <c r="R1693" s="82"/>
      <c r="S1693" s="82"/>
      <c r="T1693" s="82"/>
      <c r="U1693" s="82"/>
      <c r="V1693" s="82"/>
      <c r="W1693" s="82"/>
      <c r="X1693" s="82"/>
      <c r="Y1693" s="82"/>
      <c r="Z1693" s="82"/>
      <c r="AA1693" s="82"/>
      <c r="AB1693" s="82"/>
      <c r="AC1693" s="82"/>
      <c r="AD1693" s="82"/>
      <c r="AE1693" s="82"/>
      <c r="AF1693" s="82"/>
      <c r="AG1693" s="82"/>
      <c r="AH1693" s="82"/>
      <c r="AI1693" s="82"/>
      <c r="AJ1693" s="82"/>
      <c r="AK1693" s="82"/>
      <c r="AL1693" s="82"/>
      <c r="AM1693" s="82"/>
      <c r="AN1693" s="82"/>
      <c r="AO1693" s="82"/>
      <c r="AP1693" s="82"/>
      <c r="AQ1693" s="82"/>
      <c r="AR1693" s="82"/>
      <c r="AS1693" s="82"/>
      <c r="AT1693" s="82"/>
      <c r="AU1693" s="82"/>
      <c r="AV1693" s="82"/>
      <c r="AW1693" s="82" t="str">
        <f t="shared" si="1"/>
        <v/>
      </c>
      <c r="AX1693" s="83" t="str">
        <f t="array" ref="AX1693">IFERROR(DGET('SBV Import'!A:G,"SBV",{"RSC ID","Tier";B1693,A1693}))</f>
        <v/>
      </c>
      <c r="AY1693" s="82" t="str">
        <f t="shared" si="2"/>
        <v/>
      </c>
      <c r="AZ1693" s="82"/>
      <c r="BA1693" s="84" t="s">
        <v>152</v>
      </c>
      <c r="BB1693" s="84" t="str">
        <f>IFERROR(__xludf.DUMMYFUNCTION("iferror(if(A1693="""",,E1693&gt;=FILTER(Constants!$F$2:$F$10,Constants!$A$2:$A$10=A1693)))"),"")</f>
        <v/>
      </c>
    </row>
    <row r="1694">
      <c r="A1694" s="89"/>
      <c r="B1694" s="87"/>
      <c r="C1694" s="73"/>
      <c r="D1694" s="73"/>
      <c r="E1694" s="82"/>
      <c r="F1694" s="82"/>
      <c r="G1694" s="86"/>
      <c r="H1694" s="86"/>
      <c r="I1694" s="86"/>
      <c r="J1694" s="82"/>
      <c r="K1694" s="82"/>
      <c r="L1694" s="82"/>
      <c r="M1694" s="82"/>
      <c r="N1694" s="82"/>
      <c r="O1694" s="82"/>
      <c r="P1694" s="82"/>
      <c r="Q1694" s="82"/>
      <c r="R1694" s="82"/>
      <c r="S1694" s="82"/>
      <c r="T1694" s="82"/>
      <c r="U1694" s="82"/>
      <c r="V1694" s="82"/>
      <c r="W1694" s="82"/>
      <c r="X1694" s="82"/>
      <c r="Y1694" s="82"/>
      <c r="Z1694" s="82"/>
      <c r="AA1694" s="82"/>
      <c r="AB1694" s="82"/>
      <c r="AC1694" s="82"/>
      <c r="AD1694" s="82"/>
      <c r="AE1694" s="82"/>
      <c r="AF1694" s="82"/>
      <c r="AG1694" s="82"/>
      <c r="AH1694" s="82"/>
      <c r="AI1694" s="82"/>
      <c r="AJ1694" s="82"/>
      <c r="AK1694" s="82"/>
      <c r="AL1694" s="82"/>
      <c r="AM1694" s="82"/>
      <c r="AN1694" s="82"/>
      <c r="AO1694" s="82"/>
      <c r="AP1694" s="82"/>
      <c r="AQ1694" s="82"/>
      <c r="AR1694" s="82"/>
      <c r="AS1694" s="82"/>
      <c r="AT1694" s="82"/>
      <c r="AU1694" s="82"/>
      <c r="AV1694" s="82"/>
      <c r="AW1694" s="82" t="str">
        <f t="shared" si="1"/>
        <v/>
      </c>
      <c r="AX1694" s="83" t="str">
        <f t="array" ref="AX1694">IFERROR(DGET('SBV Import'!A:G,"SBV",{"RSC ID","Tier";B1694,A1694}))</f>
        <v/>
      </c>
      <c r="AY1694" s="82" t="str">
        <f t="shared" si="2"/>
        <v/>
      </c>
      <c r="AZ1694" s="82"/>
      <c r="BA1694" s="84" t="s">
        <v>152</v>
      </c>
      <c r="BB1694" s="84" t="str">
        <f>IFERROR(__xludf.DUMMYFUNCTION("iferror(if(A1694="""",,E1694&gt;=FILTER(Constants!$F$2:$F$10,Constants!$A$2:$A$10=A1694)))"),"")</f>
        <v/>
      </c>
    </row>
    <row r="1695">
      <c r="A1695" s="89"/>
      <c r="B1695" s="87"/>
      <c r="C1695" s="73"/>
      <c r="D1695" s="73"/>
      <c r="E1695" s="82"/>
      <c r="F1695" s="82"/>
      <c r="G1695" s="86"/>
      <c r="H1695" s="86"/>
      <c r="I1695" s="86"/>
      <c r="J1695" s="82"/>
      <c r="K1695" s="82"/>
      <c r="L1695" s="82"/>
      <c r="M1695" s="82"/>
      <c r="N1695" s="82"/>
      <c r="O1695" s="82"/>
      <c r="P1695" s="82"/>
      <c r="Q1695" s="82"/>
      <c r="R1695" s="82"/>
      <c r="S1695" s="82"/>
      <c r="T1695" s="82"/>
      <c r="U1695" s="82"/>
      <c r="V1695" s="82"/>
      <c r="W1695" s="82"/>
      <c r="X1695" s="82"/>
      <c r="Y1695" s="82"/>
      <c r="Z1695" s="82"/>
      <c r="AA1695" s="82"/>
      <c r="AB1695" s="82"/>
      <c r="AC1695" s="82"/>
      <c r="AD1695" s="82"/>
      <c r="AE1695" s="82"/>
      <c r="AF1695" s="82"/>
      <c r="AG1695" s="82"/>
      <c r="AH1695" s="82"/>
      <c r="AI1695" s="82"/>
      <c r="AJ1695" s="82"/>
      <c r="AK1695" s="82"/>
      <c r="AL1695" s="82"/>
      <c r="AM1695" s="82"/>
      <c r="AN1695" s="82"/>
      <c r="AO1695" s="82"/>
      <c r="AP1695" s="82"/>
      <c r="AQ1695" s="82"/>
      <c r="AR1695" s="82"/>
      <c r="AS1695" s="82"/>
      <c r="AT1695" s="82"/>
      <c r="AU1695" s="82"/>
      <c r="AV1695" s="82"/>
      <c r="AW1695" s="82" t="str">
        <f t="shared" si="1"/>
        <v/>
      </c>
      <c r="AX1695" s="83" t="str">
        <f t="array" ref="AX1695">IFERROR(DGET('SBV Import'!A:G,"SBV",{"RSC ID","Tier";B1695,A1695}))</f>
        <v/>
      </c>
      <c r="AY1695" s="82" t="str">
        <f t="shared" si="2"/>
        <v/>
      </c>
      <c r="AZ1695" s="82"/>
      <c r="BA1695" s="84" t="s">
        <v>152</v>
      </c>
      <c r="BB1695" s="84" t="str">
        <f>IFERROR(__xludf.DUMMYFUNCTION("iferror(if(A1695="""",,E1695&gt;=FILTER(Constants!$F$2:$F$10,Constants!$A$2:$A$10=A1695)))"),"")</f>
        <v/>
      </c>
    </row>
    <row r="1696">
      <c r="A1696" s="89"/>
      <c r="B1696" s="87"/>
      <c r="C1696" s="73"/>
      <c r="D1696" s="73"/>
      <c r="E1696" s="82"/>
      <c r="F1696" s="82"/>
      <c r="G1696" s="86"/>
      <c r="H1696" s="86"/>
      <c r="I1696" s="86"/>
      <c r="J1696" s="82"/>
      <c r="K1696" s="82"/>
      <c r="L1696" s="82"/>
      <c r="M1696" s="82"/>
      <c r="N1696" s="82"/>
      <c r="O1696" s="82"/>
      <c r="P1696" s="82"/>
      <c r="Q1696" s="82"/>
      <c r="R1696" s="82"/>
      <c r="S1696" s="82"/>
      <c r="T1696" s="82"/>
      <c r="U1696" s="82"/>
      <c r="V1696" s="82"/>
      <c r="W1696" s="82"/>
      <c r="X1696" s="82"/>
      <c r="Y1696" s="82"/>
      <c r="Z1696" s="82"/>
      <c r="AA1696" s="82"/>
      <c r="AB1696" s="82"/>
      <c r="AC1696" s="82"/>
      <c r="AD1696" s="82"/>
      <c r="AE1696" s="82"/>
      <c r="AF1696" s="82"/>
      <c r="AG1696" s="82"/>
      <c r="AH1696" s="82"/>
      <c r="AI1696" s="82"/>
      <c r="AJ1696" s="82"/>
      <c r="AK1696" s="82"/>
      <c r="AL1696" s="82"/>
      <c r="AM1696" s="82"/>
      <c r="AN1696" s="82"/>
      <c r="AO1696" s="82"/>
      <c r="AP1696" s="82"/>
      <c r="AQ1696" s="82"/>
      <c r="AR1696" s="82"/>
      <c r="AS1696" s="82"/>
      <c r="AT1696" s="82"/>
      <c r="AU1696" s="82"/>
      <c r="AV1696" s="82"/>
      <c r="AW1696" s="82" t="str">
        <f t="shared" si="1"/>
        <v/>
      </c>
      <c r="AX1696" s="83" t="str">
        <f t="array" ref="AX1696">IFERROR(DGET('SBV Import'!A:G,"SBV",{"RSC ID","Tier";B1696,A1696}))</f>
        <v/>
      </c>
      <c r="AY1696" s="82" t="str">
        <f t="shared" si="2"/>
        <v/>
      </c>
      <c r="AZ1696" s="82"/>
      <c r="BA1696" s="84" t="s">
        <v>152</v>
      </c>
      <c r="BB1696" s="84" t="str">
        <f>IFERROR(__xludf.DUMMYFUNCTION("iferror(if(A1696="""",,E1696&gt;=FILTER(Constants!$F$2:$F$10,Constants!$A$2:$A$10=A1696)))"),"")</f>
        <v/>
      </c>
    </row>
    <row r="1697">
      <c r="A1697" s="89"/>
      <c r="B1697" s="87"/>
      <c r="C1697" s="73"/>
      <c r="D1697" s="73"/>
      <c r="E1697" s="82"/>
      <c r="F1697" s="82"/>
      <c r="G1697" s="86"/>
      <c r="H1697" s="86"/>
      <c r="I1697" s="86"/>
      <c r="J1697" s="82"/>
      <c r="K1697" s="82"/>
      <c r="L1697" s="82"/>
      <c r="M1697" s="82"/>
      <c r="N1697" s="82"/>
      <c r="O1697" s="82"/>
      <c r="P1697" s="82"/>
      <c r="Q1697" s="82"/>
      <c r="R1697" s="82"/>
      <c r="S1697" s="82"/>
      <c r="T1697" s="82"/>
      <c r="U1697" s="82"/>
      <c r="V1697" s="82"/>
      <c r="W1697" s="82"/>
      <c r="X1697" s="82"/>
      <c r="Y1697" s="82"/>
      <c r="Z1697" s="82"/>
      <c r="AA1697" s="82"/>
      <c r="AB1697" s="82"/>
      <c r="AC1697" s="82"/>
      <c r="AD1697" s="82"/>
      <c r="AE1697" s="82"/>
      <c r="AF1697" s="82"/>
      <c r="AG1697" s="82"/>
      <c r="AH1697" s="82"/>
      <c r="AI1697" s="82"/>
      <c r="AJ1697" s="82"/>
      <c r="AK1697" s="82"/>
      <c r="AL1697" s="82"/>
      <c r="AM1697" s="82"/>
      <c r="AN1697" s="82"/>
      <c r="AO1697" s="82"/>
      <c r="AP1697" s="82"/>
      <c r="AQ1697" s="82"/>
      <c r="AR1697" s="82"/>
      <c r="AS1697" s="82"/>
      <c r="AT1697" s="82"/>
      <c r="AU1697" s="82"/>
      <c r="AV1697" s="82"/>
      <c r="AW1697" s="82" t="str">
        <f t="shared" si="1"/>
        <v/>
      </c>
      <c r="AX1697" s="83" t="str">
        <f t="array" ref="AX1697">IFERROR(DGET('SBV Import'!A:G,"SBV",{"RSC ID","Tier";B1697,A1697}))</f>
        <v/>
      </c>
      <c r="AY1697" s="82" t="str">
        <f t="shared" si="2"/>
        <v/>
      </c>
      <c r="AZ1697" s="82"/>
      <c r="BA1697" s="84" t="s">
        <v>152</v>
      </c>
      <c r="BB1697" s="84" t="str">
        <f>IFERROR(__xludf.DUMMYFUNCTION("iferror(if(A1697="""",,E1697&gt;=FILTER(Constants!$F$2:$F$10,Constants!$A$2:$A$10=A1697)))"),"")</f>
        <v/>
      </c>
    </row>
    <row r="1698">
      <c r="A1698" s="89"/>
      <c r="B1698" s="87"/>
      <c r="C1698" s="73"/>
      <c r="D1698" s="73"/>
      <c r="E1698" s="82"/>
      <c r="F1698" s="82"/>
      <c r="G1698" s="86"/>
      <c r="H1698" s="86"/>
      <c r="I1698" s="86"/>
      <c r="J1698" s="82"/>
      <c r="K1698" s="82"/>
      <c r="L1698" s="82"/>
      <c r="M1698" s="82"/>
      <c r="N1698" s="82"/>
      <c r="O1698" s="82"/>
      <c r="P1698" s="82"/>
      <c r="Q1698" s="82"/>
      <c r="R1698" s="82"/>
      <c r="S1698" s="82"/>
      <c r="T1698" s="82"/>
      <c r="U1698" s="82"/>
      <c r="V1698" s="82"/>
      <c r="W1698" s="82"/>
      <c r="X1698" s="82"/>
      <c r="Y1698" s="82"/>
      <c r="Z1698" s="82"/>
      <c r="AA1698" s="82"/>
      <c r="AB1698" s="82"/>
      <c r="AC1698" s="82"/>
      <c r="AD1698" s="82"/>
      <c r="AE1698" s="82"/>
      <c r="AF1698" s="82"/>
      <c r="AG1698" s="82"/>
      <c r="AH1698" s="82"/>
      <c r="AI1698" s="82"/>
      <c r="AJ1698" s="82"/>
      <c r="AK1698" s="82"/>
      <c r="AL1698" s="82"/>
      <c r="AM1698" s="82"/>
      <c r="AN1698" s="82"/>
      <c r="AO1698" s="82"/>
      <c r="AP1698" s="82"/>
      <c r="AQ1698" s="82"/>
      <c r="AR1698" s="82"/>
      <c r="AS1698" s="82"/>
      <c r="AT1698" s="82"/>
      <c r="AU1698" s="82"/>
      <c r="AV1698" s="82"/>
      <c r="AW1698" s="82" t="str">
        <f t="shared" si="1"/>
        <v/>
      </c>
      <c r="AX1698" s="83" t="str">
        <f t="array" ref="AX1698">IFERROR(DGET('SBV Import'!A:G,"SBV",{"RSC ID","Tier";B1698,A1698}))</f>
        <v/>
      </c>
      <c r="AY1698" s="82" t="str">
        <f t="shared" si="2"/>
        <v/>
      </c>
      <c r="AZ1698" s="82"/>
      <c r="BA1698" s="84" t="s">
        <v>152</v>
      </c>
      <c r="BB1698" s="84" t="str">
        <f>IFERROR(__xludf.DUMMYFUNCTION("iferror(if(A1698="""",,E1698&gt;=FILTER(Constants!$F$2:$F$10,Constants!$A$2:$A$10=A1698)))"),"")</f>
        <v/>
      </c>
    </row>
    <row r="1699">
      <c r="A1699" s="89"/>
      <c r="B1699" s="87"/>
      <c r="C1699" s="73"/>
      <c r="D1699" s="73"/>
      <c r="E1699" s="82"/>
      <c r="F1699" s="82"/>
      <c r="G1699" s="86"/>
      <c r="H1699" s="86"/>
      <c r="I1699" s="86"/>
      <c r="J1699" s="82"/>
      <c r="K1699" s="82"/>
      <c r="L1699" s="82"/>
      <c r="M1699" s="82"/>
      <c r="N1699" s="82"/>
      <c r="O1699" s="82"/>
      <c r="P1699" s="82"/>
      <c r="Q1699" s="82"/>
      <c r="R1699" s="82"/>
      <c r="S1699" s="82"/>
      <c r="T1699" s="82"/>
      <c r="U1699" s="82"/>
      <c r="V1699" s="82"/>
      <c r="W1699" s="82"/>
      <c r="X1699" s="82"/>
      <c r="Y1699" s="82"/>
      <c r="Z1699" s="82"/>
      <c r="AA1699" s="82"/>
      <c r="AB1699" s="82"/>
      <c r="AC1699" s="82"/>
      <c r="AD1699" s="82"/>
      <c r="AE1699" s="82"/>
      <c r="AF1699" s="82"/>
      <c r="AG1699" s="82"/>
      <c r="AH1699" s="82"/>
      <c r="AI1699" s="82"/>
      <c r="AJ1699" s="82"/>
      <c r="AK1699" s="82"/>
      <c r="AL1699" s="82"/>
      <c r="AM1699" s="82"/>
      <c r="AN1699" s="82"/>
      <c r="AO1699" s="82"/>
      <c r="AP1699" s="82"/>
      <c r="AQ1699" s="82"/>
      <c r="AR1699" s="82"/>
      <c r="AS1699" s="82"/>
      <c r="AT1699" s="82"/>
      <c r="AU1699" s="82"/>
      <c r="AV1699" s="82"/>
      <c r="AW1699" s="82" t="str">
        <f t="shared" si="1"/>
        <v/>
      </c>
      <c r="AX1699" s="83" t="str">
        <f t="array" ref="AX1699">IFERROR(DGET('SBV Import'!A:G,"SBV",{"RSC ID","Tier";B1699,A1699}))</f>
        <v/>
      </c>
      <c r="AY1699" s="82" t="str">
        <f t="shared" si="2"/>
        <v/>
      </c>
      <c r="AZ1699" s="82"/>
      <c r="BA1699" s="84" t="s">
        <v>152</v>
      </c>
      <c r="BB1699" s="84" t="str">
        <f>IFERROR(__xludf.DUMMYFUNCTION("iferror(if(A1699="""",,E1699&gt;=FILTER(Constants!$F$2:$F$10,Constants!$A$2:$A$10=A1699)))"),"")</f>
        <v/>
      </c>
    </row>
    <row r="1700">
      <c r="A1700" s="90" t="str">
        <f>IFERROR(__xludf.DUMMYFUNCTION("QUERY(IMPORTRANGE(Constants!$B6, ""'Player Stats'!a2:AV""), ""Select * order by Col48 desc"")"),"Rival")</f>
        <v>Rival</v>
      </c>
      <c r="B1700" s="87" t="str">
        <f>IFERROR(__xludf.DUMMYFUNCTION("""COMPUTED_VALUE"""),"RSC007482")</f>
        <v>RSC007482</v>
      </c>
      <c r="C1700" s="73" t="str">
        <f>IFERROR(__xludf.DUMMYFUNCTION("""COMPUTED_VALUE"""),"MyTyranosaur")</f>
        <v>MyTyranosaur</v>
      </c>
      <c r="D1700" s="73" t="str">
        <f>IFERROR(__xludf.DUMMYFUNCTION("""COMPUTED_VALUE"""),"50 Cent")</f>
        <v>50 Cent</v>
      </c>
      <c r="E1700" s="82">
        <f>IFERROR(__xludf.DUMMYFUNCTION("""COMPUTED_VALUE"""),32.0)</f>
        <v>32</v>
      </c>
      <c r="F1700" s="82">
        <f>IFERROR(__xludf.DUMMYFUNCTION("""COMPUTED_VALUE"""),15.0)</f>
        <v>15</v>
      </c>
      <c r="G1700" s="86">
        <f>IFERROR(__xludf.DUMMYFUNCTION("""COMPUTED_VALUE"""),17.0)</f>
        <v>17</v>
      </c>
      <c r="H1700" s="86">
        <f>IFERROR(__xludf.DUMMYFUNCTION("""COMPUTED_VALUE"""),0.46875)</f>
        <v>0.46875</v>
      </c>
      <c r="I1700" s="86">
        <f>IFERROR(__xludf.DUMMYFUNCTION("""COMPUTED_VALUE"""),0.3484848484848485)</f>
        <v>0.3484848485</v>
      </c>
      <c r="J1700" s="82">
        <f>IFERROR(__xludf.DUMMYFUNCTION("""COMPUTED_VALUE"""),493.625)</f>
        <v>493.625</v>
      </c>
      <c r="K1700" s="82">
        <f>IFERROR(__xludf.DUMMYFUNCTION("""COMPUTED_VALUE"""),1.4375)</f>
        <v>1.4375</v>
      </c>
      <c r="L1700" s="82">
        <f>IFERROR(__xludf.DUMMYFUNCTION("""COMPUTED_VALUE"""),0.75)</f>
        <v>0.75</v>
      </c>
      <c r="M1700" s="82">
        <f>IFERROR(__xludf.DUMMYFUNCTION("""COMPUTED_VALUE"""),1.71875)</f>
        <v>1.71875</v>
      </c>
      <c r="N1700" s="82">
        <f>IFERROR(__xludf.DUMMYFUNCTION("""COMPUTED_VALUE"""),4.125)</f>
        <v>4.125</v>
      </c>
      <c r="O1700" s="82">
        <f>IFERROR(__xludf.DUMMYFUNCTION("""COMPUTED_VALUE"""),367.75000000000006)</f>
        <v>367.75</v>
      </c>
      <c r="P1700" s="82">
        <f>IFERROR(__xludf.DUMMYFUNCTION("""COMPUTED_VALUE"""),0.8749999999999999)</f>
        <v>0.875</v>
      </c>
      <c r="Q1700" s="82">
        <f>IFERROR(__xludf.DUMMYFUNCTION("""COMPUTED_VALUE"""),0.6354166666666664)</f>
        <v>0.6354166667</v>
      </c>
      <c r="R1700" s="82">
        <f>IFERROR(__xludf.DUMMYFUNCTION("""COMPUTED_VALUE"""),1.4375)</f>
        <v>1.4375</v>
      </c>
      <c r="S1700" s="82">
        <f>IFERROR(__xludf.DUMMYFUNCTION("""COMPUTED_VALUE"""),2.6874999999999996)</f>
        <v>2.6875</v>
      </c>
      <c r="T1700" s="82">
        <f>IFERROR(__xludf.DUMMYFUNCTION("""COMPUTED_VALUE"""),350.6547399894782)</f>
        <v>350.65474</v>
      </c>
      <c r="U1700" s="82">
        <f>IFERROR(__xludf.DUMMYFUNCTION("""COMPUTED_VALUE"""),0.7943934882595667)</f>
        <v>0.7943934883</v>
      </c>
      <c r="V1700" s="82">
        <f>IFERROR(__xludf.DUMMYFUNCTION("""COMPUTED_VALUE"""),0.5632529907409474)</f>
        <v>0.5632529907</v>
      </c>
      <c r="W1700" s="82">
        <f>IFERROR(__xludf.DUMMYFUNCTION("""COMPUTED_VALUE"""),1.3871929277636519)</f>
        <v>1.387192928</v>
      </c>
      <c r="X1700" s="82">
        <f>IFERROR(__xludf.DUMMYFUNCTION("""COMPUTED_VALUE"""),2.6727613829865673)</f>
        <v>2.672761383</v>
      </c>
      <c r="Y1700" s="82">
        <f>IFERROR(__xludf.DUMMYFUNCTION("""COMPUTED_VALUE"""),352.6481079236636)</f>
        <v>352.6481079</v>
      </c>
      <c r="Z1700" s="82">
        <f>IFERROR(__xludf.DUMMYFUNCTION("""COMPUTED_VALUE"""),0.8155164354433286)</f>
        <v>0.8155164354</v>
      </c>
      <c r="AA1700" s="82">
        <f>IFERROR(__xludf.DUMMYFUNCTION("""COMPUTED_VALUE"""),0.599285212346455)</f>
        <v>0.5992852123</v>
      </c>
      <c r="AB1700" s="82">
        <f>IFERROR(__xludf.DUMMYFUNCTION("""COMPUTED_VALUE"""),1.3169354090843481)</f>
        <v>1.316935409</v>
      </c>
      <c r="AC1700" s="82">
        <f>IFERROR(__xludf.DUMMYFUNCTION("""COMPUTED_VALUE"""),2.6872520112449436)</f>
        <v>2.687252011</v>
      </c>
      <c r="AD1700" s="82">
        <f>IFERROR(__xludf.DUMMYFUNCTION("""COMPUTED_VALUE"""),1.399766477995263)</f>
        <v>1.399766478</v>
      </c>
      <c r="AE1700" s="82">
        <f>IFERROR(__xludf.DUMMYFUNCTION("""COMPUTED_VALUE"""),1.7626867314066461)</f>
        <v>1.762686731</v>
      </c>
      <c r="AF1700" s="82">
        <f>IFERROR(__xludf.DUMMYFUNCTION("""COMPUTED_VALUE"""),1.2514909170934367)</f>
        <v>1.251490917</v>
      </c>
      <c r="AG1700" s="82">
        <f>IFERROR(__xludf.DUMMYFUNCTION("""COMPUTED_VALUE"""),1.30511336254147)</f>
        <v>1.305113363</v>
      </c>
      <c r="AH1700" s="82">
        <f>IFERROR(__xludf.DUMMYFUNCTION("""COMPUTED_VALUE"""),1.535025365220205)</f>
        <v>1.535025365</v>
      </c>
      <c r="AI1700" s="82">
        <f>IFERROR(__xludf.DUMMYFUNCTION("""COMPUTED_VALUE"""),1.048752399614033)</f>
        <v>1.0487524</v>
      </c>
      <c r="AJ1700" s="82">
        <f>IFERROR(__xludf.DUMMYFUNCTION("""COMPUTED_VALUE"""),1.1014692503548005)</f>
        <v>1.10146925</v>
      </c>
      <c r="AK1700" s="82">
        <f>IFERROR(__xludf.DUMMYFUNCTION("""COMPUTED_VALUE"""),1.1281194722655432)</f>
        <v>1.128119472</v>
      </c>
      <c r="AL1700" s="82">
        <f>IFERROR(__xludf.DUMMYFUNCTION("""COMPUTED_VALUE"""),1.036265375370281)</f>
        <v>1.036265375</v>
      </c>
      <c r="AM1700" s="82">
        <f>IFERROR(__xludf.DUMMYFUNCTION("""COMPUTED_VALUE"""),1.0055143781660612)</f>
        <v>1.005514378</v>
      </c>
      <c r="AN1700" s="82">
        <f>IFERROR(__xludf.DUMMYFUNCTION("""COMPUTED_VALUE"""),1.456374780323017)</f>
        <v>1.45637478</v>
      </c>
      <c r="AO1700" s="82">
        <f>IFERROR(__xludf.DUMMYFUNCTION("""COMPUTED_VALUE"""),1.9566868507287247)</f>
        <v>1.956686851</v>
      </c>
      <c r="AP1700" s="82">
        <f>IFERROR(__xludf.DUMMYFUNCTION("""COMPUTED_VALUE"""),1.3392286024647886)</f>
        <v>1.339228602</v>
      </c>
      <c r="AQ1700" s="82">
        <f>IFERROR(__xludf.DUMMYFUNCTION("""COMPUTED_VALUE"""),1.3115872027497621)</f>
        <v>1.311587203</v>
      </c>
      <c r="AR1700" s="82">
        <f>IFERROR(__xludf.DUMMYFUNCTION("""COMPUTED_VALUE"""),1.6563966125212408)</f>
        <v>1.656396613</v>
      </c>
      <c r="AS1700" s="82">
        <f>IFERROR(__xludf.DUMMYFUNCTION("""COMPUTED_VALUE"""),93.0)</f>
        <v>93</v>
      </c>
      <c r="AT1700" s="82">
        <f>IFERROR(__xludf.DUMMYFUNCTION("""COMPUTED_VALUE"""),0.5414767847493875)</f>
        <v>0.5414767847</v>
      </c>
      <c r="AU1700" s="82">
        <f>IFERROR(__xludf.DUMMYFUNCTION("""COMPUTED_VALUE"""),3.83786438819075)</f>
        <v>3.837864388</v>
      </c>
      <c r="AV1700" s="82">
        <f>IFERROR(__xludf.DUMMYFUNCTION("""COMPUTED_VALUE"""),115.05333847972621)</f>
        <v>115.0533385</v>
      </c>
      <c r="AW1700" s="82">
        <f t="shared" si="1"/>
        <v>215.87602</v>
      </c>
      <c r="AX1700" s="83">
        <f t="array" ref="AX1700">IFERROR(DGET('SBV Import'!A:G,"SBV",{"RSC ID","Tier";B1700,A1700}))</f>
        <v>96.12081802</v>
      </c>
      <c r="AY1700" s="82">
        <f t="shared" si="2"/>
        <v>30.73996819</v>
      </c>
      <c r="AZ1700" s="82">
        <v>185.1360517625936</v>
      </c>
      <c r="BA1700" s="84">
        <v>1700.0</v>
      </c>
      <c r="BB1700" s="84" t="b">
        <f>IFERROR(__xludf.DUMMYFUNCTION("iferror(if(A1700="""",,E1700&gt;=FILTER(Constants!$F$2:$F$10,Constants!$A$2:$A$10=A1700)))"),TRUE)</f>
        <v>1</v>
      </c>
    </row>
    <row r="1701">
      <c r="A1701" s="89" t="str">
        <f>IFERROR(__xludf.DUMMYFUNCTION("""COMPUTED_VALUE"""),"Rival")</f>
        <v>Rival</v>
      </c>
      <c r="B1701" s="87" t="str">
        <f>IFERROR(__xludf.DUMMYFUNCTION("""COMPUTED_VALUE"""),"RSC005702")</f>
        <v>RSC005702</v>
      </c>
      <c r="C1701" s="73" t="str">
        <f>IFERROR(__xludf.DUMMYFUNCTION("""COMPUTED_VALUE"""),"Jaegie")</f>
        <v>Jaegie</v>
      </c>
      <c r="D1701" s="73" t="str">
        <f>IFERROR(__xludf.DUMMYFUNCTION("""COMPUTED_VALUE"""),"Iris")</f>
        <v>Iris</v>
      </c>
      <c r="E1701" s="82">
        <f>IFERROR(__xludf.DUMMYFUNCTION("""COMPUTED_VALUE"""),30.0)</f>
        <v>30</v>
      </c>
      <c r="F1701" s="82">
        <f>IFERROR(__xludf.DUMMYFUNCTION("""COMPUTED_VALUE"""),25.0)</f>
        <v>25</v>
      </c>
      <c r="G1701" s="86">
        <f>IFERROR(__xludf.DUMMYFUNCTION("""COMPUTED_VALUE"""),5.0)</f>
        <v>5</v>
      </c>
      <c r="H1701" s="86">
        <f>IFERROR(__xludf.DUMMYFUNCTION("""COMPUTED_VALUE"""),0.8333333333333334)</f>
        <v>0.8333333333</v>
      </c>
      <c r="I1701" s="86">
        <f>IFERROR(__xludf.DUMMYFUNCTION("""COMPUTED_VALUE"""),0.3823529411764706)</f>
        <v>0.3823529412</v>
      </c>
      <c r="J1701" s="82">
        <f>IFERROR(__xludf.DUMMYFUNCTION("""COMPUTED_VALUE"""),406.96666666666664)</f>
        <v>406.9666667</v>
      </c>
      <c r="K1701" s="82">
        <f>IFERROR(__xludf.DUMMYFUNCTION("""COMPUTED_VALUE"""),1.3)</f>
        <v>1.3</v>
      </c>
      <c r="L1701" s="82">
        <f>IFERROR(__xludf.DUMMYFUNCTION("""COMPUTED_VALUE"""),0.9333333333333333)</f>
        <v>0.9333333333</v>
      </c>
      <c r="M1701" s="82">
        <f>IFERROR(__xludf.DUMMYFUNCTION("""COMPUTED_VALUE"""),0.8666666666666667)</f>
        <v>0.8666666667</v>
      </c>
      <c r="N1701" s="82">
        <f>IFERROR(__xludf.DUMMYFUNCTION("""COMPUTED_VALUE"""),3.4)</f>
        <v>3.4</v>
      </c>
      <c r="O1701" s="82">
        <f>IFERROR(__xludf.DUMMYFUNCTION("""COMPUTED_VALUE"""),309.0222222222221)</f>
        <v>309.0222222</v>
      </c>
      <c r="P1701" s="82">
        <f>IFERROR(__xludf.DUMMYFUNCTION("""COMPUTED_VALUE"""),0.5111111111111112)</f>
        <v>0.5111111111</v>
      </c>
      <c r="Q1701" s="82">
        <f>IFERROR(__xludf.DUMMYFUNCTION("""COMPUTED_VALUE"""),0.34444444444444433)</f>
        <v>0.3444444444</v>
      </c>
      <c r="R1701" s="82">
        <f>IFERROR(__xludf.DUMMYFUNCTION("""COMPUTED_VALUE"""),1.5666666666666669)</f>
        <v>1.566666667</v>
      </c>
      <c r="S1701" s="82">
        <f>IFERROR(__xludf.DUMMYFUNCTION("""COMPUTED_VALUE"""),1.8666666666666671)</f>
        <v>1.866666667</v>
      </c>
      <c r="T1701" s="82">
        <f>IFERROR(__xludf.DUMMYFUNCTION("""COMPUTED_VALUE"""),336.2278650482952)</f>
        <v>336.227865</v>
      </c>
      <c r="U1701" s="82">
        <f>IFERROR(__xludf.DUMMYFUNCTION("""COMPUTED_VALUE"""),0.7279289324595658)</f>
        <v>0.7279289325</v>
      </c>
      <c r="V1701" s="82">
        <f>IFERROR(__xludf.DUMMYFUNCTION("""COMPUTED_VALUE"""),0.512222661247122)</f>
        <v>0.5122226612</v>
      </c>
      <c r="W1701" s="82">
        <f>IFERROR(__xludf.DUMMYFUNCTION("""COMPUTED_VALUE"""),1.333183854668729)</f>
        <v>1.333183855</v>
      </c>
      <c r="X1701" s="82">
        <f>IFERROR(__xludf.DUMMYFUNCTION("""COMPUTED_VALUE"""),2.3703436488611747)</f>
        <v>2.370343649</v>
      </c>
      <c r="Y1701" s="82">
        <f>IFERROR(__xludf.DUMMYFUNCTION("""COMPUTED_VALUE"""),358.54686679165206)</f>
        <v>358.5468668</v>
      </c>
      <c r="Z1701" s="82">
        <f>IFERROR(__xludf.DUMMYFUNCTION("""COMPUTED_VALUE"""),0.8706993523639653)</f>
        <v>0.8706993524</v>
      </c>
      <c r="AA1701" s="82">
        <f>IFERROR(__xludf.DUMMYFUNCTION("""COMPUTED_VALUE"""),0.6626871520557678)</f>
        <v>0.6626871521</v>
      </c>
      <c r="AB1701" s="82">
        <f>IFERROR(__xludf.DUMMYFUNCTION("""COMPUTED_VALUE"""),1.2197190290480395)</f>
        <v>1.219719029</v>
      </c>
      <c r="AC1701" s="82">
        <f>IFERROR(__xludf.DUMMYFUNCTION("""COMPUTED_VALUE"""),2.7326806924333598)</f>
        <v>2.732680692</v>
      </c>
      <c r="AD1701" s="82">
        <f>IFERROR(__xludf.DUMMYFUNCTION("""COMPUTED_VALUE"""),1.1350445488710708)</f>
        <v>1.135044549</v>
      </c>
      <c r="AE1701" s="82">
        <f>IFERROR(__xludf.DUMMYFUNCTION("""COMPUTED_VALUE"""),1.4930526782528037)</f>
        <v>1.493052678</v>
      </c>
      <c r="AF1701" s="82">
        <f>IFERROR(__xludf.DUMMYFUNCTION("""COMPUTED_VALUE"""),1.408407165338841)</f>
        <v>1.408407165</v>
      </c>
      <c r="AG1701" s="82">
        <f>IFERROR(__xludf.DUMMYFUNCTION("""COMPUTED_VALUE"""),0.710546155324869)</f>
        <v>0.7105461553</v>
      </c>
      <c r="AH1701" s="82">
        <f>IFERROR(__xludf.DUMMYFUNCTION("""COMPUTED_VALUE"""),1.2441995178633238)</f>
        <v>1.244199518</v>
      </c>
      <c r="AI1701" s="82">
        <f>IFERROR(__xludf.DUMMYFUNCTION("""COMPUTED_VALUE"""),0.9190856985569436)</f>
        <v>0.9190856986</v>
      </c>
      <c r="AJ1701" s="82">
        <f>IFERROR(__xludf.DUMMYFUNCTION("""COMPUTED_VALUE"""),0.7021442455709807)</f>
        <v>0.7021442456</v>
      </c>
      <c r="AK1701" s="82">
        <f>IFERROR(__xludf.DUMMYFUNCTION("""COMPUTED_VALUE"""),0.6724506167021513)</f>
        <v>0.6724506167</v>
      </c>
      <c r="AL1701" s="82">
        <f>IFERROR(__xludf.DUMMYFUNCTION("""COMPUTED_VALUE"""),1.175131742842741)</f>
        <v>1.175131743</v>
      </c>
      <c r="AM1701" s="82">
        <f>IFERROR(__xludf.DUMMYFUNCTION("""COMPUTED_VALUE"""),0.7875088776952246)</f>
        <v>0.7875088777</v>
      </c>
      <c r="AN1701" s="82">
        <f>IFERROR(__xludf.DUMMYFUNCTION("""COMPUTED_VALUE"""),1.200700916212625)</f>
        <v>1.200700916</v>
      </c>
      <c r="AO1701" s="82">
        <f>IFERROR(__xludf.DUMMYFUNCTION("""COMPUTED_VALUE"""),1.7695254997894556)</f>
        <v>1.7695255</v>
      </c>
      <c r="AP1701" s="82">
        <f>IFERROR(__xludf.DUMMYFUNCTION("""COMPUTED_VALUE"""),1.6665955941784036)</f>
        <v>1.666595594</v>
      </c>
      <c r="AQ1701" s="82">
        <f>IFERROR(__xludf.DUMMYFUNCTION("""COMPUTED_VALUE"""),0.6613579107198801)</f>
        <v>0.6613579107</v>
      </c>
      <c r="AR1701" s="82">
        <f>IFERROR(__xludf.DUMMYFUNCTION("""COMPUTED_VALUE"""),1.3652723594114469)</f>
        <v>1.365272359</v>
      </c>
      <c r="AS1701" s="82">
        <f>IFERROR(__xludf.DUMMYFUNCTION("""COMPUTED_VALUE"""),108.0)</f>
        <v>108</v>
      </c>
      <c r="AT1701" s="82">
        <f>IFERROR(__xludf.DUMMYFUNCTION("""COMPUTED_VALUE"""),0.7965458380204039)</f>
        <v>0.796545838</v>
      </c>
      <c r="AU1701" s="82">
        <f>IFERROR(__xludf.DUMMYFUNCTION("""COMPUTED_VALUE"""),3.6858366498936634)</f>
        <v>3.68583665</v>
      </c>
      <c r="AV1701" s="82">
        <f>IFERROR(__xludf.DUMMYFUNCTION("""COMPUTED_VALUE"""),109.68310010700405)</f>
        <v>109.6831001</v>
      </c>
      <c r="AW1701" s="82">
        <f t="shared" si="1"/>
        <v>117.8444373</v>
      </c>
      <c r="AX1701" s="83">
        <f t="array" ref="AX1701">IFERROR(DGET('SBV Import'!A:G,"SBV",{"RSC ID","Tier";B1701,A1701}))</f>
        <v>84.23320533</v>
      </c>
      <c r="AY1701" s="82">
        <f t="shared" si="2"/>
        <v>11.70297594</v>
      </c>
      <c r="AZ1701" s="82">
        <v>106.14146139826279</v>
      </c>
      <c r="BA1701" s="84">
        <v>1700.0</v>
      </c>
      <c r="BB1701" s="84" t="b">
        <f>IFERROR(__xludf.DUMMYFUNCTION("iferror(if(A1701="""",,E1701&gt;=FILTER(Constants!$F$2:$F$10,Constants!$A$2:$A$10=A1701)))"),TRUE)</f>
        <v>1</v>
      </c>
    </row>
    <row r="1702">
      <c r="A1702" s="89" t="str">
        <f>IFERROR(__xludf.DUMMYFUNCTION("""COMPUTED_VALUE"""),"Rival")</f>
        <v>Rival</v>
      </c>
      <c r="B1702" s="87" t="str">
        <f>IFERROR(__xludf.DUMMYFUNCTION("""COMPUTED_VALUE"""),"RSC002480")</f>
        <v>RSC002480</v>
      </c>
      <c r="C1702" s="73" t="str">
        <f>IFERROR(__xludf.DUMMYFUNCTION("""COMPUTED_VALUE"""),"blizzyy")</f>
        <v>blizzyy</v>
      </c>
      <c r="D1702" s="73" t="str">
        <f>IFERROR(__xludf.DUMMYFUNCTION("""COMPUTED_VALUE"""),"Iris")</f>
        <v>Iris</v>
      </c>
      <c r="E1702" s="82">
        <f>IFERROR(__xludf.DUMMYFUNCTION("""COMPUTED_VALUE"""),36.0)</f>
        <v>36</v>
      </c>
      <c r="F1702" s="82">
        <f>IFERROR(__xludf.DUMMYFUNCTION("""COMPUTED_VALUE"""),30.0)</f>
        <v>30</v>
      </c>
      <c r="G1702" s="86">
        <f>IFERROR(__xludf.DUMMYFUNCTION("""COMPUTED_VALUE"""),6.0)</f>
        <v>6</v>
      </c>
      <c r="H1702" s="86">
        <f>IFERROR(__xludf.DUMMYFUNCTION("""COMPUTED_VALUE"""),0.8333333333333334)</f>
        <v>0.8333333333</v>
      </c>
      <c r="I1702" s="86">
        <f>IFERROR(__xludf.DUMMYFUNCTION("""COMPUTED_VALUE"""),0.34579439252336447)</f>
        <v>0.3457943925</v>
      </c>
      <c r="J1702" s="82">
        <f>IFERROR(__xludf.DUMMYFUNCTION("""COMPUTED_VALUE"""),406.55555555555554)</f>
        <v>406.5555556</v>
      </c>
      <c r="K1702" s="82">
        <f>IFERROR(__xludf.DUMMYFUNCTION("""COMPUTED_VALUE"""),1.0277777777777777)</f>
        <v>1.027777778</v>
      </c>
      <c r="L1702" s="82">
        <f>IFERROR(__xludf.DUMMYFUNCTION("""COMPUTED_VALUE"""),1.1666666666666667)</f>
        <v>1.166666667</v>
      </c>
      <c r="M1702" s="82">
        <f>IFERROR(__xludf.DUMMYFUNCTION("""COMPUTED_VALUE"""),1.1388888888888888)</f>
        <v>1.138888889</v>
      </c>
      <c r="N1702" s="82">
        <f>IFERROR(__xludf.DUMMYFUNCTION("""COMPUTED_VALUE"""),2.9722222222222223)</f>
        <v>2.972222222</v>
      </c>
      <c r="O1702" s="82">
        <f>IFERROR(__xludf.DUMMYFUNCTION("""COMPUTED_VALUE"""),301.80555555555543)</f>
        <v>301.8055556</v>
      </c>
      <c r="P1702" s="82">
        <f>IFERROR(__xludf.DUMMYFUNCTION("""COMPUTED_VALUE"""),0.48148148148148157)</f>
        <v>0.4814814815</v>
      </c>
      <c r="Q1702" s="82">
        <f>IFERROR(__xludf.DUMMYFUNCTION("""COMPUTED_VALUE"""),0.3055555555555555)</f>
        <v>0.3055555556</v>
      </c>
      <c r="R1702" s="82">
        <f>IFERROR(__xludf.DUMMYFUNCTION("""COMPUTED_VALUE"""),1.490740740740741)</f>
        <v>1.490740741</v>
      </c>
      <c r="S1702" s="82">
        <f>IFERROR(__xludf.DUMMYFUNCTION("""COMPUTED_VALUE"""),1.8240740740740746)</f>
        <v>1.824074074</v>
      </c>
      <c r="T1702" s="82">
        <f>IFERROR(__xludf.DUMMYFUNCTION("""COMPUTED_VALUE"""),331.73039764742276)</f>
        <v>331.7303976</v>
      </c>
      <c r="U1702" s="82">
        <f>IFERROR(__xludf.DUMMYFUNCTION("""COMPUTED_VALUE"""),0.706397160172688)</f>
        <v>0.7063971602</v>
      </c>
      <c r="V1702" s="82">
        <f>IFERROR(__xludf.DUMMYFUNCTION("""COMPUTED_VALUE"""),0.49813833899205634)</f>
        <v>0.498138339</v>
      </c>
      <c r="W1702" s="82">
        <f>IFERROR(__xludf.DUMMYFUNCTION("""COMPUTED_VALUE"""),1.3197726668433956)</f>
        <v>1.319772667</v>
      </c>
      <c r="X1702" s="82">
        <f>IFERROR(__xludf.DUMMYFUNCTION("""COMPUTED_VALUE"""),2.3319170890150276)</f>
        <v>2.331917089</v>
      </c>
      <c r="Y1702" s="82">
        <f>IFERROR(__xludf.DUMMYFUNCTION("""COMPUTED_VALUE"""),357.8127826528814)</f>
        <v>357.8127827</v>
      </c>
      <c r="Z1702" s="82">
        <f>IFERROR(__xludf.DUMMYFUNCTION("""COMPUTED_VALUE"""),0.8607905899555451)</f>
        <v>0.86079059</v>
      </c>
      <c r="AA1702" s="82">
        <f>IFERROR(__xludf.DUMMYFUNCTION("""COMPUTED_VALUE"""),0.6505072805366827)</f>
        <v>0.6505072805</v>
      </c>
      <c r="AB1702" s="82">
        <f>IFERROR(__xludf.DUMMYFUNCTION("""COMPUTED_VALUE"""),1.2208620453028873)</f>
        <v>1.220862045</v>
      </c>
      <c r="AC1702" s="82">
        <f>IFERROR(__xludf.DUMMYFUNCTION("""COMPUTED_VALUE"""),2.704290958251514)</f>
        <v>2.704290958</v>
      </c>
      <c r="AD1702" s="82">
        <f>IFERROR(__xludf.DUMMYFUNCTION("""COMPUTED_VALUE"""),1.1362242358735408)</f>
        <v>1.136224236</v>
      </c>
      <c r="AE1702" s="82">
        <f>IFERROR(__xludf.DUMMYFUNCTION("""COMPUTED_VALUE"""),1.1939928128522599)</f>
        <v>1.193992813</v>
      </c>
      <c r="AF1702" s="82">
        <f>IFERROR(__xludf.DUMMYFUNCTION("""COMPUTED_VALUE"""),1.7934721125705793)</f>
        <v>1.793472113</v>
      </c>
      <c r="AG1702" s="82">
        <f>IFERROR(__xludf.DUMMYFUNCTION("""COMPUTED_VALUE"""),0.9328563315328051)</f>
        <v>0.9328563315</v>
      </c>
      <c r="AH1702" s="82">
        <f>IFERROR(__xludf.DUMMYFUNCTION("""COMPUTED_VALUE"""),1.09907634500392)</f>
        <v>1.099076345</v>
      </c>
      <c r="AI1702" s="82">
        <f>IFERROR(__xludf.DUMMYFUNCTION("""COMPUTED_VALUE"""),0.9097916793152229)</f>
        <v>0.9097916793</v>
      </c>
      <c r="AJ1702" s="82">
        <f>IFERROR(__xludf.DUMMYFUNCTION("""COMPUTED_VALUE"""),0.6816016663540622)</f>
        <v>0.6816016664</v>
      </c>
      <c r="AK1702" s="82">
        <f>IFERROR(__xludf.DUMMYFUNCTION("""COMPUTED_VALUE"""),0.6133949781376457)</f>
        <v>0.6133949781</v>
      </c>
      <c r="AL1702" s="82">
        <f>IFERROR(__xludf.DUMMYFUNCTION("""COMPUTED_VALUE"""),1.129543578369647)</f>
        <v>1.129543578</v>
      </c>
      <c r="AM1702" s="82">
        <f>IFERROR(__xludf.DUMMYFUNCTION("""COMPUTED_VALUE"""),0.782220809936489)</f>
        <v>0.7822208099</v>
      </c>
      <c r="AN1702" s="82">
        <f>IFERROR(__xludf.DUMMYFUNCTION("""COMPUTED_VALUE"""),1.1994879876653821)</f>
        <v>1.199487988</v>
      </c>
      <c r="AO1702" s="82">
        <f>IFERROR(__xludf.DUMMYFUNCTION("""COMPUTED_VALUE"""),1.3989838353036292)</f>
        <v>1.398983835</v>
      </c>
      <c r="AP1702" s="82">
        <f>IFERROR(__xludf.DUMMYFUNCTION("""COMPUTED_VALUE"""),2.0832444927230047)</f>
        <v>2.083244493</v>
      </c>
      <c r="AQ1702" s="82">
        <f>IFERROR(__xludf.DUMMYFUNCTION("""COMPUTED_VALUE"""),0.8690921262665091)</f>
        <v>0.8690921263</v>
      </c>
      <c r="AR1702" s="82">
        <f>IFERROR(__xludf.DUMMYFUNCTION("""COMPUTED_VALUE"""),1.1934978958907256)</f>
        <v>1.193497896</v>
      </c>
      <c r="AS1702" s="82">
        <f>IFERROR(__xludf.DUMMYFUNCTION("""COMPUTED_VALUE"""),120.0)</f>
        <v>120</v>
      </c>
      <c r="AT1702" s="82">
        <f>IFERROR(__xludf.DUMMYFUNCTION("""COMPUTED_VALUE"""),0.7875139915217547)</f>
        <v>0.7875139915</v>
      </c>
      <c r="AU1702" s="82">
        <f>IFERROR(__xludf.DUMMYFUNCTION("""COMPUTED_VALUE"""),3.5077479027570666)</f>
        <v>3.507747903</v>
      </c>
      <c r="AV1702" s="82">
        <f>IFERROR(__xludf.DUMMYFUNCTION("""COMPUTED_VALUE"""),103.39228085036257)</f>
        <v>103.3922809</v>
      </c>
      <c r="AW1702" s="82">
        <f t="shared" si="1"/>
        <v>61.15349672</v>
      </c>
      <c r="AX1702" s="83">
        <f t="array" ref="AX1702">IFERROR(DGET('SBV Import'!A:G,"SBV",{"RSC ID","Tier";B1702,A1702}))</f>
        <v>90.69127471</v>
      </c>
      <c r="AY1702" s="82">
        <f t="shared" si="2"/>
        <v>19.30522224</v>
      </c>
      <c r="AZ1702" s="82">
        <v>41.84827448437517</v>
      </c>
      <c r="BA1702" s="84">
        <v>1700.0</v>
      </c>
      <c r="BB1702" s="84" t="b">
        <f>IFERROR(__xludf.DUMMYFUNCTION("iferror(if(A1702="""",,E1702&gt;=FILTER(Constants!$F$2:$F$10,Constants!$A$2:$A$10=A1702)))"),TRUE)</f>
        <v>1</v>
      </c>
    </row>
    <row r="1703">
      <c r="A1703" s="89" t="str">
        <f>IFERROR(__xludf.DUMMYFUNCTION("""COMPUTED_VALUE"""),"Rival")</f>
        <v>Rival</v>
      </c>
      <c r="B1703" s="87" t="str">
        <f>IFERROR(__xludf.DUMMYFUNCTION("""COMPUTED_VALUE"""),"RSC006581")</f>
        <v>RSC006581</v>
      </c>
      <c r="C1703" s="73" t="str">
        <f>IFERROR(__xludf.DUMMYFUNCTION("""COMPUTED_VALUE"""),"Light_Wigglebean")</f>
        <v>Light_Wigglebean</v>
      </c>
      <c r="D1703" s="73" t="str">
        <f>IFERROR(__xludf.DUMMYFUNCTION("""COMPUTED_VALUE"""),"Mining Legion")</f>
        <v>Mining Legion</v>
      </c>
      <c r="E1703" s="82">
        <f>IFERROR(__xludf.DUMMYFUNCTION("""COMPUTED_VALUE"""),34.0)</f>
        <v>34</v>
      </c>
      <c r="F1703" s="82">
        <f>IFERROR(__xludf.DUMMYFUNCTION("""COMPUTED_VALUE"""),24.0)</f>
        <v>24</v>
      </c>
      <c r="G1703" s="86">
        <f>IFERROR(__xludf.DUMMYFUNCTION("""COMPUTED_VALUE"""),10.0)</f>
        <v>10</v>
      </c>
      <c r="H1703" s="86">
        <f>IFERROR(__xludf.DUMMYFUNCTION("""COMPUTED_VALUE"""),0.7058823529411765)</f>
        <v>0.7058823529</v>
      </c>
      <c r="I1703" s="86">
        <f>IFERROR(__xludf.DUMMYFUNCTION("""COMPUTED_VALUE"""),0.3360655737704918)</f>
        <v>0.3360655738</v>
      </c>
      <c r="J1703" s="82">
        <f>IFERROR(__xludf.DUMMYFUNCTION("""COMPUTED_VALUE"""),396.7647058823529)</f>
        <v>396.7647059</v>
      </c>
      <c r="K1703" s="82">
        <f>IFERROR(__xludf.DUMMYFUNCTION("""COMPUTED_VALUE"""),1.2058823529411764)</f>
        <v>1.205882353</v>
      </c>
      <c r="L1703" s="82">
        <f>IFERROR(__xludf.DUMMYFUNCTION("""COMPUTED_VALUE"""),0.8235294117647058)</f>
        <v>0.8235294118</v>
      </c>
      <c r="M1703" s="82">
        <f>IFERROR(__xludf.DUMMYFUNCTION("""COMPUTED_VALUE"""),0.7352941176470589)</f>
        <v>0.7352941176</v>
      </c>
      <c r="N1703" s="82">
        <f>IFERROR(__xludf.DUMMYFUNCTION("""COMPUTED_VALUE"""),3.588235294117647)</f>
        <v>3.588235294</v>
      </c>
      <c r="O1703" s="82">
        <f>IFERROR(__xludf.DUMMYFUNCTION("""COMPUTED_VALUE"""),319.0490196078431)</f>
        <v>319.0490196</v>
      </c>
      <c r="P1703" s="82">
        <f>IFERROR(__xludf.DUMMYFUNCTION("""COMPUTED_VALUE"""),0.5980392156862745)</f>
        <v>0.5980392157</v>
      </c>
      <c r="Q1703" s="82">
        <f>IFERROR(__xludf.DUMMYFUNCTION("""COMPUTED_VALUE"""),0.4411764705882353)</f>
        <v>0.4411764706</v>
      </c>
      <c r="R1703" s="82">
        <f>IFERROR(__xludf.DUMMYFUNCTION("""COMPUTED_VALUE"""),1.3921568627450982)</f>
        <v>1.392156863</v>
      </c>
      <c r="S1703" s="82">
        <f>IFERROR(__xludf.DUMMYFUNCTION("""COMPUTED_VALUE"""),2.147058823529412)</f>
        <v>2.147058824</v>
      </c>
      <c r="T1703" s="82">
        <f>IFERROR(__xludf.DUMMYFUNCTION("""COMPUTED_VALUE"""),338.731016907304)</f>
        <v>338.7310169</v>
      </c>
      <c r="U1703" s="82">
        <f>IFERROR(__xludf.DUMMYFUNCTION("""COMPUTED_VALUE"""),0.7427780898662137)</f>
        <v>0.7427780899</v>
      </c>
      <c r="V1703" s="82">
        <f>IFERROR(__xludf.DUMMYFUNCTION("""COMPUTED_VALUE"""),0.5123668522394663)</f>
        <v>0.5123668522</v>
      </c>
      <c r="W1703" s="82">
        <f>IFERROR(__xludf.DUMMYFUNCTION("""COMPUTED_VALUE"""),1.2748040992020513)</f>
        <v>1.274804099</v>
      </c>
      <c r="X1703" s="82">
        <f>IFERROR(__xludf.DUMMYFUNCTION("""COMPUTED_VALUE"""),2.458916190261765)</f>
        <v>2.45891619</v>
      </c>
      <c r="Y1703" s="82">
        <f>IFERROR(__xludf.DUMMYFUNCTION("""COMPUTED_VALUE"""),348.9513558037411)</f>
        <v>348.9513558</v>
      </c>
      <c r="Z1703" s="82">
        <f>IFERROR(__xludf.DUMMYFUNCTION("""COMPUTED_VALUE"""),0.8138815765478434)</f>
        <v>0.8138815765</v>
      </c>
      <c r="AA1703" s="82">
        <f>IFERROR(__xludf.DUMMYFUNCTION("""COMPUTED_VALUE"""),0.5769919697887849)</f>
        <v>0.5769919698</v>
      </c>
      <c r="AB1703" s="82">
        <f>IFERROR(__xludf.DUMMYFUNCTION("""COMPUTED_VALUE"""),1.2615792251112412)</f>
        <v>1.261579225</v>
      </c>
      <c r="AC1703" s="82">
        <f>IFERROR(__xludf.DUMMYFUNCTION("""COMPUTED_VALUE"""),2.5881690856974098)</f>
        <v>2.588169086</v>
      </c>
      <c r="AD1703" s="82">
        <f>IFERROR(__xludf.DUMMYFUNCTION("""COMPUTED_VALUE"""),1.1370201011785244)</f>
        <v>1.137020101</v>
      </c>
      <c r="AE1703" s="82">
        <f>IFERROR(__xludf.DUMMYFUNCTION("""COMPUTED_VALUE"""),1.4816435064865847)</f>
        <v>1.481643506</v>
      </c>
      <c r="AF1703" s="82">
        <f>IFERROR(__xludf.DUMMYFUNCTION("""COMPUTED_VALUE"""),1.4272805426844486)</f>
        <v>1.427280543</v>
      </c>
      <c r="AG1703" s="82">
        <f>IFERROR(__xludf.DUMMYFUNCTION("""COMPUTED_VALUE"""),0.5828362603087598)</f>
        <v>0.5828362603</v>
      </c>
      <c r="AH1703" s="82">
        <f>IFERROR(__xludf.DUMMYFUNCTION("""COMPUTED_VALUE"""),1.3863991011818917)</f>
        <v>1.386399101</v>
      </c>
      <c r="AI1703" s="82">
        <f>IFERROR(__xludf.DUMMYFUNCTION("""COMPUTED_VALUE"""),0.9418949068226397)</f>
        <v>0.9418949068</v>
      </c>
      <c r="AJ1703" s="82">
        <f>IFERROR(__xludf.DUMMYFUNCTION("""COMPUTED_VALUE"""),0.8051384711603313)</f>
        <v>0.8051384712</v>
      </c>
      <c r="AK1703" s="82">
        <f>IFERROR(__xludf.DUMMYFUNCTION("""COMPUTED_VALUE"""),0.8610558404782233)</f>
        <v>0.8610558405</v>
      </c>
      <c r="AL1703" s="82">
        <f>IFERROR(__xludf.DUMMYFUNCTION("""COMPUTED_VALUE"""),1.092055527289646)</f>
        <v>1.092055527</v>
      </c>
      <c r="AM1703" s="82">
        <f>IFERROR(__xludf.DUMMYFUNCTION("""COMPUTED_VALUE"""),0.8731728360781772)</f>
        <v>0.8731728361</v>
      </c>
      <c r="AN1703" s="82">
        <f>IFERROR(__xludf.DUMMYFUNCTION("""COMPUTED_VALUE"""),1.1706013904671322)</f>
        <v>1.17060139</v>
      </c>
      <c r="AO1703" s="82">
        <f>IFERROR(__xludf.DUMMYFUNCTION("""COMPUTED_VALUE"""),1.6414150563657843)</f>
        <v>1.641415056</v>
      </c>
      <c r="AP1703" s="82">
        <f>IFERROR(__xludf.DUMMYFUNCTION("""COMPUTED_VALUE"""),1.470525524275062)</f>
        <v>1.470525524</v>
      </c>
      <c r="AQ1703" s="82">
        <f>IFERROR(__xludf.DUMMYFUNCTION("""COMPUTED_VALUE"""),0.5611068247057807)</f>
        <v>0.5611068247</v>
      </c>
      <c r="AR1703" s="82">
        <f>IFERROR(__xludf.DUMMYFUNCTION("""COMPUTED_VALUE"""),1.4408583723892434)</f>
        <v>1.440858372</v>
      </c>
      <c r="AS1703" s="82">
        <f>IFERROR(__xludf.DUMMYFUNCTION("""COMPUTED_VALUE"""),94.0)</f>
        <v>94</v>
      </c>
      <c r="AT1703" s="82">
        <f>IFERROR(__xludf.DUMMYFUNCTION("""COMPUTED_VALUE"""),0.6611313538303717)</f>
        <v>0.6611313538</v>
      </c>
      <c r="AU1703" s="82">
        <f>IFERROR(__xludf.DUMMYFUNCTION("""COMPUTED_VALUE"""),3.5017467074245294)</f>
        <v>3.501746707</v>
      </c>
      <c r="AV1703" s="82">
        <f>IFERROR(__xludf.DUMMYFUNCTION("""COMPUTED_VALUE"""),103.18029421017448)</f>
        <v>103.1802942</v>
      </c>
      <c r="AW1703" s="82">
        <f t="shared" si="1"/>
        <v>59.87577258</v>
      </c>
      <c r="AX1703" s="83">
        <f t="array" ref="AX1703">IFERROR(DGET('SBV Import'!A:G,"SBV",{"RSC ID","Tier";B1703,A1703}))</f>
        <v>85.66479716</v>
      </c>
      <c r="AY1703" s="82">
        <f t="shared" si="2"/>
        <v>13.01256796</v>
      </c>
      <c r="AZ1703" s="82">
        <v>46.86320461481194</v>
      </c>
      <c r="BA1703" s="84">
        <v>1700.0</v>
      </c>
      <c r="BB1703" s="84" t="b">
        <f>IFERROR(__xludf.DUMMYFUNCTION("iferror(if(A1703="""",,E1703&gt;=FILTER(Constants!$F$2:$F$10,Constants!$A$2:$A$10=A1703)))"),TRUE)</f>
        <v>1</v>
      </c>
    </row>
    <row r="1704">
      <c r="A1704" s="89" t="str">
        <f>IFERROR(__xludf.DUMMYFUNCTION("""COMPUTED_VALUE"""),"Rival")</f>
        <v>Rival</v>
      </c>
      <c r="B1704" s="87" t="str">
        <f>IFERROR(__xludf.DUMMYFUNCTION("""COMPUTED_VALUE"""),"RSC007920")</f>
        <v>RSC007920</v>
      </c>
      <c r="C1704" s="73" t="str">
        <f>IFERROR(__xludf.DUMMYFUNCTION("""COMPUTED_VALUE"""),"EKA Luminousity")</f>
        <v>EKA Luminousity</v>
      </c>
      <c r="D1704" s="73" t="str">
        <f>IFERROR(__xludf.DUMMYFUNCTION("""COMPUTED_VALUE"""),"Bulldozers")</f>
        <v>Bulldozers</v>
      </c>
      <c r="E1704" s="82">
        <f>IFERROR(__xludf.DUMMYFUNCTION("""COMPUTED_VALUE"""),36.0)</f>
        <v>36</v>
      </c>
      <c r="F1704" s="82">
        <f>IFERROR(__xludf.DUMMYFUNCTION("""COMPUTED_VALUE"""),28.0)</f>
        <v>28</v>
      </c>
      <c r="G1704" s="86">
        <f>IFERROR(__xludf.DUMMYFUNCTION("""COMPUTED_VALUE"""),8.0)</f>
        <v>8</v>
      </c>
      <c r="H1704" s="86">
        <f>IFERROR(__xludf.DUMMYFUNCTION("""COMPUTED_VALUE"""),0.7777777777777778)</f>
        <v>0.7777777778</v>
      </c>
      <c r="I1704" s="86">
        <f>IFERROR(__xludf.DUMMYFUNCTION("""COMPUTED_VALUE"""),0.366412213740458)</f>
        <v>0.3664122137</v>
      </c>
      <c r="J1704" s="82">
        <f>IFERROR(__xludf.DUMMYFUNCTION("""COMPUTED_VALUE"""),468.47222222222223)</f>
        <v>468.4722222</v>
      </c>
      <c r="K1704" s="82">
        <f>IFERROR(__xludf.DUMMYFUNCTION("""COMPUTED_VALUE"""),1.3333333333333333)</f>
        <v>1.333333333</v>
      </c>
      <c r="L1704" s="82">
        <f>IFERROR(__xludf.DUMMYFUNCTION("""COMPUTED_VALUE"""),0.5277777777777778)</f>
        <v>0.5277777778</v>
      </c>
      <c r="M1704" s="82">
        <f>IFERROR(__xludf.DUMMYFUNCTION("""COMPUTED_VALUE"""),1.8611111111111112)</f>
        <v>1.861111111</v>
      </c>
      <c r="N1704" s="82">
        <f>IFERROR(__xludf.DUMMYFUNCTION("""COMPUTED_VALUE"""),3.638888888888889)</f>
        <v>3.638888889</v>
      </c>
      <c r="O1704" s="82">
        <f>IFERROR(__xludf.DUMMYFUNCTION("""COMPUTED_VALUE"""),325.9351851851853)</f>
        <v>325.9351852</v>
      </c>
      <c r="P1704" s="82">
        <f>IFERROR(__xludf.DUMMYFUNCTION("""COMPUTED_VALUE"""),0.6388888888888887)</f>
        <v>0.6388888889</v>
      </c>
      <c r="Q1704" s="82">
        <f>IFERROR(__xludf.DUMMYFUNCTION("""COMPUTED_VALUE"""),0.4722222222222223)</f>
        <v>0.4722222222</v>
      </c>
      <c r="R1704" s="82">
        <f>IFERROR(__xludf.DUMMYFUNCTION("""COMPUTED_VALUE"""),1.3518518518518516)</f>
        <v>1.351851852</v>
      </c>
      <c r="S1704" s="82">
        <f>IFERROR(__xludf.DUMMYFUNCTION("""COMPUTED_VALUE"""),2.7129629629629624)</f>
        <v>2.712962963</v>
      </c>
      <c r="T1704" s="82">
        <f>IFERROR(__xludf.DUMMYFUNCTION("""COMPUTED_VALUE"""),344.90656359466306)</f>
        <v>344.9065636</v>
      </c>
      <c r="U1704" s="82">
        <f>IFERROR(__xludf.DUMMYFUNCTION("""COMPUTED_VALUE"""),0.738875446722514)</f>
        <v>0.7388754467</v>
      </c>
      <c r="V1704" s="82">
        <f>IFERROR(__xludf.DUMMYFUNCTION("""COMPUTED_VALUE"""),0.5657110365613641)</f>
        <v>0.5657110366</v>
      </c>
      <c r="W1704" s="82">
        <f>IFERROR(__xludf.DUMMYFUNCTION("""COMPUTED_VALUE"""),1.3275065962177794)</f>
        <v>1.327506596</v>
      </c>
      <c r="X1704" s="82">
        <f>IFERROR(__xludf.DUMMYFUNCTION("""COMPUTED_VALUE"""),2.5216047939367066)</f>
        <v>2.521604794</v>
      </c>
      <c r="Y1704" s="82">
        <f>IFERROR(__xludf.DUMMYFUNCTION("""COMPUTED_VALUE"""),361.5894706925966)</f>
        <v>361.5894707</v>
      </c>
      <c r="Z1704" s="82">
        <f>IFERROR(__xludf.DUMMYFUNCTION("""COMPUTED_VALUE"""),0.8592074304929124)</f>
        <v>0.8592074305</v>
      </c>
      <c r="AA1704" s="82">
        <f>IFERROR(__xludf.DUMMYFUNCTION("""COMPUTED_VALUE"""),0.6349624175612028)</f>
        <v>0.6349624176</v>
      </c>
      <c r="AB1704" s="82">
        <f>IFERROR(__xludf.DUMMYFUNCTION("""COMPUTED_VALUE"""),1.3193085227123822)</f>
        <v>1.319308523</v>
      </c>
      <c r="AC1704" s="82">
        <f>IFERROR(__xludf.DUMMYFUNCTION("""COMPUTED_VALUE"""),2.6661703734553464)</f>
        <v>2.666170373</v>
      </c>
      <c r="AD1704" s="82">
        <f>IFERROR(__xludf.DUMMYFUNCTION("""COMPUTED_VALUE"""),1.2955914377841258)</f>
        <v>1.295591438</v>
      </c>
      <c r="AE1704" s="82">
        <f>IFERROR(__xludf.DUMMYFUNCTION("""COMPUTED_VALUE"""),1.5518177404127234)</f>
        <v>1.55181774</v>
      </c>
      <c r="AF1704" s="82">
        <f>IFERROR(__xludf.DUMMYFUNCTION("""COMPUTED_VALUE"""),0.8311953009831583)</f>
        <v>0.831195301</v>
      </c>
      <c r="AG1704" s="82">
        <f>IFERROR(__xludf.DUMMYFUNCTION("""COMPUTED_VALUE"""),1.410671635232698)</f>
        <v>1.410671635</v>
      </c>
      <c r="AH1704" s="82">
        <f>IFERROR(__xludf.DUMMYFUNCTION("""COMPUTED_VALUE"""),1.3648373431488188)</f>
        <v>1.364837343</v>
      </c>
      <c r="AI1704" s="82">
        <f>IFERROR(__xludf.DUMMYFUNCTION("""COMPUTED_VALUE"""),0.9449956005134971)</f>
        <v>0.9449956005</v>
      </c>
      <c r="AJ1704" s="82">
        <f>IFERROR(__xludf.DUMMYFUNCTION("""COMPUTED_VALUE"""),0.864677384697051)</f>
        <v>0.8646773847</v>
      </c>
      <c r="AK1704" s="82">
        <f>IFERROR(__xludf.DUMMYFUNCTION("""COMPUTED_VALUE"""),0.8347410456981587)</f>
        <v>0.8347410457</v>
      </c>
      <c r="AL1704" s="82">
        <f>IFERROR(__xludf.DUMMYFUNCTION("""COMPUTED_VALUE"""),1.018339084493768)</f>
        <v>1.018339084</v>
      </c>
      <c r="AM1704" s="82">
        <f>IFERROR(__xludf.DUMMYFUNCTION("""COMPUTED_VALUE"""),1.0758874544838999)</f>
        <v>1.075887454</v>
      </c>
      <c r="AN1704" s="82">
        <f>IFERROR(__xludf.DUMMYFUNCTION("""COMPUTED_VALUE"""),1.3821648614359574)</f>
        <v>1.382164861</v>
      </c>
      <c r="AO1704" s="82">
        <f>IFERROR(__xludf.DUMMYFUNCTION("""COMPUTED_VALUE"""),1.8148979485020056)</f>
        <v>1.814897949</v>
      </c>
      <c r="AP1704" s="82">
        <f>IFERROR(__xludf.DUMMYFUNCTION("""COMPUTED_VALUE"""),0.9424201276604068)</f>
        <v>0.9424201277</v>
      </c>
      <c r="AQ1704" s="82">
        <f>IFERROR(__xludf.DUMMYFUNCTION("""COMPUTED_VALUE"""),1.420223718533076)</f>
        <v>1.420223719</v>
      </c>
      <c r="AR1704" s="82">
        <f>IFERROR(__xludf.DUMMYFUNCTION("""COMPUTED_VALUE"""),1.4611983585204211)</f>
        <v>1.461198359</v>
      </c>
      <c r="AS1704" s="82">
        <f>IFERROR(__xludf.DUMMYFUNCTION("""COMPUTED_VALUE"""),112.0)</f>
        <v>112</v>
      </c>
      <c r="AT1704" s="82">
        <f>IFERROR(__xludf.DUMMYFUNCTION("""COMPUTED_VALUE"""),0.6835214685714367)</f>
        <v>0.6835214686</v>
      </c>
      <c r="AU1704" s="82">
        <f>IFERROR(__xludf.DUMMYFUNCTION("""COMPUTED_VALUE"""),3.3701444237757983)</f>
        <v>3.370144424</v>
      </c>
      <c r="AV1704" s="82">
        <f>IFERROR(__xludf.DUMMYFUNCTION("""COMPUTED_VALUE"""),98.53156601422377)</f>
        <v>98.53156601</v>
      </c>
      <c r="AW1704" s="82">
        <f t="shared" si="1"/>
        <v>38.29478781</v>
      </c>
      <c r="AX1704" s="83">
        <f t="array" ref="AX1704">IFERROR(DGET('SBV Import'!A:G,"SBV",{"RSC ID","Tier";B1704,A1704}))</f>
        <v>77.10351993</v>
      </c>
      <c r="AY1704" s="82">
        <f t="shared" si="2"/>
        <v>7.186428037</v>
      </c>
      <c r="AZ1704" s="82">
        <v>31.108359768955335</v>
      </c>
      <c r="BA1704" s="84">
        <v>1700.0</v>
      </c>
      <c r="BB1704" s="84" t="b">
        <f>IFERROR(__xludf.DUMMYFUNCTION("iferror(if(A1704="""",,E1704&gt;=FILTER(Constants!$F$2:$F$10,Constants!$A$2:$A$10=A1704)))"),TRUE)</f>
        <v>1</v>
      </c>
    </row>
    <row r="1705">
      <c r="A1705" s="89" t="str">
        <f>IFERROR(__xludf.DUMMYFUNCTION("""COMPUTED_VALUE"""),"Rival")</f>
        <v>Rival</v>
      </c>
      <c r="B1705" s="87" t="str">
        <f>IFERROR(__xludf.DUMMYFUNCTION("""COMPUTED_VALUE"""),"RSC006448")</f>
        <v>RSC006448</v>
      </c>
      <c r="C1705" s="73" t="str">
        <f>IFERROR(__xludf.DUMMYFUNCTION("""COMPUTED_VALUE"""),"Burger.101")</f>
        <v>Burger.101</v>
      </c>
      <c r="D1705" s="73" t="str">
        <f>IFERROR(__xludf.DUMMYFUNCTION("""COMPUTED_VALUE"""),"Iris")</f>
        <v>Iris</v>
      </c>
      <c r="E1705" s="82">
        <f>IFERROR(__xludf.DUMMYFUNCTION("""COMPUTED_VALUE"""),32.0)</f>
        <v>32</v>
      </c>
      <c r="F1705" s="82">
        <f>IFERROR(__xludf.DUMMYFUNCTION("""COMPUTED_VALUE"""),26.0)</f>
        <v>26</v>
      </c>
      <c r="G1705" s="86">
        <f>IFERROR(__xludf.DUMMYFUNCTION("""COMPUTED_VALUE"""),6.0)</f>
        <v>6</v>
      </c>
      <c r="H1705" s="86">
        <f>IFERROR(__xludf.DUMMYFUNCTION("""COMPUTED_VALUE"""),0.8125)</f>
        <v>0.8125</v>
      </c>
      <c r="I1705" s="86">
        <f>IFERROR(__xludf.DUMMYFUNCTION("""COMPUTED_VALUE"""),0.3394495412844037)</f>
        <v>0.3394495413</v>
      </c>
      <c r="J1705" s="82">
        <f>IFERROR(__xludf.DUMMYFUNCTION("""COMPUTED_VALUE"""),394.15625)</f>
        <v>394.15625</v>
      </c>
      <c r="K1705" s="82">
        <f>IFERROR(__xludf.DUMMYFUNCTION("""COMPUTED_VALUE"""),1.15625)</f>
        <v>1.15625</v>
      </c>
      <c r="L1705" s="82">
        <f>IFERROR(__xludf.DUMMYFUNCTION("""COMPUTED_VALUE"""),0.71875)</f>
        <v>0.71875</v>
      </c>
      <c r="M1705" s="82">
        <f>IFERROR(__xludf.DUMMYFUNCTION("""COMPUTED_VALUE"""),0.96875)</f>
        <v>0.96875</v>
      </c>
      <c r="N1705" s="82">
        <f>IFERROR(__xludf.DUMMYFUNCTION("""COMPUTED_VALUE"""),3.40625)</f>
        <v>3.40625</v>
      </c>
      <c r="O1705" s="82">
        <f>IFERROR(__xludf.DUMMYFUNCTION("""COMPUTED_VALUE"""),304.8229166666665)</f>
        <v>304.8229167</v>
      </c>
      <c r="P1705" s="82">
        <f>IFERROR(__xludf.DUMMYFUNCTION("""COMPUTED_VALUE"""),0.5)</f>
        <v>0.5</v>
      </c>
      <c r="Q1705" s="82">
        <f>IFERROR(__xludf.DUMMYFUNCTION("""COMPUTED_VALUE"""),0.30208333333333326)</f>
        <v>0.3020833333</v>
      </c>
      <c r="R1705" s="82">
        <f>IFERROR(__xludf.DUMMYFUNCTION("""COMPUTED_VALUE"""),1.5104166666666667)</f>
        <v>1.510416667</v>
      </c>
      <c r="S1705" s="82">
        <f>IFERROR(__xludf.DUMMYFUNCTION("""COMPUTED_VALUE"""),1.7916666666666667)</f>
        <v>1.791666667</v>
      </c>
      <c r="T1705" s="82">
        <f>IFERROR(__xludf.DUMMYFUNCTION("""COMPUTED_VALUE"""),329.68874017742473)</f>
        <v>329.6887402</v>
      </c>
      <c r="U1705" s="82">
        <f>IFERROR(__xludf.DUMMYFUNCTION("""COMPUTED_VALUE"""),0.7086146292683481)</f>
        <v>0.7086146293</v>
      </c>
      <c r="V1705" s="82">
        <f>IFERROR(__xludf.DUMMYFUNCTION("""COMPUTED_VALUE"""),0.4977609554401373)</f>
        <v>0.4977609554</v>
      </c>
      <c r="W1705" s="82">
        <f>IFERROR(__xludf.DUMMYFUNCTION("""COMPUTED_VALUE"""),1.2999930927914125)</f>
        <v>1.299993093</v>
      </c>
      <c r="X1705" s="82">
        <f>IFERROR(__xludf.DUMMYFUNCTION("""COMPUTED_VALUE"""),2.290796771438202)</f>
        <v>2.290796771</v>
      </c>
      <c r="Y1705" s="82">
        <f>IFERROR(__xludf.DUMMYFUNCTION("""COMPUTED_VALUE"""),358.65309576226946)</f>
        <v>358.6530958</v>
      </c>
      <c r="Z1705" s="82">
        <f>IFERROR(__xludf.DUMMYFUNCTION("""COMPUTED_VALUE"""),0.8713600927123341)</f>
        <v>0.8713600927</v>
      </c>
      <c r="AA1705" s="82">
        <f>IFERROR(__xludf.DUMMYFUNCTION("""COMPUTED_VALUE"""),0.6568303356654963)</f>
        <v>0.6568303357</v>
      </c>
      <c r="AB1705" s="82">
        <f>IFERROR(__xludf.DUMMYFUNCTION("""COMPUTED_VALUE"""),1.202318180595378)</f>
        <v>1.202318181</v>
      </c>
      <c r="AC1705" s="82">
        <f>IFERROR(__xludf.DUMMYFUNCTION("""COMPUTED_VALUE"""),2.694429951489743)</f>
        <v>2.694429951</v>
      </c>
      <c r="AD1705" s="82">
        <f>IFERROR(__xludf.DUMMYFUNCTION("""COMPUTED_VALUE"""),1.0989902350132328)</f>
        <v>1.098990235</v>
      </c>
      <c r="AE1705" s="82">
        <f>IFERROR(__xludf.DUMMYFUNCTION("""COMPUTED_VALUE"""),1.3269485367419942)</f>
        <v>1.326948537</v>
      </c>
      <c r="AF1705" s="82">
        <f>IFERROR(__xludf.DUMMYFUNCTION("""COMPUTED_VALUE"""),1.0942704089203905)</f>
        <v>1.094270409</v>
      </c>
      <c r="AG1705" s="82">
        <f>IFERROR(__xludf.DUMMYFUNCTION("""COMPUTED_VALUE"""),0.805735133706689)</f>
        <v>0.8057351337</v>
      </c>
      <c r="AH1705" s="82">
        <f>IFERROR(__xludf.DUMMYFUNCTION("""COMPUTED_VALUE"""),1.264182057550501)</f>
        <v>1.264182058</v>
      </c>
      <c r="AI1705" s="82">
        <f>IFERROR(__xludf.DUMMYFUNCTION("""COMPUTED_VALUE"""),0.9245778806477393)</f>
        <v>0.9245778806</v>
      </c>
      <c r="AJ1705" s="82">
        <f>IFERROR(__xludf.DUMMYFUNCTION("""COMPUTED_VALUE"""),0.7056021416270437)</f>
        <v>0.7056021416</v>
      </c>
      <c r="AK1705" s="82">
        <f>IFERROR(__xludf.DUMMYFUNCTION("""COMPUTED_VALUE"""),0.6068843488662561)</f>
        <v>0.6068843489</v>
      </c>
      <c r="AL1705" s="82">
        <f>IFERROR(__xludf.DUMMYFUNCTION("""COMPUTED_VALUE"""),1.1618651476243014)</f>
        <v>1.161865148</v>
      </c>
      <c r="AM1705" s="82">
        <f>IFERROR(__xludf.DUMMYFUNCTION("""COMPUTED_VALUE"""),0.7821150653804297)</f>
        <v>0.7821150654</v>
      </c>
      <c r="AN1705" s="82">
        <f>IFERROR(__xludf.DUMMYFUNCTION("""COMPUTED_VALUE"""),1.162905488998114)</f>
        <v>1.162905489</v>
      </c>
      <c r="AO1705" s="82">
        <f>IFERROR(__xludf.DUMMYFUNCTION("""COMPUTED_VALUE"""),1.573856814716583)</f>
        <v>1.573856815</v>
      </c>
      <c r="AP1705" s="82">
        <f>IFERROR(__xludf.DUMMYFUNCTION("""COMPUTED_VALUE"""),1.2834274106954224)</f>
        <v>1.283427411</v>
      </c>
      <c r="AQ1705" s="82">
        <f>IFERROR(__xludf.DUMMYFUNCTION("""COMPUTED_VALUE"""),0.739258241549866)</f>
        <v>0.7392582415</v>
      </c>
      <c r="AR1705" s="82">
        <f>IFERROR(__xludf.DUMMYFUNCTION("""COMPUTED_VALUE"""),1.3677820512486003)</f>
        <v>1.367782051</v>
      </c>
      <c r="AS1705" s="82">
        <f>IFERROR(__xludf.DUMMYFUNCTION("""COMPUTED_VALUE"""),102.0)</f>
        <v>102</v>
      </c>
      <c r="AT1705" s="82">
        <f>IFERROR(__xludf.DUMMYFUNCTION("""COMPUTED_VALUE"""),0.7639316090015318)</f>
        <v>0.763931609</v>
      </c>
      <c r="AU1705" s="82">
        <f>IFERROR(__xludf.DUMMYFUNCTION("""COMPUTED_VALUE"""),3.2895290633332945)</f>
        <v>3.289529063</v>
      </c>
      <c r="AV1705" s="82">
        <f>IFERROR(__xludf.DUMMYFUNCTION("""COMPUTED_VALUE"""),95.68390343022111)</f>
        <v>95.68390343</v>
      </c>
      <c r="AW1705" s="82">
        <f t="shared" si="1"/>
        <v>29.56557536</v>
      </c>
      <c r="AX1705" s="83">
        <f t="array" ref="AX1705">IFERROR(DGET('SBV Import'!A:G,"SBV",{"RSC ID","Tier";B1705,A1705}))</f>
        <v>82.52163391</v>
      </c>
      <c r="AY1705" s="82">
        <f t="shared" si="2"/>
        <v>10.34636815</v>
      </c>
      <c r="AZ1705" s="82">
        <v>19.219207202266315</v>
      </c>
      <c r="BA1705" s="84">
        <v>1700.0</v>
      </c>
      <c r="BB1705" s="84" t="b">
        <f>IFERROR(__xludf.DUMMYFUNCTION("iferror(if(A1705="""",,E1705&gt;=FILTER(Constants!$F$2:$F$10,Constants!$A$2:$A$10=A1705)))"),TRUE)</f>
        <v>1</v>
      </c>
    </row>
    <row r="1706">
      <c r="A1706" s="89" t="str">
        <f>IFERROR(__xludf.DUMMYFUNCTION("""COMPUTED_VALUE"""),"Rival")</f>
        <v>Rival</v>
      </c>
      <c r="B1706" s="87" t="str">
        <f>IFERROR(__xludf.DUMMYFUNCTION("""COMPUTED_VALUE"""),"RSC005834")</f>
        <v>RSC005834</v>
      </c>
      <c r="C1706" s="73" t="str">
        <f>IFERROR(__xludf.DUMMYFUNCTION("""COMPUTED_VALUE"""),"IIIYummyIII")</f>
        <v>IIIYummyIII</v>
      </c>
      <c r="D1706" s="73" t="str">
        <f>IFERROR(__xludf.DUMMYFUNCTION("""COMPUTED_VALUE"""),"Hot Wings")</f>
        <v>Hot Wings</v>
      </c>
      <c r="E1706" s="82">
        <f>IFERROR(__xludf.DUMMYFUNCTION("""COMPUTED_VALUE"""),28.0)</f>
        <v>28</v>
      </c>
      <c r="F1706" s="82">
        <f>IFERROR(__xludf.DUMMYFUNCTION("""COMPUTED_VALUE"""),20.0)</f>
        <v>20</v>
      </c>
      <c r="G1706" s="86">
        <f>IFERROR(__xludf.DUMMYFUNCTION("""COMPUTED_VALUE"""),8.0)</f>
        <v>8</v>
      </c>
      <c r="H1706" s="86">
        <f>IFERROR(__xludf.DUMMYFUNCTION("""COMPUTED_VALUE"""),0.7142857142857143)</f>
        <v>0.7142857143</v>
      </c>
      <c r="I1706" s="86">
        <f>IFERROR(__xludf.DUMMYFUNCTION("""COMPUTED_VALUE"""),0.3764705882352941)</f>
        <v>0.3764705882</v>
      </c>
      <c r="J1706" s="82">
        <f>IFERROR(__xludf.DUMMYFUNCTION("""COMPUTED_VALUE"""),372.10714285714283)</f>
        <v>372.1071429</v>
      </c>
      <c r="K1706" s="82">
        <f>IFERROR(__xludf.DUMMYFUNCTION("""COMPUTED_VALUE"""),1.1428571428571428)</f>
        <v>1.142857143</v>
      </c>
      <c r="L1706" s="82">
        <f>IFERROR(__xludf.DUMMYFUNCTION("""COMPUTED_VALUE"""),0.8571428571428571)</f>
        <v>0.8571428571</v>
      </c>
      <c r="M1706" s="82">
        <f>IFERROR(__xludf.DUMMYFUNCTION("""COMPUTED_VALUE"""),0.9285714285714286)</f>
        <v>0.9285714286</v>
      </c>
      <c r="N1706" s="82">
        <f>IFERROR(__xludf.DUMMYFUNCTION("""COMPUTED_VALUE"""),3.0357142857142856)</f>
        <v>3.035714286</v>
      </c>
      <c r="O1706" s="82">
        <f>IFERROR(__xludf.DUMMYFUNCTION("""COMPUTED_VALUE"""),327.1428571428572)</f>
        <v>327.1428571</v>
      </c>
      <c r="P1706" s="82">
        <f>IFERROR(__xludf.DUMMYFUNCTION("""COMPUTED_VALUE"""),0.7023809523809523)</f>
        <v>0.7023809524</v>
      </c>
      <c r="Q1706" s="82">
        <f>IFERROR(__xludf.DUMMYFUNCTION("""COMPUTED_VALUE"""),0.4523809523809524)</f>
        <v>0.4523809524</v>
      </c>
      <c r="R1706" s="82">
        <f>IFERROR(__xludf.DUMMYFUNCTION("""COMPUTED_VALUE"""),1.4404761904761905)</f>
        <v>1.44047619</v>
      </c>
      <c r="S1706" s="82">
        <f>IFERROR(__xludf.DUMMYFUNCTION("""COMPUTED_VALUE"""),2.5)</f>
        <v>2.5</v>
      </c>
      <c r="T1706" s="82">
        <f>IFERROR(__xludf.DUMMYFUNCTION("""COMPUTED_VALUE"""),343.7423314936233)</f>
        <v>343.7423315</v>
      </c>
      <c r="U1706" s="82">
        <f>IFERROR(__xludf.DUMMYFUNCTION("""COMPUTED_VALUE"""),0.7921006455568668)</f>
        <v>0.7921006456</v>
      </c>
      <c r="V1706" s="82">
        <f>IFERROR(__xludf.DUMMYFUNCTION("""COMPUTED_VALUE"""),0.5474487270438917)</f>
        <v>0.547448727</v>
      </c>
      <c r="W1706" s="82">
        <f>IFERROR(__xludf.DUMMYFUNCTION("""COMPUTED_VALUE"""),1.3176043958775001)</f>
        <v>1.317604396</v>
      </c>
      <c r="X1706" s="82">
        <f>IFERROR(__xludf.DUMMYFUNCTION("""COMPUTED_VALUE"""),2.5560656154322863)</f>
        <v>2.556065615</v>
      </c>
      <c r="Y1706" s="82">
        <f>IFERROR(__xludf.DUMMYFUNCTION("""COMPUTED_VALUE"""),347.35755370840496)</f>
        <v>347.3575537</v>
      </c>
      <c r="Z1706" s="82">
        <f>IFERROR(__xludf.DUMMYFUNCTION("""COMPUTED_VALUE"""),0.8032688431410892)</f>
        <v>0.8032688431</v>
      </c>
      <c r="AA1706" s="82">
        <f>IFERROR(__xludf.DUMMYFUNCTION("""COMPUTED_VALUE"""),0.5837786455813776)</f>
        <v>0.5837786456</v>
      </c>
      <c r="AB1706" s="82">
        <f>IFERROR(__xludf.DUMMYFUNCTION("""COMPUTED_VALUE"""),1.2893059579985895)</f>
        <v>1.289305958</v>
      </c>
      <c r="AC1706" s="82">
        <f>IFERROR(__xludf.DUMMYFUNCTION("""COMPUTED_VALUE"""),2.6153240137561498)</f>
        <v>2.615324014</v>
      </c>
      <c r="AD1706" s="82">
        <f>IFERROR(__xludf.DUMMYFUNCTION("""COMPUTED_VALUE"""),1.0712510463195923)</f>
        <v>1.071251046</v>
      </c>
      <c r="AE1706" s="82">
        <f>IFERROR(__xludf.DUMMYFUNCTION("""COMPUTED_VALUE"""),1.4227579628112217)</f>
        <v>1.422757963</v>
      </c>
      <c r="AF1706" s="82">
        <f>IFERROR(__xludf.DUMMYFUNCTION("""COMPUTED_VALUE"""),1.4682668912790389)</f>
        <v>1.468266891</v>
      </c>
      <c r="AG1706" s="82">
        <f>IFERROR(__xludf.DUMMYFUNCTION("""COMPUTED_VALUE"""),0.7202102982699817)</f>
        <v>0.7202102983</v>
      </c>
      <c r="AH1706" s="82">
        <f>IFERROR(__xludf.DUMMYFUNCTION("""COMPUTED_VALUE"""),1.1607411814929838)</f>
        <v>1.160741181</v>
      </c>
      <c r="AI1706" s="82">
        <f>IFERROR(__xludf.DUMMYFUNCTION("""COMPUTED_VALUE"""),0.9517095427885233)</f>
        <v>0.9517095428</v>
      </c>
      <c r="AJ1706" s="82">
        <f>IFERROR(__xludf.DUMMYFUNCTION("""COMPUTED_VALUE"""),0.8867319529668617)</f>
        <v>0.886731953</v>
      </c>
      <c r="AK1706" s="82">
        <f>IFERROR(__xludf.DUMMYFUNCTION("""COMPUTED_VALUE"""),0.8263439661714342)</f>
        <v>0.8263439662</v>
      </c>
      <c r="AL1706" s="82">
        <f>IFERROR(__xludf.DUMMYFUNCTION("""COMPUTED_VALUE"""),1.0932539349315544)</f>
        <v>1.093253935</v>
      </c>
      <c r="AM1706" s="82">
        <f>IFERROR(__xludf.DUMMYFUNCTION("""COMPUTED_VALUE"""),0.9780656587633004)</f>
        <v>0.9780656588</v>
      </c>
      <c r="AN1706" s="82">
        <f>IFERROR(__xludf.DUMMYFUNCTION("""COMPUTED_VALUE"""),1.0978525367134906)</f>
        <v>1.097852537</v>
      </c>
      <c r="AO1706" s="82">
        <f>IFERROR(__xludf.DUMMYFUNCTION("""COMPUTED_VALUE"""),1.555626813001719)</f>
        <v>1.555626813</v>
      </c>
      <c r="AP1706" s="82">
        <f>IFERROR(__xludf.DUMMYFUNCTION("""COMPUTED_VALUE"""),1.5305469742454727)</f>
        <v>1.530546974</v>
      </c>
      <c r="AQ1706" s="82">
        <f>IFERROR(__xludf.DUMMYFUNCTION("""COMPUTED_VALUE"""),0.7085977614855858)</f>
        <v>0.7085977615</v>
      </c>
      <c r="AR1706" s="82">
        <f>IFERROR(__xludf.DUMMYFUNCTION("""COMPUTED_VALUE"""),1.2189931780459347)</f>
        <v>1.218993178</v>
      </c>
      <c r="AS1706" s="82">
        <f>IFERROR(__xludf.DUMMYFUNCTION("""COMPUTED_VALUE"""),86.0)</f>
        <v>86</v>
      </c>
      <c r="AT1706" s="82">
        <f>IFERROR(__xludf.DUMMYFUNCTION("""COMPUTED_VALUE"""),0.6465911145109893)</f>
        <v>0.6465911145</v>
      </c>
      <c r="AU1706" s="82">
        <f>IFERROR(__xludf.DUMMYFUNCTION("""COMPUTED_VALUE"""),3.1783192034659127)</f>
        <v>3.178319203</v>
      </c>
      <c r="AV1706" s="82">
        <f>IFERROR(__xludf.DUMMYFUNCTION("""COMPUTED_VALUE"""),91.75551862640461)</f>
        <v>91.75551863</v>
      </c>
      <c r="AW1706" s="82">
        <f t="shared" si="1"/>
        <v>21.08021403</v>
      </c>
      <c r="AX1706" s="83">
        <f t="array" ref="AX1706">IFERROR(DGET('SBV Import'!A:G,"SBV",{"RSC ID","Tier";B1706,A1706}))</f>
        <v>60.80669846</v>
      </c>
      <c r="AY1706" s="82">
        <f t="shared" si="2"/>
        <v>3.005048391</v>
      </c>
      <c r="AZ1706" s="82">
        <v>18.07516564088241</v>
      </c>
      <c r="BA1706" s="84">
        <v>1700.0</v>
      </c>
      <c r="BB1706" s="84" t="b">
        <f>IFERROR(__xludf.DUMMYFUNCTION("iferror(if(A1706="""",,E1706&gt;=FILTER(Constants!$F$2:$F$10,Constants!$A$2:$A$10=A1706)))"),TRUE)</f>
        <v>1</v>
      </c>
    </row>
    <row r="1707">
      <c r="A1707" s="89" t="str">
        <f>IFERROR(__xludf.DUMMYFUNCTION("""COMPUTED_VALUE"""),"Rival")</f>
        <v>Rival</v>
      </c>
      <c r="B1707" s="87" t="str">
        <f>IFERROR(__xludf.DUMMYFUNCTION("""COMPUTED_VALUE"""),"RSC006338")</f>
        <v>RSC006338</v>
      </c>
      <c r="C1707" s="73" t="str">
        <f>IFERROR(__xludf.DUMMYFUNCTION("""COMPUTED_VALUE"""),"mykul.457")</f>
        <v>mykul.457</v>
      </c>
      <c r="D1707" s="73"/>
      <c r="E1707" s="82">
        <f>IFERROR(__xludf.DUMMYFUNCTION("""COMPUTED_VALUE"""),2.0)</f>
        <v>2</v>
      </c>
      <c r="F1707" s="82">
        <f>IFERROR(__xludf.DUMMYFUNCTION("""COMPUTED_VALUE"""),1.0)</f>
        <v>1</v>
      </c>
      <c r="G1707" s="86">
        <f>IFERROR(__xludf.DUMMYFUNCTION("""COMPUTED_VALUE"""),1.0)</f>
        <v>1</v>
      </c>
      <c r="H1707" s="86">
        <f>IFERROR(__xludf.DUMMYFUNCTION("""COMPUTED_VALUE"""),0.5)</f>
        <v>0.5</v>
      </c>
      <c r="I1707" s="86">
        <f>IFERROR(__xludf.DUMMYFUNCTION("""COMPUTED_VALUE"""),0.2)</f>
        <v>0.2</v>
      </c>
      <c r="J1707" s="82">
        <f>IFERROR(__xludf.DUMMYFUNCTION("""COMPUTED_VALUE"""),376.0)</f>
        <v>376</v>
      </c>
      <c r="K1707" s="82">
        <f>IFERROR(__xludf.DUMMYFUNCTION("""COMPUTED_VALUE"""),0.5)</f>
        <v>0.5</v>
      </c>
      <c r="L1707" s="82">
        <f>IFERROR(__xludf.DUMMYFUNCTION("""COMPUTED_VALUE"""),1.5)</f>
        <v>1.5</v>
      </c>
      <c r="M1707" s="82">
        <f>IFERROR(__xludf.DUMMYFUNCTION("""COMPUTED_VALUE"""),1.0)</f>
        <v>1</v>
      </c>
      <c r="N1707" s="82">
        <f>IFERROR(__xludf.DUMMYFUNCTION("""COMPUTED_VALUE"""),2.5)</f>
        <v>2.5</v>
      </c>
      <c r="O1707" s="82">
        <f>IFERROR(__xludf.DUMMYFUNCTION("""COMPUTED_VALUE"""),253.66666666666666)</f>
        <v>253.6666667</v>
      </c>
      <c r="P1707" s="82">
        <f>IFERROR(__xludf.DUMMYFUNCTION("""COMPUTED_VALUE"""),0.16666666666666666)</f>
        <v>0.1666666667</v>
      </c>
      <c r="Q1707" s="82">
        <f>IFERROR(__xludf.DUMMYFUNCTION("""COMPUTED_VALUE"""),0.16666666666666666)</f>
        <v>0.1666666667</v>
      </c>
      <c r="R1707" s="82">
        <f>IFERROR(__xludf.DUMMYFUNCTION("""COMPUTED_VALUE"""),1.5)</f>
        <v>1.5</v>
      </c>
      <c r="S1707" s="82">
        <f>IFERROR(__xludf.DUMMYFUNCTION("""COMPUTED_VALUE"""),2.666666666666667)</f>
        <v>2.666666667</v>
      </c>
      <c r="T1707" s="82">
        <f>IFERROR(__xludf.DUMMYFUNCTION("""COMPUTED_VALUE"""),305.9560994560995)</f>
        <v>305.9560995</v>
      </c>
      <c r="U1707" s="82">
        <f>IFERROR(__xludf.DUMMYFUNCTION("""COMPUTED_VALUE"""),0.6386946386946387)</f>
        <v>0.6386946387</v>
      </c>
      <c r="V1707" s="82">
        <f>IFERROR(__xludf.DUMMYFUNCTION("""COMPUTED_VALUE"""),0.45143745143745145)</f>
        <v>0.4514374514</v>
      </c>
      <c r="W1707" s="82">
        <f>IFERROR(__xludf.DUMMYFUNCTION("""COMPUTED_VALUE"""),1.259129759129759)</f>
        <v>1.259129759</v>
      </c>
      <c r="X1707" s="82">
        <f>IFERROR(__xludf.DUMMYFUNCTION("""COMPUTED_VALUE"""),2.343822843822844)</f>
        <v>2.343822844</v>
      </c>
      <c r="Y1707" s="82">
        <f>IFERROR(__xludf.DUMMYFUNCTION("""COMPUTED_VALUE"""),372.04649054649053)</f>
        <v>372.0464905</v>
      </c>
      <c r="Z1707" s="82">
        <f>IFERROR(__xludf.DUMMYFUNCTION("""COMPUTED_VALUE"""),0.8646723646723646)</f>
        <v>0.8646723647</v>
      </c>
      <c r="AA1707" s="82">
        <f>IFERROR(__xludf.DUMMYFUNCTION("""COMPUTED_VALUE"""),0.5964775964775965)</f>
        <v>0.5964775965</v>
      </c>
      <c r="AB1707" s="82">
        <f>IFERROR(__xludf.DUMMYFUNCTION("""COMPUTED_VALUE"""),1.415954415954416)</f>
        <v>1.415954416</v>
      </c>
      <c r="AC1707" s="82">
        <f>IFERROR(__xludf.DUMMYFUNCTION("""COMPUTED_VALUE"""),2.7733747733747727)</f>
        <v>2.773374773</v>
      </c>
      <c r="AD1707" s="82">
        <f>IFERROR(__xludf.DUMMYFUNCTION("""COMPUTED_VALUE"""),1.010626385556553)</f>
        <v>1.010626386</v>
      </c>
      <c r="AE1707" s="82">
        <f>IFERROR(__xludf.DUMMYFUNCTION("""COMPUTED_VALUE"""),0.5782537067545305)</f>
        <v>0.5782537068</v>
      </c>
      <c r="AF1707" s="82">
        <f>IFERROR(__xludf.DUMMYFUNCTION("""COMPUTED_VALUE"""),2.5147633521493704)</f>
        <v>2.514763352</v>
      </c>
      <c r="AG1707" s="82">
        <f>IFERROR(__xludf.DUMMYFUNCTION("""COMPUTED_VALUE"""),0.7062374245472837)</f>
        <v>0.7062374245</v>
      </c>
      <c r="AH1707" s="82">
        <f>IFERROR(__xludf.DUMMYFUNCTION("""COMPUTED_VALUE"""),0.9014288382517746)</f>
        <v>0.9014288383</v>
      </c>
      <c r="AI1707" s="82">
        <f>IFERROR(__xludf.DUMMYFUNCTION("""COMPUTED_VALUE"""),0.8290949816578648)</f>
        <v>0.8290949817</v>
      </c>
      <c r="AJ1707" s="82">
        <f>IFERROR(__xludf.DUMMYFUNCTION("""COMPUTED_VALUE"""),0.26094890510948904)</f>
        <v>0.2609489051</v>
      </c>
      <c r="AK1707" s="82">
        <f>IFERROR(__xludf.DUMMYFUNCTION("""COMPUTED_VALUE"""),0.36919104991394147)</f>
        <v>0.3691910499</v>
      </c>
      <c r="AL1707" s="82">
        <f>IFERROR(__xludf.DUMMYFUNCTION("""COMPUTED_VALUE"""),1.1912989817957422)</f>
        <v>1.191298982</v>
      </c>
      <c r="AM1707" s="82">
        <f>IFERROR(__xludf.DUMMYFUNCTION("""COMPUTED_VALUE"""),1.1377424167081056)</f>
        <v>1.137742417</v>
      </c>
      <c r="AN1707" s="82">
        <f>IFERROR(__xludf.DUMMYFUNCTION("""COMPUTED_VALUE"""),1.1093378929378666)</f>
        <v>1.109337893</v>
      </c>
      <c r="AO1707" s="82">
        <f>IFERROR(__xludf.DUMMYFUNCTION("""COMPUTED_VALUE"""),0.6805867306882522)</f>
        <v>0.6805867307</v>
      </c>
      <c r="AP1707" s="82">
        <f>IFERROR(__xludf.DUMMYFUNCTION("""COMPUTED_VALUE"""),2.678457204929577)</f>
        <v>2.678457205</v>
      </c>
      <c r="AQ1707" s="82">
        <f>IFERROR(__xludf.DUMMYFUNCTION("""COMPUTED_VALUE"""),0.7631052815998617)</f>
        <v>0.7631052816</v>
      </c>
      <c r="AR1707" s="82">
        <f>IFERROR(__xludf.DUMMYFUNCTION("""COMPUTED_VALUE"""),1.003876734861358)</f>
        <v>1.003876735</v>
      </c>
      <c r="AS1707" s="82">
        <f>IFERROR(__xludf.DUMMYFUNCTION("""COMPUTED_VALUE"""),4.0)</f>
        <v>4</v>
      </c>
      <c r="AT1707" s="82">
        <f>IFERROR(__xludf.DUMMYFUNCTION("""COMPUTED_VALUE"""),0.8585482796624491)</f>
        <v>0.8585482797</v>
      </c>
      <c r="AU1707" s="82">
        <f>IFERROR(__xludf.DUMMYFUNCTION("""COMPUTED_VALUE"""),3.1423191619302897)</f>
        <v>3.142319162</v>
      </c>
      <c r="AV1707" s="82">
        <f>IFERROR(__xludf.DUMMYFUNCTION("""COMPUTED_VALUE"""),90.48385066212562)</f>
        <v>90.48385066</v>
      </c>
      <c r="AW1707" s="82">
        <f t="shared" si="1"/>
        <v>18.98053416</v>
      </c>
      <c r="AX1707" s="83">
        <f t="array" ref="AX1707">IFERROR(DGET('SBV Import'!A:G,"SBV",{"RSC ID","Tier";B1707,A1707}))</f>
        <v>65.60491407</v>
      </c>
      <c r="AY1707" s="82">
        <f t="shared" si="2"/>
        <v>3.755879097</v>
      </c>
      <c r="AZ1707" s="82">
        <v>15.22465506187063</v>
      </c>
      <c r="BA1707" s="84">
        <v>1700.0</v>
      </c>
      <c r="BB1707" s="84" t="b">
        <f>IFERROR(__xludf.DUMMYFUNCTION("iferror(if(A1707="""",,E1707&gt;=FILTER(Constants!$F$2:$F$10,Constants!$A$2:$A$10=A1707)))"),TRUE)</f>
        <v>1</v>
      </c>
    </row>
    <row r="1708">
      <c r="A1708" s="89" t="str">
        <f>IFERROR(__xludf.DUMMYFUNCTION("""COMPUTED_VALUE"""),"Rival")</f>
        <v>Rival</v>
      </c>
      <c r="B1708" s="87" t="str">
        <f>IFERROR(__xludf.DUMMYFUNCTION("""COMPUTED_VALUE"""),"RSC005691")</f>
        <v>RSC005691</v>
      </c>
      <c r="C1708" s="73" t="str">
        <f>IFERROR(__xludf.DUMMYFUNCTION("""COMPUTED_VALUE"""),"Dr.Ukulele")</f>
        <v>Dr.Ukulele</v>
      </c>
      <c r="D1708" s="73" t="str">
        <f>IFERROR(__xludf.DUMMYFUNCTION("""COMPUTED_VALUE"""),"Hot Wings")</f>
        <v>Hot Wings</v>
      </c>
      <c r="E1708" s="82">
        <f>IFERROR(__xludf.DUMMYFUNCTION("""COMPUTED_VALUE"""),35.0)</f>
        <v>35</v>
      </c>
      <c r="F1708" s="82">
        <f>IFERROR(__xludf.DUMMYFUNCTION("""COMPUTED_VALUE"""),26.0)</f>
        <v>26</v>
      </c>
      <c r="G1708" s="86">
        <f>IFERROR(__xludf.DUMMYFUNCTION("""COMPUTED_VALUE"""),9.0)</f>
        <v>9</v>
      </c>
      <c r="H1708" s="86">
        <f>IFERROR(__xludf.DUMMYFUNCTION("""COMPUTED_VALUE"""),0.7428571428571429)</f>
        <v>0.7428571429</v>
      </c>
      <c r="I1708" s="86">
        <f>IFERROR(__xludf.DUMMYFUNCTION("""COMPUTED_VALUE"""),0.35454545454545455)</f>
        <v>0.3545454545</v>
      </c>
      <c r="J1708" s="82">
        <f>IFERROR(__xludf.DUMMYFUNCTION("""COMPUTED_VALUE"""),401.14285714285717)</f>
        <v>401.1428571</v>
      </c>
      <c r="K1708" s="82">
        <f>IFERROR(__xludf.DUMMYFUNCTION("""COMPUTED_VALUE"""),1.1142857142857143)</f>
        <v>1.114285714</v>
      </c>
      <c r="L1708" s="82">
        <f>IFERROR(__xludf.DUMMYFUNCTION("""COMPUTED_VALUE"""),0.6857142857142857)</f>
        <v>0.6857142857</v>
      </c>
      <c r="M1708" s="82">
        <f>IFERROR(__xludf.DUMMYFUNCTION("""COMPUTED_VALUE"""),1.5142857142857142)</f>
        <v>1.514285714</v>
      </c>
      <c r="N1708" s="82">
        <f>IFERROR(__xludf.DUMMYFUNCTION("""COMPUTED_VALUE"""),3.142857142857143)</f>
        <v>3.142857143</v>
      </c>
      <c r="O1708" s="82">
        <f>IFERROR(__xludf.DUMMYFUNCTION("""COMPUTED_VALUE"""),326.0666666666666)</f>
        <v>326.0666667</v>
      </c>
      <c r="P1708" s="82">
        <f>IFERROR(__xludf.DUMMYFUNCTION("""COMPUTED_VALUE"""),0.6761904761904762)</f>
        <v>0.6761904762</v>
      </c>
      <c r="Q1708" s="82">
        <f>IFERROR(__xludf.DUMMYFUNCTION("""COMPUTED_VALUE"""),0.40952380952380957)</f>
        <v>0.4095238095</v>
      </c>
      <c r="R1708" s="82">
        <f>IFERROR(__xludf.DUMMYFUNCTION("""COMPUTED_VALUE"""),1.4761904761904763)</f>
        <v>1.476190476</v>
      </c>
      <c r="S1708" s="82">
        <f>IFERROR(__xludf.DUMMYFUNCTION("""COMPUTED_VALUE"""),2.466666666666667)</f>
        <v>2.466666667</v>
      </c>
      <c r="T1708" s="82">
        <f>IFERROR(__xludf.DUMMYFUNCTION("""COMPUTED_VALUE"""),341.01977404028787)</f>
        <v>341.019774</v>
      </c>
      <c r="U1708" s="82">
        <f>IFERROR(__xludf.DUMMYFUNCTION("""COMPUTED_VALUE"""),0.7844474429983286)</f>
        <v>0.784447443</v>
      </c>
      <c r="V1708" s="82">
        <f>IFERROR(__xludf.DUMMYFUNCTION("""COMPUTED_VALUE"""),0.5203796268441949)</f>
        <v>0.5203796268</v>
      </c>
      <c r="W1708" s="82">
        <f>IFERROR(__xludf.DUMMYFUNCTION("""COMPUTED_VALUE"""),1.3183226706212803)</f>
        <v>1.318322671</v>
      </c>
      <c r="X1708" s="82">
        <f>IFERROR(__xludf.DUMMYFUNCTION("""COMPUTED_VALUE"""),2.5568275346313465)</f>
        <v>2.556827535</v>
      </c>
      <c r="Y1708" s="82">
        <f>IFERROR(__xludf.DUMMYFUNCTION("""COMPUTED_VALUE"""),350.25738088664707)</f>
        <v>350.2573809</v>
      </c>
      <c r="Z1708" s="82">
        <f>IFERROR(__xludf.DUMMYFUNCTION("""COMPUTED_VALUE"""),0.8206575225870799)</f>
        <v>0.8206575226</v>
      </c>
      <c r="AA1708" s="82">
        <f>IFERROR(__xludf.DUMMYFUNCTION("""COMPUTED_VALUE"""),0.6009694618104028)</f>
        <v>0.6009694618</v>
      </c>
      <c r="AB1708" s="82">
        <f>IFERROR(__xludf.DUMMYFUNCTION("""COMPUTED_VALUE"""),1.2983939126635484)</f>
        <v>1.298393913</v>
      </c>
      <c r="AC1708" s="82">
        <f>IFERROR(__xludf.DUMMYFUNCTION("""COMPUTED_VALUE"""),2.630751644881071)</f>
        <v>2.630751645</v>
      </c>
      <c r="AD1708" s="82">
        <f>IFERROR(__xludf.DUMMYFUNCTION("""COMPUTED_VALUE"""),1.1452802397122877)</f>
        <v>1.14528024</v>
      </c>
      <c r="AE1708" s="82">
        <f>IFERROR(__xludf.DUMMYFUNCTION("""COMPUTED_VALUE"""),1.35779625923977)</f>
        <v>1.357796259</v>
      </c>
      <c r="AF1708" s="82">
        <f>IFERROR(__xludf.DUMMYFUNCTION("""COMPUTED_VALUE"""),1.1410135277899007)</f>
        <v>1.141013528</v>
      </c>
      <c r="AG1708" s="82">
        <f>IFERROR(__xludf.DUMMYFUNCTION("""COMPUTED_VALUE"""),1.1662760426681926)</f>
        <v>1.166276043</v>
      </c>
      <c r="AH1708" s="82">
        <f>IFERROR(__xludf.DUMMYFUNCTION("""COMPUTED_VALUE"""),1.1946612858619814)</f>
        <v>1.194661286</v>
      </c>
      <c r="AI1708" s="82">
        <f>IFERROR(__xludf.DUMMYFUNCTION("""COMPUTED_VALUE"""),0.9561517879257796)</f>
        <v>0.9561517879</v>
      </c>
      <c r="AJ1708" s="82">
        <f>IFERROR(__xludf.DUMMYFUNCTION("""COMPUTED_VALUE"""),0.8619958956153)</f>
        <v>0.8619958956</v>
      </c>
      <c r="AK1708" s="82">
        <f>IFERROR(__xludf.DUMMYFUNCTION("""COMPUTED_VALUE"""),0.7869712579013469)</f>
        <v>0.7869712579</v>
      </c>
      <c r="AL1708" s="82">
        <f>IFERROR(__xludf.DUMMYFUNCTION("""COMPUTED_VALUE"""),1.1197489879278177)</f>
        <v>1.119748988</v>
      </c>
      <c r="AM1708" s="82">
        <f>IFERROR(__xludf.DUMMYFUNCTION("""COMPUTED_VALUE"""),0.9647372117424887)</f>
        <v>0.9647372117</v>
      </c>
      <c r="AN1708" s="82">
        <f>IFERROR(__xludf.DUMMYFUNCTION("""COMPUTED_VALUE"""),1.183518542313651)</f>
        <v>1.183518542</v>
      </c>
      <c r="AO1708" s="82">
        <f>IFERROR(__xludf.DUMMYFUNCTION("""COMPUTED_VALUE"""),1.5167361426766761)</f>
        <v>1.516736143</v>
      </c>
      <c r="AP1708" s="82">
        <f>IFERROR(__xludf.DUMMYFUNCTION("""COMPUTED_VALUE"""),1.2244375793963782)</f>
        <v>1.224437579</v>
      </c>
      <c r="AQ1708" s="82">
        <f>IFERROR(__xludf.DUMMYFUNCTION("""COMPUTED_VALUE"""),1.1555594264226476)</f>
        <v>1.155559426</v>
      </c>
      <c r="AR1708" s="82">
        <f>IFERROR(__xludf.DUMMYFUNCTION("""COMPUTED_VALUE"""),1.2620164666828502)</f>
        <v>1.262016467</v>
      </c>
      <c r="AS1708" s="82">
        <f>IFERROR(__xludf.DUMMYFUNCTION("""COMPUTED_VALUE"""),111.0)</f>
        <v>111</v>
      </c>
      <c r="AT1708" s="82">
        <f>IFERROR(__xludf.DUMMYFUNCTION("""COMPUTED_VALUE"""),0.6719955116114291)</f>
        <v>0.6719955116</v>
      </c>
      <c r="AU1708" s="82">
        <f>IFERROR(__xludf.DUMMYFUNCTION("""COMPUTED_VALUE"""),3.0560808338530743)</f>
        <v>3.056080834</v>
      </c>
      <c r="AV1708" s="82">
        <f>IFERROR(__xludf.DUMMYFUNCTION("""COMPUTED_VALUE"""),87.43756197936791)</f>
        <v>87.43756198</v>
      </c>
      <c r="AW1708" s="82">
        <f t="shared" si="1"/>
        <v>14.89618539</v>
      </c>
      <c r="AX1708" s="83">
        <f t="array" ref="AX1708">IFERROR(DGET('SBV Import'!A:G,"SBV",{"RSC ID","Tier";B1708,A1708}))</f>
        <v>62.63780384</v>
      </c>
      <c r="AY1708" s="82">
        <f t="shared" si="2"/>
        <v>3.261583049</v>
      </c>
      <c r="AZ1708" s="82">
        <v>11.634602346214086</v>
      </c>
      <c r="BA1708" s="84">
        <v>1700.0</v>
      </c>
      <c r="BB1708" s="84" t="b">
        <f>IFERROR(__xludf.DUMMYFUNCTION("iferror(if(A1708="""",,E1708&gt;=FILTER(Constants!$F$2:$F$10,Constants!$A$2:$A$10=A1708)))"),TRUE)</f>
        <v>1</v>
      </c>
    </row>
    <row r="1709">
      <c r="A1709" s="89" t="str">
        <f>IFERROR(__xludf.DUMMYFUNCTION("""COMPUTED_VALUE"""),"Rival")</f>
        <v>Rival</v>
      </c>
      <c r="B1709" s="87" t="str">
        <f>IFERROR(__xludf.DUMMYFUNCTION("""COMPUTED_VALUE"""),"RSC007937")</f>
        <v>RSC007937</v>
      </c>
      <c r="C1709" s="73" t="str">
        <f>IFERROR(__xludf.DUMMYFUNCTION("""COMPUTED_VALUE"""),"Spidey")</f>
        <v>Spidey</v>
      </c>
      <c r="D1709" s="73" t="str">
        <f>IFERROR(__xludf.DUMMYFUNCTION("""COMPUTED_VALUE"""),"Ocelots")</f>
        <v>Ocelots</v>
      </c>
      <c r="E1709" s="82">
        <f>IFERROR(__xludf.DUMMYFUNCTION("""COMPUTED_VALUE"""),32.0)</f>
        <v>32</v>
      </c>
      <c r="F1709" s="82">
        <f>IFERROR(__xludf.DUMMYFUNCTION("""COMPUTED_VALUE"""),19.0)</f>
        <v>19</v>
      </c>
      <c r="G1709" s="86">
        <f>IFERROR(__xludf.DUMMYFUNCTION("""COMPUTED_VALUE"""),13.0)</f>
        <v>13</v>
      </c>
      <c r="H1709" s="86">
        <f>IFERROR(__xludf.DUMMYFUNCTION("""COMPUTED_VALUE"""),0.59375)</f>
        <v>0.59375</v>
      </c>
      <c r="I1709" s="86">
        <f>IFERROR(__xludf.DUMMYFUNCTION("""COMPUTED_VALUE"""),0.30357142857142855)</f>
        <v>0.3035714286</v>
      </c>
      <c r="J1709" s="82">
        <f>IFERROR(__xludf.DUMMYFUNCTION("""COMPUTED_VALUE"""),381.59375)</f>
        <v>381.59375</v>
      </c>
      <c r="K1709" s="82">
        <f>IFERROR(__xludf.DUMMYFUNCTION("""COMPUTED_VALUE"""),1.0625)</f>
        <v>1.0625</v>
      </c>
      <c r="L1709" s="82">
        <f>IFERROR(__xludf.DUMMYFUNCTION("""COMPUTED_VALUE"""),0.53125)</f>
        <v>0.53125</v>
      </c>
      <c r="M1709" s="82">
        <f>IFERROR(__xludf.DUMMYFUNCTION("""COMPUTED_VALUE"""),1.21875)</f>
        <v>1.21875</v>
      </c>
      <c r="N1709" s="82">
        <f>IFERROR(__xludf.DUMMYFUNCTION("""COMPUTED_VALUE"""),3.5)</f>
        <v>3.5</v>
      </c>
      <c r="O1709" s="82">
        <f>IFERROR(__xludf.DUMMYFUNCTION("""COMPUTED_VALUE"""),329.13541666666663)</f>
        <v>329.1354167</v>
      </c>
      <c r="P1709" s="82">
        <f>IFERROR(__xludf.DUMMYFUNCTION("""COMPUTED_VALUE"""),0.6562500000000002)</f>
        <v>0.65625</v>
      </c>
      <c r="Q1709" s="82">
        <f>IFERROR(__xludf.DUMMYFUNCTION("""COMPUTED_VALUE"""),0.45833333333333337)</f>
        <v>0.4583333333</v>
      </c>
      <c r="R1709" s="82">
        <f>IFERROR(__xludf.DUMMYFUNCTION("""COMPUTED_VALUE"""),1.375)</f>
        <v>1.375</v>
      </c>
      <c r="S1709" s="82">
        <f>IFERROR(__xludf.DUMMYFUNCTION("""COMPUTED_VALUE"""),2.1354166666666665)</f>
        <v>2.135416667</v>
      </c>
      <c r="T1709" s="82">
        <f>IFERROR(__xludf.DUMMYFUNCTION("""COMPUTED_VALUE"""),346.78045361884114)</f>
        <v>346.7804536</v>
      </c>
      <c r="U1709" s="82">
        <f>IFERROR(__xludf.DUMMYFUNCTION("""COMPUTED_VALUE"""),0.7644958592980908)</f>
        <v>0.7644958593</v>
      </c>
      <c r="V1709" s="82">
        <f>IFERROR(__xludf.DUMMYFUNCTION("""COMPUTED_VALUE"""),0.5496923682278018)</f>
        <v>0.5496923682</v>
      </c>
      <c r="W1709" s="82">
        <f>IFERROR(__xludf.DUMMYFUNCTION("""COMPUTED_VALUE"""),1.3427749427871447)</f>
        <v>1.342774943</v>
      </c>
      <c r="X1709" s="82">
        <f>IFERROR(__xludf.DUMMYFUNCTION("""COMPUTED_VALUE"""),2.5367943678229876)</f>
        <v>2.536794368</v>
      </c>
      <c r="Y1709" s="82">
        <f>IFERROR(__xludf.DUMMYFUNCTION("""COMPUTED_VALUE"""),345.1143750737687)</f>
        <v>345.1143751</v>
      </c>
      <c r="Z1709" s="82">
        <f>IFERROR(__xludf.DUMMYFUNCTION("""COMPUTED_VALUE"""),0.762286867110333)</f>
        <v>0.7622868671</v>
      </c>
      <c r="AA1709" s="82">
        <f>IFERROR(__xludf.DUMMYFUNCTION("""COMPUTED_VALUE"""),0.549616191270603)</f>
        <v>0.5496161913</v>
      </c>
      <c r="AB1709" s="82">
        <f>IFERROR(__xludf.DUMMYFUNCTION("""COMPUTED_VALUE"""),1.3289584013422435)</f>
        <v>1.328958401</v>
      </c>
      <c r="AC1709" s="82">
        <f>IFERROR(__xludf.DUMMYFUNCTION("""COMPUTED_VALUE"""),2.5180020683972897)</f>
        <v>2.518002068</v>
      </c>
      <c r="AD1709" s="82">
        <f>IFERROR(__xludf.DUMMYFUNCTION("""COMPUTED_VALUE"""),1.1057022760017856)</f>
        <v>1.105702276</v>
      </c>
      <c r="AE1709" s="82">
        <f>IFERROR(__xludf.DUMMYFUNCTION("""COMPUTED_VALUE"""),1.3938322249046622)</f>
        <v>1.393832225</v>
      </c>
      <c r="AF1709" s="82">
        <f>IFERROR(__xludf.DUMMYFUNCTION("""COMPUTED_VALUE"""),0.9665836058647689)</f>
        <v>0.9665836059</v>
      </c>
      <c r="AG1709" s="82">
        <f>IFERROR(__xludf.DUMMYFUNCTION("""COMPUTED_VALUE"""),0.91707159439232)</f>
        <v>0.9170715944</v>
      </c>
      <c r="AH1709" s="82">
        <f>IFERROR(__xludf.DUMMYFUNCTION("""COMPUTED_VALUE"""),1.3899909153878307)</f>
        <v>1.389990915</v>
      </c>
      <c r="AI1709" s="82">
        <f>IFERROR(__xludf.DUMMYFUNCTION("""COMPUTED_VALUE"""),0.9491175561712345)</f>
        <v>0.9491175562</v>
      </c>
      <c r="AJ1709" s="82">
        <f>IFERROR(__xludf.DUMMYFUNCTION("""COMPUTED_VALUE"""),0.8584088350753466)</f>
        <v>0.8584088351</v>
      </c>
      <c r="AK1709" s="82">
        <f>IFERROR(__xludf.DUMMYFUNCTION("""COMPUTED_VALUE"""),0.8337997029338278)</f>
        <v>0.8337997029</v>
      </c>
      <c r="AL1709" s="82">
        <f>IFERROR(__xludf.DUMMYFUNCTION("""COMPUTED_VALUE"""),1.0239988520682155)</f>
        <v>1.023998852</v>
      </c>
      <c r="AM1709" s="82">
        <f>IFERROR(__xludf.DUMMYFUNCTION("""COMPUTED_VALUE"""),0.8417775968571023)</f>
        <v>0.8417775969</v>
      </c>
      <c r="AN1709" s="82">
        <f>IFERROR(__xludf.DUMMYFUNCTION("""COMPUTED_VALUE"""),1.1258415068703695)</f>
        <v>1.125841507</v>
      </c>
      <c r="AO1709" s="82">
        <f>IFERROR(__xludf.DUMMYFUNCTION("""COMPUTED_VALUE"""),1.4462468027125357)</f>
        <v>1.446246803</v>
      </c>
      <c r="AP1709" s="82">
        <f>IFERROR(__xludf.DUMMYFUNCTION("""COMPUTED_VALUE"""),0.9486202600792253)</f>
        <v>0.9486202601</v>
      </c>
      <c r="AQ1709" s="82">
        <f>IFERROR(__xludf.DUMMYFUNCTION("""COMPUTED_VALUE"""),0.9300345619498314)</f>
        <v>0.9300345619</v>
      </c>
      <c r="AR1709" s="82">
        <f>IFERROR(__xludf.DUMMYFUNCTION("""COMPUTED_VALUE"""),1.4054274288059012)</f>
        <v>1.405427429</v>
      </c>
      <c r="AS1709" s="82">
        <f>IFERROR(__xludf.DUMMYFUNCTION("""COMPUTED_VALUE"""),80.0)</f>
        <v>80</v>
      </c>
      <c r="AT1709" s="82">
        <f>IFERROR(__xludf.DUMMYFUNCTION("""COMPUTED_VALUE"""),0.590762230809681)</f>
        <v>0.5907622308</v>
      </c>
      <c r="AU1709" s="82">
        <f>IFERROR(__xludf.DUMMYFUNCTION("""COMPUTED_VALUE"""),3.0075319511421137)</f>
        <v>3.007531951</v>
      </c>
      <c r="AV1709" s="82">
        <f>IFERROR(__xludf.DUMMYFUNCTION("""COMPUTED_VALUE"""),85.72261787898472)</f>
        <v>85.72261788</v>
      </c>
      <c r="AW1709" s="82">
        <f t="shared" si="1"/>
        <v>13.06919428</v>
      </c>
      <c r="AX1709" s="83">
        <f t="array" ref="AX1709">IFERROR(DGET('SBV Import'!A:G,"SBV",{"RSC ID","Tier";B1709,A1709}))</f>
        <v>75.1820296</v>
      </c>
      <c r="AY1709" s="82">
        <f t="shared" si="2"/>
        <v>6.373493014</v>
      </c>
      <c r="AZ1709" s="82">
        <v>6.695701270087626</v>
      </c>
      <c r="BA1709" s="84">
        <v>1700.0</v>
      </c>
      <c r="BB1709" s="84" t="b">
        <f>IFERROR(__xludf.DUMMYFUNCTION("iferror(if(A1709="""",,E1709&gt;=FILTER(Constants!$F$2:$F$10,Constants!$A$2:$A$10=A1709)))"),TRUE)</f>
        <v>1</v>
      </c>
    </row>
    <row r="1710">
      <c r="A1710" s="89" t="str">
        <f>IFERROR(__xludf.DUMMYFUNCTION("""COMPUTED_VALUE"""),"Rival")</f>
        <v>Rival</v>
      </c>
      <c r="B1710" s="87" t="str">
        <f>IFERROR(__xludf.DUMMYFUNCTION("""COMPUTED_VALUE"""),"RSC005077")</f>
        <v>RSC005077</v>
      </c>
      <c r="C1710" s="73" t="str">
        <f>IFERROR(__xludf.DUMMYFUNCTION("""COMPUTED_VALUE"""),"kbm grifter")</f>
        <v>kbm grifter</v>
      </c>
      <c r="D1710" s="73" t="str">
        <f>IFERROR(__xludf.DUMMYFUNCTION("""COMPUTED_VALUE"""),"Blizzards")</f>
        <v>Blizzards</v>
      </c>
      <c r="E1710" s="82">
        <f>IFERROR(__xludf.DUMMYFUNCTION("""COMPUTED_VALUE"""),4.0)</f>
        <v>4</v>
      </c>
      <c r="F1710" s="82">
        <f>IFERROR(__xludf.DUMMYFUNCTION("""COMPUTED_VALUE"""),3.0)</f>
        <v>3</v>
      </c>
      <c r="G1710" s="86">
        <f>IFERROR(__xludf.DUMMYFUNCTION("""COMPUTED_VALUE"""),1.0)</f>
        <v>1</v>
      </c>
      <c r="H1710" s="86">
        <f>IFERROR(__xludf.DUMMYFUNCTION("""COMPUTED_VALUE"""),0.75)</f>
        <v>0.75</v>
      </c>
      <c r="I1710" s="86">
        <f>IFERROR(__xludf.DUMMYFUNCTION("""COMPUTED_VALUE"""),0.2222222222222222)</f>
        <v>0.2222222222</v>
      </c>
      <c r="J1710" s="82">
        <f>IFERROR(__xludf.DUMMYFUNCTION("""COMPUTED_VALUE"""),406.5)</f>
        <v>406.5</v>
      </c>
      <c r="K1710" s="82">
        <f>IFERROR(__xludf.DUMMYFUNCTION("""COMPUTED_VALUE"""),1.0)</f>
        <v>1</v>
      </c>
      <c r="L1710" s="82">
        <f>IFERROR(__xludf.DUMMYFUNCTION("""COMPUTED_VALUE"""),0.5)</f>
        <v>0.5</v>
      </c>
      <c r="M1710" s="82">
        <f>IFERROR(__xludf.DUMMYFUNCTION("""COMPUTED_VALUE"""),1.0)</f>
        <v>1</v>
      </c>
      <c r="N1710" s="82">
        <f>IFERROR(__xludf.DUMMYFUNCTION("""COMPUTED_VALUE"""),4.5)</f>
        <v>4.5</v>
      </c>
      <c r="O1710" s="82">
        <f>IFERROR(__xludf.DUMMYFUNCTION("""COMPUTED_VALUE"""),404.0833333333333)</f>
        <v>404.0833333</v>
      </c>
      <c r="P1710" s="82">
        <f>IFERROR(__xludf.DUMMYFUNCTION("""COMPUTED_VALUE"""),0.9166666666666667)</f>
        <v>0.9166666667</v>
      </c>
      <c r="Q1710" s="82">
        <f>IFERROR(__xludf.DUMMYFUNCTION("""COMPUTED_VALUE"""),0.5833333333333333)</f>
        <v>0.5833333333</v>
      </c>
      <c r="R1710" s="82">
        <f>IFERROR(__xludf.DUMMYFUNCTION("""COMPUTED_VALUE"""),1.75)</f>
        <v>1.75</v>
      </c>
      <c r="S1710" s="82">
        <f>IFERROR(__xludf.DUMMYFUNCTION("""COMPUTED_VALUE"""),2.916666666666667)</f>
        <v>2.916666667</v>
      </c>
      <c r="T1710" s="82">
        <f>IFERROR(__xludf.DUMMYFUNCTION("""COMPUTED_VALUE"""),368.61031746031745)</f>
        <v>368.6103175</v>
      </c>
      <c r="U1710" s="82">
        <f>IFERROR(__xludf.DUMMYFUNCTION("""COMPUTED_VALUE"""),0.9071428571428571)</f>
        <v>0.9071428571</v>
      </c>
      <c r="V1710" s="82">
        <f>IFERROR(__xludf.DUMMYFUNCTION("""COMPUTED_VALUE"""),0.615079365079365)</f>
        <v>0.6150793651</v>
      </c>
      <c r="W1710" s="82">
        <f>IFERROR(__xludf.DUMMYFUNCTION("""COMPUTED_VALUE"""),1.465873015873016)</f>
        <v>1.465873016</v>
      </c>
      <c r="X1710" s="82">
        <f>IFERROR(__xludf.DUMMYFUNCTION("""COMPUTED_VALUE"""),2.68968253968254)</f>
        <v>2.68968254</v>
      </c>
      <c r="Y1710" s="82">
        <f>IFERROR(__xludf.DUMMYFUNCTION("""COMPUTED_VALUE"""),352.91984126984124)</f>
        <v>352.9198413</v>
      </c>
      <c r="Z1710" s="82">
        <f>IFERROR(__xludf.DUMMYFUNCTION("""COMPUTED_VALUE"""),0.7883597883597884)</f>
        <v>0.7883597884</v>
      </c>
      <c r="AA1710" s="82">
        <f>IFERROR(__xludf.DUMMYFUNCTION("""COMPUTED_VALUE"""),0.5891534391534391)</f>
        <v>0.5891534392</v>
      </c>
      <c r="AB1710" s="82">
        <f>IFERROR(__xludf.DUMMYFUNCTION("""COMPUTED_VALUE"""),1.2457671957671959)</f>
        <v>1.245767196</v>
      </c>
      <c r="AC1710" s="82">
        <f>IFERROR(__xludf.DUMMYFUNCTION("""COMPUTED_VALUE"""),2.7939153439153444)</f>
        <v>2.793915344</v>
      </c>
      <c r="AD1710" s="82">
        <f>IFERROR(__xludf.DUMMYFUNCTION("""COMPUTED_VALUE"""),1.1518196271917496)</f>
        <v>1.151819627</v>
      </c>
      <c r="AE1710" s="82">
        <f>IFERROR(__xludf.DUMMYFUNCTION("""COMPUTED_VALUE"""),1.2684563758389262)</f>
        <v>1.268456376</v>
      </c>
      <c r="AF1710" s="82">
        <f>IFERROR(__xludf.DUMMYFUNCTION("""COMPUTED_VALUE"""),0.8486753480017962)</f>
        <v>0.848675348</v>
      </c>
      <c r="AG1710" s="82">
        <f>IFERROR(__xludf.DUMMYFUNCTION("""COMPUTED_VALUE"""),0.8027181991930346)</f>
        <v>0.8027181992</v>
      </c>
      <c r="AH1710" s="82">
        <f>IFERROR(__xludf.DUMMYFUNCTION("""COMPUTED_VALUE"""),1.6106429315405735)</f>
        <v>1.610642932</v>
      </c>
      <c r="AI1710" s="82">
        <f>IFERROR(__xludf.DUMMYFUNCTION("""COMPUTED_VALUE"""),1.096234462772016)</f>
        <v>1.096234463</v>
      </c>
      <c r="AJ1710" s="82">
        <f>IFERROR(__xludf.DUMMYFUNCTION("""COMPUTED_VALUE"""),1.010498687664042)</f>
        <v>1.010498688</v>
      </c>
      <c r="AK1710" s="82">
        <f>IFERROR(__xludf.DUMMYFUNCTION("""COMPUTED_VALUE"""),0.9483870967741935)</f>
        <v>0.9483870968</v>
      </c>
      <c r="AL1710" s="82">
        <f>IFERROR(__xludf.DUMMYFUNCTION("""COMPUTED_VALUE"""),1.1938278289117488)</f>
        <v>1.193827829</v>
      </c>
      <c r="AM1710" s="82">
        <f>IFERROR(__xludf.DUMMYFUNCTION("""COMPUTED_VALUE"""),1.0843906757155504)</f>
        <v>1.084390676</v>
      </c>
      <c r="AN1710" s="82">
        <f>IFERROR(__xludf.DUMMYFUNCTION("""COMPUTED_VALUE"""),1.1993240784022412)</f>
        <v>1.199324078</v>
      </c>
      <c r="AO1710" s="82">
        <f>IFERROR(__xludf.DUMMYFUNCTION("""COMPUTED_VALUE"""),1.3611734613765043)</f>
        <v>1.361173461</v>
      </c>
      <c r="AP1710" s="82">
        <f>IFERROR(__xludf.DUMMYFUNCTION("""COMPUTED_VALUE"""),0.8928190683098591)</f>
        <v>0.8928190683</v>
      </c>
      <c r="AQ1710" s="82">
        <f>IFERROR(__xludf.DUMMYFUNCTION("""COMPUTED_VALUE"""),0.7631052815998617)</f>
        <v>0.7631052816</v>
      </c>
      <c r="AR1710" s="82">
        <f>IFERROR(__xludf.DUMMYFUNCTION("""COMPUTED_VALUE"""),1.8069781227504444)</f>
        <v>1.806978123</v>
      </c>
      <c r="AS1710" s="82">
        <f>IFERROR(__xludf.DUMMYFUNCTION("""COMPUTED_VALUE"""),10.0)</f>
        <v>10</v>
      </c>
      <c r="AT1710" s="82">
        <f>IFERROR(__xludf.DUMMYFUNCTION("""COMPUTED_VALUE"""),0.4617250571853035)</f>
        <v>0.4617250572</v>
      </c>
      <c r="AU1710" s="82">
        <f>IFERROR(__xludf.DUMMYFUNCTION("""COMPUTED_VALUE"""),2.980684442230332)</f>
        <v>2.980684442</v>
      </c>
      <c r="AV1710" s="82">
        <f>IFERROR(__xludf.DUMMYFUNCTION("""COMPUTED_VALUE"""),84.77425461195838)</f>
        <v>84.77425461</v>
      </c>
      <c r="AW1710" s="82">
        <f t="shared" si="1"/>
        <v>12.17771167</v>
      </c>
      <c r="AX1710" s="83">
        <f t="array" ref="AX1710">IFERROR(DGET('SBV Import'!A:G,"SBV",{"RSC ID","Tier";B1710,A1710}))</f>
        <v>56.86946963</v>
      </c>
      <c r="AY1710" s="82">
        <f t="shared" si="2"/>
        <v>2.552693341</v>
      </c>
      <c r="AZ1710" s="82">
        <v>9.625018329896843</v>
      </c>
      <c r="BA1710" s="84">
        <v>1700.0</v>
      </c>
      <c r="BB1710" s="84" t="b">
        <f>IFERROR(__xludf.DUMMYFUNCTION("iferror(if(A1710="""",,E1710&gt;=FILTER(Constants!$F$2:$F$10,Constants!$A$2:$A$10=A1710)))"),TRUE)</f>
        <v>1</v>
      </c>
    </row>
    <row r="1711">
      <c r="A1711" s="89" t="str">
        <f>IFERROR(__xludf.DUMMYFUNCTION("""COMPUTED_VALUE"""),"Rival")</f>
        <v>Rival</v>
      </c>
      <c r="B1711" s="87" t="str">
        <f>IFERROR(__xludf.DUMMYFUNCTION("""COMPUTED_VALUE"""),"RSC005518")</f>
        <v>RSC005518</v>
      </c>
      <c r="C1711" s="73" t="str">
        <f>IFERROR(__xludf.DUMMYFUNCTION("""COMPUTED_VALUE"""),"BigDaddyDeVito")</f>
        <v>BigDaddyDeVito</v>
      </c>
      <c r="D1711" s="73" t="str">
        <f>IFERROR(__xludf.DUMMYFUNCTION("""COMPUTED_VALUE"""),"Jetstream")</f>
        <v>Jetstream</v>
      </c>
      <c r="E1711" s="82">
        <f>IFERROR(__xludf.DUMMYFUNCTION("""COMPUTED_VALUE"""),28.0)</f>
        <v>28</v>
      </c>
      <c r="F1711" s="82">
        <f>IFERROR(__xludf.DUMMYFUNCTION("""COMPUTED_VALUE"""),13.0)</f>
        <v>13</v>
      </c>
      <c r="G1711" s="86">
        <f>IFERROR(__xludf.DUMMYFUNCTION("""COMPUTED_VALUE"""),15.0)</f>
        <v>15</v>
      </c>
      <c r="H1711" s="86">
        <f>IFERROR(__xludf.DUMMYFUNCTION("""COMPUTED_VALUE"""),0.4642857142857143)</f>
        <v>0.4642857143</v>
      </c>
      <c r="I1711" s="86">
        <f>IFERROR(__xludf.DUMMYFUNCTION("""COMPUTED_VALUE"""),0.3186813186813187)</f>
        <v>0.3186813187</v>
      </c>
      <c r="J1711" s="82">
        <f>IFERROR(__xludf.DUMMYFUNCTION("""COMPUTED_VALUE"""),422.10714285714283)</f>
        <v>422.1071429</v>
      </c>
      <c r="K1711" s="82">
        <f>IFERROR(__xludf.DUMMYFUNCTION("""COMPUTED_VALUE"""),1.0357142857142858)</f>
        <v>1.035714286</v>
      </c>
      <c r="L1711" s="82">
        <f>IFERROR(__xludf.DUMMYFUNCTION("""COMPUTED_VALUE"""),0.6071428571428571)</f>
        <v>0.6071428571</v>
      </c>
      <c r="M1711" s="82">
        <f>IFERROR(__xludf.DUMMYFUNCTION("""COMPUTED_VALUE"""),1.6071428571428572)</f>
        <v>1.607142857</v>
      </c>
      <c r="N1711" s="82">
        <f>IFERROR(__xludf.DUMMYFUNCTION("""COMPUTED_VALUE"""),3.25)</f>
        <v>3.25</v>
      </c>
      <c r="O1711" s="82">
        <f>IFERROR(__xludf.DUMMYFUNCTION("""COMPUTED_VALUE"""),345.65476190476187)</f>
        <v>345.6547619</v>
      </c>
      <c r="P1711" s="82">
        <f>IFERROR(__xludf.DUMMYFUNCTION("""COMPUTED_VALUE"""),0.7142857142857143)</f>
        <v>0.7142857143</v>
      </c>
      <c r="Q1711" s="82">
        <f>IFERROR(__xludf.DUMMYFUNCTION("""COMPUTED_VALUE"""),0.5357142857142857)</f>
        <v>0.5357142857</v>
      </c>
      <c r="R1711" s="82">
        <f>IFERROR(__xludf.DUMMYFUNCTION("""COMPUTED_VALUE"""),1.2738095238095237)</f>
        <v>1.273809524</v>
      </c>
      <c r="S1711" s="82">
        <f>IFERROR(__xludf.DUMMYFUNCTION("""COMPUTED_VALUE"""),2.654761904761905)</f>
        <v>2.654761905</v>
      </c>
      <c r="T1711" s="82">
        <f>IFERROR(__xludf.DUMMYFUNCTION("""COMPUTED_VALUE"""),352.3573788553327)</f>
        <v>352.3573789</v>
      </c>
      <c r="U1711" s="82">
        <f>IFERROR(__xludf.DUMMYFUNCTION("""COMPUTED_VALUE"""),0.8081644712719392)</f>
        <v>0.8081644713</v>
      </c>
      <c r="V1711" s="82">
        <f>IFERROR(__xludf.DUMMYFUNCTION("""COMPUTED_VALUE"""),0.5514919128436948)</f>
        <v>0.5514919128</v>
      </c>
      <c r="W1711" s="82">
        <f>IFERROR(__xludf.DUMMYFUNCTION("""COMPUTED_VALUE"""),1.2979569474302768)</f>
        <v>1.297956947</v>
      </c>
      <c r="X1711" s="82">
        <f>IFERROR(__xludf.DUMMYFUNCTION("""COMPUTED_VALUE"""),2.6401712576776957)</f>
        <v>2.640171258</v>
      </c>
      <c r="Y1711" s="82">
        <f>IFERROR(__xludf.DUMMYFUNCTION("""COMPUTED_VALUE"""),352.4300813957952)</f>
        <v>352.4300814</v>
      </c>
      <c r="Z1711" s="82">
        <f>IFERROR(__xludf.DUMMYFUNCTION("""COMPUTED_VALUE"""),0.8240374880643558)</f>
        <v>0.8240374881</v>
      </c>
      <c r="AA1711" s="82">
        <f>IFERROR(__xludf.DUMMYFUNCTION("""COMPUTED_VALUE"""),0.5962878017219052)</f>
        <v>0.5962878017</v>
      </c>
      <c r="AB1711" s="82">
        <f>IFERROR(__xludf.DUMMYFUNCTION("""COMPUTED_VALUE"""),1.3006755403413064)</f>
        <v>1.30067554</v>
      </c>
      <c r="AC1711" s="82">
        <f>IFERROR(__xludf.DUMMYFUNCTION("""COMPUTED_VALUE"""),2.6745768046942238)</f>
        <v>2.674576805</v>
      </c>
      <c r="AD1711" s="82">
        <f>IFERROR(__xludf.DUMMYFUNCTION("""COMPUTED_VALUE"""),1.19770463742877)</f>
        <v>1.197704637</v>
      </c>
      <c r="AE1711" s="82">
        <f>IFERROR(__xludf.DUMMYFUNCTION("""COMPUTED_VALUE"""),1.256877630831036)</f>
        <v>1.256877631</v>
      </c>
      <c r="AF1711" s="82">
        <f>IFERROR(__xludf.DUMMYFUNCTION("""COMPUTED_VALUE"""),1.0182043895407649)</f>
        <v>1.01820439</v>
      </c>
      <c r="AG1711" s="82">
        <f>IFERROR(__xludf.DUMMYFUNCTION("""COMPUTED_VALUE"""),1.2356216499013517)</f>
        <v>1.23562165</v>
      </c>
      <c r="AH1711" s="82">
        <f>IFERROR(__xludf.DUMMYFUNCTION("""COMPUTED_VALUE"""),1.215145511729495)</f>
        <v>1.215145512</v>
      </c>
      <c r="AI1711" s="82">
        <f>IFERROR(__xludf.DUMMYFUNCTION("""COMPUTED_VALUE"""),0.9809777874601494)</f>
        <v>0.9809777875</v>
      </c>
      <c r="AJ1711" s="82">
        <f>IFERROR(__xludf.DUMMYFUNCTION("""COMPUTED_VALUE"""),0.8838370649498205)</f>
        <v>0.8838370649</v>
      </c>
      <c r="AK1711" s="82">
        <f>IFERROR(__xludf.DUMMYFUNCTION("""COMPUTED_VALUE"""),0.9713910090756293)</f>
        <v>0.9713910091</v>
      </c>
      <c r="AL1711" s="82">
        <f>IFERROR(__xludf.DUMMYFUNCTION("""COMPUTED_VALUE"""),0.9813958208178163)</f>
        <v>0.9813958208</v>
      </c>
      <c r="AM1711" s="82">
        <f>IFERROR(__xludf.DUMMYFUNCTION("""COMPUTED_VALUE"""),1.0055264017596508)</f>
        <v>1.005526402</v>
      </c>
      <c r="AN1711" s="82">
        <f>IFERROR(__xludf.DUMMYFUNCTION("""COMPUTED_VALUE"""),1.2453708735403346)</f>
        <v>1.245370874</v>
      </c>
      <c r="AO1711" s="82">
        <f>IFERROR(__xludf.DUMMYFUNCTION("""COMPUTED_VALUE"""),1.4097867992828081)</f>
        <v>1.409786799</v>
      </c>
      <c r="AP1711" s="82">
        <f>IFERROR(__xludf.DUMMYFUNCTION("""COMPUTED_VALUE"""),1.084137440090543)</f>
        <v>1.08413744</v>
      </c>
      <c r="AQ1711" s="82">
        <f>IFERROR(__xludf.DUMMYFUNCTION("""COMPUTED_VALUE"""),1.2264192025712062)</f>
        <v>1.226419203</v>
      </c>
      <c r="AR1711" s="82">
        <f>IFERROR(__xludf.DUMMYFUNCTION("""COMPUTED_VALUE"""),1.3050397553197655)</f>
        <v>1.305039755</v>
      </c>
      <c r="AS1711" s="82">
        <f>IFERROR(__xludf.DUMMYFUNCTION("""COMPUTED_VALUE"""),71.0)</f>
        <v>71</v>
      </c>
      <c r="AT1711" s="82">
        <f>IFERROR(__xludf.DUMMYFUNCTION("""COMPUTED_VALUE"""),0.5651570046770394)</f>
        <v>0.5651570047</v>
      </c>
      <c r="AU1711" s="82">
        <f>IFERROR(__xludf.DUMMYFUNCTION("""COMPUTED_VALUE"""),2.869636419607071)</f>
        <v>2.86963642</v>
      </c>
      <c r="AV1711" s="82">
        <f>IFERROR(__xludf.DUMMYFUNCTION("""COMPUTED_VALUE"""),80.85158655817875)</f>
        <v>80.85158656</v>
      </c>
      <c r="AW1711" s="82">
        <f t="shared" si="1"/>
        <v>9.208982597</v>
      </c>
      <c r="AX1711" s="83">
        <f t="array" ref="AX1711">IFERROR(DGET('SBV Import'!A:G,"SBV",{"RSC ID","Tier";B1711,A1711}))</f>
        <v>70.35387424</v>
      </c>
      <c r="AY1711" s="82">
        <f t="shared" si="2"/>
        <v>4.812827009</v>
      </c>
      <c r="AZ1711" s="82">
        <v>4.396155587687554</v>
      </c>
      <c r="BA1711" s="84">
        <v>1700.0</v>
      </c>
      <c r="BB1711" s="84" t="b">
        <f>IFERROR(__xludf.DUMMYFUNCTION("iferror(if(A1711="""",,E1711&gt;=FILTER(Constants!$F$2:$F$10,Constants!$A$2:$A$10=A1711)))"),TRUE)</f>
        <v>1</v>
      </c>
    </row>
    <row r="1712">
      <c r="A1712" s="89" t="str">
        <f>IFERROR(__xludf.DUMMYFUNCTION("""COMPUTED_VALUE"""),"Rival")</f>
        <v>Rival</v>
      </c>
      <c r="B1712" s="87" t="str">
        <f>IFERROR(__xludf.DUMMYFUNCTION("""COMPUTED_VALUE"""),"RSC005493")</f>
        <v>RSC005493</v>
      </c>
      <c r="C1712" s="73" t="str">
        <f>IFERROR(__xludf.DUMMYFUNCTION("""COMPUTED_VALUE"""),"NJ111_")</f>
        <v>NJ111_</v>
      </c>
      <c r="D1712" s="73" t="str">
        <f>IFERROR(__xludf.DUMMYFUNCTION("""COMPUTED_VALUE"""),"Hammerheads")</f>
        <v>Hammerheads</v>
      </c>
      <c r="E1712" s="82">
        <f>IFERROR(__xludf.DUMMYFUNCTION("""COMPUTED_VALUE"""),12.0)</f>
        <v>12</v>
      </c>
      <c r="F1712" s="82">
        <f>IFERROR(__xludf.DUMMYFUNCTION("""COMPUTED_VALUE"""),9.0)</f>
        <v>9</v>
      </c>
      <c r="G1712" s="86">
        <f>IFERROR(__xludf.DUMMYFUNCTION("""COMPUTED_VALUE"""),3.0)</f>
        <v>3</v>
      </c>
      <c r="H1712" s="86">
        <f>IFERROR(__xludf.DUMMYFUNCTION("""COMPUTED_VALUE"""),0.75)</f>
        <v>0.75</v>
      </c>
      <c r="I1712" s="86">
        <f>IFERROR(__xludf.DUMMYFUNCTION("""COMPUTED_VALUE"""),0.4074074074074074)</f>
        <v>0.4074074074</v>
      </c>
      <c r="J1712" s="82">
        <f>IFERROR(__xludf.DUMMYFUNCTION("""COMPUTED_VALUE"""),364.9166666666667)</f>
        <v>364.9166667</v>
      </c>
      <c r="K1712" s="82">
        <f>IFERROR(__xludf.DUMMYFUNCTION("""COMPUTED_VALUE"""),0.9166666666666666)</f>
        <v>0.9166666667</v>
      </c>
      <c r="L1712" s="82">
        <f>IFERROR(__xludf.DUMMYFUNCTION("""COMPUTED_VALUE"""),0.9166666666666666)</f>
        <v>0.9166666667</v>
      </c>
      <c r="M1712" s="82">
        <f>IFERROR(__xludf.DUMMYFUNCTION("""COMPUTED_VALUE"""),1.5)</f>
        <v>1.5</v>
      </c>
      <c r="N1712" s="82">
        <f>IFERROR(__xludf.DUMMYFUNCTION("""COMPUTED_VALUE"""),2.25)</f>
        <v>2.25</v>
      </c>
      <c r="O1712" s="82">
        <f>IFERROR(__xludf.DUMMYFUNCTION("""COMPUTED_VALUE"""),299.4166666666667)</f>
        <v>299.4166667</v>
      </c>
      <c r="P1712" s="82">
        <f>IFERROR(__xludf.DUMMYFUNCTION("""COMPUTED_VALUE"""),0.5833333333333334)</f>
        <v>0.5833333333</v>
      </c>
      <c r="Q1712" s="82">
        <f>IFERROR(__xludf.DUMMYFUNCTION("""COMPUTED_VALUE"""),0.4444444444444444)</f>
        <v>0.4444444444</v>
      </c>
      <c r="R1712" s="82">
        <f>IFERROR(__xludf.DUMMYFUNCTION("""COMPUTED_VALUE"""),1.138888888888889)</f>
        <v>1.138888889</v>
      </c>
      <c r="S1712" s="82">
        <f>IFERROR(__xludf.DUMMYFUNCTION("""COMPUTED_VALUE"""),2.527777777777778)</f>
        <v>2.527777778</v>
      </c>
      <c r="T1712" s="82">
        <f>IFERROR(__xludf.DUMMYFUNCTION("""COMPUTED_VALUE"""),350.9546277174191)</f>
        <v>350.9546277</v>
      </c>
      <c r="U1712" s="82">
        <f>IFERROR(__xludf.DUMMYFUNCTION("""COMPUTED_VALUE"""),0.8521843264837518)</f>
        <v>0.8521843265</v>
      </c>
      <c r="V1712" s="82">
        <f>IFERROR(__xludf.DUMMYFUNCTION("""COMPUTED_VALUE"""),0.6152860062426448)</f>
        <v>0.6152860062</v>
      </c>
      <c r="W1712" s="82">
        <f>IFERROR(__xludf.DUMMYFUNCTION("""COMPUTED_VALUE"""),1.2369280375461107)</f>
        <v>1.236928038</v>
      </c>
      <c r="X1712" s="82">
        <f>IFERROR(__xludf.DUMMYFUNCTION("""COMPUTED_VALUE"""),2.752638506256023)</f>
        <v>2.752638506</v>
      </c>
      <c r="Y1712" s="82">
        <f>IFERROR(__xludf.DUMMYFUNCTION("""COMPUTED_VALUE"""),344.8694545146397)</f>
        <v>344.8694545</v>
      </c>
      <c r="Z1712" s="82">
        <f>IFERROR(__xludf.DUMMYFUNCTION("""COMPUTED_VALUE"""),0.799825023013486)</f>
        <v>0.799825023</v>
      </c>
      <c r="AA1712" s="82">
        <f>IFERROR(__xludf.DUMMYFUNCTION("""COMPUTED_VALUE"""),0.5533307199557921)</f>
        <v>0.55333072</v>
      </c>
      <c r="AB1712" s="82">
        <f>IFERROR(__xludf.DUMMYFUNCTION("""COMPUTED_VALUE"""),1.3251714841114894)</f>
        <v>1.325171484</v>
      </c>
      <c r="AC1712" s="82">
        <f>IFERROR(__xludf.DUMMYFUNCTION("""COMPUTED_VALUE"""),2.54621092203439)</f>
        <v>2.546210922</v>
      </c>
      <c r="AD1712" s="82">
        <f>IFERROR(__xludf.DUMMYFUNCTION("""COMPUTED_VALUE"""),1.0581298572244995)</f>
        <v>1.058129857</v>
      </c>
      <c r="AE1712" s="82">
        <f>IFERROR(__xludf.DUMMYFUNCTION("""COMPUTED_VALUE"""),1.1460840062404631)</f>
        <v>1.146084006</v>
      </c>
      <c r="AF1712" s="82">
        <f>IFERROR(__xludf.DUMMYFUNCTION("""COMPUTED_VALUE"""),1.656634330260758)</f>
        <v>1.65663433</v>
      </c>
      <c r="AG1712" s="82">
        <f>IFERROR(__xludf.DUMMYFUNCTION("""COMPUTED_VALUE"""),1.1319289752191815)</f>
        <v>1.131928975</v>
      </c>
      <c r="AH1712" s="82">
        <f>IFERROR(__xludf.DUMMYFUNCTION("""COMPUTED_VALUE"""),0.8836659918975914)</f>
        <v>0.8836659919</v>
      </c>
      <c r="AI1712" s="82">
        <f>IFERROR(__xludf.DUMMYFUNCTION("""COMPUTED_VALUE"""),0.8531492193564986)</f>
        <v>0.8531492194</v>
      </c>
      <c r="AJ1712" s="82">
        <f>IFERROR(__xludf.DUMMYFUNCTION("""COMPUTED_VALUE"""),0.6845154448454357)</f>
        <v>0.6845154448</v>
      </c>
      <c r="AK1712" s="82">
        <f>IFERROR(__xludf.DUMMYFUNCTION("""COMPUTED_VALUE"""),0.7223379695542317)</f>
        <v>0.7223379696</v>
      </c>
      <c r="AL1712" s="82">
        <f>IFERROR(__xludf.DUMMYFUNCTION("""COMPUTED_VALUE"""),0.9207398121141167)</f>
        <v>0.9207398121</v>
      </c>
      <c r="AM1712" s="82">
        <f>IFERROR(__xludf.DUMMYFUNCTION("""COMPUTED_VALUE"""),0.9183108395936497)</f>
        <v>0.9183108396</v>
      </c>
      <c r="AN1712" s="82">
        <f>IFERROR(__xludf.DUMMYFUNCTION("""COMPUTED_VALUE"""),1.0766379949412495)</f>
        <v>1.076637995</v>
      </c>
      <c r="AO1712" s="82">
        <f>IFERROR(__xludf.DUMMYFUNCTION("""COMPUTED_VALUE"""),1.2477423395951288)</f>
        <v>1.24774234</v>
      </c>
      <c r="AP1712" s="82">
        <f>IFERROR(__xludf.DUMMYFUNCTION("""COMPUTED_VALUE"""),1.636834958568075)</f>
        <v>1.636834959</v>
      </c>
      <c r="AQ1712" s="82">
        <f>IFERROR(__xludf.DUMMYFUNCTION("""COMPUTED_VALUE"""),1.1446579223997926)</f>
        <v>1.144657922</v>
      </c>
      <c r="AR1712" s="82">
        <f>IFERROR(__xludf.DUMMYFUNCTION("""COMPUTED_VALUE"""),0.9034890613752222)</f>
        <v>0.9034890614</v>
      </c>
      <c r="AS1712" s="82">
        <f>IFERROR(__xludf.DUMMYFUNCTION("""COMPUTED_VALUE"""),37.0)</f>
        <v>37</v>
      </c>
      <c r="AT1712" s="82">
        <f>IFERROR(__xludf.DUMMYFUNCTION("""COMPUTED_VALUE"""),0.7089360971304295)</f>
        <v>0.7089360971</v>
      </c>
      <c r="AU1712" s="82">
        <f>IFERROR(__xludf.DUMMYFUNCTION("""COMPUTED_VALUE"""),2.862891523068275)</f>
        <v>2.862891523</v>
      </c>
      <c r="AV1712" s="82">
        <f>IFERROR(__xludf.DUMMYFUNCTION("""COMPUTED_VALUE"""),80.61332936499535)</f>
        <v>80.61332936</v>
      </c>
      <c r="AW1712" s="82">
        <f t="shared" si="1"/>
        <v>9.059975062</v>
      </c>
      <c r="AX1712" s="83">
        <f t="array" ref="AX1712">IFERROR(DGET('SBV Import'!A:G,"SBV",{"RSC ID","Tier";B1712,A1712}))</f>
        <v>59.40890411</v>
      </c>
      <c r="AY1712" s="82">
        <f t="shared" si="2"/>
        <v>2.830246899</v>
      </c>
      <c r="AZ1712" s="82">
        <v>6.229728163058288</v>
      </c>
      <c r="BA1712" s="84">
        <v>1700.0</v>
      </c>
      <c r="BB1712" s="84" t="b">
        <f>IFERROR(__xludf.DUMMYFUNCTION("iferror(if(A1712="""",,E1712&gt;=FILTER(Constants!$F$2:$F$10,Constants!$A$2:$A$10=A1712)))"),TRUE)</f>
        <v>1</v>
      </c>
    </row>
    <row r="1713">
      <c r="A1713" s="89" t="str">
        <f>IFERROR(__xludf.DUMMYFUNCTION("""COMPUTED_VALUE"""),"Rival")</f>
        <v>Rival</v>
      </c>
      <c r="B1713" s="87" t="str">
        <f>IFERROR(__xludf.DUMMYFUNCTION("""COMPUTED_VALUE"""),"RSC004347")</f>
        <v>RSC004347</v>
      </c>
      <c r="C1713" s="73" t="str">
        <f>IFERROR(__xludf.DUMMYFUNCTION("""COMPUTED_VALUE"""),"Good job you")</f>
        <v>Good job you</v>
      </c>
      <c r="D1713" s="73" t="str">
        <f>IFERROR(__xludf.DUMMYFUNCTION("""COMPUTED_VALUE"""),"Bulldozers")</f>
        <v>Bulldozers</v>
      </c>
      <c r="E1713" s="82">
        <f>IFERROR(__xludf.DUMMYFUNCTION("""COMPUTED_VALUE"""),36.0)</f>
        <v>36</v>
      </c>
      <c r="F1713" s="82">
        <f>IFERROR(__xludf.DUMMYFUNCTION("""COMPUTED_VALUE"""),28.0)</f>
        <v>28</v>
      </c>
      <c r="G1713" s="86">
        <f>IFERROR(__xludf.DUMMYFUNCTION("""COMPUTED_VALUE"""),8.0)</f>
        <v>8</v>
      </c>
      <c r="H1713" s="86">
        <f>IFERROR(__xludf.DUMMYFUNCTION("""COMPUTED_VALUE"""),0.7777777777777778)</f>
        <v>0.7777777778</v>
      </c>
      <c r="I1713" s="86">
        <f>IFERROR(__xludf.DUMMYFUNCTION("""COMPUTED_VALUE"""),0.34782608695652173)</f>
        <v>0.347826087</v>
      </c>
      <c r="J1713" s="82">
        <f>IFERROR(__xludf.DUMMYFUNCTION("""COMPUTED_VALUE"""),379.3333333333333)</f>
        <v>379.3333333</v>
      </c>
      <c r="K1713" s="82">
        <f>IFERROR(__xludf.DUMMYFUNCTION("""COMPUTED_VALUE"""),0.8888888888888888)</f>
        <v>0.8888888889</v>
      </c>
      <c r="L1713" s="82">
        <f>IFERROR(__xludf.DUMMYFUNCTION("""COMPUTED_VALUE"""),1.0555555555555556)</f>
        <v>1.055555556</v>
      </c>
      <c r="M1713" s="82">
        <f>IFERROR(__xludf.DUMMYFUNCTION("""COMPUTED_VALUE"""),1.0277777777777777)</f>
        <v>1.027777778</v>
      </c>
      <c r="N1713" s="82">
        <f>IFERROR(__xludf.DUMMYFUNCTION("""COMPUTED_VALUE"""),2.5555555555555554)</f>
        <v>2.555555556</v>
      </c>
      <c r="O1713" s="82">
        <f>IFERROR(__xludf.DUMMYFUNCTION("""COMPUTED_VALUE"""),325.9351851851853)</f>
        <v>325.9351852</v>
      </c>
      <c r="P1713" s="82">
        <f>IFERROR(__xludf.DUMMYFUNCTION("""COMPUTED_VALUE"""),0.6388888888888887)</f>
        <v>0.6388888889</v>
      </c>
      <c r="Q1713" s="82">
        <f>IFERROR(__xludf.DUMMYFUNCTION("""COMPUTED_VALUE"""),0.4722222222222223)</f>
        <v>0.4722222222</v>
      </c>
      <c r="R1713" s="82">
        <f>IFERROR(__xludf.DUMMYFUNCTION("""COMPUTED_VALUE"""),1.3518518518518516)</f>
        <v>1.351851852</v>
      </c>
      <c r="S1713" s="82">
        <f>IFERROR(__xludf.DUMMYFUNCTION("""COMPUTED_VALUE"""),2.7129629629629624)</f>
        <v>2.712962963</v>
      </c>
      <c r="T1713" s="82">
        <f>IFERROR(__xludf.DUMMYFUNCTION("""COMPUTED_VALUE"""),344.90656359466306)</f>
        <v>344.9065636</v>
      </c>
      <c r="U1713" s="82">
        <f>IFERROR(__xludf.DUMMYFUNCTION("""COMPUTED_VALUE"""),0.738875446722514)</f>
        <v>0.7388754467</v>
      </c>
      <c r="V1713" s="82">
        <f>IFERROR(__xludf.DUMMYFUNCTION("""COMPUTED_VALUE"""),0.5657110365613641)</f>
        <v>0.5657110366</v>
      </c>
      <c r="W1713" s="82">
        <f>IFERROR(__xludf.DUMMYFUNCTION("""COMPUTED_VALUE"""),1.3275065962177794)</f>
        <v>1.327506596</v>
      </c>
      <c r="X1713" s="82">
        <f>IFERROR(__xludf.DUMMYFUNCTION("""COMPUTED_VALUE"""),2.5216047939367066)</f>
        <v>2.521604794</v>
      </c>
      <c r="Y1713" s="82">
        <f>IFERROR(__xludf.DUMMYFUNCTION("""COMPUTED_VALUE"""),361.5894706925966)</f>
        <v>361.5894707</v>
      </c>
      <c r="Z1713" s="82">
        <f>IFERROR(__xludf.DUMMYFUNCTION("""COMPUTED_VALUE"""),0.8592074304929124)</f>
        <v>0.8592074305</v>
      </c>
      <c r="AA1713" s="82">
        <f>IFERROR(__xludf.DUMMYFUNCTION("""COMPUTED_VALUE"""),0.6349624175612028)</f>
        <v>0.6349624176</v>
      </c>
      <c r="AB1713" s="82">
        <f>IFERROR(__xludf.DUMMYFUNCTION("""COMPUTED_VALUE"""),1.3193085227123822)</f>
        <v>1.319308523</v>
      </c>
      <c r="AC1713" s="82">
        <f>IFERROR(__xludf.DUMMYFUNCTION("""COMPUTED_VALUE"""),2.6661703734553464)</f>
        <v>2.666170373</v>
      </c>
      <c r="AD1713" s="82">
        <f>IFERROR(__xludf.DUMMYFUNCTION("""COMPUTED_VALUE"""),1.0490718455013353)</f>
        <v>1.049071846</v>
      </c>
      <c r="AE1713" s="82">
        <f>IFERROR(__xludf.DUMMYFUNCTION("""COMPUTED_VALUE"""),1.0345451602751488)</f>
        <v>1.03454516</v>
      </c>
      <c r="AF1713" s="82">
        <f>IFERROR(__xludf.DUMMYFUNCTION("""COMPUTED_VALUE"""),1.6623906019663166)</f>
        <v>1.662390602</v>
      </c>
      <c r="AG1713" s="82">
        <f>IFERROR(__xludf.DUMMYFUNCTION("""COMPUTED_VALUE"""),0.7790276194568629)</f>
        <v>0.7790276195</v>
      </c>
      <c r="AH1713" s="82">
        <f>IFERROR(__xludf.DUMMYFUNCTION("""COMPUTED_VALUE"""),0.9585117219060406)</f>
        <v>0.9585117219</v>
      </c>
      <c r="AI1713" s="82">
        <f>IFERROR(__xludf.DUMMYFUNCTION("""COMPUTED_VALUE"""),0.9449956005134971)</f>
        <v>0.9449956005</v>
      </c>
      <c r="AJ1713" s="82">
        <f>IFERROR(__xludf.DUMMYFUNCTION("""COMPUTED_VALUE"""),0.864677384697051)</f>
        <v>0.8646773847</v>
      </c>
      <c r="AK1713" s="82">
        <f>IFERROR(__xludf.DUMMYFUNCTION("""COMPUTED_VALUE"""),0.8347410456981587)</f>
        <v>0.8347410457</v>
      </c>
      <c r="AL1713" s="82">
        <f>IFERROR(__xludf.DUMMYFUNCTION("""COMPUTED_VALUE"""),1.018339084493768)</f>
        <v>1.018339084</v>
      </c>
      <c r="AM1713" s="82">
        <f>IFERROR(__xludf.DUMMYFUNCTION("""COMPUTED_VALUE"""),1.0758874544838999)</f>
        <v>1.075887454</v>
      </c>
      <c r="AN1713" s="82">
        <f>IFERROR(__xludf.DUMMYFUNCTION("""COMPUTED_VALUE"""),1.1191724487263226)</f>
        <v>1.119172449</v>
      </c>
      <c r="AO1713" s="82">
        <f>IFERROR(__xludf.DUMMYFUNCTION("""COMPUTED_VALUE"""),1.2099319656680037)</f>
        <v>1.209931966</v>
      </c>
      <c r="AP1713" s="82">
        <f>IFERROR(__xludf.DUMMYFUNCTION("""COMPUTED_VALUE"""),1.8848402553208137)</f>
        <v>1.884840255</v>
      </c>
      <c r="AQ1713" s="82">
        <f>IFERROR(__xludf.DUMMYFUNCTION("""COMPUTED_VALUE"""),0.784302650533191)</f>
        <v>0.7843026505</v>
      </c>
      <c r="AR1713" s="82">
        <f>IFERROR(__xludf.DUMMYFUNCTION("""COMPUTED_VALUE"""),1.026185106747166)</f>
        <v>1.026185107</v>
      </c>
      <c r="AS1713" s="82">
        <f>IFERROR(__xludf.DUMMYFUNCTION("""COMPUTED_VALUE"""),112.0)</f>
        <v>112</v>
      </c>
      <c r="AT1713" s="82">
        <f>IFERROR(__xludf.DUMMYFUNCTION("""COMPUTED_VALUE"""),0.6835214685714367)</f>
        <v>0.6835214686</v>
      </c>
      <c r="AU1713" s="82">
        <f>IFERROR(__xludf.DUMMYFUNCTION("""COMPUTED_VALUE"""),2.8281583001323956)</f>
        <v>2.8281583</v>
      </c>
      <c r="AV1713" s="82">
        <f>IFERROR(__xludf.DUMMYFUNCTION("""COMPUTED_VALUE"""),79.38641058880418)</f>
        <v>79.38641059</v>
      </c>
      <c r="AW1713" s="82">
        <f t="shared" si="1"/>
        <v>8.339860622</v>
      </c>
      <c r="AX1713" s="83">
        <f t="array" ref="AX1713">IFERROR(DGET('SBV Import'!A:G,"SBV",{"RSC ID","Tier";B1713,A1713}))</f>
        <v>56.04168047</v>
      </c>
      <c r="AY1713" s="82">
        <f t="shared" si="2"/>
        <v>2.47207167</v>
      </c>
      <c r="AZ1713" s="82">
        <v>5.867788951649004</v>
      </c>
      <c r="BA1713" s="84">
        <v>1700.0</v>
      </c>
      <c r="BB1713" s="84" t="b">
        <f>IFERROR(__xludf.DUMMYFUNCTION("iferror(if(A1713="""",,E1713&gt;=FILTER(Constants!$F$2:$F$10,Constants!$A$2:$A$10=A1713)))"),TRUE)</f>
        <v>1</v>
      </c>
    </row>
    <row r="1714">
      <c r="A1714" s="89" t="str">
        <f>IFERROR(__xludf.DUMMYFUNCTION("""COMPUTED_VALUE"""),"Rival")</f>
        <v>Rival</v>
      </c>
      <c r="B1714" s="87" t="str">
        <f>IFERROR(__xludf.DUMMYFUNCTION("""COMPUTED_VALUE"""),"RSC007697")</f>
        <v>RSC007697</v>
      </c>
      <c r="C1714" s="73" t="str">
        <f>IFERROR(__xludf.DUMMYFUNCTION("""COMPUTED_VALUE"""),"Commander Lucas")</f>
        <v>Commander Lucas</v>
      </c>
      <c r="D1714" s="73" t="str">
        <f>IFERROR(__xludf.DUMMYFUNCTION("""COMPUTED_VALUE"""),"Blizzards")</f>
        <v>Blizzards</v>
      </c>
      <c r="E1714" s="82">
        <f>IFERROR(__xludf.DUMMYFUNCTION("""COMPUTED_VALUE"""),11.0)</f>
        <v>11</v>
      </c>
      <c r="F1714" s="82">
        <f>IFERROR(__xludf.DUMMYFUNCTION("""COMPUTED_VALUE"""),5.0)</f>
        <v>5</v>
      </c>
      <c r="G1714" s="86">
        <f>IFERROR(__xludf.DUMMYFUNCTION("""COMPUTED_VALUE"""),6.0)</f>
        <v>6</v>
      </c>
      <c r="H1714" s="86">
        <f>IFERROR(__xludf.DUMMYFUNCTION("""COMPUTED_VALUE"""),0.45454545454545453)</f>
        <v>0.4545454545</v>
      </c>
      <c r="I1714" s="86">
        <f>IFERROR(__xludf.DUMMYFUNCTION("""COMPUTED_VALUE"""),0.325)</f>
        <v>0.325</v>
      </c>
      <c r="J1714" s="82">
        <f>IFERROR(__xludf.DUMMYFUNCTION("""COMPUTED_VALUE"""),432.09090909090907)</f>
        <v>432.0909091</v>
      </c>
      <c r="K1714" s="82">
        <f>IFERROR(__xludf.DUMMYFUNCTION("""COMPUTED_VALUE"""),1.1818181818181819)</f>
        <v>1.181818182</v>
      </c>
      <c r="L1714" s="82">
        <f>IFERROR(__xludf.DUMMYFUNCTION("""COMPUTED_VALUE"""),0.45454545454545453)</f>
        <v>0.4545454545</v>
      </c>
      <c r="M1714" s="82">
        <f>IFERROR(__xludf.DUMMYFUNCTION("""COMPUTED_VALUE"""),1.4545454545454546)</f>
        <v>1.454545455</v>
      </c>
      <c r="N1714" s="82">
        <f>IFERROR(__xludf.DUMMYFUNCTION("""COMPUTED_VALUE"""),3.6363636363636362)</f>
        <v>3.636363636</v>
      </c>
      <c r="O1714" s="82">
        <f>IFERROR(__xludf.DUMMYFUNCTION("""COMPUTED_VALUE"""),395.66666666666674)</f>
        <v>395.6666667</v>
      </c>
      <c r="P1714" s="82">
        <f>IFERROR(__xludf.DUMMYFUNCTION("""COMPUTED_VALUE"""),1.0303030303030303)</f>
        <v>1.03030303</v>
      </c>
      <c r="Q1714" s="82">
        <f>IFERROR(__xludf.DUMMYFUNCTION("""COMPUTED_VALUE"""),0.7272727272727273)</f>
        <v>0.7272727273</v>
      </c>
      <c r="R1714" s="82">
        <f>IFERROR(__xludf.DUMMYFUNCTION("""COMPUTED_VALUE"""),1.5757575757575757)</f>
        <v>1.575757576</v>
      </c>
      <c r="S1714" s="82">
        <f>IFERROR(__xludf.DUMMYFUNCTION("""COMPUTED_VALUE"""),2.6363636363636362)</f>
        <v>2.636363636</v>
      </c>
      <c r="T1714" s="82">
        <f>IFERROR(__xludf.DUMMYFUNCTION("""COMPUTED_VALUE"""),348.80643268427866)</f>
        <v>348.8064327</v>
      </c>
      <c r="U1714" s="82">
        <f>IFERROR(__xludf.DUMMYFUNCTION("""COMPUTED_VALUE"""),0.787933724814511)</f>
        <v>0.7879337248</v>
      </c>
      <c r="V1714" s="82">
        <f>IFERROR(__xludf.DUMMYFUNCTION("""COMPUTED_VALUE"""),0.5182099975470109)</f>
        <v>0.5182099975</v>
      </c>
      <c r="W1714" s="82">
        <f>IFERROR(__xludf.DUMMYFUNCTION("""COMPUTED_VALUE"""),1.38981402708007)</f>
        <v>1.389814027</v>
      </c>
      <c r="X1714" s="82">
        <f>IFERROR(__xludf.DUMMYFUNCTION("""COMPUTED_VALUE"""),2.366310565790541)</f>
        <v>2.366310566</v>
      </c>
      <c r="Y1714" s="82">
        <f>IFERROR(__xludf.DUMMYFUNCTION("""COMPUTED_VALUE"""),334.855904909663)</f>
        <v>334.8559049</v>
      </c>
      <c r="Z1714" s="82">
        <f>IFERROR(__xludf.DUMMYFUNCTION("""COMPUTED_VALUE"""),0.7471780852790905)</f>
        <v>0.7471780853</v>
      </c>
      <c r="AA1714" s="82">
        <f>IFERROR(__xludf.DUMMYFUNCTION("""COMPUTED_VALUE"""),0.5465546325546949)</f>
        <v>0.5465546326</v>
      </c>
      <c r="AB1714" s="82">
        <f>IFERROR(__xludf.DUMMYFUNCTION("""COMPUTED_VALUE"""),1.18745560854554)</f>
        <v>1.187455609</v>
      </c>
      <c r="AC1714" s="82">
        <f>IFERROR(__xludf.DUMMYFUNCTION("""COMPUTED_VALUE"""),2.6342027166030957)</f>
        <v>2.634202717</v>
      </c>
      <c r="AD1714" s="82">
        <f>IFERROR(__xludf.DUMMYFUNCTION("""COMPUTED_VALUE"""),1.2903786457266686)</f>
        <v>1.290378646</v>
      </c>
      <c r="AE1714" s="82">
        <f>IFERROR(__xludf.DUMMYFUNCTION("""COMPUTED_VALUE"""),1.5817088390336582)</f>
        <v>1.581708839</v>
      </c>
      <c r="AF1714" s="82">
        <f>IFERROR(__xludf.DUMMYFUNCTION("""COMPUTED_VALUE"""),0.8316560275426211)</f>
        <v>0.8316560275</v>
      </c>
      <c r="AG1714" s="82">
        <f>IFERROR(__xludf.DUMMYFUNCTION("""COMPUTED_VALUE"""),1.2249261733051735)</f>
        <v>1.224926173</v>
      </c>
      <c r="AH1714" s="82">
        <f>IFERROR(__xludf.DUMMYFUNCTION("""COMPUTED_VALUE"""),1.3804418367060471)</f>
        <v>1.380441837</v>
      </c>
      <c r="AI1714" s="82">
        <f>IFERROR(__xludf.DUMMYFUNCTION("""COMPUTED_VALUE"""),1.1343445234704244)</f>
        <v>1.134344523</v>
      </c>
      <c r="AJ1714" s="82">
        <f>IFERROR(__xludf.DUMMYFUNCTION("""COMPUTED_VALUE"""),1.3076011317393172)</f>
        <v>1.307601132</v>
      </c>
      <c r="AK1714" s="82">
        <f>IFERROR(__xludf.DUMMYFUNCTION("""COMPUTED_VALUE"""),1.4034324515453809)</f>
        <v>1.403432452</v>
      </c>
      <c r="AL1714" s="82">
        <f>IFERROR(__xludf.DUMMYFUNCTION("""COMPUTED_VALUE"""),1.1337902374378561)</f>
        <v>1.133790237</v>
      </c>
      <c r="AM1714" s="82">
        <f>IFERROR(__xludf.DUMMYFUNCTION("""COMPUTED_VALUE"""),1.114124102929353)</f>
        <v>1.114124103</v>
      </c>
      <c r="AN1714" s="82">
        <f>IFERROR(__xludf.DUMMYFUNCTION("""COMPUTED_VALUE"""),1.2748266453417987)</f>
        <v>1.274826645</v>
      </c>
      <c r="AO1714" s="82">
        <f>IFERROR(__xludf.DUMMYFUNCTION("""COMPUTED_VALUE"""),1.6086595452631414)</f>
        <v>1.608659545</v>
      </c>
      <c r="AP1714" s="82">
        <f>IFERROR(__xludf.DUMMYFUNCTION("""COMPUTED_VALUE"""),0.8116536984635082)</f>
        <v>0.8116536985</v>
      </c>
      <c r="AQ1714" s="82">
        <f>IFERROR(__xludf.DUMMYFUNCTION("""COMPUTED_VALUE"""),1.1099713186907079)</f>
        <v>1.109971319</v>
      </c>
      <c r="AR1714" s="82">
        <f>IFERROR(__xludf.DUMMYFUNCTION("""COMPUTED_VALUE"""),1.4601843416165208)</f>
        <v>1.460184342</v>
      </c>
      <c r="AS1714" s="82">
        <f>IFERROR(__xludf.DUMMYFUNCTION("""COMPUTED_VALUE"""),28.0)</f>
        <v>28</v>
      </c>
      <c r="AT1714" s="82">
        <f>IFERROR(__xludf.DUMMYFUNCTION("""COMPUTED_VALUE"""),0.4209379351839212)</f>
        <v>0.4209379352</v>
      </c>
      <c r="AU1714" s="82">
        <f>IFERROR(__xludf.DUMMYFUNCTION("""COMPUTED_VALUE"""),2.815272312027165)</f>
        <v>2.815272312</v>
      </c>
      <c r="AV1714" s="82">
        <f>IFERROR(__xludf.DUMMYFUNCTION("""COMPUTED_VALUE"""),78.93122505116288)</f>
        <v>78.93122505</v>
      </c>
      <c r="AW1714" s="82">
        <f t="shared" si="1"/>
        <v>8.091575838</v>
      </c>
      <c r="AX1714" s="83">
        <f t="array" ref="AX1714">IFERROR(DGET('SBV Import'!A:G,"SBV",{"RSC ID","Tier";B1714,A1714}))</f>
        <v>70.29390966</v>
      </c>
      <c r="AY1714" s="82">
        <f t="shared" si="2"/>
        <v>4.796951835</v>
      </c>
      <c r="AZ1714" s="82">
        <v>3.294624002608029</v>
      </c>
      <c r="BA1714" s="84">
        <v>1700.0</v>
      </c>
      <c r="BB1714" s="84" t="b">
        <f>IFERROR(__xludf.DUMMYFUNCTION("iferror(if(A1714="""",,E1714&gt;=FILTER(Constants!$F$2:$F$10,Constants!$A$2:$A$10=A1714)))"),TRUE)</f>
        <v>1</v>
      </c>
    </row>
    <row r="1715">
      <c r="A1715" s="89" t="str">
        <f>IFERROR(__xludf.DUMMYFUNCTION("""COMPUTED_VALUE"""),"Rival")</f>
        <v>Rival</v>
      </c>
      <c r="B1715" s="87" t="str">
        <f>IFERROR(__xludf.DUMMYFUNCTION("""COMPUTED_VALUE"""),"RSC005677")</f>
        <v>RSC005677</v>
      </c>
      <c r="C1715" s="73" t="str">
        <f>IFERROR(__xludf.DUMMYFUNCTION("""COMPUTED_VALUE"""),"z2kay")</f>
        <v>z2kay</v>
      </c>
      <c r="D1715" s="73" t="str">
        <f>IFERROR(__xludf.DUMMYFUNCTION("""COMPUTED_VALUE"""),"Hammerheads")</f>
        <v>Hammerheads</v>
      </c>
      <c r="E1715" s="82">
        <f>IFERROR(__xludf.DUMMYFUNCTION("""COMPUTED_VALUE"""),36.0)</f>
        <v>36</v>
      </c>
      <c r="F1715" s="82">
        <f>IFERROR(__xludf.DUMMYFUNCTION("""COMPUTED_VALUE"""),20.0)</f>
        <v>20</v>
      </c>
      <c r="G1715" s="86">
        <f>IFERROR(__xludf.DUMMYFUNCTION("""COMPUTED_VALUE"""),16.0)</f>
        <v>16</v>
      </c>
      <c r="H1715" s="86">
        <f>IFERROR(__xludf.DUMMYFUNCTION("""COMPUTED_VALUE"""),0.5555555555555556)</f>
        <v>0.5555555556</v>
      </c>
      <c r="I1715" s="86">
        <f>IFERROR(__xludf.DUMMYFUNCTION("""COMPUTED_VALUE"""),0.30275229357798167)</f>
        <v>0.3027522936</v>
      </c>
      <c r="J1715" s="82">
        <f>IFERROR(__xludf.DUMMYFUNCTION("""COMPUTED_VALUE"""),411.75)</f>
        <v>411.75</v>
      </c>
      <c r="K1715" s="82">
        <f>IFERROR(__xludf.DUMMYFUNCTION("""COMPUTED_VALUE"""),0.9166666666666666)</f>
        <v>0.9166666667</v>
      </c>
      <c r="L1715" s="82">
        <f>IFERROR(__xludf.DUMMYFUNCTION("""COMPUTED_VALUE"""),0.75)</f>
        <v>0.75</v>
      </c>
      <c r="M1715" s="82">
        <f>IFERROR(__xludf.DUMMYFUNCTION("""COMPUTED_VALUE"""),1.6666666666666667)</f>
        <v>1.666666667</v>
      </c>
      <c r="N1715" s="82">
        <f>IFERROR(__xludf.DUMMYFUNCTION("""COMPUTED_VALUE"""),3.0277777777777777)</f>
        <v>3.027777778</v>
      </c>
      <c r="O1715" s="82">
        <f>IFERROR(__xludf.DUMMYFUNCTION("""COMPUTED_VALUE"""),338.9722222222222)</f>
        <v>338.9722222</v>
      </c>
      <c r="P1715" s="82">
        <f>IFERROR(__xludf.DUMMYFUNCTION("""COMPUTED_VALUE"""),0.7222222222222222)</f>
        <v>0.7222222222</v>
      </c>
      <c r="Q1715" s="82">
        <f>IFERROR(__xludf.DUMMYFUNCTION("""COMPUTED_VALUE"""),0.5555555555555558)</f>
        <v>0.5555555556</v>
      </c>
      <c r="R1715" s="82">
        <f>IFERROR(__xludf.DUMMYFUNCTION("""COMPUTED_VALUE"""),1.4259259259259263)</f>
        <v>1.425925926</v>
      </c>
      <c r="S1715" s="82">
        <f>IFERROR(__xludf.DUMMYFUNCTION("""COMPUTED_VALUE"""),2.638888888888889)</f>
        <v>2.638888889</v>
      </c>
      <c r="T1715" s="82">
        <f>IFERROR(__xludf.DUMMYFUNCTION("""COMPUTED_VALUE"""),342.6940455614113)</f>
        <v>342.6940456</v>
      </c>
      <c r="U1715" s="82">
        <f>IFERROR(__xludf.DUMMYFUNCTION("""COMPUTED_VALUE"""),0.7880716428983372)</f>
        <v>0.7880716429</v>
      </c>
      <c r="V1715" s="82">
        <f>IFERROR(__xludf.DUMMYFUNCTION("""COMPUTED_VALUE"""),0.5518048618584237)</f>
        <v>0.5518048619</v>
      </c>
      <c r="W1715" s="82">
        <f>IFERROR(__xludf.DUMMYFUNCTION("""COMPUTED_VALUE"""),1.2670238894927137)</f>
        <v>1.267023889</v>
      </c>
      <c r="X1715" s="82">
        <f>IFERROR(__xludf.DUMMYFUNCTION("""COMPUTED_VALUE"""),2.589831439030183)</f>
        <v>2.589831439</v>
      </c>
      <c r="Y1715" s="82">
        <f>IFERROR(__xludf.DUMMYFUNCTION("""COMPUTED_VALUE"""),350.532178495655)</f>
        <v>350.5321785</v>
      </c>
      <c r="Z1715" s="82">
        <f>IFERROR(__xludf.DUMMYFUNCTION("""COMPUTED_VALUE"""),0.8116719641319675)</f>
        <v>0.8116719641</v>
      </c>
      <c r="AA1715" s="82">
        <f>IFERROR(__xludf.DUMMYFUNCTION("""COMPUTED_VALUE"""),0.5588594765773107)</f>
        <v>0.5588594766</v>
      </c>
      <c r="AB1715" s="82">
        <f>IFERROR(__xludf.DUMMYFUNCTION("""COMPUTED_VALUE"""),1.3371298782559955)</f>
        <v>1.337129878</v>
      </c>
      <c r="AC1715" s="82">
        <f>IFERROR(__xludf.DUMMYFUNCTION("""COMPUTED_VALUE"""),2.545405794042787)</f>
        <v>2.545405794</v>
      </c>
      <c r="AD1715" s="82">
        <f>IFERROR(__xludf.DUMMYFUNCTION("""COMPUTED_VALUE"""),1.1746425157515286)</f>
        <v>1.174642516</v>
      </c>
      <c r="AE1715" s="82">
        <f>IFERROR(__xludf.DUMMYFUNCTION("""COMPUTED_VALUE"""),1.129356078778678)</f>
        <v>1.129356079</v>
      </c>
      <c r="AF1715" s="82">
        <f>IFERROR(__xludf.DUMMYFUNCTION("""COMPUTED_VALUE"""),1.3420189357677423)</f>
        <v>1.342018936</v>
      </c>
      <c r="AG1715" s="82">
        <f>IFERROR(__xludf.DUMMYFUNCTION("""COMPUTED_VALUE"""),1.2464508450297158)</f>
        <v>1.246450845</v>
      </c>
      <c r="AH1715" s="82">
        <f>IFERROR(__xludf.DUMMYFUNCTION("""COMPUTED_VALUE"""),1.1895069088252739)</f>
        <v>1.189506909</v>
      </c>
      <c r="AI1715" s="82">
        <f>IFERROR(__xludf.DUMMYFUNCTION("""COMPUTED_VALUE"""),0.9891395155900887)</f>
        <v>0.9891395156</v>
      </c>
      <c r="AJ1715" s="82">
        <f>IFERROR(__xludf.DUMMYFUNCTION("""COMPUTED_VALUE"""),0.9164423421785147)</f>
        <v>0.9164423422</v>
      </c>
      <c r="AK1715" s="82">
        <f>IFERROR(__xludf.DUMMYFUNCTION("""COMPUTED_VALUE"""),1.006797137822418)</f>
        <v>1.006797138</v>
      </c>
      <c r="AL1715" s="82">
        <f>IFERROR(__xludf.DUMMYFUNCTION("""COMPUTED_VALUE"""),1.1254136072342196)</f>
        <v>1.125413607</v>
      </c>
      <c r="AM1715" s="82">
        <f>IFERROR(__xludf.DUMMYFUNCTION("""COMPUTED_VALUE"""),1.0189423331261576)</f>
        <v>1.018942333</v>
      </c>
      <c r="AN1715" s="82">
        <f>IFERROR(__xludf.DUMMYFUNCTION("""COMPUTED_VALUE"""),1.21481350376906)</f>
        <v>1.214813504</v>
      </c>
      <c r="AO1715" s="82">
        <f>IFERROR(__xludf.DUMMYFUNCTION("""COMPUTED_VALUE"""),1.2477423395951288)</f>
        <v>1.24774234</v>
      </c>
      <c r="AP1715" s="82">
        <f>IFERROR(__xludf.DUMMYFUNCTION("""COMPUTED_VALUE"""),1.3392286024647886)</f>
        <v>1.339228602</v>
      </c>
      <c r="AQ1715" s="82">
        <f>IFERROR(__xludf.DUMMYFUNCTION("""COMPUTED_VALUE"""),1.2718421359997696)</f>
        <v>1.271842136</v>
      </c>
      <c r="AR1715" s="82">
        <f>IFERROR(__xludf.DUMMYFUNCTION("""COMPUTED_VALUE"""),1.2158062677765336)</f>
        <v>1.215806268</v>
      </c>
      <c r="AS1715" s="82">
        <f>IFERROR(__xludf.DUMMYFUNCTION("""COMPUTED_VALUE"""),89.0)</f>
        <v>89</v>
      </c>
      <c r="AT1715" s="82">
        <f>IFERROR(__xludf.DUMMYFUNCTION("""COMPUTED_VALUE"""),0.5510528712993453)</f>
        <v>0.5510528713</v>
      </c>
      <c r="AU1715" s="82">
        <f>IFERROR(__xludf.DUMMYFUNCTION("""COMPUTED_VALUE"""),2.805852502954502)</f>
        <v>2.805852503</v>
      </c>
      <c r="AV1715" s="82">
        <f>IFERROR(__xludf.DUMMYFUNCTION("""COMPUTED_VALUE"""),78.59847906209292)</f>
        <v>78.59847906</v>
      </c>
      <c r="AW1715" s="82">
        <f t="shared" si="1"/>
        <v>7.916124913</v>
      </c>
      <c r="AX1715" s="83">
        <f t="array" ref="AX1715">IFERROR(DGET('SBV Import'!A:G,"SBV",{"RSC ID","Tier";B1715,A1715}))</f>
        <v>70.5721649</v>
      </c>
      <c r="AY1715" s="82">
        <f t="shared" si="2"/>
        <v>4.871247024</v>
      </c>
      <c r="AZ1715" s="82">
        <v>3.044877889137302</v>
      </c>
      <c r="BA1715" s="84">
        <v>1700.0</v>
      </c>
      <c r="BB1715" s="84" t="b">
        <f>IFERROR(__xludf.DUMMYFUNCTION("iferror(if(A1715="""",,E1715&gt;=FILTER(Constants!$F$2:$F$10,Constants!$A$2:$A$10=A1715)))"),TRUE)</f>
        <v>1</v>
      </c>
    </row>
    <row r="1716">
      <c r="A1716" s="89" t="str">
        <f>IFERROR(__xludf.DUMMYFUNCTION("""COMPUTED_VALUE"""),"Rival")</f>
        <v>Rival</v>
      </c>
      <c r="B1716" s="87" t="str">
        <f>IFERROR(__xludf.DUMMYFUNCTION("""COMPUTED_VALUE"""),"RSC006678")</f>
        <v>RSC006678</v>
      </c>
      <c r="C1716" s="73" t="str">
        <f>IFERROR(__xludf.DUMMYFUNCTION("""COMPUTED_VALUE"""),"EyeSucka")</f>
        <v>EyeSucka</v>
      </c>
      <c r="D1716" s="73" t="str">
        <f>IFERROR(__xludf.DUMMYFUNCTION("""COMPUTED_VALUE"""),"Mining Legion")</f>
        <v>Mining Legion</v>
      </c>
      <c r="E1716" s="82">
        <f>IFERROR(__xludf.DUMMYFUNCTION("""COMPUTED_VALUE"""),13.0)</f>
        <v>13</v>
      </c>
      <c r="F1716" s="82">
        <f>IFERROR(__xludf.DUMMYFUNCTION("""COMPUTED_VALUE"""),7.0)</f>
        <v>7</v>
      </c>
      <c r="G1716" s="86">
        <f>IFERROR(__xludf.DUMMYFUNCTION("""COMPUTED_VALUE"""),6.0)</f>
        <v>6</v>
      </c>
      <c r="H1716" s="86">
        <f>IFERROR(__xludf.DUMMYFUNCTION("""COMPUTED_VALUE"""),0.5384615384615384)</f>
        <v>0.5384615385</v>
      </c>
      <c r="I1716" s="86">
        <f>IFERROR(__xludf.DUMMYFUNCTION("""COMPUTED_VALUE"""),0.40625)</f>
        <v>0.40625</v>
      </c>
      <c r="J1716" s="82">
        <f>IFERROR(__xludf.DUMMYFUNCTION("""COMPUTED_VALUE"""),401.2307692307692)</f>
        <v>401.2307692</v>
      </c>
      <c r="K1716" s="82">
        <f>IFERROR(__xludf.DUMMYFUNCTION("""COMPUTED_VALUE"""),1.0)</f>
        <v>1</v>
      </c>
      <c r="L1716" s="82">
        <f>IFERROR(__xludf.DUMMYFUNCTION("""COMPUTED_VALUE"""),0.8461538461538461)</f>
        <v>0.8461538462</v>
      </c>
      <c r="M1716" s="82">
        <f>IFERROR(__xludf.DUMMYFUNCTION("""COMPUTED_VALUE"""),1.7692307692307692)</f>
        <v>1.769230769</v>
      </c>
      <c r="N1716" s="82">
        <f>IFERROR(__xludf.DUMMYFUNCTION("""COMPUTED_VALUE"""),2.4615384615384617)</f>
        <v>2.461538462</v>
      </c>
      <c r="O1716" s="82">
        <f>IFERROR(__xludf.DUMMYFUNCTION("""COMPUTED_VALUE"""),362.2051282051283)</f>
        <v>362.2051282</v>
      </c>
      <c r="P1716" s="82">
        <f>IFERROR(__xludf.DUMMYFUNCTION("""COMPUTED_VALUE"""),0.8717948717948717)</f>
        <v>0.8717948718</v>
      </c>
      <c r="Q1716" s="82">
        <f>IFERROR(__xludf.DUMMYFUNCTION("""COMPUTED_VALUE"""),0.7692307692307694)</f>
        <v>0.7692307692</v>
      </c>
      <c r="R1716" s="82">
        <f>IFERROR(__xludf.DUMMYFUNCTION("""COMPUTED_VALUE"""),1.1025641025641024)</f>
        <v>1.102564103</v>
      </c>
      <c r="S1716" s="82">
        <f>IFERROR(__xludf.DUMMYFUNCTION("""COMPUTED_VALUE"""),2.769230769230769)</f>
        <v>2.769230769</v>
      </c>
      <c r="T1716" s="82">
        <f>IFERROR(__xludf.DUMMYFUNCTION("""COMPUTED_VALUE"""),348.60727977506826)</f>
        <v>348.6072798</v>
      </c>
      <c r="U1716" s="82">
        <f>IFERROR(__xludf.DUMMYFUNCTION("""COMPUTED_VALUE"""),0.79383325008325)</f>
        <v>0.7938332501</v>
      </c>
      <c r="V1716" s="82">
        <f>IFERROR(__xludf.DUMMYFUNCTION("""COMPUTED_VALUE"""),0.5873979119171427)</f>
        <v>0.5873979119</v>
      </c>
      <c r="W1716" s="82">
        <f>IFERROR(__xludf.DUMMYFUNCTION("""COMPUTED_VALUE"""),1.1774074038497118)</f>
        <v>1.177407404</v>
      </c>
      <c r="X1716" s="82">
        <f>IFERROR(__xludf.DUMMYFUNCTION("""COMPUTED_VALUE"""),2.6724053901938523)</f>
        <v>2.67240539</v>
      </c>
      <c r="Y1716" s="82">
        <f>IFERROR(__xludf.DUMMYFUNCTION("""COMPUTED_VALUE"""),337.2694954380852)</f>
        <v>337.2694954</v>
      </c>
      <c r="Z1716" s="82">
        <f>IFERROR(__xludf.DUMMYFUNCTION("""COMPUTED_VALUE"""),0.7204725473956243)</f>
        <v>0.7204725474</v>
      </c>
      <c r="AA1716" s="82">
        <f>IFERROR(__xludf.DUMMYFUNCTION("""COMPUTED_VALUE"""),0.5026705073179433)</f>
        <v>0.5026705073</v>
      </c>
      <c r="AB1716" s="82">
        <f>IFERROR(__xludf.DUMMYFUNCTION("""COMPUTED_VALUE"""),1.3369330752343573)</f>
        <v>1.336933075</v>
      </c>
      <c r="AC1716" s="82">
        <f>IFERROR(__xludf.DUMMYFUNCTION("""COMPUTED_VALUE"""),2.3384921939409127)</f>
        <v>2.338492194</v>
      </c>
      <c r="AD1716" s="82">
        <f>IFERROR(__xludf.DUMMYFUNCTION("""COMPUTED_VALUE"""),1.1896444079818236)</f>
        <v>1.189644408</v>
      </c>
      <c r="AE1716" s="82">
        <f>IFERROR(__xludf.DUMMYFUNCTION("""COMPUTED_VALUE"""),1.387977937000953)</f>
        <v>1.387977937</v>
      </c>
      <c r="AF1716" s="82">
        <f>IFERROR(__xludf.DUMMYFUNCTION("""COMPUTED_VALUE"""),1.6833170711936096)</f>
        <v>1.683317071</v>
      </c>
      <c r="AG1716" s="82">
        <f>IFERROR(__xludf.DUMMYFUNCTION("""COMPUTED_VALUE"""),1.323350287313845)</f>
        <v>1.323350287</v>
      </c>
      <c r="AH1716" s="82">
        <f>IFERROR(__xludf.DUMMYFUNCTION("""COMPUTED_VALUE"""),1.0526177799166339)</f>
        <v>1.05261778</v>
      </c>
      <c r="AI1716" s="82">
        <f>IFERROR(__xludf.DUMMYFUNCTION("""COMPUTED_VALUE"""),1.039006209046563)</f>
        <v>1.039006209</v>
      </c>
      <c r="AJ1716" s="82">
        <f>IFERROR(__xludf.DUMMYFUNCTION("""COMPUTED_VALUE"""),1.0982090655732117)</f>
        <v>1.098209066</v>
      </c>
      <c r="AK1716" s="82">
        <f>IFERROR(__xludf.DUMMYFUNCTION("""COMPUTED_VALUE"""),1.309556526546311)</f>
        <v>1.309556527</v>
      </c>
      <c r="AL1716" s="82">
        <f>IFERROR(__xludf.DUMMYFUNCTION("""COMPUTED_VALUE"""),0.9364338112356879)</f>
        <v>0.9364338112</v>
      </c>
      <c r="AM1716" s="82">
        <f>IFERROR(__xludf.DUMMYFUNCTION("""COMPUTED_VALUE"""),1.0362315460791274)</f>
        <v>1.036231546</v>
      </c>
      <c r="AN1716" s="82">
        <f>IFERROR(__xludf.DUMMYFUNCTION("""COMPUTED_VALUE"""),1.1837779152135661)</f>
        <v>1.183777915</v>
      </c>
      <c r="AO1716" s="82">
        <f>IFERROR(__xludf.DUMMYFUNCTION("""COMPUTED_VALUE"""),1.3611734613765043)</f>
        <v>1.361173461</v>
      </c>
      <c r="AP1716" s="82">
        <f>IFERROR(__xludf.DUMMYFUNCTION("""COMPUTED_VALUE"""),1.5109245771397615)</f>
        <v>1.510924577</v>
      </c>
      <c r="AQ1716" s="82">
        <f>IFERROR(__xludf.DUMMYFUNCTION("""COMPUTED_VALUE"""),1.350109344368986)</f>
        <v>1.350109344</v>
      </c>
      <c r="AR1716" s="82">
        <f>IFERROR(__xludf.DUMMYFUNCTION("""COMPUTED_VALUE"""),0.9884324774019526)</f>
        <v>0.9884324774</v>
      </c>
      <c r="AS1716" s="82">
        <f>IFERROR(__xludf.DUMMYFUNCTION("""COMPUTED_VALUE"""),37.0)</f>
        <v>37</v>
      </c>
      <c r="AT1716" s="82">
        <f>IFERROR(__xludf.DUMMYFUNCTION("""COMPUTED_VALUE"""),0.5343570639363521)</f>
        <v>0.5343570639</v>
      </c>
      <c r="AU1716" s="82">
        <f>IFERROR(__xludf.DUMMYFUNCTION("""COMPUTED_VALUE"""),2.802056422955098)</f>
        <v>2.802056423</v>
      </c>
      <c r="AV1716" s="82">
        <f>IFERROR(__xludf.DUMMYFUNCTION("""COMPUTED_VALUE"""),78.46438606888609)</f>
        <v>78.46438607</v>
      </c>
      <c r="AW1716" s="82">
        <f t="shared" si="1"/>
        <v>7.846821389</v>
      </c>
      <c r="AX1716" s="83">
        <f t="array" ref="AX1716">IFERROR(DGET('SBV Import'!A:G,"SBV",{"RSC ID","Tier";B1716,A1716}))</f>
        <v>67.92962012</v>
      </c>
      <c r="AY1716" s="82">
        <f t="shared" si="2"/>
        <v>4.226006187</v>
      </c>
      <c r="AZ1716" s="82">
        <v>3.620815201654512</v>
      </c>
      <c r="BA1716" s="84">
        <v>1700.0</v>
      </c>
      <c r="BB1716" s="84" t="b">
        <f>IFERROR(__xludf.DUMMYFUNCTION("iferror(if(A1716="""",,E1716&gt;=FILTER(Constants!$F$2:$F$10,Constants!$A$2:$A$10=A1716)))"),TRUE)</f>
        <v>1</v>
      </c>
    </row>
    <row r="1717">
      <c r="A1717" s="89" t="str">
        <f>IFERROR(__xludf.DUMMYFUNCTION("""COMPUTED_VALUE"""),"Rival")</f>
        <v>Rival</v>
      </c>
      <c r="B1717" s="87" t="str">
        <f>IFERROR(__xludf.DUMMYFUNCTION("""COMPUTED_VALUE"""),"RSC002930")</f>
        <v>RSC002930</v>
      </c>
      <c r="C1717" s="73" t="str">
        <f>IFERROR(__xludf.DUMMYFUNCTION("""COMPUTED_VALUE"""),"voakes")</f>
        <v>voakes</v>
      </c>
      <c r="D1717" s="73" t="str">
        <f>IFERROR(__xludf.DUMMYFUNCTION("""COMPUTED_VALUE"""),"Hippos")</f>
        <v>Hippos</v>
      </c>
      <c r="E1717" s="82">
        <f>IFERROR(__xludf.DUMMYFUNCTION("""COMPUTED_VALUE"""),32.0)</f>
        <v>32</v>
      </c>
      <c r="F1717" s="82">
        <f>IFERROR(__xludf.DUMMYFUNCTION("""COMPUTED_VALUE"""),15.0)</f>
        <v>15</v>
      </c>
      <c r="G1717" s="86">
        <f>IFERROR(__xludf.DUMMYFUNCTION("""COMPUTED_VALUE"""),17.0)</f>
        <v>17</v>
      </c>
      <c r="H1717" s="86">
        <f>IFERROR(__xludf.DUMMYFUNCTION("""COMPUTED_VALUE"""),0.46875)</f>
        <v>0.46875</v>
      </c>
      <c r="I1717" s="86">
        <f>IFERROR(__xludf.DUMMYFUNCTION("""COMPUTED_VALUE"""),0.3229166666666667)</f>
        <v>0.3229166667</v>
      </c>
      <c r="J1717" s="82">
        <f>IFERROR(__xludf.DUMMYFUNCTION("""COMPUTED_VALUE"""),402.6875)</f>
        <v>402.6875</v>
      </c>
      <c r="K1717" s="82">
        <f>IFERROR(__xludf.DUMMYFUNCTION("""COMPUTED_VALUE"""),0.96875)</f>
        <v>0.96875</v>
      </c>
      <c r="L1717" s="82">
        <f>IFERROR(__xludf.DUMMYFUNCTION("""COMPUTED_VALUE"""),0.75)</f>
        <v>0.75</v>
      </c>
      <c r="M1717" s="82">
        <f>IFERROR(__xludf.DUMMYFUNCTION("""COMPUTED_VALUE"""),1.625)</f>
        <v>1.625</v>
      </c>
      <c r="N1717" s="82">
        <f>IFERROR(__xludf.DUMMYFUNCTION("""COMPUTED_VALUE"""),3.0)</f>
        <v>3</v>
      </c>
      <c r="O1717" s="82">
        <f>IFERROR(__xludf.DUMMYFUNCTION("""COMPUTED_VALUE"""),371.02083333333326)</f>
        <v>371.0208333</v>
      </c>
      <c r="P1717" s="82">
        <f>IFERROR(__xludf.DUMMYFUNCTION("""COMPUTED_VALUE"""),0.8854166666666665)</f>
        <v>0.8854166667</v>
      </c>
      <c r="Q1717" s="82">
        <f>IFERROR(__xludf.DUMMYFUNCTION("""COMPUTED_VALUE"""),0.6562499999999998)</f>
        <v>0.65625</v>
      </c>
      <c r="R1717" s="82">
        <f>IFERROR(__xludf.DUMMYFUNCTION("""COMPUTED_VALUE"""),1.3229166666666665)</f>
        <v>1.322916667</v>
      </c>
      <c r="S1717" s="82">
        <f>IFERROR(__xludf.DUMMYFUNCTION("""COMPUTED_VALUE"""),2.7708333333333335)</f>
        <v>2.770833333</v>
      </c>
      <c r="T1717" s="82">
        <f>IFERROR(__xludf.DUMMYFUNCTION("""COMPUTED_VALUE"""),339.45650403654076)</f>
        <v>339.456504</v>
      </c>
      <c r="U1717" s="82">
        <f>IFERROR(__xludf.DUMMYFUNCTION("""COMPUTED_VALUE"""),0.7672295909428261)</f>
        <v>0.7672295909</v>
      </c>
      <c r="V1717" s="82">
        <f>IFERROR(__xludf.DUMMYFUNCTION("""COMPUTED_VALUE"""),0.5875247842435343)</f>
        <v>0.5875247842</v>
      </c>
      <c r="W1717" s="82">
        <f>IFERROR(__xludf.DUMMYFUNCTION("""COMPUTED_VALUE"""),1.2051509417869712)</f>
        <v>1.205150942</v>
      </c>
      <c r="X1717" s="82">
        <f>IFERROR(__xludf.DUMMYFUNCTION("""COMPUTED_VALUE"""),2.463632684717244)</f>
        <v>2.463632685</v>
      </c>
      <c r="Y1717" s="82">
        <f>IFERROR(__xludf.DUMMYFUNCTION("""COMPUTED_VALUE"""),338.9574204393781)</f>
        <v>338.9574204</v>
      </c>
      <c r="Z1717" s="82">
        <f>IFERROR(__xludf.DUMMYFUNCTION("""COMPUTED_VALUE"""),0.7406796302598998)</f>
        <v>0.7406796303</v>
      </c>
      <c r="AA1717" s="82">
        <f>IFERROR(__xludf.DUMMYFUNCTION("""COMPUTED_VALUE"""),0.5226518894594875)</f>
        <v>0.5226518895</v>
      </c>
      <c r="AB1717" s="82">
        <f>IFERROR(__xludf.DUMMYFUNCTION("""COMPUTED_VALUE"""),1.3174546782420553)</f>
        <v>1.317454678</v>
      </c>
      <c r="AC1717" s="82">
        <f>IFERROR(__xludf.DUMMYFUNCTION("""COMPUTED_VALUE"""),2.3744772919527826)</f>
        <v>2.374477292</v>
      </c>
      <c r="AD1717" s="82">
        <f>IFERROR(__xludf.DUMMYFUNCTION("""COMPUTED_VALUE"""),1.1880179506854016)</f>
        <v>1.188017951</v>
      </c>
      <c r="AE1717" s="82">
        <f>IFERROR(__xludf.DUMMYFUNCTION("""COMPUTED_VALUE"""),1.3079204023203281)</f>
        <v>1.307920402</v>
      </c>
      <c r="AF1717" s="82">
        <f>IFERROR(__xludf.DUMMYFUNCTION("""COMPUTED_VALUE"""),1.434989550646473)</f>
        <v>1.434989551</v>
      </c>
      <c r="AG1717" s="82">
        <f>IFERROR(__xludf.DUMMYFUNCTION("""COMPUTED_VALUE"""),1.2334390145157157)</f>
        <v>1.233439015</v>
      </c>
      <c r="AH1717" s="82">
        <f>IFERROR(__xludf.DUMMYFUNCTION("""COMPUTED_VALUE"""),1.2634359613238433)</f>
        <v>1.263435961</v>
      </c>
      <c r="AI1717" s="82">
        <f>IFERROR(__xludf.DUMMYFUNCTION("""COMPUTED_VALUE"""),1.0929849006322023)</f>
        <v>1.092984901</v>
      </c>
      <c r="AJ1717" s="82">
        <f>IFERROR(__xludf.DUMMYFUNCTION("""COMPUTED_VALUE"""),1.1540439486680953)</f>
        <v>1.154043949</v>
      </c>
      <c r="AK1717" s="82">
        <f>IFERROR(__xludf.DUMMYFUNCTION("""COMPUTED_VALUE"""),1.1169741559838235)</f>
        <v>1.116974156</v>
      </c>
      <c r="AL1717" s="82">
        <f>IFERROR(__xludf.DUMMYFUNCTION("""COMPUTED_VALUE"""),1.0977186514952848)</f>
        <v>1.097718651</v>
      </c>
      <c r="AM1717" s="82">
        <f>IFERROR(__xludf.DUMMYFUNCTION("""COMPUTED_VALUE"""),1.1246941764175156)</f>
        <v>1.124694176</v>
      </c>
      <c r="AN1717" s="82">
        <f>IFERROR(__xludf.DUMMYFUNCTION("""COMPUTED_VALUE"""),1.1880758052191944)</f>
        <v>1.188075805</v>
      </c>
      <c r="AO1717" s="82">
        <f>IFERROR(__xludf.DUMMYFUNCTION("""COMPUTED_VALUE"""),1.3186367907084884)</f>
        <v>1.318636791</v>
      </c>
      <c r="AP1717" s="82">
        <f>IFERROR(__xludf.DUMMYFUNCTION("""COMPUTED_VALUE"""),1.3392286024647886)</f>
        <v>1.339228602</v>
      </c>
      <c r="AQ1717" s="82">
        <f>IFERROR(__xludf.DUMMYFUNCTION("""COMPUTED_VALUE"""),1.2400460825997752)</f>
        <v>1.240046083</v>
      </c>
      <c r="AR1717" s="82">
        <f>IFERROR(__xludf.DUMMYFUNCTION("""COMPUTED_VALUE"""),1.2046520818336297)</f>
        <v>1.204652082</v>
      </c>
      <c r="AS1717" s="82">
        <f>IFERROR(__xludf.DUMMYFUNCTION("""COMPUTED_VALUE"""),86.0)</f>
        <v>86</v>
      </c>
      <c r="AT1717" s="82">
        <f>IFERROR(__xludf.DUMMYFUNCTION("""COMPUTED_VALUE"""),0.5047299628436064)</f>
        <v>0.5047299628</v>
      </c>
      <c r="AU1717" s="82">
        <f>IFERROR(__xludf.DUMMYFUNCTION("""COMPUTED_VALUE"""),2.795464482693044)</f>
        <v>2.795464483</v>
      </c>
      <c r="AV1717" s="82">
        <f>IFERROR(__xludf.DUMMYFUNCTION("""COMPUTED_VALUE"""),78.23153191383186)</f>
        <v>78.23153191</v>
      </c>
      <c r="AW1717" s="82">
        <f t="shared" si="1"/>
        <v>7.728344633</v>
      </c>
      <c r="AX1717" s="83">
        <f t="array" ref="AX1717">IFERROR(DGET('SBV Import'!A:G,"SBV",{"RSC ID","Tier";B1717,A1717}))</f>
        <v>64.88740167</v>
      </c>
      <c r="AY1717" s="82">
        <f t="shared" si="2"/>
        <v>3.626394825</v>
      </c>
      <c r="AZ1717" s="82">
        <v>4.101949807482696</v>
      </c>
      <c r="BA1717" s="84">
        <v>1700.0</v>
      </c>
      <c r="BB1717" s="84" t="b">
        <f>IFERROR(__xludf.DUMMYFUNCTION("iferror(if(A1717="""",,E1717&gt;=FILTER(Constants!$F$2:$F$10,Constants!$A$2:$A$10=A1717)))"),TRUE)</f>
        <v>1</v>
      </c>
    </row>
    <row r="1718">
      <c r="A1718" s="89" t="str">
        <f>IFERROR(__xludf.DUMMYFUNCTION("""COMPUTED_VALUE"""),"Rival")</f>
        <v>Rival</v>
      </c>
      <c r="B1718" s="87" t="str">
        <f>IFERROR(__xludf.DUMMYFUNCTION("""COMPUTED_VALUE"""),"RSC006480")</f>
        <v>RSC006480</v>
      </c>
      <c r="C1718" s="73" t="str">
        <f>IFERROR(__xludf.DUMMYFUNCTION("""COMPUTED_VALUE"""),"Lazyz.")</f>
        <v>Lazyz.</v>
      </c>
      <c r="D1718" s="73" t="str">
        <f>IFERROR(__xludf.DUMMYFUNCTION("""COMPUTED_VALUE"""),"Dracos")</f>
        <v>Dracos</v>
      </c>
      <c r="E1718" s="82">
        <f>IFERROR(__xludf.DUMMYFUNCTION("""COMPUTED_VALUE"""),20.0)</f>
        <v>20</v>
      </c>
      <c r="F1718" s="82">
        <f>IFERROR(__xludf.DUMMYFUNCTION("""COMPUTED_VALUE"""),13.0)</f>
        <v>13</v>
      </c>
      <c r="G1718" s="86">
        <f>IFERROR(__xludf.DUMMYFUNCTION("""COMPUTED_VALUE"""),7.0)</f>
        <v>7</v>
      </c>
      <c r="H1718" s="86">
        <f>IFERROR(__xludf.DUMMYFUNCTION("""COMPUTED_VALUE"""),0.65)</f>
        <v>0.65</v>
      </c>
      <c r="I1718" s="86">
        <f>IFERROR(__xludf.DUMMYFUNCTION("""COMPUTED_VALUE"""),0.28571428571428575)</f>
        <v>0.2857142857</v>
      </c>
      <c r="J1718" s="82">
        <f>IFERROR(__xludf.DUMMYFUNCTION("""COMPUTED_VALUE"""),354.85)</f>
        <v>354.85</v>
      </c>
      <c r="K1718" s="82">
        <f>IFERROR(__xludf.DUMMYFUNCTION("""COMPUTED_VALUE"""),0.9)</f>
        <v>0.9</v>
      </c>
      <c r="L1718" s="82">
        <f>IFERROR(__xludf.DUMMYFUNCTION("""COMPUTED_VALUE"""),0.7)</f>
        <v>0.7</v>
      </c>
      <c r="M1718" s="82">
        <f>IFERROR(__xludf.DUMMYFUNCTION("""COMPUTED_VALUE"""),1.05)</f>
        <v>1.05</v>
      </c>
      <c r="N1718" s="82">
        <f>IFERROR(__xludf.DUMMYFUNCTION("""COMPUTED_VALUE"""),3.15)</f>
        <v>3.15</v>
      </c>
      <c r="O1718" s="82">
        <f>IFERROR(__xludf.DUMMYFUNCTION("""COMPUTED_VALUE"""),330.6166666666667)</f>
        <v>330.6166667</v>
      </c>
      <c r="P1718" s="82">
        <f>IFERROR(__xludf.DUMMYFUNCTION("""COMPUTED_VALUE"""),0.6333333333333334)</f>
        <v>0.6333333333</v>
      </c>
      <c r="Q1718" s="82">
        <f>IFERROR(__xludf.DUMMYFUNCTION("""COMPUTED_VALUE"""),0.3833333333333333)</f>
        <v>0.3833333333</v>
      </c>
      <c r="R1718" s="82">
        <f>IFERROR(__xludf.DUMMYFUNCTION("""COMPUTED_VALUE"""),1.4)</f>
        <v>1.4</v>
      </c>
      <c r="S1718" s="82">
        <f>IFERROR(__xludf.DUMMYFUNCTION("""COMPUTED_VALUE"""),2.3333333333333335)</f>
        <v>2.333333333</v>
      </c>
      <c r="T1718" s="82">
        <f>IFERROR(__xludf.DUMMYFUNCTION("""COMPUTED_VALUE"""),338.18416960816955)</f>
        <v>338.1841696</v>
      </c>
      <c r="U1718" s="82">
        <f>IFERROR(__xludf.DUMMYFUNCTION("""COMPUTED_VALUE"""),0.7089094239094239)</f>
        <v>0.7089094239</v>
      </c>
      <c r="V1718" s="82">
        <f>IFERROR(__xludf.DUMMYFUNCTION("""COMPUTED_VALUE"""),0.5161659914159914)</f>
        <v>0.5161659914</v>
      </c>
      <c r="W1718" s="82">
        <f>IFERROR(__xludf.DUMMYFUNCTION("""COMPUTED_VALUE"""),1.2891242646242644)</f>
        <v>1.289124265</v>
      </c>
      <c r="X1718" s="82">
        <f>IFERROR(__xludf.DUMMYFUNCTION("""COMPUTED_VALUE"""),2.5076781459281463)</f>
        <v>2.507678146</v>
      </c>
      <c r="Y1718" s="82">
        <f>IFERROR(__xludf.DUMMYFUNCTION("""COMPUTED_VALUE"""),348.2149635888802)</f>
        <v>348.2149636</v>
      </c>
      <c r="Z1718" s="82">
        <f>IFERROR(__xludf.DUMMYFUNCTION("""COMPUTED_VALUE"""),0.7863057405557405)</f>
        <v>0.7863057406</v>
      </c>
      <c r="AA1718" s="82">
        <f>IFERROR(__xludf.DUMMYFUNCTION("""COMPUTED_VALUE"""),0.5751444234777568)</f>
        <v>0.5751444235</v>
      </c>
      <c r="AB1718" s="82">
        <f>IFERROR(__xludf.DUMMYFUNCTION("""COMPUTED_VALUE"""),1.30712304670638)</f>
        <v>1.307123047</v>
      </c>
      <c r="AC1718" s="82">
        <f>IFERROR(__xludf.DUMMYFUNCTION("""COMPUTED_VALUE"""),2.5348240494073826)</f>
        <v>2.534824049</v>
      </c>
      <c r="AD1718" s="82">
        <f>IFERROR(__xludf.DUMMYFUNCTION("""COMPUTED_VALUE"""),1.0190544264460544)</f>
        <v>1.019054426</v>
      </c>
      <c r="AE1718" s="82">
        <f>IFERROR(__xludf.DUMMYFUNCTION("""COMPUTED_VALUE"""),1.144592940862804)</f>
        <v>1.144592941</v>
      </c>
      <c r="AF1718" s="82">
        <f>IFERROR(__xludf.DUMMYFUNCTION("""COMPUTED_VALUE"""),1.21708560741539)</f>
        <v>1.217085607</v>
      </c>
      <c r="AG1718" s="82">
        <f>IFERROR(__xludf.DUMMYFUNCTION("""COMPUTED_VALUE"""),0.8032908628194836)</f>
        <v>0.8032908628</v>
      </c>
      <c r="AH1718" s="82">
        <f>IFERROR(__xludf.DUMMYFUNCTION("""COMPUTED_VALUE"""),1.242689803553205)</f>
        <v>1.242689804</v>
      </c>
      <c r="AI1718" s="82">
        <f>IFERROR(__xludf.DUMMYFUNCTION("""COMPUTED_VALUE"""),0.9776231307625345)</f>
        <v>0.9776231308</v>
      </c>
      <c r="AJ1718" s="82">
        <f>IFERROR(__xludf.DUMMYFUNCTION("""COMPUTED_VALUE"""),0.8933910482395467)</f>
        <v>0.8933910482</v>
      </c>
      <c r="AK1718" s="82">
        <f>IFERROR(__xludf.DUMMYFUNCTION("""COMPUTED_VALUE"""),0.7426551530094805)</f>
        <v>0.742655153</v>
      </c>
      <c r="AL1718" s="82">
        <f>IFERROR(__xludf.DUMMYFUNCTION("""COMPUTED_VALUE"""),1.086008570638496)</f>
        <v>1.086008571</v>
      </c>
      <c r="AM1718" s="82">
        <f>IFERROR(__xludf.DUMMYFUNCTION("""COMPUTED_VALUE"""),0.930475602350363)</f>
        <v>0.9304756024</v>
      </c>
      <c r="AN1718" s="82">
        <f>IFERROR(__xludf.DUMMYFUNCTION("""COMPUTED_VALUE"""),1.0469376364601115)</f>
        <v>1.046937636</v>
      </c>
      <c r="AO1718" s="82">
        <f>IFERROR(__xludf.DUMMYFUNCTION("""COMPUTED_VALUE"""),1.2250561152388537)</f>
        <v>1.225056115</v>
      </c>
      <c r="AP1718" s="82">
        <f>IFERROR(__xludf.DUMMYFUNCTION("""COMPUTED_VALUE"""),1.2499466956338026)</f>
        <v>1.249946696</v>
      </c>
      <c r="AQ1718" s="82">
        <f>IFERROR(__xludf.DUMMYFUNCTION("""COMPUTED_VALUE"""),0.8012605456798548)</f>
        <v>0.8012605457</v>
      </c>
      <c r="AR1718" s="82">
        <f>IFERROR(__xludf.DUMMYFUNCTION("""COMPUTED_VALUE"""),1.2648846859253111)</f>
        <v>1.264884686</v>
      </c>
      <c r="AS1718" s="82">
        <f>IFERROR(__xludf.DUMMYFUNCTION("""COMPUTED_VALUE"""),53.0)</f>
        <v>53</v>
      </c>
      <c r="AT1718" s="82">
        <f>IFERROR(__xludf.DUMMYFUNCTION("""COMPUTED_VALUE"""),0.6257288608499182)</f>
        <v>0.6257288608</v>
      </c>
      <c r="AU1718" s="82">
        <f>IFERROR(__xludf.DUMMYFUNCTION("""COMPUTED_VALUE"""),2.7564953822676244)</f>
        <v>2.756495382</v>
      </c>
      <c r="AV1718" s="82">
        <f>IFERROR(__xludf.DUMMYFUNCTION("""COMPUTED_VALUE"""),76.85498470738655)</f>
        <v>76.85498471</v>
      </c>
      <c r="AW1718" s="82">
        <f t="shared" si="1"/>
        <v>7.073803519</v>
      </c>
      <c r="AX1718" s="83">
        <f t="array" ref="AX1718">IFERROR(DGET('SBV Import'!A:G,"SBV",{"RSC ID","Tier";B1718,A1718}))</f>
        <v>65.59346874</v>
      </c>
      <c r="AY1718" s="82">
        <f t="shared" si="2"/>
        <v>3.753759598</v>
      </c>
      <c r="AZ1718" s="82">
        <v>3.3200439208582244</v>
      </c>
      <c r="BA1718" s="84">
        <v>1700.0</v>
      </c>
      <c r="BB1718" s="84" t="b">
        <f>IFERROR(__xludf.DUMMYFUNCTION("iferror(if(A1718="""",,E1718&gt;=FILTER(Constants!$F$2:$F$10,Constants!$A$2:$A$10=A1718)))"),TRUE)</f>
        <v>1</v>
      </c>
    </row>
    <row r="1719">
      <c r="A1719" s="89" t="str">
        <f>IFERROR(__xludf.DUMMYFUNCTION("""COMPUTED_VALUE"""),"Rival")</f>
        <v>Rival</v>
      </c>
      <c r="B1719" s="87" t="str">
        <f>IFERROR(__xludf.DUMMYFUNCTION("""COMPUTED_VALUE"""),"RSC007132")</f>
        <v>RSC007132</v>
      </c>
      <c r="C1719" s="73" t="str">
        <f>IFERROR(__xludf.DUMMYFUNCTION("""COMPUTED_VALUE"""),"yoyo")</f>
        <v>yoyo</v>
      </c>
      <c r="D1719" s="73"/>
      <c r="E1719" s="82">
        <f>IFERROR(__xludf.DUMMYFUNCTION("""COMPUTED_VALUE"""),15.0)</f>
        <v>15</v>
      </c>
      <c r="F1719" s="82">
        <f>IFERROR(__xludf.DUMMYFUNCTION("""COMPUTED_VALUE"""),8.0)</f>
        <v>8</v>
      </c>
      <c r="G1719" s="86">
        <f>IFERROR(__xludf.DUMMYFUNCTION("""COMPUTED_VALUE"""),7.0)</f>
        <v>7</v>
      </c>
      <c r="H1719" s="86">
        <f>IFERROR(__xludf.DUMMYFUNCTION("""COMPUTED_VALUE"""),0.5333333333333333)</f>
        <v>0.5333333333</v>
      </c>
      <c r="I1719" s="86">
        <f>IFERROR(__xludf.DUMMYFUNCTION("""COMPUTED_VALUE"""),0.25)</f>
        <v>0.25</v>
      </c>
      <c r="J1719" s="82">
        <f>IFERROR(__xludf.DUMMYFUNCTION("""COMPUTED_VALUE"""),358.1333333333333)</f>
        <v>358.1333333</v>
      </c>
      <c r="K1719" s="82">
        <f>IFERROR(__xludf.DUMMYFUNCTION("""COMPUTED_VALUE"""),1.0)</f>
        <v>1</v>
      </c>
      <c r="L1719" s="82">
        <f>IFERROR(__xludf.DUMMYFUNCTION("""COMPUTED_VALUE"""),0.5333333333333333)</f>
        <v>0.5333333333</v>
      </c>
      <c r="M1719" s="82">
        <f>IFERROR(__xludf.DUMMYFUNCTION("""COMPUTED_VALUE"""),0.9333333333333333)</f>
        <v>0.9333333333</v>
      </c>
      <c r="N1719" s="82">
        <f>IFERROR(__xludf.DUMMYFUNCTION("""COMPUTED_VALUE"""),4.0)</f>
        <v>4</v>
      </c>
      <c r="O1719" s="82">
        <f>IFERROR(__xludf.DUMMYFUNCTION("""COMPUTED_VALUE"""),361.2)</f>
        <v>361.2</v>
      </c>
      <c r="P1719" s="82">
        <f>IFERROR(__xludf.DUMMYFUNCTION("""COMPUTED_VALUE"""),0.8444444444444446)</f>
        <v>0.8444444444</v>
      </c>
      <c r="Q1719" s="82">
        <f>IFERROR(__xludf.DUMMYFUNCTION("""COMPUTED_VALUE"""),0.6222222222222221)</f>
        <v>0.6222222222</v>
      </c>
      <c r="R1719" s="82">
        <f>IFERROR(__xludf.DUMMYFUNCTION("""COMPUTED_VALUE"""),1.3999999999999997)</f>
        <v>1.4</v>
      </c>
      <c r="S1719" s="82">
        <f>IFERROR(__xludf.DUMMYFUNCTION("""COMPUTED_VALUE"""),2.7111111111111112)</f>
        <v>2.711111111</v>
      </c>
      <c r="T1719" s="82">
        <f>IFERROR(__xludf.DUMMYFUNCTION("""COMPUTED_VALUE"""),351.3660636263856)</f>
        <v>351.3660636</v>
      </c>
      <c r="U1719" s="82">
        <f>IFERROR(__xludf.DUMMYFUNCTION("""COMPUTED_VALUE"""),0.7508577502619086)</f>
        <v>0.7508577503</v>
      </c>
      <c r="V1719" s="82">
        <f>IFERROR(__xludf.DUMMYFUNCTION("""COMPUTED_VALUE"""),0.5880932658544219)</f>
        <v>0.5880932659</v>
      </c>
      <c r="W1719" s="82">
        <f>IFERROR(__xludf.DUMMYFUNCTION("""COMPUTED_VALUE"""),1.4197425746817227)</f>
        <v>1.419742575</v>
      </c>
      <c r="X1719" s="82">
        <f>IFERROR(__xludf.DUMMYFUNCTION("""COMPUTED_VALUE"""),2.549418762347261)</f>
        <v>2.549418762</v>
      </c>
      <c r="Y1719" s="82">
        <f>IFERROR(__xludf.DUMMYFUNCTION("""COMPUTED_VALUE"""),346.8183927320269)</f>
        <v>346.8183927</v>
      </c>
      <c r="Z1719" s="82">
        <f>IFERROR(__xludf.DUMMYFUNCTION("""COMPUTED_VALUE"""),0.7749128081557088)</f>
        <v>0.7749128082</v>
      </c>
      <c r="AA1719" s="82">
        <f>IFERROR(__xludf.DUMMYFUNCTION("""COMPUTED_VALUE"""),0.5541050175752679)</f>
        <v>0.5541050176</v>
      </c>
      <c r="AB1719" s="82">
        <f>IFERROR(__xludf.DUMMYFUNCTION("""COMPUTED_VALUE"""),1.3084436946057976)</f>
        <v>1.308443695</v>
      </c>
      <c r="AC1719" s="82">
        <f>IFERROR(__xludf.DUMMYFUNCTION("""COMPUTED_VALUE"""),2.7042118669713338)</f>
        <v>2.704211867</v>
      </c>
      <c r="AD1719" s="82">
        <f>IFERROR(__xludf.DUMMYFUNCTION("""COMPUTED_VALUE"""),1.0326249727189325)</f>
        <v>1.032624973</v>
      </c>
      <c r="AE1719" s="82">
        <f>IFERROR(__xludf.DUMMYFUNCTION("""COMPUTED_VALUE"""),1.2904677655025452)</f>
        <v>1.290467766</v>
      </c>
      <c r="AF1719" s="82">
        <f>IFERROR(__xludf.DUMMYFUNCTION("""COMPUTED_VALUE"""),0.9625130912316401)</f>
        <v>0.9625130912</v>
      </c>
      <c r="AG1719" s="82">
        <f>IFERROR(__xludf.DUMMYFUNCTION("""COMPUTED_VALUE"""),0.7133156261756637)</f>
        <v>0.7133156262</v>
      </c>
      <c r="AH1719" s="82">
        <f>IFERROR(__xludf.DUMMYFUNCTION("""COMPUTED_VALUE"""),1.4791740428533524)</f>
        <v>1.479174043</v>
      </c>
      <c r="AI1719" s="82">
        <f>IFERROR(__xludf.DUMMYFUNCTION("""COMPUTED_VALUE"""),1.0279877238914883)</f>
        <v>1.027987724</v>
      </c>
      <c r="AJ1719" s="82">
        <f>IFERROR(__xludf.DUMMYFUNCTION("""COMPUTED_VALUE"""),1.1246397125818994)</f>
        <v>1.124639713</v>
      </c>
      <c r="AK1719" s="82">
        <f>IFERROR(__xludf.DUMMYFUNCTION("""COMPUTED_VALUE"""),1.0580332378372252)</f>
        <v>1.058033238</v>
      </c>
      <c r="AL1719" s="82">
        <f>IFERROR(__xludf.DUMMYFUNCTION("""COMPUTED_VALUE"""),0.9860942574845663)</f>
        <v>0.9860942575</v>
      </c>
      <c r="AM1719" s="82">
        <f>IFERROR(__xludf.DUMMYFUNCTION("""COMPUTED_VALUE"""),1.0634232206775553)</f>
        <v>1.063423221</v>
      </c>
      <c r="AN1719" s="82">
        <f>IFERROR(__xludf.DUMMYFUNCTION("""COMPUTED_VALUE"""),1.0566246739117409)</f>
        <v>1.056624674</v>
      </c>
      <c r="AO1719" s="82">
        <f>IFERROR(__xludf.DUMMYFUNCTION("""COMPUTED_VALUE"""),1.3611734613765043)</f>
        <v>1.361173461</v>
      </c>
      <c r="AP1719" s="82">
        <f>IFERROR(__xludf.DUMMYFUNCTION("""COMPUTED_VALUE"""),0.9523403395305163)</f>
        <v>0.9523403395</v>
      </c>
      <c r="AQ1719" s="82">
        <f>IFERROR(__xludf.DUMMYFUNCTION("""COMPUTED_VALUE"""),0.7122315961598709)</f>
        <v>0.7122315962</v>
      </c>
      <c r="AR1719" s="82">
        <f>IFERROR(__xludf.DUMMYFUNCTION("""COMPUTED_VALUE"""),1.606202775778173)</f>
        <v>1.606202776</v>
      </c>
      <c r="AS1719" s="82">
        <f>IFERROR(__xludf.DUMMYFUNCTION("""COMPUTED_VALUE"""),41.0)</f>
        <v>41</v>
      </c>
      <c r="AT1719" s="82">
        <f>IFERROR(__xludf.DUMMYFUNCTION("""COMPUTED_VALUE"""),0.5305641293317706)</f>
        <v>0.5305641293</v>
      </c>
      <c r="AU1719" s="82">
        <f>IFERROR(__xludf.DUMMYFUNCTION("""COMPUTED_VALUE"""),2.7505347879685225)</f>
        <v>2.750534788</v>
      </c>
      <c r="AV1719" s="82">
        <f>IFERROR(__xludf.DUMMYFUNCTION("""COMPUTED_VALUE"""),76.64443226091976)</f>
        <v>76.64443226</v>
      </c>
      <c r="AW1719" s="82">
        <f t="shared" si="1"/>
        <v>6.980210046</v>
      </c>
      <c r="AX1719" s="83">
        <f t="array" ref="AX1719">IFERROR(DGET('SBV Import'!A:G,"SBV",{"RSC ID","Tier";B1719,A1719}))</f>
        <v>53.6050878</v>
      </c>
      <c r="AY1719" s="82">
        <f t="shared" si="2"/>
        <v>2.259019726</v>
      </c>
      <c r="AZ1719" s="82">
        <v>4.721190320130383</v>
      </c>
      <c r="BA1719" s="84">
        <v>1700.0</v>
      </c>
      <c r="BB1719" s="84" t="b">
        <f>IFERROR(__xludf.DUMMYFUNCTION("iferror(if(A1719="""",,E1719&gt;=FILTER(Constants!$F$2:$F$10,Constants!$A$2:$A$10=A1719)))"),TRUE)</f>
        <v>1</v>
      </c>
    </row>
    <row r="1720">
      <c r="A1720" s="89" t="str">
        <f>IFERROR(__xludf.DUMMYFUNCTION("""COMPUTED_VALUE"""),"Rival")</f>
        <v>Rival</v>
      </c>
      <c r="B1720" s="87" t="str">
        <f>IFERROR(__xludf.DUMMYFUNCTION("""COMPUTED_VALUE"""),"RSC007930")</f>
        <v>RSC007930</v>
      </c>
      <c r="C1720" s="73" t="str">
        <f>IFERROR(__xludf.DUMMYFUNCTION("""COMPUTED_VALUE"""),"Ziffy")</f>
        <v>Ziffy</v>
      </c>
      <c r="D1720" s="73" t="str">
        <f>IFERROR(__xludf.DUMMYFUNCTION("""COMPUTED_VALUE"""),"50 Cent")</f>
        <v>50 Cent</v>
      </c>
      <c r="E1720" s="82">
        <f>IFERROR(__xludf.DUMMYFUNCTION("""COMPUTED_VALUE"""),26.0)</f>
        <v>26</v>
      </c>
      <c r="F1720" s="82">
        <f>IFERROR(__xludf.DUMMYFUNCTION("""COMPUTED_VALUE"""),16.0)</f>
        <v>16</v>
      </c>
      <c r="G1720" s="86">
        <f>IFERROR(__xludf.DUMMYFUNCTION("""COMPUTED_VALUE"""),10.0)</f>
        <v>10</v>
      </c>
      <c r="H1720" s="86">
        <f>IFERROR(__xludf.DUMMYFUNCTION("""COMPUTED_VALUE"""),0.6153846153846154)</f>
        <v>0.6153846154</v>
      </c>
      <c r="I1720" s="86">
        <f>IFERROR(__xludf.DUMMYFUNCTION("""COMPUTED_VALUE"""),0.2875)</f>
        <v>0.2875</v>
      </c>
      <c r="J1720" s="82">
        <f>IFERROR(__xludf.DUMMYFUNCTION("""COMPUTED_VALUE"""),355.65384615384613)</f>
        <v>355.6538462</v>
      </c>
      <c r="K1720" s="82">
        <f>IFERROR(__xludf.DUMMYFUNCTION("""COMPUTED_VALUE"""),0.8846153846153846)</f>
        <v>0.8846153846</v>
      </c>
      <c r="L1720" s="82">
        <f>IFERROR(__xludf.DUMMYFUNCTION("""COMPUTED_VALUE"""),0.8846153846153846)</f>
        <v>0.8846153846</v>
      </c>
      <c r="M1720" s="82">
        <f>IFERROR(__xludf.DUMMYFUNCTION("""COMPUTED_VALUE"""),1.1153846153846154)</f>
        <v>1.115384615</v>
      </c>
      <c r="N1720" s="82">
        <f>IFERROR(__xludf.DUMMYFUNCTION("""COMPUTED_VALUE"""),3.076923076923077)</f>
        <v>3.076923077</v>
      </c>
      <c r="O1720" s="82">
        <f>IFERROR(__xludf.DUMMYFUNCTION("""COMPUTED_VALUE"""),344.8076923076924)</f>
        <v>344.8076923</v>
      </c>
      <c r="P1720" s="82">
        <f>IFERROR(__xludf.DUMMYFUNCTION("""COMPUTED_VALUE"""),0.8717948717948717)</f>
        <v>0.8717948718</v>
      </c>
      <c r="Q1720" s="82">
        <f>IFERROR(__xludf.DUMMYFUNCTION("""COMPUTED_VALUE"""),0.435897435897436)</f>
        <v>0.4358974359</v>
      </c>
      <c r="R1720" s="82">
        <f>IFERROR(__xludf.DUMMYFUNCTION("""COMPUTED_VALUE"""),1.4230769230769231)</f>
        <v>1.423076923</v>
      </c>
      <c r="S1720" s="82">
        <f>IFERROR(__xludf.DUMMYFUNCTION("""COMPUTED_VALUE"""),2.5)</f>
        <v>2.5</v>
      </c>
      <c r="T1720" s="82">
        <f>IFERROR(__xludf.DUMMYFUNCTION("""COMPUTED_VALUE"""),345.9677016759161)</f>
        <v>345.9677017</v>
      </c>
      <c r="U1720" s="82">
        <f>IFERROR(__xludf.DUMMYFUNCTION("""COMPUTED_VALUE"""),0.8183489928405696)</f>
        <v>0.8183489928</v>
      </c>
      <c r="V1720" s="82">
        <f>IFERROR(__xludf.DUMMYFUNCTION("""COMPUTED_VALUE"""),0.5217800511837121)</f>
        <v>0.5217800512</v>
      </c>
      <c r="W1720" s="82">
        <f>IFERROR(__xludf.DUMMYFUNCTION("""COMPUTED_VALUE"""),1.3333114459127047)</f>
        <v>1.333311446</v>
      </c>
      <c r="X1720" s="82">
        <f>IFERROR(__xludf.DUMMYFUNCTION("""COMPUTED_VALUE"""),2.62594969718258)</f>
        <v>2.625949697</v>
      </c>
      <c r="Y1720" s="82">
        <f>IFERROR(__xludf.DUMMYFUNCTION("""COMPUTED_VALUE"""),353.05287716519825)</f>
        <v>353.0528772</v>
      </c>
      <c r="Z1720" s="82">
        <f>IFERROR(__xludf.DUMMYFUNCTION("""COMPUTED_VALUE"""),0.8353564727421641)</f>
        <v>0.8353564727</v>
      </c>
      <c r="AA1720" s="82">
        <f>IFERROR(__xludf.DUMMYFUNCTION("""COMPUTED_VALUE"""),0.6219068670654242)</f>
        <v>0.6219068671</v>
      </c>
      <c r="AB1720" s="82">
        <f>IFERROR(__xludf.DUMMYFUNCTION("""COMPUTED_VALUE"""),1.3069928011705032)</f>
        <v>1.306992801</v>
      </c>
      <c r="AC1720" s="82">
        <f>IFERROR(__xludf.DUMMYFUNCTION("""COMPUTED_VALUE"""),2.6683457257805117)</f>
        <v>2.668345726</v>
      </c>
      <c r="AD1720" s="82">
        <f>IFERROR(__xludf.DUMMYFUNCTION("""COMPUTED_VALUE"""),1.0073670805617903)</f>
        <v>1.007367081</v>
      </c>
      <c r="AE1720" s="82">
        <f>IFERROR(__xludf.DUMMYFUNCTION("""COMPUTED_VALUE"""),1.0589675347956806)</f>
        <v>1.058967535</v>
      </c>
      <c r="AF1720" s="82">
        <f>IFERROR(__xludf.DUMMYFUNCTION("""COMPUTED_VALUE"""),1.4224242108623053)</f>
        <v>1.422424211</v>
      </c>
      <c r="AG1720" s="82">
        <f>IFERROR(__xludf.DUMMYFUNCTION("""COMPUTED_VALUE"""),0.8533976731820639)</f>
        <v>0.8533976732</v>
      </c>
      <c r="AH1720" s="82">
        <f>IFERROR(__xludf.DUMMYFUNCTION("""COMPUTED_VALUE"""),1.1531200950443006)</f>
        <v>1.153120095</v>
      </c>
      <c r="AI1720" s="82">
        <f>IFERROR(__xludf.DUMMYFUNCTION("""COMPUTED_VALUE"""),0.9966470587785956)</f>
        <v>0.9966470588</v>
      </c>
      <c r="AJ1720" s="82">
        <f>IFERROR(__xludf.DUMMYFUNCTION("""COMPUTED_VALUE"""),1.0653093966289202)</f>
        <v>1.065309397</v>
      </c>
      <c r="AK1720" s="82">
        <f>IFERROR(__xludf.DUMMYFUNCTION("""COMPUTED_VALUE"""),0.8354045634909911)</f>
        <v>0.8354045635</v>
      </c>
      <c r="AL1720" s="82">
        <f>IFERROR(__xludf.DUMMYFUNCTION("""COMPUTED_VALUE"""),1.0673252130546067)</f>
        <v>1.067325213</v>
      </c>
      <c r="AM1720" s="82">
        <f>IFERROR(__xludf.DUMMYFUNCTION("""COMPUTED_VALUE"""),0.9520365156584251)</f>
        <v>0.9520365157</v>
      </c>
      <c r="AN1720" s="82">
        <f>IFERROR(__xludf.DUMMYFUNCTION("""COMPUTED_VALUE"""),1.0493092774137123)</f>
        <v>1.049309277</v>
      </c>
      <c r="AO1720" s="82">
        <f>IFERROR(__xludf.DUMMYFUNCTION("""COMPUTED_VALUE"""),1.2041149850638306)</f>
        <v>1.204114985</v>
      </c>
      <c r="AP1720" s="82">
        <f>IFERROR(__xludf.DUMMYFUNCTION("""COMPUTED_VALUE"""),1.5796029670097507)</f>
        <v>1.579602967</v>
      </c>
      <c r="AQ1720" s="82">
        <f>IFERROR(__xludf.DUMMYFUNCTION("""COMPUTED_VALUE"""),0.8511558910152304)</f>
        <v>0.851155891</v>
      </c>
      <c r="AR1720" s="82">
        <f>IFERROR(__xludf.DUMMYFUNCTION("""COMPUTED_VALUE"""),1.2355405967524407)</f>
        <v>1.235540597</v>
      </c>
      <c r="AS1720" s="82">
        <f>IFERROR(__xludf.DUMMYFUNCTION("""COMPUTED_VALUE"""),80.0)</f>
        <v>80</v>
      </c>
      <c r="AT1720" s="82">
        <f>IFERROR(__xludf.DUMMYFUNCTION("""COMPUTED_VALUE"""),0.5665317050357744)</f>
        <v>0.566531705</v>
      </c>
      <c r="AU1720" s="82">
        <f>IFERROR(__xludf.DUMMYFUNCTION("""COMPUTED_VALUE"""),2.7392778398463724)</f>
        <v>2.73927784</v>
      </c>
      <c r="AV1720" s="82">
        <f>IFERROR(__xludf.DUMMYFUNCTION("""COMPUTED_VALUE"""),76.24679104463605)</f>
        <v>76.24679104</v>
      </c>
      <c r="AW1720" s="82">
        <f t="shared" si="1"/>
        <v>6.807881851</v>
      </c>
      <c r="AX1720" s="83">
        <f t="array" ref="AX1720">IFERROR(DGET('SBV Import'!A:G,"SBV",{"RSC ID","Tier";B1720,A1720}))</f>
        <v>56.12801723</v>
      </c>
      <c r="AY1720" s="82">
        <f t="shared" si="2"/>
        <v>2.480272582</v>
      </c>
      <c r="AZ1720" s="82">
        <v>4.327609268466672</v>
      </c>
      <c r="BA1720" s="84">
        <v>1700.0</v>
      </c>
      <c r="BB1720" s="84" t="b">
        <f>IFERROR(__xludf.DUMMYFUNCTION("iferror(if(A1720="""",,E1720&gt;=FILTER(Constants!$F$2:$F$10,Constants!$A$2:$A$10=A1720)))"),TRUE)</f>
        <v>1</v>
      </c>
    </row>
    <row r="1721">
      <c r="A1721" s="89" t="str">
        <f>IFERROR(__xludf.DUMMYFUNCTION("""COMPUTED_VALUE"""),"Rival")</f>
        <v>Rival</v>
      </c>
      <c r="B1721" s="87" t="str">
        <f>IFERROR(__xludf.DUMMYFUNCTION("""COMPUTED_VALUE"""),"RSC005482")</f>
        <v>RSC005482</v>
      </c>
      <c r="C1721" s="73" t="str">
        <f>IFERROR(__xludf.DUMMYFUNCTION("""COMPUTED_VALUE"""),"Benny!")</f>
        <v>Benny!</v>
      </c>
      <c r="D1721" s="73" t="str">
        <f>IFERROR(__xludf.DUMMYFUNCTION("""COMPUTED_VALUE"""),"Ocelots")</f>
        <v>Ocelots</v>
      </c>
      <c r="E1721" s="82">
        <f>IFERROR(__xludf.DUMMYFUNCTION("""COMPUTED_VALUE"""),26.0)</f>
        <v>26</v>
      </c>
      <c r="F1721" s="82">
        <f>IFERROR(__xludf.DUMMYFUNCTION("""COMPUTED_VALUE"""),17.0)</f>
        <v>17</v>
      </c>
      <c r="G1721" s="86">
        <f>IFERROR(__xludf.DUMMYFUNCTION("""COMPUTED_VALUE"""),9.0)</f>
        <v>9</v>
      </c>
      <c r="H1721" s="86">
        <f>IFERROR(__xludf.DUMMYFUNCTION("""COMPUTED_VALUE"""),0.6538461538461539)</f>
        <v>0.6538461538</v>
      </c>
      <c r="I1721" s="86">
        <f>IFERROR(__xludf.DUMMYFUNCTION("""COMPUTED_VALUE"""),0.36619718309859156)</f>
        <v>0.3661971831</v>
      </c>
      <c r="J1721" s="82">
        <f>IFERROR(__xludf.DUMMYFUNCTION("""COMPUTED_VALUE"""),395.7307692307692)</f>
        <v>395.7307692</v>
      </c>
      <c r="K1721" s="82">
        <f>IFERROR(__xludf.DUMMYFUNCTION("""COMPUTED_VALUE"""),1.0)</f>
        <v>1</v>
      </c>
      <c r="L1721" s="82">
        <f>IFERROR(__xludf.DUMMYFUNCTION("""COMPUTED_VALUE"""),0.6153846153846154)</f>
        <v>0.6153846154</v>
      </c>
      <c r="M1721" s="82">
        <f>IFERROR(__xludf.DUMMYFUNCTION("""COMPUTED_VALUE"""),1.1538461538461537)</f>
        <v>1.153846154</v>
      </c>
      <c r="N1721" s="82">
        <f>IFERROR(__xludf.DUMMYFUNCTION("""COMPUTED_VALUE"""),2.730769230769231)</f>
        <v>2.730769231</v>
      </c>
      <c r="O1721" s="82">
        <f>IFERROR(__xludf.DUMMYFUNCTION("""COMPUTED_VALUE"""),331.7051282051282)</f>
        <v>331.7051282</v>
      </c>
      <c r="P1721" s="82">
        <f>IFERROR(__xludf.DUMMYFUNCTION("""COMPUTED_VALUE"""),0.7051282051282051)</f>
        <v>0.7051282051</v>
      </c>
      <c r="Q1721" s="82">
        <f>IFERROR(__xludf.DUMMYFUNCTION("""COMPUTED_VALUE"""),0.5512820512820512)</f>
        <v>0.5512820513</v>
      </c>
      <c r="R1721" s="82">
        <f>IFERROR(__xludf.DUMMYFUNCTION("""COMPUTED_VALUE"""),1.3076923076923075)</f>
        <v>1.307692308</v>
      </c>
      <c r="S1721" s="82">
        <f>IFERROR(__xludf.DUMMYFUNCTION("""COMPUTED_VALUE"""),2.1923076923076925)</f>
        <v>2.192307692</v>
      </c>
      <c r="T1721" s="82">
        <f>IFERROR(__xludf.DUMMYFUNCTION("""COMPUTED_VALUE"""),351.80396144592754)</f>
        <v>351.8039614</v>
      </c>
      <c r="U1721" s="82">
        <f>IFERROR(__xludf.DUMMYFUNCTION("""COMPUTED_VALUE"""),0.7993454119965671)</f>
        <v>0.799345412</v>
      </c>
      <c r="V1721" s="82">
        <f>IFERROR(__xludf.DUMMYFUNCTION("""COMPUTED_VALUE"""),0.5658405479869437)</f>
        <v>0.565840548</v>
      </c>
      <c r="W1721" s="82">
        <f>IFERROR(__xludf.DUMMYFUNCTION("""COMPUTED_VALUE"""),1.3695364184489829)</f>
        <v>1.369536418</v>
      </c>
      <c r="X1721" s="82">
        <f>IFERROR(__xludf.DUMMYFUNCTION("""COMPUTED_VALUE"""),2.5740365860734684)</f>
        <v>2.574036586</v>
      </c>
      <c r="Y1721" s="82">
        <f>IFERROR(__xludf.DUMMYFUNCTION("""COMPUTED_VALUE"""),351.94713473730457)</f>
        <v>351.9471347</v>
      </c>
      <c r="Z1721" s="82">
        <f>IFERROR(__xludf.DUMMYFUNCTION("""COMPUTED_VALUE"""),0.8041425298459026)</f>
        <v>0.8041425298</v>
      </c>
      <c r="AA1721" s="82">
        <f>IFERROR(__xludf.DUMMYFUNCTION("""COMPUTED_VALUE"""),0.5806447519437715)</f>
        <v>0.5806447519</v>
      </c>
      <c r="AB1721" s="82">
        <f>IFERROR(__xludf.DUMMYFUNCTION("""COMPUTED_VALUE"""),1.3145331418255237)</f>
        <v>1.314533142</v>
      </c>
      <c r="AC1721" s="82">
        <f>IFERROR(__xludf.DUMMYFUNCTION("""COMPUTED_VALUE"""),2.595496240533948)</f>
        <v>2.595496241</v>
      </c>
      <c r="AD1721" s="82">
        <f>IFERROR(__xludf.DUMMYFUNCTION("""COMPUTED_VALUE"""),1.1244040089320375)</f>
        <v>1.124404009</v>
      </c>
      <c r="AE1721" s="82">
        <f>IFERROR(__xludf.DUMMYFUNCTION("""COMPUTED_VALUE"""),1.243560641161001)</f>
        <v>1.243560641</v>
      </c>
      <c r="AF1721" s="82">
        <f>IFERROR(__xludf.DUMMYFUNCTION("""COMPUTED_VALUE"""),1.0598298069939467)</f>
        <v>1.059829807</v>
      </c>
      <c r="AG1721" s="82">
        <f>IFERROR(__xludf.DUMMYFUNCTION("""COMPUTED_VALUE"""),0.8777611740117711)</f>
        <v>0.877761174</v>
      </c>
      <c r="AH1721" s="82">
        <f>IFERROR(__xludf.DUMMYFUNCTION("""COMPUTED_VALUE"""),1.0521183533702418)</f>
        <v>1.052118353</v>
      </c>
      <c r="AI1721" s="82">
        <f>IFERROR(__xludf.DUMMYFUNCTION("""COMPUTED_VALUE"""),0.9428692242173954)</f>
        <v>0.9428692242</v>
      </c>
      <c r="AJ1721" s="82">
        <f>IFERROR(__xludf.DUMMYFUNCTION("""COMPUTED_VALUE"""),0.8821320477301162)</f>
        <v>0.8821320477</v>
      </c>
      <c r="AK1721" s="82">
        <f>IFERROR(__xludf.DUMMYFUNCTION("""COMPUTED_VALUE"""),0.9742710260749492)</f>
        <v>0.9742710261</v>
      </c>
      <c r="AL1721" s="82">
        <f>IFERROR(__xludf.DUMMYFUNCTION("""COMPUTED_VALUE"""),0.954843033070479)</f>
        <v>0.9548430331</v>
      </c>
      <c r="AM1721" s="82">
        <f>IFERROR(__xludf.DUMMYFUNCTION("""COMPUTED_VALUE"""),0.8517002843583978)</f>
        <v>0.8517002844</v>
      </c>
      <c r="AN1721" s="82">
        <f>IFERROR(__xludf.DUMMYFUNCTION("""COMPUTED_VALUE"""),1.1675508981626133)</f>
        <v>1.167550898</v>
      </c>
      <c r="AO1721" s="82">
        <f>IFERROR(__xludf.DUMMYFUNCTION("""COMPUTED_VALUE"""),1.3611734613765043)</f>
        <v>1.361173461</v>
      </c>
      <c r="AP1721" s="82">
        <f>IFERROR(__xludf.DUMMYFUNCTION("""COMPUTED_VALUE"""),1.0988542379198267)</f>
        <v>1.098854238</v>
      </c>
      <c r="AQ1721" s="82">
        <f>IFERROR(__xludf.DUMMYFUNCTION("""COMPUTED_VALUE"""),0.8805060941536864)</f>
        <v>0.8805060942</v>
      </c>
      <c r="AR1721" s="82">
        <f>IFERROR(__xludf.DUMMYFUNCTION("""COMPUTED_VALUE"""),1.096542279617791)</f>
        <v>1.09654228</v>
      </c>
      <c r="AS1721" s="82">
        <f>IFERROR(__xludf.DUMMYFUNCTION("""COMPUTED_VALUE"""),67.0)</f>
        <v>67</v>
      </c>
      <c r="AT1721" s="82">
        <f>IFERROR(__xludf.DUMMYFUNCTION("""COMPUTED_VALUE"""),0.576292333208467)</f>
        <v>0.5762923332</v>
      </c>
      <c r="AU1721" s="82">
        <f>IFERROR(__xludf.DUMMYFUNCTION("""COMPUTED_VALUE"""),2.69236970897862)</f>
        <v>2.692369709</v>
      </c>
      <c r="AV1721" s="82">
        <f>IFERROR(__xludf.DUMMYFUNCTION("""COMPUTED_VALUE"""),74.58980497617)</f>
        <v>74.58980498</v>
      </c>
      <c r="AW1721" s="82">
        <f t="shared" si="1"/>
        <v>6.147867357</v>
      </c>
      <c r="AX1721" s="83">
        <f t="array" ref="AX1721">IFERROR(DGET('SBV Import'!A:G,"SBV",{"RSC ID","Tier";B1721,A1721}))</f>
        <v>74.88838643</v>
      </c>
      <c r="AY1721" s="82">
        <f t="shared" si="2"/>
        <v>6.260252961</v>
      </c>
      <c r="AZ1721" s="82">
        <v>0.11238560362979921</v>
      </c>
      <c r="BA1721" s="84">
        <v>1700.0</v>
      </c>
      <c r="BB1721" s="84" t="b">
        <f>IFERROR(__xludf.DUMMYFUNCTION("iferror(if(A1721="""",,E1721&gt;=FILTER(Constants!$F$2:$F$10,Constants!$A$2:$A$10=A1721)))"),TRUE)</f>
        <v>1</v>
      </c>
    </row>
    <row r="1722">
      <c r="A1722" s="89" t="str">
        <f>IFERROR(__xludf.DUMMYFUNCTION("""COMPUTED_VALUE"""),"Rival")</f>
        <v>Rival</v>
      </c>
      <c r="B1722" s="87" t="str">
        <f>IFERROR(__xludf.DUMMYFUNCTION("""COMPUTED_VALUE"""),"RSC006774")</f>
        <v>RSC006774</v>
      </c>
      <c r="C1722" s="73" t="str">
        <f>IFERROR(__xludf.DUMMYFUNCTION("""COMPUTED_VALUE"""),"JazzMagic.")</f>
        <v>JazzMagic.</v>
      </c>
      <c r="D1722" s="73" t="str">
        <f>IFERROR(__xludf.DUMMYFUNCTION("""COMPUTED_VALUE"""),"Hippos")</f>
        <v>Hippos</v>
      </c>
      <c r="E1722" s="82">
        <f>IFERROR(__xludf.DUMMYFUNCTION("""COMPUTED_VALUE"""),15.0)</f>
        <v>15</v>
      </c>
      <c r="F1722" s="82">
        <f>IFERROR(__xludf.DUMMYFUNCTION("""COMPUTED_VALUE"""),8.0)</f>
        <v>8</v>
      </c>
      <c r="G1722" s="86">
        <f>IFERROR(__xludf.DUMMYFUNCTION("""COMPUTED_VALUE"""),7.0)</f>
        <v>7</v>
      </c>
      <c r="H1722" s="86">
        <f>IFERROR(__xludf.DUMMYFUNCTION("""COMPUTED_VALUE"""),0.5333333333333333)</f>
        <v>0.5333333333</v>
      </c>
      <c r="I1722" s="86">
        <f>IFERROR(__xludf.DUMMYFUNCTION("""COMPUTED_VALUE"""),0.4210526315789474)</f>
        <v>0.4210526316</v>
      </c>
      <c r="J1722" s="82">
        <f>IFERROR(__xludf.DUMMYFUNCTION("""COMPUTED_VALUE"""),394.2)</f>
        <v>394.2</v>
      </c>
      <c r="K1722" s="82">
        <f>IFERROR(__xludf.DUMMYFUNCTION("""COMPUTED_VALUE"""),1.0666666666666667)</f>
        <v>1.066666667</v>
      </c>
      <c r="L1722" s="82">
        <f>IFERROR(__xludf.DUMMYFUNCTION("""COMPUTED_VALUE"""),0.5333333333333333)</f>
        <v>0.5333333333</v>
      </c>
      <c r="M1722" s="82">
        <f>IFERROR(__xludf.DUMMYFUNCTION("""COMPUTED_VALUE"""),1.4666666666666666)</f>
        <v>1.466666667</v>
      </c>
      <c r="N1722" s="82">
        <f>IFERROR(__xludf.DUMMYFUNCTION("""COMPUTED_VALUE"""),2.533333333333333)</f>
        <v>2.533333333</v>
      </c>
      <c r="O1722" s="82">
        <f>IFERROR(__xludf.DUMMYFUNCTION("""COMPUTED_VALUE"""),300.2444444444444)</f>
        <v>300.2444444</v>
      </c>
      <c r="P1722" s="82">
        <f>IFERROR(__xludf.DUMMYFUNCTION("""COMPUTED_VALUE"""),0.5555555555555556)</f>
        <v>0.5555555556</v>
      </c>
      <c r="Q1722" s="82">
        <f>IFERROR(__xludf.DUMMYFUNCTION("""COMPUTED_VALUE"""),0.3777777777777778)</f>
        <v>0.3777777778</v>
      </c>
      <c r="R1722" s="82">
        <f>IFERROR(__xludf.DUMMYFUNCTION("""COMPUTED_VALUE"""),1.2444444444444445)</f>
        <v>1.244444444</v>
      </c>
      <c r="S1722" s="82">
        <f>IFERROR(__xludf.DUMMYFUNCTION("""COMPUTED_VALUE"""),2.4222222222222225)</f>
        <v>2.422222222</v>
      </c>
      <c r="T1722" s="82">
        <f>IFERROR(__xludf.DUMMYFUNCTION("""COMPUTED_VALUE"""),328.6444284480951)</f>
        <v>328.6444284</v>
      </c>
      <c r="U1722" s="82">
        <f>IFERROR(__xludf.DUMMYFUNCTION("""COMPUTED_VALUE"""),0.6863443470110139)</f>
        <v>0.686344347</v>
      </c>
      <c r="V1722" s="82">
        <f>IFERROR(__xludf.DUMMYFUNCTION("""COMPUTED_VALUE"""),0.506996817996818)</f>
        <v>0.506996818</v>
      </c>
      <c r="W1722" s="82">
        <f>IFERROR(__xludf.DUMMYFUNCTION("""COMPUTED_VALUE"""),1.2607873854540523)</f>
        <v>1.260787385</v>
      </c>
      <c r="X1722" s="82">
        <f>IFERROR(__xludf.DUMMYFUNCTION("""COMPUTED_VALUE"""),2.433421553754887)</f>
        <v>2.433421554</v>
      </c>
      <c r="Y1722" s="82">
        <f>IFERROR(__xludf.DUMMYFUNCTION("""COMPUTED_VALUE"""),351.65392076647635)</f>
        <v>351.6539208</v>
      </c>
      <c r="Z1722" s="82">
        <f>IFERROR(__xludf.DUMMYFUNCTION("""COMPUTED_VALUE"""),0.8119376549376549)</f>
        <v>0.8119376549</v>
      </c>
      <c r="AA1722" s="82">
        <f>IFERROR(__xludf.DUMMYFUNCTION("""COMPUTED_VALUE"""),0.5668989816767595)</f>
        <v>0.5668989817</v>
      </c>
      <c r="AB1722" s="82">
        <f>IFERROR(__xludf.DUMMYFUNCTION("""COMPUTED_VALUE"""),1.3123317382206274)</f>
        <v>1.312331738</v>
      </c>
      <c r="AC1722" s="82">
        <f>IFERROR(__xludf.DUMMYFUNCTION("""COMPUTED_VALUE"""),2.563467873690096)</f>
        <v>2.563467874</v>
      </c>
      <c r="AD1722" s="82">
        <f>IFERROR(__xludf.DUMMYFUNCTION("""COMPUTED_VALUE"""),1.1209884967037729)</f>
        <v>1.120988497</v>
      </c>
      <c r="AE1722" s="82">
        <f>IFERROR(__xludf.DUMMYFUNCTION("""COMPUTED_VALUE"""),1.3137297675257729)</f>
        <v>1.313729768</v>
      </c>
      <c r="AF1722" s="82">
        <f>IFERROR(__xludf.DUMMYFUNCTION("""COMPUTED_VALUE"""),0.9407907767903436)</f>
        <v>0.9407907768</v>
      </c>
      <c r="AG1722" s="82">
        <f>IFERROR(__xludf.DUMMYFUNCTION("""COMPUTED_VALUE"""),1.1176035936274007)</f>
        <v>1.117603594</v>
      </c>
      <c r="AH1722" s="82">
        <f>IFERROR(__xludf.DUMMYFUNCTION("""COMPUTED_VALUE"""),0.9882446194602064)</f>
        <v>0.9882446195</v>
      </c>
      <c r="AI1722" s="82">
        <f>IFERROR(__xludf.DUMMYFUNCTION("""COMPUTED_VALUE"""),0.913584465320896)</f>
        <v>0.9135844653</v>
      </c>
      <c r="AJ1722" s="82">
        <f>IFERROR(__xludf.DUMMYFUNCTION("""COMPUTED_VALUE"""),0.8094414385067275)</f>
        <v>0.8094414385</v>
      </c>
      <c r="AK1722" s="82">
        <f>IFERROR(__xludf.DUMMYFUNCTION("""COMPUTED_VALUE"""),0.745128498577971)</f>
        <v>0.7451284986</v>
      </c>
      <c r="AL1722" s="82">
        <f>IFERROR(__xludf.DUMMYFUNCTION("""COMPUTED_VALUE"""),0.9870375122735526)</f>
        <v>0.9870375123</v>
      </c>
      <c r="AM1722" s="82">
        <f>IFERROR(__xludf.DUMMYFUNCTION("""COMPUTED_VALUE"""),0.9953977018427476)</f>
        <v>0.9953977018</v>
      </c>
      <c r="AN1722" s="82">
        <f>IFERROR(__xludf.DUMMYFUNCTION("""COMPUTED_VALUE"""),1.1630345675428375)</f>
        <v>1.163034568</v>
      </c>
      <c r="AO1722" s="82">
        <f>IFERROR(__xludf.DUMMYFUNCTION("""COMPUTED_VALUE"""),1.4519183588016045)</f>
        <v>1.451918359</v>
      </c>
      <c r="AP1722" s="82">
        <f>IFERROR(__xludf.DUMMYFUNCTION("""COMPUTED_VALUE"""),0.9523403395305163)</f>
        <v>0.9523403395</v>
      </c>
      <c r="AQ1722" s="82">
        <f>IFERROR(__xludf.DUMMYFUNCTION("""COMPUTED_VALUE"""),1.119221079679797)</f>
        <v>1.11922108</v>
      </c>
      <c r="AR1722" s="82">
        <f>IFERROR(__xludf.DUMMYFUNCTION("""COMPUTED_VALUE"""),1.0172617579928427)</f>
        <v>1.017261758</v>
      </c>
      <c r="AS1722" s="82">
        <f>IFERROR(__xludf.DUMMYFUNCTION("""COMPUTED_VALUE"""),37.0)</f>
        <v>37</v>
      </c>
      <c r="AT1722" s="82">
        <f>IFERROR(__xludf.DUMMYFUNCTION("""COMPUTED_VALUE"""),0.6431654333466716)</f>
        <v>0.6431654333</v>
      </c>
      <c r="AU1722" s="82">
        <f>IFERROR(__xludf.DUMMYFUNCTION("""COMPUTED_VALUE"""),2.6832458127240355)</f>
        <v>2.683245813</v>
      </c>
      <c r="AV1722" s="82">
        <f>IFERROR(__xludf.DUMMYFUNCTION("""COMPUTED_VALUE"""),74.26751183201128)</f>
        <v>74.26751183</v>
      </c>
      <c r="AW1722" s="82">
        <f t="shared" si="1"/>
        <v>6.029591012</v>
      </c>
      <c r="AX1722" s="83">
        <f t="array" ref="AX1722">IFERROR(DGET('SBV Import'!A:G,"SBV",{"RSC ID","Tier";B1722,A1722}))</f>
        <v>63.13878774</v>
      </c>
      <c r="AY1722" s="82">
        <f t="shared" si="2"/>
        <v>3.337784517</v>
      </c>
      <c r="AZ1722" s="82">
        <v>2.6918064948217992</v>
      </c>
      <c r="BA1722" s="84">
        <v>1700.0</v>
      </c>
      <c r="BB1722" s="84" t="b">
        <f>IFERROR(__xludf.DUMMYFUNCTION("iferror(if(A1722="""",,E1722&gt;=FILTER(Constants!$F$2:$F$10,Constants!$A$2:$A$10=A1722)))"),TRUE)</f>
        <v>1</v>
      </c>
    </row>
    <row r="1723">
      <c r="A1723" s="89" t="str">
        <f>IFERROR(__xludf.DUMMYFUNCTION("""COMPUTED_VALUE"""),"Rival")</f>
        <v>Rival</v>
      </c>
      <c r="B1723" s="87" t="str">
        <f>IFERROR(__xludf.DUMMYFUNCTION("""COMPUTED_VALUE"""),"RSC000731")</f>
        <v>RSC000731</v>
      </c>
      <c r="C1723" s="73" t="str">
        <f>IFERROR(__xludf.DUMMYFUNCTION("""COMPUTED_VALUE"""),"mm2")</f>
        <v>mm2</v>
      </c>
      <c r="D1723" s="73" t="str">
        <f>IFERROR(__xludf.DUMMYFUNCTION("""COMPUTED_VALUE"""),"Cursed")</f>
        <v>Cursed</v>
      </c>
      <c r="E1723" s="82">
        <f>IFERROR(__xludf.DUMMYFUNCTION("""COMPUTED_VALUE"""),36.0)</f>
        <v>36</v>
      </c>
      <c r="F1723" s="82">
        <f>IFERROR(__xludf.DUMMYFUNCTION("""COMPUTED_VALUE"""),23.0)</f>
        <v>23</v>
      </c>
      <c r="G1723" s="86">
        <f>IFERROR(__xludf.DUMMYFUNCTION("""COMPUTED_VALUE"""),13.0)</f>
        <v>13</v>
      </c>
      <c r="H1723" s="86">
        <f>IFERROR(__xludf.DUMMYFUNCTION("""COMPUTED_VALUE"""),0.6388888888888888)</f>
        <v>0.6388888889</v>
      </c>
      <c r="I1723" s="86">
        <f>IFERROR(__xludf.DUMMYFUNCTION("""COMPUTED_VALUE"""),0.31000000000000005)</f>
        <v>0.31</v>
      </c>
      <c r="J1723" s="82">
        <f>IFERROR(__xludf.DUMMYFUNCTION("""COMPUTED_VALUE"""),392.69444444444446)</f>
        <v>392.6944444</v>
      </c>
      <c r="K1723" s="82">
        <f>IFERROR(__xludf.DUMMYFUNCTION("""COMPUTED_VALUE"""),0.8611111111111112)</f>
        <v>0.8611111111</v>
      </c>
      <c r="L1723" s="82">
        <f>IFERROR(__xludf.DUMMYFUNCTION("""COMPUTED_VALUE"""),0.7222222222222222)</f>
        <v>0.7222222222</v>
      </c>
      <c r="M1723" s="82">
        <f>IFERROR(__xludf.DUMMYFUNCTION("""COMPUTED_VALUE"""),1.6388888888888888)</f>
        <v>1.638888889</v>
      </c>
      <c r="N1723" s="82">
        <f>IFERROR(__xludf.DUMMYFUNCTION("""COMPUTED_VALUE"""),2.7777777777777777)</f>
        <v>2.777777778</v>
      </c>
      <c r="O1723" s="82">
        <f>IFERROR(__xludf.DUMMYFUNCTION("""COMPUTED_VALUE"""),330.62037037037044)</f>
        <v>330.6203704</v>
      </c>
      <c r="P1723" s="82">
        <f>IFERROR(__xludf.DUMMYFUNCTION("""COMPUTED_VALUE"""),0.6666666666666666)</f>
        <v>0.6666666667</v>
      </c>
      <c r="Q1723" s="82">
        <f>IFERROR(__xludf.DUMMYFUNCTION("""COMPUTED_VALUE"""),0.5092592592592592)</f>
        <v>0.5092592593</v>
      </c>
      <c r="R1723" s="82">
        <f>IFERROR(__xludf.DUMMYFUNCTION("""COMPUTED_VALUE"""),1.324074074074074)</f>
        <v>1.324074074</v>
      </c>
      <c r="S1723" s="82">
        <f>IFERROR(__xludf.DUMMYFUNCTION("""COMPUTED_VALUE"""),2.4722222222222223)</f>
        <v>2.472222222</v>
      </c>
      <c r="T1723" s="82">
        <f>IFERROR(__xludf.DUMMYFUNCTION("""COMPUTED_VALUE"""),355.9288104343109)</f>
        <v>355.9288104</v>
      </c>
      <c r="U1723" s="82">
        <f>IFERROR(__xludf.DUMMYFUNCTION("""COMPUTED_VALUE"""),0.7996393494463698)</f>
        <v>0.7996393494</v>
      </c>
      <c r="V1723" s="82">
        <f>IFERROR(__xludf.DUMMYFUNCTION("""COMPUTED_VALUE"""),0.5996154860590291)</f>
        <v>0.5996154861</v>
      </c>
      <c r="W1723" s="82">
        <f>IFERROR(__xludf.DUMMYFUNCTION("""COMPUTED_VALUE"""),1.3390263252219528)</f>
        <v>1.339026325</v>
      </c>
      <c r="X1723" s="82">
        <f>IFERROR(__xludf.DUMMYFUNCTION("""COMPUTED_VALUE"""),2.605865817793921)</f>
        <v>2.605865818</v>
      </c>
      <c r="Y1723" s="82">
        <f>IFERROR(__xludf.DUMMYFUNCTION("""COMPUTED_VALUE"""),349.02516492677546)</f>
        <v>349.0251649</v>
      </c>
      <c r="Z1723" s="82">
        <f>IFERROR(__xludf.DUMMYFUNCTION("""COMPUTED_VALUE"""),0.8004031558610476)</f>
        <v>0.8004031559</v>
      </c>
      <c r="AA1723" s="82">
        <f>IFERROR(__xludf.DUMMYFUNCTION("""COMPUTED_VALUE"""),0.5685840678915015)</f>
        <v>0.5685840679</v>
      </c>
      <c r="AB1723" s="82">
        <f>IFERROR(__xludf.DUMMYFUNCTION("""COMPUTED_VALUE"""),1.3049753619808457)</f>
        <v>1.304975362</v>
      </c>
      <c r="AC1723" s="82">
        <f>IFERROR(__xludf.DUMMYFUNCTION("""COMPUTED_VALUE"""),2.6182472153163685)</f>
        <v>2.618247215</v>
      </c>
      <c r="AD1723" s="82">
        <f>IFERROR(__xludf.DUMMYFUNCTION("""COMPUTED_VALUE"""),1.1251178536849362)</f>
        <v>1.125117854</v>
      </c>
      <c r="AE1723" s="82">
        <f>IFERROR(__xludf.DUMMYFUNCTION("""COMPUTED_VALUE"""),1.0758467214996872)</f>
        <v>1.075846721</v>
      </c>
      <c r="AF1723" s="82">
        <f>IFERROR(__xludf.DUMMYFUNCTION("""COMPUTED_VALUE"""),1.2702118525769848)</f>
        <v>1.270211853</v>
      </c>
      <c r="AG1723" s="82">
        <f>IFERROR(__xludf.DUMMYFUNCTION("""COMPUTED_VALUE"""),1.2558772653003882)</f>
        <v>1.255877265</v>
      </c>
      <c r="AH1723" s="82">
        <f>IFERROR(__xludf.DUMMYFUNCTION("""COMPUTED_VALUE"""),1.0609302901300453)</f>
        <v>1.06093029</v>
      </c>
      <c r="AI1723" s="82">
        <f>IFERROR(__xludf.DUMMYFUNCTION("""COMPUTED_VALUE"""),0.9288946572404222)</f>
        <v>0.9288946572</v>
      </c>
      <c r="AJ1723" s="82">
        <f>IFERROR(__xludf.DUMMYFUNCTION("""COMPUTED_VALUE"""),0.8337091804301942)</f>
        <v>0.8337091804</v>
      </c>
      <c r="AK1723" s="82">
        <f>IFERROR(__xludf.DUMMYFUNCTION("""COMPUTED_VALUE"""),0.8493097178099319)</f>
        <v>0.8493097178</v>
      </c>
      <c r="AL1723" s="82">
        <f>IFERROR(__xludf.DUMMYFUNCTION("""COMPUTED_VALUE"""),0.9888334897781786)</f>
        <v>0.9888334898</v>
      </c>
      <c r="AM1723" s="82">
        <f>IFERROR(__xludf.DUMMYFUNCTION("""COMPUTED_VALUE"""),0.948714321873703)</f>
        <v>0.9487143219</v>
      </c>
      <c r="AN1723" s="82">
        <f>IFERROR(__xludf.DUMMYFUNCTION("""COMPUTED_VALUE"""),1.1585926265117183)</f>
        <v>1.158592627</v>
      </c>
      <c r="AO1723" s="82">
        <f>IFERROR(__xludf.DUMMYFUNCTION("""COMPUTED_VALUE"""),1.1721215917408787)</f>
        <v>1.172121592</v>
      </c>
      <c r="AP1723" s="82">
        <f>IFERROR(__xludf.DUMMYFUNCTION("""COMPUTED_VALUE"""),1.289627543114241)</f>
        <v>1.289627543</v>
      </c>
      <c r="AQ1723" s="82">
        <f>IFERROR(__xludf.DUMMYFUNCTION("""COMPUTED_VALUE"""),1.25064476706644)</f>
        <v>1.250644767</v>
      </c>
      <c r="AR1723" s="82">
        <f>IFERROR(__xludf.DUMMYFUNCTION("""COMPUTED_VALUE"""),1.1154185942903978)</f>
        <v>1.115418594</v>
      </c>
      <c r="AS1723" s="82">
        <f>IFERROR(__xludf.DUMMYFUNCTION("""COMPUTED_VALUE"""),94.0)</f>
        <v>94</v>
      </c>
      <c r="AT1723" s="82">
        <f>IFERROR(__xludf.DUMMYFUNCTION("""COMPUTED_VALUE"""),0.6019139321801137)</f>
        <v>0.6019139322</v>
      </c>
      <c r="AU1723" s="82">
        <f>IFERROR(__xludf.DUMMYFUNCTION("""COMPUTED_VALUE"""),2.678327435174599)</f>
        <v>2.678327435</v>
      </c>
      <c r="AV1723" s="82">
        <f>IFERROR(__xludf.DUMMYFUNCTION("""COMPUTED_VALUE"""),74.09377472230105)</f>
        <v>74.09377472</v>
      </c>
      <c r="AW1723" s="82">
        <f t="shared" si="1"/>
        <v>5.967107205</v>
      </c>
      <c r="AX1723" s="83">
        <f t="array" ref="AX1723">IFERROR(DGET('SBV Import'!A:G,"SBV",{"RSC ID","Tier";B1723,A1723}))</f>
        <v>65.42708022</v>
      </c>
      <c r="AY1723" s="82">
        <f t="shared" si="2"/>
        <v>3.723147889</v>
      </c>
      <c r="AZ1723" s="82">
        <v>2.2439593152118413</v>
      </c>
      <c r="BA1723" s="84">
        <v>1700.0</v>
      </c>
      <c r="BB1723" s="84" t="b">
        <f>IFERROR(__xludf.DUMMYFUNCTION("iferror(if(A1723="""",,E1723&gt;=FILTER(Constants!$F$2:$F$10,Constants!$A$2:$A$10=A1723)))"),TRUE)</f>
        <v>1</v>
      </c>
    </row>
    <row r="1724">
      <c r="A1724" s="89" t="str">
        <f>IFERROR(__xludf.DUMMYFUNCTION("""COMPUTED_VALUE"""),"Rival")</f>
        <v>Rival</v>
      </c>
      <c r="B1724" s="87" t="str">
        <f>IFERROR(__xludf.DUMMYFUNCTION("""COMPUTED_VALUE"""),"RSC007959")</f>
        <v>RSC007959</v>
      </c>
      <c r="C1724" s="73" t="str">
        <f>IFERROR(__xludf.DUMMYFUNCTION("""COMPUTED_VALUE"""),"Cam")</f>
        <v>Cam</v>
      </c>
      <c r="D1724" s="73" t="str">
        <f>IFERROR(__xludf.DUMMYFUNCTION("""COMPUTED_VALUE"""),"Mining Legion")</f>
        <v>Mining Legion</v>
      </c>
      <c r="E1724" s="82">
        <f>IFERROR(__xludf.DUMMYFUNCTION("""COMPUTED_VALUE"""),29.0)</f>
        <v>29</v>
      </c>
      <c r="F1724" s="82">
        <f>IFERROR(__xludf.DUMMYFUNCTION("""COMPUTED_VALUE"""),22.0)</f>
        <v>22</v>
      </c>
      <c r="G1724" s="86">
        <f>IFERROR(__xludf.DUMMYFUNCTION("""COMPUTED_VALUE"""),7.0)</f>
        <v>7</v>
      </c>
      <c r="H1724" s="86">
        <f>IFERROR(__xludf.DUMMYFUNCTION("""COMPUTED_VALUE"""),0.7586206896551724)</f>
        <v>0.7586206897</v>
      </c>
      <c r="I1724" s="86">
        <f>IFERROR(__xludf.DUMMYFUNCTION("""COMPUTED_VALUE"""),0.3506493506493506)</f>
        <v>0.3506493506</v>
      </c>
      <c r="J1724" s="82">
        <f>IFERROR(__xludf.DUMMYFUNCTION("""COMPUTED_VALUE"""),350.2758620689655)</f>
        <v>350.2758621</v>
      </c>
      <c r="K1724" s="82">
        <f>IFERROR(__xludf.DUMMYFUNCTION("""COMPUTED_VALUE"""),0.9310344827586207)</f>
        <v>0.9310344828</v>
      </c>
      <c r="L1724" s="82">
        <f>IFERROR(__xludf.DUMMYFUNCTION("""COMPUTED_VALUE"""),0.6206896551724138)</f>
        <v>0.6206896552</v>
      </c>
      <c r="M1724" s="82">
        <f>IFERROR(__xludf.DUMMYFUNCTION("""COMPUTED_VALUE"""),1.3103448275862069)</f>
        <v>1.310344828</v>
      </c>
      <c r="N1724" s="82">
        <f>IFERROR(__xludf.DUMMYFUNCTION("""COMPUTED_VALUE"""),2.6551724137931036)</f>
        <v>2.655172414</v>
      </c>
      <c r="O1724" s="82">
        <f>IFERROR(__xludf.DUMMYFUNCTION("""COMPUTED_VALUE"""),305.7586206896552)</f>
        <v>305.7586207</v>
      </c>
      <c r="P1724" s="82">
        <f>IFERROR(__xludf.DUMMYFUNCTION("""COMPUTED_VALUE"""),0.5057471264367815)</f>
        <v>0.5057471264</v>
      </c>
      <c r="Q1724" s="82">
        <f>IFERROR(__xludf.DUMMYFUNCTION("""COMPUTED_VALUE"""),0.3333333333333333)</f>
        <v>0.3333333333</v>
      </c>
      <c r="R1724" s="82">
        <f>IFERROR(__xludf.DUMMYFUNCTION("""COMPUTED_VALUE"""),1.4482758620689657)</f>
        <v>1.448275862</v>
      </c>
      <c r="S1724" s="82">
        <f>IFERROR(__xludf.DUMMYFUNCTION("""COMPUTED_VALUE"""),1.9999999999999998)</f>
        <v>2</v>
      </c>
      <c r="T1724" s="82">
        <f>IFERROR(__xludf.DUMMYFUNCTION("""COMPUTED_VALUE"""),336.503394523007)</f>
        <v>336.5033945</v>
      </c>
      <c r="U1724" s="82">
        <f>IFERROR(__xludf.DUMMYFUNCTION("""COMPUTED_VALUE"""),0.7221554553794627)</f>
        <v>0.7221554554</v>
      </c>
      <c r="V1724" s="82">
        <f>IFERROR(__xludf.DUMMYFUNCTION("""COMPUTED_VALUE"""),0.48768223873978633)</f>
        <v>0.4876822387</v>
      </c>
      <c r="W1724" s="82">
        <f>IFERROR(__xludf.DUMMYFUNCTION("""COMPUTED_VALUE"""),1.310174287054645)</f>
        <v>1.310174287</v>
      </c>
      <c r="X1724" s="82">
        <f>IFERROR(__xludf.DUMMYFUNCTION("""COMPUTED_VALUE"""),2.4253124081830824)</f>
        <v>2.425312408</v>
      </c>
      <c r="Y1724" s="82">
        <f>IFERROR(__xludf.DUMMYFUNCTION("""COMPUTED_VALUE"""),349.42730338728376)</f>
        <v>349.4273034</v>
      </c>
      <c r="Z1724" s="82">
        <f>IFERROR(__xludf.DUMMYFUNCTION("""COMPUTED_VALUE"""),0.8194360042573746)</f>
        <v>0.8194360043</v>
      </c>
      <c r="AA1724" s="82">
        <f>IFERROR(__xludf.DUMMYFUNCTION("""COMPUTED_VALUE"""),0.5877497803104141)</f>
        <v>0.5877497803</v>
      </c>
      <c r="AB1724" s="82">
        <f>IFERROR(__xludf.DUMMYFUNCTION("""COMPUTED_VALUE"""),1.2428499396058665)</f>
        <v>1.24284994</v>
      </c>
      <c r="AC1724" s="82">
        <f>IFERROR(__xludf.DUMMYFUNCTION("""COMPUTED_VALUE"""),2.6199907126388617)</f>
        <v>2.619990713</v>
      </c>
      <c r="AD1724" s="82">
        <f>IFERROR(__xludf.DUMMYFUNCTION("""COMPUTED_VALUE"""),1.002428426953063)</f>
        <v>1.002428427</v>
      </c>
      <c r="AE1724" s="82">
        <f>IFERROR(__xludf.DUMMYFUNCTION("""COMPUTED_VALUE"""),1.136189376499735)</f>
        <v>1.136189376</v>
      </c>
      <c r="AF1724" s="82">
        <f>IFERROR(__xludf.DUMMYFUNCTION("""COMPUTED_VALUE"""),1.0560440445330372)</f>
        <v>1.056044045</v>
      </c>
      <c r="AG1724" s="82">
        <f>IFERROR(__xludf.DUMMYFUNCTION("""COMPUTED_VALUE"""),1.0543065464538255)</f>
        <v>1.054306546</v>
      </c>
      <c r="AH1724" s="82">
        <f>IFERROR(__xludf.DUMMYFUNCTION("""COMPUTED_VALUE"""),1.0134281778116712)</f>
        <v>1.013428178</v>
      </c>
      <c r="AI1724" s="82">
        <f>IFERROR(__xludf.DUMMYFUNCTION("""COMPUTED_VALUE"""),0.9086345804120862)</f>
        <v>0.9086345804</v>
      </c>
      <c r="AJ1724" s="82">
        <f>IFERROR(__xludf.DUMMYFUNCTION("""COMPUTED_VALUE"""),0.7003299949746035)</f>
        <v>0.700329995</v>
      </c>
      <c r="AK1724" s="82">
        <f>IFERROR(__xludf.DUMMYFUNCTION("""COMPUTED_VALUE"""),0.6835051737678531)</f>
        <v>0.6835051738</v>
      </c>
      <c r="AL1724" s="82">
        <f>IFERROR(__xludf.DUMMYFUNCTION("""COMPUTED_VALUE"""),1.1054070259039979)</f>
        <v>1.105407026</v>
      </c>
      <c r="AM1724" s="82">
        <f>IFERROR(__xludf.DUMMYFUNCTION("""COMPUTED_VALUE"""),0.8246360317342769)</f>
        <v>0.8246360317</v>
      </c>
      <c r="AN1724" s="82">
        <f>IFERROR(__xludf.DUMMYFUNCTION("""COMPUTED_VALUE"""),1.0334422520600557)</f>
        <v>1.033442252</v>
      </c>
      <c r="AO1724" s="82">
        <f>IFERROR(__xludf.DUMMYFUNCTION("""COMPUTED_VALUE"""),1.267299429557435)</f>
        <v>1.26729943</v>
      </c>
      <c r="AP1724" s="82">
        <f>IFERROR(__xludf.DUMMYFUNCTION("""COMPUTED_VALUE"""),1.1083271192812045)</f>
        <v>1.108327119</v>
      </c>
      <c r="AQ1724" s="82">
        <f>IFERROR(__xludf.DUMMYFUNCTION("""COMPUTED_VALUE"""),0.9999310586480945)</f>
        <v>0.9999310586</v>
      </c>
      <c r="AR1724" s="82">
        <f>IFERROR(__xludf.DUMMYFUNCTION("""COMPUTED_VALUE"""),1.0661863253010286)</f>
        <v>1.066186325</v>
      </c>
      <c r="AS1724" s="82">
        <f>IFERROR(__xludf.DUMMYFUNCTION("""COMPUTED_VALUE"""),84.0)</f>
        <v>84</v>
      </c>
      <c r="AT1724" s="82">
        <f>IFERROR(__xludf.DUMMYFUNCTION("""COMPUTED_VALUE"""),0.72912384858296)</f>
        <v>0.7291238486</v>
      </c>
      <c r="AU1724" s="82">
        <f>IFERROR(__xludf.DUMMYFUNCTION("""COMPUTED_VALUE"""),2.624238675944464)</f>
        <v>2.624238676</v>
      </c>
      <c r="AV1724" s="82">
        <f>IFERROR(__xludf.DUMMYFUNCTION("""COMPUTED_VALUE"""),72.18313963949151)</f>
        <v>72.18313964</v>
      </c>
      <c r="AW1724" s="82">
        <f t="shared" si="1"/>
        <v>5.334704218</v>
      </c>
      <c r="AX1724" s="83">
        <f t="array" ref="AX1724">IFERROR(DGET('SBV Import'!A:G,"SBV",{"RSC ID","Tier";B1724,A1724}))</f>
        <v>60.12751743</v>
      </c>
      <c r="AY1724" s="82">
        <f t="shared" si="2"/>
        <v>2.91798921</v>
      </c>
      <c r="AZ1724" s="82">
        <v>2.4167150078158546</v>
      </c>
      <c r="BA1724" s="84">
        <v>1700.0</v>
      </c>
      <c r="BB1724" s="84" t="b">
        <f>IFERROR(__xludf.DUMMYFUNCTION("iferror(if(A1724="""",,E1724&gt;=FILTER(Constants!$F$2:$F$10,Constants!$A$2:$A$10=A1724)))"),TRUE)</f>
        <v>1</v>
      </c>
    </row>
    <row r="1725">
      <c r="A1725" s="89" t="str">
        <f>IFERROR(__xludf.DUMMYFUNCTION("""COMPUTED_VALUE"""),"Rival")</f>
        <v>Rival</v>
      </c>
      <c r="B1725" s="87" t="str">
        <f>IFERROR(__xludf.DUMMYFUNCTION("""COMPUTED_VALUE"""),"RSC006089")</f>
        <v>RSC006089</v>
      </c>
      <c r="C1725" s="73" t="str">
        <f>IFERROR(__xludf.DUMMYFUNCTION("""COMPUTED_VALUE"""),"ZeroPop11")</f>
        <v>ZeroPop11</v>
      </c>
      <c r="D1725" s="73" t="str">
        <f>IFERROR(__xludf.DUMMYFUNCTION("""COMPUTED_VALUE"""),"Wind")</f>
        <v>Wind</v>
      </c>
      <c r="E1725" s="82">
        <f>IFERROR(__xludf.DUMMYFUNCTION("""COMPUTED_VALUE"""),33.0)</f>
        <v>33</v>
      </c>
      <c r="F1725" s="82">
        <f>IFERROR(__xludf.DUMMYFUNCTION("""COMPUTED_VALUE"""),16.0)</f>
        <v>16</v>
      </c>
      <c r="G1725" s="86">
        <f>IFERROR(__xludf.DUMMYFUNCTION("""COMPUTED_VALUE"""),17.0)</f>
        <v>17</v>
      </c>
      <c r="H1725" s="86">
        <f>IFERROR(__xludf.DUMMYFUNCTION("""COMPUTED_VALUE"""),0.48484848484848486)</f>
        <v>0.4848484848</v>
      </c>
      <c r="I1725" s="86">
        <f>IFERROR(__xludf.DUMMYFUNCTION("""COMPUTED_VALUE"""),0.3)</f>
        <v>0.3</v>
      </c>
      <c r="J1725" s="82">
        <f>IFERROR(__xludf.DUMMYFUNCTION("""COMPUTED_VALUE"""),407.42424242424244)</f>
        <v>407.4242424</v>
      </c>
      <c r="K1725" s="82">
        <f>IFERROR(__xludf.DUMMYFUNCTION("""COMPUTED_VALUE"""),1.0)</f>
        <v>1</v>
      </c>
      <c r="L1725" s="82">
        <f>IFERROR(__xludf.DUMMYFUNCTION("""COMPUTED_VALUE"""),0.45454545454545453)</f>
        <v>0.4545454545</v>
      </c>
      <c r="M1725" s="82">
        <f>IFERROR(__xludf.DUMMYFUNCTION("""COMPUTED_VALUE"""),1.7575757575757576)</f>
        <v>1.757575758</v>
      </c>
      <c r="N1725" s="82">
        <f>IFERROR(__xludf.DUMMYFUNCTION("""COMPUTED_VALUE"""),3.3333333333333335)</f>
        <v>3.333333333</v>
      </c>
      <c r="O1725" s="82">
        <f>IFERROR(__xludf.DUMMYFUNCTION("""COMPUTED_VALUE"""),370.050505050505)</f>
        <v>370.0505051</v>
      </c>
      <c r="P1725" s="82">
        <f>IFERROR(__xludf.DUMMYFUNCTION("""COMPUTED_VALUE"""),0.8585858585858585)</f>
        <v>0.8585858586</v>
      </c>
      <c r="Q1725" s="82">
        <f>IFERROR(__xludf.DUMMYFUNCTION("""COMPUTED_VALUE"""),0.6565656565656566)</f>
        <v>0.6565656566</v>
      </c>
      <c r="R1725" s="82">
        <f>IFERROR(__xludf.DUMMYFUNCTION("""COMPUTED_VALUE"""),1.393939393939394)</f>
        <v>1.393939394</v>
      </c>
      <c r="S1725" s="82">
        <f>IFERROR(__xludf.DUMMYFUNCTION("""COMPUTED_VALUE"""),2.8181818181818183)</f>
        <v>2.818181818</v>
      </c>
      <c r="T1725" s="82">
        <f>IFERROR(__xludf.DUMMYFUNCTION("""COMPUTED_VALUE"""),354.558952750214)</f>
        <v>354.5589528</v>
      </c>
      <c r="U1725" s="82">
        <f>IFERROR(__xludf.DUMMYFUNCTION("""COMPUTED_VALUE"""),0.8310090055606948)</f>
        <v>0.8310090056</v>
      </c>
      <c r="V1725" s="82">
        <f>IFERROR(__xludf.DUMMYFUNCTION("""COMPUTED_VALUE"""),0.5821083794317407)</f>
        <v>0.5821083794</v>
      </c>
      <c r="W1725" s="82">
        <f>IFERROR(__xludf.DUMMYFUNCTION("""COMPUTED_VALUE"""),1.3355246757455816)</f>
        <v>1.335524676</v>
      </c>
      <c r="X1725" s="82">
        <f>IFERROR(__xludf.DUMMYFUNCTION("""COMPUTED_VALUE"""),2.684241771724297)</f>
        <v>2.684241772</v>
      </c>
      <c r="Y1725" s="82">
        <f>IFERROR(__xludf.DUMMYFUNCTION("""COMPUTED_VALUE"""),352.29246219574674)</f>
        <v>352.2924622</v>
      </c>
      <c r="Z1725" s="82">
        <f>IFERROR(__xludf.DUMMYFUNCTION("""COMPUTED_VALUE"""),0.8121514650045215)</f>
        <v>0.812151465</v>
      </c>
      <c r="AA1725" s="82">
        <f>IFERROR(__xludf.DUMMYFUNCTION("""COMPUTED_VALUE"""),0.572186091688731)</f>
        <v>0.5721860917</v>
      </c>
      <c r="AB1725" s="82">
        <f>IFERROR(__xludf.DUMMYFUNCTION("""COMPUTED_VALUE"""),1.3610472851222561)</f>
        <v>1.361047285</v>
      </c>
      <c r="AC1725" s="82">
        <f>IFERROR(__xludf.DUMMYFUNCTION("""COMPUTED_VALUE"""),2.607899272407008)</f>
        <v>2.607899272</v>
      </c>
      <c r="AD1725" s="82">
        <f>IFERROR(__xludf.DUMMYFUNCTION("""COMPUTED_VALUE"""),1.1564943509857513)</f>
        <v>1.156494351</v>
      </c>
      <c r="AE1725" s="82">
        <f>IFERROR(__xludf.DUMMYFUNCTION("""COMPUTED_VALUE"""),1.2312974156790233)</f>
        <v>1.231297416</v>
      </c>
      <c r="AF1725" s="82">
        <f>IFERROR(__xludf.DUMMYFUNCTION("""COMPUTED_VALUE"""),0.7944014388814034)</f>
        <v>0.7944014389</v>
      </c>
      <c r="AG1725" s="82">
        <f>IFERROR(__xludf.DUMMYFUNCTION("""COMPUTED_VALUE"""),1.2913407026985717)</f>
        <v>1.291340703</v>
      </c>
      <c r="AH1725" s="82">
        <f>IFERROR(__xludf.DUMMYFUNCTION("""COMPUTED_VALUE"""),1.278167975504964)</f>
        <v>1.278167976</v>
      </c>
      <c r="AI1725" s="82">
        <f>IFERROR(__xludf.DUMMYFUNCTION("""COMPUTED_VALUE"""),1.043692458419474)</f>
        <v>1.043692458</v>
      </c>
      <c r="AJ1725" s="82">
        <f>IFERROR(__xludf.DUMMYFUNCTION("""COMPUTED_VALUE"""),1.0331847824038407)</f>
        <v>1.033184782</v>
      </c>
      <c r="AK1725" s="82">
        <f>IFERROR(__xludf.DUMMYFUNCTION("""COMPUTED_VALUE"""),1.1279096466651137)</f>
        <v>1.127909647</v>
      </c>
      <c r="AL1725" s="82">
        <f>IFERROR(__xludf.DUMMYFUNCTION("""COMPUTED_VALUE"""),1.0437391530494944)</f>
        <v>1.043739153</v>
      </c>
      <c r="AM1725" s="82">
        <f>IFERROR(__xludf.DUMMYFUNCTION("""COMPUTED_VALUE"""),1.0498986521513973)</f>
        <v>1.049898652</v>
      </c>
      <c r="AN1725" s="82">
        <f>IFERROR(__xludf.DUMMYFUNCTION("""COMPUTED_VALUE"""),1.2020509325072224)</f>
        <v>1.202050933</v>
      </c>
      <c r="AO1725" s="82">
        <f>IFERROR(__xludf.DUMMYFUNCTION("""COMPUTED_VALUE"""),1.3611734613765043)</f>
        <v>1.361173461</v>
      </c>
      <c r="AP1725" s="82">
        <f>IFERROR(__xludf.DUMMYFUNCTION("""COMPUTED_VALUE"""),0.8116536984635082)</f>
        <v>0.8116536985</v>
      </c>
      <c r="AQ1725" s="82">
        <f>IFERROR(__xludf.DUMMYFUNCTION("""COMPUTED_VALUE"""),1.3412153434179386)</f>
        <v>1.341215343</v>
      </c>
      <c r="AR1725" s="82">
        <f>IFERROR(__xludf.DUMMYFUNCTION("""COMPUTED_VALUE"""),1.3385023131484775)</f>
        <v>1.338502313</v>
      </c>
      <c r="AS1725" s="82">
        <f>IFERROR(__xludf.DUMMYFUNCTION("""COMPUTED_VALUE"""),83.0)</f>
        <v>83</v>
      </c>
      <c r="AT1725" s="82">
        <f>IFERROR(__xludf.DUMMYFUNCTION("""COMPUTED_VALUE"""),0.49050468705988937)</f>
        <v>0.4905046871</v>
      </c>
      <c r="AU1725" s="82">
        <f>IFERROR(__xludf.DUMMYFUNCTION("""COMPUTED_VALUE"""),2.5602552110428847)</f>
        <v>2.560255211</v>
      </c>
      <c r="AV1725" s="82">
        <f>IFERROR(__xludf.DUMMYFUNCTION("""COMPUTED_VALUE"""),69.92298328721637)</f>
        <v>69.92298329</v>
      </c>
      <c r="AW1725" s="82">
        <f t="shared" si="1"/>
        <v>4.700375914</v>
      </c>
      <c r="AX1725" s="83">
        <f t="array" ref="AX1725">IFERROR(DGET('SBV Import'!A:G,"SBV",{"RSC ID","Tier";B1725,A1725}))</f>
        <v>60.83022767</v>
      </c>
      <c r="AY1725" s="82">
        <f t="shared" si="2"/>
        <v>3.008139136</v>
      </c>
      <c r="AZ1725" s="82">
        <v>1.6922367770267916</v>
      </c>
      <c r="BA1725" s="84">
        <v>1700.0</v>
      </c>
      <c r="BB1725" s="84" t="b">
        <f>IFERROR(__xludf.DUMMYFUNCTION("iferror(if(A1725="""",,E1725&gt;=FILTER(Constants!$F$2:$F$10,Constants!$A$2:$A$10=A1725)))"),TRUE)</f>
        <v>1</v>
      </c>
    </row>
    <row r="1726">
      <c r="A1726" s="89" t="str">
        <f>IFERROR(__xludf.DUMMYFUNCTION("""COMPUTED_VALUE"""),"Rival")</f>
        <v>Rival</v>
      </c>
      <c r="B1726" s="87" t="str">
        <f>IFERROR(__xludf.DUMMYFUNCTION("""COMPUTED_VALUE"""),"RSC006401")</f>
        <v>RSC006401</v>
      </c>
      <c r="C1726" s="73" t="str">
        <f>IFERROR(__xludf.DUMMYFUNCTION("""COMPUTED_VALUE"""),"Shadohkamii")</f>
        <v>Shadohkamii</v>
      </c>
      <c r="D1726" s="73" t="str">
        <f>IFERROR(__xludf.DUMMYFUNCTION("""COMPUTED_VALUE"""),"Hue Heroes")</f>
        <v>Hue Heroes</v>
      </c>
      <c r="E1726" s="82">
        <f>IFERROR(__xludf.DUMMYFUNCTION("""COMPUTED_VALUE"""),30.0)</f>
        <v>30</v>
      </c>
      <c r="F1726" s="82">
        <f>IFERROR(__xludf.DUMMYFUNCTION("""COMPUTED_VALUE"""),12.0)</f>
        <v>12</v>
      </c>
      <c r="G1726" s="86">
        <f>IFERROR(__xludf.DUMMYFUNCTION("""COMPUTED_VALUE"""),18.0)</f>
        <v>18</v>
      </c>
      <c r="H1726" s="86">
        <f>IFERROR(__xludf.DUMMYFUNCTION("""COMPUTED_VALUE"""),0.4)</f>
        <v>0.4</v>
      </c>
      <c r="I1726" s="86">
        <f>IFERROR(__xludf.DUMMYFUNCTION("""COMPUTED_VALUE"""),0.2888888888888889)</f>
        <v>0.2888888889</v>
      </c>
      <c r="J1726" s="82">
        <f>IFERROR(__xludf.DUMMYFUNCTION("""COMPUTED_VALUE"""),389.3666666666667)</f>
        <v>389.3666667</v>
      </c>
      <c r="K1726" s="82">
        <f>IFERROR(__xludf.DUMMYFUNCTION("""COMPUTED_VALUE"""),0.8666666666666667)</f>
        <v>0.8666666667</v>
      </c>
      <c r="L1726" s="82">
        <f>IFERROR(__xludf.DUMMYFUNCTION("""COMPUTED_VALUE"""),0.6666666666666666)</f>
        <v>0.6666666667</v>
      </c>
      <c r="M1726" s="82">
        <f>IFERROR(__xludf.DUMMYFUNCTION("""COMPUTED_VALUE"""),1.5333333333333334)</f>
        <v>1.533333333</v>
      </c>
      <c r="N1726" s="82">
        <f>IFERROR(__xludf.DUMMYFUNCTION("""COMPUTED_VALUE"""),3.0)</f>
        <v>3</v>
      </c>
      <c r="O1726" s="82">
        <f>IFERROR(__xludf.DUMMYFUNCTION("""COMPUTED_VALUE"""),352.62222222222215)</f>
        <v>352.6222222</v>
      </c>
      <c r="P1726" s="82">
        <f>IFERROR(__xludf.DUMMYFUNCTION("""COMPUTED_VALUE"""),0.8888888888888891)</f>
        <v>0.8888888889</v>
      </c>
      <c r="Q1726" s="82">
        <f>IFERROR(__xludf.DUMMYFUNCTION("""COMPUTED_VALUE"""),0.622222222222222)</f>
        <v>0.6222222222</v>
      </c>
      <c r="R1726" s="82">
        <f>IFERROR(__xludf.DUMMYFUNCTION("""COMPUTED_VALUE"""),1.1555555555555552)</f>
        <v>1.155555556</v>
      </c>
      <c r="S1726" s="82">
        <f>IFERROR(__xludf.DUMMYFUNCTION("""COMPUTED_VALUE"""),2.844444444444443)</f>
        <v>2.844444444</v>
      </c>
      <c r="T1726" s="82">
        <f>IFERROR(__xludf.DUMMYFUNCTION("""COMPUTED_VALUE"""),354.2992607613242)</f>
        <v>354.2992608</v>
      </c>
      <c r="U1726" s="82">
        <f>IFERROR(__xludf.DUMMYFUNCTION("""COMPUTED_VALUE"""),0.831013966748934)</f>
        <v>0.8310139667</v>
      </c>
      <c r="V1726" s="82">
        <f>IFERROR(__xludf.DUMMYFUNCTION("""COMPUTED_VALUE"""),0.5818603328689701)</f>
        <v>0.5818603329</v>
      </c>
      <c r="W1726" s="82">
        <f>IFERROR(__xludf.DUMMYFUNCTION("""COMPUTED_VALUE"""),1.2812014249157362)</f>
        <v>1.281201425</v>
      </c>
      <c r="X1726" s="82">
        <f>IFERROR(__xludf.DUMMYFUNCTION("""COMPUTED_VALUE"""),2.68697453140838)</f>
        <v>2.686974531</v>
      </c>
      <c r="Y1726" s="82">
        <f>IFERROR(__xludf.DUMMYFUNCTION("""COMPUTED_VALUE"""),347.9474748338141)</f>
        <v>347.9474748</v>
      </c>
      <c r="Z1726" s="82">
        <f>IFERROR(__xludf.DUMMYFUNCTION("""COMPUTED_VALUE"""),0.7591420678646864)</f>
        <v>0.7591420679</v>
      </c>
      <c r="AA1726" s="82">
        <f>IFERROR(__xludf.DUMMYFUNCTION("""COMPUTED_VALUE"""),0.5561256773111086)</f>
        <v>0.5561256773</v>
      </c>
      <c r="AB1726" s="82">
        <f>IFERROR(__xludf.DUMMYFUNCTION("""COMPUTED_VALUE"""),1.3604589871240906)</f>
        <v>1.360458987</v>
      </c>
      <c r="AC1726" s="82">
        <f>IFERROR(__xludf.DUMMYFUNCTION("""COMPUTED_VALUE"""),2.5006004750280533)</f>
        <v>2.500600475</v>
      </c>
      <c r="AD1726" s="82">
        <f>IFERROR(__xludf.DUMMYFUNCTION("""COMPUTED_VALUE"""),1.119038633209323)</f>
        <v>1.119038633</v>
      </c>
      <c r="AE1726" s="82">
        <f>IFERROR(__xludf.DUMMYFUNCTION("""COMPUTED_VALUE"""),1.1416396263013395)</f>
        <v>1.141639626</v>
      </c>
      <c r="AF1726" s="82">
        <f>IFERROR(__xludf.DUMMYFUNCTION("""COMPUTED_VALUE"""),1.1987697994633666)</f>
        <v>1.198769799</v>
      </c>
      <c r="AG1726" s="82">
        <f>IFERROR(__xludf.DUMMYFUNCTION("""COMPUTED_VALUE"""),1.127070604733691)</f>
        <v>1.127070605</v>
      </c>
      <c r="AH1726" s="82">
        <f>IFERROR(__xludf.DUMMYFUNCTION("""COMPUTED_VALUE"""),1.1997118411993999)</f>
        <v>1.199711841</v>
      </c>
      <c r="AI1726" s="82">
        <f>IFERROR(__xludf.DUMMYFUNCTION("""COMPUTED_VALUE"""),0.9952666044645467)</f>
        <v>0.9952666045</v>
      </c>
      <c r="AJ1726" s="82">
        <f>IFERROR(__xludf.DUMMYFUNCTION("""COMPUTED_VALUE"""),1.0696437418090232)</f>
        <v>1.069643742</v>
      </c>
      <c r="AK1726" s="82">
        <f>IFERROR(__xludf.DUMMYFUNCTION("""COMPUTED_VALUE"""),1.0693669718886665)</f>
        <v>1.069366972</v>
      </c>
      <c r="AL1726" s="82">
        <f>IFERROR(__xludf.DUMMYFUNCTION("""COMPUTED_VALUE"""),0.9019312132216489)</f>
        <v>0.9019312132</v>
      </c>
      <c r="AM1726" s="82">
        <f>IFERROR(__xludf.DUMMYFUNCTION("""COMPUTED_VALUE"""),1.058604914633681)</f>
        <v>1.058604915</v>
      </c>
      <c r="AN1726" s="82">
        <f>IFERROR(__xludf.DUMMYFUNCTION("""COMPUTED_VALUE"""),1.148774461649576)</f>
        <v>1.148774462</v>
      </c>
      <c r="AO1726" s="82">
        <f>IFERROR(__xludf.DUMMYFUNCTION("""COMPUTED_VALUE"""),1.1796836665263037)</f>
        <v>1.179683667</v>
      </c>
      <c r="AP1726" s="82">
        <f>IFERROR(__xludf.DUMMYFUNCTION("""COMPUTED_VALUE"""),1.1904254244131454)</f>
        <v>1.190425424</v>
      </c>
      <c r="AQ1726" s="82">
        <f>IFERROR(__xludf.DUMMYFUNCTION("""COMPUTED_VALUE"""),1.170094765119788)</f>
        <v>1.170094765</v>
      </c>
      <c r="AR1726" s="82">
        <f>IFERROR(__xludf.DUMMYFUNCTION("""COMPUTED_VALUE"""),1.2046520818336297)</f>
        <v>1.204652082</v>
      </c>
      <c r="AS1726" s="82">
        <f>IFERROR(__xludf.DUMMYFUNCTION("""COMPUTED_VALUE"""),74.0)</f>
        <v>74</v>
      </c>
      <c r="AT1726" s="82">
        <f>IFERROR(__xludf.DUMMYFUNCTION("""COMPUTED_VALUE"""),0.46887258408947546)</f>
        <v>0.4688725841</v>
      </c>
      <c r="AU1726" s="82">
        <f>IFERROR(__xludf.DUMMYFUNCTION("""COMPUTED_VALUE"""),2.554434957192926)</f>
        <v>2.554434957</v>
      </c>
      <c r="AV1726" s="82">
        <f>IFERROR(__xludf.DUMMYFUNCTION("""COMPUTED_VALUE"""),69.71738823650956)</f>
        <v>69.71738824</v>
      </c>
      <c r="AW1726" s="82">
        <f t="shared" si="1"/>
        <v>4.648028275</v>
      </c>
      <c r="AX1726" s="83">
        <f t="array" ref="AX1726">IFERROR(DGET('SBV Import'!A:G,"SBV",{"RSC ID","Tier";B1726,A1726}))</f>
        <v>63.69450196</v>
      </c>
      <c r="AY1726" s="82">
        <f t="shared" si="2"/>
        <v>3.425578925</v>
      </c>
      <c r="AZ1726" s="82">
        <v>1.222449349157099</v>
      </c>
      <c r="BA1726" s="84">
        <v>1700.0</v>
      </c>
      <c r="BB1726" s="84" t="b">
        <f>IFERROR(__xludf.DUMMYFUNCTION("iferror(if(A1726="""",,E1726&gt;=FILTER(Constants!$F$2:$F$10,Constants!$A$2:$A$10=A1726)))"),TRUE)</f>
        <v>1</v>
      </c>
    </row>
    <row r="1727">
      <c r="A1727" s="89" t="str">
        <f>IFERROR(__xludf.DUMMYFUNCTION("""COMPUTED_VALUE"""),"Rival")</f>
        <v>Rival</v>
      </c>
      <c r="B1727" s="87" t="str">
        <f>IFERROR(__xludf.DUMMYFUNCTION("""COMPUTED_VALUE"""),"RSC007346")</f>
        <v>RSC007346</v>
      </c>
      <c r="C1727" s="73" t="str">
        <f>IFERROR(__xludf.DUMMYFUNCTION("""COMPUTED_VALUE"""),"Mai")</f>
        <v>Mai</v>
      </c>
      <c r="D1727" s="73" t="str">
        <f>IFERROR(__xludf.DUMMYFUNCTION("""COMPUTED_VALUE"""),"Funk Hunks")</f>
        <v>Funk Hunks</v>
      </c>
      <c r="E1727" s="82">
        <f>IFERROR(__xludf.DUMMYFUNCTION("""COMPUTED_VALUE"""),26.0)</f>
        <v>26</v>
      </c>
      <c r="F1727" s="82">
        <f>IFERROR(__xludf.DUMMYFUNCTION("""COMPUTED_VALUE"""),9.0)</f>
        <v>9</v>
      </c>
      <c r="G1727" s="86">
        <f>IFERROR(__xludf.DUMMYFUNCTION("""COMPUTED_VALUE"""),17.0)</f>
        <v>17</v>
      </c>
      <c r="H1727" s="86">
        <f>IFERROR(__xludf.DUMMYFUNCTION("""COMPUTED_VALUE"""),0.34615384615384615)</f>
        <v>0.3461538462</v>
      </c>
      <c r="I1727" s="86">
        <f>IFERROR(__xludf.DUMMYFUNCTION("""COMPUTED_VALUE"""),0.30864197530864196)</f>
        <v>0.3086419753</v>
      </c>
      <c r="J1727" s="82">
        <f>IFERROR(__xludf.DUMMYFUNCTION("""COMPUTED_VALUE"""),426.34615384615387)</f>
        <v>426.3461538</v>
      </c>
      <c r="K1727" s="82">
        <f>IFERROR(__xludf.DUMMYFUNCTION("""COMPUTED_VALUE"""),0.9615384615384616)</f>
        <v>0.9615384615</v>
      </c>
      <c r="L1727" s="82">
        <f>IFERROR(__xludf.DUMMYFUNCTION("""COMPUTED_VALUE"""),0.5)</f>
        <v>0.5</v>
      </c>
      <c r="M1727" s="82">
        <f>IFERROR(__xludf.DUMMYFUNCTION("""COMPUTED_VALUE"""),1.7307692307692308)</f>
        <v>1.730769231</v>
      </c>
      <c r="N1727" s="82">
        <f>IFERROR(__xludf.DUMMYFUNCTION("""COMPUTED_VALUE"""),3.1153846153846154)</f>
        <v>3.115384615</v>
      </c>
      <c r="O1727" s="82">
        <f>IFERROR(__xludf.DUMMYFUNCTION("""COMPUTED_VALUE"""),368.56410256410254)</f>
        <v>368.5641026</v>
      </c>
      <c r="P1727" s="82">
        <f>IFERROR(__xludf.DUMMYFUNCTION("""COMPUTED_VALUE"""),0.9230769230769231)</f>
        <v>0.9230769231</v>
      </c>
      <c r="Q1727" s="82">
        <f>IFERROR(__xludf.DUMMYFUNCTION("""COMPUTED_VALUE"""),0.6282051282051282)</f>
        <v>0.6282051282</v>
      </c>
      <c r="R1727" s="82">
        <f>IFERROR(__xludf.DUMMYFUNCTION("""COMPUTED_VALUE"""),1.333333333333333)</f>
        <v>1.333333333</v>
      </c>
      <c r="S1727" s="82">
        <f>IFERROR(__xludf.DUMMYFUNCTION("""COMPUTED_VALUE"""),2.6410256410256405)</f>
        <v>2.641025641</v>
      </c>
      <c r="T1727" s="82">
        <f>IFERROR(__xludf.DUMMYFUNCTION("""COMPUTED_VALUE"""),350.81255041847993)</f>
        <v>350.8125504</v>
      </c>
      <c r="U1727" s="82">
        <f>IFERROR(__xludf.DUMMYFUNCTION("""COMPUTED_VALUE"""),0.7941065048436845)</f>
        <v>0.7941065048</v>
      </c>
      <c r="V1727" s="82">
        <f>IFERROR(__xludf.DUMMYFUNCTION("""COMPUTED_VALUE"""),0.5843810095412659)</f>
        <v>0.5843810095</v>
      </c>
      <c r="W1727" s="82">
        <f>IFERROR(__xludf.DUMMYFUNCTION("""COMPUTED_VALUE"""),1.382285746067797)</f>
        <v>1.382285746</v>
      </c>
      <c r="X1727" s="82">
        <f>IFERROR(__xludf.DUMMYFUNCTION("""COMPUTED_VALUE"""),2.5896630731566623)</f>
        <v>2.589663073</v>
      </c>
      <c r="Y1727" s="82">
        <f>IFERROR(__xludf.DUMMYFUNCTION("""COMPUTED_VALUE"""),349.63113944460105)</f>
        <v>349.6311394</v>
      </c>
      <c r="Z1727" s="82">
        <f>IFERROR(__xludf.DUMMYFUNCTION("""COMPUTED_VALUE"""),0.778322680406014)</f>
        <v>0.7783226804</v>
      </c>
      <c r="AA1727" s="82">
        <f>IFERROR(__xludf.DUMMYFUNCTION("""COMPUTED_VALUE"""),0.5667951825003109)</f>
        <v>0.5667951825</v>
      </c>
      <c r="AB1727" s="82">
        <f>IFERROR(__xludf.DUMMYFUNCTION("""COMPUTED_VALUE"""),1.3460229684054474)</f>
        <v>1.346022968</v>
      </c>
      <c r="AC1727" s="82">
        <f>IFERROR(__xludf.DUMMYFUNCTION("""COMPUTED_VALUE"""),2.6120159102530898)</f>
        <v>2.61201591</v>
      </c>
      <c r="AD1727" s="82">
        <f>IFERROR(__xludf.DUMMYFUNCTION("""COMPUTED_VALUE"""),1.2194169962189776)</f>
        <v>1.219416996</v>
      </c>
      <c r="AE1727" s="82">
        <f>IFERROR(__xludf.DUMMYFUNCTION("""COMPUTED_VALUE"""),1.2353982297379187)</f>
        <v>1.23539823</v>
      </c>
      <c r="AF1727" s="82">
        <f>IFERROR(__xludf.DUMMYFUNCTION("""COMPUTED_VALUE"""),0.8821528753902663)</f>
        <v>0.8821528754</v>
      </c>
      <c r="AG1727" s="82">
        <f>IFERROR(__xludf.DUMMYFUNCTION("""COMPUTED_VALUE"""),1.2858392994731502)</f>
        <v>1.285839299</v>
      </c>
      <c r="AH1727" s="82">
        <f>IFERROR(__xludf.DUMMYFUNCTION("""COMPUTED_VALUE"""),1.1927127255066192)</f>
        <v>1.192712726</v>
      </c>
      <c r="AI1727" s="82">
        <f>IFERROR(__xludf.DUMMYFUNCTION("""COMPUTED_VALUE"""),1.0506012459487182)</f>
        <v>1.050601246</v>
      </c>
      <c r="AJ1727" s="82">
        <f>IFERROR(__xludf.DUMMYFUNCTION("""COMPUTED_VALUE"""),1.1624094720879106)</f>
        <v>1.162409472</v>
      </c>
      <c r="AK1727" s="82">
        <f>IFERROR(__xludf.DUMMYFUNCTION("""COMPUTED_VALUE"""),1.0749923730380353)</f>
        <v>1.074992373</v>
      </c>
      <c r="AL1727" s="82">
        <f>IFERROR(__xludf.DUMMYFUNCTION("""COMPUTED_VALUE"""),0.9645858948674545)</f>
        <v>0.9645858949</v>
      </c>
      <c r="AM1727" s="82">
        <f>IFERROR(__xludf.DUMMYFUNCTION("""COMPUTED_VALUE"""),1.0198336874018017)</f>
        <v>1.019833687</v>
      </c>
      <c r="AN1727" s="82">
        <f>IFERROR(__xludf.DUMMYFUNCTION("""COMPUTED_VALUE"""),1.257877510558127)</f>
        <v>1.257877511</v>
      </c>
      <c r="AO1727" s="82">
        <f>IFERROR(__xludf.DUMMYFUNCTION("""COMPUTED_VALUE"""),1.3088206359389465)</f>
        <v>1.308820636</v>
      </c>
      <c r="AP1727" s="82">
        <f>IFERROR(__xludf.DUMMYFUNCTION("""COMPUTED_VALUE"""),0.8928190683098591)</f>
        <v>0.8928190683</v>
      </c>
      <c r="AQ1727" s="82">
        <f>IFERROR(__xludf.DUMMYFUNCTION("""COMPUTED_VALUE"""),1.32075914123053)</f>
        <v>1.320759141</v>
      </c>
      <c r="AR1727" s="82">
        <f>IFERROR(__xludf.DUMMYFUNCTION("""COMPUTED_VALUE"""),1.2509848542118462)</f>
        <v>1.250984854</v>
      </c>
      <c r="AS1727" s="82">
        <f>IFERROR(__xludf.DUMMYFUNCTION("""COMPUTED_VALUE"""),59.0)</f>
        <v>59</v>
      </c>
      <c r="AT1727" s="82">
        <f>IFERROR(__xludf.DUMMYFUNCTION("""COMPUTED_VALUE"""),0.42147214630974844)</f>
        <v>0.4214721463</v>
      </c>
      <c r="AU1727" s="82">
        <f>IFERROR(__xludf.DUMMYFUNCTION("""COMPUTED_VALUE"""),2.5457167921381396)</f>
        <v>2.545716792</v>
      </c>
      <c r="AV1727" s="82">
        <f>IFERROR(__xludf.DUMMYFUNCTION("""COMPUTED_VALUE"""),69.4094271693953)</f>
        <v>69.40942717</v>
      </c>
      <c r="AW1727" s="82">
        <f t="shared" si="1"/>
        <v>4.571153053</v>
      </c>
      <c r="AX1727" s="83">
        <f t="array" ref="AX1727">IFERROR(DGET('SBV Import'!A:G,"SBV",{"RSC ID","Tier";B1727,A1727}))</f>
        <v>68.91340644</v>
      </c>
      <c r="AY1727" s="82">
        <f t="shared" si="2"/>
        <v>4.451093961</v>
      </c>
      <c r="AZ1727" s="82">
        <v>0.12005909230950262</v>
      </c>
      <c r="BA1727" s="84">
        <v>1700.0</v>
      </c>
      <c r="BB1727" s="84" t="b">
        <f>IFERROR(__xludf.DUMMYFUNCTION("iferror(if(A1727="""",,E1727&gt;=FILTER(Constants!$F$2:$F$10,Constants!$A$2:$A$10=A1727)))"),TRUE)</f>
        <v>1</v>
      </c>
    </row>
    <row r="1728">
      <c r="A1728" s="89" t="str">
        <f>IFERROR(__xludf.DUMMYFUNCTION("""COMPUTED_VALUE"""),"Rival")</f>
        <v>Rival</v>
      </c>
      <c r="B1728" s="87" t="str">
        <f>IFERROR(__xludf.DUMMYFUNCTION("""COMPUTED_VALUE"""),"RSC004586")</f>
        <v>RSC004586</v>
      </c>
      <c r="C1728" s="73" t="str">
        <f>IFERROR(__xludf.DUMMYFUNCTION("""COMPUTED_VALUE"""),"Jaybeauh")</f>
        <v>Jaybeauh</v>
      </c>
      <c r="D1728" s="73" t="str">
        <f>IFERROR(__xludf.DUMMYFUNCTION("""COMPUTED_VALUE"""),"Ion Imperial")</f>
        <v>Ion Imperial</v>
      </c>
      <c r="E1728" s="82">
        <f>IFERROR(__xludf.DUMMYFUNCTION("""COMPUTED_VALUE"""),22.0)</f>
        <v>22</v>
      </c>
      <c r="F1728" s="82">
        <f>IFERROR(__xludf.DUMMYFUNCTION("""COMPUTED_VALUE"""),13.0)</f>
        <v>13</v>
      </c>
      <c r="G1728" s="86">
        <f>IFERROR(__xludf.DUMMYFUNCTION("""COMPUTED_VALUE"""),9.0)</f>
        <v>9</v>
      </c>
      <c r="H1728" s="86">
        <f>IFERROR(__xludf.DUMMYFUNCTION("""COMPUTED_VALUE"""),0.5909090909090909)</f>
        <v>0.5909090909</v>
      </c>
      <c r="I1728" s="86">
        <f>IFERROR(__xludf.DUMMYFUNCTION("""COMPUTED_VALUE"""),0.27692307692307694)</f>
        <v>0.2769230769</v>
      </c>
      <c r="J1728" s="82">
        <f>IFERROR(__xludf.DUMMYFUNCTION("""COMPUTED_VALUE"""),386.3181818181818)</f>
        <v>386.3181818</v>
      </c>
      <c r="K1728" s="82">
        <f>IFERROR(__xludf.DUMMYFUNCTION("""COMPUTED_VALUE"""),0.8181818181818182)</f>
        <v>0.8181818182</v>
      </c>
      <c r="L1728" s="82">
        <f>IFERROR(__xludf.DUMMYFUNCTION("""COMPUTED_VALUE"""),0.5909090909090909)</f>
        <v>0.5909090909</v>
      </c>
      <c r="M1728" s="82">
        <f>IFERROR(__xludf.DUMMYFUNCTION("""COMPUTED_VALUE"""),1.3636363636363635)</f>
        <v>1.363636364</v>
      </c>
      <c r="N1728" s="82">
        <f>IFERROR(__xludf.DUMMYFUNCTION("""COMPUTED_VALUE"""),2.9545454545454546)</f>
        <v>2.954545455</v>
      </c>
      <c r="O1728" s="82">
        <f>IFERROR(__xludf.DUMMYFUNCTION("""COMPUTED_VALUE"""),342.7272727272727)</f>
        <v>342.7272727</v>
      </c>
      <c r="P1728" s="82">
        <f>IFERROR(__xludf.DUMMYFUNCTION("""COMPUTED_VALUE"""),0.7121212121212122)</f>
        <v>0.7121212121</v>
      </c>
      <c r="Q1728" s="82">
        <f>IFERROR(__xludf.DUMMYFUNCTION("""COMPUTED_VALUE"""),0.4696969696969697)</f>
        <v>0.4696969697</v>
      </c>
      <c r="R1728" s="82">
        <f>IFERROR(__xludf.DUMMYFUNCTION("""COMPUTED_VALUE"""),1.4545454545454546)</f>
        <v>1.454545455</v>
      </c>
      <c r="S1728" s="82">
        <f>IFERROR(__xludf.DUMMYFUNCTION("""COMPUTED_VALUE"""),2.4242424242424243)</f>
        <v>2.424242424</v>
      </c>
      <c r="T1728" s="82">
        <f>IFERROR(__xludf.DUMMYFUNCTION("""COMPUTED_VALUE"""),341.53259893655735)</f>
        <v>341.5325989</v>
      </c>
      <c r="U1728" s="82">
        <f>IFERROR(__xludf.DUMMYFUNCTION("""COMPUTED_VALUE"""),0.7751738069730496)</f>
        <v>0.775173807</v>
      </c>
      <c r="V1728" s="82">
        <f>IFERROR(__xludf.DUMMYFUNCTION("""COMPUTED_VALUE"""),0.4910143090635514)</f>
        <v>0.4910143091</v>
      </c>
      <c r="W1728" s="82">
        <f>IFERROR(__xludf.DUMMYFUNCTION("""COMPUTED_VALUE"""),1.2913127213695395)</f>
        <v>1.291312721</v>
      </c>
      <c r="X1728" s="82">
        <f>IFERROR(__xludf.DUMMYFUNCTION("""COMPUTED_VALUE"""),2.612873983480045)</f>
        <v>2.612873983</v>
      </c>
      <c r="Y1728" s="82">
        <f>IFERROR(__xludf.DUMMYFUNCTION("""COMPUTED_VALUE"""),344.0921432792329)</f>
        <v>344.0921433</v>
      </c>
      <c r="Z1728" s="82">
        <f>IFERROR(__xludf.DUMMYFUNCTION("""COMPUTED_VALUE"""),0.7439430542334584)</f>
        <v>0.7439430542</v>
      </c>
      <c r="AA1728" s="82">
        <f>IFERROR(__xludf.DUMMYFUNCTION("""COMPUTED_VALUE"""),0.5185885441251604)</f>
        <v>0.5185885441</v>
      </c>
      <c r="AB1728" s="82">
        <f>IFERROR(__xludf.DUMMYFUNCTION("""COMPUTED_VALUE"""),1.3317486771085258)</f>
        <v>1.331748677</v>
      </c>
      <c r="AC1728" s="82">
        <f>IFERROR(__xludf.DUMMYFUNCTION("""COMPUTED_VALUE"""),2.4421622324084455)</f>
        <v>2.442162232</v>
      </c>
      <c r="AD1728" s="82">
        <f>IFERROR(__xludf.DUMMYFUNCTION("""COMPUTED_VALUE"""),1.1227172411916484)</f>
        <v>1.122717241</v>
      </c>
      <c r="AE1728" s="82">
        <f>IFERROR(__xludf.DUMMYFUNCTION("""COMPUTED_VALUE"""),1.099790922874942)</f>
        <v>1.099790923</v>
      </c>
      <c r="AF1728" s="82">
        <f>IFERROR(__xludf.DUMMYFUNCTION("""COMPUTED_VALUE"""),1.1394565067107925)</f>
        <v>1.139456507</v>
      </c>
      <c r="AG1728" s="82">
        <f>IFERROR(__xludf.DUMMYFUNCTION("""COMPUTED_VALUE"""),1.023944222416704)</f>
        <v>1.023944222</v>
      </c>
      <c r="AH1728" s="82">
        <f>IFERROR(__xludf.DUMMYFUNCTION("""COMPUTED_VALUE"""),1.20980720090479)</f>
        <v>1.209807201</v>
      </c>
      <c r="AI1728" s="82">
        <f>IFERROR(__xludf.DUMMYFUNCTION("""COMPUTED_VALUE"""),1.00349797880037)</f>
        <v>1.003497979</v>
      </c>
      <c r="AJ1728" s="82">
        <f>IFERROR(__xludf.DUMMYFUNCTION("""COMPUTED_VALUE"""),0.9186600549648996)</f>
        <v>0.918660055</v>
      </c>
      <c r="AK1728" s="82">
        <f>IFERROR(__xludf.DUMMYFUNCTION("""COMPUTED_VALUE"""),0.9565850954379771)</f>
        <v>0.9565850954</v>
      </c>
      <c r="AL1728" s="82">
        <f>IFERROR(__xludf.DUMMYFUNCTION("""COMPUTED_VALUE"""),1.1264083676050165)</f>
        <v>1.126408368</v>
      </c>
      <c r="AM1728" s="82">
        <f>IFERROR(__xludf.DUMMYFUNCTION("""COMPUTED_VALUE"""),0.9278068669096757)</f>
        <v>0.9278068669</v>
      </c>
      <c r="AN1728" s="82">
        <f>IFERROR(__xludf.DUMMYFUNCTION("""COMPUTED_VALUE"""),1.1397803133557698)</f>
        <v>1.139780313</v>
      </c>
      <c r="AO1728" s="82">
        <f>IFERROR(__xludf.DUMMYFUNCTION("""COMPUTED_VALUE"""),1.1136873774898672)</f>
        <v>1.113687377</v>
      </c>
      <c r="AP1728" s="82">
        <f>IFERROR(__xludf.DUMMYFUNCTION("""COMPUTED_VALUE"""),1.0551498080025608)</f>
        <v>1.055149808</v>
      </c>
      <c r="AQ1728" s="82">
        <f>IFERROR(__xludf.DUMMYFUNCTION("""COMPUTED_VALUE"""),1.0405981112725387)</f>
        <v>1.040598111</v>
      </c>
      <c r="AR1728" s="82">
        <f>IFERROR(__xludf.DUMMYFUNCTION("""COMPUTED_VALUE"""),1.1863997775634232)</f>
        <v>1.186399778</v>
      </c>
      <c r="AS1728" s="82">
        <f>IFERROR(__xludf.DUMMYFUNCTION("""COMPUTED_VALUE"""),49.0)</f>
        <v>49</v>
      </c>
      <c r="AT1728" s="82">
        <f>IFERROR(__xludf.DUMMYFUNCTION("""COMPUTED_VALUE"""),0.5158957771972561)</f>
        <v>0.5158957772</v>
      </c>
      <c r="AU1728" s="82">
        <f>IFERROR(__xludf.DUMMYFUNCTION("""COMPUTED_VALUE"""),2.5450451346687277)</f>
        <v>2.545045135</v>
      </c>
      <c r="AV1728" s="82">
        <f>IFERROR(__xludf.DUMMYFUNCTION("""COMPUTED_VALUE"""),69.38570149435755)</f>
        <v>69.38570149</v>
      </c>
      <c r="AW1728" s="82">
        <f t="shared" si="1"/>
        <v>4.565305741</v>
      </c>
      <c r="AX1728" s="83">
        <f t="array" ref="AX1728">IFERROR(DGET('SBV Import'!A:G,"SBV",{"RSC ID","Tier";B1728,A1728}))</f>
        <v>68.05292705</v>
      </c>
      <c r="AY1728" s="82">
        <f t="shared" si="2"/>
        <v>4.253305645</v>
      </c>
      <c r="AZ1728" s="82">
        <v>0.31200009666638717</v>
      </c>
      <c r="BA1728" s="84">
        <v>1700.0</v>
      </c>
      <c r="BB1728" s="84" t="b">
        <f>IFERROR(__xludf.DUMMYFUNCTION("iferror(if(A1728="""",,E1728&gt;=FILTER(Constants!$F$2:$F$10,Constants!$A$2:$A$10=A1728)))"),TRUE)</f>
        <v>1</v>
      </c>
    </row>
    <row r="1729">
      <c r="A1729" s="89" t="str">
        <f>IFERROR(__xludf.DUMMYFUNCTION("""COMPUTED_VALUE"""),"Rival")</f>
        <v>Rival</v>
      </c>
      <c r="B1729" s="87" t="str">
        <f>IFERROR(__xludf.DUMMYFUNCTION("""COMPUTED_VALUE"""),"RSC007555")</f>
        <v>RSC007555</v>
      </c>
      <c r="C1729" s="73" t="str">
        <f>IFERROR(__xludf.DUMMYFUNCTION("""COMPUTED_VALUE"""),"cjAstr0-")</f>
        <v>cjAstr0-</v>
      </c>
      <c r="D1729" s="73" t="str">
        <f>IFERROR(__xludf.DUMMYFUNCTION("""COMPUTED_VALUE"""),"Stolen")</f>
        <v>Stolen</v>
      </c>
      <c r="E1729" s="82">
        <f>IFERROR(__xludf.DUMMYFUNCTION("""COMPUTED_VALUE"""),21.0)</f>
        <v>21</v>
      </c>
      <c r="F1729" s="82">
        <f>IFERROR(__xludf.DUMMYFUNCTION("""COMPUTED_VALUE"""),14.0)</f>
        <v>14</v>
      </c>
      <c r="G1729" s="86">
        <f>IFERROR(__xludf.DUMMYFUNCTION("""COMPUTED_VALUE"""),7.0)</f>
        <v>7</v>
      </c>
      <c r="H1729" s="86">
        <f>IFERROR(__xludf.DUMMYFUNCTION("""COMPUTED_VALUE"""),0.6666666666666666)</f>
        <v>0.6666666667</v>
      </c>
      <c r="I1729" s="86">
        <f>IFERROR(__xludf.DUMMYFUNCTION("""COMPUTED_VALUE"""),0.3114754098360656)</f>
        <v>0.3114754098</v>
      </c>
      <c r="J1729" s="82">
        <f>IFERROR(__xludf.DUMMYFUNCTION("""COMPUTED_VALUE"""),335.76190476190476)</f>
        <v>335.7619048</v>
      </c>
      <c r="K1729" s="82">
        <f>IFERROR(__xludf.DUMMYFUNCTION("""COMPUTED_VALUE"""),0.9047619047619048)</f>
        <v>0.9047619048</v>
      </c>
      <c r="L1729" s="82">
        <f>IFERROR(__xludf.DUMMYFUNCTION("""COMPUTED_VALUE"""),0.6190476190476191)</f>
        <v>0.619047619</v>
      </c>
      <c r="M1729" s="82">
        <f>IFERROR(__xludf.DUMMYFUNCTION("""COMPUTED_VALUE"""),0.7619047619047619)</f>
        <v>0.7619047619</v>
      </c>
      <c r="N1729" s="82">
        <f>IFERROR(__xludf.DUMMYFUNCTION("""COMPUTED_VALUE"""),2.9047619047619047)</f>
        <v>2.904761905</v>
      </c>
      <c r="O1729" s="82">
        <f>IFERROR(__xludf.DUMMYFUNCTION("""COMPUTED_VALUE"""),344.2857142857142)</f>
        <v>344.2857143</v>
      </c>
      <c r="P1729" s="82">
        <f>IFERROR(__xludf.DUMMYFUNCTION("""COMPUTED_VALUE"""),0.6825396825396824)</f>
        <v>0.6825396825</v>
      </c>
      <c r="Q1729" s="82">
        <f>IFERROR(__xludf.DUMMYFUNCTION("""COMPUTED_VALUE"""),0.5238095238095238)</f>
        <v>0.5238095238</v>
      </c>
      <c r="R1729" s="82">
        <f>IFERROR(__xludf.DUMMYFUNCTION("""COMPUTED_VALUE"""),1.4603174603174602)</f>
        <v>1.46031746</v>
      </c>
      <c r="S1729" s="82">
        <f>IFERROR(__xludf.DUMMYFUNCTION("""COMPUTED_VALUE"""),2.301587301587302)</f>
        <v>2.301587302</v>
      </c>
      <c r="T1729" s="82">
        <f>IFERROR(__xludf.DUMMYFUNCTION("""COMPUTED_VALUE"""),351.6950404706176)</f>
        <v>351.6950405</v>
      </c>
      <c r="U1729" s="82">
        <f>IFERROR(__xludf.DUMMYFUNCTION("""COMPUTED_VALUE"""),0.8044042838373139)</f>
        <v>0.8044042838</v>
      </c>
      <c r="V1729" s="82">
        <f>IFERROR(__xludf.DUMMYFUNCTION("""COMPUTED_VALUE"""),0.5974897922404176)</f>
        <v>0.5974897922</v>
      </c>
      <c r="W1729" s="82">
        <f>IFERROR(__xludf.DUMMYFUNCTION("""COMPUTED_VALUE"""),1.3169166535065233)</f>
        <v>1.316916654</v>
      </c>
      <c r="X1729" s="82">
        <f>IFERROR(__xludf.DUMMYFUNCTION("""COMPUTED_VALUE"""),2.615324243005638)</f>
        <v>2.615324243</v>
      </c>
      <c r="Y1729" s="82">
        <f>IFERROR(__xludf.DUMMYFUNCTION("""COMPUTED_VALUE"""),346.43352121950534)</f>
        <v>346.4335212</v>
      </c>
      <c r="Z1729" s="82">
        <f>IFERROR(__xludf.DUMMYFUNCTION("""COMPUTED_VALUE"""),0.7942186660321967)</f>
        <v>0.794218666</v>
      </c>
      <c r="AA1729" s="82">
        <f>IFERROR(__xludf.DUMMYFUNCTION("""COMPUTED_VALUE"""),0.5727491521230468)</f>
        <v>0.5727491521</v>
      </c>
      <c r="AB1729" s="82">
        <f>IFERROR(__xludf.DUMMYFUNCTION("""COMPUTED_VALUE"""),1.3024550739820786)</f>
        <v>1.302455074</v>
      </c>
      <c r="AC1729" s="82">
        <f>IFERROR(__xludf.DUMMYFUNCTION("""COMPUTED_VALUE"""),2.6068584826582613)</f>
        <v>2.606858483</v>
      </c>
      <c r="AD1729" s="82">
        <f>IFERROR(__xludf.DUMMYFUNCTION("""COMPUTED_VALUE"""),0.9691957740693375)</f>
        <v>0.9691957741</v>
      </c>
      <c r="AE1729" s="82">
        <f>IFERROR(__xludf.DUMMYFUNCTION("""COMPUTED_VALUE"""),1.1391848913372513)</f>
        <v>1.139184891</v>
      </c>
      <c r="AF1729" s="82">
        <f>IFERROR(__xludf.DUMMYFUNCTION("""COMPUTED_VALUE"""),1.0808355049552754)</f>
        <v>1.080835505</v>
      </c>
      <c r="AG1729" s="82">
        <f>IFERROR(__xludf.DUMMYFUNCTION("""COMPUTED_VALUE"""),0.584975848399394)</f>
        <v>0.5849758484</v>
      </c>
      <c r="AH1729" s="82">
        <f>IFERROR(__xludf.DUMMYFUNCTION("""COMPUTED_VALUE"""),1.1142767910438567)</f>
        <v>1.114276791</v>
      </c>
      <c r="AI1729" s="82">
        <f>IFERROR(__xludf.DUMMYFUNCTION("""COMPUTED_VALUE"""),0.9789325258184232)</f>
        <v>0.9789325258</v>
      </c>
      <c r="AJ1729" s="82">
        <f>IFERROR(__xludf.DUMMYFUNCTION("""COMPUTED_VALUE"""),0.8485032915087286)</f>
        <v>0.8485032915</v>
      </c>
      <c r="AK1729" s="82">
        <f>IFERROR(__xludf.DUMMYFUNCTION("""COMPUTED_VALUE"""),0.8766836364607776)</f>
        <v>0.8766836365</v>
      </c>
      <c r="AL1729" s="82">
        <f>IFERROR(__xludf.DUMMYFUNCTION("""COMPUTED_VALUE"""),1.1088913306921186)</f>
        <v>1.108891331</v>
      </c>
      <c r="AM1729" s="82">
        <f>IFERROR(__xludf.DUMMYFUNCTION("""COMPUTED_VALUE"""),0.8800389885661838)</f>
        <v>0.8800389886</v>
      </c>
      <c r="AN1729" s="82">
        <f>IFERROR(__xludf.DUMMYFUNCTION("""COMPUTED_VALUE"""),0.9906207552057873)</f>
        <v>0.9906207552</v>
      </c>
      <c r="AO1729" s="82">
        <f>IFERROR(__xludf.DUMMYFUNCTION("""COMPUTED_VALUE"""),1.231537893626361)</f>
        <v>1.231537894</v>
      </c>
      <c r="AP1729" s="82">
        <f>IFERROR(__xludf.DUMMYFUNCTION("""COMPUTED_VALUE"""),1.1053950369550638)</f>
        <v>1.105395037</v>
      </c>
      <c r="AQ1729" s="82">
        <f>IFERROR(__xludf.DUMMYFUNCTION("""COMPUTED_VALUE"""),0.5814135478856088)</f>
        <v>0.5814135479</v>
      </c>
      <c r="AR1729" s="82">
        <f>IFERROR(__xludf.DUMMYFUNCTION("""COMPUTED_VALUE"""),1.166409158600816)</f>
        <v>1.166409159</v>
      </c>
      <c r="AS1729" s="82">
        <f>IFERROR(__xludf.DUMMYFUNCTION("""COMPUTED_VALUE"""),46.0)</f>
        <v>46</v>
      </c>
      <c r="AT1729" s="82">
        <f>IFERROR(__xludf.DUMMYFUNCTION("""COMPUTED_VALUE"""),0.5254968745185759)</f>
        <v>0.5254968745</v>
      </c>
      <c r="AU1729" s="82">
        <f>IFERROR(__xludf.DUMMYFUNCTION("""COMPUTED_VALUE"""),2.5248766258440876)</f>
        <v>2.524876626</v>
      </c>
      <c r="AV1729" s="82">
        <f>IFERROR(__xludf.DUMMYFUNCTION("""COMPUTED_VALUE"""),68.67326768968557)</f>
        <v>68.67326769</v>
      </c>
      <c r="AW1729" s="82">
        <f t="shared" si="1"/>
        <v>4.394586505</v>
      </c>
      <c r="AX1729" s="83">
        <f t="array" ref="AX1729">IFERROR(DGET('SBV Import'!A:G,"SBV",{"RSC ID","Tier";B1729,A1729}))</f>
        <v>55.46918147</v>
      </c>
      <c r="AY1729" s="82">
        <f t="shared" si="2"/>
        <v>2.418872958</v>
      </c>
      <c r="AZ1729" s="82">
        <v>1.9757135469655411</v>
      </c>
      <c r="BA1729" s="84">
        <v>1700.0</v>
      </c>
      <c r="BB1729" s="84" t="b">
        <f>IFERROR(__xludf.DUMMYFUNCTION("iferror(if(A1729="""",,E1729&gt;=FILTER(Constants!$F$2:$F$10,Constants!$A$2:$A$10=A1729)))"),TRUE)</f>
        <v>1</v>
      </c>
    </row>
    <row r="1730">
      <c r="A1730" s="89" t="str">
        <f>IFERROR(__xludf.DUMMYFUNCTION("""COMPUTED_VALUE"""),"Rival")</f>
        <v>Rival</v>
      </c>
      <c r="B1730" s="87" t="str">
        <f>IFERROR(__xludf.DUMMYFUNCTION("""COMPUTED_VALUE"""),"RSC005287")</f>
        <v>RSC005287</v>
      </c>
      <c r="C1730" s="73" t="str">
        <f>IFERROR(__xludf.DUMMYFUNCTION("""COMPUTED_VALUE"""),"the chosen one")</f>
        <v>the chosen one</v>
      </c>
      <c r="D1730" s="73" t="str">
        <f>IFERROR(__xludf.DUMMYFUNCTION("""COMPUTED_VALUE"""),"Asiago Arsonists")</f>
        <v>Asiago Arsonists</v>
      </c>
      <c r="E1730" s="82">
        <f>IFERROR(__xludf.DUMMYFUNCTION("""COMPUTED_VALUE"""),36.0)</f>
        <v>36</v>
      </c>
      <c r="F1730" s="82">
        <f>IFERROR(__xludf.DUMMYFUNCTION("""COMPUTED_VALUE"""),18.0)</f>
        <v>18</v>
      </c>
      <c r="G1730" s="86">
        <f>IFERROR(__xludf.DUMMYFUNCTION("""COMPUTED_VALUE"""),18.0)</f>
        <v>18</v>
      </c>
      <c r="H1730" s="86">
        <f>IFERROR(__xludf.DUMMYFUNCTION("""COMPUTED_VALUE"""),0.5)</f>
        <v>0.5</v>
      </c>
      <c r="I1730" s="86">
        <f>IFERROR(__xludf.DUMMYFUNCTION("""COMPUTED_VALUE"""),0.2727272727272727)</f>
        <v>0.2727272727</v>
      </c>
      <c r="J1730" s="82">
        <f>IFERROR(__xludf.DUMMYFUNCTION("""COMPUTED_VALUE"""),412.8333333333333)</f>
        <v>412.8333333</v>
      </c>
      <c r="K1730" s="82">
        <f>IFERROR(__xludf.DUMMYFUNCTION("""COMPUTED_VALUE"""),0.75)</f>
        <v>0.75</v>
      </c>
      <c r="L1730" s="82">
        <f>IFERROR(__xludf.DUMMYFUNCTION("""COMPUTED_VALUE"""),0.7222222222222222)</f>
        <v>0.7222222222</v>
      </c>
      <c r="M1730" s="82">
        <f>IFERROR(__xludf.DUMMYFUNCTION("""COMPUTED_VALUE"""),1.4722222222222223)</f>
        <v>1.472222222</v>
      </c>
      <c r="N1730" s="82">
        <f>IFERROR(__xludf.DUMMYFUNCTION("""COMPUTED_VALUE"""),2.75)</f>
        <v>2.75</v>
      </c>
      <c r="O1730" s="82">
        <f>IFERROR(__xludf.DUMMYFUNCTION("""COMPUTED_VALUE"""),324.6944444444444)</f>
        <v>324.6944444</v>
      </c>
      <c r="P1730" s="82">
        <f>IFERROR(__xludf.DUMMYFUNCTION("""COMPUTED_VALUE"""),0.6666666666666666)</f>
        <v>0.6666666667</v>
      </c>
      <c r="Q1730" s="82">
        <f>IFERROR(__xludf.DUMMYFUNCTION("""COMPUTED_VALUE"""),0.5092592592592593)</f>
        <v>0.5092592593</v>
      </c>
      <c r="R1730" s="82">
        <f>IFERROR(__xludf.DUMMYFUNCTION("""COMPUTED_VALUE"""),1.1851851851851853)</f>
        <v>1.185185185</v>
      </c>
      <c r="S1730" s="82">
        <f>IFERROR(__xludf.DUMMYFUNCTION("""COMPUTED_VALUE"""),2.2314814814814814)</f>
        <v>2.231481481</v>
      </c>
      <c r="T1730" s="82">
        <f>IFERROR(__xludf.DUMMYFUNCTION("""COMPUTED_VALUE"""),335.3573369127331)</f>
        <v>335.3573369</v>
      </c>
      <c r="U1730" s="82">
        <f>IFERROR(__xludf.DUMMYFUNCTION("""COMPUTED_VALUE"""),0.7014150702892157)</f>
        <v>0.7014150703</v>
      </c>
      <c r="V1730" s="82">
        <f>IFERROR(__xludf.DUMMYFUNCTION("""COMPUTED_VALUE"""),0.5374234365525402)</f>
        <v>0.5374234366</v>
      </c>
      <c r="W1730" s="82">
        <f>IFERROR(__xludf.DUMMYFUNCTION("""COMPUTED_VALUE"""),1.2902452125646295)</f>
        <v>1.290245213</v>
      </c>
      <c r="X1730" s="82">
        <f>IFERROR(__xludf.DUMMYFUNCTION("""COMPUTED_VALUE"""),2.4768222042032235)</f>
        <v>2.476822204</v>
      </c>
      <c r="Y1730" s="82">
        <f>IFERROR(__xludf.DUMMYFUNCTION("""COMPUTED_VALUE"""),355.1299872698557)</f>
        <v>355.1299873</v>
      </c>
      <c r="Z1730" s="82">
        <f>IFERROR(__xludf.DUMMYFUNCTION("""COMPUTED_VALUE"""),0.8180726961066841)</f>
        <v>0.8180726961</v>
      </c>
      <c r="AA1730" s="82">
        <f>IFERROR(__xludf.DUMMYFUNCTION("""COMPUTED_VALUE"""),0.5832260087001782)</f>
        <v>0.5832260087</v>
      </c>
      <c r="AB1730" s="82">
        <f>IFERROR(__xludf.DUMMYFUNCTION("""COMPUTED_VALUE"""),1.3273369638580743)</f>
        <v>1.327336964</v>
      </c>
      <c r="AC1730" s="82">
        <f>IFERROR(__xludf.DUMMYFUNCTION("""COMPUTED_VALUE"""),2.580283085442258)</f>
        <v>2.580283085</v>
      </c>
      <c r="AD1730" s="82">
        <f>IFERROR(__xludf.DUMMYFUNCTION("""COMPUTED_VALUE"""),1.162485141024236)</f>
        <v>1.162485141</v>
      </c>
      <c r="AE1730" s="82">
        <f>IFERROR(__xludf.DUMMYFUNCTION("""COMPUTED_VALUE"""),0.9167889401141842)</f>
        <v>0.9167889401</v>
      </c>
      <c r="AF1730" s="82">
        <f>IFERROR(__xludf.DUMMYFUNCTION("""COMPUTED_VALUE"""),1.238323071071233)</f>
        <v>1.238323071</v>
      </c>
      <c r="AG1730" s="82">
        <f>IFERROR(__xludf.DUMMYFUNCTION("""COMPUTED_VALUE"""),1.1091548433511718)</f>
        <v>1.109154843</v>
      </c>
      <c r="AH1730" s="82">
        <f>IFERROR(__xludf.DUMMYFUNCTION("""COMPUTED_VALUE"""),1.0657745328469077)</f>
        <v>1.065774533</v>
      </c>
      <c r="AI1730" s="82">
        <f>IFERROR(__xludf.DUMMYFUNCTION("""COMPUTED_VALUE"""),0.9682043859053443)</f>
        <v>0.9682043859</v>
      </c>
      <c r="AJ1730" s="82">
        <f>IFERROR(__xludf.DUMMYFUNCTION("""COMPUTED_VALUE"""),0.9504595708098755)</f>
        <v>0.9504595708</v>
      </c>
      <c r="AK1730" s="82">
        <f>IFERROR(__xludf.DUMMYFUNCTION("""COMPUTED_VALUE"""),0.9475940657259976)</f>
        <v>0.9475940657</v>
      </c>
      <c r="AL1730" s="82">
        <f>IFERROR(__xludf.DUMMYFUNCTION("""COMPUTED_VALUE"""),0.9185735964324055)</f>
        <v>0.9185735964</v>
      </c>
      <c r="AM1730" s="82">
        <f>IFERROR(__xludf.DUMMYFUNCTION("""COMPUTED_VALUE"""),0.9009453636577573)</f>
        <v>0.9009453637</v>
      </c>
      <c r="AN1730" s="82">
        <f>IFERROR(__xludf.DUMMYFUNCTION("""COMPUTED_VALUE"""),1.218009734400308)</f>
        <v>1.218009734</v>
      </c>
      <c r="AO1730" s="82">
        <f>IFERROR(__xludf.DUMMYFUNCTION("""COMPUTED_VALUE"""),1.020880096032378)</f>
        <v>1.020880096</v>
      </c>
      <c r="AP1730" s="82">
        <f>IFERROR(__xludf.DUMMYFUNCTION("""COMPUTED_VALUE"""),1.289627543114241)</f>
        <v>1.289627543</v>
      </c>
      <c r="AQ1730" s="82">
        <f>IFERROR(__xludf.DUMMYFUNCTION("""COMPUTED_VALUE"""),1.123460553466463)</f>
        <v>1.123460553</v>
      </c>
      <c r="AR1730" s="82">
        <f>IFERROR(__xludf.DUMMYFUNCTION("""COMPUTED_VALUE"""),1.104264408347494)</f>
        <v>1.104264408</v>
      </c>
      <c r="AS1730" s="82">
        <f>IFERROR(__xludf.DUMMYFUNCTION("""COMPUTED_VALUE"""),81.0)</f>
        <v>81</v>
      </c>
      <c r="AT1730" s="82">
        <f>IFERROR(__xludf.DUMMYFUNCTION("""COMPUTED_VALUE"""),0.5444857051749716)</f>
        <v>0.5444857052</v>
      </c>
      <c r="AU1730" s="82">
        <f>IFERROR(__xludf.DUMMYFUNCTION("""COMPUTED_VALUE"""),2.498042843022825)</f>
        <v>2.498042843</v>
      </c>
      <c r="AV1730" s="82">
        <f>IFERROR(__xludf.DUMMYFUNCTION("""COMPUTED_VALUE"""),67.72538928403281)</f>
        <v>67.72538928</v>
      </c>
      <c r="AW1730" s="82">
        <f t="shared" si="1"/>
        <v>4.181346556</v>
      </c>
      <c r="AX1730" s="83">
        <f t="array" ref="AX1730">IFERROR(DGET('SBV Import'!A:G,"SBV",{"RSC ID","Tier";B1730,A1730}))</f>
        <v>87.14173322</v>
      </c>
      <c r="AY1730" s="82">
        <f t="shared" si="2"/>
        <v>14.55957922</v>
      </c>
      <c r="AZ1730" s="82">
        <v>10.37823266433971</v>
      </c>
      <c r="BA1730" s="84">
        <v>1700.0</v>
      </c>
      <c r="BB1730" s="84" t="b">
        <f>IFERROR(__xludf.DUMMYFUNCTION("iferror(if(A1730="""",,E1730&gt;=FILTER(Constants!$F$2:$F$10,Constants!$A$2:$A$10=A1730)))"),TRUE)</f>
        <v>1</v>
      </c>
    </row>
    <row r="1731">
      <c r="A1731" s="89" t="str">
        <f>IFERROR(__xludf.DUMMYFUNCTION("""COMPUTED_VALUE"""),"Rival")</f>
        <v>Rival</v>
      </c>
      <c r="B1731" s="87" t="str">
        <f>IFERROR(__xludf.DUMMYFUNCTION("""COMPUTED_VALUE"""),"RSC000190")</f>
        <v>RSC000190</v>
      </c>
      <c r="C1731" s="73" t="str">
        <f>IFERROR(__xludf.DUMMYFUNCTION("""COMPUTED_VALUE"""),"leaf.")</f>
        <v>leaf.</v>
      </c>
      <c r="D1731" s="73" t="str">
        <f>IFERROR(__xludf.DUMMYFUNCTION("""COMPUTED_VALUE"""),"Hue Heroes")</f>
        <v>Hue Heroes</v>
      </c>
      <c r="E1731" s="82">
        <f>IFERROR(__xludf.DUMMYFUNCTION("""COMPUTED_VALUE"""),26.0)</f>
        <v>26</v>
      </c>
      <c r="F1731" s="82">
        <f>IFERROR(__xludf.DUMMYFUNCTION("""COMPUTED_VALUE"""),14.0)</f>
        <v>14</v>
      </c>
      <c r="G1731" s="86">
        <f>IFERROR(__xludf.DUMMYFUNCTION("""COMPUTED_VALUE"""),12.0)</f>
        <v>12</v>
      </c>
      <c r="H1731" s="86">
        <f>IFERROR(__xludf.DUMMYFUNCTION("""COMPUTED_VALUE"""),0.5384615384615384)</f>
        <v>0.5384615385</v>
      </c>
      <c r="I1731" s="86">
        <f>IFERROR(__xludf.DUMMYFUNCTION("""COMPUTED_VALUE"""),0.3733333333333333)</f>
        <v>0.3733333333</v>
      </c>
      <c r="J1731" s="82">
        <f>IFERROR(__xludf.DUMMYFUNCTION("""COMPUTED_VALUE"""),376.96153846153845)</f>
        <v>376.9615385</v>
      </c>
      <c r="K1731" s="82">
        <f>IFERROR(__xludf.DUMMYFUNCTION("""COMPUTED_VALUE"""),1.0769230769230769)</f>
        <v>1.076923077</v>
      </c>
      <c r="L1731" s="82">
        <f>IFERROR(__xludf.DUMMYFUNCTION("""COMPUTED_VALUE"""),0.5)</f>
        <v>0.5</v>
      </c>
      <c r="M1731" s="82">
        <f>IFERROR(__xludf.DUMMYFUNCTION("""COMPUTED_VALUE"""),1.3846153846153846)</f>
        <v>1.384615385</v>
      </c>
      <c r="N1731" s="82">
        <f>IFERROR(__xludf.DUMMYFUNCTION("""COMPUTED_VALUE"""),2.8846153846153846)</f>
        <v>2.884615385</v>
      </c>
      <c r="O1731" s="82">
        <f>IFERROR(__xludf.DUMMYFUNCTION("""COMPUTED_VALUE"""),338.34615384615387)</f>
        <v>338.3461538</v>
      </c>
      <c r="P1731" s="82">
        <f>IFERROR(__xludf.DUMMYFUNCTION("""COMPUTED_VALUE"""),0.7435897435897435)</f>
        <v>0.7435897436</v>
      </c>
      <c r="Q1731" s="82">
        <f>IFERROR(__xludf.DUMMYFUNCTION("""COMPUTED_VALUE"""),0.5128205128205127)</f>
        <v>0.5128205128</v>
      </c>
      <c r="R1731" s="82">
        <f>IFERROR(__xludf.DUMMYFUNCTION("""COMPUTED_VALUE"""),1.2435897435897434)</f>
        <v>1.243589744</v>
      </c>
      <c r="S1731" s="82">
        <f>IFERROR(__xludf.DUMMYFUNCTION("""COMPUTED_VALUE"""),2.525641025641025)</f>
        <v>2.525641026</v>
      </c>
      <c r="T1731" s="82">
        <f>IFERROR(__xludf.DUMMYFUNCTION("""COMPUTED_VALUE"""),341.03988306735357)</f>
        <v>341.0398831</v>
      </c>
      <c r="U1731" s="82">
        <f>IFERROR(__xludf.DUMMYFUNCTION("""COMPUTED_VALUE"""),0.7144884307834973)</f>
        <v>0.7144884308</v>
      </c>
      <c r="V1731" s="82">
        <f>IFERROR(__xludf.DUMMYFUNCTION("""COMPUTED_VALUE"""),0.4789234600119873)</f>
        <v>0.47892346</v>
      </c>
      <c r="W1731" s="82">
        <f>IFERROR(__xludf.DUMMYFUNCTION("""COMPUTED_VALUE"""),1.3782328174752638)</f>
        <v>1.378232817</v>
      </c>
      <c r="X1731" s="82">
        <f>IFERROR(__xludf.DUMMYFUNCTION("""COMPUTED_VALUE"""),2.4446849513007747)</f>
        <v>2.444684951</v>
      </c>
      <c r="Y1731" s="82">
        <f>IFERROR(__xludf.DUMMYFUNCTION("""COMPUTED_VALUE"""),355.4883154157013)</f>
        <v>355.4883154</v>
      </c>
      <c r="Z1731" s="82">
        <f>IFERROR(__xludf.DUMMYFUNCTION("""COMPUTED_VALUE"""),0.815231589996831)</f>
        <v>0.81523159</v>
      </c>
      <c r="AA1731" s="82">
        <f>IFERROR(__xludf.DUMMYFUNCTION("""COMPUTED_VALUE"""),0.6052312006035308)</f>
        <v>0.6052312006</v>
      </c>
      <c r="AB1731" s="82">
        <f>IFERROR(__xludf.DUMMYFUNCTION("""COMPUTED_VALUE"""),1.277726240063855)</f>
        <v>1.27772624</v>
      </c>
      <c r="AC1731" s="82">
        <f>IFERROR(__xludf.DUMMYFUNCTION("""COMPUTED_VALUE"""),2.6719432647971066)</f>
        <v>2.671943265</v>
      </c>
      <c r="AD1731" s="82">
        <f>IFERROR(__xludf.DUMMYFUNCTION("""COMPUTED_VALUE"""),1.06040486315486)</f>
        <v>1.060404863</v>
      </c>
      <c r="AE1731" s="82">
        <f>IFERROR(__xludf.DUMMYFUNCTION("""COMPUTED_VALUE"""),1.3210026330398497)</f>
        <v>1.321002633</v>
      </c>
      <c r="AF1731" s="82">
        <f>IFERROR(__xludf.DUMMYFUNCTION("""COMPUTED_VALUE"""),0.8261305753923539)</f>
        <v>0.8261305754</v>
      </c>
      <c r="AG1731" s="82">
        <f>IFERROR(__xludf.DUMMYFUNCTION("""COMPUTED_VALUE"""),1.0836557481563405)</f>
        <v>1.083655748</v>
      </c>
      <c r="AH1731" s="82">
        <f>IFERROR(__xludf.DUMMYFUNCTION("""COMPUTED_VALUE"""),1.079594549263166)</f>
        <v>1.079594549</v>
      </c>
      <c r="AI1731" s="82">
        <f>IFERROR(__xludf.DUMMYFUNCTION("""COMPUTED_VALUE"""),0.9921014246281931)</f>
        <v>0.9921014246</v>
      </c>
      <c r="AJ1731" s="82">
        <f>IFERROR(__xludf.DUMMYFUNCTION("""COMPUTED_VALUE"""),1.040730278549555)</f>
        <v>1.040730279</v>
      </c>
      <c r="AK1731" s="82">
        <f>IFERROR(__xludf.DUMMYFUNCTION("""COMPUTED_VALUE"""),1.0707775994261732)</f>
        <v>1.070777599</v>
      </c>
      <c r="AL1731" s="82">
        <f>IFERROR(__xludf.DUMMYFUNCTION("""COMPUTED_VALUE"""),0.9023074532993864)</f>
        <v>0.9023074533</v>
      </c>
      <c r="AM1731" s="82">
        <f>IFERROR(__xludf.DUMMYFUNCTION("""COMPUTED_VALUE"""),1.0331151358776005)</f>
        <v>1.033115136</v>
      </c>
      <c r="AN1731" s="82">
        <f>IFERROR(__xludf.DUMMYFUNCTION("""COMPUTED_VALUE"""),1.1121747840306904)</f>
        <v>1.112174784</v>
      </c>
      <c r="AO1731" s="82">
        <f>IFERROR(__xludf.DUMMYFUNCTION("""COMPUTED_VALUE"""),1.46587911225162)</f>
        <v>1.465879112</v>
      </c>
      <c r="AP1731" s="82">
        <f>IFERROR(__xludf.DUMMYFUNCTION("""COMPUTED_VALUE"""),0.8928190683098591)</f>
        <v>0.8928190683</v>
      </c>
      <c r="AQ1731" s="82">
        <f>IFERROR(__xludf.DUMMYFUNCTION("""COMPUTED_VALUE"""),1.0566073129844238)</f>
        <v>1.056607313</v>
      </c>
      <c r="AR1731" s="82">
        <f>IFERROR(__xludf.DUMMYFUNCTION("""COMPUTED_VALUE"""),1.1583193094554132)</f>
        <v>1.158319309</v>
      </c>
      <c r="AS1731" s="82">
        <f>IFERROR(__xludf.DUMMYFUNCTION("""COMPUTED_VALUE"""),69.0)</f>
        <v>69</v>
      </c>
      <c r="AT1731" s="82">
        <f>IFERROR(__xludf.DUMMYFUNCTION("""COMPUTED_VALUE"""),0.5680208282457416)</f>
        <v>0.5680208282</v>
      </c>
      <c r="AU1731" s="82">
        <f>IFERROR(__xludf.DUMMYFUNCTION("""COMPUTED_VALUE"""),2.4954625155385033)</f>
        <v>2.495462516</v>
      </c>
      <c r="AV1731" s="82">
        <f>IFERROR(__xludf.DUMMYFUNCTION("""COMPUTED_VALUE"""),67.63424161699712)</f>
        <v>67.63424162</v>
      </c>
      <c r="AW1731" s="82">
        <f t="shared" si="1"/>
        <v>4.161636141</v>
      </c>
      <c r="AX1731" s="83">
        <f t="array" ref="AX1731">IFERROR(DGET('SBV Import'!A:G,"SBV",{"RSC ID","Tier";B1731,A1731}))</f>
        <v>58.36318258</v>
      </c>
      <c r="AY1731" s="82">
        <f t="shared" si="2"/>
        <v>2.710094333</v>
      </c>
      <c r="AZ1731" s="82">
        <v>1.4515418072660284</v>
      </c>
      <c r="BA1731" s="84">
        <v>1700.0</v>
      </c>
      <c r="BB1731" s="84" t="b">
        <f>IFERROR(__xludf.DUMMYFUNCTION("iferror(if(A1731="""",,E1731&gt;=FILTER(Constants!$F$2:$F$10,Constants!$A$2:$A$10=A1731)))"),TRUE)</f>
        <v>1</v>
      </c>
    </row>
    <row r="1732">
      <c r="A1732" s="89" t="str">
        <f>IFERROR(__xludf.DUMMYFUNCTION("""COMPUTED_VALUE"""),"Rival")</f>
        <v>Rival</v>
      </c>
      <c r="B1732" s="87" t="str">
        <f>IFERROR(__xludf.DUMMYFUNCTION("""COMPUTED_VALUE"""),"RSC005455")</f>
        <v>RSC005455</v>
      </c>
      <c r="C1732" s="73" t="str">
        <f>IFERROR(__xludf.DUMMYFUNCTION("""COMPUTED_VALUE"""),"Covi")</f>
        <v>Covi</v>
      </c>
      <c r="D1732" s="73" t="str">
        <f>IFERROR(__xludf.DUMMYFUNCTION("""COMPUTED_VALUE"""),"Hammerheads")</f>
        <v>Hammerheads</v>
      </c>
      <c r="E1732" s="82">
        <f>IFERROR(__xludf.DUMMYFUNCTION("""COMPUTED_VALUE"""),8.0)</f>
        <v>8</v>
      </c>
      <c r="F1732" s="82">
        <f>IFERROR(__xludf.DUMMYFUNCTION("""COMPUTED_VALUE"""),4.0)</f>
        <v>4</v>
      </c>
      <c r="G1732" s="86">
        <f>IFERROR(__xludf.DUMMYFUNCTION("""COMPUTED_VALUE"""),4.0)</f>
        <v>4</v>
      </c>
      <c r="H1732" s="86">
        <f>IFERROR(__xludf.DUMMYFUNCTION("""COMPUTED_VALUE"""),0.5)</f>
        <v>0.5</v>
      </c>
      <c r="I1732" s="86">
        <f>IFERROR(__xludf.DUMMYFUNCTION("""COMPUTED_VALUE"""),0.3448275862068966)</f>
        <v>0.3448275862</v>
      </c>
      <c r="J1732" s="82">
        <f>IFERROR(__xludf.DUMMYFUNCTION("""COMPUTED_VALUE"""),355.125)</f>
        <v>355.125</v>
      </c>
      <c r="K1732" s="82">
        <f>IFERROR(__xludf.DUMMYFUNCTION("""COMPUTED_VALUE"""),1.25)</f>
        <v>1.25</v>
      </c>
      <c r="L1732" s="82">
        <f>IFERROR(__xludf.DUMMYFUNCTION("""COMPUTED_VALUE"""),0.25)</f>
        <v>0.25</v>
      </c>
      <c r="M1732" s="82">
        <f>IFERROR(__xludf.DUMMYFUNCTION("""COMPUTED_VALUE"""),1.125)</f>
        <v>1.125</v>
      </c>
      <c r="N1732" s="82">
        <f>IFERROR(__xludf.DUMMYFUNCTION("""COMPUTED_VALUE"""),3.625)</f>
        <v>3.625</v>
      </c>
      <c r="O1732" s="82">
        <f>IFERROR(__xludf.DUMMYFUNCTION("""COMPUTED_VALUE"""),349.0416666666667)</f>
        <v>349.0416667</v>
      </c>
      <c r="P1732" s="82">
        <f>IFERROR(__xludf.DUMMYFUNCTION("""COMPUTED_VALUE"""),0.7083333333333334)</f>
        <v>0.7083333333</v>
      </c>
      <c r="Q1732" s="82">
        <f>IFERROR(__xludf.DUMMYFUNCTION("""COMPUTED_VALUE"""),0.5833333333333333)</f>
        <v>0.5833333333</v>
      </c>
      <c r="R1732" s="82">
        <f>IFERROR(__xludf.DUMMYFUNCTION("""COMPUTED_VALUE"""),1.7916666666666667)</f>
        <v>1.791666667</v>
      </c>
      <c r="S1732" s="82">
        <f>IFERROR(__xludf.DUMMYFUNCTION("""COMPUTED_VALUE"""),2.8333333333333335)</f>
        <v>2.833333333</v>
      </c>
      <c r="T1732" s="82">
        <f>IFERROR(__xludf.DUMMYFUNCTION("""COMPUTED_VALUE"""),328.22832841185834)</f>
        <v>328.2283284</v>
      </c>
      <c r="U1732" s="82">
        <f>IFERROR(__xludf.DUMMYFUNCTION("""COMPUTED_VALUE"""),0.7151478663502258)</f>
        <v>0.7151478664</v>
      </c>
      <c r="V1732" s="82">
        <f>IFERROR(__xludf.DUMMYFUNCTION("""COMPUTED_VALUE"""),0.486064884147915)</f>
        <v>0.4860648841</v>
      </c>
      <c r="W1732" s="82">
        <f>IFERROR(__xludf.DUMMYFUNCTION("""COMPUTED_VALUE"""),1.3574615827054575)</f>
        <v>1.357461583</v>
      </c>
      <c r="X1732" s="82">
        <f>IFERROR(__xludf.DUMMYFUNCTION("""COMPUTED_VALUE"""),2.4657407084244656)</f>
        <v>2.465740708</v>
      </c>
      <c r="Y1732" s="82">
        <f>IFERROR(__xludf.DUMMYFUNCTION("""COMPUTED_VALUE"""),364.72969229823246)</f>
        <v>364.7296923</v>
      </c>
      <c r="Z1732" s="82">
        <f>IFERROR(__xludf.DUMMYFUNCTION("""COMPUTED_VALUE"""),0.8673826939763873)</f>
        <v>0.867382694</v>
      </c>
      <c r="AA1732" s="82">
        <f>IFERROR(__xludf.DUMMYFUNCTION("""COMPUTED_VALUE"""),0.6140784870083873)</f>
        <v>0.614078487</v>
      </c>
      <c r="AB1732" s="82">
        <f>IFERROR(__xludf.DUMMYFUNCTION("""COMPUTED_VALUE"""),1.404622141067241)</f>
        <v>1.404622141</v>
      </c>
      <c r="AC1732" s="82">
        <f>IFERROR(__xludf.DUMMYFUNCTION("""COMPUTED_VALUE"""),2.74356455892867)</f>
        <v>2.743564559</v>
      </c>
      <c r="AD1732" s="82">
        <f>IFERROR(__xludf.DUMMYFUNCTION("""COMPUTED_VALUE"""),0.9736662725820006)</f>
        <v>0.9736662726</v>
      </c>
      <c r="AE1732" s="82">
        <f>IFERROR(__xludf.DUMMYFUNCTION("""COMPUTED_VALUE"""),1.441117062492405)</f>
        <v>1.441117062</v>
      </c>
      <c r="AF1732" s="82">
        <f>IFERROR(__xludf.DUMMYFUNCTION("""COMPUTED_VALUE"""),0.40711408279082967)</f>
        <v>0.4071140828</v>
      </c>
      <c r="AG1732" s="82">
        <f>IFERROR(__xludf.DUMMYFUNCTION("""COMPUTED_VALUE"""),0.8009271441109548)</f>
        <v>0.8009271441</v>
      </c>
      <c r="AH1732" s="82">
        <f>IFERROR(__xludf.DUMMYFUNCTION("""COMPUTED_VALUE"""),1.3212738108176758)</f>
        <v>1.321273811</v>
      </c>
      <c r="AI1732" s="82">
        <f>IFERROR(__xludf.DUMMYFUNCTION("""COMPUTED_VALUE"""),1.0634111575789764)</f>
        <v>1.063411158</v>
      </c>
      <c r="AJ1732" s="82">
        <f>IFERROR(__xludf.DUMMYFUNCTION("""COMPUTED_VALUE"""),0.9904711552148362)</f>
        <v>0.9904711552</v>
      </c>
      <c r="AK1732" s="82">
        <f>IFERROR(__xludf.DUMMYFUNCTION("""COMPUTED_VALUE"""),1.200114125413385)</f>
        <v>1.200114125</v>
      </c>
      <c r="AL1732" s="82">
        <f>IFERROR(__xludf.DUMMYFUNCTION("""COMPUTED_VALUE"""),1.319865467644268)</f>
        <v>1.319865468</v>
      </c>
      <c r="AM1732" s="82">
        <f>IFERROR(__xludf.DUMMYFUNCTION("""COMPUTED_VALUE"""),1.1490800000393182)</f>
        <v>1.14908</v>
      </c>
      <c r="AN1732" s="82">
        <f>IFERROR(__xludf.DUMMYFUNCTION("""COMPUTED_VALUE"""),1.047748987312659)</f>
        <v>1.047748987</v>
      </c>
      <c r="AO1732" s="82">
        <f>IFERROR(__xludf.DUMMYFUNCTION("""COMPUTED_VALUE"""),1.7014668267206303)</f>
        <v>1.701466827</v>
      </c>
      <c r="AP1732" s="82">
        <f>IFERROR(__xludf.DUMMYFUNCTION("""COMPUTED_VALUE"""),0.44640953415492957)</f>
        <v>0.4464095342</v>
      </c>
      <c r="AQ1732" s="82">
        <f>IFERROR(__xludf.DUMMYFUNCTION("""COMPUTED_VALUE"""),0.8584934417998443)</f>
        <v>0.8584934418</v>
      </c>
      <c r="AR1732" s="82">
        <f>IFERROR(__xludf.DUMMYFUNCTION("""COMPUTED_VALUE"""),1.455621265548969)</f>
        <v>1.455621266</v>
      </c>
      <c r="AS1732" s="82">
        <f>IFERROR(__xludf.DUMMYFUNCTION("""COMPUTED_VALUE"""),20.0)</f>
        <v>20</v>
      </c>
      <c r="AT1732" s="82">
        <f>IFERROR(__xludf.DUMMYFUNCTION("""COMPUTED_VALUE"""),0.5627244863633817)</f>
        <v>0.5627244864</v>
      </c>
      <c r="AU1732" s="82">
        <f>IFERROR(__xludf.DUMMYFUNCTION("""COMPUTED_VALUE"""),2.4910192049116877)</f>
        <v>2.491019205</v>
      </c>
      <c r="AV1732" s="82">
        <f>IFERROR(__xludf.DUMMYFUNCTION("""COMPUTED_VALUE"""),67.47728580421366)</f>
        <v>67.4772858</v>
      </c>
      <c r="AW1732" s="82">
        <f t="shared" si="1"/>
        <v>4.128010492</v>
      </c>
      <c r="AX1732" s="83">
        <f t="array" ref="AX1732">IFERROR(DGET('SBV Import'!A:G,"SBV",{"RSC ID","Tier";B1732,A1732}))</f>
        <v>41.80844199</v>
      </c>
      <c r="AY1732" s="82">
        <f t="shared" si="2"/>
        <v>-2.691185173</v>
      </c>
      <c r="AZ1732" s="82">
        <v>6.819195665057629</v>
      </c>
      <c r="BA1732" s="84">
        <v>1700.0</v>
      </c>
      <c r="BB1732" s="84" t="b">
        <f>IFERROR(__xludf.DUMMYFUNCTION("iferror(if(A1732="""",,E1732&gt;=FILTER(Constants!$F$2:$F$10,Constants!$A$2:$A$10=A1732)))"),TRUE)</f>
        <v>1</v>
      </c>
    </row>
    <row r="1733">
      <c r="A1733" s="89" t="str">
        <f>IFERROR(__xludf.DUMMYFUNCTION("""COMPUTED_VALUE"""),"Rival")</f>
        <v>Rival</v>
      </c>
      <c r="B1733" s="87" t="str">
        <f>IFERROR(__xludf.DUMMYFUNCTION("""COMPUTED_VALUE"""),"RSC005828")</f>
        <v>RSC005828</v>
      </c>
      <c r="C1733" s="73" t="str">
        <f>IFERROR(__xludf.DUMMYFUNCTION("""COMPUTED_VALUE"""),"Creme")</f>
        <v>Creme</v>
      </c>
      <c r="D1733" s="73" t="str">
        <f>IFERROR(__xludf.DUMMYFUNCTION("""COMPUTED_VALUE"""),"Bulldozers")</f>
        <v>Bulldozers</v>
      </c>
      <c r="E1733" s="82">
        <f>IFERROR(__xludf.DUMMYFUNCTION("""COMPUTED_VALUE"""),34.0)</f>
        <v>34</v>
      </c>
      <c r="F1733" s="82">
        <f>IFERROR(__xludf.DUMMYFUNCTION("""COMPUTED_VALUE"""),27.0)</f>
        <v>27</v>
      </c>
      <c r="G1733" s="86">
        <f>IFERROR(__xludf.DUMMYFUNCTION("""COMPUTED_VALUE"""),7.0)</f>
        <v>7</v>
      </c>
      <c r="H1733" s="86">
        <f>IFERROR(__xludf.DUMMYFUNCTION("""COMPUTED_VALUE"""),0.7941176470588235)</f>
        <v>0.7941176471</v>
      </c>
      <c r="I1733" s="86">
        <f>IFERROR(__xludf.DUMMYFUNCTION("""COMPUTED_VALUE"""),0.35555555555555557)</f>
        <v>0.3555555556</v>
      </c>
      <c r="J1733" s="82">
        <f>IFERROR(__xludf.DUMMYFUNCTION("""COMPUTED_VALUE"""),374.47058823529414)</f>
        <v>374.4705882</v>
      </c>
      <c r="K1733" s="82">
        <f>IFERROR(__xludf.DUMMYFUNCTION("""COMPUTED_VALUE"""),0.9411764705882353)</f>
        <v>0.9411764706</v>
      </c>
      <c r="L1733" s="82">
        <f>IFERROR(__xludf.DUMMYFUNCTION("""COMPUTED_VALUE"""),0.6470588235294118)</f>
        <v>0.6470588235</v>
      </c>
      <c r="M1733" s="82">
        <f>IFERROR(__xludf.DUMMYFUNCTION("""COMPUTED_VALUE"""),1.6176470588235294)</f>
        <v>1.617647059</v>
      </c>
      <c r="N1733" s="82">
        <f>IFERROR(__xludf.DUMMYFUNCTION("""COMPUTED_VALUE"""),2.6470588235294117)</f>
        <v>2.647058824</v>
      </c>
      <c r="O1733" s="82">
        <f>IFERROR(__xludf.DUMMYFUNCTION("""COMPUTED_VALUE"""),323.41176470588243)</f>
        <v>323.4117647</v>
      </c>
      <c r="P1733" s="82">
        <f>IFERROR(__xludf.DUMMYFUNCTION("""COMPUTED_VALUE"""),0.6176470588235292)</f>
        <v>0.6176470588</v>
      </c>
      <c r="Q1733" s="82">
        <f>IFERROR(__xludf.DUMMYFUNCTION("""COMPUTED_VALUE"""),0.47058823529411775)</f>
        <v>0.4705882353</v>
      </c>
      <c r="R1733" s="82">
        <f>IFERROR(__xludf.DUMMYFUNCTION("""COMPUTED_VALUE"""),1.3333333333333333)</f>
        <v>1.333333333</v>
      </c>
      <c r="S1733" s="82">
        <f>IFERROR(__xludf.DUMMYFUNCTION("""COMPUTED_VALUE"""),2.715686274509803)</f>
        <v>2.715686275</v>
      </c>
      <c r="T1733" s="82">
        <f>IFERROR(__xludf.DUMMYFUNCTION("""COMPUTED_VALUE"""),344.0609490659956)</f>
        <v>344.0609491</v>
      </c>
      <c r="U1733" s="82">
        <f>IFERROR(__xludf.DUMMYFUNCTION("""COMPUTED_VALUE"""),0.7355444350295652)</f>
        <v>0.735544435</v>
      </c>
      <c r="V1733" s="82">
        <f>IFERROR(__xludf.DUMMYFUNCTION("""COMPUTED_VALUE"""),0.5620289282233928)</f>
        <v>0.5620289282</v>
      </c>
      <c r="W1733" s="82">
        <f>IFERROR(__xludf.DUMMYFUNCTION("""COMPUTED_VALUE"""),1.3233045254693079)</f>
        <v>1.323304525</v>
      </c>
      <c r="X1733" s="82">
        <f>IFERROR(__xludf.DUMMYFUNCTION("""COMPUTED_VALUE"""),2.5153709956341967)</f>
        <v>2.515370996</v>
      </c>
      <c r="Y1733" s="82">
        <f>IFERROR(__xludf.DUMMYFUNCTION("""COMPUTED_VALUE"""),363.150779426148)</f>
        <v>363.1507794</v>
      </c>
      <c r="Z1733" s="82">
        <f>IFERROR(__xludf.DUMMYFUNCTION("""COMPUTED_VALUE"""),0.8690549886513811)</f>
        <v>0.8690549887</v>
      </c>
      <c r="AA1733" s="82">
        <f>IFERROR(__xludf.DUMMYFUNCTION("""COMPUTED_VALUE"""),0.6412712868170595)</f>
        <v>0.6412712868</v>
      </c>
      <c r="AB1733" s="82">
        <f>IFERROR(__xludf.DUMMYFUNCTION("""COMPUTED_VALUE"""),1.3219149064013456)</f>
        <v>1.321914906</v>
      </c>
      <c r="AC1733" s="82">
        <f>IFERROR(__xludf.DUMMYFUNCTION("""COMPUTED_VALUE"""),2.6750814225008055)</f>
        <v>2.675081423</v>
      </c>
      <c r="AD1733" s="82">
        <f>IFERROR(__xludf.DUMMYFUNCTION("""COMPUTED_VALUE"""),1.0311710987569234)</f>
        <v>1.031171099</v>
      </c>
      <c r="AE1733" s="82">
        <f>IFERROR(__xludf.DUMMYFUNCTION("""COMPUTED_VALUE"""),1.0829883987534252)</f>
        <v>1.082988399</v>
      </c>
      <c r="AF1733" s="82">
        <f>IFERROR(__xludf.DUMMYFUNCTION("""COMPUTED_VALUE"""),1.0090250987863165)</f>
        <v>1.009025099</v>
      </c>
      <c r="AG1733" s="82">
        <f>IFERROR(__xludf.DUMMYFUNCTION("""COMPUTED_VALUE"""),1.223714969087728)</f>
        <v>1.223714969</v>
      </c>
      <c r="AH1733" s="82">
        <f>IFERROR(__xludf.DUMMYFUNCTION("""COMPUTED_VALUE"""),0.9895245809209063)</f>
        <v>0.9895245809</v>
      </c>
      <c r="AI1733" s="82">
        <f>IFERROR(__xludf.DUMMYFUNCTION("""COMPUTED_VALUE"""),0.939983934776183)</f>
        <v>0.9399839348</v>
      </c>
      <c r="AJ1733" s="82">
        <f>IFERROR(__xludf.DUMMYFUNCTION("""COMPUTED_VALUE"""),0.8397141347398038)</f>
        <v>0.8397141347</v>
      </c>
      <c r="AK1733" s="82">
        <f>IFERROR(__xludf.DUMMYFUNCTION("""COMPUTED_VALUE"""),0.8373025153379123)</f>
        <v>0.8373025153</v>
      </c>
      <c r="AL1733" s="82">
        <f>IFERROR(__xludf.DUMMYFUNCTION("""COMPUTED_VALUE"""),1.0075786092097498)</f>
        <v>1.007578609</v>
      </c>
      <c r="AM1733" s="82">
        <f>IFERROR(__xludf.DUMMYFUNCTION("""COMPUTED_VALUE"""),1.0796364747877285)</f>
        <v>1.079636475</v>
      </c>
      <c r="AN1733" s="82">
        <f>IFERROR(__xludf.DUMMYFUNCTION("""COMPUTED_VALUE"""),1.10482556734081)</f>
        <v>1.104825567</v>
      </c>
      <c r="AO1733" s="82">
        <f>IFERROR(__xludf.DUMMYFUNCTION("""COMPUTED_VALUE"""),1.2811044342367097)</f>
        <v>1.281104434</v>
      </c>
      <c r="AP1733" s="82">
        <f>IFERROR(__xludf.DUMMYFUNCTION("""COMPUTED_VALUE"""),1.155412911930406)</f>
        <v>1.155412912</v>
      </c>
      <c r="AQ1733" s="82">
        <f>IFERROR(__xludf.DUMMYFUNCTION("""COMPUTED_VALUE"""),1.2344350143527174)</f>
        <v>1.234435014</v>
      </c>
      <c r="AR1733" s="82">
        <f>IFERROR(__xludf.DUMMYFUNCTION("""COMPUTED_VALUE"""),1.0629283075002613)</f>
        <v>1.062928308</v>
      </c>
      <c r="AS1733" s="82">
        <f>IFERROR(__xludf.DUMMYFUNCTION("""COMPUTED_VALUE"""),110.0)</f>
        <v>110</v>
      </c>
      <c r="AT1733" s="82">
        <f>IFERROR(__xludf.DUMMYFUNCTION("""COMPUTED_VALUE"""),0.7086869886638542)</f>
        <v>0.7086869887</v>
      </c>
      <c r="AU1733" s="82">
        <f>IFERROR(__xludf.DUMMYFUNCTION("""COMPUTED_VALUE"""),2.4797743098967526)</f>
        <v>2.47977431</v>
      </c>
      <c r="AV1733" s="82">
        <f>IFERROR(__xludf.DUMMYFUNCTION("""COMPUTED_VALUE"""),67.08007035272527)</f>
        <v>67.08007035</v>
      </c>
      <c r="AW1733" s="82">
        <f t="shared" si="1"/>
        <v>4.044663646</v>
      </c>
      <c r="AX1733" s="83">
        <f t="array" ref="AX1733">IFERROR(DGET('SBV Import'!A:G,"SBV",{"RSC ID","Tier";B1733,A1733}))</f>
        <v>47.23367019</v>
      </c>
      <c r="AY1733" s="82">
        <f t="shared" si="2"/>
        <v>-2.193243709</v>
      </c>
      <c r="AZ1733" s="82">
        <v>6.2379073549230615</v>
      </c>
      <c r="BA1733" s="84">
        <v>1700.0</v>
      </c>
      <c r="BB1733" s="84" t="b">
        <f>IFERROR(__xludf.DUMMYFUNCTION("iferror(if(A1733="""",,E1733&gt;=FILTER(Constants!$F$2:$F$10,Constants!$A$2:$A$10=A1733)))"),TRUE)</f>
        <v>1</v>
      </c>
    </row>
    <row r="1734">
      <c r="A1734" s="89" t="str">
        <f>IFERROR(__xludf.DUMMYFUNCTION("""COMPUTED_VALUE"""),"Rival")</f>
        <v>Rival</v>
      </c>
      <c r="B1734" s="87" t="str">
        <f>IFERROR(__xludf.DUMMYFUNCTION("""COMPUTED_VALUE"""),"RSC004665")</f>
        <v>RSC004665</v>
      </c>
      <c r="C1734" s="73" t="str">
        <f>IFERROR(__xludf.DUMMYFUNCTION("""COMPUTED_VALUE"""),"xPrism")</f>
        <v>xPrism</v>
      </c>
      <c r="D1734" s="73" t="str">
        <f>IFERROR(__xludf.DUMMYFUNCTION("""COMPUTED_VALUE"""),"Polar Ice")</f>
        <v>Polar Ice</v>
      </c>
      <c r="E1734" s="82">
        <f>IFERROR(__xludf.DUMMYFUNCTION("""COMPUTED_VALUE"""),32.0)</f>
        <v>32</v>
      </c>
      <c r="F1734" s="82">
        <f>IFERROR(__xludf.DUMMYFUNCTION("""COMPUTED_VALUE"""),16.0)</f>
        <v>16</v>
      </c>
      <c r="G1734" s="86">
        <f>IFERROR(__xludf.DUMMYFUNCTION("""COMPUTED_VALUE"""),16.0)</f>
        <v>16</v>
      </c>
      <c r="H1734" s="86">
        <f>IFERROR(__xludf.DUMMYFUNCTION("""COMPUTED_VALUE"""),0.5)</f>
        <v>0.5</v>
      </c>
      <c r="I1734" s="86">
        <f>IFERROR(__xludf.DUMMYFUNCTION("""COMPUTED_VALUE"""),0.3068181818181818)</f>
        <v>0.3068181818</v>
      </c>
      <c r="J1734" s="82">
        <f>IFERROR(__xludf.DUMMYFUNCTION("""COMPUTED_VALUE"""),377.5625)</f>
        <v>377.5625</v>
      </c>
      <c r="K1734" s="82">
        <f>IFERROR(__xludf.DUMMYFUNCTION("""COMPUTED_VALUE"""),0.84375)</f>
        <v>0.84375</v>
      </c>
      <c r="L1734" s="82">
        <f>IFERROR(__xludf.DUMMYFUNCTION("""COMPUTED_VALUE"""),0.71875)</f>
        <v>0.71875</v>
      </c>
      <c r="M1734" s="82">
        <f>IFERROR(__xludf.DUMMYFUNCTION("""COMPUTED_VALUE"""),1.28125)</f>
        <v>1.28125</v>
      </c>
      <c r="N1734" s="82">
        <f>IFERROR(__xludf.DUMMYFUNCTION("""COMPUTED_VALUE"""),2.75)</f>
        <v>2.75</v>
      </c>
      <c r="O1734" s="82">
        <f>IFERROR(__xludf.DUMMYFUNCTION("""COMPUTED_VALUE"""),360.53125000000006)</f>
        <v>360.53125</v>
      </c>
      <c r="P1734" s="82">
        <f>IFERROR(__xludf.DUMMYFUNCTION("""COMPUTED_VALUE"""),0.7916666666666665)</f>
        <v>0.7916666667</v>
      </c>
      <c r="Q1734" s="82">
        <f>IFERROR(__xludf.DUMMYFUNCTION("""COMPUTED_VALUE"""),0.5208333333333333)</f>
        <v>0.5208333333</v>
      </c>
      <c r="R1734" s="82">
        <f>IFERROR(__xludf.DUMMYFUNCTION("""COMPUTED_VALUE"""),1.4270833333333337)</f>
        <v>1.427083333</v>
      </c>
      <c r="S1734" s="82">
        <f>IFERROR(__xludf.DUMMYFUNCTION("""COMPUTED_VALUE"""),2.6249999999999996)</f>
        <v>2.625</v>
      </c>
      <c r="T1734" s="82">
        <f>IFERROR(__xludf.DUMMYFUNCTION("""COMPUTED_VALUE"""),343.7687470042892)</f>
        <v>343.768747</v>
      </c>
      <c r="U1734" s="82">
        <f>IFERROR(__xludf.DUMMYFUNCTION("""COMPUTED_VALUE"""),0.7602020494483733)</f>
        <v>0.7602020494</v>
      </c>
      <c r="V1734" s="82">
        <f>IFERROR(__xludf.DUMMYFUNCTION("""COMPUTED_VALUE"""),0.5202914727225391)</f>
        <v>0.5202914727</v>
      </c>
      <c r="W1734" s="82">
        <f>IFERROR(__xludf.DUMMYFUNCTION("""COMPUTED_VALUE"""),1.3093717525496016)</f>
        <v>1.309371753</v>
      </c>
      <c r="X1734" s="82">
        <f>IFERROR(__xludf.DUMMYFUNCTION("""COMPUTED_VALUE"""),2.5279862449301778)</f>
        <v>2.527986245</v>
      </c>
      <c r="Y1734" s="82">
        <f>IFERROR(__xludf.DUMMYFUNCTION("""COMPUTED_VALUE"""),347.87184162750253)</f>
        <v>347.8718416</v>
      </c>
      <c r="Z1734" s="82">
        <f>IFERROR(__xludf.DUMMYFUNCTION("""COMPUTED_VALUE"""),0.781068023383434)</f>
        <v>0.7810680234</v>
      </c>
      <c r="AA1734" s="82">
        <f>IFERROR(__xludf.DUMMYFUNCTION("""COMPUTED_VALUE"""),0.5668936800592747)</f>
        <v>0.5668936801</v>
      </c>
      <c r="AB1734" s="82">
        <f>IFERROR(__xludf.DUMMYFUNCTION("""COMPUTED_VALUE"""),1.3076626147658623)</f>
        <v>1.307662615</v>
      </c>
      <c r="AC1734" s="82">
        <f>IFERROR(__xludf.DUMMYFUNCTION("""COMPUTED_VALUE"""),2.558439481242025)</f>
        <v>2.558439481</v>
      </c>
      <c r="AD1734" s="82">
        <f>IFERROR(__xludf.DUMMYFUNCTION("""COMPUTED_VALUE"""),1.0853494155594516)</f>
        <v>1.085349416</v>
      </c>
      <c r="AE1734" s="82">
        <f>IFERROR(__xludf.DUMMYFUNCTION("""COMPUTED_VALUE"""),1.0802516230853236)</f>
        <v>1.080251623</v>
      </c>
      <c r="AF1734" s="82">
        <f>IFERROR(__xludf.DUMMYFUNCTION("""COMPUTED_VALUE"""),1.267874427396769)</f>
        <v>1.267874427</v>
      </c>
      <c r="AG1734" s="82">
        <f>IFERROR(__xludf.DUMMYFUNCTION("""COMPUTED_VALUE"""),0.9798016594895225)</f>
        <v>0.9798016595</v>
      </c>
      <c r="AH1734" s="82">
        <f>IFERROR(__xludf.DUMMYFUNCTION("""COMPUTED_VALUE"""),1.0748739691372258)</f>
        <v>1.074873969</v>
      </c>
      <c r="AI1734" s="82">
        <f>IFERROR(__xludf.DUMMYFUNCTION("""COMPUTED_VALUE"""),1.0487609858132383)</f>
        <v>1.048760986</v>
      </c>
      <c r="AJ1734" s="82">
        <f>IFERROR(__xludf.DUMMYFUNCTION("""COMPUTED_VALUE"""),1.0413898084609545)</f>
        <v>1.041389808</v>
      </c>
      <c r="AK1734" s="82">
        <f>IFERROR(__xludf.DUMMYFUNCTION("""COMPUTED_VALUE"""),1.0010414558746443)</f>
        <v>1.001041456</v>
      </c>
      <c r="AL1734" s="82">
        <f>IFERROR(__xludf.DUMMYFUNCTION("""COMPUTED_VALUE"""),1.0898992822737505)</f>
        <v>1.089899282</v>
      </c>
      <c r="AM1734" s="82">
        <f>IFERROR(__xludf.DUMMYFUNCTION("""COMPUTED_VALUE"""),1.0383759030589588)</f>
        <v>1.038375903</v>
      </c>
      <c r="AN1734" s="82">
        <f>IFERROR(__xludf.DUMMYFUNCTION("""COMPUTED_VALUE"""),1.1139478409637054)</f>
        <v>1.113947841</v>
      </c>
      <c r="AO1734" s="82">
        <f>IFERROR(__xludf.DUMMYFUNCTION("""COMPUTED_VALUE"""),1.1484901080364254)</f>
        <v>1.148490108</v>
      </c>
      <c r="AP1734" s="82">
        <f>IFERROR(__xludf.DUMMYFUNCTION("""COMPUTED_VALUE"""),1.2834274106954224)</f>
        <v>1.283427411</v>
      </c>
      <c r="AQ1734" s="82">
        <f>IFERROR(__xludf.DUMMYFUNCTION("""COMPUTED_VALUE"""),0.9777286420498228)</f>
        <v>0.977728642</v>
      </c>
      <c r="AR1734" s="82">
        <f>IFERROR(__xludf.DUMMYFUNCTION("""COMPUTED_VALUE"""),1.104264408347494)</f>
        <v>1.104264408</v>
      </c>
      <c r="AS1734" s="82">
        <f>IFERROR(__xludf.DUMMYFUNCTION("""COMPUTED_VALUE"""),82.0)</f>
        <v>82</v>
      </c>
      <c r="AT1734" s="82">
        <f>IFERROR(__xludf.DUMMYFUNCTION("""COMPUTED_VALUE"""),0.5300045745359011)</f>
        <v>0.5300045745</v>
      </c>
      <c r="AU1734" s="82">
        <f>IFERROR(__xludf.DUMMYFUNCTION("""COMPUTED_VALUE"""),2.465511386187101)</f>
        <v>2.465511386</v>
      </c>
      <c r="AV1734" s="82">
        <f>IFERROR(__xludf.DUMMYFUNCTION("""COMPUTED_VALUE"""),66.57624584628488)</f>
        <v>66.57624585</v>
      </c>
      <c r="AW1734" s="82">
        <f t="shared" si="1"/>
        <v>3.942450953</v>
      </c>
      <c r="AX1734" s="83">
        <f t="array" ref="AX1734">IFERROR(DGET('SBV Import'!A:G,"SBV",{"RSC ID","Tier";B1734,A1734}))</f>
        <v>55.59967699</v>
      </c>
      <c r="AY1734" s="82">
        <f t="shared" si="2"/>
        <v>2.430820795</v>
      </c>
      <c r="AZ1734" s="82">
        <v>1.5116301586443925</v>
      </c>
      <c r="BA1734" s="84">
        <v>1700.0</v>
      </c>
      <c r="BB1734" s="84" t="b">
        <f>IFERROR(__xludf.DUMMYFUNCTION("iferror(if(A1734="""",,E1734&gt;=FILTER(Constants!$F$2:$F$10,Constants!$A$2:$A$10=A1734)))"),TRUE)</f>
        <v>1</v>
      </c>
    </row>
    <row r="1735">
      <c r="A1735" s="89" t="str">
        <f>IFERROR(__xludf.DUMMYFUNCTION("""COMPUTED_VALUE"""),"Rival")</f>
        <v>Rival</v>
      </c>
      <c r="B1735" s="87" t="str">
        <f>IFERROR(__xludf.DUMMYFUNCTION("""COMPUTED_VALUE"""),"RSC003239")</f>
        <v>RSC003239</v>
      </c>
      <c r="C1735" s="73" t="str">
        <f>IFERROR(__xludf.DUMMYFUNCTION("""COMPUTED_VALUE"""),"Wallaby Gangsta")</f>
        <v>Wallaby Gangsta</v>
      </c>
      <c r="D1735" s="73" t="str">
        <f>IFERROR(__xludf.DUMMYFUNCTION("""COMPUTED_VALUE"""),"Polar Bears")</f>
        <v>Polar Bears</v>
      </c>
      <c r="E1735" s="82">
        <f>IFERROR(__xludf.DUMMYFUNCTION("""COMPUTED_VALUE"""),36.0)</f>
        <v>36</v>
      </c>
      <c r="F1735" s="82">
        <f>IFERROR(__xludf.DUMMYFUNCTION("""COMPUTED_VALUE"""),14.0)</f>
        <v>14</v>
      </c>
      <c r="G1735" s="86">
        <f>IFERROR(__xludf.DUMMYFUNCTION("""COMPUTED_VALUE"""),22.0)</f>
        <v>22</v>
      </c>
      <c r="H1735" s="86">
        <f>IFERROR(__xludf.DUMMYFUNCTION("""COMPUTED_VALUE"""),0.3888888888888889)</f>
        <v>0.3888888889</v>
      </c>
      <c r="I1735" s="86">
        <f>IFERROR(__xludf.DUMMYFUNCTION("""COMPUTED_VALUE"""),0.30208333333333337)</f>
        <v>0.3020833333</v>
      </c>
      <c r="J1735" s="82">
        <f>IFERROR(__xludf.DUMMYFUNCTION("""COMPUTED_VALUE"""),344.6111111111111)</f>
        <v>344.6111111</v>
      </c>
      <c r="K1735" s="82">
        <f>IFERROR(__xludf.DUMMYFUNCTION("""COMPUTED_VALUE"""),0.8055555555555556)</f>
        <v>0.8055555556</v>
      </c>
      <c r="L1735" s="82">
        <f>IFERROR(__xludf.DUMMYFUNCTION("""COMPUTED_VALUE"""),0.75)</f>
        <v>0.75</v>
      </c>
      <c r="M1735" s="82">
        <f>IFERROR(__xludf.DUMMYFUNCTION("""COMPUTED_VALUE"""),1.0277777777777777)</f>
        <v>1.027777778</v>
      </c>
      <c r="N1735" s="82">
        <f>IFERROR(__xludf.DUMMYFUNCTION("""COMPUTED_VALUE"""),2.6666666666666665)</f>
        <v>2.666666667</v>
      </c>
      <c r="O1735" s="82">
        <f>IFERROR(__xludf.DUMMYFUNCTION("""COMPUTED_VALUE"""),370.3425925925925)</f>
        <v>370.3425926</v>
      </c>
      <c r="P1735" s="82">
        <f>IFERROR(__xludf.DUMMYFUNCTION("""COMPUTED_VALUE"""),0.8981481481481483)</f>
        <v>0.8981481481</v>
      </c>
      <c r="Q1735" s="82">
        <f>IFERROR(__xludf.DUMMYFUNCTION("""COMPUTED_VALUE"""),0.6574074074074074)</f>
        <v>0.6574074074</v>
      </c>
      <c r="R1735" s="82">
        <f>IFERROR(__xludf.DUMMYFUNCTION("""COMPUTED_VALUE"""),1.351851851851852)</f>
        <v>1.351851852</v>
      </c>
      <c r="S1735" s="82">
        <f>IFERROR(__xludf.DUMMYFUNCTION("""COMPUTED_VALUE"""),2.546296296296296)</f>
        <v>2.546296296</v>
      </c>
      <c r="T1735" s="82">
        <f>IFERROR(__xludf.DUMMYFUNCTION("""COMPUTED_VALUE"""),356.55846201719305)</f>
        <v>356.558462</v>
      </c>
      <c r="U1735" s="82">
        <f>IFERROR(__xludf.DUMMYFUNCTION("""COMPUTED_VALUE"""),0.8219120918556841)</f>
        <v>0.8219120919</v>
      </c>
      <c r="V1735" s="82">
        <f>IFERROR(__xludf.DUMMYFUNCTION("""COMPUTED_VALUE"""),0.6020148954286922)</f>
        <v>0.6020148954</v>
      </c>
      <c r="W1735" s="82">
        <f>IFERROR(__xludf.DUMMYFUNCTION("""COMPUTED_VALUE"""),1.3086039643254634)</f>
        <v>1.308603964</v>
      </c>
      <c r="X1735" s="82">
        <f>IFERROR(__xludf.DUMMYFUNCTION("""COMPUTED_VALUE"""),2.5880771196723216)</f>
        <v>2.58807712</v>
      </c>
      <c r="Y1735" s="82">
        <f>IFERROR(__xludf.DUMMYFUNCTION("""COMPUTED_VALUE"""),334.5911337743442)</f>
        <v>334.5911338</v>
      </c>
      <c r="Z1735" s="82">
        <f>IFERROR(__xludf.DUMMYFUNCTION("""COMPUTED_VALUE"""),0.7056675015037127)</f>
        <v>0.7056675015</v>
      </c>
      <c r="AA1735" s="82">
        <f>IFERROR(__xludf.DUMMYFUNCTION("""COMPUTED_VALUE"""),0.5199638567606272)</f>
        <v>0.5199638568</v>
      </c>
      <c r="AB1735" s="82">
        <f>IFERROR(__xludf.DUMMYFUNCTION("""COMPUTED_VALUE"""),1.276545286502958)</f>
        <v>1.276545287</v>
      </c>
      <c r="AC1735" s="82">
        <f>IFERROR(__xludf.DUMMYFUNCTION("""COMPUTED_VALUE"""),2.455570668974632)</f>
        <v>2.455570669</v>
      </c>
      <c r="AD1735" s="82">
        <f>IFERROR(__xludf.DUMMYFUNCTION("""COMPUTED_VALUE"""),1.029946930224172)</f>
        <v>1.02994693</v>
      </c>
      <c r="AE1735" s="82">
        <f>IFERROR(__xludf.DUMMYFUNCTION("""COMPUTED_VALUE"""),1.1415511609065043)</f>
        <v>1.141551161</v>
      </c>
      <c r="AF1735" s="82">
        <f>IFERROR(__xludf.DUMMYFUNCTION("""COMPUTED_VALUE"""),1.4424079486456947)</f>
        <v>1.442407949</v>
      </c>
      <c r="AG1735" s="82">
        <f>IFERROR(__xludf.DUMMYFUNCTION("""COMPUTED_VALUE"""),0.8051244155961998)</f>
        <v>0.8051244156</v>
      </c>
      <c r="AH1735" s="82">
        <f>IFERROR(__xludf.DUMMYFUNCTION("""COMPUTED_VALUE"""),1.0859661667893197)</f>
        <v>1.085966167</v>
      </c>
      <c r="AI1735" s="82">
        <f>IFERROR(__xludf.DUMMYFUNCTION("""COMPUTED_VALUE"""),1.038658823289222)</f>
        <v>1.038658823</v>
      </c>
      <c r="AJ1735" s="82">
        <f>IFERROR(__xludf.DUMMYFUNCTION("""COMPUTED_VALUE"""),1.0927545135883583)</f>
        <v>1.092754514</v>
      </c>
      <c r="AK1735" s="82">
        <f>IFERROR(__xludf.DUMMYFUNCTION("""COMPUTED_VALUE"""),1.0920118628281954)</f>
        <v>1.092011863</v>
      </c>
      <c r="AL1735" s="82">
        <f>IFERROR(__xludf.DUMMYFUNCTION("""COMPUTED_VALUE"""),1.0330488739950296)</f>
        <v>1.033048874</v>
      </c>
      <c r="AM1735" s="82">
        <f>IFERROR(__xludf.DUMMYFUNCTION("""COMPUTED_VALUE"""),0.9838564225700833)</f>
        <v>0.9838564226</v>
      </c>
      <c r="AN1735" s="82">
        <f>IFERROR(__xludf.DUMMYFUNCTION("""COMPUTED_VALUE"""),1.0167291592632366)</f>
        <v>1.016729159</v>
      </c>
      <c r="AO1735" s="82">
        <f>IFERROR(__xludf.DUMMYFUNCTION("""COMPUTED_VALUE"""),1.0965008438866284)</f>
        <v>1.096500844</v>
      </c>
      <c r="AP1735" s="82">
        <f>IFERROR(__xludf.DUMMYFUNCTION("""COMPUTED_VALUE"""),1.3392286024647886)</f>
        <v>1.339228602</v>
      </c>
      <c r="AQ1735" s="82">
        <f>IFERROR(__xludf.DUMMYFUNCTION("""COMPUTED_VALUE"""),0.784302650533191)</f>
        <v>0.7843026505</v>
      </c>
      <c r="AR1735" s="82">
        <f>IFERROR(__xludf.DUMMYFUNCTION("""COMPUTED_VALUE"""),1.070801850518782)</f>
        <v>1.070801851</v>
      </c>
      <c r="AS1735" s="82">
        <f>IFERROR(__xludf.DUMMYFUNCTION("""COMPUTED_VALUE"""),85.0)</f>
        <v>85</v>
      </c>
      <c r="AT1735" s="82">
        <f>IFERROR(__xludf.DUMMYFUNCTION("""COMPUTED_VALUE"""),0.4476283546234581)</f>
        <v>0.4476283546</v>
      </c>
      <c r="AU1735" s="82">
        <f>IFERROR(__xludf.DUMMYFUNCTION("""COMPUTED_VALUE"""),2.427572973746625)</f>
        <v>2.427572974</v>
      </c>
      <c r="AV1735" s="82">
        <f>IFERROR(__xludf.DUMMYFUNCTION("""COMPUTED_VALUE"""),65.23610673371144)</f>
        <v>65.23610673</v>
      </c>
      <c r="AW1735" s="82">
        <f t="shared" si="1"/>
        <v>3.688471666</v>
      </c>
      <c r="AX1735" s="83">
        <f t="array" ref="AX1735">IFERROR(DGET('SBV Import'!A:G,"SBV",{"RSC ID","Tier";B1735,A1735}))</f>
        <v>57.86303845</v>
      </c>
      <c r="AY1735" s="82">
        <f t="shared" si="2"/>
        <v>2.655601798</v>
      </c>
      <c r="AZ1735" s="82">
        <v>1.0328698685807352</v>
      </c>
      <c r="BA1735" s="84">
        <v>1700.0</v>
      </c>
      <c r="BB1735" s="84" t="b">
        <f>IFERROR(__xludf.DUMMYFUNCTION("iferror(if(A1735="""",,E1735&gt;=FILTER(Constants!$F$2:$F$10,Constants!$A$2:$A$10=A1735)))"),TRUE)</f>
        <v>1</v>
      </c>
    </row>
    <row r="1736">
      <c r="A1736" s="89" t="str">
        <f>IFERROR(__xludf.DUMMYFUNCTION("""COMPUTED_VALUE"""),"Rival")</f>
        <v>Rival</v>
      </c>
      <c r="B1736" s="87" t="str">
        <f>IFERROR(__xludf.DUMMYFUNCTION("""COMPUTED_VALUE"""),"RSC003945")</f>
        <v>RSC003945</v>
      </c>
      <c r="C1736" s="73" t="str">
        <f>IFERROR(__xludf.DUMMYFUNCTION("""COMPUTED_VALUE"""),"Gaw1f3d")</f>
        <v>Gaw1f3d</v>
      </c>
      <c r="D1736" s="73" t="str">
        <f>IFERROR(__xludf.DUMMYFUNCTION("""COMPUTED_VALUE"""),"Cursed")</f>
        <v>Cursed</v>
      </c>
      <c r="E1736" s="82">
        <f>IFERROR(__xludf.DUMMYFUNCTION("""COMPUTED_VALUE"""),36.0)</f>
        <v>36</v>
      </c>
      <c r="F1736" s="82">
        <f>IFERROR(__xludf.DUMMYFUNCTION("""COMPUTED_VALUE"""),23.0)</f>
        <v>23</v>
      </c>
      <c r="G1736" s="86">
        <f>IFERROR(__xludf.DUMMYFUNCTION("""COMPUTED_VALUE"""),13.0)</f>
        <v>13</v>
      </c>
      <c r="H1736" s="86">
        <f>IFERROR(__xludf.DUMMYFUNCTION("""COMPUTED_VALUE"""),0.6388888888888888)</f>
        <v>0.6388888889</v>
      </c>
      <c r="I1736" s="86">
        <f>IFERROR(__xludf.DUMMYFUNCTION("""COMPUTED_VALUE"""),0.3163265306122449)</f>
        <v>0.3163265306</v>
      </c>
      <c r="J1736" s="82">
        <f>IFERROR(__xludf.DUMMYFUNCTION("""COMPUTED_VALUE"""),354.72222222222223)</f>
        <v>354.7222222</v>
      </c>
      <c r="K1736" s="82">
        <f>IFERROR(__xludf.DUMMYFUNCTION("""COMPUTED_VALUE"""),0.8611111111111112)</f>
        <v>0.8611111111</v>
      </c>
      <c r="L1736" s="82">
        <f>IFERROR(__xludf.DUMMYFUNCTION("""COMPUTED_VALUE"""),0.5833333333333334)</f>
        <v>0.5833333333</v>
      </c>
      <c r="M1736" s="82">
        <f>IFERROR(__xludf.DUMMYFUNCTION("""COMPUTED_VALUE"""),1.3888888888888888)</f>
        <v>1.388888889</v>
      </c>
      <c r="N1736" s="82">
        <f>IFERROR(__xludf.DUMMYFUNCTION("""COMPUTED_VALUE"""),2.7222222222222223)</f>
        <v>2.722222222</v>
      </c>
      <c r="O1736" s="82">
        <f>IFERROR(__xludf.DUMMYFUNCTION("""COMPUTED_VALUE"""),330.62037037037044)</f>
        <v>330.6203704</v>
      </c>
      <c r="P1736" s="82">
        <f>IFERROR(__xludf.DUMMYFUNCTION("""COMPUTED_VALUE"""),0.6666666666666666)</f>
        <v>0.6666666667</v>
      </c>
      <c r="Q1736" s="82">
        <f>IFERROR(__xludf.DUMMYFUNCTION("""COMPUTED_VALUE"""),0.5092592592592592)</f>
        <v>0.5092592593</v>
      </c>
      <c r="R1736" s="82">
        <f>IFERROR(__xludf.DUMMYFUNCTION("""COMPUTED_VALUE"""),1.324074074074074)</f>
        <v>1.324074074</v>
      </c>
      <c r="S1736" s="82">
        <f>IFERROR(__xludf.DUMMYFUNCTION("""COMPUTED_VALUE"""),2.4722222222222223)</f>
        <v>2.472222222</v>
      </c>
      <c r="T1736" s="82">
        <f>IFERROR(__xludf.DUMMYFUNCTION("""COMPUTED_VALUE"""),355.9288104343109)</f>
        <v>355.9288104</v>
      </c>
      <c r="U1736" s="82">
        <f>IFERROR(__xludf.DUMMYFUNCTION("""COMPUTED_VALUE"""),0.7996393494463698)</f>
        <v>0.7996393494</v>
      </c>
      <c r="V1736" s="82">
        <f>IFERROR(__xludf.DUMMYFUNCTION("""COMPUTED_VALUE"""),0.5996154860590291)</f>
        <v>0.5996154861</v>
      </c>
      <c r="W1736" s="82">
        <f>IFERROR(__xludf.DUMMYFUNCTION("""COMPUTED_VALUE"""),1.3390263252219528)</f>
        <v>1.339026325</v>
      </c>
      <c r="X1736" s="82">
        <f>IFERROR(__xludf.DUMMYFUNCTION("""COMPUTED_VALUE"""),2.605865817793921)</f>
        <v>2.605865818</v>
      </c>
      <c r="Y1736" s="82">
        <f>IFERROR(__xludf.DUMMYFUNCTION("""COMPUTED_VALUE"""),349.02516492677546)</f>
        <v>349.0251649</v>
      </c>
      <c r="Z1736" s="82">
        <f>IFERROR(__xludf.DUMMYFUNCTION("""COMPUTED_VALUE"""),0.8004031558610476)</f>
        <v>0.8004031559</v>
      </c>
      <c r="AA1736" s="82">
        <f>IFERROR(__xludf.DUMMYFUNCTION("""COMPUTED_VALUE"""),0.5685840678915015)</f>
        <v>0.5685840679</v>
      </c>
      <c r="AB1736" s="82">
        <f>IFERROR(__xludf.DUMMYFUNCTION("""COMPUTED_VALUE"""),1.3049753619808457)</f>
        <v>1.304975362</v>
      </c>
      <c r="AC1736" s="82">
        <f>IFERROR(__xludf.DUMMYFUNCTION("""COMPUTED_VALUE"""),2.6182472153163685)</f>
        <v>2.618247215</v>
      </c>
      <c r="AD1736" s="82">
        <f>IFERROR(__xludf.DUMMYFUNCTION("""COMPUTED_VALUE"""),1.0163227694388226)</f>
        <v>1.016322769</v>
      </c>
      <c r="AE1736" s="82">
        <f>IFERROR(__xludf.DUMMYFUNCTION("""COMPUTED_VALUE"""),1.0758467214996872)</f>
        <v>1.075846721</v>
      </c>
      <c r="AF1736" s="82">
        <f>IFERROR(__xludf.DUMMYFUNCTION("""COMPUTED_VALUE"""),1.0259403424660263)</f>
        <v>1.025940342</v>
      </c>
      <c r="AG1736" s="82">
        <f>IFERROR(__xludf.DUMMYFUNCTION("""COMPUTED_VALUE"""),1.0643027672037189)</f>
        <v>1.064302767</v>
      </c>
      <c r="AH1736" s="82">
        <f>IFERROR(__xludf.DUMMYFUNCTION("""COMPUTED_VALUE"""),1.0397116843274443)</f>
        <v>1.039711684</v>
      </c>
      <c r="AI1736" s="82">
        <f>IFERROR(__xludf.DUMMYFUNCTION("""COMPUTED_VALUE"""),0.9288946572404222)</f>
        <v>0.9288946572</v>
      </c>
      <c r="AJ1736" s="82">
        <f>IFERROR(__xludf.DUMMYFUNCTION("""COMPUTED_VALUE"""),0.8337091804301942)</f>
        <v>0.8337091804</v>
      </c>
      <c r="AK1736" s="82">
        <f>IFERROR(__xludf.DUMMYFUNCTION("""COMPUTED_VALUE"""),0.8493097178099319)</f>
        <v>0.8493097178</v>
      </c>
      <c r="AL1736" s="82">
        <f>IFERROR(__xludf.DUMMYFUNCTION("""COMPUTED_VALUE"""),0.9888334897781786)</f>
        <v>0.9888334898</v>
      </c>
      <c r="AM1736" s="82">
        <f>IFERROR(__xludf.DUMMYFUNCTION("""COMPUTED_VALUE"""),0.948714321873703)</f>
        <v>0.9487143219</v>
      </c>
      <c r="AN1736" s="82">
        <f>IFERROR(__xludf.DUMMYFUNCTION("""COMPUTED_VALUE"""),1.0465606451548874)</f>
        <v>1.046560645</v>
      </c>
      <c r="AO1736" s="82">
        <f>IFERROR(__xludf.DUMMYFUNCTION("""COMPUTED_VALUE"""),1.1721215917408787)</f>
        <v>1.172121592</v>
      </c>
      <c r="AP1736" s="82">
        <f>IFERROR(__xludf.DUMMYFUNCTION("""COMPUTED_VALUE"""),1.0416222463615024)</f>
        <v>1.041622246</v>
      </c>
      <c r="AQ1736" s="82">
        <f>IFERROR(__xludf.DUMMYFUNCTION("""COMPUTED_VALUE"""),1.0598684466664745)</f>
        <v>1.059868447</v>
      </c>
      <c r="AR1736" s="82">
        <f>IFERROR(__xludf.DUMMYFUNCTION("""COMPUTED_VALUE"""),1.0931102224045899)</f>
        <v>1.093110222</v>
      </c>
      <c r="AS1736" s="82">
        <f>IFERROR(__xludf.DUMMYFUNCTION("""COMPUTED_VALUE"""),94.0)</f>
        <v>94</v>
      </c>
      <c r="AT1736" s="82">
        <f>IFERROR(__xludf.DUMMYFUNCTION("""COMPUTED_VALUE"""),0.6019139321801137)</f>
        <v>0.6019139322</v>
      </c>
      <c r="AU1736" s="82">
        <f>IFERROR(__xludf.DUMMYFUNCTION("""COMPUTED_VALUE"""),2.418672544964906)</f>
        <v>2.418672545</v>
      </c>
      <c r="AV1736" s="82">
        <f>IFERROR(__xludf.DUMMYFUNCTION("""COMPUTED_VALUE"""),64.92170737006462)</f>
        <v>64.92170737</v>
      </c>
      <c r="AW1736" s="82">
        <f t="shared" si="1"/>
        <v>3.632431914</v>
      </c>
      <c r="AX1736" s="83">
        <f t="array" ref="AX1736">IFERROR(DGET('SBV Import'!A:G,"SBV",{"RSC ID","Tier";B1736,A1736}))</f>
        <v>52.82143968</v>
      </c>
      <c r="AY1736" s="82">
        <f t="shared" si="2"/>
        <v>2.197455768</v>
      </c>
      <c r="AZ1736" s="82">
        <v>1.4349761464370583</v>
      </c>
      <c r="BA1736" s="84">
        <v>1700.0</v>
      </c>
      <c r="BB1736" s="84" t="b">
        <f>IFERROR(__xludf.DUMMYFUNCTION("iferror(if(A1736="""",,E1736&gt;=FILTER(Constants!$F$2:$F$10,Constants!$A$2:$A$10=A1736)))"),TRUE)</f>
        <v>1</v>
      </c>
    </row>
    <row r="1737">
      <c r="A1737" s="89" t="str">
        <f>IFERROR(__xludf.DUMMYFUNCTION("""COMPUTED_VALUE"""),"Rival")</f>
        <v>Rival</v>
      </c>
      <c r="B1737" s="87" t="str">
        <f>IFERROR(__xludf.DUMMYFUNCTION("""COMPUTED_VALUE"""),"RSC006211")</f>
        <v>RSC006211</v>
      </c>
      <c r="C1737" s="73" t="str">
        <f>IFERROR(__xludf.DUMMYFUNCTION("""COMPUTED_VALUE"""),"Chase")</f>
        <v>Chase</v>
      </c>
      <c r="D1737" s="73" t="str">
        <f>IFERROR(__xludf.DUMMYFUNCTION("""COMPUTED_VALUE"""),"Ion Imperial")</f>
        <v>Ion Imperial</v>
      </c>
      <c r="E1737" s="82">
        <f>IFERROR(__xludf.DUMMYFUNCTION("""COMPUTED_VALUE"""),15.0)</f>
        <v>15</v>
      </c>
      <c r="F1737" s="82">
        <f>IFERROR(__xludf.DUMMYFUNCTION("""COMPUTED_VALUE"""),9.0)</f>
        <v>9</v>
      </c>
      <c r="G1737" s="86">
        <f>IFERROR(__xludf.DUMMYFUNCTION("""COMPUTED_VALUE"""),6.0)</f>
        <v>6</v>
      </c>
      <c r="H1737" s="86">
        <f>IFERROR(__xludf.DUMMYFUNCTION("""COMPUTED_VALUE"""),0.6)</f>
        <v>0.6</v>
      </c>
      <c r="I1737" s="86">
        <f>IFERROR(__xludf.DUMMYFUNCTION("""COMPUTED_VALUE"""),0.380952380952381)</f>
        <v>0.380952381</v>
      </c>
      <c r="J1737" s="82">
        <f>IFERROR(__xludf.DUMMYFUNCTION("""COMPUTED_VALUE"""),393.3333333333333)</f>
        <v>393.3333333</v>
      </c>
      <c r="K1737" s="82">
        <f>IFERROR(__xludf.DUMMYFUNCTION("""COMPUTED_VALUE"""),1.0666666666666667)</f>
        <v>1.066666667</v>
      </c>
      <c r="L1737" s="82">
        <f>IFERROR(__xludf.DUMMYFUNCTION("""COMPUTED_VALUE"""),0.5333333333333333)</f>
        <v>0.5333333333</v>
      </c>
      <c r="M1737" s="82">
        <f>IFERROR(__xludf.DUMMYFUNCTION("""COMPUTED_VALUE"""),1.5333333333333334)</f>
        <v>1.533333333</v>
      </c>
      <c r="N1737" s="82">
        <f>IFERROR(__xludf.DUMMYFUNCTION("""COMPUTED_VALUE"""),2.8)</f>
        <v>2.8</v>
      </c>
      <c r="O1737" s="82">
        <f>IFERROR(__xludf.DUMMYFUNCTION("""COMPUTED_VALUE"""),358.17777777777775)</f>
        <v>358.1777778</v>
      </c>
      <c r="P1737" s="82">
        <f>IFERROR(__xludf.DUMMYFUNCTION("""COMPUTED_VALUE"""),0.8)</f>
        <v>0.8</v>
      </c>
      <c r="Q1737" s="82">
        <f>IFERROR(__xludf.DUMMYFUNCTION("""COMPUTED_VALUE"""),0.5777777777777778)</f>
        <v>0.5777777778</v>
      </c>
      <c r="R1737" s="82">
        <f>IFERROR(__xludf.DUMMYFUNCTION("""COMPUTED_VALUE"""),1.5111111111111113)</f>
        <v>1.511111111</v>
      </c>
      <c r="S1737" s="82">
        <f>IFERROR(__xludf.DUMMYFUNCTION("""COMPUTED_VALUE"""),2.422222222222222)</f>
        <v>2.422222222</v>
      </c>
      <c r="T1737" s="82">
        <f>IFERROR(__xludf.DUMMYFUNCTION("""COMPUTED_VALUE"""),332.75030153385705)</f>
        <v>332.7503015</v>
      </c>
      <c r="U1737" s="82">
        <f>IFERROR(__xludf.DUMMYFUNCTION("""COMPUTED_VALUE"""),0.7087077480133036)</f>
        <v>0.708707748</v>
      </c>
      <c r="V1737" s="82">
        <f>IFERROR(__xludf.DUMMYFUNCTION("""COMPUTED_VALUE"""),0.49413328852217725)</f>
        <v>0.4941332885</v>
      </c>
      <c r="W1737" s="82">
        <f>IFERROR(__xludf.DUMMYFUNCTION("""COMPUTED_VALUE"""),1.303658191602636)</f>
        <v>1.303658192</v>
      </c>
      <c r="X1737" s="82">
        <f>IFERROR(__xludf.DUMMYFUNCTION("""COMPUTED_VALUE"""),2.4446311630756075)</f>
        <v>2.444631163</v>
      </c>
      <c r="Y1737" s="82">
        <f>IFERROR(__xludf.DUMMYFUNCTION("""COMPUTED_VALUE"""),360.7947252089474)</f>
        <v>360.7947252</v>
      </c>
      <c r="Z1737" s="82">
        <f>IFERROR(__xludf.DUMMYFUNCTION("""COMPUTED_VALUE"""),0.8709240687296241)</f>
        <v>0.8709240687</v>
      </c>
      <c r="AA1737" s="82">
        <f>IFERROR(__xludf.DUMMYFUNCTION("""COMPUTED_VALUE"""),0.6273654791710349)</f>
        <v>0.6273654792</v>
      </c>
      <c r="AB1737" s="82">
        <f>IFERROR(__xludf.DUMMYFUNCTION("""COMPUTED_VALUE"""),1.260586304984453)</f>
        <v>1.260586305</v>
      </c>
      <c r="AC1737" s="82">
        <f>IFERROR(__xludf.DUMMYFUNCTION("""COMPUTED_VALUE"""),2.6627972027972024)</f>
        <v>2.662797203</v>
      </c>
      <c r="AD1737" s="82">
        <f>IFERROR(__xludf.DUMMYFUNCTION("""COMPUTED_VALUE"""),1.0901859308102184)</f>
        <v>1.090185931</v>
      </c>
      <c r="AE1737" s="82">
        <f>IFERROR(__xludf.DUMMYFUNCTION("""COMPUTED_VALUE"""),1.2247527711830988)</f>
        <v>1.224752771</v>
      </c>
      <c r="AF1737" s="82">
        <f>IFERROR(__xludf.DUMMYFUNCTION("""COMPUTED_VALUE"""),0.850115843221163)</f>
        <v>0.8501158432</v>
      </c>
      <c r="AG1737" s="82">
        <f>IFERROR(__xludf.DUMMYFUNCTION("""COMPUTED_VALUE"""),1.2163652161461838)</f>
        <v>1.216365216</v>
      </c>
      <c r="AH1737" s="82">
        <f>IFERROR(__xludf.DUMMYFUNCTION("""COMPUTED_VALUE"""),1.0515258154314828)</f>
        <v>1.051525815</v>
      </c>
      <c r="AI1737" s="82">
        <f>IFERROR(__xludf.DUMMYFUNCTION("""COMPUTED_VALUE"""),1.0764160877592277)</f>
        <v>1.076416088</v>
      </c>
      <c r="AJ1737" s="82">
        <f>IFERROR(__xludf.DUMMYFUNCTION("""COMPUTED_VALUE"""),1.1288150894957942)</f>
        <v>1.128815089</v>
      </c>
      <c r="AK1737" s="82">
        <f>IFERROR(__xludf.DUMMYFUNCTION("""COMPUTED_VALUE"""),1.1692751555066432)</f>
        <v>1.169275156</v>
      </c>
      <c r="AL1737" s="82">
        <f>IFERROR(__xludf.DUMMYFUNCTION("""COMPUTED_VALUE"""),1.1591313741936033)</f>
        <v>1.159131374</v>
      </c>
      <c r="AM1737" s="82">
        <f>IFERROR(__xludf.DUMMYFUNCTION("""COMPUTED_VALUE"""),0.9908334062038248)</f>
        <v>0.9908334062</v>
      </c>
      <c r="AN1737" s="82">
        <f>IFERROR(__xludf.DUMMYFUNCTION("""COMPUTED_VALUE"""),1.1604775830378389)</f>
        <v>1.160477583</v>
      </c>
      <c r="AO1737" s="82">
        <f>IFERROR(__xludf.DUMMYFUNCTION("""COMPUTED_VALUE"""),1.4519183588016045)</f>
        <v>1.451918359</v>
      </c>
      <c r="AP1737" s="82">
        <f>IFERROR(__xludf.DUMMYFUNCTION("""COMPUTED_VALUE"""),0.9523403395305163)</f>
        <v>0.9523403395</v>
      </c>
      <c r="AQ1737" s="82">
        <f>IFERROR(__xludf.DUMMYFUNCTION("""COMPUTED_VALUE"""),1.170094765119788)</f>
        <v>1.170094765</v>
      </c>
      <c r="AR1737" s="82">
        <f>IFERROR(__xludf.DUMMYFUNCTION("""COMPUTED_VALUE"""),1.124341943044721)</f>
        <v>1.124341943</v>
      </c>
      <c r="AS1737" s="82">
        <f>IFERROR(__xludf.DUMMYFUNCTION("""COMPUTED_VALUE"""),44.0)</f>
        <v>44</v>
      </c>
      <c r="AT1737" s="82">
        <f>IFERROR(__xludf.DUMMYFUNCTION("""COMPUTED_VALUE"""),0.5804056035847904)</f>
        <v>0.5804056036</v>
      </c>
      <c r="AU1737" s="82">
        <f>IFERROR(__xludf.DUMMYFUNCTION("""COMPUTED_VALUE"""),2.416657759184241)</f>
        <v>2.416657759</v>
      </c>
      <c r="AV1737" s="82">
        <f>IFERROR(__xludf.DUMMYFUNCTION("""COMPUTED_VALUE"""),64.85053693739661)</f>
        <v>64.85053694</v>
      </c>
      <c r="AW1737" s="82">
        <f t="shared" si="1"/>
        <v>3.619924257</v>
      </c>
      <c r="AX1737" s="83">
        <f t="array" ref="AX1737">IFERROR(DGET('SBV Import'!A:G,"SBV",{"RSC ID","Tier";B1737,A1737}))</f>
        <v>58.6936885</v>
      </c>
      <c r="AY1737" s="82">
        <f t="shared" si="2"/>
        <v>2.747140331</v>
      </c>
      <c r="AZ1737" s="82">
        <v>0.8727839254115306</v>
      </c>
      <c r="BA1737" s="84">
        <v>1700.0</v>
      </c>
      <c r="BB1737" s="84" t="b">
        <f>IFERROR(__xludf.DUMMYFUNCTION("iferror(if(A1737="""",,E1737&gt;=FILTER(Constants!$F$2:$F$10,Constants!$A$2:$A$10=A1737)))"),TRUE)</f>
        <v>1</v>
      </c>
    </row>
    <row r="1738">
      <c r="A1738" s="89" t="str">
        <f>IFERROR(__xludf.DUMMYFUNCTION("""COMPUTED_VALUE"""),"Rival")</f>
        <v>Rival</v>
      </c>
      <c r="B1738" s="87" t="str">
        <f>IFERROR(__xludf.DUMMYFUNCTION("""COMPUTED_VALUE"""),"RSC001082")</f>
        <v>RSC001082</v>
      </c>
      <c r="C1738" s="73" t="str">
        <f>IFERROR(__xludf.DUMMYFUNCTION("""COMPUTED_VALUE"""),"Tuxedo Marx")</f>
        <v>Tuxedo Marx</v>
      </c>
      <c r="D1738" s="73" t="str">
        <f>IFERROR(__xludf.DUMMYFUNCTION("""COMPUTED_VALUE"""),"Asiago Arsonists")</f>
        <v>Asiago Arsonists</v>
      </c>
      <c r="E1738" s="82">
        <f>IFERROR(__xludf.DUMMYFUNCTION("""COMPUTED_VALUE"""),36.0)</f>
        <v>36</v>
      </c>
      <c r="F1738" s="82">
        <f>IFERROR(__xludf.DUMMYFUNCTION("""COMPUTED_VALUE"""),18.0)</f>
        <v>18</v>
      </c>
      <c r="G1738" s="86">
        <f>IFERROR(__xludf.DUMMYFUNCTION("""COMPUTED_VALUE"""),18.0)</f>
        <v>18</v>
      </c>
      <c r="H1738" s="86">
        <f>IFERROR(__xludf.DUMMYFUNCTION("""COMPUTED_VALUE"""),0.5)</f>
        <v>0.5</v>
      </c>
      <c r="I1738" s="86">
        <f>IFERROR(__xludf.DUMMYFUNCTION("""COMPUTED_VALUE"""),0.39215686274509803)</f>
        <v>0.3921568627</v>
      </c>
      <c r="J1738" s="82">
        <f>IFERROR(__xludf.DUMMYFUNCTION("""COMPUTED_VALUE"""),349.1111111111111)</f>
        <v>349.1111111</v>
      </c>
      <c r="K1738" s="82">
        <f>IFERROR(__xludf.DUMMYFUNCTION("""COMPUTED_VALUE"""),1.1111111111111112)</f>
        <v>1.111111111</v>
      </c>
      <c r="L1738" s="82">
        <f>IFERROR(__xludf.DUMMYFUNCTION("""COMPUTED_VALUE"""),0.3333333333333333)</f>
        <v>0.3333333333</v>
      </c>
      <c r="M1738" s="82">
        <f>IFERROR(__xludf.DUMMYFUNCTION("""COMPUTED_VALUE"""),0.8055555555555556)</f>
        <v>0.8055555556</v>
      </c>
      <c r="N1738" s="82">
        <f>IFERROR(__xludf.DUMMYFUNCTION("""COMPUTED_VALUE"""),2.8333333333333335)</f>
        <v>2.833333333</v>
      </c>
      <c r="O1738" s="82">
        <f>IFERROR(__xludf.DUMMYFUNCTION("""COMPUTED_VALUE"""),324.6944444444444)</f>
        <v>324.6944444</v>
      </c>
      <c r="P1738" s="82">
        <f>IFERROR(__xludf.DUMMYFUNCTION("""COMPUTED_VALUE"""),0.6666666666666666)</f>
        <v>0.6666666667</v>
      </c>
      <c r="Q1738" s="82">
        <f>IFERROR(__xludf.DUMMYFUNCTION("""COMPUTED_VALUE"""),0.5092592592592593)</f>
        <v>0.5092592593</v>
      </c>
      <c r="R1738" s="82">
        <f>IFERROR(__xludf.DUMMYFUNCTION("""COMPUTED_VALUE"""),1.1851851851851853)</f>
        <v>1.185185185</v>
      </c>
      <c r="S1738" s="82">
        <f>IFERROR(__xludf.DUMMYFUNCTION("""COMPUTED_VALUE"""),2.2314814814814814)</f>
        <v>2.231481481</v>
      </c>
      <c r="T1738" s="82">
        <f>IFERROR(__xludf.DUMMYFUNCTION("""COMPUTED_VALUE"""),335.3573369127331)</f>
        <v>335.3573369</v>
      </c>
      <c r="U1738" s="82">
        <f>IFERROR(__xludf.DUMMYFUNCTION("""COMPUTED_VALUE"""),0.7014150702892157)</f>
        <v>0.7014150703</v>
      </c>
      <c r="V1738" s="82">
        <f>IFERROR(__xludf.DUMMYFUNCTION("""COMPUTED_VALUE"""),0.5374234365525402)</f>
        <v>0.5374234366</v>
      </c>
      <c r="W1738" s="82">
        <f>IFERROR(__xludf.DUMMYFUNCTION("""COMPUTED_VALUE"""),1.2902452125646295)</f>
        <v>1.290245213</v>
      </c>
      <c r="X1738" s="82">
        <f>IFERROR(__xludf.DUMMYFUNCTION("""COMPUTED_VALUE"""),2.4768222042032235)</f>
        <v>2.476822204</v>
      </c>
      <c r="Y1738" s="82">
        <f>IFERROR(__xludf.DUMMYFUNCTION("""COMPUTED_VALUE"""),355.1299872698557)</f>
        <v>355.1299873</v>
      </c>
      <c r="Z1738" s="82">
        <f>IFERROR(__xludf.DUMMYFUNCTION("""COMPUTED_VALUE"""),0.8180726961066841)</f>
        <v>0.8180726961</v>
      </c>
      <c r="AA1738" s="82">
        <f>IFERROR(__xludf.DUMMYFUNCTION("""COMPUTED_VALUE"""),0.5832260087001782)</f>
        <v>0.5832260087</v>
      </c>
      <c r="AB1738" s="82">
        <f>IFERROR(__xludf.DUMMYFUNCTION("""COMPUTED_VALUE"""),1.3273369638580743)</f>
        <v>1.327336964</v>
      </c>
      <c r="AC1738" s="82">
        <f>IFERROR(__xludf.DUMMYFUNCTION("""COMPUTED_VALUE"""),2.580283085442258)</f>
        <v>2.580283085</v>
      </c>
      <c r="AD1738" s="82">
        <f>IFERROR(__xludf.DUMMYFUNCTION("""COMPUTED_VALUE"""),0.9830516251105232)</f>
        <v>0.9830516251</v>
      </c>
      <c r="AE1738" s="82">
        <f>IFERROR(__xludf.DUMMYFUNCTION("""COMPUTED_VALUE"""),1.358205837206199)</f>
        <v>1.358205837</v>
      </c>
      <c r="AF1738" s="82">
        <f>IFERROR(__xludf.DUMMYFUNCTION("""COMPUTED_VALUE"""),0.5715337251097998)</f>
        <v>0.5715337251</v>
      </c>
      <c r="AG1738" s="82">
        <f>IFERROR(__xludf.DUMMYFUNCTION("""COMPUTED_VALUE"""),0.6068960463619619)</f>
        <v>0.6068960464</v>
      </c>
      <c r="AH1738" s="82">
        <f>IFERROR(__xludf.DUMMYFUNCTION("""COMPUTED_VALUE"""),1.0980707308119655)</f>
        <v>1.098070731</v>
      </c>
      <c r="AI1738" s="82">
        <f>IFERROR(__xludf.DUMMYFUNCTION("""COMPUTED_VALUE"""),0.9682043859053443)</f>
        <v>0.9682043859</v>
      </c>
      <c r="AJ1738" s="82">
        <f>IFERROR(__xludf.DUMMYFUNCTION("""COMPUTED_VALUE"""),0.9504595708098755)</f>
        <v>0.9504595708</v>
      </c>
      <c r="AK1738" s="82">
        <f>IFERROR(__xludf.DUMMYFUNCTION("""COMPUTED_VALUE"""),0.9475940657259976)</f>
        <v>0.9475940657</v>
      </c>
      <c r="AL1738" s="82">
        <f>IFERROR(__xludf.DUMMYFUNCTION("""COMPUTED_VALUE"""),0.9185735964324055)</f>
        <v>0.9185735964</v>
      </c>
      <c r="AM1738" s="82">
        <f>IFERROR(__xludf.DUMMYFUNCTION("""COMPUTED_VALUE"""),0.9009453636577573)</f>
        <v>0.9009453637</v>
      </c>
      <c r="AN1738" s="82">
        <f>IFERROR(__xludf.DUMMYFUNCTION("""COMPUTED_VALUE"""),1.0300058095776525)</f>
        <v>1.03000581</v>
      </c>
      <c r="AO1738" s="82">
        <f>IFERROR(__xludf.DUMMYFUNCTION("""COMPUTED_VALUE"""),1.5124149570850047)</f>
        <v>1.512414957</v>
      </c>
      <c r="AP1738" s="82">
        <f>IFERROR(__xludf.DUMMYFUNCTION("""COMPUTED_VALUE"""),0.5952127122065727)</f>
        <v>0.5952127122</v>
      </c>
      <c r="AQ1738" s="82">
        <f>IFERROR(__xludf.DUMMYFUNCTION("""COMPUTED_VALUE"""),0.6147236990665552)</f>
        <v>0.6147236991</v>
      </c>
      <c r="AR1738" s="82">
        <f>IFERROR(__xludf.DUMMYFUNCTION("""COMPUTED_VALUE"""),1.137726966176206)</f>
        <v>1.137726966</v>
      </c>
      <c r="AS1738" s="82">
        <f>IFERROR(__xludf.DUMMYFUNCTION("""COMPUTED_VALUE"""),81.0)</f>
        <v>81</v>
      </c>
      <c r="AT1738" s="82">
        <f>IFERROR(__xludf.DUMMYFUNCTION("""COMPUTED_VALUE"""),0.5444857051749716)</f>
        <v>0.5444857052</v>
      </c>
      <c r="AU1738" s="82">
        <f>IFERROR(__xludf.DUMMYFUNCTION("""COMPUTED_VALUE"""),2.403603369881363)</f>
        <v>2.40360337</v>
      </c>
      <c r="AV1738" s="82">
        <f>IFERROR(__xludf.DUMMYFUNCTION("""COMPUTED_VALUE"""),64.38940278416878)</f>
        <v>64.38940278</v>
      </c>
      <c r="AW1738" s="82">
        <f t="shared" si="1"/>
        <v>3.540438784</v>
      </c>
      <c r="AX1738" s="83">
        <f t="array" ref="AX1738">IFERROR(DGET('SBV Import'!A:G,"SBV",{"RSC ID","Tier";B1738,A1738}))</f>
        <v>64.38262235</v>
      </c>
      <c r="AY1738" s="82">
        <f t="shared" si="2"/>
        <v>3.539289847</v>
      </c>
      <c r="AZ1738" s="82">
        <v>0.0011489369297312813</v>
      </c>
      <c r="BA1738" s="84">
        <v>1700.0</v>
      </c>
      <c r="BB1738" s="84" t="b">
        <f>IFERROR(__xludf.DUMMYFUNCTION("iferror(if(A1738="""",,E1738&gt;=FILTER(Constants!$F$2:$F$10,Constants!$A$2:$A$10=A1738)))"),TRUE)</f>
        <v>1</v>
      </c>
    </row>
    <row r="1739">
      <c r="A1739" s="89" t="str">
        <f>IFERROR(__xludf.DUMMYFUNCTION("""COMPUTED_VALUE"""),"Rival")</f>
        <v>Rival</v>
      </c>
      <c r="B1739" s="87" t="str">
        <f>IFERROR(__xludf.DUMMYFUNCTION("""COMPUTED_VALUE"""),"RSC006664")</f>
        <v>RSC006664</v>
      </c>
      <c r="C1739" s="73" t="str">
        <f>IFERROR(__xludf.DUMMYFUNCTION("""COMPUTED_VALUE"""),"Godless")</f>
        <v>Godless</v>
      </c>
      <c r="D1739" s="73" t="str">
        <f>IFERROR(__xludf.DUMMYFUNCTION("""COMPUTED_VALUE"""),"Iris")</f>
        <v>Iris</v>
      </c>
      <c r="E1739" s="82">
        <f>IFERROR(__xludf.DUMMYFUNCTION("""COMPUTED_VALUE"""),10.0)</f>
        <v>10</v>
      </c>
      <c r="F1739" s="82">
        <f>IFERROR(__xludf.DUMMYFUNCTION("""COMPUTED_VALUE"""),9.0)</f>
        <v>9</v>
      </c>
      <c r="G1739" s="86">
        <f>IFERROR(__xludf.DUMMYFUNCTION("""COMPUTED_VALUE"""),1.0)</f>
        <v>1</v>
      </c>
      <c r="H1739" s="86">
        <f>IFERROR(__xludf.DUMMYFUNCTION("""COMPUTED_VALUE"""),0.9)</f>
        <v>0.9</v>
      </c>
      <c r="I1739" s="86">
        <f>IFERROR(__xludf.DUMMYFUNCTION("""COMPUTED_VALUE"""),0.38888888888888884)</f>
        <v>0.3888888889</v>
      </c>
      <c r="J1739" s="82">
        <f>IFERROR(__xludf.DUMMYFUNCTION("""COMPUTED_VALUE"""),340.5)</f>
        <v>340.5</v>
      </c>
      <c r="K1739" s="82">
        <f>IFERROR(__xludf.DUMMYFUNCTION("""COMPUTED_VALUE"""),0.7)</f>
        <v>0.7</v>
      </c>
      <c r="L1739" s="82">
        <f>IFERROR(__xludf.DUMMYFUNCTION("""COMPUTED_VALUE"""),0.8)</f>
        <v>0.8</v>
      </c>
      <c r="M1739" s="82">
        <f>IFERROR(__xludf.DUMMYFUNCTION("""COMPUTED_VALUE"""),1.3)</f>
        <v>1.3</v>
      </c>
      <c r="N1739" s="82">
        <f>IFERROR(__xludf.DUMMYFUNCTION("""COMPUTED_VALUE"""),1.8)</f>
        <v>1.8</v>
      </c>
      <c r="O1739" s="82">
        <f>IFERROR(__xludf.DUMMYFUNCTION("""COMPUTED_VALUE"""),270.49999999999994)</f>
        <v>270.5</v>
      </c>
      <c r="P1739" s="82">
        <f>IFERROR(__xludf.DUMMYFUNCTION("""COMPUTED_VALUE"""),0.3333333333333333)</f>
        <v>0.3333333333</v>
      </c>
      <c r="Q1739" s="82">
        <f>IFERROR(__xludf.DUMMYFUNCTION("""COMPUTED_VALUE"""),0.2)</f>
        <v>0.2</v>
      </c>
      <c r="R1739" s="82">
        <f>IFERROR(__xludf.DUMMYFUNCTION("""COMPUTED_VALUE"""),1.2000000000000002)</f>
        <v>1.2</v>
      </c>
      <c r="S1739" s="82">
        <f>IFERROR(__xludf.DUMMYFUNCTION("""COMPUTED_VALUE"""),1.8)</f>
        <v>1.8</v>
      </c>
      <c r="T1739" s="82">
        <f>IFERROR(__xludf.DUMMYFUNCTION("""COMPUTED_VALUE"""),324.77129934879935)</f>
        <v>324.7712993</v>
      </c>
      <c r="U1739" s="82">
        <f>IFERROR(__xludf.DUMMYFUNCTION("""COMPUTED_VALUE"""),0.6347059422059422)</f>
        <v>0.6347059422</v>
      </c>
      <c r="V1739" s="82">
        <f>IFERROR(__xludf.DUMMYFUNCTION("""COMPUTED_VALUE"""),0.4570929995929996)</f>
        <v>0.4570929996</v>
      </c>
      <c r="W1739" s="82">
        <f>IFERROR(__xludf.DUMMYFUNCTION("""COMPUTED_VALUE"""),1.3428337403337403)</f>
        <v>1.34283374</v>
      </c>
      <c r="X1739" s="82">
        <f>IFERROR(__xludf.DUMMYFUNCTION("""COMPUTED_VALUE"""),2.3482224257224256)</f>
        <v>2.348222426</v>
      </c>
      <c r="Y1739" s="82">
        <f>IFERROR(__xludf.DUMMYFUNCTION("""COMPUTED_VALUE"""),352.9215282865283)</f>
        <v>352.9215283</v>
      </c>
      <c r="Z1739" s="82">
        <f>IFERROR(__xludf.DUMMYFUNCTION("""COMPUTED_VALUE"""),0.7972418939085605)</f>
        <v>0.7972418939</v>
      </c>
      <c r="AA1739" s="82">
        <f>IFERROR(__xludf.DUMMYFUNCTION("""COMPUTED_VALUE"""),0.5937338895672227)</f>
        <v>0.5937338896</v>
      </c>
      <c r="AB1739" s="82">
        <f>IFERROR(__xludf.DUMMYFUNCTION("""COMPUTED_VALUE"""),1.2836314611314605)</f>
        <v>1.283631461</v>
      </c>
      <c r="AC1739" s="82">
        <f>IFERROR(__xludf.DUMMYFUNCTION("""COMPUTED_VALUE"""),2.6506769773436445)</f>
        <v>2.650676977</v>
      </c>
      <c r="AD1739" s="82">
        <f>IFERROR(__xludf.DUMMYFUNCTION("""COMPUTED_VALUE"""),0.9648037104825082)</f>
        <v>0.9648037105</v>
      </c>
      <c r="AE1739" s="82">
        <f>IFERROR(__xludf.DUMMYFUNCTION("""COMPUTED_VALUE"""),0.8780271149176292)</f>
        <v>0.8780271149</v>
      </c>
      <c r="AF1739" s="82">
        <f>IFERROR(__xludf.DUMMYFUNCTION("""COMPUTED_VALUE"""),1.3474049806776673)</f>
        <v>1.347404981</v>
      </c>
      <c r="AG1739" s="82">
        <f>IFERROR(__xludf.DUMMYFUNCTION("""COMPUTED_VALUE"""),1.012751743287837)</f>
        <v>1.012751743</v>
      </c>
      <c r="AH1739" s="82">
        <f>IFERROR(__xludf.DUMMYFUNCTION("""COMPUTED_VALUE"""),0.679071805197424)</f>
        <v>0.6790718052</v>
      </c>
      <c r="AI1739" s="82">
        <f>IFERROR(__xludf.DUMMYFUNCTION("""COMPUTED_VALUE"""),0.8328937949331758)</f>
        <v>0.8328937949</v>
      </c>
      <c r="AJ1739" s="82">
        <f>IFERROR(__xludf.DUMMYFUNCTION("""COMPUTED_VALUE"""),0.5251775840869268)</f>
        <v>0.5251775841</v>
      </c>
      <c r="AK1739" s="82">
        <f>IFERROR(__xludf.DUMMYFUNCTION("""COMPUTED_VALUE"""),0.43754772043781487)</f>
        <v>0.4375477204</v>
      </c>
      <c r="AL1739" s="82">
        <f>IFERROR(__xludf.DUMMYFUNCTION("""COMPUTED_VALUE"""),0.8936325949791514)</f>
        <v>0.893632595</v>
      </c>
      <c r="AM1739" s="82">
        <f>IFERROR(__xludf.DUMMYFUNCTION("""COMPUTED_VALUE"""),0.7665372667779689)</f>
        <v>0.7665372668</v>
      </c>
      <c r="AN1739" s="82">
        <f>IFERROR(__xludf.DUMMYFUNCTION("""COMPUTED_VALUE"""),1.0045998737908073)</f>
        <v>1.004599874</v>
      </c>
      <c r="AO1739" s="82">
        <f>IFERROR(__xludf.DUMMYFUNCTION("""COMPUTED_VALUE"""),0.9528214229635529)</f>
        <v>0.952821423</v>
      </c>
      <c r="AP1739" s="82">
        <f>IFERROR(__xludf.DUMMYFUNCTION("""COMPUTED_VALUE"""),1.4285105092957746)</f>
        <v>1.428510509</v>
      </c>
      <c r="AQ1739" s="82">
        <f>IFERROR(__xludf.DUMMYFUNCTION("""COMPUTED_VALUE"""),0.9920368660798202)</f>
        <v>0.9920368661</v>
      </c>
      <c r="AR1739" s="82">
        <f>IFERROR(__xludf.DUMMYFUNCTION("""COMPUTED_VALUE"""),0.7227912491001778)</f>
        <v>0.7227912491</v>
      </c>
      <c r="AS1739" s="82">
        <f>IFERROR(__xludf.DUMMYFUNCTION("""COMPUTED_VALUE"""),30.0)</f>
        <v>30</v>
      </c>
      <c r="AT1739" s="82">
        <f>IFERROR(__xludf.DUMMYFUNCTION("""COMPUTED_VALUE"""),0.8369140440210939)</f>
        <v>0.836914044</v>
      </c>
      <c r="AU1739" s="82">
        <f>IFERROR(__xludf.DUMMYFUNCTION("""COMPUTED_VALUE"""),2.3977765238302884)</f>
        <v>2.397776524</v>
      </c>
      <c r="AV1739" s="82">
        <f>IFERROR(__xludf.DUMMYFUNCTION("""COMPUTED_VALUE"""),64.1835748700925)</f>
        <v>64.18357487</v>
      </c>
      <c r="AW1739" s="82">
        <f t="shared" si="1"/>
        <v>3.505812462</v>
      </c>
      <c r="AX1739" s="83">
        <f t="array" ref="AX1739">IFERROR(DGET('SBV Import'!A:G,"SBV",{"RSC ID","Tier";B1739,A1739}))</f>
        <v>70.13091079</v>
      </c>
      <c r="AY1739" s="82">
        <f t="shared" si="2"/>
        <v>4.754170668</v>
      </c>
      <c r="AZ1739" s="82">
        <v>1.2483582065323837</v>
      </c>
      <c r="BA1739" s="84">
        <v>1700.0</v>
      </c>
      <c r="BB1739" s="84" t="b">
        <f>IFERROR(__xludf.DUMMYFUNCTION("iferror(if(A1739="""",,E1739&gt;=FILTER(Constants!$F$2:$F$10,Constants!$A$2:$A$10=A1739)))"),TRUE)</f>
        <v>1</v>
      </c>
    </row>
    <row r="1740">
      <c r="A1740" s="89" t="str">
        <f>IFERROR(__xludf.DUMMYFUNCTION("""COMPUTED_VALUE"""),"Rival")</f>
        <v>Rival</v>
      </c>
      <c r="B1740" s="87" t="str">
        <f>IFERROR(__xludf.DUMMYFUNCTION("""COMPUTED_VALUE"""),"RSC007660")</f>
        <v>RSC007660</v>
      </c>
      <c r="C1740" s="73" t="str">
        <f>IFERROR(__xludf.DUMMYFUNCTION("""COMPUTED_VALUE"""),"Shraxl")</f>
        <v>Shraxl</v>
      </c>
      <c r="D1740" s="73" t="str">
        <f>IFERROR(__xludf.DUMMYFUNCTION("""COMPUTED_VALUE"""),"Necrotic Nerds")</f>
        <v>Necrotic Nerds</v>
      </c>
      <c r="E1740" s="82">
        <f>IFERROR(__xludf.DUMMYFUNCTION("""COMPUTED_VALUE"""),34.0)</f>
        <v>34</v>
      </c>
      <c r="F1740" s="82">
        <f>IFERROR(__xludf.DUMMYFUNCTION("""COMPUTED_VALUE"""),13.0)</f>
        <v>13</v>
      </c>
      <c r="G1740" s="86">
        <f>IFERROR(__xludf.DUMMYFUNCTION("""COMPUTED_VALUE"""),21.0)</f>
        <v>21</v>
      </c>
      <c r="H1740" s="86">
        <f>IFERROR(__xludf.DUMMYFUNCTION("""COMPUTED_VALUE"""),0.38235294117647056)</f>
        <v>0.3823529412</v>
      </c>
      <c r="I1740" s="86">
        <f>IFERROR(__xludf.DUMMYFUNCTION("""COMPUTED_VALUE"""),0.31683168316831684)</f>
        <v>0.3168316832</v>
      </c>
      <c r="J1740" s="82">
        <f>IFERROR(__xludf.DUMMYFUNCTION("""COMPUTED_VALUE"""),396.38235294117646)</f>
        <v>396.3823529</v>
      </c>
      <c r="K1740" s="82">
        <f>IFERROR(__xludf.DUMMYFUNCTION("""COMPUTED_VALUE"""),0.9411764705882353)</f>
        <v>0.9411764706</v>
      </c>
      <c r="L1740" s="82">
        <f>IFERROR(__xludf.DUMMYFUNCTION("""COMPUTED_VALUE"""),0.5588235294117647)</f>
        <v>0.5588235294</v>
      </c>
      <c r="M1740" s="82">
        <f>IFERROR(__xludf.DUMMYFUNCTION("""COMPUTED_VALUE"""),1.588235294117647)</f>
        <v>1.588235294</v>
      </c>
      <c r="N1740" s="82">
        <f>IFERROR(__xludf.DUMMYFUNCTION("""COMPUTED_VALUE"""),2.9705882352941178)</f>
        <v>2.970588235</v>
      </c>
      <c r="O1740" s="82">
        <f>IFERROR(__xludf.DUMMYFUNCTION("""COMPUTED_VALUE"""),371.47058823529414)</f>
        <v>371.4705882</v>
      </c>
      <c r="P1740" s="82">
        <f>IFERROR(__xludf.DUMMYFUNCTION("""COMPUTED_VALUE"""),0.9411764705882355)</f>
        <v>0.9411764706</v>
      </c>
      <c r="Q1740" s="82">
        <f>IFERROR(__xludf.DUMMYFUNCTION("""COMPUTED_VALUE"""),0.6176470588235295)</f>
        <v>0.6176470588</v>
      </c>
      <c r="R1740" s="82">
        <f>IFERROR(__xludf.DUMMYFUNCTION("""COMPUTED_VALUE"""),1.2941176470588234)</f>
        <v>1.294117647</v>
      </c>
      <c r="S1740" s="82">
        <f>IFERROR(__xludf.DUMMYFUNCTION("""COMPUTED_VALUE"""),2.735294117647059)</f>
        <v>2.735294118</v>
      </c>
      <c r="T1740" s="82">
        <f>IFERROR(__xludf.DUMMYFUNCTION("""COMPUTED_VALUE"""),340.94514695843526)</f>
        <v>340.945147</v>
      </c>
      <c r="U1740" s="82">
        <f>IFERROR(__xludf.DUMMYFUNCTION("""COMPUTED_VALUE"""),0.7857790062004161)</f>
        <v>0.7857790062</v>
      </c>
      <c r="V1740" s="82">
        <f>IFERROR(__xludf.DUMMYFUNCTION("""COMPUTED_VALUE"""),0.5477857860760377)</f>
        <v>0.5477857861</v>
      </c>
      <c r="W1740" s="82">
        <f>IFERROR(__xludf.DUMMYFUNCTION("""COMPUTED_VALUE"""),1.3271538383415546)</f>
        <v>1.327153838</v>
      </c>
      <c r="X1740" s="82">
        <f>IFERROR(__xludf.DUMMYFUNCTION("""COMPUTED_VALUE"""),2.5731899320909277)</f>
        <v>2.573189932</v>
      </c>
      <c r="Y1740" s="82">
        <f>IFERROR(__xludf.DUMMYFUNCTION("""COMPUTED_VALUE"""),351.217567005652)</f>
        <v>351.217567</v>
      </c>
      <c r="Z1740" s="82">
        <f>IFERROR(__xludf.DUMMYFUNCTION("""COMPUTED_VALUE"""),0.8137019909205612)</f>
        <v>0.8137019909</v>
      </c>
      <c r="AA1740" s="82">
        <f>IFERROR(__xludf.DUMMYFUNCTION("""COMPUTED_VALUE"""),0.5782339236187766)</f>
        <v>0.5782339236</v>
      </c>
      <c r="AB1740" s="82">
        <f>IFERROR(__xludf.DUMMYFUNCTION("""COMPUTED_VALUE"""),1.3355489718781934)</f>
        <v>1.335548972</v>
      </c>
      <c r="AC1740" s="82">
        <f>IFERROR(__xludf.DUMMYFUNCTION("""COMPUTED_VALUE"""),2.6226289294651712)</f>
        <v>2.622628929</v>
      </c>
      <c r="AD1740" s="82">
        <f>IFERROR(__xludf.DUMMYFUNCTION("""COMPUTED_VALUE"""),1.128594894385786)</f>
        <v>1.128594894</v>
      </c>
      <c r="AE1740" s="82">
        <f>IFERROR(__xludf.DUMMYFUNCTION("""COMPUTED_VALUE"""),1.1566599087750284)</f>
        <v>1.156659909</v>
      </c>
      <c r="AF1740" s="82">
        <f>IFERROR(__xludf.DUMMYFUNCTION("""COMPUTED_VALUE"""),0.9664315886457591)</f>
        <v>0.9664315886</v>
      </c>
      <c r="AG1740" s="82">
        <f>IFERROR(__xludf.DUMMYFUNCTION("""COMPUTED_VALUE"""),1.1892003420017603)</f>
        <v>1.189200342</v>
      </c>
      <c r="AH1740" s="82">
        <f>IFERROR(__xludf.DUMMYFUNCTION("""COMPUTED_VALUE"""),1.1326757674025603)</f>
        <v>1.132675767</v>
      </c>
      <c r="AI1740" s="82">
        <f>IFERROR(__xludf.DUMMYFUNCTION("""COMPUTED_VALUE"""),1.089531825131332)</f>
        <v>1.089531825</v>
      </c>
      <c r="AJ1740" s="82">
        <f>IFERROR(__xludf.DUMMYFUNCTION("""COMPUTED_VALUE"""),1.1977623010561633)</f>
        <v>1.197762301</v>
      </c>
      <c r="AK1740" s="82">
        <f>IFERROR(__xludf.DUMMYFUNCTION("""COMPUTED_VALUE"""),1.1275339275374963)</f>
        <v>1.127533928</v>
      </c>
      <c r="AL1740" s="82">
        <f>IFERROR(__xludf.DUMMYFUNCTION("""COMPUTED_VALUE"""),0.9751074891784858)</f>
        <v>0.9751074892</v>
      </c>
      <c r="AM1740" s="82">
        <f>IFERROR(__xludf.DUMMYFUNCTION("""COMPUTED_VALUE"""),1.0629973650737892)</f>
        <v>1.062997365</v>
      </c>
      <c r="AN1740" s="82">
        <f>IFERROR(__xludf.DUMMYFUNCTION("""COMPUTED_VALUE"""),1.1694733090678682)</f>
        <v>1.169473309</v>
      </c>
      <c r="AO1740" s="82">
        <f>IFERROR(__xludf.DUMMYFUNCTION("""COMPUTED_VALUE"""),1.2811044342367097)</f>
        <v>1.281104434</v>
      </c>
      <c r="AP1740" s="82">
        <f>IFERROR(__xludf.DUMMYFUNCTION("""COMPUTED_VALUE"""),0.9978566057580779)</f>
        <v>0.9978566058</v>
      </c>
      <c r="AQ1740" s="82">
        <f>IFERROR(__xludf.DUMMYFUNCTION("""COMPUTED_VALUE"""),1.2119907413644861)</f>
        <v>1.211990741</v>
      </c>
      <c r="AR1740" s="82">
        <f>IFERROR(__xludf.DUMMYFUNCTION("""COMPUTED_VALUE"""),1.1928417673058491)</f>
        <v>1.192841767</v>
      </c>
      <c r="AS1740" s="82">
        <f>IFERROR(__xludf.DUMMYFUNCTION("""COMPUTED_VALUE"""),81.0)</f>
        <v>81</v>
      </c>
      <c r="AT1740" s="82">
        <f>IFERROR(__xludf.DUMMYFUNCTION("""COMPUTED_VALUE"""),0.4322228454881009)</f>
        <v>0.4322228455</v>
      </c>
      <c r="AU1740" s="82">
        <f>IFERROR(__xludf.DUMMYFUNCTION("""COMPUTED_VALUE"""),2.3875010708697593)</f>
        <v>2.387501071</v>
      </c>
      <c r="AV1740" s="82">
        <f>IFERROR(__xludf.DUMMYFUNCTION("""COMPUTED_VALUE"""),63.820604056977444)</f>
        <v>63.82060406</v>
      </c>
      <c r="AW1740" s="82">
        <f t="shared" si="1"/>
        <v>3.445995436</v>
      </c>
      <c r="AX1740" s="83">
        <f t="array" ref="AX1740">IFERROR(DGET('SBV Import'!A:G,"SBV",{"RSC ID","Tier";B1740,A1740}))</f>
        <v>60.27347041</v>
      </c>
      <c r="AY1740" s="82">
        <f t="shared" si="2"/>
        <v>2.936351359</v>
      </c>
      <c r="AZ1740" s="82">
        <v>0.509644076833355</v>
      </c>
      <c r="BA1740" s="84">
        <v>1700.0</v>
      </c>
      <c r="BB1740" s="84" t="b">
        <f>IFERROR(__xludf.DUMMYFUNCTION("iferror(if(A1740="""",,E1740&gt;=FILTER(Constants!$F$2:$F$10,Constants!$A$2:$A$10=A1740)))"),TRUE)</f>
        <v>1</v>
      </c>
    </row>
    <row r="1741">
      <c r="A1741" s="89" t="str">
        <f>IFERROR(__xludf.DUMMYFUNCTION("""COMPUTED_VALUE"""),"Rival")</f>
        <v>Rival</v>
      </c>
      <c r="B1741" s="87" t="str">
        <f>IFERROR(__xludf.DUMMYFUNCTION("""COMPUTED_VALUE"""),"RSC000763")</f>
        <v>RSC000763</v>
      </c>
      <c r="C1741" s="73" t="str">
        <f>IFERROR(__xludf.DUMMYFUNCTION("""COMPUTED_VALUE"""),"Tenched")</f>
        <v>Tenched</v>
      </c>
      <c r="D1741" s="73"/>
      <c r="E1741" s="82">
        <f>IFERROR(__xludf.DUMMYFUNCTION("""COMPUTED_VALUE"""),13.0)</f>
        <v>13</v>
      </c>
      <c r="F1741" s="82">
        <f>IFERROR(__xludf.DUMMYFUNCTION("""COMPUTED_VALUE"""),5.0)</f>
        <v>5</v>
      </c>
      <c r="G1741" s="86">
        <f>IFERROR(__xludf.DUMMYFUNCTION("""COMPUTED_VALUE"""),8.0)</f>
        <v>8</v>
      </c>
      <c r="H1741" s="86">
        <f>IFERROR(__xludf.DUMMYFUNCTION("""COMPUTED_VALUE"""),0.38461538461538464)</f>
        <v>0.3846153846</v>
      </c>
      <c r="I1741" s="86">
        <f>IFERROR(__xludf.DUMMYFUNCTION("""COMPUTED_VALUE"""),0.3488372093023256)</f>
        <v>0.3488372093</v>
      </c>
      <c r="J1741" s="82">
        <f>IFERROR(__xludf.DUMMYFUNCTION("""COMPUTED_VALUE"""),394.15384615384613)</f>
        <v>394.1538462</v>
      </c>
      <c r="K1741" s="82">
        <f>IFERROR(__xludf.DUMMYFUNCTION("""COMPUTED_VALUE"""),1.1538461538461537)</f>
        <v>1.153846154</v>
      </c>
      <c r="L1741" s="82">
        <f>IFERROR(__xludf.DUMMYFUNCTION("""COMPUTED_VALUE"""),0.3076923076923077)</f>
        <v>0.3076923077</v>
      </c>
      <c r="M1741" s="82">
        <f>IFERROR(__xludf.DUMMYFUNCTION("""COMPUTED_VALUE"""),1.4615384615384615)</f>
        <v>1.461538462</v>
      </c>
      <c r="N1741" s="82">
        <f>IFERROR(__xludf.DUMMYFUNCTION("""COMPUTED_VALUE"""),3.3076923076923075)</f>
        <v>3.307692308</v>
      </c>
      <c r="O1741" s="82">
        <f>IFERROR(__xludf.DUMMYFUNCTION("""COMPUTED_VALUE"""),429.15384615384613)</f>
        <v>429.1538462</v>
      </c>
      <c r="P1741" s="82">
        <f>IFERROR(__xludf.DUMMYFUNCTION("""COMPUTED_VALUE"""),1.1025641025641026)</f>
        <v>1.102564103</v>
      </c>
      <c r="Q1741" s="82">
        <f>IFERROR(__xludf.DUMMYFUNCTION("""COMPUTED_VALUE"""),0.8205128205128206)</f>
        <v>0.8205128205</v>
      </c>
      <c r="R1741" s="82">
        <f>IFERROR(__xludf.DUMMYFUNCTION("""COMPUTED_VALUE"""),1.6153846153846154)</f>
        <v>1.615384615</v>
      </c>
      <c r="S1741" s="82">
        <f>IFERROR(__xludf.DUMMYFUNCTION("""COMPUTED_VALUE"""),3.0512820512820515)</f>
        <v>3.051282051</v>
      </c>
      <c r="T1741" s="82">
        <f>IFERROR(__xludf.DUMMYFUNCTION("""COMPUTED_VALUE"""),351.9745958101727)</f>
        <v>351.9745958</v>
      </c>
      <c r="U1741" s="82">
        <f>IFERROR(__xludf.DUMMYFUNCTION("""COMPUTED_VALUE"""),0.7788280451741992)</f>
        <v>0.7788280452</v>
      </c>
      <c r="V1741" s="82">
        <f>IFERROR(__xludf.DUMMYFUNCTION("""COMPUTED_VALUE"""),0.569495781995782)</f>
        <v>0.569495782</v>
      </c>
      <c r="W1741" s="82">
        <f>IFERROR(__xludf.DUMMYFUNCTION("""COMPUTED_VALUE"""),1.301111957842727)</f>
        <v>1.301111958</v>
      </c>
      <c r="X1741" s="82">
        <f>IFERROR(__xludf.DUMMYFUNCTION("""COMPUTED_VALUE"""),2.6349059416367107)</f>
        <v>2.634905942</v>
      </c>
      <c r="Y1741" s="82">
        <f>IFERROR(__xludf.DUMMYFUNCTION("""COMPUTED_VALUE"""),340.96417917315364)</f>
        <v>340.9641792</v>
      </c>
      <c r="Z1741" s="82">
        <f>IFERROR(__xludf.DUMMYFUNCTION("""COMPUTED_VALUE"""),0.743584122430276)</f>
        <v>0.7435841224</v>
      </c>
      <c r="AA1741" s="82">
        <f>IFERROR(__xludf.DUMMYFUNCTION("""COMPUTED_VALUE"""),0.5390544521954778)</f>
        <v>0.5390544522</v>
      </c>
      <c r="AB1741" s="82">
        <f>IFERROR(__xludf.DUMMYFUNCTION("""COMPUTED_VALUE"""),1.332638123984278)</f>
        <v>1.332638124</v>
      </c>
      <c r="AC1741" s="82">
        <f>IFERROR(__xludf.DUMMYFUNCTION("""COMPUTED_VALUE"""),2.5469163315317163)</f>
        <v>2.546916332</v>
      </c>
      <c r="AD1741" s="82">
        <f>IFERROR(__xludf.DUMMYFUNCTION("""COMPUTED_VALUE"""),1.1559978151067913)</f>
        <v>1.155997815</v>
      </c>
      <c r="AE1741" s="82">
        <f>IFERROR(__xludf.DUMMYFUNCTION("""COMPUTED_VALUE"""),1.5517358682633071)</f>
        <v>1.551735868</v>
      </c>
      <c r="AF1741" s="82">
        <f>IFERROR(__xludf.DUMMYFUNCTION("""COMPUTED_VALUE"""),0.5708000489359264)</f>
        <v>0.5708000489</v>
      </c>
      <c r="AG1741" s="82">
        <f>IFERROR(__xludf.DUMMYFUNCTION("""COMPUTED_VALUE"""),1.09672568661686)</f>
        <v>1.096725687</v>
      </c>
      <c r="AH1741" s="82">
        <f>IFERROR(__xludf.DUMMYFUNCTION("""COMPUTED_VALUE"""),1.2987047382522614)</f>
        <v>1.298704738</v>
      </c>
      <c r="AI1741" s="82">
        <f>IFERROR(__xludf.DUMMYFUNCTION("""COMPUTED_VALUE"""),1.2192750592298367)</f>
        <v>1.219275059</v>
      </c>
      <c r="AJ1741" s="82">
        <f>IFERROR(__xludf.DUMMYFUNCTION("""COMPUTED_VALUE"""),1.415670775334617)</f>
        <v>1.415670775</v>
      </c>
      <c r="AK1741" s="82">
        <f>IFERROR(__xludf.DUMMYFUNCTION("""COMPUTED_VALUE"""),1.4407706719747009)</f>
        <v>1.440770672</v>
      </c>
      <c r="AL1741" s="82">
        <f>IFERROR(__xludf.DUMMYFUNCTION("""COMPUTED_VALUE"""),1.2415415949776987)</f>
        <v>1.241541595</v>
      </c>
      <c r="AM1741" s="82">
        <f>IFERROR(__xludf.DUMMYFUNCTION("""COMPUTED_VALUE"""),1.1580231396748466)</f>
        <v>1.15802314</v>
      </c>
      <c r="AN1741" s="82">
        <f>IFERROR(__xludf.DUMMYFUNCTION("""COMPUTED_VALUE"""),1.162898396770382)</f>
        <v>1.162898397</v>
      </c>
      <c r="AO1741" s="82">
        <f>IFERROR(__xludf.DUMMYFUNCTION("""COMPUTED_VALUE"""),1.5705847631267356)</f>
        <v>1.570584763</v>
      </c>
      <c r="AP1741" s="82">
        <f>IFERROR(__xludf.DUMMYFUNCTION("""COMPUTED_VALUE"""),0.5494271189599134)</f>
        <v>0.549427119</v>
      </c>
      <c r="AQ1741" s="82">
        <f>IFERROR(__xludf.DUMMYFUNCTION("""COMPUTED_VALUE"""),1.115307719261336)</f>
        <v>1.115307719</v>
      </c>
      <c r="AR1741" s="82">
        <f>IFERROR(__xludf.DUMMYFUNCTION("""COMPUTED_VALUE"""),1.3282061415088737)</f>
        <v>1.328206142</v>
      </c>
      <c r="AS1741" s="82">
        <f>IFERROR(__xludf.DUMMYFUNCTION("""COMPUTED_VALUE"""),32.0)</f>
        <v>32</v>
      </c>
      <c r="AT1741" s="82">
        <f>IFERROR(__xludf.DUMMYFUNCTION("""COMPUTED_VALUE"""),0.38022547830195996)</f>
        <v>0.3802254783</v>
      </c>
      <c r="AU1741" s="82">
        <f>IFERROR(__xludf.DUMMYFUNCTION("""COMPUTED_VALUE"""),2.3555311734101516)</f>
        <v>2.355531173</v>
      </c>
      <c r="AV1741" s="82">
        <f>IFERROR(__xludf.DUMMYFUNCTION("""COMPUTED_VALUE"""),62.69129718158293)</f>
        <v>62.69129718</v>
      </c>
      <c r="AW1741" s="82">
        <f t="shared" si="1"/>
        <v>3.269589978</v>
      </c>
      <c r="AX1741" s="83">
        <f t="array" ref="AX1741">IFERROR(DGET('SBV Import'!A:G,"SBV",{"RSC ID","Tier";B1741,A1741}))</f>
        <v>47.40928106</v>
      </c>
      <c r="AY1741" s="82">
        <f t="shared" si="2"/>
        <v>-2.179922128</v>
      </c>
      <c r="AZ1741" s="82">
        <v>5.449512105947987</v>
      </c>
      <c r="BA1741" s="84">
        <v>1700.0</v>
      </c>
      <c r="BB1741" s="84" t="b">
        <f>IFERROR(__xludf.DUMMYFUNCTION("iferror(if(A1741="""",,E1741&gt;=FILTER(Constants!$F$2:$F$10,Constants!$A$2:$A$10=A1741)))"),TRUE)</f>
        <v>1</v>
      </c>
    </row>
    <row r="1742">
      <c r="A1742" s="89" t="str">
        <f>IFERROR(__xludf.DUMMYFUNCTION("""COMPUTED_VALUE"""),"Rival")</f>
        <v>Rival</v>
      </c>
      <c r="B1742" s="87" t="str">
        <f>IFERROR(__xludf.DUMMYFUNCTION("""COMPUTED_VALUE"""),"RSC004365")</f>
        <v>RSC004365</v>
      </c>
      <c r="C1742" s="73" t="str">
        <f>IFERROR(__xludf.DUMMYFUNCTION("""COMPUTED_VALUE"""),"Mattixbigs")</f>
        <v>Mattixbigs</v>
      </c>
      <c r="D1742" s="73" t="str">
        <f>IFERROR(__xludf.DUMMYFUNCTION("""COMPUTED_VALUE"""),"Ostriches")</f>
        <v>Ostriches</v>
      </c>
      <c r="E1742" s="82">
        <f>IFERROR(__xludf.DUMMYFUNCTION("""COMPUTED_VALUE"""),12.0)</f>
        <v>12</v>
      </c>
      <c r="F1742" s="82">
        <f>IFERROR(__xludf.DUMMYFUNCTION("""COMPUTED_VALUE"""),5.0)</f>
        <v>5</v>
      </c>
      <c r="G1742" s="86">
        <f>IFERROR(__xludf.DUMMYFUNCTION("""COMPUTED_VALUE"""),7.0)</f>
        <v>7</v>
      </c>
      <c r="H1742" s="86">
        <f>IFERROR(__xludf.DUMMYFUNCTION("""COMPUTED_VALUE"""),0.4166666666666667)</f>
        <v>0.4166666667</v>
      </c>
      <c r="I1742" s="86">
        <f>IFERROR(__xludf.DUMMYFUNCTION("""COMPUTED_VALUE"""),0.29411764705882354)</f>
        <v>0.2941176471</v>
      </c>
      <c r="J1742" s="82">
        <f>IFERROR(__xludf.DUMMYFUNCTION("""COMPUTED_VALUE"""),372.4166666666667)</f>
        <v>372.4166667</v>
      </c>
      <c r="K1742" s="82">
        <f>IFERROR(__xludf.DUMMYFUNCTION("""COMPUTED_VALUE"""),0.8333333333333334)</f>
        <v>0.8333333333</v>
      </c>
      <c r="L1742" s="82">
        <f>IFERROR(__xludf.DUMMYFUNCTION("""COMPUTED_VALUE"""),0.75)</f>
        <v>0.75</v>
      </c>
      <c r="M1742" s="82">
        <f>IFERROR(__xludf.DUMMYFUNCTION("""COMPUTED_VALUE"""),1.3333333333333333)</f>
        <v>1.333333333</v>
      </c>
      <c r="N1742" s="82">
        <f>IFERROR(__xludf.DUMMYFUNCTION("""COMPUTED_VALUE"""),2.8333333333333335)</f>
        <v>2.833333333</v>
      </c>
      <c r="O1742" s="82">
        <f>IFERROR(__xludf.DUMMYFUNCTION("""COMPUTED_VALUE"""),379.49999999999994)</f>
        <v>379.5</v>
      </c>
      <c r="P1742" s="82">
        <f>IFERROR(__xludf.DUMMYFUNCTION("""COMPUTED_VALUE"""),0.861111111111111)</f>
        <v>0.8611111111</v>
      </c>
      <c r="Q1742" s="82">
        <f>IFERROR(__xludf.DUMMYFUNCTION("""COMPUTED_VALUE"""),0.611111111111111)</f>
        <v>0.6111111111</v>
      </c>
      <c r="R1742" s="82">
        <f>IFERROR(__xludf.DUMMYFUNCTION("""COMPUTED_VALUE"""),1.361111111111111)</f>
        <v>1.361111111</v>
      </c>
      <c r="S1742" s="82">
        <f>IFERROR(__xludf.DUMMYFUNCTION("""COMPUTED_VALUE"""),2.5555555555555554)</f>
        <v>2.555555556</v>
      </c>
      <c r="T1742" s="82">
        <f>IFERROR(__xludf.DUMMYFUNCTION("""COMPUTED_VALUE"""),340.7583752739854)</f>
        <v>340.7583753</v>
      </c>
      <c r="U1742" s="82">
        <f>IFERROR(__xludf.DUMMYFUNCTION("""COMPUTED_VALUE"""),0.6671214850798579)</f>
        <v>0.6671214851</v>
      </c>
      <c r="V1742" s="82">
        <f>IFERROR(__xludf.DUMMYFUNCTION("""COMPUTED_VALUE"""),0.5951825494371747)</f>
        <v>0.5951825494</v>
      </c>
      <c r="W1742" s="82">
        <f>IFERROR(__xludf.DUMMYFUNCTION("""COMPUTED_VALUE"""),1.3720744922683965)</f>
        <v>1.372074492</v>
      </c>
      <c r="X1742" s="82">
        <f>IFERROR(__xludf.DUMMYFUNCTION("""COMPUTED_VALUE"""),2.3225971362939655)</f>
        <v>2.322597136</v>
      </c>
      <c r="Y1742" s="82">
        <f>IFERROR(__xludf.DUMMYFUNCTION("""COMPUTED_VALUE"""),348.8622387546805)</f>
        <v>348.8622388</v>
      </c>
      <c r="Z1742" s="82">
        <f>IFERROR(__xludf.DUMMYFUNCTION("""COMPUTED_VALUE"""),0.78547487819573)</f>
        <v>0.7854748782</v>
      </c>
      <c r="AA1742" s="82">
        <f>IFERROR(__xludf.DUMMYFUNCTION("""COMPUTED_VALUE"""),0.596385405584159)</f>
        <v>0.5963854056</v>
      </c>
      <c r="AB1742" s="82">
        <f>IFERROR(__xludf.DUMMYFUNCTION("""COMPUTED_VALUE"""),1.2200832049131518)</f>
        <v>1.220083205</v>
      </c>
      <c r="AC1742" s="82">
        <f>IFERROR(__xludf.DUMMYFUNCTION("""COMPUTED_VALUE"""),2.6205818355183212)</f>
        <v>2.620581836</v>
      </c>
      <c r="AD1742" s="82">
        <f>IFERROR(__xludf.DUMMYFUNCTION("""COMPUTED_VALUE"""),1.0675178488679873)</f>
        <v>1.067517849</v>
      </c>
      <c r="AE1742" s="82">
        <f>IFERROR(__xludf.DUMMYFUNCTION("""COMPUTED_VALUE"""),1.0609293262790738)</f>
        <v>1.060929326</v>
      </c>
      <c r="AF1742" s="82">
        <f>IFERROR(__xludf.DUMMYFUNCTION("""COMPUTED_VALUE"""),1.2575760455864538)</f>
        <v>1.257576046</v>
      </c>
      <c r="AG1742" s="82">
        <f>IFERROR(__xludf.DUMMYFUNCTION("""COMPUTED_VALUE"""),1.092821643609333)</f>
        <v>1.092821644</v>
      </c>
      <c r="AH1742" s="82">
        <f>IFERROR(__xludf.DUMMYFUNCTION("""COMPUTED_VALUE"""),1.0811848326701587)</f>
        <v>1.081184833</v>
      </c>
      <c r="AI1742" s="82">
        <f>IFERROR(__xludf.DUMMYFUNCTION("""COMPUTED_VALUE"""),1.1136923624983963)</f>
        <v>1.113692362</v>
      </c>
      <c r="AJ1742" s="82">
        <f>IFERROR(__xludf.DUMMYFUNCTION("""COMPUTED_VALUE"""),1.290786056767504)</f>
        <v>1.290786057</v>
      </c>
      <c r="AK1742" s="82">
        <f>IFERROR(__xludf.DUMMYFUNCTION("""COMPUTED_VALUE"""),1.0267624810051956)</f>
        <v>1.026762481</v>
      </c>
      <c r="AL1742" s="82">
        <f>IFERROR(__xludf.DUMMYFUNCTION("""COMPUTED_VALUE"""),0.9920096312415514)</f>
        <v>0.9920096312</v>
      </c>
      <c r="AM1742" s="82">
        <f>IFERROR(__xludf.DUMMYFUNCTION("""COMPUTED_VALUE"""),1.1003008294556447)</f>
        <v>1.100300829</v>
      </c>
      <c r="AN1742" s="82">
        <f>IFERROR(__xludf.DUMMYFUNCTION("""COMPUTED_VALUE"""),1.098765745465276)</f>
        <v>1.098765745</v>
      </c>
      <c r="AO1742" s="82">
        <f>IFERROR(__xludf.DUMMYFUNCTION("""COMPUTED_VALUE"""),1.1343112178137535)</f>
        <v>1.134311218</v>
      </c>
      <c r="AP1742" s="82">
        <f>IFERROR(__xludf.DUMMYFUNCTION("""COMPUTED_VALUE"""),1.3392286024647886)</f>
        <v>1.339228602</v>
      </c>
      <c r="AQ1742" s="82">
        <f>IFERROR(__xludf.DUMMYFUNCTION("""COMPUTED_VALUE"""),1.0174737087998156)</f>
        <v>1.017473709</v>
      </c>
      <c r="AR1742" s="82">
        <f>IFERROR(__xludf.DUMMYFUNCTION("""COMPUTED_VALUE"""),1.137726966176206)</f>
        <v>1.137726966</v>
      </c>
      <c r="AS1742" s="82">
        <f>IFERROR(__xludf.DUMMYFUNCTION("""COMPUTED_VALUE"""),27.0)</f>
        <v>27</v>
      </c>
      <c r="AT1742" s="82">
        <f>IFERROR(__xludf.DUMMYFUNCTION("""COMPUTED_VALUE"""),0.44592841257110755)</f>
        <v>0.4459284126</v>
      </c>
      <c r="AU1742" s="82">
        <f>IFERROR(__xludf.DUMMYFUNCTION("""COMPUTED_VALUE"""),2.351792818019086)</f>
        <v>2.351792818</v>
      </c>
      <c r="AV1742" s="82">
        <f>IFERROR(__xludf.DUMMYFUNCTION("""COMPUTED_VALUE"""),62.559243256444994)</f>
        <v>62.55924326</v>
      </c>
      <c r="AW1742" s="82">
        <f t="shared" si="1"/>
        <v>3.249879317</v>
      </c>
      <c r="AX1742" s="83">
        <f t="array" ref="AX1742">IFERROR(DGET('SBV Import'!A:G,"SBV",{"RSC ID","Tier";B1742,A1742}))</f>
        <v>63.20076005</v>
      </c>
      <c r="AY1742" s="82">
        <f t="shared" si="2"/>
        <v>3.34740227</v>
      </c>
      <c r="AZ1742" s="82">
        <v>0.09752295259466681</v>
      </c>
      <c r="BA1742" s="84">
        <v>1700.0</v>
      </c>
      <c r="BB1742" s="84" t="b">
        <f>IFERROR(__xludf.DUMMYFUNCTION("iferror(if(A1742="""",,E1742&gt;=FILTER(Constants!$F$2:$F$10,Constants!$A$2:$A$10=A1742)))"),TRUE)</f>
        <v>1</v>
      </c>
    </row>
    <row r="1743">
      <c r="A1743" s="89" t="str">
        <f>IFERROR(__xludf.DUMMYFUNCTION("""COMPUTED_VALUE"""),"Rival")</f>
        <v>Rival</v>
      </c>
      <c r="B1743" s="87" t="str">
        <f>IFERROR(__xludf.DUMMYFUNCTION("""COMPUTED_VALUE"""),"RSC002036")</f>
        <v>RSC002036</v>
      </c>
      <c r="C1743" s="73" t="str">
        <f>IFERROR(__xludf.DUMMYFUNCTION("""COMPUTED_VALUE"""),"Reno")</f>
        <v>Reno</v>
      </c>
      <c r="D1743" s="73" t="str">
        <f>IFERROR(__xludf.DUMMYFUNCTION("""COMPUTED_VALUE"""),"Polar Ice")</f>
        <v>Polar Ice</v>
      </c>
      <c r="E1743" s="82">
        <f>IFERROR(__xludf.DUMMYFUNCTION("""COMPUTED_VALUE"""),35.0)</f>
        <v>35</v>
      </c>
      <c r="F1743" s="82">
        <f>IFERROR(__xludf.DUMMYFUNCTION("""COMPUTED_VALUE"""),16.0)</f>
        <v>16</v>
      </c>
      <c r="G1743" s="86">
        <f>IFERROR(__xludf.DUMMYFUNCTION("""COMPUTED_VALUE"""),19.0)</f>
        <v>19</v>
      </c>
      <c r="H1743" s="86">
        <f>IFERROR(__xludf.DUMMYFUNCTION("""COMPUTED_VALUE"""),0.45714285714285713)</f>
        <v>0.4571428571</v>
      </c>
      <c r="I1743" s="86">
        <f>IFERROR(__xludf.DUMMYFUNCTION("""COMPUTED_VALUE"""),0.2727272727272727)</f>
        <v>0.2727272727</v>
      </c>
      <c r="J1743" s="82">
        <f>IFERROR(__xludf.DUMMYFUNCTION("""COMPUTED_VALUE"""),376.1142857142857)</f>
        <v>376.1142857</v>
      </c>
      <c r="K1743" s="82">
        <f>IFERROR(__xludf.DUMMYFUNCTION("""COMPUTED_VALUE"""),0.8571428571428571)</f>
        <v>0.8571428571</v>
      </c>
      <c r="L1743" s="82">
        <f>IFERROR(__xludf.DUMMYFUNCTION("""COMPUTED_VALUE"""),0.5142857142857142)</f>
        <v>0.5142857143</v>
      </c>
      <c r="M1743" s="82">
        <f>IFERROR(__xludf.DUMMYFUNCTION("""COMPUTED_VALUE"""),1.542857142857143)</f>
        <v>1.542857143</v>
      </c>
      <c r="N1743" s="82">
        <f>IFERROR(__xludf.DUMMYFUNCTION("""COMPUTED_VALUE"""),3.142857142857143)</f>
        <v>3.142857143</v>
      </c>
      <c r="O1743" s="82">
        <f>IFERROR(__xludf.DUMMYFUNCTION("""COMPUTED_VALUE"""),365.2571428571429)</f>
        <v>365.2571429</v>
      </c>
      <c r="P1743" s="82">
        <f>IFERROR(__xludf.DUMMYFUNCTION("""COMPUTED_VALUE"""),0.8285714285714285)</f>
        <v>0.8285714286</v>
      </c>
      <c r="Q1743" s="82">
        <f>IFERROR(__xludf.DUMMYFUNCTION("""COMPUTED_VALUE"""),0.5619047619047619)</f>
        <v>0.5619047619</v>
      </c>
      <c r="R1743" s="82">
        <f>IFERROR(__xludf.DUMMYFUNCTION("""COMPUTED_VALUE"""),1.428571428571429)</f>
        <v>1.428571429</v>
      </c>
      <c r="S1743" s="82">
        <f>IFERROR(__xludf.DUMMYFUNCTION("""COMPUTED_VALUE"""),2.638095238095238)</f>
        <v>2.638095238</v>
      </c>
      <c r="T1743" s="82">
        <f>IFERROR(__xludf.DUMMYFUNCTION("""COMPUTED_VALUE"""),341.0528984956323)</f>
        <v>341.0528985</v>
      </c>
      <c r="U1743" s="82">
        <f>IFERROR(__xludf.DUMMYFUNCTION("""COMPUTED_VALUE"""),0.751964272370435)</f>
        <v>0.7519642724</v>
      </c>
      <c r="V1743" s="82">
        <f>IFERROR(__xludf.DUMMYFUNCTION("""COMPUTED_VALUE"""),0.5192576710041698)</f>
        <v>0.519257671</v>
      </c>
      <c r="W1743" s="82">
        <f>IFERROR(__xludf.DUMMYFUNCTION("""COMPUTED_VALUE"""),1.2943621102675726)</f>
        <v>1.29436211</v>
      </c>
      <c r="X1743" s="82">
        <f>IFERROR(__xludf.DUMMYFUNCTION("""COMPUTED_VALUE"""),2.5206050606204666)</f>
        <v>2.520605061</v>
      </c>
      <c r="Y1743" s="82">
        <f>IFERROR(__xludf.DUMMYFUNCTION("""COMPUTED_VALUE"""),346.39176255090655)</f>
        <v>346.3917626</v>
      </c>
      <c r="Z1743" s="82">
        <f>IFERROR(__xludf.DUMMYFUNCTION("""COMPUTED_VALUE"""),0.7757448500681461)</f>
        <v>0.7757448501</v>
      </c>
      <c r="AA1743" s="82">
        <f>IFERROR(__xludf.DUMMYFUNCTION("""COMPUTED_VALUE"""),0.5621152564539589)</f>
        <v>0.5621152565</v>
      </c>
      <c r="AB1743" s="82">
        <f>IFERROR(__xludf.DUMMYFUNCTION("""COMPUTED_VALUE"""),1.3180640202727039)</f>
        <v>1.31806402</v>
      </c>
      <c r="AC1743" s="82">
        <f>IFERROR(__xludf.DUMMYFUNCTION("""COMPUTED_VALUE"""),2.5471693599221616)</f>
        <v>2.54716936</v>
      </c>
      <c r="AD1743" s="82">
        <f>IFERROR(__xludf.DUMMYFUNCTION("""COMPUTED_VALUE"""),1.0858060911855867)</f>
        <v>1.085806091</v>
      </c>
      <c r="AE1743" s="82">
        <f>IFERROR(__xludf.DUMMYFUNCTION("""COMPUTED_VALUE"""),1.1049288397693655)</f>
        <v>1.10492884</v>
      </c>
      <c r="AF1743" s="82">
        <f>IFERROR(__xludf.DUMMYFUNCTION("""COMPUTED_VALUE"""),0.9149115032565173)</f>
        <v>0.9149115033</v>
      </c>
      <c r="AG1743" s="82">
        <f>IFERROR(__xludf.DUMMYFUNCTION("""COMPUTED_VALUE"""),1.1705479545203958)</f>
        <v>1.170547955</v>
      </c>
      <c r="AH1743" s="82">
        <f>IFERROR(__xludf.DUMMYFUNCTION("""COMPUTED_VALUE"""),1.2338626525223217)</f>
        <v>1.233862653</v>
      </c>
      <c r="AI1743" s="82">
        <f>IFERROR(__xludf.DUMMYFUNCTION("""COMPUTED_VALUE"""),1.0709691794682712)</f>
        <v>1.070969179</v>
      </c>
      <c r="AJ1743" s="82">
        <f>IFERROR(__xludf.DUMMYFUNCTION("""COMPUTED_VALUE"""),1.1018760584987675)</f>
        <v>1.101876058</v>
      </c>
      <c r="AK1743" s="82">
        <f>IFERROR(__xludf.DUMMYFUNCTION("""COMPUTED_VALUE"""),1.0821308827621532)</f>
        <v>1.082130883</v>
      </c>
      <c r="AL1743" s="82">
        <f>IFERROR(__xludf.DUMMYFUNCTION("""COMPUTED_VALUE"""),1.1036876135659692)</f>
        <v>1.103687614</v>
      </c>
      <c r="AM1743" s="82">
        <f>IFERROR(__xludf.DUMMYFUNCTION("""COMPUTED_VALUE"""),1.0466118946241623)</f>
        <v>1.046611895</v>
      </c>
      <c r="AN1743" s="82">
        <f>IFERROR(__xludf.DUMMYFUNCTION("""COMPUTED_VALUE"""),1.1096750777077564)</f>
        <v>1.109675078</v>
      </c>
      <c r="AO1743" s="82">
        <f>IFERROR(__xludf.DUMMYFUNCTION("""COMPUTED_VALUE"""),1.1667201097512891)</f>
        <v>1.16672011</v>
      </c>
      <c r="AP1743" s="82">
        <f>IFERROR(__xludf.DUMMYFUNCTION("""COMPUTED_VALUE"""),0.9183281845472836)</f>
        <v>0.9183281845</v>
      </c>
      <c r="AQ1743" s="82">
        <f>IFERROR(__xludf.DUMMYFUNCTION("""COMPUTED_VALUE"""),1.177362434468358)</f>
        <v>1.177362434</v>
      </c>
      <c r="AR1743" s="82">
        <f>IFERROR(__xludf.DUMMYFUNCTION("""COMPUTED_VALUE"""),1.2620164666828502)</f>
        <v>1.262016467</v>
      </c>
      <c r="AS1743" s="82">
        <f>IFERROR(__xludf.DUMMYFUNCTION("""COMPUTED_VALUE"""),85.0)</f>
        <v>85</v>
      </c>
      <c r="AT1743" s="82">
        <f>IFERROR(__xludf.DUMMYFUNCTION("""COMPUTED_VALUE"""),0.4908189691573656)</f>
        <v>0.4908189692</v>
      </c>
      <c r="AU1743" s="82">
        <f>IFERROR(__xludf.DUMMYFUNCTION("""COMPUTED_VALUE"""),2.340006332152173)</f>
        <v>2.340006332</v>
      </c>
      <c r="AV1743" s="82">
        <f>IFERROR(__xludf.DUMMYFUNCTION("""COMPUTED_VALUE"""),62.14289661213492)</f>
        <v>62.14289661</v>
      </c>
      <c r="AW1743" s="82">
        <f t="shared" si="1"/>
        <v>3.188934987</v>
      </c>
      <c r="AX1743" s="83">
        <f t="array" ref="AX1743">IFERROR(DGET('SBV Import'!A:G,"SBV",{"RSC ID","Tier";B1743,A1743}))</f>
        <v>55.66749544</v>
      </c>
      <c r="AY1743" s="82">
        <f t="shared" si="2"/>
        <v>2.437071259</v>
      </c>
      <c r="AZ1743" s="82">
        <v>0.7518637278782778</v>
      </c>
      <c r="BA1743" s="84">
        <v>1700.0</v>
      </c>
      <c r="BB1743" s="84" t="b">
        <f>IFERROR(__xludf.DUMMYFUNCTION("iferror(if(A1743="""",,E1743&gt;=FILTER(Constants!$F$2:$F$10,Constants!$A$2:$A$10=A1743)))"),TRUE)</f>
        <v>1</v>
      </c>
    </row>
    <row r="1744">
      <c r="A1744" s="89" t="str">
        <f>IFERROR(__xludf.DUMMYFUNCTION("""COMPUTED_VALUE"""),"Rival")</f>
        <v>Rival</v>
      </c>
      <c r="B1744" s="87" t="str">
        <f>IFERROR(__xludf.DUMMYFUNCTION("""COMPUTED_VALUE"""),"RSC004283")</f>
        <v>RSC004283</v>
      </c>
      <c r="C1744" s="73" t="str">
        <f>IFERROR(__xludf.DUMMYFUNCTION("""COMPUTED_VALUE"""),"Tragic Event")</f>
        <v>Tragic Event</v>
      </c>
      <c r="D1744" s="73" t="str">
        <f>IFERROR(__xludf.DUMMYFUNCTION("""COMPUTED_VALUE"""),"Quasars")</f>
        <v>Quasars</v>
      </c>
      <c r="E1744" s="82">
        <f>IFERROR(__xludf.DUMMYFUNCTION("""COMPUTED_VALUE"""),4.0)</f>
        <v>4</v>
      </c>
      <c r="F1744" s="82">
        <f>IFERROR(__xludf.DUMMYFUNCTION("""COMPUTED_VALUE"""),2.0)</f>
        <v>2</v>
      </c>
      <c r="G1744" s="86">
        <f>IFERROR(__xludf.DUMMYFUNCTION("""COMPUTED_VALUE"""),2.0)</f>
        <v>2</v>
      </c>
      <c r="H1744" s="86">
        <f>IFERROR(__xludf.DUMMYFUNCTION("""COMPUTED_VALUE"""),0.5)</f>
        <v>0.5</v>
      </c>
      <c r="I1744" s="86">
        <f>IFERROR(__xludf.DUMMYFUNCTION("""COMPUTED_VALUE"""),0.4444444444444444)</f>
        <v>0.4444444444</v>
      </c>
      <c r="J1744" s="82">
        <f>IFERROR(__xludf.DUMMYFUNCTION("""COMPUTED_VALUE"""),305.0)</f>
        <v>305</v>
      </c>
      <c r="K1744" s="82">
        <f>IFERROR(__xludf.DUMMYFUNCTION("""COMPUTED_VALUE"""),1.0)</f>
        <v>1</v>
      </c>
      <c r="L1744" s="82">
        <f>IFERROR(__xludf.DUMMYFUNCTION("""COMPUTED_VALUE"""),0.5)</f>
        <v>0.5</v>
      </c>
      <c r="M1744" s="82">
        <f>IFERROR(__xludf.DUMMYFUNCTION("""COMPUTED_VALUE"""),1.25)</f>
        <v>1.25</v>
      </c>
      <c r="N1744" s="82">
        <f>IFERROR(__xludf.DUMMYFUNCTION("""COMPUTED_VALUE"""),2.25)</f>
        <v>2.25</v>
      </c>
      <c r="O1744" s="82">
        <f>IFERROR(__xludf.DUMMYFUNCTION("""COMPUTED_VALUE"""),294.6666666666667)</f>
        <v>294.6666667</v>
      </c>
      <c r="P1744" s="82">
        <f>IFERROR(__xludf.DUMMYFUNCTION("""COMPUTED_VALUE"""),0.5833333333333334)</f>
        <v>0.5833333333</v>
      </c>
      <c r="Q1744" s="82">
        <f>IFERROR(__xludf.DUMMYFUNCTION("""COMPUTED_VALUE"""),0.41666666666666663)</f>
        <v>0.4166666667</v>
      </c>
      <c r="R1744" s="82">
        <f>IFERROR(__xludf.DUMMYFUNCTION("""COMPUTED_VALUE"""),1.1666666666666665)</f>
        <v>1.166666667</v>
      </c>
      <c r="S1744" s="82">
        <f>IFERROR(__xludf.DUMMYFUNCTION("""COMPUTED_VALUE"""),2.416666666666667)</f>
        <v>2.416666667</v>
      </c>
      <c r="T1744" s="82">
        <f>IFERROR(__xludf.DUMMYFUNCTION("""COMPUTED_VALUE"""),385.9626068376068)</f>
        <v>385.9626068</v>
      </c>
      <c r="U1744" s="82">
        <f>IFERROR(__xludf.DUMMYFUNCTION("""COMPUTED_VALUE"""),0.9193376068376068)</f>
        <v>0.9193376068</v>
      </c>
      <c r="V1744" s="82">
        <f>IFERROR(__xludf.DUMMYFUNCTION("""COMPUTED_VALUE"""),0.7115384615384615)</f>
        <v>0.7115384615</v>
      </c>
      <c r="W1744" s="82">
        <f>IFERROR(__xludf.DUMMYFUNCTION("""COMPUTED_VALUE"""),1.419070512820513)</f>
        <v>1.419070513</v>
      </c>
      <c r="X1744" s="82">
        <f>IFERROR(__xludf.DUMMYFUNCTION("""COMPUTED_VALUE"""),2.8440170940170937)</f>
        <v>2.844017094</v>
      </c>
      <c r="Y1744" s="82">
        <f>IFERROR(__xludf.DUMMYFUNCTION("""COMPUTED_VALUE"""),368.7742165242165)</f>
        <v>368.7742165</v>
      </c>
      <c r="Z1744" s="82">
        <f>IFERROR(__xludf.DUMMYFUNCTION("""COMPUTED_VALUE"""),0.9159544159544158)</f>
        <v>0.915954416</v>
      </c>
      <c r="AA1744" s="82">
        <f>IFERROR(__xludf.DUMMYFUNCTION("""COMPUTED_VALUE"""),0.6398682336182335)</f>
        <v>0.6398682336</v>
      </c>
      <c r="AB1744" s="82">
        <f>IFERROR(__xludf.DUMMYFUNCTION("""COMPUTED_VALUE"""),1.3755341880341883)</f>
        <v>1.375534188</v>
      </c>
      <c r="AC1744" s="82">
        <f>IFERROR(__xludf.DUMMYFUNCTION("""COMPUTED_VALUE"""),2.7277421652421654)</f>
        <v>2.727742165</v>
      </c>
      <c r="AD1744" s="82">
        <f>IFERROR(__xludf.DUMMYFUNCTION("""COMPUTED_VALUE"""),0.8270643291570017)</f>
        <v>0.8270643292</v>
      </c>
      <c r="AE1744" s="82">
        <f>IFERROR(__xludf.DUMMYFUNCTION("""COMPUTED_VALUE"""),1.0917573872472786)</f>
        <v>1.091757387</v>
      </c>
      <c r="AF1744" s="82">
        <f>IFERROR(__xludf.DUMMYFUNCTION("""COMPUTED_VALUE"""),0.7814108807569223)</f>
        <v>0.7814108808</v>
      </c>
      <c r="AG1744" s="82">
        <f>IFERROR(__xludf.DUMMYFUNCTION("""COMPUTED_VALUE"""),0.9087378640776698)</f>
        <v>0.9087378641</v>
      </c>
      <c r="AH1744" s="82">
        <f>IFERROR(__xludf.DUMMYFUNCTION("""COMPUTED_VALUE"""),0.8248580194529669)</f>
        <v>0.8248580195</v>
      </c>
      <c r="AI1744" s="82">
        <f>IFERROR(__xludf.DUMMYFUNCTION("""COMPUTED_VALUE"""),0.7634591057434931)</f>
        <v>0.7634591057</v>
      </c>
      <c r="AJ1744" s="82">
        <f>IFERROR(__xludf.DUMMYFUNCTION("""COMPUTED_VALUE"""),0.6345148169668798)</f>
        <v>0.634514817</v>
      </c>
      <c r="AK1744" s="82">
        <f>IFERROR(__xludf.DUMMYFUNCTION("""COMPUTED_VALUE"""),0.5855855855855856)</f>
        <v>0.5855855856</v>
      </c>
      <c r="AL1744" s="82">
        <f>IFERROR(__xludf.DUMMYFUNCTION("""COMPUTED_VALUE"""),0.8221343873517785)</f>
        <v>0.8221343874</v>
      </c>
      <c r="AM1744" s="82">
        <f>IFERROR(__xludf.DUMMYFUNCTION("""COMPUTED_VALUE"""),0.8497370398196846)</f>
        <v>0.8497370398</v>
      </c>
      <c r="AN1744" s="82">
        <f>IFERROR(__xludf.DUMMYFUNCTION("""COMPUTED_VALUE"""),0.899861854643748)</f>
        <v>0.8998618546</v>
      </c>
      <c r="AO1744" s="82">
        <f>IFERROR(__xludf.DUMMYFUNCTION("""COMPUTED_VALUE"""),1.3611734613765043)</f>
        <v>1.361173461</v>
      </c>
      <c r="AP1744" s="82">
        <f>IFERROR(__xludf.DUMMYFUNCTION("""COMPUTED_VALUE"""),0.8928190683098591)</f>
        <v>0.8928190683</v>
      </c>
      <c r="AQ1744" s="82">
        <f>IFERROR(__xludf.DUMMYFUNCTION("""COMPUTED_VALUE"""),0.9538816019998271)</f>
        <v>0.953881602</v>
      </c>
      <c r="AR1744" s="82">
        <f>IFERROR(__xludf.DUMMYFUNCTION("""COMPUTED_VALUE"""),0.9034890613752222)</f>
        <v>0.9034890614</v>
      </c>
      <c r="AS1744" s="82">
        <f>IFERROR(__xludf.DUMMYFUNCTION("""COMPUTED_VALUE"""),9.0)</f>
        <v>9</v>
      </c>
      <c r="AT1744" s="82">
        <f>IFERROR(__xludf.DUMMYFUNCTION("""COMPUTED_VALUE"""),0.5924536639216754)</f>
        <v>0.5924536639</v>
      </c>
      <c r="AU1744" s="82">
        <f>IFERROR(__xludf.DUMMYFUNCTION("""COMPUTED_VALUE"""),2.3220353273850223)</f>
        <v>2.322035327</v>
      </c>
      <c r="AV1744" s="82">
        <f>IFERROR(__xludf.DUMMYFUNCTION("""COMPUTED_VALUE"""),61.50808759321541)</f>
        <v>61.50808759</v>
      </c>
      <c r="AW1744" s="82">
        <f t="shared" si="1"/>
        <v>3.099410333</v>
      </c>
      <c r="AX1744" s="83">
        <f t="array" ref="AX1744">IFERROR(DGET('SBV Import'!A:G,"SBV",{"RSC ID","Tier";B1744,A1744}))</f>
        <v>46.34024531</v>
      </c>
      <c r="AY1744" s="82">
        <f t="shared" si="2"/>
        <v>-2.263433376</v>
      </c>
      <c r="AZ1744" s="82">
        <v>5.362843709228012</v>
      </c>
      <c r="BA1744" s="84">
        <v>1700.0</v>
      </c>
      <c r="BB1744" s="84" t="b">
        <f>IFERROR(__xludf.DUMMYFUNCTION("iferror(if(A1744="""",,E1744&gt;=FILTER(Constants!$F$2:$F$10,Constants!$A$2:$A$10=A1744)))"),TRUE)</f>
        <v>1</v>
      </c>
    </row>
    <row r="1745">
      <c r="A1745" s="89" t="str">
        <f>IFERROR(__xludf.DUMMYFUNCTION("""COMPUTED_VALUE"""),"Rival")</f>
        <v>Rival</v>
      </c>
      <c r="B1745" s="87" t="str">
        <f>IFERROR(__xludf.DUMMYFUNCTION("""COMPUTED_VALUE"""),"RSC006938")</f>
        <v>RSC006938</v>
      </c>
      <c r="C1745" s="73" t="str">
        <f>IFERROR(__xludf.DUMMYFUNCTION("""COMPUTED_VALUE"""),"Soda. .")</f>
        <v>Soda. .</v>
      </c>
      <c r="D1745" s="73" t="str">
        <f>IFERROR(__xludf.DUMMYFUNCTION("""COMPUTED_VALUE"""),"Cursed")</f>
        <v>Cursed</v>
      </c>
      <c r="E1745" s="82">
        <f>IFERROR(__xludf.DUMMYFUNCTION("""COMPUTED_VALUE"""),36.0)</f>
        <v>36</v>
      </c>
      <c r="F1745" s="82">
        <f>IFERROR(__xludf.DUMMYFUNCTION("""COMPUTED_VALUE"""),23.0)</f>
        <v>23</v>
      </c>
      <c r="G1745" s="86">
        <f>IFERROR(__xludf.DUMMYFUNCTION("""COMPUTED_VALUE"""),13.0)</f>
        <v>13</v>
      </c>
      <c r="H1745" s="86">
        <f>IFERROR(__xludf.DUMMYFUNCTION("""COMPUTED_VALUE"""),0.6388888888888888)</f>
        <v>0.6388888889</v>
      </c>
      <c r="I1745" s="86">
        <f>IFERROR(__xludf.DUMMYFUNCTION("""COMPUTED_VALUE"""),0.3333333333333333)</f>
        <v>0.3333333333</v>
      </c>
      <c r="J1745" s="82">
        <f>IFERROR(__xludf.DUMMYFUNCTION("""COMPUTED_VALUE"""),341.8611111111111)</f>
        <v>341.8611111</v>
      </c>
      <c r="K1745" s="82">
        <f>IFERROR(__xludf.DUMMYFUNCTION("""COMPUTED_VALUE"""),0.8888888888888888)</f>
        <v>0.8888888889</v>
      </c>
      <c r="L1745" s="82">
        <f>IFERROR(__xludf.DUMMYFUNCTION("""COMPUTED_VALUE"""),0.5)</f>
        <v>0.5</v>
      </c>
      <c r="M1745" s="82">
        <f>IFERROR(__xludf.DUMMYFUNCTION("""COMPUTED_VALUE"""),1.1944444444444444)</f>
        <v>1.194444444</v>
      </c>
      <c r="N1745" s="82">
        <f>IFERROR(__xludf.DUMMYFUNCTION("""COMPUTED_VALUE"""),2.6666666666666665)</f>
        <v>2.666666667</v>
      </c>
      <c r="O1745" s="82">
        <f>IFERROR(__xludf.DUMMYFUNCTION("""COMPUTED_VALUE"""),330.62037037037044)</f>
        <v>330.6203704</v>
      </c>
      <c r="P1745" s="82">
        <f>IFERROR(__xludf.DUMMYFUNCTION("""COMPUTED_VALUE"""),0.6666666666666666)</f>
        <v>0.6666666667</v>
      </c>
      <c r="Q1745" s="82">
        <f>IFERROR(__xludf.DUMMYFUNCTION("""COMPUTED_VALUE"""),0.5092592592592592)</f>
        <v>0.5092592593</v>
      </c>
      <c r="R1745" s="82">
        <f>IFERROR(__xludf.DUMMYFUNCTION("""COMPUTED_VALUE"""),1.324074074074074)</f>
        <v>1.324074074</v>
      </c>
      <c r="S1745" s="82">
        <f>IFERROR(__xludf.DUMMYFUNCTION("""COMPUTED_VALUE"""),2.4722222222222223)</f>
        <v>2.472222222</v>
      </c>
      <c r="T1745" s="82">
        <f>IFERROR(__xludf.DUMMYFUNCTION("""COMPUTED_VALUE"""),355.9288104343109)</f>
        <v>355.9288104</v>
      </c>
      <c r="U1745" s="82">
        <f>IFERROR(__xludf.DUMMYFUNCTION("""COMPUTED_VALUE"""),0.7996393494463698)</f>
        <v>0.7996393494</v>
      </c>
      <c r="V1745" s="82">
        <f>IFERROR(__xludf.DUMMYFUNCTION("""COMPUTED_VALUE"""),0.5996154860590291)</f>
        <v>0.5996154861</v>
      </c>
      <c r="W1745" s="82">
        <f>IFERROR(__xludf.DUMMYFUNCTION("""COMPUTED_VALUE"""),1.3390263252219528)</f>
        <v>1.339026325</v>
      </c>
      <c r="X1745" s="82">
        <f>IFERROR(__xludf.DUMMYFUNCTION("""COMPUTED_VALUE"""),2.605865817793921)</f>
        <v>2.605865818</v>
      </c>
      <c r="Y1745" s="82">
        <f>IFERROR(__xludf.DUMMYFUNCTION("""COMPUTED_VALUE"""),349.02516492677546)</f>
        <v>349.0251649</v>
      </c>
      <c r="Z1745" s="82">
        <f>IFERROR(__xludf.DUMMYFUNCTION("""COMPUTED_VALUE"""),0.8004031558610476)</f>
        <v>0.8004031559</v>
      </c>
      <c r="AA1745" s="82">
        <f>IFERROR(__xludf.DUMMYFUNCTION("""COMPUTED_VALUE"""),0.5685840678915015)</f>
        <v>0.5685840679</v>
      </c>
      <c r="AB1745" s="82">
        <f>IFERROR(__xludf.DUMMYFUNCTION("""COMPUTED_VALUE"""),1.3049753619808457)</f>
        <v>1.304975362</v>
      </c>
      <c r="AC1745" s="82">
        <f>IFERROR(__xludf.DUMMYFUNCTION("""COMPUTED_VALUE"""),2.6182472153163685)</f>
        <v>2.618247215</v>
      </c>
      <c r="AD1745" s="82">
        <f>IFERROR(__xludf.DUMMYFUNCTION("""COMPUTED_VALUE"""),0.9794741052062325)</f>
        <v>0.9794741052</v>
      </c>
      <c r="AE1745" s="82">
        <f>IFERROR(__xludf.DUMMYFUNCTION("""COMPUTED_VALUE"""),1.1105514544512898)</f>
        <v>1.110551454</v>
      </c>
      <c r="AF1745" s="82">
        <f>IFERROR(__xludf.DUMMYFUNCTION("""COMPUTED_VALUE"""),0.879377436399451)</f>
        <v>0.8793774364</v>
      </c>
      <c r="AG1745" s="82">
        <f>IFERROR(__xludf.DUMMYFUNCTION("""COMPUTED_VALUE"""),0.9153003797951983)</f>
        <v>0.9153003798</v>
      </c>
      <c r="AH1745" s="82">
        <f>IFERROR(__xludf.DUMMYFUNCTION("""COMPUTED_VALUE"""),1.0184930785248434)</f>
        <v>1.018493079</v>
      </c>
      <c r="AI1745" s="82">
        <f>IFERROR(__xludf.DUMMYFUNCTION("""COMPUTED_VALUE"""),0.9288946572404222)</f>
        <v>0.9288946572</v>
      </c>
      <c r="AJ1745" s="82">
        <f>IFERROR(__xludf.DUMMYFUNCTION("""COMPUTED_VALUE"""),0.8337091804301942)</f>
        <v>0.8337091804</v>
      </c>
      <c r="AK1745" s="82">
        <f>IFERROR(__xludf.DUMMYFUNCTION("""COMPUTED_VALUE"""),0.8493097178099319)</f>
        <v>0.8493097178</v>
      </c>
      <c r="AL1745" s="82">
        <f>IFERROR(__xludf.DUMMYFUNCTION("""COMPUTED_VALUE"""),0.9888334897781786)</f>
        <v>0.9888334898</v>
      </c>
      <c r="AM1745" s="82">
        <f>IFERROR(__xludf.DUMMYFUNCTION("""COMPUTED_VALUE"""),0.948714321873703)</f>
        <v>0.9487143219</v>
      </c>
      <c r="AN1745" s="82">
        <f>IFERROR(__xludf.DUMMYFUNCTION("""COMPUTED_VALUE"""),1.0086156507377602)</f>
        <v>1.008615651</v>
      </c>
      <c r="AO1745" s="82">
        <f>IFERROR(__xludf.DUMMYFUNCTION("""COMPUTED_VALUE"""),1.2099319656680037)</f>
        <v>1.209931966</v>
      </c>
      <c r="AP1745" s="82">
        <f>IFERROR(__xludf.DUMMYFUNCTION("""COMPUTED_VALUE"""),0.8928190683098591)</f>
        <v>0.8928190683</v>
      </c>
      <c r="AQ1745" s="82">
        <f>IFERROR(__xludf.DUMMYFUNCTION("""COMPUTED_VALUE"""),0.911486864133168)</f>
        <v>0.9114868641</v>
      </c>
      <c r="AR1745" s="82">
        <f>IFERROR(__xludf.DUMMYFUNCTION("""COMPUTED_VALUE"""),1.070801850518782)</f>
        <v>1.070801851</v>
      </c>
      <c r="AS1745" s="82">
        <f>IFERROR(__xludf.DUMMYFUNCTION("""COMPUTED_VALUE"""),94.0)</f>
        <v>94</v>
      </c>
      <c r="AT1745" s="82">
        <f>IFERROR(__xludf.DUMMYFUNCTION("""COMPUTED_VALUE"""),0.6019139321801137)</f>
        <v>0.6019139322</v>
      </c>
      <c r="AU1745" s="82">
        <f>IFERROR(__xludf.DUMMYFUNCTION("""COMPUTED_VALUE"""),2.3144334459579485)</f>
        <v>2.314433446</v>
      </c>
      <c r="AV1745" s="82">
        <f>IFERROR(__xludf.DUMMYFUNCTION("""COMPUTED_VALUE"""),61.23955820639536)</f>
        <v>61.23955821</v>
      </c>
      <c r="AW1745" s="82">
        <f t="shared" si="1"/>
        <v>3.062732576</v>
      </c>
      <c r="AX1745" s="83">
        <f t="array" ref="AX1745">IFERROR(DGET('SBV Import'!A:G,"SBV",{"RSC ID","Tier";B1745,A1745}))</f>
        <v>47.46357992</v>
      </c>
      <c r="AY1745" s="82">
        <f t="shared" si="2"/>
        <v>-2.175833816</v>
      </c>
      <c r="AZ1745" s="82">
        <v>5.238566392097516</v>
      </c>
      <c r="BA1745" s="84">
        <v>1700.0</v>
      </c>
      <c r="BB1745" s="84" t="b">
        <f>IFERROR(__xludf.DUMMYFUNCTION("iferror(if(A1745="""",,E1745&gt;=FILTER(Constants!$F$2:$F$10,Constants!$A$2:$A$10=A1745)))"),TRUE)</f>
        <v>1</v>
      </c>
    </row>
    <row r="1746">
      <c r="A1746" s="89" t="str">
        <f>IFERROR(__xludf.DUMMYFUNCTION("""COMPUTED_VALUE"""),"Rival")</f>
        <v>Rival</v>
      </c>
      <c r="B1746" s="87" t="str">
        <f>IFERROR(__xludf.DUMMYFUNCTION("""COMPUTED_VALUE"""),"RSC006944")</f>
        <v>RSC006944</v>
      </c>
      <c r="C1746" s="73" t="str">
        <f>IFERROR(__xludf.DUMMYFUNCTION("""COMPUTED_VALUE"""),"Pr9xk")</f>
        <v>Pr9xk</v>
      </c>
      <c r="D1746" s="73" t="str">
        <f>IFERROR(__xludf.DUMMYFUNCTION("""COMPUTED_VALUE"""),"Kitsune")</f>
        <v>Kitsune</v>
      </c>
      <c r="E1746" s="82">
        <f>IFERROR(__xludf.DUMMYFUNCTION("""COMPUTED_VALUE"""),24.0)</f>
        <v>24</v>
      </c>
      <c r="F1746" s="82">
        <f>IFERROR(__xludf.DUMMYFUNCTION("""COMPUTED_VALUE"""),14.0)</f>
        <v>14</v>
      </c>
      <c r="G1746" s="86">
        <f>IFERROR(__xludf.DUMMYFUNCTION("""COMPUTED_VALUE"""),10.0)</f>
        <v>10</v>
      </c>
      <c r="H1746" s="86">
        <f>IFERROR(__xludf.DUMMYFUNCTION("""COMPUTED_VALUE"""),0.5833333333333334)</f>
        <v>0.5833333333</v>
      </c>
      <c r="I1746" s="86">
        <f>IFERROR(__xludf.DUMMYFUNCTION("""COMPUTED_VALUE"""),0.3283582089552239)</f>
        <v>0.328358209</v>
      </c>
      <c r="J1746" s="82">
        <f>IFERROR(__xludf.DUMMYFUNCTION("""COMPUTED_VALUE"""),366.375)</f>
        <v>366.375</v>
      </c>
      <c r="K1746" s="82">
        <f>IFERROR(__xludf.DUMMYFUNCTION("""COMPUTED_VALUE"""),0.9166666666666666)</f>
        <v>0.9166666667</v>
      </c>
      <c r="L1746" s="82">
        <f>IFERROR(__xludf.DUMMYFUNCTION("""COMPUTED_VALUE"""),0.5416666666666666)</f>
        <v>0.5416666667</v>
      </c>
      <c r="M1746" s="82">
        <f>IFERROR(__xludf.DUMMYFUNCTION("""COMPUTED_VALUE"""),1.3333333333333333)</f>
        <v>1.333333333</v>
      </c>
      <c r="N1746" s="82">
        <f>IFERROR(__xludf.DUMMYFUNCTION("""COMPUTED_VALUE"""),2.7916666666666665)</f>
        <v>2.791666667</v>
      </c>
      <c r="O1746" s="82">
        <f>IFERROR(__xludf.DUMMYFUNCTION("""COMPUTED_VALUE"""),344.2916666666667)</f>
        <v>344.2916667</v>
      </c>
      <c r="P1746" s="82">
        <f>IFERROR(__xludf.DUMMYFUNCTION("""COMPUTED_VALUE"""),0.7222222222222223)</f>
        <v>0.7222222222</v>
      </c>
      <c r="Q1746" s="82">
        <f>IFERROR(__xludf.DUMMYFUNCTION("""COMPUTED_VALUE"""),0.5416666666666666)</f>
        <v>0.5416666667</v>
      </c>
      <c r="R1746" s="82">
        <f>IFERROR(__xludf.DUMMYFUNCTION("""COMPUTED_VALUE"""),1.347222222222222)</f>
        <v>1.347222222</v>
      </c>
      <c r="S1746" s="82">
        <f>IFERROR(__xludf.DUMMYFUNCTION("""COMPUTED_VALUE"""),2.5)</f>
        <v>2.5</v>
      </c>
      <c r="T1746" s="82">
        <f>IFERROR(__xludf.DUMMYFUNCTION("""COMPUTED_VALUE"""),339.19581211231235)</f>
        <v>339.1958121</v>
      </c>
      <c r="U1746" s="82">
        <f>IFERROR(__xludf.DUMMYFUNCTION("""COMPUTED_VALUE"""),0.7711789757941361)</f>
        <v>0.7711789758</v>
      </c>
      <c r="V1746" s="82">
        <f>IFERROR(__xludf.DUMMYFUNCTION("""COMPUTED_VALUE"""),0.5238088652440286)</f>
        <v>0.5238088652</v>
      </c>
      <c r="W1746" s="82">
        <f>IFERROR(__xludf.DUMMYFUNCTION("""COMPUTED_VALUE"""),1.337848289107808)</f>
        <v>1.337848289</v>
      </c>
      <c r="X1746" s="82">
        <f>IFERROR(__xludf.DUMMYFUNCTION("""COMPUTED_VALUE"""),2.465812038979281)</f>
        <v>2.465812039</v>
      </c>
      <c r="Y1746" s="82">
        <f>IFERROR(__xludf.DUMMYFUNCTION("""COMPUTED_VALUE"""),355.28630868933806)</f>
        <v>355.2863087</v>
      </c>
      <c r="Z1746" s="82">
        <f>IFERROR(__xludf.DUMMYFUNCTION("""COMPUTED_VALUE"""),0.8478017180583648)</f>
        <v>0.8478017181</v>
      </c>
      <c r="AA1746" s="82">
        <f>IFERROR(__xludf.DUMMYFUNCTION("""COMPUTED_VALUE"""),0.6164339371154558)</f>
        <v>0.6164339371</v>
      </c>
      <c r="AB1746" s="82">
        <f>IFERROR(__xludf.DUMMYFUNCTION("""COMPUTED_VALUE"""),1.323834480884784)</f>
        <v>1.323834481</v>
      </c>
      <c r="AC1746" s="82">
        <f>IFERROR(__xludf.DUMMYFUNCTION("""COMPUTED_VALUE"""),2.6361680552389686)</f>
        <v>2.636168055</v>
      </c>
      <c r="AD1746" s="82">
        <f>IFERROR(__xludf.DUMMYFUNCTION("""COMPUTED_VALUE"""),1.031210578734566)</f>
        <v>1.031210579</v>
      </c>
      <c r="AE1746" s="82">
        <f>IFERROR(__xludf.DUMMYFUNCTION("""COMPUTED_VALUE"""),1.0812276587101242)</f>
        <v>1.081227659</v>
      </c>
      <c r="AF1746" s="82">
        <f>IFERROR(__xludf.DUMMYFUNCTION("""COMPUTED_VALUE"""),0.878710002893975)</f>
        <v>0.8787100029</v>
      </c>
      <c r="AG1746" s="82">
        <f>IFERROR(__xludf.DUMMYFUNCTION("""COMPUTED_VALUE"""),1.0071752568661005)</f>
        <v>1.007175257</v>
      </c>
      <c r="AH1746" s="82">
        <f>IFERROR(__xludf.DUMMYFUNCTION("""COMPUTED_VALUE"""),1.0589866078980317)</f>
        <v>1.058986608</v>
      </c>
      <c r="AI1746" s="82">
        <f>IFERROR(__xludf.DUMMYFUNCTION("""COMPUTED_VALUE"""),1.0150233415991203)</f>
        <v>1.015023342</v>
      </c>
      <c r="AJ1746" s="82">
        <f>IFERROR(__xludf.DUMMYFUNCTION("""COMPUTED_VALUE"""),0.9365170017485246)</f>
        <v>0.9365170017</v>
      </c>
      <c r="AK1746" s="82">
        <f>IFERROR(__xludf.DUMMYFUNCTION("""COMPUTED_VALUE"""),1.0340922092151277)</f>
        <v>1.034092209</v>
      </c>
      <c r="AL1746" s="82">
        <f>IFERROR(__xludf.DUMMYFUNCTION("""COMPUTED_VALUE"""),1.0070067235505944)</f>
        <v>1.007006724</v>
      </c>
      <c r="AM1746" s="82">
        <f>IFERROR(__xludf.DUMMYFUNCTION("""COMPUTED_VALUE"""),1.013864787940151)</f>
        <v>1.013864788</v>
      </c>
      <c r="AN1746" s="82">
        <f>IFERROR(__xludf.DUMMYFUNCTION("""COMPUTED_VALUE"""),1.080940613098699)</f>
        <v>1.080940613</v>
      </c>
      <c r="AO1746" s="82">
        <f>IFERROR(__xludf.DUMMYFUNCTION("""COMPUTED_VALUE"""),1.2477423395951288)</f>
        <v>1.24774234</v>
      </c>
      <c r="AP1746" s="82">
        <f>IFERROR(__xludf.DUMMYFUNCTION("""COMPUTED_VALUE"""),0.9672206573356806)</f>
        <v>0.9672206573</v>
      </c>
      <c r="AQ1746" s="82">
        <f>IFERROR(__xludf.DUMMYFUNCTION("""COMPUTED_VALUE"""),1.0174737087998156)</f>
        <v>1.017473709</v>
      </c>
      <c r="AR1746" s="82">
        <f>IFERROR(__xludf.DUMMYFUNCTION("""COMPUTED_VALUE"""),1.1209956872618498)</f>
        <v>1.120995687</v>
      </c>
      <c r="AS1746" s="82">
        <f>IFERROR(__xludf.DUMMYFUNCTION("""COMPUTED_VALUE"""),54.0)</f>
        <v>54</v>
      </c>
      <c r="AT1746" s="82">
        <f>IFERROR(__xludf.DUMMYFUNCTION("""COMPUTED_VALUE"""),0.5144466429441578)</f>
        <v>0.5144466429</v>
      </c>
      <c r="AU1746" s="82">
        <f>IFERROR(__xludf.DUMMYFUNCTION("""COMPUTED_VALUE"""),2.311630631104054)</f>
        <v>2.311630631</v>
      </c>
      <c r="AV1746" s="82">
        <f>IFERROR(__xludf.DUMMYFUNCTION("""COMPUTED_VALUE"""),61.140551380084446)</f>
        <v>61.14055138</v>
      </c>
      <c r="AW1746" s="82">
        <f t="shared" si="1"/>
        <v>3.049383502</v>
      </c>
      <c r="AX1746" s="83">
        <f t="array" ref="AX1746">IFERROR(DGET('SBV Import'!A:G,"SBV",{"RSC ID","Tier";B1746,A1746}))</f>
        <v>59.25633209</v>
      </c>
      <c r="AY1746" s="82">
        <f t="shared" si="2"/>
        <v>2.812173082</v>
      </c>
      <c r="AZ1746" s="82">
        <v>0.23721042011865512</v>
      </c>
      <c r="BA1746" s="84">
        <v>1700.0</v>
      </c>
      <c r="BB1746" s="84" t="b">
        <f>IFERROR(__xludf.DUMMYFUNCTION("iferror(if(A1746="""",,E1746&gt;=FILTER(Constants!$F$2:$F$10,Constants!$A$2:$A$10=A1746)))"),TRUE)</f>
        <v>1</v>
      </c>
    </row>
    <row r="1747">
      <c r="A1747" s="89" t="str">
        <f>IFERROR(__xludf.DUMMYFUNCTION("""COMPUTED_VALUE"""),"Rival")</f>
        <v>Rival</v>
      </c>
      <c r="B1747" s="87" t="str">
        <f>IFERROR(__xludf.DUMMYFUNCTION("""COMPUTED_VALUE"""),"RSC000724")</f>
        <v>RSC000724</v>
      </c>
      <c r="C1747" s="73" t="str">
        <f>IFERROR(__xludf.DUMMYFUNCTION("""COMPUTED_VALUE"""),"dunnie14")</f>
        <v>dunnie14</v>
      </c>
      <c r="D1747" s="73" t="str">
        <f>IFERROR(__xludf.DUMMYFUNCTION("""COMPUTED_VALUE"""),"Ion Imperial")</f>
        <v>Ion Imperial</v>
      </c>
      <c r="E1747" s="82">
        <f>IFERROR(__xludf.DUMMYFUNCTION("""COMPUTED_VALUE"""),36.0)</f>
        <v>36</v>
      </c>
      <c r="F1747" s="82">
        <f>IFERROR(__xludf.DUMMYFUNCTION("""COMPUTED_VALUE"""),22.0)</f>
        <v>22</v>
      </c>
      <c r="G1747" s="86">
        <f>IFERROR(__xludf.DUMMYFUNCTION("""COMPUTED_VALUE"""),14.0)</f>
        <v>14</v>
      </c>
      <c r="H1747" s="86">
        <f>IFERROR(__xludf.DUMMYFUNCTION("""COMPUTED_VALUE"""),0.6111111111111112)</f>
        <v>0.6111111111</v>
      </c>
      <c r="I1747" s="86">
        <f>IFERROR(__xludf.DUMMYFUNCTION("""COMPUTED_VALUE"""),0.35714285714285715)</f>
        <v>0.3571428571</v>
      </c>
      <c r="J1747" s="82">
        <f>IFERROR(__xludf.DUMMYFUNCTION("""COMPUTED_VALUE"""),373.5)</f>
        <v>373.5</v>
      </c>
      <c r="K1747" s="82">
        <f>IFERROR(__xludf.DUMMYFUNCTION("""COMPUTED_VALUE"""),0.8333333333333334)</f>
        <v>0.8333333333</v>
      </c>
      <c r="L1747" s="82">
        <f>IFERROR(__xludf.DUMMYFUNCTION("""COMPUTED_VALUE"""),0.6944444444444444)</f>
        <v>0.6944444444</v>
      </c>
      <c r="M1747" s="82">
        <f>IFERROR(__xludf.DUMMYFUNCTION("""COMPUTED_VALUE"""),1.2777777777777777)</f>
        <v>1.277777778</v>
      </c>
      <c r="N1747" s="82">
        <f>IFERROR(__xludf.DUMMYFUNCTION("""COMPUTED_VALUE"""),2.3333333333333335)</f>
        <v>2.333333333</v>
      </c>
      <c r="O1747" s="82">
        <f>IFERROR(__xludf.DUMMYFUNCTION("""COMPUTED_VALUE"""),347.3148148148149)</f>
        <v>347.3148148</v>
      </c>
      <c r="P1747" s="82">
        <f>IFERROR(__xludf.DUMMYFUNCTION("""COMPUTED_VALUE"""),0.7314814814814814)</f>
        <v>0.7314814815</v>
      </c>
      <c r="Q1747" s="82">
        <f>IFERROR(__xludf.DUMMYFUNCTION("""COMPUTED_VALUE"""),0.5092592592592592)</f>
        <v>0.5092592593</v>
      </c>
      <c r="R1747" s="82">
        <f>IFERROR(__xludf.DUMMYFUNCTION("""COMPUTED_VALUE"""),1.462962962962963)</f>
        <v>1.462962963</v>
      </c>
      <c r="S1747" s="82">
        <f>IFERROR(__xludf.DUMMYFUNCTION("""COMPUTED_VALUE"""),2.4074074074074074)</f>
        <v>2.407407407</v>
      </c>
      <c r="T1747" s="82">
        <f>IFERROR(__xludf.DUMMYFUNCTION("""COMPUTED_VALUE"""),338.0993559235688)</f>
        <v>338.0993559</v>
      </c>
      <c r="U1747" s="82">
        <f>IFERROR(__xludf.DUMMYFUNCTION("""COMPUTED_VALUE"""),0.7492235610754131)</f>
        <v>0.7492235611</v>
      </c>
      <c r="V1747" s="82">
        <f>IFERROR(__xludf.DUMMYFUNCTION("""COMPUTED_VALUE"""),0.4912939289791142)</f>
        <v>0.491293929</v>
      </c>
      <c r="W1747" s="82">
        <f>IFERROR(__xludf.DUMMYFUNCTION("""COMPUTED_VALUE"""),1.2980138448656966)</f>
        <v>1.298013845</v>
      </c>
      <c r="X1747" s="82">
        <f>IFERROR(__xludf.DUMMYFUNCTION("""COMPUTED_VALUE"""),2.542000067833401)</f>
        <v>2.542000068</v>
      </c>
      <c r="Y1747" s="82">
        <f>IFERROR(__xludf.DUMMYFUNCTION("""COMPUTED_VALUE"""),351.52118220828083)</f>
        <v>351.5211822</v>
      </c>
      <c r="Z1747" s="82">
        <f>IFERROR(__xludf.DUMMYFUNCTION("""COMPUTED_VALUE"""),0.7997662237168407)</f>
        <v>0.7997662237</v>
      </c>
      <c r="AA1747" s="82">
        <f>IFERROR(__xludf.DUMMYFUNCTION("""COMPUTED_VALUE"""),0.566437794601375)</f>
        <v>0.5664377946</v>
      </c>
      <c r="AB1747" s="82">
        <f>IFERROR(__xludf.DUMMYFUNCTION("""COMPUTED_VALUE"""),1.3011367633281214)</f>
        <v>1.301136763</v>
      </c>
      <c r="AC1747" s="82">
        <f>IFERROR(__xludf.DUMMYFUNCTION("""COMPUTED_VALUE"""),2.5425866229106973)</f>
        <v>2.542586623</v>
      </c>
      <c r="AD1747" s="82">
        <f>IFERROR(__xludf.DUMMYFUNCTION("""COMPUTED_VALUE"""),1.062524874471708)</f>
        <v>1.062524874</v>
      </c>
      <c r="AE1747" s="82">
        <f>IFERROR(__xludf.DUMMYFUNCTION("""COMPUTED_VALUE"""),1.0419711518454637)</f>
        <v>1.041971152</v>
      </c>
      <c r="AF1747" s="82">
        <f>IFERROR(__xludf.DUMMYFUNCTION("""COMPUTED_VALUE"""),1.2259853616108947)</f>
        <v>1.225985362</v>
      </c>
      <c r="AG1747" s="82">
        <f>IFERROR(__xludf.DUMMYFUNCTION("""COMPUTED_VALUE"""),0.9820472480613069)</f>
        <v>0.9820472481</v>
      </c>
      <c r="AH1747" s="82">
        <f>IFERROR(__xludf.DUMMYFUNCTION("""COMPUTED_VALUE"""),0.9177006251461296)</f>
        <v>0.9177006251</v>
      </c>
      <c r="AI1747" s="82">
        <f>IFERROR(__xludf.DUMMYFUNCTION("""COMPUTED_VALUE"""),1.0272566591145158)</f>
        <v>1.027256659</v>
      </c>
      <c r="AJ1747" s="82">
        <f>IFERROR(__xludf.DUMMYFUNCTION("""COMPUTED_VALUE"""),0.9763193784663349)</f>
        <v>0.9763193785</v>
      </c>
      <c r="AK1747" s="82">
        <f>IFERROR(__xludf.DUMMYFUNCTION("""COMPUTED_VALUE"""),1.0365673769213393)</f>
        <v>1.036567377</v>
      </c>
      <c r="AL1747" s="82">
        <f>IFERROR(__xludf.DUMMYFUNCTION("""COMPUTED_VALUE"""),1.1270780883807394)</f>
        <v>1.127078088</v>
      </c>
      <c r="AM1747" s="82">
        <f>IFERROR(__xludf.DUMMYFUNCTION("""COMPUTED_VALUE"""),0.9470524560053574)</f>
        <v>0.947052456</v>
      </c>
      <c r="AN1747" s="82">
        <f>IFERROR(__xludf.DUMMYFUNCTION("""COMPUTED_VALUE"""),1.1019619760965242)</f>
        <v>1.101961976</v>
      </c>
      <c r="AO1747" s="82">
        <f>IFERROR(__xludf.DUMMYFUNCTION("""COMPUTED_VALUE"""),1.1343112178137535)</f>
        <v>1.134311218</v>
      </c>
      <c r="AP1747" s="82">
        <f>IFERROR(__xludf.DUMMYFUNCTION("""COMPUTED_VALUE"""),1.2400264837636932)</f>
        <v>1.240026484</v>
      </c>
      <c r="AQ1747" s="82">
        <f>IFERROR(__xludf.DUMMYFUNCTION("""COMPUTED_VALUE"""),0.9750789709331565)</f>
        <v>0.9750789709</v>
      </c>
      <c r="AR1747" s="82">
        <f>IFERROR(__xludf.DUMMYFUNCTION("""COMPUTED_VALUE"""),0.9369516192039342)</f>
        <v>0.9369516192</v>
      </c>
      <c r="AS1747" s="82">
        <f>IFERROR(__xludf.DUMMYFUNCTION("""COMPUTED_VALUE"""),90.0)</f>
        <v>90</v>
      </c>
      <c r="AT1747" s="82">
        <f>IFERROR(__xludf.DUMMYFUNCTION("""COMPUTED_VALUE"""),0.5506226090316437)</f>
        <v>0.550622609</v>
      </c>
      <c r="AU1747" s="82">
        <f>IFERROR(__xludf.DUMMYFUNCTION("""COMPUTED_VALUE"""),2.3112263096069157)</f>
        <v>2.31122631</v>
      </c>
      <c r="AV1747" s="82">
        <f>IFERROR(__xludf.DUMMYFUNCTION("""COMPUTED_VALUE"""),61.12626909947454)</f>
        <v>61.1262691</v>
      </c>
      <c r="AW1747" s="82">
        <f t="shared" si="1"/>
        <v>3.047465483</v>
      </c>
      <c r="AX1747" s="83">
        <f t="array" ref="AX1747">IFERROR(DGET('SBV Import'!A:G,"SBV",{"RSC ID","Tier";B1747,A1747}))</f>
        <v>57.75710412</v>
      </c>
      <c r="AY1747" s="82">
        <f t="shared" si="2"/>
        <v>2.644296371</v>
      </c>
      <c r="AZ1747" s="82">
        <v>0.40316911257133814</v>
      </c>
      <c r="BA1747" s="84">
        <v>1700.0</v>
      </c>
      <c r="BB1747" s="84" t="b">
        <f>IFERROR(__xludf.DUMMYFUNCTION("iferror(if(A1747="""",,E1747&gt;=FILTER(Constants!$F$2:$F$10,Constants!$A$2:$A$10=A1747)))"),TRUE)</f>
        <v>1</v>
      </c>
    </row>
    <row r="1748">
      <c r="A1748" s="89" t="str">
        <f>IFERROR(__xludf.DUMMYFUNCTION("""COMPUTED_VALUE"""),"Rival")</f>
        <v>Rival</v>
      </c>
      <c r="B1748" s="87" t="str">
        <f>IFERROR(__xludf.DUMMYFUNCTION("""COMPUTED_VALUE"""),"RSC006528")</f>
        <v>RSC006528</v>
      </c>
      <c r="C1748" s="73" t="str">
        <f>IFERROR(__xludf.DUMMYFUNCTION("""COMPUTED_VALUE"""),"mxWEBBY")</f>
        <v>mxWEBBY</v>
      </c>
      <c r="D1748" s="73" t="str">
        <f>IFERROR(__xludf.DUMMYFUNCTION("""COMPUTED_VALUE"""),"Lacuna")</f>
        <v>Lacuna</v>
      </c>
      <c r="E1748" s="82">
        <f>IFERROR(__xludf.DUMMYFUNCTION("""COMPUTED_VALUE"""),36.0)</f>
        <v>36</v>
      </c>
      <c r="F1748" s="82">
        <f>IFERROR(__xludf.DUMMYFUNCTION("""COMPUTED_VALUE"""),15.0)</f>
        <v>15</v>
      </c>
      <c r="G1748" s="86">
        <f>IFERROR(__xludf.DUMMYFUNCTION("""COMPUTED_VALUE"""),21.0)</f>
        <v>21</v>
      </c>
      <c r="H1748" s="86">
        <f>IFERROR(__xludf.DUMMYFUNCTION("""COMPUTED_VALUE"""),0.4166666666666667)</f>
        <v>0.4166666667</v>
      </c>
      <c r="I1748" s="86">
        <f>IFERROR(__xludf.DUMMYFUNCTION("""COMPUTED_VALUE"""),0.24489795918367344)</f>
        <v>0.2448979592</v>
      </c>
      <c r="J1748" s="82">
        <f>IFERROR(__xludf.DUMMYFUNCTION("""COMPUTED_VALUE"""),384.69444444444446)</f>
        <v>384.6944444</v>
      </c>
      <c r="K1748" s="82">
        <f>IFERROR(__xludf.DUMMYFUNCTION("""COMPUTED_VALUE"""),0.6666666666666666)</f>
        <v>0.6666666667</v>
      </c>
      <c r="L1748" s="82">
        <f>IFERROR(__xludf.DUMMYFUNCTION("""COMPUTED_VALUE"""),0.6666666666666666)</f>
        <v>0.6666666667</v>
      </c>
      <c r="M1748" s="82">
        <f>IFERROR(__xludf.DUMMYFUNCTION("""COMPUTED_VALUE"""),1.6388888888888888)</f>
        <v>1.638888889</v>
      </c>
      <c r="N1748" s="82">
        <f>IFERROR(__xludf.DUMMYFUNCTION("""COMPUTED_VALUE"""),2.7222222222222223)</f>
        <v>2.722222222</v>
      </c>
      <c r="O1748" s="82">
        <f>IFERROR(__xludf.DUMMYFUNCTION("""COMPUTED_VALUE"""),326.08333333333326)</f>
        <v>326.0833333</v>
      </c>
      <c r="P1748" s="82">
        <f>IFERROR(__xludf.DUMMYFUNCTION("""COMPUTED_VALUE"""),0.6944444444444444)</f>
        <v>0.6944444444</v>
      </c>
      <c r="Q1748" s="82">
        <f>IFERROR(__xludf.DUMMYFUNCTION("""COMPUTED_VALUE"""),0.5277777777777777)</f>
        <v>0.5277777778</v>
      </c>
      <c r="R1748" s="82">
        <f>IFERROR(__xludf.DUMMYFUNCTION("""COMPUTED_VALUE"""),1.2685185185185186)</f>
        <v>1.268518519</v>
      </c>
      <c r="S1748" s="82">
        <f>IFERROR(__xludf.DUMMYFUNCTION("""COMPUTED_VALUE"""),2.509259259259259)</f>
        <v>2.509259259</v>
      </c>
      <c r="T1748" s="82">
        <f>IFERROR(__xludf.DUMMYFUNCTION("""COMPUTED_VALUE"""),352.5741960911846)</f>
        <v>352.5741961</v>
      </c>
      <c r="U1748" s="82">
        <f>IFERROR(__xludf.DUMMYFUNCTION("""COMPUTED_VALUE"""),0.8159581752976643)</f>
        <v>0.8159581753</v>
      </c>
      <c r="V1748" s="82">
        <f>IFERROR(__xludf.DUMMYFUNCTION("""COMPUTED_VALUE"""),0.583825214180838)</f>
        <v>0.5838252142</v>
      </c>
      <c r="W1748" s="82">
        <f>IFERROR(__xludf.DUMMYFUNCTION("""COMPUTED_VALUE"""),1.3353348452601796)</f>
        <v>1.335334845</v>
      </c>
      <c r="X1748" s="82">
        <f>IFERROR(__xludf.DUMMYFUNCTION("""COMPUTED_VALUE"""),2.607579918080919)</f>
        <v>2.607579918</v>
      </c>
      <c r="Y1748" s="82">
        <f>IFERROR(__xludf.DUMMYFUNCTION("""COMPUTED_VALUE"""),351.5849885693782)</f>
        <v>351.5849886</v>
      </c>
      <c r="Z1748" s="82">
        <f>IFERROR(__xludf.DUMMYFUNCTION("""COMPUTED_VALUE"""),0.8008898456113013)</f>
        <v>0.8008898456</v>
      </c>
      <c r="AA1748" s="82">
        <f>IFERROR(__xludf.DUMMYFUNCTION("""COMPUTED_VALUE"""),0.5848800152955733)</f>
        <v>0.5848800153</v>
      </c>
      <c r="AB1748" s="82">
        <f>IFERROR(__xludf.DUMMYFUNCTION("""COMPUTED_VALUE"""),1.3209319620952398)</f>
        <v>1.320931962</v>
      </c>
      <c r="AC1748" s="82">
        <f>IFERROR(__xludf.DUMMYFUNCTION("""COMPUTED_VALUE"""),2.631319978990019)</f>
        <v>2.631319979</v>
      </c>
      <c r="AD1748" s="82">
        <f>IFERROR(__xludf.DUMMYFUNCTION("""COMPUTED_VALUE"""),1.0941719838773287)</f>
        <v>1.094171984</v>
      </c>
      <c r="AE1748" s="82">
        <f>IFERROR(__xludf.DUMMYFUNCTION("""COMPUTED_VALUE"""),0.8324074406984332)</f>
        <v>0.8324074407</v>
      </c>
      <c r="AF1748" s="82">
        <f>IFERROR(__xludf.DUMMYFUNCTION("""COMPUTED_VALUE"""),1.1398349220904083)</f>
        <v>1.139834922</v>
      </c>
      <c r="AG1748" s="82">
        <f>IFERROR(__xludf.DUMMYFUNCTION("""COMPUTED_VALUE"""),1.2407065132176158)</f>
        <v>1.240706513</v>
      </c>
      <c r="AH1748" s="82">
        <f>IFERROR(__xludf.DUMMYFUNCTION("""COMPUTED_VALUE"""),1.0345462520552497)</f>
        <v>1.034546252</v>
      </c>
      <c r="AI1748" s="82">
        <f>IFERROR(__xludf.DUMMYFUNCTION("""COMPUTED_VALUE"""),0.9248644312274057)</f>
        <v>0.9248644312</v>
      </c>
      <c r="AJ1748" s="82">
        <f>IFERROR(__xludf.DUMMYFUNCTION("""COMPUTED_VALUE"""),0.8510784810644353)</f>
        <v>0.8510784811</v>
      </c>
      <c r="AK1748" s="82">
        <f>IFERROR(__xludf.DUMMYFUNCTION("""COMPUTED_VALUE"""),0.9039996302973996)</f>
        <v>0.9039996303</v>
      </c>
      <c r="AL1748" s="82">
        <f>IFERROR(__xludf.DUMMYFUNCTION("""COMPUTED_VALUE"""),0.9499628673820443)</f>
        <v>0.9499628674</v>
      </c>
      <c r="AM1748" s="82">
        <f>IFERROR(__xludf.DUMMYFUNCTION("""COMPUTED_VALUE"""),0.9622942874579198)</f>
        <v>0.9622942875</v>
      </c>
      <c r="AN1748" s="82">
        <f>IFERROR(__xludf.DUMMYFUNCTION("""COMPUTED_VALUE"""),1.1349896926194232)</f>
        <v>1.134989693</v>
      </c>
      <c r="AO1748" s="82">
        <f>IFERROR(__xludf.DUMMYFUNCTION("""COMPUTED_VALUE"""),0.9074489742510028)</f>
        <v>0.9074489743</v>
      </c>
      <c r="AP1748" s="82">
        <f>IFERROR(__xludf.DUMMYFUNCTION("""COMPUTED_VALUE"""),1.1904254244131454)</f>
        <v>1.190425424</v>
      </c>
      <c r="AQ1748" s="82">
        <f>IFERROR(__xludf.DUMMYFUNCTION("""COMPUTED_VALUE"""),1.25064476706644)</f>
        <v>1.250644767</v>
      </c>
      <c r="AR1748" s="82">
        <f>IFERROR(__xludf.DUMMYFUNCTION("""COMPUTED_VALUE"""),1.0931102224045899)</f>
        <v>1.093110222</v>
      </c>
      <c r="AS1748" s="82">
        <f>IFERROR(__xludf.DUMMYFUNCTION("""COMPUTED_VALUE"""),73.0)</f>
        <v>73</v>
      </c>
      <c r="AT1748" s="82">
        <f>IFERROR(__xludf.DUMMYFUNCTION("""COMPUTED_VALUE"""),0.48986295199965935)</f>
        <v>0.489862952</v>
      </c>
      <c r="AU1748" s="82">
        <f>IFERROR(__xludf.DUMMYFUNCTION("""COMPUTED_VALUE"""),2.2993668489327854)</f>
        <v>2.299366849</v>
      </c>
      <c r="AV1748" s="82">
        <f>IFERROR(__xludf.DUMMYFUNCTION("""COMPUTED_VALUE"""),60.707344688012554)</f>
        <v>60.70734469</v>
      </c>
      <c r="AW1748" s="82">
        <f t="shared" si="1"/>
        <v>2.992053519</v>
      </c>
      <c r="AX1748" s="83">
        <f t="array" ref="AX1748">IFERROR(DGET('SBV Import'!A:G,"SBV",{"RSC ID","Tier";B1748,A1748}))</f>
        <v>64.93315262</v>
      </c>
      <c r="AY1748" s="82">
        <f t="shared" si="2"/>
        <v>3.634449412</v>
      </c>
      <c r="AZ1748" s="82">
        <v>0.6423958930023508</v>
      </c>
      <c r="BA1748" s="84">
        <v>1700.0</v>
      </c>
      <c r="BB1748" s="84" t="b">
        <f>IFERROR(__xludf.DUMMYFUNCTION("iferror(if(A1748="""",,E1748&gt;=FILTER(Constants!$F$2:$F$10,Constants!$A$2:$A$10=A1748)))"),TRUE)</f>
        <v>1</v>
      </c>
    </row>
    <row r="1749">
      <c r="A1749" s="89" t="str">
        <f>IFERROR(__xludf.DUMMYFUNCTION("""COMPUTED_VALUE"""),"Rival")</f>
        <v>Rival</v>
      </c>
      <c r="B1749" s="87" t="str">
        <f>IFERROR(__xludf.DUMMYFUNCTION("""COMPUTED_VALUE"""),"RSC007527")</f>
        <v>RSC007527</v>
      </c>
      <c r="C1749" s="73" t="str">
        <f>IFERROR(__xludf.DUMMYFUNCTION("""COMPUTED_VALUE"""),"Yort")</f>
        <v>Yort</v>
      </c>
      <c r="D1749" s="73" t="str">
        <f>IFERROR(__xludf.DUMMYFUNCTION("""COMPUTED_VALUE"""),"Dracos")</f>
        <v>Dracos</v>
      </c>
      <c r="E1749" s="82">
        <f>IFERROR(__xludf.DUMMYFUNCTION("""COMPUTED_VALUE"""),26.0)</f>
        <v>26</v>
      </c>
      <c r="F1749" s="82">
        <f>IFERROR(__xludf.DUMMYFUNCTION("""COMPUTED_VALUE"""),15.0)</f>
        <v>15</v>
      </c>
      <c r="G1749" s="86">
        <f>IFERROR(__xludf.DUMMYFUNCTION("""COMPUTED_VALUE"""),11.0)</f>
        <v>11</v>
      </c>
      <c r="H1749" s="86">
        <f>IFERROR(__xludf.DUMMYFUNCTION("""COMPUTED_VALUE"""),0.5769230769230769)</f>
        <v>0.5769230769</v>
      </c>
      <c r="I1749" s="86">
        <f>IFERROR(__xludf.DUMMYFUNCTION("""COMPUTED_VALUE"""),0.3731343283582089)</f>
        <v>0.3731343284</v>
      </c>
      <c r="J1749" s="82">
        <f>IFERROR(__xludf.DUMMYFUNCTION("""COMPUTED_VALUE"""),357.3076923076923)</f>
        <v>357.3076923</v>
      </c>
      <c r="K1749" s="82">
        <f>IFERROR(__xludf.DUMMYFUNCTION("""COMPUTED_VALUE"""),0.9615384615384616)</f>
        <v>0.9615384615</v>
      </c>
      <c r="L1749" s="82">
        <f>IFERROR(__xludf.DUMMYFUNCTION("""COMPUTED_VALUE"""),0.38461538461538464)</f>
        <v>0.3846153846</v>
      </c>
      <c r="M1749" s="82">
        <f>IFERROR(__xludf.DUMMYFUNCTION("""COMPUTED_VALUE"""),1.3076923076923077)</f>
        <v>1.307692308</v>
      </c>
      <c r="N1749" s="82">
        <f>IFERROR(__xludf.DUMMYFUNCTION("""COMPUTED_VALUE"""),2.576923076923077)</f>
        <v>2.576923077</v>
      </c>
      <c r="O1749" s="82">
        <f>IFERROR(__xludf.DUMMYFUNCTION("""COMPUTED_VALUE"""),336.0384615384615)</f>
        <v>336.0384615</v>
      </c>
      <c r="P1749" s="82">
        <f>IFERROR(__xludf.DUMMYFUNCTION("""COMPUTED_VALUE"""),0.7051282051282052)</f>
        <v>0.7051282051</v>
      </c>
      <c r="Q1749" s="82">
        <f>IFERROR(__xludf.DUMMYFUNCTION("""COMPUTED_VALUE"""),0.435897435897436)</f>
        <v>0.4358974359</v>
      </c>
      <c r="R1749" s="82">
        <f>IFERROR(__xludf.DUMMYFUNCTION("""COMPUTED_VALUE"""),1.358974358974359)</f>
        <v>1.358974359</v>
      </c>
      <c r="S1749" s="82">
        <f>IFERROR(__xludf.DUMMYFUNCTION("""COMPUTED_VALUE"""),2.4615384615384612)</f>
        <v>2.461538462</v>
      </c>
      <c r="T1749" s="82">
        <f>IFERROR(__xludf.DUMMYFUNCTION("""COMPUTED_VALUE"""),341.62279599318055)</f>
        <v>341.622796</v>
      </c>
      <c r="U1749" s="82">
        <f>IFERROR(__xludf.DUMMYFUNCTION("""COMPUTED_VALUE"""),0.7197491255183561)</f>
        <v>0.7197491255</v>
      </c>
      <c r="V1749" s="82">
        <f>IFERROR(__xludf.DUMMYFUNCTION("""COMPUTED_VALUE"""),0.5405577186346415)</f>
        <v>0.5405577186</v>
      </c>
      <c r="W1749" s="82">
        <f>IFERROR(__xludf.DUMMYFUNCTION("""COMPUTED_VALUE"""),1.26564803430188)</f>
        <v>1.265648034</v>
      </c>
      <c r="X1749" s="82">
        <f>IFERROR(__xludf.DUMMYFUNCTION("""COMPUTED_VALUE"""),2.553719136988368)</f>
        <v>2.553719137</v>
      </c>
      <c r="Y1749" s="82">
        <f>IFERROR(__xludf.DUMMYFUNCTION("""COMPUTED_VALUE"""),342.4402566000002)</f>
        <v>342.4402566</v>
      </c>
      <c r="Z1749" s="82">
        <f>IFERROR(__xludf.DUMMYFUNCTION("""COMPUTED_VALUE"""),0.7595854715085483)</f>
        <v>0.7595854715</v>
      </c>
      <c r="AA1749" s="82">
        <f>IFERROR(__xludf.DUMMYFUNCTION("""COMPUTED_VALUE"""),0.5502309300386223)</f>
        <v>0.55023093</v>
      </c>
      <c r="AB1749" s="82">
        <f>IFERROR(__xludf.DUMMYFUNCTION("""COMPUTED_VALUE"""),1.290147969314636)</f>
        <v>1.290147969</v>
      </c>
      <c r="AC1749" s="82">
        <f>IFERROR(__xludf.DUMMYFUNCTION("""COMPUTED_VALUE"""),2.4709032776340476)</f>
        <v>2.470903278</v>
      </c>
      <c r="AD1749" s="82">
        <f>IFERROR(__xludf.DUMMYFUNCTION("""COMPUTED_VALUE"""),1.0434161446300356)</f>
        <v>1.043416145</v>
      </c>
      <c r="AE1749" s="82">
        <f>IFERROR(__xludf.DUMMYFUNCTION("""COMPUTED_VALUE"""),1.2658726339628792)</f>
        <v>1.265872634</v>
      </c>
      <c r="AF1749" s="82">
        <f>IFERROR(__xludf.DUMMYFUNCTION("""COMPUTED_VALUE"""),0.6990072051899869)</f>
        <v>0.6990072052</v>
      </c>
      <c r="AG1749" s="82">
        <f>IFERROR(__xludf.DUMMYFUNCTION("""COMPUTED_VALUE"""),1.0135987024705326)</f>
        <v>1.013598702</v>
      </c>
      <c r="AH1749" s="82">
        <f>IFERROR(__xludf.DUMMYFUNCTION("""COMPUTED_VALUE"""),1.0429073044860526)</f>
        <v>1.042907304</v>
      </c>
      <c r="AI1749" s="82">
        <f>IFERROR(__xludf.DUMMYFUNCTION("""COMPUTED_VALUE"""),0.9836535075521409)</f>
        <v>0.9836535076</v>
      </c>
      <c r="AJ1749" s="82">
        <f>IFERROR(__xludf.DUMMYFUNCTION("""COMPUTED_VALUE"""),0.9796860880107063)</f>
        <v>0.979686088</v>
      </c>
      <c r="AK1749" s="82">
        <f>IFERROR(__xludf.DUMMYFUNCTION("""COMPUTED_VALUE"""),0.8063846299308057)</f>
        <v>0.8063846299</v>
      </c>
      <c r="AL1749" s="82">
        <f>IFERROR(__xludf.DUMMYFUNCTION("""COMPUTED_VALUE"""),1.0737379762328292)</f>
        <v>1.073737976</v>
      </c>
      <c r="AM1749" s="82">
        <f>IFERROR(__xludf.DUMMYFUNCTION("""COMPUTED_VALUE"""),0.9639033619184072)</f>
        <v>0.9639033619</v>
      </c>
      <c r="AN1749" s="82">
        <f>IFERROR(__xludf.DUMMYFUNCTION("""COMPUTED_VALUE"""),1.0541887300933694)</f>
        <v>1.05418873</v>
      </c>
      <c r="AO1749" s="82">
        <f>IFERROR(__xludf.DUMMYFUNCTION("""COMPUTED_VALUE"""),1.3088206359389465)</f>
        <v>1.308820636</v>
      </c>
      <c r="AP1749" s="82">
        <f>IFERROR(__xludf.DUMMYFUNCTION("""COMPUTED_VALUE"""),0.6867838986998916)</f>
        <v>0.6867838987</v>
      </c>
      <c r="AQ1749" s="82">
        <f>IFERROR(__xludf.DUMMYFUNCTION("""COMPUTED_VALUE"""),0.9979069067075114)</f>
        <v>0.9979069067</v>
      </c>
      <c r="AR1749" s="82">
        <f>IFERROR(__xludf.DUMMYFUNCTION("""COMPUTED_VALUE"""),1.0347652497801691)</f>
        <v>1.03476525</v>
      </c>
      <c r="AS1749" s="82">
        <f>IFERROR(__xludf.DUMMYFUNCTION("""COMPUTED_VALUE"""),60.0)</f>
        <v>60</v>
      </c>
      <c r="AT1749" s="82">
        <f>IFERROR(__xludf.DUMMYFUNCTION("""COMPUTED_VALUE"""),0.5332809997835677)</f>
        <v>0.5332809998</v>
      </c>
      <c r="AU1749" s="82">
        <f>IFERROR(__xludf.DUMMYFUNCTION("""COMPUTED_VALUE"""),2.2991819527300863)</f>
        <v>2.299181953</v>
      </c>
      <c r="AV1749" s="82">
        <f>IFERROR(__xludf.DUMMYFUNCTION("""COMPUTED_VALUE"""),60.70081340172344)</f>
        <v>60.7008134</v>
      </c>
      <c r="AW1749" s="82">
        <f t="shared" si="1"/>
        <v>2.991202428</v>
      </c>
      <c r="AX1749" s="83">
        <f t="array" ref="AX1749">IFERROR(DGET('SBV Import'!A:G,"SBV",{"RSC ID","Tier";B1749,A1749}))</f>
        <v>52.1189311</v>
      </c>
      <c r="AY1749" s="82">
        <f t="shared" si="2"/>
        <v>2.144877038</v>
      </c>
      <c r="AZ1749" s="82">
        <v>0.8463253906635524</v>
      </c>
      <c r="BA1749" s="84">
        <v>1700.0</v>
      </c>
      <c r="BB1749" s="84" t="b">
        <f>IFERROR(__xludf.DUMMYFUNCTION("iferror(if(A1749="""",,E1749&gt;=FILTER(Constants!$F$2:$F$10,Constants!$A$2:$A$10=A1749)))"),TRUE)</f>
        <v>1</v>
      </c>
    </row>
    <row r="1750">
      <c r="A1750" s="89" t="str">
        <f>IFERROR(__xludf.DUMMYFUNCTION("""COMPUTED_VALUE"""),"Rival")</f>
        <v>Rival</v>
      </c>
      <c r="B1750" s="87" t="str">
        <f>IFERROR(__xludf.DUMMYFUNCTION("""COMPUTED_VALUE"""),"RSC005885")</f>
        <v>RSC005885</v>
      </c>
      <c r="C1750" s="73" t="str">
        <f>IFERROR(__xludf.DUMMYFUNCTION("""COMPUTED_VALUE"""),"noot")</f>
        <v>noot</v>
      </c>
      <c r="D1750" s="73" t="str">
        <f>IFERROR(__xludf.DUMMYFUNCTION("""COMPUTED_VALUE"""),"Quasars")</f>
        <v>Quasars</v>
      </c>
      <c r="E1750" s="82">
        <f>IFERROR(__xludf.DUMMYFUNCTION("""COMPUTED_VALUE"""),36.0)</f>
        <v>36</v>
      </c>
      <c r="F1750" s="82">
        <f>IFERROR(__xludf.DUMMYFUNCTION("""COMPUTED_VALUE"""),20.0)</f>
        <v>20</v>
      </c>
      <c r="G1750" s="86">
        <f>IFERROR(__xludf.DUMMYFUNCTION("""COMPUTED_VALUE"""),16.0)</f>
        <v>16</v>
      </c>
      <c r="H1750" s="86">
        <f>IFERROR(__xludf.DUMMYFUNCTION("""COMPUTED_VALUE"""),0.5555555555555556)</f>
        <v>0.5555555556</v>
      </c>
      <c r="I1750" s="86">
        <f>IFERROR(__xludf.DUMMYFUNCTION("""COMPUTED_VALUE"""),0.27884615384615385)</f>
        <v>0.2788461538</v>
      </c>
      <c r="J1750" s="82">
        <f>IFERROR(__xludf.DUMMYFUNCTION("""COMPUTED_VALUE"""),353.6388888888889)</f>
        <v>353.6388889</v>
      </c>
      <c r="K1750" s="82">
        <f>IFERROR(__xludf.DUMMYFUNCTION("""COMPUTED_VALUE"""),0.8055555555555556)</f>
        <v>0.8055555556</v>
      </c>
      <c r="L1750" s="82">
        <f>IFERROR(__xludf.DUMMYFUNCTION("""COMPUTED_VALUE"""),0.5555555555555556)</f>
        <v>0.5555555556</v>
      </c>
      <c r="M1750" s="82">
        <f>IFERROR(__xludf.DUMMYFUNCTION("""COMPUTED_VALUE"""),1.4166666666666667)</f>
        <v>1.416666667</v>
      </c>
      <c r="N1750" s="82">
        <f>IFERROR(__xludf.DUMMYFUNCTION("""COMPUTED_VALUE"""),2.888888888888889)</f>
        <v>2.888888889</v>
      </c>
      <c r="O1750" s="82">
        <f>IFERROR(__xludf.DUMMYFUNCTION("""COMPUTED_VALUE"""),348.8333333333334)</f>
        <v>348.8333333</v>
      </c>
      <c r="P1750" s="82">
        <f>IFERROR(__xludf.DUMMYFUNCTION("""COMPUTED_VALUE"""),0.7685185185185183)</f>
        <v>0.7685185185</v>
      </c>
      <c r="Q1750" s="82">
        <f>IFERROR(__xludf.DUMMYFUNCTION("""COMPUTED_VALUE"""),0.5925925925925926)</f>
        <v>0.5925925926</v>
      </c>
      <c r="R1750" s="82">
        <f>IFERROR(__xludf.DUMMYFUNCTION("""COMPUTED_VALUE"""),1.361111111111111)</f>
        <v>1.361111111</v>
      </c>
      <c r="S1750" s="82">
        <f>IFERROR(__xludf.DUMMYFUNCTION("""COMPUTED_VALUE"""),2.768518518518519)</f>
        <v>2.768518519</v>
      </c>
      <c r="T1750" s="82">
        <f>IFERROR(__xludf.DUMMYFUNCTION("""COMPUTED_VALUE"""),352.15716016023555)</f>
        <v>352.1571602</v>
      </c>
      <c r="U1750" s="82">
        <f>IFERROR(__xludf.DUMMYFUNCTION("""COMPUTED_VALUE"""),0.8290671114004095)</f>
        <v>0.8290671114</v>
      </c>
      <c r="V1750" s="82">
        <f>IFERROR(__xludf.DUMMYFUNCTION("""COMPUTED_VALUE"""),0.6153465306598375)</f>
        <v>0.6153465307</v>
      </c>
      <c r="W1750" s="82">
        <f>IFERROR(__xludf.DUMMYFUNCTION("""COMPUTED_VALUE"""),1.2678954625119778)</f>
        <v>1.267895463</v>
      </c>
      <c r="X1750" s="82">
        <f>IFERROR(__xludf.DUMMYFUNCTION("""COMPUTED_VALUE"""),2.547577625898723)</f>
        <v>2.547577626</v>
      </c>
      <c r="Y1750" s="82">
        <f>IFERROR(__xludf.DUMMYFUNCTION("""COMPUTED_VALUE"""),345.5883034380237)</f>
        <v>345.5883034</v>
      </c>
      <c r="Z1750" s="82">
        <f>IFERROR(__xludf.DUMMYFUNCTION("""COMPUTED_VALUE"""),0.7747925709896207)</f>
        <v>0.774792571</v>
      </c>
      <c r="AA1750" s="82">
        <f>IFERROR(__xludf.DUMMYFUNCTION("""COMPUTED_VALUE"""),0.5412256763680356)</f>
        <v>0.5412256764</v>
      </c>
      <c r="AB1750" s="82">
        <f>IFERROR(__xludf.DUMMYFUNCTION("""COMPUTED_VALUE"""),1.3015138590171453)</f>
        <v>1.301513859</v>
      </c>
      <c r="AC1750" s="82">
        <f>IFERROR(__xludf.DUMMYFUNCTION("""COMPUTED_VALUE"""),2.5191854749505507)</f>
        <v>2.519185475</v>
      </c>
      <c r="AD1750" s="82">
        <f>IFERROR(__xludf.DUMMYFUNCTION("""COMPUTED_VALUE"""),1.0232953064984418)</f>
        <v>1.023295306</v>
      </c>
      <c r="AE1750" s="82">
        <f>IFERROR(__xludf.DUMMYFUNCTION("""COMPUTED_VALUE"""),1.0397048006366945)</f>
        <v>1.039704801</v>
      </c>
      <c r="AF1750" s="82">
        <f>IFERROR(__xludf.DUMMYFUNCTION("""COMPUTED_VALUE"""),1.0264767172239175)</f>
        <v>1.026476717</v>
      </c>
      <c r="AG1750" s="82">
        <f>IFERROR(__xludf.DUMMYFUNCTION("""COMPUTED_VALUE"""),1.0884760518312733)</f>
        <v>1.088476052</v>
      </c>
      <c r="AH1750" s="82">
        <f>IFERROR(__xludf.DUMMYFUNCTION("""COMPUTED_VALUE"""),1.146755138759918)</f>
        <v>1.146755139</v>
      </c>
      <c r="AI1750" s="82">
        <f>IFERROR(__xludf.DUMMYFUNCTION("""COMPUTED_VALUE"""),0.9905615242200677)</f>
        <v>0.9905615242</v>
      </c>
      <c r="AJ1750" s="82">
        <f>IFERROR(__xludf.DUMMYFUNCTION("""COMPUTED_VALUE"""),0.9269678026672459)</f>
        <v>0.9269678027</v>
      </c>
      <c r="AK1750" s="82">
        <f>IFERROR(__xludf.DUMMYFUNCTION("""COMPUTED_VALUE"""),0.9630225621929714)</f>
        <v>0.9630225622</v>
      </c>
      <c r="AL1750" s="82">
        <f>IFERROR(__xludf.DUMMYFUNCTION("""COMPUTED_VALUE"""),1.073519979647575)</f>
        <v>1.07351998</v>
      </c>
      <c r="AM1750" s="82">
        <f>IFERROR(__xludf.DUMMYFUNCTION("""COMPUTED_VALUE"""),1.0867258725990159)</f>
        <v>1.086725873</v>
      </c>
      <c r="AN1750" s="82">
        <f>IFERROR(__xludf.DUMMYFUNCTION("""COMPUTED_VALUE"""),1.0433644145236391)</f>
        <v>1.043364415</v>
      </c>
      <c r="AO1750" s="82">
        <f>IFERROR(__xludf.DUMMYFUNCTION("""COMPUTED_VALUE"""),1.0965008438866284)</f>
        <v>1.096500844</v>
      </c>
      <c r="AP1750" s="82">
        <f>IFERROR(__xludf.DUMMYFUNCTION("""COMPUTED_VALUE"""),0.9920211870109547)</f>
        <v>0.992021187</v>
      </c>
      <c r="AQ1750" s="82">
        <f>IFERROR(__xludf.DUMMYFUNCTION("""COMPUTED_VALUE"""),1.081065815599804)</f>
        <v>1.081065816</v>
      </c>
      <c r="AR1750" s="82">
        <f>IFERROR(__xludf.DUMMYFUNCTION("""COMPUTED_VALUE"""),1.1600353380620136)</f>
        <v>1.160035338</v>
      </c>
      <c r="AS1750" s="82">
        <f>IFERROR(__xludf.DUMMYFUNCTION("""COMPUTED_VALUE"""),76.0)</f>
        <v>76</v>
      </c>
      <c r="AT1750" s="82">
        <f>IFERROR(__xludf.DUMMYFUNCTION("""COMPUTED_VALUE"""),0.46631507701157704)</f>
        <v>0.466315077</v>
      </c>
      <c r="AU1750" s="82">
        <f>IFERROR(__xludf.DUMMYFUNCTION("""COMPUTED_VALUE"""),2.2985736151952976)</f>
        <v>2.298573615</v>
      </c>
      <c r="AV1750" s="82">
        <f>IFERROR(__xludf.DUMMYFUNCTION("""COMPUTED_VALUE"""),60.679324444448376)</f>
        <v>60.67932444</v>
      </c>
      <c r="AW1750" s="82">
        <f t="shared" si="1"/>
        <v>2.988404951</v>
      </c>
      <c r="AX1750" s="83">
        <f t="array" ref="AX1750">IFERROR(DGET('SBV Import'!A:G,"SBV",{"RSC ID","Tier";B1750,A1750}))</f>
        <v>48.06904551</v>
      </c>
      <c r="AY1750" s="82">
        <f t="shared" si="2"/>
        <v>-2.131209922</v>
      </c>
      <c r="AZ1750" s="82">
        <v>5.119614872896403</v>
      </c>
      <c r="BA1750" s="84">
        <v>1700.0</v>
      </c>
      <c r="BB1750" s="84" t="b">
        <f>IFERROR(__xludf.DUMMYFUNCTION("iferror(if(A1750="""",,E1750&gt;=FILTER(Constants!$F$2:$F$10,Constants!$A$2:$A$10=A1750)))"),TRUE)</f>
        <v>1</v>
      </c>
    </row>
    <row r="1751">
      <c r="A1751" s="89" t="str">
        <f>IFERROR(__xludf.DUMMYFUNCTION("""COMPUTED_VALUE"""),"Rival")</f>
        <v>Rival</v>
      </c>
      <c r="B1751" s="87" t="str">
        <f>IFERROR(__xludf.DUMMYFUNCTION("""COMPUTED_VALUE"""),"RSC006138")</f>
        <v>RSC006138</v>
      </c>
      <c r="C1751" s="73" t="str">
        <f>IFERROR(__xludf.DUMMYFUNCTION("""COMPUTED_VALUE"""),"NekomancerKoral")</f>
        <v>NekomancerKoral</v>
      </c>
      <c r="D1751" s="73" t="str">
        <f>IFERROR(__xludf.DUMMYFUNCTION("""COMPUTED_VALUE"""),"Jetstream")</f>
        <v>Jetstream</v>
      </c>
      <c r="E1751" s="82">
        <f>IFERROR(__xludf.DUMMYFUNCTION("""COMPUTED_VALUE"""),21.0)</f>
        <v>21</v>
      </c>
      <c r="F1751" s="82">
        <f>IFERROR(__xludf.DUMMYFUNCTION("""COMPUTED_VALUE"""),7.0)</f>
        <v>7</v>
      </c>
      <c r="G1751" s="86">
        <f>IFERROR(__xludf.DUMMYFUNCTION("""COMPUTED_VALUE"""),14.0)</f>
        <v>14</v>
      </c>
      <c r="H1751" s="86">
        <f>IFERROR(__xludf.DUMMYFUNCTION("""COMPUTED_VALUE"""),0.3333333333333333)</f>
        <v>0.3333333333</v>
      </c>
      <c r="I1751" s="86">
        <f>IFERROR(__xludf.DUMMYFUNCTION("""COMPUTED_VALUE"""),0.41379310344827586)</f>
        <v>0.4137931034</v>
      </c>
      <c r="J1751" s="82">
        <f>IFERROR(__xludf.DUMMYFUNCTION("""COMPUTED_VALUE"""),358.6666666666667)</f>
        <v>358.6666667</v>
      </c>
      <c r="K1751" s="82">
        <f>IFERROR(__xludf.DUMMYFUNCTION("""COMPUTED_VALUE"""),1.1428571428571428)</f>
        <v>1.142857143</v>
      </c>
      <c r="L1751" s="82">
        <f>IFERROR(__xludf.DUMMYFUNCTION("""COMPUTED_VALUE"""),0.38095238095238093)</f>
        <v>0.380952381</v>
      </c>
      <c r="M1751" s="82">
        <f>IFERROR(__xludf.DUMMYFUNCTION("""COMPUTED_VALUE"""),1.4761904761904763)</f>
        <v>1.476190476</v>
      </c>
      <c r="N1751" s="82">
        <f>IFERROR(__xludf.DUMMYFUNCTION("""COMPUTED_VALUE"""),2.761904761904762)</f>
        <v>2.761904762</v>
      </c>
      <c r="O1751" s="82">
        <f>IFERROR(__xludf.DUMMYFUNCTION("""COMPUTED_VALUE"""),375.80952380952374)</f>
        <v>375.8095238</v>
      </c>
      <c r="P1751" s="82">
        <f>IFERROR(__xludf.DUMMYFUNCTION("""COMPUTED_VALUE"""),0.9365079365079365)</f>
        <v>0.9365079365</v>
      </c>
      <c r="Q1751" s="82">
        <f>IFERROR(__xludf.DUMMYFUNCTION("""COMPUTED_VALUE"""),0.6984126984126985)</f>
        <v>0.6984126984</v>
      </c>
      <c r="R1751" s="82">
        <f>IFERROR(__xludf.DUMMYFUNCTION("""COMPUTED_VALUE"""),1.2539682539682542)</f>
        <v>1.253968254</v>
      </c>
      <c r="S1751" s="82">
        <f>IFERROR(__xludf.DUMMYFUNCTION("""COMPUTED_VALUE"""),3.1269841269841274)</f>
        <v>3.126984127</v>
      </c>
      <c r="T1751" s="82">
        <f>IFERROR(__xludf.DUMMYFUNCTION("""COMPUTED_VALUE"""),355.85237919189535)</f>
        <v>355.8523792</v>
      </c>
      <c r="U1751" s="82">
        <f>IFERROR(__xludf.DUMMYFUNCTION("""COMPUTED_VALUE"""),0.8223184834167935)</f>
        <v>0.8223184834</v>
      </c>
      <c r="V1751" s="82">
        <f>IFERROR(__xludf.DUMMYFUNCTION("""COMPUTED_VALUE"""),0.5675395066332086)</f>
        <v>0.5675395066</v>
      </c>
      <c r="W1751" s="82">
        <f>IFERROR(__xludf.DUMMYFUNCTION("""COMPUTED_VALUE"""),1.2867040367040363)</f>
        <v>1.286704037</v>
      </c>
      <c r="X1751" s="82">
        <f>IFERROR(__xludf.DUMMYFUNCTION("""COMPUTED_VALUE"""),2.7841921945608576)</f>
        <v>2.784192195</v>
      </c>
      <c r="Y1751" s="82">
        <f>IFERROR(__xludf.DUMMYFUNCTION("""COMPUTED_VALUE"""),351.57657501228925)</f>
        <v>351.576575</v>
      </c>
      <c r="Z1751" s="82">
        <f>IFERROR(__xludf.DUMMYFUNCTION("""COMPUTED_VALUE"""),0.7947810386878489)</f>
        <v>0.7947810387</v>
      </c>
      <c r="AA1751" s="82">
        <f>IFERROR(__xludf.DUMMYFUNCTION("""COMPUTED_VALUE"""),0.587299868495465)</f>
        <v>0.5872998685</v>
      </c>
      <c r="AB1751" s="82">
        <f>IFERROR(__xludf.DUMMYFUNCTION("""COMPUTED_VALUE"""),1.3727760765907204)</f>
        <v>1.372776077</v>
      </c>
      <c r="AC1751" s="82">
        <f>IFERROR(__xludf.DUMMYFUNCTION("""COMPUTED_VALUE"""),2.595821572370471)</f>
        <v>2.595821572</v>
      </c>
      <c r="AD1751" s="82">
        <f>IFERROR(__xludf.DUMMYFUNCTION("""COMPUTED_VALUE"""),1.02016656443658)</f>
        <v>1.020166564</v>
      </c>
      <c r="AE1751" s="82">
        <f>IFERROR(__xludf.DUMMYFUNCTION("""COMPUTED_VALUE"""),1.4379521996950926)</f>
        <v>1.4379522</v>
      </c>
      <c r="AF1751" s="82">
        <f>IFERROR(__xludf.DUMMYFUNCTION("""COMPUTED_VALUE"""),0.6486505469996076)</f>
        <v>0.648650547</v>
      </c>
      <c r="AG1751" s="82">
        <f>IFERROR(__xludf.DUMMYFUNCTION("""COMPUTED_VALUE"""),1.0753323148350493)</f>
        <v>1.075332315</v>
      </c>
      <c r="AH1751" s="82">
        <f>IFERROR(__xludf.DUMMYFUNCTION("""COMPUTED_VALUE"""),1.0639809728457668)</f>
        <v>1.063980973</v>
      </c>
      <c r="AI1751" s="82">
        <f>IFERROR(__xludf.DUMMYFUNCTION("""COMPUTED_VALUE"""),1.0560826505163434)</f>
        <v>1.056082651</v>
      </c>
      <c r="AJ1751" s="82">
        <f>IFERROR(__xludf.DUMMYFUNCTION("""COMPUTED_VALUE"""),1.138862807286877)</f>
        <v>1.138862807</v>
      </c>
      <c r="AK1751" s="82">
        <f>IFERROR(__xludf.DUMMYFUNCTION("""COMPUTED_VALUE"""),1.230597500702398)</f>
        <v>1.230597501</v>
      </c>
      <c r="AL1751" s="82">
        <f>IFERROR(__xludf.DUMMYFUNCTION("""COMPUTED_VALUE"""),0.9745584207385899)</f>
        <v>0.9745584207</v>
      </c>
      <c r="AM1751" s="82">
        <f>IFERROR(__xludf.DUMMYFUNCTION("""COMPUTED_VALUE"""),1.12312078637852)</f>
        <v>1.123120786</v>
      </c>
      <c r="AN1751" s="82">
        <f>IFERROR(__xludf.DUMMYFUNCTION("""COMPUTED_VALUE"""),1.058198202837894)</f>
        <v>1.058198203</v>
      </c>
      <c r="AO1751" s="82">
        <f>IFERROR(__xludf.DUMMYFUNCTION("""COMPUTED_VALUE"""),1.555626813001719)</f>
        <v>1.555626813</v>
      </c>
      <c r="AP1751" s="82">
        <f>IFERROR(__xludf.DUMMYFUNCTION("""COMPUTED_VALUE"""),0.6802430996646546)</f>
        <v>0.6802430997</v>
      </c>
      <c r="AQ1751" s="82">
        <f>IFERROR(__xludf.DUMMYFUNCTION("""COMPUTED_VALUE"""),1.1264887490283673)</f>
        <v>1.126488749</v>
      </c>
      <c r="AR1751" s="82">
        <f>IFERROR(__xludf.DUMMYFUNCTION("""COMPUTED_VALUE"""),1.1090447737515956)</f>
        <v>1.109044774</v>
      </c>
      <c r="AS1751" s="82">
        <f>IFERROR(__xludf.DUMMYFUNCTION("""COMPUTED_VALUE"""),56.0)</f>
        <v>56</v>
      </c>
      <c r="AT1751" s="82">
        <f>IFERROR(__xludf.DUMMYFUNCTION("""COMPUTED_VALUE"""),0.4787590545384701)</f>
        <v>0.4787590545</v>
      </c>
      <c r="AU1751" s="82">
        <f>IFERROR(__xludf.DUMMYFUNCTION("""COMPUTED_VALUE"""),2.2858050537573904)</f>
        <v>2.285805054</v>
      </c>
      <c r="AV1751" s="82">
        <f>IFERROR(__xludf.DUMMYFUNCTION("""COMPUTED_VALUE"""),60.22828689454869)</f>
        <v>60.22828689</v>
      </c>
      <c r="AW1751" s="82">
        <f t="shared" si="1"/>
        <v>2.930646922</v>
      </c>
      <c r="AX1751" s="83">
        <f t="array" ref="AX1751">IFERROR(DGET('SBV Import'!A:G,"SBV",{"RSC ID","Tier";B1751,A1751}))</f>
        <v>40.89818216</v>
      </c>
      <c r="AY1751" s="82">
        <f t="shared" si="2"/>
        <v>-2.794062068</v>
      </c>
      <c r="AZ1751" s="82">
        <v>5.724708989470402</v>
      </c>
      <c r="BA1751" s="84">
        <v>1700.0</v>
      </c>
      <c r="BB1751" s="84" t="b">
        <f>IFERROR(__xludf.DUMMYFUNCTION("iferror(if(A1751="""",,E1751&gt;=FILTER(Constants!$F$2:$F$10,Constants!$A$2:$A$10=A1751)))"),TRUE)</f>
        <v>1</v>
      </c>
    </row>
    <row r="1752">
      <c r="A1752" s="89" t="str">
        <f>IFERROR(__xludf.DUMMYFUNCTION("""COMPUTED_VALUE"""),"Rival")</f>
        <v>Rival</v>
      </c>
      <c r="B1752" s="87" t="str">
        <f>IFERROR(__xludf.DUMMYFUNCTION("""COMPUTED_VALUE"""),"RSC005523")</f>
        <v>RSC005523</v>
      </c>
      <c r="C1752" s="73" t="str">
        <f>IFERROR(__xludf.DUMMYFUNCTION("""COMPUTED_VALUE"""),"Laguna")</f>
        <v>Laguna</v>
      </c>
      <c r="D1752" s="73" t="str">
        <f>IFERROR(__xludf.DUMMYFUNCTION("""COMPUTED_VALUE"""),"Polar Ice")</f>
        <v>Polar Ice</v>
      </c>
      <c r="E1752" s="82">
        <f>IFERROR(__xludf.DUMMYFUNCTION("""COMPUTED_VALUE"""),25.0)</f>
        <v>25</v>
      </c>
      <c r="F1752" s="82">
        <f>IFERROR(__xludf.DUMMYFUNCTION("""COMPUTED_VALUE"""),13.0)</f>
        <v>13</v>
      </c>
      <c r="G1752" s="86">
        <f>IFERROR(__xludf.DUMMYFUNCTION("""COMPUTED_VALUE"""),12.0)</f>
        <v>12</v>
      </c>
      <c r="H1752" s="86">
        <f>IFERROR(__xludf.DUMMYFUNCTION("""COMPUTED_VALUE"""),0.52)</f>
        <v>0.52</v>
      </c>
      <c r="I1752" s="86">
        <f>IFERROR(__xludf.DUMMYFUNCTION("""COMPUTED_VALUE"""),0.3728813559322034)</f>
        <v>0.3728813559</v>
      </c>
      <c r="J1752" s="82">
        <f>IFERROR(__xludf.DUMMYFUNCTION("""COMPUTED_VALUE"""),340.28)</f>
        <v>340.28</v>
      </c>
      <c r="K1752" s="82">
        <f>IFERROR(__xludf.DUMMYFUNCTION("""COMPUTED_VALUE"""),0.88)</f>
        <v>0.88</v>
      </c>
      <c r="L1752" s="82">
        <f>IFERROR(__xludf.DUMMYFUNCTION("""COMPUTED_VALUE"""),0.76)</f>
        <v>0.76</v>
      </c>
      <c r="M1752" s="82">
        <f>IFERROR(__xludf.DUMMYFUNCTION("""COMPUTED_VALUE"""),1.04)</f>
        <v>1.04</v>
      </c>
      <c r="N1752" s="82">
        <f>IFERROR(__xludf.DUMMYFUNCTION("""COMPUTED_VALUE"""),2.36)</f>
        <v>2.36</v>
      </c>
      <c r="O1752" s="82">
        <f>IFERROR(__xludf.DUMMYFUNCTION("""COMPUTED_VALUE"""),365.79999999999995)</f>
        <v>365.8</v>
      </c>
      <c r="P1752" s="82">
        <f>IFERROR(__xludf.DUMMYFUNCTION("""COMPUTED_VALUE"""),0.8)</f>
        <v>0.8</v>
      </c>
      <c r="Q1752" s="82">
        <f>IFERROR(__xludf.DUMMYFUNCTION("""COMPUTED_VALUE"""),0.5333333333333332)</f>
        <v>0.5333333333</v>
      </c>
      <c r="R1752" s="82">
        <f>IFERROR(__xludf.DUMMYFUNCTION("""COMPUTED_VALUE"""),1.4666666666666668)</f>
        <v>1.466666667</v>
      </c>
      <c r="S1752" s="82">
        <f>IFERROR(__xludf.DUMMYFUNCTION("""COMPUTED_VALUE"""),2.6000000000000005)</f>
        <v>2.6</v>
      </c>
      <c r="T1752" s="82">
        <f>IFERROR(__xludf.DUMMYFUNCTION("""COMPUTED_VALUE"""),339.20535100817847)</f>
        <v>339.205351</v>
      </c>
      <c r="U1752" s="82">
        <f>IFERROR(__xludf.DUMMYFUNCTION("""COMPUTED_VALUE"""),0.7389292094978369)</f>
        <v>0.7389292095</v>
      </c>
      <c r="V1752" s="82">
        <f>IFERROR(__xludf.DUMMYFUNCTION("""COMPUTED_VALUE"""),0.509714467159565)</f>
        <v>0.5097144672</v>
      </c>
      <c r="W1752" s="82">
        <f>IFERROR(__xludf.DUMMYFUNCTION("""COMPUTED_VALUE"""),1.3049860382536855)</f>
        <v>1.304986038</v>
      </c>
      <c r="X1752" s="82">
        <f>IFERROR(__xludf.DUMMYFUNCTION("""COMPUTED_VALUE"""),2.5041309121524806)</f>
        <v>2.504130912</v>
      </c>
      <c r="Y1752" s="82">
        <f>IFERROR(__xludf.DUMMYFUNCTION("""COMPUTED_VALUE"""),351.35308891289054)</f>
        <v>351.3530889</v>
      </c>
      <c r="Z1752" s="82">
        <f>IFERROR(__xludf.DUMMYFUNCTION("""COMPUTED_VALUE"""),0.8052682683208825)</f>
        <v>0.8052682683</v>
      </c>
      <c r="AA1752" s="82">
        <f>IFERROR(__xludf.DUMMYFUNCTION("""COMPUTED_VALUE"""),0.5920632694707857)</f>
        <v>0.5920632695</v>
      </c>
      <c r="AB1752" s="82">
        <f>IFERROR(__xludf.DUMMYFUNCTION("""COMPUTED_VALUE"""),1.3215083232671472)</f>
        <v>1.321508323</v>
      </c>
      <c r="AC1752" s="82">
        <f>IFERROR(__xludf.DUMMYFUNCTION("""COMPUTED_VALUE"""),2.6314992836865394)</f>
        <v>2.631499284</v>
      </c>
      <c r="AD1752" s="82">
        <f>IFERROR(__xludf.DUMMYFUNCTION("""COMPUTED_VALUE"""),0.9684844412577917)</f>
        <v>0.9684844413</v>
      </c>
      <c r="AE1752" s="82">
        <f>IFERROR(__xludf.DUMMYFUNCTION("""COMPUTED_VALUE"""),1.0928035222782906)</f>
        <v>1.092803522</v>
      </c>
      <c r="AF1752" s="82">
        <f>IFERROR(__xludf.DUMMYFUNCTION("""COMPUTED_VALUE"""),1.2836465952014287)</f>
        <v>1.283646595</v>
      </c>
      <c r="AG1752" s="82">
        <f>IFERROR(__xludf.DUMMYFUNCTION("""COMPUTED_VALUE"""),0.7869795306538986)</f>
        <v>0.7869795307</v>
      </c>
      <c r="AH1752" s="82">
        <f>IFERROR(__xludf.DUMMYFUNCTION("""COMPUTED_VALUE"""),0.8968271489300241)</f>
        <v>0.8968271489</v>
      </c>
      <c r="AI1752" s="82">
        <f>IFERROR(__xludf.DUMMYFUNCTION("""COMPUTED_VALUE"""),1.0784027991090868)</f>
        <v>1.078402799</v>
      </c>
      <c r="AJ1752" s="82">
        <f>IFERROR(__xludf.DUMMYFUNCTION("""COMPUTED_VALUE"""),1.0826476876501685)</f>
        <v>1.082647688</v>
      </c>
      <c r="AK1752" s="82">
        <f>IFERROR(__xludf.DUMMYFUNCTION("""COMPUTED_VALUE"""),1.0463374451688348)</f>
        <v>1.046337445</v>
      </c>
      <c r="AL1752" s="82">
        <f>IFERROR(__xludf.DUMMYFUNCTION("""COMPUTED_VALUE"""),1.1238945273539784)</f>
        <v>1.123894527</v>
      </c>
      <c r="AM1752" s="82">
        <f>IFERROR(__xludf.DUMMYFUNCTION("""COMPUTED_VALUE"""),1.0382843753824011)</f>
        <v>1.038284375</v>
      </c>
      <c r="AN1752" s="82">
        <f>IFERROR(__xludf.DUMMYFUNCTION("""COMPUTED_VALUE"""),1.003950793108769)</f>
        <v>1.003950793</v>
      </c>
      <c r="AO1752" s="82">
        <f>IFERROR(__xludf.DUMMYFUNCTION("""COMPUTED_VALUE"""),1.1978326460113238)</f>
        <v>1.197832646</v>
      </c>
      <c r="AP1752" s="82">
        <f>IFERROR(__xludf.DUMMYFUNCTION("""COMPUTED_VALUE"""),1.357084983830986)</f>
        <v>1.357084984</v>
      </c>
      <c r="AQ1752" s="82">
        <f>IFERROR(__xludf.DUMMYFUNCTION("""COMPUTED_VALUE"""),0.7936294928638562)</f>
        <v>0.7936294929</v>
      </c>
      <c r="AR1752" s="82">
        <f>IFERROR(__xludf.DUMMYFUNCTION("""COMPUTED_VALUE"""),0.947659637709122)</f>
        <v>0.9476596377</v>
      </c>
      <c r="AS1752" s="82">
        <f>IFERROR(__xludf.DUMMYFUNCTION("""COMPUTED_VALUE"""),66.0)</f>
        <v>66</v>
      </c>
      <c r="AT1752" s="82">
        <f>IFERROR(__xludf.DUMMYFUNCTION("""COMPUTED_VALUE"""),0.5378308469548927)</f>
        <v>0.537830847</v>
      </c>
      <c r="AU1752" s="82">
        <f>IFERROR(__xludf.DUMMYFUNCTION("""COMPUTED_VALUE"""),2.2671150650017333)</f>
        <v>2.267115065</v>
      </c>
      <c r="AV1752" s="82">
        <f>IFERROR(__xludf.DUMMYFUNCTION("""COMPUTED_VALUE"""),59.568080435348215)</f>
        <v>59.56808044</v>
      </c>
      <c r="AW1752" s="82">
        <f t="shared" si="1"/>
        <v>2.849307271</v>
      </c>
      <c r="AX1752" s="83">
        <f t="array" ref="AX1752">IFERROR(DGET('SBV Import'!A:G,"SBV",{"RSC ID","Tier";B1752,A1752}))</f>
        <v>41.2956394</v>
      </c>
      <c r="AY1752" s="82">
        <f t="shared" si="2"/>
        <v>-2.7483506</v>
      </c>
      <c r="AZ1752" s="82">
        <v>5.597657870678093</v>
      </c>
      <c r="BA1752" s="84">
        <v>1700.0</v>
      </c>
      <c r="BB1752" s="84" t="b">
        <f>IFERROR(__xludf.DUMMYFUNCTION("iferror(if(A1752="""",,E1752&gt;=FILTER(Constants!$F$2:$F$10,Constants!$A$2:$A$10=A1752)))"),TRUE)</f>
        <v>1</v>
      </c>
    </row>
    <row r="1753">
      <c r="A1753" s="89" t="str">
        <f>IFERROR(__xludf.DUMMYFUNCTION("""COMPUTED_VALUE"""),"Rival")</f>
        <v>Rival</v>
      </c>
      <c r="B1753" s="87" t="str">
        <f>IFERROR(__xludf.DUMMYFUNCTION("""COMPUTED_VALUE"""),"RSC007186")</f>
        <v>RSC007186</v>
      </c>
      <c r="C1753" s="73" t="str">
        <f>IFERROR(__xludf.DUMMYFUNCTION("""COMPUTED_VALUE"""),"Bushier Brow")</f>
        <v>Bushier Brow</v>
      </c>
      <c r="D1753" s="73" t="str">
        <f>IFERROR(__xludf.DUMMYFUNCTION("""COMPUTED_VALUE"""),"Hot Wings")</f>
        <v>Hot Wings</v>
      </c>
      <c r="E1753" s="82">
        <f>IFERROR(__xludf.DUMMYFUNCTION("""COMPUTED_VALUE"""),23.0)</f>
        <v>23</v>
      </c>
      <c r="F1753" s="82">
        <f>IFERROR(__xludf.DUMMYFUNCTION("""COMPUTED_VALUE"""),17.0)</f>
        <v>17</v>
      </c>
      <c r="G1753" s="86">
        <f>IFERROR(__xludf.DUMMYFUNCTION("""COMPUTED_VALUE"""),6.0)</f>
        <v>6</v>
      </c>
      <c r="H1753" s="86">
        <f>IFERROR(__xludf.DUMMYFUNCTION("""COMPUTED_VALUE"""),0.7391304347826086)</f>
        <v>0.7391304348</v>
      </c>
      <c r="I1753" s="86">
        <f>IFERROR(__xludf.DUMMYFUNCTION("""COMPUTED_VALUE"""),0.3278688524590164)</f>
        <v>0.3278688525</v>
      </c>
      <c r="J1753" s="82">
        <f>IFERROR(__xludf.DUMMYFUNCTION("""COMPUTED_VALUE"""),368.04347826086956)</f>
        <v>368.0434783</v>
      </c>
      <c r="K1753" s="82">
        <f>IFERROR(__xludf.DUMMYFUNCTION("""COMPUTED_VALUE"""),0.8695652173913043)</f>
        <v>0.8695652174</v>
      </c>
      <c r="L1753" s="82">
        <f>IFERROR(__xludf.DUMMYFUNCTION("""COMPUTED_VALUE"""),0.43478260869565216)</f>
        <v>0.4347826087</v>
      </c>
      <c r="M1753" s="82">
        <f>IFERROR(__xludf.DUMMYFUNCTION("""COMPUTED_VALUE"""),1.608695652173913)</f>
        <v>1.608695652</v>
      </c>
      <c r="N1753" s="82">
        <f>IFERROR(__xludf.DUMMYFUNCTION("""COMPUTED_VALUE"""),2.652173913043478)</f>
        <v>2.652173913</v>
      </c>
      <c r="O1753" s="82">
        <f>IFERROR(__xludf.DUMMYFUNCTION("""COMPUTED_VALUE"""),325.9420289855073)</f>
        <v>325.942029</v>
      </c>
      <c r="P1753" s="82">
        <f>IFERROR(__xludf.DUMMYFUNCTION("""COMPUTED_VALUE"""),0.6521739130434782)</f>
        <v>0.652173913</v>
      </c>
      <c r="Q1753" s="82">
        <f>IFERROR(__xludf.DUMMYFUNCTION("""COMPUTED_VALUE"""),0.42028985507246375)</f>
        <v>0.4202898551</v>
      </c>
      <c r="R1753" s="82">
        <f>IFERROR(__xludf.DUMMYFUNCTION("""COMPUTED_VALUE"""),1.4782608695652173)</f>
        <v>1.47826087</v>
      </c>
      <c r="S1753" s="82">
        <f>IFERROR(__xludf.DUMMYFUNCTION("""COMPUTED_VALUE"""),2.449275362318841)</f>
        <v>2.449275362</v>
      </c>
      <c r="T1753" s="82">
        <f>IFERROR(__xludf.DUMMYFUNCTION("""COMPUTED_VALUE"""),336.96932654780386)</f>
        <v>336.9693265</v>
      </c>
      <c r="U1753" s="82">
        <f>IFERROR(__xludf.DUMMYFUNCTION("""COMPUTED_VALUE"""),0.7599884641735426)</f>
        <v>0.7599884642</v>
      </c>
      <c r="V1753" s="82">
        <f>IFERROR(__xludf.DUMMYFUNCTION("""COMPUTED_VALUE"""),0.5099673057546965)</f>
        <v>0.5099673058</v>
      </c>
      <c r="W1753" s="82">
        <f>IFERROR(__xludf.DUMMYFUNCTION("""COMPUTED_VALUE"""),1.3155001205706893)</f>
        <v>1.315500121</v>
      </c>
      <c r="X1753" s="82">
        <f>IFERROR(__xludf.DUMMYFUNCTION("""COMPUTED_VALUE"""),2.511428797872061)</f>
        <v>2.511428798</v>
      </c>
      <c r="Y1753" s="82">
        <f>IFERROR(__xludf.DUMMYFUNCTION("""COMPUTED_VALUE"""),347.0644407673512)</f>
        <v>347.0644408</v>
      </c>
      <c r="Z1753" s="82">
        <f>IFERROR(__xludf.DUMMYFUNCTION("""COMPUTED_VALUE"""),0.7942925808303265)</f>
        <v>0.7942925808</v>
      </c>
      <c r="AA1753" s="82">
        <f>IFERROR(__xludf.DUMMYFUNCTION("""COMPUTED_VALUE"""),0.5930858160974205)</f>
        <v>0.5930858161</v>
      </c>
      <c r="AB1753" s="82">
        <f>IFERROR(__xludf.DUMMYFUNCTION("""COMPUTED_VALUE"""),1.3207126661739947)</f>
        <v>1.320712666</v>
      </c>
      <c r="AC1753" s="82">
        <f>IFERROR(__xludf.DUMMYFUNCTION("""COMPUTED_VALUE"""),2.586434307451943)</f>
        <v>2.586434307</v>
      </c>
      <c r="AD1753" s="82">
        <f>IFERROR(__xludf.DUMMYFUNCTION("""COMPUTED_VALUE"""),1.0604470957817926)</f>
        <v>1.060447096</v>
      </c>
      <c r="AE1753" s="82">
        <f>IFERROR(__xludf.DUMMYFUNCTION("""COMPUTED_VALUE"""),1.0947668886473676)</f>
        <v>1.094766889</v>
      </c>
      <c r="AF1753" s="82">
        <f>IFERROR(__xludf.DUMMYFUNCTION("""COMPUTED_VALUE"""),0.7330854943666948)</f>
        <v>0.7330854944</v>
      </c>
      <c r="AG1753" s="82">
        <f>IFERROR(__xludf.DUMMYFUNCTION("""COMPUTED_VALUE"""),1.2180512032448234)</f>
        <v>1.218051203</v>
      </c>
      <c r="AH1753" s="82">
        <f>IFERROR(__xludf.DUMMYFUNCTION("""COMPUTED_VALUE"""),1.0254170791819952)</f>
        <v>1.025417079</v>
      </c>
      <c r="AI1753" s="82">
        <f>IFERROR(__xludf.DUMMYFUNCTION("""COMPUTED_VALUE"""),0.9672750701814037)</f>
        <v>0.9672750702</v>
      </c>
      <c r="AJ1753" s="82">
        <f>IFERROR(__xludf.DUMMYFUNCTION("""COMPUTED_VALUE"""),0.8581365952083121)</f>
        <v>0.8581365952</v>
      </c>
      <c r="AK1753" s="82">
        <f>IFERROR(__xludf.DUMMYFUNCTION("""COMPUTED_VALUE"""),0.8241505883411098)</f>
        <v>0.8241505883</v>
      </c>
      <c r="AL1753" s="82">
        <f>IFERROR(__xludf.DUMMYFUNCTION("""COMPUTED_VALUE"""),1.1237253774814702)</f>
        <v>1.123725377</v>
      </c>
      <c r="AM1753" s="82">
        <f>IFERROR(__xludf.DUMMYFUNCTION("""COMPUTED_VALUE"""),0.975251762818885)</f>
        <v>0.9752517628</v>
      </c>
      <c r="AN1753" s="82">
        <f>IFERROR(__xludf.DUMMYFUNCTION("""COMPUTED_VALUE"""),1.0858632358602034)</f>
        <v>1.085863236</v>
      </c>
      <c r="AO1753" s="82">
        <f>IFERROR(__xludf.DUMMYFUNCTION("""COMPUTED_VALUE"""),1.183629096849134)</f>
        <v>1.183629097</v>
      </c>
      <c r="AP1753" s="82">
        <f>IFERROR(__xludf.DUMMYFUNCTION("""COMPUTED_VALUE"""),0.7763644072259644)</f>
        <v>0.7763644072</v>
      </c>
      <c r="AQ1753" s="82">
        <f>IFERROR(__xludf.DUMMYFUNCTION("""COMPUTED_VALUE"""),1.227604148660647)</f>
        <v>1.227604149</v>
      </c>
      <c r="AR1753" s="82">
        <f>IFERROR(__xludf.DUMMYFUNCTION("""COMPUTED_VALUE"""),1.0649822752442233)</f>
        <v>1.064982275</v>
      </c>
      <c r="AS1753" s="82">
        <f>IFERROR(__xludf.DUMMYFUNCTION("""COMPUTED_VALUE"""),66.0)</f>
        <v>66</v>
      </c>
      <c r="AT1753" s="82">
        <f>IFERROR(__xludf.DUMMYFUNCTION("""COMPUTED_VALUE"""),0.6460457079348378)</f>
        <v>0.6460457079</v>
      </c>
      <c r="AU1753" s="82">
        <f>IFERROR(__xludf.DUMMYFUNCTION("""COMPUTED_VALUE"""),2.262019395047933)</f>
        <v>2.262019395</v>
      </c>
      <c r="AV1753" s="82">
        <f>IFERROR(__xludf.DUMMYFUNCTION("""COMPUTED_VALUE"""),59.388080636448684)</f>
        <v>59.38808064</v>
      </c>
      <c r="AW1753" s="82">
        <f t="shared" si="1"/>
        <v>2.827768896</v>
      </c>
      <c r="AX1753" s="83">
        <f t="array" ref="AX1753">IFERROR(DGET('SBV Import'!A:G,"SBV",{"RSC ID","Tier";B1753,A1753}))</f>
        <v>47.68946605</v>
      </c>
      <c r="AY1753" s="82">
        <f t="shared" si="2"/>
        <v>-2.158980244</v>
      </c>
      <c r="AZ1753" s="82">
        <v>4.986749139391079</v>
      </c>
      <c r="BA1753" s="84">
        <v>1700.0</v>
      </c>
      <c r="BB1753" s="84" t="b">
        <f>IFERROR(__xludf.DUMMYFUNCTION("iferror(if(A1753="""",,E1753&gt;=FILTER(Constants!$F$2:$F$10,Constants!$A$2:$A$10=A1753)))"),TRUE)</f>
        <v>1</v>
      </c>
    </row>
    <row r="1754">
      <c r="A1754" s="89" t="str">
        <f>IFERROR(__xludf.DUMMYFUNCTION("""COMPUTED_VALUE"""),"Rival")</f>
        <v>Rival</v>
      </c>
      <c r="B1754" s="87" t="str">
        <f>IFERROR(__xludf.DUMMYFUNCTION("""COMPUTED_VALUE"""),"RSC003320")</f>
        <v>RSC003320</v>
      </c>
      <c r="C1754" s="73" t="str">
        <f>IFERROR(__xludf.DUMMYFUNCTION("""COMPUTED_VALUE"""),"jojomojo13")</f>
        <v>jojomojo13</v>
      </c>
      <c r="D1754" s="73"/>
      <c r="E1754" s="82">
        <f>IFERROR(__xludf.DUMMYFUNCTION("""COMPUTED_VALUE"""),4.0)</f>
        <v>4</v>
      </c>
      <c r="F1754" s="82">
        <f>IFERROR(__xludf.DUMMYFUNCTION("""COMPUTED_VALUE"""),0.0)</f>
        <v>0</v>
      </c>
      <c r="G1754" s="86">
        <f>IFERROR(__xludf.DUMMYFUNCTION("""COMPUTED_VALUE"""),4.0)</f>
        <v>4</v>
      </c>
      <c r="H1754" s="86">
        <f>IFERROR(__xludf.DUMMYFUNCTION("""COMPUTED_VALUE"""),0.0)</f>
        <v>0</v>
      </c>
      <c r="I1754" s="86">
        <f>IFERROR(__xludf.DUMMYFUNCTION("""COMPUTED_VALUE"""),0.2727272727272727)</f>
        <v>0.2727272727</v>
      </c>
      <c r="J1754" s="82">
        <f>IFERROR(__xludf.DUMMYFUNCTION("""COMPUTED_VALUE"""),404.25)</f>
        <v>404.25</v>
      </c>
      <c r="K1754" s="82">
        <f>IFERROR(__xludf.DUMMYFUNCTION("""COMPUTED_VALUE"""),0.75)</f>
        <v>0.75</v>
      </c>
      <c r="L1754" s="82">
        <f>IFERROR(__xludf.DUMMYFUNCTION("""COMPUTED_VALUE"""),0.5)</f>
        <v>0.5</v>
      </c>
      <c r="M1754" s="82">
        <f>IFERROR(__xludf.DUMMYFUNCTION("""COMPUTED_VALUE"""),1.75)</f>
        <v>1.75</v>
      </c>
      <c r="N1754" s="82">
        <f>IFERROR(__xludf.DUMMYFUNCTION("""COMPUTED_VALUE"""),2.75)</f>
        <v>2.75</v>
      </c>
      <c r="O1754" s="82">
        <f>IFERROR(__xludf.DUMMYFUNCTION("""COMPUTED_VALUE"""),434.1666666666667)</f>
        <v>434.1666667</v>
      </c>
      <c r="P1754" s="82">
        <f>IFERROR(__xludf.DUMMYFUNCTION("""COMPUTED_VALUE"""),1.0833333333333333)</f>
        <v>1.083333333</v>
      </c>
      <c r="Q1754" s="82">
        <f>IFERROR(__xludf.DUMMYFUNCTION("""COMPUTED_VALUE"""),0.75)</f>
        <v>0.75</v>
      </c>
      <c r="R1754" s="82">
        <f>IFERROR(__xludf.DUMMYFUNCTION("""COMPUTED_VALUE"""),1.5833333333333333)</f>
        <v>1.583333333</v>
      </c>
      <c r="S1754" s="82">
        <f>IFERROR(__xludf.DUMMYFUNCTION("""COMPUTED_VALUE"""),3.666666666666667)</f>
        <v>3.666666667</v>
      </c>
      <c r="T1754" s="82">
        <f>IFERROR(__xludf.DUMMYFUNCTION("""COMPUTED_VALUE"""),407.4253812636166)</f>
        <v>407.4253813</v>
      </c>
      <c r="U1754" s="82">
        <f>IFERROR(__xludf.DUMMYFUNCTION("""COMPUTED_VALUE"""),1.0544662309368191)</f>
        <v>1.054466231</v>
      </c>
      <c r="V1754" s="82">
        <f>IFERROR(__xludf.DUMMYFUNCTION("""COMPUTED_VALUE"""),0.7434640522875817)</f>
        <v>0.7434640523</v>
      </c>
      <c r="W1754" s="82">
        <f>IFERROR(__xludf.DUMMYFUNCTION("""COMPUTED_VALUE"""),1.5021786492374727)</f>
        <v>1.502178649</v>
      </c>
      <c r="X1754" s="82">
        <f>IFERROR(__xludf.DUMMYFUNCTION("""COMPUTED_VALUE"""),2.9471677559912854)</f>
        <v>2.947167756</v>
      </c>
      <c r="Y1754" s="82">
        <f>IFERROR(__xludf.DUMMYFUNCTION("""COMPUTED_VALUE"""),325.09404502541764)</f>
        <v>325.094045</v>
      </c>
      <c r="Z1754" s="82">
        <f>IFERROR(__xludf.DUMMYFUNCTION("""COMPUTED_VALUE"""),0.6318082788671022)</f>
        <v>0.6318082789</v>
      </c>
      <c r="AA1754" s="82">
        <f>IFERROR(__xludf.DUMMYFUNCTION("""COMPUTED_VALUE"""),0.47167755991285415)</f>
        <v>0.4716775599</v>
      </c>
      <c r="AB1754" s="82">
        <f>IFERROR(__xludf.DUMMYFUNCTION("""COMPUTED_VALUE"""),1.3456790123456788)</f>
        <v>1.345679012</v>
      </c>
      <c r="AC1754" s="82">
        <f>IFERROR(__xludf.DUMMYFUNCTION("""COMPUTED_VALUE"""),2.7138707334785757)</f>
        <v>2.713870733</v>
      </c>
      <c r="AD1754" s="82">
        <f>IFERROR(__xludf.DUMMYFUNCTION("""COMPUTED_VALUE"""),1.2434863270669676)</f>
        <v>1.243486327</v>
      </c>
      <c r="AE1754" s="82">
        <f>IFERROR(__xludf.DUMMYFUNCTION("""COMPUTED_VALUE"""),1.1870689655172417)</f>
        <v>1.187068966</v>
      </c>
      <c r="AF1754" s="82">
        <f>IFERROR(__xludf.DUMMYFUNCTION("""COMPUTED_VALUE"""),1.0600461893764432)</f>
        <v>1.060046189</v>
      </c>
      <c r="AG1754" s="82">
        <f>IFERROR(__xludf.DUMMYFUNCTION("""COMPUTED_VALUE"""),1.3004587155963305)</f>
        <v>1.300458716</v>
      </c>
      <c r="AH1754" s="82">
        <f>IFERROR(__xludf.DUMMYFUNCTION("""COMPUTED_VALUE"""),1.0133128177682638)</f>
        <v>1.013312818</v>
      </c>
      <c r="AI1754" s="82">
        <f>IFERROR(__xludf.DUMMYFUNCTION("""COMPUTED_VALUE"""),1.0656348048816027)</f>
        <v>1.065634805</v>
      </c>
      <c r="AJ1754" s="82">
        <f>IFERROR(__xludf.DUMMYFUNCTION("""COMPUTED_VALUE"""),1.0273760330578512)</f>
        <v>1.027376033</v>
      </c>
      <c r="AK1754" s="82">
        <f>IFERROR(__xludf.DUMMYFUNCTION("""COMPUTED_VALUE"""),1.0087912087912088)</f>
        <v>1.008791209</v>
      </c>
      <c r="AL1754" s="82">
        <f>IFERROR(__xludf.DUMMYFUNCTION("""COMPUTED_VALUE"""),1.0540246555474981)</f>
        <v>1.054024656</v>
      </c>
      <c r="AM1754" s="82">
        <f>IFERROR(__xludf.DUMMYFUNCTION("""COMPUTED_VALUE"""),1.2441323230456478)</f>
        <v>1.244132323</v>
      </c>
      <c r="AN1754" s="82">
        <f>IFERROR(__xludf.DUMMYFUNCTION("""COMPUTED_VALUE"""),1.1926857532450332)</f>
        <v>1.192685753</v>
      </c>
      <c r="AO1754" s="82">
        <f>IFERROR(__xludf.DUMMYFUNCTION("""COMPUTED_VALUE"""),1.020880096032378)</f>
        <v>1.020880096</v>
      </c>
      <c r="AP1754" s="82">
        <f>IFERROR(__xludf.DUMMYFUNCTION("""COMPUTED_VALUE"""),0.8928190683098591)</f>
        <v>0.8928190683</v>
      </c>
      <c r="AQ1754" s="82">
        <f>IFERROR(__xludf.DUMMYFUNCTION("""COMPUTED_VALUE"""),1.3354342427997579)</f>
        <v>1.335434243</v>
      </c>
      <c r="AR1754" s="82">
        <f>IFERROR(__xludf.DUMMYFUNCTION("""COMPUTED_VALUE"""),1.104264408347494)</f>
        <v>1.104264408</v>
      </c>
      <c r="AS1754" s="82">
        <f>IFERROR(__xludf.DUMMYFUNCTION("""COMPUTED_VALUE"""),6.0)</f>
        <v>6</v>
      </c>
      <c r="AT1754" s="82">
        <f>IFERROR(__xludf.DUMMYFUNCTION("""COMPUTED_VALUE"""),0.2298430792925465)</f>
        <v>0.2298430793</v>
      </c>
      <c r="AU1754" s="82">
        <f>IFERROR(__xludf.DUMMYFUNCTION("""COMPUTED_VALUE"""),2.2591882208568492)</f>
        <v>2.259188221</v>
      </c>
      <c r="AV1754" s="82">
        <f>IFERROR(__xludf.DUMMYFUNCTION("""COMPUTED_VALUE"""),59.28807204294381)</f>
        <v>59.28807204</v>
      </c>
      <c r="AW1754" s="82">
        <f t="shared" si="1"/>
        <v>2.815917359</v>
      </c>
      <c r="AX1754" s="83">
        <f t="array" ref="AX1754">IFERROR(DGET('SBV Import'!A:G,"SBV",{"RSC ID","Tier";B1754,A1754}))</f>
        <v>46.34580123</v>
      </c>
      <c r="AY1754" s="82">
        <f t="shared" si="2"/>
        <v>-2.262984084</v>
      </c>
      <c r="AZ1754" s="82">
        <v>5.078901442595152</v>
      </c>
      <c r="BA1754" s="84">
        <v>1700.0</v>
      </c>
      <c r="BB1754" s="84" t="b">
        <f>IFERROR(__xludf.DUMMYFUNCTION("iferror(if(A1754="""",,E1754&gt;=FILTER(Constants!$F$2:$F$10,Constants!$A$2:$A$10=A1754)))"),TRUE)</f>
        <v>1</v>
      </c>
    </row>
    <row r="1755">
      <c r="A1755" s="89" t="str">
        <f>IFERROR(__xludf.DUMMYFUNCTION("""COMPUTED_VALUE"""),"Rival")</f>
        <v>Rival</v>
      </c>
      <c r="B1755" s="87" t="str">
        <f>IFERROR(__xludf.DUMMYFUNCTION("""COMPUTED_VALUE"""),"RSC002267")</f>
        <v>RSC002267</v>
      </c>
      <c r="C1755" s="73" t="str">
        <f>IFERROR(__xludf.DUMMYFUNCTION("""COMPUTED_VALUE"""),"Dooqal")</f>
        <v>Dooqal</v>
      </c>
      <c r="D1755" s="73" t="str">
        <f>IFERROR(__xludf.DUMMYFUNCTION("""COMPUTED_VALUE"""),"Dracos")</f>
        <v>Dracos</v>
      </c>
      <c r="E1755" s="82">
        <f>IFERROR(__xludf.DUMMYFUNCTION("""COMPUTED_VALUE"""),28.0)</f>
        <v>28</v>
      </c>
      <c r="F1755" s="82">
        <f>IFERROR(__xludf.DUMMYFUNCTION("""COMPUTED_VALUE"""),17.0)</f>
        <v>17</v>
      </c>
      <c r="G1755" s="86">
        <f>IFERROR(__xludf.DUMMYFUNCTION("""COMPUTED_VALUE"""),11.0)</f>
        <v>11</v>
      </c>
      <c r="H1755" s="86">
        <f>IFERROR(__xludf.DUMMYFUNCTION("""COMPUTED_VALUE"""),0.6071428571428571)</f>
        <v>0.6071428571</v>
      </c>
      <c r="I1755" s="86">
        <f>IFERROR(__xludf.DUMMYFUNCTION("""COMPUTED_VALUE"""),0.3287671232876712)</f>
        <v>0.3287671233</v>
      </c>
      <c r="J1755" s="82">
        <f>IFERROR(__xludf.DUMMYFUNCTION("""COMPUTED_VALUE"""),371.2857142857143)</f>
        <v>371.2857143</v>
      </c>
      <c r="K1755" s="82">
        <f>IFERROR(__xludf.DUMMYFUNCTION("""COMPUTED_VALUE"""),0.8571428571428571)</f>
        <v>0.8571428571</v>
      </c>
      <c r="L1755" s="82">
        <f>IFERROR(__xludf.DUMMYFUNCTION("""COMPUTED_VALUE"""),0.4642857142857143)</f>
        <v>0.4642857143</v>
      </c>
      <c r="M1755" s="82">
        <f>IFERROR(__xludf.DUMMYFUNCTION("""COMPUTED_VALUE"""),1.6428571428571428)</f>
        <v>1.642857143</v>
      </c>
      <c r="N1755" s="82">
        <f>IFERROR(__xludf.DUMMYFUNCTION("""COMPUTED_VALUE"""),2.607142857142857)</f>
        <v>2.607142857</v>
      </c>
      <c r="O1755" s="82">
        <f>IFERROR(__xludf.DUMMYFUNCTION("""COMPUTED_VALUE"""),332.7380952380953)</f>
        <v>332.7380952</v>
      </c>
      <c r="P1755" s="82">
        <f>IFERROR(__xludf.DUMMYFUNCTION("""COMPUTED_VALUE"""),0.6904761904761906)</f>
        <v>0.6904761905</v>
      </c>
      <c r="Q1755" s="82">
        <f>IFERROR(__xludf.DUMMYFUNCTION("""COMPUTED_VALUE"""),0.380952380952381)</f>
        <v>0.380952381</v>
      </c>
      <c r="R1755" s="82">
        <f>IFERROR(__xludf.DUMMYFUNCTION("""COMPUTED_VALUE"""),1.3571428571428574)</f>
        <v>1.357142857</v>
      </c>
      <c r="S1755" s="82">
        <f>IFERROR(__xludf.DUMMYFUNCTION("""COMPUTED_VALUE"""),2.5000000000000004)</f>
        <v>2.5</v>
      </c>
      <c r="T1755" s="82">
        <f>IFERROR(__xludf.DUMMYFUNCTION("""COMPUTED_VALUE"""),344.87113841593356)</f>
        <v>344.8711384</v>
      </c>
      <c r="U1755" s="82">
        <f>IFERROR(__xludf.DUMMYFUNCTION("""COMPUTED_VALUE"""),0.7399793794751774)</f>
        <v>0.7399793795</v>
      </c>
      <c r="V1755" s="82">
        <f>IFERROR(__xludf.DUMMYFUNCTION("""COMPUTED_VALUE"""),0.5273007312870759)</f>
        <v>0.5273007313</v>
      </c>
      <c r="W1755" s="82">
        <f>IFERROR(__xludf.DUMMYFUNCTION("""COMPUTED_VALUE"""),1.3170140898239635)</f>
        <v>1.31701409</v>
      </c>
      <c r="X1755" s="82">
        <f>IFERROR(__xludf.DUMMYFUNCTION("""COMPUTED_VALUE"""),2.5635561034825747)</f>
        <v>2.563556103</v>
      </c>
      <c r="Y1755" s="82">
        <f>IFERROR(__xludf.DUMMYFUNCTION("""COMPUTED_VALUE"""),353.22824409736705)</f>
        <v>353.2282441</v>
      </c>
      <c r="Z1755" s="82">
        <f>IFERROR(__xludf.DUMMYFUNCTION("""COMPUTED_VALUE"""),0.8259448150537085)</f>
        <v>0.8259448151</v>
      </c>
      <c r="AA1755" s="82">
        <f>IFERROR(__xludf.DUMMYFUNCTION("""COMPUTED_VALUE"""),0.5934632114954244)</f>
        <v>0.5934632115</v>
      </c>
      <c r="AB1755" s="82">
        <f>IFERROR(__xludf.DUMMYFUNCTION("""COMPUTED_VALUE"""),1.278009411482801)</f>
        <v>1.278009411</v>
      </c>
      <c r="AC1755" s="82">
        <f>IFERROR(__xludf.DUMMYFUNCTION("""COMPUTED_VALUE"""),2.5594582397190946)</f>
        <v>2.55945824</v>
      </c>
      <c r="AD1755" s="82">
        <f>IFERROR(__xludf.DUMMYFUNCTION("""COMPUTED_VALUE"""),1.0511212523066804)</f>
        <v>1.051121252</v>
      </c>
      <c r="AE1755" s="82">
        <f>IFERROR(__xludf.DUMMYFUNCTION("""COMPUTED_VALUE"""),1.0377725503211976)</f>
        <v>1.03777255</v>
      </c>
      <c r="AF1755" s="82">
        <f>IFERROR(__xludf.DUMMYFUNCTION("""COMPUTED_VALUE"""),0.7823327635015401)</f>
        <v>0.7823327635</v>
      </c>
      <c r="AG1755" s="82">
        <f>IFERROR(__xludf.DUMMYFUNCTION("""COMPUTED_VALUE"""),1.2854812555339714)</f>
        <v>1.285481256</v>
      </c>
      <c r="AH1755" s="82">
        <f>IFERROR(__xludf.DUMMYFUNCTION("""COMPUTED_VALUE"""),1.0186307464149116)</f>
        <v>1.018630746</v>
      </c>
      <c r="AI1755" s="82">
        <f>IFERROR(__xludf.DUMMYFUNCTION("""COMPUTED_VALUE"""),0.9648186182422573)</f>
        <v>0.9648186182</v>
      </c>
      <c r="AJ1755" s="82">
        <f>IFERROR(__xludf.DUMMYFUNCTION("""COMPUTED_VALUE"""),0.9331019344970174)</f>
        <v>0.9331019345</v>
      </c>
      <c r="AK1755" s="82">
        <f>IFERROR(__xludf.DUMMYFUNCTION("""COMPUTED_VALUE"""),0.722457524423536)</f>
        <v>0.7224575244</v>
      </c>
      <c r="AL1755" s="82">
        <f>IFERROR(__xludf.DUMMYFUNCTION("""COMPUTED_VALUE"""),1.0304695049422423)</f>
        <v>1.030469505</v>
      </c>
      <c r="AM1755" s="82">
        <f>IFERROR(__xludf.DUMMYFUNCTION("""COMPUTED_VALUE"""),0.9752078359446732)</f>
        <v>0.9752078359</v>
      </c>
      <c r="AN1755" s="82">
        <f>IFERROR(__xludf.DUMMYFUNCTION("""COMPUTED_VALUE"""),1.095429021179907)</f>
        <v>1.095429021</v>
      </c>
      <c r="AO1755" s="82">
        <f>IFERROR(__xludf.DUMMYFUNCTION("""COMPUTED_VALUE"""),1.1667201097512891)</f>
        <v>1.16672011</v>
      </c>
      <c r="AP1755" s="82">
        <f>IFERROR(__xludf.DUMMYFUNCTION("""COMPUTED_VALUE"""),0.8290462777162978)</f>
        <v>0.8290462777</v>
      </c>
      <c r="AQ1755" s="82">
        <f>IFERROR(__xludf.DUMMYFUNCTION("""COMPUTED_VALUE"""),1.253672962628344)</f>
        <v>1.253672963</v>
      </c>
      <c r="AR1755" s="82">
        <f>IFERROR(__xludf.DUMMYFUNCTION("""COMPUTED_VALUE"""),1.0469000234982735)</f>
        <v>1.046900023</v>
      </c>
      <c r="AS1755" s="82">
        <f>IFERROR(__xludf.DUMMYFUNCTION("""COMPUTED_VALUE"""),68.0)</f>
        <v>68</v>
      </c>
      <c r="AT1755" s="82">
        <f>IFERROR(__xludf.DUMMYFUNCTION("""COMPUTED_VALUE"""),0.5609287387720799)</f>
        <v>0.5609287388</v>
      </c>
      <c r="AU1755" s="82">
        <f>IFERROR(__xludf.DUMMYFUNCTION("""COMPUTED_VALUE"""),2.258138992297437)</f>
        <v>2.258138992</v>
      </c>
      <c r="AV1755" s="82">
        <f>IFERROR(__xludf.DUMMYFUNCTION("""COMPUTED_VALUE"""),59.25100902053338)</f>
        <v>59.25100902</v>
      </c>
      <c r="AW1755" s="82">
        <f t="shared" si="1"/>
        <v>2.811545937</v>
      </c>
      <c r="AX1755" s="83">
        <f t="array" ref="AX1755">IFERROR(DGET('SBV Import'!A:G,"SBV",{"RSC ID","Tier";B1755,A1755}))</f>
        <v>56.08458788</v>
      </c>
      <c r="AY1755" s="82">
        <f t="shared" si="2"/>
        <v>2.476141409</v>
      </c>
      <c r="AZ1755" s="82">
        <v>0.33540452709841695</v>
      </c>
      <c r="BA1755" s="84">
        <v>1700.0</v>
      </c>
      <c r="BB1755" s="84" t="b">
        <f>IFERROR(__xludf.DUMMYFUNCTION("iferror(if(A1755="""",,E1755&gt;=FILTER(Constants!$F$2:$F$10,Constants!$A$2:$A$10=A1755)))"),TRUE)</f>
        <v>1</v>
      </c>
    </row>
    <row r="1756">
      <c r="A1756" s="89" t="str">
        <f>IFERROR(__xludf.DUMMYFUNCTION("""COMPUTED_VALUE"""),"Rival")</f>
        <v>Rival</v>
      </c>
      <c r="B1756" s="87" t="str">
        <f>IFERROR(__xludf.DUMMYFUNCTION("""COMPUTED_VALUE"""),"RSC006086")</f>
        <v>RSC006086</v>
      </c>
      <c r="C1756" s="73" t="str">
        <f>IFERROR(__xludf.DUMMYFUNCTION("""COMPUTED_VALUE"""),"13o0k")</f>
        <v>13o0k</v>
      </c>
      <c r="D1756" s="73" t="str">
        <f>IFERROR(__xludf.DUMMYFUNCTION("""COMPUTED_VALUE"""),"Kitsune")</f>
        <v>Kitsune</v>
      </c>
      <c r="E1756" s="82">
        <f>IFERROR(__xludf.DUMMYFUNCTION("""COMPUTED_VALUE"""),24.0)</f>
        <v>24</v>
      </c>
      <c r="F1756" s="82">
        <f>IFERROR(__xludf.DUMMYFUNCTION("""COMPUTED_VALUE"""),12.0)</f>
        <v>12</v>
      </c>
      <c r="G1756" s="86">
        <f>IFERROR(__xludf.DUMMYFUNCTION("""COMPUTED_VALUE"""),12.0)</f>
        <v>12</v>
      </c>
      <c r="H1756" s="86">
        <f>IFERROR(__xludf.DUMMYFUNCTION("""COMPUTED_VALUE"""),0.5)</f>
        <v>0.5</v>
      </c>
      <c r="I1756" s="86">
        <f>IFERROR(__xludf.DUMMYFUNCTION("""COMPUTED_VALUE"""),0.23880597014925373)</f>
        <v>0.2388059701</v>
      </c>
      <c r="J1756" s="82">
        <f>IFERROR(__xludf.DUMMYFUNCTION("""COMPUTED_VALUE"""),351.2916666666667)</f>
        <v>351.2916667</v>
      </c>
      <c r="K1756" s="82">
        <f>IFERROR(__xludf.DUMMYFUNCTION("""COMPUTED_VALUE"""),0.6666666666666666)</f>
        <v>0.6666666667</v>
      </c>
      <c r="L1756" s="82">
        <f>IFERROR(__xludf.DUMMYFUNCTION("""COMPUTED_VALUE"""),0.6666666666666666)</f>
        <v>0.6666666667</v>
      </c>
      <c r="M1756" s="82">
        <f>IFERROR(__xludf.DUMMYFUNCTION("""COMPUTED_VALUE"""),1.25)</f>
        <v>1.25</v>
      </c>
      <c r="N1756" s="82">
        <f>IFERROR(__xludf.DUMMYFUNCTION("""COMPUTED_VALUE"""),2.7916666666666665)</f>
        <v>2.791666667</v>
      </c>
      <c r="O1756" s="82">
        <f>IFERROR(__xludf.DUMMYFUNCTION("""COMPUTED_VALUE"""),327.2083333333333)</f>
        <v>327.2083333</v>
      </c>
      <c r="P1756" s="82">
        <f>IFERROR(__xludf.DUMMYFUNCTION("""COMPUTED_VALUE"""),0.7222222222222223)</f>
        <v>0.7222222222</v>
      </c>
      <c r="Q1756" s="82">
        <f>IFERROR(__xludf.DUMMYFUNCTION("""COMPUTED_VALUE"""),0.5277777777777778)</f>
        <v>0.5277777778</v>
      </c>
      <c r="R1756" s="82">
        <f>IFERROR(__xludf.DUMMYFUNCTION("""COMPUTED_VALUE"""),1.1666666666666667)</f>
        <v>1.166666667</v>
      </c>
      <c r="S1756" s="82">
        <f>IFERROR(__xludf.DUMMYFUNCTION("""COMPUTED_VALUE"""),2.3333333333333335)</f>
        <v>2.333333333</v>
      </c>
      <c r="T1756" s="82">
        <f>IFERROR(__xludf.DUMMYFUNCTION("""COMPUTED_VALUE"""),348.74296210479025)</f>
        <v>348.7429621</v>
      </c>
      <c r="U1756" s="82">
        <f>IFERROR(__xludf.DUMMYFUNCTION("""COMPUTED_VALUE"""),0.8233015404174019)</f>
        <v>0.8233015404</v>
      </c>
      <c r="V1756" s="82">
        <f>IFERROR(__xludf.DUMMYFUNCTION("""COMPUTED_VALUE"""),0.5487510159992236)</f>
        <v>0.548751016</v>
      </c>
      <c r="W1756" s="82">
        <f>IFERROR(__xludf.DUMMYFUNCTION("""COMPUTED_VALUE"""),1.3174341000118341)</f>
        <v>1.3174341</v>
      </c>
      <c r="X1756" s="82">
        <f>IFERROR(__xludf.DUMMYFUNCTION("""COMPUTED_VALUE"""),2.536045384288132)</f>
        <v>2.536045384</v>
      </c>
      <c r="Y1756" s="82">
        <f>IFERROR(__xludf.DUMMYFUNCTION("""COMPUTED_VALUE"""),349.15473797926626)</f>
        <v>349.154738</v>
      </c>
      <c r="Z1756" s="82">
        <f>IFERROR(__xludf.DUMMYFUNCTION("""COMPUTED_VALUE"""),0.8150980973094427)</f>
        <v>0.8150980973</v>
      </c>
      <c r="AA1756" s="82">
        <f>IFERROR(__xludf.DUMMYFUNCTION("""COMPUTED_VALUE"""),0.5712163028423791)</f>
        <v>0.5712163028</v>
      </c>
      <c r="AB1756" s="82">
        <f>IFERROR(__xludf.DUMMYFUNCTION("""COMPUTED_VALUE"""),1.3300042770895264)</f>
        <v>1.330004277</v>
      </c>
      <c r="AC1756" s="82">
        <f>IFERROR(__xludf.DUMMYFUNCTION("""COMPUTED_VALUE"""),2.584597989288835)</f>
        <v>2.584597989</v>
      </c>
      <c r="AD1756" s="82">
        <f>IFERROR(__xludf.DUMMYFUNCTION("""COMPUTED_VALUE"""),1.0061202912489973)</f>
        <v>1.006120291</v>
      </c>
      <c r="AE1756" s="82">
        <f>IFERROR(__xludf.DUMMYFUNCTION("""COMPUTED_VALUE"""),0.8178974639583464)</f>
        <v>0.817897464</v>
      </c>
      <c r="AF1756" s="82">
        <f>IFERROR(__xludf.DUMMYFUNCTION("""COMPUTED_VALUE"""),1.1671002094116105)</f>
        <v>1.167100209</v>
      </c>
      <c r="AG1756" s="82">
        <f>IFERROR(__xludf.DUMMYFUNCTION("""COMPUTED_VALUE"""),0.939846601648078)</f>
        <v>0.9398466016</v>
      </c>
      <c r="AH1756" s="82">
        <f>IFERROR(__xludf.DUMMYFUNCTION("""COMPUTED_VALUE"""),1.0801163965289657)</f>
        <v>1.080116397</v>
      </c>
      <c r="AI1756" s="82">
        <f>IFERROR(__xludf.DUMMYFUNCTION("""COMPUTED_VALUE"""),0.9382507143900837)</f>
        <v>0.9382507144</v>
      </c>
      <c r="AJ1756" s="82">
        <f>IFERROR(__xludf.DUMMYFUNCTION("""COMPUTED_VALUE"""),0.8772268564638737)</f>
        <v>0.8772268565</v>
      </c>
      <c r="AK1756" s="82">
        <f>IFERROR(__xludf.DUMMYFUNCTION("""COMPUTED_VALUE"""),0.9617800466696986)</f>
        <v>0.9617800467</v>
      </c>
      <c r="AL1756" s="82">
        <f>IFERROR(__xludf.DUMMYFUNCTION("""COMPUTED_VALUE"""),0.8855597913065912)</f>
        <v>0.8855597913</v>
      </c>
      <c r="AM1756" s="82">
        <f>IFERROR(__xludf.DUMMYFUNCTION("""COMPUTED_VALUE"""),0.9200676564344293)</f>
        <v>0.9200676564</v>
      </c>
      <c r="AN1756" s="82">
        <f>IFERROR(__xludf.DUMMYFUNCTION("""COMPUTED_VALUE"""),1.0364392481559346)</f>
        <v>1.036439248</v>
      </c>
      <c r="AO1756" s="82">
        <f>IFERROR(__xludf.DUMMYFUNCTION("""COMPUTED_VALUE"""),0.9074489742510028)</f>
        <v>0.9074489743</v>
      </c>
      <c r="AP1756" s="82">
        <f>IFERROR(__xludf.DUMMYFUNCTION("""COMPUTED_VALUE"""),1.1904254244131454)</f>
        <v>1.190425424</v>
      </c>
      <c r="AQ1756" s="82">
        <f>IFERROR(__xludf.DUMMYFUNCTION("""COMPUTED_VALUE"""),0.9538816019998271)</f>
        <v>0.953881602</v>
      </c>
      <c r="AR1756" s="82">
        <f>IFERROR(__xludf.DUMMYFUNCTION("""COMPUTED_VALUE"""),1.1209956872618498)</f>
        <v>1.120995687</v>
      </c>
      <c r="AS1756" s="82">
        <f>IFERROR(__xludf.DUMMYFUNCTION("""COMPUTED_VALUE"""),50.0)</f>
        <v>50</v>
      </c>
      <c r="AT1756" s="82">
        <f>IFERROR(__xludf.DUMMYFUNCTION("""COMPUTED_VALUE"""),0.48515174547830847)</f>
        <v>0.4851517455</v>
      </c>
      <c r="AU1756" s="82">
        <f>IFERROR(__xludf.DUMMYFUNCTION("""COMPUTED_VALUE"""),2.2353599717995043)</f>
        <v>2.235359972</v>
      </c>
      <c r="AV1756" s="82">
        <f>IFERROR(__xludf.DUMMYFUNCTION("""COMPUTED_VALUE"""),58.446361320440836)</f>
        <v>58.44636132</v>
      </c>
      <c r="AW1756" s="82">
        <f t="shared" si="1"/>
        <v>2.71933891</v>
      </c>
      <c r="AX1756" s="83">
        <f t="array" ref="AX1756">IFERROR(DGET('SBV Import'!A:G,"SBV",{"RSC ID","Tier";B1756,A1756}))</f>
        <v>66.98692738</v>
      </c>
      <c r="AY1756" s="82">
        <f t="shared" si="2"/>
        <v>4.025476308</v>
      </c>
      <c r="AZ1756" s="82">
        <v>1.3061373973807422</v>
      </c>
      <c r="BA1756" s="84">
        <v>1700.0</v>
      </c>
      <c r="BB1756" s="84" t="b">
        <f>IFERROR(__xludf.DUMMYFUNCTION("iferror(if(A1756="""",,E1756&gt;=FILTER(Constants!$F$2:$F$10,Constants!$A$2:$A$10=A1756)))"),TRUE)</f>
        <v>1</v>
      </c>
    </row>
    <row r="1757">
      <c r="A1757" s="89" t="str">
        <f>IFERROR(__xludf.DUMMYFUNCTION("""COMPUTED_VALUE"""),"Rival")</f>
        <v>Rival</v>
      </c>
      <c r="B1757" s="87" t="str">
        <f>IFERROR(__xludf.DUMMYFUNCTION("""COMPUTED_VALUE"""),"RSC006490")</f>
        <v>RSC006490</v>
      </c>
      <c r="C1757" s="73" t="str">
        <f>IFERROR(__xludf.DUMMYFUNCTION("""COMPUTED_VALUE"""),"Dayz")</f>
        <v>Dayz</v>
      </c>
      <c r="D1757" s="73" t="str">
        <f>IFERROR(__xludf.DUMMYFUNCTION("""COMPUTED_VALUE"""),"Stolen")</f>
        <v>Stolen</v>
      </c>
      <c r="E1757" s="82">
        <f>IFERROR(__xludf.DUMMYFUNCTION("""COMPUTED_VALUE"""),32.0)</f>
        <v>32</v>
      </c>
      <c r="F1757" s="82">
        <f>IFERROR(__xludf.DUMMYFUNCTION("""COMPUTED_VALUE"""),21.0)</f>
        <v>21</v>
      </c>
      <c r="G1757" s="86">
        <f>IFERROR(__xludf.DUMMYFUNCTION("""COMPUTED_VALUE"""),11.0)</f>
        <v>11</v>
      </c>
      <c r="H1757" s="86">
        <f>IFERROR(__xludf.DUMMYFUNCTION("""COMPUTED_VALUE"""),0.65625)</f>
        <v>0.65625</v>
      </c>
      <c r="I1757" s="86">
        <f>IFERROR(__xludf.DUMMYFUNCTION("""COMPUTED_VALUE"""),0.32051282051282054)</f>
        <v>0.3205128205</v>
      </c>
      <c r="J1757" s="82">
        <f>IFERROR(__xludf.DUMMYFUNCTION("""COMPUTED_VALUE"""),359.03125)</f>
        <v>359.03125</v>
      </c>
      <c r="K1757" s="82">
        <f>IFERROR(__xludf.DUMMYFUNCTION("""COMPUTED_VALUE"""),0.78125)</f>
        <v>0.78125</v>
      </c>
      <c r="L1757" s="82">
        <f>IFERROR(__xludf.DUMMYFUNCTION("""COMPUTED_VALUE"""),0.625)</f>
        <v>0.625</v>
      </c>
      <c r="M1757" s="82">
        <f>IFERROR(__xludf.DUMMYFUNCTION("""COMPUTED_VALUE"""),1.53125)</f>
        <v>1.53125</v>
      </c>
      <c r="N1757" s="82">
        <f>IFERROR(__xludf.DUMMYFUNCTION("""COMPUTED_VALUE"""),2.4375)</f>
        <v>2.4375</v>
      </c>
      <c r="O1757" s="82">
        <f>IFERROR(__xludf.DUMMYFUNCTION("""COMPUTED_VALUE"""),346.64583333333337)</f>
        <v>346.6458333</v>
      </c>
      <c r="P1757" s="82">
        <f>IFERROR(__xludf.DUMMYFUNCTION("""COMPUTED_VALUE"""),0.7291666666666666)</f>
        <v>0.7291666667</v>
      </c>
      <c r="Q1757" s="82">
        <f>IFERROR(__xludf.DUMMYFUNCTION("""COMPUTED_VALUE"""),0.625)</f>
        <v>0.625</v>
      </c>
      <c r="R1757" s="82">
        <f>IFERROR(__xludf.DUMMYFUNCTION("""COMPUTED_VALUE"""),1.4166666666666667)</f>
        <v>1.416666667</v>
      </c>
      <c r="S1757" s="82">
        <f>IFERROR(__xludf.DUMMYFUNCTION("""COMPUTED_VALUE"""),2.4583333333333335)</f>
        <v>2.458333333</v>
      </c>
      <c r="T1757" s="82">
        <f>IFERROR(__xludf.DUMMYFUNCTION("""COMPUTED_VALUE"""),357.58742443320557)</f>
        <v>357.5874244</v>
      </c>
      <c r="U1757" s="82">
        <f>IFERROR(__xludf.DUMMYFUNCTION("""COMPUTED_VALUE"""),0.8322175280049169)</f>
        <v>0.832217528</v>
      </c>
      <c r="V1757" s="82">
        <f>IFERROR(__xludf.DUMMYFUNCTION("""COMPUTED_VALUE"""),0.6025731466328604)</f>
        <v>0.6025731466</v>
      </c>
      <c r="W1757" s="82">
        <f>IFERROR(__xludf.DUMMYFUNCTION("""COMPUTED_VALUE"""),1.3653666812867096)</f>
        <v>1.365366681</v>
      </c>
      <c r="X1757" s="82">
        <f>IFERROR(__xludf.DUMMYFUNCTION("""COMPUTED_VALUE"""),2.6435087781375355)</f>
        <v>2.643508778</v>
      </c>
      <c r="Y1757" s="82">
        <f>IFERROR(__xludf.DUMMYFUNCTION("""COMPUTED_VALUE"""),344.8012196204382)</f>
        <v>344.8012196</v>
      </c>
      <c r="Z1757" s="82">
        <f>IFERROR(__xludf.DUMMYFUNCTION("""COMPUTED_VALUE"""),0.7813712445019514)</f>
        <v>0.7813712445</v>
      </c>
      <c r="AA1757" s="82">
        <f>IFERROR(__xludf.DUMMYFUNCTION("""COMPUTED_VALUE"""),0.5618061704240139)</f>
        <v>0.5618061704</v>
      </c>
      <c r="AB1757" s="82">
        <f>IFERROR(__xludf.DUMMYFUNCTION("""COMPUTED_VALUE"""),1.29905954620473)</f>
        <v>1.299059546</v>
      </c>
      <c r="AC1757" s="82">
        <f>IFERROR(__xludf.DUMMYFUNCTION("""COMPUTED_VALUE"""),2.622703305911168)</f>
        <v>2.622703306</v>
      </c>
      <c r="AD1757" s="82">
        <f>IFERROR(__xludf.DUMMYFUNCTION("""COMPUTED_VALUE"""),1.0412702437515344)</f>
        <v>1.041270244</v>
      </c>
      <c r="AE1757" s="82">
        <f>IFERROR(__xludf.DUMMYFUNCTION("""COMPUTED_VALUE"""),0.9998448311186207)</f>
        <v>0.9998448311</v>
      </c>
      <c r="AF1757" s="82">
        <f>IFERROR(__xludf.DUMMYFUNCTION("""COMPUTED_VALUE"""),1.1124833312676)</f>
        <v>1.112483331</v>
      </c>
      <c r="AG1757" s="82">
        <f>IFERROR(__xludf.DUMMYFUNCTION("""COMPUTED_VALUE"""),1.1787373446225975)</f>
        <v>1.178737345</v>
      </c>
      <c r="AH1757" s="82">
        <f>IFERROR(__xludf.DUMMYFUNCTION("""COMPUTED_VALUE"""),0.929384576023621)</f>
        <v>0.929384576</v>
      </c>
      <c r="AI1757" s="82">
        <f>IFERROR(__xludf.DUMMYFUNCTION("""COMPUTED_VALUE"""),0.9694016334125419)</f>
        <v>0.9694016334</v>
      </c>
      <c r="AJ1757" s="82">
        <f>IFERROR(__xludf.DUMMYFUNCTION("""COMPUTED_VALUE"""),0.8761731664252553)</f>
        <v>0.8761731664</v>
      </c>
      <c r="AK1757" s="82">
        <f>IFERROR(__xludf.DUMMYFUNCTION("""COMPUTED_VALUE"""),1.0372184746241337)</f>
        <v>1.037218475</v>
      </c>
      <c r="AL1757" s="82">
        <f>IFERROR(__xludf.DUMMYFUNCTION("""COMPUTED_VALUE"""),1.037572313784318)</f>
        <v>1.037572314</v>
      </c>
      <c r="AM1757" s="82">
        <f>IFERROR(__xludf.DUMMYFUNCTION("""COMPUTED_VALUE"""),0.9299508871180424)</f>
        <v>0.9299508871</v>
      </c>
      <c r="AN1757" s="82">
        <f>IFERROR(__xludf.DUMMYFUNCTION("""COMPUTED_VALUE"""),1.0592738573772562)</f>
        <v>1.059273857</v>
      </c>
      <c r="AO1757" s="82">
        <f>IFERROR(__xludf.DUMMYFUNCTION("""COMPUTED_VALUE"""),1.063416766700394)</f>
        <v>1.063416767</v>
      </c>
      <c r="AP1757" s="82">
        <f>IFERROR(__xludf.DUMMYFUNCTION("""COMPUTED_VALUE"""),1.116023835387324)</f>
        <v>1.116023835</v>
      </c>
      <c r="AQ1757" s="82">
        <f>IFERROR(__xludf.DUMMYFUNCTION("""COMPUTED_VALUE"""),1.168504962449788)</f>
        <v>1.168504962</v>
      </c>
      <c r="AR1757" s="82">
        <f>IFERROR(__xludf.DUMMYFUNCTION("""COMPUTED_VALUE"""),0.9787798164898242)</f>
        <v>0.9787798165</v>
      </c>
      <c r="AS1757" s="82">
        <f>IFERROR(__xludf.DUMMYFUNCTION("""COMPUTED_VALUE"""),83.0)</f>
        <v>83</v>
      </c>
      <c r="AT1757" s="82">
        <f>IFERROR(__xludf.DUMMYFUNCTION("""COMPUTED_VALUE"""),0.5663332332090288)</f>
        <v>0.5663332332</v>
      </c>
      <c r="AU1757" s="82">
        <f>IFERROR(__xludf.DUMMYFUNCTION("""COMPUTED_VALUE"""),2.227677525369745)</f>
        <v>2.227677525</v>
      </c>
      <c r="AV1757" s="82">
        <f>IFERROR(__xludf.DUMMYFUNCTION("""COMPUTED_VALUE"""),58.17498604987768)</f>
        <v>58.17498605</v>
      </c>
      <c r="AW1757" s="82">
        <f t="shared" si="1"/>
        <v>2.689371028</v>
      </c>
      <c r="AX1757" s="83">
        <f t="array" ref="AX1757">IFERROR(DGET('SBV Import'!A:G,"SBV",{"RSC ID","Tier";B1757,A1757}))</f>
        <v>51.40773839</v>
      </c>
      <c r="AY1757" s="82">
        <f t="shared" si="2"/>
        <v>2.094032043</v>
      </c>
      <c r="AZ1757" s="82">
        <v>0.5953389854938487</v>
      </c>
      <c r="BA1757" s="84">
        <v>1700.0</v>
      </c>
      <c r="BB1757" s="84" t="b">
        <f>IFERROR(__xludf.DUMMYFUNCTION("iferror(if(A1757="""",,E1757&gt;=FILTER(Constants!$F$2:$F$10,Constants!$A$2:$A$10=A1757)))"),TRUE)</f>
        <v>1</v>
      </c>
    </row>
    <row r="1758">
      <c r="A1758" s="89" t="str">
        <f>IFERROR(__xludf.DUMMYFUNCTION("""COMPUTED_VALUE"""),"Rival")</f>
        <v>Rival</v>
      </c>
      <c r="B1758" s="87" t="str">
        <f>IFERROR(__xludf.DUMMYFUNCTION("""COMPUTED_VALUE"""),"RSC002762")</f>
        <v>RSC002762</v>
      </c>
      <c r="C1758" s="73" t="str">
        <f>IFERROR(__xludf.DUMMYFUNCTION("""COMPUTED_VALUE"""),"OnwardFlame")</f>
        <v>OnwardFlame</v>
      </c>
      <c r="D1758" s="73" t="str">
        <f>IFERROR(__xludf.DUMMYFUNCTION("""COMPUTED_VALUE"""),"Stolen")</f>
        <v>Stolen</v>
      </c>
      <c r="E1758" s="82">
        <f>IFERROR(__xludf.DUMMYFUNCTION("""COMPUTED_VALUE"""),20.0)</f>
        <v>20</v>
      </c>
      <c r="F1758" s="82">
        <f>IFERROR(__xludf.DUMMYFUNCTION("""COMPUTED_VALUE"""),11.0)</f>
        <v>11</v>
      </c>
      <c r="G1758" s="86">
        <f>IFERROR(__xludf.DUMMYFUNCTION("""COMPUTED_VALUE"""),9.0)</f>
        <v>9</v>
      </c>
      <c r="H1758" s="86">
        <f>IFERROR(__xludf.DUMMYFUNCTION("""COMPUTED_VALUE"""),0.55)</f>
        <v>0.55</v>
      </c>
      <c r="I1758" s="86">
        <f>IFERROR(__xludf.DUMMYFUNCTION("""COMPUTED_VALUE"""),0.3508771929824561)</f>
        <v>0.350877193</v>
      </c>
      <c r="J1758" s="82">
        <f>IFERROR(__xludf.DUMMYFUNCTION("""COMPUTED_VALUE"""),344.4)</f>
        <v>344.4</v>
      </c>
      <c r="K1758" s="82">
        <f>IFERROR(__xludf.DUMMYFUNCTION("""COMPUTED_VALUE"""),1.0)</f>
        <v>1</v>
      </c>
      <c r="L1758" s="82">
        <f>IFERROR(__xludf.DUMMYFUNCTION("""COMPUTED_VALUE"""),0.4)</f>
        <v>0.4</v>
      </c>
      <c r="M1758" s="82">
        <f>IFERROR(__xludf.DUMMYFUNCTION("""COMPUTED_VALUE"""),1.15)</f>
        <v>1.15</v>
      </c>
      <c r="N1758" s="82">
        <f>IFERROR(__xludf.DUMMYFUNCTION("""COMPUTED_VALUE"""),2.85)</f>
        <v>2.85</v>
      </c>
      <c r="O1758" s="82">
        <f>IFERROR(__xludf.DUMMYFUNCTION("""COMPUTED_VALUE"""),356.3833333333333)</f>
        <v>356.3833333</v>
      </c>
      <c r="P1758" s="82">
        <f>IFERROR(__xludf.DUMMYFUNCTION("""COMPUTED_VALUE"""),0.8333333333333333)</f>
        <v>0.8333333333</v>
      </c>
      <c r="Q1758" s="82">
        <f>IFERROR(__xludf.DUMMYFUNCTION("""COMPUTED_VALUE"""),0.7166666666666666)</f>
        <v>0.7166666667</v>
      </c>
      <c r="R1758" s="82">
        <f>IFERROR(__xludf.DUMMYFUNCTION("""COMPUTED_VALUE"""),1.3833333333333335)</f>
        <v>1.383333333</v>
      </c>
      <c r="S1758" s="82">
        <f>IFERROR(__xludf.DUMMYFUNCTION("""COMPUTED_VALUE"""),2.7666666666666666)</f>
        <v>2.766666667</v>
      </c>
      <c r="T1758" s="82">
        <f>IFERROR(__xludf.DUMMYFUNCTION("""COMPUTED_VALUE"""),359.47527424133443)</f>
        <v>359.4752742</v>
      </c>
      <c r="U1758" s="82">
        <f>IFERROR(__xludf.DUMMYFUNCTION("""COMPUTED_VALUE"""),0.8562975969035715)</f>
        <v>0.8562975969</v>
      </c>
      <c r="V1758" s="82">
        <f>IFERROR(__xludf.DUMMYFUNCTION("""COMPUTED_VALUE"""),0.6008590144998814)</f>
        <v>0.6008590145</v>
      </c>
      <c r="W1758" s="82">
        <f>IFERROR(__xludf.DUMMYFUNCTION("""COMPUTED_VALUE"""),1.3873509847526668)</f>
        <v>1.387350985</v>
      </c>
      <c r="X1758" s="82">
        <f>IFERROR(__xludf.DUMMYFUNCTION("""COMPUTED_VALUE"""),2.6457707244499793)</f>
        <v>2.645770724</v>
      </c>
      <c r="Y1758" s="82">
        <f>IFERROR(__xludf.DUMMYFUNCTION("""COMPUTED_VALUE"""),348.63397072517125)</f>
        <v>348.6339707</v>
      </c>
      <c r="Z1758" s="82">
        <f>IFERROR(__xludf.DUMMYFUNCTION("""COMPUTED_VALUE"""),0.8203900076328626)</f>
        <v>0.8203900076</v>
      </c>
      <c r="AA1758" s="82">
        <f>IFERROR(__xludf.DUMMYFUNCTION("""COMPUTED_VALUE"""),0.5733958756202009)</f>
        <v>0.5733958756</v>
      </c>
      <c r="AB1758" s="82">
        <f>IFERROR(__xludf.DUMMYFUNCTION("""COMPUTED_VALUE"""),1.277068762795365)</f>
        <v>1.277068763</v>
      </c>
      <c r="AC1758" s="82">
        <f>IFERROR(__xludf.DUMMYFUNCTION("""COMPUTED_VALUE"""),2.677728036515564)</f>
        <v>2.677728037</v>
      </c>
      <c r="AD1758" s="82">
        <f>IFERROR(__xludf.DUMMYFUNCTION("""COMPUTED_VALUE"""),0.9878555416835472)</f>
        <v>0.9878555417</v>
      </c>
      <c r="AE1758" s="82">
        <f>IFERROR(__xludf.DUMMYFUNCTION("""COMPUTED_VALUE"""),1.2189324476115702)</f>
        <v>1.218932448</v>
      </c>
      <c r="AF1758" s="82">
        <f>IFERROR(__xludf.DUMMYFUNCTION("""COMPUTED_VALUE"""),0.6975983208238966)</f>
        <v>0.6975983208</v>
      </c>
      <c r="AG1758" s="82">
        <f>IFERROR(__xludf.DUMMYFUNCTION("""COMPUTED_VALUE"""),0.9004996704192926)</f>
        <v>0.9004996704</v>
      </c>
      <c r="AH1758" s="82">
        <f>IFERROR(__xludf.DUMMYFUNCTION("""COMPUTED_VALUE"""),1.0643351233341112)</f>
        <v>1.064335123</v>
      </c>
      <c r="AI1758" s="82">
        <f>IFERROR(__xludf.DUMMYFUNCTION("""COMPUTED_VALUE"""),0.9913987383011903)</f>
        <v>0.9913987383</v>
      </c>
      <c r="AJ1758" s="82">
        <f>IFERROR(__xludf.DUMMYFUNCTION("""COMPUTED_VALUE"""),0.9731819128615115)</f>
        <v>0.9731819129</v>
      </c>
      <c r="AK1758" s="82">
        <f>IFERROR(__xludf.DUMMYFUNCTION("""COMPUTED_VALUE"""),1.1927368140813805)</f>
        <v>1.192736814</v>
      </c>
      <c r="AL1758" s="82">
        <f>IFERROR(__xludf.DUMMYFUNCTION("""COMPUTED_VALUE"""),0.9971040843568151)</f>
        <v>0.9971040844</v>
      </c>
      <c r="AM1758" s="82">
        <f>IFERROR(__xludf.DUMMYFUNCTION("""COMPUTED_VALUE"""),1.045694035805699)</f>
        <v>1.045694036</v>
      </c>
      <c r="AN1758" s="82">
        <f>IFERROR(__xludf.DUMMYFUNCTION("""COMPUTED_VALUE"""),1.016106304063301)</f>
        <v>1.016106304</v>
      </c>
      <c r="AO1758" s="82">
        <f>IFERROR(__xludf.DUMMYFUNCTION("""COMPUTED_VALUE"""),1.3611734613765043)</f>
        <v>1.361173461</v>
      </c>
      <c r="AP1758" s="82">
        <f>IFERROR(__xludf.DUMMYFUNCTION("""COMPUTED_VALUE"""),0.7142552546478873)</f>
        <v>0.7142552546</v>
      </c>
      <c r="AQ1758" s="82">
        <f>IFERROR(__xludf.DUMMYFUNCTION("""COMPUTED_VALUE"""),0.8775710738398408)</f>
        <v>0.8775710738</v>
      </c>
      <c r="AR1758" s="82">
        <f>IFERROR(__xludf.DUMMYFUNCTION("""COMPUTED_VALUE"""),1.1444194777419483)</f>
        <v>1.144419478</v>
      </c>
      <c r="AS1758" s="82">
        <f>IFERROR(__xludf.DUMMYFUNCTION("""COMPUTED_VALUE"""),50.0)</f>
        <v>50</v>
      </c>
      <c r="AT1758" s="82">
        <f>IFERROR(__xludf.DUMMYFUNCTION("""COMPUTED_VALUE"""),0.5)</f>
        <v>0.5</v>
      </c>
      <c r="AU1758" s="82">
        <f>IFERROR(__xludf.DUMMYFUNCTION("""COMPUTED_VALUE"""),2.199103802838791)</f>
        <v>2.199103803</v>
      </c>
      <c r="AV1758" s="82">
        <f>IFERROR(__xludf.DUMMYFUNCTION("""COMPUTED_VALUE"""),57.16564589323217)</f>
        <v>57.16564589</v>
      </c>
      <c r="AW1758" s="82">
        <f t="shared" si="1"/>
        <v>2.58264853</v>
      </c>
      <c r="AX1758" s="83">
        <f t="array" ref="AX1758">IFERROR(DGET('SBV Import'!A:G,"SBV",{"RSC ID","Tier";B1758,A1758}))</f>
        <v>41.45658125</v>
      </c>
      <c r="AY1758" s="82">
        <f t="shared" si="2"/>
        <v>-2.730192745</v>
      </c>
      <c r="AZ1758" s="82">
        <v>5.312841274585386</v>
      </c>
      <c r="BA1758" s="84">
        <v>1700.0</v>
      </c>
      <c r="BB1758" s="84" t="b">
        <f>IFERROR(__xludf.DUMMYFUNCTION("iferror(if(A1758="""",,E1758&gt;=FILTER(Constants!$F$2:$F$10,Constants!$A$2:$A$10=A1758)))"),TRUE)</f>
        <v>1</v>
      </c>
    </row>
    <row r="1759">
      <c r="A1759" s="89" t="str">
        <f>IFERROR(__xludf.DUMMYFUNCTION("""COMPUTED_VALUE"""),"Rival")</f>
        <v>Rival</v>
      </c>
      <c r="B1759" s="87" t="str">
        <f>IFERROR(__xludf.DUMMYFUNCTION("""COMPUTED_VALUE"""),"RSC005752")</f>
        <v>RSC005752</v>
      </c>
      <c r="C1759" s="73" t="str">
        <f>IFERROR(__xludf.DUMMYFUNCTION("""COMPUTED_VALUE"""),"surge85")</f>
        <v>surge85</v>
      </c>
      <c r="D1759" s="73" t="str">
        <f>IFERROR(__xludf.DUMMYFUNCTION("""COMPUTED_VALUE"""),"Polar Bears")</f>
        <v>Polar Bears</v>
      </c>
      <c r="E1759" s="82">
        <f>IFERROR(__xludf.DUMMYFUNCTION("""COMPUTED_VALUE"""),33.0)</f>
        <v>33</v>
      </c>
      <c r="F1759" s="82">
        <f>IFERROR(__xludf.DUMMYFUNCTION("""COMPUTED_VALUE"""),13.0)</f>
        <v>13</v>
      </c>
      <c r="G1759" s="86">
        <f>IFERROR(__xludf.DUMMYFUNCTION("""COMPUTED_VALUE"""),20.0)</f>
        <v>20</v>
      </c>
      <c r="H1759" s="86">
        <f>IFERROR(__xludf.DUMMYFUNCTION("""COMPUTED_VALUE"""),0.3939393939393939)</f>
        <v>0.3939393939</v>
      </c>
      <c r="I1759" s="86">
        <f>IFERROR(__xludf.DUMMYFUNCTION("""COMPUTED_VALUE"""),0.37037037037037035)</f>
        <v>0.3703703704</v>
      </c>
      <c r="J1759" s="82">
        <f>IFERROR(__xludf.DUMMYFUNCTION("""COMPUTED_VALUE"""),377.27272727272725)</f>
        <v>377.2727273</v>
      </c>
      <c r="K1759" s="82">
        <f>IFERROR(__xludf.DUMMYFUNCTION("""COMPUTED_VALUE"""),0.9090909090909091)</f>
        <v>0.9090909091</v>
      </c>
      <c r="L1759" s="82">
        <f>IFERROR(__xludf.DUMMYFUNCTION("""COMPUTED_VALUE"""),0.42424242424242425)</f>
        <v>0.4242424242</v>
      </c>
      <c r="M1759" s="82">
        <f>IFERROR(__xludf.DUMMYFUNCTION("""COMPUTED_VALUE"""),1.2424242424242424)</f>
        <v>1.242424242</v>
      </c>
      <c r="N1759" s="82">
        <f>IFERROR(__xludf.DUMMYFUNCTION("""COMPUTED_VALUE"""),2.4545454545454546)</f>
        <v>2.454545455</v>
      </c>
      <c r="O1759" s="82">
        <f>IFERROR(__xludf.DUMMYFUNCTION("""COMPUTED_VALUE"""),376.83838383838383)</f>
        <v>376.8383838</v>
      </c>
      <c r="P1759" s="82">
        <f>IFERROR(__xludf.DUMMYFUNCTION("""COMPUTED_VALUE"""),0.9292929292929291)</f>
        <v>0.9292929293</v>
      </c>
      <c r="Q1759" s="82">
        <f>IFERROR(__xludf.DUMMYFUNCTION("""COMPUTED_VALUE"""),0.6767676767676767)</f>
        <v>0.6767676768</v>
      </c>
      <c r="R1759" s="82">
        <f>IFERROR(__xludf.DUMMYFUNCTION("""COMPUTED_VALUE"""),1.3535353535353534)</f>
        <v>1.353535354</v>
      </c>
      <c r="S1759" s="82">
        <f>IFERROR(__xludf.DUMMYFUNCTION("""COMPUTED_VALUE"""),2.6868686868686864)</f>
        <v>2.686868687</v>
      </c>
      <c r="T1759" s="82">
        <f>IFERROR(__xludf.DUMMYFUNCTION("""COMPUTED_VALUE"""),357.57758145983354)</f>
        <v>357.5775815</v>
      </c>
      <c r="U1759" s="82">
        <f>IFERROR(__xludf.DUMMYFUNCTION("""COMPUTED_VALUE"""),0.8281128544149551)</f>
        <v>0.8281128544</v>
      </c>
      <c r="V1759" s="82">
        <f>IFERROR(__xludf.DUMMYFUNCTION("""COMPUTED_VALUE"""),0.6020297175720414)</f>
        <v>0.6020297176</v>
      </c>
      <c r="W1759" s="82">
        <f>IFERROR(__xludf.DUMMYFUNCTION("""COMPUTED_VALUE"""),1.3146049981193608)</f>
        <v>1.314604998</v>
      </c>
      <c r="X1759" s="82">
        <f>IFERROR(__xludf.DUMMYFUNCTION("""COMPUTED_VALUE"""),2.6193164537839455)</f>
        <v>2.619316454</v>
      </c>
      <c r="Y1759" s="82">
        <f>IFERROR(__xludf.DUMMYFUNCTION("""COMPUTED_VALUE"""),335.81793718143945)</f>
        <v>335.8179372</v>
      </c>
      <c r="Z1759" s="82">
        <f>IFERROR(__xludf.DUMMYFUNCTION("""COMPUTED_VALUE"""),0.7102231329535451)</f>
        <v>0.710223133</v>
      </c>
      <c r="AA1759" s="82">
        <f>IFERROR(__xludf.DUMMYFUNCTION("""COMPUTED_VALUE"""),0.5217226361069918)</f>
        <v>0.5217226361</v>
      </c>
      <c r="AB1759" s="82">
        <f>IFERROR(__xludf.DUMMYFUNCTION("""COMPUTED_VALUE"""),1.2859169679920037)</f>
        <v>1.285916968</v>
      </c>
      <c r="AC1759" s="82">
        <f>IFERROR(__xludf.DUMMYFUNCTION("""COMPUTED_VALUE"""),2.4743711450542563)</f>
        <v>2.474371145</v>
      </c>
      <c r="AD1759" s="82">
        <f>IFERROR(__xludf.DUMMYFUNCTION("""COMPUTED_VALUE"""),1.1234442401713942)</f>
        <v>1.12344424</v>
      </c>
      <c r="AE1759" s="82">
        <f>IFERROR(__xludf.DUMMYFUNCTION("""COMPUTED_VALUE"""),1.280007460909291)</f>
        <v>1.280007461</v>
      </c>
      <c r="AF1759" s="82">
        <f>IFERROR(__xludf.DUMMYFUNCTION("""COMPUTED_VALUE"""),0.8131570203816557)</f>
        <v>0.8131570204</v>
      </c>
      <c r="AG1759" s="82">
        <f>IFERROR(__xludf.DUMMYFUNCTION("""COMPUTED_VALUE"""),0.9661776563725756)</f>
        <v>0.9661776564</v>
      </c>
      <c r="AH1759" s="82">
        <f>IFERROR(__xludf.DUMMYFUNCTION("""COMPUTED_VALUE"""),0.9919875841793463)</f>
        <v>0.9919875842</v>
      </c>
      <c r="AI1759" s="82">
        <f>IFERROR(__xludf.DUMMYFUNCTION("""COMPUTED_VALUE"""),1.0538646810572319)</f>
        <v>1.053864681</v>
      </c>
      <c r="AJ1759" s="82">
        <f>IFERROR(__xludf.DUMMYFUNCTION("""COMPUTED_VALUE"""),1.1221815050189694)</f>
        <v>1.122181505</v>
      </c>
      <c r="AK1759" s="82">
        <f>IFERROR(__xludf.DUMMYFUNCTION("""COMPUTED_VALUE"""),1.124143305578087)</f>
        <v>1.124143306</v>
      </c>
      <c r="AL1759" s="82">
        <f>IFERROR(__xludf.DUMMYFUNCTION("""COMPUTED_VALUE"""),1.0296137284368196)</f>
        <v>1.029613728</v>
      </c>
      <c r="AM1759" s="82">
        <f>IFERROR(__xludf.DUMMYFUNCTION("""COMPUTED_VALUE"""),1.0257900235716662)</f>
        <v>1.025790024</v>
      </c>
      <c r="AN1759" s="82">
        <f>IFERROR(__xludf.DUMMYFUNCTION("""COMPUTED_VALUE"""),1.1130929051480043)</f>
        <v>1.113092905</v>
      </c>
      <c r="AO1759" s="82">
        <f>IFERROR(__xludf.DUMMYFUNCTION("""COMPUTED_VALUE"""),1.2374304194331855)</f>
        <v>1.237430419</v>
      </c>
      <c r="AP1759" s="82">
        <f>IFERROR(__xludf.DUMMYFUNCTION("""COMPUTED_VALUE"""),0.7575434518992744)</f>
        <v>0.7575434519</v>
      </c>
      <c r="AQ1759" s="82">
        <f>IFERROR(__xludf.DUMMYFUNCTION("""COMPUTED_VALUE"""),0.9481005013816463)</f>
        <v>0.9481005014</v>
      </c>
      <c r="AR1759" s="82">
        <f>IFERROR(__xludf.DUMMYFUNCTION("""COMPUTED_VALUE"""),0.9856244305911516)</f>
        <v>0.9856244306</v>
      </c>
      <c r="AS1759" s="82">
        <f>IFERROR(__xludf.DUMMYFUNCTION("""COMPUTED_VALUE"""),80.0)</f>
        <v>80</v>
      </c>
      <c r="AT1759" s="82">
        <f>IFERROR(__xludf.DUMMYFUNCTION("""COMPUTED_VALUE"""),0.4441151914627266)</f>
        <v>0.4441151915</v>
      </c>
      <c r="AU1759" s="82">
        <f>IFERROR(__xludf.DUMMYFUNCTION("""COMPUTED_VALUE"""),2.1641386989153517)</f>
        <v>2.164138699</v>
      </c>
      <c r="AV1759" s="82">
        <f>IFERROR(__xludf.DUMMYFUNCTION("""COMPUTED_VALUE"""),55.93053613695245)</f>
        <v>55.93053614</v>
      </c>
      <c r="AW1759" s="82">
        <f t="shared" si="1"/>
        <v>2.461583906</v>
      </c>
      <c r="AX1759" s="83">
        <f t="array" ref="AX1759">IFERROR(DGET('SBV Import'!A:G,"SBV",{"RSC ID","Tier";B1759,A1759}))</f>
        <v>51.6659059</v>
      </c>
      <c r="AY1759" s="82">
        <f t="shared" si="2"/>
        <v>2.11221948</v>
      </c>
      <c r="AZ1759" s="82">
        <v>0.3493644261797164</v>
      </c>
      <c r="BA1759" s="84">
        <v>1700.0</v>
      </c>
      <c r="BB1759" s="84" t="b">
        <f>IFERROR(__xludf.DUMMYFUNCTION("iferror(if(A1759="""",,E1759&gt;=FILTER(Constants!$F$2:$F$10,Constants!$A$2:$A$10=A1759)))"),TRUE)</f>
        <v>1</v>
      </c>
    </row>
    <row r="1760">
      <c r="A1760" s="89" t="str">
        <f>IFERROR(__xludf.DUMMYFUNCTION("""COMPUTED_VALUE"""),"Rival")</f>
        <v>Rival</v>
      </c>
      <c r="B1760" s="87" t="str">
        <f>IFERROR(__xludf.DUMMYFUNCTION("""COMPUTED_VALUE"""),"RSC005165")</f>
        <v>RSC005165</v>
      </c>
      <c r="C1760" s="73" t="str">
        <f>IFERROR(__xludf.DUMMYFUNCTION("""COMPUTED_VALUE"""),"Lucas")</f>
        <v>Lucas</v>
      </c>
      <c r="D1760" s="73" t="str">
        <f>IFERROR(__xludf.DUMMYFUNCTION("""COMPUTED_VALUE"""),"Stolen")</f>
        <v>Stolen</v>
      </c>
      <c r="E1760" s="82">
        <f>IFERROR(__xludf.DUMMYFUNCTION("""COMPUTED_VALUE"""),35.0)</f>
        <v>35</v>
      </c>
      <c r="F1760" s="82">
        <f>IFERROR(__xludf.DUMMYFUNCTION("""COMPUTED_VALUE"""),23.0)</f>
        <v>23</v>
      </c>
      <c r="G1760" s="86">
        <f>IFERROR(__xludf.DUMMYFUNCTION("""COMPUTED_VALUE"""),12.0)</f>
        <v>12</v>
      </c>
      <c r="H1760" s="86">
        <f>IFERROR(__xludf.DUMMYFUNCTION("""COMPUTED_VALUE"""),0.6571428571428571)</f>
        <v>0.6571428571</v>
      </c>
      <c r="I1760" s="86">
        <f>IFERROR(__xludf.DUMMYFUNCTION("""COMPUTED_VALUE"""),0.25252525252525254)</f>
        <v>0.2525252525</v>
      </c>
      <c r="J1760" s="82">
        <f>IFERROR(__xludf.DUMMYFUNCTION("""COMPUTED_VALUE"""),344.4)</f>
        <v>344.4</v>
      </c>
      <c r="K1760" s="82">
        <f>IFERROR(__xludf.DUMMYFUNCTION("""COMPUTED_VALUE"""),0.7142857142857143)</f>
        <v>0.7142857143</v>
      </c>
      <c r="L1760" s="82">
        <f>IFERROR(__xludf.DUMMYFUNCTION("""COMPUTED_VALUE"""),0.5714285714285714)</f>
        <v>0.5714285714</v>
      </c>
      <c r="M1760" s="82">
        <f>IFERROR(__xludf.DUMMYFUNCTION("""COMPUTED_VALUE"""),1.4)</f>
        <v>1.4</v>
      </c>
      <c r="N1760" s="82">
        <f>IFERROR(__xludf.DUMMYFUNCTION("""COMPUTED_VALUE"""),2.8285714285714287)</f>
        <v>2.828571429</v>
      </c>
      <c r="O1760" s="82">
        <f>IFERROR(__xludf.DUMMYFUNCTION("""COMPUTED_VALUE"""),347.07619047619056)</f>
        <v>347.0761905</v>
      </c>
      <c r="P1760" s="82">
        <f>IFERROR(__xludf.DUMMYFUNCTION("""COMPUTED_VALUE"""),0.7333333333333334)</f>
        <v>0.7333333333</v>
      </c>
      <c r="Q1760" s="82">
        <f>IFERROR(__xludf.DUMMYFUNCTION("""COMPUTED_VALUE"""),0.6190476190476191)</f>
        <v>0.619047619</v>
      </c>
      <c r="R1760" s="82">
        <f>IFERROR(__xludf.DUMMYFUNCTION("""COMPUTED_VALUE"""),1.4095238095238096)</f>
        <v>1.40952381</v>
      </c>
      <c r="S1760" s="82">
        <f>IFERROR(__xludf.DUMMYFUNCTION("""COMPUTED_VALUE"""),2.5047619047619043)</f>
        <v>2.504761905</v>
      </c>
      <c r="T1760" s="82">
        <f>IFERROR(__xludf.DUMMYFUNCTION("""COMPUTED_VALUE"""),356.99885549020246)</f>
        <v>356.9988555</v>
      </c>
      <c r="U1760" s="82">
        <f>IFERROR(__xludf.DUMMYFUNCTION("""COMPUTED_VALUE"""),0.8367195790963978)</f>
        <v>0.8367195791</v>
      </c>
      <c r="V1760" s="82">
        <f>IFERROR(__xludf.DUMMYFUNCTION("""COMPUTED_VALUE"""),0.6080188964047171)</f>
        <v>0.6080188964</v>
      </c>
      <c r="W1760" s="82">
        <f>IFERROR(__xludf.DUMMYFUNCTION("""COMPUTED_VALUE"""),1.3500756220349377)</f>
        <v>1.350075622</v>
      </c>
      <c r="X1760" s="82">
        <f>IFERROR(__xludf.DUMMYFUNCTION("""COMPUTED_VALUE"""),2.6513201102617945)</f>
        <v>2.65132011</v>
      </c>
      <c r="Y1760" s="82">
        <f>IFERROR(__xludf.DUMMYFUNCTION("""COMPUTED_VALUE"""),346.16641813839277)</f>
        <v>346.1664181</v>
      </c>
      <c r="Z1760" s="82">
        <f>IFERROR(__xludf.DUMMYFUNCTION("""COMPUTED_VALUE"""),0.7940315349609542)</f>
        <v>0.794031535</v>
      </c>
      <c r="AA1760" s="82">
        <f>IFERROR(__xludf.DUMMYFUNCTION("""COMPUTED_VALUE"""),0.563468599989516)</f>
        <v>0.5634686</v>
      </c>
      <c r="AB1760" s="82">
        <f>IFERROR(__xludf.DUMMYFUNCTION("""COMPUTED_VALUE"""),1.3027563544994865)</f>
        <v>1.302756354</v>
      </c>
      <c r="AC1760" s="82">
        <f>IFERROR(__xludf.DUMMYFUNCTION("""COMPUTED_VALUE"""),2.629859263124758)</f>
        <v>2.629859263</v>
      </c>
      <c r="AD1760" s="82">
        <f>IFERROR(__xludf.DUMMYFUNCTION("""COMPUTED_VALUE"""),0.9948971995958124)</f>
        <v>0.9948971996</v>
      </c>
      <c r="AE1760" s="82">
        <f>IFERROR(__xludf.DUMMYFUNCTION("""COMPUTED_VALUE"""),0.8995684463852417)</f>
        <v>0.8995684464</v>
      </c>
      <c r="AF1760" s="82">
        <f>IFERROR(__xludf.DUMMYFUNCTION("""COMPUTED_VALUE"""),1.0141267347270166)</f>
        <v>1.014126735</v>
      </c>
      <c r="AG1760" s="82">
        <f>IFERROR(__xludf.DUMMYFUNCTION("""COMPUTED_VALUE"""),1.0746445374567941)</f>
        <v>1.074644537</v>
      </c>
      <c r="AH1760" s="82">
        <f>IFERROR(__xludf.DUMMYFUNCTION("""COMPUTED_VALUE"""),1.0755599998193681)</f>
        <v>1.07556</v>
      </c>
      <c r="AI1760" s="82">
        <f>IFERROR(__xludf.DUMMYFUNCTION("""COMPUTED_VALUE"""),0.9722053310216167)</f>
        <v>0.972205331</v>
      </c>
      <c r="AJ1760" s="82">
        <f>IFERROR(__xludf.DUMMYFUNCTION("""COMPUTED_VALUE"""),0.8764385962203552)</f>
        <v>0.8764385962</v>
      </c>
      <c r="AK1760" s="82">
        <f>IFERROR(__xludf.DUMMYFUNCTION("""COMPUTED_VALUE"""),1.0181387827057942)</f>
        <v>1.018138783</v>
      </c>
      <c r="AL1760" s="82">
        <f>IFERROR(__xludf.DUMMYFUNCTION("""COMPUTED_VALUE"""),1.0440332278567233)</f>
        <v>1.044033228</v>
      </c>
      <c r="AM1760" s="82">
        <f>IFERROR(__xludf.DUMMYFUNCTION("""COMPUTED_VALUE"""),0.9447225535186625)</f>
        <v>0.9447225535</v>
      </c>
      <c r="AN1760" s="82">
        <f>IFERROR(__xludf.DUMMYFUNCTION("""COMPUTED_VALUE"""),1.016106304063301)</f>
        <v>1.016106304</v>
      </c>
      <c r="AO1760" s="82">
        <f>IFERROR(__xludf.DUMMYFUNCTION("""COMPUTED_VALUE"""),0.9722667581260744)</f>
        <v>0.9722667581</v>
      </c>
      <c r="AP1760" s="82">
        <f>IFERROR(__xludf.DUMMYFUNCTION("""COMPUTED_VALUE"""),1.0203646494969818)</f>
        <v>1.020364649</v>
      </c>
      <c r="AQ1760" s="82">
        <f>IFERROR(__xludf.DUMMYFUNCTION("""COMPUTED_VALUE"""),1.0683473942398063)</f>
        <v>1.068347394</v>
      </c>
      <c r="AR1760" s="82">
        <f>IFERROR(__xludf.DUMMYFUNCTION("""COMPUTED_VALUE"""),1.1358148200145652)</f>
        <v>1.13581482</v>
      </c>
      <c r="AS1760" s="82">
        <f>IFERROR(__xludf.DUMMYFUNCTION("""COMPUTED_VALUE"""),88.0)</f>
        <v>88</v>
      </c>
      <c r="AT1760" s="82">
        <f>IFERROR(__xludf.DUMMYFUNCTION("""COMPUTED_VALUE"""),0.5519070362487858)</f>
        <v>0.5519070362</v>
      </c>
      <c r="AU1760" s="82">
        <f>IFERROR(__xludf.DUMMYFUNCTION("""COMPUTED_VALUE"""),2.1640297145179903)</f>
        <v>2.164029715</v>
      </c>
      <c r="AV1760" s="82">
        <f>IFERROR(__xludf.DUMMYFUNCTION("""COMPUTED_VALUE"""),55.92668636454056)</f>
        <v>55.92668636</v>
      </c>
      <c r="AW1760" s="82">
        <f t="shared" si="1"/>
        <v>2.461222031</v>
      </c>
      <c r="AX1760" s="83">
        <f t="array" ref="AX1760">IFERROR(DGET('SBV Import'!A:G,"SBV",{"RSC ID","Tier";B1760,A1760}))</f>
        <v>49.05704096</v>
      </c>
      <c r="AY1760" s="82">
        <f t="shared" si="2"/>
        <v>-2.06204224</v>
      </c>
      <c r="AZ1760" s="82">
        <v>4.523264271362247</v>
      </c>
      <c r="BA1760" s="84">
        <v>1700.0</v>
      </c>
      <c r="BB1760" s="84" t="b">
        <f>IFERROR(__xludf.DUMMYFUNCTION("iferror(if(A1760="""",,E1760&gt;=FILTER(Constants!$F$2:$F$10,Constants!$A$2:$A$10=A1760)))"),TRUE)</f>
        <v>1</v>
      </c>
    </row>
    <row r="1761">
      <c r="A1761" s="89" t="str">
        <f>IFERROR(__xludf.DUMMYFUNCTION("""COMPUTED_VALUE"""),"Rival")</f>
        <v>Rival</v>
      </c>
      <c r="B1761" s="87" t="str">
        <f>IFERROR(__xludf.DUMMYFUNCTION("""COMPUTED_VALUE"""),"RSC005314")</f>
        <v>RSC005314</v>
      </c>
      <c r="C1761" s="73" t="str">
        <f>IFERROR(__xludf.DUMMYFUNCTION("""COMPUTED_VALUE"""),"daggumbigfeet")</f>
        <v>daggumbigfeet</v>
      </c>
      <c r="D1761" s="73" t="str">
        <f>IFERROR(__xludf.DUMMYFUNCTION("""COMPUTED_VALUE"""),"Dice")</f>
        <v>Dice</v>
      </c>
      <c r="E1761" s="82">
        <f>IFERROR(__xludf.DUMMYFUNCTION("""COMPUTED_VALUE"""),16.0)</f>
        <v>16</v>
      </c>
      <c r="F1761" s="82">
        <f>IFERROR(__xludf.DUMMYFUNCTION("""COMPUTED_VALUE"""),5.0)</f>
        <v>5</v>
      </c>
      <c r="G1761" s="86">
        <f>IFERROR(__xludf.DUMMYFUNCTION("""COMPUTED_VALUE"""),11.0)</f>
        <v>11</v>
      </c>
      <c r="H1761" s="86">
        <f>IFERROR(__xludf.DUMMYFUNCTION("""COMPUTED_VALUE"""),0.3125)</f>
        <v>0.3125</v>
      </c>
      <c r="I1761" s="86">
        <f>IFERROR(__xludf.DUMMYFUNCTION("""COMPUTED_VALUE"""),0.32653061224489793)</f>
        <v>0.3265306122</v>
      </c>
      <c r="J1761" s="82">
        <f>IFERROR(__xludf.DUMMYFUNCTION("""COMPUTED_VALUE"""),366.25)</f>
        <v>366.25</v>
      </c>
      <c r="K1761" s="82">
        <f>IFERROR(__xludf.DUMMYFUNCTION("""COMPUTED_VALUE"""),1.0)</f>
        <v>1</v>
      </c>
      <c r="L1761" s="82">
        <f>IFERROR(__xludf.DUMMYFUNCTION("""COMPUTED_VALUE"""),0.3125)</f>
        <v>0.3125</v>
      </c>
      <c r="M1761" s="82">
        <f>IFERROR(__xludf.DUMMYFUNCTION("""COMPUTED_VALUE"""),1.4375)</f>
        <v>1.4375</v>
      </c>
      <c r="N1761" s="82">
        <f>IFERROR(__xludf.DUMMYFUNCTION("""COMPUTED_VALUE"""),3.0625)</f>
        <v>3.0625</v>
      </c>
      <c r="O1761" s="82">
        <f>IFERROR(__xludf.DUMMYFUNCTION("""COMPUTED_VALUE"""),368.74999999999994)</f>
        <v>368.75</v>
      </c>
      <c r="P1761" s="82">
        <f>IFERROR(__xludf.DUMMYFUNCTION("""COMPUTED_VALUE"""),1.0416666666666667)</f>
        <v>1.041666667</v>
      </c>
      <c r="Q1761" s="82">
        <f>IFERROR(__xludf.DUMMYFUNCTION("""COMPUTED_VALUE"""),0.7291666666666667)</f>
        <v>0.7291666667</v>
      </c>
      <c r="R1761" s="82">
        <f>IFERROR(__xludf.DUMMYFUNCTION("""COMPUTED_VALUE"""),1.2083333333333333)</f>
        <v>1.208333333</v>
      </c>
      <c r="S1761" s="82">
        <f>IFERROR(__xludf.DUMMYFUNCTION("""COMPUTED_VALUE"""),2.604166666666666)</f>
        <v>2.604166667</v>
      </c>
      <c r="T1761" s="82">
        <f>IFERROR(__xludf.DUMMYFUNCTION("""COMPUTED_VALUE"""),341.27913860209514)</f>
        <v>341.2791386</v>
      </c>
      <c r="U1761" s="82">
        <f>IFERROR(__xludf.DUMMYFUNCTION("""COMPUTED_VALUE"""),0.7791645609686957)</f>
        <v>0.779164561</v>
      </c>
      <c r="V1761" s="82">
        <f>IFERROR(__xludf.DUMMYFUNCTION("""COMPUTED_VALUE"""),0.600370276076265)</f>
        <v>0.6003702761</v>
      </c>
      <c r="W1761" s="82">
        <f>IFERROR(__xludf.DUMMYFUNCTION("""COMPUTED_VALUE"""),1.2919753384600463)</f>
        <v>1.291975338</v>
      </c>
      <c r="X1761" s="82">
        <f>IFERROR(__xludf.DUMMYFUNCTION("""COMPUTED_VALUE"""),2.525040418715823)</f>
        <v>2.525040419</v>
      </c>
      <c r="Y1761" s="82">
        <f>IFERROR(__xludf.DUMMYFUNCTION("""COMPUTED_VALUE"""),348.0070742419169)</f>
        <v>348.0070742</v>
      </c>
      <c r="Z1761" s="82">
        <f>IFERROR(__xludf.DUMMYFUNCTION("""COMPUTED_VALUE"""),0.7991122222300291)</f>
        <v>0.7991122222</v>
      </c>
      <c r="AA1761" s="82">
        <f>IFERROR(__xludf.DUMMYFUNCTION("""COMPUTED_VALUE"""),0.5320718361652399)</f>
        <v>0.5320718362</v>
      </c>
      <c r="AB1761" s="82">
        <f>IFERROR(__xludf.DUMMYFUNCTION("""COMPUTED_VALUE"""),1.3307013638206806)</f>
        <v>1.330701364</v>
      </c>
      <c r="AC1761" s="82">
        <f>IFERROR(__xludf.DUMMYFUNCTION("""COMPUTED_VALUE"""),2.5801562435287395)</f>
        <v>2.580156244</v>
      </c>
      <c r="AD1761" s="82">
        <f>IFERROR(__xludf.DUMMYFUNCTION("""COMPUTED_VALUE"""),1.0524211348226835)</f>
        <v>1.052421135</v>
      </c>
      <c r="AE1761" s="82">
        <f>IFERROR(__xludf.DUMMYFUNCTION("""COMPUTED_VALUE"""),1.251388693829969)</f>
        <v>1.251388694</v>
      </c>
      <c r="AF1761" s="82">
        <f>IFERROR(__xludf.DUMMYFUNCTION("""COMPUTED_VALUE"""),0.5873267080856168)</f>
        <v>0.5873267081</v>
      </c>
      <c r="AG1761" s="82">
        <f>IFERROR(__xludf.DUMMYFUNCTION("""COMPUTED_VALUE"""),1.0802574034137018)</f>
        <v>1.080257403</v>
      </c>
      <c r="AH1761" s="82">
        <f>IFERROR(__xludf.DUMMYFUNCTION("""COMPUTED_VALUE"""),1.1869436231550012)</f>
        <v>1.186943623</v>
      </c>
      <c r="AI1761" s="82">
        <f>IFERROR(__xludf.DUMMYFUNCTION("""COMPUTED_VALUE"""),1.0804938195473286)</f>
        <v>1.08049382</v>
      </c>
      <c r="AJ1761" s="82">
        <f>IFERROR(__xludf.DUMMYFUNCTION("""COMPUTED_VALUE"""),1.336902008699697)</f>
        <v>1.336902009</v>
      </c>
      <c r="AK1761" s="82">
        <f>IFERROR(__xludf.DUMMYFUNCTION("""COMPUTED_VALUE"""),1.2145282598468294)</f>
        <v>1.21452826</v>
      </c>
      <c r="AL1761" s="82">
        <f>IFERROR(__xludf.DUMMYFUNCTION("""COMPUTED_VALUE"""),0.935260370196842)</f>
        <v>0.9352603702</v>
      </c>
      <c r="AM1761" s="82">
        <f>IFERROR(__xludf.DUMMYFUNCTION("""COMPUTED_VALUE"""),1.03133662628303)</f>
        <v>1.031336626</v>
      </c>
      <c r="AN1761" s="82">
        <f>IFERROR(__xludf.DUMMYFUNCTION("""COMPUTED_VALUE"""),1.0805718172566319)</f>
        <v>1.080571817</v>
      </c>
      <c r="AO1761" s="82">
        <f>IFERROR(__xludf.DUMMYFUNCTION("""COMPUTED_VALUE"""),1.3611734613765043)</f>
        <v>1.361173461</v>
      </c>
      <c r="AP1761" s="82">
        <f>IFERROR(__xludf.DUMMYFUNCTION("""COMPUTED_VALUE"""),0.558011917693662)</f>
        <v>0.5580119177</v>
      </c>
      <c r="AQ1761" s="82">
        <f>IFERROR(__xludf.DUMMYFUNCTION("""COMPUTED_VALUE"""),1.0969638422998012)</f>
        <v>1.096963842</v>
      </c>
      <c r="AR1761" s="82">
        <f>IFERROR(__xludf.DUMMYFUNCTION("""COMPUTED_VALUE"""),1.2297490002051636)</f>
        <v>1.229749</v>
      </c>
      <c r="AS1761" s="82">
        <f>IFERROR(__xludf.DUMMYFUNCTION("""COMPUTED_VALUE"""),34.0)</f>
        <v>34</v>
      </c>
      <c r="AT1761" s="82">
        <f>IFERROR(__xludf.DUMMYFUNCTION("""COMPUTED_VALUE"""),0.3496185705319074)</f>
        <v>0.3496185705</v>
      </c>
      <c r="AU1761" s="82">
        <f>IFERROR(__xludf.DUMMYFUNCTION("""COMPUTED_VALUE"""),2.1256476145736602)</f>
        <v>2.125647615</v>
      </c>
      <c r="AV1761" s="82">
        <f>IFERROR(__xludf.DUMMYFUNCTION("""COMPUTED_VALUE"""),54.57087440380544)</f>
        <v>54.5708744</v>
      </c>
      <c r="AW1761" s="82">
        <f t="shared" si="1"/>
        <v>2.339379644</v>
      </c>
      <c r="AX1761" s="83">
        <f t="array" ref="AX1761">IFERROR(DGET('SBV Import'!A:G,"SBV",{"RSC ID","Tier";B1761,A1761}))</f>
        <v>62.86221072</v>
      </c>
      <c r="AY1761" s="82">
        <f t="shared" si="2"/>
        <v>3.295378546</v>
      </c>
      <c r="AZ1761" s="82">
        <v>0.9559989023358026</v>
      </c>
      <c r="BA1761" s="84">
        <v>1700.0</v>
      </c>
      <c r="BB1761" s="84" t="b">
        <f>IFERROR(__xludf.DUMMYFUNCTION("iferror(if(A1761="""",,E1761&gt;=FILTER(Constants!$F$2:$F$10,Constants!$A$2:$A$10=A1761)))"),TRUE)</f>
        <v>1</v>
      </c>
    </row>
    <row r="1762">
      <c r="A1762" s="89" t="str">
        <f>IFERROR(__xludf.DUMMYFUNCTION("""COMPUTED_VALUE"""),"Rival")</f>
        <v>Rival</v>
      </c>
      <c r="B1762" s="87" t="str">
        <f>IFERROR(__xludf.DUMMYFUNCTION("""COMPUTED_VALUE"""),"RSC006935")</f>
        <v>RSC006935</v>
      </c>
      <c r="C1762" s="73" t="str">
        <f>IFERROR(__xludf.DUMMYFUNCTION("""COMPUTED_VALUE"""),"Bazzinga")</f>
        <v>Bazzinga</v>
      </c>
      <c r="D1762" s="73" t="str">
        <f>IFERROR(__xludf.DUMMYFUNCTION("""COMPUTED_VALUE"""),"Lacuna")</f>
        <v>Lacuna</v>
      </c>
      <c r="E1762" s="82">
        <f>IFERROR(__xludf.DUMMYFUNCTION("""COMPUTED_VALUE"""),36.0)</f>
        <v>36</v>
      </c>
      <c r="F1762" s="82">
        <f>IFERROR(__xludf.DUMMYFUNCTION("""COMPUTED_VALUE"""),15.0)</f>
        <v>15</v>
      </c>
      <c r="G1762" s="86">
        <f>IFERROR(__xludf.DUMMYFUNCTION("""COMPUTED_VALUE"""),21.0)</f>
        <v>21</v>
      </c>
      <c r="H1762" s="86">
        <f>IFERROR(__xludf.DUMMYFUNCTION("""COMPUTED_VALUE"""),0.4166666666666667)</f>
        <v>0.4166666667</v>
      </c>
      <c r="I1762" s="86">
        <f>IFERROR(__xludf.DUMMYFUNCTION("""COMPUTED_VALUE"""),0.27)</f>
        <v>0.27</v>
      </c>
      <c r="J1762" s="82">
        <f>IFERROR(__xludf.DUMMYFUNCTION("""COMPUTED_VALUE"""),353.69444444444446)</f>
        <v>353.6944444</v>
      </c>
      <c r="K1762" s="82">
        <f>IFERROR(__xludf.DUMMYFUNCTION("""COMPUTED_VALUE"""),0.75)</f>
        <v>0.75</v>
      </c>
      <c r="L1762" s="82">
        <f>IFERROR(__xludf.DUMMYFUNCTION("""COMPUTED_VALUE"""),0.4444444444444444)</f>
        <v>0.4444444444</v>
      </c>
      <c r="M1762" s="82">
        <f>IFERROR(__xludf.DUMMYFUNCTION("""COMPUTED_VALUE"""),1.3888888888888888)</f>
        <v>1.388888889</v>
      </c>
      <c r="N1762" s="82">
        <f>IFERROR(__xludf.DUMMYFUNCTION("""COMPUTED_VALUE"""),2.7777777777777777)</f>
        <v>2.777777778</v>
      </c>
      <c r="O1762" s="82">
        <f>IFERROR(__xludf.DUMMYFUNCTION("""COMPUTED_VALUE"""),326.08333333333326)</f>
        <v>326.0833333</v>
      </c>
      <c r="P1762" s="82">
        <f>IFERROR(__xludf.DUMMYFUNCTION("""COMPUTED_VALUE"""),0.6944444444444444)</f>
        <v>0.6944444444</v>
      </c>
      <c r="Q1762" s="82">
        <f>IFERROR(__xludf.DUMMYFUNCTION("""COMPUTED_VALUE"""),0.5277777777777777)</f>
        <v>0.5277777778</v>
      </c>
      <c r="R1762" s="82">
        <f>IFERROR(__xludf.DUMMYFUNCTION("""COMPUTED_VALUE"""),1.2685185185185186)</f>
        <v>1.268518519</v>
      </c>
      <c r="S1762" s="82">
        <f>IFERROR(__xludf.DUMMYFUNCTION("""COMPUTED_VALUE"""),2.509259259259259)</f>
        <v>2.509259259</v>
      </c>
      <c r="T1762" s="82">
        <f>IFERROR(__xludf.DUMMYFUNCTION("""COMPUTED_VALUE"""),352.5741960911846)</f>
        <v>352.5741961</v>
      </c>
      <c r="U1762" s="82">
        <f>IFERROR(__xludf.DUMMYFUNCTION("""COMPUTED_VALUE"""),0.8159581752976643)</f>
        <v>0.8159581753</v>
      </c>
      <c r="V1762" s="82">
        <f>IFERROR(__xludf.DUMMYFUNCTION("""COMPUTED_VALUE"""),0.583825214180838)</f>
        <v>0.5838252142</v>
      </c>
      <c r="W1762" s="82">
        <f>IFERROR(__xludf.DUMMYFUNCTION("""COMPUTED_VALUE"""),1.3353348452601796)</f>
        <v>1.335334845</v>
      </c>
      <c r="X1762" s="82">
        <f>IFERROR(__xludf.DUMMYFUNCTION("""COMPUTED_VALUE"""),2.607579918080919)</f>
        <v>2.607579918</v>
      </c>
      <c r="Y1762" s="82">
        <f>IFERROR(__xludf.DUMMYFUNCTION("""COMPUTED_VALUE"""),351.5849885693782)</f>
        <v>351.5849886</v>
      </c>
      <c r="Z1762" s="82">
        <f>IFERROR(__xludf.DUMMYFUNCTION("""COMPUTED_VALUE"""),0.8008898456113013)</f>
        <v>0.8008898456</v>
      </c>
      <c r="AA1762" s="82">
        <f>IFERROR(__xludf.DUMMYFUNCTION("""COMPUTED_VALUE"""),0.5848800152955733)</f>
        <v>0.5848800153</v>
      </c>
      <c r="AB1762" s="82">
        <f>IFERROR(__xludf.DUMMYFUNCTION("""COMPUTED_VALUE"""),1.3209319620952398)</f>
        <v>1.320931962</v>
      </c>
      <c r="AC1762" s="82">
        <f>IFERROR(__xludf.DUMMYFUNCTION("""COMPUTED_VALUE"""),2.631319978990019)</f>
        <v>2.631319979</v>
      </c>
      <c r="AD1762" s="82">
        <f>IFERROR(__xludf.DUMMYFUNCTION("""COMPUTED_VALUE"""),1.0059998462495505)</f>
        <v>1.005999846</v>
      </c>
      <c r="AE1762" s="82">
        <f>IFERROR(__xludf.DUMMYFUNCTION("""COMPUTED_VALUE"""),0.9364583707857375)</f>
        <v>0.9364583708</v>
      </c>
      <c r="AF1762" s="82">
        <f>IFERROR(__xludf.DUMMYFUNCTION("""COMPUTED_VALUE"""),0.7598899480602722)</f>
        <v>0.7598899481</v>
      </c>
      <c r="AG1762" s="82">
        <f>IFERROR(__xludf.DUMMYFUNCTION("""COMPUTED_VALUE"""),1.0514461976420473)</f>
        <v>1.051446198</v>
      </c>
      <c r="AH1762" s="82">
        <f>IFERROR(__xludf.DUMMYFUNCTION("""COMPUTED_VALUE"""),1.0556594408727038)</f>
        <v>1.055659441</v>
      </c>
      <c r="AI1762" s="82">
        <f>IFERROR(__xludf.DUMMYFUNCTION("""COMPUTED_VALUE"""),0.9248644312274057)</f>
        <v>0.9248644312</v>
      </c>
      <c r="AJ1762" s="82">
        <f>IFERROR(__xludf.DUMMYFUNCTION("""COMPUTED_VALUE"""),0.8510784810644353)</f>
        <v>0.8510784811</v>
      </c>
      <c r="AK1762" s="82">
        <f>IFERROR(__xludf.DUMMYFUNCTION("""COMPUTED_VALUE"""),0.9039996302973996)</f>
        <v>0.9039996303</v>
      </c>
      <c r="AL1762" s="82">
        <f>IFERROR(__xludf.DUMMYFUNCTION("""COMPUTED_VALUE"""),0.9499628673820443)</f>
        <v>0.9499628674</v>
      </c>
      <c r="AM1762" s="82">
        <f>IFERROR(__xludf.DUMMYFUNCTION("""COMPUTED_VALUE"""),0.9622942874579198)</f>
        <v>0.9622942875</v>
      </c>
      <c r="AN1762" s="82">
        <f>IFERROR(__xludf.DUMMYFUNCTION("""COMPUTED_VALUE"""),1.04352832378678)</f>
        <v>1.043528324</v>
      </c>
      <c r="AO1762" s="82">
        <f>IFERROR(__xludf.DUMMYFUNCTION("""COMPUTED_VALUE"""),1.020880096032378)</f>
        <v>1.020880096</v>
      </c>
      <c r="AP1762" s="82">
        <f>IFERROR(__xludf.DUMMYFUNCTION("""COMPUTED_VALUE"""),0.7936169496087636)</f>
        <v>0.7936169496</v>
      </c>
      <c r="AQ1762" s="82">
        <f>IFERROR(__xludf.DUMMYFUNCTION("""COMPUTED_VALUE"""),1.0598684466664745)</f>
        <v>1.059868447</v>
      </c>
      <c r="AR1762" s="82">
        <f>IFERROR(__xludf.DUMMYFUNCTION("""COMPUTED_VALUE"""),1.1154185942903978)</f>
        <v>1.115418594</v>
      </c>
      <c r="AS1762" s="82">
        <f>IFERROR(__xludf.DUMMYFUNCTION("""COMPUTED_VALUE"""),73.0)</f>
        <v>73</v>
      </c>
      <c r="AT1762" s="82">
        <f>IFERROR(__xludf.DUMMYFUNCTION("""COMPUTED_VALUE"""),0.48986295199965935)</f>
        <v>0.489862952</v>
      </c>
      <c r="AU1762" s="82">
        <f>IFERROR(__xludf.DUMMYFUNCTION("""COMPUTED_VALUE"""),2.1083735001885335)</f>
        <v>2.1083735</v>
      </c>
      <c r="AV1762" s="82">
        <f>IFERROR(__xludf.DUMMYFUNCTION("""COMPUTED_VALUE"""),53.960682389079025)</f>
        <v>53.96068239</v>
      </c>
      <c r="AW1762" s="82">
        <f t="shared" si="1"/>
        <v>2.288015096</v>
      </c>
      <c r="AX1762" s="83">
        <f t="array" ref="AX1762">IFERROR(DGET('SBV Import'!A:G,"SBV",{"RSC ID","Tier";B1762,A1762}))</f>
        <v>53.36162786</v>
      </c>
      <c r="AY1762" s="82">
        <f t="shared" si="2"/>
        <v>2.239554394</v>
      </c>
      <c r="AZ1762" s="82">
        <v>0.048460702017550705</v>
      </c>
      <c r="BA1762" s="84">
        <v>1700.0</v>
      </c>
      <c r="BB1762" s="84" t="b">
        <f>IFERROR(__xludf.DUMMYFUNCTION("iferror(if(A1762="""",,E1762&gt;=FILTER(Constants!$F$2:$F$10,Constants!$A$2:$A$10=A1762)))"),TRUE)</f>
        <v>1</v>
      </c>
    </row>
    <row r="1763">
      <c r="A1763" s="89" t="str">
        <f>IFERROR(__xludf.DUMMYFUNCTION("""COMPUTED_VALUE"""),"Rival")</f>
        <v>Rival</v>
      </c>
      <c r="B1763" s="87" t="str">
        <f>IFERROR(__xludf.DUMMYFUNCTION("""COMPUTED_VALUE"""),"RSC002960")</f>
        <v>RSC002960</v>
      </c>
      <c r="C1763" s="73" t="str">
        <f>IFERROR(__xludf.DUMMYFUNCTION("""COMPUTED_VALUE"""),"Shrek is The Best Anime")</f>
        <v>Shrek is The Best Anime</v>
      </c>
      <c r="D1763" s="73" t="str">
        <f>IFERROR(__xludf.DUMMYFUNCTION("""COMPUTED_VALUE"""),"Centuriones")</f>
        <v>Centuriones</v>
      </c>
      <c r="E1763" s="82">
        <f>IFERROR(__xludf.DUMMYFUNCTION("""COMPUTED_VALUE"""),31.0)</f>
        <v>31</v>
      </c>
      <c r="F1763" s="82">
        <f>IFERROR(__xludf.DUMMYFUNCTION("""COMPUTED_VALUE"""),14.0)</f>
        <v>14</v>
      </c>
      <c r="G1763" s="86">
        <f>IFERROR(__xludf.DUMMYFUNCTION("""COMPUTED_VALUE"""),17.0)</f>
        <v>17</v>
      </c>
      <c r="H1763" s="86">
        <f>IFERROR(__xludf.DUMMYFUNCTION("""COMPUTED_VALUE"""),0.45161290322580644)</f>
        <v>0.4516129032</v>
      </c>
      <c r="I1763" s="86">
        <f>IFERROR(__xludf.DUMMYFUNCTION("""COMPUTED_VALUE"""),0.26666666666666666)</f>
        <v>0.2666666667</v>
      </c>
      <c r="J1763" s="82">
        <f>IFERROR(__xludf.DUMMYFUNCTION("""COMPUTED_VALUE"""),337.06451612903226)</f>
        <v>337.0645161</v>
      </c>
      <c r="K1763" s="82">
        <f>IFERROR(__xludf.DUMMYFUNCTION("""COMPUTED_VALUE"""),0.7741935483870968)</f>
        <v>0.7741935484</v>
      </c>
      <c r="L1763" s="82">
        <f>IFERROR(__xludf.DUMMYFUNCTION("""COMPUTED_VALUE"""),0.6129032258064516)</f>
        <v>0.6129032258</v>
      </c>
      <c r="M1763" s="82">
        <f>IFERROR(__xludf.DUMMYFUNCTION("""COMPUTED_VALUE"""),1.0)</f>
        <v>1</v>
      </c>
      <c r="N1763" s="82">
        <f>IFERROR(__xludf.DUMMYFUNCTION("""COMPUTED_VALUE"""),2.903225806451613)</f>
        <v>2.903225806</v>
      </c>
      <c r="O1763" s="82">
        <f>IFERROR(__xludf.DUMMYFUNCTION("""COMPUTED_VALUE"""),356.33333333333337)</f>
        <v>356.3333333</v>
      </c>
      <c r="P1763" s="82">
        <f>IFERROR(__xludf.DUMMYFUNCTION("""COMPUTED_VALUE"""),0.8494623655913978)</f>
        <v>0.8494623656</v>
      </c>
      <c r="Q1763" s="82">
        <f>IFERROR(__xludf.DUMMYFUNCTION("""COMPUTED_VALUE"""),0.6236559139784947)</f>
        <v>0.623655914</v>
      </c>
      <c r="R1763" s="82">
        <f>IFERROR(__xludf.DUMMYFUNCTION("""COMPUTED_VALUE"""),1.2903225806451615)</f>
        <v>1.290322581</v>
      </c>
      <c r="S1763" s="82">
        <f>IFERROR(__xludf.DUMMYFUNCTION("""COMPUTED_VALUE"""),2.655913978494624)</f>
        <v>2.655913978</v>
      </c>
      <c r="T1763" s="82">
        <f>IFERROR(__xludf.DUMMYFUNCTION("""COMPUTED_VALUE"""),343.67540848072326)</f>
        <v>343.6754085</v>
      </c>
      <c r="U1763" s="82">
        <f>IFERROR(__xludf.DUMMYFUNCTION("""COMPUTED_VALUE"""),0.7400022071830616)</f>
        <v>0.7400022072</v>
      </c>
      <c r="V1763" s="82">
        <f>IFERROR(__xludf.DUMMYFUNCTION("""COMPUTED_VALUE"""),0.5582350893742636)</f>
        <v>0.5582350894</v>
      </c>
      <c r="W1763" s="82">
        <f>IFERROR(__xludf.DUMMYFUNCTION("""COMPUTED_VALUE"""),1.361204734847017)</f>
        <v>1.361204735</v>
      </c>
      <c r="X1763" s="82">
        <f>IFERROR(__xludf.DUMMYFUNCTION("""COMPUTED_VALUE"""),2.5017246454922306)</f>
        <v>2.501724645</v>
      </c>
      <c r="Y1763" s="82">
        <f>IFERROR(__xludf.DUMMYFUNCTION("""COMPUTED_VALUE"""),352.06642163929024)</f>
        <v>352.0664216</v>
      </c>
      <c r="Z1763" s="82">
        <f>IFERROR(__xludf.DUMMYFUNCTION("""COMPUTED_VALUE"""),0.8191130814451931)</f>
        <v>0.8191130814</v>
      </c>
      <c r="AA1763" s="82">
        <f>IFERROR(__xludf.DUMMYFUNCTION("""COMPUTED_VALUE"""),0.5837999163124031)</f>
        <v>0.5837999163</v>
      </c>
      <c r="AB1763" s="82">
        <f>IFERROR(__xludf.DUMMYFUNCTION("""COMPUTED_VALUE"""),1.289439172356793)</f>
        <v>1.289439172</v>
      </c>
      <c r="AC1763" s="82">
        <f>IFERROR(__xludf.DUMMYFUNCTION("""COMPUTED_VALUE"""),2.6596145095716515)</f>
        <v>2.65961451</v>
      </c>
      <c r="AD1763" s="82">
        <f>IFERROR(__xludf.DUMMYFUNCTION("""COMPUTED_VALUE"""),0.9573889908602866)</f>
        <v>0.9573889909</v>
      </c>
      <c r="AE1763" s="82">
        <f>IFERROR(__xludf.DUMMYFUNCTION("""COMPUTED_VALUE"""),0.945160767083779)</f>
        <v>0.9451607671</v>
      </c>
      <c r="AF1763" s="82">
        <f>IFERROR(__xludf.DUMMYFUNCTION("""COMPUTED_VALUE"""),1.0498515136450872)</f>
        <v>1.049851514</v>
      </c>
      <c r="AG1763" s="82">
        <f>IFERROR(__xludf.DUMMYFUNCTION("""COMPUTED_VALUE"""),0.7755309606208365)</f>
        <v>0.7755309606</v>
      </c>
      <c r="AH1763" s="82">
        <f>IFERROR(__xludf.DUMMYFUNCTION("""COMPUTED_VALUE"""),1.0915964685871702)</f>
        <v>1.091596469</v>
      </c>
      <c r="AI1763" s="82">
        <f>IFERROR(__xludf.DUMMYFUNCTION("""COMPUTED_VALUE"""),1.036831046214702)</f>
        <v>1.036831046</v>
      </c>
      <c r="AJ1763" s="82">
        <f>IFERROR(__xludf.DUMMYFUNCTION("""COMPUTED_VALUE"""),1.147918691790142)</f>
        <v>1.147918692</v>
      </c>
      <c r="AK1763" s="82">
        <f>IFERROR(__xludf.DUMMYFUNCTION("""COMPUTED_VALUE"""),1.1171922472260971)</f>
        <v>1.117192247</v>
      </c>
      <c r="AL1763" s="82">
        <f>IFERROR(__xludf.DUMMYFUNCTION("""COMPUTED_VALUE"""),0.9479268971174848)</f>
        <v>0.9479268971</v>
      </c>
      <c r="AM1763" s="82">
        <f>IFERROR(__xludf.DUMMYFUNCTION("""COMPUTED_VALUE"""),1.0616332150223733)</f>
        <v>1.061633215</v>
      </c>
      <c r="AN1763" s="82">
        <f>IFERROR(__xludf.DUMMYFUNCTION("""COMPUTED_VALUE"""),0.9944639364539951)</f>
        <v>0.9944639365</v>
      </c>
      <c r="AO1763" s="82">
        <f>IFERROR(__xludf.DUMMYFUNCTION("""COMPUTED_VALUE"""),1.0538117120334225)</f>
        <v>1.053811712</v>
      </c>
      <c r="AP1763" s="82">
        <f>IFERROR(__xludf.DUMMYFUNCTION("""COMPUTED_VALUE"""),1.0944233740572467)</f>
        <v>1.094423374</v>
      </c>
      <c r="AQ1763" s="82">
        <f>IFERROR(__xludf.DUMMYFUNCTION("""COMPUTED_VALUE"""),0.7631052815998617)</f>
        <v>0.7631052816</v>
      </c>
      <c r="AR1763" s="82">
        <f>IFERROR(__xludf.DUMMYFUNCTION("""COMPUTED_VALUE"""),1.1657923372583514)</f>
        <v>1.165792337</v>
      </c>
      <c r="AS1763" s="82">
        <f>IFERROR(__xludf.DUMMYFUNCTION("""COMPUTED_VALUE"""),80.0)</f>
        <v>80</v>
      </c>
      <c r="AT1763" s="82">
        <f>IFERROR(__xludf.DUMMYFUNCTION("""COMPUTED_VALUE"""),0.5050274080779966)</f>
        <v>0.5050274081</v>
      </c>
      <c r="AU1763" s="82">
        <f>IFERROR(__xludf.DUMMYFUNCTION("""COMPUTED_VALUE"""),2.0956115316344412)</f>
        <v>2.095611532</v>
      </c>
      <c r="AV1763" s="82">
        <f>IFERROR(__xludf.DUMMYFUNCTION("""COMPUTED_VALUE"""),53.50987772666451)</f>
        <v>53.50987773</v>
      </c>
      <c r="AW1763" s="82">
        <f t="shared" si="1"/>
        <v>2.25137041</v>
      </c>
      <c r="AX1763" s="83">
        <f t="array" ref="AX1763">IFERROR(DGET('SBV Import'!A:G,"SBV",{"RSC ID","Tier";B1763,A1763}))</f>
        <v>47.16816754</v>
      </c>
      <c r="AY1763" s="82">
        <f t="shared" si="2"/>
        <v>-2.198251787</v>
      </c>
      <c r="AZ1763" s="82">
        <v>4.449622196572049</v>
      </c>
      <c r="BA1763" s="84">
        <v>1700.0</v>
      </c>
      <c r="BB1763" s="84" t="b">
        <f>IFERROR(__xludf.DUMMYFUNCTION("iferror(if(A1763="""",,E1763&gt;=FILTER(Constants!$F$2:$F$10,Constants!$A$2:$A$10=A1763)))"),TRUE)</f>
        <v>1</v>
      </c>
    </row>
    <row r="1764">
      <c r="A1764" s="89" t="str">
        <f>IFERROR(__xludf.DUMMYFUNCTION("""COMPUTED_VALUE"""),"Rival")</f>
        <v>Rival</v>
      </c>
      <c r="B1764" s="87" t="str">
        <f>IFERROR(__xludf.DUMMYFUNCTION("""COMPUTED_VALUE"""),"RSC002330")</f>
        <v>RSC002330</v>
      </c>
      <c r="C1764" s="73" t="str">
        <f>IFERROR(__xludf.DUMMYFUNCTION("""COMPUTED_VALUE"""),"JesterGG")</f>
        <v>JesterGG</v>
      </c>
      <c r="D1764" s="73"/>
      <c r="E1764" s="82">
        <f>IFERROR(__xludf.DUMMYFUNCTION("""COMPUTED_VALUE"""),18.0)</f>
        <v>18</v>
      </c>
      <c r="F1764" s="82">
        <f>IFERROR(__xludf.DUMMYFUNCTION("""COMPUTED_VALUE"""),5.0)</f>
        <v>5</v>
      </c>
      <c r="G1764" s="86">
        <f>IFERROR(__xludf.DUMMYFUNCTION("""COMPUTED_VALUE"""),13.0)</f>
        <v>13</v>
      </c>
      <c r="H1764" s="86">
        <f>IFERROR(__xludf.DUMMYFUNCTION("""COMPUTED_VALUE"""),0.2777777777777778)</f>
        <v>0.2777777778</v>
      </c>
      <c r="I1764" s="86">
        <f>IFERROR(__xludf.DUMMYFUNCTION("""COMPUTED_VALUE"""),0.2068965517241379)</f>
        <v>0.2068965517</v>
      </c>
      <c r="J1764" s="82">
        <f>IFERROR(__xludf.DUMMYFUNCTION("""COMPUTED_VALUE"""),345.8888888888889)</f>
        <v>345.8888889</v>
      </c>
      <c r="K1764" s="82">
        <f>IFERROR(__xludf.DUMMYFUNCTION("""COMPUTED_VALUE"""),0.6666666666666666)</f>
        <v>0.6666666667</v>
      </c>
      <c r="L1764" s="82">
        <f>IFERROR(__xludf.DUMMYFUNCTION("""COMPUTED_VALUE"""),0.5555555555555556)</f>
        <v>0.5555555556</v>
      </c>
      <c r="M1764" s="82">
        <f>IFERROR(__xludf.DUMMYFUNCTION("""COMPUTED_VALUE"""),1.3888888888888888)</f>
        <v>1.388888889</v>
      </c>
      <c r="N1764" s="82">
        <f>IFERROR(__xludf.DUMMYFUNCTION("""COMPUTED_VALUE"""),3.2222222222222223)</f>
        <v>3.222222222</v>
      </c>
      <c r="O1764" s="82">
        <f>IFERROR(__xludf.DUMMYFUNCTION("""COMPUTED_VALUE"""),395.7592592592593)</f>
        <v>395.7592593</v>
      </c>
      <c r="P1764" s="82">
        <f>IFERROR(__xludf.DUMMYFUNCTION("""COMPUTED_VALUE"""),1.0185185185185184)</f>
        <v>1.018518519</v>
      </c>
      <c r="Q1764" s="82">
        <f>IFERROR(__xludf.DUMMYFUNCTION("""COMPUTED_VALUE"""),0.7037037037037037)</f>
        <v>0.7037037037</v>
      </c>
      <c r="R1764" s="82">
        <f>IFERROR(__xludf.DUMMYFUNCTION("""COMPUTED_VALUE"""),1.4259259259259258)</f>
        <v>1.425925926</v>
      </c>
      <c r="S1764" s="82">
        <f>IFERROR(__xludf.DUMMYFUNCTION("""COMPUTED_VALUE"""),2.8703703703703702)</f>
        <v>2.87037037</v>
      </c>
      <c r="T1764" s="82">
        <f>IFERROR(__xludf.DUMMYFUNCTION("""COMPUTED_VALUE"""),353.445982349325)</f>
        <v>353.4459823</v>
      </c>
      <c r="U1764" s="82">
        <f>IFERROR(__xludf.DUMMYFUNCTION("""COMPUTED_VALUE"""),0.8208126700280746)</f>
        <v>0.82081267</v>
      </c>
      <c r="V1764" s="82">
        <f>IFERROR(__xludf.DUMMYFUNCTION("""COMPUTED_VALUE"""),0.5954421931898268)</f>
        <v>0.5954421932</v>
      </c>
      <c r="W1764" s="82">
        <f>IFERROR(__xludf.DUMMYFUNCTION("""COMPUTED_VALUE"""),1.2548247689150889)</f>
        <v>1.254824769</v>
      </c>
      <c r="X1764" s="82">
        <f>IFERROR(__xludf.DUMMYFUNCTION("""COMPUTED_VALUE"""),2.6897144062979645)</f>
        <v>2.689714406</v>
      </c>
      <c r="Y1764" s="82">
        <f>IFERROR(__xludf.DUMMYFUNCTION("""COMPUTED_VALUE"""),335.77385252078653)</f>
        <v>335.7738525</v>
      </c>
      <c r="Z1764" s="82">
        <f>IFERROR(__xludf.DUMMYFUNCTION("""COMPUTED_VALUE"""),0.7115260143657708)</f>
        <v>0.7115260144</v>
      </c>
      <c r="AA1764" s="82">
        <f>IFERROR(__xludf.DUMMYFUNCTION("""COMPUTED_VALUE"""),0.513232202216407)</f>
        <v>0.5132322022</v>
      </c>
      <c r="AB1764" s="82">
        <f>IFERROR(__xludf.DUMMYFUNCTION("""COMPUTED_VALUE"""),1.3425491096792088)</f>
        <v>1.34254911</v>
      </c>
      <c r="AC1764" s="82">
        <f>IFERROR(__xludf.DUMMYFUNCTION("""COMPUTED_VALUE"""),2.4500360478301655)</f>
        <v>2.450036048</v>
      </c>
      <c r="AD1764" s="82">
        <f>IFERROR(__xludf.DUMMYFUNCTION("""COMPUTED_VALUE"""),1.0301245504739718)</f>
        <v>1.03012455</v>
      </c>
      <c r="AE1764" s="82">
        <f>IFERROR(__xludf.DUMMYFUNCTION("""COMPUTED_VALUE"""),0.9369533273648607)</f>
        <v>0.9369533274</v>
      </c>
      <c r="AF1764" s="82">
        <f>IFERROR(__xludf.DUMMYFUNCTION("""COMPUTED_VALUE"""),1.082464337109741)</f>
        <v>1.082464337</v>
      </c>
      <c r="AG1764" s="82">
        <f>IFERROR(__xludf.DUMMYFUNCTION("""COMPUTED_VALUE"""),1.0345162637817789)</f>
        <v>1.034516264</v>
      </c>
      <c r="AH1764" s="82">
        <f>IFERROR(__xludf.DUMMYFUNCTION("""COMPUTED_VALUE"""),1.3151733930918816)</f>
        <v>1.315173393</v>
      </c>
      <c r="AI1764" s="82">
        <f>IFERROR(__xludf.DUMMYFUNCTION("""COMPUTED_VALUE"""),1.1197163895559983)</f>
        <v>1.11971639</v>
      </c>
      <c r="AJ1764" s="82">
        <f>IFERROR(__xludf.DUMMYFUNCTION("""COMPUTED_VALUE"""),1.2408659803992568)</f>
        <v>1.24086598</v>
      </c>
      <c r="AK1764" s="82">
        <f>IFERROR(__xludf.DUMMYFUNCTION("""COMPUTED_VALUE"""),1.1818169954230353)</f>
        <v>1.181816995</v>
      </c>
      <c r="AL1764" s="82">
        <f>IFERROR(__xludf.DUMMYFUNCTION("""COMPUTED_VALUE"""),1.136354621975441)</f>
        <v>1.136354622</v>
      </c>
      <c r="AM1764" s="82">
        <f>IFERROR(__xludf.DUMMYFUNCTION("""COMPUTED_VALUE"""),1.067165481825654)</f>
        <v>1.067165482</v>
      </c>
      <c r="AN1764" s="82">
        <f>IFERROR(__xludf.DUMMYFUNCTION("""COMPUTED_VALUE"""),1.0204990723154783)</f>
        <v>1.020499072</v>
      </c>
      <c r="AO1764" s="82">
        <f>IFERROR(__xludf.DUMMYFUNCTION("""COMPUTED_VALUE"""),0.9074489742510028)</f>
        <v>0.9074489743</v>
      </c>
      <c r="AP1764" s="82">
        <f>IFERROR(__xludf.DUMMYFUNCTION("""COMPUTED_VALUE"""),0.9920211870109547)</f>
        <v>0.992021187</v>
      </c>
      <c r="AQ1764" s="82">
        <f>IFERROR(__xludf.DUMMYFUNCTION("""COMPUTED_VALUE"""),1.0598684466664745)</f>
        <v>1.059868447</v>
      </c>
      <c r="AR1764" s="82">
        <f>IFERROR(__xludf.DUMMYFUNCTION("""COMPUTED_VALUE"""),1.2938855693768616)</f>
        <v>1.293885569</v>
      </c>
      <c r="AS1764" s="82">
        <f>IFERROR(__xludf.DUMMYFUNCTION("""COMPUTED_VALUE"""),39.0)</f>
        <v>39</v>
      </c>
      <c r="AT1764" s="82">
        <f>IFERROR(__xludf.DUMMYFUNCTION("""COMPUTED_VALUE"""),0.36529575681580695)</f>
        <v>0.3652957568</v>
      </c>
      <c r="AU1764" s="82">
        <f>IFERROR(__xludf.DUMMYFUNCTION("""COMPUTED_VALUE"""),2.091456821827838)</f>
        <v>2.091456822</v>
      </c>
      <c r="AV1764" s="82">
        <f>IFERROR(__xludf.DUMMYFUNCTION("""COMPUTED_VALUE"""),53.3631164692725)</f>
        <v>53.36311647</v>
      </c>
      <c r="AW1764" s="82">
        <f t="shared" si="1"/>
        <v>2.239672472</v>
      </c>
      <c r="AX1764" s="83">
        <f t="array" ref="AX1764">IFERROR(DGET('SBV Import'!A:G,"SBV",{"RSC ID","Tier";B1764,A1764}))</f>
        <v>48.19630489</v>
      </c>
      <c r="AY1764" s="82">
        <f t="shared" si="2"/>
        <v>-2.122051302</v>
      </c>
      <c r="AZ1764" s="82">
        <v>4.361723774772016</v>
      </c>
      <c r="BA1764" s="84">
        <v>1700.0</v>
      </c>
      <c r="BB1764" s="84" t="b">
        <f>IFERROR(__xludf.DUMMYFUNCTION("iferror(if(A1764="""",,E1764&gt;=FILTER(Constants!$F$2:$F$10,Constants!$A$2:$A$10=A1764)))"),TRUE)</f>
        <v>1</v>
      </c>
    </row>
    <row r="1765">
      <c r="A1765" s="89" t="str">
        <f>IFERROR(__xludf.DUMMYFUNCTION("""COMPUTED_VALUE"""),"Rival")</f>
        <v>Rival</v>
      </c>
      <c r="B1765" s="87" t="str">
        <f>IFERROR(__xludf.DUMMYFUNCTION("""COMPUTED_VALUE"""),"RSC007293")</f>
        <v>RSC007293</v>
      </c>
      <c r="C1765" s="73" t="str">
        <f>IFERROR(__xludf.DUMMYFUNCTION("""COMPUTED_VALUE"""),"YtExplixiit")</f>
        <v>YtExplixiit</v>
      </c>
      <c r="D1765" s="73" t="str">
        <f>IFERROR(__xludf.DUMMYFUNCTION("""COMPUTED_VALUE"""),"Ion Imperial")</f>
        <v>Ion Imperial</v>
      </c>
      <c r="E1765" s="82">
        <f>IFERROR(__xludf.DUMMYFUNCTION("""COMPUTED_VALUE"""),35.0)</f>
        <v>35</v>
      </c>
      <c r="F1765" s="82">
        <f>IFERROR(__xludf.DUMMYFUNCTION("""COMPUTED_VALUE"""),22.0)</f>
        <v>22</v>
      </c>
      <c r="G1765" s="86">
        <f>IFERROR(__xludf.DUMMYFUNCTION("""COMPUTED_VALUE"""),13.0)</f>
        <v>13</v>
      </c>
      <c r="H1765" s="86">
        <f>IFERROR(__xludf.DUMMYFUNCTION("""COMPUTED_VALUE"""),0.6285714285714286)</f>
        <v>0.6285714286</v>
      </c>
      <c r="I1765" s="86">
        <f>IFERROR(__xludf.DUMMYFUNCTION("""COMPUTED_VALUE"""),0.26)</f>
        <v>0.26</v>
      </c>
      <c r="J1765" s="82">
        <f>IFERROR(__xludf.DUMMYFUNCTION("""COMPUTED_VALUE"""),309.0)</f>
        <v>309</v>
      </c>
      <c r="K1765" s="82">
        <f>IFERROR(__xludf.DUMMYFUNCTION("""COMPUTED_VALUE"""),0.7428571428571429)</f>
        <v>0.7428571429</v>
      </c>
      <c r="L1765" s="82">
        <f>IFERROR(__xludf.DUMMYFUNCTION("""COMPUTED_VALUE"""),0.5714285714285714)</f>
        <v>0.5714285714</v>
      </c>
      <c r="M1765" s="82">
        <f>IFERROR(__xludf.DUMMYFUNCTION("""COMPUTED_VALUE"""),0.8)</f>
        <v>0.8</v>
      </c>
      <c r="N1765" s="82">
        <f>IFERROR(__xludf.DUMMYFUNCTION("""COMPUTED_VALUE"""),2.857142857142857)</f>
        <v>2.857142857</v>
      </c>
      <c r="O1765" s="82">
        <f>IFERROR(__xludf.DUMMYFUNCTION("""COMPUTED_VALUE"""),345.54285714285726)</f>
        <v>345.5428571</v>
      </c>
      <c r="P1765" s="82">
        <f>IFERROR(__xludf.DUMMYFUNCTION("""COMPUTED_VALUE"""),0.7142857142857143)</f>
        <v>0.7142857143</v>
      </c>
      <c r="Q1765" s="82">
        <f>IFERROR(__xludf.DUMMYFUNCTION("""COMPUTED_VALUE"""),0.5047619047619047)</f>
        <v>0.5047619048</v>
      </c>
      <c r="R1765" s="82">
        <f>IFERROR(__xludf.DUMMYFUNCTION("""COMPUTED_VALUE"""),1.4476190476190478)</f>
        <v>1.447619048</v>
      </c>
      <c r="S1765" s="82">
        <f>IFERROR(__xludf.DUMMYFUNCTION("""COMPUTED_VALUE"""),2.3904761904761904)</f>
        <v>2.39047619</v>
      </c>
      <c r="T1765" s="82">
        <f>IFERROR(__xludf.DUMMYFUNCTION("""COMPUTED_VALUE"""),338.23376933956683)</f>
        <v>338.2337693</v>
      </c>
      <c r="U1765" s="82">
        <f>IFERROR(__xludf.DUMMYFUNCTION("""COMPUTED_VALUE"""),0.7502758978235171)</f>
        <v>0.7502758978</v>
      </c>
      <c r="V1765" s="82">
        <f>IFERROR(__xludf.DUMMYFUNCTION("""COMPUTED_VALUE"""),0.4902528216932979)</f>
        <v>0.4902528217</v>
      </c>
      <c r="W1765" s="82">
        <f>IFERROR(__xludf.DUMMYFUNCTION("""COMPUTED_VALUE"""),1.299806973890307)</f>
        <v>1.299806974</v>
      </c>
      <c r="X1765" s="82">
        <f>IFERROR(__xludf.DUMMYFUNCTION("""COMPUTED_VALUE"""),2.5391802800374235)</f>
        <v>2.53918028</v>
      </c>
      <c r="Y1765" s="82">
        <f>IFERROR(__xludf.DUMMYFUNCTION("""COMPUTED_VALUE"""),352.21648824911114)</f>
        <v>352.2164882</v>
      </c>
      <c r="Z1765" s="82">
        <f>IFERROR(__xludf.DUMMYFUNCTION("""COMPUTED_VALUE"""),0.8043588538152028)</f>
        <v>0.8043588538</v>
      </c>
      <c r="AA1765" s="82">
        <f>IFERROR(__xludf.DUMMYFUNCTION("""COMPUTED_VALUE"""),0.5704026015137127)</f>
        <v>0.5704026015</v>
      </c>
      <c r="AB1765" s="82">
        <f>IFERROR(__xludf.DUMMYFUNCTION("""COMPUTED_VALUE"""),1.2992737568134396)</f>
        <v>1.299273757</v>
      </c>
      <c r="AC1765" s="82">
        <f>IFERROR(__xludf.DUMMYFUNCTION("""COMPUTED_VALUE"""),2.5541917055607537)</f>
        <v>2.554191706</v>
      </c>
      <c r="AD1765" s="82">
        <f>IFERROR(__xludf.DUMMYFUNCTION("""COMPUTED_VALUE"""),0.8773013482022297)</f>
        <v>0.8773013482</v>
      </c>
      <c r="AE1765" s="82">
        <f>IFERROR(__xludf.DUMMYFUNCTION("""COMPUTED_VALUE"""),0.9235394616888377)</f>
        <v>0.9235394617</v>
      </c>
      <c r="AF1765" s="82">
        <f>IFERROR(__xludf.DUMMYFUNCTION("""COMPUTED_VALUE"""),1.0017986767804634)</f>
        <v>1.001798677</v>
      </c>
      <c r="AG1765" s="82">
        <f>IFERROR(__xludf.DUMMYFUNCTION("""COMPUTED_VALUE"""),0.6157285913032342)</f>
        <v>0.6157285913</v>
      </c>
      <c r="AH1765" s="82">
        <f>IFERROR(__xludf.DUMMYFUNCTION("""COMPUTED_VALUE"""),1.11860940231015)</f>
        <v>1.118609402</v>
      </c>
      <c r="AI1765" s="82">
        <f>IFERROR(__xludf.DUMMYFUNCTION("""COMPUTED_VALUE"""),1.0216095744004572)</f>
        <v>1.021609574</v>
      </c>
      <c r="AJ1765" s="82">
        <f>IFERROR(__xludf.DUMMYFUNCTION("""COMPUTED_VALUE"""),0.9520307347707595)</f>
        <v>0.9520307348</v>
      </c>
      <c r="AK1765" s="82">
        <f>IFERROR(__xludf.DUMMYFUNCTION("""COMPUTED_VALUE"""),1.029595103641614)</f>
        <v>1.029595104</v>
      </c>
      <c r="AL1765" s="82">
        <f>IFERROR(__xludf.DUMMYFUNCTION("""COMPUTED_VALUE"""),1.1137184802804534)</f>
        <v>1.11371848</v>
      </c>
      <c r="AM1765" s="82">
        <f>IFERROR(__xludf.DUMMYFUNCTION("""COMPUTED_VALUE"""),0.9414361828774752)</f>
        <v>0.9414361829</v>
      </c>
      <c r="AN1765" s="82">
        <f>IFERROR(__xludf.DUMMYFUNCTION("""COMPUTED_VALUE"""),0.9116633215898956)</f>
        <v>0.9116633216</v>
      </c>
      <c r="AO1765" s="82">
        <f>IFERROR(__xludf.DUMMYFUNCTION("""COMPUTED_VALUE"""),1.0111574284511173)</f>
        <v>1.011157428</v>
      </c>
      <c r="AP1765" s="82">
        <f>IFERROR(__xludf.DUMMYFUNCTION("""COMPUTED_VALUE"""),1.0203646494969818)</f>
        <v>1.020364649</v>
      </c>
      <c r="AQ1765" s="82">
        <f>IFERROR(__xludf.DUMMYFUNCTION("""COMPUTED_VALUE"""),0.6104842252798893)</f>
        <v>0.6104842253</v>
      </c>
      <c r="AR1765" s="82">
        <f>IFERROR(__xludf.DUMMYFUNCTION("""COMPUTED_VALUE"""),1.1472876969844092)</f>
        <v>1.147287697</v>
      </c>
      <c r="AS1765" s="82">
        <f>IFERROR(__xludf.DUMMYFUNCTION("""COMPUTED_VALUE"""),87.0)</f>
        <v>87</v>
      </c>
      <c r="AT1765" s="82">
        <f>IFERROR(__xludf.DUMMYFUNCTION("""COMPUTED_VALUE"""),0.5573456576769952)</f>
        <v>0.5573456577</v>
      </c>
      <c r="AU1765" s="82">
        <f>IFERROR(__xludf.DUMMYFUNCTION("""COMPUTED_VALUE"""),2.0839969158497977)</f>
        <v>2.083996916</v>
      </c>
      <c r="AV1765" s="82">
        <f>IFERROR(__xludf.DUMMYFUNCTION("""COMPUTED_VALUE"""),53.09960223306196)</f>
        <v>53.09960223</v>
      </c>
      <c r="AW1765" s="82">
        <f t="shared" si="1"/>
        <v>2.218948354</v>
      </c>
      <c r="AX1765" s="83">
        <f t="array" ref="AX1765">IFERROR(DGET('SBV Import'!A:G,"SBV",{"RSC ID","Tier";B1765,A1765}))</f>
        <v>45.34797759</v>
      </c>
      <c r="AY1765" s="82">
        <f t="shared" si="2"/>
        <v>-2.346367696</v>
      </c>
      <c r="AZ1765" s="82">
        <v>4.565316050295486</v>
      </c>
      <c r="BA1765" s="84">
        <v>1700.0</v>
      </c>
      <c r="BB1765" s="84" t="b">
        <f>IFERROR(__xludf.DUMMYFUNCTION("iferror(if(A1765="""",,E1765&gt;=FILTER(Constants!$F$2:$F$10,Constants!$A$2:$A$10=A1765)))"),TRUE)</f>
        <v>1</v>
      </c>
    </row>
    <row r="1766">
      <c r="A1766" s="89" t="str">
        <f>IFERROR(__xludf.DUMMYFUNCTION("""COMPUTED_VALUE"""),"Rival")</f>
        <v>Rival</v>
      </c>
      <c r="B1766" s="87" t="str">
        <f>IFERROR(__xludf.DUMMYFUNCTION("""COMPUTED_VALUE"""),"RSC000182")</f>
        <v>RSC000182</v>
      </c>
      <c r="C1766" s="73" t="str">
        <f>IFERROR(__xludf.DUMMYFUNCTION("""COMPUTED_VALUE"""),"Goose")</f>
        <v>Goose</v>
      </c>
      <c r="D1766" s="73"/>
      <c r="E1766" s="82">
        <f>IFERROR(__xludf.DUMMYFUNCTION("""COMPUTED_VALUE"""),28.0)</f>
        <v>28</v>
      </c>
      <c r="F1766" s="82">
        <f>IFERROR(__xludf.DUMMYFUNCTION("""COMPUTED_VALUE"""),12.0)</f>
        <v>12</v>
      </c>
      <c r="G1766" s="86">
        <f>IFERROR(__xludf.DUMMYFUNCTION("""COMPUTED_VALUE"""),16.0)</f>
        <v>16</v>
      </c>
      <c r="H1766" s="86">
        <f>IFERROR(__xludf.DUMMYFUNCTION("""COMPUTED_VALUE"""),0.42857142857142855)</f>
        <v>0.4285714286</v>
      </c>
      <c r="I1766" s="86">
        <f>IFERROR(__xludf.DUMMYFUNCTION("""COMPUTED_VALUE"""),0.28205128205128205)</f>
        <v>0.2820512821</v>
      </c>
      <c r="J1766" s="82">
        <f>IFERROR(__xludf.DUMMYFUNCTION("""COMPUTED_VALUE"""),326.57142857142856)</f>
        <v>326.5714286</v>
      </c>
      <c r="K1766" s="82">
        <f>IFERROR(__xludf.DUMMYFUNCTION("""COMPUTED_VALUE"""),0.7857142857142857)</f>
        <v>0.7857142857</v>
      </c>
      <c r="L1766" s="82">
        <f>IFERROR(__xludf.DUMMYFUNCTION("""COMPUTED_VALUE"""),0.5357142857142857)</f>
        <v>0.5357142857</v>
      </c>
      <c r="M1766" s="82">
        <f>IFERROR(__xludf.DUMMYFUNCTION("""COMPUTED_VALUE"""),1.0714285714285714)</f>
        <v>1.071428571</v>
      </c>
      <c r="N1766" s="82">
        <f>IFERROR(__xludf.DUMMYFUNCTION("""COMPUTED_VALUE"""),2.7857142857142856)</f>
        <v>2.785714286</v>
      </c>
      <c r="O1766" s="82">
        <f>IFERROR(__xludf.DUMMYFUNCTION("""COMPUTED_VALUE"""),360.38095238095235)</f>
        <v>360.3809524</v>
      </c>
      <c r="P1766" s="82">
        <f>IFERROR(__xludf.DUMMYFUNCTION("""COMPUTED_VALUE"""),0.8928571428571427)</f>
        <v>0.8928571429</v>
      </c>
      <c r="Q1766" s="82">
        <f>IFERROR(__xludf.DUMMYFUNCTION("""COMPUTED_VALUE"""),0.5833333333333333)</f>
        <v>0.5833333333</v>
      </c>
      <c r="R1766" s="82">
        <f>IFERROR(__xludf.DUMMYFUNCTION("""COMPUTED_VALUE"""),1.3214285714285714)</f>
        <v>1.321428571</v>
      </c>
      <c r="S1766" s="82">
        <f>IFERROR(__xludf.DUMMYFUNCTION("""COMPUTED_VALUE"""),2.55952380952381)</f>
        <v>2.55952381</v>
      </c>
      <c r="T1766" s="82">
        <f>IFERROR(__xludf.DUMMYFUNCTION("""COMPUTED_VALUE"""),348.269205963673)</f>
        <v>348.269206</v>
      </c>
      <c r="U1766" s="82">
        <f>IFERROR(__xludf.DUMMYFUNCTION("""COMPUTED_VALUE"""),0.7758653209428348)</f>
        <v>0.7758653209</v>
      </c>
      <c r="V1766" s="82">
        <f>IFERROR(__xludf.DUMMYFUNCTION("""COMPUTED_VALUE"""),0.5903652380090366)</f>
        <v>0.590365238</v>
      </c>
      <c r="W1766" s="82">
        <f>IFERROR(__xludf.DUMMYFUNCTION("""COMPUTED_VALUE"""),1.369793118798842)</f>
        <v>1.369793119</v>
      </c>
      <c r="X1766" s="82">
        <f>IFERROR(__xludf.DUMMYFUNCTION("""COMPUTED_VALUE"""),2.5792201806907693)</f>
        <v>2.579220181</v>
      </c>
      <c r="Y1766" s="82">
        <f>IFERROR(__xludf.DUMMYFUNCTION("""COMPUTED_VALUE"""),343.2349592524361)</f>
        <v>343.2349593</v>
      </c>
      <c r="Z1766" s="82">
        <f>IFERROR(__xludf.DUMMYFUNCTION("""COMPUTED_VALUE"""),0.7657948883408896)</f>
        <v>0.7657948883</v>
      </c>
      <c r="AA1766" s="82">
        <f>IFERROR(__xludf.DUMMYFUNCTION("""COMPUTED_VALUE"""),0.5699594215549735)</f>
        <v>0.5699594216</v>
      </c>
      <c r="AB1766" s="82">
        <f>IFERROR(__xludf.DUMMYFUNCTION("""COMPUTED_VALUE"""),1.3219098085429093)</f>
        <v>1.321909809</v>
      </c>
      <c r="AC1766" s="82">
        <f>IFERROR(__xludf.DUMMYFUNCTION("""COMPUTED_VALUE"""),2.569311845007898)</f>
        <v>2.569311845</v>
      </c>
      <c r="AD1766" s="82">
        <f>IFERROR(__xludf.DUMMYFUNCTION("""COMPUTED_VALUE"""),0.9514515341989037)</f>
        <v>0.9514515342</v>
      </c>
      <c r="AE1766" s="82">
        <f>IFERROR(__xludf.DUMMYFUNCTION("""COMPUTED_VALUE"""),1.0260114002805005)</f>
        <v>1.0260114</v>
      </c>
      <c r="AF1766" s="82">
        <f>IFERROR(__xludf.DUMMYFUNCTION("""COMPUTED_VALUE"""),0.9399165369575617)</f>
        <v>0.939916537</v>
      </c>
      <c r="AG1766" s="82">
        <f>IFERROR(__xludf.DUMMYFUNCTION("""COMPUTED_VALUE"""),0.8105156376814892)</f>
        <v>0.8105156377</v>
      </c>
      <c r="AH1766" s="82">
        <f>IFERROR(__xludf.DUMMYFUNCTION("""COMPUTED_VALUE"""),1.0842258370181306)</f>
        <v>1.084225837</v>
      </c>
      <c r="AI1766" s="82">
        <f>IFERROR(__xludf.DUMMYFUNCTION("""COMPUTED_VALUE"""),1.0347769662372697)</f>
        <v>1.034776966</v>
      </c>
      <c r="AJ1766" s="82">
        <f>IFERROR(__xludf.DUMMYFUNCTION("""COMPUTED_VALUE"""),1.150788827334284)</f>
        <v>1.150788827</v>
      </c>
      <c r="AK1766" s="82">
        <f>IFERROR(__xludf.DUMMYFUNCTION("""COMPUTED_VALUE"""),0.9880888910407091)</f>
        <v>0.988088891</v>
      </c>
      <c r="AL1766" s="82">
        <f>IFERROR(__xludf.DUMMYFUNCTION("""COMPUTED_VALUE"""),0.9646920788938691)</f>
        <v>0.9646920789</v>
      </c>
      <c r="AM1766" s="82">
        <f>IFERROR(__xludf.DUMMYFUNCTION("""COMPUTED_VALUE"""),0.9923634394169155)</f>
        <v>0.9923634394</v>
      </c>
      <c r="AN1766" s="82">
        <f>IFERROR(__xludf.DUMMYFUNCTION("""COMPUTED_VALUE"""),0.9635054799604721)</f>
        <v>0.96350548</v>
      </c>
      <c r="AO1766" s="82">
        <f>IFERROR(__xludf.DUMMYFUNCTION("""COMPUTED_VALUE"""),1.069493433938682)</f>
        <v>1.069493434</v>
      </c>
      <c r="AP1766" s="82">
        <f>IFERROR(__xludf.DUMMYFUNCTION("""COMPUTED_VALUE"""),0.9565918589034205)</f>
        <v>0.9565918589</v>
      </c>
      <c r="AQ1766" s="82">
        <f>IFERROR(__xludf.DUMMYFUNCTION("""COMPUTED_VALUE"""),0.8176128017141374)</f>
        <v>0.8176128017</v>
      </c>
      <c r="AR1766" s="82">
        <f>IFERROR(__xludf.DUMMYFUNCTION("""COMPUTED_VALUE"""),1.118605504559799)</f>
        <v>1.118605505</v>
      </c>
      <c r="AS1766" s="82">
        <f>IFERROR(__xludf.DUMMYFUNCTION("""COMPUTED_VALUE"""),58.0)</f>
        <v>58</v>
      </c>
      <c r="AT1766" s="82">
        <f>IFERROR(__xludf.DUMMYFUNCTION("""COMPUTED_VALUE"""),0.40083316999733115)</f>
        <v>0.40083317</v>
      </c>
      <c r="AU1766" s="82">
        <f>IFERROR(__xludf.DUMMYFUNCTION("""COMPUTED_VALUE"""),2.077617937315505)</f>
        <v>2.077617937</v>
      </c>
      <c r="AV1766" s="82">
        <f>IFERROR(__xludf.DUMMYFUNCTION("""COMPUTED_VALUE"""),52.87427075285084)</f>
        <v>52.87427075</v>
      </c>
      <c r="AW1766" s="82">
        <f t="shared" si="1"/>
        <v>2.201507885</v>
      </c>
      <c r="AX1766" s="83">
        <f t="array" ref="AX1766">IFERROR(DGET('SBV Import'!A:G,"SBV",{"RSC ID","Tier";B1766,A1766}))</f>
        <v>47.29300231</v>
      </c>
      <c r="AY1766" s="82">
        <f t="shared" si="2"/>
        <v>-2.188725816</v>
      </c>
      <c r="AZ1766" s="82">
        <v>4.39023370066667</v>
      </c>
      <c r="BA1766" s="84">
        <v>1700.0</v>
      </c>
      <c r="BB1766" s="84" t="b">
        <f>IFERROR(__xludf.DUMMYFUNCTION("iferror(if(A1766="""",,E1766&gt;=FILTER(Constants!$F$2:$F$10,Constants!$A$2:$A$10=A1766)))"),TRUE)</f>
        <v>1</v>
      </c>
    </row>
    <row r="1767">
      <c r="A1767" s="89" t="str">
        <f>IFERROR(__xludf.DUMMYFUNCTION("""COMPUTED_VALUE"""),"Rival")</f>
        <v>Rival</v>
      </c>
      <c r="B1767" s="87" t="str">
        <f>IFERROR(__xludf.DUMMYFUNCTION("""COMPUTED_VALUE"""),"RSC001358")</f>
        <v>RSC001358</v>
      </c>
      <c r="C1767" s="73" t="str">
        <f>IFERROR(__xludf.DUMMYFUNCTION("""COMPUTED_VALUE"""),"Cob")</f>
        <v>Cob</v>
      </c>
      <c r="D1767" s="73" t="str">
        <f>IFERROR(__xludf.DUMMYFUNCTION("""COMPUTED_VALUE"""),"Heavy Metal")</f>
        <v>Heavy Metal</v>
      </c>
      <c r="E1767" s="82">
        <f>IFERROR(__xludf.DUMMYFUNCTION("""COMPUTED_VALUE"""),34.0)</f>
        <v>34</v>
      </c>
      <c r="F1767" s="82">
        <f>IFERROR(__xludf.DUMMYFUNCTION("""COMPUTED_VALUE"""),15.0)</f>
        <v>15</v>
      </c>
      <c r="G1767" s="86">
        <f>IFERROR(__xludf.DUMMYFUNCTION("""COMPUTED_VALUE"""),19.0)</f>
        <v>19</v>
      </c>
      <c r="H1767" s="86">
        <f>IFERROR(__xludf.DUMMYFUNCTION("""COMPUTED_VALUE"""),0.4411764705882353)</f>
        <v>0.4411764706</v>
      </c>
      <c r="I1767" s="86">
        <f>IFERROR(__xludf.DUMMYFUNCTION("""COMPUTED_VALUE"""),0.38749999999999996)</f>
        <v>0.3875</v>
      </c>
      <c r="J1767" s="82">
        <f>IFERROR(__xludf.DUMMYFUNCTION("""COMPUTED_VALUE"""),358.0882352941176)</f>
        <v>358.0882353</v>
      </c>
      <c r="K1767" s="82">
        <f>IFERROR(__xludf.DUMMYFUNCTION("""COMPUTED_VALUE"""),0.9117647058823529)</f>
        <v>0.9117647059</v>
      </c>
      <c r="L1767" s="82">
        <f>IFERROR(__xludf.DUMMYFUNCTION("""COMPUTED_VALUE"""),0.5)</f>
        <v>0.5</v>
      </c>
      <c r="M1767" s="82">
        <f>IFERROR(__xludf.DUMMYFUNCTION("""COMPUTED_VALUE"""),1.6764705882352942)</f>
        <v>1.676470588</v>
      </c>
      <c r="N1767" s="82">
        <f>IFERROR(__xludf.DUMMYFUNCTION("""COMPUTED_VALUE"""),2.3529411764705883)</f>
        <v>2.352941176</v>
      </c>
      <c r="O1767" s="82">
        <f>IFERROR(__xludf.DUMMYFUNCTION("""COMPUTED_VALUE"""),346.32352941176475)</f>
        <v>346.3235294</v>
      </c>
      <c r="P1767" s="82">
        <f>IFERROR(__xludf.DUMMYFUNCTION("""COMPUTED_VALUE"""),0.7843137254901962)</f>
        <v>0.7843137255</v>
      </c>
      <c r="Q1767" s="82">
        <f>IFERROR(__xludf.DUMMYFUNCTION("""COMPUTED_VALUE"""),0.588235294117647)</f>
        <v>0.5882352941</v>
      </c>
      <c r="R1767" s="82">
        <f>IFERROR(__xludf.DUMMYFUNCTION("""COMPUTED_VALUE"""),1.2647058823529411)</f>
        <v>1.264705882</v>
      </c>
      <c r="S1767" s="82">
        <f>IFERROR(__xludf.DUMMYFUNCTION("""COMPUTED_VALUE"""),2.4411764705882355)</f>
        <v>2.441176471</v>
      </c>
      <c r="T1767" s="82">
        <f>IFERROR(__xludf.DUMMYFUNCTION("""COMPUTED_VALUE"""),339.6073138047991)</f>
        <v>339.6073138</v>
      </c>
      <c r="U1767" s="82">
        <f>IFERROR(__xludf.DUMMYFUNCTION("""COMPUTED_VALUE"""),0.7559904025463733)</f>
        <v>0.7559904025</v>
      </c>
      <c r="V1767" s="82">
        <f>IFERROR(__xludf.DUMMYFUNCTION("""COMPUTED_VALUE"""),0.5724142570543456)</f>
        <v>0.5724142571</v>
      </c>
      <c r="W1767" s="82">
        <f>IFERROR(__xludf.DUMMYFUNCTION("""COMPUTED_VALUE"""),1.3185527018218561)</f>
        <v>1.318552702</v>
      </c>
      <c r="X1767" s="82">
        <f>IFERROR(__xludf.DUMMYFUNCTION("""COMPUTED_VALUE"""),2.4264500990512565)</f>
        <v>2.426450099</v>
      </c>
      <c r="Y1767" s="82">
        <f>IFERROR(__xludf.DUMMYFUNCTION("""COMPUTED_VALUE"""),355.3944163313133)</f>
        <v>355.3944163</v>
      </c>
      <c r="Z1767" s="82">
        <f>IFERROR(__xludf.DUMMYFUNCTION("""COMPUTED_VALUE"""),0.849335156757476)</f>
        <v>0.8493351568</v>
      </c>
      <c r="AA1767" s="82">
        <f>IFERROR(__xludf.DUMMYFUNCTION("""COMPUTED_VALUE"""),0.6092452520235732)</f>
        <v>0.609245252</v>
      </c>
      <c r="AB1767" s="82">
        <f>IFERROR(__xludf.DUMMYFUNCTION("""COMPUTED_VALUE"""),1.2840514623810824)</f>
        <v>1.284051462</v>
      </c>
      <c r="AC1767" s="82">
        <f>IFERROR(__xludf.DUMMYFUNCTION("""COMPUTED_VALUE"""),2.7114449087536414)</f>
        <v>2.711444909</v>
      </c>
      <c r="AD1767" s="82">
        <f>IFERROR(__xludf.DUMMYFUNCTION("""COMPUTED_VALUE"""),1.0075798010295496)</f>
        <v>1.007579801</v>
      </c>
      <c r="AE1767" s="82">
        <f>IFERROR(__xludf.DUMMYFUNCTION("""COMPUTED_VALUE"""),1.0735040209135054)</f>
        <v>1.073504021</v>
      </c>
      <c r="AF1767" s="82">
        <f>IFERROR(__xludf.DUMMYFUNCTION("""COMPUTED_VALUE"""),0.8206875611082379)</f>
        <v>0.8206875611</v>
      </c>
      <c r="AG1767" s="82">
        <f>IFERROR(__xludf.DUMMYFUNCTION("""COMPUTED_VALUE"""),1.3056101233875228)</f>
        <v>1.305610123</v>
      </c>
      <c r="AH1767" s="82">
        <f>IFERROR(__xludf.DUMMYFUNCTION("""COMPUTED_VALUE"""),0.867781295822881)</f>
        <v>0.8677812958</v>
      </c>
      <c r="AI1767" s="82">
        <f>IFERROR(__xludf.DUMMYFUNCTION("""COMPUTED_VALUE"""),1.0197764162724305)</f>
        <v>1.019776416</v>
      </c>
      <c r="AJ1767" s="82">
        <f>IFERROR(__xludf.DUMMYFUNCTION("""COMPUTED_VALUE"""),1.0374651885108892)</f>
        <v>1.037465189</v>
      </c>
      <c r="AK1767" s="82">
        <f>IFERROR(__xludf.DUMMYFUNCTION("""COMPUTED_VALUE"""),1.0276391387327017)</f>
        <v>1.027639139</v>
      </c>
      <c r="AL1767" s="82">
        <f>IFERROR(__xludf.DUMMYFUNCTION("""COMPUTED_VALUE"""),0.9591621788082385)</f>
        <v>0.9591621788</v>
      </c>
      <c r="AM1767" s="82">
        <f>IFERROR(__xludf.DUMMYFUNCTION("""COMPUTED_VALUE"""),1.0060691013356249)</f>
        <v>1.006069101</v>
      </c>
      <c r="AN1767" s="82">
        <f>IFERROR(__xludf.DUMMYFUNCTION("""COMPUTED_VALUE"""),1.056491618156956)</f>
        <v>1.056491618</v>
      </c>
      <c r="AO1767" s="82">
        <f>IFERROR(__xludf.DUMMYFUNCTION("""COMPUTED_VALUE"""),1.2410699206668125)</f>
        <v>1.241069921</v>
      </c>
      <c r="AP1767" s="82">
        <f>IFERROR(__xludf.DUMMYFUNCTION("""COMPUTED_VALUE"""),0.8928190683098591)</f>
        <v>0.8928190683</v>
      </c>
      <c r="AQ1767" s="82">
        <f>IFERROR(__xludf.DUMMYFUNCTION("""COMPUTED_VALUE"""),1.27932356032918)</f>
        <v>1.27932356</v>
      </c>
      <c r="AR1767" s="82">
        <f>IFERROR(__xludf.DUMMYFUNCTION("""COMPUTED_VALUE"""),0.9448251622224547)</f>
        <v>0.9448251622</v>
      </c>
      <c r="AS1767" s="82">
        <f>IFERROR(__xludf.DUMMYFUNCTION("""COMPUTED_VALUE"""),75.0)</f>
        <v>75</v>
      </c>
      <c r="AT1767" s="82">
        <f>IFERROR(__xludf.DUMMYFUNCTION("""COMPUTED_VALUE"""),0.4750833371506107)</f>
        <v>0.4750833372</v>
      </c>
      <c r="AU1767" s="82">
        <f>IFERROR(__xludf.DUMMYFUNCTION("""COMPUTED_VALUE"""),2.066985685153099)</f>
        <v>2.066985685</v>
      </c>
      <c r="AV1767" s="82">
        <f>IFERROR(__xludf.DUMMYFUNCTION("""COMPUTED_VALUE"""),52.49869633998)</f>
        <v>52.49869634</v>
      </c>
      <c r="AW1767" s="82">
        <f t="shared" si="1"/>
        <v>2.173001977</v>
      </c>
      <c r="AX1767" s="83">
        <f t="array" ref="AX1767">IFERROR(DGET('SBV Import'!A:G,"SBV",{"RSC ID","Tier";B1767,A1767}))</f>
        <v>56.0786457</v>
      </c>
      <c r="AY1767" s="82">
        <f t="shared" si="2"/>
        <v>2.475577099</v>
      </c>
      <c r="AZ1767" s="82">
        <v>0.3025751216910173</v>
      </c>
      <c r="BA1767" s="84">
        <v>1700.0</v>
      </c>
      <c r="BB1767" s="84" t="b">
        <f>IFERROR(__xludf.DUMMYFUNCTION("iferror(if(A1767="""",,E1767&gt;=FILTER(Constants!$F$2:$F$10,Constants!$A$2:$A$10=A1767)))"),TRUE)</f>
        <v>1</v>
      </c>
    </row>
    <row r="1768">
      <c r="A1768" s="89" t="str">
        <f>IFERROR(__xludf.DUMMYFUNCTION("""COMPUTED_VALUE"""),"Rival")</f>
        <v>Rival</v>
      </c>
      <c r="B1768" s="87" t="str">
        <f>IFERROR(__xludf.DUMMYFUNCTION("""COMPUTED_VALUE"""),"RSC003718")</f>
        <v>RSC003718</v>
      </c>
      <c r="C1768" s="73" t="str">
        <f>IFERROR(__xludf.DUMMYFUNCTION("""COMPUTED_VALUE"""),"Tbonelul")</f>
        <v>Tbonelul</v>
      </c>
      <c r="D1768" s="73" t="str">
        <f>IFERROR(__xludf.DUMMYFUNCTION("""COMPUTED_VALUE"""),"Heavy Metal")</f>
        <v>Heavy Metal</v>
      </c>
      <c r="E1768" s="82">
        <f>IFERROR(__xludf.DUMMYFUNCTION("""COMPUTED_VALUE"""),32.0)</f>
        <v>32</v>
      </c>
      <c r="F1768" s="82">
        <f>IFERROR(__xludf.DUMMYFUNCTION("""COMPUTED_VALUE"""),15.0)</f>
        <v>15</v>
      </c>
      <c r="G1768" s="86">
        <f>IFERROR(__xludf.DUMMYFUNCTION("""COMPUTED_VALUE"""),17.0)</f>
        <v>17</v>
      </c>
      <c r="H1768" s="86">
        <f>IFERROR(__xludf.DUMMYFUNCTION("""COMPUTED_VALUE"""),0.46875)</f>
        <v>0.46875</v>
      </c>
      <c r="I1768" s="86">
        <f>IFERROR(__xludf.DUMMYFUNCTION("""COMPUTED_VALUE"""),0.25806451612903225)</f>
        <v>0.2580645161</v>
      </c>
      <c r="J1768" s="82">
        <f>IFERROR(__xludf.DUMMYFUNCTION("""COMPUTED_VALUE"""),323.625)</f>
        <v>323.625</v>
      </c>
      <c r="K1768" s="82">
        <f>IFERROR(__xludf.DUMMYFUNCTION("""COMPUTED_VALUE"""),0.75)</f>
        <v>0.75</v>
      </c>
      <c r="L1768" s="82">
        <f>IFERROR(__xludf.DUMMYFUNCTION("""COMPUTED_VALUE"""),0.53125)</f>
        <v>0.53125</v>
      </c>
      <c r="M1768" s="82">
        <f>IFERROR(__xludf.DUMMYFUNCTION("""COMPUTED_VALUE"""),0.875)</f>
        <v>0.875</v>
      </c>
      <c r="N1768" s="82">
        <f>IFERROR(__xludf.DUMMYFUNCTION("""COMPUTED_VALUE"""),2.90625)</f>
        <v>2.90625</v>
      </c>
      <c r="O1768" s="82">
        <f>IFERROR(__xludf.DUMMYFUNCTION("""COMPUTED_VALUE"""),337.11458333333337)</f>
        <v>337.1145833</v>
      </c>
      <c r="P1768" s="82">
        <f>IFERROR(__xludf.DUMMYFUNCTION("""COMPUTED_VALUE"""),0.7395833333333334)</f>
        <v>0.7395833333</v>
      </c>
      <c r="Q1768" s="82">
        <f>IFERROR(__xludf.DUMMYFUNCTION("""COMPUTED_VALUE"""),0.5625)</f>
        <v>0.5625</v>
      </c>
      <c r="R1768" s="82">
        <f>IFERROR(__xludf.DUMMYFUNCTION("""COMPUTED_VALUE"""),1.2395833333333333)</f>
        <v>1.239583333</v>
      </c>
      <c r="S1768" s="82">
        <f>IFERROR(__xludf.DUMMYFUNCTION("""COMPUTED_VALUE"""),2.4270833333333335)</f>
        <v>2.427083333</v>
      </c>
      <c r="T1768" s="82">
        <f>IFERROR(__xludf.DUMMYFUNCTION("""COMPUTED_VALUE"""),338.43975794391304)</f>
        <v>338.4397579</v>
      </c>
      <c r="U1768" s="82">
        <f>IFERROR(__xludf.DUMMYFUNCTION("""COMPUTED_VALUE"""),0.7524818937715424)</f>
        <v>0.7524818938</v>
      </c>
      <c r="V1768" s="82">
        <f>IFERROR(__xludf.DUMMYFUNCTION("""COMPUTED_VALUE"""),0.5686361861853952)</f>
        <v>0.5686361862</v>
      </c>
      <c r="W1768" s="82">
        <f>IFERROR(__xludf.DUMMYFUNCTION("""COMPUTED_VALUE"""),1.3107048916749582)</f>
        <v>1.310704892</v>
      </c>
      <c r="X1768" s="82">
        <f>IFERROR(__xludf.DUMMYFUNCTION("""COMPUTED_VALUE"""),2.4086436834049385)</f>
        <v>2.408643683</v>
      </c>
      <c r="Y1768" s="82">
        <f>IFERROR(__xludf.DUMMYFUNCTION("""COMPUTED_VALUE"""),352.2788167200085)</f>
        <v>352.2788167</v>
      </c>
      <c r="Z1768" s="82">
        <f>IFERROR(__xludf.DUMMYFUNCTION("""COMPUTED_VALUE"""),0.8391453486841215)</f>
        <v>0.8391453487</v>
      </c>
      <c r="AA1768" s="82">
        <f>IFERROR(__xludf.DUMMYFUNCTION("""COMPUTED_VALUE"""),0.596603549020055)</f>
        <v>0.596603549</v>
      </c>
      <c r="AB1768" s="82">
        <f>IFERROR(__xludf.DUMMYFUNCTION("""COMPUTED_VALUE"""),1.2791847655677244)</f>
        <v>1.279184766</v>
      </c>
      <c r="AC1768" s="82">
        <f>IFERROR(__xludf.DUMMYFUNCTION("""COMPUTED_VALUE"""),2.6966894762255667)</f>
        <v>2.696689476</v>
      </c>
      <c r="AD1768" s="82">
        <f>IFERROR(__xludf.DUMMYFUNCTION("""COMPUTED_VALUE"""),0.9186615392126102)</f>
        <v>0.9186615392</v>
      </c>
      <c r="AE1768" s="82">
        <f>IFERROR(__xludf.DUMMYFUNCTION("""COMPUTED_VALUE"""),0.8937664984690532)</f>
        <v>0.8937664985</v>
      </c>
      <c r="AF1768" s="82">
        <f>IFERROR(__xludf.DUMMYFUNCTION("""COMPUTED_VALUE"""),0.8904573244202104)</f>
        <v>0.8904573244</v>
      </c>
      <c r="AG1768" s="82">
        <f>IFERROR(__xludf.DUMMYFUNCTION("""COMPUTED_VALUE"""),0.684029409630797)</f>
        <v>0.6840294096</v>
      </c>
      <c r="AH1768" s="82">
        <f>IFERROR(__xludf.DUMMYFUNCTION("""COMPUTED_VALUE"""),1.0777102909407819)</f>
        <v>1.077710291</v>
      </c>
      <c r="AI1768" s="82">
        <f>IFERROR(__xludf.DUMMYFUNCTION("""COMPUTED_VALUE"""),0.9960844594068075)</f>
        <v>0.9960844594</v>
      </c>
      <c r="AJ1768" s="82">
        <f>IFERROR(__xludf.DUMMYFUNCTION("""COMPUTED_VALUE"""),0.9828586434504627)</f>
        <v>0.9828586435</v>
      </c>
      <c r="AK1768" s="82">
        <f>IFERROR(__xludf.DUMMYFUNCTION("""COMPUTED_VALUE"""),0.9892089417900769)</f>
        <v>0.9892089418</v>
      </c>
      <c r="AL1768" s="82">
        <f>IFERROR(__xludf.DUMMYFUNCTION("""COMPUTED_VALUE"""),0.9457379317088394)</f>
        <v>0.9457379317</v>
      </c>
      <c r="AM1768" s="82">
        <f>IFERROR(__xludf.DUMMYFUNCTION("""COMPUTED_VALUE"""),1.0076556155048755)</f>
        <v>1.007655616</v>
      </c>
      <c r="AN1768" s="82">
        <f>IFERROR(__xludf.DUMMYFUNCTION("""COMPUTED_VALUE"""),0.9548124351117474)</f>
        <v>0.9548124351</v>
      </c>
      <c r="AO1768" s="82">
        <f>IFERROR(__xludf.DUMMYFUNCTION("""COMPUTED_VALUE"""),1.020880096032378)</f>
        <v>1.020880096</v>
      </c>
      <c r="AP1768" s="82">
        <f>IFERROR(__xludf.DUMMYFUNCTION("""COMPUTED_VALUE"""),0.9486202600792253)</f>
        <v>0.9486202601</v>
      </c>
      <c r="AQ1768" s="82">
        <f>IFERROR(__xludf.DUMMYFUNCTION("""COMPUTED_VALUE"""),0.6677171213998789)</f>
        <v>0.6677171214</v>
      </c>
      <c r="AR1768" s="82">
        <f>IFERROR(__xludf.DUMMYFUNCTION("""COMPUTED_VALUE"""),1.1670067042763288)</f>
        <v>1.167006704</v>
      </c>
      <c r="AS1768" s="82">
        <f>IFERROR(__xludf.DUMMYFUNCTION("""COMPUTED_VALUE"""),70.0)</f>
        <v>70</v>
      </c>
      <c r="AT1768" s="82">
        <f>IFERROR(__xludf.DUMMYFUNCTION("""COMPUTED_VALUE"""),0.4945726359058602)</f>
        <v>0.4945726359</v>
      </c>
      <c r="AU1768" s="82">
        <f>IFERROR(__xludf.DUMMYFUNCTION("""COMPUTED_VALUE"""),2.0409198340168584)</f>
        <v>2.040919834</v>
      </c>
      <c r="AV1768" s="82">
        <f>IFERROR(__xludf.DUMMYFUNCTION("""COMPUTED_VALUE"""),51.57794440643509)</f>
        <v>51.57794441</v>
      </c>
      <c r="AW1768" s="82">
        <f t="shared" si="1"/>
        <v>2.105988684</v>
      </c>
      <c r="AX1768" s="83">
        <f t="array" ref="AX1768">IFERROR(DGET('SBV Import'!A:G,"SBV",{"RSC ID","Tier";B1768,A1768}))</f>
        <v>53.31873665</v>
      </c>
      <c r="AY1768" s="82">
        <f t="shared" si="2"/>
        <v>2.236157156</v>
      </c>
      <c r="AZ1768" s="82">
        <v>0.13016847209045634</v>
      </c>
      <c r="BA1768" s="84">
        <v>1700.0</v>
      </c>
      <c r="BB1768" s="84" t="b">
        <f>IFERROR(__xludf.DUMMYFUNCTION("iferror(if(A1768="""",,E1768&gt;=FILTER(Constants!$F$2:$F$10,Constants!$A$2:$A$10=A1768)))"),TRUE)</f>
        <v>1</v>
      </c>
    </row>
    <row r="1769">
      <c r="A1769" s="89" t="str">
        <f>IFERROR(__xludf.DUMMYFUNCTION("""COMPUTED_VALUE"""),"Rival")</f>
        <v>Rival</v>
      </c>
      <c r="B1769" s="87" t="str">
        <f>IFERROR(__xludf.DUMMYFUNCTION("""COMPUTED_VALUE"""),"RSC004545")</f>
        <v>RSC004545</v>
      </c>
      <c r="C1769" s="73" t="str">
        <f>IFERROR(__xludf.DUMMYFUNCTION("""COMPUTED_VALUE"""),"Vires")</f>
        <v>Vires</v>
      </c>
      <c r="D1769" s="73" t="str">
        <f>IFERROR(__xludf.DUMMYFUNCTION("""COMPUTED_VALUE"""),"Nightfall")</f>
        <v>Nightfall</v>
      </c>
      <c r="E1769" s="82">
        <f>IFERROR(__xludf.DUMMYFUNCTION("""COMPUTED_VALUE"""),27.0)</f>
        <v>27</v>
      </c>
      <c r="F1769" s="82">
        <f>IFERROR(__xludf.DUMMYFUNCTION("""COMPUTED_VALUE"""),12.0)</f>
        <v>12</v>
      </c>
      <c r="G1769" s="86">
        <f>IFERROR(__xludf.DUMMYFUNCTION("""COMPUTED_VALUE"""),15.0)</f>
        <v>15</v>
      </c>
      <c r="H1769" s="86">
        <f>IFERROR(__xludf.DUMMYFUNCTION("""COMPUTED_VALUE"""),0.4444444444444444)</f>
        <v>0.4444444444</v>
      </c>
      <c r="I1769" s="86">
        <f>IFERROR(__xludf.DUMMYFUNCTION("""COMPUTED_VALUE"""),0.323943661971831)</f>
        <v>0.323943662</v>
      </c>
      <c r="J1769" s="82">
        <f>IFERROR(__xludf.DUMMYFUNCTION("""COMPUTED_VALUE"""),314.6296296296296)</f>
        <v>314.6296296</v>
      </c>
      <c r="K1769" s="82">
        <f>IFERROR(__xludf.DUMMYFUNCTION("""COMPUTED_VALUE"""),0.8518518518518519)</f>
        <v>0.8518518519</v>
      </c>
      <c r="L1769" s="82">
        <f>IFERROR(__xludf.DUMMYFUNCTION("""COMPUTED_VALUE"""),0.4074074074074074)</f>
        <v>0.4074074074</v>
      </c>
      <c r="M1769" s="82">
        <f>IFERROR(__xludf.DUMMYFUNCTION("""COMPUTED_VALUE"""),1.0)</f>
        <v>1</v>
      </c>
      <c r="N1769" s="82">
        <f>IFERROR(__xludf.DUMMYFUNCTION("""COMPUTED_VALUE"""),2.6296296296296298)</f>
        <v>2.62962963</v>
      </c>
      <c r="O1769" s="82">
        <f>IFERROR(__xludf.DUMMYFUNCTION("""COMPUTED_VALUE"""),333.30864197530866)</f>
        <v>333.308642</v>
      </c>
      <c r="P1769" s="82">
        <f>IFERROR(__xludf.DUMMYFUNCTION("""COMPUTED_VALUE"""),0.7530864197530863)</f>
        <v>0.7530864198</v>
      </c>
      <c r="Q1769" s="82">
        <f>IFERROR(__xludf.DUMMYFUNCTION("""COMPUTED_VALUE"""),0.5308641975308641)</f>
        <v>0.5308641975</v>
      </c>
      <c r="R1769" s="82">
        <f>IFERROR(__xludf.DUMMYFUNCTION("""COMPUTED_VALUE"""),1.3703703703703707)</f>
        <v>1.37037037</v>
      </c>
      <c r="S1769" s="82">
        <f>IFERROR(__xludf.DUMMYFUNCTION("""COMPUTED_VALUE"""),2.333333333333333)</f>
        <v>2.333333333</v>
      </c>
      <c r="T1769" s="82">
        <f>IFERROR(__xludf.DUMMYFUNCTION("""COMPUTED_VALUE"""),347.22700072432417)</f>
        <v>347.2270007</v>
      </c>
      <c r="U1769" s="82">
        <f>IFERROR(__xludf.DUMMYFUNCTION("""COMPUTED_VALUE"""),0.7774170889131801)</f>
        <v>0.7774170889</v>
      </c>
      <c r="V1769" s="82">
        <f>IFERROR(__xludf.DUMMYFUNCTION("""COMPUTED_VALUE"""),0.5648176417014399)</f>
        <v>0.5648176417</v>
      </c>
      <c r="W1769" s="82">
        <f>IFERROR(__xludf.DUMMYFUNCTION("""COMPUTED_VALUE"""),1.3129190061752003)</f>
        <v>1.312919006</v>
      </c>
      <c r="X1769" s="82">
        <f>IFERROR(__xludf.DUMMYFUNCTION("""COMPUTED_VALUE"""),2.517488079116046)</f>
        <v>2.517488079</v>
      </c>
      <c r="Y1769" s="82">
        <f>IFERROR(__xludf.DUMMYFUNCTION("""COMPUTED_VALUE"""),347.12317901030514)</f>
        <v>347.123179</v>
      </c>
      <c r="Z1769" s="82">
        <f>IFERROR(__xludf.DUMMYFUNCTION("""COMPUTED_VALUE"""),0.785382612289851)</f>
        <v>0.7853826123</v>
      </c>
      <c r="AA1769" s="82">
        <f>IFERROR(__xludf.DUMMYFUNCTION("""COMPUTED_VALUE"""),0.5659579738957652)</f>
        <v>0.5659579739</v>
      </c>
      <c r="AB1769" s="82">
        <f>IFERROR(__xludf.DUMMYFUNCTION("""COMPUTED_VALUE"""),1.3062834366460367)</f>
        <v>1.306283437</v>
      </c>
      <c r="AC1769" s="82">
        <f>IFERROR(__xludf.DUMMYFUNCTION("""COMPUTED_VALUE"""),2.5675631940585704)</f>
        <v>2.567563194</v>
      </c>
      <c r="AD1769" s="82">
        <f>IFERROR(__xludf.DUMMYFUNCTION("""COMPUTED_VALUE"""),0.9063918765859457)</f>
        <v>0.9063918766</v>
      </c>
      <c r="AE1769" s="82">
        <f>IFERROR(__xludf.DUMMYFUNCTION("""COMPUTED_VALUE"""),1.0846329400751618)</f>
        <v>1.08463294</v>
      </c>
      <c r="AF1769" s="82">
        <f>IFERROR(__xludf.DUMMYFUNCTION("""COMPUTED_VALUE"""),0.7198545231247883)</f>
        <v>0.7198545231</v>
      </c>
      <c r="AG1769" s="82">
        <f>IFERROR(__xludf.DUMMYFUNCTION("""COMPUTED_VALUE"""),0.7655306436155707)</f>
        <v>0.7655306436</v>
      </c>
      <c r="AH1769" s="82">
        <f>IFERROR(__xludf.DUMMYFUNCTION("""COMPUTED_VALUE"""),1.0241732845036426)</f>
        <v>1.024173285</v>
      </c>
      <c r="AI1769" s="82">
        <f>IFERROR(__xludf.DUMMYFUNCTION("""COMPUTED_VALUE"""),0.959915678446718)</f>
        <v>0.9599156784</v>
      </c>
      <c r="AJ1769" s="82">
        <f>IFERROR(__xludf.DUMMYFUNCTION("""COMPUTED_VALUE"""),0.9687031974122055)</f>
        <v>0.9687031974</v>
      </c>
      <c r="AK1769" s="82">
        <f>IFERROR(__xludf.DUMMYFUNCTION("""COMPUTED_VALUE"""),0.9398860062722272)</f>
        <v>0.9398860063</v>
      </c>
      <c r="AL1769" s="82">
        <f>IFERROR(__xludf.DUMMYFUNCTION("""COMPUTED_VALUE"""),1.043758498372674)</f>
        <v>1.043758498</v>
      </c>
      <c r="AM1769" s="82">
        <f>IFERROR(__xludf.DUMMYFUNCTION("""COMPUTED_VALUE"""),0.9268498042511588)</f>
        <v>0.9268498043</v>
      </c>
      <c r="AN1769" s="82">
        <f>IFERROR(__xludf.DUMMYFUNCTION("""COMPUTED_VALUE"""),0.9282727935881773)</f>
        <v>0.9282727936</v>
      </c>
      <c r="AO1769" s="82">
        <f>IFERROR(__xludf.DUMMYFUNCTION("""COMPUTED_VALUE"""),1.1595181337651703)</f>
        <v>1.159518134</v>
      </c>
      <c r="AP1769" s="82">
        <f>IFERROR(__xludf.DUMMYFUNCTION("""COMPUTED_VALUE"""),0.7274822038080333)</f>
        <v>0.7274822038</v>
      </c>
      <c r="AQ1769" s="82">
        <f>IFERROR(__xludf.DUMMYFUNCTION("""COMPUTED_VALUE"""),0.7631052815998617)</f>
        <v>0.7631052816</v>
      </c>
      <c r="AR1769" s="82">
        <f>IFERROR(__xludf.DUMMYFUNCTION("""COMPUTED_VALUE"""),1.05592960259491)</f>
        <v>1.055929603</v>
      </c>
      <c r="AS1769" s="82">
        <f>IFERROR(__xludf.DUMMYFUNCTION("""COMPUTED_VALUE"""),56.0)</f>
        <v>56</v>
      </c>
      <c r="AT1769" s="82">
        <f>IFERROR(__xludf.DUMMYFUNCTION("""COMPUTED_VALUE"""),0.46747830995931205)</f>
        <v>0.46747831</v>
      </c>
      <c r="AU1769" s="82">
        <f>IFERROR(__xludf.DUMMYFUNCTION("""COMPUTED_VALUE"""),2.038320035731378)</f>
        <v>2.038320036</v>
      </c>
      <c r="AV1769" s="82">
        <f>IFERROR(__xludf.DUMMYFUNCTION("""COMPUTED_VALUE"""),51.4861089514687)</f>
        <v>51.48610895</v>
      </c>
      <c r="AW1769" s="82">
        <f t="shared" si="1"/>
        <v>2.099521116</v>
      </c>
      <c r="AX1769" s="83">
        <f t="array" ref="AX1769">IFERROR(DGET('SBV Import'!A:G,"SBV",{"RSC ID","Tier";B1769,A1769}))</f>
        <v>47.1133369</v>
      </c>
      <c r="AY1769" s="82">
        <f t="shared" si="2"/>
        <v>-2.202460394</v>
      </c>
      <c r="AZ1769" s="82">
        <v>4.3019815102650085</v>
      </c>
      <c r="BA1769" s="84">
        <v>1700.0</v>
      </c>
      <c r="BB1769" s="84" t="b">
        <f>IFERROR(__xludf.DUMMYFUNCTION("iferror(if(A1769="""",,E1769&gt;=FILTER(Constants!$F$2:$F$10,Constants!$A$2:$A$10=A1769)))"),TRUE)</f>
        <v>1</v>
      </c>
    </row>
    <row r="1770">
      <c r="A1770" s="89" t="str">
        <f>IFERROR(__xludf.DUMMYFUNCTION("""COMPUTED_VALUE"""),"Rival")</f>
        <v>Rival</v>
      </c>
      <c r="B1770" s="87" t="str">
        <f>IFERROR(__xludf.DUMMYFUNCTION("""COMPUTED_VALUE"""),"RSC006748")</f>
        <v>RSC006748</v>
      </c>
      <c r="C1770" s="73" t="str">
        <f>IFERROR(__xludf.DUMMYFUNCTION("""COMPUTED_VALUE"""),"Llamaboy101")</f>
        <v>Llamaboy101</v>
      </c>
      <c r="D1770" s="73" t="str">
        <f>IFERROR(__xludf.DUMMYFUNCTION("""COMPUTED_VALUE"""),"Wind")</f>
        <v>Wind</v>
      </c>
      <c r="E1770" s="82">
        <f>IFERROR(__xludf.DUMMYFUNCTION("""COMPUTED_VALUE"""),26.0)</f>
        <v>26</v>
      </c>
      <c r="F1770" s="82">
        <f>IFERROR(__xludf.DUMMYFUNCTION("""COMPUTED_VALUE"""),12.0)</f>
        <v>12</v>
      </c>
      <c r="G1770" s="86">
        <f>IFERROR(__xludf.DUMMYFUNCTION("""COMPUTED_VALUE"""),14.0)</f>
        <v>14</v>
      </c>
      <c r="H1770" s="86">
        <f>IFERROR(__xludf.DUMMYFUNCTION("""COMPUTED_VALUE"""),0.46153846153846156)</f>
        <v>0.4615384615</v>
      </c>
      <c r="I1770" s="86">
        <f>IFERROR(__xludf.DUMMYFUNCTION("""COMPUTED_VALUE"""),0.3518518518518518)</f>
        <v>0.3518518519</v>
      </c>
      <c r="J1770" s="82">
        <f>IFERROR(__xludf.DUMMYFUNCTION("""COMPUTED_VALUE"""),316.7692307692308)</f>
        <v>316.7692308</v>
      </c>
      <c r="K1770" s="82">
        <f>IFERROR(__xludf.DUMMYFUNCTION("""COMPUTED_VALUE"""),0.7307692307692307)</f>
        <v>0.7307692308</v>
      </c>
      <c r="L1770" s="82">
        <f>IFERROR(__xludf.DUMMYFUNCTION("""COMPUTED_VALUE"""),0.8076923076923077)</f>
        <v>0.8076923077</v>
      </c>
      <c r="M1770" s="82">
        <f>IFERROR(__xludf.DUMMYFUNCTION("""COMPUTED_VALUE"""),1.0)</f>
        <v>1</v>
      </c>
      <c r="N1770" s="82">
        <f>IFERROR(__xludf.DUMMYFUNCTION("""COMPUTED_VALUE"""),2.076923076923077)</f>
        <v>2.076923077</v>
      </c>
      <c r="O1770" s="82">
        <f>IFERROR(__xludf.DUMMYFUNCTION("""COMPUTED_VALUE"""),354.6923076923077)</f>
        <v>354.6923077</v>
      </c>
      <c r="P1770" s="82">
        <f>IFERROR(__xludf.DUMMYFUNCTION("""COMPUTED_VALUE"""),0.8076923076923077)</f>
        <v>0.8076923077</v>
      </c>
      <c r="Q1770" s="82">
        <f>IFERROR(__xludf.DUMMYFUNCTION("""COMPUTED_VALUE"""),0.5897435897435898)</f>
        <v>0.5897435897</v>
      </c>
      <c r="R1770" s="82">
        <f>IFERROR(__xludf.DUMMYFUNCTION("""COMPUTED_VALUE"""),1.2948717948717952)</f>
        <v>1.294871795</v>
      </c>
      <c r="S1770" s="82">
        <f>IFERROR(__xludf.DUMMYFUNCTION("""COMPUTED_VALUE"""),2.6666666666666665)</f>
        <v>2.666666667</v>
      </c>
      <c r="T1770" s="82">
        <f>IFERROR(__xludf.DUMMYFUNCTION("""COMPUTED_VALUE"""),348.8116215364958)</f>
        <v>348.8116215</v>
      </c>
      <c r="U1770" s="82">
        <f>IFERROR(__xludf.DUMMYFUNCTION("""COMPUTED_VALUE"""),0.8129944162491126)</f>
        <v>0.8129944162</v>
      </c>
      <c r="V1770" s="82">
        <f>IFERROR(__xludf.DUMMYFUNCTION("""COMPUTED_VALUE"""),0.5414293076392808)</f>
        <v>0.5414293076</v>
      </c>
      <c r="W1770" s="82">
        <f>IFERROR(__xludf.DUMMYFUNCTION("""COMPUTED_VALUE"""),1.3337978107200714)</f>
        <v>1.333797811</v>
      </c>
      <c r="X1770" s="82">
        <f>IFERROR(__xludf.DUMMYFUNCTION("""COMPUTED_VALUE"""),2.6687532563897918)</f>
        <v>2.668753256</v>
      </c>
      <c r="Y1770" s="82">
        <f>IFERROR(__xludf.DUMMYFUNCTION("""COMPUTED_VALUE"""),353.1147001710288)</f>
        <v>353.1147002</v>
      </c>
      <c r="Z1770" s="82">
        <f>IFERROR(__xludf.DUMMYFUNCTION("""COMPUTED_VALUE"""),0.8229083406108598)</f>
        <v>0.8229083406</v>
      </c>
      <c r="AA1770" s="82">
        <f>IFERROR(__xludf.DUMMYFUNCTION("""COMPUTED_VALUE"""),0.5784714938010125)</f>
        <v>0.5784714938</v>
      </c>
      <c r="AB1770" s="82">
        <f>IFERROR(__xludf.DUMMYFUNCTION("""COMPUTED_VALUE"""),1.3643479791052018)</f>
        <v>1.364347979</v>
      </c>
      <c r="AC1770" s="82">
        <f>IFERROR(__xludf.DUMMYFUNCTION("""COMPUTED_VALUE"""),2.6100674570415547)</f>
        <v>2.610067457</v>
      </c>
      <c r="AD1770" s="82">
        <f>IFERROR(__xludf.DUMMYFUNCTION("""COMPUTED_VALUE"""),0.897071774740065)</f>
        <v>0.8970717747</v>
      </c>
      <c r="AE1770" s="82">
        <f>IFERROR(__xludf.DUMMYFUNCTION("""COMPUTED_VALUE"""),0.8880323539153431)</f>
        <v>0.8880323539</v>
      </c>
      <c r="AF1770" s="82">
        <f>IFERROR(__xludf.DUMMYFUNCTION("""COMPUTED_VALUE"""),1.3962525661984384)</f>
        <v>1.396252566</v>
      </c>
      <c r="AG1770" s="82">
        <f>IFERROR(__xludf.DUMMYFUNCTION("""COMPUTED_VALUE"""),0.7329508419515108)</f>
        <v>0.732950842</v>
      </c>
      <c r="AH1770" s="82">
        <f>IFERROR(__xludf.DUMMYFUNCTION("""COMPUTED_VALUE"""),0.7957354019030668)</f>
        <v>0.7957354019</v>
      </c>
      <c r="AI1770" s="82">
        <f>IFERROR(__xludf.DUMMYFUNCTION("""COMPUTED_VALUE"""),1.016859203629477)</f>
        <v>1.016859204</v>
      </c>
      <c r="AJ1770" s="82">
        <f>IFERROR(__xludf.DUMMYFUNCTION("""COMPUTED_VALUE"""),0.9934782964669461)</f>
        <v>0.9934782965</v>
      </c>
      <c r="AK1770" s="82">
        <f>IFERROR(__xludf.DUMMYFUNCTION("""COMPUTED_VALUE"""),1.089234700491126)</f>
        <v>1.0892347</v>
      </c>
      <c r="AL1770" s="82">
        <f>IFERROR(__xludf.DUMMYFUNCTION("""COMPUTED_VALUE"""),0.9708156547151164)</f>
        <v>0.9708156547</v>
      </c>
      <c r="AM1770" s="82">
        <f>IFERROR(__xludf.DUMMYFUNCTION("""COMPUTED_VALUE"""),0.9992181406362205)</f>
        <v>0.9992181406</v>
      </c>
      <c r="AN1770" s="82">
        <f>IFERROR(__xludf.DUMMYFUNCTION("""COMPUTED_VALUE"""),0.9345854016199129)</f>
        <v>0.9345854016</v>
      </c>
      <c r="AO1770" s="82">
        <f>IFERROR(__xludf.DUMMYFUNCTION("""COMPUTED_VALUE"""),0.9947036833135992)</f>
        <v>0.9947036833</v>
      </c>
      <c r="AP1770" s="82">
        <f>IFERROR(__xludf.DUMMYFUNCTION("""COMPUTED_VALUE"""),1.4422461872697725)</f>
        <v>1.442246187</v>
      </c>
      <c r="AQ1770" s="82">
        <f>IFERROR(__xludf.DUMMYFUNCTION("""COMPUTED_VALUE"""),0.7631052815998617)</f>
        <v>0.7631052816</v>
      </c>
      <c r="AR1770" s="82">
        <f>IFERROR(__xludf.DUMMYFUNCTION("""COMPUTED_VALUE"""),0.8339899028078975)</f>
        <v>0.8339899028</v>
      </c>
      <c r="AS1770" s="82">
        <f>IFERROR(__xludf.DUMMYFUNCTION("""COMPUTED_VALUE"""),63.0)</f>
        <v>63</v>
      </c>
      <c r="AT1770" s="82">
        <f>IFERROR(__xludf.DUMMYFUNCTION("""COMPUTED_VALUE"""),0.4999999999999999)</f>
        <v>0.5</v>
      </c>
      <c r="AU1770" s="82">
        <f>IFERROR(__xludf.DUMMYFUNCTION("""COMPUTED_VALUE"""),2.028104475242121)</f>
        <v>2.028104475</v>
      </c>
      <c r="AV1770" s="82">
        <f>IFERROR(__xludf.DUMMYFUNCTION("""COMPUTED_VALUE"""),51.1252537841632)</f>
        <v>51.12525378</v>
      </c>
      <c r="AW1770" s="82">
        <f t="shared" si="1"/>
        <v>2.074475286</v>
      </c>
      <c r="AX1770" s="83">
        <f t="array" ref="AX1770">IFERROR(DGET('SBV Import'!A:G,"SBV",{"RSC ID","Tier";B1770,A1770}))</f>
        <v>41.34169196</v>
      </c>
      <c r="AY1770" s="82">
        <f t="shared" si="2"/>
        <v>-2.743134351</v>
      </c>
      <c r="AZ1770" s="82">
        <v>4.817609636490076</v>
      </c>
      <c r="BA1770" s="84">
        <v>1700.0</v>
      </c>
      <c r="BB1770" s="84" t="b">
        <f>IFERROR(__xludf.DUMMYFUNCTION("iferror(if(A1770="""",,E1770&gt;=FILTER(Constants!$F$2:$F$10,Constants!$A$2:$A$10=A1770)))"),TRUE)</f>
        <v>1</v>
      </c>
    </row>
    <row r="1771">
      <c r="A1771" s="89" t="str">
        <f>IFERROR(__xludf.DUMMYFUNCTION("""COMPUTED_VALUE"""),"Rival")</f>
        <v>Rival</v>
      </c>
      <c r="B1771" s="87" t="str">
        <f>IFERROR(__xludf.DUMMYFUNCTION("""COMPUTED_VALUE"""),"RSC001032")</f>
        <v>RSC001032</v>
      </c>
      <c r="C1771" s="73" t="str">
        <f>IFERROR(__xludf.DUMMYFUNCTION("""COMPUTED_VALUE"""),"JmE")</f>
        <v>JmE</v>
      </c>
      <c r="D1771" s="73" t="str">
        <f>IFERROR(__xludf.DUMMYFUNCTION("""COMPUTED_VALUE"""),"Blizzards")</f>
        <v>Blizzards</v>
      </c>
      <c r="E1771" s="82">
        <f>IFERROR(__xludf.DUMMYFUNCTION("""COMPUTED_VALUE"""),3.0)</f>
        <v>3</v>
      </c>
      <c r="F1771" s="82">
        <f>IFERROR(__xludf.DUMMYFUNCTION("""COMPUTED_VALUE"""),0.0)</f>
        <v>0</v>
      </c>
      <c r="G1771" s="86">
        <f>IFERROR(__xludf.DUMMYFUNCTION("""COMPUTED_VALUE"""),3.0)</f>
        <v>3</v>
      </c>
      <c r="H1771" s="86">
        <f>IFERROR(__xludf.DUMMYFUNCTION("""COMPUTED_VALUE"""),0.0)</f>
        <v>0</v>
      </c>
      <c r="I1771" s="86">
        <f>IFERROR(__xludf.DUMMYFUNCTION("""COMPUTED_VALUE"""),0.1111111111111111)</f>
        <v>0.1111111111</v>
      </c>
      <c r="J1771" s="82">
        <f>IFERROR(__xludf.DUMMYFUNCTION("""COMPUTED_VALUE"""),350.6666666666667)</f>
        <v>350.6666667</v>
      </c>
      <c r="K1771" s="82">
        <f>IFERROR(__xludf.DUMMYFUNCTION("""COMPUTED_VALUE"""),0.3333333333333333)</f>
        <v>0.3333333333</v>
      </c>
      <c r="L1771" s="82">
        <f>IFERROR(__xludf.DUMMYFUNCTION("""COMPUTED_VALUE"""),1.6666666666666667)</f>
        <v>1.666666667</v>
      </c>
      <c r="M1771" s="82">
        <f>IFERROR(__xludf.DUMMYFUNCTION("""COMPUTED_VALUE"""),1.3333333333333333)</f>
        <v>1.333333333</v>
      </c>
      <c r="N1771" s="82">
        <f>IFERROR(__xludf.DUMMYFUNCTION("""COMPUTED_VALUE"""),3.0)</f>
        <v>3</v>
      </c>
      <c r="O1771" s="82">
        <f>IFERROR(__xludf.DUMMYFUNCTION("""COMPUTED_VALUE"""),611.3333333333334)</f>
        <v>611.3333333</v>
      </c>
      <c r="P1771" s="82">
        <f>IFERROR(__xludf.DUMMYFUNCTION("""COMPUTED_VALUE"""),2.2222222222222228)</f>
        <v>2.222222222</v>
      </c>
      <c r="Q1771" s="82">
        <f>IFERROR(__xludf.DUMMYFUNCTION("""COMPUTED_VALUE"""),1.777777777777778)</f>
        <v>1.777777778</v>
      </c>
      <c r="R1771" s="82">
        <f>IFERROR(__xludf.DUMMYFUNCTION("""COMPUTED_VALUE"""),1.6666666666666667)</f>
        <v>1.666666667</v>
      </c>
      <c r="S1771" s="82">
        <f>IFERROR(__xludf.DUMMYFUNCTION("""COMPUTED_VALUE"""),3.0)</f>
        <v>3</v>
      </c>
      <c r="T1771" s="82">
        <f>IFERROR(__xludf.DUMMYFUNCTION("""COMPUTED_VALUE"""),387.0828269270671)</f>
        <v>387.0828269</v>
      </c>
      <c r="U1771" s="82">
        <f>IFERROR(__xludf.DUMMYFUNCTION("""COMPUTED_VALUE"""),0.9696772227409483)</f>
        <v>0.9696772227</v>
      </c>
      <c r="V1771" s="82">
        <f>IFERROR(__xludf.DUMMYFUNCTION("""COMPUTED_VALUE"""),0.6973622782446313)</f>
        <v>0.6973622782</v>
      </c>
      <c r="W1771" s="82">
        <f>IFERROR(__xludf.DUMMYFUNCTION("""COMPUTED_VALUE"""),1.4118029619255108)</f>
        <v>1.411802962</v>
      </c>
      <c r="X1771" s="82">
        <f>IFERROR(__xludf.DUMMYFUNCTION("""COMPUTED_VALUE"""),2.872648874364561)</f>
        <v>2.872648874</v>
      </c>
      <c r="Y1771" s="82">
        <f>IFERROR(__xludf.DUMMYFUNCTION("""COMPUTED_VALUE"""),332.0635564719716)</f>
        <v>332.0635565</v>
      </c>
      <c r="Z1771" s="82">
        <f>IFERROR(__xludf.DUMMYFUNCTION("""COMPUTED_VALUE"""),0.6595432617491439)</f>
        <v>0.6595432617</v>
      </c>
      <c r="AA1771" s="82">
        <f>IFERROR(__xludf.DUMMYFUNCTION("""COMPUTED_VALUE"""),0.5108802780371409)</f>
        <v>0.510880278</v>
      </c>
      <c r="AB1771" s="82">
        <f>IFERROR(__xludf.DUMMYFUNCTION("""COMPUTED_VALUE"""),1.3733980011757787)</f>
        <v>1.373398001</v>
      </c>
      <c r="AC1771" s="82">
        <f>IFERROR(__xludf.DUMMYFUNCTION("""COMPUTED_VALUE"""),2.616434104505999)</f>
        <v>2.616434105</v>
      </c>
      <c r="AD1771" s="82">
        <f>IFERROR(__xludf.DUMMYFUNCTION("""COMPUTED_VALUE"""),1.0560227397199045)</f>
        <v>1.05602274</v>
      </c>
      <c r="AE1771" s="82">
        <f>IFERROR(__xludf.DUMMYFUNCTION("""COMPUTED_VALUE"""),0.5054002560033978)</f>
        <v>0.505400256</v>
      </c>
      <c r="AF1771" s="82">
        <f>IFERROR(__xludf.DUMMYFUNCTION("""COMPUTED_VALUE"""),3.2623429369209287)</f>
        <v>3.262342937</v>
      </c>
      <c r="AG1771" s="82">
        <f>IFERROR(__xludf.DUMMYFUNCTION("""COMPUTED_VALUE"""),0.9708280718275797)</f>
        <v>0.9708280718</v>
      </c>
      <c r="AH1771" s="82">
        <f>IFERROR(__xludf.DUMMYFUNCTION("""COMPUTED_VALUE"""),1.1465987218380267)</f>
        <v>1.146598722</v>
      </c>
      <c r="AI1771" s="82">
        <f>IFERROR(__xludf.DUMMYFUNCTION("""COMPUTED_VALUE"""),1.5793346818987628)</f>
        <v>1.579334682</v>
      </c>
      <c r="AJ1771" s="82">
        <f>IFERROR(__xludf.DUMMYFUNCTION("""COMPUTED_VALUE"""),2.291713335227938)</f>
        <v>2.291713335</v>
      </c>
      <c r="AK1771" s="82">
        <f>IFERROR(__xludf.DUMMYFUNCTION("""COMPUTED_VALUE"""),2.54928870292887)</f>
        <v>2.549288703</v>
      </c>
      <c r="AL1771" s="82">
        <f>IFERROR(__xludf.DUMMYFUNCTION("""COMPUTED_VALUE"""),1.1805235656918838)</f>
        <v>1.180523566</v>
      </c>
      <c r="AM1771" s="82">
        <f>IFERROR(__xludf.DUMMYFUNCTION("""COMPUTED_VALUE"""),1.0443322978913006)</f>
        <v>1.044332298</v>
      </c>
      <c r="AN1771" s="82">
        <f>IFERROR(__xludf.DUMMYFUNCTION("""COMPUTED_VALUE"""),1.0345952689455988)</f>
        <v>1.034595269</v>
      </c>
      <c r="AO1771" s="82">
        <f>IFERROR(__xludf.DUMMYFUNCTION("""COMPUTED_VALUE"""),0.4537244871255014)</f>
        <v>0.4537244871</v>
      </c>
      <c r="AP1771" s="82">
        <f>IFERROR(__xludf.DUMMYFUNCTION("""COMPUTED_VALUE"""),2.9760635610328636)</f>
        <v>2.976063561</v>
      </c>
      <c r="AQ1771" s="82">
        <f>IFERROR(__xludf.DUMMYFUNCTION("""COMPUTED_VALUE"""),1.0174737087998156)</f>
        <v>1.017473709</v>
      </c>
      <c r="AR1771" s="82">
        <f>IFERROR(__xludf.DUMMYFUNCTION("""COMPUTED_VALUE"""),1.2046520818336297)</f>
        <v>1.204652082</v>
      </c>
      <c r="AS1771" s="82">
        <f>IFERROR(__xludf.DUMMYFUNCTION("""COMPUTED_VALUE"""),10.0)</f>
        <v>10</v>
      </c>
      <c r="AT1771" s="82">
        <f>IFERROR(__xludf.DUMMYFUNCTION("""COMPUTED_VALUE"""),0.20714432649570344)</f>
        <v>0.2071443265</v>
      </c>
      <c r="AU1771" s="82">
        <f>IFERROR(__xludf.DUMMYFUNCTION("""COMPUTED_VALUE"""),2.008803480862324)</f>
        <v>2.008803481</v>
      </c>
      <c r="AV1771" s="82">
        <f>IFERROR(__xludf.DUMMYFUNCTION("""COMPUTED_VALUE"""),50.44346411991437)</f>
        <v>50.44346412</v>
      </c>
      <c r="AW1771" s="82">
        <f t="shared" si="1"/>
        <v>2.028711512</v>
      </c>
      <c r="AX1771" s="83">
        <f t="array" ref="AX1771">IFERROR(DGET('SBV Import'!A:G,"SBV",{"RSC ID","Tier";B1771,A1771}))</f>
        <v>53.28476917</v>
      </c>
      <c r="AY1771" s="82">
        <f t="shared" si="2"/>
        <v>2.233473488</v>
      </c>
      <c r="AZ1771" s="82">
        <v>0.2047619762000492</v>
      </c>
      <c r="BA1771" s="84">
        <v>1700.0</v>
      </c>
      <c r="BB1771" s="84" t="b">
        <f>IFERROR(__xludf.DUMMYFUNCTION("iferror(if(A1771="""",,E1771&gt;=FILTER(Constants!$F$2:$F$10,Constants!$A$2:$A$10=A1771)))"),TRUE)</f>
        <v>1</v>
      </c>
    </row>
    <row r="1772">
      <c r="A1772" s="89" t="str">
        <f>IFERROR(__xludf.DUMMYFUNCTION("""COMPUTED_VALUE"""),"Rival")</f>
        <v>Rival</v>
      </c>
      <c r="B1772" s="87" t="str">
        <f>IFERROR(__xludf.DUMMYFUNCTION("""COMPUTED_VALUE"""),"RSC000291")</f>
        <v>RSC000291</v>
      </c>
      <c r="C1772" s="73" t="str">
        <f>IFERROR(__xludf.DUMMYFUNCTION("""COMPUTED_VALUE"""),"Suckiest Sucker")</f>
        <v>Suckiest Sucker</v>
      </c>
      <c r="D1772" s="73" t="str">
        <f>IFERROR(__xludf.DUMMYFUNCTION("""COMPUTED_VALUE"""),"Hue Heroes")</f>
        <v>Hue Heroes</v>
      </c>
      <c r="E1772" s="82">
        <f>IFERROR(__xludf.DUMMYFUNCTION("""COMPUTED_VALUE"""),24.0)</f>
        <v>24</v>
      </c>
      <c r="F1772" s="82">
        <f>IFERROR(__xludf.DUMMYFUNCTION("""COMPUTED_VALUE"""),13.0)</f>
        <v>13</v>
      </c>
      <c r="G1772" s="86">
        <f>IFERROR(__xludf.DUMMYFUNCTION("""COMPUTED_VALUE"""),11.0)</f>
        <v>11</v>
      </c>
      <c r="H1772" s="86">
        <f>IFERROR(__xludf.DUMMYFUNCTION("""COMPUTED_VALUE"""),0.5416666666666666)</f>
        <v>0.5416666667</v>
      </c>
      <c r="I1772" s="86">
        <f>IFERROR(__xludf.DUMMYFUNCTION("""COMPUTED_VALUE"""),0.3148148148148148)</f>
        <v>0.3148148148</v>
      </c>
      <c r="J1772" s="82">
        <f>IFERROR(__xludf.DUMMYFUNCTION("""COMPUTED_VALUE"""),349.9583333333333)</f>
        <v>349.9583333</v>
      </c>
      <c r="K1772" s="82">
        <f>IFERROR(__xludf.DUMMYFUNCTION("""COMPUTED_VALUE"""),0.7083333333333334)</f>
        <v>0.7083333333</v>
      </c>
      <c r="L1772" s="82">
        <f>IFERROR(__xludf.DUMMYFUNCTION("""COMPUTED_VALUE"""),0.75)</f>
        <v>0.75</v>
      </c>
      <c r="M1772" s="82">
        <f>IFERROR(__xludf.DUMMYFUNCTION("""COMPUTED_VALUE"""),1.2916666666666667)</f>
        <v>1.291666667</v>
      </c>
      <c r="N1772" s="82">
        <f>IFERROR(__xludf.DUMMYFUNCTION("""COMPUTED_VALUE"""),2.25)</f>
        <v>2.25</v>
      </c>
      <c r="O1772" s="82">
        <f>IFERROR(__xludf.DUMMYFUNCTION("""COMPUTED_VALUE"""),345.4027777777778)</f>
        <v>345.4027778</v>
      </c>
      <c r="P1772" s="82">
        <f>IFERROR(__xludf.DUMMYFUNCTION("""COMPUTED_VALUE"""),0.7916666666666666)</f>
        <v>0.7916666667</v>
      </c>
      <c r="Q1772" s="82">
        <f>IFERROR(__xludf.DUMMYFUNCTION("""COMPUTED_VALUE"""),0.5416666666666666)</f>
        <v>0.5416666667</v>
      </c>
      <c r="R1772" s="82">
        <f>IFERROR(__xludf.DUMMYFUNCTION("""COMPUTED_VALUE"""),1.222222222222222)</f>
        <v>1.222222222</v>
      </c>
      <c r="S1772" s="82">
        <f>IFERROR(__xludf.DUMMYFUNCTION("""COMPUTED_VALUE"""),2.513888888888889)</f>
        <v>2.513888889</v>
      </c>
      <c r="T1772" s="82">
        <f>IFERROR(__xludf.DUMMYFUNCTION("""COMPUTED_VALUE"""),343.96353170162473)</f>
        <v>343.9635317</v>
      </c>
      <c r="U1772" s="82">
        <f>IFERROR(__xludf.DUMMYFUNCTION("""COMPUTED_VALUE"""),0.7208045801242354)</f>
        <v>0.7208045801</v>
      </c>
      <c r="V1772" s="82">
        <f>IFERROR(__xludf.DUMMYFUNCTION("""COMPUTED_VALUE"""),0.481213960726532)</f>
        <v>0.4812139607</v>
      </c>
      <c r="W1772" s="82">
        <f>IFERROR(__xludf.DUMMYFUNCTION("""COMPUTED_VALUE"""),1.3881580723373892)</f>
        <v>1.388158072</v>
      </c>
      <c r="X1772" s="82">
        <f>IFERROR(__xludf.DUMMYFUNCTION("""COMPUTED_VALUE"""),2.453090126923935)</f>
        <v>2.453090127</v>
      </c>
      <c r="Y1772" s="82">
        <f>IFERROR(__xludf.DUMMYFUNCTION("""COMPUTED_VALUE"""),354.10846748813555)</f>
        <v>354.1084675</v>
      </c>
      <c r="Z1772" s="82">
        <f>IFERROR(__xludf.DUMMYFUNCTION("""COMPUTED_VALUE"""),0.8111115254405367)</f>
        <v>0.8111115254</v>
      </c>
      <c r="AA1772" s="82">
        <f>IFERROR(__xludf.DUMMYFUNCTION("""COMPUTED_VALUE"""),0.6059606676140253)</f>
        <v>0.6059606676</v>
      </c>
      <c r="AB1772" s="82">
        <f>IFERROR(__xludf.DUMMYFUNCTION("""COMPUTED_VALUE"""),1.266207225406308)</f>
        <v>1.266207225</v>
      </c>
      <c r="AC1772" s="82">
        <f>IFERROR(__xludf.DUMMYFUNCTION("""COMPUTED_VALUE"""),2.6634906390823008)</f>
        <v>2.663490639</v>
      </c>
      <c r="AD1772" s="82">
        <f>IFERROR(__xludf.DUMMYFUNCTION("""COMPUTED_VALUE"""),0.9882800482455527)</f>
        <v>0.9882800482</v>
      </c>
      <c r="AE1772" s="82">
        <f>IFERROR(__xludf.DUMMYFUNCTION("""COMPUTED_VALUE"""),0.873287225142829)</f>
        <v>0.8732872251</v>
      </c>
      <c r="AF1772" s="82">
        <f>IFERROR(__xludf.DUMMYFUNCTION("""COMPUTED_VALUE"""),1.237704095470636)</f>
        <v>1.237704095</v>
      </c>
      <c r="AG1772" s="82">
        <f>IFERROR(__xludf.DUMMYFUNCTION("""COMPUTED_VALUE"""),1.0201068519824543)</f>
        <v>1.020106852</v>
      </c>
      <c r="AH1772" s="82">
        <f>IFERROR(__xludf.DUMMYFUNCTION("""COMPUTED_VALUE"""),0.8447561132691768)</f>
        <v>0.8447561133</v>
      </c>
      <c r="AI1772" s="82">
        <f>IFERROR(__xludf.DUMMYFUNCTION("""COMPUTED_VALUE"""),1.0041842984604588)</f>
        <v>1.004184298</v>
      </c>
      <c r="AJ1772" s="82">
        <f>IFERROR(__xludf.DUMMYFUNCTION("""COMPUTED_VALUE"""),1.0983097062593825)</f>
        <v>1.098309706</v>
      </c>
      <c r="AK1772" s="82">
        <f>IFERROR(__xludf.DUMMYFUNCTION("""COMPUTED_VALUE"""),1.1256254200290943)</f>
        <v>1.12562542</v>
      </c>
      <c r="AL1772" s="82">
        <f>IFERROR(__xludf.DUMMYFUNCTION("""COMPUTED_VALUE"""),0.8804632891441799)</f>
        <v>0.8804632891</v>
      </c>
      <c r="AM1772" s="82">
        <f>IFERROR(__xludf.DUMMYFUNCTION("""COMPUTED_VALUE"""),1.024784561030863)</f>
        <v>1.024784561</v>
      </c>
      <c r="AN1772" s="82">
        <f>IFERROR(__xludf.DUMMYFUNCTION("""COMPUTED_VALUE"""),1.032505425840552)</f>
        <v>1.032505426</v>
      </c>
      <c r="AO1772" s="82">
        <f>IFERROR(__xludf.DUMMYFUNCTION("""COMPUTED_VALUE"""),0.9641645351416905)</f>
        <v>0.9641645351</v>
      </c>
      <c r="AP1772" s="82">
        <f>IFERROR(__xludf.DUMMYFUNCTION("""COMPUTED_VALUE"""),1.3392286024647886)</f>
        <v>1.339228602</v>
      </c>
      <c r="AQ1772" s="82">
        <f>IFERROR(__xludf.DUMMYFUNCTION("""COMPUTED_VALUE"""),0.9856776553998213)</f>
        <v>0.9856776554</v>
      </c>
      <c r="AR1772" s="82">
        <f>IFERROR(__xludf.DUMMYFUNCTION("""COMPUTED_VALUE"""),0.9034890613752222)</f>
        <v>0.9034890614</v>
      </c>
      <c r="AS1772" s="82">
        <f>IFERROR(__xludf.DUMMYFUNCTION("""COMPUTED_VALUE"""),65.0)</f>
        <v>65</v>
      </c>
      <c r="AT1772" s="82">
        <f>IFERROR(__xludf.DUMMYFUNCTION("""COMPUTED_VALUE"""),0.5521681030875403)</f>
        <v>0.5521681031</v>
      </c>
      <c r="AU1772" s="82">
        <f>IFERROR(__xludf.DUMMYFUNCTION("""COMPUTED_VALUE"""),2.0073859130798195)</f>
        <v>2.007385913</v>
      </c>
      <c r="AV1772" s="82">
        <f>IFERROR(__xludf.DUMMYFUNCTION("""COMPUTED_VALUE"""),50.39338985723827)</f>
        <v>50.39338986</v>
      </c>
      <c r="AW1772" s="82">
        <f t="shared" si="1"/>
        <v>2.025428587</v>
      </c>
      <c r="AX1772" s="83">
        <f t="array" ref="AX1772">IFERROR(DGET('SBV Import'!A:G,"SBV",{"RSC ID","Tier";B1772,A1772}))</f>
        <v>49.14068379</v>
      </c>
      <c r="AY1772" s="82">
        <f t="shared" si="2"/>
        <v>-2.05638612</v>
      </c>
      <c r="AZ1772" s="82">
        <v>4.081814706725603</v>
      </c>
      <c r="BA1772" s="84">
        <v>1700.0</v>
      </c>
      <c r="BB1772" s="84" t="b">
        <f>IFERROR(__xludf.DUMMYFUNCTION("iferror(if(A1772="""",,E1772&gt;=FILTER(Constants!$F$2:$F$10,Constants!$A$2:$A$10=A1772)))"),TRUE)</f>
        <v>1</v>
      </c>
    </row>
    <row r="1773">
      <c r="A1773" s="89" t="str">
        <f>IFERROR(__xludf.DUMMYFUNCTION("""COMPUTED_VALUE"""),"Rival")</f>
        <v>Rival</v>
      </c>
      <c r="B1773" s="87" t="str">
        <f>IFERROR(__xludf.DUMMYFUNCTION("""COMPUTED_VALUE"""),"RSC007057")</f>
        <v>RSC007057</v>
      </c>
      <c r="C1773" s="73" t="str">
        <f>IFERROR(__xludf.DUMMYFUNCTION("""COMPUTED_VALUE"""),"sinoda_20")</f>
        <v>sinoda_20</v>
      </c>
      <c r="D1773" s="73" t="str">
        <f>IFERROR(__xludf.DUMMYFUNCTION("""COMPUTED_VALUE"""),"Nightfall")</f>
        <v>Nightfall</v>
      </c>
      <c r="E1773" s="82">
        <f>IFERROR(__xludf.DUMMYFUNCTION("""COMPUTED_VALUE"""),32.0)</f>
        <v>32</v>
      </c>
      <c r="F1773" s="82">
        <f>IFERROR(__xludf.DUMMYFUNCTION("""COMPUTED_VALUE"""),15.0)</f>
        <v>15</v>
      </c>
      <c r="G1773" s="86">
        <f>IFERROR(__xludf.DUMMYFUNCTION("""COMPUTED_VALUE"""),17.0)</f>
        <v>17</v>
      </c>
      <c r="H1773" s="86">
        <f>IFERROR(__xludf.DUMMYFUNCTION("""COMPUTED_VALUE"""),0.46875)</f>
        <v>0.46875</v>
      </c>
      <c r="I1773" s="86">
        <f>IFERROR(__xludf.DUMMYFUNCTION("""COMPUTED_VALUE"""),0.2753623188405797)</f>
        <v>0.2753623188</v>
      </c>
      <c r="J1773" s="82">
        <f>IFERROR(__xludf.DUMMYFUNCTION("""COMPUTED_VALUE"""),315.46875)</f>
        <v>315.46875</v>
      </c>
      <c r="K1773" s="82">
        <f>IFERROR(__xludf.DUMMYFUNCTION("""COMPUTED_VALUE"""),0.59375)</f>
        <v>0.59375</v>
      </c>
      <c r="L1773" s="82">
        <f>IFERROR(__xludf.DUMMYFUNCTION("""COMPUTED_VALUE"""),0.75)</f>
        <v>0.75</v>
      </c>
      <c r="M1773" s="82">
        <f>IFERROR(__xludf.DUMMYFUNCTION("""COMPUTED_VALUE"""),0.84375)</f>
        <v>0.84375</v>
      </c>
      <c r="N1773" s="82">
        <f>IFERROR(__xludf.DUMMYFUNCTION("""COMPUTED_VALUE"""),2.15625)</f>
        <v>2.15625</v>
      </c>
      <c r="O1773" s="82">
        <f>IFERROR(__xludf.DUMMYFUNCTION("""COMPUTED_VALUE"""),328.54166666666663)</f>
        <v>328.5416667</v>
      </c>
      <c r="P1773" s="82">
        <f>IFERROR(__xludf.DUMMYFUNCTION("""COMPUTED_VALUE"""),0.6979166666666666)</f>
        <v>0.6979166667</v>
      </c>
      <c r="Q1773" s="82">
        <f>IFERROR(__xludf.DUMMYFUNCTION("""COMPUTED_VALUE"""),0.5104166666666666)</f>
        <v>0.5104166667</v>
      </c>
      <c r="R1773" s="82">
        <f>IFERROR(__xludf.DUMMYFUNCTION("""COMPUTED_VALUE"""),1.3750000000000004)</f>
        <v>1.375</v>
      </c>
      <c r="S1773" s="82">
        <f>IFERROR(__xludf.DUMMYFUNCTION("""COMPUTED_VALUE"""),2.375)</f>
        <v>2.375</v>
      </c>
      <c r="T1773" s="82">
        <f>IFERROR(__xludf.DUMMYFUNCTION("""COMPUTED_VALUE"""),347.049862722995)</f>
        <v>347.0498627</v>
      </c>
      <c r="U1773" s="82">
        <f>IFERROR(__xludf.DUMMYFUNCTION("""COMPUTED_VALUE"""),0.7863385614680758)</f>
        <v>0.7863385615</v>
      </c>
      <c r="V1773" s="82">
        <f>IFERROR(__xludf.DUMMYFUNCTION("""COMPUTED_VALUE"""),0.5509625650520199)</f>
        <v>0.5509625651</v>
      </c>
      <c r="W1773" s="82">
        <f>IFERROR(__xludf.DUMMYFUNCTION("""COMPUTED_VALUE"""),1.3325202268301404)</f>
        <v>1.332520227</v>
      </c>
      <c r="X1773" s="82">
        <f>IFERROR(__xludf.DUMMYFUNCTION("""COMPUTED_VALUE"""),2.54530106292466)</f>
        <v>2.545301063</v>
      </c>
      <c r="Y1773" s="82">
        <f>IFERROR(__xludf.DUMMYFUNCTION("""COMPUTED_VALUE"""),343.1066343284543)</f>
        <v>343.1066343</v>
      </c>
      <c r="Z1773" s="82">
        <f>IFERROR(__xludf.DUMMYFUNCTION("""COMPUTED_VALUE"""),0.7614410420216285)</f>
        <v>0.761441042</v>
      </c>
      <c r="AA1773" s="82">
        <f>IFERROR(__xludf.DUMMYFUNCTION("""COMPUTED_VALUE"""),0.5370977817510222)</f>
        <v>0.5370977818</v>
      </c>
      <c r="AB1773" s="82">
        <f>IFERROR(__xludf.DUMMYFUNCTION("""COMPUTED_VALUE"""),1.30280532992117)</f>
        <v>1.30280533</v>
      </c>
      <c r="AC1773" s="82">
        <f>IFERROR(__xludf.DUMMYFUNCTION("""COMPUTED_VALUE"""),2.5202296559965873)</f>
        <v>2.520229656</v>
      </c>
      <c r="AD1773" s="82">
        <f>IFERROR(__xludf.DUMMYFUNCTION("""COMPUTED_VALUE"""),0.9194481203123672)</f>
        <v>0.9194481203</v>
      </c>
      <c r="AE1773" s="82">
        <f>IFERROR(__xludf.DUMMYFUNCTION("""COMPUTED_VALUE"""),0.7797714691390836)</f>
        <v>0.7797714691</v>
      </c>
      <c r="AF1773" s="82">
        <f>IFERROR(__xludf.DUMMYFUNCTION("""COMPUTED_VALUE"""),1.396393776855461)</f>
        <v>1.396393777</v>
      </c>
      <c r="AG1773" s="82">
        <f>IFERROR(__xludf.DUMMYFUNCTION("""COMPUTED_VALUE"""),0.6476408874156614)</f>
        <v>0.6476408874</v>
      </c>
      <c r="AH1773" s="82">
        <f>IFERROR(__xludf.DUMMYFUNCTION("""COMPUTED_VALUE"""),0.8555767903410941)</f>
        <v>0.8555767903</v>
      </c>
      <c r="AI1773" s="82">
        <f>IFERROR(__xludf.DUMMYFUNCTION("""COMPUTED_VALUE"""),0.9466699225549008)</f>
        <v>0.9466699226</v>
      </c>
      <c r="AJ1773" s="82">
        <f>IFERROR(__xludf.DUMMYFUNCTION("""COMPUTED_VALUE"""),0.8875523862948709)</f>
        <v>0.8875523863</v>
      </c>
      <c r="AK1773" s="82">
        <f>IFERROR(__xludf.DUMMYFUNCTION("""COMPUTED_VALUE"""),0.9264089777469272)</f>
        <v>0.9264089777</v>
      </c>
      <c r="AL1773" s="82">
        <f>IFERROR(__xludf.DUMMYFUNCTION("""COMPUTED_VALUE"""),1.0318792708092042)</f>
        <v>1.031879271</v>
      </c>
      <c r="AM1773" s="82">
        <f>IFERROR(__xludf.DUMMYFUNCTION("""COMPUTED_VALUE"""),0.9330919766603261)</f>
        <v>0.9330919767</v>
      </c>
      <c r="AN1773" s="82">
        <f>IFERROR(__xludf.DUMMYFUNCTION("""COMPUTED_VALUE"""),0.9307485064168685)</f>
        <v>0.9307485064</v>
      </c>
      <c r="AO1773" s="82">
        <f>IFERROR(__xludf.DUMMYFUNCTION("""COMPUTED_VALUE"""),0.8081967426922994)</f>
        <v>0.8081967427</v>
      </c>
      <c r="AP1773" s="82">
        <f>IFERROR(__xludf.DUMMYFUNCTION("""COMPUTED_VALUE"""),1.3392286024647886)</f>
        <v>1.339228602</v>
      </c>
      <c r="AQ1773" s="82">
        <f>IFERROR(__xludf.DUMMYFUNCTION("""COMPUTED_VALUE"""),0.6438700813498833)</f>
        <v>0.6438700813</v>
      </c>
      <c r="AR1773" s="82">
        <f>IFERROR(__xludf.DUMMYFUNCTION("""COMPUTED_VALUE"""),0.8658436838179213)</f>
        <v>0.8658436838</v>
      </c>
      <c r="AS1773" s="82">
        <f>IFERROR(__xludf.DUMMYFUNCTION("""COMPUTED_VALUE"""),64.0)</f>
        <v>64</v>
      </c>
      <c r="AT1773" s="82">
        <f>IFERROR(__xludf.DUMMYFUNCTION("""COMPUTED_VALUE"""),0.48284446727363667)</f>
        <v>0.4828444673</v>
      </c>
      <c r="AU1773" s="82">
        <f>IFERROR(__xludf.DUMMYFUNCTION("""COMPUTED_VALUE"""),2.0046926917912273)</f>
        <v>2.004692692</v>
      </c>
      <c r="AV1773" s="82">
        <f>IFERROR(__xludf.DUMMYFUNCTION("""COMPUTED_VALUE"""),50.29825432162985)</f>
        <v>50.29825432</v>
      </c>
      <c r="AW1773" s="82">
        <f t="shared" si="1"/>
        <v>2.019220302</v>
      </c>
      <c r="AX1773" s="83">
        <f t="array" ref="AX1773">IFERROR(DGET('SBV Import'!A:G,"SBV",{"RSC ID","Tier";B1773,A1773}))</f>
        <v>48.53109882</v>
      </c>
      <c r="AY1773" s="82">
        <f t="shared" si="2"/>
        <v>-2.098313506</v>
      </c>
      <c r="AZ1773" s="82">
        <v>4.117533807278784</v>
      </c>
      <c r="BA1773" s="84">
        <v>1700.0</v>
      </c>
      <c r="BB1773" s="84" t="b">
        <f>IFERROR(__xludf.DUMMYFUNCTION("iferror(if(A1773="""",,E1773&gt;=FILTER(Constants!$F$2:$F$10,Constants!$A$2:$A$10=A1773)))"),TRUE)</f>
        <v>1</v>
      </c>
    </row>
    <row r="1774">
      <c r="A1774" s="89" t="str">
        <f>IFERROR(__xludf.DUMMYFUNCTION("""COMPUTED_VALUE"""),"Rival")</f>
        <v>Rival</v>
      </c>
      <c r="B1774" s="87" t="str">
        <f>IFERROR(__xludf.DUMMYFUNCTION("""COMPUTED_VALUE"""),"RSC006312")</f>
        <v>RSC006312</v>
      </c>
      <c r="C1774" s="73" t="str">
        <f>IFERROR(__xludf.DUMMYFUNCTION("""COMPUTED_VALUE"""),"Cognitixn")</f>
        <v>Cognitixn</v>
      </c>
      <c r="D1774" s="73" t="str">
        <f>IFERROR(__xludf.DUMMYFUNCTION("""COMPUTED_VALUE"""),"Hippos")</f>
        <v>Hippos</v>
      </c>
      <c r="E1774" s="82">
        <f>IFERROR(__xludf.DUMMYFUNCTION("""COMPUTED_VALUE"""),33.0)</f>
        <v>33</v>
      </c>
      <c r="F1774" s="82">
        <f>IFERROR(__xludf.DUMMYFUNCTION("""COMPUTED_VALUE"""),17.0)</f>
        <v>17</v>
      </c>
      <c r="G1774" s="86">
        <f>IFERROR(__xludf.DUMMYFUNCTION("""COMPUTED_VALUE"""),16.0)</f>
        <v>16</v>
      </c>
      <c r="H1774" s="86">
        <f>IFERROR(__xludf.DUMMYFUNCTION("""COMPUTED_VALUE"""),0.5151515151515151)</f>
        <v>0.5151515152</v>
      </c>
      <c r="I1774" s="86">
        <f>IFERROR(__xludf.DUMMYFUNCTION("""COMPUTED_VALUE"""),0.25925925925925924)</f>
        <v>0.2592592593</v>
      </c>
      <c r="J1774" s="82">
        <f>IFERROR(__xludf.DUMMYFUNCTION("""COMPUTED_VALUE"""),335.27272727272725)</f>
        <v>335.2727273</v>
      </c>
      <c r="K1774" s="82">
        <f>IFERROR(__xludf.DUMMYFUNCTION("""COMPUTED_VALUE"""),0.6363636363636364)</f>
        <v>0.6363636364</v>
      </c>
      <c r="L1774" s="82">
        <f>IFERROR(__xludf.DUMMYFUNCTION("""COMPUTED_VALUE"""),0.7575757575757576)</f>
        <v>0.7575757576</v>
      </c>
      <c r="M1774" s="82">
        <f>IFERROR(__xludf.DUMMYFUNCTION("""COMPUTED_VALUE"""),1.4242424242424243)</f>
        <v>1.424242424</v>
      </c>
      <c r="N1774" s="82">
        <f>IFERROR(__xludf.DUMMYFUNCTION("""COMPUTED_VALUE"""),2.4545454545454546)</f>
        <v>2.454545455</v>
      </c>
      <c r="O1774" s="82">
        <f>IFERROR(__xludf.DUMMYFUNCTION("""COMPUTED_VALUE"""),368.53535353535347)</f>
        <v>368.5353535</v>
      </c>
      <c r="P1774" s="82">
        <f>IFERROR(__xludf.DUMMYFUNCTION("""COMPUTED_VALUE"""),0.8888888888888888)</f>
        <v>0.8888888889</v>
      </c>
      <c r="Q1774" s="82">
        <f>IFERROR(__xludf.DUMMYFUNCTION("""COMPUTED_VALUE"""),0.6868686868686867)</f>
        <v>0.6868686869</v>
      </c>
      <c r="R1774" s="82">
        <f>IFERROR(__xludf.DUMMYFUNCTION("""COMPUTED_VALUE"""),1.2929292929292928)</f>
        <v>1.292929293</v>
      </c>
      <c r="S1774" s="82">
        <f>IFERROR(__xludf.DUMMYFUNCTION("""COMPUTED_VALUE"""),2.8484848484848486)</f>
        <v>2.848484848</v>
      </c>
      <c r="T1774" s="82">
        <f>IFERROR(__xludf.DUMMYFUNCTION("""COMPUTED_VALUE"""),342.7741938051384)</f>
        <v>342.7741938</v>
      </c>
      <c r="U1774" s="82">
        <f>IFERROR(__xludf.DUMMYFUNCTION("""COMPUTED_VALUE"""),0.7840057898792298)</f>
        <v>0.7840057899</v>
      </c>
      <c r="V1774" s="82">
        <f>IFERROR(__xludf.DUMMYFUNCTION("""COMPUTED_VALUE"""),0.5983758329212874)</f>
        <v>0.5983758329</v>
      </c>
      <c r="W1774" s="82">
        <f>IFERROR(__xludf.DUMMYFUNCTION("""COMPUTED_VALUE"""),1.2125250497175628)</f>
        <v>1.21252505</v>
      </c>
      <c r="X1774" s="82">
        <f>IFERROR(__xludf.DUMMYFUNCTION("""COMPUTED_VALUE"""),2.5000281180495088)</f>
        <v>2.500028118</v>
      </c>
      <c r="Y1774" s="82">
        <f>IFERROR(__xludf.DUMMYFUNCTION("""COMPUTED_VALUE"""),342.58027073474483)</f>
        <v>342.5802707</v>
      </c>
      <c r="Z1774" s="82">
        <f>IFERROR(__xludf.DUMMYFUNCTION("""COMPUTED_VALUE"""),0.7545166928975602)</f>
        <v>0.7545166929</v>
      </c>
      <c r="AA1774" s="82">
        <f>IFERROR(__xludf.DUMMYFUNCTION("""COMPUTED_VALUE"""),0.5307768591963482)</f>
        <v>0.5307768592</v>
      </c>
      <c r="AB1774" s="82">
        <f>IFERROR(__xludf.DUMMYFUNCTION("""COMPUTED_VALUE"""),1.329404263349599)</f>
        <v>1.329404263</v>
      </c>
      <c r="AC1774" s="82">
        <f>IFERROR(__xludf.DUMMYFUNCTION("""COMPUTED_VALUE"""),2.4141441371506733)</f>
        <v>2.414144137</v>
      </c>
      <c r="AD1774" s="82">
        <f>IFERROR(__xludf.DUMMYFUNCTION("""COMPUTED_VALUE"""),0.9786691059402084)</f>
        <v>0.9786691059</v>
      </c>
      <c r="AE1774" s="82">
        <f>IFERROR(__xludf.DUMMYFUNCTION("""COMPUTED_VALUE"""),0.8434056427828227)</f>
        <v>0.8434056428</v>
      </c>
      <c r="AF1774" s="82">
        <f>IFERROR(__xludf.DUMMYFUNCTION("""COMPUTED_VALUE"""),1.4272961310385812)</f>
        <v>1.427296131</v>
      </c>
      <c r="AG1774" s="82">
        <f>IFERROR(__xludf.DUMMYFUNCTION("""COMPUTED_VALUE"""),1.071338842147135)</f>
        <v>1.071338842</v>
      </c>
      <c r="AH1774" s="82">
        <f>IFERROR(__xludf.DUMMYFUNCTION("""COMPUTED_VALUE"""),1.016735254856185)</f>
        <v>1.016735255</v>
      </c>
      <c r="AI1774" s="82">
        <f>IFERROR(__xludf.DUMMYFUNCTION("""COMPUTED_VALUE"""),1.075154898460238)</f>
        <v>1.075154898</v>
      </c>
      <c r="AJ1774" s="82">
        <f>IFERROR(__xludf.DUMMYFUNCTION("""COMPUTED_VALUE"""),1.133778475061792)</f>
        <v>1.133778475</v>
      </c>
      <c r="AK1774" s="82">
        <f>IFERROR(__xludf.DUMMYFUNCTION("""COMPUTED_VALUE"""),1.1478884157392768)</f>
        <v>1.147888416</v>
      </c>
      <c r="AL1774" s="82">
        <f>IFERROR(__xludf.DUMMYFUNCTION("""COMPUTED_VALUE"""),1.0663114079420122)</f>
        <v>1.066311408</v>
      </c>
      <c r="AM1774" s="82">
        <f>IFERROR(__xludf.DUMMYFUNCTION("""COMPUTED_VALUE"""),1.139381124523992)</f>
        <v>1.139381125</v>
      </c>
      <c r="AN1774" s="82">
        <f>IFERROR(__xludf.DUMMYFUNCTION("""COMPUTED_VALUE"""),0.9891775022134554)</f>
        <v>0.9891775022</v>
      </c>
      <c r="AO1774" s="82">
        <f>IFERROR(__xludf.DUMMYFUNCTION("""COMPUTED_VALUE"""),0.86620129360323)</f>
        <v>0.8662012936</v>
      </c>
      <c r="AP1774" s="82">
        <f>IFERROR(__xludf.DUMMYFUNCTION("""COMPUTED_VALUE"""),1.3527561641058472)</f>
        <v>1.352756164</v>
      </c>
      <c r="AQ1774" s="82">
        <f>IFERROR(__xludf.DUMMYFUNCTION("""COMPUTED_VALUE"""),1.0868469162179848)</f>
        <v>1.086846916</v>
      </c>
      <c r="AR1774" s="82">
        <f>IFERROR(__xludf.DUMMYFUNCTION("""COMPUTED_VALUE"""),0.9856244305911516)</f>
        <v>0.9856244306</v>
      </c>
      <c r="AS1774" s="82">
        <f>IFERROR(__xludf.DUMMYFUNCTION("""COMPUTED_VALUE"""),90.0)</f>
        <v>90</v>
      </c>
      <c r="AT1774" s="82">
        <f>IFERROR(__xludf.DUMMYFUNCTION("""COMPUTED_VALUE"""),0.5091118640364253)</f>
        <v>0.509111864</v>
      </c>
      <c r="AU1774" s="82">
        <f>IFERROR(__xludf.DUMMYFUNCTION("""COMPUTED_VALUE"""),2.0037699706592145)</f>
        <v>2.003769971</v>
      </c>
      <c r="AV1774" s="82">
        <f>IFERROR(__xludf.DUMMYFUNCTION("""COMPUTED_VALUE"""),50.26566005635983)</f>
        <v>50.26566006</v>
      </c>
      <c r="AW1774" s="82">
        <f t="shared" si="1"/>
        <v>2.017101964</v>
      </c>
      <c r="AX1774" s="83">
        <f t="array" ref="AX1774">IFERROR(DGET('SBV Import'!A:G,"SBV",{"RSC ID","Tier";B1774,A1774}))</f>
        <v>40.90054096</v>
      </c>
      <c r="AY1774" s="82">
        <f t="shared" si="2"/>
        <v>-2.793787079</v>
      </c>
      <c r="AZ1774" s="82">
        <v>4.810889043044799</v>
      </c>
      <c r="BA1774" s="84">
        <v>1700.0</v>
      </c>
      <c r="BB1774" s="84" t="b">
        <f>IFERROR(__xludf.DUMMYFUNCTION("iferror(if(A1774="""",,E1774&gt;=FILTER(Constants!$F$2:$F$10,Constants!$A$2:$A$10=A1774)))"),TRUE)</f>
        <v>1</v>
      </c>
    </row>
    <row r="1775">
      <c r="A1775" s="89" t="str">
        <f>IFERROR(__xludf.DUMMYFUNCTION("""COMPUTED_VALUE"""),"Rival")</f>
        <v>Rival</v>
      </c>
      <c r="B1775" s="87" t="str">
        <f>IFERROR(__xludf.DUMMYFUNCTION("""COMPUTED_VALUE"""),"RSC007799")</f>
        <v>RSC007799</v>
      </c>
      <c r="C1775" s="73" t="str">
        <f>IFERROR(__xludf.DUMMYFUNCTION("""COMPUTED_VALUE"""),"DJstriker211")</f>
        <v>DJstriker211</v>
      </c>
      <c r="D1775" s="73" t="str">
        <f>IFERROR(__xludf.DUMMYFUNCTION("""COMPUTED_VALUE"""),"Asiago Arsonists")</f>
        <v>Asiago Arsonists</v>
      </c>
      <c r="E1775" s="82">
        <f>IFERROR(__xludf.DUMMYFUNCTION("""COMPUTED_VALUE"""),26.0)</f>
        <v>26</v>
      </c>
      <c r="F1775" s="82">
        <f>IFERROR(__xludf.DUMMYFUNCTION("""COMPUTED_VALUE"""),14.0)</f>
        <v>14</v>
      </c>
      <c r="G1775" s="86">
        <f>IFERROR(__xludf.DUMMYFUNCTION("""COMPUTED_VALUE"""),12.0)</f>
        <v>12</v>
      </c>
      <c r="H1775" s="86">
        <f>IFERROR(__xludf.DUMMYFUNCTION("""COMPUTED_VALUE"""),0.5384615384615384)</f>
        <v>0.5384615385</v>
      </c>
      <c r="I1775" s="86">
        <f>IFERROR(__xludf.DUMMYFUNCTION("""COMPUTED_VALUE"""),0.31481481481481477)</f>
        <v>0.3148148148</v>
      </c>
      <c r="J1775" s="82">
        <f>IFERROR(__xludf.DUMMYFUNCTION("""COMPUTED_VALUE"""),361.84615384615387)</f>
        <v>361.8461538</v>
      </c>
      <c r="K1775" s="82">
        <f>IFERROR(__xludf.DUMMYFUNCTION("""COMPUTED_VALUE"""),0.6538461538461539)</f>
        <v>0.6538461538</v>
      </c>
      <c r="L1775" s="82">
        <f>IFERROR(__xludf.DUMMYFUNCTION("""COMPUTED_VALUE"""),0.7307692307692307)</f>
        <v>0.7307692308</v>
      </c>
      <c r="M1775" s="82">
        <f>IFERROR(__xludf.DUMMYFUNCTION("""COMPUTED_VALUE"""),1.9230769230769231)</f>
        <v>1.923076923</v>
      </c>
      <c r="N1775" s="82">
        <f>IFERROR(__xludf.DUMMYFUNCTION("""COMPUTED_VALUE"""),2.076923076923077)</f>
        <v>2.076923077</v>
      </c>
      <c r="O1775" s="82">
        <f>IFERROR(__xludf.DUMMYFUNCTION("""COMPUTED_VALUE"""),352.2435897435898)</f>
        <v>352.2435897</v>
      </c>
      <c r="P1775" s="82">
        <f>IFERROR(__xludf.DUMMYFUNCTION("""COMPUTED_VALUE"""),0.7564102564102563)</f>
        <v>0.7564102564</v>
      </c>
      <c r="Q1775" s="82">
        <f>IFERROR(__xludf.DUMMYFUNCTION("""COMPUTED_VALUE"""),0.5384615384615385)</f>
        <v>0.5384615385</v>
      </c>
      <c r="R1775" s="82">
        <f>IFERROR(__xludf.DUMMYFUNCTION("""COMPUTED_VALUE"""),1.4102564102564108)</f>
        <v>1.41025641</v>
      </c>
      <c r="S1775" s="82">
        <f>IFERROR(__xludf.DUMMYFUNCTION("""COMPUTED_VALUE"""),2.705128205128205)</f>
        <v>2.705128205</v>
      </c>
      <c r="T1775" s="82">
        <f>IFERROR(__xludf.DUMMYFUNCTION("""COMPUTED_VALUE"""),348.8855931296444)</f>
        <v>348.8855931</v>
      </c>
      <c r="U1775" s="82">
        <f>IFERROR(__xludf.DUMMYFUNCTION("""COMPUTED_VALUE"""),0.7713436021771956)</f>
        <v>0.7713436022</v>
      </c>
      <c r="V1775" s="82">
        <f>IFERROR(__xludf.DUMMYFUNCTION("""COMPUTED_VALUE"""),0.5584806727096865)</f>
        <v>0.5584806727</v>
      </c>
      <c r="W1775" s="82">
        <f>IFERROR(__xludf.DUMMYFUNCTION("""COMPUTED_VALUE"""),1.3651037669580928)</f>
        <v>1.365103767</v>
      </c>
      <c r="X1775" s="82">
        <f>IFERROR(__xludf.DUMMYFUNCTION("""COMPUTED_VALUE"""),2.691599297509931)</f>
        <v>2.691599298</v>
      </c>
      <c r="Y1775" s="82">
        <f>IFERROR(__xludf.DUMMYFUNCTION("""COMPUTED_VALUE"""),351.88384413842334)</f>
        <v>351.8838441</v>
      </c>
      <c r="Z1775" s="82">
        <f>IFERROR(__xludf.DUMMYFUNCTION("""COMPUTED_VALUE"""),0.8101457856579235)</f>
        <v>0.8101457857</v>
      </c>
      <c r="AA1775" s="82">
        <f>IFERROR(__xludf.DUMMYFUNCTION("""COMPUTED_VALUE"""),0.5867200009982618)</f>
        <v>0.586720001</v>
      </c>
      <c r="AB1775" s="82">
        <f>IFERROR(__xludf.DUMMYFUNCTION("""COMPUTED_VALUE"""),1.329971671501486)</f>
        <v>1.329971672</v>
      </c>
      <c r="AC1775" s="82">
        <f>IFERROR(__xludf.DUMMYFUNCTION("""COMPUTED_VALUE"""),2.629049958143647)</f>
        <v>2.629049958</v>
      </c>
      <c r="AD1775" s="82">
        <f>IFERROR(__xludf.DUMMYFUNCTION("""COMPUTED_VALUE"""),1.0283113586306383)</f>
        <v>1.028311359</v>
      </c>
      <c r="AE1775" s="82">
        <f>IFERROR(__xludf.DUMMYFUNCTION("""COMPUTED_VALUE"""),0.8070722151756453)</f>
        <v>0.8070722152</v>
      </c>
      <c r="AF1775" s="82">
        <f>IFERROR(__xludf.DUMMYFUNCTION("""COMPUTED_VALUE"""),1.2455161397700427)</f>
        <v>1.24551614</v>
      </c>
      <c r="AG1775" s="82">
        <f>IFERROR(__xludf.DUMMYFUNCTION("""COMPUTED_VALUE"""),1.4459532968140927)</f>
        <v>1.445953297</v>
      </c>
      <c r="AH1775" s="82">
        <f>IFERROR(__xludf.DUMMYFUNCTION("""COMPUTED_VALUE"""),0.7899899621495126)</f>
        <v>0.7899899621</v>
      </c>
      <c r="AI1775" s="82">
        <f>IFERROR(__xludf.DUMMYFUNCTION("""COMPUTED_VALUE"""),1.0096249219803626)</f>
        <v>1.009624922</v>
      </c>
      <c r="AJ1775" s="82">
        <f>IFERROR(__xludf.DUMMYFUNCTION("""COMPUTED_VALUE"""),0.9806398267584143)</f>
        <v>0.9806398268</v>
      </c>
      <c r="AK1775" s="82">
        <f>IFERROR(__xludf.DUMMYFUNCTION("""COMPUTED_VALUE"""),0.9641542935568078)</f>
        <v>0.9641542936</v>
      </c>
      <c r="AL1775" s="82">
        <f>IFERROR(__xludf.DUMMYFUNCTION("""COMPUTED_VALUE"""),1.0330763451037375)</f>
        <v>1.033076345</v>
      </c>
      <c r="AM1775" s="82">
        <f>IFERROR(__xludf.DUMMYFUNCTION("""COMPUTED_VALUE"""),1.0050263453519213)</f>
        <v>1.005026345</v>
      </c>
      <c r="AN1775" s="82">
        <f>IFERROR(__xludf.DUMMYFUNCTION("""COMPUTED_VALUE"""),1.0675788560514985)</f>
        <v>1.067578856</v>
      </c>
      <c r="AO1775" s="82">
        <f>IFERROR(__xludf.DUMMYFUNCTION("""COMPUTED_VALUE"""),0.8899980324384835)</f>
        <v>0.8899980324</v>
      </c>
      <c r="AP1775" s="82">
        <f>IFERROR(__xludf.DUMMYFUNCTION("""COMPUTED_VALUE"""),1.304889407529794)</f>
        <v>1.304889408</v>
      </c>
      <c r="AQ1775" s="82">
        <f>IFERROR(__xludf.DUMMYFUNCTION("""COMPUTED_VALUE"""),1.4675101569228108)</f>
        <v>1.467510157</v>
      </c>
      <c r="AR1775" s="82">
        <f>IFERROR(__xludf.DUMMYFUNCTION("""COMPUTED_VALUE"""),0.8339899028078975)</f>
        <v>0.8339899028</v>
      </c>
      <c r="AS1775" s="82">
        <f>IFERROR(__xludf.DUMMYFUNCTION("""COMPUTED_VALUE"""),70.0)</f>
        <v>70</v>
      </c>
      <c r="AT1775" s="82">
        <f>IFERROR(__xludf.DUMMYFUNCTION("""COMPUTED_VALUE"""),0.5672712575361818)</f>
        <v>0.5672712575</v>
      </c>
      <c r="AU1775" s="82">
        <f>IFERROR(__xludf.DUMMYFUNCTION("""COMPUTED_VALUE"""),1.997385929312764)</f>
        <v>1.997385929</v>
      </c>
      <c r="AV1775" s="82">
        <f>IFERROR(__xludf.DUMMYFUNCTION("""COMPUTED_VALUE"""),50.04014973702088)</f>
        <v>50.04014974</v>
      </c>
      <c r="AW1775" s="82">
        <f t="shared" si="1"/>
        <v>2.002566075</v>
      </c>
      <c r="AX1775" s="83">
        <f t="array" ref="AX1775">IFERROR(DGET('SBV Import'!A:G,"SBV",{"RSC ID","Tier";B1775,A1775}))</f>
        <v>44.73198689</v>
      </c>
      <c r="AY1775" s="82">
        <f t="shared" si="2"/>
        <v>-2.400656749</v>
      </c>
      <c r="AZ1775" s="82">
        <v>4.403222824194229</v>
      </c>
      <c r="BA1775" s="84">
        <v>1700.0</v>
      </c>
      <c r="BB1775" s="84" t="b">
        <f>IFERROR(__xludf.DUMMYFUNCTION("iferror(if(A1775="""",,E1775&gt;=FILTER(Constants!$F$2:$F$10,Constants!$A$2:$A$10=A1775)))"),TRUE)</f>
        <v>1</v>
      </c>
    </row>
    <row r="1776">
      <c r="A1776" s="89" t="str">
        <f>IFERROR(__xludf.DUMMYFUNCTION("""COMPUTED_VALUE"""),"Rival")</f>
        <v>Rival</v>
      </c>
      <c r="B1776" s="87" t="str">
        <f>IFERROR(__xludf.DUMMYFUNCTION("""COMPUTED_VALUE"""),"RSC000136")</f>
        <v>RSC000136</v>
      </c>
      <c r="C1776" s="73" t="str">
        <f>IFERROR(__xludf.DUMMYFUNCTION("""COMPUTED_VALUE"""),"Blun")</f>
        <v>Blun</v>
      </c>
      <c r="D1776" s="73" t="str">
        <f>IFERROR(__xludf.DUMMYFUNCTION("""COMPUTED_VALUE"""),"Tyrants")</f>
        <v>Tyrants</v>
      </c>
      <c r="E1776" s="82">
        <f>IFERROR(__xludf.DUMMYFUNCTION("""COMPUTED_VALUE"""),30.0)</f>
        <v>30</v>
      </c>
      <c r="F1776" s="82">
        <f>IFERROR(__xludf.DUMMYFUNCTION("""COMPUTED_VALUE"""),15.0)</f>
        <v>15</v>
      </c>
      <c r="G1776" s="86">
        <f>IFERROR(__xludf.DUMMYFUNCTION("""COMPUTED_VALUE"""),15.0)</f>
        <v>15</v>
      </c>
      <c r="H1776" s="86">
        <f>IFERROR(__xludf.DUMMYFUNCTION("""COMPUTED_VALUE"""),0.5)</f>
        <v>0.5</v>
      </c>
      <c r="I1776" s="86">
        <f>IFERROR(__xludf.DUMMYFUNCTION("""COMPUTED_VALUE"""),0.3037974683544304)</f>
        <v>0.3037974684</v>
      </c>
      <c r="J1776" s="82">
        <f>IFERROR(__xludf.DUMMYFUNCTION("""COMPUTED_VALUE"""),315.93333333333334)</f>
        <v>315.9333333</v>
      </c>
      <c r="K1776" s="82">
        <f>IFERROR(__xludf.DUMMYFUNCTION("""COMPUTED_VALUE"""),0.8)</f>
        <v>0.8</v>
      </c>
      <c r="L1776" s="82">
        <f>IFERROR(__xludf.DUMMYFUNCTION("""COMPUTED_VALUE"""),0.4)</f>
        <v>0.4</v>
      </c>
      <c r="M1776" s="82">
        <f>IFERROR(__xludf.DUMMYFUNCTION("""COMPUTED_VALUE"""),0.9)</f>
        <v>0.9</v>
      </c>
      <c r="N1776" s="82">
        <f>IFERROR(__xludf.DUMMYFUNCTION("""COMPUTED_VALUE"""),2.6333333333333333)</f>
        <v>2.633333333</v>
      </c>
      <c r="O1776" s="82">
        <f>IFERROR(__xludf.DUMMYFUNCTION("""COMPUTED_VALUE"""),330.64444444444445)</f>
        <v>330.6444444</v>
      </c>
      <c r="P1776" s="82">
        <f>IFERROR(__xludf.DUMMYFUNCTION("""COMPUTED_VALUE"""),0.7555555555555556)</f>
        <v>0.7555555556</v>
      </c>
      <c r="Q1776" s="82">
        <f>IFERROR(__xludf.DUMMYFUNCTION("""COMPUTED_VALUE"""),0.5666666666666667)</f>
        <v>0.5666666667</v>
      </c>
      <c r="R1776" s="82">
        <f>IFERROR(__xludf.DUMMYFUNCTION("""COMPUTED_VALUE"""),1.0666666666666664)</f>
        <v>1.066666667</v>
      </c>
      <c r="S1776" s="82">
        <f>IFERROR(__xludf.DUMMYFUNCTION("""COMPUTED_VALUE"""),2.4999999999999996)</f>
        <v>2.5</v>
      </c>
      <c r="T1776" s="82">
        <f>IFERROR(__xludf.DUMMYFUNCTION("""COMPUTED_VALUE"""),350.0359874082904)</f>
        <v>350.0359874</v>
      </c>
      <c r="U1776" s="82">
        <f>IFERROR(__xludf.DUMMYFUNCTION("""COMPUTED_VALUE"""),0.7707279934728464)</f>
        <v>0.7707279935</v>
      </c>
      <c r="V1776" s="82">
        <f>IFERROR(__xludf.DUMMYFUNCTION("""COMPUTED_VALUE"""),0.6000199546957875)</f>
        <v>0.6000199547</v>
      </c>
      <c r="W1776" s="82">
        <f>IFERROR(__xludf.DUMMYFUNCTION("""COMPUTED_VALUE"""),1.3024838176196465)</f>
        <v>1.302483818</v>
      </c>
      <c r="X1776" s="82">
        <f>IFERROR(__xludf.DUMMYFUNCTION("""COMPUTED_VALUE"""),2.6035049795775196)</f>
        <v>2.60350498</v>
      </c>
      <c r="Y1776" s="82">
        <f>IFERROR(__xludf.DUMMYFUNCTION("""COMPUTED_VALUE"""),344.4974429744618)</f>
        <v>344.497443</v>
      </c>
      <c r="Z1776" s="82">
        <f>IFERROR(__xludf.DUMMYFUNCTION("""COMPUTED_VALUE"""),0.7508916443629251)</f>
        <v>0.7508916444</v>
      </c>
      <c r="AA1776" s="82">
        <f>IFERROR(__xludf.DUMMYFUNCTION("""COMPUTED_VALUE"""),0.5574942035245113)</f>
        <v>0.5574942035</v>
      </c>
      <c r="AB1776" s="82">
        <f>IFERROR(__xludf.DUMMYFUNCTION("""COMPUTED_VALUE"""),1.3125887275374548)</f>
        <v>1.312588728</v>
      </c>
      <c r="AC1776" s="82">
        <f>IFERROR(__xludf.DUMMYFUNCTION("""COMPUTED_VALUE"""),2.4791456621715953)</f>
        <v>2.479145662</v>
      </c>
      <c r="AD1776" s="82">
        <f>IFERROR(__xludf.DUMMYFUNCTION("""COMPUTED_VALUE"""),0.9170846976555179)</f>
        <v>0.9170846977</v>
      </c>
      <c r="AE1776" s="82">
        <f>IFERROR(__xludf.DUMMYFUNCTION("""COMPUTED_VALUE"""),1.0654000560610042)</f>
        <v>1.065400056</v>
      </c>
      <c r="AF1776" s="82">
        <f>IFERROR(__xludf.DUMMYFUNCTION("""COMPUTED_VALUE"""),0.7174962492366314)</f>
        <v>0.7174962492</v>
      </c>
      <c r="AG1776" s="82">
        <f>IFERROR(__xludf.DUMMYFUNCTION("""COMPUTED_VALUE"""),0.6856679332363979)</f>
        <v>0.6856679332</v>
      </c>
      <c r="AH1776" s="82">
        <f>IFERROR(__xludf.DUMMYFUNCTION("""COMPUTED_VALUE"""),1.0621938732824106)</f>
        <v>1.062193873</v>
      </c>
      <c r="AI1776" s="82">
        <f>IFERROR(__xludf.DUMMYFUNCTION("""COMPUTED_VALUE"""),0.9446012876920933)</f>
        <v>0.9446012877</v>
      </c>
      <c r="AJ1776" s="82">
        <f>IFERROR(__xludf.DUMMYFUNCTION("""COMPUTED_VALUE"""),0.9803141470845962)</f>
        <v>0.9803141471</v>
      </c>
      <c r="AK1776" s="82">
        <f>IFERROR(__xludf.DUMMYFUNCTION("""COMPUTED_VALUE"""),0.9444130353197485)</f>
        <v>0.9444130353</v>
      </c>
      <c r="AL1776" s="82">
        <f>IFERROR(__xludf.DUMMYFUNCTION("""COMPUTED_VALUE"""),0.8189481145462923)</f>
        <v>0.8189481145</v>
      </c>
      <c r="AM1776" s="82">
        <f>IFERROR(__xludf.DUMMYFUNCTION("""COMPUTED_VALUE"""),0.9602439863225012)</f>
        <v>0.9602439863</v>
      </c>
      <c r="AN1776" s="82">
        <f>IFERROR(__xludf.DUMMYFUNCTION("""COMPUTED_VALUE"""),0.9321191976298846)</f>
        <v>0.9321191976</v>
      </c>
      <c r="AO1776" s="82">
        <f>IFERROR(__xludf.DUMMYFUNCTION("""COMPUTED_VALUE"""),1.0889387691012034)</f>
        <v>1.088938769</v>
      </c>
      <c r="AP1776" s="82">
        <f>IFERROR(__xludf.DUMMYFUNCTION("""COMPUTED_VALUE"""),0.7142552546478873)</f>
        <v>0.7142552546</v>
      </c>
      <c r="AQ1776" s="82">
        <f>IFERROR(__xludf.DUMMYFUNCTION("""COMPUTED_VALUE"""),0.6867947534398755)</f>
        <v>0.6867947534</v>
      </c>
      <c r="AR1776" s="82">
        <f>IFERROR(__xludf.DUMMYFUNCTION("""COMPUTED_VALUE"""),1.0574168273872973)</f>
        <v>1.057416827</v>
      </c>
      <c r="AS1776" s="82">
        <f>IFERROR(__xludf.DUMMYFUNCTION("""COMPUTED_VALUE"""),55.0)</f>
        <v>55</v>
      </c>
      <c r="AT1776" s="82">
        <f>IFERROR(__xludf.DUMMYFUNCTION("""COMPUTED_VALUE"""),0.4211391252632487)</f>
        <v>0.4211391253</v>
      </c>
      <c r="AU1776" s="82">
        <f>IFERROR(__xludf.DUMMYFUNCTION("""COMPUTED_VALUE"""),1.9970830077531967)</f>
        <v>1.997083008</v>
      </c>
      <c r="AV1776" s="82">
        <f>IFERROR(__xludf.DUMMYFUNCTION("""COMPUTED_VALUE"""),50.02944931483915)</f>
        <v>50.02944931</v>
      </c>
      <c r="AW1776" s="82">
        <f t="shared" si="1"/>
        <v>2.00188154</v>
      </c>
      <c r="AX1776" s="83">
        <f t="array" ref="AX1776">IFERROR(DGET('SBV Import'!A:G,"SBV",{"RSC ID","Tier";B1776,A1776}))</f>
        <v>54.16188464</v>
      </c>
      <c r="AY1776" s="82">
        <f t="shared" si="2"/>
        <v>2.304724039</v>
      </c>
      <c r="AZ1776" s="82">
        <v>0.30284249849000755</v>
      </c>
      <c r="BA1776" s="84">
        <v>1700.0</v>
      </c>
      <c r="BB1776" s="84" t="b">
        <f>IFERROR(__xludf.DUMMYFUNCTION("iferror(if(A1776="""",,E1776&gt;=FILTER(Constants!$F$2:$F$10,Constants!$A$2:$A$10=A1776)))"),TRUE)</f>
        <v>1</v>
      </c>
    </row>
    <row r="1777">
      <c r="A1777" s="89" t="str">
        <f>IFERROR(__xludf.DUMMYFUNCTION("""COMPUTED_VALUE"""),"Rival")</f>
        <v>Rival</v>
      </c>
      <c r="B1777" s="87" t="str">
        <f>IFERROR(__xludf.DUMMYFUNCTION("""COMPUTED_VALUE"""),"RSC005832")</f>
        <v>RSC005832</v>
      </c>
      <c r="C1777" s="73" t="str">
        <f>IFERROR(__xludf.DUMMYFUNCTION("""COMPUTED_VALUE"""),"TH4NA70S")</f>
        <v>TH4NA70S</v>
      </c>
      <c r="D1777" s="73" t="str">
        <f>IFERROR(__xludf.DUMMYFUNCTION("""COMPUTED_VALUE"""),"Quasars")</f>
        <v>Quasars</v>
      </c>
      <c r="E1777" s="82">
        <f>IFERROR(__xludf.DUMMYFUNCTION("""COMPUTED_VALUE"""),32.0)</f>
        <v>32</v>
      </c>
      <c r="F1777" s="82">
        <f>IFERROR(__xludf.DUMMYFUNCTION("""COMPUTED_VALUE"""),18.0)</f>
        <v>18</v>
      </c>
      <c r="G1777" s="86">
        <f>IFERROR(__xludf.DUMMYFUNCTION("""COMPUTED_VALUE"""),14.0)</f>
        <v>14</v>
      </c>
      <c r="H1777" s="86">
        <f>IFERROR(__xludf.DUMMYFUNCTION("""COMPUTED_VALUE"""),0.5625)</f>
        <v>0.5625</v>
      </c>
      <c r="I1777" s="86">
        <f>IFERROR(__xludf.DUMMYFUNCTION("""COMPUTED_VALUE"""),0.2087912087912088)</f>
        <v>0.2087912088</v>
      </c>
      <c r="J1777" s="82">
        <f>IFERROR(__xludf.DUMMYFUNCTION("""COMPUTED_VALUE"""),363.46875)</f>
        <v>363.46875</v>
      </c>
      <c r="K1777" s="82">
        <f>IFERROR(__xludf.DUMMYFUNCTION("""COMPUTED_VALUE"""),0.59375)</f>
        <v>0.59375</v>
      </c>
      <c r="L1777" s="82">
        <f>IFERROR(__xludf.DUMMYFUNCTION("""COMPUTED_VALUE"""),0.53125)</f>
        <v>0.53125</v>
      </c>
      <c r="M1777" s="82">
        <f>IFERROR(__xludf.DUMMYFUNCTION("""COMPUTED_VALUE"""),1.65625)</f>
        <v>1.65625</v>
      </c>
      <c r="N1777" s="82">
        <f>IFERROR(__xludf.DUMMYFUNCTION("""COMPUTED_VALUE"""),2.84375)</f>
        <v>2.84375</v>
      </c>
      <c r="O1777" s="82">
        <f>IFERROR(__xludf.DUMMYFUNCTION("""COMPUTED_VALUE"""),355.60416666666674)</f>
        <v>355.6041667</v>
      </c>
      <c r="P1777" s="82">
        <f>IFERROR(__xludf.DUMMYFUNCTION("""COMPUTED_VALUE"""),0.7916666666666665)</f>
        <v>0.7916666667</v>
      </c>
      <c r="Q1777" s="82">
        <f>IFERROR(__xludf.DUMMYFUNCTION("""COMPUTED_VALUE"""),0.6145833333333333)</f>
        <v>0.6145833333</v>
      </c>
      <c r="R1777" s="82">
        <f>IFERROR(__xludf.DUMMYFUNCTION("""COMPUTED_VALUE"""),1.3854166666666665)</f>
        <v>1.385416667</v>
      </c>
      <c r="S1777" s="82">
        <f>IFERROR(__xludf.DUMMYFUNCTION("""COMPUTED_VALUE"""),2.8124999999999996)</f>
        <v>2.8125</v>
      </c>
      <c r="T1777" s="82">
        <f>IFERROR(__xludf.DUMMYFUNCTION("""COMPUTED_VALUE"""),347.93147932556417)</f>
        <v>347.9314793</v>
      </c>
      <c r="U1777" s="82">
        <f>IFERROR(__xludf.DUMMYFUNCTION("""COMPUTED_VALUE"""),0.8177832994707597)</f>
        <v>0.8177832995</v>
      </c>
      <c r="V1777" s="82">
        <f>IFERROR(__xludf.DUMMYFUNCTION("""COMPUTED_VALUE"""),0.6033225393000095)</f>
        <v>0.6033225393</v>
      </c>
      <c r="W1777" s="82">
        <f>IFERROR(__xludf.DUMMYFUNCTION("""COMPUTED_VALUE"""),1.2489985812234108)</f>
        <v>1.248998581</v>
      </c>
      <c r="X1777" s="82">
        <f>IFERROR(__xludf.DUMMYFUNCTION("""COMPUTED_VALUE"""),2.510522692383928)</f>
        <v>2.510522692</v>
      </c>
      <c r="Y1777" s="82">
        <f>IFERROR(__xludf.DUMMYFUNCTION("""COMPUTED_VALUE"""),342.6900643022496)</f>
        <v>342.6900643</v>
      </c>
      <c r="Z1777" s="82">
        <f>IFERROR(__xludf.DUMMYFUNCTION("""COMPUTED_VALUE"""),0.7571473403690212)</f>
        <v>0.7571473404</v>
      </c>
      <c r="AA1777" s="82">
        <f>IFERROR(__xludf.DUMMYFUNCTION("""COMPUTED_VALUE"""),0.5288953567117605)</f>
        <v>0.5288953567</v>
      </c>
      <c r="AB1777" s="82">
        <f>IFERROR(__xludf.DUMMYFUNCTION("""COMPUTED_VALUE"""),1.292261317890016)</f>
        <v>1.292261318</v>
      </c>
      <c r="AC1777" s="82">
        <f>IFERROR(__xludf.DUMMYFUNCTION("""COMPUTED_VALUE"""),2.4931158886640983)</f>
        <v>2.493115889</v>
      </c>
      <c r="AD1777" s="82">
        <f>IFERROR(__xludf.DUMMYFUNCTION("""COMPUTED_VALUE"""),1.060634047678207)</f>
        <v>1.060634048</v>
      </c>
      <c r="AE1777" s="82">
        <f>IFERROR(__xludf.DUMMYFUNCTION("""COMPUTED_VALUE"""),0.7841934698081565)</f>
        <v>0.7841934698</v>
      </c>
      <c r="AF1777" s="82">
        <f>IFERROR(__xludf.DUMMYFUNCTION("""COMPUTED_VALUE"""),1.0044520021935508)</f>
        <v>1.004452002</v>
      </c>
      <c r="AG1777" s="82">
        <f>IFERROR(__xludf.DUMMYFUNCTION("""COMPUTED_VALUE"""),1.281668016422792)</f>
        <v>1.281668016</v>
      </c>
      <c r="AH1777" s="82">
        <f>IFERROR(__xludf.DUMMYFUNCTION("""COMPUTED_VALUE"""),1.1406409196340184)</f>
        <v>1.14064092</v>
      </c>
      <c r="AI1777" s="82">
        <f>IFERROR(__xludf.DUMMYFUNCTION("""COMPUTED_VALUE"""),1.0220522941930275)</f>
        <v>1.022052294</v>
      </c>
      <c r="AJ1777" s="82">
        <f>IFERROR(__xludf.DUMMYFUNCTION("""COMPUTED_VALUE"""),0.9680641157370236)</f>
        <v>0.9680641157</v>
      </c>
      <c r="AK1777" s="82">
        <f>IFERROR(__xludf.DUMMYFUNCTION("""COMPUTED_VALUE"""),1.0186646334254126)</f>
        <v>1.018664633</v>
      </c>
      <c r="AL1777" s="82">
        <f>IFERROR(__xludf.DUMMYFUNCTION("""COMPUTED_VALUE"""),1.1092219698997836)</f>
        <v>1.10922197</v>
      </c>
      <c r="AM1777" s="82">
        <f>IFERROR(__xludf.DUMMYFUNCTION("""COMPUTED_VALUE"""),1.1202846357581902)</f>
        <v>1.120284636</v>
      </c>
      <c r="AN1777" s="82">
        <f>IFERROR(__xludf.DUMMYFUNCTION("""COMPUTED_VALUE"""),1.0723661097706387)</f>
        <v>1.07236611</v>
      </c>
      <c r="AO1777" s="82">
        <f>IFERROR(__xludf.DUMMYFUNCTION("""COMPUTED_VALUE"""),0.8081967426922994)</f>
        <v>0.8081967427</v>
      </c>
      <c r="AP1777" s="82">
        <f>IFERROR(__xludf.DUMMYFUNCTION("""COMPUTED_VALUE"""),0.9486202600792253)</f>
        <v>0.9486202601</v>
      </c>
      <c r="AQ1777" s="82">
        <f>IFERROR(__xludf.DUMMYFUNCTION("""COMPUTED_VALUE"""),1.263893122649771)</f>
        <v>1.263893123</v>
      </c>
      <c r="AR1777" s="82">
        <f>IFERROR(__xludf.DUMMYFUNCTION("""COMPUTED_VALUE"""),1.1419097859047949)</f>
        <v>1.141909786</v>
      </c>
      <c r="AS1777" s="82">
        <f>IFERROR(__xludf.DUMMYFUNCTION("""COMPUTED_VALUE"""),67.0)</f>
        <v>67</v>
      </c>
      <c r="AT1777" s="82">
        <f>IFERROR(__xludf.DUMMYFUNCTION("""COMPUTED_VALUE"""),0.4517275364932239)</f>
        <v>0.4517275365</v>
      </c>
      <c r="AU1777" s="82">
        <f>IFERROR(__xludf.DUMMYFUNCTION("""COMPUTED_VALUE"""),1.9851972761522474)</f>
        <v>1.985197276</v>
      </c>
      <c r="AV1777" s="82">
        <f>IFERROR(__xludf.DUMMYFUNCTION("""COMPUTED_VALUE"""),49.60959690733598)</f>
        <v>49.60959691</v>
      </c>
      <c r="AW1777" s="82">
        <f t="shared" si="1"/>
        <v>-2.025233103</v>
      </c>
      <c r="AX1777" s="83">
        <f t="array" ref="AX1777">IFERROR(DGET('SBV Import'!A:G,"SBV",{"RSC ID","Tier";B1777,A1777}))</f>
        <v>45.76917224</v>
      </c>
      <c r="AY1777" s="82">
        <f t="shared" si="2"/>
        <v>-2.310500578</v>
      </c>
      <c r="AZ1777" s="82">
        <v>0.2852674741381631</v>
      </c>
      <c r="BA1777" s="84">
        <v>1700.0</v>
      </c>
      <c r="BB1777" s="84" t="b">
        <f>IFERROR(__xludf.DUMMYFUNCTION("iferror(if(A1777="""",,E1777&gt;=FILTER(Constants!$F$2:$F$10,Constants!$A$2:$A$10=A1777)))"),TRUE)</f>
        <v>1</v>
      </c>
    </row>
    <row r="1778">
      <c r="A1778" s="89" t="str">
        <f>IFERROR(__xludf.DUMMYFUNCTION("""COMPUTED_VALUE"""),"Rival")</f>
        <v>Rival</v>
      </c>
      <c r="B1778" s="87" t="str">
        <f>IFERROR(__xludf.DUMMYFUNCTION("""COMPUTED_VALUE"""),"RSC007999")</f>
        <v>RSC007999</v>
      </c>
      <c r="C1778" s="73" t="str">
        <f>IFERROR(__xludf.DUMMYFUNCTION("""COMPUTED_VALUE"""),"MerzR")</f>
        <v>MerzR</v>
      </c>
      <c r="D1778" s="73" t="str">
        <f>IFERROR(__xludf.DUMMYFUNCTION("""COMPUTED_VALUE"""),"Ruthless Racket")</f>
        <v>Ruthless Racket</v>
      </c>
      <c r="E1778" s="82">
        <f>IFERROR(__xludf.DUMMYFUNCTION("""COMPUTED_VALUE"""),20.0)</f>
        <v>20</v>
      </c>
      <c r="F1778" s="82">
        <f>IFERROR(__xludf.DUMMYFUNCTION("""COMPUTED_VALUE"""),5.0)</f>
        <v>5</v>
      </c>
      <c r="G1778" s="86">
        <f>IFERROR(__xludf.DUMMYFUNCTION("""COMPUTED_VALUE"""),15.0)</f>
        <v>15</v>
      </c>
      <c r="H1778" s="86">
        <f>IFERROR(__xludf.DUMMYFUNCTION("""COMPUTED_VALUE"""),0.25)</f>
        <v>0.25</v>
      </c>
      <c r="I1778" s="86">
        <f>IFERROR(__xludf.DUMMYFUNCTION("""COMPUTED_VALUE"""),0.38775510204081626)</f>
        <v>0.387755102</v>
      </c>
      <c r="J1778" s="82">
        <f>IFERROR(__xludf.DUMMYFUNCTION("""COMPUTED_VALUE"""),380.85)</f>
        <v>380.85</v>
      </c>
      <c r="K1778" s="82">
        <f>IFERROR(__xludf.DUMMYFUNCTION("""COMPUTED_VALUE"""),0.95)</f>
        <v>0.95</v>
      </c>
      <c r="L1778" s="82">
        <f>IFERROR(__xludf.DUMMYFUNCTION("""COMPUTED_VALUE"""),0.35)</f>
        <v>0.35</v>
      </c>
      <c r="M1778" s="82">
        <f>IFERROR(__xludf.DUMMYFUNCTION("""COMPUTED_VALUE"""),1.75)</f>
        <v>1.75</v>
      </c>
      <c r="N1778" s="82">
        <f>IFERROR(__xludf.DUMMYFUNCTION("""COMPUTED_VALUE"""),2.45)</f>
        <v>2.45</v>
      </c>
      <c r="O1778" s="82">
        <f>IFERROR(__xludf.DUMMYFUNCTION("""COMPUTED_VALUE"""),363.30000000000007)</f>
        <v>363.3</v>
      </c>
      <c r="P1778" s="82">
        <f>IFERROR(__xludf.DUMMYFUNCTION("""COMPUTED_VALUE"""),0.9166666666666666)</f>
        <v>0.9166666667</v>
      </c>
      <c r="Q1778" s="82">
        <f>IFERROR(__xludf.DUMMYFUNCTION("""COMPUTED_VALUE"""),0.7833333333333333)</f>
        <v>0.7833333333</v>
      </c>
      <c r="R1778" s="82">
        <f>IFERROR(__xludf.DUMMYFUNCTION("""COMPUTED_VALUE"""),1.0333333333333337)</f>
        <v>1.033333333</v>
      </c>
      <c r="S1778" s="82">
        <f>IFERROR(__xludf.DUMMYFUNCTION("""COMPUTED_VALUE"""),2.683333333333333)</f>
        <v>2.683333333</v>
      </c>
      <c r="T1778" s="82">
        <f>IFERROR(__xludf.DUMMYFUNCTION("""COMPUTED_VALUE"""),342.3189284304035)</f>
        <v>342.3189284</v>
      </c>
      <c r="U1778" s="82">
        <f>IFERROR(__xludf.DUMMYFUNCTION("""COMPUTED_VALUE"""),0.7960195615837098)</f>
        <v>0.7960195616</v>
      </c>
      <c r="V1778" s="82">
        <f>IFERROR(__xludf.DUMMYFUNCTION("""COMPUTED_VALUE"""),0.5758770788879815)</f>
        <v>0.5758770789</v>
      </c>
      <c r="W1778" s="82">
        <f>IFERROR(__xludf.DUMMYFUNCTION("""COMPUTED_VALUE"""),1.2211551458223622)</f>
        <v>1.221155146</v>
      </c>
      <c r="X1778" s="82">
        <f>IFERROR(__xludf.DUMMYFUNCTION("""COMPUTED_VALUE"""),2.598128420416072)</f>
        <v>2.59812842</v>
      </c>
      <c r="Y1778" s="82">
        <f>IFERROR(__xludf.DUMMYFUNCTION("""COMPUTED_VALUE"""),350.5159903031914)</f>
        <v>350.5159903</v>
      </c>
      <c r="Z1778" s="82">
        <f>IFERROR(__xludf.DUMMYFUNCTION("""COMPUTED_VALUE"""),0.7840561986813677)</f>
        <v>0.7840561987</v>
      </c>
      <c r="AA1778" s="82">
        <f>IFERROR(__xludf.DUMMYFUNCTION("""COMPUTED_VALUE"""),0.5888525776148323)</f>
        <v>0.5888525776</v>
      </c>
      <c r="AB1778" s="82">
        <f>IFERROR(__xludf.DUMMYFUNCTION("""COMPUTED_VALUE"""),1.3144000718483049)</f>
        <v>1.314400072</v>
      </c>
      <c r="AC1778" s="82">
        <f>IFERROR(__xludf.DUMMYFUNCTION("""COMPUTED_VALUE"""),2.4761344528746485)</f>
        <v>2.476134453</v>
      </c>
      <c r="AD1778" s="82">
        <f>IFERROR(__xludf.DUMMYFUNCTION("""COMPUTED_VALUE"""),1.0865410153487438)</f>
        <v>1.086541015</v>
      </c>
      <c r="AE1778" s="82">
        <f>IFERROR(__xludf.DUMMYFUNCTION("""COMPUTED_VALUE"""),1.211647840547295)</f>
        <v>1.211647841</v>
      </c>
      <c r="AF1778" s="82">
        <f>IFERROR(__xludf.DUMMYFUNCTION("""COMPUTED_VALUE"""),0.5943762722712144)</f>
        <v>0.5943762723</v>
      </c>
      <c r="AG1778" s="82">
        <f>IFERROR(__xludf.DUMMYFUNCTION("""COMPUTED_VALUE"""),1.3314058919208336)</f>
        <v>1.331405892</v>
      </c>
      <c r="AH1778" s="82">
        <f>IFERROR(__xludf.DUMMYFUNCTION("""COMPUTED_VALUE"""),0.9894454629294028)</f>
        <v>0.9894454629</v>
      </c>
      <c r="AI1778" s="82">
        <f>IFERROR(__xludf.DUMMYFUNCTION("""COMPUTED_VALUE"""),1.0612910062139966)</f>
        <v>1.061291006</v>
      </c>
      <c r="AJ1778" s="82">
        <f>IFERROR(__xludf.DUMMYFUNCTION("""COMPUTED_VALUE"""),1.1515629902899938)</f>
        <v>1.15156299</v>
      </c>
      <c r="AK1778" s="82">
        <f>IFERROR(__xludf.DUMMYFUNCTION("""COMPUTED_VALUE"""),1.3602439861748794)</f>
        <v>1.360243986</v>
      </c>
      <c r="AL1778" s="82">
        <f>IFERROR(__xludf.DUMMYFUNCTION("""COMPUTED_VALUE"""),0.8461933251220559)</f>
        <v>0.8461933251</v>
      </c>
      <c r="AM1778" s="82">
        <f>IFERROR(__xludf.DUMMYFUNCTION("""COMPUTED_VALUE"""),1.0327947272535574)</f>
        <v>1.032794727</v>
      </c>
      <c r="AN1778" s="82">
        <f>IFERROR(__xludf.DUMMYFUNCTION("""COMPUTED_VALUE"""),1.1236471716100704)</f>
        <v>1.123647172</v>
      </c>
      <c r="AO1778" s="82">
        <f>IFERROR(__xludf.DUMMYFUNCTION("""COMPUTED_VALUE"""),1.293114788307679)</f>
        <v>1.293114788</v>
      </c>
      <c r="AP1778" s="82">
        <f>IFERROR(__xludf.DUMMYFUNCTION("""COMPUTED_VALUE"""),0.6249733478169013)</f>
        <v>0.6249733478</v>
      </c>
      <c r="AQ1778" s="82">
        <f>IFERROR(__xludf.DUMMYFUNCTION("""COMPUTED_VALUE"""),1.3354342427997579)</f>
        <v>1.335434243</v>
      </c>
      <c r="AR1778" s="82">
        <f>IFERROR(__xludf.DUMMYFUNCTION("""COMPUTED_VALUE"""),0.983799200164131)</f>
        <v>0.9837992002</v>
      </c>
      <c r="AS1778" s="82">
        <f>IFERROR(__xludf.DUMMYFUNCTION("""COMPUTED_VALUE"""),40.0)</f>
        <v>40</v>
      </c>
      <c r="AT1778" s="82">
        <f>IFERROR(__xludf.DUMMYFUNCTION("""COMPUTED_VALUE"""),0.37800322450909896)</f>
        <v>0.3780032245</v>
      </c>
      <c r="AU1778" s="82">
        <f>IFERROR(__xludf.DUMMYFUNCTION("""COMPUTED_VALUE"""),1.969604121110043)</f>
        <v>1.969604121</v>
      </c>
      <c r="AV1778" s="82">
        <f>IFERROR(__xludf.DUMMYFUNCTION("""COMPUTED_VALUE"""),49.05878321703551)</f>
        <v>49.05878322</v>
      </c>
      <c r="AW1778" s="82">
        <f t="shared" si="1"/>
        <v>-2.061924115</v>
      </c>
      <c r="AX1778" s="83">
        <f t="array" ref="AX1778">IFERROR(DGET('SBV Import'!A:G,"SBV",{"RSC ID","Tier";B1778,A1778}))</f>
        <v>58.48949244</v>
      </c>
      <c r="AY1778" s="82">
        <f t="shared" si="2"/>
        <v>2.724153314</v>
      </c>
      <c r="AZ1778" s="82">
        <v>4.7860774285693015</v>
      </c>
      <c r="BA1778" s="84">
        <v>1700.0</v>
      </c>
      <c r="BB1778" s="84" t="b">
        <f>IFERROR(__xludf.DUMMYFUNCTION("iferror(if(A1778="""",,E1778&gt;=FILTER(Constants!$F$2:$F$10,Constants!$A$2:$A$10=A1778)))"),TRUE)</f>
        <v>1</v>
      </c>
    </row>
    <row r="1779">
      <c r="A1779" s="89" t="str">
        <f>IFERROR(__xludf.DUMMYFUNCTION("""COMPUTED_VALUE"""),"Rival")</f>
        <v>Rival</v>
      </c>
      <c r="B1779" s="87" t="str">
        <f>IFERROR(__xludf.DUMMYFUNCTION("""COMPUTED_VALUE"""),"RSC006209")</f>
        <v>RSC006209</v>
      </c>
      <c r="C1779" s="73" t="str">
        <f>IFERROR(__xludf.DUMMYFUNCTION("""COMPUTED_VALUE"""),"Celiscy")</f>
        <v>Celiscy</v>
      </c>
      <c r="D1779" s="73" t="str">
        <f>IFERROR(__xludf.DUMMYFUNCTION("""COMPUTED_VALUE"""),"Jetstream")</f>
        <v>Jetstream</v>
      </c>
      <c r="E1779" s="82">
        <f>IFERROR(__xludf.DUMMYFUNCTION("""COMPUTED_VALUE"""),35.0)</f>
        <v>35</v>
      </c>
      <c r="F1779" s="82">
        <f>IFERROR(__xludf.DUMMYFUNCTION("""COMPUTED_VALUE"""),14.0)</f>
        <v>14</v>
      </c>
      <c r="G1779" s="86">
        <f>IFERROR(__xludf.DUMMYFUNCTION("""COMPUTED_VALUE"""),21.0)</f>
        <v>21</v>
      </c>
      <c r="H1779" s="86">
        <f>IFERROR(__xludf.DUMMYFUNCTION("""COMPUTED_VALUE"""),0.4)</f>
        <v>0.4</v>
      </c>
      <c r="I1779" s="86">
        <f>IFERROR(__xludf.DUMMYFUNCTION("""COMPUTED_VALUE"""),0.2638888888888889)</f>
        <v>0.2638888889</v>
      </c>
      <c r="J1779" s="82">
        <f>IFERROR(__xludf.DUMMYFUNCTION("""COMPUTED_VALUE"""),325.0571428571429)</f>
        <v>325.0571429</v>
      </c>
      <c r="K1779" s="82">
        <f>IFERROR(__xludf.DUMMYFUNCTION("""COMPUTED_VALUE"""),0.5428571428571428)</f>
        <v>0.5428571429</v>
      </c>
      <c r="L1779" s="82">
        <f>IFERROR(__xludf.DUMMYFUNCTION("""COMPUTED_VALUE"""),0.8571428571428571)</f>
        <v>0.8571428571</v>
      </c>
      <c r="M1779" s="82">
        <f>IFERROR(__xludf.DUMMYFUNCTION("""COMPUTED_VALUE"""),1.3142857142857143)</f>
        <v>1.314285714</v>
      </c>
      <c r="N1779" s="82">
        <f>IFERROR(__xludf.DUMMYFUNCTION("""COMPUTED_VALUE"""),2.057142857142857)</f>
        <v>2.057142857</v>
      </c>
      <c r="O1779" s="82">
        <f>IFERROR(__xludf.DUMMYFUNCTION("""COMPUTED_VALUE"""),337.2952380952381)</f>
        <v>337.2952381</v>
      </c>
      <c r="P1779" s="82">
        <f>IFERROR(__xludf.DUMMYFUNCTION("""COMPUTED_VALUE"""),0.7142857142857143)</f>
        <v>0.7142857143</v>
      </c>
      <c r="Q1779" s="82">
        <f>IFERROR(__xludf.DUMMYFUNCTION("""COMPUTED_VALUE"""),0.5333333333333333)</f>
        <v>0.5333333333</v>
      </c>
      <c r="R1779" s="82">
        <f>IFERROR(__xludf.DUMMYFUNCTION("""COMPUTED_VALUE"""),1.2095238095238092)</f>
        <v>1.20952381</v>
      </c>
      <c r="S1779" s="82">
        <f>IFERROR(__xludf.DUMMYFUNCTION("""COMPUTED_VALUE"""),2.6000000000000005)</f>
        <v>2.6</v>
      </c>
      <c r="T1779" s="82">
        <f>IFERROR(__xludf.DUMMYFUNCTION("""COMPUTED_VALUE"""),351.15167152132483)</f>
        <v>351.1516715</v>
      </c>
      <c r="U1779" s="82">
        <f>IFERROR(__xludf.DUMMYFUNCTION("""COMPUTED_VALUE"""),0.7996441156139609)</f>
        <v>0.7996441156</v>
      </c>
      <c r="V1779" s="82">
        <f>IFERROR(__xludf.DUMMYFUNCTION("""COMPUTED_VALUE"""),0.552523263862754)</f>
        <v>0.5525232639</v>
      </c>
      <c r="W1779" s="82">
        <f>IFERROR(__xludf.DUMMYFUNCTION("""COMPUTED_VALUE"""),1.307278496857161)</f>
        <v>1.307278497</v>
      </c>
      <c r="X1779" s="82">
        <f>IFERROR(__xludf.DUMMYFUNCTION("""COMPUTED_VALUE"""),2.625853277922944)</f>
        <v>2.625853278</v>
      </c>
      <c r="Y1779" s="82">
        <f>IFERROR(__xludf.DUMMYFUNCTION("""COMPUTED_VALUE"""),346.69792434382873)</f>
        <v>346.6979243</v>
      </c>
      <c r="Z1779" s="82">
        <f>IFERROR(__xludf.DUMMYFUNCTION("""COMPUTED_VALUE"""),0.7893377242151323)</f>
        <v>0.7893377242</v>
      </c>
      <c r="AA1779" s="82">
        <f>IFERROR(__xludf.DUMMYFUNCTION("""COMPUTED_VALUE"""),0.5764682466219812)</f>
        <v>0.5764682466</v>
      </c>
      <c r="AB1779" s="82">
        <f>IFERROR(__xludf.DUMMYFUNCTION("""COMPUTED_VALUE"""),1.3006806982197627)</f>
        <v>1.300680698</v>
      </c>
      <c r="AC1779" s="82">
        <f>IFERROR(__xludf.DUMMYFUNCTION("""COMPUTED_VALUE"""),2.631508278720495)</f>
        <v>2.631508279</v>
      </c>
      <c r="AD1779" s="82">
        <f>IFERROR(__xludf.DUMMYFUNCTION("""COMPUTED_VALUE"""),0.9375802969468483)</f>
        <v>0.9375802969</v>
      </c>
      <c r="AE1779" s="82">
        <f>IFERROR(__xludf.DUMMYFUNCTION("""COMPUTED_VALUE"""),0.6877374870140988)</f>
        <v>0.687737487</v>
      </c>
      <c r="AF1779" s="82">
        <f>IFERROR(__xludf.DUMMYFUNCTION("""COMPUTED_VALUE"""),1.48688650617894)</f>
        <v>1.486886506</v>
      </c>
      <c r="AG1779" s="82">
        <f>IFERROR(__xludf.DUMMYFUNCTION("""COMPUTED_VALUE"""),1.0104599200130921)</f>
        <v>1.01045992</v>
      </c>
      <c r="AH1779" s="82">
        <f>IFERROR(__xludf.DUMMYFUNCTION("""COMPUTED_VALUE"""),0.7817352785008495)</f>
        <v>0.7817352785</v>
      </c>
      <c r="AI1779" s="82">
        <f>IFERROR(__xludf.DUMMYFUNCTION("""COMPUTED_VALUE"""),0.9605400328409224)</f>
        <v>0.9605400328</v>
      </c>
      <c r="AJ1779" s="82">
        <f>IFERROR(__xludf.DUMMYFUNCTION("""COMPUTED_VALUE"""),0.8932545120241283)</f>
        <v>0.893254512</v>
      </c>
      <c r="AK1779" s="82">
        <f>IFERROR(__xludf.DUMMYFUNCTION("""COMPUTED_VALUE"""),0.9652685564852752)</f>
        <v>0.9652685565</v>
      </c>
      <c r="AL1779" s="82">
        <f>IFERROR(__xludf.DUMMYFUNCTION("""COMPUTED_VALUE"""),0.9252227527888169)</f>
        <v>0.9252227528</v>
      </c>
      <c r="AM1779" s="82">
        <f>IFERROR(__xludf.DUMMYFUNCTION("""COMPUTED_VALUE"""),0.9901543326352973)</f>
        <v>0.9901543326</v>
      </c>
      <c r="AN1779" s="82">
        <f>IFERROR(__xludf.DUMMYFUNCTION("""COMPUTED_VALUE"""),0.9590377817594307)</f>
        <v>0.9590377818</v>
      </c>
      <c r="AO1779" s="82">
        <f>IFERROR(__xludf.DUMMYFUNCTION("""COMPUTED_VALUE"""),0.7389227361758165)</f>
        <v>0.7389227362</v>
      </c>
      <c r="AP1779" s="82">
        <f>IFERROR(__xludf.DUMMYFUNCTION("""COMPUTED_VALUE"""),1.5305469742454727)</f>
        <v>1.530546974</v>
      </c>
      <c r="AQ1779" s="82">
        <f>IFERROR(__xludf.DUMMYFUNCTION("""COMPUTED_VALUE"""),1.0029383701026753)</f>
        <v>1.00293837</v>
      </c>
      <c r="AR1779" s="82">
        <f>IFERROR(__xludf.DUMMYFUNCTION("""COMPUTED_VALUE"""),0.8260471418287746)</f>
        <v>0.8260471418</v>
      </c>
      <c r="AS1779" s="82">
        <f>IFERROR(__xludf.DUMMYFUNCTION("""COMPUTED_VALUE"""),84.0)</f>
        <v>84</v>
      </c>
      <c r="AT1779" s="82">
        <f>IFERROR(__xludf.DUMMYFUNCTION("""COMPUTED_VALUE"""),0.5436342135672866)</f>
        <v>0.5436342136</v>
      </c>
      <c r="AU1779" s="82">
        <f>IFERROR(__xludf.DUMMYFUNCTION("""COMPUTED_VALUE"""),1.9629809879833995)</f>
        <v>1.962980988</v>
      </c>
      <c r="AV1779" s="82">
        <f>IFERROR(__xludf.DUMMYFUNCTION("""COMPUTED_VALUE"""),48.82482720306888)</f>
        <v>48.8248272</v>
      </c>
      <c r="AW1779" s="82">
        <f t="shared" si="1"/>
        <v>-2.077905414</v>
      </c>
      <c r="AX1779" s="83">
        <f t="array" ref="AX1779">IFERROR(DGET('SBV Import'!A:G,"SBV",{"RSC ID","Tier";B1779,A1779}))</f>
        <v>44.2736609</v>
      </c>
      <c r="AY1779" s="82">
        <f t="shared" si="2"/>
        <v>-2.442517534</v>
      </c>
      <c r="AZ1779" s="82">
        <v>0.3646121196508796</v>
      </c>
      <c r="BA1779" s="84">
        <v>1700.0</v>
      </c>
      <c r="BB1779" s="84" t="b">
        <f>IFERROR(__xludf.DUMMYFUNCTION("iferror(if(A1779="""",,E1779&gt;=FILTER(Constants!$F$2:$F$10,Constants!$A$2:$A$10=A1779)))"),TRUE)</f>
        <v>1</v>
      </c>
    </row>
    <row r="1780">
      <c r="A1780" s="89" t="str">
        <f>IFERROR(__xludf.DUMMYFUNCTION("""COMPUTED_VALUE"""),"Rival")</f>
        <v>Rival</v>
      </c>
      <c r="B1780" s="87" t="str">
        <f>IFERROR(__xludf.DUMMYFUNCTION("""COMPUTED_VALUE"""),"RSC004639")</f>
        <v>RSC004639</v>
      </c>
      <c r="C1780" s="73" t="str">
        <f>IFERROR(__xludf.DUMMYFUNCTION("""COMPUTED_VALUE"""),"Tydizzle")</f>
        <v>Tydizzle</v>
      </c>
      <c r="D1780" s="73" t="str">
        <f>IFERROR(__xludf.DUMMYFUNCTION("""COMPUTED_VALUE"""),"Blizzards")</f>
        <v>Blizzards</v>
      </c>
      <c r="E1780" s="82">
        <f>IFERROR(__xludf.DUMMYFUNCTION("""COMPUTED_VALUE"""),36.0)</f>
        <v>36</v>
      </c>
      <c r="F1780" s="82">
        <f>IFERROR(__xludf.DUMMYFUNCTION("""COMPUTED_VALUE"""),15.0)</f>
        <v>15</v>
      </c>
      <c r="G1780" s="86">
        <f>IFERROR(__xludf.DUMMYFUNCTION("""COMPUTED_VALUE"""),21.0)</f>
        <v>21</v>
      </c>
      <c r="H1780" s="86">
        <f>IFERROR(__xludf.DUMMYFUNCTION("""COMPUTED_VALUE"""),0.4166666666666667)</f>
        <v>0.4166666667</v>
      </c>
      <c r="I1780" s="86">
        <f>IFERROR(__xludf.DUMMYFUNCTION("""COMPUTED_VALUE"""),0.3023255813953488)</f>
        <v>0.3023255814</v>
      </c>
      <c r="J1780" s="82">
        <f>IFERROR(__xludf.DUMMYFUNCTION("""COMPUTED_VALUE"""),341.19444444444446)</f>
        <v>341.1944444</v>
      </c>
      <c r="K1780" s="82">
        <f>IFERROR(__xludf.DUMMYFUNCTION("""COMPUTED_VALUE"""),0.7222222222222222)</f>
        <v>0.7222222222</v>
      </c>
      <c r="L1780" s="82">
        <f>IFERROR(__xludf.DUMMYFUNCTION("""COMPUTED_VALUE"""),0.6111111111111112)</f>
        <v>0.6111111111</v>
      </c>
      <c r="M1780" s="82">
        <f>IFERROR(__xludf.DUMMYFUNCTION("""COMPUTED_VALUE"""),1.2222222222222223)</f>
        <v>1.222222222</v>
      </c>
      <c r="N1780" s="82">
        <f>IFERROR(__xludf.DUMMYFUNCTION("""COMPUTED_VALUE"""),2.388888888888889)</f>
        <v>2.388888889</v>
      </c>
      <c r="O1780" s="82">
        <f>IFERROR(__xludf.DUMMYFUNCTION("""COMPUTED_VALUE"""),382.7314814814815)</f>
        <v>382.7314815</v>
      </c>
      <c r="P1780" s="82">
        <f>IFERROR(__xludf.DUMMYFUNCTION("""COMPUTED_VALUE"""),0.9722222222222222)</f>
        <v>0.9722222222</v>
      </c>
      <c r="Q1780" s="82">
        <f>IFERROR(__xludf.DUMMYFUNCTION("""COMPUTED_VALUE"""),0.6574074074074074)</f>
        <v>0.6574074074</v>
      </c>
      <c r="R1780" s="82">
        <f>IFERROR(__xludf.DUMMYFUNCTION("""COMPUTED_VALUE"""),1.416666666666667)</f>
        <v>1.416666667</v>
      </c>
      <c r="S1780" s="82">
        <f>IFERROR(__xludf.DUMMYFUNCTION("""COMPUTED_VALUE"""),2.6388888888888897)</f>
        <v>2.638888889</v>
      </c>
      <c r="T1780" s="82">
        <f>IFERROR(__xludf.DUMMYFUNCTION("""COMPUTED_VALUE"""),357.1022378299606)</f>
        <v>357.1022378</v>
      </c>
      <c r="U1780" s="82">
        <f>IFERROR(__xludf.DUMMYFUNCTION("""COMPUTED_VALUE"""),0.8214073705199466)</f>
        <v>0.8214073705</v>
      </c>
      <c r="V1780" s="82">
        <f>IFERROR(__xludf.DUMMYFUNCTION("""COMPUTED_VALUE"""),0.6101222314922446)</f>
        <v>0.6101222315</v>
      </c>
      <c r="W1780" s="82">
        <f>IFERROR(__xludf.DUMMYFUNCTION("""COMPUTED_VALUE"""),1.3951781663002645)</f>
        <v>1.395178166</v>
      </c>
      <c r="X1780" s="82">
        <f>IFERROR(__xludf.DUMMYFUNCTION("""COMPUTED_VALUE"""),2.632376840056579)</f>
        <v>2.63237684</v>
      </c>
      <c r="Y1780" s="82">
        <f>IFERROR(__xludf.DUMMYFUNCTION("""COMPUTED_VALUE"""),342.29540011803465)</f>
        <v>342.2954001</v>
      </c>
      <c r="Z1780" s="82">
        <f>IFERROR(__xludf.DUMMYFUNCTION("""COMPUTED_VALUE"""),0.7534146984014574)</f>
        <v>0.7534146984</v>
      </c>
      <c r="AA1780" s="82">
        <f>IFERROR(__xludf.DUMMYFUNCTION("""COMPUTED_VALUE"""),0.5611718833279009)</f>
        <v>0.5611718833</v>
      </c>
      <c r="AB1780" s="82">
        <f>IFERROR(__xludf.DUMMYFUNCTION("""COMPUTED_VALUE"""),1.3160905408792485)</f>
        <v>1.316090541</v>
      </c>
      <c r="AC1780" s="82">
        <f>IFERROR(__xludf.DUMMYFUNCTION("""COMPUTED_VALUE"""),2.6103298880499115)</f>
        <v>2.610329888</v>
      </c>
      <c r="AD1780" s="82">
        <f>IFERROR(__xludf.DUMMYFUNCTION("""COMPUTED_VALUE"""),0.9967836094986653)</f>
        <v>0.9967836095</v>
      </c>
      <c r="AE1780" s="82">
        <f>IFERROR(__xludf.DUMMYFUNCTION("""COMPUTED_VALUE"""),0.9585985298064702)</f>
        <v>0.9585985298</v>
      </c>
      <c r="AF1780" s="82">
        <f>IFERROR(__xludf.DUMMYFUNCTION("""COMPUTED_VALUE"""),1.0889909656325922)</f>
        <v>1.088990966</v>
      </c>
      <c r="AG1780" s="82">
        <f>IFERROR(__xludf.DUMMYFUNCTION("""COMPUTED_VALUE"""),0.9286763974503495)</f>
        <v>0.9286763975</v>
      </c>
      <c r="AH1780" s="82">
        <f>IFERROR(__xludf.DUMMYFUNCTION("""COMPUTED_VALUE"""),0.9151674276210148)</f>
        <v>0.9151674276</v>
      </c>
      <c r="AI1780" s="82">
        <f>IFERROR(__xludf.DUMMYFUNCTION("""COMPUTED_VALUE"""),1.0717700449240104)</f>
        <v>1.071770045</v>
      </c>
      <c r="AJ1780" s="82">
        <f>IFERROR(__xludf.DUMMYFUNCTION("""COMPUTED_VALUE"""),1.1836054278485602)</f>
        <v>1.183605428</v>
      </c>
      <c r="AK1780" s="82">
        <f>IFERROR(__xludf.DUMMYFUNCTION("""COMPUTED_VALUE"""),1.0775011521863613)</f>
        <v>1.077501152</v>
      </c>
      <c r="AL1780" s="82">
        <f>IFERROR(__xludf.DUMMYFUNCTION("""COMPUTED_VALUE"""),1.0154019758088573)</f>
        <v>1.015401976</v>
      </c>
      <c r="AM1780" s="82">
        <f>IFERROR(__xludf.DUMMYFUNCTION("""COMPUTED_VALUE"""),1.002473828493405)</f>
        <v>1.002473828</v>
      </c>
      <c r="AN1780" s="82">
        <f>IFERROR(__xludf.DUMMYFUNCTION("""COMPUTED_VALUE"""),1.006648739580069)</f>
        <v>1.00664874</v>
      </c>
      <c r="AO1780" s="82">
        <f>IFERROR(__xludf.DUMMYFUNCTION("""COMPUTED_VALUE"""),0.983069722105253)</f>
        <v>0.9830697221</v>
      </c>
      <c r="AP1780" s="82">
        <f>IFERROR(__xludf.DUMMYFUNCTION("""COMPUTED_VALUE"""),1.0912233057120502)</f>
        <v>1.091223306</v>
      </c>
      <c r="AQ1780" s="82">
        <f>IFERROR(__xludf.DUMMYFUNCTION("""COMPUTED_VALUE"""),0.9326842330664976)</f>
        <v>0.9326842331</v>
      </c>
      <c r="AR1780" s="82">
        <f>IFERROR(__xludf.DUMMYFUNCTION("""COMPUTED_VALUE"""),0.9592599910897421)</f>
        <v>0.9592599911</v>
      </c>
      <c r="AS1780" s="82">
        <f>IFERROR(__xludf.DUMMYFUNCTION("""COMPUTED_VALUE"""),76.0)</f>
        <v>76</v>
      </c>
      <c r="AT1780" s="82">
        <f>IFERROR(__xludf.DUMMYFUNCTION("""COMPUTED_VALUE"""),0.3743007911196614)</f>
        <v>0.3743007911</v>
      </c>
      <c r="AU1780" s="82">
        <f>IFERROR(__xludf.DUMMYFUNCTION("""COMPUTED_VALUE"""),1.9444236927141338)</f>
        <v>1.944423693</v>
      </c>
      <c r="AV1780" s="82">
        <f>IFERROR(__xludf.DUMMYFUNCTION("""COMPUTED_VALUE"""),48.16930801778573)</f>
        <v>48.16930802</v>
      </c>
      <c r="AW1780" s="82">
        <f t="shared" si="1"/>
        <v>-2.123987921</v>
      </c>
      <c r="AX1780" s="83">
        <f t="array" ref="AX1780">IFERROR(DGET('SBV Import'!A:G,"SBV",{"RSC ID","Tier";B1780,A1780}))</f>
        <v>43.76372334</v>
      </c>
      <c r="AY1780" s="82">
        <f t="shared" si="2"/>
        <v>-2.490623153</v>
      </c>
      <c r="AZ1780" s="82">
        <v>0.36663523193837744</v>
      </c>
      <c r="BA1780" s="84">
        <v>1700.0</v>
      </c>
      <c r="BB1780" s="84" t="b">
        <f>IFERROR(__xludf.DUMMYFUNCTION("iferror(if(A1780="""",,E1780&gt;=FILTER(Constants!$F$2:$F$10,Constants!$A$2:$A$10=A1780)))"),TRUE)</f>
        <v>1</v>
      </c>
    </row>
    <row r="1781">
      <c r="A1781" s="89" t="str">
        <f>IFERROR(__xludf.DUMMYFUNCTION("""COMPUTED_VALUE"""),"Rival")</f>
        <v>Rival</v>
      </c>
      <c r="B1781" s="87" t="str">
        <f>IFERROR(__xludf.DUMMYFUNCTION("""COMPUTED_VALUE"""),"RSC007561")</f>
        <v>RSC007561</v>
      </c>
      <c r="C1781" s="73" t="str">
        <f>IFERROR(__xludf.DUMMYFUNCTION("""COMPUTED_VALUE"""),"Grabbitzz")</f>
        <v>Grabbitzz</v>
      </c>
      <c r="D1781" s="73" t="str">
        <f>IFERROR(__xludf.DUMMYFUNCTION("""COMPUTED_VALUE"""),"Polar Bears")</f>
        <v>Polar Bears</v>
      </c>
      <c r="E1781" s="82">
        <f>IFERROR(__xludf.DUMMYFUNCTION("""COMPUTED_VALUE"""),17.0)</f>
        <v>17</v>
      </c>
      <c r="F1781" s="82">
        <f>IFERROR(__xludf.DUMMYFUNCTION("""COMPUTED_VALUE"""),6.0)</f>
        <v>6</v>
      </c>
      <c r="G1781" s="86">
        <f>IFERROR(__xludf.DUMMYFUNCTION("""COMPUTED_VALUE"""),11.0)</f>
        <v>11</v>
      </c>
      <c r="H1781" s="86">
        <f>IFERROR(__xludf.DUMMYFUNCTION("""COMPUTED_VALUE"""),0.35294117647058826)</f>
        <v>0.3529411765</v>
      </c>
      <c r="I1781" s="86">
        <f>IFERROR(__xludf.DUMMYFUNCTION("""COMPUTED_VALUE"""),0.2727272727272727)</f>
        <v>0.2727272727</v>
      </c>
      <c r="J1781" s="82">
        <f>IFERROR(__xludf.DUMMYFUNCTION("""COMPUTED_VALUE"""),316.29411764705884)</f>
        <v>316.2941176</v>
      </c>
      <c r="K1781" s="82">
        <f>IFERROR(__xludf.DUMMYFUNCTION("""COMPUTED_VALUE"""),0.7058823529411765)</f>
        <v>0.7058823529</v>
      </c>
      <c r="L1781" s="82">
        <f>IFERROR(__xludf.DUMMYFUNCTION("""COMPUTED_VALUE"""),0.5882352941176471)</f>
        <v>0.5882352941</v>
      </c>
      <c r="M1781" s="82">
        <f>IFERROR(__xludf.DUMMYFUNCTION("""COMPUTED_VALUE"""),1.3529411764705883)</f>
        <v>1.352941176</v>
      </c>
      <c r="N1781" s="82">
        <f>IFERROR(__xludf.DUMMYFUNCTION("""COMPUTED_VALUE"""),2.588235294117647)</f>
        <v>2.588235294</v>
      </c>
      <c r="O1781" s="82">
        <f>IFERROR(__xludf.DUMMYFUNCTION("""COMPUTED_VALUE"""),376.5098039215687)</f>
        <v>376.5098039</v>
      </c>
      <c r="P1781" s="82">
        <f>IFERROR(__xludf.DUMMYFUNCTION("""COMPUTED_VALUE"""),0.8627450980392158)</f>
        <v>0.862745098</v>
      </c>
      <c r="Q1781" s="82">
        <f>IFERROR(__xludf.DUMMYFUNCTION("""COMPUTED_VALUE"""),0.6078431372549019)</f>
        <v>0.6078431373</v>
      </c>
      <c r="R1781" s="82">
        <f>IFERROR(__xludf.DUMMYFUNCTION("""COMPUTED_VALUE"""),1.5294117647058825)</f>
        <v>1.529411765</v>
      </c>
      <c r="S1781" s="82">
        <f>IFERROR(__xludf.DUMMYFUNCTION("""COMPUTED_VALUE"""),2.5490196078431375)</f>
        <v>2.549019608</v>
      </c>
      <c r="T1781" s="82">
        <f>IFERROR(__xludf.DUMMYFUNCTION("""COMPUTED_VALUE"""),347.1415795878345)</f>
        <v>347.1415796</v>
      </c>
      <c r="U1781" s="82">
        <f>IFERROR(__xludf.DUMMYFUNCTION("""COMPUTED_VALUE"""),0.7690319322194993)</f>
        <v>0.7690319322</v>
      </c>
      <c r="V1781" s="82">
        <f>IFERROR(__xludf.DUMMYFUNCTION("""COMPUTED_VALUE"""),0.5789252994240466)</f>
        <v>0.5789252994</v>
      </c>
      <c r="W1781" s="82">
        <f>IFERROR(__xludf.DUMMYFUNCTION("""COMPUTED_VALUE"""),1.3014147835067176)</f>
        <v>1.301414784</v>
      </c>
      <c r="X1781" s="82">
        <f>IFERROR(__xludf.DUMMYFUNCTION("""COMPUTED_VALUE"""),2.531794855647916)</f>
        <v>2.531794856</v>
      </c>
      <c r="Y1781" s="82">
        <f>IFERROR(__xludf.DUMMYFUNCTION("""COMPUTED_VALUE"""),344.4910068425699)</f>
        <v>344.4910068</v>
      </c>
      <c r="Z1781" s="82">
        <f>IFERROR(__xludf.DUMMYFUNCTION("""COMPUTED_VALUE"""),0.7543186420965524)</f>
        <v>0.7543186421</v>
      </c>
      <c r="AA1781" s="82">
        <f>IFERROR(__xludf.DUMMYFUNCTION("""COMPUTED_VALUE"""),0.5562332206219173)</f>
        <v>0.5562332206</v>
      </c>
      <c r="AB1781" s="82">
        <f>IFERROR(__xludf.DUMMYFUNCTION("""COMPUTED_VALUE"""),1.2919150479201984)</f>
        <v>1.291915048</v>
      </c>
      <c r="AC1781" s="82">
        <f>IFERROR(__xludf.DUMMYFUNCTION("""COMPUTED_VALUE"""),2.5001318526405036)</f>
        <v>2.500131853</v>
      </c>
      <c r="AD1781" s="82">
        <f>IFERROR(__xludf.DUMMYFUNCTION("""COMPUTED_VALUE"""),0.9181491283213763)</f>
        <v>0.9181491283</v>
      </c>
      <c r="AE1781" s="82">
        <f>IFERROR(__xludf.DUMMYFUNCTION("""COMPUTED_VALUE"""),0.9357880258391174)</f>
        <v>0.9357880258</v>
      </c>
      <c r="AF1781" s="82">
        <f>IFERROR(__xludf.DUMMYFUNCTION("""COMPUTED_VALUE"""),1.0575335530300558)</f>
        <v>1.057533553</v>
      </c>
      <c r="AG1781" s="82">
        <f>IFERROR(__xludf.DUMMYFUNCTION("""COMPUTED_VALUE"""),1.0472369515694033)</f>
        <v>1.047236952</v>
      </c>
      <c r="AH1781" s="82">
        <f>IFERROR(__xludf.DUMMYFUNCTION("""COMPUTED_VALUE"""),1.0352395180214569)</f>
        <v>1.035239518</v>
      </c>
      <c r="AI1781" s="82">
        <f>IFERROR(__xludf.DUMMYFUNCTION("""COMPUTED_VALUE"""),1.0846001345289822)</f>
        <v>1.084600135</v>
      </c>
      <c r="AJ1781" s="82">
        <f>IFERROR(__xludf.DUMMYFUNCTION("""COMPUTED_VALUE"""),1.1218586145691656)</f>
        <v>1.121858615</v>
      </c>
      <c r="AK1781" s="82">
        <f>IFERROR(__xludf.DUMMYFUNCTION("""COMPUTED_VALUE"""),1.049950896703987)</f>
        <v>1.049950897</v>
      </c>
      <c r="AL1781" s="82">
        <f>IFERROR(__xludf.DUMMYFUNCTION("""COMPUTED_VALUE"""),1.1751916330509304)</f>
        <v>1.175191633</v>
      </c>
      <c r="AM1781" s="82">
        <f>IFERROR(__xludf.DUMMYFUNCTION("""COMPUTED_VALUE"""),1.00680337593577)</f>
        <v>1.006803376</v>
      </c>
      <c r="AN1781" s="82">
        <f>IFERROR(__xludf.DUMMYFUNCTION("""COMPUTED_VALUE"""),0.9331836436681646)</f>
        <v>0.9331836437</v>
      </c>
      <c r="AO1781" s="82">
        <f>IFERROR(__xludf.DUMMYFUNCTION("""COMPUTED_VALUE"""),0.9608283256775324)</f>
        <v>0.9608283257</v>
      </c>
      <c r="AP1781" s="82">
        <f>IFERROR(__xludf.DUMMYFUNCTION("""COMPUTED_VALUE"""),1.0503753744821873)</f>
        <v>1.050375374</v>
      </c>
      <c r="AQ1781" s="82">
        <f>IFERROR(__xludf.DUMMYFUNCTION("""COMPUTED_VALUE"""),1.0324365574586365)</f>
        <v>1.032436557</v>
      </c>
      <c r="AR1781" s="82">
        <f>IFERROR(__xludf.DUMMYFUNCTION("""COMPUTED_VALUE"""),1.0393076784447002)</f>
        <v>1.039307678</v>
      </c>
      <c r="AS1781" s="82">
        <f>IFERROR(__xludf.DUMMYFUNCTION("""COMPUTED_VALUE"""),42.0)</f>
        <v>42</v>
      </c>
      <c r="AT1781" s="82">
        <f>IFERROR(__xludf.DUMMYFUNCTION("""COMPUTED_VALUE"""),0.4814884183672522)</f>
        <v>0.4814884184</v>
      </c>
      <c r="AU1781" s="82">
        <f>IFERROR(__xludf.DUMMYFUNCTION("""COMPUTED_VALUE"""),1.9405260973969012)</f>
        <v>1.940526097</v>
      </c>
      <c r="AV1781" s="82">
        <f>IFERROR(__xludf.DUMMYFUNCTION("""COMPUTED_VALUE"""),48.031629090450494)</f>
        <v>48.03162909</v>
      </c>
      <c r="AW1781" s="82">
        <f t="shared" si="1"/>
        <v>-2.133917091</v>
      </c>
      <c r="AX1781" s="83">
        <f t="array" ref="AX1781">IFERROR(DGET('SBV Import'!A:G,"SBV",{"RSC ID","Tier";B1781,A1781}))</f>
        <v>41.99268769</v>
      </c>
      <c r="AY1781" s="82">
        <f t="shared" si="2"/>
        <v>-2.67113061</v>
      </c>
      <c r="AZ1781" s="82">
        <v>0.537213519470237</v>
      </c>
      <c r="BA1781" s="84">
        <v>1700.0</v>
      </c>
      <c r="BB1781" s="84" t="b">
        <f>IFERROR(__xludf.DUMMYFUNCTION("iferror(if(A1781="""",,E1781&gt;=FILTER(Constants!$F$2:$F$10,Constants!$A$2:$A$10=A1781)))"),TRUE)</f>
        <v>1</v>
      </c>
    </row>
    <row r="1782">
      <c r="A1782" s="89" t="str">
        <f>IFERROR(__xludf.DUMMYFUNCTION("""COMPUTED_VALUE"""),"Rival")</f>
        <v>Rival</v>
      </c>
      <c r="B1782" s="87" t="str">
        <f>IFERROR(__xludf.DUMMYFUNCTION("""COMPUTED_VALUE"""),"RSC007618")</f>
        <v>RSC007618</v>
      </c>
      <c r="C1782" s="73" t="str">
        <f>IFERROR(__xludf.DUMMYFUNCTION("""COMPUTED_VALUE"""),"Robbie")</f>
        <v>Robbie</v>
      </c>
      <c r="D1782" s="73" t="str">
        <f>IFERROR(__xludf.DUMMYFUNCTION("""COMPUTED_VALUE"""),"Mining Legion")</f>
        <v>Mining Legion</v>
      </c>
      <c r="E1782" s="82">
        <f>IFERROR(__xludf.DUMMYFUNCTION("""COMPUTED_VALUE"""),32.0)</f>
        <v>32</v>
      </c>
      <c r="F1782" s="82">
        <f>IFERROR(__xludf.DUMMYFUNCTION("""COMPUTED_VALUE"""),22.0)</f>
        <v>22</v>
      </c>
      <c r="G1782" s="86">
        <f>IFERROR(__xludf.DUMMYFUNCTION("""COMPUTED_VALUE"""),10.0)</f>
        <v>10</v>
      </c>
      <c r="H1782" s="86">
        <f>IFERROR(__xludf.DUMMYFUNCTION("""COMPUTED_VALUE"""),0.6875)</f>
        <v>0.6875</v>
      </c>
      <c r="I1782" s="86">
        <f>IFERROR(__xludf.DUMMYFUNCTION("""COMPUTED_VALUE"""),0.29333333333333333)</f>
        <v>0.2933333333</v>
      </c>
      <c r="J1782" s="82">
        <f>IFERROR(__xludf.DUMMYFUNCTION("""COMPUTED_VALUE"""),313.65625)</f>
        <v>313.65625</v>
      </c>
      <c r="K1782" s="82">
        <f>IFERROR(__xludf.DUMMYFUNCTION("""COMPUTED_VALUE"""),0.6875)</f>
        <v>0.6875</v>
      </c>
      <c r="L1782" s="82">
        <f>IFERROR(__xludf.DUMMYFUNCTION("""COMPUTED_VALUE"""),0.5625)</f>
        <v>0.5625</v>
      </c>
      <c r="M1782" s="82">
        <f>IFERROR(__xludf.DUMMYFUNCTION("""COMPUTED_VALUE"""),1.15625)</f>
        <v>1.15625</v>
      </c>
      <c r="N1782" s="82">
        <f>IFERROR(__xludf.DUMMYFUNCTION("""COMPUTED_VALUE"""),2.34375)</f>
        <v>2.34375</v>
      </c>
      <c r="O1782" s="82">
        <f>IFERROR(__xludf.DUMMYFUNCTION("""COMPUTED_VALUE"""),324.6458333333333)</f>
        <v>324.6458333</v>
      </c>
      <c r="P1782" s="82">
        <f>IFERROR(__xludf.DUMMYFUNCTION("""COMPUTED_VALUE"""),0.6458333333333334)</f>
        <v>0.6458333333</v>
      </c>
      <c r="Q1782" s="82">
        <f>IFERROR(__xludf.DUMMYFUNCTION("""COMPUTED_VALUE"""),0.47916666666666674)</f>
        <v>0.4791666667</v>
      </c>
      <c r="R1782" s="82">
        <f>IFERROR(__xludf.DUMMYFUNCTION("""COMPUTED_VALUE"""),1.3854166666666667)</f>
        <v>1.385416667</v>
      </c>
      <c r="S1782" s="82">
        <f>IFERROR(__xludf.DUMMYFUNCTION("""COMPUTED_VALUE"""),2.1250000000000004)</f>
        <v>2.125</v>
      </c>
      <c r="T1782" s="82">
        <f>IFERROR(__xludf.DUMMYFUNCTION("""COMPUTED_VALUE"""),338.022664055477)</f>
        <v>338.0226641</v>
      </c>
      <c r="U1782" s="82">
        <f>IFERROR(__xludf.DUMMYFUNCTION("""COMPUTED_VALUE"""),0.7449719412921354)</f>
        <v>0.7449719413</v>
      </c>
      <c r="V1782" s="82">
        <f>IFERROR(__xludf.DUMMYFUNCTION("""COMPUTED_VALUE"""),0.513583687003027)</f>
        <v>0.513583687</v>
      </c>
      <c r="W1782" s="82">
        <f>IFERROR(__xludf.DUMMYFUNCTION("""COMPUTED_VALUE"""),1.271186657070419)</f>
        <v>1.271186657</v>
      </c>
      <c r="X1782" s="82">
        <f>IFERROR(__xludf.DUMMYFUNCTION("""COMPUTED_VALUE"""),2.4552978895791253)</f>
        <v>2.45529789</v>
      </c>
      <c r="Y1782" s="82">
        <f>IFERROR(__xludf.DUMMYFUNCTION("""COMPUTED_VALUE"""),349.4543484697734)</f>
        <v>349.4543485</v>
      </c>
      <c r="Z1782" s="82">
        <f>IFERROR(__xludf.DUMMYFUNCTION("""COMPUTED_VALUE"""),0.8171053933237186)</f>
        <v>0.8171053933</v>
      </c>
      <c r="AA1782" s="82">
        <f>IFERROR(__xludf.DUMMYFUNCTION("""COMPUTED_VALUE"""),0.5757752575098943)</f>
        <v>0.5757752575</v>
      </c>
      <c r="AB1782" s="82">
        <f>IFERROR(__xludf.DUMMYFUNCTION("""COMPUTED_VALUE"""),1.2653614205595)</f>
        <v>1.265361421</v>
      </c>
      <c r="AC1782" s="82">
        <f>IFERROR(__xludf.DUMMYFUNCTION("""COMPUTED_VALUE"""),2.582066522278908)</f>
        <v>2.582066522</v>
      </c>
      <c r="AD1782" s="82">
        <f>IFERROR(__xludf.DUMMYFUNCTION("""COMPUTED_VALUE"""),0.8975600142721653)</f>
        <v>0.8975600143</v>
      </c>
      <c r="AE1782" s="82">
        <f>IFERROR(__xludf.DUMMYFUNCTION("""COMPUTED_VALUE"""),0.8413847290904224)</f>
        <v>0.8413847291</v>
      </c>
      <c r="AF1782" s="82">
        <f>IFERROR(__xludf.DUMMYFUNCTION("""COMPUTED_VALUE"""),0.9769436818676318)</f>
        <v>0.9769436819</v>
      </c>
      <c r="AG1782" s="82">
        <f>IFERROR(__xludf.DUMMYFUNCTION("""COMPUTED_VALUE"""),0.9137705490410363)</f>
        <v>0.913770549</v>
      </c>
      <c r="AH1782" s="82">
        <f>IFERROR(__xludf.DUMMYFUNCTION("""COMPUTED_VALUE"""),0.907703182616468)</f>
        <v>0.9077031826</v>
      </c>
      <c r="AI1782" s="82">
        <f>IFERROR(__xludf.DUMMYFUNCTION("""COMPUTED_VALUE"""),0.9604262313016141)</f>
        <v>0.9604262313</v>
      </c>
      <c r="AJ1782" s="82">
        <f>IFERROR(__xludf.DUMMYFUNCTION("""COMPUTED_VALUE"""),0.8669230309710073)</f>
        <v>0.866923031</v>
      </c>
      <c r="AK1782" s="82">
        <f>IFERROR(__xludf.DUMMYFUNCTION("""COMPUTED_VALUE"""),0.9329865390834396)</f>
        <v>0.9329865391</v>
      </c>
      <c r="AL1782" s="82">
        <f>IFERROR(__xludf.DUMMYFUNCTION("""COMPUTED_VALUE"""),1.0898609255854705)</f>
        <v>1.089860926</v>
      </c>
      <c r="AM1782" s="82">
        <f>IFERROR(__xludf.DUMMYFUNCTION("""COMPUTED_VALUE"""),0.8654754313189497)</f>
        <v>0.8654754313</v>
      </c>
      <c r="AN1782" s="82">
        <f>IFERROR(__xludf.DUMMYFUNCTION("""COMPUTED_VALUE"""),0.9254009667068954)</f>
        <v>0.9254009667</v>
      </c>
      <c r="AO1782" s="82">
        <f>IFERROR(__xludf.DUMMYFUNCTION("""COMPUTED_VALUE"""),0.9358067546963467)</f>
        <v>0.9358067547</v>
      </c>
      <c r="AP1782" s="82">
        <f>IFERROR(__xludf.DUMMYFUNCTION("""COMPUTED_VALUE"""),1.0044214518485914)</f>
        <v>1.004421452</v>
      </c>
      <c r="AQ1782" s="82">
        <f>IFERROR(__xludf.DUMMYFUNCTION("""COMPUTED_VALUE"""),0.88234048184984)</f>
        <v>0.8823404818</v>
      </c>
      <c r="AR1782" s="82">
        <f>IFERROR(__xludf.DUMMYFUNCTION("""COMPUTED_VALUE"""),0.9411344389325231)</f>
        <v>0.9411344389</v>
      </c>
      <c r="AS1782" s="82">
        <f>IFERROR(__xludf.DUMMYFUNCTION("""COMPUTED_VALUE"""),94.0)</f>
        <v>94</v>
      </c>
      <c r="AT1782" s="82">
        <f>IFERROR(__xludf.DUMMYFUNCTION("""COMPUTED_VALUE"""),0.6582952467906592)</f>
        <v>0.6582952468</v>
      </c>
      <c r="AU1782" s="82">
        <f>IFERROR(__xludf.DUMMYFUNCTION("""COMPUTED_VALUE"""),1.9338263112285543)</f>
        <v>1.933826311</v>
      </c>
      <c r="AV1782" s="82">
        <f>IFERROR(__xludf.DUMMYFUNCTION("""COMPUTED_VALUE"""),47.79496537912184)</f>
        <v>47.79496538</v>
      </c>
      <c r="AW1782" s="82">
        <f t="shared" si="1"/>
        <v>-2.151193131</v>
      </c>
      <c r="AX1782" s="83">
        <f t="array" ref="AX1782">IFERROR(DGET('SBV Import'!A:G,"SBV",{"RSC ID","Tier";B1782,A1782}))</f>
        <v>41.27392452</v>
      </c>
      <c r="AY1782" s="82">
        <f t="shared" si="2"/>
        <v>-2.75081591</v>
      </c>
      <c r="AZ1782" s="82">
        <v>0.599622778449906</v>
      </c>
      <c r="BA1782" s="84">
        <v>1700.0</v>
      </c>
      <c r="BB1782" s="84" t="b">
        <f>IFERROR(__xludf.DUMMYFUNCTION("iferror(if(A1782="""",,E1782&gt;=FILTER(Constants!$F$2:$F$10,Constants!$A$2:$A$10=A1782)))"),TRUE)</f>
        <v>1</v>
      </c>
    </row>
    <row r="1783">
      <c r="A1783" s="89" t="str">
        <f>IFERROR(__xludf.DUMMYFUNCTION("""COMPUTED_VALUE"""),"Rival")</f>
        <v>Rival</v>
      </c>
      <c r="B1783" s="87" t="str">
        <f>IFERROR(__xludf.DUMMYFUNCTION("""COMPUTED_VALUE"""),"RSC005276")</f>
        <v>RSC005276</v>
      </c>
      <c r="C1783" s="73" t="str">
        <f>IFERROR(__xludf.DUMMYFUNCTION("""COMPUTED_VALUE"""),"Dc")</f>
        <v>Dc</v>
      </c>
      <c r="D1783" s="73" t="str">
        <f>IFERROR(__xludf.DUMMYFUNCTION("""COMPUTED_VALUE"""),"Hippos")</f>
        <v>Hippos</v>
      </c>
      <c r="E1783" s="82">
        <f>IFERROR(__xludf.DUMMYFUNCTION("""COMPUTED_VALUE"""),28.0)</f>
        <v>28</v>
      </c>
      <c r="F1783" s="82">
        <f>IFERROR(__xludf.DUMMYFUNCTION("""COMPUTED_VALUE"""),11.0)</f>
        <v>11</v>
      </c>
      <c r="G1783" s="86">
        <f>IFERROR(__xludf.DUMMYFUNCTION("""COMPUTED_VALUE"""),17.0)</f>
        <v>17</v>
      </c>
      <c r="H1783" s="86">
        <f>IFERROR(__xludf.DUMMYFUNCTION("""COMPUTED_VALUE"""),0.39285714285714285)</f>
        <v>0.3928571429</v>
      </c>
      <c r="I1783" s="86">
        <f>IFERROR(__xludf.DUMMYFUNCTION("""COMPUTED_VALUE"""),0.35294117647058826)</f>
        <v>0.3529411765</v>
      </c>
      <c r="J1783" s="82">
        <f>IFERROR(__xludf.DUMMYFUNCTION("""COMPUTED_VALUE"""),336.85714285714283)</f>
        <v>336.8571429</v>
      </c>
      <c r="K1783" s="82">
        <f>IFERROR(__xludf.DUMMYFUNCTION("""COMPUTED_VALUE"""),0.8571428571428571)</f>
        <v>0.8571428571</v>
      </c>
      <c r="L1783" s="82">
        <f>IFERROR(__xludf.DUMMYFUNCTION("""COMPUTED_VALUE"""),0.39285714285714285)</f>
        <v>0.3928571429</v>
      </c>
      <c r="M1783" s="82">
        <f>IFERROR(__xludf.DUMMYFUNCTION("""COMPUTED_VALUE"""),1.1785714285714286)</f>
        <v>1.178571429</v>
      </c>
      <c r="N1783" s="82">
        <f>IFERROR(__xludf.DUMMYFUNCTION("""COMPUTED_VALUE"""),2.4285714285714284)</f>
        <v>2.428571429</v>
      </c>
      <c r="O1783" s="82">
        <f>IFERROR(__xludf.DUMMYFUNCTION("""COMPUTED_VALUE"""),387.6785714285713)</f>
        <v>387.6785714</v>
      </c>
      <c r="P1783" s="82">
        <f>IFERROR(__xludf.DUMMYFUNCTION("""COMPUTED_VALUE"""),0.9642857142857141)</f>
        <v>0.9642857143</v>
      </c>
      <c r="Q1783" s="82">
        <f>IFERROR(__xludf.DUMMYFUNCTION("""COMPUTED_VALUE"""),0.7380952380952381)</f>
        <v>0.7380952381</v>
      </c>
      <c r="R1783" s="82">
        <f>IFERROR(__xludf.DUMMYFUNCTION("""COMPUTED_VALUE"""),1.3333333333333337)</f>
        <v>1.333333333</v>
      </c>
      <c r="S1783" s="82">
        <f>IFERROR(__xludf.DUMMYFUNCTION("""COMPUTED_VALUE"""),2.8214285714285716)</f>
        <v>2.821428571</v>
      </c>
      <c r="T1783" s="82">
        <f>IFERROR(__xludf.DUMMYFUNCTION("""COMPUTED_VALUE"""),352.1367349608841)</f>
        <v>352.136735</v>
      </c>
      <c r="U1783" s="82">
        <f>IFERROR(__xludf.DUMMYFUNCTION("""COMPUTED_VALUE"""),0.8306753206333036)</f>
        <v>0.8306753206</v>
      </c>
      <c r="V1783" s="82">
        <f>IFERROR(__xludf.DUMMYFUNCTION("""COMPUTED_VALUE"""),0.6507990818705106)</f>
        <v>0.6507990819</v>
      </c>
      <c r="W1783" s="82">
        <f>IFERROR(__xludf.DUMMYFUNCTION("""COMPUTED_VALUE"""),1.2021768365465848)</f>
        <v>1.202176837</v>
      </c>
      <c r="X1783" s="82">
        <f>IFERROR(__xludf.DUMMYFUNCTION("""COMPUTED_VALUE"""),2.560059613977682)</f>
        <v>2.560059614</v>
      </c>
      <c r="Y1783" s="82">
        <f>IFERROR(__xludf.DUMMYFUNCTION("""COMPUTED_VALUE"""),338.5596690644658)</f>
        <v>338.5596691</v>
      </c>
      <c r="Z1783" s="82">
        <f>IFERROR(__xludf.DUMMYFUNCTION("""COMPUTED_VALUE"""),0.7145118938536303)</f>
        <v>0.7145118939</v>
      </c>
      <c r="AA1783" s="82">
        <f>IFERROR(__xludf.DUMMYFUNCTION("""COMPUTED_VALUE"""),0.49624591289507264)</f>
        <v>0.4962459129</v>
      </c>
      <c r="AB1783" s="82">
        <f>IFERROR(__xludf.DUMMYFUNCTION("""COMPUTED_VALUE"""),1.3589667270689674)</f>
        <v>1.358966727</v>
      </c>
      <c r="AC1783" s="82">
        <f>IFERROR(__xludf.DUMMYFUNCTION("""COMPUTED_VALUE"""),2.33214832164412)</f>
        <v>2.332148322</v>
      </c>
      <c r="AD1783" s="82">
        <f>IFERROR(__xludf.DUMMYFUNCTION("""COMPUTED_VALUE"""),0.9949712669201635)</f>
        <v>0.9949712669</v>
      </c>
      <c r="AE1783" s="82">
        <f>IFERROR(__xludf.DUMMYFUNCTION("""COMPUTED_VALUE"""),1.1996201386095402)</f>
        <v>1.199620139</v>
      </c>
      <c r="AF1783" s="82">
        <f>IFERROR(__xludf.DUMMYFUNCTION("""COMPUTED_VALUE"""),0.7916581933445757)</f>
        <v>0.7916581933</v>
      </c>
      <c r="AG1783" s="82">
        <f>IFERROR(__xludf.DUMMYFUNCTION("""COMPUTED_VALUE"""),0.8672555443012081)</f>
        <v>0.8672555443</v>
      </c>
      <c r="AH1783" s="82">
        <f>IFERROR(__xludf.DUMMYFUNCTION("""COMPUTED_VALUE"""),1.0413451863384624)</f>
        <v>1.041345186</v>
      </c>
      <c r="AI1783" s="82">
        <f>IFERROR(__xludf.DUMMYFUNCTION("""COMPUTED_VALUE"""),1.1009319191638305)</f>
        <v>1.100931919</v>
      </c>
      <c r="AJ1783" s="82">
        <f>IFERROR(__xludf.DUMMYFUNCTION("""COMPUTED_VALUE"""),1.1608455076654334)</f>
        <v>1.160845508</v>
      </c>
      <c r="AK1783" s="82">
        <f>IFERROR(__xludf.DUMMYFUNCTION("""COMPUTED_VALUE"""),1.1341368767359399)</f>
        <v>1.134136877</v>
      </c>
      <c r="AL1783" s="82">
        <f>IFERROR(__xludf.DUMMYFUNCTION("""COMPUTED_VALUE"""),1.1090991714359708)</f>
        <v>1.109099171</v>
      </c>
      <c r="AM1783" s="82">
        <f>IFERROR(__xludf.DUMMYFUNCTION("""COMPUTED_VALUE"""),1.1020948715505843)</f>
        <v>1.102094872</v>
      </c>
      <c r="AN1783" s="82">
        <f>IFERROR(__xludf.DUMMYFUNCTION("""COMPUTED_VALUE"""),0.9938521092505657)</f>
        <v>0.9938521093</v>
      </c>
      <c r="AO1783" s="82">
        <f>IFERROR(__xludf.DUMMYFUNCTION("""COMPUTED_VALUE"""),1.1667201097512891)</f>
        <v>1.16672011</v>
      </c>
      <c r="AP1783" s="82">
        <f>IFERROR(__xludf.DUMMYFUNCTION("""COMPUTED_VALUE"""),0.701500696529175)</f>
        <v>0.7015006965</v>
      </c>
      <c r="AQ1783" s="82">
        <f>IFERROR(__xludf.DUMMYFUNCTION("""COMPUTED_VALUE"""),0.8993740818855512)</f>
        <v>0.8993740819</v>
      </c>
      <c r="AR1783" s="82">
        <f>IFERROR(__xludf.DUMMYFUNCTION("""COMPUTED_VALUE"""),0.9751945424367477)</f>
        <v>0.9751945424</v>
      </c>
      <c r="AS1783" s="82">
        <f>IFERROR(__xludf.DUMMYFUNCTION("""COMPUTED_VALUE"""),63.0)</f>
        <v>63</v>
      </c>
      <c r="AT1783" s="82">
        <f>IFERROR(__xludf.DUMMYFUNCTION("""COMPUTED_VALUE"""),0.4008081127719611)</f>
        <v>0.4008081128</v>
      </c>
      <c r="AU1783" s="82">
        <f>IFERROR(__xludf.DUMMYFUNCTION("""COMPUTED_VALUE"""),1.9312181555038586)</f>
        <v>1.931218156</v>
      </c>
      <c r="AV1783" s="82">
        <f>IFERROR(__xludf.DUMMYFUNCTION("""COMPUTED_VALUE"""),47.70283470539291)</f>
        <v>47.70283471</v>
      </c>
      <c r="AW1783" s="82">
        <f t="shared" si="1"/>
        <v>-2.157990525</v>
      </c>
      <c r="AX1783" s="83">
        <f t="array" ref="AX1783">IFERROR(DGET('SBV Import'!A:G,"SBV",{"RSC ID","Tier";B1783,A1783}))</f>
        <v>38.18365764</v>
      </c>
      <c r="AY1783" s="82">
        <f t="shared" si="2"/>
        <v>-3.142379974</v>
      </c>
      <c r="AZ1783" s="82">
        <v>0.9843894491002678</v>
      </c>
      <c r="BA1783" s="84">
        <v>1700.0</v>
      </c>
      <c r="BB1783" s="84" t="b">
        <f>IFERROR(__xludf.DUMMYFUNCTION("iferror(if(A1783="""",,E1783&gt;=FILTER(Constants!$F$2:$F$10,Constants!$A$2:$A$10=A1783)))"),TRUE)</f>
        <v>1</v>
      </c>
    </row>
    <row r="1784">
      <c r="A1784" s="89" t="str">
        <f>IFERROR(__xludf.DUMMYFUNCTION("""COMPUTED_VALUE"""),"Rival")</f>
        <v>Rival</v>
      </c>
      <c r="B1784" s="87" t="str">
        <f>IFERROR(__xludf.DUMMYFUNCTION("""COMPUTED_VALUE"""),"RSC007823")</f>
        <v>RSC007823</v>
      </c>
      <c r="C1784" s="73" t="str">
        <f>IFERROR(__xludf.DUMMYFUNCTION("""COMPUTED_VALUE"""),"watz")</f>
        <v>watz</v>
      </c>
      <c r="D1784" s="73" t="str">
        <f>IFERROR(__xludf.DUMMYFUNCTION("""COMPUTED_VALUE"""),"Hue Heroes")</f>
        <v>Hue Heroes</v>
      </c>
      <c r="E1784" s="82">
        <f>IFERROR(__xludf.DUMMYFUNCTION("""COMPUTED_VALUE"""),4.0)</f>
        <v>4</v>
      </c>
      <c r="F1784" s="82">
        <f>IFERROR(__xludf.DUMMYFUNCTION("""COMPUTED_VALUE"""),0.0)</f>
        <v>0</v>
      </c>
      <c r="G1784" s="86">
        <f>IFERROR(__xludf.DUMMYFUNCTION("""COMPUTED_VALUE"""),4.0)</f>
        <v>4</v>
      </c>
      <c r="H1784" s="86">
        <f>IFERROR(__xludf.DUMMYFUNCTION("""COMPUTED_VALUE"""),0.0)</f>
        <v>0</v>
      </c>
      <c r="I1784" s="86">
        <f>IFERROR(__xludf.DUMMYFUNCTION("""COMPUTED_VALUE"""),0.375)</f>
        <v>0.375</v>
      </c>
      <c r="J1784" s="82">
        <f>IFERROR(__xludf.DUMMYFUNCTION("""COMPUTED_VALUE"""),338.75)</f>
        <v>338.75</v>
      </c>
      <c r="K1784" s="82">
        <f>IFERROR(__xludf.DUMMYFUNCTION("""COMPUTED_VALUE"""),0.75)</f>
        <v>0.75</v>
      </c>
      <c r="L1784" s="82">
        <f>IFERROR(__xludf.DUMMYFUNCTION("""COMPUTED_VALUE"""),0.25)</f>
        <v>0.25</v>
      </c>
      <c r="M1784" s="82">
        <f>IFERROR(__xludf.DUMMYFUNCTION("""COMPUTED_VALUE"""),1.5)</f>
        <v>1.5</v>
      </c>
      <c r="N1784" s="82">
        <f>IFERROR(__xludf.DUMMYFUNCTION("""COMPUTED_VALUE"""),2.0)</f>
        <v>2</v>
      </c>
      <c r="O1784" s="82">
        <f>IFERROR(__xludf.DUMMYFUNCTION("""COMPUTED_VALUE"""),427.58333333333337)</f>
        <v>427.5833333</v>
      </c>
      <c r="P1784" s="82">
        <f>IFERROR(__xludf.DUMMYFUNCTION("""COMPUTED_VALUE"""),1.25)</f>
        <v>1.25</v>
      </c>
      <c r="Q1784" s="82">
        <f>IFERROR(__xludf.DUMMYFUNCTION("""COMPUTED_VALUE"""),1.0833333333333333)</f>
        <v>1.083333333</v>
      </c>
      <c r="R1784" s="82">
        <f>IFERROR(__xludf.DUMMYFUNCTION("""COMPUTED_VALUE"""),1.0833333333333335)</f>
        <v>1.083333333</v>
      </c>
      <c r="S1784" s="82">
        <f>IFERROR(__xludf.DUMMYFUNCTION("""COMPUTED_VALUE"""),3.583333333333333)</f>
        <v>3.583333333</v>
      </c>
      <c r="T1784" s="82">
        <f>IFERROR(__xludf.DUMMYFUNCTION("""COMPUTED_VALUE"""),402.5594907407408)</f>
        <v>402.5594907</v>
      </c>
      <c r="U1784" s="82">
        <f>IFERROR(__xludf.DUMMYFUNCTION("""COMPUTED_VALUE"""),1.1613425925925924)</f>
        <v>1.161342593</v>
      </c>
      <c r="V1784" s="82">
        <f>IFERROR(__xludf.DUMMYFUNCTION("""COMPUTED_VALUE"""),0.9395833333333333)</f>
        <v>0.9395833333</v>
      </c>
      <c r="W1784" s="82">
        <f>IFERROR(__xludf.DUMMYFUNCTION("""COMPUTED_VALUE"""),0.9914351851851851)</f>
        <v>0.9914351852</v>
      </c>
      <c r="X1784" s="82">
        <f>IFERROR(__xludf.DUMMYFUNCTION("""COMPUTED_VALUE"""),3.259490740740741)</f>
        <v>3.259490741</v>
      </c>
      <c r="Y1784" s="82">
        <f>IFERROR(__xludf.DUMMYFUNCTION("""COMPUTED_VALUE"""),305.216898148148)</f>
        <v>305.2168981</v>
      </c>
      <c r="Z1784" s="82">
        <f>IFERROR(__xludf.DUMMYFUNCTION("""COMPUTED_VALUE"""),0.49753086419753095)</f>
        <v>0.4975308642</v>
      </c>
      <c r="AA1784" s="82">
        <f>IFERROR(__xludf.DUMMYFUNCTION("""COMPUTED_VALUE"""),0.31736111111111104)</f>
        <v>0.3173611111</v>
      </c>
      <c r="AB1784" s="82">
        <f>IFERROR(__xludf.DUMMYFUNCTION("""COMPUTED_VALUE"""),1.5226080246913583)</f>
        <v>1.522608025</v>
      </c>
      <c r="AC1784" s="82">
        <f>IFERROR(__xludf.DUMMYFUNCTION("""COMPUTED_VALUE"""),1.8274691358024695)</f>
        <v>1.827469136</v>
      </c>
      <c r="AD1784" s="82">
        <f>IFERROR(__xludf.DUMMYFUNCTION("""COMPUTED_VALUE"""),1.109866465635777)</f>
        <v>1.109866466</v>
      </c>
      <c r="AE1784" s="82">
        <f>IFERROR(__xludf.DUMMYFUNCTION("""COMPUTED_VALUE"""),1.507444168734491)</f>
        <v>1.507444169</v>
      </c>
      <c r="AF1784" s="82">
        <f>IFERROR(__xludf.DUMMYFUNCTION("""COMPUTED_VALUE"""),0.7877461706783372)</f>
        <v>0.7877461707</v>
      </c>
      <c r="AG1784" s="82">
        <f>IFERROR(__xludf.DUMMYFUNCTION("""COMPUTED_VALUE"""),0.9851517762124359)</f>
        <v>0.9851517762</v>
      </c>
      <c r="AH1784" s="82">
        <f>IFERROR(__xludf.DUMMYFUNCTION("""COMPUTED_VALUE"""),1.0944097280864717)</f>
        <v>1.094409728</v>
      </c>
      <c r="AI1784" s="82">
        <f>IFERROR(__xludf.DUMMYFUNCTION("""COMPUTED_VALUE"""),1.0621618497841072)</f>
        <v>1.06216185</v>
      </c>
      <c r="AJ1784" s="82">
        <f>IFERROR(__xludf.DUMMYFUNCTION("""COMPUTED_VALUE"""),1.0763404424955154)</f>
        <v>1.076340442</v>
      </c>
      <c r="AK1784" s="82">
        <f>IFERROR(__xludf.DUMMYFUNCTION("""COMPUTED_VALUE"""),1.1529933481152992)</f>
        <v>1.152993348</v>
      </c>
      <c r="AL1784" s="82">
        <f>IFERROR(__xludf.DUMMYFUNCTION("""COMPUTED_VALUE"""),1.0926920382909178)</f>
        <v>1.092692038</v>
      </c>
      <c r="AM1784" s="82">
        <f>IFERROR(__xludf.DUMMYFUNCTION("""COMPUTED_VALUE"""),1.0993537390810308)</f>
        <v>1.099353739</v>
      </c>
      <c r="AN1784" s="82">
        <f>IFERROR(__xludf.DUMMYFUNCTION("""COMPUTED_VALUE"""),0.9994367320018678)</f>
        <v>0.999436732</v>
      </c>
      <c r="AO1784" s="82">
        <f>IFERROR(__xludf.DUMMYFUNCTION("""COMPUTED_VALUE"""),1.020880096032378)</f>
        <v>1.020880096</v>
      </c>
      <c r="AP1784" s="82">
        <f>IFERROR(__xludf.DUMMYFUNCTION("""COMPUTED_VALUE"""),0.44640953415492957)</f>
        <v>0.4464095342</v>
      </c>
      <c r="AQ1784" s="82">
        <f>IFERROR(__xludf.DUMMYFUNCTION("""COMPUTED_VALUE"""),1.1446579223997926)</f>
        <v>1.144657922</v>
      </c>
      <c r="AR1784" s="82">
        <f>IFERROR(__xludf.DUMMYFUNCTION("""COMPUTED_VALUE"""),0.8031013878890865)</f>
        <v>0.8031013879</v>
      </c>
      <c r="AS1784" s="82">
        <f>IFERROR(__xludf.DUMMYFUNCTION("""COMPUTED_VALUE"""),7.0)</f>
        <v>7</v>
      </c>
      <c r="AT1784" s="82">
        <f>IFERROR(__xludf.DUMMYFUNCTION("""COMPUTED_VALUE"""),0.2238904750056121)</f>
        <v>0.223890475</v>
      </c>
      <c r="AU1784" s="82">
        <f>IFERROR(__xludf.DUMMYFUNCTION("""COMPUTED_VALUE"""),1.9099114685511027)</f>
        <v>1.909911469</v>
      </c>
      <c r="AV1784" s="82">
        <f>IFERROR(__xludf.DUMMYFUNCTION("""COMPUTED_VALUE"""),46.95019581757582)</f>
        <v>46.95019582</v>
      </c>
      <c r="AW1784" s="82">
        <f t="shared" si="1"/>
        <v>-2.215071917</v>
      </c>
      <c r="AX1784" s="83">
        <f t="array" ref="AX1784">IFERROR(DGET('SBV Import'!A:G,"SBV",{"RSC ID","Tier";B1784,A1784}))</f>
        <v>23.64952382</v>
      </c>
      <c r="AY1784" s="82">
        <f t="shared" si="2"/>
        <v>-6.852267251</v>
      </c>
      <c r="AZ1784" s="82">
        <v>4.637195334250421</v>
      </c>
      <c r="BA1784" s="84">
        <v>1700.0</v>
      </c>
      <c r="BB1784" s="84" t="b">
        <f>IFERROR(__xludf.DUMMYFUNCTION("iferror(if(A1784="""",,E1784&gt;=FILTER(Constants!$F$2:$F$10,Constants!$A$2:$A$10=A1784)))"),TRUE)</f>
        <v>1</v>
      </c>
    </row>
    <row r="1785">
      <c r="A1785" s="89" t="str">
        <f>IFERROR(__xludf.DUMMYFUNCTION("""COMPUTED_VALUE"""),"Rival")</f>
        <v>Rival</v>
      </c>
      <c r="B1785" s="87" t="str">
        <f>IFERROR(__xludf.DUMMYFUNCTION("""COMPUTED_VALUE"""),"RSC003118")</f>
        <v>RSC003118</v>
      </c>
      <c r="C1785" s="73" t="str">
        <f>IFERROR(__xludf.DUMMYFUNCTION("""COMPUTED_VALUE"""),"Mysty")</f>
        <v>Mysty</v>
      </c>
      <c r="D1785" s="73" t="str">
        <f>IFERROR(__xludf.DUMMYFUNCTION("""COMPUTED_VALUE"""),"Necrotic Nerds")</f>
        <v>Necrotic Nerds</v>
      </c>
      <c r="E1785" s="82">
        <f>IFERROR(__xludf.DUMMYFUNCTION("""COMPUTED_VALUE"""),28.0)</f>
        <v>28</v>
      </c>
      <c r="F1785" s="82">
        <f>IFERROR(__xludf.DUMMYFUNCTION("""COMPUTED_VALUE"""),13.0)</f>
        <v>13</v>
      </c>
      <c r="G1785" s="86">
        <f>IFERROR(__xludf.DUMMYFUNCTION("""COMPUTED_VALUE"""),15.0)</f>
        <v>15</v>
      </c>
      <c r="H1785" s="86">
        <f>IFERROR(__xludf.DUMMYFUNCTION("""COMPUTED_VALUE"""),0.4642857142857143)</f>
        <v>0.4642857143</v>
      </c>
      <c r="I1785" s="86">
        <f>IFERROR(__xludf.DUMMYFUNCTION("""COMPUTED_VALUE"""),0.2638888888888889)</f>
        <v>0.2638888889</v>
      </c>
      <c r="J1785" s="82">
        <f>IFERROR(__xludf.DUMMYFUNCTION("""COMPUTED_VALUE"""),310.60714285714283)</f>
        <v>310.6071429</v>
      </c>
      <c r="K1785" s="82">
        <f>IFERROR(__xludf.DUMMYFUNCTION("""COMPUTED_VALUE"""),0.6785714285714286)</f>
        <v>0.6785714286</v>
      </c>
      <c r="L1785" s="82">
        <f>IFERROR(__xludf.DUMMYFUNCTION("""COMPUTED_VALUE"""),0.7857142857142857)</f>
        <v>0.7857142857</v>
      </c>
      <c r="M1785" s="82">
        <f>IFERROR(__xludf.DUMMYFUNCTION("""COMPUTED_VALUE"""),0.8928571428571429)</f>
        <v>0.8928571429</v>
      </c>
      <c r="N1785" s="82">
        <f>IFERROR(__xludf.DUMMYFUNCTION("""COMPUTED_VALUE"""),2.5714285714285716)</f>
        <v>2.571428571</v>
      </c>
      <c r="O1785" s="82">
        <f>IFERROR(__xludf.DUMMYFUNCTION("""COMPUTED_VALUE"""),375.2142857142858)</f>
        <v>375.2142857</v>
      </c>
      <c r="P1785" s="82">
        <f>IFERROR(__xludf.DUMMYFUNCTION("""COMPUTED_VALUE"""),1.0000000000000002)</f>
        <v>1</v>
      </c>
      <c r="Q1785" s="82">
        <f>IFERROR(__xludf.DUMMYFUNCTION("""COMPUTED_VALUE"""),0.6190476190476192)</f>
        <v>0.619047619</v>
      </c>
      <c r="R1785" s="82">
        <f>IFERROR(__xludf.DUMMYFUNCTION("""COMPUTED_VALUE"""),1.261904761904762)</f>
        <v>1.261904762</v>
      </c>
      <c r="S1785" s="82">
        <f>IFERROR(__xludf.DUMMYFUNCTION("""COMPUTED_VALUE"""),2.785714285714286)</f>
        <v>2.785714286</v>
      </c>
      <c r="T1785" s="82">
        <f>IFERROR(__xludf.DUMMYFUNCTION("""COMPUTED_VALUE"""),337.22398796177566)</f>
        <v>337.223988</v>
      </c>
      <c r="U1785" s="82">
        <f>IFERROR(__xludf.DUMMYFUNCTION("""COMPUTED_VALUE"""),0.77561105107812)</f>
        <v>0.7756110511</v>
      </c>
      <c r="V1785" s="82">
        <f>IFERROR(__xludf.DUMMYFUNCTION("""COMPUTED_VALUE"""),0.5383445261344743)</f>
        <v>0.5383445261</v>
      </c>
      <c r="W1785" s="82">
        <f>IFERROR(__xludf.DUMMYFUNCTION("""COMPUTED_VALUE"""),1.3085850420361977)</f>
        <v>1.308585042</v>
      </c>
      <c r="X1785" s="82">
        <f>IFERROR(__xludf.DUMMYFUNCTION("""COMPUTED_VALUE"""),2.5494574073639744)</f>
        <v>2.549457407</v>
      </c>
      <c r="Y1785" s="82">
        <f>IFERROR(__xludf.DUMMYFUNCTION("""COMPUTED_VALUE"""),353.9575528392899)</f>
        <v>353.9575528</v>
      </c>
      <c r="Z1785" s="82">
        <f>IFERROR(__xludf.DUMMYFUNCTION("""COMPUTED_VALUE"""),0.8354258256198037)</f>
        <v>0.8354258256</v>
      </c>
      <c r="AA1785" s="82">
        <f>IFERROR(__xludf.DUMMYFUNCTION("""COMPUTED_VALUE"""),0.5863038474408117)</f>
        <v>0.5863038474</v>
      </c>
      <c r="AB1785" s="82">
        <f>IFERROR(__xludf.DUMMYFUNCTION("""COMPUTED_VALUE"""),1.3339385875020469)</f>
        <v>1.333938588</v>
      </c>
      <c r="AC1785" s="82">
        <f>IFERROR(__xludf.DUMMYFUNCTION("""COMPUTED_VALUE"""),2.640687461488611)</f>
        <v>2.640687461</v>
      </c>
      <c r="AD1785" s="82">
        <f>IFERROR(__xludf.DUMMYFUNCTION("""COMPUTED_VALUE"""),0.8775265292846292)</f>
        <v>0.8775265293</v>
      </c>
      <c r="AE1785" s="82">
        <f>IFERROR(__xludf.DUMMYFUNCTION("""COMPUTED_VALUE"""),0.8122461716670004)</f>
        <v>0.8122461717</v>
      </c>
      <c r="AF1785" s="82">
        <f>IFERROR(__xludf.DUMMYFUNCTION("""COMPUTED_VALUE"""),1.340114497190989)</f>
        <v>1.340114497</v>
      </c>
      <c r="AG1785" s="82">
        <f>IFERROR(__xludf.DUMMYFUNCTION("""COMPUTED_VALUE"""),0.6693390169701293)</f>
        <v>0.669339017</v>
      </c>
      <c r="AH1785" s="82">
        <f>IFERROR(__xludf.DUMMYFUNCTION("""COMPUTED_VALUE"""),0.9737724016680881)</f>
        <v>0.9737724017</v>
      </c>
      <c r="AI1785" s="82">
        <f>IFERROR(__xludf.DUMMYFUNCTION("""COMPUTED_VALUE"""),1.11265597676526)</f>
        <v>1.112655977</v>
      </c>
      <c r="AJ1785" s="82">
        <f>IFERROR(__xludf.DUMMYFUNCTION("""COMPUTED_VALUE"""),1.2893060234378735)</f>
        <v>1.289306023</v>
      </c>
      <c r="AK1785" s="82">
        <f>IFERROR(__xludf.DUMMYFUNCTION("""COMPUTED_VALUE"""),1.1499097492318253)</f>
        <v>1.149909749</v>
      </c>
      <c r="AL1785" s="82">
        <f>IFERROR(__xludf.DUMMYFUNCTION("""COMPUTED_VALUE"""),0.9643276679528602)</f>
        <v>0.964327668</v>
      </c>
      <c r="AM1785" s="82">
        <f>IFERROR(__xludf.DUMMYFUNCTION("""COMPUTED_VALUE"""),1.0926694745587417)</f>
        <v>1.092669475</v>
      </c>
      <c r="AN1785" s="82">
        <f>IFERROR(__xludf.DUMMYFUNCTION("""COMPUTED_VALUE"""),0.9164049824164726)</f>
        <v>0.9164049824</v>
      </c>
      <c r="AO1785" s="82">
        <f>IFERROR(__xludf.DUMMYFUNCTION("""COMPUTED_VALUE"""),0.9236534202197707)</f>
        <v>0.9236534202</v>
      </c>
      <c r="AP1785" s="82">
        <f>IFERROR(__xludf.DUMMYFUNCTION("""COMPUTED_VALUE"""),1.40300139305835)</f>
        <v>1.403001393</v>
      </c>
      <c r="AQ1785" s="82">
        <f>IFERROR(__xludf.DUMMYFUNCTION("""COMPUTED_VALUE"""),0.681344001428448)</f>
        <v>0.6813440014</v>
      </c>
      <c r="AR1785" s="82">
        <f>IFERROR(__xludf.DUMMYFUNCTION("""COMPUTED_VALUE"""),1.0325589272859683)</f>
        <v>1.032558927</v>
      </c>
      <c r="AS1785" s="82">
        <f>IFERROR(__xludf.DUMMYFUNCTION("""COMPUTED_VALUE"""),73.0)</f>
        <v>73</v>
      </c>
      <c r="AT1785" s="82">
        <f>IFERROR(__xludf.DUMMYFUNCTION("""COMPUTED_VALUE"""),0.4427003546384597)</f>
        <v>0.4427003546</v>
      </c>
      <c r="AU1785" s="82">
        <f>IFERROR(__xludf.DUMMYFUNCTION("""COMPUTED_VALUE"""),1.906572438199368)</f>
        <v>1.906572438</v>
      </c>
      <c r="AV1785" s="82">
        <f>IFERROR(__xludf.DUMMYFUNCTION("""COMPUTED_VALUE"""),46.83224767782563)</f>
        <v>46.83224768</v>
      </c>
      <c r="AW1785" s="82">
        <f t="shared" si="1"/>
        <v>-2.22427385</v>
      </c>
      <c r="AX1785" s="83">
        <f t="array" ref="AX1785">IFERROR(DGET('SBV Import'!A:G,"SBV",{"RSC ID","Tier";B1785,A1785}))</f>
        <v>38.59077971</v>
      </c>
      <c r="AY1785" s="82">
        <f t="shared" si="2"/>
        <v>-3.085825496</v>
      </c>
      <c r="AZ1785" s="82">
        <v>0.8615516465217565</v>
      </c>
      <c r="BA1785" s="84">
        <v>1700.0</v>
      </c>
      <c r="BB1785" s="84" t="b">
        <f>IFERROR(__xludf.DUMMYFUNCTION("iferror(if(A1785="""",,E1785&gt;=FILTER(Constants!$F$2:$F$10,Constants!$A$2:$A$10=A1785)))"),TRUE)</f>
        <v>1</v>
      </c>
    </row>
    <row r="1786">
      <c r="A1786" s="89" t="str">
        <f>IFERROR(__xludf.DUMMYFUNCTION("""COMPUTED_VALUE"""),"Rival")</f>
        <v>Rival</v>
      </c>
      <c r="B1786" s="87" t="str">
        <f>IFERROR(__xludf.DUMMYFUNCTION("""COMPUTED_VALUE"""),"RSC007144")</f>
        <v>RSC007144</v>
      </c>
      <c r="C1786" s="73" t="str">
        <f>IFERROR(__xludf.DUMMYFUNCTION("""COMPUTED_VALUE"""),"The_Killerwon")</f>
        <v>The_Killerwon</v>
      </c>
      <c r="D1786" s="73" t="str">
        <f>IFERROR(__xludf.DUMMYFUNCTION("""COMPUTED_VALUE"""),"Wind")</f>
        <v>Wind</v>
      </c>
      <c r="E1786" s="82">
        <f>IFERROR(__xludf.DUMMYFUNCTION("""COMPUTED_VALUE"""),32.0)</f>
        <v>32</v>
      </c>
      <c r="F1786" s="82">
        <f>IFERROR(__xludf.DUMMYFUNCTION("""COMPUTED_VALUE"""),16.0)</f>
        <v>16</v>
      </c>
      <c r="G1786" s="86">
        <f>IFERROR(__xludf.DUMMYFUNCTION("""COMPUTED_VALUE"""),16.0)</f>
        <v>16</v>
      </c>
      <c r="H1786" s="86">
        <f>IFERROR(__xludf.DUMMYFUNCTION("""COMPUTED_VALUE"""),0.5)</f>
        <v>0.5</v>
      </c>
      <c r="I1786" s="86">
        <f>IFERROR(__xludf.DUMMYFUNCTION("""COMPUTED_VALUE"""),0.358974358974359)</f>
        <v>0.358974359</v>
      </c>
      <c r="J1786" s="82">
        <f>IFERROR(__xludf.DUMMYFUNCTION("""COMPUTED_VALUE"""),338.125)</f>
        <v>338.125</v>
      </c>
      <c r="K1786" s="82">
        <f>IFERROR(__xludf.DUMMYFUNCTION("""COMPUTED_VALUE"""),0.875)</f>
        <v>0.875</v>
      </c>
      <c r="L1786" s="82">
        <f>IFERROR(__xludf.DUMMYFUNCTION("""COMPUTED_VALUE"""),0.4375)</f>
        <v>0.4375</v>
      </c>
      <c r="M1786" s="82">
        <f>IFERROR(__xludf.DUMMYFUNCTION("""COMPUTED_VALUE"""),1.28125)</f>
        <v>1.28125</v>
      </c>
      <c r="N1786" s="82">
        <f>IFERROR(__xludf.DUMMYFUNCTION("""COMPUTED_VALUE"""),2.4375)</f>
        <v>2.4375</v>
      </c>
      <c r="O1786" s="82">
        <f>IFERROR(__xludf.DUMMYFUNCTION("""COMPUTED_VALUE"""),376.3854166666667)</f>
        <v>376.3854167</v>
      </c>
      <c r="P1786" s="82">
        <f>IFERROR(__xludf.DUMMYFUNCTION("""COMPUTED_VALUE"""),0.8854166666666666)</f>
        <v>0.8854166667</v>
      </c>
      <c r="Q1786" s="82">
        <f>IFERROR(__xludf.DUMMYFUNCTION("""COMPUTED_VALUE"""),0.6562500000000001)</f>
        <v>0.65625</v>
      </c>
      <c r="R1786" s="82">
        <f>IFERROR(__xludf.DUMMYFUNCTION("""COMPUTED_VALUE"""),1.4375)</f>
        <v>1.4375</v>
      </c>
      <c r="S1786" s="82">
        <f>IFERROR(__xludf.DUMMYFUNCTION("""COMPUTED_VALUE"""),2.7604166666666665)</f>
        <v>2.760416667</v>
      </c>
      <c r="T1786" s="82">
        <f>IFERROR(__xludf.DUMMYFUNCTION("""COMPUTED_VALUE"""),353.21568080043477)</f>
        <v>353.2156808</v>
      </c>
      <c r="U1786" s="82">
        <f>IFERROR(__xludf.DUMMYFUNCTION("""COMPUTED_VALUE"""),0.8314543429020648)</f>
        <v>0.8314543429</v>
      </c>
      <c r="V1786" s="82">
        <f>IFERROR(__xludf.DUMMYFUNCTION("""COMPUTED_VALUE"""),0.5531754307655752)</f>
        <v>0.5531754308</v>
      </c>
      <c r="W1786" s="82">
        <f>IFERROR(__xludf.DUMMYFUNCTION("""COMPUTED_VALUE"""),1.3428492124313498)</f>
        <v>1.342849212</v>
      </c>
      <c r="X1786" s="82">
        <f>IFERROR(__xludf.DUMMYFUNCTION("""COMPUTED_VALUE"""),2.6956774002593136)</f>
        <v>2.6956774</v>
      </c>
      <c r="Y1786" s="82">
        <f>IFERROR(__xludf.DUMMYFUNCTION("""COMPUTED_VALUE"""),353.8091560960509)</f>
        <v>353.8091561</v>
      </c>
      <c r="Z1786" s="82">
        <f>IFERROR(__xludf.DUMMYFUNCTION("""COMPUTED_VALUE"""),0.8279108663101292)</f>
        <v>0.8279108663</v>
      </c>
      <c r="AA1786" s="82">
        <f>IFERROR(__xludf.DUMMYFUNCTION("""COMPUTED_VALUE"""),0.5806548361106761)</f>
        <v>0.5806548361</v>
      </c>
      <c r="AB1786" s="82">
        <f>IFERROR(__xludf.DUMMYFUNCTION("""COMPUTED_VALUE"""),1.3588875940398224)</f>
        <v>1.358887594</v>
      </c>
      <c r="AC1786" s="82">
        <f>IFERROR(__xludf.DUMMYFUNCTION("""COMPUTED_VALUE"""),2.6324007791041346)</f>
        <v>2.632400779</v>
      </c>
      <c r="AD1786" s="82">
        <f>IFERROR(__xludf.DUMMYFUNCTION("""COMPUTED_VALUE"""),0.9556705759989065)</f>
        <v>0.955670576</v>
      </c>
      <c r="AE1786" s="82">
        <f>IFERROR(__xludf.DUMMYFUNCTION("""COMPUTED_VALUE"""),1.056877057188221)</f>
        <v>1.056877057</v>
      </c>
      <c r="AF1786" s="82">
        <f>IFERROR(__xludf.DUMMYFUNCTION("""COMPUTED_VALUE"""),0.753459667933619)</f>
        <v>0.7534596679</v>
      </c>
      <c r="AG1786" s="82">
        <f>IFERROR(__xludf.DUMMYFUNCTION("""COMPUTED_VALUE"""),0.9428668019486333)</f>
        <v>0.9428668019</v>
      </c>
      <c r="AH1786" s="82">
        <f>IFERROR(__xludf.DUMMYFUNCTION("""COMPUTED_VALUE"""),0.9259608260826971)</f>
        <v>0.9259608261</v>
      </c>
      <c r="AI1786" s="82">
        <f>IFERROR(__xludf.DUMMYFUNCTION("""COMPUTED_VALUE"""),1.0655965664200586)</f>
        <v>1.065596566</v>
      </c>
      <c r="AJ1786" s="82">
        <f>IFERROR(__xludf.DUMMYFUNCTION("""COMPUTED_VALUE"""),1.0649011268330797)</f>
        <v>1.064901127</v>
      </c>
      <c r="AK1786" s="82">
        <f>IFERROR(__xludf.DUMMYFUNCTION("""COMPUTED_VALUE"""),1.186332514970474)</f>
        <v>1.186332515</v>
      </c>
      <c r="AL1786" s="82">
        <f>IFERROR(__xludf.DUMMYFUNCTION("""COMPUTED_VALUE"""),1.0704850452995214)</f>
        <v>1.070485045</v>
      </c>
      <c r="AM1786" s="82">
        <f>IFERROR(__xludf.DUMMYFUNCTION("""COMPUTED_VALUE"""),1.0240159547285315)</f>
        <v>1.024015955</v>
      </c>
      <c r="AN1786" s="82">
        <f>IFERROR(__xludf.DUMMYFUNCTION("""COMPUTED_VALUE"""),0.9975927527915321)</f>
        <v>0.9975927528</v>
      </c>
      <c r="AO1786" s="82">
        <f>IFERROR(__xludf.DUMMYFUNCTION("""COMPUTED_VALUE"""),1.191026778704441)</f>
        <v>1.191026779</v>
      </c>
      <c r="AP1786" s="82">
        <f>IFERROR(__xludf.DUMMYFUNCTION("""COMPUTED_VALUE"""),0.7812166847711267)</f>
        <v>0.7812166848</v>
      </c>
      <c r="AQ1786" s="82">
        <f>IFERROR(__xludf.DUMMYFUNCTION("""COMPUTED_VALUE"""),0.9777286420498228)</f>
        <v>0.977728642</v>
      </c>
      <c r="AR1786" s="82">
        <f>IFERROR(__xludf.DUMMYFUNCTION("""COMPUTED_VALUE"""),0.9787798164898242)</f>
        <v>0.9787798165</v>
      </c>
      <c r="AS1786" s="82">
        <f>IFERROR(__xludf.DUMMYFUNCTION("""COMPUTED_VALUE"""),83.0)</f>
        <v>83</v>
      </c>
      <c r="AT1786" s="82">
        <f>IFERROR(__xludf.DUMMYFUNCTION("""COMPUTED_VALUE"""),0.49042047866395627)</f>
        <v>0.4904204787</v>
      </c>
      <c r="AU1786" s="82">
        <f>IFERROR(__xludf.DUMMYFUNCTION("""COMPUTED_VALUE"""),1.8947617355761435)</f>
        <v>1.894761736</v>
      </c>
      <c r="AV1786" s="82">
        <f>IFERROR(__xludf.DUMMYFUNCTION("""COMPUTED_VALUE"""),46.415045599135844)</f>
        <v>46.4150456</v>
      </c>
      <c r="AW1786" s="82">
        <f t="shared" si="1"/>
        <v>-2.257398196</v>
      </c>
      <c r="AX1786" s="83">
        <f t="array" ref="AX1786">IFERROR(DGET('SBV Import'!A:G,"SBV",{"RSC ID","Tier";B1786,A1786}))</f>
        <v>36.20776928</v>
      </c>
      <c r="AY1786" s="82">
        <f t="shared" si="2"/>
        <v>-3.441385432</v>
      </c>
      <c r="AZ1786" s="82">
        <v>1.183987235529468</v>
      </c>
      <c r="BA1786" s="84">
        <v>1700.0</v>
      </c>
      <c r="BB1786" s="84" t="b">
        <f>IFERROR(__xludf.DUMMYFUNCTION("iferror(if(A1786="""",,E1786&gt;=FILTER(Constants!$F$2:$F$10,Constants!$A$2:$A$10=A1786)))"),TRUE)</f>
        <v>1</v>
      </c>
    </row>
    <row r="1787">
      <c r="A1787" s="89" t="str">
        <f>IFERROR(__xludf.DUMMYFUNCTION("""COMPUTED_VALUE"""),"Rival")</f>
        <v>Rival</v>
      </c>
      <c r="B1787" s="87" t="str">
        <f>IFERROR(__xludf.DUMMYFUNCTION("""COMPUTED_VALUE"""),"RSC000828")</f>
        <v>RSC000828</v>
      </c>
      <c r="C1787" s="73" t="str">
        <f>IFERROR(__xludf.DUMMYFUNCTION("""COMPUTED_VALUE"""),"MattViaAirwaves")</f>
        <v>MattViaAirwaves</v>
      </c>
      <c r="D1787" s="73" t="str">
        <f>IFERROR(__xludf.DUMMYFUNCTION("""COMPUTED_VALUE"""),"Polar Ice")</f>
        <v>Polar Ice</v>
      </c>
      <c r="E1787" s="82">
        <f>IFERROR(__xludf.DUMMYFUNCTION("""COMPUTED_VALUE"""),16.0)</f>
        <v>16</v>
      </c>
      <c r="F1787" s="82">
        <f>IFERROR(__xludf.DUMMYFUNCTION("""COMPUTED_VALUE"""),6.0)</f>
        <v>6</v>
      </c>
      <c r="G1787" s="86">
        <f>IFERROR(__xludf.DUMMYFUNCTION("""COMPUTED_VALUE"""),10.0)</f>
        <v>10</v>
      </c>
      <c r="H1787" s="86">
        <f>IFERROR(__xludf.DUMMYFUNCTION("""COMPUTED_VALUE"""),0.375)</f>
        <v>0.375</v>
      </c>
      <c r="I1787" s="86">
        <f>IFERROR(__xludf.DUMMYFUNCTION("""COMPUTED_VALUE"""),0.275)</f>
        <v>0.275</v>
      </c>
      <c r="J1787" s="82">
        <f>IFERROR(__xludf.DUMMYFUNCTION("""COMPUTED_VALUE"""),324.0625)</f>
        <v>324.0625</v>
      </c>
      <c r="K1787" s="82">
        <f>IFERROR(__xludf.DUMMYFUNCTION("""COMPUTED_VALUE"""),0.6875)</f>
        <v>0.6875</v>
      </c>
      <c r="L1787" s="82">
        <f>IFERROR(__xludf.DUMMYFUNCTION("""COMPUTED_VALUE"""),0.6875)</f>
        <v>0.6875</v>
      </c>
      <c r="M1787" s="82">
        <f>IFERROR(__xludf.DUMMYFUNCTION("""COMPUTED_VALUE"""),1.1875)</f>
        <v>1.1875</v>
      </c>
      <c r="N1787" s="82">
        <f>IFERROR(__xludf.DUMMYFUNCTION("""COMPUTED_VALUE"""),2.5)</f>
        <v>2.5</v>
      </c>
      <c r="O1787" s="82">
        <f>IFERROR(__xludf.DUMMYFUNCTION("""COMPUTED_VALUE"""),382.75)</f>
        <v>382.75</v>
      </c>
      <c r="P1787" s="82">
        <f>IFERROR(__xludf.DUMMYFUNCTION("""COMPUTED_VALUE"""),1.0416666666666667)</f>
        <v>1.041666667</v>
      </c>
      <c r="Q1787" s="82">
        <f>IFERROR(__xludf.DUMMYFUNCTION("""COMPUTED_VALUE"""),0.7708333333333333)</f>
        <v>0.7708333333</v>
      </c>
      <c r="R1787" s="82">
        <f>IFERROR(__xludf.DUMMYFUNCTION("""COMPUTED_VALUE"""),1.2291666666666665)</f>
        <v>1.229166667</v>
      </c>
      <c r="S1787" s="82">
        <f>IFERROR(__xludf.DUMMYFUNCTION("""COMPUTED_VALUE"""),2.666666666666666)</f>
        <v>2.666666667</v>
      </c>
      <c r="T1787" s="82">
        <f>IFERROR(__xludf.DUMMYFUNCTION("""COMPUTED_VALUE"""),338.9060620706456)</f>
        <v>338.9060621</v>
      </c>
      <c r="U1787" s="82">
        <f>IFERROR(__xludf.DUMMYFUNCTION("""COMPUTED_VALUE"""),0.7624321473279808)</f>
        <v>0.7624321473</v>
      </c>
      <c r="V1787" s="82">
        <f>IFERROR(__xludf.DUMMYFUNCTION("""COMPUTED_VALUE"""),0.5215460658168992)</f>
        <v>0.5215460658</v>
      </c>
      <c r="W1787" s="82">
        <f>IFERROR(__xludf.DUMMYFUNCTION("""COMPUTED_VALUE"""),1.230744486994487)</f>
        <v>1.230744487</v>
      </c>
      <c r="X1787" s="82">
        <f>IFERROR(__xludf.DUMMYFUNCTION("""COMPUTED_VALUE"""),2.527720100115933)</f>
        <v>2.5277201</v>
      </c>
      <c r="Y1787" s="82">
        <f>IFERROR(__xludf.DUMMYFUNCTION("""COMPUTED_VALUE"""),332.21024314548623)</f>
        <v>332.2102431</v>
      </c>
      <c r="Z1787" s="82">
        <f>IFERROR(__xludf.DUMMYFUNCTION("""COMPUTED_VALUE"""),0.7054604474743362)</f>
        <v>0.7054604475</v>
      </c>
      <c r="AA1787" s="82">
        <f>IFERROR(__xludf.DUMMYFUNCTION("""COMPUTED_VALUE"""),0.500483769060158)</f>
        <v>0.5004837691</v>
      </c>
      <c r="AB1787" s="82">
        <f>IFERROR(__xludf.DUMMYFUNCTION("""COMPUTED_VALUE"""),1.3022045855379192)</f>
        <v>1.302204586</v>
      </c>
      <c r="AC1787" s="82">
        <f>IFERROR(__xludf.DUMMYFUNCTION("""COMPUTED_VALUE"""),2.324412874933708)</f>
        <v>2.324412875</v>
      </c>
      <c r="AD1787" s="82">
        <f>IFERROR(__xludf.DUMMYFUNCTION("""COMPUTED_VALUE"""),0.9754741362929076)</f>
        <v>0.9754741363</v>
      </c>
      <c r="AE1787" s="82">
        <f>IFERROR(__xludf.DUMMYFUNCTION("""COMPUTED_VALUE"""),0.9745408158052835)</f>
        <v>0.9745408158</v>
      </c>
      <c r="AF1787" s="82">
        <f>IFERROR(__xludf.DUMMYFUNCTION("""COMPUTED_VALUE"""),1.3736709210191445)</f>
        <v>1.373670921</v>
      </c>
      <c r="AG1787" s="82">
        <f>IFERROR(__xludf.DUMMYFUNCTION("""COMPUTED_VALUE"""),0.911915080923681)</f>
        <v>0.9119150809</v>
      </c>
      <c r="AH1787" s="82">
        <f>IFERROR(__xludf.DUMMYFUNCTION("""COMPUTED_VALUE"""),1.0755404201034207)</f>
        <v>1.07554042</v>
      </c>
      <c r="AI1787" s="82">
        <f>IFERROR(__xludf.DUMMYFUNCTION("""COMPUTED_VALUE"""),1.1293689987764663)</f>
        <v>1.129368999</v>
      </c>
      <c r="AJ1787" s="82">
        <f>IFERROR(__xludf.DUMMYFUNCTION("""COMPUTED_VALUE"""),1.36624179648942)</f>
        <v>1.366241796</v>
      </c>
      <c r="AK1787" s="82">
        <f>IFERROR(__xludf.DUMMYFUNCTION("""COMPUTED_VALUE"""),1.4779774671024977)</f>
        <v>1.477977467</v>
      </c>
      <c r="AL1787" s="82">
        <f>IFERROR(__xludf.DUMMYFUNCTION("""COMPUTED_VALUE"""),0.9987179952098152)</f>
        <v>0.9987179952</v>
      </c>
      <c r="AM1787" s="82">
        <f>IFERROR(__xludf.DUMMYFUNCTION("""COMPUTED_VALUE"""),1.0549691267416674)</f>
        <v>1.054969127</v>
      </c>
      <c r="AN1787" s="82">
        <f>IFERROR(__xludf.DUMMYFUNCTION("""COMPUTED_VALUE"""),0.9561032205589823)</f>
        <v>0.9561032206</v>
      </c>
      <c r="AO1787" s="82">
        <f>IFERROR(__xludf.DUMMYFUNCTION("""COMPUTED_VALUE"""),0.9358067546963467)</f>
        <v>0.9358067547</v>
      </c>
      <c r="AP1787" s="82">
        <f>IFERROR(__xludf.DUMMYFUNCTION("""COMPUTED_VALUE"""),1.2276262189260563)</f>
        <v>1.227626219</v>
      </c>
      <c r="AQ1787" s="82">
        <f>IFERROR(__xludf.DUMMYFUNCTION("""COMPUTED_VALUE"""),0.9061875218998358)</f>
        <v>0.9061875219</v>
      </c>
      <c r="AR1787" s="82">
        <f>IFERROR(__xludf.DUMMYFUNCTION("""COMPUTED_VALUE"""),1.003876734861358)</f>
        <v>1.003876735</v>
      </c>
      <c r="AS1787" s="82">
        <f>IFERROR(__xludf.DUMMYFUNCTION("""COMPUTED_VALUE"""),37.0)</f>
        <v>37</v>
      </c>
      <c r="AT1787" s="82">
        <f>IFERROR(__xludf.DUMMYFUNCTION("""COMPUTED_VALUE"""),0.3800047242128176)</f>
        <v>0.3800047242</v>
      </c>
      <c r="AU1787" s="82">
        <f>IFERROR(__xludf.DUMMYFUNCTION("""COMPUTED_VALUE"""),1.8913303718178276)</f>
        <v>1.891330372</v>
      </c>
      <c r="AV1787" s="82">
        <f>IFERROR(__xludf.DUMMYFUNCTION("""COMPUTED_VALUE"""),46.293835867727054)</f>
        <v>46.29383587</v>
      </c>
      <c r="AW1787" s="82">
        <f t="shared" si="1"/>
        <v>-2.267192787</v>
      </c>
      <c r="AX1787" s="83">
        <f t="array" ref="AX1787">IFERROR(DGET('SBV Import'!A:G,"SBV",{"RSC ID","Tier";B1787,A1787}))</f>
        <v>49.27624779</v>
      </c>
      <c r="AY1787" s="82">
        <f t="shared" si="2"/>
        <v>-2.04728324</v>
      </c>
      <c r="AZ1787" s="82">
        <v>0.21990954719057276</v>
      </c>
      <c r="BA1787" s="84">
        <v>1700.0</v>
      </c>
      <c r="BB1787" s="84" t="b">
        <f>IFERROR(__xludf.DUMMYFUNCTION("iferror(if(A1787="""",,E1787&gt;=FILTER(Constants!$F$2:$F$10,Constants!$A$2:$A$10=A1787)))"),TRUE)</f>
        <v>1</v>
      </c>
    </row>
    <row r="1788">
      <c r="A1788" s="89" t="str">
        <f>IFERROR(__xludf.DUMMYFUNCTION("""COMPUTED_VALUE"""),"Rival")</f>
        <v>Rival</v>
      </c>
      <c r="B1788" s="87" t="str">
        <f>IFERROR(__xludf.DUMMYFUNCTION("""COMPUTED_VALUE"""),"RSC002616")</f>
        <v>RSC002616</v>
      </c>
      <c r="C1788" s="73" t="str">
        <f>IFERROR(__xludf.DUMMYFUNCTION("""COMPUTED_VALUE"""),"Ruthle")</f>
        <v>Ruthle</v>
      </c>
      <c r="D1788" s="73" t="str">
        <f>IFERROR(__xludf.DUMMYFUNCTION("""COMPUTED_VALUE"""),"50 Cent")</f>
        <v>50 Cent</v>
      </c>
      <c r="E1788" s="82">
        <f>IFERROR(__xludf.DUMMYFUNCTION("""COMPUTED_VALUE"""),24.0)</f>
        <v>24</v>
      </c>
      <c r="F1788" s="82">
        <f>IFERROR(__xludf.DUMMYFUNCTION("""COMPUTED_VALUE"""),9.0)</f>
        <v>9</v>
      </c>
      <c r="G1788" s="86">
        <f>IFERROR(__xludf.DUMMYFUNCTION("""COMPUTED_VALUE"""),15.0)</f>
        <v>15</v>
      </c>
      <c r="H1788" s="86">
        <f>IFERROR(__xludf.DUMMYFUNCTION("""COMPUTED_VALUE"""),0.375)</f>
        <v>0.375</v>
      </c>
      <c r="I1788" s="86">
        <f>IFERROR(__xludf.DUMMYFUNCTION("""COMPUTED_VALUE"""),0.2909090909090909)</f>
        <v>0.2909090909</v>
      </c>
      <c r="J1788" s="82">
        <f>IFERROR(__xludf.DUMMYFUNCTION("""COMPUTED_VALUE"""),331.4166666666667)</f>
        <v>331.4166667</v>
      </c>
      <c r="K1788" s="82">
        <f>IFERROR(__xludf.DUMMYFUNCTION("""COMPUTED_VALUE"""),0.6666666666666666)</f>
        <v>0.6666666667</v>
      </c>
      <c r="L1788" s="82">
        <f>IFERROR(__xludf.DUMMYFUNCTION("""COMPUTED_VALUE"""),0.75)</f>
        <v>0.75</v>
      </c>
      <c r="M1788" s="82">
        <f>IFERROR(__xludf.DUMMYFUNCTION("""COMPUTED_VALUE"""),1.0)</f>
        <v>1</v>
      </c>
      <c r="N1788" s="82">
        <f>IFERROR(__xludf.DUMMYFUNCTION("""COMPUTED_VALUE"""),2.2916666666666665)</f>
        <v>2.291666667</v>
      </c>
      <c r="O1788" s="82">
        <f>IFERROR(__xludf.DUMMYFUNCTION("""COMPUTED_VALUE"""),374.8611111111111)</f>
        <v>374.8611111</v>
      </c>
      <c r="P1788" s="82">
        <f>IFERROR(__xludf.DUMMYFUNCTION("""COMPUTED_VALUE"""),1.0138888888888888)</f>
        <v>1.013888889</v>
      </c>
      <c r="Q1788" s="82">
        <f>IFERROR(__xludf.DUMMYFUNCTION("""COMPUTED_VALUE"""),0.6944444444444445)</f>
        <v>0.6944444444</v>
      </c>
      <c r="R1788" s="82">
        <f>IFERROR(__xludf.DUMMYFUNCTION("""COMPUTED_VALUE"""),1.2916666666666665)</f>
        <v>1.291666667</v>
      </c>
      <c r="S1788" s="82">
        <f>IFERROR(__xludf.DUMMYFUNCTION("""COMPUTED_VALUE"""),2.777777777777778)</f>
        <v>2.777777778</v>
      </c>
      <c r="T1788" s="82">
        <f>IFERROR(__xludf.DUMMYFUNCTION("""COMPUTED_VALUE"""),356.6944190334603)</f>
        <v>356.694419</v>
      </c>
      <c r="U1788" s="82">
        <f>IFERROR(__xludf.DUMMYFUNCTION("""COMPUTED_VALUE"""),0.82261781096192)</f>
        <v>0.822617811</v>
      </c>
      <c r="V1788" s="82">
        <f>IFERROR(__xludf.DUMMYFUNCTION("""COMPUTED_VALUE"""),0.5731965452331831)</f>
        <v>0.5731965452</v>
      </c>
      <c r="W1788" s="82">
        <f>IFERROR(__xludf.DUMMYFUNCTION("""COMPUTED_VALUE"""),1.4258426452555717)</f>
        <v>1.425842645</v>
      </c>
      <c r="X1788" s="82">
        <f>IFERROR(__xludf.DUMMYFUNCTION("""COMPUTED_VALUE"""),2.6532755518356)</f>
        <v>2.653275552</v>
      </c>
      <c r="Y1788" s="82">
        <f>IFERROR(__xludf.DUMMYFUNCTION("""COMPUTED_VALUE"""),342.81079408993077)</f>
        <v>342.8107941</v>
      </c>
      <c r="Z1788" s="82">
        <f>IFERROR(__xludf.DUMMYFUNCTION("""COMPUTED_VALUE"""),0.7627009295121545)</f>
        <v>0.7627009295</v>
      </c>
      <c r="AA1788" s="82">
        <f>IFERROR(__xludf.DUMMYFUNCTION("""COMPUTED_VALUE"""),0.5720349142711872)</f>
        <v>0.5720349143</v>
      </c>
      <c r="AB1788" s="82">
        <f>IFERROR(__xludf.DUMMYFUNCTION("""COMPUTED_VALUE"""),1.2949722721982273)</f>
        <v>1.294972272</v>
      </c>
      <c r="AC1788" s="82">
        <f>IFERROR(__xludf.DUMMYFUNCTION("""COMPUTED_VALUE"""),2.6635405410938215)</f>
        <v>2.663540541</v>
      </c>
      <c r="AD1788" s="82">
        <f>IFERROR(__xludf.DUMMYFUNCTION("""COMPUTED_VALUE"""),0.9667626351920674)</f>
        <v>0.9667626352</v>
      </c>
      <c r="AE1788" s="82">
        <f>IFERROR(__xludf.DUMMYFUNCTION("""COMPUTED_VALUE"""),0.8740866057329783)</f>
        <v>0.8740866057</v>
      </c>
      <c r="AF1788" s="82">
        <f>IFERROR(__xludf.DUMMYFUNCTION("""COMPUTED_VALUE"""),1.3111087825042163)</f>
        <v>1.311108783</v>
      </c>
      <c r="AG1788" s="82">
        <f>IFERROR(__xludf.DUMMYFUNCTION("""COMPUTED_VALUE"""),0.7722173064775285)</f>
        <v>0.7722173065</v>
      </c>
      <c r="AH1788" s="82">
        <f>IFERROR(__xludf.DUMMYFUNCTION("""COMPUTED_VALUE"""),0.8603836252199715)</f>
        <v>0.8603836252</v>
      </c>
      <c r="AI1788" s="82">
        <f>IFERROR(__xludf.DUMMYFUNCTION("""COMPUTED_VALUE"""),1.050930687749131)</f>
        <v>1.050930688</v>
      </c>
      <c r="AJ1788" s="82">
        <f>IFERROR(__xludf.DUMMYFUNCTION("""COMPUTED_VALUE"""),1.2325151186591838)</f>
        <v>1.232515119</v>
      </c>
      <c r="AK1788" s="82">
        <f>IFERROR(__xludf.DUMMYFUNCTION("""COMPUTED_VALUE"""),1.2115293614722265)</f>
        <v>1.211529361</v>
      </c>
      <c r="AL1788" s="82">
        <f>IFERROR(__xludf.DUMMYFUNCTION("""COMPUTED_VALUE"""),0.9058970644233642)</f>
        <v>0.9058970644</v>
      </c>
      <c r="AM1788" s="82">
        <f>IFERROR(__xludf.DUMMYFUNCTION("""COMPUTED_VALUE"""),1.046923971336503)</f>
        <v>1.046923971</v>
      </c>
      <c r="AN1788" s="82">
        <f>IFERROR(__xludf.DUMMYFUNCTION("""COMPUTED_VALUE"""),0.977800709267264)</f>
        <v>0.9778007093</v>
      </c>
      <c r="AO1788" s="82">
        <f>IFERROR(__xludf.DUMMYFUNCTION("""COMPUTED_VALUE"""),0.9074489742510028)</f>
        <v>0.9074489743</v>
      </c>
      <c r="AP1788" s="82">
        <f>IFERROR(__xludf.DUMMYFUNCTION("""COMPUTED_VALUE"""),1.3392286024647886)</f>
        <v>1.339228602</v>
      </c>
      <c r="AQ1788" s="82">
        <f>IFERROR(__xludf.DUMMYFUNCTION("""COMPUTED_VALUE"""),0.7631052815998617)</f>
        <v>0.7631052816</v>
      </c>
      <c r="AR1788" s="82">
        <f>IFERROR(__xludf.DUMMYFUNCTION("""COMPUTED_VALUE"""),0.9202203402895782)</f>
        <v>0.9202203403</v>
      </c>
      <c r="AS1788" s="82">
        <f>IFERROR(__xludf.DUMMYFUNCTION("""COMPUTED_VALUE"""),57.0)</f>
        <v>57</v>
      </c>
      <c r="AT1788" s="82">
        <f>IFERROR(__xludf.DUMMYFUNCTION("""COMPUTED_VALUE"""),0.4008832302538169)</f>
        <v>0.4008832303</v>
      </c>
      <c r="AU1788" s="82">
        <f>IFERROR(__xludf.DUMMYFUNCTION("""COMPUTED_VALUE"""),1.8908449252869146)</f>
        <v>1.890844925</v>
      </c>
      <c r="AV1788" s="82">
        <f>IFERROR(__xludf.DUMMYFUNCTION("""COMPUTED_VALUE"""),46.276687920797)</f>
        <v>46.27668792</v>
      </c>
      <c r="AW1788" s="82">
        <f t="shared" si="1"/>
        <v>-2.268584762</v>
      </c>
      <c r="AX1788" s="83">
        <f t="array" ref="AX1788">IFERROR(DGET('SBV Import'!A:G,"SBV",{"RSC ID","Tier";B1788,A1788}))</f>
        <v>40.79725706</v>
      </c>
      <c r="AY1788" s="82">
        <f t="shared" si="2"/>
        <v>-2.805869893</v>
      </c>
      <c r="AZ1788" s="82">
        <v>0.5372851309436744</v>
      </c>
      <c r="BA1788" s="84">
        <v>1700.0</v>
      </c>
      <c r="BB1788" s="84" t="b">
        <f>IFERROR(__xludf.DUMMYFUNCTION("iferror(if(A1788="""",,E1788&gt;=FILTER(Constants!$F$2:$F$10,Constants!$A$2:$A$10=A1788)))"),TRUE)</f>
        <v>1</v>
      </c>
    </row>
    <row r="1789">
      <c r="A1789" s="89" t="str">
        <f>IFERROR(__xludf.DUMMYFUNCTION("""COMPUTED_VALUE"""),"Rival")</f>
        <v>Rival</v>
      </c>
      <c r="B1789" s="87" t="str">
        <f>IFERROR(__xludf.DUMMYFUNCTION("""COMPUTED_VALUE"""),"RSC000848")</f>
        <v>RSC000848</v>
      </c>
      <c r="C1789" s="73" t="str">
        <f>IFERROR(__xludf.DUMMYFUNCTION("""COMPUTED_VALUE"""),"WittingHalo64")</f>
        <v>WittingHalo64</v>
      </c>
      <c r="D1789" s="73" t="str">
        <f>IFERROR(__xludf.DUMMYFUNCTION("""COMPUTED_VALUE"""),"Ruthless Racket")</f>
        <v>Ruthless Racket</v>
      </c>
      <c r="E1789" s="82">
        <f>IFERROR(__xludf.DUMMYFUNCTION("""COMPUTED_VALUE"""),31.0)</f>
        <v>31</v>
      </c>
      <c r="F1789" s="82">
        <f>IFERROR(__xludf.DUMMYFUNCTION("""COMPUTED_VALUE"""),11.0)</f>
        <v>11</v>
      </c>
      <c r="G1789" s="86">
        <f>IFERROR(__xludf.DUMMYFUNCTION("""COMPUTED_VALUE"""),20.0)</f>
        <v>20</v>
      </c>
      <c r="H1789" s="86">
        <f>IFERROR(__xludf.DUMMYFUNCTION("""COMPUTED_VALUE"""),0.3548387096774194)</f>
        <v>0.3548387097</v>
      </c>
      <c r="I1789" s="86">
        <f>IFERROR(__xludf.DUMMYFUNCTION("""COMPUTED_VALUE"""),0.23750000000000002)</f>
        <v>0.2375</v>
      </c>
      <c r="J1789" s="82">
        <f>IFERROR(__xludf.DUMMYFUNCTION("""COMPUTED_VALUE"""),327.6774193548387)</f>
        <v>327.6774194</v>
      </c>
      <c r="K1789" s="82">
        <f>IFERROR(__xludf.DUMMYFUNCTION("""COMPUTED_VALUE"""),0.6129032258064516)</f>
        <v>0.6129032258</v>
      </c>
      <c r="L1789" s="82">
        <f>IFERROR(__xludf.DUMMYFUNCTION("""COMPUTED_VALUE"""),0.5483870967741935)</f>
        <v>0.5483870968</v>
      </c>
      <c r="M1789" s="82">
        <f>IFERROR(__xludf.DUMMYFUNCTION("""COMPUTED_VALUE"""),1.2258064516129032)</f>
        <v>1.225806452</v>
      </c>
      <c r="N1789" s="82">
        <f>IFERROR(__xludf.DUMMYFUNCTION("""COMPUTED_VALUE"""),2.5806451612903225)</f>
        <v>2.580645161</v>
      </c>
      <c r="O1789" s="82">
        <f>IFERROR(__xludf.DUMMYFUNCTION("""COMPUTED_VALUE"""),347.3763440860215)</f>
        <v>347.3763441</v>
      </c>
      <c r="P1789" s="82">
        <f>IFERROR(__xludf.DUMMYFUNCTION("""COMPUTED_VALUE"""),0.8172043010752689)</f>
        <v>0.8172043011</v>
      </c>
      <c r="Q1789" s="82">
        <f>IFERROR(__xludf.DUMMYFUNCTION("""COMPUTED_VALUE"""),0.6559139784946236)</f>
        <v>0.6559139785</v>
      </c>
      <c r="R1789" s="82">
        <f>IFERROR(__xludf.DUMMYFUNCTION("""COMPUTED_VALUE"""),1.1182795698924728)</f>
        <v>1.11827957</v>
      </c>
      <c r="S1789" s="82">
        <f>IFERROR(__xludf.DUMMYFUNCTION("""COMPUTED_VALUE"""),2.698924731182796)</f>
        <v>2.698924731</v>
      </c>
      <c r="T1789" s="82">
        <f>IFERROR(__xludf.DUMMYFUNCTION("""COMPUTED_VALUE"""),346.47251898642224)</f>
        <v>346.472519</v>
      </c>
      <c r="U1789" s="82">
        <f>IFERROR(__xludf.DUMMYFUNCTION("""COMPUTED_VALUE"""),0.8176416993097841)</f>
        <v>0.8176416993</v>
      </c>
      <c r="V1789" s="82">
        <f>IFERROR(__xludf.DUMMYFUNCTION("""COMPUTED_VALUE"""),0.5774629332787636)</f>
        <v>0.5774629333</v>
      </c>
      <c r="W1789" s="82">
        <f>IFERROR(__xludf.DUMMYFUNCTION("""COMPUTED_VALUE"""),1.2029449881425933)</f>
        <v>1.202944988</v>
      </c>
      <c r="X1789" s="82">
        <f>IFERROR(__xludf.DUMMYFUNCTION("""COMPUTED_VALUE"""),2.6428276603869314)</f>
        <v>2.64282766</v>
      </c>
      <c r="Y1789" s="82">
        <f>IFERROR(__xludf.DUMMYFUNCTION("""COMPUTED_VALUE"""),335.6025713609165)</f>
        <v>335.6025714</v>
      </c>
      <c r="Z1789" s="82">
        <f>IFERROR(__xludf.DUMMYFUNCTION("""COMPUTED_VALUE"""),0.7132201333278055)</f>
        <v>0.7132201333</v>
      </c>
      <c r="AA1789" s="82">
        <f>IFERROR(__xludf.DUMMYFUNCTION("""COMPUTED_VALUE"""),0.5277973112307921)</f>
        <v>0.5277973112</v>
      </c>
      <c r="AB1789" s="82">
        <f>IFERROR(__xludf.DUMMYFUNCTION("""COMPUTED_VALUE"""),1.3308866068277394)</f>
        <v>1.330886607</v>
      </c>
      <c r="AC1789" s="82">
        <f>IFERROR(__xludf.DUMMYFUNCTION("""COMPUTED_VALUE"""),2.401943600125131)</f>
        <v>2.4019436</v>
      </c>
      <c r="AD1789" s="82">
        <f>IFERROR(__xludf.DUMMYFUNCTION("""COMPUTED_VALUE"""),0.9763853060662194)</f>
        <v>0.9763853061</v>
      </c>
      <c r="AE1789" s="82">
        <f>IFERROR(__xludf.DUMMYFUNCTION("""COMPUTED_VALUE"""),0.8593465007033854)</f>
        <v>0.8593465007</v>
      </c>
      <c r="AF1789" s="82">
        <f>IFERROR(__xludf.DUMMYFUNCTION("""COMPUTED_VALUE"""),1.0390107814217304)</f>
        <v>1.039010781</v>
      </c>
      <c r="AG1789" s="82">
        <f>IFERROR(__xludf.DUMMYFUNCTION("""COMPUTED_VALUE"""),0.9210449976160614)</f>
        <v>0.9210449976</v>
      </c>
      <c r="AH1789" s="82">
        <f>IFERROR(__xludf.DUMMYFUNCTION("""COMPUTED_VALUE"""),1.0743987332408145)</f>
        <v>1.074398733</v>
      </c>
      <c r="AI1789" s="82">
        <f>IFERROR(__xludf.DUMMYFUNCTION("""COMPUTED_VALUE"""),1.0026086487385588)</f>
        <v>1.002608649</v>
      </c>
      <c r="AJ1789" s="82">
        <f>IFERROR(__xludf.DUMMYFUNCTION("""COMPUTED_VALUE"""),0.9994650490124409)</f>
        <v>0.999465049</v>
      </c>
      <c r="AK1789" s="82">
        <f>IFERROR(__xludf.DUMMYFUNCTION("""COMPUTED_VALUE"""),1.13585468554739)</f>
        <v>1.135854686</v>
      </c>
      <c r="AL1789" s="82">
        <f>IFERROR(__xludf.DUMMYFUNCTION("""COMPUTED_VALUE"""),0.9296182127323643)</f>
        <v>0.9296182127</v>
      </c>
      <c r="AM1789" s="82">
        <f>IFERROR(__xludf.DUMMYFUNCTION("""COMPUTED_VALUE"""),1.021226155468515)</f>
        <v>1.021226155</v>
      </c>
      <c r="AN1789" s="82">
        <f>IFERROR(__xludf.DUMMYFUNCTION("""COMPUTED_VALUE"""),0.9667685583787619)</f>
        <v>0.9667685584</v>
      </c>
      <c r="AO1789" s="82">
        <f>IFERROR(__xludf.DUMMYFUNCTION("""COMPUTED_VALUE"""),0.8342676053597929)</f>
        <v>0.8342676054</v>
      </c>
      <c r="AP1789" s="82">
        <f>IFERROR(__xludf.DUMMYFUNCTION("""COMPUTED_VALUE"""),0.9792209136301679)</f>
        <v>0.9792209136</v>
      </c>
      <c r="AQ1789" s="82">
        <f>IFERROR(__xludf.DUMMYFUNCTION("""COMPUTED_VALUE"""),0.9354193774449917)</f>
        <v>0.9354193774</v>
      </c>
      <c r="AR1789" s="82">
        <f>IFERROR(__xludf.DUMMYFUNCTION("""COMPUTED_VALUE"""),1.0362598553407567)</f>
        <v>1.036259855</v>
      </c>
      <c r="AS1789" s="82">
        <f>IFERROR(__xludf.DUMMYFUNCTION("""COMPUTED_VALUE"""),56.0)</f>
        <v>56</v>
      </c>
      <c r="AT1789" s="82">
        <f>IFERROR(__xludf.DUMMYFUNCTION("""COMPUTED_VALUE"""),0.38631333329839623)</f>
        <v>0.3863133333</v>
      </c>
      <c r="AU1789" s="82">
        <f>IFERROR(__xludf.DUMMYFUNCTION("""COMPUTED_VALUE"""),1.8893898640182103)</f>
        <v>1.889389864</v>
      </c>
      <c r="AV1789" s="82">
        <f>IFERROR(__xludf.DUMMYFUNCTION("""COMPUTED_VALUE"""),46.22528923561373)</f>
        <v>46.22528924</v>
      </c>
      <c r="AW1789" s="82">
        <f t="shared" si="1"/>
        <v>-2.27276642</v>
      </c>
      <c r="AX1789" s="83">
        <f t="array" ref="AX1789">IFERROR(DGET('SBV Import'!A:G,"SBV",{"RSC ID","Tier";B1789,A1789}))</f>
        <v>48.27670126</v>
      </c>
      <c r="AY1789" s="82">
        <f t="shared" si="2"/>
        <v>-2.116304057</v>
      </c>
      <c r="AZ1789" s="82">
        <v>0.15646236353343834</v>
      </c>
      <c r="BA1789" s="84">
        <v>1700.0</v>
      </c>
      <c r="BB1789" s="84" t="b">
        <f>IFERROR(__xludf.DUMMYFUNCTION("iferror(if(A1789="""",,E1789&gt;=FILTER(Constants!$F$2:$F$10,Constants!$A$2:$A$10=A1789)))"),TRUE)</f>
        <v>1</v>
      </c>
    </row>
    <row r="1790">
      <c r="A1790" s="89" t="str">
        <f>IFERROR(__xludf.DUMMYFUNCTION("""COMPUTED_VALUE"""),"Rival")</f>
        <v>Rival</v>
      </c>
      <c r="B1790" s="87" t="str">
        <f>IFERROR(__xludf.DUMMYFUNCTION("""COMPUTED_VALUE"""),"RSC007549")</f>
        <v>RSC007549</v>
      </c>
      <c r="C1790" s="73" t="str">
        <f>IFERROR(__xludf.DUMMYFUNCTION("""COMPUTED_VALUE"""),"Whiffy_RL")</f>
        <v>Whiffy_RL</v>
      </c>
      <c r="D1790" s="73" t="str">
        <f>IFERROR(__xludf.DUMMYFUNCTION("""COMPUTED_VALUE"""),"Apple Associates")</f>
        <v>Apple Associates</v>
      </c>
      <c r="E1790" s="82">
        <f>IFERROR(__xludf.DUMMYFUNCTION("""COMPUTED_VALUE"""),4.0)</f>
        <v>4</v>
      </c>
      <c r="F1790" s="82">
        <f>IFERROR(__xludf.DUMMYFUNCTION("""COMPUTED_VALUE"""),2.0)</f>
        <v>2</v>
      </c>
      <c r="G1790" s="86">
        <f>IFERROR(__xludf.DUMMYFUNCTION("""COMPUTED_VALUE"""),2.0)</f>
        <v>2</v>
      </c>
      <c r="H1790" s="86">
        <f>IFERROR(__xludf.DUMMYFUNCTION("""COMPUTED_VALUE"""),0.5)</f>
        <v>0.5</v>
      </c>
      <c r="I1790" s="86">
        <f>IFERROR(__xludf.DUMMYFUNCTION("""COMPUTED_VALUE"""),0.375)</f>
        <v>0.375</v>
      </c>
      <c r="J1790" s="82">
        <f>IFERROR(__xludf.DUMMYFUNCTION("""COMPUTED_VALUE"""),275.0)</f>
        <v>275</v>
      </c>
      <c r="K1790" s="82">
        <f>IFERROR(__xludf.DUMMYFUNCTION("""COMPUTED_VALUE"""),0.75)</f>
        <v>0.75</v>
      </c>
      <c r="L1790" s="82">
        <f>IFERROR(__xludf.DUMMYFUNCTION("""COMPUTED_VALUE"""),0.75)</f>
        <v>0.75</v>
      </c>
      <c r="M1790" s="82">
        <f>IFERROR(__xludf.DUMMYFUNCTION("""COMPUTED_VALUE"""),0.75)</f>
        <v>0.75</v>
      </c>
      <c r="N1790" s="82">
        <f>IFERROR(__xludf.DUMMYFUNCTION("""COMPUTED_VALUE"""),2.0)</f>
        <v>2</v>
      </c>
      <c r="O1790" s="82">
        <f>IFERROR(__xludf.DUMMYFUNCTION("""COMPUTED_VALUE"""),306.9166666666667)</f>
        <v>306.9166667</v>
      </c>
      <c r="P1790" s="82">
        <f>IFERROR(__xludf.DUMMYFUNCTION("""COMPUTED_VALUE"""),0.8333333333333333)</f>
        <v>0.8333333333</v>
      </c>
      <c r="Q1790" s="82">
        <f>IFERROR(__xludf.DUMMYFUNCTION("""COMPUTED_VALUE"""),0.41666666666666663)</f>
        <v>0.4166666667</v>
      </c>
      <c r="R1790" s="82">
        <f>IFERROR(__xludf.DUMMYFUNCTION("""COMPUTED_VALUE"""),0.9166666666666665)</f>
        <v>0.9166666667</v>
      </c>
      <c r="S1790" s="82">
        <f>IFERROR(__xludf.DUMMYFUNCTION("""COMPUTED_VALUE"""),2.8333333333333335)</f>
        <v>2.833333333</v>
      </c>
      <c r="T1790" s="82">
        <f>IFERROR(__xludf.DUMMYFUNCTION("""COMPUTED_VALUE"""),348.0636574074074)</f>
        <v>348.0636574</v>
      </c>
      <c r="U1790" s="82">
        <f>IFERROR(__xludf.DUMMYFUNCTION("""COMPUTED_VALUE"""),0.6886574074074074)</f>
        <v>0.6886574074</v>
      </c>
      <c r="V1790" s="82">
        <f>IFERROR(__xludf.DUMMYFUNCTION("""COMPUTED_VALUE"""),0.5011574074074074)</f>
        <v>0.5011574074</v>
      </c>
      <c r="W1790" s="82">
        <f>IFERROR(__xludf.DUMMYFUNCTION("""COMPUTED_VALUE"""),1.4780092592592595)</f>
        <v>1.478009259</v>
      </c>
      <c r="X1790" s="82">
        <f>IFERROR(__xludf.DUMMYFUNCTION("""COMPUTED_VALUE"""),2.6608796296296298)</f>
        <v>2.66087963</v>
      </c>
      <c r="Y1790" s="82">
        <f>IFERROR(__xludf.DUMMYFUNCTION("""COMPUTED_VALUE"""),351.0902777777778)</f>
        <v>351.0902778</v>
      </c>
      <c r="Z1790" s="82">
        <f>IFERROR(__xludf.DUMMYFUNCTION("""COMPUTED_VALUE"""),0.7762345679012344)</f>
        <v>0.7762345679</v>
      </c>
      <c r="AA1790" s="82">
        <f>IFERROR(__xludf.DUMMYFUNCTION("""COMPUTED_VALUE"""),0.5999228395061728)</f>
        <v>0.5999228395</v>
      </c>
      <c r="AB1790" s="82">
        <f>IFERROR(__xludf.DUMMYFUNCTION("""COMPUTED_VALUE"""),1.3692129629629628)</f>
        <v>1.369212963</v>
      </c>
      <c r="AC1790" s="82">
        <f>IFERROR(__xludf.DUMMYFUNCTION("""COMPUTED_VALUE"""),2.783179012345679)</f>
        <v>2.783179012</v>
      </c>
      <c r="AD1790" s="82">
        <f>IFERROR(__xludf.DUMMYFUNCTION("""COMPUTED_VALUE"""),0.7832743240303023)</f>
        <v>0.783274324</v>
      </c>
      <c r="AE1790" s="82">
        <f>IFERROR(__xludf.DUMMYFUNCTION("""COMPUTED_VALUE"""),0.966202783300199)</f>
        <v>0.9662027833</v>
      </c>
      <c r="AF1790" s="82">
        <f>IFERROR(__xludf.DUMMYFUNCTION("""COMPUTED_VALUE"""),1.2501607717041803)</f>
        <v>1.250160772</v>
      </c>
      <c r="AG1790" s="82">
        <f>IFERROR(__xludf.DUMMYFUNCTION("""COMPUTED_VALUE"""),0.5477599323753171)</f>
        <v>0.5477599324</v>
      </c>
      <c r="AH1790" s="82">
        <f>IFERROR(__xludf.DUMMYFUNCTION("""COMPUTED_VALUE"""),0.7186027169392847)</f>
        <v>0.7186027169</v>
      </c>
      <c r="AI1790" s="82">
        <f>IFERROR(__xludf.DUMMYFUNCTION("""COMPUTED_VALUE"""),0.8817831455107125)</f>
        <v>0.8817831455</v>
      </c>
      <c r="AJ1790" s="82">
        <f>IFERROR(__xludf.DUMMYFUNCTION("""COMPUTED_VALUE"""),1.2100840336134453)</f>
        <v>1.210084034</v>
      </c>
      <c r="AK1790" s="82">
        <f>IFERROR(__xludf.DUMMYFUNCTION("""COMPUTED_VALUE"""),0.8314087759815241)</f>
        <v>0.831408776</v>
      </c>
      <c r="AL1790" s="82">
        <f>IFERROR(__xludf.DUMMYFUNCTION("""COMPUTED_VALUE"""),0.6202036021926388)</f>
        <v>0.6202036022</v>
      </c>
      <c r="AM1790" s="82">
        <f>IFERROR(__xludf.DUMMYFUNCTION("""COMPUTED_VALUE"""),1.0648107872988255)</f>
        <v>1.064810787</v>
      </c>
      <c r="AN1790" s="82">
        <f>IFERROR(__xludf.DUMMYFUNCTION("""COMPUTED_VALUE"""),0.8113508525476417)</f>
        <v>0.8113508525</v>
      </c>
      <c r="AO1790" s="82">
        <f>IFERROR(__xludf.DUMMYFUNCTION("""COMPUTED_VALUE"""),1.020880096032378)</f>
        <v>1.020880096</v>
      </c>
      <c r="AP1790" s="82">
        <f>IFERROR(__xludf.DUMMYFUNCTION("""COMPUTED_VALUE"""),1.3392286024647886)</f>
        <v>1.339228602</v>
      </c>
      <c r="AQ1790" s="82">
        <f>IFERROR(__xludf.DUMMYFUNCTION("""COMPUTED_VALUE"""),0.5723289611998963)</f>
        <v>0.5723289612</v>
      </c>
      <c r="AR1790" s="82">
        <f>IFERROR(__xludf.DUMMYFUNCTION("""COMPUTED_VALUE"""),0.8031013878890865)</f>
        <v>0.8031013879</v>
      </c>
      <c r="AS1790" s="82">
        <f>IFERROR(__xludf.DUMMYFUNCTION("""COMPUTED_VALUE"""),9.0)</f>
        <v>9</v>
      </c>
      <c r="AT1790" s="82">
        <f>IFERROR(__xludf.DUMMYFUNCTION("""COMPUTED_VALUE"""),0.4588994242296676)</f>
        <v>0.4588994242</v>
      </c>
      <c r="AU1790" s="82">
        <f>IFERROR(__xludf.DUMMYFUNCTION("""COMPUTED_VALUE"""),1.8851902189425316)</f>
        <v>1.885190219</v>
      </c>
      <c r="AV1790" s="82">
        <f>IFERROR(__xludf.DUMMYFUNCTION("""COMPUTED_VALUE"""),46.076940681660034)</f>
        <v>46.07694068</v>
      </c>
      <c r="AW1790" s="82">
        <f t="shared" si="1"/>
        <v>-2.284915147</v>
      </c>
      <c r="AX1790" s="83">
        <f t="array" ref="AX1790">IFERROR(DGET('SBV Import'!A:G,"SBV",{"RSC ID","Tier";B1790,A1790}))</f>
        <v>34.18144687</v>
      </c>
      <c r="AY1790" s="82">
        <f t="shared" si="2"/>
        <v>-3.795771865</v>
      </c>
      <c r="AZ1790" s="82">
        <v>1.5108567183519104</v>
      </c>
      <c r="BA1790" s="84">
        <v>1700.0</v>
      </c>
      <c r="BB1790" s="84" t="b">
        <f>IFERROR(__xludf.DUMMYFUNCTION("iferror(if(A1790="""",,E1790&gt;=FILTER(Constants!$F$2:$F$10,Constants!$A$2:$A$10=A1790)))"),TRUE)</f>
        <v>1</v>
      </c>
    </row>
    <row r="1791">
      <c r="A1791" s="89" t="str">
        <f>IFERROR(__xludf.DUMMYFUNCTION("""COMPUTED_VALUE"""),"Rival")</f>
        <v>Rival</v>
      </c>
      <c r="B1791" s="87" t="str">
        <f>IFERROR(__xludf.DUMMYFUNCTION("""COMPUTED_VALUE"""),"RSC007131")</f>
        <v>RSC007131</v>
      </c>
      <c r="C1791" s="73" t="str">
        <f>IFERROR(__xludf.DUMMYFUNCTION("""COMPUTED_VALUE"""),"BankShark")</f>
        <v>BankShark</v>
      </c>
      <c r="D1791" s="73" t="str">
        <f>IFERROR(__xludf.DUMMYFUNCTION("""COMPUTED_VALUE"""),"Hammerheads")</f>
        <v>Hammerheads</v>
      </c>
      <c r="E1791" s="82">
        <f>IFERROR(__xludf.DUMMYFUNCTION("""COMPUTED_VALUE"""),32.0)</f>
        <v>32</v>
      </c>
      <c r="F1791" s="82">
        <f>IFERROR(__xludf.DUMMYFUNCTION("""COMPUTED_VALUE"""),18.0)</f>
        <v>18</v>
      </c>
      <c r="G1791" s="86">
        <f>IFERROR(__xludf.DUMMYFUNCTION("""COMPUTED_VALUE"""),14.0)</f>
        <v>14</v>
      </c>
      <c r="H1791" s="86">
        <f>IFERROR(__xludf.DUMMYFUNCTION("""COMPUTED_VALUE"""),0.5625)</f>
        <v>0.5625</v>
      </c>
      <c r="I1791" s="86">
        <f>IFERROR(__xludf.DUMMYFUNCTION("""COMPUTED_VALUE"""),0.352112676056338)</f>
        <v>0.3521126761</v>
      </c>
      <c r="J1791" s="82">
        <f>IFERROR(__xludf.DUMMYFUNCTION("""COMPUTED_VALUE"""),340.59375)</f>
        <v>340.59375</v>
      </c>
      <c r="K1791" s="82">
        <f>IFERROR(__xludf.DUMMYFUNCTION("""COMPUTED_VALUE"""),0.78125)</f>
        <v>0.78125</v>
      </c>
      <c r="L1791" s="82">
        <f>IFERROR(__xludf.DUMMYFUNCTION("""COMPUTED_VALUE"""),0.40625)</f>
        <v>0.40625</v>
      </c>
      <c r="M1791" s="82">
        <f>IFERROR(__xludf.DUMMYFUNCTION("""COMPUTED_VALUE"""),1.4375)</f>
        <v>1.4375</v>
      </c>
      <c r="N1791" s="82">
        <f>IFERROR(__xludf.DUMMYFUNCTION("""COMPUTED_VALUE"""),2.21875)</f>
        <v>2.21875</v>
      </c>
      <c r="O1791" s="82">
        <f>IFERROR(__xludf.DUMMYFUNCTION("""COMPUTED_VALUE"""),332.8958333333333)</f>
        <v>332.8958333</v>
      </c>
      <c r="P1791" s="82">
        <f>IFERROR(__xludf.DUMMYFUNCTION("""COMPUTED_VALUE"""),0.6979166666666667)</f>
        <v>0.6979166667</v>
      </c>
      <c r="Q1791" s="82">
        <f>IFERROR(__xludf.DUMMYFUNCTION("""COMPUTED_VALUE"""),0.5416666666666667)</f>
        <v>0.5416666667</v>
      </c>
      <c r="R1791" s="82">
        <f>IFERROR(__xludf.DUMMYFUNCTION("""COMPUTED_VALUE"""),1.364583333333334)</f>
        <v>1.364583333</v>
      </c>
      <c r="S1791" s="82">
        <f>IFERROR(__xludf.DUMMYFUNCTION("""COMPUTED_VALUE"""),2.572916666666667)</f>
        <v>2.572916667</v>
      </c>
      <c r="T1791" s="82">
        <f>IFERROR(__xludf.DUMMYFUNCTION("""COMPUTED_VALUE"""),341.26753154019315)</f>
        <v>341.2675315</v>
      </c>
      <c r="U1791" s="82">
        <f>IFERROR(__xludf.DUMMYFUNCTION("""COMPUTED_VALUE"""),0.7780068803119113)</f>
        <v>0.7780068803</v>
      </c>
      <c r="V1791" s="82">
        <f>IFERROR(__xludf.DUMMYFUNCTION("""COMPUTED_VALUE"""),0.5499580628308197)</f>
        <v>0.5499580628</v>
      </c>
      <c r="W1791" s="82">
        <f>IFERROR(__xludf.DUMMYFUNCTION("""COMPUTED_VALUE"""),1.2571174691136466)</f>
        <v>1.257117469</v>
      </c>
      <c r="X1791" s="82">
        <f>IFERROR(__xludf.DUMMYFUNCTION("""COMPUTED_VALUE"""),2.586570518481605)</f>
        <v>2.586570518</v>
      </c>
      <c r="Y1791" s="82">
        <f>IFERROR(__xludf.DUMMYFUNCTION("""COMPUTED_VALUE"""),348.46835791555014)</f>
        <v>348.4683579</v>
      </c>
      <c r="Z1791" s="82">
        <f>IFERROR(__xludf.DUMMYFUNCTION("""COMPUTED_VALUE"""),0.8068103416090955)</f>
        <v>0.8068103416</v>
      </c>
      <c r="AA1791" s="82">
        <f>IFERROR(__xludf.DUMMYFUNCTION("""COMPUTED_VALUE"""),0.5494436092199225)</f>
        <v>0.5494436092</v>
      </c>
      <c r="AB1791" s="82">
        <f>IFERROR(__xludf.DUMMYFUNCTION("""COMPUTED_VALUE"""),1.332341480170862)</f>
        <v>1.33234148</v>
      </c>
      <c r="AC1791" s="82">
        <f>IFERROR(__xludf.DUMMYFUNCTION("""COMPUTED_VALUE"""),2.5200288036516705)</f>
        <v>2.520028804</v>
      </c>
      <c r="AD1791" s="82">
        <f>IFERROR(__xludf.DUMMYFUNCTION("""COMPUTED_VALUE"""),0.9774022296811852)</f>
        <v>0.9774022297</v>
      </c>
      <c r="AE1791" s="82">
        <f>IFERROR(__xludf.DUMMYFUNCTION("""COMPUTED_VALUE"""),0.9683192687415011)</f>
        <v>0.9683192687</v>
      </c>
      <c r="AF1791" s="82">
        <f>IFERROR(__xludf.DUMMYFUNCTION("""COMPUTED_VALUE"""),0.7393843393260631)</f>
        <v>0.7393843393</v>
      </c>
      <c r="AG1791" s="82">
        <f>IFERROR(__xludf.DUMMYFUNCTION("""COMPUTED_VALUE"""),1.0789276033165704)</f>
        <v>1.078927603</v>
      </c>
      <c r="AH1791" s="82">
        <f>IFERROR(__xludf.DUMMYFUNCTION("""COMPUTED_VALUE"""),0.880446285687251)</f>
        <v>0.8804462857</v>
      </c>
      <c r="AI1791" s="82">
        <f>IFERROR(__xludf.DUMMYFUNCTION("""COMPUTED_VALUE"""),0.9754688113191516)</f>
        <v>0.9754688113</v>
      </c>
      <c r="AJ1791" s="82">
        <f>IFERROR(__xludf.DUMMYFUNCTION("""COMPUTED_VALUE"""),0.8970571910454884)</f>
        <v>0.897057191</v>
      </c>
      <c r="AK1791" s="82">
        <f>IFERROR(__xludf.DUMMYFUNCTION("""COMPUTED_VALUE"""),0.9849235846793947)</f>
        <v>0.9849235847</v>
      </c>
      <c r="AL1791" s="82">
        <f>IFERROR(__xludf.DUMMYFUNCTION("""COMPUTED_VALUE"""),1.0854859365652265)</f>
        <v>1.085485937</v>
      </c>
      <c r="AM1791" s="82">
        <f>IFERROR(__xludf.DUMMYFUNCTION("""COMPUTED_VALUE"""),0.9947212528259415)</f>
        <v>0.9947212528</v>
      </c>
      <c r="AN1791" s="82">
        <f>IFERROR(__xludf.DUMMYFUNCTION("""COMPUTED_VALUE"""),1.0048764706723576)</f>
        <v>1.004876471</v>
      </c>
      <c r="AO1791" s="82">
        <f>IFERROR(__xludf.DUMMYFUNCTION("""COMPUTED_VALUE"""),1.063416766700394)</f>
        <v>1.063416767</v>
      </c>
      <c r="AP1791" s="82">
        <f>IFERROR(__xludf.DUMMYFUNCTION("""COMPUTED_VALUE"""),0.7254154930017606)</f>
        <v>0.725415493</v>
      </c>
      <c r="AQ1791" s="82">
        <f>IFERROR(__xludf.DUMMYFUNCTION("""COMPUTED_VALUE"""),1.0969638422998012)</f>
        <v>1.096963842</v>
      </c>
      <c r="AR1791" s="82">
        <f>IFERROR(__xludf.DUMMYFUNCTION("""COMPUTED_VALUE"""),0.8909406021894553)</f>
        <v>0.8909406022</v>
      </c>
      <c r="AS1791" s="82">
        <f>IFERROR(__xludf.DUMMYFUNCTION("""COMPUTED_VALUE"""),78.0)</f>
        <v>78</v>
      </c>
      <c r="AT1791" s="82">
        <f>IFERROR(__xludf.DUMMYFUNCTION("""COMPUTED_VALUE"""),0.5583686874039777)</f>
        <v>0.5583686874</v>
      </c>
      <c r="AU1791" s="82">
        <f>IFERROR(__xludf.DUMMYFUNCTION("""COMPUTED_VALUE"""),1.8637287037911994)</f>
        <v>1.863728704</v>
      </c>
      <c r="AV1791" s="82">
        <f>IFERROR(__xludf.DUMMYFUNCTION("""COMPUTED_VALUE"""),45.31883263181706)</f>
        <v>45.31883263</v>
      </c>
      <c r="AW1791" s="82">
        <f t="shared" si="1"/>
        <v>-2.34888668</v>
      </c>
      <c r="AX1791" s="83">
        <f t="array" ref="AX1791">IFERROR(DGET('SBV Import'!A:G,"SBV",{"RSC ID","Tier";B1791,A1791}))</f>
        <v>40.13240791</v>
      </c>
      <c r="AY1791" s="82">
        <f t="shared" si="2"/>
        <v>-2.885746442</v>
      </c>
      <c r="AZ1791" s="82">
        <v>0.5368597617651774</v>
      </c>
      <c r="BA1791" s="84">
        <v>1700.0</v>
      </c>
      <c r="BB1791" s="84" t="b">
        <f>IFERROR(__xludf.DUMMYFUNCTION("iferror(if(A1791="""",,E1791&gt;=FILTER(Constants!$F$2:$F$10,Constants!$A$2:$A$10=A1791)))"),TRUE)</f>
        <v>1</v>
      </c>
    </row>
    <row r="1792">
      <c r="A1792" s="89" t="str">
        <f>IFERROR(__xludf.DUMMYFUNCTION("""COMPUTED_VALUE"""),"Rival")</f>
        <v>Rival</v>
      </c>
      <c r="B1792" s="87" t="str">
        <f>IFERROR(__xludf.DUMMYFUNCTION("""COMPUTED_VALUE"""),"RSC002424")</f>
        <v>RSC002424</v>
      </c>
      <c r="C1792" s="73" t="str">
        <f>IFERROR(__xludf.DUMMYFUNCTION("""COMPUTED_VALUE"""),"HufflePuffler")</f>
        <v>HufflePuffler</v>
      </c>
      <c r="D1792" s="73" t="str">
        <f>IFERROR(__xludf.DUMMYFUNCTION("""COMPUTED_VALUE"""),"Centuriones")</f>
        <v>Centuriones</v>
      </c>
      <c r="E1792" s="82">
        <f>IFERROR(__xludf.DUMMYFUNCTION("""COMPUTED_VALUE"""),36.0)</f>
        <v>36</v>
      </c>
      <c r="F1792" s="82">
        <f>IFERROR(__xludf.DUMMYFUNCTION("""COMPUTED_VALUE"""),14.0)</f>
        <v>14</v>
      </c>
      <c r="G1792" s="86">
        <f>IFERROR(__xludf.DUMMYFUNCTION("""COMPUTED_VALUE"""),22.0)</f>
        <v>22</v>
      </c>
      <c r="H1792" s="86">
        <f>IFERROR(__xludf.DUMMYFUNCTION("""COMPUTED_VALUE"""),0.3888888888888889)</f>
        <v>0.3888888889</v>
      </c>
      <c r="I1792" s="86">
        <f>IFERROR(__xludf.DUMMYFUNCTION("""COMPUTED_VALUE"""),0.4142857142857143)</f>
        <v>0.4142857143</v>
      </c>
      <c r="J1792" s="82">
        <f>IFERROR(__xludf.DUMMYFUNCTION("""COMPUTED_VALUE"""),389.47222222222223)</f>
        <v>389.4722222</v>
      </c>
      <c r="K1792" s="82">
        <f>IFERROR(__xludf.DUMMYFUNCTION("""COMPUTED_VALUE"""),0.8055555555555556)</f>
        <v>0.8055555556</v>
      </c>
      <c r="L1792" s="82">
        <f>IFERROR(__xludf.DUMMYFUNCTION("""COMPUTED_VALUE"""),0.5277777777777778)</f>
        <v>0.5277777778</v>
      </c>
      <c r="M1792" s="82">
        <f>IFERROR(__xludf.DUMMYFUNCTION("""COMPUTED_VALUE"""),1.8611111111111112)</f>
        <v>1.861111111</v>
      </c>
      <c r="N1792" s="82">
        <f>IFERROR(__xludf.DUMMYFUNCTION("""COMPUTED_VALUE"""),1.9444444444444444)</f>
        <v>1.944444444</v>
      </c>
      <c r="O1792" s="82">
        <f>IFERROR(__xludf.DUMMYFUNCTION("""COMPUTED_VALUE"""),359.46296296296293)</f>
        <v>359.462963</v>
      </c>
      <c r="P1792" s="82">
        <f>IFERROR(__xludf.DUMMYFUNCTION("""COMPUTED_VALUE"""),0.9074074074074071)</f>
        <v>0.9074074074</v>
      </c>
      <c r="Q1792" s="82">
        <f>IFERROR(__xludf.DUMMYFUNCTION("""COMPUTED_VALUE"""),0.6666666666666665)</f>
        <v>0.6666666667</v>
      </c>
      <c r="R1792" s="82">
        <f>IFERROR(__xludf.DUMMYFUNCTION("""COMPUTED_VALUE"""),1.2037037037037037)</f>
        <v>1.203703704</v>
      </c>
      <c r="S1792" s="82">
        <f>IFERROR(__xludf.DUMMYFUNCTION("""COMPUTED_VALUE"""),2.75)</f>
        <v>2.75</v>
      </c>
      <c r="T1792" s="82">
        <f>IFERROR(__xludf.DUMMYFUNCTION("""COMPUTED_VALUE"""),344.7355935887812)</f>
        <v>344.7355936</v>
      </c>
      <c r="U1792" s="82">
        <f>IFERROR(__xludf.DUMMYFUNCTION("""COMPUTED_VALUE"""),0.7496478102757683)</f>
        <v>0.7496478103</v>
      </c>
      <c r="V1792" s="82">
        <f>IFERROR(__xludf.DUMMYFUNCTION("""COMPUTED_VALUE"""),0.5658894732593175)</f>
        <v>0.5658894733</v>
      </c>
      <c r="W1792" s="82">
        <f>IFERROR(__xludf.DUMMYFUNCTION("""COMPUTED_VALUE"""),1.3423005918258906)</f>
        <v>1.342300592</v>
      </c>
      <c r="X1792" s="82">
        <f>IFERROR(__xludf.DUMMYFUNCTION("""COMPUTED_VALUE"""),2.5275601166377593)</f>
        <v>2.527560117</v>
      </c>
      <c r="Y1792" s="82">
        <f>IFERROR(__xludf.DUMMYFUNCTION("""COMPUTED_VALUE"""),349.54557130831915)</f>
        <v>349.5455713</v>
      </c>
      <c r="Z1792" s="82">
        <f>IFERROR(__xludf.DUMMYFUNCTION("""COMPUTED_VALUE"""),0.8069921815003887)</f>
        <v>0.8069921815</v>
      </c>
      <c r="AA1792" s="82">
        <f>IFERROR(__xludf.DUMMYFUNCTION("""COMPUTED_VALUE"""),0.5737961323485516)</f>
        <v>0.5737961323</v>
      </c>
      <c r="AB1792" s="82">
        <f>IFERROR(__xludf.DUMMYFUNCTION("""COMPUTED_VALUE"""),1.2885335835459797)</f>
        <v>1.288533584</v>
      </c>
      <c r="AC1792" s="82">
        <f>IFERROR(__xludf.DUMMYFUNCTION("""COMPUTED_VALUE"""),2.630403178977384)</f>
        <v>2.630403179</v>
      </c>
      <c r="AD1792" s="82">
        <f>IFERROR(__xludf.DUMMYFUNCTION("""COMPUTED_VALUE"""),1.1142244508046864)</f>
        <v>1.114224451</v>
      </c>
      <c r="AE1792" s="82">
        <f>IFERROR(__xludf.DUMMYFUNCTION("""COMPUTED_VALUE"""),0.9982197771208117)</f>
        <v>0.9982197771</v>
      </c>
      <c r="AF1792" s="82">
        <f>IFERROR(__xludf.DUMMYFUNCTION("""COMPUTED_VALUE"""),0.919800165988536)</f>
        <v>0.919800166</v>
      </c>
      <c r="AG1792" s="82">
        <f>IFERROR(__xludf.DUMMYFUNCTION("""COMPUTED_VALUE"""),1.4443636819999885)</f>
        <v>1.444363682</v>
      </c>
      <c r="AH1792" s="82">
        <f>IFERROR(__xludf.DUMMYFUNCTION("""COMPUTED_VALUE"""),0.7392191660901132)</f>
        <v>0.7392191661</v>
      </c>
      <c r="AI1792" s="82">
        <f>IFERROR(__xludf.DUMMYFUNCTION("""COMPUTED_VALUE"""),1.0427207681715318)</f>
        <v>1.042720768</v>
      </c>
      <c r="AJ1792" s="82">
        <f>IFERROR(__xludf.DUMMYFUNCTION("""COMPUTED_VALUE"""),1.2104449515748)</f>
        <v>1.210444952</v>
      </c>
      <c r="AK1792" s="82">
        <f>IFERROR(__xludf.DUMMYFUNCTION("""COMPUTED_VALUE"""),1.1780863546142837)</f>
        <v>1.178086355</v>
      </c>
      <c r="AL1792" s="82">
        <f>IFERROR(__xludf.DUMMYFUNCTION("""COMPUTED_VALUE"""),0.8967467577931574)</f>
        <v>0.8967467578</v>
      </c>
      <c r="AM1792" s="82">
        <f>IFERROR(__xludf.DUMMYFUNCTION("""COMPUTED_VALUE"""),1.0880057735909117)</f>
        <v>1.088005774</v>
      </c>
      <c r="AN1792" s="82">
        <f>IFERROR(__xludf.DUMMYFUNCTION("""COMPUTED_VALUE"""),1.149085889249544)</f>
        <v>1.149085889</v>
      </c>
      <c r="AO1792" s="82">
        <f>IFERROR(__xludf.DUMMYFUNCTION("""COMPUTED_VALUE"""),1.0965008438866284)</f>
        <v>1.096500844</v>
      </c>
      <c r="AP1792" s="82">
        <f>IFERROR(__xludf.DUMMYFUNCTION("""COMPUTED_VALUE"""),0.9424201276604068)</f>
        <v>0.9424201277</v>
      </c>
      <c r="AQ1792" s="82">
        <f>IFERROR(__xludf.DUMMYFUNCTION("""COMPUTED_VALUE"""),1.420223718533076)</f>
        <v>1.420223719</v>
      </c>
      <c r="AR1792" s="82">
        <f>IFERROR(__xludf.DUMMYFUNCTION("""COMPUTED_VALUE"""),0.7807930160032784)</f>
        <v>0.780793016</v>
      </c>
      <c r="AS1792" s="82">
        <f>IFERROR(__xludf.DUMMYFUNCTION("""COMPUTED_VALUE"""),89.0)</f>
        <v>89</v>
      </c>
      <c r="AT1792" s="82">
        <f>IFERROR(__xludf.DUMMYFUNCTION("""COMPUTED_VALUE"""),0.4614341582827996)</f>
        <v>0.4614341583</v>
      </c>
      <c r="AU1792" s="82">
        <f>IFERROR(__xludf.DUMMYFUNCTION("""COMPUTED_VALUE"""),1.835682799659057)</f>
        <v>1.8356828</v>
      </c>
      <c r="AV1792" s="82">
        <f>IFERROR(__xludf.DUMMYFUNCTION("""COMPUTED_VALUE"""),44.32813716890229)</f>
        <v>44.32813717</v>
      </c>
      <c r="AW1792" s="82">
        <f t="shared" si="1"/>
        <v>-2.437474748</v>
      </c>
      <c r="AX1792" s="83">
        <f t="array" ref="AX1792">IFERROR(DGET('SBV Import'!A:G,"SBV",{"RSC ID","Tier";B1792,A1792}))</f>
        <v>48.53176462</v>
      </c>
      <c r="AY1792" s="82">
        <f t="shared" si="2"/>
        <v>-2.098266808</v>
      </c>
      <c r="AZ1792" s="82">
        <v>0.3392079407474382</v>
      </c>
      <c r="BA1792" s="84">
        <v>1700.0</v>
      </c>
      <c r="BB1792" s="84" t="b">
        <f>IFERROR(__xludf.DUMMYFUNCTION("iferror(if(A1792="""",,E1792&gt;=FILTER(Constants!$F$2:$F$10,Constants!$A$2:$A$10=A1792)))"),TRUE)</f>
        <v>1</v>
      </c>
    </row>
    <row r="1793">
      <c r="A1793" s="89" t="str">
        <f>IFERROR(__xludf.DUMMYFUNCTION("""COMPUTED_VALUE"""),"Rival")</f>
        <v>Rival</v>
      </c>
      <c r="B1793" s="87" t="str">
        <f>IFERROR(__xludf.DUMMYFUNCTION("""COMPUTED_VALUE"""),"RSC005978")</f>
        <v>RSC005978</v>
      </c>
      <c r="C1793" s="73" t="str">
        <f>IFERROR(__xludf.DUMMYFUNCTION("""COMPUTED_VALUE"""),"xDraco0")</f>
        <v>xDraco0</v>
      </c>
      <c r="D1793" s="73" t="str">
        <f>IFERROR(__xludf.DUMMYFUNCTION("""COMPUTED_VALUE"""),"Funk Hunks")</f>
        <v>Funk Hunks</v>
      </c>
      <c r="E1793" s="82">
        <f>IFERROR(__xludf.DUMMYFUNCTION("""COMPUTED_VALUE"""),8.0)</f>
        <v>8</v>
      </c>
      <c r="F1793" s="82">
        <f>IFERROR(__xludf.DUMMYFUNCTION("""COMPUTED_VALUE"""),3.0)</f>
        <v>3</v>
      </c>
      <c r="G1793" s="86">
        <f>IFERROR(__xludf.DUMMYFUNCTION("""COMPUTED_VALUE"""),5.0)</f>
        <v>5</v>
      </c>
      <c r="H1793" s="86">
        <f>IFERROR(__xludf.DUMMYFUNCTION("""COMPUTED_VALUE"""),0.375)</f>
        <v>0.375</v>
      </c>
      <c r="I1793" s="86">
        <f>IFERROR(__xludf.DUMMYFUNCTION("""COMPUTED_VALUE"""),0.22727272727272727)</f>
        <v>0.2272727273</v>
      </c>
      <c r="J1793" s="82">
        <f>IFERROR(__xludf.DUMMYFUNCTION("""COMPUTED_VALUE"""),337.125)</f>
        <v>337.125</v>
      </c>
      <c r="K1793" s="82">
        <f>IFERROR(__xludf.DUMMYFUNCTION("""COMPUTED_VALUE"""),0.625)</f>
        <v>0.625</v>
      </c>
      <c r="L1793" s="82">
        <f>IFERROR(__xludf.DUMMYFUNCTION("""COMPUTED_VALUE"""),0.625)</f>
        <v>0.625</v>
      </c>
      <c r="M1793" s="82">
        <f>IFERROR(__xludf.DUMMYFUNCTION("""COMPUTED_VALUE"""),1.375)</f>
        <v>1.375</v>
      </c>
      <c r="N1793" s="82">
        <f>IFERROR(__xludf.DUMMYFUNCTION("""COMPUTED_VALUE"""),2.75)</f>
        <v>2.75</v>
      </c>
      <c r="O1793" s="82">
        <f>IFERROR(__xludf.DUMMYFUNCTION("""COMPUTED_VALUE"""),368.4583333333333)</f>
        <v>368.4583333</v>
      </c>
      <c r="P1793" s="82">
        <f>IFERROR(__xludf.DUMMYFUNCTION("""COMPUTED_VALUE"""),0.9999999999999999)</f>
        <v>1</v>
      </c>
      <c r="Q1793" s="82">
        <f>IFERROR(__xludf.DUMMYFUNCTION("""COMPUTED_VALUE"""),0.6666666666666666)</f>
        <v>0.6666666667</v>
      </c>
      <c r="R1793" s="82">
        <f>IFERROR(__xludf.DUMMYFUNCTION("""COMPUTED_VALUE"""),1.25)</f>
        <v>1.25</v>
      </c>
      <c r="S1793" s="82">
        <f>IFERROR(__xludf.DUMMYFUNCTION("""COMPUTED_VALUE"""),2.708333333333333)</f>
        <v>2.708333333</v>
      </c>
      <c r="T1793" s="82">
        <f>IFERROR(__xludf.DUMMYFUNCTION("""COMPUTED_VALUE"""),357.558948921449)</f>
        <v>357.5589489</v>
      </c>
      <c r="U1793" s="82">
        <f>IFERROR(__xludf.DUMMYFUNCTION("""COMPUTED_VALUE"""),0.8221026658526657)</f>
        <v>0.8221026659</v>
      </c>
      <c r="V1793" s="82">
        <f>IFERROR(__xludf.DUMMYFUNCTION("""COMPUTED_VALUE"""),0.6191290191290192)</f>
        <v>0.6191290191</v>
      </c>
      <c r="W1793" s="82">
        <f>IFERROR(__xludf.DUMMYFUNCTION("""COMPUTED_VALUE"""),1.2806992775742776)</f>
        <v>1.280699278</v>
      </c>
      <c r="X1793" s="82">
        <f>IFERROR(__xludf.DUMMYFUNCTION("""COMPUTED_VALUE"""),2.678886853886854)</f>
        <v>2.678886854</v>
      </c>
      <c r="Y1793" s="82">
        <f>IFERROR(__xludf.DUMMYFUNCTION("""COMPUTED_VALUE"""),365.62806946140273)</f>
        <v>365.6280695</v>
      </c>
      <c r="Z1793" s="82">
        <f>IFERROR(__xludf.DUMMYFUNCTION("""COMPUTED_VALUE"""),0.8966015466015466)</f>
        <v>0.8966015466</v>
      </c>
      <c r="AA1793" s="82">
        <f>IFERROR(__xludf.DUMMYFUNCTION("""COMPUTED_VALUE"""),0.6119094254510922)</f>
        <v>0.6119094255</v>
      </c>
      <c r="AB1793" s="82">
        <f>IFERROR(__xludf.DUMMYFUNCTION("""COMPUTED_VALUE"""),1.3700422262922263)</f>
        <v>1.370042226</v>
      </c>
      <c r="AC1793" s="82">
        <f>IFERROR(__xludf.DUMMYFUNCTION("""COMPUTED_VALUE"""),2.6358287545787547)</f>
        <v>2.635828755</v>
      </c>
      <c r="AD1793" s="82">
        <f>IFERROR(__xludf.DUMMYFUNCTION("""COMPUTED_VALUE"""),0.9220435413960699)</f>
        <v>0.9220435414</v>
      </c>
      <c r="AE1793" s="82">
        <f>IFERROR(__xludf.DUMMYFUNCTION("""COMPUTED_VALUE"""),0.6970766472230419)</f>
        <v>0.6970766472</v>
      </c>
      <c r="AF1793" s="82">
        <f>IFERROR(__xludf.DUMMYFUNCTION("""COMPUTED_VALUE"""),1.021392993806653)</f>
        <v>1.021392994</v>
      </c>
      <c r="AG1793" s="82">
        <f>IFERROR(__xludf.DUMMYFUNCTION("""COMPUTED_VALUE"""),1.003618701389366)</f>
        <v>1.003618701</v>
      </c>
      <c r="AH1793" s="82">
        <f>IFERROR(__xludf.DUMMYFUNCTION("""COMPUTED_VALUE"""),1.0433151225104877)</f>
        <v>1.043315123</v>
      </c>
      <c r="AI1793" s="82">
        <f>IFERROR(__xludf.DUMMYFUNCTION("""COMPUTED_VALUE"""),1.0304827621984054)</f>
        <v>1.030482762</v>
      </c>
      <c r="AJ1793" s="82">
        <f>IFERROR(__xludf.DUMMYFUNCTION("""COMPUTED_VALUE"""),1.2163930875504743)</f>
        <v>1.216393088</v>
      </c>
      <c r="AK1793" s="82">
        <f>IFERROR(__xludf.DUMMYFUNCTION("""COMPUTED_VALUE"""),1.0767814882987115)</f>
        <v>1.076781488</v>
      </c>
      <c r="AL1793" s="82">
        <f>IFERROR(__xludf.DUMMYFUNCTION("""COMPUTED_VALUE"""),0.9760292848509887)</f>
        <v>0.9760292849</v>
      </c>
      <c r="AM1793" s="82">
        <f>IFERROR(__xludf.DUMMYFUNCTION("""COMPUTED_VALUE"""),1.010992057915307)</f>
        <v>1.010992058</v>
      </c>
      <c r="AN1793" s="82">
        <f>IFERROR(__xludf.DUMMYFUNCTION("""COMPUTED_VALUE"""),0.9946423860549953)</f>
        <v>0.9946423861</v>
      </c>
      <c r="AO1793" s="82">
        <f>IFERROR(__xludf.DUMMYFUNCTION("""COMPUTED_VALUE"""),0.8507334133603152)</f>
        <v>0.8507334134</v>
      </c>
      <c r="AP1793" s="82">
        <f>IFERROR(__xludf.DUMMYFUNCTION("""COMPUTED_VALUE"""),1.116023835387324)</f>
        <v>1.116023835</v>
      </c>
      <c r="AQ1793" s="82">
        <f>IFERROR(__xludf.DUMMYFUNCTION("""COMPUTED_VALUE"""),1.0492697621998097)</f>
        <v>1.049269762</v>
      </c>
      <c r="AR1793" s="82">
        <f>IFERROR(__xludf.DUMMYFUNCTION("""COMPUTED_VALUE"""),1.104264408347494)</f>
        <v>1.104264408</v>
      </c>
      <c r="AS1793" s="82">
        <f>IFERROR(__xludf.DUMMYFUNCTION("""COMPUTED_VALUE"""),17.0)</f>
        <v>17</v>
      </c>
      <c r="AT1793" s="82">
        <f>IFERROR(__xludf.DUMMYFUNCTION("""COMPUTED_VALUE"""),0.36558864077158193)</f>
        <v>0.3655886408</v>
      </c>
      <c r="AU1793" s="82">
        <f>IFERROR(__xludf.DUMMYFUNCTION("""COMPUTED_VALUE"""),1.831692792961746)</f>
        <v>1.831692793</v>
      </c>
      <c r="AV1793" s="82">
        <f>IFERROR(__xludf.DUMMYFUNCTION("""COMPUTED_VALUE"""),44.18719389556722)</f>
        <v>44.1871939</v>
      </c>
      <c r="AW1793" s="82">
        <f t="shared" si="1"/>
        <v>-2.450559418</v>
      </c>
      <c r="AX1793" s="83">
        <f t="array" ref="AX1793">IFERROR(DGET('SBV Import'!A:G,"SBV",{"RSC ID","Tier";B1793,A1793}))</f>
        <v>46.86087946</v>
      </c>
      <c r="AY1793" s="82">
        <f t="shared" si="2"/>
        <v>-2.22203357</v>
      </c>
      <c r="AZ1793" s="82">
        <v>0.2285258476303791</v>
      </c>
      <c r="BA1793" s="84">
        <v>1700.0</v>
      </c>
      <c r="BB1793" s="84" t="b">
        <f>IFERROR(__xludf.DUMMYFUNCTION("iferror(if(A1793="""",,E1793&gt;=FILTER(Constants!$F$2:$F$10,Constants!$A$2:$A$10=A1793)))"),TRUE)</f>
        <v>1</v>
      </c>
    </row>
    <row r="1794">
      <c r="A1794" s="89" t="str">
        <f>IFERROR(__xludf.DUMMYFUNCTION("""COMPUTED_VALUE"""),"Rival")</f>
        <v>Rival</v>
      </c>
      <c r="B1794" s="87" t="str">
        <f>IFERROR(__xludf.DUMMYFUNCTION("""COMPUTED_VALUE"""),"RSC006654")</f>
        <v>RSC006654</v>
      </c>
      <c r="C1794" s="73" t="str">
        <f>IFERROR(__xludf.DUMMYFUNCTION("""COMPUTED_VALUE"""),"Chicken")</f>
        <v>Chicken</v>
      </c>
      <c r="D1794" s="73" t="str">
        <f>IFERROR(__xludf.DUMMYFUNCTION("""COMPUTED_VALUE"""),"Ocelots")</f>
        <v>Ocelots</v>
      </c>
      <c r="E1794" s="82">
        <f>IFERROR(__xludf.DUMMYFUNCTION("""COMPUTED_VALUE"""),22.0)</f>
        <v>22</v>
      </c>
      <c r="F1794" s="82">
        <f>IFERROR(__xludf.DUMMYFUNCTION("""COMPUTED_VALUE"""),13.0)</f>
        <v>13</v>
      </c>
      <c r="G1794" s="86">
        <f>IFERROR(__xludf.DUMMYFUNCTION("""COMPUTED_VALUE"""),9.0)</f>
        <v>9</v>
      </c>
      <c r="H1794" s="86">
        <f>IFERROR(__xludf.DUMMYFUNCTION("""COMPUTED_VALUE"""),0.5909090909090909)</f>
        <v>0.5909090909</v>
      </c>
      <c r="I1794" s="86">
        <f>IFERROR(__xludf.DUMMYFUNCTION("""COMPUTED_VALUE"""),0.3191489361702128)</f>
        <v>0.3191489362</v>
      </c>
      <c r="J1794" s="82">
        <f>IFERROR(__xludf.DUMMYFUNCTION("""COMPUTED_VALUE"""),322.59090909090907)</f>
        <v>322.5909091</v>
      </c>
      <c r="K1794" s="82">
        <f>IFERROR(__xludf.DUMMYFUNCTION("""COMPUTED_VALUE"""),0.6818181818181818)</f>
        <v>0.6818181818</v>
      </c>
      <c r="L1794" s="82">
        <f>IFERROR(__xludf.DUMMYFUNCTION("""COMPUTED_VALUE"""),0.4090909090909091)</f>
        <v>0.4090909091</v>
      </c>
      <c r="M1794" s="82">
        <f>IFERROR(__xludf.DUMMYFUNCTION("""COMPUTED_VALUE"""),1.2727272727272727)</f>
        <v>1.272727273</v>
      </c>
      <c r="N1794" s="82">
        <f>IFERROR(__xludf.DUMMYFUNCTION("""COMPUTED_VALUE"""),2.1363636363636362)</f>
        <v>2.136363636</v>
      </c>
      <c r="O1794" s="82">
        <f>IFERROR(__xludf.DUMMYFUNCTION("""COMPUTED_VALUE"""),323.07575757575756)</f>
        <v>323.0757576</v>
      </c>
      <c r="P1794" s="82">
        <f>IFERROR(__xludf.DUMMYFUNCTION("""COMPUTED_VALUE"""),0.606060606060606)</f>
        <v>0.6060606061</v>
      </c>
      <c r="Q1794" s="82">
        <f>IFERROR(__xludf.DUMMYFUNCTION("""COMPUTED_VALUE"""),0.3484848484848485)</f>
        <v>0.3484848485</v>
      </c>
      <c r="R1794" s="82">
        <f>IFERROR(__xludf.DUMMYFUNCTION("""COMPUTED_VALUE"""),1.3787878787878787)</f>
        <v>1.378787879</v>
      </c>
      <c r="S1794" s="82">
        <f>IFERROR(__xludf.DUMMYFUNCTION("""COMPUTED_VALUE"""),2.0000000000000004)</f>
        <v>2</v>
      </c>
      <c r="T1794" s="82">
        <f>IFERROR(__xludf.DUMMYFUNCTION("""COMPUTED_VALUE"""),341.27812631413923)</f>
        <v>341.2781263</v>
      </c>
      <c r="U1794" s="82">
        <f>IFERROR(__xludf.DUMMYFUNCTION("""COMPUTED_VALUE"""),0.7278923133351033)</f>
        <v>0.7278923133</v>
      </c>
      <c r="V1794" s="82">
        <f>IFERROR(__xludf.DUMMYFUNCTION("""COMPUTED_VALUE"""),0.5111022321171222)</f>
        <v>0.5111022321</v>
      </c>
      <c r="W1794" s="82">
        <f>IFERROR(__xludf.DUMMYFUNCTION("""COMPUTED_VALUE"""),1.3696777259806256)</f>
        <v>1.369677726</v>
      </c>
      <c r="X1794" s="82">
        <f>IFERROR(__xludf.DUMMYFUNCTION("""COMPUTED_VALUE"""),2.45104064626596)</f>
        <v>2.451040646</v>
      </c>
      <c r="Y1794" s="82">
        <f>IFERROR(__xludf.DUMMYFUNCTION("""COMPUTED_VALUE"""),349.19894166376787)</f>
        <v>349.1989417</v>
      </c>
      <c r="Z1794" s="82">
        <f>IFERROR(__xludf.DUMMYFUNCTION("""COMPUTED_VALUE"""),0.7905209829935533)</f>
        <v>0.790520983</v>
      </c>
      <c r="AA1794" s="82">
        <f>IFERROR(__xludf.DUMMYFUNCTION("""COMPUTED_VALUE"""),0.5837128401901129)</f>
        <v>0.5837128402</v>
      </c>
      <c r="AB1794" s="82">
        <f>IFERROR(__xludf.DUMMYFUNCTION("""COMPUTED_VALUE"""),1.3236286037050147)</f>
        <v>1.323628604</v>
      </c>
      <c r="AC1794" s="82">
        <f>IFERROR(__xludf.DUMMYFUNCTION("""COMPUTED_VALUE"""),2.594489618125982)</f>
        <v>2.594489618</v>
      </c>
      <c r="AD1794" s="82">
        <f>IFERROR(__xludf.DUMMYFUNCTION("""COMPUTED_VALUE"""),0.9238026540227067)</f>
        <v>0.923802654</v>
      </c>
      <c r="AE1794" s="82">
        <f>IFERROR(__xludf.DUMMYFUNCTION("""COMPUTED_VALUE"""),0.8624922000631348)</f>
        <v>0.8624922001</v>
      </c>
      <c r="AF1794" s="82">
        <f>IFERROR(__xludf.DUMMYFUNCTION("""COMPUTED_VALUE"""),0.7008427447949747)</f>
        <v>0.7008427448</v>
      </c>
      <c r="AG1794" s="82">
        <f>IFERROR(__xludf.DUMMYFUNCTION("""COMPUTED_VALUE"""),0.9615440986729493)</f>
        <v>0.9615440987</v>
      </c>
      <c r="AH1794" s="82">
        <f>IFERROR(__xludf.DUMMYFUNCTION("""COMPUTED_VALUE"""),0.8234234669656326)</f>
        <v>0.823423467</v>
      </c>
      <c r="AI1794" s="82">
        <f>IFERROR(__xludf.DUMMYFUNCTION("""COMPUTED_VALUE"""),0.9466641213283421)</f>
        <v>0.9466641213</v>
      </c>
      <c r="AJ1794" s="82">
        <f>IFERROR(__xludf.DUMMYFUNCTION("""COMPUTED_VALUE"""),0.832623995277157)</f>
        <v>0.8326239953</v>
      </c>
      <c r="AK1794" s="82">
        <f>IFERROR(__xludf.DUMMYFUNCTION("""COMPUTED_VALUE"""),0.6818300265317391)</f>
        <v>0.6818300265</v>
      </c>
      <c r="AL1794" s="82">
        <f>IFERROR(__xludf.DUMMYFUNCTION("""COMPUTED_VALUE"""),1.0066513112058755)</f>
        <v>1.006651311</v>
      </c>
      <c r="AM1794" s="82">
        <f>IFERROR(__xludf.DUMMYFUNCTION("""COMPUTED_VALUE"""),0.8159799402131099)</f>
        <v>0.8159799402</v>
      </c>
      <c r="AN1794" s="82">
        <f>IFERROR(__xludf.DUMMYFUNCTION("""COMPUTED_VALUE"""),0.9517614876910103)</f>
        <v>0.9517614877</v>
      </c>
      <c r="AO1794" s="82">
        <f>IFERROR(__xludf.DUMMYFUNCTION("""COMPUTED_VALUE"""),0.9280728145748892)</f>
        <v>0.9280728146</v>
      </c>
      <c r="AP1794" s="82">
        <f>IFERROR(__xludf.DUMMYFUNCTION("""COMPUTED_VALUE"""),0.7304883286171575)</f>
        <v>0.7304883286</v>
      </c>
      <c r="AQ1794" s="82">
        <f>IFERROR(__xludf.DUMMYFUNCTION("""COMPUTED_VALUE"""),0.9712249038543693)</f>
        <v>0.9712249039</v>
      </c>
      <c r="AR1794" s="82">
        <f>IFERROR(__xludf.DUMMYFUNCTION("""COMPUTED_VALUE"""),0.8578583006997059)</f>
        <v>0.8578583007</v>
      </c>
      <c r="AS1794" s="82">
        <f>IFERROR(__xludf.DUMMYFUNCTION("""COMPUTED_VALUE"""),51.0)</f>
        <v>51</v>
      </c>
      <c r="AT1794" s="82">
        <f>IFERROR(__xludf.DUMMYFUNCTION("""COMPUTED_VALUE"""),0.5902882250633421)</f>
        <v>0.5902882251</v>
      </c>
      <c r="AU1794" s="82">
        <f>IFERROR(__xludf.DUMMYFUNCTION("""COMPUTED_VALUE"""),1.8255135288075257)</f>
        <v>1.825513529</v>
      </c>
      <c r="AV1794" s="82">
        <f>IFERROR(__xludf.DUMMYFUNCTION("""COMPUTED_VALUE"""),43.9689171399706)</f>
        <v>43.96891714</v>
      </c>
      <c r="AW1794" s="82">
        <f t="shared" si="1"/>
        <v>-2.471068294</v>
      </c>
      <c r="AX1794" s="83">
        <f t="array" ref="AX1794">IFERROR(DGET('SBV Import'!A:G,"SBV",{"RSC ID","Tier";B1794,A1794}))</f>
        <v>43.17852365</v>
      </c>
      <c r="AY1794" s="82">
        <f t="shared" si="2"/>
        <v>-2.547895458</v>
      </c>
      <c r="AZ1794" s="82">
        <v>0.0768271641701066</v>
      </c>
      <c r="BA1794" s="84">
        <v>1700.0</v>
      </c>
      <c r="BB1794" s="84" t="b">
        <f>IFERROR(__xludf.DUMMYFUNCTION("iferror(if(A1794="""",,E1794&gt;=FILTER(Constants!$F$2:$F$10,Constants!$A$2:$A$10=A1794)))"),TRUE)</f>
        <v>1</v>
      </c>
    </row>
    <row r="1795">
      <c r="A1795" s="89" t="str">
        <f>IFERROR(__xludf.DUMMYFUNCTION("""COMPUTED_VALUE"""),"Rival")</f>
        <v>Rival</v>
      </c>
      <c r="B1795" s="87" t="str">
        <f>IFERROR(__xludf.DUMMYFUNCTION("""COMPUTED_VALUE"""),"RSC005328")</f>
        <v>RSC005328</v>
      </c>
      <c r="C1795" s="73" t="str">
        <f>IFERROR(__xludf.DUMMYFUNCTION("""COMPUTED_VALUE"""),"Razor")</f>
        <v>Razor</v>
      </c>
      <c r="D1795" s="73" t="str">
        <f>IFERROR(__xludf.DUMMYFUNCTION("""COMPUTED_VALUE"""),"Dice")</f>
        <v>Dice</v>
      </c>
      <c r="E1795" s="82">
        <f>IFERROR(__xludf.DUMMYFUNCTION("""COMPUTED_VALUE"""),8.0)</f>
        <v>8</v>
      </c>
      <c r="F1795" s="82">
        <f>IFERROR(__xludf.DUMMYFUNCTION("""COMPUTED_VALUE"""),4.0)</f>
        <v>4</v>
      </c>
      <c r="G1795" s="86">
        <f>IFERROR(__xludf.DUMMYFUNCTION("""COMPUTED_VALUE"""),4.0)</f>
        <v>4</v>
      </c>
      <c r="H1795" s="86">
        <f>IFERROR(__xludf.DUMMYFUNCTION("""COMPUTED_VALUE"""),0.5)</f>
        <v>0.5</v>
      </c>
      <c r="I1795" s="86">
        <f>IFERROR(__xludf.DUMMYFUNCTION("""COMPUTED_VALUE"""),0.21052631578947367)</f>
        <v>0.2105263158</v>
      </c>
      <c r="J1795" s="82">
        <f>IFERROR(__xludf.DUMMYFUNCTION("""COMPUTED_VALUE"""),322.625)</f>
        <v>322.625</v>
      </c>
      <c r="K1795" s="82">
        <f>IFERROR(__xludf.DUMMYFUNCTION("""COMPUTED_VALUE"""),0.5)</f>
        <v>0.5</v>
      </c>
      <c r="L1795" s="82">
        <f>IFERROR(__xludf.DUMMYFUNCTION("""COMPUTED_VALUE"""),0.625)</f>
        <v>0.625</v>
      </c>
      <c r="M1795" s="82">
        <f>IFERROR(__xludf.DUMMYFUNCTION("""COMPUTED_VALUE"""),1.625)</f>
        <v>1.625</v>
      </c>
      <c r="N1795" s="82">
        <f>IFERROR(__xludf.DUMMYFUNCTION("""COMPUTED_VALUE"""),2.375)</f>
        <v>2.375</v>
      </c>
      <c r="O1795" s="82">
        <f>IFERROR(__xludf.DUMMYFUNCTION("""COMPUTED_VALUE"""),344.625)</f>
        <v>344.625</v>
      </c>
      <c r="P1795" s="82">
        <f>IFERROR(__xludf.DUMMYFUNCTION("""COMPUTED_VALUE"""),0.75)</f>
        <v>0.75</v>
      </c>
      <c r="Q1795" s="82">
        <f>IFERROR(__xludf.DUMMYFUNCTION("""COMPUTED_VALUE"""),0.5)</f>
        <v>0.5</v>
      </c>
      <c r="R1795" s="82">
        <f>IFERROR(__xludf.DUMMYFUNCTION("""COMPUTED_VALUE"""),1.5833333333333335)</f>
        <v>1.583333333</v>
      </c>
      <c r="S1795" s="82">
        <f>IFERROR(__xludf.DUMMYFUNCTION("""COMPUTED_VALUE"""),2.583333333333333)</f>
        <v>2.583333333</v>
      </c>
      <c r="T1795" s="82">
        <f>IFERROR(__xludf.DUMMYFUNCTION("""COMPUTED_VALUE"""),353.8806993546577)</f>
        <v>353.8806994</v>
      </c>
      <c r="U1795" s="82">
        <f>IFERROR(__xludf.DUMMYFUNCTION("""COMPUTED_VALUE"""),0.8539737654320987)</f>
        <v>0.8539737654</v>
      </c>
      <c r="V1795" s="82">
        <f>IFERROR(__xludf.DUMMYFUNCTION("""COMPUTED_VALUE"""),0.5193778058361391)</f>
        <v>0.5193778058</v>
      </c>
      <c r="W1795" s="82">
        <f>IFERROR(__xludf.DUMMYFUNCTION("""COMPUTED_VALUE"""),1.359252244668911)</f>
        <v>1.359252245</v>
      </c>
      <c r="X1795" s="82">
        <f>IFERROR(__xludf.DUMMYFUNCTION("""COMPUTED_VALUE"""),2.666964786756454)</f>
        <v>2.666964787</v>
      </c>
      <c r="Y1795" s="82">
        <f>IFERROR(__xludf.DUMMYFUNCTION("""COMPUTED_VALUE"""),337.5660774410774)</f>
        <v>337.5660774</v>
      </c>
      <c r="Z1795" s="82">
        <f>IFERROR(__xludf.DUMMYFUNCTION("""COMPUTED_VALUE"""),0.7140326879910214)</f>
        <v>0.714032688</v>
      </c>
      <c r="AA1795" s="82">
        <f>IFERROR(__xludf.DUMMYFUNCTION("""COMPUTED_VALUE"""),0.5445426487093153)</f>
        <v>0.5445426487</v>
      </c>
      <c r="AB1795" s="82">
        <f>IFERROR(__xludf.DUMMYFUNCTION("""COMPUTED_VALUE"""),1.388111438458661)</f>
        <v>1.388111438</v>
      </c>
      <c r="AC1795" s="82">
        <f>IFERROR(__xludf.DUMMYFUNCTION("""COMPUTED_VALUE"""),2.57261854657688)</f>
        <v>2.572618547</v>
      </c>
      <c r="AD1795" s="82">
        <f>IFERROR(__xludf.DUMMYFUNCTION("""COMPUTED_VALUE"""),0.9557388065935464)</f>
        <v>0.9557388066</v>
      </c>
      <c r="AE1795" s="82">
        <f>IFERROR(__xludf.DUMMYFUNCTION("""COMPUTED_VALUE"""),0.7002480536385293)</f>
        <v>0.7002480536</v>
      </c>
      <c r="AF1795" s="82">
        <f>IFERROR(__xludf.DUMMYFUNCTION("""COMPUTED_VALUE"""),1.1477521576710035)</f>
        <v>1.147752158</v>
      </c>
      <c r="AG1795" s="82">
        <f>IFERROR(__xludf.DUMMYFUNCTION("""COMPUTED_VALUE"""),1.1706552910509669)</f>
        <v>1.170655291</v>
      </c>
      <c r="AH1795" s="82">
        <f>IFERROR(__xludf.DUMMYFUNCTION("""COMPUTED_VALUE"""),0.9231838910436875)</f>
        <v>0.923183891</v>
      </c>
      <c r="AI1795" s="82">
        <f>IFERROR(__xludf.DUMMYFUNCTION("""COMPUTED_VALUE"""),0.9738451422427488)</f>
        <v>0.9738451422</v>
      </c>
      <c r="AJ1795" s="82">
        <f>IFERROR(__xludf.DUMMYFUNCTION("""COMPUTED_VALUE"""),0.8782471199457873)</f>
        <v>0.8782471199</v>
      </c>
      <c r="AK1795" s="82">
        <f>IFERROR(__xludf.DUMMYFUNCTION("""COMPUTED_VALUE"""),0.9626903467603066)</f>
        <v>0.9626903468</v>
      </c>
      <c r="AL1795" s="82">
        <f>IFERROR(__xludf.DUMMYFUNCTION("""COMPUTED_VALUE"""),1.1648561475938592)</f>
        <v>1.164856148</v>
      </c>
      <c r="AM1795" s="82">
        <f>IFERROR(__xludf.DUMMYFUNCTION("""COMPUTED_VALUE"""),0.9686417106673415)</f>
        <v>0.9686417107</v>
      </c>
      <c r="AN1795" s="82">
        <f>IFERROR(__xludf.DUMMYFUNCTION("""COMPUTED_VALUE"""),0.9518620683752106)</f>
        <v>0.9518620684</v>
      </c>
      <c r="AO1795" s="82">
        <f>IFERROR(__xludf.DUMMYFUNCTION("""COMPUTED_VALUE"""),0.6805867306882522)</f>
        <v>0.6805867307</v>
      </c>
      <c r="AP1795" s="82">
        <f>IFERROR(__xludf.DUMMYFUNCTION("""COMPUTED_VALUE"""),1.116023835387324)</f>
        <v>1.116023835</v>
      </c>
      <c r="AQ1795" s="82">
        <f>IFERROR(__xludf.DUMMYFUNCTION("""COMPUTED_VALUE"""),1.2400460825997752)</f>
        <v>1.240046083</v>
      </c>
      <c r="AR1795" s="82">
        <f>IFERROR(__xludf.DUMMYFUNCTION("""COMPUTED_VALUE"""),0.9536828981182902)</f>
        <v>0.9536828981</v>
      </c>
      <c r="AS1795" s="82">
        <f>IFERROR(__xludf.DUMMYFUNCTION("""COMPUTED_VALUE"""),13.0)</f>
        <v>13</v>
      </c>
      <c r="AT1795" s="82">
        <f>IFERROR(__xludf.DUMMYFUNCTION("""COMPUTED_VALUE"""),0.3822416365980813)</f>
        <v>0.3822416366</v>
      </c>
      <c r="AU1795" s="82">
        <f>IFERROR(__xludf.DUMMYFUNCTION("""COMPUTED_VALUE"""),1.8209681494312555)</f>
        <v>1.820968149</v>
      </c>
      <c r="AV1795" s="82">
        <f>IFERROR(__xludf.DUMMYFUNCTION("""COMPUTED_VALUE"""),43.80835584360161)</f>
        <v>43.80835584</v>
      </c>
      <c r="AW1795" s="82">
        <f t="shared" si="1"/>
        <v>-2.486346782</v>
      </c>
      <c r="AX1795" s="83">
        <f t="array" ref="AX1795">IFERROR(DGET('SBV Import'!A:G,"SBV",{"RSC ID","Tier";B1795,A1795}))</f>
        <v>43.67921196</v>
      </c>
      <c r="AY1795" s="82">
        <f t="shared" si="2"/>
        <v>-2.498755595</v>
      </c>
      <c r="AZ1795" s="82">
        <v>0.01240881257277282</v>
      </c>
      <c r="BA1795" s="84">
        <v>1700.0</v>
      </c>
      <c r="BB1795" s="84" t="b">
        <f>IFERROR(__xludf.DUMMYFUNCTION("iferror(if(A1795="""",,E1795&gt;=FILTER(Constants!$F$2:$F$10,Constants!$A$2:$A$10=A1795)))"),TRUE)</f>
        <v>1</v>
      </c>
    </row>
    <row r="1796">
      <c r="A1796" s="89" t="str">
        <f>IFERROR(__xludf.DUMMYFUNCTION("""COMPUTED_VALUE"""),"Rival")</f>
        <v>Rival</v>
      </c>
      <c r="B1796" s="87" t="str">
        <f>IFERROR(__xludf.DUMMYFUNCTION("""COMPUTED_VALUE"""),"RSC006069")</f>
        <v>RSC006069</v>
      </c>
      <c r="C1796" s="73" t="str">
        <f>IFERROR(__xludf.DUMMYFUNCTION("""COMPUTED_VALUE"""),"PoupSoup")</f>
        <v>PoupSoup</v>
      </c>
      <c r="D1796" s="73" t="str">
        <f>IFERROR(__xludf.DUMMYFUNCTION("""COMPUTED_VALUE"""),"Blizzards")</f>
        <v>Blizzards</v>
      </c>
      <c r="E1796" s="82">
        <f>IFERROR(__xludf.DUMMYFUNCTION("""COMPUTED_VALUE"""),30.0)</f>
        <v>30</v>
      </c>
      <c r="F1796" s="82">
        <f>IFERROR(__xludf.DUMMYFUNCTION("""COMPUTED_VALUE"""),15.0)</f>
        <v>15</v>
      </c>
      <c r="G1796" s="86">
        <f>IFERROR(__xludf.DUMMYFUNCTION("""COMPUTED_VALUE"""),15.0)</f>
        <v>15</v>
      </c>
      <c r="H1796" s="86">
        <f>IFERROR(__xludf.DUMMYFUNCTION("""COMPUTED_VALUE"""),0.5)</f>
        <v>0.5</v>
      </c>
      <c r="I1796" s="86">
        <f>IFERROR(__xludf.DUMMYFUNCTION("""COMPUTED_VALUE"""),0.2816901408450704)</f>
        <v>0.2816901408</v>
      </c>
      <c r="J1796" s="82">
        <f>IFERROR(__xludf.DUMMYFUNCTION("""COMPUTED_VALUE"""),319.7)</f>
        <v>319.7</v>
      </c>
      <c r="K1796" s="82">
        <f>IFERROR(__xludf.DUMMYFUNCTION("""COMPUTED_VALUE"""),0.6666666666666666)</f>
        <v>0.6666666667</v>
      </c>
      <c r="L1796" s="82">
        <f>IFERROR(__xludf.DUMMYFUNCTION("""COMPUTED_VALUE"""),0.43333333333333335)</f>
        <v>0.4333333333</v>
      </c>
      <c r="M1796" s="82">
        <f>IFERROR(__xludf.DUMMYFUNCTION("""COMPUTED_VALUE"""),1.1333333333333333)</f>
        <v>1.133333333</v>
      </c>
      <c r="N1796" s="82">
        <f>IFERROR(__xludf.DUMMYFUNCTION("""COMPUTED_VALUE"""),2.3666666666666667)</f>
        <v>2.366666667</v>
      </c>
      <c r="O1796" s="82">
        <f>IFERROR(__xludf.DUMMYFUNCTION("""COMPUTED_VALUE"""),344.3333333333333)</f>
        <v>344.3333333</v>
      </c>
      <c r="P1796" s="82">
        <f>IFERROR(__xludf.DUMMYFUNCTION("""COMPUTED_VALUE"""),0.7666666666666667)</f>
        <v>0.7666666667</v>
      </c>
      <c r="Q1796" s="82">
        <f>IFERROR(__xludf.DUMMYFUNCTION("""COMPUTED_VALUE"""),0.5111111111111112)</f>
        <v>0.5111111111</v>
      </c>
      <c r="R1796" s="82">
        <f>IFERROR(__xludf.DUMMYFUNCTION("""COMPUTED_VALUE"""),1.3555555555555556)</f>
        <v>1.355555556</v>
      </c>
      <c r="S1796" s="82">
        <f>IFERROR(__xludf.DUMMYFUNCTION("""COMPUTED_VALUE"""),2.433333333333333)</f>
        <v>2.433333333</v>
      </c>
      <c r="T1796" s="82">
        <f>IFERROR(__xludf.DUMMYFUNCTION("""COMPUTED_VALUE"""),351.87003507015305)</f>
        <v>351.8700351</v>
      </c>
      <c r="U1796" s="82">
        <f>IFERROR(__xludf.DUMMYFUNCTION("""COMPUTED_VALUE"""),0.8018614497058548)</f>
        <v>0.8018614497</v>
      </c>
      <c r="V1796" s="82">
        <f>IFERROR(__xludf.DUMMYFUNCTION("""COMPUTED_VALUE"""),0.5974489952988938)</f>
        <v>0.5974489953</v>
      </c>
      <c r="W1796" s="82">
        <f>IFERROR(__xludf.DUMMYFUNCTION("""COMPUTED_VALUE"""),1.3699650993679897)</f>
        <v>1.369965099</v>
      </c>
      <c r="X1796" s="82">
        <f>IFERROR(__xludf.DUMMYFUNCTION("""COMPUTED_VALUE"""),2.598458724463626)</f>
        <v>2.598458724</v>
      </c>
      <c r="Y1796" s="82">
        <f>IFERROR(__xludf.DUMMYFUNCTION("""COMPUTED_VALUE"""),339.7102336875993)</f>
        <v>339.7102337</v>
      </c>
      <c r="Z1796" s="82">
        <f>IFERROR(__xludf.DUMMYFUNCTION("""COMPUTED_VALUE"""),0.7439614226269058)</f>
        <v>0.7439614226</v>
      </c>
      <c r="AA1796" s="82">
        <f>IFERROR(__xludf.DUMMYFUNCTION("""COMPUTED_VALUE"""),0.557378424357802)</f>
        <v>0.5573784244</v>
      </c>
      <c r="AB1796" s="82">
        <f>IFERROR(__xludf.DUMMYFUNCTION("""COMPUTED_VALUE"""),1.2987194029102969)</f>
        <v>1.298719403</v>
      </c>
      <c r="AC1796" s="82">
        <f>IFERROR(__xludf.DUMMYFUNCTION("""COMPUTED_VALUE"""),2.6001749269520285)</f>
        <v>2.600174927</v>
      </c>
      <c r="AD1796" s="82">
        <f>IFERROR(__xludf.DUMMYFUNCTION("""COMPUTED_VALUE"""),0.9410961704909928)</f>
        <v>0.9410961705</v>
      </c>
      <c r="AE1796" s="82">
        <f>IFERROR(__xludf.DUMMYFUNCTION("""COMPUTED_VALUE"""),0.8961038118249282)</f>
        <v>0.8961038118</v>
      </c>
      <c r="AF1796" s="82">
        <f>IFERROR(__xludf.DUMMYFUNCTION("""COMPUTED_VALUE"""),0.7774490622463716)</f>
        <v>0.7774490622</v>
      </c>
      <c r="AG1796" s="82">
        <f>IFERROR(__xludf.DUMMYFUNCTION("""COMPUTED_VALUE"""),0.8726545016526662)</f>
        <v>0.8726545017</v>
      </c>
      <c r="AH1796" s="82">
        <f>IFERROR(__xludf.DUMMYFUNCTION("""COMPUTED_VALUE"""),0.9101951726920603)</f>
        <v>0.9101951727</v>
      </c>
      <c r="AI1796" s="82">
        <f>IFERROR(__xludf.DUMMYFUNCTION("""COMPUTED_VALUE"""),0.9785810072309308)</f>
        <v>0.9785810072</v>
      </c>
      <c r="AJ1796" s="82">
        <f>IFERROR(__xludf.DUMMYFUNCTION("""COMPUTED_VALUE"""),0.9561086481310475)</f>
        <v>0.9561086481</v>
      </c>
      <c r="AK1796" s="82">
        <f>IFERROR(__xludf.DUMMYFUNCTION("""COMPUTED_VALUE"""),0.8554891131006267)</f>
        <v>0.8554891131</v>
      </c>
      <c r="AL1796" s="82">
        <f>IFERROR(__xludf.DUMMYFUNCTION("""COMPUTED_VALUE"""),0.9894818168586326)</f>
        <v>0.9894818169</v>
      </c>
      <c r="AM1796" s="82">
        <f>IFERROR(__xludf.DUMMYFUNCTION("""COMPUTED_VALUE"""),0.9364525633693189)</f>
        <v>0.9364525634</v>
      </c>
      <c r="AN1796" s="82">
        <f>IFERROR(__xludf.DUMMYFUNCTION("""COMPUTED_VALUE"""),0.9432322456708402)</f>
        <v>0.9432322457</v>
      </c>
      <c r="AO1796" s="82">
        <f>IFERROR(__xludf.DUMMYFUNCTION("""COMPUTED_VALUE"""),0.9074489742510028)</f>
        <v>0.9074489743</v>
      </c>
      <c r="AP1796" s="82">
        <f>IFERROR(__xludf.DUMMYFUNCTION("""COMPUTED_VALUE"""),0.7737765258685446)</f>
        <v>0.7737765259</v>
      </c>
      <c r="AQ1796" s="82">
        <f>IFERROR(__xludf.DUMMYFUNCTION("""COMPUTED_VALUE"""),0.8648526524798432)</f>
        <v>0.8648526525</v>
      </c>
      <c r="AR1796" s="82">
        <f>IFERROR(__xludf.DUMMYFUNCTION("""COMPUTED_VALUE"""),0.950336642335419)</f>
        <v>0.9503366423</v>
      </c>
      <c r="AS1796" s="82">
        <f>IFERROR(__xludf.DUMMYFUNCTION("""COMPUTED_VALUE"""),60.0)</f>
        <v>60</v>
      </c>
      <c r="AT1796" s="82">
        <f>IFERROR(__xludf.DUMMYFUNCTION("""COMPUTED_VALUE"""),0.44709391239766827)</f>
        <v>0.4470939124</v>
      </c>
      <c r="AU1796" s="82">
        <f>IFERROR(__xludf.DUMMYFUNCTION("""COMPUTED_VALUE"""),1.80729027237152)</f>
        <v>1.807290272</v>
      </c>
      <c r="AV1796" s="82">
        <f>IFERROR(__xludf.DUMMYFUNCTION("""COMPUTED_VALUE"""),43.3251975656035)</f>
        <v>43.32519757</v>
      </c>
      <c r="AW1796" s="82">
        <f t="shared" si="1"/>
        <v>-2.533328323</v>
      </c>
      <c r="AX1796" s="83">
        <f t="array" ref="AX1796">IFERROR(DGET('SBV Import'!A:G,"SBV",{"RSC ID","Tier";B1796,A1796}))</f>
        <v>40.53800834</v>
      </c>
      <c r="AY1796" s="82">
        <f t="shared" si="2"/>
        <v>-2.8365805</v>
      </c>
      <c r="AZ1796" s="82">
        <v>0.3032521773950405</v>
      </c>
      <c r="BA1796" s="84">
        <v>1700.0</v>
      </c>
      <c r="BB1796" s="84" t="b">
        <f>IFERROR(__xludf.DUMMYFUNCTION("iferror(if(A1796="""",,E1796&gt;=FILTER(Constants!$F$2:$F$10,Constants!$A$2:$A$10=A1796)))"),TRUE)</f>
        <v>1</v>
      </c>
    </row>
    <row r="1797">
      <c r="A1797" s="89" t="str">
        <f>IFERROR(__xludf.DUMMYFUNCTION("""COMPUTED_VALUE"""),"Rival")</f>
        <v>Rival</v>
      </c>
      <c r="B1797" s="87" t="str">
        <f>IFERROR(__xludf.DUMMYFUNCTION("""COMPUTED_VALUE"""),"RSC003255")</f>
        <v>RSC003255</v>
      </c>
      <c r="C1797" s="73" t="str">
        <f>IFERROR(__xludf.DUMMYFUNCTION("""COMPUTED_VALUE"""),"cozyboy")</f>
        <v>cozyboy</v>
      </c>
      <c r="D1797" s="73" t="str">
        <f>IFERROR(__xludf.DUMMYFUNCTION("""COMPUTED_VALUE"""),"Funk Hunks")</f>
        <v>Funk Hunks</v>
      </c>
      <c r="E1797" s="82">
        <f>IFERROR(__xludf.DUMMYFUNCTION("""COMPUTED_VALUE"""),29.0)</f>
        <v>29</v>
      </c>
      <c r="F1797" s="82">
        <f>IFERROR(__xludf.DUMMYFUNCTION("""COMPUTED_VALUE"""),13.0)</f>
        <v>13</v>
      </c>
      <c r="G1797" s="86">
        <f>IFERROR(__xludf.DUMMYFUNCTION("""COMPUTED_VALUE"""),16.0)</f>
        <v>16</v>
      </c>
      <c r="H1797" s="86">
        <f>IFERROR(__xludf.DUMMYFUNCTION("""COMPUTED_VALUE"""),0.4482758620689655)</f>
        <v>0.4482758621</v>
      </c>
      <c r="I1797" s="86">
        <f>IFERROR(__xludf.DUMMYFUNCTION("""COMPUTED_VALUE"""),0.25862068965517243)</f>
        <v>0.2586206897</v>
      </c>
      <c r="J1797" s="82">
        <f>IFERROR(__xludf.DUMMYFUNCTION("""COMPUTED_VALUE"""),322.1034482758621)</f>
        <v>322.1034483</v>
      </c>
      <c r="K1797" s="82">
        <f>IFERROR(__xludf.DUMMYFUNCTION("""COMPUTED_VALUE"""),0.5172413793103449)</f>
        <v>0.5172413793</v>
      </c>
      <c r="L1797" s="82">
        <f>IFERROR(__xludf.DUMMYFUNCTION("""COMPUTED_VALUE"""),0.7586206896551724)</f>
        <v>0.7586206897</v>
      </c>
      <c r="M1797" s="82">
        <f>IFERROR(__xludf.DUMMYFUNCTION("""COMPUTED_VALUE"""),1.3793103448275863)</f>
        <v>1.379310345</v>
      </c>
      <c r="N1797" s="82">
        <f>IFERROR(__xludf.DUMMYFUNCTION("""COMPUTED_VALUE"""),2.0)</f>
        <v>2</v>
      </c>
      <c r="O1797" s="82">
        <f>IFERROR(__xludf.DUMMYFUNCTION("""COMPUTED_VALUE"""),348.50574712643675)</f>
        <v>348.5057471</v>
      </c>
      <c r="P1797" s="82">
        <f>IFERROR(__xludf.DUMMYFUNCTION("""COMPUTED_VALUE"""),0.8505747126436782)</f>
        <v>0.8505747126</v>
      </c>
      <c r="Q1797" s="82">
        <f>IFERROR(__xludf.DUMMYFUNCTION("""COMPUTED_VALUE"""),0.586206896551724)</f>
        <v>0.5862068966</v>
      </c>
      <c r="R1797" s="82">
        <f>IFERROR(__xludf.DUMMYFUNCTION("""COMPUTED_VALUE"""),1.218390804597701)</f>
        <v>1.218390805</v>
      </c>
      <c r="S1797" s="82">
        <f>IFERROR(__xludf.DUMMYFUNCTION("""COMPUTED_VALUE"""),2.724137931034482)</f>
        <v>2.724137931</v>
      </c>
      <c r="T1797" s="82">
        <f>IFERROR(__xludf.DUMMYFUNCTION("""COMPUTED_VALUE"""),355.46303470213206)</f>
        <v>355.4630347</v>
      </c>
      <c r="U1797" s="82">
        <f>IFERROR(__xludf.DUMMYFUNCTION("""COMPUTED_VALUE"""),0.8224383028135566)</f>
        <v>0.8224383028</v>
      </c>
      <c r="V1797" s="82">
        <f>IFERROR(__xludf.DUMMYFUNCTION("""COMPUTED_VALUE"""),0.6194119455782743)</f>
        <v>0.6194119456</v>
      </c>
      <c r="W1797" s="82">
        <f>IFERROR(__xludf.DUMMYFUNCTION("""COMPUTED_VALUE"""),1.2797433784756298)</f>
        <v>1.279743378</v>
      </c>
      <c r="X1797" s="82">
        <f>IFERROR(__xludf.DUMMYFUNCTION("""COMPUTED_VALUE"""),2.6878942858658887)</f>
        <v>2.687894286</v>
      </c>
      <c r="Y1797" s="82">
        <f>IFERROR(__xludf.DUMMYFUNCTION("""COMPUTED_VALUE"""),342.16339640501235)</f>
        <v>342.1633964</v>
      </c>
      <c r="Z1797" s="82">
        <f>IFERROR(__xludf.DUMMYFUNCTION("""COMPUTED_VALUE"""),0.7450960506825958)</f>
        <v>0.7450960507</v>
      </c>
      <c r="AA1797" s="82">
        <f>IFERROR(__xludf.DUMMYFUNCTION("""COMPUTED_VALUE"""),0.5502977530445413)</f>
        <v>0.550297753</v>
      </c>
      <c r="AB1797" s="82">
        <f>IFERROR(__xludf.DUMMYFUNCTION("""COMPUTED_VALUE"""),1.3389025668944534)</f>
        <v>1.338902567</v>
      </c>
      <c r="AC1797" s="82">
        <f>IFERROR(__xludf.DUMMYFUNCTION("""COMPUTED_VALUE"""),2.4972574545005246)</f>
        <v>2.497257455</v>
      </c>
      <c r="AD1797" s="82">
        <f>IFERROR(__xludf.DUMMYFUNCTION("""COMPUTED_VALUE"""),0.9413731908792322)</f>
        <v>0.9413731909</v>
      </c>
      <c r="AE1797" s="82">
        <f>IFERROR(__xludf.DUMMYFUNCTION("""COMPUTED_VALUE"""),0.6941942301754127)</f>
        <v>0.6941942302</v>
      </c>
      <c r="AF1797" s="82">
        <f>IFERROR(__xludf.DUMMYFUNCTION("""COMPUTED_VALUE"""),1.3785640327587696)</f>
        <v>1.378564033</v>
      </c>
      <c r="AG1797" s="82">
        <f>IFERROR(__xludf.DUMMYFUNCTION("""COMPUTED_VALUE"""),1.0301797747888837)</f>
        <v>1.030179775</v>
      </c>
      <c r="AH1797" s="82">
        <f>IFERROR(__xludf.DUMMYFUNCTION("""COMPUTED_VALUE"""),0.8008785783763008)</f>
        <v>0.8008785784</v>
      </c>
      <c r="AI1797" s="82">
        <f>IFERROR(__xludf.DUMMYFUNCTION("""COMPUTED_VALUE"""),0.9804275356464974)</f>
        <v>0.9804275356</v>
      </c>
      <c r="AJ1797" s="82">
        <f>IFERROR(__xludf.DUMMYFUNCTION("""COMPUTED_VALUE"""),1.0342109672347057)</f>
        <v>1.034210967</v>
      </c>
      <c r="AK1797" s="82">
        <f>IFERROR(__xludf.DUMMYFUNCTION("""COMPUTED_VALUE"""),0.9463926240628916)</f>
        <v>0.9463926241</v>
      </c>
      <c r="AL1797" s="82">
        <f>IFERROR(__xludf.DUMMYFUNCTION("""COMPUTED_VALUE"""),0.9520586901172255)</f>
        <v>0.9520586901</v>
      </c>
      <c r="AM1797" s="82">
        <f>IFERROR(__xludf.DUMMYFUNCTION("""COMPUTED_VALUE"""),1.01348402924891)</f>
        <v>1.013484029</v>
      </c>
      <c r="AN1797" s="82">
        <f>IFERROR(__xludf.DUMMYFUNCTION("""COMPUTED_VALUE"""),0.9503232995169306)</f>
        <v>0.9503232995</v>
      </c>
      <c r="AO1797" s="82">
        <f>IFERROR(__xludf.DUMMYFUNCTION("""COMPUTED_VALUE"""),0.7040552386430194)</f>
        <v>0.7040552386</v>
      </c>
      <c r="AP1797" s="82">
        <f>IFERROR(__xludf.DUMMYFUNCTION("""COMPUTED_VALUE"""),1.3546220346770275)</f>
        <v>1.354622035</v>
      </c>
      <c r="AQ1797" s="82">
        <f>IFERROR(__xludf.DUMMYFUNCTION("""COMPUTED_VALUE"""),1.0525590091032575)</f>
        <v>1.052559009</v>
      </c>
      <c r="AR1797" s="82">
        <f>IFERROR(__xludf.DUMMYFUNCTION("""COMPUTED_VALUE"""),0.8031013878890865)</f>
        <v>0.8031013879</v>
      </c>
      <c r="AS1797" s="82">
        <f>IFERROR(__xludf.DUMMYFUNCTION("""COMPUTED_VALUE"""),59.0)</f>
        <v>59</v>
      </c>
      <c r="AT1797" s="82">
        <f>IFERROR(__xludf.DUMMYFUNCTION("""COMPUTED_VALUE"""),0.4132082486937288)</f>
        <v>0.4132082487</v>
      </c>
      <c r="AU1797" s="82">
        <f>IFERROR(__xludf.DUMMYFUNCTION("""COMPUTED_VALUE"""),1.8005231853860006)</f>
        <v>1.800523185</v>
      </c>
      <c r="AV1797" s="82">
        <f>IFERROR(__xludf.DUMMYFUNCTION("""COMPUTED_VALUE"""),43.08615651554085)</f>
        <v>43.08615652</v>
      </c>
      <c r="AW1797" s="82">
        <f t="shared" si="1"/>
        <v>-2.557143232</v>
      </c>
      <c r="AX1797" s="83">
        <f t="array" ref="AX1797">IFERROR(DGET('SBV Import'!A:G,"SBV",{"RSC ID","Tier";B1797,A1797}))</f>
        <v>43.25496817</v>
      </c>
      <c r="AY1797" s="82">
        <f t="shared" si="2"/>
        <v>-2.540285294</v>
      </c>
      <c r="AZ1797" s="82">
        <v>0.016857938058184363</v>
      </c>
      <c r="BA1797" s="84">
        <v>1700.0</v>
      </c>
      <c r="BB1797" s="84" t="b">
        <f>IFERROR(__xludf.DUMMYFUNCTION("iferror(if(A1797="""",,E1797&gt;=FILTER(Constants!$F$2:$F$10,Constants!$A$2:$A$10=A1797)))"),TRUE)</f>
        <v>1</v>
      </c>
    </row>
    <row r="1798">
      <c r="A1798" s="89" t="str">
        <f>IFERROR(__xludf.DUMMYFUNCTION("""COMPUTED_VALUE"""),"Rival")</f>
        <v>Rival</v>
      </c>
      <c r="B1798" s="87" t="str">
        <f>IFERROR(__xludf.DUMMYFUNCTION("""COMPUTED_VALUE"""),"RSC006372")</f>
        <v>RSC006372</v>
      </c>
      <c r="C1798" s="73" t="str">
        <f>IFERROR(__xludf.DUMMYFUNCTION("""COMPUTED_VALUE"""),"x ARC Fives x")</f>
        <v>x ARC Fives x</v>
      </c>
      <c r="D1798" s="73" t="str">
        <f>IFERROR(__xludf.DUMMYFUNCTION("""COMPUTED_VALUE"""),"Heavy Metal")</f>
        <v>Heavy Metal</v>
      </c>
      <c r="E1798" s="82">
        <f>IFERROR(__xludf.DUMMYFUNCTION("""COMPUTED_VALUE"""),10.0)</f>
        <v>10</v>
      </c>
      <c r="F1798" s="82">
        <f>IFERROR(__xludf.DUMMYFUNCTION("""COMPUTED_VALUE"""),3.0)</f>
        <v>3</v>
      </c>
      <c r="G1798" s="86">
        <f>IFERROR(__xludf.DUMMYFUNCTION("""COMPUTED_VALUE"""),7.0)</f>
        <v>7</v>
      </c>
      <c r="H1798" s="86">
        <f>IFERROR(__xludf.DUMMYFUNCTION("""COMPUTED_VALUE"""),0.3)</f>
        <v>0.3</v>
      </c>
      <c r="I1798" s="86">
        <f>IFERROR(__xludf.DUMMYFUNCTION("""COMPUTED_VALUE"""),0.34615384615384615)</f>
        <v>0.3461538462</v>
      </c>
      <c r="J1798" s="82">
        <f>IFERROR(__xludf.DUMMYFUNCTION("""COMPUTED_VALUE"""),341.7)</f>
        <v>341.7</v>
      </c>
      <c r="K1798" s="82">
        <f>IFERROR(__xludf.DUMMYFUNCTION("""COMPUTED_VALUE"""),0.9)</f>
        <v>0.9</v>
      </c>
      <c r="L1798" s="82">
        <f>IFERROR(__xludf.DUMMYFUNCTION("""COMPUTED_VALUE"""),0.3)</f>
        <v>0.3</v>
      </c>
      <c r="M1798" s="82">
        <f>IFERROR(__xludf.DUMMYFUNCTION("""COMPUTED_VALUE"""),1.8)</f>
        <v>1.8</v>
      </c>
      <c r="N1798" s="82">
        <f>IFERROR(__xludf.DUMMYFUNCTION("""COMPUTED_VALUE"""),2.6)</f>
        <v>2.6</v>
      </c>
      <c r="O1798" s="82">
        <f>IFERROR(__xludf.DUMMYFUNCTION("""COMPUTED_VALUE"""),357.0333333333334)</f>
        <v>357.0333333</v>
      </c>
      <c r="P1798" s="82">
        <f>IFERROR(__xludf.DUMMYFUNCTION("""COMPUTED_VALUE"""),0.8666666666666666)</f>
        <v>0.8666666667</v>
      </c>
      <c r="Q1798" s="82">
        <f>IFERROR(__xludf.DUMMYFUNCTION("""COMPUTED_VALUE"""),0.5666666666666667)</f>
        <v>0.5666666667</v>
      </c>
      <c r="R1798" s="82">
        <f>IFERROR(__xludf.DUMMYFUNCTION("""COMPUTED_VALUE"""),1.3333333333333333)</f>
        <v>1.333333333</v>
      </c>
      <c r="S1798" s="82">
        <f>IFERROR(__xludf.DUMMYFUNCTION("""COMPUTED_VALUE"""),3.1000000000000005)</f>
        <v>3.1</v>
      </c>
      <c r="T1798" s="82">
        <f>IFERROR(__xludf.DUMMYFUNCTION("""COMPUTED_VALUE"""),335.30346241525643)</f>
        <v>335.3034624</v>
      </c>
      <c r="U1798" s="82">
        <f>IFERROR(__xludf.DUMMYFUNCTION("""COMPUTED_VALUE"""),0.705949860719719)</f>
        <v>0.7059498607</v>
      </c>
      <c r="V1798" s="82">
        <f>IFERROR(__xludf.DUMMYFUNCTION("""COMPUTED_VALUE"""),0.5922685621939571)</f>
        <v>0.5922685622</v>
      </c>
      <c r="W1798" s="82">
        <f>IFERROR(__xludf.DUMMYFUNCTION("""COMPUTED_VALUE"""),1.3058265979776063)</f>
        <v>1.305826598</v>
      </c>
      <c r="X1798" s="82">
        <f>IFERROR(__xludf.DUMMYFUNCTION("""COMPUTED_VALUE"""),2.4543679340763536)</f>
        <v>2.454367934</v>
      </c>
      <c r="Y1798" s="82">
        <f>IFERROR(__xludf.DUMMYFUNCTION("""COMPUTED_VALUE"""),352.33381542203085)</f>
        <v>352.3338154</v>
      </c>
      <c r="Z1798" s="82">
        <f>IFERROR(__xludf.DUMMYFUNCTION("""COMPUTED_VALUE"""),0.8140418103532365)</f>
        <v>0.8140418104</v>
      </c>
      <c r="AA1798" s="82">
        <f>IFERROR(__xludf.DUMMYFUNCTION("""COMPUTED_VALUE"""),0.5531205026296689)</f>
        <v>0.5531205026</v>
      </c>
      <c r="AB1798" s="82">
        <f>IFERROR(__xludf.DUMMYFUNCTION("""COMPUTED_VALUE"""),1.389872608624295)</f>
        <v>1.389872609</v>
      </c>
      <c r="AC1798" s="82">
        <f>IFERROR(__xludf.DUMMYFUNCTION("""COMPUTED_VALUE"""),2.695516501513633)</f>
        <v>2.695516502</v>
      </c>
      <c r="AD1798" s="82">
        <f>IFERROR(__xludf.DUMMYFUNCTION("""COMPUTED_VALUE"""),0.9698189190007394)</f>
        <v>0.969818919</v>
      </c>
      <c r="AE1798" s="82">
        <f>IFERROR(__xludf.DUMMYFUNCTION("""COMPUTED_VALUE"""),1.1055943178268248)</f>
        <v>1.105594318</v>
      </c>
      <c r="AF1798" s="82">
        <f>IFERROR(__xludf.DUMMYFUNCTION("""COMPUTED_VALUE"""),0.5423772913383743)</f>
        <v>0.5423772913</v>
      </c>
      <c r="AG1798" s="82">
        <f>IFERROR(__xludf.DUMMYFUNCTION("""COMPUTED_VALUE"""),1.2950827211291343)</f>
        <v>1.295082721</v>
      </c>
      <c r="AH1798" s="82">
        <f>IFERROR(__xludf.DUMMYFUNCTION("""COMPUTED_VALUE"""),0.9645646756530718)</f>
        <v>0.9645646757</v>
      </c>
      <c r="AI1798" s="82">
        <f>IFERROR(__xludf.DUMMYFUNCTION("""COMPUTED_VALUE"""),1.0648065807658307)</f>
        <v>1.064806581</v>
      </c>
      <c r="AJ1798" s="82">
        <f>IFERROR(__xludf.DUMMYFUNCTION("""COMPUTED_VALUE"""),1.227660369226642)</f>
        <v>1.227660369</v>
      </c>
      <c r="AK1798" s="82">
        <f>IFERROR(__xludf.DUMMYFUNCTION("""COMPUTED_VALUE"""),0.9567731648081191)</f>
        <v>0.9567731648</v>
      </c>
      <c r="AL1798" s="82">
        <f>IFERROR(__xludf.DUMMYFUNCTION("""COMPUTED_VALUE"""),1.021064615622264)</f>
        <v>1.021064616</v>
      </c>
      <c r="AM1798" s="82">
        <f>IFERROR(__xludf.DUMMYFUNCTION("""COMPUTED_VALUE"""),1.2630543110345092)</f>
        <v>1.263054311</v>
      </c>
      <c r="AN1798" s="82">
        <f>IFERROR(__xludf.DUMMYFUNCTION("""COMPUTED_VALUE"""),1.0081403138746514)</f>
        <v>1.008140314</v>
      </c>
      <c r="AO1798" s="82">
        <f>IFERROR(__xludf.DUMMYFUNCTION("""COMPUTED_VALUE"""),1.2250561152388537)</f>
        <v>1.225056115</v>
      </c>
      <c r="AP1798" s="82">
        <f>IFERROR(__xludf.DUMMYFUNCTION("""COMPUTED_VALUE"""),0.5356914409859155)</f>
        <v>0.535691441</v>
      </c>
      <c r="AQ1798" s="82">
        <f>IFERROR(__xludf.DUMMYFUNCTION("""COMPUTED_VALUE"""),1.373589506879751)</f>
        <v>1.373589507</v>
      </c>
      <c r="AR1798" s="82">
        <f>IFERROR(__xludf.DUMMYFUNCTION("""COMPUTED_VALUE"""),1.0440318042558123)</f>
        <v>1.044031804</v>
      </c>
      <c r="AS1798" s="82">
        <f>IFERROR(__xludf.DUMMYFUNCTION("""COMPUTED_VALUE"""),21.0)</f>
        <v>21</v>
      </c>
      <c r="AT1798" s="82">
        <f>IFERROR(__xludf.DUMMYFUNCTION("""COMPUTED_VALUE"""),0.41751152084151605)</f>
        <v>0.4175115208</v>
      </c>
      <c r="AU1798" s="82">
        <f>IFERROR(__xludf.DUMMYFUNCTION("""COMPUTED_VALUE"""),1.7943723555484374)</f>
        <v>1.794372356</v>
      </c>
      <c r="AV1798" s="82">
        <f>IFERROR(__xludf.DUMMYFUNCTION("""COMPUTED_VALUE"""),42.868884175718115)</f>
        <v>42.86888418</v>
      </c>
      <c r="AW1798" s="82">
        <f t="shared" si="1"/>
        <v>-2.579125215</v>
      </c>
      <c r="AX1798" s="83">
        <f t="array" ref="AX1798">IFERROR(DGET('SBV Import'!A:G,"SBV",{"RSC ID","Tier";B1798,A1798}))</f>
        <v>35.73392542</v>
      </c>
      <c r="AY1798" s="82">
        <f t="shared" si="2"/>
        <v>-3.519629211</v>
      </c>
      <c r="AZ1798" s="82">
        <v>0.9405039960391277</v>
      </c>
      <c r="BA1798" s="84">
        <v>1700.0</v>
      </c>
      <c r="BB1798" s="84" t="b">
        <f>IFERROR(__xludf.DUMMYFUNCTION("iferror(if(A1798="""",,E1798&gt;=FILTER(Constants!$F$2:$F$10,Constants!$A$2:$A$10=A1798)))"),TRUE)</f>
        <v>1</v>
      </c>
    </row>
    <row r="1799">
      <c r="A1799" s="89" t="str">
        <f>IFERROR(__xludf.DUMMYFUNCTION("""COMPUTED_VALUE"""),"Rival")</f>
        <v>Rival</v>
      </c>
      <c r="B1799" s="87" t="str">
        <f>IFERROR(__xludf.DUMMYFUNCTION("""COMPUTED_VALUE"""),"RSC005959")</f>
        <v>RSC005959</v>
      </c>
      <c r="C1799" s="73" t="str">
        <f>IFERROR(__xludf.DUMMYFUNCTION("""COMPUTED_VALUE"""),"Yurrbo?")</f>
        <v>Yurrbo?</v>
      </c>
      <c r="D1799" s="73" t="str">
        <f>IFERROR(__xludf.DUMMYFUNCTION("""COMPUTED_VALUE"""),"Nightfall")</f>
        <v>Nightfall</v>
      </c>
      <c r="E1799" s="82">
        <f>IFERROR(__xludf.DUMMYFUNCTION("""COMPUTED_VALUE"""),36.0)</f>
        <v>36</v>
      </c>
      <c r="F1799" s="82">
        <f>IFERROR(__xludf.DUMMYFUNCTION("""COMPUTED_VALUE"""),17.0)</f>
        <v>17</v>
      </c>
      <c r="G1799" s="86">
        <f>IFERROR(__xludf.DUMMYFUNCTION("""COMPUTED_VALUE"""),19.0)</f>
        <v>19</v>
      </c>
      <c r="H1799" s="86">
        <f>IFERROR(__xludf.DUMMYFUNCTION("""COMPUTED_VALUE"""),0.4722222222222222)</f>
        <v>0.4722222222</v>
      </c>
      <c r="I1799" s="86">
        <f>IFERROR(__xludf.DUMMYFUNCTION("""COMPUTED_VALUE"""),0.24731182795698922)</f>
        <v>0.247311828</v>
      </c>
      <c r="J1799" s="82">
        <f>IFERROR(__xludf.DUMMYFUNCTION("""COMPUTED_VALUE"""),329.47222222222223)</f>
        <v>329.4722222</v>
      </c>
      <c r="K1799" s="82">
        <f>IFERROR(__xludf.DUMMYFUNCTION("""COMPUTED_VALUE"""),0.6388888888888888)</f>
        <v>0.6388888889</v>
      </c>
      <c r="L1799" s="82">
        <f>IFERROR(__xludf.DUMMYFUNCTION("""COMPUTED_VALUE"""),0.3333333333333333)</f>
        <v>0.3333333333</v>
      </c>
      <c r="M1799" s="82">
        <f>IFERROR(__xludf.DUMMYFUNCTION("""COMPUTED_VALUE"""),1.6111111111111112)</f>
        <v>1.611111111</v>
      </c>
      <c r="N1799" s="82">
        <f>IFERROR(__xludf.DUMMYFUNCTION("""COMPUTED_VALUE"""),2.5833333333333335)</f>
        <v>2.583333333</v>
      </c>
      <c r="O1799" s="82">
        <f>IFERROR(__xludf.DUMMYFUNCTION("""COMPUTED_VALUE"""),327.92592592592587)</f>
        <v>327.9259259</v>
      </c>
      <c r="P1799" s="82">
        <f>IFERROR(__xludf.DUMMYFUNCTION("""COMPUTED_VALUE"""),0.6944444444444444)</f>
        <v>0.6944444444</v>
      </c>
      <c r="Q1799" s="82">
        <f>IFERROR(__xludf.DUMMYFUNCTION("""COMPUTED_VALUE"""),0.5092592592592592)</f>
        <v>0.5092592593</v>
      </c>
      <c r="R1799" s="82">
        <f>IFERROR(__xludf.DUMMYFUNCTION("""COMPUTED_VALUE"""),1.3333333333333337)</f>
        <v>1.333333333</v>
      </c>
      <c r="S1799" s="82">
        <f>IFERROR(__xludf.DUMMYFUNCTION("""COMPUTED_VALUE"""),2.388888888888889)</f>
        <v>2.388888889</v>
      </c>
      <c r="T1799" s="82">
        <f>IFERROR(__xludf.DUMMYFUNCTION("""COMPUTED_VALUE"""),348.0746254507431)</f>
        <v>348.0746255</v>
      </c>
      <c r="U1799" s="82">
        <f>IFERROR(__xludf.DUMMYFUNCTION("""COMPUTED_VALUE"""),0.7876480655409672)</f>
        <v>0.7876480655</v>
      </c>
      <c r="V1799" s="82">
        <f>IFERROR(__xludf.DUMMYFUNCTION("""COMPUTED_VALUE"""),0.5585142099270589)</f>
        <v>0.5585142099</v>
      </c>
      <c r="W1799" s="82">
        <f>IFERROR(__xludf.DUMMYFUNCTION("""COMPUTED_VALUE"""),1.3119222068643526)</f>
        <v>1.311922207</v>
      </c>
      <c r="X1799" s="82">
        <f>IFERROR(__xludf.DUMMYFUNCTION("""COMPUTED_VALUE"""),2.5641573020449444)</f>
        <v>2.564157302</v>
      </c>
      <c r="Y1799" s="82">
        <f>IFERROR(__xludf.DUMMYFUNCTION("""COMPUTED_VALUE"""),343.33867290992026)</f>
        <v>343.3386729</v>
      </c>
      <c r="Z1799" s="82">
        <f>IFERROR(__xludf.DUMMYFUNCTION("""COMPUTED_VALUE"""),0.7567582746817592)</f>
        <v>0.7567582747</v>
      </c>
      <c r="AA1799" s="82">
        <f>IFERROR(__xludf.DUMMYFUNCTION("""COMPUTED_VALUE"""),0.5323727739163951)</f>
        <v>0.5323727739</v>
      </c>
      <c r="AB1799" s="82">
        <f>IFERROR(__xludf.DUMMYFUNCTION("""COMPUTED_VALUE"""),1.3197205697494647)</f>
        <v>1.31972057</v>
      </c>
      <c r="AC1799" s="82">
        <f>IFERROR(__xludf.DUMMYFUNCTION("""COMPUTED_VALUE"""),2.5076902876312634)</f>
        <v>2.507690288</v>
      </c>
      <c r="AD1799" s="82">
        <f>IFERROR(__xludf.DUMMYFUNCTION("""COMPUTED_VALUE"""),0.9596129076571106)</f>
        <v>0.9596129077</v>
      </c>
      <c r="AE1799" s="82">
        <f>IFERROR(__xludf.DUMMYFUNCTION("""COMPUTED_VALUE"""),0.8442443383358601)</f>
        <v>0.8442443383</v>
      </c>
      <c r="AF1799" s="82">
        <f>IFERROR(__xludf.DUMMYFUNCTION("""COMPUTED_VALUE"""),0.6261276865854163)</f>
        <v>0.6261276866</v>
      </c>
      <c r="AG1799" s="82">
        <f>IFERROR(__xludf.DUMMYFUNCTION("""COMPUTED_VALUE"""),1.2207971505793562)</f>
        <v>1.220797151</v>
      </c>
      <c r="AH1799" s="82">
        <f>IFERROR(__xludf.DUMMYFUNCTION("""COMPUTED_VALUE"""),1.030164429026649)</f>
        <v>1.030164429</v>
      </c>
      <c r="AI1799" s="82">
        <f>IFERROR(__xludf.DUMMYFUNCTION("""COMPUTED_VALUE"""),0.9421138513078181)</f>
        <v>0.9421138513</v>
      </c>
      <c r="AJ1799" s="82">
        <f>IFERROR(__xludf.DUMMYFUNCTION("""COMPUTED_VALUE"""),0.8816684441007173)</f>
        <v>0.8816684441</v>
      </c>
      <c r="AK1799" s="82">
        <f>IFERROR(__xludf.DUMMYFUNCTION("""COMPUTED_VALUE"""),0.9118107475291768)</f>
        <v>0.9118107475</v>
      </c>
      <c r="AL1799" s="82">
        <f>IFERROR(__xludf.DUMMYFUNCTION("""COMPUTED_VALUE"""),1.016320423845981)</f>
        <v>1.016320424</v>
      </c>
      <c r="AM1799" s="82">
        <f>IFERROR(__xludf.DUMMYFUNCTION("""COMPUTED_VALUE"""),0.9316467780598807)</f>
        <v>0.9316467781</v>
      </c>
      <c r="AN1799" s="82">
        <f>IFERROR(__xludf.DUMMYFUNCTION("""COMPUTED_VALUE"""),0.9720638850573311)</f>
        <v>0.9720638851</v>
      </c>
      <c r="AO1799" s="82">
        <f>IFERROR(__xludf.DUMMYFUNCTION("""COMPUTED_VALUE"""),0.8696386003238776)</f>
        <v>0.8696386003</v>
      </c>
      <c r="AP1799" s="82">
        <f>IFERROR(__xludf.DUMMYFUNCTION("""COMPUTED_VALUE"""),0.5952127122065727)</f>
        <v>0.5952127122</v>
      </c>
      <c r="AQ1799" s="82">
        <f>IFERROR(__xludf.DUMMYFUNCTION("""COMPUTED_VALUE"""),1.2294473981331104)</f>
        <v>1.229447398</v>
      </c>
      <c r="AR1799" s="82">
        <f>IFERROR(__xludf.DUMMYFUNCTION("""COMPUTED_VALUE"""),1.03733929269007)</f>
        <v>1.037339293</v>
      </c>
      <c r="AS1799" s="82">
        <f>IFERROR(__xludf.DUMMYFUNCTION("""COMPUTED_VALUE"""),70.0)</f>
        <v>70</v>
      </c>
      <c r="AT1799" s="82">
        <f>IFERROR(__xludf.DUMMYFUNCTION("""COMPUTED_VALUE"""),0.47429515542238915)</f>
        <v>0.4742951554</v>
      </c>
      <c r="AU1799" s="82">
        <f>IFERROR(__xludf.DUMMYFUNCTION("""COMPUTED_VALUE"""),1.782137356330026)</f>
        <v>1.782137356</v>
      </c>
      <c r="AV1799" s="82">
        <f>IFERROR(__xludf.DUMMYFUNCTION("""COMPUTED_VALUE"""),42.43669421466942)</f>
        <v>42.43669421</v>
      </c>
      <c r="AW1799" s="82">
        <f t="shared" si="1"/>
        <v>-2.623823592</v>
      </c>
      <c r="AX1799" s="83">
        <f t="array" ref="AX1799">IFERROR(DGET('SBV Import'!A:G,"SBV",{"RSC ID","Tier";B1799,A1799}))</f>
        <v>47.82094051</v>
      </c>
      <c r="AY1799" s="82">
        <f t="shared" si="2"/>
        <v>-2.149284019</v>
      </c>
      <c r="AZ1799" s="82">
        <v>0.4745395731531423</v>
      </c>
      <c r="BA1799" s="84">
        <v>1700.0</v>
      </c>
      <c r="BB1799" s="84" t="b">
        <f>IFERROR(__xludf.DUMMYFUNCTION("iferror(if(A1799="""",,E1799&gt;=FILTER(Constants!$F$2:$F$10,Constants!$A$2:$A$10=A1799)))"),TRUE)</f>
        <v>1</v>
      </c>
    </row>
    <row r="1800">
      <c r="A1800" s="89" t="str">
        <f>IFERROR(__xludf.DUMMYFUNCTION("""COMPUTED_VALUE"""),"Rival")</f>
        <v>Rival</v>
      </c>
      <c r="B1800" s="87" t="str">
        <f>IFERROR(__xludf.DUMMYFUNCTION("""COMPUTED_VALUE"""),"RSC002453")</f>
        <v>RSC002453</v>
      </c>
      <c r="C1800" s="73" t="str">
        <f>IFERROR(__xludf.DUMMYFUNCTION("""COMPUTED_VALUE"""),"Ghostie")</f>
        <v>Ghostie</v>
      </c>
      <c r="D1800" s="73" t="str">
        <f>IFERROR(__xludf.DUMMYFUNCTION("""COMPUTED_VALUE"""),"Necrotic Nerds")</f>
        <v>Necrotic Nerds</v>
      </c>
      <c r="E1800" s="82">
        <f>IFERROR(__xludf.DUMMYFUNCTION("""COMPUTED_VALUE"""),31.0)</f>
        <v>31</v>
      </c>
      <c r="F1800" s="82">
        <f>IFERROR(__xludf.DUMMYFUNCTION("""COMPUTED_VALUE"""),12.0)</f>
        <v>12</v>
      </c>
      <c r="G1800" s="86">
        <f>IFERROR(__xludf.DUMMYFUNCTION("""COMPUTED_VALUE"""),19.0)</f>
        <v>19</v>
      </c>
      <c r="H1800" s="86">
        <f>IFERROR(__xludf.DUMMYFUNCTION("""COMPUTED_VALUE"""),0.3870967741935484)</f>
        <v>0.3870967742</v>
      </c>
      <c r="I1800" s="86">
        <f>IFERROR(__xludf.DUMMYFUNCTION("""COMPUTED_VALUE"""),0.33333333333333337)</f>
        <v>0.3333333333</v>
      </c>
      <c r="J1800" s="82">
        <f>IFERROR(__xludf.DUMMYFUNCTION("""COMPUTED_VALUE"""),325.2903225806452)</f>
        <v>325.2903226</v>
      </c>
      <c r="K1800" s="82">
        <f>IFERROR(__xludf.DUMMYFUNCTION("""COMPUTED_VALUE"""),0.7419354838709677)</f>
        <v>0.7419354839</v>
      </c>
      <c r="L1800" s="82">
        <f>IFERROR(__xludf.DUMMYFUNCTION("""COMPUTED_VALUE"""),0.3870967741935484)</f>
        <v>0.3870967742</v>
      </c>
      <c r="M1800" s="82">
        <f>IFERROR(__xludf.DUMMYFUNCTION("""COMPUTED_VALUE"""),1.1612903225806452)</f>
        <v>1.161290323</v>
      </c>
      <c r="N1800" s="82">
        <f>IFERROR(__xludf.DUMMYFUNCTION("""COMPUTED_VALUE"""),2.225806451612903)</f>
        <v>2.225806452</v>
      </c>
      <c r="O1800" s="82">
        <f>IFERROR(__xludf.DUMMYFUNCTION("""COMPUTED_VALUE"""),359.5053763440861)</f>
        <v>359.5053763</v>
      </c>
      <c r="P1800" s="82">
        <f>IFERROR(__xludf.DUMMYFUNCTION("""COMPUTED_VALUE"""),0.9354838709677419)</f>
        <v>0.935483871</v>
      </c>
      <c r="Q1800" s="82">
        <f>IFERROR(__xludf.DUMMYFUNCTION("""COMPUTED_VALUE"""),0.6774193548387097)</f>
        <v>0.6774193548</v>
      </c>
      <c r="R1800" s="82">
        <f>IFERROR(__xludf.DUMMYFUNCTION("""COMPUTED_VALUE"""),1.139784946236559)</f>
        <v>1.139784946</v>
      </c>
      <c r="S1800" s="82">
        <f>IFERROR(__xludf.DUMMYFUNCTION("""COMPUTED_VALUE"""),2.817204301075269)</f>
        <v>2.817204301</v>
      </c>
      <c r="T1800" s="82">
        <f>IFERROR(__xludf.DUMMYFUNCTION("""COMPUTED_VALUE"""),357.00061626694674)</f>
        <v>357.0006163</v>
      </c>
      <c r="U1800" s="82">
        <f>IFERROR(__xludf.DUMMYFUNCTION("""COMPUTED_VALUE"""),0.8565915974004212)</f>
        <v>0.8565915974</v>
      </c>
      <c r="V1800" s="82">
        <f>IFERROR(__xludf.DUMMYFUNCTION("""COMPUTED_VALUE"""),0.6545374195872299)</f>
        <v>0.6545374196</v>
      </c>
      <c r="W1800" s="82">
        <f>IFERROR(__xludf.DUMMYFUNCTION("""COMPUTED_VALUE"""),1.243623118658697)</f>
        <v>1.243623119</v>
      </c>
      <c r="X1800" s="82">
        <f>IFERROR(__xludf.DUMMYFUNCTION("""COMPUTED_VALUE"""),2.7313335230199556)</f>
        <v>2.731333523</v>
      </c>
      <c r="Y1800" s="82">
        <f>IFERROR(__xludf.DUMMYFUNCTION("""COMPUTED_VALUE"""),333.6485602792094)</f>
        <v>333.6485603</v>
      </c>
      <c r="Z1800" s="82">
        <f>IFERROR(__xludf.DUMMYFUNCTION("""COMPUTED_VALUE"""),0.7034975548732664)</f>
        <v>0.7034975549</v>
      </c>
      <c r="AA1800" s="82">
        <f>IFERROR(__xludf.DUMMYFUNCTION("""COMPUTED_VALUE"""),0.51605438319148)</f>
        <v>0.5160543832</v>
      </c>
      <c r="AB1800" s="82">
        <f>IFERROR(__xludf.DUMMYFUNCTION("""COMPUTED_VALUE"""),1.337063368700782)</f>
        <v>1.337063369</v>
      </c>
      <c r="AC1800" s="82">
        <f>IFERROR(__xludf.DUMMYFUNCTION("""COMPUTED_VALUE"""),2.4482948441677093)</f>
        <v>2.448294844</v>
      </c>
      <c r="AD1800" s="82">
        <f>IFERROR(__xludf.DUMMYFUNCTION("""COMPUTED_VALUE"""),0.9749489771765545)</f>
        <v>0.9749489772</v>
      </c>
      <c r="AE1800" s="82">
        <f>IFERROR(__xludf.DUMMYFUNCTION("""COMPUTED_VALUE"""),1.0546383263615264)</f>
        <v>1.054638326</v>
      </c>
      <c r="AF1800" s="82">
        <f>IFERROR(__xludf.DUMMYFUNCTION("""COMPUTED_VALUE"""),0.7501084901160845)</f>
        <v>0.7501084901</v>
      </c>
      <c r="AG1800" s="82">
        <f>IFERROR(__xludf.DUMMYFUNCTION("""COMPUTED_VALUE"""),0.8685379838870804)</f>
        <v>0.8685379839</v>
      </c>
      <c r="AH1800" s="82">
        <f>IFERROR(__xludf.DUMMYFUNCTION("""COMPUTED_VALUE"""),0.9091251639544907)</f>
        <v>0.909125164</v>
      </c>
      <c r="AI1800" s="82">
        <f>IFERROR(__xludf.DUMMYFUNCTION("""COMPUTED_VALUE"""),1.0070161225583611)</f>
        <v>1.007016123</v>
      </c>
      <c r="AJ1800" s="82">
        <f>IFERROR(__xludf.DUMMYFUNCTION("""COMPUTED_VALUE"""),1.0921002188286022)</f>
        <v>1.092100219</v>
      </c>
      <c r="AK1800" s="82">
        <f>IFERROR(__xludf.DUMMYFUNCTION("""COMPUTED_VALUE"""),1.0349589413328115)</f>
        <v>1.034958941</v>
      </c>
      <c r="AL1800" s="82">
        <f>IFERROR(__xludf.DUMMYFUNCTION("""COMPUTED_VALUE"""),0.9165035042657199)</f>
        <v>0.9165035043</v>
      </c>
      <c r="AM1800" s="82">
        <f>IFERROR(__xludf.DUMMYFUNCTION("""COMPUTED_VALUE"""),1.031439140380179)</f>
        <v>1.03143914</v>
      </c>
      <c r="AN1800" s="82">
        <f>IFERROR(__xludf.DUMMYFUNCTION("""COMPUTED_VALUE"""),0.9597257474592867)</f>
        <v>0.9597257475</v>
      </c>
      <c r="AO1800" s="82">
        <f>IFERROR(__xludf.DUMMYFUNCTION("""COMPUTED_VALUE"""),1.0099028906986967)</f>
        <v>1.009902891</v>
      </c>
      <c r="AP1800" s="82">
        <f>IFERROR(__xludf.DUMMYFUNCTION("""COMPUTED_VALUE"""),0.6912147625624715)</f>
        <v>0.6912147626</v>
      </c>
      <c r="AQ1800" s="82">
        <f>IFERROR(__xludf.DUMMYFUNCTION("""COMPUTED_VALUE"""),0.8861867786320975)</f>
        <v>0.8861867786</v>
      </c>
      <c r="AR1800" s="82">
        <f>IFERROR(__xludf.DUMMYFUNCTION("""COMPUTED_VALUE"""),0.8937741252314025)</f>
        <v>0.8937741252</v>
      </c>
      <c r="AS1800" s="82">
        <f>IFERROR(__xludf.DUMMYFUNCTION("""COMPUTED_VALUE"""),61.0)</f>
        <v>61</v>
      </c>
      <c r="AT1800" s="82">
        <f>IFERROR(__xludf.DUMMYFUNCTION("""COMPUTED_VALUE"""),0.3644616922918269)</f>
        <v>0.3644616923</v>
      </c>
      <c r="AU1800" s="82">
        <f>IFERROR(__xludf.DUMMYFUNCTION("""COMPUTED_VALUE"""),1.7582574713747547)</f>
        <v>1.758257471</v>
      </c>
      <c r="AV1800" s="82">
        <f>IFERROR(__xludf.DUMMYFUNCTION("""COMPUTED_VALUE"""),41.59315950212647)</f>
        <v>41.5931595</v>
      </c>
      <c r="AW1800" s="82">
        <f t="shared" si="1"/>
        <v>-2.714939961</v>
      </c>
      <c r="AX1800" s="83">
        <f t="array" ref="AX1800">IFERROR(DGET('SBV Import'!A:G,"SBV",{"RSC ID","Tier";B1800,A1800}))</f>
        <v>40.32509647</v>
      </c>
      <c r="AY1800" s="82">
        <f t="shared" si="2"/>
        <v>-2.862216894</v>
      </c>
      <c r="AZ1800" s="82">
        <v>0.1472769334845565</v>
      </c>
      <c r="BA1800" s="84">
        <v>1700.0</v>
      </c>
      <c r="BB1800" s="84" t="b">
        <f>IFERROR(__xludf.DUMMYFUNCTION("iferror(if(A1800="""",,E1800&gt;=FILTER(Constants!$F$2:$F$10,Constants!$A$2:$A$10=A1800)))"),TRUE)</f>
        <v>1</v>
      </c>
    </row>
    <row r="1801">
      <c r="A1801" s="89" t="str">
        <f>IFERROR(__xludf.DUMMYFUNCTION("""COMPUTED_VALUE"""),"Rival")</f>
        <v>Rival</v>
      </c>
      <c r="B1801" s="87" t="str">
        <f>IFERROR(__xludf.DUMMYFUNCTION("""COMPUTED_VALUE"""),"RSC007601")</f>
        <v>RSC007601</v>
      </c>
      <c r="C1801" s="73" t="str">
        <f>IFERROR(__xludf.DUMMYFUNCTION("""COMPUTED_VALUE"""),"Bricked Up Barry")</f>
        <v>Bricked Up Barry</v>
      </c>
      <c r="D1801" s="73" t="str">
        <f>IFERROR(__xludf.DUMMYFUNCTION("""COMPUTED_VALUE"""),"Kitsune")</f>
        <v>Kitsune</v>
      </c>
      <c r="E1801" s="82">
        <f>IFERROR(__xludf.DUMMYFUNCTION("""COMPUTED_VALUE"""),33.0)</f>
        <v>33</v>
      </c>
      <c r="F1801" s="82">
        <f>IFERROR(__xludf.DUMMYFUNCTION("""COMPUTED_VALUE"""),18.0)</f>
        <v>18</v>
      </c>
      <c r="G1801" s="86">
        <f>IFERROR(__xludf.DUMMYFUNCTION("""COMPUTED_VALUE"""),15.0)</f>
        <v>15</v>
      </c>
      <c r="H1801" s="86">
        <f>IFERROR(__xludf.DUMMYFUNCTION("""COMPUTED_VALUE"""),0.5454545454545454)</f>
        <v>0.5454545455</v>
      </c>
      <c r="I1801" s="86">
        <f>IFERROR(__xludf.DUMMYFUNCTION("""COMPUTED_VALUE"""),0.3055555555555556)</f>
        <v>0.3055555556</v>
      </c>
      <c r="J1801" s="82">
        <f>IFERROR(__xludf.DUMMYFUNCTION("""COMPUTED_VALUE"""),317.5151515151515)</f>
        <v>317.5151515</v>
      </c>
      <c r="K1801" s="82">
        <f>IFERROR(__xludf.DUMMYFUNCTION("""COMPUTED_VALUE"""),0.6666666666666666)</f>
        <v>0.6666666667</v>
      </c>
      <c r="L1801" s="82">
        <f>IFERROR(__xludf.DUMMYFUNCTION("""COMPUTED_VALUE"""),0.48484848484848486)</f>
        <v>0.4848484848</v>
      </c>
      <c r="M1801" s="82">
        <f>IFERROR(__xludf.DUMMYFUNCTION("""COMPUTED_VALUE"""),1.121212121212121)</f>
        <v>1.121212121</v>
      </c>
      <c r="N1801" s="82">
        <f>IFERROR(__xludf.DUMMYFUNCTION("""COMPUTED_VALUE"""),2.1818181818181817)</f>
        <v>2.181818182</v>
      </c>
      <c r="O1801" s="82">
        <f>IFERROR(__xludf.DUMMYFUNCTION("""COMPUTED_VALUE"""),331.1818181818182)</f>
        <v>331.1818182</v>
      </c>
      <c r="P1801" s="82">
        <f>IFERROR(__xludf.DUMMYFUNCTION("""COMPUTED_VALUE"""),0.7373737373737375)</f>
        <v>0.7373737374</v>
      </c>
      <c r="Q1801" s="82">
        <f>IFERROR(__xludf.DUMMYFUNCTION("""COMPUTED_VALUE"""),0.5252525252525253)</f>
        <v>0.5252525253</v>
      </c>
      <c r="R1801" s="82">
        <f>IFERROR(__xludf.DUMMYFUNCTION("""COMPUTED_VALUE"""),1.212121212121212)</f>
        <v>1.212121212</v>
      </c>
      <c r="S1801" s="82">
        <f>IFERROR(__xludf.DUMMYFUNCTION("""COMPUTED_VALUE"""),2.484848484848485)</f>
        <v>2.484848485</v>
      </c>
      <c r="T1801" s="82">
        <f>IFERROR(__xludf.DUMMYFUNCTION("""COMPUTED_VALUE"""),346.6318169773215)</f>
        <v>346.631817</v>
      </c>
      <c r="U1801" s="82">
        <f>IFERROR(__xludf.DUMMYFUNCTION("""COMPUTED_VALUE"""),0.8073091112921709)</f>
        <v>0.8073091113</v>
      </c>
      <c r="V1801" s="82">
        <f>IFERROR(__xludf.DUMMYFUNCTION("""COMPUTED_VALUE"""),0.550869163120802)</f>
        <v>0.5508691631</v>
      </c>
      <c r="W1801" s="82">
        <f>IFERROR(__xludf.DUMMYFUNCTION("""COMPUTED_VALUE"""),1.3253566842497606)</f>
        <v>1.325356684</v>
      </c>
      <c r="X1801" s="82">
        <f>IFERROR(__xludf.DUMMYFUNCTION("""COMPUTED_VALUE"""),2.5324306310630385)</f>
        <v>2.532430631</v>
      </c>
      <c r="Y1801" s="82">
        <f>IFERROR(__xludf.DUMMYFUNCTION("""COMPUTED_VALUE"""),350.3653007726083)</f>
        <v>350.3653008</v>
      </c>
      <c r="Z1801" s="82">
        <f>IFERROR(__xludf.DUMMYFUNCTION("""COMPUTED_VALUE"""),0.8140004576105049)</f>
        <v>0.8140004576</v>
      </c>
      <c r="AA1801" s="82">
        <f>IFERROR(__xludf.DUMMYFUNCTION("""COMPUTED_VALUE"""),0.5792540351641934)</f>
        <v>0.5792540352</v>
      </c>
      <c r="AB1801" s="82">
        <f>IFERROR(__xludf.DUMMYFUNCTION("""COMPUTED_VALUE"""),1.3387759557855319)</f>
        <v>1.338775956</v>
      </c>
      <c r="AC1801" s="82">
        <f>IFERROR(__xludf.DUMMYFUNCTION("""COMPUTED_VALUE"""),2.5845285306367387)</f>
        <v>2.584528531</v>
      </c>
      <c r="AD1801" s="82">
        <f>IFERROR(__xludf.DUMMYFUNCTION("""COMPUTED_VALUE"""),0.9062402892494854)</f>
        <v>0.9062402892</v>
      </c>
      <c r="AE1801" s="82">
        <f>IFERROR(__xludf.DUMMYFUNCTION("""COMPUTED_VALUE"""),0.8190003585792371)</f>
        <v>0.8190003586</v>
      </c>
      <c r="AF1801" s="82">
        <f>IFERROR(__xludf.DUMMYFUNCTION("""COMPUTED_VALUE"""),0.8370221965066698)</f>
        <v>0.8370221965</v>
      </c>
      <c r="AG1801" s="82">
        <f>IFERROR(__xludf.DUMMYFUNCTION("""COMPUTED_VALUE"""),0.8374904825312952)</f>
        <v>0.8374904825</v>
      </c>
      <c r="AH1801" s="82">
        <f>IFERROR(__xludf.DUMMYFUNCTION("""COMPUTED_VALUE"""),0.8441842123060862)</f>
        <v>0.8441842123</v>
      </c>
      <c r="AI1801" s="82">
        <f>IFERROR(__xludf.DUMMYFUNCTION("""COMPUTED_VALUE"""),0.9554282150720339)</f>
        <v>0.9554282151</v>
      </c>
      <c r="AJ1801" s="82">
        <f>IFERROR(__xludf.DUMMYFUNCTION("""COMPUTED_VALUE"""),0.9133722474573642)</f>
        <v>0.9133722475</v>
      </c>
      <c r="AK1801" s="82">
        <f>IFERROR(__xludf.DUMMYFUNCTION("""COMPUTED_VALUE"""),0.9534977820810435)</f>
        <v>0.9534977821</v>
      </c>
      <c r="AL1801" s="82">
        <f>IFERROR(__xludf.DUMMYFUNCTION("""COMPUTED_VALUE"""),0.914562265785344)</f>
        <v>0.9145622658</v>
      </c>
      <c r="AM1801" s="82">
        <f>IFERROR(__xludf.DUMMYFUNCTION("""COMPUTED_VALUE"""),0.9812108787380367)</f>
        <v>0.9812108787</v>
      </c>
      <c r="AN1801" s="82">
        <f>IFERROR(__xludf.DUMMYFUNCTION("""COMPUTED_VALUE"""),0.9367861413767702)</f>
        <v>0.9367861414</v>
      </c>
      <c r="AO1801" s="82">
        <f>IFERROR(__xludf.DUMMYFUNCTION("""COMPUTED_VALUE"""),0.9074489742510028)</f>
        <v>0.9074489743</v>
      </c>
      <c r="AP1801" s="82">
        <f>IFERROR(__xludf.DUMMYFUNCTION("""COMPUTED_VALUE"""),0.8657639450277422)</f>
        <v>0.865763945</v>
      </c>
      <c r="AQ1801" s="82">
        <f>IFERROR(__xludf.DUMMYFUNCTION("""COMPUTED_VALUE"""),0.8556028914907539)</f>
        <v>0.8556028915</v>
      </c>
      <c r="AR1801" s="82">
        <f>IFERROR(__xludf.DUMMYFUNCTION("""COMPUTED_VALUE"""),0.8761106049699124)</f>
        <v>0.876110605</v>
      </c>
      <c r="AS1801" s="82">
        <f>IFERROR(__xludf.DUMMYFUNCTION("""COMPUTED_VALUE"""),71.0)</f>
        <v>71</v>
      </c>
      <c r="AT1801" s="82">
        <f>IFERROR(__xludf.DUMMYFUNCTION("""COMPUTED_VALUE"""),0.48940168276508106)</f>
        <v>0.4894016828</v>
      </c>
      <c r="AU1801" s="82">
        <f>IFERROR(__xludf.DUMMYFUNCTION("""COMPUTED_VALUE"""),1.7286877766474824)</f>
        <v>1.728687777</v>
      </c>
      <c r="AV1801" s="82">
        <f>IFERROR(__xludf.DUMMYFUNCTION("""COMPUTED_VALUE"""),40.54863755453448)</f>
        <v>40.54863755</v>
      </c>
      <c r="AW1801" s="82">
        <f t="shared" si="1"/>
        <v>-2.835310522</v>
      </c>
      <c r="AX1801" s="83">
        <f t="array" ref="AX1801">IFERROR(DGET('SBV Import'!A:G,"SBV",{"RSC ID","Tier";B1801,A1801}))</f>
        <v>43.17083022</v>
      </c>
      <c r="AY1801" s="82">
        <f t="shared" si="2"/>
        <v>-2.548663524</v>
      </c>
      <c r="AZ1801" s="82">
        <v>0.28664699838414887</v>
      </c>
      <c r="BA1801" s="84">
        <v>1700.0</v>
      </c>
      <c r="BB1801" s="84" t="b">
        <f>IFERROR(__xludf.DUMMYFUNCTION("iferror(if(A1801="""",,E1801&gt;=FILTER(Constants!$F$2:$F$10,Constants!$A$2:$A$10=A1801)))"),TRUE)</f>
        <v>1</v>
      </c>
    </row>
    <row r="1802">
      <c r="A1802" s="89" t="str">
        <f>IFERROR(__xludf.DUMMYFUNCTION("""COMPUTED_VALUE"""),"Rival")</f>
        <v>Rival</v>
      </c>
      <c r="B1802" s="87" t="str">
        <f>IFERROR(__xludf.DUMMYFUNCTION("""COMPUTED_VALUE"""),"RSC007582")</f>
        <v>RSC007582</v>
      </c>
      <c r="C1802" s="73" t="str">
        <f>IFERROR(__xludf.DUMMYFUNCTION("""COMPUTED_VALUE"""),"Wavy")</f>
        <v>Wavy</v>
      </c>
      <c r="D1802" s="73" t="str">
        <f>IFERROR(__xludf.DUMMYFUNCTION("""COMPUTED_VALUE"""),"Ocelots")</f>
        <v>Ocelots</v>
      </c>
      <c r="E1802" s="82">
        <f>IFERROR(__xludf.DUMMYFUNCTION("""COMPUTED_VALUE"""),28.0)</f>
        <v>28</v>
      </c>
      <c r="F1802" s="82">
        <f>IFERROR(__xludf.DUMMYFUNCTION("""COMPUTED_VALUE"""),17.0)</f>
        <v>17</v>
      </c>
      <c r="G1802" s="86">
        <f>IFERROR(__xludf.DUMMYFUNCTION("""COMPUTED_VALUE"""),11.0)</f>
        <v>11</v>
      </c>
      <c r="H1802" s="86">
        <f>IFERROR(__xludf.DUMMYFUNCTION("""COMPUTED_VALUE"""),0.6071428571428571)</f>
        <v>0.6071428571</v>
      </c>
      <c r="I1802" s="86">
        <f>IFERROR(__xludf.DUMMYFUNCTION("""COMPUTED_VALUE"""),0.171875)</f>
        <v>0.171875</v>
      </c>
      <c r="J1802" s="82">
        <f>IFERROR(__xludf.DUMMYFUNCTION("""COMPUTED_VALUE"""),296.0)</f>
        <v>296</v>
      </c>
      <c r="K1802" s="82">
        <f>IFERROR(__xludf.DUMMYFUNCTION("""COMPUTED_VALUE"""),0.39285714285714285)</f>
        <v>0.3928571429</v>
      </c>
      <c r="L1802" s="82">
        <f>IFERROR(__xludf.DUMMYFUNCTION("""COMPUTED_VALUE"""),0.6428571428571429)</f>
        <v>0.6428571429</v>
      </c>
      <c r="M1802" s="82">
        <f>IFERROR(__xludf.DUMMYFUNCTION("""COMPUTED_VALUE"""),1.2142857142857142)</f>
        <v>1.214285714</v>
      </c>
      <c r="N1802" s="82">
        <f>IFERROR(__xludf.DUMMYFUNCTION("""COMPUTED_VALUE"""),2.2857142857142856)</f>
        <v>2.285714286</v>
      </c>
      <c r="O1802" s="82">
        <f>IFERROR(__xludf.DUMMYFUNCTION("""COMPUTED_VALUE"""),329.345238095238)</f>
        <v>329.3452381</v>
      </c>
      <c r="P1802" s="82">
        <f>IFERROR(__xludf.DUMMYFUNCTION("""COMPUTED_VALUE"""),0.6547619047619048)</f>
        <v>0.6547619048</v>
      </c>
      <c r="Q1802" s="82">
        <f>IFERROR(__xludf.DUMMYFUNCTION("""COMPUTED_VALUE"""),0.47619047619047616)</f>
        <v>0.4761904762</v>
      </c>
      <c r="R1802" s="82">
        <f>IFERROR(__xludf.DUMMYFUNCTION("""COMPUTED_VALUE"""),1.3452380952380951)</f>
        <v>1.345238095</v>
      </c>
      <c r="S1802" s="82">
        <f>IFERROR(__xludf.DUMMYFUNCTION("""COMPUTED_VALUE"""),2.2738095238095233)</f>
        <v>2.273809524</v>
      </c>
      <c r="T1802" s="82">
        <f>IFERROR(__xludf.DUMMYFUNCTION("""COMPUTED_VALUE"""),355.5732600383816)</f>
        <v>355.57326</v>
      </c>
      <c r="U1802" s="82">
        <f>IFERROR(__xludf.DUMMYFUNCTION("""COMPUTED_VALUE"""),0.815741265158101)</f>
        <v>0.8157412652</v>
      </c>
      <c r="V1802" s="82">
        <f>IFERROR(__xludf.DUMMYFUNCTION("""COMPUTED_VALUE"""),0.5849091059138871)</f>
        <v>0.5849091059</v>
      </c>
      <c r="W1802" s="82">
        <f>IFERROR(__xludf.DUMMYFUNCTION("""COMPUTED_VALUE"""),1.3283158351154947)</f>
        <v>1.328315835</v>
      </c>
      <c r="X1802" s="82">
        <f>IFERROR(__xludf.DUMMYFUNCTION("""COMPUTED_VALUE"""),2.614179906248329)</f>
        <v>2.614179906</v>
      </c>
      <c r="Y1802" s="82">
        <f>IFERROR(__xludf.DUMMYFUNCTION("""COMPUTED_VALUE"""),343.8098214269855)</f>
        <v>343.8098214</v>
      </c>
      <c r="Z1802" s="82">
        <f>IFERROR(__xludf.DUMMYFUNCTION("""COMPUTED_VALUE"""),0.7419603752110027)</f>
        <v>0.7419603752</v>
      </c>
      <c r="AA1802" s="82">
        <f>IFERROR(__xludf.DUMMYFUNCTION("""COMPUTED_VALUE"""),0.5337022888668547)</f>
        <v>0.5337022889</v>
      </c>
      <c r="AB1802" s="82">
        <f>IFERROR(__xludf.DUMMYFUNCTION("""COMPUTED_VALUE"""),1.337692649702755)</f>
        <v>1.33769265</v>
      </c>
      <c r="AC1802" s="82">
        <f>IFERROR(__xludf.DUMMYFUNCTION("""COMPUTED_VALUE"""),2.4821757244726435)</f>
        <v>2.482175724</v>
      </c>
      <c r="AD1802" s="82">
        <f>IFERROR(__xludf.DUMMYFUNCTION("""COMPUTED_VALUE"""),0.8609410829843359)</f>
        <v>0.860941083</v>
      </c>
      <c r="AE1802" s="82">
        <f>IFERROR(__xludf.DUMMYFUNCTION("""COMPUTED_VALUE"""),0.52948534178179)</f>
        <v>0.5294853418</v>
      </c>
      <c r="AF1802" s="82">
        <f>IFERROR(__xludf.DUMMYFUNCTION("""COMPUTED_VALUE"""),1.2045238633359499)</f>
        <v>1.204523863</v>
      </c>
      <c r="AG1802" s="82">
        <f>IFERROR(__xludf.DUMMYFUNCTION("""COMPUTED_VALUE"""),0.9077464203421745)</f>
        <v>0.9077464203</v>
      </c>
      <c r="AH1802" s="82">
        <f>IFERROR(__xludf.DUMMYFUNCTION("""COMPUTED_VALUE"""),0.920851115889429)</f>
        <v>0.9208511159</v>
      </c>
      <c r="AI1802" s="82">
        <f>IFERROR(__xludf.DUMMYFUNCTION("""COMPUTED_VALUE"""),0.9262373612112664)</f>
        <v>0.9262373612</v>
      </c>
      <c r="AJ1802" s="82">
        <f>IFERROR(__xludf.DUMMYFUNCTION("""COMPUTED_VALUE"""),0.8026587997053253)</f>
        <v>0.8026587997</v>
      </c>
      <c r="AK1802" s="82">
        <f>IFERROR(__xludf.DUMMYFUNCTION("""COMPUTED_VALUE"""),0.8141273086293566)</f>
        <v>0.8141273086</v>
      </c>
      <c r="AL1802" s="82">
        <f>IFERROR(__xludf.DUMMYFUNCTION("""COMPUTED_VALUE"""),1.0127396359173337)</f>
        <v>1.012739636</v>
      </c>
      <c r="AM1802" s="82">
        <f>IFERROR(__xludf.DUMMYFUNCTION("""COMPUTED_VALUE"""),0.8697984091969864)</f>
        <v>0.8697984092</v>
      </c>
      <c r="AN1802" s="82">
        <f>IFERROR(__xludf.DUMMYFUNCTION("""COMPUTED_VALUE"""),0.8733085540149161)</f>
        <v>0.873308554</v>
      </c>
      <c r="AO1802" s="82">
        <f>IFERROR(__xludf.DUMMYFUNCTION("""COMPUTED_VALUE"""),0.534746716969341)</f>
        <v>0.534746717</v>
      </c>
      <c r="AP1802" s="82">
        <f>IFERROR(__xludf.DUMMYFUNCTION("""COMPUTED_VALUE"""),1.1479102306841047)</f>
        <v>1.147910231</v>
      </c>
      <c r="AQ1802" s="82">
        <f>IFERROR(__xludf.DUMMYFUNCTION("""COMPUTED_VALUE"""),0.9266278419426891)</f>
        <v>0.9266278419</v>
      </c>
      <c r="AR1802" s="82">
        <f>IFERROR(__xludf.DUMMYFUNCTION("""COMPUTED_VALUE"""),0.9178301575875273)</f>
        <v>0.9178301576</v>
      </c>
      <c r="AS1802" s="82">
        <f>IFERROR(__xludf.DUMMYFUNCTION("""COMPUTED_VALUE"""),60.0)</f>
        <v>60</v>
      </c>
      <c r="AT1802" s="82">
        <f>IFERROR(__xludf.DUMMYFUNCTION("""COMPUTED_VALUE"""),0.5325826269415019)</f>
        <v>0.5325826269</v>
      </c>
      <c r="AU1802" s="82">
        <f>IFERROR(__xludf.DUMMYFUNCTION("""COMPUTED_VALUE"""),1.7167120165196694)</f>
        <v>1.716712017</v>
      </c>
      <c r="AV1802" s="82">
        <f>IFERROR(__xludf.DUMMYFUNCTION("""COMPUTED_VALUE"""),40.12560497310372)</f>
        <v>40.12560497</v>
      </c>
      <c r="AW1802" s="82">
        <f t="shared" si="1"/>
        <v>-2.886582923</v>
      </c>
      <c r="AX1802" s="83">
        <f t="array" ref="AX1802">IFERROR(DGET('SBV Import'!A:G,"SBV",{"RSC ID","Tier";B1802,A1802}))</f>
        <v>37.8606829</v>
      </c>
      <c r="AY1802" s="82">
        <f t="shared" si="2"/>
        <v>-3.188418809</v>
      </c>
      <c r="AZ1802" s="82">
        <v>0.3018358860020034</v>
      </c>
      <c r="BA1802" s="84">
        <v>1700.0</v>
      </c>
      <c r="BB1802" s="84" t="b">
        <f>IFERROR(__xludf.DUMMYFUNCTION("iferror(if(A1802="""",,E1802&gt;=FILTER(Constants!$F$2:$F$10,Constants!$A$2:$A$10=A1802)))"),TRUE)</f>
        <v>1</v>
      </c>
    </row>
    <row r="1803">
      <c r="A1803" s="89" t="str">
        <f>IFERROR(__xludf.DUMMYFUNCTION("""COMPUTED_VALUE"""),"Rival")</f>
        <v>Rival</v>
      </c>
      <c r="B1803" s="87" t="str">
        <f>IFERROR(__xludf.DUMMYFUNCTION("""COMPUTED_VALUE"""),"RSC005507")</f>
        <v>RSC005507</v>
      </c>
      <c r="C1803" s="73" t="str">
        <f>IFERROR(__xludf.DUMMYFUNCTION("""COMPUTED_VALUE"""),"T Sant")</f>
        <v>T Sant</v>
      </c>
      <c r="D1803" s="73" t="str">
        <f>IFERROR(__xludf.DUMMYFUNCTION("""COMPUTED_VALUE"""),"Quasars")</f>
        <v>Quasars</v>
      </c>
      <c r="E1803" s="82">
        <f>IFERROR(__xludf.DUMMYFUNCTION("""COMPUTED_VALUE"""),36.0)</f>
        <v>36</v>
      </c>
      <c r="F1803" s="82">
        <f>IFERROR(__xludf.DUMMYFUNCTION("""COMPUTED_VALUE"""),20.0)</f>
        <v>20</v>
      </c>
      <c r="G1803" s="86">
        <f>IFERROR(__xludf.DUMMYFUNCTION("""COMPUTED_VALUE"""),16.0)</f>
        <v>16</v>
      </c>
      <c r="H1803" s="86">
        <f>IFERROR(__xludf.DUMMYFUNCTION("""COMPUTED_VALUE"""),0.5555555555555556)</f>
        <v>0.5555555556</v>
      </c>
      <c r="I1803" s="86">
        <f>IFERROR(__xludf.DUMMYFUNCTION("""COMPUTED_VALUE"""),0.2962962962962963)</f>
        <v>0.2962962963</v>
      </c>
      <c r="J1803" s="82">
        <f>IFERROR(__xludf.DUMMYFUNCTION("""COMPUTED_VALUE"""),327.0833333333333)</f>
        <v>327.0833333</v>
      </c>
      <c r="K1803" s="82">
        <f>IFERROR(__xludf.DUMMYFUNCTION("""COMPUTED_VALUE"""),0.6666666666666666)</f>
        <v>0.6666666667</v>
      </c>
      <c r="L1803" s="82">
        <f>IFERROR(__xludf.DUMMYFUNCTION("""COMPUTED_VALUE"""),0.4166666666666667)</f>
        <v>0.4166666667</v>
      </c>
      <c r="M1803" s="82">
        <f>IFERROR(__xludf.DUMMYFUNCTION("""COMPUTED_VALUE"""),1.3611111111111112)</f>
        <v>1.361111111</v>
      </c>
      <c r="N1803" s="82">
        <f>IFERROR(__xludf.DUMMYFUNCTION("""COMPUTED_VALUE"""),2.25)</f>
        <v>2.25</v>
      </c>
      <c r="O1803" s="82">
        <f>IFERROR(__xludf.DUMMYFUNCTION("""COMPUTED_VALUE"""),348.8333333333334)</f>
        <v>348.8333333</v>
      </c>
      <c r="P1803" s="82">
        <f>IFERROR(__xludf.DUMMYFUNCTION("""COMPUTED_VALUE"""),0.7685185185185183)</f>
        <v>0.7685185185</v>
      </c>
      <c r="Q1803" s="82">
        <f>IFERROR(__xludf.DUMMYFUNCTION("""COMPUTED_VALUE"""),0.5925925925925926)</f>
        <v>0.5925925926</v>
      </c>
      <c r="R1803" s="82">
        <f>IFERROR(__xludf.DUMMYFUNCTION("""COMPUTED_VALUE"""),1.361111111111111)</f>
        <v>1.361111111</v>
      </c>
      <c r="S1803" s="82">
        <f>IFERROR(__xludf.DUMMYFUNCTION("""COMPUTED_VALUE"""),2.768518518518519)</f>
        <v>2.768518519</v>
      </c>
      <c r="T1803" s="82">
        <f>IFERROR(__xludf.DUMMYFUNCTION("""COMPUTED_VALUE"""),352.15716016023555)</f>
        <v>352.1571602</v>
      </c>
      <c r="U1803" s="82">
        <f>IFERROR(__xludf.DUMMYFUNCTION("""COMPUTED_VALUE"""),0.8290671114004095)</f>
        <v>0.8290671114</v>
      </c>
      <c r="V1803" s="82">
        <f>IFERROR(__xludf.DUMMYFUNCTION("""COMPUTED_VALUE"""),0.6153465306598375)</f>
        <v>0.6153465307</v>
      </c>
      <c r="W1803" s="82">
        <f>IFERROR(__xludf.DUMMYFUNCTION("""COMPUTED_VALUE"""),1.2678954625119778)</f>
        <v>1.267895463</v>
      </c>
      <c r="X1803" s="82">
        <f>IFERROR(__xludf.DUMMYFUNCTION("""COMPUTED_VALUE"""),2.547577625898723)</f>
        <v>2.547577626</v>
      </c>
      <c r="Y1803" s="82">
        <f>IFERROR(__xludf.DUMMYFUNCTION("""COMPUTED_VALUE"""),345.5883034380237)</f>
        <v>345.5883034</v>
      </c>
      <c r="Z1803" s="82">
        <f>IFERROR(__xludf.DUMMYFUNCTION("""COMPUTED_VALUE"""),0.7747925709896207)</f>
        <v>0.774792571</v>
      </c>
      <c r="AA1803" s="82">
        <f>IFERROR(__xludf.DUMMYFUNCTION("""COMPUTED_VALUE"""),0.5412256763680356)</f>
        <v>0.5412256764</v>
      </c>
      <c r="AB1803" s="82">
        <f>IFERROR(__xludf.DUMMYFUNCTION("""COMPUTED_VALUE"""),1.3015138590171453)</f>
        <v>1.301513859</v>
      </c>
      <c r="AC1803" s="82">
        <f>IFERROR(__xludf.DUMMYFUNCTION("""COMPUTED_VALUE"""),2.5191854749505507)</f>
        <v>2.519185475</v>
      </c>
      <c r="AD1803" s="82">
        <f>IFERROR(__xludf.DUMMYFUNCTION("""COMPUTED_VALUE"""),0.9464537140852368)</f>
        <v>0.9464537141</v>
      </c>
      <c r="AE1803" s="82">
        <f>IFERROR(__xludf.DUMMYFUNCTION("""COMPUTED_VALUE"""),0.8604453522510574)</f>
        <v>0.8604453523</v>
      </c>
      <c r="AF1803" s="82">
        <f>IFERROR(__xludf.DUMMYFUNCTION("""COMPUTED_VALUE"""),0.7698575379179381)</f>
        <v>0.7698575379</v>
      </c>
      <c r="AG1803" s="82">
        <f>IFERROR(__xludf.DUMMYFUNCTION("""COMPUTED_VALUE"""),1.0457907164653408)</f>
        <v>1.045790716</v>
      </c>
      <c r="AH1803" s="82">
        <f>IFERROR(__xludf.DUMMYFUNCTION("""COMPUTED_VALUE"""),0.8931458292264747)</f>
        <v>0.8931458292</v>
      </c>
      <c r="AI1803" s="82">
        <f>IFERROR(__xludf.DUMMYFUNCTION("""COMPUTED_VALUE"""),0.9905615242200677)</f>
        <v>0.9905615242</v>
      </c>
      <c r="AJ1803" s="82">
        <f>IFERROR(__xludf.DUMMYFUNCTION("""COMPUTED_VALUE"""),0.9269678026672459)</f>
        <v>0.9269678027</v>
      </c>
      <c r="AK1803" s="82">
        <f>IFERROR(__xludf.DUMMYFUNCTION("""COMPUTED_VALUE"""),0.9630225621929714)</f>
        <v>0.9630225622</v>
      </c>
      <c r="AL1803" s="82">
        <f>IFERROR(__xludf.DUMMYFUNCTION("""COMPUTED_VALUE"""),1.073519979647575)</f>
        <v>1.07351998</v>
      </c>
      <c r="AM1803" s="82">
        <f>IFERROR(__xludf.DUMMYFUNCTION("""COMPUTED_VALUE"""),1.0867258725990159)</f>
        <v>1.086725873</v>
      </c>
      <c r="AN1803" s="82">
        <f>IFERROR(__xludf.DUMMYFUNCTION("""COMPUTED_VALUE"""),0.9650157867422707)</f>
        <v>0.9650157867</v>
      </c>
      <c r="AO1803" s="82">
        <f>IFERROR(__xludf.DUMMYFUNCTION("""COMPUTED_VALUE"""),0.9074489742510028)</f>
        <v>0.9074489743</v>
      </c>
      <c r="AP1803" s="82">
        <f>IFERROR(__xludf.DUMMYFUNCTION("""COMPUTED_VALUE"""),0.7440158902582159)</f>
        <v>0.7440158903</v>
      </c>
      <c r="AQ1803" s="82">
        <f>IFERROR(__xludf.DUMMYFUNCTION("""COMPUTED_VALUE"""),1.0386710777331452)</f>
        <v>1.038671078</v>
      </c>
      <c r="AR1803" s="82">
        <f>IFERROR(__xludf.DUMMYFUNCTION("""COMPUTED_VALUE"""),0.9034890613752222)</f>
        <v>0.9034890614</v>
      </c>
      <c r="AS1803" s="82">
        <f>IFERROR(__xludf.DUMMYFUNCTION("""COMPUTED_VALUE"""),76.0)</f>
        <v>76</v>
      </c>
      <c r="AT1803" s="82">
        <f>IFERROR(__xludf.DUMMYFUNCTION("""COMPUTED_VALUE"""),0.46631507701157704)</f>
        <v>0.466315077</v>
      </c>
      <c r="AU1803" s="82">
        <f>IFERROR(__xludf.DUMMYFUNCTION("""COMPUTED_VALUE"""),1.6974574439510342)</f>
        <v>1.697457444</v>
      </c>
      <c r="AV1803" s="82">
        <f>IFERROR(__xludf.DUMMYFUNCTION("""COMPUTED_VALUE"""),39.44545511613232)</f>
        <v>39.44545512</v>
      </c>
      <c r="AW1803" s="82">
        <f t="shared" si="1"/>
        <v>-2.972243725</v>
      </c>
      <c r="AX1803" s="83">
        <f t="array" ref="AX1803">IFERROR(DGET('SBV Import'!A:G,"SBV",{"RSC ID","Tier";B1803,A1803}))</f>
        <v>31.57728278</v>
      </c>
      <c r="AY1803" s="82">
        <f t="shared" si="2"/>
        <v>-4.336721443</v>
      </c>
      <c r="AZ1803" s="82">
        <v>1.364477717833306</v>
      </c>
      <c r="BA1803" s="84">
        <v>1700.0</v>
      </c>
      <c r="BB1803" s="84" t="b">
        <f>IFERROR(__xludf.DUMMYFUNCTION("iferror(if(A1803="""",,E1803&gt;=FILTER(Constants!$F$2:$F$10,Constants!$A$2:$A$10=A1803)))"),TRUE)</f>
        <v>1</v>
      </c>
    </row>
    <row r="1804">
      <c r="A1804" s="89" t="str">
        <f>IFERROR(__xludf.DUMMYFUNCTION("""COMPUTED_VALUE"""),"Rival")</f>
        <v>Rival</v>
      </c>
      <c r="B1804" s="87" t="str">
        <f>IFERROR(__xludf.DUMMYFUNCTION("""COMPUTED_VALUE"""),"RSC005703")</f>
        <v>RSC005703</v>
      </c>
      <c r="C1804" s="73" t="str">
        <f>IFERROR(__xludf.DUMMYFUNCTION("""COMPUTED_VALUE"""),"Shoddy-")</f>
        <v>Shoddy-</v>
      </c>
      <c r="D1804" s="73" t="str">
        <f>IFERROR(__xludf.DUMMYFUNCTION("""COMPUTED_VALUE"""),"Jetstream")</f>
        <v>Jetstream</v>
      </c>
      <c r="E1804" s="82">
        <f>IFERROR(__xludf.DUMMYFUNCTION("""COMPUTED_VALUE"""),24.0)</f>
        <v>24</v>
      </c>
      <c r="F1804" s="82">
        <f>IFERROR(__xludf.DUMMYFUNCTION("""COMPUTED_VALUE"""),8.0)</f>
        <v>8</v>
      </c>
      <c r="G1804" s="86">
        <f>IFERROR(__xludf.DUMMYFUNCTION("""COMPUTED_VALUE"""),16.0)</f>
        <v>16</v>
      </c>
      <c r="H1804" s="86">
        <f>IFERROR(__xludf.DUMMYFUNCTION("""COMPUTED_VALUE"""),0.3333333333333333)</f>
        <v>0.3333333333</v>
      </c>
      <c r="I1804" s="86">
        <f>IFERROR(__xludf.DUMMYFUNCTION("""COMPUTED_VALUE"""),0.2545454545454546)</f>
        <v>0.2545454545</v>
      </c>
      <c r="J1804" s="82">
        <f>IFERROR(__xludf.DUMMYFUNCTION("""COMPUTED_VALUE"""),319.25)</f>
        <v>319.25</v>
      </c>
      <c r="K1804" s="82">
        <f>IFERROR(__xludf.DUMMYFUNCTION("""COMPUTED_VALUE"""),0.5833333333333334)</f>
        <v>0.5833333333</v>
      </c>
      <c r="L1804" s="82">
        <f>IFERROR(__xludf.DUMMYFUNCTION("""COMPUTED_VALUE"""),0.5)</f>
        <v>0.5</v>
      </c>
      <c r="M1804" s="82">
        <f>IFERROR(__xludf.DUMMYFUNCTION("""COMPUTED_VALUE"""),1.25)</f>
        <v>1.25</v>
      </c>
      <c r="N1804" s="82">
        <f>IFERROR(__xludf.DUMMYFUNCTION("""COMPUTED_VALUE"""),2.2916666666666665)</f>
        <v>2.291666667</v>
      </c>
      <c r="O1804" s="82">
        <f>IFERROR(__xludf.DUMMYFUNCTION("""COMPUTED_VALUE"""),335.47222222222223)</f>
        <v>335.4722222</v>
      </c>
      <c r="P1804" s="82">
        <f>IFERROR(__xludf.DUMMYFUNCTION("""COMPUTED_VALUE"""),0.7222222222222222)</f>
        <v>0.7222222222</v>
      </c>
      <c r="Q1804" s="82">
        <f>IFERROR(__xludf.DUMMYFUNCTION("""COMPUTED_VALUE"""),0.5694444444444445)</f>
        <v>0.5694444444</v>
      </c>
      <c r="R1804" s="82">
        <f>IFERROR(__xludf.DUMMYFUNCTION("""COMPUTED_VALUE"""),1.1944444444444444)</f>
        <v>1.194444444</v>
      </c>
      <c r="S1804" s="82">
        <f>IFERROR(__xludf.DUMMYFUNCTION("""COMPUTED_VALUE"""),2.416666666666666)</f>
        <v>2.416666667</v>
      </c>
      <c r="T1804" s="82">
        <f>IFERROR(__xludf.DUMMYFUNCTION("""COMPUTED_VALUE"""),346.93252113325906)</f>
        <v>346.9325211</v>
      </c>
      <c r="U1804" s="82">
        <f>IFERROR(__xludf.DUMMYFUNCTION("""COMPUTED_VALUE"""),0.777397660398039)</f>
        <v>0.7773976604</v>
      </c>
      <c r="V1804" s="82">
        <f>IFERROR(__xludf.DUMMYFUNCTION("""COMPUTED_VALUE"""),0.541272483682896)</f>
        <v>0.5412724837</v>
      </c>
      <c r="W1804" s="82">
        <f>IFERROR(__xludf.DUMMYFUNCTION("""COMPUTED_VALUE"""),1.3308483302338816)</f>
        <v>1.33084833</v>
      </c>
      <c r="X1804" s="82">
        <f>IFERROR(__xludf.DUMMYFUNCTION("""COMPUTED_VALUE"""),2.511023683531194)</f>
        <v>2.511023684</v>
      </c>
      <c r="Y1804" s="82">
        <f>IFERROR(__xludf.DUMMYFUNCTION("""COMPUTED_VALUE"""),337.2791935843317)</f>
        <v>337.2791936</v>
      </c>
      <c r="Z1804" s="82">
        <f>IFERROR(__xludf.DUMMYFUNCTION("""COMPUTED_VALUE"""),0.7538126430939883)</f>
        <v>0.7538126431</v>
      </c>
      <c r="AA1804" s="82">
        <f>IFERROR(__xludf.DUMMYFUNCTION("""COMPUTED_VALUE"""),0.5514985991578313)</f>
        <v>0.5514985992</v>
      </c>
      <c r="AB1804" s="82">
        <f>IFERROR(__xludf.DUMMYFUNCTION("""COMPUTED_VALUE"""),1.2372692675737722)</f>
        <v>1.237269268</v>
      </c>
      <c r="AC1804" s="82">
        <f>IFERROR(__xludf.DUMMYFUNCTION("""COMPUTED_VALUE"""),2.6217583770342547)</f>
        <v>2.621758377</v>
      </c>
      <c r="AD1804" s="82">
        <f>IFERROR(__xludf.DUMMYFUNCTION("""COMPUTED_VALUE"""),0.9465451948199592)</f>
        <v>0.9465451948</v>
      </c>
      <c r="AE1804" s="82">
        <f>IFERROR(__xludf.DUMMYFUNCTION("""COMPUTED_VALUE"""),0.7738439235233165)</f>
        <v>0.7738439235</v>
      </c>
      <c r="AF1804" s="82">
        <f>IFERROR(__xludf.DUMMYFUNCTION("""COMPUTED_VALUE"""),0.9066206165591854)</f>
        <v>0.9066206166</v>
      </c>
      <c r="AG1804" s="82">
        <f>IFERROR(__xludf.DUMMYFUNCTION("""COMPUTED_VALUE"""),1.0102893790057457)</f>
        <v>1.010289379</v>
      </c>
      <c r="AH1804" s="82">
        <f>IFERROR(__xludf.DUMMYFUNCTION("""COMPUTED_VALUE"""),0.8740952967828448)</f>
        <v>0.8740952968</v>
      </c>
      <c r="AI1804" s="82">
        <f>IFERROR(__xludf.DUMMYFUNCTION("""COMPUTED_VALUE"""),0.966966778226493)</f>
        <v>0.9669667782</v>
      </c>
      <c r="AJ1804" s="82">
        <f>IFERROR(__xludf.DUMMYFUNCTION("""COMPUTED_VALUE"""),0.9290254640751476)</f>
        <v>0.9290254641</v>
      </c>
      <c r="AK1804" s="82">
        <f>IFERROR(__xludf.DUMMYFUNCTION("""COMPUTED_VALUE"""),1.0520476499560119)</f>
        <v>1.05204765</v>
      </c>
      <c r="AL1804" s="82">
        <f>IFERROR(__xludf.DUMMYFUNCTION("""COMPUTED_VALUE"""),0.8975060623433583)</f>
        <v>0.8975060623</v>
      </c>
      <c r="AM1804" s="82">
        <f>IFERROR(__xludf.DUMMYFUNCTION("""COMPUTED_VALUE"""),0.9624228885281416)</f>
        <v>0.9624228885</v>
      </c>
      <c r="AN1804" s="82">
        <f>IFERROR(__xludf.DUMMYFUNCTION("""COMPUTED_VALUE"""),0.9419045806393986)</f>
        <v>0.9419045806</v>
      </c>
      <c r="AO1804" s="82">
        <f>IFERROR(__xludf.DUMMYFUNCTION("""COMPUTED_VALUE"""),0.7940178524696275)</f>
        <v>0.7940178525</v>
      </c>
      <c r="AP1804" s="82">
        <f>IFERROR(__xludf.DUMMYFUNCTION("""COMPUTED_VALUE"""),0.8928190683098591)</f>
        <v>0.8928190683</v>
      </c>
      <c r="AQ1804" s="82">
        <f>IFERROR(__xludf.DUMMYFUNCTION("""COMPUTED_VALUE"""),0.9538816019998271)</f>
        <v>0.953881602</v>
      </c>
      <c r="AR1804" s="82">
        <f>IFERROR(__xludf.DUMMYFUNCTION("""COMPUTED_VALUE"""),0.9202203402895782)</f>
        <v>0.9202203403</v>
      </c>
      <c r="AS1804" s="82">
        <f>IFERROR(__xludf.DUMMYFUNCTION("""COMPUTED_VALUE"""),47.0)</f>
        <v>47</v>
      </c>
      <c r="AT1804" s="82">
        <f>IFERROR(__xludf.DUMMYFUNCTION("""COMPUTED_VALUE"""),0.4621149406612626)</f>
        <v>0.4621149407</v>
      </c>
      <c r="AU1804" s="82">
        <f>IFERROR(__xludf.DUMMYFUNCTION("""COMPUTED_VALUE"""),1.6918342576652083)</f>
        <v>1.691834258</v>
      </c>
      <c r="AV1804" s="82">
        <f>IFERROR(__xludf.DUMMYFUNCTION("""COMPUTED_VALUE"""),39.24682129373015)</f>
        <v>39.24682129</v>
      </c>
      <c r="AW1804" s="82">
        <f t="shared" si="1"/>
        <v>-2.998037098</v>
      </c>
      <c r="AX1804" s="83">
        <f t="array" ref="AX1804">IFERROR(DGET('SBV Import'!A:G,"SBV",{"RSC ID","Tier";B1804,A1804}))</f>
        <v>45.13711021</v>
      </c>
      <c r="AY1804" s="82">
        <f t="shared" si="2"/>
        <v>-2.364702963</v>
      </c>
      <c r="AZ1804" s="82">
        <v>0.6333341352988109</v>
      </c>
      <c r="BA1804" s="84">
        <v>1700.0</v>
      </c>
      <c r="BB1804" s="84" t="b">
        <f>IFERROR(__xludf.DUMMYFUNCTION("iferror(if(A1804="""",,E1804&gt;=FILTER(Constants!$F$2:$F$10,Constants!$A$2:$A$10=A1804)))"),TRUE)</f>
        <v>1</v>
      </c>
    </row>
    <row r="1805">
      <c r="A1805" s="89" t="str">
        <f>IFERROR(__xludf.DUMMYFUNCTION("""COMPUTED_VALUE"""),"Rival")</f>
        <v>Rival</v>
      </c>
      <c r="B1805" s="87" t="str">
        <f>IFERROR(__xludf.DUMMYFUNCTION("""COMPUTED_VALUE"""),"RSC005475")</f>
        <v>RSC005475</v>
      </c>
      <c r="C1805" s="73" t="str">
        <f>IFERROR(__xludf.DUMMYFUNCTION("""COMPUTED_VALUE"""),"Envy")</f>
        <v>Envy</v>
      </c>
      <c r="D1805" s="73" t="str">
        <f>IFERROR(__xludf.DUMMYFUNCTION("""COMPUTED_VALUE"""),"Funk Hunks")</f>
        <v>Funk Hunks</v>
      </c>
      <c r="E1805" s="82">
        <f>IFERROR(__xludf.DUMMYFUNCTION("""COMPUTED_VALUE"""),28.0)</f>
        <v>28</v>
      </c>
      <c r="F1805" s="82">
        <f>IFERROR(__xludf.DUMMYFUNCTION("""COMPUTED_VALUE"""),10.0)</f>
        <v>10</v>
      </c>
      <c r="G1805" s="86">
        <f>IFERROR(__xludf.DUMMYFUNCTION("""COMPUTED_VALUE"""),18.0)</f>
        <v>18</v>
      </c>
      <c r="H1805" s="86">
        <f>IFERROR(__xludf.DUMMYFUNCTION("""COMPUTED_VALUE"""),0.35714285714285715)</f>
        <v>0.3571428571</v>
      </c>
      <c r="I1805" s="86">
        <f>IFERROR(__xludf.DUMMYFUNCTION("""COMPUTED_VALUE"""),0.3666666666666667)</f>
        <v>0.3666666667</v>
      </c>
      <c r="J1805" s="82">
        <f>IFERROR(__xludf.DUMMYFUNCTION("""COMPUTED_VALUE"""),291.7142857142857)</f>
        <v>291.7142857</v>
      </c>
      <c r="K1805" s="82">
        <f>IFERROR(__xludf.DUMMYFUNCTION("""COMPUTED_VALUE"""),0.7857142857142857)</f>
        <v>0.7857142857</v>
      </c>
      <c r="L1805" s="82">
        <f>IFERROR(__xludf.DUMMYFUNCTION("""COMPUTED_VALUE"""),0.32142857142857145)</f>
        <v>0.3214285714</v>
      </c>
      <c r="M1805" s="82">
        <f>IFERROR(__xludf.DUMMYFUNCTION("""COMPUTED_VALUE"""),1.1071428571428572)</f>
        <v>1.107142857</v>
      </c>
      <c r="N1805" s="82">
        <f>IFERROR(__xludf.DUMMYFUNCTION("""COMPUTED_VALUE"""),2.142857142857143)</f>
        <v>2.142857143</v>
      </c>
      <c r="O1805" s="82">
        <f>IFERROR(__xludf.DUMMYFUNCTION("""COMPUTED_VALUE"""),352.41666666666663)</f>
        <v>352.4166667</v>
      </c>
      <c r="P1805" s="82">
        <f>IFERROR(__xludf.DUMMYFUNCTION("""COMPUTED_VALUE"""),0.9404761904761906)</f>
        <v>0.9404761905</v>
      </c>
      <c r="Q1805" s="82">
        <f>IFERROR(__xludf.DUMMYFUNCTION("""COMPUTED_VALUE"""),0.6547619047619049)</f>
        <v>0.6547619048</v>
      </c>
      <c r="R1805" s="82">
        <f>IFERROR(__xludf.DUMMYFUNCTION("""COMPUTED_VALUE"""),1.0714285714285714)</f>
        <v>1.071428571</v>
      </c>
      <c r="S1805" s="82">
        <f>IFERROR(__xludf.DUMMYFUNCTION("""COMPUTED_VALUE"""),2.7857142857142856)</f>
        <v>2.785714286</v>
      </c>
      <c r="T1805" s="82">
        <f>IFERROR(__xludf.DUMMYFUNCTION("""COMPUTED_VALUE"""),361.58225789053)</f>
        <v>361.5822579</v>
      </c>
      <c r="U1805" s="82">
        <f>IFERROR(__xludf.DUMMYFUNCTION("""COMPUTED_VALUE"""),0.8634764385552199)</f>
        <v>0.8634764386</v>
      </c>
      <c r="V1805" s="82">
        <f>IFERROR(__xludf.DUMMYFUNCTION("""COMPUTED_VALUE"""),0.6512694471728084)</f>
        <v>0.6512694472</v>
      </c>
      <c r="W1805" s="82">
        <f>IFERROR(__xludf.DUMMYFUNCTION("""COMPUTED_VALUE"""),1.275007414581994)</f>
        <v>1.275007415</v>
      </c>
      <c r="X1805" s="82">
        <f>IFERROR(__xludf.DUMMYFUNCTION("""COMPUTED_VALUE"""),2.7399208925994647)</f>
        <v>2.739920893</v>
      </c>
      <c r="Y1805" s="82">
        <f>IFERROR(__xludf.DUMMYFUNCTION("""COMPUTED_VALUE"""),330.9929039881946)</f>
        <v>330.992904</v>
      </c>
      <c r="Z1805" s="82">
        <f>IFERROR(__xludf.DUMMYFUNCTION("""COMPUTED_VALUE"""),0.6737571627977792)</f>
        <v>0.6737571628</v>
      </c>
      <c r="AA1805" s="82">
        <f>IFERROR(__xludf.DUMMYFUNCTION("""COMPUTED_VALUE"""),0.5101797537196698)</f>
        <v>0.5101797537</v>
      </c>
      <c r="AB1805" s="82">
        <f>IFERROR(__xludf.DUMMYFUNCTION("""COMPUTED_VALUE"""),1.337605328326617)</f>
        <v>1.337605328</v>
      </c>
      <c r="AC1805" s="82">
        <f>IFERROR(__xludf.DUMMYFUNCTION("""COMPUTED_VALUE"""),2.4249893812743957)</f>
        <v>2.424989381</v>
      </c>
      <c r="AD1805" s="82">
        <f>IFERROR(__xludf.DUMMYFUNCTION("""COMPUTED_VALUE"""),0.8813309354954938)</f>
        <v>0.8813309355</v>
      </c>
      <c r="AE1805" s="82">
        <f>IFERROR(__xludf.DUMMYFUNCTION("""COMPUTED_VALUE"""),1.1661683602020707)</f>
        <v>1.16616836</v>
      </c>
      <c r="AF1805" s="82">
        <f>IFERROR(__xludf.DUMMYFUNCTION("""COMPUTED_VALUE"""),0.6300300415394138)</f>
        <v>0.6300300415</v>
      </c>
      <c r="AG1805" s="82">
        <f>IFERROR(__xludf.DUMMYFUNCTION("""COMPUTED_VALUE"""),0.8277051785730586)</f>
        <v>0.8277051786</v>
      </c>
      <c r="AH1805" s="82">
        <f>IFERROR(__xludf.DUMMYFUNCTION("""COMPUTED_VALUE"""),0.8836562994478001)</f>
        <v>0.8836562994</v>
      </c>
      <c r="AI1805" s="82">
        <f>IFERROR(__xludf.DUMMYFUNCTION("""COMPUTED_VALUE"""),0.97465143539582)</f>
        <v>0.9746514354</v>
      </c>
      <c r="AJ1805" s="82">
        <f>IFERROR(__xludf.DUMMYFUNCTION("""COMPUTED_VALUE"""),1.0891741204309033)</f>
        <v>1.08917412</v>
      </c>
      <c r="AK1805" s="82">
        <f>IFERROR(__xludf.DUMMYFUNCTION("""COMPUTED_VALUE"""),1.005362538660853)</f>
        <v>1.005362539</v>
      </c>
      <c r="AL1805" s="82">
        <f>IFERROR(__xludf.DUMMYFUNCTION("""COMPUTED_VALUE"""),0.8403312476263793)</f>
        <v>0.8403312476</v>
      </c>
      <c r="AM1805" s="82">
        <f>IFERROR(__xludf.DUMMYFUNCTION("""COMPUTED_VALUE"""),1.016713399733003)</f>
        <v>1.0167134</v>
      </c>
      <c r="AN1805" s="82">
        <f>IFERROR(__xludf.DUMMYFUNCTION("""COMPUTED_VALUE"""),0.8606641251440439)</f>
        <v>0.8606641251</v>
      </c>
      <c r="AO1805" s="82">
        <f>IFERROR(__xludf.DUMMYFUNCTION("""COMPUTED_VALUE"""),1.069493433938682)</f>
        <v>1.069493434</v>
      </c>
      <c r="AP1805" s="82">
        <f>IFERROR(__xludf.DUMMYFUNCTION("""COMPUTED_VALUE"""),0.5739551153420523)</f>
        <v>0.5739551153</v>
      </c>
      <c r="AQ1805" s="82">
        <f>IFERROR(__xludf.DUMMYFUNCTION("""COMPUTED_VALUE"""),0.8448665617712755)</f>
        <v>0.8448665618</v>
      </c>
      <c r="AR1805" s="82">
        <f>IFERROR(__xludf.DUMMYFUNCTION("""COMPUTED_VALUE"""),0.8604657727383069)</f>
        <v>0.8604657727</v>
      </c>
      <c r="AS1805" s="82">
        <f>IFERROR(__xludf.DUMMYFUNCTION("""COMPUTED_VALUE"""),53.0)</f>
        <v>53</v>
      </c>
      <c r="AT1805" s="82">
        <f>IFERROR(__xludf.DUMMYFUNCTION("""COMPUTED_VALUE"""),0.34912393027260136)</f>
        <v>0.3491239303</v>
      </c>
      <c r="AU1805" s="82">
        <f>IFERROR(__xludf.DUMMYFUNCTION("""COMPUTED_VALUE"""),1.6832297464936707)</f>
        <v>1.683229746</v>
      </c>
      <c r="AV1805" s="82">
        <f>IFERROR(__xludf.DUMMYFUNCTION("""COMPUTED_VALUE"""),38.94287494427115)</f>
        <v>38.94287494</v>
      </c>
      <c r="AW1805" s="82">
        <f t="shared" si="1"/>
        <v>-3.038207053</v>
      </c>
      <c r="AX1805" s="83">
        <f t="array" ref="AX1805">IFERROR(DGET('SBV Import'!A:G,"SBV",{"RSC ID","Tier";B1805,A1805}))</f>
        <v>34.30450548</v>
      </c>
      <c r="AY1805" s="82">
        <f t="shared" si="2"/>
        <v>-3.772716423</v>
      </c>
      <c r="AZ1805" s="82">
        <v>0.7345093699970837</v>
      </c>
      <c r="BA1805" s="84">
        <v>1700.0</v>
      </c>
      <c r="BB1805" s="84" t="b">
        <f>IFERROR(__xludf.DUMMYFUNCTION("iferror(if(A1805="""",,E1805&gt;=FILTER(Constants!$F$2:$F$10,Constants!$A$2:$A$10=A1805)))"),TRUE)</f>
        <v>1</v>
      </c>
    </row>
    <row r="1806">
      <c r="A1806" s="89" t="str">
        <f>IFERROR(__xludf.DUMMYFUNCTION("""COMPUTED_VALUE"""),"Rival")</f>
        <v>Rival</v>
      </c>
      <c r="B1806" s="87" t="str">
        <f>IFERROR(__xludf.DUMMYFUNCTION("""COMPUTED_VALUE"""),"RSC003720")</f>
        <v>RSC003720</v>
      </c>
      <c r="C1806" s="73" t="str">
        <f>IFERROR(__xludf.DUMMYFUNCTION("""COMPUTED_VALUE"""),"AriseDaft")</f>
        <v>AriseDaft</v>
      </c>
      <c r="D1806" s="73" t="str">
        <f>IFERROR(__xludf.DUMMYFUNCTION("""COMPUTED_VALUE"""),"Tyrants")</f>
        <v>Tyrants</v>
      </c>
      <c r="E1806" s="82">
        <f>IFERROR(__xludf.DUMMYFUNCTION("""COMPUTED_VALUE"""),30.0)</f>
        <v>30</v>
      </c>
      <c r="F1806" s="82">
        <f>IFERROR(__xludf.DUMMYFUNCTION("""COMPUTED_VALUE"""),14.0)</f>
        <v>14</v>
      </c>
      <c r="G1806" s="86">
        <f>IFERROR(__xludf.DUMMYFUNCTION("""COMPUTED_VALUE"""),16.0)</f>
        <v>16</v>
      </c>
      <c r="H1806" s="86">
        <f>IFERROR(__xludf.DUMMYFUNCTION("""COMPUTED_VALUE"""),0.4666666666666667)</f>
        <v>0.4666666667</v>
      </c>
      <c r="I1806" s="86">
        <f>IFERROR(__xludf.DUMMYFUNCTION("""COMPUTED_VALUE"""),0.37254901960784315)</f>
        <v>0.3725490196</v>
      </c>
      <c r="J1806" s="82">
        <f>IFERROR(__xludf.DUMMYFUNCTION("""COMPUTED_VALUE"""),368.93333333333334)</f>
        <v>368.9333333</v>
      </c>
      <c r="K1806" s="82">
        <f>IFERROR(__xludf.DUMMYFUNCTION("""COMPUTED_VALUE"""),0.6333333333333333)</f>
        <v>0.6333333333</v>
      </c>
      <c r="L1806" s="82">
        <f>IFERROR(__xludf.DUMMYFUNCTION("""COMPUTED_VALUE"""),0.4666666666666667)</f>
        <v>0.4666666667</v>
      </c>
      <c r="M1806" s="82">
        <f>IFERROR(__xludf.DUMMYFUNCTION("""COMPUTED_VALUE"""),1.7333333333333334)</f>
        <v>1.733333333</v>
      </c>
      <c r="N1806" s="82">
        <f>IFERROR(__xludf.DUMMYFUNCTION("""COMPUTED_VALUE"""),1.7)</f>
        <v>1.7</v>
      </c>
      <c r="O1806" s="82">
        <f>IFERROR(__xludf.DUMMYFUNCTION("""COMPUTED_VALUE"""),335.1777777777778)</f>
        <v>335.1777778</v>
      </c>
      <c r="P1806" s="82">
        <f>IFERROR(__xludf.DUMMYFUNCTION("""COMPUTED_VALUE"""),0.7555555555555554)</f>
        <v>0.7555555556</v>
      </c>
      <c r="Q1806" s="82">
        <f>IFERROR(__xludf.DUMMYFUNCTION("""COMPUTED_VALUE"""),0.5333333333333333)</f>
        <v>0.5333333333</v>
      </c>
      <c r="R1806" s="82">
        <f>IFERROR(__xludf.DUMMYFUNCTION("""COMPUTED_VALUE"""),1.0555555555555556)</f>
        <v>1.055555556</v>
      </c>
      <c r="S1806" s="82">
        <f>IFERROR(__xludf.DUMMYFUNCTION("""COMPUTED_VALUE"""),2.6444444444444444)</f>
        <v>2.644444444</v>
      </c>
      <c r="T1806" s="82">
        <f>IFERROR(__xludf.DUMMYFUNCTION("""COMPUTED_VALUE"""),350.1982501010437)</f>
        <v>350.1982501</v>
      </c>
      <c r="U1806" s="82">
        <f>IFERROR(__xludf.DUMMYFUNCTION("""COMPUTED_VALUE"""),0.771759078327856)</f>
        <v>0.7717590783</v>
      </c>
      <c r="V1806" s="82">
        <f>IFERROR(__xludf.DUMMYFUNCTION("""COMPUTED_VALUE"""),0.6125153095500132)</f>
        <v>0.6125153096</v>
      </c>
      <c r="W1806" s="82">
        <f>IFERROR(__xludf.DUMMYFUNCTION("""COMPUTED_VALUE"""),1.2902755318293717)</f>
        <v>1.290275532</v>
      </c>
      <c r="X1806" s="82">
        <f>IFERROR(__xludf.DUMMYFUNCTION("""COMPUTED_VALUE"""),2.6011770966380774)</f>
        <v>2.601177097</v>
      </c>
      <c r="Y1806" s="82">
        <f>IFERROR(__xludf.DUMMYFUNCTION("""COMPUTED_VALUE"""),345.97557992106425)</f>
        <v>345.9755799</v>
      </c>
      <c r="Z1806" s="82">
        <f>IFERROR(__xludf.DUMMYFUNCTION("""COMPUTED_VALUE"""),0.756808462510926)</f>
        <v>0.7568084625</v>
      </c>
      <c r="AA1806" s="82">
        <f>IFERROR(__xludf.DUMMYFUNCTION("""COMPUTED_VALUE"""),0.5557530962480096)</f>
        <v>0.5557530962</v>
      </c>
      <c r="AB1806" s="82">
        <f>IFERROR(__xludf.DUMMYFUNCTION("""COMPUTED_VALUE"""),1.3137984096812767)</f>
        <v>1.31379841</v>
      </c>
      <c r="AC1806" s="82">
        <f>IFERROR(__xludf.DUMMYFUNCTION("""COMPUTED_VALUE"""),2.4616084562472924)</f>
        <v>2.461608456</v>
      </c>
      <c r="AD1806" s="82">
        <f>IFERROR(__xludf.DUMMYFUNCTION("""COMPUTED_VALUE"""),1.066356571806331)</f>
        <v>1.066356572</v>
      </c>
      <c r="AE1806" s="82">
        <f>IFERROR(__xludf.DUMMYFUNCTION("""COMPUTED_VALUE"""),0.8368475839079162)</f>
        <v>0.8368475839</v>
      </c>
      <c r="AF1806" s="82">
        <f>IFERROR(__xludf.DUMMYFUNCTION("""COMPUTED_VALUE"""),0.8397014246384201)</f>
        <v>0.8397014246</v>
      </c>
      <c r="AG1806" s="82">
        <f>IFERROR(__xludf.DUMMYFUNCTION("""COMPUTED_VALUE"""),1.3193297545198235)</f>
        <v>1.319329755</v>
      </c>
      <c r="AH1806" s="82">
        <f>IFERROR(__xludf.DUMMYFUNCTION("""COMPUTED_VALUE"""),0.690605362394489)</f>
        <v>0.6906053624</v>
      </c>
      <c r="AI1806" s="82">
        <f>IFERROR(__xludf.DUMMYFUNCTION("""COMPUTED_VALUE"""),0.9571086596836735)</f>
        <v>0.9571086597</v>
      </c>
      <c r="AJ1806" s="82">
        <f>IFERROR(__xludf.DUMMYFUNCTION("""COMPUTED_VALUE"""),0.9790044286781723)</f>
        <v>0.9790044287</v>
      </c>
      <c r="AK1806" s="82">
        <f>IFERROR(__xludf.DUMMYFUNCTION("""COMPUTED_VALUE"""),0.8707265353500286)</f>
        <v>0.8707265354</v>
      </c>
      <c r="AL1806" s="82">
        <f>IFERROR(__xludf.DUMMYFUNCTION("""COMPUTED_VALUE"""),0.818085385265714)</f>
        <v>0.8180853853</v>
      </c>
      <c r="AM1806" s="82">
        <f>IFERROR(__xludf.DUMMYFUNCTION("""COMPUTED_VALUE"""),1.0166337570257282)</f>
        <v>1.016633757</v>
      </c>
      <c r="AN1806" s="82">
        <f>IFERROR(__xludf.DUMMYFUNCTION("""COMPUTED_VALUE"""),1.0884886346663392)</f>
        <v>1.088488635</v>
      </c>
      <c r="AO1806" s="82">
        <f>IFERROR(__xludf.DUMMYFUNCTION("""COMPUTED_VALUE"""),0.8620765255384526)</f>
        <v>0.8620765255</v>
      </c>
      <c r="AP1806" s="82">
        <f>IFERROR(__xludf.DUMMYFUNCTION("""COMPUTED_VALUE"""),0.8332977970892018)</f>
        <v>0.8332977971</v>
      </c>
      <c r="AQ1806" s="82">
        <f>IFERROR(__xludf.DUMMYFUNCTION("""COMPUTED_VALUE"""),1.3227158214397603)</f>
        <v>1.322715821</v>
      </c>
      <c r="AR1806" s="82">
        <f>IFERROR(__xludf.DUMMYFUNCTION("""COMPUTED_VALUE"""),0.6826361797057234)</f>
        <v>0.6826361797</v>
      </c>
      <c r="AS1806" s="82">
        <f>IFERROR(__xludf.DUMMYFUNCTION("""COMPUTED_VALUE"""),53.0)</f>
        <v>53</v>
      </c>
      <c r="AT1806" s="82">
        <f>IFERROR(__xludf.DUMMYFUNCTION("""COMPUTED_VALUE"""),0.40808716950091123)</f>
        <v>0.4080871695</v>
      </c>
      <c r="AU1806" s="82">
        <f>IFERROR(__xludf.DUMMYFUNCTION("""COMPUTED_VALUE"""),1.680418543538794)</f>
        <v>1.680418544</v>
      </c>
      <c r="AV1806" s="82">
        <f>IFERROR(__xludf.DUMMYFUNCTION("""COMPUTED_VALUE"""),38.84357181609932)</f>
        <v>38.84357182</v>
      </c>
      <c r="AW1806" s="82">
        <f t="shared" si="1"/>
        <v>-3.051517916</v>
      </c>
      <c r="AX1806" s="83">
        <f t="array" ref="AX1806">IFERROR(DGET('SBV Import'!A:G,"SBV",{"RSC ID","Tier";B1806,A1806}))</f>
        <v>54.55392195</v>
      </c>
      <c r="AY1806" s="82">
        <f t="shared" si="2"/>
        <v>2.337924514</v>
      </c>
      <c r="AZ1806" s="82">
        <v>5.389442430179173</v>
      </c>
      <c r="BA1806" s="84">
        <v>1700.0</v>
      </c>
      <c r="BB1806" s="84" t="b">
        <f>IFERROR(__xludf.DUMMYFUNCTION("iferror(if(A1806="""",,E1806&gt;=FILTER(Constants!$F$2:$F$10,Constants!$A$2:$A$10=A1806)))"),TRUE)</f>
        <v>1</v>
      </c>
    </row>
    <row r="1807">
      <c r="A1807" s="89" t="str">
        <f>IFERROR(__xludf.DUMMYFUNCTION("""COMPUTED_VALUE"""),"Rival")</f>
        <v>Rival</v>
      </c>
      <c r="B1807" s="87" t="str">
        <f>IFERROR(__xludf.DUMMYFUNCTION("""COMPUTED_VALUE"""),"RSC004399")</f>
        <v>RSC004399</v>
      </c>
      <c r="C1807" s="73" t="str">
        <f>IFERROR(__xludf.DUMMYFUNCTION("""COMPUTED_VALUE"""),"zippythegnome")</f>
        <v>zippythegnome</v>
      </c>
      <c r="D1807" s="73" t="str">
        <f>IFERROR(__xludf.DUMMYFUNCTION("""COMPUTED_VALUE"""),"Kitsune")</f>
        <v>Kitsune</v>
      </c>
      <c r="E1807" s="82">
        <f>IFERROR(__xludf.DUMMYFUNCTION("""COMPUTED_VALUE"""),27.0)</f>
        <v>27</v>
      </c>
      <c r="F1807" s="82">
        <f>IFERROR(__xludf.DUMMYFUNCTION("""COMPUTED_VALUE"""),13.0)</f>
        <v>13</v>
      </c>
      <c r="G1807" s="86">
        <f>IFERROR(__xludf.DUMMYFUNCTION("""COMPUTED_VALUE"""),14.0)</f>
        <v>14</v>
      </c>
      <c r="H1807" s="86">
        <f>IFERROR(__xludf.DUMMYFUNCTION("""COMPUTED_VALUE"""),0.48148148148148145)</f>
        <v>0.4814814815</v>
      </c>
      <c r="I1807" s="86">
        <f>IFERROR(__xludf.DUMMYFUNCTION("""COMPUTED_VALUE"""),0.32)</f>
        <v>0.32</v>
      </c>
      <c r="J1807" s="82">
        <f>IFERROR(__xludf.DUMMYFUNCTION("""COMPUTED_VALUE"""),315.037037037037)</f>
        <v>315.037037</v>
      </c>
      <c r="K1807" s="82">
        <f>IFERROR(__xludf.DUMMYFUNCTION("""COMPUTED_VALUE"""),0.5925925925925926)</f>
        <v>0.5925925926</v>
      </c>
      <c r="L1807" s="82">
        <f>IFERROR(__xludf.DUMMYFUNCTION("""COMPUTED_VALUE"""),0.5925925925925926)</f>
        <v>0.5925925926</v>
      </c>
      <c r="M1807" s="82">
        <f>IFERROR(__xludf.DUMMYFUNCTION("""COMPUTED_VALUE"""),1.4074074074074074)</f>
        <v>1.407407407</v>
      </c>
      <c r="N1807" s="82">
        <f>IFERROR(__xludf.DUMMYFUNCTION("""COMPUTED_VALUE"""),1.8518518518518519)</f>
        <v>1.851851852</v>
      </c>
      <c r="O1807" s="82">
        <f>IFERROR(__xludf.DUMMYFUNCTION("""COMPUTED_VALUE"""),330.99999999999994)</f>
        <v>331</v>
      </c>
      <c r="P1807" s="82">
        <f>IFERROR(__xludf.DUMMYFUNCTION("""COMPUTED_VALUE"""),0.7037037037037037)</f>
        <v>0.7037037037</v>
      </c>
      <c r="Q1807" s="82">
        <f>IFERROR(__xludf.DUMMYFUNCTION("""COMPUTED_VALUE"""),0.5185185185185185)</f>
        <v>0.5185185185</v>
      </c>
      <c r="R1807" s="82">
        <f>IFERROR(__xludf.DUMMYFUNCTION("""COMPUTED_VALUE"""),1.2098765432098768)</f>
        <v>1.209876543</v>
      </c>
      <c r="S1807" s="82">
        <f>IFERROR(__xludf.DUMMYFUNCTION("""COMPUTED_VALUE"""),2.4814814814814814)</f>
        <v>2.481481481</v>
      </c>
      <c r="T1807" s="82">
        <f>IFERROR(__xludf.DUMMYFUNCTION("""COMPUTED_VALUE"""),345.5356295624663)</f>
        <v>345.5356296</v>
      </c>
      <c r="U1807" s="82">
        <f>IFERROR(__xludf.DUMMYFUNCTION("""COMPUTED_VALUE"""),0.7871487861692147)</f>
        <v>0.7871487862</v>
      </c>
      <c r="V1807" s="82">
        <f>IFERROR(__xludf.DUMMYFUNCTION("""COMPUTED_VALUE"""),0.5414049145977083)</f>
        <v>0.5414049146</v>
      </c>
      <c r="W1807" s="82">
        <f>IFERROR(__xludf.DUMMYFUNCTION("""COMPUTED_VALUE"""),1.3384467072453075)</f>
        <v>1.338446707</v>
      </c>
      <c r="X1807" s="82">
        <f>IFERROR(__xludf.DUMMYFUNCTION("""COMPUTED_VALUE"""),2.595290161568001)</f>
        <v>2.595290162</v>
      </c>
      <c r="Y1807" s="82">
        <f>IFERROR(__xludf.DUMMYFUNCTION("""COMPUTED_VALUE"""),346.81764529638235)</f>
        <v>346.8176453</v>
      </c>
      <c r="Z1807" s="82">
        <f>IFERROR(__xludf.DUMMYFUNCTION("""COMPUTED_VALUE"""),0.7913342912359008)</f>
        <v>0.7913342912</v>
      </c>
      <c r="AA1807" s="82">
        <f>IFERROR(__xludf.DUMMYFUNCTION("""COMPUTED_VALUE"""),0.5565930233899705)</f>
        <v>0.5565930234</v>
      </c>
      <c r="AB1807" s="82">
        <f>IFERROR(__xludf.DUMMYFUNCTION("""COMPUTED_VALUE"""),1.3629063288155638)</f>
        <v>1.362906329</v>
      </c>
      <c r="AC1807" s="82">
        <f>IFERROR(__xludf.DUMMYFUNCTION("""COMPUTED_VALUE"""),2.548587253542593)</f>
        <v>2.548587254</v>
      </c>
      <c r="AD1807" s="82">
        <f>IFERROR(__xludf.DUMMYFUNCTION("""COMPUTED_VALUE"""),0.9083650768916721)</f>
        <v>0.9083650769</v>
      </c>
      <c r="AE1807" s="82">
        <f>IFERROR(__xludf.DUMMYFUNCTION("""COMPUTED_VALUE"""),0.7488524118765095)</f>
        <v>0.7488524119</v>
      </c>
      <c r="AF1807" s="82">
        <f>IFERROR(__xludf.DUMMYFUNCTION("""COMPUTED_VALUE"""),1.0646784413203099)</f>
        <v>1.064678441</v>
      </c>
      <c r="AG1807" s="82">
        <f>IFERROR(__xludf.DUMMYFUNCTION("""COMPUTED_VALUE"""),1.032651604626796)</f>
        <v>1.032651605</v>
      </c>
      <c r="AH1807" s="82">
        <f>IFERROR(__xludf.DUMMYFUNCTION("""COMPUTED_VALUE"""),0.7266189726397385)</f>
        <v>0.7266189726</v>
      </c>
      <c r="AI1807" s="82">
        <f>IFERROR(__xludf.DUMMYFUNCTION("""COMPUTED_VALUE"""),0.9579330514168045)</f>
        <v>0.9579330514</v>
      </c>
      <c r="AJ1807" s="82">
        <f>IFERROR(__xludf.DUMMYFUNCTION("""COMPUTED_VALUE"""),0.8939907118810285)</f>
        <v>0.8939907119</v>
      </c>
      <c r="AK1807" s="82">
        <f>IFERROR(__xludf.DUMMYFUNCTION("""COMPUTED_VALUE"""),0.9577277644474365)</f>
        <v>0.9577277644</v>
      </c>
      <c r="AL1807" s="82">
        <f>IFERROR(__xludf.DUMMYFUNCTION("""COMPUTED_VALUE"""),0.9039407670552351)</f>
        <v>0.9039407671</v>
      </c>
      <c r="AM1807" s="82">
        <f>IFERROR(__xludf.DUMMYFUNCTION("""COMPUTED_VALUE"""),0.9561479938652564)</f>
        <v>0.9561479939</v>
      </c>
      <c r="AN1807" s="82">
        <f>IFERROR(__xludf.DUMMYFUNCTION("""COMPUTED_VALUE"""),0.9294747948512108)</f>
        <v>0.9294747949</v>
      </c>
      <c r="AO1807" s="82">
        <f>IFERROR(__xludf.DUMMYFUNCTION("""COMPUTED_VALUE"""),0.8066213104453358)</f>
        <v>0.8066213104</v>
      </c>
      <c r="AP1807" s="82">
        <f>IFERROR(__xludf.DUMMYFUNCTION("""COMPUTED_VALUE"""),1.0581559328116847)</f>
        <v>1.058155933</v>
      </c>
      <c r="AQ1807" s="82">
        <f>IFERROR(__xludf.DUMMYFUNCTION("""COMPUTED_VALUE"""),1.0740000259553608)</f>
        <v>1.074000026</v>
      </c>
      <c r="AR1807" s="82">
        <f>IFERROR(__xludf.DUMMYFUNCTION("""COMPUTED_VALUE"""),0.7436123961935985)</f>
        <v>0.7436123962</v>
      </c>
      <c r="AS1807" s="82">
        <f>IFERROR(__xludf.DUMMYFUNCTION("""COMPUTED_VALUE"""),53.0)</f>
        <v>53</v>
      </c>
      <c r="AT1807" s="82">
        <f>IFERROR(__xludf.DUMMYFUNCTION("""COMPUTED_VALUE"""),0.47280567004761515)</f>
        <v>0.47280567</v>
      </c>
      <c r="AU1807" s="82">
        <f>IFERROR(__xludf.DUMMYFUNCTION("""COMPUTED_VALUE"""),1.6792148943044933)</f>
        <v>1.679214894</v>
      </c>
      <c r="AV1807" s="82">
        <f>IFERROR(__xludf.DUMMYFUNCTION("""COMPUTED_VALUE"""),38.801054027058036)</f>
        <v>38.80105403</v>
      </c>
      <c r="AW1807" s="82">
        <f t="shared" si="1"/>
        <v>-3.057245588</v>
      </c>
      <c r="AX1807" s="83">
        <f t="array" ref="AX1807">IFERROR(DGET('SBV Import'!A:G,"SBV",{"RSC ID","Tier";B1807,A1807}))</f>
        <v>43.65922079</v>
      </c>
      <c r="AY1807" s="82">
        <f t="shared" si="2"/>
        <v>-2.500686079</v>
      </c>
      <c r="AZ1807" s="82">
        <v>0.5565595086281805</v>
      </c>
      <c r="BA1807" s="84">
        <v>1700.0</v>
      </c>
      <c r="BB1807" s="84" t="b">
        <f>IFERROR(__xludf.DUMMYFUNCTION("iferror(if(A1807="""",,E1807&gt;=FILTER(Constants!$F$2:$F$10,Constants!$A$2:$A$10=A1807)))"),TRUE)</f>
        <v>1</v>
      </c>
    </row>
    <row r="1808">
      <c r="A1808" s="89" t="str">
        <f>IFERROR(__xludf.DUMMYFUNCTION("""COMPUTED_VALUE"""),"Rival")</f>
        <v>Rival</v>
      </c>
      <c r="B1808" s="87" t="str">
        <f>IFERROR(__xludf.DUMMYFUNCTION("""COMPUTED_VALUE"""),"RSC007222")</f>
        <v>RSC007222</v>
      </c>
      <c r="C1808" s="73" t="str">
        <f>IFERROR(__xludf.DUMMYFUNCTION("""COMPUTED_VALUE"""),"S3EZ")</f>
        <v>S3EZ</v>
      </c>
      <c r="D1808" s="73" t="str">
        <f>IFERROR(__xludf.DUMMYFUNCTION("""COMPUTED_VALUE"""),"Ostriches")</f>
        <v>Ostriches</v>
      </c>
      <c r="E1808" s="82">
        <f>IFERROR(__xludf.DUMMYFUNCTION("""COMPUTED_VALUE"""),12.0)</f>
        <v>12</v>
      </c>
      <c r="F1808" s="82">
        <f>IFERROR(__xludf.DUMMYFUNCTION("""COMPUTED_VALUE"""),6.0)</f>
        <v>6</v>
      </c>
      <c r="G1808" s="86">
        <f>IFERROR(__xludf.DUMMYFUNCTION("""COMPUTED_VALUE"""),6.0)</f>
        <v>6</v>
      </c>
      <c r="H1808" s="86">
        <f>IFERROR(__xludf.DUMMYFUNCTION("""COMPUTED_VALUE"""),0.5)</f>
        <v>0.5</v>
      </c>
      <c r="I1808" s="86">
        <f>IFERROR(__xludf.DUMMYFUNCTION("""COMPUTED_VALUE"""),0.0967741935483871)</f>
        <v>0.09677419355</v>
      </c>
      <c r="J1808" s="82">
        <f>IFERROR(__xludf.DUMMYFUNCTION("""COMPUTED_VALUE"""),292.4166666666667)</f>
        <v>292.4166667</v>
      </c>
      <c r="K1808" s="82">
        <f>IFERROR(__xludf.DUMMYFUNCTION("""COMPUTED_VALUE"""),0.25)</f>
        <v>0.25</v>
      </c>
      <c r="L1808" s="82">
        <f>IFERROR(__xludf.DUMMYFUNCTION("""COMPUTED_VALUE"""),0.75)</f>
        <v>0.75</v>
      </c>
      <c r="M1808" s="82">
        <f>IFERROR(__xludf.DUMMYFUNCTION("""COMPUTED_VALUE"""),1.3333333333333333)</f>
        <v>1.333333333</v>
      </c>
      <c r="N1808" s="82">
        <f>IFERROR(__xludf.DUMMYFUNCTION("""COMPUTED_VALUE"""),2.5833333333333335)</f>
        <v>2.583333333</v>
      </c>
      <c r="O1808" s="82">
        <f>IFERROR(__xludf.DUMMYFUNCTION("""COMPUTED_VALUE"""),352.4444444444444)</f>
        <v>352.4444444</v>
      </c>
      <c r="P1808" s="82">
        <f>IFERROR(__xludf.DUMMYFUNCTION("""COMPUTED_VALUE"""),0.6944444444444443)</f>
        <v>0.6944444444</v>
      </c>
      <c r="Q1808" s="82">
        <f>IFERROR(__xludf.DUMMYFUNCTION("""COMPUTED_VALUE"""),0.5833333333333334)</f>
        <v>0.5833333333</v>
      </c>
      <c r="R1808" s="82">
        <f>IFERROR(__xludf.DUMMYFUNCTION("""COMPUTED_VALUE"""),1.3055555555555556)</f>
        <v>1.305555556</v>
      </c>
      <c r="S1808" s="82">
        <f>IFERROR(__xludf.DUMMYFUNCTION("""COMPUTED_VALUE"""),2.194444444444444)</f>
        <v>2.194444444</v>
      </c>
      <c r="T1808" s="82">
        <f>IFERROR(__xludf.DUMMYFUNCTION("""COMPUTED_VALUE"""),346.4824780253554)</f>
        <v>346.482478</v>
      </c>
      <c r="U1808" s="82">
        <f>IFERROR(__xludf.DUMMYFUNCTION("""COMPUTED_VALUE"""),0.6928714273126433)</f>
        <v>0.6928714273</v>
      </c>
      <c r="V1808" s="82">
        <f>IFERROR(__xludf.DUMMYFUNCTION("""COMPUTED_VALUE"""),0.6464569354542078)</f>
        <v>0.6464569355</v>
      </c>
      <c r="W1808" s="82">
        <f>IFERROR(__xludf.DUMMYFUNCTION("""COMPUTED_VALUE"""),1.3601020307248566)</f>
        <v>1.360102031</v>
      </c>
      <c r="X1808" s="82">
        <f>IFERROR(__xludf.DUMMYFUNCTION("""COMPUTED_VALUE"""),2.348654070010213)</f>
        <v>2.34865407</v>
      </c>
      <c r="Y1808" s="82">
        <f>IFERROR(__xludf.DUMMYFUNCTION("""COMPUTED_VALUE"""),335.16433274744037)</f>
        <v>335.1643327</v>
      </c>
      <c r="Z1808" s="82">
        <f>IFERROR(__xludf.DUMMYFUNCTION("""COMPUTED_VALUE"""),0.7090653581587589)</f>
        <v>0.7090653582</v>
      </c>
      <c r="AA1808" s="82">
        <f>IFERROR(__xludf.DUMMYFUNCTION("""COMPUTED_VALUE"""),0.533364331554098)</f>
        <v>0.5333643316</v>
      </c>
      <c r="AB1808" s="82">
        <f>IFERROR(__xludf.DUMMYFUNCTION("""COMPUTED_VALUE"""),1.2182142292083917)</f>
        <v>1.218214229</v>
      </c>
      <c r="AC1808" s="82">
        <f>IFERROR(__xludf.DUMMYFUNCTION("""COMPUTED_VALUE"""),2.489112732725689)</f>
        <v>2.489112733</v>
      </c>
      <c r="AD1808" s="82">
        <f>IFERROR(__xludf.DUMMYFUNCTION("""COMPUTED_VALUE"""),0.8724575919807501)</f>
        <v>0.872457592</v>
      </c>
      <c r="AE1808" s="82">
        <f>IFERROR(__xludf.DUMMYFUNCTION("""COMPUTED_VALUE"""),0.3525768070931838)</f>
        <v>0.3525768071</v>
      </c>
      <c r="AF1808" s="82">
        <f>IFERROR(__xludf.DUMMYFUNCTION("""COMPUTED_VALUE"""),1.4061682711603092)</f>
        <v>1.406168271</v>
      </c>
      <c r="AG1808" s="82">
        <f>IFERROR(__xludf.DUMMYFUNCTION("""COMPUTED_VALUE"""),1.0944982428909462)</f>
        <v>1.094498243</v>
      </c>
      <c r="AH1808" s="82">
        <f>IFERROR(__xludf.DUMMYFUNCTION("""COMPUTED_VALUE"""),1.0378530869128089)</f>
        <v>1.037853087</v>
      </c>
      <c r="AI1808" s="82">
        <f>IFERROR(__xludf.DUMMYFUNCTION("""COMPUTED_VALUE"""),1.017207122429587)</f>
        <v>1.017207122</v>
      </c>
      <c r="AJ1808" s="82">
        <f>IFERROR(__xludf.DUMMYFUNCTION("""COMPUTED_VALUE"""),1.0022702871987406)</f>
        <v>1.002270287</v>
      </c>
      <c r="AK1808" s="82">
        <f>IFERROR(__xludf.DUMMYFUNCTION("""COMPUTED_VALUE"""),0.902354513256907)</f>
        <v>0.9023545133</v>
      </c>
      <c r="AL1808" s="82">
        <f>IFERROR(__xludf.DUMMYFUNCTION("""COMPUTED_VALUE"""),0.9598953064276871)</f>
        <v>0.9598953064</v>
      </c>
      <c r="AM1808" s="82">
        <f>IFERROR(__xludf.DUMMYFUNCTION("""COMPUTED_VALUE"""),0.9343412776130551)</f>
        <v>0.9343412776</v>
      </c>
      <c r="AN1808" s="82">
        <f>IFERROR(__xludf.DUMMYFUNCTION("""COMPUTED_VALUE"""),0.8627364065423258)</f>
        <v>0.8627364065</v>
      </c>
      <c r="AO1808" s="82">
        <f>IFERROR(__xludf.DUMMYFUNCTION("""COMPUTED_VALUE"""),0.3402933653441261)</f>
        <v>0.3402933653</v>
      </c>
      <c r="AP1808" s="82">
        <f>IFERROR(__xludf.DUMMYFUNCTION("""COMPUTED_VALUE"""),1.3392286024647886)</f>
        <v>1.339228602</v>
      </c>
      <c r="AQ1808" s="82">
        <f>IFERROR(__xludf.DUMMYFUNCTION("""COMPUTED_VALUE"""),1.0174737087998156)</f>
        <v>1.017473709</v>
      </c>
      <c r="AR1808" s="82">
        <f>IFERROR(__xludf.DUMMYFUNCTION("""COMPUTED_VALUE"""),1.03733929269007)</f>
        <v>1.037339293</v>
      </c>
      <c r="AS1808" s="82">
        <f>IFERROR(__xludf.DUMMYFUNCTION("""COMPUTED_VALUE"""),28.0)</f>
        <v>28</v>
      </c>
      <c r="AT1808" s="82">
        <f>IFERROR(__xludf.DUMMYFUNCTION("""COMPUTED_VALUE"""),0.5432846166550142)</f>
        <v>0.5432846167</v>
      </c>
      <c r="AU1808" s="82">
        <f>IFERROR(__xludf.DUMMYFUNCTION("""COMPUTED_VALUE"""),1.6235170053966228)</f>
        <v>1.623517005</v>
      </c>
      <c r="AV1808" s="82">
        <f>IFERROR(__xludf.DUMMYFUNCTION("""COMPUTED_VALUE"""),36.83357793589794)</f>
        <v>36.83357794</v>
      </c>
      <c r="AW1808" s="82">
        <f t="shared" si="1"/>
        <v>-3.342067923</v>
      </c>
      <c r="AX1808" s="83">
        <f t="array" ref="AX1808">IFERROR(DGET('SBV Import'!A:G,"SBV",{"RSC ID","Tier";B1808,A1808}))</f>
        <v>46.16537085</v>
      </c>
      <c r="AY1808" s="82">
        <f t="shared" si="2"/>
        <v>-2.277659072</v>
      </c>
      <c r="AZ1808" s="82">
        <v>1.0644088508169407</v>
      </c>
      <c r="BA1808" s="84">
        <v>1700.0</v>
      </c>
      <c r="BB1808" s="84" t="b">
        <f>IFERROR(__xludf.DUMMYFUNCTION("iferror(if(A1808="""",,E1808&gt;=FILTER(Constants!$F$2:$F$10,Constants!$A$2:$A$10=A1808)))"),TRUE)</f>
        <v>1</v>
      </c>
    </row>
    <row r="1809">
      <c r="A1809" s="89" t="str">
        <f>IFERROR(__xludf.DUMMYFUNCTION("""COMPUTED_VALUE"""),"Rival")</f>
        <v>Rival</v>
      </c>
      <c r="B1809" s="87" t="str">
        <f>IFERROR(__xludf.DUMMYFUNCTION("""COMPUTED_VALUE"""),"RSC007318")</f>
        <v>RSC007318</v>
      </c>
      <c r="C1809" s="73" t="str">
        <f>IFERROR(__xludf.DUMMYFUNCTION("""COMPUTED_VALUE"""),"xd Dylan591")</f>
        <v>xd Dylan591</v>
      </c>
      <c r="D1809" s="73" t="str">
        <f>IFERROR(__xludf.DUMMYFUNCTION("""COMPUTED_VALUE"""),"Wind")</f>
        <v>Wind</v>
      </c>
      <c r="E1809" s="82">
        <f>IFERROR(__xludf.DUMMYFUNCTION("""COMPUTED_VALUE"""),17.0)</f>
        <v>17</v>
      </c>
      <c r="F1809" s="82">
        <f>IFERROR(__xludf.DUMMYFUNCTION("""COMPUTED_VALUE"""),10.0)</f>
        <v>10</v>
      </c>
      <c r="G1809" s="86">
        <f>IFERROR(__xludf.DUMMYFUNCTION("""COMPUTED_VALUE"""),7.0)</f>
        <v>7</v>
      </c>
      <c r="H1809" s="86">
        <f>IFERROR(__xludf.DUMMYFUNCTION("""COMPUTED_VALUE"""),0.5882352941176471)</f>
        <v>0.5882352941</v>
      </c>
      <c r="I1809" s="86">
        <f>IFERROR(__xludf.DUMMYFUNCTION("""COMPUTED_VALUE"""),0.23809523809523808)</f>
        <v>0.2380952381</v>
      </c>
      <c r="J1809" s="82">
        <f>IFERROR(__xludf.DUMMYFUNCTION("""COMPUTED_VALUE"""),306.2352941176471)</f>
        <v>306.2352941</v>
      </c>
      <c r="K1809" s="82">
        <f>IFERROR(__xludf.DUMMYFUNCTION("""COMPUTED_VALUE"""),0.5882352941176471)</f>
        <v>0.5882352941</v>
      </c>
      <c r="L1809" s="82">
        <f>IFERROR(__xludf.DUMMYFUNCTION("""COMPUTED_VALUE"""),0.5294117647058824)</f>
        <v>0.5294117647</v>
      </c>
      <c r="M1809" s="82">
        <f>IFERROR(__xludf.DUMMYFUNCTION("""COMPUTED_VALUE"""),1.2941176470588236)</f>
        <v>1.294117647</v>
      </c>
      <c r="N1809" s="82">
        <f>IFERROR(__xludf.DUMMYFUNCTION("""COMPUTED_VALUE"""),2.4705882352941178)</f>
        <v>2.470588235</v>
      </c>
      <c r="O1809" s="82">
        <f>IFERROR(__xludf.DUMMYFUNCTION("""COMPUTED_VALUE"""),348.8235294117647)</f>
        <v>348.8235294</v>
      </c>
      <c r="P1809" s="82">
        <f>IFERROR(__xludf.DUMMYFUNCTION("""COMPUTED_VALUE"""),0.784313725490196)</f>
        <v>0.7843137255</v>
      </c>
      <c r="Q1809" s="82">
        <f>IFERROR(__xludf.DUMMYFUNCTION("""COMPUTED_VALUE"""),0.5882352941176471)</f>
        <v>0.5882352941</v>
      </c>
      <c r="R1809" s="82">
        <f>IFERROR(__xludf.DUMMYFUNCTION("""COMPUTED_VALUE"""),1.3137254901960784)</f>
        <v>1.31372549</v>
      </c>
      <c r="S1809" s="82">
        <f>IFERROR(__xludf.DUMMYFUNCTION("""COMPUTED_VALUE"""),2.843137254901961)</f>
        <v>2.843137255</v>
      </c>
      <c r="T1809" s="82">
        <f>IFERROR(__xludf.DUMMYFUNCTION("""COMPUTED_VALUE"""),345.53981015364354)</f>
        <v>345.5398102</v>
      </c>
      <c r="U1809" s="82">
        <f>IFERROR(__xludf.DUMMYFUNCTION("""COMPUTED_VALUE"""),0.791722271270015)</f>
        <v>0.7917222713</v>
      </c>
      <c r="V1809" s="82">
        <f>IFERROR(__xludf.DUMMYFUNCTION("""COMPUTED_VALUE"""),0.5574688128446373)</f>
        <v>0.5574688128</v>
      </c>
      <c r="W1809" s="82">
        <f>IFERROR(__xludf.DUMMYFUNCTION("""COMPUTED_VALUE"""),1.3037550024766218)</f>
        <v>1.303755002</v>
      </c>
      <c r="X1809" s="82">
        <f>IFERROR(__xludf.DUMMYFUNCTION("""COMPUTED_VALUE"""),2.579380345693759)</f>
        <v>2.579380346</v>
      </c>
      <c r="Y1809" s="82">
        <f>IFERROR(__xludf.DUMMYFUNCTION("""COMPUTED_VALUE"""),357.8905549917933)</f>
        <v>357.890555</v>
      </c>
      <c r="Z1809" s="82">
        <f>IFERROR(__xludf.DUMMYFUNCTION("""COMPUTED_VALUE"""),0.8565281549392966)</f>
        <v>0.8565281549</v>
      </c>
      <c r="AA1809" s="82">
        <f>IFERROR(__xludf.DUMMYFUNCTION("""COMPUTED_VALUE"""),0.6026628824442883)</f>
        <v>0.6026628824</v>
      </c>
      <c r="AB1809" s="82">
        <f>IFERROR(__xludf.DUMMYFUNCTION("""COMPUTED_VALUE"""),1.3234492043683166)</f>
        <v>1.323449204</v>
      </c>
      <c r="AC1809" s="82">
        <f>IFERROR(__xludf.DUMMYFUNCTION("""COMPUTED_VALUE"""),2.643290507129123)</f>
        <v>2.643290507</v>
      </c>
      <c r="AD1809" s="82">
        <f>IFERROR(__xludf.DUMMYFUNCTION("""COMPUTED_VALUE"""),0.8556674375624953)</f>
        <v>0.8556674376</v>
      </c>
      <c r="AE1809" s="82">
        <f>IFERROR(__xludf.DUMMYFUNCTION("""COMPUTED_VALUE"""),0.6867670265425615)</f>
        <v>0.6867670265</v>
      </c>
      <c r="AF1809" s="82">
        <f>IFERROR(__xludf.DUMMYFUNCTION("""COMPUTED_VALUE"""),0.8784542405510141)</f>
        <v>0.8784542406</v>
      </c>
      <c r="AG1809" s="82">
        <f>IFERROR(__xludf.DUMMYFUNCTION("""COMPUTED_VALUE"""),0.9778370358207341)</f>
        <v>0.9778370358</v>
      </c>
      <c r="AH1809" s="82">
        <f>IFERROR(__xludf.DUMMYFUNCTION("""COMPUTED_VALUE"""),0.9346639079703059)</f>
        <v>0.934663908</v>
      </c>
      <c r="AI1809" s="82">
        <f>IFERROR(__xludf.DUMMYFUNCTION("""COMPUTED_VALUE"""),1.0095031575570441)</f>
        <v>1.009503158</v>
      </c>
      <c r="AJ1809" s="82">
        <f>IFERROR(__xludf.DUMMYFUNCTION("""COMPUTED_VALUE"""),0.9906424941565242)</f>
        <v>0.9906424942</v>
      </c>
      <c r="AK1809" s="82">
        <f>IFERROR(__xludf.DUMMYFUNCTION("""COMPUTED_VALUE"""),1.0551896008603878)</f>
        <v>1.055189601</v>
      </c>
      <c r="AL1809" s="82">
        <f>IFERROR(__xludf.DUMMYFUNCTION("""COMPUTED_VALUE"""),1.0076475163665848)</f>
        <v>1.007647516</v>
      </c>
      <c r="AM1809" s="82">
        <f>IFERROR(__xludf.DUMMYFUNCTION("""COMPUTED_VALUE"""),1.1022559195849269)</f>
        <v>1.10225592</v>
      </c>
      <c r="AN1809" s="82">
        <f>IFERROR(__xludf.DUMMYFUNCTION("""COMPUTED_VALUE"""),0.9035064253182936)</f>
        <v>0.9035064253</v>
      </c>
      <c r="AO1809" s="82">
        <f>IFERROR(__xludf.DUMMYFUNCTION("""COMPUTED_VALUE"""),0.8006902713979437)</f>
        <v>0.8006902714</v>
      </c>
      <c r="AP1809" s="82">
        <f>IFERROR(__xludf.DUMMYFUNCTION("""COMPUTED_VALUE"""),0.9453378370339685)</f>
        <v>0.945337837</v>
      </c>
      <c r="AQ1809" s="82">
        <f>IFERROR(__xludf.DUMMYFUNCTION("""COMPUTED_VALUE"""),0.987548011482174)</f>
        <v>0.9875480115</v>
      </c>
      <c r="AR1809" s="82">
        <f>IFERROR(__xludf.DUMMYFUNCTION("""COMPUTED_VALUE"""),0.9920664203335774)</f>
        <v>0.9920664203</v>
      </c>
      <c r="AS1809" s="82">
        <f>IFERROR(__xludf.DUMMYFUNCTION("""COMPUTED_VALUE"""),41.0)</f>
        <v>41</v>
      </c>
      <c r="AT1809" s="82">
        <f>IFERROR(__xludf.DUMMYFUNCTION("""COMPUTED_VALUE"""),0.5096616065863637)</f>
        <v>0.5096616066</v>
      </c>
      <c r="AU1809" s="82">
        <f>IFERROR(__xludf.DUMMYFUNCTION("""COMPUTED_VALUE"""),1.6042816105173692)</f>
        <v>1.604281611</v>
      </c>
      <c r="AV1809" s="82">
        <f>IFERROR(__xludf.DUMMYFUNCTION("""COMPUTED_VALUE"""),36.154105512956484)</f>
        <v>36.15410551</v>
      </c>
      <c r="AW1809" s="82">
        <f t="shared" si="1"/>
        <v>-3.450112516</v>
      </c>
      <c r="AX1809" s="83">
        <f t="array" ref="AX1809">IFERROR(DGET('SBV Import'!A:G,"SBV",{"RSC ID","Tier";B1809,A1809}))</f>
        <v>33.54086493</v>
      </c>
      <c r="AY1809" s="82">
        <f t="shared" si="2"/>
        <v>-3.919237366</v>
      </c>
      <c r="AZ1809" s="82">
        <v>0.4691248494475384</v>
      </c>
      <c r="BA1809" s="84">
        <v>1700.0</v>
      </c>
      <c r="BB1809" s="84" t="b">
        <f>IFERROR(__xludf.DUMMYFUNCTION("iferror(if(A1809="""",,E1809&gt;=FILTER(Constants!$F$2:$F$10,Constants!$A$2:$A$10=A1809)))"),TRUE)</f>
        <v>1</v>
      </c>
    </row>
    <row r="1810">
      <c r="A1810" s="89" t="str">
        <f>IFERROR(__xludf.DUMMYFUNCTION("""COMPUTED_VALUE"""),"Rival")</f>
        <v>Rival</v>
      </c>
      <c r="B1810" s="87" t="str">
        <f>IFERROR(__xludf.DUMMYFUNCTION("""COMPUTED_VALUE"""),"RSC004456")</f>
        <v>RSC004456</v>
      </c>
      <c r="C1810" s="73" t="str">
        <f>IFERROR(__xludf.DUMMYFUNCTION("""COMPUTED_VALUE"""),"ShazamPoof")</f>
        <v>ShazamPoof</v>
      </c>
      <c r="D1810" s="73" t="str">
        <f>IFERROR(__xludf.DUMMYFUNCTION("""COMPUTED_VALUE"""),"Centuriones")</f>
        <v>Centuriones</v>
      </c>
      <c r="E1810" s="82">
        <f>IFERROR(__xludf.DUMMYFUNCTION("""COMPUTED_VALUE"""),22.0)</f>
        <v>22</v>
      </c>
      <c r="F1810" s="82">
        <f>IFERROR(__xludf.DUMMYFUNCTION("""COMPUTED_VALUE"""),6.0)</f>
        <v>6</v>
      </c>
      <c r="G1810" s="86">
        <f>IFERROR(__xludf.DUMMYFUNCTION("""COMPUTED_VALUE"""),16.0)</f>
        <v>16</v>
      </c>
      <c r="H1810" s="86">
        <f>IFERROR(__xludf.DUMMYFUNCTION("""COMPUTED_VALUE"""),0.2727272727272727)</f>
        <v>0.2727272727</v>
      </c>
      <c r="I1810" s="86">
        <f>IFERROR(__xludf.DUMMYFUNCTION("""COMPUTED_VALUE"""),0.36)</f>
        <v>0.36</v>
      </c>
      <c r="J1810" s="82">
        <f>IFERROR(__xludf.DUMMYFUNCTION("""COMPUTED_VALUE"""),298.04545454545456)</f>
        <v>298.0454545</v>
      </c>
      <c r="K1810" s="82">
        <f>IFERROR(__xludf.DUMMYFUNCTION("""COMPUTED_VALUE"""),0.8181818181818182)</f>
        <v>0.8181818182</v>
      </c>
      <c r="L1810" s="82">
        <f>IFERROR(__xludf.DUMMYFUNCTION("""COMPUTED_VALUE"""),0.45454545454545453)</f>
        <v>0.4545454545</v>
      </c>
      <c r="M1810" s="82">
        <f>IFERROR(__xludf.DUMMYFUNCTION("""COMPUTED_VALUE"""),1.0909090909090908)</f>
        <v>1.090909091</v>
      </c>
      <c r="N1810" s="82">
        <f>IFERROR(__xludf.DUMMYFUNCTION("""COMPUTED_VALUE"""),2.272727272727273)</f>
        <v>2.272727273</v>
      </c>
      <c r="O1810" s="82">
        <f>IFERROR(__xludf.DUMMYFUNCTION("""COMPUTED_VALUE"""),360.8333333333333)</f>
        <v>360.8333333</v>
      </c>
      <c r="P1810" s="82">
        <f>IFERROR(__xludf.DUMMYFUNCTION("""COMPUTED_VALUE"""),0.9848484848484848)</f>
        <v>0.9848484848</v>
      </c>
      <c r="Q1810" s="82">
        <f>IFERROR(__xludf.DUMMYFUNCTION("""COMPUTED_VALUE"""),0.7121212121212123)</f>
        <v>0.7121212121</v>
      </c>
      <c r="R1810" s="82">
        <f>IFERROR(__xludf.DUMMYFUNCTION("""COMPUTED_VALUE"""),1.0454545454545456)</f>
        <v>1.045454545</v>
      </c>
      <c r="S1810" s="82">
        <f>IFERROR(__xludf.DUMMYFUNCTION("""COMPUTED_VALUE"""),2.833333333333333)</f>
        <v>2.833333333</v>
      </c>
      <c r="T1810" s="82">
        <f>IFERROR(__xludf.DUMMYFUNCTION("""COMPUTED_VALUE"""),341.64962258416466)</f>
        <v>341.6496226</v>
      </c>
      <c r="U1810" s="82">
        <f>IFERROR(__xludf.DUMMYFUNCTION("""COMPUTED_VALUE"""),0.7623503483296264)</f>
        <v>0.7623503483</v>
      </c>
      <c r="V1810" s="82">
        <f>IFERROR(__xludf.DUMMYFUNCTION("""COMPUTED_VALUE"""),0.5618081617580282)</f>
        <v>0.5618081618</v>
      </c>
      <c r="W1810" s="82">
        <f>IFERROR(__xludf.DUMMYFUNCTION("""COMPUTED_VALUE"""),1.2823983305266728)</f>
        <v>1.282398331</v>
      </c>
      <c r="X1810" s="82">
        <f>IFERROR(__xludf.DUMMYFUNCTION("""COMPUTED_VALUE"""),2.5380021635870573)</f>
        <v>2.538002164</v>
      </c>
      <c r="Y1810" s="82">
        <f>IFERROR(__xludf.DUMMYFUNCTION("""COMPUTED_VALUE"""),350.6380491587043)</f>
        <v>350.6380492</v>
      </c>
      <c r="Z1810" s="82">
        <f>IFERROR(__xludf.DUMMYFUNCTION("""COMPUTED_VALUE"""),0.8262794778091124)</f>
        <v>0.8262794778</v>
      </c>
      <c r="AA1810" s="82">
        <f>IFERROR(__xludf.DUMMYFUNCTION("""COMPUTED_VALUE"""),0.580803919705435)</f>
        <v>0.5808039197</v>
      </c>
      <c r="AB1810" s="82">
        <f>IFERROR(__xludf.DUMMYFUNCTION("""COMPUTED_VALUE"""),1.2821424902340677)</f>
        <v>1.28214249</v>
      </c>
      <c r="AC1810" s="82">
        <f>IFERROR(__xludf.DUMMYFUNCTION("""COMPUTED_VALUE"""),2.57364660579567)</f>
        <v>2.573646606</v>
      </c>
      <c r="AD1810" s="82">
        <f>IFERROR(__xludf.DUMMYFUNCTION("""COMPUTED_VALUE"""),0.8500088774180765)</f>
        <v>0.8500088774</v>
      </c>
      <c r="AE1810" s="82">
        <f>IFERROR(__xludf.DUMMYFUNCTION("""COMPUTED_VALUE"""),0.9901998538693407)</f>
        <v>0.9901998539</v>
      </c>
      <c r="AF1810" s="82">
        <f>IFERROR(__xludf.DUMMYFUNCTION("""COMPUTED_VALUE"""),0.7826143025618445)</f>
        <v>0.7826143026</v>
      </c>
      <c r="AG1810" s="82">
        <f>IFERROR(__xludf.DUMMYFUNCTION("""COMPUTED_VALUE"""),0.8508485595153583)</f>
        <v>0.8508485595</v>
      </c>
      <c r="AH1810" s="82">
        <f>IFERROR(__xludf.DUMMYFUNCTION("""COMPUTED_VALUE"""),0.8830766693489509)</f>
        <v>0.8830766693</v>
      </c>
      <c r="AI1810" s="82">
        <f>IFERROR(__xludf.DUMMYFUNCTION("""COMPUTED_VALUE"""),1.0561502471569182)</f>
        <v>1.056150247</v>
      </c>
      <c r="AJ1810" s="82">
        <f>IFERROR(__xludf.DUMMYFUNCTION("""COMPUTED_VALUE"""),1.291858116161907)</f>
        <v>1.291858116</v>
      </c>
      <c r="AK1810" s="82">
        <f>IFERROR(__xludf.DUMMYFUNCTION("""COMPUTED_VALUE"""),1.2675522724568822)</f>
        <v>1.267552272</v>
      </c>
      <c r="AL1810" s="82">
        <f>IFERROR(__xludf.DUMMYFUNCTION("""COMPUTED_VALUE"""),0.8152338634324204)</f>
        <v>0.8152338634</v>
      </c>
      <c r="AM1810" s="82">
        <f>IFERROR(__xludf.DUMMYFUNCTION("""COMPUTED_VALUE"""),1.11636363986738)</f>
        <v>1.11636364</v>
      </c>
      <c r="AN1810" s="82">
        <f>IFERROR(__xludf.DUMMYFUNCTION("""COMPUTED_VALUE"""),0.8793433950669235)</f>
        <v>0.8793433951</v>
      </c>
      <c r="AO1810" s="82">
        <f>IFERROR(__xludf.DUMMYFUNCTION("""COMPUTED_VALUE"""),1.1136873774898672)</f>
        <v>1.113687377</v>
      </c>
      <c r="AP1810" s="82">
        <f>IFERROR(__xludf.DUMMYFUNCTION("""COMPUTED_VALUE"""),0.8116536984635082)</f>
        <v>0.8116536985</v>
      </c>
      <c r="AQ1810" s="82">
        <f>IFERROR(__xludf.DUMMYFUNCTION("""COMPUTED_VALUE"""),0.8324784890180308)</f>
        <v>0.832478489</v>
      </c>
      <c r="AR1810" s="82">
        <f>IFERROR(__xludf.DUMMYFUNCTION("""COMPUTED_VALUE"""),0.9126152135103256)</f>
        <v>0.9126152135</v>
      </c>
      <c r="AS1810" s="82">
        <f>IFERROR(__xludf.DUMMYFUNCTION("""COMPUTED_VALUE"""),50.0)</f>
        <v>50</v>
      </c>
      <c r="AT1810" s="82">
        <f>IFERROR(__xludf.DUMMYFUNCTION("""COMPUTED_VALUE"""),0.3960993299186491)</f>
        <v>0.3960993299</v>
      </c>
      <c r="AU1810" s="82">
        <f>IFERROR(__xludf.DUMMYFUNCTION("""COMPUTED_VALUE"""),1.5882972438035559)</f>
        <v>1.588297244</v>
      </c>
      <c r="AV1810" s="82">
        <f>IFERROR(__xludf.DUMMYFUNCTION("""COMPUTED_VALUE"""),35.58947263443245)</f>
        <v>35.58947263</v>
      </c>
      <c r="AW1810" s="82">
        <f t="shared" si="1"/>
        <v>-3.544021957</v>
      </c>
      <c r="AX1810" s="83">
        <f t="array" ref="AX1810">IFERROR(DGET('SBV Import'!A:G,"SBV",{"RSC ID","Tier";B1810,A1810}))</f>
        <v>34.62775166</v>
      </c>
      <c r="AY1810" s="82">
        <f t="shared" si="2"/>
        <v>-3.713141883</v>
      </c>
      <c r="AZ1810" s="82">
        <v>0.16911992658145447</v>
      </c>
      <c r="BA1810" s="84">
        <v>1700.0</v>
      </c>
      <c r="BB1810" s="84" t="b">
        <f>IFERROR(__xludf.DUMMYFUNCTION("iferror(if(A1810="""",,E1810&gt;=FILTER(Constants!$F$2:$F$10,Constants!$A$2:$A$10=A1810)))"),TRUE)</f>
        <v>1</v>
      </c>
    </row>
    <row r="1811">
      <c r="A1811" s="89" t="str">
        <f>IFERROR(__xludf.DUMMYFUNCTION("""COMPUTED_VALUE"""),"Rival")</f>
        <v>Rival</v>
      </c>
      <c r="B1811" s="87" t="str">
        <f>IFERROR(__xludf.DUMMYFUNCTION("""COMPUTED_VALUE"""),"RSC007767")</f>
        <v>RSC007767</v>
      </c>
      <c r="C1811" s="73" t="str">
        <f>IFERROR(__xludf.DUMMYFUNCTION("""COMPUTED_VALUE"""),"SNOWIS")</f>
        <v>SNOWIS</v>
      </c>
      <c r="D1811" s="73" t="str">
        <f>IFERROR(__xludf.DUMMYFUNCTION("""COMPUTED_VALUE"""),"Centuriones")</f>
        <v>Centuriones</v>
      </c>
      <c r="E1811" s="82">
        <f>IFERROR(__xludf.DUMMYFUNCTION("""COMPUTED_VALUE"""),8.0)</f>
        <v>8</v>
      </c>
      <c r="F1811" s="82">
        <f>IFERROR(__xludf.DUMMYFUNCTION("""COMPUTED_VALUE"""),1.0)</f>
        <v>1</v>
      </c>
      <c r="G1811" s="86">
        <f>IFERROR(__xludf.DUMMYFUNCTION("""COMPUTED_VALUE"""),7.0)</f>
        <v>7</v>
      </c>
      <c r="H1811" s="86">
        <f>IFERROR(__xludf.DUMMYFUNCTION("""COMPUTED_VALUE"""),0.125)</f>
        <v>0.125</v>
      </c>
      <c r="I1811" s="86">
        <f>IFERROR(__xludf.DUMMYFUNCTION("""COMPUTED_VALUE"""),0.5)</f>
        <v>0.5</v>
      </c>
      <c r="J1811" s="82">
        <f>IFERROR(__xludf.DUMMYFUNCTION("""COMPUTED_VALUE"""),318.625)</f>
        <v>318.625</v>
      </c>
      <c r="K1811" s="82">
        <f>IFERROR(__xludf.DUMMYFUNCTION("""COMPUTED_VALUE"""),0.875)</f>
        <v>0.875</v>
      </c>
      <c r="L1811" s="82">
        <f>IFERROR(__xludf.DUMMYFUNCTION("""COMPUTED_VALUE"""),0.625)</f>
        <v>0.625</v>
      </c>
      <c r="M1811" s="82">
        <f>IFERROR(__xludf.DUMMYFUNCTION("""COMPUTED_VALUE"""),1.0)</f>
        <v>1</v>
      </c>
      <c r="N1811" s="82">
        <f>IFERROR(__xludf.DUMMYFUNCTION("""COMPUTED_VALUE"""),1.75)</f>
        <v>1.75</v>
      </c>
      <c r="O1811" s="82">
        <f>IFERROR(__xludf.DUMMYFUNCTION("""COMPUTED_VALUE"""),395.9166666666667)</f>
        <v>395.9166667</v>
      </c>
      <c r="P1811" s="82">
        <f>IFERROR(__xludf.DUMMYFUNCTION("""COMPUTED_VALUE"""),1.2083333333333333)</f>
        <v>1.208333333</v>
      </c>
      <c r="Q1811" s="82">
        <f>IFERROR(__xludf.DUMMYFUNCTION("""COMPUTED_VALUE"""),0.875)</f>
        <v>0.875</v>
      </c>
      <c r="R1811" s="82">
        <f>IFERROR(__xludf.DUMMYFUNCTION("""COMPUTED_VALUE"""),1.0833333333333333)</f>
        <v>1.083333333</v>
      </c>
      <c r="S1811" s="82">
        <f>IFERROR(__xludf.DUMMYFUNCTION("""COMPUTED_VALUE"""),3.0000000000000004)</f>
        <v>3</v>
      </c>
      <c r="T1811" s="82">
        <f>IFERROR(__xludf.DUMMYFUNCTION("""COMPUTED_VALUE"""),351.66653138528136)</f>
        <v>351.6665314</v>
      </c>
      <c r="U1811" s="82">
        <f>IFERROR(__xludf.DUMMYFUNCTION("""COMPUTED_VALUE"""),0.7853760822510822)</f>
        <v>0.7853760823</v>
      </c>
      <c r="V1811" s="82">
        <f>IFERROR(__xludf.DUMMYFUNCTION("""COMPUTED_VALUE"""),0.5989357864357864)</f>
        <v>0.5989357864</v>
      </c>
      <c r="W1811" s="82">
        <f>IFERROR(__xludf.DUMMYFUNCTION("""COMPUTED_VALUE"""),1.3220598845598843)</f>
        <v>1.322059885</v>
      </c>
      <c r="X1811" s="82">
        <f>IFERROR(__xludf.DUMMYFUNCTION("""COMPUTED_VALUE"""),2.6080447330447325)</f>
        <v>2.608044733</v>
      </c>
      <c r="Y1811" s="82">
        <f>IFERROR(__xludf.DUMMYFUNCTION("""COMPUTED_VALUE"""),354.9860960798461)</f>
        <v>354.9860961</v>
      </c>
      <c r="Z1811" s="82">
        <f>IFERROR(__xludf.DUMMYFUNCTION("""COMPUTED_VALUE"""),0.8200682419432419)</f>
        <v>0.8200682419</v>
      </c>
      <c r="AA1811" s="82">
        <f>IFERROR(__xludf.DUMMYFUNCTION("""COMPUTED_VALUE"""),0.6126518157768158)</f>
        <v>0.6126518158</v>
      </c>
      <c r="AB1811" s="82">
        <f>IFERROR(__xludf.DUMMYFUNCTION("""COMPUTED_VALUE"""),1.2791982323232323)</f>
        <v>1.279198232</v>
      </c>
      <c r="AC1811" s="82">
        <f>IFERROR(__xludf.DUMMYFUNCTION("""COMPUTED_VALUE"""),2.626488095238095)</f>
        <v>2.626488095</v>
      </c>
      <c r="AD1811" s="82">
        <f>IFERROR(__xludf.DUMMYFUNCTION("""COMPUTED_VALUE"""),0.8975703654836455)</f>
        <v>0.8975703655</v>
      </c>
      <c r="AE1811" s="82">
        <f>IFERROR(__xludf.DUMMYFUNCTION("""COMPUTED_VALUE"""),1.0669843742840124)</f>
        <v>1.066984374</v>
      </c>
      <c r="AF1811" s="82">
        <f>IFERROR(__xludf.DUMMYFUNCTION("""COMPUTED_VALUE"""),1.020155305028399)</f>
        <v>1.020155305</v>
      </c>
      <c r="AG1811" s="82">
        <f>IFERROR(__xludf.DUMMYFUNCTION("""COMPUTED_VALUE"""),0.7817396668723011)</f>
        <v>0.7817396669</v>
      </c>
      <c r="AH1811" s="82">
        <f>IFERROR(__xludf.DUMMYFUNCTION("""COMPUTED_VALUE"""),0.6662889518413598)</f>
        <v>0.6662889518</v>
      </c>
      <c r="AI1811" s="82">
        <f>IFERROR(__xludf.DUMMYFUNCTION("""COMPUTED_VALUE"""),1.1258298169776795)</f>
        <v>1.125829817</v>
      </c>
      <c r="AJ1811" s="82">
        <f>IFERROR(__xludf.DUMMYFUNCTION("""COMPUTED_VALUE"""),1.5385410386702265)</f>
        <v>1.538541039</v>
      </c>
      <c r="AK1811" s="82">
        <f>IFERROR(__xludf.DUMMYFUNCTION("""COMPUTED_VALUE"""),1.4609245595542841)</f>
        <v>1.46092456</v>
      </c>
      <c r="AL1811" s="82">
        <f>IFERROR(__xludf.DUMMYFUNCTION("""COMPUTED_VALUE"""),0.8194283375400778)</f>
        <v>0.8194283375</v>
      </c>
      <c r="AM1811" s="82">
        <f>IFERROR(__xludf.DUMMYFUNCTION("""COMPUTED_VALUE"""),1.1502870184660077)</f>
        <v>1.150287018</v>
      </c>
      <c r="AN1811" s="82">
        <f>IFERROR(__xludf.DUMMYFUNCTION("""COMPUTED_VALUE"""),0.940060601429063)</f>
        <v>0.9400606014</v>
      </c>
      <c r="AO1811" s="82">
        <f>IFERROR(__xludf.DUMMYFUNCTION("""COMPUTED_VALUE"""),1.191026778704441)</f>
        <v>1.191026779</v>
      </c>
      <c r="AP1811" s="82">
        <f>IFERROR(__xludf.DUMMYFUNCTION("""COMPUTED_VALUE"""),1.116023835387324)</f>
        <v>1.116023835</v>
      </c>
      <c r="AQ1811" s="82">
        <f>IFERROR(__xludf.DUMMYFUNCTION("""COMPUTED_VALUE"""),0.7631052815998617)</f>
        <v>0.7631052816</v>
      </c>
      <c r="AR1811" s="82">
        <f>IFERROR(__xludf.DUMMYFUNCTION("""COMPUTED_VALUE"""),0.7027137144029506)</f>
        <v>0.7027137144</v>
      </c>
      <c r="AS1811" s="82">
        <f>IFERROR(__xludf.DUMMYFUNCTION("""COMPUTED_VALUE"""),18.0)</f>
        <v>18</v>
      </c>
      <c r="AT1811" s="82">
        <f>IFERROR(__xludf.DUMMYFUNCTION("""COMPUTED_VALUE"""),0.3115713499828905)</f>
        <v>0.31157135</v>
      </c>
      <c r="AU1811" s="82">
        <f>IFERROR(__xludf.DUMMYFUNCTION("""COMPUTED_VALUE"""),1.5443912498533297)</f>
        <v>1.54439125</v>
      </c>
      <c r="AV1811" s="82">
        <f>IFERROR(__xludf.DUMMYFUNCTION("""COMPUTED_VALUE"""),34.03853425867862)</f>
        <v>34.03853426</v>
      </c>
      <c r="AW1811" s="82">
        <f t="shared" si="1"/>
        <v>-3.822811348</v>
      </c>
      <c r="AX1811" s="83">
        <f t="array" ref="AX1811">IFERROR(DGET('SBV Import'!A:G,"SBV",{"RSC ID","Tier";B1811,A1811}))</f>
        <v>39.78918207</v>
      </c>
      <c r="AY1811" s="82">
        <f t="shared" si="2"/>
        <v>-2.928446266</v>
      </c>
      <c r="AZ1811" s="82">
        <v>0.8943650817202862</v>
      </c>
      <c r="BA1811" s="84">
        <v>1700.0</v>
      </c>
      <c r="BB1811" s="84" t="b">
        <f>IFERROR(__xludf.DUMMYFUNCTION("iferror(if(A1811="""",,E1811&gt;=FILTER(Constants!$F$2:$F$10,Constants!$A$2:$A$10=A1811)))"),TRUE)</f>
        <v>1</v>
      </c>
    </row>
    <row r="1812">
      <c r="A1812" s="89" t="str">
        <f>IFERROR(__xludf.DUMMYFUNCTION("""COMPUTED_VALUE"""),"Rival")</f>
        <v>Rival</v>
      </c>
      <c r="B1812" s="87" t="str">
        <f>IFERROR(__xludf.DUMMYFUNCTION("""COMPUTED_VALUE"""),"RSC006199")</f>
        <v>RSC006199</v>
      </c>
      <c r="C1812" s="73" t="str">
        <f>IFERROR(__xludf.DUMMYFUNCTION("""COMPUTED_VALUE"""),"Irozuh-")</f>
        <v>Irozuh-</v>
      </c>
      <c r="D1812" s="73" t="str">
        <f>IFERROR(__xludf.DUMMYFUNCTION("""COMPUTED_VALUE"""),"Ostriches")</f>
        <v>Ostriches</v>
      </c>
      <c r="E1812" s="82">
        <f>IFERROR(__xludf.DUMMYFUNCTION("""COMPUTED_VALUE"""),24.0)</f>
        <v>24</v>
      </c>
      <c r="F1812" s="82">
        <f>IFERROR(__xludf.DUMMYFUNCTION("""COMPUTED_VALUE"""),7.0)</f>
        <v>7</v>
      </c>
      <c r="G1812" s="86">
        <f>IFERROR(__xludf.DUMMYFUNCTION("""COMPUTED_VALUE"""),17.0)</f>
        <v>17</v>
      </c>
      <c r="H1812" s="86">
        <f>IFERROR(__xludf.DUMMYFUNCTION("""COMPUTED_VALUE"""),0.2916666666666667)</f>
        <v>0.2916666667</v>
      </c>
      <c r="I1812" s="86">
        <f>IFERROR(__xludf.DUMMYFUNCTION("""COMPUTED_VALUE"""),0.37999999999999995)</f>
        <v>0.38</v>
      </c>
      <c r="J1812" s="82">
        <f>IFERROR(__xludf.DUMMYFUNCTION("""COMPUTED_VALUE"""),298.7083333333333)</f>
        <v>298.7083333</v>
      </c>
      <c r="K1812" s="82">
        <f>IFERROR(__xludf.DUMMYFUNCTION("""COMPUTED_VALUE"""),0.7916666666666666)</f>
        <v>0.7916666667</v>
      </c>
      <c r="L1812" s="82">
        <f>IFERROR(__xludf.DUMMYFUNCTION("""COMPUTED_VALUE"""),0.3333333333333333)</f>
        <v>0.3333333333</v>
      </c>
      <c r="M1812" s="82">
        <f>IFERROR(__xludf.DUMMYFUNCTION("""COMPUTED_VALUE"""),1.0)</f>
        <v>1</v>
      </c>
      <c r="N1812" s="82">
        <f>IFERROR(__xludf.DUMMYFUNCTION("""COMPUTED_VALUE"""),2.0833333333333335)</f>
        <v>2.083333333</v>
      </c>
      <c r="O1812" s="82">
        <f>IFERROR(__xludf.DUMMYFUNCTION("""COMPUTED_VALUE"""),385.23611111111126)</f>
        <v>385.2361111</v>
      </c>
      <c r="P1812" s="82">
        <f>IFERROR(__xludf.DUMMYFUNCTION("""COMPUTED_VALUE"""),0.9722222222222223)</f>
        <v>0.9722222222</v>
      </c>
      <c r="Q1812" s="82">
        <f>IFERROR(__xludf.DUMMYFUNCTION("""COMPUTED_VALUE"""),0.7083333333333334)</f>
        <v>0.7083333333</v>
      </c>
      <c r="R1812" s="82">
        <f>IFERROR(__xludf.DUMMYFUNCTION("""COMPUTED_VALUE"""),1.3472222222222223)</f>
        <v>1.347222222</v>
      </c>
      <c r="S1812" s="82">
        <f>IFERROR(__xludf.DUMMYFUNCTION("""COMPUTED_VALUE"""),2.6944444444444446)</f>
        <v>2.694444444</v>
      </c>
      <c r="T1812" s="82">
        <f>IFERROR(__xludf.DUMMYFUNCTION("""COMPUTED_VALUE"""),350.84573143338713)</f>
        <v>350.8457314</v>
      </c>
      <c r="U1812" s="82">
        <f>IFERROR(__xludf.DUMMYFUNCTION("""COMPUTED_VALUE"""),0.7675581553759785)</f>
        <v>0.7675581554</v>
      </c>
      <c r="V1812" s="82">
        <f>IFERROR(__xludf.DUMMYFUNCTION("""COMPUTED_VALUE"""),0.6391072580348791)</f>
        <v>0.639107258</v>
      </c>
      <c r="W1812" s="82">
        <f>IFERROR(__xludf.DUMMYFUNCTION("""COMPUTED_VALUE"""),1.3136067079693166)</f>
        <v>1.313606708</v>
      </c>
      <c r="X1812" s="82">
        <f>IFERROR(__xludf.DUMMYFUNCTION("""COMPUTED_VALUE"""),2.5635514216395894)</f>
        <v>2.563551422</v>
      </c>
      <c r="Y1812" s="82">
        <f>IFERROR(__xludf.DUMMYFUNCTION("""COMPUTED_VALUE"""),336.45842582014217)</f>
        <v>336.4584258</v>
      </c>
      <c r="Z1812" s="82">
        <f>IFERROR(__xludf.DUMMYFUNCTION("""COMPUTED_VALUE"""),0.7055309515906395)</f>
        <v>0.7055309516</v>
      </c>
      <c r="AA1812" s="82">
        <f>IFERROR(__xludf.DUMMYFUNCTION("""COMPUTED_VALUE"""),0.5243348860369997)</f>
        <v>0.524334886</v>
      </c>
      <c r="AB1812" s="82">
        <f>IFERROR(__xludf.DUMMYFUNCTION("""COMPUTED_VALUE"""),1.3166949772526635)</f>
        <v>1.316694977</v>
      </c>
      <c r="AC1812" s="82">
        <f>IFERROR(__xludf.DUMMYFUNCTION("""COMPUTED_VALUE"""),2.4563837833781705)</f>
        <v>2.456383783</v>
      </c>
      <c r="AD1812" s="82">
        <f>IFERROR(__xludf.DUMMYFUNCTION("""COMPUTED_VALUE"""),0.887801613543218)</f>
        <v>0.8878016135</v>
      </c>
      <c r="AE1812" s="82">
        <f>IFERROR(__xludf.DUMMYFUNCTION("""COMPUTED_VALUE"""),1.1220863732226514)</f>
        <v>1.122086373</v>
      </c>
      <c r="AF1812" s="82">
        <f>IFERROR(__xludf.DUMMYFUNCTION("""COMPUTED_VALUE"""),0.6357260258853187)</f>
        <v>0.6357260259</v>
      </c>
      <c r="AG1812" s="82">
        <f>IFERROR(__xludf.DUMMYFUNCTION("""COMPUTED_VALUE"""),0.7594773408238709)</f>
        <v>0.7594773408</v>
      </c>
      <c r="AH1812" s="82">
        <f>IFERROR(__xludf.DUMMYFUNCTION("""COMPUTED_VALUE"""),0.8481302259975861)</f>
        <v>0.848130226</v>
      </c>
      <c r="AI1812" s="82">
        <f>IFERROR(__xludf.DUMMYFUNCTION("""COMPUTED_VALUE"""),1.098021371208427)</f>
        <v>1.098021371</v>
      </c>
      <c r="AJ1812" s="82">
        <f>IFERROR(__xludf.DUMMYFUNCTION("""COMPUTED_VALUE"""),1.2666430750722617)</f>
        <v>1.266643075</v>
      </c>
      <c r="AK1812" s="82">
        <f>IFERROR(__xludf.DUMMYFUNCTION("""COMPUTED_VALUE"""),1.1083168348162873)</f>
        <v>1.108316835</v>
      </c>
      <c r="AL1812" s="82">
        <f>IFERROR(__xludf.DUMMYFUNCTION("""COMPUTED_VALUE"""),1.02559024253528)</f>
        <v>1.025590243</v>
      </c>
      <c r="AM1812" s="82">
        <f>IFERROR(__xludf.DUMMYFUNCTION("""COMPUTED_VALUE"""),1.051059253853835)</f>
        <v>1.051059254</v>
      </c>
      <c r="AN1812" s="82">
        <f>IFERROR(__xludf.DUMMYFUNCTION("""COMPUTED_VALUE"""),0.8812991305930368)</f>
        <v>0.8812991306</v>
      </c>
      <c r="AO1812" s="82">
        <f>IFERROR(__xludf.DUMMYFUNCTION("""COMPUTED_VALUE"""),1.0775956569230658)</f>
        <v>1.077595657</v>
      </c>
      <c r="AP1812" s="82">
        <f>IFERROR(__xludf.DUMMYFUNCTION("""COMPUTED_VALUE"""),0.5952127122065727)</f>
        <v>0.5952127122</v>
      </c>
      <c r="AQ1812" s="82">
        <f>IFERROR(__xludf.DUMMYFUNCTION("""COMPUTED_VALUE"""),0.7631052815998617)</f>
        <v>0.7631052816</v>
      </c>
      <c r="AR1812" s="82">
        <f>IFERROR(__xludf.DUMMYFUNCTION("""COMPUTED_VALUE"""),0.8365639457177985)</f>
        <v>0.8365639457</v>
      </c>
      <c r="AS1812" s="82">
        <f>IFERROR(__xludf.DUMMYFUNCTION("""COMPUTED_VALUE"""),49.0)</f>
        <v>49</v>
      </c>
      <c r="AT1812" s="82">
        <f>IFERROR(__xludf.DUMMYFUNCTION("""COMPUTED_VALUE"""),0.3624558120808951)</f>
        <v>0.3624558121</v>
      </c>
      <c r="AU1812" s="82">
        <f>IFERROR(__xludf.DUMMYFUNCTION("""COMPUTED_VALUE"""),1.5398794320817744)</f>
        <v>1.539879432</v>
      </c>
      <c r="AV1812" s="82">
        <f>IFERROR(__xludf.DUMMYFUNCTION("""COMPUTED_VALUE"""),33.87915849476251)</f>
        <v>33.87915849</v>
      </c>
      <c r="AW1812" s="82">
        <f t="shared" si="1"/>
        <v>-3.853304793</v>
      </c>
      <c r="AX1812" s="83">
        <f t="array" ref="AX1812">IFERROR(DGET('SBV Import'!A:G,"SBV",{"RSC ID","Tier";B1812,A1812}))</f>
        <v>27.01462016</v>
      </c>
      <c r="AY1812" s="82">
        <f t="shared" si="2"/>
        <v>-5.588489686</v>
      </c>
      <c r="AZ1812" s="82">
        <v>1.7351848934745124</v>
      </c>
      <c r="BA1812" s="84">
        <v>1700.0</v>
      </c>
      <c r="BB1812" s="84" t="b">
        <f>IFERROR(__xludf.DUMMYFUNCTION("iferror(if(A1812="""",,E1812&gt;=FILTER(Constants!$F$2:$F$10,Constants!$A$2:$A$10=A1812)))"),TRUE)</f>
        <v>1</v>
      </c>
    </row>
    <row r="1813">
      <c r="A1813" s="89" t="str">
        <f>IFERROR(__xludf.DUMMYFUNCTION("""COMPUTED_VALUE"""),"Rival")</f>
        <v>Rival</v>
      </c>
      <c r="B1813" s="87" t="str">
        <f>IFERROR(__xludf.DUMMYFUNCTION("""COMPUTED_VALUE"""),"RSC007227")</f>
        <v>RSC007227</v>
      </c>
      <c r="C1813" s="73" t="str">
        <f>IFERROR(__xludf.DUMMYFUNCTION("""COMPUTED_VALUE"""),"Trickyzekie")</f>
        <v>Trickyzekie</v>
      </c>
      <c r="D1813" s="73" t="str">
        <f>IFERROR(__xludf.DUMMYFUNCTION("""COMPUTED_VALUE"""),"Ostriches")</f>
        <v>Ostriches</v>
      </c>
      <c r="E1813" s="82">
        <f>IFERROR(__xludf.DUMMYFUNCTION("""COMPUTED_VALUE"""),26.0)</f>
        <v>26</v>
      </c>
      <c r="F1813" s="82">
        <f>IFERROR(__xludf.DUMMYFUNCTION("""COMPUTED_VALUE"""),8.0)</f>
        <v>8</v>
      </c>
      <c r="G1813" s="86">
        <f>IFERROR(__xludf.DUMMYFUNCTION("""COMPUTED_VALUE"""),18.0)</f>
        <v>18</v>
      </c>
      <c r="H1813" s="86">
        <f>IFERROR(__xludf.DUMMYFUNCTION("""COMPUTED_VALUE"""),0.3076923076923077)</f>
        <v>0.3076923077</v>
      </c>
      <c r="I1813" s="86">
        <f>IFERROR(__xludf.DUMMYFUNCTION("""COMPUTED_VALUE"""),0.33999999999999997)</f>
        <v>0.34</v>
      </c>
      <c r="J1813" s="82">
        <f>IFERROR(__xludf.DUMMYFUNCTION("""COMPUTED_VALUE"""),321.84615384615387)</f>
        <v>321.8461538</v>
      </c>
      <c r="K1813" s="82">
        <f>IFERROR(__xludf.DUMMYFUNCTION("""COMPUTED_VALUE"""),0.6538461538461539)</f>
        <v>0.6538461538</v>
      </c>
      <c r="L1813" s="82">
        <f>IFERROR(__xludf.DUMMYFUNCTION("""COMPUTED_VALUE"""),0.34615384615384615)</f>
        <v>0.3461538462</v>
      </c>
      <c r="M1813" s="82">
        <f>IFERROR(__xludf.DUMMYFUNCTION("""COMPUTED_VALUE"""),1.3461538461538463)</f>
        <v>1.346153846</v>
      </c>
      <c r="N1813" s="82">
        <f>IFERROR(__xludf.DUMMYFUNCTION("""COMPUTED_VALUE"""),1.9230769230769231)</f>
        <v>1.923076923</v>
      </c>
      <c r="O1813" s="82">
        <f>IFERROR(__xludf.DUMMYFUNCTION("""COMPUTED_VALUE"""),365.474358974359)</f>
        <v>365.474359</v>
      </c>
      <c r="P1813" s="82">
        <f>IFERROR(__xludf.DUMMYFUNCTION("""COMPUTED_VALUE"""),0.8974358974358976)</f>
        <v>0.8974358974</v>
      </c>
      <c r="Q1813" s="82">
        <f>IFERROR(__xludf.DUMMYFUNCTION("""COMPUTED_VALUE"""),0.5897435897435898)</f>
        <v>0.5897435897</v>
      </c>
      <c r="R1813" s="82">
        <f>IFERROR(__xludf.DUMMYFUNCTION("""COMPUTED_VALUE"""),1.3076923076923077)</f>
        <v>1.307692308</v>
      </c>
      <c r="S1813" s="82">
        <f>IFERROR(__xludf.DUMMYFUNCTION("""COMPUTED_VALUE"""),2.7692307692307687)</f>
        <v>2.769230769</v>
      </c>
      <c r="T1813" s="82">
        <f>IFERROR(__xludf.DUMMYFUNCTION("""COMPUTED_VALUE"""),356.1737190778714)</f>
        <v>356.1737191</v>
      </c>
      <c r="U1813" s="82">
        <f>IFERROR(__xludf.DUMMYFUNCTION("""COMPUTED_VALUE"""),0.8262916191025101)</f>
        <v>0.8262916191</v>
      </c>
      <c r="V1813" s="82">
        <f>IFERROR(__xludf.DUMMYFUNCTION("""COMPUTED_VALUE"""),0.6263073846745247)</f>
        <v>0.6263073847</v>
      </c>
      <c r="W1813" s="82">
        <f>IFERROR(__xludf.DUMMYFUNCTION("""COMPUTED_VALUE"""),1.247392727141908)</f>
        <v>1.247392727</v>
      </c>
      <c r="X1813" s="82">
        <f>IFERROR(__xludf.DUMMYFUNCTION("""COMPUTED_VALUE"""),2.658072466979863)</f>
        <v>2.658072467</v>
      </c>
      <c r="Y1813" s="82">
        <f>IFERROR(__xludf.DUMMYFUNCTION("""COMPUTED_VALUE"""),333.4219600880878)</f>
        <v>333.4219601</v>
      </c>
      <c r="Z1813" s="82">
        <f>IFERROR(__xludf.DUMMYFUNCTION("""COMPUTED_VALUE"""),0.690771719924734)</f>
        <v>0.6907717199</v>
      </c>
      <c r="AA1813" s="82">
        <f>IFERROR(__xludf.DUMMYFUNCTION("""COMPUTED_VALUE"""),0.4930748305936842)</f>
        <v>0.4930748306</v>
      </c>
      <c r="AB1813" s="82">
        <f>IFERROR(__xludf.DUMMYFUNCTION("""COMPUTED_VALUE"""),1.3418834250002656)</f>
        <v>1.341883425</v>
      </c>
      <c r="AC1813" s="82">
        <f>IFERROR(__xludf.DUMMYFUNCTION("""COMPUTED_VALUE"""),2.3888108525740503)</f>
        <v>2.388810853</v>
      </c>
      <c r="AD1813" s="82">
        <f>IFERROR(__xludf.DUMMYFUNCTION("""COMPUTED_VALUE"""),0.9652818121551571)</f>
        <v>0.9652818122</v>
      </c>
      <c r="AE1813" s="82">
        <f>IFERROR(__xludf.DUMMYFUNCTION("""COMPUTED_VALUE"""),0.9465444733571265)</f>
        <v>0.9465444734</v>
      </c>
      <c r="AF1813" s="82">
        <f>IFERROR(__xludf.DUMMYFUNCTION("""COMPUTED_VALUE"""),0.7020310603505383)</f>
        <v>0.7020310604</v>
      </c>
      <c r="AG1813" s="82">
        <f>IFERROR(__xludf.DUMMYFUNCTION("""COMPUTED_VALUE"""),1.0031824084521945)</f>
        <v>1.003182408</v>
      </c>
      <c r="AH1813" s="82">
        <f>IFERROR(__xludf.DUMMYFUNCTION("""COMPUTED_VALUE"""),0.8050352421183627)</f>
        <v>0.8050352421</v>
      </c>
      <c r="AI1813" s="82">
        <f>IFERROR(__xludf.DUMMYFUNCTION("""COMPUTED_VALUE"""),1.0261126506485847)</f>
        <v>1.026112651</v>
      </c>
      <c r="AJ1813" s="82">
        <f>IFERROR(__xludf.DUMMYFUNCTION("""COMPUTED_VALUE"""),1.0861006897427592)</f>
        <v>1.08610069</v>
      </c>
      <c r="AK1813" s="82">
        <f>IFERROR(__xludf.DUMMYFUNCTION("""COMPUTED_VALUE"""),0.941620048197362)</f>
        <v>0.9416200482</v>
      </c>
      <c r="AL1813" s="82">
        <f>IFERROR(__xludf.DUMMYFUNCTION("""COMPUTED_VALUE"""),1.0483404939265288)</f>
        <v>1.048340494</v>
      </c>
      <c r="AM1813" s="82">
        <f>IFERROR(__xludf.DUMMYFUNCTION("""COMPUTED_VALUE"""),1.041819139106168)</f>
        <v>1.041819139</v>
      </c>
      <c r="AN1813" s="82">
        <f>IFERROR(__xludf.DUMMYFUNCTION("""COMPUTED_VALUE"""),0.9495641865900233)</f>
        <v>0.9495641866</v>
      </c>
      <c r="AO1813" s="82">
        <f>IFERROR(__xludf.DUMMYFUNCTION("""COMPUTED_VALUE"""),0.8899980324384835)</f>
        <v>0.8899980324</v>
      </c>
      <c r="AP1813" s="82">
        <f>IFERROR(__xludf.DUMMYFUNCTION("""COMPUTED_VALUE"""),0.6181055088299025)</f>
        <v>0.6181055088</v>
      </c>
      <c r="AQ1813" s="82">
        <f>IFERROR(__xludf.DUMMYFUNCTION("""COMPUTED_VALUE"""),1.0272571098459677)</f>
        <v>1.02725711</v>
      </c>
      <c r="AR1813" s="82">
        <f>IFERROR(__xludf.DUMMYFUNCTION("""COMPUTED_VALUE"""),0.7722128729702754)</f>
        <v>0.772212873</v>
      </c>
      <c r="AS1813" s="82">
        <f>IFERROR(__xludf.DUMMYFUNCTION("""COMPUTED_VALUE"""),53.0)</f>
        <v>53</v>
      </c>
      <c r="AT1813" s="82">
        <f>IFERROR(__xludf.DUMMYFUNCTION("""COMPUTED_VALUE"""),0.39303367872576894)</f>
        <v>0.3930336787</v>
      </c>
      <c r="AU1813" s="82">
        <f>IFERROR(__xludf.DUMMYFUNCTION("""COMPUTED_VALUE"""),1.5315697704526399)</f>
        <v>1.53156977</v>
      </c>
      <c r="AV1813" s="82">
        <f>IFERROR(__xludf.DUMMYFUNCTION("""COMPUTED_VALUE"""),33.58562743099104)</f>
        <v>33.58562743</v>
      </c>
      <c r="AW1813" s="82">
        <f t="shared" si="1"/>
        <v>-3.910417874</v>
      </c>
      <c r="AX1813" s="83">
        <f t="array" ref="AX1813">IFERROR(DGET('SBV Import'!A:G,"SBV",{"RSC ID","Tier";B1813,A1813}))</f>
        <v>30.7574727</v>
      </c>
      <c r="AY1813" s="82">
        <f t="shared" si="2"/>
        <v>-4.530245049</v>
      </c>
      <c r="AZ1813" s="82">
        <v>0.619827175093258</v>
      </c>
      <c r="BA1813" s="84">
        <v>1700.0</v>
      </c>
      <c r="BB1813" s="84" t="b">
        <f>IFERROR(__xludf.DUMMYFUNCTION("iferror(if(A1813="""",,E1813&gt;=FILTER(Constants!$F$2:$F$10,Constants!$A$2:$A$10=A1813)))"),TRUE)</f>
        <v>1</v>
      </c>
    </row>
    <row r="1814">
      <c r="A1814" s="89" t="str">
        <f>IFERROR(__xludf.DUMMYFUNCTION("""COMPUTED_VALUE"""),"Rival")</f>
        <v>Rival</v>
      </c>
      <c r="B1814" s="87" t="str">
        <f>IFERROR(__xludf.DUMMYFUNCTION("""COMPUTED_VALUE"""),"RSC004670")</f>
        <v>RSC004670</v>
      </c>
      <c r="C1814" s="73" t="str">
        <f>IFERROR(__xludf.DUMMYFUNCTION("""COMPUTED_VALUE"""),"CarnageWolfBite")</f>
        <v>CarnageWolfBite</v>
      </c>
      <c r="D1814" s="73" t="str">
        <f>IFERROR(__xludf.DUMMYFUNCTION("""COMPUTED_VALUE"""),"50 Cent")</f>
        <v>50 Cent</v>
      </c>
      <c r="E1814" s="82">
        <f>IFERROR(__xludf.DUMMYFUNCTION("""COMPUTED_VALUE"""),26.0)</f>
        <v>26</v>
      </c>
      <c r="F1814" s="82">
        <f>IFERROR(__xludf.DUMMYFUNCTION("""COMPUTED_VALUE"""),11.0)</f>
        <v>11</v>
      </c>
      <c r="G1814" s="86">
        <f>IFERROR(__xludf.DUMMYFUNCTION("""COMPUTED_VALUE"""),15.0)</f>
        <v>15</v>
      </c>
      <c r="H1814" s="86">
        <f>IFERROR(__xludf.DUMMYFUNCTION("""COMPUTED_VALUE"""),0.4230769230769231)</f>
        <v>0.4230769231</v>
      </c>
      <c r="I1814" s="86">
        <f>IFERROR(__xludf.DUMMYFUNCTION("""COMPUTED_VALUE"""),0.3035714285714286)</f>
        <v>0.3035714286</v>
      </c>
      <c r="J1814" s="82">
        <f>IFERROR(__xludf.DUMMYFUNCTION("""COMPUTED_VALUE"""),303.84615384615387)</f>
        <v>303.8461538</v>
      </c>
      <c r="K1814" s="82">
        <f>IFERROR(__xludf.DUMMYFUNCTION("""COMPUTED_VALUE"""),0.6538461538461539)</f>
        <v>0.6538461538</v>
      </c>
      <c r="L1814" s="82">
        <f>IFERROR(__xludf.DUMMYFUNCTION("""COMPUTED_VALUE"""),0.5384615384615384)</f>
        <v>0.5384615385</v>
      </c>
      <c r="M1814" s="82">
        <f>IFERROR(__xludf.DUMMYFUNCTION("""COMPUTED_VALUE"""),1.1538461538461537)</f>
        <v>1.153846154</v>
      </c>
      <c r="N1814" s="82">
        <f>IFERROR(__xludf.DUMMYFUNCTION("""COMPUTED_VALUE"""),2.1538461538461537)</f>
        <v>2.153846154</v>
      </c>
      <c r="O1814" s="82">
        <f>IFERROR(__xludf.DUMMYFUNCTION("""COMPUTED_VALUE"""),375.17948717948724)</f>
        <v>375.1794872</v>
      </c>
      <c r="P1814" s="82">
        <f>IFERROR(__xludf.DUMMYFUNCTION("""COMPUTED_VALUE"""),0.9615384615384616)</f>
        <v>0.9615384615</v>
      </c>
      <c r="Q1814" s="82">
        <f>IFERROR(__xludf.DUMMYFUNCTION("""COMPUTED_VALUE"""),0.641025641025641)</f>
        <v>0.641025641</v>
      </c>
      <c r="R1814" s="82">
        <f>IFERROR(__xludf.DUMMYFUNCTION("""COMPUTED_VALUE"""),1.3846153846153848)</f>
        <v>1.384615385</v>
      </c>
      <c r="S1814" s="82">
        <f>IFERROR(__xludf.DUMMYFUNCTION("""COMPUTED_VALUE"""),2.730769230769231)</f>
        <v>2.730769231</v>
      </c>
      <c r="T1814" s="82">
        <f>IFERROR(__xludf.DUMMYFUNCTION("""COMPUTED_VALUE"""),353.37140568781274)</f>
        <v>353.3714057</v>
      </c>
      <c r="U1814" s="82">
        <f>IFERROR(__xludf.DUMMYFUNCTION("""COMPUTED_VALUE"""),0.8170239634825569)</f>
        <v>0.8170239635</v>
      </c>
      <c r="V1814" s="82">
        <f>IFERROR(__xludf.DUMMYFUNCTION("""COMPUTED_VALUE"""),0.5770586759030745)</f>
        <v>0.5770586759</v>
      </c>
      <c r="W1814" s="82">
        <f>IFERROR(__xludf.DUMMYFUNCTION("""COMPUTED_VALUE"""),1.382046733179905)</f>
        <v>1.382046733</v>
      </c>
      <c r="X1814" s="82">
        <f>IFERROR(__xludf.DUMMYFUNCTION("""COMPUTED_VALUE"""),2.711562080453483)</f>
        <v>2.71156208</v>
      </c>
      <c r="Y1814" s="82">
        <f>IFERROR(__xludf.DUMMYFUNCTION("""COMPUTED_VALUE"""),357.92528373515154)</f>
        <v>357.9252837</v>
      </c>
      <c r="Z1814" s="82">
        <f>IFERROR(__xludf.DUMMYFUNCTION("""COMPUTED_VALUE"""),0.8315285873291867)</f>
        <v>0.8315285873</v>
      </c>
      <c r="AA1814" s="82">
        <f>IFERROR(__xludf.DUMMYFUNCTION("""COMPUTED_VALUE"""),0.6095649267278029)</f>
        <v>0.6095649267</v>
      </c>
      <c r="AB1814" s="82">
        <f>IFERROR(__xludf.DUMMYFUNCTION("""COMPUTED_VALUE"""),1.3373847712222782)</f>
        <v>1.337384771</v>
      </c>
      <c r="AC1814" s="82">
        <f>IFERROR(__xludf.DUMMYFUNCTION("""COMPUTED_VALUE"""),2.725424737210734)</f>
        <v>2.725424737</v>
      </c>
      <c r="AD1814" s="82">
        <f>IFERROR(__xludf.DUMMYFUNCTION("""COMPUTED_VALUE"""),0.8489094446621609)</f>
        <v>0.8489094447</v>
      </c>
      <c r="AE1814" s="82">
        <f>IFERROR(__xludf.DUMMYFUNCTION("""COMPUTED_VALUE"""),0.786318310409824)</f>
        <v>0.7863183104</v>
      </c>
      <c r="AF1814" s="82">
        <f>IFERROR(__xludf.DUMMYFUNCTION("""COMPUTED_VALUE"""),0.8833538723299689)</f>
        <v>0.8833538723</v>
      </c>
      <c r="AG1814" s="82">
        <f>IFERROR(__xludf.DUMMYFUNCTION("""COMPUTED_VALUE"""),0.8627630422257742)</f>
        <v>0.8627630422</v>
      </c>
      <c r="AH1814" s="82">
        <f>IFERROR(__xludf.DUMMYFUNCTION("""COMPUTED_VALUE"""),0.79027907996845)</f>
        <v>0.79027908</v>
      </c>
      <c r="AI1814" s="82">
        <f>IFERROR(__xludf.DUMMYFUNCTION("""COMPUTED_VALUE"""),1.0617143355140086)</f>
        <v>1.061714336</v>
      </c>
      <c r="AJ1814" s="82">
        <f>IFERROR(__xludf.DUMMYFUNCTION("""COMPUTED_VALUE"""),1.1768791424916265)</f>
        <v>1.176879142</v>
      </c>
      <c r="AK1814" s="82">
        <f>IFERROR(__xludf.DUMMYFUNCTION("""COMPUTED_VALUE"""),1.1108500188866595)</f>
        <v>1.110850019</v>
      </c>
      <c r="AL1814" s="82">
        <f>IFERROR(__xludf.DUMMYFUNCTION("""COMPUTED_VALUE"""),1.0018585850780675)</f>
        <v>1.001858585</v>
      </c>
      <c r="AM1814" s="82">
        <f>IFERROR(__xludf.DUMMYFUNCTION("""COMPUTED_VALUE"""),1.0070834263593684)</f>
        <v>1.007083426</v>
      </c>
      <c r="AN1814" s="82">
        <f>IFERROR(__xludf.DUMMYFUNCTION("""COMPUTED_VALUE"""),0.8964575853323594)</f>
        <v>0.8964575853</v>
      </c>
      <c r="AO1814" s="82">
        <f>IFERROR(__xludf.DUMMYFUNCTION("""COMPUTED_VALUE"""),0.8899980324384835)</f>
        <v>0.8899980324</v>
      </c>
      <c r="AP1814" s="82">
        <f>IFERROR(__xludf.DUMMYFUNCTION("""COMPUTED_VALUE"""),0.9614974581798482)</f>
        <v>0.9614974582</v>
      </c>
      <c r="AQ1814" s="82">
        <f>IFERROR(__xludf.DUMMYFUNCTION("""COMPUTED_VALUE"""),0.8805060941536864)</f>
        <v>0.8805060942</v>
      </c>
      <c r="AR1814" s="82">
        <f>IFERROR(__xludf.DUMMYFUNCTION("""COMPUTED_VALUE"""),0.8648784177267085)</f>
        <v>0.8648784177</v>
      </c>
      <c r="AS1814" s="82">
        <f>IFERROR(__xludf.DUMMYFUNCTION("""COMPUTED_VALUE"""),73.0)</f>
        <v>73</v>
      </c>
      <c r="AT1814" s="82">
        <f>IFERROR(__xludf.DUMMYFUNCTION("""COMPUTED_VALUE"""),0.4888708819719208)</f>
        <v>0.488870882</v>
      </c>
      <c r="AU1814" s="82">
        <f>IFERROR(__xludf.DUMMYFUNCTION("""COMPUTED_VALUE"""),1.5252677553268696)</f>
        <v>1.525267755</v>
      </c>
      <c r="AV1814" s="82">
        <f>IFERROR(__xludf.DUMMYFUNCTION("""COMPUTED_VALUE"""),33.363014611561)</f>
        <v>33.36301461</v>
      </c>
      <c r="AW1814" s="82">
        <f t="shared" si="1"/>
        <v>-3.954570642</v>
      </c>
      <c r="AX1814" s="83">
        <f t="array" ref="AX1814">IFERROR(DGET('SBV Import'!A:G,"SBV",{"RSC ID","Tier";B1814,A1814}))</f>
        <v>25.18960548</v>
      </c>
      <c r="AY1814" s="82">
        <f t="shared" si="2"/>
        <v>-6.230631614</v>
      </c>
      <c r="AZ1814" s="82">
        <v>2.27606097211191</v>
      </c>
      <c r="BA1814" s="84">
        <v>1700.0</v>
      </c>
      <c r="BB1814" s="84" t="b">
        <f>IFERROR(__xludf.DUMMYFUNCTION("iferror(if(A1814="""",,E1814&gt;=FILTER(Constants!$F$2:$F$10,Constants!$A$2:$A$10=A1814)))"),TRUE)</f>
        <v>1</v>
      </c>
    </row>
    <row r="1815">
      <c r="A1815" s="89" t="str">
        <f>IFERROR(__xludf.DUMMYFUNCTION("""COMPUTED_VALUE"""),"Rival")</f>
        <v>Rival</v>
      </c>
      <c r="B1815" s="87" t="str">
        <f>IFERROR(__xludf.DUMMYFUNCTION("""COMPUTED_VALUE"""),"RSC003094")</f>
        <v>RSC003094</v>
      </c>
      <c r="C1815" s="73" t="str">
        <f>IFERROR(__xludf.DUMMYFUNCTION("""COMPUTED_VALUE"""),"Galvarino")</f>
        <v>Galvarino</v>
      </c>
      <c r="D1815" s="73" t="str">
        <f>IFERROR(__xludf.DUMMYFUNCTION("""COMPUTED_VALUE"""),"Polar Bears")</f>
        <v>Polar Bears</v>
      </c>
      <c r="E1815" s="82">
        <f>IFERROR(__xludf.DUMMYFUNCTION("""COMPUTED_VALUE"""),22.0)</f>
        <v>22</v>
      </c>
      <c r="F1815" s="82">
        <f>IFERROR(__xludf.DUMMYFUNCTION("""COMPUTED_VALUE"""),9.0)</f>
        <v>9</v>
      </c>
      <c r="G1815" s="86">
        <f>IFERROR(__xludf.DUMMYFUNCTION("""COMPUTED_VALUE"""),13.0)</f>
        <v>13</v>
      </c>
      <c r="H1815" s="86">
        <f>IFERROR(__xludf.DUMMYFUNCTION("""COMPUTED_VALUE"""),0.4090909090909091)</f>
        <v>0.4090909091</v>
      </c>
      <c r="I1815" s="86">
        <f>IFERROR(__xludf.DUMMYFUNCTION("""COMPUTED_VALUE"""),0.30434782608695654)</f>
        <v>0.3043478261</v>
      </c>
      <c r="J1815" s="82">
        <f>IFERROR(__xludf.DUMMYFUNCTION("""COMPUTED_VALUE"""),271.40909090909093)</f>
        <v>271.4090909</v>
      </c>
      <c r="K1815" s="82">
        <f>IFERROR(__xludf.DUMMYFUNCTION("""COMPUTED_VALUE"""),0.6363636363636364)</f>
        <v>0.6363636364</v>
      </c>
      <c r="L1815" s="82">
        <f>IFERROR(__xludf.DUMMYFUNCTION("""COMPUTED_VALUE"""),0.36363636363636365)</f>
        <v>0.3636363636</v>
      </c>
      <c r="M1815" s="82">
        <f>IFERROR(__xludf.DUMMYFUNCTION("""COMPUTED_VALUE"""),0.9545454545454546)</f>
        <v>0.9545454545</v>
      </c>
      <c r="N1815" s="82">
        <f>IFERROR(__xludf.DUMMYFUNCTION("""COMPUTED_VALUE"""),2.090909090909091)</f>
        <v>2.090909091</v>
      </c>
      <c r="O1815" s="82">
        <f>IFERROR(__xludf.DUMMYFUNCTION("""COMPUTED_VALUE"""),355.8333333333333)</f>
        <v>355.8333333</v>
      </c>
      <c r="P1815" s="82">
        <f>IFERROR(__xludf.DUMMYFUNCTION("""COMPUTED_VALUE"""),0.8787878787878789)</f>
        <v>0.8787878788</v>
      </c>
      <c r="Q1815" s="82">
        <f>IFERROR(__xludf.DUMMYFUNCTION("""COMPUTED_VALUE"""),0.6666666666666666)</f>
        <v>0.6666666667</v>
      </c>
      <c r="R1815" s="82">
        <f>IFERROR(__xludf.DUMMYFUNCTION("""COMPUTED_VALUE"""),1.212121212121212)</f>
        <v>1.212121212</v>
      </c>
      <c r="S1815" s="82">
        <f>IFERROR(__xludf.DUMMYFUNCTION("""COMPUTED_VALUE"""),2.333333333333333)</f>
        <v>2.333333333</v>
      </c>
      <c r="T1815" s="82">
        <f>IFERROR(__xludf.DUMMYFUNCTION("""COMPUTED_VALUE"""),362.30646473046403)</f>
        <v>362.3064647</v>
      </c>
      <c r="U1815" s="82">
        <f>IFERROR(__xludf.DUMMYFUNCTION("""COMPUTED_VALUE"""),0.8534728895538294)</f>
        <v>0.8534728896</v>
      </c>
      <c r="V1815" s="82">
        <f>IFERROR(__xludf.DUMMYFUNCTION("""COMPUTED_VALUE"""),0.6198346227627127)</f>
        <v>0.6198346228</v>
      </c>
      <c r="W1815" s="82">
        <f>IFERROR(__xludf.DUMMYFUNCTION("""COMPUTED_VALUE"""),1.3051576897218302)</f>
        <v>1.30515769</v>
      </c>
      <c r="X1815" s="82">
        <f>IFERROR(__xludf.DUMMYFUNCTION("""COMPUTED_VALUE"""),2.5847089588873766)</f>
        <v>2.584708959</v>
      </c>
      <c r="Y1815" s="82">
        <f>IFERROR(__xludf.DUMMYFUNCTION("""COMPUTED_VALUE"""),325.1010267473448)</f>
        <v>325.1010267</v>
      </c>
      <c r="Z1815" s="82">
        <f>IFERROR(__xludf.DUMMYFUNCTION("""COMPUTED_VALUE"""),0.6612399911435877)</f>
        <v>0.6612399911</v>
      </c>
      <c r="AA1815" s="82">
        <f>IFERROR(__xludf.DUMMYFUNCTION("""COMPUTED_VALUE"""),0.4892993611209928)</f>
        <v>0.4892993611</v>
      </c>
      <c r="AB1815" s="82">
        <f>IFERROR(__xludf.DUMMYFUNCTION("""COMPUTED_VALUE"""),1.2506111304469771)</f>
        <v>1.25061113</v>
      </c>
      <c r="AC1815" s="82">
        <f>IFERROR(__xludf.DUMMYFUNCTION("""COMPUTED_VALUE"""),2.392936312931569)</f>
        <v>2.392936313</v>
      </c>
      <c r="AD1815" s="82">
        <f>IFERROR(__xludf.DUMMYFUNCTION("""COMPUTED_VALUE"""),0.8348453821402999)</f>
        <v>0.8348453821</v>
      </c>
      <c r="AE1815" s="82">
        <f>IFERROR(__xludf.DUMMYFUNCTION("""COMPUTED_VALUE"""),0.962379234297477)</f>
        <v>0.9623792343</v>
      </c>
      <c r="AF1815" s="82">
        <f>IFERROR(__xludf.DUMMYFUNCTION("""COMPUTED_VALUE"""),0.7431776792090364)</f>
        <v>0.7431776792</v>
      </c>
      <c r="AG1815" s="82">
        <f>IFERROR(__xludf.DUMMYFUNCTION("""COMPUTED_VALUE"""),0.7632632009314465)</f>
        <v>0.7632632009</v>
      </c>
      <c r="AH1815" s="82">
        <f>IFERROR(__xludf.DUMMYFUNCTION("""COMPUTED_VALUE"""),0.8737838443963991)</f>
        <v>0.8737838444</v>
      </c>
      <c r="AI1815" s="82">
        <f>IFERROR(__xludf.DUMMYFUNCTION("""COMPUTED_VALUE"""),0.982133547073342)</f>
        <v>0.9821335471</v>
      </c>
      <c r="AJ1815" s="82">
        <f>IFERROR(__xludf.DUMMYFUNCTION("""COMPUTED_VALUE"""),1.0296611521512808)</f>
        <v>1.029661152</v>
      </c>
      <c r="AK1815" s="82">
        <f>IFERROR(__xludf.DUMMYFUNCTION("""COMPUTED_VALUE"""),1.0755557082229694)</f>
        <v>1.075555708</v>
      </c>
      <c r="AL1815" s="82">
        <f>IFERROR(__xludf.DUMMYFUNCTION("""COMPUTED_VALUE"""),0.9287162935687509)</f>
        <v>0.9287162936</v>
      </c>
      <c r="AM1815" s="82">
        <f>IFERROR(__xludf.DUMMYFUNCTION("""COMPUTED_VALUE"""),0.9027450944951838)</f>
        <v>0.9027450945</v>
      </c>
      <c r="AN1815" s="82">
        <f>IFERROR(__xludf.DUMMYFUNCTION("""COMPUTED_VALUE"""),0.8007563538118957)</f>
        <v>0.8007563538</v>
      </c>
      <c r="AO1815" s="82">
        <f>IFERROR(__xludf.DUMMYFUNCTION("""COMPUTED_VALUE"""),0.86620129360323)</f>
        <v>0.8662012936</v>
      </c>
      <c r="AP1815" s="82">
        <f>IFERROR(__xludf.DUMMYFUNCTION("""COMPUTED_VALUE"""),0.6493229587708066)</f>
        <v>0.6493229588</v>
      </c>
      <c r="AQ1815" s="82">
        <f>IFERROR(__xludf.DUMMYFUNCTION("""COMPUTED_VALUE"""),0.7284186778907771)</f>
        <v>0.7284186779</v>
      </c>
      <c r="AR1815" s="82">
        <f>IFERROR(__xludf.DUMMYFUNCTION("""COMPUTED_VALUE"""),0.8396059964294994)</f>
        <v>0.8396059964</v>
      </c>
      <c r="AS1815" s="82">
        <f>IFERROR(__xludf.DUMMYFUNCTION("""COMPUTED_VALUE"""),48.0)</f>
        <v>48</v>
      </c>
      <c r="AT1815" s="82">
        <f>IFERROR(__xludf.DUMMYFUNCTION("""COMPUTED_VALUE"""),0.4262494391550251)</f>
        <v>0.4262494392</v>
      </c>
      <c r="AU1815" s="82">
        <f>IFERROR(__xludf.DUMMYFUNCTION("""COMPUTED_VALUE"""),1.5148484163993432)</f>
        <v>1.514848416</v>
      </c>
      <c r="AV1815" s="82">
        <f>IFERROR(__xludf.DUMMYFUNCTION("""COMPUTED_VALUE"""),32.99496116056736)</f>
        <v>32.99496116</v>
      </c>
      <c r="AW1815" s="82">
        <f t="shared" si="1"/>
        <v>-4.029196778</v>
      </c>
      <c r="AX1815" s="83">
        <f t="array" ref="AX1815">IFERROR(DGET('SBV Import'!A:G,"SBV",{"RSC ID","Tier";B1815,A1815}))</f>
        <v>31.82217779</v>
      </c>
      <c r="AY1815" s="82">
        <f t="shared" si="2"/>
        <v>-4.281217747</v>
      </c>
      <c r="AZ1815" s="82">
        <v>0.2520209685984076</v>
      </c>
      <c r="BA1815" s="84">
        <v>1700.0</v>
      </c>
      <c r="BB1815" s="84" t="b">
        <f>IFERROR(__xludf.DUMMYFUNCTION("iferror(if(A1815="""",,E1815&gt;=FILTER(Constants!$F$2:$F$10,Constants!$A$2:$A$10=A1815)))"),TRUE)</f>
        <v>1</v>
      </c>
    </row>
    <row r="1816">
      <c r="A1816" s="89" t="str">
        <f>IFERROR(__xludf.DUMMYFUNCTION("""COMPUTED_VALUE"""),"Rival")</f>
        <v>Rival</v>
      </c>
      <c r="B1816" s="87" t="str">
        <f>IFERROR(__xludf.DUMMYFUNCTION("""COMPUTED_VALUE"""),"RSC004845")</f>
        <v>RSC004845</v>
      </c>
      <c r="C1816" s="73" t="str">
        <f>IFERROR(__xludf.DUMMYFUNCTION("""COMPUTED_VALUE"""),"BinBoiz_")</f>
        <v>BinBoiz_</v>
      </c>
      <c r="D1816" s="73" t="str">
        <f>IFERROR(__xludf.DUMMYFUNCTION("""COMPUTED_VALUE"""),"Lacuna")</f>
        <v>Lacuna</v>
      </c>
      <c r="E1816" s="82">
        <f>IFERROR(__xludf.DUMMYFUNCTION("""COMPUTED_VALUE"""),33.0)</f>
        <v>33</v>
      </c>
      <c r="F1816" s="82">
        <f>IFERROR(__xludf.DUMMYFUNCTION("""COMPUTED_VALUE"""),14.0)</f>
        <v>14</v>
      </c>
      <c r="G1816" s="86">
        <f>IFERROR(__xludf.DUMMYFUNCTION("""COMPUTED_VALUE"""),19.0)</f>
        <v>19</v>
      </c>
      <c r="H1816" s="86">
        <f>IFERROR(__xludf.DUMMYFUNCTION("""COMPUTED_VALUE"""),0.42424242424242425)</f>
        <v>0.4242424242</v>
      </c>
      <c r="I1816" s="86">
        <f>IFERROR(__xludf.DUMMYFUNCTION("""COMPUTED_VALUE"""),0.31343283582089554)</f>
        <v>0.3134328358</v>
      </c>
      <c r="J1816" s="82">
        <f>IFERROR(__xludf.DUMMYFUNCTION("""COMPUTED_VALUE"""),261.72727272727275)</f>
        <v>261.7272727</v>
      </c>
      <c r="K1816" s="82">
        <f>IFERROR(__xludf.DUMMYFUNCTION("""COMPUTED_VALUE"""),0.6363636363636364)</f>
        <v>0.6363636364</v>
      </c>
      <c r="L1816" s="82">
        <f>IFERROR(__xludf.DUMMYFUNCTION("""COMPUTED_VALUE"""),0.42424242424242425)</f>
        <v>0.4242424242</v>
      </c>
      <c r="M1816" s="82">
        <f>IFERROR(__xludf.DUMMYFUNCTION("""COMPUTED_VALUE"""),0.7575757575757576)</f>
        <v>0.7575757576</v>
      </c>
      <c r="N1816" s="82">
        <f>IFERROR(__xludf.DUMMYFUNCTION("""COMPUTED_VALUE"""),2.0303030303030303)</f>
        <v>2.03030303</v>
      </c>
      <c r="O1816" s="82">
        <f>IFERROR(__xludf.DUMMYFUNCTION("""COMPUTED_VALUE"""),325.01010101010104)</f>
        <v>325.010101</v>
      </c>
      <c r="P1816" s="82">
        <f>IFERROR(__xludf.DUMMYFUNCTION("""COMPUTED_VALUE"""),0.6767676767676768)</f>
        <v>0.6767676768</v>
      </c>
      <c r="Q1816" s="82">
        <f>IFERROR(__xludf.DUMMYFUNCTION("""COMPUTED_VALUE"""),0.505050505050505)</f>
        <v>0.5050505051</v>
      </c>
      <c r="R1816" s="82">
        <f>IFERROR(__xludf.DUMMYFUNCTION("""COMPUTED_VALUE"""),1.2929292929292928)</f>
        <v>1.292929293</v>
      </c>
      <c r="S1816" s="82">
        <f>IFERROR(__xludf.DUMMYFUNCTION("""COMPUTED_VALUE"""),2.505050505050505)</f>
        <v>2.505050505</v>
      </c>
      <c r="T1816" s="82">
        <f>IFERROR(__xludf.DUMMYFUNCTION("""COMPUTED_VALUE"""),348.93858817303027)</f>
        <v>348.9385882</v>
      </c>
      <c r="U1816" s="82">
        <f>IFERROR(__xludf.DUMMYFUNCTION("""COMPUTED_VALUE"""),0.8066895452871697)</f>
        <v>0.8066895453</v>
      </c>
      <c r="V1816" s="82">
        <f>IFERROR(__xludf.DUMMYFUNCTION("""COMPUTED_VALUE"""),0.5714379181895078)</f>
        <v>0.5714379182</v>
      </c>
      <c r="W1816" s="82">
        <f>IFERROR(__xludf.DUMMYFUNCTION("""COMPUTED_VALUE"""),1.3145134986365905)</f>
        <v>1.314513499</v>
      </c>
      <c r="X1816" s="82">
        <f>IFERROR(__xludf.DUMMYFUNCTION("""COMPUTED_VALUE"""),2.5886432569170763)</f>
        <v>2.588643257</v>
      </c>
      <c r="Y1816" s="82">
        <f>IFERROR(__xludf.DUMMYFUNCTION("""COMPUTED_VALUE"""),350.36662916020566)</f>
        <v>350.3666292</v>
      </c>
      <c r="Z1816" s="82">
        <f>IFERROR(__xludf.DUMMYFUNCTION("""COMPUTED_VALUE"""),0.7940662254290256)</f>
        <v>0.7940662254</v>
      </c>
      <c r="AA1816" s="82">
        <f>IFERROR(__xludf.DUMMYFUNCTION("""COMPUTED_VALUE"""),0.5819746717840683)</f>
        <v>0.5819746718</v>
      </c>
      <c r="AB1816" s="82">
        <f>IFERROR(__xludf.DUMMYFUNCTION("""COMPUTED_VALUE"""),1.3146407470461405)</f>
        <v>1.314640747</v>
      </c>
      <c r="AC1816" s="82">
        <f>IFERROR(__xludf.DUMMYFUNCTION("""COMPUTED_VALUE"""),2.6234176598910355)</f>
        <v>2.62341766</v>
      </c>
      <c r="AD1816" s="82">
        <f>IFERROR(__xludf.DUMMYFUNCTION("""COMPUTED_VALUE"""),0.7470097062457326)</f>
        <v>0.7470097062</v>
      </c>
      <c r="AE1816" s="82">
        <f>IFERROR(__xludf.DUMMYFUNCTION("""COMPUTED_VALUE"""),0.8013986944474509)</f>
        <v>0.8013986944</v>
      </c>
      <c r="AF1816" s="82">
        <f>IFERROR(__xludf.DUMMYFUNCTION("""COMPUTED_VALUE"""),0.7289705975380182)</f>
        <v>0.7289705975</v>
      </c>
      <c r="AG1816" s="82">
        <f>IFERROR(__xludf.DUMMYFUNCTION("""COMPUTED_VALUE"""),0.5762606699038887)</f>
        <v>0.5762606699</v>
      </c>
      <c r="AH1816" s="82">
        <f>IFERROR(__xludf.DUMMYFUNCTION("""COMPUTED_VALUE"""),0.7739152866674534)</f>
        <v>0.7739152867</v>
      </c>
      <c r="AI1816" s="82">
        <f>IFERROR(__xludf.DUMMYFUNCTION("""COMPUTED_VALUE"""),0.9314249327131923)</f>
        <v>0.9314249327</v>
      </c>
      <c r="AJ1816" s="82">
        <f>IFERROR(__xludf.DUMMYFUNCTION("""COMPUTED_VALUE"""),0.8389444002608927)</f>
        <v>0.8389444003</v>
      </c>
      <c r="AK1816" s="82">
        <f>IFERROR(__xludf.DUMMYFUNCTION("""COMPUTED_VALUE"""),0.8838239272792069)</f>
        <v>0.8838239273</v>
      </c>
      <c r="AL1816" s="82">
        <f>IFERROR(__xludf.DUMMYFUNCTION("""COMPUTED_VALUE"""),0.9835800805927937)</f>
        <v>0.9835800806</v>
      </c>
      <c r="AM1816" s="82">
        <f>IFERROR(__xludf.DUMMYFUNCTION("""COMPUTED_VALUE"""),0.9677078903617932)</f>
        <v>0.9677078904</v>
      </c>
      <c r="AN1816" s="82">
        <f>IFERROR(__xludf.DUMMYFUNCTION("""COMPUTED_VALUE"""),0.7721914394990613)</f>
        <v>0.7721914395</v>
      </c>
      <c r="AO1816" s="82">
        <f>IFERROR(__xludf.DUMMYFUNCTION("""COMPUTED_VALUE"""),0.86620129360323)</f>
        <v>0.8662012936</v>
      </c>
      <c r="AP1816" s="82">
        <f>IFERROR(__xludf.DUMMYFUNCTION("""COMPUTED_VALUE"""),0.7575434518992744)</f>
        <v>0.7575434519</v>
      </c>
      <c r="AQ1816" s="82">
        <f>IFERROR(__xludf.DUMMYFUNCTION("""COMPUTED_VALUE"""),0.578110061818077)</f>
        <v>0.5781100618</v>
      </c>
      <c r="AR1816" s="82">
        <f>IFERROR(__xludf.DUMMYFUNCTION("""COMPUTED_VALUE"""),0.8152695907358908)</f>
        <v>0.8152695907</v>
      </c>
      <c r="AS1816" s="82">
        <f>IFERROR(__xludf.DUMMYFUNCTION("""COMPUTED_VALUE"""),69.0)</f>
        <v>69</v>
      </c>
      <c r="AT1816" s="82">
        <f>IFERROR(__xludf.DUMMYFUNCTION("""COMPUTED_VALUE"""),0.5110391081365285)</f>
        <v>0.5110391081</v>
      </c>
      <c r="AU1816" s="82">
        <f>IFERROR(__xludf.DUMMYFUNCTION("""COMPUTED_VALUE"""),1.5006257417163984)</f>
        <v>1.500625742</v>
      </c>
      <c r="AV1816" s="82">
        <f>IFERROR(__xludf.DUMMYFUNCTION("""COMPUTED_VALUE"""),32.49255841353815)</f>
        <v>32.49255841</v>
      </c>
      <c r="AW1816" s="82">
        <f t="shared" si="1"/>
        <v>-4.134440164</v>
      </c>
      <c r="AX1816" s="83">
        <f t="array" ref="AX1816">IFERROR(DGET('SBV Import'!A:G,"SBV",{"RSC ID","Tier";B1816,A1816}))</f>
        <v>20.94618005</v>
      </c>
      <c r="AY1816" s="82">
        <f t="shared" si="2"/>
        <v>-8.15749166</v>
      </c>
      <c r="AZ1816" s="82">
        <v>4.023051496067382</v>
      </c>
      <c r="BA1816" s="84">
        <v>1700.0</v>
      </c>
      <c r="BB1816" s="84" t="b">
        <f>IFERROR(__xludf.DUMMYFUNCTION("iferror(if(A1816="""",,E1816&gt;=FILTER(Constants!$F$2:$F$10,Constants!$A$2:$A$10=A1816)))"),TRUE)</f>
        <v>1</v>
      </c>
    </row>
    <row r="1817">
      <c r="A1817" s="89" t="str">
        <f>IFERROR(__xludf.DUMMYFUNCTION("""COMPUTED_VALUE"""),"Rival")</f>
        <v>Rival</v>
      </c>
      <c r="B1817" s="87" t="str">
        <f>IFERROR(__xludf.DUMMYFUNCTION("""COMPUTED_VALUE"""),"RSC007847")</f>
        <v>RSC007847</v>
      </c>
      <c r="C1817" s="73" t="str">
        <f>IFERROR(__xludf.DUMMYFUNCTION("""COMPUTED_VALUE"""),"GoodGuyGlaz")</f>
        <v>GoodGuyGlaz</v>
      </c>
      <c r="D1817" s="73"/>
      <c r="E1817" s="82">
        <f>IFERROR(__xludf.DUMMYFUNCTION("""COMPUTED_VALUE"""),14.0)</f>
        <v>14</v>
      </c>
      <c r="F1817" s="82">
        <f>IFERROR(__xludf.DUMMYFUNCTION("""COMPUTED_VALUE"""),5.0)</f>
        <v>5</v>
      </c>
      <c r="G1817" s="86">
        <f>IFERROR(__xludf.DUMMYFUNCTION("""COMPUTED_VALUE"""),9.0)</f>
        <v>9</v>
      </c>
      <c r="H1817" s="86">
        <f>IFERROR(__xludf.DUMMYFUNCTION("""COMPUTED_VALUE"""),0.35714285714285715)</f>
        <v>0.3571428571</v>
      </c>
      <c r="I1817" s="86">
        <f>IFERROR(__xludf.DUMMYFUNCTION("""COMPUTED_VALUE"""),0.26666666666666666)</f>
        <v>0.2666666667</v>
      </c>
      <c r="J1817" s="82">
        <f>IFERROR(__xludf.DUMMYFUNCTION("""COMPUTED_VALUE"""),287.5)</f>
        <v>287.5</v>
      </c>
      <c r="K1817" s="82">
        <f>IFERROR(__xludf.DUMMYFUNCTION("""COMPUTED_VALUE"""),0.5714285714285714)</f>
        <v>0.5714285714</v>
      </c>
      <c r="L1817" s="82">
        <f>IFERROR(__xludf.DUMMYFUNCTION("""COMPUTED_VALUE"""),0.2857142857142857)</f>
        <v>0.2857142857</v>
      </c>
      <c r="M1817" s="82">
        <f>IFERROR(__xludf.DUMMYFUNCTION("""COMPUTED_VALUE"""),1.2142857142857142)</f>
        <v>1.214285714</v>
      </c>
      <c r="N1817" s="82">
        <f>IFERROR(__xludf.DUMMYFUNCTION("""COMPUTED_VALUE"""),2.142857142857143)</f>
        <v>2.142857143</v>
      </c>
      <c r="O1817" s="82">
        <f>IFERROR(__xludf.DUMMYFUNCTION("""COMPUTED_VALUE"""),358.6904761904762)</f>
        <v>358.6904762</v>
      </c>
      <c r="P1817" s="82">
        <f>IFERROR(__xludf.DUMMYFUNCTION("""COMPUTED_VALUE"""),0.7619047619047619)</f>
        <v>0.7619047619</v>
      </c>
      <c r="Q1817" s="82">
        <f>IFERROR(__xludf.DUMMYFUNCTION("""COMPUTED_VALUE"""),0.6190476190476192)</f>
        <v>0.619047619</v>
      </c>
      <c r="R1817" s="82">
        <f>IFERROR(__xludf.DUMMYFUNCTION("""COMPUTED_VALUE"""),1.380952380952381)</f>
        <v>1.380952381</v>
      </c>
      <c r="S1817" s="82">
        <f>IFERROR(__xludf.DUMMYFUNCTION("""COMPUTED_VALUE"""),2.9047619047619047)</f>
        <v>2.904761905</v>
      </c>
      <c r="T1817" s="82">
        <f>IFERROR(__xludf.DUMMYFUNCTION("""COMPUTED_VALUE"""),347.56884552511934)</f>
        <v>347.5688455</v>
      </c>
      <c r="U1817" s="82">
        <f>IFERROR(__xludf.DUMMYFUNCTION("""COMPUTED_VALUE"""),0.8527707666719303)</f>
        <v>0.8527707667</v>
      </c>
      <c r="V1817" s="82">
        <f>IFERROR(__xludf.DUMMYFUNCTION("""COMPUTED_VALUE"""),0.6285946977769397)</f>
        <v>0.6285946978</v>
      </c>
      <c r="W1817" s="82">
        <f>IFERROR(__xludf.DUMMYFUNCTION("""COMPUTED_VALUE"""),1.098774380441832)</f>
        <v>1.09877438</v>
      </c>
      <c r="X1817" s="82">
        <f>IFERROR(__xludf.DUMMYFUNCTION("""COMPUTED_VALUE"""),2.696991486569085)</f>
        <v>2.696991487</v>
      </c>
      <c r="Y1817" s="82">
        <f>IFERROR(__xludf.DUMMYFUNCTION("""COMPUTED_VALUE"""),318.35706448501065)</f>
        <v>318.3570645</v>
      </c>
      <c r="Z1817" s="82">
        <f>IFERROR(__xludf.DUMMYFUNCTION("""COMPUTED_VALUE"""),0.6191852720228149)</f>
        <v>0.619185272</v>
      </c>
      <c r="AA1817" s="82">
        <f>IFERROR(__xludf.DUMMYFUNCTION("""COMPUTED_VALUE"""),0.4369070158927769)</f>
        <v>0.4369070159</v>
      </c>
      <c r="AB1817" s="82">
        <f>IFERROR(__xludf.DUMMYFUNCTION("""COMPUTED_VALUE"""),1.347774200676439)</f>
        <v>1.347774201</v>
      </c>
      <c r="AC1817" s="82">
        <f>IFERROR(__xludf.DUMMYFUNCTION("""COMPUTED_VALUE"""),2.1814383160671675)</f>
        <v>2.181438316</v>
      </c>
      <c r="AD1817" s="82">
        <f>IFERROR(__xludf.DUMMYFUNCTION("""COMPUTED_VALUE"""),0.9030740387843238)</f>
        <v>0.9030740388</v>
      </c>
      <c r="AE1817" s="82">
        <f>IFERROR(__xludf.DUMMYFUNCTION("""COMPUTED_VALUE"""),0.9228717110175646)</f>
        <v>0.922871711</v>
      </c>
      <c r="AF1817" s="82">
        <f>IFERROR(__xludf.DUMMYFUNCTION("""COMPUTED_VALUE"""),0.6539475799683747)</f>
        <v>0.65394758</v>
      </c>
      <c r="AG1817" s="82">
        <f>IFERROR(__xludf.DUMMYFUNCTION("""COMPUTED_VALUE"""),0.9009563424468818)</f>
        <v>0.9009563424</v>
      </c>
      <c r="AH1817" s="82">
        <f>IFERROR(__xludf.DUMMYFUNCTION("""COMPUTED_VALUE"""),0.9823138830349413)</f>
        <v>0.982313883</v>
      </c>
      <c r="AI1817" s="82">
        <f>IFERROR(__xludf.DUMMYFUNCTION("""COMPUTED_VALUE"""),1.0319983531566355)</f>
        <v>1.031998353</v>
      </c>
      <c r="AJ1817" s="82">
        <f>IFERROR(__xludf.DUMMYFUNCTION("""COMPUTED_VALUE"""),0.893446154208842)</f>
        <v>0.8934461542</v>
      </c>
      <c r="AK1817" s="82">
        <f>IFERROR(__xludf.DUMMYFUNCTION("""COMPUTED_VALUE"""),0.9848120279043329)</f>
        <v>0.9848120279</v>
      </c>
      <c r="AL1817" s="82">
        <f>IFERROR(__xludf.DUMMYFUNCTION("""COMPUTED_VALUE"""),1.2568115943849012)</f>
        <v>1.256811594</v>
      </c>
      <c r="AM1817" s="82">
        <f>IFERROR(__xludf.DUMMYFUNCTION("""COMPUTED_VALUE"""),1.0770378472559177)</f>
        <v>1.077037847</v>
      </c>
      <c r="AN1817" s="82">
        <f>IFERROR(__xludf.DUMMYFUNCTION("""COMPUTED_VALUE"""),0.8482304367543527)</f>
        <v>0.8482304368</v>
      </c>
      <c r="AO1817" s="82">
        <f>IFERROR(__xludf.DUMMYFUNCTION("""COMPUTED_VALUE"""),0.7778134065008595)</f>
        <v>0.7778134065</v>
      </c>
      <c r="AP1817" s="82">
        <f>IFERROR(__xludf.DUMMYFUNCTION("""COMPUTED_VALUE"""),0.5101823247484909)</f>
        <v>0.5101823247</v>
      </c>
      <c r="AQ1817" s="82">
        <f>IFERROR(__xludf.DUMMYFUNCTION("""COMPUTED_VALUE"""),0.9266278419426891)</f>
        <v>0.9266278419</v>
      </c>
      <c r="AR1817" s="82">
        <f>IFERROR(__xludf.DUMMYFUNCTION("""COMPUTED_VALUE"""),0.8604657727383069)</f>
        <v>0.8604657727</v>
      </c>
      <c r="AS1817" s="82">
        <f>IFERROR(__xludf.DUMMYFUNCTION("""COMPUTED_VALUE"""),21.0)</f>
        <v>21</v>
      </c>
      <c r="AT1817" s="82">
        <f>IFERROR(__xludf.DUMMYFUNCTION("""COMPUTED_VALUE"""),0.35041699643189256)</f>
        <v>0.3504169964</v>
      </c>
      <c r="AU1817" s="82">
        <f>IFERROR(__xludf.DUMMYFUNCTION("""COMPUTED_VALUE"""),1.48177313569701)</f>
        <v>1.481773136</v>
      </c>
      <c r="AV1817" s="82">
        <f>IFERROR(__xludf.DUMMYFUNCTION("""COMPUTED_VALUE"""),31.826607650834)</f>
        <v>31.82660765</v>
      </c>
      <c r="AW1817" s="82">
        <f t="shared" si="1"/>
        <v>-4.280223218</v>
      </c>
      <c r="AX1817" s="83">
        <f t="array" ref="AX1817">IFERROR(DGET('SBV Import'!A:G,"SBV",{"RSC ID","Tier";B1817,A1817}))</f>
        <v>20.28678574</v>
      </c>
      <c r="AY1817" s="82">
        <f t="shared" si="2"/>
        <v>-8.524232432</v>
      </c>
      <c r="AZ1817" s="82">
        <v>4.244009214302061</v>
      </c>
      <c r="BA1817" s="84">
        <v>1700.0</v>
      </c>
      <c r="BB1817" s="84" t="b">
        <f>IFERROR(__xludf.DUMMYFUNCTION("iferror(if(A1817="""",,E1817&gt;=FILTER(Constants!$F$2:$F$10,Constants!$A$2:$A$10=A1817)))"),TRUE)</f>
        <v>1</v>
      </c>
    </row>
    <row r="1818">
      <c r="A1818" s="89" t="str">
        <f>IFERROR(__xludf.DUMMYFUNCTION("""COMPUTED_VALUE"""),"Rival")</f>
        <v>Rival</v>
      </c>
      <c r="B1818" s="87" t="str">
        <f>IFERROR(__xludf.DUMMYFUNCTION("""COMPUTED_VALUE"""),"RSC006910")</f>
        <v>RSC006910</v>
      </c>
      <c r="C1818" s="73" t="str">
        <f>IFERROR(__xludf.DUMMYFUNCTION("""COMPUTED_VALUE"""),"Swanny2.0")</f>
        <v>Swanny2.0</v>
      </c>
      <c r="D1818" s="73" t="str">
        <f>IFERROR(__xludf.DUMMYFUNCTION("""COMPUTED_VALUE"""),"Hue Heroes")</f>
        <v>Hue Heroes</v>
      </c>
      <c r="E1818" s="82">
        <f>IFERROR(__xludf.DUMMYFUNCTION("""COMPUTED_VALUE"""),11.0)</f>
        <v>11</v>
      </c>
      <c r="F1818" s="82">
        <f>IFERROR(__xludf.DUMMYFUNCTION("""COMPUTED_VALUE"""),0.0)</f>
        <v>0</v>
      </c>
      <c r="G1818" s="86">
        <f>IFERROR(__xludf.DUMMYFUNCTION("""COMPUTED_VALUE"""),11.0)</f>
        <v>11</v>
      </c>
      <c r="H1818" s="86">
        <f>IFERROR(__xludf.DUMMYFUNCTION("""COMPUTED_VALUE"""),0.0)</f>
        <v>0</v>
      </c>
      <c r="I1818" s="86">
        <f>IFERROR(__xludf.DUMMYFUNCTION("""COMPUTED_VALUE"""),0.3529411764705882)</f>
        <v>0.3529411765</v>
      </c>
      <c r="J1818" s="82">
        <f>IFERROR(__xludf.DUMMYFUNCTION("""COMPUTED_VALUE"""),302.90909090909093)</f>
        <v>302.9090909</v>
      </c>
      <c r="K1818" s="82">
        <f>IFERROR(__xludf.DUMMYFUNCTION("""COMPUTED_VALUE"""),0.5454545454545454)</f>
        <v>0.5454545455</v>
      </c>
      <c r="L1818" s="82">
        <f>IFERROR(__xludf.DUMMYFUNCTION("""COMPUTED_VALUE"""),0.5454545454545454)</f>
        <v>0.5454545455</v>
      </c>
      <c r="M1818" s="82">
        <f>IFERROR(__xludf.DUMMYFUNCTION("""COMPUTED_VALUE"""),1.3636363636363635)</f>
        <v>1.363636364</v>
      </c>
      <c r="N1818" s="82">
        <f>IFERROR(__xludf.DUMMYFUNCTION("""COMPUTED_VALUE"""),1.5454545454545454)</f>
        <v>1.545454545</v>
      </c>
      <c r="O1818" s="82">
        <f>IFERROR(__xludf.DUMMYFUNCTION("""COMPUTED_VALUE"""),403.45454545454544)</f>
        <v>403.4545455</v>
      </c>
      <c r="P1818" s="82">
        <f>IFERROR(__xludf.DUMMYFUNCTION("""COMPUTED_VALUE"""),1.3333333333333335)</f>
        <v>1.333333333</v>
      </c>
      <c r="Q1818" s="82">
        <f>IFERROR(__xludf.DUMMYFUNCTION("""COMPUTED_VALUE"""),1.0000000000000002)</f>
        <v>1</v>
      </c>
      <c r="R1818" s="82">
        <f>IFERROR(__xludf.DUMMYFUNCTION("""COMPUTED_VALUE"""),0.8181818181818182)</f>
        <v>0.8181818182</v>
      </c>
      <c r="S1818" s="82">
        <f>IFERROR(__xludf.DUMMYFUNCTION("""COMPUTED_VALUE"""),3.0606060606060606)</f>
        <v>3.060606061</v>
      </c>
      <c r="T1818" s="82">
        <f>IFERROR(__xludf.DUMMYFUNCTION("""COMPUTED_VALUE"""),389.6895244461421)</f>
        <v>389.6895244</v>
      </c>
      <c r="U1818" s="82">
        <f>IFERROR(__xludf.DUMMYFUNCTION("""COMPUTED_VALUE"""),1.049892835922248)</f>
        <v>1.049892836</v>
      </c>
      <c r="V1818" s="82">
        <f>IFERROR(__xludf.DUMMYFUNCTION("""COMPUTED_VALUE"""),0.8167239623121976)</f>
        <v>0.8167239623</v>
      </c>
      <c r="W1818" s="82">
        <f>IFERROR(__xludf.DUMMYFUNCTION("""COMPUTED_VALUE"""),1.1635440539852306)</f>
        <v>1.163544054</v>
      </c>
      <c r="X1818" s="82">
        <f>IFERROR(__xludf.DUMMYFUNCTION("""COMPUTED_VALUE"""),3.0216280451574566)</f>
        <v>3.021628045</v>
      </c>
      <c r="Y1818" s="82">
        <f>IFERROR(__xludf.DUMMYFUNCTION("""COMPUTED_VALUE"""),317.3595422007187)</f>
        <v>317.3595422</v>
      </c>
      <c r="Z1818" s="82">
        <f>IFERROR(__xludf.DUMMYFUNCTION("""COMPUTED_VALUE"""),0.5836682652859122)</f>
        <v>0.5836682653</v>
      </c>
      <c r="AA1818" s="82">
        <f>IFERROR(__xludf.DUMMYFUNCTION("""COMPUTED_VALUE"""),0.408283464901112)</f>
        <v>0.4082834649</v>
      </c>
      <c r="AB1818" s="82">
        <f>IFERROR(__xludf.DUMMYFUNCTION("""COMPUTED_VALUE"""),1.4250495147553972)</f>
        <v>1.425049515</v>
      </c>
      <c r="AC1818" s="82">
        <f>IFERROR(__xludf.DUMMYFUNCTION("""COMPUTED_VALUE"""),2.1705220977279804)</f>
        <v>2.170522098</v>
      </c>
      <c r="AD1818" s="82">
        <f>IFERROR(__xludf.DUMMYFUNCTION("""COMPUTED_VALUE"""),0.9544666242224147)</f>
        <v>0.9544666242</v>
      </c>
      <c r="AE1818" s="82">
        <f>IFERROR(__xludf.DUMMYFUNCTION("""COMPUTED_VALUE"""),0.9345283577947353)</f>
        <v>0.9345283578</v>
      </c>
      <c r="AF1818" s="82">
        <f>IFERROR(__xludf.DUMMYFUNCTION("""COMPUTED_VALUE"""),1.335970207822785)</f>
        <v>1.335970208</v>
      </c>
      <c r="AG1818" s="82">
        <f>IFERROR(__xludf.DUMMYFUNCTION("""COMPUTED_VALUE"""),0.9569045492923978)</f>
        <v>0.9569045493</v>
      </c>
      <c r="AH1818" s="82">
        <f>IFERROR(__xludf.DUMMYFUNCTION("""COMPUTED_VALUE"""),0.7120197242277645)</f>
        <v>0.7120197242</v>
      </c>
      <c r="AI1818" s="82">
        <f>IFERROR(__xludf.DUMMYFUNCTION("""COMPUTED_VALUE"""),1.0353230460273914)</f>
        <v>1.035323046</v>
      </c>
      <c r="AJ1818" s="82">
        <f>IFERROR(__xludf.DUMMYFUNCTION("""COMPUTED_VALUE"""),1.269970884373266)</f>
        <v>1.269970884</v>
      </c>
      <c r="AK1818" s="82">
        <f>IFERROR(__xludf.DUMMYFUNCTION("""COMPUTED_VALUE"""),1.224403894271617)</f>
        <v>1.224403894</v>
      </c>
      <c r="AL1818" s="82">
        <f>IFERROR(__xludf.DUMMYFUNCTION("""COMPUTED_VALUE"""),0.7031807823515411)</f>
        <v>0.7031807824</v>
      </c>
      <c r="AM1818" s="82">
        <f>IFERROR(__xludf.DUMMYFUNCTION("""COMPUTED_VALUE"""),1.0128996735753333)</f>
        <v>1.012899674</v>
      </c>
      <c r="AN1818" s="82">
        <f>IFERROR(__xludf.DUMMYFUNCTION("""COMPUTED_VALUE"""),0.8936929060128074)</f>
        <v>0.893692906</v>
      </c>
      <c r="AO1818" s="82">
        <f>IFERROR(__xludf.DUMMYFUNCTION("""COMPUTED_VALUE"""),0.7424582516599113)</f>
        <v>0.7424582517</v>
      </c>
      <c r="AP1818" s="82">
        <f>IFERROR(__xludf.DUMMYFUNCTION("""COMPUTED_VALUE"""),0.9739844381562098)</f>
        <v>0.9739844382</v>
      </c>
      <c r="AQ1818" s="82">
        <f>IFERROR(__xludf.DUMMYFUNCTION("""COMPUTED_VALUE"""),1.0405981112725387)</f>
        <v>1.040598111</v>
      </c>
      <c r="AR1818" s="82">
        <f>IFERROR(__xludf.DUMMYFUNCTION("""COMPUTED_VALUE"""),0.6205783451870214)</f>
        <v>0.6205783452</v>
      </c>
      <c r="AS1818" s="82">
        <f>IFERROR(__xludf.DUMMYFUNCTION("""COMPUTED_VALUE"""),20.0)</f>
        <v>20</v>
      </c>
      <c r="AT1818" s="82">
        <f>IFERROR(__xludf.DUMMYFUNCTION("""COMPUTED_VALUE"""),0.21299101293632142)</f>
        <v>0.2129910129</v>
      </c>
      <c r="AU1818" s="82">
        <f>IFERROR(__xludf.DUMMYFUNCTION("""COMPUTED_VALUE"""),1.4711536034359431)</f>
        <v>1.471153603</v>
      </c>
      <c r="AV1818" s="82">
        <f>IFERROR(__xludf.DUMMYFUNCTION("""COMPUTED_VALUE"""),31.451482556640347)</f>
        <v>31.45148256</v>
      </c>
      <c r="AW1818" s="82">
        <f t="shared" si="1"/>
        <v>-4.365637256</v>
      </c>
      <c r="AX1818" s="83">
        <f t="array" ref="AX1818">IFERROR(DGET('SBV Import'!A:G,"SBV",{"RSC ID","Tier";B1818,A1818}))</f>
        <v>34.7494427</v>
      </c>
      <c r="AY1818" s="82">
        <f t="shared" si="2"/>
        <v>-3.691078569</v>
      </c>
      <c r="AZ1818" s="82">
        <v>0.6745586869305367</v>
      </c>
      <c r="BA1818" s="84">
        <v>1700.0</v>
      </c>
      <c r="BB1818" s="84" t="b">
        <f>IFERROR(__xludf.DUMMYFUNCTION("iferror(if(A1818="""",,E1818&gt;=FILTER(Constants!$F$2:$F$10,Constants!$A$2:$A$10=A1818)))"),TRUE)</f>
        <v>1</v>
      </c>
    </row>
    <row r="1819">
      <c r="A1819" s="89" t="str">
        <f>IFERROR(__xludf.DUMMYFUNCTION("""COMPUTED_VALUE"""),"Rival")</f>
        <v>Rival</v>
      </c>
      <c r="B1819" s="87" t="str">
        <f>IFERROR(__xludf.DUMMYFUNCTION("""COMPUTED_VALUE"""),"RSC003186")</f>
        <v>RSC003186</v>
      </c>
      <c r="C1819" s="73" t="str">
        <f>IFERROR(__xludf.DUMMYFUNCTION("""COMPUTED_VALUE"""),"xBlaniac")</f>
        <v>xBlaniac</v>
      </c>
      <c r="D1819" s="73" t="str">
        <f>IFERROR(__xludf.DUMMYFUNCTION("""COMPUTED_VALUE"""),"Dracos")</f>
        <v>Dracos</v>
      </c>
      <c r="E1819" s="82">
        <f>IFERROR(__xludf.DUMMYFUNCTION("""COMPUTED_VALUE"""),22.0)</f>
        <v>22</v>
      </c>
      <c r="F1819" s="82">
        <f>IFERROR(__xludf.DUMMYFUNCTION("""COMPUTED_VALUE"""),10.0)</f>
        <v>10</v>
      </c>
      <c r="G1819" s="86">
        <f>IFERROR(__xludf.DUMMYFUNCTION("""COMPUTED_VALUE"""),12.0)</f>
        <v>12</v>
      </c>
      <c r="H1819" s="86">
        <f>IFERROR(__xludf.DUMMYFUNCTION("""COMPUTED_VALUE"""),0.45454545454545453)</f>
        <v>0.4545454545</v>
      </c>
      <c r="I1819" s="86">
        <f>IFERROR(__xludf.DUMMYFUNCTION("""COMPUTED_VALUE"""),0.23255813953488372)</f>
        <v>0.2325581395</v>
      </c>
      <c r="J1819" s="82">
        <f>IFERROR(__xludf.DUMMYFUNCTION("""COMPUTED_VALUE"""),274.22727272727275)</f>
        <v>274.2272727</v>
      </c>
      <c r="K1819" s="82">
        <f>IFERROR(__xludf.DUMMYFUNCTION("""COMPUTED_VALUE"""),0.45454545454545453)</f>
        <v>0.4545454545</v>
      </c>
      <c r="L1819" s="82">
        <f>IFERROR(__xludf.DUMMYFUNCTION("""COMPUTED_VALUE"""),0.6363636363636364)</f>
        <v>0.6363636364</v>
      </c>
      <c r="M1819" s="82">
        <f>IFERROR(__xludf.DUMMYFUNCTION("""COMPUTED_VALUE"""),1.1363636363636365)</f>
        <v>1.136363636</v>
      </c>
      <c r="N1819" s="82">
        <f>IFERROR(__xludf.DUMMYFUNCTION("""COMPUTED_VALUE"""),1.9545454545454546)</f>
        <v>1.954545455</v>
      </c>
      <c r="O1819" s="82">
        <f>IFERROR(__xludf.DUMMYFUNCTION("""COMPUTED_VALUE"""),359.21212121212125)</f>
        <v>359.2121212</v>
      </c>
      <c r="P1819" s="82">
        <f>IFERROR(__xludf.DUMMYFUNCTION("""COMPUTED_VALUE"""),0.8333333333333331)</f>
        <v>0.8333333333</v>
      </c>
      <c r="Q1819" s="82">
        <f>IFERROR(__xludf.DUMMYFUNCTION("""COMPUTED_VALUE"""),0.5757575757575758)</f>
        <v>0.5757575758</v>
      </c>
      <c r="R1819" s="82">
        <f>IFERROR(__xludf.DUMMYFUNCTION("""COMPUTED_VALUE"""),1.3333333333333333)</f>
        <v>1.333333333</v>
      </c>
      <c r="S1819" s="82">
        <f>IFERROR(__xludf.DUMMYFUNCTION("""COMPUTED_VALUE"""),2.636363636363636)</f>
        <v>2.636363636</v>
      </c>
      <c r="T1819" s="82">
        <f>IFERROR(__xludf.DUMMYFUNCTION("""COMPUTED_VALUE"""),361.9628699719275)</f>
        <v>361.96287</v>
      </c>
      <c r="U1819" s="82">
        <f>IFERROR(__xludf.DUMMYFUNCTION("""COMPUTED_VALUE"""),0.8210474042693292)</f>
        <v>0.8210474043</v>
      </c>
      <c r="V1819" s="82">
        <f>IFERROR(__xludf.DUMMYFUNCTION("""COMPUTED_VALUE"""),0.6154427259708011)</f>
        <v>0.615442726</v>
      </c>
      <c r="W1819" s="82">
        <f>IFERROR(__xludf.DUMMYFUNCTION("""COMPUTED_VALUE"""),1.3058255878108815)</f>
        <v>1.305825588</v>
      </c>
      <c r="X1819" s="82">
        <f>IFERROR(__xludf.DUMMYFUNCTION("""COMPUTED_VALUE"""),2.7258262236871866)</f>
        <v>2.725826224</v>
      </c>
      <c r="Y1819" s="82">
        <f>IFERROR(__xludf.DUMMYFUNCTION("""COMPUTED_VALUE"""),351.68599710639586)</f>
        <v>351.6859971</v>
      </c>
      <c r="Z1819" s="82">
        <f>IFERROR(__xludf.DUMMYFUNCTION("""COMPUTED_VALUE"""),0.8047947946455078)</f>
        <v>0.8047947946</v>
      </c>
      <c r="AA1819" s="82">
        <f>IFERROR(__xludf.DUMMYFUNCTION("""COMPUTED_VALUE"""),0.5733261201398457)</f>
        <v>0.5733261201</v>
      </c>
      <c r="AB1819" s="82">
        <f>IFERROR(__xludf.DUMMYFUNCTION("""COMPUTED_VALUE"""),1.303699426604952)</f>
        <v>1.303699427</v>
      </c>
      <c r="AC1819" s="82">
        <f>IFERROR(__xludf.DUMMYFUNCTION("""COMPUTED_VALUE"""),2.5395442038155953)</f>
        <v>2.539544204</v>
      </c>
      <c r="AD1819" s="82">
        <f>IFERROR(__xludf.DUMMYFUNCTION("""COMPUTED_VALUE"""),0.7797503312146674)</f>
        <v>0.7797503312</v>
      </c>
      <c r="AE1819" s="82">
        <f>IFERROR(__xludf.DUMMYFUNCTION("""COMPUTED_VALUE"""),0.5647967128635201)</f>
        <v>0.5647967129</v>
      </c>
      <c r="AF1819" s="82">
        <f>IFERROR(__xludf.DUMMYFUNCTION("""COMPUTED_VALUE"""),1.1099505395086735)</f>
        <v>1.10995054</v>
      </c>
      <c r="AG1819" s="82">
        <f>IFERROR(__xludf.DUMMYFUNCTION("""COMPUTED_VALUE"""),0.8716454216160197)</f>
        <v>0.8716454216</v>
      </c>
      <c r="AH1819" s="82">
        <f>IFERROR(__xludf.DUMMYFUNCTION("""COMPUTED_VALUE"""),0.7696441950523263)</f>
        <v>0.7696441951</v>
      </c>
      <c r="AI1819" s="82">
        <f>IFERROR(__xludf.DUMMYFUNCTION("""COMPUTED_VALUE"""),0.9924004670423251)</f>
        <v>0.992400467</v>
      </c>
      <c r="AJ1819" s="82">
        <f>IFERROR(__xludf.DUMMYFUNCTION("""COMPUTED_VALUE"""),1.0149637268203016)</f>
        <v>1.014963727</v>
      </c>
      <c r="AK1819" s="82">
        <f>IFERROR(__xludf.DUMMYFUNCTION("""COMPUTED_VALUE"""),0.9355177199460343)</f>
        <v>0.9355177199</v>
      </c>
      <c r="AL1819" s="82">
        <f>IFERROR(__xludf.DUMMYFUNCTION("""COMPUTED_VALUE"""),1.0210654055022512)</f>
        <v>1.021065406</v>
      </c>
      <c r="AM1819" s="82">
        <f>IFERROR(__xludf.DUMMYFUNCTION("""COMPUTED_VALUE"""),0.9671796439016805)</f>
        <v>0.9671796439</v>
      </c>
      <c r="AN1819" s="82">
        <f>IFERROR(__xludf.DUMMYFUNCTION("""COMPUTED_VALUE"""),0.8090710237057723)</f>
        <v>0.8090710237</v>
      </c>
      <c r="AO1819" s="82">
        <f>IFERROR(__xludf.DUMMYFUNCTION("""COMPUTED_VALUE"""),0.6187152097165928)</f>
        <v>0.6187152097</v>
      </c>
      <c r="AP1819" s="82">
        <f>IFERROR(__xludf.DUMMYFUNCTION("""COMPUTED_VALUE"""),1.1363151778489116)</f>
        <v>1.136315178</v>
      </c>
      <c r="AQ1819" s="82">
        <f>IFERROR(__xludf.DUMMYFUNCTION("""COMPUTED_VALUE"""),0.8671650927271156)</f>
        <v>0.8671650927</v>
      </c>
      <c r="AR1819" s="82">
        <f>IFERROR(__xludf.DUMMYFUNCTION("""COMPUTED_VALUE"""),0.78484908361888)</f>
        <v>0.7848490836</v>
      </c>
      <c r="AS1819" s="82">
        <f>IFERROR(__xludf.DUMMYFUNCTION("""COMPUTED_VALUE"""),50.0)</f>
        <v>50</v>
      </c>
      <c r="AT1819" s="82">
        <f>IFERROR(__xludf.DUMMYFUNCTION("""COMPUTED_VALUE"""),0.4627539631415754)</f>
        <v>0.4627539631</v>
      </c>
      <c r="AU1819" s="82">
        <f>IFERROR(__xludf.DUMMYFUNCTION("""COMPUTED_VALUE"""),1.4298707832274096)</f>
        <v>1.429870783</v>
      </c>
      <c r="AV1819" s="82">
        <f>IFERROR(__xludf.DUMMYFUNCTION("""COMPUTED_VALUE"""),29.993205352089543)</f>
        <v>29.99320535</v>
      </c>
      <c r="AW1819" s="82">
        <f t="shared" si="1"/>
        <v>-4.721955377</v>
      </c>
      <c r="AX1819" s="83">
        <f t="array" ref="AX1819">IFERROR(DGET('SBV Import'!A:G,"SBV",{"RSC ID","Tier";B1819,A1819}))</f>
        <v>26.8072946</v>
      </c>
      <c r="AY1819" s="82">
        <f t="shared" si="2"/>
        <v>-5.656765372</v>
      </c>
      <c r="AZ1819" s="82">
        <v>0.9348099957829783</v>
      </c>
      <c r="BA1819" s="84">
        <v>1700.0</v>
      </c>
      <c r="BB1819" s="84" t="b">
        <f>IFERROR(__xludf.DUMMYFUNCTION("iferror(if(A1819="""",,E1819&gt;=FILTER(Constants!$F$2:$F$10,Constants!$A$2:$A$10=A1819)))"),TRUE)</f>
        <v>1</v>
      </c>
    </row>
    <row r="1820">
      <c r="A1820" s="89" t="str">
        <f>IFERROR(__xludf.DUMMYFUNCTION("""COMPUTED_VALUE"""),"Rival")</f>
        <v>Rival</v>
      </c>
      <c r="B1820" s="87" t="str">
        <f>IFERROR(__xludf.DUMMYFUNCTION("""COMPUTED_VALUE"""),"RSC001015")</f>
        <v>RSC001015</v>
      </c>
      <c r="C1820" s="73" t="str">
        <f>IFERROR(__xludf.DUMMYFUNCTION("""COMPUTED_VALUE"""),"LatFips")</f>
        <v>LatFips</v>
      </c>
      <c r="D1820" s="73" t="str">
        <f>IFERROR(__xludf.DUMMYFUNCTION("""COMPUTED_VALUE"""),"Heavy Metal")</f>
        <v>Heavy Metal</v>
      </c>
      <c r="E1820" s="82">
        <f>IFERROR(__xludf.DUMMYFUNCTION("""COMPUTED_VALUE"""),28.0)</f>
        <v>28</v>
      </c>
      <c r="F1820" s="82">
        <f>IFERROR(__xludf.DUMMYFUNCTION("""COMPUTED_VALUE"""),14.0)</f>
        <v>14</v>
      </c>
      <c r="G1820" s="86">
        <f>IFERROR(__xludf.DUMMYFUNCTION("""COMPUTED_VALUE"""),14.0)</f>
        <v>14</v>
      </c>
      <c r="H1820" s="86">
        <f>IFERROR(__xludf.DUMMYFUNCTION("""COMPUTED_VALUE"""),0.5)</f>
        <v>0.5</v>
      </c>
      <c r="I1820" s="86">
        <f>IFERROR(__xludf.DUMMYFUNCTION("""COMPUTED_VALUE"""),0.23214285714285715)</f>
        <v>0.2321428571</v>
      </c>
      <c r="J1820" s="82">
        <f>IFERROR(__xludf.DUMMYFUNCTION("""COMPUTED_VALUE"""),291.7142857142857)</f>
        <v>291.7142857</v>
      </c>
      <c r="K1820" s="82">
        <f>IFERROR(__xludf.DUMMYFUNCTION("""COMPUTED_VALUE"""),0.4642857142857143)</f>
        <v>0.4642857143</v>
      </c>
      <c r="L1820" s="82">
        <f>IFERROR(__xludf.DUMMYFUNCTION("""COMPUTED_VALUE"""),0.6428571428571429)</f>
        <v>0.6428571429</v>
      </c>
      <c r="M1820" s="82">
        <f>IFERROR(__xludf.DUMMYFUNCTION("""COMPUTED_VALUE"""),0.9642857142857143)</f>
        <v>0.9642857143</v>
      </c>
      <c r="N1820" s="82">
        <f>IFERROR(__xludf.DUMMYFUNCTION("""COMPUTED_VALUE"""),2.0)</f>
        <v>2</v>
      </c>
      <c r="O1820" s="82">
        <f>IFERROR(__xludf.DUMMYFUNCTION("""COMPUTED_VALUE"""),343.11904761904765)</f>
        <v>343.1190476</v>
      </c>
      <c r="P1820" s="82">
        <f>IFERROR(__xludf.DUMMYFUNCTION("""COMPUTED_VALUE"""),0.7857142857142857)</f>
        <v>0.7857142857</v>
      </c>
      <c r="Q1820" s="82">
        <f>IFERROR(__xludf.DUMMYFUNCTION("""COMPUTED_VALUE"""),0.6071428571428571)</f>
        <v>0.6071428571</v>
      </c>
      <c r="R1820" s="82">
        <f>IFERROR(__xludf.DUMMYFUNCTION("""COMPUTED_VALUE"""),1.25)</f>
        <v>1.25</v>
      </c>
      <c r="S1820" s="82">
        <f>IFERROR(__xludf.DUMMYFUNCTION("""COMPUTED_VALUE"""),2.2857142857142856)</f>
        <v>2.285714286</v>
      </c>
      <c r="T1820" s="82">
        <f>IFERROR(__xludf.DUMMYFUNCTION("""COMPUTED_VALUE"""),343.8086024490843)</f>
        <v>343.8086024</v>
      </c>
      <c r="U1820" s="82">
        <f>IFERROR(__xludf.DUMMYFUNCTION("""COMPUTED_VALUE"""),0.7843459365579336)</f>
        <v>0.7843459366</v>
      </c>
      <c r="V1820" s="82">
        <f>IFERROR(__xludf.DUMMYFUNCTION("""COMPUTED_VALUE"""),0.5741345222106798)</f>
        <v>0.5741345222</v>
      </c>
      <c r="W1820" s="82">
        <f>IFERROR(__xludf.DUMMYFUNCTION("""COMPUTED_VALUE"""),1.3310794821303016)</f>
        <v>1.331079482</v>
      </c>
      <c r="X1820" s="82">
        <f>IFERROR(__xludf.DUMMYFUNCTION("""COMPUTED_VALUE"""),2.433280644680528)</f>
        <v>2.433280645</v>
      </c>
      <c r="Y1820" s="82">
        <f>IFERROR(__xludf.DUMMYFUNCTION("""COMPUTED_VALUE"""),355.1805470019619)</f>
        <v>355.180547</v>
      </c>
      <c r="Z1820" s="82">
        <f>IFERROR(__xludf.DUMMYFUNCTION("""COMPUTED_VALUE"""),0.8567999619788315)</f>
        <v>0.856799962</v>
      </c>
      <c r="AA1820" s="82">
        <f>IFERROR(__xludf.DUMMYFUNCTION("""COMPUTED_VALUE"""),0.6245352622174696)</f>
        <v>0.6245352622</v>
      </c>
      <c r="AB1820" s="82">
        <f>IFERROR(__xludf.DUMMYFUNCTION("""COMPUTED_VALUE"""),1.244374784652835)</f>
        <v>1.244374785</v>
      </c>
      <c r="AC1820" s="82">
        <f>IFERROR(__xludf.DUMMYFUNCTION("""COMPUTED_VALUE"""),2.712589020511934)</f>
        <v>2.712589021</v>
      </c>
      <c r="AD1820" s="82">
        <f>IFERROR(__xludf.DUMMYFUNCTION("""COMPUTED_VALUE"""),0.8213126765432748)</f>
        <v>0.8213126765</v>
      </c>
      <c r="AE1820" s="82">
        <f>IFERROR(__xludf.DUMMYFUNCTION("""COMPUTED_VALUE"""),0.5418834440811812)</f>
        <v>0.5418834441</v>
      </c>
      <c r="AF1820" s="82">
        <f>IFERROR(__xludf.DUMMYFUNCTION("""COMPUTED_VALUE"""),1.0293368233118172)</f>
        <v>1.029336823</v>
      </c>
      <c r="AG1820" s="82">
        <f>IFERROR(__xludf.DUMMYFUNCTION("""COMPUTED_VALUE"""),0.7749158261469739)</f>
        <v>0.7749158261</v>
      </c>
      <c r="AH1820" s="82">
        <f>IFERROR(__xludf.DUMMYFUNCTION("""COMPUTED_VALUE"""),0.7373029916719746)</f>
        <v>0.7373029917</v>
      </c>
      <c r="AI1820" s="82">
        <f>IFERROR(__xludf.DUMMYFUNCTION("""COMPUTED_VALUE"""),0.9979943642331092)</f>
        <v>0.9979943642</v>
      </c>
      <c r="AJ1820" s="82">
        <f>IFERROR(__xludf.DUMMYFUNCTION("""COMPUTED_VALUE"""),1.0017445735262644)</f>
        <v>1.001744574</v>
      </c>
      <c r="AK1820" s="82">
        <f>IFERROR(__xludf.DUMMYFUNCTION("""COMPUTED_VALUE"""),1.0574923361254782)</f>
        <v>1.057492336</v>
      </c>
      <c r="AL1820" s="82">
        <f>IFERROR(__xludf.DUMMYFUNCTION("""COMPUTED_VALUE"""),0.9390874224876944)</f>
        <v>0.9390874225</v>
      </c>
      <c r="AM1820" s="82">
        <f>IFERROR(__xludf.DUMMYFUNCTION("""COMPUTED_VALUE"""),0.9393549776969451)</f>
        <v>0.9393549777</v>
      </c>
      <c r="AN1820" s="82">
        <f>IFERROR(__xludf.DUMMYFUNCTION("""COMPUTED_VALUE"""),0.8606641251440439)</f>
        <v>0.8606641251</v>
      </c>
      <c r="AO1820" s="82">
        <f>IFERROR(__xludf.DUMMYFUNCTION("""COMPUTED_VALUE"""),0.6319733927819484)</f>
        <v>0.6319733928</v>
      </c>
      <c r="AP1820" s="82">
        <f>IFERROR(__xludf.DUMMYFUNCTION("""COMPUTED_VALUE"""),1.1479102306841047)</f>
        <v>1.147910231</v>
      </c>
      <c r="AQ1820" s="82">
        <f>IFERROR(__xludf.DUMMYFUNCTION("""COMPUTED_VALUE"""),0.7358515215427237)</f>
        <v>0.7358515215</v>
      </c>
      <c r="AR1820" s="82">
        <f>IFERROR(__xludf.DUMMYFUNCTION("""COMPUTED_VALUE"""),0.8031013878890865)</f>
        <v>0.8031013879</v>
      </c>
      <c r="AS1820" s="82">
        <f>IFERROR(__xludf.DUMMYFUNCTION("""COMPUTED_VALUE"""),66.0)</f>
        <v>66</v>
      </c>
      <c r="AT1820" s="82">
        <f>IFERROR(__xludf.DUMMYFUNCTION("""COMPUTED_VALUE"""),0.5)</f>
        <v>0.5</v>
      </c>
      <c r="AU1820" s="82">
        <f>IFERROR(__xludf.DUMMYFUNCTION("""COMPUTED_VALUE"""),1.4204660893197247)</f>
        <v>1.420466089</v>
      </c>
      <c r="AV1820" s="82">
        <f>IFERROR(__xludf.DUMMYFUNCTION("""COMPUTED_VALUE"""),29.66099329215572)</f>
        <v>29.66099329</v>
      </c>
      <c r="AW1820" s="82">
        <f t="shared" si="1"/>
        <v>-4.808884045</v>
      </c>
      <c r="AX1820" s="83">
        <f t="array" ref="AX1820">IFERROR(DGET('SBV Import'!A:G,"SBV",{"RSC ID","Tier";B1820,A1820}))</f>
        <v>39.22420853</v>
      </c>
      <c r="AY1820" s="82">
        <f t="shared" si="2"/>
        <v>-3.000996251</v>
      </c>
      <c r="AZ1820" s="82">
        <v>1.8078877941510703</v>
      </c>
      <c r="BA1820" s="84">
        <v>1700.0</v>
      </c>
      <c r="BB1820" s="84" t="b">
        <f>IFERROR(__xludf.DUMMYFUNCTION("iferror(if(A1820="""",,E1820&gt;=FILTER(Constants!$F$2:$F$10,Constants!$A$2:$A$10=A1820)))"),TRUE)</f>
        <v>1</v>
      </c>
    </row>
    <row r="1821">
      <c r="A1821" s="89" t="str">
        <f>IFERROR(__xludf.DUMMYFUNCTION("""COMPUTED_VALUE"""),"Rival")</f>
        <v>Rival</v>
      </c>
      <c r="B1821" s="87" t="str">
        <f>IFERROR(__xludf.DUMMYFUNCTION("""COMPUTED_VALUE"""),"RSC006881")</f>
        <v>RSC006881</v>
      </c>
      <c r="C1821" s="73" t="str">
        <f>IFERROR(__xludf.DUMMYFUNCTION("""COMPUTED_VALUE"""),"Cyroic")</f>
        <v>Cyroic</v>
      </c>
      <c r="D1821" s="73"/>
      <c r="E1821" s="82">
        <f>IFERROR(__xludf.DUMMYFUNCTION("""COMPUTED_VALUE"""),20.0)</f>
        <v>20</v>
      </c>
      <c r="F1821" s="82">
        <f>IFERROR(__xludf.DUMMYFUNCTION("""COMPUTED_VALUE"""),9.0)</f>
        <v>9</v>
      </c>
      <c r="G1821" s="86">
        <f>IFERROR(__xludf.DUMMYFUNCTION("""COMPUTED_VALUE"""),11.0)</f>
        <v>11</v>
      </c>
      <c r="H1821" s="86">
        <f>IFERROR(__xludf.DUMMYFUNCTION("""COMPUTED_VALUE"""),0.45)</f>
        <v>0.45</v>
      </c>
      <c r="I1821" s="86">
        <f>IFERROR(__xludf.DUMMYFUNCTION("""COMPUTED_VALUE"""),0.19607843137254904)</f>
        <v>0.1960784314</v>
      </c>
      <c r="J1821" s="82">
        <f>IFERROR(__xludf.DUMMYFUNCTION("""COMPUTED_VALUE"""),292.9)</f>
        <v>292.9</v>
      </c>
      <c r="K1821" s="82">
        <f>IFERROR(__xludf.DUMMYFUNCTION("""COMPUTED_VALUE"""),0.5)</f>
        <v>0.5</v>
      </c>
      <c r="L1821" s="82">
        <f>IFERROR(__xludf.DUMMYFUNCTION("""COMPUTED_VALUE"""),0.45)</f>
        <v>0.45</v>
      </c>
      <c r="M1821" s="82">
        <f>IFERROR(__xludf.DUMMYFUNCTION("""COMPUTED_VALUE"""),1.5)</f>
        <v>1.5</v>
      </c>
      <c r="N1821" s="82">
        <f>IFERROR(__xludf.DUMMYFUNCTION("""COMPUTED_VALUE"""),2.55)</f>
        <v>2.55</v>
      </c>
      <c r="O1821" s="82">
        <f>IFERROR(__xludf.DUMMYFUNCTION("""COMPUTED_VALUE"""),368.4)</f>
        <v>368.4</v>
      </c>
      <c r="P1821" s="82">
        <f>IFERROR(__xludf.DUMMYFUNCTION("""COMPUTED_VALUE"""),0.8499999999999999)</f>
        <v>0.85</v>
      </c>
      <c r="Q1821" s="82">
        <f>IFERROR(__xludf.DUMMYFUNCTION("""COMPUTED_VALUE"""),0.6333333333333333)</f>
        <v>0.6333333333</v>
      </c>
      <c r="R1821" s="82">
        <f>IFERROR(__xludf.DUMMYFUNCTION("""COMPUTED_VALUE"""),1.5500000000000003)</f>
        <v>1.55</v>
      </c>
      <c r="S1821" s="82">
        <f>IFERROR(__xludf.DUMMYFUNCTION("""COMPUTED_VALUE"""),2.7333333333333334)</f>
        <v>2.733333333</v>
      </c>
      <c r="T1821" s="82">
        <f>IFERROR(__xludf.DUMMYFUNCTION("""COMPUTED_VALUE"""),345.80640556157704)</f>
        <v>345.8064056</v>
      </c>
      <c r="U1821" s="82">
        <f>IFERROR(__xludf.DUMMYFUNCTION("""COMPUTED_VALUE"""),0.7948771635046145)</f>
        <v>0.7948771635</v>
      </c>
      <c r="V1821" s="82">
        <f>IFERROR(__xludf.DUMMYFUNCTION("""COMPUTED_VALUE"""),0.5429670447562607)</f>
        <v>0.5429670448</v>
      </c>
      <c r="W1821" s="82">
        <f>IFERROR(__xludf.DUMMYFUNCTION("""COMPUTED_VALUE"""),1.2647565959820863)</f>
        <v>1.264756596</v>
      </c>
      <c r="X1821" s="82">
        <f>IFERROR(__xludf.DUMMYFUNCTION("""COMPUTED_VALUE"""),2.5470009638146895)</f>
        <v>2.547000964</v>
      </c>
      <c r="Y1821" s="82">
        <f>IFERROR(__xludf.DUMMYFUNCTION("""COMPUTED_VALUE"""),351.5529202914007)</f>
        <v>351.5529203</v>
      </c>
      <c r="Z1821" s="82">
        <f>IFERROR(__xludf.DUMMYFUNCTION("""COMPUTED_VALUE"""),0.8042744329018839)</f>
        <v>0.8042744329</v>
      </c>
      <c r="AA1821" s="82">
        <f>IFERROR(__xludf.DUMMYFUNCTION("""COMPUTED_VALUE"""),0.5551545141496123)</f>
        <v>0.5551545141</v>
      </c>
      <c r="AB1821" s="82">
        <f>IFERROR(__xludf.DUMMYFUNCTION("""COMPUTED_VALUE"""),1.3249694465544137)</f>
        <v>1.324969447</v>
      </c>
      <c r="AC1821" s="82">
        <f>IFERROR(__xludf.DUMMYFUNCTION("""COMPUTED_VALUE"""),2.5062623959192587)</f>
        <v>2.506262396</v>
      </c>
      <c r="AD1821" s="82">
        <f>IFERROR(__xludf.DUMMYFUNCTION("""COMPUTED_VALUE"""),0.8331604805251409)</f>
        <v>0.8331604805</v>
      </c>
      <c r="AE1821" s="82">
        <f>IFERROR(__xludf.DUMMYFUNCTION("""COMPUTED_VALUE"""),0.6216783470238655)</f>
        <v>0.621678347</v>
      </c>
      <c r="AF1821" s="82">
        <f>IFERROR(__xludf.DUMMYFUNCTION("""COMPUTED_VALUE"""),0.8105851407680827)</f>
        <v>0.8105851408</v>
      </c>
      <c r="AG1821" s="82">
        <f>IFERROR(__xludf.DUMMYFUNCTION("""COMPUTED_VALUE"""),1.132101577059572)</f>
        <v>1.132101577</v>
      </c>
      <c r="AH1821" s="82">
        <f>IFERROR(__xludf.DUMMYFUNCTION("""COMPUTED_VALUE"""),1.0174513267852383)</f>
        <v>1.017451327</v>
      </c>
      <c r="AI1821" s="82">
        <f>IFERROR(__xludf.DUMMYFUNCTION("""COMPUTED_VALUE"""),1.0653359627671783)</f>
        <v>1.065335963</v>
      </c>
      <c r="AJ1821" s="82">
        <f>IFERROR(__xludf.DUMMYFUNCTION("""COMPUTED_VALUE"""),1.0693476162434317)</f>
        <v>1.069347616</v>
      </c>
      <c r="AK1821" s="82">
        <f>IFERROR(__xludf.DUMMYFUNCTION("""COMPUTED_VALUE"""),1.1664305217964717)</f>
        <v>1.166430522</v>
      </c>
      <c r="AL1821" s="82">
        <f>IFERROR(__xludf.DUMMYFUNCTION("""COMPUTED_VALUE"""),1.225532252548896)</f>
        <v>1.225532253</v>
      </c>
      <c r="AM1821" s="82">
        <f>IFERROR(__xludf.DUMMYFUNCTION("""COMPUTED_VALUE"""),1.073157557521914)</f>
        <v>1.073157558</v>
      </c>
      <c r="AN1821" s="82">
        <f>IFERROR(__xludf.DUMMYFUNCTION("""COMPUTED_VALUE"""),0.8641624171316518)</f>
        <v>0.8641624171</v>
      </c>
      <c r="AO1821" s="82">
        <f>IFERROR(__xludf.DUMMYFUNCTION("""COMPUTED_VALUE"""),0.6805867306882522)</f>
        <v>0.6805867307</v>
      </c>
      <c r="AP1821" s="82">
        <f>IFERROR(__xludf.DUMMYFUNCTION("""COMPUTED_VALUE"""),0.8035371614788732)</f>
        <v>0.8035371615</v>
      </c>
      <c r="AQ1821" s="82">
        <f>IFERROR(__xludf.DUMMYFUNCTION("""COMPUTED_VALUE"""),1.1446579223997926)</f>
        <v>1.144657922</v>
      </c>
      <c r="AR1821" s="82">
        <f>IFERROR(__xludf.DUMMYFUNCTION("""COMPUTED_VALUE"""),1.0239542695585853)</f>
        <v>1.02395427</v>
      </c>
      <c r="AS1821" s="82">
        <f>IFERROR(__xludf.DUMMYFUNCTION("""COMPUTED_VALUE"""),43.0)</f>
        <v>43</v>
      </c>
      <c r="AT1821" s="82">
        <f>IFERROR(__xludf.DUMMYFUNCTION("""COMPUTED_VALUE"""),0.4338811624413912)</f>
        <v>0.4338811624</v>
      </c>
      <c r="AU1821" s="82">
        <f>IFERROR(__xludf.DUMMYFUNCTION("""COMPUTED_VALUE"""),1.3992776595126137)</f>
        <v>1.39927766</v>
      </c>
      <c r="AV1821" s="82">
        <f>IFERROR(__xludf.DUMMYFUNCTION("""COMPUTED_VALUE"""),28.91253172795406)</f>
        <v>28.91253173</v>
      </c>
      <c r="AW1821" s="82">
        <f t="shared" si="1"/>
        <v>-5.013164881</v>
      </c>
      <c r="AX1821" s="83">
        <f t="array" ref="AX1821">IFERROR(DGET('SBV Import'!A:G,"SBV",{"RSC ID","Tier";B1821,A1821}))</f>
        <v>27.83781474</v>
      </c>
      <c r="AY1821" s="82">
        <f t="shared" si="2"/>
        <v>-5.328290139</v>
      </c>
      <c r="AZ1821" s="82">
        <v>0.31512525750186526</v>
      </c>
      <c r="BA1821" s="84">
        <v>1700.0</v>
      </c>
      <c r="BB1821" s="84" t="b">
        <f>IFERROR(__xludf.DUMMYFUNCTION("iferror(if(A1821="""",,E1821&gt;=FILTER(Constants!$F$2:$F$10,Constants!$A$2:$A$10=A1821)))"),TRUE)</f>
        <v>1</v>
      </c>
    </row>
    <row r="1822">
      <c r="A1822" s="89" t="str">
        <f>IFERROR(__xludf.DUMMYFUNCTION("""COMPUTED_VALUE"""),"Rival")</f>
        <v>Rival</v>
      </c>
      <c r="B1822" s="87" t="str">
        <f>IFERROR(__xludf.DUMMYFUNCTION("""COMPUTED_VALUE"""),"RSC005628")</f>
        <v>RSC005628</v>
      </c>
      <c r="C1822" s="73" t="str">
        <f>IFERROR(__xludf.DUMMYFUNCTION("""COMPUTED_VALUE"""),"I love sand")</f>
        <v>I love sand</v>
      </c>
      <c r="D1822" s="73" t="str">
        <f>IFERROR(__xludf.DUMMYFUNCTION("""COMPUTED_VALUE"""),"Tyrants")</f>
        <v>Tyrants</v>
      </c>
      <c r="E1822" s="82">
        <f>IFERROR(__xludf.DUMMYFUNCTION("""COMPUTED_VALUE"""),21.0)</f>
        <v>21</v>
      </c>
      <c r="F1822" s="82">
        <f>IFERROR(__xludf.DUMMYFUNCTION("""COMPUTED_VALUE"""),11.0)</f>
        <v>11</v>
      </c>
      <c r="G1822" s="86">
        <f>IFERROR(__xludf.DUMMYFUNCTION("""COMPUTED_VALUE"""),10.0)</f>
        <v>10</v>
      </c>
      <c r="H1822" s="86">
        <f>IFERROR(__xludf.DUMMYFUNCTION("""COMPUTED_VALUE"""),0.5238095238095238)</f>
        <v>0.5238095238</v>
      </c>
      <c r="I1822" s="86">
        <f>IFERROR(__xludf.DUMMYFUNCTION("""COMPUTED_VALUE"""),0.19565217391304346)</f>
        <v>0.1956521739</v>
      </c>
      <c r="J1822" s="82">
        <f>IFERROR(__xludf.DUMMYFUNCTION("""COMPUTED_VALUE"""),298.1904761904762)</f>
        <v>298.1904762</v>
      </c>
      <c r="K1822" s="82">
        <f>IFERROR(__xludf.DUMMYFUNCTION("""COMPUTED_VALUE"""),0.42857142857142855)</f>
        <v>0.4285714286</v>
      </c>
      <c r="L1822" s="82">
        <f>IFERROR(__xludf.DUMMYFUNCTION("""COMPUTED_VALUE"""),0.38095238095238093)</f>
        <v>0.380952381</v>
      </c>
      <c r="M1822" s="82">
        <f>IFERROR(__xludf.DUMMYFUNCTION("""COMPUTED_VALUE"""),1.0476190476190477)</f>
        <v>1.047619048</v>
      </c>
      <c r="N1822" s="82">
        <f>IFERROR(__xludf.DUMMYFUNCTION("""COMPUTED_VALUE"""),2.1904761904761907)</f>
        <v>2.19047619</v>
      </c>
      <c r="O1822" s="82">
        <f>IFERROR(__xludf.DUMMYFUNCTION("""COMPUTED_VALUE"""),317.6984126984127)</f>
        <v>317.6984127</v>
      </c>
      <c r="P1822" s="82">
        <f>IFERROR(__xludf.DUMMYFUNCTION("""COMPUTED_VALUE"""),0.634920634920635)</f>
        <v>0.6349206349</v>
      </c>
      <c r="Q1822" s="82">
        <f>IFERROR(__xludf.DUMMYFUNCTION("""COMPUTED_VALUE"""),0.4761904761904761)</f>
        <v>0.4761904762</v>
      </c>
      <c r="R1822" s="82">
        <f>IFERROR(__xludf.DUMMYFUNCTION("""COMPUTED_VALUE"""),1.0476190476190474)</f>
        <v>1.047619048</v>
      </c>
      <c r="S1822" s="82">
        <f>IFERROR(__xludf.DUMMYFUNCTION("""COMPUTED_VALUE"""),2.4285714285714284)</f>
        <v>2.428571429</v>
      </c>
      <c r="T1822" s="82">
        <f>IFERROR(__xludf.DUMMYFUNCTION("""COMPUTED_VALUE"""),339.8501708551871)</f>
        <v>339.8501709</v>
      </c>
      <c r="U1822" s="82">
        <f>IFERROR(__xludf.DUMMYFUNCTION("""COMPUTED_VALUE"""),0.7428556375506653)</f>
        <v>0.7428556376</v>
      </c>
      <c r="V1822" s="82">
        <f>IFERROR(__xludf.DUMMYFUNCTION("""COMPUTED_VALUE"""),0.6001893841905737)</f>
        <v>0.6001893842</v>
      </c>
      <c r="W1822" s="82">
        <f>IFERROR(__xludf.DUMMYFUNCTION("""COMPUTED_VALUE"""),1.2460732000172416)</f>
        <v>1.2460732</v>
      </c>
      <c r="X1822" s="82">
        <f>IFERROR(__xludf.DUMMYFUNCTION("""COMPUTED_VALUE"""),2.4610072885513934)</f>
        <v>2.461007289</v>
      </c>
      <c r="Y1822" s="82">
        <f>IFERROR(__xludf.DUMMYFUNCTION("""COMPUTED_VALUE"""),345.3921495395376)</f>
        <v>345.3921495</v>
      </c>
      <c r="Z1822" s="82">
        <f>IFERROR(__xludf.DUMMYFUNCTION("""COMPUTED_VALUE"""),0.7517000680082466)</f>
        <v>0.751700068</v>
      </c>
      <c r="AA1822" s="82">
        <f>IFERROR(__xludf.DUMMYFUNCTION("""COMPUTED_VALUE"""),0.5583437795180287)</f>
        <v>0.5583437795</v>
      </c>
      <c r="AB1822" s="82">
        <f>IFERROR(__xludf.DUMMYFUNCTION("""COMPUTED_VALUE"""),1.2768055634981896)</f>
        <v>1.276805563</v>
      </c>
      <c r="AC1822" s="82">
        <f>IFERROR(__xludf.DUMMYFUNCTION("""COMPUTED_VALUE"""),2.4396818367030106)</f>
        <v>2.439681837</v>
      </c>
      <c r="AD1822" s="82">
        <f>IFERROR(__xludf.DUMMYFUNCTION("""COMPUTED_VALUE"""),0.8633388934520118)</f>
        <v>0.8633388935</v>
      </c>
      <c r="AE1822" s="82">
        <f>IFERROR(__xludf.DUMMYFUNCTION("""COMPUTED_VALUE"""),0.5701362109850532)</f>
        <v>0.570136211</v>
      </c>
      <c r="AF1822" s="82">
        <f>IFERROR(__xludf.DUMMYFUNCTION("""COMPUTED_VALUE"""),0.6822900064924609)</f>
        <v>0.6822900065</v>
      </c>
      <c r="AG1822" s="82">
        <f>IFERROR(__xludf.DUMMYFUNCTION("""COMPUTED_VALUE"""),0.8205000648248922)</f>
        <v>0.8205000648</v>
      </c>
      <c r="AH1822" s="82">
        <f>IFERROR(__xludf.DUMMYFUNCTION("""COMPUTED_VALUE"""),0.8978532190231835)</f>
        <v>0.897853219</v>
      </c>
      <c r="AI1822" s="82">
        <f>IFERROR(__xludf.DUMMYFUNCTION("""COMPUTED_VALUE"""),0.9348190465785776)</f>
        <v>0.9348190466</v>
      </c>
      <c r="AJ1822" s="82">
        <f>IFERROR(__xludf.DUMMYFUNCTION("""COMPUTED_VALUE"""),0.8547025866480433)</f>
        <v>0.8547025866</v>
      </c>
      <c r="AK1822" s="82">
        <f>IFERROR(__xludf.DUMMYFUNCTION("""COMPUTED_VALUE"""),0.7934003645077383)</f>
        <v>0.7934003645</v>
      </c>
      <c r="AL1822" s="82">
        <f>IFERROR(__xludf.DUMMYFUNCTION("""COMPUTED_VALUE"""),0.8407363609172814)</f>
        <v>0.8407363609</v>
      </c>
      <c r="AM1822" s="82">
        <f>IFERROR(__xludf.DUMMYFUNCTION("""COMPUTED_VALUE"""),0.9868200878027235)</f>
        <v>0.9868200878</v>
      </c>
      <c r="AN1822" s="82">
        <f>IFERROR(__xludf.DUMMYFUNCTION("""COMPUTED_VALUE"""),0.8797712621044732)</f>
        <v>0.8797712621</v>
      </c>
      <c r="AO1822" s="82">
        <f>IFERROR(__xludf.DUMMYFUNCTION("""COMPUTED_VALUE"""),0.5833600548756446)</f>
        <v>0.5833600549</v>
      </c>
      <c r="AP1822" s="82">
        <f>IFERROR(__xludf.DUMMYFUNCTION("""COMPUTED_VALUE"""),0.6802430996646546)</f>
        <v>0.6802430997</v>
      </c>
      <c r="AQ1822" s="82">
        <f>IFERROR(__xludf.DUMMYFUNCTION("""COMPUTED_VALUE"""),0.7994436283427122)</f>
        <v>0.7994436283</v>
      </c>
      <c r="AR1822" s="82">
        <f>IFERROR(__xludf.DUMMYFUNCTION("""COMPUTED_VALUE"""),0.8795872343547139)</f>
        <v>0.8795872344</v>
      </c>
      <c r="AS1822" s="82">
        <f>IFERROR(__xludf.DUMMYFUNCTION("""COMPUTED_VALUE"""),35.0)</f>
        <v>35</v>
      </c>
      <c r="AT1822" s="82">
        <f>IFERROR(__xludf.DUMMYFUNCTION("""COMPUTED_VALUE"""),0.45204300855919893)</f>
        <v>0.4520430086</v>
      </c>
      <c r="AU1822" s="82">
        <f>IFERROR(__xludf.DUMMYFUNCTION("""COMPUTED_VALUE"""),1.3927026812012597)</f>
        <v>1.392702681</v>
      </c>
      <c r="AV1822" s="82">
        <f>IFERROR(__xludf.DUMMYFUNCTION("""COMPUTED_VALUE"""),28.680276738022886)</f>
        <v>28.68027674</v>
      </c>
      <c r="AW1822" s="82">
        <f t="shared" si="1"/>
        <v>-5.079025012</v>
      </c>
      <c r="AX1822" s="83">
        <f t="array" ref="AX1822">IFERROR(DGET('SBV Import'!A:G,"SBV",{"RSC ID","Tier";B1822,A1822}))</f>
        <v>44.22400552</v>
      </c>
      <c r="AY1822" s="82">
        <f t="shared" si="2"/>
        <v>-2.447130065</v>
      </c>
      <c r="AZ1822" s="82">
        <v>2.631894946513822</v>
      </c>
      <c r="BA1822" s="84">
        <v>1700.0</v>
      </c>
      <c r="BB1822" s="84" t="b">
        <f>IFERROR(__xludf.DUMMYFUNCTION("iferror(if(A1822="""",,E1822&gt;=FILTER(Constants!$F$2:$F$10,Constants!$A$2:$A$10=A1822)))"),TRUE)</f>
        <v>1</v>
      </c>
    </row>
    <row r="1823">
      <c r="A1823" s="89" t="str">
        <f>IFERROR(__xludf.DUMMYFUNCTION("""COMPUTED_VALUE"""),"Rival")</f>
        <v>Rival</v>
      </c>
      <c r="B1823" s="87" t="str">
        <f>IFERROR(__xludf.DUMMYFUNCTION("""COMPUTED_VALUE"""),"RSC004888")</f>
        <v>RSC004888</v>
      </c>
      <c r="C1823" s="73" t="str">
        <f>IFERROR(__xludf.DUMMYFUNCTION("""COMPUTED_VALUE"""),"AgentAnime07")</f>
        <v>AgentAnime07</v>
      </c>
      <c r="D1823" s="73" t="str">
        <f>IFERROR(__xludf.DUMMYFUNCTION("""COMPUTED_VALUE"""),"Phantoms")</f>
        <v>Phantoms</v>
      </c>
      <c r="E1823" s="82">
        <f>IFERROR(__xludf.DUMMYFUNCTION("""COMPUTED_VALUE"""),36.0)</f>
        <v>36</v>
      </c>
      <c r="F1823" s="82">
        <f>IFERROR(__xludf.DUMMYFUNCTION("""COMPUTED_VALUE"""),12.0)</f>
        <v>12</v>
      </c>
      <c r="G1823" s="86">
        <f>IFERROR(__xludf.DUMMYFUNCTION("""COMPUTED_VALUE"""),24.0)</f>
        <v>24</v>
      </c>
      <c r="H1823" s="86">
        <f>IFERROR(__xludf.DUMMYFUNCTION("""COMPUTED_VALUE"""),0.3333333333333333)</f>
        <v>0.3333333333</v>
      </c>
      <c r="I1823" s="86">
        <f>IFERROR(__xludf.DUMMYFUNCTION("""COMPUTED_VALUE"""),0.29729729729729737)</f>
        <v>0.2972972973</v>
      </c>
      <c r="J1823" s="82">
        <f>IFERROR(__xludf.DUMMYFUNCTION("""COMPUTED_VALUE"""),310.3611111111111)</f>
        <v>310.3611111</v>
      </c>
      <c r="K1823" s="82">
        <f>IFERROR(__xludf.DUMMYFUNCTION("""COMPUTED_VALUE"""),0.6111111111111112)</f>
        <v>0.6111111111</v>
      </c>
      <c r="L1823" s="82">
        <f>IFERROR(__xludf.DUMMYFUNCTION("""COMPUTED_VALUE"""),0.4444444444444444)</f>
        <v>0.4444444444</v>
      </c>
      <c r="M1823" s="82">
        <f>IFERROR(__xludf.DUMMYFUNCTION("""COMPUTED_VALUE"""),1.3611111111111112)</f>
        <v>1.361111111</v>
      </c>
      <c r="N1823" s="82">
        <f>IFERROR(__xludf.DUMMYFUNCTION("""COMPUTED_VALUE"""),2.0555555555555554)</f>
        <v>2.055555556</v>
      </c>
      <c r="O1823" s="82">
        <f>IFERROR(__xludf.DUMMYFUNCTION("""COMPUTED_VALUE"""),369.75)</f>
        <v>369.75</v>
      </c>
      <c r="P1823" s="82">
        <f>IFERROR(__xludf.DUMMYFUNCTION("""COMPUTED_VALUE"""),0.9907407407407407)</f>
        <v>0.9907407407</v>
      </c>
      <c r="Q1823" s="82">
        <f>IFERROR(__xludf.DUMMYFUNCTION("""COMPUTED_VALUE"""),0.712962962962963)</f>
        <v>0.712962963</v>
      </c>
      <c r="R1823" s="82">
        <f>IFERROR(__xludf.DUMMYFUNCTION("""COMPUTED_VALUE"""),1.1574074074074074)</f>
        <v>1.157407407</v>
      </c>
      <c r="S1823" s="82">
        <f>IFERROR(__xludf.DUMMYFUNCTION("""COMPUTED_VALUE"""),2.824074074074074)</f>
        <v>2.824074074</v>
      </c>
      <c r="T1823" s="82">
        <f>IFERROR(__xludf.DUMMYFUNCTION("""COMPUTED_VALUE"""),350.3008550775964)</f>
        <v>350.3008551</v>
      </c>
      <c r="U1823" s="82">
        <f>IFERROR(__xludf.DUMMYFUNCTION("""COMPUTED_VALUE"""),0.8114961448459055)</f>
        <v>0.8114961448</v>
      </c>
      <c r="V1823" s="82">
        <f>IFERROR(__xludf.DUMMYFUNCTION("""COMPUTED_VALUE"""),0.5504679209458184)</f>
        <v>0.5504679209</v>
      </c>
      <c r="W1823" s="82">
        <f>IFERROR(__xludf.DUMMYFUNCTION("""COMPUTED_VALUE"""),1.2974071350460235)</f>
        <v>1.297407135</v>
      </c>
      <c r="X1823" s="82">
        <f>IFERROR(__xludf.DUMMYFUNCTION("""COMPUTED_VALUE"""),2.513469928728291)</f>
        <v>2.513469929</v>
      </c>
      <c r="Y1823" s="82">
        <f>IFERROR(__xludf.DUMMYFUNCTION("""COMPUTED_VALUE"""),339.68933652652777)</f>
        <v>339.6893365</v>
      </c>
      <c r="Z1823" s="82">
        <f>IFERROR(__xludf.DUMMYFUNCTION("""COMPUTED_VALUE"""),0.7405953850970772)</f>
        <v>0.7405953851</v>
      </c>
      <c r="AA1823" s="82">
        <f>IFERROR(__xludf.DUMMYFUNCTION("""COMPUTED_VALUE"""),0.5222303451743914)</f>
        <v>0.5222303452</v>
      </c>
      <c r="AB1823" s="82">
        <f>IFERROR(__xludf.DUMMYFUNCTION("""COMPUTED_VALUE"""),1.2968482113046038)</f>
        <v>1.296848211</v>
      </c>
      <c r="AC1823" s="82">
        <f>IFERROR(__xludf.DUMMYFUNCTION("""COMPUTED_VALUE"""),2.463049098839123)</f>
        <v>2.463049099</v>
      </c>
      <c r="AD1823" s="82">
        <f>IFERROR(__xludf.DUMMYFUNCTION("""COMPUTED_VALUE"""),0.913661624720662)</f>
        <v>0.9136616247</v>
      </c>
      <c r="AE1823" s="82">
        <f>IFERROR(__xludf.DUMMYFUNCTION("""COMPUTED_VALUE"""),0.8251619216220295)</f>
        <v>0.8251619216</v>
      </c>
      <c r="AF1823" s="82">
        <f>IFERROR(__xludf.DUMMYFUNCTION("""COMPUTED_VALUE"""),0.8510505920448352)</f>
        <v>0.851050592</v>
      </c>
      <c r="AG1823" s="82">
        <f>IFERROR(__xludf.DUMMYFUNCTION("""COMPUTED_VALUE"""),1.0495531391001112)</f>
        <v>1.049553139</v>
      </c>
      <c r="AH1823" s="82">
        <f>IFERROR(__xludf.DUMMYFUNCTION("""COMPUTED_VALUE"""),0.8345572796435011)</f>
        <v>0.8345572796</v>
      </c>
      <c r="AI1823" s="82">
        <f>IFERROR(__xludf.DUMMYFUNCTION("""COMPUTED_VALUE"""),1.055521260198167)</f>
        <v>1.05552126</v>
      </c>
      <c r="AJ1823" s="82">
        <f>IFERROR(__xludf.DUMMYFUNCTION("""COMPUTED_VALUE"""),1.2208816357702745)</f>
        <v>1.220881636</v>
      </c>
      <c r="AK1823" s="82">
        <f>IFERROR(__xludf.DUMMYFUNCTION("""COMPUTED_VALUE"""),1.2951943897801426)</f>
        <v>1.29519439</v>
      </c>
      <c r="AL1823" s="82">
        <f>IFERROR(__xludf.DUMMYFUNCTION("""COMPUTED_VALUE"""),0.8920926794242967)</f>
        <v>0.8920926794</v>
      </c>
      <c r="AM1823" s="82">
        <f>IFERROR(__xludf.DUMMYFUNCTION("""COMPUTED_VALUE"""),1.1235758350619836)</f>
        <v>1.123575835</v>
      </c>
      <c r="AN1823" s="82">
        <f>IFERROR(__xludf.DUMMYFUNCTION("""COMPUTED_VALUE"""),0.9156790985368485)</f>
        <v>0.9156790985</v>
      </c>
      <c r="AO1823" s="82">
        <f>IFERROR(__xludf.DUMMYFUNCTION("""COMPUTED_VALUE"""),0.8318282263967527)</f>
        <v>0.8318282264</v>
      </c>
      <c r="AP1823" s="82">
        <f>IFERROR(__xludf.DUMMYFUNCTION("""COMPUTED_VALUE"""),0.7936169496087636)</f>
        <v>0.7936169496</v>
      </c>
      <c r="AQ1823" s="82">
        <f>IFERROR(__xludf.DUMMYFUNCTION("""COMPUTED_VALUE"""),1.0386710777331452)</f>
        <v>1.038671078</v>
      </c>
      <c r="AR1823" s="82">
        <f>IFERROR(__xludf.DUMMYFUNCTION("""COMPUTED_VALUE"""),0.8254097597748943)</f>
        <v>0.8254097598</v>
      </c>
      <c r="AS1823" s="82">
        <f>IFERROR(__xludf.DUMMYFUNCTION("""COMPUTED_VALUE"""),66.0)</f>
        <v>66</v>
      </c>
      <c r="AT1823" s="82">
        <f>IFERROR(__xludf.DUMMYFUNCTION("""COMPUTED_VALUE"""),0.31904467506924883)</f>
        <v>0.3190446751</v>
      </c>
      <c r="AU1823" s="82">
        <f>IFERROR(__xludf.DUMMYFUNCTION("""COMPUTED_VALUE"""),1.3742229461767153)</f>
        <v>1.374222946</v>
      </c>
      <c r="AV1823" s="82">
        <f>IFERROR(__xludf.DUMMYFUNCTION("""COMPUTED_VALUE"""),28.02749729620409)</f>
        <v>28.0274973</v>
      </c>
      <c r="AW1823" s="82">
        <f t="shared" si="1"/>
        <v>-5.270711101</v>
      </c>
      <c r="AX1823" s="83">
        <f t="array" ref="AX1823">IFERROR(DGET('SBV Import'!A:G,"SBV",{"RSC ID","Tier";B1823,A1823}))</f>
        <v>34.44090279</v>
      </c>
      <c r="AY1823" s="82">
        <f t="shared" si="2"/>
        <v>-3.74740525</v>
      </c>
      <c r="AZ1823" s="82">
        <v>1.5233058509989075</v>
      </c>
      <c r="BA1823" s="84">
        <v>1700.0</v>
      </c>
      <c r="BB1823" s="84" t="b">
        <f>IFERROR(__xludf.DUMMYFUNCTION("iferror(if(A1823="""",,E1823&gt;=FILTER(Constants!$F$2:$F$10,Constants!$A$2:$A$10=A1823)))"),TRUE)</f>
        <v>1</v>
      </c>
    </row>
    <row r="1824">
      <c r="A1824" s="89" t="str">
        <f>IFERROR(__xludf.DUMMYFUNCTION("""COMPUTED_VALUE"""),"Rival")</f>
        <v>Rival</v>
      </c>
      <c r="B1824" s="87" t="str">
        <f>IFERROR(__xludf.DUMMYFUNCTION("""COMPUTED_VALUE"""),"RSC000813")</f>
        <v>RSC000813</v>
      </c>
      <c r="C1824" s="73" t="str">
        <f>IFERROR(__xludf.DUMMYFUNCTION("""COMPUTED_VALUE"""),"Ziggy.")</f>
        <v>Ziggy.</v>
      </c>
      <c r="D1824" s="73" t="str">
        <f>IFERROR(__xludf.DUMMYFUNCTION("""COMPUTED_VALUE"""),"Dice")</f>
        <v>Dice</v>
      </c>
      <c r="E1824" s="82">
        <f>IFERROR(__xludf.DUMMYFUNCTION("""COMPUTED_VALUE"""),19.0)</f>
        <v>19</v>
      </c>
      <c r="F1824" s="82">
        <f>IFERROR(__xludf.DUMMYFUNCTION("""COMPUTED_VALUE"""),6.0)</f>
        <v>6</v>
      </c>
      <c r="G1824" s="86">
        <f>IFERROR(__xludf.DUMMYFUNCTION("""COMPUTED_VALUE"""),13.0)</f>
        <v>13</v>
      </c>
      <c r="H1824" s="86">
        <f>IFERROR(__xludf.DUMMYFUNCTION("""COMPUTED_VALUE"""),0.3157894736842105)</f>
        <v>0.3157894737</v>
      </c>
      <c r="I1824" s="86">
        <f>IFERROR(__xludf.DUMMYFUNCTION("""COMPUTED_VALUE"""),0.3414634146341463)</f>
        <v>0.3414634146</v>
      </c>
      <c r="J1824" s="82">
        <f>IFERROR(__xludf.DUMMYFUNCTION("""COMPUTED_VALUE"""),283.7368421052632)</f>
        <v>283.7368421</v>
      </c>
      <c r="K1824" s="82">
        <f>IFERROR(__xludf.DUMMYFUNCTION("""COMPUTED_VALUE"""),0.7368421052631579)</f>
        <v>0.7368421053</v>
      </c>
      <c r="L1824" s="82">
        <f>IFERROR(__xludf.DUMMYFUNCTION("""COMPUTED_VALUE"""),0.3157894736842105)</f>
        <v>0.3157894737</v>
      </c>
      <c r="M1824" s="82">
        <f>IFERROR(__xludf.DUMMYFUNCTION("""COMPUTED_VALUE"""),0.8947368421052632)</f>
        <v>0.8947368421</v>
      </c>
      <c r="N1824" s="82">
        <f>IFERROR(__xludf.DUMMYFUNCTION("""COMPUTED_VALUE"""),2.1578947368421053)</f>
        <v>2.157894737</v>
      </c>
      <c r="O1824" s="82">
        <f>IFERROR(__xludf.DUMMYFUNCTION("""COMPUTED_VALUE"""),368.578947368421)</f>
        <v>368.5789474</v>
      </c>
      <c r="P1824" s="82">
        <f>IFERROR(__xludf.DUMMYFUNCTION("""COMPUTED_VALUE"""),1.0175438596491226)</f>
        <v>1.01754386</v>
      </c>
      <c r="Q1824" s="82">
        <f>IFERROR(__xludf.DUMMYFUNCTION("""COMPUTED_VALUE"""),0.6842105263157896)</f>
        <v>0.6842105263</v>
      </c>
      <c r="R1824" s="82">
        <f>IFERROR(__xludf.DUMMYFUNCTION("""COMPUTED_VALUE"""),1.3157894736842106)</f>
        <v>1.315789474</v>
      </c>
      <c r="S1824" s="82">
        <f>IFERROR(__xludf.DUMMYFUNCTION("""COMPUTED_VALUE"""),2.701754385964912)</f>
        <v>2.701754386</v>
      </c>
      <c r="T1824" s="82">
        <f>IFERROR(__xludf.DUMMYFUNCTION("""COMPUTED_VALUE"""),346.9924552490678)</f>
        <v>346.9924552</v>
      </c>
      <c r="U1824" s="82">
        <f>IFERROR(__xludf.DUMMYFUNCTION("""COMPUTED_VALUE"""),0.8248357836357568)</f>
        <v>0.8248357836</v>
      </c>
      <c r="V1824" s="82">
        <f>IFERROR(__xludf.DUMMYFUNCTION("""COMPUTED_VALUE"""),0.5726639881707859)</f>
        <v>0.5726639882</v>
      </c>
      <c r="W1824" s="82">
        <f>IFERROR(__xludf.DUMMYFUNCTION("""COMPUTED_VALUE"""),1.3147498626668095)</f>
        <v>1.314749863</v>
      </c>
      <c r="X1824" s="82">
        <f>IFERROR(__xludf.DUMMYFUNCTION("""COMPUTED_VALUE"""),2.6184713337593934)</f>
        <v>2.618471334</v>
      </c>
      <c r="Y1824" s="82">
        <f>IFERROR(__xludf.DUMMYFUNCTION("""COMPUTED_VALUE"""),347.1136570614193)</f>
        <v>347.1136571</v>
      </c>
      <c r="Z1824" s="82">
        <f>IFERROR(__xludf.DUMMYFUNCTION("""COMPUTED_VALUE"""),0.7846162703119672)</f>
        <v>0.7846162703</v>
      </c>
      <c r="AA1824" s="82">
        <f>IFERROR(__xludf.DUMMYFUNCTION("""COMPUTED_VALUE"""),0.5381352174594873)</f>
        <v>0.5381352175</v>
      </c>
      <c r="AB1824" s="82">
        <f>IFERROR(__xludf.DUMMYFUNCTION("""COMPUTED_VALUE"""),1.3768176093859232)</f>
        <v>1.376817609</v>
      </c>
      <c r="AC1824" s="82">
        <f>IFERROR(__xludf.DUMMYFUNCTION("""COMPUTED_VALUE"""),2.6090042180722848)</f>
        <v>2.609004218</v>
      </c>
      <c r="AD1824" s="82">
        <f>IFERROR(__xludf.DUMMYFUNCTION("""COMPUTED_VALUE"""),0.8174176853406202)</f>
        <v>0.8174176853</v>
      </c>
      <c r="AE1824" s="82">
        <f>IFERROR(__xludf.DUMMYFUNCTION("""COMPUTED_VALUE"""),0.9391114270039109)</f>
        <v>0.939111427</v>
      </c>
      <c r="AF1824" s="82">
        <f>IFERROR(__xludf.DUMMYFUNCTION("""COMPUTED_VALUE"""),0.5868217939257696)</f>
        <v>0.5868217939</v>
      </c>
      <c r="AG1824" s="82">
        <f>IFERROR(__xludf.DUMMYFUNCTION("""COMPUTED_VALUE"""),0.6498586566628286)</f>
        <v>0.6498586567</v>
      </c>
      <c r="AH1824" s="82">
        <f>IFERROR(__xludf.DUMMYFUNCTION("""COMPUTED_VALUE"""),0.8270951506688284)</f>
        <v>0.8270951507</v>
      </c>
      <c r="AI1824" s="82">
        <f>IFERROR(__xludf.DUMMYFUNCTION("""COMPUTED_VALUE"""),1.062210263631982)</f>
        <v>1.062210264</v>
      </c>
      <c r="AJ1824" s="82">
        <f>IFERROR(__xludf.DUMMYFUNCTION("""COMPUTED_VALUE"""),1.2336320511750065)</f>
        <v>1.233632051</v>
      </c>
      <c r="AK1824" s="82">
        <f>IFERROR(__xludf.DUMMYFUNCTION("""COMPUTED_VALUE"""),1.1947853199243552)</f>
        <v>1.19478532</v>
      </c>
      <c r="AL1824" s="82">
        <f>IFERROR(__xludf.DUMMYFUNCTION("""COMPUTED_VALUE"""),1.00079072913177)</f>
        <v>1.000790729</v>
      </c>
      <c r="AM1824" s="82">
        <f>IFERROR(__xludf.DUMMYFUNCTION("""COMPUTED_VALUE"""),1.0318059820368348)</f>
        <v>1.031805982</v>
      </c>
      <c r="AN1824" s="82">
        <f>IFERROR(__xludf.DUMMYFUNCTION("""COMPUTED_VALUE"""),0.8371277408773851)</f>
        <v>0.8371277409</v>
      </c>
      <c r="AO1824" s="82">
        <f>IFERROR(__xludf.DUMMYFUNCTION("""COMPUTED_VALUE"""),1.002969918909003)</f>
        <v>1.002969919</v>
      </c>
      <c r="AP1824" s="82">
        <f>IFERROR(__xludf.DUMMYFUNCTION("""COMPUTED_VALUE"""),0.5638857273535952)</f>
        <v>0.5638857274</v>
      </c>
      <c r="AQ1824" s="82">
        <f>IFERROR(__xludf.DUMMYFUNCTION("""COMPUTED_VALUE"""),0.6827784098525078)</f>
        <v>0.6827784099</v>
      </c>
      <c r="AR1824" s="82">
        <f>IFERROR(__xludf.DUMMYFUNCTION("""COMPUTED_VALUE"""),0.8665041290382248)</f>
        <v>0.866504129</v>
      </c>
      <c r="AS1824" s="82">
        <f>IFERROR(__xludf.DUMMYFUNCTION("""COMPUTED_VALUE"""),38.0)</f>
        <v>38</v>
      </c>
      <c r="AT1824" s="82">
        <f>IFERROR(__xludf.DUMMYFUNCTION("""COMPUTED_VALUE"""),0.3377949545104446)</f>
        <v>0.3377949545</v>
      </c>
      <c r="AU1824" s="82">
        <f>IFERROR(__xludf.DUMMYFUNCTION("""COMPUTED_VALUE"""),1.3579329267037634)</f>
        <v>1.357932927</v>
      </c>
      <c r="AV1824" s="82">
        <f>IFERROR(__xludf.DUMMYFUNCTION("""COMPUTED_VALUE"""),27.45206751841522)</f>
        <v>27.45206752</v>
      </c>
      <c r="AW1824" s="82">
        <f t="shared" si="1"/>
        <v>-5.448094895</v>
      </c>
      <c r="AX1824" s="83">
        <f t="array" ref="AX1824">IFERROR(DGET('SBV Import'!A:G,"SBV",{"RSC ID","Tier";B1824,A1824}))</f>
        <v>26.75778857</v>
      </c>
      <c r="AY1824" s="82">
        <f t="shared" si="2"/>
        <v>-5.673237208</v>
      </c>
      <c r="AZ1824" s="82">
        <v>0.22514231275582475</v>
      </c>
      <c r="BA1824" s="84">
        <v>1700.0</v>
      </c>
      <c r="BB1824" s="84" t="b">
        <f>IFERROR(__xludf.DUMMYFUNCTION("iferror(if(A1824="""",,E1824&gt;=FILTER(Constants!$F$2:$F$10,Constants!$A$2:$A$10=A1824)))"),TRUE)</f>
        <v>1</v>
      </c>
    </row>
    <row r="1825">
      <c r="A1825" s="89" t="str">
        <f>IFERROR(__xludf.DUMMYFUNCTION("""COMPUTED_VALUE"""),"Rival")</f>
        <v>Rival</v>
      </c>
      <c r="B1825" s="87" t="str">
        <f>IFERROR(__xludf.DUMMYFUNCTION("""COMPUTED_VALUE"""),"RSC005934")</f>
        <v>RSC005934</v>
      </c>
      <c r="C1825" s="73" t="str">
        <f>IFERROR(__xludf.DUMMYFUNCTION("""COMPUTED_VALUE"""),"TheodoreThe2")</f>
        <v>TheodoreThe2</v>
      </c>
      <c r="D1825" s="73" t="str">
        <f>IFERROR(__xludf.DUMMYFUNCTION("""COMPUTED_VALUE"""),"Ruthless Racket")</f>
        <v>Ruthless Racket</v>
      </c>
      <c r="E1825" s="82">
        <f>IFERROR(__xludf.DUMMYFUNCTION("""COMPUTED_VALUE"""),14.0)</f>
        <v>14</v>
      </c>
      <c r="F1825" s="82">
        <f>IFERROR(__xludf.DUMMYFUNCTION("""COMPUTED_VALUE"""),5.0)</f>
        <v>5</v>
      </c>
      <c r="G1825" s="86">
        <f>IFERROR(__xludf.DUMMYFUNCTION("""COMPUTED_VALUE"""),9.0)</f>
        <v>9</v>
      </c>
      <c r="H1825" s="86">
        <f>IFERROR(__xludf.DUMMYFUNCTION("""COMPUTED_VALUE"""),0.35714285714285715)</f>
        <v>0.3571428571</v>
      </c>
      <c r="I1825" s="86">
        <f>IFERROR(__xludf.DUMMYFUNCTION("""COMPUTED_VALUE"""),0.23076923076923075)</f>
        <v>0.2307692308</v>
      </c>
      <c r="J1825" s="82">
        <f>IFERROR(__xludf.DUMMYFUNCTION("""COMPUTED_VALUE"""),339.5)</f>
        <v>339.5</v>
      </c>
      <c r="K1825" s="82">
        <f>IFERROR(__xludf.DUMMYFUNCTION("""COMPUTED_VALUE"""),0.42857142857142855)</f>
        <v>0.4285714286</v>
      </c>
      <c r="L1825" s="82">
        <f>IFERROR(__xludf.DUMMYFUNCTION("""COMPUTED_VALUE"""),0.5)</f>
        <v>0.5</v>
      </c>
      <c r="M1825" s="82">
        <f>IFERROR(__xludf.DUMMYFUNCTION("""COMPUTED_VALUE"""),1.4285714285714286)</f>
        <v>1.428571429</v>
      </c>
      <c r="N1825" s="82">
        <f>IFERROR(__xludf.DUMMYFUNCTION("""COMPUTED_VALUE"""),1.8571428571428572)</f>
        <v>1.857142857</v>
      </c>
      <c r="O1825" s="82">
        <f>IFERROR(__xludf.DUMMYFUNCTION("""COMPUTED_VALUE"""),353.9761904761905)</f>
        <v>353.9761905</v>
      </c>
      <c r="P1825" s="82">
        <f>IFERROR(__xludf.DUMMYFUNCTION("""COMPUTED_VALUE"""),0.8095238095238095)</f>
        <v>0.8095238095</v>
      </c>
      <c r="Q1825" s="82">
        <f>IFERROR(__xludf.DUMMYFUNCTION("""COMPUTED_VALUE"""),0.6190476190476192)</f>
        <v>0.619047619</v>
      </c>
      <c r="R1825" s="82">
        <f>IFERROR(__xludf.DUMMYFUNCTION("""COMPUTED_VALUE"""),1.0238095238095237)</f>
        <v>1.023809524</v>
      </c>
      <c r="S1825" s="82">
        <f>IFERROR(__xludf.DUMMYFUNCTION("""COMPUTED_VALUE"""),2.857142857142857)</f>
        <v>2.857142857</v>
      </c>
      <c r="T1825" s="82">
        <f>IFERROR(__xludf.DUMMYFUNCTION("""COMPUTED_VALUE"""),357.01977830834574)</f>
        <v>357.0197783</v>
      </c>
      <c r="U1825" s="82">
        <f>IFERROR(__xludf.DUMMYFUNCTION("""COMPUTED_VALUE"""),0.8355872042779067)</f>
        <v>0.8355872043</v>
      </c>
      <c r="V1825" s="82">
        <f>IFERROR(__xludf.DUMMYFUNCTION("""COMPUTED_VALUE"""),0.5773201484895034)</f>
        <v>0.5773201485</v>
      </c>
      <c r="W1825" s="82">
        <f>IFERROR(__xludf.DUMMYFUNCTION("""COMPUTED_VALUE"""),1.324530752471929)</f>
        <v>1.324530752</v>
      </c>
      <c r="X1825" s="82">
        <f>IFERROR(__xludf.DUMMYFUNCTION("""COMPUTED_VALUE"""),2.632877576864768)</f>
        <v>2.632877577</v>
      </c>
      <c r="Y1825" s="82">
        <f>IFERROR(__xludf.DUMMYFUNCTION("""COMPUTED_VALUE"""),342.56114876862426)</f>
        <v>342.5611488</v>
      </c>
      <c r="Z1825" s="82">
        <f>IFERROR(__xludf.DUMMYFUNCTION("""COMPUTED_VALUE"""),0.7797531472381252)</f>
        <v>0.7797531472</v>
      </c>
      <c r="AA1825" s="82">
        <f>IFERROR(__xludf.DUMMYFUNCTION("""COMPUTED_VALUE"""),0.566648289221028)</f>
        <v>0.5666482892</v>
      </c>
      <c r="AB1825" s="82">
        <f>IFERROR(__xludf.DUMMYFUNCTION("""COMPUTED_VALUE"""),1.2337690905330057)</f>
        <v>1.233769091</v>
      </c>
      <c r="AC1825" s="82">
        <f>IFERROR(__xludf.DUMMYFUNCTION("""COMPUTED_VALUE"""),2.545850061603541)</f>
        <v>2.545850062</v>
      </c>
      <c r="AD1825" s="82">
        <f>IFERROR(__xludf.DUMMYFUNCTION("""COMPUTED_VALUE"""),0.9910639347759431)</f>
        <v>0.9910639348</v>
      </c>
      <c r="AE1825" s="82">
        <f>IFERROR(__xludf.DUMMYFUNCTION("""COMPUTED_VALUE"""),0.5496244934559387)</f>
        <v>0.5496244935</v>
      </c>
      <c r="AF1825" s="82">
        <f>IFERROR(__xludf.DUMMYFUNCTION("""COMPUTED_VALUE"""),0.882381557504304)</f>
        <v>0.8823815575</v>
      </c>
      <c r="AG1825" s="82">
        <f>IFERROR(__xludf.DUMMYFUNCTION("""COMPUTED_VALUE"""),1.1578920557608277)</f>
        <v>1.157892056</v>
      </c>
      <c r="AH1825" s="82">
        <f>IFERROR(__xludf.DUMMYFUNCTION("""COMPUTED_VALUE"""),0.7294784893864128)</f>
        <v>0.7294784894</v>
      </c>
      <c r="AI1825" s="82">
        <f>IFERROR(__xludf.DUMMYFUNCTION("""COMPUTED_VALUE"""),0.9914750161837628)</f>
        <v>0.9914750162</v>
      </c>
      <c r="AJ1825" s="82">
        <f>IFERROR(__xludf.DUMMYFUNCTION("""COMPUTED_VALUE"""),0.9688082888049723)</f>
        <v>0.9688082888</v>
      </c>
      <c r="AK1825" s="82">
        <f>IFERROR(__xludf.DUMMYFUNCTION("""COMPUTED_VALUE"""),1.0722778698565973)</f>
        <v>1.07227787</v>
      </c>
      <c r="AL1825" s="82">
        <f>IFERROR(__xludf.DUMMYFUNCTION("""COMPUTED_VALUE"""),0.7729601761973598)</f>
        <v>0.7729601762</v>
      </c>
      <c r="AM1825" s="82">
        <f>IFERROR(__xludf.DUMMYFUNCTION("""COMPUTED_VALUE"""),1.0851787725524042)</f>
        <v>1.085178773</v>
      </c>
      <c r="AN1825" s="82">
        <f>IFERROR(__xludf.DUMMYFUNCTION("""COMPUTED_VALUE"""),1.0016495070542704)</f>
        <v>1.001649507</v>
      </c>
      <c r="AO1825" s="82">
        <f>IFERROR(__xludf.DUMMYFUNCTION("""COMPUTED_VALUE"""),0.5833600548756446)</f>
        <v>0.5833600549</v>
      </c>
      <c r="AP1825" s="82">
        <f>IFERROR(__xludf.DUMMYFUNCTION("""COMPUTED_VALUE"""),0.8928190683098591)</f>
        <v>0.8928190683</v>
      </c>
      <c r="AQ1825" s="82">
        <f>IFERROR(__xludf.DUMMYFUNCTION("""COMPUTED_VALUE"""),1.0901504022855166)</f>
        <v>1.090150402</v>
      </c>
      <c r="AR1825" s="82">
        <f>IFERROR(__xludf.DUMMYFUNCTION("""COMPUTED_VALUE"""),0.745737003039866)</f>
        <v>0.745737003</v>
      </c>
      <c r="AS1825" s="82">
        <f>IFERROR(__xludf.DUMMYFUNCTION("""COMPUTED_VALUE"""),24.0)</f>
        <v>24</v>
      </c>
      <c r="AT1825" s="82">
        <f>IFERROR(__xludf.DUMMYFUNCTION("""COMPUTED_VALUE"""),0.3719749676746582)</f>
        <v>0.3719749677</v>
      </c>
      <c r="AU1825" s="82">
        <f>IFERROR(__xludf.DUMMYFUNCTION("""COMPUTED_VALUE"""),1.3332967940197171)</f>
        <v>1.333296794</v>
      </c>
      <c r="AV1825" s="82">
        <f>IFERROR(__xludf.DUMMYFUNCTION("""COMPUTED_VALUE"""),26.581819058645326)</f>
        <v>26.58181906</v>
      </c>
      <c r="AW1825" s="82">
        <f t="shared" si="1"/>
        <v>-5.732319892</v>
      </c>
      <c r="AX1825" s="83">
        <f t="array" ref="AX1825">IFERROR(DGET('SBV Import'!A:G,"SBV",{"RSC ID","Tier";B1825,A1825}))</f>
        <v>40.2908239</v>
      </c>
      <c r="AY1825" s="82">
        <f t="shared" si="2"/>
        <v>-2.866379031</v>
      </c>
      <c r="AZ1825" s="82">
        <v>2.8659408606293226</v>
      </c>
      <c r="BA1825" s="84">
        <v>1700.0</v>
      </c>
      <c r="BB1825" s="84" t="b">
        <f>IFERROR(__xludf.DUMMYFUNCTION("iferror(if(A1825="""",,E1825&gt;=FILTER(Constants!$F$2:$F$10,Constants!$A$2:$A$10=A1825)))"),TRUE)</f>
        <v>1</v>
      </c>
    </row>
    <row r="1826">
      <c r="A1826" s="89" t="str">
        <f>IFERROR(__xludf.DUMMYFUNCTION("""COMPUTED_VALUE"""),"Rival")</f>
        <v>Rival</v>
      </c>
      <c r="B1826" s="87" t="str">
        <f>IFERROR(__xludf.DUMMYFUNCTION("""COMPUTED_VALUE"""),"RSC007774")</f>
        <v>RSC007774</v>
      </c>
      <c r="C1826" s="73" t="str">
        <f>IFERROR(__xludf.DUMMYFUNCTION("""COMPUTED_VALUE"""),"Il Rogue lI")</f>
        <v>Il Rogue lI</v>
      </c>
      <c r="D1826" s="73"/>
      <c r="E1826" s="82">
        <f>IFERROR(__xludf.DUMMYFUNCTION("""COMPUTED_VALUE"""),4.0)</f>
        <v>4</v>
      </c>
      <c r="F1826" s="82">
        <f>IFERROR(__xludf.DUMMYFUNCTION("""COMPUTED_VALUE"""),1.0)</f>
        <v>1</v>
      </c>
      <c r="G1826" s="86">
        <f>IFERROR(__xludf.DUMMYFUNCTION("""COMPUTED_VALUE"""),3.0)</f>
        <v>3</v>
      </c>
      <c r="H1826" s="86">
        <f>IFERROR(__xludf.DUMMYFUNCTION("""COMPUTED_VALUE"""),0.25)</f>
        <v>0.25</v>
      </c>
      <c r="I1826" s="86">
        <f>IFERROR(__xludf.DUMMYFUNCTION("""COMPUTED_VALUE"""),0.0)</f>
        <v>0</v>
      </c>
      <c r="J1826" s="82">
        <f>IFERROR(__xludf.DUMMYFUNCTION("""COMPUTED_VALUE"""),305.75)</f>
        <v>305.75</v>
      </c>
      <c r="K1826" s="82">
        <f>IFERROR(__xludf.DUMMYFUNCTION("""COMPUTED_VALUE"""),0.0)</f>
        <v>0</v>
      </c>
      <c r="L1826" s="82">
        <f>IFERROR(__xludf.DUMMYFUNCTION("""COMPUTED_VALUE"""),1.25)</f>
        <v>1.25</v>
      </c>
      <c r="M1826" s="82">
        <f>IFERROR(__xludf.DUMMYFUNCTION("""COMPUTED_VALUE"""),1.75)</f>
        <v>1.75</v>
      </c>
      <c r="N1826" s="82">
        <f>IFERROR(__xludf.DUMMYFUNCTION("""COMPUTED_VALUE"""),2.0)</f>
        <v>2</v>
      </c>
      <c r="O1826" s="82">
        <f>IFERROR(__xludf.DUMMYFUNCTION("""COMPUTED_VALUE"""),356.75000000000006)</f>
        <v>356.75</v>
      </c>
      <c r="P1826" s="82">
        <f>IFERROR(__xludf.DUMMYFUNCTION("""COMPUTED_VALUE"""),0.75)</f>
        <v>0.75</v>
      </c>
      <c r="Q1826" s="82">
        <f>IFERROR(__xludf.DUMMYFUNCTION("""COMPUTED_VALUE"""),0.6666666666666666)</f>
        <v>0.6666666667</v>
      </c>
      <c r="R1826" s="82">
        <f>IFERROR(__xludf.DUMMYFUNCTION("""COMPUTED_VALUE"""),1.1666666666666665)</f>
        <v>1.166666667</v>
      </c>
      <c r="S1826" s="82">
        <f>IFERROR(__xludf.DUMMYFUNCTION("""COMPUTED_VALUE"""),3.333333333333333)</f>
        <v>3.333333333</v>
      </c>
      <c r="T1826" s="82">
        <f>IFERROR(__xludf.DUMMYFUNCTION("""COMPUTED_VALUE"""),321.1805555555556)</f>
        <v>321.1805556</v>
      </c>
      <c r="U1826" s="82">
        <f>IFERROR(__xludf.DUMMYFUNCTION("""COMPUTED_VALUE"""),0.625)</f>
        <v>0.625</v>
      </c>
      <c r="V1826" s="82">
        <f>IFERROR(__xludf.DUMMYFUNCTION("""COMPUTED_VALUE"""),0.611111111111111)</f>
        <v>0.6111111111</v>
      </c>
      <c r="W1826" s="82">
        <f>IFERROR(__xludf.DUMMYFUNCTION("""COMPUTED_VALUE"""),1.222222222222222)</f>
        <v>1.222222222</v>
      </c>
      <c r="X1826" s="82">
        <f>IFERROR(__xludf.DUMMYFUNCTION("""COMPUTED_VALUE"""),2.5)</f>
        <v>2.5</v>
      </c>
      <c r="Y1826" s="82">
        <f>IFERROR(__xludf.DUMMYFUNCTION("""COMPUTED_VALUE"""),372.39351851851853)</f>
        <v>372.3935185</v>
      </c>
      <c r="Z1826" s="82">
        <f>IFERROR(__xludf.DUMMYFUNCTION("""COMPUTED_VALUE"""),0.8425925925925926)</f>
        <v>0.8425925926</v>
      </c>
      <c r="AA1826" s="82">
        <f>IFERROR(__xludf.DUMMYFUNCTION("""COMPUTED_VALUE"""),0.6342592592592592)</f>
        <v>0.6342592593</v>
      </c>
      <c r="AB1826" s="82">
        <f>IFERROR(__xludf.DUMMYFUNCTION("""COMPUTED_VALUE"""),1.3379629629629628)</f>
        <v>1.337962963</v>
      </c>
      <c r="AC1826" s="82">
        <f>IFERROR(__xludf.DUMMYFUNCTION("""COMPUTED_VALUE"""),2.4814814814814814)</f>
        <v>2.481481481</v>
      </c>
      <c r="AD1826" s="82">
        <f>IFERROR(__xludf.DUMMYFUNCTION("""COMPUTED_VALUE"""),0.8210400686251351)</f>
        <v>0.8210400686</v>
      </c>
      <c r="AE1826" s="82">
        <f>IFERROR(__xludf.DUMMYFUNCTION("""COMPUTED_VALUE"""),0.0)</f>
        <v>0</v>
      </c>
      <c r="AF1826" s="82">
        <f>IFERROR(__xludf.DUMMYFUNCTION("""COMPUTED_VALUE"""),1.9708029197080295)</f>
        <v>1.97080292</v>
      </c>
      <c r="AG1826" s="82">
        <f>IFERROR(__xludf.DUMMYFUNCTION("""COMPUTED_VALUE"""),1.3079584775086506)</f>
        <v>1.307958478</v>
      </c>
      <c r="AH1826" s="82">
        <f>IFERROR(__xludf.DUMMYFUNCTION("""COMPUTED_VALUE"""),0.8059701492537313)</f>
        <v>0.8059701493</v>
      </c>
      <c r="AI1826" s="82">
        <f>IFERROR(__xludf.DUMMYFUNCTION("""COMPUTED_VALUE"""),1.110745945945946)</f>
        <v>1.110745946</v>
      </c>
      <c r="AJ1826" s="82">
        <f>IFERROR(__xludf.DUMMYFUNCTION("""COMPUTED_VALUE"""),1.2)</f>
        <v>1.2</v>
      </c>
      <c r="AK1826" s="82">
        <f>IFERROR(__xludf.DUMMYFUNCTION("""COMPUTED_VALUE"""),1.090909090909091)</f>
        <v>1.090909091</v>
      </c>
      <c r="AL1826" s="82">
        <f>IFERROR(__xludf.DUMMYFUNCTION("""COMPUTED_VALUE"""),0.9545454545454545)</f>
        <v>0.9545454545</v>
      </c>
      <c r="AM1826" s="82">
        <f>IFERROR(__xludf.DUMMYFUNCTION("""COMPUTED_VALUE"""),1.3333333333333333)</f>
        <v>1.333333333</v>
      </c>
      <c r="AN1826" s="82">
        <f>IFERROR(__xludf.DUMMYFUNCTION("""COMPUTED_VALUE"""),0.9020746296961507)</f>
        <v>0.9020746297</v>
      </c>
      <c r="AO1826" s="82">
        <f>IFERROR(__xludf.DUMMYFUNCTION("""COMPUTED_VALUE"""),0.0)</f>
        <v>0</v>
      </c>
      <c r="AP1826" s="82">
        <f>IFERROR(__xludf.DUMMYFUNCTION("""COMPUTED_VALUE"""),2.232047670774648)</f>
        <v>2.232047671</v>
      </c>
      <c r="AQ1826" s="82">
        <f>IFERROR(__xludf.DUMMYFUNCTION("""COMPUTED_VALUE"""),1.3354342427997579)</f>
        <v>1.335434243</v>
      </c>
      <c r="AR1826" s="82">
        <f>IFERROR(__xludf.DUMMYFUNCTION("""COMPUTED_VALUE"""),0.8031013878890865)</f>
        <v>0.8031013879</v>
      </c>
      <c r="AS1826" s="82">
        <f>IFERROR(__xludf.DUMMYFUNCTION("""COMPUTED_VALUE"""),7.0)</f>
        <v>7</v>
      </c>
      <c r="AT1826" s="82">
        <f>IFERROR(__xludf.DUMMYFUNCTION("""COMPUTED_VALUE"""),0.4075463360783245)</f>
        <v>0.4075463361</v>
      </c>
      <c r="AU1826" s="82">
        <f>IFERROR(__xludf.DUMMYFUNCTION("""COMPUTED_VALUE"""),1.3178437680170993)</f>
        <v>1.317843768</v>
      </c>
      <c r="AV1826" s="82">
        <f>IFERROR(__xludf.DUMMYFUNCTION("""COMPUTED_VALUE"""),26.035955296259)</f>
        <v>26.0359553</v>
      </c>
      <c r="AW1826" s="82">
        <f t="shared" si="1"/>
        <v>-5.921021559</v>
      </c>
      <c r="AX1826" s="83">
        <f t="array" ref="AX1826">IFERROR(DGET('SBV Import'!A:G,"SBV",{"RSC ID","Tier";B1826,A1826}))</f>
        <v>34.88943639</v>
      </c>
      <c r="AY1826" s="82">
        <f t="shared" si="2"/>
        <v>-3.665939429</v>
      </c>
      <c r="AZ1826" s="82">
        <v>2.255082130655175</v>
      </c>
      <c r="BA1826" s="84">
        <v>1700.0</v>
      </c>
      <c r="BB1826" s="84" t="b">
        <f>IFERROR(__xludf.DUMMYFUNCTION("iferror(if(A1826="""",,E1826&gt;=FILTER(Constants!$F$2:$F$10,Constants!$A$2:$A$10=A1826)))"),TRUE)</f>
        <v>1</v>
      </c>
    </row>
    <row r="1827">
      <c r="A1827" s="89" t="str">
        <f>IFERROR(__xludf.DUMMYFUNCTION("""COMPUTED_VALUE"""),"Rival")</f>
        <v>Rival</v>
      </c>
      <c r="B1827" s="87" t="str">
        <f>IFERROR(__xludf.DUMMYFUNCTION("""COMPUTED_VALUE"""),"RSC002177")</f>
        <v>RSC002177</v>
      </c>
      <c r="C1827" s="73" t="str">
        <f>IFERROR(__xludf.DUMMYFUNCTION("""COMPUTED_VALUE"""),"Slygo21")</f>
        <v>Slygo21</v>
      </c>
      <c r="D1827" s="73" t="str">
        <f>IFERROR(__xludf.DUMMYFUNCTION("""COMPUTED_VALUE"""),"Ruthless Racket")</f>
        <v>Ruthless Racket</v>
      </c>
      <c r="E1827" s="82">
        <f>IFERROR(__xludf.DUMMYFUNCTION("""COMPUTED_VALUE"""),31.0)</f>
        <v>31</v>
      </c>
      <c r="F1827" s="82">
        <f>IFERROR(__xludf.DUMMYFUNCTION("""COMPUTED_VALUE"""),11.0)</f>
        <v>11</v>
      </c>
      <c r="G1827" s="86">
        <f>IFERROR(__xludf.DUMMYFUNCTION("""COMPUTED_VALUE"""),20.0)</f>
        <v>20</v>
      </c>
      <c r="H1827" s="86">
        <f>IFERROR(__xludf.DUMMYFUNCTION("""COMPUTED_VALUE"""),0.3548387096774194)</f>
        <v>0.3548387097</v>
      </c>
      <c r="I1827" s="86">
        <f>IFERROR(__xludf.DUMMYFUNCTION("""COMPUTED_VALUE"""),0.2857142857142857)</f>
        <v>0.2857142857</v>
      </c>
      <c r="J1827" s="82">
        <f>IFERROR(__xludf.DUMMYFUNCTION("""COMPUTED_VALUE"""),319.4516129032258)</f>
        <v>319.4516129</v>
      </c>
      <c r="K1827" s="82">
        <f>IFERROR(__xludf.DUMMYFUNCTION("""COMPUTED_VALUE"""),0.5161290322580645)</f>
        <v>0.5161290323</v>
      </c>
      <c r="L1827" s="82">
        <f>IFERROR(__xludf.DUMMYFUNCTION("""COMPUTED_VALUE"""),0.3870967741935484)</f>
        <v>0.3870967742</v>
      </c>
      <c r="M1827" s="82">
        <f>IFERROR(__xludf.DUMMYFUNCTION("""COMPUTED_VALUE"""),1.6129032258064515)</f>
        <v>1.612903226</v>
      </c>
      <c r="N1827" s="82">
        <f>IFERROR(__xludf.DUMMYFUNCTION("""COMPUTED_VALUE"""),1.8064516129032258)</f>
        <v>1.806451613</v>
      </c>
      <c r="O1827" s="82">
        <f>IFERROR(__xludf.DUMMYFUNCTION("""COMPUTED_VALUE"""),339.09677419354836)</f>
        <v>339.0967742</v>
      </c>
      <c r="P1827" s="82">
        <f>IFERROR(__xludf.DUMMYFUNCTION("""COMPUTED_VALUE"""),0.7741935483870968)</f>
        <v>0.7741935484</v>
      </c>
      <c r="Q1827" s="82">
        <f>IFERROR(__xludf.DUMMYFUNCTION("""COMPUTED_VALUE"""),0.5913978494623655)</f>
        <v>0.5913978495</v>
      </c>
      <c r="R1827" s="82">
        <f>IFERROR(__xludf.DUMMYFUNCTION("""COMPUTED_VALUE"""),1.1182795698924728)</f>
        <v>1.11827957</v>
      </c>
      <c r="S1827" s="82">
        <f>IFERROR(__xludf.DUMMYFUNCTION("""COMPUTED_VALUE"""),2.752688172043011)</f>
        <v>2.752688172</v>
      </c>
      <c r="T1827" s="82">
        <f>IFERROR(__xludf.DUMMYFUNCTION("""COMPUTED_VALUE"""),341.0983249417012)</f>
        <v>341.0983249</v>
      </c>
      <c r="U1827" s="82">
        <f>IFERROR(__xludf.DUMMYFUNCTION("""COMPUTED_VALUE"""),0.7805161097910125)</f>
        <v>0.7805161098</v>
      </c>
      <c r="V1827" s="82">
        <f>IFERROR(__xludf.DUMMYFUNCTION("""COMPUTED_VALUE"""),0.5719420931295782)</f>
        <v>0.5719420931</v>
      </c>
      <c r="W1827" s="82">
        <f>IFERROR(__xludf.DUMMYFUNCTION("""COMPUTED_VALUE"""),1.2012638914433391)</f>
        <v>1.201263891</v>
      </c>
      <c r="X1827" s="82">
        <f>IFERROR(__xludf.DUMMYFUNCTION("""COMPUTED_VALUE"""),2.605800282053036)</f>
        <v>2.605800282</v>
      </c>
      <c r="Y1827" s="82">
        <f>IFERROR(__xludf.DUMMYFUNCTION("""COMPUTED_VALUE"""),340.9474419767041)</f>
        <v>340.947442</v>
      </c>
      <c r="Z1827" s="82">
        <f>IFERROR(__xludf.DUMMYFUNCTION("""COMPUTED_VALUE"""),0.7321833716278886)</f>
        <v>0.7321833716</v>
      </c>
      <c r="AA1827" s="82">
        <f>IFERROR(__xludf.DUMMYFUNCTION("""COMPUTED_VALUE"""),0.5466181646341884)</f>
        <v>0.5466181646</v>
      </c>
      <c r="AB1827" s="82">
        <f>IFERROR(__xludf.DUMMYFUNCTION("""COMPUTED_VALUE"""),1.3347696361810626)</f>
        <v>1.334769636</v>
      </c>
      <c r="AC1827" s="82">
        <f>IFERROR(__xludf.DUMMYFUNCTION("""COMPUTED_VALUE"""),2.417703937896854)</f>
        <v>2.417703938</v>
      </c>
      <c r="AD1827" s="82">
        <f>IFERROR(__xludf.DUMMYFUNCTION("""COMPUTED_VALUE"""),0.9369526606539342)</f>
        <v>0.9369526607</v>
      </c>
      <c r="AE1827" s="82">
        <f>IFERROR(__xludf.DUMMYFUNCTION("""COMPUTED_VALUE"""),0.7049177190551829)</f>
        <v>0.7049177191</v>
      </c>
      <c r="AF1827" s="82">
        <f>IFERROR(__xludf.DUMMYFUNCTION("""COMPUTED_VALUE"""),0.7081666860679684)</f>
        <v>0.7081666861</v>
      </c>
      <c r="AG1827" s="82">
        <f>IFERROR(__xludf.DUMMYFUNCTION("""COMPUTED_VALUE"""),1.208375724234455)</f>
        <v>1.208375724</v>
      </c>
      <c r="AH1827" s="82">
        <f>IFERROR(__xludf.DUMMYFUNCTION("""COMPUTED_VALUE"""),0.7471765192534894)</f>
        <v>0.7471765193</v>
      </c>
      <c r="AI1827" s="82">
        <f>IFERROR(__xludf.DUMMYFUNCTION("""COMPUTED_VALUE"""),0.9941320416964963)</f>
        <v>0.9941320417</v>
      </c>
      <c r="AJ1827" s="82">
        <f>IFERROR(__xludf.DUMMYFUNCTION("""COMPUTED_VALUE"""),0.9918995119708565)</f>
        <v>0.991899512</v>
      </c>
      <c r="AK1827" s="82">
        <f>IFERROR(__xludf.DUMMYFUNCTION("""COMPUTED_VALUE"""),1.0340170037605179)</f>
        <v>1.034017004</v>
      </c>
      <c r="AL1827" s="82">
        <f>IFERROR(__xludf.DUMMYFUNCTION("""COMPUTED_VALUE"""),0.9309191576122718)</f>
        <v>0.9309191576</v>
      </c>
      <c r="AM1827" s="82">
        <f>IFERROR(__xludf.DUMMYFUNCTION("""COMPUTED_VALUE"""),1.0563695886448543)</f>
        <v>1.056369589</v>
      </c>
      <c r="AN1827" s="82">
        <f>IFERROR(__xludf.DUMMYFUNCTION("""COMPUTED_VALUE"""),0.9424994126427326)</f>
        <v>0.9424994126</v>
      </c>
      <c r="AO1827" s="82">
        <f>IFERROR(__xludf.DUMMYFUNCTION("""COMPUTED_VALUE"""),0.7025411413556151)</f>
        <v>0.7025411414</v>
      </c>
      <c r="AP1827" s="82">
        <f>IFERROR(__xludf.DUMMYFUNCTION("""COMPUTED_VALUE"""),0.6912147625624715)</f>
        <v>0.6912147626</v>
      </c>
      <c r="AQ1827" s="82">
        <f>IFERROR(__xludf.DUMMYFUNCTION("""COMPUTED_VALUE"""),1.2308149703223574)</f>
        <v>1.23081497</v>
      </c>
      <c r="AR1827" s="82">
        <f>IFERROR(__xludf.DUMMYFUNCTION("""COMPUTED_VALUE"""),0.7253818987385297)</f>
        <v>0.7253818987</v>
      </c>
      <c r="AS1827" s="82">
        <f>IFERROR(__xludf.DUMMYFUNCTION("""COMPUTED_VALUE"""),53.0)</f>
        <v>53</v>
      </c>
      <c r="AT1827" s="82">
        <f>IFERROR(__xludf.DUMMYFUNCTION("""COMPUTED_VALUE"""),0.3876656782327128)</f>
        <v>0.3876656782</v>
      </c>
      <c r="AU1827" s="82">
        <f>IFERROR(__xludf.DUMMYFUNCTION("""COMPUTED_VALUE"""),1.3082108709049105)</f>
        <v>1.308210871</v>
      </c>
      <c r="AV1827" s="82">
        <f>IFERROR(__xludf.DUMMYFUNCTION("""COMPUTED_VALUE"""),25.695682170500394)</f>
        <v>25.69568217</v>
      </c>
      <c r="AW1827" s="82">
        <f t="shared" si="1"/>
        <v>-6.042941755</v>
      </c>
      <c r="AX1827" s="83">
        <f t="array" ref="AX1827">IFERROR(DGET('SBV Import'!A:G,"SBV",{"RSC ID","Tier";B1827,A1827}))</f>
        <v>32.69293039</v>
      </c>
      <c r="AY1827" s="82">
        <f t="shared" si="2"/>
        <v>-4.091989904</v>
      </c>
      <c r="AZ1827" s="82">
        <v>1.950951850929238</v>
      </c>
      <c r="BA1827" s="84">
        <v>1700.0</v>
      </c>
      <c r="BB1827" s="84" t="b">
        <f>IFERROR(__xludf.DUMMYFUNCTION("iferror(if(A1827="""",,E1827&gt;=FILTER(Constants!$F$2:$F$10,Constants!$A$2:$A$10=A1827)))"),TRUE)</f>
        <v>1</v>
      </c>
    </row>
    <row r="1828">
      <c r="A1828" s="89" t="str">
        <f>IFERROR(__xludf.DUMMYFUNCTION("""COMPUTED_VALUE"""),"Rival")</f>
        <v>Rival</v>
      </c>
      <c r="B1828" s="87" t="str">
        <f>IFERROR(__xludf.DUMMYFUNCTION("""COMPUTED_VALUE"""),"RSC005386")</f>
        <v>RSC005386</v>
      </c>
      <c r="C1828" s="73" t="str">
        <f>IFERROR(__xludf.DUMMYFUNCTION("""COMPUTED_VALUE"""),"danub")</f>
        <v>danub</v>
      </c>
      <c r="D1828" s="73" t="str">
        <f>IFERROR(__xludf.DUMMYFUNCTION("""COMPUTED_VALUE"""),"Phantoms")</f>
        <v>Phantoms</v>
      </c>
      <c r="E1828" s="82">
        <f>IFERROR(__xludf.DUMMYFUNCTION("""COMPUTED_VALUE"""),25.0)</f>
        <v>25</v>
      </c>
      <c r="F1828" s="82">
        <f>IFERROR(__xludf.DUMMYFUNCTION("""COMPUTED_VALUE"""),8.0)</f>
        <v>8</v>
      </c>
      <c r="G1828" s="86">
        <f>IFERROR(__xludf.DUMMYFUNCTION("""COMPUTED_VALUE"""),17.0)</f>
        <v>17</v>
      </c>
      <c r="H1828" s="86">
        <f>IFERROR(__xludf.DUMMYFUNCTION("""COMPUTED_VALUE"""),0.32)</f>
        <v>0.32</v>
      </c>
      <c r="I1828" s="86">
        <f>IFERROR(__xludf.DUMMYFUNCTION("""COMPUTED_VALUE"""),0.3191489361702128)</f>
        <v>0.3191489362</v>
      </c>
      <c r="J1828" s="82">
        <f>IFERROR(__xludf.DUMMYFUNCTION("""COMPUTED_VALUE"""),312.36)</f>
        <v>312.36</v>
      </c>
      <c r="K1828" s="82">
        <f>IFERROR(__xludf.DUMMYFUNCTION("""COMPUTED_VALUE"""),0.6)</f>
        <v>0.6</v>
      </c>
      <c r="L1828" s="82">
        <f>IFERROR(__xludf.DUMMYFUNCTION("""COMPUTED_VALUE"""),0.36)</f>
        <v>0.36</v>
      </c>
      <c r="M1828" s="82">
        <f>IFERROR(__xludf.DUMMYFUNCTION("""COMPUTED_VALUE"""),1.32)</f>
        <v>1.32</v>
      </c>
      <c r="N1828" s="82">
        <f>IFERROR(__xludf.DUMMYFUNCTION("""COMPUTED_VALUE"""),1.88)</f>
        <v>1.88</v>
      </c>
      <c r="O1828" s="82">
        <f>IFERROR(__xludf.DUMMYFUNCTION("""COMPUTED_VALUE"""),364.90666666666664)</f>
        <v>364.9066667</v>
      </c>
      <c r="P1828" s="82">
        <f>IFERROR(__xludf.DUMMYFUNCTION("""COMPUTED_VALUE"""),0.9733333333333334)</f>
        <v>0.9733333333</v>
      </c>
      <c r="Q1828" s="82">
        <f>IFERROR(__xludf.DUMMYFUNCTION("""COMPUTED_VALUE"""),0.7200000000000002)</f>
        <v>0.72</v>
      </c>
      <c r="R1828" s="82">
        <f>IFERROR(__xludf.DUMMYFUNCTION("""COMPUTED_VALUE"""),1.1199999999999999)</f>
        <v>1.12</v>
      </c>
      <c r="S1828" s="82">
        <f>IFERROR(__xludf.DUMMYFUNCTION("""COMPUTED_VALUE"""),2.813333333333333)</f>
        <v>2.813333333</v>
      </c>
      <c r="T1828" s="82">
        <f>IFERROR(__xludf.DUMMYFUNCTION("""COMPUTED_VALUE"""),350.0088616813692)</f>
        <v>350.0088617</v>
      </c>
      <c r="U1828" s="82">
        <f>IFERROR(__xludf.DUMMYFUNCTION("""COMPUTED_VALUE"""),0.8218787909024466)</f>
        <v>0.8218787909</v>
      </c>
      <c r="V1828" s="82">
        <f>IFERROR(__xludf.DUMMYFUNCTION("""COMPUTED_VALUE"""),0.5634207629089351)</f>
        <v>0.5634207629</v>
      </c>
      <c r="W1828" s="82">
        <f>IFERROR(__xludf.DUMMYFUNCTION("""COMPUTED_VALUE"""),1.2454772116772117)</f>
        <v>1.245477212</v>
      </c>
      <c r="X1828" s="82">
        <f>IFERROR(__xludf.DUMMYFUNCTION("""COMPUTED_VALUE"""),2.560150610122654)</f>
        <v>2.56015061</v>
      </c>
      <c r="Y1828" s="82">
        <f>IFERROR(__xludf.DUMMYFUNCTION("""COMPUTED_VALUE"""),340.9692078620966)</f>
        <v>340.9692079</v>
      </c>
      <c r="Z1828" s="82">
        <f>IFERROR(__xludf.DUMMYFUNCTION("""COMPUTED_VALUE"""),0.7434828598986303)</f>
        <v>0.7434828599</v>
      </c>
      <c r="AA1828" s="82">
        <f>IFERROR(__xludf.DUMMYFUNCTION("""COMPUTED_VALUE"""),0.5238905712633312)</f>
        <v>0.5238905713</v>
      </c>
      <c r="AB1828" s="82">
        <f>IFERROR(__xludf.DUMMYFUNCTION("""COMPUTED_VALUE"""),1.3278231983070692)</f>
        <v>1.327823198</v>
      </c>
      <c r="AC1828" s="82">
        <f>IFERROR(__xludf.DUMMYFUNCTION("""COMPUTED_VALUE"""),2.4179253701296717)</f>
        <v>2.41792537</v>
      </c>
      <c r="AD1828" s="82">
        <f>IFERROR(__xludf.DUMMYFUNCTION("""COMPUTED_VALUE"""),0.9160944530989219)</f>
        <v>0.9160944531</v>
      </c>
      <c r="AE1828" s="82">
        <f>IFERROR(__xludf.DUMMYFUNCTION("""COMPUTED_VALUE"""),0.8070125518183521)</f>
        <v>0.8070125518</v>
      </c>
      <c r="AF1828" s="82">
        <f>IFERROR(__xludf.DUMMYFUNCTION("""COMPUTED_VALUE"""),0.6871664041058827)</f>
        <v>0.6871664041</v>
      </c>
      <c r="AG1828" s="82">
        <f>IFERROR(__xludf.DUMMYFUNCTION("""COMPUTED_VALUE"""),0.9941082530286838)</f>
        <v>0.994108253</v>
      </c>
      <c r="AH1828" s="82">
        <f>IFERROR(__xludf.DUMMYFUNCTION("""COMPUTED_VALUE"""),0.7775260656201216)</f>
        <v>0.7775260656</v>
      </c>
      <c r="AI1828" s="82">
        <f>IFERROR(__xludf.DUMMYFUNCTION("""COMPUTED_VALUE"""),1.0425640794171083)</f>
        <v>1.042564079</v>
      </c>
      <c r="AJ1828" s="82">
        <f>IFERROR(__xludf.DUMMYFUNCTION("""COMPUTED_VALUE"""),1.184278441185452)</f>
        <v>1.184278441</v>
      </c>
      <c r="AK1828" s="82">
        <f>IFERROR(__xludf.DUMMYFUNCTION("""COMPUTED_VALUE"""),1.277908176977093)</f>
        <v>1.277908177</v>
      </c>
      <c r="AL1828" s="82">
        <f>IFERROR(__xludf.DUMMYFUNCTION("""COMPUTED_VALUE"""),0.8992537073334012)</f>
        <v>0.8992537073</v>
      </c>
      <c r="AM1828" s="82">
        <f>IFERROR(__xludf.DUMMYFUNCTION("""COMPUTED_VALUE"""),1.0988936831331768)</f>
        <v>1.098893683</v>
      </c>
      <c r="AN1828" s="82">
        <f>IFERROR(__xludf.DUMMYFUNCTION("""COMPUTED_VALUE"""),0.9215765538246595)</f>
        <v>0.9215765538</v>
      </c>
      <c r="AO1828" s="82">
        <f>IFERROR(__xludf.DUMMYFUNCTION("""COMPUTED_VALUE"""),0.8167040768259025)</f>
        <v>0.8167040768</v>
      </c>
      <c r="AP1828" s="82">
        <f>IFERROR(__xludf.DUMMYFUNCTION("""COMPUTED_VALUE"""),0.6428297291830986)</f>
        <v>0.6428297292</v>
      </c>
      <c r="AQ1828" s="82">
        <f>IFERROR(__xludf.DUMMYFUNCTION("""COMPUTED_VALUE"""),1.0072989717118175)</f>
        <v>1.007298972</v>
      </c>
      <c r="AR1828" s="82">
        <f>IFERROR(__xludf.DUMMYFUNCTION("""COMPUTED_VALUE"""),0.7549153046157412)</f>
        <v>0.7549153046</v>
      </c>
      <c r="AS1828" s="82">
        <f>IFERROR(__xludf.DUMMYFUNCTION("""COMPUTED_VALUE"""),43.0)</f>
        <v>43</v>
      </c>
      <c r="AT1828" s="82">
        <f>IFERROR(__xludf.DUMMYFUNCTION("""COMPUTED_VALUE"""),0.30530420567415795)</f>
        <v>0.3053042057</v>
      </c>
      <c r="AU1828" s="82">
        <f>IFERROR(__xludf.DUMMYFUNCTION("""COMPUTED_VALUE"""),1.2409159681123594)</f>
        <v>1.240915968</v>
      </c>
      <c r="AV1828" s="82">
        <f>IFERROR(__xludf.DUMMYFUNCTION("""COMPUTED_VALUE"""),23.318552356472956)</f>
        <v>23.31855236</v>
      </c>
      <c r="AW1828" s="82">
        <f t="shared" si="1"/>
        <v>-6.996544633</v>
      </c>
      <c r="AX1828" s="83">
        <f t="array" ref="AX1828">IFERROR(DGET('SBV Import'!A:G,"SBV",{"RSC ID","Tier";B1828,A1828}))</f>
        <v>34.26480806</v>
      </c>
      <c r="AY1828" s="82">
        <f t="shared" si="2"/>
        <v>-3.780131002</v>
      </c>
      <c r="AZ1828" s="82">
        <v>3.216413631486215</v>
      </c>
      <c r="BA1828" s="84">
        <v>1700.0</v>
      </c>
      <c r="BB1828" s="84" t="b">
        <f>IFERROR(__xludf.DUMMYFUNCTION("iferror(if(A1828="""",,E1828&gt;=FILTER(Constants!$F$2:$F$10,Constants!$A$2:$A$10=A1828)))"),TRUE)</f>
        <v>1</v>
      </c>
    </row>
    <row r="1829">
      <c r="A1829" s="89" t="str">
        <f>IFERROR(__xludf.DUMMYFUNCTION("""COMPUTED_VALUE"""),"Rival")</f>
        <v>Rival</v>
      </c>
      <c r="B1829" s="87" t="str">
        <f>IFERROR(__xludf.DUMMYFUNCTION("""COMPUTED_VALUE"""),"RSC006177")</f>
        <v>RSC006177</v>
      </c>
      <c r="C1829" s="73" t="str">
        <f>IFERROR(__xludf.DUMMYFUNCTION("""COMPUTED_VALUE"""),"Flyerrr85")</f>
        <v>Flyerrr85</v>
      </c>
      <c r="D1829" s="73" t="str">
        <f>IFERROR(__xludf.DUMMYFUNCTION("""COMPUTED_VALUE"""),"Asiago Arsonists")</f>
        <v>Asiago Arsonists</v>
      </c>
      <c r="E1829" s="82">
        <f>IFERROR(__xludf.DUMMYFUNCTION("""COMPUTED_VALUE"""),4.0)</f>
        <v>4</v>
      </c>
      <c r="F1829" s="82">
        <f>IFERROR(__xludf.DUMMYFUNCTION("""COMPUTED_VALUE"""),2.0)</f>
        <v>2</v>
      </c>
      <c r="G1829" s="86">
        <f>IFERROR(__xludf.DUMMYFUNCTION("""COMPUTED_VALUE"""),2.0)</f>
        <v>2</v>
      </c>
      <c r="H1829" s="86">
        <f>IFERROR(__xludf.DUMMYFUNCTION("""COMPUTED_VALUE"""),0.5)</f>
        <v>0.5</v>
      </c>
      <c r="I1829" s="86">
        <f>IFERROR(__xludf.DUMMYFUNCTION("""COMPUTED_VALUE"""),0.14285714285714285)</f>
        <v>0.1428571429</v>
      </c>
      <c r="J1829" s="82">
        <f>IFERROR(__xludf.DUMMYFUNCTION("""COMPUTED_VALUE"""),293.0)</f>
        <v>293</v>
      </c>
      <c r="K1829" s="82">
        <f>IFERROR(__xludf.DUMMYFUNCTION("""COMPUTED_VALUE"""),0.25)</f>
        <v>0.25</v>
      </c>
      <c r="L1829" s="82">
        <f>IFERROR(__xludf.DUMMYFUNCTION("""COMPUTED_VALUE"""),0.75)</f>
        <v>0.75</v>
      </c>
      <c r="M1829" s="82">
        <f>IFERROR(__xludf.DUMMYFUNCTION("""COMPUTED_VALUE"""),1.25)</f>
        <v>1.25</v>
      </c>
      <c r="N1829" s="82">
        <f>IFERROR(__xludf.DUMMYFUNCTION("""COMPUTED_VALUE"""),1.75)</f>
        <v>1.75</v>
      </c>
      <c r="O1829" s="82">
        <f>IFERROR(__xludf.DUMMYFUNCTION("""COMPUTED_VALUE"""),332.00000000000006)</f>
        <v>332</v>
      </c>
      <c r="P1829" s="82">
        <f>IFERROR(__xludf.DUMMYFUNCTION("""COMPUTED_VALUE"""),0.5833333333333333)</f>
        <v>0.5833333333</v>
      </c>
      <c r="Q1829" s="82">
        <f>IFERROR(__xludf.DUMMYFUNCTION("""COMPUTED_VALUE"""),0.41666666666666663)</f>
        <v>0.4166666667</v>
      </c>
      <c r="R1829" s="82">
        <f>IFERROR(__xludf.DUMMYFUNCTION("""COMPUTED_VALUE"""),1.1666666666666667)</f>
        <v>1.166666667</v>
      </c>
      <c r="S1829" s="82">
        <f>IFERROR(__xludf.DUMMYFUNCTION("""COMPUTED_VALUE"""),1.9999999999999998)</f>
        <v>2</v>
      </c>
      <c r="T1829" s="82">
        <f>IFERROR(__xludf.DUMMYFUNCTION("""COMPUTED_VALUE"""),315.63988095238096)</f>
        <v>315.639881</v>
      </c>
      <c r="U1829" s="82">
        <f>IFERROR(__xludf.DUMMYFUNCTION("""COMPUTED_VALUE"""),0.5143849206349207)</f>
        <v>0.5143849206</v>
      </c>
      <c r="V1829" s="82">
        <f>IFERROR(__xludf.DUMMYFUNCTION("""COMPUTED_VALUE"""),0.3575396825396825)</f>
        <v>0.3575396825</v>
      </c>
      <c r="W1829" s="82">
        <f>IFERROR(__xludf.DUMMYFUNCTION("""COMPUTED_VALUE"""),1.4082341269841268)</f>
        <v>1.408234127</v>
      </c>
      <c r="X1829" s="82">
        <f>IFERROR(__xludf.DUMMYFUNCTION("""COMPUTED_VALUE"""),1.8600198412698414)</f>
        <v>1.860019841</v>
      </c>
      <c r="Y1829" s="82">
        <f>IFERROR(__xludf.DUMMYFUNCTION("""COMPUTED_VALUE"""),322.7693783068783)</f>
        <v>322.7693783</v>
      </c>
      <c r="Z1829" s="82">
        <f>IFERROR(__xludf.DUMMYFUNCTION("""COMPUTED_VALUE"""),0.6861772486772486)</f>
        <v>0.6861772487</v>
      </c>
      <c r="AA1829" s="82">
        <f>IFERROR(__xludf.DUMMYFUNCTION("""COMPUTED_VALUE"""),0.49831349206349207)</f>
        <v>0.4983134921</v>
      </c>
      <c r="AB1829" s="82">
        <f>IFERROR(__xludf.DUMMYFUNCTION("""COMPUTED_VALUE"""),1.0330026455026455)</f>
        <v>1.033002646</v>
      </c>
      <c r="AC1829" s="82">
        <f>IFERROR(__xludf.DUMMYFUNCTION("""COMPUTED_VALUE"""),2.5312830687830683)</f>
        <v>2.531283069</v>
      </c>
      <c r="AD1829" s="82">
        <f>IFERROR(__xludf.DUMMYFUNCTION("""COMPUTED_VALUE"""),0.9077688891584549)</f>
        <v>0.9077688892</v>
      </c>
      <c r="AE1829" s="82">
        <f>IFERROR(__xludf.DUMMYFUNCTION("""COMPUTED_VALUE"""),0.3643373493975904)</f>
        <v>0.3643373494</v>
      </c>
      <c r="AF1829" s="82">
        <f>IFERROR(__xludf.DUMMYFUNCTION("""COMPUTED_VALUE"""),1.5050766474218595)</f>
        <v>1.505076647</v>
      </c>
      <c r="AG1829" s="82">
        <f>IFERROR(__xludf.DUMMYFUNCTION("""COMPUTED_VALUE"""),1.2100646648312952)</f>
        <v>1.210064665</v>
      </c>
      <c r="AH1829" s="82">
        <f>IFERROR(__xludf.DUMMYFUNCTION("""COMPUTED_VALUE"""),0.691348992762522)</f>
        <v>0.6913489928</v>
      </c>
      <c r="AI1829" s="82">
        <f>IFERROR(__xludf.DUMMYFUNCTION("""COMPUTED_VALUE"""),1.0518315968129746)</f>
        <v>1.051831597</v>
      </c>
      <c r="AJ1829" s="82">
        <f>IFERROR(__xludf.DUMMYFUNCTION("""COMPUTED_VALUE"""),1.13404050144648)</f>
        <v>1.134040501</v>
      </c>
      <c r="AK1829" s="82">
        <f>IFERROR(__xludf.DUMMYFUNCTION("""COMPUTED_VALUE"""),1.165371809100999)</f>
        <v>1.165371809</v>
      </c>
      <c r="AL1829" s="82">
        <f>IFERROR(__xludf.DUMMYFUNCTION("""COMPUTED_VALUE"""),0.8284607256076085)</f>
        <v>0.8284607256</v>
      </c>
      <c r="AM1829" s="82">
        <f>IFERROR(__xludf.DUMMYFUNCTION("""COMPUTED_VALUE"""),1.0752573470585096)</f>
        <v>1.075257347</v>
      </c>
      <c r="AN1829" s="82">
        <f>IFERROR(__xludf.DUMMYFUNCTION("""COMPUTED_VALUE"""),0.8644574538053055)</f>
        <v>0.8644574538</v>
      </c>
      <c r="AO1829" s="82">
        <f>IFERROR(__xludf.DUMMYFUNCTION("""COMPUTED_VALUE"""),0.3402933653441261)</f>
        <v>0.3402933653</v>
      </c>
      <c r="AP1829" s="82">
        <f>IFERROR(__xludf.DUMMYFUNCTION("""COMPUTED_VALUE"""),1.3392286024647886)</f>
        <v>1.339228602</v>
      </c>
      <c r="AQ1829" s="82">
        <f>IFERROR(__xludf.DUMMYFUNCTION("""COMPUTED_VALUE"""),0.9538816019998271)</f>
        <v>0.953881602</v>
      </c>
      <c r="AR1829" s="82">
        <f>IFERROR(__xludf.DUMMYFUNCTION("""COMPUTED_VALUE"""),0.7027137144029506)</f>
        <v>0.7027137144</v>
      </c>
      <c r="AS1829" s="82">
        <f>IFERROR(__xludf.DUMMYFUNCTION("""COMPUTED_VALUE"""),6.0)</f>
        <v>6</v>
      </c>
      <c r="AT1829" s="82">
        <f>IFERROR(__xludf.DUMMYFUNCTION("""COMPUTED_VALUE"""),0.44615952191376473)</f>
        <v>0.4461595219</v>
      </c>
      <c r="AU1829" s="82">
        <f>IFERROR(__xludf.DUMMYFUNCTION("""COMPUTED_VALUE"""),1.225820402852905)</f>
        <v>1.225820403</v>
      </c>
      <c r="AV1829" s="82">
        <f>IFERROR(__xludf.DUMMYFUNCTION("""COMPUTED_VALUE"""),22.78531556217272)</f>
        <v>22.78531556</v>
      </c>
      <c r="AW1829" s="82">
        <f t="shared" si="1"/>
        <v>-7.23756886</v>
      </c>
      <c r="AX1829" s="83">
        <f t="array" ref="AX1829">IFERROR(DGET('SBV Import'!A:G,"SBV",{"RSC ID","Tier";B1829,A1829}))</f>
        <v>39.49512172</v>
      </c>
      <c r="AY1829" s="82">
        <f t="shared" si="2"/>
        <v>-2.965850114</v>
      </c>
      <c r="AZ1829" s="82">
        <v>4.271718745923562</v>
      </c>
      <c r="BA1829" s="84">
        <v>1700.0</v>
      </c>
      <c r="BB1829" s="84" t="b">
        <f>IFERROR(__xludf.DUMMYFUNCTION("iferror(if(A1829="""",,E1829&gt;=FILTER(Constants!$F$2:$F$10,Constants!$A$2:$A$10=A1829)))"),TRUE)</f>
        <v>1</v>
      </c>
    </row>
    <row r="1830">
      <c r="A1830" s="89" t="str">
        <f>IFERROR(__xludf.DUMMYFUNCTION("""COMPUTED_VALUE"""),"Rival")</f>
        <v>Rival</v>
      </c>
      <c r="B1830" s="87" t="str">
        <f>IFERROR(__xludf.DUMMYFUNCTION("""COMPUTED_VALUE"""),"RSC005513")</f>
        <v>RSC005513</v>
      </c>
      <c r="C1830" s="73" t="str">
        <f>IFERROR(__xludf.DUMMYFUNCTION("""COMPUTED_VALUE"""),"TV_ImpactReapz")</f>
        <v>TV_ImpactReapz</v>
      </c>
      <c r="D1830" s="73"/>
      <c r="E1830" s="82">
        <f>IFERROR(__xludf.DUMMYFUNCTION("""COMPUTED_VALUE"""),12.0)</f>
        <v>12</v>
      </c>
      <c r="F1830" s="82">
        <f>IFERROR(__xludf.DUMMYFUNCTION("""COMPUTED_VALUE"""),4.0)</f>
        <v>4</v>
      </c>
      <c r="G1830" s="86">
        <f>IFERROR(__xludf.DUMMYFUNCTION("""COMPUTED_VALUE"""),8.0)</f>
        <v>8</v>
      </c>
      <c r="H1830" s="86">
        <f>IFERROR(__xludf.DUMMYFUNCTION("""COMPUTED_VALUE"""),0.3333333333333333)</f>
        <v>0.3333333333</v>
      </c>
      <c r="I1830" s="86">
        <f>IFERROR(__xludf.DUMMYFUNCTION("""COMPUTED_VALUE"""),0.2608695652173913)</f>
        <v>0.2608695652</v>
      </c>
      <c r="J1830" s="82">
        <f>IFERROR(__xludf.DUMMYFUNCTION("""COMPUTED_VALUE"""),267.5833333333333)</f>
        <v>267.5833333</v>
      </c>
      <c r="K1830" s="82">
        <f>IFERROR(__xludf.DUMMYFUNCTION("""COMPUTED_VALUE"""),0.5)</f>
        <v>0.5</v>
      </c>
      <c r="L1830" s="82">
        <f>IFERROR(__xludf.DUMMYFUNCTION("""COMPUTED_VALUE"""),0.3333333333333333)</f>
        <v>0.3333333333</v>
      </c>
      <c r="M1830" s="82">
        <f>IFERROR(__xludf.DUMMYFUNCTION("""COMPUTED_VALUE"""),1.3333333333333333)</f>
        <v>1.333333333</v>
      </c>
      <c r="N1830" s="82">
        <f>IFERROR(__xludf.DUMMYFUNCTION("""COMPUTED_VALUE"""),1.9166666666666667)</f>
        <v>1.916666667</v>
      </c>
      <c r="O1830" s="82">
        <f>IFERROR(__xludf.DUMMYFUNCTION("""COMPUTED_VALUE"""),334.27777777777777)</f>
        <v>334.2777778</v>
      </c>
      <c r="P1830" s="82">
        <f>IFERROR(__xludf.DUMMYFUNCTION("""COMPUTED_VALUE"""),0.7777777777777777)</f>
        <v>0.7777777778</v>
      </c>
      <c r="Q1830" s="82">
        <f>IFERROR(__xludf.DUMMYFUNCTION("""COMPUTED_VALUE"""),0.5833333333333334)</f>
        <v>0.5833333333</v>
      </c>
      <c r="R1830" s="82">
        <f>IFERROR(__xludf.DUMMYFUNCTION("""COMPUTED_VALUE"""),1.0833333333333333)</f>
        <v>1.083333333</v>
      </c>
      <c r="S1830" s="82">
        <f>IFERROR(__xludf.DUMMYFUNCTION("""COMPUTED_VALUE"""),2.0833333333333335)</f>
        <v>2.083333333</v>
      </c>
      <c r="T1830" s="82">
        <f>IFERROR(__xludf.DUMMYFUNCTION("""COMPUTED_VALUE"""),345.65304493988515)</f>
        <v>345.6530449</v>
      </c>
      <c r="U1830" s="82">
        <f>IFERROR(__xludf.DUMMYFUNCTION("""COMPUTED_VALUE"""),0.7761922979284092)</f>
        <v>0.7761922979</v>
      </c>
      <c r="V1830" s="82">
        <f>IFERROR(__xludf.DUMMYFUNCTION("""COMPUTED_VALUE"""),0.5796180427083205)</f>
        <v>0.5796180427</v>
      </c>
      <c r="W1830" s="82">
        <f>IFERROR(__xludf.DUMMYFUNCTION("""COMPUTED_VALUE"""),1.2527815086148417)</f>
        <v>1.252781509</v>
      </c>
      <c r="X1830" s="82">
        <f>IFERROR(__xludf.DUMMYFUNCTION("""COMPUTED_VALUE"""),2.580540538422483)</f>
        <v>2.580540538</v>
      </c>
      <c r="Y1830" s="82">
        <f>IFERROR(__xludf.DUMMYFUNCTION("""COMPUTED_VALUE"""),349.17302113824104)</f>
        <v>349.1730211</v>
      </c>
      <c r="Z1830" s="82">
        <f>IFERROR(__xludf.DUMMYFUNCTION("""COMPUTED_VALUE"""),0.7680526370919889)</f>
        <v>0.7680526371</v>
      </c>
      <c r="AA1830" s="82">
        <f>IFERROR(__xludf.DUMMYFUNCTION("""COMPUTED_VALUE"""),0.5163329190528265)</f>
        <v>0.5163329191</v>
      </c>
      <c r="AB1830" s="82">
        <f>IFERROR(__xludf.DUMMYFUNCTION("""COMPUTED_VALUE"""),1.3897104246062584)</f>
        <v>1.389710425</v>
      </c>
      <c r="AC1830" s="82">
        <f>IFERROR(__xludf.DUMMYFUNCTION("""COMPUTED_VALUE"""),2.503570143847922)</f>
        <v>2.503570144</v>
      </c>
      <c r="AD1830" s="82">
        <f>IFERROR(__xludf.DUMMYFUNCTION("""COMPUTED_VALUE"""),0.7663345021933823)</f>
        <v>0.7663345022</v>
      </c>
      <c r="AE1830" s="82">
        <f>IFERROR(__xludf.DUMMYFUNCTION("""COMPUTED_VALUE"""),0.6509970487089357)</f>
        <v>0.6509970487</v>
      </c>
      <c r="AF1830" s="82">
        <f>IFERROR(__xludf.DUMMYFUNCTION("""COMPUTED_VALUE"""),0.6455783101042791)</f>
        <v>0.6455783101</v>
      </c>
      <c r="AG1830" s="82">
        <f>IFERROR(__xludf.DUMMYFUNCTION("""COMPUTED_VALUE"""),0.9594324901974466)</f>
        <v>0.9594324902</v>
      </c>
      <c r="AH1830" s="82">
        <f>IFERROR(__xludf.DUMMYFUNCTION("""COMPUTED_VALUE"""),0.7655733838241098)</f>
        <v>0.7655733838</v>
      </c>
      <c r="AI1830" s="82">
        <f>IFERROR(__xludf.DUMMYFUNCTION("""COMPUTED_VALUE"""),0.9670905049770768)</f>
        <v>0.967090505</v>
      </c>
      <c r="AJ1830" s="82">
        <f>IFERROR(__xludf.DUMMYFUNCTION("""COMPUTED_VALUE"""),1.0020426379565992)</f>
        <v>1.002042638</v>
      </c>
      <c r="AK1830" s="82">
        <f>IFERROR(__xludf.DUMMYFUNCTION("""COMPUTED_VALUE"""),1.0064098947086824)</f>
        <v>1.006409895</v>
      </c>
      <c r="AL1830" s="82">
        <f>IFERROR(__xludf.DUMMYFUNCTION("""COMPUTED_VALUE"""),0.8647424358387429)</f>
        <v>0.8647424358</v>
      </c>
      <c r="AM1830" s="82">
        <f>IFERROR(__xludf.DUMMYFUNCTION("""COMPUTED_VALUE"""),0.8073243966967096)</f>
        <v>0.8073243967</v>
      </c>
      <c r="AN1830" s="82">
        <f>IFERROR(__xludf.DUMMYFUNCTION("""COMPUTED_VALUE"""),0.7894689659183265)</f>
        <v>0.7894689659</v>
      </c>
      <c r="AO1830" s="82">
        <f>IFERROR(__xludf.DUMMYFUNCTION("""COMPUTED_VALUE"""),0.6805867306882522)</f>
        <v>0.6805867307</v>
      </c>
      <c r="AP1830" s="82">
        <f>IFERROR(__xludf.DUMMYFUNCTION("""COMPUTED_VALUE"""),0.5952127122065727)</f>
        <v>0.5952127122</v>
      </c>
      <c r="AQ1830" s="82">
        <f>IFERROR(__xludf.DUMMYFUNCTION("""COMPUTED_VALUE"""),1.0174737087998156)</f>
        <v>1.017473709</v>
      </c>
      <c r="AR1830" s="82">
        <f>IFERROR(__xludf.DUMMYFUNCTION("""COMPUTED_VALUE"""),0.7696388300603746)</f>
        <v>0.7696388301</v>
      </c>
      <c r="AS1830" s="82">
        <f>IFERROR(__xludf.DUMMYFUNCTION("""COMPUTED_VALUE"""),27.0)</f>
        <v>27</v>
      </c>
      <c r="AT1830" s="82">
        <f>IFERROR(__xludf.DUMMYFUNCTION("""COMPUTED_VALUE"""),0.4859298224934414)</f>
        <v>0.4859298225</v>
      </c>
      <c r="AU1830" s="82">
        <f>IFERROR(__xludf.DUMMYFUNCTION("""COMPUTED_VALUE"""),1.1986694044470243)</f>
        <v>1.198669404</v>
      </c>
      <c r="AV1830" s="82">
        <f>IFERROR(__xludf.DUMMYFUNCTION("""COMPUTED_VALUE"""),21.826231811205854)</f>
        <v>21.82623181</v>
      </c>
      <c r="AW1830" s="82">
        <f t="shared" si="1"/>
        <v>-7.699316618</v>
      </c>
      <c r="AX1830" s="83">
        <f t="array" ref="AX1830">IFERROR(DGET('SBV Import'!A:G,"SBV",{"RSC ID","Tier";B1830,A1830}))</f>
        <v>34.29462672</v>
      </c>
      <c r="AY1830" s="82">
        <f t="shared" si="2"/>
        <v>-3.774559523</v>
      </c>
      <c r="AZ1830" s="82">
        <v>3.9247570952059374</v>
      </c>
      <c r="BA1830" s="84">
        <v>1700.0</v>
      </c>
      <c r="BB1830" s="84" t="b">
        <f>IFERROR(__xludf.DUMMYFUNCTION("iferror(if(A1830="""",,E1830&gt;=FILTER(Constants!$F$2:$F$10,Constants!$A$2:$A$10=A1830)))"),TRUE)</f>
        <v>1</v>
      </c>
    </row>
    <row r="1831">
      <c r="A1831" s="89" t="str">
        <f>IFERROR(__xludf.DUMMYFUNCTION("""COMPUTED_VALUE"""),"Rival")</f>
        <v>Rival</v>
      </c>
      <c r="B1831" s="87" t="str">
        <f>IFERROR(__xludf.DUMMYFUNCTION("""COMPUTED_VALUE"""),"RSC000737")</f>
        <v>RSC000737</v>
      </c>
      <c r="C1831" s="73" t="str">
        <f>IFERROR(__xludf.DUMMYFUNCTION("""COMPUTED_VALUE"""),"AlienHealer")</f>
        <v>AlienHealer</v>
      </c>
      <c r="D1831" s="73"/>
      <c r="E1831" s="82">
        <f>IFERROR(__xludf.DUMMYFUNCTION("""COMPUTED_VALUE"""),2.0)</f>
        <v>2</v>
      </c>
      <c r="F1831" s="82">
        <f>IFERROR(__xludf.DUMMYFUNCTION("""COMPUTED_VALUE"""),0.0)</f>
        <v>0</v>
      </c>
      <c r="G1831" s="86">
        <f>IFERROR(__xludf.DUMMYFUNCTION("""COMPUTED_VALUE"""),2.0)</f>
        <v>2</v>
      </c>
      <c r="H1831" s="86">
        <f>IFERROR(__xludf.DUMMYFUNCTION("""COMPUTED_VALUE"""),0.0)</f>
        <v>0</v>
      </c>
      <c r="I1831" s="86">
        <f>IFERROR(__xludf.DUMMYFUNCTION("""COMPUTED_VALUE"""),0.0)</f>
        <v>0</v>
      </c>
      <c r="J1831" s="82">
        <f>IFERROR(__xludf.DUMMYFUNCTION("""COMPUTED_VALUE"""),251.0)</f>
        <v>251</v>
      </c>
      <c r="K1831" s="82">
        <f>IFERROR(__xludf.DUMMYFUNCTION("""COMPUTED_VALUE"""),0.0)</f>
        <v>0</v>
      </c>
      <c r="L1831" s="82">
        <f>IFERROR(__xludf.DUMMYFUNCTION("""COMPUTED_VALUE"""),1.0)</f>
        <v>1</v>
      </c>
      <c r="M1831" s="82">
        <f>IFERROR(__xludf.DUMMYFUNCTION("""COMPUTED_VALUE"""),0.0)</f>
        <v>0</v>
      </c>
      <c r="N1831" s="82">
        <f>IFERROR(__xludf.DUMMYFUNCTION("""COMPUTED_VALUE"""),1.0)</f>
        <v>1</v>
      </c>
      <c r="O1831" s="82">
        <f>IFERROR(__xludf.DUMMYFUNCTION("""COMPUTED_VALUE"""),335.5)</f>
        <v>335.5</v>
      </c>
      <c r="P1831" s="82">
        <f>IFERROR(__xludf.DUMMYFUNCTION("""COMPUTED_VALUE"""),0.6666666666666666)</f>
        <v>0.6666666667</v>
      </c>
      <c r="Q1831" s="82">
        <f>IFERROR(__xludf.DUMMYFUNCTION("""COMPUTED_VALUE"""),0.3333333333333333)</f>
        <v>0.3333333333</v>
      </c>
      <c r="R1831" s="82">
        <f>IFERROR(__xludf.DUMMYFUNCTION("""COMPUTED_VALUE"""),1.1666666666666665)</f>
        <v>1.166666667</v>
      </c>
      <c r="S1831" s="82">
        <f>IFERROR(__xludf.DUMMYFUNCTION("""COMPUTED_VALUE"""),2.5)</f>
        <v>2.5</v>
      </c>
      <c r="T1831" s="82">
        <f>IFERROR(__xludf.DUMMYFUNCTION("""COMPUTED_VALUE"""),363.0925925925926)</f>
        <v>363.0925926</v>
      </c>
      <c r="U1831" s="82">
        <f>IFERROR(__xludf.DUMMYFUNCTION("""COMPUTED_VALUE"""),0.8703703703703703)</f>
        <v>0.8703703704</v>
      </c>
      <c r="V1831" s="82">
        <f>IFERROR(__xludf.DUMMYFUNCTION("""COMPUTED_VALUE"""),0.6018518518518519)</f>
        <v>0.6018518519</v>
      </c>
      <c r="W1831" s="82">
        <f>IFERROR(__xludf.DUMMYFUNCTION("""COMPUTED_VALUE"""),1.4074074074074074)</f>
        <v>1.407407407</v>
      </c>
      <c r="X1831" s="82">
        <f>IFERROR(__xludf.DUMMYFUNCTION("""COMPUTED_VALUE"""),2.722222222222222)</f>
        <v>2.722222222</v>
      </c>
      <c r="Y1831" s="82">
        <f>IFERROR(__xludf.DUMMYFUNCTION("""COMPUTED_VALUE"""),330.62037037037044)</f>
        <v>330.6203704</v>
      </c>
      <c r="Z1831" s="82">
        <f>IFERROR(__xludf.DUMMYFUNCTION("""COMPUTED_VALUE"""),0.6666666666666666)</f>
        <v>0.6666666667</v>
      </c>
      <c r="AA1831" s="82">
        <f>IFERROR(__xludf.DUMMYFUNCTION("""COMPUTED_VALUE"""),0.5092592592592592)</f>
        <v>0.5092592593</v>
      </c>
      <c r="AB1831" s="82">
        <f>IFERROR(__xludf.DUMMYFUNCTION("""COMPUTED_VALUE"""),1.324074074074074)</f>
        <v>1.324074074</v>
      </c>
      <c r="AC1831" s="82">
        <f>IFERROR(__xludf.DUMMYFUNCTION("""COMPUTED_VALUE"""),2.4722222222222223)</f>
        <v>2.472222222</v>
      </c>
      <c r="AD1831" s="82">
        <f>IFERROR(__xludf.DUMMYFUNCTION("""COMPUTED_VALUE"""),0.7591788724899878)</f>
        <v>0.7591788725</v>
      </c>
      <c r="AE1831" s="82">
        <f>IFERROR(__xludf.DUMMYFUNCTION("""COMPUTED_VALUE"""),0.0)</f>
        <v>0</v>
      </c>
      <c r="AF1831" s="82">
        <f>IFERROR(__xludf.DUMMYFUNCTION("""COMPUTED_VALUE"""),1.9636363636363638)</f>
        <v>1.963636364</v>
      </c>
      <c r="AG1831" s="82">
        <f>IFERROR(__xludf.DUMMYFUNCTION("""COMPUTED_VALUE"""),0.0)</f>
        <v>0</v>
      </c>
      <c r="AH1831" s="82">
        <f>IFERROR(__xludf.DUMMYFUNCTION("""COMPUTED_VALUE"""),0.4044943820224719)</f>
        <v>0.404494382</v>
      </c>
      <c r="AI1831" s="82">
        <f>IFERROR(__xludf.DUMMYFUNCTION("""COMPUTED_VALUE"""),0.9240067322894884)</f>
        <v>0.9240067323</v>
      </c>
      <c r="AJ1831" s="82">
        <f>IFERROR(__xludf.DUMMYFUNCTION("""COMPUTED_VALUE"""),0.7659574468085106)</f>
        <v>0.7659574468</v>
      </c>
      <c r="AK1831" s="82">
        <f>IFERROR(__xludf.DUMMYFUNCTION("""COMPUTED_VALUE"""),0.5538461538461538)</f>
        <v>0.5538461538</v>
      </c>
      <c r="AL1831" s="82">
        <f>IFERROR(__xludf.DUMMYFUNCTION("""COMPUTED_VALUE"""),0.8289473684210525)</f>
        <v>0.8289473684</v>
      </c>
      <c r="AM1831" s="82">
        <f>IFERROR(__xludf.DUMMYFUNCTION("""COMPUTED_VALUE"""),0.9183673469387756)</f>
        <v>0.9183673469</v>
      </c>
      <c r="AN1831" s="82">
        <f>IFERROR(__xludf.DUMMYFUNCTION("""COMPUTED_VALUE"""),0.7405420508707566)</f>
        <v>0.7405420509</v>
      </c>
      <c r="AO1831" s="82">
        <f>IFERROR(__xludf.DUMMYFUNCTION("""COMPUTED_VALUE"""),0.0)</f>
        <v>0</v>
      </c>
      <c r="AP1831" s="82">
        <f>IFERROR(__xludf.DUMMYFUNCTION("""COMPUTED_VALUE"""),1.7856381366197183)</f>
        <v>1.785638137</v>
      </c>
      <c r="AQ1831" s="82">
        <f>IFERROR(__xludf.DUMMYFUNCTION("""COMPUTED_VALUE"""),0.0)</f>
        <v>0</v>
      </c>
      <c r="AR1831" s="82">
        <f>IFERROR(__xludf.DUMMYFUNCTION("""COMPUTED_VALUE"""),0.40155069394454324)</f>
        <v>0.4015506939</v>
      </c>
      <c r="AS1831" s="82">
        <f>IFERROR(__xludf.DUMMYFUNCTION("""COMPUTED_VALUE"""),2.0)</f>
        <v>2</v>
      </c>
      <c r="AT1831" s="82">
        <f>IFERROR(__xludf.DUMMYFUNCTION("""COMPUTED_VALUE"""),0.2788691360543353)</f>
        <v>0.2788691361</v>
      </c>
      <c r="AU1831" s="82">
        <f>IFERROR(__xludf.DUMMYFUNCTION("""COMPUTED_VALUE"""),1.1891009765675413)</f>
        <v>1.189100977</v>
      </c>
      <c r="AV1831" s="82">
        <f>IFERROR(__xludf.DUMMYFUNCTION("""COMPUTED_VALUE"""),21.48823600109514)</f>
        <v>21.488236</v>
      </c>
      <c r="AW1831" s="82">
        <f t="shared" si="1"/>
        <v>-7.871217094</v>
      </c>
      <c r="AX1831" s="83">
        <f t="array" ref="AX1831">IFERROR(DGET('SBV Import'!A:G,"SBV",{"RSC ID","Tier";B1831,A1831}))</f>
        <v>27.52526731</v>
      </c>
      <c r="AY1831" s="82">
        <f t="shared" si="2"/>
        <v>-5.425077087</v>
      </c>
      <c r="AZ1831" s="82">
        <v>2.4461400062917376</v>
      </c>
      <c r="BA1831" s="84">
        <v>1700.0</v>
      </c>
      <c r="BB1831" s="84" t="b">
        <f>IFERROR(__xludf.DUMMYFUNCTION("iferror(if(A1831="""",,E1831&gt;=FILTER(Constants!$F$2:$F$10,Constants!$A$2:$A$10=A1831)))"),TRUE)</f>
        <v>1</v>
      </c>
    </row>
    <row r="1832">
      <c r="A1832" s="89" t="str">
        <f>IFERROR(__xludf.DUMMYFUNCTION("""COMPUTED_VALUE"""),"Rival")</f>
        <v>Rival</v>
      </c>
      <c r="B1832" s="87" t="str">
        <f>IFERROR(__xludf.DUMMYFUNCTION("""COMPUTED_VALUE"""),"RSC006212")</f>
        <v>RSC006212</v>
      </c>
      <c r="C1832" s="73" t="str">
        <f>IFERROR(__xludf.DUMMYFUNCTION("""COMPUTED_VALUE"""),"Kingtutt97")</f>
        <v>Kingtutt97</v>
      </c>
      <c r="D1832" s="73" t="str">
        <f>IFERROR(__xludf.DUMMYFUNCTION("""COMPUTED_VALUE"""),"Dice")</f>
        <v>Dice</v>
      </c>
      <c r="E1832" s="82">
        <f>IFERROR(__xludf.DUMMYFUNCTION("""COMPUTED_VALUE"""),29.0)</f>
        <v>29</v>
      </c>
      <c r="F1832" s="82">
        <f>IFERROR(__xludf.DUMMYFUNCTION("""COMPUTED_VALUE"""),9.0)</f>
        <v>9</v>
      </c>
      <c r="G1832" s="86">
        <f>IFERROR(__xludf.DUMMYFUNCTION("""COMPUTED_VALUE"""),20.0)</f>
        <v>20</v>
      </c>
      <c r="H1832" s="86">
        <f>IFERROR(__xludf.DUMMYFUNCTION("""COMPUTED_VALUE"""),0.3103448275862069)</f>
        <v>0.3103448276</v>
      </c>
      <c r="I1832" s="86">
        <f>IFERROR(__xludf.DUMMYFUNCTION("""COMPUTED_VALUE"""),0.18571428571428572)</f>
        <v>0.1857142857</v>
      </c>
      <c r="J1832" s="82">
        <f>IFERROR(__xludf.DUMMYFUNCTION("""COMPUTED_VALUE"""),300.6896551724138)</f>
        <v>300.6896552</v>
      </c>
      <c r="K1832" s="82">
        <f>IFERROR(__xludf.DUMMYFUNCTION("""COMPUTED_VALUE"""),0.4482758620689655)</f>
        <v>0.4482758621</v>
      </c>
      <c r="L1832" s="82">
        <f>IFERROR(__xludf.DUMMYFUNCTION("""COMPUTED_VALUE"""),0.27586206896551724)</f>
        <v>0.275862069</v>
      </c>
      <c r="M1832" s="82">
        <f>IFERROR(__xludf.DUMMYFUNCTION("""COMPUTED_VALUE"""),1.5862068965517242)</f>
        <v>1.586206897</v>
      </c>
      <c r="N1832" s="82">
        <f>IFERROR(__xludf.DUMMYFUNCTION("""COMPUTED_VALUE"""),2.413793103448276)</f>
        <v>2.413793103</v>
      </c>
      <c r="O1832" s="82">
        <f>IFERROR(__xludf.DUMMYFUNCTION("""COMPUTED_VALUE"""),374.04597701149436)</f>
        <v>374.045977</v>
      </c>
      <c r="P1832" s="82">
        <f>IFERROR(__xludf.DUMMYFUNCTION("""COMPUTED_VALUE"""),0.8850574712643676)</f>
        <v>0.8850574713</v>
      </c>
      <c r="Q1832" s="82">
        <f>IFERROR(__xludf.DUMMYFUNCTION("""COMPUTED_VALUE"""),0.5977011494252873)</f>
        <v>0.5977011494</v>
      </c>
      <c r="R1832" s="82">
        <f>IFERROR(__xludf.DUMMYFUNCTION("""COMPUTED_VALUE"""),1.4022988505747127)</f>
        <v>1.402298851</v>
      </c>
      <c r="S1832" s="82">
        <f>IFERROR(__xludf.DUMMYFUNCTION("""COMPUTED_VALUE"""),2.931034482758622)</f>
        <v>2.931034483</v>
      </c>
      <c r="T1832" s="82">
        <f>IFERROR(__xludf.DUMMYFUNCTION("""COMPUTED_VALUE"""),356.01382519256316)</f>
        <v>356.0138252</v>
      </c>
      <c r="U1832" s="82">
        <f>IFERROR(__xludf.DUMMYFUNCTION("""COMPUTED_VALUE"""),0.8550709871509388)</f>
        <v>0.8550709872</v>
      </c>
      <c r="V1832" s="82">
        <f>IFERROR(__xludf.DUMMYFUNCTION("""COMPUTED_VALUE"""),0.5756771683008755)</f>
        <v>0.5756771683</v>
      </c>
      <c r="W1832" s="82">
        <f>IFERROR(__xludf.DUMMYFUNCTION("""COMPUTED_VALUE"""),1.3407681162351626)</f>
        <v>1.340768116</v>
      </c>
      <c r="X1832" s="82">
        <f>IFERROR(__xludf.DUMMYFUNCTION("""COMPUTED_VALUE"""),2.6684173419561654)</f>
        <v>2.668417342</v>
      </c>
      <c r="Y1832" s="82">
        <f>IFERROR(__xludf.DUMMYFUNCTION("""COMPUTED_VALUE"""),342.7818883800397)</f>
        <v>342.7818884</v>
      </c>
      <c r="Z1832" s="82">
        <f>IFERROR(__xludf.DUMMYFUNCTION("""COMPUTED_VALUE"""),0.7630226415073199)</f>
        <v>0.7630226415</v>
      </c>
      <c r="AA1832" s="82">
        <f>IFERROR(__xludf.DUMMYFUNCTION("""COMPUTED_VALUE"""),0.5450798485531714)</f>
        <v>0.5450798486</v>
      </c>
      <c r="AB1832" s="82">
        <f>IFERROR(__xludf.DUMMYFUNCTION("""COMPUTED_VALUE"""),1.3237807325454047)</f>
        <v>1.323780733</v>
      </c>
      <c r="AC1832" s="82">
        <f>IFERROR(__xludf.DUMMYFUNCTION("""COMPUTED_VALUE"""),2.60144809495145)</f>
        <v>2.601448095</v>
      </c>
      <c r="AD1832" s="82">
        <f>IFERROR(__xludf.DUMMYFUNCTION("""COMPUTED_VALUE"""),0.8772040337179118)</f>
        <v>0.8772040337</v>
      </c>
      <c r="AE1832" s="82">
        <f>IFERROR(__xludf.DUMMYFUNCTION("""COMPUTED_VALUE"""),0.5875000788750055)</f>
        <v>0.5875000789</v>
      </c>
      <c r="AF1832" s="82">
        <f>IFERROR(__xludf.DUMMYFUNCTION("""COMPUTED_VALUE"""),0.5060947853745642)</f>
        <v>0.5060947854</v>
      </c>
      <c r="AG1832" s="82">
        <f>IFERROR(__xludf.DUMMYFUNCTION("""COMPUTED_VALUE"""),1.1982399029949007)</f>
        <v>1.198239903</v>
      </c>
      <c r="AH1832" s="82">
        <f>IFERROR(__xludf.DUMMYFUNCTION("""COMPUTED_VALUE"""),0.9278651794485732)</f>
        <v>0.9278651794</v>
      </c>
      <c r="AI1832" s="82">
        <f>IFERROR(__xludf.DUMMYFUNCTION("""COMPUTED_VALUE"""),1.0506501448621492)</f>
        <v>1.050650145</v>
      </c>
      <c r="AJ1832" s="82">
        <f>IFERROR(__xludf.DUMMYFUNCTION("""COMPUTED_VALUE"""),1.0350689996082578)</f>
        <v>1.035069</v>
      </c>
      <c r="AK1832" s="82">
        <f>IFERROR(__xludf.DUMMYFUNCTION("""COMPUTED_VALUE"""),1.0382575205985956)</f>
        <v>1.038257521</v>
      </c>
      <c r="AL1832" s="82">
        <f>IFERROR(__xludf.DUMMYFUNCTION("""COMPUTED_VALUE"""),1.045892152113765)</f>
        <v>1.045892152</v>
      </c>
      <c r="AM1832" s="82">
        <f>IFERROR(__xludf.DUMMYFUNCTION("""COMPUTED_VALUE"""),1.0984168168424273)</f>
        <v>1.098416817</v>
      </c>
      <c r="AN1832" s="82">
        <f>IFERROR(__xludf.DUMMYFUNCTION("""COMPUTED_VALUE"""),0.8871447566414339)</f>
        <v>0.8871447566</v>
      </c>
      <c r="AO1832" s="82">
        <f>IFERROR(__xludf.DUMMYFUNCTION("""COMPUTED_VALUE"""),0.6101812068239502)</f>
        <v>0.6101812068</v>
      </c>
      <c r="AP1832" s="82">
        <f>IFERROR(__xludf.DUMMYFUNCTION("""COMPUTED_VALUE"""),0.4925898307916464)</f>
        <v>0.4925898308</v>
      </c>
      <c r="AQ1832" s="82">
        <f>IFERROR(__xludf.DUMMYFUNCTION("""COMPUTED_VALUE"""),1.210442860468746)</f>
        <v>1.21044286</v>
      </c>
      <c r="AR1832" s="82">
        <f>IFERROR(__xludf.DUMMYFUNCTION("""COMPUTED_VALUE"""),0.9692602957282077)</f>
        <v>0.9692602957</v>
      </c>
      <c r="AS1832" s="82">
        <f>IFERROR(__xludf.DUMMYFUNCTION("""COMPUTED_VALUE"""),47.0)</f>
        <v>47</v>
      </c>
      <c r="AT1832" s="82">
        <f>IFERROR(__xludf.DUMMYFUNCTION("""COMPUTED_VALUE"""),0.321021189116232)</f>
        <v>0.3210211891</v>
      </c>
      <c r="AU1832" s="82">
        <f>IFERROR(__xludf.DUMMYFUNCTION("""COMPUTED_VALUE"""),1.1720674974440919)</f>
        <v>1.172067497</v>
      </c>
      <c r="AV1832" s="82">
        <f>IFERROR(__xludf.DUMMYFUNCTION("""COMPUTED_VALUE"""),20.88654420304342)</f>
        <v>20.8865442</v>
      </c>
      <c r="AW1832" s="82">
        <f t="shared" si="1"/>
        <v>-8.189808339</v>
      </c>
      <c r="AX1832" s="83">
        <f t="array" ref="AX1832">IFERROR(DGET('SBV Import'!A:G,"SBV",{"RSC ID","Tier";B1832,A1832}))</f>
        <v>25.84413025</v>
      </c>
      <c r="AY1832" s="82">
        <f t="shared" si="2"/>
        <v>-5.989338235</v>
      </c>
      <c r="AZ1832" s="82">
        <v>2.2004701040512815</v>
      </c>
      <c r="BA1832" s="84">
        <v>1700.0</v>
      </c>
      <c r="BB1832" s="84" t="b">
        <f>IFERROR(__xludf.DUMMYFUNCTION("iferror(if(A1832="""",,E1832&gt;=FILTER(Constants!$F$2:$F$10,Constants!$A$2:$A$10=A1832)))"),TRUE)</f>
        <v>1</v>
      </c>
    </row>
    <row r="1833">
      <c r="A1833" s="89" t="str">
        <f>IFERROR(__xludf.DUMMYFUNCTION("""COMPUTED_VALUE"""),"Rival")</f>
        <v>Rival</v>
      </c>
      <c r="B1833" s="87" t="str">
        <f>IFERROR(__xludf.DUMMYFUNCTION("""COMPUTED_VALUE"""),"RSC007129")</f>
        <v>RSC007129</v>
      </c>
      <c r="C1833" s="73" t="str">
        <f>IFERROR(__xludf.DUMMYFUNCTION("""COMPUTED_VALUE"""),"EKA Luminous")</f>
        <v>EKA Luminous</v>
      </c>
      <c r="D1833" s="73"/>
      <c r="E1833" s="82">
        <f>IFERROR(__xludf.DUMMYFUNCTION("""COMPUTED_VALUE"""),20.0)</f>
        <v>20</v>
      </c>
      <c r="F1833" s="82">
        <f>IFERROR(__xludf.DUMMYFUNCTION("""COMPUTED_VALUE"""),12.0)</f>
        <v>12</v>
      </c>
      <c r="G1833" s="86">
        <f>IFERROR(__xludf.DUMMYFUNCTION("""COMPUTED_VALUE"""),8.0)</f>
        <v>8</v>
      </c>
      <c r="H1833" s="86">
        <f>IFERROR(__xludf.DUMMYFUNCTION("""COMPUTED_VALUE"""),0.6)</f>
        <v>0.6</v>
      </c>
      <c r="I1833" s="86">
        <f>IFERROR(__xludf.DUMMYFUNCTION("""COMPUTED_VALUE"""),0.3478260869565218)</f>
        <v>0.347826087</v>
      </c>
      <c r="J1833" s="82">
        <f>IFERROR(__xludf.DUMMYFUNCTION("""COMPUTED_VALUE"""),274.1)</f>
        <v>274.1</v>
      </c>
      <c r="K1833" s="82">
        <f>IFERROR(__xludf.DUMMYFUNCTION("""COMPUTED_VALUE"""),0.4)</f>
        <v>0.4</v>
      </c>
      <c r="L1833" s="82">
        <f>IFERROR(__xludf.DUMMYFUNCTION("""COMPUTED_VALUE"""),0.75)</f>
        <v>0.75</v>
      </c>
      <c r="M1833" s="82">
        <f>IFERROR(__xludf.DUMMYFUNCTION("""COMPUTED_VALUE"""),1.45)</f>
        <v>1.45</v>
      </c>
      <c r="N1833" s="82">
        <f>IFERROR(__xludf.DUMMYFUNCTION("""COMPUTED_VALUE"""),1.15)</f>
        <v>1.15</v>
      </c>
      <c r="O1833" s="82">
        <f>IFERROR(__xludf.DUMMYFUNCTION("""COMPUTED_VALUE"""),313.9)</f>
        <v>313.9</v>
      </c>
      <c r="P1833" s="82">
        <f>IFERROR(__xludf.DUMMYFUNCTION("""COMPUTED_VALUE"""),0.6333333333333333)</f>
        <v>0.6333333333</v>
      </c>
      <c r="Q1833" s="82">
        <f>IFERROR(__xludf.DUMMYFUNCTION("""COMPUTED_VALUE"""),0.4833333333333333)</f>
        <v>0.4833333333</v>
      </c>
      <c r="R1833" s="82">
        <f>IFERROR(__xludf.DUMMYFUNCTION("""COMPUTED_VALUE"""),1.15)</f>
        <v>1.15</v>
      </c>
      <c r="S1833" s="82">
        <f>IFERROR(__xludf.DUMMYFUNCTION("""COMPUTED_VALUE"""),2.2833333333333337)</f>
        <v>2.283333333</v>
      </c>
      <c r="T1833" s="82">
        <f>IFERROR(__xludf.DUMMYFUNCTION("""COMPUTED_VALUE"""),325.9154091992682)</f>
        <v>325.9154092</v>
      </c>
      <c r="U1833" s="82">
        <f>IFERROR(__xludf.DUMMYFUNCTION("""COMPUTED_VALUE"""),0.638444301876097)</f>
        <v>0.6384443019</v>
      </c>
      <c r="V1833" s="82">
        <f>IFERROR(__xludf.DUMMYFUNCTION("""COMPUTED_VALUE"""),0.503730138058358)</f>
        <v>0.5037301381</v>
      </c>
      <c r="W1833" s="82">
        <f>IFERROR(__xludf.DUMMYFUNCTION("""COMPUTED_VALUE"""),1.329665667590617)</f>
        <v>1.329665668</v>
      </c>
      <c r="X1833" s="82">
        <f>IFERROR(__xludf.DUMMYFUNCTION("""COMPUTED_VALUE"""),2.352096836653504)</f>
        <v>2.352096837</v>
      </c>
      <c r="Y1833" s="82">
        <f>IFERROR(__xludf.DUMMYFUNCTION("""COMPUTED_VALUE"""),363.861601715483)</f>
        <v>363.8616017</v>
      </c>
      <c r="Z1833" s="82">
        <f>IFERROR(__xludf.DUMMYFUNCTION("""COMPUTED_VALUE"""),0.8789410567286241)</f>
        <v>0.8789410567</v>
      </c>
      <c r="AA1833" s="82">
        <f>IFERROR(__xludf.DUMMYFUNCTION("""COMPUTED_VALUE"""),0.6443332935548538)</f>
        <v>0.6443332936</v>
      </c>
      <c r="AB1833" s="82">
        <f>IFERROR(__xludf.DUMMYFUNCTION("""COMPUTED_VALUE"""),1.2856666604671592)</f>
        <v>1.28566666</v>
      </c>
      <c r="AC1833" s="82">
        <f>IFERROR(__xludf.DUMMYFUNCTION("""COMPUTED_VALUE"""),2.7054703368401816)</f>
        <v>2.705470337</v>
      </c>
      <c r="AD1833" s="82">
        <f>IFERROR(__xludf.DUMMYFUNCTION("""COMPUTED_VALUE"""),0.7533083972249676)</f>
        <v>0.7533083972</v>
      </c>
      <c r="AE1833" s="82">
        <f>IFERROR(__xludf.DUMMYFUNCTION("""COMPUTED_VALUE"""),0.45509308836792833)</f>
        <v>0.4550930884</v>
      </c>
      <c r="AF1833" s="82">
        <f>IFERROR(__xludf.DUMMYFUNCTION("""COMPUTED_VALUE"""),1.163993863893284)</f>
        <v>1.163993864</v>
      </c>
      <c r="AG1833" s="82">
        <f>IFERROR(__xludf.DUMMYFUNCTION("""COMPUTED_VALUE"""),1.1278195543105463)</f>
        <v>1.127819554</v>
      </c>
      <c r="AH1833" s="82">
        <f>IFERROR(__xludf.DUMMYFUNCTION("""COMPUTED_VALUE"""),0.42506472325367545)</f>
        <v>0.4250647233</v>
      </c>
      <c r="AI1833" s="82">
        <f>IFERROR(__xludf.DUMMYFUNCTION("""COMPUTED_VALUE"""),0.9631333503721455)</f>
        <v>0.9631333504</v>
      </c>
      <c r="AJ1833" s="82">
        <f>IFERROR(__xludf.DUMMYFUNCTION("""COMPUTED_VALUE"""),0.9919946524266174)</f>
        <v>0.9919946524</v>
      </c>
      <c r="AK1833" s="82">
        <f>IFERROR(__xludf.DUMMYFUNCTION("""COMPUTED_VALUE"""),0.9595084685549196)</f>
        <v>0.9595084686</v>
      </c>
      <c r="AL1833" s="82">
        <f>IFERROR(__xludf.DUMMYFUNCTION("""COMPUTED_VALUE"""),0.8648790654900677)</f>
        <v>0.8648790655</v>
      </c>
      <c r="AM1833" s="82">
        <f>IFERROR(__xludf.DUMMYFUNCTION("""COMPUTED_VALUE"""),0.9707650202795199)</f>
        <v>0.9707650203</v>
      </c>
      <c r="AN1833" s="82">
        <f>IFERROR(__xludf.DUMMYFUNCTION("""COMPUTED_VALUE"""),0.8086955224847586)</f>
        <v>0.8086955225</v>
      </c>
      <c r="AO1833" s="82">
        <f>IFERROR(__xludf.DUMMYFUNCTION("""COMPUTED_VALUE"""),0.5444693845506017)</f>
        <v>0.5444693846</v>
      </c>
      <c r="AP1833" s="82">
        <f>IFERROR(__xludf.DUMMYFUNCTION("""COMPUTED_VALUE"""),1.3392286024647886)</f>
        <v>1.339228602</v>
      </c>
      <c r="AQ1833" s="82">
        <f>IFERROR(__xludf.DUMMYFUNCTION("""COMPUTED_VALUE"""),1.1065026583197994)</f>
        <v>1.106502658</v>
      </c>
      <c r="AR1833" s="82">
        <f>IFERROR(__xludf.DUMMYFUNCTION("""COMPUTED_VALUE"""),0.4617832980362247)</f>
        <v>0.461783298</v>
      </c>
      <c r="AS1833" s="82">
        <f>IFERROR(__xludf.DUMMYFUNCTION("""COMPUTED_VALUE"""),48.0)</f>
        <v>48</v>
      </c>
      <c r="AT1833" s="82">
        <f>IFERROR(__xludf.DUMMYFUNCTION("""COMPUTED_VALUE"""),0.5878448968012117)</f>
        <v>0.5878448968</v>
      </c>
      <c r="AU1833" s="82">
        <f>IFERROR(__xludf.DUMMYFUNCTION("""COMPUTED_VALUE"""),1.158937175990762)</f>
        <v>1.158937176</v>
      </c>
      <c r="AV1833" s="82">
        <f>IFERROR(__xludf.DUMMYFUNCTION("""COMPUTED_VALUE"""),20.42272781726614)</f>
        <v>20.42272782</v>
      </c>
      <c r="AW1833" s="82">
        <f t="shared" si="1"/>
        <v>-8.446904463</v>
      </c>
      <c r="AX1833" s="83">
        <f t="array" ref="AX1833">IFERROR(DGET('SBV Import'!A:G,"SBV",{"RSC ID","Tier";B1833,A1833}))</f>
        <v>30.04358689</v>
      </c>
      <c r="AY1833" s="82">
        <f t="shared" si="2"/>
        <v>-4.708966541</v>
      </c>
      <c r="AZ1833" s="82">
        <v>3.7379379222495723</v>
      </c>
      <c r="BA1833" s="84">
        <v>1700.0</v>
      </c>
      <c r="BB1833" s="84" t="b">
        <f>IFERROR(__xludf.DUMMYFUNCTION("iferror(if(A1833="""",,E1833&gt;=FILTER(Constants!$F$2:$F$10,Constants!$A$2:$A$10=A1833)))"),TRUE)</f>
        <v>1</v>
      </c>
    </row>
    <row r="1834">
      <c r="A1834" s="89" t="str">
        <f>IFERROR(__xludf.DUMMYFUNCTION("""COMPUTED_VALUE"""),"Rival")</f>
        <v>Rival</v>
      </c>
      <c r="B1834" s="87" t="str">
        <f>IFERROR(__xludf.DUMMYFUNCTION("""COMPUTED_VALUE"""),"RSC002204")</f>
        <v>RSC002204</v>
      </c>
      <c r="C1834" s="73" t="str">
        <f>IFERROR(__xludf.DUMMYFUNCTION("""COMPUTED_VALUE"""),"Mr.Numb3rz")</f>
        <v>Mr.Numb3rz</v>
      </c>
      <c r="D1834" s="73"/>
      <c r="E1834" s="82">
        <f>IFERROR(__xludf.DUMMYFUNCTION("""COMPUTED_VALUE"""),6.0)</f>
        <v>6</v>
      </c>
      <c r="F1834" s="82">
        <f>IFERROR(__xludf.DUMMYFUNCTION("""COMPUTED_VALUE"""),2.0)</f>
        <v>2</v>
      </c>
      <c r="G1834" s="86">
        <f>IFERROR(__xludf.DUMMYFUNCTION("""COMPUTED_VALUE"""),4.0)</f>
        <v>4</v>
      </c>
      <c r="H1834" s="86">
        <f>IFERROR(__xludf.DUMMYFUNCTION("""COMPUTED_VALUE"""),0.3333333333333333)</f>
        <v>0.3333333333</v>
      </c>
      <c r="I1834" s="86">
        <f>IFERROR(__xludf.DUMMYFUNCTION("""COMPUTED_VALUE"""),0.2)</f>
        <v>0.2</v>
      </c>
      <c r="J1834" s="82">
        <f>IFERROR(__xludf.DUMMYFUNCTION("""COMPUTED_VALUE"""),286.3333333333333)</f>
        <v>286.3333333</v>
      </c>
      <c r="K1834" s="82">
        <f>IFERROR(__xludf.DUMMYFUNCTION("""COMPUTED_VALUE"""),0.5)</f>
        <v>0.5</v>
      </c>
      <c r="L1834" s="82">
        <f>IFERROR(__xludf.DUMMYFUNCTION("""COMPUTED_VALUE"""),0.3333333333333333)</f>
        <v>0.3333333333</v>
      </c>
      <c r="M1834" s="82">
        <f>IFERROR(__xludf.DUMMYFUNCTION("""COMPUTED_VALUE"""),1.3333333333333333)</f>
        <v>1.333333333</v>
      </c>
      <c r="N1834" s="82">
        <f>IFERROR(__xludf.DUMMYFUNCTION("""COMPUTED_VALUE"""),2.5)</f>
        <v>2.5</v>
      </c>
      <c r="O1834" s="82">
        <f>IFERROR(__xludf.DUMMYFUNCTION("""COMPUTED_VALUE"""),420.8888888888889)</f>
        <v>420.8888889</v>
      </c>
      <c r="P1834" s="82">
        <f>IFERROR(__xludf.DUMMYFUNCTION("""COMPUTED_VALUE"""),1.0555555555555556)</f>
        <v>1.055555556</v>
      </c>
      <c r="Q1834" s="82">
        <f>IFERROR(__xludf.DUMMYFUNCTION("""COMPUTED_VALUE"""),0.7777777777777778)</f>
        <v>0.7777777778</v>
      </c>
      <c r="R1834" s="82">
        <f>IFERROR(__xludf.DUMMYFUNCTION("""COMPUTED_VALUE"""),1.5555555555555556)</f>
        <v>1.555555556</v>
      </c>
      <c r="S1834" s="82">
        <f>IFERROR(__xludf.DUMMYFUNCTION("""COMPUTED_VALUE"""),3.222222222222222)</f>
        <v>3.222222222</v>
      </c>
      <c r="T1834" s="82">
        <f>IFERROR(__xludf.DUMMYFUNCTION("""COMPUTED_VALUE"""),378.77772271301683)</f>
        <v>378.7777227</v>
      </c>
      <c r="U1834" s="82">
        <f>IFERROR(__xludf.DUMMYFUNCTION("""COMPUTED_VALUE"""),0.8451291627762215)</f>
        <v>0.8451291628</v>
      </c>
      <c r="V1834" s="82">
        <f>IFERROR(__xludf.DUMMYFUNCTION("""COMPUTED_VALUE"""),0.7061935885465296)</f>
        <v>0.7061935885</v>
      </c>
      <c r="W1834" s="82">
        <f>IFERROR(__xludf.DUMMYFUNCTION("""COMPUTED_VALUE"""),1.3712968948263067)</f>
        <v>1.371296895</v>
      </c>
      <c r="X1834" s="82">
        <f>IFERROR(__xludf.DUMMYFUNCTION("""COMPUTED_VALUE"""),2.8554909143144442)</f>
        <v>2.855490914</v>
      </c>
      <c r="Y1834" s="82">
        <f>IFERROR(__xludf.DUMMYFUNCTION("""COMPUTED_VALUE"""),352.792555084712)</f>
        <v>352.7925551</v>
      </c>
      <c r="Z1834" s="82">
        <f>IFERROR(__xludf.DUMMYFUNCTION("""COMPUTED_VALUE"""),0.8364057873861798)</f>
        <v>0.8364057874</v>
      </c>
      <c r="AA1834" s="82">
        <f>IFERROR(__xludf.DUMMYFUNCTION("""COMPUTED_VALUE"""),0.5590565570957727)</f>
        <v>0.5590565571</v>
      </c>
      <c r="AB1834" s="82">
        <f>IFERROR(__xludf.DUMMYFUNCTION("""COMPUTED_VALUE"""),1.2975396426376815)</f>
        <v>1.297539643</v>
      </c>
      <c r="AC1834" s="82">
        <f>IFERROR(__xludf.DUMMYFUNCTION("""COMPUTED_VALUE"""),2.706757802836234)</f>
        <v>2.706757803</v>
      </c>
      <c r="AD1834" s="82">
        <f>IFERROR(__xludf.DUMMYFUNCTION("""COMPUTED_VALUE"""),0.8116195458392805)</f>
        <v>0.8116195458</v>
      </c>
      <c r="AE1834" s="82">
        <f>IFERROR(__xludf.DUMMYFUNCTION("""COMPUTED_VALUE"""),0.5977959592586407)</f>
        <v>0.5977959593</v>
      </c>
      <c r="AF1834" s="82">
        <f>IFERROR(__xludf.DUMMYFUNCTION("""COMPUTED_VALUE"""),0.5962425967507784)</f>
        <v>0.5962425968</v>
      </c>
      <c r="AG1834" s="82">
        <f>IFERROR(__xludf.DUMMYFUNCTION("""COMPUTED_VALUE"""),1.0275858166636738)</f>
        <v>1.027585817</v>
      </c>
      <c r="AH1834" s="82">
        <f>IFERROR(__xludf.DUMMYFUNCTION("""COMPUTED_VALUE"""),0.9236142211838879)</f>
        <v>0.9236142212</v>
      </c>
      <c r="AI1834" s="82">
        <f>IFERROR(__xludf.DUMMYFUNCTION("""COMPUTED_VALUE"""),1.1111764595717206)</f>
        <v>1.11117646</v>
      </c>
      <c r="AJ1834" s="82">
        <f>IFERROR(__xludf.DUMMYFUNCTION("""COMPUTED_VALUE"""),1.2489872578625618)</f>
        <v>1.248987258</v>
      </c>
      <c r="AK1834" s="82">
        <f>IFERROR(__xludf.DUMMYFUNCTION("""COMPUTED_VALUE"""),1.101366240634641)</f>
        <v>1.101366241</v>
      </c>
      <c r="AL1834" s="82">
        <f>IFERROR(__xludf.DUMMYFUNCTION("""COMPUTED_VALUE"""),1.1343681746997523)</f>
        <v>1.134368175</v>
      </c>
      <c r="AM1834" s="82">
        <f>IFERROR(__xludf.DUMMYFUNCTION("""COMPUTED_VALUE"""),1.1284302135472994)</f>
        <v>1.128430214</v>
      </c>
      <c r="AN1834" s="82">
        <f>IFERROR(__xludf.DUMMYFUNCTION("""COMPUTED_VALUE"""),0.8447883422283929)</f>
        <v>0.8447883422</v>
      </c>
      <c r="AO1834" s="82">
        <f>IFERROR(__xludf.DUMMYFUNCTION("""COMPUTED_VALUE"""),0.6805867306882522)</f>
        <v>0.6805867307</v>
      </c>
      <c r="AP1834" s="82">
        <f>IFERROR(__xludf.DUMMYFUNCTION("""COMPUTED_VALUE"""),0.5952127122065727)</f>
        <v>0.5952127122</v>
      </c>
      <c r="AQ1834" s="82">
        <f>IFERROR(__xludf.DUMMYFUNCTION("""COMPUTED_VALUE"""),1.0174737087998156)</f>
        <v>1.017473709</v>
      </c>
      <c r="AR1834" s="82">
        <f>IFERROR(__xludf.DUMMYFUNCTION("""COMPUTED_VALUE"""),1.003876734861358)</f>
        <v>1.003876735</v>
      </c>
      <c r="AS1834" s="82">
        <f>IFERROR(__xludf.DUMMYFUNCTION("""COMPUTED_VALUE"""),9.0)</f>
        <v>9</v>
      </c>
      <c r="AT1834" s="82">
        <f>IFERROR(__xludf.DUMMYFUNCTION("""COMPUTED_VALUE"""),0.23818552466457016)</f>
        <v>0.2381855247</v>
      </c>
      <c r="AU1834" s="82">
        <f>IFERROR(__xludf.DUMMYFUNCTION("""COMPUTED_VALUE"""),1.135447674731217)</f>
        <v>1.135447675</v>
      </c>
      <c r="AV1834" s="82">
        <f>IFERROR(__xludf.DUMMYFUNCTION("""COMPUTED_VALUE"""),19.592983045469246)</f>
        <v>19.59298305</v>
      </c>
      <c r="AW1834" s="82">
        <f t="shared" si="1"/>
        <v>-8.933436189</v>
      </c>
      <c r="AX1834" s="83">
        <f t="array" ref="AX1834">IFERROR(DGET('SBV Import'!A:G,"SBV",{"RSC ID","Tier";B1834,A1834}))</f>
        <v>14.75827325</v>
      </c>
      <c r="AY1834" s="82">
        <f t="shared" si="2"/>
        <v>-12.60736577</v>
      </c>
      <c r="AZ1834" s="82">
        <v>3.673929576737436</v>
      </c>
      <c r="BA1834" s="84">
        <v>1700.0</v>
      </c>
      <c r="BB1834" s="84" t="b">
        <f>IFERROR(__xludf.DUMMYFUNCTION("iferror(if(A1834="""",,E1834&gt;=FILTER(Constants!$F$2:$F$10,Constants!$A$2:$A$10=A1834)))"),TRUE)</f>
        <v>1</v>
      </c>
    </row>
    <row r="1835">
      <c r="A1835" s="89" t="str">
        <f>IFERROR(__xludf.DUMMYFUNCTION("""COMPUTED_VALUE"""),"Rival")</f>
        <v>Rival</v>
      </c>
      <c r="B1835" s="87" t="str">
        <f>IFERROR(__xludf.DUMMYFUNCTION("""COMPUTED_VALUE"""),"RSC007861")</f>
        <v>RSC007861</v>
      </c>
      <c r="C1835" s="73" t="str">
        <f>IFERROR(__xludf.DUMMYFUNCTION("""COMPUTED_VALUE"""),"xmanyaknow")</f>
        <v>xmanyaknow</v>
      </c>
      <c r="D1835" s="73" t="str">
        <f>IFERROR(__xludf.DUMMYFUNCTION("""COMPUTED_VALUE"""),"Phantoms")</f>
        <v>Phantoms</v>
      </c>
      <c r="E1835" s="82">
        <f>IFERROR(__xludf.DUMMYFUNCTION("""COMPUTED_VALUE"""),25.0)</f>
        <v>25</v>
      </c>
      <c r="F1835" s="82">
        <f>IFERROR(__xludf.DUMMYFUNCTION("""COMPUTED_VALUE"""),9.0)</f>
        <v>9</v>
      </c>
      <c r="G1835" s="86">
        <f>IFERROR(__xludf.DUMMYFUNCTION("""COMPUTED_VALUE"""),16.0)</f>
        <v>16</v>
      </c>
      <c r="H1835" s="86">
        <f>IFERROR(__xludf.DUMMYFUNCTION("""COMPUTED_VALUE"""),0.36)</f>
        <v>0.36</v>
      </c>
      <c r="I1835" s="86">
        <f>IFERROR(__xludf.DUMMYFUNCTION("""COMPUTED_VALUE"""),0.1754385964912281)</f>
        <v>0.1754385965</v>
      </c>
      <c r="J1835" s="82">
        <f>IFERROR(__xludf.DUMMYFUNCTION("""COMPUTED_VALUE"""),309.16)</f>
        <v>309.16</v>
      </c>
      <c r="K1835" s="82">
        <f>IFERROR(__xludf.DUMMYFUNCTION("""COMPUTED_VALUE"""),0.4)</f>
        <v>0.4</v>
      </c>
      <c r="L1835" s="82">
        <f>IFERROR(__xludf.DUMMYFUNCTION("""COMPUTED_VALUE"""),0.36)</f>
        <v>0.36</v>
      </c>
      <c r="M1835" s="82">
        <f>IFERROR(__xludf.DUMMYFUNCTION("""COMPUTED_VALUE"""),1.52)</f>
        <v>1.52</v>
      </c>
      <c r="N1835" s="82">
        <f>IFERROR(__xludf.DUMMYFUNCTION("""COMPUTED_VALUE"""),2.28)</f>
        <v>2.28</v>
      </c>
      <c r="O1835" s="82">
        <f>IFERROR(__xludf.DUMMYFUNCTION("""COMPUTED_VALUE"""),364.97333333333336)</f>
        <v>364.9733333</v>
      </c>
      <c r="P1835" s="82">
        <f>IFERROR(__xludf.DUMMYFUNCTION("""COMPUTED_VALUE"""),0.9600000000000002)</f>
        <v>0.96</v>
      </c>
      <c r="Q1835" s="82">
        <f>IFERROR(__xludf.DUMMYFUNCTION("""COMPUTED_VALUE"""),0.7066666666666666)</f>
        <v>0.7066666667</v>
      </c>
      <c r="R1835" s="82">
        <f>IFERROR(__xludf.DUMMYFUNCTION("""COMPUTED_VALUE"""),1.1733333333333331)</f>
        <v>1.173333333</v>
      </c>
      <c r="S1835" s="82">
        <f>IFERROR(__xludf.DUMMYFUNCTION("""COMPUTED_VALUE"""),2.7599999999999993)</f>
        <v>2.76</v>
      </c>
      <c r="T1835" s="82">
        <f>IFERROR(__xludf.DUMMYFUNCTION("""COMPUTED_VALUE"""),349.11907653022007)</f>
        <v>349.1190765</v>
      </c>
      <c r="U1835" s="82">
        <f>IFERROR(__xludf.DUMMYFUNCTION("""COMPUTED_VALUE"""),0.797124088396669)</f>
        <v>0.7971240884</v>
      </c>
      <c r="V1835" s="82">
        <f>IFERROR(__xludf.DUMMYFUNCTION("""COMPUTED_VALUE"""),0.5423863176250275)</f>
        <v>0.5423863176</v>
      </c>
      <c r="W1835" s="82">
        <f>IFERROR(__xludf.DUMMYFUNCTION("""COMPUTED_VALUE"""),1.319424725274725)</f>
        <v>1.319424725</v>
      </c>
      <c r="X1835" s="82">
        <f>IFERROR(__xludf.DUMMYFUNCTION("""COMPUTED_VALUE"""),2.4735058423655194)</f>
        <v>2.473505842</v>
      </c>
      <c r="Y1835" s="82">
        <f>IFERROR(__xludf.DUMMYFUNCTION("""COMPUTED_VALUE"""),335.50223308789964)</f>
        <v>335.5022331</v>
      </c>
      <c r="Z1835" s="82">
        <f>IFERROR(__xludf.DUMMYFUNCTION("""COMPUTED_VALUE"""),0.7213472518123054)</f>
        <v>0.7213472518</v>
      </c>
      <c r="AA1835" s="82">
        <f>IFERROR(__xludf.DUMMYFUNCTION("""COMPUTED_VALUE"""),0.5082568750445094)</f>
        <v>0.508256875</v>
      </c>
      <c r="AB1835" s="82">
        <f>IFERROR(__xludf.DUMMYFUNCTION("""COMPUTED_VALUE"""),1.2710637071013418)</f>
        <v>1.271063707</v>
      </c>
      <c r="AC1835" s="82">
        <f>IFERROR(__xludf.DUMMYFUNCTION("""COMPUTED_VALUE"""),2.4553650914995)</f>
        <v>2.455365091</v>
      </c>
      <c r="AD1835" s="82">
        <f>IFERROR(__xludf.DUMMYFUNCTION("""COMPUTED_VALUE"""),0.9214841795672993)</f>
        <v>0.9214841796</v>
      </c>
      <c r="AE1835" s="82">
        <f>IFERROR(__xludf.DUMMYFUNCTION("""COMPUTED_VALUE"""),0.5545179509522552)</f>
        <v>0.554517951</v>
      </c>
      <c r="AF1835" s="82">
        <f>IFERROR(__xludf.DUMMYFUNCTION("""COMPUTED_VALUE"""),0.7083032570262306)</f>
        <v>0.708303257</v>
      </c>
      <c r="AG1835" s="82">
        <f>IFERROR(__xludf.DUMMYFUNCTION("""COMPUTED_VALUE"""),1.1958487930289168)</f>
        <v>1.195848793</v>
      </c>
      <c r="AH1835" s="82">
        <f>IFERROR(__xludf.DUMMYFUNCTION("""COMPUTED_VALUE"""),0.9285788121258969)</f>
        <v>0.9285788121</v>
      </c>
      <c r="AI1835" s="82">
        <f>IFERROR(__xludf.DUMMYFUNCTION("""COMPUTED_VALUE"""),1.0454121755839971)</f>
        <v>1.045412176</v>
      </c>
      <c r="AJ1835" s="82">
        <f>IFERROR(__xludf.DUMMYFUNCTION("""COMPUTED_VALUE"""),1.2043294312318913)</f>
        <v>1.204329431</v>
      </c>
      <c r="AK1835" s="82">
        <f>IFERROR(__xludf.DUMMYFUNCTION("""COMPUTED_VALUE"""),1.3028843901538318)</f>
        <v>1.30288439</v>
      </c>
      <c r="AL1835" s="82">
        <f>IFERROR(__xludf.DUMMYFUNCTION("""COMPUTED_VALUE"""),0.8892764481801162)</f>
        <v>0.8892764482</v>
      </c>
      <c r="AM1835" s="82">
        <f>IFERROR(__xludf.DUMMYFUNCTION("""COMPUTED_VALUE"""),1.1158251388484668)</f>
        <v>1.115825139</v>
      </c>
      <c r="AN1835" s="82">
        <f>IFERROR(__xludf.DUMMYFUNCTION("""COMPUTED_VALUE"""),0.9121353802677415)</f>
        <v>0.9121353803</v>
      </c>
      <c r="AO1835" s="82">
        <f>IFERROR(__xludf.DUMMYFUNCTION("""COMPUTED_VALUE"""),0.5444693845506017)</f>
        <v>0.5444693846</v>
      </c>
      <c r="AP1835" s="82">
        <f>IFERROR(__xludf.DUMMYFUNCTION("""COMPUTED_VALUE"""),0.6428297291830986)</f>
        <v>0.6428297292</v>
      </c>
      <c r="AQ1835" s="82">
        <f>IFERROR(__xludf.DUMMYFUNCTION("""COMPUTED_VALUE"""),1.1599200280317898)</f>
        <v>1.159920028</v>
      </c>
      <c r="AR1835" s="82">
        <f>IFERROR(__xludf.DUMMYFUNCTION("""COMPUTED_VALUE"""),0.9155355821935585)</f>
        <v>0.9155355822</v>
      </c>
      <c r="AS1835" s="82">
        <f>IFERROR(__xludf.DUMMYFUNCTION("""COMPUTED_VALUE"""),45.0)</f>
        <v>45</v>
      </c>
      <c r="AT1835" s="82">
        <f>IFERROR(__xludf.DUMMYFUNCTION("""COMPUTED_VALUE"""),0.3247742193712094)</f>
        <v>0.3247742194</v>
      </c>
      <c r="AU1835" s="82">
        <f>IFERROR(__xludf.DUMMYFUNCTION("""COMPUTED_VALUE"""),1.098529053814062)</f>
        <v>1.098529054</v>
      </c>
      <c r="AV1835" s="82">
        <f>IFERROR(__xludf.DUMMYFUNCTION("""COMPUTED_VALUE"""),18.28886711940151)</f>
        <v>18.28886712</v>
      </c>
      <c r="AW1835" s="82">
        <f t="shared" si="1"/>
        <v>-9.773309663</v>
      </c>
      <c r="AX1835" s="83">
        <f t="array" ref="AX1835">IFERROR(DGET('SBV Import'!A:G,"SBV",{"RSC ID","Tier";B1835,A1835}))</f>
        <v>33.29144557</v>
      </c>
      <c r="AY1835" s="82">
        <f t="shared" si="2"/>
        <v>-3.968921785</v>
      </c>
      <c r="AZ1835" s="82">
        <v>5.804387877630702</v>
      </c>
      <c r="BA1835" s="84">
        <v>1700.0</v>
      </c>
      <c r="BB1835" s="84" t="b">
        <f>IFERROR(__xludf.DUMMYFUNCTION("iferror(if(A1835="""",,E1835&gt;=FILTER(Constants!$F$2:$F$10,Constants!$A$2:$A$10=A1835)))"),TRUE)</f>
        <v>1</v>
      </c>
    </row>
    <row r="1836">
      <c r="A1836" s="89" t="str">
        <f>IFERROR(__xludf.DUMMYFUNCTION("""COMPUTED_VALUE"""),"Rival")</f>
        <v>Rival</v>
      </c>
      <c r="B1836" s="87" t="str">
        <f>IFERROR(__xludf.DUMMYFUNCTION("""COMPUTED_VALUE"""),"RSC004790")</f>
        <v>RSC004790</v>
      </c>
      <c r="C1836" s="73" t="str">
        <f>IFERROR(__xludf.DUMMYFUNCTION("""COMPUTED_VALUE"""),"TheFrostNL")</f>
        <v>TheFrostNL</v>
      </c>
      <c r="D1836" s="73" t="str">
        <f>IFERROR(__xludf.DUMMYFUNCTION("""COMPUTED_VALUE"""),"Nightfall")</f>
        <v>Nightfall</v>
      </c>
      <c r="E1836" s="82">
        <f>IFERROR(__xludf.DUMMYFUNCTION("""COMPUTED_VALUE"""),13.0)</f>
        <v>13</v>
      </c>
      <c r="F1836" s="82">
        <f>IFERROR(__xludf.DUMMYFUNCTION("""COMPUTED_VALUE"""),7.0)</f>
        <v>7</v>
      </c>
      <c r="G1836" s="86">
        <f>IFERROR(__xludf.DUMMYFUNCTION("""COMPUTED_VALUE"""),6.0)</f>
        <v>6</v>
      </c>
      <c r="H1836" s="86">
        <f>IFERROR(__xludf.DUMMYFUNCTION("""COMPUTED_VALUE"""),0.5384615384615384)</f>
        <v>0.5384615385</v>
      </c>
      <c r="I1836" s="86">
        <f>IFERROR(__xludf.DUMMYFUNCTION("""COMPUTED_VALUE"""),0.19230769230769232)</f>
        <v>0.1923076923</v>
      </c>
      <c r="J1836" s="82">
        <f>IFERROR(__xludf.DUMMYFUNCTION("""COMPUTED_VALUE"""),283.0)</f>
        <v>283</v>
      </c>
      <c r="K1836" s="82">
        <f>IFERROR(__xludf.DUMMYFUNCTION("""COMPUTED_VALUE"""),0.38461538461538464)</f>
        <v>0.3846153846</v>
      </c>
      <c r="L1836" s="82">
        <f>IFERROR(__xludf.DUMMYFUNCTION("""COMPUTED_VALUE"""),0.07692307692307693)</f>
        <v>0.07692307692</v>
      </c>
      <c r="M1836" s="82">
        <f>IFERROR(__xludf.DUMMYFUNCTION("""COMPUTED_VALUE"""),1.5384615384615385)</f>
        <v>1.538461538</v>
      </c>
      <c r="N1836" s="82">
        <f>IFERROR(__xludf.DUMMYFUNCTION("""COMPUTED_VALUE"""),2.0)</f>
        <v>2</v>
      </c>
      <c r="O1836" s="82">
        <f>IFERROR(__xludf.DUMMYFUNCTION("""COMPUTED_VALUE"""),315.2307692307692)</f>
        <v>315.2307692</v>
      </c>
      <c r="P1836" s="82">
        <f>IFERROR(__xludf.DUMMYFUNCTION("""COMPUTED_VALUE"""),0.5641025641025641)</f>
        <v>0.5641025641</v>
      </c>
      <c r="Q1836" s="82">
        <f>IFERROR(__xludf.DUMMYFUNCTION("""COMPUTED_VALUE"""),0.46153846153846156)</f>
        <v>0.4615384615</v>
      </c>
      <c r="R1836" s="82">
        <f>IFERROR(__xludf.DUMMYFUNCTION("""COMPUTED_VALUE"""),1.1538461538461537)</f>
        <v>1.153846154</v>
      </c>
      <c r="S1836" s="82">
        <f>IFERROR(__xludf.DUMMYFUNCTION("""COMPUTED_VALUE"""),2.5384615384615383)</f>
        <v>2.538461538</v>
      </c>
      <c r="T1836" s="82">
        <f>IFERROR(__xludf.DUMMYFUNCTION("""COMPUTED_VALUE"""),352.3575696739157)</f>
        <v>352.3575697</v>
      </c>
      <c r="U1836" s="82">
        <f>IFERROR(__xludf.DUMMYFUNCTION("""COMPUTED_VALUE"""),0.8121204116396424)</f>
        <v>0.8121204116</v>
      </c>
      <c r="V1836" s="82">
        <f>IFERROR(__xludf.DUMMYFUNCTION("""COMPUTED_VALUE"""),0.5640111313188236)</f>
        <v>0.5640111313</v>
      </c>
      <c r="W1836" s="82">
        <f>IFERROR(__xludf.DUMMYFUNCTION("""COMPUTED_VALUE"""),1.2591491129952668)</f>
        <v>1.259149113</v>
      </c>
      <c r="X1836" s="82">
        <f>IFERROR(__xludf.DUMMYFUNCTION("""COMPUTED_VALUE"""),2.707501045962584)</f>
        <v>2.707501046</v>
      </c>
      <c r="Y1836" s="82">
        <f>IFERROR(__xludf.DUMMYFUNCTION("""COMPUTED_VALUE"""),336.0497167481141)</f>
        <v>336.0497167</v>
      </c>
      <c r="Z1836" s="82">
        <f>IFERROR(__xludf.DUMMYFUNCTION("""COMPUTED_VALUE"""),0.6857809154283513)</f>
        <v>0.6857809154</v>
      </c>
      <c r="AA1836" s="82">
        <f>IFERROR(__xludf.DUMMYFUNCTION("""COMPUTED_VALUE"""),0.4509881085201599)</f>
        <v>0.4509881085</v>
      </c>
      <c r="AB1836" s="82">
        <f>IFERROR(__xludf.DUMMYFUNCTION("""COMPUTED_VALUE"""),1.3892659750031546)</f>
        <v>1.389265975</v>
      </c>
      <c r="AC1836" s="82">
        <f>IFERROR(__xludf.DUMMYFUNCTION("""COMPUTED_VALUE"""),2.352472729075293)</f>
        <v>2.352472729</v>
      </c>
      <c r="AD1836" s="82">
        <f>IFERROR(__xludf.DUMMYFUNCTION("""COMPUTED_VALUE"""),0.8421372966432895)</f>
        <v>0.8421372966</v>
      </c>
      <c r="AE1836" s="82">
        <f>IFERROR(__xludf.DUMMYFUNCTION("""COMPUTED_VALUE"""),0.5608429397239012)</f>
        <v>0.5608429397</v>
      </c>
      <c r="AF1836" s="82">
        <f>IFERROR(__xludf.DUMMYFUNCTION("""COMPUTED_VALUE"""),0.17056564346116976)</f>
        <v>0.1705656435</v>
      </c>
      <c r="AG1836" s="82">
        <f>IFERROR(__xludf.DUMMYFUNCTION("""COMPUTED_VALUE"""),1.1073916486424027)</f>
        <v>1.107391649</v>
      </c>
      <c r="AH1836" s="82">
        <f>IFERROR(__xludf.DUMMYFUNCTION("""COMPUTED_VALUE"""),0.8501692603196116)</f>
        <v>0.8501692603</v>
      </c>
      <c r="AI1836" s="82">
        <f>IFERROR(__xludf.DUMMYFUNCTION("""COMPUTED_VALUE"""),0.8946331691483032)</f>
        <v>0.8946331691</v>
      </c>
      <c r="AJ1836" s="82">
        <f>IFERROR(__xludf.DUMMYFUNCTION("""COMPUTED_VALUE"""),0.6946045882083679)</f>
        <v>0.6946045882</v>
      </c>
      <c r="AK1836" s="82">
        <f>IFERROR(__xludf.DUMMYFUNCTION("""COMPUTED_VALUE"""),0.8183144549988741)</f>
        <v>0.818314455</v>
      </c>
      <c r="AL1836" s="82">
        <f>IFERROR(__xludf.DUMMYFUNCTION("""COMPUTED_VALUE"""),0.9163697467898634)</f>
        <v>0.9163697468</v>
      </c>
      <c r="AM1836" s="82">
        <f>IFERROR(__xludf.DUMMYFUNCTION("""COMPUTED_VALUE"""),0.937566226335123)</f>
        <v>0.9375662263</v>
      </c>
      <c r="AN1836" s="82">
        <f>IFERROR(__xludf.DUMMYFUNCTION("""COMPUTED_VALUE"""),0.8349537864399367)</f>
        <v>0.8349537864</v>
      </c>
      <c r="AO1836" s="82">
        <f>IFERROR(__xludf.DUMMYFUNCTION("""COMPUTED_VALUE"""),0.5235282543755786)</f>
        <v>0.5235282544</v>
      </c>
      <c r="AP1836" s="82">
        <f>IFERROR(__xludf.DUMMYFUNCTION("""COMPUTED_VALUE"""),0.13735677973997834)</f>
        <v>0.1373567797</v>
      </c>
      <c r="AQ1836" s="82">
        <f>IFERROR(__xludf.DUMMYFUNCTION("""COMPUTED_VALUE"""),1.1740081255382488)</f>
        <v>1.174008126</v>
      </c>
      <c r="AR1836" s="82">
        <f>IFERROR(__xludf.DUMMYFUNCTION("""COMPUTED_VALUE"""),0.8031013878890865)</f>
        <v>0.8031013879</v>
      </c>
      <c r="AS1836" s="82">
        <f>IFERROR(__xludf.DUMMYFUNCTION("""COMPUTED_VALUE"""),20.0)</f>
        <v>20</v>
      </c>
      <c r="AT1836" s="82">
        <f>IFERROR(__xludf.DUMMYFUNCTION("""COMPUTED_VALUE"""),0.4666875733624595)</f>
        <v>0.4666875734</v>
      </c>
      <c r="AU1836" s="82">
        <f>IFERROR(__xludf.DUMMYFUNCTION("""COMPUTED_VALUE"""),1.0184698271717636)</f>
        <v>1.018469827</v>
      </c>
      <c r="AV1836" s="82">
        <f>IFERROR(__xludf.DUMMYFUNCTION("""COMPUTED_VALUE"""),15.460849444332467)</f>
        <v>15.46084944</v>
      </c>
      <c r="AW1836" s="82">
        <f t="shared" si="1"/>
        <v>-11.9685233</v>
      </c>
      <c r="AX1836" s="83">
        <f t="array" ref="AX1836">IFERROR(DGET('SBV Import'!A:G,"SBV",{"RSC ID","Tier";B1836,A1836}))</f>
        <v>24.51552618</v>
      </c>
      <c r="AY1836" s="82">
        <f t="shared" si="2"/>
        <v>-6.493019636</v>
      </c>
      <c r="AZ1836" s="82">
        <v>5.475503665298335</v>
      </c>
      <c r="BA1836" s="84">
        <v>1700.0</v>
      </c>
      <c r="BB1836" s="84" t="b">
        <f>IFERROR(__xludf.DUMMYFUNCTION("iferror(if(A1836="""",,E1836&gt;=FILTER(Constants!$F$2:$F$10,Constants!$A$2:$A$10=A1836)))"),TRUE)</f>
        <v>1</v>
      </c>
    </row>
    <row r="1837">
      <c r="A1837" s="89" t="str">
        <f>IFERROR(__xludf.DUMMYFUNCTION("""COMPUTED_VALUE"""),"Rival")</f>
        <v>Rival</v>
      </c>
      <c r="B1837" s="87" t="str">
        <f>IFERROR(__xludf.DUMMYFUNCTION("""COMPUTED_VALUE"""),"RSC003900")</f>
        <v>RSC003900</v>
      </c>
      <c r="C1837" s="73" t="str">
        <f>IFERROR(__xludf.DUMMYFUNCTION("""COMPUTED_VALUE"""),"Tryhard goblin")</f>
        <v>Tryhard goblin</v>
      </c>
      <c r="D1837" s="73" t="str">
        <f>IFERROR(__xludf.DUMMYFUNCTION("""COMPUTED_VALUE"""),"Phantoms")</f>
        <v>Phantoms</v>
      </c>
      <c r="E1837" s="82">
        <f>IFERROR(__xludf.DUMMYFUNCTION("""COMPUTED_VALUE"""),14.0)</f>
        <v>14</v>
      </c>
      <c r="F1837" s="82">
        <f>IFERROR(__xludf.DUMMYFUNCTION("""COMPUTED_VALUE"""),2.0)</f>
        <v>2</v>
      </c>
      <c r="G1837" s="86">
        <f>IFERROR(__xludf.DUMMYFUNCTION("""COMPUTED_VALUE"""),12.0)</f>
        <v>12</v>
      </c>
      <c r="H1837" s="86">
        <f>IFERROR(__xludf.DUMMYFUNCTION("""COMPUTED_VALUE"""),0.14285714285714285)</f>
        <v>0.1428571429</v>
      </c>
      <c r="I1837" s="86">
        <f>IFERROR(__xludf.DUMMYFUNCTION("""COMPUTED_VALUE"""),0.2758620689655172)</f>
        <v>0.275862069</v>
      </c>
      <c r="J1837" s="82">
        <f>IFERROR(__xludf.DUMMYFUNCTION("""COMPUTED_VALUE"""),274.85714285714283)</f>
        <v>274.8571429</v>
      </c>
      <c r="K1837" s="82">
        <f>IFERROR(__xludf.DUMMYFUNCTION("""COMPUTED_VALUE"""),0.5714285714285714)</f>
        <v>0.5714285714</v>
      </c>
      <c r="L1837" s="82">
        <f>IFERROR(__xludf.DUMMYFUNCTION("""COMPUTED_VALUE"""),0.21428571428571427)</f>
        <v>0.2142857143</v>
      </c>
      <c r="M1837" s="82">
        <f>IFERROR(__xludf.DUMMYFUNCTION("""COMPUTED_VALUE"""),1.0714285714285714)</f>
        <v>1.071428571</v>
      </c>
      <c r="N1837" s="82">
        <f>IFERROR(__xludf.DUMMYFUNCTION("""COMPUTED_VALUE"""),2.0714285714285716)</f>
        <v>2.071428571</v>
      </c>
      <c r="O1837" s="82">
        <f>IFERROR(__xludf.DUMMYFUNCTION("""COMPUTED_VALUE"""),396.83333333333337)</f>
        <v>396.8333333</v>
      </c>
      <c r="P1837" s="82">
        <f>IFERROR(__xludf.DUMMYFUNCTION("""COMPUTED_VALUE"""),1.1428571428571428)</f>
        <v>1.142857143</v>
      </c>
      <c r="Q1837" s="82">
        <f>IFERROR(__xludf.DUMMYFUNCTION("""COMPUTED_VALUE"""),0.7857142857142856)</f>
        <v>0.7857142857</v>
      </c>
      <c r="R1837" s="82">
        <f>IFERROR(__xludf.DUMMYFUNCTION("""COMPUTED_VALUE"""),1.0476190476190477)</f>
        <v>1.047619048</v>
      </c>
      <c r="S1837" s="82">
        <f>IFERROR(__xludf.DUMMYFUNCTION("""COMPUTED_VALUE"""),3.142857142857143)</f>
        <v>3.142857143</v>
      </c>
      <c r="T1837" s="82">
        <f>IFERROR(__xludf.DUMMYFUNCTION("""COMPUTED_VALUE"""),366.34774961149964)</f>
        <v>366.3477496</v>
      </c>
      <c r="U1837" s="82">
        <f>IFERROR(__xludf.DUMMYFUNCTION("""COMPUTED_VALUE"""),0.8891984404484405)</f>
        <v>0.8891984404</v>
      </c>
      <c r="V1837" s="82">
        <f>IFERROR(__xludf.DUMMYFUNCTION("""COMPUTED_VALUE"""),0.6084711056139628)</f>
        <v>0.6084711056</v>
      </c>
      <c r="W1837" s="82">
        <f>IFERROR(__xludf.DUMMYFUNCTION("""COMPUTED_VALUE"""),1.3220962106676388)</f>
        <v>1.322096211</v>
      </c>
      <c r="X1837" s="82">
        <f>IFERROR(__xludf.DUMMYFUNCTION("""COMPUTED_VALUE"""),2.7100364714650427)</f>
        <v>2.710036471</v>
      </c>
      <c r="Y1837" s="82">
        <f>IFERROR(__xludf.DUMMYFUNCTION("""COMPUTED_VALUE"""),345.5509562307181)</f>
        <v>345.5509562</v>
      </c>
      <c r="Z1837" s="82">
        <f>IFERROR(__xludf.DUMMYFUNCTION("""COMPUTED_VALUE"""),0.7413272023391072)</f>
        <v>0.7413272023</v>
      </c>
      <c r="AA1837" s="82">
        <f>IFERROR(__xludf.DUMMYFUNCTION("""COMPUTED_VALUE"""),0.5142736011783631)</f>
        <v>0.5142736012</v>
      </c>
      <c r="AB1837" s="82">
        <f>IFERROR(__xludf.DUMMYFUNCTION("""COMPUTED_VALUE"""),1.383994565839804)</f>
        <v>1.383994566</v>
      </c>
      <c r="AC1837" s="82">
        <f>IFERROR(__xludf.DUMMYFUNCTION("""COMPUTED_VALUE"""),2.476618278106374)</f>
        <v>2.476618278</v>
      </c>
      <c r="AD1837" s="82">
        <f>IFERROR(__xludf.DUMMYFUNCTION("""COMPUTED_VALUE"""),0.79541710969431)</f>
        <v>0.7954171097</v>
      </c>
      <c r="AE1837" s="82">
        <f>IFERROR(__xludf.DUMMYFUNCTION("""COMPUTED_VALUE"""),0.7708182967325963)</f>
        <v>0.7708182967</v>
      </c>
      <c r="AF1837" s="82">
        <f>IFERROR(__xludf.DUMMYFUNCTION("""COMPUTED_VALUE"""),0.41667648075794306)</f>
        <v>0.4166764808</v>
      </c>
      <c r="AG1837" s="82">
        <f>IFERROR(__xludf.DUMMYFUNCTION("""COMPUTED_VALUE"""),0.7741566317339054)</f>
        <v>0.7741566317</v>
      </c>
      <c r="AH1837" s="82">
        <f>IFERROR(__xludf.DUMMYFUNCTION("""COMPUTED_VALUE"""),0.8363939609669637)</f>
        <v>0.836393961</v>
      </c>
      <c r="AI1837" s="82">
        <f>IFERROR(__xludf.DUMMYFUNCTION("""COMPUTED_VALUE"""),1.0832148791801308)</f>
        <v>1.083214879</v>
      </c>
      <c r="AJ1837" s="82">
        <f>IFERROR(__xludf.DUMMYFUNCTION("""COMPUTED_VALUE"""),1.2852666973648503)</f>
        <v>1.285266697</v>
      </c>
      <c r="AK1837" s="82">
        <f>IFERROR(__xludf.DUMMYFUNCTION("""COMPUTED_VALUE"""),1.2912926817149024)</f>
        <v>1.291292682</v>
      </c>
      <c r="AL1837" s="82">
        <f>IFERROR(__xludf.DUMMYFUNCTION("""COMPUTED_VALUE"""),0.7923924440340205)</f>
        <v>0.792392444</v>
      </c>
      <c r="AM1837" s="82">
        <f>IFERROR(__xludf.DUMMYFUNCTION("""COMPUTED_VALUE"""),1.1597102754702477)</f>
        <v>1.159710275</v>
      </c>
      <c r="AN1837" s="82">
        <f>IFERROR(__xludf.DUMMYFUNCTION("""COMPUTED_VALUE"""),0.8109293715852792)</f>
        <v>0.8109293716</v>
      </c>
      <c r="AO1837" s="82">
        <f>IFERROR(__xludf.DUMMYFUNCTION("""COMPUTED_VALUE"""),0.7778134065008595)</f>
        <v>0.7778134065</v>
      </c>
      <c r="AP1837" s="82">
        <f>IFERROR(__xludf.DUMMYFUNCTION("""COMPUTED_VALUE"""),0.3826367435613682)</f>
        <v>0.3826367436</v>
      </c>
      <c r="AQ1837" s="82">
        <f>IFERROR(__xludf.DUMMYFUNCTION("""COMPUTED_VALUE"""),0.8176128017141374)</f>
        <v>0.8176128017</v>
      </c>
      <c r="AR1837" s="82">
        <f>IFERROR(__xludf.DUMMYFUNCTION("""COMPUTED_VALUE"""),0.8317835803136968)</f>
        <v>0.8317835803</v>
      </c>
      <c r="AS1837" s="82">
        <f>IFERROR(__xludf.DUMMYFUNCTION("""COMPUTED_VALUE"""),21.0)</f>
        <v>21</v>
      </c>
      <c r="AT1837" s="82">
        <f>IFERROR(__xludf.DUMMYFUNCTION("""COMPUTED_VALUE"""),0.21305383623233423)</f>
        <v>0.2130538362</v>
      </c>
      <c r="AU1837" s="82">
        <f>IFERROR(__xludf.DUMMYFUNCTION("""COMPUTED_VALUE"""),0.940867770569439)</f>
        <v>0.9408677706</v>
      </c>
      <c r="AV1837" s="82">
        <f>IFERROR(__xludf.DUMMYFUNCTION("""COMPUTED_VALUE"""),12.719629014192407)</f>
        <v>12.71962901</v>
      </c>
      <c r="AW1837" s="82">
        <f t="shared" si="1"/>
        <v>-14.71615132</v>
      </c>
      <c r="AX1837" s="83">
        <f t="array" ref="AX1837">IFERROR(DGET('SBV Import'!A:G,"SBV",{"RSC ID","Tier";B1837,A1837}))</f>
        <v>18.00070859</v>
      </c>
      <c r="AY1837" s="82">
        <f t="shared" si="2"/>
        <v>-9.9723216</v>
      </c>
      <c r="AZ1837" s="82">
        <v>4.7438297186867295</v>
      </c>
      <c r="BA1837" s="84">
        <v>1700.0</v>
      </c>
      <c r="BB1837" s="84" t="b">
        <f>IFERROR(__xludf.DUMMYFUNCTION("iferror(if(A1837="""",,E1837&gt;=FILTER(Constants!$F$2:$F$10,Constants!$A$2:$A$10=A1837)))"),TRUE)</f>
        <v>1</v>
      </c>
    </row>
    <row r="1838">
      <c r="A1838" s="89" t="str">
        <f>IFERROR(__xludf.DUMMYFUNCTION("""COMPUTED_VALUE"""),"Rival")</f>
        <v>Rival</v>
      </c>
      <c r="B1838" s="87" t="str">
        <f>IFERROR(__xludf.DUMMYFUNCTION("""COMPUTED_VALUE"""),"RSC007213")</f>
        <v>RSC007213</v>
      </c>
      <c r="C1838" s="73" t="str">
        <f>IFERROR(__xludf.DUMMYFUNCTION("""COMPUTED_VALUE"""),"Pythronex")</f>
        <v>Pythronex</v>
      </c>
      <c r="D1838" s="73"/>
      <c r="E1838" s="82">
        <f>IFERROR(__xludf.DUMMYFUNCTION("""COMPUTED_VALUE"""),4.0)</f>
        <v>4</v>
      </c>
      <c r="F1838" s="82">
        <f>IFERROR(__xludf.DUMMYFUNCTION("""COMPUTED_VALUE"""),0.0)</f>
        <v>0</v>
      </c>
      <c r="G1838" s="86">
        <f>IFERROR(__xludf.DUMMYFUNCTION("""COMPUTED_VALUE"""),4.0)</f>
        <v>4</v>
      </c>
      <c r="H1838" s="86">
        <f>IFERROR(__xludf.DUMMYFUNCTION("""COMPUTED_VALUE"""),0.0)</f>
        <v>0</v>
      </c>
      <c r="I1838" s="86">
        <f>IFERROR(__xludf.DUMMYFUNCTION("""COMPUTED_VALUE"""),0.5)</f>
        <v>0.5</v>
      </c>
      <c r="J1838" s="82">
        <f>IFERROR(__xludf.DUMMYFUNCTION("""COMPUTED_VALUE"""),308.75)</f>
        <v>308.75</v>
      </c>
      <c r="K1838" s="82">
        <f>IFERROR(__xludf.DUMMYFUNCTION("""COMPUTED_VALUE"""),0.5)</f>
        <v>0.5</v>
      </c>
      <c r="L1838" s="82">
        <f>IFERROR(__xludf.DUMMYFUNCTION("""COMPUTED_VALUE"""),0.25)</f>
        <v>0.25</v>
      </c>
      <c r="M1838" s="82">
        <f>IFERROR(__xludf.DUMMYFUNCTION("""COMPUTED_VALUE"""),2.0)</f>
        <v>2</v>
      </c>
      <c r="N1838" s="82">
        <f>IFERROR(__xludf.DUMMYFUNCTION("""COMPUTED_VALUE"""),1.0)</f>
        <v>1</v>
      </c>
      <c r="O1838" s="82">
        <f>IFERROR(__xludf.DUMMYFUNCTION("""COMPUTED_VALUE"""),349.83333333333337)</f>
        <v>349.8333333</v>
      </c>
      <c r="P1838" s="82">
        <f>IFERROR(__xludf.DUMMYFUNCTION("""COMPUTED_VALUE"""),1.1666666666666665)</f>
        <v>1.166666667</v>
      </c>
      <c r="Q1838" s="82">
        <f>IFERROR(__xludf.DUMMYFUNCTION("""COMPUTED_VALUE"""),0.6666666666666666)</f>
        <v>0.6666666667</v>
      </c>
      <c r="R1838" s="82">
        <f>IFERROR(__xludf.DUMMYFUNCTION("""COMPUTED_VALUE"""),0.6666666666666666)</f>
        <v>0.6666666667</v>
      </c>
      <c r="S1838" s="82">
        <f>IFERROR(__xludf.DUMMYFUNCTION("""COMPUTED_VALUE"""),3.3333333333333335)</f>
        <v>3.333333333</v>
      </c>
      <c r="T1838" s="82">
        <f>IFERROR(__xludf.DUMMYFUNCTION("""COMPUTED_VALUE"""),353.56560598377285)</f>
        <v>353.565606</v>
      </c>
      <c r="U1838" s="82">
        <f>IFERROR(__xludf.DUMMYFUNCTION("""COMPUTED_VALUE"""),0.9414722785665991)</f>
        <v>0.9414722786</v>
      </c>
      <c r="V1838" s="82">
        <f>IFERROR(__xludf.DUMMYFUNCTION("""COMPUTED_VALUE"""),0.6689063556457066)</f>
        <v>0.6689063556</v>
      </c>
      <c r="W1838" s="82">
        <f>IFERROR(__xludf.DUMMYFUNCTION("""COMPUTED_VALUE"""),1.0672963150777552)</f>
        <v>1.067296315</v>
      </c>
      <c r="X1838" s="82">
        <f>IFERROR(__xludf.DUMMYFUNCTION("""COMPUTED_VALUE"""),2.8623859026369174)</f>
        <v>2.862385903</v>
      </c>
      <c r="Y1838" s="82">
        <f>IFERROR(__xludf.DUMMYFUNCTION("""COMPUTED_VALUE"""),316.48449121027716)</f>
        <v>316.4844912</v>
      </c>
      <c r="Z1838" s="82">
        <f>IFERROR(__xludf.DUMMYFUNCTION("""COMPUTED_VALUE"""),0.5832065584854632)</f>
        <v>0.5832065585</v>
      </c>
      <c r="AA1838" s="82">
        <f>IFERROR(__xludf.DUMMYFUNCTION("""COMPUTED_VALUE"""),0.4178921568627451)</f>
        <v>0.4178921569</v>
      </c>
      <c r="AB1838" s="82">
        <f>IFERROR(__xludf.DUMMYFUNCTION("""COMPUTED_VALUE"""),1.4086164638269103)</f>
        <v>1.408616464</v>
      </c>
      <c r="AC1838" s="82">
        <f>IFERROR(__xludf.DUMMYFUNCTION("""COMPUTED_VALUE"""),2.0906862745098045)</f>
        <v>2.090686275</v>
      </c>
      <c r="AD1838" s="82">
        <f>IFERROR(__xludf.DUMMYFUNCTION("""COMPUTED_VALUE"""),0.9755612315134322)</f>
        <v>0.9755612315</v>
      </c>
      <c r="AE1838" s="82">
        <f>IFERROR(__xludf.DUMMYFUNCTION("""COMPUTED_VALUE"""),0.8573291790449966)</f>
        <v>0.857329179</v>
      </c>
      <c r="AF1838" s="82">
        <f>IFERROR(__xludf.DUMMYFUNCTION("""COMPUTED_VALUE"""),0.5982404692082112)</f>
        <v>0.5982404692</v>
      </c>
      <c r="AG1838" s="82">
        <f>IFERROR(__xludf.DUMMYFUNCTION("""COMPUTED_VALUE"""),1.4198329008354955)</f>
        <v>1.419832901</v>
      </c>
      <c r="AH1838" s="82">
        <f>IFERROR(__xludf.DUMMYFUNCTION("""COMPUTED_VALUE"""),0.4783118405627197)</f>
        <v>0.4783118406</v>
      </c>
      <c r="AI1838" s="82">
        <f>IFERROR(__xludf.DUMMYFUNCTION("""COMPUTED_VALUE"""),0.9894439035152905)</f>
        <v>0.9894439035</v>
      </c>
      <c r="AJ1838" s="82">
        <f>IFERROR(__xludf.DUMMYFUNCTION("""COMPUTED_VALUE"""),1.2391938596884957)</f>
        <v>1.23919386</v>
      </c>
      <c r="AK1838" s="82">
        <f>IFERROR(__xludf.DUMMYFUNCTION("""COMPUTED_VALUE"""),0.9966517152062669)</f>
        <v>0.9966517152</v>
      </c>
      <c r="AL1838" s="82">
        <f>IFERROR(__xludf.DUMMYFUNCTION("""COMPUTED_VALUE"""),0.6246312830360501)</f>
        <v>0.624631283</v>
      </c>
      <c r="AM1838" s="82">
        <f>IFERROR(__xludf.DUMMYFUNCTION("""COMPUTED_VALUE"""),1.1645296779384515)</f>
        <v>1.164529678</v>
      </c>
      <c r="AN1838" s="82">
        <f>IFERROR(__xludf.DUMMYFUNCTION("""COMPUTED_VALUE"""),0.9109257299057614)</f>
        <v>0.9109257299</v>
      </c>
      <c r="AO1838" s="82">
        <f>IFERROR(__xludf.DUMMYFUNCTION("""COMPUTED_VALUE"""),0.6805867306882522)</f>
        <v>0.6805867307</v>
      </c>
      <c r="AP1838" s="82">
        <f>IFERROR(__xludf.DUMMYFUNCTION("""COMPUTED_VALUE"""),0.44640953415492957)</f>
        <v>0.4464095342</v>
      </c>
      <c r="AQ1838" s="82">
        <f>IFERROR(__xludf.DUMMYFUNCTION("""COMPUTED_VALUE"""),1.5262105631997234)</f>
        <v>1.526210563</v>
      </c>
      <c r="AR1838" s="82">
        <f>IFERROR(__xludf.DUMMYFUNCTION("""COMPUTED_VALUE"""),0.40155069394454324)</f>
        <v>0.4015506939</v>
      </c>
      <c r="AS1838" s="82">
        <f>IFERROR(__xludf.DUMMYFUNCTION("""COMPUTED_VALUE"""),4.0)</f>
        <v>4</v>
      </c>
      <c r="AT1838" s="82">
        <f>IFERROR(__xludf.DUMMYFUNCTION("""COMPUTED_VALUE"""),0.1268570402323549)</f>
        <v>0.1268570402</v>
      </c>
      <c r="AU1838" s="82">
        <f>IFERROR(__xludf.DUMMYFUNCTION("""COMPUTED_VALUE"""),0.9074951822615207)</f>
        <v>0.9074951823</v>
      </c>
      <c r="AV1838" s="82">
        <f>IFERROR(__xludf.DUMMYFUNCTION("""COMPUTED_VALUE"""),11.540773389977176)</f>
        <v>11.54077339</v>
      </c>
      <c r="AW1838" s="82">
        <f t="shared" si="1"/>
        <v>-16.13444488</v>
      </c>
      <c r="AX1838" s="83">
        <f t="array" ref="AX1838">IFERROR(DGET('SBV Import'!A:G,"SBV",{"RSC ID","Tier";B1838,A1838}))</f>
        <v>27.94027049</v>
      </c>
      <c r="AY1838" s="82">
        <f t="shared" si="2"/>
        <v>-5.297081736</v>
      </c>
      <c r="AZ1838" s="82">
        <v>10.837363141126193</v>
      </c>
      <c r="BA1838" s="84">
        <v>1700.0</v>
      </c>
      <c r="BB1838" s="84" t="b">
        <f>IFERROR(__xludf.DUMMYFUNCTION("iferror(if(A1838="""",,E1838&gt;=FILTER(Constants!$F$2:$F$10,Constants!$A$2:$A$10=A1838)))"),TRUE)</f>
        <v>1</v>
      </c>
    </row>
    <row r="1839">
      <c r="A1839" s="89" t="str">
        <f>IFERROR(__xludf.DUMMYFUNCTION("""COMPUTED_VALUE"""),"Rival")</f>
        <v>Rival</v>
      </c>
      <c r="B1839" s="87" t="str">
        <f>IFERROR(__xludf.DUMMYFUNCTION("""COMPUTED_VALUE"""),"RSC006044")</f>
        <v>RSC006044</v>
      </c>
      <c r="C1839" s="73" t="str">
        <f>IFERROR(__xludf.DUMMYFUNCTION("""COMPUTED_VALUE"""),"HybridParagon")</f>
        <v>HybridParagon</v>
      </c>
      <c r="D1839" s="73"/>
      <c r="E1839" s="82">
        <f>IFERROR(__xludf.DUMMYFUNCTION("""COMPUTED_VALUE"""),18.0)</f>
        <v>18</v>
      </c>
      <c r="F1839" s="82">
        <f>IFERROR(__xludf.DUMMYFUNCTION("""COMPUTED_VALUE"""),7.0)</f>
        <v>7</v>
      </c>
      <c r="G1839" s="86">
        <f>IFERROR(__xludf.DUMMYFUNCTION("""COMPUTED_VALUE"""),11.0)</f>
        <v>11</v>
      </c>
      <c r="H1839" s="86">
        <f>IFERROR(__xludf.DUMMYFUNCTION("""COMPUTED_VALUE"""),0.3888888888888889)</f>
        <v>0.3888888889</v>
      </c>
      <c r="I1839" s="86">
        <f>IFERROR(__xludf.DUMMYFUNCTION("""COMPUTED_VALUE"""),0.25)</f>
        <v>0.25</v>
      </c>
      <c r="J1839" s="82">
        <f>IFERROR(__xludf.DUMMYFUNCTION("""COMPUTED_VALUE"""),261.27777777777777)</f>
        <v>261.2777778</v>
      </c>
      <c r="K1839" s="82">
        <f>IFERROR(__xludf.DUMMYFUNCTION("""COMPUTED_VALUE"""),0.3888888888888889)</f>
        <v>0.3888888889</v>
      </c>
      <c r="L1839" s="82">
        <f>IFERROR(__xludf.DUMMYFUNCTION("""COMPUTED_VALUE"""),0.3888888888888889)</f>
        <v>0.3888888889</v>
      </c>
      <c r="M1839" s="82">
        <f>IFERROR(__xludf.DUMMYFUNCTION("""COMPUTED_VALUE"""),1.1666666666666667)</f>
        <v>1.166666667</v>
      </c>
      <c r="N1839" s="82">
        <f>IFERROR(__xludf.DUMMYFUNCTION("""COMPUTED_VALUE"""),1.5555555555555556)</f>
        <v>1.555555556</v>
      </c>
      <c r="O1839" s="82">
        <f>IFERROR(__xludf.DUMMYFUNCTION("""COMPUTED_VALUE"""),342.8888888888889)</f>
        <v>342.8888889</v>
      </c>
      <c r="P1839" s="82">
        <f>IFERROR(__xludf.DUMMYFUNCTION("""COMPUTED_VALUE"""),0.7962962962962963)</f>
        <v>0.7962962963</v>
      </c>
      <c r="Q1839" s="82">
        <f>IFERROR(__xludf.DUMMYFUNCTION("""COMPUTED_VALUE"""),0.44444444444444436)</f>
        <v>0.4444444444</v>
      </c>
      <c r="R1839" s="82">
        <f>IFERROR(__xludf.DUMMYFUNCTION("""COMPUTED_VALUE"""),1.2222222222222223)</f>
        <v>1.222222222</v>
      </c>
      <c r="S1839" s="82">
        <f>IFERROR(__xludf.DUMMYFUNCTION("""COMPUTED_VALUE"""),2.3703703703703707)</f>
        <v>2.37037037</v>
      </c>
      <c r="T1839" s="82">
        <f>IFERROR(__xludf.DUMMYFUNCTION("""COMPUTED_VALUE"""),337.55738506769114)</f>
        <v>337.5573851</v>
      </c>
      <c r="U1839" s="82">
        <f>IFERROR(__xludf.DUMMYFUNCTION("""COMPUTED_VALUE"""),0.7538451984170655)</f>
        <v>0.7538451984</v>
      </c>
      <c r="V1839" s="82">
        <f>IFERROR(__xludf.DUMMYFUNCTION("""COMPUTED_VALUE"""),0.49960262690550916)</f>
        <v>0.4996026269</v>
      </c>
      <c r="W1839" s="82">
        <f>IFERROR(__xludf.DUMMYFUNCTION("""COMPUTED_VALUE"""),1.3513969891211184)</f>
        <v>1.351396989</v>
      </c>
      <c r="X1839" s="82">
        <f>IFERROR(__xludf.DUMMYFUNCTION("""COMPUTED_VALUE"""),2.479451135813421)</f>
        <v>2.479451136</v>
      </c>
      <c r="Y1839" s="82">
        <f>IFERROR(__xludf.DUMMYFUNCTION("""COMPUTED_VALUE"""),350.5984587727867)</f>
        <v>350.5984588</v>
      </c>
      <c r="Z1839" s="82">
        <f>IFERROR(__xludf.DUMMYFUNCTION("""COMPUTED_VALUE"""),0.8288750958244431)</f>
        <v>0.8288750958</v>
      </c>
      <c r="AA1839" s="82">
        <f>IFERROR(__xludf.DUMMYFUNCTION("""COMPUTED_VALUE"""),0.6019250774872614)</f>
        <v>0.6019250775</v>
      </c>
      <c r="AB1839" s="82">
        <f>IFERROR(__xludf.DUMMYFUNCTION("""COMPUTED_VALUE"""),1.2868723445215307)</f>
        <v>1.286872345</v>
      </c>
      <c r="AC1839" s="82">
        <f>IFERROR(__xludf.DUMMYFUNCTION("""COMPUTED_VALUE"""),2.6330397482538457)</f>
        <v>2.633039748</v>
      </c>
      <c r="AD1839" s="82">
        <f>IFERROR(__xludf.DUMMYFUNCTION("""COMPUTED_VALUE"""),0.7452336747067811)</f>
        <v>0.7452336747</v>
      </c>
      <c r="AE1839" s="82">
        <f>IFERROR(__xludf.DUMMYFUNCTION("""COMPUTED_VALUE"""),0.4691767081047108)</f>
        <v>0.4691767081</v>
      </c>
      <c r="AF1839" s="82">
        <f>IFERROR(__xludf.DUMMYFUNCTION("""COMPUTED_VALUE"""),0.6460752399822035)</f>
        <v>0.64607524</v>
      </c>
      <c r="AG1839" s="82">
        <f>IFERROR(__xludf.DUMMYFUNCTION("""COMPUTED_VALUE"""),0.9065908298001716)</f>
        <v>0.9065908298</v>
      </c>
      <c r="AH1839" s="82">
        <f>IFERROR(__xludf.DUMMYFUNCTION("""COMPUTED_VALUE"""),0.5907831648144143)</f>
        <v>0.5907831648</v>
      </c>
      <c r="AI1839" s="82">
        <f>IFERROR(__xludf.DUMMYFUNCTION("""COMPUTED_VALUE"""),1.0157943628462718)</f>
        <v>1.015794363</v>
      </c>
      <c r="AJ1839" s="82">
        <f>IFERROR(__xludf.DUMMYFUNCTION("""COMPUTED_VALUE"""),1.0563127522313203)</f>
        <v>1.056312752</v>
      </c>
      <c r="AK1839" s="82">
        <f>IFERROR(__xludf.DUMMYFUNCTION("""COMPUTED_VALUE"""),0.8895958918336573)</f>
        <v>0.8895958918</v>
      </c>
      <c r="AL1839" s="82">
        <f>IFERROR(__xludf.DUMMYFUNCTION("""COMPUTED_VALUE"""),0.9044139006237502)</f>
        <v>0.9044139006</v>
      </c>
      <c r="AM1839" s="82">
        <f>IFERROR(__xludf.DUMMYFUNCTION("""COMPUTED_VALUE"""),0.956006083819327)</f>
        <v>0.9560060838</v>
      </c>
      <c r="AN1839" s="82">
        <f>IFERROR(__xludf.DUMMYFUNCTION("""COMPUTED_VALUE"""),0.77086526455183)</f>
        <v>0.7708652646</v>
      </c>
      <c r="AO1839" s="82">
        <f>IFERROR(__xludf.DUMMYFUNCTION("""COMPUTED_VALUE"""),0.5293452349797516)</f>
        <v>0.529345235</v>
      </c>
      <c r="AP1839" s="82">
        <f>IFERROR(__xludf.DUMMYFUNCTION("""COMPUTED_VALUE"""),0.6944148309076682)</f>
        <v>0.6944148309</v>
      </c>
      <c r="AQ1839" s="82">
        <f>IFERROR(__xludf.DUMMYFUNCTION("""COMPUTED_VALUE"""),0.8902894951998387)</f>
        <v>0.8902894952</v>
      </c>
      <c r="AR1839" s="82">
        <f>IFERROR(__xludf.DUMMYFUNCTION("""COMPUTED_VALUE"""),0.6246344128026228)</f>
        <v>0.6246344128</v>
      </c>
      <c r="AS1839" s="82">
        <f>IFERROR(__xludf.DUMMYFUNCTION("""COMPUTED_VALUE"""),38.0)</f>
        <v>38</v>
      </c>
      <c r="AT1839" s="82">
        <f>IFERROR(__xludf.DUMMYFUNCTION("""COMPUTED_VALUE"""),0.45255712162517575)</f>
        <v>0.4525571216</v>
      </c>
      <c r="AU1839" s="82">
        <f>IFERROR(__xludf.DUMMYFUNCTION("""COMPUTED_VALUE"""),0.8962012504686945)</f>
        <v>0.8962012505</v>
      </c>
      <c r="AV1839" s="82">
        <f>IFERROR(__xludf.DUMMYFUNCTION("""COMPUTED_VALUE"""),11.14182575994522)</f>
        <v>11.14182576</v>
      </c>
      <c r="AW1839" s="82">
        <f t="shared" si="1"/>
        <v>-16.65189594</v>
      </c>
      <c r="AX1839" s="83">
        <f t="array" ref="AX1839">IFERROR(DGET('SBV Import'!A:G,"SBV",{"RSC ID","Tier";B1839,A1839}))</f>
        <v>15.70319961</v>
      </c>
      <c r="AY1839" s="82">
        <f t="shared" si="2"/>
        <v>-11.75756258</v>
      </c>
      <c r="AZ1839" s="82">
        <v>4.89433336166455</v>
      </c>
      <c r="BA1839" s="84">
        <v>1700.0</v>
      </c>
      <c r="BB1839" s="84" t="b">
        <f>IFERROR(__xludf.DUMMYFUNCTION("iferror(if(A1839="""",,E1839&gt;=FILTER(Constants!$F$2:$F$10,Constants!$A$2:$A$10=A1839)))"),TRUE)</f>
        <v>1</v>
      </c>
    </row>
    <row r="1840">
      <c r="A1840" s="89" t="str">
        <f>IFERROR(__xludf.DUMMYFUNCTION("""COMPUTED_VALUE"""),"Rival")</f>
        <v>Rival</v>
      </c>
      <c r="B1840" s="87" t="str">
        <f>IFERROR(__xludf.DUMMYFUNCTION("""COMPUTED_VALUE"""),"RSC000331")</f>
        <v>RSC000331</v>
      </c>
      <c r="C1840" s="73" t="str">
        <f>IFERROR(__xludf.DUMMYFUNCTION("""COMPUTED_VALUE"""),"Turtle_Supreme")</f>
        <v>Turtle_Supreme</v>
      </c>
      <c r="D1840" s="73"/>
      <c r="E1840" s="82">
        <f>IFERROR(__xludf.DUMMYFUNCTION("""COMPUTED_VALUE"""),20.0)</f>
        <v>20</v>
      </c>
      <c r="F1840" s="82">
        <f>IFERROR(__xludf.DUMMYFUNCTION("""COMPUTED_VALUE"""),5.0)</f>
        <v>5</v>
      </c>
      <c r="G1840" s="86">
        <f>IFERROR(__xludf.DUMMYFUNCTION("""COMPUTED_VALUE"""),15.0)</f>
        <v>15</v>
      </c>
      <c r="H1840" s="86">
        <f>IFERROR(__xludf.DUMMYFUNCTION("""COMPUTED_VALUE"""),0.25)</f>
        <v>0.25</v>
      </c>
      <c r="I1840" s="86">
        <f>IFERROR(__xludf.DUMMYFUNCTION("""COMPUTED_VALUE"""),0.13513513513513511)</f>
        <v>0.1351351351</v>
      </c>
      <c r="J1840" s="82">
        <f>IFERROR(__xludf.DUMMYFUNCTION("""COMPUTED_VALUE"""),293.95)</f>
        <v>293.95</v>
      </c>
      <c r="K1840" s="82">
        <f>IFERROR(__xludf.DUMMYFUNCTION("""COMPUTED_VALUE"""),0.25)</f>
        <v>0.25</v>
      </c>
      <c r="L1840" s="82">
        <f>IFERROR(__xludf.DUMMYFUNCTION("""COMPUTED_VALUE"""),0.4)</f>
        <v>0.4</v>
      </c>
      <c r="M1840" s="82">
        <f>IFERROR(__xludf.DUMMYFUNCTION("""COMPUTED_VALUE"""),1.5)</f>
        <v>1.5</v>
      </c>
      <c r="N1840" s="82">
        <f>IFERROR(__xludf.DUMMYFUNCTION("""COMPUTED_VALUE"""),1.85)</f>
        <v>1.85</v>
      </c>
      <c r="O1840" s="82">
        <f>IFERROR(__xludf.DUMMYFUNCTION("""COMPUTED_VALUE"""),375.6333333333333)</f>
        <v>375.6333333</v>
      </c>
      <c r="P1840" s="82">
        <f>IFERROR(__xludf.DUMMYFUNCTION("""COMPUTED_VALUE"""),0.9)</f>
        <v>0.9</v>
      </c>
      <c r="Q1840" s="82">
        <f>IFERROR(__xludf.DUMMYFUNCTION("""COMPUTED_VALUE"""),0.6666666666666666)</f>
        <v>0.6666666667</v>
      </c>
      <c r="R1840" s="82">
        <f>IFERROR(__xludf.DUMMYFUNCTION("""COMPUTED_VALUE"""),1.2500000000000002)</f>
        <v>1.25</v>
      </c>
      <c r="S1840" s="82">
        <f>IFERROR(__xludf.DUMMYFUNCTION("""COMPUTED_VALUE"""),3.1333333333333337)</f>
        <v>3.133333333</v>
      </c>
      <c r="T1840" s="82">
        <f>IFERROR(__xludf.DUMMYFUNCTION("""COMPUTED_VALUE"""),362.31239903419157)</f>
        <v>362.312399</v>
      </c>
      <c r="U1840" s="82">
        <f>IFERROR(__xludf.DUMMYFUNCTION("""COMPUTED_VALUE"""),0.8800133473871202)</f>
        <v>0.8800133474</v>
      </c>
      <c r="V1840" s="82">
        <f>IFERROR(__xludf.DUMMYFUNCTION("""COMPUTED_VALUE"""),0.5941569098338342)</f>
        <v>0.5941569098</v>
      </c>
      <c r="W1840" s="82">
        <f>IFERROR(__xludf.DUMMYFUNCTION("""COMPUTED_VALUE"""),1.3601973400167138)</f>
        <v>1.36019734</v>
      </c>
      <c r="X1840" s="82">
        <f>IFERROR(__xludf.DUMMYFUNCTION("""COMPUTED_VALUE"""),2.6950578017136055)</f>
        <v>2.695057802</v>
      </c>
      <c r="Y1840" s="82">
        <f>IFERROR(__xludf.DUMMYFUNCTION("""COMPUTED_VALUE"""),339.98028874099043)</f>
        <v>339.9802887</v>
      </c>
      <c r="Z1840" s="82">
        <f>IFERROR(__xludf.DUMMYFUNCTION("""COMPUTED_VALUE"""),0.7474218973276223)</f>
        <v>0.7474218973</v>
      </c>
      <c r="AA1840" s="82">
        <f>IFERROR(__xludf.DUMMYFUNCTION("""COMPUTED_VALUE"""),0.5409255918687725)</f>
        <v>0.5409255919</v>
      </c>
      <c r="AB1840" s="82">
        <f>IFERROR(__xludf.DUMMYFUNCTION("""COMPUTED_VALUE"""),1.301394832910797)</f>
        <v>1.301394833</v>
      </c>
      <c r="AC1840" s="82">
        <f>IFERROR(__xludf.DUMMYFUNCTION("""COMPUTED_VALUE"""),2.5873357226459794)</f>
        <v>2.587335723</v>
      </c>
      <c r="AD1840" s="82">
        <f>IFERROR(__xludf.DUMMYFUNCTION("""COMPUTED_VALUE"""),0.8646089486203772)</f>
        <v>0.8646089486</v>
      </c>
      <c r="AE1840" s="82">
        <f>IFERROR(__xludf.DUMMYFUNCTION("""COMPUTED_VALUE"""),0.3344831090631211)</f>
        <v>0.3344831091</v>
      </c>
      <c r="AF1840" s="82">
        <f>IFERROR(__xludf.DUMMYFUNCTION("""COMPUTED_VALUE"""),0.7394732399665039)</f>
        <v>0.73947324</v>
      </c>
      <c r="AG1840" s="82">
        <f>IFERROR(__xludf.DUMMYFUNCTION("""COMPUTED_VALUE"""),1.1526094633747608)</f>
        <v>1.152609463</v>
      </c>
      <c r="AH1840" s="82">
        <f>IFERROR(__xludf.DUMMYFUNCTION("""COMPUTED_VALUE"""),0.715021241274429)</f>
        <v>0.7150212413</v>
      </c>
      <c r="AI1840" s="82">
        <f>IFERROR(__xludf.DUMMYFUNCTION("""COMPUTED_VALUE"""),1.036766432323738)</f>
        <v>1.036766432</v>
      </c>
      <c r="AJ1840" s="82">
        <f>IFERROR(__xludf.DUMMYFUNCTION("""COMPUTED_VALUE"""),1.0227117607616099)</f>
        <v>1.022711761</v>
      </c>
      <c r="AK1840" s="82">
        <f>IFERROR(__xludf.DUMMYFUNCTION("""COMPUTED_VALUE"""),1.1220380603721516)</f>
        <v>1.12203806</v>
      </c>
      <c r="AL1840" s="82">
        <f>IFERROR(__xludf.DUMMYFUNCTION("""COMPUTED_VALUE"""),0.918984299722745)</f>
        <v>0.9189842997</v>
      </c>
      <c r="AM1840" s="82">
        <f>IFERROR(__xludf.DUMMYFUNCTION("""COMPUTED_VALUE"""),1.1626219412960488)</f>
        <v>1.162621941</v>
      </c>
      <c r="AN1840" s="82">
        <f>IFERROR(__xludf.DUMMYFUNCTION("""COMPUTED_VALUE"""),0.8672603022050155)</f>
        <v>0.8672603022</v>
      </c>
      <c r="AO1840" s="82">
        <f>IFERROR(__xludf.DUMMYFUNCTION("""COMPUTED_VALUE"""),0.3402933653441261)</f>
        <v>0.3402933653</v>
      </c>
      <c r="AP1840" s="82">
        <f>IFERROR(__xludf.DUMMYFUNCTION("""COMPUTED_VALUE"""),0.7142552546478873)</f>
        <v>0.7142552546</v>
      </c>
      <c r="AQ1840" s="82">
        <f>IFERROR(__xludf.DUMMYFUNCTION("""COMPUTED_VALUE"""),1.1446579223997926)</f>
        <v>1.144657922</v>
      </c>
      <c r="AR1840" s="82">
        <f>IFERROR(__xludf.DUMMYFUNCTION("""COMPUTED_VALUE"""),0.742868783797405)</f>
        <v>0.7428687838</v>
      </c>
      <c r="AS1840" s="82">
        <f>IFERROR(__xludf.DUMMYFUNCTION("""COMPUTED_VALUE"""),28.0)</f>
        <v>28</v>
      </c>
      <c r="AT1840" s="82">
        <f>IFERROR(__xludf.DUMMYFUNCTION("""COMPUTED_VALUE"""),0.2719670917600866)</f>
        <v>0.2719670918</v>
      </c>
      <c r="AU1840" s="82">
        <f>IFERROR(__xludf.DUMMYFUNCTION("""COMPUTED_VALUE"""),0.8332346983049379)</f>
        <v>0.8332346983</v>
      </c>
      <c r="AV1840" s="82">
        <f>IFERROR(__xludf.DUMMYFUNCTION("""COMPUTED_VALUE"""),8.917590903757151)</f>
        <v>8.917590904</v>
      </c>
      <c r="AW1840" s="82">
        <f t="shared" si="1"/>
        <v>-19.93588017</v>
      </c>
      <c r="AX1840" s="83">
        <f t="array" ref="AX1840">IFERROR(DGET('SBV Import'!A:G,"SBV",{"RSC ID","Tier";B1840,A1840}))</f>
        <v>21.17294613</v>
      </c>
      <c r="AY1840" s="82">
        <f t="shared" si="2"/>
        <v>-8.036108955</v>
      </c>
      <c r="AZ1840" s="82">
        <v>11.899771219415246</v>
      </c>
      <c r="BA1840" s="84">
        <v>1700.0</v>
      </c>
      <c r="BB1840" s="84" t="b">
        <f>IFERROR(__xludf.DUMMYFUNCTION("iferror(if(A1840="""",,E1840&gt;=FILTER(Constants!$F$2:$F$10,Constants!$A$2:$A$10=A1840)))"),TRUE)</f>
        <v>1</v>
      </c>
    </row>
    <row r="1841">
      <c r="A1841" s="89" t="str">
        <f>IFERROR(__xludf.DUMMYFUNCTION("""COMPUTED_VALUE"""),"Rival")</f>
        <v>Rival</v>
      </c>
      <c r="B1841" s="87" t="str">
        <f>IFERROR(__xludf.DUMMYFUNCTION("""COMPUTED_VALUE"""),"RSC005699")</f>
        <v>RSC005699</v>
      </c>
      <c r="C1841" s="73" t="str">
        <f>IFERROR(__xludf.DUMMYFUNCTION("""COMPUTED_VALUE"""),"masdhapotatoes")</f>
        <v>masdhapotatoes</v>
      </c>
      <c r="D1841" s="73" t="str">
        <f>IFERROR(__xludf.DUMMYFUNCTION("""COMPUTED_VALUE"""),"Bulldozers")</f>
        <v>Bulldozers</v>
      </c>
      <c r="E1841" s="82">
        <f>IFERROR(__xludf.DUMMYFUNCTION("""COMPUTED_VALUE"""),2.0)</f>
        <v>2</v>
      </c>
      <c r="F1841" s="82">
        <f>IFERROR(__xludf.DUMMYFUNCTION("""COMPUTED_VALUE"""),1.0)</f>
        <v>1</v>
      </c>
      <c r="G1841" s="86">
        <f>IFERROR(__xludf.DUMMYFUNCTION("""COMPUTED_VALUE"""),1.0)</f>
        <v>1</v>
      </c>
      <c r="H1841" s="86">
        <f>IFERROR(__xludf.DUMMYFUNCTION("""COMPUTED_VALUE"""),0.5)</f>
        <v>0.5</v>
      </c>
      <c r="I1841" s="86">
        <f>IFERROR(__xludf.DUMMYFUNCTION("""COMPUTED_VALUE"""),0.0)</f>
        <v>0</v>
      </c>
      <c r="J1841" s="82">
        <f>IFERROR(__xludf.DUMMYFUNCTION("""COMPUTED_VALUE"""),231.0)</f>
        <v>231</v>
      </c>
      <c r="K1841" s="82">
        <f>IFERROR(__xludf.DUMMYFUNCTION("""COMPUTED_VALUE"""),0.0)</f>
        <v>0</v>
      </c>
      <c r="L1841" s="82">
        <f>IFERROR(__xludf.DUMMYFUNCTION("""COMPUTED_VALUE"""),0.5)</f>
        <v>0.5</v>
      </c>
      <c r="M1841" s="82">
        <f>IFERROR(__xludf.DUMMYFUNCTION("""COMPUTED_VALUE"""),1.0)</f>
        <v>1</v>
      </c>
      <c r="N1841" s="82">
        <f>IFERROR(__xludf.DUMMYFUNCTION("""COMPUTED_VALUE"""),2.5)</f>
        <v>2.5</v>
      </c>
      <c r="O1841" s="82">
        <f>IFERROR(__xludf.DUMMYFUNCTION("""COMPUTED_VALUE"""),368.8333333333333)</f>
        <v>368.8333333</v>
      </c>
      <c r="P1841" s="82">
        <f>IFERROR(__xludf.DUMMYFUNCTION("""COMPUTED_VALUE"""),1.0)</f>
        <v>1</v>
      </c>
      <c r="Q1841" s="82">
        <f>IFERROR(__xludf.DUMMYFUNCTION("""COMPUTED_VALUE"""),0.5)</f>
        <v>0.5</v>
      </c>
      <c r="R1841" s="82">
        <f>IFERROR(__xludf.DUMMYFUNCTION("""COMPUTED_VALUE"""),1.6666666666666665)</f>
        <v>1.666666667</v>
      </c>
      <c r="S1841" s="82">
        <f>IFERROR(__xludf.DUMMYFUNCTION("""COMPUTED_VALUE"""),2.666666666666667)</f>
        <v>2.666666667</v>
      </c>
      <c r="T1841" s="82">
        <f>IFERROR(__xludf.DUMMYFUNCTION("""COMPUTED_VALUE"""),359.28201058201057)</f>
        <v>359.2820106</v>
      </c>
      <c r="U1841" s="82">
        <f>IFERROR(__xludf.DUMMYFUNCTION("""COMPUTED_VALUE"""),0.7955026455026455)</f>
        <v>0.7955026455</v>
      </c>
      <c r="V1841" s="82">
        <f>IFERROR(__xludf.DUMMYFUNCTION("""COMPUTED_VALUE"""),0.6283068783068784)</f>
        <v>0.6283068783</v>
      </c>
      <c r="W1841" s="82">
        <f>IFERROR(__xludf.DUMMYFUNCTION("""COMPUTED_VALUE"""),1.398941798941799)</f>
        <v>1.398941799</v>
      </c>
      <c r="X1841" s="82">
        <f>IFERROR(__xludf.DUMMYFUNCTION("""COMPUTED_VALUE"""),2.6275793650793653)</f>
        <v>2.627579365</v>
      </c>
      <c r="Y1841" s="82">
        <f>IFERROR(__xludf.DUMMYFUNCTION("""COMPUTED_VALUE"""),335.0472222222222)</f>
        <v>335.0472222</v>
      </c>
      <c r="Z1841" s="82">
        <f>IFERROR(__xludf.DUMMYFUNCTION("""COMPUTED_VALUE"""),0.6917989417989417)</f>
        <v>0.6917989418</v>
      </c>
      <c r="AA1841" s="82">
        <f>IFERROR(__xludf.DUMMYFUNCTION("""COMPUTED_VALUE"""),0.5277116402116402)</f>
        <v>0.5277116402</v>
      </c>
      <c r="AB1841" s="82">
        <f>IFERROR(__xludf.DUMMYFUNCTION("""COMPUTED_VALUE"""),1.275)</f>
        <v>1.275</v>
      </c>
      <c r="AC1841" s="82">
        <f>IFERROR(__xludf.DUMMYFUNCTION("""COMPUTED_VALUE"""),2.51468253968254)</f>
        <v>2.51468254</v>
      </c>
      <c r="AD1841" s="82">
        <f>IFERROR(__xludf.DUMMYFUNCTION("""COMPUTED_VALUE"""),0.6894550519412687)</f>
        <v>0.6894550519</v>
      </c>
      <c r="AE1841" s="82">
        <f>IFERROR(__xludf.DUMMYFUNCTION("""COMPUTED_VALUE"""),0.0)</f>
        <v>0</v>
      </c>
      <c r="AF1841" s="82">
        <f>IFERROR(__xludf.DUMMYFUNCTION("""COMPUTED_VALUE"""),0.9474871537786691)</f>
        <v>0.9474871538</v>
      </c>
      <c r="AG1841" s="82">
        <f>IFERROR(__xludf.DUMMYFUNCTION("""COMPUTED_VALUE"""),0.7843137254901962)</f>
        <v>0.7843137255</v>
      </c>
      <c r="AH1841" s="82">
        <f>IFERROR(__xludf.DUMMYFUNCTION("""COMPUTED_VALUE"""),0.9941612750512859)</f>
        <v>0.9941612751</v>
      </c>
      <c r="AI1841" s="82">
        <f>IFERROR(__xludf.DUMMYFUNCTION("""COMPUTED_VALUE"""),1.026584472559175)</f>
        <v>1.026584473</v>
      </c>
      <c r="AJ1841" s="82">
        <f>IFERROR(__xludf.DUMMYFUNCTION("""COMPUTED_VALUE"""),1.2570668440305952)</f>
        <v>1.257066844</v>
      </c>
      <c r="AK1841" s="82">
        <f>IFERROR(__xludf.DUMMYFUNCTION("""COMPUTED_VALUE"""),0.7957894736842105)</f>
        <v>0.7957894737</v>
      </c>
      <c r="AL1841" s="82">
        <f>IFERROR(__xludf.DUMMYFUNCTION("""COMPUTED_VALUE"""),1.191376701966717)</f>
        <v>1.191376702</v>
      </c>
      <c r="AM1841" s="82">
        <f>IFERROR(__xludf.DUMMYFUNCTION("""COMPUTED_VALUE"""),1.0148757834327569)</f>
        <v>1.014875783</v>
      </c>
      <c r="AN1841" s="82">
        <f>IFERROR(__xludf.DUMMYFUNCTION("""COMPUTED_VALUE"""),0.681534716140019)</f>
        <v>0.6815347161</v>
      </c>
      <c r="AO1841" s="82">
        <f>IFERROR(__xludf.DUMMYFUNCTION("""COMPUTED_VALUE"""),0.0)</f>
        <v>0</v>
      </c>
      <c r="AP1841" s="82">
        <f>IFERROR(__xludf.DUMMYFUNCTION("""COMPUTED_VALUE"""),0.8928190683098591)</f>
        <v>0.8928190683</v>
      </c>
      <c r="AQ1841" s="82">
        <f>IFERROR(__xludf.DUMMYFUNCTION("""COMPUTED_VALUE"""),0.7631052815998617)</f>
        <v>0.7631052816</v>
      </c>
      <c r="AR1841" s="82">
        <f>IFERROR(__xludf.DUMMYFUNCTION("""COMPUTED_VALUE"""),1.003876734861358)</f>
        <v>1.003876735</v>
      </c>
      <c r="AS1841" s="82">
        <f>IFERROR(__xludf.DUMMYFUNCTION("""COMPUTED_VALUE"""),2.0)</f>
        <v>2</v>
      </c>
      <c r="AT1841" s="82">
        <f>IFERROR(__xludf.DUMMYFUNCTION("""COMPUTED_VALUE"""),0.1630859559789061)</f>
        <v>0.163085956</v>
      </c>
      <c r="AU1841" s="82">
        <f>IFERROR(__xludf.DUMMYFUNCTION("""COMPUTED_VALUE"""),0.7621127544892453)</f>
        <v>0.7621127545</v>
      </c>
      <c r="AV1841" s="82">
        <f>IFERROR(__xludf.DUMMYFUNCTION("""COMPUTED_VALUE"""),6.405274427172813)</f>
        <v>6.405274427</v>
      </c>
      <c r="AW1841" s="82">
        <f t="shared" si="1"/>
        <v>-24.63179006</v>
      </c>
      <c r="AX1841" s="83">
        <f t="array" ref="AX1841">IFERROR(DGET('SBV Import'!A:G,"SBV",{"RSC ID","Tier";B1841,A1841}))</f>
        <v>10.94069027</v>
      </c>
      <c r="AY1841" s="82">
        <f t="shared" si="2"/>
        <v>-16.92043259</v>
      </c>
      <c r="AZ1841" s="82">
        <v>7.711357465428183</v>
      </c>
      <c r="BA1841" s="84">
        <v>1700.0</v>
      </c>
      <c r="BB1841" s="84" t="b">
        <f>IFERROR(__xludf.DUMMYFUNCTION("iferror(if(A1841="""",,E1841&gt;=FILTER(Constants!$F$2:$F$10,Constants!$A$2:$A$10=A1841)))"),TRUE)</f>
        <v>1</v>
      </c>
    </row>
    <row r="1842">
      <c r="A1842" s="89" t="str">
        <f>IFERROR(__xludf.DUMMYFUNCTION("""COMPUTED_VALUE"""),"Rival")</f>
        <v>Rival</v>
      </c>
      <c r="B1842" s="87" t="str">
        <f>IFERROR(__xludf.DUMMYFUNCTION("""COMPUTED_VALUE"""),"RSC005253")</f>
        <v>RSC005253</v>
      </c>
      <c r="C1842" s="73" t="str">
        <f>IFERROR(__xludf.DUMMYFUNCTION("""COMPUTED_VALUE"""),"dinnindu")</f>
        <v>dinnindu</v>
      </c>
      <c r="D1842" s="73" t="str">
        <f>IFERROR(__xludf.DUMMYFUNCTION("""COMPUTED_VALUE"""),"Tyrants")</f>
        <v>Tyrants</v>
      </c>
      <c r="E1842" s="82">
        <f>IFERROR(__xludf.DUMMYFUNCTION("""COMPUTED_VALUE"""),24.0)</f>
        <v>24</v>
      </c>
      <c r="F1842" s="82">
        <f>IFERROR(__xludf.DUMMYFUNCTION("""COMPUTED_VALUE"""),11.0)</f>
        <v>11</v>
      </c>
      <c r="G1842" s="86">
        <f>IFERROR(__xludf.DUMMYFUNCTION("""COMPUTED_VALUE"""),13.0)</f>
        <v>13</v>
      </c>
      <c r="H1842" s="86">
        <f>IFERROR(__xludf.DUMMYFUNCTION("""COMPUTED_VALUE"""),0.4583333333333333)</f>
        <v>0.4583333333</v>
      </c>
      <c r="I1842" s="86">
        <f>IFERROR(__xludf.DUMMYFUNCTION("""COMPUTED_VALUE"""),0.2727272727272727)</f>
        <v>0.2727272727</v>
      </c>
      <c r="J1842" s="82">
        <f>IFERROR(__xludf.DUMMYFUNCTION("""COMPUTED_VALUE"""),267.75)</f>
        <v>267.75</v>
      </c>
      <c r="K1842" s="82">
        <f>IFERROR(__xludf.DUMMYFUNCTION("""COMPUTED_VALUE"""),0.375)</f>
        <v>0.375</v>
      </c>
      <c r="L1842" s="82">
        <f>IFERROR(__xludf.DUMMYFUNCTION("""COMPUTED_VALUE"""),0.16666666666666666)</f>
        <v>0.1666666667</v>
      </c>
      <c r="M1842" s="82">
        <f>IFERROR(__xludf.DUMMYFUNCTION("""COMPUTED_VALUE"""),1.625)</f>
        <v>1.625</v>
      </c>
      <c r="N1842" s="82">
        <f>IFERROR(__xludf.DUMMYFUNCTION("""COMPUTED_VALUE"""),1.375)</f>
        <v>1.375</v>
      </c>
      <c r="O1842" s="82">
        <f>IFERROR(__xludf.DUMMYFUNCTION("""COMPUTED_VALUE"""),310.36111111111114)</f>
        <v>310.3611111</v>
      </c>
      <c r="P1842" s="82">
        <f>IFERROR(__xludf.DUMMYFUNCTION("""COMPUTED_VALUE"""),0.638888888888889)</f>
        <v>0.6388888889</v>
      </c>
      <c r="Q1842" s="82">
        <f>IFERROR(__xludf.DUMMYFUNCTION("""COMPUTED_VALUE"""),0.45833333333333326)</f>
        <v>0.4583333333</v>
      </c>
      <c r="R1842" s="82">
        <f>IFERROR(__xludf.DUMMYFUNCTION("""COMPUTED_VALUE"""),0.9722222222222223)</f>
        <v>0.9722222222</v>
      </c>
      <c r="S1842" s="82">
        <f>IFERROR(__xludf.DUMMYFUNCTION("""COMPUTED_VALUE"""),2.5277777777777772)</f>
        <v>2.527777778</v>
      </c>
      <c r="T1842" s="82">
        <f>IFERROR(__xludf.DUMMYFUNCTION("""COMPUTED_VALUE"""),350.23765114490243)</f>
        <v>350.2376511</v>
      </c>
      <c r="U1842" s="82">
        <f>IFERROR(__xludf.DUMMYFUNCTION("""COMPUTED_VALUE"""),0.7624470126150236)</f>
        <v>0.7624470126</v>
      </c>
      <c r="V1842" s="82">
        <f>IFERROR(__xludf.DUMMYFUNCTION("""COMPUTED_VALUE"""),0.5873966042917657)</f>
        <v>0.5873966043</v>
      </c>
      <c r="W1842" s="82">
        <f>IFERROR(__xludf.DUMMYFUNCTION("""COMPUTED_VALUE"""),1.3125652918865287)</f>
        <v>1.312565292</v>
      </c>
      <c r="X1842" s="82">
        <f>IFERROR(__xludf.DUMMYFUNCTION("""COMPUTED_VALUE"""),2.565496724750757)</f>
        <v>2.565496725</v>
      </c>
      <c r="Y1842" s="82">
        <f>IFERROR(__xludf.DUMMYFUNCTION("""COMPUTED_VALUE"""),345.44247728774616)</f>
        <v>345.4424773</v>
      </c>
      <c r="Z1842" s="82">
        <f>IFERROR(__xludf.DUMMYFUNCTION("""COMPUTED_VALUE"""),0.7638237708959035)</f>
        <v>0.7638237709</v>
      </c>
      <c r="AA1842" s="82">
        <f>IFERROR(__xludf.DUMMYFUNCTION("""COMPUTED_VALUE"""),0.5611243747623674)</f>
        <v>0.5611243748</v>
      </c>
      <c r="AB1842" s="82">
        <f>IFERROR(__xludf.DUMMYFUNCTION("""COMPUTED_VALUE"""),1.3025378025333223)</f>
        <v>1.302537803</v>
      </c>
      <c r="AC1842" s="82">
        <f>IFERROR(__xludf.DUMMYFUNCTION("""COMPUTED_VALUE"""),2.4966147436958366)</f>
        <v>2.496614744</v>
      </c>
      <c r="AD1842" s="82">
        <f>IFERROR(__xludf.DUMMYFUNCTION("""COMPUTED_VALUE"""),0.7750928666973691)</f>
        <v>0.7750928667</v>
      </c>
      <c r="AE1842" s="82">
        <f>IFERROR(__xludf.DUMMYFUNCTION("""COMPUTED_VALUE"""),0.49095094220510493)</f>
        <v>0.4909509422</v>
      </c>
      <c r="AF1842" s="82">
        <f>IFERROR(__xludf.DUMMYFUNCTION("""COMPUTED_VALUE"""),0.29702268189160186)</f>
        <v>0.2970226819</v>
      </c>
      <c r="AG1842" s="82">
        <f>IFERROR(__xludf.DUMMYFUNCTION("""COMPUTED_VALUE"""),1.2475645596154805)</f>
        <v>1.24756456</v>
      </c>
      <c r="AH1842" s="82">
        <f>IFERROR(__xludf.DUMMYFUNCTION("""COMPUTED_VALUE"""),0.5507457662308497)</f>
        <v>0.5507457662</v>
      </c>
      <c r="AI1842" s="82">
        <f>IFERROR(__xludf.DUMMYFUNCTION("""COMPUTED_VALUE"""),0.8861443368426049)</f>
        <v>0.8861443368</v>
      </c>
      <c r="AJ1842" s="82">
        <f>IFERROR(__xludf.DUMMYFUNCTION("""COMPUTED_VALUE"""),0.8379452975986387)</f>
        <v>0.8379452976</v>
      </c>
      <c r="AK1842" s="82">
        <f>IFERROR(__xludf.DUMMYFUNCTION("""COMPUTED_VALUE"""),0.7802791674050512)</f>
        <v>0.7802791674</v>
      </c>
      <c r="AL1842" s="82">
        <f>IFERROR(__xludf.DUMMYFUNCTION("""COMPUTED_VALUE"""),0.7407038935372603)</f>
        <v>0.7407038935</v>
      </c>
      <c r="AM1842" s="82">
        <f>IFERROR(__xludf.DUMMYFUNCTION("""COMPUTED_VALUE"""),0.9852976047059095)</f>
        <v>0.9852976047</v>
      </c>
      <c r="AN1842" s="82">
        <f>IFERROR(__xludf.DUMMYFUNCTION("""COMPUTED_VALUE"""),0.7899606937077494)</f>
        <v>0.7899606937</v>
      </c>
      <c r="AO1842" s="82">
        <f>IFERROR(__xludf.DUMMYFUNCTION("""COMPUTED_VALUE"""),0.510440048016189)</f>
        <v>0.510440048</v>
      </c>
      <c r="AP1842" s="82">
        <f>IFERROR(__xludf.DUMMYFUNCTION("""COMPUTED_VALUE"""),0.29760635610328634)</f>
        <v>0.2976063561</v>
      </c>
      <c r="AQ1842" s="82">
        <f>IFERROR(__xludf.DUMMYFUNCTION("""COMPUTED_VALUE"""),1.2400460825997752)</f>
        <v>1.240046083</v>
      </c>
      <c r="AR1842" s="82">
        <f>IFERROR(__xludf.DUMMYFUNCTION("""COMPUTED_VALUE"""),0.552132204173747)</f>
        <v>0.5521322042</v>
      </c>
      <c r="AS1842" s="82">
        <f>IFERROR(__xludf.DUMMYFUNCTION("""COMPUTED_VALUE"""),40.0)</f>
        <v>40</v>
      </c>
      <c r="AT1842" s="82">
        <f>IFERROR(__xludf.DUMMYFUNCTION("""COMPUTED_VALUE"""),0.4497724398666645)</f>
        <v>0.4497724399</v>
      </c>
      <c r="AU1842" s="82">
        <f>IFERROR(__xludf.DUMMYFUNCTION("""COMPUTED_VALUE"""),0.7616384130904743)</f>
        <v>0.7616384131</v>
      </c>
      <c r="AV1842" s="82">
        <f>IFERROR(__xludf.DUMMYFUNCTION("""COMPUTED_VALUE"""),6.38851875870084)</f>
        <v>6.388518759</v>
      </c>
      <c r="AW1842" s="82">
        <f t="shared" si="1"/>
        <v>-24.66728725</v>
      </c>
      <c r="AX1842" s="83">
        <f t="array" ref="AX1842">IFERROR(DGET('SBV Import'!A:G,"SBV",{"RSC ID","Tier";B1842,A1842}))</f>
        <v>19.86414675</v>
      </c>
      <c r="AY1842" s="82">
        <f t="shared" si="2"/>
        <v>-8.770554523</v>
      </c>
      <c r="AZ1842" s="82">
        <v>15.896732729828912</v>
      </c>
      <c r="BA1842" s="84">
        <v>1700.0</v>
      </c>
      <c r="BB1842" s="84" t="b">
        <f>IFERROR(__xludf.DUMMYFUNCTION("iferror(if(A1842="""",,E1842&gt;=FILTER(Constants!$F$2:$F$10,Constants!$A$2:$A$10=A1842)))"),TRUE)</f>
        <v>1</v>
      </c>
    </row>
    <row r="1843">
      <c r="A1843" s="89" t="str">
        <f>IFERROR(__xludf.DUMMYFUNCTION("""COMPUTED_VALUE"""),"Rival")</f>
        <v>Rival</v>
      </c>
      <c r="B1843" s="87" t="str">
        <f>IFERROR(__xludf.DUMMYFUNCTION("""COMPUTED_VALUE"""),"RSC000726")</f>
        <v>RSC000726</v>
      </c>
      <c r="C1843" s="73" t="str">
        <f>IFERROR(__xludf.DUMMYFUNCTION("""COMPUTED_VALUE"""),"Way2Luckee")</f>
        <v>Way2Luckee</v>
      </c>
      <c r="D1843" s="73"/>
      <c r="E1843" s="82">
        <f>IFERROR(__xludf.DUMMYFUNCTION("""COMPUTED_VALUE"""),4.0)</f>
        <v>4</v>
      </c>
      <c r="F1843" s="82">
        <f>IFERROR(__xludf.DUMMYFUNCTION("""COMPUTED_VALUE"""),0.0)</f>
        <v>0</v>
      </c>
      <c r="G1843" s="86">
        <f>IFERROR(__xludf.DUMMYFUNCTION("""COMPUTED_VALUE"""),4.0)</f>
        <v>4</v>
      </c>
      <c r="H1843" s="86">
        <f>IFERROR(__xludf.DUMMYFUNCTION("""COMPUTED_VALUE"""),0.0)</f>
        <v>0</v>
      </c>
      <c r="I1843" s="86">
        <f>IFERROR(__xludf.DUMMYFUNCTION("""COMPUTED_VALUE"""),0.08333333333333333)</f>
        <v>0.08333333333</v>
      </c>
      <c r="J1843" s="82">
        <f>IFERROR(__xludf.DUMMYFUNCTION("""COMPUTED_VALUE"""),280.75)</f>
        <v>280.75</v>
      </c>
      <c r="K1843" s="82">
        <f>IFERROR(__xludf.DUMMYFUNCTION("""COMPUTED_VALUE"""),0.25)</f>
        <v>0.25</v>
      </c>
      <c r="L1843" s="82">
        <f>IFERROR(__xludf.DUMMYFUNCTION("""COMPUTED_VALUE"""),0.5)</f>
        <v>0.5</v>
      </c>
      <c r="M1843" s="82">
        <f>IFERROR(__xludf.DUMMYFUNCTION("""COMPUTED_VALUE"""),1.5)</f>
        <v>1.5</v>
      </c>
      <c r="N1843" s="82">
        <f>IFERROR(__xludf.DUMMYFUNCTION("""COMPUTED_VALUE"""),3.0)</f>
        <v>3</v>
      </c>
      <c r="O1843" s="82">
        <f>IFERROR(__xludf.DUMMYFUNCTION("""COMPUTED_VALUE"""),538.1666666666666)</f>
        <v>538.1666667</v>
      </c>
      <c r="P1843" s="82">
        <f>IFERROR(__xludf.DUMMYFUNCTION("""COMPUTED_VALUE"""),1.8333333333333335)</f>
        <v>1.833333333</v>
      </c>
      <c r="Q1843" s="82">
        <f>IFERROR(__xludf.DUMMYFUNCTION("""COMPUTED_VALUE"""),1.1666666666666667)</f>
        <v>1.166666667</v>
      </c>
      <c r="R1843" s="82">
        <f>IFERROR(__xludf.DUMMYFUNCTION("""COMPUTED_VALUE"""),1.5833333333333333)</f>
        <v>1.583333333</v>
      </c>
      <c r="S1843" s="82">
        <f>IFERROR(__xludf.DUMMYFUNCTION("""COMPUTED_VALUE"""),3.9166666666666665)</f>
        <v>3.916666667</v>
      </c>
      <c r="T1843" s="82">
        <f>IFERROR(__xludf.DUMMYFUNCTION("""COMPUTED_VALUE"""),386.43910256410254)</f>
        <v>386.4391026</v>
      </c>
      <c r="U1843" s="82">
        <f>IFERROR(__xludf.DUMMYFUNCTION("""COMPUTED_VALUE"""),0.9150641025641025)</f>
        <v>0.9150641026</v>
      </c>
      <c r="V1843" s="82">
        <f>IFERROR(__xludf.DUMMYFUNCTION("""COMPUTED_VALUE"""),0.673076923076923)</f>
        <v>0.6730769231</v>
      </c>
      <c r="W1843" s="82">
        <f>IFERROR(__xludf.DUMMYFUNCTION("""COMPUTED_VALUE"""),1.5985576923076923)</f>
        <v>1.598557692</v>
      </c>
      <c r="X1843" s="82">
        <f>IFERROR(__xludf.DUMMYFUNCTION("""COMPUTED_VALUE"""),2.78525641025641)</f>
        <v>2.78525641</v>
      </c>
      <c r="Y1843" s="82">
        <f>IFERROR(__xludf.DUMMYFUNCTION("""COMPUTED_VALUE"""),365.0576923076924)</f>
        <v>365.0576923</v>
      </c>
      <c r="Z1843" s="82">
        <f>IFERROR(__xludf.DUMMYFUNCTION("""COMPUTED_VALUE"""),0.8643162393162392)</f>
        <v>0.8643162393</v>
      </c>
      <c r="AA1843" s="82">
        <f>IFERROR(__xludf.DUMMYFUNCTION("""COMPUTED_VALUE"""),0.6049679487179486)</f>
        <v>0.6049679487</v>
      </c>
      <c r="AB1843" s="82">
        <f>IFERROR(__xludf.DUMMYFUNCTION("""COMPUTED_VALUE"""),1.4107905982905986)</f>
        <v>1.410790598</v>
      </c>
      <c r="AC1843" s="82">
        <f>IFERROR(__xludf.DUMMYFUNCTION("""COMPUTED_VALUE"""),2.707799145299145)</f>
        <v>2.707799145</v>
      </c>
      <c r="AD1843" s="82">
        <f>IFERROR(__xludf.DUMMYFUNCTION("""COMPUTED_VALUE"""),0.769056524258547)</f>
        <v>0.7690565243</v>
      </c>
      <c r="AE1843" s="82">
        <f>IFERROR(__xludf.DUMMYFUNCTION("""COMPUTED_VALUE"""),0.2892459826946848)</f>
        <v>0.2892459827</v>
      </c>
      <c r="AF1843" s="82">
        <f>IFERROR(__xludf.DUMMYFUNCTION("""COMPUTED_VALUE"""),0.8264900662251657)</f>
        <v>0.8264900662</v>
      </c>
      <c r="AG1843" s="82">
        <f>IFERROR(__xludf.DUMMYFUNCTION("""COMPUTED_VALUE"""),1.0632336236274136)</f>
        <v>1.063233624</v>
      </c>
      <c r="AH1843" s="82">
        <f>IFERROR(__xludf.DUMMYFUNCTION("""COMPUTED_VALUE"""),1.1079108305385679)</f>
        <v>1.107910831</v>
      </c>
      <c r="AI1843" s="82">
        <f>IFERROR(__xludf.DUMMYFUNCTION("""COMPUTED_VALUE"""),1.3926299463377816)</f>
        <v>1.392629946</v>
      </c>
      <c r="AJ1843" s="82">
        <f>IFERROR(__xludf.DUMMYFUNCTION("""COMPUTED_VALUE"""),2.003502626970228)</f>
        <v>2.003502627</v>
      </c>
      <c r="AK1843" s="82">
        <f>IFERROR(__xludf.DUMMYFUNCTION("""COMPUTED_VALUE"""),1.7333333333333336)</f>
        <v>1.733333333</v>
      </c>
      <c r="AL1843" s="82">
        <f>IFERROR(__xludf.DUMMYFUNCTION("""COMPUTED_VALUE"""),0.9904761904761904)</f>
        <v>0.9904761905</v>
      </c>
      <c r="AM1843" s="82">
        <f>IFERROR(__xludf.DUMMYFUNCTION("""COMPUTED_VALUE"""),1.4062140391254316)</f>
        <v>1.406214039</v>
      </c>
      <c r="AN1843" s="82">
        <f>IFERROR(__xludf.DUMMYFUNCTION("""COMPUTED_VALUE"""),0.8283154612827287)</f>
        <v>0.8283154613</v>
      </c>
      <c r="AO1843" s="82">
        <f>IFERROR(__xludf.DUMMYFUNCTION("""COMPUTED_VALUE"""),0.3402933653441261)</f>
        <v>0.3402933653</v>
      </c>
      <c r="AP1843" s="82">
        <f>IFERROR(__xludf.DUMMYFUNCTION("""COMPUTED_VALUE"""),0.8928190683098591)</f>
        <v>0.8928190683</v>
      </c>
      <c r="AQ1843" s="82">
        <f>IFERROR(__xludf.DUMMYFUNCTION("""COMPUTED_VALUE"""),1.1446579223997926)</f>
        <v>1.144657922</v>
      </c>
      <c r="AR1843" s="82">
        <f>IFERROR(__xludf.DUMMYFUNCTION("""COMPUTED_VALUE"""),1.2046520818336297)</f>
        <v>1.204652082</v>
      </c>
      <c r="AS1843" s="82">
        <f>IFERROR(__xludf.DUMMYFUNCTION("""COMPUTED_VALUE"""),9.0)</f>
        <v>9</v>
      </c>
      <c r="AT1843" s="82">
        <f>IFERROR(__xludf.DUMMYFUNCTION("""COMPUTED_VALUE"""),0.16676734579563535)</f>
        <v>0.1667673458</v>
      </c>
      <c r="AU1843" s="82">
        <f>IFERROR(__xludf.DUMMYFUNCTION("""COMPUTED_VALUE"""),0.5523842610175049)</f>
        <v>0.552384261</v>
      </c>
      <c r="AV1843" s="82">
        <f>IFERROR(__xludf.DUMMYFUNCTION("""COMPUTED_VALUE"""),-1.0031894236423113)</f>
        <v>-1.003189424</v>
      </c>
      <c r="AW1843" s="82">
        <f t="shared" si="1"/>
        <v>-48.38207827</v>
      </c>
      <c r="AX1843" s="83">
        <f t="array" ref="AX1843">IFERROR(DGET('SBV Import'!A:G,"SBV",{"RSC ID","Tier";B1843,A1843}))</f>
        <v>7.907277901</v>
      </c>
      <c r="AY1843" s="82">
        <f t="shared" si="2"/>
        <v>-21.68305062</v>
      </c>
      <c r="AZ1843" s="82">
        <v>26.69902764396258</v>
      </c>
      <c r="BA1843" s="84">
        <v>1700.0</v>
      </c>
      <c r="BB1843" s="84" t="b">
        <f>IFERROR(__xludf.DUMMYFUNCTION("iferror(if(A1843="""",,E1843&gt;=FILTER(Constants!$F$2:$F$10,Constants!$A$2:$A$10=A1843)))"),TRUE)</f>
        <v>1</v>
      </c>
    </row>
    <row r="1844">
      <c r="A1844" s="89" t="str">
        <f>IFERROR(__xludf.DUMMYFUNCTION("""COMPUTED_VALUE"""),"Rival")</f>
        <v>Rival</v>
      </c>
      <c r="B1844" s="87" t="str">
        <f>IFERROR(__xludf.DUMMYFUNCTION("""COMPUTED_VALUE"""),"RSC007173")</f>
        <v>RSC007173</v>
      </c>
      <c r="C1844" s="73" t="str">
        <f>IFERROR(__xludf.DUMMYFUNCTION("""COMPUTED_VALUE"""),"mr_marino_")</f>
        <v>mr_marino_</v>
      </c>
      <c r="D1844" s="73" t="str">
        <f>IFERROR(__xludf.DUMMYFUNCTION("""COMPUTED_VALUE"""),"Lacuna")</f>
        <v>Lacuna</v>
      </c>
      <c r="E1844" s="82">
        <f>IFERROR(__xludf.DUMMYFUNCTION("""COMPUTED_VALUE"""),3.0)</f>
        <v>3</v>
      </c>
      <c r="F1844" s="82">
        <f>IFERROR(__xludf.DUMMYFUNCTION("""COMPUTED_VALUE"""),1.0)</f>
        <v>1</v>
      </c>
      <c r="G1844" s="86">
        <f>IFERROR(__xludf.DUMMYFUNCTION("""COMPUTED_VALUE"""),2.0)</f>
        <v>2</v>
      </c>
      <c r="H1844" s="86">
        <f>IFERROR(__xludf.DUMMYFUNCTION("""COMPUTED_VALUE"""),0.3333333333333333)</f>
        <v>0.3333333333</v>
      </c>
      <c r="I1844" s="86">
        <f>IFERROR(__xludf.DUMMYFUNCTION("""COMPUTED_VALUE"""),0.16666666666666666)</f>
        <v>0.1666666667</v>
      </c>
      <c r="J1844" s="82">
        <f>IFERROR(__xludf.DUMMYFUNCTION("""COMPUTED_VALUE"""),236.66666666666666)</f>
        <v>236.6666667</v>
      </c>
      <c r="K1844" s="82">
        <f>IFERROR(__xludf.DUMMYFUNCTION("""COMPUTED_VALUE"""),0.3333333333333333)</f>
        <v>0.3333333333</v>
      </c>
      <c r="L1844" s="82">
        <f>IFERROR(__xludf.DUMMYFUNCTION("""COMPUTED_VALUE"""),0.0)</f>
        <v>0</v>
      </c>
      <c r="M1844" s="82">
        <f>IFERROR(__xludf.DUMMYFUNCTION("""COMPUTED_VALUE"""),1.3333333333333333)</f>
        <v>1.333333333</v>
      </c>
      <c r="N1844" s="82">
        <f>IFERROR(__xludf.DUMMYFUNCTION("""COMPUTED_VALUE"""),2.0)</f>
        <v>2</v>
      </c>
      <c r="O1844" s="82">
        <f>IFERROR(__xludf.DUMMYFUNCTION("""COMPUTED_VALUE"""),337.8888888888889)</f>
        <v>337.8888889</v>
      </c>
      <c r="P1844" s="82">
        <f>IFERROR(__xludf.DUMMYFUNCTION("""COMPUTED_VALUE"""),0.888888888888889)</f>
        <v>0.8888888889</v>
      </c>
      <c r="Q1844" s="82">
        <f>IFERROR(__xludf.DUMMYFUNCTION("""COMPUTED_VALUE"""),0.7777777777777778)</f>
        <v>0.7777777778</v>
      </c>
      <c r="R1844" s="82">
        <f>IFERROR(__xludf.DUMMYFUNCTION("""COMPUTED_VALUE"""),0.9999999999999999)</f>
        <v>1</v>
      </c>
      <c r="S1844" s="82">
        <f>IFERROR(__xludf.DUMMYFUNCTION("""COMPUTED_VALUE"""),2.555555555555556)</f>
        <v>2.555555556</v>
      </c>
      <c r="T1844" s="82">
        <f>IFERROR(__xludf.DUMMYFUNCTION("""COMPUTED_VALUE"""),392.56588319088314)</f>
        <v>392.5658832</v>
      </c>
      <c r="U1844" s="82">
        <f>IFERROR(__xludf.DUMMYFUNCTION("""COMPUTED_VALUE"""),0.9179131054131053)</f>
        <v>0.9179131054</v>
      </c>
      <c r="V1844" s="82">
        <f>IFERROR(__xludf.DUMMYFUNCTION("""COMPUTED_VALUE"""),0.7200854700854701)</f>
        <v>0.7200854701</v>
      </c>
      <c r="W1844" s="82">
        <f>IFERROR(__xludf.DUMMYFUNCTION("""COMPUTED_VALUE"""),1.5643696581196582)</f>
        <v>1.564369658</v>
      </c>
      <c r="X1844" s="82">
        <f>IFERROR(__xludf.DUMMYFUNCTION("""COMPUTED_VALUE"""),2.815883190883191)</f>
        <v>2.815883191</v>
      </c>
      <c r="Y1844" s="82">
        <f>IFERROR(__xludf.DUMMYFUNCTION("""COMPUTED_VALUE"""),364.98694207027546)</f>
        <v>364.9869421</v>
      </c>
      <c r="Z1844" s="82">
        <f>IFERROR(__xludf.DUMMYFUNCTION("""COMPUTED_VALUE"""),0.8759496676163342)</f>
        <v>0.8759496676</v>
      </c>
      <c r="AA1844" s="82">
        <f>IFERROR(__xludf.DUMMYFUNCTION("""COMPUTED_VALUE"""),0.6168387939221271)</f>
        <v>0.6168387939</v>
      </c>
      <c r="AB1844" s="82">
        <f>IFERROR(__xludf.DUMMYFUNCTION("""COMPUTED_VALUE"""),1.3901353276353279)</f>
        <v>1.390135328</v>
      </c>
      <c r="AC1844" s="82">
        <f>IFERROR(__xludf.DUMMYFUNCTION("""COMPUTED_VALUE"""),2.718245489078823)</f>
        <v>2.718245489</v>
      </c>
      <c r="AD1844" s="82">
        <f>IFERROR(__xludf.DUMMYFUNCTION("""COMPUTED_VALUE"""),0.6484250239864698)</f>
        <v>0.648425024</v>
      </c>
      <c r="AE1844" s="82">
        <f>IFERROR(__xludf.DUMMYFUNCTION("""COMPUTED_VALUE"""),0.3805393684781136)</f>
        <v>0.3805393685</v>
      </c>
      <c r="AF1844" s="82">
        <f>IFERROR(__xludf.DUMMYFUNCTION("""COMPUTED_VALUE"""),0.0)</f>
        <v>0</v>
      </c>
      <c r="AG1844" s="82">
        <f>IFERROR(__xludf.DUMMYFUNCTION("""COMPUTED_VALUE"""),0.9591392340207504)</f>
        <v>0.959139234</v>
      </c>
      <c r="AH1844" s="82">
        <f>IFERROR(__xludf.DUMMYFUNCTION("""COMPUTED_VALUE"""),0.7357687184750091)</f>
        <v>0.7357687185</v>
      </c>
      <c r="AI1844" s="82">
        <f>IFERROR(__xludf.DUMMYFUNCTION("""COMPUTED_VALUE"""),0.8607189349783414)</f>
        <v>0.860718935</v>
      </c>
      <c r="AJ1844" s="82">
        <f>IFERROR(__xludf.DUMMYFUNCTION("""COMPUTED_VALUE"""),0.9683802133850632)</f>
        <v>0.9683802134</v>
      </c>
      <c r="AK1844" s="82">
        <f>IFERROR(__xludf.DUMMYFUNCTION("""COMPUTED_VALUE"""),1.0801186943620178)</f>
        <v>1.080118694</v>
      </c>
      <c r="AL1844" s="82">
        <f>IFERROR(__xludf.DUMMYFUNCTION("""COMPUTED_VALUE"""),0.6392351032952022)</f>
        <v>0.6392351033</v>
      </c>
      <c r="AM1844" s="82">
        <f>IFERROR(__xludf.DUMMYFUNCTION("""COMPUTED_VALUE"""),0.907550271910965)</f>
        <v>0.9075502719</v>
      </c>
      <c r="AN1844" s="82">
        <f>IFERROR(__xludf.DUMMYFUNCTION("""COMPUTED_VALUE"""),0.6982534609803946)</f>
        <v>0.698253461</v>
      </c>
      <c r="AO1844" s="82">
        <f>IFERROR(__xludf.DUMMYFUNCTION("""COMPUTED_VALUE"""),0.4537244871255014)</f>
        <v>0.4537244871</v>
      </c>
      <c r="AP1844" s="82">
        <f>IFERROR(__xludf.DUMMYFUNCTION("""COMPUTED_VALUE"""),0.0)</f>
        <v>0</v>
      </c>
      <c r="AQ1844" s="82">
        <f>IFERROR(__xludf.DUMMYFUNCTION("""COMPUTED_VALUE"""),1.0174737087998156)</f>
        <v>1.017473709</v>
      </c>
      <c r="AR1844" s="82">
        <f>IFERROR(__xludf.DUMMYFUNCTION("""COMPUTED_VALUE"""),0.8031013878890865)</f>
        <v>0.8031013879</v>
      </c>
      <c r="AS1844" s="82">
        <f>IFERROR(__xludf.DUMMYFUNCTION("""COMPUTED_VALUE"""),4.0)</f>
        <v>4</v>
      </c>
      <c r="AT1844" s="82">
        <f>IFERROR(__xludf.DUMMYFUNCTION("""COMPUTED_VALUE"""),0.26272554966373574)</f>
        <v>0.2627255497</v>
      </c>
      <c r="AU1844" s="82">
        <f>IFERROR(__xludf.DUMMYFUNCTION("""COMPUTED_VALUE"""),0.4919246409200713)</f>
        <v>0.4919246409</v>
      </c>
      <c r="AV1844" s="82">
        <f>IFERROR(__xludf.DUMMYFUNCTION("""COMPUTED_VALUE"""),-3.138869237630992)</f>
        <v>-3.138869238</v>
      </c>
      <c r="AW1844" s="82">
        <f t="shared" si="1"/>
        <v>-59.62967151</v>
      </c>
      <c r="AX1844" s="83">
        <f t="array" ref="AX1844">IFERROR(DGET('SBV Import'!A:G,"SBV",{"RSC ID","Tier";B1844,A1844}))</f>
        <v>13.45191539</v>
      </c>
      <c r="AY1844" s="82">
        <f t="shared" si="2"/>
        <v>-13.91186219</v>
      </c>
      <c r="AZ1844" s="82">
        <v>45.71780932037894</v>
      </c>
      <c r="BA1844" s="84">
        <v>1700.0</v>
      </c>
      <c r="BB1844" s="84" t="b">
        <f>IFERROR(__xludf.DUMMYFUNCTION("iferror(if(A1844="""",,E1844&gt;=FILTER(Constants!$F$2:$F$10,Constants!$A$2:$A$10=A1844)))"),TRUE)</f>
        <v>1</v>
      </c>
    </row>
    <row r="1845">
      <c r="A1845" s="89" t="str">
        <f>IFERROR(__xludf.DUMMYFUNCTION("""COMPUTED_VALUE"""),"Rival")</f>
        <v>Rival</v>
      </c>
      <c r="B1845" s="87" t="str">
        <f>IFERROR(__xludf.DUMMYFUNCTION("""COMPUTED_VALUE"""),"RSC007035")</f>
        <v>RSC007035</v>
      </c>
      <c r="C1845" s="73" t="str">
        <f>IFERROR(__xludf.DUMMYFUNCTION("""COMPUTED_VALUE"""),"itzsmurfyy")</f>
        <v>itzsmurfyy</v>
      </c>
      <c r="D1845" s="73" t="str">
        <f>IFERROR(__xludf.DUMMYFUNCTION("""COMPUTED_VALUE"""),"Hue Heroes")</f>
        <v>Hue Heroes</v>
      </c>
      <c r="E1845" s="82">
        <f>IFERROR(__xludf.DUMMYFUNCTION("""COMPUTED_VALUE"""),1.0)</f>
        <v>1</v>
      </c>
      <c r="F1845" s="82">
        <f>IFERROR(__xludf.DUMMYFUNCTION("""COMPUTED_VALUE"""),0.0)</f>
        <v>0</v>
      </c>
      <c r="G1845" s="86">
        <f>IFERROR(__xludf.DUMMYFUNCTION("""COMPUTED_VALUE"""),1.0)</f>
        <v>1</v>
      </c>
      <c r="H1845" s="86">
        <f>IFERROR(__xludf.DUMMYFUNCTION("""COMPUTED_VALUE"""),0.0)</f>
        <v>0</v>
      </c>
      <c r="I1845" s="86">
        <f>IFERROR(__xludf.DUMMYFUNCTION("""COMPUTED_VALUE"""),0.0)</f>
        <v>0</v>
      </c>
      <c r="J1845" s="82">
        <f>IFERROR(__xludf.DUMMYFUNCTION("""COMPUTED_VALUE"""),306.0)</f>
        <v>306</v>
      </c>
      <c r="K1845" s="82">
        <f>IFERROR(__xludf.DUMMYFUNCTION("""COMPUTED_VALUE"""),0.0)</f>
        <v>0</v>
      </c>
      <c r="L1845" s="82">
        <f>IFERROR(__xludf.DUMMYFUNCTION("""COMPUTED_VALUE"""),0.0)</f>
        <v>0</v>
      </c>
      <c r="M1845" s="82">
        <f>IFERROR(__xludf.DUMMYFUNCTION("""COMPUTED_VALUE"""),3.0)</f>
        <v>3</v>
      </c>
      <c r="N1845" s="82">
        <f>IFERROR(__xludf.DUMMYFUNCTION("""COMPUTED_VALUE"""),1.0)</f>
        <v>1</v>
      </c>
      <c r="O1845" s="82">
        <f>IFERROR(__xludf.DUMMYFUNCTION("""COMPUTED_VALUE"""),364.6666666666667)</f>
        <v>364.6666667</v>
      </c>
      <c r="P1845" s="82">
        <f>IFERROR(__xludf.DUMMYFUNCTION("""COMPUTED_VALUE"""),1.0)</f>
        <v>1</v>
      </c>
      <c r="Q1845" s="82">
        <f>IFERROR(__xludf.DUMMYFUNCTION("""COMPUTED_VALUE"""),1.0)</f>
        <v>1</v>
      </c>
      <c r="R1845" s="82">
        <f>IFERROR(__xludf.DUMMYFUNCTION("""COMPUTED_VALUE"""),1.0)</f>
        <v>1</v>
      </c>
      <c r="S1845" s="82">
        <f>IFERROR(__xludf.DUMMYFUNCTION("""COMPUTED_VALUE"""),4.0)</f>
        <v>4</v>
      </c>
      <c r="T1845" s="82">
        <f>IFERROR(__xludf.DUMMYFUNCTION("""COMPUTED_VALUE"""),402.5594907407408)</f>
        <v>402.5594907</v>
      </c>
      <c r="U1845" s="82">
        <f>IFERROR(__xludf.DUMMYFUNCTION("""COMPUTED_VALUE"""),1.1613425925925924)</f>
        <v>1.161342593</v>
      </c>
      <c r="V1845" s="82">
        <f>IFERROR(__xludf.DUMMYFUNCTION("""COMPUTED_VALUE"""),0.9395833333333333)</f>
        <v>0.9395833333</v>
      </c>
      <c r="W1845" s="82">
        <f>IFERROR(__xludf.DUMMYFUNCTION("""COMPUTED_VALUE"""),0.9914351851851851)</f>
        <v>0.9914351852</v>
      </c>
      <c r="X1845" s="82">
        <f>IFERROR(__xludf.DUMMYFUNCTION("""COMPUTED_VALUE"""),3.259490740740741)</f>
        <v>3.259490741</v>
      </c>
      <c r="Y1845" s="82">
        <f>IFERROR(__xludf.DUMMYFUNCTION("""COMPUTED_VALUE"""),305.216898148148)</f>
        <v>305.2168981</v>
      </c>
      <c r="Z1845" s="82">
        <f>IFERROR(__xludf.DUMMYFUNCTION("""COMPUTED_VALUE"""),0.4975308641975309)</f>
        <v>0.4975308642</v>
      </c>
      <c r="AA1845" s="82">
        <f>IFERROR(__xludf.DUMMYFUNCTION("""COMPUTED_VALUE"""),0.31736111111111104)</f>
        <v>0.3173611111</v>
      </c>
      <c r="AB1845" s="82">
        <f>IFERROR(__xludf.DUMMYFUNCTION("""COMPUTED_VALUE"""),1.5226080246913583)</f>
        <v>1.522608025</v>
      </c>
      <c r="AC1845" s="82">
        <f>IFERROR(__xludf.DUMMYFUNCTION("""COMPUTED_VALUE"""),1.8274691358024695)</f>
        <v>1.827469136</v>
      </c>
      <c r="AD1845" s="82">
        <f>IFERROR(__xludf.DUMMYFUNCTION("""COMPUTED_VALUE"""),1.0025657224636098)</f>
        <v>1.002565722</v>
      </c>
      <c r="AE1845" s="82">
        <f>IFERROR(__xludf.DUMMYFUNCTION("""COMPUTED_VALUE"""),0.0)</f>
        <v>0</v>
      </c>
      <c r="AF1845" s="82">
        <f>IFERROR(__xludf.DUMMYFUNCTION("""COMPUTED_VALUE"""),0.0)</f>
        <v>0</v>
      </c>
      <c r="AG1845" s="82">
        <f>IFERROR(__xludf.DUMMYFUNCTION("""COMPUTED_VALUE"""),1.9703035524248718)</f>
        <v>1.970303552</v>
      </c>
      <c r="AH1845" s="82">
        <f>IFERROR(__xludf.DUMMYFUNCTION("""COMPUTED_VALUE"""),0.5472048640432359)</f>
        <v>0.547204864</v>
      </c>
      <c r="AI1845" s="82">
        <f>IFERROR(__xludf.DUMMYFUNCTION("""COMPUTED_VALUE"""),0.9058702503713219)</f>
        <v>0.9058702504</v>
      </c>
      <c r="AJ1845" s="82">
        <f>IFERROR(__xludf.DUMMYFUNCTION("""COMPUTED_VALUE"""),0.8610723539964124)</f>
        <v>0.861072354</v>
      </c>
      <c r="AK1845" s="82">
        <f>IFERROR(__xludf.DUMMYFUNCTION("""COMPUTED_VALUE"""),1.06430155210643)</f>
        <v>1.064301552</v>
      </c>
      <c r="AL1845" s="82">
        <f>IFERROR(__xludf.DUMMYFUNCTION("""COMPUTED_VALUE"""),1.0086388045762316)</f>
        <v>1.008638805</v>
      </c>
      <c r="AM1845" s="82">
        <f>IFERROR(__xludf.DUMMYFUNCTION("""COMPUTED_VALUE"""),1.2271855692067324)</f>
        <v>1.227185569</v>
      </c>
      <c r="AN1845" s="82">
        <f>IFERROR(__xludf.DUMMYFUNCTION("""COMPUTED_VALUE"""),0.9028122213802849)</f>
        <v>0.9028122214</v>
      </c>
      <c r="AO1845" s="82">
        <f>IFERROR(__xludf.DUMMYFUNCTION("""COMPUTED_VALUE"""),0.0)</f>
        <v>0</v>
      </c>
      <c r="AP1845" s="82">
        <f>IFERROR(__xludf.DUMMYFUNCTION("""COMPUTED_VALUE"""),0.0)</f>
        <v>0</v>
      </c>
      <c r="AQ1845" s="82">
        <f>IFERROR(__xludf.DUMMYFUNCTION("""COMPUTED_VALUE"""),2.289315844799585)</f>
        <v>2.289315845</v>
      </c>
      <c r="AR1845" s="82">
        <f>IFERROR(__xludf.DUMMYFUNCTION("""COMPUTED_VALUE"""),0.40155069394454324)</f>
        <v>0.4015506939</v>
      </c>
      <c r="AS1845" s="82">
        <f>IFERROR(__xludf.DUMMYFUNCTION("""COMPUTED_VALUE"""),0.0)</f>
        <v>0</v>
      </c>
      <c r="AT1845" s="82">
        <f>IFERROR(__xludf.DUMMYFUNCTION("""COMPUTED_VALUE"""),0.0)</f>
        <v>0</v>
      </c>
      <c r="AU1845" s="82">
        <f>IFERROR(__xludf.DUMMYFUNCTION("""COMPUTED_VALUE"""),0.0018297954442111075)</f>
        <v>0.001829795444</v>
      </c>
      <c r="AV1845" s="82">
        <f>IFERROR(__xludf.DUMMYFUNCTION("""COMPUTED_VALUE"""),-20.451013553720173)</f>
        <v>-20.45101355</v>
      </c>
      <c r="AW1845" s="82">
        <f t="shared" si="1"/>
        <v>-413.926915</v>
      </c>
      <c r="AX1845" s="83">
        <f t="array" ref="AX1845">IFERROR(DGET('SBV Import'!A:G,"SBV",{"RSC ID","Tier";B1845,A1845}))</f>
        <v>6.871459456</v>
      </c>
      <c r="AY1845" s="82">
        <f t="shared" si="2"/>
        <v>-23.66809196</v>
      </c>
      <c r="AZ1845" s="82">
        <v>390.25882306622077</v>
      </c>
      <c r="BA1845" s="84">
        <v>1700.0</v>
      </c>
      <c r="BB1845" s="84" t="b">
        <f>IFERROR(__xludf.DUMMYFUNCTION("iferror(if(A1845="""",,E1845&gt;=FILTER(Constants!$F$2:$F$10,Constants!$A$2:$A$10=A1845)))"),TRUE)</f>
        <v>1</v>
      </c>
    </row>
    <row r="1846">
      <c r="A1846" s="89" t="str">
        <f>IFERROR(__xludf.DUMMYFUNCTION("""COMPUTED_VALUE"""),"Rival")</f>
        <v>Rival</v>
      </c>
      <c r="B1846" s="87" t="str">
        <f>IFERROR(__xludf.DUMMYFUNCTION("""COMPUTED_VALUE"""),"RSC007906")</f>
        <v>RSC007906</v>
      </c>
      <c r="C1846" s="73" t="str">
        <f>IFERROR(__xludf.DUMMYFUNCTION("""COMPUTED_VALUE"""),"Vaz1fy-")</f>
        <v>Vaz1fy-</v>
      </c>
      <c r="D1846" s="73"/>
      <c r="E1846" s="82">
        <f>IFERROR(__xludf.DUMMYFUNCTION("""COMPUTED_VALUE"""),8.0)</f>
        <v>8</v>
      </c>
      <c r="F1846" s="82">
        <f>IFERROR(__xludf.DUMMYFUNCTION("""COMPUTED_VALUE"""),1.0)</f>
        <v>1</v>
      </c>
      <c r="G1846" s="86">
        <f>IFERROR(__xludf.DUMMYFUNCTION("""COMPUTED_VALUE"""),7.0)</f>
        <v>7</v>
      </c>
      <c r="H1846" s="86">
        <f>IFERROR(__xludf.DUMMYFUNCTION("""COMPUTED_VALUE"""),0.125)</f>
        <v>0.125</v>
      </c>
      <c r="I1846" s="86">
        <f>IFERROR(__xludf.DUMMYFUNCTION("""COMPUTED_VALUE"""),0.25)</f>
        <v>0.25</v>
      </c>
      <c r="J1846" s="82">
        <f>IFERROR(__xludf.DUMMYFUNCTION("""COMPUTED_VALUE"""),209.625)</f>
        <v>209.625</v>
      </c>
      <c r="K1846" s="82">
        <f>IFERROR(__xludf.DUMMYFUNCTION("""COMPUTED_VALUE"""),0.25)</f>
        <v>0.25</v>
      </c>
      <c r="L1846" s="82">
        <f>IFERROR(__xludf.DUMMYFUNCTION("""COMPUTED_VALUE"""),0.0)</f>
        <v>0</v>
      </c>
      <c r="M1846" s="82">
        <f>IFERROR(__xludf.DUMMYFUNCTION("""COMPUTED_VALUE"""),1.25)</f>
        <v>1.25</v>
      </c>
      <c r="N1846" s="82">
        <f>IFERROR(__xludf.DUMMYFUNCTION("""COMPUTED_VALUE"""),1.0)</f>
        <v>1</v>
      </c>
      <c r="O1846" s="82">
        <f>IFERROR(__xludf.DUMMYFUNCTION("""COMPUTED_VALUE"""),342.58333333333337)</f>
        <v>342.5833333</v>
      </c>
      <c r="P1846" s="82">
        <f>IFERROR(__xludf.DUMMYFUNCTION("""COMPUTED_VALUE"""),1.0416666666666665)</f>
        <v>1.041666667</v>
      </c>
      <c r="Q1846" s="82">
        <f>IFERROR(__xludf.DUMMYFUNCTION("""COMPUTED_VALUE"""),0.625)</f>
        <v>0.625</v>
      </c>
      <c r="R1846" s="82">
        <f>IFERROR(__xludf.DUMMYFUNCTION("""COMPUTED_VALUE"""),0.75)</f>
        <v>0.75</v>
      </c>
      <c r="S1846" s="82">
        <f>IFERROR(__xludf.DUMMYFUNCTION("""COMPUTED_VALUE"""),3.208333333333334)</f>
        <v>3.208333333</v>
      </c>
      <c r="T1846" s="82">
        <f>IFERROR(__xludf.DUMMYFUNCTION("""COMPUTED_VALUE"""),341.3604484945319)</f>
        <v>341.3604485</v>
      </c>
      <c r="U1846" s="82">
        <f>IFERROR(__xludf.DUMMYFUNCTION("""COMPUTED_VALUE"""),0.8331700017171619)</f>
        <v>0.8331700017</v>
      </c>
      <c r="V1846" s="82">
        <f>IFERROR(__xludf.DUMMYFUNCTION("""COMPUTED_VALUE"""),0.5978129661826417)</f>
        <v>0.5978129662</v>
      </c>
      <c r="W1846" s="82">
        <f>IFERROR(__xludf.DUMMYFUNCTION("""COMPUTED_VALUE"""),1.1048121787028988)</f>
        <v>1.104812179</v>
      </c>
      <c r="X1846" s="82">
        <f>IFERROR(__xludf.DUMMYFUNCTION("""COMPUTED_VALUE"""),2.688071258196765)</f>
        <v>2.688071258</v>
      </c>
      <c r="Y1846" s="82">
        <f>IFERROR(__xludf.DUMMYFUNCTION("""COMPUTED_VALUE"""),339.4832068044331)</f>
        <v>339.4832068</v>
      </c>
      <c r="Z1846" s="82">
        <f>IFERROR(__xludf.DUMMYFUNCTION("""COMPUTED_VALUE"""),0.7302276178670702)</f>
        <v>0.7302276179</v>
      </c>
      <c r="AA1846" s="82">
        <f>IFERROR(__xludf.DUMMYFUNCTION("""COMPUTED_VALUE"""),0.5009213870733479)</f>
        <v>0.5009213871</v>
      </c>
      <c r="AB1846" s="82">
        <f>IFERROR(__xludf.DUMMYFUNCTION("""COMPUTED_VALUE"""),1.3865833641885872)</f>
        <v>1.386583364</v>
      </c>
      <c r="AC1846" s="82">
        <f>IFERROR(__xludf.DUMMYFUNCTION("""COMPUTED_VALUE"""),2.3173008092125746)</f>
        <v>2.317300809</v>
      </c>
      <c r="AD1846" s="82">
        <f>IFERROR(__xludf.DUMMYFUNCTION("""COMPUTED_VALUE"""),0.6174826789613754)</f>
        <v>0.617482679</v>
      </c>
      <c r="AE1846" s="82">
        <f>IFERROR(__xludf.DUMMYFUNCTION("""COMPUTED_VALUE"""),0.3423590040735897)</f>
        <v>0.3423590041</v>
      </c>
      <c r="AF1846" s="82">
        <f>IFERROR(__xludf.DUMMYFUNCTION("""COMPUTED_VALUE"""),0.0)</f>
        <v>0</v>
      </c>
      <c r="AG1846" s="82">
        <f>IFERROR(__xludf.DUMMYFUNCTION("""COMPUTED_VALUE"""),0.9014964641029612)</f>
        <v>0.9014964641</v>
      </c>
      <c r="AH1846" s="82">
        <f>IFERROR(__xludf.DUMMYFUNCTION("""COMPUTED_VALUE"""),0.43153655150183234)</f>
        <v>0.4315365515</v>
      </c>
      <c r="AI1846" s="82">
        <f>IFERROR(__xludf.DUMMYFUNCTION("""COMPUTED_VALUE"""),1.0035823858452104)</f>
        <v>1.003582386</v>
      </c>
      <c r="AJ1846" s="82">
        <f>IFERROR(__xludf.DUMMYFUNCTION("""COMPUTED_VALUE"""),1.2502450454526608)</f>
        <v>1.250245045</v>
      </c>
      <c r="AK1846" s="82">
        <f>IFERROR(__xludf.DUMMYFUNCTION("""COMPUTED_VALUE"""),1.0454774910470113)</f>
        <v>1.045477491</v>
      </c>
      <c r="AL1846" s="82">
        <f>IFERROR(__xludf.DUMMYFUNCTION("""COMPUTED_VALUE"""),0.6788484182719049)</f>
        <v>0.6788484183</v>
      </c>
      <c r="AM1846" s="82">
        <f>IFERROR(__xludf.DUMMYFUNCTION("""COMPUTED_VALUE"""),1.1935447483209858)</f>
        <v>1.193544748</v>
      </c>
      <c r="AN1846" s="82">
        <f>IFERROR(__xludf.DUMMYFUNCTION("""COMPUTED_VALUE"""),0.6184706271465432)</f>
        <v>0.6184706271</v>
      </c>
      <c r="AO1846" s="82">
        <f>IFERROR(__xludf.DUMMYFUNCTION("""COMPUTED_VALUE"""),0.3402933653441261)</f>
        <v>0.3402933653</v>
      </c>
      <c r="AP1846" s="82">
        <f>IFERROR(__xludf.DUMMYFUNCTION("""COMPUTED_VALUE"""),0.0)</f>
        <v>0</v>
      </c>
      <c r="AQ1846" s="82">
        <f>IFERROR(__xludf.DUMMYFUNCTION("""COMPUTED_VALUE"""),0.9538816019998271)</f>
        <v>0.953881602</v>
      </c>
      <c r="AR1846" s="82">
        <f>IFERROR(__xludf.DUMMYFUNCTION("""COMPUTED_VALUE"""),0.40155069394454324)</f>
        <v>0.4015506939</v>
      </c>
      <c r="AS1846" s="82">
        <f>IFERROR(__xludf.DUMMYFUNCTION("""COMPUTED_VALUE"""),10.0)</f>
        <v>10</v>
      </c>
      <c r="AT1846" s="82">
        <f>IFERROR(__xludf.DUMMYFUNCTION("""COMPUTED_VALUE"""),0.19788467630491166)</f>
        <v>0.1978846763</v>
      </c>
      <c r="AU1846" s="82">
        <f>IFERROR(__xludf.DUMMYFUNCTION("""COMPUTED_VALUE"""),-0.1146372908210522)</f>
        <v>-0.1146372908</v>
      </c>
      <c r="AV1846" s="82">
        <f>IFERROR(__xludf.DUMMYFUNCTION("""COMPUTED_VALUE"""),-24.565104987472992)</f>
        <v>-24.56510499</v>
      </c>
      <c r="AW1846" s="82">
        <f t="shared" si="1"/>
        <v>-699.7720894</v>
      </c>
      <c r="AX1846" s="83">
        <f t="array" ref="AX1846">IFERROR(DGET('SBV Import'!A:G,"SBV",{"RSC ID","Tier";B1846,A1846}))</f>
        <v>-10.71791964</v>
      </c>
      <c r="AY1846" s="82">
        <f t="shared" si="2"/>
        <v>-131.9926096</v>
      </c>
      <c r="AZ1846" s="82">
        <v>567.7794797798174</v>
      </c>
      <c r="BA1846" s="84">
        <v>1700.0</v>
      </c>
      <c r="BB1846" s="84" t="b">
        <f>IFERROR(__xludf.DUMMYFUNCTION("iferror(if(A1846="""",,E1846&gt;=FILTER(Constants!$F$2:$F$10,Constants!$A$2:$A$10=A1846)))"),TRUE)</f>
        <v>1</v>
      </c>
    </row>
    <row r="1847">
      <c r="A1847" s="89" t="str">
        <f>IFERROR(__xludf.DUMMYFUNCTION("""COMPUTED_VALUE"""),"Rival")</f>
        <v>Rival</v>
      </c>
      <c r="B1847" s="87" t="str">
        <f>IFERROR(__xludf.DUMMYFUNCTION("""COMPUTED_VALUE"""),"RSC000111")</f>
        <v>RSC000111</v>
      </c>
      <c r="C1847" s="73" t="str">
        <f>IFERROR(__xludf.DUMMYFUNCTION("""COMPUTED_VALUE"""),"Wheelchair {LFLegs}")</f>
        <v>Wheelchair {LFLegs}</v>
      </c>
      <c r="D1847" s="73"/>
      <c r="E1847" s="82">
        <f>IFERROR(__xludf.DUMMYFUNCTION("""COMPUTED_VALUE"""),2.0)</f>
        <v>2</v>
      </c>
      <c r="F1847" s="82">
        <f>IFERROR(__xludf.DUMMYFUNCTION("""COMPUTED_VALUE"""),0.0)</f>
        <v>0</v>
      </c>
      <c r="G1847" s="86">
        <f>IFERROR(__xludf.DUMMYFUNCTION("""COMPUTED_VALUE"""),2.0)</f>
        <v>2</v>
      </c>
      <c r="H1847" s="86">
        <f>IFERROR(__xludf.DUMMYFUNCTION("""COMPUTED_VALUE"""),0.0)</f>
        <v>0</v>
      </c>
      <c r="I1847" s="86">
        <f>IFERROR(__xludf.DUMMYFUNCTION("""COMPUTED_VALUE"""),0.0)</f>
        <v>0</v>
      </c>
      <c r="J1847" s="82">
        <f>IFERROR(__xludf.DUMMYFUNCTION("""COMPUTED_VALUE"""),162.0)</f>
        <v>162</v>
      </c>
      <c r="K1847" s="82">
        <f>IFERROR(__xludf.DUMMYFUNCTION("""COMPUTED_VALUE"""),0.0)</f>
        <v>0</v>
      </c>
      <c r="L1847" s="82">
        <f>IFERROR(__xludf.DUMMYFUNCTION("""COMPUTED_VALUE"""),0.5)</f>
        <v>0.5</v>
      </c>
      <c r="M1847" s="82">
        <f>IFERROR(__xludf.DUMMYFUNCTION("""COMPUTED_VALUE"""),0.5)</f>
        <v>0.5</v>
      </c>
      <c r="N1847" s="82">
        <f>IFERROR(__xludf.DUMMYFUNCTION("""COMPUTED_VALUE"""),0.5)</f>
        <v>0.5</v>
      </c>
      <c r="O1847" s="82">
        <f>IFERROR(__xludf.DUMMYFUNCTION("""COMPUTED_VALUE"""),406.3333333333333)</f>
        <v>406.3333333</v>
      </c>
      <c r="P1847" s="82">
        <f>IFERROR(__xludf.DUMMYFUNCTION("""COMPUTED_VALUE"""),1.0)</f>
        <v>1</v>
      </c>
      <c r="Q1847" s="82">
        <f>IFERROR(__xludf.DUMMYFUNCTION("""COMPUTED_VALUE"""),0.8333333333333333)</f>
        <v>0.8333333333</v>
      </c>
      <c r="R1847" s="82">
        <f>IFERROR(__xludf.DUMMYFUNCTION("""COMPUTED_VALUE"""),2.0)</f>
        <v>2</v>
      </c>
      <c r="S1847" s="82">
        <f>IFERROR(__xludf.DUMMYFUNCTION("""COMPUTED_VALUE"""),2.5)</f>
        <v>2.5</v>
      </c>
      <c r="T1847" s="82">
        <f>IFERROR(__xludf.DUMMYFUNCTION("""COMPUTED_VALUE"""),341.1377450980392)</f>
        <v>341.1377451</v>
      </c>
      <c r="U1847" s="82">
        <f>IFERROR(__xludf.DUMMYFUNCTION("""COMPUTED_VALUE"""),0.8539215686274509)</f>
        <v>0.8539215686</v>
      </c>
      <c r="V1847" s="82">
        <f>IFERROR(__xludf.DUMMYFUNCTION("""COMPUTED_VALUE"""),0.44375000000000003)</f>
        <v>0.44375</v>
      </c>
      <c r="W1847" s="82">
        <f>IFERROR(__xludf.DUMMYFUNCTION("""COMPUTED_VALUE"""),1.4504901960784313)</f>
        <v>1.450490196</v>
      </c>
      <c r="X1847" s="82">
        <f>IFERROR(__xludf.DUMMYFUNCTION("""COMPUTED_VALUE"""),2.6197303921568627)</f>
        <v>2.619730392</v>
      </c>
      <c r="Y1847" s="82">
        <f>IFERROR(__xludf.DUMMYFUNCTION("""COMPUTED_VALUE"""),346.82381535947724)</f>
        <v>346.8238154</v>
      </c>
      <c r="Z1847" s="82">
        <f>IFERROR(__xludf.DUMMYFUNCTION("""COMPUTED_VALUE"""),0.7968545751633987)</f>
        <v>0.7968545752</v>
      </c>
      <c r="AA1847" s="82">
        <f>IFERROR(__xludf.DUMMYFUNCTION("""COMPUTED_VALUE"""),0.5724673202614379)</f>
        <v>0.5724673203</v>
      </c>
      <c r="AB1847" s="82">
        <f>IFERROR(__xludf.DUMMYFUNCTION("""COMPUTED_VALUE"""),1.279207516339869)</f>
        <v>1.279207516</v>
      </c>
      <c r="AC1847" s="82">
        <f>IFERROR(__xludf.DUMMYFUNCTION("""COMPUTED_VALUE"""),2.65608660130719)</f>
        <v>2.656086601</v>
      </c>
      <c r="AD1847" s="82">
        <f>IFERROR(__xludf.DUMMYFUNCTION("""COMPUTED_VALUE"""),0.4670959513898711)</f>
        <v>0.4670959514</v>
      </c>
      <c r="AE1847" s="82">
        <f>IFERROR(__xludf.DUMMYFUNCTION("""COMPUTED_VALUE"""),0.0)</f>
        <v>0</v>
      </c>
      <c r="AF1847" s="82">
        <f>IFERROR(__xludf.DUMMYFUNCTION("""COMPUTED_VALUE"""),0.8734123019837307)</f>
        <v>0.873412302</v>
      </c>
      <c r="AG1847" s="82">
        <f>IFERROR(__xludf.DUMMYFUNCTION("""COMPUTED_VALUE"""),0.3908669966469744)</f>
        <v>0.3908669966</v>
      </c>
      <c r="AH1847" s="82">
        <f>IFERROR(__xludf.DUMMYFUNCTION("""COMPUTED_VALUE"""),0.18824687408683347)</f>
        <v>0.1882468741</v>
      </c>
      <c r="AI1847" s="82">
        <f>IFERROR(__xludf.DUMMYFUNCTION("""COMPUTED_VALUE"""),1.1911122095755122)</f>
        <v>1.19111221</v>
      </c>
      <c r="AJ1847" s="82">
        <f>IFERROR(__xludf.DUMMYFUNCTION("""COMPUTED_VALUE"""),1.1710677382319175)</f>
        <v>1.171067738</v>
      </c>
      <c r="AK1847" s="82">
        <f>IFERROR(__xludf.DUMMYFUNCTION("""COMPUTED_VALUE"""),1.8779342723004693)</f>
        <v>1.877934272</v>
      </c>
      <c r="AL1847" s="82">
        <f>IFERROR(__xludf.DUMMYFUNCTION("""COMPUTED_VALUE"""),1.3788442041230147)</f>
        <v>1.378844204</v>
      </c>
      <c r="AM1847" s="82">
        <f>IFERROR(__xludf.DUMMYFUNCTION("""COMPUTED_VALUE"""),0.9542966739954156)</f>
        <v>0.954296674</v>
      </c>
      <c r="AN1847" s="82">
        <f>IFERROR(__xludf.DUMMYFUNCTION("""COMPUTED_VALUE"""),0.4779594113189744)</f>
        <v>0.4779594113</v>
      </c>
      <c r="AO1847" s="82">
        <f>IFERROR(__xludf.DUMMYFUNCTION("""COMPUTED_VALUE"""),0.0)</f>
        <v>0</v>
      </c>
      <c r="AP1847" s="82">
        <f>IFERROR(__xludf.DUMMYFUNCTION("""COMPUTED_VALUE"""),0.8928190683098591)</f>
        <v>0.8928190683</v>
      </c>
      <c r="AQ1847" s="82">
        <f>IFERROR(__xludf.DUMMYFUNCTION("""COMPUTED_VALUE"""),0.38155264079993084)</f>
        <v>0.3815526408</v>
      </c>
      <c r="AR1847" s="82">
        <f>IFERROR(__xludf.DUMMYFUNCTION("""COMPUTED_VALUE"""),0.20077534697227162)</f>
        <v>0.200775347</v>
      </c>
      <c r="AS1847" s="82">
        <f>IFERROR(__xludf.DUMMYFUNCTION("""COMPUTED_VALUE"""),2.0)</f>
        <v>2</v>
      </c>
      <c r="AT1847" s="82">
        <f>IFERROR(__xludf.DUMMYFUNCTION("""COMPUTED_VALUE"""),0.1630859559789061)</f>
        <v>0.163085956</v>
      </c>
      <c r="AU1847" s="82">
        <f>IFERROR(__xludf.DUMMYFUNCTION("""COMPUTED_VALUE"""),-0.39509863376339754)</f>
        <v>-0.3950986338</v>
      </c>
      <c r="AV1847" s="82">
        <f>IFERROR(__xludf.DUMMYFUNCTION("""COMPUTED_VALUE"""),-34.47214091923779)</f>
        <v>-34.47214092</v>
      </c>
      <c r="AW1847" s="82">
        <f t="shared" si="1"/>
        <v>-2747.997222</v>
      </c>
      <c r="AX1847" s="83">
        <f t="array" ref="AX1847">IFERROR(DGET('SBV Import'!A:G,"SBV",{"RSC ID","Tier";B1847,A1847}))</f>
        <v>-24.86469518</v>
      </c>
      <c r="AY1847" s="82">
        <f t="shared" si="2"/>
        <v>-727.7598162</v>
      </c>
      <c r="AZ1847" s="82">
        <v>2020.2374056229505</v>
      </c>
      <c r="BA1847" s="84">
        <v>1700.0</v>
      </c>
      <c r="BB1847" s="84" t="b">
        <f>IFERROR(__xludf.DUMMYFUNCTION("iferror(if(A1847="""",,E1847&gt;=FILTER(Constants!$F$2:$F$10,Constants!$A$2:$A$10=A1847)))"),TRUE)</f>
        <v>1</v>
      </c>
    </row>
    <row r="1848">
      <c r="A1848" s="89"/>
      <c r="B1848" s="87"/>
      <c r="C1848" s="73"/>
      <c r="D1848" s="73"/>
      <c r="E1848" s="82"/>
      <c r="F1848" s="82"/>
      <c r="G1848" s="86"/>
      <c r="H1848" s="86"/>
      <c r="I1848" s="86"/>
      <c r="J1848" s="82"/>
      <c r="K1848" s="82"/>
      <c r="L1848" s="82"/>
      <c r="M1848" s="82"/>
      <c r="N1848" s="82"/>
      <c r="O1848" s="82"/>
      <c r="P1848" s="82"/>
      <c r="Q1848" s="82"/>
      <c r="R1848" s="82"/>
      <c r="S1848" s="82"/>
      <c r="T1848" s="82"/>
      <c r="U1848" s="82"/>
      <c r="V1848" s="82"/>
      <c r="W1848" s="82"/>
      <c r="X1848" s="82"/>
      <c r="Y1848" s="82"/>
      <c r="Z1848" s="82"/>
      <c r="AA1848" s="82"/>
      <c r="AB1848" s="82"/>
      <c r="AC1848" s="82"/>
      <c r="AD1848" s="82"/>
      <c r="AE1848" s="82"/>
      <c r="AF1848" s="82"/>
      <c r="AG1848" s="82"/>
      <c r="AH1848" s="82"/>
      <c r="AI1848" s="82"/>
      <c r="AJ1848" s="82"/>
      <c r="AK1848" s="82"/>
      <c r="AL1848" s="82"/>
      <c r="AM1848" s="82"/>
      <c r="AN1848" s="82">
        <f>IFERROR(__xludf.DUMMYFUNCTION("""COMPUTED_VALUE"""),0.0)</f>
        <v>0</v>
      </c>
      <c r="AO1848" s="82">
        <f>IFERROR(__xludf.DUMMYFUNCTION("""COMPUTED_VALUE"""),0.0)</f>
        <v>0</v>
      </c>
      <c r="AP1848" s="82">
        <f>IFERROR(__xludf.DUMMYFUNCTION("""COMPUTED_VALUE"""),0.0)</f>
        <v>0</v>
      </c>
      <c r="AQ1848" s="82">
        <f>IFERROR(__xludf.DUMMYFUNCTION("""COMPUTED_VALUE"""),0.0)</f>
        <v>0</v>
      </c>
      <c r="AR1848" s="82">
        <f>IFERROR(__xludf.DUMMYFUNCTION("""COMPUTED_VALUE"""),0.0)</f>
        <v>0</v>
      </c>
      <c r="AS1848" s="82"/>
      <c r="AT1848" s="82">
        <f>IFERROR(__xludf.DUMMYFUNCTION("""COMPUTED_VALUE"""),0.0)</f>
        <v>0</v>
      </c>
      <c r="AU1848" s="82"/>
      <c r="AV1848" s="82"/>
      <c r="AW1848" s="82" t="str">
        <f t="shared" si="1"/>
        <v/>
      </c>
      <c r="AX1848" s="83" t="str">
        <f t="array" ref="AX1848">IFERROR(DGET('SBV Import'!A:G,"SBV",{"RSC ID","Tier";B1848,A1848}))</f>
        <v/>
      </c>
      <c r="AY1848" s="82" t="str">
        <f t="shared" si="2"/>
        <v/>
      </c>
      <c r="AZ1848" s="82"/>
      <c r="BA1848" s="84" t="s">
        <v>152</v>
      </c>
      <c r="BB1848" s="84" t="str">
        <f>IFERROR(__xludf.DUMMYFUNCTION("iferror(if(A1848="""",,E1848&gt;=FILTER(Constants!$F$2:$F$10,Constants!$A$2:$A$10=A1848)))"),"")</f>
        <v/>
      </c>
    </row>
    <row r="1849">
      <c r="A1849" s="89"/>
      <c r="B1849" s="87"/>
      <c r="C1849" s="73"/>
      <c r="D1849" s="73"/>
      <c r="E1849" s="82"/>
      <c r="F1849" s="82"/>
      <c r="G1849" s="86"/>
      <c r="H1849" s="86"/>
      <c r="I1849" s="86"/>
      <c r="J1849" s="82"/>
      <c r="K1849" s="82"/>
      <c r="L1849" s="82"/>
      <c r="M1849" s="82"/>
      <c r="N1849" s="82"/>
      <c r="O1849" s="82"/>
      <c r="P1849" s="82"/>
      <c r="Q1849" s="82"/>
      <c r="R1849" s="82"/>
      <c r="S1849" s="82"/>
      <c r="T1849" s="82"/>
      <c r="U1849" s="82"/>
      <c r="V1849" s="82"/>
      <c r="W1849" s="82"/>
      <c r="X1849" s="82"/>
      <c r="Y1849" s="82"/>
      <c r="Z1849" s="82"/>
      <c r="AA1849" s="82"/>
      <c r="AB1849" s="82"/>
      <c r="AC1849" s="82"/>
      <c r="AD1849" s="82"/>
      <c r="AE1849" s="82"/>
      <c r="AF1849" s="82"/>
      <c r="AG1849" s="82"/>
      <c r="AH1849" s="82"/>
      <c r="AI1849" s="82"/>
      <c r="AJ1849" s="82"/>
      <c r="AK1849" s="82"/>
      <c r="AL1849" s="82"/>
      <c r="AM1849" s="82"/>
      <c r="AN1849" s="82">
        <f>IFERROR(__xludf.DUMMYFUNCTION("""COMPUTED_VALUE"""),0.0)</f>
        <v>0</v>
      </c>
      <c r="AO1849" s="82">
        <f>IFERROR(__xludf.DUMMYFUNCTION("""COMPUTED_VALUE"""),0.0)</f>
        <v>0</v>
      </c>
      <c r="AP1849" s="82">
        <f>IFERROR(__xludf.DUMMYFUNCTION("""COMPUTED_VALUE"""),0.0)</f>
        <v>0</v>
      </c>
      <c r="AQ1849" s="82">
        <f>IFERROR(__xludf.DUMMYFUNCTION("""COMPUTED_VALUE"""),0.0)</f>
        <v>0</v>
      </c>
      <c r="AR1849" s="82">
        <f>IFERROR(__xludf.DUMMYFUNCTION("""COMPUTED_VALUE"""),0.0)</f>
        <v>0</v>
      </c>
      <c r="AS1849" s="82"/>
      <c r="AT1849" s="82">
        <f>IFERROR(__xludf.DUMMYFUNCTION("""COMPUTED_VALUE"""),0.0)</f>
        <v>0</v>
      </c>
      <c r="AU1849" s="82"/>
      <c r="AV1849" s="82"/>
      <c r="AW1849" s="82" t="str">
        <f t="shared" si="1"/>
        <v/>
      </c>
      <c r="AX1849" s="83" t="str">
        <f t="array" ref="AX1849">IFERROR(DGET('SBV Import'!A:G,"SBV",{"RSC ID","Tier";B1849,A1849}))</f>
        <v/>
      </c>
      <c r="AY1849" s="82" t="str">
        <f t="shared" si="2"/>
        <v/>
      </c>
      <c r="AZ1849" s="82"/>
      <c r="BA1849" s="84" t="s">
        <v>152</v>
      </c>
      <c r="BB1849" s="84" t="str">
        <f>IFERROR(__xludf.DUMMYFUNCTION("iferror(if(A1849="""",,E1849&gt;=FILTER(Constants!$F$2:$F$10,Constants!$A$2:$A$10=A1849)))"),"")</f>
        <v/>
      </c>
    </row>
    <row r="1850">
      <c r="A1850" s="89"/>
      <c r="B1850" s="87"/>
      <c r="C1850" s="73"/>
      <c r="D1850" s="73"/>
      <c r="E1850" s="82"/>
      <c r="F1850" s="82"/>
      <c r="G1850" s="86"/>
      <c r="H1850" s="86"/>
      <c r="I1850" s="86"/>
      <c r="J1850" s="82"/>
      <c r="K1850" s="82"/>
      <c r="L1850" s="82"/>
      <c r="M1850" s="82"/>
      <c r="N1850" s="82"/>
      <c r="O1850" s="82"/>
      <c r="P1850" s="82"/>
      <c r="Q1850" s="82"/>
      <c r="R1850" s="82"/>
      <c r="S1850" s="82"/>
      <c r="T1850" s="82"/>
      <c r="U1850" s="82"/>
      <c r="V1850" s="82"/>
      <c r="W1850" s="82"/>
      <c r="X1850" s="82"/>
      <c r="Y1850" s="82"/>
      <c r="Z1850" s="82"/>
      <c r="AA1850" s="82"/>
      <c r="AB1850" s="82"/>
      <c r="AC1850" s="82"/>
      <c r="AD1850" s="82"/>
      <c r="AE1850" s="82"/>
      <c r="AF1850" s="82"/>
      <c r="AG1850" s="82"/>
      <c r="AH1850" s="82"/>
      <c r="AI1850" s="82"/>
      <c r="AJ1850" s="82"/>
      <c r="AK1850" s="82"/>
      <c r="AL1850" s="82"/>
      <c r="AM1850" s="82"/>
      <c r="AN1850" s="82">
        <f>IFERROR(__xludf.DUMMYFUNCTION("""COMPUTED_VALUE"""),0.0)</f>
        <v>0</v>
      </c>
      <c r="AO1850" s="82">
        <f>IFERROR(__xludf.DUMMYFUNCTION("""COMPUTED_VALUE"""),0.0)</f>
        <v>0</v>
      </c>
      <c r="AP1850" s="82">
        <f>IFERROR(__xludf.DUMMYFUNCTION("""COMPUTED_VALUE"""),0.0)</f>
        <v>0</v>
      </c>
      <c r="AQ1850" s="82">
        <f>IFERROR(__xludf.DUMMYFUNCTION("""COMPUTED_VALUE"""),0.0)</f>
        <v>0</v>
      </c>
      <c r="AR1850" s="82">
        <f>IFERROR(__xludf.DUMMYFUNCTION("""COMPUTED_VALUE"""),0.0)</f>
        <v>0</v>
      </c>
      <c r="AS1850" s="82"/>
      <c r="AT1850" s="82">
        <f>IFERROR(__xludf.DUMMYFUNCTION("""COMPUTED_VALUE"""),0.0)</f>
        <v>0</v>
      </c>
      <c r="AU1850" s="82"/>
      <c r="AV1850" s="82"/>
      <c r="AW1850" s="82" t="str">
        <f t="shared" si="1"/>
        <v/>
      </c>
      <c r="AX1850" s="83" t="str">
        <f t="array" ref="AX1850">IFERROR(DGET('SBV Import'!A:G,"SBV",{"RSC ID","Tier";B1850,A1850}))</f>
        <v/>
      </c>
      <c r="AY1850" s="82" t="str">
        <f t="shared" si="2"/>
        <v/>
      </c>
      <c r="AZ1850" s="82"/>
      <c r="BA1850" s="84" t="s">
        <v>152</v>
      </c>
      <c r="BB1850" s="84" t="str">
        <f>IFERROR(__xludf.DUMMYFUNCTION("iferror(if(A1850="""",,E1850&gt;=FILTER(Constants!$F$2:$F$10,Constants!$A$2:$A$10=A1850)))"),"")</f>
        <v/>
      </c>
    </row>
    <row r="1851">
      <c r="A1851" s="89"/>
      <c r="B1851" s="87"/>
      <c r="C1851" s="73"/>
      <c r="D1851" s="73"/>
      <c r="E1851" s="82"/>
      <c r="F1851" s="82"/>
      <c r="G1851" s="86"/>
      <c r="H1851" s="86"/>
      <c r="I1851" s="86"/>
      <c r="J1851" s="82"/>
      <c r="K1851" s="82"/>
      <c r="L1851" s="82"/>
      <c r="M1851" s="82"/>
      <c r="N1851" s="82"/>
      <c r="O1851" s="82"/>
      <c r="P1851" s="82"/>
      <c r="Q1851" s="82"/>
      <c r="R1851" s="82"/>
      <c r="S1851" s="82"/>
      <c r="T1851" s="82"/>
      <c r="U1851" s="82"/>
      <c r="V1851" s="82"/>
      <c r="W1851" s="82"/>
      <c r="X1851" s="82"/>
      <c r="Y1851" s="82"/>
      <c r="Z1851" s="82"/>
      <c r="AA1851" s="82"/>
      <c r="AB1851" s="82"/>
      <c r="AC1851" s="82"/>
      <c r="AD1851" s="82"/>
      <c r="AE1851" s="82"/>
      <c r="AF1851" s="82"/>
      <c r="AG1851" s="82"/>
      <c r="AH1851" s="82"/>
      <c r="AI1851" s="82"/>
      <c r="AJ1851" s="82"/>
      <c r="AK1851" s="82"/>
      <c r="AL1851" s="82"/>
      <c r="AM1851" s="82"/>
      <c r="AN1851" s="82">
        <f>IFERROR(__xludf.DUMMYFUNCTION("""COMPUTED_VALUE"""),0.0)</f>
        <v>0</v>
      </c>
      <c r="AO1851" s="82">
        <f>IFERROR(__xludf.DUMMYFUNCTION("""COMPUTED_VALUE"""),0.0)</f>
        <v>0</v>
      </c>
      <c r="AP1851" s="82">
        <f>IFERROR(__xludf.DUMMYFUNCTION("""COMPUTED_VALUE"""),0.0)</f>
        <v>0</v>
      </c>
      <c r="AQ1851" s="82">
        <f>IFERROR(__xludf.DUMMYFUNCTION("""COMPUTED_VALUE"""),0.0)</f>
        <v>0</v>
      </c>
      <c r="AR1851" s="82">
        <f>IFERROR(__xludf.DUMMYFUNCTION("""COMPUTED_VALUE"""),0.0)</f>
        <v>0</v>
      </c>
      <c r="AS1851" s="82"/>
      <c r="AT1851" s="82">
        <f>IFERROR(__xludf.DUMMYFUNCTION("""COMPUTED_VALUE"""),0.0)</f>
        <v>0</v>
      </c>
      <c r="AU1851" s="82"/>
      <c r="AV1851" s="82"/>
      <c r="AW1851" s="82" t="str">
        <f t="shared" si="1"/>
        <v/>
      </c>
      <c r="AX1851" s="83" t="str">
        <f t="array" ref="AX1851">IFERROR(DGET('SBV Import'!A:G,"SBV",{"RSC ID","Tier";B1851,A1851}))</f>
        <v/>
      </c>
      <c r="AY1851" s="82" t="str">
        <f t="shared" si="2"/>
        <v/>
      </c>
      <c r="AZ1851" s="82"/>
      <c r="BA1851" s="84" t="s">
        <v>152</v>
      </c>
      <c r="BB1851" s="84" t="str">
        <f>IFERROR(__xludf.DUMMYFUNCTION("iferror(if(A1851="""",,E1851&gt;=FILTER(Constants!$F$2:$F$10,Constants!$A$2:$A$10=A1851)))"),"")</f>
        <v/>
      </c>
    </row>
    <row r="1852">
      <c r="A1852" s="89"/>
      <c r="B1852" s="87"/>
      <c r="C1852" s="73"/>
      <c r="D1852" s="73"/>
      <c r="E1852" s="82"/>
      <c r="F1852" s="82"/>
      <c r="G1852" s="86"/>
      <c r="H1852" s="86"/>
      <c r="I1852" s="86"/>
      <c r="J1852" s="82"/>
      <c r="K1852" s="82"/>
      <c r="L1852" s="82"/>
      <c r="M1852" s="82"/>
      <c r="N1852" s="82"/>
      <c r="O1852" s="82"/>
      <c r="P1852" s="82"/>
      <c r="Q1852" s="82"/>
      <c r="R1852" s="82"/>
      <c r="S1852" s="82"/>
      <c r="T1852" s="82"/>
      <c r="U1852" s="82"/>
      <c r="V1852" s="82"/>
      <c r="W1852" s="82"/>
      <c r="X1852" s="82"/>
      <c r="Y1852" s="82"/>
      <c r="Z1852" s="82"/>
      <c r="AA1852" s="82"/>
      <c r="AB1852" s="82"/>
      <c r="AC1852" s="82"/>
      <c r="AD1852" s="82"/>
      <c r="AE1852" s="82"/>
      <c r="AF1852" s="82"/>
      <c r="AG1852" s="82"/>
      <c r="AH1852" s="82"/>
      <c r="AI1852" s="82"/>
      <c r="AJ1852" s="82"/>
      <c r="AK1852" s="82"/>
      <c r="AL1852" s="82"/>
      <c r="AM1852" s="82"/>
      <c r="AN1852" s="82">
        <f>IFERROR(__xludf.DUMMYFUNCTION("""COMPUTED_VALUE"""),0.0)</f>
        <v>0</v>
      </c>
      <c r="AO1852" s="82">
        <f>IFERROR(__xludf.DUMMYFUNCTION("""COMPUTED_VALUE"""),0.0)</f>
        <v>0</v>
      </c>
      <c r="AP1852" s="82">
        <f>IFERROR(__xludf.DUMMYFUNCTION("""COMPUTED_VALUE"""),0.0)</f>
        <v>0</v>
      </c>
      <c r="AQ1852" s="82">
        <f>IFERROR(__xludf.DUMMYFUNCTION("""COMPUTED_VALUE"""),0.0)</f>
        <v>0</v>
      </c>
      <c r="AR1852" s="82">
        <f>IFERROR(__xludf.DUMMYFUNCTION("""COMPUTED_VALUE"""),0.0)</f>
        <v>0</v>
      </c>
      <c r="AS1852" s="82"/>
      <c r="AT1852" s="82">
        <f>IFERROR(__xludf.DUMMYFUNCTION("""COMPUTED_VALUE"""),0.0)</f>
        <v>0</v>
      </c>
      <c r="AU1852" s="82"/>
      <c r="AV1852" s="82"/>
      <c r="AW1852" s="82" t="str">
        <f t="shared" si="1"/>
        <v/>
      </c>
      <c r="AX1852" s="83" t="str">
        <f t="array" ref="AX1852">IFERROR(DGET('SBV Import'!A:G,"SBV",{"RSC ID","Tier";B1852,A1852}))</f>
        <v/>
      </c>
      <c r="AY1852" s="82" t="str">
        <f t="shared" si="2"/>
        <v/>
      </c>
      <c r="AZ1852" s="82"/>
      <c r="BA1852" s="84" t="s">
        <v>152</v>
      </c>
      <c r="BB1852" s="84" t="str">
        <f>IFERROR(__xludf.DUMMYFUNCTION("iferror(if(A1852="""",,E1852&gt;=FILTER(Constants!$F$2:$F$10,Constants!$A$2:$A$10=A1852)))"),"")</f>
        <v/>
      </c>
    </row>
    <row r="1853">
      <c r="A1853" s="89"/>
      <c r="B1853" s="87"/>
      <c r="C1853" s="73"/>
      <c r="D1853" s="73"/>
      <c r="E1853" s="82"/>
      <c r="F1853" s="82"/>
      <c r="G1853" s="86"/>
      <c r="H1853" s="86"/>
      <c r="I1853" s="86"/>
      <c r="J1853" s="82"/>
      <c r="K1853" s="82"/>
      <c r="L1853" s="82"/>
      <c r="M1853" s="82"/>
      <c r="N1853" s="82"/>
      <c r="O1853" s="82"/>
      <c r="P1853" s="82"/>
      <c r="Q1853" s="82"/>
      <c r="R1853" s="82"/>
      <c r="S1853" s="82"/>
      <c r="T1853" s="82"/>
      <c r="U1853" s="82"/>
      <c r="V1853" s="82"/>
      <c r="W1853" s="82"/>
      <c r="X1853" s="82"/>
      <c r="Y1853" s="82"/>
      <c r="Z1853" s="82"/>
      <c r="AA1853" s="82"/>
      <c r="AB1853" s="82"/>
      <c r="AC1853" s="82"/>
      <c r="AD1853" s="82"/>
      <c r="AE1853" s="82"/>
      <c r="AF1853" s="82"/>
      <c r="AG1853" s="82"/>
      <c r="AH1853" s="82"/>
      <c r="AI1853" s="82"/>
      <c r="AJ1853" s="82"/>
      <c r="AK1853" s="82"/>
      <c r="AL1853" s="82"/>
      <c r="AM1853" s="82"/>
      <c r="AN1853" s="82">
        <f>IFERROR(__xludf.DUMMYFUNCTION("""COMPUTED_VALUE"""),0.0)</f>
        <v>0</v>
      </c>
      <c r="AO1853" s="82">
        <f>IFERROR(__xludf.DUMMYFUNCTION("""COMPUTED_VALUE"""),0.0)</f>
        <v>0</v>
      </c>
      <c r="AP1853" s="82">
        <f>IFERROR(__xludf.DUMMYFUNCTION("""COMPUTED_VALUE"""),0.0)</f>
        <v>0</v>
      </c>
      <c r="AQ1853" s="82">
        <f>IFERROR(__xludf.DUMMYFUNCTION("""COMPUTED_VALUE"""),0.0)</f>
        <v>0</v>
      </c>
      <c r="AR1853" s="82">
        <f>IFERROR(__xludf.DUMMYFUNCTION("""COMPUTED_VALUE"""),0.0)</f>
        <v>0</v>
      </c>
      <c r="AS1853" s="82"/>
      <c r="AT1853" s="82">
        <f>IFERROR(__xludf.DUMMYFUNCTION("""COMPUTED_VALUE"""),0.0)</f>
        <v>0</v>
      </c>
      <c r="AU1853" s="82"/>
      <c r="AV1853" s="82"/>
      <c r="AW1853" s="82" t="str">
        <f t="shared" si="1"/>
        <v/>
      </c>
      <c r="AX1853" s="83" t="str">
        <f t="array" ref="AX1853">IFERROR(DGET('SBV Import'!A:G,"SBV",{"RSC ID","Tier";B1853,A1853}))</f>
        <v/>
      </c>
      <c r="AY1853" s="82" t="str">
        <f t="shared" si="2"/>
        <v/>
      </c>
      <c r="AZ1853" s="82"/>
      <c r="BA1853" s="84" t="s">
        <v>152</v>
      </c>
      <c r="BB1853" s="84" t="str">
        <f>IFERROR(__xludf.DUMMYFUNCTION("iferror(if(A1853="""",,E1853&gt;=FILTER(Constants!$F$2:$F$10,Constants!$A$2:$A$10=A1853)))"),"")</f>
        <v/>
      </c>
    </row>
    <row r="1854">
      <c r="A1854" s="89"/>
      <c r="B1854" s="87"/>
      <c r="C1854" s="73"/>
      <c r="D1854" s="73"/>
      <c r="E1854" s="82"/>
      <c r="F1854" s="82"/>
      <c r="G1854" s="86"/>
      <c r="H1854" s="86"/>
      <c r="I1854" s="86"/>
      <c r="J1854" s="82"/>
      <c r="K1854" s="82"/>
      <c r="L1854" s="82"/>
      <c r="M1854" s="82"/>
      <c r="N1854" s="82"/>
      <c r="O1854" s="82"/>
      <c r="P1854" s="82"/>
      <c r="Q1854" s="82"/>
      <c r="R1854" s="82"/>
      <c r="S1854" s="82"/>
      <c r="T1854" s="82"/>
      <c r="U1854" s="82"/>
      <c r="V1854" s="82"/>
      <c r="W1854" s="82"/>
      <c r="X1854" s="82"/>
      <c r="Y1854" s="82"/>
      <c r="Z1854" s="82"/>
      <c r="AA1854" s="82"/>
      <c r="AB1854" s="82"/>
      <c r="AC1854" s="82"/>
      <c r="AD1854" s="82"/>
      <c r="AE1854" s="82"/>
      <c r="AF1854" s="82"/>
      <c r="AG1854" s="82"/>
      <c r="AH1854" s="82"/>
      <c r="AI1854" s="82"/>
      <c r="AJ1854" s="82"/>
      <c r="AK1854" s="82"/>
      <c r="AL1854" s="82"/>
      <c r="AM1854" s="82"/>
      <c r="AN1854" s="82">
        <f>IFERROR(__xludf.DUMMYFUNCTION("""COMPUTED_VALUE"""),0.0)</f>
        <v>0</v>
      </c>
      <c r="AO1854" s="82">
        <f>IFERROR(__xludf.DUMMYFUNCTION("""COMPUTED_VALUE"""),0.0)</f>
        <v>0</v>
      </c>
      <c r="AP1854" s="82">
        <f>IFERROR(__xludf.DUMMYFUNCTION("""COMPUTED_VALUE"""),0.0)</f>
        <v>0</v>
      </c>
      <c r="AQ1854" s="82">
        <f>IFERROR(__xludf.DUMMYFUNCTION("""COMPUTED_VALUE"""),0.0)</f>
        <v>0</v>
      </c>
      <c r="AR1854" s="82">
        <f>IFERROR(__xludf.DUMMYFUNCTION("""COMPUTED_VALUE"""),0.0)</f>
        <v>0</v>
      </c>
      <c r="AS1854" s="82"/>
      <c r="AT1854" s="82">
        <f>IFERROR(__xludf.DUMMYFUNCTION("""COMPUTED_VALUE"""),0.0)</f>
        <v>0</v>
      </c>
      <c r="AU1854" s="82"/>
      <c r="AV1854" s="82"/>
      <c r="AW1854" s="82" t="str">
        <f t="shared" si="1"/>
        <v/>
      </c>
      <c r="AX1854" s="83" t="str">
        <f t="array" ref="AX1854">IFERROR(DGET('SBV Import'!A:G,"SBV",{"RSC ID","Tier";B1854,A1854}))</f>
        <v/>
      </c>
      <c r="AY1854" s="82" t="str">
        <f t="shared" si="2"/>
        <v/>
      </c>
      <c r="AZ1854" s="82"/>
      <c r="BA1854" s="84" t="s">
        <v>152</v>
      </c>
      <c r="BB1854" s="84" t="str">
        <f>IFERROR(__xludf.DUMMYFUNCTION("iferror(if(A1854="""",,E1854&gt;=FILTER(Constants!$F$2:$F$10,Constants!$A$2:$A$10=A1854)))"),"")</f>
        <v/>
      </c>
    </row>
    <row r="1855">
      <c r="A1855" s="89"/>
      <c r="B1855" s="87"/>
      <c r="C1855" s="73"/>
      <c r="D1855" s="73"/>
      <c r="E1855" s="82"/>
      <c r="F1855" s="82"/>
      <c r="G1855" s="86"/>
      <c r="H1855" s="86"/>
      <c r="I1855" s="86"/>
      <c r="J1855" s="82"/>
      <c r="K1855" s="82"/>
      <c r="L1855" s="82"/>
      <c r="M1855" s="82"/>
      <c r="N1855" s="82"/>
      <c r="O1855" s="82"/>
      <c r="P1855" s="82"/>
      <c r="Q1855" s="82"/>
      <c r="R1855" s="82"/>
      <c r="S1855" s="82"/>
      <c r="T1855" s="82"/>
      <c r="U1855" s="82"/>
      <c r="V1855" s="82"/>
      <c r="W1855" s="82"/>
      <c r="X1855" s="82"/>
      <c r="Y1855" s="82"/>
      <c r="Z1855" s="82"/>
      <c r="AA1855" s="82"/>
      <c r="AB1855" s="82"/>
      <c r="AC1855" s="82"/>
      <c r="AD1855" s="82"/>
      <c r="AE1855" s="82"/>
      <c r="AF1855" s="82"/>
      <c r="AG1855" s="82"/>
      <c r="AH1855" s="82"/>
      <c r="AI1855" s="82"/>
      <c r="AJ1855" s="82"/>
      <c r="AK1855" s="82"/>
      <c r="AL1855" s="82"/>
      <c r="AM1855" s="82"/>
      <c r="AN1855" s="82">
        <f>IFERROR(__xludf.DUMMYFUNCTION("""COMPUTED_VALUE"""),0.0)</f>
        <v>0</v>
      </c>
      <c r="AO1855" s="82">
        <f>IFERROR(__xludf.DUMMYFUNCTION("""COMPUTED_VALUE"""),0.0)</f>
        <v>0</v>
      </c>
      <c r="AP1855" s="82">
        <f>IFERROR(__xludf.DUMMYFUNCTION("""COMPUTED_VALUE"""),0.0)</f>
        <v>0</v>
      </c>
      <c r="AQ1855" s="82">
        <f>IFERROR(__xludf.DUMMYFUNCTION("""COMPUTED_VALUE"""),0.0)</f>
        <v>0</v>
      </c>
      <c r="AR1855" s="82">
        <f>IFERROR(__xludf.DUMMYFUNCTION("""COMPUTED_VALUE"""),0.0)</f>
        <v>0</v>
      </c>
      <c r="AS1855" s="82"/>
      <c r="AT1855" s="82">
        <f>IFERROR(__xludf.DUMMYFUNCTION("""COMPUTED_VALUE"""),0.0)</f>
        <v>0</v>
      </c>
      <c r="AU1855" s="82"/>
      <c r="AV1855" s="82"/>
      <c r="AW1855" s="82" t="str">
        <f t="shared" si="1"/>
        <v/>
      </c>
      <c r="AX1855" s="83" t="str">
        <f t="array" ref="AX1855">IFERROR(DGET('SBV Import'!A:G,"SBV",{"RSC ID","Tier";B1855,A1855}))</f>
        <v/>
      </c>
      <c r="AY1855" s="82" t="str">
        <f t="shared" si="2"/>
        <v/>
      </c>
      <c r="AZ1855" s="82"/>
      <c r="BA1855" s="84" t="s">
        <v>152</v>
      </c>
      <c r="BB1855" s="84" t="str">
        <f>IFERROR(__xludf.DUMMYFUNCTION("iferror(if(A1855="""",,E1855&gt;=FILTER(Constants!$F$2:$F$10,Constants!$A$2:$A$10=A1855)))"),"")</f>
        <v/>
      </c>
    </row>
    <row r="1856">
      <c r="A1856" s="89"/>
      <c r="B1856" s="87"/>
      <c r="C1856" s="73"/>
      <c r="D1856" s="73"/>
      <c r="E1856" s="82"/>
      <c r="F1856" s="82"/>
      <c r="G1856" s="86"/>
      <c r="H1856" s="86"/>
      <c r="I1856" s="86"/>
      <c r="J1856" s="82"/>
      <c r="K1856" s="82"/>
      <c r="L1856" s="82"/>
      <c r="M1856" s="82"/>
      <c r="N1856" s="82"/>
      <c r="O1856" s="82"/>
      <c r="P1856" s="82"/>
      <c r="Q1856" s="82"/>
      <c r="R1856" s="82"/>
      <c r="S1856" s="82"/>
      <c r="T1856" s="82"/>
      <c r="U1856" s="82"/>
      <c r="V1856" s="82"/>
      <c r="W1856" s="82"/>
      <c r="X1856" s="82"/>
      <c r="Y1856" s="82"/>
      <c r="Z1856" s="82"/>
      <c r="AA1856" s="82"/>
      <c r="AB1856" s="82"/>
      <c r="AC1856" s="82"/>
      <c r="AD1856" s="82"/>
      <c r="AE1856" s="82"/>
      <c r="AF1856" s="82"/>
      <c r="AG1856" s="82"/>
      <c r="AH1856" s="82"/>
      <c r="AI1856" s="82"/>
      <c r="AJ1856" s="82"/>
      <c r="AK1856" s="82"/>
      <c r="AL1856" s="82"/>
      <c r="AM1856" s="82"/>
      <c r="AN1856" s="82">
        <f>IFERROR(__xludf.DUMMYFUNCTION("""COMPUTED_VALUE"""),0.0)</f>
        <v>0</v>
      </c>
      <c r="AO1856" s="82">
        <f>IFERROR(__xludf.DUMMYFUNCTION("""COMPUTED_VALUE"""),0.0)</f>
        <v>0</v>
      </c>
      <c r="AP1856" s="82">
        <f>IFERROR(__xludf.DUMMYFUNCTION("""COMPUTED_VALUE"""),0.0)</f>
        <v>0</v>
      </c>
      <c r="AQ1856" s="82">
        <f>IFERROR(__xludf.DUMMYFUNCTION("""COMPUTED_VALUE"""),0.0)</f>
        <v>0</v>
      </c>
      <c r="AR1856" s="82">
        <f>IFERROR(__xludf.DUMMYFUNCTION("""COMPUTED_VALUE"""),0.0)</f>
        <v>0</v>
      </c>
      <c r="AS1856" s="82"/>
      <c r="AT1856" s="82">
        <f>IFERROR(__xludf.DUMMYFUNCTION("""COMPUTED_VALUE"""),0.0)</f>
        <v>0</v>
      </c>
      <c r="AU1856" s="82"/>
      <c r="AV1856" s="82"/>
      <c r="AW1856" s="82" t="str">
        <f t="shared" si="1"/>
        <v/>
      </c>
      <c r="AX1856" s="83" t="str">
        <f t="array" ref="AX1856">IFERROR(DGET('SBV Import'!A:G,"SBV",{"RSC ID","Tier";B1856,A1856}))</f>
        <v/>
      </c>
      <c r="AY1856" s="82" t="str">
        <f t="shared" si="2"/>
        <v/>
      </c>
      <c r="AZ1856" s="82"/>
      <c r="BA1856" s="84" t="s">
        <v>152</v>
      </c>
      <c r="BB1856" s="84" t="str">
        <f>IFERROR(__xludf.DUMMYFUNCTION("iferror(if(A1856="""",,E1856&gt;=FILTER(Constants!$F$2:$F$10,Constants!$A$2:$A$10=A1856)))"),"")</f>
        <v/>
      </c>
    </row>
    <row r="1857">
      <c r="A1857" s="89"/>
      <c r="B1857" s="87"/>
      <c r="C1857" s="73"/>
      <c r="D1857" s="73"/>
      <c r="E1857" s="82"/>
      <c r="F1857" s="82"/>
      <c r="G1857" s="86"/>
      <c r="H1857" s="86"/>
      <c r="I1857" s="86"/>
      <c r="J1857" s="82"/>
      <c r="K1857" s="82"/>
      <c r="L1857" s="82"/>
      <c r="M1857" s="82"/>
      <c r="N1857" s="82"/>
      <c r="O1857" s="82"/>
      <c r="P1857" s="82"/>
      <c r="Q1857" s="82"/>
      <c r="R1857" s="82"/>
      <c r="S1857" s="82"/>
      <c r="T1857" s="82"/>
      <c r="U1857" s="82"/>
      <c r="V1857" s="82"/>
      <c r="W1857" s="82"/>
      <c r="X1857" s="82"/>
      <c r="Y1857" s="82"/>
      <c r="Z1857" s="82"/>
      <c r="AA1857" s="82"/>
      <c r="AB1857" s="82"/>
      <c r="AC1857" s="82"/>
      <c r="AD1857" s="82"/>
      <c r="AE1857" s="82"/>
      <c r="AF1857" s="82"/>
      <c r="AG1857" s="82"/>
      <c r="AH1857" s="82"/>
      <c r="AI1857" s="82"/>
      <c r="AJ1857" s="82"/>
      <c r="AK1857" s="82"/>
      <c r="AL1857" s="82"/>
      <c r="AM1857" s="82"/>
      <c r="AN1857" s="82">
        <f>IFERROR(__xludf.DUMMYFUNCTION("""COMPUTED_VALUE"""),0.0)</f>
        <v>0</v>
      </c>
      <c r="AO1857" s="82">
        <f>IFERROR(__xludf.DUMMYFUNCTION("""COMPUTED_VALUE"""),0.0)</f>
        <v>0</v>
      </c>
      <c r="AP1857" s="82">
        <f>IFERROR(__xludf.DUMMYFUNCTION("""COMPUTED_VALUE"""),0.0)</f>
        <v>0</v>
      </c>
      <c r="AQ1857" s="82">
        <f>IFERROR(__xludf.DUMMYFUNCTION("""COMPUTED_VALUE"""),0.0)</f>
        <v>0</v>
      </c>
      <c r="AR1857" s="82">
        <f>IFERROR(__xludf.DUMMYFUNCTION("""COMPUTED_VALUE"""),0.0)</f>
        <v>0</v>
      </c>
      <c r="AS1857" s="82"/>
      <c r="AT1857" s="82">
        <f>IFERROR(__xludf.DUMMYFUNCTION("""COMPUTED_VALUE"""),0.0)</f>
        <v>0</v>
      </c>
      <c r="AU1857" s="82"/>
      <c r="AV1857" s="82"/>
      <c r="AW1857" s="82" t="str">
        <f t="shared" si="1"/>
        <v/>
      </c>
      <c r="AX1857" s="83" t="str">
        <f t="array" ref="AX1857">IFERROR(DGET('SBV Import'!A:G,"SBV",{"RSC ID","Tier";B1857,A1857}))</f>
        <v/>
      </c>
      <c r="AY1857" s="82" t="str">
        <f t="shared" si="2"/>
        <v/>
      </c>
      <c r="AZ1857" s="82"/>
      <c r="BA1857" s="84" t="s">
        <v>152</v>
      </c>
      <c r="BB1857" s="84" t="str">
        <f>IFERROR(__xludf.DUMMYFUNCTION("iferror(if(A1857="""",,E1857&gt;=FILTER(Constants!$F$2:$F$10,Constants!$A$2:$A$10=A1857)))"),"")</f>
        <v/>
      </c>
    </row>
    <row r="1858">
      <c r="A1858" s="89"/>
      <c r="B1858" s="87"/>
      <c r="C1858" s="73"/>
      <c r="D1858" s="73"/>
      <c r="E1858" s="82"/>
      <c r="F1858" s="82"/>
      <c r="G1858" s="86"/>
      <c r="H1858" s="86"/>
      <c r="I1858" s="86"/>
      <c r="J1858" s="82"/>
      <c r="K1858" s="82"/>
      <c r="L1858" s="82"/>
      <c r="M1858" s="82"/>
      <c r="N1858" s="82"/>
      <c r="O1858" s="82"/>
      <c r="P1858" s="82"/>
      <c r="Q1858" s="82"/>
      <c r="R1858" s="82"/>
      <c r="S1858" s="82"/>
      <c r="T1858" s="82"/>
      <c r="U1858" s="82"/>
      <c r="V1858" s="82"/>
      <c r="W1858" s="82"/>
      <c r="X1858" s="82"/>
      <c r="Y1858" s="82"/>
      <c r="Z1858" s="82"/>
      <c r="AA1858" s="82"/>
      <c r="AB1858" s="82"/>
      <c r="AC1858" s="82"/>
      <c r="AD1858" s="82"/>
      <c r="AE1858" s="82"/>
      <c r="AF1858" s="82"/>
      <c r="AG1858" s="82"/>
      <c r="AH1858" s="82"/>
      <c r="AI1858" s="82"/>
      <c r="AJ1858" s="82"/>
      <c r="AK1858" s="82"/>
      <c r="AL1858" s="82"/>
      <c r="AM1858" s="82"/>
      <c r="AN1858" s="82">
        <f>IFERROR(__xludf.DUMMYFUNCTION("""COMPUTED_VALUE"""),0.0)</f>
        <v>0</v>
      </c>
      <c r="AO1858" s="82">
        <f>IFERROR(__xludf.DUMMYFUNCTION("""COMPUTED_VALUE"""),0.0)</f>
        <v>0</v>
      </c>
      <c r="AP1858" s="82">
        <f>IFERROR(__xludf.DUMMYFUNCTION("""COMPUTED_VALUE"""),0.0)</f>
        <v>0</v>
      </c>
      <c r="AQ1858" s="82">
        <f>IFERROR(__xludf.DUMMYFUNCTION("""COMPUTED_VALUE"""),0.0)</f>
        <v>0</v>
      </c>
      <c r="AR1858" s="82">
        <f>IFERROR(__xludf.DUMMYFUNCTION("""COMPUTED_VALUE"""),0.0)</f>
        <v>0</v>
      </c>
      <c r="AS1858" s="82"/>
      <c r="AT1858" s="82">
        <f>IFERROR(__xludf.DUMMYFUNCTION("""COMPUTED_VALUE"""),0.0)</f>
        <v>0</v>
      </c>
      <c r="AU1858" s="82"/>
      <c r="AV1858" s="82"/>
      <c r="AW1858" s="82" t="str">
        <f t="shared" si="1"/>
        <v/>
      </c>
      <c r="AX1858" s="83" t="str">
        <f t="array" ref="AX1858">IFERROR(DGET('SBV Import'!A:G,"SBV",{"RSC ID","Tier";B1858,A1858}))</f>
        <v/>
      </c>
      <c r="AY1858" s="82" t="str">
        <f t="shared" si="2"/>
        <v/>
      </c>
      <c r="AZ1858" s="82"/>
      <c r="BA1858" s="84" t="s">
        <v>152</v>
      </c>
      <c r="BB1858" s="84" t="str">
        <f>IFERROR(__xludf.DUMMYFUNCTION("iferror(if(A1858="""",,E1858&gt;=FILTER(Constants!$F$2:$F$10,Constants!$A$2:$A$10=A1858)))"),"")</f>
        <v/>
      </c>
    </row>
    <row r="1859">
      <c r="A1859" s="89"/>
      <c r="B1859" s="87"/>
      <c r="C1859" s="73"/>
      <c r="D1859" s="73"/>
      <c r="E1859" s="82"/>
      <c r="F1859" s="82"/>
      <c r="G1859" s="86"/>
      <c r="H1859" s="86"/>
      <c r="I1859" s="86"/>
      <c r="J1859" s="82"/>
      <c r="K1859" s="82"/>
      <c r="L1859" s="82"/>
      <c r="M1859" s="82"/>
      <c r="N1859" s="82"/>
      <c r="O1859" s="82"/>
      <c r="P1859" s="82"/>
      <c r="Q1859" s="82"/>
      <c r="R1859" s="82"/>
      <c r="S1859" s="82"/>
      <c r="T1859" s="82"/>
      <c r="U1859" s="82"/>
      <c r="V1859" s="82"/>
      <c r="W1859" s="82"/>
      <c r="X1859" s="82"/>
      <c r="Y1859" s="82"/>
      <c r="Z1859" s="82"/>
      <c r="AA1859" s="82"/>
      <c r="AB1859" s="82"/>
      <c r="AC1859" s="82"/>
      <c r="AD1859" s="82"/>
      <c r="AE1859" s="82"/>
      <c r="AF1859" s="82"/>
      <c r="AG1859" s="82"/>
      <c r="AH1859" s="82"/>
      <c r="AI1859" s="82"/>
      <c r="AJ1859" s="82"/>
      <c r="AK1859" s="82"/>
      <c r="AL1859" s="82"/>
      <c r="AM1859" s="82"/>
      <c r="AN1859" s="82">
        <f>IFERROR(__xludf.DUMMYFUNCTION("""COMPUTED_VALUE"""),0.0)</f>
        <v>0</v>
      </c>
      <c r="AO1859" s="82">
        <f>IFERROR(__xludf.DUMMYFUNCTION("""COMPUTED_VALUE"""),0.0)</f>
        <v>0</v>
      </c>
      <c r="AP1859" s="82">
        <f>IFERROR(__xludf.DUMMYFUNCTION("""COMPUTED_VALUE"""),0.0)</f>
        <v>0</v>
      </c>
      <c r="AQ1859" s="82">
        <f>IFERROR(__xludf.DUMMYFUNCTION("""COMPUTED_VALUE"""),0.0)</f>
        <v>0</v>
      </c>
      <c r="AR1859" s="82">
        <f>IFERROR(__xludf.DUMMYFUNCTION("""COMPUTED_VALUE"""),0.0)</f>
        <v>0</v>
      </c>
      <c r="AS1859" s="82"/>
      <c r="AT1859" s="82">
        <f>IFERROR(__xludf.DUMMYFUNCTION("""COMPUTED_VALUE"""),0.0)</f>
        <v>0</v>
      </c>
      <c r="AU1859" s="82"/>
      <c r="AV1859" s="82"/>
      <c r="AW1859" s="82" t="str">
        <f t="shared" si="1"/>
        <v/>
      </c>
      <c r="AX1859" s="83" t="str">
        <f t="array" ref="AX1859">IFERROR(DGET('SBV Import'!A:G,"SBV",{"RSC ID","Tier";B1859,A1859}))</f>
        <v/>
      </c>
      <c r="AY1859" s="82" t="str">
        <f t="shared" si="2"/>
        <v/>
      </c>
      <c r="AZ1859" s="82"/>
      <c r="BA1859" s="84" t="s">
        <v>152</v>
      </c>
      <c r="BB1859" s="84" t="str">
        <f>IFERROR(__xludf.DUMMYFUNCTION("iferror(if(A1859="""",,E1859&gt;=FILTER(Constants!$F$2:$F$10,Constants!$A$2:$A$10=A1859)))"),"")</f>
        <v/>
      </c>
    </row>
    <row r="1860">
      <c r="A1860" s="89"/>
      <c r="B1860" s="87"/>
      <c r="C1860" s="73"/>
      <c r="D1860" s="73"/>
      <c r="E1860" s="82"/>
      <c r="F1860" s="82"/>
      <c r="G1860" s="86"/>
      <c r="H1860" s="86"/>
      <c r="I1860" s="86"/>
      <c r="J1860" s="82"/>
      <c r="K1860" s="82"/>
      <c r="L1860" s="82"/>
      <c r="M1860" s="82"/>
      <c r="N1860" s="82"/>
      <c r="O1860" s="82"/>
      <c r="P1860" s="82"/>
      <c r="Q1860" s="82"/>
      <c r="R1860" s="82"/>
      <c r="S1860" s="82"/>
      <c r="T1860" s="82"/>
      <c r="U1860" s="82"/>
      <c r="V1860" s="82"/>
      <c r="W1860" s="82"/>
      <c r="X1860" s="82"/>
      <c r="Y1860" s="82"/>
      <c r="Z1860" s="82"/>
      <c r="AA1860" s="82"/>
      <c r="AB1860" s="82"/>
      <c r="AC1860" s="82"/>
      <c r="AD1860" s="82"/>
      <c r="AE1860" s="82"/>
      <c r="AF1860" s="82"/>
      <c r="AG1860" s="82"/>
      <c r="AH1860" s="82"/>
      <c r="AI1860" s="82"/>
      <c r="AJ1860" s="82"/>
      <c r="AK1860" s="82"/>
      <c r="AL1860" s="82"/>
      <c r="AM1860" s="82"/>
      <c r="AN1860" s="82">
        <f>IFERROR(__xludf.DUMMYFUNCTION("""COMPUTED_VALUE"""),0.0)</f>
        <v>0</v>
      </c>
      <c r="AO1860" s="82">
        <f>IFERROR(__xludf.DUMMYFUNCTION("""COMPUTED_VALUE"""),0.0)</f>
        <v>0</v>
      </c>
      <c r="AP1860" s="82">
        <f>IFERROR(__xludf.DUMMYFUNCTION("""COMPUTED_VALUE"""),0.0)</f>
        <v>0</v>
      </c>
      <c r="AQ1860" s="82">
        <f>IFERROR(__xludf.DUMMYFUNCTION("""COMPUTED_VALUE"""),0.0)</f>
        <v>0</v>
      </c>
      <c r="AR1860" s="82">
        <f>IFERROR(__xludf.DUMMYFUNCTION("""COMPUTED_VALUE"""),0.0)</f>
        <v>0</v>
      </c>
      <c r="AS1860" s="82"/>
      <c r="AT1860" s="82">
        <f>IFERROR(__xludf.DUMMYFUNCTION("""COMPUTED_VALUE"""),0.0)</f>
        <v>0</v>
      </c>
      <c r="AU1860" s="82"/>
      <c r="AV1860" s="82"/>
      <c r="AW1860" s="82" t="str">
        <f t="shared" si="1"/>
        <v/>
      </c>
      <c r="AX1860" s="83" t="str">
        <f t="array" ref="AX1860">IFERROR(DGET('SBV Import'!A:G,"SBV",{"RSC ID","Tier";B1860,A1860}))</f>
        <v/>
      </c>
      <c r="AY1860" s="82" t="str">
        <f t="shared" si="2"/>
        <v/>
      </c>
      <c r="AZ1860" s="82"/>
      <c r="BA1860" s="84" t="s">
        <v>152</v>
      </c>
      <c r="BB1860" s="84" t="str">
        <f>IFERROR(__xludf.DUMMYFUNCTION("iferror(if(A1860="""",,E1860&gt;=FILTER(Constants!$F$2:$F$10,Constants!$A$2:$A$10=A1860)))"),"")</f>
        <v/>
      </c>
    </row>
    <row r="1861">
      <c r="A1861" s="89"/>
      <c r="B1861" s="87"/>
      <c r="C1861" s="73"/>
      <c r="D1861" s="73"/>
      <c r="E1861" s="82"/>
      <c r="F1861" s="82"/>
      <c r="G1861" s="86"/>
      <c r="H1861" s="86"/>
      <c r="I1861" s="86"/>
      <c r="J1861" s="82"/>
      <c r="K1861" s="82"/>
      <c r="L1861" s="82"/>
      <c r="M1861" s="82"/>
      <c r="N1861" s="82"/>
      <c r="O1861" s="82"/>
      <c r="P1861" s="82"/>
      <c r="Q1861" s="82"/>
      <c r="R1861" s="82"/>
      <c r="S1861" s="82"/>
      <c r="T1861" s="82"/>
      <c r="U1861" s="82"/>
      <c r="V1861" s="82"/>
      <c r="W1861" s="82"/>
      <c r="X1861" s="82"/>
      <c r="Y1861" s="82"/>
      <c r="Z1861" s="82"/>
      <c r="AA1861" s="82"/>
      <c r="AB1861" s="82"/>
      <c r="AC1861" s="82"/>
      <c r="AD1861" s="82"/>
      <c r="AE1861" s="82"/>
      <c r="AF1861" s="82"/>
      <c r="AG1861" s="82"/>
      <c r="AH1861" s="82"/>
      <c r="AI1861" s="82"/>
      <c r="AJ1861" s="82"/>
      <c r="AK1861" s="82"/>
      <c r="AL1861" s="82"/>
      <c r="AM1861" s="82"/>
      <c r="AN1861" s="82">
        <f>IFERROR(__xludf.DUMMYFUNCTION("""COMPUTED_VALUE"""),0.0)</f>
        <v>0</v>
      </c>
      <c r="AO1861" s="82">
        <f>IFERROR(__xludf.DUMMYFUNCTION("""COMPUTED_VALUE"""),0.0)</f>
        <v>0</v>
      </c>
      <c r="AP1861" s="82">
        <f>IFERROR(__xludf.DUMMYFUNCTION("""COMPUTED_VALUE"""),0.0)</f>
        <v>0</v>
      </c>
      <c r="AQ1861" s="82">
        <f>IFERROR(__xludf.DUMMYFUNCTION("""COMPUTED_VALUE"""),0.0)</f>
        <v>0</v>
      </c>
      <c r="AR1861" s="82">
        <f>IFERROR(__xludf.DUMMYFUNCTION("""COMPUTED_VALUE"""),0.0)</f>
        <v>0</v>
      </c>
      <c r="AS1861" s="82"/>
      <c r="AT1861" s="82">
        <f>IFERROR(__xludf.DUMMYFUNCTION("""COMPUTED_VALUE"""),0.0)</f>
        <v>0</v>
      </c>
      <c r="AU1861" s="82"/>
      <c r="AV1861" s="82"/>
      <c r="AW1861" s="82" t="str">
        <f t="shared" si="1"/>
        <v/>
      </c>
      <c r="AX1861" s="83" t="str">
        <f t="array" ref="AX1861">IFERROR(DGET('SBV Import'!A:G,"SBV",{"RSC ID","Tier";B1861,A1861}))</f>
        <v/>
      </c>
      <c r="AY1861" s="82" t="str">
        <f t="shared" si="2"/>
        <v/>
      </c>
      <c r="AZ1861" s="82"/>
      <c r="BA1861" s="84" t="s">
        <v>152</v>
      </c>
      <c r="BB1861" s="84" t="str">
        <f>IFERROR(__xludf.DUMMYFUNCTION("iferror(if(A1861="""",,E1861&gt;=FILTER(Constants!$F$2:$F$10,Constants!$A$2:$A$10=A1861)))"),"")</f>
        <v/>
      </c>
    </row>
    <row r="1862">
      <c r="A1862" s="89"/>
      <c r="B1862" s="87"/>
      <c r="C1862" s="73"/>
      <c r="D1862" s="73"/>
      <c r="E1862" s="82"/>
      <c r="F1862" s="82"/>
      <c r="G1862" s="86"/>
      <c r="H1862" s="86"/>
      <c r="I1862" s="86"/>
      <c r="J1862" s="82"/>
      <c r="K1862" s="82"/>
      <c r="L1862" s="82"/>
      <c r="M1862" s="82"/>
      <c r="N1862" s="82"/>
      <c r="O1862" s="82"/>
      <c r="P1862" s="82"/>
      <c r="Q1862" s="82"/>
      <c r="R1862" s="82"/>
      <c r="S1862" s="82"/>
      <c r="T1862" s="82"/>
      <c r="U1862" s="82"/>
      <c r="V1862" s="82"/>
      <c r="W1862" s="82"/>
      <c r="X1862" s="82"/>
      <c r="Y1862" s="82"/>
      <c r="Z1862" s="82"/>
      <c r="AA1862" s="82"/>
      <c r="AB1862" s="82"/>
      <c r="AC1862" s="82"/>
      <c r="AD1862" s="82"/>
      <c r="AE1862" s="82"/>
      <c r="AF1862" s="82"/>
      <c r="AG1862" s="82"/>
      <c r="AH1862" s="82"/>
      <c r="AI1862" s="82"/>
      <c r="AJ1862" s="82"/>
      <c r="AK1862" s="82"/>
      <c r="AL1862" s="82"/>
      <c r="AM1862" s="82"/>
      <c r="AN1862" s="82">
        <f>IFERROR(__xludf.DUMMYFUNCTION("""COMPUTED_VALUE"""),0.0)</f>
        <v>0</v>
      </c>
      <c r="AO1862" s="82">
        <f>IFERROR(__xludf.DUMMYFUNCTION("""COMPUTED_VALUE"""),0.0)</f>
        <v>0</v>
      </c>
      <c r="AP1862" s="82">
        <f>IFERROR(__xludf.DUMMYFUNCTION("""COMPUTED_VALUE"""),0.0)</f>
        <v>0</v>
      </c>
      <c r="AQ1862" s="82">
        <f>IFERROR(__xludf.DUMMYFUNCTION("""COMPUTED_VALUE"""),0.0)</f>
        <v>0</v>
      </c>
      <c r="AR1862" s="82">
        <f>IFERROR(__xludf.DUMMYFUNCTION("""COMPUTED_VALUE"""),0.0)</f>
        <v>0</v>
      </c>
      <c r="AS1862" s="82"/>
      <c r="AT1862" s="82">
        <f>IFERROR(__xludf.DUMMYFUNCTION("""COMPUTED_VALUE"""),0.0)</f>
        <v>0</v>
      </c>
      <c r="AU1862" s="82"/>
      <c r="AV1862" s="82"/>
      <c r="AW1862" s="82" t="str">
        <f t="shared" si="1"/>
        <v/>
      </c>
      <c r="AX1862" s="83" t="str">
        <f t="array" ref="AX1862">IFERROR(DGET('SBV Import'!A:G,"SBV",{"RSC ID","Tier";B1862,A1862}))</f>
        <v/>
      </c>
      <c r="AY1862" s="82" t="str">
        <f t="shared" si="2"/>
        <v/>
      </c>
      <c r="AZ1862" s="82"/>
      <c r="BA1862" s="84" t="s">
        <v>152</v>
      </c>
      <c r="BB1862" s="84" t="str">
        <f>IFERROR(__xludf.DUMMYFUNCTION("iferror(if(A1862="""",,E1862&gt;=FILTER(Constants!$F$2:$F$10,Constants!$A$2:$A$10=A1862)))"),"")</f>
        <v/>
      </c>
    </row>
    <row r="1863">
      <c r="A1863" s="89"/>
      <c r="B1863" s="87"/>
      <c r="C1863" s="73"/>
      <c r="D1863" s="73"/>
      <c r="E1863" s="82"/>
      <c r="F1863" s="82"/>
      <c r="G1863" s="86"/>
      <c r="H1863" s="86"/>
      <c r="I1863" s="86"/>
      <c r="J1863" s="82"/>
      <c r="K1863" s="82"/>
      <c r="L1863" s="82"/>
      <c r="M1863" s="82"/>
      <c r="N1863" s="82"/>
      <c r="O1863" s="82"/>
      <c r="P1863" s="82"/>
      <c r="Q1863" s="82"/>
      <c r="R1863" s="82"/>
      <c r="S1863" s="82"/>
      <c r="T1863" s="82"/>
      <c r="U1863" s="82"/>
      <c r="V1863" s="82"/>
      <c r="W1863" s="82"/>
      <c r="X1863" s="82"/>
      <c r="Y1863" s="82"/>
      <c r="Z1863" s="82"/>
      <c r="AA1863" s="82"/>
      <c r="AB1863" s="82"/>
      <c r="AC1863" s="82"/>
      <c r="AD1863" s="82"/>
      <c r="AE1863" s="82"/>
      <c r="AF1863" s="82"/>
      <c r="AG1863" s="82"/>
      <c r="AH1863" s="82"/>
      <c r="AI1863" s="82"/>
      <c r="AJ1863" s="82"/>
      <c r="AK1863" s="82"/>
      <c r="AL1863" s="82"/>
      <c r="AM1863" s="82"/>
      <c r="AN1863" s="82">
        <f>IFERROR(__xludf.DUMMYFUNCTION("""COMPUTED_VALUE"""),0.0)</f>
        <v>0</v>
      </c>
      <c r="AO1863" s="82">
        <f>IFERROR(__xludf.DUMMYFUNCTION("""COMPUTED_VALUE"""),0.0)</f>
        <v>0</v>
      </c>
      <c r="AP1863" s="82">
        <f>IFERROR(__xludf.DUMMYFUNCTION("""COMPUTED_VALUE"""),0.0)</f>
        <v>0</v>
      </c>
      <c r="AQ1863" s="82">
        <f>IFERROR(__xludf.DUMMYFUNCTION("""COMPUTED_VALUE"""),0.0)</f>
        <v>0</v>
      </c>
      <c r="AR1863" s="82">
        <f>IFERROR(__xludf.DUMMYFUNCTION("""COMPUTED_VALUE"""),0.0)</f>
        <v>0</v>
      </c>
      <c r="AS1863" s="82"/>
      <c r="AT1863" s="82">
        <f>IFERROR(__xludf.DUMMYFUNCTION("""COMPUTED_VALUE"""),0.0)</f>
        <v>0</v>
      </c>
      <c r="AU1863" s="82"/>
      <c r="AV1863" s="82"/>
      <c r="AW1863" s="82" t="str">
        <f t="shared" si="1"/>
        <v/>
      </c>
      <c r="AX1863" s="83" t="str">
        <f t="array" ref="AX1863">IFERROR(DGET('SBV Import'!A:G,"SBV",{"RSC ID","Tier";B1863,A1863}))</f>
        <v/>
      </c>
      <c r="AY1863" s="82" t="str">
        <f t="shared" si="2"/>
        <v/>
      </c>
      <c r="AZ1863" s="82"/>
      <c r="BA1863" s="84" t="s">
        <v>152</v>
      </c>
      <c r="BB1863" s="84" t="str">
        <f>IFERROR(__xludf.DUMMYFUNCTION("iferror(if(A1863="""",,E1863&gt;=FILTER(Constants!$F$2:$F$10,Constants!$A$2:$A$10=A1863)))"),"")</f>
        <v/>
      </c>
    </row>
    <row r="1864">
      <c r="A1864" s="89"/>
      <c r="B1864" s="87"/>
      <c r="C1864" s="73"/>
      <c r="D1864" s="73"/>
      <c r="E1864" s="82"/>
      <c r="F1864" s="82"/>
      <c r="G1864" s="86"/>
      <c r="H1864" s="86"/>
      <c r="I1864" s="86"/>
      <c r="J1864" s="82"/>
      <c r="K1864" s="82"/>
      <c r="L1864" s="82"/>
      <c r="M1864" s="82"/>
      <c r="N1864" s="82"/>
      <c r="O1864" s="82"/>
      <c r="P1864" s="82"/>
      <c r="Q1864" s="82"/>
      <c r="R1864" s="82"/>
      <c r="S1864" s="82"/>
      <c r="T1864" s="82"/>
      <c r="U1864" s="82"/>
      <c r="V1864" s="82"/>
      <c r="W1864" s="82"/>
      <c r="X1864" s="82"/>
      <c r="Y1864" s="82"/>
      <c r="Z1864" s="82"/>
      <c r="AA1864" s="82"/>
      <c r="AB1864" s="82"/>
      <c r="AC1864" s="82"/>
      <c r="AD1864" s="82"/>
      <c r="AE1864" s="82"/>
      <c r="AF1864" s="82"/>
      <c r="AG1864" s="82"/>
      <c r="AH1864" s="82"/>
      <c r="AI1864" s="82"/>
      <c r="AJ1864" s="82"/>
      <c r="AK1864" s="82"/>
      <c r="AL1864" s="82"/>
      <c r="AM1864" s="82"/>
      <c r="AN1864" s="82">
        <f>IFERROR(__xludf.DUMMYFUNCTION("""COMPUTED_VALUE"""),0.0)</f>
        <v>0</v>
      </c>
      <c r="AO1864" s="82">
        <f>IFERROR(__xludf.DUMMYFUNCTION("""COMPUTED_VALUE"""),0.0)</f>
        <v>0</v>
      </c>
      <c r="AP1864" s="82">
        <f>IFERROR(__xludf.DUMMYFUNCTION("""COMPUTED_VALUE"""),0.0)</f>
        <v>0</v>
      </c>
      <c r="AQ1864" s="82">
        <f>IFERROR(__xludf.DUMMYFUNCTION("""COMPUTED_VALUE"""),0.0)</f>
        <v>0</v>
      </c>
      <c r="AR1864" s="82">
        <f>IFERROR(__xludf.DUMMYFUNCTION("""COMPUTED_VALUE"""),0.0)</f>
        <v>0</v>
      </c>
      <c r="AS1864" s="82"/>
      <c r="AT1864" s="82">
        <f>IFERROR(__xludf.DUMMYFUNCTION("""COMPUTED_VALUE"""),0.0)</f>
        <v>0</v>
      </c>
      <c r="AU1864" s="82"/>
      <c r="AV1864" s="82"/>
      <c r="AW1864" s="82" t="str">
        <f t="shared" si="1"/>
        <v/>
      </c>
      <c r="AX1864" s="83" t="str">
        <f t="array" ref="AX1864">IFERROR(DGET('SBV Import'!A:G,"SBV",{"RSC ID","Tier";B1864,A1864}))</f>
        <v/>
      </c>
      <c r="AY1864" s="82" t="str">
        <f t="shared" si="2"/>
        <v/>
      </c>
      <c r="AZ1864" s="82"/>
      <c r="BA1864" s="84" t="s">
        <v>152</v>
      </c>
      <c r="BB1864" s="84" t="str">
        <f>IFERROR(__xludf.DUMMYFUNCTION("iferror(if(A1864="""",,E1864&gt;=FILTER(Constants!$F$2:$F$10,Constants!$A$2:$A$10=A1864)))"),"")</f>
        <v/>
      </c>
    </row>
    <row r="1865">
      <c r="A1865" s="89"/>
      <c r="B1865" s="87"/>
      <c r="C1865" s="73"/>
      <c r="D1865" s="73"/>
      <c r="E1865" s="82"/>
      <c r="F1865" s="82"/>
      <c r="G1865" s="86"/>
      <c r="H1865" s="86"/>
      <c r="I1865" s="86"/>
      <c r="J1865" s="82"/>
      <c r="K1865" s="82"/>
      <c r="L1865" s="82"/>
      <c r="M1865" s="82"/>
      <c r="N1865" s="82"/>
      <c r="O1865" s="82"/>
      <c r="P1865" s="82"/>
      <c r="Q1865" s="82"/>
      <c r="R1865" s="82"/>
      <c r="S1865" s="82"/>
      <c r="T1865" s="82"/>
      <c r="U1865" s="82"/>
      <c r="V1865" s="82"/>
      <c r="W1865" s="82"/>
      <c r="X1865" s="82"/>
      <c r="Y1865" s="82"/>
      <c r="Z1865" s="82"/>
      <c r="AA1865" s="82"/>
      <c r="AB1865" s="82"/>
      <c r="AC1865" s="82"/>
      <c r="AD1865" s="82"/>
      <c r="AE1865" s="82"/>
      <c r="AF1865" s="82"/>
      <c r="AG1865" s="82"/>
      <c r="AH1865" s="82"/>
      <c r="AI1865" s="82"/>
      <c r="AJ1865" s="82"/>
      <c r="AK1865" s="82"/>
      <c r="AL1865" s="82"/>
      <c r="AM1865" s="82"/>
      <c r="AN1865" s="82">
        <f>IFERROR(__xludf.DUMMYFUNCTION("""COMPUTED_VALUE"""),0.0)</f>
        <v>0</v>
      </c>
      <c r="AO1865" s="82">
        <f>IFERROR(__xludf.DUMMYFUNCTION("""COMPUTED_VALUE"""),0.0)</f>
        <v>0</v>
      </c>
      <c r="AP1865" s="82">
        <f>IFERROR(__xludf.DUMMYFUNCTION("""COMPUTED_VALUE"""),0.0)</f>
        <v>0</v>
      </c>
      <c r="AQ1865" s="82">
        <f>IFERROR(__xludf.DUMMYFUNCTION("""COMPUTED_VALUE"""),0.0)</f>
        <v>0</v>
      </c>
      <c r="AR1865" s="82">
        <f>IFERROR(__xludf.DUMMYFUNCTION("""COMPUTED_VALUE"""),0.0)</f>
        <v>0</v>
      </c>
      <c r="AS1865" s="82"/>
      <c r="AT1865" s="82">
        <f>IFERROR(__xludf.DUMMYFUNCTION("""COMPUTED_VALUE"""),0.0)</f>
        <v>0</v>
      </c>
      <c r="AU1865" s="82"/>
      <c r="AV1865" s="82"/>
      <c r="AW1865" s="82" t="str">
        <f t="shared" si="1"/>
        <v/>
      </c>
      <c r="AX1865" s="83" t="str">
        <f t="array" ref="AX1865">IFERROR(DGET('SBV Import'!A:G,"SBV",{"RSC ID","Tier";B1865,A1865}))</f>
        <v/>
      </c>
      <c r="AY1865" s="82" t="str">
        <f t="shared" si="2"/>
        <v/>
      </c>
      <c r="AZ1865" s="82"/>
      <c r="BA1865" s="84" t="s">
        <v>152</v>
      </c>
      <c r="BB1865" s="84" t="str">
        <f>IFERROR(__xludf.DUMMYFUNCTION("iferror(if(A1865="""",,E1865&gt;=FILTER(Constants!$F$2:$F$10,Constants!$A$2:$A$10=A1865)))"),"")</f>
        <v/>
      </c>
    </row>
    <row r="1866">
      <c r="A1866" s="89"/>
      <c r="B1866" s="87"/>
      <c r="C1866" s="73"/>
      <c r="D1866" s="73"/>
      <c r="E1866" s="82"/>
      <c r="F1866" s="82"/>
      <c r="G1866" s="86"/>
      <c r="H1866" s="86"/>
      <c r="I1866" s="86"/>
      <c r="J1866" s="82"/>
      <c r="K1866" s="82"/>
      <c r="L1866" s="82"/>
      <c r="M1866" s="82"/>
      <c r="N1866" s="82"/>
      <c r="O1866" s="82"/>
      <c r="P1866" s="82"/>
      <c r="Q1866" s="82"/>
      <c r="R1866" s="82"/>
      <c r="S1866" s="82"/>
      <c r="T1866" s="82"/>
      <c r="U1866" s="82"/>
      <c r="V1866" s="82"/>
      <c r="W1866" s="82"/>
      <c r="X1866" s="82"/>
      <c r="Y1866" s="82"/>
      <c r="Z1866" s="82"/>
      <c r="AA1866" s="82"/>
      <c r="AB1866" s="82"/>
      <c r="AC1866" s="82"/>
      <c r="AD1866" s="82"/>
      <c r="AE1866" s="82"/>
      <c r="AF1866" s="82"/>
      <c r="AG1866" s="82"/>
      <c r="AH1866" s="82"/>
      <c r="AI1866" s="82"/>
      <c r="AJ1866" s="82"/>
      <c r="AK1866" s="82"/>
      <c r="AL1866" s="82"/>
      <c r="AM1866" s="82"/>
      <c r="AN1866" s="82">
        <f>IFERROR(__xludf.DUMMYFUNCTION("""COMPUTED_VALUE"""),0.0)</f>
        <v>0</v>
      </c>
      <c r="AO1866" s="82">
        <f>IFERROR(__xludf.DUMMYFUNCTION("""COMPUTED_VALUE"""),0.0)</f>
        <v>0</v>
      </c>
      <c r="AP1866" s="82">
        <f>IFERROR(__xludf.DUMMYFUNCTION("""COMPUTED_VALUE"""),0.0)</f>
        <v>0</v>
      </c>
      <c r="AQ1866" s="82">
        <f>IFERROR(__xludf.DUMMYFUNCTION("""COMPUTED_VALUE"""),0.0)</f>
        <v>0</v>
      </c>
      <c r="AR1866" s="82">
        <f>IFERROR(__xludf.DUMMYFUNCTION("""COMPUTED_VALUE"""),0.0)</f>
        <v>0</v>
      </c>
      <c r="AS1866" s="82"/>
      <c r="AT1866" s="82">
        <f>IFERROR(__xludf.DUMMYFUNCTION("""COMPUTED_VALUE"""),0.0)</f>
        <v>0</v>
      </c>
      <c r="AU1866" s="82"/>
      <c r="AV1866" s="82"/>
      <c r="AW1866" s="82" t="str">
        <f t="shared" si="1"/>
        <v/>
      </c>
      <c r="AX1866" s="83" t="str">
        <f t="array" ref="AX1866">IFERROR(DGET('SBV Import'!A:G,"SBV",{"RSC ID","Tier";B1866,A1866}))</f>
        <v/>
      </c>
      <c r="AY1866" s="82" t="str">
        <f t="shared" si="2"/>
        <v/>
      </c>
      <c r="AZ1866" s="82"/>
      <c r="BA1866" s="84" t="s">
        <v>152</v>
      </c>
      <c r="BB1866" s="84" t="str">
        <f>IFERROR(__xludf.DUMMYFUNCTION("iferror(if(A1866="""",,E1866&gt;=FILTER(Constants!$F$2:$F$10,Constants!$A$2:$A$10=A1866)))"),"")</f>
        <v/>
      </c>
    </row>
    <row r="1867">
      <c r="A1867" s="89"/>
      <c r="B1867" s="87"/>
      <c r="C1867" s="73"/>
      <c r="D1867" s="73"/>
      <c r="E1867" s="82"/>
      <c r="F1867" s="82"/>
      <c r="G1867" s="86"/>
      <c r="H1867" s="86"/>
      <c r="I1867" s="86"/>
      <c r="J1867" s="82"/>
      <c r="K1867" s="82"/>
      <c r="L1867" s="82"/>
      <c r="M1867" s="82"/>
      <c r="N1867" s="82"/>
      <c r="O1867" s="82"/>
      <c r="P1867" s="82"/>
      <c r="Q1867" s="82"/>
      <c r="R1867" s="82"/>
      <c r="S1867" s="82"/>
      <c r="T1867" s="82"/>
      <c r="U1867" s="82"/>
      <c r="V1867" s="82"/>
      <c r="W1867" s="82"/>
      <c r="X1867" s="82"/>
      <c r="Y1867" s="82"/>
      <c r="Z1867" s="82"/>
      <c r="AA1867" s="82"/>
      <c r="AB1867" s="82"/>
      <c r="AC1867" s="82"/>
      <c r="AD1867" s="82"/>
      <c r="AE1867" s="82"/>
      <c r="AF1867" s="82"/>
      <c r="AG1867" s="82"/>
      <c r="AH1867" s="82"/>
      <c r="AI1867" s="82"/>
      <c r="AJ1867" s="82"/>
      <c r="AK1867" s="82"/>
      <c r="AL1867" s="82"/>
      <c r="AM1867" s="82"/>
      <c r="AN1867" s="82">
        <f>IFERROR(__xludf.DUMMYFUNCTION("""COMPUTED_VALUE"""),0.0)</f>
        <v>0</v>
      </c>
      <c r="AO1867" s="82">
        <f>IFERROR(__xludf.DUMMYFUNCTION("""COMPUTED_VALUE"""),0.0)</f>
        <v>0</v>
      </c>
      <c r="AP1867" s="82">
        <f>IFERROR(__xludf.DUMMYFUNCTION("""COMPUTED_VALUE"""),0.0)</f>
        <v>0</v>
      </c>
      <c r="AQ1867" s="82">
        <f>IFERROR(__xludf.DUMMYFUNCTION("""COMPUTED_VALUE"""),0.0)</f>
        <v>0</v>
      </c>
      <c r="AR1867" s="82">
        <f>IFERROR(__xludf.DUMMYFUNCTION("""COMPUTED_VALUE"""),0.0)</f>
        <v>0</v>
      </c>
      <c r="AS1867" s="82"/>
      <c r="AT1867" s="82">
        <f>IFERROR(__xludf.DUMMYFUNCTION("""COMPUTED_VALUE"""),0.0)</f>
        <v>0</v>
      </c>
      <c r="AU1867" s="82"/>
      <c r="AV1867" s="82"/>
      <c r="AW1867" s="82" t="str">
        <f t="shared" si="1"/>
        <v/>
      </c>
      <c r="AX1867" s="83" t="str">
        <f t="array" ref="AX1867">IFERROR(DGET('SBV Import'!A:G,"SBV",{"RSC ID","Tier";B1867,A1867}))</f>
        <v/>
      </c>
      <c r="AY1867" s="82" t="str">
        <f t="shared" si="2"/>
        <v/>
      </c>
      <c r="AZ1867" s="82"/>
      <c r="BA1867" s="84" t="s">
        <v>152</v>
      </c>
      <c r="BB1867" s="84" t="str">
        <f>IFERROR(__xludf.DUMMYFUNCTION("iferror(if(A1867="""",,E1867&gt;=FILTER(Constants!$F$2:$F$10,Constants!$A$2:$A$10=A1867)))"),"")</f>
        <v/>
      </c>
    </row>
    <row r="1868">
      <c r="A1868" s="89"/>
      <c r="B1868" s="87"/>
      <c r="C1868" s="73"/>
      <c r="D1868" s="73"/>
      <c r="E1868" s="82"/>
      <c r="F1868" s="82"/>
      <c r="G1868" s="86"/>
      <c r="H1868" s="86"/>
      <c r="I1868" s="86"/>
      <c r="J1868" s="82"/>
      <c r="K1868" s="82"/>
      <c r="L1868" s="82"/>
      <c r="M1868" s="82"/>
      <c r="N1868" s="82"/>
      <c r="O1868" s="82"/>
      <c r="P1868" s="82"/>
      <c r="Q1868" s="82"/>
      <c r="R1868" s="82"/>
      <c r="S1868" s="82"/>
      <c r="T1868" s="82"/>
      <c r="U1868" s="82"/>
      <c r="V1868" s="82"/>
      <c r="W1868" s="82"/>
      <c r="X1868" s="82"/>
      <c r="Y1868" s="82"/>
      <c r="Z1868" s="82"/>
      <c r="AA1868" s="82"/>
      <c r="AB1868" s="82"/>
      <c r="AC1868" s="82"/>
      <c r="AD1868" s="82"/>
      <c r="AE1868" s="82"/>
      <c r="AF1868" s="82"/>
      <c r="AG1868" s="82"/>
      <c r="AH1868" s="82"/>
      <c r="AI1868" s="82"/>
      <c r="AJ1868" s="82"/>
      <c r="AK1868" s="82"/>
      <c r="AL1868" s="82"/>
      <c r="AM1868" s="82"/>
      <c r="AN1868" s="82">
        <f>IFERROR(__xludf.DUMMYFUNCTION("""COMPUTED_VALUE"""),0.0)</f>
        <v>0</v>
      </c>
      <c r="AO1868" s="82">
        <f>IFERROR(__xludf.DUMMYFUNCTION("""COMPUTED_VALUE"""),0.0)</f>
        <v>0</v>
      </c>
      <c r="AP1868" s="82">
        <f>IFERROR(__xludf.DUMMYFUNCTION("""COMPUTED_VALUE"""),0.0)</f>
        <v>0</v>
      </c>
      <c r="AQ1868" s="82">
        <f>IFERROR(__xludf.DUMMYFUNCTION("""COMPUTED_VALUE"""),0.0)</f>
        <v>0</v>
      </c>
      <c r="AR1868" s="82">
        <f>IFERROR(__xludf.DUMMYFUNCTION("""COMPUTED_VALUE"""),0.0)</f>
        <v>0</v>
      </c>
      <c r="AS1868" s="82"/>
      <c r="AT1868" s="82">
        <f>IFERROR(__xludf.DUMMYFUNCTION("""COMPUTED_VALUE"""),0.0)</f>
        <v>0</v>
      </c>
      <c r="AU1868" s="82"/>
      <c r="AV1868" s="82"/>
      <c r="AW1868" s="82" t="str">
        <f t="shared" si="1"/>
        <v/>
      </c>
      <c r="AX1868" s="83" t="str">
        <f t="array" ref="AX1868">IFERROR(DGET('SBV Import'!A:G,"SBV",{"RSC ID","Tier";B1868,A1868}))</f>
        <v/>
      </c>
      <c r="AY1868" s="82" t="str">
        <f t="shared" si="2"/>
        <v/>
      </c>
      <c r="AZ1868" s="82"/>
      <c r="BA1868" s="84" t="s">
        <v>152</v>
      </c>
      <c r="BB1868" s="84" t="str">
        <f>IFERROR(__xludf.DUMMYFUNCTION("iferror(if(A1868="""",,E1868&gt;=FILTER(Constants!$F$2:$F$10,Constants!$A$2:$A$10=A1868)))"),"")</f>
        <v/>
      </c>
    </row>
    <row r="1869">
      <c r="A1869" s="89"/>
      <c r="B1869" s="87"/>
      <c r="C1869" s="73"/>
      <c r="D1869" s="73"/>
      <c r="E1869" s="82"/>
      <c r="F1869" s="82"/>
      <c r="G1869" s="86"/>
      <c r="H1869" s="86"/>
      <c r="I1869" s="86"/>
      <c r="J1869" s="82"/>
      <c r="K1869" s="82"/>
      <c r="L1869" s="82"/>
      <c r="M1869" s="82"/>
      <c r="N1869" s="82"/>
      <c r="O1869" s="82"/>
      <c r="P1869" s="82"/>
      <c r="Q1869" s="82"/>
      <c r="R1869" s="82"/>
      <c r="S1869" s="82"/>
      <c r="T1869" s="82"/>
      <c r="U1869" s="82"/>
      <c r="V1869" s="82"/>
      <c r="W1869" s="82"/>
      <c r="X1869" s="82"/>
      <c r="Y1869" s="82"/>
      <c r="Z1869" s="82"/>
      <c r="AA1869" s="82"/>
      <c r="AB1869" s="82"/>
      <c r="AC1869" s="82"/>
      <c r="AD1869" s="82"/>
      <c r="AE1869" s="82"/>
      <c r="AF1869" s="82"/>
      <c r="AG1869" s="82"/>
      <c r="AH1869" s="82"/>
      <c r="AI1869" s="82"/>
      <c r="AJ1869" s="82"/>
      <c r="AK1869" s="82"/>
      <c r="AL1869" s="82"/>
      <c r="AM1869" s="82"/>
      <c r="AN1869" s="82">
        <f>IFERROR(__xludf.DUMMYFUNCTION("""COMPUTED_VALUE"""),0.0)</f>
        <v>0</v>
      </c>
      <c r="AO1869" s="82">
        <f>IFERROR(__xludf.DUMMYFUNCTION("""COMPUTED_VALUE"""),0.0)</f>
        <v>0</v>
      </c>
      <c r="AP1869" s="82">
        <f>IFERROR(__xludf.DUMMYFUNCTION("""COMPUTED_VALUE"""),0.0)</f>
        <v>0</v>
      </c>
      <c r="AQ1869" s="82">
        <f>IFERROR(__xludf.DUMMYFUNCTION("""COMPUTED_VALUE"""),0.0)</f>
        <v>0</v>
      </c>
      <c r="AR1869" s="82">
        <f>IFERROR(__xludf.DUMMYFUNCTION("""COMPUTED_VALUE"""),0.0)</f>
        <v>0</v>
      </c>
      <c r="AS1869" s="82"/>
      <c r="AT1869" s="82">
        <f>IFERROR(__xludf.DUMMYFUNCTION("""COMPUTED_VALUE"""),0.0)</f>
        <v>0</v>
      </c>
      <c r="AU1869" s="82"/>
      <c r="AV1869" s="82"/>
      <c r="AW1869" s="82" t="str">
        <f t="shared" si="1"/>
        <v/>
      </c>
      <c r="AX1869" s="83" t="str">
        <f t="array" ref="AX1869">IFERROR(DGET('SBV Import'!A:G,"SBV",{"RSC ID","Tier";B1869,A1869}))</f>
        <v/>
      </c>
      <c r="AY1869" s="82" t="str">
        <f t="shared" si="2"/>
        <v/>
      </c>
      <c r="AZ1869" s="82"/>
      <c r="BA1869" s="84" t="s">
        <v>152</v>
      </c>
      <c r="BB1869" s="84" t="str">
        <f>IFERROR(__xludf.DUMMYFUNCTION("iferror(if(A1869="""",,E1869&gt;=FILTER(Constants!$F$2:$F$10,Constants!$A$2:$A$10=A1869)))"),"")</f>
        <v/>
      </c>
    </row>
    <row r="1870">
      <c r="A1870" s="89"/>
      <c r="B1870" s="87"/>
      <c r="C1870" s="73"/>
      <c r="D1870" s="73"/>
      <c r="E1870" s="82"/>
      <c r="F1870" s="82"/>
      <c r="G1870" s="86"/>
      <c r="H1870" s="86"/>
      <c r="I1870" s="86"/>
      <c r="J1870" s="82"/>
      <c r="K1870" s="82"/>
      <c r="L1870" s="82"/>
      <c r="M1870" s="82"/>
      <c r="N1870" s="82"/>
      <c r="O1870" s="82"/>
      <c r="P1870" s="82"/>
      <c r="Q1870" s="82"/>
      <c r="R1870" s="82"/>
      <c r="S1870" s="82"/>
      <c r="T1870" s="82"/>
      <c r="U1870" s="82"/>
      <c r="V1870" s="82"/>
      <c r="W1870" s="82"/>
      <c r="X1870" s="82"/>
      <c r="Y1870" s="82"/>
      <c r="Z1870" s="82"/>
      <c r="AA1870" s="82"/>
      <c r="AB1870" s="82"/>
      <c r="AC1870" s="82"/>
      <c r="AD1870" s="82"/>
      <c r="AE1870" s="82"/>
      <c r="AF1870" s="82"/>
      <c r="AG1870" s="82"/>
      <c r="AH1870" s="82"/>
      <c r="AI1870" s="82"/>
      <c r="AJ1870" s="82"/>
      <c r="AK1870" s="82"/>
      <c r="AL1870" s="82"/>
      <c r="AM1870" s="82"/>
      <c r="AN1870" s="82">
        <f>IFERROR(__xludf.DUMMYFUNCTION("""COMPUTED_VALUE"""),0.0)</f>
        <v>0</v>
      </c>
      <c r="AO1870" s="82">
        <f>IFERROR(__xludf.DUMMYFUNCTION("""COMPUTED_VALUE"""),0.0)</f>
        <v>0</v>
      </c>
      <c r="AP1870" s="82">
        <f>IFERROR(__xludf.DUMMYFUNCTION("""COMPUTED_VALUE"""),0.0)</f>
        <v>0</v>
      </c>
      <c r="AQ1870" s="82">
        <f>IFERROR(__xludf.DUMMYFUNCTION("""COMPUTED_VALUE"""),0.0)</f>
        <v>0</v>
      </c>
      <c r="AR1870" s="82">
        <f>IFERROR(__xludf.DUMMYFUNCTION("""COMPUTED_VALUE"""),0.0)</f>
        <v>0</v>
      </c>
      <c r="AS1870" s="82"/>
      <c r="AT1870" s="82">
        <f>IFERROR(__xludf.DUMMYFUNCTION("""COMPUTED_VALUE"""),0.0)</f>
        <v>0</v>
      </c>
      <c r="AU1870" s="82"/>
      <c r="AV1870" s="82"/>
      <c r="AW1870" s="82" t="str">
        <f t="shared" si="1"/>
        <v/>
      </c>
      <c r="AX1870" s="83" t="str">
        <f t="array" ref="AX1870">IFERROR(DGET('SBV Import'!A:G,"SBV",{"RSC ID","Tier";B1870,A1870}))</f>
        <v/>
      </c>
      <c r="AY1870" s="82" t="str">
        <f t="shared" si="2"/>
        <v/>
      </c>
      <c r="AZ1870" s="82"/>
      <c r="BA1870" s="84" t="s">
        <v>152</v>
      </c>
      <c r="BB1870" s="84" t="str">
        <f>IFERROR(__xludf.DUMMYFUNCTION("iferror(if(A1870="""",,E1870&gt;=FILTER(Constants!$F$2:$F$10,Constants!$A$2:$A$10=A1870)))"),"")</f>
        <v/>
      </c>
    </row>
    <row r="1871">
      <c r="A1871" s="89"/>
      <c r="B1871" s="87"/>
      <c r="C1871" s="73"/>
      <c r="D1871" s="73"/>
      <c r="E1871" s="82"/>
      <c r="F1871" s="82"/>
      <c r="G1871" s="86"/>
      <c r="H1871" s="86"/>
      <c r="I1871" s="86"/>
      <c r="J1871" s="82"/>
      <c r="K1871" s="82"/>
      <c r="L1871" s="82"/>
      <c r="M1871" s="82"/>
      <c r="N1871" s="82"/>
      <c r="O1871" s="82"/>
      <c r="P1871" s="82"/>
      <c r="Q1871" s="82"/>
      <c r="R1871" s="82"/>
      <c r="S1871" s="82"/>
      <c r="T1871" s="82"/>
      <c r="U1871" s="82"/>
      <c r="V1871" s="82"/>
      <c r="W1871" s="82"/>
      <c r="X1871" s="82"/>
      <c r="Y1871" s="82"/>
      <c r="Z1871" s="82"/>
      <c r="AA1871" s="82"/>
      <c r="AB1871" s="82"/>
      <c r="AC1871" s="82"/>
      <c r="AD1871" s="82"/>
      <c r="AE1871" s="82"/>
      <c r="AF1871" s="82"/>
      <c r="AG1871" s="82"/>
      <c r="AH1871" s="82"/>
      <c r="AI1871" s="82"/>
      <c r="AJ1871" s="82"/>
      <c r="AK1871" s="82"/>
      <c r="AL1871" s="82"/>
      <c r="AM1871" s="82"/>
      <c r="AN1871" s="82">
        <f>IFERROR(__xludf.DUMMYFUNCTION("""COMPUTED_VALUE"""),0.0)</f>
        <v>0</v>
      </c>
      <c r="AO1871" s="82">
        <f>IFERROR(__xludf.DUMMYFUNCTION("""COMPUTED_VALUE"""),0.0)</f>
        <v>0</v>
      </c>
      <c r="AP1871" s="82">
        <f>IFERROR(__xludf.DUMMYFUNCTION("""COMPUTED_VALUE"""),0.0)</f>
        <v>0</v>
      </c>
      <c r="AQ1871" s="82">
        <f>IFERROR(__xludf.DUMMYFUNCTION("""COMPUTED_VALUE"""),0.0)</f>
        <v>0</v>
      </c>
      <c r="AR1871" s="82">
        <f>IFERROR(__xludf.DUMMYFUNCTION("""COMPUTED_VALUE"""),0.0)</f>
        <v>0</v>
      </c>
      <c r="AS1871" s="82"/>
      <c r="AT1871" s="82">
        <f>IFERROR(__xludf.DUMMYFUNCTION("""COMPUTED_VALUE"""),0.0)</f>
        <v>0</v>
      </c>
      <c r="AU1871" s="82"/>
      <c r="AV1871" s="82"/>
      <c r="AW1871" s="82" t="str">
        <f t="shared" si="1"/>
        <v/>
      </c>
      <c r="AX1871" s="83" t="str">
        <f t="array" ref="AX1871">IFERROR(DGET('SBV Import'!A:G,"SBV",{"RSC ID","Tier";B1871,A1871}))</f>
        <v/>
      </c>
      <c r="AY1871" s="82" t="str">
        <f t="shared" si="2"/>
        <v/>
      </c>
      <c r="AZ1871" s="82"/>
      <c r="BA1871" s="84" t="s">
        <v>152</v>
      </c>
      <c r="BB1871" s="84" t="str">
        <f>IFERROR(__xludf.DUMMYFUNCTION("iferror(if(A1871="""",,E1871&gt;=FILTER(Constants!$F$2:$F$10,Constants!$A$2:$A$10=A1871)))"),"")</f>
        <v/>
      </c>
    </row>
    <row r="1872">
      <c r="A1872" s="89"/>
      <c r="B1872" s="87"/>
      <c r="C1872" s="73"/>
      <c r="D1872" s="73"/>
      <c r="E1872" s="82"/>
      <c r="F1872" s="82"/>
      <c r="G1872" s="86"/>
      <c r="H1872" s="86"/>
      <c r="I1872" s="86"/>
      <c r="J1872" s="82"/>
      <c r="K1872" s="82"/>
      <c r="L1872" s="82"/>
      <c r="M1872" s="82"/>
      <c r="N1872" s="82"/>
      <c r="O1872" s="82"/>
      <c r="P1872" s="82"/>
      <c r="Q1872" s="82"/>
      <c r="R1872" s="82"/>
      <c r="S1872" s="82"/>
      <c r="T1872" s="82"/>
      <c r="U1872" s="82"/>
      <c r="V1872" s="82"/>
      <c r="W1872" s="82"/>
      <c r="X1872" s="82"/>
      <c r="Y1872" s="82"/>
      <c r="Z1872" s="82"/>
      <c r="AA1872" s="82"/>
      <c r="AB1872" s="82"/>
      <c r="AC1872" s="82"/>
      <c r="AD1872" s="82"/>
      <c r="AE1872" s="82"/>
      <c r="AF1872" s="82"/>
      <c r="AG1872" s="82"/>
      <c r="AH1872" s="82"/>
      <c r="AI1872" s="82"/>
      <c r="AJ1872" s="82"/>
      <c r="AK1872" s="82"/>
      <c r="AL1872" s="82"/>
      <c r="AM1872" s="82"/>
      <c r="AN1872" s="82">
        <f>IFERROR(__xludf.DUMMYFUNCTION("""COMPUTED_VALUE"""),0.0)</f>
        <v>0</v>
      </c>
      <c r="AO1872" s="82">
        <f>IFERROR(__xludf.DUMMYFUNCTION("""COMPUTED_VALUE"""),0.0)</f>
        <v>0</v>
      </c>
      <c r="AP1872" s="82">
        <f>IFERROR(__xludf.DUMMYFUNCTION("""COMPUTED_VALUE"""),0.0)</f>
        <v>0</v>
      </c>
      <c r="AQ1872" s="82">
        <f>IFERROR(__xludf.DUMMYFUNCTION("""COMPUTED_VALUE"""),0.0)</f>
        <v>0</v>
      </c>
      <c r="AR1872" s="82">
        <f>IFERROR(__xludf.DUMMYFUNCTION("""COMPUTED_VALUE"""),0.0)</f>
        <v>0</v>
      </c>
      <c r="AS1872" s="82"/>
      <c r="AT1872" s="82">
        <f>IFERROR(__xludf.DUMMYFUNCTION("""COMPUTED_VALUE"""),0.0)</f>
        <v>0</v>
      </c>
      <c r="AU1872" s="82"/>
      <c r="AV1872" s="82"/>
      <c r="AW1872" s="82" t="str">
        <f t="shared" si="1"/>
        <v/>
      </c>
      <c r="AX1872" s="83" t="str">
        <f t="array" ref="AX1872">IFERROR(DGET('SBV Import'!A:G,"SBV",{"RSC ID","Tier";B1872,A1872}))</f>
        <v/>
      </c>
      <c r="AY1872" s="82" t="str">
        <f t="shared" si="2"/>
        <v/>
      </c>
      <c r="AZ1872" s="82"/>
      <c r="BA1872" s="84" t="s">
        <v>152</v>
      </c>
      <c r="BB1872" s="84" t="str">
        <f>IFERROR(__xludf.DUMMYFUNCTION("iferror(if(A1872="""",,E1872&gt;=FILTER(Constants!$F$2:$F$10,Constants!$A$2:$A$10=A1872)))"),"")</f>
        <v/>
      </c>
    </row>
    <row r="1873">
      <c r="A1873" s="89"/>
      <c r="B1873" s="87"/>
      <c r="C1873" s="73"/>
      <c r="D1873" s="73"/>
      <c r="E1873" s="82"/>
      <c r="F1873" s="82"/>
      <c r="G1873" s="86"/>
      <c r="H1873" s="86"/>
      <c r="I1873" s="86"/>
      <c r="J1873" s="82"/>
      <c r="K1873" s="82"/>
      <c r="L1873" s="82"/>
      <c r="M1873" s="82"/>
      <c r="N1873" s="82"/>
      <c r="O1873" s="82"/>
      <c r="P1873" s="82"/>
      <c r="Q1873" s="82"/>
      <c r="R1873" s="82"/>
      <c r="S1873" s="82"/>
      <c r="T1873" s="82"/>
      <c r="U1873" s="82"/>
      <c r="V1873" s="82"/>
      <c r="W1873" s="82"/>
      <c r="X1873" s="82"/>
      <c r="Y1873" s="82"/>
      <c r="Z1873" s="82"/>
      <c r="AA1873" s="82"/>
      <c r="AB1873" s="82"/>
      <c r="AC1873" s="82"/>
      <c r="AD1873" s="82"/>
      <c r="AE1873" s="82"/>
      <c r="AF1873" s="82"/>
      <c r="AG1873" s="82"/>
      <c r="AH1873" s="82"/>
      <c r="AI1873" s="82"/>
      <c r="AJ1873" s="82"/>
      <c r="AK1873" s="82"/>
      <c r="AL1873" s="82"/>
      <c r="AM1873" s="82"/>
      <c r="AN1873" s="82">
        <f>IFERROR(__xludf.DUMMYFUNCTION("""COMPUTED_VALUE"""),0.0)</f>
        <v>0</v>
      </c>
      <c r="AO1873" s="82">
        <f>IFERROR(__xludf.DUMMYFUNCTION("""COMPUTED_VALUE"""),0.0)</f>
        <v>0</v>
      </c>
      <c r="AP1873" s="82">
        <f>IFERROR(__xludf.DUMMYFUNCTION("""COMPUTED_VALUE"""),0.0)</f>
        <v>0</v>
      </c>
      <c r="AQ1873" s="82">
        <f>IFERROR(__xludf.DUMMYFUNCTION("""COMPUTED_VALUE"""),0.0)</f>
        <v>0</v>
      </c>
      <c r="AR1873" s="82">
        <f>IFERROR(__xludf.DUMMYFUNCTION("""COMPUTED_VALUE"""),0.0)</f>
        <v>0</v>
      </c>
      <c r="AS1873" s="82"/>
      <c r="AT1873" s="82">
        <f>IFERROR(__xludf.DUMMYFUNCTION("""COMPUTED_VALUE"""),0.0)</f>
        <v>0</v>
      </c>
      <c r="AU1873" s="82"/>
      <c r="AV1873" s="82"/>
      <c r="AW1873" s="82" t="str">
        <f t="shared" si="1"/>
        <v/>
      </c>
      <c r="AX1873" s="83" t="str">
        <f t="array" ref="AX1873">IFERROR(DGET('SBV Import'!A:G,"SBV",{"RSC ID","Tier";B1873,A1873}))</f>
        <v/>
      </c>
      <c r="AY1873" s="82" t="str">
        <f t="shared" si="2"/>
        <v/>
      </c>
      <c r="AZ1873" s="82"/>
      <c r="BA1873" s="84" t="s">
        <v>152</v>
      </c>
      <c r="BB1873" s="84" t="str">
        <f>IFERROR(__xludf.DUMMYFUNCTION("iferror(if(A1873="""",,E1873&gt;=FILTER(Constants!$F$2:$F$10,Constants!$A$2:$A$10=A1873)))"),"")</f>
        <v/>
      </c>
    </row>
    <row r="1874">
      <c r="A1874" s="89"/>
      <c r="B1874" s="87"/>
      <c r="C1874" s="73"/>
      <c r="D1874" s="73"/>
      <c r="E1874" s="82"/>
      <c r="F1874" s="82"/>
      <c r="G1874" s="86"/>
      <c r="H1874" s="86"/>
      <c r="I1874" s="86"/>
      <c r="J1874" s="82"/>
      <c r="K1874" s="82"/>
      <c r="L1874" s="82"/>
      <c r="M1874" s="82"/>
      <c r="N1874" s="82"/>
      <c r="O1874" s="82"/>
      <c r="P1874" s="82"/>
      <c r="Q1874" s="82"/>
      <c r="R1874" s="82"/>
      <c r="S1874" s="82"/>
      <c r="T1874" s="82"/>
      <c r="U1874" s="82"/>
      <c r="V1874" s="82"/>
      <c r="W1874" s="82"/>
      <c r="X1874" s="82"/>
      <c r="Y1874" s="82"/>
      <c r="Z1874" s="82"/>
      <c r="AA1874" s="82"/>
      <c r="AB1874" s="82"/>
      <c r="AC1874" s="82"/>
      <c r="AD1874" s="82"/>
      <c r="AE1874" s="82"/>
      <c r="AF1874" s="82"/>
      <c r="AG1874" s="82"/>
      <c r="AH1874" s="82"/>
      <c r="AI1874" s="82"/>
      <c r="AJ1874" s="82"/>
      <c r="AK1874" s="82"/>
      <c r="AL1874" s="82"/>
      <c r="AM1874" s="82"/>
      <c r="AN1874" s="82">
        <f>IFERROR(__xludf.DUMMYFUNCTION("""COMPUTED_VALUE"""),0.0)</f>
        <v>0</v>
      </c>
      <c r="AO1874" s="82">
        <f>IFERROR(__xludf.DUMMYFUNCTION("""COMPUTED_VALUE"""),0.0)</f>
        <v>0</v>
      </c>
      <c r="AP1874" s="82">
        <f>IFERROR(__xludf.DUMMYFUNCTION("""COMPUTED_VALUE"""),0.0)</f>
        <v>0</v>
      </c>
      <c r="AQ1874" s="82">
        <f>IFERROR(__xludf.DUMMYFUNCTION("""COMPUTED_VALUE"""),0.0)</f>
        <v>0</v>
      </c>
      <c r="AR1874" s="82">
        <f>IFERROR(__xludf.DUMMYFUNCTION("""COMPUTED_VALUE"""),0.0)</f>
        <v>0</v>
      </c>
      <c r="AS1874" s="82"/>
      <c r="AT1874" s="82">
        <f>IFERROR(__xludf.DUMMYFUNCTION("""COMPUTED_VALUE"""),0.0)</f>
        <v>0</v>
      </c>
      <c r="AU1874" s="82"/>
      <c r="AV1874" s="82"/>
      <c r="AW1874" s="82" t="str">
        <f t="shared" si="1"/>
        <v/>
      </c>
      <c r="AX1874" s="83" t="str">
        <f t="array" ref="AX1874">IFERROR(DGET('SBV Import'!A:G,"SBV",{"RSC ID","Tier";B1874,A1874}))</f>
        <v/>
      </c>
      <c r="AY1874" s="82" t="str">
        <f t="shared" si="2"/>
        <v/>
      </c>
      <c r="AZ1874" s="82"/>
      <c r="BA1874" s="84" t="s">
        <v>152</v>
      </c>
      <c r="BB1874" s="84" t="str">
        <f>IFERROR(__xludf.DUMMYFUNCTION("iferror(if(A1874="""",,E1874&gt;=FILTER(Constants!$F$2:$F$10,Constants!$A$2:$A$10=A1874)))"),"")</f>
        <v/>
      </c>
    </row>
    <row r="1875">
      <c r="A1875" s="89"/>
      <c r="B1875" s="87"/>
      <c r="C1875" s="73"/>
      <c r="D1875" s="73"/>
      <c r="E1875" s="82"/>
      <c r="F1875" s="82"/>
      <c r="G1875" s="86"/>
      <c r="H1875" s="86"/>
      <c r="I1875" s="86"/>
      <c r="J1875" s="82"/>
      <c r="K1875" s="82"/>
      <c r="L1875" s="82"/>
      <c r="M1875" s="82"/>
      <c r="N1875" s="82"/>
      <c r="O1875" s="82"/>
      <c r="P1875" s="82"/>
      <c r="Q1875" s="82"/>
      <c r="R1875" s="82"/>
      <c r="S1875" s="82"/>
      <c r="T1875" s="82"/>
      <c r="U1875" s="82"/>
      <c r="V1875" s="82"/>
      <c r="W1875" s="82"/>
      <c r="X1875" s="82"/>
      <c r="Y1875" s="82"/>
      <c r="Z1875" s="82"/>
      <c r="AA1875" s="82"/>
      <c r="AB1875" s="82"/>
      <c r="AC1875" s="82"/>
      <c r="AD1875" s="82"/>
      <c r="AE1875" s="82"/>
      <c r="AF1875" s="82"/>
      <c r="AG1875" s="82"/>
      <c r="AH1875" s="82"/>
      <c r="AI1875" s="82"/>
      <c r="AJ1875" s="82"/>
      <c r="AK1875" s="82"/>
      <c r="AL1875" s="82"/>
      <c r="AM1875" s="82"/>
      <c r="AN1875" s="82">
        <f>IFERROR(__xludf.DUMMYFUNCTION("""COMPUTED_VALUE"""),0.0)</f>
        <v>0</v>
      </c>
      <c r="AO1875" s="82">
        <f>IFERROR(__xludf.DUMMYFUNCTION("""COMPUTED_VALUE"""),0.0)</f>
        <v>0</v>
      </c>
      <c r="AP1875" s="82">
        <f>IFERROR(__xludf.DUMMYFUNCTION("""COMPUTED_VALUE"""),0.0)</f>
        <v>0</v>
      </c>
      <c r="AQ1875" s="82">
        <f>IFERROR(__xludf.DUMMYFUNCTION("""COMPUTED_VALUE"""),0.0)</f>
        <v>0</v>
      </c>
      <c r="AR1875" s="82">
        <f>IFERROR(__xludf.DUMMYFUNCTION("""COMPUTED_VALUE"""),0.0)</f>
        <v>0</v>
      </c>
      <c r="AS1875" s="82"/>
      <c r="AT1875" s="82">
        <f>IFERROR(__xludf.DUMMYFUNCTION("""COMPUTED_VALUE"""),0.0)</f>
        <v>0</v>
      </c>
      <c r="AU1875" s="82"/>
      <c r="AV1875" s="82"/>
      <c r="AW1875" s="82" t="str">
        <f t="shared" si="1"/>
        <v/>
      </c>
      <c r="AX1875" s="83" t="str">
        <f t="array" ref="AX1875">IFERROR(DGET('SBV Import'!A:G,"SBV",{"RSC ID","Tier";B1875,A1875}))</f>
        <v/>
      </c>
      <c r="AY1875" s="82" t="str">
        <f t="shared" si="2"/>
        <v/>
      </c>
      <c r="AZ1875" s="82"/>
      <c r="BA1875" s="84" t="s">
        <v>152</v>
      </c>
      <c r="BB1875" s="84" t="str">
        <f>IFERROR(__xludf.DUMMYFUNCTION("iferror(if(A1875="""",,E1875&gt;=FILTER(Constants!$F$2:$F$10,Constants!$A$2:$A$10=A1875)))"),"")</f>
        <v/>
      </c>
    </row>
    <row r="1876">
      <c r="A1876" s="89"/>
      <c r="B1876" s="87"/>
      <c r="C1876" s="73"/>
      <c r="D1876" s="73"/>
      <c r="E1876" s="82"/>
      <c r="F1876" s="82"/>
      <c r="G1876" s="86"/>
      <c r="H1876" s="86"/>
      <c r="I1876" s="86"/>
      <c r="J1876" s="82"/>
      <c r="K1876" s="82"/>
      <c r="L1876" s="82"/>
      <c r="M1876" s="82"/>
      <c r="N1876" s="82"/>
      <c r="O1876" s="82"/>
      <c r="P1876" s="82"/>
      <c r="Q1876" s="82"/>
      <c r="R1876" s="82"/>
      <c r="S1876" s="82"/>
      <c r="T1876" s="82"/>
      <c r="U1876" s="82"/>
      <c r="V1876" s="82"/>
      <c r="W1876" s="82"/>
      <c r="X1876" s="82"/>
      <c r="Y1876" s="82"/>
      <c r="Z1876" s="82"/>
      <c r="AA1876" s="82"/>
      <c r="AB1876" s="82"/>
      <c r="AC1876" s="82"/>
      <c r="AD1876" s="82"/>
      <c r="AE1876" s="82"/>
      <c r="AF1876" s="82"/>
      <c r="AG1876" s="82"/>
      <c r="AH1876" s="82"/>
      <c r="AI1876" s="82"/>
      <c r="AJ1876" s="82"/>
      <c r="AK1876" s="82"/>
      <c r="AL1876" s="82"/>
      <c r="AM1876" s="82"/>
      <c r="AN1876" s="82">
        <f>IFERROR(__xludf.DUMMYFUNCTION("""COMPUTED_VALUE"""),0.0)</f>
        <v>0</v>
      </c>
      <c r="AO1876" s="82">
        <f>IFERROR(__xludf.DUMMYFUNCTION("""COMPUTED_VALUE"""),0.0)</f>
        <v>0</v>
      </c>
      <c r="AP1876" s="82">
        <f>IFERROR(__xludf.DUMMYFUNCTION("""COMPUTED_VALUE"""),0.0)</f>
        <v>0</v>
      </c>
      <c r="AQ1876" s="82">
        <f>IFERROR(__xludf.DUMMYFUNCTION("""COMPUTED_VALUE"""),0.0)</f>
        <v>0</v>
      </c>
      <c r="AR1876" s="82">
        <f>IFERROR(__xludf.DUMMYFUNCTION("""COMPUTED_VALUE"""),0.0)</f>
        <v>0</v>
      </c>
      <c r="AS1876" s="82"/>
      <c r="AT1876" s="82">
        <f>IFERROR(__xludf.DUMMYFUNCTION("""COMPUTED_VALUE"""),0.0)</f>
        <v>0</v>
      </c>
      <c r="AU1876" s="82"/>
      <c r="AV1876" s="82"/>
      <c r="AW1876" s="82" t="str">
        <f t="shared" si="1"/>
        <v/>
      </c>
      <c r="AX1876" s="83" t="str">
        <f t="array" ref="AX1876">IFERROR(DGET('SBV Import'!A:G,"SBV",{"RSC ID","Tier";B1876,A1876}))</f>
        <v/>
      </c>
      <c r="AY1876" s="82" t="str">
        <f t="shared" si="2"/>
        <v/>
      </c>
      <c r="AZ1876" s="82"/>
      <c r="BA1876" s="84" t="s">
        <v>152</v>
      </c>
      <c r="BB1876" s="84" t="str">
        <f>IFERROR(__xludf.DUMMYFUNCTION("iferror(if(A1876="""",,E1876&gt;=FILTER(Constants!$F$2:$F$10,Constants!$A$2:$A$10=A1876)))"),"")</f>
        <v/>
      </c>
    </row>
    <row r="1877">
      <c r="A1877" s="89"/>
      <c r="B1877" s="87"/>
      <c r="C1877" s="73"/>
      <c r="D1877" s="73"/>
      <c r="E1877" s="82"/>
      <c r="F1877" s="82"/>
      <c r="G1877" s="86"/>
      <c r="H1877" s="86"/>
      <c r="I1877" s="86"/>
      <c r="J1877" s="82"/>
      <c r="K1877" s="82"/>
      <c r="L1877" s="82"/>
      <c r="M1877" s="82"/>
      <c r="N1877" s="82"/>
      <c r="O1877" s="82"/>
      <c r="P1877" s="82"/>
      <c r="Q1877" s="82"/>
      <c r="R1877" s="82"/>
      <c r="S1877" s="82"/>
      <c r="T1877" s="82"/>
      <c r="U1877" s="82"/>
      <c r="V1877" s="82"/>
      <c r="W1877" s="82"/>
      <c r="X1877" s="82"/>
      <c r="Y1877" s="82"/>
      <c r="Z1877" s="82"/>
      <c r="AA1877" s="82"/>
      <c r="AB1877" s="82"/>
      <c r="AC1877" s="82"/>
      <c r="AD1877" s="82"/>
      <c r="AE1877" s="82"/>
      <c r="AF1877" s="82"/>
      <c r="AG1877" s="82"/>
      <c r="AH1877" s="82"/>
      <c r="AI1877" s="82"/>
      <c r="AJ1877" s="82"/>
      <c r="AK1877" s="82"/>
      <c r="AL1877" s="82"/>
      <c r="AM1877" s="82"/>
      <c r="AN1877" s="82">
        <f>IFERROR(__xludf.DUMMYFUNCTION("""COMPUTED_VALUE"""),0.0)</f>
        <v>0</v>
      </c>
      <c r="AO1877" s="82">
        <f>IFERROR(__xludf.DUMMYFUNCTION("""COMPUTED_VALUE"""),0.0)</f>
        <v>0</v>
      </c>
      <c r="AP1877" s="82">
        <f>IFERROR(__xludf.DUMMYFUNCTION("""COMPUTED_VALUE"""),0.0)</f>
        <v>0</v>
      </c>
      <c r="AQ1877" s="82">
        <f>IFERROR(__xludf.DUMMYFUNCTION("""COMPUTED_VALUE"""),0.0)</f>
        <v>0</v>
      </c>
      <c r="AR1877" s="82">
        <f>IFERROR(__xludf.DUMMYFUNCTION("""COMPUTED_VALUE"""),0.0)</f>
        <v>0</v>
      </c>
      <c r="AS1877" s="82"/>
      <c r="AT1877" s="82">
        <f>IFERROR(__xludf.DUMMYFUNCTION("""COMPUTED_VALUE"""),0.0)</f>
        <v>0</v>
      </c>
      <c r="AU1877" s="82"/>
      <c r="AV1877" s="82"/>
      <c r="AW1877" s="82" t="str">
        <f t="shared" si="1"/>
        <v/>
      </c>
      <c r="AX1877" s="83" t="str">
        <f t="array" ref="AX1877">IFERROR(DGET('SBV Import'!A:G,"SBV",{"RSC ID","Tier";B1877,A1877}))</f>
        <v/>
      </c>
      <c r="AY1877" s="82" t="str">
        <f t="shared" si="2"/>
        <v/>
      </c>
      <c r="AZ1877" s="82"/>
      <c r="BA1877" s="84" t="s">
        <v>152</v>
      </c>
      <c r="BB1877" s="84" t="str">
        <f>IFERROR(__xludf.DUMMYFUNCTION("iferror(if(A1877="""",,E1877&gt;=FILTER(Constants!$F$2:$F$10,Constants!$A$2:$A$10=A1877)))"),"")</f>
        <v/>
      </c>
    </row>
    <row r="1878">
      <c r="A1878" s="89"/>
      <c r="B1878" s="87"/>
      <c r="C1878" s="73"/>
      <c r="D1878" s="73"/>
      <c r="E1878" s="82"/>
      <c r="F1878" s="82"/>
      <c r="G1878" s="86"/>
      <c r="H1878" s="86"/>
      <c r="I1878" s="86"/>
      <c r="J1878" s="82"/>
      <c r="K1878" s="82"/>
      <c r="L1878" s="82"/>
      <c r="M1878" s="82"/>
      <c r="N1878" s="82"/>
      <c r="O1878" s="82"/>
      <c r="P1878" s="82"/>
      <c r="Q1878" s="82"/>
      <c r="R1878" s="82"/>
      <c r="S1878" s="82"/>
      <c r="T1878" s="82"/>
      <c r="U1878" s="82"/>
      <c r="V1878" s="82"/>
      <c r="W1878" s="82"/>
      <c r="X1878" s="82"/>
      <c r="Y1878" s="82"/>
      <c r="Z1878" s="82"/>
      <c r="AA1878" s="82"/>
      <c r="AB1878" s="82"/>
      <c r="AC1878" s="82"/>
      <c r="AD1878" s="82"/>
      <c r="AE1878" s="82"/>
      <c r="AF1878" s="82"/>
      <c r="AG1878" s="82"/>
      <c r="AH1878" s="82"/>
      <c r="AI1878" s="82"/>
      <c r="AJ1878" s="82"/>
      <c r="AK1878" s="82"/>
      <c r="AL1878" s="82"/>
      <c r="AM1878" s="82"/>
      <c r="AN1878" s="82">
        <f>IFERROR(__xludf.DUMMYFUNCTION("""COMPUTED_VALUE"""),0.0)</f>
        <v>0</v>
      </c>
      <c r="AO1878" s="82">
        <f>IFERROR(__xludf.DUMMYFUNCTION("""COMPUTED_VALUE"""),0.0)</f>
        <v>0</v>
      </c>
      <c r="AP1878" s="82">
        <f>IFERROR(__xludf.DUMMYFUNCTION("""COMPUTED_VALUE"""),0.0)</f>
        <v>0</v>
      </c>
      <c r="AQ1878" s="82">
        <f>IFERROR(__xludf.DUMMYFUNCTION("""COMPUTED_VALUE"""),0.0)</f>
        <v>0</v>
      </c>
      <c r="AR1878" s="82">
        <f>IFERROR(__xludf.DUMMYFUNCTION("""COMPUTED_VALUE"""),0.0)</f>
        <v>0</v>
      </c>
      <c r="AS1878" s="82"/>
      <c r="AT1878" s="82">
        <f>IFERROR(__xludf.DUMMYFUNCTION("""COMPUTED_VALUE"""),0.0)</f>
        <v>0</v>
      </c>
      <c r="AU1878" s="82"/>
      <c r="AV1878" s="82"/>
      <c r="AW1878" s="82" t="str">
        <f t="shared" si="1"/>
        <v/>
      </c>
      <c r="AX1878" s="83" t="str">
        <f t="array" ref="AX1878">IFERROR(DGET('SBV Import'!A:G,"SBV",{"RSC ID","Tier";B1878,A1878}))</f>
        <v/>
      </c>
      <c r="AY1878" s="82" t="str">
        <f t="shared" si="2"/>
        <v/>
      </c>
      <c r="AZ1878" s="82"/>
      <c r="BA1878" s="84" t="s">
        <v>152</v>
      </c>
      <c r="BB1878" s="84" t="str">
        <f>IFERROR(__xludf.DUMMYFUNCTION("iferror(if(A1878="""",,E1878&gt;=FILTER(Constants!$F$2:$F$10,Constants!$A$2:$A$10=A1878)))"),"")</f>
        <v/>
      </c>
    </row>
    <row r="1879">
      <c r="A1879" s="89"/>
      <c r="B1879" s="87"/>
      <c r="C1879" s="73"/>
      <c r="D1879" s="73"/>
      <c r="E1879" s="82"/>
      <c r="F1879" s="82"/>
      <c r="G1879" s="86"/>
      <c r="H1879" s="86"/>
      <c r="I1879" s="86"/>
      <c r="J1879" s="82"/>
      <c r="K1879" s="82"/>
      <c r="L1879" s="82"/>
      <c r="M1879" s="82"/>
      <c r="N1879" s="82"/>
      <c r="O1879" s="82"/>
      <c r="P1879" s="82"/>
      <c r="Q1879" s="82"/>
      <c r="R1879" s="82"/>
      <c r="S1879" s="82"/>
      <c r="T1879" s="82"/>
      <c r="U1879" s="82"/>
      <c r="V1879" s="82"/>
      <c r="W1879" s="82"/>
      <c r="X1879" s="82"/>
      <c r="Y1879" s="82"/>
      <c r="Z1879" s="82"/>
      <c r="AA1879" s="82"/>
      <c r="AB1879" s="82"/>
      <c r="AC1879" s="82"/>
      <c r="AD1879" s="82"/>
      <c r="AE1879" s="82"/>
      <c r="AF1879" s="82"/>
      <c r="AG1879" s="82"/>
      <c r="AH1879" s="82"/>
      <c r="AI1879" s="82"/>
      <c r="AJ1879" s="82"/>
      <c r="AK1879" s="82"/>
      <c r="AL1879" s="82"/>
      <c r="AM1879" s="82"/>
      <c r="AN1879" s="82">
        <f>IFERROR(__xludf.DUMMYFUNCTION("""COMPUTED_VALUE"""),0.0)</f>
        <v>0</v>
      </c>
      <c r="AO1879" s="82">
        <f>IFERROR(__xludf.DUMMYFUNCTION("""COMPUTED_VALUE"""),0.0)</f>
        <v>0</v>
      </c>
      <c r="AP1879" s="82">
        <f>IFERROR(__xludf.DUMMYFUNCTION("""COMPUTED_VALUE"""),0.0)</f>
        <v>0</v>
      </c>
      <c r="AQ1879" s="82">
        <f>IFERROR(__xludf.DUMMYFUNCTION("""COMPUTED_VALUE"""),0.0)</f>
        <v>0</v>
      </c>
      <c r="AR1879" s="82">
        <f>IFERROR(__xludf.DUMMYFUNCTION("""COMPUTED_VALUE"""),0.0)</f>
        <v>0</v>
      </c>
      <c r="AS1879" s="82"/>
      <c r="AT1879" s="82">
        <f>IFERROR(__xludf.DUMMYFUNCTION("""COMPUTED_VALUE"""),0.0)</f>
        <v>0</v>
      </c>
      <c r="AU1879" s="82"/>
      <c r="AV1879" s="82"/>
      <c r="AW1879" s="82" t="str">
        <f t="shared" si="1"/>
        <v/>
      </c>
      <c r="AX1879" s="83" t="str">
        <f t="array" ref="AX1879">IFERROR(DGET('SBV Import'!A:G,"SBV",{"RSC ID","Tier";B1879,A1879}))</f>
        <v/>
      </c>
      <c r="AY1879" s="82" t="str">
        <f t="shared" si="2"/>
        <v/>
      </c>
      <c r="AZ1879" s="82"/>
      <c r="BA1879" s="84" t="s">
        <v>152</v>
      </c>
      <c r="BB1879" s="84" t="str">
        <f>IFERROR(__xludf.DUMMYFUNCTION("iferror(if(A1879="""",,E1879&gt;=FILTER(Constants!$F$2:$F$10,Constants!$A$2:$A$10=A1879)))"),"")</f>
        <v/>
      </c>
    </row>
    <row r="1880">
      <c r="A1880" s="89"/>
      <c r="B1880" s="87"/>
      <c r="C1880" s="73"/>
      <c r="D1880" s="73"/>
      <c r="E1880" s="82"/>
      <c r="F1880" s="82"/>
      <c r="G1880" s="86"/>
      <c r="H1880" s="86"/>
      <c r="I1880" s="86"/>
      <c r="J1880" s="82"/>
      <c r="K1880" s="82"/>
      <c r="L1880" s="82"/>
      <c r="M1880" s="82"/>
      <c r="N1880" s="82"/>
      <c r="O1880" s="82"/>
      <c r="P1880" s="82"/>
      <c r="Q1880" s="82"/>
      <c r="R1880" s="82"/>
      <c r="S1880" s="82"/>
      <c r="T1880" s="82"/>
      <c r="U1880" s="82"/>
      <c r="V1880" s="82"/>
      <c r="W1880" s="82"/>
      <c r="X1880" s="82"/>
      <c r="Y1880" s="82"/>
      <c r="Z1880" s="82"/>
      <c r="AA1880" s="82"/>
      <c r="AB1880" s="82"/>
      <c r="AC1880" s="82"/>
      <c r="AD1880" s="82"/>
      <c r="AE1880" s="82"/>
      <c r="AF1880" s="82"/>
      <c r="AG1880" s="82"/>
      <c r="AH1880" s="82"/>
      <c r="AI1880" s="82"/>
      <c r="AJ1880" s="82"/>
      <c r="AK1880" s="82"/>
      <c r="AL1880" s="82"/>
      <c r="AM1880" s="82"/>
      <c r="AN1880" s="82">
        <f>IFERROR(__xludf.DUMMYFUNCTION("""COMPUTED_VALUE"""),0.0)</f>
        <v>0</v>
      </c>
      <c r="AO1880" s="82">
        <f>IFERROR(__xludf.DUMMYFUNCTION("""COMPUTED_VALUE"""),0.0)</f>
        <v>0</v>
      </c>
      <c r="AP1880" s="82">
        <f>IFERROR(__xludf.DUMMYFUNCTION("""COMPUTED_VALUE"""),0.0)</f>
        <v>0</v>
      </c>
      <c r="AQ1880" s="82">
        <f>IFERROR(__xludf.DUMMYFUNCTION("""COMPUTED_VALUE"""),0.0)</f>
        <v>0</v>
      </c>
      <c r="AR1880" s="82">
        <f>IFERROR(__xludf.DUMMYFUNCTION("""COMPUTED_VALUE"""),0.0)</f>
        <v>0</v>
      </c>
      <c r="AS1880" s="82"/>
      <c r="AT1880" s="82">
        <f>IFERROR(__xludf.DUMMYFUNCTION("""COMPUTED_VALUE"""),0.0)</f>
        <v>0</v>
      </c>
      <c r="AU1880" s="82"/>
      <c r="AV1880" s="82"/>
      <c r="AW1880" s="82" t="str">
        <f t="shared" si="1"/>
        <v/>
      </c>
      <c r="AX1880" s="83" t="str">
        <f t="array" ref="AX1880">IFERROR(DGET('SBV Import'!A:G,"SBV",{"RSC ID","Tier";B1880,A1880}))</f>
        <v/>
      </c>
      <c r="AY1880" s="82" t="str">
        <f t="shared" si="2"/>
        <v/>
      </c>
      <c r="AZ1880" s="82"/>
      <c r="BA1880" s="84" t="s">
        <v>152</v>
      </c>
      <c r="BB1880" s="84" t="str">
        <f>IFERROR(__xludf.DUMMYFUNCTION("iferror(if(A1880="""",,E1880&gt;=FILTER(Constants!$F$2:$F$10,Constants!$A$2:$A$10=A1880)))"),"")</f>
        <v/>
      </c>
    </row>
    <row r="1881">
      <c r="A1881" s="89"/>
      <c r="B1881" s="87"/>
      <c r="C1881" s="73"/>
      <c r="D1881" s="73"/>
      <c r="E1881" s="82"/>
      <c r="F1881" s="82"/>
      <c r="G1881" s="86"/>
      <c r="H1881" s="86"/>
      <c r="I1881" s="86"/>
      <c r="J1881" s="82"/>
      <c r="K1881" s="82"/>
      <c r="L1881" s="82"/>
      <c r="M1881" s="82"/>
      <c r="N1881" s="82"/>
      <c r="O1881" s="82"/>
      <c r="P1881" s="82"/>
      <c r="Q1881" s="82"/>
      <c r="R1881" s="82"/>
      <c r="S1881" s="82"/>
      <c r="T1881" s="82"/>
      <c r="U1881" s="82"/>
      <c r="V1881" s="82"/>
      <c r="W1881" s="82"/>
      <c r="X1881" s="82"/>
      <c r="Y1881" s="82"/>
      <c r="Z1881" s="82"/>
      <c r="AA1881" s="82"/>
      <c r="AB1881" s="82"/>
      <c r="AC1881" s="82"/>
      <c r="AD1881" s="82"/>
      <c r="AE1881" s="82"/>
      <c r="AF1881" s="82"/>
      <c r="AG1881" s="82"/>
      <c r="AH1881" s="82"/>
      <c r="AI1881" s="82"/>
      <c r="AJ1881" s="82"/>
      <c r="AK1881" s="82"/>
      <c r="AL1881" s="82"/>
      <c r="AM1881" s="82"/>
      <c r="AN1881" s="82">
        <f>IFERROR(__xludf.DUMMYFUNCTION("""COMPUTED_VALUE"""),0.0)</f>
        <v>0</v>
      </c>
      <c r="AO1881" s="82">
        <f>IFERROR(__xludf.DUMMYFUNCTION("""COMPUTED_VALUE"""),0.0)</f>
        <v>0</v>
      </c>
      <c r="AP1881" s="82">
        <f>IFERROR(__xludf.DUMMYFUNCTION("""COMPUTED_VALUE"""),0.0)</f>
        <v>0</v>
      </c>
      <c r="AQ1881" s="82">
        <f>IFERROR(__xludf.DUMMYFUNCTION("""COMPUTED_VALUE"""),0.0)</f>
        <v>0</v>
      </c>
      <c r="AR1881" s="82">
        <f>IFERROR(__xludf.DUMMYFUNCTION("""COMPUTED_VALUE"""),0.0)</f>
        <v>0</v>
      </c>
      <c r="AS1881" s="82"/>
      <c r="AT1881" s="82">
        <f>IFERROR(__xludf.DUMMYFUNCTION("""COMPUTED_VALUE"""),0.0)</f>
        <v>0</v>
      </c>
      <c r="AU1881" s="82"/>
      <c r="AV1881" s="82"/>
      <c r="AW1881" s="82" t="str">
        <f t="shared" si="1"/>
        <v/>
      </c>
      <c r="AX1881" s="83" t="str">
        <f t="array" ref="AX1881">IFERROR(DGET('SBV Import'!A:G,"SBV",{"RSC ID","Tier";B1881,A1881}))</f>
        <v/>
      </c>
      <c r="AY1881" s="82" t="str">
        <f t="shared" si="2"/>
        <v/>
      </c>
      <c r="AZ1881" s="82"/>
      <c r="BA1881" s="84" t="s">
        <v>152</v>
      </c>
      <c r="BB1881" s="84" t="str">
        <f>IFERROR(__xludf.DUMMYFUNCTION("iferror(if(A1881="""",,E1881&gt;=FILTER(Constants!$F$2:$F$10,Constants!$A$2:$A$10=A1881)))"),"")</f>
        <v/>
      </c>
    </row>
    <row r="1882">
      <c r="A1882" s="89"/>
      <c r="B1882" s="87"/>
      <c r="C1882" s="73"/>
      <c r="D1882" s="73"/>
      <c r="E1882" s="82"/>
      <c r="F1882" s="82"/>
      <c r="G1882" s="86"/>
      <c r="H1882" s="86"/>
      <c r="I1882" s="86"/>
      <c r="J1882" s="82"/>
      <c r="K1882" s="82"/>
      <c r="L1882" s="82"/>
      <c r="M1882" s="82"/>
      <c r="N1882" s="82"/>
      <c r="O1882" s="82"/>
      <c r="P1882" s="82"/>
      <c r="Q1882" s="82"/>
      <c r="R1882" s="82"/>
      <c r="S1882" s="82"/>
      <c r="T1882" s="82"/>
      <c r="U1882" s="82"/>
      <c r="V1882" s="82"/>
      <c r="W1882" s="82"/>
      <c r="X1882" s="82"/>
      <c r="Y1882" s="82"/>
      <c r="Z1882" s="82"/>
      <c r="AA1882" s="82"/>
      <c r="AB1882" s="82"/>
      <c r="AC1882" s="82"/>
      <c r="AD1882" s="82"/>
      <c r="AE1882" s="82"/>
      <c r="AF1882" s="82"/>
      <c r="AG1882" s="82"/>
      <c r="AH1882" s="82"/>
      <c r="AI1882" s="82"/>
      <c r="AJ1882" s="82"/>
      <c r="AK1882" s="82"/>
      <c r="AL1882" s="82"/>
      <c r="AM1882" s="82"/>
      <c r="AN1882" s="82">
        <f>IFERROR(__xludf.DUMMYFUNCTION("""COMPUTED_VALUE"""),0.0)</f>
        <v>0</v>
      </c>
      <c r="AO1882" s="82">
        <f>IFERROR(__xludf.DUMMYFUNCTION("""COMPUTED_VALUE"""),0.0)</f>
        <v>0</v>
      </c>
      <c r="AP1882" s="82">
        <f>IFERROR(__xludf.DUMMYFUNCTION("""COMPUTED_VALUE"""),0.0)</f>
        <v>0</v>
      </c>
      <c r="AQ1882" s="82">
        <f>IFERROR(__xludf.DUMMYFUNCTION("""COMPUTED_VALUE"""),0.0)</f>
        <v>0</v>
      </c>
      <c r="AR1882" s="82">
        <f>IFERROR(__xludf.DUMMYFUNCTION("""COMPUTED_VALUE"""),0.0)</f>
        <v>0</v>
      </c>
      <c r="AS1882" s="82"/>
      <c r="AT1882" s="82">
        <f>IFERROR(__xludf.DUMMYFUNCTION("""COMPUTED_VALUE"""),0.0)</f>
        <v>0</v>
      </c>
      <c r="AU1882" s="82"/>
      <c r="AV1882" s="82"/>
      <c r="AW1882" s="82" t="str">
        <f t="shared" si="1"/>
        <v/>
      </c>
      <c r="AX1882" s="83" t="str">
        <f t="array" ref="AX1882">IFERROR(DGET('SBV Import'!A:G,"SBV",{"RSC ID","Tier";B1882,A1882}))</f>
        <v/>
      </c>
      <c r="AY1882" s="82" t="str">
        <f t="shared" si="2"/>
        <v/>
      </c>
      <c r="AZ1882" s="82"/>
      <c r="BA1882" s="84" t="s">
        <v>152</v>
      </c>
      <c r="BB1882" s="84" t="str">
        <f>IFERROR(__xludf.DUMMYFUNCTION("iferror(if(A1882="""",,E1882&gt;=FILTER(Constants!$F$2:$F$10,Constants!$A$2:$A$10=A1882)))"),"")</f>
        <v/>
      </c>
    </row>
    <row r="1883">
      <c r="A1883" s="89"/>
      <c r="B1883" s="87"/>
      <c r="C1883" s="73"/>
      <c r="D1883" s="73"/>
      <c r="E1883" s="82"/>
      <c r="F1883" s="82"/>
      <c r="G1883" s="86"/>
      <c r="H1883" s="86"/>
      <c r="I1883" s="86"/>
      <c r="J1883" s="82"/>
      <c r="K1883" s="82"/>
      <c r="L1883" s="82"/>
      <c r="M1883" s="82"/>
      <c r="N1883" s="82"/>
      <c r="O1883" s="82"/>
      <c r="P1883" s="82"/>
      <c r="Q1883" s="82"/>
      <c r="R1883" s="82"/>
      <c r="S1883" s="82"/>
      <c r="T1883" s="82"/>
      <c r="U1883" s="82"/>
      <c r="V1883" s="82"/>
      <c r="W1883" s="82"/>
      <c r="X1883" s="82"/>
      <c r="Y1883" s="82"/>
      <c r="Z1883" s="82"/>
      <c r="AA1883" s="82"/>
      <c r="AB1883" s="82"/>
      <c r="AC1883" s="82"/>
      <c r="AD1883" s="82"/>
      <c r="AE1883" s="82"/>
      <c r="AF1883" s="82"/>
      <c r="AG1883" s="82"/>
      <c r="AH1883" s="82"/>
      <c r="AI1883" s="82"/>
      <c r="AJ1883" s="82"/>
      <c r="AK1883" s="82"/>
      <c r="AL1883" s="82"/>
      <c r="AM1883" s="82"/>
      <c r="AN1883" s="82">
        <f>IFERROR(__xludf.DUMMYFUNCTION("""COMPUTED_VALUE"""),0.0)</f>
        <v>0</v>
      </c>
      <c r="AO1883" s="82">
        <f>IFERROR(__xludf.DUMMYFUNCTION("""COMPUTED_VALUE"""),0.0)</f>
        <v>0</v>
      </c>
      <c r="AP1883" s="82">
        <f>IFERROR(__xludf.DUMMYFUNCTION("""COMPUTED_VALUE"""),0.0)</f>
        <v>0</v>
      </c>
      <c r="AQ1883" s="82">
        <f>IFERROR(__xludf.DUMMYFUNCTION("""COMPUTED_VALUE"""),0.0)</f>
        <v>0</v>
      </c>
      <c r="AR1883" s="82">
        <f>IFERROR(__xludf.DUMMYFUNCTION("""COMPUTED_VALUE"""),0.0)</f>
        <v>0</v>
      </c>
      <c r="AS1883" s="82"/>
      <c r="AT1883" s="82">
        <f>IFERROR(__xludf.DUMMYFUNCTION("""COMPUTED_VALUE"""),0.0)</f>
        <v>0</v>
      </c>
      <c r="AU1883" s="82"/>
      <c r="AV1883" s="82"/>
      <c r="AW1883" s="82" t="str">
        <f t="shared" si="1"/>
        <v/>
      </c>
      <c r="AX1883" s="83" t="str">
        <f t="array" ref="AX1883">IFERROR(DGET('SBV Import'!A:G,"SBV",{"RSC ID","Tier";B1883,A1883}))</f>
        <v/>
      </c>
      <c r="AY1883" s="82" t="str">
        <f t="shared" si="2"/>
        <v/>
      </c>
      <c r="AZ1883" s="82"/>
      <c r="BA1883" s="84" t="s">
        <v>152</v>
      </c>
      <c r="BB1883" s="84" t="str">
        <f>IFERROR(__xludf.DUMMYFUNCTION("iferror(if(A1883="""",,E1883&gt;=FILTER(Constants!$F$2:$F$10,Constants!$A$2:$A$10=A1883)))"),"")</f>
        <v/>
      </c>
    </row>
    <row r="1884">
      <c r="A1884" s="89"/>
      <c r="B1884" s="87"/>
      <c r="C1884" s="73"/>
      <c r="D1884" s="73"/>
      <c r="E1884" s="82"/>
      <c r="F1884" s="82"/>
      <c r="G1884" s="86"/>
      <c r="H1884" s="86"/>
      <c r="I1884" s="86"/>
      <c r="J1884" s="82"/>
      <c r="K1884" s="82"/>
      <c r="L1884" s="82"/>
      <c r="M1884" s="82"/>
      <c r="N1884" s="82"/>
      <c r="O1884" s="82"/>
      <c r="P1884" s="82"/>
      <c r="Q1884" s="82"/>
      <c r="R1884" s="82"/>
      <c r="S1884" s="82"/>
      <c r="T1884" s="82"/>
      <c r="U1884" s="82"/>
      <c r="V1884" s="82"/>
      <c r="W1884" s="82"/>
      <c r="X1884" s="82"/>
      <c r="Y1884" s="82"/>
      <c r="Z1884" s="82"/>
      <c r="AA1884" s="82"/>
      <c r="AB1884" s="82"/>
      <c r="AC1884" s="82"/>
      <c r="AD1884" s="82"/>
      <c r="AE1884" s="82"/>
      <c r="AF1884" s="82"/>
      <c r="AG1884" s="82"/>
      <c r="AH1884" s="82"/>
      <c r="AI1884" s="82"/>
      <c r="AJ1884" s="82"/>
      <c r="AK1884" s="82"/>
      <c r="AL1884" s="82"/>
      <c r="AM1884" s="82"/>
      <c r="AN1884" s="82">
        <f>IFERROR(__xludf.DUMMYFUNCTION("""COMPUTED_VALUE"""),0.0)</f>
        <v>0</v>
      </c>
      <c r="AO1884" s="82">
        <f>IFERROR(__xludf.DUMMYFUNCTION("""COMPUTED_VALUE"""),0.0)</f>
        <v>0</v>
      </c>
      <c r="AP1884" s="82">
        <f>IFERROR(__xludf.DUMMYFUNCTION("""COMPUTED_VALUE"""),0.0)</f>
        <v>0</v>
      </c>
      <c r="AQ1884" s="82">
        <f>IFERROR(__xludf.DUMMYFUNCTION("""COMPUTED_VALUE"""),0.0)</f>
        <v>0</v>
      </c>
      <c r="AR1884" s="82">
        <f>IFERROR(__xludf.DUMMYFUNCTION("""COMPUTED_VALUE"""),0.0)</f>
        <v>0</v>
      </c>
      <c r="AS1884" s="82"/>
      <c r="AT1884" s="82">
        <f>IFERROR(__xludf.DUMMYFUNCTION("""COMPUTED_VALUE"""),0.0)</f>
        <v>0</v>
      </c>
      <c r="AU1884" s="82"/>
      <c r="AV1884" s="82"/>
      <c r="AW1884" s="82" t="str">
        <f t="shared" si="1"/>
        <v/>
      </c>
      <c r="AX1884" s="83" t="str">
        <f t="array" ref="AX1884">IFERROR(DGET('SBV Import'!A:G,"SBV",{"RSC ID","Tier";B1884,A1884}))</f>
        <v/>
      </c>
      <c r="AY1884" s="82" t="str">
        <f t="shared" si="2"/>
        <v/>
      </c>
      <c r="AZ1884" s="82"/>
      <c r="BA1884" s="84" t="s">
        <v>152</v>
      </c>
      <c r="BB1884" s="84" t="str">
        <f>IFERROR(__xludf.DUMMYFUNCTION("iferror(if(A1884="""",,E1884&gt;=FILTER(Constants!$F$2:$F$10,Constants!$A$2:$A$10=A1884)))"),"")</f>
        <v/>
      </c>
    </row>
    <row r="1885">
      <c r="A1885" s="89"/>
      <c r="B1885" s="87"/>
      <c r="C1885" s="73"/>
      <c r="D1885" s="73"/>
      <c r="E1885" s="82"/>
      <c r="F1885" s="82"/>
      <c r="G1885" s="86"/>
      <c r="H1885" s="86"/>
      <c r="I1885" s="86"/>
      <c r="J1885" s="82"/>
      <c r="K1885" s="82"/>
      <c r="L1885" s="82"/>
      <c r="M1885" s="82"/>
      <c r="N1885" s="82"/>
      <c r="O1885" s="82"/>
      <c r="P1885" s="82"/>
      <c r="Q1885" s="82"/>
      <c r="R1885" s="82"/>
      <c r="S1885" s="82"/>
      <c r="T1885" s="82"/>
      <c r="U1885" s="82"/>
      <c r="V1885" s="82"/>
      <c r="W1885" s="82"/>
      <c r="X1885" s="82"/>
      <c r="Y1885" s="82"/>
      <c r="Z1885" s="82"/>
      <c r="AA1885" s="82"/>
      <c r="AB1885" s="82"/>
      <c r="AC1885" s="82"/>
      <c r="AD1885" s="82"/>
      <c r="AE1885" s="82"/>
      <c r="AF1885" s="82"/>
      <c r="AG1885" s="82"/>
      <c r="AH1885" s="82"/>
      <c r="AI1885" s="82"/>
      <c r="AJ1885" s="82"/>
      <c r="AK1885" s="82"/>
      <c r="AL1885" s="82"/>
      <c r="AM1885" s="82"/>
      <c r="AN1885" s="82">
        <f>IFERROR(__xludf.DUMMYFUNCTION("""COMPUTED_VALUE"""),0.0)</f>
        <v>0</v>
      </c>
      <c r="AO1885" s="82">
        <f>IFERROR(__xludf.DUMMYFUNCTION("""COMPUTED_VALUE"""),0.0)</f>
        <v>0</v>
      </c>
      <c r="AP1885" s="82">
        <f>IFERROR(__xludf.DUMMYFUNCTION("""COMPUTED_VALUE"""),0.0)</f>
        <v>0</v>
      </c>
      <c r="AQ1885" s="82">
        <f>IFERROR(__xludf.DUMMYFUNCTION("""COMPUTED_VALUE"""),0.0)</f>
        <v>0</v>
      </c>
      <c r="AR1885" s="82">
        <f>IFERROR(__xludf.DUMMYFUNCTION("""COMPUTED_VALUE"""),0.0)</f>
        <v>0</v>
      </c>
      <c r="AS1885" s="82"/>
      <c r="AT1885" s="82">
        <f>IFERROR(__xludf.DUMMYFUNCTION("""COMPUTED_VALUE"""),0.0)</f>
        <v>0</v>
      </c>
      <c r="AU1885" s="82"/>
      <c r="AV1885" s="82"/>
      <c r="AW1885" s="82" t="str">
        <f t="shared" si="1"/>
        <v/>
      </c>
      <c r="AX1885" s="83" t="str">
        <f t="array" ref="AX1885">IFERROR(DGET('SBV Import'!A:G,"SBV",{"RSC ID","Tier";B1885,A1885}))</f>
        <v/>
      </c>
      <c r="AY1885" s="82" t="str">
        <f t="shared" si="2"/>
        <v/>
      </c>
      <c r="AZ1885" s="82"/>
      <c r="BA1885" s="84" t="s">
        <v>152</v>
      </c>
      <c r="BB1885" s="84" t="str">
        <f>IFERROR(__xludf.DUMMYFUNCTION("iferror(if(A1885="""",,E1885&gt;=FILTER(Constants!$F$2:$F$10,Constants!$A$2:$A$10=A1885)))"),"")</f>
        <v/>
      </c>
    </row>
    <row r="1886">
      <c r="A1886" s="89"/>
      <c r="B1886" s="87"/>
      <c r="C1886" s="73"/>
      <c r="D1886" s="73"/>
      <c r="E1886" s="82"/>
      <c r="F1886" s="82"/>
      <c r="G1886" s="86"/>
      <c r="H1886" s="86"/>
      <c r="I1886" s="86"/>
      <c r="J1886" s="82"/>
      <c r="K1886" s="82"/>
      <c r="L1886" s="82"/>
      <c r="M1886" s="82"/>
      <c r="N1886" s="82"/>
      <c r="O1886" s="82"/>
      <c r="P1886" s="82"/>
      <c r="Q1886" s="82"/>
      <c r="R1886" s="82"/>
      <c r="S1886" s="82"/>
      <c r="T1886" s="82"/>
      <c r="U1886" s="82"/>
      <c r="V1886" s="82"/>
      <c r="W1886" s="82"/>
      <c r="X1886" s="82"/>
      <c r="Y1886" s="82"/>
      <c r="Z1886" s="82"/>
      <c r="AA1886" s="82"/>
      <c r="AB1886" s="82"/>
      <c r="AC1886" s="82"/>
      <c r="AD1886" s="82"/>
      <c r="AE1886" s="82"/>
      <c r="AF1886" s="82"/>
      <c r="AG1886" s="82"/>
      <c r="AH1886" s="82"/>
      <c r="AI1886" s="82"/>
      <c r="AJ1886" s="82"/>
      <c r="AK1886" s="82"/>
      <c r="AL1886" s="82"/>
      <c r="AM1886" s="82"/>
      <c r="AN1886" s="82">
        <f>IFERROR(__xludf.DUMMYFUNCTION("""COMPUTED_VALUE"""),0.0)</f>
        <v>0</v>
      </c>
      <c r="AO1886" s="82">
        <f>IFERROR(__xludf.DUMMYFUNCTION("""COMPUTED_VALUE"""),0.0)</f>
        <v>0</v>
      </c>
      <c r="AP1886" s="82">
        <f>IFERROR(__xludf.DUMMYFUNCTION("""COMPUTED_VALUE"""),0.0)</f>
        <v>0</v>
      </c>
      <c r="AQ1886" s="82">
        <f>IFERROR(__xludf.DUMMYFUNCTION("""COMPUTED_VALUE"""),0.0)</f>
        <v>0</v>
      </c>
      <c r="AR1886" s="82">
        <f>IFERROR(__xludf.DUMMYFUNCTION("""COMPUTED_VALUE"""),0.0)</f>
        <v>0</v>
      </c>
      <c r="AS1886" s="82"/>
      <c r="AT1886" s="82">
        <f>IFERROR(__xludf.DUMMYFUNCTION("""COMPUTED_VALUE"""),0.0)</f>
        <v>0</v>
      </c>
      <c r="AU1886" s="82"/>
      <c r="AV1886" s="82"/>
      <c r="AW1886" s="82" t="str">
        <f t="shared" si="1"/>
        <v/>
      </c>
      <c r="AX1886" s="83" t="str">
        <f t="array" ref="AX1886">IFERROR(DGET('SBV Import'!A:G,"SBV",{"RSC ID","Tier";B1886,A1886}))</f>
        <v/>
      </c>
      <c r="AY1886" s="82" t="str">
        <f t="shared" si="2"/>
        <v/>
      </c>
      <c r="AZ1886" s="82"/>
      <c r="BA1886" s="84" t="s">
        <v>152</v>
      </c>
      <c r="BB1886" s="84" t="str">
        <f>IFERROR(__xludf.DUMMYFUNCTION("iferror(if(A1886="""",,E1886&gt;=FILTER(Constants!$F$2:$F$10,Constants!$A$2:$A$10=A1886)))"),"")</f>
        <v/>
      </c>
    </row>
    <row r="1887">
      <c r="A1887" s="89"/>
      <c r="B1887" s="87"/>
      <c r="C1887" s="73"/>
      <c r="D1887" s="73"/>
      <c r="E1887" s="82"/>
      <c r="F1887" s="82"/>
      <c r="G1887" s="86"/>
      <c r="H1887" s="86"/>
      <c r="I1887" s="86"/>
      <c r="J1887" s="82"/>
      <c r="K1887" s="82"/>
      <c r="L1887" s="82"/>
      <c r="M1887" s="82"/>
      <c r="N1887" s="82"/>
      <c r="O1887" s="82"/>
      <c r="P1887" s="82"/>
      <c r="Q1887" s="82"/>
      <c r="R1887" s="82"/>
      <c r="S1887" s="82"/>
      <c r="T1887" s="82"/>
      <c r="U1887" s="82"/>
      <c r="V1887" s="82"/>
      <c r="W1887" s="82"/>
      <c r="X1887" s="82"/>
      <c r="Y1887" s="82"/>
      <c r="Z1887" s="82"/>
      <c r="AA1887" s="82"/>
      <c r="AB1887" s="82"/>
      <c r="AC1887" s="82"/>
      <c r="AD1887" s="82"/>
      <c r="AE1887" s="82"/>
      <c r="AF1887" s="82"/>
      <c r="AG1887" s="82"/>
      <c r="AH1887" s="82"/>
      <c r="AI1887" s="82"/>
      <c r="AJ1887" s="82"/>
      <c r="AK1887" s="82"/>
      <c r="AL1887" s="82"/>
      <c r="AM1887" s="82"/>
      <c r="AN1887" s="82">
        <f>IFERROR(__xludf.DUMMYFUNCTION("""COMPUTED_VALUE"""),0.0)</f>
        <v>0</v>
      </c>
      <c r="AO1887" s="82">
        <f>IFERROR(__xludf.DUMMYFUNCTION("""COMPUTED_VALUE"""),0.0)</f>
        <v>0</v>
      </c>
      <c r="AP1887" s="82">
        <f>IFERROR(__xludf.DUMMYFUNCTION("""COMPUTED_VALUE"""),0.0)</f>
        <v>0</v>
      </c>
      <c r="AQ1887" s="82">
        <f>IFERROR(__xludf.DUMMYFUNCTION("""COMPUTED_VALUE"""),0.0)</f>
        <v>0</v>
      </c>
      <c r="AR1887" s="82">
        <f>IFERROR(__xludf.DUMMYFUNCTION("""COMPUTED_VALUE"""),0.0)</f>
        <v>0</v>
      </c>
      <c r="AS1887" s="82"/>
      <c r="AT1887" s="82">
        <f>IFERROR(__xludf.DUMMYFUNCTION("""COMPUTED_VALUE"""),0.0)</f>
        <v>0</v>
      </c>
      <c r="AU1887" s="82"/>
      <c r="AV1887" s="82"/>
      <c r="AW1887" s="82" t="str">
        <f t="shared" si="1"/>
        <v/>
      </c>
      <c r="AX1887" s="83" t="str">
        <f t="array" ref="AX1887">IFERROR(DGET('SBV Import'!A:G,"SBV",{"RSC ID","Tier";B1887,A1887}))</f>
        <v/>
      </c>
      <c r="AY1887" s="82" t="str">
        <f t="shared" si="2"/>
        <v/>
      </c>
      <c r="AZ1887" s="82"/>
      <c r="BA1887" s="84" t="s">
        <v>152</v>
      </c>
      <c r="BB1887" s="84" t="str">
        <f>IFERROR(__xludf.DUMMYFUNCTION("iferror(if(A1887="""",,E1887&gt;=FILTER(Constants!$F$2:$F$10,Constants!$A$2:$A$10=A1887)))"),"")</f>
        <v/>
      </c>
    </row>
    <row r="1888">
      <c r="A1888" s="89"/>
      <c r="B1888" s="87"/>
      <c r="C1888" s="73"/>
      <c r="D1888" s="73"/>
      <c r="E1888" s="82"/>
      <c r="F1888" s="82"/>
      <c r="G1888" s="86"/>
      <c r="H1888" s="86"/>
      <c r="I1888" s="86"/>
      <c r="J1888" s="82"/>
      <c r="K1888" s="82"/>
      <c r="L1888" s="82"/>
      <c r="M1888" s="82"/>
      <c r="N1888" s="82"/>
      <c r="O1888" s="82"/>
      <c r="P1888" s="82"/>
      <c r="Q1888" s="82"/>
      <c r="R1888" s="82"/>
      <c r="S1888" s="82"/>
      <c r="T1888" s="82"/>
      <c r="U1888" s="82"/>
      <c r="V1888" s="82"/>
      <c r="W1888" s="82"/>
      <c r="X1888" s="82"/>
      <c r="Y1888" s="82"/>
      <c r="Z1888" s="82"/>
      <c r="AA1888" s="82"/>
      <c r="AB1888" s="82"/>
      <c r="AC1888" s="82"/>
      <c r="AD1888" s="82"/>
      <c r="AE1888" s="82"/>
      <c r="AF1888" s="82"/>
      <c r="AG1888" s="82"/>
      <c r="AH1888" s="82"/>
      <c r="AI1888" s="82"/>
      <c r="AJ1888" s="82"/>
      <c r="AK1888" s="82"/>
      <c r="AL1888" s="82"/>
      <c r="AM1888" s="82"/>
      <c r="AN1888" s="82">
        <f>IFERROR(__xludf.DUMMYFUNCTION("""COMPUTED_VALUE"""),0.0)</f>
        <v>0</v>
      </c>
      <c r="AO1888" s="82">
        <f>IFERROR(__xludf.DUMMYFUNCTION("""COMPUTED_VALUE"""),0.0)</f>
        <v>0</v>
      </c>
      <c r="AP1888" s="82">
        <f>IFERROR(__xludf.DUMMYFUNCTION("""COMPUTED_VALUE"""),0.0)</f>
        <v>0</v>
      </c>
      <c r="AQ1888" s="82">
        <f>IFERROR(__xludf.DUMMYFUNCTION("""COMPUTED_VALUE"""),0.0)</f>
        <v>0</v>
      </c>
      <c r="AR1888" s="82">
        <f>IFERROR(__xludf.DUMMYFUNCTION("""COMPUTED_VALUE"""),0.0)</f>
        <v>0</v>
      </c>
      <c r="AS1888" s="82"/>
      <c r="AT1888" s="82">
        <f>IFERROR(__xludf.DUMMYFUNCTION("""COMPUTED_VALUE"""),0.0)</f>
        <v>0</v>
      </c>
      <c r="AU1888" s="82"/>
      <c r="AV1888" s="82"/>
      <c r="AW1888" s="82" t="str">
        <f t="shared" si="1"/>
        <v/>
      </c>
      <c r="AX1888" s="83" t="str">
        <f t="array" ref="AX1888">IFERROR(DGET('SBV Import'!A:G,"SBV",{"RSC ID","Tier";B1888,A1888}))</f>
        <v/>
      </c>
      <c r="AY1888" s="82" t="str">
        <f t="shared" si="2"/>
        <v/>
      </c>
      <c r="AZ1888" s="82"/>
      <c r="BA1888" s="84" t="s">
        <v>152</v>
      </c>
      <c r="BB1888" s="84" t="str">
        <f>IFERROR(__xludf.DUMMYFUNCTION("iferror(if(A1888="""",,E1888&gt;=FILTER(Constants!$F$2:$F$10,Constants!$A$2:$A$10=A1888)))"),"")</f>
        <v/>
      </c>
    </row>
    <row r="1889">
      <c r="A1889" s="89"/>
      <c r="B1889" s="87"/>
      <c r="C1889" s="73"/>
      <c r="D1889" s="73"/>
      <c r="E1889" s="82"/>
      <c r="F1889" s="82"/>
      <c r="G1889" s="86"/>
      <c r="H1889" s="86"/>
      <c r="I1889" s="86"/>
      <c r="J1889" s="82"/>
      <c r="K1889" s="82"/>
      <c r="L1889" s="82"/>
      <c r="M1889" s="82"/>
      <c r="N1889" s="82"/>
      <c r="O1889" s="82"/>
      <c r="P1889" s="82"/>
      <c r="Q1889" s="82"/>
      <c r="R1889" s="82"/>
      <c r="S1889" s="82"/>
      <c r="T1889" s="82"/>
      <c r="U1889" s="82"/>
      <c r="V1889" s="82"/>
      <c r="W1889" s="82"/>
      <c r="X1889" s="82"/>
      <c r="Y1889" s="82"/>
      <c r="Z1889" s="82"/>
      <c r="AA1889" s="82"/>
      <c r="AB1889" s="82"/>
      <c r="AC1889" s="82"/>
      <c r="AD1889" s="82"/>
      <c r="AE1889" s="82"/>
      <c r="AF1889" s="82"/>
      <c r="AG1889" s="82"/>
      <c r="AH1889" s="82"/>
      <c r="AI1889" s="82"/>
      <c r="AJ1889" s="82"/>
      <c r="AK1889" s="82"/>
      <c r="AL1889" s="82"/>
      <c r="AM1889" s="82"/>
      <c r="AN1889" s="82">
        <f>IFERROR(__xludf.DUMMYFUNCTION("""COMPUTED_VALUE"""),0.0)</f>
        <v>0</v>
      </c>
      <c r="AO1889" s="82">
        <f>IFERROR(__xludf.DUMMYFUNCTION("""COMPUTED_VALUE"""),0.0)</f>
        <v>0</v>
      </c>
      <c r="AP1889" s="82">
        <f>IFERROR(__xludf.DUMMYFUNCTION("""COMPUTED_VALUE"""),0.0)</f>
        <v>0</v>
      </c>
      <c r="AQ1889" s="82">
        <f>IFERROR(__xludf.DUMMYFUNCTION("""COMPUTED_VALUE"""),0.0)</f>
        <v>0</v>
      </c>
      <c r="AR1889" s="82">
        <f>IFERROR(__xludf.DUMMYFUNCTION("""COMPUTED_VALUE"""),0.0)</f>
        <v>0</v>
      </c>
      <c r="AS1889" s="82"/>
      <c r="AT1889" s="82">
        <f>IFERROR(__xludf.DUMMYFUNCTION("""COMPUTED_VALUE"""),0.0)</f>
        <v>0</v>
      </c>
      <c r="AU1889" s="82"/>
      <c r="AV1889" s="82"/>
      <c r="AW1889" s="82" t="str">
        <f t="shared" si="1"/>
        <v/>
      </c>
      <c r="AX1889" s="83" t="str">
        <f t="array" ref="AX1889">IFERROR(DGET('SBV Import'!A:G,"SBV",{"RSC ID","Tier";B1889,A1889}))</f>
        <v/>
      </c>
      <c r="AY1889" s="82" t="str">
        <f t="shared" si="2"/>
        <v/>
      </c>
      <c r="AZ1889" s="82"/>
      <c r="BA1889" s="84" t="s">
        <v>152</v>
      </c>
      <c r="BB1889" s="84" t="str">
        <f>IFERROR(__xludf.DUMMYFUNCTION("iferror(if(A1889="""",,E1889&gt;=FILTER(Constants!$F$2:$F$10,Constants!$A$2:$A$10=A1889)))"),"")</f>
        <v/>
      </c>
    </row>
    <row r="1890">
      <c r="A1890" s="89"/>
      <c r="B1890" s="87"/>
      <c r="C1890" s="73"/>
      <c r="D1890" s="73"/>
      <c r="E1890" s="82"/>
      <c r="F1890" s="82"/>
      <c r="G1890" s="86"/>
      <c r="H1890" s="86"/>
      <c r="I1890" s="86"/>
      <c r="J1890" s="82"/>
      <c r="K1890" s="82"/>
      <c r="L1890" s="82"/>
      <c r="M1890" s="82"/>
      <c r="N1890" s="82"/>
      <c r="O1890" s="82"/>
      <c r="P1890" s="82"/>
      <c r="Q1890" s="82"/>
      <c r="R1890" s="82"/>
      <c r="S1890" s="82"/>
      <c r="T1890" s="82"/>
      <c r="U1890" s="82"/>
      <c r="V1890" s="82"/>
      <c r="W1890" s="82"/>
      <c r="X1890" s="82"/>
      <c r="Y1890" s="82"/>
      <c r="Z1890" s="82"/>
      <c r="AA1890" s="82"/>
      <c r="AB1890" s="82"/>
      <c r="AC1890" s="82"/>
      <c r="AD1890" s="82"/>
      <c r="AE1890" s="82"/>
      <c r="AF1890" s="82"/>
      <c r="AG1890" s="82"/>
      <c r="AH1890" s="82"/>
      <c r="AI1890" s="82"/>
      <c r="AJ1890" s="82"/>
      <c r="AK1890" s="82"/>
      <c r="AL1890" s="82"/>
      <c r="AM1890" s="82"/>
      <c r="AN1890" s="82">
        <f>IFERROR(__xludf.DUMMYFUNCTION("""COMPUTED_VALUE"""),0.0)</f>
        <v>0</v>
      </c>
      <c r="AO1890" s="82">
        <f>IFERROR(__xludf.DUMMYFUNCTION("""COMPUTED_VALUE"""),0.0)</f>
        <v>0</v>
      </c>
      <c r="AP1890" s="82">
        <f>IFERROR(__xludf.DUMMYFUNCTION("""COMPUTED_VALUE"""),0.0)</f>
        <v>0</v>
      </c>
      <c r="AQ1890" s="82">
        <f>IFERROR(__xludf.DUMMYFUNCTION("""COMPUTED_VALUE"""),0.0)</f>
        <v>0</v>
      </c>
      <c r="AR1890" s="82">
        <f>IFERROR(__xludf.DUMMYFUNCTION("""COMPUTED_VALUE"""),0.0)</f>
        <v>0</v>
      </c>
      <c r="AS1890" s="82"/>
      <c r="AT1890" s="82">
        <f>IFERROR(__xludf.DUMMYFUNCTION("""COMPUTED_VALUE"""),0.0)</f>
        <v>0</v>
      </c>
      <c r="AU1890" s="82"/>
      <c r="AV1890" s="82"/>
      <c r="AW1890" s="82" t="str">
        <f t="shared" si="1"/>
        <v/>
      </c>
      <c r="AX1890" s="83" t="str">
        <f t="array" ref="AX1890">IFERROR(DGET('SBV Import'!A:G,"SBV",{"RSC ID","Tier";B1890,A1890}))</f>
        <v/>
      </c>
      <c r="AY1890" s="82" t="str">
        <f t="shared" si="2"/>
        <v/>
      </c>
      <c r="AZ1890" s="82"/>
      <c r="BA1890" s="84" t="s">
        <v>152</v>
      </c>
      <c r="BB1890" s="84" t="str">
        <f>IFERROR(__xludf.DUMMYFUNCTION("iferror(if(A1890="""",,E1890&gt;=FILTER(Constants!$F$2:$F$10,Constants!$A$2:$A$10=A1890)))"),"")</f>
        <v/>
      </c>
    </row>
    <row r="1891">
      <c r="A1891" s="89"/>
      <c r="B1891" s="87"/>
      <c r="C1891" s="73"/>
      <c r="D1891" s="73"/>
      <c r="E1891" s="82"/>
      <c r="F1891" s="82"/>
      <c r="G1891" s="86"/>
      <c r="H1891" s="86"/>
      <c r="I1891" s="86"/>
      <c r="J1891" s="82"/>
      <c r="K1891" s="82"/>
      <c r="L1891" s="82"/>
      <c r="M1891" s="82"/>
      <c r="N1891" s="82"/>
      <c r="O1891" s="82"/>
      <c r="P1891" s="82"/>
      <c r="Q1891" s="82"/>
      <c r="R1891" s="82"/>
      <c r="S1891" s="82"/>
      <c r="T1891" s="82"/>
      <c r="U1891" s="82"/>
      <c r="V1891" s="82"/>
      <c r="W1891" s="82"/>
      <c r="X1891" s="82"/>
      <c r="Y1891" s="82"/>
      <c r="Z1891" s="82"/>
      <c r="AA1891" s="82"/>
      <c r="AB1891" s="82"/>
      <c r="AC1891" s="82"/>
      <c r="AD1891" s="82"/>
      <c r="AE1891" s="82"/>
      <c r="AF1891" s="82"/>
      <c r="AG1891" s="82"/>
      <c r="AH1891" s="82"/>
      <c r="AI1891" s="82"/>
      <c r="AJ1891" s="82"/>
      <c r="AK1891" s="82"/>
      <c r="AL1891" s="82"/>
      <c r="AM1891" s="82"/>
      <c r="AN1891" s="82">
        <f>IFERROR(__xludf.DUMMYFUNCTION("""COMPUTED_VALUE"""),0.0)</f>
        <v>0</v>
      </c>
      <c r="AO1891" s="82">
        <f>IFERROR(__xludf.DUMMYFUNCTION("""COMPUTED_VALUE"""),0.0)</f>
        <v>0</v>
      </c>
      <c r="AP1891" s="82">
        <f>IFERROR(__xludf.DUMMYFUNCTION("""COMPUTED_VALUE"""),0.0)</f>
        <v>0</v>
      </c>
      <c r="AQ1891" s="82">
        <f>IFERROR(__xludf.DUMMYFUNCTION("""COMPUTED_VALUE"""),0.0)</f>
        <v>0</v>
      </c>
      <c r="AR1891" s="82">
        <f>IFERROR(__xludf.DUMMYFUNCTION("""COMPUTED_VALUE"""),0.0)</f>
        <v>0</v>
      </c>
      <c r="AS1891" s="82"/>
      <c r="AT1891" s="82">
        <f>IFERROR(__xludf.DUMMYFUNCTION("""COMPUTED_VALUE"""),0.0)</f>
        <v>0</v>
      </c>
      <c r="AU1891" s="82"/>
      <c r="AV1891" s="82"/>
      <c r="AW1891" s="82" t="str">
        <f t="shared" si="1"/>
        <v/>
      </c>
      <c r="AX1891" s="83" t="str">
        <f t="array" ref="AX1891">IFERROR(DGET('SBV Import'!A:G,"SBV",{"RSC ID","Tier";B1891,A1891}))</f>
        <v/>
      </c>
      <c r="AY1891" s="82" t="str">
        <f t="shared" si="2"/>
        <v/>
      </c>
      <c r="AZ1891" s="82"/>
      <c r="BA1891" s="84" t="s">
        <v>152</v>
      </c>
      <c r="BB1891" s="84" t="str">
        <f>IFERROR(__xludf.DUMMYFUNCTION("iferror(if(A1891="""",,E1891&gt;=FILTER(Constants!$F$2:$F$10,Constants!$A$2:$A$10=A1891)))"),"")</f>
        <v/>
      </c>
    </row>
    <row r="1892">
      <c r="A1892" s="89"/>
      <c r="B1892" s="87"/>
      <c r="C1892" s="73"/>
      <c r="D1892" s="73"/>
      <c r="E1892" s="82"/>
      <c r="F1892" s="82"/>
      <c r="G1892" s="86"/>
      <c r="H1892" s="86"/>
      <c r="I1892" s="86"/>
      <c r="J1892" s="82"/>
      <c r="K1892" s="82"/>
      <c r="L1892" s="82"/>
      <c r="M1892" s="82"/>
      <c r="N1892" s="82"/>
      <c r="O1892" s="82"/>
      <c r="P1892" s="82"/>
      <c r="Q1892" s="82"/>
      <c r="R1892" s="82"/>
      <c r="S1892" s="82"/>
      <c r="T1892" s="82"/>
      <c r="U1892" s="82"/>
      <c r="V1892" s="82"/>
      <c r="W1892" s="82"/>
      <c r="X1892" s="82"/>
      <c r="Y1892" s="82"/>
      <c r="Z1892" s="82"/>
      <c r="AA1892" s="82"/>
      <c r="AB1892" s="82"/>
      <c r="AC1892" s="82"/>
      <c r="AD1892" s="82"/>
      <c r="AE1892" s="82"/>
      <c r="AF1892" s="82"/>
      <c r="AG1892" s="82"/>
      <c r="AH1892" s="82"/>
      <c r="AI1892" s="82"/>
      <c r="AJ1892" s="82"/>
      <c r="AK1892" s="82"/>
      <c r="AL1892" s="82"/>
      <c r="AM1892" s="82"/>
      <c r="AN1892" s="82">
        <f>IFERROR(__xludf.DUMMYFUNCTION("""COMPUTED_VALUE"""),0.0)</f>
        <v>0</v>
      </c>
      <c r="AO1892" s="82">
        <f>IFERROR(__xludf.DUMMYFUNCTION("""COMPUTED_VALUE"""),0.0)</f>
        <v>0</v>
      </c>
      <c r="AP1892" s="82">
        <f>IFERROR(__xludf.DUMMYFUNCTION("""COMPUTED_VALUE"""),0.0)</f>
        <v>0</v>
      </c>
      <c r="AQ1892" s="82">
        <f>IFERROR(__xludf.DUMMYFUNCTION("""COMPUTED_VALUE"""),0.0)</f>
        <v>0</v>
      </c>
      <c r="AR1892" s="82">
        <f>IFERROR(__xludf.DUMMYFUNCTION("""COMPUTED_VALUE"""),0.0)</f>
        <v>0</v>
      </c>
      <c r="AS1892" s="82"/>
      <c r="AT1892" s="82">
        <f>IFERROR(__xludf.DUMMYFUNCTION("""COMPUTED_VALUE"""),0.0)</f>
        <v>0</v>
      </c>
      <c r="AU1892" s="82"/>
      <c r="AV1892" s="82"/>
      <c r="AW1892" s="82" t="str">
        <f t="shared" si="1"/>
        <v/>
      </c>
      <c r="AX1892" s="83" t="str">
        <f t="array" ref="AX1892">IFERROR(DGET('SBV Import'!A:G,"SBV",{"RSC ID","Tier";B1892,A1892}))</f>
        <v/>
      </c>
      <c r="AY1892" s="82" t="str">
        <f t="shared" si="2"/>
        <v/>
      </c>
      <c r="AZ1892" s="82"/>
      <c r="BA1892" s="84" t="s">
        <v>152</v>
      </c>
      <c r="BB1892" s="84" t="str">
        <f>IFERROR(__xludf.DUMMYFUNCTION("iferror(if(A1892="""",,E1892&gt;=FILTER(Constants!$F$2:$F$10,Constants!$A$2:$A$10=A1892)))"),"")</f>
        <v/>
      </c>
    </row>
    <row r="1893">
      <c r="A1893" s="89"/>
      <c r="B1893" s="87"/>
      <c r="C1893" s="73"/>
      <c r="D1893" s="73"/>
      <c r="E1893" s="82"/>
      <c r="F1893" s="82"/>
      <c r="G1893" s="86"/>
      <c r="H1893" s="86"/>
      <c r="I1893" s="86"/>
      <c r="J1893" s="82"/>
      <c r="K1893" s="82"/>
      <c r="L1893" s="82"/>
      <c r="M1893" s="82"/>
      <c r="N1893" s="82"/>
      <c r="O1893" s="82"/>
      <c r="P1893" s="82"/>
      <c r="Q1893" s="82"/>
      <c r="R1893" s="82"/>
      <c r="S1893" s="82"/>
      <c r="T1893" s="82"/>
      <c r="U1893" s="82"/>
      <c r="V1893" s="82"/>
      <c r="W1893" s="82"/>
      <c r="X1893" s="82"/>
      <c r="Y1893" s="82"/>
      <c r="Z1893" s="82"/>
      <c r="AA1893" s="82"/>
      <c r="AB1893" s="82"/>
      <c r="AC1893" s="82"/>
      <c r="AD1893" s="82"/>
      <c r="AE1893" s="82"/>
      <c r="AF1893" s="82"/>
      <c r="AG1893" s="82"/>
      <c r="AH1893" s="82"/>
      <c r="AI1893" s="82"/>
      <c r="AJ1893" s="82"/>
      <c r="AK1893" s="82"/>
      <c r="AL1893" s="82"/>
      <c r="AM1893" s="82"/>
      <c r="AN1893" s="82">
        <f>IFERROR(__xludf.DUMMYFUNCTION("""COMPUTED_VALUE"""),0.0)</f>
        <v>0</v>
      </c>
      <c r="AO1893" s="82">
        <f>IFERROR(__xludf.DUMMYFUNCTION("""COMPUTED_VALUE"""),0.0)</f>
        <v>0</v>
      </c>
      <c r="AP1893" s="82">
        <f>IFERROR(__xludf.DUMMYFUNCTION("""COMPUTED_VALUE"""),0.0)</f>
        <v>0</v>
      </c>
      <c r="AQ1893" s="82">
        <f>IFERROR(__xludf.DUMMYFUNCTION("""COMPUTED_VALUE"""),0.0)</f>
        <v>0</v>
      </c>
      <c r="AR1893" s="82">
        <f>IFERROR(__xludf.DUMMYFUNCTION("""COMPUTED_VALUE"""),0.0)</f>
        <v>0</v>
      </c>
      <c r="AS1893" s="82"/>
      <c r="AT1893" s="82">
        <f>IFERROR(__xludf.DUMMYFUNCTION("""COMPUTED_VALUE"""),0.0)</f>
        <v>0</v>
      </c>
      <c r="AU1893" s="82"/>
      <c r="AV1893" s="82"/>
      <c r="AW1893" s="82" t="str">
        <f t="shared" si="1"/>
        <v/>
      </c>
      <c r="AX1893" s="83" t="str">
        <f t="array" ref="AX1893">IFERROR(DGET('SBV Import'!A:G,"SBV",{"RSC ID","Tier";B1893,A1893}))</f>
        <v/>
      </c>
      <c r="AY1893" s="82" t="str">
        <f t="shared" si="2"/>
        <v/>
      </c>
      <c r="AZ1893" s="82"/>
      <c r="BA1893" s="84" t="s">
        <v>152</v>
      </c>
      <c r="BB1893" s="84" t="str">
        <f>IFERROR(__xludf.DUMMYFUNCTION("iferror(if(A1893="""",,E1893&gt;=FILTER(Constants!$F$2:$F$10,Constants!$A$2:$A$10=A1893)))"),"")</f>
        <v/>
      </c>
    </row>
    <row r="1894">
      <c r="A1894" s="89"/>
      <c r="B1894" s="87"/>
      <c r="C1894" s="73"/>
      <c r="D1894" s="73"/>
      <c r="E1894" s="82"/>
      <c r="F1894" s="82"/>
      <c r="G1894" s="86"/>
      <c r="H1894" s="86"/>
      <c r="I1894" s="86"/>
      <c r="J1894" s="82"/>
      <c r="K1894" s="82"/>
      <c r="L1894" s="82"/>
      <c r="M1894" s="82"/>
      <c r="N1894" s="82"/>
      <c r="O1894" s="82"/>
      <c r="P1894" s="82"/>
      <c r="Q1894" s="82"/>
      <c r="R1894" s="82"/>
      <c r="S1894" s="82"/>
      <c r="T1894" s="82"/>
      <c r="U1894" s="82"/>
      <c r="V1894" s="82"/>
      <c r="W1894" s="82"/>
      <c r="X1894" s="82"/>
      <c r="Y1894" s="82"/>
      <c r="Z1894" s="82"/>
      <c r="AA1894" s="82"/>
      <c r="AB1894" s="82"/>
      <c r="AC1894" s="82"/>
      <c r="AD1894" s="82"/>
      <c r="AE1894" s="82"/>
      <c r="AF1894" s="82"/>
      <c r="AG1894" s="82"/>
      <c r="AH1894" s="82"/>
      <c r="AI1894" s="82"/>
      <c r="AJ1894" s="82"/>
      <c r="AK1894" s="82"/>
      <c r="AL1894" s="82"/>
      <c r="AM1894" s="82"/>
      <c r="AN1894" s="82">
        <f>IFERROR(__xludf.DUMMYFUNCTION("""COMPUTED_VALUE"""),0.0)</f>
        <v>0</v>
      </c>
      <c r="AO1894" s="82">
        <f>IFERROR(__xludf.DUMMYFUNCTION("""COMPUTED_VALUE"""),0.0)</f>
        <v>0</v>
      </c>
      <c r="AP1894" s="82">
        <f>IFERROR(__xludf.DUMMYFUNCTION("""COMPUTED_VALUE"""),0.0)</f>
        <v>0</v>
      </c>
      <c r="AQ1894" s="82">
        <f>IFERROR(__xludf.DUMMYFUNCTION("""COMPUTED_VALUE"""),0.0)</f>
        <v>0</v>
      </c>
      <c r="AR1894" s="82">
        <f>IFERROR(__xludf.DUMMYFUNCTION("""COMPUTED_VALUE"""),0.0)</f>
        <v>0</v>
      </c>
      <c r="AS1894" s="82"/>
      <c r="AT1894" s="82">
        <f>IFERROR(__xludf.DUMMYFUNCTION("""COMPUTED_VALUE"""),0.0)</f>
        <v>0</v>
      </c>
      <c r="AU1894" s="82"/>
      <c r="AV1894" s="82"/>
      <c r="AW1894" s="82" t="str">
        <f t="shared" si="1"/>
        <v/>
      </c>
      <c r="AX1894" s="83" t="str">
        <f t="array" ref="AX1894">IFERROR(DGET('SBV Import'!A:G,"SBV",{"RSC ID","Tier";B1894,A1894}))</f>
        <v/>
      </c>
      <c r="AY1894" s="82" t="str">
        <f t="shared" si="2"/>
        <v/>
      </c>
      <c r="AZ1894" s="82"/>
      <c r="BA1894" s="84" t="s">
        <v>152</v>
      </c>
      <c r="BB1894" s="84" t="str">
        <f>IFERROR(__xludf.DUMMYFUNCTION("iferror(if(A1894="""",,E1894&gt;=FILTER(Constants!$F$2:$F$10,Constants!$A$2:$A$10=A1894)))"),"")</f>
        <v/>
      </c>
    </row>
    <row r="1895">
      <c r="A1895" s="89"/>
      <c r="B1895" s="87"/>
      <c r="C1895" s="73"/>
      <c r="D1895" s="73"/>
      <c r="E1895" s="82"/>
      <c r="F1895" s="82"/>
      <c r="G1895" s="86"/>
      <c r="H1895" s="86"/>
      <c r="I1895" s="86"/>
      <c r="J1895" s="82"/>
      <c r="K1895" s="82"/>
      <c r="L1895" s="82"/>
      <c r="M1895" s="82"/>
      <c r="N1895" s="82"/>
      <c r="O1895" s="82"/>
      <c r="P1895" s="82"/>
      <c r="Q1895" s="82"/>
      <c r="R1895" s="82"/>
      <c r="S1895" s="82"/>
      <c r="T1895" s="82"/>
      <c r="U1895" s="82"/>
      <c r="V1895" s="82"/>
      <c r="W1895" s="82"/>
      <c r="X1895" s="82"/>
      <c r="Y1895" s="82"/>
      <c r="Z1895" s="82"/>
      <c r="AA1895" s="82"/>
      <c r="AB1895" s="82"/>
      <c r="AC1895" s="82"/>
      <c r="AD1895" s="82"/>
      <c r="AE1895" s="82"/>
      <c r="AF1895" s="82"/>
      <c r="AG1895" s="82"/>
      <c r="AH1895" s="82"/>
      <c r="AI1895" s="82"/>
      <c r="AJ1895" s="82"/>
      <c r="AK1895" s="82"/>
      <c r="AL1895" s="82"/>
      <c r="AM1895" s="82"/>
      <c r="AN1895" s="82">
        <f>IFERROR(__xludf.DUMMYFUNCTION("""COMPUTED_VALUE"""),0.0)</f>
        <v>0</v>
      </c>
      <c r="AO1895" s="82">
        <f>IFERROR(__xludf.DUMMYFUNCTION("""COMPUTED_VALUE"""),0.0)</f>
        <v>0</v>
      </c>
      <c r="AP1895" s="82">
        <f>IFERROR(__xludf.DUMMYFUNCTION("""COMPUTED_VALUE"""),0.0)</f>
        <v>0</v>
      </c>
      <c r="AQ1895" s="82">
        <f>IFERROR(__xludf.DUMMYFUNCTION("""COMPUTED_VALUE"""),0.0)</f>
        <v>0</v>
      </c>
      <c r="AR1895" s="82">
        <f>IFERROR(__xludf.DUMMYFUNCTION("""COMPUTED_VALUE"""),0.0)</f>
        <v>0</v>
      </c>
      <c r="AS1895" s="82"/>
      <c r="AT1895" s="82">
        <f>IFERROR(__xludf.DUMMYFUNCTION("""COMPUTED_VALUE"""),0.0)</f>
        <v>0</v>
      </c>
      <c r="AU1895" s="82"/>
      <c r="AV1895" s="82"/>
      <c r="AW1895" s="82" t="str">
        <f t="shared" si="1"/>
        <v/>
      </c>
      <c r="AX1895" s="83" t="str">
        <f t="array" ref="AX1895">IFERROR(DGET('SBV Import'!A:G,"SBV",{"RSC ID","Tier";B1895,A1895}))</f>
        <v/>
      </c>
      <c r="AY1895" s="82" t="str">
        <f t="shared" si="2"/>
        <v/>
      </c>
      <c r="AZ1895" s="82"/>
      <c r="BA1895" s="84" t="s">
        <v>152</v>
      </c>
      <c r="BB1895" s="84" t="str">
        <f>IFERROR(__xludf.DUMMYFUNCTION("iferror(if(A1895="""",,E1895&gt;=FILTER(Constants!$F$2:$F$10,Constants!$A$2:$A$10=A1895)))"),"")</f>
        <v/>
      </c>
    </row>
    <row r="1896">
      <c r="A1896" s="89"/>
      <c r="B1896" s="87"/>
      <c r="C1896" s="73"/>
      <c r="D1896" s="73"/>
      <c r="E1896" s="82"/>
      <c r="F1896" s="82"/>
      <c r="G1896" s="86"/>
      <c r="H1896" s="86"/>
      <c r="I1896" s="86"/>
      <c r="J1896" s="82"/>
      <c r="K1896" s="82"/>
      <c r="L1896" s="82"/>
      <c r="M1896" s="82"/>
      <c r="N1896" s="82"/>
      <c r="O1896" s="82"/>
      <c r="P1896" s="82"/>
      <c r="Q1896" s="82"/>
      <c r="R1896" s="82"/>
      <c r="S1896" s="82"/>
      <c r="T1896" s="82"/>
      <c r="U1896" s="82"/>
      <c r="V1896" s="82"/>
      <c r="W1896" s="82"/>
      <c r="X1896" s="82"/>
      <c r="Y1896" s="82"/>
      <c r="Z1896" s="82"/>
      <c r="AA1896" s="82"/>
      <c r="AB1896" s="82"/>
      <c r="AC1896" s="82"/>
      <c r="AD1896" s="82"/>
      <c r="AE1896" s="82"/>
      <c r="AF1896" s="82"/>
      <c r="AG1896" s="82"/>
      <c r="AH1896" s="82"/>
      <c r="AI1896" s="82"/>
      <c r="AJ1896" s="82"/>
      <c r="AK1896" s="82"/>
      <c r="AL1896" s="82"/>
      <c r="AM1896" s="82"/>
      <c r="AN1896" s="82">
        <f>IFERROR(__xludf.DUMMYFUNCTION("""COMPUTED_VALUE"""),0.0)</f>
        <v>0</v>
      </c>
      <c r="AO1896" s="82">
        <f>IFERROR(__xludf.DUMMYFUNCTION("""COMPUTED_VALUE"""),0.0)</f>
        <v>0</v>
      </c>
      <c r="AP1896" s="82">
        <f>IFERROR(__xludf.DUMMYFUNCTION("""COMPUTED_VALUE"""),0.0)</f>
        <v>0</v>
      </c>
      <c r="AQ1896" s="82">
        <f>IFERROR(__xludf.DUMMYFUNCTION("""COMPUTED_VALUE"""),0.0)</f>
        <v>0</v>
      </c>
      <c r="AR1896" s="82">
        <f>IFERROR(__xludf.DUMMYFUNCTION("""COMPUTED_VALUE"""),0.0)</f>
        <v>0</v>
      </c>
      <c r="AS1896" s="82"/>
      <c r="AT1896" s="82">
        <f>IFERROR(__xludf.DUMMYFUNCTION("""COMPUTED_VALUE"""),0.0)</f>
        <v>0</v>
      </c>
      <c r="AU1896" s="82"/>
      <c r="AV1896" s="82"/>
      <c r="AW1896" s="82" t="str">
        <f t="shared" si="1"/>
        <v/>
      </c>
      <c r="AX1896" s="83" t="str">
        <f t="array" ref="AX1896">IFERROR(DGET('SBV Import'!A:G,"SBV",{"RSC ID","Tier";B1896,A1896}))</f>
        <v/>
      </c>
      <c r="AY1896" s="82" t="str">
        <f t="shared" si="2"/>
        <v/>
      </c>
      <c r="AZ1896" s="82"/>
      <c r="BA1896" s="84" t="s">
        <v>152</v>
      </c>
      <c r="BB1896" s="84" t="str">
        <f>IFERROR(__xludf.DUMMYFUNCTION("iferror(if(A1896="""",,E1896&gt;=FILTER(Constants!$F$2:$F$10,Constants!$A$2:$A$10=A1896)))"),"")</f>
        <v/>
      </c>
    </row>
    <row r="1897">
      <c r="A1897" s="89"/>
      <c r="B1897" s="87"/>
      <c r="C1897" s="73"/>
      <c r="D1897" s="73"/>
      <c r="E1897" s="82"/>
      <c r="F1897" s="82"/>
      <c r="G1897" s="86"/>
      <c r="H1897" s="86"/>
      <c r="I1897" s="86"/>
      <c r="J1897" s="82"/>
      <c r="K1897" s="82"/>
      <c r="L1897" s="82"/>
      <c r="M1897" s="82"/>
      <c r="N1897" s="82"/>
      <c r="O1897" s="82"/>
      <c r="P1897" s="82"/>
      <c r="Q1897" s="82"/>
      <c r="R1897" s="82"/>
      <c r="S1897" s="82"/>
      <c r="T1897" s="82"/>
      <c r="U1897" s="82"/>
      <c r="V1897" s="82"/>
      <c r="W1897" s="82"/>
      <c r="X1897" s="82"/>
      <c r="Y1897" s="82"/>
      <c r="Z1897" s="82"/>
      <c r="AA1897" s="82"/>
      <c r="AB1897" s="82"/>
      <c r="AC1897" s="82"/>
      <c r="AD1897" s="82"/>
      <c r="AE1897" s="82"/>
      <c r="AF1897" s="82"/>
      <c r="AG1897" s="82"/>
      <c r="AH1897" s="82"/>
      <c r="AI1897" s="82"/>
      <c r="AJ1897" s="82"/>
      <c r="AK1897" s="82"/>
      <c r="AL1897" s="82"/>
      <c r="AM1897" s="82"/>
      <c r="AN1897" s="82">
        <f>IFERROR(__xludf.DUMMYFUNCTION("""COMPUTED_VALUE"""),0.0)</f>
        <v>0</v>
      </c>
      <c r="AO1897" s="82">
        <f>IFERROR(__xludf.DUMMYFUNCTION("""COMPUTED_VALUE"""),0.0)</f>
        <v>0</v>
      </c>
      <c r="AP1897" s="82">
        <f>IFERROR(__xludf.DUMMYFUNCTION("""COMPUTED_VALUE"""),0.0)</f>
        <v>0</v>
      </c>
      <c r="AQ1897" s="82">
        <f>IFERROR(__xludf.DUMMYFUNCTION("""COMPUTED_VALUE"""),0.0)</f>
        <v>0</v>
      </c>
      <c r="AR1897" s="82">
        <f>IFERROR(__xludf.DUMMYFUNCTION("""COMPUTED_VALUE"""),0.0)</f>
        <v>0</v>
      </c>
      <c r="AS1897" s="82"/>
      <c r="AT1897" s="82">
        <f>IFERROR(__xludf.DUMMYFUNCTION("""COMPUTED_VALUE"""),0.0)</f>
        <v>0</v>
      </c>
      <c r="AU1897" s="82"/>
      <c r="AV1897" s="82"/>
      <c r="AW1897" s="82" t="str">
        <f t="shared" si="1"/>
        <v/>
      </c>
      <c r="AX1897" s="83" t="str">
        <f t="array" ref="AX1897">IFERROR(DGET('SBV Import'!A:G,"SBV",{"RSC ID","Tier";B1897,A1897}))</f>
        <v/>
      </c>
      <c r="AY1897" s="82" t="str">
        <f t="shared" si="2"/>
        <v/>
      </c>
      <c r="AZ1897" s="82"/>
      <c r="BA1897" s="84" t="s">
        <v>152</v>
      </c>
      <c r="BB1897" s="84" t="str">
        <f>IFERROR(__xludf.DUMMYFUNCTION("iferror(if(A1897="""",,E1897&gt;=FILTER(Constants!$F$2:$F$10,Constants!$A$2:$A$10=A1897)))"),"")</f>
        <v/>
      </c>
    </row>
    <row r="1898">
      <c r="A1898" s="89"/>
      <c r="B1898" s="87"/>
      <c r="C1898" s="73"/>
      <c r="D1898" s="73"/>
      <c r="E1898" s="82"/>
      <c r="F1898" s="82"/>
      <c r="G1898" s="86"/>
      <c r="H1898" s="86"/>
      <c r="I1898" s="86"/>
      <c r="J1898" s="82"/>
      <c r="K1898" s="82"/>
      <c r="L1898" s="82"/>
      <c r="M1898" s="82"/>
      <c r="N1898" s="82"/>
      <c r="O1898" s="82"/>
      <c r="P1898" s="82"/>
      <c r="Q1898" s="82"/>
      <c r="R1898" s="82"/>
      <c r="S1898" s="82"/>
      <c r="T1898" s="82"/>
      <c r="U1898" s="82"/>
      <c r="V1898" s="82"/>
      <c r="W1898" s="82"/>
      <c r="X1898" s="82"/>
      <c r="Y1898" s="82"/>
      <c r="Z1898" s="82"/>
      <c r="AA1898" s="82"/>
      <c r="AB1898" s="82"/>
      <c r="AC1898" s="82"/>
      <c r="AD1898" s="82"/>
      <c r="AE1898" s="82"/>
      <c r="AF1898" s="82"/>
      <c r="AG1898" s="82"/>
      <c r="AH1898" s="82"/>
      <c r="AI1898" s="82"/>
      <c r="AJ1898" s="82"/>
      <c r="AK1898" s="82"/>
      <c r="AL1898" s="82"/>
      <c r="AM1898" s="82"/>
      <c r="AN1898" s="82">
        <f>IFERROR(__xludf.DUMMYFUNCTION("""COMPUTED_VALUE"""),0.0)</f>
        <v>0</v>
      </c>
      <c r="AO1898" s="82">
        <f>IFERROR(__xludf.DUMMYFUNCTION("""COMPUTED_VALUE"""),0.0)</f>
        <v>0</v>
      </c>
      <c r="AP1898" s="82">
        <f>IFERROR(__xludf.DUMMYFUNCTION("""COMPUTED_VALUE"""),0.0)</f>
        <v>0</v>
      </c>
      <c r="AQ1898" s="82">
        <f>IFERROR(__xludf.DUMMYFUNCTION("""COMPUTED_VALUE"""),0.0)</f>
        <v>0</v>
      </c>
      <c r="AR1898" s="82">
        <f>IFERROR(__xludf.DUMMYFUNCTION("""COMPUTED_VALUE"""),0.0)</f>
        <v>0</v>
      </c>
      <c r="AS1898" s="82"/>
      <c r="AT1898" s="82">
        <f>IFERROR(__xludf.DUMMYFUNCTION("""COMPUTED_VALUE"""),0.0)</f>
        <v>0</v>
      </c>
      <c r="AU1898" s="82"/>
      <c r="AV1898" s="82"/>
      <c r="AW1898" s="82" t="str">
        <f t="shared" si="1"/>
        <v/>
      </c>
      <c r="AX1898" s="83" t="str">
        <f t="array" ref="AX1898">IFERROR(DGET('SBV Import'!A:G,"SBV",{"RSC ID","Tier";B1898,A1898}))</f>
        <v/>
      </c>
      <c r="AY1898" s="82" t="str">
        <f t="shared" si="2"/>
        <v/>
      </c>
      <c r="AZ1898" s="82"/>
      <c r="BA1898" s="84" t="s">
        <v>152</v>
      </c>
      <c r="BB1898" s="84" t="str">
        <f>IFERROR(__xludf.DUMMYFUNCTION("iferror(if(A1898="""",,E1898&gt;=FILTER(Constants!$F$2:$F$10,Constants!$A$2:$A$10=A1898)))"),"")</f>
        <v/>
      </c>
    </row>
    <row r="1899">
      <c r="A1899" s="89"/>
      <c r="B1899" s="87"/>
      <c r="C1899" s="73"/>
      <c r="D1899" s="73"/>
      <c r="E1899" s="82"/>
      <c r="F1899" s="82"/>
      <c r="G1899" s="86"/>
      <c r="H1899" s="86"/>
      <c r="I1899" s="86"/>
      <c r="J1899" s="82"/>
      <c r="K1899" s="82"/>
      <c r="L1899" s="82"/>
      <c r="M1899" s="82"/>
      <c r="N1899" s="82"/>
      <c r="O1899" s="82"/>
      <c r="P1899" s="82"/>
      <c r="Q1899" s="82"/>
      <c r="R1899" s="82"/>
      <c r="S1899" s="82"/>
      <c r="T1899" s="82"/>
      <c r="U1899" s="82"/>
      <c r="V1899" s="82"/>
      <c r="W1899" s="82"/>
      <c r="X1899" s="82"/>
      <c r="Y1899" s="82"/>
      <c r="Z1899" s="82"/>
      <c r="AA1899" s="82"/>
      <c r="AB1899" s="82"/>
      <c r="AC1899" s="82"/>
      <c r="AD1899" s="82"/>
      <c r="AE1899" s="82"/>
      <c r="AF1899" s="82"/>
      <c r="AG1899" s="82"/>
      <c r="AH1899" s="82"/>
      <c r="AI1899" s="82"/>
      <c r="AJ1899" s="82"/>
      <c r="AK1899" s="82"/>
      <c r="AL1899" s="82"/>
      <c r="AM1899" s="82"/>
      <c r="AN1899" s="82">
        <f>IFERROR(__xludf.DUMMYFUNCTION("""COMPUTED_VALUE"""),0.0)</f>
        <v>0</v>
      </c>
      <c r="AO1899" s="82">
        <f>IFERROR(__xludf.DUMMYFUNCTION("""COMPUTED_VALUE"""),0.0)</f>
        <v>0</v>
      </c>
      <c r="AP1899" s="82">
        <f>IFERROR(__xludf.DUMMYFUNCTION("""COMPUTED_VALUE"""),0.0)</f>
        <v>0</v>
      </c>
      <c r="AQ1899" s="82">
        <f>IFERROR(__xludf.DUMMYFUNCTION("""COMPUTED_VALUE"""),0.0)</f>
        <v>0</v>
      </c>
      <c r="AR1899" s="82">
        <f>IFERROR(__xludf.DUMMYFUNCTION("""COMPUTED_VALUE"""),0.0)</f>
        <v>0</v>
      </c>
      <c r="AS1899" s="82"/>
      <c r="AT1899" s="82">
        <f>IFERROR(__xludf.DUMMYFUNCTION("""COMPUTED_VALUE"""),0.0)</f>
        <v>0</v>
      </c>
      <c r="AU1899" s="82"/>
      <c r="AV1899" s="82"/>
      <c r="AW1899" s="82" t="str">
        <f t="shared" si="1"/>
        <v/>
      </c>
      <c r="AX1899" s="83" t="str">
        <f t="array" ref="AX1899">IFERROR(DGET('SBV Import'!A:G,"SBV",{"RSC ID","Tier";B1899,A1899}))</f>
        <v/>
      </c>
      <c r="AY1899" s="82" t="str">
        <f t="shared" si="2"/>
        <v/>
      </c>
      <c r="AZ1899" s="82"/>
      <c r="BA1899" s="84" t="s">
        <v>152</v>
      </c>
      <c r="BB1899" s="84" t="str">
        <f>IFERROR(__xludf.DUMMYFUNCTION("iferror(if(A1899="""",,E1899&gt;=FILTER(Constants!$F$2:$F$10,Constants!$A$2:$A$10=A1899)))"),"")</f>
        <v/>
      </c>
    </row>
    <row r="1900">
      <c r="A1900" s="89"/>
      <c r="B1900" s="87"/>
      <c r="C1900" s="73"/>
      <c r="D1900" s="73"/>
      <c r="E1900" s="82"/>
      <c r="F1900" s="82"/>
      <c r="G1900" s="86"/>
      <c r="H1900" s="86"/>
      <c r="I1900" s="86"/>
      <c r="J1900" s="82"/>
      <c r="K1900" s="82"/>
      <c r="L1900" s="82"/>
      <c r="M1900" s="82"/>
      <c r="N1900" s="82"/>
      <c r="O1900" s="82"/>
      <c r="P1900" s="82"/>
      <c r="Q1900" s="82"/>
      <c r="R1900" s="82"/>
      <c r="S1900" s="82"/>
      <c r="T1900" s="82"/>
      <c r="U1900" s="82"/>
      <c r="V1900" s="82"/>
      <c r="W1900" s="82"/>
      <c r="X1900" s="82"/>
      <c r="Y1900" s="82"/>
      <c r="Z1900" s="82"/>
      <c r="AA1900" s="82"/>
      <c r="AB1900" s="82"/>
      <c r="AC1900" s="82"/>
      <c r="AD1900" s="82"/>
      <c r="AE1900" s="82"/>
      <c r="AF1900" s="82"/>
      <c r="AG1900" s="82"/>
      <c r="AH1900" s="82"/>
      <c r="AI1900" s="82"/>
      <c r="AJ1900" s="82"/>
      <c r="AK1900" s="82"/>
      <c r="AL1900" s="82"/>
      <c r="AM1900" s="82"/>
      <c r="AN1900" s="82">
        <f>IFERROR(__xludf.DUMMYFUNCTION("""COMPUTED_VALUE"""),0.0)</f>
        <v>0</v>
      </c>
      <c r="AO1900" s="82">
        <f>IFERROR(__xludf.DUMMYFUNCTION("""COMPUTED_VALUE"""),0.0)</f>
        <v>0</v>
      </c>
      <c r="AP1900" s="82">
        <f>IFERROR(__xludf.DUMMYFUNCTION("""COMPUTED_VALUE"""),0.0)</f>
        <v>0</v>
      </c>
      <c r="AQ1900" s="82">
        <f>IFERROR(__xludf.DUMMYFUNCTION("""COMPUTED_VALUE"""),0.0)</f>
        <v>0</v>
      </c>
      <c r="AR1900" s="82">
        <f>IFERROR(__xludf.DUMMYFUNCTION("""COMPUTED_VALUE"""),0.0)</f>
        <v>0</v>
      </c>
      <c r="AS1900" s="82"/>
      <c r="AT1900" s="82">
        <f>IFERROR(__xludf.DUMMYFUNCTION("""COMPUTED_VALUE"""),0.0)</f>
        <v>0</v>
      </c>
      <c r="AU1900" s="82"/>
      <c r="AV1900" s="82"/>
      <c r="AW1900" s="82" t="str">
        <f t="shared" si="1"/>
        <v/>
      </c>
      <c r="AX1900" s="83" t="str">
        <f t="array" ref="AX1900">IFERROR(DGET('SBV Import'!A:G,"SBV",{"RSC ID","Tier";B1900,A1900}))</f>
        <v/>
      </c>
      <c r="AY1900" s="82" t="str">
        <f t="shared" si="2"/>
        <v/>
      </c>
      <c r="AZ1900" s="82"/>
      <c r="BA1900" s="84" t="s">
        <v>152</v>
      </c>
      <c r="BB1900" s="84" t="str">
        <f>IFERROR(__xludf.DUMMYFUNCTION("iferror(if(A1900="""",,E1900&gt;=FILTER(Constants!$F$2:$F$10,Constants!$A$2:$A$10=A1900)))"),"")</f>
        <v/>
      </c>
    </row>
    <row r="1901">
      <c r="A1901" s="89"/>
      <c r="B1901" s="87"/>
      <c r="C1901" s="73"/>
      <c r="D1901" s="73"/>
      <c r="E1901" s="82"/>
      <c r="F1901" s="82"/>
      <c r="G1901" s="86"/>
      <c r="H1901" s="86"/>
      <c r="I1901" s="86"/>
      <c r="J1901" s="82"/>
      <c r="K1901" s="82"/>
      <c r="L1901" s="82"/>
      <c r="M1901" s="82"/>
      <c r="N1901" s="82"/>
      <c r="O1901" s="82"/>
      <c r="P1901" s="82"/>
      <c r="Q1901" s="82"/>
      <c r="R1901" s="82"/>
      <c r="S1901" s="82"/>
      <c r="T1901" s="82"/>
      <c r="U1901" s="82"/>
      <c r="V1901" s="82"/>
      <c r="W1901" s="82"/>
      <c r="X1901" s="82"/>
      <c r="Y1901" s="82"/>
      <c r="Z1901" s="82"/>
      <c r="AA1901" s="82"/>
      <c r="AB1901" s="82"/>
      <c r="AC1901" s="82"/>
      <c r="AD1901" s="82"/>
      <c r="AE1901" s="82"/>
      <c r="AF1901" s="82"/>
      <c r="AG1901" s="82"/>
      <c r="AH1901" s="82"/>
      <c r="AI1901" s="82"/>
      <c r="AJ1901" s="82"/>
      <c r="AK1901" s="82"/>
      <c r="AL1901" s="82"/>
      <c r="AM1901" s="82"/>
      <c r="AN1901" s="82">
        <f>IFERROR(__xludf.DUMMYFUNCTION("""COMPUTED_VALUE"""),0.0)</f>
        <v>0</v>
      </c>
      <c r="AO1901" s="82">
        <f>IFERROR(__xludf.DUMMYFUNCTION("""COMPUTED_VALUE"""),0.0)</f>
        <v>0</v>
      </c>
      <c r="AP1901" s="82">
        <f>IFERROR(__xludf.DUMMYFUNCTION("""COMPUTED_VALUE"""),0.0)</f>
        <v>0</v>
      </c>
      <c r="AQ1901" s="82">
        <f>IFERROR(__xludf.DUMMYFUNCTION("""COMPUTED_VALUE"""),0.0)</f>
        <v>0</v>
      </c>
      <c r="AR1901" s="82">
        <f>IFERROR(__xludf.DUMMYFUNCTION("""COMPUTED_VALUE"""),0.0)</f>
        <v>0</v>
      </c>
      <c r="AS1901" s="82"/>
      <c r="AT1901" s="82">
        <f>IFERROR(__xludf.DUMMYFUNCTION("""COMPUTED_VALUE"""),0.0)</f>
        <v>0</v>
      </c>
      <c r="AU1901" s="82"/>
      <c r="AV1901" s="82"/>
      <c r="AW1901" s="82" t="str">
        <f t="shared" si="1"/>
        <v/>
      </c>
      <c r="AX1901" s="83" t="str">
        <f t="array" ref="AX1901">IFERROR(DGET('SBV Import'!A:G,"SBV",{"RSC ID","Tier";B1901,A1901}))</f>
        <v/>
      </c>
      <c r="AY1901" s="82" t="str">
        <f t="shared" si="2"/>
        <v/>
      </c>
      <c r="AZ1901" s="82"/>
      <c r="BA1901" s="84" t="s">
        <v>152</v>
      </c>
      <c r="BB1901" s="84" t="str">
        <f>IFERROR(__xludf.DUMMYFUNCTION("iferror(if(A1901="""",,E1901&gt;=FILTER(Constants!$F$2:$F$10,Constants!$A$2:$A$10=A1901)))"),"")</f>
        <v/>
      </c>
    </row>
    <row r="1902">
      <c r="A1902" s="89"/>
      <c r="B1902" s="87"/>
      <c r="C1902" s="73"/>
      <c r="D1902" s="73"/>
      <c r="E1902" s="82"/>
      <c r="F1902" s="82"/>
      <c r="G1902" s="86"/>
      <c r="H1902" s="86"/>
      <c r="I1902" s="86"/>
      <c r="J1902" s="82"/>
      <c r="K1902" s="82"/>
      <c r="L1902" s="82"/>
      <c r="M1902" s="82"/>
      <c r="N1902" s="82"/>
      <c r="O1902" s="82"/>
      <c r="P1902" s="82"/>
      <c r="Q1902" s="82"/>
      <c r="R1902" s="82"/>
      <c r="S1902" s="82"/>
      <c r="T1902" s="82"/>
      <c r="U1902" s="82"/>
      <c r="V1902" s="82"/>
      <c r="W1902" s="82"/>
      <c r="X1902" s="82"/>
      <c r="Y1902" s="82"/>
      <c r="Z1902" s="82"/>
      <c r="AA1902" s="82"/>
      <c r="AB1902" s="82"/>
      <c r="AC1902" s="82"/>
      <c r="AD1902" s="82"/>
      <c r="AE1902" s="82"/>
      <c r="AF1902" s="82"/>
      <c r="AG1902" s="82"/>
      <c r="AH1902" s="82"/>
      <c r="AI1902" s="82"/>
      <c r="AJ1902" s="82"/>
      <c r="AK1902" s="82"/>
      <c r="AL1902" s="82"/>
      <c r="AM1902" s="82"/>
      <c r="AN1902" s="82">
        <f>IFERROR(__xludf.DUMMYFUNCTION("""COMPUTED_VALUE"""),0.0)</f>
        <v>0</v>
      </c>
      <c r="AO1902" s="82">
        <f>IFERROR(__xludf.DUMMYFUNCTION("""COMPUTED_VALUE"""),0.0)</f>
        <v>0</v>
      </c>
      <c r="AP1902" s="82">
        <f>IFERROR(__xludf.DUMMYFUNCTION("""COMPUTED_VALUE"""),0.0)</f>
        <v>0</v>
      </c>
      <c r="AQ1902" s="82">
        <f>IFERROR(__xludf.DUMMYFUNCTION("""COMPUTED_VALUE"""),0.0)</f>
        <v>0</v>
      </c>
      <c r="AR1902" s="82">
        <f>IFERROR(__xludf.DUMMYFUNCTION("""COMPUTED_VALUE"""),0.0)</f>
        <v>0</v>
      </c>
      <c r="AS1902" s="82"/>
      <c r="AT1902" s="82">
        <f>IFERROR(__xludf.DUMMYFUNCTION("""COMPUTED_VALUE"""),0.0)</f>
        <v>0</v>
      </c>
      <c r="AU1902" s="82"/>
      <c r="AV1902" s="82"/>
      <c r="AW1902" s="82" t="str">
        <f t="shared" si="1"/>
        <v/>
      </c>
      <c r="AX1902" s="83" t="str">
        <f t="array" ref="AX1902">IFERROR(DGET('SBV Import'!A:G,"SBV",{"RSC ID","Tier";B1902,A1902}))</f>
        <v/>
      </c>
      <c r="AY1902" s="82" t="str">
        <f t="shared" si="2"/>
        <v/>
      </c>
      <c r="AZ1902" s="82"/>
      <c r="BA1902" s="84" t="s">
        <v>152</v>
      </c>
      <c r="BB1902" s="84" t="str">
        <f>IFERROR(__xludf.DUMMYFUNCTION("iferror(if(A1902="""",,E1902&gt;=FILTER(Constants!$F$2:$F$10,Constants!$A$2:$A$10=A1902)))"),"")</f>
        <v/>
      </c>
    </row>
    <row r="1903">
      <c r="A1903" s="89"/>
      <c r="B1903" s="87"/>
      <c r="C1903" s="73"/>
      <c r="D1903" s="73"/>
      <c r="E1903" s="82"/>
      <c r="F1903" s="82"/>
      <c r="G1903" s="86"/>
      <c r="H1903" s="86"/>
      <c r="I1903" s="86"/>
      <c r="J1903" s="82"/>
      <c r="K1903" s="82"/>
      <c r="L1903" s="82"/>
      <c r="M1903" s="82"/>
      <c r="N1903" s="82"/>
      <c r="O1903" s="82"/>
      <c r="P1903" s="82"/>
      <c r="Q1903" s="82"/>
      <c r="R1903" s="82"/>
      <c r="S1903" s="82"/>
      <c r="T1903" s="82"/>
      <c r="U1903" s="82"/>
      <c r="V1903" s="82"/>
      <c r="W1903" s="82"/>
      <c r="X1903" s="82"/>
      <c r="Y1903" s="82"/>
      <c r="Z1903" s="82"/>
      <c r="AA1903" s="82"/>
      <c r="AB1903" s="82"/>
      <c r="AC1903" s="82"/>
      <c r="AD1903" s="82"/>
      <c r="AE1903" s="82"/>
      <c r="AF1903" s="82"/>
      <c r="AG1903" s="82"/>
      <c r="AH1903" s="82"/>
      <c r="AI1903" s="82"/>
      <c r="AJ1903" s="82"/>
      <c r="AK1903" s="82"/>
      <c r="AL1903" s="82"/>
      <c r="AM1903" s="82"/>
      <c r="AN1903" s="82">
        <f>IFERROR(__xludf.DUMMYFUNCTION("""COMPUTED_VALUE"""),0.0)</f>
        <v>0</v>
      </c>
      <c r="AO1903" s="82">
        <f>IFERROR(__xludf.DUMMYFUNCTION("""COMPUTED_VALUE"""),0.0)</f>
        <v>0</v>
      </c>
      <c r="AP1903" s="82">
        <f>IFERROR(__xludf.DUMMYFUNCTION("""COMPUTED_VALUE"""),0.0)</f>
        <v>0</v>
      </c>
      <c r="AQ1903" s="82">
        <f>IFERROR(__xludf.DUMMYFUNCTION("""COMPUTED_VALUE"""),0.0)</f>
        <v>0</v>
      </c>
      <c r="AR1903" s="82">
        <f>IFERROR(__xludf.DUMMYFUNCTION("""COMPUTED_VALUE"""),0.0)</f>
        <v>0</v>
      </c>
      <c r="AS1903" s="82"/>
      <c r="AT1903" s="82">
        <f>IFERROR(__xludf.DUMMYFUNCTION("""COMPUTED_VALUE"""),0.0)</f>
        <v>0</v>
      </c>
      <c r="AU1903" s="82"/>
      <c r="AV1903" s="82"/>
      <c r="AW1903" s="82" t="str">
        <f t="shared" si="1"/>
        <v/>
      </c>
      <c r="AX1903" s="83" t="str">
        <f t="array" ref="AX1903">IFERROR(DGET('SBV Import'!A:G,"SBV",{"RSC ID","Tier";B1903,A1903}))</f>
        <v/>
      </c>
      <c r="AY1903" s="82" t="str">
        <f t="shared" si="2"/>
        <v/>
      </c>
      <c r="AZ1903" s="82"/>
      <c r="BA1903" s="84" t="s">
        <v>152</v>
      </c>
      <c r="BB1903" s="84" t="str">
        <f>IFERROR(__xludf.DUMMYFUNCTION("iferror(if(A1903="""",,E1903&gt;=FILTER(Constants!$F$2:$F$10,Constants!$A$2:$A$10=A1903)))"),"")</f>
        <v/>
      </c>
    </row>
    <row r="1904">
      <c r="A1904" s="89"/>
      <c r="B1904" s="87"/>
      <c r="C1904" s="73"/>
      <c r="D1904" s="73"/>
      <c r="E1904" s="82"/>
      <c r="F1904" s="82"/>
      <c r="G1904" s="86"/>
      <c r="H1904" s="86"/>
      <c r="I1904" s="86"/>
      <c r="J1904" s="82"/>
      <c r="K1904" s="82"/>
      <c r="L1904" s="82"/>
      <c r="M1904" s="82"/>
      <c r="N1904" s="82"/>
      <c r="O1904" s="82"/>
      <c r="P1904" s="82"/>
      <c r="Q1904" s="82"/>
      <c r="R1904" s="82"/>
      <c r="S1904" s="82"/>
      <c r="T1904" s="82"/>
      <c r="U1904" s="82"/>
      <c r="V1904" s="82"/>
      <c r="W1904" s="82"/>
      <c r="X1904" s="82"/>
      <c r="Y1904" s="82"/>
      <c r="Z1904" s="82"/>
      <c r="AA1904" s="82"/>
      <c r="AB1904" s="82"/>
      <c r="AC1904" s="82"/>
      <c r="AD1904" s="82"/>
      <c r="AE1904" s="82"/>
      <c r="AF1904" s="82"/>
      <c r="AG1904" s="82"/>
      <c r="AH1904" s="82"/>
      <c r="AI1904" s="82"/>
      <c r="AJ1904" s="82"/>
      <c r="AK1904" s="82"/>
      <c r="AL1904" s="82"/>
      <c r="AM1904" s="82"/>
      <c r="AN1904" s="82">
        <f>IFERROR(__xludf.DUMMYFUNCTION("""COMPUTED_VALUE"""),0.0)</f>
        <v>0</v>
      </c>
      <c r="AO1904" s="82">
        <f>IFERROR(__xludf.DUMMYFUNCTION("""COMPUTED_VALUE"""),0.0)</f>
        <v>0</v>
      </c>
      <c r="AP1904" s="82">
        <f>IFERROR(__xludf.DUMMYFUNCTION("""COMPUTED_VALUE"""),0.0)</f>
        <v>0</v>
      </c>
      <c r="AQ1904" s="82">
        <f>IFERROR(__xludf.DUMMYFUNCTION("""COMPUTED_VALUE"""),0.0)</f>
        <v>0</v>
      </c>
      <c r="AR1904" s="82">
        <f>IFERROR(__xludf.DUMMYFUNCTION("""COMPUTED_VALUE"""),0.0)</f>
        <v>0</v>
      </c>
      <c r="AS1904" s="82"/>
      <c r="AT1904" s="82">
        <f>IFERROR(__xludf.DUMMYFUNCTION("""COMPUTED_VALUE"""),0.0)</f>
        <v>0</v>
      </c>
      <c r="AU1904" s="82"/>
      <c r="AV1904" s="82"/>
      <c r="AW1904" s="82" t="str">
        <f t="shared" si="1"/>
        <v/>
      </c>
      <c r="AX1904" s="83" t="str">
        <f t="array" ref="AX1904">IFERROR(DGET('SBV Import'!A:G,"SBV",{"RSC ID","Tier";B1904,A1904}))</f>
        <v/>
      </c>
      <c r="AY1904" s="82" t="str">
        <f t="shared" si="2"/>
        <v/>
      </c>
      <c r="AZ1904" s="82"/>
      <c r="BA1904" s="84" t="s">
        <v>152</v>
      </c>
      <c r="BB1904" s="84" t="str">
        <f>IFERROR(__xludf.DUMMYFUNCTION("iferror(if(A1904="""",,E1904&gt;=FILTER(Constants!$F$2:$F$10,Constants!$A$2:$A$10=A1904)))"),"")</f>
        <v/>
      </c>
    </row>
    <row r="1905">
      <c r="A1905" s="89"/>
      <c r="B1905" s="87"/>
      <c r="C1905" s="73"/>
      <c r="D1905" s="73"/>
      <c r="E1905" s="82"/>
      <c r="F1905" s="82"/>
      <c r="G1905" s="86"/>
      <c r="H1905" s="86"/>
      <c r="I1905" s="86"/>
      <c r="J1905" s="82"/>
      <c r="K1905" s="82"/>
      <c r="L1905" s="82"/>
      <c r="M1905" s="82"/>
      <c r="N1905" s="82"/>
      <c r="O1905" s="82"/>
      <c r="P1905" s="82"/>
      <c r="Q1905" s="82"/>
      <c r="R1905" s="82"/>
      <c r="S1905" s="82"/>
      <c r="T1905" s="82"/>
      <c r="U1905" s="82"/>
      <c r="V1905" s="82"/>
      <c r="W1905" s="82"/>
      <c r="X1905" s="82"/>
      <c r="Y1905" s="82"/>
      <c r="Z1905" s="82"/>
      <c r="AA1905" s="82"/>
      <c r="AB1905" s="82"/>
      <c r="AC1905" s="82"/>
      <c r="AD1905" s="82"/>
      <c r="AE1905" s="82"/>
      <c r="AF1905" s="82"/>
      <c r="AG1905" s="82"/>
      <c r="AH1905" s="82"/>
      <c r="AI1905" s="82"/>
      <c r="AJ1905" s="82"/>
      <c r="AK1905" s="82"/>
      <c r="AL1905" s="82"/>
      <c r="AM1905" s="82"/>
      <c r="AN1905" s="82">
        <f>IFERROR(__xludf.DUMMYFUNCTION("""COMPUTED_VALUE"""),0.0)</f>
        <v>0</v>
      </c>
      <c r="AO1905" s="82">
        <f>IFERROR(__xludf.DUMMYFUNCTION("""COMPUTED_VALUE"""),0.0)</f>
        <v>0</v>
      </c>
      <c r="AP1905" s="82">
        <f>IFERROR(__xludf.DUMMYFUNCTION("""COMPUTED_VALUE"""),0.0)</f>
        <v>0</v>
      </c>
      <c r="AQ1905" s="82">
        <f>IFERROR(__xludf.DUMMYFUNCTION("""COMPUTED_VALUE"""),0.0)</f>
        <v>0</v>
      </c>
      <c r="AR1905" s="82">
        <f>IFERROR(__xludf.DUMMYFUNCTION("""COMPUTED_VALUE"""),0.0)</f>
        <v>0</v>
      </c>
      <c r="AS1905" s="82"/>
      <c r="AT1905" s="82">
        <f>IFERROR(__xludf.DUMMYFUNCTION("""COMPUTED_VALUE"""),0.0)</f>
        <v>0</v>
      </c>
      <c r="AU1905" s="82"/>
      <c r="AV1905" s="82"/>
      <c r="AW1905" s="82" t="str">
        <f t="shared" si="1"/>
        <v/>
      </c>
      <c r="AX1905" s="83" t="str">
        <f t="array" ref="AX1905">IFERROR(DGET('SBV Import'!A:G,"SBV",{"RSC ID","Tier";B1905,A1905}))</f>
        <v/>
      </c>
      <c r="AY1905" s="82" t="str">
        <f t="shared" si="2"/>
        <v/>
      </c>
      <c r="AZ1905" s="82"/>
      <c r="BA1905" s="84" t="s">
        <v>152</v>
      </c>
      <c r="BB1905" s="84" t="str">
        <f>IFERROR(__xludf.DUMMYFUNCTION("iferror(if(A1905="""",,E1905&gt;=FILTER(Constants!$F$2:$F$10,Constants!$A$2:$A$10=A1905)))"),"")</f>
        <v/>
      </c>
    </row>
    <row r="1906">
      <c r="A1906" s="89"/>
      <c r="B1906" s="87"/>
      <c r="C1906" s="73"/>
      <c r="D1906" s="73"/>
      <c r="E1906" s="82"/>
      <c r="F1906" s="82"/>
      <c r="G1906" s="86"/>
      <c r="H1906" s="86"/>
      <c r="I1906" s="86"/>
      <c r="J1906" s="82"/>
      <c r="K1906" s="82"/>
      <c r="L1906" s="82"/>
      <c r="M1906" s="82"/>
      <c r="N1906" s="82"/>
      <c r="O1906" s="82"/>
      <c r="P1906" s="82"/>
      <c r="Q1906" s="82"/>
      <c r="R1906" s="82"/>
      <c r="S1906" s="82"/>
      <c r="T1906" s="82"/>
      <c r="U1906" s="82"/>
      <c r="V1906" s="82"/>
      <c r="W1906" s="82"/>
      <c r="X1906" s="82"/>
      <c r="Y1906" s="82"/>
      <c r="Z1906" s="82"/>
      <c r="AA1906" s="82"/>
      <c r="AB1906" s="82"/>
      <c r="AC1906" s="82"/>
      <c r="AD1906" s="82"/>
      <c r="AE1906" s="82"/>
      <c r="AF1906" s="82"/>
      <c r="AG1906" s="82"/>
      <c r="AH1906" s="82"/>
      <c r="AI1906" s="82"/>
      <c r="AJ1906" s="82"/>
      <c r="AK1906" s="82"/>
      <c r="AL1906" s="82"/>
      <c r="AM1906" s="82"/>
      <c r="AN1906" s="82">
        <f>IFERROR(__xludf.DUMMYFUNCTION("""COMPUTED_VALUE"""),0.0)</f>
        <v>0</v>
      </c>
      <c r="AO1906" s="82">
        <f>IFERROR(__xludf.DUMMYFUNCTION("""COMPUTED_VALUE"""),0.0)</f>
        <v>0</v>
      </c>
      <c r="AP1906" s="82">
        <f>IFERROR(__xludf.DUMMYFUNCTION("""COMPUTED_VALUE"""),0.0)</f>
        <v>0</v>
      </c>
      <c r="AQ1906" s="82">
        <f>IFERROR(__xludf.DUMMYFUNCTION("""COMPUTED_VALUE"""),0.0)</f>
        <v>0</v>
      </c>
      <c r="AR1906" s="82">
        <f>IFERROR(__xludf.DUMMYFUNCTION("""COMPUTED_VALUE"""),0.0)</f>
        <v>0</v>
      </c>
      <c r="AS1906" s="82"/>
      <c r="AT1906" s="82">
        <f>IFERROR(__xludf.DUMMYFUNCTION("""COMPUTED_VALUE"""),0.0)</f>
        <v>0</v>
      </c>
      <c r="AU1906" s="82"/>
      <c r="AV1906" s="82"/>
      <c r="AW1906" s="82" t="str">
        <f t="shared" si="1"/>
        <v/>
      </c>
      <c r="AX1906" s="83" t="str">
        <f t="array" ref="AX1906">IFERROR(DGET('SBV Import'!A:G,"SBV",{"RSC ID","Tier";B1906,A1906}))</f>
        <v/>
      </c>
      <c r="AY1906" s="82" t="str">
        <f t="shared" si="2"/>
        <v/>
      </c>
      <c r="AZ1906" s="82"/>
      <c r="BA1906" s="84" t="s">
        <v>152</v>
      </c>
      <c r="BB1906" s="84" t="str">
        <f>IFERROR(__xludf.DUMMYFUNCTION("iferror(if(A1906="""",,E1906&gt;=FILTER(Constants!$F$2:$F$10,Constants!$A$2:$A$10=A1906)))"),"")</f>
        <v/>
      </c>
    </row>
    <row r="1907">
      <c r="A1907" s="89"/>
      <c r="B1907" s="87"/>
      <c r="C1907" s="73"/>
      <c r="D1907" s="73"/>
      <c r="E1907" s="82"/>
      <c r="F1907" s="82"/>
      <c r="G1907" s="86"/>
      <c r="H1907" s="86"/>
      <c r="I1907" s="86"/>
      <c r="J1907" s="82"/>
      <c r="K1907" s="82"/>
      <c r="L1907" s="82"/>
      <c r="M1907" s="82"/>
      <c r="N1907" s="82"/>
      <c r="O1907" s="82"/>
      <c r="P1907" s="82"/>
      <c r="Q1907" s="82"/>
      <c r="R1907" s="82"/>
      <c r="S1907" s="82"/>
      <c r="T1907" s="82"/>
      <c r="U1907" s="82"/>
      <c r="V1907" s="82"/>
      <c r="W1907" s="82"/>
      <c r="X1907" s="82"/>
      <c r="Y1907" s="82"/>
      <c r="Z1907" s="82"/>
      <c r="AA1907" s="82"/>
      <c r="AB1907" s="82"/>
      <c r="AC1907" s="82"/>
      <c r="AD1907" s="82"/>
      <c r="AE1907" s="82"/>
      <c r="AF1907" s="82"/>
      <c r="AG1907" s="82"/>
      <c r="AH1907" s="82"/>
      <c r="AI1907" s="82"/>
      <c r="AJ1907" s="82"/>
      <c r="AK1907" s="82"/>
      <c r="AL1907" s="82"/>
      <c r="AM1907" s="82"/>
      <c r="AN1907" s="82">
        <f>IFERROR(__xludf.DUMMYFUNCTION("""COMPUTED_VALUE"""),0.0)</f>
        <v>0</v>
      </c>
      <c r="AO1907" s="82">
        <f>IFERROR(__xludf.DUMMYFUNCTION("""COMPUTED_VALUE"""),0.0)</f>
        <v>0</v>
      </c>
      <c r="AP1907" s="82">
        <f>IFERROR(__xludf.DUMMYFUNCTION("""COMPUTED_VALUE"""),0.0)</f>
        <v>0</v>
      </c>
      <c r="AQ1907" s="82">
        <f>IFERROR(__xludf.DUMMYFUNCTION("""COMPUTED_VALUE"""),0.0)</f>
        <v>0</v>
      </c>
      <c r="AR1907" s="82">
        <f>IFERROR(__xludf.DUMMYFUNCTION("""COMPUTED_VALUE"""),0.0)</f>
        <v>0</v>
      </c>
      <c r="AS1907" s="82"/>
      <c r="AT1907" s="82">
        <f>IFERROR(__xludf.DUMMYFUNCTION("""COMPUTED_VALUE"""),0.0)</f>
        <v>0</v>
      </c>
      <c r="AU1907" s="82"/>
      <c r="AV1907" s="82"/>
      <c r="AW1907" s="82" t="str">
        <f t="shared" si="1"/>
        <v/>
      </c>
      <c r="AX1907" s="83" t="str">
        <f t="array" ref="AX1907">IFERROR(DGET('SBV Import'!A:G,"SBV",{"RSC ID","Tier";B1907,A1907}))</f>
        <v/>
      </c>
      <c r="AY1907" s="82" t="str">
        <f t="shared" si="2"/>
        <v/>
      </c>
      <c r="AZ1907" s="82"/>
      <c r="BA1907" s="84" t="s">
        <v>152</v>
      </c>
      <c r="BB1907" s="84" t="str">
        <f>IFERROR(__xludf.DUMMYFUNCTION("iferror(if(A1907="""",,E1907&gt;=FILTER(Constants!$F$2:$F$10,Constants!$A$2:$A$10=A1907)))"),"")</f>
        <v/>
      </c>
    </row>
    <row r="1908">
      <c r="A1908" s="89"/>
      <c r="B1908" s="87"/>
      <c r="C1908" s="73"/>
      <c r="D1908" s="73"/>
      <c r="E1908" s="82"/>
      <c r="F1908" s="82"/>
      <c r="G1908" s="86"/>
      <c r="H1908" s="86"/>
      <c r="I1908" s="86"/>
      <c r="J1908" s="82"/>
      <c r="K1908" s="82"/>
      <c r="L1908" s="82"/>
      <c r="M1908" s="82"/>
      <c r="N1908" s="82"/>
      <c r="O1908" s="82"/>
      <c r="P1908" s="82"/>
      <c r="Q1908" s="82"/>
      <c r="R1908" s="82"/>
      <c r="S1908" s="82"/>
      <c r="T1908" s="82"/>
      <c r="U1908" s="82"/>
      <c r="V1908" s="82"/>
      <c r="W1908" s="82"/>
      <c r="X1908" s="82"/>
      <c r="Y1908" s="82"/>
      <c r="Z1908" s="82"/>
      <c r="AA1908" s="82"/>
      <c r="AB1908" s="82"/>
      <c r="AC1908" s="82"/>
      <c r="AD1908" s="82"/>
      <c r="AE1908" s="82"/>
      <c r="AF1908" s="82"/>
      <c r="AG1908" s="82"/>
      <c r="AH1908" s="82"/>
      <c r="AI1908" s="82"/>
      <c r="AJ1908" s="82"/>
      <c r="AK1908" s="82"/>
      <c r="AL1908" s="82"/>
      <c r="AM1908" s="82"/>
      <c r="AN1908" s="82">
        <f>IFERROR(__xludf.DUMMYFUNCTION("""COMPUTED_VALUE"""),0.0)</f>
        <v>0</v>
      </c>
      <c r="AO1908" s="82">
        <f>IFERROR(__xludf.DUMMYFUNCTION("""COMPUTED_VALUE"""),0.0)</f>
        <v>0</v>
      </c>
      <c r="AP1908" s="82">
        <f>IFERROR(__xludf.DUMMYFUNCTION("""COMPUTED_VALUE"""),0.0)</f>
        <v>0</v>
      </c>
      <c r="AQ1908" s="82">
        <f>IFERROR(__xludf.DUMMYFUNCTION("""COMPUTED_VALUE"""),0.0)</f>
        <v>0</v>
      </c>
      <c r="AR1908" s="82">
        <f>IFERROR(__xludf.DUMMYFUNCTION("""COMPUTED_VALUE"""),0.0)</f>
        <v>0</v>
      </c>
      <c r="AS1908" s="82"/>
      <c r="AT1908" s="82">
        <f>IFERROR(__xludf.DUMMYFUNCTION("""COMPUTED_VALUE"""),0.0)</f>
        <v>0</v>
      </c>
      <c r="AU1908" s="82"/>
      <c r="AV1908" s="82"/>
      <c r="AW1908" s="82" t="str">
        <f t="shared" si="1"/>
        <v/>
      </c>
      <c r="AX1908" s="83" t="str">
        <f t="array" ref="AX1908">IFERROR(DGET('SBV Import'!A:G,"SBV",{"RSC ID","Tier";B1908,A1908}))</f>
        <v/>
      </c>
      <c r="AY1908" s="82" t="str">
        <f t="shared" si="2"/>
        <v/>
      </c>
      <c r="AZ1908" s="82"/>
      <c r="BA1908" s="84" t="s">
        <v>152</v>
      </c>
      <c r="BB1908" s="84" t="str">
        <f>IFERROR(__xludf.DUMMYFUNCTION("iferror(if(A1908="""",,E1908&gt;=FILTER(Constants!$F$2:$F$10,Constants!$A$2:$A$10=A1908)))"),"")</f>
        <v/>
      </c>
    </row>
    <row r="1909">
      <c r="A1909" s="89"/>
      <c r="B1909" s="87"/>
      <c r="C1909" s="73"/>
      <c r="D1909" s="73"/>
      <c r="E1909" s="82"/>
      <c r="F1909" s="82"/>
      <c r="G1909" s="86"/>
      <c r="H1909" s="86"/>
      <c r="I1909" s="86"/>
      <c r="J1909" s="82"/>
      <c r="K1909" s="82"/>
      <c r="L1909" s="82"/>
      <c r="M1909" s="82"/>
      <c r="N1909" s="82"/>
      <c r="O1909" s="82"/>
      <c r="P1909" s="82"/>
      <c r="Q1909" s="82"/>
      <c r="R1909" s="82"/>
      <c r="S1909" s="82"/>
      <c r="T1909" s="82"/>
      <c r="U1909" s="82"/>
      <c r="V1909" s="82"/>
      <c r="W1909" s="82"/>
      <c r="X1909" s="82"/>
      <c r="Y1909" s="82"/>
      <c r="Z1909" s="82"/>
      <c r="AA1909" s="82"/>
      <c r="AB1909" s="82"/>
      <c r="AC1909" s="82"/>
      <c r="AD1909" s="82"/>
      <c r="AE1909" s="82"/>
      <c r="AF1909" s="82"/>
      <c r="AG1909" s="82"/>
      <c r="AH1909" s="82"/>
      <c r="AI1909" s="82"/>
      <c r="AJ1909" s="82"/>
      <c r="AK1909" s="82"/>
      <c r="AL1909" s="82"/>
      <c r="AM1909" s="82"/>
      <c r="AN1909" s="82">
        <f>IFERROR(__xludf.DUMMYFUNCTION("""COMPUTED_VALUE"""),0.0)</f>
        <v>0</v>
      </c>
      <c r="AO1909" s="82">
        <f>IFERROR(__xludf.DUMMYFUNCTION("""COMPUTED_VALUE"""),0.0)</f>
        <v>0</v>
      </c>
      <c r="AP1909" s="82">
        <f>IFERROR(__xludf.DUMMYFUNCTION("""COMPUTED_VALUE"""),0.0)</f>
        <v>0</v>
      </c>
      <c r="AQ1909" s="82">
        <f>IFERROR(__xludf.DUMMYFUNCTION("""COMPUTED_VALUE"""),0.0)</f>
        <v>0</v>
      </c>
      <c r="AR1909" s="82">
        <f>IFERROR(__xludf.DUMMYFUNCTION("""COMPUTED_VALUE"""),0.0)</f>
        <v>0</v>
      </c>
      <c r="AS1909" s="82"/>
      <c r="AT1909" s="82">
        <f>IFERROR(__xludf.DUMMYFUNCTION("""COMPUTED_VALUE"""),0.0)</f>
        <v>0</v>
      </c>
      <c r="AU1909" s="82"/>
      <c r="AV1909" s="82"/>
      <c r="AW1909" s="82" t="str">
        <f t="shared" si="1"/>
        <v/>
      </c>
      <c r="AX1909" s="83" t="str">
        <f t="array" ref="AX1909">IFERROR(DGET('SBV Import'!A:G,"SBV",{"RSC ID","Tier";B1909,A1909}))</f>
        <v/>
      </c>
      <c r="AY1909" s="82" t="str">
        <f t="shared" si="2"/>
        <v/>
      </c>
      <c r="AZ1909" s="82"/>
      <c r="BA1909" s="84" t="s">
        <v>152</v>
      </c>
      <c r="BB1909" s="84" t="str">
        <f>IFERROR(__xludf.DUMMYFUNCTION("iferror(if(A1909="""",,E1909&gt;=FILTER(Constants!$F$2:$F$10,Constants!$A$2:$A$10=A1909)))"),"")</f>
        <v/>
      </c>
    </row>
    <row r="1910">
      <c r="A1910" s="89"/>
      <c r="B1910" s="87"/>
      <c r="C1910" s="73"/>
      <c r="D1910" s="73"/>
      <c r="E1910" s="82"/>
      <c r="F1910" s="82"/>
      <c r="G1910" s="86"/>
      <c r="H1910" s="86"/>
      <c r="I1910" s="86"/>
      <c r="J1910" s="82"/>
      <c r="K1910" s="82"/>
      <c r="L1910" s="82"/>
      <c r="M1910" s="82"/>
      <c r="N1910" s="82"/>
      <c r="O1910" s="82"/>
      <c r="P1910" s="82"/>
      <c r="Q1910" s="82"/>
      <c r="R1910" s="82"/>
      <c r="S1910" s="82"/>
      <c r="T1910" s="82"/>
      <c r="U1910" s="82"/>
      <c r="V1910" s="82"/>
      <c r="W1910" s="82"/>
      <c r="X1910" s="82"/>
      <c r="Y1910" s="82"/>
      <c r="Z1910" s="82"/>
      <c r="AA1910" s="82"/>
      <c r="AB1910" s="82"/>
      <c r="AC1910" s="82"/>
      <c r="AD1910" s="82"/>
      <c r="AE1910" s="82"/>
      <c r="AF1910" s="82"/>
      <c r="AG1910" s="82"/>
      <c r="AH1910" s="82"/>
      <c r="AI1910" s="82"/>
      <c r="AJ1910" s="82"/>
      <c r="AK1910" s="82"/>
      <c r="AL1910" s="82"/>
      <c r="AM1910" s="82"/>
      <c r="AN1910" s="82">
        <f>IFERROR(__xludf.DUMMYFUNCTION("""COMPUTED_VALUE"""),0.0)</f>
        <v>0</v>
      </c>
      <c r="AO1910" s="82">
        <f>IFERROR(__xludf.DUMMYFUNCTION("""COMPUTED_VALUE"""),0.0)</f>
        <v>0</v>
      </c>
      <c r="AP1910" s="82">
        <f>IFERROR(__xludf.DUMMYFUNCTION("""COMPUTED_VALUE"""),0.0)</f>
        <v>0</v>
      </c>
      <c r="AQ1910" s="82">
        <f>IFERROR(__xludf.DUMMYFUNCTION("""COMPUTED_VALUE"""),0.0)</f>
        <v>0</v>
      </c>
      <c r="AR1910" s="82">
        <f>IFERROR(__xludf.DUMMYFUNCTION("""COMPUTED_VALUE"""),0.0)</f>
        <v>0</v>
      </c>
      <c r="AS1910" s="82"/>
      <c r="AT1910" s="82">
        <f>IFERROR(__xludf.DUMMYFUNCTION("""COMPUTED_VALUE"""),0.0)</f>
        <v>0</v>
      </c>
      <c r="AU1910" s="82"/>
      <c r="AV1910" s="82"/>
      <c r="AW1910" s="82" t="str">
        <f t="shared" si="1"/>
        <v/>
      </c>
      <c r="AX1910" s="83" t="str">
        <f t="array" ref="AX1910">IFERROR(DGET('SBV Import'!A:G,"SBV",{"RSC ID","Tier";B1910,A1910}))</f>
        <v/>
      </c>
      <c r="AY1910" s="82" t="str">
        <f t="shared" si="2"/>
        <v/>
      </c>
      <c r="AZ1910" s="82"/>
      <c r="BA1910" s="84" t="s">
        <v>152</v>
      </c>
      <c r="BB1910" s="84" t="str">
        <f>IFERROR(__xludf.DUMMYFUNCTION("iferror(if(A1910="""",,E1910&gt;=FILTER(Constants!$F$2:$F$10,Constants!$A$2:$A$10=A1910)))"),"")</f>
        <v/>
      </c>
    </row>
    <row r="1911">
      <c r="A1911" s="89"/>
      <c r="B1911" s="87"/>
      <c r="C1911" s="73"/>
      <c r="D1911" s="73"/>
      <c r="E1911" s="82"/>
      <c r="F1911" s="82"/>
      <c r="G1911" s="86"/>
      <c r="H1911" s="86"/>
      <c r="I1911" s="86"/>
      <c r="J1911" s="82"/>
      <c r="K1911" s="82"/>
      <c r="L1911" s="82"/>
      <c r="M1911" s="82"/>
      <c r="N1911" s="82"/>
      <c r="O1911" s="82"/>
      <c r="P1911" s="82"/>
      <c r="Q1911" s="82"/>
      <c r="R1911" s="82"/>
      <c r="S1911" s="82"/>
      <c r="T1911" s="82"/>
      <c r="U1911" s="82"/>
      <c r="V1911" s="82"/>
      <c r="W1911" s="82"/>
      <c r="X1911" s="82"/>
      <c r="Y1911" s="82"/>
      <c r="Z1911" s="82"/>
      <c r="AA1911" s="82"/>
      <c r="AB1911" s="82"/>
      <c r="AC1911" s="82"/>
      <c r="AD1911" s="82"/>
      <c r="AE1911" s="82"/>
      <c r="AF1911" s="82"/>
      <c r="AG1911" s="82"/>
      <c r="AH1911" s="82"/>
      <c r="AI1911" s="82"/>
      <c r="AJ1911" s="82"/>
      <c r="AK1911" s="82"/>
      <c r="AL1911" s="82"/>
      <c r="AM1911" s="82"/>
      <c r="AN1911" s="82">
        <f>IFERROR(__xludf.DUMMYFUNCTION("""COMPUTED_VALUE"""),0.0)</f>
        <v>0</v>
      </c>
      <c r="AO1911" s="82">
        <f>IFERROR(__xludf.DUMMYFUNCTION("""COMPUTED_VALUE"""),0.0)</f>
        <v>0</v>
      </c>
      <c r="AP1911" s="82">
        <f>IFERROR(__xludf.DUMMYFUNCTION("""COMPUTED_VALUE"""),0.0)</f>
        <v>0</v>
      </c>
      <c r="AQ1911" s="82">
        <f>IFERROR(__xludf.DUMMYFUNCTION("""COMPUTED_VALUE"""),0.0)</f>
        <v>0</v>
      </c>
      <c r="AR1911" s="82">
        <f>IFERROR(__xludf.DUMMYFUNCTION("""COMPUTED_VALUE"""),0.0)</f>
        <v>0</v>
      </c>
      <c r="AS1911" s="82"/>
      <c r="AT1911" s="82">
        <f>IFERROR(__xludf.DUMMYFUNCTION("""COMPUTED_VALUE"""),0.0)</f>
        <v>0</v>
      </c>
      <c r="AU1911" s="82"/>
      <c r="AV1911" s="82"/>
      <c r="AW1911" s="82" t="str">
        <f t="shared" si="1"/>
        <v/>
      </c>
      <c r="AX1911" s="83" t="str">
        <f t="array" ref="AX1911">IFERROR(DGET('SBV Import'!A:G,"SBV",{"RSC ID","Tier";B1911,A1911}))</f>
        <v/>
      </c>
      <c r="AY1911" s="82" t="str">
        <f t="shared" si="2"/>
        <v/>
      </c>
      <c r="AZ1911" s="82"/>
      <c r="BA1911" s="84" t="s">
        <v>152</v>
      </c>
      <c r="BB1911" s="84" t="str">
        <f>IFERROR(__xludf.DUMMYFUNCTION("iferror(if(A1911="""",,E1911&gt;=FILTER(Constants!$F$2:$F$10,Constants!$A$2:$A$10=A1911)))"),"")</f>
        <v/>
      </c>
    </row>
    <row r="1912">
      <c r="A1912" s="89"/>
      <c r="B1912" s="87"/>
      <c r="C1912" s="73"/>
      <c r="D1912" s="73"/>
      <c r="E1912" s="82"/>
      <c r="F1912" s="82"/>
      <c r="G1912" s="86"/>
      <c r="H1912" s="86"/>
      <c r="I1912" s="86"/>
      <c r="J1912" s="82"/>
      <c r="K1912" s="82"/>
      <c r="L1912" s="82"/>
      <c r="M1912" s="82"/>
      <c r="N1912" s="82"/>
      <c r="O1912" s="82"/>
      <c r="P1912" s="82"/>
      <c r="Q1912" s="82"/>
      <c r="R1912" s="82"/>
      <c r="S1912" s="82"/>
      <c r="T1912" s="82"/>
      <c r="U1912" s="82"/>
      <c r="V1912" s="82"/>
      <c r="W1912" s="82"/>
      <c r="X1912" s="82"/>
      <c r="Y1912" s="82"/>
      <c r="Z1912" s="82"/>
      <c r="AA1912" s="82"/>
      <c r="AB1912" s="82"/>
      <c r="AC1912" s="82"/>
      <c r="AD1912" s="82"/>
      <c r="AE1912" s="82"/>
      <c r="AF1912" s="82"/>
      <c r="AG1912" s="82"/>
      <c r="AH1912" s="82"/>
      <c r="AI1912" s="82"/>
      <c r="AJ1912" s="82"/>
      <c r="AK1912" s="82"/>
      <c r="AL1912" s="82"/>
      <c r="AM1912" s="82"/>
      <c r="AN1912" s="82">
        <f>IFERROR(__xludf.DUMMYFUNCTION("""COMPUTED_VALUE"""),0.0)</f>
        <v>0</v>
      </c>
      <c r="AO1912" s="82">
        <f>IFERROR(__xludf.DUMMYFUNCTION("""COMPUTED_VALUE"""),0.0)</f>
        <v>0</v>
      </c>
      <c r="AP1912" s="82">
        <f>IFERROR(__xludf.DUMMYFUNCTION("""COMPUTED_VALUE"""),0.0)</f>
        <v>0</v>
      </c>
      <c r="AQ1912" s="82">
        <f>IFERROR(__xludf.DUMMYFUNCTION("""COMPUTED_VALUE"""),0.0)</f>
        <v>0</v>
      </c>
      <c r="AR1912" s="82">
        <f>IFERROR(__xludf.DUMMYFUNCTION("""COMPUTED_VALUE"""),0.0)</f>
        <v>0</v>
      </c>
      <c r="AS1912" s="82"/>
      <c r="AT1912" s="82">
        <f>IFERROR(__xludf.DUMMYFUNCTION("""COMPUTED_VALUE"""),0.0)</f>
        <v>0</v>
      </c>
      <c r="AU1912" s="82"/>
      <c r="AV1912" s="82"/>
      <c r="AW1912" s="82" t="str">
        <f t="shared" si="1"/>
        <v/>
      </c>
      <c r="AX1912" s="83" t="str">
        <f t="array" ref="AX1912">IFERROR(DGET('SBV Import'!A:G,"SBV",{"RSC ID","Tier";B1912,A1912}))</f>
        <v/>
      </c>
      <c r="AY1912" s="82" t="str">
        <f t="shared" si="2"/>
        <v/>
      </c>
      <c r="AZ1912" s="82"/>
      <c r="BA1912" s="84" t="s">
        <v>152</v>
      </c>
      <c r="BB1912" s="84" t="str">
        <f>IFERROR(__xludf.DUMMYFUNCTION("iferror(if(A1912="""",,E1912&gt;=FILTER(Constants!$F$2:$F$10,Constants!$A$2:$A$10=A1912)))"),"")</f>
        <v/>
      </c>
    </row>
    <row r="1913">
      <c r="A1913" s="89"/>
      <c r="B1913" s="87"/>
      <c r="C1913" s="73"/>
      <c r="D1913" s="73"/>
      <c r="E1913" s="82"/>
      <c r="F1913" s="82"/>
      <c r="G1913" s="86"/>
      <c r="H1913" s="86"/>
      <c r="I1913" s="86"/>
      <c r="J1913" s="82"/>
      <c r="K1913" s="82"/>
      <c r="L1913" s="82"/>
      <c r="M1913" s="82"/>
      <c r="N1913" s="82"/>
      <c r="O1913" s="82"/>
      <c r="P1913" s="82"/>
      <c r="Q1913" s="82"/>
      <c r="R1913" s="82"/>
      <c r="S1913" s="82"/>
      <c r="T1913" s="82"/>
      <c r="U1913" s="82"/>
      <c r="V1913" s="82"/>
      <c r="W1913" s="82"/>
      <c r="X1913" s="82"/>
      <c r="Y1913" s="82"/>
      <c r="Z1913" s="82"/>
      <c r="AA1913" s="82"/>
      <c r="AB1913" s="82"/>
      <c r="AC1913" s="82"/>
      <c r="AD1913" s="82"/>
      <c r="AE1913" s="82"/>
      <c r="AF1913" s="82"/>
      <c r="AG1913" s="82"/>
      <c r="AH1913" s="82"/>
      <c r="AI1913" s="82"/>
      <c r="AJ1913" s="82"/>
      <c r="AK1913" s="82"/>
      <c r="AL1913" s="82"/>
      <c r="AM1913" s="82"/>
      <c r="AN1913" s="82">
        <f>IFERROR(__xludf.DUMMYFUNCTION("""COMPUTED_VALUE"""),0.0)</f>
        <v>0</v>
      </c>
      <c r="AO1913" s="82">
        <f>IFERROR(__xludf.DUMMYFUNCTION("""COMPUTED_VALUE"""),0.0)</f>
        <v>0</v>
      </c>
      <c r="AP1913" s="82">
        <f>IFERROR(__xludf.DUMMYFUNCTION("""COMPUTED_VALUE"""),0.0)</f>
        <v>0</v>
      </c>
      <c r="AQ1913" s="82">
        <f>IFERROR(__xludf.DUMMYFUNCTION("""COMPUTED_VALUE"""),0.0)</f>
        <v>0</v>
      </c>
      <c r="AR1913" s="82">
        <f>IFERROR(__xludf.DUMMYFUNCTION("""COMPUTED_VALUE"""),0.0)</f>
        <v>0</v>
      </c>
      <c r="AS1913" s="82"/>
      <c r="AT1913" s="82">
        <f>IFERROR(__xludf.DUMMYFUNCTION("""COMPUTED_VALUE"""),0.0)</f>
        <v>0</v>
      </c>
      <c r="AU1913" s="82"/>
      <c r="AV1913" s="82"/>
      <c r="AW1913" s="82" t="str">
        <f t="shared" si="1"/>
        <v/>
      </c>
      <c r="AX1913" s="83" t="str">
        <f t="array" ref="AX1913">IFERROR(DGET('SBV Import'!A:G,"SBV",{"RSC ID","Tier";B1913,A1913}))</f>
        <v/>
      </c>
      <c r="AY1913" s="82" t="str">
        <f t="shared" si="2"/>
        <v/>
      </c>
      <c r="AZ1913" s="82"/>
      <c r="BA1913" s="84" t="s">
        <v>152</v>
      </c>
      <c r="BB1913" s="84" t="str">
        <f>IFERROR(__xludf.DUMMYFUNCTION("iferror(if(A1913="""",,E1913&gt;=FILTER(Constants!$F$2:$F$10,Constants!$A$2:$A$10=A1913)))"),"")</f>
        <v/>
      </c>
    </row>
    <row r="1914">
      <c r="A1914" s="89"/>
      <c r="B1914" s="87"/>
      <c r="C1914" s="73"/>
      <c r="D1914" s="73"/>
      <c r="E1914" s="82"/>
      <c r="F1914" s="82"/>
      <c r="G1914" s="86"/>
      <c r="H1914" s="86"/>
      <c r="I1914" s="86"/>
      <c r="J1914" s="82"/>
      <c r="K1914" s="82"/>
      <c r="L1914" s="82"/>
      <c r="M1914" s="82"/>
      <c r="N1914" s="82"/>
      <c r="O1914" s="82"/>
      <c r="P1914" s="82"/>
      <c r="Q1914" s="82"/>
      <c r="R1914" s="82"/>
      <c r="S1914" s="82"/>
      <c r="T1914" s="82"/>
      <c r="U1914" s="82"/>
      <c r="V1914" s="82"/>
      <c r="W1914" s="82"/>
      <c r="X1914" s="82"/>
      <c r="Y1914" s="82"/>
      <c r="Z1914" s="82"/>
      <c r="AA1914" s="82"/>
      <c r="AB1914" s="82"/>
      <c r="AC1914" s="82"/>
      <c r="AD1914" s="82"/>
      <c r="AE1914" s="82"/>
      <c r="AF1914" s="82"/>
      <c r="AG1914" s="82"/>
      <c r="AH1914" s="82"/>
      <c r="AI1914" s="82"/>
      <c r="AJ1914" s="82"/>
      <c r="AK1914" s="82"/>
      <c r="AL1914" s="82"/>
      <c r="AM1914" s="82"/>
      <c r="AN1914" s="82">
        <f>IFERROR(__xludf.DUMMYFUNCTION("""COMPUTED_VALUE"""),0.0)</f>
        <v>0</v>
      </c>
      <c r="AO1914" s="82">
        <f>IFERROR(__xludf.DUMMYFUNCTION("""COMPUTED_VALUE"""),0.0)</f>
        <v>0</v>
      </c>
      <c r="AP1914" s="82">
        <f>IFERROR(__xludf.DUMMYFUNCTION("""COMPUTED_VALUE"""),0.0)</f>
        <v>0</v>
      </c>
      <c r="AQ1914" s="82">
        <f>IFERROR(__xludf.DUMMYFUNCTION("""COMPUTED_VALUE"""),0.0)</f>
        <v>0</v>
      </c>
      <c r="AR1914" s="82">
        <f>IFERROR(__xludf.DUMMYFUNCTION("""COMPUTED_VALUE"""),0.0)</f>
        <v>0</v>
      </c>
      <c r="AS1914" s="82"/>
      <c r="AT1914" s="82">
        <f>IFERROR(__xludf.DUMMYFUNCTION("""COMPUTED_VALUE"""),0.0)</f>
        <v>0</v>
      </c>
      <c r="AU1914" s="82"/>
      <c r="AV1914" s="82"/>
      <c r="AW1914" s="82" t="str">
        <f t="shared" si="1"/>
        <v/>
      </c>
      <c r="AX1914" s="83" t="str">
        <f t="array" ref="AX1914">IFERROR(DGET('SBV Import'!A:G,"SBV",{"RSC ID","Tier";B1914,A1914}))</f>
        <v/>
      </c>
      <c r="AY1914" s="82" t="str">
        <f t="shared" si="2"/>
        <v/>
      </c>
      <c r="AZ1914" s="82"/>
      <c r="BA1914" s="84" t="s">
        <v>152</v>
      </c>
      <c r="BB1914" s="84" t="str">
        <f>IFERROR(__xludf.DUMMYFUNCTION("iferror(if(A1914="""",,E1914&gt;=FILTER(Constants!$F$2:$F$10,Constants!$A$2:$A$10=A1914)))"),"")</f>
        <v/>
      </c>
    </row>
    <row r="1915">
      <c r="A1915" s="89"/>
      <c r="B1915" s="87"/>
      <c r="C1915" s="73"/>
      <c r="D1915" s="73"/>
      <c r="E1915" s="82"/>
      <c r="F1915" s="82"/>
      <c r="G1915" s="86"/>
      <c r="H1915" s="86"/>
      <c r="I1915" s="86"/>
      <c r="J1915" s="82"/>
      <c r="K1915" s="82"/>
      <c r="L1915" s="82"/>
      <c r="M1915" s="82"/>
      <c r="N1915" s="82"/>
      <c r="O1915" s="82"/>
      <c r="P1915" s="82"/>
      <c r="Q1915" s="82"/>
      <c r="R1915" s="82"/>
      <c r="S1915" s="82"/>
      <c r="T1915" s="82"/>
      <c r="U1915" s="82"/>
      <c r="V1915" s="82"/>
      <c r="W1915" s="82"/>
      <c r="X1915" s="82"/>
      <c r="Y1915" s="82"/>
      <c r="Z1915" s="82"/>
      <c r="AA1915" s="82"/>
      <c r="AB1915" s="82"/>
      <c r="AC1915" s="82"/>
      <c r="AD1915" s="82"/>
      <c r="AE1915" s="82"/>
      <c r="AF1915" s="82"/>
      <c r="AG1915" s="82"/>
      <c r="AH1915" s="82"/>
      <c r="AI1915" s="82"/>
      <c r="AJ1915" s="82"/>
      <c r="AK1915" s="82"/>
      <c r="AL1915" s="82"/>
      <c r="AM1915" s="82"/>
      <c r="AN1915" s="82">
        <f>IFERROR(__xludf.DUMMYFUNCTION("""COMPUTED_VALUE"""),0.0)</f>
        <v>0</v>
      </c>
      <c r="AO1915" s="82">
        <f>IFERROR(__xludf.DUMMYFUNCTION("""COMPUTED_VALUE"""),0.0)</f>
        <v>0</v>
      </c>
      <c r="AP1915" s="82">
        <f>IFERROR(__xludf.DUMMYFUNCTION("""COMPUTED_VALUE"""),0.0)</f>
        <v>0</v>
      </c>
      <c r="AQ1915" s="82">
        <f>IFERROR(__xludf.DUMMYFUNCTION("""COMPUTED_VALUE"""),0.0)</f>
        <v>0</v>
      </c>
      <c r="AR1915" s="82">
        <f>IFERROR(__xludf.DUMMYFUNCTION("""COMPUTED_VALUE"""),0.0)</f>
        <v>0</v>
      </c>
      <c r="AS1915" s="82"/>
      <c r="AT1915" s="82">
        <f>IFERROR(__xludf.DUMMYFUNCTION("""COMPUTED_VALUE"""),0.0)</f>
        <v>0</v>
      </c>
      <c r="AU1915" s="82"/>
      <c r="AV1915" s="82"/>
      <c r="AW1915" s="82" t="str">
        <f t="shared" si="1"/>
        <v/>
      </c>
      <c r="AX1915" s="83" t="str">
        <f t="array" ref="AX1915">IFERROR(DGET('SBV Import'!A:G,"SBV",{"RSC ID","Tier";B1915,A1915}))</f>
        <v/>
      </c>
      <c r="AY1915" s="82" t="str">
        <f t="shared" si="2"/>
        <v/>
      </c>
      <c r="AZ1915" s="82"/>
      <c r="BA1915" s="84" t="s">
        <v>152</v>
      </c>
      <c r="BB1915" s="84" t="str">
        <f>IFERROR(__xludf.DUMMYFUNCTION("iferror(if(A1915="""",,E1915&gt;=FILTER(Constants!$F$2:$F$10,Constants!$A$2:$A$10=A1915)))"),"")</f>
        <v/>
      </c>
    </row>
    <row r="1916">
      <c r="A1916" s="89"/>
      <c r="B1916" s="87"/>
      <c r="C1916" s="73"/>
      <c r="D1916" s="73"/>
      <c r="E1916" s="82"/>
      <c r="F1916" s="82"/>
      <c r="G1916" s="86"/>
      <c r="H1916" s="86"/>
      <c r="I1916" s="86"/>
      <c r="J1916" s="82"/>
      <c r="K1916" s="82"/>
      <c r="L1916" s="82"/>
      <c r="M1916" s="82"/>
      <c r="N1916" s="82"/>
      <c r="O1916" s="82"/>
      <c r="P1916" s="82"/>
      <c r="Q1916" s="82"/>
      <c r="R1916" s="82"/>
      <c r="S1916" s="82"/>
      <c r="T1916" s="82"/>
      <c r="U1916" s="82"/>
      <c r="V1916" s="82"/>
      <c r="W1916" s="82"/>
      <c r="X1916" s="82"/>
      <c r="Y1916" s="82"/>
      <c r="Z1916" s="82"/>
      <c r="AA1916" s="82"/>
      <c r="AB1916" s="82"/>
      <c r="AC1916" s="82"/>
      <c r="AD1916" s="82"/>
      <c r="AE1916" s="82"/>
      <c r="AF1916" s="82"/>
      <c r="AG1916" s="82"/>
      <c r="AH1916" s="82"/>
      <c r="AI1916" s="82"/>
      <c r="AJ1916" s="82"/>
      <c r="AK1916" s="82"/>
      <c r="AL1916" s="82"/>
      <c r="AM1916" s="82"/>
      <c r="AN1916" s="82">
        <f>IFERROR(__xludf.DUMMYFUNCTION("""COMPUTED_VALUE"""),0.0)</f>
        <v>0</v>
      </c>
      <c r="AO1916" s="82">
        <f>IFERROR(__xludf.DUMMYFUNCTION("""COMPUTED_VALUE"""),0.0)</f>
        <v>0</v>
      </c>
      <c r="AP1916" s="82">
        <f>IFERROR(__xludf.DUMMYFUNCTION("""COMPUTED_VALUE"""),0.0)</f>
        <v>0</v>
      </c>
      <c r="AQ1916" s="82">
        <f>IFERROR(__xludf.DUMMYFUNCTION("""COMPUTED_VALUE"""),0.0)</f>
        <v>0</v>
      </c>
      <c r="AR1916" s="82">
        <f>IFERROR(__xludf.DUMMYFUNCTION("""COMPUTED_VALUE"""),0.0)</f>
        <v>0</v>
      </c>
      <c r="AS1916" s="82"/>
      <c r="AT1916" s="82">
        <f>IFERROR(__xludf.DUMMYFUNCTION("""COMPUTED_VALUE"""),0.0)</f>
        <v>0</v>
      </c>
      <c r="AU1916" s="82"/>
      <c r="AV1916" s="82"/>
      <c r="AW1916" s="82" t="str">
        <f t="shared" si="1"/>
        <v/>
      </c>
      <c r="AX1916" s="83" t="str">
        <f t="array" ref="AX1916">IFERROR(DGET('SBV Import'!A:G,"SBV",{"RSC ID","Tier";B1916,A1916}))</f>
        <v/>
      </c>
      <c r="AY1916" s="82" t="str">
        <f t="shared" si="2"/>
        <v/>
      </c>
      <c r="AZ1916" s="82"/>
      <c r="BA1916" s="84" t="s">
        <v>152</v>
      </c>
      <c r="BB1916" s="84" t="str">
        <f>IFERROR(__xludf.DUMMYFUNCTION("iferror(if(A1916="""",,E1916&gt;=FILTER(Constants!$F$2:$F$10,Constants!$A$2:$A$10=A1916)))"),"")</f>
        <v/>
      </c>
    </row>
    <row r="1917">
      <c r="A1917" s="89"/>
      <c r="B1917" s="87"/>
      <c r="C1917" s="73"/>
      <c r="D1917" s="73"/>
      <c r="E1917" s="82"/>
      <c r="F1917" s="82"/>
      <c r="G1917" s="86"/>
      <c r="H1917" s="86"/>
      <c r="I1917" s="86"/>
      <c r="J1917" s="82"/>
      <c r="K1917" s="82"/>
      <c r="L1917" s="82"/>
      <c r="M1917" s="82"/>
      <c r="N1917" s="82"/>
      <c r="O1917" s="82"/>
      <c r="P1917" s="82"/>
      <c r="Q1917" s="82"/>
      <c r="R1917" s="82"/>
      <c r="S1917" s="82"/>
      <c r="T1917" s="82"/>
      <c r="U1917" s="82"/>
      <c r="V1917" s="82"/>
      <c r="W1917" s="82"/>
      <c r="X1917" s="82"/>
      <c r="Y1917" s="82"/>
      <c r="Z1917" s="82"/>
      <c r="AA1917" s="82"/>
      <c r="AB1917" s="82"/>
      <c r="AC1917" s="82"/>
      <c r="AD1917" s="82"/>
      <c r="AE1917" s="82"/>
      <c r="AF1917" s="82"/>
      <c r="AG1917" s="82"/>
      <c r="AH1917" s="82"/>
      <c r="AI1917" s="82"/>
      <c r="AJ1917" s="82"/>
      <c r="AK1917" s="82"/>
      <c r="AL1917" s="82"/>
      <c r="AM1917" s="82"/>
      <c r="AN1917" s="82">
        <f>IFERROR(__xludf.DUMMYFUNCTION("""COMPUTED_VALUE"""),0.0)</f>
        <v>0</v>
      </c>
      <c r="AO1917" s="82">
        <f>IFERROR(__xludf.DUMMYFUNCTION("""COMPUTED_VALUE"""),0.0)</f>
        <v>0</v>
      </c>
      <c r="AP1917" s="82">
        <f>IFERROR(__xludf.DUMMYFUNCTION("""COMPUTED_VALUE"""),0.0)</f>
        <v>0</v>
      </c>
      <c r="AQ1917" s="82">
        <f>IFERROR(__xludf.DUMMYFUNCTION("""COMPUTED_VALUE"""),0.0)</f>
        <v>0</v>
      </c>
      <c r="AR1917" s="82">
        <f>IFERROR(__xludf.DUMMYFUNCTION("""COMPUTED_VALUE"""),0.0)</f>
        <v>0</v>
      </c>
      <c r="AS1917" s="82"/>
      <c r="AT1917" s="82">
        <f>IFERROR(__xludf.DUMMYFUNCTION("""COMPUTED_VALUE"""),0.0)</f>
        <v>0</v>
      </c>
      <c r="AU1917" s="82"/>
      <c r="AV1917" s="82"/>
      <c r="AW1917" s="82" t="str">
        <f t="shared" si="1"/>
        <v/>
      </c>
      <c r="AX1917" s="83" t="str">
        <f t="array" ref="AX1917">IFERROR(DGET('SBV Import'!A:G,"SBV",{"RSC ID","Tier";B1917,A1917}))</f>
        <v/>
      </c>
      <c r="AY1917" s="82" t="str">
        <f t="shared" si="2"/>
        <v/>
      </c>
      <c r="AZ1917" s="82"/>
      <c r="BA1917" s="84" t="s">
        <v>152</v>
      </c>
      <c r="BB1917" s="84" t="str">
        <f>IFERROR(__xludf.DUMMYFUNCTION("iferror(if(A1917="""",,E1917&gt;=FILTER(Constants!$F$2:$F$10,Constants!$A$2:$A$10=A1917)))"),"")</f>
        <v/>
      </c>
    </row>
    <row r="1918">
      <c r="A1918" s="89"/>
      <c r="B1918" s="87"/>
      <c r="C1918" s="73"/>
      <c r="D1918" s="73"/>
      <c r="E1918" s="82"/>
      <c r="F1918" s="82"/>
      <c r="G1918" s="86"/>
      <c r="H1918" s="86"/>
      <c r="I1918" s="86"/>
      <c r="J1918" s="82"/>
      <c r="K1918" s="82"/>
      <c r="L1918" s="82"/>
      <c r="M1918" s="82"/>
      <c r="N1918" s="82"/>
      <c r="O1918" s="82"/>
      <c r="P1918" s="82"/>
      <c r="Q1918" s="82"/>
      <c r="R1918" s="82"/>
      <c r="S1918" s="82"/>
      <c r="T1918" s="82"/>
      <c r="U1918" s="82"/>
      <c r="V1918" s="82"/>
      <c r="W1918" s="82"/>
      <c r="X1918" s="82"/>
      <c r="Y1918" s="82"/>
      <c r="Z1918" s="82"/>
      <c r="AA1918" s="82"/>
      <c r="AB1918" s="82"/>
      <c r="AC1918" s="82"/>
      <c r="AD1918" s="82"/>
      <c r="AE1918" s="82"/>
      <c r="AF1918" s="82"/>
      <c r="AG1918" s="82"/>
      <c r="AH1918" s="82"/>
      <c r="AI1918" s="82"/>
      <c r="AJ1918" s="82"/>
      <c r="AK1918" s="82"/>
      <c r="AL1918" s="82"/>
      <c r="AM1918" s="82"/>
      <c r="AN1918" s="82">
        <f>IFERROR(__xludf.DUMMYFUNCTION("""COMPUTED_VALUE"""),0.0)</f>
        <v>0</v>
      </c>
      <c r="AO1918" s="82">
        <f>IFERROR(__xludf.DUMMYFUNCTION("""COMPUTED_VALUE"""),0.0)</f>
        <v>0</v>
      </c>
      <c r="AP1918" s="82">
        <f>IFERROR(__xludf.DUMMYFUNCTION("""COMPUTED_VALUE"""),0.0)</f>
        <v>0</v>
      </c>
      <c r="AQ1918" s="82">
        <f>IFERROR(__xludf.DUMMYFUNCTION("""COMPUTED_VALUE"""),0.0)</f>
        <v>0</v>
      </c>
      <c r="AR1918" s="82">
        <f>IFERROR(__xludf.DUMMYFUNCTION("""COMPUTED_VALUE"""),0.0)</f>
        <v>0</v>
      </c>
      <c r="AS1918" s="82"/>
      <c r="AT1918" s="82">
        <f>IFERROR(__xludf.DUMMYFUNCTION("""COMPUTED_VALUE"""),0.0)</f>
        <v>0</v>
      </c>
      <c r="AU1918" s="82"/>
      <c r="AV1918" s="82"/>
      <c r="AW1918" s="82" t="str">
        <f t="shared" si="1"/>
        <v/>
      </c>
      <c r="AX1918" s="83" t="str">
        <f t="array" ref="AX1918">IFERROR(DGET('SBV Import'!A:G,"SBV",{"RSC ID","Tier";B1918,A1918}))</f>
        <v/>
      </c>
      <c r="AY1918" s="82" t="str">
        <f t="shared" si="2"/>
        <v/>
      </c>
      <c r="AZ1918" s="82"/>
      <c r="BA1918" s="84" t="s">
        <v>152</v>
      </c>
      <c r="BB1918" s="84" t="str">
        <f>IFERROR(__xludf.DUMMYFUNCTION("iferror(if(A1918="""",,E1918&gt;=FILTER(Constants!$F$2:$F$10,Constants!$A$2:$A$10=A1918)))"),"")</f>
        <v/>
      </c>
    </row>
    <row r="1919">
      <c r="A1919" s="89"/>
      <c r="B1919" s="87"/>
      <c r="C1919" s="73"/>
      <c r="D1919" s="73"/>
      <c r="E1919" s="82"/>
      <c r="F1919" s="82"/>
      <c r="G1919" s="86"/>
      <c r="H1919" s="86"/>
      <c r="I1919" s="86"/>
      <c r="J1919" s="82"/>
      <c r="K1919" s="82"/>
      <c r="L1919" s="82"/>
      <c r="M1919" s="82"/>
      <c r="N1919" s="82"/>
      <c r="O1919" s="82"/>
      <c r="P1919" s="82"/>
      <c r="Q1919" s="82"/>
      <c r="R1919" s="82"/>
      <c r="S1919" s="82"/>
      <c r="T1919" s="82"/>
      <c r="U1919" s="82"/>
      <c r="V1919" s="82"/>
      <c r="W1919" s="82"/>
      <c r="X1919" s="82"/>
      <c r="Y1919" s="82"/>
      <c r="Z1919" s="82"/>
      <c r="AA1919" s="82"/>
      <c r="AB1919" s="82"/>
      <c r="AC1919" s="82"/>
      <c r="AD1919" s="82"/>
      <c r="AE1919" s="82"/>
      <c r="AF1919" s="82"/>
      <c r="AG1919" s="82"/>
      <c r="AH1919" s="82"/>
      <c r="AI1919" s="82"/>
      <c r="AJ1919" s="82"/>
      <c r="AK1919" s="82"/>
      <c r="AL1919" s="82"/>
      <c r="AM1919" s="82"/>
      <c r="AN1919" s="82">
        <f>IFERROR(__xludf.DUMMYFUNCTION("""COMPUTED_VALUE"""),0.0)</f>
        <v>0</v>
      </c>
      <c r="AO1919" s="82">
        <f>IFERROR(__xludf.DUMMYFUNCTION("""COMPUTED_VALUE"""),0.0)</f>
        <v>0</v>
      </c>
      <c r="AP1919" s="82">
        <f>IFERROR(__xludf.DUMMYFUNCTION("""COMPUTED_VALUE"""),0.0)</f>
        <v>0</v>
      </c>
      <c r="AQ1919" s="82">
        <f>IFERROR(__xludf.DUMMYFUNCTION("""COMPUTED_VALUE"""),0.0)</f>
        <v>0</v>
      </c>
      <c r="AR1919" s="82">
        <f>IFERROR(__xludf.DUMMYFUNCTION("""COMPUTED_VALUE"""),0.0)</f>
        <v>0</v>
      </c>
      <c r="AS1919" s="82"/>
      <c r="AT1919" s="82">
        <f>IFERROR(__xludf.DUMMYFUNCTION("""COMPUTED_VALUE"""),0.0)</f>
        <v>0</v>
      </c>
      <c r="AU1919" s="82"/>
      <c r="AV1919" s="82"/>
      <c r="AW1919" s="82" t="str">
        <f t="shared" si="1"/>
        <v/>
      </c>
      <c r="AX1919" s="83" t="str">
        <f t="array" ref="AX1919">IFERROR(DGET('SBV Import'!A:G,"SBV",{"RSC ID","Tier";B1919,A1919}))</f>
        <v/>
      </c>
      <c r="AY1919" s="82" t="str">
        <f t="shared" si="2"/>
        <v/>
      </c>
      <c r="AZ1919" s="82"/>
      <c r="BA1919" s="84" t="s">
        <v>152</v>
      </c>
      <c r="BB1919" s="84" t="str">
        <f>IFERROR(__xludf.DUMMYFUNCTION("iferror(if(A1919="""",,E1919&gt;=FILTER(Constants!$F$2:$F$10,Constants!$A$2:$A$10=A1919)))"),"")</f>
        <v/>
      </c>
    </row>
    <row r="1920">
      <c r="A1920" s="89"/>
      <c r="B1920" s="87"/>
      <c r="C1920" s="73"/>
      <c r="D1920" s="73"/>
      <c r="E1920" s="82"/>
      <c r="F1920" s="82"/>
      <c r="G1920" s="86"/>
      <c r="H1920" s="86"/>
      <c r="I1920" s="86"/>
      <c r="J1920" s="82"/>
      <c r="K1920" s="82"/>
      <c r="L1920" s="82"/>
      <c r="M1920" s="82"/>
      <c r="N1920" s="82"/>
      <c r="O1920" s="82"/>
      <c r="P1920" s="82"/>
      <c r="Q1920" s="82"/>
      <c r="R1920" s="82"/>
      <c r="S1920" s="82"/>
      <c r="T1920" s="82"/>
      <c r="U1920" s="82"/>
      <c r="V1920" s="82"/>
      <c r="W1920" s="82"/>
      <c r="X1920" s="82"/>
      <c r="Y1920" s="82"/>
      <c r="Z1920" s="82"/>
      <c r="AA1920" s="82"/>
      <c r="AB1920" s="82"/>
      <c r="AC1920" s="82"/>
      <c r="AD1920" s="82"/>
      <c r="AE1920" s="82"/>
      <c r="AF1920" s="82"/>
      <c r="AG1920" s="82"/>
      <c r="AH1920" s="82"/>
      <c r="AI1920" s="82"/>
      <c r="AJ1920" s="82"/>
      <c r="AK1920" s="82"/>
      <c r="AL1920" s="82"/>
      <c r="AM1920" s="82"/>
      <c r="AN1920" s="82">
        <f>IFERROR(__xludf.DUMMYFUNCTION("""COMPUTED_VALUE"""),0.0)</f>
        <v>0</v>
      </c>
      <c r="AO1920" s="82">
        <f>IFERROR(__xludf.DUMMYFUNCTION("""COMPUTED_VALUE"""),0.0)</f>
        <v>0</v>
      </c>
      <c r="AP1920" s="82">
        <f>IFERROR(__xludf.DUMMYFUNCTION("""COMPUTED_VALUE"""),0.0)</f>
        <v>0</v>
      </c>
      <c r="AQ1920" s="82">
        <f>IFERROR(__xludf.DUMMYFUNCTION("""COMPUTED_VALUE"""),0.0)</f>
        <v>0</v>
      </c>
      <c r="AR1920" s="82">
        <f>IFERROR(__xludf.DUMMYFUNCTION("""COMPUTED_VALUE"""),0.0)</f>
        <v>0</v>
      </c>
      <c r="AS1920" s="82"/>
      <c r="AT1920" s="82">
        <f>IFERROR(__xludf.DUMMYFUNCTION("""COMPUTED_VALUE"""),0.0)</f>
        <v>0</v>
      </c>
      <c r="AU1920" s="82"/>
      <c r="AV1920" s="82"/>
      <c r="AW1920" s="82" t="str">
        <f t="shared" si="1"/>
        <v/>
      </c>
      <c r="AX1920" s="83" t="str">
        <f t="array" ref="AX1920">IFERROR(DGET('SBV Import'!A:G,"SBV",{"RSC ID","Tier";B1920,A1920}))</f>
        <v/>
      </c>
      <c r="AY1920" s="82" t="str">
        <f t="shared" si="2"/>
        <v/>
      </c>
      <c r="AZ1920" s="82"/>
      <c r="BA1920" s="84" t="s">
        <v>152</v>
      </c>
      <c r="BB1920" s="84" t="str">
        <f>IFERROR(__xludf.DUMMYFUNCTION("iferror(if(A1920="""",,E1920&gt;=FILTER(Constants!$F$2:$F$10,Constants!$A$2:$A$10=A1920)))"),"")</f>
        <v/>
      </c>
    </row>
    <row r="1921">
      <c r="A1921" s="89"/>
      <c r="B1921" s="87"/>
      <c r="C1921" s="73"/>
      <c r="D1921" s="73"/>
      <c r="E1921" s="82"/>
      <c r="F1921" s="82"/>
      <c r="G1921" s="86"/>
      <c r="H1921" s="86"/>
      <c r="I1921" s="86"/>
      <c r="J1921" s="82"/>
      <c r="K1921" s="82"/>
      <c r="L1921" s="82"/>
      <c r="M1921" s="82"/>
      <c r="N1921" s="82"/>
      <c r="O1921" s="82"/>
      <c r="P1921" s="82"/>
      <c r="Q1921" s="82"/>
      <c r="R1921" s="82"/>
      <c r="S1921" s="82"/>
      <c r="T1921" s="82"/>
      <c r="U1921" s="82"/>
      <c r="V1921" s="82"/>
      <c r="W1921" s="82"/>
      <c r="X1921" s="82"/>
      <c r="Y1921" s="82"/>
      <c r="Z1921" s="82"/>
      <c r="AA1921" s="82"/>
      <c r="AB1921" s="82"/>
      <c r="AC1921" s="82"/>
      <c r="AD1921" s="82"/>
      <c r="AE1921" s="82"/>
      <c r="AF1921" s="82"/>
      <c r="AG1921" s="82"/>
      <c r="AH1921" s="82"/>
      <c r="AI1921" s="82"/>
      <c r="AJ1921" s="82"/>
      <c r="AK1921" s="82"/>
      <c r="AL1921" s="82"/>
      <c r="AM1921" s="82"/>
      <c r="AN1921" s="82">
        <f>IFERROR(__xludf.DUMMYFUNCTION("""COMPUTED_VALUE"""),0.0)</f>
        <v>0</v>
      </c>
      <c r="AO1921" s="82">
        <f>IFERROR(__xludf.DUMMYFUNCTION("""COMPUTED_VALUE"""),0.0)</f>
        <v>0</v>
      </c>
      <c r="AP1921" s="82">
        <f>IFERROR(__xludf.DUMMYFUNCTION("""COMPUTED_VALUE"""),0.0)</f>
        <v>0</v>
      </c>
      <c r="AQ1921" s="82">
        <f>IFERROR(__xludf.DUMMYFUNCTION("""COMPUTED_VALUE"""),0.0)</f>
        <v>0</v>
      </c>
      <c r="AR1921" s="82">
        <f>IFERROR(__xludf.DUMMYFUNCTION("""COMPUTED_VALUE"""),0.0)</f>
        <v>0</v>
      </c>
      <c r="AS1921" s="82"/>
      <c r="AT1921" s="82">
        <f>IFERROR(__xludf.DUMMYFUNCTION("""COMPUTED_VALUE"""),0.0)</f>
        <v>0</v>
      </c>
      <c r="AU1921" s="82"/>
      <c r="AV1921" s="82"/>
      <c r="AW1921" s="82" t="str">
        <f t="shared" si="1"/>
        <v/>
      </c>
      <c r="AX1921" s="83" t="str">
        <f t="array" ref="AX1921">IFERROR(DGET('SBV Import'!A:G,"SBV",{"RSC ID","Tier";B1921,A1921}))</f>
        <v/>
      </c>
      <c r="AY1921" s="82" t="str">
        <f t="shared" si="2"/>
        <v/>
      </c>
      <c r="AZ1921" s="82"/>
      <c r="BA1921" s="84" t="s">
        <v>152</v>
      </c>
      <c r="BB1921" s="84" t="str">
        <f>IFERROR(__xludf.DUMMYFUNCTION("iferror(if(A1921="""",,E1921&gt;=FILTER(Constants!$F$2:$F$10,Constants!$A$2:$A$10=A1921)))"),"")</f>
        <v/>
      </c>
    </row>
    <row r="1922">
      <c r="A1922" s="89"/>
      <c r="B1922" s="87"/>
      <c r="C1922" s="73"/>
      <c r="D1922" s="73"/>
      <c r="E1922" s="82"/>
      <c r="F1922" s="82"/>
      <c r="G1922" s="86"/>
      <c r="H1922" s="86"/>
      <c r="I1922" s="86"/>
      <c r="J1922" s="82"/>
      <c r="K1922" s="82"/>
      <c r="L1922" s="82"/>
      <c r="M1922" s="82"/>
      <c r="N1922" s="82"/>
      <c r="O1922" s="82"/>
      <c r="P1922" s="82"/>
      <c r="Q1922" s="82"/>
      <c r="R1922" s="82"/>
      <c r="S1922" s="82"/>
      <c r="T1922" s="82"/>
      <c r="U1922" s="82"/>
      <c r="V1922" s="82"/>
      <c r="W1922" s="82"/>
      <c r="X1922" s="82"/>
      <c r="Y1922" s="82"/>
      <c r="Z1922" s="82"/>
      <c r="AA1922" s="82"/>
      <c r="AB1922" s="82"/>
      <c r="AC1922" s="82"/>
      <c r="AD1922" s="82"/>
      <c r="AE1922" s="82"/>
      <c r="AF1922" s="82"/>
      <c r="AG1922" s="82"/>
      <c r="AH1922" s="82"/>
      <c r="AI1922" s="82"/>
      <c r="AJ1922" s="82"/>
      <c r="AK1922" s="82"/>
      <c r="AL1922" s="82"/>
      <c r="AM1922" s="82"/>
      <c r="AN1922" s="82">
        <f>IFERROR(__xludf.DUMMYFUNCTION("""COMPUTED_VALUE"""),0.0)</f>
        <v>0</v>
      </c>
      <c r="AO1922" s="82">
        <f>IFERROR(__xludf.DUMMYFUNCTION("""COMPUTED_VALUE"""),0.0)</f>
        <v>0</v>
      </c>
      <c r="AP1922" s="82">
        <f>IFERROR(__xludf.DUMMYFUNCTION("""COMPUTED_VALUE"""),0.0)</f>
        <v>0</v>
      </c>
      <c r="AQ1922" s="82">
        <f>IFERROR(__xludf.DUMMYFUNCTION("""COMPUTED_VALUE"""),0.0)</f>
        <v>0</v>
      </c>
      <c r="AR1922" s="82">
        <f>IFERROR(__xludf.DUMMYFUNCTION("""COMPUTED_VALUE"""),0.0)</f>
        <v>0</v>
      </c>
      <c r="AS1922" s="82"/>
      <c r="AT1922" s="82">
        <f>IFERROR(__xludf.DUMMYFUNCTION("""COMPUTED_VALUE"""),0.0)</f>
        <v>0</v>
      </c>
      <c r="AU1922" s="82"/>
      <c r="AV1922" s="82"/>
      <c r="AW1922" s="82" t="str">
        <f t="shared" si="1"/>
        <v/>
      </c>
      <c r="AX1922" s="83" t="str">
        <f t="array" ref="AX1922">IFERROR(DGET('SBV Import'!A:G,"SBV",{"RSC ID","Tier";B1922,A1922}))</f>
        <v/>
      </c>
      <c r="AY1922" s="82" t="str">
        <f t="shared" si="2"/>
        <v/>
      </c>
      <c r="AZ1922" s="82"/>
      <c r="BA1922" s="84" t="s">
        <v>152</v>
      </c>
      <c r="BB1922" s="84" t="str">
        <f>IFERROR(__xludf.DUMMYFUNCTION("iferror(if(A1922="""",,E1922&gt;=FILTER(Constants!$F$2:$F$10,Constants!$A$2:$A$10=A1922)))"),"")</f>
        <v/>
      </c>
    </row>
    <row r="1923">
      <c r="A1923" s="89"/>
      <c r="B1923" s="87"/>
      <c r="C1923" s="73"/>
      <c r="D1923" s="73"/>
      <c r="E1923" s="82"/>
      <c r="F1923" s="82"/>
      <c r="G1923" s="86"/>
      <c r="H1923" s="86"/>
      <c r="I1923" s="86"/>
      <c r="J1923" s="82"/>
      <c r="K1923" s="82"/>
      <c r="L1923" s="82"/>
      <c r="M1923" s="82"/>
      <c r="N1923" s="82"/>
      <c r="O1923" s="82"/>
      <c r="P1923" s="82"/>
      <c r="Q1923" s="82"/>
      <c r="R1923" s="82"/>
      <c r="S1923" s="82"/>
      <c r="T1923" s="82"/>
      <c r="U1923" s="82"/>
      <c r="V1923" s="82"/>
      <c r="W1923" s="82"/>
      <c r="X1923" s="82"/>
      <c r="Y1923" s="82"/>
      <c r="Z1923" s="82"/>
      <c r="AA1923" s="82"/>
      <c r="AB1923" s="82"/>
      <c r="AC1923" s="82"/>
      <c r="AD1923" s="82"/>
      <c r="AE1923" s="82"/>
      <c r="AF1923" s="82"/>
      <c r="AG1923" s="82"/>
      <c r="AH1923" s="82"/>
      <c r="AI1923" s="82"/>
      <c r="AJ1923" s="82"/>
      <c r="AK1923" s="82"/>
      <c r="AL1923" s="82"/>
      <c r="AM1923" s="82"/>
      <c r="AN1923" s="82">
        <f>IFERROR(__xludf.DUMMYFUNCTION("""COMPUTED_VALUE"""),0.0)</f>
        <v>0</v>
      </c>
      <c r="AO1923" s="82">
        <f>IFERROR(__xludf.DUMMYFUNCTION("""COMPUTED_VALUE"""),0.0)</f>
        <v>0</v>
      </c>
      <c r="AP1923" s="82">
        <f>IFERROR(__xludf.DUMMYFUNCTION("""COMPUTED_VALUE"""),0.0)</f>
        <v>0</v>
      </c>
      <c r="AQ1923" s="82">
        <f>IFERROR(__xludf.DUMMYFUNCTION("""COMPUTED_VALUE"""),0.0)</f>
        <v>0</v>
      </c>
      <c r="AR1923" s="82">
        <f>IFERROR(__xludf.DUMMYFUNCTION("""COMPUTED_VALUE"""),0.0)</f>
        <v>0</v>
      </c>
      <c r="AS1923" s="82"/>
      <c r="AT1923" s="82">
        <f>IFERROR(__xludf.DUMMYFUNCTION("""COMPUTED_VALUE"""),0.0)</f>
        <v>0</v>
      </c>
      <c r="AU1923" s="82"/>
      <c r="AV1923" s="82"/>
      <c r="AW1923" s="82" t="str">
        <f t="shared" si="1"/>
        <v/>
      </c>
      <c r="AX1923" s="83" t="str">
        <f t="array" ref="AX1923">IFERROR(DGET('SBV Import'!A:G,"SBV",{"RSC ID","Tier";B1923,A1923}))</f>
        <v/>
      </c>
      <c r="AY1923" s="82" t="str">
        <f t="shared" si="2"/>
        <v/>
      </c>
      <c r="AZ1923" s="82"/>
      <c r="BA1923" s="84" t="s">
        <v>152</v>
      </c>
      <c r="BB1923" s="84" t="str">
        <f>IFERROR(__xludf.DUMMYFUNCTION("iferror(if(A1923="""",,E1923&gt;=FILTER(Constants!$F$2:$F$10,Constants!$A$2:$A$10=A1923)))"),"")</f>
        <v/>
      </c>
    </row>
    <row r="1924">
      <c r="A1924" s="89"/>
      <c r="B1924" s="87"/>
      <c r="C1924" s="73"/>
      <c r="D1924" s="73"/>
      <c r="E1924" s="82"/>
      <c r="F1924" s="82"/>
      <c r="G1924" s="86"/>
      <c r="H1924" s="86"/>
      <c r="I1924" s="86"/>
      <c r="J1924" s="82"/>
      <c r="K1924" s="82"/>
      <c r="L1924" s="82"/>
      <c r="M1924" s="82"/>
      <c r="N1924" s="82"/>
      <c r="O1924" s="82"/>
      <c r="P1924" s="82"/>
      <c r="Q1924" s="82"/>
      <c r="R1924" s="82"/>
      <c r="S1924" s="82"/>
      <c r="T1924" s="82"/>
      <c r="U1924" s="82"/>
      <c r="V1924" s="82"/>
      <c r="W1924" s="82"/>
      <c r="X1924" s="82"/>
      <c r="Y1924" s="82"/>
      <c r="Z1924" s="82"/>
      <c r="AA1924" s="82"/>
      <c r="AB1924" s="82"/>
      <c r="AC1924" s="82"/>
      <c r="AD1924" s="82"/>
      <c r="AE1924" s="82"/>
      <c r="AF1924" s="82"/>
      <c r="AG1924" s="82"/>
      <c r="AH1924" s="82"/>
      <c r="AI1924" s="82"/>
      <c r="AJ1924" s="82"/>
      <c r="AK1924" s="82"/>
      <c r="AL1924" s="82"/>
      <c r="AM1924" s="82"/>
      <c r="AN1924" s="82">
        <f>IFERROR(__xludf.DUMMYFUNCTION("""COMPUTED_VALUE"""),0.0)</f>
        <v>0</v>
      </c>
      <c r="AO1924" s="82">
        <f>IFERROR(__xludf.DUMMYFUNCTION("""COMPUTED_VALUE"""),0.0)</f>
        <v>0</v>
      </c>
      <c r="AP1924" s="82">
        <f>IFERROR(__xludf.DUMMYFUNCTION("""COMPUTED_VALUE"""),0.0)</f>
        <v>0</v>
      </c>
      <c r="AQ1924" s="82">
        <f>IFERROR(__xludf.DUMMYFUNCTION("""COMPUTED_VALUE"""),0.0)</f>
        <v>0</v>
      </c>
      <c r="AR1924" s="82">
        <f>IFERROR(__xludf.DUMMYFUNCTION("""COMPUTED_VALUE"""),0.0)</f>
        <v>0</v>
      </c>
      <c r="AS1924" s="82"/>
      <c r="AT1924" s="82">
        <f>IFERROR(__xludf.DUMMYFUNCTION("""COMPUTED_VALUE"""),0.0)</f>
        <v>0</v>
      </c>
      <c r="AU1924" s="82"/>
      <c r="AV1924" s="82"/>
      <c r="AW1924" s="82" t="str">
        <f t="shared" si="1"/>
        <v/>
      </c>
      <c r="AX1924" s="83" t="str">
        <f t="array" ref="AX1924">IFERROR(DGET('SBV Import'!A:G,"SBV",{"RSC ID","Tier";B1924,A1924}))</f>
        <v/>
      </c>
      <c r="AY1924" s="82" t="str">
        <f t="shared" si="2"/>
        <v/>
      </c>
      <c r="AZ1924" s="82"/>
      <c r="BA1924" s="84" t="s">
        <v>152</v>
      </c>
      <c r="BB1924" s="84" t="str">
        <f>IFERROR(__xludf.DUMMYFUNCTION("iferror(if(A1924="""",,E1924&gt;=FILTER(Constants!$F$2:$F$10,Constants!$A$2:$A$10=A1924)))"),"")</f>
        <v/>
      </c>
    </row>
    <row r="1925">
      <c r="A1925" s="89"/>
      <c r="B1925" s="87"/>
      <c r="C1925" s="73"/>
      <c r="D1925" s="73"/>
      <c r="E1925" s="82"/>
      <c r="F1925" s="82"/>
      <c r="G1925" s="86"/>
      <c r="H1925" s="86"/>
      <c r="I1925" s="86"/>
      <c r="J1925" s="82"/>
      <c r="K1925" s="82"/>
      <c r="L1925" s="82"/>
      <c r="M1925" s="82"/>
      <c r="N1925" s="82"/>
      <c r="O1925" s="82"/>
      <c r="P1925" s="82"/>
      <c r="Q1925" s="82"/>
      <c r="R1925" s="82"/>
      <c r="S1925" s="82"/>
      <c r="T1925" s="82"/>
      <c r="U1925" s="82"/>
      <c r="V1925" s="82"/>
      <c r="W1925" s="82"/>
      <c r="X1925" s="82"/>
      <c r="Y1925" s="82"/>
      <c r="Z1925" s="82"/>
      <c r="AA1925" s="82"/>
      <c r="AB1925" s="82"/>
      <c r="AC1925" s="82"/>
      <c r="AD1925" s="82"/>
      <c r="AE1925" s="82"/>
      <c r="AF1925" s="82"/>
      <c r="AG1925" s="82"/>
      <c r="AH1925" s="82"/>
      <c r="AI1925" s="82"/>
      <c r="AJ1925" s="82"/>
      <c r="AK1925" s="82"/>
      <c r="AL1925" s="82"/>
      <c r="AM1925" s="82"/>
      <c r="AN1925" s="82">
        <f>IFERROR(__xludf.DUMMYFUNCTION("""COMPUTED_VALUE"""),0.0)</f>
        <v>0</v>
      </c>
      <c r="AO1925" s="82">
        <f>IFERROR(__xludf.DUMMYFUNCTION("""COMPUTED_VALUE"""),0.0)</f>
        <v>0</v>
      </c>
      <c r="AP1925" s="82">
        <f>IFERROR(__xludf.DUMMYFUNCTION("""COMPUTED_VALUE"""),0.0)</f>
        <v>0</v>
      </c>
      <c r="AQ1925" s="82">
        <f>IFERROR(__xludf.DUMMYFUNCTION("""COMPUTED_VALUE"""),0.0)</f>
        <v>0</v>
      </c>
      <c r="AR1925" s="82">
        <f>IFERROR(__xludf.DUMMYFUNCTION("""COMPUTED_VALUE"""),0.0)</f>
        <v>0</v>
      </c>
      <c r="AS1925" s="82"/>
      <c r="AT1925" s="82">
        <f>IFERROR(__xludf.DUMMYFUNCTION("""COMPUTED_VALUE"""),0.0)</f>
        <v>0</v>
      </c>
      <c r="AU1925" s="82"/>
      <c r="AV1925" s="82"/>
      <c r="AW1925" s="82" t="str">
        <f t="shared" si="1"/>
        <v/>
      </c>
      <c r="AX1925" s="83" t="str">
        <f t="array" ref="AX1925">IFERROR(DGET('SBV Import'!A:G,"SBV",{"RSC ID","Tier";B1925,A1925}))</f>
        <v/>
      </c>
      <c r="AY1925" s="82" t="str">
        <f t="shared" si="2"/>
        <v/>
      </c>
      <c r="AZ1925" s="82"/>
      <c r="BA1925" s="84" t="s">
        <v>152</v>
      </c>
      <c r="BB1925" s="84" t="str">
        <f>IFERROR(__xludf.DUMMYFUNCTION("iferror(if(A1925="""",,E1925&gt;=FILTER(Constants!$F$2:$F$10,Constants!$A$2:$A$10=A1925)))"),"")</f>
        <v/>
      </c>
    </row>
    <row r="1926">
      <c r="A1926" s="89"/>
      <c r="B1926" s="87"/>
      <c r="C1926" s="73"/>
      <c r="D1926" s="73"/>
      <c r="E1926" s="82"/>
      <c r="F1926" s="82"/>
      <c r="G1926" s="86"/>
      <c r="H1926" s="86"/>
      <c r="I1926" s="86"/>
      <c r="J1926" s="82"/>
      <c r="K1926" s="82"/>
      <c r="L1926" s="82"/>
      <c r="M1926" s="82"/>
      <c r="N1926" s="82"/>
      <c r="O1926" s="82"/>
      <c r="P1926" s="82"/>
      <c r="Q1926" s="82"/>
      <c r="R1926" s="82"/>
      <c r="S1926" s="82"/>
      <c r="T1926" s="82"/>
      <c r="U1926" s="82"/>
      <c r="V1926" s="82"/>
      <c r="W1926" s="82"/>
      <c r="X1926" s="82"/>
      <c r="Y1926" s="82"/>
      <c r="Z1926" s="82"/>
      <c r="AA1926" s="82"/>
      <c r="AB1926" s="82"/>
      <c r="AC1926" s="82"/>
      <c r="AD1926" s="82"/>
      <c r="AE1926" s="82"/>
      <c r="AF1926" s="82"/>
      <c r="AG1926" s="82"/>
      <c r="AH1926" s="82"/>
      <c r="AI1926" s="82"/>
      <c r="AJ1926" s="82"/>
      <c r="AK1926" s="82"/>
      <c r="AL1926" s="82"/>
      <c r="AM1926" s="82"/>
      <c r="AN1926" s="82">
        <f>IFERROR(__xludf.DUMMYFUNCTION("""COMPUTED_VALUE"""),0.0)</f>
        <v>0</v>
      </c>
      <c r="AO1926" s="82">
        <f>IFERROR(__xludf.DUMMYFUNCTION("""COMPUTED_VALUE"""),0.0)</f>
        <v>0</v>
      </c>
      <c r="AP1926" s="82">
        <f>IFERROR(__xludf.DUMMYFUNCTION("""COMPUTED_VALUE"""),0.0)</f>
        <v>0</v>
      </c>
      <c r="AQ1926" s="82">
        <f>IFERROR(__xludf.DUMMYFUNCTION("""COMPUTED_VALUE"""),0.0)</f>
        <v>0</v>
      </c>
      <c r="AR1926" s="82">
        <f>IFERROR(__xludf.DUMMYFUNCTION("""COMPUTED_VALUE"""),0.0)</f>
        <v>0</v>
      </c>
      <c r="AS1926" s="82"/>
      <c r="AT1926" s="82">
        <f>IFERROR(__xludf.DUMMYFUNCTION("""COMPUTED_VALUE"""),0.0)</f>
        <v>0</v>
      </c>
      <c r="AU1926" s="82"/>
      <c r="AV1926" s="82"/>
      <c r="AW1926" s="82" t="str">
        <f t="shared" si="1"/>
        <v/>
      </c>
      <c r="AX1926" s="83" t="str">
        <f t="array" ref="AX1926">IFERROR(DGET('SBV Import'!A:G,"SBV",{"RSC ID","Tier";B1926,A1926}))</f>
        <v/>
      </c>
      <c r="AY1926" s="82" t="str">
        <f t="shared" si="2"/>
        <v/>
      </c>
      <c r="AZ1926" s="82"/>
      <c r="BA1926" s="84" t="s">
        <v>152</v>
      </c>
      <c r="BB1926" s="84" t="str">
        <f>IFERROR(__xludf.DUMMYFUNCTION("iferror(if(A1926="""",,E1926&gt;=FILTER(Constants!$F$2:$F$10,Constants!$A$2:$A$10=A1926)))"),"")</f>
        <v/>
      </c>
    </row>
    <row r="1927">
      <c r="A1927" s="89"/>
      <c r="B1927" s="87"/>
      <c r="C1927" s="73"/>
      <c r="D1927" s="73"/>
      <c r="E1927" s="82"/>
      <c r="F1927" s="82"/>
      <c r="G1927" s="86"/>
      <c r="H1927" s="86"/>
      <c r="I1927" s="86"/>
      <c r="J1927" s="82"/>
      <c r="K1927" s="82"/>
      <c r="L1927" s="82"/>
      <c r="M1927" s="82"/>
      <c r="N1927" s="82"/>
      <c r="O1927" s="82"/>
      <c r="P1927" s="82"/>
      <c r="Q1927" s="82"/>
      <c r="R1927" s="82"/>
      <c r="S1927" s="82"/>
      <c r="T1927" s="82"/>
      <c r="U1927" s="82"/>
      <c r="V1927" s="82"/>
      <c r="W1927" s="82"/>
      <c r="X1927" s="82"/>
      <c r="Y1927" s="82"/>
      <c r="Z1927" s="82"/>
      <c r="AA1927" s="82"/>
      <c r="AB1927" s="82"/>
      <c r="AC1927" s="82"/>
      <c r="AD1927" s="82"/>
      <c r="AE1927" s="82"/>
      <c r="AF1927" s="82"/>
      <c r="AG1927" s="82"/>
      <c r="AH1927" s="82"/>
      <c r="AI1927" s="82"/>
      <c r="AJ1927" s="82"/>
      <c r="AK1927" s="82"/>
      <c r="AL1927" s="82"/>
      <c r="AM1927" s="82"/>
      <c r="AN1927" s="82">
        <f>IFERROR(__xludf.DUMMYFUNCTION("""COMPUTED_VALUE"""),0.0)</f>
        <v>0</v>
      </c>
      <c r="AO1927" s="82">
        <f>IFERROR(__xludf.DUMMYFUNCTION("""COMPUTED_VALUE"""),0.0)</f>
        <v>0</v>
      </c>
      <c r="AP1927" s="82">
        <f>IFERROR(__xludf.DUMMYFUNCTION("""COMPUTED_VALUE"""),0.0)</f>
        <v>0</v>
      </c>
      <c r="AQ1927" s="82">
        <f>IFERROR(__xludf.DUMMYFUNCTION("""COMPUTED_VALUE"""),0.0)</f>
        <v>0</v>
      </c>
      <c r="AR1927" s="82">
        <f>IFERROR(__xludf.DUMMYFUNCTION("""COMPUTED_VALUE"""),0.0)</f>
        <v>0</v>
      </c>
      <c r="AS1927" s="82"/>
      <c r="AT1927" s="82">
        <f>IFERROR(__xludf.DUMMYFUNCTION("""COMPUTED_VALUE"""),0.0)</f>
        <v>0</v>
      </c>
      <c r="AU1927" s="82"/>
      <c r="AV1927" s="82"/>
      <c r="AW1927" s="82" t="str">
        <f t="shared" si="1"/>
        <v/>
      </c>
      <c r="AX1927" s="83" t="str">
        <f t="array" ref="AX1927">IFERROR(DGET('SBV Import'!A:G,"SBV",{"RSC ID","Tier";B1927,A1927}))</f>
        <v/>
      </c>
      <c r="AY1927" s="82" t="str">
        <f t="shared" si="2"/>
        <v/>
      </c>
      <c r="AZ1927" s="82"/>
      <c r="BA1927" s="84" t="s">
        <v>152</v>
      </c>
      <c r="BB1927" s="84" t="str">
        <f>IFERROR(__xludf.DUMMYFUNCTION("iferror(if(A1927="""",,E1927&gt;=FILTER(Constants!$F$2:$F$10,Constants!$A$2:$A$10=A1927)))"),"")</f>
        <v/>
      </c>
    </row>
    <row r="1928">
      <c r="A1928" s="89"/>
      <c r="B1928" s="87"/>
      <c r="C1928" s="73"/>
      <c r="D1928" s="73"/>
      <c r="E1928" s="82"/>
      <c r="F1928" s="82"/>
      <c r="G1928" s="86"/>
      <c r="H1928" s="86"/>
      <c r="I1928" s="86"/>
      <c r="J1928" s="82"/>
      <c r="K1928" s="82"/>
      <c r="L1928" s="82"/>
      <c r="M1928" s="82"/>
      <c r="N1928" s="82"/>
      <c r="O1928" s="82"/>
      <c r="P1928" s="82"/>
      <c r="Q1928" s="82"/>
      <c r="R1928" s="82"/>
      <c r="S1928" s="82"/>
      <c r="T1928" s="82"/>
      <c r="U1928" s="82"/>
      <c r="V1928" s="82"/>
      <c r="W1928" s="82"/>
      <c r="X1928" s="82"/>
      <c r="Y1928" s="82"/>
      <c r="Z1928" s="82"/>
      <c r="AA1928" s="82"/>
      <c r="AB1928" s="82"/>
      <c r="AC1928" s="82"/>
      <c r="AD1928" s="82"/>
      <c r="AE1928" s="82"/>
      <c r="AF1928" s="82"/>
      <c r="AG1928" s="82"/>
      <c r="AH1928" s="82"/>
      <c r="AI1928" s="82"/>
      <c r="AJ1928" s="82"/>
      <c r="AK1928" s="82"/>
      <c r="AL1928" s="82"/>
      <c r="AM1928" s="82"/>
      <c r="AN1928" s="82">
        <f>IFERROR(__xludf.DUMMYFUNCTION("""COMPUTED_VALUE"""),0.0)</f>
        <v>0</v>
      </c>
      <c r="AO1928" s="82">
        <f>IFERROR(__xludf.DUMMYFUNCTION("""COMPUTED_VALUE"""),0.0)</f>
        <v>0</v>
      </c>
      <c r="AP1928" s="82">
        <f>IFERROR(__xludf.DUMMYFUNCTION("""COMPUTED_VALUE"""),0.0)</f>
        <v>0</v>
      </c>
      <c r="AQ1928" s="82">
        <f>IFERROR(__xludf.DUMMYFUNCTION("""COMPUTED_VALUE"""),0.0)</f>
        <v>0</v>
      </c>
      <c r="AR1928" s="82">
        <f>IFERROR(__xludf.DUMMYFUNCTION("""COMPUTED_VALUE"""),0.0)</f>
        <v>0</v>
      </c>
      <c r="AS1928" s="82"/>
      <c r="AT1928" s="82">
        <f>IFERROR(__xludf.DUMMYFUNCTION("""COMPUTED_VALUE"""),0.0)</f>
        <v>0</v>
      </c>
      <c r="AU1928" s="82"/>
      <c r="AV1928" s="82"/>
      <c r="AW1928" s="82" t="str">
        <f t="shared" si="1"/>
        <v/>
      </c>
      <c r="AX1928" s="83" t="str">
        <f t="array" ref="AX1928">IFERROR(DGET('SBV Import'!A:G,"SBV",{"RSC ID","Tier";B1928,A1928}))</f>
        <v/>
      </c>
      <c r="AY1928" s="82" t="str">
        <f t="shared" si="2"/>
        <v/>
      </c>
      <c r="AZ1928" s="82"/>
      <c r="BA1928" s="84" t="s">
        <v>152</v>
      </c>
      <c r="BB1928" s="84" t="str">
        <f>IFERROR(__xludf.DUMMYFUNCTION("iferror(if(A1928="""",,E1928&gt;=FILTER(Constants!$F$2:$F$10,Constants!$A$2:$A$10=A1928)))"),"")</f>
        <v/>
      </c>
    </row>
    <row r="1929">
      <c r="A1929" s="89"/>
      <c r="B1929" s="87"/>
      <c r="C1929" s="73"/>
      <c r="D1929" s="73"/>
      <c r="E1929" s="82"/>
      <c r="F1929" s="82"/>
      <c r="G1929" s="86"/>
      <c r="H1929" s="86"/>
      <c r="I1929" s="86"/>
      <c r="J1929" s="82"/>
      <c r="K1929" s="82"/>
      <c r="L1929" s="82"/>
      <c r="M1929" s="82"/>
      <c r="N1929" s="82"/>
      <c r="O1929" s="82"/>
      <c r="P1929" s="82"/>
      <c r="Q1929" s="82"/>
      <c r="R1929" s="82"/>
      <c r="S1929" s="82"/>
      <c r="T1929" s="82"/>
      <c r="U1929" s="82"/>
      <c r="V1929" s="82"/>
      <c r="W1929" s="82"/>
      <c r="X1929" s="82"/>
      <c r="Y1929" s="82"/>
      <c r="Z1929" s="82"/>
      <c r="AA1929" s="82"/>
      <c r="AB1929" s="82"/>
      <c r="AC1929" s="82"/>
      <c r="AD1929" s="82"/>
      <c r="AE1929" s="82"/>
      <c r="AF1929" s="82"/>
      <c r="AG1929" s="82"/>
      <c r="AH1929" s="82"/>
      <c r="AI1929" s="82"/>
      <c r="AJ1929" s="82"/>
      <c r="AK1929" s="82"/>
      <c r="AL1929" s="82"/>
      <c r="AM1929" s="82"/>
      <c r="AN1929" s="82">
        <f>IFERROR(__xludf.DUMMYFUNCTION("""COMPUTED_VALUE"""),0.0)</f>
        <v>0</v>
      </c>
      <c r="AO1929" s="82">
        <f>IFERROR(__xludf.DUMMYFUNCTION("""COMPUTED_VALUE"""),0.0)</f>
        <v>0</v>
      </c>
      <c r="AP1929" s="82">
        <f>IFERROR(__xludf.DUMMYFUNCTION("""COMPUTED_VALUE"""),0.0)</f>
        <v>0</v>
      </c>
      <c r="AQ1929" s="82">
        <f>IFERROR(__xludf.DUMMYFUNCTION("""COMPUTED_VALUE"""),0.0)</f>
        <v>0</v>
      </c>
      <c r="AR1929" s="82">
        <f>IFERROR(__xludf.DUMMYFUNCTION("""COMPUTED_VALUE"""),0.0)</f>
        <v>0</v>
      </c>
      <c r="AS1929" s="82"/>
      <c r="AT1929" s="82">
        <f>IFERROR(__xludf.DUMMYFUNCTION("""COMPUTED_VALUE"""),0.0)</f>
        <v>0</v>
      </c>
      <c r="AU1929" s="82"/>
      <c r="AV1929" s="82"/>
      <c r="AW1929" s="82" t="str">
        <f t="shared" si="1"/>
        <v/>
      </c>
      <c r="AX1929" s="83" t="str">
        <f t="array" ref="AX1929">IFERROR(DGET('SBV Import'!A:G,"SBV",{"RSC ID","Tier";B1929,A1929}))</f>
        <v/>
      </c>
      <c r="AY1929" s="82" t="str">
        <f t="shared" si="2"/>
        <v/>
      </c>
      <c r="AZ1929" s="82"/>
      <c r="BA1929" s="84" t="s">
        <v>152</v>
      </c>
      <c r="BB1929" s="84" t="str">
        <f>IFERROR(__xludf.DUMMYFUNCTION("iferror(if(A1929="""",,E1929&gt;=FILTER(Constants!$F$2:$F$10,Constants!$A$2:$A$10=A1929)))"),"")</f>
        <v/>
      </c>
    </row>
    <row r="1930">
      <c r="A1930" s="89"/>
      <c r="B1930" s="87"/>
      <c r="C1930" s="73"/>
      <c r="D1930" s="73"/>
      <c r="E1930" s="82"/>
      <c r="F1930" s="82"/>
      <c r="G1930" s="86"/>
      <c r="H1930" s="86"/>
      <c r="I1930" s="86"/>
      <c r="J1930" s="82"/>
      <c r="K1930" s="82"/>
      <c r="L1930" s="82"/>
      <c r="M1930" s="82"/>
      <c r="N1930" s="82"/>
      <c r="O1930" s="82"/>
      <c r="P1930" s="82"/>
      <c r="Q1930" s="82"/>
      <c r="R1930" s="82"/>
      <c r="S1930" s="82"/>
      <c r="T1930" s="82"/>
      <c r="U1930" s="82"/>
      <c r="V1930" s="82"/>
      <c r="W1930" s="82"/>
      <c r="X1930" s="82"/>
      <c r="Y1930" s="82"/>
      <c r="Z1930" s="82"/>
      <c r="AA1930" s="82"/>
      <c r="AB1930" s="82"/>
      <c r="AC1930" s="82"/>
      <c r="AD1930" s="82"/>
      <c r="AE1930" s="82"/>
      <c r="AF1930" s="82"/>
      <c r="AG1930" s="82"/>
      <c r="AH1930" s="82"/>
      <c r="AI1930" s="82"/>
      <c r="AJ1930" s="82"/>
      <c r="AK1930" s="82"/>
      <c r="AL1930" s="82"/>
      <c r="AM1930" s="82"/>
      <c r="AN1930" s="82">
        <f>IFERROR(__xludf.DUMMYFUNCTION("""COMPUTED_VALUE"""),0.0)</f>
        <v>0</v>
      </c>
      <c r="AO1930" s="82">
        <f>IFERROR(__xludf.DUMMYFUNCTION("""COMPUTED_VALUE"""),0.0)</f>
        <v>0</v>
      </c>
      <c r="AP1930" s="82">
        <f>IFERROR(__xludf.DUMMYFUNCTION("""COMPUTED_VALUE"""),0.0)</f>
        <v>0</v>
      </c>
      <c r="AQ1930" s="82">
        <f>IFERROR(__xludf.DUMMYFUNCTION("""COMPUTED_VALUE"""),0.0)</f>
        <v>0</v>
      </c>
      <c r="AR1930" s="82">
        <f>IFERROR(__xludf.DUMMYFUNCTION("""COMPUTED_VALUE"""),0.0)</f>
        <v>0</v>
      </c>
      <c r="AS1930" s="82"/>
      <c r="AT1930" s="82">
        <f>IFERROR(__xludf.DUMMYFUNCTION("""COMPUTED_VALUE"""),0.0)</f>
        <v>0</v>
      </c>
      <c r="AU1930" s="82"/>
      <c r="AV1930" s="82"/>
      <c r="AW1930" s="82" t="str">
        <f t="shared" si="1"/>
        <v/>
      </c>
      <c r="AX1930" s="83" t="str">
        <f t="array" ref="AX1930">IFERROR(DGET('SBV Import'!A:G,"SBV",{"RSC ID","Tier";B1930,A1930}))</f>
        <v/>
      </c>
      <c r="AY1930" s="82" t="str">
        <f t="shared" si="2"/>
        <v/>
      </c>
      <c r="AZ1930" s="82"/>
      <c r="BA1930" s="84" t="s">
        <v>152</v>
      </c>
      <c r="BB1930" s="84" t="str">
        <f>IFERROR(__xludf.DUMMYFUNCTION("iferror(if(A1930="""",,E1930&gt;=FILTER(Constants!$F$2:$F$10,Constants!$A$2:$A$10=A1930)))"),"")</f>
        <v/>
      </c>
    </row>
    <row r="1931">
      <c r="A1931" s="89"/>
      <c r="B1931" s="87"/>
      <c r="C1931" s="73"/>
      <c r="D1931" s="73"/>
      <c r="E1931" s="82"/>
      <c r="F1931" s="82"/>
      <c r="G1931" s="86"/>
      <c r="H1931" s="86"/>
      <c r="I1931" s="86"/>
      <c r="J1931" s="82"/>
      <c r="K1931" s="82"/>
      <c r="L1931" s="82"/>
      <c r="M1931" s="82"/>
      <c r="N1931" s="82"/>
      <c r="O1931" s="82"/>
      <c r="P1931" s="82"/>
      <c r="Q1931" s="82"/>
      <c r="R1931" s="82"/>
      <c r="S1931" s="82"/>
      <c r="T1931" s="82"/>
      <c r="U1931" s="82"/>
      <c r="V1931" s="82"/>
      <c r="W1931" s="82"/>
      <c r="X1931" s="82"/>
      <c r="Y1931" s="82"/>
      <c r="Z1931" s="82"/>
      <c r="AA1931" s="82"/>
      <c r="AB1931" s="82"/>
      <c r="AC1931" s="82"/>
      <c r="AD1931" s="82"/>
      <c r="AE1931" s="82"/>
      <c r="AF1931" s="82"/>
      <c r="AG1931" s="82"/>
      <c r="AH1931" s="82"/>
      <c r="AI1931" s="82"/>
      <c r="AJ1931" s="82"/>
      <c r="AK1931" s="82"/>
      <c r="AL1931" s="82"/>
      <c r="AM1931" s="82"/>
      <c r="AN1931" s="82">
        <f>IFERROR(__xludf.DUMMYFUNCTION("""COMPUTED_VALUE"""),0.0)</f>
        <v>0</v>
      </c>
      <c r="AO1931" s="82">
        <f>IFERROR(__xludf.DUMMYFUNCTION("""COMPUTED_VALUE"""),0.0)</f>
        <v>0</v>
      </c>
      <c r="AP1931" s="82">
        <f>IFERROR(__xludf.DUMMYFUNCTION("""COMPUTED_VALUE"""),0.0)</f>
        <v>0</v>
      </c>
      <c r="AQ1931" s="82">
        <f>IFERROR(__xludf.DUMMYFUNCTION("""COMPUTED_VALUE"""),0.0)</f>
        <v>0</v>
      </c>
      <c r="AR1931" s="82">
        <f>IFERROR(__xludf.DUMMYFUNCTION("""COMPUTED_VALUE"""),0.0)</f>
        <v>0</v>
      </c>
      <c r="AS1931" s="82"/>
      <c r="AT1931" s="82">
        <f>IFERROR(__xludf.DUMMYFUNCTION("""COMPUTED_VALUE"""),0.0)</f>
        <v>0</v>
      </c>
      <c r="AU1931" s="82"/>
      <c r="AV1931" s="82"/>
      <c r="AW1931" s="82" t="str">
        <f t="shared" si="1"/>
        <v/>
      </c>
      <c r="AX1931" s="83" t="str">
        <f t="array" ref="AX1931">IFERROR(DGET('SBV Import'!A:G,"SBV",{"RSC ID","Tier";B1931,A1931}))</f>
        <v/>
      </c>
      <c r="AY1931" s="82" t="str">
        <f t="shared" si="2"/>
        <v/>
      </c>
      <c r="AZ1931" s="82"/>
      <c r="BA1931" s="84" t="s">
        <v>152</v>
      </c>
      <c r="BB1931" s="84" t="str">
        <f>IFERROR(__xludf.DUMMYFUNCTION("iferror(if(A1931="""",,E1931&gt;=FILTER(Constants!$F$2:$F$10,Constants!$A$2:$A$10=A1931)))"),"")</f>
        <v/>
      </c>
    </row>
    <row r="1932">
      <c r="A1932" s="89"/>
      <c r="B1932" s="87"/>
      <c r="C1932" s="73"/>
      <c r="D1932" s="73"/>
      <c r="E1932" s="82"/>
      <c r="F1932" s="82"/>
      <c r="G1932" s="86"/>
      <c r="H1932" s="86"/>
      <c r="I1932" s="86"/>
      <c r="J1932" s="82"/>
      <c r="K1932" s="82"/>
      <c r="L1932" s="82"/>
      <c r="M1932" s="82"/>
      <c r="N1932" s="82"/>
      <c r="O1932" s="82"/>
      <c r="P1932" s="82"/>
      <c r="Q1932" s="82"/>
      <c r="R1932" s="82"/>
      <c r="S1932" s="82"/>
      <c r="T1932" s="82"/>
      <c r="U1932" s="82"/>
      <c r="V1932" s="82"/>
      <c r="W1932" s="82"/>
      <c r="X1932" s="82"/>
      <c r="Y1932" s="82"/>
      <c r="Z1932" s="82"/>
      <c r="AA1932" s="82"/>
      <c r="AB1932" s="82"/>
      <c r="AC1932" s="82"/>
      <c r="AD1932" s="82"/>
      <c r="AE1932" s="82"/>
      <c r="AF1932" s="82"/>
      <c r="AG1932" s="82"/>
      <c r="AH1932" s="82"/>
      <c r="AI1932" s="82"/>
      <c r="AJ1932" s="82"/>
      <c r="AK1932" s="82"/>
      <c r="AL1932" s="82"/>
      <c r="AM1932" s="82"/>
      <c r="AN1932" s="82">
        <f>IFERROR(__xludf.DUMMYFUNCTION("""COMPUTED_VALUE"""),0.0)</f>
        <v>0</v>
      </c>
      <c r="AO1932" s="82">
        <f>IFERROR(__xludf.DUMMYFUNCTION("""COMPUTED_VALUE"""),0.0)</f>
        <v>0</v>
      </c>
      <c r="AP1932" s="82">
        <f>IFERROR(__xludf.DUMMYFUNCTION("""COMPUTED_VALUE"""),0.0)</f>
        <v>0</v>
      </c>
      <c r="AQ1932" s="82">
        <f>IFERROR(__xludf.DUMMYFUNCTION("""COMPUTED_VALUE"""),0.0)</f>
        <v>0</v>
      </c>
      <c r="AR1932" s="82">
        <f>IFERROR(__xludf.DUMMYFUNCTION("""COMPUTED_VALUE"""),0.0)</f>
        <v>0</v>
      </c>
      <c r="AS1932" s="82"/>
      <c r="AT1932" s="82">
        <f>IFERROR(__xludf.DUMMYFUNCTION("""COMPUTED_VALUE"""),0.0)</f>
        <v>0</v>
      </c>
      <c r="AU1932" s="82"/>
      <c r="AV1932" s="82"/>
      <c r="AW1932" s="82" t="str">
        <f t="shared" si="1"/>
        <v/>
      </c>
      <c r="AX1932" s="83" t="str">
        <f t="array" ref="AX1932">IFERROR(DGET('SBV Import'!A:G,"SBV",{"RSC ID","Tier";B1932,A1932}))</f>
        <v/>
      </c>
      <c r="AY1932" s="82" t="str">
        <f t="shared" si="2"/>
        <v/>
      </c>
      <c r="AZ1932" s="82"/>
      <c r="BA1932" s="84" t="s">
        <v>152</v>
      </c>
      <c r="BB1932" s="84" t="str">
        <f>IFERROR(__xludf.DUMMYFUNCTION("iferror(if(A1932="""",,E1932&gt;=FILTER(Constants!$F$2:$F$10,Constants!$A$2:$A$10=A1932)))"),"")</f>
        <v/>
      </c>
    </row>
    <row r="1933">
      <c r="A1933" s="89"/>
      <c r="B1933" s="87"/>
      <c r="C1933" s="73"/>
      <c r="D1933" s="73"/>
      <c r="E1933" s="82"/>
      <c r="F1933" s="82"/>
      <c r="G1933" s="86"/>
      <c r="H1933" s="86"/>
      <c r="I1933" s="86"/>
      <c r="J1933" s="82"/>
      <c r="K1933" s="82"/>
      <c r="L1933" s="82"/>
      <c r="M1933" s="82"/>
      <c r="N1933" s="82"/>
      <c r="O1933" s="82"/>
      <c r="P1933" s="82"/>
      <c r="Q1933" s="82"/>
      <c r="R1933" s="82"/>
      <c r="S1933" s="82"/>
      <c r="T1933" s="82"/>
      <c r="U1933" s="82"/>
      <c r="V1933" s="82"/>
      <c r="W1933" s="82"/>
      <c r="X1933" s="82"/>
      <c r="Y1933" s="82"/>
      <c r="Z1933" s="82"/>
      <c r="AA1933" s="82"/>
      <c r="AB1933" s="82"/>
      <c r="AC1933" s="82"/>
      <c r="AD1933" s="82"/>
      <c r="AE1933" s="82"/>
      <c r="AF1933" s="82"/>
      <c r="AG1933" s="82"/>
      <c r="AH1933" s="82"/>
      <c r="AI1933" s="82"/>
      <c r="AJ1933" s="82"/>
      <c r="AK1933" s="82"/>
      <c r="AL1933" s="82"/>
      <c r="AM1933" s="82"/>
      <c r="AN1933" s="82">
        <f>IFERROR(__xludf.DUMMYFUNCTION("""COMPUTED_VALUE"""),0.0)</f>
        <v>0</v>
      </c>
      <c r="AO1933" s="82">
        <f>IFERROR(__xludf.DUMMYFUNCTION("""COMPUTED_VALUE"""),0.0)</f>
        <v>0</v>
      </c>
      <c r="AP1933" s="82">
        <f>IFERROR(__xludf.DUMMYFUNCTION("""COMPUTED_VALUE"""),0.0)</f>
        <v>0</v>
      </c>
      <c r="AQ1933" s="82">
        <f>IFERROR(__xludf.DUMMYFUNCTION("""COMPUTED_VALUE"""),0.0)</f>
        <v>0</v>
      </c>
      <c r="AR1933" s="82">
        <f>IFERROR(__xludf.DUMMYFUNCTION("""COMPUTED_VALUE"""),0.0)</f>
        <v>0</v>
      </c>
      <c r="AS1933" s="82"/>
      <c r="AT1933" s="82">
        <f>IFERROR(__xludf.DUMMYFUNCTION("""COMPUTED_VALUE"""),0.0)</f>
        <v>0</v>
      </c>
      <c r="AU1933" s="82"/>
      <c r="AV1933" s="82"/>
      <c r="AW1933" s="82" t="str">
        <f t="shared" si="1"/>
        <v/>
      </c>
      <c r="AX1933" s="83" t="str">
        <f t="array" ref="AX1933">IFERROR(DGET('SBV Import'!A:G,"SBV",{"RSC ID","Tier";B1933,A1933}))</f>
        <v/>
      </c>
      <c r="AY1933" s="82" t="str">
        <f t="shared" si="2"/>
        <v/>
      </c>
      <c r="AZ1933" s="82"/>
      <c r="BA1933" s="84" t="s">
        <v>152</v>
      </c>
      <c r="BB1933" s="84" t="str">
        <f>IFERROR(__xludf.DUMMYFUNCTION("iferror(if(A1933="""",,E1933&gt;=FILTER(Constants!$F$2:$F$10,Constants!$A$2:$A$10=A1933)))"),"")</f>
        <v/>
      </c>
    </row>
    <row r="1934">
      <c r="A1934" s="89"/>
      <c r="B1934" s="87"/>
      <c r="C1934" s="73"/>
      <c r="D1934" s="73"/>
      <c r="E1934" s="82"/>
      <c r="F1934" s="82"/>
      <c r="G1934" s="86"/>
      <c r="H1934" s="86"/>
      <c r="I1934" s="86"/>
      <c r="J1934" s="82"/>
      <c r="K1934" s="82"/>
      <c r="L1934" s="82"/>
      <c r="M1934" s="82"/>
      <c r="N1934" s="82"/>
      <c r="O1934" s="82"/>
      <c r="P1934" s="82"/>
      <c r="Q1934" s="82"/>
      <c r="R1934" s="82"/>
      <c r="S1934" s="82"/>
      <c r="T1934" s="82"/>
      <c r="U1934" s="82"/>
      <c r="V1934" s="82"/>
      <c r="W1934" s="82"/>
      <c r="X1934" s="82"/>
      <c r="Y1934" s="82"/>
      <c r="Z1934" s="82"/>
      <c r="AA1934" s="82"/>
      <c r="AB1934" s="82"/>
      <c r="AC1934" s="82"/>
      <c r="AD1934" s="82"/>
      <c r="AE1934" s="82"/>
      <c r="AF1934" s="82"/>
      <c r="AG1934" s="82"/>
      <c r="AH1934" s="82"/>
      <c r="AI1934" s="82"/>
      <c r="AJ1934" s="82"/>
      <c r="AK1934" s="82"/>
      <c r="AL1934" s="82"/>
      <c r="AM1934" s="82"/>
      <c r="AN1934" s="82">
        <f>IFERROR(__xludf.DUMMYFUNCTION("""COMPUTED_VALUE"""),0.0)</f>
        <v>0</v>
      </c>
      <c r="AO1934" s="82">
        <f>IFERROR(__xludf.DUMMYFUNCTION("""COMPUTED_VALUE"""),0.0)</f>
        <v>0</v>
      </c>
      <c r="AP1934" s="82">
        <f>IFERROR(__xludf.DUMMYFUNCTION("""COMPUTED_VALUE"""),0.0)</f>
        <v>0</v>
      </c>
      <c r="AQ1934" s="82">
        <f>IFERROR(__xludf.DUMMYFUNCTION("""COMPUTED_VALUE"""),0.0)</f>
        <v>0</v>
      </c>
      <c r="AR1934" s="82">
        <f>IFERROR(__xludf.DUMMYFUNCTION("""COMPUTED_VALUE"""),0.0)</f>
        <v>0</v>
      </c>
      <c r="AS1934" s="82"/>
      <c r="AT1934" s="82">
        <f>IFERROR(__xludf.DUMMYFUNCTION("""COMPUTED_VALUE"""),0.0)</f>
        <v>0</v>
      </c>
      <c r="AU1934" s="82"/>
      <c r="AV1934" s="82"/>
      <c r="AW1934" s="82" t="str">
        <f t="shared" si="1"/>
        <v/>
      </c>
      <c r="AX1934" s="83" t="str">
        <f t="array" ref="AX1934">IFERROR(DGET('SBV Import'!A:G,"SBV",{"RSC ID","Tier";B1934,A1934}))</f>
        <v/>
      </c>
      <c r="AY1934" s="82" t="str">
        <f t="shared" si="2"/>
        <v/>
      </c>
      <c r="AZ1934" s="82"/>
      <c r="BA1934" s="84" t="s">
        <v>152</v>
      </c>
      <c r="BB1934" s="84" t="str">
        <f>IFERROR(__xludf.DUMMYFUNCTION("iferror(if(A1934="""",,E1934&gt;=FILTER(Constants!$F$2:$F$10,Constants!$A$2:$A$10=A1934)))"),"")</f>
        <v/>
      </c>
    </row>
    <row r="1935">
      <c r="A1935" s="89"/>
      <c r="B1935" s="87"/>
      <c r="C1935" s="73"/>
      <c r="D1935" s="73"/>
      <c r="E1935" s="82"/>
      <c r="F1935" s="82"/>
      <c r="G1935" s="86"/>
      <c r="H1935" s="86"/>
      <c r="I1935" s="86"/>
      <c r="J1935" s="82"/>
      <c r="K1935" s="82"/>
      <c r="L1935" s="82"/>
      <c r="M1935" s="82"/>
      <c r="N1935" s="82"/>
      <c r="O1935" s="82"/>
      <c r="P1935" s="82"/>
      <c r="Q1935" s="82"/>
      <c r="R1935" s="82"/>
      <c r="S1935" s="82"/>
      <c r="T1935" s="82"/>
      <c r="U1935" s="82"/>
      <c r="V1935" s="82"/>
      <c r="W1935" s="82"/>
      <c r="X1935" s="82"/>
      <c r="Y1935" s="82"/>
      <c r="Z1935" s="82"/>
      <c r="AA1935" s="82"/>
      <c r="AB1935" s="82"/>
      <c r="AC1935" s="82"/>
      <c r="AD1935" s="82"/>
      <c r="AE1935" s="82"/>
      <c r="AF1935" s="82"/>
      <c r="AG1935" s="82"/>
      <c r="AH1935" s="82"/>
      <c r="AI1935" s="82"/>
      <c r="AJ1935" s="82"/>
      <c r="AK1935" s="82"/>
      <c r="AL1935" s="82"/>
      <c r="AM1935" s="82"/>
      <c r="AN1935" s="82">
        <f>IFERROR(__xludf.DUMMYFUNCTION("""COMPUTED_VALUE"""),0.0)</f>
        <v>0</v>
      </c>
      <c r="AO1935" s="82">
        <f>IFERROR(__xludf.DUMMYFUNCTION("""COMPUTED_VALUE"""),0.0)</f>
        <v>0</v>
      </c>
      <c r="AP1935" s="82">
        <f>IFERROR(__xludf.DUMMYFUNCTION("""COMPUTED_VALUE"""),0.0)</f>
        <v>0</v>
      </c>
      <c r="AQ1935" s="82">
        <f>IFERROR(__xludf.DUMMYFUNCTION("""COMPUTED_VALUE"""),0.0)</f>
        <v>0</v>
      </c>
      <c r="AR1935" s="82">
        <f>IFERROR(__xludf.DUMMYFUNCTION("""COMPUTED_VALUE"""),0.0)</f>
        <v>0</v>
      </c>
      <c r="AS1935" s="82"/>
      <c r="AT1935" s="82">
        <f>IFERROR(__xludf.DUMMYFUNCTION("""COMPUTED_VALUE"""),0.0)</f>
        <v>0</v>
      </c>
      <c r="AU1935" s="82"/>
      <c r="AV1935" s="82"/>
      <c r="AW1935" s="82" t="str">
        <f t="shared" si="1"/>
        <v/>
      </c>
      <c r="AX1935" s="83" t="str">
        <f t="array" ref="AX1935">IFERROR(DGET('SBV Import'!A:G,"SBV",{"RSC ID","Tier";B1935,A1935}))</f>
        <v/>
      </c>
      <c r="AY1935" s="82" t="str">
        <f t="shared" si="2"/>
        <v/>
      </c>
      <c r="AZ1935" s="82"/>
      <c r="BA1935" s="84" t="s">
        <v>152</v>
      </c>
      <c r="BB1935" s="84" t="str">
        <f>IFERROR(__xludf.DUMMYFUNCTION("iferror(if(A1935="""",,E1935&gt;=FILTER(Constants!$F$2:$F$10,Constants!$A$2:$A$10=A1935)))"),"")</f>
        <v/>
      </c>
    </row>
    <row r="1936">
      <c r="A1936" s="89"/>
      <c r="B1936" s="87"/>
      <c r="C1936" s="73"/>
      <c r="D1936" s="73"/>
      <c r="E1936" s="82"/>
      <c r="F1936" s="82"/>
      <c r="G1936" s="86"/>
      <c r="H1936" s="86"/>
      <c r="I1936" s="86"/>
      <c r="J1936" s="82"/>
      <c r="K1936" s="82"/>
      <c r="L1936" s="82"/>
      <c r="M1936" s="82"/>
      <c r="N1936" s="82"/>
      <c r="O1936" s="82"/>
      <c r="P1936" s="82"/>
      <c r="Q1936" s="82"/>
      <c r="R1936" s="82"/>
      <c r="S1936" s="82"/>
      <c r="T1936" s="82"/>
      <c r="U1936" s="82"/>
      <c r="V1936" s="82"/>
      <c r="W1936" s="82"/>
      <c r="X1936" s="82"/>
      <c r="Y1936" s="82"/>
      <c r="Z1936" s="82"/>
      <c r="AA1936" s="82"/>
      <c r="AB1936" s="82"/>
      <c r="AC1936" s="82"/>
      <c r="AD1936" s="82"/>
      <c r="AE1936" s="82"/>
      <c r="AF1936" s="82"/>
      <c r="AG1936" s="82"/>
      <c r="AH1936" s="82"/>
      <c r="AI1936" s="82"/>
      <c r="AJ1936" s="82"/>
      <c r="AK1936" s="82"/>
      <c r="AL1936" s="82"/>
      <c r="AM1936" s="82"/>
      <c r="AN1936" s="82">
        <f>IFERROR(__xludf.DUMMYFUNCTION("""COMPUTED_VALUE"""),0.0)</f>
        <v>0</v>
      </c>
      <c r="AO1936" s="82">
        <f>IFERROR(__xludf.DUMMYFUNCTION("""COMPUTED_VALUE"""),0.0)</f>
        <v>0</v>
      </c>
      <c r="AP1936" s="82">
        <f>IFERROR(__xludf.DUMMYFUNCTION("""COMPUTED_VALUE"""),0.0)</f>
        <v>0</v>
      </c>
      <c r="AQ1936" s="82">
        <f>IFERROR(__xludf.DUMMYFUNCTION("""COMPUTED_VALUE"""),0.0)</f>
        <v>0</v>
      </c>
      <c r="AR1936" s="82">
        <f>IFERROR(__xludf.DUMMYFUNCTION("""COMPUTED_VALUE"""),0.0)</f>
        <v>0</v>
      </c>
      <c r="AS1936" s="82"/>
      <c r="AT1936" s="82">
        <f>IFERROR(__xludf.DUMMYFUNCTION("""COMPUTED_VALUE"""),0.0)</f>
        <v>0</v>
      </c>
      <c r="AU1936" s="82"/>
      <c r="AV1936" s="82"/>
      <c r="AW1936" s="82" t="str">
        <f t="shared" si="1"/>
        <v/>
      </c>
      <c r="AX1936" s="83" t="str">
        <f t="array" ref="AX1936">IFERROR(DGET('SBV Import'!A:G,"SBV",{"RSC ID","Tier";B1936,A1936}))</f>
        <v/>
      </c>
      <c r="AY1936" s="82" t="str">
        <f t="shared" si="2"/>
        <v/>
      </c>
      <c r="AZ1936" s="82"/>
      <c r="BA1936" s="84" t="s">
        <v>152</v>
      </c>
      <c r="BB1936" s="84" t="str">
        <f>IFERROR(__xludf.DUMMYFUNCTION("iferror(if(A1936="""",,E1936&gt;=FILTER(Constants!$F$2:$F$10,Constants!$A$2:$A$10=A1936)))"),"")</f>
        <v/>
      </c>
    </row>
    <row r="1937">
      <c r="A1937" s="89"/>
      <c r="B1937" s="87"/>
      <c r="C1937" s="73"/>
      <c r="D1937" s="73"/>
      <c r="E1937" s="82"/>
      <c r="F1937" s="82"/>
      <c r="G1937" s="86"/>
      <c r="H1937" s="86"/>
      <c r="I1937" s="86"/>
      <c r="J1937" s="82"/>
      <c r="K1937" s="82"/>
      <c r="L1937" s="82"/>
      <c r="M1937" s="82"/>
      <c r="N1937" s="82"/>
      <c r="O1937" s="82"/>
      <c r="P1937" s="82"/>
      <c r="Q1937" s="82"/>
      <c r="R1937" s="82"/>
      <c r="S1937" s="82"/>
      <c r="T1937" s="82"/>
      <c r="U1937" s="82"/>
      <c r="V1937" s="82"/>
      <c r="W1937" s="82"/>
      <c r="X1937" s="82"/>
      <c r="Y1937" s="82"/>
      <c r="Z1937" s="82"/>
      <c r="AA1937" s="82"/>
      <c r="AB1937" s="82"/>
      <c r="AC1937" s="82"/>
      <c r="AD1937" s="82"/>
      <c r="AE1937" s="82"/>
      <c r="AF1937" s="82"/>
      <c r="AG1937" s="82"/>
      <c r="AH1937" s="82"/>
      <c r="AI1937" s="82"/>
      <c r="AJ1937" s="82"/>
      <c r="AK1937" s="82"/>
      <c r="AL1937" s="82"/>
      <c r="AM1937" s="82"/>
      <c r="AN1937" s="82">
        <f>IFERROR(__xludf.DUMMYFUNCTION("""COMPUTED_VALUE"""),0.0)</f>
        <v>0</v>
      </c>
      <c r="AO1937" s="82">
        <f>IFERROR(__xludf.DUMMYFUNCTION("""COMPUTED_VALUE"""),0.0)</f>
        <v>0</v>
      </c>
      <c r="AP1937" s="82">
        <f>IFERROR(__xludf.DUMMYFUNCTION("""COMPUTED_VALUE"""),0.0)</f>
        <v>0</v>
      </c>
      <c r="AQ1937" s="82">
        <f>IFERROR(__xludf.DUMMYFUNCTION("""COMPUTED_VALUE"""),0.0)</f>
        <v>0</v>
      </c>
      <c r="AR1937" s="82">
        <f>IFERROR(__xludf.DUMMYFUNCTION("""COMPUTED_VALUE"""),0.0)</f>
        <v>0</v>
      </c>
      <c r="AS1937" s="82"/>
      <c r="AT1937" s="82">
        <f>IFERROR(__xludf.DUMMYFUNCTION("""COMPUTED_VALUE"""),0.0)</f>
        <v>0</v>
      </c>
      <c r="AU1937" s="82"/>
      <c r="AV1937" s="82"/>
      <c r="AW1937" s="82" t="str">
        <f t="shared" si="1"/>
        <v/>
      </c>
      <c r="AX1937" s="83" t="str">
        <f t="array" ref="AX1937">IFERROR(DGET('SBV Import'!A:G,"SBV",{"RSC ID","Tier";B1937,A1937}))</f>
        <v/>
      </c>
      <c r="AY1937" s="82" t="str">
        <f t="shared" si="2"/>
        <v/>
      </c>
      <c r="AZ1937" s="82"/>
      <c r="BA1937" s="84" t="s">
        <v>152</v>
      </c>
      <c r="BB1937" s="84" t="str">
        <f>IFERROR(__xludf.DUMMYFUNCTION("iferror(if(A1937="""",,E1937&gt;=FILTER(Constants!$F$2:$F$10,Constants!$A$2:$A$10=A1937)))"),"")</f>
        <v/>
      </c>
    </row>
    <row r="1938">
      <c r="A1938" s="89"/>
      <c r="B1938" s="87"/>
      <c r="C1938" s="73"/>
      <c r="D1938" s="73"/>
      <c r="E1938" s="82"/>
      <c r="F1938" s="82"/>
      <c r="G1938" s="86"/>
      <c r="H1938" s="86"/>
      <c r="I1938" s="86"/>
      <c r="J1938" s="82"/>
      <c r="K1938" s="82"/>
      <c r="L1938" s="82"/>
      <c r="M1938" s="82"/>
      <c r="N1938" s="82"/>
      <c r="O1938" s="82"/>
      <c r="P1938" s="82"/>
      <c r="Q1938" s="82"/>
      <c r="R1938" s="82"/>
      <c r="S1938" s="82"/>
      <c r="T1938" s="82"/>
      <c r="U1938" s="82"/>
      <c r="V1938" s="82"/>
      <c r="W1938" s="82"/>
      <c r="X1938" s="82"/>
      <c r="Y1938" s="82"/>
      <c r="Z1938" s="82"/>
      <c r="AA1938" s="82"/>
      <c r="AB1938" s="82"/>
      <c r="AC1938" s="82"/>
      <c r="AD1938" s="82"/>
      <c r="AE1938" s="82"/>
      <c r="AF1938" s="82"/>
      <c r="AG1938" s="82"/>
      <c r="AH1938" s="82"/>
      <c r="AI1938" s="82"/>
      <c r="AJ1938" s="82"/>
      <c r="AK1938" s="82"/>
      <c r="AL1938" s="82"/>
      <c r="AM1938" s="82"/>
      <c r="AN1938" s="82">
        <f>IFERROR(__xludf.DUMMYFUNCTION("""COMPUTED_VALUE"""),0.0)</f>
        <v>0</v>
      </c>
      <c r="AO1938" s="82">
        <f>IFERROR(__xludf.DUMMYFUNCTION("""COMPUTED_VALUE"""),0.0)</f>
        <v>0</v>
      </c>
      <c r="AP1938" s="82">
        <f>IFERROR(__xludf.DUMMYFUNCTION("""COMPUTED_VALUE"""),0.0)</f>
        <v>0</v>
      </c>
      <c r="AQ1938" s="82">
        <f>IFERROR(__xludf.DUMMYFUNCTION("""COMPUTED_VALUE"""),0.0)</f>
        <v>0</v>
      </c>
      <c r="AR1938" s="82">
        <f>IFERROR(__xludf.DUMMYFUNCTION("""COMPUTED_VALUE"""),0.0)</f>
        <v>0</v>
      </c>
      <c r="AS1938" s="82"/>
      <c r="AT1938" s="82">
        <f>IFERROR(__xludf.DUMMYFUNCTION("""COMPUTED_VALUE"""),0.0)</f>
        <v>0</v>
      </c>
      <c r="AU1938" s="82"/>
      <c r="AV1938" s="82"/>
      <c r="AW1938" s="82" t="str">
        <f t="shared" si="1"/>
        <v/>
      </c>
      <c r="AX1938" s="83" t="str">
        <f t="array" ref="AX1938">IFERROR(DGET('SBV Import'!A:G,"SBV",{"RSC ID","Tier";B1938,A1938}))</f>
        <v/>
      </c>
      <c r="AY1938" s="82" t="str">
        <f t="shared" si="2"/>
        <v/>
      </c>
      <c r="AZ1938" s="82"/>
      <c r="BA1938" s="84" t="s">
        <v>152</v>
      </c>
      <c r="BB1938" s="84" t="str">
        <f>IFERROR(__xludf.DUMMYFUNCTION("iferror(if(A1938="""",,E1938&gt;=FILTER(Constants!$F$2:$F$10,Constants!$A$2:$A$10=A1938)))"),"")</f>
        <v/>
      </c>
    </row>
    <row r="1939">
      <c r="A1939" s="89"/>
      <c r="B1939" s="87"/>
      <c r="C1939" s="73"/>
      <c r="D1939" s="73"/>
      <c r="E1939" s="82"/>
      <c r="F1939" s="82"/>
      <c r="G1939" s="86"/>
      <c r="H1939" s="86"/>
      <c r="I1939" s="86"/>
      <c r="J1939" s="82"/>
      <c r="K1939" s="82"/>
      <c r="L1939" s="82"/>
      <c r="M1939" s="82"/>
      <c r="N1939" s="82"/>
      <c r="O1939" s="82"/>
      <c r="P1939" s="82"/>
      <c r="Q1939" s="82"/>
      <c r="R1939" s="82"/>
      <c r="S1939" s="82"/>
      <c r="T1939" s="82"/>
      <c r="U1939" s="82"/>
      <c r="V1939" s="82"/>
      <c r="W1939" s="82"/>
      <c r="X1939" s="82"/>
      <c r="Y1939" s="82"/>
      <c r="Z1939" s="82"/>
      <c r="AA1939" s="82"/>
      <c r="AB1939" s="82"/>
      <c r="AC1939" s="82"/>
      <c r="AD1939" s="82"/>
      <c r="AE1939" s="82"/>
      <c r="AF1939" s="82"/>
      <c r="AG1939" s="82"/>
      <c r="AH1939" s="82"/>
      <c r="AI1939" s="82"/>
      <c r="AJ1939" s="82"/>
      <c r="AK1939" s="82"/>
      <c r="AL1939" s="82"/>
      <c r="AM1939" s="82"/>
      <c r="AN1939" s="82">
        <f>IFERROR(__xludf.DUMMYFUNCTION("""COMPUTED_VALUE"""),0.0)</f>
        <v>0</v>
      </c>
      <c r="AO1939" s="82">
        <f>IFERROR(__xludf.DUMMYFUNCTION("""COMPUTED_VALUE"""),0.0)</f>
        <v>0</v>
      </c>
      <c r="AP1939" s="82">
        <f>IFERROR(__xludf.DUMMYFUNCTION("""COMPUTED_VALUE"""),0.0)</f>
        <v>0</v>
      </c>
      <c r="AQ1939" s="82">
        <f>IFERROR(__xludf.DUMMYFUNCTION("""COMPUTED_VALUE"""),0.0)</f>
        <v>0</v>
      </c>
      <c r="AR1939" s="82">
        <f>IFERROR(__xludf.DUMMYFUNCTION("""COMPUTED_VALUE"""),0.0)</f>
        <v>0</v>
      </c>
      <c r="AS1939" s="82"/>
      <c r="AT1939" s="82">
        <f>IFERROR(__xludf.DUMMYFUNCTION("""COMPUTED_VALUE"""),0.0)</f>
        <v>0</v>
      </c>
      <c r="AU1939" s="82"/>
      <c r="AV1939" s="82"/>
      <c r="AW1939" s="82" t="str">
        <f t="shared" si="1"/>
        <v/>
      </c>
      <c r="AX1939" s="83" t="str">
        <f t="array" ref="AX1939">IFERROR(DGET('SBV Import'!A:G,"SBV",{"RSC ID","Tier";B1939,A1939}))</f>
        <v/>
      </c>
      <c r="AY1939" s="82" t="str">
        <f t="shared" si="2"/>
        <v/>
      </c>
      <c r="AZ1939" s="82"/>
      <c r="BA1939" s="84" t="s">
        <v>152</v>
      </c>
      <c r="BB1939" s="84" t="str">
        <f>IFERROR(__xludf.DUMMYFUNCTION("iferror(if(A1939="""",,E1939&gt;=FILTER(Constants!$F$2:$F$10,Constants!$A$2:$A$10=A1939)))"),"")</f>
        <v/>
      </c>
    </row>
    <row r="1940">
      <c r="A1940" s="89"/>
      <c r="B1940" s="87"/>
      <c r="C1940" s="73"/>
      <c r="D1940" s="73"/>
      <c r="E1940" s="82"/>
      <c r="F1940" s="82"/>
      <c r="G1940" s="86"/>
      <c r="H1940" s="86"/>
      <c r="I1940" s="86"/>
      <c r="J1940" s="82"/>
      <c r="K1940" s="82"/>
      <c r="L1940" s="82"/>
      <c r="M1940" s="82"/>
      <c r="N1940" s="82"/>
      <c r="O1940" s="82"/>
      <c r="P1940" s="82"/>
      <c r="Q1940" s="82"/>
      <c r="R1940" s="82"/>
      <c r="S1940" s="82"/>
      <c r="T1940" s="82"/>
      <c r="U1940" s="82"/>
      <c r="V1940" s="82"/>
      <c r="W1940" s="82"/>
      <c r="X1940" s="82"/>
      <c r="Y1940" s="82"/>
      <c r="Z1940" s="82"/>
      <c r="AA1940" s="82"/>
      <c r="AB1940" s="82"/>
      <c r="AC1940" s="82"/>
      <c r="AD1940" s="82"/>
      <c r="AE1940" s="82"/>
      <c r="AF1940" s="82"/>
      <c r="AG1940" s="82"/>
      <c r="AH1940" s="82"/>
      <c r="AI1940" s="82"/>
      <c r="AJ1940" s="82"/>
      <c r="AK1940" s="82"/>
      <c r="AL1940" s="82"/>
      <c r="AM1940" s="82"/>
      <c r="AN1940" s="82">
        <f>IFERROR(__xludf.DUMMYFUNCTION("""COMPUTED_VALUE"""),0.0)</f>
        <v>0</v>
      </c>
      <c r="AO1940" s="82">
        <f>IFERROR(__xludf.DUMMYFUNCTION("""COMPUTED_VALUE"""),0.0)</f>
        <v>0</v>
      </c>
      <c r="AP1940" s="82">
        <f>IFERROR(__xludf.DUMMYFUNCTION("""COMPUTED_VALUE"""),0.0)</f>
        <v>0</v>
      </c>
      <c r="AQ1940" s="82">
        <f>IFERROR(__xludf.DUMMYFUNCTION("""COMPUTED_VALUE"""),0.0)</f>
        <v>0</v>
      </c>
      <c r="AR1940" s="82">
        <f>IFERROR(__xludf.DUMMYFUNCTION("""COMPUTED_VALUE"""),0.0)</f>
        <v>0</v>
      </c>
      <c r="AS1940" s="82"/>
      <c r="AT1940" s="82">
        <f>IFERROR(__xludf.DUMMYFUNCTION("""COMPUTED_VALUE"""),0.0)</f>
        <v>0</v>
      </c>
      <c r="AU1940" s="82"/>
      <c r="AV1940" s="82"/>
      <c r="AW1940" s="82" t="str">
        <f t="shared" si="1"/>
        <v/>
      </c>
      <c r="AX1940" s="83" t="str">
        <f t="array" ref="AX1940">IFERROR(DGET('SBV Import'!A:G,"SBV",{"RSC ID","Tier";B1940,A1940}))</f>
        <v/>
      </c>
      <c r="AY1940" s="82" t="str">
        <f t="shared" si="2"/>
        <v/>
      </c>
      <c r="AZ1940" s="82"/>
      <c r="BA1940" s="84" t="s">
        <v>152</v>
      </c>
      <c r="BB1940" s="84" t="str">
        <f>IFERROR(__xludf.DUMMYFUNCTION("iferror(if(A1940="""",,E1940&gt;=FILTER(Constants!$F$2:$F$10,Constants!$A$2:$A$10=A1940)))"),"")</f>
        <v/>
      </c>
    </row>
    <row r="1941">
      <c r="A1941" s="89"/>
      <c r="B1941" s="87"/>
      <c r="C1941" s="73"/>
      <c r="D1941" s="73"/>
      <c r="E1941" s="82"/>
      <c r="F1941" s="82"/>
      <c r="G1941" s="86"/>
      <c r="H1941" s="86"/>
      <c r="I1941" s="86"/>
      <c r="J1941" s="82"/>
      <c r="K1941" s="82"/>
      <c r="L1941" s="82"/>
      <c r="M1941" s="82"/>
      <c r="N1941" s="82"/>
      <c r="O1941" s="82"/>
      <c r="P1941" s="82"/>
      <c r="Q1941" s="82"/>
      <c r="R1941" s="82"/>
      <c r="S1941" s="82"/>
      <c r="T1941" s="82"/>
      <c r="U1941" s="82"/>
      <c r="V1941" s="82"/>
      <c r="W1941" s="82"/>
      <c r="X1941" s="82"/>
      <c r="Y1941" s="82"/>
      <c r="Z1941" s="82"/>
      <c r="AA1941" s="82"/>
      <c r="AB1941" s="82"/>
      <c r="AC1941" s="82"/>
      <c r="AD1941" s="82"/>
      <c r="AE1941" s="82"/>
      <c r="AF1941" s="82"/>
      <c r="AG1941" s="82"/>
      <c r="AH1941" s="82"/>
      <c r="AI1941" s="82"/>
      <c r="AJ1941" s="82"/>
      <c r="AK1941" s="82"/>
      <c r="AL1941" s="82"/>
      <c r="AM1941" s="82"/>
      <c r="AN1941" s="82">
        <f>IFERROR(__xludf.DUMMYFUNCTION("""COMPUTED_VALUE"""),0.0)</f>
        <v>0</v>
      </c>
      <c r="AO1941" s="82">
        <f>IFERROR(__xludf.DUMMYFUNCTION("""COMPUTED_VALUE"""),0.0)</f>
        <v>0</v>
      </c>
      <c r="AP1941" s="82">
        <f>IFERROR(__xludf.DUMMYFUNCTION("""COMPUTED_VALUE"""),0.0)</f>
        <v>0</v>
      </c>
      <c r="AQ1941" s="82">
        <f>IFERROR(__xludf.DUMMYFUNCTION("""COMPUTED_VALUE"""),0.0)</f>
        <v>0</v>
      </c>
      <c r="AR1941" s="82">
        <f>IFERROR(__xludf.DUMMYFUNCTION("""COMPUTED_VALUE"""),0.0)</f>
        <v>0</v>
      </c>
      <c r="AS1941" s="82"/>
      <c r="AT1941" s="82">
        <f>IFERROR(__xludf.DUMMYFUNCTION("""COMPUTED_VALUE"""),0.0)</f>
        <v>0</v>
      </c>
      <c r="AU1941" s="82"/>
      <c r="AV1941" s="82"/>
      <c r="AW1941" s="82" t="str">
        <f t="shared" si="1"/>
        <v/>
      </c>
      <c r="AX1941" s="83" t="str">
        <f t="array" ref="AX1941">IFERROR(DGET('SBV Import'!A:G,"SBV",{"RSC ID","Tier";B1941,A1941}))</f>
        <v/>
      </c>
      <c r="AY1941" s="82" t="str">
        <f t="shared" si="2"/>
        <v/>
      </c>
      <c r="AZ1941" s="82"/>
      <c r="BA1941" s="84" t="s">
        <v>152</v>
      </c>
      <c r="BB1941" s="84" t="str">
        <f>IFERROR(__xludf.DUMMYFUNCTION("iferror(if(A1941="""",,E1941&gt;=FILTER(Constants!$F$2:$F$10,Constants!$A$2:$A$10=A1941)))"),"")</f>
        <v/>
      </c>
    </row>
    <row r="1942">
      <c r="A1942" s="89"/>
      <c r="B1942" s="87"/>
      <c r="C1942" s="73"/>
      <c r="D1942" s="73"/>
      <c r="E1942" s="82"/>
      <c r="F1942" s="82"/>
      <c r="G1942" s="86"/>
      <c r="H1942" s="86"/>
      <c r="I1942" s="86"/>
      <c r="J1942" s="82"/>
      <c r="K1942" s="82"/>
      <c r="L1942" s="82"/>
      <c r="M1942" s="82"/>
      <c r="N1942" s="82"/>
      <c r="O1942" s="82"/>
      <c r="P1942" s="82"/>
      <c r="Q1942" s="82"/>
      <c r="R1942" s="82"/>
      <c r="S1942" s="82"/>
      <c r="T1942" s="82"/>
      <c r="U1942" s="82"/>
      <c r="V1942" s="82"/>
      <c r="W1942" s="82"/>
      <c r="X1942" s="82"/>
      <c r="Y1942" s="82"/>
      <c r="Z1942" s="82"/>
      <c r="AA1942" s="82"/>
      <c r="AB1942" s="82"/>
      <c r="AC1942" s="82"/>
      <c r="AD1942" s="82"/>
      <c r="AE1942" s="82"/>
      <c r="AF1942" s="82"/>
      <c r="AG1942" s="82"/>
      <c r="AH1942" s="82"/>
      <c r="AI1942" s="82"/>
      <c r="AJ1942" s="82"/>
      <c r="AK1942" s="82"/>
      <c r="AL1942" s="82"/>
      <c r="AM1942" s="82"/>
      <c r="AN1942" s="82">
        <f>IFERROR(__xludf.DUMMYFUNCTION("""COMPUTED_VALUE"""),0.0)</f>
        <v>0</v>
      </c>
      <c r="AO1942" s="82">
        <f>IFERROR(__xludf.DUMMYFUNCTION("""COMPUTED_VALUE"""),0.0)</f>
        <v>0</v>
      </c>
      <c r="AP1942" s="82">
        <f>IFERROR(__xludf.DUMMYFUNCTION("""COMPUTED_VALUE"""),0.0)</f>
        <v>0</v>
      </c>
      <c r="AQ1942" s="82">
        <f>IFERROR(__xludf.DUMMYFUNCTION("""COMPUTED_VALUE"""),0.0)</f>
        <v>0</v>
      </c>
      <c r="AR1942" s="82">
        <f>IFERROR(__xludf.DUMMYFUNCTION("""COMPUTED_VALUE"""),0.0)</f>
        <v>0</v>
      </c>
      <c r="AS1942" s="82"/>
      <c r="AT1942" s="82">
        <f>IFERROR(__xludf.DUMMYFUNCTION("""COMPUTED_VALUE"""),0.0)</f>
        <v>0</v>
      </c>
      <c r="AU1942" s="82"/>
      <c r="AV1942" s="82"/>
      <c r="AW1942" s="82" t="str">
        <f t="shared" si="1"/>
        <v/>
      </c>
      <c r="AX1942" s="83" t="str">
        <f t="array" ref="AX1942">IFERROR(DGET('SBV Import'!A:G,"SBV",{"RSC ID","Tier";B1942,A1942}))</f>
        <v/>
      </c>
      <c r="AY1942" s="82" t="str">
        <f t="shared" si="2"/>
        <v/>
      </c>
      <c r="AZ1942" s="82"/>
      <c r="BA1942" s="84" t="s">
        <v>152</v>
      </c>
      <c r="BB1942" s="84" t="str">
        <f>IFERROR(__xludf.DUMMYFUNCTION("iferror(if(A1942="""",,E1942&gt;=FILTER(Constants!$F$2:$F$10,Constants!$A$2:$A$10=A1942)))"),"")</f>
        <v/>
      </c>
    </row>
    <row r="1943">
      <c r="A1943" s="89"/>
      <c r="B1943" s="87"/>
      <c r="C1943" s="73"/>
      <c r="D1943" s="73"/>
      <c r="E1943" s="82"/>
      <c r="F1943" s="82"/>
      <c r="G1943" s="86"/>
      <c r="H1943" s="86"/>
      <c r="I1943" s="86"/>
      <c r="J1943" s="82"/>
      <c r="K1943" s="82"/>
      <c r="L1943" s="82"/>
      <c r="M1943" s="82"/>
      <c r="N1943" s="82"/>
      <c r="O1943" s="82"/>
      <c r="P1943" s="82"/>
      <c r="Q1943" s="82"/>
      <c r="R1943" s="82"/>
      <c r="S1943" s="82"/>
      <c r="T1943" s="82"/>
      <c r="U1943" s="82"/>
      <c r="V1943" s="82"/>
      <c r="W1943" s="82"/>
      <c r="X1943" s="82"/>
      <c r="Y1943" s="82"/>
      <c r="Z1943" s="82"/>
      <c r="AA1943" s="82"/>
      <c r="AB1943" s="82"/>
      <c r="AC1943" s="82"/>
      <c r="AD1943" s="82"/>
      <c r="AE1943" s="82"/>
      <c r="AF1943" s="82"/>
      <c r="AG1943" s="82"/>
      <c r="AH1943" s="82"/>
      <c r="AI1943" s="82"/>
      <c r="AJ1943" s="82"/>
      <c r="AK1943" s="82"/>
      <c r="AL1943" s="82"/>
      <c r="AM1943" s="82"/>
      <c r="AN1943" s="82">
        <f>IFERROR(__xludf.DUMMYFUNCTION("""COMPUTED_VALUE"""),0.0)</f>
        <v>0</v>
      </c>
      <c r="AO1943" s="82">
        <f>IFERROR(__xludf.DUMMYFUNCTION("""COMPUTED_VALUE"""),0.0)</f>
        <v>0</v>
      </c>
      <c r="AP1943" s="82">
        <f>IFERROR(__xludf.DUMMYFUNCTION("""COMPUTED_VALUE"""),0.0)</f>
        <v>0</v>
      </c>
      <c r="AQ1943" s="82">
        <f>IFERROR(__xludf.DUMMYFUNCTION("""COMPUTED_VALUE"""),0.0)</f>
        <v>0</v>
      </c>
      <c r="AR1943" s="82">
        <f>IFERROR(__xludf.DUMMYFUNCTION("""COMPUTED_VALUE"""),0.0)</f>
        <v>0</v>
      </c>
      <c r="AS1943" s="82"/>
      <c r="AT1943" s="82">
        <f>IFERROR(__xludf.DUMMYFUNCTION("""COMPUTED_VALUE"""),0.0)</f>
        <v>0</v>
      </c>
      <c r="AU1943" s="82"/>
      <c r="AV1943" s="82"/>
      <c r="AW1943" s="82" t="str">
        <f t="shared" si="1"/>
        <v/>
      </c>
      <c r="AX1943" s="83" t="str">
        <f t="array" ref="AX1943">IFERROR(DGET('SBV Import'!A:G,"SBV",{"RSC ID","Tier";B1943,A1943}))</f>
        <v/>
      </c>
      <c r="AY1943" s="82" t="str">
        <f t="shared" si="2"/>
        <v/>
      </c>
      <c r="AZ1943" s="82"/>
      <c r="BA1943" s="84" t="s">
        <v>152</v>
      </c>
      <c r="BB1943" s="84" t="str">
        <f>IFERROR(__xludf.DUMMYFUNCTION("iferror(if(A1943="""",,E1943&gt;=FILTER(Constants!$F$2:$F$10,Constants!$A$2:$A$10=A1943)))"),"")</f>
        <v/>
      </c>
    </row>
    <row r="1944">
      <c r="A1944" s="89"/>
      <c r="B1944" s="87"/>
      <c r="C1944" s="73"/>
      <c r="D1944" s="73"/>
      <c r="E1944" s="82"/>
      <c r="F1944" s="82"/>
      <c r="G1944" s="86"/>
      <c r="H1944" s="86"/>
      <c r="I1944" s="86"/>
      <c r="J1944" s="82"/>
      <c r="K1944" s="82"/>
      <c r="L1944" s="82"/>
      <c r="M1944" s="82"/>
      <c r="N1944" s="82"/>
      <c r="O1944" s="82"/>
      <c r="P1944" s="82"/>
      <c r="Q1944" s="82"/>
      <c r="R1944" s="82"/>
      <c r="S1944" s="82"/>
      <c r="T1944" s="82"/>
      <c r="U1944" s="82"/>
      <c r="V1944" s="82"/>
      <c r="W1944" s="82"/>
      <c r="X1944" s="82"/>
      <c r="Y1944" s="82"/>
      <c r="Z1944" s="82"/>
      <c r="AA1944" s="82"/>
      <c r="AB1944" s="82"/>
      <c r="AC1944" s="82"/>
      <c r="AD1944" s="82"/>
      <c r="AE1944" s="82"/>
      <c r="AF1944" s="82"/>
      <c r="AG1944" s="82"/>
      <c r="AH1944" s="82"/>
      <c r="AI1944" s="82"/>
      <c r="AJ1944" s="82"/>
      <c r="AK1944" s="82"/>
      <c r="AL1944" s="82"/>
      <c r="AM1944" s="82"/>
      <c r="AN1944" s="82">
        <f>IFERROR(__xludf.DUMMYFUNCTION("""COMPUTED_VALUE"""),0.0)</f>
        <v>0</v>
      </c>
      <c r="AO1944" s="82">
        <f>IFERROR(__xludf.DUMMYFUNCTION("""COMPUTED_VALUE"""),0.0)</f>
        <v>0</v>
      </c>
      <c r="AP1944" s="82">
        <f>IFERROR(__xludf.DUMMYFUNCTION("""COMPUTED_VALUE"""),0.0)</f>
        <v>0</v>
      </c>
      <c r="AQ1944" s="82">
        <f>IFERROR(__xludf.DUMMYFUNCTION("""COMPUTED_VALUE"""),0.0)</f>
        <v>0</v>
      </c>
      <c r="AR1944" s="82">
        <f>IFERROR(__xludf.DUMMYFUNCTION("""COMPUTED_VALUE"""),0.0)</f>
        <v>0</v>
      </c>
      <c r="AS1944" s="82"/>
      <c r="AT1944" s="82">
        <f>IFERROR(__xludf.DUMMYFUNCTION("""COMPUTED_VALUE"""),0.0)</f>
        <v>0</v>
      </c>
      <c r="AU1944" s="82"/>
      <c r="AV1944" s="82"/>
      <c r="AW1944" s="82" t="str">
        <f t="shared" si="1"/>
        <v/>
      </c>
      <c r="AX1944" s="83" t="str">
        <f t="array" ref="AX1944">IFERROR(DGET('SBV Import'!A:G,"SBV",{"RSC ID","Tier";B1944,A1944}))</f>
        <v/>
      </c>
      <c r="AY1944" s="82" t="str">
        <f t="shared" si="2"/>
        <v/>
      </c>
      <c r="AZ1944" s="82"/>
      <c r="BA1944" s="84" t="s">
        <v>152</v>
      </c>
      <c r="BB1944" s="84" t="str">
        <f>IFERROR(__xludf.DUMMYFUNCTION("iferror(if(A1944="""",,E1944&gt;=FILTER(Constants!$F$2:$F$10,Constants!$A$2:$A$10=A1944)))"),"")</f>
        <v/>
      </c>
    </row>
    <row r="1945">
      <c r="A1945" s="89"/>
      <c r="B1945" s="87"/>
      <c r="C1945" s="73"/>
      <c r="D1945" s="73"/>
      <c r="E1945" s="82"/>
      <c r="F1945" s="82"/>
      <c r="G1945" s="86"/>
      <c r="H1945" s="86"/>
      <c r="I1945" s="86"/>
      <c r="J1945" s="82"/>
      <c r="K1945" s="82"/>
      <c r="L1945" s="82"/>
      <c r="M1945" s="82"/>
      <c r="N1945" s="82"/>
      <c r="O1945" s="82"/>
      <c r="P1945" s="82"/>
      <c r="Q1945" s="82"/>
      <c r="R1945" s="82"/>
      <c r="S1945" s="82"/>
      <c r="T1945" s="82"/>
      <c r="U1945" s="82"/>
      <c r="V1945" s="82"/>
      <c r="W1945" s="82"/>
      <c r="X1945" s="82"/>
      <c r="Y1945" s="82"/>
      <c r="Z1945" s="82"/>
      <c r="AA1945" s="82"/>
      <c r="AB1945" s="82"/>
      <c r="AC1945" s="82"/>
      <c r="AD1945" s="82"/>
      <c r="AE1945" s="82"/>
      <c r="AF1945" s="82"/>
      <c r="AG1945" s="82"/>
      <c r="AH1945" s="82"/>
      <c r="AI1945" s="82"/>
      <c r="AJ1945" s="82"/>
      <c r="AK1945" s="82"/>
      <c r="AL1945" s="82"/>
      <c r="AM1945" s="82"/>
      <c r="AN1945" s="82">
        <f>IFERROR(__xludf.DUMMYFUNCTION("""COMPUTED_VALUE"""),0.0)</f>
        <v>0</v>
      </c>
      <c r="AO1945" s="82">
        <f>IFERROR(__xludf.DUMMYFUNCTION("""COMPUTED_VALUE"""),0.0)</f>
        <v>0</v>
      </c>
      <c r="AP1945" s="82">
        <f>IFERROR(__xludf.DUMMYFUNCTION("""COMPUTED_VALUE"""),0.0)</f>
        <v>0</v>
      </c>
      <c r="AQ1945" s="82">
        <f>IFERROR(__xludf.DUMMYFUNCTION("""COMPUTED_VALUE"""),0.0)</f>
        <v>0</v>
      </c>
      <c r="AR1945" s="82">
        <f>IFERROR(__xludf.DUMMYFUNCTION("""COMPUTED_VALUE"""),0.0)</f>
        <v>0</v>
      </c>
      <c r="AS1945" s="82"/>
      <c r="AT1945" s="82">
        <f>IFERROR(__xludf.DUMMYFUNCTION("""COMPUTED_VALUE"""),0.0)</f>
        <v>0</v>
      </c>
      <c r="AU1945" s="82"/>
      <c r="AV1945" s="82"/>
      <c r="AW1945" s="82" t="str">
        <f t="shared" si="1"/>
        <v/>
      </c>
      <c r="AX1945" s="83" t="str">
        <f t="array" ref="AX1945">IFERROR(DGET('SBV Import'!A:G,"SBV",{"RSC ID","Tier";B1945,A1945}))</f>
        <v/>
      </c>
      <c r="AY1945" s="82" t="str">
        <f t="shared" si="2"/>
        <v/>
      </c>
      <c r="AZ1945" s="82"/>
      <c r="BA1945" s="84" t="s">
        <v>152</v>
      </c>
      <c r="BB1945" s="84" t="str">
        <f>IFERROR(__xludf.DUMMYFUNCTION("iferror(if(A1945="""",,E1945&gt;=FILTER(Constants!$F$2:$F$10,Constants!$A$2:$A$10=A1945)))"),"")</f>
        <v/>
      </c>
    </row>
    <row r="1946">
      <c r="A1946" s="89"/>
      <c r="B1946" s="87"/>
      <c r="C1946" s="73"/>
      <c r="D1946" s="73"/>
      <c r="E1946" s="82"/>
      <c r="F1946" s="82"/>
      <c r="G1946" s="86"/>
      <c r="H1946" s="86"/>
      <c r="I1946" s="86"/>
      <c r="J1946" s="82"/>
      <c r="K1946" s="82"/>
      <c r="L1946" s="82"/>
      <c r="M1946" s="82"/>
      <c r="N1946" s="82"/>
      <c r="O1946" s="82"/>
      <c r="P1946" s="82"/>
      <c r="Q1946" s="82"/>
      <c r="R1946" s="82"/>
      <c r="S1946" s="82"/>
      <c r="T1946" s="82"/>
      <c r="U1946" s="82"/>
      <c r="V1946" s="82"/>
      <c r="W1946" s="82"/>
      <c r="X1946" s="82"/>
      <c r="Y1946" s="82"/>
      <c r="Z1946" s="82"/>
      <c r="AA1946" s="82"/>
      <c r="AB1946" s="82"/>
      <c r="AC1946" s="82"/>
      <c r="AD1946" s="82"/>
      <c r="AE1946" s="82"/>
      <c r="AF1946" s="82"/>
      <c r="AG1946" s="82"/>
      <c r="AH1946" s="82"/>
      <c r="AI1946" s="82"/>
      <c r="AJ1946" s="82"/>
      <c r="AK1946" s="82"/>
      <c r="AL1946" s="82"/>
      <c r="AM1946" s="82"/>
      <c r="AN1946" s="82">
        <f>IFERROR(__xludf.DUMMYFUNCTION("""COMPUTED_VALUE"""),0.0)</f>
        <v>0</v>
      </c>
      <c r="AO1946" s="82">
        <f>IFERROR(__xludf.DUMMYFUNCTION("""COMPUTED_VALUE"""),0.0)</f>
        <v>0</v>
      </c>
      <c r="AP1946" s="82">
        <f>IFERROR(__xludf.DUMMYFUNCTION("""COMPUTED_VALUE"""),0.0)</f>
        <v>0</v>
      </c>
      <c r="AQ1946" s="82">
        <f>IFERROR(__xludf.DUMMYFUNCTION("""COMPUTED_VALUE"""),0.0)</f>
        <v>0</v>
      </c>
      <c r="AR1946" s="82">
        <f>IFERROR(__xludf.DUMMYFUNCTION("""COMPUTED_VALUE"""),0.0)</f>
        <v>0</v>
      </c>
      <c r="AS1946" s="82"/>
      <c r="AT1946" s="82">
        <f>IFERROR(__xludf.DUMMYFUNCTION("""COMPUTED_VALUE"""),0.0)</f>
        <v>0</v>
      </c>
      <c r="AU1946" s="82"/>
      <c r="AV1946" s="82"/>
      <c r="AW1946" s="82" t="str">
        <f t="shared" si="1"/>
        <v/>
      </c>
      <c r="AX1946" s="83" t="str">
        <f t="array" ref="AX1946">IFERROR(DGET('SBV Import'!A:G,"SBV",{"RSC ID","Tier";B1946,A1946}))</f>
        <v/>
      </c>
      <c r="AY1946" s="82" t="str">
        <f t="shared" si="2"/>
        <v/>
      </c>
      <c r="AZ1946" s="82"/>
      <c r="BA1946" s="84" t="s">
        <v>152</v>
      </c>
      <c r="BB1946" s="84" t="str">
        <f>IFERROR(__xludf.DUMMYFUNCTION("iferror(if(A1946="""",,E1946&gt;=FILTER(Constants!$F$2:$F$10,Constants!$A$2:$A$10=A1946)))"),"")</f>
        <v/>
      </c>
    </row>
    <row r="1947">
      <c r="A1947" s="89"/>
      <c r="B1947" s="87"/>
      <c r="C1947" s="73"/>
      <c r="D1947" s="73"/>
      <c r="E1947" s="82"/>
      <c r="F1947" s="82"/>
      <c r="G1947" s="86"/>
      <c r="H1947" s="86"/>
      <c r="I1947" s="86"/>
      <c r="J1947" s="82"/>
      <c r="K1947" s="82"/>
      <c r="L1947" s="82"/>
      <c r="M1947" s="82"/>
      <c r="N1947" s="82"/>
      <c r="O1947" s="82"/>
      <c r="P1947" s="82"/>
      <c r="Q1947" s="82"/>
      <c r="R1947" s="82"/>
      <c r="S1947" s="82"/>
      <c r="T1947" s="82"/>
      <c r="U1947" s="82"/>
      <c r="V1947" s="82"/>
      <c r="W1947" s="82"/>
      <c r="X1947" s="82"/>
      <c r="Y1947" s="82"/>
      <c r="Z1947" s="82"/>
      <c r="AA1947" s="82"/>
      <c r="AB1947" s="82"/>
      <c r="AC1947" s="82"/>
      <c r="AD1947" s="82"/>
      <c r="AE1947" s="82"/>
      <c r="AF1947" s="82"/>
      <c r="AG1947" s="82"/>
      <c r="AH1947" s="82"/>
      <c r="AI1947" s="82"/>
      <c r="AJ1947" s="82"/>
      <c r="AK1947" s="82"/>
      <c r="AL1947" s="82"/>
      <c r="AM1947" s="82"/>
      <c r="AN1947" s="82">
        <f>IFERROR(__xludf.DUMMYFUNCTION("""COMPUTED_VALUE"""),0.0)</f>
        <v>0</v>
      </c>
      <c r="AO1947" s="82">
        <f>IFERROR(__xludf.DUMMYFUNCTION("""COMPUTED_VALUE"""),0.0)</f>
        <v>0</v>
      </c>
      <c r="AP1947" s="82">
        <f>IFERROR(__xludf.DUMMYFUNCTION("""COMPUTED_VALUE"""),0.0)</f>
        <v>0</v>
      </c>
      <c r="AQ1947" s="82">
        <f>IFERROR(__xludf.DUMMYFUNCTION("""COMPUTED_VALUE"""),0.0)</f>
        <v>0</v>
      </c>
      <c r="AR1947" s="82">
        <f>IFERROR(__xludf.DUMMYFUNCTION("""COMPUTED_VALUE"""),0.0)</f>
        <v>0</v>
      </c>
      <c r="AS1947" s="82"/>
      <c r="AT1947" s="82">
        <f>IFERROR(__xludf.DUMMYFUNCTION("""COMPUTED_VALUE"""),0.0)</f>
        <v>0</v>
      </c>
      <c r="AU1947" s="82"/>
      <c r="AV1947" s="82"/>
      <c r="AW1947" s="82" t="str">
        <f t="shared" si="1"/>
        <v/>
      </c>
      <c r="AX1947" s="83" t="str">
        <f t="array" ref="AX1947">IFERROR(DGET('SBV Import'!A:G,"SBV",{"RSC ID","Tier";B1947,A1947}))</f>
        <v/>
      </c>
      <c r="AY1947" s="82" t="str">
        <f t="shared" si="2"/>
        <v/>
      </c>
      <c r="AZ1947" s="82"/>
      <c r="BA1947" s="84" t="s">
        <v>152</v>
      </c>
      <c r="BB1947" s="84" t="str">
        <f>IFERROR(__xludf.DUMMYFUNCTION("iferror(if(A1947="""",,E1947&gt;=FILTER(Constants!$F$2:$F$10,Constants!$A$2:$A$10=A1947)))"),"")</f>
        <v/>
      </c>
    </row>
    <row r="1948">
      <c r="A1948" s="89"/>
      <c r="B1948" s="87"/>
      <c r="C1948" s="73"/>
      <c r="D1948" s="73"/>
      <c r="E1948" s="82"/>
      <c r="F1948" s="82"/>
      <c r="G1948" s="86"/>
      <c r="H1948" s="86"/>
      <c r="I1948" s="86"/>
      <c r="J1948" s="82"/>
      <c r="K1948" s="82"/>
      <c r="L1948" s="82"/>
      <c r="M1948" s="82"/>
      <c r="N1948" s="82"/>
      <c r="O1948" s="82"/>
      <c r="P1948" s="82"/>
      <c r="Q1948" s="82"/>
      <c r="R1948" s="82"/>
      <c r="S1948" s="82"/>
      <c r="T1948" s="82"/>
      <c r="U1948" s="82"/>
      <c r="V1948" s="82"/>
      <c r="W1948" s="82"/>
      <c r="X1948" s="82"/>
      <c r="Y1948" s="82"/>
      <c r="Z1948" s="82"/>
      <c r="AA1948" s="82"/>
      <c r="AB1948" s="82"/>
      <c r="AC1948" s="82"/>
      <c r="AD1948" s="82"/>
      <c r="AE1948" s="82"/>
      <c r="AF1948" s="82"/>
      <c r="AG1948" s="82"/>
      <c r="AH1948" s="82"/>
      <c r="AI1948" s="82"/>
      <c r="AJ1948" s="82"/>
      <c r="AK1948" s="82"/>
      <c r="AL1948" s="82"/>
      <c r="AM1948" s="82"/>
      <c r="AN1948" s="82">
        <f>IFERROR(__xludf.DUMMYFUNCTION("""COMPUTED_VALUE"""),0.0)</f>
        <v>0</v>
      </c>
      <c r="AO1948" s="82">
        <f>IFERROR(__xludf.DUMMYFUNCTION("""COMPUTED_VALUE"""),0.0)</f>
        <v>0</v>
      </c>
      <c r="AP1948" s="82">
        <f>IFERROR(__xludf.DUMMYFUNCTION("""COMPUTED_VALUE"""),0.0)</f>
        <v>0</v>
      </c>
      <c r="AQ1948" s="82">
        <f>IFERROR(__xludf.DUMMYFUNCTION("""COMPUTED_VALUE"""),0.0)</f>
        <v>0</v>
      </c>
      <c r="AR1948" s="82">
        <f>IFERROR(__xludf.DUMMYFUNCTION("""COMPUTED_VALUE"""),0.0)</f>
        <v>0</v>
      </c>
      <c r="AS1948" s="82"/>
      <c r="AT1948" s="82">
        <f>IFERROR(__xludf.DUMMYFUNCTION("""COMPUTED_VALUE"""),0.0)</f>
        <v>0</v>
      </c>
      <c r="AU1948" s="82"/>
      <c r="AV1948" s="82"/>
      <c r="AW1948" s="82" t="str">
        <f t="shared" si="1"/>
        <v/>
      </c>
      <c r="AX1948" s="83" t="str">
        <f t="array" ref="AX1948">IFERROR(DGET('SBV Import'!A:G,"SBV",{"RSC ID","Tier";B1948,A1948}))</f>
        <v/>
      </c>
      <c r="AY1948" s="82" t="str">
        <f t="shared" si="2"/>
        <v/>
      </c>
      <c r="AZ1948" s="82"/>
      <c r="BA1948" s="84" t="s">
        <v>152</v>
      </c>
      <c r="BB1948" s="84" t="str">
        <f>IFERROR(__xludf.DUMMYFUNCTION("iferror(if(A1948="""",,E1948&gt;=FILTER(Constants!$F$2:$F$10,Constants!$A$2:$A$10=A1948)))"),"")</f>
        <v/>
      </c>
    </row>
    <row r="1949">
      <c r="A1949" s="89"/>
      <c r="B1949" s="87"/>
      <c r="C1949" s="73"/>
      <c r="D1949" s="73"/>
      <c r="E1949" s="82"/>
      <c r="F1949" s="82"/>
      <c r="G1949" s="86"/>
      <c r="H1949" s="86"/>
      <c r="I1949" s="86"/>
      <c r="J1949" s="82"/>
      <c r="K1949" s="82"/>
      <c r="L1949" s="82"/>
      <c r="M1949" s="82"/>
      <c r="N1949" s="82"/>
      <c r="O1949" s="82"/>
      <c r="P1949" s="82"/>
      <c r="Q1949" s="82"/>
      <c r="R1949" s="82"/>
      <c r="S1949" s="82"/>
      <c r="T1949" s="82"/>
      <c r="U1949" s="82"/>
      <c r="V1949" s="82"/>
      <c r="W1949" s="82"/>
      <c r="X1949" s="82"/>
      <c r="Y1949" s="82"/>
      <c r="Z1949" s="82"/>
      <c r="AA1949" s="82"/>
      <c r="AB1949" s="82"/>
      <c r="AC1949" s="82"/>
      <c r="AD1949" s="82"/>
      <c r="AE1949" s="82"/>
      <c r="AF1949" s="82"/>
      <c r="AG1949" s="82"/>
      <c r="AH1949" s="82"/>
      <c r="AI1949" s="82"/>
      <c r="AJ1949" s="82"/>
      <c r="AK1949" s="82"/>
      <c r="AL1949" s="82"/>
      <c r="AM1949" s="82"/>
      <c r="AN1949" s="82">
        <f>IFERROR(__xludf.DUMMYFUNCTION("""COMPUTED_VALUE"""),0.0)</f>
        <v>0</v>
      </c>
      <c r="AO1949" s="82">
        <f>IFERROR(__xludf.DUMMYFUNCTION("""COMPUTED_VALUE"""),0.0)</f>
        <v>0</v>
      </c>
      <c r="AP1949" s="82">
        <f>IFERROR(__xludf.DUMMYFUNCTION("""COMPUTED_VALUE"""),0.0)</f>
        <v>0</v>
      </c>
      <c r="AQ1949" s="82">
        <f>IFERROR(__xludf.DUMMYFUNCTION("""COMPUTED_VALUE"""),0.0)</f>
        <v>0</v>
      </c>
      <c r="AR1949" s="82">
        <f>IFERROR(__xludf.DUMMYFUNCTION("""COMPUTED_VALUE"""),0.0)</f>
        <v>0</v>
      </c>
      <c r="AS1949" s="82"/>
      <c r="AT1949" s="82">
        <f>IFERROR(__xludf.DUMMYFUNCTION("""COMPUTED_VALUE"""),0.0)</f>
        <v>0</v>
      </c>
      <c r="AU1949" s="82"/>
      <c r="AV1949" s="82"/>
      <c r="AW1949" s="82" t="str">
        <f t="shared" si="1"/>
        <v/>
      </c>
      <c r="AX1949" s="83" t="str">
        <f t="array" ref="AX1949">IFERROR(DGET('SBV Import'!A:G,"SBV",{"RSC ID","Tier";B1949,A1949}))</f>
        <v/>
      </c>
      <c r="AY1949" s="82" t="str">
        <f t="shared" si="2"/>
        <v/>
      </c>
      <c r="AZ1949" s="82"/>
      <c r="BA1949" s="84" t="s">
        <v>152</v>
      </c>
      <c r="BB1949" s="84" t="str">
        <f>IFERROR(__xludf.DUMMYFUNCTION("iferror(if(A1949="""",,E1949&gt;=FILTER(Constants!$F$2:$F$10,Constants!$A$2:$A$10=A1949)))"),"")</f>
        <v/>
      </c>
    </row>
    <row r="1950">
      <c r="A1950" s="89"/>
      <c r="B1950" s="87"/>
      <c r="C1950" s="73"/>
      <c r="D1950" s="73"/>
      <c r="E1950" s="82"/>
      <c r="F1950" s="82"/>
      <c r="G1950" s="86"/>
      <c r="H1950" s="86"/>
      <c r="I1950" s="86"/>
      <c r="J1950" s="82"/>
      <c r="K1950" s="82"/>
      <c r="L1950" s="82"/>
      <c r="M1950" s="82"/>
      <c r="N1950" s="82"/>
      <c r="O1950" s="82"/>
      <c r="P1950" s="82"/>
      <c r="Q1950" s="82"/>
      <c r="R1950" s="82"/>
      <c r="S1950" s="82"/>
      <c r="T1950" s="82"/>
      <c r="U1950" s="82"/>
      <c r="V1950" s="82"/>
      <c r="W1950" s="82"/>
      <c r="X1950" s="82"/>
      <c r="Y1950" s="82"/>
      <c r="Z1950" s="82"/>
      <c r="AA1950" s="82"/>
      <c r="AB1950" s="82"/>
      <c r="AC1950" s="82"/>
      <c r="AD1950" s="82"/>
      <c r="AE1950" s="82"/>
      <c r="AF1950" s="82"/>
      <c r="AG1950" s="82"/>
      <c r="AH1950" s="82"/>
      <c r="AI1950" s="82"/>
      <c r="AJ1950" s="82"/>
      <c r="AK1950" s="82"/>
      <c r="AL1950" s="82"/>
      <c r="AM1950" s="82"/>
      <c r="AN1950" s="82">
        <f>IFERROR(__xludf.DUMMYFUNCTION("""COMPUTED_VALUE"""),0.0)</f>
        <v>0</v>
      </c>
      <c r="AO1950" s="82">
        <f>IFERROR(__xludf.DUMMYFUNCTION("""COMPUTED_VALUE"""),0.0)</f>
        <v>0</v>
      </c>
      <c r="AP1950" s="82">
        <f>IFERROR(__xludf.DUMMYFUNCTION("""COMPUTED_VALUE"""),0.0)</f>
        <v>0</v>
      </c>
      <c r="AQ1950" s="82">
        <f>IFERROR(__xludf.DUMMYFUNCTION("""COMPUTED_VALUE"""),0.0)</f>
        <v>0</v>
      </c>
      <c r="AR1950" s="82">
        <f>IFERROR(__xludf.DUMMYFUNCTION("""COMPUTED_VALUE"""),0.0)</f>
        <v>0</v>
      </c>
      <c r="AS1950" s="82"/>
      <c r="AT1950" s="82">
        <f>IFERROR(__xludf.DUMMYFUNCTION("""COMPUTED_VALUE"""),0.0)</f>
        <v>0</v>
      </c>
      <c r="AU1950" s="82"/>
      <c r="AV1950" s="82"/>
      <c r="AW1950" s="82" t="str">
        <f t="shared" si="1"/>
        <v/>
      </c>
      <c r="AX1950" s="83" t="str">
        <f t="array" ref="AX1950">IFERROR(DGET('SBV Import'!A:G,"SBV",{"RSC ID","Tier";B1950,A1950}))</f>
        <v/>
      </c>
      <c r="AY1950" s="82" t="str">
        <f t="shared" si="2"/>
        <v/>
      </c>
      <c r="AZ1950" s="82"/>
      <c r="BA1950" s="84" t="s">
        <v>152</v>
      </c>
      <c r="BB1950" s="84" t="str">
        <f>IFERROR(__xludf.DUMMYFUNCTION("iferror(if(A1950="""",,E1950&gt;=FILTER(Constants!$F$2:$F$10,Constants!$A$2:$A$10=A1950)))"),"")</f>
        <v/>
      </c>
    </row>
    <row r="1951">
      <c r="A1951" s="89"/>
      <c r="B1951" s="87"/>
      <c r="C1951" s="73"/>
      <c r="D1951" s="73"/>
      <c r="E1951" s="82"/>
      <c r="F1951" s="82"/>
      <c r="G1951" s="86"/>
      <c r="H1951" s="86"/>
      <c r="I1951" s="86"/>
      <c r="J1951" s="82"/>
      <c r="K1951" s="82"/>
      <c r="L1951" s="82"/>
      <c r="M1951" s="82"/>
      <c r="N1951" s="82"/>
      <c r="O1951" s="82"/>
      <c r="P1951" s="82"/>
      <c r="Q1951" s="82"/>
      <c r="R1951" s="82"/>
      <c r="S1951" s="82"/>
      <c r="T1951" s="82"/>
      <c r="U1951" s="82"/>
      <c r="V1951" s="82"/>
      <c r="W1951" s="82"/>
      <c r="X1951" s="82"/>
      <c r="Y1951" s="82"/>
      <c r="Z1951" s="82"/>
      <c r="AA1951" s="82"/>
      <c r="AB1951" s="82"/>
      <c r="AC1951" s="82"/>
      <c r="AD1951" s="82"/>
      <c r="AE1951" s="82"/>
      <c r="AF1951" s="82"/>
      <c r="AG1951" s="82"/>
      <c r="AH1951" s="82"/>
      <c r="AI1951" s="82"/>
      <c r="AJ1951" s="82"/>
      <c r="AK1951" s="82"/>
      <c r="AL1951" s="82"/>
      <c r="AM1951" s="82"/>
      <c r="AN1951" s="82">
        <f>IFERROR(__xludf.DUMMYFUNCTION("""COMPUTED_VALUE"""),0.0)</f>
        <v>0</v>
      </c>
      <c r="AO1951" s="82">
        <f>IFERROR(__xludf.DUMMYFUNCTION("""COMPUTED_VALUE"""),0.0)</f>
        <v>0</v>
      </c>
      <c r="AP1951" s="82">
        <f>IFERROR(__xludf.DUMMYFUNCTION("""COMPUTED_VALUE"""),0.0)</f>
        <v>0</v>
      </c>
      <c r="AQ1951" s="82">
        <f>IFERROR(__xludf.DUMMYFUNCTION("""COMPUTED_VALUE"""),0.0)</f>
        <v>0</v>
      </c>
      <c r="AR1951" s="82">
        <f>IFERROR(__xludf.DUMMYFUNCTION("""COMPUTED_VALUE"""),0.0)</f>
        <v>0</v>
      </c>
      <c r="AS1951" s="82"/>
      <c r="AT1951" s="82">
        <f>IFERROR(__xludf.DUMMYFUNCTION("""COMPUTED_VALUE"""),0.0)</f>
        <v>0</v>
      </c>
      <c r="AU1951" s="82"/>
      <c r="AV1951" s="82"/>
      <c r="AW1951" s="82" t="str">
        <f t="shared" si="1"/>
        <v/>
      </c>
      <c r="AX1951" s="83" t="str">
        <f t="array" ref="AX1951">IFERROR(DGET('SBV Import'!A:G,"SBV",{"RSC ID","Tier";B1951,A1951}))</f>
        <v/>
      </c>
      <c r="AY1951" s="82" t="str">
        <f t="shared" si="2"/>
        <v/>
      </c>
      <c r="AZ1951" s="82"/>
      <c r="BA1951" s="84" t="s">
        <v>152</v>
      </c>
      <c r="BB1951" s="84" t="str">
        <f>IFERROR(__xludf.DUMMYFUNCTION("iferror(if(A1951="""",,E1951&gt;=FILTER(Constants!$F$2:$F$10,Constants!$A$2:$A$10=A1951)))"),"")</f>
        <v/>
      </c>
    </row>
    <row r="1952">
      <c r="A1952" s="89"/>
      <c r="B1952" s="87"/>
      <c r="C1952" s="73"/>
      <c r="D1952" s="73"/>
      <c r="E1952" s="82"/>
      <c r="F1952" s="82"/>
      <c r="G1952" s="86"/>
      <c r="H1952" s="86"/>
      <c r="I1952" s="86"/>
      <c r="J1952" s="82"/>
      <c r="K1952" s="82"/>
      <c r="L1952" s="82"/>
      <c r="M1952" s="82"/>
      <c r="N1952" s="82"/>
      <c r="O1952" s="82"/>
      <c r="P1952" s="82"/>
      <c r="Q1952" s="82"/>
      <c r="R1952" s="82"/>
      <c r="S1952" s="82"/>
      <c r="T1952" s="82"/>
      <c r="U1952" s="82"/>
      <c r="V1952" s="82"/>
      <c r="W1952" s="82"/>
      <c r="X1952" s="82"/>
      <c r="Y1952" s="82"/>
      <c r="Z1952" s="82"/>
      <c r="AA1952" s="82"/>
      <c r="AB1952" s="82"/>
      <c r="AC1952" s="82"/>
      <c r="AD1952" s="82"/>
      <c r="AE1952" s="82"/>
      <c r="AF1952" s="82"/>
      <c r="AG1952" s="82"/>
      <c r="AH1952" s="82"/>
      <c r="AI1952" s="82"/>
      <c r="AJ1952" s="82"/>
      <c r="AK1952" s="82"/>
      <c r="AL1952" s="82"/>
      <c r="AM1952" s="82"/>
      <c r="AN1952" s="82">
        <f>IFERROR(__xludf.DUMMYFUNCTION("""COMPUTED_VALUE"""),0.0)</f>
        <v>0</v>
      </c>
      <c r="AO1952" s="82">
        <f>IFERROR(__xludf.DUMMYFUNCTION("""COMPUTED_VALUE"""),0.0)</f>
        <v>0</v>
      </c>
      <c r="AP1952" s="82">
        <f>IFERROR(__xludf.DUMMYFUNCTION("""COMPUTED_VALUE"""),0.0)</f>
        <v>0</v>
      </c>
      <c r="AQ1952" s="82">
        <f>IFERROR(__xludf.DUMMYFUNCTION("""COMPUTED_VALUE"""),0.0)</f>
        <v>0</v>
      </c>
      <c r="AR1952" s="82">
        <f>IFERROR(__xludf.DUMMYFUNCTION("""COMPUTED_VALUE"""),0.0)</f>
        <v>0</v>
      </c>
      <c r="AS1952" s="82"/>
      <c r="AT1952" s="82">
        <f>IFERROR(__xludf.DUMMYFUNCTION("""COMPUTED_VALUE"""),0.0)</f>
        <v>0</v>
      </c>
      <c r="AU1952" s="82"/>
      <c r="AV1952" s="82"/>
      <c r="AW1952" s="82" t="str">
        <f t="shared" si="1"/>
        <v/>
      </c>
      <c r="AX1952" s="83" t="str">
        <f t="array" ref="AX1952">IFERROR(DGET('SBV Import'!A:G,"SBV",{"RSC ID","Tier";B1952,A1952}))</f>
        <v/>
      </c>
      <c r="AY1952" s="82" t="str">
        <f t="shared" si="2"/>
        <v/>
      </c>
      <c r="AZ1952" s="82"/>
      <c r="BA1952" s="84" t="s">
        <v>152</v>
      </c>
      <c r="BB1952" s="84" t="str">
        <f>IFERROR(__xludf.DUMMYFUNCTION("iferror(if(A1952="""",,E1952&gt;=FILTER(Constants!$F$2:$F$10,Constants!$A$2:$A$10=A1952)))"),"")</f>
        <v/>
      </c>
    </row>
    <row r="1953">
      <c r="A1953" s="89"/>
      <c r="B1953" s="87"/>
      <c r="C1953" s="73"/>
      <c r="D1953" s="73"/>
      <c r="E1953" s="82"/>
      <c r="F1953" s="82"/>
      <c r="G1953" s="86"/>
      <c r="H1953" s="86"/>
      <c r="I1953" s="86"/>
      <c r="J1953" s="82"/>
      <c r="K1953" s="82"/>
      <c r="L1953" s="82"/>
      <c r="M1953" s="82"/>
      <c r="N1953" s="82"/>
      <c r="O1953" s="82"/>
      <c r="P1953" s="82"/>
      <c r="Q1953" s="82"/>
      <c r="R1953" s="82"/>
      <c r="S1953" s="82"/>
      <c r="T1953" s="82"/>
      <c r="U1953" s="82"/>
      <c r="V1953" s="82"/>
      <c r="W1953" s="82"/>
      <c r="X1953" s="82"/>
      <c r="Y1953" s="82"/>
      <c r="Z1953" s="82"/>
      <c r="AA1953" s="82"/>
      <c r="AB1953" s="82"/>
      <c r="AC1953" s="82"/>
      <c r="AD1953" s="82"/>
      <c r="AE1953" s="82"/>
      <c r="AF1953" s="82"/>
      <c r="AG1953" s="82"/>
      <c r="AH1953" s="82"/>
      <c r="AI1953" s="82"/>
      <c r="AJ1953" s="82"/>
      <c r="AK1953" s="82"/>
      <c r="AL1953" s="82"/>
      <c r="AM1953" s="82"/>
      <c r="AN1953" s="82">
        <f>IFERROR(__xludf.DUMMYFUNCTION("""COMPUTED_VALUE"""),0.0)</f>
        <v>0</v>
      </c>
      <c r="AO1953" s="82">
        <f>IFERROR(__xludf.DUMMYFUNCTION("""COMPUTED_VALUE"""),0.0)</f>
        <v>0</v>
      </c>
      <c r="AP1953" s="82">
        <f>IFERROR(__xludf.DUMMYFUNCTION("""COMPUTED_VALUE"""),0.0)</f>
        <v>0</v>
      </c>
      <c r="AQ1953" s="82">
        <f>IFERROR(__xludf.DUMMYFUNCTION("""COMPUTED_VALUE"""),0.0)</f>
        <v>0</v>
      </c>
      <c r="AR1953" s="82">
        <f>IFERROR(__xludf.DUMMYFUNCTION("""COMPUTED_VALUE"""),0.0)</f>
        <v>0</v>
      </c>
      <c r="AS1953" s="82"/>
      <c r="AT1953" s="82">
        <f>IFERROR(__xludf.DUMMYFUNCTION("""COMPUTED_VALUE"""),0.0)</f>
        <v>0</v>
      </c>
      <c r="AU1953" s="82"/>
      <c r="AV1953" s="82"/>
      <c r="AW1953" s="82" t="str">
        <f t="shared" si="1"/>
        <v/>
      </c>
      <c r="AX1953" s="83" t="str">
        <f t="array" ref="AX1953">IFERROR(DGET('SBV Import'!A:G,"SBV",{"RSC ID","Tier";B1953,A1953}))</f>
        <v/>
      </c>
      <c r="AY1953" s="82" t="str">
        <f t="shared" si="2"/>
        <v/>
      </c>
      <c r="AZ1953" s="82"/>
      <c r="BA1953" s="84" t="s">
        <v>152</v>
      </c>
      <c r="BB1953" s="84" t="str">
        <f>IFERROR(__xludf.DUMMYFUNCTION("iferror(if(A1953="""",,E1953&gt;=FILTER(Constants!$F$2:$F$10,Constants!$A$2:$A$10=A1953)))"),"")</f>
        <v/>
      </c>
    </row>
    <row r="1954">
      <c r="A1954" s="89"/>
      <c r="B1954" s="87"/>
      <c r="C1954" s="73"/>
      <c r="D1954" s="73"/>
      <c r="E1954" s="82"/>
      <c r="F1954" s="82"/>
      <c r="G1954" s="86"/>
      <c r="H1954" s="86"/>
      <c r="I1954" s="86"/>
      <c r="J1954" s="82"/>
      <c r="K1954" s="82"/>
      <c r="L1954" s="82"/>
      <c r="M1954" s="82"/>
      <c r="N1954" s="82"/>
      <c r="O1954" s="82"/>
      <c r="P1954" s="82"/>
      <c r="Q1954" s="82"/>
      <c r="R1954" s="82"/>
      <c r="S1954" s="82"/>
      <c r="T1954" s="82"/>
      <c r="U1954" s="82"/>
      <c r="V1954" s="82"/>
      <c r="W1954" s="82"/>
      <c r="X1954" s="82"/>
      <c r="Y1954" s="82"/>
      <c r="Z1954" s="82"/>
      <c r="AA1954" s="82"/>
      <c r="AB1954" s="82"/>
      <c r="AC1954" s="82"/>
      <c r="AD1954" s="82"/>
      <c r="AE1954" s="82"/>
      <c r="AF1954" s="82"/>
      <c r="AG1954" s="82"/>
      <c r="AH1954" s="82"/>
      <c r="AI1954" s="82"/>
      <c r="AJ1954" s="82"/>
      <c r="AK1954" s="82"/>
      <c r="AL1954" s="82"/>
      <c r="AM1954" s="82"/>
      <c r="AN1954" s="82">
        <f>IFERROR(__xludf.DUMMYFUNCTION("""COMPUTED_VALUE"""),0.0)</f>
        <v>0</v>
      </c>
      <c r="AO1954" s="82">
        <f>IFERROR(__xludf.DUMMYFUNCTION("""COMPUTED_VALUE"""),0.0)</f>
        <v>0</v>
      </c>
      <c r="AP1954" s="82">
        <f>IFERROR(__xludf.DUMMYFUNCTION("""COMPUTED_VALUE"""),0.0)</f>
        <v>0</v>
      </c>
      <c r="AQ1954" s="82">
        <f>IFERROR(__xludf.DUMMYFUNCTION("""COMPUTED_VALUE"""),0.0)</f>
        <v>0</v>
      </c>
      <c r="AR1954" s="82">
        <f>IFERROR(__xludf.DUMMYFUNCTION("""COMPUTED_VALUE"""),0.0)</f>
        <v>0</v>
      </c>
      <c r="AS1954" s="82"/>
      <c r="AT1954" s="82">
        <f>IFERROR(__xludf.DUMMYFUNCTION("""COMPUTED_VALUE"""),0.0)</f>
        <v>0</v>
      </c>
      <c r="AU1954" s="82"/>
      <c r="AV1954" s="82"/>
      <c r="AW1954" s="82" t="str">
        <f t="shared" si="1"/>
        <v/>
      </c>
      <c r="AX1954" s="83" t="str">
        <f t="array" ref="AX1954">IFERROR(DGET('SBV Import'!A:G,"SBV",{"RSC ID","Tier";B1954,A1954}))</f>
        <v/>
      </c>
      <c r="AY1954" s="82" t="str">
        <f t="shared" si="2"/>
        <v/>
      </c>
      <c r="AZ1954" s="82"/>
      <c r="BA1954" s="84" t="s">
        <v>152</v>
      </c>
      <c r="BB1954" s="84" t="str">
        <f>IFERROR(__xludf.DUMMYFUNCTION("iferror(if(A1954="""",,E1954&gt;=FILTER(Constants!$F$2:$F$10,Constants!$A$2:$A$10=A1954)))"),"")</f>
        <v/>
      </c>
    </row>
    <row r="1955">
      <c r="A1955" s="89"/>
      <c r="B1955" s="87"/>
      <c r="C1955" s="73"/>
      <c r="D1955" s="73"/>
      <c r="E1955" s="82"/>
      <c r="F1955" s="82"/>
      <c r="G1955" s="86"/>
      <c r="H1955" s="86"/>
      <c r="I1955" s="86"/>
      <c r="J1955" s="82"/>
      <c r="K1955" s="82"/>
      <c r="L1955" s="82"/>
      <c r="M1955" s="82"/>
      <c r="N1955" s="82"/>
      <c r="O1955" s="82"/>
      <c r="P1955" s="82"/>
      <c r="Q1955" s="82"/>
      <c r="R1955" s="82"/>
      <c r="S1955" s="82"/>
      <c r="T1955" s="82"/>
      <c r="U1955" s="82"/>
      <c r="V1955" s="82"/>
      <c r="W1955" s="82"/>
      <c r="X1955" s="82"/>
      <c r="Y1955" s="82"/>
      <c r="Z1955" s="82"/>
      <c r="AA1955" s="82"/>
      <c r="AB1955" s="82"/>
      <c r="AC1955" s="82"/>
      <c r="AD1955" s="82"/>
      <c r="AE1955" s="82"/>
      <c r="AF1955" s="82"/>
      <c r="AG1955" s="82"/>
      <c r="AH1955" s="82"/>
      <c r="AI1955" s="82"/>
      <c r="AJ1955" s="82"/>
      <c r="AK1955" s="82"/>
      <c r="AL1955" s="82"/>
      <c r="AM1955" s="82"/>
      <c r="AN1955" s="82">
        <f>IFERROR(__xludf.DUMMYFUNCTION("""COMPUTED_VALUE"""),0.0)</f>
        <v>0</v>
      </c>
      <c r="AO1955" s="82">
        <f>IFERROR(__xludf.DUMMYFUNCTION("""COMPUTED_VALUE"""),0.0)</f>
        <v>0</v>
      </c>
      <c r="AP1955" s="82">
        <f>IFERROR(__xludf.DUMMYFUNCTION("""COMPUTED_VALUE"""),0.0)</f>
        <v>0</v>
      </c>
      <c r="AQ1955" s="82">
        <f>IFERROR(__xludf.DUMMYFUNCTION("""COMPUTED_VALUE"""),0.0)</f>
        <v>0</v>
      </c>
      <c r="AR1955" s="82">
        <f>IFERROR(__xludf.DUMMYFUNCTION("""COMPUTED_VALUE"""),0.0)</f>
        <v>0</v>
      </c>
      <c r="AS1955" s="82"/>
      <c r="AT1955" s="82">
        <f>IFERROR(__xludf.DUMMYFUNCTION("""COMPUTED_VALUE"""),0.0)</f>
        <v>0</v>
      </c>
      <c r="AU1955" s="82"/>
      <c r="AV1955" s="82"/>
      <c r="AW1955" s="82" t="str">
        <f t="shared" si="1"/>
        <v/>
      </c>
      <c r="AX1955" s="83" t="str">
        <f t="array" ref="AX1955">IFERROR(DGET('SBV Import'!A:G,"SBV",{"RSC ID","Tier";B1955,A1955}))</f>
        <v/>
      </c>
      <c r="AY1955" s="82" t="str">
        <f t="shared" si="2"/>
        <v/>
      </c>
      <c r="AZ1955" s="82"/>
      <c r="BA1955" s="84" t="s">
        <v>152</v>
      </c>
      <c r="BB1955" s="84" t="str">
        <f>IFERROR(__xludf.DUMMYFUNCTION("iferror(if(A1955="""",,E1955&gt;=FILTER(Constants!$F$2:$F$10,Constants!$A$2:$A$10=A1955)))"),"")</f>
        <v/>
      </c>
    </row>
    <row r="1956">
      <c r="A1956" s="89"/>
      <c r="B1956" s="87"/>
      <c r="C1956" s="73"/>
      <c r="D1956" s="73"/>
      <c r="E1956" s="82"/>
      <c r="F1956" s="82"/>
      <c r="G1956" s="86"/>
      <c r="H1956" s="86"/>
      <c r="I1956" s="86"/>
      <c r="J1956" s="82"/>
      <c r="K1956" s="82"/>
      <c r="L1956" s="82"/>
      <c r="M1956" s="82"/>
      <c r="N1956" s="82"/>
      <c r="O1956" s="82"/>
      <c r="P1956" s="82"/>
      <c r="Q1956" s="82"/>
      <c r="R1956" s="82"/>
      <c r="S1956" s="82"/>
      <c r="T1956" s="82"/>
      <c r="U1956" s="82"/>
      <c r="V1956" s="82"/>
      <c r="W1956" s="82"/>
      <c r="X1956" s="82"/>
      <c r="Y1956" s="82"/>
      <c r="Z1956" s="82"/>
      <c r="AA1956" s="82"/>
      <c r="AB1956" s="82"/>
      <c r="AC1956" s="82"/>
      <c r="AD1956" s="82"/>
      <c r="AE1956" s="82"/>
      <c r="AF1956" s="82"/>
      <c r="AG1956" s="82"/>
      <c r="AH1956" s="82"/>
      <c r="AI1956" s="82"/>
      <c r="AJ1956" s="82"/>
      <c r="AK1956" s="82"/>
      <c r="AL1956" s="82"/>
      <c r="AM1956" s="82"/>
      <c r="AN1956" s="82">
        <f>IFERROR(__xludf.DUMMYFUNCTION("""COMPUTED_VALUE"""),0.0)</f>
        <v>0</v>
      </c>
      <c r="AO1956" s="82">
        <f>IFERROR(__xludf.DUMMYFUNCTION("""COMPUTED_VALUE"""),0.0)</f>
        <v>0</v>
      </c>
      <c r="AP1956" s="82">
        <f>IFERROR(__xludf.DUMMYFUNCTION("""COMPUTED_VALUE"""),0.0)</f>
        <v>0</v>
      </c>
      <c r="AQ1956" s="82">
        <f>IFERROR(__xludf.DUMMYFUNCTION("""COMPUTED_VALUE"""),0.0)</f>
        <v>0</v>
      </c>
      <c r="AR1956" s="82">
        <f>IFERROR(__xludf.DUMMYFUNCTION("""COMPUTED_VALUE"""),0.0)</f>
        <v>0</v>
      </c>
      <c r="AS1956" s="82"/>
      <c r="AT1956" s="82">
        <f>IFERROR(__xludf.DUMMYFUNCTION("""COMPUTED_VALUE"""),0.0)</f>
        <v>0</v>
      </c>
      <c r="AU1956" s="82"/>
      <c r="AV1956" s="82"/>
      <c r="AW1956" s="82" t="str">
        <f t="shared" si="1"/>
        <v/>
      </c>
      <c r="AX1956" s="83" t="str">
        <f t="array" ref="AX1956">IFERROR(DGET('SBV Import'!A:G,"SBV",{"RSC ID","Tier";B1956,A1956}))</f>
        <v/>
      </c>
      <c r="AY1956" s="82" t="str">
        <f t="shared" si="2"/>
        <v/>
      </c>
      <c r="AZ1956" s="82"/>
      <c r="BA1956" s="84" t="s">
        <v>152</v>
      </c>
      <c r="BB1956" s="84" t="str">
        <f>IFERROR(__xludf.DUMMYFUNCTION("iferror(if(A1956="""",,E1956&gt;=FILTER(Constants!$F$2:$F$10,Constants!$A$2:$A$10=A1956)))"),"")</f>
        <v/>
      </c>
    </row>
    <row r="1957">
      <c r="A1957" s="89"/>
      <c r="B1957" s="87"/>
      <c r="C1957" s="73"/>
      <c r="D1957" s="73"/>
      <c r="E1957" s="82"/>
      <c r="F1957" s="82"/>
      <c r="G1957" s="86"/>
      <c r="H1957" s="86"/>
      <c r="I1957" s="86"/>
      <c r="J1957" s="82"/>
      <c r="K1957" s="82"/>
      <c r="L1957" s="82"/>
      <c r="M1957" s="82"/>
      <c r="N1957" s="82"/>
      <c r="O1957" s="82"/>
      <c r="P1957" s="82"/>
      <c r="Q1957" s="82"/>
      <c r="R1957" s="82"/>
      <c r="S1957" s="82"/>
      <c r="T1957" s="82"/>
      <c r="U1957" s="82"/>
      <c r="V1957" s="82"/>
      <c r="W1957" s="82"/>
      <c r="X1957" s="82"/>
      <c r="Y1957" s="82"/>
      <c r="Z1957" s="82"/>
      <c r="AA1957" s="82"/>
      <c r="AB1957" s="82"/>
      <c r="AC1957" s="82"/>
      <c r="AD1957" s="82"/>
      <c r="AE1957" s="82"/>
      <c r="AF1957" s="82"/>
      <c r="AG1957" s="82"/>
      <c r="AH1957" s="82"/>
      <c r="AI1957" s="82"/>
      <c r="AJ1957" s="82"/>
      <c r="AK1957" s="82"/>
      <c r="AL1957" s="82"/>
      <c r="AM1957" s="82"/>
      <c r="AN1957" s="82">
        <f>IFERROR(__xludf.DUMMYFUNCTION("""COMPUTED_VALUE"""),0.0)</f>
        <v>0</v>
      </c>
      <c r="AO1957" s="82">
        <f>IFERROR(__xludf.DUMMYFUNCTION("""COMPUTED_VALUE"""),0.0)</f>
        <v>0</v>
      </c>
      <c r="AP1957" s="82">
        <f>IFERROR(__xludf.DUMMYFUNCTION("""COMPUTED_VALUE"""),0.0)</f>
        <v>0</v>
      </c>
      <c r="AQ1957" s="82">
        <f>IFERROR(__xludf.DUMMYFUNCTION("""COMPUTED_VALUE"""),0.0)</f>
        <v>0</v>
      </c>
      <c r="AR1957" s="82">
        <f>IFERROR(__xludf.DUMMYFUNCTION("""COMPUTED_VALUE"""),0.0)</f>
        <v>0</v>
      </c>
      <c r="AS1957" s="82"/>
      <c r="AT1957" s="82">
        <f>IFERROR(__xludf.DUMMYFUNCTION("""COMPUTED_VALUE"""),0.0)</f>
        <v>0</v>
      </c>
      <c r="AU1957" s="82"/>
      <c r="AV1957" s="82"/>
      <c r="AW1957" s="82" t="str">
        <f t="shared" si="1"/>
        <v/>
      </c>
      <c r="AX1957" s="83" t="str">
        <f t="array" ref="AX1957">IFERROR(DGET('SBV Import'!A:G,"SBV",{"RSC ID","Tier";B1957,A1957}))</f>
        <v/>
      </c>
      <c r="AY1957" s="82" t="str">
        <f t="shared" si="2"/>
        <v/>
      </c>
      <c r="AZ1957" s="82"/>
      <c r="BA1957" s="84" t="s">
        <v>152</v>
      </c>
      <c r="BB1957" s="84" t="str">
        <f>IFERROR(__xludf.DUMMYFUNCTION("iferror(if(A1957="""",,E1957&gt;=FILTER(Constants!$F$2:$F$10,Constants!$A$2:$A$10=A1957)))"),"")</f>
        <v/>
      </c>
    </row>
    <row r="1958">
      <c r="A1958" s="89"/>
      <c r="B1958" s="87"/>
      <c r="C1958" s="73"/>
      <c r="D1958" s="73"/>
      <c r="E1958" s="82"/>
      <c r="F1958" s="82"/>
      <c r="G1958" s="86"/>
      <c r="H1958" s="86"/>
      <c r="I1958" s="86"/>
      <c r="J1958" s="82"/>
      <c r="K1958" s="82"/>
      <c r="L1958" s="82"/>
      <c r="M1958" s="82"/>
      <c r="N1958" s="82"/>
      <c r="O1958" s="82"/>
      <c r="P1958" s="82"/>
      <c r="Q1958" s="82"/>
      <c r="R1958" s="82"/>
      <c r="S1958" s="82"/>
      <c r="T1958" s="82"/>
      <c r="U1958" s="82"/>
      <c r="V1958" s="82"/>
      <c r="W1958" s="82"/>
      <c r="X1958" s="82"/>
      <c r="Y1958" s="82"/>
      <c r="Z1958" s="82"/>
      <c r="AA1958" s="82"/>
      <c r="AB1958" s="82"/>
      <c r="AC1958" s="82"/>
      <c r="AD1958" s="82"/>
      <c r="AE1958" s="82"/>
      <c r="AF1958" s="82"/>
      <c r="AG1958" s="82"/>
      <c r="AH1958" s="82"/>
      <c r="AI1958" s="82"/>
      <c r="AJ1958" s="82"/>
      <c r="AK1958" s="82"/>
      <c r="AL1958" s="82"/>
      <c r="AM1958" s="82"/>
      <c r="AN1958" s="82">
        <f>IFERROR(__xludf.DUMMYFUNCTION("""COMPUTED_VALUE"""),0.0)</f>
        <v>0</v>
      </c>
      <c r="AO1958" s="82">
        <f>IFERROR(__xludf.DUMMYFUNCTION("""COMPUTED_VALUE"""),0.0)</f>
        <v>0</v>
      </c>
      <c r="AP1958" s="82">
        <f>IFERROR(__xludf.DUMMYFUNCTION("""COMPUTED_VALUE"""),0.0)</f>
        <v>0</v>
      </c>
      <c r="AQ1958" s="82">
        <f>IFERROR(__xludf.DUMMYFUNCTION("""COMPUTED_VALUE"""),0.0)</f>
        <v>0</v>
      </c>
      <c r="AR1958" s="82">
        <f>IFERROR(__xludf.DUMMYFUNCTION("""COMPUTED_VALUE"""),0.0)</f>
        <v>0</v>
      </c>
      <c r="AS1958" s="82"/>
      <c r="AT1958" s="82">
        <f>IFERROR(__xludf.DUMMYFUNCTION("""COMPUTED_VALUE"""),0.0)</f>
        <v>0</v>
      </c>
      <c r="AU1958" s="82"/>
      <c r="AV1958" s="82"/>
      <c r="AW1958" s="82" t="str">
        <f t="shared" si="1"/>
        <v/>
      </c>
      <c r="AX1958" s="83" t="str">
        <f t="array" ref="AX1958">IFERROR(DGET('SBV Import'!A:G,"SBV",{"RSC ID","Tier";B1958,A1958}))</f>
        <v/>
      </c>
      <c r="AY1958" s="82" t="str">
        <f t="shared" si="2"/>
        <v/>
      </c>
      <c r="AZ1958" s="82"/>
      <c r="BA1958" s="84" t="s">
        <v>152</v>
      </c>
      <c r="BB1958" s="84" t="str">
        <f>IFERROR(__xludf.DUMMYFUNCTION("iferror(if(A1958="""",,E1958&gt;=FILTER(Constants!$F$2:$F$10,Constants!$A$2:$A$10=A1958)))"),"")</f>
        <v/>
      </c>
    </row>
    <row r="1959">
      <c r="A1959" s="89"/>
      <c r="B1959" s="87"/>
      <c r="C1959" s="73"/>
      <c r="D1959" s="73"/>
      <c r="E1959" s="82"/>
      <c r="F1959" s="82"/>
      <c r="G1959" s="86"/>
      <c r="H1959" s="86"/>
      <c r="I1959" s="86"/>
      <c r="J1959" s="82"/>
      <c r="K1959" s="82"/>
      <c r="L1959" s="82"/>
      <c r="M1959" s="82"/>
      <c r="N1959" s="82"/>
      <c r="O1959" s="82"/>
      <c r="P1959" s="82"/>
      <c r="Q1959" s="82"/>
      <c r="R1959" s="82"/>
      <c r="S1959" s="82"/>
      <c r="T1959" s="82"/>
      <c r="U1959" s="82"/>
      <c r="V1959" s="82"/>
      <c r="W1959" s="82"/>
      <c r="X1959" s="82"/>
      <c r="Y1959" s="82"/>
      <c r="Z1959" s="82"/>
      <c r="AA1959" s="82"/>
      <c r="AB1959" s="82"/>
      <c r="AC1959" s="82"/>
      <c r="AD1959" s="82"/>
      <c r="AE1959" s="82"/>
      <c r="AF1959" s="82"/>
      <c r="AG1959" s="82"/>
      <c r="AH1959" s="82"/>
      <c r="AI1959" s="82"/>
      <c r="AJ1959" s="82"/>
      <c r="AK1959" s="82"/>
      <c r="AL1959" s="82"/>
      <c r="AM1959" s="82"/>
      <c r="AN1959" s="82">
        <f>IFERROR(__xludf.DUMMYFUNCTION("""COMPUTED_VALUE"""),0.0)</f>
        <v>0</v>
      </c>
      <c r="AO1959" s="82">
        <f>IFERROR(__xludf.DUMMYFUNCTION("""COMPUTED_VALUE"""),0.0)</f>
        <v>0</v>
      </c>
      <c r="AP1959" s="82">
        <f>IFERROR(__xludf.DUMMYFUNCTION("""COMPUTED_VALUE"""),0.0)</f>
        <v>0</v>
      </c>
      <c r="AQ1959" s="82">
        <f>IFERROR(__xludf.DUMMYFUNCTION("""COMPUTED_VALUE"""),0.0)</f>
        <v>0</v>
      </c>
      <c r="AR1959" s="82">
        <f>IFERROR(__xludf.DUMMYFUNCTION("""COMPUTED_VALUE"""),0.0)</f>
        <v>0</v>
      </c>
      <c r="AS1959" s="82"/>
      <c r="AT1959" s="82">
        <f>IFERROR(__xludf.DUMMYFUNCTION("""COMPUTED_VALUE"""),0.0)</f>
        <v>0</v>
      </c>
      <c r="AU1959" s="82"/>
      <c r="AV1959" s="82"/>
      <c r="AW1959" s="82" t="str">
        <f t="shared" si="1"/>
        <v/>
      </c>
      <c r="AX1959" s="83" t="str">
        <f t="array" ref="AX1959">IFERROR(DGET('SBV Import'!A:G,"SBV",{"RSC ID","Tier";B1959,A1959}))</f>
        <v/>
      </c>
      <c r="AY1959" s="82" t="str">
        <f t="shared" si="2"/>
        <v/>
      </c>
      <c r="AZ1959" s="82"/>
      <c r="BA1959" s="84" t="s">
        <v>152</v>
      </c>
      <c r="BB1959" s="84" t="str">
        <f>IFERROR(__xludf.DUMMYFUNCTION("iferror(if(A1959="""",,E1959&gt;=FILTER(Constants!$F$2:$F$10,Constants!$A$2:$A$10=A1959)))"),"")</f>
        <v/>
      </c>
    </row>
    <row r="1960">
      <c r="A1960" s="89"/>
      <c r="B1960" s="87"/>
      <c r="C1960" s="73"/>
      <c r="D1960" s="73"/>
      <c r="E1960" s="82"/>
      <c r="F1960" s="82"/>
      <c r="G1960" s="86"/>
      <c r="H1960" s="86"/>
      <c r="I1960" s="86"/>
      <c r="J1960" s="82"/>
      <c r="K1960" s="82"/>
      <c r="L1960" s="82"/>
      <c r="M1960" s="82"/>
      <c r="N1960" s="82"/>
      <c r="O1960" s="82"/>
      <c r="P1960" s="82"/>
      <c r="Q1960" s="82"/>
      <c r="R1960" s="82"/>
      <c r="S1960" s="82"/>
      <c r="T1960" s="82"/>
      <c r="U1960" s="82"/>
      <c r="V1960" s="82"/>
      <c r="W1960" s="82"/>
      <c r="X1960" s="82"/>
      <c r="Y1960" s="82"/>
      <c r="Z1960" s="82"/>
      <c r="AA1960" s="82"/>
      <c r="AB1960" s="82"/>
      <c r="AC1960" s="82"/>
      <c r="AD1960" s="82"/>
      <c r="AE1960" s="82"/>
      <c r="AF1960" s="82"/>
      <c r="AG1960" s="82"/>
      <c r="AH1960" s="82"/>
      <c r="AI1960" s="82"/>
      <c r="AJ1960" s="82"/>
      <c r="AK1960" s="82"/>
      <c r="AL1960" s="82"/>
      <c r="AM1960" s="82"/>
      <c r="AN1960" s="82">
        <f>IFERROR(__xludf.DUMMYFUNCTION("""COMPUTED_VALUE"""),0.0)</f>
        <v>0</v>
      </c>
      <c r="AO1960" s="82">
        <f>IFERROR(__xludf.DUMMYFUNCTION("""COMPUTED_VALUE"""),0.0)</f>
        <v>0</v>
      </c>
      <c r="AP1960" s="82">
        <f>IFERROR(__xludf.DUMMYFUNCTION("""COMPUTED_VALUE"""),0.0)</f>
        <v>0</v>
      </c>
      <c r="AQ1960" s="82">
        <f>IFERROR(__xludf.DUMMYFUNCTION("""COMPUTED_VALUE"""),0.0)</f>
        <v>0</v>
      </c>
      <c r="AR1960" s="82">
        <f>IFERROR(__xludf.DUMMYFUNCTION("""COMPUTED_VALUE"""),0.0)</f>
        <v>0</v>
      </c>
      <c r="AS1960" s="82"/>
      <c r="AT1960" s="82">
        <f>IFERROR(__xludf.DUMMYFUNCTION("""COMPUTED_VALUE"""),0.0)</f>
        <v>0</v>
      </c>
      <c r="AU1960" s="82"/>
      <c r="AV1960" s="82"/>
      <c r="AW1960" s="82" t="str">
        <f t="shared" si="1"/>
        <v/>
      </c>
      <c r="AX1960" s="83" t="str">
        <f t="array" ref="AX1960">IFERROR(DGET('SBV Import'!A:G,"SBV",{"RSC ID","Tier";B1960,A1960}))</f>
        <v/>
      </c>
      <c r="AY1960" s="82" t="str">
        <f t="shared" si="2"/>
        <v/>
      </c>
      <c r="AZ1960" s="82"/>
      <c r="BA1960" s="84" t="s">
        <v>152</v>
      </c>
      <c r="BB1960" s="84" t="str">
        <f>IFERROR(__xludf.DUMMYFUNCTION("iferror(if(A1960="""",,E1960&gt;=FILTER(Constants!$F$2:$F$10,Constants!$A$2:$A$10=A1960)))"),"")</f>
        <v/>
      </c>
    </row>
    <row r="1961">
      <c r="A1961" s="89"/>
      <c r="B1961" s="87"/>
      <c r="C1961" s="73"/>
      <c r="D1961" s="73"/>
      <c r="E1961" s="82"/>
      <c r="F1961" s="82"/>
      <c r="G1961" s="86"/>
      <c r="H1961" s="86"/>
      <c r="I1961" s="86"/>
      <c r="J1961" s="82"/>
      <c r="K1961" s="82"/>
      <c r="L1961" s="82"/>
      <c r="M1961" s="82"/>
      <c r="N1961" s="82"/>
      <c r="O1961" s="82"/>
      <c r="P1961" s="82"/>
      <c r="Q1961" s="82"/>
      <c r="R1961" s="82"/>
      <c r="S1961" s="82"/>
      <c r="T1961" s="82"/>
      <c r="U1961" s="82"/>
      <c r="V1961" s="82"/>
      <c r="W1961" s="82"/>
      <c r="X1961" s="82"/>
      <c r="Y1961" s="82"/>
      <c r="Z1961" s="82"/>
      <c r="AA1961" s="82"/>
      <c r="AB1961" s="82"/>
      <c r="AC1961" s="82"/>
      <c r="AD1961" s="82"/>
      <c r="AE1961" s="82"/>
      <c r="AF1961" s="82"/>
      <c r="AG1961" s="82"/>
      <c r="AH1961" s="82"/>
      <c r="AI1961" s="82"/>
      <c r="AJ1961" s="82"/>
      <c r="AK1961" s="82"/>
      <c r="AL1961" s="82"/>
      <c r="AM1961" s="82"/>
      <c r="AN1961" s="82">
        <f>IFERROR(__xludf.DUMMYFUNCTION("""COMPUTED_VALUE"""),0.0)</f>
        <v>0</v>
      </c>
      <c r="AO1961" s="82">
        <f>IFERROR(__xludf.DUMMYFUNCTION("""COMPUTED_VALUE"""),0.0)</f>
        <v>0</v>
      </c>
      <c r="AP1961" s="82">
        <f>IFERROR(__xludf.DUMMYFUNCTION("""COMPUTED_VALUE"""),0.0)</f>
        <v>0</v>
      </c>
      <c r="AQ1961" s="82">
        <f>IFERROR(__xludf.DUMMYFUNCTION("""COMPUTED_VALUE"""),0.0)</f>
        <v>0</v>
      </c>
      <c r="AR1961" s="82">
        <f>IFERROR(__xludf.DUMMYFUNCTION("""COMPUTED_VALUE"""),0.0)</f>
        <v>0</v>
      </c>
      <c r="AS1961" s="82"/>
      <c r="AT1961" s="82">
        <f>IFERROR(__xludf.DUMMYFUNCTION("""COMPUTED_VALUE"""),0.0)</f>
        <v>0</v>
      </c>
      <c r="AU1961" s="82"/>
      <c r="AV1961" s="82"/>
      <c r="AW1961" s="82" t="str">
        <f t="shared" si="1"/>
        <v/>
      </c>
      <c r="AX1961" s="83" t="str">
        <f t="array" ref="AX1961">IFERROR(DGET('SBV Import'!A:G,"SBV",{"RSC ID","Tier";B1961,A1961}))</f>
        <v/>
      </c>
      <c r="AY1961" s="82" t="str">
        <f t="shared" si="2"/>
        <v/>
      </c>
      <c r="AZ1961" s="82"/>
      <c r="BA1961" s="84" t="s">
        <v>152</v>
      </c>
      <c r="BB1961" s="84" t="str">
        <f>IFERROR(__xludf.DUMMYFUNCTION("iferror(if(A1961="""",,E1961&gt;=FILTER(Constants!$F$2:$F$10,Constants!$A$2:$A$10=A1961)))"),"")</f>
        <v/>
      </c>
    </row>
    <row r="1962">
      <c r="A1962" s="89"/>
      <c r="B1962" s="87"/>
      <c r="C1962" s="73"/>
      <c r="D1962" s="73"/>
      <c r="E1962" s="82"/>
      <c r="F1962" s="82"/>
      <c r="G1962" s="86"/>
      <c r="H1962" s="86"/>
      <c r="I1962" s="86"/>
      <c r="J1962" s="82"/>
      <c r="K1962" s="82"/>
      <c r="L1962" s="82"/>
      <c r="M1962" s="82"/>
      <c r="N1962" s="82"/>
      <c r="O1962" s="82"/>
      <c r="P1962" s="82"/>
      <c r="Q1962" s="82"/>
      <c r="R1962" s="82"/>
      <c r="S1962" s="82"/>
      <c r="T1962" s="82"/>
      <c r="U1962" s="82"/>
      <c r="V1962" s="82"/>
      <c r="W1962" s="82"/>
      <c r="X1962" s="82"/>
      <c r="Y1962" s="82"/>
      <c r="Z1962" s="82"/>
      <c r="AA1962" s="82"/>
      <c r="AB1962" s="82"/>
      <c r="AC1962" s="82"/>
      <c r="AD1962" s="82"/>
      <c r="AE1962" s="82"/>
      <c r="AF1962" s="82"/>
      <c r="AG1962" s="82"/>
      <c r="AH1962" s="82"/>
      <c r="AI1962" s="82"/>
      <c r="AJ1962" s="82"/>
      <c r="AK1962" s="82"/>
      <c r="AL1962" s="82"/>
      <c r="AM1962" s="82"/>
      <c r="AN1962" s="82">
        <f>IFERROR(__xludf.DUMMYFUNCTION("""COMPUTED_VALUE"""),0.0)</f>
        <v>0</v>
      </c>
      <c r="AO1962" s="82">
        <f>IFERROR(__xludf.DUMMYFUNCTION("""COMPUTED_VALUE"""),0.0)</f>
        <v>0</v>
      </c>
      <c r="AP1962" s="82">
        <f>IFERROR(__xludf.DUMMYFUNCTION("""COMPUTED_VALUE"""),0.0)</f>
        <v>0</v>
      </c>
      <c r="AQ1962" s="82">
        <f>IFERROR(__xludf.DUMMYFUNCTION("""COMPUTED_VALUE"""),0.0)</f>
        <v>0</v>
      </c>
      <c r="AR1962" s="82">
        <f>IFERROR(__xludf.DUMMYFUNCTION("""COMPUTED_VALUE"""),0.0)</f>
        <v>0</v>
      </c>
      <c r="AS1962" s="82"/>
      <c r="AT1962" s="82">
        <f>IFERROR(__xludf.DUMMYFUNCTION("""COMPUTED_VALUE"""),0.0)</f>
        <v>0</v>
      </c>
      <c r="AU1962" s="82"/>
      <c r="AV1962" s="82"/>
      <c r="AW1962" s="82" t="str">
        <f t="shared" si="1"/>
        <v/>
      </c>
      <c r="AX1962" s="83" t="str">
        <f t="array" ref="AX1962">IFERROR(DGET('SBV Import'!A:G,"SBV",{"RSC ID","Tier";B1962,A1962}))</f>
        <v/>
      </c>
      <c r="AY1962" s="82" t="str">
        <f t="shared" si="2"/>
        <v/>
      </c>
      <c r="AZ1962" s="82"/>
      <c r="BA1962" s="84" t="s">
        <v>152</v>
      </c>
      <c r="BB1962" s="84" t="str">
        <f>IFERROR(__xludf.DUMMYFUNCTION("iferror(if(A1962="""",,E1962&gt;=FILTER(Constants!$F$2:$F$10,Constants!$A$2:$A$10=A1962)))"),"")</f>
        <v/>
      </c>
    </row>
    <row r="1963">
      <c r="A1963" s="89"/>
      <c r="B1963" s="87"/>
      <c r="C1963" s="73"/>
      <c r="D1963" s="73"/>
      <c r="E1963" s="82"/>
      <c r="F1963" s="82"/>
      <c r="G1963" s="86"/>
      <c r="H1963" s="86"/>
      <c r="I1963" s="86"/>
      <c r="J1963" s="82"/>
      <c r="K1963" s="82"/>
      <c r="L1963" s="82"/>
      <c r="M1963" s="82"/>
      <c r="N1963" s="82"/>
      <c r="O1963" s="82"/>
      <c r="P1963" s="82"/>
      <c r="Q1963" s="82"/>
      <c r="R1963" s="82"/>
      <c r="S1963" s="82"/>
      <c r="T1963" s="82"/>
      <c r="U1963" s="82"/>
      <c r="V1963" s="82"/>
      <c r="W1963" s="82"/>
      <c r="X1963" s="82"/>
      <c r="Y1963" s="82"/>
      <c r="Z1963" s="82"/>
      <c r="AA1963" s="82"/>
      <c r="AB1963" s="82"/>
      <c r="AC1963" s="82"/>
      <c r="AD1963" s="82"/>
      <c r="AE1963" s="82"/>
      <c r="AF1963" s="82"/>
      <c r="AG1963" s="82"/>
      <c r="AH1963" s="82"/>
      <c r="AI1963" s="82"/>
      <c r="AJ1963" s="82"/>
      <c r="AK1963" s="82"/>
      <c r="AL1963" s="82"/>
      <c r="AM1963" s="82"/>
      <c r="AN1963" s="82">
        <f>IFERROR(__xludf.DUMMYFUNCTION("""COMPUTED_VALUE"""),0.0)</f>
        <v>0</v>
      </c>
      <c r="AO1963" s="82">
        <f>IFERROR(__xludf.DUMMYFUNCTION("""COMPUTED_VALUE"""),0.0)</f>
        <v>0</v>
      </c>
      <c r="AP1963" s="82">
        <f>IFERROR(__xludf.DUMMYFUNCTION("""COMPUTED_VALUE"""),0.0)</f>
        <v>0</v>
      </c>
      <c r="AQ1963" s="82">
        <f>IFERROR(__xludf.DUMMYFUNCTION("""COMPUTED_VALUE"""),0.0)</f>
        <v>0</v>
      </c>
      <c r="AR1963" s="82">
        <f>IFERROR(__xludf.DUMMYFUNCTION("""COMPUTED_VALUE"""),0.0)</f>
        <v>0</v>
      </c>
      <c r="AS1963" s="82"/>
      <c r="AT1963" s="82">
        <f>IFERROR(__xludf.DUMMYFUNCTION("""COMPUTED_VALUE"""),0.0)</f>
        <v>0</v>
      </c>
      <c r="AU1963" s="82"/>
      <c r="AV1963" s="82"/>
      <c r="AW1963" s="82" t="str">
        <f t="shared" si="1"/>
        <v/>
      </c>
      <c r="AX1963" s="83" t="str">
        <f t="array" ref="AX1963">IFERROR(DGET('SBV Import'!A:G,"SBV",{"RSC ID","Tier";B1963,A1963}))</f>
        <v/>
      </c>
      <c r="AY1963" s="82" t="str">
        <f t="shared" si="2"/>
        <v/>
      </c>
      <c r="AZ1963" s="82"/>
      <c r="BA1963" s="84" t="s">
        <v>152</v>
      </c>
      <c r="BB1963" s="84" t="str">
        <f>IFERROR(__xludf.DUMMYFUNCTION("iferror(if(A1963="""",,E1963&gt;=FILTER(Constants!$F$2:$F$10,Constants!$A$2:$A$10=A1963)))"),"")</f>
        <v/>
      </c>
    </row>
    <row r="1964">
      <c r="A1964" s="89"/>
      <c r="B1964" s="87"/>
      <c r="C1964" s="73"/>
      <c r="D1964" s="73"/>
      <c r="E1964" s="82"/>
      <c r="F1964" s="82"/>
      <c r="G1964" s="86"/>
      <c r="H1964" s="86"/>
      <c r="I1964" s="86"/>
      <c r="J1964" s="82"/>
      <c r="K1964" s="82"/>
      <c r="L1964" s="82"/>
      <c r="M1964" s="82"/>
      <c r="N1964" s="82"/>
      <c r="O1964" s="82"/>
      <c r="P1964" s="82"/>
      <c r="Q1964" s="82"/>
      <c r="R1964" s="82"/>
      <c r="S1964" s="82"/>
      <c r="T1964" s="82"/>
      <c r="U1964" s="82"/>
      <c r="V1964" s="82"/>
      <c r="W1964" s="82"/>
      <c r="X1964" s="82"/>
      <c r="Y1964" s="82"/>
      <c r="Z1964" s="82"/>
      <c r="AA1964" s="82"/>
      <c r="AB1964" s="82"/>
      <c r="AC1964" s="82"/>
      <c r="AD1964" s="82"/>
      <c r="AE1964" s="82"/>
      <c r="AF1964" s="82"/>
      <c r="AG1964" s="82"/>
      <c r="AH1964" s="82"/>
      <c r="AI1964" s="82"/>
      <c r="AJ1964" s="82"/>
      <c r="AK1964" s="82"/>
      <c r="AL1964" s="82"/>
      <c r="AM1964" s="82"/>
      <c r="AN1964" s="82">
        <f>IFERROR(__xludf.DUMMYFUNCTION("""COMPUTED_VALUE"""),0.0)</f>
        <v>0</v>
      </c>
      <c r="AO1964" s="82">
        <f>IFERROR(__xludf.DUMMYFUNCTION("""COMPUTED_VALUE"""),0.0)</f>
        <v>0</v>
      </c>
      <c r="AP1964" s="82">
        <f>IFERROR(__xludf.DUMMYFUNCTION("""COMPUTED_VALUE"""),0.0)</f>
        <v>0</v>
      </c>
      <c r="AQ1964" s="82">
        <f>IFERROR(__xludf.DUMMYFUNCTION("""COMPUTED_VALUE"""),0.0)</f>
        <v>0</v>
      </c>
      <c r="AR1964" s="82">
        <f>IFERROR(__xludf.DUMMYFUNCTION("""COMPUTED_VALUE"""),0.0)</f>
        <v>0</v>
      </c>
      <c r="AS1964" s="82"/>
      <c r="AT1964" s="82">
        <f>IFERROR(__xludf.DUMMYFUNCTION("""COMPUTED_VALUE"""),0.0)</f>
        <v>0</v>
      </c>
      <c r="AU1964" s="82"/>
      <c r="AV1964" s="82"/>
      <c r="AW1964" s="82" t="str">
        <f t="shared" si="1"/>
        <v/>
      </c>
      <c r="AX1964" s="83" t="str">
        <f t="array" ref="AX1964">IFERROR(DGET('SBV Import'!A:G,"SBV",{"RSC ID","Tier";B1964,A1964}))</f>
        <v/>
      </c>
      <c r="AY1964" s="82" t="str">
        <f t="shared" si="2"/>
        <v/>
      </c>
      <c r="AZ1964" s="82"/>
      <c r="BA1964" s="84" t="s">
        <v>152</v>
      </c>
      <c r="BB1964" s="84" t="str">
        <f>IFERROR(__xludf.DUMMYFUNCTION("iferror(if(A1964="""",,E1964&gt;=FILTER(Constants!$F$2:$F$10,Constants!$A$2:$A$10=A1964)))"),"")</f>
        <v/>
      </c>
    </row>
    <row r="1965">
      <c r="A1965" s="89"/>
      <c r="B1965" s="87"/>
      <c r="C1965" s="73"/>
      <c r="D1965" s="73"/>
      <c r="E1965" s="82"/>
      <c r="F1965" s="82"/>
      <c r="G1965" s="86"/>
      <c r="H1965" s="86"/>
      <c r="I1965" s="86"/>
      <c r="J1965" s="82"/>
      <c r="K1965" s="82"/>
      <c r="L1965" s="82"/>
      <c r="M1965" s="82"/>
      <c r="N1965" s="82"/>
      <c r="O1965" s="82"/>
      <c r="P1965" s="82"/>
      <c r="Q1965" s="82"/>
      <c r="R1965" s="82"/>
      <c r="S1965" s="82"/>
      <c r="T1965" s="82"/>
      <c r="U1965" s="82"/>
      <c r="V1965" s="82"/>
      <c r="W1965" s="82"/>
      <c r="X1965" s="82"/>
      <c r="Y1965" s="82"/>
      <c r="Z1965" s="82"/>
      <c r="AA1965" s="82"/>
      <c r="AB1965" s="82"/>
      <c r="AC1965" s="82"/>
      <c r="AD1965" s="82"/>
      <c r="AE1965" s="82"/>
      <c r="AF1965" s="82"/>
      <c r="AG1965" s="82"/>
      <c r="AH1965" s="82"/>
      <c r="AI1965" s="82"/>
      <c r="AJ1965" s="82"/>
      <c r="AK1965" s="82"/>
      <c r="AL1965" s="82"/>
      <c r="AM1965" s="82"/>
      <c r="AN1965" s="82">
        <f>IFERROR(__xludf.DUMMYFUNCTION("""COMPUTED_VALUE"""),0.0)</f>
        <v>0</v>
      </c>
      <c r="AO1965" s="82">
        <f>IFERROR(__xludf.DUMMYFUNCTION("""COMPUTED_VALUE"""),0.0)</f>
        <v>0</v>
      </c>
      <c r="AP1965" s="82">
        <f>IFERROR(__xludf.DUMMYFUNCTION("""COMPUTED_VALUE"""),0.0)</f>
        <v>0</v>
      </c>
      <c r="AQ1965" s="82">
        <f>IFERROR(__xludf.DUMMYFUNCTION("""COMPUTED_VALUE"""),0.0)</f>
        <v>0</v>
      </c>
      <c r="AR1965" s="82">
        <f>IFERROR(__xludf.DUMMYFUNCTION("""COMPUTED_VALUE"""),0.0)</f>
        <v>0</v>
      </c>
      <c r="AS1965" s="82"/>
      <c r="AT1965" s="82">
        <f>IFERROR(__xludf.DUMMYFUNCTION("""COMPUTED_VALUE"""),0.0)</f>
        <v>0</v>
      </c>
      <c r="AU1965" s="82"/>
      <c r="AV1965" s="82"/>
      <c r="AW1965" s="82" t="str">
        <f t="shared" si="1"/>
        <v/>
      </c>
      <c r="AX1965" s="83" t="str">
        <f t="array" ref="AX1965">IFERROR(DGET('SBV Import'!A:G,"SBV",{"RSC ID","Tier";B1965,A1965}))</f>
        <v/>
      </c>
      <c r="AY1965" s="82" t="str">
        <f t="shared" si="2"/>
        <v/>
      </c>
      <c r="AZ1965" s="82"/>
      <c r="BA1965" s="84" t="s">
        <v>152</v>
      </c>
      <c r="BB1965" s="84" t="str">
        <f>IFERROR(__xludf.DUMMYFUNCTION("iferror(if(A1965="""",,E1965&gt;=FILTER(Constants!$F$2:$F$10,Constants!$A$2:$A$10=A1965)))"),"")</f>
        <v/>
      </c>
    </row>
    <row r="1966">
      <c r="A1966" s="89"/>
      <c r="B1966" s="87"/>
      <c r="C1966" s="73"/>
      <c r="D1966" s="73"/>
      <c r="E1966" s="82"/>
      <c r="F1966" s="82"/>
      <c r="G1966" s="86"/>
      <c r="H1966" s="86"/>
      <c r="I1966" s="86"/>
      <c r="J1966" s="82"/>
      <c r="K1966" s="82"/>
      <c r="L1966" s="82"/>
      <c r="M1966" s="82"/>
      <c r="N1966" s="82"/>
      <c r="O1966" s="82"/>
      <c r="P1966" s="82"/>
      <c r="Q1966" s="82"/>
      <c r="R1966" s="82"/>
      <c r="S1966" s="82"/>
      <c r="T1966" s="82"/>
      <c r="U1966" s="82"/>
      <c r="V1966" s="82"/>
      <c r="W1966" s="82"/>
      <c r="X1966" s="82"/>
      <c r="Y1966" s="82"/>
      <c r="Z1966" s="82"/>
      <c r="AA1966" s="82"/>
      <c r="AB1966" s="82"/>
      <c r="AC1966" s="82"/>
      <c r="AD1966" s="82"/>
      <c r="AE1966" s="82"/>
      <c r="AF1966" s="82"/>
      <c r="AG1966" s="82"/>
      <c r="AH1966" s="82"/>
      <c r="AI1966" s="82"/>
      <c r="AJ1966" s="82"/>
      <c r="AK1966" s="82"/>
      <c r="AL1966" s="82"/>
      <c r="AM1966" s="82"/>
      <c r="AN1966" s="82">
        <f>IFERROR(__xludf.DUMMYFUNCTION("""COMPUTED_VALUE"""),0.0)</f>
        <v>0</v>
      </c>
      <c r="AO1966" s="82">
        <f>IFERROR(__xludf.DUMMYFUNCTION("""COMPUTED_VALUE"""),0.0)</f>
        <v>0</v>
      </c>
      <c r="AP1966" s="82">
        <f>IFERROR(__xludf.DUMMYFUNCTION("""COMPUTED_VALUE"""),0.0)</f>
        <v>0</v>
      </c>
      <c r="AQ1966" s="82">
        <f>IFERROR(__xludf.DUMMYFUNCTION("""COMPUTED_VALUE"""),0.0)</f>
        <v>0</v>
      </c>
      <c r="AR1966" s="82">
        <f>IFERROR(__xludf.DUMMYFUNCTION("""COMPUTED_VALUE"""),0.0)</f>
        <v>0</v>
      </c>
      <c r="AS1966" s="82"/>
      <c r="AT1966" s="82">
        <f>IFERROR(__xludf.DUMMYFUNCTION("""COMPUTED_VALUE"""),0.0)</f>
        <v>0</v>
      </c>
      <c r="AU1966" s="82"/>
      <c r="AV1966" s="82"/>
      <c r="AW1966" s="82" t="str">
        <f t="shared" si="1"/>
        <v/>
      </c>
      <c r="AX1966" s="83" t="str">
        <f t="array" ref="AX1966">IFERROR(DGET('SBV Import'!A:G,"SBV",{"RSC ID","Tier";B1966,A1966}))</f>
        <v/>
      </c>
      <c r="AY1966" s="82" t="str">
        <f t="shared" si="2"/>
        <v/>
      </c>
      <c r="AZ1966" s="82"/>
      <c r="BA1966" s="84" t="s">
        <v>152</v>
      </c>
      <c r="BB1966" s="84" t="str">
        <f>IFERROR(__xludf.DUMMYFUNCTION("iferror(if(A1966="""",,E1966&gt;=FILTER(Constants!$F$2:$F$10,Constants!$A$2:$A$10=A1966)))"),"")</f>
        <v/>
      </c>
    </row>
    <row r="1967">
      <c r="A1967" s="89"/>
      <c r="B1967" s="87"/>
      <c r="C1967" s="73"/>
      <c r="D1967" s="73"/>
      <c r="E1967" s="82"/>
      <c r="F1967" s="82"/>
      <c r="G1967" s="86"/>
      <c r="H1967" s="86"/>
      <c r="I1967" s="86"/>
      <c r="J1967" s="82"/>
      <c r="K1967" s="82"/>
      <c r="L1967" s="82"/>
      <c r="M1967" s="82"/>
      <c r="N1967" s="82"/>
      <c r="O1967" s="82"/>
      <c r="P1967" s="82"/>
      <c r="Q1967" s="82"/>
      <c r="R1967" s="82"/>
      <c r="S1967" s="82"/>
      <c r="T1967" s="82"/>
      <c r="U1967" s="82"/>
      <c r="V1967" s="82"/>
      <c r="W1967" s="82"/>
      <c r="X1967" s="82"/>
      <c r="Y1967" s="82"/>
      <c r="Z1967" s="82"/>
      <c r="AA1967" s="82"/>
      <c r="AB1967" s="82"/>
      <c r="AC1967" s="82"/>
      <c r="AD1967" s="82"/>
      <c r="AE1967" s="82"/>
      <c r="AF1967" s="82"/>
      <c r="AG1967" s="82"/>
      <c r="AH1967" s="82"/>
      <c r="AI1967" s="82"/>
      <c r="AJ1967" s="82"/>
      <c r="AK1967" s="82"/>
      <c r="AL1967" s="82"/>
      <c r="AM1967" s="82"/>
      <c r="AN1967" s="82">
        <f>IFERROR(__xludf.DUMMYFUNCTION("""COMPUTED_VALUE"""),0.0)</f>
        <v>0</v>
      </c>
      <c r="AO1967" s="82">
        <f>IFERROR(__xludf.DUMMYFUNCTION("""COMPUTED_VALUE"""),0.0)</f>
        <v>0</v>
      </c>
      <c r="AP1967" s="82">
        <f>IFERROR(__xludf.DUMMYFUNCTION("""COMPUTED_VALUE"""),0.0)</f>
        <v>0</v>
      </c>
      <c r="AQ1967" s="82">
        <f>IFERROR(__xludf.DUMMYFUNCTION("""COMPUTED_VALUE"""),0.0)</f>
        <v>0</v>
      </c>
      <c r="AR1967" s="82">
        <f>IFERROR(__xludf.DUMMYFUNCTION("""COMPUTED_VALUE"""),0.0)</f>
        <v>0</v>
      </c>
      <c r="AS1967" s="82"/>
      <c r="AT1967" s="82">
        <f>IFERROR(__xludf.DUMMYFUNCTION("""COMPUTED_VALUE"""),0.0)</f>
        <v>0</v>
      </c>
      <c r="AU1967" s="82"/>
      <c r="AV1967" s="82"/>
      <c r="AW1967" s="82" t="str">
        <f t="shared" si="1"/>
        <v/>
      </c>
      <c r="AX1967" s="83" t="str">
        <f t="array" ref="AX1967">IFERROR(DGET('SBV Import'!A:G,"SBV",{"RSC ID","Tier";B1967,A1967}))</f>
        <v/>
      </c>
      <c r="AY1967" s="82" t="str">
        <f t="shared" si="2"/>
        <v/>
      </c>
      <c r="AZ1967" s="82"/>
      <c r="BA1967" s="84" t="s">
        <v>152</v>
      </c>
      <c r="BB1967" s="84" t="str">
        <f>IFERROR(__xludf.DUMMYFUNCTION("iferror(if(A1967="""",,E1967&gt;=FILTER(Constants!$F$2:$F$10,Constants!$A$2:$A$10=A1967)))"),"")</f>
        <v/>
      </c>
    </row>
    <row r="1968">
      <c r="A1968" s="89"/>
      <c r="B1968" s="87"/>
      <c r="C1968" s="73"/>
      <c r="D1968" s="73"/>
      <c r="E1968" s="82"/>
      <c r="F1968" s="82"/>
      <c r="G1968" s="86"/>
      <c r="H1968" s="86"/>
      <c r="I1968" s="86"/>
      <c r="J1968" s="82"/>
      <c r="K1968" s="82"/>
      <c r="L1968" s="82"/>
      <c r="M1968" s="82"/>
      <c r="N1968" s="82"/>
      <c r="O1968" s="82"/>
      <c r="P1968" s="82"/>
      <c r="Q1968" s="82"/>
      <c r="R1968" s="82"/>
      <c r="S1968" s="82"/>
      <c r="T1968" s="82"/>
      <c r="U1968" s="82"/>
      <c r="V1968" s="82"/>
      <c r="W1968" s="82"/>
      <c r="X1968" s="82"/>
      <c r="Y1968" s="82"/>
      <c r="Z1968" s="82"/>
      <c r="AA1968" s="82"/>
      <c r="AB1968" s="82"/>
      <c r="AC1968" s="82"/>
      <c r="AD1968" s="82"/>
      <c r="AE1968" s="82"/>
      <c r="AF1968" s="82"/>
      <c r="AG1968" s="82"/>
      <c r="AH1968" s="82"/>
      <c r="AI1968" s="82"/>
      <c r="AJ1968" s="82"/>
      <c r="AK1968" s="82"/>
      <c r="AL1968" s="82"/>
      <c r="AM1968" s="82"/>
      <c r="AN1968" s="82">
        <f>IFERROR(__xludf.DUMMYFUNCTION("""COMPUTED_VALUE"""),0.0)</f>
        <v>0</v>
      </c>
      <c r="AO1968" s="82">
        <f>IFERROR(__xludf.DUMMYFUNCTION("""COMPUTED_VALUE"""),0.0)</f>
        <v>0</v>
      </c>
      <c r="AP1968" s="82">
        <f>IFERROR(__xludf.DUMMYFUNCTION("""COMPUTED_VALUE"""),0.0)</f>
        <v>0</v>
      </c>
      <c r="AQ1968" s="82">
        <f>IFERROR(__xludf.DUMMYFUNCTION("""COMPUTED_VALUE"""),0.0)</f>
        <v>0</v>
      </c>
      <c r="AR1968" s="82">
        <f>IFERROR(__xludf.DUMMYFUNCTION("""COMPUTED_VALUE"""),0.0)</f>
        <v>0</v>
      </c>
      <c r="AS1968" s="82"/>
      <c r="AT1968" s="82">
        <f>IFERROR(__xludf.DUMMYFUNCTION("""COMPUTED_VALUE"""),0.0)</f>
        <v>0</v>
      </c>
      <c r="AU1968" s="82"/>
      <c r="AV1968" s="82"/>
      <c r="AW1968" s="82" t="str">
        <f t="shared" si="1"/>
        <v/>
      </c>
      <c r="AX1968" s="83" t="str">
        <f t="array" ref="AX1968">IFERROR(DGET('SBV Import'!A:G,"SBV",{"RSC ID","Tier";B1968,A1968}))</f>
        <v/>
      </c>
      <c r="AY1968" s="82" t="str">
        <f t="shared" si="2"/>
        <v/>
      </c>
      <c r="AZ1968" s="82"/>
      <c r="BA1968" s="84" t="s">
        <v>152</v>
      </c>
      <c r="BB1968" s="84" t="str">
        <f>IFERROR(__xludf.DUMMYFUNCTION("iferror(if(A1968="""",,E1968&gt;=FILTER(Constants!$F$2:$F$10,Constants!$A$2:$A$10=A1968)))"),"")</f>
        <v/>
      </c>
    </row>
    <row r="1969">
      <c r="A1969" s="89"/>
      <c r="B1969" s="87"/>
      <c r="C1969" s="73"/>
      <c r="D1969" s="73"/>
      <c r="E1969" s="82"/>
      <c r="F1969" s="82"/>
      <c r="G1969" s="86"/>
      <c r="H1969" s="86"/>
      <c r="I1969" s="86"/>
      <c r="J1969" s="82"/>
      <c r="K1969" s="82"/>
      <c r="L1969" s="82"/>
      <c r="M1969" s="82"/>
      <c r="N1969" s="82"/>
      <c r="O1969" s="82"/>
      <c r="P1969" s="82"/>
      <c r="Q1969" s="82"/>
      <c r="R1969" s="82"/>
      <c r="S1969" s="82"/>
      <c r="T1969" s="82"/>
      <c r="U1969" s="82"/>
      <c r="V1969" s="82"/>
      <c r="W1969" s="82"/>
      <c r="X1969" s="82"/>
      <c r="Y1969" s="82"/>
      <c r="Z1969" s="82"/>
      <c r="AA1969" s="82"/>
      <c r="AB1969" s="82"/>
      <c r="AC1969" s="82"/>
      <c r="AD1969" s="82"/>
      <c r="AE1969" s="82"/>
      <c r="AF1969" s="82"/>
      <c r="AG1969" s="82"/>
      <c r="AH1969" s="82"/>
      <c r="AI1969" s="82"/>
      <c r="AJ1969" s="82"/>
      <c r="AK1969" s="82"/>
      <c r="AL1969" s="82"/>
      <c r="AM1969" s="82"/>
      <c r="AN1969" s="82">
        <f>IFERROR(__xludf.DUMMYFUNCTION("""COMPUTED_VALUE"""),0.0)</f>
        <v>0</v>
      </c>
      <c r="AO1969" s="82">
        <f>IFERROR(__xludf.DUMMYFUNCTION("""COMPUTED_VALUE"""),0.0)</f>
        <v>0</v>
      </c>
      <c r="AP1969" s="82">
        <f>IFERROR(__xludf.DUMMYFUNCTION("""COMPUTED_VALUE"""),0.0)</f>
        <v>0</v>
      </c>
      <c r="AQ1969" s="82">
        <f>IFERROR(__xludf.DUMMYFUNCTION("""COMPUTED_VALUE"""),0.0)</f>
        <v>0</v>
      </c>
      <c r="AR1969" s="82">
        <f>IFERROR(__xludf.DUMMYFUNCTION("""COMPUTED_VALUE"""),0.0)</f>
        <v>0</v>
      </c>
      <c r="AS1969" s="82"/>
      <c r="AT1969" s="82">
        <f>IFERROR(__xludf.DUMMYFUNCTION("""COMPUTED_VALUE"""),0.0)</f>
        <v>0</v>
      </c>
      <c r="AU1969" s="82"/>
      <c r="AV1969" s="82"/>
      <c r="AW1969" s="82" t="str">
        <f t="shared" si="1"/>
        <v/>
      </c>
      <c r="AX1969" s="83" t="str">
        <f t="array" ref="AX1969">IFERROR(DGET('SBV Import'!A:G,"SBV",{"RSC ID","Tier";B1969,A1969}))</f>
        <v/>
      </c>
      <c r="AY1969" s="82" t="str">
        <f t="shared" si="2"/>
        <v/>
      </c>
      <c r="AZ1969" s="82"/>
      <c r="BA1969" s="84" t="s">
        <v>152</v>
      </c>
      <c r="BB1969" s="84" t="str">
        <f>IFERROR(__xludf.DUMMYFUNCTION("iferror(if(A1969="""",,E1969&gt;=FILTER(Constants!$F$2:$F$10,Constants!$A$2:$A$10=A1969)))"),"")</f>
        <v/>
      </c>
    </row>
    <row r="1970">
      <c r="A1970" s="89"/>
      <c r="B1970" s="87"/>
      <c r="C1970" s="73"/>
      <c r="D1970" s="73"/>
      <c r="E1970" s="82"/>
      <c r="F1970" s="82"/>
      <c r="G1970" s="86"/>
      <c r="H1970" s="86"/>
      <c r="I1970" s="86"/>
      <c r="J1970" s="82"/>
      <c r="K1970" s="82"/>
      <c r="L1970" s="82"/>
      <c r="M1970" s="82"/>
      <c r="N1970" s="82"/>
      <c r="O1970" s="82"/>
      <c r="P1970" s="82"/>
      <c r="Q1970" s="82"/>
      <c r="R1970" s="82"/>
      <c r="S1970" s="82"/>
      <c r="T1970" s="82"/>
      <c r="U1970" s="82"/>
      <c r="V1970" s="82"/>
      <c r="W1970" s="82"/>
      <c r="X1970" s="82"/>
      <c r="Y1970" s="82"/>
      <c r="Z1970" s="82"/>
      <c r="AA1970" s="82"/>
      <c r="AB1970" s="82"/>
      <c r="AC1970" s="82"/>
      <c r="AD1970" s="82"/>
      <c r="AE1970" s="82"/>
      <c r="AF1970" s="82"/>
      <c r="AG1970" s="82"/>
      <c r="AH1970" s="82"/>
      <c r="AI1970" s="82"/>
      <c r="AJ1970" s="82"/>
      <c r="AK1970" s="82"/>
      <c r="AL1970" s="82"/>
      <c r="AM1970" s="82"/>
      <c r="AN1970" s="82">
        <f>IFERROR(__xludf.DUMMYFUNCTION("""COMPUTED_VALUE"""),0.0)</f>
        <v>0</v>
      </c>
      <c r="AO1970" s="82">
        <f>IFERROR(__xludf.DUMMYFUNCTION("""COMPUTED_VALUE"""),0.0)</f>
        <v>0</v>
      </c>
      <c r="AP1970" s="82">
        <f>IFERROR(__xludf.DUMMYFUNCTION("""COMPUTED_VALUE"""),0.0)</f>
        <v>0</v>
      </c>
      <c r="AQ1970" s="82">
        <f>IFERROR(__xludf.DUMMYFUNCTION("""COMPUTED_VALUE"""),0.0)</f>
        <v>0</v>
      </c>
      <c r="AR1970" s="82">
        <f>IFERROR(__xludf.DUMMYFUNCTION("""COMPUTED_VALUE"""),0.0)</f>
        <v>0</v>
      </c>
      <c r="AS1970" s="82"/>
      <c r="AT1970" s="82">
        <f>IFERROR(__xludf.DUMMYFUNCTION("""COMPUTED_VALUE"""),0.0)</f>
        <v>0</v>
      </c>
      <c r="AU1970" s="82"/>
      <c r="AV1970" s="82"/>
      <c r="AW1970" s="82" t="str">
        <f t="shared" si="1"/>
        <v/>
      </c>
      <c r="AX1970" s="83" t="str">
        <f t="array" ref="AX1970">IFERROR(DGET('SBV Import'!A:G,"SBV",{"RSC ID","Tier";B1970,A1970}))</f>
        <v/>
      </c>
      <c r="AY1970" s="82" t="str">
        <f t="shared" si="2"/>
        <v/>
      </c>
      <c r="AZ1970" s="82"/>
      <c r="BA1970" s="84" t="s">
        <v>152</v>
      </c>
      <c r="BB1970" s="84" t="str">
        <f>IFERROR(__xludf.DUMMYFUNCTION("iferror(if(A1970="""",,E1970&gt;=FILTER(Constants!$F$2:$F$10,Constants!$A$2:$A$10=A1970)))"),"")</f>
        <v/>
      </c>
    </row>
    <row r="1971">
      <c r="A1971" s="89"/>
      <c r="B1971" s="87"/>
      <c r="C1971" s="73"/>
      <c r="D1971" s="73"/>
      <c r="E1971" s="82"/>
      <c r="F1971" s="82"/>
      <c r="G1971" s="86"/>
      <c r="H1971" s="86"/>
      <c r="I1971" s="86"/>
      <c r="J1971" s="82"/>
      <c r="K1971" s="82"/>
      <c r="L1971" s="82"/>
      <c r="M1971" s="82"/>
      <c r="N1971" s="82"/>
      <c r="O1971" s="82"/>
      <c r="P1971" s="82"/>
      <c r="Q1971" s="82"/>
      <c r="R1971" s="82"/>
      <c r="S1971" s="82"/>
      <c r="T1971" s="82"/>
      <c r="U1971" s="82"/>
      <c r="V1971" s="82"/>
      <c r="W1971" s="82"/>
      <c r="X1971" s="82"/>
      <c r="Y1971" s="82"/>
      <c r="Z1971" s="82"/>
      <c r="AA1971" s="82"/>
      <c r="AB1971" s="82"/>
      <c r="AC1971" s="82"/>
      <c r="AD1971" s="82"/>
      <c r="AE1971" s="82"/>
      <c r="AF1971" s="82"/>
      <c r="AG1971" s="82"/>
      <c r="AH1971" s="82"/>
      <c r="AI1971" s="82"/>
      <c r="AJ1971" s="82"/>
      <c r="AK1971" s="82"/>
      <c r="AL1971" s="82"/>
      <c r="AM1971" s="82"/>
      <c r="AN1971" s="82">
        <f>IFERROR(__xludf.DUMMYFUNCTION("""COMPUTED_VALUE"""),0.0)</f>
        <v>0</v>
      </c>
      <c r="AO1971" s="82">
        <f>IFERROR(__xludf.DUMMYFUNCTION("""COMPUTED_VALUE"""),0.0)</f>
        <v>0</v>
      </c>
      <c r="AP1971" s="82">
        <f>IFERROR(__xludf.DUMMYFUNCTION("""COMPUTED_VALUE"""),0.0)</f>
        <v>0</v>
      </c>
      <c r="AQ1971" s="82">
        <f>IFERROR(__xludf.DUMMYFUNCTION("""COMPUTED_VALUE"""),0.0)</f>
        <v>0</v>
      </c>
      <c r="AR1971" s="82">
        <f>IFERROR(__xludf.DUMMYFUNCTION("""COMPUTED_VALUE"""),0.0)</f>
        <v>0</v>
      </c>
      <c r="AS1971" s="82"/>
      <c r="AT1971" s="82">
        <f>IFERROR(__xludf.DUMMYFUNCTION("""COMPUTED_VALUE"""),0.0)</f>
        <v>0</v>
      </c>
      <c r="AU1971" s="82"/>
      <c r="AV1971" s="82"/>
      <c r="AW1971" s="82" t="str">
        <f t="shared" si="1"/>
        <v/>
      </c>
      <c r="AX1971" s="83" t="str">
        <f t="array" ref="AX1971">IFERROR(DGET('SBV Import'!A:G,"SBV",{"RSC ID","Tier";B1971,A1971}))</f>
        <v/>
      </c>
      <c r="AY1971" s="82" t="str">
        <f t="shared" si="2"/>
        <v/>
      </c>
      <c r="AZ1971" s="82"/>
      <c r="BA1971" s="84" t="s">
        <v>152</v>
      </c>
      <c r="BB1971" s="84" t="str">
        <f>IFERROR(__xludf.DUMMYFUNCTION("iferror(if(A1971="""",,E1971&gt;=FILTER(Constants!$F$2:$F$10,Constants!$A$2:$A$10=A1971)))"),"")</f>
        <v/>
      </c>
    </row>
    <row r="1972">
      <c r="A1972" s="89"/>
      <c r="B1972" s="87"/>
      <c r="C1972" s="73"/>
      <c r="D1972" s="73"/>
      <c r="E1972" s="82"/>
      <c r="F1972" s="82"/>
      <c r="G1972" s="86"/>
      <c r="H1972" s="86"/>
      <c r="I1972" s="86"/>
      <c r="J1972" s="82"/>
      <c r="K1972" s="82"/>
      <c r="L1972" s="82"/>
      <c r="M1972" s="82"/>
      <c r="N1972" s="82"/>
      <c r="O1972" s="82"/>
      <c r="P1972" s="82"/>
      <c r="Q1972" s="82"/>
      <c r="R1972" s="82"/>
      <c r="S1972" s="82"/>
      <c r="T1972" s="82"/>
      <c r="U1972" s="82"/>
      <c r="V1972" s="82"/>
      <c r="W1972" s="82"/>
      <c r="X1972" s="82"/>
      <c r="Y1972" s="82"/>
      <c r="Z1972" s="82"/>
      <c r="AA1972" s="82"/>
      <c r="AB1972" s="82"/>
      <c r="AC1972" s="82"/>
      <c r="AD1972" s="82"/>
      <c r="AE1972" s="82"/>
      <c r="AF1972" s="82"/>
      <c r="AG1972" s="82"/>
      <c r="AH1972" s="82"/>
      <c r="AI1972" s="82"/>
      <c r="AJ1972" s="82"/>
      <c r="AK1972" s="82"/>
      <c r="AL1972" s="82"/>
      <c r="AM1972" s="82"/>
      <c r="AN1972" s="82">
        <f>IFERROR(__xludf.DUMMYFUNCTION("""COMPUTED_VALUE"""),0.0)</f>
        <v>0</v>
      </c>
      <c r="AO1972" s="82">
        <f>IFERROR(__xludf.DUMMYFUNCTION("""COMPUTED_VALUE"""),0.0)</f>
        <v>0</v>
      </c>
      <c r="AP1972" s="82">
        <f>IFERROR(__xludf.DUMMYFUNCTION("""COMPUTED_VALUE"""),0.0)</f>
        <v>0</v>
      </c>
      <c r="AQ1972" s="82">
        <f>IFERROR(__xludf.DUMMYFUNCTION("""COMPUTED_VALUE"""),0.0)</f>
        <v>0</v>
      </c>
      <c r="AR1972" s="82">
        <f>IFERROR(__xludf.DUMMYFUNCTION("""COMPUTED_VALUE"""),0.0)</f>
        <v>0</v>
      </c>
      <c r="AS1972" s="82"/>
      <c r="AT1972" s="82">
        <f>IFERROR(__xludf.DUMMYFUNCTION("""COMPUTED_VALUE"""),0.0)</f>
        <v>0</v>
      </c>
      <c r="AU1972" s="82"/>
      <c r="AV1972" s="82"/>
      <c r="AW1972" s="82" t="str">
        <f t="shared" si="1"/>
        <v/>
      </c>
      <c r="AX1972" s="83" t="str">
        <f t="array" ref="AX1972">IFERROR(DGET('SBV Import'!A:G,"SBV",{"RSC ID","Tier";B1972,A1972}))</f>
        <v/>
      </c>
      <c r="AY1972" s="82" t="str">
        <f t="shared" si="2"/>
        <v/>
      </c>
      <c r="AZ1972" s="82"/>
      <c r="BA1972" s="84" t="s">
        <v>152</v>
      </c>
      <c r="BB1972" s="84" t="str">
        <f>IFERROR(__xludf.DUMMYFUNCTION("iferror(if(A1972="""",,E1972&gt;=FILTER(Constants!$F$2:$F$10,Constants!$A$2:$A$10=A1972)))"),"")</f>
        <v/>
      </c>
    </row>
    <row r="1973">
      <c r="A1973" s="89"/>
      <c r="B1973" s="87"/>
      <c r="C1973" s="73"/>
      <c r="D1973" s="73"/>
      <c r="E1973" s="82"/>
      <c r="F1973" s="82"/>
      <c r="G1973" s="86"/>
      <c r="H1973" s="86"/>
      <c r="I1973" s="86"/>
      <c r="J1973" s="82"/>
      <c r="K1973" s="82"/>
      <c r="L1973" s="82"/>
      <c r="M1973" s="82"/>
      <c r="N1973" s="82"/>
      <c r="O1973" s="82"/>
      <c r="P1973" s="82"/>
      <c r="Q1973" s="82"/>
      <c r="R1973" s="82"/>
      <c r="S1973" s="82"/>
      <c r="T1973" s="82"/>
      <c r="U1973" s="82"/>
      <c r="V1973" s="82"/>
      <c r="W1973" s="82"/>
      <c r="X1973" s="82"/>
      <c r="Y1973" s="82"/>
      <c r="Z1973" s="82"/>
      <c r="AA1973" s="82"/>
      <c r="AB1973" s="82"/>
      <c r="AC1973" s="82"/>
      <c r="AD1973" s="82"/>
      <c r="AE1973" s="82"/>
      <c r="AF1973" s="82"/>
      <c r="AG1973" s="82"/>
      <c r="AH1973" s="82"/>
      <c r="AI1973" s="82"/>
      <c r="AJ1973" s="82"/>
      <c r="AK1973" s="82"/>
      <c r="AL1973" s="82"/>
      <c r="AM1973" s="82"/>
      <c r="AN1973" s="82">
        <f>IFERROR(__xludf.DUMMYFUNCTION("""COMPUTED_VALUE"""),0.0)</f>
        <v>0</v>
      </c>
      <c r="AO1973" s="82">
        <f>IFERROR(__xludf.DUMMYFUNCTION("""COMPUTED_VALUE"""),0.0)</f>
        <v>0</v>
      </c>
      <c r="AP1973" s="82">
        <f>IFERROR(__xludf.DUMMYFUNCTION("""COMPUTED_VALUE"""),0.0)</f>
        <v>0</v>
      </c>
      <c r="AQ1973" s="82">
        <f>IFERROR(__xludf.DUMMYFUNCTION("""COMPUTED_VALUE"""),0.0)</f>
        <v>0</v>
      </c>
      <c r="AR1973" s="82">
        <f>IFERROR(__xludf.DUMMYFUNCTION("""COMPUTED_VALUE"""),0.0)</f>
        <v>0</v>
      </c>
      <c r="AS1973" s="82"/>
      <c r="AT1973" s="82">
        <f>IFERROR(__xludf.DUMMYFUNCTION("""COMPUTED_VALUE"""),0.0)</f>
        <v>0</v>
      </c>
      <c r="AU1973" s="82"/>
      <c r="AV1973" s="82"/>
      <c r="AW1973" s="82" t="str">
        <f t="shared" si="1"/>
        <v/>
      </c>
      <c r="AX1973" s="83" t="str">
        <f t="array" ref="AX1973">IFERROR(DGET('SBV Import'!A:G,"SBV",{"RSC ID","Tier";B1973,A1973}))</f>
        <v/>
      </c>
      <c r="AY1973" s="82" t="str">
        <f t="shared" si="2"/>
        <v/>
      </c>
      <c r="AZ1973" s="82"/>
      <c r="BA1973" s="84" t="s">
        <v>152</v>
      </c>
      <c r="BB1973" s="84" t="str">
        <f>IFERROR(__xludf.DUMMYFUNCTION("iferror(if(A1973="""",,E1973&gt;=FILTER(Constants!$F$2:$F$10,Constants!$A$2:$A$10=A1973)))"),"")</f>
        <v/>
      </c>
    </row>
    <row r="1974">
      <c r="A1974" s="89"/>
      <c r="B1974" s="87"/>
      <c r="C1974" s="73"/>
      <c r="D1974" s="73"/>
      <c r="E1974" s="82"/>
      <c r="F1974" s="82"/>
      <c r="G1974" s="86"/>
      <c r="H1974" s="86"/>
      <c r="I1974" s="86"/>
      <c r="J1974" s="82"/>
      <c r="K1974" s="82"/>
      <c r="L1974" s="82"/>
      <c r="M1974" s="82"/>
      <c r="N1974" s="82"/>
      <c r="O1974" s="82"/>
      <c r="P1974" s="82"/>
      <c r="Q1974" s="82"/>
      <c r="R1974" s="82"/>
      <c r="S1974" s="82"/>
      <c r="T1974" s="82"/>
      <c r="U1974" s="82"/>
      <c r="V1974" s="82"/>
      <c r="W1974" s="82"/>
      <c r="X1974" s="82"/>
      <c r="Y1974" s="82"/>
      <c r="Z1974" s="82"/>
      <c r="AA1974" s="82"/>
      <c r="AB1974" s="82"/>
      <c r="AC1974" s="82"/>
      <c r="AD1974" s="82"/>
      <c r="AE1974" s="82"/>
      <c r="AF1974" s="82"/>
      <c r="AG1974" s="82"/>
      <c r="AH1974" s="82"/>
      <c r="AI1974" s="82"/>
      <c r="AJ1974" s="82"/>
      <c r="AK1974" s="82"/>
      <c r="AL1974" s="82"/>
      <c r="AM1974" s="82"/>
      <c r="AN1974" s="82">
        <f>IFERROR(__xludf.DUMMYFUNCTION("""COMPUTED_VALUE"""),0.0)</f>
        <v>0</v>
      </c>
      <c r="AO1974" s="82">
        <f>IFERROR(__xludf.DUMMYFUNCTION("""COMPUTED_VALUE"""),0.0)</f>
        <v>0</v>
      </c>
      <c r="AP1974" s="82">
        <f>IFERROR(__xludf.DUMMYFUNCTION("""COMPUTED_VALUE"""),0.0)</f>
        <v>0</v>
      </c>
      <c r="AQ1974" s="82">
        <f>IFERROR(__xludf.DUMMYFUNCTION("""COMPUTED_VALUE"""),0.0)</f>
        <v>0</v>
      </c>
      <c r="AR1974" s="82">
        <f>IFERROR(__xludf.DUMMYFUNCTION("""COMPUTED_VALUE"""),0.0)</f>
        <v>0</v>
      </c>
      <c r="AS1974" s="82"/>
      <c r="AT1974" s="82">
        <f>IFERROR(__xludf.DUMMYFUNCTION("""COMPUTED_VALUE"""),0.0)</f>
        <v>0</v>
      </c>
      <c r="AU1974" s="82"/>
      <c r="AV1974" s="82"/>
      <c r="AW1974" s="82" t="str">
        <f t="shared" si="1"/>
        <v/>
      </c>
      <c r="AX1974" s="83" t="str">
        <f t="array" ref="AX1974">IFERROR(DGET('SBV Import'!A:G,"SBV",{"RSC ID","Tier";B1974,A1974}))</f>
        <v/>
      </c>
      <c r="AY1974" s="82" t="str">
        <f t="shared" si="2"/>
        <v/>
      </c>
      <c r="AZ1974" s="82"/>
      <c r="BA1974" s="84" t="s">
        <v>152</v>
      </c>
      <c r="BB1974" s="84" t="str">
        <f>IFERROR(__xludf.DUMMYFUNCTION("iferror(if(A1974="""",,E1974&gt;=FILTER(Constants!$F$2:$F$10,Constants!$A$2:$A$10=A1974)))"),"")</f>
        <v/>
      </c>
    </row>
    <row r="1975">
      <c r="A1975" s="89"/>
      <c r="B1975" s="87"/>
      <c r="C1975" s="73"/>
      <c r="D1975" s="73"/>
      <c r="E1975" s="82"/>
      <c r="F1975" s="82"/>
      <c r="G1975" s="86"/>
      <c r="H1975" s="86"/>
      <c r="I1975" s="86"/>
      <c r="J1975" s="82"/>
      <c r="K1975" s="82"/>
      <c r="L1975" s="82"/>
      <c r="M1975" s="82"/>
      <c r="N1975" s="82"/>
      <c r="O1975" s="82"/>
      <c r="P1975" s="82"/>
      <c r="Q1975" s="82"/>
      <c r="R1975" s="82"/>
      <c r="S1975" s="82"/>
      <c r="T1975" s="82"/>
      <c r="U1975" s="82"/>
      <c r="V1975" s="82"/>
      <c r="W1975" s="82"/>
      <c r="X1975" s="82"/>
      <c r="Y1975" s="82"/>
      <c r="Z1975" s="82"/>
      <c r="AA1975" s="82"/>
      <c r="AB1975" s="82"/>
      <c r="AC1975" s="82"/>
      <c r="AD1975" s="82"/>
      <c r="AE1975" s="82"/>
      <c r="AF1975" s="82"/>
      <c r="AG1975" s="82"/>
      <c r="AH1975" s="82"/>
      <c r="AI1975" s="82"/>
      <c r="AJ1975" s="82"/>
      <c r="AK1975" s="82"/>
      <c r="AL1975" s="82"/>
      <c r="AM1975" s="82"/>
      <c r="AN1975" s="82">
        <f>IFERROR(__xludf.DUMMYFUNCTION("""COMPUTED_VALUE"""),0.0)</f>
        <v>0</v>
      </c>
      <c r="AO1975" s="82">
        <f>IFERROR(__xludf.DUMMYFUNCTION("""COMPUTED_VALUE"""),0.0)</f>
        <v>0</v>
      </c>
      <c r="AP1975" s="82">
        <f>IFERROR(__xludf.DUMMYFUNCTION("""COMPUTED_VALUE"""),0.0)</f>
        <v>0</v>
      </c>
      <c r="AQ1975" s="82">
        <f>IFERROR(__xludf.DUMMYFUNCTION("""COMPUTED_VALUE"""),0.0)</f>
        <v>0</v>
      </c>
      <c r="AR1975" s="82">
        <f>IFERROR(__xludf.DUMMYFUNCTION("""COMPUTED_VALUE"""),0.0)</f>
        <v>0</v>
      </c>
      <c r="AS1975" s="82"/>
      <c r="AT1975" s="82">
        <f>IFERROR(__xludf.DUMMYFUNCTION("""COMPUTED_VALUE"""),0.0)</f>
        <v>0</v>
      </c>
      <c r="AU1975" s="82"/>
      <c r="AV1975" s="82"/>
      <c r="AW1975" s="82" t="str">
        <f t="shared" si="1"/>
        <v/>
      </c>
      <c r="AX1975" s="83" t="str">
        <f t="array" ref="AX1975">IFERROR(DGET('SBV Import'!A:G,"SBV",{"RSC ID","Tier";B1975,A1975}))</f>
        <v/>
      </c>
      <c r="AY1975" s="82" t="str">
        <f t="shared" si="2"/>
        <v/>
      </c>
      <c r="AZ1975" s="82"/>
      <c r="BA1975" s="84" t="s">
        <v>152</v>
      </c>
      <c r="BB1975" s="84" t="str">
        <f>IFERROR(__xludf.DUMMYFUNCTION("iferror(if(A1975="""",,E1975&gt;=FILTER(Constants!$F$2:$F$10,Constants!$A$2:$A$10=A1975)))"),"")</f>
        <v/>
      </c>
    </row>
    <row r="1976">
      <c r="A1976" s="89"/>
      <c r="B1976" s="87"/>
      <c r="C1976" s="73"/>
      <c r="D1976" s="73"/>
      <c r="E1976" s="82"/>
      <c r="F1976" s="82"/>
      <c r="G1976" s="86"/>
      <c r="H1976" s="86"/>
      <c r="I1976" s="86"/>
      <c r="J1976" s="82"/>
      <c r="K1976" s="82"/>
      <c r="L1976" s="82"/>
      <c r="M1976" s="82"/>
      <c r="N1976" s="82"/>
      <c r="O1976" s="82"/>
      <c r="P1976" s="82"/>
      <c r="Q1976" s="82"/>
      <c r="R1976" s="82"/>
      <c r="S1976" s="82"/>
      <c r="T1976" s="82"/>
      <c r="U1976" s="82"/>
      <c r="V1976" s="82"/>
      <c r="W1976" s="82"/>
      <c r="X1976" s="82"/>
      <c r="Y1976" s="82"/>
      <c r="Z1976" s="82"/>
      <c r="AA1976" s="82"/>
      <c r="AB1976" s="82"/>
      <c r="AC1976" s="82"/>
      <c r="AD1976" s="82"/>
      <c r="AE1976" s="82"/>
      <c r="AF1976" s="82"/>
      <c r="AG1976" s="82"/>
      <c r="AH1976" s="82"/>
      <c r="AI1976" s="82"/>
      <c r="AJ1976" s="82"/>
      <c r="AK1976" s="82"/>
      <c r="AL1976" s="82"/>
      <c r="AM1976" s="82"/>
      <c r="AN1976" s="82">
        <f>IFERROR(__xludf.DUMMYFUNCTION("""COMPUTED_VALUE"""),0.0)</f>
        <v>0</v>
      </c>
      <c r="AO1976" s="82">
        <f>IFERROR(__xludf.DUMMYFUNCTION("""COMPUTED_VALUE"""),0.0)</f>
        <v>0</v>
      </c>
      <c r="AP1976" s="82">
        <f>IFERROR(__xludf.DUMMYFUNCTION("""COMPUTED_VALUE"""),0.0)</f>
        <v>0</v>
      </c>
      <c r="AQ1976" s="82">
        <f>IFERROR(__xludf.DUMMYFUNCTION("""COMPUTED_VALUE"""),0.0)</f>
        <v>0</v>
      </c>
      <c r="AR1976" s="82">
        <f>IFERROR(__xludf.DUMMYFUNCTION("""COMPUTED_VALUE"""),0.0)</f>
        <v>0</v>
      </c>
      <c r="AS1976" s="82"/>
      <c r="AT1976" s="82">
        <f>IFERROR(__xludf.DUMMYFUNCTION("""COMPUTED_VALUE"""),0.0)</f>
        <v>0</v>
      </c>
      <c r="AU1976" s="82"/>
      <c r="AV1976" s="82"/>
      <c r="AW1976" s="82" t="str">
        <f t="shared" si="1"/>
        <v/>
      </c>
      <c r="AX1976" s="83" t="str">
        <f t="array" ref="AX1976">IFERROR(DGET('SBV Import'!A:G,"SBV",{"RSC ID","Tier";B1976,A1976}))</f>
        <v/>
      </c>
      <c r="AY1976" s="82" t="str">
        <f t="shared" si="2"/>
        <v/>
      </c>
      <c r="AZ1976" s="82"/>
      <c r="BA1976" s="84" t="s">
        <v>152</v>
      </c>
      <c r="BB1976" s="84" t="str">
        <f>IFERROR(__xludf.DUMMYFUNCTION("iferror(if(A1976="""",,E1976&gt;=FILTER(Constants!$F$2:$F$10,Constants!$A$2:$A$10=A1976)))"),"")</f>
        <v/>
      </c>
    </row>
    <row r="1977">
      <c r="A1977" s="89"/>
      <c r="B1977" s="87"/>
      <c r="C1977" s="73"/>
      <c r="D1977" s="73"/>
      <c r="E1977" s="82"/>
      <c r="F1977" s="82"/>
      <c r="G1977" s="86"/>
      <c r="H1977" s="86"/>
      <c r="I1977" s="86"/>
      <c r="J1977" s="82"/>
      <c r="K1977" s="82"/>
      <c r="L1977" s="82"/>
      <c r="M1977" s="82"/>
      <c r="N1977" s="82"/>
      <c r="O1977" s="82"/>
      <c r="P1977" s="82"/>
      <c r="Q1977" s="82"/>
      <c r="R1977" s="82"/>
      <c r="S1977" s="82"/>
      <c r="T1977" s="82"/>
      <c r="U1977" s="82"/>
      <c r="V1977" s="82"/>
      <c r="W1977" s="82"/>
      <c r="X1977" s="82"/>
      <c r="Y1977" s="82"/>
      <c r="Z1977" s="82"/>
      <c r="AA1977" s="82"/>
      <c r="AB1977" s="82"/>
      <c r="AC1977" s="82"/>
      <c r="AD1977" s="82"/>
      <c r="AE1977" s="82"/>
      <c r="AF1977" s="82"/>
      <c r="AG1977" s="82"/>
      <c r="AH1977" s="82"/>
      <c r="AI1977" s="82"/>
      <c r="AJ1977" s="82"/>
      <c r="AK1977" s="82"/>
      <c r="AL1977" s="82"/>
      <c r="AM1977" s="82"/>
      <c r="AN1977" s="82">
        <f>IFERROR(__xludf.DUMMYFUNCTION("""COMPUTED_VALUE"""),0.0)</f>
        <v>0</v>
      </c>
      <c r="AO1977" s="82">
        <f>IFERROR(__xludf.DUMMYFUNCTION("""COMPUTED_VALUE"""),0.0)</f>
        <v>0</v>
      </c>
      <c r="AP1977" s="82">
        <f>IFERROR(__xludf.DUMMYFUNCTION("""COMPUTED_VALUE"""),0.0)</f>
        <v>0</v>
      </c>
      <c r="AQ1977" s="82">
        <f>IFERROR(__xludf.DUMMYFUNCTION("""COMPUTED_VALUE"""),0.0)</f>
        <v>0</v>
      </c>
      <c r="AR1977" s="82">
        <f>IFERROR(__xludf.DUMMYFUNCTION("""COMPUTED_VALUE"""),0.0)</f>
        <v>0</v>
      </c>
      <c r="AS1977" s="82"/>
      <c r="AT1977" s="82">
        <f>IFERROR(__xludf.DUMMYFUNCTION("""COMPUTED_VALUE"""),0.0)</f>
        <v>0</v>
      </c>
      <c r="AU1977" s="82"/>
      <c r="AV1977" s="82"/>
      <c r="AW1977" s="82" t="str">
        <f t="shared" si="1"/>
        <v/>
      </c>
      <c r="AX1977" s="83" t="str">
        <f t="array" ref="AX1977">IFERROR(DGET('SBV Import'!A:G,"SBV",{"RSC ID","Tier";B1977,A1977}))</f>
        <v/>
      </c>
      <c r="AY1977" s="82" t="str">
        <f t="shared" si="2"/>
        <v/>
      </c>
      <c r="AZ1977" s="82"/>
      <c r="BA1977" s="84" t="s">
        <v>152</v>
      </c>
      <c r="BB1977" s="84" t="str">
        <f>IFERROR(__xludf.DUMMYFUNCTION("iferror(if(A1977="""",,E1977&gt;=FILTER(Constants!$F$2:$F$10,Constants!$A$2:$A$10=A1977)))"),"")</f>
        <v/>
      </c>
    </row>
    <row r="1978">
      <c r="A1978" s="89"/>
      <c r="B1978" s="87"/>
      <c r="C1978" s="73"/>
      <c r="D1978" s="73"/>
      <c r="E1978" s="82"/>
      <c r="F1978" s="82"/>
      <c r="G1978" s="86"/>
      <c r="H1978" s="86"/>
      <c r="I1978" s="86"/>
      <c r="J1978" s="82"/>
      <c r="K1978" s="82"/>
      <c r="L1978" s="82"/>
      <c r="M1978" s="82"/>
      <c r="N1978" s="82"/>
      <c r="O1978" s="82"/>
      <c r="P1978" s="82"/>
      <c r="Q1978" s="82"/>
      <c r="R1978" s="82"/>
      <c r="S1978" s="82"/>
      <c r="T1978" s="82"/>
      <c r="U1978" s="82"/>
      <c r="V1978" s="82"/>
      <c r="W1978" s="82"/>
      <c r="X1978" s="82"/>
      <c r="Y1978" s="82"/>
      <c r="Z1978" s="82"/>
      <c r="AA1978" s="82"/>
      <c r="AB1978" s="82"/>
      <c r="AC1978" s="82"/>
      <c r="AD1978" s="82"/>
      <c r="AE1978" s="82"/>
      <c r="AF1978" s="82"/>
      <c r="AG1978" s="82"/>
      <c r="AH1978" s="82"/>
      <c r="AI1978" s="82"/>
      <c r="AJ1978" s="82"/>
      <c r="AK1978" s="82"/>
      <c r="AL1978" s="82"/>
      <c r="AM1978" s="82"/>
      <c r="AN1978" s="82">
        <f>IFERROR(__xludf.DUMMYFUNCTION("""COMPUTED_VALUE"""),0.0)</f>
        <v>0</v>
      </c>
      <c r="AO1978" s="82">
        <f>IFERROR(__xludf.DUMMYFUNCTION("""COMPUTED_VALUE"""),0.0)</f>
        <v>0</v>
      </c>
      <c r="AP1978" s="82">
        <f>IFERROR(__xludf.DUMMYFUNCTION("""COMPUTED_VALUE"""),0.0)</f>
        <v>0</v>
      </c>
      <c r="AQ1978" s="82">
        <f>IFERROR(__xludf.DUMMYFUNCTION("""COMPUTED_VALUE"""),0.0)</f>
        <v>0</v>
      </c>
      <c r="AR1978" s="82">
        <f>IFERROR(__xludf.DUMMYFUNCTION("""COMPUTED_VALUE"""),0.0)</f>
        <v>0</v>
      </c>
      <c r="AS1978" s="82"/>
      <c r="AT1978" s="82">
        <f>IFERROR(__xludf.DUMMYFUNCTION("""COMPUTED_VALUE"""),0.0)</f>
        <v>0</v>
      </c>
      <c r="AU1978" s="82"/>
      <c r="AV1978" s="82"/>
      <c r="AW1978" s="82" t="str">
        <f t="shared" si="1"/>
        <v/>
      </c>
      <c r="AX1978" s="83" t="str">
        <f t="array" ref="AX1978">IFERROR(DGET('SBV Import'!A:G,"SBV",{"RSC ID","Tier";B1978,A1978}))</f>
        <v/>
      </c>
      <c r="AY1978" s="82" t="str">
        <f t="shared" si="2"/>
        <v/>
      </c>
      <c r="AZ1978" s="82"/>
      <c r="BA1978" s="84" t="s">
        <v>152</v>
      </c>
      <c r="BB1978" s="84" t="str">
        <f>IFERROR(__xludf.DUMMYFUNCTION("iferror(if(A1978="""",,E1978&gt;=FILTER(Constants!$F$2:$F$10,Constants!$A$2:$A$10=A1978)))"),"")</f>
        <v/>
      </c>
    </row>
    <row r="1979">
      <c r="A1979" s="89"/>
      <c r="B1979" s="87"/>
      <c r="C1979" s="73"/>
      <c r="D1979" s="73"/>
      <c r="E1979" s="82"/>
      <c r="F1979" s="82"/>
      <c r="G1979" s="86"/>
      <c r="H1979" s="86"/>
      <c r="I1979" s="86"/>
      <c r="J1979" s="82"/>
      <c r="K1979" s="82"/>
      <c r="L1979" s="82"/>
      <c r="M1979" s="82"/>
      <c r="N1979" s="82"/>
      <c r="O1979" s="82"/>
      <c r="P1979" s="82"/>
      <c r="Q1979" s="82"/>
      <c r="R1979" s="82"/>
      <c r="S1979" s="82"/>
      <c r="T1979" s="82"/>
      <c r="U1979" s="82"/>
      <c r="V1979" s="82"/>
      <c r="W1979" s="82"/>
      <c r="X1979" s="82"/>
      <c r="Y1979" s="82"/>
      <c r="Z1979" s="82"/>
      <c r="AA1979" s="82"/>
      <c r="AB1979" s="82"/>
      <c r="AC1979" s="82"/>
      <c r="AD1979" s="82"/>
      <c r="AE1979" s="82"/>
      <c r="AF1979" s="82"/>
      <c r="AG1979" s="82"/>
      <c r="AH1979" s="82"/>
      <c r="AI1979" s="82"/>
      <c r="AJ1979" s="82"/>
      <c r="AK1979" s="82"/>
      <c r="AL1979" s="82"/>
      <c r="AM1979" s="82"/>
      <c r="AN1979" s="82">
        <f>IFERROR(__xludf.DUMMYFUNCTION("""COMPUTED_VALUE"""),0.0)</f>
        <v>0</v>
      </c>
      <c r="AO1979" s="82">
        <f>IFERROR(__xludf.DUMMYFUNCTION("""COMPUTED_VALUE"""),0.0)</f>
        <v>0</v>
      </c>
      <c r="AP1979" s="82">
        <f>IFERROR(__xludf.DUMMYFUNCTION("""COMPUTED_VALUE"""),0.0)</f>
        <v>0</v>
      </c>
      <c r="AQ1979" s="82">
        <f>IFERROR(__xludf.DUMMYFUNCTION("""COMPUTED_VALUE"""),0.0)</f>
        <v>0</v>
      </c>
      <c r="AR1979" s="82">
        <f>IFERROR(__xludf.DUMMYFUNCTION("""COMPUTED_VALUE"""),0.0)</f>
        <v>0</v>
      </c>
      <c r="AS1979" s="82"/>
      <c r="AT1979" s="82">
        <f>IFERROR(__xludf.DUMMYFUNCTION("""COMPUTED_VALUE"""),0.0)</f>
        <v>0</v>
      </c>
      <c r="AU1979" s="82"/>
      <c r="AV1979" s="82"/>
      <c r="AW1979" s="82" t="str">
        <f t="shared" si="1"/>
        <v/>
      </c>
      <c r="AX1979" s="83" t="str">
        <f t="array" ref="AX1979">IFERROR(DGET('SBV Import'!A:G,"SBV",{"RSC ID","Tier";B1979,A1979}))</f>
        <v/>
      </c>
      <c r="AY1979" s="82" t="str">
        <f t="shared" si="2"/>
        <v/>
      </c>
      <c r="AZ1979" s="82"/>
      <c r="BA1979" s="84" t="s">
        <v>152</v>
      </c>
      <c r="BB1979" s="84" t="str">
        <f>IFERROR(__xludf.DUMMYFUNCTION("iferror(if(A1979="""",,E1979&gt;=FILTER(Constants!$F$2:$F$10,Constants!$A$2:$A$10=A1979)))"),"")</f>
        <v/>
      </c>
    </row>
    <row r="1980">
      <c r="A1980" s="89"/>
      <c r="B1980" s="87"/>
      <c r="C1980" s="73"/>
      <c r="D1980" s="73"/>
      <c r="E1980" s="82"/>
      <c r="F1980" s="82"/>
      <c r="G1980" s="86"/>
      <c r="H1980" s="86"/>
      <c r="I1980" s="86"/>
      <c r="J1980" s="82"/>
      <c r="K1980" s="82"/>
      <c r="L1980" s="82"/>
      <c r="M1980" s="82"/>
      <c r="N1980" s="82"/>
      <c r="O1980" s="82"/>
      <c r="P1980" s="82"/>
      <c r="Q1980" s="82"/>
      <c r="R1980" s="82"/>
      <c r="S1980" s="82"/>
      <c r="T1980" s="82"/>
      <c r="U1980" s="82"/>
      <c r="V1980" s="82"/>
      <c r="W1980" s="82"/>
      <c r="X1980" s="82"/>
      <c r="Y1980" s="82"/>
      <c r="Z1980" s="82"/>
      <c r="AA1980" s="82"/>
      <c r="AB1980" s="82"/>
      <c r="AC1980" s="82"/>
      <c r="AD1980" s="82"/>
      <c r="AE1980" s="82"/>
      <c r="AF1980" s="82"/>
      <c r="AG1980" s="82"/>
      <c r="AH1980" s="82"/>
      <c r="AI1980" s="82"/>
      <c r="AJ1980" s="82"/>
      <c r="AK1980" s="82"/>
      <c r="AL1980" s="82"/>
      <c r="AM1980" s="82"/>
      <c r="AN1980" s="82">
        <f>IFERROR(__xludf.DUMMYFUNCTION("""COMPUTED_VALUE"""),0.0)</f>
        <v>0</v>
      </c>
      <c r="AO1980" s="82">
        <f>IFERROR(__xludf.DUMMYFUNCTION("""COMPUTED_VALUE"""),0.0)</f>
        <v>0</v>
      </c>
      <c r="AP1980" s="82">
        <f>IFERROR(__xludf.DUMMYFUNCTION("""COMPUTED_VALUE"""),0.0)</f>
        <v>0</v>
      </c>
      <c r="AQ1980" s="82">
        <f>IFERROR(__xludf.DUMMYFUNCTION("""COMPUTED_VALUE"""),0.0)</f>
        <v>0</v>
      </c>
      <c r="AR1980" s="82">
        <f>IFERROR(__xludf.DUMMYFUNCTION("""COMPUTED_VALUE"""),0.0)</f>
        <v>0</v>
      </c>
      <c r="AS1980" s="82"/>
      <c r="AT1980" s="82">
        <f>IFERROR(__xludf.DUMMYFUNCTION("""COMPUTED_VALUE"""),0.0)</f>
        <v>0</v>
      </c>
      <c r="AU1980" s="82"/>
      <c r="AV1980" s="82"/>
      <c r="AW1980" s="82" t="str">
        <f t="shared" si="1"/>
        <v/>
      </c>
      <c r="AX1980" s="83" t="str">
        <f t="array" ref="AX1980">IFERROR(DGET('SBV Import'!A:G,"SBV",{"RSC ID","Tier";B1980,A1980}))</f>
        <v/>
      </c>
      <c r="AY1980" s="82" t="str">
        <f t="shared" si="2"/>
        <v/>
      </c>
      <c r="AZ1980" s="82"/>
      <c r="BA1980" s="84" t="s">
        <v>152</v>
      </c>
      <c r="BB1980" s="84" t="str">
        <f>IFERROR(__xludf.DUMMYFUNCTION("iferror(if(A1980="""",,E1980&gt;=FILTER(Constants!$F$2:$F$10,Constants!$A$2:$A$10=A1980)))"),"")</f>
        <v/>
      </c>
    </row>
    <row r="1981">
      <c r="A1981" s="89"/>
      <c r="B1981" s="87"/>
      <c r="C1981" s="73"/>
      <c r="D1981" s="73"/>
      <c r="E1981" s="82"/>
      <c r="F1981" s="82"/>
      <c r="G1981" s="86"/>
      <c r="H1981" s="86"/>
      <c r="I1981" s="86"/>
      <c r="J1981" s="82"/>
      <c r="K1981" s="82"/>
      <c r="L1981" s="82"/>
      <c r="M1981" s="82"/>
      <c r="N1981" s="82"/>
      <c r="O1981" s="82"/>
      <c r="P1981" s="82"/>
      <c r="Q1981" s="82"/>
      <c r="R1981" s="82"/>
      <c r="S1981" s="82"/>
      <c r="T1981" s="82"/>
      <c r="U1981" s="82"/>
      <c r="V1981" s="82"/>
      <c r="W1981" s="82"/>
      <c r="X1981" s="82"/>
      <c r="Y1981" s="82"/>
      <c r="Z1981" s="82"/>
      <c r="AA1981" s="82"/>
      <c r="AB1981" s="82"/>
      <c r="AC1981" s="82"/>
      <c r="AD1981" s="82"/>
      <c r="AE1981" s="82"/>
      <c r="AF1981" s="82"/>
      <c r="AG1981" s="82"/>
      <c r="AH1981" s="82"/>
      <c r="AI1981" s="82"/>
      <c r="AJ1981" s="82"/>
      <c r="AK1981" s="82"/>
      <c r="AL1981" s="82"/>
      <c r="AM1981" s="82"/>
      <c r="AN1981" s="82">
        <f>IFERROR(__xludf.DUMMYFUNCTION("""COMPUTED_VALUE"""),0.0)</f>
        <v>0</v>
      </c>
      <c r="AO1981" s="82">
        <f>IFERROR(__xludf.DUMMYFUNCTION("""COMPUTED_VALUE"""),0.0)</f>
        <v>0</v>
      </c>
      <c r="AP1981" s="82">
        <f>IFERROR(__xludf.DUMMYFUNCTION("""COMPUTED_VALUE"""),0.0)</f>
        <v>0</v>
      </c>
      <c r="AQ1981" s="82">
        <f>IFERROR(__xludf.DUMMYFUNCTION("""COMPUTED_VALUE"""),0.0)</f>
        <v>0</v>
      </c>
      <c r="AR1981" s="82">
        <f>IFERROR(__xludf.DUMMYFUNCTION("""COMPUTED_VALUE"""),0.0)</f>
        <v>0</v>
      </c>
      <c r="AS1981" s="82"/>
      <c r="AT1981" s="82">
        <f>IFERROR(__xludf.DUMMYFUNCTION("""COMPUTED_VALUE"""),0.0)</f>
        <v>0</v>
      </c>
      <c r="AU1981" s="82"/>
      <c r="AV1981" s="82"/>
      <c r="AW1981" s="82" t="str">
        <f t="shared" si="1"/>
        <v/>
      </c>
      <c r="AX1981" s="83" t="str">
        <f t="array" ref="AX1981">IFERROR(DGET('SBV Import'!A:G,"SBV",{"RSC ID","Tier";B1981,A1981}))</f>
        <v/>
      </c>
      <c r="AY1981" s="82" t="str">
        <f t="shared" si="2"/>
        <v/>
      </c>
      <c r="AZ1981" s="82"/>
      <c r="BA1981" s="84" t="s">
        <v>152</v>
      </c>
      <c r="BB1981" s="84" t="str">
        <f>IFERROR(__xludf.DUMMYFUNCTION("iferror(if(A1981="""",,E1981&gt;=FILTER(Constants!$F$2:$F$10,Constants!$A$2:$A$10=A1981)))"),"")</f>
        <v/>
      </c>
    </row>
    <row r="1982">
      <c r="A1982" s="89"/>
      <c r="B1982" s="87"/>
      <c r="C1982" s="73"/>
      <c r="D1982" s="73"/>
      <c r="E1982" s="82"/>
      <c r="F1982" s="82"/>
      <c r="G1982" s="86"/>
      <c r="H1982" s="86"/>
      <c r="I1982" s="86"/>
      <c r="J1982" s="82"/>
      <c r="K1982" s="82"/>
      <c r="L1982" s="82"/>
      <c r="M1982" s="82"/>
      <c r="N1982" s="82"/>
      <c r="O1982" s="82"/>
      <c r="P1982" s="82"/>
      <c r="Q1982" s="82"/>
      <c r="R1982" s="82"/>
      <c r="S1982" s="82"/>
      <c r="T1982" s="82"/>
      <c r="U1982" s="82"/>
      <c r="V1982" s="82"/>
      <c r="W1982" s="82"/>
      <c r="X1982" s="82"/>
      <c r="Y1982" s="82"/>
      <c r="Z1982" s="82"/>
      <c r="AA1982" s="82"/>
      <c r="AB1982" s="82"/>
      <c r="AC1982" s="82"/>
      <c r="AD1982" s="82"/>
      <c r="AE1982" s="82"/>
      <c r="AF1982" s="82"/>
      <c r="AG1982" s="82"/>
      <c r="AH1982" s="82"/>
      <c r="AI1982" s="82"/>
      <c r="AJ1982" s="82"/>
      <c r="AK1982" s="82"/>
      <c r="AL1982" s="82"/>
      <c r="AM1982" s="82"/>
      <c r="AN1982" s="82">
        <f>IFERROR(__xludf.DUMMYFUNCTION("""COMPUTED_VALUE"""),0.0)</f>
        <v>0</v>
      </c>
      <c r="AO1982" s="82">
        <f>IFERROR(__xludf.DUMMYFUNCTION("""COMPUTED_VALUE"""),0.0)</f>
        <v>0</v>
      </c>
      <c r="AP1982" s="82">
        <f>IFERROR(__xludf.DUMMYFUNCTION("""COMPUTED_VALUE"""),0.0)</f>
        <v>0</v>
      </c>
      <c r="AQ1982" s="82">
        <f>IFERROR(__xludf.DUMMYFUNCTION("""COMPUTED_VALUE"""),0.0)</f>
        <v>0</v>
      </c>
      <c r="AR1982" s="82">
        <f>IFERROR(__xludf.DUMMYFUNCTION("""COMPUTED_VALUE"""),0.0)</f>
        <v>0</v>
      </c>
      <c r="AS1982" s="82"/>
      <c r="AT1982" s="82">
        <f>IFERROR(__xludf.DUMMYFUNCTION("""COMPUTED_VALUE"""),0.0)</f>
        <v>0</v>
      </c>
      <c r="AU1982" s="82"/>
      <c r="AV1982" s="82"/>
      <c r="AW1982" s="82" t="str">
        <f t="shared" si="1"/>
        <v/>
      </c>
      <c r="AX1982" s="83" t="str">
        <f t="array" ref="AX1982">IFERROR(DGET('SBV Import'!A:G,"SBV",{"RSC ID","Tier";B1982,A1982}))</f>
        <v/>
      </c>
      <c r="AY1982" s="82" t="str">
        <f t="shared" si="2"/>
        <v/>
      </c>
      <c r="AZ1982" s="82"/>
      <c r="BA1982" s="84" t="s">
        <v>152</v>
      </c>
      <c r="BB1982" s="84" t="str">
        <f>IFERROR(__xludf.DUMMYFUNCTION("iferror(if(A1982="""",,E1982&gt;=FILTER(Constants!$F$2:$F$10,Constants!$A$2:$A$10=A1982)))"),"")</f>
        <v/>
      </c>
    </row>
    <row r="1983">
      <c r="A1983" s="89"/>
      <c r="B1983" s="87"/>
      <c r="C1983" s="73"/>
      <c r="D1983" s="73"/>
      <c r="E1983" s="82"/>
      <c r="F1983" s="82"/>
      <c r="G1983" s="86"/>
      <c r="H1983" s="86"/>
      <c r="I1983" s="86"/>
      <c r="J1983" s="82"/>
      <c r="K1983" s="82"/>
      <c r="L1983" s="82"/>
      <c r="M1983" s="82"/>
      <c r="N1983" s="82"/>
      <c r="O1983" s="82"/>
      <c r="P1983" s="82"/>
      <c r="Q1983" s="82"/>
      <c r="R1983" s="82"/>
      <c r="S1983" s="82"/>
      <c r="T1983" s="82"/>
      <c r="U1983" s="82"/>
      <c r="V1983" s="82"/>
      <c r="W1983" s="82"/>
      <c r="X1983" s="82"/>
      <c r="Y1983" s="82"/>
      <c r="Z1983" s="82"/>
      <c r="AA1983" s="82"/>
      <c r="AB1983" s="82"/>
      <c r="AC1983" s="82"/>
      <c r="AD1983" s="82"/>
      <c r="AE1983" s="82"/>
      <c r="AF1983" s="82"/>
      <c r="AG1983" s="82"/>
      <c r="AH1983" s="82"/>
      <c r="AI1983" s="82"/>
      <c r="AJ1983" s="82"/>
      <c r="AK1983" s="82"/>
      <c r="AL1983" s="82"/>
      <c r="AM1983" s="82"/>
      <c r="AN1983" s="82">
        <f>IFERROR(__xludf.DUMMYFUNCTION("""COMPUTED_VALUE"""),0.0)</f>
        <v>0</v>
      </c>
      <c r="AO1983" s="82">
        <f>IFERROR(__xludf.DUMMYFUNCTION("""COMPUTED_VALUE"""),0.0)</f>
        <v>0</v>
      </c>
      <c r="AP1983" s="82">
        <f>IFERROR(__xludf.DUMMYFUNCTION("""COMPUTED_VALUE"""),0.0)</f>
        <v>0</v>
      </c>
      <c r="AQ1983" s="82">
        <f>IFERROR(__xludf.DUMMYFUNCTION("""COMPUTED_VALUE"""),0.0)</f>
        <v>0</v>
      </c>
      <c r="AR1983" s="82">
        <f>IFERROR(__xludf.DUMMYFUNCTION("""COMPUTED_VALUE"""),0.0)</f>
        <v>0</v>
      </c>
      <c r="AS1983" s="82"/>
      <c r="AT1983" s="82">
        <f>IFERROR(__xludf.DUMMYFUNCTION("""COMPUTED_VALUE"""),0.0)</f>
        <v>0</v>
      </c>
      <c r="AU1983" s="82"/>
      <c r="AV1983" s="82"/>
      <c r="AW1983" s="82" t="str">
        <f t="shared" si="1"/>
        <v/>
      </c>
      <c r="AX1983" s="83" t="str">
        <f t="array" ref="AX1983">IFERROR(DGET('SBV Import'!A:G,"SBV",{"RSC ID","Tier";B1983,A1983}))</f>
        <v/>
      </c>
      <c r="AY1983" s="82" t="str">
        <f t="shared" si="2"/>
        <v/>
      </c>
      <c r="AZ1983" s="82"/>
      <c r="BA1983" s="84" t="s">
        <v>152</v>
      </c>
      <c r="BB1983" s="84" t="str">
        <f>IFERROR(__xludf.DUMMYFUNCTION("iferror(if(A1983="""",,E1983&gt;=FILTER(Constants!$F$2:$F$10,Constants!$A$2:$A$10=A1983)))"),"")</f>
        <v/>
      </c>
    </row>
    <row r="1984">
      <c r="A1984" s="89"/>
      <c r="B1984" s="87"/>
      <c r="C1984" s="73"/>
      <c r="D1984" s="73"/>
      <c r="E1984" s="82"/>
      <c r="F1984" s="82"/>
      <c r="G1984" s="86"/>
      <c r="H1984" s="86"/>
      <c r="I1984" s="86"/>
      <c r="J1984" s="82"/>
      <c r="K1984" s="82"/>
      <c r="L1984" s="82"/>
      <c r="M1984" s="82"/>
      <c r="N1984" s="82"/>
      <c r="O1984" s="82"/>
      <c r="P1984" s="82"/>
      <c r="Q1984" s="82"/>
      <c r="R1984" s="82"/>
      <c r="S1984" s="82"/>
      <c r="T1984" s="82"/>
      <c r="U1984" s="82"/>
      <c r="V1984" s="82"/>
      <c r="W1984" s="82"/>
      <c r="X1984" s="82"/>
      <c r="Y1984" s="82"/>
      <c r="Z1984" s="82"/>
      <c r="AA1984" s="82"/>
      <c r="AB1984" s="82"/>
      <c r="AC1984" s="82"/>
      <c r="AD1984" s="82"/>
      <c r="AE1984" s="82"/>
      <c r="AF1984" s="82"/>
      <c r="AG1984" s="82"/>
      <c r="AH1984" s="82"/>
      <c r="AI1984" s="82"/>
      <c r="AJ1984" s="82"/>
      <c r="AK1984" s="82"/>
      <c r="AL1984" s="82"/>
      <c r="AM1984" s="82"/>
      <c r="AN1984" s="82">
        <f>IFERROR(__xludf.DUMMYFUNCTION("""COMPUTED_VALUE"""),0.0)</f>
        <v>0</v>
      </c>
      <c r="AO1984" s="82">
        <f>IFERROR(__xludf.DUMMYFUNCTION("""COMPUTED_VALUE"""),0.0)</f>
        <v>0</v>
      </c>
      <c r="AP1984" s="82">
        <f>IFERROR(__xludf.DUMMYFUNCTION("""COMPUTED_VALUE"""),0.0)</f>
        <v>0</v>
      </c>
      <c r="AQ1984" s="82">
        <f>IFERROR(__xludf.DUMMYFUNCTION("""COMPUTED_VALUE"""),0.0)</f>
        <v>0</v>
      </c>
      <c r="AR1984" s="82">
        <f>IFERROR(__xludf.DUMMYFUNCTION("""COMPUTED_VALUE"""),0.0)</f>
        <v>0</v>
      </c>
      <c r="AS1984" s="82"/>
      <c r="AT1984" s="82">
        <f>IFERROR(__xludf.DUMMYFUNCTION("""COMPUTED_VALUE"""),0.0)</f>
        <v>0</v>
      </c>
      <c r="AU1984" s="82"/>
      <c r="AV1984" s="82"/>
      <c r="AW1984" s="82" t="str">
        <f t="shared" si="1"/>
        <v/>
      </c>
      <c r="AX1984" s="83" t="str">
        <f t="array" ref="AX1984">IFERROR(DGET('SBV Import'!A:G,"SBV",{"RSC ID","Tier";B1984,A1984}))</f>
        <v/>
      </c>
      <c r="AY1984" s="82" t="str">
        <f t="shared" si="2"/>
        <v/>
      </c>
      <c r="AZ1984" s="82"/>
      <c r="BA1984" s="84" t="s">
        <v>152</v>
      </c>
      <c r="BB1984" s="84" t="str">
        <f>IFERROR(__xludf.DUMMYFUNCTION("iferror(if(A1984="""",,E1984&gt;=FILTER(Constants!$F$2:$F$10,Constants!$A$2:$A$10=A1984)))"),"")</f>
        <v/>
      </c>
    </row>
    <row r="1985">
      <c r="A1985" s="89"/>
      <c r="B1985" s="87"/>
      <c r="C1985" s="73"/>
      <c r="D1985" s="73"/>
      <c r="E1985" s="82"/>
      <c r="F1985" s="82"/>
      <c r="G1985" s="86"/>
      <c r="H1985" s="86"/>
      <c r="I1985" s="86"/>
      <c r="J1985" s="82"/>
      <c r="K1985" s="82"/>
      <c r="L1985" s="82"/>
      <c r="M1985" s="82"/>
      <c r="N1985" s="82"/>
      <c r="O1985" s="82"/>
      <c r="P1985" s="82"/>
      <c r="Q1985" s="82"/>
      <c r="R1985" s="82"/>
      <c r="S1985" s="82"/>
      <c r="T1985" s="82"/>
      <c r="U1985" s="82"/>
      <c r="V1985" s="82"/>
      <c r="W1985" s="82"/>
      <c r="X1985" s="82"/>
      <c r="Y1985" s="82"/>
      <c r="Z1985" s="82"/>
      <c r="AA1985" s="82"/>
      <c r="AB1985" s="82"/>
      <c r="AC1985" s="82"/>
      <c r="AD1985" s="82"/>
      <c r="AE1985" s="82"/>
      <c r="AF1985" s="82"/>
      <c r="AG1985" s="82"/>
      <c r="AH1985" s="82"/>
      <c r="AI1985" s="82"/>
      <c r="AJ1985" s="82"/>
      <c r="AK1985" s="82"/>
      <c r="AL1985" s="82"/>
      <c r="AM1985" s="82"/>
      <c r="AN1985" s="82">
        <f>IFERROR(__xludf.DUMMYFUNCTION("""COMPUTED_VALUE"""),0.0)</f>
        <v>0</v>
      </c>
      <c r="AO1985" s="82">
        <f>IFERROR(__xludf.DUMMYFUNCTION("""COMPUTED_VALUE"""),0.0)</f>
        <v>0</v>
      </c>
      <c r="AP1985" s="82">
        <f>IFERROR(__xludf.DUMMYFUNCTION("""COMPUTED_VALUE"""),0.0)</f>
        <v>0</v>
      </c>
      <c r="AQ1985" s="82">
        <f>IFERROR(__xludf.DUMMYFUNCTION("""COMPUTED_VALUE"""),0.0)</f>
        <v>0</v>
      </c>
      <c r="AR1985" s="82">
        <f>IFERROR(__xludf.DUMMYFUNCTION("""COMPUTED_VALUE"""),0.0)</f>
        <v>0</v>
      </c>
      <c r="AS1985" s="82"/>
      <c r="AT1985" s="82">
        <f>IFERROR(__xludf.DUMMYFUNCTION("""COMPUTED_VALUE"""),0.0)</f>
        <v>0</v>
      </c>
      <c r="AU1985" s="82"/>
      <c r="AV1985" s="82"/>
      <c r="AW1985" s="82" t="str">
        <f t="shared" si="1"/>
        <v/>
      </c>
      <c r="AX1985" s="83" t="str">
        <f t="array" ref="AX1985">IFERROR(DGET('SBV Import'!A:G,"SBV",{"RSC ID","Tier";B1985,A1985}))</f>
        <v/>
      </c>
      <c r="AY1985" s="82" t="str">
        <f t="shared" si="2"/>
        <v/>
      </c>
      <c r="AZ1985" s="82"/>
      <c r="BA1985" s="84" t="s">
        <v>152</v>
      </c>
      <c r="BB1985" s="84" t="str">
        <f>IFERROR(__xludf.DUMMYFUNCTION("iferror(if(A1985="""",,E1985&gt;=FILTER(Constants!$F$2:$F$10,Constants!$A$2:$A$10=A1985)))"),"")</f>
        <v/>
      </c>
    </row>
    <row r="1986">
      <c r="A1986" s="89"/>
      <c r="B1986" s="87"/>
      <c r="C1986" s="73"/>
      <c r="D1986" s="73"/>
      <c r="E1986" s="82"/>
      <c r="F1986" s="82"/>
      <c r="G1986" s="86"/>
      <c r="H1986" s="86"/>
      <c r="I1986" s="86"/>
      <c r="J1986" s="82"/>
      <c r="K1986" s="82"/>
      <c r="L1986" s="82"/>
      <c r="M1986" s="82"/>
      <c r="N1986" s="82"/>
      <c r="O1986" s="82"/>
      <c r="P1986" s="82"/>
      <c r="Q1986" s="82"/>
      <c r="R1986" s="82"/>
      <c r="S1986" s="82"/>
      <c r="T1986" s="82"/>
      <c r="U1986" s="82"/>
      <c r="V1986" s="82"/>
      <c r="W1986" s="82"/>
      <c r="X1986" s="82"/>
      <c r="Y1986" s="82"/>
      <c r="Z1986" s="82"/>
      <c r="AA1986" s="82"/>
      <c r="AB1986" s="82"/>
      <c r="AC1986" s="82"/>
      <c r="AD1986" s="82"/>
      <c r="AE1986" s="82"/>
      <c r="AF1986" s="82"/>
      <c r="AG1986" s="82"/>
      <c r="AH1986" s="82"/>
      <c r="AI1986" s="82"/>
      <c r="AJ1986" s="82"/>
      <c r="AK1986" s="82"/>
      <c r="AL1986" s="82"/>
      <c r="AM1986" s="82"/>
      <c r="AN1986" s="82">
        <f>IFERROR(__xludf.DUMMYFUNCTION("""COMPUTED_VALUE"""),0.0)</f>
        <v>0</v>
      </c>
      <c r="AO1986" s="82">
        <f>IFERROR(__xludf.DUMMYFUNCTION("""COMPUTED_VALUE"""),0.0)</f>
        <v>0</v>
      </c>
      <c r="AP1986" s="82">
        <f>IFERROR(__xludf.DUMMYFUNCTION("""COMPUTED_VALUE"""),0.0)</f>
        <v>0</v>
      </c>
      <c r="AQ1986" s="82">
        <f>IFERROR(__xludf.DUMMYFUNCTION("""COMPUTED_VALUE"""),0.0)</f>
        <v>0</v>
      </c>
      <c r="AR1986" s="82">
        <f>IFERROR(__xludf.DUMMYFUNCTION("""COMPUTED_VALUE"""),0.0)</f>
        <v>0</v>
      </c>
      <c r="AS1986" s="82"/>
      <c r="AT1986" s="82">
        <f>IFERROR(__xludf.DUMMYFUNCTION("""COMPUTED_VALUE"""),0.0)</f>
        <v>0</v>
      </c>
      <c r="AU1986" s="82"/>
      <c r="AV1986" s="82"/>
      <c r="AW1986" s="82" t="str">
        <f t="shared" si="1"/>
        <v/>
      </c>
      <c r="AX1986" s="83" t="str">
        <f t="array" ref="AX1986">IFERROR(DGET('SBV Import'!A:G,"SBV",{"RSC ID","Tier";B1986,A1986}))</f>
        <v/>
      </c>
      <c r="AY1986" s="82" t="str">
        <f t="shared" si="2"/>
        <v/>
      </c>
      <c r="AZ1986" s="82"/>
      <c r="BA1986" s="84" t="s">
        <v>152</v>
      </c>
      <c r="BB1986" s="84" t="str">
        <f>IFERROR(__xludf.DUMMYFUNCTION("iferror(if(A1986="""",,E1986&gt;=FILTER(Constants!$F$2:$F$10,Constants!$A$2:$A$10=A1986)))"),"")</f>
        <v/>
      </c>
    </row>
    <row r="1987">
      <c r="A1987" s="89"/>
      <c r="B1987" s="87"/>
      <c r="C1987" s="73"/>
      <c r="D1987" s="73"/>
      <c r="E1987" s="82"/>
      <c r="F1987" s="82"/>
      <c r="G1987" s="86"/>
      <c r="H1987" s="86"/>
      <c r="I1987" s="86"/>
      <c r="J1987" s="82"/>
      <c r="K1987" s="82"/>
      <c r="L1987" s="82"/>
      <c r="M1987" s="82"/>
      <c r="N1987" s="82"/>
      <c r="O1987" s="82"/>
      <c r="P1987" s="82"/>
      <c r="Q1987" s="82"/>
      <c r="R1987" s="82"/>
      <c r="S1987" s="82"/>
      <c r="T1987" s="82"/>
      <c r="U1987" s="82"/>
      <c r="V1987" s="82"/>
      <c r="W1987" s="82"/>
      <c r="X1987" s="82"/>
      <c r="Y1987" s="82"/>
      <c r="Z1987" s="82"/>
      <c r="AA1987" s="82"/>
      <c r="AB1987" s="82"/>
      <c r="AC1987" s="82"/>
      <c r="AD1987" s="82"/>
      <c r="AE1987" s="82"/>
      <c r="AF1987" s="82"/>
      <c r="AG1987" s="82"/>
      <c r="AH1987" s="82"/>
      <c r="AI1987" s="82"/>
      <c r="AJ1987" s="82"/>
      <c r="AK1987" s="82"/>
      <c r="AL1987" s="82"/>
      <c r="AM1987" s="82"/>
      <c r="AN1987" s="82">
        <f>IFERROR(__xludf.DUMMYFUNCTION("""COMPUTED_VALUE"""),0.0)</f>
        <v>0</v>
      </c>
      <c r="AO1987" s="82">
        <f>IFERROR(__xludf.DUMMYFUNCTION("""COMPUTED_VALUE"""),0.0)</f>
        <v>0</v>
      </c>
      <c r="AP1987" s="82">
        <f>IFERROR(__xludf.DUMMYFUNCTION("""COMPUTED_VALUE"""),0.0)</f>
        <v>0</v>
      </c>
      <c r="AQ1987" s="82">
        <f>IFERROR(__xludf.DUMMYFUNCTION("""COMPUTED_VALUE"""),0.0)</f>
        <v>0</v>
      </c>
      <c r="AR1987" s="82">
        <f>IFERROR(__xludf.DUMMYFUNCTION("""COMPUTED_VALUE"""),0.0)</f>
        <v>0</v>
      </c>
      <c r="AS1987" s="82"/>
      <c r="AT1987" s="82">
        <f>IFERROR(__xludf.DUMMYFUNCTION("""COMPUTED_VALUE"""),0.0)</f>
        <v>0</v>
      </c>
      <c r="AU1987" s="82"/>
      <c r="AV1987" s="82"/>
      <c r="AW1987" s="82" t="str">
        <f t="shared" si="1"/>
        <v/>
      </c>
      <c r="AX1987" s="83" t="str">
        <f t="array" ref="AX1987">IFERROR(DGET('SBV Import'!A:G,"SBV",{"RSC ID","Tier";B1987,A1987}))</f>
        <v/>
      </c>
      <c r="AY1987" s="82" t="str">
        <f t="shared" si="2"/>
        <v/>
      </c>
      <c r="AZ1987" s="82"/>
      <c r="BA1987" s="84" t="s">
        <v>152</v>
      </c>
      <c r="BB1987" s="84" t="str">
        <f>IFERROR(__xludf.DUMMYFUNCTION("iferror(if(A1987="""",,E1987&gt;=FILTER(Constants!$F$2:$F$10,Constants!$A$2:$A$10=A1987)))"),"")</f>
        <v/>
      </c>
    </row>
    <row r="1988">
      <c r="A1988" s="89"/>
      <c r="B1988" s="87"/>
      <c r="C1988" s="73"/>
      <c r="D1988" s="73"/>
      <c r="E1988" s="82"/>
      <c r="F1988" s="82"/>
      <c r="G1988" s="86"/>
      <c r="H1988" s="86"/>
      <c r="I1988" s="86"/>
      <c r="J1988" s="82"/>
      <c r="K1988" s="82"/>
      <c r="L1988" s="82"/>
      <c r="M1988" s="82"/>
      <c r="N1988" s="82"/>
      <c r="O1988" s="82"/>
      <c r="P1988" s="82"/>
      <c r="Q1988" s="82"/>
      <c r="R1988" s="82"/>
      <c r="S1988" s="82"/>
      <c r="T1988" s="82"/>
      <c r="U1988" s="82"/>
      <c r="V1988" s="82"/>
      <c r="W1988" s="82"/>
      <c r="X1988" s="82"/>
      <c r="Y1988" s="82"/>
      <c r="Z1988" s="82"/>
      <c r="AA1988" s="82"/>
      <c r="AB1988" s="82"/>
      <c r="AC1988" s="82"/>
      <c r="AD1988" s="82"/>
      <c r="AE1988" s="82"/>
      <c r="AF1988" s="82"/>
      <c r="AG1988" s="82"/>
      <c r="AH1988" s="82"/>
      <c r="AI1988" s="82"/>
      <c r="AJ1988" s="82"/>
      <c r="AK1988" s="82"/>
      <c r="AL1988" s="82"/>
      <c r="AM1988" s="82"/>
      <c r="AN1988" s="82">
        <f>IFERROR(__xludf.DUMMYFUNCTION("""COMPUTED_VALUE"""),0.0)</f>
        <v>0</v>
      </c>
      <c r="AO1988" s="82">
        <f>IFERROR(__xludf.DUMMYFUNCTION("""COMPUTED_VALUE"""),0.0)</f>
        <v>0</v>
      </c>
      <c r="AP1988" s="82">
        <f>IFERROR(__xludf.DUMMYFUNCTION("""COMPUTED_VALUE"""),0.0)</f>
        <v>0</v>
      </c>
      <c r="AQ1988" s="82">
        <f>IFERROR(__xludf.DUMMYFUNCTION("""COMPUTED_VALUE"""),0.0)</f>
        <v>0</v>
      </c>
      <c r="AR1988" s="82">
        <f>IFERROR(__xludf.DUMMYFUNCTION("""COMPUTED_VALUE"""),0.0)</f>
        <v>0</v>
      </c>
      <c r="AS1988" s="82"/>
      <c r="AT1988" s="82">
        <f>IFERROR(__xludf.DUMMYFUNCTION("""COMPUTED_VALUE"""),0.0)</f>
        <v>0</v>
      </c>
      <c r="AU1988" s="82"/>
      <c r="AV1988" s="82"/>
      <c r="AW1988" s="82" t="str">
        <f t="shared" si="1"/>
        <v/>
      </c>
      <c r="AX1988" s="83" t="str">
        <f t="array" ref="AX1988">IFERROR(DGET('SBV Import'!A:G,"SBV",{"RSC ID","Tier";B1988,A1988}))</f>
        <v/>
      </c>
      <c r="AY1988" s="82" t="str">
        <f t="shared" si="2"/>
        <v/>
      </c>
      <c r="AZ1988" s="82"/>
      <c r="BA1988" s="84" t="s">
        <v>152</v>
      </c>
      <c r="BB1988" s="84" t="str">
        <f>IFERROR(__xludf.DUMMYFUNCTION("iferror(if(A1988="""",,E1988&gt;=FILTER(Constants!$F$2:$F$10,Constants!$A$2:$A$10=A1988)))"),"")</f>
        <v/>
      </c>
    </row>
    <row r="1989">
      <c r="A1989" s="89"/>
      <c r="B1989" s="87"/>
      <c r="C1989" s="73"/>
      <c r="D1989" s="73"/>
      <c r="E1989" s="82"/>
      <c r="F1989" s="82"/>
      <c r="G1989" s="86"/>
      <c r="H1989" s="86"/>
      <c r="I1989" s="86"/>
      <c r="J1989" s="82"/>
      <c r="K1989" s="82"/>
      <c r="L1989" s="82"/>
      <c r="M1989" s="82"/>
      <c r="N1989" s="82"/>
      <c r="O1989" s="82"/>
      <c r="P1989" s="82"/>
      <c r="Q1989" s="82"/>
      <c r="R1989" s="82"/>
      <c r="S1989" s="82"/>
      <c r="T1989" s="82"/>
      <c r="U1989" s="82"/>
      <c r="V1989" s="82"/>
      <c r="W1989" s="82"/>
      <c r="X1989" s="82"/>
      <c r="Y1989" s="82"/>
      <c r="Z1989" s="82"/>
      <c r="AA1989" s="82"/>
      <c r="AB1989" s="82"/>
      <c r="AC1989" s="82"/>
      <c r="AD1989" s="82"/>
      <c r="AE1989" s="82"/>
      <c r="AF1989" s="82"/>
      <c r="AG1989" s="82"/>
      <c r="AH1989" s="82"/>
      <c r="AI1989" s="82"/>
      <c r="AJ1989" s="82"/>
      <c r="AK1989" s="82"/>
      <c r="AL1989" s="82"/>
      <c r="AM1989" s="82"/>
      <c r="AN1989" s="82">
        <f>IFERROR(__xludf.DUMMYFUNCTION("""COMPUTED_VALUE"""),0.0)</f>
        <v>0</v>
      </c>
      <c r="AO1989" s="82">
        <f>IFERROR(__xludf.DUMMYFUNCTION("""COMPUTED_VALUE"""),0.0)</f>
        <v>0</v>
      </c>
      <c r="AP1989" s="82">
        <f>IFERROR(__xludf.DUMMYFUNCTION("""COMPUTED_VALUE"""),0.0)</f>
        <v>0</v>
      </c>
      <c r="AQ1989" s="82">
        <f>IFERROR(__xludf.DUMMYFUNCTION("""COMPUTED_VALUE"""),0.0)</f>
        <v>0</v>
      </c>
      <c r="AR1989" s="82">
        <f>IFERROR(__xludf.DUMMYFUNCTION("""COMPUTED_VALUE"""),0.0)</f>
        <v>0</v>
      </c>
      <c r="AS1989" s="82"/>
      <c r="AT1989" s="82">
        <f>IFERROR(__xludf.DUMMYFUNCTION("""COMPUTED_VALUE"""),0.0)</f>
        <v>0</v>
      </c>
      <c r="AU1989" s="82"/>
      <c r="AV1989" s="82"/>
      <c r="AW1989" s="82" t="str">
        <f t="shared" si="1"/>
        <v/>
      </c>
      <c r="AX1989" s="83" t="str">
        <f t="array" ref="AX1989">IFERROR(DGET('SBV Import'!A:G,"SBV",{"RSC ID","Tier";B1989,A1989}))</f>
        <v/>
      </c>
      <c r="AY1989" s="82" t="str">
        <f t="shared" si="2"/>
        <v/>
      </c>
      <c r="AZ1989" s="82"/>
      <c r="BA1989" s="84" t="s">
        <v>152</v>
      </c>
      <c r="BB1989" s="84" t="str">
        <f>IFERROR(__xludf.DUMMYFUNCTION("iferror(if(A1989="""",,E1989&gt;=FILTER(Constants!$F$2:$F$10,Constants!$A$2:$A$10=A1989)))"),"")</f>
        <v/>
      </c>
    </row>
    <row r="1990">
      <c r="A1990" s="89"/>
      <c r="B1990" s="87"/>
      <c r="C1990" s="73"/>
      <c r="D1990" s="73"/>
      <c r="E1990" s="82"/>
      <c r="F1990" s="82"/>
      <c r="G1990" s="86"/>
      <c r="H1990" s="86"/>
      <c r="I1990" s="86"/>
      <c r="J1990" s="82"/>
      <c r="K1990" s="82"/>
      <c r="L1990" s="82"/>
      <c r="M1990" s="82"/>
      <c r="N1990" s="82"/>
      <c r="O1990" s="82"/>
      <c r="P1990" s="82"/>
      <c r="Q1990" s="82"/>
      <c r="R1990" s="82"/>
      <c r="S1990" s="82"/>
      <c r="T1990" s="82"/>
      <c r="U1990" s="82"/>
      <c r="V1990" s="82"/>
      <c r="W1990" s="82"/>
      <c r="X1990" s="82"/>
      <c r="Y1990" s="82"/>
      <c r="Z1990" s="82"/>
      <c r="AA1990" s="82"/>
      <c r="AB1990" s="82"/>
      <c r="AC1990" s="82"/>
      <c r="AD1990" s="82"/>
      <c r="AE1990" s="82"/>
      <c r="AF1990" s="82"/>
      <c r="AG1990" s="82"/>
      <c r="AH1990" s="82"/>
      <c r="AI1990" s="82"/>
      <c r="AJ1990" s="82"/>
      <c r="AK1990" s="82"/>
      <c r="AL1990" s="82"/>
      <c r="AM1990" s="82"/>
      <c r="AN1990" s="82">
        <f>IFERROR(__xludf.DUMMYFUNCTION("""COMPUTED_VALUE"""),0.0)</f>
        <v>0</v>
      </c>
      <c r="AO1990" s="82">
        <f>IFERROR(__xludf.DUMMYFUNCTION("""COMPUTED_VALUE"""),0.0)</f>
        <v>0</v>
      </c>
      <c r="AP1990" s="82">
        <f>IFERROR(__xludf.DUMMYFUNCTION("""COMPUTED_VALUE"""),0.0)</f>
        <v>0</v>
      </c>
      <c r="AQ1990" s="82">
        <f>IFERROR(__xludf.DUMMYFUNCTION("""COMPUTED_VALUE"""),0.0)</f>
        <v>0</v>
      </c>
      <c r="AR1990" s="82">
        <f>IFERROR(__xludf.DUMMYFUNCTION("""COMPUTED_VALUE"""),0.0)</f>
        <v>0</v>
      </c>
      <c r="AS1990" s="82"/>
      <c r="AT1990" s="82">
        <f>IFERROR(__xludf.DUMMYFUNCTION("""COMPUTED_VALUE"""),0.0)</f>
        <v>0</v>
      </c>
      <c r="AU1990" s="82"/>
      <c r="AV1990" s="82"/>
      <c r="AW1990" s="82" t="str">
        <f t="shared" si="1"/>
        <v/>
      </c>
      <c r="AX1990" s="83" t="str">
        <f t="array" ref="AX1990">IFERROR(DGET('SBV Import'!A:G,"SBV",{"RSC ID","Tier";B1990,A1990}))</f>
        <v/>
      </c>
      <c r="AY1990" s="82" t="str">
        <f t="shared" si="2"/>
        <v/>
      </c>
      <c r="AZ1990" s="82"/>
      <c r="BA1990" s="84" t="s">
        <v>152</v>
      </c>
      <c r="BB1990" s="84" t="str">
        <f>IFERROR(__xludf.DUMMYFUNCTION("iferror(if(A1990="""",,E1990&gt;=FILTER(Constants!$F$2:$F$10,Constants!$A$2:$A$10=A1990)))"),"")</f>
        <v/>
      </c>
    </row>
    <row r="1991">
      <c r="A1991" s="89"/>
      <c r="B1991" s="87"/>
      <c r="C1991" s="73"/>
      <c r="D1991" s="73"/>
      <c r="E1991" s="82"/>
      <c r="F1991" s="82"/>
      <c r="G1991" s="86"/>
      <c r="H1991" s="86"/>
      <c r="I1991" s="86"/>
      <c r="J1991" s="82"/>
      <c r="K1991" s="82"/>
      <c r="L1991" s="82"/>
      <c r="M1991" s="82"/>
      <c r="N1991" s="82"/>
      <c r="O1991" s="82"/>
      <c r="P1991" s="82"/>
      <c r="Q1991" s="82"/>
      <c r="R1991" s="82"/>
      <c r="S1991" s="82"/>
      <c r="T1991" s="82"/>
      <c r="U1991" s="82"/>
      <c r="V1991" s="82"/>
      <c r="W1991" s="82"/>
      <c r="X1991" s="82"/>
      <c r="Y1991" s="82"/>
      <c r="Z1991" s="82"/>
      <c r="AA1991" s="82"/>
      <c r="AB1991" s="82"/>
      <c r="AC1991" s="82"/>
      <c r="AD1991" s="82"/>
      <c r="AE1991" s="82"/>
      <c r="AF1991" s="82"/>
      <c r="AG1991" s="82"/>
      <c r="AH1991" s="82"/>
      <c r="AI1991" s="82"/>
      <c r="AJ1991" s="82"/>
      <c r="AK1991" s="82"/>
      <c r="AL1991" s="82"/>
      <c r="AM1991" s="82"/>
      <c r="AN1991" s="82">
        <f>IFERROR(__xludf.DUMMYFUNCTION("""COMPUTED_VALUE"""),0.0)</f>
        <v>0</v>
      </c>
      <c r="AO1991" s="82">
        <f>IFERROR(__xludf.DUMMYFUNCTION("""COMPUTED_VALUE"""),0.0)</f>
        <v>0</v>
      </c>
      <c r="AP1991" s="82">
        <f>IFERROR(__xludf.DUMMYFUNCTION("""COMPUTED_VALUE"""),0.0)</f>
        <v>0</v>
      </c>
      <c r="AQ1991" s="82">
        <f>IFERROR(__xludf.DUMMYFUNCTION("""COMPUTED_VALUE"""),0.0)</f>
        <v>0</v>
      </c>
      <c r="AR1991" s="82">
        <f>IFERROR(__xludf.DUMMYFUNCTION("""COMPUTED_VALUE"""),0.0)</f>
        <v>0</v>
      </c>
      <c r="AS1991" s="82"/>
      <c r="AT1991" s="82">
        <f>IFERROR(__xludf.DUMMYFUNCTION("""COMPUTED_VALUE"""),0.0)</f>
        <v>0</v>
      </c>
      <c r="AU1991" s="82"/>
      <c r="AV1991" s="82"/>
      <c r="AW1991" s="82" t="str">
        <f t="shared" si="1"/>
        <v/>
      </c>
      <c r="AX1991" s="83" t="str">
        <f t="array" ref="AX1991">IFERROR(DGET('SBV Import'!A:G,"SBV",{"RSC ID","Tier";B1991,A1991}))</f>
        <v/>
      </c>
      <c r="AY1991" s="82" t="str">
        <f t="shared" si="2"/>
        <v/>
      </c>
      <c r="AZ1991" s="82"/>
      <c r="BA1991" s="84" t="s">
        <v>152</v>
      </c>
      <c r="BB1991" s="84" t="str">
        <f>IFERROR(__xludf.DUMMYFUNCTION("iferror(if(A1991="""",,E1991&gt;=FILTER(Constants!$F$2:$F$10,Constants!$A$2:$A$10=A1991)))"),"")</f>
        <v/>
      </c>
    </row>
    <row r="1992">
      <c r="A1992" s="89"/>
      <c r="B1992" s="87"/>
      <c r="C1992" s="73"/>
      <c r="D1992" s="73"/>
      <c r="E1992" s="82"/>
      <c r="F1992" s="82"/>
      <c r="G1992" s="86"/>
      <c r="H1992" s="86"/>
      <c r="I1992" s="86"/>
      <c r="J1992" s="82"/>
      <c r="K1992" s="82"/>
      <c r="L1992" s="82"/>
      <c r="M1992" s="82"/>
      <c r="N1992" s="82"/>
      <c r="O1992" s="82"/>
      <c r="P1992" s="82"/>
      <c r="Q1992" s="82"/>
      <c r="R1992" s="82"/>
      <c r="S1992" s="82"/>
      <c r="T1992" s="82"/>
      <c r="U1992" s="82"/>
      <c r="V1992" s="82"/>
      <c r="W1992" s="82"/>
      <c r="X1992" s="82"/>
      <c r="Y1992" s="82"/>
      <c r="Z1992" s="82"/>
      <c r="AA1992" s="82"/>
      <c r="AB1992" s="82"/>
      <c r="AC1992" s="82"/>
      <c r="AD1992" s="82"/>
      <c r="AE1992" s="82"/>
      <c r="AF1992" s="82"/>
      <c r="AG1992" s="82"/>
      <c r="AH1992" s="82"/>
      <c r="AI1992" s="82"/>
      <c r="AJ1992" s="82"/>
      <c r="AK1992" s="82"/>
      <c r="AL1992" s="82"/>
      <c r="AM1992" s="82"/>
      <c r="AN1992" s="82">
        <f>IFERROR(__xludf.DUMMYFUNCTION("""COMPUTED_VALUE"""),0.0)</f>
        <v>0</v>
      </c>
      <c r="AO1992" s="82">
        <f>IFERROR(__xludf.DUMMYFUNCTION("""COMPUTED_VALUE"""),0.0)</f>
        <v>0</v>
      </c>
      <c r="AP1992" s="82">
        <f>IFERROR(__xludf.DUMMYFUNCTION("""COMPUTED_VALUE"""),0.0)</f>
        <v>0</v>
      </c>
      <c r="AQ1992" s="82">
        <f>IFERROR(__xludf.DUMMYFUNCTION("""COMPUTED_VALUE"""),0.0)</f>
        <v>0</v>
      </c>
      <c r="AR1992" s="82">
        <f>IFERROR(__xludf.DUMMYFUNCTION("""COMPUTED_VALUE"""),0.0)</f>
        <v>0</v>
      </c>
      <c r="AS1992" s="82"/>
      <c r="AT1992" s="82">
        <f>IFERROR(__xludf.DUMMYFUNCTION("""COMPUTED_VALUE"""),0.0)</f>
        <v>0</v>
      </c>
      <c r="AU1992" s="82"/>
      <c r="AV1992" s="82"/>
      <c r="AW1992" s="82" t="str">
        <f t="shared" si="1"/>
        <v/>
      </c>
      <c r="AX1992" s="83" t="str">
        <f t="array" ref="AX1992">IFERROR(DGET('SBV Import'!A:G,"SBV",{"RSC ID","Tier";B1992,A1992}))</f>
        <v/>
      </c>
      <c r="AY1992" s="82" t="str">
        <f t="shared" si="2"/>
        <v/>
      </c>
      <c r="AZ1992" s="82"/>
      <c r="BA1992" s="84" t="s">
        <v>152</v>
      </c>
      <c r="BB1992" s="84" t="str">
        <f>IFERROR(__xludf.DUMMYFUNCTION("iferror(if(A1992="""",,E1992&gt;=FILTER(Constants!$F$2:$F$10,Constants!$A$2:$A$10=A1992)))"),"")</f>
        <v/>
      </c>
    </row>
    <row r="1993">
      <c r="A1993" s="89"/>
      <c r="B1993" s="87"/>
      <c r="C1993" s="73"/>
      <c r="D1993" s="73"/>
      <c r="E1993" s="82"/>
      <c r="F1993" s="82"/>
      <c r="G1993" s="86"/>
      <c r="H1993" s="86"/>
      <c r="I1993" s="86"/>
      <c r="J1993" s="82"/>
      <c r="K1993" s="82"/>
      <c r="L1993" s="82"/>
      <c r="M1993" s="82"/>
      <c r="N1993" s="82"/>
      <c r="O1993" s="82"/>
      <c r="P1993" s="82"/>
      <c r="Q1993" s="82"/>
      <c r="R1993" s="82"/>
      <c r="S1993" s="82"/>
      <c r="T1993" s="82"/>
      <c r="U1993" s="82"/>
      <c r="V1993" s="82"/>
      <c r="W1993" s="82"/>
      <c r="X1993" s="82"/>
      <c r="Y1993" s="82"/>
      <c r="Z1993" s="82"/>
      <c r="AA1993" s="82"/>
      <c r="AB1993" s="82"/>
      <c r="AC1993" s="82"/>
      <c r="AD1993" s="82"/>
      <c r="AE1993" s="82"/>
      <c r="AF1993" s="82"/>
      <c r="AG1993" s="82"/>
      <c r="AH1993" s="82"/>
      <c r="AI1993" s="82"/>
      <c r="AJ1993" s="82"/>
      <c r="AK1993" s="82"/>
      <c r="AL1993" s="82"/>
      <c r="AM1993" s="82"/>
      <c r="AN1993" s="82">
        <f>IFERROR(__xludf.DUMMYFUNCTION("""COMPUTED_VALUE"""),0.0)</f>
        <v>0</v>
      </c>
      <c r="AO1993" s="82">
        <f>IFERROR(__xludf.DUMMYFUNCTION("""COMPUTED_VALUE"""),0.0)</f>
        <v>0</v>
      </c>
      <c r="AP1993" s="82">
        <f>IFERROR(__xludf.DUMMYFUNCTION("""COMPUTED_VALUE"""),0.0)</f>
        <v>0</v>
      </c>
      <c r="AQ1993" s="82">
        <f>IFERROR(__xludf.DUMMYFUNCTION("""COMPUTED_VALUE"""),0.0)</f>
        <v>0</v>
      </c>
      <c r="AR1993" s="82">
        <f>IFERROR(__xludf.DUMMYFUNCTION("""COMPUTED_VALUE"""),0.0)</f>
        <v>0</v>
      </c>
      <c r="AS1993" s="82"/>
      <c r="AT1993" s="82">
        <f>IFERROR(__xludf.DUMMYFUNCTION("""COMPUTED_VALUE"""),0.0)</f>
        <v>0</v>
      </c>
      <c r="AU1993" s="82"/>
      <c r="AV1993" s="82"/>
      <c r="AW1993" s="82" t="str">
        <f t="shared" si="1"/>
        <v/>
      </c>
      <c r="AX1993" s="83" t="str">
        <f t="array" ref="AX1993">IFERROR(DGET('SBV Import'!A:G,"SBV",{"RSC ID","Tier";B1993,A1993}))</f>
        <v/>
      </c>
      <c r="AY1993" s="82" t="str">
        <f t="shared" si="2"/>
        <v/>
      </c>
      <c r="AZ1993" s="82"/>
      <c r="BA1993" s="84" t="s">
        <v>152</v>
      </c>
      <c r="BB1993" s="84" t="str">
        <f>IFERROR(__xludf.DUMMYFUNCTION("iferror(if(A1993="""",,E1993&gt;=FILTER(Constants!$F$2:$F$10,Constants!$A$2:$A$10=A1993)))"),"")</f>
        <v/>
      </c>
    </row>
    <row r="1994">
      <c r="A1994" s="89"/>
      <c r="B1994" s="87"/>
      <c r="C1994" s="73"/>
      <c r="D1994" s="73"/>
      <c r="E1994" s="82"/>
      <c r="F1994" s="82"/>
      <c r="G1994" s="86"/>
      <c r="H1994" s="86"/>
      <c r="I1994" s="86"/>
      <c r="J1994" s="82"/>
      <c r="K1994" s="82"/>
      <c r="L1994" s="82"/>
      <c r="M1994" s="82"/>
      <c r="N1994" s="82"/>
      <c r="O1994" s="82"/>
      <c r="P1994" s="82"/>
      <c r="Q1994" s="82"/>
      <c r="R1994" s="82"/>
      <c r="S1994" s="82"/>
      <c r="T1994" s="82"/>
      <c r="U1994" s="82"/>
      <c r="V1994" s="82"/>
      <c r="W1994" s="82"/>
      <c r="X1994" s="82"/>
      <c r="Y1994" s="82"/>
      <c r="Z1994" s="82"/>
      <c r="AA1994" s="82"/>
      <c r="AB1994" s="82"/>
      <c r="AC1994" s="82"/>
      <c r="AD1994" s="82"/>
      <c r="AE1994" s="82"/>
      <c r="AF1994" s="82"/>
      <c r="AG1994" s="82"/>
      <c r="AH1994" s="82"/>
      <c r="AI1994" s="82"/>
      <c r="AJ1994" s="82"/>
      <c r="AK1994" s="82"/>
      <c r="AL1994" s="82"/>
      <c r="AM1994" s="82"/>
      <c r="AN1994" s="82">
        <f>IFERROR(__xludf.DUMMYFUNCTION("""COMPUTED_VALUE"""),0.0)</f>
        <v>0</v>
      </c>
      <c r="AO1994" s="82">
        <f>IFERROR(__xludf.DUMMYFUNCTION("""COMPUTED_VALUE"""),0.0)</f>
        <v>0</v>
      </c>
      <c r="AP1994" s="82">
        <f>IFERROR(__xludf.DUMMYFUNCTION("""COMPUTED_VALUE"""),0.0)</f>
        <v>0</v>
      </c>
      <c r="AQ1994" s="82">
        <f>IFERROR(__xludf.DUMMYFUNCTION("""COMPUTED_VALUE"""),0.0)</f>
        <v>0</v>
      </c>
      <c r="AR1994" s="82">
        <f>IFERROR(__xludf.DUMMYFUNCTION("""COMPUTED_VALUE"""),0.0)</f>
        <v>0</v>
      </c>
      <c r="AS1994" s="82"/>
      <c r="AT1994" s="82">
        <f>IFERROR(__xludf.DUMMYFUNCTION("""COMPUTED_VALUE"""),0.0)</f>
        <v>0</v>
      </c>
      <c r="AU1994" s="82"/>
      <c r="AV1994" s="82"/>
      <c r="AW1994" s="82" t="str">
        <f t="shared" si="1"/>
        <v/>
      </c>
      <c r="AX1994" s="83" t="str">
        <f t="array" ref="AX1994">IFERROR(DGET('SBV Import'!A:G,"SBV",{"RSC ID","Tier";B1994,A1994}))</f>
        <v/>
      </c>
      <c r="AY1994" s="82" t="str">
        <f t="shared" si="2"/>
        <v/>
      </c>
      <c r="AZ1994" s="82"/>
      <c r="BA1994" s="84" t="s">
        <v>152</v>
      </c>
      <c r="BB1994" s="84" t="str">
        <f>IFERROR(__xludf.DUMMYFUNCTION("iferror(if(A1994="""",,E1994&gt;=FILTER(Constants!$F$2:$F$10,Constants!$A$2:$A$10=A1994)))"),"")</f>
        <v/>
      </c>
    </row>
    <row r="1995">
      <c r="A1995" s="89"/>
      <c r="B1995" s="87"/>
      <c r="C1995" s="73"/>
      <c r="D1995" s="73"/>
      <c r="E1995" s="82"/>
      <c r="F1995" s="82"/>
      <c r="G1995" s="86"/>
      <c r="H1995" s="86"/>
      <c r="I1995" s="86"/>
      <c r="J1995" s="82"/>
      <c r="K1995" s="82"/>
      <c r="L1995" s="82"/>
      <c r="M1995" s="82"/>
      <c r="N1995" s="82"/>
      <c r="O1995" s="82"/>
      <c r="P1995" s="82"/>
      <c r="Q1995" s="82"/>
      <c r="R1995" s="82"/>
      <c r="S1995" s="82"/>
      <c r="T1995" s="82"/>
      <c r="U1995" s="82"/>
      <c r="V1995" s="82"/>
      <c r="W1995" s="82"/>
      <c r="X1995" s="82"/>
      <c r="Y1995" s="82"/>
      <c r="Z1995" s="82"/>
      <c r="AA1995" s="82"/>
      <c r="AB1995" s="82"/>
      <c r="AC1995" s="82"/>
      <c r="AD1995" s="82"/>
      <c r="AE1995" s="82"/>
      <c r="AF1995" s="82"/>
      <c r="AG1995" s="82"/>
      <c r="AH1995" s="82"/>
      <c r="AI1995" s="82"/>
      <c r="AJ1995" s="82"/>
      <c r="AK1995" s="82"/>
      <c r="AL1995" s="82"/>
      <c r="AM1995" s="82"/>
      <c r="AN1995" s="82">
        <f>IFERROR(__xludf.DUMMYFUNCTION("""COMPUTED_VALUE"""),0.0)</f>
        <v>0</v>
      </c>
      <c r="AO1995" s="82">
        <f>IFERROR(__xludf.DUMMYFUNCTION("""COMPUTED_VALUE"""),0.0)</f>
        <v>0</v>
      </c>
      <c r="AP1995" s="82">
        <f>IFERROR(__xludf.DUMMYFUNCTION("""COMPUTED_VALUE"""),0.0)</f>
        <v>0</v>
      </c>
      <c r="AQ1995" s="82">
        <f>IFERROR(__xludf.DUMMYFUNCTION("""COMPUTED_VALUE"""),0.0)</f>
        <v>0</v>
      </c>
      <c r="AR1995" s="82">
        <f>IFERROR(__xludf.DUMMYFUNCTION("""COMPUTED_VALUE"""),0.0)</f>
        <v>0</v>
      </c>
      <c r="AS1995" s="82"/>
      <c r="AT1995" s="82">
        <f>IFERROR(__xludf.DUMMYFUNCTION("""COMPUTED_VALUE"""),0.0)</f>
        <v>0</v>
      </c>
      <c r="AU1995" s="82"/>
      <c r="AV1995" s="82"/>
      <c r="AW1995" s="82" t="str">
        <f t="shared" si="1"/>
        <v/>
      </c>
      <c r="AX1995" s="83" t="str">
        <f t="array" ref="AX1995">IFERROR(DGET('SBV Import'!A:G,"SBV",{"RSC ID","Tier";B1995,A1995}))</f>
        <v/>
      </c>
      <c r="AY1995" s="82" t="str">
        <f t="shared" si="2"/>
        <v/>
      </c>
      <c r="AZ1995" s="82"/>
      <c r="BA1995" s="84" t="s">
        <v>152</v>
      </c>
      <c r="BB1995" s="84" t="str">
        <f>IFERROR(__xludf.DUMMYFUNCTION("iferror(if(A1995="""",,E1995&gt;=FILTER(Constants!$F$2:$F$10,Constants!$A$2:$A$10=A1995)))"),"")</f>
        <v/>
      </c>
    </row>
    <row r="1996">
      <c r="A1996" s="89"/>
      <c r="B1996" s="87"/>
      <c r="C1996" s="73"/>
      <c r="D1996" s="73"/>
      <c r="E1996" s="82"/>
      <c r="F1996" s="82"/>
      <c r="G1996" s="86"/>
      <c r="H1996" s="86"/>
      <c r="I1996" s="86"/>
      <c r="J1996" s="82"/>
      <c r="K1996" s="82"/>
      <c r="L1996" s="82"/>
      <c r="M1996" s="82"/>
      <c r="N1996" s="82"/>
      <c r="O1996" s="82"/>
      <c r="P1996" s="82"/>
      <c r="Q1996" s="82"/>
      <c r="R1996" s="82"/>
      <c r="S1996" s="82"/>
      <c r="T1996" s="82"/>
      <c r="U1996" s="82"/>
      <c r="V1996" s="82"/>
      <c r="W1996" s="82"/>
      <c r="X1996" s="82"/>
      <c r="Y1996" s="82"/>
      <c r="Z1996" s="82"/>
      <c r="AA1996" s="82"/>
      <c r="AB1996" s="82"/>
      <c r="AC1996" s="82"/>
      <c r="AD1996" s="82"/>
      <c r="AE1996" s="82"/>
      <c r="AF1996" s="82"/>
      <c r="AG1996" s="82"/>
      <c r="AH1996" s="82"/>
      <c r="AI1996" s="82"/>
      <c r="AJ1996" s="82"/>
      <c r="AK1996" s="82"/>
      <c r="AL1996" s="82"/>
      <c r="AM1996" s="82"/>
      <c r="AN1996" s="82">
        <f>IFERROR(__xludf.DUMMYFUNCTION("""COMPUTED_VALUE"""),0.0)</f>
        <v>0</v>
      </c>
      <c r="AO1996" s="82">
        <f>IFERROR(__xludf.DUMMYFUNCTION("""COMPUTED_VALUE"""),0.0)</f>
        <v>0</v>
      </c>
      <c r="AP1996" s="82">
        <f>IFERROR(__xludf.DUMMYFUNCTION("""COMPUTED_VALUE"""),0.0)</f>
        <v>0</v>
      </c>
      <c r="AQ1996" s="82">
        <f>IFERROR(__xludf.DUMMYFUNCTION("""COMPUTED_VALUE"""),0.0)</f>
        <v>0</v>
      </c>
      <c r="AR1996" s="82">
        <f>IFERROR(__xludf.DUMMYFUNCTION("""COMPUTED_VALUE"""),0.0)</f>
        <v>0</v>
      </c>
      <c r="AS1996" s="82"/>
      <c r="AT1996" s="82">
        <f>IFERROR(__xludf.DUMMYFUNCTION("""COMPUTED_VALUE"""),0.0)</f>
        <v>0</v>
      </c>
      <c r="AU1996" s="82"/>
      <c r="AV1996" s="82"/>
      <c r="AW1996" s="82" t="str">
        <f t="shared" si="1"/>
        <v/>
      </c>
      <c r="AX1996" s="83" t="str">
        <f t="array" ref="AX1996">IFERROR(DGET('SBV Import'!A:G,"SBV",{"RSC ID","Tier";B1996,A1996}))</f>
        <v/>
      </c>
      <c r="AY1996" s="82" t="str">
        <f t="shared" si="2"/>
        <v/>
      </c>
      <c r="AZ1996" s="82"/>
      <c r="BA1996" s="84" t="s">
        <v>152</v>
      </c>
      <c r="BB1996" s="84" t="str">
        <f>IFERROR(__xludf.DUMMYFUNCTION("iferror(if(A1996="""",,E1996&gt;=FILTER(Constants!$F$2:$F$10,Constants!$A$2:$A$10=A1996)))"),"")</f>
        <v/>
      </c>
    </row>
    <row r="1997">
      <c r="A1997" s="89"/>
      <c r="B1997" s="87"/>
      <c r="C1997" s="73"/>
      <c r="D1997" s="73"/>
      <c r="E1997" s="82"/>
      <c r="F1997" s="82"/>
      <c r="G1997" s="86"/>
      <c r="H1997" s="86"/>
      <c r="I1997" s="86"/>
      <c r="J1997" s="82"/>
      <c r="K1997" s="82"/>
      <c r="L1997" s="82"/>
      <c r="M1997" s="82"/>
      <c r="N1997" s="82"/>
      <c r="O1997" s="82"/>
      <c r="P1997" s="82"/>
      <c r="Q1997" s="82"/>
      <c r="R1997" s="82"/>
      <c r="S1997" s="82"/>
      <c r="T1997" s="82"/>
      <c r="U1997" s="82"/>
      <c r="V1997" s="82"/>
      <c r="W1997" s="82"/>
      <c r="X1997" s="82"/>
      <c r="Y1997" s="82"/>
      <c r="Z1997" s="82"/>
      <c r="AA1997" s="82"/>
      <c r="AB1997" s="82"/>
      <c r="AC1997" s="82"/>
      <c r="AD1997" s="82"/>
      <c r="AE1997" s="82"/>
      <c r="AF1997" s="82"/>
      <c r="AG1997" s="82"/>
      <c r="AH1997" s="82"/>
      <c r="AI1997" s="82"/>
      <c r="AJ1997" s="82"/>
      <c r="AK1997" s="82"/>
      <c r="AL1997" s="82"/>
      <c r="AM1997" s="82"/>
      <c r="AN1997" s="82">
        <f>IFERROR(__xludf.DUMMYFUNCTION("""COMPUTED_VALUE"""),0.0)</f>
        <v>0</v>
      </c>
      <c r="AO1997" s="82">
        <f>IFERROR(__xludf.DUMMYFUNCTION("""COMPUTED_VALUE"""),0.0)</f>
        <v>0</v>
      </c>
      <c r="AP1997" s="82">
        <f>IFERROR(__xludf.DUMMYFUNCTION("""COMPUTED_VALUE"""),0.0)</f>
        <v>0</v>
      </c>
      <c r="AQ1997" s="82">
        <f>IFERROR(__xludf.DUMMYFUNCTION("""COMPUTED_VALUE"""),0.0)</f>
        <v>0</v>
      </c>
      <c r="AR1997" s="82">
        <f>IFERROR(__xludf.DUMMYFUNCTION("""COMPUTED_VALUE"""),0.0)</f>
        <v>0</v>
      </c>
      <c r="AS1997" s="82"/>
      <c r="AT1997" s="82">
        <f>IFERROR(__xludf.DUMMYFUNCTION("""COMPUTED_VALUE"""),0.0)</f>
        <v>0</v>
      </c>
      <c r="AU1997" s="82"/>
      <c r="AV1997" s="82"/>
      <c r="AW1997" s="82" t="str">
        <f t="shared" si="1"/>
        <v/>
      </c>
      <c r="AX1997" s="83" t="str">
        <f t="array" ref="AX1997">IFERROR(DGET('SBV Import'!A:G,"SBV",{"RSC ID","Tier";B1997,A1997}))</f>
        <v/>
      </c>
      <c r="AY1997" s="82" t="str">
        <f t="shared" si="2"/>
        <v/>
      </c>
      <c r="AZ1997" s="82"/>
      <c r="BA1997" s="84" t="s">
        <v>152</v>
      </c>
      <c r="BB1997" s="84" t="str">
        <f>IFERROR(__xludf.DUMMYFUNCTION("iferror(if(A1997="""",,E1997&gt;=FILTER(Constants!$F$2:$F$10,Constants!$A$2:$A$10=A1997)))"),"")</f>
        <v/>
      </c>
    </row>
    <row r="1998">
      <c r="A1998" s="87"/>
      <c r="B1998" s="87"/>
      <c r="C1998" s="73"/>
      <c r="D1998" s="73"/>
      <c r="E1998" s="82"/>
      <c r="F1998" s="82"/>
      <c r="G1998" s="86"/>
      <c r="H1998" s="86"/>
      <c r="I1998" s="86"/>
      <c r="J1998" s="82"/>
      <c r="K1998" s="82"/>
      <c r="L1998" s="82"/>
      <c r="M1998" s="82"/>
      <c r="N1998" s="82"/>
      <c r="O1998" s="82"/>
      <c r="P1998" s="82"/>
      <c r="Q1998" s="82"/>
      <c r="R1998" s="82"/>
      <c r="S1998" s="82"/>
      <c r="T1998" s="82"/>
      <c r="U1998" s="82"/>
      <c r="V1998" s="82"/>
      <c r="W1998" s="82"/>
      <c r="X1998" s="82"/>
      <c r="Y1998" s="82"/>
      <c r="Z1998" s="82"/>
      <c r="AA1998" s="82"/>
      <c r="AB1998" s="82"/>
      <c r="AC1998" s="82"/>
      <c r="AD1998" s="82"/>
      <c r="AE1998" s="82"/>
      <c r="AF1998" s="82"/>
      <c r="AG1998" s="82"/>
      <c r="AH1998" s="82"/>
      <c r="AI1998" s="82"/>
      <c r="AJ1998" s="82"/>
      <c r="AK1998" s="82"/>
      <c r="AL1998" s="82"/>
      <c r="AM1998" s="82"/>
      <c r="AN1998" s="82">
        <f>IFERROR(__xludf.DUMMYFUNCTION("""COMPUTED_VALUE"""),0.0)</f>
        <v>0</v>
      </c>
      <c r="AO1998" s="82">
        <f>IFERROR(__xludf.DUMMYFUNCTION("""COMPUTED_VALUE"""),0.0)</f>
        <v>0</v>
      </c>
      <c r="AP1998" s="82">
        <f>IFERROR(__xludf.DUMMYFUNCTION("""COMPUTED_VALUE"""),0.0)</f>
        <v>0</v>
      </c>
      <c r="AQ1998" s="82">
        <f>IFERROR(__xludf.DUMMYFUNCTION("""COMPUTED_VALUE"""),0.0)</f>
        <v>0</v>
      </c>
      <c r="AR1998" s="82">
        <f>IFERROR(__xludf.DUMMYFUNCTION("""COMPUTED_VALUE"""),0.0)</f>
        <v>0</v>
      </c>
      <c r="AS1998" s="82"/>
      <c r="AT1998" s="82">
        <f>IFERROR(__xludf.DUMMYFUNCTION("""COMPUTED_VALUE"""),0.0)</f>
        <v>0</v>
      </c>
      <c r="AU1998" s="82"/>
      <c r="AV1998" s="82"/>
      <c r="AW1998" s="82" t="str">
        <f t="shared" si="1"/>
        <v/>
      </c>
      <c r="AX1998" s="83" t="str">
        <f t="array" ref="AX1998">IFERROR(DGET('SBV Import'!A:G,"SBV",{"RSC ID","Tier";B1998,A1998}))</f>
        <v/>
      </c>
      <c r="AY1998" s="82" t="str">
        <f t="shared" si="2"/>
        <v/>
      </c>
      <c r="AZ1998" s="82"/>
      <c r="BA1998" s="84" t="s">
        <v>152</v>
      </c>
      <c r="BB1998" s="84" t="str">
        <f>IFERROR(__xludf.DUMMYFUNCTION("iferror(if(A1998="""",,E1998&gt;=FILTER(Constants!$F$2:$F$10,Constants!$A$2:$A$10=A1998)))"),"")</f>
        <v/>
      </c>
    </row>
    <row r="1999">
      <c r="A1999" s="87"/>
      <c r="B1999" s="87"/>
      <c r="C1999" s="73"/>
      <c r="D1999" s="73"/>
      <c r="E1999" s="82"/>
      <c r="F1999" s="82"/>
      <c r="G1999" s="86"/>
      <c r="H1999" s="86"/>
      <c r="I1999" s="86"/>
      <c r="J1999" s="82"/>
      <c r="K1999" s="82"/>
      <c r="L1999" s="82"/>
      <c r="M1999" s="82"/>
      <c r="N1999" s="82"/>
      <c r="O1999" s="82"/>
      <c r="P1999" s="82"/>
      <c r="Q1999" s="82"/>
      <c r="R1999" s="82"/>
      <c r="S1999" s="82"/>
      <c r="T1999" s="82"/>
      <c r="U1999" s="82"/>
      <c r="V1999" s="82"/>
      <c r="W1999" s="82"/>
      <c r="X1999" s="82"/>
      <c r="Y1999" s="82"/>
      <c r="Z1999" s="82"/>
      <c r="AA1999" s="82"/>
      <c r="AB1999" s="82"/>
      <c r="AC1999" s="82"/>
      <c r="AD1999" s="82"/>
      <c r="AE1999" s="82"/>
      <c r="AF1999" s="82"/>
      <c r="AG1999" s="82"/>
      <c r="AH1999" s="82"/>
      <c r="AI1999" s="82"/>
      <c r="AJ1999" s="82"/>
      <c r="AK1999" s="82"/>
      <c r="AL1999" s="82"/>
      <c r="AM1999" s="82"/>
      <c r="AN1999" s="82"/>
      <c r="AO1999" s="82"/>
      <c r="AP1999" s="82"/>
      <c r="AQ1999" s="82"/>
      <c r="AR1999" s="82"/>
      <c r="AS1999" s="82"/>
      <c r="AT1999" s="82"/>
      <c r="AU1999" s="82"/>
      <c r="AV1999" s="82"/>
      <c r="AW1999" s="82" t="str">
        <f t="shared" si="1"/>
        <v/>
      </c>
      <c r="AX1999" s="83" t="str">
        <f t="array" ref="AX1999">IFERROR(DGET('SBV Import'!A:G,"SBV",{"RSC ID","Tier";B1999,A1999}))</f>
        <v/>
      </c>
      <c r="AY1999" s="82" t="str">
        <f t="shared" si="2"/>
        <v/>
      </c>
      <c r="AZ1999" s="82"/>
      <c r="BA1999" s="84" t="s">
        <v>152</v>
      </c>
      <c r="BB1999" s="84" t="str">
        <f>IFERROR(__xludf.DUMMYFUNCTION("iferror(if(A1999="""",,E1999&gt;=FILTER(Constants!$F$2:$F$10,Constants!$A$2:$A$10=A1999)))"),"")</f>
        <v/>
      </c>
    </row>
    <row r="2000">
      <c r="A2000" s="87"/>
      <c r="B2000" s="87"/>
      <c r="C2000" s="73"/>
      <c r="D2000" s="73"/>
      <c r="E2000" s="82"/>
      <c r="F2000" s="82"/>
      <c r="G2000" s="86"/>
      <c r="H2000" s="86"/>
      <c r="I2000" s="86"/>
      <c r="J2000" s="82"/>
      <c r="K2000" s="82"/>
      <c r="L2000" s="82"/>
      <c r="M2000" s="82"/>
      <c r="N2000" s="82"/>
      <c r="O2000" s="82"/>
      <c r="P2000" s="82"/>
      <c r="Q2000" s="82"/>
      <c r="R2000" s="82"/>
      <c r="S2000" s="82"/>
      <c r="T2000" s="82"/>
      <c r="U2000" s="82"/>
      <c r="V2000" s="82"/>
      <c r="W2000" s="82"/>
      <c r="X2000" s="82"/>
      <c r="Y2000" s="82"/>
      <c r="Z2000" s="82"/>
      <c r="AA2000" s="82"/>
      <c r="AB2000" s="82"/>
      <c r="AC2000" s="82"/>
      <c r="AD2000" s="82"/>
      <c r="AE2000" s="82"/>
      <c r="AF2000" s="82"/>
      <c r="AG2000" s="82"/>
      <c r="AH2000" s="82"/>
      <c r="AI2000" s="82"/>
      <c r="AJ2000" s="82"/>
      <c r="AK2000" s="82"/>
      <c r="AL2000" s="82"/>
      <c r="AM2000" s="82"/>
      <c r="AN2000" s="82"/>
      <c r="AO2000" s="82"/>
      <c r="AP2000" s="82"/>
      <c r="AQ2000" s="82"/>
      <c r="AR2000" s="82"/>
      <c r="AS2000" s="82"/>
      <c r="AT2000" s="82"/>
      <c r="AU2000" s="82"/>
      <c r="AV2000" s="82"/>
      <c r="AW2000" s="82" t="str">
        <f t="shared" si="1"/>
        <v/>
      </c>
      <c r="AX2000" s="83" t="str">
        <f t="array" ref="AX2000">IFERROR(DGET('SBV Import'!A:G,"SBV",{"RSC ID","Tier";B2000,A2000}))</f>
        <v/>
      </c>
      <c r="AY2000" s="82" t="str">
        <f t="shared" si="2"/>
        <v/>
      </c>
      <c r="AZ2000" s="82"/>
      <c r="BA2000" s="84" t="s">
        <v>152</v>
      </c>
      <c r="BB2000" s="84" t="str">
        <f>IFERROR(__xludf.DUMMYFUNCTION("iferror(if(A2000="""",,E2000&gt;=FILTER(Constants!$F$2:$F$10,Constants!$A$2:$A$10=A2000)))"),"")</f>
        <v/>
      </c>
    </row>
    <row r="2001">
      <c r="A2001" s="87"/>
      <c r="B2001" s="87"/>
      <c r="C2001" s="73"/>
      <c r="D2001" s="73"/>
      <c r="E2001" s="82"/>
      <c r="F2001" s="82"/>
      <c r="G2001" s="86"/>
      <c r="H2001" s="86"/>
      <c r="I2001" s="86"/>
      <c r="J2001" s="82"/>
      <c r="K2001" s="82"/>
      <c r="L2001" s="82"/>
      <c r="M2001" s="82"/>
      <c r="N2001" s="82"/>
      <c r="O2001" s="82"/>
      <c r="P2001" s="82"/>
      <c r="Q2001" s="82"/>
      <c r="R2001" s="82"/>
      <c r="S2001" s="82"/>
      <c r="T2001" s="82"/>
      <c r="U2001" s="82"/>
      <c r="V2001" s="82"/>
      <c r="W2001" s="82"/>
      <c r="X2001" s="82"/>
      <c r="Y2001" s="82"/>
      <c r="Z2001" s="82"/>
      <c r="AA2001" s="82"/>
      <c r="AB2001" s="82"/>
      <c r="AC2001" s="82"/>
      <c r="AD2001" s="82"/>
      <c r="AE2001" s="82"/>
      <c r="AF2001" s="82"/>
      <c r="AG2001" s="82"/>
      <c r="AH2001" s="82"/>
      <c r="AI2001" s="82"/>
      <c r="AJ2001" s="82"/>
      <c r="AK2001" s="82"/>
      <c r="AL2001" s="82"/>
      <c r="AM2001" s="82"/>
      <c r="AN2001" s="82"/>
      <c r="AO2001" s="82"/>
      <c r="AP2001" s="82"/>
      <c r="AQ2001" s="82"/>
      <c r="AR2001" s="82"/>
      <c r="AS2001" s="82"/>
      <c r="AT2001" s="82"/>
      <c r="AU2001" s="82"/>
      <c r="AV2001" s="82"/>
      <c r="AW2001" s="82" t="str">
        <f t="shared" si="1"/>
        <v/>
      </c>
      <c r="AX2001" s="83" t="str">
        <f t="array" ref="AX2001">IFERROR(DGET('SBV Import'!A:G,"SBV",{"RSC ID","Tier";B2001,A2001}))</f>
        <v/>
      </c>
      <c r="AY2001" s="82" t="str">
        <f t="shared" si="2"/>
        <v/>
      </c>
      <c r="AZ2001" s="82"/>
      <c r="BA2001" s="84" t="s">
        <v>152</v>
      </c>
      <c r="BB2001" s="84" t="str">
        <f>IFERROR(__xludf.DUMMYFUNCTION("iferror(if(A2001="""",,E2001&gt;=FILTER(Constants!$F$2:$F$10,Constants!$A$2:$A$10=A2001)))"),"")</f>
        <v/>
      </c>
    </row>
    <row r="2002">
      <c r="A2002" s="87"/>
      <c r="B2002" s="87"/>
      <c r="C2002" s="73"/>
      <c r="D2002" s="73"/>
      <c r="E2002" s="82"/>
      <c r="F2002" s="82"/>
      <c r="G2002" s="86"/>
      <c r="H2002" s="86"/>
      <c r="I2002" s="86"/>
      <c r="J2002" s="82"/>
      <c r="K2002" s="82"/>
      <c r="L2002" s="82"/>
      <c r="M2002" s="82"/>
      <c r="N2002" s="82"/>
      <c r="O2002" s="82"/>
      <c r="P2002" s="82"/>
      <c r="Q2002" s="82"/>
      <c r="R2002" s="82"/>
      <c r="S2002" s="82"/>
      <c r="T2002" s="82"/>
      <c r="U2002" s="82"/>
      <c r="V2002" s="82"/>
      <c r="W2002" s="82"/>
      <c r="X2002" s="82"/>
      <c r="Y2002" s="82"/>
      <c r="Z2002" s="82"/>
      <c r="AA2002" s="82"/>
      <c r="AB2002" s="82"/>
      <c r="AC2002" s="82"/>
      <c r="AD2002" s="82"/>
      <c r="AE2002" s="82"/>
      <c r="AF2002" s="82"/>
      <c r="AG2002" s="82"/>
      <c r="AH2002" s="82"/>
      <c r="AI2002" s="82"/>
      <c r="AJ2002" s="82"/>
      <c r="AK2002" s="82"/>
      <c r="AL2002" s="82"/>
      <c r="AM2002" s="82"/>
      <c r="AN2002" s="82"/>
      <c r="AO2002" s="82"/>
      <c r="AP2002" s="82"/>
      <c r="AQ2002" s="82"/>
      <c r="AR2002" s="82"/>
      <c r="AS2002" s="82"/>
      <c r="AT2002" s="82"/>
      <c r="AU2002" s="82"/>
      <c r="AV2002" s="82"/>
      <c r="AW2002" s="82" t="str">
        <f t="shared" si="1"/>
        <v/>
      </c>
      <c r="AX2002" s="83" t="str">
        <f t="array" ref="AX2002">IFERROR(DGET('SBV Import'!A:G,"SBV",{"RSC ID","Tier";B2002,A2002}))</f>
        <v/>
      </c>
      <c r="AY2002" s="82" t="str">
        <f t="shared" si="2"/>
        <v/>
      </c>
      <c r="AZ2002" s="82"/>
      <c r="BA2002" s="84" t="s">
        <v>152</v>
      </c>
      <c r="BB2002" s="84" t="str">
        <f>IFERROR(__xludf.DUMMYFUNCTION("iferror(if(A2002="""",,E2002&gt;=FILTER(Constants!$F$2:$F$10,Constants!$A$2:$A$10=A2002)))"),"")</f>
        <v/>
      </c>
    </row>
    <row r="2003">
      <c r="A2003" s="87"/>
      <c r="B2003" s="87"/>
      <c r="C2003" s="73"/>
      <c r="D2003" s="73"/>
      <c r="E2003" s="82"/>
      <c r="F2003" s="82"/>
      <c r="G2003" s="86"/>
      <c r="H2003" s="86"/>
      <c r="I2003" s="86"/>
      <c r="J2003" s="82"/>
      <c r="K2003" s="82"/>
      <c r="L2003" s="82"/>
      <c r="M2003" s="82"/>
      <c r="N2003" s="82"/>
      <c r="O2003" s="82"/>
      <c r="P2003" s="82"/>
      <c r="Q2003" s="82"/>
      <c r="R2003" s="82"/>
      <c r="S2003" s="82"/>
      <c r="T2003" s="82"/>
      <c r="U2003" s="82"/>
      <c r="V2003" s="82"/>
      <c r="W2003" s="82"/>
      <c r="X2003" s="82"/>
      <c r="Y2003" s="82"/>
      <c r="Z2003" s="82"/>
      <c r="AA2003" s="82"/>
      <c r="AB2003" s="82"/>
      <c r="AC2003" s="82"/>
      <c r="AD2003" s="82"/>
      <c r="AE2003" s="82"/>
      <c r="AF2003" s="82"/>
      <c r="AG2003" s="82"/>
      <c r="AH2003" s="82"/>
      <c r="AI2003" s="82"/>
      <c r="AJ2003" s="82"/>
      <c r="AK2003" s="82"/>
      <c r="AL2003" s="82"/>
      <c r="AM2003" s="82"/>
      <c r="AN2003" s="82"/>
      <c r="AO2003" s="82"/>
      <c r="AP2003" s="82"/>
      <c r="AQ2003" s="82"/>
      <c r="AR2003" s="82"/>
      <c r="AS2003" s="82"/>
      <c r="AT2003" s="82"/>
      <c r="AU2003" s="82"/>
      <c r="AV2003" s="82"/>
      <c r="AW2003" s="82" t="str">
        <f t="shared" si="1"/>
        <v/>
      </c>
      <c r="AX2003" s="83" t="str">
        <f t="array" ref="AX2003">IFERROR(DGET('SBV Import'!A:G,"SBV",{"RSC ID","Tier";B2003,A2003}))</f>
        <v/>
      </c>
      <c r="AY2003" s="82" t="str">
        <f t="shared" si="2"/>
        <v/>
      </c>
      <c r="AZ2003" s="82"/>
      <c r="BA2003" s="84" t="s">
        <v>152</v>
      </c>
      <c r="BB2003" s="84" t="str">
        <f>IFERROR(__xludf.DUMMYFUNCTION("iferror(if(A2003="""",,E2003&gt;=FILTER(Constants!$F$2:$F$10,Constants!$A$2:$A$10=A2003)))"),"")</f>
        <v/>
      </c>
    </row>
    <row r="2004">
      <c r="A2004" s="87"/>
      <c r="B2004" s="87"/>
      <c r="C2004" s="73"/>
      <c r="D2004" s="73"/>
      <c r="E2004" s="82"/>
      <c r="F2004" s="82"/>
      <c r="G2004" s="86"/>
      <c r="H2004" s="86"/>
      <c r="I2004" s="86"/>
      <c r="J2004" s="82"/>
      <c r="K2004" s="82"/>
      <c r="L2004" s="82"/>
      <c r="M2004" s="82"/>
      <c r="N2004" s="82"/>
      <c r="O2004" s="82"/>
      <c r="P2004" s="82"/>
      <c r="Q2004" s="82"/>
      <c r="R2004" s="82"/>
      <c r="S2004" s="82"/>
      <c r="T2004" s="82"/>
      <c r="U2004" s="82"/>
      <c r="V2004" s="82"/>
      <c r="W2004" s="82"/>
      <c r="X2004" s="82"/>
      <c r="Y2004" s="82"/>
      <c r="Z2004" s="82"/>
      <c r="AA2004" s="82"/>
      <c r="AB2004" s="82"/>
      <c r="AC2004" s="82"/>
      <c r="AD2004" s="82"/>
      <c r="AE2004" s="82"/>
      <c r="AF2004" s="82"/>
      <c r="AG2004" s="82"/>
      <c r="AH2004" s="82"/>
      <c r="AI2004" s="82"/>
      <c r="AJ2004" s="82"/>
      <c r="AK2004" s="82"/>
      <c r="AL2004" s="82"/>
      <c r="AM2004" s="82"/>
      <c r="AN2004" s="82"/>
      <c r="AO2004" s="82"/>
      <c r="AP2004" s="82"/>
      <c r="AQ2004" s="82"/>
      <c r="AR2004" s="82"/>
      <c r="AS2004" s="82"/>
      <c r="AT2004" s="82"/>
      <c r="AU2004" s="82"/>
      <c r="AV2004" s="82"/>
      <c r="AW2004" s="82" t="str">
        <f t="shared" si="1"/>
        <v/>
      </c>
      <c r="AX2004" s="83" t="str">
        <f t="array" ref="AX2004">IFERROR(DGET('SBV Import'!A:G,"SBV",{"RSC ID","Tier";B2004,A2004}))</f>
        <v/>
      </c>
      <c r="AY2004" s="82" t="str">
        <f t="shared" si="2"/>
        <v/>
      </c>
      <c r="AZ2004" s="82"/>
      <c r="BA2004" s="84" t="s">
        <v>152</v>
      </c>
      <c r="BB2004" s="84" t="str">
        <f>IFERROR(__xludf.DUMMYFUNCTION("iferror(if(A2004="""",,E2004&gt;=FILTER(Constants!$F$2:$F$10,Constants!$A$2:$A$10=A2004)))"),"")</f>
        <v/>
      </c>
    </row>
    <row r="2005">
      <c r="A2005" s="87"/>
      <c r="B2005" s="87"/>
      <c r="C2005" s="73"/>
      <c r="D2005" s="73"/>
      <c r="E2005" s="82"/>
      <c r="F2005" s="82"/>
      <c r="G2005" s="86"/>
      <c r="H2005" s="86"/>
      <c r="I2005" s="86"/>
      <c r="J2005" s="82"/>
      <c r="K2005" s="82"/>
      <c r="L2005" s="82"/>
      <c r="M2005" s="82"/>
      <c r="N2005" s="82"/>
      <c r="O2005" s="82"/>
      <c r="P2005" s="82"/>
      <c r="Q2005" s="82"/>
      <c r="R2005" s="82"/>
      <c r="S2005" s="82"/>
      <c r="T2005" s="82"/>
      <c r="U2005" s="82"/>
      <c r="V2005" s="82"/>
      <c r="W2005" s="82"/>
      <c r="X2005" s="82"/>
      <c r="Y2005" s="82"/>
      <c r="Z2005" s="82"/>
      <c r="AA2005" s="82"/>
      <c r="AB2005" s="82"/>
      <c r="AC2005" s="82"/>
      <c r="AD2005" s="82"/>
      <c r="AE2005" s="82"/>
      <c r="AF2005" s="82"/>
      <c r="AG2005" s="82"/>
      <c r="AH2005" s="82"/>
      <c r="AI2005" s="82"/>
      <c r="AJ2005" s="82"/>
      <c r="AK2005" s="82"/>
      <c r="AL2005" s="82"/>
      <c r="AM2005" s="82"/>
      <c r="AN2005" s="82"/>
      <c r="AO2005" s="82"/>
      <c r="AP2005" s="82"/>
      <c r="AQ2005" s="82"/>
      <c r="AR2005" s="82"/>
      <c r="AS2005" s="82"/>
      <c r="AT2005" s="82"/>
      <c r="AU2005" s="82"/>
      <c r="AV2005" s="82"/>
      <c r="AW2005" s="82" t="str">
        <f t="shared" si="1"/>
        <v/>
      </c>
      <c r="AX2005" s="83" t="str">
        <f t="array" ref="AX2005">IFERROR(DGET('SBV Import'!A:G,"SBV",{"RSC ID","Tier";B2005,A2005}))</f>
        <v/>
      </c>
      <c r="AY2005" s="82" t="str">
        <f t="shared" si="2"/>
        <v/>
      </c>
      <c r="AZ2005" s="82"/>
      <c r="BA2005" s="84" t="s">
        <v>152</v>
      </c>
      <c r="BB2005" s="84" t="str">
        <f>IFERROR(__xludf.DUMMYFUNCTION("iferror(if(A2005="""",,E2005&gt;=FILTER(Constants!$F$2:$F$10,Constants!$A$2:$A$10=A2005)))"),"")</f>
        <v/>
      </c>
    </row>
    <row r="2006">
      <c r="A2006" s="87"/>
      <c r="B2006" s="87"/>
      <c r="C2006" s="73"/>
      <c r="D2006" s="73"/>
      <c r="E2006" s="82"/>
      <c r="F2006" s="82"/>
      <c r="G2006" s="86"/>
      <c r="H2006" s="86"/>
      <c r="I2006" s="86"/>
      <c r="J2006" s="82"/>
      <c r="K2006" s="82"/>
      <c r="L2006" s="82"/>
      <c r="M2006" s="82"/>
      <c r="N2006" s="82"/>
      <c r="O2006" s="82"/>
      <c r="P2006" s="82"/>
      <c r="Q2006" s="82"/>
      <c r="R2006" s="82"/>
      <c r="S2006" s="82"/>
      <c r="T2006" s="82"/>
      <c r="U2006" s="82"/>
      <c r="V2006" s="82"/>
      <c r="W2006" s="82"/>
      <c r="X2006" s="82"/>
      <c r="Y2006" s="82"/>
      <c r="Z2006" s="82"/>
      <c r="AA2006" s="82"/>
      <c r="AB2006" s="82"/>
      <c r="AC2006" s="82"/>
      <c r="AD2006" s="82"/>
      <c r="AE2006" s="82"/>
      <c r="AF2006" s="82"/>
      <c r="AG2006" s="82"/>
      <c r="AH2006" s="82"/>
      <c r="AI2006" s="82"/>
      <c r="AJ2006" s="82"/>
      <c r="AK2006" s="82"/>
      <c r="AL2006" s="82"/>
      <c r="AM2006" s="82"/>
      <c r="AN2006" s="82"/>
      <c r="AO2006" s="82"/>
      <c r="AP2006" s="82"/>
      <c r="AQ2006" s="82"/>
      <c r="AR2006" s="82"/>
      <c r="AS2006" s="82"/>
      <c r="AT2006" s="82"/>
      <c r="AU2006" s="82"/>
      <c r="AV2006" s="82"/>
      <c r="AW2006" s="82" t="str">
        <f t="shared" si="1"/>
        <v/>
      </c>
      <c r="AX2006" s="83" t="str">
        <f t="array" ref="AX2006">IFERROR(DGET('SBV Import'!A:G,"SBV",{"RSC ID","Tier";B2006,A2006}))</f>
        <v/>
      </c>
      <c r="AY2006" s="82" t="str">
        <f t="shared" si="2"/>
        <v/>
      </c>
      <c r="AZ2006" s="82"/>
      <c r="BA2006" s="84" t="s">
        <v>152</v>
      </c>
      <c r="BB2006" s="84" t="str">
        <f>IFERROR(__xludf.DUMMYFUNCTION("iferror(if(A2006="""",,E2006&gt;=FILTER(Constants!$F$2:$F$10,Constants!$A$2:$A$10=A2006)))"),"")</f>
        <v/>
      </c>
    </row>
    <row r="2007">
      <c r="A2007" s="87"/>
      <c r="B2007" s="87"/>
      <c r="C2007" s="73"/>
      <c r="D2007" s="73"/>
      <c r="E2007" s="82"/>
      <c r="F2007" s="82"/>
      <c r="G2007" s="86"/>
      <c r="H2007" s="86"/>
      <c r="I2007" s="86"/>
      <c r="J2007" s="82"/>
      <c r="K2007" s="82"/>
      <c r="L2007" s="82"/>
      <c r="M2007" s="82"/>
      <c r="N2007" s="82"/>
      <c r="O2007" s="82"/>
      <c r="P2007" s="82"/>
      <c r="Q2007" s="82"/>
      <c r="R2007" s="82"/>
      <c r="S2007" s="82"/>
      <c r="T2007" s="82"/>
      <c r="U2007" s="82"/>
      <c r="V2007" s="82"/>
      <c r="W2007" s="82"/>
      <c r="X2007" s="82"/>
      <c r="Y2007" s="82"/>
      <c r="Z2007" s="82"/>
      <c r="AA2007" s="82"/>
      <c r="AB2007" s="82"/>
      <c r="AC2007" s="82"/>
      <c r="AD2007" s="82"/>
      <c r="AE2007" s="82"/>
      <c r="AF2007" s="82"/>
      <c r="AG2007" s="82"/>
      <c r="AH2007" s="82"/>
      <c r="AI2007" s="82"/>
      <c r="AJ2007" s="82"/>
      <c r="AK2007" s="82"/>
      <c r="AL2007" s="82"/>
      <c r="AM2007" s="82"/>
      <c r="AN2007" s="82"/>
      <c r="AO2007" s="82"/>
      <c r="AP2007" s="82"/>
      <c r="AQ2007" s="82"/>
      <c r="AR2007" s="82"/>
      <c r="AS2007" s="82"/>
      <c r="AT2007" s="82"/>
      <c r="AU2007" s="82"/>
      <c r="AV2007" s="82"/>
      <c r="AW2007" s="82" t="str">
        <f t="shared" si="1"/>
        <v/>
      </c>
      <c r="AX2007" s="83" t="str">
        <f t="array" ref="AX2007">IFERROR(DGET('SBV Import'!A:G,"SBV",{"RSC ID","Tier";B2007,A2007}))</f>
        <v/>
      </c>
      <c r="AY2007" s="82" t="str">
        <f t="shared" si="2"/>
        <v/>
      </c>
      <c r="AZ2007" s="82"/>
      <c r="BA2007" s="84" t="s">
        <v>152</v>
      </c>
      <c r="BB2007" s="84" t="str">
        <f>IFERROR(__xludf.DUMMYFUNCTION("iferror(if(A2007="""",,E2007&gt;=FILTER(Constants!$F$2:$F$10,Constants!$A$2:$A$10=A2007)))"),"")</f>
        <v/>
      </c>
    </row>
    <row r="2008">
      <c r="A2008" s="87"/>
      <c r="B2008" s="87"/>
      <c r="C2008" s="73"/>
      <c r="D2008" s="73"/>
      <c r="E2008" s="82"/>
      <c r="F2008" s="82"/>
      <c r="G2008" s="86"/>
      <c r="H2008" s="86"/>
      <c r="I2008" s="86"/>
      <c r="J2008" s="82"/>
      <c r="K2008" s="82"/>
      <c r="L2008" s="82"/>
      <c r="M2008" s="82"/>
      <c r="N2008" s="82"/>
      <c r="O2008" s="82"/>
      <c r="P2008" s="82"/>
      <c r="Q2008" s="82"/>
      <c r="R2008" s="82"/>
      <c r="S2008" s="82"/>
      <c r="T2008" s="82"/>
      <c r="U2008" s="82"/>
      <c r="V2008" s="82"/>
      <c r="W2008" s="82"/>
      <c r="X2008" s="82"/>
      <c r="Y2008" s="82"/>
      <c r="Z2008" s="82"/>
      <c r="AA2008" s="82"/>
      <c r="AB2008" s="82"/>
      <c r="AC2008" s="82"/>
      <c r="AD2008" s="82"/>
      <c r="AE2008" s="82"/>
      <c r="AF2008" s="82"/>
      <c r="AG2008" s="82"/>
      <c r="AH2008" s="82"/>
      <c r="AI2008" s="82"/>
      <c r="AJ2008" s="82"/>
      <c r="AK2008" s="82"/>
      <c r="AL2008" s="82"/>
      <c r="AM2008" s="82"/>
      <c r="AN2008" s="82"/>
      <c r="AO2008" s="82"/>
      <c r="AP2008" s="82"/>
      <c r="AQ2008" s="82"/>
      <c r="AR2008" s="82"/>
      <c r="AS2008" s="82"/>
      <c r="AT2008" s="82"/>
      <c r="AU2008" s="82"/>
      <c r="AV2008" s="82"/>
      <c r="AW2008" s="82" t="str">
        <f t="shared" si="1"/>
        <v/>
      </c>
      <c r="AX2008" s="83" t="str">
        <f t="array" ref="AX2008">IFERROR(DGET('SBV Import'!A:G,"SBV",{"RSC ID","Tier";B2008,A2008}))</f>
        <v/>
      </c>
      <c r="AY2008" s="82" t="str">
        <f t="shared" si="2"/>
        <v/>
      </c>
      <c r="AZ2008" s="82"/>
      <c r="BA2008" s="84" t="s">
        <v>152</v>
      </c>
      <c r="BB2008" s="84" t="str">
        <f>IFERROR(__xludf.DUMMYFUNCTION("iferror(if(A2008="""",,E2008&gt;=FILTER(Constants!$F$2:$F$10,Constants!$A$2:$A$10=A2008)))"),"")</f>
        <v/>
      </c>
    </row>
    <row r="2009">
      <c r="A2009" s="87"/>
      <c r="B2009" s="87"/>
      <c r="C2009" s="73"/>
      <c r="D2009" s="73"/>
      <c r="E2009" s="82"/>
      <c r="F2009" s="82"/>
      <c r="G2009" s="86"/>
      <c r="H2009" s="86"/>
      <c r="I2009" s="86"/>
      <c r="J2009" s="82"/>
      <c r="K2009" s="82"/>
      <c r="L2009" s="82"/>
      <c r="M2009" s="82"/>
      <c r="N2009" s="82"/>
      <c r="O2009" s="82"/>
      <c r="P2009" s="82"/>
      <c r="Q2009" s="82"/>
      <c r="R2009" s="82"/>
      <c r="S2009" s="82"/>
      <c r="T2009" s="82"/>
      <c r="U2009" s="82"/>
      <c r="V2009" s="82"/>
      <c r="W2009" s="82"/>
      <c r="X2009" s="82"/>
      <c r="Y2009" s="82"/>
      <c r="Z2009" s="82"/>
      <c r="AA2009" s="82"/>
      <c r="AB2009" s="82"/>
      <c r="AC2009" s="82"/>
      <c r="AD2009" s="82"/>
      <c r="AE2009" s="82"/>
      <c r="AF2009" s="82"/>
      <c r="AG2009" s="82"/>
      <c r="AH2009" s="82"/>
      <c r="AI2009" s="82"/>
      <c r="AJ2009" s="82"/>
      <c r="AK2009" s="82"/>
      <c r="AL2009" s="82"/>
      <c r="AM2009" s="82"/>
      <c r="AN2009" s="82"/>
      <c r="AO2009" s="82"/>
      <c r="AP2009" s="82"/>
      <c r="AQ2009" s="82"/>
      <c r="AR2009" s="82"/>
      <c r="AS2009" s="82"/>
      <c r="AT2009" s="82"/>
      <c r="AU2009" s="82"/>
      <c r="AV2009" s="82"/>
      <c r="AW2009" s="82" t="str">
        <f t="shared" si="1"/>
        <v/>
      </c>
      <c r="AX2009" s="83" t="str">
        <f t="array" ref="AX2009">IFERROR(DGET('SBV Import'!A:G,"SBV",{"RSC ID","Tier";B2009,A2009}))</f>
        <v/>
      </c>
      <c r="AY2009" s="82" t="str">
        <f t="shared" si="2"/>
        <v/>
      </c>
      <c r="AZ2009" s="82"/>
      <c r="BA2009" s="84" t="s">
        <v>152</v>
      </c>
      <c r="BB2009" s="84" t="str">
        <f>IFERROR(__xludf.DUMMYFUNCTION("iferror(if(A2009="""",,E2009&gt;=FILTER(Constants!$F$2:$F$10,Constants!$A$2:$A$10=A2009)))"),"")</f>
        <v/>
      </c>
    </row>
    <row r="2010">
      <c r="A2010" s="87"/>
      <c r="B2010" s="87"/>
      <c r="C2010" s="73"/>
      <c r="D2010" s="73"/>
      <c r="E2010" s="82"/>
      <c r="F2010" s="82"/>
      <c r="G2010" s="86"/>
      <c r="H2010" s="86"/>
      <c r="I2010" s="86"/>
      <c r="J2010" s="82"/>
      <c r="K2010" s="82"/>
      <c r="L2010" s="82"/>
      <c r="M2010" s="82"/>
      <c r="N2010" s="82"/>
      <c r="O2010" s="82"/>
      <c r="P2010" s="82"/>
      <c r="Q2010" s="82"/>
      <c r="R2010" s="82"/>
      <c r="S2010" s="82"/>
      <c r="T2010" s="82"/>
      <c r="U2010" s="82"/>
      <c r="V2010" s="82"/>
      <c r="W2010" s="82"/>
      <c r="X2010" s="82"/>
      <c r="Y2010" s="82"/>
      <c r="Z2010" s="82"/>
      <c r="AA2010" s="82"/>
      <c r="AB2010" s="82"/>
      <c r="AC2010" s="82"/>
      <c r="AD2010" s="82"/>
      <c r="AE2010" s="82"/>
      <c r="AF2010" s="82"/>
      <c r="AG2010" s="82"/>
      <c r="AH2010" s="82"/>
      <c r="AI2010" s="82"/>
      <c r="AJ2010" s="82"/>
      <c r="AK2010" s="82"/>
      <c r="AL2010" s="82"/>
      <c r="AM2010" s="82"/>
      <c r="AN2010" s="82"/>
      <c r="AO2010" s="82"/>
      <c r="AP2010" s="82"/>
      <c r="AQ2010" s="82"/>
      <c r="AR2010" s="82"/>
      <c r="AS2010" s="82"/>
      <c r="AT2010" s="82"/>
      <c r="AU2010" s="82"/>
      <c r="AV2010" s="82"/>
      <c r="AW2010" s="82" t="str">
        <f t="shared" si="1"/>
        <v/>
      </c>
      <c r="AX2010" s="83" t="str">
        <f t="array" ref="AX2010">IFERROR(DGET('SBV Import'!A:G,"SBV",{"RSC ID","Tier";B2010,A2010}))</f>
        <v/>
      </c>
      <c r="AY2010" s="82" t="str">
        <f t="shared" si="2"/>
        <v/>
      </c>
      <c r="AZ2010" s="82"/>
      <c r="BA2010" s="84" t="s">
        <v>152</v>
      </c>
      <c r="BB2010" s="84" t="str">
        <f>IFERROR(__xludf.DUMMYFUNCTION("iferror(if(A2010="""",,E2010&gt;=FILTER(Constants!$F$2:$F$10,Constants!$A$2:$A$10=A2010)))"),"")</f>
        <v/>
      </c>
    </row>
    <row r="2011">
      <c r="A2011" s="87"/>
      <c r="B2011" s="87"/>
      <c r="C2011" s="73"/>
      <c r="D2011" s="73"/>
      <c r="E2011" s="82"/>
      <c r="F2011" s="82"/>
      <c r="G2011" s="86"/>
      <c r="H2011" s="86"/>
      <c r="I2011" s="86"/>
      <c r="J2011" s="82"/>
      <c r="K2011" s="82"/>
      <c r="L2011" s="82"/>
      <c r="M2011" s="82"/>
      <c r="N2011" s="82"/>
      <c r="O2011" s="82"/>
      <c r="P2011" s="82"/>
      <c r="Q2011" s="82"/>
      <c r="R2011" s="82"/>
      <c r="S2011" s="82"/>
      <c r="T2011" s="82"/>
      <c r="U2011" s="82"/>
      <c r="V2011" s="82"/>
      <c r="W2011" s="82"/>
      <c r="X2011" s="82"/>
      <c r="Y2011" s="82"/>
      <c r="Z2011" s="82"/>
      <c r="AA2011" s="82"/>
      <c r="AB2011" s="82"/>
      <c r="AC2011" s="82"/>
      <c r="AD2011" s="82"/>
      <c r="AE2011" s="82"/>
      <c r="AF2011" s="82"/>
      <c r="AG2011" s="82"/>
      <c r="AH2011" s="82"/>
      <c r="AI2011" s="82"/>
      <c r="AJ2011" s="82"/>
      <c r="AK2011" s="82"/>
      <c r="AL2011" s="82"/>
      <c r="AM2011" s="82"/>
      <c r="AN2011" s="82"/>
      <c r="AO2011" s="82"/>
      <c r="AP2011" s="82"/>
      <c r="AQ2011" s="82"/>
      <c r="AR2011" s="82"/>
      <c r="AS2011" s="82"/>
      <c r="AT2011" s="82"/>
      <c r="AU2011" s="82"/>
      <c r="AV2011" s="82"/>
      <c r="AW2011" s="82" t="str">
        <f t="shared" si="1"/>
        <v/>
      </c>
      <c r="AX2011" s="83" t="str">
        <f t="array" ref="AX2011">IFERROR(DGET('SBV Import'!A:G,"SBV",{"RSC ID","Tier";B2011,A2011}))</f>
        <v/>
      </c>
      <c r="AY2011" s="82" t="str">
        <f t="shared" si="2"/>
        <v/>
      </c>
      <c r="AZ2011" s="82"/>
      <c r="BA2011" s="84" t="s">
        <v>152</v>
      </c>
      <c r="BB2011" s="84" t="str">
        <f>IFERROR(__xludf.DUMMYFUNCTION("iferror(if(A2011="""",,E2011&gt;=FILTER(Constants!$F$2:$F$10,Constants!$A$2:$A$10=A2011)))"),"")</f>
        <v/>
      </c>
    </row>
    <row r="2012">
      <c r="A2012" s="87"/>
      <c r="B2012" s="87"/>
      <c r="C2012" s="73"/>
      <c r="D2012" s="73"/>
      <c r="E2012" s="82"/>
      <c r="F2012" s="82"/>
      <c r="G2012" s="86"/>
      <c r="H2012" s="86"/>
      <c r="I2012" s="86"/>
      <c r="J2012" s="82"/>
      <c r="K2012" s="82"/>
      <c r="L2012" s="82"/>
      <c r="M2012" s="82"/>
      <c r="N2012" s="82"/>
      <c r="O2012" s="82"/>
      <c r="P2012" s="82"/>
      <c r="Q2012" s="82"/>
      <c r="R2012" s="82"/>
      <c r="S2012" s="82"/>
      <c r="T2012" s="82"/>
      <c r="U2012" s="82"/>
      <c r="V2012" s="82"/>
      <c r="W2012" s="82"/>
      <c r="X2012" s="82"/>
      <c r="Y2012" s="82"/>
      <c r="Z2012" s="82"/>
      <c r="AA2012" s="82"/>
      <c r="AB2012" s="82"/>
      <c r="AC2012" s="82"/>
      <c r="AD2012" s="82"/>
      <c r="AE2012" s="82"/>
      <c r="AF2012" s="82"/>
      <c r="AG2012" s="82"/>
      <c r="AH2012" s="82"/>
      <c r="AI2012" s="82"/>
      <c r="AJ2012" s="82"/>
      <c r="AK2012" s="82"/>
      <c r="AL2012" s="82"/>
      <c r="AM2012" s="82"/>
      <c r="AN2012" s="82"/>
      <c r="AO2012" s="82"/>
      <c r="AP2012" s="82"/>
      <c r="AQ2012" s="82"/>
      <c r="AR2012" s="82"/>
      <c r="AS2012" s="82"/>
      <c r="AT2012" s="82"/>
      <c r="AU2012" s="82"/>
      <c r="AV2012" s="82"/>
      <c r="AW2012" s="82" t="str">
        <f t="shared" si="1"/>
        <v/>
      </c>
      <c r="AX2012" s="83" t="str">
        <f t="array" ref="AX2012">IFERROR(DGET('SBV Import'!A:G,"SBV",{"RSC ID","Tier";B2012,A2012}))</f>
        <v/>
      </c>
      <c r="AY2012" s="82" t="str">
        <f t="shared" si="2"/>
        <v/>
      </c>
      <c r="AZ2012" s="82"/>
      <c r="BA2012" s="84" t="s">
        <v>152</v>
      </c>
      <c r="BB2012" s="84" t="str">
        <f>IFERROR(__xludf.DUMMYFUNCTION("iferror(if(A2012="""",,E2012&gt;=FILTER(Constants!$F$2:$F$10,Constants!$A$2:$A$10=A2012)))"),"")</f>
        <v/>
      </c>
    </row>
    <row r="2013">
      <c r="A2013" s="87"/>
      <c r="B2013" s="87"/>
      <c r="C2013" s="73"/>
      <c r="D2013" s="73"/>
      <c r="E2013" s="82"/>
      <c r="F2013" s="82"/>
      <c r="G2013" s="86"/>
      <c r="H2013" s="86"/>
      <c r="I2013" s="86"/>
      <c r="J2013" s="82"/>
      <c r="K2013" s="82"/>
      <c r="L2013" s="82"/>
      <c r="M2013" s="82"/>
      <c r="N2013" s="82"/>
      <c r="O2013" s="82"/>
      <c r="P2013" s="82"/>
      <c r="Q2013" s="82"/>
      <c r="R2013" s="82"/>
      <c r="S2013" s="82"/>
      <c r="T2013" s="82"/>
      <c r="U2013" s="82"/>
      <c r="V2013" s="82"/>
      <c r="W2013" s="82"/>
      <c r="X2013" s="82"/>
      <c r="Y2013" s="82"/>
      <c r="Z2013" s="82"/>
      <c r="AA2013" s="82"/>
      <c r="AB2013" s="82"/>
      <c r="AC2013" s="82"/>
      <c r="AD2013" s="82"/>
      <c r="AE2013" s="82"/>
      <c r="AF2013" s="82"/>
      <c r="AG2013" s="82"/>
      <c r="AH2013" s="82"/>
      <c r="AI2013" s="82"/>
      <c r="AJ2013" s="82"/>
      <c r="AK2013" s="82"/>
      <c r="AL2013" s="82"/>
      <c r="AM2013" s="82"/>
      <c r="AN2013" s="82"/>
      <c r="AO2013" s="82"/>
      <c r="AP2013" s="82"/>
      <c r="AQ2013" s="82"/>
      <c r="AR2013" s="82"/>
      <c r="AS2013" s="82"/>
      <c r="AT2013" s="82"/>
      <c r="AU2013" s="82"/>
      <c r="AV2013" s="82"/>
      <c r="AW2013" s="82" t="str">
        <f t="shared" si="1"/>
        <v/>
      </c>
      <c r="AX2013" s="83" t="str">
        <f t="array" ref="AX2013">IFERROR(DGET('SBV Import'!A:G,"SBV",{"RSC ID","Tier";B2013,A2013}))</f>
        <v/>
      </c>
      <c r="AY2013" s="82" t="str">
        <f t="shared" si="2"/>
        <v/>
      </c>
      <c r="AZ2013" s="82"/>
      <c r="BA2013" s="84" t="s">
        <v>152</v>
      </c>
      <c r="BB2013" s="84" t="str">
        <f>IFERROR(__xludf.DUMMYFUNCTION("iferror(if(A2013="""",,E2013&gt;=FILTER(Constants!$F$2:$F$10,Constants!$A$2:$A$10=A2013)))"),"")</f>
        <v/>
      </c>
    </row>
    <row r="2014">
      <c r="A2014" s="87"/>
      <c r="B2014" s="87"/>
      <c r="C2014" s="73"/>
      <c r="D2014" s="73"/>
      <c r="E2014" s="82"/>
      <c r="F2014" s="82"/>
      <c r="G2014" s="86"/>
      <c r="H2014" s="86"/>
      <c r="I2014" s="86"/>
      <c r="J2014" s="82"/>
      <c r="K2014" s="82"/>
      <c r="L2014" s="82"/>
      <c r="M2014" s="82"/>
      <c r="N2014" s="82"/>
      <c r="O2014" s="82"/>
      <c r="P2014" s="82"/>
      <c r="Q2014" s="82"/>
      <c r="R2014" s="82"/>
      <c r="S2014" s="82"/>
      <c r="T2014" s="82"/>
      <c r="U2014" s="82"/>
      <c r="V2014" s="82"/>
      <c r="W2014" s="82"/>
      <c r="X2014" s="82"/>
      <c r="Y2014" s="82"/>
      <c r="Z2014" s="82"/>
      <c r="AA2014" s="82"/>
      <c r="AB2014" s="82"/>
      <c r="AC2014" s="82"/>
      <c r="AD2014" s="82"/>
      <c r="AE2014" s="82"/>
      <c r="AF2014" s="82"/>
      <c r="AG2014" s="82"/>
      <c r="AH2014" s="82"/>
      <c r="AI2014" s="82"/>
      <c r="AJ2014" s="82"/>
      <c r="AK2014" s="82"/>
      <c r="AL2014" s="82"/>
      <c r="AM2014" s="82"/>
      <c r="AN2014" s="82"/>
      <c r="AO2014" s="82"/>
      <c r="AP2014" s="82"/>
      <c r="AQ2014" s="82"/>
      <c r="AR2014" s="82"/>
      <c r="AS2014" s="82"/>
      <c r="AT2014" s="82"/>
      <c r="AU2014" s="82"/>
      <c r="AV2014" s="82"/>
      <c r="AW2014" s="82" t="str">
        <f t="shared" si="1"/>
        <v/>
      </c>
      <c r="AX2014" s="83" t="str">
        <f t="array" ref="AX2014">IFERROR(DGET('SBV Import'!A:G,"SBV",{"RSC ID","Tier";B2014,A2014}))</f>
        <v/>
      </c>
      <c r="AY2014" s="82" t="str">
        <f t="shared" si="2"/>
        <v/>
      </c>
      <c r="AZ2014" s="82"/>
      <c r="BA2014" s="84" t="s">
        <v>152</v>
      </c>
      <c r="BB2014" s="84" t="str">
        <f>IFERROR(__xludf.DUMMYFUNCTION("iferror(if(A2014="""",,E2014&gt;=FILTER(Constants!$F$2:$F$10,Constants!$A$2:$A$10=A2014)))"),"")</f>
        <v/>
      </c>
    </row>
    <row r="2015">
      <c r="A2015" s="87"/>
      <c r="B2015" s="87"/>
      <c r="C2015" s="73"/>
      <c r="D2015" s="73"/>
      <c r="E2015" s="82"/>
      <c r="F2015" s="82"/>
      <c r="G2015" s="86"/>
      <c r="H2015" s="86"/>
      <c r="I2015" s="86"/>
      <c r="J2015" s="82"/>
      <c r="K2015" s="82"/>
      <c r="L2015" s="82"/>
      <c r="M2015" s="82"/>
      <c r="N2015" s="82"/>
      <c r="O2015" s="82"/>
      <c r="P2015" s="82"/>
      <c r="Q2015" s="82"/>
      <c r="R2015" s="82"/>
      <c r="S2015" s="82"/>
      <c r="T2015" s="82"/>
      <c r="U2015" s="82"/>
      <c r="V2015" s="82"/>
      <c r="W2015" s="82"/>
      <c r="X2015" s="82"/>
      <c r="Y2015" s="82"/>
      <c r="Z2015" s="82"/>
      <c r="AA2015" s="82"/>
      <c r="AB2015" s="82"/>
      <c r="AC2015" s="82"/>
      <c r="AD2015" s="82"/>
      <c r="AE2015" s="82"/>
      <c r="AF2015" s="82"/>
      <c r="AG2015" s="82"/>
      <c r="AH2015" s="82"/>
      <c r="AI2015" s="82"/>
      <c r="AJ2015" s="82"/>
      <c r="AK2015" s="82"/>
      <c r="AL2015" s="82"/>
      <c r="AM2015" s="82"/>
      <c r="AN2015" s="82"/>
      <c r="AO2015" s="82"/>
      <c r="AP2015" s="82"/>
      <c r="AQ2015" s="82"/>
      <c r="AR2015" s="82"/>
      <c r="AS2015" s="82"/>
      <c r="AT2015" s="82"/>
      <c r="AU2015" s="82"/>
      <c r="AV2015" s="82"/>
      <c r="AW2015" s="82" t="str">
        <f t="shared" si="1"/>
        <v/>
      </c>
      <c r="AX2015" s="83" t="str">
        <f t="array" ref="AX2015">IFERROR(DGET('SBV Import'!A:G,"SBV",{"RSC ID","Tier";B2015,A2015}))</f>
        <v/>
      </c>
      <c r="AY2015" s="82" t="str">
        <f t="shared" si="2"/>
        <v/>
      </c>
      <c r="AZ2015" s="82"/>
      <c r="BA2015" s="84" t="s">
        <v>152</v>
      </c>
      <c r="BB2015" s="84" t="str">
        <f>IFERROR(__xludf.DUMMYFUNCTION("iferror(if(A2015="""",,E2015&gt;=FILTER(Constants!$F$2:$F$10,Constants!$A$2:$A$10=A2015)))"),"")</f>
        <v/>
      </c>
    </row>
    <row r="2016">
      <c r="A2016" s="87"/>
      <c r="B2016" s="87"/>
      <c r="C2016" s="73"/>
      <c r="D2016" s="73"/>
      <c r="E2016" s="82"/>
      <c r="F2016" s="82"/>
      <c r="G2016" s="86"/>
      <c r="H2016" s="86"/>
      <c r="I2016" s="86"/>
      <c r="J2016" s="82"/>
      <c r="K2016" s="82"/>
      <c r="L2016" s="82"/>
      <c r="M2016" s="82"/>
      <c r="N2016" s="82"/>
      <c r="O2016" s="82"/>
      <c r="P2016" s="82"/>
      <c r="Q2016" s="82"/>
      <c r="R2016" s="82"/>
      <c r="S2016" s="82"/>
      <c r="T2016" s="82"/>
      <c r="U2016" s="82"/>
      <c r="V2016" s="82"/>
      <c r="W2016" s="82"/>
      <c r="X2016" s="82"/>
      <c r="Y2016" s="82"/>
      <c r="Z2016" s="82"/>
      <c r="AA2016" s="82"/>
      <c r="AB2016" s="82"/>
      <c r="AC2016" s="82"/>
      <c r="AD2016" s="82"/>
      <c r="AE2016" s="82"/>
      <c r="AF2016" s="82"/>
      <c r="AG2016" s="82"/>
      <c r="AH2016" s="82"/>
      <c r="AI2016" s="82"/>
      <c r="AJ2016" s="82"/>
      <c r="AK2016" s="82"/>
      <c r="AL2016" s="82"/>
      <c r="AM2016" s="82"/>
      <c r="AN2016" s="82"/>
      <c r="AO2016" s="82"/>
      <c r="AP2016" s="82"/>
      <c r="AQ2016" s="82"/>
      <c r="AR2016" s="82"/>
      <c r="AS2016" s="82"/>
      <c r="AT2016" s="82"/>
      <c r="AU2016" s="82"/>
      <c r="AV2016" s="82"/>
      <c r="AW2016" s="82" t="str">
        <f t="shared" si="1"/>
        <v/>
      </c>
      <c r="AX2016" s="83" t="str">
        <f t="array" ref="AX2016">IFERROR(DGET('SBV Import'!A:G,"SBV",{"RSC ID","Tier";B2016,A2016}))</f>
        <v/>
      </c>
      <c r="AY2016" s="82" t="str">
        <f t="shared" si="2"/>
        <v/>
      </c>
      <c r="AZ2016" s="82"/>
      <c r="BA2016" s="84" t="s">
        <v>152</v>
      </c>
      <c r="BB2016" s="84" t="str">
        <f>IFERROR(__xludf.DUMMYFUNCTION("iferror(if(A2016="""",,E2016&gt;=FILTER(Constants!$F$2:$F$10,Constants!$A$2:$A$10=A2016)))"),"")</f>
        <v/>
      </c>
    </row>
    <row r="2017">
      <c r="A2017" s="87"/>
      <c r="B2017" s="87"/>
      <c r="C2017" s="73"/>
      <c r="D2017" s="73"/>
      <c r="E2017" s="82"/>
      <c r="F2017" s="82"/>
      <c r="G2017" s="86"/>
      <c r="H2017" s="86"/>
      <c r="I2017" s="86"/>
      <c r="J2017" s="82"/>
      <c r="K2017" s="82"/>
      <c r="L2017" s="82"/>
      <c r="M2017" s="82"/>
      <c r="N2017" s="82"/>
      <c r="O2017" s="82"/>
      <c r="P2017" s="82"/>
      <c r="Q2017" s="82"/>
      <c r="R2017" s="82"/>
      <c r="S2017" s="82"/>
      <c r="T2017" s="82"/>
      <c r="U2017" s="82"/>
      <c r="V2017" s="82"/>
      <c r="W2017" s="82"/>
      <c r="X2017" s="82"/>
      <c r="Y2017" s="82"/>
      <c r="Z2017" s="82"/>
      <c r="AA2017" s="82"/>
      <c r="AB2017" s="82"/>
      <c r="AC2017" s="82"/>
      <c r="AD2017" s="82"/>
      <c r="AE2017" s="82"/>
      <c r="AF2017" s="82"/>
      <c r="AG2017" s="82"/>
      <c r="AH2017" s="82"/>
      <c r="AI2017" s="82"/>
      <c r="AJ2017" s="82"/>
      <c r="AK2017" s="82"/>
      <c r="AL2017" s="82"/>
      <c r="AM2017" s="82"/>
      <c r="AN2017" s="82"/>
      <c r="AO2017" s="82"/>
      <c r="AP2017" s="82"/>
      <c r="AQ2017" s="82"/>
      <c r="AR2017" s="82"/>
      <c r="AS2017" s="82"/>
      <c r="AT2017" s="82"/>
      <c r="AU2017" s="82"/>
      <c r="AV2017" s="82"/>
      <c r="AW2017" s="82" t="str">
        <f t="shared" si="1"/>
        <v/>
      </c>
      <c r="AX2017" s="83" t="str">
        <f t="array" ref="AX2017">IFERROR(DGET('SBV Import'!A:G,"SBV",{"RSC ID","Tier";B2017,A2017}))</f>
        <v/>
      </c>
      <c r="AY2017" s="82" t="str">
        <f t="shared" si="2"/>
        <v/>
      </c>
      <c r="AZ2017" s="82"/>
      <c r="BA2017" s="84" t="s">
        <v>152</v>
      </c>
      <c r="BB2017" s="84" t="str">
        <f>IFERROR(__xludf.DUMMYFUNCTION("iferror(if(A2017="""",,E2017&gt;=FILTER(Constants!$F$2:$F$10,Constants!$A$2:$A$10=A2017)))"),"")</f>
        <v/>
      </c>
    </row>
    <row r="2018">
      <c r="A2018" s="87"/>
      <c r="B2018" s="87"/>
      <c r="C2018" s="73"/>
      <c r="D2018" s="73"/>
      <c r="E2018" s="82"/>
      <c r="F2018" s="82"/>
      <c r="G2018" s="86"/>
      <c r="H2018" s="86"/>
      <c r="I2018" s="86"/>
      <c r="J2018" s="82"/>
      <c r="K2018" s="82"/>
      <c r="L2018" s="82"/>
      <c r="M2018" s="82"/>
      <c r="N2018" s="82"/>
      <c r="O2018" s="82"/>
      <c r="P2018" s="82"/>
      <c r="Q2018" s="82"/>
      <c r="R2018" s="82"/>
      <c r="S2018" s="82"/>
      <c r="T2018" s="82"/>
      <c r="U2018" s="82"/>
      <c r="V2018" s="82"/>
      <c r="W2018" s="82"/>
      <c r="X2018" s="82"/>
      <c r="Y2018" s="82"/>
      <c r="Z2018" s="82"/>
      <c r="AA2018" s="82"/>
      <c r="AB2018" s="82"/>
      <c r="AC2018" s="82"/>
      <c r="AD2018" s="82"/>
      <c r="AE2018" s="82"/>
      <c r="AF2018" s="82"/>
      <c r="AG2018" s="82"/>
      <c r="AH2018" s="82"/>
      <c r="AI2018" s="82"/>
      <c r="AJ2018" s="82"/>
      <c r="AK2018" s="82"/>
      <c r="AL2018" s="82"/>
      <c r="AM2018" s="82"/>
      <c r="AN2018" s="82"/>
      <c r="AO2018" s="82"/>
      <c r="AP2018" s="82"/>
      <c r="AQ2018" s="82"/>
      <c r="AR2018" s="82"/>
      <c r="AS2018" s="82"/>
      <c r="AT2018" s="82"/>
      <c r="AU2018" s="82"/>
      <c r="AV2018" s="82"/>
      <c r="AW2018" s="82" t="str">
        <f t="shared" si="1"/>
        <v/>
      </c>
      <c r="AX2018" s="83" t="str">
        <f t="array" ref="AX2018">IFERROR(DGET('SBV Import'!A:G,"SBV",{"RSC ID","Tier";B2018,A2018}))</f>
        <v/>
      </c>
      <c r="AY2018" s="82" t="str">
        <f t="shared" si="2"/>
        <v/>
      </c>
      <c r="AZ2018" s="82"/>
      <c r="BA2018" s="84" t="s">
        <v>152</v>
      </c>
      <c r="BB2018" s="84" t="str">
        <f>IFERROR(__xludf.DUMMYFUNCTION("iferror(if(A2018="""",,E2018&gt;=FILTER(Constants!$F$2:$F$10,Constants!$A$2:$A$10=A2018)))"),"")</f>
        <v/>
      </c>
    </row>
    <row r="2019">
      <c r="A2019" s="87"/>
      <c r="B2019" s="87"/>
      <c r="C2019" s="73"/>
      <c r="D2019" s="73"/>
      <c r="E2019" s="82"/>
      <c r="F2019" s="82"/>
      <c r="G2019" s="86"/>
      <c r="H2019" s="86"/>
      <c r="I2019" s="86"/>
      <c r="J2019" s="82"/>
      <c r="K2019" s="82"/>
      <c r="L2019" s="82"/>
      <c r="M2019" s="82"/>
      <c r="N2019" s="82"/>
      <c r="O2019" s="82"/>
      <c r="P2019" s="82"/>
      <c r="Q2019" s="82"/>
      <c r="R2019" s="82"/>
      <c r="S2019" s="82"/>
      <c r="T2019" s="82"/>
      <c r="U2019" s="82"/>
      <c r="V2019" s="82"/>
      <c r="W2019" s="82"/>
      <c r="X2019" s="82"/>
      <c r="Y2019" s="82"/>
      <c r="Z2019" s="82"/>
      <c r="AA2019" s="82"/>
      <c r="AB2019" s="82"/>
      <c r="AC2019" s="82"/>
      <c r="AD2019" s="82"/>
      <c r="AE2019" s="82"/>
      <c r="AF2019" s="82"/>
      <c r="AG2019" s="82"/>
      <c r="AH2019" s="82"/>
      <c r="AI2019" s="82"/>
      <c r="AJ2019" s="82"/>
      <c r="AK2019" s="82"/>
      <c r="AL2019" s="82"/>
      <c r="AM2019" s="82"/>
      <c r="AN2019" s="82"/>
      <c r="AO2019" s="82"/>
      <c r="AP2019" s="82"/>
      <c r="AQ2019" s="82"/>
      <c r="AR2019" s="82"/>
      <c r="AS2019" s="82"/>
      <c r="AT2019" s="82"/>
      <c r="AU2019" s="82"/>
      <c r="AV2019" s="82"/>
      <c r="AW2019" s="82" t="str">
        <f t="shared" si="1"/>
        <v/>
      </c>
      <c r="AX2019" s="83" t="str">
        <f t="array" ref="AX2019">IFERROR(DGET('SBV Import'!A:G,"SBV",{"RSC ID","Tier";B2019,A2019}))</f>
        <v/>
      </c>
      <c r="AY2019" s="82" t="str">
        <f t="shared" si="2"/>
        <v/>
      </c>
      <c r="AZ2019" s="82"/>
      <c r="BA2019" s="84" t="s">
        <v>152</v>
      </c>
      <c r="BB2019" s="84" t="str">
        <f>IFERROR(__xludf.DUMMYFUNCTION("iferror(if(A2019="""",,E2019&gt;=FILTER(Constants!$F$2:$F$10,Constants!$A$2:$A$10=A2019)))"),"")</f>
        <v/>
      </c>
    </row>
    <row r="2020">
      <c r="A2020" s="87"/>
      <c r="B2020" s="87"/>
      <c r="C2020" s="73"/>
      <c r="D2020" s="73"/>
      <c r="E2020" s="82"/>
      <c r="F2020" s="82"/>
      <c r="G2020" s="86"/>
      <c r="H2020" s="86"/>
      <c r="I2020" s="86"/>
      <c r="J2020" s="82"/>
      <c r="K2020" s="82"/>
      <c r="L2020" s="82"/>
      <c r="M2020" s="82"/>
      <c r="N2020" s="82"/>
      <c r="O2020" s="82"/>
      <c r="P2020" s="82"/>
      <c r="Q2020" s="82"/>
      <c r="R2020" s="82"/>
      <c r="S2020" s="82"/>
      <c r="T2020" s="82"/>
      <c r="U2020" s="82"/>
      <c r="V2020" s="82"/>
      <c r="W2020" s="82"/>
      <c r="X2020" s="82"/>
      <c r="Y2020" s="82"/>
      <c r="Z2020" s="82"/>
      <c r="AA2020" s="82"/>
      <c r="AB2020" s="82"/>
      <c r="AC2020" s="82"/>
      <c r="AD2020" s="82"/>
      <c r="AE2020" s="82"/>
      <c r="AF2020" s="82"/>
      <c r="AG2020" s="82"/>
      <c r="AH2020" s="82"/>
      <c r="AI2020" s="82"/>
      <c r="AJ2020" s="82"/>
      <c r="AK2020" s="82"/>
      <c r="AL2020" s="82"/>
      <c r="AM2020" s="82"/>
      <c r="AN2020" s="82"/>
      <c r="AO2020" s="82"/>
      <c r="AP2020" s="82"/>
      <c r="AQ2020" s="82"/>
      <c r="AR2020" s="82"/>
      <c r="AS2020" s="82"/>
      <c r="AT2020" s="82"/>
      <c r="AU2020" s="82"/>
      <c r="AV2020" s="82"/>
      <c r="AW2020" s="82" t="str">
        <f t="shared" si="1"/>
        <v/>
      </c>
      <c r="AX2020" s="83" t="str">
        <f t="array" ref="AX2020">IFERROR(DGET('SBV Import'!A:G,"SBV",{"RSC ID","Tier";B2020,A2020}))</f>
        <v/>
      </c>
      <c r="AY2020" s="82" t="str">
        <f t="shared" si="2"/>
        <v/>
      </c>
      <c r="AZ2020" s="82"/>
      <c r="BA2020" s="84" t="s">
        <v>152</v>
      </c>
      <c r="BB2020" s="84" t="str">
        <f>IFERROR(__xludf.DUMMYFUNCTION("iferror(if(A2020="""",,E2020&gt;=FILTER(Constants!$F$2:$F$10,Constants!$A$2:$A$10=A2020)))"),"")</f>
        <v/>
      </c>
    </row>
    <row r="2021">
      <c r="A2021" s="87"/>
      <c r="B2021" s="87"/>
      <c r="C2021" s="73"/>
      <c r="D2021" s="73"/>
      <c r="E2021" s="82"/>
      <c r="F2021" s="82"/>
      <c r="G2021" s="86"/>
      <c r="H2021" s="86"/>
      <c r="I2021" s="86"/>
      <c r="J2021" s="82"/>
      <c r="K2021" s="82"/>
      <c r="L2021" s="82"/>
      <c r="M2021" s="82"/>
      <c r="N2021" s="82"/>
      <c r="O2021" s="82"/>
      <c r="P2021" s="82"/>
      <c r="Q2021" s="82"/>
      <c r="R2021" s="82"/>
      <c r="S2021" s="82"/>
      <c r="T2021" s="82"/>
      <c r="U2021" s="82"/>
      <c r="V2021" s="82"/>
      <c r="W2021" s="82"/>
      <c r="X2021" s="82"/>
      <c r="Y2021" s="82"/>
      <c r="Z2021" s="82"/>
      <c r="AA2021" s="82"/>
      <c r="AB2021" s="82"/>
      <c r="AC2021" s="82"/>
      <c r="AD2021" s="82"/>
      <c r="AE2021" s="82"/>
      <c r="AF2021" s="82"/>
      <c r="AG2021" s="82"/>
      <c r="AH2021" s="82"/>
      <c r="AI2021" s="82"/>
      <c r="AJ2021" s="82"/>
      <c r="AK2021" s="82"/>
      <c r="AL2021" s="82"/>
      <c r="AM2021" s="82"/>
      <c r="AN2021" s="82"/>
      <c r="AO2021" s="82"/>
      <c r="AP2021" s="82"/>
      <c r="AQ2021" s="82"/>
      <c r="AR2021" s="82"/>
      <c r="AS2021" s="82"/>
      <c r="AT2021" s="82"/>
      <c r="AU2021" s="82"/>
      <c r="AV2021" s="82"/>
      <c r="AW2021" s="82" t="str">
        <f t="shared" si="1"/>
        <v/>
      </c>
      <c r="AX2021" s="83" t="str">
        <f t="array" ref="AX2021">IFERROR(DGET('SBV Import'!A:G,"SBV",{"RSC ID","Tier";B2021,A2021}))</f>
        <v/>
      </c>
      <c r="AY2021" s="82" t="str">
        <f t="shared" si="2"/>
        <v/>
      </c>
      <c r="AZ2021" s="82"/>
      <c r="BA2021" s="84" t="s">
        <v>152</v>
      </c>
      <c r="BB2021" s="84" t="str">
        <f>IFERROR(__xludf.DUMMYFUNCTION("iferror(if(A2021="""",,E2021&gt;=FILTER(Constants!$F$2:$F$10,Constants!$A$2:$A$10=A2021)))"),"")</f>
        <v/>
      </c>
    </row>
    <row r="2022">
      <c r="A2022" s="87"/>
      <c r="B2022" s="87"/>
      <c r="C2022" s="73"/>
      <c r="D2022" s="73"/>
      <c r="E2022" s="82"/>
      <c r="F2022" s="82"/>
      <c r="G2022" s="86"/>
      <c r="H2022" s="86"/>
      <c r="I2022" s="86"/>
      <c r="J2022" s="82"/>
      <c r="K2022" s="82"/>
      <c r="L2022" s="82"/>
      <c r="M2022" s="82"/>
      <c r="N2022" s="82"/>
      <c r="O2022" s="82"/>
      <c r="P2022" s="82"/>
      <c r="Q2022" s="82"/>
      <c r="R2022" s="82"/>
      <c r="S2022" s="82"/>
      <c r="T2022" s="82"/>
      <c r="U2022" s="82"/>
      <c r="V2022" s="82"/>
      <c r="W2022" s="82"/>
      <c r="X2022" s="82"/>
      <c r="Y2022" s="82"/>
      <c r="Z2022" s="82"/>
      <c r="AA2022" s="82"/>
      <c r="AB2022" s="82"/>
      <c r="AC2022" s="82"/>
      <c r="AD2022" s="82"/>
      <c r="AE2022" s="82"/>
      <c r="AF2022" s="82"/>
      <c r="AG2022" s="82"/>
      <c r="AH2022" s="82"/>
      <c r="AI2022" s="82"/>
      <c r="AJ2022" s="82"/>
      <c r="AK2022" s="82"/>
      <c r="AL2022" s="82"/>
      <c r="AM2022" s="82"/>
      <c r="AN2022" s="82"/>
      <c r="AO2022" s="82"/>
      <c r="AP2022" s="82"/>
      <c r="AQ2022" s="82"/>
      <c r="AR2022" s="82"/>
      <c r="AS2022" s="82"/>
      <c r="AT2022" s="82"/>
      <c r="AU2022" s="82"/>
      <c r="AV2022" s="82"/>
      <c r="AW2022" s="82" t="str">
        <f t="shared" si="1"/>
        <v/>
      </c>
      <c r="AX2022" s="83" t="str">
        <f t="array" ref="AX2022">IFERROR(DGET('SBV Import'!A:G,"SBV",{"RSC ID","Tier";B2022,A2022}))</f>
        <v/>
      </c>
      <c r="AY2022" s="82" t="str">
        <f t="shared" si="2"/>
        <v/>
      </c>
      <c r="AZ2022" s="82"/>
      <c r="BA2022" s="84" t="s">
        <v>152</v>
      </c>
      <c r="BB2022" s="84" t="str">
        <f>IFERROR(__xludf.DUMMYFUNCTION("iferror(if(A2022="""",,E2022&gt;=FILTER(Constants!$F$2:$F$10,Constants!$A$2:$A$10=A2022)))"),"")</f>
        <v/>
      </c>
    </row>
    <row r="2023">
      <c r="A2023" s="87"/>
      <c r="B2023" s="87"/>
      <c r="C2023" s="73"/>
      <c r="D2023" s="73"/>
      <c r="E2023" s="82"/>
      <c r="F2023" s="82"/>
      <c r="G2023" s="86"/>
      <c r="H2023" s="86"/>
      <c r="I2023" s="86"/>
      <c r="J2023" s="82"/>
      <c r="K2023" s="82"/>
      <c r="L2023" s="82"/>
      <c r="M2023" s="82"/>
      <c r="N2023" s="82"/>
      <c r="O2023" s="82"/>
      <c r="P2023" s="82"/>
      <c r="Q2023" s="82"/>
      <c r="R2023" s="82"/>
      <c r="S2023" s="82"/>
      <c r="T2023" s="82"/>
      <c r="U2023" s="82"/>
      <c r="V2023" s="82"/>
      <c r="W2023" s="82"/>
      <c r="X2023" s="82"/>
      <c r="Y2023" s="82"/>
      <c r="Z2023" s="82"/>
      <c r="AA2023" s="82"/>
      <c r="AB2023" s="82"/>
      <c r="AC2023" s="82"/>
      <c r="AD2023" s="82"/>
      <c r="AE2023" s="82"/>
      <c r="AF2023" s="82"/>
      <c r="AG2023" s="82"/>
      <c r="AH2023" s="82"/>
      <c r="AI2023" s="82"/>
      <c r="AJ2023" s="82"/>
      <c r="AK2023" s="82"/>
      <c r="AL2023" s="82"/>
      <c r="AM2023" s="82"/>
      <c r="AN2023" s="82"/>
      <c r="AO2023" s="82"/>
      <c r="AP2023" s="82"/>
      <c r="AQ2023" s="82"/>
      <c r="AR2023" s="82"/>
      <c r="AS2023" s="82"/>
      <c r="AT2023" s="82"/>
      <c r="AU2023" s="82"/>
      <c r="AV2023" s="82"/>
      <c r="AW2023" s="82" t="str">
        <f t="shared" si="1"/>
        <v/>
      </c>
      <c r="AX2023" s="83" t="str">
        <f t="array" ref="AX2023">IFERROR(DGET('SBV Import'!A:G,"SBV",{"RSC ID","Tier";B2023,A2023}))</f>
        <v/>
      </c>
      <c r="AY2023" s="82" t="str">
        <f t="shared" si="2"/>
        <v/>
      </c>
      <c r="AZ2023" s="82"/>
      <c r="BA2023" s="84" t="s">
        <v>152</v>
      </c>
      <c r="BB2023" s="84" t="str">
        <f>IFERROR(__xludf.DUMMYFUNCTION("iferror(if(A2023="""",,E2023&gt;=FILTER(Constants!$F$2:$F$10,Constants!$A$2:$A$10=A2023)))"),"")</f>
        <v/>
      </c>
    </row>
    <row r="2024">
      <c r="A2024" s="87"/>
      <c r="B2024" s="87"/>
      <c r="C2024" s="73"/>
      <c r="D2024" s="73"/>
      <c r="E2024" s="82"/>
      <c r="F2024" s="82"/>
      <c r="G2024" s="86"/>
      <c r="H2024" s="86"/>
      <c r="I2024" s="86"/>
      <c r="J2024" s="82"/>
      <c r="K2024" s="82"/>
      <c r="L2024" s="82"/>
      <c r="M2024" s="82"/>
      <c r="N2024" s="82"/>
      <c r="O2024" s="82"/>
      <c r="P2024" s="82"/>
      <c r="Q2024" s="82"/>
      <c r="R2024" s="82"/>
      <c r="S2024" s="82"/>
      <c r="T2024" s="82"/>
      <c r="U2024" s="82"/>
      <c r="V2024" s="82"/>
      <c r="W2024" s="82"/>
      <c r="X2024" s="82"/>
      <c r="Y2024" s="82"/>
      <c r="Z2024" s="82"/>
      <c r="AA2024" s="82"/>
      <c r="AB2024" s="82"/>
      <c r="AC2024" s="82"/>
      <c r="AD2024" s="82"/>
      <c r="AE2024" s="82"/>
      <c r="AF2024" s="82"/>
      <c r="AG2024" s="82"/>
      <c r="AH2024" s="82"/>
      <c r="AI2024" s="82"/>
      <c r="AJ2024" s="82"/>
      <c r="AK2024" s="82"/>
      <c r="AL2024" s="82"/>
      <c r="AM2024" s="82"/>
      <c r="AN2024" s="82"/>
      <c r="AO2024" s="82"/>
      <c r="AP2024" s="82"/>
      <c r="AQ2024" s="82"/>
      <c r="AR2024" s="82"/>
      <c r="AS2024" s="82"/>
      <c r="AT2024" s="82"/>
      <c r="AU2024" s="82"/>
      <c r="AV2024" s="82"/>
      <c r="AW2024" s="82" t="str">
        <f t="shared" si="1"/>
        <v/>
      </c>
      <c r="AX2024" s="83" t="str">
        <f t="array" ref="AX2024">IFERROR(DGET('SBV Import'!A:G,"SBV",{"RSC ID","Tier";B2024,A2024}))</f>
        <v/>
      </c>
      <c r="AY2024" s="82" t="str">
        <f t="shared" si="2"/>
        <v/>
      </c>
      <c r="AZ2024" s="82"/>
      <c r="BA2024" s="84" t="s">
        <v>152</v>
      </c>
      <c r="BB2024" s="84" t="str">
        <f>IFERROR(__xludf.DUMMYFUNCTION("iferror(if(A2024="""",,E2024&gt;=FILTER(Constants!$F$2:$F$10,Constants!$A$2:$A$10=A2024)))"),"")</f>
        <v/>
      </c>
    </row>
    <row r="2025">
      <c r="A2025" s="87"/>
      <c r="B2025" s="87"/>
      <c r="C2025" s="73"/>
      <c r="D2025" s="73"/>
      <c r="E2025" s="82"/>
      <c r="F2025" s="82"/>
      <c r="G2025" s="86"/>
      <c r="H2025" s="86"/>
      <c r="I2025" s="86"/>
      <c r="J2025" s="82"/>
      <c r="K2025" s="82"/>
      <c r="L2025" s="82"/>
      <c r="M2025" s="82"/>
      <c r="N2025" s="82"/>
      <c r="O2025" s="82"/>
      <c r="P2025" s="82"/>
      <c r="Q2025" s="82"/>
      <c r="R2025" s="82"/>
      <c r="S2025" s="82"/>
      <c r="T2025" s="82"/>
      <c r="U2025" s="82"/>
      <c r="V2025" s="82"/>
      <c r="W2025" s="82"/>
      <c r="X2025" s="82"/>
      <c r="Y2025" s="82"/>
      <c r="Z2025" s="82"/>
      <c r="AA2025" s="82"/>
      <c r="AB2025" s="82"/>
      <c r="AC2025" s="82"/>
      <c r="AD2025" s="82"/>
      <c r="AE2025" s="82"/>
      <c r="AF2025" s="82"/>
      <c r="AG2025" s="82"/>
      <c r="AH2025" s="82"/>
      <c r="AI2025" s="82"/>
      <c r="AJ2025" s="82"/>
      <c r="AK2025" s="82"/>
      <c r="AL2025" s="82"/>
      <c r="AM2025" s="82"/>
      <c r="AN2025" s="82"/>
      <c r="AO2025" s="82"/>
      <c r="AP2025" s="82"/>
      <c r="AQ2025" s="82"/>
      <c r="AR2025" s="82"/>
      <c r="AS2025" s="82"/>
      <c r="AT2025" s="82"/>
      <c r="AU2025" s="82"/>
      <c r="AV2025" s="82"/>
      <c r="AW2025" s="82" t="str">
        <f t="shared" si="1"/>
        <v/>
      </c>
      <c r="AX2025" s="83" t="str">
        <f t="array" ref="AX2025">IFERROR(DGET('SBV Import'!A:G,"SBV",{"RSC ID","Tier";B2025,A2025}))</f>
        <v/>
      </c>
      <c r="AY2025" s="82" t="str">
        <f t="shared" si="2"/>
        <v/>
      </c>
      <c r="AZ2025" s="82"/>
      <c r="BA2025" s="84" t="s">
        <v>152</v>
      </c>
      <c r="BB2025" s="84" t="str">
        <f>IFERROR(__xludf.DUMMYFUNCTION("iferror(if(A2025="""",,E2025&gt;=FILTER(Constants!$F$2:$F$10,Constants!$A$2:$A$10=A2025)))"),"")</f>
        <v/>
      </c>
    </row>
    <row r="2026">
      <c r="A2026" s="87"/>
      <c r="B2026" s="87"/>
      <c r="C2026" s="73"/>
      <c r="D2026" s="73"/>
      <c r="E2026" s="82"/>
      <c r="F2026" s="82"/>
      <c r="G2026" s="86"/>
      <c r="H2026" s="86"/>
      <c r="I2026" s="86"/>
      <c r="J2026" s="82"/>
      <c r="K2026" s="82"/>
      <c r="L2026" s="82"/>
      <c r="M2026" s="82"/>
      <c r="N2026" s="82"/>
      <c r="O2026" s="82"/>
      <c r="P2026" s="82"/>
      <c r="Q2026" s="82"/>
      <c r="R2026" s="82"/>
      <c r="S2026" s="82"/>
      <c r="T2026" s="82"/>
      <c r="U2026" s="82"/>
      <c r="V2026" s="82"/>
      <c r="W2026" s="82"/>
      <c r="X2026" s="82"/>
      <c r="Y2026" s="82"/>
      <c r="Z2026" s="82"/>
      <c r="AA2026" s="82"/>
      <c r="AB2026" s="82"/>
      <c r="AC2026" s="82"/>
      <c r="AD2026" s="82"/>
      <c r="AE2026" s="82"/>
      <c r="AF2026" s="82"/>
      <c r="AG2026" s="82"/>
      <c r="AH2026" s="82"/>
      <c r="AI2026" s="82"/>
      <c r="AJ2026" s="82"/>
      <c r="AK2026" s="82"/>
      <c r="AL2026" s="82"/>
      <c r="AM2026" s="82"/>
      <c r="AN2026" s="82"/>
      <c r="AO2026" s="82"/>
      <c r="AP2026" s="82"/>
      <c r="AQ2026" s="82"/>
      <c r="AR2026" s="82"/>
      <c r="AS2026" s="82"/>
      <c r="AT2026" s="82"/>
      <c r="AU2026" s="82"/>
      <c r="AV2026" s="82"/>
      <c r="AW2026" s="82" t="str">
        <f t="shared" si="1"/>
        <v/>
      </c>
      <c r="AX2026" s="83" t="str">
        <f t="array" ref="AX2026">IFERROR(DGET('SBV Import'!A:G,"SBV",{"RSC ID","Tier";B2026,A2026}))</f>
        <v/>
      </c>
      <c r="AY2026" s="82" t="str">
        <f t="shared" si="2"/>
        <v/>
      </c>
      <c r="AZ2026" s="82"/>
      <c r="BA2026" s="84" t="s">
        <v>152</v>
      </c>
      <c r="BB2026" s="84" t="str">
        <f>IFERROR(__xludf.DUMMYFUNCTION("iferror(if(A2026="""",,E2026&gt;=FILTER(Constants!$F$2:$F$10,Constants!$A$2:$A$10=A2026)))"),"")</f>
        <v/>
      </c>
    </row>
    <row r="2027">
      <c r="A2027" s="87"/>
      <c r="B2027" s="87"/>
      <c r="C2027" s="73"/>
      <c r="D2027" s="73"/>
      <c r="E2027" s="82"/>
      <c r="F2027" s="82"/>
      <c r="G2027" s="86"/>
      <c r="H2027" s="86"/>
      <c r="I2027" s="86"/>
      <c r="J2027" s="82"/>
      <c r="K2027" s="82"/>
      <c r="L2027" s="82"/>
      <c r="M2027" s="82"/>
      <c r="N2027" s="82"/>
      <c r="O2027" s="82"/>
      <c r="P2027" s="82"/>
      <c r="Q2027" s="82"/>
      <c r="R2027" s="82"/>
      <c r="S2027" s="82"/>
      <c r="T2027" s="82"/>
      <c r="U2027" s="82"/>
      <c r="V2027" s="82"/>
      <c r="W2027" s="82"/>
      <c r="X2027" s="82"/>
      <c r="Y2027" s="82"/>
      <c r="Z2027" s="82"/>
      <c r="AA2027" s="82"/>
      <c r="AB2027" s="82"/>
      <c r="AC2027" s="82"/>
      <c r="AD2027" s="82"/>
      <c r="AE2027" s="82"/>
      <c r="AF2027" s="82"/>
      <c r="AG2027" s="82"/>
      <c r="AH2027" s="82"/>
      <c r="AI2027" s="82"/>
      <c r="AJ2027" s="82"/>
      <c r="AK2027" s="82"/>
      <c r="AL2027" s="82"/>
      <c r="AM2027" s="82"/>
      <c r="AN2027" s="82"/>
      <c r="AO2027" s="82"/>
      <c r="AP2027" s="82"/>
      <c r="AQ2027" s="82"/>
      <c r="AR2027" s="82"/>
      <c r="AS2027" s="82"/>
      <c r="AT2027" s="82"/>
      <c r="AU2027" s="82"/>
      <c r="AV2027" s="82"/>
      <c r="AW2027" s="82" t="str">
        <f t="shared" si="1"/>
        <v/>
      </c>
      <c r="AX2027" s="83" t="str">
        <f t="array" ref="AX2027">IFERROR(DGET('SBV Import'!A:G,"SBV",{"RSC ID","Tier";B2027,A2027}))</f>
        <v/>
      </c>
      <c r="AY2027" s="82" t="str">
        <f t="shared" si="2"/>
        <v/>
      </c>
      <c r="AZ2027" s="82"/>
      <c r="BA2027" s="84" t="s">
        <v>152</v>
      </c>
      <c r="BB2027" s="84" t="str">
        <f>IFERROR(__xludf.DUMMYFUNCTION("iferror(if(A2027="""",,E2027&gt;=FILTER(Constants!$F$2:$F$10,Constants!$A$2:$A$10=A2027)))"),"")</f>
        <v/>
      </c>
    </row>
    <row r="2028">
      <c r="A2028" s="87"/>
      <c r="B2028" s="87"/>
      <c r="C2028" s="73"/>
      <c r="D2028" s="73"/>
      <c r="E2028" s="82"/>
      <c r="F2028" s="82"/>
      <c r="G2028" s="86"/>
      <c r="H2028" s="86"/>
      <c r="I2028" s="86"/>
      <c r="J2028" s="82"/>
      <c r="K2028" s="82"/>
      <c r="L2028" s="82"/>
      <c r="M2028" s="82"/>
      <c r="N2028" s="82"/>
      <c r="O2028" s="82"/>
      <c r="P2028" s="82"/>
      <c r="Q2028" s="82"/>
      <c r="R2028" s="82"/>
      <c r="S2028" s="82"/>
      <c r="T2028" s="82"/>
      <c r="U2028" s="82"/>
      <c r="V2028" s="82"/>
      <c r="W2028" s="82"/>
      <c r="X2028" s="82"/>
      <c r="Y2028" s="82"/>
      <c r="Z2028" s="82"/>
      <c r="AA2028" s="82"/>
      <c r="AB2028" s="82"/>
      <c r="AC2028" s="82"/>
      <c r="AD2028" s="82"/>
      <c r="AE2028" s="82"/>
      <c r="AF2028" s="82"/>
      <c r="AG2028" s="82"/>
      <c r="AH2028" s="82"/>
      <c r="AI2028" s="82"/>
      <c r="AJ2028" s="82"/>
      <c r="AK2028" s="82"/>
      <c r="AL2028" s="82"/>
      <c r="AM2028" s="82"/>
      <c r="AN2028" s="82"/>
      <c r="AO2028" s="82"/>
      <c r="AP2028" s="82"/>
      <c r="AQ2028" s="82"/>
      <c r="AR2028" s="82"/>
      <c r="AS2028" s="82"/>
      <c r="AT2028" s="82"/>
      <c r="AU2028" s="82"/>
      <c r="AV2028" s="82"/>
      <c r="AW2028" s="82" t="str">
        <f t="shared" si="1"/>
        <v/>
      </c>
      <c r="AX2028" s="83" t="str">
        <f t="array" ref="AX2028">IFERROR(DGET('SBV Import'!A:G,"SBV",{"RSC ID","Tier";B2028,A2028}))</f>
        <v/>
      </c>
      <c r="AY2028" s="82" t="str">
        <f t="shared" si="2"/>
        <v/>
      </c>
      <c r="AZ2028" s="82"/>
      <c r="BA2028" s="84" t="s">
        <v>152</v>
      </c>
      <c r="BB2028" s="84" t="str">
        <f>IFERROR(__xludf.DUMMYFUNCTION("iferror(if(A2028="""",,E2028&gt;=FILTER(Constants!$F$2:$F$10,Constants!$A$2:$A$10=A2028)))"),"")</f>
        <v/>
      </c>
    </row>
    <row r="2029">
      <c r="A2029" s="87"/>
      <c r="B2029" s="87"/>
      <c r="C2029" s="73"/>
      <c r="D2029" s="73"/>
      <c r="E2029" s="82"/>
      <c r="F2029" s="82"/>
      <c r="G2029" s="86"/>
      <c r="H2029" s="86"/>
      <c r="I2029" s="86"/>
      <c r="J2029" s="82"/>
      <c r="K2029" s="82"/>
      <c r="L2029" s="82"/>
      <c r="M2029" s="82"/>
      <c r="N2029" s="82"/>
      <c r="O2029" s="82"/>
      <c r="P2029" s="82"/>
      <c r="Q2029" s="82"/>
      <c r="R2029" s="82"/>
      <c r="S2029" s="82"/>
      <c r="T2029" s="82"/>
      <c r="U2029" s="82"/>
      <c r="V2029" s="82"/>
      <c r="W2029" s="82"/>
      <c r="X2029" s="82"/>
      <c r="Y2029" s="82"/>
      <c r="Z2029" s="82"/>
      <c r="AA2029" s="82"/>
      <c r="AB2029" s="82"/>
      <c r="AC2029" s="82"/>
      <c r="AD2029" s="82"/>
      <c r="AE2029" s="82"/>
      <c r="AF2029" s="82"/>
      <c r="AG2029" s="82"/>
      <c r="AH2029" s="82"/>
      <c r="AI2029" s="82"/>
      <c r="AJ2029" s="82"/>
      <c r="AK2029" s="82"/>
      <c r="AL2029" s="82"/>
      <c r="AM2029" s="82"/>
      <c r="AN2029" s="82"/>
      <c r="AO2029" s="82"/>
      <c r="AP2029" s="82"/>
      <c r="AQ2029" s="82"/>
      <c r="AR2029" s="82"/>
      <c r="AS2029" s="82"/>
      <c r="AT2029" s="82"/>
      <c r="AU2029" s="82"/>
      <c r="AV2029" s="82"/>
      <c r="AW2029" s="82" t="str">
        <f t="shared" si="1"/>
        <v/>
      </c>
      <c r="AX2029" s="83" t="str">
        <f t="array" ref="AX2029">IFERROR(DGET('SBV Import'!A:G,"SBV",{"RSC ID","Tier";B2029,A2029}))</f>
        <v/>
      </c>
      <c r="AY2029" s="82" t="str">
        <f t="shared" si="2"/>
        <v/>
      </c>
      <c r="AZ2029" s="82"/>
      <c r="BA2029" s="84" t="s">
        <v>152</v>
      </c>
      <c r="BB2029" s="84" t="str">
        <f>IFERROR(__xludf.DUMMYFUNCTION("iferror(if(A2029="""",,E2029&gt;=FILTER(Constants!$F$2:$F$10,Constants!$A$2:$A$10=A2029)))"),"")</f>
        <v/>
      </c>
    </row>
    <row r="2030">
      <c r="A2030" s="87"/>
      <c r="B2030" s="87"/>
      <c r="C2030" s="73"/>
      <c r="D2030" s="73"/>
      <c r="E2030" s="82"/>
      <c r="F2030" s="82"/>
      <c r="G2030" s="86"/>
      <c r="H2030" s="86"/>
      <c r="I2030" s="86"/>
      <c r="J2030" s="82"/>
      <c r="K2030" s="82"/>
      <c r="L2030" s="82"/>
      <c r="M2030" s="82"/>
      <c r="N2030" s="82"/>
      <c r="O2030" s="82"/>
      <c r="P2030" s="82"/>
      <c r="Q2030" s="82"/>
      <c r="R2030" s="82"/>
      <c r="S2030" s="82"/>
      <c r="T2030" s="82"/>
      <c r="U2030" s="82"/>
      <c r="V2030" s="82"/>
      <c r="W2030" s="82"/>
      <c r="X2030" s="82"/>
      <c r="Y2030" s="82"/>
      <c r="Z2030" s="82"/>
      <c r="AA2030" s="82"/>
      <c r="AB2030" s="82"/>
      <c r="AC2030" s="82"/>
      <c r="AD2030" s="82"/>
      <c r="AE2030" s="82"/>
      <c r="AF2030" s="82"/>
      <c r="AG2030" s="82"/>
      <c r="AH2030" s="82"/>
      <c r="AI2030" s="82"/>
      <c r="AJ2030" s="82"/>
      <c r="AK2030" s="82"/>
      <c r="AL2030" s="82"/>
      <c r="AM2030" s="82"/>
      <c r="AN2030" s="82"/>
      <c r="AO2030" s="82"/>
      <c r="AP2030" s="82"/>
      <c r="AQ2030" s="82"/>
      <c r="AR2030" s="82"/>
      <c r="AS2030" s="82"/>
      <c r="AT2030" s="82"/>
      <c r="AU2030" s="82"/>
      <c r="AV2030" s="82"/>
      <c r="AW2030" s="82" t="str">
        <f t="shared" si="1"/>
        <v/>
      </c>
      <c r="AX2030" s="83" t="str">
        <f t="array" ref="AX2030">IFERROR(DGET('SBV Import'!A:G,"SBV",{"RSC ID","Tier";B2030,A2030}))</f>
        <v/>
      </c>
      <c r="AY2030" s="82" t="str">
        <f t="shared" si="2"/>
        <v/>
      </c>
      <c r="AZ2030" s="82"/>
      <c r="BA2030" s="84" t="s">
        <v>152</v>
      </c>
      <c r="BB2030" s="84" t="str">
        <f>IFERROR(__xludf.DUMMYFUNCTION("iferror(if(A2030="""",,E2030&gt;=FILTER(Constants!$F$2:$F$10,Constants!$A$2:$A$10=A2030)))"),"")</f>
        <v/>
      </c>
    </row>
    <row r="2031">
      <c r="A2031" s="87"/>
      <c r="B2031" s="87"/>
      <c r="C2031" s="73"/>
      <c r="D2031" s="73"/>
      <c r="E2031" s="82"/>
      <c r="F2031" s="82"/>
      <c r="G2031" s="86"/>
      <c r="H2031" s="86"/>
      <c r="I2031" s="86"/>
      <c r="J2031" s="82"/>
      <c r="K2031" s="82"/>
      <c r="L2031" s="82"/>
      <c r="M2031" s="82"/>
      <c r="N2031" s="82"/>
      <c r="O2031" s="82"/>
      <c r="P2031" s="82"/>
      <c r="Q2031" s="82"/>
      <c r="R2031" s="82"/>
      <c r="S2031" s="82"/>
      <c r="T2031" s="82"/>
      <c r="U2031" s="82"/>
      <c r="V2031" s="82"/>
      <c r="W2031" s="82"/>
      <c r="X2031" s="82"/>
      <c r="Y2031" s="82"/>
      <c r="Z2031" s="82"/>
      <c r="AA2031" s="82"/>
      <c r="AB2031" s="82"/>
      <c r="AC2031" s="82"/>
      <c r="AD2031" s="82"/>
      <c r="AE2031" s="82"/>
      <c r="AF2031" s="82"/>
      <c r="AG2031" s="82"/>
      <c r="AH2031" s="82"/>
      <c r="AI2031" s="82"/>
      <c r="AJ2031" s="82"/>
      <c r="AK2031" s="82"/>
      <c r="AL2031" s="82"/>
      <c r="AM2031" s="82"/>
      <c r="AN2031" s="82"/>
      <c r="AO2031" s="82"/>
      <c r="AP2031" s="82"/>
      <c r="AQ2031" s="82"/>
      <c r="AR2031" s="82"/>
      <c r="AS2031" s="82"/>
      <c r="AT2031" s="82"/>
      <c r="AU2031" s="82"/>
      <c r="AV2031" s="82"/>
      <c r="AW2031" s="82" t="str">
        <f t="shared" si="1"/>
        <v/>
      </c>
      <c r="AX2031" s="83" t="str">
        <f t="array" ref="AX2031">IFERROR(DGET('SBV Import'!A:G,"SBV",{"RSC ID","Tier";B2031,A2031}))</f>
        <v/>
      </c>
      <c r="AY2031" s="82" t="str">
        <f t="shared" si="2"/>
        <v/>
      </c>
      <c r="AZ2031" s="82"/>
      <c r="BA2031" s="84" t="s">
        <v>152</v>
      </c>
      <c r="BB2031" s="84" t="str">
        <f>IFERROR(__xludf.DUMMYFUNCTION("iferror(if(A2031="""",,E2031&gt;=FILTER(Constants!$F$2:$F$10,Constants!$A$2:$A$10=A2031)))"),"")</f>
        <v/>
      </c>
    </row>
    <row r="2032">
      <c r="A2032" s="87"/>
      <c r="B2032" s="87"/>
      <c r="C2032" s="73"/>
      <c r="D2032" s="73"/>
      <c r="E2032" s="82"/>
      <c r="F2032" s="82"/>
      <c r="G2032" s="86"/>
      <c r="H2032" s="86"/>
      <c r="I2032" s="86"/>
      <c r="J2032" s="82"/>
      <c r="K2032" s="82"/>
      <c r="L2032" s="82"/>
      <c r="M2032" s="82"/>
      <c r="N2032" s="82"/>
      <c r="O2032" s="82"/>
      <c r="P2032" s="82"/>
      <c r="Q2032" s="82"/>
      <c r="R2032" s="82"/>
      <c r="S2032" s="82"/>
      <c r="T2032" s="82"/>
      <c r="U2032" s="82"/>
      <c r="V2032" s="82"/>
      <c r="W2032" s="82"/>
      <c r="X2032" s="82"/>
      <c r="Y2032" s="82"/>
      <c r="Z2032" s="82"/>
      <c r="AA2032" s="82"/>
      <c r="AB2032" s="82"/>
      <c r="AC2032" s="82"/>
      <c r="AD2032" s="82"/>
      <c r="AE2032" s="82"/>
      <c r="AF2032" s="82"/>
      <c r="AG2032" s="82"/>
      <c r="AH2032" s="82"/>
      <c r="AI2032" s="82"/>
      <c r="AJ2032" s="82"/>
      <c r="AK2032" s="82"/>
      <c r="AL2032" s="82"/>
      <c r="AM2032" s="82"/>
      <c r="AN2032" s="82"/>
      <c r="AO2032" s="82"/>
      <c r="AP2032" s="82"/>
      <c r="AQ2032" s="82"/>
      <c r="AR2032" s="82"/>
      <c r="AS2032" s="82"/>
      <c r="AT2032" s="82"/>
      <c r="AU2032" s="82"/>
      <c r="AV2032" s="82"/>
      <c r="AW2032" s="82" t="str">
        <f t="shared" si="1"/>
        <v/>
      </c>
      <c r="AX2032" s="83" t="str">
        <f t="array" ref="AX2032">IFERROR(DGET('SBV Import'!A:G,"SBV",{"RSC ID","Tier";B2032,A2032}))</f>
        <v/>
      </c>
      <c r="AY2032" s="82" t="str">
        <f t="shared" si="2"/>
        <v/>
      </c>
      <c r="AZ2032" s="82"/>
      <c r="BA2032" s="84" t="s">
        <v>152</v>
      </c>
      <c r="BB2032" s="84" t="str">
        <f>IFERROR(__xludf.DUMMYFUNCTION("iferror(if(A2032="""",,E2032&gt;=FILTER(Constants!$F$2:$F$10,Constants!$A$2:$A$10=A2032)))"),"")</f>
        <v/>
      </c>
    </row>
    <row r="2033">
      <c r="A2033" s="87"/>
      <c r="B2033" s="87"/>
      <c r="C2033" s="73"/>
      <c r="D2033" s="73"/>
      <c r="E2033" s="82"/>
      <c r="F2033" s="82"/>
      <c r="G2033" s="86"/>
      <c r="H2033" s="86"/>
      <c r="I2033" s="86"/>
      <c r="J2033" s="82"/>
      <c r="K2033" s="82"/>
      <c r="L2033" s="82"/>
      <c r="M2033" s="82"/>
      <c r="N2033" s="82"/>
      <c r="O2033" s="82"/>
      <c r="P2033" s="82"/>
      <c r="Q2033" s="82"/>
      <c r="R2033" s="82"/>
      <c r="S2033" s="82"/>
      <c r="T2033" s="82"/>
      <c r="U2033" s="82"/>
      <c r="V2033" s="82"/>
      <c r="W2033" s="82"/>
      <c r="X2033" s="82"/>
      <c r="Y2033" s="82"/>
      <c r="Z2033" s="82"/>
      <c r="AA2033" s="82"/>
      <c r="AB2033" s="82"/>
      <c r="AC2033" s="82"/>
      <c r="AD2033" s="82"/>
      <c r="AE2033" s="82"/>
      <c r="AF2033" s="82"/>
      <c r="AG2033" s="82"/>
      <c r="AH2033" s="82"/>
      <c r="AI2033" s="82"/>
      <c r="AJ2033" s="82"/>
      <c r="AK2033" s="82"/>
      <c r="AL2033" s="82"/>
      <c r="AM2033" s="82"/>
      <c r="AN2033" s="82"/>
      <c r="AO2033" s="82"/>
      <c r="AP2033" s="82"/>
      <c r="AQ2033" s="82"/>
      <c r="AR2033" s="82"/>
      <c r="AS2033" s="82"/>
      <c r="AT2033" s="82"/>
      <c r="AU2033" s="82"/>
      <c r="AV2033" s="82"/>
      <c r="AW2033" s="82" t="str">
        <f t="shared" si="1"/>
        <v/>
      </c>
      <c r="AX2033" s="83" t="str">
        <f t="array" ref="AX2033">IFERROR(DGET('SBV Import'!A:G,"SBV",{"RSC ID","Tier";B2033,A2033}))</f>
        <v/>
      </c>
      <c r="AY2033" s="82" t="str">
        <f t="shared" si="2"/>
        <v/>
      </c>
      <c r="AZ2033" s="82"/>
      <c r="BA2033" s="84" t="s">
        <v>152</v>
      </c>
      <c r="BB2033" s="84" t="str">
        <f>IFERROR(__xludf.DUMMYFUNCTION("iferror(if(A2033="""",,E2033&gt;=FILTER(Constants!$F$2:$F$10,Constants!$A$2:$A$10=A2033)))"),"")</f>
        <v/>
      </c>
    </row>
    <row r="2034">
      <c r="A2034" s="87"/>
      <c r="B2034" s="87"/>
      <c r="C2034" s="73"/>
      <c r="D2034" s="73"/>
      <c r="E2034" s="82"/>
      <c r="F2034" s="82"/>
      <c r="G2034" s="86"/>
      <c r="H2034" s="86"/>
      <c r="I2034" s="86"/>
      <c r="J2034" s="82"/>
      <c r="K2034" s="82"/>
      <c r="L2034" s="82"/>
      <c r="M2034" s="82"/>
      <c r="N2034" s="82"/>
      <c r="O2034" s="82"/>
      <c r="P2034" s="82"/>
      <c r="Q2034" s="82"/>
      <c r="R2034" s="82"/>
      <c r="S2034" s="82"/>
      <c r="T2034" s="82"/>
      <c r="U2034" s="82"/>
      <c r="V2034" s="82"/>
      <c r="W2034" s="82"/>
      <c r="X2034" s="82"/>
      <c r="Y2034" s="82"/>
      <c r="Z2034" s="82"/>
      <c r="AA2034" s="82"/>
      <c r="AB2034" s="82"/>
      <c r="AC2034" s="82"/>
      <c r="AD2034" s="82"/>
      <c r="AE2034" s="82"/>
      <c r="AF2034" s="82"/>
      <c r="AG2034" s="82"/>
      <c r="AH2034" s="82"/>
      <c r="AI2034" s="82"/>
      <c r="AJ2034" s="82"/>
      <c r="AK2034" s="82"/>
      <c r="AL2034" s="82"/>
      <c r="AM2034" s="82"/>
      <c r="AN2034" s="82"/>
      <c r="AO2034" s="82"/>
      <c r="AP2034" s="82"/>
      <c r="AQ2034" s="82"/>
      <c r="AR2034" s="82"/>
      <c r="AS2034" s="82"/>
      <c r="AT2034" s="82"/>
      <c r="AU2034" s="82"/>
      <c r="AV2034" s="82"/>
      <c r="AW2034" s="82" t="str">
        <f t="shared" si="1"/>
        <v/>
      </c>
      <c r="AX2034" s="83" t="str">
        <f t="array" ref="AX2034">IFERROR(DGET('SBV Import'!A:G,"SBV",{"RSC ID","Tier";B2034,A2034}))</f>
        <v/>
      </c>
      <c r="AY2034" s="82" t="str">
        <f t="shared" si="2"/>
        <v/>
      </c>
      <c r="AZ2034" s="82"/>
      <c r="BA2034" s="84" t="s">
        <v>152</v>
      </c>
      <c r="BB2034" s="84" t="str">
        <f>IFERROR(__xludf.DUMMYFUNCTION("iferror(if(A2034="""",,E2034&gt;=FILTER(Constants!$F$2:$F$10,Constants!$A$2:$A$10=A2034)))"),"")</f>
        <v/>
      </c>
    </row>
    <row r="2035">
      <c r="A2035" s="87"/>
      <c r="B2035" s="87"/>
      <c r="C2035" s="73"/>
      <c r="D2035" s="73"/>
      <c r="E2035" s="82"/>
      <c r="F2035" s="82"/>
      <c r="G2035" s="86"/>
      <c r="H2035" s="86"/>
      <c r="I2035" s="86"/>
      <c r="J2035" s="82"/>
      <c r="K2035" s="82"/>
      <c r="L2035" s="82"/>
      <c r="M2035" s="82"/>
      <c r="N2035" s="82"/>
      <c r="O2035" s="82"/>
      <c r="P2035" s="82"/>
      <c r="Q2035" s="82"/>
      <c r="R2035" s="82"/>
      <c r="S2035" s="82"/>
      <c r="T2035" s="82"/>
      <c r="U2035" s="82"/>
      <c r="V2035" s="82"/>
      <c r="W2035" s="82"/>
      <c r="X2035" s="82"/>
      <c r="Y2035" s="82"/>
      <c r="Z2035" s="82"/>
      <c r="AA2035" s="82"/>
      <c r="AB2035" s="82"/>
      <c r="AC2035" s="82"/>
      <c r="AD2035" s="82"/>
      <c r="AE2035" s="82"/>
      <c r="AF2035" s="82"/>
      <c r="AG2035" s="82"/>
      <c r="AH2035" s="82"/>
      <c r="AI2035" s="82"/>
      <c r="AJ2035" s="82"/>
      <c r="AK2035" s="82"/>
      <c r="AL2035" s="82"/>
      <c r="AM2035" s="82"/>
      <c r="AN2035" s="82"/>
      <c r="AO2035" s="82"/>
      <c r="AP2035" s="82"/>
      <c r="AQ2035" s="82"/>
      <c r="AR2035" s="82"/>
      <c r="AS2035" s="82"/>
      <c r="AT2035" s="82"/>
      <c r="AU2035" s="82"/>
      <c r="AV2035" s="82"/>
      <c r="AW2035" s="82" t="str">
        <f t="shared" si="1"/>
        <v/>
      </c>
      <c r="AX2035" s="83" t="str">
        <f t="array" ref="AX2035">IFERROR(DGET('SBV Import'!A:G,"SBV",{"RSC ID","Tier";B2035,A2035}))</f>
        <v/>
      </c>
      <c r="AY2035" s="82" t="str">
        <f t="shared" si="2"/>
        <v/>
      </c>
      <c r="AZ2035" s="82"/>
      <c r="BA2035" s="84" t="s">
        <v>152</v>
      </c>
      <c r="BB2035" s="84" t="str">
        <f>IFERROR(__xludf.DUMMYFUNCTION("iferror(if(A2035="""",,E2035&gt;=FILTER(Constants!$F$2:$F$10,Constants!$A$2:$A$10=A2035)))"),"")</f>
        <v/>
      </c>
    </row>
    <row r="2036">
      <c r="A2036" s="87"/>
      <c r="B2036" s="87"/>
      <c r="C2036" s="73"/>
      <c r="D2036" s="73"/>
      <c r="E2036" s="82"/>
      <c r="F2036" s="82"/>
      <c r="G2036" s="86"/>
      <c r="H2036" s="86"/>
      <c r="I2036" s="86"/>
      <c r="J2036" s="82"/>
      <c r="K2036" s="82"/>
      <c r="L2036" s="82"/>
      <c r="M2036" s="82"/>
      <c r="N2036" s="82"/>
      <c r="O2036" s="82"/>
      <c r="P2036" s="82"/>
      <c r="Q2036" s="82"/>
      <c r="R2036" s="82"/>
      <c r="S2036" s="82"/>
      <c r="T2036" s="82"/>
      <c r="U2036" s="82"/>
      <c r="V2036" s="82"/>
      <c r="W2036" s="82"/>
      <c r="X2036" s="82"/>
      <c r="Y2036" s="82"/>
      <c r="Z2036" s="82"/>
      <c r="AA2036" s="82"/>
      <c r="AB2036" s="82"/>
      <c r="AC2036" s="82"/>
      <c r="AD2036" s="82"/>
      <c r="AE2036" s="82"/>
      <c r="AF2036" s="82"/>
      <c r="AG2036" s="82"/>
      <c r="AH2036" s="82"/>
      <c r="AI2036" s="82"/>
      <c r="AJ2036" s="82"/>
      <c r="AK2036" s="82"/>
      <c r="AL2036" s="82"/>
      <c r="AM2036" s="82"/>
      <c r="AN2036" s="82"/>
      <c r="AO2036" s="82"/>
      <c r="AP2036" s="82"/>
      <c r="AQ2036" s="82"/>
      <c r="AR2036" s="82"/>
      <c r="AS2036" s="82"/>
      <c r="AT2036" s="82"/>
      <c r="AU2036" s="82"/>
      <c r="AV2036" s="82"/>
      <c r="AW2036" s="82" t="str">
        <f t="shared" si="1"/>
        <v/>
      </c>
      <c r="AX2036" s="83" t="str">
        <f t="array" ref="AX2036">IFERROR(DGET('SBV Import'!A:G,"SBV",{"RSC ID","Tier";B2036,A2036}))</f>
        <v/>
      </c>
      <c r="AY2036" s="82" t="str">
        <f t="shared" si="2"/>
        <v/>
      </c>
      <c r="AZ2036" s="82"/>
      <c r="BA2036" s="84" t="s">
        <v>152</v>
      </c>
      <c r="BB2036" s="84" t="str">
        <f>IFERROR(__xludf.DUMMYFUNCTION("iferror(if(A2036="""",,E2036&gt;=FILTER(Constants!$F$2:$F$10,Constants!$A$2:$A$10=A2036)))"),"")</f>
        <v/>
      </c>
    </row>
    <row r="2037">
      <c r="A2037" s="87"/>
      <c r="B2037" s="87"/>
      <c r="C2037" s="73"/>
      <c r="D2037" s="73"/>
      <c r="E2037" s="82"/>
      <c r="F2037" s="82"/>
      <c r="G2037" s="86"/>
      <c r="H2037" s="86"/>
      <c r="I2037" s="86"/>
      <c r="J2037" s="82"/>
      <c r="K2037" s="82"/>
      <c r="L2037" s="82"/>
      <c r="M2037" s="82"/>
      <c r="N2037" s="82"/>
      <c r="O2037" s="82"/>
      <c r="P2037" s="82"/>
      <c r="Q2037" s="82"/>
      <c r="R2037" s="82"/>
      <c r="S2037" s="82"/>
      <c r="T2037" s="82"/>
      <c r="U2037" s="82"/>
      <c r="V2037" s="82"/>
      <c r="W2037" s="82"/>
      <c r="X2037" s="82"/>
      <c r="Y2037" s="82"/>
      <c r="Z2037" s="82"/>
      <c r="AA2037" s="82"/>
      <c r="AB2037" s="82"/>
      <c r="AC2037" s="82"/>
      <c r="AD2037" s="82"/>
      <c r="AE2037" s="82"/>
      <c r="AF2037" s="82"/>
      <c r="AG2037" s="82"/>
      <c r="AH2037" s="82"/>
      <c r="AI2037" s="82"/>
      <c r="AJ2037" s="82"/>
      <c r="AK2037" s="82"/>
      <c r="AL2037" s="82"/>
      <c r="AM2037" s="82"/>
      <c r="AN2037" s="82"/>
      <c r="AO2037" s="82"/>
      <c r="AP2037" s="82"/>
      <c r="AQ2037" s="82"/>
      <c r="AR2037" s="82"/>
      <c r="AS2037" s="82"/>
      <c r="AT2037" s="82"/>
      <c r="AU2037" s="82"/>
      <c r="AV2037" s="82"/>
      <c r="AW2037" s="82" t="str">
        <f t="shared" si="1"/>
        <v/>
      </c>
      <c r="AX2037" s="83" t="str">
        <f t="array" ref="AX2037">IFERROR(DGET('SBV Import'!A:G,"SBV",{"RSC ID","Tier";B2037,A2037}))</f>
        <v/>
      </c>
      <c r="AY2037" s="82" t="str">
        <f t="shared" si="2"/>
        <v/>
      </c>
      <c r="AZ2037" s="82"/>
      <c r="BA2037" s="84" t="s">
        <v>152</v>
      </c>
      <c r="BB2037" s="84" t="str">
        <f>IFERROR(__xludf.DUMMYFUNCTION("iferror(if(A2037="""",,E2037&gt;=FILTER(Constants!$F$2:$F$10,Constants!$A$2:$A$10=A2037)))"),"")</f>
        <v/>
      </c>
    </row>
    <row r="2038">
      <c r="A2038" s="87"/>
      <c r="B2038" s="87"/>
      <c r="C2038" s="73"/>
      <c r="D2038" s="73"/>
      <c r="E2038" s="82"/>
      <c r="F2038" s="82"/>
      <c r="G2038" s="86"/>
      <c r="H2038" s="86"/>
      <c r="I2038" s="86"/>
      <c r="J2038" s="82"/>
      <c r="K2038" s="82"/>
      <c r="L2038" s="82"/>
      <c r="M2038" s="82"/>
      <c r="N2038" s="82"/>
      <c r="O2038" s="82"/>
      <c r="P2038" s="82"/>
      <c r="Q2038" s="82"/>
      <c r="R2038" s="82"/>
      <c r="S2038" s="82"/>
      <c r="T2038" s="82"/>
      <c r="U2038" s="82"/>
      <c r="V2038" s="82"/>
      <c r="W2038" s="82"/>
      <c r="X2038" s="82"/>
      <c r="Y2038" s="82"/>
      <c r="Z2038" s="82"/>
      <c r="AA2038" s="82"/>
      <c r="AB2038" s="82"/>
      <c r="AC2038" s="82"/>
      <c r="AD2038" s="82"/>
      <c r="AE2038" s="82"/>
      <c r="AF2038" s="82"/>
      <c r="AG2038" s="82"/>
      <c r="AH2038" s="82"/>
      <c r="AI2038" s="82"/>
      <c r="AJ2038" s="82"/>
      <c r="AK2038" s="82"/>
      <c r="AL2038" s="82"/>
      <c r="AM2038" s="82"/>
      <c r="AN2038" s="82"/>
      <c r="AO2038" s="82"/>
      <c r="AP2038" s="82"/>
      <c r="AQ2038" s="82"/>
      <c r="AR2038" s="82"/>
      <c r="AS2038" s="82"/>
      <c r="AT2038" s="82"/>
      <c r="AU2038" s="82"/>
      <c r="AV2038" s="82"/>
      <c r="AW2038" s="82" t="str">
        <f t="shared" si="1"/>
        <v/>
      </c>
      <c r="AX2038" s="83" t="str">
        <f t="array" ref="AX2038">IFERROR(DGET('SBV Import'!A:G,"SBV",{"RSC ID","Tier";B2038,A2038}))</f>
        <v/>
      </c>
      <c r="AY2038" s="82" t="str">
        <f t="shared" si="2"/>
        <v/>
      </c>
      <c r="AZ2038" s="82"/>
      <c r="BA2038" s="84" t="s">
        <v>152</v>
      </c>
      <c r="BB2038" s="84" t="str">
        <f>IFERROR(__xludf.DUMMYFUNCTION("iferror(if(A2038="""",,E2038&gt;=FILTER(Constants!$F$2:$F$10,Constants!$A$2:$A$10=A2038)))"),"")</f>
        <v/>
      </c>
    </row>
    <row r="2039">
      <c r="A2039" s="87"/>
      <c r="B2039" s="87"/>
      <c r="C2039" s="73"/>
      <c r="D2039" s="73"/>
      <c r="E2039" s="82"/>
      <c r="F2039" s="82"/>
      <c r="G2039" s="86"/>
      <c r="H2039" s="86"/>
      <c r="I2039" s="86"/>
      <c r="J2039" s="82"/>
      <c r="K2039" s="82"/>
      <c r="L2039" s="82"/>
      <c r="M2039" s="82"/>
      <c r="N2039" s="82"/>
      <c r="O2039" s="82"/>
      <c r="P2039" s="82"/>
      <c r="Q2039" s="82"/>
      <c r="R2039" s="82"/>
      <c r="S2039" s="82"/>
      <c r="T2039" s="82"/>
      <c r="U2039" s="82"/>
      <c r="V2039" s="82"/>
      <c r="W2039" s="82"/>
      <c r="X2039" s="82"/>
      <c r="Y2039" s="82"/>
      <c r="Z2039" s="82"/>
      <c r="AA2039" s="82"/>
      <c r="AB2039" s="82"/>
      <c r="AC2039" s="82"/>
      <c r="AD2039" s="82"/>
      <c r="AE2039" s="82"/>
      <c r="AF2039" s="82"/>
      <c r="AG2039" s="82"/>
      <c r="AH2039" s="82"/>
      <c r="AI2039" s="82"/>
      <c r="AJ2039" s="82"/>
      <c r="AK2039" s="82"/>
      <c r="AL2039" s="82"/>
      <c r="AM2039" s="82"/>
      <c r="AN2039" s="82"/>
      <c r="AO2039" s="82"/>
      <c r="AP2039" s="82"/>
      <c r="AQ2039" s="82"/>
      <c r="AR2039" s="82"/>
      <c r="AS2039" s="82"/>
      <c r="AT2039" s="82"/>
      <c r="AU2039" s="82"/>
      <c r="AV2039" s="82"/>
      <c r="AW2039" s="82" t="str">
        <f t="shared" si="1"/>
        <v/>
      </c>
      <c r="AX2039" s="83" t="str">
        <f t="array" ref="AX2039">IFERROR(DGET('SBV Import'!A:G,"SBV",{"RSC ID","Tier";B2039,A2039}))</f>
        <v/>
      </c>
      <c r="AY2039" s="82" t="str">
        <f t="shared" si="2"/>
        <v/>
      </c>
      <c r="AZ2039" s="82"/>
      <c r="BA2039" s="84" t="s">
        <v>152</v>
      </c>
      <c r="BB2039" s="84" t="str">
        <f>IFERROR(__xludf.DUMMYFUNCTION("iferror(if(A2039="""",,E2039&gt;=FILTER(Constants!$F$2:$F$10,Constants!$A$2:$A$10=A2039)))"),"")</f>
        <v/>
      </c>
    </row>
    <row r="2040">
      <c r="A2040" s="87"/>
      <c r="B2040" s="87"/>
      <c r="C2040" s="73"/>
      <c r="D2040" s="73"/>
      <c r="E2040" s="82"/>
      <c r="F2040" s="82"/>
      <c r="G2040" s="86"/>
      <c r="H2040" s="86"/>
      <c r="I2040" s="86"/>
      <c r="J2040" s="82"/>
      <c r="K2040" s="82"/>
      <c r="L2040" s="82"/>
      <c r="M2040" s="82"/>
      <c r="N2040" s="82"/>
      <c r="O2040" s="82"/>
      <c r="P2040" s="82"/>
      <c r="Q2040" s="82"/>
      <c r="R2040" s="82"/>
      <c r="S2040" s="82"/>
      <c r="T2040" s="82"/>
      <c r="U2040" s="82"/>
      <c r="V2040" s="82"/>
      <c r="W2040" s="82"/>
      <c r="X2040" s="82"/>
      <c r="Y2040" s="82"/>
      <c r="Z2040" s="82"/>
      <c r="AA2040" s="82"/>
      <c r="AB2040" s="82"/>
      <c r="AC2040" s="82"/>
      <c r="AD2040" s="82"/>
      <c r="AE2040" s="82"/>
      <c r="AF2040" s="82"/>
      <c r="AG2040" s="82"/>
      <c r="AH2040" s="82"/>
      <c r="AI2040" s="82"/>
      <c r="AJ2040" s="82"/>
      <c r="AK2040" s="82"/>
      <c r="AL2040" s="82"/>
      <c r="AM2040" s="82"/>
      <c r="AN2040" s="82"/>
      <c r="AO2040" s="82"/>
      <c r="AP2040" s="82"/>
      <c r="AQ2040" s="82"/>
      <c r="AR2040" s="82"/>
      <c r="AS2040" s="82"/>
      <c r="AT2040" s="82"/>
      <c r="AU2040" s="82"/>
      <c r="AV2040" s="82"/>
      <c r="AW2040" s="82" t="str">
        <f t="shared" si="1"/>
        <v/>
      </c>
      <c r="AX2040" s="83" t="str">
        <f t="array" ref="AX2040">IFERROR(DGET('SBV Import'!A:G,"SBV",{"RSC ID","Tier";B2040,A2040}))</f>
        <v/>
      </c>
      <c r="AY2040" s="82" t="str">
        <f t="shared" si="2"/>
        <v/>
      </c>
      <c r="AZ2040" s="82"/>
      <c r="BA2040" s="84" t="s">
        <v>152</v>
      </c>
      <c r="BB2040" s="84" t="str">
        <f>IFERROR(__xludf.DUMMYFUNCTION("iferror(if(A2040="""",,E2040&gt;=FILTER(Constants!$F$2:$F$10,Constants!$A$2:$A$10=A2040)))"),"")</f>
        <v/>
      </c>
    </row>
    <row r="2041">
      <c r="A2041" s="87"/>
      <c r="B2041" s="87"/>
      <c r="C2041" s="73"/>
      <c r="D2041" s="73"/>
      <c r="E2041" s="82"/>
      <c r="F2041" s="82"/>
      <c r="G2041" s="86"/>
      <c r="H2041" s="86"/>
      <c r="I2041" s="86"/>
      <c r="J2041" s="82"/>
      <c r="K2041" s="82"/>
      <c r="L2041" s="82"/>
      <c r="M2041" s="82"/>
      <c r="N2041" s="82"/>
      <c r="O2041" s="82"/>
      <c r="P2041" s="82"/>
      <c r="Q2041" s="82"/>
      <c r="R2041" s="82"/>
      <c r="S2041" s="82"/>
      <c r="T2041" s="82"/>
      <c r="U2041" s="82"/>
      <c r="V2041" s="82"/>
      <c r="W2041" s="82"/>
      <c r="X2041" s="82"/>
      <c r="Y2041" s="82"/>
      <c r="Z2041" s="82"/>
      <c r="AA2041" s="82"/>
      <c r="AB2041" s="82"/>
      <c r="AC2041" s="82"/>
      <c r="AD2041" s="82"/>
      <c r="AE2041" s="82"/>
      <c r="AF2041" s="82"/>
      <c r="AG2041" s="82"/>
      <c r="AH2041" s="82"/>
      <c r="AI2041" s="82"/>
      <c r="AJ2041" s="82"/>
      <c r="AK2041" s="82"/>
      <c r="AL2041" s="82"/>
      <c r="AM2041" s="82"/>
      <c r="AN2041" s="82"/>
      <c r="AO2041" s="82"/>
      <c r="AP2041" s="82"/>
      <c r="AQ2041" s="82"/>
      <c r="AR2041" s="82"/>
      <c r="AS2041" s="82"/>
      <c r="AT2041" s="82"/>
      <c r="AU2041" s="82"/>
      <c r="AV2041" s="82"/>
      <c r="AW2041" s="82" t="str">
        <f t="shared" si="1"/>
        <v/>
      </c>
      <c r="AX2041" s="83" t="str">
        <f t="array" ref="AX2041">IFERROR(DGET('SBV Import'!A:G,"SBV",{"RSC ID","Tier";B2041,A2041}))</f>
        <v/>
      </c>
      <c r="AY2041" s="82" t="str">
        <f t="shared" si="2"/>
        <v/>
      </c>
      <c r="AZ2041" s="82"/>
      <c r="BA2041" s="84" t="s">
        <v>152</v>
      </c>
      <c r="BB2041" s="84" t="str">
        <f>IFERROR(__xludf.DUMMYFUNCTION("iferror(if(A2041="""",,E2041&gt;=FILTER(Constants!$F$2:$F$10,Constants!$A$2:$A$10=A2041)))"),"")</f>
        <v/>
      </c>
    </row>
    <row r="2042">
      <c r="A2042" s="87"/>
      <c r="B2042" s="87"/>
      <c r="C2042" s="73"/>
      <c r="D2042" s="73"/>
      <c r="E2042" s="82"/>
      <c r="F2042" s="82"/>
      <c r="G2042" s="86"/>
      <c r="H2042" s="86"/>
      <c r="I2042" s="86"/>
      <c r="J2042" s="82"/>
      <c r="K2042" s="82"/>
      <c r="L2042" s="82"/>
      <c r="M2042" s="82"/>
      <c r="N2042" s="82"/>
      <c r="O2042" s="82"/>
      <c r="P2042" s="82"/>
      <c r="Q2042" s="82"/>
      <c r="R2042" s="82"/>
      <c r="S2042" s="82"/>
      <c r="T2042" s="82"/>
      <c r="U2042" s="82"/>
      <c r="V2042" s="82"/>
      <c r="W2042" s="82"/>
      <c r="X2042" s="82"/>
      <c r="Y2042" s="82"/>
      <c r="Z2042" s="82"/>
      <c r="AA2042" s="82"/>
      <c r="AB2042" s="82"/>
      <c r="AC2042" s="82"/>
      <c r="AD2042" s="82"/>
      <c r="AE2042" s="82"/>
      <c r="AF2042" s="82"/>
      <c r="AG2042" s="82"/>
      <c r="AH2042" s="82"/>
      <c r="AI2042" s="82"/>
      <c r="AJ2042" s="82"/>
      <c r="AK2042" s="82"/>
      <c r="AL2042" s="82"/>
      <c r="AM2042" s="82"/>
      <c r="AN2042" s="82"/>
      <c r="AO2042" s="82"/>
      <c r="AP2042" s="82"/>
      <c r="AQ2042" s="82"/>
      <c r="AR2042" s="82"/>
      <c r="AS2042" s="82"/>
      <c r="AT2042" s="82"/>
      <c r="AU2042" s="82"/>
      <c r="AV2042" s="82"/>
      <c r="AW2042" s="82" t="str">
        <f t="shared" si="1"/>
        <v/>
      </c>
      <c r="AX2042" s="83" t="str">
        <f t="array" ref="AX2042">IFERROR(DGET('SBV Import'!A:G,"SBV",{"RSC ID","Tier";B2042,A2042}))</f>
        <v/>
      </c>
      <c r="AY2042" s="82" t="str">
        <f t="shared" si="2"/>
        <v/>
      </c>
      <c r="AZ2042" s="82"/>
      <c r="BA2042" s="84" t="s">
        <v>152</v>
      </c>
      <c r="BB2042" s="84" t="str">
        <f>IFERROR(__xludf.DUMMYFUNCTION("iferror(if(A2042="""",,E2042&gt;=FILTER(Constants!$F$2:$F$10,Constants!$A$2:$A$10=A2042)))"),"")</f>
        <v/>
      </c>
    </row>
    <row r="2043">
      <c r="A2043" s="87"/>
      <c r="B2043" s="87"/>
      <c r="C2043" s="73"/>
      <c r="D2043" s="73"/>
      <c r="E2043" s="82"/>
      <c r="F2043" s="82"/>
      <c r="G2043" s="86"/>
      <c r="H2043" s="86"/>
      <c r="I2043" s="86"/>
      <c r="J2043" s="82"/>
      <c r="K2043" s="82"/>
      <c r="L2043" s="82"/>
      <c r="M2043" s="82"/>
      <c r="N2043" s="82"/>
      <c r="O2043" s="82"/>
      <c r="P2043" s="82"/>
      <c r="Q2043" s="82"/>
      <c r="R2043" s="82"/>
      <c r="S2043" s="82"/>
      <c r="T2043" s="82"/>
      <c r="U2043" s="82"/>
      <c r="V2043" s="82"/>
      <c r="W2043" s="82"/>
      <c r="X2043" s="82"/>
      <c r="Y2043" s="82"/>
      <c r="Z2043" s="82"/>
      <c r="AA2043" s="82"/>
      <c r="AB2043" s="82"/>
      <c r="AC2043" s="82"/>
      <c r="AD2043" s="82"/>
      <c r="AE2043" s="82"/>
      <c r="AF2043" s="82"/>
      <c r="AG2043" s="82"/>
      <c r="AH2043" s="82"/>
      <c r="AI2043" s="82"/>
      <c r="AJ2043" s="82"/>
      <c r="AK2043" s="82"/>
      <c r="AL2043" s="82"/>
      <c r="AM2043" s="82"/>
      <c r="AN2043" s="82"/>
      <c r="AO2043" s="82"/>
      <c r="AP2043" s="82"/>
      <c r="AQ2043" s="82"/>
      <c r="AR2043" s="82"/>
      <c r="AS2043" s="82"/>
      <c r="AT2043" s="82"/>
      <c r="AU2043" s="82"/>
      <c r="AV2043" s="82"/>
      <c r="AW2043" s="82" t="str">
        <f t="shared" si="1"/>
        <v/>
      </c>
      <c r="AX2043" s="83" t="str">
        <f t="array" ref="AX2043">IFERROR(DGET('SBV Import'!A:G,"SBV",{"RSC ID","Tier";B2043,A2043}))</f>
        <v/>
      </c>
      <c r="AY2043" s="82" t="str">
        <f t="shared" si="2"/>
        <v/>
      </c>
      <c r="AZ2043" s="82"/>
      <c r="BA2043" s="84" t="s">
        <v>152</v>
      </c>
      <c r="BB2043" s="84" t="str">
        <f>IFERROR(__xludf.DUMMYFUNCTION("iferror(if(A2043="""",,E2043&gt;=FILTER(Constants!$F$2:$F$10,Constants!$A$2:$A$10=A2043)))"),"")</f>
        <v/>
      </c>
    </row>
    <row r="2044">
      <c r="A2044" s="87"/>
      <c r="B2044" s="87"/>
      <c r="C2044" s="73"/>
      <c r="D2044" s="73"/>
      <c r="E2044" s="82"/>
      <c r="F2044" s="82"/>
      <c r="G2044" s="86"/>
      <c r="H2044" s="86"/>
      <c r="I2044" s="86"/>
      <c r="J2044" s="82"/>
      <c r="K2044" s="82"/>
      <c r="L2044" s="82"/>
      <c r="M2044" s="82"/>
      <c r="N2044" s="82"/>
      <c r="O2044" s="82"/>
      <c r="P2044" s="82"/>
      <c r="Q2044" s="82"/>
      <c r="R2044" s="82"/>
      <c r="S2044" s="82"/>
      <c r="T2044" s="82"/>
      <c r="U2044" s="82"/>
      <c r="V2044" s="82"/>
      <c r="W2044" s="82"/>
      <c r="X2044" s="82"/>
      <c r="Y2044" s="82"/>
      <c r="Z2044" s="82"/>
      <c r="AA2044" s="82"/>
      <c r="AB2044" s="82"/>
      <c r="AC2044" s="82"/>
      <c r="AD2044" s="82"/>
      <c r="AE2044" s="82"/>
      <c r="AF2044" s="82"/>
      <c r="AG2044" s="82"/>
      <c r="AH2044" s="82"/>
      <c r="AI2044" s="82"/>
      <c r="AJ2044" s="82"/>
      <c r="AK2044" s="82"/>
      <c r="AL2044" s="82"/>
      <c r="AM2044" s="82"/>
      <c r="AN2044" s="82"/>
      <c r="AO2044" s="82"/>
      <c r="AP2044" s="82"/>
      <c r="AQ2044" s="82"/>
      <c r="AR2044" s="82"/>
      <c r="AS2044" s="82"/>
      <c r="AT2044" s="82"/>
      <c r="AU2044" s="82"/>
      <c r="AV2044" s="82"/>
      <c r="AW2044" s="82" t="str">
        <f t="shared" si="1"/>
        <v/>
      </c>
      <c r="AX2044" s="83" t="str">
        <f t="array" ref="AX2044">IFERROR(DGET('SBV Import'!A:G,"SBV",{"RSC ID","Tier";B2044,A2044}))</f>
        <v/>
      </c>
      <c r="AY2044" s="82" t="str">
        <f t="shared" si="2"/>
        <v/>
      </c>
      <c r="AZ2044" s="82"/>
      <c r="BA2044" s="84" t="s">
        <v>152</v>
      </c>
      <c r="BB2044" s="84" t="str">
        <f>IFERROR(__xludf.DUMMYFUNCTION("iferror(if(A2044="""",,E2044&gt;=FILTER(Constants!$F$2:$F$10,Constants!$A$2:$A$10=A2044)))"),"")</f>
        <v/>
      </c>
    </row>
    <row r="2045">
      <c r="A2045" s="87"/>
      <c r="B2045" s="87"/>
      <c r="C2045" s="73"/>
      <c r="D2045" s="73"/>
      <c r="E2045" s="82"/>
      <c r="F2045" s="82"/>
      <c r="G2045" s="86"/>
      <c r="H2045" s="86"/>
      <c r="I2045" s="86"/>
      <c r="J2045" s="82"/>
      <c r="K2045" s="82"/>
      <c r="L2045" s="82"/>
      <c r="M2045" s="82"/>
      <c r="N2045" s="82"/>
      <c r="O2045" s="82"/>
      <c r="P2045" s="82"/>
      <c r="Q2045" s="82"/>
      <c r="R2045" s="82"/>
      <c r="S2045" s="82"/>
      <c r="T2045" s="82"/>
      <c r="U2045" s="82"/>
      <c r="V2045" s="82"/>
      <c r="W2045" s="82"/>
      <c r="X2045" s="82"/>
      <c r="Y2045" s="82"/>
      <c r="Z2045" s="82"/>
      <c r="AA2045" s="82"/>
      <c r="AB2045" s="82"/>
      <c r="AC2045" s="82"/>
      <c r="AD2045" s="82"/>
      <c r="AE2045" s="82"/>
      <c r="AF2045" s="82"/>
      <c r="AG2045" s="82"/>
      <c r="AH2045" s="82"/>
      <c r="AI2045" s="82"/>
      <c r="AJ2045" s="82"/>
      <c r="AK2045" s="82"/>
      <c r="AL2045" s="82"/>
      <c r="AM2045" s="82"/>
      <c r="AN2045" s="82"/>
      <c r="AO2045" s="82"/>
      <c r="AP2045" s="82"/>
      <c r="AQ2045" s="82"/>
      <c r="AR2045" s="82"/>
      <c r="AS2045" s="82"/>
      <c r="AT2045" s="82"/>
      <c r="AU2045" s="82"/>
      <c r="AV2045" s="82"/>
      <c r="AW2045" s="82" t="str">
        <f t="shared" si="1"/>
        <v/>
      </c>
      <c r="AX2045" s="83" t="str">
        <f t="array" ref="AX2045">IFERROR(DGET('SBV Import'!A:G,"SBV",{"RSC ID","Tier";B2045,A2045}))</f>
        <v/>
      </c>
      <c r="AY2045" s="82" t="str">
        <f t="shared" si="2"/>
        <v/>
      </c>
      <c r="AZ2045" s="82"/>
      <c r="BA2045" s="84" t="s">
        <v>152</v>
      </c>
      <c r="BB2045" s="84" t="str">
        <f>IFERROR(__xludf.DUMMYFUNCTION("iferror(if(A2045="""",,E2045&gt;=FILTER(Constants!$F$2:$F$10,Constants!$A$2:$A$10=A2045)))"),"")</f>
        <v/>
      </c>
    </row>
    <row r="2046">
      <c r="A2046" s="87"/>
      <c r="B2046" s="87"/>
      <c r="C2046" s="73"/>
      <c r="D2046" s="73"/>
      <c r="E2046" s="82"/>
      <c r="F2046" s="82"/>
      <c r="G2046" s="86"/>
      <c r="H2046" s="86"/>
      <c r="I2046" s="86"/>
      <c r="J2046" s="82"/>
      <c r="K2046" s="82"/>
      <c r="L2046" s="82"/>
      <c r="M2046" s="82"/>
      <c r="N2046" s="82"/>
      <c r="O2046" s="82"/>
      <c r="P2046" s="82"/>
      <c r="Q2046" s="82"/>
      <c r="R2046" s="82"/>
      <c r="S2046" s="82"/>
      <c r="T2046" s="82"/>
      <c r="U2046" s="82"/>
      <c r="V2046" s="82"/>
      <c r="W2046" s="82"/>
      <c r="X2046" s="82"/>
      <c r="Y2046" s="82"/>
      <c r="Z2046" s="82"/>
      <c r="AA2046" s="82"/>
      <c r="AB2046" s="82"/>
      <c r="AC2046" s="82"/>
      <c r="AD2046" s="82"/>
      <c r="AE2046" s="82"/>
      <c r="AF2046" s="82"/>
      <c r="AG2046" s="82"/>
      <c r="AH2046" s="82"/>
      <c r="AI2046" s="82"/>
      <c r="AJ2046" s="82"/>
      <c r="AK2046" s="82"/>
      <c r="AL2046" s="82"/>
      <c r="AM2046" s="82"/>
      <c r="AN2046" s="82"/>
      <c r="AO2046" s="82"/>
      <c r="AP2046" s="82"/>
      <c r="AQ2046" s="82"/>
      <c r="AR2046" s="82"/>
      <c r="AS2046" s="82"/>
      <c r="AT2046" s="82"/>
      <c r="AU2046" s="82"/>
      <c r="AV2046" s="82"/>
      <c r="AW2046" s="82" t="str">
        <f t="shared" si="1"/>
        <v/>
      </c>
      <c r="AX2046" s="83" t="str">
        <f t="array" ref="AX2046">IFERROR(DGET('SBV Import'!A:G,"SBV",{"RSC ID","Tier";B2046,A2046}))</f>
        <v/>
      </c>
      <c r="AY2046" s="82" t="str">
        <f t="shared" si="2"/>
        <v/>
      </c>
      <c r="AZ2046" s="82"/>
      <c r="BA2046" s="84" t="s">
        <v>152</v>
      </c>
      <c r="BB2046" s="84" t="str">
        <f>IFERROR(__xludf.DUMMYFUNCTION("iferror(if(A2046="""",,E2046&gt;=FILTER(Constants!$F$2:$F$10,Constants!$A$2:$A$10=A2046)))"),"")</f>
        <v/>
      </c>
    </row>
    <row r="2047">
      <c r="A2047" s="87"/>
      <c r="B2047" s="87"/>
      <c r="C2047" s="73"/>
      <c r="D2047" s="73"/>
      <c r="E2047" s="82"/>
      <c r="F2047" s="82"/>
      <c r="G2047" s="86"/>
      <c r="H2047" s="86"/>
      <c r="I2047" s="86"/>
      <c r="J2047" s="82"/>
      <c r="K2047" s="82"/>
      <c r="L2047" s="82"/>
      <c r="M2047" s="82"/>
      <c r="N2047" s="82"/>
      <c r="O2047" s="82"/>
      <c r="P2047" s="82"/>
      <c r="Q2047" s="82"/>
      <c r="R2047" s="82"/>
      <c r="S2047" s="82"/>
      <c r="T2047" s="82"/>
      <c r="U2047" s="82"/>
      <c r="V2047" s="82"/>
      <c r="W2047" s="82"/>
      <c r="X2047" s="82"/>
      <c r="Y2047" s="82"/>
      <c r="Z2047" s="82"/>
      <c r="AA2047" s="82"/>
      <c r="AB2047" s="82"/>
      <c r="AC2047" s="82"/>
      <c r="AD2047" s="82"/>
      <c r="AE2047" s="82"/>
      <c r="AF2047" s="82"/>
      <c r="AG2047" s="82"/>
      <c r="AH2047" s="82"/>
      <c r="AI2047" s="82"/>
      <c r="AJ2047" s="82"/>
      <c r="AK2047" s="82"/>
      <c r="AL2047" s="82"/>
      <c r="AM2047" s="82"/>
      <c r="AN2047" s="82"/>
      <c r="AO2047" s="82"/>
      <c r="AP2047" s="82"/>
      <c r="AQ2047" s="82"/>
      <c r="AR2047" s="82"/>
      <c r="AS2047" s="82"/>
      <c r="AT2047" s="82"/>
      <c r="AU2047" s="82"/>
      <c r="AV2047" s="82"/>
      <c r="AW2047" s="82" t="str">
        <f t="shared" si="1"/>
        <v/>
      </c>
      <c r="AX2047" s="83" t="str">
        <f t="array" ref="AX2047">IFERROR(DGET('SBV Import'!A:G,"SBV",{"RSC ID","Tier";B2047,A2047}))</f>
        <v/>
      </c>
      <c r="AY2047" s="82" t="str">
        <f t="shared" si="2"/>
        <v/>
      </c>
      <c r="AZ2047" s="82"/>
      <c r="BA2047" s="84" t="s">
        <v>152</v>
      </c>
      <c r="BB2047" s="84" t="str">
        <f>IFERROR(__xludf.DUMMYFUNCTION("iferror(if(A2047="""",,E2047&gt;=FILTER(Constants!$F$2:$F$10,Constants!$A$2:$A$10=A2047)))"),"")</f>
        <v/>
      </c>
    </row>
    <row r="2048">
      <c r="A2048" s="87"/>
      <c r="B2048" s="87"/>
      <c r="C2048" s="73"/>
      <c r="D2048" s="73"/>
      <c r="E2048" s="82"/>
      <c r="F2048" s="82"/>
      <c r="G2048" s="86"/>
      <c r="H2048" s="86"/>
      <c r="I2048" s="86"/>
      <c r="J2048" s="82"/>
      <c r="K2048" s="82"/>
      <c r="L2048" s="82"/>
      <c r="M2048" s="82"/>
      <c r="N2048" s="82"/>
      <c r="O2048" s="82"/>
      <c r="P2048" s="82"/>
      <c r="Q2048" s="82"/>
      <c r="R2048" s="82"/>
      <c r="S2048" s="82"/>
      <c r="T2048" s="82"/>
      <c r="U2048" s="82"/>
      <c r="V2048" s="82"/>
      <c r="W2048" s="82"/>
      <c r="X2048" s="82"/>
      <c r="Y2048" s="82"/>
      <c r="Z2048" s="82"/>
      <c r="AA2048" s="82"/>
      <c r="AB2048" s="82"/>
      <c r="AC2048" s="82"/>
      <c r="AD2048" s="82"/>
      <c r="AE2048" s="82"/>
      <c r="AF2048" s="82"/>
      <c r="AG2048" s="82"/>
      <c r="AH2048" s="82"/>
      <c r="AI2048" s="82"/>
      <c r="AJ2048" s="82"/>
      <c r="AK2048" s="82"/>
      <c r="AL2048" s="82"/>
      <c r="AM2048" s="82"/>
      <c r="AN2048" s="82"/>
      <c r="AO2048" s="82"/>
      <c r="AP2048" s="82"/>
      <c r="AQ2048" s="82"/>
      <c r="AR2048" s="82"/>
      <c r="AS2048" s="82"/>
      <c r="AT2048" s="82"/>
      <c r="AU2048" s="82"/>
      <c r="AV2048" s="82"/>
      <c r="AW2048" s="82" t="str">
        <f t="shared" si="1"/>
        <v/>
      </c>
      <c r="AX2048" s="83" t="str">
        <f t="array" ref="AX2048">IFERROR(DGET('SBV Import'!A:G,"SBV",{"RSC ID","Tier";B2048,A2048}))</f>
        <v/>
      </c>
      <c r="AY2048" s="82" t="str">
        <f t="shared" si="2"/>
        <v/>
      </c>
      <c r="AZ2048" s="82"/>
      <c r="BA2048" s="84" t="s">
        <v>152</v>
      </c>
      <c r="BB2048" s="84" t="str">
        <f>IFERROR(__xludf.DUMMYFUNCTION("iferror(if(A2048="""",,E2048&gt;=FILTER(Constants!$F$2:$F$10,Constants!$A$2:$A$10=A2048)))"),"")</f>
        <v/>
      </c>
    </row>
    <row r="2049">
      <c r="A2049" s="87"/>
      <c r="B2049" s="87"/>
      <c r="C2049" s="73"/>
      <c r="D2049" s="73"/>
      <c r="E2049" s="82"/>
      <c r="F2049" s="82"/>
      <c r="G2049" s="86"/>
      <c r="H2049" s="86"/>
      <c r="I2049" s="86"/>
      <c r="J2049" s="82"/>
      <c r="K2049" s="82"/>
      <c r="L2049" s="82"/>
      <c r="M2049" s="82"/>
      <c r="N2049" s="82"/>
      <c r="O2049" s="82"/>
      <c r="P2049" s="82"/>
      <c r="Q2049" s="82"/>
      <c r="R2049" s="82"/>
      <c r="S2049" s="82"/>
      <c r="T2049" s="82"/>
      <c r="U2049" s="82"/>
      <c r="V2049" s="82"/>
      <c r="W2049" s="82"/>
      <c r="X2049" s="82"/>
      <c r="Y2049" s="82"/>
      <c r="Z2049" s="82"/>
      <c r="AA2049" s="82"/>
      <c r="AB2049" s="82"/>
      <c r="AC2049" s="82"/>
      <c r="AD2049" s="82"/>
      <c r="AE2049" s="82"/>
      <c r="AF2049" s="82"/>
      <c r="AG2049" s="82"/>
      <c r="AH2049" s="82"/>
      <c r="AI2049" s="82"/>
      <c r="AJ2049" s="82"/>
      <c r="AK2049" s="82"/>
      <c r="AL2049" s="82"/>
      <c r="AM2049" s="82"/>
      <c r="AN2049" s="82"/>
      <c r="AO2049" s="82"/>
      <c r="AP2049" s="82"/>
      <c r="AQ2049" s="82"/>
      <c r="AR2049" s="82"/>
      <c r="AS2049" s="82"/>
      <c r="AT2049" s="82"/>
      <c r="AU2049" s="82"/>
      <c r="AV2049" s="82"/>
      <c r="AW2049" s="82" t="str">
        <f t="shared" si="1"/>
        <v/>
      </c>
      <c r="AX2049" s="83" t="str">
        <f t="array" ref="AX2049">IFERROR(DGET('SBV Import'!A:G,"SBV",{"RSC ID","Tier";B2049,A2049}))</f>
        <v/>
      </c>
      <c r="AY2049" s="82" t="str">
        <f t="shared" si="2"/>
        <v/>
      </c>
      <c r="AZ2049" s="82"/>
      <c r="BA2049" s="84" t="s">
        <v>152</v>
      </c>
      <c r="BB2049" s="84" t="str">
        <f>IFERROR(__xludf.DUMMYFUNCTION("iferror(if(A2049="""",,E2049&gt;=FILTER(Constants!$F$2:$F$10,Constants!$A$2:$A$10=A2049)))"),"")</f>
        <v/>
      </c>
    </row>
    <row r="2050">
      <c r="A2050" s="87"/>
      <c r="B2050" s="87"/>
      <c r="C2050" s="73"/>
      <c r="D2050" s="73"/>
      <c r="E2050" s="82"/>
      <c r="F2050" s="82"/>
      <c r="G2050" s="86"/>
      <c r="H2050" s="86"/>
      <c r="I2050" s="86"/>
      <c r="J2050" s="82"/>
      <c r="K2050" s="82"/>
      <c r="L2050" s="82"/>
      <c r="M2050" s="82"/>
      <c r="N2050" s="82"/>
      <c r="O2050" s="82"/>
      <c r="P2050" s="82"/>
      <c r="Q2050" s="82"/>
      <c r="R2050" s="82"/>
      <c r="S2050" s="82"/>
      <c r="T2050" s="82"/>
      <c r="U2050" s="82"/>
      <c r="V2050" s="82"/>
      <c r="W2050" s="82"/>
      <c r="X2050" s="82"/>
      <c r="Y2050" s="82"/>
      <c r="Z2050" s="82"/>
      <c r="AA2050" s="82"/>
      <c r="AB2050" s="82"/>
      <c r="AC2050" s="82"/>
      <c r="AD2050" s="82"/>
      <c r="AE2050" s="82"/>
      <c r="AF2050" s="82"/>
      <c r="AG2050" s="82"/>
      <c r="AH2050" s="82"/>
      <c r="AI2050" s="82"/>
      <c r="AJ2050" s="82"/>
      <c r="AK2050" s="82"/>
      <c r="AL2050" s="82"/>
      <c r="AM2050" s="82"/>
      <c r="AN2050" s="82"/>
      <c r="AO2050" s="82"/>
      <c r="AP2050" s="82"/>
      <c r="AQ2050" s="82"/>
      <c r="AR2050" s="82"/>
      <c r="AS2050" s="82"/>
      <c r="AT2050" s="82"/>
      <c r="AU2050" s="82"/>
      <c r="AV2050" s="82"/>
      <c r="AW2050" s="82" t="str">
        <f t="shared" si="1"/>
        <v/>
      </c>
      <c r="AX2050" s="83" t="str">
        <f t="array" ref="AX2050">IFERROR(DGET('SBV Import'!A:G,"SBV",{"RSC ID","Tier";B2050,A2050}))</f>
        <v/>
      </c>
      <c r="AY2050" s="82" t="str">
        <f t="shared" si="2"/>
        <v/>
      </c>
      <c r="AZ2050" s="82"/>
      <c r="BA2050" s="84" t="s">
        <v>152</v>
      </c>
      <c r="BB2050" s="84" t="str">
        <f>IFERROR(__xludf.DUMMYFUNCTION("iferror(if(A2050="""",,E2050&gt;=FILTER(Constants!$F$2:$F$10,Constants!$A$2:$A$10=A2050)))"),"")</f>
        <v/>
      </c>
    </row>
    <row r="2051">
      <c r="A2051" s="87"/>
      <c r="B2051" s="87"/>
      <c r="C2051" s="73"/>
      <c r="D2051" s="73"/>
      <c r="E2051" s="82"/>
      <c r="F2051" s="82"/>
      <c r="G2051" s="86"/>
      <c r="H2051" s="86"/>
      <c r="I2051" s="86"/>
      <c r="J2051" s="82"/>
      <c r="K2051" s="82"/>
      <c r="L2051" s="82"/>
      <c r="M2051" s="82"/>
      <c r="N2051" s="82"/>
      <c r="O2051" s="82"/>
      <c r="P2051" s="82"/>
      <c r="Q2051" s="82"/>
      <c r="R2051" s="82"/>
      <c r="S2051" s="82"/>
      <c r="T2051" s="82"/>
      <c r="U2051" s="82"/>
      <c r="V2051" s="82"/>
      <c r="W2051" s="82"/>
      <c r="X2051" s="82"/>
      <c r="Y2051" s="82"/>
      <c r="Z2051" s="82"/>
      <c r="AA2051" s="82"/>
      <c r="AB2051" s="82"/>
      <c r="AC2051" s="82"/>
      <c r="AD2051" s="82"/>
      <c r="AE2051" s="82"/>
      <c r="AF2051" s="82"/>
      <c r="AG2051" s="82"/>
      <c r="AH2051" s="82"/>
      <c r="AI2051" s="82"/>
      <c r="AJ2051" s="82"/>
      <c r="AK2051" s="82"/>
      <c r="AL2051" s="82"/>
      <c r="AM2051" s="82"/>
      <c r="AN2051" s="82"/>
      <c r="AO2051" s="82"/>
      <c r="AP2051" s="82"/>
      <c r="AQ2051" s="82"/>
      <c r="AR2051" s="82"/>
      <c r="AS2051" s="82"/>
      <c r="AT2051" s="82"/>
      <c r="AU2051" s="82"/>
      <c r="AV2051" s="82"/>
      <c r="AW2051" s="82" t="str">
        <f t="shared" si="1"/>
        <v/>
      </c>
      <c r="AX2051" s="83" t="str">
        <f t="array" ref="AX2051">IFERROR(DGET('SBV Import'!A:G,"SBV",{"RSC ID","Tier";B2051,A2051}))</f>
        <v/>
      </c>
      <c r="AY2051" s="82" t="str">
        <f t="shared" si="2"/>
        <v/>
      </c>
      <c r="AZ2051" s="82"/>
      <c r="BA2051" s="84" t="s">
        <v>152</v>
      </c>
      <c r="BB2051" s="84" t="str">
        <f>IFERROR(__xludf.DUMMYFUNCTION("iferror(if(A2051="""",,E2051&gt;=FILTER(Constants!$F$2:$F$10,Constants!$A$2:$A$10=A2051)))"),"")</f>
        <v/>
      </c>
    </row>
    <row r="2052">
      <c r="A2052" s="87"/>
      <c r="B2052" s="87"/>
      <c r="C2052" s="73"/>
      <c r="D2052" s="73"/>
      <c r="E2052" s="82"/>
      <c r="F2052" s="82"/>
      <c r="G2052" s="86"/>
      <c r="H2052" s="86"/>
      <c r="I2052" s="86"/>
      <c r="J2052" s="82"/>
      <c r="K2052" s="82"/>
      <c r="L2052" s="82"/>
      <c r="M2052" s="82"/>
      <c r="N2052" s="82"/>
      <c r="O2052" s="82"/>
      <c r="P2052" s="82"/>
      <c r="Q2052" s="82"/>
      <c r="R2052" s="82"/>
      <c r="S2052" s="82"/>
      <c r="T2052" s="82"/>
      <c r="U2052" s="82"/>
      <c r="V2052" s="82"/>
      <c r="W2052" s="82"/>
      <c r="X2052" s="82"/>
      <c r="Y2052" s="82"/>
      <c r="Z2052" s="82"/>
      <c r="AA2052" s="82"/>
      <c r="AB2052" s="82"/>
      <c r="AC2052" s="82"/>
      <c r="AD2052" s="82"/>
      <c r="AE2052" s="82"/>
      <c r="AF2052" s="82"/>
      <c r="AG2052" s="82"/>
      <c r="AH2052" s="82"/>
      <c r="AI2052" s="82"/>
      <c r="AJ2052" s="82"/>
      <c r="AK2052" s="82"/>
      <c r="AL2052" s="82"/>
      <c r="AM2052" s="82"/>
      <c r="AN2052" s="82"/>
      <c r="AO2052" s="82"/>
      <c r="AP2052" s="82"/>
      <c r="AQ2052" s="82"/>
      <c r="AR2052" s="82"/>
      <c r="AS2052" s="82"/>
      <c r="AT2052" s="82"/>
      <c r="AU2052" s="82"/>
      <c r="AV2052" s="82"/>
      <c r="AW2052" s="82" t="str">
        <f t="shared" si="1"/>
        <v/>
      </c>
      <c r="AX2052" s="83" t="str">
        <f t="array" ref="AX2052">IFERROR(DGET('SBV Import'!A:G,"SBV",{"RSC ID","Tier";B2052,A2052}))</f>
        <v/>
      </c>
      <c r="AY2052" s="82" t="str">
        <f t="shared" si="2"/>
        <v/>
      </c>
      <c r="AZ2052" s="82"/>
      <c r="BA2052" s="84" t="s">
        <v>152</v>
      </c>
      <c r="BB2052" s="84" t="str">
        <f>IFERROR(__xludf.DUMMYFUNCTION("iferror(if(A2052="""",,E2052&gt;=FILTER(Constants!$F$2:$F$10,Constants!$A$2:$A$10=A2052)))"),"")</f>
        <v/>
      </c>
    </row>
    <row r="2053">
      <c r="A2053" s="87"/>
      <c r="B2053" s="87"/>
      <c r="C2053" s="73"/>
      <c r="D2053" s="73"/>
      <c r="E2053" s="82"/>
      <c r="F2053" s="82"/>
      <c r="G2053" s="86"/>
      <c r="H2053" s="86"/>
      <c r="I2053" s="86"/>
      <c r="J2053" s="82"/>
      <c r="K2053" s="82"/>
      <c r="L2053" s="82"/>
      <c r="M2053" s="82"/>
      <c r="N2053" s="82"/>
      <c r="O2053" s="82"/>
      <c r="P2053" s="82"/>
      <c r="Q2053" s="82"/>
      <c r="R2053" s="82"/>
      <c r="S2053" s="82"/>
      <c r="T2053" s="82"/>
      <c r="U2053" s="82"/>
      <c r="V2053" s="82"/>
      <c r="W2053" s="82"/>
      <c r="X2053" s="82"/>
      <c r="Y2053" s="82"/>
      <c r="Z2053" s="82"/>
      <c r="AA2053" s="82"/>
      <c r="AB2053" s="82"/>
      <c r="AC2053" s="82"/>
      <c r="AD2053" s="82"/>
      <c r="AE2053" s="82"/>
      <c r="AF2053" s="82"/>
      <c r="AG2053" s="82"/>
      <c r="AH2053" s="82"/>
      <c r="AI2053" s="82"/>
      <c r="AJ2053" s="82"/>
      <c r="AK2053" s="82"/>
      <c r="AL2053" s="82"/>
      <c r="AM2053" s="82"/>
      <c r="AN2053" s="82"/>
      <c r="AO2053" s="82"/>
      <c r="AP2053" s="82"/>
      <c r="AQ2053" s="82"/>
      <c r="AR2053" s="82"/>
      <c r="AS2053" s="82"/>
      <c r="AT2053" s="82"/>
      <c r="AU2053" s="82"/>
      <c r="AV2053" s="82"/>
      <c r="AW2053" s="82" t="str">
        <f t="shared" si="1"/>
        <v/>
      </c>
      <c r="AX2053" s="83" t="str">
        <f t="array" ref="AX2053">IFERROR(DGET('SBV Import'!A:G,"SBV",{"RSC ID","Tier";B2053,A2053}))</f>
        <v/>
      </c>
      <c r="AY2053" s="82" t="str">
        <f t="shared" si="2"/>
        <v/>
      </c>
      <c r="AZ2053" s="82"/>
      <c r="BA2053" s="84" t="s">
        <v>152</v>
      </c>
      <c r="BB2053" s="84" t="str">
        <f>IFERROR(__xludf.DUMMYFUNCTION("iferror(if(A2053="""",,E2053&gt;=FILTER(Constants!$F$2:$F$10,Constants!$A$2:$A$10=A2053)))"),"")</f>
        <v/>
      </c>
    </row>
    <row r="2054">
      <c r="A2054" s="87"/>
      <c r="B2054" s="87"/>
      <c r="C2054" s="73"/>
      <c r="D2054" s="73"/>
      <c r="E2054" s="82"/>
      <c r="F2054" s="82"/>
      <c r="G2054" s="86"/>
      <c r="H2054" s="86"/>
      <c r="I2054" s="86"/>
      <c r="J2054" s="82"/>
      <c r="K2054" s="82"/>
      <c r="L2054" s="82"/>
      <c r="M2054" s="82"/>
      <c r="N2054" s="82"/>
      <c r="O2054" s="82"/>
      <c r="P2054" s="82"/>
      <c r="Q2054" s="82"/>
      <c r="R2054" s="82"/>
      <c r="S2054" s="82"/>
      <c r="T2054" s="82"/>
      <c r="U2054" s="82"/>
      <c r="V2054" s="82"/>
      <c r="W2054" s="82"/>
      <c r="X2054" s="82"/>
      <c r="Y2054" s="82"/>
      <c r="Z2054" s="82"/>
      <c r="AA2054" s="82"/>
      <c r="AB2054" s="82"/>
      <c r="AC2054" s="82"/>
      <c r="AD2054" s="82"/>
      <c r="AE2054" s="82"/>
      <c r="AF2054" s="82"/>
      <c r="AG2054" s="82"/>
      <c r="AH2054" s="82"/>
      <c r="AI2054" s="82"/>
      <c r="AJ2054" s="82"/>
      <c r="AK2054" s="82"/>
      <c r="AL2054" s="82"/>
      <c r="AM2054" s="82"/>
      <c r="AN2054" s="82"/>
      <c r="AO2054" s="82"/>
      <c r="AP2054" s="82"/>
      <c r="AQ2054" s="82"/>
      <c r="AR2054" s="82"/>
      <c r="AS2054" s="82"/>
      <c r="AT2054" s="82"/>
      <c r="AU2054" s="82"/>
      <c r="AV2054" s="82"/>
      <c r="AW2054" s="82" t="str">
        <f t="shared" si="1"/>
        <v/>
      </c>
      <c r="AX2054" s="83" t="str">
        <f t="array" ref="AX2054">IFERROR(DGET('SBV Import'!A:G,"SBV",{"RSC ID","Tier";B2054,A2054}))</f>
        <v/>
      </c>
      <c r="AY2054" s="82" t="str">
        <f t="shared" si="2"/>
        <v/>
      </c>
      <c r="AZ2054" s="82"/>
      <c r="BA2054" s="84" t="s">
        <v>152</v>
      </c>
      <c r="BB2054" s="84" t="str">
        <f>IFERROR(__xludf.DUMMYFUNCTION("iferror(if(A2054="""",,E2054&gt;=FILTER(Constants!$F$2:$F$10,Constants!$A$2:$A$10=A2054)))"),"")</f>
        <v/>
      </c>
    </row>
    <row r="2055">
      <c r="A2055" s="87"/>
      <c r="B2055" s="87"/>
      <c r="C2055" s="73"/>
      <c r="D2055" s="73"/>
      <c r="E2055" s="82"/>
      <c r="F2055" s="82"/>
      <c r="G2055" s="86"/>
      <c r="H2055" s="86"/>
      <c r="I2055" s="86"/>
      <c r="J2055" s="82"/>
      <c r="K2055" s="82"/>
      <c r="L2055" s="82"/>
      <c r="M2055" s="82"/>
      <c r="N2055" s="82"/>
      <c r="O2055" s="82"/>
      <c r="P2055" s="82"/>
      <c r="Q2055" s="82"/>
      <c r="R2055" s="82"/>
      <c r="S2055" s="82"/>
      <c r="T2055" s="82"/>
      <c r="U2055" s="82"/>
      <c r="V2055" s="82"/>
      <c r="W2055" s="82"/>
      <c r="X2055" s="82"/>
      <c r="Y2055" s="82"/>
      <c r="Z2055" s="82"/>
      <c r="AA2055" s="82"/>
      <c r="AB2055" s="82"/>
      <c r="AC2055" s="82"/>
      <c r="AD2055" s="82"/>
      <c r="AE2055" s="82"/>
      <c r="AF2055" s="82"/>
      <c r="AG2055" s="82"/>
      <c r="AH2055" s="82"/>
      <c r="AI2055" s="82"/>
      <c r="AJ2055" s="82"/>
      <c r="AK2055" s="82"/>
      <c r="AL2055" s="82"/>
      <c r="AM2055" s="82"/>
      <c r="AN2055" s="82"/>
      <c r="AO2055" s="82"/>
      <c r="AP2055" s="82"/>
      <c r="AQ2055" s="82"/>
      <c r="AR2055" s="82"/>
      <c r="AS2055" s="82"/>
      <c r="AT2055" s="82"/>
      <c r="AU2055" s="82"/>
      <c r="AV2055" s="82"/>
      <c r="AW2055" s="82" t="str">
        <f t="shared" si="1"/>
        <v/>
      </c>
      <c r="AX2055" s="83" t="str">
        <f t="array" ref="AX2055">IFERROR(DGET('SBV Import'!A:G,"SBV",{"RSC ID","Tier";B2055,A2055}))</f>
        <v/>
      </c>
      <c r="AY2055" s="82" t="str">
        <f t="shared" si="2"/>
        <v/>
      </c>
      <c r="AZ2055" s="82"/>
      <c r="BA2055" s="84" t="s">
        <v>152</v>
      </c>
      <c r="BB2055" s="84" t="str">
        <f>IFERROR(__xludf.DUMMYFUNCTION("iferror(if(A2055="""",,E2055&gt;=FILTER(Constants!$F$2:$F$10,Constants!$A$2:$A$10=A2055)))"),"")</f>
        <v/>
      </c>
    </row>
    <row r="2056">
      <c r="A2056" s="87"/>
      <c r="B2056" s="87"/>
      <c r="C2056" s="73"/>
      <c r="D2056" s="73"/>
      <c r="E2056" s="82"/>
      <c r="F2056" s="82"/>
      <c r="G2056" s="86"/>
      <c r="H2056" s="86"/>
      <c r="I2056" s="86"/>
      <c r="J2056" s="82"/>
      <c r="K2056" s="82"/>
      <c r="L2056" s="82"/>
      <c r="M2056" s="82"/>
      <c r="N2056" s="82"/>
      <c r="O2056" s="82"/>
      <c r="P2056" s="82"/>
      <c r="Q2056" s="82"/>
      <c r="R2056" s="82"/>
      <c r="S2056" s="82"/>
      <c r="T2056" s="82"/>
      <c r="U2056" s="82"/>
      <c r="V2056" s="82"/>
      <c r="W2056" s="82"/>
      <c r="X2056" s="82"/>
      <c r="Y2056" s="82"/>
      <c r="Z2056" s="82"/>
      <c r="AA2056" s="82"/>
      <c r="AB2056" s="82"/>
      <c r="AC2056" s="82"/>
      <c r="AD2056" s="82"/>
      <c r="AE2056" s="82"/>
      <c r="AF2056" s="82"/>
      <c r="AG2056" s="82"/>
      <c r="AH2056" s="82"/>
      <c r="AI2056" s="82"/>
      <c r="AJ2056" s="82"/>
      <c r="AK2056" s="82"/>
      <c r="AL2056" s="82"/>
      <c r="AM2056" s="82"/>
      <c r="AN2056" s="82"/>
      <c r="AO2056" s="82"/>
      <c r="AP2056" s="82"/>
      <c r="AQ2056" s="82"/>
      <c r="AR2056" s="82"/>
      <c r="AS2056" s="82"/>
      <c r="AT2056" s="82"/>
      <c r="AU2056" s="82"/>
      <c r="AV2056" s="82"/>
      <c r="AW2056" s="82" t="str">
        <f t="shared" si="1"/>
        <v/>
      </c>
      <c r="AX2056" s="83" t="str">
        <f t="array" ref="AX2056">IFERROR(DGET('SBV Import'!A:G,"SBV",{"RSC ID","Tier";B2056,A2056}))</f>
        <v/>
      </c>
      <c r="AY2056" s="82" t="str">
        <f t="shared" si="2"/>
        <v/>
      </c>
      <c r="AZ2056" s="82"/>
      <c r="BA2056" s="84" t="s">
        <v>152</v>
      </c>
      <c r="BB2056" s="84" t="str">
        <f>IFERROR(__xludf.DUMMYFUNCTION("iferror(if(A2056="""",,E2056&gt;=FILTER(Constants!$F$2:$F$10,Constants!$A$2:$A$10=A2056)))"),"")</f>
        <v/>
      </c>
    </row>
    <row r="2057">
      <c r="A2057" s="87"/>
      <c r="B2057" s="87"/>
      <c r="C2057" s="73"/>
      <c r="D2057" s="73"/>
      <c r="E2057" s="82"/>
      <c r="F2057" s="82"/>
      <c r="G2057" s="86"/>
      <c r="H2057" s="86"/>
      <c r="I2057" s="86"/>
      <c r="J2057" s="82"/>
      <c r="K2057" s="82"/>
      <c r="L2057" s="82"/>
      <c r="M2057" s="82"/>
      <c r="N2057" s="82"/>
      <c r="O2057" s="82"/>
      <c r="P2057" s="82"/>
      <c r="Q2057" s="82"/>
      <c r="R2057" s="82"/>
      <c r="S2057" s="82"/>
      <c r="T2057" s="82"/>
      <c r="U2057" s="82"/>
      <c r="V2057" s="82"/>
      <c r="W2057" s="82"/>
      <c r="X2057" s="82"/>
      <c r="Y2057" s="82"/>
      <c r="Z2057" s="82"/>
      <c r="AA2057" s="82"/>
      <c r="AB2057" s="82"/>
      <c r="AC2057" s="82"/>
      <c r="AD2057" s="82"/>
      <c r="AE2057" s="82"/>
      <c r="AF2057" s="82"/>
      <c r="AG2057" s="82"/>
      <c r="AH2057" s="82"/>
      <c r="AI2057" s="82"/>
      <c r="AJ2057" s="82"/>
      <c r="AK2057" s="82"/>
      <c r="AL2057" s="82"/>
      <c r="AM2057" s="82"/>
      <c r="AN2057" s="82"/>
      <c r="AO2057" s="82"/>
      <c r="AP2057" s="82"/>
      <c r="AQ2057" s="82"/>
      <c r="AR2057" s="82"/>
      <c r="AS2057" s="82"/>
      <c r="AT2057" s="82"/>
      <c r="AU2057" s="82"/>
      <c r="AV2057" s="82"/>
      <c r="AW2057" s="82" t="str">
        <f t="shared" si="1"/>
        <v/>
      </c>
      <c r="AX2057" s="83" t="str">
        <f t="array" ref="AX2057">IFERROR(DGET('SBV Import'!A:G,"SBV",{"RSC ID","Tier";B2057,A2057}))</f>
        <v/>
      </c>
      <c r="AY2057" s="82" t="str">
        <f t="shared" si="2"/>
        <v/>
      </c>
      <c r="AZ2057" s="82"/>
      <c r="BA2057" s="84" t="s">
        <v>152</v>
      </c>
      <c r="BB2057" s="84" t="str">
        <f>IFERROR(__xludf.DUMMYFUNCTION("iferror(if(A2057="""",,E2057&gt;=FILTER(Constants!$F$2:$F$10,Constants!$A$2:$A$10=A2057)))"),"")</f>
        <v/>
      </c>
    </row>
    <row r="2058">
      <c r="A2058" s="87"/>
      <c r="B2058" s="87"/>
      <c r="C2058" s="73"/>
      <c r="D2058" s="73"/>
      <c r="E2058" s="82"/>
      <c r="F2058" s="82"/>
      <c r="G2058" s="86"/>
      <c r="H2058" s="86"/>
      <c r="I2058" s="86"/>
      <c r="J2058" s="82"/>
      <c r="K2058" s="82"/>
      <c r="L2058" s="82"/>
      <c r="M2058" s="82"/>
      <c r="N2058" s="82"/>
      <c r="O2058" s="82"/>
      <c r="P2058" s="82"/>
      <c r="Q2058" s="82"/>
      <c r="R2058" s="82"/>
      <c r="S2058" s="82"/>
      <c r="T2058" s="82"/>
      <c r="U2058" s="82"/>
      <c r="V2058" s="82"/>
      <c r="W2058" s="82"/>
      <c r="X2058" s="82"/>
      <c r="Y2058" s="82"/>
      <c r="Z2058" s="82"/>
      <c r="AA2058" s="82"/>
      <c r="AB2058" s="82"/>
      <c r="AC2058" s="82"/>
      <c r="AD2058" s="82"/>
      <c r="AE2058" s="82"/>
      <c r="AF2058" s="82"/>
      <c r="AG2058" s="82"/>
      <c r="AH2058" s="82"/>
      <c r="AI2058" s="82"/>
      <c r="AJ2058" s="82"/>
      <c r="AK2058" s="82"/>
      <c r="AL2058" s="82"/>
      <c r="AM2058" s="82"/>
      <c r="AN2058" s="82"/>
      <c r="AO2058" s="82"/>
      <c r="AP2058" s="82"/>
      <c r="AQ2058" s="82"/>
      <c r="AR2058" s="82"/>
      <c r="AS2058" s="82"/>
      <c r="AT2058" s="82"/>
      <c r="AU2058" s="82"/>
      <c r="AV2058" s="82"/>
      <c r="AW2058" s="82" t="str">
        <f t="shared" si="1"/>
        <v/>
      </c>
      <c r="AX2058" s="83" t="str">
        <f t="array" ref="AX2058">IFERROR(DGET('SBV Import'!A:G,"SBV",{"RSC ID","Tier";B2058,A2058}))</f>
        <v/>
      </c>
      <c r="AY2058" s="82" t="str">
        <f t="shared" si="2"/>
        <v/>
      </c>
      <c r="AZ2058" s="82"/>
      <c r="BA2058" s="84" t="s">
        <v>152</v>
      </c>
      <c r="BB2058" s="84" t="str">
        <f>IFERROR(__xludf.DUMMYFUNCTION("iferror(if(A2058="""",,E2058&gt;=FILTER(Constants!$F$2:$F$10,Constants!$A$2:$A$10=A2058)))"),"")</f>
        <v/>
      </c>
    </row>
    <row r="2059">
      <c r="A2059" s="87"/>
      <c r="B2059" s="87"/>
      <c r="C2059" s="88"/>
      <c r="D2059" s="73"/>
      <c r="E2059" s="82"/>
      <c r="F2059" s="82"/>
      <c r="G2059" s="86"/>
      <c r="H2059" s="86"/>
      <c r="I2059" s="86"/>
      <c r="J2059" s="82"/>
      <c r="K2059" s="82"/>
      <c r="L2059" s="82"/>
      <c r="M2059" s="82"/>
      <c r="N2059" s="82"/>
      <c r="O2059" s="82"/>
      <c r="P2059" s="82"/>
      <c r="Q2059" s="82"/>
      <c r="R2059" s="82"/>
      <c r="S2059" s="82"/>
      <c r="T2059" s="82"/>
      <c r="U2059" s="82"/>
      <c r="V2059" s="82"/>
      <c r="W2059" s="82"/>
      <c r="X2059" s="82"/>
      <c r="Y2059" s="82"/>
      <c r="Z2059" s="82"/>
      <c r="AA2059" s="82"/>
      <c r="AB2059" s="82"/>
      <c r="AC2059" s="82"/>
      <c r="AD2059" s="82"/>
      <c r="AE2059" s="82"/>
      <c r="AF2059" s="82"/>
      <c r="AG2059" s="82"/>
      <c r="AH2059" s="82"/>
      <c r="AI2059" s="82"/>
      <c r="AJ2059" s="82"/>
      <c r="AK2059" s="82"/>
      <c r="AL2059" s="82"/>
      <c r="AM2059" s="82"/>
      <c r="AN2059" s="82"/>
      <c r="AO2059" s="82"/>
      <c r="AP2059" s="82"/>
      <c r="AQ2059" s="82"/>
      <c r="AR2059" s="82"/>
      <c r="AS2059" s="82"/>
      <c r="AT2059" s="82"/>
      <c r="AU2059" s="82"/>
      <c r="AV2059" s="82"/>
      <c r="AW2059" s="82" t="str">
        <f t="shared" si="1"/>
        <v/>
      </c>
      <c r="AX2059" s="83" t="str">
        <f t="array" ref="AX2059">IFERROR(DGET('SBV Import'!A:G,"SBV",{"RSC ID","Tier";B2059,A2059}))</f>
        <v/>
      </c>
      <c r="AY2059" s="82" t="str">
        <f t="shared" si="2"/>
        <v/>
      </c>
      <c r="AZ2059" s="82"/>
      <c r="BA2059" s="84" t="s">
        <v>152</v>
      </c>
      <c r="BB2059" s="84" t="str">
        <f>IFERROR(__xludf.DUMMYFUNCTION("iferror(if(A2059="""",,E2059&gt;=FILTER(Constants!$F$2:$F$10,Constants!$A$2:$A$10=A2059)))"),"")</f>
        <v/>
      </c>
    </row>
    <row r="2060">
      <c r="A2060" s="87"/>
      <c r="B2060" s="87"/>
      <c r="C2060" s="73"/>
      <c r="D2060" s="73"/>
      <c r="E2060" s="82"/>
      <c r="F2060" s="82"/>
      <c r="G2060" s="86"/>
      <c r="H2060" s="86"/>
      <c r="I2060" s="86"/>
      <c r="J2060" s="82"/>
      <c r="K2060" s="82"/>
      <c r="L2060" s="82"/>
      <c r="M2060" s="82"/>
      <c r="N2060" s="82"/>
      <c r="O2060" s="82"/>
      <c r="P2060" s="82"/>
      <c r="Q2060" s="82"/>
      <c r="R2060" s="82"/>
      <c r="S2060" s="82"/>
      <c r="T2060" s="82"/>
      <c r="U2060" s="82"/>
      <c r="V2060" s="82"/>
      <c r="W2060" s="82"/>
      <c r="X2060" s="82"/>
      <c r="Y2060" s="82"/>
      <c r="Z2060" s="82"/>
      <c r="AA2060" s="82"/>
      <c r="AB2060" s="82"/>
      <c r="AC2060" s="82"/>
      <c r="AD2060" s="82"/>
      <c r="AE2060" s="82"/>
      <c r="AF2060" s="82"/>
      <c r="AG2060" s="82"/>
      <c r="AH2060" s="82"/>
      <c r="AI2060" s="82"/>
      <c r="AJ2060" s="82"/>
      <c r="AK2060" s="82"/>
      <c r="AL2060" s="82"/>
      <c r="AM2060" s="82"/>
      <c r="AN2060" s="82"/>
      <c r="AO2060" s="82"/>
      <c r="AP2060" s="82"/>
      <c r="AQ2060" s="82"/>
      <c r="AR2060" s="82"/>
      <c r="AS2060" s="82"/>
      <c r="AT2060" s="82"/>
      <c r="AU2060" s="82"/>
      <c r="AV2060" s="82"/>
      <c r="AW2060" s="82" t="str">
        <f t="shared" si="1"/>
        <v/>
      </c>
      <c r="AX2060" s="83" t="str">
        <f t="array" ref="AX2060">IFERROR(DGET('SBV Import'!A:G,"SBV",{"RSC ID","Tier";B2060,A2060}))</f>
        <v/>
      </c>
      <c r="AY2060" s="82" t="str">
        <f t="shared" si="2"/>
        <v/>
      </c>
      <c r="AZ2060" s="82"/>
      <c r="BA2060" s="84" t="s">
        <v>152</v>
      </c>
      <c r="BB2060" s="84" t="str">
        <f>IFERROR(__xludf.DUMMYFUNCTION("iferror(if(A2060="""",,E2060&gt;=FILTER(Constants!$F$2:$F$10,Constants!$A$2:$A$10=A2060)))"),"")</f>
        <v/>
      </c>
    </row>
    <row r="2061">
      <c r="A2061" s="87"/>
      <c r="B2061" s="87"/>
      <c r="C2061" s="73"/>
      <c r="D2061" s="73"/>
      <c r="E2061" s="82"/>
      <c r="F2061" s="82"/>
      <c r="G2061" s="86"/>
      <c r="H2061" s="86"/>
      <c r="I2061" s="86"/>
      <c r="J2061" s="82"/>
      <c r="K2061" s="82"/>
      <c r="L2061" s="82"/>
      <c r="M2061" s="82"/>
      <c r="N2061" s="82"/>
      <c r="O2061" s="82"/>
      <c r="P2061" s="82"/>
      <c r="Q2061" s="82"/>
      <c r="R2061" s="82"/>
      <c r="S2061" s="82"/>
      <c r="T2061" s="82"/>
      <c r="U2061" s="82"/>
      <c r="V2061" s="82"/>
      <c r="W2061" s="82"/>
      <c r="X2061" s="82"/>
      <c r="Y2061" s="82"/>
      <c r="Z2061" s="82"/>
      <c r="AA2061" s="82"/>
      <c r="AB2061" s="82"/>
      <c r="AC2061" s="82"/>
      <c r="AD2061" s="82"/>
      <c r="AE2061" s="82"/>
      <c r="AF2061" s="82"/>
      <c r="AG2061" s="82"/>
      <c r="AH2061" s="82"/>
      <c r="AI2061" s="82"/>
      <c r="AJ2061" s="82"/>
      <c r="AK2061" s="82"/>
      <c r="AL2061" s="82"/>
      <c r="AM2061" s="82"/>
      <c r="AN2061" s="82"/>
      <c r="AO2061" s="82"/>
      <c r="AP2061" s="82"/>
      <c r="AQ2061" s="82"/>
      <c r="AR2061" s="82"/>
      <c r="AS2061" s="82"/>
      <c r="AT2061" s="82"/>
      <c r="AU2061" s="82"/>
      <c r="AV2061" s="82"/>
      <c r="AW2061" s="82" t="str">
        <f t="shared" si="1"/>
        <v/>
      </c>
      <c r="AX2061" s="83" t="str">
        <f t="array" ref="AX2061">IFERROR(DGET('SBV Import'!A:G,"SBV",{"RSC ID","Tier";B2061,A2061}))</f>
        <v/>
      </c>
      <c r="AY2061" s="82" t="str">
        <f t="shared" si="2"/>
        <v/>
      </c>
      <c r="AZ2061" s="82"/>
      <c r="BA2061" s="84" t="s">
        <v>152</v>
      </c>
      <c r="BB2061" s="84" t="str">
        <f>IFERROR(__xludf.DUMMYFUNCTION("iferror(if(A2061="""",,E2061&gt;=FILTER(Constants!$F$2:$F$10,Constants!$A$2:$A$10=A2061)))"),"")</f>
        <v/>
      </c>
    </row>
    <row r="2062">
      <c r="A2062" s="87"/>
      <c r="B2062" s="87"/>
      <c r="C2062" s="73"/>
      <c r="D2062" s="73"/>
      <c r="E2062" s="82"/>
      <c r="F2062" s="82"/>
      <c r="G2062" s="86"/>
      <c r="H2062" s="86"/>
      <c r="I2062" s="86"/>
      <c r="J2062" s="82"/>
      <c r="K2062" s="82"/>
      <c r="L2062" s="82"/>
      <c r="M2062" s="82"/>
      <c r="N2062" s="82"/>
      <c r="O2062" s="82"/>
      <c r="P2062" s="82"/>
      <c r="Q2062" s="82"/>
      <c r="R2062" s="82"/>
      <c r="S2062" s="82"/>
      <c r="T2062" s="82"/>
      <c r="U2062" s="82"/>
      <c r="V2062" s="82"/>
      <c r="W2062" s="82"/>
      <c r="X2062" s="82"/>
      <c r="Y2062" s="82"/>
      <c r="Z2062" s="82"/>
      <c r="AA2062" s="82"/>
      <c r="AB2062" s="82"/>
      <c r="AC2062" s="82"/>
      <c r="AD2062" s="82"/>
      <c r="AE2062" s="82"/>
      <c r="AF2062" s="82"/>
      <c r="AG2062" s="82"/>
      <c r="AH2062" s="82"/>
      <c r="AI2062" s="82"/>
      <c r="AJ2062" s="82"/>
      <c r="AK2062" s="82"/>
      <c r="AL2062" s="82"/>
      <c r="AM2062" s="82"/>
      <c r="AN2062" s="82"/>
      <c r="AO2062" s="82"/>
      <c r="AP2062" s="82"/>
      <c r="AQ2062" s="82"/>
      <c r="AR2062" s="82"/>
      <c r="AS2062" s="82"/>
      <c r="AT2062" s="82"/>
      <c r="AU2062" s="82"/>
      <c r="AV2062" s="82"/>
      <c r="AW2062" s="82" t="str">
        <f t="shared" si="1"/>
        <v/>
      </c>
      <c r="AX2062" s="83" t="str">
        <f t="array" ref="AX2062">IFERROR(DGET('SBV Import'!A:G,"SBV",{"RSC ID","Tier";B2062,A2062}))</f>
        <v/>
      </c>
      <c r="AY2062" s="82" t="str">
        <f t="shared" si="2"/>
        <v/>
      </c>
      <c r="AZ2062" s="82"/>
      <c r="BA2062" s="84" t="s">
        <v>152</v>
      </c>
      <c r="BB2062" s="84" t="str">
        <f>IFERROR(__xludf.DUMMYFUNCTION("iferror(if(A2062="""",,E2062&gt;=FILTER(Constants!$F$2:$F$10,Constants!$A$2:$A$10=A2062)))"),"")</f>
        <v/>
      </c>
    </row>
    <row r="2063">
      <c r="A2063" s="87"/>
      <c r="B2063" s="87"/>
      <c r="C2063" s="73"/>
      <c r="D2063" s="73"/>
      <c r="E2063" s="82"/>
      <c r="F2063" s="82"/>
      <c r="G2063" s="86"/>
      <c r="H2063" s="86"/>
      <c r="I2063" s="86"/>
      <c r="J2063" s="82"/>
      <c r="K2063" s="82"/>
      <c r="L2063" s="82"/>
      <c r="M2063" s="82"/>
      <c r="N2063" s="82"/>
      <c r="O2063" s="82"/>
      <c r="P2063" s="82"/>
      <c r="Q2063" s="82"/>
      <c r="R2063" s="82"/>
      <c r="S2063" s="82"/>
      <c r="T2063" s="82"/>
      <c r="U2063" s="82"/>
      <c r="V2063" s="82"/>
      <c r="W2063" s="82"/>
      <c r="X2063" s="82"/>
      <c r="Y2063" s="82"/>
      <c r="Z2063" s="82"/>
      <c r="AA2063" s="82"/>
      <c r="AB2063" s="82"/>
      <c r="AC2063" s="82"/>
      <c r="AD2063" s="82"/>
      <c r="AE2063" s="82"/>
      <c r="AF2063" s="82"/>
      <c r="AG2063" s="82"/>
      <c r="AH2063" s="82"/>
      <c r="AI2063" s="82"/>
      <c r="AJ2063" s="82"/>
      <c r="AK2063" s="82"/>
      <c r="AL2063" s="82"/>
      <c r="AM2063" s="82"/>
      <c r="AN2063" s="82"/>
      <c r="AO2063" s="82"/>
      <c r="AP2063" s="82"/>
      <c r="AQ2063" s="82"/>
      <c r="AR2063" s="82"/>
      <c r="AS2063" s="82"/>
      <c r="AT2063" s="82"/>
      <c r="AU2063" s="82"/>
      <c r="AV2063" s="82"/>
      <c r="AW2063" s="82" t="str">
        <f t="shared" si="1"/>
        <v/>
      </c>
      <c r="AX2063" s="83" t="str">
        <f t="array" ref="AX2063">IFERROR(DGET('SBV Import'!A:G,"SBV",{"RSC ID","Tier";B2063,A2063}))</f>
        <v/>
      </c>
      <c r="AY2063" s="82" t="str">
        <f t="shared" si="2"/>
        <v/>
      </c>
      <c r="AZ2063" s="82"/>
      <c r="BA2063" s="84" t="s">
        <v>152</v>
      </c>
      <c r="BB2063" s="84" t="str">
        <f>IFERROR(__xludf.DUMMYFUNCTION("iferror(if(A2063="""",,E2063&gt;=FILTER(Constants!$F$2:$F$10,Constants!$A$2:$A$10=A2063)))"),"")</f>
        <v/>
      </c>
    </row>
    <row r="2064">
      <c r="A2064" s="87"/>
      <c r="B2064" s="87"/>
      <c r="C2064" s="73"/>
      <c r="D2064" s="73"/>
      <c r="E2064" s="82"/>
      <c r="F2064" s="82"/>
      <c r="G2064" s="86"/>
      <c r="H2064" s="86"/>
      <c r="I2064" s="86"/>
      <c r="J2064" s="82"/>
      <c r="K2064" s="82"/>
      <c r="L2064" s="82"/>
      <c r="M2064" s="82"/>
      <c r="N2064" s="82"/>
      <c r="O2064" s="82"/>
      <c r="P2064" s="82"/>
      <c r="Q2064" s="82"/>
      <c r="R2064" s="82"/>
      <c r="S2064" s="82"/>
      <c r="T2064" s="82"/>
      <c r="U2064" s="82"/>
      <c r="V2064" s="82"/>
      <c r="W2064" s="82"/>
      <c r="X2064" s="82"/>
      <c r="Y2064" s="82"/>
      <c r="Z2064" s="82"/>
      <c r="AA2064" s="82"/>
      <c r="AB2064" s="82"/>
      <c r="AC2064" s="82"/>
      <c r="AD2064" s="82"/>
      <c r="AE2064" s="82"/>
      <c r="AF2064" s="82"/>
      <c r="AG2064" s="82"/>
      <c r="AH2064" s="82"/>
      <c r="AI2064" s="82"/>
      <c r="AJ2064" s="82"/>
      <c r="AK2064" s="82"/>
      <c r="AL2064" s="82"/>
      <c r="AM2064" s="82"/>
      <c r="AN2064" s="82"/>
      <c r="AO2064" s="82"/>
      <c r="AP2064" s="82"/>
      <c r="AQ2064" s="82"/>
      <c r="AR2064" s="82"/>
      <c r="AS2064" s="82"/>
      <c r="AT2064" s="82"/>
      <c r="AU2064" s="82"/>
      <c r="AV2064" s="82"/>
      <c r="AW2064" s="82" t="str">
        <f t="shared" si="1"/>
        <v/>
      </c>
      <c r="AX2064" s="83" t="str">
        <f t="array" ref="AX2064">IFERROR(DGET('SBV Import'!A:G,"SBV",{"RSC ID","Tier";B2064,A2064}))</f>
        <v/>
      </c>
      <c r="AY2064" s="82" t="str">
        <f t="shared" si="2"/>
        <v/>
      </c>
      <c r="AZ2064" s="82"/>
      <c r="BA2064" s="84" t="s">
        <v>152</v>
      </c>
      <c r="BB2064" s="84" t="str">
        <f>IFERROR(__xludf.DUMMYFUNCTION("iferror(if(A2064="""",,E2064&gt;=FILTER(Constants!$F$2:$F$10,Constants!$A$2:$A$10=A2064)))"),"")</f>
        <v/>
      </c>
    </row>
    <row r="2065">
      <c r="A2065" s="87"/>
      <c r="B2065" s="87"/>
      <c r="C2065" s="73"/>
      <c r="D2065" s="73"/>
      <c r="E2065" s="82"/>
      <c r="F2065" s="82"/>
      <c r="G2065" s="86"/>
      <c r="H2065" s="86"/>
      <c r="I2065" s="86"/>
      <c r="J2065" s="82"/>
      <c r="K2065" s="82"/>
      <c r="L2065" s="82"/>
      <c r="M2065" s="82"/>
      <c r="N2065" s="82"/>
      <c r="O2065" s="82"/>
      <c r="P2065" s="82"/>
      <c r="Q2065" s="82"/>
      <c r="R2065" s="82"/>
      <c r="S2065" s="82"/>
      <c r="T2065" s="82"/>
      <c r="U2065" s="82"/>
      <c r="V2065" s="82"/>
      <c r="W2065" s="82"/>
      <c r="X2065" s="82"/>
      <c r="Y2065" s="82"/>
      <c r="Z2065" s="82"/>
      <c r="AA2065" s="82"/>
      <c r="AB2065" s="82"/>
      <c r="AC2065" s="82"/>
      <c r="AD2065" s="82"/>
      <c r="AE2065" s="82"/>
      <c r="AF2065" s="82"/>
      <c r="AG2065" s="82"/>
      <c r="AH2065" s="82"/>
      <c r="AI2065" s="82"/>
      <c r="AJ2065" s="82"/>
      <c r="AK2065" s="82"/>
      <c r="AL2065" s="82"/>
      <c r="AM2065" s="82"/>
      <c r="AN2065" s="82"/>
      <c r="AO2065" s="82"/>
      <c r="AP2065" s="82"/>
      <c r="AQ2065" s="82"/>
      <c r="AR2065" s="82"/>
      <c r="AS2065" s="82"/>
      <c r="AT2065" s="82"/>
      <c r="AU2065" s="82"/>
      <c r="AV2065" s="82"/>
      <c r="AW2065" s="82" t="str">
        <f t="shared" si="1"/>
        <v/>
      </c>
      <c r="AX2065" s="83" t="str">
        <f t="array" ref="AX2065">IFERROR(DGET('SBV Import'!A:G,"SBV",{"RSC ID","Tier";B2065,A2065}))</f>
        <v/>
      </c>
      <c r="AY2065" s="82" t="str">
        <f t="shared" si="2"/>
        <v/>
      </c>
      <c r="AZ2065" s="82"/>
      <c r="BA2065" s="84" t="s">
        <v>152</v>
      </c>
      <c r="BB2065" s="84" t="str">
        <f>IFERROR(__xludf.DUMMYFUNCTION("iferror(if(A2065="""",,E2065&gt;=FILTER(Constants!$F$2:$F$10,Constants!$A$2:$A$10=A2065)))"),"")</f>
        <v/>
      </c>
    </row>
    <row r="2066">
      <c r="A2066" s="87"/>
      <c r="B2066" s="87"/>
      <c r="C2066" s="73"/>
      <c r="D2066" s="73"/>
      <c r="E2066" s="82"/>
      <c r="F2066" s="82"/>
      <c r="G2066" s="86"/>
      <c r="H2066" s="86"/>
      <c r="I2066" s="86"/>
      <c r="J2066" s="82"/>
      <c r="K2066" s="82"/>
      <c r="L2066" s="82"/>
      <c r="M2066" s="82"/>
      <c r="N2066" s="82"/>
      <c r="O2066" s="82"/>
      <c r="P2066" s="82"/>
      <c r="Q2066" s="82"/>
      <c r="R2066" s="82"/>
      <c r="S2066" s="82"/>
      <c r="T2066" s="82"/>
      <c r="U2066" s="82"/>
      <c r="V2066" s="82"/>
      <c r="W2066" s="82"/>
      <c r="X2066" s="82"/>
      <c r="Y2066" s="82"/>
      <c r="Z2066" s="82"/>
      <c r="AA2066" s="82"/>
      <c r="AB2066" s="82"/>
      <c r="AC2066" s="82"/>
      <c r="AD2066" s="82"/>
      <c r="AE2066" s="82"/>
      <c r="AF2066" s="82"/>
      <c r="AG2066" s="82"/>
      <c r="AH2066" s="82"/>
      <c r="AI2066" s="82"/>
      <c r="AJ2066" s="82"/>
      <c r="AK2066" s="82"/>
      <c r="AL2066" s="82"/>
      <c r="AM2066" s="82"/>
      <c r="AN2066" s="82"/>
      <c r="AO2066" s="82"/>
      <c r="AP2066" s="82"/>
      <c r="AQ2066" s="82"/>
      <c r="AR2066" s="82"/>
      <c r="AS2066" s="82"/>
      <c r="AT2066" s="82"/>
      <c r="AU2066" s="82"/>
      <c r="AV2066" s="82"/>
      <c r="AW2066" s="82" t="str">
        <f t="shared" si="1"/>
        <v/>
      </c>
      <c r="AX2066" s="83" t="str">
        <f t="array" ref="AX2066">IFERROR(DGET('SBV Import'!A:G,"SBV",{"RSC ID","Tier";B2066,A2066}))</f>
        <v/>
      </c>
      <c r="AY2066" s="82" t="str">
        <f t="shared" si="2"/>
        <v/>
      </c>
      <c r="AZ2066" s="82"/>
      <c r="BA2066" s="84" t="s">
        <v>152</v>
      </c>
      <c r="BB2066" s="84" t="str">
        <f>IFERROR(__xludf.DUMMYFUNCTION("iferror(if(A2066="""",,E2066&gt;=FILTER(Constants!$F$2:$F$10,Constants!$A$2:$A$10=A2066)))"),"")</f>
        <v/>
      </c>
    </row>
    <row r="2067">
      <c r="A2067" s="87"/>
      <c r="B2067" s="87"/>
      <c r="C2067" s="73"/>
      <c r="D2067" s="73"/>
      <c r="E2067" s="82"/>
      <c r="F2067" s="82"/>
      <c r="G2067" s="86"/>
      <c r="H2067" s="86"/>
      <c r="I2067" s="86"/>
      <c r="J2067" s="82"/>
      <c r="K2067" s="82"/>
      <c r="L2067" s="82"/>
      <c r="M2067" s="82"/>
      <c r="N2067" s="82"/>
      <c r="O2067" s="82"/>
      <c r="P2067" s="82"/>
      <c r="Q2067" s="82"/>
      <c r="R2067" s="82"/>
      <c r="S2067" s="82"/>
      <c r="T2067" s="82"/>
      <c r="U2067" s="82"/>
      <c r="V2067" s="82"/>
      <c r="W2067" s="82"/>
      <c r="X2067" s="82"/>
      <c r="Y2067" s="82"/>
      <c r="Z2067" s="82"/>
      <c r="AA2067" s="82"/>
      <c r="AB2067" s="82"/>
      <c r="AC2067" s="82"/>
      <c r="AD2067" s="82"/>
      <c r="AE2067" s="82"/>
      <c r="AF2067" s="82"/>
      <c r="AG2067" s="82"/>
      <c r="AH2067" s="82"/>
      <c r="AI2067" s="82"/>
      <c r="AJ2067" s="82"/>
      <c r="AK2067" s="82"/>
      <c r="AL2067" s="82"/>
      <c r="AM2067" s="82"/>
      <c r="AN2067" s="82"/>
      <c r="AO2067" s="82"/>
      <c r="AP2067" s="82"/>
      <c r="AQ2067" s="82"/>
      <c r="AR2067" s="82"/>
      <c r="AS2067" s="82"/>
      <c r="AT2067" s="82"/>
      <c r="AU2067" s="82"/>
      <c r="AV2067" s="82"/>
      <c r="AW2067" s="82" t="str">
        <f t="shared" si="1"/>
        <v/>
      </c>
      <c r="AX2067" s="83" t="str">
        <f t="array" ref="AX2067">IFERROR(DGET('SBV Import'!A:G,"SBV",{"RSC ID","Tier";B2067,A2067}))</f>
        <v/>
      </c>
      <c r="AY2067" s="82" t="str">
        <f t="shared" si="2"/>
        <v/>
      </c>
      <c r="AZ2067" s="82"/>
      <c r="BA2067" s="84" t="s">
        <v>152</v>
      </c>
      <c r="BB2067" s="84" t="str">
        <f>IFERROR(__xludf.DUMMYFUNCTION("iferror(if(A2067="""",,E2067&gt;=FILTER(Constants!$F$2:$F$10,Constants!$A$2:$A$10=A2067)))"),"")</f>
        <v/>
      </c>
    </row>
    <row r="2068">
      <c r="A2068" s="87"/>
      <c r="B2068" s="87"/>
      <c r="C2068" s="73"/>
      <c r="D2068" s="73"/>
      <c r="E2068" s="82"/>
      <c r="F2068" s="82"/>
      <c r="G2068" s="86"/>
      <c r="H2068" s="86"/>
      <c r="I2068" s="86"/>
      <c r="J2068" s="82"/>
      <c r="K2068" s="82"/>
      <c r="L2068" s="82"/>
      <c r="M2068" s="82"/>
      <c r="N2068" s="82"/>
      <c r="O2068" s="82"/>
      <c r="P2068" s="82"/>
      <c r="Q2068" s="82"/>
      <c r="R2068" s="82"/>
      <c r="S2068" s="82"/>
      <c r="T2068" s="82"/>
      <c r="U2068" s="82"/>
      <c r="V2068" s="82"/>
      <c r="W2068" s="82"/>
      <c r="X2068" s="82"/>
      <c r="Y2068" s="82"/>
      <c r="Z2068" s="82"/>
      <c r="AA2068" s="82"/>
      <c r="AB2068" s="82"/>
      <c r="AC2068" s="82"/>
      <c r="AD2068" s="82"/>
      <c r="AE2068" s="82"/>
      <c r="AF2068" s="82"/>
      <c r="AG2068" s="82"/>
      <c r="AH2068" s="82"/>
      <c r="AI2068" s="82"/>
      <c r="AJ2068" s="82"/>
      <c r="AK2068" s="82"/>
      <c r="AL2068" s="82"/>
      <c r="AM2068" s="82"/>
      <c r="AN2068" s="82"/>
      <c r="AO2068" s="82"/>
      <c r="AP2068" s="82"/>
      <c r="AQ2068" s="82"/>
      <c r="AR2068" s="82"/>
      <c r="AS2068" s="82"/>
      <c r="AT2068" s="82"/>
      <c r="AU2068" s="82"/>
      <c r="AV2068" s="82"/>
      <c r="AW2068" s="82" t="str">
        <f t="shared" si="1"/>
        <v/>
      </c>
      <c r="AX2068" s="83" t="str">
        <f t="array" ref="AX2068">IFERROR(DGET('SBV Import'!A:G,"SBV",{"RSC ID","Tier";B2068,A2068}))</f>
        <v/>
      </c>
      <c r="AY2068" s="82" t="str">
        <f t="shared" si="2"/>
        <v/>
      </c>
      <c r="AZ2068" s="82"/>
      <c r="BA2068" s="84" t="s">
        <v>152</v>
      </c>
      <c r="BB2068" s="84" t="str">
        <f>IFERROR(__xludf.DUMMYFUNCTION("iferror(if(A2068="""",,E2068&gt;=FILTER(Constants!$F$2:$F$10,Constants!$A$2:$A$10=A2068)))"),"")</f>
        <v/>
      </c>
    </row>
    <row r="2069">
      <c r="A2069" s="87"/>
      <c r="B2069" s="87"/>
      <c r="C2069" s="73"/>
      <c r="D2069" s="73"/>
      <c r="E2069" s="82"/>
      <c r="F2069" s="82"/>
      <c r="G2069" s="86"/>
      <c r="H2069" s="86"/>
      <c r="I2069" s="86"/>
      <c r="J2069" s="82"/>
      <c r="K2069" s="82"/>
      <c r="L2069" s="82"/>
      <c r="M2069" s="82"/>
      <c r="N2069" s="82"/>
      <c r="O2069" s="82"/>
      <c r="P2069" s="82"/>
      <c r="Q2069" s="82"/>
      <c r="R2069" s="82"/>
      <c r="S2069" s="82"/>
      <c r="T2069" s="82"/>
      <c r="U2069" s="82"/>
      <c r="V2069" s="82"/>
      <c r="W2069" s="82"/>
      <c r="X2069" s="82"/>
      <c r="Y2069" s="82"/>
      <c r="Z2069" s="82"/>
      <c r="AA2069" s="82"/>
      <c r="AB2069" s="82"/>
      <c r="AC2069" s="82"/>
      <c r="AD2069" s="82"/>
      <c r="AE2069" s="82"/>
      <c r="AF2069" s="82"/>
      <c r="AG2069" s="82"/>
      <c r="AH2069" s="82"/>
      <c r="AI2069" s="82"/>
      <c r="AJ2069" s="82"/>
      <c r="AK2069" s="82"/>
      <c r="AL2069" s="82"/>
      <c r="AM2069" s="82"/>
      <c r="AN2069" s="82"/>
      <c r="AO2069" s="82"/>
      <c r="AP2069" s="82"/>
      <c r="AQ2069" s="82"/>
      <c r="AR2069" s="82"/>
      <c r="AS2069" s="82"/>
      <c r="AT2069" s="82"/>
      <c r="AU2069" s="82"/>
      <c r="AV2069" s="82"/>
      <c r="AW2069" s="82" t="str">
        <f t="shared" si="1"/>
        <v/>
      </c>
      <c r="AX2069" s="83" t="str">
        <f t="array" ref="AX2069">IFERROR(DGET('SBV Import'!A:G,"SBV",{"RSC ID","Tier";B2069,A2069}))</f>
        <v/>
      </c>
      <c r="AY2069" s="82" t="str">
        <f t="shared" si="2"/>
        <v/>
      </c>
      <c r="AZ2069" s="82"/>
      <c r="BA2069" s="84" t="s">
        <v>152</v>
      </c>
      <c r="BB2069" s="84" t="str">
        <f>IFERROR(__xludf.DUMMYFUNCTION("iferror(if(A2069="""",,E2069&gt;=FILTER(Constants!$F$2:$F$10,Constants!$A$2:$A$10=A2069)))"),"")</f>
        <v/>
      </c>
    </row>
    <row r="2070">
      <c r="A2070" s="87"/>
      <c r="B2070" s="87"/>
      <c r="C2070" s="73"/>
      <c r="D2070" s="73"/>
      <c r="E2070" s="82"/>
      <c r="F2070" s="82"/>
      <c r="G2070" s="86"/>
      <c r="H2070" s="86"/>
      <c r="I2070" s="86"/>
      <c r="J2070" s="82"/>
      <c r="K2070" s="82"/>
      <c r="L2070" s="82"/>
      <c r="M2070" s="82"/>
      <c r="N2070" s="82"/>
      <c r="O2070" s="82"/>
      <c r="P2070" s="82"/>
      <c r="Q2070" s="82"/>
      <c r="R2070" s="82"/>
      <c r="S2070" s="82"/>
      <c r="T2070" s="82"/>
      <c r="U2070" s="82"/>
      <c r="V2070" s="82"/>
      <c r="W2070" s="82"/>
      <c r="X2070" s="82"/>
      <c r="Y2070" s="82"/>
      <c r="Z2070" s="82"/>
      <c r="AA2070" s="82"/>
      <c r="AB2070" s="82"/>
      <c r="AC2070" s="82"/>
      <c r="AD2070" s="82"/>
      <c r="AE2070" s="82"/>
      <c r="AF2070" s="82"/>
      <c r="AG2070" s="82"/>
      <c r="AH2070" s="82"/>
      <c r="AI2070" s="82"/>
      <c r="AJ2070" s="82"/>
      <c r="AK2070" s="82"/>
      <c r="AL2070" s="82"/>
      <c r="AM2070" s="82"/>
      <c r="AN2070" s="82"/>
      <c r="AO2070" s="82"/>
      <c r="AP2070" s="82"/>
      <c r="AQ2070" s="82"/>
      <c r="AR2070" s="82"/>
      <c r="AS2070" s="82"/>
      <c r="AT2070" s="82"/>
      <c r="AU2070" s="82"/>
      <c r="AV2070" s="82"/>
      <c r="AW2070" s="82" t="str">
        <f t="shared" si="1"/>
        <v/>
      </c>
      <c r="AX2070" s="83" t="str">
        <f t="array" ref="AX2070">IFERROR(DGET('SBV Import'!A:G,"SBV",{"RSC ID","Tier";B2070,A2070}))</f>
        <v/>
      </c>
      <c r="AY2070" s="82" t="str">
        <f t="shared" si="2"/>
        <v/>
      </c>
      <c r="AZ2070" s="82"/>
      <c r="BA2070" s="84" t="s">
        <v>152</v>
      </c>
      <c r="BB2070" s="84" t="str">
        <f>IFERROR(__xludf.DUMMYFUNCTION("iferror(if(A2070="""",,E2070&gt;=FILTER(Constants!$F$2:$F$10,Constants!$A$2:$A$10=A2070)))"),"")</f>
        <v/>
      </c>
    </row>
    <row r="2071">
      <c r="A2071" s="87"/>
      <c r="B2071" s="87"/>
      <c r="C2071" s="73"/>
      <c r="D2071" s="73"/>
      <c r="E2071" s="82"/>
      <c r="F2071" s="82"/>
      <c r="G2071" s="86"/>
      <c r="H2071" s="86"/>
      <c r="I2071" s="86"/>
      <c r="J2071" s="82"/>
      <c r="K2071" s="82"/>
      <c r="L2071" s="82"/>
      <c r="M2071" s="82"/>
      <c r="N2071" s="82"/>
      <c r="O2071" s="82"/>
      <c r="P2071" s="82"/>
      <c r="Q2071" s="82"/>
      <c r="R2071" s="82"/>
      <c r="S2071" s="82"/>
      <c r="T2071" s="82"/>
      <c r="U2071" s="82"/>
      <c r="V2071" s="82"/>
      <c r="W2071" s="82"/>
      <c r="X2071" s="82"/>
      <c r="Y2071" s="82"/>
      <c r="Z2071" s="82"/>
      <c r="AA2071" s="82"/>
      <c r="AB2071" s="82"/>
      <c r="AC2071" s="82"/>
      <c r="AD2071" s="82"/>
      <c r="AE2071" s="82"/>
      <c r="AF2071" s="82"/>
      <c r="AG2071" s="82"/>
      <c r="AH2071" s="82"/>
      <c r="AI2071" s="82"/>
      <c r="AJ2071" s="82"/>
      <c r="AK2071" s="82"/>
      <c r="AL2071" s="82"/>
      <c r="AM2071" s="82"/>
      <c r="AN2071" s="82"/>
      <c r="AO2071" s="82"/>
      <c r="AP2071" s="82"/>
      <c r="AQ2071" s="82"/>
      <c r="AR2071" s="82"/>
      <c r="AS2071" s="82"/>
      <c r="AT2071" s="82"/>
      <c r="AU2071" s="82"/>
      <c r="AV2071" s="82"/>
      <c r="AW2071" s="82" t="str">
        <f t="shared" si="1"/>
        <v/>
      </c>
      <c r="AX2071" s="83" t="str">
        <f t="array" ref="AX2071">IFERROR(DGET('SBV Import'!A:G,"SBV",{"RSC ID","Tier";B2071,A2071}))</f>
        <v/>
      </c>
      <c r="AY2071" s="82" t="str">
        <f t="shared" si="2"/>
        <v/>
      </c>
      <c r="AZ2071" s="82"/>
      <c r="BA2071" s="84" t="s">
        <v>152</v>
      </c>
      <c r="BB2071" s="84" t="str">
        <f>IFERROR(__xludf.DUMMYFUNCTION("iferror(if(A2071="""",,E2071&gt;=FILTER(Constants!$F$2:$F$10,Constants!$A$2:$A$10=A2071)))"),"")</f>
        <v/>
      </c>
    </row>
    <row r="2072">
      <c r="A2072" s="87"/>
      <c r="B2072" s="87"/>
      <c r="C2072" s="73"/>
      <c r="D2072" s="73"/>
      <c r="E2072" s="82"/>
      <c r="F2072" s="82"/>
      <c r="G2072" s="86"/>
      <c r="H2072" s="86"/>
      <c r="I2072" s="86"/>
      <c r="J2072" s="82"/>
      <c r="K2072" s="82"/>
      <c r="L2072" s="82"/>
      <c r="M2072" s="82"/>
      <c r="N2072" s="82"/>
      <c r="O2072" s="82"/>
      <c r="P2072" s="82"/>
      <c r="Q2072" s="82"/>
      <c r="R2072" s="82"/>
      <c r="S2072" s="82"/>
      <c r="T2072" s="82"/>
      <c r="U2072" s="82"/>
      <c r="V2072" s="82"/>
      <c r="W2072" s="82"/>
      <c r="X2072" s="82"/>
      <c r="Y2072" s="82"/>
      <c r="Z2072" s="82"/>
      <c r="AA2072" s="82"/>
      <c r="AB2072" s="82"/>
      <c r="AC2072" s="82"/>
      <c r="AD2072" s="82"/>
      <c r="AE2072" s="82"/>
      <c r="AF2072" s="82"/>
      <c r="AG2072" s="82"/>
      <c r="AH2072" s="82"/>
      <c r="AI2072" s="82"/>
      <c r="AJ2072" s="82"/>
      <c r="AK2072" s="82"/>
      <c r="AL2072" s="82"/>
      <c r="AM2072" s="82"/>
      <c r="AN2072" s="82"/>
      <c r="AO2072" s="82"/>
      <c r="AP2072" s="82"/>
      <c r="AQ2072" s="82"/>
      <c r="AR2072" s="82"/>
      <c r="AS2072" s="82"/>
      <c r="AT2072" s="82"/>
      <c r="AU2072" s="82"/>
      <c r="AV2072" s="82"/>
      <c r="AW2072" s="82" t="str">
        <f t="shared" si="1"/>
        <v/>
      </c>
      <c r="AX2072" s="83" t="str">
        <f t="array" ref="AX2072">IFERROR(DGET('SBV Import'!A:G,"SBV",{"RSC ID","Tier";B2072,A2072}))</f>
        <v/>
      </c>
      <c r="AY2072" s="82" t="str">
        <f t="shared" si="2"/>
        <v/>
      </c>
      <c r="AZ2072" s="82"/>
      <c r="BA2072" s="84" t="s">
        <v>152</v>
      </c>
      <c r="BB2072" s="84" t="str">
        <f>IFERROR(__xludf.DUMMYFUNCTION("iferror(if(A2072="""",,E2072&gt;=FILTER(Constants!$F$2:$F$10,Constants!$A$2:$A$10=A2072)))"),"")</f>
        <v/>
      </c>
    </row>
    <row r="2073">
      <c r="A2073" s="87"/>
      <c r="B2073" s="87"/>
      <c r="C2073" s="73"/>
      <c r="D2073" s="73"/>
      <c r="E2073" s="82"/>
      <c r="F2073" s="82"/>
      <c r="G2073" s="86"/>
      <c r="H2073" s="86"/>
      <c r="I2073" s="86"/>
      <c r="J2073" s="82"/>
      <c r="K2073" s="82"/>
      <c r="L2073" s="82"/>
      <c r="M2073" s="82"/>
      <c r="N2073" s="82"/>
      <c r="O2073" s="82"/>
      <c r="P2073" s="82"/>
      <c r="Q2073" s="82"/>
      <c r="R2073" s="82"/>
      <c r="S2073" s="82"/>
      <c r="T2073" s="82"/>
      <c r="U2073" s="82"/>
      <c r="V2073" s="82"/>
      <c r="W2073" s="82"/>
      <c r="X2073" s="82"/>
      <c r="Y2073" s="82"/>
      <c r="Z2073" s="82"/>
      <c r="AA2073" s="82"/>
      <c r="AB2073" s="82"/>
      <c r="AC2073" s="82"/>
      <c r="AD2073" s="82"/>
      <c r="AE2073" s="82"/>
      <c r="AF2073" s="82"/>
      <c r="AG2073" s="82"/>
      <c r="AH2073" s="82"/>
      <c r="AI2073" s="82"/>
      <c r="AJ2073" s="82"/>
      <c r="AK2073" s="82"/>
      <c r="AL2073" s="82"/>
      <c r="AM2073" s="82"/>
      <c r="AN2073" s="82"/>
      <c r="AO2073" s="82"/>
      <c r="AP2073" s="82"/>
      <c r="AQ2073" s="82"/>
      <c r="AR2073" s="82"/>
      <c r="AS2073" s="82"/>
      <c r="AT2073" s="82"/>
      <c r="AU2073" s="82"/>
      <c r="AV2073" s="82"/>
      <c r="AW2073" s="82" t="str">
        <f t="shared" si="1"/>
        <v/>
      </c>
      <c r="AX2073" s="83" t="str">
        <f t="array" ref="AX2073">IFERROR(DGET('SBV Import'!A:G,"SBV",{"RSC ID","Tier";B2073,A2073}))</f>
        <v/>
      </c>
      <c r="AY2073" s="82" t="str">
        <f t="shared" si="2"/>
        <v/>
      </c>
      <c r="AZ2073" s="82"/>
      <c r="BA2073" s="84" t="s">
        <v>152</v>
      </c>
      <c r="BB2073" s="84" t="str">
        <f>IFERROR(__xludf.DUMMYFUNCTION("iferror(if(A2073="""",,E2073&gt;=FILTER(Constants!$F$2:$F$10,Constants!$A$2:$A$10=A2073)))"),"")</f>
        <v/>
      </c>
    </row>
    <row r="2074">
      <c r="A2074" s="87"/>
      <c r="B2074" s="87"/>
      <c r="C2074" s="73"/>
      <c r="D2074" s="73"/>
      <c r="E2074" s="82"/>
      <c r="F2074" s="82"/>
      <c r="G2074" s="86"/>
      <c r="H2074" s="86"/>
      <c r="I2074" s="86"/>
      <c r="J2074" s="82"/>
      <c r="K2074" s="82"/>
      <c r="L2074" s="82"/>
      <c r="M2074" s="82"/>
      <c r="N2074" s="82"/>
      <c r="O2074" s="82"/>
      <c r="P2074" s="82"/>
      <c r="Q2074" s="82"/>
      <c r="R2074" s="82"/>
      <c r="S2074" s="82"/>
      <c r="T2074" s="82"/>
      <c r="U2074" s="82"/>
      <c r="V2074" s="82"/>
      <c r="W2074" s="82"/>
      <c r="X2074" s="82"/>
      <c r="Y2074" s="82"/>
      <c r="Z2074" s="82"/>
      <c r="AA2074" s="82"/>
      <c r="AB2074" s="82"/>
      <c r="AC2074" s="82"/>
      <c r="AD2074" s="82"/>
      <c r="AE2074" s="82"/>
      <c r="AF2074" s="82"/>
      <c r="AG2074" s="82"/>
      <c r="AH2074" s="82"/>
      <c r="AI2074" s="82"/>
      <c r="AJ2074" s="82"/>
      <c r="AK2074" s="82"/>
      <c r="AL2074" s="82"/>
      <c r="AM2074" s="82"/>
      <c r="AN2074" s="82"/>
      <c r="AO2074" s="82"/>
      <c r="AP2074" s="82"/>
      <c r="AQ2074" s="82"/>
      <c r="AR2074" s="82"/>
      <c r="AS2074" s="82"/>
      <c r="AT2074" s="82"/>
      <c r="AU2074" s="82"/>
      <c r="AV2074" s="82"/>
      <c r="AW2074" s="82" t="str">
        <f t="shared" si="1"/>
        <v/>
      </c>
      <c r="AX2074" s="83" t="str">
        <f t="array" ref="AX2074">IFERROR(DGET('SBV Import'!A:G,"SBV",{"RSC ID","Tier";B2074,A2074}))</f>
        <v/>
      </c>
      <c r="AY2074" s="82" t="str">
        <f t="shared" si="2"/>
        <v/>
      </c>
      <c r="AZ2074" s="82"/>
      <c r="BA2074" s="84" t="s">
        <v>152</v>
      </c>
      <c r="BB2074" s="84" t="str">
        <f>IFERROR(__xludf.DUMMYFUNCTION("iferror(if(A2074="""",,E2074&gt;=FILTER(Constants!$F$2:$F$10,Constants!$A$2:$A$10=A2074)))"),"")</f>
        <v/>
      </c>
    </row>
    <row r="2075">
      <c r="A2075" s="87"/>
      <c r="B2075" s="87"/>
      <c r="C2075" s="73"/>
      <c r="D2075" s="73"/>
      <c r="E2075" s="82"/>
      <c r="F2075" s="82"/>
      <c r="G2075" s="86"/>
      <c r="H2075" s="86"/>
      <c r="I2075" s="86"/>
      <c r="J2075" s="82"/>
      <c r="K2075" s="82"/>
      <c r="L2075" s="82"/>
      <c r="M2075" s="82"/>
      <c r="N2075" s="82"/>
      <c r="O2075" s="82"/>
      <c r="P2075" s="82"/>
      <c r="Q2075" s="82"/>
      <c r="R2075" s="82"/>
      <c r="S2075" s="82"/>
      <c r="T2075" s="82"/>
      <c r="U2075" s="82"/>
      <c r="V2075" s="82"/>
      <c r="W2075" s="82"/>
      <c r="X2075" s="82"/>
      <c r="Y2075" s="82"/>
      <c r="Z2075" s="82"/>
      <c r="AA2075" s="82"/>
      <c r="AB2075" s="82"/>
      <c r="AC2075" s="82"/>
      <c r="AD2075" s="82"/>
      <c r="AE2075" s="82"/>
      <c r="AF2075" s="82"/>
      <c r="AG2075" s="82"/>
      <c r="AH2075" s="82"/>
      <c r="AI2075" s="82"/>
      <c r="AJ2075" s="82"/>
      <c r="AK2075" s="82"/>
      <c r="AL2075" s="82"/>
      <c r="AM2075" s="82"/>
      <c r="AN2075" s="82"/>
      <c r="AO2075" s="82"/>
      <c r="AP2075" s="82"/>
      <c r="AQ2075" s="82"/>
      <c r="AR2075" s="82"/>
      <c r="AS2075" s="82"/>
      <c r="AT2075" s="82"/>
      <c r="AU2075" s="82"/>
      <c r="AV2075" s="82"/>
      <c r="AW2075" s="82" t="str">
        <f t="shared" si="1"/>
        <v/>
      </c>
      <c r="AX2075" s="83" t="str">
        <f t="array" ref="AX2075">IFERROR(DGET('SBV Import'!A:G,"SBV",{"RSC ID","Tier";B2075,A2075}))</f>
        <v/>
      </c>
      <c r="AY2075" s="82" t="str">
        <f t="shared" si="2"/>
        <v/>
      </c>
      <c r="AZ2075" s="82"/>
      <c r="BA2075" s="84" t="s">
        <v>152</v>
      </c>
      <c r="BB2075" s="84" t="str">
        <f>IFERROR(__xludf.DUMMYFUNCTION("iferror(if(A2075="""",,E2075&gt;=FILTER(Constants!$F$2:$F$10,Constants!$A$2:$A$10=A2075)))"),"")</f>
        <v/>
      </c>
    </row>
    <row r="2076">
      <c r="A2076" s="87"/>
      <c r="B2076" s="87"/>
      <c r="C2076" s="73"/>
      <c r="D2076" s="73"/>
      <c r="E2076" s="82"/>
      <c r="F2076" s="82"/>
      <c r="G2076" s="86"/>
      <c r="H2076" s="86"/>
      <c r="I2076" s="86"/>
      <c r="J2076" s="82"/>
      <c r="K2076" s="82"/>
      <c r="L2076" s="82"/>
      <c r="M2076" s="82"/>
      <c r="N2076" s="82"/>
      <c r="O2076" s="82"/>
      <c r="P2076" s="82"/>
      <c r="Q2076" s="82"/>
      <c r="R2076" s="82"/>
      <c r="S2076" s="82"/>
      <c r="T2076" s="82"/>
      <c r="U2076" s="82"/>
      <c r="V2076" s="82"/>
      <c r="W2076" s="82"/>
      <c r="X2076" s="82"/>
      <c r="Y2076" s="82"/>
      <c r="Z2076" s="82"/>
      <c r="AA2076" s="82"/>
      <c r="AB2076" s="82"/>
      <c r="AC2076" s="82"/>
      <c r="AD2076" s="82"/>
      <c r="AE2076" s="82"/>
      <c r="AF2076" s="82"/>
      <c r="AG2076" s="82"/>
      <c r="AH2076" s="82"/>
      <c r="AI2076" s="82"/>
      <c r="AJ2076" s="82"/>
      <c r="AK2076" s="82"/>
      <c r="AL2076" s="82"/>
      <c r="AM2076" s="82"/>
      <c r="AN2076" s="82"/>
      <c r="AO2076" s="82"/>
      <c r="AP2076" s="82"/>
      <c r="AQ2076" s="82"/>
      <c r="AR2076" s="82"/>
      <c r="AS2076" s="82"/>
      <c r="AT2076" s="82"/>
      <c r="AU2076" s="82"/>
      <c r="AV2076" s="82"/>
      <c r="AW2076" s="82" t="str">
        <f t="shared" si="1"/>
        <v/>
      </c>
      <c r="AX2076" s="83" t="str">
        <f t="array" ref="AX2076">IFERROR(DGET('SBV Import'!A:G,"SBV",{"RSC ID","Tier";B2076,A2076}))</f>
        <v/>
      </c>
      <c r="AY2076" s="82" t="str">
        <f t="shared" si="2"/>
        <v/>
      </c>
      <c r="AZ2076" s="82"/>
      <c r="BA2076" s="84" t="s">
        <v>152</v>
      </c>
      <c r="BB2076" s="84" t="str">
        <f>IFERROR(__xludf.DUMMYFUNCTION("iferror(if(A2076="""",,E2076&gt;=FILTER(Constants!$F$2:$F$10,Constants!$A$2:$A$10=A2076)))"),"")</f>
        <v/>
      </c>
    </row>
    <row r="2077">
      <c r="A2077" s="87"/>
      <c r="B2077" s="87"/>
      <c r="C2077" s="73"/>
      <c r="D2077" s="73"/>
      <c r="E2077" s="82"/>
      <c r="F2077" s="82"/>
      <c r="G2077" s="86"/>
      <c r="H2077" s="86"/>
      <c r="I2077" s="86"/>
      <c r="J2077" s="82"/>
      <c r="K2077" s="82"/>
      <c r="L2077" s="82"/>
      <c r="M2077" s="82"/>
      <c r="N2077" s="82"/>
      <c r="O2077" s="82"/>
      <c r="P2077" s="82"/>
      <c r="Q2077" s="82"/>
      <c r="R2077" s="82"/>
      <c r="S2077" s="82"/>
      <c r="T2077" s="82"/>
      <c r="U2077" s="82"/>
      <c r="V2077" s="82"/>
      <c r="W2077" s="82"/>
      <c r="X2077" s="82"/>
      <c r="Y2077" s="82"/>
      <c r="Z2077" s="82"/>
      <c r="AA2077" s="82"/>
      <c r="AB2077" s="82"/>
      <c r="AC2077" s="82"/>
      <c r="AD2077" s="82"/>
      <c r="AE2077" s="82"/>
      <c r="AF2077" s="82"/>
      <c r="AG2077" s="82"/>
      <c r="AH2077" s="82"/>
      <c r="AI2077" s="82"/>
      <c r="AJ2077" s="82"/>
      <c r="AK2077" s="82"/>
      <c r="AL2077" s="82"/>
      <c r="AM2077" s="82"/>
      <c r="AN2077" s="82"/>
      <c r="AO2077" s="82"/>
      <c r="AP2077" s="82"/>
      <c r="AQ2077" s="82"/>
      <c r="AR2077" s="82"/>
      <c r="AS2077" s="82"/>
      <c r="AT2077" s="82"/>
      <c r="AU2077" s="82"/>
      <c r="AV2077" s="82"/>
      <c r="AW2077" s="82" t="str">
        <f t="shared" si="1"/>
        <v/>
      </c>
      <c r="AX2077" s="83" t="str">
        <f t="array" ref="AX2077">IFERROR(DGET('SBV Import'!A:G,"SBV",{"RSC ID","Tier";B2077,A2077}))</f>
        <v/>
      </c>
      <c r="AY2077" s="82" t="str">
        <f t="shared" si="2"/>
        <v/>
      </c>
      <c r="AZ2077" s="82"/>
      <c r="BA2077" s="84" t="s">
        <v>152</v>
      </c>
      <c r="BB2077" s="84" t="str">
        <f>IFERROR(__xludf.DUMMYFUNCTION("iferror(if(A2077="""",,E2077&gt;=FILTER(Constants!$F$2:$F$10,Constants!$A$2:$A$10=A2077)))"),"")</f>
        <v/>
      </c>
    </row>
    <row r="2078">
      <c r="A2078" s="87"/>
      <c r="B2078" s="87"/>
      <c r="C2078" s="73"/>
      <c r="D2078" s="73"/>
      <c r="E2078" s="82"/>
      <c r="F2078" s="82"/>
      <c r="G2078" s="86"/>
      <c r="H2078" s="86"/>
      <c r="I2078" s="86"/>
      <c r="J2078" s="82"/>
      <c r="K2078" s="82"/>
      <c r="L2078" s="82"/>
      <c r="M2078" s="82"/>
      <c r="N2078" s="82"/>
      <c r="O2078" s="82"/>
      <c r="P2078" s="82"/>
      <c r="Q2078" s="82"/>
      <c r="R2078" s="82"/>
      <c r="S2078" s="82"/>
      <c r="T2078" s="82"/>
      <c r="U2078" s="82"/>
      <c r="V2078" s="82"/>
      <c r="W2078" s="82"/>
      <c r="X2078" s="82"/>
      <c r="Y2078" s="82"/>
      <c r="Z2078" s="82"/>
      <c r="AA2078" s="82"/>
      <c r="AB2078" s="82"/>
      <c r="AC2078" s="82"/>
      <c r="AD2078" s="82"/>
      <c r="AE2078" s="82"/>
      <c r="AF2078" s="82"/>
      <c r="AG2078" s="82"/>
      <c r="AH2078" s="82"/>
      <c r="AI2078" s="82"/>
      <c r="AJ2078" s="82"/>
      <c r="AK2078" s="82"/>
      <c r="AL2078" s="82"/>
      <c r="AM2078" s="82"/>
      <c r="AN2078" s="82"/>
      <c r="AO2078" s="82"/>
      <c r="AP2078" s="82"/>
      <c r="AQ2078" s="82"/>
      <c r="AR2078" s="82"/>
      <c r="AS2078" s="82"/>
      <c r="AT2078" s="82"/>
      <c r="AU2078" s="82"/>
      <c r="AV2078" s="82"/>
      <c r="AW2078" s="82" t="str">
        <f t="shared" si="1"/>
        <v/>
      </c>
      <c r="AX2078" s="83" t="str">
        <f t="array" ref="AX2078">IFERROR(DGET('SBV Import'!A:G,"SBV",{"RSC ID","Tier";B2078,A2078}))</f>
        <v/>
      </c>
      <c r="AY2078" s="82" t="str">
        <f t="shared" si="2"/>
        <v/>
      </c>
      <c r="AZ2078" s="82"/>
      <c r="BA2078" s="84" t="s">
        <v>152</v>
      </c>
      <c r="BB2078" s="84" t="str">
        <f>IFERROR(__xludf.DUMMYFUNCTION("iferror(if(A2078="""",,E2078&gt;=FILTER(Constants!$F$2:$F$10,Constants!$A$2:$A$10=A2078)))"),"")</f>
        <v/>
      </c>
    </row>
    <row r="2079">
      <c r="A2079" s="87"/>
      <c r="B2079" s="87"/>
      <c r="C2079" s="73"/>
      <c r="D2079" s="73"/>
      <c r="E2079" s="82"/>
      <c r="F2079" s="82"/>
      <c r="G2079" s="86"/>
      <c r="H2079" s="86"/>
      <c r="I2079" s="86"/>
      <c r="J2079" s="82"/>
      <c r="K2079" s="82"/>
      <c r="L2079" s="82"/>
      <c r="M2079" s="82"/>
      <c r="N2079" s="82"/>
      <c r="O2079" s="82"/>
      <c r="P2079" s="82"/>
      <c r="Q2079" s="82"/>
      <c r="R2079" s="82"/>
      <c r="S2079" s="82"/>
      <c r="T2079" s="82"/>
      <c r="U2079" s="82"/>
      <c r="V2079" s="82"/>
      <c r="W2079" s="82"/>
      <c r="X2079" s="82"/>
      <c r="Y2079" s="82"/>
      <c r="Z2079" s="82"/>
      <c r="AA2079" s="82"/>
      <c r="AB2079" s="82"/>
      <c r="AC2079" s="82"/>
      <c r="AD2079" s="82"/>
      <c r="AE2079" s="82"/>
      <c r="AF2079" s="82"/>
      <c r="AG2079" s="82"/>
      <c r="AH2079" s="82"/>
      <c r="AI2079" s="82"/>
      <c r="AJ2079" s="82"/>
      <c r="AK2079" s="82"/>
      <c r="AL2079" s="82"/>
      <c r="AM2079" s="82"/>
      <c r="AN2079" s="82"/>
      <c r="AO2079" s="82"/>
      <c r="AP2079" s="82"/>
      <c r="AQ2079" s="82"/>
      <c r="AR2079" s="82"/>
      <c r="AS2079" s="82"/>
      <c r="AT2079" s="82"/>
      <c r="AU2079" s="82"/>
      <c r="AV2079" s="82"/>
      <c r="AW2079" s="82" t="str">
        <f t="shared" si="1"/>
        <v/>
      </c>
      <c r="AX2079" s="83" t="str">
        <f t="array" ref="AX2079">IFERROR(DGET('SBV Import'!A:G,"SBV",{"RSC ID","Tier";B2079,A2079}))</f>
        <v/>
      </c>
      <c r="AY2079" s="82" t="str">
        <f t="shared" si="2"/>
        <v/>
      </c>
      <c r="AZ2079" s="82"/>
      <c r="BA2079" s="84" t="s">
        <v>152</v>
      </c>
      <c r="BB2079" s="84" t="str">
        <f>IFERROR(__xludf.DUMMYFUNCTION("iferror(if(A2079="""",,E2079&gt;=FILTER(Constants!$F$2:$F$10,Constants!$A$2:$A$10=A2079)))"),"")</f>
        <v/>
      </c>
    </row>
    <row r="2080">
      <c r="A2080" s="87"/>
      <c r="B2080" s="87"/>
      <c r="C2080" s="73"/>
      <c r="D2080" s="73"/>
      <c r="E2080" s="82"/>
      <c r="F2080" s="82"/>
      <c r="G2080" s="86"/>
      <c r="H2080" s="86"/>
      <c r="I2080" s="86"/>
      <c r="J2080" s="82"/>
      <c r="K2080" s="82"/>
      <c r="L2080" s="82"/>
      <c r="M2080" s="82"/>
      <c r="N2080" s="82"/>
      <c r="O2080" s="82"/>
      <c r="P2080" s="82"/>
      <c r="Q2080" s="82"/>
      <c r="R2080" s="82"/>
      <c r="S2080" s="82"/>
      <c r="T2080" s="82"/>
      <c r="U2080" s="82"/>
      <c r="V2080" s="82"/>
      <c r="W2080" s="82"/>
      <c r="X2080" s="82"/>
      <c r="Y2080" s="82"/>
      <c r="Z2080" s="82"/>
      <c r="AA2080" s="82"/>
      <c r="AB2080" s="82"/>
      <c r="AC2080" s="82"/>
      <c r="AD2080" s="82"/>
      <c r="AE2080" s="82"/>
      <c r="AF2080" s="82"/>
      <c r="AG2080" s="82"/>
      <c r="AH2080" s="82"/>
      <c r="AI2080" s="82"/>
      <c r="AJ2080" s="82"/>
      <c r="AK2080" s="82"/>
      <c r="AL2080" s="82"/>
      <c r="AM2080" s="82"/>
      <c r="AN2080" s="82"/>
      <c r="AO2080" s="82"/>
      <c r="AP2080" s="82"/>
      <c r="AQ2080" s="82"/>
      <c r="AR2080" s="82"/>
      <c r="AS2080" s="82"/>
      <c r="AT2080" s="82"/>
      <c r="AU2080" s="82"/>
      <c r="AV2080" s="82"/>
      <c r="AW2080" s="82" t="str">
        <f t="shared" si="1"/>
        <v/>
      </c>
      <c r="AX2080" s="83" t="str">
        <f t="array" ref="AX2080">IFERROR(DGET('SBV Import'!A:G,"SBV",{"RSC ID","Tier";B2080,A2080}))</f>
        <v/>
      </c>
      <c r="AY2080" s="82" t="str">
        <f t="shared" si="2"/>
        <v/>
      </c>
      <c r="AZ2080" s="82"/>
      <c r="BA2080" s="84" t="s">
        <v>152</v>
      </c>
      <c r="BB2080" s="84" t="str">
        <f>IFERROR(__xludf.DUMMYFUNCTION("iferror(if(A2080="""",,E2080&gt;=FILTER(Constants!$F$2:$F$10,Constants!$A$2:$A$10=A2080)))"),"")</f>
        <v/>
      </c>
    </row>
    <row r="2081">
      <c r="A2081" s="87"/>
      <c r="B2081" s="87"/>
      <c r="C2081" s="73"/>
      <c r="D2081" s="73"/>
      <c r="E2081" s="82"/>
      <c r="F2081" s="82"/>
      <c r="G2081" s="86"/>
      <c r="H2081" s="86"/>
      <c r="I2081" s="86"/>
      <c r="J2081" s="82"/>
      <c r="K2081" s="82"/>
      <c r="L2081" s="82"/>
      <c r="M2081" s="82"/>
      <c r="N2081" s="82"/>
      <c r="O2081" s="82"/>
      <c r="P2081" s="82"/>
      <c r="Q2081" s="82"/>
      <c r="R2081" s="82"/>
      <c r="S2081" s="82"/>
      <c r="T2081" s="82"/>
      <c r="U2081" s="82"/>
      <c r="V2081" s="82"/>
      <c r="W2081" s="82"/>
      <c r="X2081" s="82"/>
      <c r="Y2081" s="82"/>
      <c r="Z2081" s="82"/>
      <c r="AA2081" s="82"/>
      <c r="AB2081" s="82"/>
      <c r="AC2081" s="82"/>
      <c r="AD2081" s="82"/>
      <c r="AE2081" s="82"/>
      <c r="AF2081" s="82"/>
      <c r="AG2081" s="82"/>
      <c r="AH2081" s="82"/>
      <c r="AI2081" s="82"/>
      <c r="AJ2081" s="82"/>
      <c r="AK2081" s="82"/>
      <c r="AL2081" s="82"/>
      <c r="AM2081" s="82"/>
      <c r="AN2081" s="82"/>
      <c r="AO2081" s="82"/>
      <c r="AP2081" s="82"/>
      <c r="AQ2081" s="82"/>
      <c r="AR2081" s="82"/>
      <c r="AS2081" s="82"/>
      <c r="AT2081" s="82"/>
      <c r="AU2081" s="82"/>
      <c r="AV2081" s="82"/>
      <c r="AW2081" s="82" t="str">
        <f t="shared" si="1"/>
        <v/>
      </c>
      <c r="AX2081" s="83" t="str">
        <f t="array" ref="AX2081">IFERROR(DGET('SBV Import'!A:G,"SBV",{"RSC ID","Tier";B2081,A2081}))</f>
        <v/>
      </c>
      <c r="AY2081" s="82" t="str">
        <f t="shared" si="2"/>
        <v/>
      </c>
      <c r="AZ2081" s="82"/>
      <c r="BA2081" s="84" t="s">
        <v>152</v>
      </c>
      <c r="BB2081" s="84" t="str">
        <f>IFERROR(__xludf.DUMMYFUNCTION("iferror(if(A2081="""",,E2081&gt;=FILTER(Constants!$F$2:$F$10,Constants!$A$2:$A$10=A2081)))"),"")</f>
        <v/>
      </c>
    </row>
    <row r="2082">
      <c r="A2082" s="87"/>
      <c r="B2082" s="87"/>
      <c r="C2082" s="73"/>
      <c r="D2082" s="73"/>
      <c r="E2082" s="82"/>
      <c r="F2082" s="82"/>
      <c r="G2082" s="86"/>
      <c r="H2082" s="86"/>
      <c r="I2082" s="86"/>
      <c r="J2082" s="82"/>
      <c r="K2082" s="82"/>
      <c r="L2082" s="82"/>
      <c r="M2082" s="82"/>
      <c r="N2082" s="82"/>
      <c r="O2082" s="82"/>
      <c r="P2082" s="82"/>
      <c r="Q2082" s="82"/>
      <c r="R2082" s="82"/>
      <c r="S2082" s="82"/>
      <c r="T2082" s="82"/>
      <c r="U2082" s="82"/>
      <c r="V2082" s="82"/>
      <c r="W2082" s="82"/>
      <c r="X2082" s="82"/>
      <c r="Y2082" s="82"/>
      <c r="Z2082" s="82"/>
      <c r="AA2082" s="82"/>
      <c r="AB2082" s="82"/>
      <c r="AC2082" s="82"/>
      <c r="AD2082" s="82"/>
      <c r="AE2082" s="82"/>
      <c r="AF2082" s="82"/>
      <c r="AG2082" s="82"/>
      <c r="AH2082" s="82"/>
      <c r="AI2082" s="82"/>
      <c r="AJ2082" s="82"/>
      <c r="AK2082" s="82"/>
      <c r="AL2082" s="82"/>
      <c r="AM2082" s="82"/>
      <c r="AN2082" s="82"/>
      <c r="AO2082" s="82"/>
      <c r="AP2082" s="82"/>
      <c r="AQ2082" s="82"/>
      <c r="AR2082" s="82"/>
      <c r="AS2082" s="82"/>
      <c r="AT2082" s="82"/>
      <c r="AU2082" s="82"/>
      <c r="AV2082" s="82"/>
      <c r="AW2082" s="82" t="str">
        <f t="shared" si="1"/>
        <v/>
      </c>
      <c r="AX2082" s="83" t="str">
        <f t="array" ref="AX2082">IFERROR(DGET('SBV Import'!A:G,"SBV",{"RSC ID","Tier";B2082,A2082}))</f>
        <v/>
      </c>
      <c r="AY2082" s="82" t="str">
        <f t="shared" si="2"/>
        <v/>
      </c>
      <c r="AZ2082" s="82"/>
      <c r="BA2082" s="84" t="s">
        <v>152</v>
      </c>
      <c r="BB2082" s="84" t="str">
        <f>IFERROR(__xludf.DUMMYFUNCTION("iferror(if(A2082="""",,E2082&gt;=FILTER(Constants!$F$2:$F$10,Constants!$A$2:$A$10=A2082)))"),"")</f>
        <v/>
      </c>
    </row>
    <row r="2083">
      <c r="A2083" s="87"/>
      <c r="B2083" s="87"/>
      <c r="C2083" s="73"/>
      <c r="D2083" s="73"/>
      <c r="E2083" s="82"/>
      <c r="F2083" s="82"/>
      <c r="G2083" s="86"/>
      <c r="H2083" s="86"/>
      <c r="I2083" s="86"/>
      <c r="J2083" s="82"/>
      <c r="K2083" s="82"/>
      <c r="L2083" s="82"/>
      <c r="M2083" s="82"/>
      <c r="N2083" s="82"/>
      <c r="O2083" s="82"/>
      <c r="P2083" s="82"/>
      <c r="Q2083" s="82"/>
      <c r="R2083" s="82"/>
      <c r="S2083" s="82"/>
      <c r="T2083" s="82"/>
      <c r="U2083" s="82"/>
      <c r="V2083" s="82"/>
      <c r="W2083" s="82"/>
      <c r="X2083" s="82"/>
      <c r="Y2083" s="82"/>
      <c r="Z2083" s="82"/>
      <c r="AA2083" s="82"/>
      <c r="AB2083" s="82"/>
      <c r="AC2083" s="82"/>
      <c r="AD2083" s="82"/>
      <c r="AE2083" s="82"/>
      <c r="AF2083" s="82"/>
      <c r="AG2083" s="82"/>
      <c r="AH2083" s="82"/>
      <c r="AI2083" s="82"/>
      <c r="AJ2083" s="82"/>
      <c r="AK2083" s="82"/>
      <c r="AL2083" s="82"/>
      <c r="AM2083" s="82"/>
      <c r="AN2083" s="82"/>
      <c r="AO2083" s="82"/>
      <c r="AP2083" s="82"/>
      <c r="AQ2083" s="82"/>
      <c r="AR2083" s="82"/>
      <c r="AS2083" s="82"/>
      <c r="AT2083" s="82"/>
      <c r="AU2083" s="82"/>
      <c r="AV2083" s="82"/>
      <c r="AW2083" s="82" t="str">
        <f t="shared" si="1"/>
        <v/>
      </c>
      <c r="AX2083" s="83" t="str">
        <f t="array" ref="AX2083">IFERROR(DGET('SBV Import'!A:G,"SBV",{"RSC ID","Tier";B2083,A2083}))</f>
        <v/>
      </c>
      <c r="AY2083" s="82" t="str">
        <f t="shared" si="2"/>
        <v/>
      </c>
      <c r="AZ2083" s="82"/>
      <c r="BA2083" s="84" t="s">
        <v>152</v>
      </c>
      <c r="BB2083" s="84" t="str">
        <f>IFERROR(__xludf.DUMMYFUNCTION("iferror(if(A2083="""",,E2083&gt;=FILTER(Constants!$F$2:$F$10,Constants!$A$2:$A$10=A2083)))"),"")</f>
        <v/>
      </c>
    </row>
    <row r="2084">
      <c r="A2084" s="87"/>
      <c r="B2084" s="87"/>
      <c r="C2084" s="73"/>
      <c r="D2084" s="73"/>
      <c r="E2084" s="82"/>
      <c r="F2084" s="82"/>
      <c r="G2084" s="86"/>
      <c r="H2084" s="86"/>
      <c r="I2084" s="86"/>
      <c r="J2084" s="82"/>
      <c r="K2084" s="82"/>
      <c r="L2084" s="82"/>
      <c r="M2084" s="82"/>
      <c r="N2084" s="82"/>
      <c r="O2084" s="82"/>
      <c r="P2084" s="82"/>
      <c r="Q2084" s="82"/>
      <c r="R2084" s="82"/>
      <c r="S2084" s="82"/>
      <c r="T2084" s="82"/>
      <c r="U2084" s="82"/>
      <c r="V2084" s="82"/>
      <c r="W2084" s="82"/>
      <c r="X2084" s="82"/>
      <c r="Y2084" s="82"/>
      <c r="Z2084" s="82"/>
      <c r="AA2084" s="82"/>
      <c r="AB2084" s="82"/>
      <c r="AC2084" s="82"/>
      <c r="AD2084" s="82"/>
      <c r="AE2084" s="82"/>
      <c r="AF2084" s="82"/>
      <c r="AG2084" s="82"/>
      <c r="AH2084" s="82"/>
      <c r="AI2084" s="82"/>
      <c r="AJ2084" s="82"/>
      <c r="AK2084" s="82"/>
      <c r="AL2084" s="82"/>
      <c r="AM2084" s="82"/>
      <c r="AN2084" s="82"/>
      <c r="AO2084" s="82"/>
      <c r="AP2084" s="82"/>
      <c r="AQ2084" s="82"/>
      <c r="AR2084" s="82"/>
      <c r="AS2084" s="82"/>
      <c r="AT2084" s="82"/>
      <c r="AU2084" s="82"/>
      <c r="AV2084" s="82"/>
      <c r="AW2084" s="82" t="str">
        <f t="shared" si="1"/>
        <v/>
      </c>
      <c r="AX2084" s="83" t="str">
        <f t="array" ref="AX2084">IFERROR(DGET('SBV Import'!A:G,"SBV",{"RSC ID","Tier";B2084,A2084}))</f>
        <v/>
      </c>
      <c r="AY2084" s="82" t="str">
        <f t="shared" si="2"/>
        <v/>
      </c>
      <c r="AZ2084" s="82"/>
      <c r="BA2084" s="84" t="s">
        <v>152</v>
      </c>
      <c r="BB2084" s="84" t="str">
        <f>IFERROR(__xludf.DUMMYFUNCTION("iferror(if(A2084="""",,E2084&gt;=FILTER(Constants!$F$2:$F$10,Constants!$A$2:$A$10=A2084)))"),"")</f>
        <v/>
      </c>
    </row>
    <row r="2085">
      <c r="A2085" s="87"/>
      <c r="B2085" s="87"/>
      <c r="C2085" s="73"/>
      <c r="D2085" s="73"/>
      <c r="E2085" s="82"/>
      <c r="F2085" s="82"/>
      <c r="G2085" s="86"/>
      <c r="H2085" s="86"/>
      <c r="I2085" s="86"/>
      <c r="J2085" s="82"/>
      <c r="K2085" s="82"/>
      <c r="L2085" s="82"/>
      <c r="M2085" s="82"/>
      <c r="N2085" s="82"/>
      <c r="O2085" s="82"/>
      <c r="P2085" s="82"/>
      <c r="Q2085" s="82"/>
      <c r="R2085" s="82"/>
      <c r="S2085" s="82"/>
      <c r="T2085" s="82"/>
      <c r="U2085" s="82"/>
      <c r="V2085" s="82"/>
      <c r="W2085" s="82"/>
      <c r="X2085" s="82"/>
      <c r="Y2085" s="82"/>
      <c r="Z2085" s="82"/>
      <c r="AA2085" s="82"/>
      <c r="AB2085" s="82"/>
      <c r="AC2085" s="82"/>
      <c r="AD2085" s="82"/>
      <c r="AE2085" s="82"/>
      <c r="AF2085" s="82"/>
      <c r="AG2085" s="82"/>
      <c r="AH2085" s="82"/>
      <c r="AI2085" s="82"/>
      <c r="AJ2085" s="82"/>
      <c r="AK2085" s="82"/>
      <c r="AL2085" s="82"/>
      <c r="AM2085" s="82"/>
      <c r="AN2085" s="82"/>
      <c r="AO2085" s="82"/>
      <c r="AP2085" s="82"/>
      <c r="AQ2085" s="82"/>
      <c r="AR2085" s="82"/>
      <c r="AS2085" s="82"/>
      <c r="AT2085" s="82"/>
      <c r="AU2085" s="82"/>
      <c r="AV2085" s="82"/>
      <c r="AW2085" s="82" t="str">
        <f t="shared" si="1"/>
        <v/>
      </c>
      <c r="AX2085" s="83" t="str">
        <f t="array" ref="AX2085">IFERROR(DGET('SBV Import'!A:G,"SBV",{"RSC ID","Tier";B2085,A2085}))</f>
        <v/>
      </c>
      <c r="AY2085" s="82" t="str">
        <f t="shared" si="2"/>
        <v/>
      </c>
      <c r="AZ2085" s="82"/>
      <c r="BA2085" s="84" t="s">
        <v>152</v>
      </c>
      <c r="BB2085" s="84" t="str">
        <f>IFERROR(__xludf.DUMMYFUNCTION("iferror(if(A2085="""",,E2085&gt;=FILTER(Constants!$F$2:$F$10,Constants!$A$2:$A$10=A2085)))"),"")</f>
        <v/>
      </c>
    </row>
    <row r="2086">
      <c r="A2086" s="87"/>
      <c r="B2086" s="87"/>
      <c r="C2086" s="73"/>
      <c r="D2086" s="73"/>
      <c r="E2086" s="82"/>
      <c r="F2086" s="82"/>
      <c r="G2086" s="86"/>
      <c r="H2086" s="86"/>
      <c r="I2086" s="86"/>
      <c r="J2086" s="82"/>
      <c r="K2086" s="82"/>
      <c r="L2086" s="82"/>
      <c r="M2086" s="82"/>
      <c r="N2086" s="82"/>
      <c r="O2086" s="82"/>
      <c r="P2086" s="82"/>
      <c r="Q2086" s="82"/>
      <c r="R2086" s="82"/>
      <c r="S2086" s="82"/>
      <c r="T2086" s="82"/>
      <c r="U2086" s="82"/>
      <c r="V2086" s="82"/>
      <c r="W2086" s="82"/>
      <c r="X2086" s="82"/>
      <c r="Y2086" s="82"/>
      <c r="Z2086" s="82"/>
      <c r="AA2086" s="82"/>
      <c r="AB2086" s="82"/>
      <c r="AC2086" s="82"/>
      <c r="AD2086" s="82"/>
      <c r="AE2086" s="82"/>
      <c r="AF2086" s="82"/>
      <c r="AG2086" s="82"/>
      <c r="AH2086" s="82"/>
      <c r="AI2086" s="82"/>
      <c r="AJ2086" s="82"/>
      <c r="AK2086" s="82"/>
      <c r="AL2086" s="82"/>
      <c r="AM2086" s="82"/>
      <c r="AN2086" s="82"/>
      <c r="AO2086" s="82"/>
      <c r="AP2086" s="82"/>
      <c r="AQ2086" s="82"/>
      <c r="AR2086" s="82"/>
      <c r="AS2086" s="82"/>
      <c r="AT2086" s="82"/>
      <c r="AU2086" s="82"/>
      <c r="AV2086" s="82"/>
      <c r="AW2086" s="82" t="str">
        <f t="shared" si="1"/>
        <v/>
      </c>
      <c r="AX2086" s="83" t="str">
        <f t="array" ref="AX2086">IFERROR(DGET('SBV Import'!A:G,"SBV",{"RSC ID","Tier";B2086,A2086}))</f>
        <v/>
      </c>
      <c r="AY2086" s="82" t="str">
        <f t="shared" si="2"/>
        <v/>
      </c>
      <c r="AZ2086" s="82"/>
      <c r="BA2086" s="84" t="s">
        <v>152</v>
      </c>
      <c r="BB2086" s="84" t="str">
        <f>IFERROR(__xludf.DUMMYFUNCTION("iferror(if(A2086="""",,E2086&gt;=FILTER(Constants!$F$2:$F$10,Constants!$A$2:$A$10=A2086)))"),"")</f>
        <v/>
      </c>
    </row>
    <row r="2087">
      <c r="A2087" s="87"/>
      <c r="B2087" s="87"/>
      <c r="C2087" s="73"/>
      <c r="D2087" s="73"/>
      <c r="E2087" s="82"/>
      <c r="F2087" s="82"/>
      <c r="G2087" s="86"/>
      <c r="H2087" s="86"/>
      <c r="I2087" s="86"/>
      <c r="J2087" s="82"/>
      <c r="K2087" s="82"/>
      <c r="L2087" s="82"/>
      <c r="M2087" s="82"/>
      <c r="N2087" s="82"/>
      <c r="O2087" s="82"/>
      <c r="P2087" s="82"/>
      <c r="Q2087" s="82"/>
      <c r="R2087" s="82"/>
      <c r="S2087" s="82"/>
      <c r="T2087" s="82"/>
      <c r="U2087" s="82"/>
      <c r="V2087" s="82"/>
      <c r="W2087" s="82"/>
      <c r="X2087" s="82"/>
      <c r="Y2087" s="82"/>
      <c r="Z2087" s="82"/>
      <c r="AA2087" s="82"/>
      <c r="AB2087" s="82"/>
      <c r="AC2087" s="82"/>
      <c r="AD2087" s="82"/>
      <c r="AE2087" s="82"/>
      <c r="AF2087" s="82"/>
      <c r="AG2087" s="82"/>
      <c r="AH2087" s="82"/>
      <c r="AI2087" s="82"/>
      <c r="AJ2087" s="82"/>
      <c r="AK2087" s="82"/>
      <c r="AL2087" s="82"/>
      <c r="AM2087" s="82"/>
      <c r="AN2087" s="82"/>
      <c r="AO2087" s="82"/>
      <c r="AP2087" s="82"/>
      <c r="AQ2087" s="82"/>
      <c r="AR2087" s="82"/>
      <c r="AS2087" s="82"/>
      <c r="AT2087" s="82"/>
      <c r="AU2087" s="82"/>
      <c r="AV2087" s="82"/>
      <c r="AW2087" s="82" t="str">
        <f t="shared" si="1"/>
        <v/>
      </c>
      <c r="AX2087" s="83" t="str">
        <f t="array" ref="AX2087">IFERROR(DGET('SBV Import'!A:G,"SBV",{"RSC ID","Tier";B2087,A2087}))</f>
        <v/>
      </c>
      <c r="AY2087" s="82" t="str">
        <f t="shared" si="2"/>
        <v/>
      </c>
      <c r="AZ2087" s="82"/>
      <c r="BA2087" s="84" t="s">
        <v>152</v>
      </c>
      <c r="BB2087" s="84" t="str">
        <f>IFERROR(__xludf.DUMMYFUNCTION("iferror(if(A2087="""",,E2087&gt;=FILTER(Constants!$F$2:$F$10,Constants!$A$2:$A$10=A2087)))"),"")</f>
        <v/>
      </c>
    </row>
    <row r="2088">
      <c r="A2088" s="87"/>
      <c r="B2088" s="87"/>
      <c r="C2088" s="73"/>
      <c r="D2088" s="73"/>
      <c r="E2088" s="82"/>
      <c r="F2088" s="82"/>
      <c r="G2088" s="86"/>
      <c r="H2088" s="86"/>
      <c r="I2088" s="86"/>
      <c r="J2088" s="82"/>
      <c r="K2088" s="82"/>
      <c r="L2088" s="82"/>
      <c r="M2088" s="82"/>
      <c r="N2088" s="82"/>
      <c r="O2088" s="82"/>
      <c r="P2088" s="82"/>
      <c r="Q2088" s="82"/>
      <c r="R2088" s="82"/>
      <c r="S2088" s="82"/>
      <c r="T2088" s="82"/>
      <c r="U2088" s="82"/>
      <c r="V2088" s="82"/>
      <c r="W2088" s="82"/>
      <c r="X2088" s="82"/>
      <c r="Y2088" s="82"/>
      <c r="Z2088" s="82"/>
      <c r="AA2088" s="82"/>
      <c r="AB2088" s="82"/>
      <c r="AC2088" s="82"/>
      <c r="AD2088" s="82"/>
      <c r="AE2088" s="82"/>
      <c r="AF2088" s="82"/>
      <c r="AG2088" s="82"/>
      <c r="AH2088" s="82"/>
      <c r="AI2088" s="82"/>
      <c r="AJ2088" s="82"/>
      <c r="AK2088" s="82"/>
      <c r="AL2088" s="82"/>
      <c r="AM2088" s="82"/>
      <c r="AN2088" s="82"/>
      <c r="AO2088" s="82"/>
      <c r="AP2088" s="82"/>
      <c r="AQ2088" s="82"/>
      <c r="AR2088" s="82"/>
      <c r="AS2088" s="82"/>
      <c r="AT2088" s="82"/>
      <c r="AU2088" s="82"/>
      <c r="AV2088" s="82"/>
      <c r="AW2088" s="82" t="str">
        <f t="shared" si="1"/>
        <v/>
      </c>
      <c r="AX2088" s="83" t="str">
        <f t="array" ref="AX2088">IFERROR(DGET('SBV Import'!A:G,"SBV",{"RSC ID","Tier";B2088,A2088}))</f>
        <v/>
      </c>
      <c r="AY2088" s="82" t="str">
        <f t="shared" si="2"/>
        <v/>
      </c>
      <c r="AZ2088" s="82"/>
      <c r="BA2088" s="84" t="s">
        <v>152</v>
      </c>
      <c r="BB2088" s="84" t="str">
        <f>IFERROR(__xludf.DUMMYFUNCTION("iferror(if(A2088="""",,E2088&gt;=FILTER(Constants!$F$2:$F$10,Constants!$A$2:$A$10=A2088)))"),"")</f>
        <v/>
      </c>
    </row>
    <row r="2089">
      <c r="A2089" s="87"/>
      <c r="B2089" s="87"/>
      <c r="C2089" s="73"/>
      <c r="D2089" s="73"/>
      <c r="E2089" s="82"/>
      <c r="F2089" s="82"/>
      <c r="G2089" s="86"/>
      <c r="H2089" s="86"/>
      <c r="I2089" s="86"/>
      <c r="J2089" s="82"/>
      <c r="K2089" s="82"/>
      <c r="L2089" s="82"/>
      <c r="M2089" s="82"/>
      <c r="N2089" s="82"/>
      <c r="O2089" s="82"/>
      <c r="P2089" s="82"/>
      <c r="Q2089" s="82"/>
      <c r="R2089" s="82"/>
      <c r="S2089" s="82"/>
      <c r="T2089" s="82"/>
      <c r="U2089" s="82"/>
      <c r="V2089" s="82"/>
      <c r="W2089" s="82"/>
      <c r="X2089" s="82"/>
      <c r="Y2089" s="82"/>
      <c r="Z2089" s="82"/>
      <c r="AA2089" s="82"/>
      <c r="AB2089" s="82"/>
      <c r="AC2089" s="82"/>
      <c r="AD2089" s="82"/>
      <c r="AE2089" s="82"/>
      <c r="AF2089" s="82"/>
      <c r="AG2089" s="82"/>
      <c r="AH2089" s="82"/>
      <c r="AI2089" s="82"/>
      <c r="AJ2089" s="82"/>
      <c r="AK2089" s="82"/>
      <c r="AL2089" s="82"/>
      <c r="AM2089" s="82"/>
      <c r="AN2089" s="82"/>
      <c r="AO2089" s="82"/>
      <c r="AP2089" s="82"/>
      <c r="AQ2089" s="82"/>
      <c r="AR2089" s="82"/>
      <c r="AS2089" s="82"/>
      <c r="AT2089" s="82"/>
      <c r="AU2089" s="82"/>
      <c r="AV2089" s="82"/>
      <c r="AW2089" s="82" t="str">
        <f t="shared" si="1"/>
        <v/>
      </c>
      <c r="AX2089" s="83" t="str">
        <f t="array" ref="AX2089">IFERROR(DGET('SBV Import'!A:G,"SBV",{"RSC ID","Tier";B2089,A2089}))</f>
        <v/>
      </c>
      <c r="AY2089" s="82" t="str">
        <f t="shared" si="2"/>
        <v/>
      </c>
      <c r="AZ2089" s="82"/>
      <c r="BA2089" s="84" t="s">
        <v>152</v>
      </c>
      <c r="BB2089" s="84" t="str">
        <f>IFERROR(__xludf.DUMMYFUNCTION("iferror(if(A2089="""",,E2089&gt;=FILTER(Constants!$F$2:$F$10,Constants!$A$2:$A$10=A2089)))"),"")</f>
        <v/>
      </c>
    </row>
    <row r="2090">
      <c r="A2090" s="87"/>
      <c r="B2090" s="87"/>
      <c r="C2090" s="73"/>
      <c r="D2090" s="73"/>
      <c r="E2090" s="82"/>
      <c r="F2090" s="82"/>
      <c r="G2090" s="86"/>
      <c r="H2090" s="86"/>
      <c r="I2090" s="86"/>
      <c r="J2090" s="82"/>
      <c r="K2090" s="82"/>
      <c r="L2090" s="82"/>
      <c r="M2090" s="82"/>
      <c r="N2090" s="82"/>
      <c r="O2090" s="82"/>
      <c r="P2090" s="82"/>
      <c r="Q2090" s="82"/>
      <c r="R2090" s="82"/>
      <c r="S2090" s="82"/>
      <c r="T2090" s="82"/>
      <c r="U2090" s="82"/>
      <c r="V2090" s="82"/>
      <c r="W2090" s="82"/>
      <c r="X2090" s="82"/>
      <c r="Y2090" s="82"/>
      <c r="Z2090" s="82"/>
      <c r="AA2090" s="82"/>
      <c r="AB2090" s="82"/>
      <c r="AC2090" s="82"/>
      <c r="AD2090" s="82"/>
      <c r="AE2090" s="82"/>
      <c r="AF2090" s="82"/>
      <c r="AG2090" s="82"/>
      <c r="AH2090" s="82"/>
      <c r="AI2090" s="82"/>
      <c r="AJ2090" s="82"/>
      <c r="AK2090" s="82"/>
      <c r="AL2090" s="82"/>
      <c r="AM2090" s="82"/>
      <c r="AN2090" s="82"/>
      <c r="AO2090" s="82"/>
      <c r="AP2090" s="82"/>
      <c r="AQ2090" s="82"/>
      <c r="AR2090" s="82"/>
      <c r="AS2090" s="82"/>
      <c r="AT2090" s="82"/>
      <c r="AU2090" s="82"/>
      <c r="AV2090" s="82"/>
      <c r="AW2090" s="82" t="str">
        <f t="shared" si="1"/>
        <v/>
      </c>
      <c r="AX2090" s="83" t="str">
        <f t="array" ref="AX2090">IFERROR(DGET('SBV Import'!A:G,"SBV",{"RSC ID","Tier";B2090,A2090}))</f>
        <v/>
      </c>
      <c r="AY2090" s="82" t="str">
        <f t="shared" si="2"/>
        <v/>
      </c>
      <c r="AZ2090" s="82"/>
      <c r="BA2090" s="84" t="s">
        <v>152</v>
      </c>
      <c r="BB2090" s="84" t="str">
        <f>IFERROR(__xludf.DUMMYFUNCTION("iferror(if(A2090="""",,E2090&gt;=FILTER(Constants!$F$2:$F$10,Constants!$A$2:$A$10=A2090)))"),"")</f>
        <v/>
      </c>
    </row>
    <row r="2091">
      <c r="A2091" s="87"/>
      <c r="B2091" s="87"/>
      <c r="C2091" s="73"/>
      <c r="D2091" s="73"/>
      <c r="E2091" s="82"/>
      <c r="F2091" s="82"/>
      <c r="G2091" s="86"/>
      <c r="H2091" s="86"/>
      <c r="I2091" s="86"/>
      <c r="J2091" s="82"/>
      <c r="K2091" s="82"/>
      <c r="L2091" s="82"/>
      <c r="M2091" s="82"/>
      <c r="N2091" s="82"/>
      <c r="O2091" s="82"/>
      <c r="P2091" s="82"/>
      <c r="Q2091" s="82"/>
      <c r="R2091" s="82"/>
      <c r="S2091" s="82"/>
      <c r="T2091" s="82"/>
      <c r="U2091" s="82"/>
      <c r="V2091" s="82"/>
      <c r="W2091" s="82"/>
      <c r="X2091" s="82"/>
      <c r="Y2091" s="82"/>
      <c r="Z2091" s="82"/>
      <c r="AA2091" s="82"/>
      <c r="AB2091" s="82"/>
      <c r="AC2091" s="82"/>
      <c r="AD2091" s="82"/>
      <c r="AE2091" s="82"/>
      <c r="AF2091" s="82"/>
      <c r="AG2091" s="82"/>
      <c r="AH2091" s="82"/>
      <c r="AI2091" s="82"/>
      <c r="AJ2091" s="82"/>
      <c r="AK2091" s="82"/>
      <c r="AL2091" s="82"/>
      <c r="AM2091" s="82"/>
      <c r="AN2091" s="82"/>
      <c r="AO2091" s="82"/>
      <c r="AP2091" s="82"/>
      <c r="AQ2091" s="82"/>
      <c r="AR2091" s="82"/>
      <c r="AS2091" s="82"/>
      <c r="AT2091" s="82"/>
      <c r="AU2091" s="82"/>
      <c r="AV2091" s="82"/>
      <c r="AW2091" s="82" t="str">
        <f t="shared" si="1"/>
        <v/>
      </c>
      <c r="AX2091" s="83" t="str">
        <f t="array" ref="AX2091">IFERROR(DGET('SBV Import'!A:G,"SBV",{"RSC ID","Tier";B2091,A2091}))</f>
        <v/>
      </c>
      <c r="AY2091" s="82" t="str">
        <f t="shared" si="2"/>
        <v/>
      </c>
      <c r="AZ2091" s="82"/>
      <c r="BA2091" s="84" t="s">
        <v>152</v>
      </c>
      <c r="BB2091" s="84" t="str">
        <f>IFERROR(__xludf.DUMMYFUNCTION("iferror(if(A2091="""",,E2091&gt;=FILTER(Constants!$F$2:$F$10,Constants!$A$2:$A$10=A2091)))"),"")</f>
        <v/>
      </c>
    </row>
    <row r="2092">
      <c r="A2092" s="87"/>
      <c r="B2092" s="87"/>
      <c r="C2092" s="73"/>
      <c r="D2092" s="73"/>
      <c r="E2092" s="82"/>
      <c r="F2092" s="82"/>
      <c r="G2092" s="86"/>
      <c r="H2092" s="86"/>
      <c r="I2092" s="86"/>
      <c r="J2092" s="82"/>
      <c r="K2092" s="82"/>
      <c r="L2092" s="82"/>
      <c r="M2092" s="82"/>
      <c r="N2092" s="82"/>
      <c r="O2092" s="82"/>
      <c r="P2092" s="82"/>
      <c r="Q2092" s="82"/>
      <c r="R2092" s="82"/>
      <c r="S2092" s="82"/>
      <c r="T2092" s="82"/>
      <c r="U2092" s="82"/>
      <c r="V2092" s="82"/>
      <c r="W2092" s="82"/>
      <c r="X2092" s="82"/>
      <c r="Y2092" s="82"/>
      <c r="Z2092" s="82"/>
      <c r="AA2092" s="82"/>
      <c r="AB2092" s="82"/>
      <c r="AC2092" s="82"/>
      <c r="AD2092" s="82"/>
      <c r="AE2092" s="82"/>
      <c r="AF2092" s="82"/>
      <c r="AG2092" s="82"/>
      <c r="AH2092" s="82"/>
      <c r="AI2092" s="82"/>
      <c r="AJ2092" s="82"/>
      <c r="AK2092" s="82"/>
      <c r="AL2092" s="82"/>
      <c r="AM2092" s="82"/>
      <c r="AN2092" s="82"/>
      <c r="AO2092" s="82"/>
      <c r="AP2092" s="82"/>
      <c r="AQ2092" s="82"/>
      <c r="AR2092" s="82"/>
      <c r="AS2092" s="82"/>
      <c r="AT2092" s="82"/>
      <c r="AU2092" s="82"/>
      <c r="AV2092" s="82"/>
      <c r="AW2092" s="82" t="str">
        <f t="shared" si="1"/>
        <v/>
      </c>
      <c r="AX2092" s="83" t="str">
        <f t="array" ref="AX2092">IFERROR(DGET('SBV Import'!A:G,"SBV",{"RSC ID","Tier";B2092,A2092}))</f>
        <v/>
      </c>
      <c r="AY2092" s="82" t="str">
        <f t="shared" si="2"/>
        <v/>
      </c>
      <c r="AZ2092" s="82"/>
      <c r="BA2092" s="84" t="s">
        <v>152</v>
      </c>
      <c r="BB2092" s="84" t="str">
        <f>IFERROR(__xludf.DUMMYFUNCTION("iferror(if(A2092="""",,E2092&gt;=FILTER(Constants!$F$2:$F$10,Constants!$A$2:$A$10=A2092)))"),"")</f>
        <v/>
      </c>
    </row>
    <row r="2093">
      <c r="A2093" s="87"/>
      <c r="B2093" s="87"/>
      <c r="C2093" s="73"/>
      <c r="D2093" s="73"/>
      <c r="E2093" s="82"/>
      <c r="F2093" s="82"/>
      <c r="G2093" s="86"/>
      <c r="H2093" s="86"/>
      <c r="I2093" s="86"/>
      <c r="J2093" s="82"/>
      <c r="K2093" s="82"/>
      <c r="L2093" s="82"/>
      <c r="M2093" s="82"/>
      <c r="N2093" s="82"/>
      <c r="O2093" s="82"/>
      <c r="P2093" s="82"/>
      <c r="Q2093" s="82"/>
      <c r="R2093" s="82"/>
      <c r="S2093" s="82"/>
      <c r="T2093" s="82"/>
      <c r="U2093" s="82"/>
      <c r="V2093" s="82"/>
      <c r="W2093" s="82"/>
      <c r="X2093" s="82"/>
      <c r="Y2093" s="82"/>
      <c r="Z2093" s="82"/>
      <c r="AA2093" s="82"/>
      <c r="AB2093" s="82"/>
      <c r="AC2093" s="82"/>
      <c r="AD2093" s="82"/>
      <c r="AE2093" s="82"/>
      <c r="AF2093" s="82"/>
      <c r="AG2093" s="82"/>
      <c r="AH2093" s="82"/>
      <c r="AI2093" s="82"/>
      <c r="AJ2093" s="82"/>
      <c r="AK2093" s="82"/>
      <c r="AL2093" s="82"/>
      <c r="AM2093" s="82"/>
      <c r="AN2093" s="82"/>
      <c r="AO2093" s="82"/>
      <c r="AP2093" s="82"/>
      <c r="AQ2093" s="82"/>
      <c r="AR2093" s="82"/>
      <c r="AS2093" s="82"/>
      <c r="AT2093" s="82"/>
      <c r="AU2093" s="82"/>
      <c r="AV2093" s="82"/>
      <c r="AW2093" s="82" t="str">
        <f t="shared" si="1"/>
        <v/>
      </c>
      <c r="AX2093" s="83" t="str">
        <f t="array" ref="AX2093">IFERROR(DGET('SBV Import'!A:G,"SBV",{"RSC ID","Tier";B2093,A2093}))</f>
        <v/>
      </c>
      <c r="AY2093" s="82" t="str">
        <f t="shared" si="2"/>
        <v/>
      </c>
      <c r="AZ2093" s="82"/>
      <c r="BA2093" s="84" t="s">
        <v>152</v>
      </c>
      <c r="BB2093" s="84" t="str">
        <f>IFERROR(__xludf.DUMMYFUNCTION("iferror(if(A2093="""",,E2093&gt;=FILTER(Constants!$F$2:$F$10,Constants!$A$2:$A$10=A2093)))"),"")</f>
        <v/>
      </c>
    </row>
    <row r="2094">
      <c r="A2094" s="87"/>
      <c r="B2094" s="87"/>
      <c r="C2094" s="73"/>
      <c r="D2094" s="73"/>
      <c r="E2094" s="82"/>
      <c r="F2094" s="82"/>
      <c r="G2094" s="86"/>
      <c r="H2094" s="86"/>
      <c r="I2094" s="86"/>
      <c r="J2094" s="82"/>
      <c r="K2094" s="82"/>
      <c r="L2094" s="82"/>
      <c r="M2094" s="82"/>
      <c r="N2094" s="82"/>
      <c r="O2094" s="82"/>
      <c r="P2094" s="82"/>
      <c r="Q2094" s="82"/>
      <c r="R2094" s="82"/>
      <c r="S2094" s="82"/>
      <c r="T2094" s="82"/>
      <c r="U2094" s="82"/>
      <c r="V2094" s="82"/>
      <c r="W2094" s="82"/>
      <c r="X2094" s="82"/>
      <c r="Y2094" s="82"/>
      <c r="Z2094" s="82"/>
      <c r="AA2094" s="82"/>
      <c r="AB2094" s="82"/>
      <c r="AC2094" s="82"/>
      <c r="AD2094" s="82"/>
      <c r="AE2094" s="82"/>
      <c r="AF2094" s="82"/>
      <c r="AG2094" s="82"/>
      <c r="AH2094" s="82"/>
      <c r="AI2094" s="82"/>
      <c r="AJ2094" s="82"/>
      <c r="AK2094" s="82"/>
      <c r="AL2094" s="82"/>
      <c r="AM2094" s="82"/>
      <c r="AN2094" s="82"/>
      <c r="AO2094" s="82"/>
      <c r="AP2094" s="82"/>
      <c r="AQ2094" s="82"/>
      <c r="AR2094" s="82"/>
      <c r="AS2094" s="82"/>
      <c r="AT2094" s="82"/>
      <c r="AU2094" s="82"/>
      <c r="AV2094" s="82"/>
      <c r="AW2094" s="82" t="str">
        <f t="shared" si="1"/>
        <v/>
      </c>
      <c r="AX2094" s="83" t="str">
        <f t="array" ref="AX2094">IFERROR(DGET('SBV Import'!A:G,"SBV",{"RSC ID","Tier";B2094,A2094}))</f>
        <v/>
      </c>
      <c r="AY2094" s="82" t="str">
        <f t="shared" si="2"/>
        <v/>
      </c>
      <c r="AZ2094" s="82"/>
      <c r="BA2094" s="84" t="s">
        <v>152</v>
      </c>
      <c r="BB2094" s="84" t="str">
        <f>IFERROR(__xludf.DUMMYFUNCTION("iferror(if(A2094="""",,E2094&gt;=FILTER(Constants!$F$2:$F$10,Constants!$A$2:$A$10=A2094)))"),"")</f>
        <v/>
      </c>
    </row>
    <row r="2095">
      <c r="A2095" s="87"/>
      <c r="B2095" s="87"/>
      <c r="C2095" s="73"/>
      <c r="D2095" s="73"/>
      <c r="E2095" s="82"/>
      <c r="F2095" s="82"/>
      <c r="G2095" s="86"/>
      <c r="H2095" s="86"/>
      <c r="I2095" s="86"/>
      <c r="J2095" s="82"/>
      <c r="K2095" s="82"/>
      <c r="L2095" s="82"/>
      <c r="M2095" s="82"/>
      <c r="N2095" s="82"/>
      <c r="O2095" s="82"/>
      <c r="P2095" s="82"/>
      <c r="Q2095" s="82"/>
      <c r="R2095" s="82"/>
      <c r="S2095" s="82"/>
      <c r="T2095" s="82"/>
      <c r="U2095" s="82"/>
      <c r="V2095" s="82"/>
      <c r="W2095" s="82"/>
      <c r="X2095" s="82"/>
      <c r="Y2095" s="82"/>
      <c r="Z2095" s="82"/>
      <c r="AA2095" s="82"/>
      <c r="AB2095" s="82"/>
      <c r="AC2095" s="82"/>
      <c r="AD2095" s="82"/>
      <c r="AE2095" s="82"/>
      <c r="AF2095" s="82"/>
      <c r="AG2095" s="82"/>
      <c r="AH2095" s="82"/>
      <c r="AI2095" s="82"/>
      <c r="AJ2095" s="82"/>
      <c r="AK2095" s="82"/>
      <c r="AL2095" s="82"/>
      <c r="AM2095" s="82"/>
      <c r="AN2095" s="82"/>
      <c r="AO2095" s="82"/>
      <c r="AP2095" s="82"/>
      <c r="AQ2095" s="82"/>
      <c r="AR2095" s="82"/>
      <c r="AS2095" s="82"/>
      <c r="AT2095" s="82"/>
      <c r="AU2095" s="82"/>
      <c r="AV2095" s="82"/>
      <c r="AW2095" s="82" t="str">
        <f t="shared" si="1"/>
        <v/>
      </c>
      <c r="AX2095" s="83" t="str">
        <f t="array" ref="AX2095">IFERROR(DGET('SBV Import'!A:G,"SBV",{"RSC ID","Tier";B2095,A2095}))</f>
        <v/>
      </c>
      <c r="AY2095" s="82" t="str">
        <f t="shared" si="2"/>
        <v/>
      </c>
      <c r="AZ2095" s="82"/>
      <c r="BA2095" s="84" t="s">
        <v>152</v>
      </c>
      <c r="BB2095" s="84" t="str">
        <f>IFERROR(__xludf.DUMMYFUNCTION("iferror(if(A2095="""",,E2095&gt;=FILTER(Constants!$F$2:$F$10,Constants!$A$2:$A$10=A2095)))"),"")</f>
        <v/>
      </c>
    </row>
    <row r="2096">
      <c r="A2096" s="87"/>
      <c r="B2096" s="87"/>
      <c r="C2096" s="73"/>
      <c r="D2096" s="73"/>
      <c r="E2096" s="82"/>
      <c r="F2096" s="82"/>
      <c r="G2096" s="86"/>
      <c r="H2096" s="86"/>
      <c r="I2096" s="86"/>
      <c r="J2096" s="82"/>
      <c r="K2096" s="82"/>
      <c r="L2096" s="82"/>
      <c r="M2096" s="82"/>
      <c r="N2096" s="82"/>
      <c r="O2096" s="82"/>
      <c r="P2096" s="82"/>
      <c r="Q2096" s="82"/>
      <c r="R2096" s="82"/>
      <c r="S2096" s="82"/>
      <c r="T2096" s="82"/>
      <c r="U2096" s="82"/>
      <c r="V2096" s="82"/>
      <c r="W2096" s="82"/>
      <c r="X2096" s="82"/>
      <c r="Y2096" s="82"/>
      <c r="Z2096" s="82"/>
      <c r="AA2096" s="82"/>
      <c r="AB2096" s="82"/>
      <c r="AC2096" s="82"/>
      <c r="AD2096" s="82"/>
      <c r="AE2096" s="82"/>
      <c r="AF2096" s="82"/>
      <c r="AG2096" s="82"/>
      <c r="AH2096" s="82"/>
      <c r="AI2096" s="82"/>
      <c r="AJ2096" s="82"/>
      <c r="AK2096" s="82"/>
      <c r="AL2096" s="82"/>
      <c r="AM2096" s="82"/>
      <c r="AN2096" s="82"/>
      <c r="AO2096" s="82"/>
      <c r="AP2096" s="82"/>
      <c r="AQ2096" s="82"/>
      <c r="AR2096" s="82"/>
      <c r="AS2096" s="82"/>
      <c r="AT2096" s="82"/>
      <c r="AU2096" s="82"/>
      <c r="AV2096" s="82"/>
      <c r="AW2096" s="82" t="str">
        <f t="shared" si="1"/>
        <v/>
      </c>
      <c r="AX2096" s="83" t="str">
        <f t="array" ref="AX2096">IFERROR(DGET('SBV Import'!A:G,"SBV",{"RSC ID","Tier";B2096,A2096}))</f>
        <v/>
      </c>
      <c r="AY2096" s="82" t="str">
        <f t="shared" si="2"/>
        <v/>
      </c>
      <c r="AZ2096" s="82"/>
      <c r="BA2096" s="84" t="s">
        <v>152</v>
      </c>
      <c r="BB2096" s="84" t="str">
        <f>IFERROR(__xludf.DUMMYFUNCTION("iferror(if(A2096="""",,E2096&gt;=FILTER(Constants!$F$2:$F$10,Constants!$A$2:$A$10=A2096)))"),"")</f>
        <v/>
      </c>
    </row>
    <row r="2097">
      <c r="A2097" s="87"/>
      <c r="B2097" s="87"/>
      <c r="C2097" s="73"/>
      <c r="D2097" s="73"/>
      <c r="E2097" s="82"/>
      <c r="F2097" s="82"/>
      <c r="G2097" s="86"/>
      <c r="H2097" s="86"/>
      <c r="I2097" s="86"/>
      <c r="J2097" s="82"/>
      <c r="K2097" s="82"/>
      <c r="L2097" s="82"/>
      <c r="M2097" s="82"/>
      <c r="N2097" s="82"/>
      <c r="O2097" s="82"/>
      <c r="P2097" s="82"/>
      <c r="Q2097" s="82"/>
      <c r="R2097" s="82"/>
      <c r="S2097" s="82"/>
      <c r="T2097" s="82"/>
      <c r="U2097" s="82"/>
      <c r="V2097" s="82"/>
      <c r="W2097" s="82"/>
      <c r="X2097" s="82"/>
      <c r="Y2097" s="82"/>
      <c r="Z2097" s="82"/>
      <c r="AA2097" s="82"/>
      <c r="AB2097" s="82"/>
      <c r="AC2097" s="82"/>
      <c r="AD2097" s="82"/>
      <c r="AE2097" s="82"/>
      <c r="AF2097" s="82"/>
      <c r="AG2097" s="82"/>
      <c r="AH2097" s="82"/>
      <c r="AI2097" s="82"/>
      <c r="AJ2097" s="82"/>
      <c r="AK2097" s="82"/>
      <c r="AL2097" s="82"/>
      <c r="AM2097" s="82"/>
      <c r="AN2097" s="82"/>
      <c r="AO2097" s="82"/>
      <c r="AP2097" s="82"/>
      <c r="AQ2097" s="82"/>
      <c r="AR2097" s="82"/>
      <c r="AS2097" s="82"/>
      <c r="AT2097" s="82"/>
      <c r="AU2097" s="82"/>
      <c r="AV2097" s="82"/>
      <c r="AW2097" s="82" t="str">
        <f t="shared" si="1"/>
        <v/>
      </c>
      <c r="AX2097" s="83" t="str">
        <f t="array" ref="AX2097">IFERROR(DGET('SBV Import'!A:G,"SBV",{"RSC ID","Tier";B2097,A2097}))</f>
        <v/>
      </c>
      <c r="AY2097" s="82" t="str">
        <f t="shared" si="2"/>
        <v/>
      </c>
      <c r="AZ2097" s="82"/>
      <c r="BA2097" s="84" t="s">
        <v>152</v>
      </c>
      <c r="BB2097" s="84" t="str">
        <f>IFERROR(__xludf.DUMMYFUNCTION("iferror(if(A2097="""",,E2097&gt;=FILTER(Constants!$F$2:$F$10,Constants!$A$2:$A$10=A2097)))"),"")</f>
        <v/>
      </c>
    </row>
    <row r="2098">
      <c r="A2098" s="87"/>
      <c r="B2098" s="87"/>
      <c r="C2098" s="73"/>
      <c r="D2098" s="73"/>
      <c r="E2098" s="82"/>
      <c r="F2098" s="82"/>
      <c r="G2098" s="86"/>
      <c r="H2098" s="86"/>
      <c r="I2098" s="86"/>
      <c r="J2098" s="82"/>
      <c r="K2098" s="82"/>
      <c r="L2098" s="82"/>
      <c r="M2098" s="82"/>
      <c r="N2098" s="82"/>
      <c r="O2098" s="82"/>
      <c r="P2098" s="82"/>
      <c r="Q2098" s="82"/>
      <c r="R2098" s="82"/>
      <c r="S2098" s="82"/>
      <c r="T2098" s="82"/>
      <c r="U2098" s="82"/>
      <c r="V2098" s="82"/>
      <c r="W2098" s="82"/>
      <c r="X2098" s="82"/>
      <c r="Y2098" s="82"/>
      <c r="Z2098" s="82"/>
      <c r="AA2098" s="82"/>
      <c r="AB2098" s="82"/>
      <c r="AC2098" s="82"/>
      <c r="AD2098" s="82"/>
      <c r="AE2098" s="82"/>
      <c r="AF2098" s="82"/>
      <c r="AG2098" s="82"/>
      <c r="AH2098" s="82"/>
      <c r="AI2098" s="82"/>
      <c r="AJ2098" s="82"/>
      <c r="AK2098" s="82"/>
      <c r="AL2098" s="82"/>
      <c r="AM2098" s="82"/>
      <c r="AN2098" s="82"/>
      <c r="AO2098" s="82"/>
      <c r="AP2098" s="82"/>
      <c r="AQ2098" s="82"/>
      <c r="AR2098" s="82"/>
      <c r="AS2098" s="82"/>
      <c r="AT2098" s="82"/>
      <c r="AU2098" s="82"/>
      <c r="AV2098" s="82"/>
      <c r="AW2098" s="82" t="str">
        <f t="shared" si="1"/>
        <v/>
      </c>
      <c r="AX2098" s="83" t="str">
        <f t="array" ref="AX2098">IFERROR(DGET('SBV Import'!A:G,"SBV",{"RSC ID","Tier";B2098,A2098}))</f>
        <v/>
      </c>
      <c r="AY2098" s="82" t="str">
        <f t="shared" si="2"/>
        <v/>
      </c>
      <c r="AZ2098" s="82"/>
      <c r="BA2098" s="84" t="s">
        <v>152</v>
      </c>
      <c r="BB2098" s="84" t="str">
        <f>IFERROR(__xludf.DUMMYFUNCTION("iferror(if(A2098="""",,E2098&gt;=FILTER(Constants!$F$2:$F$10,Constants!$A$2:$A$10=A2098)))"),"")</f>
        <v/>
      </c>
    </row>
    <row r="2099">
      <c r="A2099" s="87"/>
      <c r="B2099" s="87"/>
      <c r="C2099" s="73"/>
      <c r="D2099" s="73"/>
      <c r="E2099" s="82"/>
      <c r="F2099" s="82"/>
      <c r="G2099" s="86"/>
      <c r="H2099" s="86"/>
      <c r="I2099" s="86"/>
      <c r="J2099" s="82"/>
      <c r="K2099" s="82"/>
      <c r="L2099" s="82"/>
      <c r="M2099" s="82"/>
      <c r="N2099" s="82"/>
      <c r="O2099" s="82"/>
      <c r="P2099" s="82"/>
      <c r="Q2099" s="82"/>
      <c r="R2099" s="82"/>
      <c r="S2099" s="82"/>
      <c r="T2099" s="82"/>
      <c r="U2099" s="82"/>
      <c r="V2099" s="82"/>
      <c r="W2099" s="82"/>
      <c r="X2099" s="82"/>
      <c r="Y2099" s="82"/>
      <c r="Z2099" s="82"/>
      <c r="AA2099" s="82"/>
      <c r="AB2099" s="82"/>
      <c r="AC2099" s="82"/>
      <c r="AD2099" s="82"/>
      <c r="AE2099" s="82"/>
      <c r="AF2099" s="82"/>
      <c r="AG2099" s="82"/>
      <c r="AH2099" s="82"/>
      <c r="AI2099" s="82"/>
      <c r="AJ2099" s="82"/>
      <c r="AK2099" s="82"/>
      <c r="AL2099" s="82"/>
      <c r="AM2099" s="82"/>
      <c r="AN2099" s="82"/>
      <c r="AO2099" s="82"/>
      <c r="AP2099" s="82"/>
      <c r="AQ2099" s="82"/>
      <c r="AR2099" s="82"/>
      <c r="AS2099" s="82"/>
      <c r="AT2099" s="82"/>
      <c r="AU2099" s="82"/>
      <c r="AV2099" s="82"/>
      <c r="AW2099" s="82" t="str">
        <f t="shared" si="1"/>
        <v/>
      </c>
      <c r="AX2099" s="83" t="str">
        <f t="array" ref="AX2099">IFERROR(DGET('SBV Import'!A:G,"SBV",{"RSC ID","Tier";B2099,A2099}))</f>
        <v/>
      </c>
      <c r="AY2099" s="82" t="str">
        <f t="shared" si="2"/>
        <v/>
      </c>
      <c r="AZ2099" s="82"/>
      <c r="BA2099" s="84" t="s">
        <v>152</v>
      </c>
      <c r="BB2099" s="84" t="str">
        <f>IFERROR(__xludf.DUMMYFUNCTION("iferror(if(A2099="""",,E2099&gt;=FILTER(Constants!$F$2:$F$10,Constants!$A$2:$A$10=A2099)))"),"")</f>
        <v/>
      </c>
    </row>
    <row r="2100">
      <c r="A2100" s="90"/>
      <c r="B2100" s="87"/>
      <c r="C2100" s="73"/>
      <c r="D2100" s="73"/>
      <c r="E2100" s="82"/>
      <c r="F2100" s="82"/>
      <c r="G2100" s="86"/>
      <c r="H2100" s="86"/>
      <c r="I2100" s="86"/>
      <c r="J2100" s="82"/>
      <c r="K2100" s="82"/>
      <c r="L2100" s="82"/>
      <c r="M2100" s="82"/>
      <c r="N2100" s="82"/>
      <c r="O2100" s="82"/>
      <c r="P2100" s="82"/>
      <c r="Q2100" s="82"/>
      <c r="R2100" s="82"/>
      <c r="S2100" s="82"/>
      <c r="T2100" s="82"/>
      <c r="U2100" s="82"/>
      <c r="V2100" s="82"/>
      <c r="W2100" s="82"/>
      <c r="X2100" s="82"/>
      <c r="Y2100" s="82"/>
      <c r="Z2100" s="82"/>
      <c r="AA2100" s="82"/>
      <c r="AB2100" s="82"/>
      <c r="AC2100" s="82"/>
      <c r="AD2100" s="82"/>
      <c r="AE2100" s="82"/>
      <c r="AF2100" s="82"/>
      <c r="AG2100" s="82"/>
      <c r="AH2100" s="82"/>
      <c r="AI2100" s="82"/>
      <c r="AJ2100" s="82"/>
      <c r="AK2100" s="82"/>
      <c r="AL2100" s="82"/>
      <c r="AM2100" s="82"/>
      <c r="AN2100" s="82"/>
      <c r="AO2100" s="82"/>
      <c r="AP2100" s="82"/>
      <c r="AQ2100" s="82"/>
      <c r="AR2100" s="82"/>
      <c r="AS2100" s="82"/>
      <c r="AT2100" s="82"/>
      <c r="AU2100" s="82"/>
      <c r="AV2100" s="82"/>
      <c r="AW2100" s="82" t="str">
        <f t="shared" si="1"/>
        <v/>
      </c>
      <c r="AX2100" s="83" t="str">
        <f t="array" ref="AX2100">IFERROR(DGET('SBV Import'!A:G,"SBV",{"RSC ID","Tier";B2100,A2100}))</f>
        <v/>
      </c>
      <c r="AY2100" s="82" t="str">
        <f t="shared" si="2"/>
        <v/>
      </c>
      <c r="AZ2100" s="82"/>
      <c r="BA2100" s="84" t="s">
        <v>152</v>
      </c>
      <c r="BB2100" s="84" t="str">
        <f>IFERROR(__xludf.DUMMYFUNCTION("iferror(if(A2100="""",,E2100&gt;=FILTER(Constants!$F$2:$F$10,Constants!$A$2:$A$10=A2100)))"),"")</f>
        <v/>
      </c>
    </row>
    <row r="2101">
      <c r="A2101" s="87"/>
      <c r="B2101" s="87"/>
      <c r="C2101" s="73"/>
      <c r="D2101" s="73"/>
      <c r="E2101" s="82"/>
      <c r="F2101" s="82"/>
      <c r="G2101" s="86"/>
      <c r="H2101" s="86"/>
      <c r="I2101" s="86"/>
      <c r="J2101" s="82"/>
      <c r="K2101" s="82"/>
      <c r="L2101" s="82"/>
      <c r="M2101" s="82"/>
      <c r="N2101" s="82"/>
      <c r="O2101" s="82"/>
      <c r="P2101" s="82"/>
      <c r="Q2101" s="82"/>
      <c r="R2101" s="82"/>
      <c r="S2101" s="82"/>
      <c r="T2101" s="82"/>
      <c r="U2101" s="82"/>
      <c r="V2101" s="82"/>
      <c r="W2101" s="82"/>
      <c r="X2101" s="82"/>
      <c r="Y2101" s="82"/>
      <c r="Z2101" s="82"/>
      <c r="AA2101" s="82"/>
      <c r="AB2101" s="82"/>
      <c r="AC2101" s="82"/>
      <c r="AD2101" s="82"/>
      <c r="AE2101" s="82"/>
      <c r="AF2101" s="82"/>
      <c r="AG2101" s="82"/>
      <c r="AH2101" s="82"/>
      <c r="AI2101" s="82"/>
      <c r="AJ2101" s="82"/>
      <c r="AK2101" s="82"/>
      <c r="AL2101" s="82"/>
      <c r="AM2101" s="82"/>
      <c r="AN2101" s="82"/>
      <c r="AO2101" s="82"/>
      <c r="AP2101" s="82"/>
      <c r="AQ2101" s="82"/>
      <c r="AR2101" s="82"/>
      <c r="AS2101" s="82"/>
      <c r="AT2101" s="82"/>
      <c r="AU2101" s="82"/>
      <c r="AV2101" s="82"/>
      <c r="AW2101" s="82" t="str">
        <f t="shared" si="1"/>
        <v/>
      </c>
      <c r="AX2101" s="83" t="str">
        <f t="array" ref="AX2101">IFERROR(DGET('SBV Import'!A:G,"SBV",{"RSC ID","Tier";B2101,A2101}))</f>
        <v/>
      </c>
      <c r="AY2101" s="82" t="str">
        <f t="shared" si="2"/>
        <v/>
      </c>
      <c r="AZ2101" s="82"/>
      <c r="BA2101" s="84" t="s">
        <v>152</v>
      </c>
      <c r="BB2101" s="84" t="str">
        <f>IFERROR(__xludf.DUMMYFUNCTION("iferror(if(A2101="""",,E2101&gt;=FILTER(Constants!$F$2:$F$10,Constants!$A$2:$A$10=A2101)))"),"")</f>
        <v/>
      </c>
    </row>
    <row r="2102">
      <c r="A2102" s="87"/>
      <c r="B2102" s="87"/>
      <c r="C2102" s="73"/>
      <c r="D2102" s="73"/>
      <c r="E2102" s="82"/>
      <c r="F2102" s="82"/>
      <c r="G2102" s="86"/>
      <c r="H2102" s="86"/>
      <c r="I2102" s="86"/>
      <c r="J2102" s="82"/>
      <c r="K2102" s="82"/>
      <c r="L2102" s="82"/>
      <c r="M2102" s="82"/>
      <c r="N2102" s="82"/>
      <c r="O2102" s="82"/>
      <c r="P2102" s="82"/>
      <c r="Q2102" s="82"/>
      <c r="R2102" s="82"/>
      <c r="S2102" s="82"/>
      <c r="T2102" s="82"/>
      <c r="U2102" s="82"/>
      <c r="V2102" s="82"/>
      <c r="W2102" s="82"/>
      <c r="X2102" s="82"/>
      <c r="Y2102" s="82"/>
      <c r="Z2102" s="82"/>
      <c r="AA2102" s="82"/>
      <c r="AB2102" s="82"/>
      <c r="AC2102" s="82"/>
      <c r="AD2102" s="82"/>
      <c r="AE2102" s="82"/>
      <c r="AF2102" s="82"/>
      <c r="AG2102" s="82"/>
      <c r="AH2102" s="82"/>
      <c r="AI2102" s="82"/>
      <c r="AJ2102" s="82"/>
      <c r="AK2102" s="82"/>
      <c r="AL2102" s="82"/>
      <c r="AM2102" s="82"/>
      <c r="AN2102" s="82"/>
      <c r="AO2102" s="82"/>
      <c r="AP2102" s="82"/>
      <c r="AQ2102" s="82"/>
      <c r="AR2102" s="82"/>
      <c r="AS2102" s="82"/>
      <c r="AT2102" s="82"/>
      <c r="AU2102" s="82"/>
      <c r="AV2102" s="82"/>
      <c r="AW2102" s="82" t="str">
        <f t="shared" si="1"/>
        <v/>
      </c>
      <c r="AX2102" s="83" t="str">
        <f t="array" ref="AX2102">IFERROR(DGET('SBV Import'!A:G,"SBV",{"RSC ID","Tier";B2102,A2102}))</f>
        <v/>
      </c>
      <c r="AY2102" s="82" t="str">
        <f t="shared" si="2"/>
        <v/>
      </c>
      <c r="AZ2102" s="82"/>
      <c r="BA2102" s="84" t="s">
        <v>152</v>
      </c>
      <c r="BB2102" s="84" t="str">
        <f>IFERROR(__xludf.DUMMYFUNCTION("iferror(if(A2102="""",,E2102&gt;=FILTER(Constants!$F$2:$F$10,Constants!$A$2:$A$10=A2102)))"),"")</f>
        <v/>
      </c>
    </row>
    <row r="2103">
      <c r="A2103" s="87"/>
      <c r="B2103" s="87"/>
      <c r="C2103" s="73"/>
      <c r="D2103" s="73"/>
      <c r="E2103" s="82"/>
      <c r="F2103" s="82"/>
      <c r="G2103" s="86"/>
      <c r="H2103" s="86"/>
      <c r="I2103" s="86"/>
      <c r="J2103" s="82"/>
      <c r="K2103" s="82"/>
      <c r="L2103" s="82"/>
      <c r="M2103" s="82"/>
      <c r="N2103" s="82"/>
      <c r="O2103" s="82"/>
      <c r="P2103" s="82"/>
      <c r="Q2103" s="82"/>
      <c r="R2103" s="82"/>
      <c r="S2103" s="82"/>
      <c r="T2103" s="82"/>
      <c r="U2103" s="82"/>
      <c r="V2103" s="82"/>
      <c r="W2103" s="82"/>
      <c r="X2103" s="82"/>
      <c r="Y2103" s="82"/>
      <c r="Z2103" s="82"/>
      <c r="AA2103" s="82"/>
      <c r="AB2103" s="82"/>
      <c r="AC2103" s="82"/>
      <c r="AD2103" s="82"/>
      <c r="AE2103" s="82"/>
      <c r="AF2103" s="82"/>
      <c r="AG2103" s="82"/>
      <c r="AH2103" s="82"/>
      <c r="AI2103" s="82"/>
      <c r="AJ2103" s="82"/>
      <c r="AK2103" s="82"/>
      <c r="AL2103" s="82"/>
      <c r="AM2103" s="82"/>
      <c r="AN2103" s="82"/>
      <c r="AO2103" s="82"/>
      <c r="AP2103" s="82"/>
      <c r="AQ2103" s="82"/>
      <c r="AR2103" s="82"/>
      <c r="AS2103" s="82"/>
      <c r="AT2103" s="82"/>
      <c r="AU2103" s="82"/>
      <c r="AV2103" s="82"/>
      <c r="AW2103" s="82" t="str">
        <f t="shared" si="1"/>
        <v/>
      </c>
      <c r="AX2103" s="83" t="str">
        <f t="array" ref="AX2103">IFERROR(DGET('SBV Import'!A:G,"SBV",{"RSC ID","Tier";B2103,A2103}))</f>
        <v/>
      </c>
      <c r="AY2103" s="82" t="str">
        <f t="shared" si="2"/>
        <v/>
      </c>
      <c r="AZ2103" s="82"/>
      <c r="BA2103" s="84" t="s">
        <v>152</v>
      </c>
      <c r="BB2103" s="84" t="str">
        <f>IFERROR(__xludf.DUMMYFUNCTION("iferror(if(A2103="""",,E2103&gt;=FILTER(Constants!$F$2:$F$10,Constants!$A$2:$A$10=A2103)))"),"")</f>
        <v/>
      </c>
    </row>
    <row r="2104">
      <c r="A2104" s="87"/>
      <c r="B2104" s="87"/>
      <c r="C2104" s="73"/>
      <c r="D2104" s="73"/>
      <c r="E2104" s="82"/>
      <c r="F2104" s="82"/>
      <c r="G2104" s="86"/>
      <c r="H2104" s="86"/>
      <c r="I2104" s="86"/>
      <c r="J2104" s="82"/>
      <c r="K2104" s="82"/>
      <c r="L2104" s="82"/>
      <c r="M2104" s="82"/>
      <c r="N2104" s="82"/>
      <c r="O2104" s="82"/>
      <c r="P2104" s="82"/>
      <c r="Q2104" s="82"/>
      <c r="R2104" s="82"/>
      <c r="S2104" s="82"/>
      <c r="T2104" s="82"/>
      <c r="U2104" s="82"/>
      <c r="V2104" s="82"/>
      <c r="W2104" s="82"/>
      <c r="X2104" s="82"/>
      <c r="Y2104" s="82"/>
      <c r="Z2104" s="82"/>
      <c r="AA2104" s="82"/>
      <c r="AB2104" s="82"/>
      <c r="AC2104" s="82"/>
      <c r="AD2104" s="82"/>
      <c r="AE2104" s="82"/>
      <c r="AF2104" s="82"/>
      <c r="AG2104" s="82"/>
      <c r="AH2104" s="82"/>
      <c r="AI2104" s="82"/>
      <c r="AJ2104" s="82"/>
      <c r="AK2104" s="82"/>
      <c r="AL2104" s="82"/>
      <c r="AM2104" s="82"/>
      <c r="AN2104" s="82"/>
      <c r="AO2104" s="82"/>
      <c r="AP2104" s="82"/>
      <c r="AQ2104" s="82"/>
      <c r="AR2104" s="82"/>
      <c r="AS2104" s="82"/>
      <c r="AT2104" s="82"/>
      <c r="AU2104" s="82"/>
      <c r="AV2104" s="82"/>
      <c r="AW2104" s="82" t="str">
        <f t="shared" si="1"/>
        <v/>
      </c>
      <c r="AX2104" s="83" t="str">
        <f t="array" ref="AX2104">IFERROR(DGET('SBV Import'!A:G,"SBV",{"RSC ID","Tier";B2104,A2104}))</f>
        <v/>
      </c>
      <c r="AY2104" s="82" t="str">
        <f t="shared" si="2"/>
        <v/>
      </c>
      <c r="AZ2104" s="82"/>
      <c r="BA2104" s="84" t="s">
        <v>152</v>
      </c>
      <c r="BB2104" s="84" t="str">
        <f>IFERROR(__xludf.DUMMYFUNCTION("iferror(if(A2104="""",,E2104&gt;=FILTER(Constants!$F$2:$F$10,Constants!$A$2:$A$10=A2104)))"),"")</f>
        <v/>
      </c>
    </row>
    <row r="2105">
      <c r="A2105" s="87"/>
      <c r="B2105" s="87"/>
      <c r="C2105" s="73"/>
      <c r="D2105" s="73"/>
      <c r="E2105" s="82"/>
      <c r="F2105" s="82"/>
      <c r="G2105" s="86"/>
      <c r="H2105" s="86"/>
      <c r="I2105" s="86"/>
      <c r="J2105" s="82"/>
      <c r="K2105" s="82"/>
      <c r="L2105" s="82"/>
      <c r="M2105" s="82"/>
      <c r="N2105" s="82"/>
      <c r="O2105" s="82"/>
      <c r="P2105" s="82"/>
      <c r="Q2105" s="82"/>
      <c r="R2105" s="82"/>
      <c r="S2105" s="82"/>
      <c r="T2105" s="82"/>
      <c r="U2105" s="82"/>
      <c r="V2105" s="82"/>
      <c r="W2105" s="82"/>
      <c r="X2105" s="82"/>
      <c r="Y2105" s="82"/>
      <c r="Z2105" s="82"/>
      <c r="AA2105" s="82"/>
      <c r="AB2105" s="82"/>
      <c r="AC2105" s="82"/>
      <c r="AD2105" s="82"/>
      <c r="AE2105" s="82"/>
      <c r="AF2105" s="82"/>
      <c r="AG2105" s="82"/>
      <c r="AH2105" s="82"/>
      <c r="AI2105" s="82"/>
      <c r="AJ2105" s="82"/>
      <c r="AK2105" s="82"/>
      <c r="AL2105" s="82"/>
      <c r="AM2105" s="82"/>
      <c r="AN2105" s="82"/>
      <c r="AO2105" s="82"/>
      <c r="AP2105" s="82"/>
      <c r="AQ2105" s="82"/>
      <c r="AR2105" s="82"/>
      <c r="AS2105" s="82"/>
      <c r="AT2105" s="82"/>
      <c r="AU2105" s="82"/>
      <c r="AV2105" s="82"/>
      <c r="AW2105" s="82" t="str">
        <f t="shared" si="1"/>
        <v/>
      </c>
      <c r="AX2105" s="83" t="str">
        <f t="array" ref="AX2105">IFERROR(DGET('SBV Import'!A:G,"SBV",{"RSC ID","Tier";B2105,A2105}))</f>
        <v/>
      </c>
      <c r="AY2105" s="82" t="str">
        <f t="shared" si="2"/>
        <v/>
      </c>
      <c r="AZ2105" s="82"/>
      <c r="BA2105" s="84" t="s">
        <v>152</v>
      </c>
      <c r="BB2105" s="84" t="str">
        <f>IFERROR(__xludf.DUMMYFUNCTION("iferror(if(A2105="""",,E2105&gt;=FILTER(Constants!$F$2:$F$10,Constants!$A$2:$A$10=A2105)))"),"")</f>
        <v/>
      </c>
    </row>
    <row r="2106">
      <c r="A2106" s="87"/>
      <c r="B2106" s="87"/>
      <c r="C2106" s="73"/>
      <c r="D2106" s="73"/>
      <c r="E2106" s="82"/>
      <c r="F2106" s="82"/>
      <c r="G2106" s="86"/>
      <c r="H2106" s="86"/>
      <c r="I2106" s="86"/>
      <c r="J2106" s="82"/>
      <c r="K2106" s="82"/>
      <c r="L2106" s="82"/>
      <c r="M2106" s="82"/>
      <c r="N2106" s="82"/>
      <c r="O2106" s="82"/>
      <c r="P2106" s="82"/>
      <c r="Q2106" s="82"/>
      <c r="R2106" s="82"/>
      <c r="S2106" s="82"/>
      <c r="T2106" s="82"/>
      <c r="U2106" s="82"/>
      <c r="V2106" s="82"/>
      <c r="W2106" s="82"/>
      <c r="X2106" s="82"/>
      <c r="Y2106" s="82"/>
      <c r="Z2106" s="82"/>
      <c r="AA2106" s="82"/>
      <c r="AB2106" s="82"/>
      <c r="AC2106" s="82"/>
      <c r="AD2106" s="82"/>
      <c r="AE2106" s="82"/>
      <c r="AF2106" s="82"/>
      <c r="AG2106" s="82"/>
      <c r="AH2106" s="82"/>
      <c r="AI2106" s="82"/>
      <c r="AJ2106" s="82"/>
      <c r="AK2106" s="82"/>
      <c r="AL2106" s="82"/>
      <c r="AM2106" s="82"/>
      <c r="AN2106" s="82"/>
      <c r="AO2106" s="82"/>
      <c r="AP2106" s="82"/>
      <c r="AQ2106" s="82"/>
      <c r="AR2106" s="82"/>
      <c r="AS2106" s="82"/>
      <c r="AT2106" s="82"/>
      <c r="AU2106" s="82"/>
      <c r="AV2106" s="82"/>
      <c r="AW2106" s="82" t="str">
        <f t="shared" si="1"/>
        <v/>
      </c>
      <c r="AX2106" s="83" t="str">
        <f t="array" ref="AX2106">IFERROR(DGET('SBV Import'!A:G,"SBV",{"RSC ID","Tier";B2106,A2106}))</f>
        <v/>
      </c>
      <c r="AY2106" s="82" t="str">
        <f t="shared" si="2"/>
        <v/>
      </c>
      <c r="AZ2106" s="82"/>
      <c r="BA2106" s="84" t="s">
        <v>152</v>
      </c>
      <c r="BB2106" s="84" t="str">
        <f>IFERROR(__xludf.DUMMYFUNCTION("iferror(if(A2106="""",,E2106&gt;=FILTER(Constants!$F$2:$F$10,Constants!$A$2:$A$10=A2106)))"),"")</f>
        <v/>
      </c>
    </row>
    <row r="2107">
      <c r="A2107" s="87"/>
      <c r="B2107" s="87"/>
      <c r="C2107" s="73"/>
      <c r="D2107" s="73"/>
      <c r="E2107" s="82"/>
      <c r="F2107" s="82"/>
      <c r="G2107" s="86"/>
      <c r="H2107" s="86"/>
      <c r="I2107" s="86"/>
      <c r="J2107" s="82"/>
      <c r="K2107" s="82"/>
      <c r="L2107" s="82"/>
      <c r="M2107" s="82"/>
      <c r="N2107" s="82"/>
      <c r="O2107" s="82"/>
      <c r="P2107" s="82"/>
      <c r="Q2107" s="82"/>
      <c r="R2107" s="82"/>
      <c r="S2107" s="82"/>
      <c r="T2107" s="82"/>
      <c r="U2107" s="82"/>
      <c r="V2107" s="82"/>
      <c r="W2107" s="82"/>
      <c r="X2107" s="82"/>
      <c r="Y2107" s="82"/>
      <c r="Z2107" s="82"/>
      <c r="AA2107" s="82"/>
      <c r="AB2107" s="82"/>
      <c r="AC2107" s="82"/>
      <c r="AD2107" s="82"/>
      <c r="AE2107" s="82"/>
      <c r="AF2107" s="82"/>
      <c r="AG2107" s="82"/>
      <c r="AH2107" s="82"/>
      <c r="AI2107" s="82"/>
      <c r="AJ2107" s="82"/>
      <c r="AK2107" s="82"/>
      <c r="AL2107" s="82"/>
      <c r="AM2107" s="82"/>
      <c r="AN2107" s="82"/>
      <c r="AO2107" s="82"/>
      <c r="AP2107" s="82"/>
      <c r="AQ2107" s="82"/>
      <c r="AR2107" s="82"/>
      <c r="AS2107" s="82"/>
      <c r="AT2107" s="82"/>
      <c r="AU2107" s="82"/>
      <c r="AV2107" s="82"/>
      <c r="AW2107" s="82" t="str">
        <f t="shared" si="1"/>
        <v/>
      </c>
      <c r="AX2107" s="83" t="str">
        <f t="array" ref="AX2107">IFERROR(DGET('SBV Import'!A:G,"SBV",{"RSC ID","Tier";B2107,A2107}))</f>
        <v/>
      </c>
      <c r="AY2107" s="82" t="str">
        <f t="shared" si="2"/>
        <v/>
      </c>
      <c r="AZ2107" s="82"/>
      <c r="BA2107" s="84" t="s">
        <v>152</v>
      </c>
      <c r="BB2107" s="84" t="str">
        <f>IFERROR(__xludf.DUMMYFUNCTION("iferror(if(A2107="""",,E2107&gt;=FILTER(Constants!$F$2:$F$10,Constants!$A$2:$A$10=A2107)))"),"")</f>
        <v/>
      </c>
    </row>
    <row r="2108">
      <c r="A2108" s="87"/>
      <c r="B2108" s="87"/>
      <c r="C2108" s="73"/>
      <c r="D2108" s="73"/>
      <c r="E2108" s="82"/>
      <c r="F2108" s="82"/>
      <c r="G2108" s="86"/>
      <c r="H2108" s="86"/>
      <c r="I2108" s="86"/>
      <c r="J2108" s="82"/>
      <c r="K2108" s="82"/>
      <c r="L2108" s="82"/>
      <c r="M2108" s="82"/>
      <c r="N2108" s="82"/>
      <c r="O2108" s="82"/>
      <c r="P2108" s="82"/>
      <c r="Q2108" s="82"/>
      <c r="R2108" s="82"/>
      <c r="S2108" s="82"/>
      <c r="T2108" s="82"/>
      <c r="U2108" s="82"/>
      <c r="V2108" s="82"/>
      <c r="W2108" s="82"/>
      <c r="X2108" s="82"/>
      <c r="Y2108" s="82"/>
      <c r="Z2108" s="82"/>
      <c r="AA2108" s="82"/>
      <c r="AB2108" s="82"/>
      <c r="AC2108" s="82"/>
      <c r="AD2108" s="82"/>
      <c r="AE2108" s="82"/>
      <c r="AF2108" s="82"/>
      <c r="AG2108" s="82"/>
      <c r="AH2108" s="82"/>
      <c r="AI2108" s="82"/>
      <c r="AJ2108" s="82"/>
      <c r="AK2108" s="82"/>
      <c r="AL2108" s="82"/>
      <c r="AM2108" s="82"/>
      <c r="AN2108" s="82"/>
      <c r="AO2108" s="82"/>
      <c r="AP2108" s="82"/>
      <c r="AQ2108" s="82"/>
      <c r="AR2108" s="82"/>
      <c r="AS2108" s="82"/>
      <c r="AT2108" s="82"/>
      <c r="AU2108" s="82"/>
      <c r="AV2108" s="82"/>
      <c r="AW2108" s="82" t="str">
        <f t="shared" si="1"/>
        <v/>
      </c>
      <c r="AX2108" s="83" t="str">
        <f t="array" ref="AX2108">IFERROR(DGET('SBV Import'!A:G,"SBV",{"RSC ID","Tier";B2108,A2108}))</f>
        <v/>
      </c>
      <c r="AY2108" s="82" t="str">
        <f t="shared" si="2"/>
        <v/>
      </c>
      <c r="AZ2108" s="82"/>
      <c r="BA2108" s="84" t="s">
        <v>152</v>
      </c>
      <c r="BB2108" s="84" t="str">
        <f>IFERROR(__xludf.DUMMYFUNCTION("iferror(if(A2108="""",,E2108&gt;=FILTER(Constants!$F$2:$F$10,Constants!$A$2:$A$10=A2108)))"),"")</f>
        <v/>
      </c>
    </row>
    <row r="2109">
      <c r="A2109" s="87"/>
      <c r="B2109" s="87"/>
      <c r="C2109" s="73"/>
      <c r="D2109" s="73"/>
      <c r="E2109" s="82"/>
      <c r="F2109" s="82"/>
      <c r="G2109" s="86"/>
      <c r="H2109" s="86"/>
      <c r="I2109" s="86"/>
      <c r="J2109" s="82"/>
      <c r="K2109" s="82"/>
      <c r="L2109" s="82"/>
      <c r="M2109" s="82"/>
      <c r="N2109" s="82"/>
      <c r="O2109" s="82"/>
      <c r="P2109" s="82"/>
      <c r="Q2109" s="82"/>
      <c r="R2109" s="82"/>
      <c r="S2109" s="82"/>
      <c r="T2109" s="82"/>
      <c r="U2109" s="82"/>
      <c r="V2109" s="82"/>
      <c r="W2109" s="82"/>
      <c r="X2109" s="82"/>
      <c r="Y2109" s="82"/>
      <c r="Z2109" s="82"/>
      <c r="AA2109" s="82"/>
      <c r="AB2109" s="82"/>
      <c r="AC2109" s="82"/>
      <c r="AD2109" s="82"/>
      <c r="AE2109" s="82"/>
      <c r="AF2109" s="82"/>
      <c r="AG2109" s="82"/>
      <c r="AH2109" s="82"/>
      <c r="AI2109" s="82"/>
      <c r="AJ2109" s="82"/>
      <c r="AK2109" s="82"/>
      <c r="AL2109" s="82"/>
      <c r="AM2109" s="82"/>
      <c r="AN2109" s="82"/>
      <c r="AO2109" s="82"/>
      <c r="AP2109" s="82"/>
      <c r="AQ2109" s="82"/>
      <c r="AR2109" s="82"/>
      <c r="AS2109" s="82"/>
      <c r="AT2109" s="82"/>
      <c r="AU2109" s="82"/>
      <c r="AV2109" s="82"/>
      <c r="AW2109" s="82" t="str">
        <f t="shared" si="1"/>
        <v/>
      </c>
      <c r="AX2109" s="83" t="str">
        <f t="array" ref="AX2109">IFERROR(DGET('SBV Import'!A:G,"SBV",{"RSC ID","Tier";B2109,A2109}))</f>
        <v/>
      </c>
      <c r="AY2109" s="82" t="str">
        <f t="shared" si="2"/>
        <v/>
      </c>
      <c r="AZ2109" s="82"/>
      <c r="BA2109" s="84" t="s">
        <v>152</v>
      </c>
      <c r="BB2109" s="84" t="str">
        <f>IFERROR(__xludf.DUMMYFUNCTION("iferror(if(A2109="""",,E2109&gt;=FILTER(Constants!$F$2:$F$10,Constants!$A$2:$A$10=A2109)))"),"")</f>
        <v/>
      </c>
    </row>
    <row r="2110">
      <c r="A2110" s="87"/>
      <c r="B2110" s="87"/>
      <c r="C2110" s="73"/>
      <c r="D2110" s="73"/>
      <c r="E2110" s="82"/>
      <c r="F2110" s="82"/>
      <c r="G2110" s="86"/>
      <c r="H2110" s="86"/>
      <c r="I2110" s="86"/>
      <c r="J2110" s="82"/>
      <c r="K2110" s="82"/>
      <c r="L2110" s="82"/>
      <c r="M2110" s="82"/>
      <c r="N2110" s="82"/>
      <c r="O2110" s="82"/>
      <c r="P2110" s="82"/>
      <c r="Q2110" s="82"/>
      <c r="R2110" s="82"/>
      <c r="S2110" s="82"/>
      <c r="T2110" s="82"/>
      <c r="U2110" s="82"/>
      <c r="V2110" s="82"/>
      <c r="W2110" s="82"/>
      <c r="X2110" s="82"/>
      <c r="Y2110" s="82"/>
      <c r="Z2110" s="82"/>
      <c r="AA2110" s="82"/>
      <c r="AB2110" s="82"/>
      <c r="AC2110" s="82"/>
      <c r="AD2110" s="82"/>
      <c r="AE2110" s="82"/>
      <c r="AF2110" s="82"/>
      <c r="AG2110" s="82"/>
      <c r="AH2110" s="82"/>
      <c r="AI2110" s="82"/>
      <c r="AJ2110" s="82"/>
      <c r="AK2110" s="82"/>
      <c r="AL2110" s="82"/>
      <c r="AM2110" s="82"/>
      <c r="AN2110" s="82"/>
      <c r="AO2110" s="82"/>
      <c r="AP2110" s="82"/>
      <c r="AQ2110" s="82"/>
      <c r="AR2110" s="82"/>
      <c r="AS2110" s="82"/>
      <c r="AT2110" s="82"/>
      <c r="AU2110" s="82"/>
      <c r="AV2110" s="82"/>
      <c r="AW2110" s="82" t="str">
        <f t="shared" si="1"/>
        <v/>
      </c>
      <c r="AX2110" s="83" t="str">
        <f t="array" ref="AX2110">IFERROR(DGET('SBV Import'!A:G,"SBV",{"RSC ID","Tier";B2110,A2110}))</f>
        <v/>
      </c>
      <c r="AY2110" s="82" t="str">
        <f t="shared" si="2"/>
        <v/>
      </c>
      <c r="AZ2110" s="82"/>
      <c r="BA2110" s="84" t="s">
        <v>152</v>
      </c>
      <c r="BB2110" s="84" t="str">
        <f>IFERROR(__xludf.DUMMYFUNCTION("iferror(if(A2110="""",,E2110&gt;=FILTER(Constants!$F$2:$F$10,Constants!$A$2:$A$10=A2110)))"),"")</f>
        <v/>
      </c>
    </row>
    <row r="2111">
      <c r="A2111" s="87"/>
      <c r="B2111" s="87"/>
      <c r="C2111" s="73"/>
      <c r="D2111" s="73"/>
      <c r="E2111" s="82"/>
      <c r="F2111" s="82"/>
      <c r="G2111" s="86"/>
      <c r="H2111" s="86"/>
      <c r="I2111" s="86"/>
      <c r="J2111" s="82"/>
      <c r="K2111" s="82"/>
      <c r="L2111" s="82"/>
      <c r="M2111" s="82"/>
      <c r="N2111" s="82"/>
      <c r="O2111" s="82"/>
      <c r="P2111" s="82"/>
      <c r="Q2111" s="82"/>
      <c r="R2111" s="82"/>
      <c r="S2111" s="82"/>
      <c r="T2111" s="82"/>
      <c r="U2111" s="82"/>
      <c r="V2111" s="82"/>
      <c r="W2111" s="82"/>
      <c r="X2111" s="82"/>
      <c r="Y2111" s="82"/>
      <c r="Z2111" s="82"/>
      <c r="AA2111" s="82"/>
      <c r="AB2111" s="82"/>
      <c r="AC2111" s="82"/>
      <c r="AD2111" s="82"/>
      <c r="AE2111" s="82"/>
      <c r="AF2111" s="82"/>
      <c r="AG2111" s="82"/>
      <c r="AH2111" s="82"/>
      <c r="AI2111" s="82"/>
      <c r="AJ2111" s="82"/>
      <c r="AK2111" s="82"/>
      <c r="AL2111" s="82"/>
      <c r="AM2111" s="82"/>
      <c r="AN2111" s="82"/>
      <c r="AO2111" s="82"/>
      <c r="AP2111" s="82"/>
      <c r="AQ2111" s="82"/>
      <c r="AR2111" s="82"/>
      <c r="AS2111" s="82"/>
      <c r="AT2111" s="82"/>
      <c r="AU2111" s="82"/>
      <c r="AV2111" s="82"/>
      <c r="AW2111" s="82" t="str">
        <f t="shared" si="1"/>
        <v/>
      </c>
      <c r="AX2111" s="83" t="str">
        <f t="array" ref="AX2111">IFERROR(DGET('SBV Import'!A:G,"SBV",{"RSC ID","Tier";B2111,A2111}))</f>
        <v/>
      </c>
      <c r="AY2111" s="82" t="str">
        <f t="shared" si="2"/>
        <v/>
      </c>
      <c r="AZ2111" s="82"/>
      <c r="BA2111" s="84" t="s">
        <v>152</v>
      </c>
      <c r="BB2111" s="84" t="str">
        <f>IFERROR(__xludf.DUMMYFUNCTION("iferror(if(A2111="""",,E2111&gt;=FILTER(Constants!$F$2:$F$10,Constants!$A$2:$A$10=A2111)))"),"")</f>
        <v/>
      </c>
    </row>
    <row r="2112">
      <c r="A2112" s="87"/>
      <c r="B2112" s="87"/>
      <c r="C2112" s="73"/>
      <c r="D2112" s="73"/>
      <c r="E2112" s="82"/>
      <c r="F2112" s="82"/>
      <c r="G2112" s="86"/>
      <c r="H2112" s="86"/>
      <c r="I2112" s="86"/>
      <c r="J2112" s="82"/>
      <c r="K2112" s="82"/>
      <c r="L2112" s="82"/>
      <c r="M2112" s="82"/>
      <c r="N2112" s="82"/>
      <c r="O2112" s="82"/>
      <c r="P2112" s="82"/>
      <c r="Q2112" s="82"/>
      <c r="R2112" s="82"/>
      <c r="S2112" s="82"/>
      <c r="T2112" s="82"/>
      <c r="U2112" s="82"/>
      <c r="V2112" s="82"/>
      <c r="W2112" s="82"/>
      <c r="X2112" s="82"/>
      <c r="Y2112" s="82"/>
      <c r="Z2112" s="82"/>
      <c r="AA2112" s="82"/>
      <c r="AB2112" s="82"/>
      <c r="AC2112" s="82"/>
      <c r="AD2112" s="82"/>
      <c r="AE2112" s="82"/>
      <c r="AF2112" s="82"/>
      <c r="AG2112" s="82"/>
      <c r="AH2112" s="82"/>
      <c r="AI2112" s="82"/>
      <c r="AJ2112" s="82"/>
      <c r="AK2112" s="82"/>
      <c r="AL2112" s="82"/>
      <c r="AM2112" s="82"/>
      <c r="AN2112" s="82"/>
      <c r="AO2112" s="82"/>
      <c r="AP2112" s="82"/>
      <c r="AQ2112" s="82"/>
      <c r="AR2112" s="82"/>
      <c r="AS2112" s="82"/>
      <c r="AT2112" s="82"/>
      <c r="AU2112" s="82"/>
      <c r="AV2112" s="82"/>
      <c r="AW2112" s="82" t="str">
        <f t="shared" si="1"/>
        <v/>
      </c>
      <c r="AX2112" s="83" t="str">
        <f t="array" ref="AX2112">IFERROR(DGET('SBV Import'!A:G,"SBV",{"RSC ID","Tier";B2112,A2112}))</f>
        <v/>
      </c>
      <c r="AY2112" s="82" t="str">
        <f t="shared" si="2"/>
        <v/>
      </c>
      <c r="AZ2112" s="82"/>
      <c r="BA2112" s="84" t="s">
        <v>152</v>
      </c>
      <c r="BB2112" s="84" t="str">
        <f>IFERROR(__xludf.DUMMYFUNCTION("iferror(if(A2112="""",,E2112&gt;=FILTER(Constants!$F$2:$F$10,Constants!$A$2:$A$10=A2112)))"),"")</f>
        <v/>
      </c>
    </row>
    <row r="2113">
      <c r="A2113" s="87"/>
      <c r="B2113" s="87"/>
      <c r="C2113" s="73"/>
      <c r="D2113" s="73"/>
      <c r="E2113" s="82"/>
      <c r="F2113" s="82"/>
      <c r="G2113" s="86"/>
      <c r="H2113" s="86"/>
      <c r="I2113" s="86"/>
      <c r="J2113" s="82"/>
      <c r="K2113" s="82"/>
      <c r="L2113" s="82"/>
      <c r="M2113" s="82"/>
      <c r="N2113" s="82"/>
      <c r="O2113" s="82"/>
      <c r="P2113" s="82"/>
      <c r="Q2113" s="82"/>
      <c r="R2113" s="82"/>
      <c r="S2113" s="82"/>
      <c r="T2113" s="82"/>
      <c r="U2113" s="82"/>
      <c r="V2113" s="82"/>
      <c r="W2113" s="82"/>
      <c r="X2113" s="82"/>
      <c r="Y2113" s="82"/>
      <c r="Z2113" s="82"/>
      <c r="AA2113" s="82"/>
      <c r="AB2113" s="82"/>
      <c r="AC2113" s="82"/>
      <c r="AD2113" s="82"/>
      <c r="AE2113" s="82"/>
      <c r="AF2113" s="82"/>
      <c r="AG2113" s="82"/>
      <c r="AH2113" s="82"/>
      <c r="AI2113" s="82"/>
      <c r="AJ2113" s="82"/>
      <c r="AK2113" s="82"/>
      <c r="AL2113" s="82"/>
      <c r="AM2113" s="82"/>
      <c r="AN2113" s="82"/>
      <c r="AO2113" s="82"/>
      <c r="AP2113" s="82"/>
      <c r="AQ2113" s="82"/>
      <c r="AR2113" s="82"/>
      <c r="AS2113" s="82"/>
      <c r="AT2113" s="82"/>
      <c r="AU2113" s="82"/>
      <c r="AV2113" s="82"/>
      <c r="AW2113" s="82" t="str">
        <f t="shared" si="1"/>
        <v/>
      </c>
      <c r="AX2113" s="83" t="str">
        <f t="array" ref="AX2113">IFERROR(DGET('SBV Import'!A:G,"SBV",{"RSC ID","Tier";B2113,A2113}))</f>
        <v/>
      </c>
      <c r="AY2113" s="82" t="str">
        <f t="shared" si="2"/>
        <v/>
      </c>
      <c r="AZ2113" s="82"/>
      <c r="BA2113" s="84" t="s">
        <v>152</v>
      </c>
      <c r="BB2113" s="84" t="str">
        <f>IFERROR(__xludf.DUMMYFUNCTION("iferror(if(A2113="""",,E2113&gt;=FILTER(Constants!$F$2:$F$10,Constants!$A$2:$A$10=A2113)))"),"")</f>
        <v/>
      </c>
    </row>
    <row r="2114">
      <c r="A2114" s="87"/>
      <c r="B2114" s="87"/>
      <c r="C2114" s="73"/>
      <c r="D2114" s="73"/>
      <c r="E2114" s="82"/>
      <c r="F2114" s="82"/>
      <c r="G2114" s="86"/>
      <c r="H2114" s="86"/>
      <c r="I2114" s="86"/>
      <c r="J2114" s="82"/>
      <c r="K2114" s="82"/>
      <c r="L2114" s="82"/>
      <c r="M2114" s="82"/>
      <c r="N2114" s="82"/>
      <c r="O2114" s="82"/>
      <c r="P2114" s="82"/>
      <c r="Q2114" s="82"/>
      <c r="R2114" s="82"/>
      <c r="S2114" s="82"/>
      <c r="T2114" s="82"/>
      <c r="U2114" s="82"/>
      <c r="V2114" s="82"/>
      <c r="W2114" s="82"/>
      <c r="X2114" s="82"/>
      <c r="Y2114" s="82"/>
      <c r="Z2114" s="82"/>
      <c r="AA2114" s="82"/>
      <c r="AB2114" s="82"/>
      <c r="AC2114" s="82"/>
      <c r="AD2114" s="82"/>
      <c r="AE2114" s="82"/>
      <c r="AF2114" s="82"/>
      <c r="AG2114" s="82"/>
      <c r="AH2114" s="82"/>
      <c r="AI2114" s="82"/>
      <c r="AJ2114" s="82"/>
      <c r="AK2114" s="82"/>
      <c r="AL2114" s="82"/>
      <c r="AM2114" s="82"/>
      <c r="AN2114" s="82"/>
      <c r="AO2114" s="82"/>
      <c r="AP2114" s="82"/>
      <c r="AQ2114" s="82"/>
      <c r="AR2114" s="82"/>
      <c r="AS2114" s="82"/>
      <c r="AT2114" s="82"/>
      <c r="AU2114" s="82"/>
      <c r="AV2114" s="82"/>
      <c r="AW2114" s="82" t="str">
        <f t="shared" si="1"/>
        <v/>
      </c>
      <c r="AX2114" s="83" t="str">
        <f t="array" ref="AX2114">IFERROR(DGET('SBV Import'!A:G,"SBV",{"RSC ID","Tier";B2114,A2114}))</f>
        <v/>
      </c>
      <c r="AY2114" s="82" t="str">
        <f t="shared" si="2"/>
        <v/>
      </c>
      <c r="AZ2114" s="82"/>
      <c r="BA2114" s="84" t="s">
        <v>152</v>
      </c>
      <c r="BB2114" s="84" t="str">
        <f>IFERROR(__xludf.DUMMYFUNCTION("iferror(if(A2114="""",,E2114&gt;=FILTER(Constants!$F$2:$F$10,Constants!$A$2:$A$10=A2114)))"),"")</f>
        <v/>
      </c>
    </row>
    <row r="2115">
      <c r="A2115" s="87"/>
      <c r="B2115" s="87"/>
      <c r="C2115" s="73"/>
      <c r="D2115" s="73"/>
      <c r="E2115" s="82"/>
      <c r="F2115" s="82"/>
      <c r="G2115" s="86"/>
      <c r="H2115" s="86"/>
      <c r="I2115" s="86"/>
      <c r="J2115" s="82"/>
      <c r="K2115" s="82"/>
      <c r="L2115" s="82"/>
      <c r="M2115" s="82"/>
      <c r="N2115" s="82"/>
      <c r="O2115" s="82"/>
      <c r="P2115" s="82"/>
      <c r="Q2115" s="82"/>
      <c r="R2115" s="82"/>
      <c r="S2115" s="82"/>
      <c r="T2115" s="82"/>
      <c r="U2115" s="82"/>
      <c r="V2115" s="82"/>
      <c r="W2115" s="82"/>
      <c r="X2115" s="82"/>
      <c r="Y2115" s="82"/>
      <c r="Z2115" s="82"/>
      <c r="AA2115" s="82"/>
      <c r="AB2115" s="82"/>
      <c r="AC2115" s="82"/>
      <c r="AD2115" s="82"/>
      <c r="AE2115" s="82"/>
      <c r="AF2115" s="82"/>
      <c r="AG2115" s="82"/>
      <c r="AH2115" s="82"/>
      <c r="AI2115" s="82"/>
      <c r="AJ2115" s="82"/>
      <c r="AK2115" s="82"/>
      <c r="AL2115" s="82"/>
      <c r="AM2115" s="82"/>
      <c r="AN2115" s="82"/>
      <c r="AO2115" s="82"/>
      <c r="AP2115" s="82"/>
      <c r="AQ2115" s="82"/>
      <c r="AR2115" s="82"/>
      <c r="AS2115" s="82"/>
      <c r="AT2115" s="82"/>
      <c r="AU2115" s="82"/>
      <c r="AV2115" s="82"/>
      <c r="AW2115" s="82" t="str">
        <f t="shared" si="1"/>
        <v/>
      </c>
      <c r="AX2115" s="83" t="str">
        <f t="array" ref="AX2115">IFERROR(DGET('SBV Import'!A:G,"SBV",{"RSC ID","Tier";B2115,A2115}))</f>
        <v/>
      </c>
      <c r="AY2115" s="82" t="str">
        <f t="shared" si="2"/>
        <v/>
      </c>
      <c r="AZ2115" s="82"/>
      <c r="BA2115" s="84" t="s">
        <v>152</v>
      </c>
      <c r="BB2115" s="84" t="str">
        <f>IFERROR(__xludf.DUMMYFUNCTION("iferror(if(A2115="""",,E2115&gt;=FILTER(Constants!$F$2:$F$10,Constants!$A$2:$A$10=A2115)))"),"")</f>
        <v/>
      </c>
    </row>
    <row r="2116">
      <c r="A2116" s="87"/>
      <c r="B2116" s="87"/>
      <c r="C2116" s="73"/>
      <c r="D2116" s="73"/>
      <c r="E2116" s="82"/>
      <c r="F2116" s="82"/>
      <c r="G2116" s="86"/>
      <c r="H2116" s="86"/>
      <c r="I2116" s="86"/>
      <c r="J2116" s="82"/>
      <c r="K2116" s="82"/>
      <c r="L2116" s="82"/>
      <c r="M2116" s="82"/>
      <c r="N2116" s="82"/>
      <c r="O2116" s="82"/>
      <c r="P2116" s="82"/>
      <c r="Q2116" s="82"/>
      <c r="R2116" s="82"/>
      <c r="S2116" s="82"/>
      <c r="T2116" s="82"/>
      <c r="U2116" s="82"/>
      <c r="V2116" s="82"/>
      <c r="W2116" s="82"/>
      <c r="X2116" s="82"/>
      <c r="Y2116" s="82"/>
      <c r="Z2116" s="82"/>
      <c r="AA2116" s="82"/>
      <c r="AB2116" s="82"/>
      <c r="AC2116" s="82"/>
      <c r="AD2116" s="82"/>
      <c r="AE2116" s="82"/>
      <c r="AF2116" s="82"/>
      <c r="AG2116" s="82"/>
      <c r="AH2116" s="82"/>
      <c r="AI2116" s="82"/>
      <c r="AJ2116" s="82"/>
      <c r="AK2116" s="82"/>
      <c r="AL2116" s="82"/>
      <c r="AM2116" s="82"/>
      <c r="AN2116" s="82"/>
      <c r="AO2116" s="82"/>
      <c r="AP2116" s="82"/>
      <c r="AQ2116" s="82"/>
      <c r="AR2116" s="82"/>
      <c r="AS2116" s="82"/>
      <c r="AT2116" s="82"/>
      <c r="AU2116" s="82"/>
      <c r="AV2116" s="82"/>
      <c r="AW2116" s="82" t="str">
        <f t="shared" si="1"/>
        <v/>
      </c>
      <c r="AX2116" s="83" t="str">
        <f t="array" ref="AX2116">IFERROR(DGET('SBV Import'!A:G,"SBV",{"RSC ID","Tier";B2116,A2116}))</f>
        <v/>
      </c>
      <c r="AY2116" s="82" t="str">
        <f t="shared" si="2"/>
        <v/>
      </c>
      <c r="AZ2116" s="82"/>
      <c r="BA2116" s="84" t="s">
        <v>152</v>
      </c>
      <c r="BB2116" s="84" t="str">
        <f>IFERROR(__xludf.DUMMYFUNCTION("iferror(if(A2116="""",,E2116&gt;=FILTER(Constants!$F$2:$F$10,Constants!$A$2:$A$10=A2116)))"),"")</f>
        <v/>
      </c>
    </row>
    <row r="2117">
      <c r="A2117" s="87"/>
      <c r="B2117" s="87"/>
      <c r="C2117" s="73"/>
      <c r="D2117" s="73"/>
      <c r="E2117" s="82"/>
      <c r="F2117" s="82"/>
      <c r="G2117" s="86"/>
      <c r="H2117" s="86"/>
      <c r="I2117" s="86"/>
      <c r="J2117" s="82"/>
      <c r="K2117" s="82"/>
      <c r="L2117" s="82"/>
      <c r="M2117" s="82"/>
      <c r="N2117" s="82"/>
      <c r="O2117" s="82"/>
      <c r="P2117" s="82"/>
      <c r="Q2117" s="82"/>
      <c r="R2117" s="82"/>
      <c r="S2117" s="82"/>
      <c r="T2117" s="82"/>
      <c r="U2117" s="82"/>
      <c r="V2117" s="82"/>
      <c r="W2117" s="82"/>
      <c r="X2117" s="82"/>
      <c r="Y2117" s="82"/>
      <c r="Z2117" s="82"/>
      <c r="AA2117" s="82"/>
      <c r="AB2117" s="82"/>
      <c r="AC2117" s="82"/>
      <c r="AD2117" s="82"/>
      <c r="AE2117" s="82"/>
      <c r="AF2117" s="82"/>
      <c r="AG2117" s="82"/>
      <c r="AH2117" s="82"/>
      <c r="AI2117" s="82"/>
      <c r="AJ2117" s="82"/>
      <c r="AK2117" s="82"/>
      <c r="AL2117" s="82"/>
      <c r="AM2117" s="82"/>
      <c r="AN2117" s="82"/>
      <c r="AO2117" s="82"/>
      <c r="AP2117" s="82"/>
      <c r="AQ2117" s="82"/>
      <c r="AR2117" s="82"/>
      <c r="AS2117" s="82"/>
      <c r="AT2117" s="82"/>
      <c r="AU2117" s="82"/>
      <c r="AV2117" s="82"/>
      <c r="AW2117" s="82" t="str">
        <f t="shared" si="1"/>
        <v/>
      </c>
      <c r="AX2117" s="83" t="str">
        <f t="array" ref="AX2117">IFERROR(DGET('SBV Import'!A:G,"SBV",{"RSC ID","Tier";B2117,A2117}))</f>
        <v/>
      </c>
      <c r="AY2117" s="82" t="str">
        <f t="shared" si="2"/>
        <v/>
      </c>
      <c r="AZ2117" s="82"/>
      <c r="BA2117" s="84" t="s">
        <v>152</v>
      </c>
      <c r="BB2117" s="84" t="str">
        <f>IFERROR(__xludf.DUMMYFUNCTION("iferror(if(A2117="""",,E2117&gt;=FILTER(Constants!$F$2:$F$10,Constants!$A$2:$A$10=A2117)))"),"")</f>
        <v/>
      </c>
    </row>
    <row r="2118">
      <c r="A2118" s="87"/>
      <c r="B2118" s="87"/>
      <c r="C2118" s="73"/>
      <c r="D2118" s="73"/>
      <c r="E2118" s="82"/>
      <c r="F2118" s="82"/>
      <c r="G2118" s="86"/>
      <c r="H2118" s="86"/>
      <c r="I2118" s="86"/>
      <c r="J2118" s="82"/>
      <c r="K2118" s="82"/>
      <c r="L2118" s="82"/>
      <c r="M2118" s="82"/>
      <c r="N2118" s="82"/>
      <c r="O2118" s="82"/>
      <c r="P2118" s="82"/>
      <c r="Q2118" s="82"/>
      <c r="R2118" s="82"/>
      <c r="S2118" s="82"/>
      <c r="T2118" s="82"/>
      <c r="U2118" s="82"/>
      <c r="V2118" s="82"/>
      <c r="W2118" s="82"/>
      <c r="X2118" s="82"/>
      <c r="Y2118" s="82"/>
      <c r="Z2118" s="82"/>
      <c r="AA2118" s="82"/>
      <c r="AB2118" s="82"/>
      <c r="AC2118" s="82"/>
      <c r="AD2118" s="82"/>
      <c r="AE2118" s="82"/>
      <c r="AF2118" s="82"/>
      <c r="AG2118" s="82"/>
      <c r="AH2118" s="82"/>
      <c r="AI2118" s="82"/>
      <c r="AJ2118" s="82"/>
      <c r="AK2118" s="82"/>
      <c r="AL2118" s="82"/>
      <c r="AM2118" s="82"/>
      <c r="AN2118" s="82"/>
      <c r="AO2118" s="82"/>
      <c r="AP2118" s="82"/>
      <c r="AQ2118" s="82"/>
      <c r="AR2118" s="82"/>
      <c r="AS2118" s="82"/>
      <c r="AT2118" s="82"/>
      <c r="AU2118" s="82"/>
      <c r="AV2118" s="82"/>
      <c r="AW2118" s="82" t="str">
        <f t="shared" si="1"/>
        <v/>
      </c>
      <c r="AX2118" s="83" t="str">
        <f t="array" ref="AX2118">IFERROR(DGET('SBV Import'!A:G,"SBV",{"RSC ID","Tier";B2118,A2118}))</f>
        <v/>
      </c>
      <c r="AY2118" s="82" t="str">
        <f t="shared" si="2"/>
        <v/>
      </c>
      <c r="AZ2118" s="82"/>
      <c r="BA2118" s="84" t="s">
        <v>152</v>
      </c>
      <c r="BB2118" s="84" t="str">
        <f>IFERROR(__xludf.DUMMYFUNCTION("iferror(if(A2118="""",,E2118&gt;=FILTER(Constants!$F$2:$F$10,Constants!$A$2:$A$10=A2118)))"),"")</f>
        <v/>
      </c>
    </row>
    <row r="2119">
      <c r="A2119" s="87"/>
      <c r="B2119" s="87"/>
      <c r="C2119" s="73"/>
      <c r="D2119" s="73"/>
      <c r="E2119" s="82"/>
      <c r="F2119" s="82"/>
      <c r="G2119" s="86"/>
      <c r="H2119" s="86"/>
      <c r="I2119" s="86"/>
      <c r="J2119" s="82"/>
      <c r="K2119" s="82"/>
      <c r="L2119" s="82"/>
      <c r="M2119" s="82"/>
      <c r="N2119" s="82"/>
      <c r="O2119" s="82"/>
      <c r="P2119" s="82"/>
      <c r="Q2119" s="82"/>
      <c r="R2119" s="82"/>
      <c r="S2119" s="82"/>
      <c r="T2119" s="82"/>
      <c r="U2119" s="82"/>
      <c r="V2119" s="82"/>
      <c r="W2119" s="82"/>
      <c r="X2119" s="82"/>
      <c r="Y2119" s="82"/>
      <c r="Z2119" s="82"/>
      <c r="AA2119" s="82"/>
      <c r="AB2119" s="82"/>
      <c r="AC2119" s="82"/>
      <c r="AD2119" s="82"/>
      <c r="AE2119" s="82"/>
      <c r="AF2119" s="82"/>
      <c r="AG2119" s="82"/>
      <c r="AH2119" s="82"/>
      <c r="AI2119" s="82"/>
      <c r="AJ2119" s="82"/>
      <c r="AK2119" s="82"/>
      <c r="AL2119" s="82"/>
      <c r="AM2119" s="82"/>
      <c r="AN2119" s="82"/>
      <c r="AO2119" s="82"/>
      <c r="AP2119" s="82"/>
      <c r="AQ2119" s="82"/>
      <c r="AR2119" s="82"/>
      <c r="AS2119" s="82"/>
      <c r="AT2119" s="82"/>
      <c r="AU2119" s="82"/>
      <c r="AV2119" s="82"/>
      <c r="AW2119" s="82" t="str">
        <f t="shared" si="1"/>
        <v/>
      </c>
      <c r="AX2119" s="83" t="str">
        <f t="array" ref="AX2119">IFERROR(DGET('SBV Import'!A:G,"SBV",{"RSC ID","Tier";B2119,A2119}))</f>
        <v/>
      </c>
      <c r="AY2119" s="82" t="str">
        <f t="shared" si="2"/>
        <v/>
      </c>
      <c r="AZ2119" s="82"/>
      <c r="BA2119" s="84" t="s">
        <v>152</v>
      </c>
      <c r="BB2119" s="84" t="str">
        <f>IFERROR(__xludf.DUMMYFUNCTION("iferror(if(A2119="""",,E2119&gt;=FILTER(Constants!$F$2:$F$10,Constants!$A$2:$A$10=A2119)))"),"")</f>
        <v/>
      </c>
    </row>
    <row r="2120">
      <c r="A2120" s="87"/>
      <c r="B2120" s="87"/>
      <c r="C2120" s="73"/>
      <c r="D2120" s="73"/>
      <c r="E2120" s="82"/>
      <c r="F2120" s="82"/>
      <c r="G2120" s="86"/>
      <c r="H2120" s="86"/>
      <c r="I2120" s="86"/>
      <c r="J2120" s="82"/>
      <c r="K2120" s="82"/>
      <c r="L2120" s="82"/>
      <c r="M2120" s="82"/>
      <c r="N2120" s="82"/>
      <c r="O2120" s="82"/>
      <c r="P2120" s="82"/>
      <c r="Q2120" s="82"/>
      <c r="R2120" s="82"/>
      <c r="S2120" s="82"/>
      <c r="T2120" s="82"/>
      <c r="U2120" s="82"/>
      <c r="V2120" s="82"/>
      <c r="W2120" s="82"/>
      <c r="X2120" s="82"/>
      <c r="Y2120" s="82"/>
      <c r="Z2120" s="82"/>
      <c r="AA2120" s="82"/>
      <c r="AB2120" s="82"/>
      <c r="AC2120" s="82"/>
      <c r="AD2120" s="82"/>
      <c r="AE2120" s="82"/>
      <c r="AF2120" s="82"/>
      <c r="AG2120" s="82"/>
      <c r="AH2120" s="82"/>
      <c r="AI2120" s="82"/>
      <c r="AJ2120" s="82"/>
      <c r="AK2120" s="82"/>
      <c r="AL2120" s="82"/>
      <c r="AM2120" s="82"/>
      <c r="AN2120" s="82"/>
      <c r="AO2120" s="82"/>
      <c r="AP2120" s="82"/>
      <c r="AQ2120" s="82"/>
      <c r="AR2120" s="82"/>
      <c r="AS2120" s="82"/>
      <c r="AT2120" s="82"/>
      <c r="AU2120" s="82"/>
      <c r="AV2120" s="82"/>
      <c r="AW2120" s="82" t="str">
        <f t="shared" si="1"/>
        <v/>
      </c>
      <c r="AX2120" s="83" t="str">
        <f t="array" ref="AX2120">IFERROR(DGET('SBV Import'!A:G,"SBV",{"RSC ID","Tier";B2120,A2120}))</f>
        <v/>
      </c>
      <c r="AY2120" s="82" t="str">
        <f t="shared" si="2"/>
        <v/>
      </c>
      <c r="AZ2120" s="82"/>
      <c r="BA2120" s="84" t="s">
        <v>152</v>
      </c>
      <c r="BB2120" s="84" t="str">
        <f>IFERROR(__xludf.DUMMYFUNCTION("iferror(if(A2120="""",,E2120&gt;=FILTER(Constants!$F$2:$F$10,Constants!$A$2:$A$10=A2120)))"),"")</f>
        <v/>
      </c>
    </row>
    <row r="2121">
      <c r="A2121" s="87"/>
      <c r="B2121" s="87"/>
      <c r="C2121" s="73"/>
      <c r="D2121" s="73"/>
      <c r="E2121" s="82"/>
      <c r="F2121" s="82"/>
      <c r="G2121" s="86"/>
      <c r="H2121" s="86"/>
      <c r="I2121" s="86"/>
      <c r="J2121" s="82"/>
      <c r="K2121" s="82"/>
      <c r="L2121" s="82"/>
      <c r="M2121" s="82"/>
      <c r="N2121" s="82"/>
      <c r="O2121" s="82"/>
      <c r="P2121" s="82"/>
      <c r="Q2121" s="82"/>
      <c r="R2121" s="82"/>
      <c r="S2121" s="82"/>
      <c r="T2121" s="82"/>
      <c r="U2121" s="82"/>
      <c r="V2121" s="82"/>
      <c r="W2121" s="82"/>
      <c r="X2121" s="82"/>
      <c r="Y2121" s="82"/>
      <c r="Z2121" s="82"/>
      <c r="AA2121" s="82"/>
      <c r="AB2121" s="82"/>
      <c r="AC2121" s="82"/>
      <c r="AD2121" s="82"/>
      <c r="AE2121" s="82"/>
      <c r="AF2121" s="82"/>
      <c r="AG2121" s="82"/>
      <c r="AH2121" s="82"/>
      <c r="AI2121" s="82"/>
      <c r="AJ2121" s="82"/>
      <c r="AK2121" s="82"/>
      <c r="AL2121" s="82"/>
      <c r="AM2121" s="82"/>
      <c r="AN2121" s="82"/>
      <c r="AO2121" s="82"/>
      <c r="AP2121" s="82"/>
      <c r="AQ2121" s="82"/>
      <c r="AR2121" s="82"/>
      <c r="AS2121" s="82"/>
      <c r="AT2121" s="82"/>
      <c r="AU2121" s="82"/>
      <c r="AV2121" s="82"/>
      <c r="AW2121" s="82" t="str">
        <f t="shared" si="1"/>
        <v/>
      </c>
      <c r="AX2121" s="83" t="str">
        <f t="array" ref="AX2121">IFERROR(DGET('SBV Import'!A:G,"SBV",{"RSC ID","Tier";B2121,A2121}))</f>
        <v/>
      </c>
      <c r="AY2121" s="82" t="str">
        <f t="shared" si="2"/>
        <v/>
      </c>
      <c r="AZ2121" s="82"/>
      <c r="BA2121" s="84" t="s">
        <v>152</v>
      </c>
      <c r="BB2121" s="84" t="str">
        <f>IFERROR(__xludf.DUMMYFUNCTION("iferror(if(A2121="""",,E2121&gt;=FILTER(Constants!$F$2:$F$10,Constants!$A$2:$A$10=A2121)))"),"")</f>
        <v/>
      </c>
    </row>
    <row r="2122">
      <c r="A2122" s="87"/>
      <c r="B2122" s="87"/>
      <c r="C2122" s="73"/>
      <c r="D2122" s="73"/>
      <c r="E2122" s="82"/>
      <c r="F2122" s="82"/>
      <c r="G2122" s="86"/>
      <c r="H2122" s="86"/>
      <c r="I2122" s="86"/>
      <c r="J2122" s="82"/>
      <c r="K2122" s="82"/>
      <c r="L2122" s="82"/>
      <c r="M2122" s="82"/>
      <c r="N2122" s="82"/>
      <c r="O2122" s="82"/>
      <c r="P2122" s="82"/>
      <c r="Q2122" s="82"/>
      <c r="R2122" s="82"/>
      <c r="S2122" s="82"/>
      <c r="T2122" s="82"/>
      <c r="U2122" s="82"/>
      <c r="V2122" s="82"/>
      <c r="W2122" s="82"/>
      <c r="X2122" s="82"/>
      <c r="Y2122" s="82"/>
      <c r="Z2122" s="82"/>
      <c r="AA2122" s="82"/>
      <c r="AB2122" s="82"/>
      <c r="AC2122" s="82"/>
      <c r="AD2122" s="82"/>
      <c r="AE2122" s="82"/>
      <c r="AF2122" s="82"/>
      <c r="AG2122" s="82"/>
      <c r="AH2122" s="82"/>
      <c r="AI2122" s="82"/>
      <c r="AJ2122" s="82"/>
      <c r="AK2122" s="82"/>
      <c r="AL2122" s="82"/>
      <c r="AM2122" s="82"/>
      <c r="AN2122" s="82"/>
      <c r="AO2122" s="82"/>
      <c r="AP2122" s="82"/>
      <c r="AQ2122" s="82"/>
      <c r="AR2122" s="82"/>
      <c r="AS2122" s="82"/>
      <c r="AT2122" s="82"/>
      <c r="AU2122" s="82"/>
      <c r="AV2122" s="82"/>
      <c r="AW2122" s="82" t="str">
        <f t="shared" si="1"/>
        <v/>
      </c>
      <c r="AX2122" s="83" t="str">
        <f t="array" ref="AX2122">IFERROR(DGET('SBV Import'!A:G,"SBV",{"RSC ID","Tier";B2122,A2122}))</f>
        <v/>
      </c>
      <c r="AY2122" s="82" t="str">
        <f t="shared" si="2"/>
        <v/>
      </c>
      <c r="AZ2122" s="82"/>
      <c r="BA2122" s="84" t="s">
        <v>152</v>
      </c>
      <c r="BB2122" s="84" t="str">
        <f>IFERROR(__xludf.DUMMYFUNCTION("iferror(if(A2122="""",,E2122&gt;=FILTER(Constants!$F$2:$F$10,Constants!$A$2:$A$10=A2122)))"),"")</f>
        <v/>
      </c>
    </row>
    <row r="2123">
      <c r="A2123" s="87"/>
      <c r="B2123" s="87"/>
      <c r="C2123" s="73"/>
      <c r="D2123" s="73"/>
      <c r="E2123" s="82"/>
      <c r="F2123" s="82"/>
      <c r="G2123" s="86"/>
      <c r="H2123" s="86"/>
      <c r="I2123" s="86"/>
      <c r="J2123" s="82"/>
      <c r="K2123" s="82"/>
      <c r="L2123" s="82"/>
      <c r="M2123" s="82"/>
      <c r="N2123" s="82"/>
      <c r="O2123" s="82"/>
      <c r="P2123" s="82"/>
      <c r="Q2123" s="82"/>
      <c r="R2123" s="82"/>
      <c r="S2123" s="82"/>
      <c r="T2123" s="82"/>
      <c r="U2123" s="82"/>
      <c r="V2123" s="82"/>
      <c r="W2123" s="82"/>
      <c r="X2123" s="82"/>
      <c r="Y2123" s="82"/>
      <c r="Z2123" s="82"/>
      <c r="AA2123" s="82"/>
      <c r="AB2123" s="82"/>
      <c r="AC2123" s="82"/>
      <c r="AD2123" s="82"/>
      <c r="AE2123" s="82"/>
      <c r="AF2123" s="82"/>
      <c r="AG2123" s="82"/>
      <c r="AH2123" s="82"/>
      <c r="AI2123" s="82"/>
      <c r="AJ2123" s="82"/>
      <c r="AK2123" s="82"/>
      <c r="AL2123" s="82"/>
      <c r="AM2123" s="82"/>
      <c r="AN2123" s="82"/>
      <c r="AO2123" s="82"/>
      <c r="AP2123" s="82"/>
      <c r="AQ2123" s="82"/>
      <c r="AR2123" s="82"/>
      <c r="AS2123" s="82"/>
      <c r="AT2123" s="82"/>
      <c r="AU2123" s="82"/>
      <c r="AV2123" s="82"/>
      <c r="AW2123" s="82" t="str">
        <f t="shared" si="1"/>
        <v/>
      </c>
      <c r="AX2123" s="83" t="str">
        <f t="array" ref="AX2123">IFERROR(DGET('SBV Import'!A:G,"SBV",{"RSC ID","Tier";B2123,A2123}))</f>
        <v/>
      </c>
      <c r="AY2123" s="82" t="str">
        <f t="shared" si="2"/>
        <v/>
      </c>
      <c r="AZ2123" s="82"/>
      <c r="BA2123" s="84" t="s">
        <v>152</v>
      </c>
      <c r="BB2123" s="84" t="str">
        <f>IFERROR(__xludf.DUMMYFUNCTION("iferror(if(A2123="""",,E2123&gt;=FILTER(Constants!$F$2:$F$10,Constants!$A$2:$A$10=A2123)))"),"")</f>
        <v/>
      </c>
    </row>
    <row r="2124">
      <c r="A2124" s="87"/>
      <c r="B2124" s="87"/>
      <c r="C2124" s="73"/>
      <c r="D2124" s="73"/>
      <c r="E2124" s="82"/>
      <c r="F2124" s="82"/>
      <c r="G2124" s="86"/>
      <c r="H2124" s="86"/>
      <c r="I2124" s="86"/>
      <c r="J2124" s="82"/>
      <c r="K2124" s="82"/>
      <c r="L2124" s="82"/>
      <c r="M2124" s="82"/>
      <c r="N2124" s="82"/>
      <c r="O2124" s="82"/>
      <c r="P2124" s="82"/>
      <c r="Q2124" s="82"/>
      <c r="R2124" s="82"/>
      <c r="S2124" s="82"/>
      <c r="T2124" s="82"/>
      <c r="U2124" s="82"/>
      <c r="V2124" s="82"/>
      <c r="W2124" s="82"/>
      <c r="X2124" s="82"/>
      <c r="Y2124" s="82"/>
      <c r="Z2124" s="82"/>
      <c r="AA2124" s="82"/>
      <c r="AB2124" s="82"/>
      <c r="AC2124" s="82"/>
      <c r="AD2124" s="82"/>
      <c r="AE2124" s="82"/>
      <c r="AF2124" s="82"/>
      <c r="AG2124" s="82"/>
      <c r="AH2124" s="82"/>
      <c r="AI2124" s="82"/>
      <c r="AJ2124" s="82"/>
      <c r="AK2124" s="82"/>
      <c r="AL2124" s="82"/>
      <c r="AM2124" s="82"/>
      <c r="AN2124" s="82"/>
      <c r="AO2124" s="82"/>
      <c r="AP2124" s="82"/>
      <c r="AQ2124" s="82"/>
      <c r="AR2124" s="82"/>
      <c r="AS2124" s="82"/>
      <c r="AT2124" s="82"/>
      <c r="AU2124" s="82"/>
      <c r="AV2124" s="82"/>
      <c r="AW2124" s="82" t="str">
        <f t="shared" si="1"/>
        <v/>
      </c>
      <c r="AX2124" s="83" t="str">
        <f t="array" ref="AX2124">IFERROR(DGET('SBV Import'!A:G,"SBV",{"RSC ID","Tier";B2124,A2124}))</f>
        <v/>
      </c>
      <c r="AY2124" s="82" t="str">
        <f t="shared" si="2"/>
        <v/>
      </c>
      <c r="AZ2124" s="82"/>
      <c r="BA2124" s="84" t="s">
        <v>152</v>
      </c>
      <c r="BB2124" s="84" t="str">
        <f>IFERROR(__xludf.DUMMYFUNCTION("iferror(if(A2124="""",,E2124&gt;=FILTER(Constants!$F$2:$F$10,Constants!$A$2:$A$10=A2124)))"),"")</f>
        <v/>
      </c>
    </row>
    <row r="2125">
      <c r="A2125" s="87"/>
      <c r="B2125" s="87"/>
      <c r="C2125" s="73"/>
      <c r="D2125" s="73"/>
      <c r="E2125" s="82"/>
      <c r="F2125" s="82"/>
      <c r="G2125" s="86"/>
      <c r="H2125" s="86"/>
      <c r="I2125" s="86"/>
      <c r="J2125" s="82"/>
      <c r="K2125" s="82"/>
      <c r="L2125" s="82"/>
      <c r="M2125" s="82"/>
      <c r="N2125" s="82"/>
      <c r="O2125" s="82"/>
      <c r="P2125" s="82"/>
      <c r="Q2125" s="82"/>
      <c r="R2125" s="82"/>
      <c r="S2125" s="82"/>
      <c r="T2125" s="82"/>
      <c r="U2125" s="82"/>
      <c r="V2125" s="82"/>
      <c r="W2125" s="82"/>
      <c r="X2125" s="82"/>
      <c r="Y2125" s="82"/>
      <c r="Z2125" s="82"/>
      <c r="AA2125" s="82"/>
      <c r="AB2125" s="82"/>
      <c r="AC2125" s="82"/>
      <c r="AD2125" s="82"/>
      <c r="AE2125" s="82"/>
      <c r="AF2125" s="82"/>
      <c r="AG2125" s="82"/>
      <c r="AH2125" s="82"/>
      <c r="AI2125" s="82"/>
      <c r="AJ2125" s="82"/>
      <c r="AK2125" s="82"/>
      <c r="AL2125" s="82"/>
      <c r="AM2125" s="82"/>
      <c r="AN2125" s="82"/>
      <c r="AO2125" s="82"/>
      <c r="AP2125" s="82"/>
      <c r="AQ2125" s="82"/>
      <c r="AR2125" s="82"/>
      <c r="AS2125" s="82"/>
      <c r="AT2125" s="82"/>
      <c r="AU2125" s="82"/>
      <c r="AV2125" s="82"/>
      <c r="AW2125" s="82" t="str">
        <f t="shared" si="1"/>
        <v/>
      </c>
      <c r="AX2125" s="83" t="str">
        <f t="array" ref="AX2125">IFERROR(DGET('SBV Import'!A:G,"SBV",{"RSC ID","Tier";B2125,A2125}))</f>
        <v/>
      </c>
      <c r="AY2125" s="82" t="str">
        <f t="shared" si="2"/>
        <v/>
      </c>
      <c r="AZ2125" s="82"/>
      <c r="BA2125" s="84" t="s">
        <v>152</v>
      </c>
      <c r="BB2125" s="84" t="str">
        <f>IFERROR(__xludf.DUMMYFUNCTION("iferror(if(A2125="""",,E2125&gt;=FILTER(Constants!$F$2:$F$10,Constants!$A$2:$A$10=A2125)))"),"")</f>
        <v/>
      </c>
    </row>
    <row r="2126">
      <c r="A2126" s="87"/>
      <c r="B2126" s="87"/>
      <c r="C2126" s="73"/>
      <c r="D2126" s="73"/>
      <c r="E2126" s="82"/>
      <c r="F2126" s="82"/>
      <c r="G2126" s="86"/>
      <c r="H2126" s="86"/>
      <c r="I2126" s="86"/>
      <c r="J2126" s="82"/>
      <c r="K2126" s="82"/>
      <c r="L2126" s="82"/>
      <c r="M2126" s="82"/>
      <c r="N2126" s="82"/>
      <c r="O2126" s="82"/>
      <c r="P2126" s="82"/>
      <c r="Q2126" s="82"/>
      <c r="R2126" s="82"/>
      <c r="S2126" s="82"/>
      <c r="T2126" s="82"/>
      <c r="U2126" s="82"/>
      <c r="V2126" s="82"/>
      <c r="W2126" s="82"/>
      <c r="X2126" s="82"/>
      <c r="Y2126" s="82"/>
      <c r="Z2126" s="82"/>
      <c r="AA2126" s="82"/>
      <c r="AB2126" s="82"/>
      <c r="AC2126" s="82"/>
      <c r="AD2126" s="82"/>
      <c r="AE2126" s="82"/>
      <c r="AF2126" s="82"/>
      <c r="AG2126" s="82"/>
      <c r="AH2126" s="82"/>
      <c r="AI2126" s="82"/>
      <c r="AJ2126" s="82"/>
      <c r="AK2126" s="82"/>
      <c r="AL2126" s="82"/>
      <c r="AM2126" s="82"/>
      <c r="AN2126" s="82"/>
      <c r="AO2126" s="82"/>
      <c r="AP2126" s="82"/>
      <c r="AQ2126" s="82"/>
      <c r="AR2126" s="82"/>
      <c r="AS2126" s="82"/>
      <c r="AT2126" s="82"/>
      <c r="AU2126" s="82"/>
      <c r="AV2126" s="82"/>
      <c r="AW2126" s="82" t="str">
        <f t="shared" si="1"/>
        <v/>
      </c>
      <c r="AX2126" s="83" t="str">
        <f t="array" ref="AX2126">IFERROR(DGET('SBV Import'!A:G,"SBV",{"RSC ID","Tier";B2126,A2126}))</f>
        <v/>
      </c>
      <c r="AY2126" s="82" t="str">
        <f t="shared" si="2"/>
        <v/>
      </c>
      <c r="AZ2126" s="82"/>
      <c r="BA2126" s="84" t="s">
        <v>152</v>
      </c>
      <c r="BB2126" s="84" t="str">
        <f>IFERROR(__xludf.DUMMYFUNCTION("iferror(if(A2126="""",,E2126&gt;=FILTER(Constants!$F$2:$F$10,Constants!$A$2:$A$10=A2126)))"),"")</f>
        <v/>
      </c>
    </row>
    <row r="2127">
      <c r="A2127" s="87"/>
      <c r="B2127" s="87"/>
      <c r="C2127" s="73"/>
      <c r="D2127" s="73"/>
      <c r="E2127" s="82"/>
      <c r="F2127" s="82"/>
      <c r="G2127" s="86"/>
      <c r="H2127" s="86"/>
      <c r="I2127" s="86"/>
      <c r="J2127" s="82"/>
      <c r="K2127" s="82"/>
      <c r="L2127" s="82"/>
      <c r="M2127" s="82"/>
      <c r="N2127" s="82"/>
      <c r="O2127" s="82"/>
      <c r="P2127" s="82"/>
      <c r="Q2127" s="82"/>
      <c r="R2127" s="82"/>
      <c r="S2127" s="82"/>
      <c r="T2127" s="82"/>
      <c r="U2127" s="82"/>
      <c r="V2127" s="82"/>
      <c r="W2127" s="82"/>
      <c r="X2127" s="82"/>
      <c r="Y2127" s="82"/>
      <c r="Z2127" s="82"/>
      <c r="AA2127" s="82"/>
      <c r="AB2127" s="82"/>
      <c r="AC2127" s="82"/>
      <c r="AD2127" s="82"/>
      <c r="AE2127" s="82"/>
      <c r="AF2127" s="82"/>
      <c r="AG2127" s="82"/>
      <c r="AH2127" s="82"/>
      <c r="AI2127" s="82"/>
      <c r="AJ2127" s="82"/>
      <c r="AK2127" s="82"/>
      <c r="AL2127" s="82"/>
      <c r="AM2127" s="82"/>
      <c r="AN2127" s="82"/>
      <c r="AO2127" s="82"/>
      <c r="AP2127" s="82"/>
      <c r="AQ2127" s="82"/>
      <c r="AR2127" s="82"/>
      <c r="AS2127" s="82"/>
      <c r="AT2127" s="82"/>
      <c r="AU2127" s="82"/>
      <c r="AV2127" s="82"/>
      <c r="AW2127" s="82" t="str">
        <f t="shared" si="1"/>
        <v/>
      </c>
      <c r="AX2127" s="83" t="str">
        <f t="array" ref="AX2127">IFERROR(DGET('SBV Import'!A:G,"SBV",{"RSC ID","Tier";B2127,A2127}))</f>
        <v/>
      </c>
      <c r="AY2127" s="82" t="str">
        <f t="shared" si="2"/>
        <v/>
      </c>
      <c r="AZ2127" s="82"/>
      <c r="BA2127" s="84" t="s">
        <v>152</v>
      </c>
      <c r="BB2127" s="84" t="str">
        <f>IFERROR(__xludf.DUMMYFUNCTION("iferror(if(A2127="""",,E2127&gt;=FILTER(Constants!$F$2:$F$10,Constants!$A$2:$A$10=A2127)))"),"")</f>
        <v/>
      </c>
    </row>
    <row r="2128">
      <c r="A2128" s="87"/>
      <c r="B2128" s="87"/>
      <c r="C2128" s="73"/>
      <c r="D2128" s="73"/>
      <c r="E2128" s="82"/>
      <c r="F2128" s="82"/>
      <c r="G2128" s="86"/>
      <c r="H2128" s="86"/>
      <c r="I2128" s="86"/>
      <c r="J2128" s="82"/>
      <c r="K2128" s="82"/>
      <c r="L2128" s="82"/>
      <c r="M2128" s="82"/>
      <c r="N2128" s="82"/>
      <c r="O2128" s="82"/>
      <c r="P2128" s="82"/>
      <c r="Q2128" s="82"/>
      <c r="R2128" s="82"/>
      <c r="S2128" s="82"/>
      <c r="T2128" s="82"/>
      <c r="U2128" s="82"/>
      <c r="V2128" s="82"/>
      <c r="W2128" s="82"/>
      <c r="X2128" s="82"/>
      <c r="Y2128" s="82"/>
      <c r="Z2128" s="82"/>
      <c r="AA2128" s="82"/>
      <c r="AB2128" s="82"/>
      <c r="AC2128" s="82"/>
      <c r="AD2128" s="82"/>
      <c r="AE2128" s="82"/>
      <c r="AF2128" s="82"/>
      <c r="AG2128" s="82"/>
      <c r="AH2128" s="82"/>
      <c r="AI2128" s="82"/>
      <c r="AJ2128" s="82"/>
      <c r="AK2128" s="82"/>
      <c r="AL2128" s="82"/>
      <c r="AM2128" s="82"/>
      <c r="AN2128" s="82"/>
      <c r="AO2128" s="82"/>
      <c r="AP2128" s="82"/>
      <c r="AQ2128" s="82"/>
      <c r="AR2128" s="82"/>
      <c r="AS2128" s="82"/>
      <c r="AT2128" s="82"/>
      <c r="AU2128" s="82"/>
      <c r="AV2128" s="82"/>
      <c r="AW2128" s="82" t="str">
        <f t="shared" si="1"/>
        <v/>
      </c>
      <c r="AX2128" s="83" t="str">
        <f t="array" ref="AX2128">IFERROR(DGET('SBV Import'!A:G,"SBV",{"RSC ID","Tier";B2128,A2128}))</f>
        <v/>
      </c>
      <c r="AY2128" s="82" t="str">
        <f t="shared" si="2"/>
        <v/>
      </c>
      <c r="AZ2128" s="82"/>
      <c r="BA2128" s="84" t="s">
        <v>152</v>
      </c>
      <c r="BB2128" s="84" t="str">
        <f>IFERROR(__xludf.DUMMYFUNCTION("iferror(if(A2128="""",,E2128&gt;=FILTER(Constants!$F$2:$F$10,Constants!$A$2:$A$10=A2128)))"),"")</f>
        <v/>
      </c>
    </row>
    <row r="2129">
      <c r="A2129" s="87"/>
      <c r="B2129" s="87"/>
      <c r="C2129" s="73"/>
      <c r="D2129" s="73"/>
      <c r="E2129" s="82"/>
      <c r="F2129" s="82"/>
      <c r="G2129" s="86"/>
      <c r="H2129" s="86"/>
      <c r="I2129" s="86"/>
      <c r="J2129" s="82"/>
      <c r="K2129" s="82"/>
      <c r="L2129" s="82"/>
      <c r="M2129" s="82"/>
      <c r="N2129" s="82"/>
      <c r="O2129" s="82"/>
      <c r="P2129" s="82"/>
      <c r="Q2129" s="82"/>
      <c r="R2129" s="82"/>
      <c r="S2129" s="82"/>
      <c r="T2129" s="82"/>
      <c r="U2129" s="82"/>
      <c r="V2129" s="82"/>
      <c r="W2129" s="82"/>
      <c r="X2129" s="82"/>
      <c r="Y2129" s="82"/>
      <c r="Z2129" s="82"/>
      <c r="AA2129" s="82"/>
      <c r="AB2129" s="82"/>
      <c r="AC2129" s="82"/>
      <c r="AD2129" s="82"/>
      <c r="AE2129" s="82"/>
      <c r="AF2129" s="82"/>
      <c r="AG2129" s="82"/>
      <c r="AH2129" s="82"/>
      <c r="AI2129" s="82"/>
      <c r="AJ2129" s="82"/>
      <c r="AK2129" s="82"/>
      <c r="AL2129" s="82"/>
      <c r="AM2129" s="82"/>
      <c r="AN2129" s="82"/>
      <c r="AO2129" s="82"/>
      <c r="AP2129" s="82"/>
      <c r="AQ2129" s="82"/>
      <c r="AR2129" s="82"/>
      <c r="AS2129" s="82"/>
      <c r="AT2129" s="82"/>
      <c r="AU2129" s="82"/>
      <c r="AV2129" s="82"/>
      <c r="AW2129" s="82" t="str">
        <f t="shared" si="1"/>
        <v/>
      </c>
      <c r="AX2129" s="83" t="str">
        <f t="array" ref="AX2129">IFERROR(DGET('SBV Import'!A:G,"SBV",{"RSC ID","Tier";B2129,A2129}))</f>
        <v/>
      </c>
      <c r="AY2129" s="82" t="str">
        <f t="shared" si="2"/>
        <v/>
      </c>
      <c r="AZ2129" s="82"/>
      <c r="BA2129" s="84" t="s">
        <v>152</v>
      </c>
      <c r="BB2129" s="84" t="str">
        <f>IFERROR(__xludf.DUMMYFUNCTION("iferror(if(A2129="""",,E2129&gt;=FILTER(Constants!$F$2:$F$10,Constants!$A$2:$A$10=A2129)))"),"")</f>
        <v/>
      </c>
    </row>
    <row r="2130">
      <c r="A2130" s="87"/>
      <c r="B2130" s="87"/>
      <c r="C2130" s="73"/>
      <c r="D2130" s="73"/>
      <c r="E2130" s="82"/>
      <c r="F2130" s="82"/>
      <c r="G2130" s="86"/>
      <c r="H2130" s="86"/>
      <c r="I2130" s="86"/>
      <c r="J2130" s="82"/>
      <c r="K2130" s="82"/>
      <c r="L2130" s="82"/>
      <c r="M2130" s="82"/>
      <c r="N2130" s="82"/>
      <c r="O2130" s="82"/>
      <c r="P2130" s="82"/>
      <c r="Q2130" s="82"/>
      <c r="R2130" s="82"/>
      <c r="S2130" s="82"/>
      <c r="T2130" s="82"/>
      <c r="U2130" s="82"/>
      <c r="V2130" s="82"/>
      <c r="W2130" s="82"/>
      <c r="X2130" s="82"/>
      <c r="Y2130" s="82"/>
      <c r="Z2130" s="82"/>
      <c r="AA2130" s="82"/>
      <c r="AB2130" s="82"/>
      <c r="AC2130" s="82"/>
      <c r="AD2130" s="82"/>
      <c r="AE2130" s="82"/>
      <c r="AF2130" s="82"/>
      <c r="AG2130" s="82"/>
      <c r="AH2130" s="82"/>
      <c r="AI2130" s="82"/>
      <c r="AJ2130" s="82"/>
      <c r="AK2130" s="82"/>
      <c r="AL2130" s="82"/>
      <c r="AM2130" s="82"/>
      <c r="AN2130" s="82"/>
      <c r="AO2130" s="82"/>
      <c r="AP2130" s="82"/>
      <c r="AQ2130" s="82"/>
      <c r="AR2130" s="82"/>
      <c r="AS2130" s="82"/>
      <c r="AT2130" s="82"/>
      <c r="AU2130" s="82"/>
      <c r="AV2130" s="82"/>
      <c r="AW2130" s="82" t="str">
        <f t="shared" si="1"/>
        <v/>
      </c>
      <c r="AX2130" s="83" t="str">
        <f t="array" ref="AX2130">IFERROR(DGET('SBV Import'!A:G,"SBV",{"RSC ID","Tier";B2130,A2130}))</f>
        <v/>
      </c>
      <c r="AY2130" s="82" t="str">
        <f t="shared" si="2"/>
        <v/>
      </c>
      <c r="AZ2130" s="82"/>
      <c r="BA2130" s="84" t="s">
        <v>152</v>
      </c>
      <c r="BB2130" s="84" t="str">
        <f>IFERROR(__xludf.DUMMYFUNCTION("iferror(if(A2130="""",,E2130&gt;=FILTER(Constants!$F$2:$F$10,Constants!$A$2:$A$10=A2130)))"),"")</f>
        <v/>
      </c>
    </row>
    <row r="2131">
      <c r="A2131" s="87"/>
      <c r="B2131" s="87"/>
      <c r="C2131" s="73"/>
      <c r="D2131" s="73"/>
      <c r="E2131" s="82"/>
      <c r="F2131" s="82"/>
      <c r="G2131" s="86"/>
      <c r="H2131" s="86"/>
      <c r="I2131" s="86"/>
      <c r="J2131" s="82"/>
      <c r="K2131" s="82"/>
      <c r="L2131" s="82"/>
      <c r="M2131" s="82"/>
      <c r="N2131" s="82"/>
      <c r="O2131" s="82"/>
      <c r="P2131" s="82"/>
      <c r="Q2131" s="82"/>
      <c r="R2131" s="82"/>
      <c r="S2131" s="82"/>
      <c r="T2131" s="82"/>
      <c r="U2131" s="82"/>
      <c r="V2131" s="82"/>
      <c r="W2131" s="82"/>
      <c r="X2131" s="82"/>
      <c r="Y2131" s="82"/>
      <c r="Z2131" s="82"/>
      <c r="AA2131" s="82"/>
      <c r="AB2131" s="82"/>
      <c r="AC2131" s="82"/>
      <c r="AD2131" s="82"/>
      <c r="AE2131" s="82"/>
      <c r="AF2131" s="82"/>
      <c r="AG2131" s="82"/>
      <c r="AH2131" s="82"/>
      <c r="AI2131" s="82"/>
      <c r="AJ2131" s="82"/>
      <c r="AK2131" s="82"/>
      <c r="AL2131" s="82"/>
      <c r="AM2131" s="82"/>
      <c r="AN2131" s="82"/>
      <c r="AO2131" s="82"/>
      <c r="AP2131" s="82"/>
      <c r="AQ2131" s="82"/>
      <c r="AR2131" s="82"/>
      <c r="AS2131" s="82"/>
      <c r="AT2131" s="82"/>
      <c r="AU2131" s="82"/>
      <c r="AV2131" s="82"/>
      <c r="AW2131" s="82" t="str">
        <f t="shared" si="1"/>
        <v/>
      </c>
      <c r="AX2131" s="83" t="str">
        <f t="array" ref="AX2131">IFERROR(DGET('SBV Import'!A:G,"SBV",{"RSC ID","Tier";B2131,A2131}))</f>
        <v/>
      </c>
      <c r="AY2131" s="82" t="str">
        <f t="shared" si="2"/>
        <v/>
      </c>
      <c r="AZ2131" s="82"/>
      <c r="BA2131" s="84" t="s">
        <v>152</v>
      </c>
      <c r="BB2131" s="84" t="str">
        <f>IFERROR(__xludf.DUMMYFUNCTION("iferror(if(A2131="""",,E2131&gt;=FILTER(Constants!$F$2:$F$10,Constants!$A$2:$A$10=A2131)))"),"")</f>
        <v/>
      </c>
    </row>
    <row r="2132">
      <c r="A2132" s="87"/>
      <c r="B2132" s="87"/>
      <c r="C2132" s="73"/>
      <c r="D2132" s="73"/>
      <c r="E2132" s="82"/>
      <c r="F2132" s="82"/>
      <c r="G2132" s="86"/>
      <c r="H2132" s="86"/>
      <c r="I2132" s="86"/>
      <c r="J2132" s="82"/>
      <c r="K2132" s="82"/>
      <c r="L2132" s="82"/>
      <c r="M2132" s="82"/>
      <c r="N2132" s="82"/>
      <c r="O2132" s="82"/>
      <c r="P2132" s="82"/>
      <c r="Q2132" s="82"/>
      <c r="R2132" s="82"/>
      <c r="S2132" s="82"/>
      <c r="T2132" s="82"/>
      <c r="U2132" s="82"/>
      <c r="V2132" s="82"/>
      <c r="W2132" s="82"/>
      <c r="X2132" s="82"/>
      <c r="Y2132" s="82"/>
      <c r="Z2132" s="82"/>
      <c r="AA2132" s="82"/>
      <c r="AB2132" s="82"/>
      <c r="AC2132" s="82"/>
      <c r="AD2132" s="82"/>
      <c r="AE2132" s="82"/>
      <c r="AF2132" s="82"/>
      <c r="AG2132" s="82"/>
      <c r="AH2132" s="82"/>
      <c r="AI2132" s="82"/>
      <c r="AJ2132" s="82"/>
      <c r="AK2132" s="82"/>
      <c r="AL2132" s="82"/>
      <c r="AM2132" s="82"/>
      <c r="AN2132" s="82"/>
      <c r="AO2132" s="82"/>
      <c r="AP2132" s="82"/>
      <c r="AQ2132" s="82"/>
      <c r="AR2132" s="82"/>
      <c r="AS2132" s="82"/>
      <c r="AT2132" s="82"/>
      <c r="AU2132" s="82"/>
      <c r="AV2132" s="82"/>
      <c r="AW2132" s="82" t="str">
        <f t="shared" si="1"/>
        <v/>
      </c>
      <c r="AX2132" s="83" t="str">
        <f t="array" ref="AX2132">IFERROR(DGET('SBV Import'!A:G,"SBV",{"RSC ID","Tier";B2132,A2132}))</f>
        <v/>
      </c>
      <c r="AY2132" s="82" t="str">
        <f t="shared" si="2"/>
        <v/>
      </c>
      <c r="AZ2132" s="82"/>
      <c r="BA2132" s="84" t="s">
        <v>152</v>
      </c>
      <c r="BB2132" s="84" t="str">
        <f>IFERROR(__xludf.DUMMYFUNCTION("iferror(if(A2132="""",,E2132&gt;=FILTER(Constants!$F$2:$F$10,Constants!$A$2:$A$10=A2132)))"),"")</f>
        <v/>
      </c>
    </row>
    <row r="2133">
      <c r="A2133" s="87"/>
      <c r="B2133" s="87"/>
      <c r="C2133" s="73"/>
      <c r="D2133" s="73"/>
      <c r="E2133" s="82"/>
      <c r="F2133" s="82"/>
      <c r="G2133" s="86"/>
      <c r="H2133" s="86"/>
      <c r="I2133" s="86"/>
      <c r="J2133" s="82"/>
      <c r="K2133" s="82"/>
      <c r="L2133" s="82"/>
      <c r="M2133" s="82"/>
      <c r="N2133" s="82"/>
      <c r="O2133" s="82"/>
      <c r="P2133" s="82"/>
      <c r="Q2133" s="82"/>
      <c r="R2133" s="82"/>
      <c r="S2133" s="82"/>
      <c r="T2133" s="82"/>
      <c r="U2133" s="82"/>
      <c r="V2133" s="82"/>
      <c r="W2133" s="82"/>
      <c r="X2133" s="82"/>
      <c r="Y2133" s="82"/>
      <c r="Z2133" s="82"/>
      <c r="AA2133" s="82"/>
      <c r="AB2133" s="82"/>
      <c r="AC2133" s="82"/>
      <c r="AD2133" s="82"/>
      <c r="AE2133" s="82"/>
      <c r="AF2133" s="82"/>
      <c r="AG2133" s="82"/>
      <c r="AH2133" s="82"/>
      <c r="AI2133" s="82"/>
      <c r="AJ2133" s="82"/>
      <c r="AK2133" s="82"/>
      <c r="AL2133" s="82"/>
      <c r="AM2133" s="82"/>
      <c r="AN2133" s="82"/>
      <c r="AO2133" s="82"/>
      <c r="AP2133" s="82"/>
      <c r="AQ2133" s="82"/>
      <c r="AR2133" s="82"/>
      <c r="AS2133" s="82"/>
      <c r="AT2133" s="82"/>
      <c r="AU2133" s="82"/>
      <c r="AV2133" s="82"/>
      <c r="AW2133" s="82" t="str">
        <f t="shared" si="1"/>
        <v/>
      </c>
      <c r="AX2133" s="83" t="str">
        <f t="array" ref="AX2133">IFERROR(DGET('SBV Import'!A:G,"SBV",{"RSC ID","Tier";B2133,A2133}))</f>
        <v/>
      </c>
      <c r="AY2133" s="82" t="str">
        <f t="shared" si="2"/>
        <v/>
      </c>
      <c r="AZ2133" s="82"/>
      <c r="BA2133" s="84" t="s">
        <v>152</v>
      </c>
      <c r="BB2133" s="84" t="str">
        <f>IFERROR(__xludf.DUMMYFUNCTION("iferror(if(A2133="""",,E2133&gt;=FILTER(Constants!$F$2:$F$10,Constants!$A$2:$A$10=A2133)))"),"")</f>
        <v/>
      </c>
    </row>
    <row r="2134">
      <c r="A2134" s="87"/>
      <c r="B2134" s="87"/>
      <c r="C2134" s="73"/>
      <c r="D2134" s="73"/>
      <c r="E2134" s="82"/>
      <c r="F2134" s="82"/>
      <c r="G2134" s="86"/>
      <c r="H2134" s="86"/>
      <c r="I2134" s="86"/>
      <c r="J2134" s="82"/>
      <c r="K2134" s="82"/>
      <c r="L2134" s="82"/>
      <c r="M2134" s="82"/>
      <c r="N2134" s="82"/>
      <c r="O2134" s="82"/>
      <c r="P2134" s="82"/>
      <c r="Q2134" s="82"/>
      <c r="R2134" s="82"/>
      <c r="S2134" s="82"/>
      <c r="T2134" s="82"/>
      <c r="U2134" s="82"/>
      <c r="V2134" s="82"/>
      <c r="W2134" s="82"/>
      <c r="X2134" s="82"/>
      <c r="Y2134" s="82"/>
      <c r="Z2134" s="82"/>
      <c r="AA2134" s="82"/>
      <c r="AB2134" s="82"/>
      <c r="AC2134" s="82"/>
      <c r="AD2134" s="82"/>
      <c r="AE2134" s="82"/>
      <c r="AF2134" s="82"/>
      <c r="AG2134" s="82"/>
      <c r="AH2134" s="82"/>
      <c r="AI2134" s="82"/>
      <c r="AJ2134" s="82"/>
      <c r="AK2134" s="82"/>
      <c r="AL2134" s="82"/>
      <c r="AM2134" s="82"/>
      <c r="AN2134" s="82"/>
      <c r="AO2134" s="82"/>
      <c r="AP2134" s="82"/>
      <c r="AQ2134" s="82"/>
      <c r="AR2134" s="82"/>
      <c r="AS2134" s="82"/>
      <c r="AT2134" s="82"/>
      <c r="AU2134" s="82"/>
      <c r="AV2134" s="82"/>
      <c r="AW2134" s="82" t="str">
        <f t="shared" si="1"/>
        <v/>
      </c>
      <c r="AX2134" s="83" t="str">
        <f t="array" ref="AX2134">IFERROR(DGET('SBV Import'!A:G,"SBV",{"RSC ID","Tier";B2134,A2134}))</f>
        <v/>
      </c>
      <c r="AY2134" s="82" t="str">
        <f t="shared" si="2"/>
        <v/>
      </c>
      <c r="AZ2134" s="82"/>
      <c r="BA2134" s="84" t="s">
        <v>152</v>
      </c>
      <c r="BB2134" s="84" t="str">
        <f>IFERROR(__xludf.DUMMYFUNCTION("iferror(if(A2134="""",,E2134&gt;=FILTER(Constants!$F$2:$F$10,Constants!$A$2:$A$10=A2134)))"),"")</f>
        <v/>
      </c>
    </row>
    <row r="2135">
      <c r="A2135" s="87"/>
      <c r="B2135" s="87"/>
      <c r="C2135" s="73"/>
      <c r="D2135" s="73"/>
      <c r="E2135" s="82"/>
      <c r="F2135" s="82"/>
      <c r="G2135" s="86"/>
      <c r="H2135" s="86"/>
      <c r="I2135" s="86"/>
      <c r="J2135" s="82"/>
      <c r="K2135" s="82"/>
      <c r="L2135" s="82"/>
      <c r="M2135" s="82"/>
      <c r="N2135" s="82"/>
      <c r="O2135" s="82"/>
      <c r="P2135" s="82"/>
      <c r="Q2135" s="82"/>
      <c r="R2135" s="82"/>
      <c r="S2135" s="82"/>
      <c r="T2135" s="82"/>
      <c r="U2135" s="82"/>
      <c r="V2135" s="82"/>
      <c r="W2135" s="82"/>
      <c r="X2135" s="82"/>
      <c r="Y2135" s="82"/>
      <c r="Z2135" s="82"/>
      <c r="AA2135" s="82"/>
      <c r="AB2135" s="82"/>
      <c r="AC2135" s="82"/>
      <c r="AD2135" s="82"/>
      <c r="AE2135" s="82"/>
      <c r="AF2135" s="82"/>
      <c r="AG2135" s="82"/>
      <c r="AH2135" s="82"/>
      <c r="AI2135" s="82"/>
      <c r="AJ2135" s="82"/>
      <c r="AK2135" s="82"/>
      <c r="AL2135" s="82"/>
      <c r="AM2135" s="82"/>
      <c r="AN2135" s="82"/>
      <c r="AO2135" s="82"/>
      <c r="AP2135" s="82"/>
      <c r="AQ2135" s="82"/>
      <c r="AR2135" s="82"/>
      <c r="AS2135" s="82"/>
      <c r="AT2135" s="82"/>
      <c r="AU2135" s="82"/>
      <c r="AV2135" s="82"/>
      <c r="AW2135" s="82" t="str">
        <f t="shared" si="1"/>
        <v/>
      </c>
      <c r="AX2135" s="83" t="str">
        <f t="array" ref="AX2135">IFERROR(DGET('SBV Import'!A:G,"SBV",{"RSC ID","Tier";B2135,A2135}))</f>
        <v/>
      </c>
      <c r="AY2135" s="82" t="str">
        <f t="shared" si="2"/>
        <v/>
      </c>
      <c r="AZ2135" s="82"/>
      <c r="BA2135" s="84" t="s">
        <v>152</v>
      </c>
      <c r="BB2135" s="84" t="str">
        <f>IFERROR(__xludf.DUMMYFUNCTION("iferror(if(A2135="""",,E2135&gt;=FILTER(Constants!$F$2:$F$10,Constants!$A$2:$A$10=A2135)))"),"")</f>
        <v/>
      </c>
    </row>
    <row r="2136">
      <c r="A2136" s="87"/>
      <c r="B2136" s="87"/>
      <c r="C2136" s="73"/>
      <c r="D2136" s="73"/>
      <c r="E2136" s="82"/>
      <c r="F2136" s="82"/>
      <c r="G2136" s="86"/>
      <c r="H2136" s="86"/>
      <c r="I2136" s="86"/>
      <c r="J2136" s="82"/>
      <c r="K2136" s="82"/>
      <c r="L2136" s="82"/>
      <c r="M2136" s="82"/>
      <c r="N2136" s="82"/>
      <c r="O2136" s="82"/>
      <c r="P2136" s="82"/>
      <c r="Q2136" s="82"/>
      <c r="R2136" s="82"/>
      <c r="S2136" s="82"/>
      <c r="T2136" s="82"/>
      <c r="U2136" s="82"/>
      <c r="V2136" s="82"/>
      <c r="W2136" s="82"/>
      <c r="X2136" s="82"/>
      <c r="Y2136" s="82"/>
      <c r="Z2136" s="82"/>
      <c r="AA2136" s="82"/>
      <c r="AB2136" s="82"/>
      <c r="AC2136" s="82"/>
      <c r="AD2136" s="82"/>
      <c r="AE2136" s="82"/>
      <c r="AF2136" s="82"/>
      <c r="AG2136" s="82"/>
      <c r="AH2136" s="82"/>
      <c r="AI2136" s="82"/>
      <c r="AJ2136" s="82"/>
      <c r="AK2136" s="82"/>
      <c r="AL2136" s="82"/>
      <c r="AM2136" s="82"/>
      <c r="AN2136" s="82"/>
      <c r="AO2136" s="82"/>
      <c r="AP2136" s="82"/>
      <c r="AQ2136" s="82"/>
      <c r="AR2136" s="82"/>
      <c r="AS2136" s="82"/>
      <c r="AT2136" s="82"/>
      <c r="AU2136" s="82"/>
      <c r="AV2136" s="82"/>
      <c r="AW2136" s="82" t="str">
        <f t="shared" si="1"/>
        <v/>
      </c>
      <c r="AX2136" s="83" t="str">
        <f t="array" ref="AX2136">IFERROR(DGET('SBV Import'!A:G,"SBV",{"RSC ID","Tier";B2136,A2136}))</f>
        <v/>
      </c>
      <c r="AY2136" s="82" t="str">
        <f t="shared" si="2"/>
        <v/>
      </c>
      <c r="AZ2136" s="82"/>
      <c r="BA2136" s="84" t="s">
        <v>152</v>
      </c>
      <c r="BB2136" s="84" t="str">
        <f>IFERROR(__xludf.DUMMYFUNCTION("iferror(if(A2136="""",,E2136&gt;=FILTER(Constants!$F$2:$F$10,Constants!$A$2:$A$10=A2136)))"),"")</f>
        <v/>
      </c>
    </row>
    <row r="2137">
      <c r="A2137" s="87"/>
      <c r="B2137" s="87"/>
      <c r="C2137" s="73"/>
      <c r="D2137" s="73"/>
      <c r="E2137" s="82"/>
      <c r="F2137" s="82"/>
      <c r="G2137" s="86"/>
      <c r="H2137" s="86"/>
      <c r="I2137" s="86"/>
      <c r="J2137" s="82"/>
      <c r="K2137" s="82"/>
      <c r="L2137" s="82"/>
      <c r="M2137" s="82"/>
      <c r="N2137" s="82"/>
      <c r="O2137" s="82"/>
      <c r="P2137" s="82"/>
      <c r="Q2137" s="82"/>
      <c r="R2137" s="82"/>
      <c r="S2137" s="82"/>
      <c r="T2137" s="82"/>
      <c r="U2137" s="82"/>
      <c r="V2137" s="82"/>
      <c r="W2137" s="82"/>
      <c r="X2137" s="82"/>
      <c r="Y2137" s="82"/>
      <c r="Z2137" s="82"/>
      <c r="AA2137" s="82"/>
      <c r="AB2137" s="82"/>
      <c r="AC2137" s="82"/>
      <c r="AD2137" s="82"/>
      <c r="AE2137" s="82"/>
      <c r="AF2137" s="82"/>
      <c r="AG2137" s="82"/>
      <c r="AH2137" s="82"/>
      <c r="AI2137" s="82"/>
      <c r="AJ2137" s="82"/>
      <c r="AK2137" s="82"/>
      <c r="AL2137" s="82"/>
      <c r="AM2137" s="82"/>
      <c r="AN2137" s="82"/>
      <c r="AO2137" s="82"/>
      <c r="AP2137" s="82"/>
      <c r="AQ2137" s="82"/>
      <c r="AR2137" s="82"/>
      <c r="AS2137" s="82"/>
      <c r="AT2137" s="82"/>
      <c r="AU2137" s="82"/>
      <c r="AV2137" s="82"/>
      <c r="AW2137" s="82" t="str">
        <f t="shared" si="1"/>
        <v/>
      </c>
      <c r="AX2137" s="83" t="str">
        <f t="array" ref="AX2137">IFERROR(DGET('SBV Import'!A:G,"SBV",{"RSC ID","Tier";B2137,A2137}))</f>
        <v/>
      </c>
      <c r="AY2137" s="82" t="str">
        <f t="shared" si="2"/>
        <v/>
      </c>
      <c r="AZ2137" s="82"/>
      <c r="BA2137" s="84" t="s">
        <v>152</v>
      </c>
      <c r="BB2137" s="84" t="str">
        <f>IFERROR(__xludf.DUMMYFUNCTION("iferror(if(A2137="""",,E2137&gt;=FILTER(Constants!$F$2:$F$10,Constants!$A$2:$A$10=A2137)))"),"")</f>
        <v/>
      </c>
    </row>
    <row r="2138">
      <c r="A2138" s="87"/>
      <c r="B2138" s="87"/>
      <c r="C2138" s="73"/>
      <c r="D2138" s="73"/>
      <c r="E2138" s="82"/>
      <c r="F2138" s="82"/>
      <c r="G2138" s="86"/>
      <c r="H2138" s="86"/>
      <c r="I2138" s="86"/>
      <c r="J2138" s="82"/>
      <c r="K2138" s="82"/>
      <c r="L2138" s="82"/>
      <c r="M2138" s="82"/>
      <c r="N2138" s="82"/>
      <c r="O2138" s="82"/>
      <c r="P2138" s="82"/>
      <c r="Q2138" s="82"/>
      <c r="R2138" s="82"/>
      <c r="S2138" s="82"/>
      <c r="T2138" s="82"/>
      <c r="U2138" s="82"/>
      <c r="V2138" s="82"/>
      <c r="W2138" s="82"/>
      <c r="X2138" s="82"/>
      <c r="Y2138" s="82"/>
      <c r="Z2138" s="82"/>
      <c r="AA2138" s="82"/>
      <c r="AB2138" s="82"/>
      <c r="AC2138" s="82"/>
      <c r="AD2138" s="82"/>
      <c r="AE2138" s="82"/>
      <c r="AF2138" s="82"/>
      <c r="AG2138" s="82"/>
      <c r="AH2138" s="82"/>
      <c r="AI2138" s="82"/>
      <c r="AJ2138" s="82"/>
      <c r="AK2138" s="82"/>
      <c r="AL2138" s="82"/>
      <c r="AM2138" s="82"/>
      <c r="AN2138" s="82"/>
      <c r="AO2138" s="82"/>
      <c r="AP2138" s="82"/>
      <c r="AQ2138" s="82"/>
      <c r="AR2138" s="82"/>
      <c r="AS2138" s="82"/>
      <c r="AT2138" s="82"/>
      <c r="AU2138" s="82"/>
      <c r="AV2138" s="82"/>
      <c r="AW2138" s="82" t="str">
        <f t="shared" si="1"/>
        <v/>
      </c>
      <c r="AX2138" s="83" t="str">
        <f t="array" ref="AX2138">IFERROR(DGET('SBV Import'!A:G,"SBV",{"RSC ID","Tier";B2138,A2138}))</f>
        <v/>
      </c>
      <c r="AY2138" s="82" t="str">
        <f t="shared" si="2"/>
        <v/>
      </c>
      <c r="AZ2138" s="82"/>
      <c r="BA2138" s="84" t="s">
        <v>152</v>
      </c>
      <c r="BB2138" s="84" t="str">
        <f>IFERROR(__xludf.DUMMYFUNCTION("iferror(if(A2138="""",,E2138&gt;=FILTER(Constants!$F$2:$F$10,Constants!$A$2:$A$10=A2138)))"),"")</f>
        <v/>
      </c>
    </row>
    <row r="2139">
      <c r="A2139" s="87"/>
      <c r="B2139" s="87"/>
      <c r="C2139" s="73"/>
      <c r="D2139" s="73"/>
      <c r="E2139" s="82"/>
      <c r="F2139" s="82"/>
      <c r="G2139" s="86"/>
      <c r="H2139" s="86"/>
      <c r="I2139" s="86"/>
      <c r="J2139" s="82"/>
      <c r="K2139" s="82"/>
      <c r="L2139" s="82"/>
      <c r="M2139" s="82"/>
      <c r="N2139" s="82"/>
      <c r="O2139" s="82"/>
      <c r="P2139" s="82"/>
      <c r="Q2139" s="82"/>
      <c r="R2139" s="82"/>
      <c r="S2139" s="82"/>
      <c r="T2139" s="82"/>
      <c r="U2139" s="82"/>
      <c r="V2139" s="82"/>
      <c r="W2139" s="82"/>
      <c r="X2139" s="82"/>
      <c r="Y2139" s="82"/>
      <c r="Z2139" s="82"/>
      <c r="AA2139" s="82"/>
      <c r="AB2139" s="82"/>
      <c r="AC2139" s="82"/>
      <c r="AD2139" s="82"/>
      <c r="AE2139" s="82"/>
      <c r="AF2139" s="82"/>
      <c r="AG2139" s="82"/>
      <c r="AH2139" s="82"/>
      <c r="AI2139" s="82"/>
      <c r="AJ2139" s="82"/>
      <c r="AK2139" s="82"/>
      <c r="AL2139" s="82"/>
      <c r="AM2139" s="82"/>
      <c r="AN2139" s="82"/>
      <c r="AO2139" s="82"/>
      <c r="AP2139" s="82"/>
      <c r="AQ2139" s="82"/>
      <c r="AR2139" s="82"/>
      <c r="AS2139" s="82"/>
      <c r="AT2139" s="82"/>
      <c r="AU2139" s="82"/>
      <c r="AV2139" s="82"/>
      <c r="AW2139" s="82" t="str">
        <f t="shared" si="1"/>
        <v/>
      </c>
      <c r="AX2139" s="83" t="str">
        <f t="array" ref="AX2139">IFERROR(DGET('SBV Import'!A:G,"SBV",{"RSC ID","Tier";B2139,A2139}))</f>
        <v/>
      </c>
      <c r="AY2139" s="82" t="str">
        <f t="shared" si="2"/>
        <v/>
      </c>
      <c r="AZ2139" s="82"/>
      <c r="BA2139" s="84" t="s">
        <v>152</v>
      </c>
      <c r="BB2139" s="84" t="str">
        <f>IFERROR(__xludf.DUMMYFUNCTION("iferror(if(A2139="""",,E2139&gt;=FILTER(Constants!$F$2:$F$10,Constants!$A$2:$A$10=A2139)))"),"")</f>
        <v/>
      </c>
    </row>
    <row r="2140">
      <c r="A2140" s="87"/>
      <c r="B2140" s="87"/>
      <c r="C2140" s="73"/>
      <c r="D2140" s="73"/>
      <c r="E2140" s="82"/>
      <c r="F2140" s="82"/>
      <c r="G2140" s="86"/>
      <c r="H2140" s="86"/>
      <c r="I2140" s="86"/>
      <c r="J2140" s="82"/>
      <c r="K2140" s="82"/>
      <c r="L2140" s="82"/>
      <c r="M2140" s="82"/>
      <c r="N2140" s="82"/>
      <c r="O2140" s="82"/>
      <c r="P2140" s="82"/>
      <c r="Q2140" s="82"/>
      <c r="R2140" s="82"/>
      <c r="S2140" s="82"/>
      <c r="T2140" s="82"/>
      <c r="U2140" s="82"/>
      <c r="V2140" s="82"/>
      <c r="W2140" s="82"/>
      <c r="X2140" s="82"/>
      <c r="Y2140" s="82"/>
      <c r="Z2140" s="82"/>
      <c r="AA2140" s="82"/>
      <c r="AB2140" s="82"/>
      <c r="AC2140" s="82"/>
      <c r="AD2140" s="82"/>
      <c r="AE2140" s="82"/>
      <c r="AF2140" s="82"/>
      <c r="AG2140" s="82"/>
      <c r="AH2140" s="82"/>
      <c r="AI2140" s="82"/>
      <c r="AJ2140" s="82"/>
      <c r="AK2140" s="82"/>
      <c r="AL2140" s="82"/>
      <c r="AM2140" s="82"/>
      <c r="AN2140" s="82"/>
      <c r="AO2140" s="82"/>
      <c r="AP2140" s="82"/>
      <c r="AQ2140" s="82"/>
      <c r="AR2140" s="82"/>
      <c r="AS2140" s="82"/>
      <c r="AT2140" s="82"/>
      <c r="AU2140" s="82"/>
      <c r="AV2140" s="82"/>
      <c r="AW2140" s="82" t="str">
        <f t="shared" si="1"/>
        <v/>
      </c>
      <c r="AX2140" s="83" t="str">
        <f t="array" ref="AX2140">IFERROR(DGET('SBV Import'!A:G,"SBV",{"RSC ID","Tier";B2140,A2140}))</f>
        <v/>
      </c>
      <c r="AY2140" s="82" t="str">
        <f t="shared" si="2"/>
        <v/>
      </c>
      <c r="AZ2140" s="82"/>
      <c r="BA2140" s="84" t="s">
        <v>152</v>
      </c>
      <c r="BB2140" s="84" t="str">
        <f>IFERROR(__xludf.DUMMYFUNCTION("iferror(if(A2140="""",,E2140&gt;=FILTER(Constants!$F$2:$F$10,Constants!$A$2:$A$10=A2140)))"),"")</f>
        <v/>
      </c>
    </row>
    <row r="2141">
      <c r="A2141" s="87"/>
      <c r="B2141" s="87"/>
      <c r="C2141" s="73"/>
      <c r="D2141" s="73"/>
      <c r="E2141" s="82"/>
      <c r="F2141" s="82"/>
      <c r="G2141" s="86"/>
      <c r="H2141" s="86"/>
      <c r="I2141" s="86"/>
      <c r="J2141" s="82"/>
      <c r="K2141" s="82"/>
      <c r="L2141" s="82"/>
      <c r="M2141" s="82"/>
      <c r="N2141" s="82"/>
      <c r="O2141" s="82"/>
      <c r="P2141" s="82"/>
      <c r="Q2141" s="82"/>
      <c r="R2141" s="82"/>
      <c r="S2141" s="82"/>
      <c r="T2141" s="82"/>
      <c r="U2141" s="82"/>
      <c r="V2141" s="82"/>
      <c r="W2141" s="82"/>
      <c r="X2141" s="82"/>
      <c r="Y2141" s="82"/>
      <c r="Z2141" s="82"/>
      <c r="AA2141" s="82"/>
      <c r="AB2141" s="82"/>
      <c r="AC2141" s="82"/>
      <c r="AD2141" s="82"/>
      <c r="AE2141" s="82"/>
      <c r="AF2141" s="82"/>
      <c r="AG2141" s="82"/>
      <c r="AH2141" s="82"/>
      <c r="AI2141" s="82"/>
      <c r="AJ2141" s="82"/>
      <c r="AK2141" s="82"/>
      <c r="AL2141" s="82"/>
      <c r="AM2141" s="82"/>
      <c r="AN2141" s="82"/>
      <c r="AO2141" s="82"/>
      <c r="AP2141" s="82"/>
      <c r="AQ2141" s="82"/>
      <c r="AR2141" s="82"/>
      <c r="AS2141" s="82"/>
      <c r="AT2141" s="82"/>
      <c r="AU2141" s="82"/>
      <c r="AV2141" s="82"/>
      <c r="AW2141" s="82" t="str">
        <f t="shared" si="1"/>
        <v/>
      </c>
      <c r="AX2141" s="83" t="str">
        <f t="array" ref="AX2141">IFERROR(DGET('SBV Import'!A:G,"SBV",{"RSC ID","Tier";B2141,A2141}))</f>
        <v/>
      </c>
      <c r="AY2141" s="82" t="str">
        <f t="shared" si="2"/>
        <v/>
      </c>
      <c r="AZ2141" s="82"/>
      <c r="BA2141" s="84" t="s">
        <v>152</v>
      </c>
      <c r="BB2141" s="84" t="str">
        <f>IFERROR(__xludf.DUMMYFUNCTION("iferror(if(A2141="""",,E2141&gt;=FILTER(Constants!$F$2:$F$10,Constants!$A$2:$A$10=A2141)))"),"")</f>
        <v/>
      </c>
    </row>
    <row r="2142">
      <c r="A2142" s="87"/>
      <c r="B2142" s="87"/>
      <c r="C2142" s="73"/>
      <c r="D2142" s="73"/>
      <c r="E2142" s="82"/>
      <c r="F2142" s="82"/>
      <c r="G2142" s="86"/>
      <c r="H2142" s="86"/>
      <c r="I2142" s="86"/>
      <c r="J2142" s="82"/>
      <c r="K2142" s="82"/>
      <c r="L2142" s="82"/>
      <c r="M2142" s="82"/>
      <c r="N2142" s="82"/>
      <c r="O2142" s="82"/>
      <c r="P2142" s="82"/>
      <c r="Q2142" s="82"/>
      <c r="R2142" s="82"/>
      <c r="S2142" s="82"/>
      <c r="T2142" s="82"/>
      <c r="U2142" s="82"/>
      <c r="V2142" s="82"/>
      <c r="W2142" s="82"/>
      <c r="X2142" s="82"/>
      <c r="Y2142" s="82"/>
      <c r="Z2142" s="82"/>
      <c r="AA2142" s="82"/>
      <c r="AB2142" s="82"/>
      <c r="AC2142" s="82"/>
      <c r="AD2142" s="82"/>
      <c r="AE2142" s="82"/>
      <c r="AF2142" s="82"/>
      <c r="AG2142" s="82"/>
      <c r="AH2142" s="82"/>
      <c r="AI2142" s="82"/>
      <c r="AJ2142" s="82"/>
      <c r="AK2142" s="82"/>
      <c r="AL2142" s="82"/>
      <c r="AM2142" s="82"/>
      <c r="AN2142" s="82"/>
      <c r="AO2142" s="82"/>
      <c r="AP2142" s="82"/>
      <c r="AQ2142" s="82"/>
      <c r="AR2142" s="82"/>
      <c r="AS2142" s="82"/>
      <c r="AT2142" s="82"/>
      <c r="AU2142" s="82"/>
      <c r="AV2142" s="82"/>
      <c r="AW2142" s="82" t="str">
        <f t="shared" si="1"/>
        <v/>
      </c>
      <c r="AX2142" s="83" t="str">
        <f t="array" ref="AX2142">IFERROR(DGET('SBV Import'!A:G,"SBV",{"RSC ID","Tier";B2142,A2142}))</f>
        <v/>
      </c>
      <c r="AY2142" s="82" t="str">
        <f t="shared" si="2"/>
        <v/>
      </c>
      <c r="AZ2142" s="82"/>
      <c r="BA2142" s="84" t="s">
        <v>152</v>
      </c>
      <c r="BB2142" s="84" t="str">
        <f>IFERROR(__xludf.DUMMYFUNCTION("iferror(if(A2142="""",,E2142&gt;=FILTER(Constants!$F$2:$F$10,Constants!$A$2:$A$10=A2142)))"),"")</f>
        <v/>
      </c>
    </row>
    <row r="2143">
      <c r="A2143" s="87"/>
      <c r="B2143" s="87"/>
      <c r="C2143" s="73"/>
      <c r="D2143" s="73"/>
      <c r="E2143" s="82"/>
      <c r="F2143" s="82"/>
      <c r="G2143" s="86"/>
      <c r="H2143" s="86"/>
      <c r="I2143" s="86"/>
      <c r="J2143" s="82"/>
      <c r="K2143" s="82"/>
      <c r="L2143" s="82"/>
      <c r="M2143" s="82"/>
      <c r="N2143" s="82"/>
      <c r="O2143" s="82"/>
      <c r="P2143" s="82"/>
      <c r="Q2143" s="82"/>
      <c r="R2143" s="82"/>
      <c r="S2143" s="82"/>
      <c r="T2143" s="82"/>
      <c r="U2143" s="82"/>
      <c r="V2143" s="82"/>
      <c r="W2143" s="82"/>
      <c r="X2143" s="82"/>
      <c r="Y2143" s="82"/>
      <c r="Z2143" s="82"/>
      <c r="AA2143" s="82"/>
      <c r="AB2143" s="82"/>
      <c r="AC2143" s="82"/>
      <c r="AD2143" s="82"/>
      <c r="AE2143" s="82"/>
      <c r="AF2143" s="82"/>
      <c r="AG2143" s="82"/>
      <c r="AH2143" s="82"/>
      <c r="AI2143" s="82"/>
      <c r="AJ2143" s="82"/>
      <c r="AK2143" s="82"/>
      <c r="AL2143" s="82"/>
      <c r="AM2143" s="82"/>
      <c r="AN2143" s="82"/>
      <c r="AO2143" s="82"/>
      <c r="AP2143" s="82"/>
      <c r="AQ2143" s="82"/>
      <c r="AR2143" s="82"/>
      <c r="AS2143" s="82"/>
      <c r="AT2143" s="82"/>
      <c r="AU2143" s="82"/>
      <c r="AV2143" s="82"/>
      <c r="AW2143" s="82" t="str">
        <f t="shared" si="1"/>
        <v/>
      </c>
      <c r="AX2143" s="83" t="str">
        <f t="array" ref="AX2143">IFERROR(DGET('SBV Import'!A:G,"SBV",{"RSC ID","Tier";B2143,A2143}))</f>
        <v/>
      </c>
      <c r="AY2143" s="82" t="str">
        <f t="shared" si="2"/>
        <v/>
      </c>
      <c r="AZ2143" s="82"/>
      <c r="BA2143" s="84" t="s">
        <v>152</v>
      </c>
      <c r="BB2143" s="84" t="str">
        <f>IFERROR(__xludf.DUMMYFUNCTION("iferror(if(A2143="""",,E2143&gt;=FILTER(Constants!$F$2:$F$10,Constants!$A$2:$A$10=A2143)))"),"")</f>
        <v/>
      </c>
    </row>
    <row r="2144">
      <c r="A2144" s="87"/>
      <c r="B2144" s="87"/>
      <c r="C2144" s="73"/>
      <c r="D2144" s="73"/>
      <c r="E2144" s="82"/>
      <c r="F2144" s="82"/>
      <c r="G2144" s="86"/>
      <c r="H2144" s="86"/>
      <c r="I2144" s="86"/>
      <c r="J2144" s="82"/>
      <c r="K2144" s="82"/>
      <c r="L2144" s="82"/>
      <c r="M2144" s="82"/>
      <c r="N2144" s="82"/>
      <c r="O2144" s="82"/>
      <c r="P2144" s="82"/>
      <c r="Q2144" s="82"/>
      <c r="R2144" s="82"/>
      <c r="S2144" s="82"/>
      <c r="T2144" s="82"/>
      <c r="U2144" s="82"/>
      <c r="V2144" s="82"/>
      <c r="W2144" s="82"/>
      <c r="X2144" s="82"/>
      <c r="Y2144" s="82"/>
      <c r="Z2144" s="82"/>
      <c r="AA2144" s="82"/>
      <c r="AB2144" s="82"/>
      <c r="AC2144" s="82"/>
      <c r="AD2144" s="82"/>
      <c r="AE2144" s="82"/>
      <c r="AF2144" s="82"/>
      <c r="AG2144" s="82"/>
      <c r="AH2144" s="82"/>
      <c r="AI2144" s="82"/>
      <c r="AJ2144" s="82"/>
      <c r="AK2144" s="82"/>
      <c r="AL2144" s="82"/>
      <c r="AM2144" s="82"/>
      <c r="AN2144" s="82"/>
      <c r="AO2144" s="82"/>
      <c r="AP2144" s="82"/>
      <c r="AQ2144" s="82"/>
      <c r="AR2144" s="82"/>
      <c r="AS2144" s="82"/>
      <c r="AT2144" s="82"/>
      <c r="AU2144" s="82"/>
      <c r="AV2144" s="82"/>
      <c r="AW2144" s="82" t="str">
        <f t="shared" si="1"/>
        <v/>
      </c>
      <c r="AX2144" s="83" t="str">
        <f t="array" ref="AX2144">IFERROR(DGET('SBV Import'!A:G,"SBV",{"RSC ID","Tier";B2144,A2144}))</f>
        <v/>
      </c>
      <c r="AY2144" s="82" t="str">
        <f t="shared" si="2"/>
        <v/>
      </c>
      <c r="AZ2144" s="82"/>
      <c r="BA2144" s="84" t="s">
        <v>152</v>
      </c>
      <c r="BB2144" s="84" t="str">
        <f>IFERROR(__xludf.DUMMYFUNCTION("iferror(if(A2144="""",,E2144&gt;=FILTER(Constants!$F$2:$F$10,Constants!$A$2:$A$10=A2144)))"),"")</f>
        <v/>
      </c>
    </row>
    <row r="2145">
      <c r="A2145" s="87"/>
      <c r="B2145" s="87"/>
      <c r="C2145" s="73"/>
      <c r="D2145" s="73"/>
      <c r="E2145" s="82"/>
      <c r="F2145" s="82"/>
      <c r="G2145" s="86"/>
      <c r="H2145" s="86"/>
      <c r="I2145" s="86"/>
      <c r="J2145" s="82"/>
      <c r="K2145" s="82"/>
      <c r="L2145" s="82"/>
      <c r="M2145" s="82"/>
      <c r="N2145" s="82"/>
      <c r="O2145" s="82"/>
      <c r="P2145" s="82"/>
      <c r="Q2145" s="82"/>
      <c r="R2145" s="82"/>
      <c r="S2145" s="82"/>
      <c r="T2145" s="82"/>
      <c r="U2145" s="82"/>
      <c r="V2145" s="82"/>
      <c r="W2145" s="82"/>
      <c r="X2145" s="82"/>
      <c r="Y2145" s="82"/>
      <c r="Z2145" s="82"/>
      <c r="AA2145" s="82"/>
      <c r="AB2145" s="82"/>
      <c r="AC2145" s="82"/>
      <c r="AD2145" s="82"/>
      <c r="AE2145" s="82"/>
      <c r="AF2145" s="82"/>
      <c r="AG2145" s="82"/>
      <c r="AH2145" s="82"/>
      <c r="AI2145" s="82"/>
      <c r="AJ2145" s="82"/>
      <c r="AK2145" s="82"/>
      <c r="AL2145" s="82"/>
      <c r="AM2145" s="82"/>
      <c r="AN2145" s="82"/>
      <c r="AO2145" s="82"/>
      <c r="AP2145" s="82"/>
      <c r="AQ2145" s="82"/>
      <c r="AR2145" s="82"/>
      <c r="AS2145" s="82"/>
      <c r="AT2145" s="82"/>
      <c r="AU2145" s="82"/>
      <c r="AV2145" s="82"/>
      <c r="AW2145" s="82" t="str">
        <f t="shared" si="1"/>
        <v/>
      </c>
      <c r="AX2145" s="83" t="str">
        <f t="array" ref="AX2145">IFERROR(DGET('SBV Import'!A:G,"SBV",{"RSC ID","Tier";B2145,A2145}))</f>
        <v/>
      </c>
      <c r="AY2145" s="82" t="str">
        <f t="shared" si="2"/>
        <v/>
      </c>
      <c r="AZ2145" s="82"/>
      <c r="BA2145" s="84" t="s">
        <v>152</v>
      </c>
      <c r="BB2145" s="84" t="str">
        <f>IFERROR(__xludf.DUMMYFUNCTION("iferror(if(A2145="""",,E2145&gt;=FILTER(Constants!$F$2:$F$10,Constants!$A$2:$A$10=A2145)))"),"")</f>
        <v/>
      </c>
    </row>
    <row r="2146">
      <c r="A2146" s="87"/>
      <c r="B2146" s="87"/>
      <c r="C2146" s="73"/>
      <c r="D2146" s="73"/>
      <c r="E2146" s="82"/>
      <c r="F2146" s="82"/>
      <c r="G2146" s="86"/>
      <c r="H2146" s="86"/>
      <c r="I2146" s="86"/>
      <c r="J2146" s="82"/>
      <c r="K2146" s="82"/>
      <c r="L2146" s="82"/>
      <c r="M2146" s="82"/>
      <c r="N2146" s="82"/>
      <c r="O2146" s="82"/>
      <c r="P2146" s="82"/>
      <c r="Q2146" s="82"/>
      <c r="R2146" s="82"/>
      <c r="S2146" s="82"/>
      <c r="T2146" s="82"/>
      <c r="U2146" s="82"/>
      <c r="V2146" s="82"/>
      <c r="W2146" s="82"/>
      <c r="X2146" s="82"/>
      <c r="Y2146" s="82"/>
      <c r="Z2146" s="82"/>
      <c r="AA2146" s="82"/>
      <c r="AB2146" s="82"/>
      <c r="AC2146" s="82"/>
      <c r="AD2146" s="82"/>
      <c r="AE2146" s="82"/>
      <c r="AF2146" s="82"/>
      <c r="AG2146" s="82"/>
      <c r="AH2146" s="82"/>
      <c r="AI2146" s="82"/>
      <c r="AJ2146" s="82"/>
      <c r="AK2146" s="82"/>
      <c r="AL2146" s="82"/>
      <c r="AM2146" s="82"/>
      <c r="AN2146" s="82"/>
      <c r="AO2146" s="82"/>
      <c r="AP2146" s="82"/>
      <c r="AQ2146" s="82"/>
      <c r="AR2146" s="82"/>
      <c r="AS2146" s="82"/>
      <c r="AT2146" s="82"/>
      <c r="AU2146" s="82"/>
      <c r="AV2146" s="82"/>
      <c r="AW2146" s="82" t="str">
        <f t="shared" si="1"/>
        <v/>
      </c>
      <c r="AX2146" s="83" t="str">
        <f t="array" ref="AX2146">IFERROR(DGET('SBV Import'!A:G,"SBV",{"RSC ID","Tier";B2146,A2146}))</f>
        <v/>
      </c>
      <c r="AY2146" s="82" t="str">
        <f t="shared" si="2"/>
        <v/>
      </c>
      <c r="AZ2146" s="82"/>
      <c r="BA2146" s="84" t="s">
        <v>152</v>
      </c>
      <c r="BB2146" s="84" t="str">
        <f>IFERROR(__xludf.DUMMYFUNCTION("iferror(if(A2146="""",,E2146&gt;=FILTER(Constants!$F$2:$F$10,Constants!$A$2:$A$10=A2146)))"),"")</f>
        <v/>
      </c>
    </row>
    <row r="2147">
      <c r="A2147" s="87"/>
      <c r="B2147" s="87"/>
      <c r="C2147" s="73"/>
      <c r="D2147" s="73"/>
      <c r="E2147" s="82"/>
      <c r="F2147" s="82"/>
      <c r="G2147" s="86"/>
      <c r="H2147" s="86"/>
      <c r="I2147" s="86"/>
      <c r="J2147" s="82"/>
      <c r="K2147" s="82"/>
      <c r="L2147" s="82"/>
      <c r="M2147" s="82"/>
      <c r="N2147" s="82"/>
      <c r="O2147" s="82"/>
      <c r="P2147" s="82"/>
      <c r="Q2147" s="82"/>
      <c r="R2147" s="82"/>
      <c r="S2147" s="82"/>
      <c r="T2147" s="82"/>
      <c r="U2147" s="82"/>
      <c r="V2147" s="82"/>
      <c r="W2147" s="82"/>
      <c r="X2147" s="82"/>
      <c r="Y2147" s="82"/>
      <c r="Z2147" s="82"/>
      <c r="AA2147" s="82"/>
      <c r="AB2147" s="82"/>
      <c r="AC2147" s="82"/>
      <c r="AD2147" s="82"/>
      <c r="AE2147" s="82"/>
      <c r="AF2147" s="82"/>
      <c r="AG2147" s="82"/>
      <c r="AH2147" s="82"/>
      <c r="AI2147" s="82"/>
      <c r="AJ2147" s="82"/>
      <c r="AK2147" s="82"/>
      <c r="AL2147" s="82"/>
      <c r="AM2147" s="82"/>
      <c r="AN2147" s="82"/>
      <c r="AO2147" s="82"/>
      <c r="AP2147" s="82"/>
      <c r="AQ2147" s="82"/>
      <c r="AR2147" s="82"/>
      <c r="AS2147" s="82"/>
      <c r="AT2147" s="82"/>
      <c r="AU2147" s="82"/>
      <c r="AV2147" s="82"/>
      <c r="AW2147" s="82" t="str">
        <f t="shared" si="1"/>
        <v/>
      </c>
      <c r="AX2147" s="83" t="str">
        <f t="array" ref="AX2147">IFERROR(DGET('SBV Import'!A:G,"SBV",{"RSC ID","Tier";B2147,A2147}))</f>
        <v/>
      </c>
      <c r="AY2147" s="82" t="str">
        <f t="shared" si="2"/>
        <v/>
      </c>
      <c r="AZ2147" s="82"/>
      <c r="BA2147" s="84" t="s">
        <v>152</v>
      </c>
      <c r="BB2147" s="84" t="str">
        <f>IFERROR(__xludf.DUMMYFUNCTION("iferror(if(A2147="""",,E2147&gt;=FILTER(Constants!$F$2:$F$10,Constants!$A$2:$A$10=A2147)))"),"")</f>
        <v/>
      </c>
    </row>
    <row r="2148">
      <c r="A2148" s="87"/>
      <c r="B2148" s="87"/>
      <c r="C2148" s="73"/>
      <c r="D2148" s="73"/>
      <c r="E2148" s="82"/>
      <c r="F2148" s="82"/>
      <c r="G2148" s="86"/>
      <c r="H2148" s="86"/>
      <c r="I2148" s="86"/>
      <c r="J2148" s="82"/>
      <c r="K2148" s="82"/>
      <c r="L2148" s="82"/>
      <c r="M2148" s="82"/>
      <c r="N2148" s="82"/>
      <c r="O2148" s="84"/>
      <c r="P2148" s="84"/>
      <c r="Q2148" s="84"/>
      <c r="R2148" s="84"/>
      <c r="S2148" s="84"/>
      <c r="T2148" s="73"/>
      <c r="U2148" s="73"/>
      <c r="V2148" s="73"/>
      <c r="W2148" s="73"/>
      <c r="X2148" s="73"/>
      <c r="Y2148" s="73"/>
      <c r="Z2148" s="73"/>
      <c r="AA2148" s="73"/>
      <c r="AB2148" s="73"/>
      <c r="AC2148" s="73"/>
      <c r="AD2148" s="73"/>
      <c r="AE2148" s="73"/>
      <c r="AF2148" s="73"/>
      <c r="AG2148" s="73"/>
      <c r="AH2148" s="73"/>
      <c r="AI2148" s="73"/>
      <c r="AJ2148" s="73"/>
      <c r="AK2148" s="73"/>
      <c r="AL2148" s="73"/>
      <c r="AM2148" s="73"/>
      <c r="AN2148" s="82"/>
      <c r="AO2148" s="82"/>
      <c r="AP2148" s="82"/>
      <c r="AQ2148" s="82"/>
      <c r="AR2148" s="82"/>
      <c r="AS2148" s="82"/>
      <c r="AT2148" s="82"/>
      <c r="AU2148" s="82"/>
      <c r="AV2148" s="82"/>
      <c r="AW2148" s="82" t="str">
        <f t="shared" si="1"/>
        <v/>
      </c>
      <c r="AX2148" s="83" t="str">
        <f t="array" ref="AX2148">IFERROR(DGET('SBV Import'!A:G,"SBV",{"RSC ID","Tier";B2148,A2148}))</f>
        <v/>
      </c>
      <c r="AY2148" s="82" t="str">
        <f t="shared" si="2"/>
        <v/>
      </c>
      <c r="AZ2148" s="82"/>
      <c r="BA2148" s="84" t="s">
        <v>152</v>
      </c>
      <c r="BB2148" s="84" t="str">
        <f>IFERROR(__xludf.DUMMYFUNCTION("iferror(if(A2148="""",,E2148&gt;=FILTER(Constants!$F$2:$F$10,Constants!$A$2:$A$10=A2148)))"),"")</f>
        <v/>
      </c>
    </row>
    <row r="2149">
      <c r="A2149" s="87"/>
      <c r="B2149" s="87"/>
      <c r="C2149" s="73"/>
      <c r="D2149" s="73"/>
      <c r="E2149" s="82"/>
      <c r="F2149" s="82"/>
      <c r="G2149" s="86"/>
      <c r="H2149" s="86"/>
      <c r="I2149" s="86"/>
      <c r="J2149" s="82"/>
      <c r="K2149" s="82"/>
      <c r="L2149" s="82"/>
      <c r="M2149" s="82"/>
      <c r="N2149" s="82"/>
      <c r="O2149" s="84"/>
      <c r="P2149" s="84"/>
      <c r="Q2149" s="84"/>
      <c r="R2149" s="84"/>
      <c r="S2149" s="84"/>
      <c r="T2149" s="73"/>
      <c r="U2149" s="73"/>
      <c r="V2149" s="73"/>
      <c r="W2149" s="73"/>
      <c r="X2149" s="73"/>
      <c r="Y2149" s="73"/>
      <c r="Z2149" s="73"/>
      <c r="AA2149" s="73"/>
      <c r="AB2149" s="73"/>
      <c r="AC2149" s="73"/>
      <c r="AD2149" s="73"/>
      <c r="AE2149" s="73"/>
      <c r="AF2149" s="73"/>
      <c r="AG2149" s="73"/>
      <c r="AH2149" s="73"/>
      <c r="AI2149" s="73"/>
      <c r="AJ2149" s="73"/>
      <c r="AK2149" s="73"/>
      <c r="AL2149" s="73"/>
      <c r="AM2149" s="73"/>
      <c r="AN2149" s="82"/>
      <c r="AO2149" s="82"/>
      <c r="AP2149" s="82"/>
      <c r="AQ2149" s="82"/>
      <c r="AR2149" s="82"/>
      <c r="AS2149" s="82"/>
      <c r="AT2149" s="82"/>
      <c r="AU2149" s="82"/>
      <c r="AV2149" s="82"/>
      <c r="AW2149" s="82" t="str">
        <f t="shared" si="1"/>
        <v/>
      </c>
      <c r="AX2149" s="83" t="str">
        <f t="array" ref="AX2149">IFERROR(DGET('SBV Import'!A:G,"SBV",{"RSC ID","Tier";B2149,A2149}))</f>
        <v/>
      </c>
      <c r="AY2149" s="82" t="str">
        <f t="shared" si="2"/>
        <v/>
      </c>
      <c r="AZ2149" s="82"/>
      <c r="BA2149" s="84" t="s">
        <v>152</v>
      </c>
      <c r="BB2149" s="84" t="str">
        <f>IFERROR(__xludf.DUMMYFUNCTION("iferror(if(A2149="""",,E2149&gt;=FILTER(Constants!$F$2:$F$10,Constants!$A$2:$A$10=A2149)))"),"")</f>
        <v/>
      </c>
    </row>
    <row r="2150">
      <c r="A2150" s="89"/>
      <c r="B2150" s="87"/>
      <c r="C2150" s="73"/>
      <c r="D2150" s="73"/>
      <c r="E2150" s="82"/>
      <c r="F2150" s="82"/>
      <c r="G2150" s="86"/>
      <c r="H2150" s="86"/>
      <c r="I2150" s="86"/>
      <c r="J2150" s="82"/>
      <c r="K2150" s="82"/>
      <c r="L2150" s="82"/>
      <c r="M2150" s="82"/>
      <c r="N2150" s="82"/>
      <c r="O2150" s="82"/>
      <c r="P2150" s="82"/>
      <c r="Q2150" s="82"/>
      <c r="R2150" s="82"/>
      <c r="S2150" s="82"/>
      <c r="T2150" s="82"/>
      <c r="U2150" s="82"/>
      <c r="V2150" s="82"/>
      <c r="W2150" s="82"/>
      <c r="X2150" s="82"/>
      <c r="Y2150" s="82"/>
      <c r="Z2150" s="82"/>
      <c r="AA2150" s="82"/>
      <c r="AB2150" s="82"/>
      <c r="AC2150" s="82"/>
      <c r="AD2150" s="82"/>
      <c r="AE2150" s="82"/>
      <c r="AF2150" s="82"/>
      <c r="AG2150" s="82"/>
      <c r="AH2150" s="82"/>
      <c r="AI2150" s="82"/>
      <c r="AJ2150" s="82"/>
      <c r="AK2150" s="82"/>
      <c r="AL2150" s="82"/>
      <c r="AM2150" s="82"/>
      <c r="AN2150" s="82"/>
      <c r="AO2150" s="82"/>
      <c r="AP2150" s="82"/>
      <c r="AQ2150" s="82"/>
      <c r="AR2150" s="82"/>
      <c r="AS2150" s="82"/>
      <c r="AT2150" s="82"/>
      <c r="AU2150" s="82"/>
      <c r="AV2150" s="82"/>
      <c r="AW2150" s="82" t="str">
        <f t="shared" si="1"/>
        <v/>
      </c>
      <c r="AX2150" s="83" t="str">
        <f t="array" ref="AX2150">IFERROR(DGET('SBV Import'!A:G,"SBV",{"RSC ID","Tier";B2150,A2150}))</f>
        <v/>
      </c>
      <c r="AY2150" s="82" t="str">
        <f t="shared" si="2"/>
        <v/>
      </c>
      <c r="AZ2150" s="82"/>
      <c r="BA2150" s="84" t="s">
        <v>152</v>
      </c>
      <c r="BB2150" s="84" t="str">
        <f>IFERROR(__xludf.DUMMYFUNCTION("iferror(if(A2150="""",,E2150&gt;=FILTER(Constants!$F$2:$F$10,Constants!$A$2:$A$10=A2150)))"),"")</f>
        <v/>
      </c>
    </row>
    <row r="2151">
      <c r="A2151" s="89"/>
      <c r="B2151" s="87"/>
      <c r="C2151" s="73"/>
      <c r="D2151" s="73"/>
      <c r="E2151" s="82"/>
      <c r="F2151" s="82"/>
      <c r="G2151" s="86"/>
      <c r="H2151" s="86"/>
      <c r="I2151" s="86"/>
      <c r="J2151" s="82"/>
      <c r="K2151" s="82"/>
      <c r="L2151" s="82"/>
      <c r="M2151" s="82"/>
      <c r="N2151" s="82"/>
      <c r="O2151" s="82"/>
      <c r="P2151" s="82"/>
      <c r="Q2151" s="82"/>
      <c r="R2151" s="82"/>
      <c r="S2151" s="82"/>
      <c r="T2151" s="82"/>
      <c r="U2151" s="82"/>
      <c r="V2151" s="82"/>
      <c r="W2151" s="82"/>
      <c r="X2151" s="82"/>
      <c r="Y2151" s="82"/>
      <c r="Z2151" s="82"/>
      <c r="AA2151" s="82"/>
      <c r="AB2151" s="82"/>
      <c r="AC2151" s="82"/>
      <c r="AD2151" s="82"/>
      <c r="AE2151" s="82"/>
      <c r="AF2151" s="82"/>
      <c r="AG2151" s="82"/>
      <c r="AH2151" s="82"/>
      <c r="AI2151" s="82"/>
      <c r="AJ2151" s="82"/>
      <c r="AK2151" s="82"/>
      <c r="AL2151" s="82"/>
      <c r="AM2151" s="82"/>
      <c r="AN2151" s="82"/>
      <c r="AO2151" s="82"/>
      <c r="AP2151" s="82"/>
      <c r="AQ2151" s="82"/>
      <c r="AR2151" s="82"/>
      <c r="AS2151" s="82"/>
      <c r="AT2151" s="82"/>
      <c r="AU2151" s="82"/>
      <c r="AV2151" s="82"/>
      <c r="AW2151" s="82" t="str">
        <f t="shared" si="1"/>
        <v/>
      </c>
      <c r="AX2151" s="83" t="str">
        <f t="array" ref="AX2151">IFERROR(DGET('SBV Import'!A:G,"SBV",{"RSC ID","Tier";B2151,A2151}))</f>
        <v/>
      </c>
      <c r="AY2151" s="82" t="str">
        <f t="shared" si="2"/>
        <v/>
      </c>
      <c r="AZ2151" s="82"/>
      <c r="BA2151" s="84" t="s">
        <v>152</v>
      </c>
      <c r="BB2151" s="84" t="str">
        <f>IFERROR(__xludf.DUMMYFUNCTION("iferror(if(A2151="""",,E2151&gt;=FILTER(Constants!$F$2:$F$10,Constants!$A$2:$A$10=A2151)))"),"")</f>
        <v/>
      </c>
    </row>
    <row r="2152">
      <c r="A2152" s="89"/>
      <c r="B2152" s="87"/>
      <c r="C2152" s="73"/>
      <c r="D2152" s="73"/>
      <c r="E2152" s="82"/>
      <c r="F2152" s="82"/>
      <c r="G2152" s="86"/>
      <c r="H2152" s="86"/>
      <c r="I2152" s="86"/>
      <c r="J2152" s="82"/>
      <c r="K2152" s="82"/>
      <c r="L2152" s="82"/>
      <c r="M2152" s="82"/>
      <c r="N2152" s="82"/>
      <c r="O2152" s="82"/>
      <c r="P2152" s="82"/>
      <c r="Q2152" s="82"/>
      <c r="R2152" s="82"/>
      <c r="S2152" s="82"/>
      <c r="T2152" s="82"/>
      <c r="U2152" s="82"/>
      <c r="V2152" s="82"/>
      <c r="W2152" s="82"/>
      <c r="X2152" s="82"/>
      <c r="Y2152" s="82"/>
      <c r="Z2152" s="82"/>
      <c r="AA2152" s="82"/>
      <c r="AB2152" s="82"/>
      <c r="AC2152" s="82"/>
      <c r="AD2152" s="82"/>
      <c r="AE2152" s="82"/>
      <c r="AF2152" s="82"/>
      <c r="AG2152" s="82"/>
      <c r="AH2152" s="82"/>
      <c r="AI2152" s="82"/>
      <c r="AJ2152" s="82"/>
      <c r="AK2152" s="82"/>
      <c r="AL2152" s="82"/>
      <c r="AM2152" s="82"/>
      <c r="AN2152" s="82"/>
      <c r="AO2152" s="82"/>
      <c r="AP2152" s="82"/>
      <c r="AQ2152" s="82"/>
      <c r="AR2152" s="82"/>
      <c r="AS2152" s="82"/>
      <c r="AT2152" s="82"/>
      <c r="AU2152" s="82"/>
      <c r="AV2152" s="82"/>
      <c r="AW2152" s="82" t="str">
        <f t="shared" si="1"/>
        <v/>
      </c>
      <c r="AX2152" s="83" t="str">
        <f t="array" ref="AX2152">IFERROR(DGET('SBV Import'!A:G,"SBV",{"RSC ID","Tier";B2152,A2152}))</f>
        <v/>
      </c>
      <c r="AY2152" s="82" t="str">
        <f t="shared" si="2"/>
        <v/>
      </c>
      <c r="AZ2152" s="82"/>
      <c r="BA2152" s="84" t="s">
        <v>152</v>
      </c>
      <c r="BB2152" s="84" t="str">
        <f>IFERROR(__xludf.DUMMYFUNCTION("iferror(if(A2152="""",,E2152&gt;=FILTER(Constants!$F$2:$F$10,Constants!$A$2:$A$10=A2152)))"),"")</f>
        <v/>
      </c>
    </row>
    <row r="2153">
      <c r="A2153" s="89"/>
      <c r="B2153" s="87"/>
      <c r="C2153" s="73"/>
      <c r="D2153" s="73"/>
      <c r="E2153" s="82"/>
      <c r="F2153" s="82"/>
      <c r="G2153" s="86"/>
      <c r="H2153" s="86"/>
      <c r="I2153" s="86"/>
      <c r="J2153" s="82"/>
      <c r="K2153" s="82"/>
      <c r="L2153" s="82"/>
      <c r="M2153" s="82"/>
      <c r="N2153" s="82"/>
      <c r="O2153" s="82"/>
      <c r="P2153" s="82"/>
      <c r="Q2153" s="82"/>
      <c r="R2153" s="82"/>
      <c r="S2153" s="82"/>
      <c r="T2153" s="82"/>
      <c r="U2153" s="82"/>
      <c r="V2153" s="82"/>
      <c r="W2153" s="82"/>
      <c r="X2153" s="82"/>
      <c r="Y2153" s="82"/>
      <c r="Z2153" s="82"/>
      <c r="AA2153" s="82"/>
      <c r="AB2153" s="82"/>
      <c r="AC2153" s="82"/>
      <c r="AD2153" s="82"/>
      <c r="AE2153" s="82"/>
      <c r="AF2153" s="82"/>
      <c r="AG2153" s="82"/>
      <c r="AH2153" s="82"/>
      <c r="AI2153" s="82"/>
      <c r="AJ2153" s="82"/>
      <c r="AK2153" s="82"/>
      <c r="AL2153" s="82"/>
      <c r="AM2153" s="82"/>
      <c r="AN2153" s="82"/>
      <c r="AO2153" s="82"/>
      <c r="AP2153" s="82"/>
      <c r="AQ2153" s="82"/>
      <c r="AR2153" s="82"/>
      <c r="AS2153" s="82"/>
      <c r="AT2153" s="82"/>
      <c r="AU2153" s="82"/>
      <c r="AV2153" s="82"/>
      <c r="AW2153" s="82" t="str">
        <f t="shared" si="1"/>
        <v/>
      </c>
      <c r="AX2153" s="83" t="str">
        <f t="array" ref="AX2153">IFERROR(DGET('SBV Import'!A:G,"SBV",{"RSC ID","Tier";B2153,A2153}))</f>
        <v/>
      </c>
      <c r="AY2153" s="82" t="str">
        <f t="shared" si="2"/>
        <v/>
      </c>
      <c r="AZ2153" s="82"/>
      <c r="BA2153" s="84" t="s">
        <v>152</v>
      </c>
      <c r="BB2153" s="84" t="str">
        <f>IFERROR(__xludf.DUMMYFUNCTION("iferror(if(A2153="""",,E2153&gt;=FILTER(Constants!$F$2:$F$10,Constants!$A$2:$A$10=A2153)))"),"")</f>
        <v/>
      </c>
    </row>
    <row r="2154">
      <c r="A2154" s="89"/>
      <c r="B2154" s="87"/>
      <c r="C2154" s="73"/>
      <c r="D2154" s="73"/>
      <c r="E2154" s="82"/>
      <c r="F2154" s="82"/>
      <c r="G2154" s="86"/>
      <c r="H2154" s="86"/>
      <c r="I2154" s="86"/>
      <c r="J2154" s="82"/>
      <c r="K2154" s="82"/>
      <c r="L2154" s="82"/>
      <c r="M2154" s="82"/>
      <c r="N2154" s="82"/>
      <c r="O2154" s="82"/>
      <c r="P2154" s="82"/>
      <c r="Q2154" s="82"/>
      <c r="R2154" s="82"/>
      <c r="S2154" s="82"/>
      <c r="T2154" s="82"/>
      <c r="U2154" s="82"/>
      <c r="V2154" s="82"/>
      <c r="W2154" s="82"/>
      <c r="X2154" s="82"/>
      <c r="Y2154" s="82"/>
      <c r="Z2154" s="82"/>
      <c r="AA2154" s="82"/>
      <c r="AB2154" s="82"/>
      <c r="AC2154" s="82"/>
      <c r="AD2154" s="82"/>
      <c r="AE2154" s="82"/>
      <c r="AF2154" s="82"/>
      <c r="AG2154" s="82"/>
      <c r="AH2154" s="82"/>
      <c r="AI2154" s="82"/>
      <c r="AJ2154" s="82"/>
      <c r="AK2154" s="82"/>
      <c r="AL2154" s="82"/>
      <c r="AM2154" s="82"/>
      <c r="AN2154" s="82"/>
      <c r="AO2154" s="82"/>
      <c r="AP2154" s="82"/>
      <c r="AQ2154" s="82"/>
      <c r="AR2154" s="82"/>
      <c r="AS2154" s="82"/>
      <c r="AT2154" s="82"/>
      <c r="AU2154" s="82"/>
      <c r="AV2154" s="82"/>
      <c r="AW2154" s="82" t="str">
        <f t="shared" si="1"/>
        <v/>
      </c>
      <c r="AX2154" s="83" t="str">
        <f t="array" ref="AX2154">IFERROR(DGET('SBV Import'!A:G,"SBV",{"RSC ID","Tier";B2154,A2154}))</f>
        <v/>
      </c>
      <c r="AY2154" s="82" t="str">
        <f t="shared" si="2"/>
        <v/>
      </c>
      <c r="AZ2154" s="82"/>
      <c r="BA2154" s="84" t="s">
        <v>152</v>
      </c>
      <c r="BB2154" s="84" t="str">
        <f>IFERROR(__xludf.DUMMYFUNCTION("iferror(if(A2154="""",,E2154&gt;=FILTER(Constants!$F$2:$F$10,Constants!$A$2:$A$10=A2154)))"),"")</f>
        <v/>
      </c>
    </row>
    <row r="2155">
      <c r="A2155" s="89"/>
      <c r="B2155" s="87"/>
      <c r="C2155" s="73"/>
      <c r="D2155" s="73"/>
      <c r="E2155" s="82"/>
      <c r="F2155" s="82"/>
      <c r="G2155" s="86"/>
      <c r="H2155" s="86"/>
      <c r="I2155" s="86"/>
      <c r="J2155" s="82"/>
      <c r="K2155" s="82"/>
      <c r="L2155" s="82"/>
      <c r="M2155" s="82"/>
      <c r="N2155" s="82"/>
      <c r="O2155" s="82"/>
      <c r="P2155" s="82"/>
      <c r="Q2155" s="82"/>
      <c r="R2155" s="82"/>
      <c r="S2155" s="82"/>
      <c r="T2155" s="82"/>
      <c r="U2155" s="82"/>
      <c r="V2155" s="82"/>
      <c r="W2155" s="82"/>
      <c r="X2155" s="82"/>
      <c r="Y2155" s="82"/>
      <c r="Z2155" s="82"/>
      <c r="AA2155" s="82"/>
      <c r="AB2155" s="82"/>
      <c r="AC2155" s="82"/>
      <c r="AD2155" s="82"/>
      <c r="AE2155" s="82"/>
      <c r="AF2155" s="82"/>
      <c r="AG2155" s="82"/>
      <c r="AH2155" s="82"/>
      <c r="AI2155" s="82"/>
      <c r="AJ2155" s="82"/>
      <c r="AK2155" s="82"/>
      <c r="AL2155" s="82"/>
      <c r="AM2155" s="82"/>
      <c r="AN2155" s="82"/>
      <c r="AO2155" s="82"/>
      <c r="AP2155" s="82"/>
      <c r="AQ2155" s="82"/>
      <c r="AR2155" s="82"/>
      <c r="AS2155" s="82"/>
      <c r="AT2155" s="82"/>
      <c r="AU2155" s="82"/>
      <c r="AV2155" s="82"/>
      <c r="AW2155" s="82" t="str">
        <f t="shared" si="1"/>
        <v/>
      </c>
      <c r="AX2155" s="83" t="str">
        <f t="array" ref="AX2155">IFERROR(DGET('SBV Import'!A:G,"SBV",{"RSC ID","Tier";B2155,A2155}))</f>
        <v/>
      </c>
      <c r="AY2155" s="82" t="str">
        <f t="shared" si="2"/>
        <v/>
      </c>
      <c r="AZ2155" s="82"/>
      <c r="BA2155" s="84" t="s">
        <v>152</v>
      </c>
      <c r="BB2155" s="84" t="str">
        <f>IFERROR(__xludf.DUMMYFUNCTION("iferror(if(A2155="""",,E2155&gt;=FILTER(Constants!$F$2:$F$10,Constants!$A$2:$A$10=A2155)))"),"")</f>
        <v/>
      </c>
    </row>
    <row r="2156">
      <c r="A2156" s="89"/>
      <c r="B2156" s="87"/>
      <c r="C2156" s="73"/>
      <c r="D2156" s="73"/>
      <c r="E2156" s="82"/>
      <c r="F2156" s="82"/>
      <c r="G2156" s="86"/>
      <c r="H2156" s="86"/>
      <c r="I2156" s="86"/>
      <c r="J2156" s="82"/>
      <c r="K2156" s="82"/>
      <c r="L2156" s="82"/>
      <c r="M2156" s="82"/>
      <c r="N2156" s="82"/>
      <c r="O2156" s="82"/>
      <c r="P2156" s="82"/>
      <c r="Q2156" s="82"/>
      <c r="R2156" s="82"/>
      <c r="S2156" s="82"/>
      <c r="T2156" s="82"/>
      <c r="U2156" s="82"/>
      <c r="V2156" s="82"/>
      <c r="W2156" s="82"/>
      <c r="X2156" s="82"/>
      <c r="Y2156" s="82"/>
      <c r="Z2156" s="82"/>
      <c r="AA2156" s="82"/>
      <c r="AB2156" s="82"/>
      <c r="AC2156" s="82"/>
      <c r="AD2156" s="82"/>
      <c r="AE2156" s="82"/>
      <c r="AF2156" s="82"/>
      <c r="AG2156" s="82"/>
      <c r="AH2156" s="82"/>
      <c r="AI2156" s="82"/>
      <c r="AJ2156" s="82"/>
      <c r="AK2156" s="82"/>
      <c r="AL2156" s="82"/>
      <c r="AM2156" s="82"/>
      <c r="AN2156" s="82"/>
      <c r="AO2156" s="82"/>
      <c r="AP2156" s="82"/>
      <c r="AQ2156" s="82"/>
      <c r="AR2156" s="82"/>
      <c r="AS2156" s="82"/>
      <c r="AT2156" s="82"/>
      <c r="AU2156" s="82"/>
      <c r="AV2156" s="82"/>
      <c r="AW2156" s="82" t="str">
        <f t="shared" si="1"/>
        <v/>
      </c>
      <c r="AX2156" s="83" t="str">
        <f t="array" ref="AX2156">IFERROR(DGET('SBV Import'!A:G,"SBV",{"RSC ID","Tier";B2156,A2156}))</f>
        <v/>
      </c>
      <c r="AY2156" s="82" t="str">
        <f t="shared" si="2"/>
        <v/>
      </c>
      <c r="AZ2156" s="82"/>
      <c r="BA2156" s="84" t="s">
        <v>152</v>
      </c>
      <c r="BB2156" s="84" t="str">
        <f>IFERROR(__xludf.DUMMYFUNCTION("iferror(if(A2156="""",,E2156&gt;=FILTER(Constants!$F$2:$F$10,Constants!$A$2:$A$10=A2156)))"),"")</f>
        <v/>
      </c>
    </row>
    <row r="2157">
      <c r="A2157" s="89"/>
      <c r="B2157" s="87"/>
      <c r="C2157" s="73"/>
      <c r="D2157" s="73"/>
      <c r="E2157" s="82"/>
      <c r="F2157" s="82"/>
      <c r="G2157" s="86"/>
      <c r="H2157" s="86"/>
      <c r="I2157" s="86"/>
      <c r="J2157" s="82"/>
      <c r="K2157" s="82"/>
      <c r="L2157" s="82"/>
      <c r="M2157" s="82"/>
      <c r="N2157" s="82"/>
      <c r="O2157" s="82"/>
      <c r="P2157" s="82"/>
      <c r="Q2157" s="82"/>
      <c r="R2157" s="82"/>
      <c r="S2157" s="82"/>
      <c r="T2157" s="82"/>
      <c r="U2157" s="82"/>
      <c r="V2157" s="82"/>
      <c r="W2157" s="82"/>
      <c r="X2157" s="82"/>
      <c r="Y2157" s="82"/>
      <c r="Z2157" s="82"/>
      <c r="AA2157" s="82"/>
      <c r="AB2157" s="82"/>
      <c r="AC2157" s="82"/>
      <c r="AD2157" s="82"/>
      <c r="AE2157" s="82"/>
      <c r="AF2157" s="82"/>
      <c r="AG2157" s="82"/>
      <c r="AH2157" s="82"/>
      <c r="AI2157" s="82"/>
      <c r="AJ2157" s="82"/>
      <c r="AK2157" s="82"/>
      <c r="AL2157" s="82"/>
      <c r="AM2157" s="82"/>
      <c r="AN2157" s="82"/>
      <c r="AO2157" s="82"/>
      <c r="AP2157" s="82"/>
      <c r="AQ2157" s="82"/>
      <c r="AR2157" s="82"/>
      <c r="AS2157" s="82"/>
      <c r="AT2157" s="82"/>
      <c r="AU2157" s="82"/>
      <c r="AV2157" s="82"/>
      <c r="AW2157" s="82" t="str">
        <f t="shared" si="1"/>
        <v/>
      </c>
      <c r="AX2157" s="83" t="str">
        <f t="array" ref="AX2157">IFERROR(DGET('SBV Import'!A:G,"SBV",{"RSC ID","Tier";B2157,A2157}))</f>
        <v/>
      </c>
      <c r="AY2157" s="82" t="str">
        <f t="shared" si="2"/>
        <v/>
      </c>
      <c r="AZ2157" s="82"/>
      <c r="BA2157" s="84" t="s">
        <v>152</v>
      </c>
      <c r="BB2157" s="84" t="str">
        <f>IFERROR(__xludf.DUMMYFUNCTION("iferror(if(A2157="""",,E2157&gt;=FILTER(Constants!$F$2:$F$10,Constants!$A$2:$A$10=A2157)))"),"")</f>
        <v/>
      </c>
    </row>
    <row r="2158">
      <c r="A2158" s="89"/>
      <c r="B2158" s="87"/>
      <c r="C2158" s="73"/>
      <c r="D2158" s="73"/>
      <c r="E2158" s="82"/>
      <c r="F2158" s="82"/>
      <c r="G2158" s="86"/>
      <c r="H2158" s="86"/>
      <c r="I2158" s="86"/>
      <c r="J2158" s="82"/>
      <c r="K2158" s="82"/>
      <c r="L2158" s="82"/>
      <c r="M2158" s="82"/>
      <c r="N2158" s="82"/>
      <c r="O2158" s="82"/>
      <c r="P2158" s="82"/>
      <c r="Q2158" s="82"/>
      <c r="R2158" s="82"/>
      <c r="S2158" s="82"/>
      <c r="T2158" s="82"/>
      <c r="U2158" s="82"/>
      <c r="V2158" s="82"/>
      <c r="W2158" s="82"/>
      <c r="X2158" s="82"/>
      <c r="Y2158" s="82"/>
      <c r="Z2158" s="82"/>
      <c r="AA2158" s="82"/>
      <c r="AB2158" s="82"/>
      <c r="AC2158" s="82"/>
      <c r="AD2158" s="82"/>
      <c r="AE2158" s="82"/>
      <c r="AF2158" s="82"/>
      <c r="AG2158" s="82"/>
      <c r="AH2158" s="82"/>
      <c r="AI2158" s="82"/>
      <c r="AJ2158" s="82"/>
      <c r="AK2158" s="82"/>
      <c r="AL2158" s="82"/>
      <c r="AM2158" s="82"/>
      <c r="AN2158" s="82"/>
      <c r="AO2158" s="82"/>
      <c r="AP2158" s="82"/>
      <c r="AQ2158" s="82"/>
      <c r="AR2158" s="82"/>
      <c r="AS2158" s="82"/>
      <c r="AT2158" s="82"/>
      <c r="AU2158" s="82"/>
      <c r="AV2158" s="82"/>
      <c r="AW2158" s="82" t="str">
        <f t="shared" si="1"/>
        <v/>
      </c>
      <c r="AX2158" s="83" t="str">
        <f t="array" ref="AX2158">IFERROR(DGET('SBV Import'!A:G,"SBV",{"RSC ID","Tier";B2158,A2158}))</f>
        <v/>
      </c>
      <c r="AY2158" s="82" t="str">
        <f t="shared" si="2"/>
        <v/>
      </c>
      <c r="AZ2158" s="82"/>
      <c r="BA2158" s="84" t="s">
        <v>152</v>
      </c>
      <c r="BB2158" s="84" t="str">
        <f>IFERROR(__xludf.DUMMYFUNCTION("iferror(if(A2158="""",,E2158&gt;=FILTER(Constants!$F$2:$F$10,Constants!$A$2:$A$10=A2158)))"),"")</f>
        <v/>
      </c>
    </row>
    <row r="2159">
      <c r="A2159" s="89"/>
      <c r="B2159" s="87"/>
      <c r="C2159" s="73"/>
      <c r="D2159" s="73"/>
      <c r="E2159" s="82"/>
      <c r="F2159" s="82"/>
      <c r="G2159" s="86"/>
      <c r="H2159" s="86"/>
      <c r="I2159" s="86"/>
      <c r="J2159" s="82"/>
      <c r="K2159" s="82"/>
      <c r="L2159" s="82"/>
      <c r="M2159" s="82"/>
      <c r="N2159" s="82"/>
      <c r="O2159" s="82"/>
      <c r="P2159" s="82"/>
      <c r="Q2159" s="82"/>
      <c r="R2159" s="82"/>
      <c r="S2159" s="82"/>
      <c r="T2159" s="82"/>
      <c r="U2159" s="82"/>
      <c r="V2159" s="82"/>
      <c r="W2159" s="82"/>
      <c r="X2159" s="82"/>
      <c r="Y2159" s="82"/>
      <c r="Z2159" s="82"/>
      <c r="AA2159" s="82"/>
      <c r="AB2159" s="82"/>
      <c r="AC2159" s="82"/>
      <c r="AD2159" s="82"/>
      <c r="AE2159" s="82"/>
      <c r="AF2159" s="82"/>
      <c r="AG2159" s="82"/>
      <c r="AH2159" s="82"/>
      <c r="AI2159" s="82"/>
      <c r="AJ2159" s="82"/>
      <c r="AK2159" s="82"/>
      <c r="AL2159" s="82"/>
      <c r="AM2159" s="82"/>
      <c r="AN2159" s="82"/>
      <c r="AO2159" s="82"/>
      <c r="AP2159" s="82"/>
      <c r="AQ2159" s="82"/>
      <c r="AR2159" s="82"/>
      <c r="AS2159" s="82"/>
      <c r="AT2159" s="82"/>
      <c r="AU2159" s="82"/>
      <c r="AV2159" s="82"/>
      <c r="AW2159" s="82" t="str">
        <f t="shared" si="1"/>
        <v/>
      </c>
      <c r="AX2159" s="83" t="str">
        <f t="array" ref="AX2159">IFERROR(DGET('SBV Import'!A:G,"SBV",{"RSC ID","Tier";B2159,A2159}))</f>
        <v/>
      </c>
      <c r="AY2159" s="82" t="str">
        <f t="shared" si="2"/>
        <v/>
      </c>
      <c r="AZ2159" s="82"/>
      <c r="BA2159" s="84" t="s">
        <v>152</v>
      </c>
      <c r="BB2159" s="84" t="str">
        <f>IFERROR(__xludf.DUMMYFUNCTION("iferror(if(A2159="""",,E2159&gt;=FILTER(Constants!$F$2:$F$10,Constants!$A$2:$A$10=A2159)))"),"")</f>
        <v/>
      </c>
    </row>
    <row r="2160">
      <c r="A2160" s="89"/>
      <c r="B2160" s="87"/>
      <c r="C2160" s="73"/>
      <c r="D2160" s="73"/>
      <c r="E2160" s="82"/>
      <c r="F2160" s="82"/>
      <c r="G2160" s="86"/>
      <c r="H2160" s="86"/>
      <c r="I2160" s="86"/>
      <c r="J2160" s="82"/>
      <c r="K2160" s="82"/>
      <c r="L2160" s="82"/>
      <c r="M2160" s="82"/>
      <c r="N2160" s="82"/>
      <c r="O2160" s="82"/>
      <c r="P2160" s="82"/>
      <c r="Q2160" s="82"/>
      <c r="R2160" s="82"/>
      <c r="S2160" s="82"/>
      <c r="T2160" s="82"/>
      <c r="U2160" s="82"/>
      <c r="V2160" s="82"/>
      <c r="W2160" s="82"/>
      <c r="X2160" s="82"/>
      <c r="Y2160" s="82"/>
      <c r="Z2160" s="82"/>
      <c r="AA2160" s="82"/>
      <c r="AB2160" s="82"/>
      <c r="AC2160" s="82"/>
      <c r="AD2160" s="82"/>
      <c r="AE2160" s="82"/>
      <c r="AF2160" s="82"/>
      <c r="AG2160" s="82"/>
      <c r="AH2160" s="82"/>
      <c r="AI2160" s="82"/>
      <c r="AJ2160" s="82"/>
      <c r="AK2160" s="82"/>
      <c r="AL2160" s="82"/>
      <c r="AM2160" s="82"/>
      <c r="AN2160" s="82"/>
      <c r="AO2160" s="82"/>
      <c r="AP2160" s="82"/>
      <c r="AQ2160" s="82"/>
      <c r="AR2160" s="82"/>
      <c r="AS2160" s="82"/>
      <c r="AT2160" s="82"/>
      <c r="AU2160" s="82"/>
      <c r="AV2160" s="82"/>
      <c r="AW2160" s="82" t="str">
        <f t="shared" si="1"/>
        <v/>
      </c>
      <c r="AX2160" s="83" t="str">
        <f t="array" ref="AX2160">IFERROR(DGET('SBV Import'!A:G,"SBV",{"RSC ID","Tier";B2160,A2160}))</f>
        <v/>
      </c>
      <c r="AY2160" s="82" t="str">
        <f t="shared" si="2"/>
        <v/>
      </c>
      <c r="AZ2160" s="82"/>
      <c r="BA2160" s="84" t="s">
        <v>152</v>
      </c>
      <c r="BB2160" s="84" t="str">
        <f>IFERROR(__xludf.DUMMYFUNCTION("iferror(if(A2160="""",,E2160&gt;=FILTER(Constants!$F$2:$F$10,Constants!$A$2:$A$10=A2160)))"),"")</f>
        <v/>
      </c>
    </row>
    <row r="2161">
      <c r="A2161" s="89"/>
      <c r="B2161" s="87"/>
      <c r="C2161" s="73"/>
      <c r="D2161" s="73"/>
      <c r="E2161" s="82"/>
      <c r="F2161" s="82"/>
      <c r="G2161" s="86"/>
      <c r="H2161" s="86"/>
      <c r="I2161" s="86"/>
      <c r="J2161" s="82"/>
      <c r="K2161" s="82"/>
      <c r="L2161" s="82"/>
      <c r="M2161" s="82"/>
      <c r="N2161" s="82"/>
      <c r="O2161" s="82"/>
      <c r="P2161" s="82"/>
      <c r="Q2161" s="82"/>
      <c r="R2161" s="82"/>
      <c r="S2161" s="82"/>
      <c r="T2161" s="82"/>
      <c r="U2161" s="82"/>
      <c r="V2161" s="82"/>
      <c r="W2161" s="82"/>
      <c r="X2161" s="82"/>
      <c r="Y2161" s="82"/>
      <c r="Z2161" s="82"/>
      <c r="AA2161" s="82"/>
      <c r="AB2161" s="82"/>
      <c r="AC2161" s="82"/>
      <c r="AD2161" s="82"/>
      <c r="AE2161" s="82"/>
      <c r="AF2161" s="82"/>
      <c r="AG2161" s="82"/>
      <c r="AH2161" s="82"/>
      <c r="AI2161" s="82"/>
      <c r="AJ2161" s="82"/>
      <c r="AK2161" s="82"/>
      <c r="AL2161" s="82"/>
      <c r="AM2161" s="82"/>
      <c r="AN2161" s="82"/>
      <c r="AO2161" s="82"/>
      <c r="AP2161" s="82"/>
      <c r="AQ2161" s="82"/>
      <c r="AR2161" s="82"/>
      <c r="AS2161" s="82"/>
      <c r="AT2161" s="82"/>
      <c r="AU2161" s="82"/>
      <c r="AV2161" s="82"/>
      <c r="AW2161" s="82" t="str">
        <f t="shared" si="1"/>
        <v/>
      </c>
      <c r="AX2161" s="83" t="str">
        <f t="array" ref="AX2161">IFERROR(DGET('SBV Import'!A:G,"SBV",{"RSC ID","Tier";B2161,A2161}))</f>
        <v/>
      </c>
      <c r="AY2161" s="82" t="str">
        <f t="shared" si="2"/>
        <v/>
      </c>
      <c r="AZ2161" s="82"/>
      <c r="BA2161" s="84" t="s">
        <v>152</v>
      </c>
      <c r="BB2161" s="84" t="str">
        <f>IFERROR(__xludf.DUMMYFUNCTION("iferror(if(A2161="""",,E2161&gt;=FILTER(Constants!$F$2:$F$10,Constants!$A$2:$A$10=A2161)))"),"")</f>
        <v/>
      </c>
    </row>
    <row r="2162">
      <c r="A2162" s="89"/>
      <c r="B2162" s="87"/>
      <c r="C2162" s="73"/>
      <c r="D2162" s="73"/>
      <c r="E2162" s="82"/>
      <c r="F2162" s="82"/>
      <c r="G2162" s="86"/>
      <c r="H2162" s="86"/>
      <c r="I2162" s="86"/>
      <c r="J2162" s="82"/>
      <c r="K2162" s="82"/>
      <c r="L2162" s="82"/>
      <c r="M2162" s="82"/>
      <c r="N2162" s="82"/>
      <c r="O2162" s="82"/>
      <c r="P2162" s="82"/>
      <c r="Q2162" s="82"/>
      <c r="R2162" s="82"/>
      <c r="S2162" s="82"/>
      <c r="T2162" s="82"/>
      <c r="U2162" s="82"/>
      <c r="V2162" s="82"/>
      <c r="W2162" s="82"/>
      <c r="X2162" s="82"/>
      <c r="Y2162" s="82"/>
      <c r="Z2162" s="82"/>
      <c r="AA2162" s="82"/>
      <c r="AB2162" s="82"/>
      <c r="AC2162" s="82"/>
      <c r="AD2162" s="82"/>
      <c r="AE2162" s="82"/>
      <c r="AF2162" s="82"/>
      <c r="AG2162" s="82"/>
      <c r="AH2162" s="82"/>
      <c r="AI2162" s="82"/>
      <c r="AJ2162" s="82"/>
      <c r="AK2162" s="82"/>
      <c r="AL2162" s="82"/>
      <c r="AM2162" s="82"/>
      <c r="AN2162" s="82"/>
      <c r="AO2162" s="82"/>
      <c r="AP2162" s="82"/>
      <c r="AQ2162" s="82"/>
      <c r="AR2162" s="82"/>
      <c r="AS2162" s="82"/>
      <c r="AT2162" s="82"/>
      <c r="AU2162" s="82"/>
      <c r="AV2162" s="82"/>
      <c r="AW2162" s="82" t="str">
        <f t="shared" si="1"/>
        <v/>
      </c>
      <c r="AX2162" s="83" t="str">
        <f t="array" ref="AX2162">IFERROR(DGET('SBV Import'!A:G,"SBV",{"RSC ID","Tier";B2162,A2162}))</f>
        <v/>
      </c>
      <c r="AY2162" s="82" t="str">
        <f t="shared" si="2"/>
        <v/>
      </c>
      <c r="AZ2162" s="82"/>
      <c r="BA2162" s="84" t="s">
        <v>152</v>
      </c>
      <c r="BB2162" s="84" t="str">
        <f>IFERROR(__xludf.DUMMYFUNCTION("iferror(if(A2162="""",,E2162&gt;=FILTER(Constants!$F$2:$F$10,Constants!$A$2:$A$10=A2162)))"),"")</f>
        <v/>
      </c>
    </row>
    <row r="2163">
      <c r="A2163" s="89"/>
      <c r="B2163" s="87"/>
      <c r="C2163" s="73"/>
      <c r="D2163" s="73"/>
      <c r="E2163" s="82"/>
      <c r="F2163" s="82"/>
      <c r="G2163" s="86"/>
      <c r="H2163" s="86"/>
      <c r="I2163" s="86"/>
      <c r="J2163" s="82"/>
      <c r="K2163" s="82"/>
      <c r="L2163" s="82"/>
      <c r="M2163" s="82"/>
      <c r="N2163" s="82"/>
      <c r="O2163" s="82"/>
      <c r="P2163" s="82"/>
      <c r="Q2163" s="82"/>
      <c r="R2163" s="82"/>
      <c r="S2163" s="82"/>
      <c r="T2163" s="82"/>
      <c r="U2163" s="82"/>
      <c r="V2163" s="82"/>
      <c r="W2163" s="82"/>
      <c r="X2163" s="82"/>
      <c r="Y2163" s="82"/>
      <c r="Z2163" s="82"/>
      <c r="AA2163" s="82"/>
      <c r="AB2163" s="82"/>
      <c r="AC2163" s="82"/>
      <c r="AD2163" s="82"/>
      <c r="AE2163" s="82"/>
      <c r="AF2163" s="82"/>
      <c r="AG2163" s="82"/>
      <c r="AH2163" s="82"/>
      <c r="AI2163" s="82"/>
      <c r="AJ2163" s="82"/>
      <c r="AK2163" s="82"/>
      <c r="AL2163" s="82"/>
      <c r="AM2163" s="82"/>
      <c r="AN2163" s="82"/>
      <c r="AO2163" s="82"/>
      <c r="AP2163" s="82"/>
      <c r="AQ2163" s="82"/>
      <c r="AR2163" s="82"/>
      <c r="AS2163" s="82"/>
      <c r="AT2163" s="82"/>
      <c r="AU2163" s="82"/>
      <c r="AV2163" s="82"/>
      <c r="AW2163" s="82" t="str">
        <f t="shared" si="1"/>
        <v/>
      </c>
      <c r="AX2163" s="83" t="str">
        <f t="array" ref="AX2163">IFERROR(DGET('SBV Import'!A:G,"SBV",{"RSC ID","Tier";B2163,A2163}))</f>
        <v/>
      </c>
      <c r="AY2163" s="82" t="str">
        <f t="shared" si="2"/>
        <v/>
      </c>
      <c r="AZ2163" s="82"/>
      <c r="BA2163" s="84" t="s">
        <v>152</v>
      </c>
      <c r="BB2163" s="84" t="str">
        <f>IFERROR(__xludf.DUMMYFUNCTION("iferror(if(A2163="""",,E2163&gt;=FILTER(Constants!$F$2:$F$10,Constants!$A$2:$A$10=A2163)))"),"")</f>
        <v/>
      </c>
    </row>
    <row r="2164">
      <c r="A2164" s="89"/>
      <c r="B2164" s="87"/>
      <c r="C2164" s="73"/>
      <c r="D2164" s="73"/>
      <c r="E2164" s="82"/>
      <c r="F2164" s="82"/>
      <c r="G2164" s="86"/>
      <c r="H2164" s="86"/>
      <c r="I2164" s="86"/>
      <c r="J2164" s="82"/>
      <c r="K2164" s="82"/>
      <c r="L2164" s="82"/>
      <c r="M2164" s="82"/>
      <c r="N2164" s="82"/>
      <c r="O2164" s="82"/>
      <c r="P2164" s="82"/>
      <c r="Q2164" s="82"/>
      <c r="R2164" s="82"/>
      <c r="S2164" s="82"/>
      <c r="T2164" s="82"/>
      <c r="U2164" s="82"/>
      <c r="V2164" s="82"/>
      <c r="W2164" s="82"/>
      <c r="X2164" s="82"/>
      <c r="Y2164" s="82"/>
      <c r="Z2164" s="82"/>
      <c r="AA2164" s="82"/>
      <c r="AB2164" s="82"/>
      <c r="AC2164" s="82"/>
      <c r="AD2164" s="82"/>
      <c r="AE2164" s="82"/>
      <c r="AF2164" s="82"/>
      <c r="AG2164" s="82"/>
      <c r="AH2164" s="82"/>
      <c r="AI2164" s="82"/>
      <c r="AJ2164" s="82"/>
      <c r="AK2164" s="82"/>
      <c r="AL2164" s="82"/>
      <c r="AM2164" s="82"/>
      <c r="AN2164" s="82"/>
      <c r="AO2164" s="82"/>
      <c r="AP2164" s="82"/>
      <c r="AQ2164" s="82"/>
      <c r="AR2164" s="82"/>
      <c r="AS2164" s="82"/>
      <c r="AT2164" s="82"/>
      <c r="AU2164" s="82"/>
      <c r="AV2164" s="82"/>
      <c r="AW2164" s="82" t="str">
        <f t="shared" si="1"/>
        <v/>
      </c>
      <c r="AX2164" s="83" t="str">
        <f t="array" ref="AX2164">IFERROR(DGET('SBV Import'!A:G,"SBV",{"RSC ID","Tier";B2164,A2164}))</f>
        <v/>
      </c>
      <c r="AY2164" s="82" t="str">
        <f t="shared" si="2"/>
        <v/>
      </c>
      <c r="AZ2164" s="82"/>
      <c r="BA2164" s="84" t="s">
        <v>152</v>
      </c>
      <c r="BB2164" s="84" t="str">
        <f>IFERROR(__xludf.DUMMYFUNCTION("iferror(if(A2164="""",,E2164&gt;=FILTER(Constants!$F$2:$F$10,Constants!$A$2:$A$10=A2164)))"),"")</f>
        <v/>
      </c>
    </row>
    <row r="2165">
      <c r="A2165" s="89"/>
      <c r="B2165" s="87"/>
      <c r="C2165" s="73"/>
      <c r="D2165" s="73"/>
      <c r="E2165" s="82"/>
      <c r="F2165" s="82"/>
      <c r="G2165" s="86"/>
      <c r="H2165" s="86"/>
      <c r="I2165" s="86"/>
      <c r="J2165" s="82"/>
      <c r="K2165" s="82"/>
      <c r="L2165" s="82"/>
      <c r="M2165" s="82"/>
      <c r="N2165" s="82"/>
      <c r="O2165" s="82"/>
      <c r="P2165" s="82"/>
      <c r="Q2165" s="82"/>
      <c r="R2165" s="82"/>
      <c r="S2165" s="82"/>
      <c r="T2165" s="82"/>
      <c r="U2165" s="82"/>
      <c r="V2165" s="82"/>
      <c r="W2165" s="82"/>
      <c r="X2165" s="82"/>
      <c r="Y2165" s="82"/>
      <c r="Z2165" s="82"/>
      <c r="AA2165" s="82"/>
      <c r="AB2165" s="82"/>
      <c r="AC2165" s="82"/>
      <c r="AD2165" s="82"/>
      <c r="AE2165" s="82"/>
      <c r="AF2165" s="82"/>
      <c r="AG2165" s="82"/>
      <c r="AH2165" s="82"/>
      <c r="AI2165" s="82"/>
      <c r="AJ2165" s="82"/>
      <c r="AK2165" s="82"/>
      <c r="AL2165" s="82"/>
      <c r="AM2165" s="82"/>
      <c r="AN2165" s="82"/>
      <c r="AO2165" s="82"/>
      <c r="AP2165" s="82"/>
      <c r="AQ2165" s="82"/>
      <c r="AR2165" s="82"/>
      <c r="AS2165" s="82"/>
      <c r="AT2165" s="82"/>
      <c r="AU2165" s="82"/>
      <c r="AV2165" s="82"/>
      <c r="AW2165" s="82" t="str">
        <f t="shared" si="1"/>
        <v/>
      </c>
      <c r="AX2165" s="83" t="str">
        <f t="array" ref="AX2165">IFERROR(DGET('SBV Import'!A:G,"SBV",{"RSC ID","Tier";B2165,A2165}))</f>
        <v/>
      </c>
      <c r="AY2165" s="82" t="str">
        <f t="shared" si="2"/>
        <v/>
      </c>
      <c r="AZ2165" s="82"/>
      <c r="BA2165" s="84" t="s">
        <v>152</v>
      </c>
      <c r="BB2165" s="84" t="str">
        <f>IFERROR(__xludf.DUMMYFUNCTION("iferror(if(A2165="""",,E2165&gt;=FILTER(Constants!$F$2:$F$10,Constants!$A$2:$A$10=A2165)))"),"")</f>
        <v/>
      </c>
    </row>
    <row r="2166">
      <c r="A2166" s="89"/>
      <c r="B2166" s="87"/>
      <c r="C2166" s="73"/>
      <c r="D2166" s="73"/>
      <c r="E2166" s="82"/>
      <c r="F2166" s="82"/>
      <c r="G2166" s="86"/>
      <c r="H2166" s="86"/>
      <c r="I2166" s="86"/>
      <c r="J2166" s="82"/>
      <c r="K2166" s="82"/>
      <c r="L2166" s="82"/>
      <c r="M2166" s="82"/>
      <c r="N2166" s="82"/>
      <c r="O2166" s="82"/>
      <c r="P2166" s="82"/>
      <c r="Q2166" s="82"/>
      <c r="R2166" s="82"/>
      <c r="S2166" s="82"/>
      <c r="T2166" s="82"/>
      <c r="U2166" s="82"/>
      <c r="V2166" s="82"/>
      <c r="W2166" s="82"/>
      <c r="X2166" s="82"/>
      <c r="Y2166" s="82"/>
      <c r="Z2166" s="82"/>
      <c r="AA2166" s="82"/>
      <c r="AB2166" s="82"/>
      <c r="AC2166" s="82"/>
      <c r="AD2166" s="82"/>
      <c r="AE2166" s="82"/>
      <c r="AF2166" s="82"/>
      <c r="AG2166" s="82"/>
      <c r="AH2166" s="82"/>
      <c r="AI2166" s="82"/>
      <c r="AJ2166" s="82"/>
      <c r="AK2166" s="82"/>
      <c r="AL2166" s="82"/>
      <c r="AM2166" s="82"/>
      <c r="AN2166" s="82"/>
      <c r="AO2166" s="82"/>
      <c r="AP2166" s="82"/>
      <c r="AQ2166" s="82"/>
      <c r="AR2166" s="82"/>
      <c r="AS2166" s="82"/>
      <c r="AT2166" s="82"/>
      <c r="AU2166" s="82"/>
      <c r="AV2166" s="82"/>
      <c r="AW2166" s="82" t="str">
        <f t="shared" si="1"/>
        <v/>
      </c>
      <c r="AX2166" s="83" t="str">
        <f t="array" ref="AX2166">IFERROR(DGET('SBV Import'!A:G,"SBV",{"RSC ID","Tier";B2166,A2166}))</f>
        <v/>
      </c>
      <c r="AY2166" s="82" t="str">
        <f t="shared" si="2"/>
        <v/>
      </c>
      <c r="AZ2166" s="82"/>
      <c r="BA2166" s="84" t="s">
        <v>152</v>
      </c>
      <c r="BB2166" s="84" t="str">
        <f>IFERROR(__xludf.DUMMYFUNCTION("iferror(if(A2166="""",,E2166&gt;=FILTER(Constants!$F$2:$F$10,Constants!$A$2:$A$10=A2166)))"),"")</f>
        <v/>
      </c>
    </row>
    <row r="2167">
      <c r="A2167" s="89"/>
      <c r="B2167" s="87"/>
      <c r="C2167" s="73"/>
      <c r="D2167" s="73"/>
      <c r="E2167" s="82"/>
      <c r="F2167" s="82"/>
      <c r="G2167" s="86"/>
      <c r="H2167" s="86"/>
      <c r="I2167" s="86"/>
      <c r="J2167" s="82"/>
      <c r="K2167" s="82"/>
      <c r="L2167" s="82"/>
      <c r="M2167" s="82"/>
      <c r="N2167" s="82"/>
      <c r="O2167" s="82"/>
      <c r="P2167" s="82"/>
      <c r="Q2167" s="82"/>
      <c r="R2167" s="82"/>
      <c r="S2167" s="82"/>
      <c r="T2167" s="82"/>
      <c r="U2167" s="82"/>
      <c r="V2167" s="82"/>
      <c r="W2167" s="82"/>
      <c r="X2167" s="82"/>
      <c r="Y2167" s="82"/>
      <c r="Z2167" s="82"/>
      <c r="AA2167" s="82"/>
      <c r="AB2167" s="82"/>
      <c r="AC2167" s="82"/>
      <c r="AD2167" s="82"/>
      <c r="AE2167" s="82"/>
      <c r="AF2167" s="82"/>
      <c r="AG2167" s="82"/>
      <c r="AH2167" s="82"/>
      <c r="AI2167" s="82"/>
      <c r="AJ2167" s="82"/>
      <c r="AK2167" s="82"/>
      <c r="AL2167" s="82"/>
      <c r="AM2167" s="82"/>
      <c r="AN2167" s="82"/>
      <c r="AO2167" s="82"/>
      <c r="AP2167" s="82"/>
      <c r="AQ2167" s="82"/>
      <c r="AR2167" s="82"/>
      <c r="AS2167" s="82"/>
      <c r="AT2167" s="82"/>
      <c r="AU2167" s="82"/>
      <c r="AV2167" s="82"/>
      <c r="AW2167" s="82" t="str">
        <f t="shared" si="1"/>
        <v/>
      </c>
      <c r="AX2167" s="83" t="str">
        <f t="array" ref="AX2167">IFERROR(DGET('SBV Import'!A:G,"SBV",{"RSC ID","Tier";B2167,A2167}))</f>
        <v/>
      </c>
      <c r="AY2167" s="82" t="str">
        <f t="shared" si="2"/>
        <v/>
      </c>
      <c r="AZ2167" s="82"/>
      <c r="BA2167" s="84" t="s">
        <v>152</v>
      </c>
      <c r="BB2167" s="84" t="str">
        <f>IFERROR(__xludf.DUMMYFUNCTION("iferror(if(A2167="""",,E2167&gt;=FILTER(Constants!$F$2:$F$10,Constants!$A$2:$A$10=A2167)))"),"")</f>
        <v/>
      </c>
    </row>
    <row r="2168">
      <c r="A2168" s="89"/>
      <c r="B2168" s="87"/>
      <c r="C2168" s="73"/>
      <c r="D2168" s="73"/>
      <c r="E2168" s="82"/>
      <c r="F2168" s="82"/>
      <c r="G2168" s="86"/>
      <c r="H2168" s="86"/>
      <c r="I2168" s="86"/>
      <c r="J2168" s="82"/>
      <c r="K2168" s="82"/>
      <c r="L2168" s="82"/>
      <c r="M2168" s="82"/>
      <c r="N2168" s="82"/>
      <c r="O2168" s="82"/>
      <c r="P2168" s="82"/>
      <c r="Q2168" s="82"/>
      <c r="R2168" s="82"/>
      <c r="S2168" s="82"/>
      <c r="T2168" s="82"/>
      <c r="U2168" s="82"/>
      <c r="V2168" s="82"/>
      <c r="W2168" s="82"/>
      <c r="X2168" s="82"/>
      <c r="Y2168" s="82"/>
      <c r="Z2168" s="82"/>
      <c r="AA2168" s="82"/>
      <c r="AB2168" s="82"/>
      <c r="AC2168" s="82"/>
      <c r="AD2168" s="82"/>
      <c r="AE2168" s="82"/>
      <c r="AF2168" s="82"/>
      <c r="AG2168" s="82"/>
      <c r="AH2168" s="82"/>
      <c r="AI2168" s="82"/>
      <c r="AJ2168" s="82"/>
      <c r="AK2168" s="82"/>
      <c r="AL2168" s="82"/>
      <c r="AM2168" s="82"/>
      <c r="AN2168" s="82"/>
      <c r="AO2168" s="82"/>
      <c r="AP2168" s="82"/>
      <c r="AQ2168" s="82"/>
      <c r="AR2168" s="82"/>
      <c r="AS2168" s="82"/>
      <c r="AT2168" s="82"/>
      <c r="AU2168" s="82"/>
      <c r="AV2168" s="82"/>
      <c r="AW2168" s="82" t="str">
        <f t="shared" si="1"/>
        <v/>
      </c>
      <c r="AX2168" s="83" t="str">
        <f t="array" ref="AX2168">IFERROR(DGET('SBV Import'!A:G,"SBV",{"RSC ID","Tier";B2168,A2168}))</f>
        <v/>
      </c>
      <c r="AY2168" s="82" t="str">
        <f t="shared" si="2"/>
        <v/>
      </c>
      <c r="AZ2168" s="82"/>
      <c r="BA2168" s="84" t="s">
        <v>152</v>
      </c>
      <c r="BB2168" s="84" t="str">
        <f>IFERROR(__xludf.DUMMYFUNCTION("iferror(if(A2168="""",,E2168&gt;=FILTER(Constants!$F$2:$F$10,Constants!$A$2:$A$10=A2168)))"),"")</f>
        <v/>
      </c>
    </row>
    <row r="2169">
      <c r="A2169" s="89"/>
      <c r="B2169" s="87"/>
      <c r="C2169" s="73"/>
      <c r="D2169" s="73"/>
      <c r="E2169" s="82"/>
      <c r="F2169" s="82"/>
      <c r="G2169" s="86"/>
      <c r="H2169" s="86"/>
      <c r="I2169" s="86"/>
      <c r="J2169" s="82"/>
      <c r="K2169" s="82"/>
      <c r="L2169" s="82"/>
      <c r="M2169" s="82"/>
      <c r="N2169" s="82"/>
      <c r="O2169" s="82"/>
      <c r="P2169" s="82"/>
      <c r="Q2169" s="82"/>
      <c r="R2169" s="82"/>
      <c r="S2169" s="82"/>
      <c r="T2169" s="82"/>
      <c r="U2169" s="82"/>
      <c r="V2169" s="82"/>
      <c r="W2169" s="82"/>
      <c r="X2169" s="82"/>
      <c r="Y2169" s="82"/>
      <c r="Z2169" s="82"/>
      <c r="AA2169" s="82"/>
      <c r="AB2169" s="82"/>
      <c r="AC2169" s="82"/>
      <c r="AD2169" s="82"/>
      <c r="AE2169" s="82"/>
      <c r="AF2169" s="82"/>
      <c r="AG2169" s="82"/>
      <c r="AH2169" s="82"/>
      <c r="AI2169" s="82"/>
      <c r="AJ2169" s="82"/>
      <c r="AK2169" s="82"/>
      <c r="AL2169" s="82"/>
      <c r="AM2169" s="82"/>
      <c r="AN2169" s="82"/>
      <c r="AO2169" s="82"/>
      <c r="AP2169" s="82"/>
      <c r="AQ2169" s="82"/>
      <c r="AR2169" s="82"/>
      <c r="AS2169" s="82"/>
      <c r="AT2169" s="82"/>
      <c r="AU2169" s="82"/>
      <c r="AV2169" s="82"/>
      <c r="AW2169" s="82" t="str">
        <f t="shared" si="1"/>
        <v/>
      </c>
      <c r="AX2169" s="83" t="str">
        <f t="array" ref="AX2169">IFERROR(DGET('SBV Import'!A:G,"SBV",{"RSC ID","Tier";B2169,A2169}))</f>
        <v/>
      </c>
      <c r="AY2169" s="82" t="str">
        <f t="shared" si="2"/>
        <v/>
      </c>
      <c r="AZ2169" s="82"/>
      <c r="BA2169" s="84" t="s">
        <v>152</v>
      </c>
      <c r="BB2169" s="84" t="str">
        <f>IFERROR(__xludf.DUMMYFUNCTION("iferror(if(A2169="""",,E2169&gt;=FILTER(Constants!$F$2:$F$10,Constants!$A$2:$A$10=A2169)))"),"")</f>
        <v/>
      </c>
    </row>
    <row r="2170">
      <c r="A2170" s="89"/>
      <c r="B2170" s="87"/>
      <c r="C2170" s="73"/>
      <c r="D2170" s="73"/>
      <c r="E2170" s="82"/>
      <c r="F2170" s="82"/>
      <c r="G2170" s="86"/>
      <c r="H2170" s="86"/>
      <c r="I2170" s="86"/>
      <c r="J2170" s="82"/>
      <c r="K2170" s="82"/>
      <c r="L2170" s="82"/>
      <c r="M2170" s="82"/>
      <c r="N2170" s="82"/>
      <c r="O2170" s="82"/>
      <c r="P2170" s="82"/>
      <c r="Q2170" s="82"/>
      <c r="R2170" s="82"/>
      <c r="S2170" s="82"/>
      <c r="T2170" s="82"/>
      <c r="U2170" s="82"/>
      <c r="V2170" s="82"/>
      <c r="W2170" s="82"/>
      <c r="X2170" s="82"/>
      <c r="Y2170" s="82"/>
      <c r="Z2170" s="82"/>
      <c r="AA2170" s="82"/>
      <c r="AB2170" s="82"/>
      <c r="AC2170" s="82"/>
      <c r="AD2170" s="82"/>
      <c r="AE2170" s="82"/>
      <c r="AF2170" s="82"/>
      <c r="AG2170" s="82"/>
      <c r="AH2170" s="82"/>
      <c r="AI2170" s="82"/>
      <c r="AJ2170" s="82"/>
      <c r="AK2170" s="82"/>
      <c r="AL2170" s="82"/>
      <c r="AM2170" s="82"/>
      <c r="AN2170" s="82"/>
      <c r="AO2170" s="82"/>
      <c r="AP2170" s="82"/>
      <c r="AQ2170" s="82"/>
      <c r="AR2170" s="82"/>
      <c r="AS2170" s="82"/>
      <c r="AT2170" s="82"/>
      <c r="AU2170" s="82"/>
      <c r="AV2170" s="82"/>
      <c r="AW2170" s="82" t="str">
        <f t="shared" si="1"/>
        <v/>
      </c>
      <c r="AX2170" s="83" t="str">
        <f t="array" ref="AX2170">IFERROR(DGET('SBV Import'!A:G,"SBV",{"RSC ID","Tier";B2170,A2170}))</f>
        <v/>
      </c>
      <c r="AY2170" s="82" t="str">
        <f t="shared" si="2"/>
        <v/>
      </c>
      <c r="AZ2170" s="82"/>
      <c r="BA2170" s="84" t="s">
        <v>152</v>
      </c>
      <c r="BB2170" s="84" t="str">
        <f>IFERROR(__xludf.DUMMYFUNCTION("iferror(if(A2170="""",,E2170&gt;=FILTER(Constants!$F$2:$F$10,Constants!$A$2:$A$10=A2170)))"),"")</f>
        <v/>
      </c>
    </row>
    <row r="2171">
      <c r="A2171" s="89"/>
      <c r="B2171" s="87"/>
      <c r="C2171" s="73"/>
      <c r="D2171" s="73"/>
      <c r="E2171" s="82"/>
      <c r="F2171" s="82"/>
      <c r="G2171" s="86"/>
      <c r="H2171" s="86"/>
      <c r="I2171" s="86"/>
      <c r="J2171" s="82"/>
      <c r="K2171" s="82"/>
      <c r="L2171" s="82"/>
      <c r="M2171" s="82"/>
      <c r="N2171" s="82"/>
      <c r="O2171" s="82"/>
      <c r="P2171" s="82"/>
      <c r="Q2171" s="82"/>
      <c r="R2171" s="82"/>
      <c r="S2171" s="82"/>
      <c r="T2171" s="82"/>
      <c r="U2171" s="82"/>
      <c r="V2171" s="82"/>
      <c r="W2171" s="82"/>
      <c r="X2171" s="82"/>
      <c r="Y2171" s="82"/>
      <c r="Z2171" s="82"/>
      <c r="AA2171" s="82"/>
      <c r="AB2171" s="82"/>
      <c r="AC2171" s="82"/>
      <c r="AD2171" s="82"/>
      <c r="AE2171" s="82"/>
      <c r="AF2171" s="82"/>
      <c r="AG2171" s="82"/>
      <c r="AH2171" s="82"/>
      <c r="AI2171" s="82"/>
      <c r="AJ2171" s="82"/>
      <c r="AK2171" s="82"/>
      <c r="AL2171" s="82"/>
      <c r="AM2171" s="82"/>
      <c r="AN2171" s="82"/>
      <c r="AO2171" s="82"/>
      <c r="AP2171" s="82"/>
      <c r="AQ2171" s="82"/>
      <c r="AR2171" s="82"/>
      <c r="AS2171" s="82"/>
      <c r="AT2171" s="82"/>
      <c r="AU2171" s="82"/>
      <c r="AV2171" s="82"/>
      <c r="AW2171" s="82" t="str">
        <f t="shared" si="1"/>
        <v/>
      </c>
      <c r="AX2171" s="83" t="str">
        <f t="array" ref="AX2171">IFERROR(DGET('SBV Import'!A:G,"SBV",{"RSC ID","Tier";B2171,A2171}))</f>
        <v/>
      </c>
      <c r="AY2171" s="82" t="str">
        <f t="shared" si="2"/>
        <v/>
      </c>
      <c r="AZ2171" s="82"/>
      <c r="BA2171" s="84" t="s">
        <v>152</v>
      </c>
      <c r="BB2171" s="84" t="str">
        <f>IFERROR(__xludf.DUMMYFUNCTION("iferror(if(A2171="""",,E2171&gt;=FILTER(Constants!$F$2:$F$10,Constants!$A$2:$A$10=A2171)))"),"")</f>
        <v/>
      </c>
    </row>
    <row r="2172">
      <c r="A2172" s="89"/>
      <c r="B2172" s="87"/>
      <c r="C2172" s="73"/>
      <c r="D2172" s="73"/>
      <c r="E2172" s="82"/>
      <c r="F2172" s="82"/>
      <c r="G2172" s="86"/>
      <c r="H2172" s="86"/>
      <c r="I2172" s="86"/>
      <c r="J2172" s="82"/>
      <c r="K2172" s="82"/>
      <c r="L2172" s="82"/>
      <c r="M2172" s="82"/>
      <c r="N2172" s="82"/>
      <c r="O2172" s="82"/>
      <c r="P2172" s="82"/>
      <c r="Q2172" s="82"/>
      <c r="R2172" s="82"/>
      <c r="S2172" s="82"/>
      <c r="T2172" s="82"/>
      <c r="U2172" s="82"/>
      <c r="V2172" s="82"/>
      <c r="W2172" s="82"/>
      <c r="X2172" s="82"/>
      <c r="Y2172" s="82"/>
      <c r="Z2172" s="82"/>
      <c r="AA2172" s="82"/>
      <c r="AB2172" s="82"/>
      <c r="AC2172" s="82"/>
      <c r="AD2172" s="82"/>
      <c r="AE2172" s="82"/>
      <c r="AF2172" s="82"/>
      <c r="AG2172" s="82"/>
      <c r="AH2172" s="82"/>
      <c r="AI2172" s="82"/>
      <c r="AJ2172" s="82"/>
      <c r="AK2172" s="82"/>
      <c r="AL2172" s="82"/>
      <c r="AM2172" s="82"/>
      <c r="AN2172" s="82"/>
      <c r="AO2172" s="82"/>
      <c r="AP2172" s="82"/>
      <c r="AQ2172" s="82"/>
      <c r="AR2172" s="82"/>
      <c r="AS2172" s="82"/>
      <c r="AT2172" s="82"/>
      <c r="AU2172" s="82"/>
      <c r="AV2172" s="82"/>
      <c r="AW2172" s="82" t="str">
        <f t="shared" si="1"/>
        <v/>
      </c>
      <c r="AX2172" s="83" t="str">
        <f t="array" ref="AX2172">IFERROR(DGET('SBV Import'!A:G,"SBV",{"RSC ID","Tier";B2172,A2172}))</f>
        <v/>
      </c>
      <c r="AY2172" s="82" t="str">
        <f t="shared" si="2"/>
        <v/>
      </c>
      <c r="AZ2172" s="82"/>
      <c r="BA2172" s="84" t="s">
        <v>152</v>
      </c>
      <c r="BB2172" s="84" t="str">
        <f>IFERROR(__xludf.DUMMYFUNCTION("iferror(if(A2172="""",,E2172&gt;=FILTER(Constants!$F$2:$F$10,Constants!$A$2:$A$10=A2172)))"),"")</f>
        <v/>
      </c>
    </row>
    <row r="2173">
      <c r="A2173" s="89"/>
      <c r="B2173" s="87"/>
      <c r="C2173" s="73"/>
      <c r="D2173" s="73"/>
      <c r="E2173" s="82"/>
      <c r="F2173" s="82"/>
      <c r="G2173" s="86"/>
      <c r="H2173" s="86"/>
      <c r="I2173" s="86"/>
      <c r="J2173" s="82"/>
      <c r="K2173" s="82"/>
      <c r="L2173" s="82"/>
      <c r="M2173" s="82"/>
      <c r="N2173" s="82"/>
      <c r="O2173" s="82"/>
      <c r="P2173" s="82"/>
      <c r="Q2173" s="82"/>
      <c r="R2173" s="82"/>
      <c r="S2173" s="82"/>
      <c r="T2173" s="82"/>
      <c r="U2173" s="82"/>
      <c r="V2173" s="82"/>
      <c r="W2173" s="82"/>
      <c r="X2173" s="82"/>
      <c r="Y2173" s="82"/>
      <c r="Z2173" s="82"/>
      <c r="AA2173" s="82"/>
      <c r="AB2173" s="82"/>
      <c r="AC2173" s="82"/>
      <c r="AD2173" s="82"/>
      <c r="AE2173" s="82"/>
      <c r="AF2173" s="82"/>
      <c r="AG2173" s="82"/>
      <c r="AH2173" s="82"/>
      <c r="AI2173" s="82"/>
      <c r="AJ2173" s="82"/>
      <c r="AK2173" s="82"/>
      <c r="AL2173" s="82"/>
      <c r="AM2173" s="82"/>
      <c r="AN2173" s="82"/>
      <c r="AO2173" s="82"/>
      <c r="AP2173" s="82"/>
      <c r="AQ2173" s="82"/>
      <c r="AR2173" s="82"/>
      <c r="AS2173" s="82"/>
      <c r="AT2173" s="82"/>
      <c r="AU2173" s="82"/>
      <c r="AV2173" s="82"/>
      <c r="AW2173" s="82" t="str">
        <f t="shared" si="1"/>
        <v/>
      </c>
      <c r="AX2173" s="83" t="str">
        <f t="array" ref="AX2173">IFERROR(DGET('SBV Import'!A:G,"SBV",{"RSC ID","Tier";B2173,A2173}))</f>
        <v/>
      </c>
      <c r="AY2173" s="82" t="str">
        <f t="shared" si="2"/>
        <v/>
      </c>
      <c r="AZ2173" s="82"/>
      <c r="BA2173" s="84" t="s">
        <v>152</v>
      </c>
      <c r="BB2173" s="84" t="str">
        <f>IFERROR(__xludf.DUMMYFUNCTION("iferror(if(A2173="""",,E2173&gt;=FILTER(Constants!$F$2:$F$10,Constants!$A$2:$A$10=A2173)))"),"")</f>
        <v/>
      </c>
    </row>
    <row r="2174">
      <c r="A2174" s="89"/>
      <c r="B2174" s="87"/>
      <c r="C2174" s="73"/>
      <c r="D2174" s="73"/>
      <c r="E2174" s="82"/>
      <c r="F2174" s="82"/>
      <c r="G2174" s="86"/>
      <c r="H2174" s="86"/>
      <c r="I2174" s="86"/>
      <c r="J2174" s="82"/>
      <c r="K2174" s="82"/>
      <c r="L2174" s="82"/>
      <c r="M2174" s="82"/>
      <c r="N2174" s="82"/>
      <c r="O2174" s="82"/>
      <c r="P2174" s="82"/>
      <c r="Q2174" s="82"/>
      <c r="R2174" s="82"/>
      <c r="S2174" s="82"/>
      <c r="T2174" s="82"/>
      <c r="U2174" s="82"/>
      <c r="V2174" s="82"/>
      <c r="W2174" s="82"/>
      <c r="X2174" s="82"/>
      <c r="Y2174" s="82"/>
      <c r="Z2174" s="82"/>
      <c r="AA2174" s="82"/>
      <c r="AB2174" s="82"/>
      <c r="AC2174" s="82"/>
      <c r="AD2174" s="82"/>
      <c r="AE2174" s="82"/>
      <c r="AF2174" s="82"/>
      <c r="AG2174" s="82"/>
      <c r="AH2174" s="82"/>
      <c r="AI2174" s="82"/>
      <c r="AJ2174" s="82"/>
      <c r="AK2174" s="82"/>
      <c r="AL2174" s="82"/>
      <c r="AM2174" s="82"/>
      <c r="AN2174" s="82"/>
      <c r="AO2174" s="82"/>
      <c r="AP2174" s="82"/>
      <c r="AQ2174" s="82"/>
      <c r="AR2174" s="82"/>
      <c r="AS2174" s="82"/>
      <c r="AT2174" s="82"/>
      <c r="AU2174" s="82"/>
      <c r="AV2174" s="82"/>
      <c r="AW2174" s="82" t="str">
        <f t="shared" si="1"/>
        <v/>
      </c>
      <c r="AX2174" s="83" t="str">
        <f t="array" ref="AX2174">IFERROR(DGET('SBV Import'!A:G,"SBV",{"RSC ID","Tier";B2174,A2174}))</f>
        <v/>
      </c>
      <c r="AY2174" s="82" t="str">
        <f t="shared" si="2"/>
        <v/>
      </c>
      <c r="AZ2174" s="82"/>
      <c r="BA2174" s="84" t="s">
        <v>152</v>
      </c>
      <c r="BB2174" s="84" t="str">
        <f>IFERROR(__xludf.DUMMYFUNCTION("iferror(if(A2174="""",,E2174&gt;=FILTER(Constants!$F$2:$F$10,Constants!$A$2:$A$10=A2174)))"),"")</f>
        <v/>
      </c>
    </row>
    <row r="2175">
      <c r="A2175" s="89"/>
      <c r="B2175" s="87"/>
      <c r="C2175" s="73"/>
      <c r="D2175" s="73"/>
      <c r="E2175" s="82"/>
      <c r="F2175" s="82"/>
      <c r="G2175" s="86"/>
      <c r="H2175" s="86"/>
      <c r="I2175" s="86"/>
      <c r="J2175" s="82"/>
      <c r="K2175" s="82"/>
      <c r="L2175" s="82"/>
      <c r="M2175" s="82"/>
      <c r="N2175" s="82"/>
      <c r="O2175" s="82"/>
      <c r="P2175" s="82"/>
      <c r="Q2175" s="82"/>
      <c r="R2175" s="82"/>
      <c r="S2175" s="82"/>
      <c r="T2175" s="82"/>
      <c r="U2175" s="82"/>
      <c r="V2175" s="82"/>
      <c r="W2175" s="82"/>
      <c r="X2175" s="82"/>
      <c r="Y2175" s="82"/>
      <c r="Z2175" s="82"/>
      <c r="AA2175" s="82"/>
      <c r="AB2175" s="82"/>
      <c r="AC2175" s="82"/>
      <c r="AD2175" s="82"/>
      <c r="AE2175" s="82"/>
      <c r="AF2175" s="82"/>
      <c r="AG2175" s="82"/>
      <c r="AH2175" s="82"/>
      <c r="AI2175" s="82"/>
      <c r="AJ2175" s="82"/>
      <c r="AK2175" s="82"/>
      <c r="AL2175" s="82"/>
      <c r="AM2175" s="82"/>
      <c r="AN2175" s="82"/>
      <c r="AO2175" s="82"/>
      <c r="AP2175" s="82"/>
      <c r="AQ2175" s="82"/>
      <c r="AR2175" s="82"/>
      <c r="AS2175" s="82"/>
      <c r="AT2175" s="82"/>
      <c r="AU2175" s="82"/>
      <c r="AV2175" s="82"/>
      <c r="AW2175" s="82" t="str">
        <f t="shared" si="1"/>
        <v/>
      </c>
      <c r="AX2175" s="83" t="str">
        <f t="array" ref="AX2175">IFERROR(DGET('SBV Import'!A:G,"SBV",{"RSC ID","Tier";B2175,A2175}))</f>
        <v/>
      </c>
      <c r="AY2175" s="82" t="str">
        <f t="shared" si="2"/>
        <v/>
      </c>
      <c r="AZ2175" s="82"/>
      <c r="BA2175" s="84" t="s">
        <v>152</v>
      </c>
      <c r="BB2175" s="84" t="str">
        <f>IFERROR(__xludf.DUMMYFUNCTION("iferror(if(A2175="""",,E2175&gt;=FILTER(Constants!$F$2:$F$10,Constants!$A$2:$A$10=A2175)))"),"")</f>
        <v/>
      </c>
    </row>
    <row r="2176">
      <c r="A2176" s="89"/>
      <c r="B2176" s="87"/>
      <c r="C2176" s="73"/>
      <c r="D2176" s="73"/>
      <c r="E2176" s="82"/>
      <c r="F2176" s="82"/>
      <c r="G2176" s="86"/>
      <c r="H2176" s="86"/>
      <c r="I2176" s="86"/>
      <c r="J2176" s="82"/>
      <c r="K2176" s="82"/>
      <c r="L2176" s="82"/>
      <c r="M2176" s="82"/>
      <c r="N2176" s="82"/>
      <c r="O2176" s="82"/>
      <c r="P2176" s="82"/>
      <c r="Q2176" s="82"/>
      <c r="R2176" s="82"/>
      <c r="S2176" s="82"/>
      <c r="T2176" s="82"/>
      <c r="U2176" s="82"/>
      <c r="V2176" s="82"/>
      <c r="W2176" s="82"/>
      <c r="X2176" s="82"/>
      <c r="Y2176" s="82"/>
      <c r="Z2176" s="82"/>
      <c r="AA2176" s="82"/>
      <c r="AB2176" s="82"/>
      <c r="AC2176" s="82"/>
      <c r="AD2176" s="82"/>
      <c r="AE2176" s="82"/>
      <c r="AF2176" s="82"/>
      <c r="AG2176" s="82"/>
      <c r="AH2176" s="82"/>
      <c r="AI2176" s="82"/>
      <c r="AJ2176" s="82"/>
      <c r="AK2176" s="82"/>
      <c r="AL2176" s="82"/>
      <c r="AM2176" s="82"/>
      <c r="AN2176" s="82"/>
      <c r="AO2176" s="82"/>
      <c r="AP2176" s="82"/>
      <c r="AQ2176" s="82"/>
      <c r="AR2176" s="82"/>
      <c r="AS2176" s="82"/>
      <c r="AT2176" s="82"/>
      <c r="AU2176" s="82"/>
      <c r="AV2176" s="82"/>
      <c r="AW2176" s="82" t="str">
        <f t="shared" si="1"/>
        <v/>
      </c>
      <c r="AX2176" s="83" t="str">
        <f t="array" ref="AX2176">IFERROR(DGET('SBV Import'!A:G,"SBV",{"RSC ID","Tier";B2176,A2176}))</f>
        <v/>
      </c>
      <c r="AY2176" s="82" t="str">
        <f t="shared" si="2"/>
        <v/>
      </c>
      <c r="AZ2176" s="82"/>
      <c r="BA2176" s="84" t="s">
        <v>152</v>
      </c>
      <c r="BB2176" s="84" t="str">
        <f>IFERROR(__xludf.DUMMYFUNCTION("iferror(if(A2176="""",,E2176&gt;=FILTER(Constants!$F$2:$F$10,Constants!$A$2:$A$10=A2176)))"),"")</f>
        <v/>
      </c>
    </row>
    <row r="2177">
      <c r="A2177" s="89"/>
      <c r="B2177" s="87"/>
      <c r="C2177" s="73"/>
      <c r="D2177" s="73"/>
      <c r="E2177" s="82"/>
      <c r="F2177" s="82"/>
      <c r="G2177" s="86"/>
      <c r="H2177" s="86"/>
      <c r="I2177" s="86"/>
      <c r="J2177" s="82"/>
      <c r="K2177" s="82"/>
      <c r="L2177" s="82"/>
      <c r="M2177" s="82"/>
      <c r="N2177" s="82"/>
      <c r="O2177" s="82"/>
      <c r="P2177" s="82"/>
      <c r="Q2177" s="82"/>
      <c r="R2177" s="82"/>
      <c r="S2177" s="82"/>
      <c r="T2177" s="82"/>
      <c r="U2177" s="82"/>
      <c r="V2177" s="82"/>
      <c r="W2177" s="82"/>
      <c r="X2177" s="82"/>
      <c r="Y2177" s="82"/>
      <c r="Z2177" s="82"/>
      <c r="AA2177" s="82"/>
      <c r="AB2177" s="82"/>
      <c r="AC2177" s="82"/>
      <c r="AD2177" s="82"/>
      <c r="AE2177" s="82"/>
      <c r="AF2177" s="82"/>
      <c r="AG2177" s="82"/>
      <c r="AH2177" s="82"/>
      <c r="AI2177" s="82"/>
      <c r="AJ2177" s="82"/>
      <c r="AK2177" s="82"/>
      <c r="AL2177" s="82"/>
      <c r="AM2177" s="82"/>
      <c r="AN2177" s="82"/>
      <c r="AO2177" s="82"/>
      <c r="AP2177" s="82"/>
      <c r="AQ2177" s="82"/>
      <c r="AR2177" s="82"/>
      <c r="AS2177" s="82"/>
      <c r="AT2177" s="82"/>
      <c r="AU2177" s="82"/>
      <c r="AV2177" s="82"/>
      <c r="AW2177" s="82" t="str">
        <f t="shared" si="1"/>
        <v/>
      </c>
      <c r="AX2177" s="83" t="str">
        <f t="array" ref="AX2177">IFERROR(DGET('SBV Import'!A:G,"SBV",{"RSC ID","Tier";B2177,A2177}))</f>
        <v/>
      </c>
      <c r="AY2177" s="82" t="str">
        <f t="shared" si="2"/>
        <v/>
      </c>
      <c r="AZ2177" s="82"/>
      <c r="BA2177" s="84" t="s">
        <v>152</v>
      </c>
      <c r="BB2177" s="84" t="str">
        <f>IFERROR(__xludf.DUMMYFUNCTION("iferror(if(A2177="""",,E2177&gt;=FILTER(Constants!$F$2:$F$10,Constants!$A$2:$A$10=A2177)))"),"")</f>
        <v/>
      </c>
    </row>
    <row r="2178">
      <c r="A2178" s="89"/>
      <c r="B2178" s="87"/>
      <c r="C2178" s="73"/>
      <c r="D2178" s="73"/>
      <c r="E2178" s="82"/>
      <c r="F2178" s="82"/>
      <c r="G2178" s="86"/>
      <c r="H2178" s="86"/>
      <c r="I2178" s="86"/>
      <c r="J2178" s="82"/>
      <c r="K2178" s="82"/>
      <c r="L2178" s="82"/>
      <c r="M2178" s="82"/>
      <c r="N2178" s="82"/>
      <c r="O2178" s="82"/>
      <c r="P2178" s="82"/>
      <c r="Q2178" s="82"/>
      <c r="R2178" s="82"/>
      <c r="S2178" s="82"/>
      <c r="T2178" s="82"/>
      <c r="U2178" s="82"/>
      <c r="V2178" s="82"/>
      <c r="W2178" s="82"/>
      <c r="X2178" s="82"/>
      <c r="Y2178" s="82"/>
      <c r="Z2178" s="82"/>
      <c r="AA2178" s="82"/>
      <c r="AB2178" s="82"/>
      <c r="AC2178" s="82"/>
      <c r="AD2178" s="82"/>
      <c r="AE2178" s="82"/>
      <c r="AF2178" s="82"/>
      <c r="AG2178" s="82"/>
      <c r="AH2178" s="82"/>
      <c r="AI2178" s="82"/>
      <c r="AJ2178" s="82"/>
      <c r="AK2178" s="82"/>
      <c r="AL2178" s="82"/>
      <c r="AM2178" s="82"/>
      <c r="AN2178" s="82"/>
      <c r="AO2178" s="82"/>
      <c r="AP2178" s="82"/>
      <c r="AQ2178" s="82"/>
      <c r="AR2178" s="82"/>
      <c r="AS2178" s="82"/>
      <c r="AT2178" s="82"/>
      <c r="AU2178" s="82"/>
      <c r="AV2178" s="82"/>
      <c r="AW2178" s="82" t="str">
        <f t="shared" si="1"/>
        <v/>
      </c>
      <c r="AX2178" s="83" t="str">
        <f t="array" ref="AX2178">IFERROR(DGET('SBV Import'!A:G,"SBV",{"RSC ID","Tier";B2178,A2178}))</f>
        <v/>
      </c>
      <c r="AY2178" s="82" t="str">
        <f t="shared" si="2"/>
        <v/>
      </c>
      <c r="AZ2178" s="82"/>
      <c r="BA2178" s="84" t="s">
        <v>152</v>
      </c>
      <c r="BB2178" s="84" t="str">
        <f>IFERROR(__xludf.DUMMYFUNCTION("iferror(if(A2178="""",,E2178&gt;=FILTER(Constants!$F$2:$F$10,Constants!$A$2:$A$10=A2178)))"),"")</f>
        <v/>
      </c>
    </row>
    <row r="2179">
      <c r="A2179" s="89"/>
      <c r="B2179" s="87"/>
      <c r="C2179" s="73"/>
      <c r="D2179" s="73"/>
      <c r="E2179" s="82"/>
      <c r="F2179" s="82"/>
      <c r="G2179" s="86"/>
      <c r="H2179" s="86"/>
      <c r="I2179" s="86"/>
      <c r="J2179" s="82"/>
      <c r="K2179" s="82"/>
      <c r="L2179" s="82"/>
      <c r="M2179" s="82"/>
      <c r="N2179" s="82"/>
      <c r="O2179" s="82"/>
      <c r="P2179" s="82"/>
      <c r="Q2179" s="82"/>
      <c r="R2179" s="82"/>
      <c r="S2179" s="82"/>
      <c r="T2179" s="82"/>
      <c r="U2179" s="82"/>
      <c r="V2179" s="82"/>
      <c r="W2179" s="82"/>
      <c r="X2179" s="82"/>
      <c r="Y2179" s="82"/>
      <c r="Z2179" s="82"/>
      <c r="AA2179" s="82"/>
      <c r="AB2179" s="82"/>
      <c r="AC2179" s="82"/>
      <c r="AD2179" s="82"/>
      <c r="AE2179" s="82"/>
      <c r="AF2179" s="82"/>
      <c r="AG2179" s="82"/>
      <c r="AH2179" s="82"/>
      <c r="AI2179" s="82"/>
      <c r="AJ2179" s="82"/>
      <c r="AK2179" s="82"/>
      <c r="AL2179" s="82"/>
      <c r="AM2179" s="82"/>
      <c r="AN2179" s="82"/>
      <c r="AO2179" s="82"/>
      <c r="AP2179" s="82"/>
      <c r="AQ2179" s="82"/>
      <c r="AR2179" s="82"/>
      <c r="AS2179" s="82"/>
      <c r="AT2179" s="82"/>
      <c r="AU2179" s="82"/>
      <c r="AV2179" s="82"/>
      <c r="AW2179" s="82" t="str">
        <f t="shared" si="1"/>
        <v/>
      </c>
      <c r="AX2179" s="83" t="str">
        <f t="array" ref="AX2179">IFERROR(DGET('SBV Import'!A:G,"SBV",{"RSC ID","Tier";B2179,A2179}))</f>
        <v/>
      </c>
      <c r="AY2179" s="82" t="str">
        <f t="shared" si="2"/>
        <v/>
      </c>
      <c r="AZ2179" s="82"/>
      <c r="BA2179" s="84" t="s">
        <v>152</v>
      </c>
      <c r="BB2179" s="84" t="str">
        <f>IFERROR(__xludf.DUMMYFUNCTION("iferror(if(A2179="""",,E2179&gt;=FILTER(Constants!$F$2:$F$10,Constants!$A$2:$A$10=A2179)))"),"")</f>
        <v/>
      </c>
    </row>
    <row r="2180">
      <c r="A2180" s="89"/>
      <c r="B2180" s="87"/>
      <c r="C2180" s="73"/>
      <c r="D2180" s="73"/>
      <c r="E2180" s="82"/>
      <c r="F2180" s="82"/>
      <c r="G2180" s="86"/>
      <c r="H2180" s="86"/>
      <c r="I2180" s="86"/>
      <c r="J2180" s="82"/>
      <c r="K2180" s="82"/>
      <c r="L2180" s="82"/>
      <c r="M2180" s="82"/>
      <c r="N2180" s="82"/>
      <c r="O2180" s="82"/>
      <c r="P2180" s="82"/>
      <c r="Q2180" s="82"/>
      <c r="R2180" s="82"/>
      <c r="S2180" s="82"/>
      <c r="T2180" s="82"/>
      <c r="U2180" s="82"/>
      <c r="V2180" s="82"/>
      <c r="W2180" s="82"/>
      <c r="X2180" s="82"/>
      <c r="Y2180" s="82"/>
      <c r="Z2180" s="82"/>
      <c r="AA2180" s="82"/>
      <c r="AB2180" s="82"/>
      <c r="AC2180" s="82"/>
      <c r="AD2180" s="82"/>
      <c r="AE2180" s="82"/>
      <c r="AF2180" s="82"/>
      <c r="AG2180" s="82"/>
      <c r="AH2180" s="82"/>
      <c r="AI2180" s="82"/>
      <c r="AJ2180" s="82"/>
      <c r="AK2180" s="82"/>
      <c r="AL2180" s="82"/>
      <c r="AM2180" s="82"/>
      <c r="AN2180" s="82"/>
      <c r="AO2180" s="82"/>
      <c r="AP2180" s="82"/>
      <c r="AQ2180" s="82"/>
      <c r="AR2180" s="82"/>
      <c r="AS2180" s="82"/>
      <c r="AT2180" s="82"/>
      <c r="AU2180" s="82"/>
      <c r="AV2180" s="82"/>
      <c r="AW2180" s="82" t="str">
        <f t="shared" si="1"/>
        <v/>
      </c>
      <c r="AX2180" s="83" t="str">
        <f t="array" ref="AX2180">IFERROR(DGET('SBV Import'!A:G,"SBV",{"RSC ID","Tier";B2180,A2180}))</f>
        <v/>
      </c>
      <c r="AY2180" s="82" t="str">
        <f t="shared" si="2"/>
        <v/>
      </c>
      <c r="AZ2180" s="82"/>
      <c r="BA2180" s="84" t="s">
        <v>152</v>
      </c>
      <c r="BB2180" s="84" t="str">
        <f>IFERROR(__xludf.DUMMYFUNCTION("iferror(if(A2180="""",,E2180&gt;=FILTER(Constants!$F$2:$F$10,Constants!$A$2:$A$10=A2180)))"),"")</f>
        <v/>
      </c>
    </row>
    <row r="2181">
      <c r="A2181" s="89"/>
      <c r="B2181" s="87"/>
      <c r="C2181" s="73"/>
      <c r="D2181" s="73"/>
      <c r="E2181" s="82"/>
      <c r="F2181" s="82"/>
      <c r="G2181" s="86"/>
      <c r="H2181" s="86"/>
      <c r="I2181" s="86"/>
      <c r="J2181" s="82"/>
      <c r="K2181" s="82"/>
      <c r="L2181" s="82"/>
      <c r="M2181" s="82"/>
      <c r="N2181" s="82"/>
      <c r="O2181" s="82"/>
      <c r="P2181" s="82"/>
      <c r="Q2181" s="82"/>
      <c r="R2181" s="82"/>
      <c r="S2181" s="82"/>
      <c r="T2181" s="82"/>
      <c r="U2181" s="82"/>
      <c r="V2181" s="82"/>
      <c r="W2181" s="82"/>
      <c r="X2181" s="82"/>
      <c r="Y2181" s="82"/>
      <c r="Z2181" s="82"/>
      <c r="AA2181" s="82"/>
      <c r="AB2181" s="82"/>
      <c r="AC2181" s="82"/>
      <c r="AD2181" s="82"/>
      <c r="AE2181" s="82"/>
      <c r="AF2181" s="82"/>
      <c r="AG2181" s="82"/>
      <c r="AH2181" s="82"/>
      <c r="AI2181" s="82"/>
      <c r="AJ2181" s="82"/>
      <c r="AK2181" s="82"/>
      <c r="AL2181" s="82"/>
      <c r="AM2181" s="82"/>
      <c r="AN2181" s="82"/>
      <c r="AO2181" s="82"/>
      <c r="AP2181" s="82"/>
      <c r="AQ2181" s="82"/>
      <c r="AR2181" s="82"/>
      <c r="AS2181" s="82"/>
      <c r="AT2181" s="82"/>
      <c r="AU2181" s="82"/>
      <c r="AV2181" s="82"/>
      <c r="AW2181" s="82" t="str">
        <f t="shared" si="1"/>
        <v/>
      </c>
      <c r="AX2181" s="83" t="str">
        <f t="array" ref="AX2181">IFERROR(DGET('SBV Import'!A:G,"SBV",{"RSC ID","Tier";B2181,A2181}))</f>
        <v/>
      </c>
      <c r="AY2181" s="82" t="str">
        <f t="shared" si="2"/>
        <v/>
      </c>
      <c r="AZ2181" s="82"/>
      <c r="BA2181" s="84" t="s">
        <v>152</v>
      </c>
      <c r="BB2181" s="84" t="str">
        <f>IFERROR(__xludf.DUMMYFUNCTION("iferror(if(A2181="""",,E2181&gt;=FILTER(Constants!$F$2:$F$10,Constants!$A$2:$A$10=A2181)))"),"")</f>
        <v/>
      </c>
    </row>
    <row r="2182">
      <c r="A2182" s="89"/>
      <c r="B2182" s="87"/>
      <c r="C2182" s="73"/>
      <c r="D2182" s="73"/>
      <c r="E2182" s="82"/>
      <c r="F2182" s="82"/>
      <c r="G2182" s="86"/>
      <c r="H2182" s="86"/>
      <c r="I2182" s="86"/>
      <c r="J2182" s="82"/>
      <c r="K2182" s="82"/>
      <c r="L2182" s="82"/>
      <c r="M2182" s="82"/>
      <c r="N2182" s="82"/>
      <c r="O2182" s="82"/>
      <c r="P2182" s="82"/>
      <c r="Q2182" s="82"/>
      <c r="R2182" s="82"/>
      <c r="S2182" s="82"/>
      <c r="T2182" s="82"/>
      <c r="U2182" s="82"/>
      <c r="V2182" s="82"/>
      <c r="W2182" s="82"/>
      <c r="X2182" s="82"/>
      <c r="Y2182" s="82"/>
      <c r="Z2182" s="82"/>
      <c r="AA2182" s="82"/>
      <c r="AB2182" s="82"/>
      <c r="AC2182" s="82"/>
      <c r="AD2182" s="82"/>
      <c r="AE2182" s="82"/>
      <c r="AF2182" s="82"/>
      <c r="AG2182" s="82"/>
      <c r="AH2182" s="82"/>
      <c r="AI2182" s="82"/>
      <c r="AJ2182" s="82"/>
      <c r="AK2182" s="82"/>
      <c r="AL2182" s="82"/>
      <c r="AM2182" s="82"/>
      <c r="AN2182" s="82"/>
      <c r="AO2182" s="82"/>
      <c r="AP2182" s="82"/>
      <c r="AQ2182" s="82"/>
      <c r="AR2182" s="82"/>
      <c r="AS2182" s="82"/>
      <c r="AT2182" s="82"/>
      <c r="AU2182" s="82"/>
      <c r="AV2182" s="82"/>
      <c r="AW2182" s="82" t="str">
        <f t="shared" si="1"/>
        <v/>
      </c>
      <c r="AX2182" s="83" t="str">
        <f t="array" ref="AX2182">IFERROR(DGET('SBV Import'!A:G,"SBV",{"RSC ID","Tier";B2182,A2182}))</f>
        <v/>
      </c>
      <c r="AY2182" s="82" t="str">
        <f t="shared" si="2"/>
        <v/>
      </c>
      <c r="AZ2182" s="82"/>
      <c r="BA2182" s="84" t="s">
        <v>152</v>
      </c>
      <c r="BB2182" s="84" t="str">
        <f>IFERROR(__xludf.DUMMYFUNCTION("iferror(if(A2182="""",,E2182&gt;=FILTER(Constants!$F$2:$F$10,Constants!$A$2:$A$10=A2182)))"),"")</f>
        <v/>
      </c>
    </row>
    <row r="2183">
      <c r="A2183" s="89"/>
      <c r="B2183" s="87"/>
      <c r="C2183" s="73"/>
      <c r="D2183" s="73"/>
      <c r="E2183" s="82"/>
      <c r="F2183" s="82"/>
      <c r="G2183" s="86"/>
      <c r="H2183" s="86"/>
      <c r="I2183" s="86"/>
      <c r="J2183" s="82"/>
      <c r="K2183" s="82"/>
      <c r="L2183" s="82"/>
      <c r="M2183" s="82"/>
      <c r="N2183" s="82"/>
      <c r="O2183" s="82"/>
      <c r="P2183" s="82"/>
      <c r="Q2183" s="82"/>
      <c r="R2183" s="82"/>
      <c r="S2183" s="82"/>
      <c r="T2183" s="82"/>
      <c r="U2183" s="82"/>
      <c r="V2183" s="82"/>
      <c r="W2183" s="82"/>
      <c r="X2183" s="82"/>
      <c r="Y2183" s="82"/>
      <c r="Z2183" s="82"/>
      <c r="AA2183" s="82"/>
      <c r="AB2183" s="82"/>
      <c r="AC2183" s="82"/>
      <c r="AD2183" s="82"/>
      <c r="AE2183" s="82"/>
      <c r="AF2183" s="82"/>
      <c r="AG2183" s="82"/>
      <c r="AH2183" s="82"/>
      <c r="AI2183" s="82"/>
      <c r="AJ2183" s="82"/>
      <c r="AK2183" s="82"/>
      <c r="AL2183" s="82"/>
      <c r="AM2183" s="82"/>
      <c r="AN2183" s="82"/>
      <c r="AO2183" s="82"/>
      <c r="AP2183" s="82"/>
      <c r="AQ2183" s="82"/>
      <c r="AR2183" s="82"/>
      <c r="AS2183" s="82"/>
      <c r="AT2183" s="82"/>
      <c r="AU2183" s="82"/>
      <c r="AV2183" s="82"/>
      <c r="AW2183" s="82" t="str">
        <f t="shared" si="1"/>
        <v/>
      </c>
      <c r="AX2183" s="83" t="str">
        <f t="array" ref="AX2183">IFERROR(DGET('SBV Import'!A:G,"SBV",{"RSC ID","Tier";B2183,A2183}))</f>
        <v/>
      </c>
      <c r="AY2183" s="82" t="str">
        <f t="shared" si="2"/>
        <v/>
      </c>
      <c r="AZ2183" s="82"/>
      <c r="BA2183" s="84" t="s">
        <v>152</v>
      </c>
      <c r="BB2183" s="84" t="str">
        <f>IFERROR(__xludf.DUMMYFUNCTION("iferror(if(A2183="""",,E2183&gt;=FILTER(Constants!$F$2:$F$10,Constants!$A$2:$A$10=A2183)))"),"")</f>
        <v/>
      </c>
    </row>
    <row r="2184">
      <c r="A2184" s="89"/>
      <c r="B2184" s="87"/>
      <c r="C2184" s="73"/>
      <c r="D2184" s="73"/>
      <c r="E2184" s="82"/>
      <c r="F2184" s="82"/>
      <c r="G2184" s="86"/>
      <c r="H2184" s="86"/>
      <c r="I2184" s="86"/>
      <c r="J2184" s="82"/>
      <c r="K2184" s="82"/>
      <c r="L2184" s="82"/>
      <c r="M2184" s="82"/>
      <c r="N2184" s="82"/>
      <c r="O2184" s="82"/>
      <c r="P2184" s="82"/>
      <c r="Q2184" s="82"/>
      <c r="R2184" s="82"/>
      <c r="S2184" s="82"/>
      <c r="T2184" s="82"/>
      <c r="U2184" s="82"/>
      <c r="V2184" s="82"/>
      <c r="W2184" s="82"/>
      <c r="X2184" s="82"/>
      <c r="Y2184" s="82"/>
      <c r="Z2184" s="82"/>
      <c r="AA2184" s="82"/>
      <c r="AB2184" s="82"/>
      <c r="AC2184" s="82"/>
      <c r="AD2184" s="82"/>
      <c r="AE2184" s="82"/>
      <c r="AF2184" s="82"/>
      <c r="AG2184" s="82"/>
      <c r="AH2184" s="82"/>
      <c r="AI2184" s="82"/>
      <c r="AJ2184" s="82"/>
      <c r="AK2184" s="82"/>
      <c r="AL2184" s="82"/>
      <c r="AM2184" s="82"/>
      <c r="AN2184" s="82"/>
      <c r="AO2184" s="82"/>
      <c r="AP2184" s="82"/>
      <c r="AQ2184" s="82"/>
      <c r="AR2184" s="82"/>
      <c r="AS2184" s="82"/>
      <c r="AT2184" s="82"/>
      <c r="AU2184" s="82"/>
      <c r="AV2184" s="82"/>
      <c r="AW2184" s="82" t="str">
        <f t="shared" si="1"/>
        <v/>
      </c>
      <c r="AX2184" s="83" t="str">
        <f t="array" ref="AX2184">IFERROR(DGET('SBV Import'!A:G,"SBV",{"RSC ID","Tier";B2184,A2184}))</f>
        <v/>
      </c>
      <c r="AY2184" s="82" t="str">
        <f t="shared" si="2"/>
        <v/>
      </c>
      <c r="AZ2184" s="82"/>
      <c r="BA2184" s="84" t="s">
        <v>152</v>
      </c>
      <c r="BB2184" s="84" t="str">
        <f>IFERROR(__xludf.DUMMYFUNCTION("iferror(if(A2184="""",,E2184&gt;=FILTER(Constants!$F$2:$F$10,Constants!$A$2:$A$10=A2184)))"),"")</f>
        <v/>
      </c>
    </row>
    <row r="2185">
      <c r="A2185" s="89"/>
      <c r="B2185" s="87"/>
      <c r="C2185" s="73"/>
      <c r="D2185" s="73"/>
      <c r="E2185" s="82"/>
      <c r="F2185" s="82"/>
      <c r="G2185" s="86"/>
      <c r="H2185" s="86"/>
      <c r="I2185" s="86"/>
      <c r="J2185" s="82"/>
      <c r="K2185" s="82"/>
      <c r="L2185" s="82"/>
      <c r="M2185" s="82"/>
      <c r="N2185" s="82"/>
      <c r="O2185" s="82"/>
      <c r="P2185" s="82"/>
      <c r="Q2185" s="82"/>
      <c r="R2185" s="82"/>
      <c r="S2185" s="82"/>
      <c r="T2185" s="82"/>
      <c r="U2185" s="82"/>
      <c r="V2185" s="82"/>
      <c r="W2185" s="82"/>
      <c r="X2185" s="82"/>
      <c r="Y2185" s="82"/>
      <c r="Z2185" s="82"/>
      <c r="AA2185" s="82"/>
      <c r="AB2185" s="82"/>
      <c r="AC2185" s="82"/>
      <c r="AD2185" s="82"/>
      <c r="AE2185" s="82"/>
      <c r="AF2185" s="82"/>
      <c r="AG2185" s="82"/>
      <c r="AH2185" s="82"/>
      <c r="AI2185" s="82"/>
      <c r="AJ2185" s="82"/>
      <c r="AK2185" s="82"/>
      <c r="AL2185" s="82"/>
      <c r="AM2185" s="82"/>
      <c r="AN2185" s="82"/>
      <c r="AO2185" s="82"/>
      <c r="AP2185" s="82"/>
      <c r="AQ2185" s="82"/>
      <c r="AR2185" s="82"/>
      <c r="AS2185" s="82"/>
      <c r="AT2185" s="82"/>
      <c r="AU2185" s="82"/>
      <c r="AV2185" s="82"/>
      <c r="AW2185" s="82" t="str">
        <f t="shared" si="1"/>
        <v/>
      </c>
      <c r="AX2185" s="83" t="str">
        <f t="array" ref="AX2185">IFERROR(DGET('SBV Import'!A:G,"SBV",{"RSC ID","Tier";B2185,A2185}))</f>
        <v/>
      </c>
      <c r="AY2185" s="82" t="str">
        <f t="shared" si="2"/>
        <v/>
      </c>
      <c r="AZ2185" s="82"/>
      <c r="BA2185" s="84" t="s">
        <v>152</v>
      </c>
      <c r="BB2185" s="84" t="str">
        <f>IFERROR(__xludf.DUMMYFUNCTION("iferror(if(A2185="""",,E2185&gt;=FILTER(Constants!$F$2:$F$10,Constants!$A$2:$A$10=A2185)))"),"")</f>
        <v/>
      </c>
    </row>
    <row r="2186">
      <c r="A2186" s="89"/>
      <c r="B2186" s="87"/>
      <c r="C2186" s="73"/>
      <c r="D2186" s="73"/>
      <c r="E2186" s="82"/>
      <c r="F2186" s="82"/>
      <c r="G2186" s="86"/>
      <c r="H2186" s="86"/>
      <c r="I2186" s="86"/>
      <c r="J2186" s="82"/>
      <c r="K2186" s="82"/>
      <c r="L2186" s="82"/>
      <c r="M2186" s="82"/>
      <c r="N2186" s="82"/>
      <c r="O2186" s="82"/>
      <c r="P2186" s="82"/>
      <c r="Q2186" s="82"/>
      <c r="R2186" s="82"/>
      <c r="S2186" s="82"/>
      <c r="T2186" s="82"/>
      <c r="U2186" s="82"/>
      <c r="V2186" s="82"/>
      <c r="W2186" s="82"/>
      <c r="X2186" s="82"/>
      <c r="Y2186" s="82"/>
      <c r="Z2186" s="82"/>
      <c r="AA2186" s="82"/>
      <c r="AB2186" s="82"/>
      <c r="AC2186" s="82"/>
      <c r="AD2186" s="82"/>
      <c r="AE2186" s="82"/>
      <c r="AF2186" s="82"/>
      <c r="AG2186" s="82"/>
      <c r="AH2186" s="82"/>
      <c r="AI2186" s="82"/>
      <c r="AJ2186" s="82"/>
      <c r="AK2186" s="82"/>
      <c r="AL2186" s="82"/>
      <c r="AM2186" s="82"/>
      <c r="AN2186" s="82"/>
      <c r="AO2186" s="82"/>
      <c r="AP2186" s="82"/>
      <c r="AQ2186" s="82"/>
      <c r="AR2186" s="82"/>
      <c r="AS2186" s="82"/>
      <c r="AT2186" s="82"/>
      <c r="AU2186" s="82"/>
      <c r="AV2186" s="82"/>
      <c r="AW2186" s="82" t="str">
        <f t="shared" si="1"/>
        <v/>
      </c>
      <c r="AX2186" s="83" t="str">
        <f t="array" ref="AX2186">IFERROR(DGET('SBV Import'!A:G,"SBV",{"RSC ID","Tier";B2186,A2186}))</f>
        <v/>
      </c>
      <c r="AY2186" s="82" t="str">
        <f t="shared" si="2"/>
        <v/>
      </c>
      <c r="AZ2186" s="82"/>
      <c r="BA2186" s="84" t="s">
        <v>152</v>
      </c>
      <c r="BB2186" s="84" t="str">
        <f>IFERROR(__xludf.DUMMYFUNCTION("iferror(if(A2186="""",,E2186&gt;=FILTER(Constants!$F$2:$F$10,Constants!$A$2:$A$10=A2186)))"),"")</f>
        <v/>
      </c>
    </row>
    <row r="2187">
      <c r="A2187" s="89"/>
      <c r="B2187" s="87"/>
      <c r="C2187" s="73"/>
      <c r="D2187" s="73"/>
      <c r="E2187" s="82"/>
      <c r="F2187" s="82"/>
      <c r="G2187" s="86"/>
      <c r="H2187" s="86"/>
      <c r="I2187" s="86"/>
      <c r="J2187" s="82"/>
      <c r="K2187" s="82"/>
      <c r="L2187" s="82"/>
      <c r="M2187" s="82"/>
      <c r="N2187" s="82"/>
      <c r="O2187" s="82"/>
      <c r="P2187" s="82"/>
      <c r="Q2187" s="82"/>
      <c r="R2187" s="82"/>
      <c r="S2187" s="82"/>
      <c r="T2187" s="82"/>
      <c r="U2187" s="82"/>
      <c r="V2187" s="82"/>
      <c r="W2187" s="82"/>
      <c r="X2187" s="82"/>
      <c r="Y2187" s="82"/>
      <c r="Z2187" s="82"/>
      <c r="AA2187" s="82"/>
      <c r="AB2187" s="82"/>
      <c r="AC2187" s="82"/>
      <c r="AD2187" s="82"/>
      <c r="AE2187" s="82"/>
      <c r="AF2187" s="82"/>
      <c r="AG2187" s="82"/>
      <c r="AH2187" s="82"/>
      <c r="AI2187" s="82"/>
      <c r="AJ2187" s="82"/>
      <c r="AK2187" s="82"/>
      <c r="AL2187" s="82"/>
      <c r="AM2187" s="82"/>
      <c r="AN2187" s="82"/>
      <c r="AO2187" s="82"/>
      <c r="AP2187" s="82"/>
      <c r="AQ2187" s="82"/>
      <c r="AR2187" s="82"/>
      <c r="AS2187" s="82"/>
      <c r="AT2187" s="82"/>
      <c r="AU2187" s="82"/>
      <c r="AV2187" s="82"/>
      <c r="AW2187" s="82" t="str">
        <f t="shared" si="1"/>
        <v/>
      </c>
      <c r="AX2187" s="83" t="str">
        <f t="array" ref="AX2187">IFERROR(DGET('SBV Import'!A:G,"SBV",{"RSC ID","Tier";B2187,A2187}))</f>
        <v/>
      </c>
      <c r="AY2187" s="82" t="str">
        <f t="shared" si="2"/>
        <v/>
      </c>
      <c r="AZ2187" s="82"/>
      <c r="BA2187" s="84" t="s">
        <v>152</v>
      </c>
      <c r="BB2187" s="84" t="str">
        <f>IFERROR(__xludf.DUMMYFUNCTION("iferror(if(A2187="""",,E2187&gt;=FILTER(Constants!$F$2:$F$10,Constants!$A$2:$A$10=A2187)))"),"")</f>
        <v/>
      </c>
    </row>
    <row r="2188">
      <c r="A2188" s="89"/>
      <c r="B2188" s="87"/>
      <c r="C2188" s="73"/>
      <c r="D2188" s="73"/>
      <c r="E2188" s="82"/>
      <c r="F2188" s="82"/>
      <c r="G2188" s="86"/>
      <c r="H2188" s="86"/>
      <c r="I2188" s="86"/>
      <c r="J2188" s="82"/>
      <c r="K2188" s="82"/>
      <c r="L2188" s="82"/>
      <c r="M2188" s="82"/>
      <c r="N2188" s="82"/>
      <c r="O2188" s="82"/>
      <c r="P2188" s="82"/>
      <c r="Q2188" s="82"/>
      <c r="R2188" s="82"/>
      <c r="S2188" s="82"/>
      <c r="T2188" s="82"/>
      <c r="U2188" s="82"/>
      <c r="V2188" s="82"/>
      <c r="W2188" s="82"/>
      <c r="X2188" s="82"/>
      <c r="Y2188" s="82"/>
      <c r="Z2188" s="82"/>
      <c r="AA2188" s="82"/>
      <c r="AB2188" s="82"/>
      <c r="AC2188" s="82"/>
      <c r="AD2188" s="82"/>
      <c r="AE2188" s="82"/>
      <c r="AF2188" s="82"/>
      <c r="AG2188" s="82"/>
      <c r="AH2188" s="82"/>
      <c r="AI2188" s="82"/>
      <c r="AJ2188" s="82"/>
      <c r="AK2188" s="82"/>
      <c r="AL2188" s="82"/>
      <c r="AM2188" s="82"/>
      <c r="AN2188" s="82"/>
      <c r="AO2188" s="82"/>
      <c r="AP2188" s="82"/>
      <c r="AQ2188" s="82"/>
      <c r="AR2188" s="82"/>
      <c r="AS2188" s="82"/>
      <c r="AT2188" s="82"/>
      <c r="AU2188" s="82"/>
      <c r="AV2188" s="82"/>
      <c r="AW2188" s="82" t="str">
        <f t="shared" si="1"/>
        <v/>
      </c>
      <c r="AX2188" s="83" t="str">
        <f t="array" ref="AX2188">IFERROR(DGET('SBV Import'!A:G,"SBV",{"RSC ID","Tier";B2188,A2188}))</f>
        <v/>
      </c>
      <c r="AY2188" s="82" t="str">
        <f t="shared" si="2"/>
        <v/>
      </c>
      <c r="AZ2188" s="82"/>
      <c r="BA2188" s="84" t="s">
        <v>152</v>
      </c>
      <c r="BB2188" s="84" t="str">
        <f>IFERROR(__xludf.DUMMYFUNCTION("iferror(if(A2188="""",,E2188&gt;=FILTER(Constants!$F$2:$F$10,Constants!$A$2:$A$10=A2188)))"),"")</f>
        <v/>
      </c>
    </row>
    <row r="2189">
      <c r="A2189" s="89"/>
      <c r="B2189" s="87"/>
      <c r="C2189" s="73"/>
      <c r="D2189" s="73"/>
      <c r="E2189" s="82"/>
      <c r="F2189" s="82"/>
      <c r="G2189" s="86"/>
      <c r="H2189" s="86"/>
      <c r="I2189" s="86"/>
      <c r="J2189" s="82"/>
      <c r="K2189" s="82"/>
      <c r="L2189" s="82"/>
      <c r="M2189" s="82"/>
      <c r="N2189" s="82"/>
      <c r="O2189" s="82"/>
      <c r="P2189" s="82"/>
      <c r="Q2189" s="82"/>
      <c r="R2189" s="82"/>
      <c r="S2189" s="82"/>
      <c r="T2189" s="82"/>
      <c r="U2189" s="82"/>
      <c r="V2189" s="82"/>
      <c r="W2189" s="82"/>
      <c r="X2189" s="82"/>
      <c r="Y2189" s="82"/>
      <c r="Z2189" s="82"/>
      <c r="AA2189" s="82"/>
      <c r="AB2189" s="82"/>
      <c r="AC2189" s="82"/>
      <c r="AD2189" s="82"/>
      <c r="AE2189" s="82"/>
      <c r="AF2189" s="82"/>
      <c r="AG2189" s="82"/>
      <c r="AH2189" s="82"/>
      <c r="AI2189" s="82"/>
      <c r="AJ2189" s="82"/>
      <c r="AK2189" s="82"/>
      <c r="AL2189" s="82"/>
      <c r="AM2189" s="82"/>
      <c r="AN2189" s="82"/>
      <c r="AO2189" s="82"/>
      <c r="AP2189" s="82"/>
      <c r="AQ2189" s="82"/>
      <c r="AR2189" s="82"/>
      <c r="AS2189" s="82"/>
      <c r="AT2189" s="82"/>
      <c r="AU2189" s="82"/>
      <c r="AV2189" s="82"/>
      <c r="AW2189" s="82" t="str">
        <f t="shared" si="1"/>
        <v/>
      </c>
      <c r="AX2189" s="83" t="str">
        <f t="array" ref="AX2189">IFERROR(DGET('SBV Import'!A:G,"SBV",{"RSC ID","Tier";B2189,A2189}))</f>
        <v/>
      </c>
      <c r="AY2189" s="82" t="str">
        <f t="shared" si="2"/>
        <v/>
      </c>
      <c r="AZ2189" s="82"/>
      <c r="BA2189" s="84" t="s">
        <v>152</v>
      </c>
      <c r="BB2189" s="84" t="str">
        <f>IFERROR(__xludf.DUMMYFUNCTION("iferror(if(A2189="""",,E2189&gt;=FILTER(Constants!$F$2:$F$10,Constants!$A$2:$A$10=A2189)))"),"")</f>
        <v/>
      </c>
    </row>
    <row r="2190">
      <c r="A2190" s="89"/>
      <c r="B2190" s="87"/>
      <c r="C2190" s="73"/>
      <c r="D2190" s="73"/>
      <c r="E2190" s="82"/>
      <c r="F2190" s="82"/>
      <c r="G2190" s="86"/>
      <c r="H2190" s="86"/>
      <c r="I2190" s="86"/>
      <c r="J2190" s="82"/>
      <c r="K2190" s="82"/>
      <c r="L2190" s="82"/>
      <c r="M2190" s="82"/>
      <c r="N2190" s="82"/>
      <c r="O2190" s="82"/>
      <c r="P2190" s="82"/>
      <c r="Q2190" s="82"/>
      <c r="R2190" s="82"/>
      <c r="S2190" s="82"/>
      <c r="T2190" s="82"/>
      <c r="U2190" s="82"/>
      <c r="V2190" s="82"/>
      <c r="W2190" s="82"/>
      <c r="X2190" s="82"/>
      <c r="Y2190" s="82"/>
      <c r="Z2190" s="82"/>
      <c r="AA2190" s="82"/>
      <c r="AB2190" s="82"/>
      <c r="AC2190" s="82"/>
      <c r="AD2190" s="82"/>
      <c r="AE2190" s="82"/>
      <c r="AF2190" s="82"/>
      <c r="AG2190" s="82"/>
      <c r="AH2190" s="82"/>
      <c r="AI2190" s="82"/>
      <c r="AJ2190" s="82"/>
      <c r="AK2190" s="82"/>
      <c r="AL2190" s="82"/>
      <c r="AM2190" s="82"/>
      <c r="AN2190" s="82"/>
      <c r="AO2190" s="82"/>
      <c r="AP2190" s="82"/>
      <c r="AQ2190" s="82"/>
      <c r="AR2190" s="82"/>
      <c r="AS2190" s="82"/>
      <c r="AT2190" s="82"/>
      <c r="AU2190" s="82"/>
      <c r="AV2190" s="82"/>
      <c r="AW2190" s="82" t="str">
        <f t="shared" si="1"/>
        <v/>
      </c>
      <c r="AX2190" s="83" t="str">
        <f t="array" ref="AX2190">IFERROR(DGET('SBV Import'!A:G,"SBV",{"RSC ID","Tier";B2190,A2190}))</f>
        <v/>
      </c>
      <c r="AY2190" s="82" t="str">
        <f t="shared" si="2"/>
        <v/>
      </c>
      <c r="AZ2190" s="82"/>
      <c r="BA2190" s="84" t="s">
        <v>152</v>
      </c>
      <c r="BB2190" s="84" t="str">
        <f>IFERROR(__xludf.DUMMYFUNCTION("iferror(if(A2190="""",,E2190&gt;=FILTER(Constants!$F$2:$F$10,Constants!$A$2:$A$10=A2190)))"),"")</f>
        <v/>
      </c>
    </row>
    <row r="2191">
      <c r="A2191" s="89"/>
      <c r="B2191" s="87"/>
      <c r="C2191" s="73"/>
      <c r="D2191" s="73"/>
      <c r="E2191" s="82"/>
      <c r="F2191" s="82"/>
      <c r="G2191" s="86"/>
      <c r="H2191" s="86"/>
      <c r="I2191" s="86"/>
      <c r="J2191" s="82"/>
      <c r="K2191" s="82"/>
      <c r="L2191" s="82"/>
      <c r="M2191" s="82"/>
      <c r="N2191" s="82"/>
      <c r="O2191" s="82"/>
      <c r="P2191" s="82"/>
      <c r="Q2191" s="82"/>
      <c r="R2191" s="82"/>
      <c r="S2191" s="82"/>
      <c r="T2191" s="82"/>
      <c r="U2191" s="82"/>
      <c r="V2191" s="82"/>
      <c r="W2191" s="82"/>
      <c r="X2191" s="82"/>
      <c r="Y2191" s="82"/>
      <c r="Z2191" s="82"/>
      <c r="AA2191" s="82"/>
      <c r="AB2191" s="82"/>
      <c r="AC2191" s="82"/>
      <c r="AD2191" s="82"/>
      <c r="AE2191" s="82"/>
      <c r="AF2191" s="82"/>
      <c r="AG2191" s="82"/>
      <c r="AH2191" s="82"/>
      <c r="AI2191" s="82"/>
      <c r="AJ2191" s="82"/>
      <c r="AK2191" s="82"/>
      <c r="AL2191" s="82"/>
      <c r="AM2191" s="82"/>
      <c r="AN2191" s="82"/>
      <c r="AO2191" s="82"/>
      <c r="AP2191" s="82"/>
      <c r="AQ2191" s="82"/>
      <c r="AR2191" s="82"/>
      <c r="AS2191" s="82"/>
      <c r="AT2191" s="82"/>
      <c r="AU2191" s="82"/>
      <c r="AV2191" s="82"/>
      <c r="AW2191" s="82" t="str">
        <f t="shared" si="1"/>
        <v/>
      </c>
      <c r="AX2191" s="83" t="str">
        <f t="array" ref="AX2191">IFERROR(DGET('SBV Import'!A:G,"SBV",{"RSC ID","Tier";B2191,A2191}))</f>
        <v/>
      </c>
      <c r="AY2191" s="82" t="str">
        <f t="shared" si="2"/>
        <v/>
      </c>
      <c r="AZ2191" s="82"/>
      <c r="BA2191" s="84" t="s">
        <v>152</v>
      </c>
      <c r="BB2191" s="84" t="str">
        <f>IFERROR(__xludf.DUMMYFUNCTION("iferror(if(A2191="""",,E2191&gt;=FILTER(Constants!$F$2:$F$10,Constants!$A$2:$A$10=A2191)))"),"")</f>
        <v/>
      </c>
    </row>
    <row r="2192">
      <c r="A2192" s="89"/>
      <c r="B2192" s="87"/>
      <c r="C2192" s="73"/>
      <c r="D2192" s="73"/>
      <c r="E2192" s="82"/>
      <c r="F2192" s="82"/>
      <c r="G2192" s="86"/>
      <c r="H2192" s="86"/>
      <c r="I2192" s="86"/>
      <c r="J2192" s="82"/>
      <c r="K2192" s="82"/>
      <c r="L2192" s="82"/>
      <c r="M2192" s="82"/>
      <c r="N2192" s="82"/>
      <c r="O2192" s="82"/>
      <c r="P2192" s="82"/>
      <c r="Q2192" s="82"/>
      <c r="R2192" s="82"/>
      <c r="S2192" s="82"/>
      <c r="T2192" s="82"/>
      <c r="U2192" s="82"/>
      <c r="V2192" s="82"/>
      <c r="W2192" s="82"/>
      <c r="X2192" s="82"/>
      <c r="Y2192" s="82"/>
      <c r="Z2192" s="82"/>
      <c r="AA2192" s="82"/>
      <c r="AB2192" s="82"/>
      <c r="AC2192" s="82"/>
      <c r="AD2192" s="82"/>
      <c r="AE2192" s="82"/>
      <c r="AF2192" s="82"/>
      <c r="AG2192" s="82"/>
      <c r="AH2192" s="82"/>
      <c r="AI2192" s="82"/>
      <c r="AJ2192" s="82"/>
      <c r="AK2192" s="82"/>
      <c r="AL2192" s="82"/>
      <c r="AM2192" s="82"/>
      <c r="AN2192" s="82"/>
      <c r="AO2192" s="82"/>
      <c r="AP2192" s="82"/>
      <c r="AQ2192" s="82"/>
      <c r="AR2192" s="82"/>
      <c r="AS2192" s="82"/>
      <c r="AT2192" s="82"/>
      <c r="AU2192" s="82"/>
      <c r="AV2192" s="82"/>
      <c r="AW2192" s="82" t="str">
        <f t="shared" si="1"/>
        <v/>
      </c>
      <c r="AX2192" s="83" t="str">
        <f t="array" ref="AX2192">IFERROR(DGET('SBV Import'!A:G,"SBV",{"RSC ID","Tier";B2192,A2192}))</f>
        <v/>
      </c>
      <c r="AY2192" s="82" t="str">
        <f t="shared" si="2"/>
        <v/>
      </c>
      <c r="AZ2192" s="82"/>
      <c r="BA2192" s="84" t="s">
        <v>152</v>
      </c>
      <c r="BB2192" s="84" t="str">
        <f>IFERROR(__xludf.DUMMYFUNCTION("iferror(if(A2192="""",,E2192&gt;=FILTER(Constants!$F$2:$F$10,Constants!$A$2:$A$10=A2192)))"),"")</f>
        <v/>
      </c>
    </row>
    <row r="2193">
      <c r="A2193" s="89"/>
      <c r="B2193" s="87"/>
      <c r="C2193" s="73"/>
      <c r="D2193" s="73"/>
      <c r="E2193" s="82"/>
      <c r="F2193" s="82"/>
      <c r="G2193" s="86"/>
      <c r="H2193" s="86"/>
      <c r="I2193" s="86"/>
      <c r="J2193" s="82"/>
      <c r="K2193" s="82"/>
      <c r="L2193" s="82"/>
      <c r="M2193" s="82"/>
      <c r="N2193" s="82"/>
      <c r="O2193" s="82"/>
      <c r="P2193" s="82"/>
      <c r="Q2193" s="82"/>
      <c r="R2193" s="82"/>
      <c r="S2193" s="82"/>
      <c r="T2193" s="82"/>
      <c r="U2193" s="82"/>
      <c r="V2193" s="82"/>
      <c r="W2193" s="82"/>
      <c r="X2193" s="82"/>
      <c r="Y2193" s="82"/>
      <c r="Z2193" s="82"/>
      <c r="AA2193" s="82"/>
      <c r="AB2193" s="82"/>
      <c r="AC2193" s="82"/>
      <c r="AD2193" s="82"/>
      <c r="AE2193" s="82"/>
      <c r="AF2193" s="82"/>
      <c r="AG2193" s="82"/>
      <c r="AH2193" s="82"/>
      <c r="AI2193" s="82"/>
      <c r="AJ2193" s="82"/>
      <c r="AK2193" s="82"/>
      <c r="AL2193" s="82"/>
      <c r="AM2193" s="82"/>
      <c r="AN2193" s="82"/>
      <c r="AO2193" s="82"/>
      <c r="AP2193" s="82"/>
      <c r="AQ2193" s="82"/>
      <c r="AR2193" s="82"/>
      <c r="AS2193" s="82"/>
      <c r="AT2193" s="82"/>
      <c r="AU2193" s="82"/>
      <c r="AV2193" s="82"/>
      <c r="AW2193" s="82" t="str">
        <f t="shared" si="1"/>
        <v/>
      </c>
      <c r="AX2193" s="83" t="str">
        <f t="array" ref="AX2193">IFERROR(DGET('SBV Import'!A:G,"SBV",{"RSC ID","Tier";B2193,A2193}))</f>
        <v/>
      </c>
      <c r="AY2193" s="82" t="str">
        <f t="shared" si="2"/>
        <v/>
      </c>
      <c r="AZ2193" s="82"/>
      <c r="BA2193" s="84" t="s">
        <v>152</v>
      </c>
      <c r="BB2193" s="84" t="str">
        <f>IFERROR(__xludf.DUMMYFUNCTION("iferror(if(A2193="""",,E2193&gt;=FILTER(Constants!$F$2:$F$10,Constants!$A$2:$A$10=A2193)))"),"")</f>
        <v/>
      </c>
    </row>
    <row r="2194">
      <c r="A2194" s="89"/>
      <c r="B2194" s="87"/>
      <c r="C2194" s="73"/>
      <c r="D2194" s="73"/>
      <c r="E2194" s="82"/>
      <c r="F2194" s="82"/>
      <c r="G2194" s="86"/>
      <c r="H2194" s="86"/>
      <c r="I2194" s="86"/>
      <c r="J2194" s="82"/>
      <c r="K2194" s="82"/>
      <c r="L2194" s="82"/>
      <c r="M2194" s="82"/>
      <c r="N2194" s="82"/>
      <c r="O2194" s="82"/>
      <c r="P2194" s="82"/>
      <c r="Q2194" s="82"/>
      <c r="R2194" s="82"/>
      <c r="S2194" s="82"/>
      <c r="T2194" s="82"/>
      <c r="U2194" s="82"/>
      <c r="V2194" s="82"/>
      <c r="W2194" s="82"/>
      <c r="X2194" s="82"/>
      <c r="Y2194" s="82"/>
      <c r="Z2194" s="82"/>
      <c r="AA2194" s="82"/>
      <c r="AB2194" s="82"/>
      <c r="AC2194" s="82"/>
      <c r="AD2194" s="82"/>
      <c r="AE2194" s="82"/>
      <c r="AF2194" s="82"/>
      <c r="AG2194" s="82"/>
      <c r="AH2194" s="82"/>
      <c r="AI2194" s="82"/>
      <c r="AJ2194" s="82"/>
      <c r="AK2194" s="82"/>
      <c r="AL2194" s="82"/>
      <c r="AM2194" s="82"/>
      <c r="AN2194" s="82"/>
      <c r="AO2194" s="82"/>
      <c r="AP2194" s="82"/>
      <c r="AQ2194" s="82"/>
      <c r="AR2194" s="82"/>
      <c r="AS2194" s="82"/>
      <c r="AT2194" s="82"/>
      <c r="AU2194" s="82"/>
      <c r="AV2194" s="82"/>
      <c r="AW2194" s="82" t="str">
        <f t="shared" si="1"/>
        <v/>
      </c>
      <c r="AX2194" s="83" t="str">
        <f t="array" ref="AX2194">IFERROR(DGET('SBV Import'!A:G,"SBV",{"RSC ID","Tier";B2194,A2194}))</f>
        <v/>
      </c>
      <c r="AY2194" s="82" t="str">
        <f t="shared" si="2"/>
        <v/>
      </c>
      <c r="AZ2194" s="82"/>
      <c r="BA2194" s="84" t="s">
        <v>152</v>
      </c>
      <c r="BB2194" s="84" t="str">
        <f>IFERROR(__xludf.DUMMYFUNCTION("iferror(if(A2194="""",,E2194&gt;=FILTER(Constants!$F$2:$F$10,Constants!$A$2:$A$10=A2194)))"),"")</f>
        <v/>
      </c>
    </row>
    <row r="2195">
      <c r="A2195" s="89"/>
      <c r="B2195" s="87"/>
      <c r="C2195" s="73"/>
      <c r="D2195" s="73"/>
      <c r="E2195" s="82"/>
      <c r="F2195" s="82"/>
      <c r="G2195" s="86"/>
      <c r="H2195" s="86"/>
      <c r="I2195" s="86"/>
      <c r="J2195" s="82"/>
      <c r="K2195" s="82"/>
      <c r="L2195" s="82"/>
      <c r="M2195" s="82"/>
      <c r="N2195" s="82"/>
      <c r="O2195" s="82"/>
      <c r="P2195" s="82"/>
      <c r="Q2195" s="82"/>
      <c r="R2195" s="82"/>
      <c r="S2195" s="82"/>
      <c r="T2195" s="82"/>
      <c r="U2195" s="82"/>
      <c r="V2195" s="82"/>
      <c r="W2195" s="82"/>
      <c r="X2195" s="82"/>
      <c r="Y2195" s="82"/>
      <c r="Z2195" s="82"/>
      <c r="AA2195" s="82"/>
      <c r="AB2195" s="82"/>
      <c r="AC2195" s="82"/>
      <c r="AD2195" s="82"/>
      <c r="AE2195" s="82"/>
      <c r="AF2195" s="82"/>
      <c r="AG2195" s="82"/>
      <c r="AH2195" s="82"/>
      <c r="AI2195" s="82"/>
      <c r="AJ2195" s="82"/>
      <c r="AK2195" s="82"/>
      <c r="AL2195" s="82"/>
      <c r="AM2195" s="82"/>
      <c r="AN2195" s="82"/>
      <c r="AO2195" s="82"/>
      <c r="AP2195" s="82"/>
      <c r="AQ2195" s="82"/>
      <c r="AR2195" s="82"/>
      <c r="AS2195" s="82"/>
      <c r="AT2195" s="82"/>
      <c r="AU2195" s="82"/>
      <c r="AV2195" s="82"/>
      <c r="AW2195" s="82" t="str">
        <f t="shared" si="1"/>
        <v/>
      </c>
      <c r="AX2195" s="83" t="str">
        <f t="array" ref="AX2195">IFERROR(DGET('SBV Import'!A:G,"SBV",{"RSC ID","Tier";B2195,A2195}))</f>
        <v/>
      </c>
      <c r="AY2195" s="82" t="str">
        <f t="shared" si="2"/>
        <v/>
      </c>
      <c r="AZ2195" s="82"/>
      <c r="BA2195" s="84" t="s">
        <v>152</v>
      </c>
      <c r="BB2195" s="84" t="str">
        <f>IFERROR(__xludf.DUMMYFUNCTION("iferror(if(A2195="""",,E2195&gt;=FILTER(Constants!$F$2:$F$10,Constants!$A$2:$A$10=A2195)))"),"")</f>
        <v/>
      </c>
    </row>
    <row r="2196">
      <c r="A2196" s="89"/>
      <c r="B2196" s="87"/>
      <c r="C2196" s="73"/>
      <c r="D2196" s="73"/>
      <c r="E2196" s="82"/>
      <c r="F2196" s="82"/>
      <c r="G2196" s="86"/>
      <c r="H2196" s="86"/>
      <c r="I2196" s="86"/>
      <c r="J2196" s="82"/>
      <c r="K2196" s="82"/>
      <c r="L2196" s="82"/>
      <c r="M2196" s="82"/>
      <c r="N2196" s="82"/>
      <c r="O2196" s="82"/>
      <c r="P2196" s="82"/>
      <c r="Q2196" s="82"/>
      <c r="R2196" s="82"/>
      <c r="S2196" s="82"/>
      <c r="T2196" s="82"/>
      <c r="U2196" s="82"/>
      <c r="V2196" s="82"/>
      <c r="W2196" s="82"/>
      <c r="X2196" s="82"/>
      <c r="Y2196" s="82"/>
      <c r="Z2196" s="82"/>
      <c r="AA2196" s="82"/>
      <c r="AB2196" s="82"/>
      <c r="AC2196" s="82"/>
      <c r="AD2196" s="82"/>
      <c r="AE2196" s="82"/>
      <c r="AF2196" s="82"/>
      <c r="AG2196" s="82"/>
      <c r="AH2196" s="82"/>
      <c r="AI2196" s="82"/>
      <c r="AJ2196" s="82"/>
      <c r="AK2196" s="82"/>
      <c r="AL2196" s="82"/>
      <c r="AM2196" s="82"/>
      <c r="AN2196" s="82"/>
      <c r="AO2196" s="82"/>
      <c r="AP2196" s="82"/>
      <c r="AQ2196" s="82"/>
      <c r="AR2196" s="82"/>
      <c r="AS2196" s="82"/>
      <c r="AT2196" s="82"/>
      <c r="AU2196" s="82"/>
      <c r="AV2196" s="82"/>
      <c r="AW2196" s="82" t="str">
        <f t="shared" si="1"/>
        <v/>
      </c>
      <c r="AX2196" s="83" t="str">
        <f t="array" ref="AX2196">IFERROR(DGET('SBV Import'!A:G,"SBV",{"RSC ID","Tier";B2196,A2196}))</f>
        <v/>
      </c>
      <c r="AY2196" s="82" t="str">
        <f t="shared" si="2"/>
        <v/>
      </c>
      <c r="AZ2196" s="82"/>
      <c r="BA2196" s="84" t="s">
        <v>152</v>
      </c>
      <c r="BB2196" s="84" t="str">
        <f>IFERROR(__xludf.DUMMYFUNCTION("iferror(if(A2196="""",,E2196&gt;=FILTER(Constants!$F$2:$F$10,Constants!$A$2:$A$10=A2196)))"),"")</f>
        <v/>
      </c>
    </row>
    <row r="2197">
      <c r="A2197" s="89"/>
      <c r="B2197" s="87"/>
      <c r="C2197" s="73"/>
      <c r="D2197" s="73"/>
      <c r="E2197" s="82"/>
      <c r="F2197" s="82"/>
      <c r="G2197" s="86"/>
      <c r="H2197" s="86"/>
      <c r="I2197" s="86"/>
      <c r="J2197" s="82"/>
      <c r="K2197" s="82"/>
      <c r="L2197" s="82"/>
      <c r="M2197" s="82"/>
      <c r="N2197" s="82"/>
      <c r="O2197" s="82"/>
      <c r="P2197" s="82"/>
      <c r="Q2197" s="82"/>
      <c r="R2197" s="82"/>
      <c r="S2197" s="82"/>
      <c r="T2197" s="82"/>
      <c r="U2197" s="82"/>
      <c r="V2197" s="82"/>
      <c r="W2197" s="82"/>
      <c r="X2197" s="82"/>
      <c r="Y2197" s="82"/>
      <c r="Z2197" s="82"/>
      <c r="AA2197" s="82"/>
      <c r="AB2197" s="82"/>
      <c r="AC2197" s="82"/>
      <c r="AD2197" s="82"/>
      <c r="AE2197" s="82"/>
      <c r="AF2197" s="82"/>
      <c r="AG2197" s="82"/>
      <c r="AH2197" s="82"/>
      <c r="AI2197" s="82"/>
      <c r="AJ2197" s="82"/>
      <c r="AK2197" s="82"/>
      <c r="AL2197" s="82"/>
      <c r="AM2197" s="82"/>
      <c r="AN2197" s="82"/>
      <c r="AO2197" s="82"/>
      <c r="AP2197" s="82"/>
      <c r="AQ2197" s="82"/>
      <c r="AR2197" s="82"/>
      <c r="AS2197" s="82"/>
      <c r="AT2197" s="82"/>
      <c r="AU2197" s="82"/>
      <c r="AV2197" s="82"/>
      <c r="AW2197" s="82" t="str">
        <f t="shared" si="1"/>
        <v/>
      </c>
      <c r="AX2197" s="83" t="str">
        <f t="array" ref="AX2197">IFERROR(DGET('SBV Import'!A:G,"SBV",{"RSC ID","Tier";B2197,A2197}))</f>
        <v/>
      </c>
      <c r="AY2197" s="82" t="str">
        <f t="shared" si="2"/>
        <v/>
      </c>
      <c r="AZ2197" s="82"/>
      <c r="BA2197" s="84" t="s">
        <v>152</v>
      </c>
      <c r="BB2197" s="84" t="str">
        <f>IFERROR(__xludf.DUMMYFUNCTION("iferror(if(A2197="""",,E2197&gt;=FILTER(Constants!$F$2:$F$10,Constants!$A$2:$A$10=A2197)))"),"")</f>
        <v/>
      </c>
    </row>
    <row r="2198">
      <c r="A2198" s="89"/>
      <c r="B2198" s="87"/>
      <c r="C2198" s="73"/>
      <c r="D2198" s="73"/>
      <c r="E2198" s="82"/>
      <c r="F2198" s="82"/>
      <c r="G2198" s="86"/>
      <c r="H2198" s="86"/>
      <c r="I2198" s="86"/>
      <c r="J2198" s="82"/>
      <c r="K2198" s="82"/>
      <c r="L2198" s="82"/>
      <c r="M2198" s="82"/>
      <c r="N2198" s="82"/>
      <c r="O2198" s="82"/>
      <c r="P2198" s="82"/>
      <c r="Q2198" s="82"/>
      <c r="R2198" s="82"/>
      <c r="S2198" s="82"/>
      <c r="T2198" s="82"/>
      <c r="U2198" s="82"/>
      <c r="V2198" s="82"/>
      <c r="W2198" s="82"/>
      <c r="X2198" s="82"/>
      <c r="Y2198" s="82"/>
      <c r="Z2198" s="82"/>
      <c r="AA2198" s="82"/>
      <c r="AB2198" s="82"/>
      <c r="AC2198" s="82"/>
      <c r="AD2198" s="82"/>
      <c r="AE2198" s="82"/>
      <c r="AF2198" s="82"/>
      <c r="AG2198" s="82"/>
      <c r="AH2198" s="82"/>
      <c r="AI2198" s="82"/>
      <c r="AJ2198" s="82"/>
      <c r="AK2198" s="82"/>
      <c r="AL2198" s="82"/>
      <c r="AM2198" s="82"/>
      <c r="AN2198" s="82"/>
      <c r="AO2198" s="82"/>
      <c r="AP2198" s="82"/>
      <c r="AQ2198" s="82"/>
      <c r="AR2198" s="82"/>
      <c r="AS2198" s="82"/>
      <c r="AT2198" s="82"/>
      <c r="AU2198" s="82"/>
      <c r="AV2198" s="82"/>
      <c r="AW2198" s="82" t="str">
        <f t="shared" si="1"/>
        <v/>
      </c>
      <c r="AX2198" s="83" t="str">
        <f t="array" ref="AX2198">IFERROR(DGET('SBV Import'!A:G,"SBV",{"RSC ID","Tier";B2198,A2198}))</f>
        <v/>
      </c>
      <c r="AY2198" s="82" t="str">
        <f t="shared" si="2"/>
        <v/>
      </c>
      <c r="AZ2198" s="82"/>
      <c r="BA2198" s="84" t="s">
        <v>152</v>
      </c>
      <c r="BB2198" s="84" t="str">
        <f>IFERROR(__xludf.DUMMYFUNCTION("iferror(if(A2198="""",,E2198&gt;=FILTER(Constants!$F$2:$F$10,Constants!$A$2:$A$10=A2198)))"),"")</f>
        <v/>
      </c>
    </row>
    <row r="2199">
      <c r="A2199" s="89"/>
      <c r="B2199" s="87"/>
      <c r="C2199" s="73"/>
      <c r="D2199" s="73"/>
      <c r="E2199" s="82"/>
      <c r="F2199" s="82"/>
      <c r="G2199" s="86"/>
      <c r="H2199" s="86"/>
      <c r="I2199" s="86"/>
      <c r="J2199" s="82"/>
      <c r="K2199" s="82"/>
      <c r="L2199" s="82"/>
      <c r="M2199" s="82"/>
      <c r="N2199" s="82"/>
      <c r="O2199" s="82"/>
      <c r="P2199" s="82"/>
      <c r="Q2199" s="82"/>
      <c r="R2199" s="82"/>
      <c r="S2199" s="82"/>
      <c r="T2199" s="82"/>
      <c r="U2199" s="82"/>
      <c r="V2199" s="82"/>
      <c r="W2199" s="82"/>
      <c r="X2199" s="82"/>
      <c r="Y2199" s="82"/>
      <c r="Z2199" s="82"/>
      <c r="AA2199" s="82"/>
      <c r="AB2199" s="82"/>
      <c r="AC2199" s="82"/>
      <c r="AD2199" s="82"/>
      <c r="AE2199" s="82"/>
      <c r="AF2199" s="82"/>
      <c r="AG2199" s="82"/>
      <c r="AH2199" s="82"/>
      <c r="AI2199" s="82"/>
      <c r="AJ2199" s="82"/>
      <c r="AK2199" s="82"/>
      <c r="AL2199" s="82"/>
      <c r="AM2199" s="82"/>
      <c r="AN2199" s="82"/>
      <c r="AO2199" s="82"/>
      <c r="AP2199" s="82"/>
      <c r="AQ2199" s="82"/>
      <c r="AR2199" s="82"/>
      <c r="AS2199" s="82"/>
      <c r="AT2199" s="82"/>
      <c r="AU2199" s="82"/>
      <c r="AV2199" s="82"/>
      <c r="AW2199" s="82" t="str">
        <f t="shared" si="1"/>
        <v/>
      </c>
      <c r="AX2199" s="83" t="str">
        <f t="array" ref="AX2199">IFERROR(DGET('SBV Import'!A:G,"SBV",{"RSC ID","Tier";B2199,A2199}))</f>
        <v/>
      </c>
      <c r="AY2199" s="82" t="str">
        <f t="shared" si="2"/>
        <v/>
      </c>
      <c r="AZ2199" s="82"/>
      <c r="BA2199" s="84" t="s">
        <v>152</v>
      </c>
      <c r="BB2199" s="84" t="str">
        <f>IFERROR(__xludf.DUMMYFUNCTION("iferror(if(A2199="""",,E2199&gt;=FILTER(Constants!$F$2:$F$10,Constants!$A$2:$A$10=A2199)))"),"")</f>
        <v/>
      </c>
    </row>
    <row r="2200">
      <c r="A2200" s="89"/>
      <c r="B2200" s="87"/>
      <c r="C2200" s="73"/>
      <c r="D2200" s="73"/>
      <c r="E2200" s="82"/>
      <c r="F2200" s="82"/>
      <c r="G2200" s="86"/>
      <c r="H2200" s="86"/>
      <c r="I2200" s="86"/>
      <c r="J2200" s="82"/>
      <c r="K2200" s="82"/>
      <c r="L2200" s="82"/>
      <c r="M2200" s="82"/>
      <c r="N2200" s="82"/>
      <c r="O2200" s="82"/>
      <c r="P2200" s="82"/>
      <c r="Q2200" s="82"/>
      <c r="R2200" s="82"/>
      <c r="S2200" s="82"/>
      <c r="T2200" s="82"/>
      <c r="U2200" s="82"/>
      <c r="V2200" s="82"/>
      <c r="W2200" s="82"/>
      <c r="X2200" s="82"/>
      <c r="Y2200" s="82"/>
      <c r="Z2200" s="82"/>
      <c r="AA2200" s="82"/>
      <c r="AB2200" s="82"/>
      <c r="AC2200" s="82"/>
      <c r="AD2200" s="82"/>
      <c r="AE2200" s="82"/>
      <c r="AF2200" s="82"/>
      <c r="AG2200" s="82"/>
      <c r="AH2200" s="82"/>
      <c r="AI2200" s="82"/>
      <c r="AJ2200" s="82"/>
      <c r="AK2200" s="82"/>
      <c r="AL2200" s="82"/>
      <c r="AM2200" s="82"/>
      <c r="AN2200" s="82"/>
      <c r="AO2200" s="82"/>
      <c r="AP2200" s="82"/>
      <c r="AQ2200" s="82"/>
      <c r="AR2200" s="82"/>
      <c r="AS2200" s="82"/>
      <c r="AT2200" s="82"/>
      <c r="AU2200" s="82"/>
      <c r="AV2200" s="82"/>
      <c r="AW2200" s="82" t="str">
        <f t="shared" si="1"/>
        <v/>
      </c>
      <c r="AX2200" s="83" t="str">
        <f t="array" ref="AX2200">IFERROR(DGET('SBV Import'!A:G,"SBV",{"RSC ID","Tier";B2200,A2200}))</f>
        <v/>
      </c>
      <c r="AY2200" s="82" t="str">
        <f t="shared" si="2"/>
        <v/>
      </c>
      <c r="AZ2200" s="82"/>
      <c r="BA2200" s="84" t="s">
        <v>152</v>
      </c>
      <c r="BB2200" s="84" t="str">
        <f>IFERROR(__xludf.DUMMYFUNCTION("iferror(if(A2200="""",,E2200&gt;=FILTER(Constants!$F$2:$F$10,Constants!$A$2:$A$10=A2200)))"),"")</f>
        <v/>
      </c>
    </row>
    <row r="2201">
      <c r="A2201" s="89"/>
      <c r="B2201" s="87"/>
      <c r="C2201" s="73"/>
      <c r="D2201" s="73"/>
      <c r="E2201" s="82"/>
      <c r="F2201" s="82"/>
      <c r="G2201" s="86"/>
      <c r="H2201" s="86"/>
      <c r="I2201" s="86"/>
      <c r="J2201" s="82"/>
      <c r="K2201" s="82"/>
      <c r="L2201" s="82"/>
      <c r="M2201" s="82"/>
      <c r="N2201" s="82"/>
      <c r="O2201" s="82"/>
      <c r="P2201" s="82"/>
      <c r="Q2201" s="82"/>
      <c r="R2201" s="82"/>
      <c r="S2201" s="82"/>
      <c r="T2201" s="82"/>
      <c r="U2201" s="82"/>
      <c r="V2201" s="82"/>
      <c r="W2201" s="82"/>
      <c r="X2201" s="82"/>
      <c r="Y2201" s="82"/>
      <c r="Z2201" s="82"/>
      <c r="AA2201" s="82"/>
      <c r="AB2201" s="82"/>
      <c r="AC2201" s="82"/>
      <c r="AD2201" s="82"/>
      <c r="AE2201" s="82"/>
      <c r="AF2201" s="82"/>
      <c r="AG2201" s="82"/>
      <c r="AH2201" s="82"/>
      <c r="AI2201" s="82"/>
      <c r="AJ2201" s="82"/>
      <c r="AK2201" s="82"/>
      <c r="AL2201" s="82"/>
      <c r="AM2201" s="82"/>
      <c r="AN2201" s="82"/>
      <c r="AO2201" s="82"/>
      <c r="AP2201" s="82"/>
      <c r="AQ2201" s="82"/>
      <c r="AR2201" s="82"/>
      <c r="AS2201" s="82"/>
      <c r="AT2201" s="82"/>
      <c r="AU2201" s="82"/>
      <c r="AV2201" s="82"/>
      <c r="AW2201" s="82" t="str">
        <f t="shared" si="1"/>
        <v/>
      </c>
      <c r="AX2201" s="83" t="str">
        <f t="array" ref="AX2201">IFERROR(DGET('SBV Import'!A:G,"SBV",{"RSC ID","Tier";B2201,A2201}))</f>
        <v/>
      </c>
      <c r="AY2201" s="82" t="str">
        <f t="shared" si="2"/>
        <v/>
      </c>
      <c r="AZ2201" s="82"/>
      <c r="BA2201" s="84" t="s">
        <v>152</v>
      </c>
      <c r="BB2201" s="84" t="str">
        <f>IFERROR(__xludf.DUMMYFUNCTION("iferror(if(A2201="""",,E2201&gt;=FILTER(Constants!$F$2:$F$10,Constants!$A$2:$A$10=A2201)))"),"")</f>
        <v/>
      </c>
    </row>
    <row r="2202">
      <c r="A2202" s="89"/>
      <c r="B2202" s="87"/>
      <c r="C2202" s="73"/>
      <c r="D2202" s="73"/>
      <c r="E2202" s="82"/>
      <c r="F2202" s="82"/>
      <c r="G2202" s="86"/>
      <c r="H2202" s="86"/>
      <c r="I2202" s="86"/>
      <c r="J2202" s="82"/>
      <c r="K2202" s="82"/>
      <c r="L2202" s="82"/>
      <c r="M2202" s="82"/>
      <c r="N2202" s="82"/>
      <c r="O2202" s="82"/>
      <c r="P2202" s="82"/>
      <c r="Q2202" s="82"/>
      <c r="R2202" s="82"/>
      <c r="S2202" s="82"/>
      <c r="T2202" s="82"/>
      <c r="U2202" s="82"/>
      <c r="V2202" s="82"/>
      <c r="W2202" s="82"/>
      <c r="X2202" s="82"/>
      <c r="Y2202" s="82"/>
      <c r="Z2202" s="82"/>
      <c r="AA2202" s="82"/>
      <c r="AB2202" s="82"/>
      <c r="AC2202" s="82"/>
      <c r="AD2202" s="82"/>
      <c r="AE2202" s="82"/>
      <c r="AF2202" s="82"/>
      <c r="AG2202" s="82"/>
      <c r="AH2202" s="82"/>
      <c r="AI2202" s="82"/>
      <c r="AJ2202" s="82"/>
      <c r="AK2202" s="82"/>
      <c r="AL2202" s="82"/>
      <c r="AM2202" s="82"/>
      <c r="AN2202" s="82"/>
      <c r="AO2202" s="82"/>
      <c r="AP2202" s="82"/>
      <c r="AQ2202" s="82"/>
      <c r="AR2202" s="82"/>
      <c r="AS2202" s="82"/>
      <c r="AT2202" s="82"/>
      <c r="AU2202" s="82"/>
      <c r="AV2202" s="82"/>
      <c r="AW2202" s="82" t="str">
        <f t="shared" si="1"/>
        <v/>
      </c>
      <c r="AX2202" s="83" t="str">
        <f t="array" ref="AX2202">IFERROR(DGET('SBV Import'!A:G,"SBV",{"RSC ID","Tier";B2202,A2202}))</f>
        <v/>
      </c>
      <c r="AY2202" s="82" t="str">
        <f t="shared" si="2"/>
        <v/>
      </c>
      <c r="AZ2202" s="82"/>
      <c r="BA2202" s="84" t="s">
        <v>152</v>
      </c>
      <c r="BB2202" s="84" t="str">
        <f>IFERROR(__xludf.DUMMYFUNCTION("iferror(if(A2202="""",,E2202&gt;=FILTER(Constants!$F$2:$F$10,Constants!$A$2:$A$10=A2202)))"),"")</f>
        <v/>
      </c>
    </row>
    <row r="2203">
      <c r="A2203" s="89"/>
      <c r="B2203" s="87"/>
      <c r="C2203" s="73"/>
      <c r="D2203" s="73"/>
      <c r="E2203" s="82"/>
      <c r="F2203" s="82"/>
      <c r="G2203" s="86"/>
      <c r="H2203" s="86"/>
      <c r="I2203" s="86"/>
      <c r="J2203" s="82"/>
      <c r="K2203" s="82"/>
      <c r="L2203" s="82"/>
      <c r="M2203" s="82"/>
      <c r="N2203" s="82"/>
      <c r="O2203" s="82"/>
      <c r="P2203" s="82"/>
      <c r="Q2203" s="82"/>
      <c r="R2203" s="82"/>
      <c r="S2203" s="82"/>
      <c r="T2203" s="82"/>
      <c r="U2203" s="82"/>
      <c r="V2203" s="82"/>
      <c r="W2203" s="82"/>
      <c r="X2203" s="82"/>
      <c r="Y2203" s="82"/>
      <c r="Z2203" s="82"/>
      <c r="AA2203" s="82"/>
      <c r="AB2203" s="82"/>
      <c r="AC2203" s="82"/>
      <c r="AD2203" s="82"/>
      <c r="AE2203" s="82"/>
      <c r="AF2203" s="82"/>
      <c r="AG2203" s="82"/>
      <c r="AH2203" s="82"/>
      <c r="AI2203" s="82"/>
      <c r="AJ2203" s="82"/>
      <c r="AK2203" s="82"/>
      <c r="AL2203" s="82"/>
      <c r="AM2203" s="82"/>
      <c r="AN2203" s="82"/>
      <c r="AO2203" s="82"/>
      <c r="AP2203" s="82"/>
      <c r="AQ2203" s="82"/>
      <c r="AR2203" s="82"/>
      <c r="AS2203" s="82"/>
      <c r="AT2203" s="82"/>
      <c r="AU2203" s="82"/>
      <c r="AV2203" s="82"/>
      <c r="AW2203" s="82" t="str">
        <f t="shared" si="1"/>
        <v/>
      </c>
      <c r="AX2203" s="83" t="str">
        <f t="array" ref="AX2203">IFERROR(DGET('SBV Import'!A:G,"SBV",{"RSC ID","Tier";B2203,A2203}))</f>
        <v/>
      </c>
      <c r="AY2203" s="82" t="str">
        <f t="shared" si="2"/>
        <v/>
      </c>
      <c r="AZ2203" s="82"/>
      <c r="BA2203" s="84" t="s">
        <v>152</v>
      </c>
      <c r="BB2203" s="84" t="str">
        <f>IFERROR(__xludf.DUMMYFUNCTION("iferror(if(A2203="""",,E2203&gt;=FILTER(Constants!$F$2:$F$10,Constants!$A$2:$A$10=A2203)))"),"")</f>
        <v/>
      </c>
    </row>
    <row r="2204">
      <c r="A2204" s="89"/>
      <c r="B2204" s="87"/>
      <c r="C2204" s="73"/>
      <c r="D2204" s="73"/>
      <c r="E2204" s="82"/>
      <c r="F2204" s="82"/>
      <c r="G2204" s="86"/>
      <c r="H2204" s="86"/>
      <c r="I2204" s="86"/>
      <c r="J2204" s="82"/>
      <c r="K2204" s="82"/>
      <c r="L2204" s="82"/>
      <c r="M2204" s="82"/>
      <c r="N2204" s="82"/>
      <c r="O2204" s="82"/>
      <c r="P2204" s="82"/>
      <c r="Q2204" s="82"/>
      <c r="R2204" s="82"/>
      <c r="S2204" s="82"/>
      <c r="T2204" s="82"/>
      <c r="U2204" s="82"/>
      <c r="V2204" s="82"/>
      <c r="W2204" s="82"/>
      <c r="X2204" s="82"/>
      <c r="Y2204" s="82"/>
      <c r="Z2204" s="82"/>
      <c r="AA2204" s="82"/>
      <c r="AB2204" s="82"/>
      <c r="AC2204" s="82"/>
      <c r="AD2204" s="82"/>
      <c r="AE2204" s="82"/>
      <c r="AF2204" s="82"/>
      <c r="AG2204" s="82"/>
      <c r="AH2204" s="82"/>
      <c r="AI2204" s="82"/>
      <c r="AJ2204" s="82"/>
      <c r="AK2204" s="82"/>
      <c r="AL2204" s="82"/>
      <c r="AM2204" s="82"/>
      <c r="AN2204" s="82"/>
      <c r="AO2204" s="82"/>
      <c r="AP2204" s="82"/>
      <c r="AQ2204" s="82"/>
      <c r="AR2204" s="82"/>
      <c r="AS2204" s="82"/>
      <c r="AT2204" s="82"/>
      <c r="AU2204" s="82"/>
      <c r="AV2204" s="82"/>
      <c r="AW2204" s="82" t="str">
        <f t="shared" si="1"/>
        <v/>
      </c>
      <c r="AX2204" s="83" t="str">
        <f t="array" ref="AX2204">IFERROR(DGET('SBV Import'!A:G,"SBV",{"RSC ID","Tier";B2204,A2204}))</f>
        <v/>
      </c>
      <c r="AY2204" s="82" t="str">
        <f t="shared" si="2"/>
        <v/>
      </c>
      <c r="AZ2204" s="82"/>
      <c r="BA2204" s="84" t="s">
        <v>152</v>
      </c>
      <c r="BB2204" s="84" t="str">
        <f>IFERROR(__xludf.DUMMYFUNCTION("iferror(if(A2204="""",,E2204&gt;=FILTER(Constants!$F$2:$F$10,Constants!$A$2:$A$10=A2204)))"),"")</f>
        <v/>
      </c>
    </row>
    <row r="2205">
      <c r="A2205" s="89"/>
      <c r="B2205" s="87"/>
      <c r="C2205" s="73"/>
      <c r="D2205" s="73"/>
      <c r="E2205" s="82"/>
      <c r="F2205" s="82"/>
      <c r="G2205" s="86"/>
      <c r="H2205" s="86"/>
      <c r="I2205" s="86"/>
      <c r="J2205" s="82"/>
      <c r="K2205" s="82"/>
      <c r="L2205" s="82"/>
      <c r="M2205" s="82"/>
      <c r="N2205" s="82"/>
      <c r="O2205" s="82"/>
      <c r="P2205" s="82"/>
      <c r="Q2205" s="82"/>
      <c r="R2205" s="82"/>
      <c r="S2205" s="82"/>
      <c r="T2205" s="82"/>
      <c r="U2205" s="82"/>
      <c r="V2205" s="82"/>
      <c r="W2205" s="82"/>
      <c r="X2205" s="82"/>
      <c r="Y2205" s="82"/>
      <c r="Z2205" s="82"/>
      <c r="AA2205" s="82"/>
      <c r="AB2205" s="82"/>
      <c r="AC2205" s="82"/>
      <c r="AD2205" s="82"/>
      <c r="AE2205" s="82"/>
      <c r="AF2205" s="82"/>
      <c r="AG2205" s="82"/>
      <c r="AH2205" s="82"/>
      <c r="AI2205" s="82"/>
      <c r="AJ2205" s="82"/>
      <c r="AK2205" s="82"/>
      <c r="AL2205" s="82"/>
      <c r="AM2205" s="82"/>
      <c r="AN2205" s="82"/>
      <c r="AO2205" s="82"/>
      <c r="AP2205" s="82"/>
      <c r="AQ2205" s="82"/>
      <c r="AR2205" s="82"/>
      <c r="AS2205" s="82"/>
      <c r="AT2205" s="82"/>
      <c r="AU2205" s="82"/>
      <c r="AV2205" s="82"/>
      <c r="AW2205" s="82" t="str">
        <f t="shared" si="1"/>
        <v/>
      </c>
      <c r="AX2205" s="83" t="str">
        <f t="array" ref="AX2205">IFERROR(DGET('SBV Import'!A:G,"SBV",{"RSC ID","Tier";B2205,A2205}))</f>
        <v/>
      </c>
      <c r="AY2205" s="82" t="str">
        <f t="shared" si="2"/>
        <v/>
      </c>
      <c r="AZ2205" s="82"/>
      <c r="BA2205" s="84" t="s">
        <v>152</v>
      </c>
      <c r="BB2205" s="84" t="str">
        <f>IFERROR(__xludf.DUMMYFUNCTION("iferror(if(A2205="""",,E2205&gt;=FILTER(Constants!$F$2:$F$10,Constants!$A$2:$A$10=A2205)))"),"")</f>
        <v/>
      </c>
    </row>
    <row r="2206">
      <c r="A2206" s="89"/>
      <c r="B2206" s="87"/>
      <c r="C2206" s="73"/>
      <c r="D2206" s="73"/>
      <c r="E2206" s="82"/>
      <c r="F2206" s="82"/>
      <c r="G2206" s="86"/>
      <c r="H2206" s="86"/>
      <c r="I2206" s="86"/>
      <c r="J2206" s="82"/>
      <c r="K2206" s="82"/>
      <c r="L2206" s="82"/>
      <c r="M2206" s="82"/>
      <c r="N2206" s="82"/>
      <c r="O2206" s="82"/>
      <c r="P2206" s="82"/>
      <c r="Q2206" s="82"/>
      <c r="R2206" s="82"/>
      <c r="S2206" s="82"/>
      <c r="T2206" s="82"/>
      <c r="U2206" s="82"/>
      <c r="V2206" s="82"/>
      <c r="W2206" s="82"/>
      <c r="X2206" s="82"/>
      <c r="Y2206" s="82"/>
      <c r="Z2206" s="82"/>
      <c r="AA2206" s="82"/>
      <c r="AB2206" s="82"/>
      <c r="AC2206" s="82"/>
      <c r="AD2206" s="82"/>
      <c r="AE2206" s="82"/>
      <c r="AF2206" s="82"/>
      <c r="AG2206" s="82"/>
      <c r="AH2206" s="82"/>
      <c r="AI2206" s="82"/>
      <c r="AJ2206" s="82"/>
      <c r="AK2206" s="82"/>
      <c r="AL2206" s="82"/>
      <c r="AM2206" s="82"/>
      <c r="AN2206" s="82"/>
      <c r="AO2206" s="82"/>
      <c r="AP2206" s="82"/>
      <c r="AQ2206" s="82"/>
      <c r="AR2206" s="82"/>
      <c r="AS2206" s="82"/>
      <c r="AT2206" s="82"/>
      <c r="AU2206" s="82"/>
      <c r="AV2206" s="82"/>
      <c r="AW2206" s="82" t="str">
        <f t="shared" si="1"/>
        <v/>
      </c>
      <c r="AX2206" s="83" t="str">
        <f t="array" ref="AX2206">IFERROR(DGET('SBV Import'!A:G,"SBV",{"RSC ID","Tier";B2206,A2206}))</f>
        <v/>
      </c>
      <c r="AY2206" s="82" t="str">
        <f t="shared" si="2"/>
        <v/>
      </c>
      <c r="AZ2206" s="82"/>
      <c r="BA2206" s="84" t="s">
        <v>152</v>
      </c>
      <c r="BB2206" s="84" t="str">
        <f>IFERROR(__xludf.DUMMYFUNCTION("iferror(if(A2206="""",,E2206&gt;=FILTER(Constants!$F$2:$F$10,Constants!$A$2:$A$10=A2206)))"),"")</f>
        <v/>
      </c>
    </row>
    <row r="2207">
      <c r="A2207" s="89"/>
      <c r="B2207" s="87"/>
      <c r="C2207" s="73"/>
      <c r="D2207" s="73"/>
      <c r="E2207" s="82"/>
      <c r="F2207" s="82"/>
      <c r="G2207" s="86"/>
      <c r="H2207" s="86"/>
      <c r="I2207" s="86"/>
      <c r="J2207" s="82"/>
      <c r="K2207" s="82"/>
      <c r="L2207" s="82"/>
      <c r="M2207" s="82"/>
      <c r="N2207" s="82"/>
      <c r="O2207" s="82"/>
      <c r="P2207" s="82"/>
      <c r="Q2207" s="82"/>
      <c r="R2207" s="82"/>
      <c r="S2207" s="82"/>
      <c r="T2207" s="82"/>
      <c r="U2207" s="82"/>
      <c r="V2207" s="82"/>
      <c r="W2207" s="82"/>
      <c r="X2207" s="82"/>
      <c r="Y2207" s="82"/>
      <c r="Z2207" s="82"/>
      <c r="AA2207" s="82"/>
      <c r="AB2207" s="82"/>
      <c r="AC2207" s="82"/>
      <c r="AD2207" s="82"/>
      <c r="AE2207" s="82"/>
      <c r="AF2207" s="82"/>
      <c r="AG2207" s="82"/>
      <c r="AH2207" s="82"/>
      <c r="AI2207" s="82"/>
      <c r="AJ2207" s="82"/>
      <c r="AK2207" s="82"/>
      <c r="AL2207" s="82"/>
      <c r="AM2207" s="82"/>
      <c r="AN2207" s="82"/>
      <c r="AO2207" s="82"/>
      <c r="AP2207" s="82"/>
      <c r="AQ2207" s="82"/>
      <c r="AR2207" s="82"/>
      <c r="AS2207" s="82"/>
      <c r="AT2207" s="82"/>
      <c r="AU2207" s="82"/>
      <c r="AV2207" s="82"/>
      <c r="AW2207" s="82" t="str">
        <f t="shared" si="1"/>
        <v/>
      </c>
      <c r="AX2207" s="83" t="str">
        <f t="array" ref="AX2207">IFERROR(DGET('SBV Import'!A:G,"SBV",{"RSC ID","Tier";B2207,A2207}))</f>
        <v/>
      </c>
      <c r="AY2207" s="82" t="str">
        <f t="shared" si="2"/>
        <v/>
      </c>
      <c r="AZ2207" s="82"/>
      <c r="BA2207" s="84" t="s">
        <v>152</v>
      </c>
      <c r="BB2207" s="84" t="str">
        <f>IFERROR(__xludf.DUMMYFUNCTION("iferror(if(A2207="""",,E2207&gt;=FILTER(Constants!$F$2:$F$10,Constants!$A$2:$A$10=A2207)))"),"")</f>
        <v/>
      </c>
    </row>
    <row r="2208">
      <c r="A2208" s="89"/>
      <c r="B2208" s="87"/>
      <c r="C2208" s="73"/>
      <c r="D2208" s="73"/>
      <c r="E2208" s="82"/>
      <c r="F2208" s="82"/>
      <c r="G2208" s="86"/>
      <c r="H2208" s="86"/>
      <c r="I2208" s="86"/>
      <c r="J2208" s="82"/>
      <c r="K2208" s="82"/>
      <c r="L2208" s="82"/>
      <c r="M2208" s="82"/>
      <c r="N2208" s="82"/>
      <c r="O2208" s="82"/>
      <c r="P2208" s="82"/>
      <c r="Q2208" s="82"/>
      <c r="R2208" s="82"/>
      <c r="S2208" s="82"/>
      <c r="T2208" s="82"/>
      <c r="U2208" s="82"/>
      <c r="V2208" s="82"/>
      <c r="W2208" s="82"/>
      <c r="X2208" s="82"/>
      <c r="Y2208" s="82"/>
      <c r="Z2208" s="82"/>
      <c r="AA2208" s="82"/>
      <c r="AB2208" s="82"/>
      <c r="AC2208" s="82"/>
      <c r="AD2208" s="82"/>
      <c r="AE2208" s="82"/>
      <c r="AF2208" s="82"/>
      <c r="AG2208" s="82"/>
      <c r="AH2208" s="82"/>
      <c r="AI2208" s="82"/>
      <c r="AJ2208" s="82"/>
      <c r="AK2208" s="82"/>
      <c r="AL2208" s="82"/>
      <c r="AM2208" s="82"/>
      <c r="AN2208" s="82"/>
      <c r="AO2208" s="82"/>
      <c r="AP2208" s="82"/>
      <c r="AQ2208" s="82"/>
      <c r="AR2208" s="82"/>
      <c r="AS2208" s="82"/>
      <c r="AT2208" s="82"/>
      <c r="AU2208" s="82"/>
      <c r="AV2208" s="82"/>
      <c r="AW2208" s="82" t="str">
        <f t="shared" si="1"/>
        <v/>
      </c>
      <c r="AX2208" s="83" t="str">
        <f t="array" ref="AX2208">IFERROR(DGET('SBV Import'!A:G,"SBV",{"RSC ID","Tier";B2208,A2208}))</f>
        <v/>
      </c>
      <c r="AY2208" s="82" t="str">
        <f t="shared" si="2"/>
        <v/>
      </c>
      <c r="AZ2208" s="82"/>
      <c r="BA2208" s="84" t="s">
        <v>152</v>
      </c>
      <c r="BB2208" s="84" t="str">
        <f>IFERROR(__xludf.DUMMYFUNCTION("iferror(if(A2208="""",,E2208&gt;=FILTER(Constants!$F$2:$F$10,Constants!$A$2:$A$10=A2208)))"),"")</f>
        <v/>
      </c>
    </row>
    <row r="2209">
      <c r="A2209" s="89"/>
      <c r="B2209" s="87"/>
      <c r="C2209" s="73"/>
      <c r="D2209" s="73"/>
      <c r="E2209" s="82"/>
      <c r="F2209" s="82"/>
      <c r="G2209" s="86"/>
      <c r="H2209" s="86"/>
      <c r="I2209" s="86"/>
      <c r="J2209" s="82"/>
      <c r="K2209" s="82"/>
      <c r="L2209" s="82"/>
      <c r="M2209" s="82"/>
      <c r="N2209" s="82"/>
      <c r="O2209" s="82"/>
      <c r="P2209" s="82"/>
      <c r="Q2209" s="82"/>
      <c r="R2209" s="82"/>
      <c r="S2209" s="82"/>
      <c r="T2209" s="82"/>
      <c r="U2209" s="82"/>
      <c r="V2209" s="82"/>
      <c r="W2209" s="82"/>
      <c r="X2209" s="82"/>
      <c r="Y2209" s="82"/>
      <c r="Z2209" s="82"/>
      <c r="AA2209" s="82"/>
      <c r="AB2209" s="82"/>
      <c r="AC2209" s="82"/>
      <c r="AD2209" s="82"/>
      <c r="AE2209" s="82"/>
      <c r="AF2209" s="82"/>
      <c r="AG2209" s="82"/>
      <c r="AH2209" s="82"/>
      <c r="AI2209" s="82"/>
      <c r="AJ2209" s="82"/>
      <c r="AK2209" s="82"/>
      <c r="AL2209" s="82"/>
      <c r="AM2209" s="82"/>
      <c r="AN2209" s="82"/>
      <c r="AO2209" s="82"/>
      <c r="AP2209" s="82"/>
      <c r="AQ2209" s="82"/>
      <c r="AR2209" s="82"/>
      <c r="AS2209" s="82"/>
      <c r="AT2209" s="82"/>
      <c r="AU2209" s="82"/>
      <c r="AV2209" s="82"/>
      <c r="AW2209" s="82" t="str">
        <f t="shared" si="1"/>
        <v/>
      </c>
      <c r="AX2209" s="83" t="str">
        <f t="array" ref="AX2209">IFERROR(DGET('SBV Import'!A:G,"SBV",{"RSC ID","Tier";B2209,A2209}))</f>
        <v/>
      </c>
      <c r="AY2209" s="82" t="str">
        <f t="shared" si="2"/>
        <v/>
      </c>
      <c r="AZ2209" s="82"/>
      <c r="BA2209" s="84" t="s">
        <v>152</v>
      </c>
      <c r="BB2209" s="84" t="str">
        <f>IFERROR(__xludf.DUMMYFUNCTION("iferror(if(A2209="""",,E2209&gt;=FILTER(Constants!$F$2:$F$10,Constants!$A$2:$A$10=A2209)))"),"")</f>
        <v/>
      </c>
    </row>
    <row r="2210">
      <c r="A2210" s="89"/>
      <c r="B2210" s="87"/>
      <c r="C2210" s="73"/>
      <c r="D2210" s="73"/>
      <c r="E2210" s="82"/>
      <c r="F2210" s="82"/>
      <c r="G2210" s="86"/>
      <c r="H2210" s="86"/>
      <c r="I2210" s="86"/>
      <c r="J2210" s="82"/>
      <c r="K2210" s="82"/>
      <c r="L2210" s="82"/>
      <c r="M2210" s="82"/>
      <c r="N2210" s="82"/>
      <c r="O2210" s="82"/>
      <c r="P2210" s="82"/>
      <c r="Q2210" s="82"/>
      <c r="R2210" s="82"/>
      <c r="S2210" s="82"/>
      <c r="T2210" s="82"/>
      <c r="U2210" s="82"/>
      <c r="V2210" s="82"/>
      <c r="W2210" s="82"/>
      <c r="X2210" s="82"/>
      <c r="Y2210" s="82"/>
      <c r="Z2210" s="82"/>
      <c r="AA2210" s="82"/>
      <c r="AB2210" s="82"/>
      <c r="AC2210" s="82"/>
      <c r="AD2210" s="82"/>
      <c r="AE2210" s="82"/>
      <c r="AF2210" s="82"/>
      <c r="AG2210" s="82"/>
      <c r="AH2210" s="82"/>
      <c r="AI2210" s="82"/>
      <c r="AJ2210" s="82"/>
      <c r="AK2210" s="82"/>
      <c r="AL2210" s="82"/>
      <c r="AM2210" s="82"/>
      <c r="AN2210" s="82"/>
      <c r="AO2210" s="82"/>
      <c r="AP2210" s="82"/>
      <c r="AQ2210" s="82"/>
      <c r="AR2210" s="82"/>
      <c r="AS2210" s="82"/>
      <c r="AT2210" s="82"/>
      <c r="AU2210" s="82"/>
      <c r="AV2210" s="82"/>
      <c r="AW2210" s="82" t="str">
        <f t="shared" si="1"/>
        <v/>
      </c>
      <c r="AX2210" s="83" t="str">
        <f t="array" ref="AX2210">IFERROR(DGET('SBV Import'!A:G,"SBV",{"RSC ID","Tier";B2210,A2210}))</f>
        <v/>
      </c>
      <c r="AY2210" s="82" t="str">
        <f t="shared" si="2"/>
        <v/>
      </c>
      <c r="AZ2210" s="82"/>
      <c r="BA2210" s="84" t="s">
        <v>152</v>
      </c>
      <c r="BB2210" s="84" t="str">
        <f>IFERROR(__xludf.DUMMYFUNCTION("iferror(if(A2210="""",,E2210&gt;=FILTER(Constants!$F$2:$F$10,Constants!$A$2:$A$10=A2210)))"),"")</f>
        <v/>
      </c>
    </row>
    <row r="2211">
      <c r="A2211" s="89"/>
      <c r="B2211" s="87"/>
      <c r="C2211" s="73"/>
      <c r="D2211" s="73"/>
      <c r="E2211" s="82"/>
      <c r="F2211" s="82"/>
      <c r="G2211" s="86"/>
      <c r="H2211" s="86"/>
      <c r="I2211" s="86"/>
      <c r="J2211" s="82"/>
      <c r="K2211" s="82"/>
      <c r="L2211" s="82"/>
      <c r="M2211" s="82"/>
      <c r="N2211" s="82"/>
      <c r="O2211" s="82"/>
      <c r="P2211" s="82"/>
      <c r="Q2211" s="82"/>
      <c r="R2211" s="82"/>
      <c r="S2211" s="82"/>
      <c r="T2211" s="82"/>
      <c r="U2211" s="82"/>
      <c r="V2211" s="82"/>
      <c r="W2211" s="82"/>
      <c r="X2211" s="82"/>
      <c r="Y2211" s="82"/>
      <c r="Z2211" s="82"/>
      <c r="AA2211" s="82"/>
      <c r="AB2211" s="82"/>
      <c r="AC2211" s="82"/>
      <c r="AD2211" s="82"/>
      <c r="AE2211" s="82"/>
      <c r="AF2211" s="82"/>
      <c r="AG2211" s="82"/>
      <c r="AH2211" s="82"/>
      <c r="AI2211" s="82"/>
      <c r="AJ2211" s="82"/>
      <c r="AK2211" s="82"/>
      <c r="AL2211" s="82"/>
      <c r="AM2211" s="82"/>
      <c r="AN2211" s="82"/>
      <c r="AO2211" s="82"/>
      <c r="AP2211" s="82"/>
      <c r="AQ2211" s="82"/>
      <c r="AR2211" s="82"/>
      <c r="AS2211" s="82"/>
      <c r="AT2211" s="82"/>
      <c r="AU2211" s="82"/>
      <c r="AV2211" s="82"/>
      <c r="AW2211" s="82" t="str">
        <f t="shared" si="1"/>
        <v/>
      </c>
      <c r="AX2211" s="83" t="str">
        <f t="array" ref="AX2211">IFERROR(DGET('SBV Import'!A:G,"SBV",{"RSC ID","Tier";B2211,A2211}))</f>
        <v/>
      </c>
      <c r="AY2211" s="82" t="str">
        <f t="shared" si="2"/>
        <v/>
      </c>
      <c r="AZ2211" s="82"/>
      <c r="BA2211" s="84" t="s">
        <v>152</v>
      </c>
      <c r="BB2211" s="84" t="str">
        <f>IFERROR(__xludf.DUMMYFUNCTION("iferror(if(A2211="""",,E2211&gt;=FILTER(Constants!$F$2:$F$10,Constants!$A$2:$A$10=A2211)))"),"")</f>
        <v/>
      </c>
    </row>
    <row r="2212">
      <c r="A2212" s="89"/>
      <c r="B2212" s="87"/>
      <c r="C2212" s="73"/>
      <c r="D2212" s="73"/>
      <c r="E2212" s="82"/>
      <c r="F2212" s="82"/>
      <c r="G2212" s="86"/>
      <c r="H2212" s="86"/>
      <c r="I2212" s="86"/>
      <c r="J2212" s="82"/>
      <c r="K2212" s="82"/>
      <c r="L2212" s="82"/>
      <c r="M2212" s="82"/>
      <c r="N2212" s="82"/>
      <c r="O2212" s="82"/>
      <c r="P2212" s="82"/>
      <c r="Q2212" s="82"/>
      <c r="R2212" s="82"/>
      <c r="S2212" s="82"/>
      <c r="T2212" s="82"/>
      <c r="U2212" s="82"/>
      <c r="V2212" s="82"/>
      <c r="W2212" s="82"/>
      <c r="X2212" s="82"/>
      <c r="Y2212" s="82"/>
      <c r="Z2212" s="82"/>
      <c r="AA2212" s="82"/>
      <c r="AB2212" s="82"/>
      <c r="AC2212" s="82"/>
      <c r="AD2212" s="82"/>
      <c r="AE2212" s="82"/>
      <c r="AF2212" s="82"/>
      <c r="AG2212" s="82"/>
      <c r="AH2212" s="82"/>
      <c r="AI2212" s="82"/>
      <c r="AJ2212" s="82"/>
      <c r="AK2212" s="82"/>
      <c r="AL2212" s="82"/>
      <c r="AM2212" s="82"/>
      <c r="AN2212" s="82"/>
      <c r="AO2212" s="82"/>
      <c r="AP2212" s="82"/>
      <c r="AQ2212" s="82"/>
      <c r="AR2212" s="82"/>
      <c r="AS2212" s="82"/>
      <c r="AT2212" s="82"/>
      <c r="AU2212" s="82"/>
      <c r="AV2212" s="82"/>
      <c r="AW2212" s="82" t="str">
        <f t="shared" si="1"/>
        <v/>
      </c>
      <c r="AX2212" s="83" t="str">
        <f t="array" ref="AX2212">IFERROR(DGET('SBV Import'!A:G,"SBV",{"RSC ID","Tier";B2212,A2212}))</f>
        <v/>
      </c>
      <c r="AY2212" s="82" t="str">
        <f t="shared" si="2"/>
        <v/>
      </c>
      <c r="AZ2212" s="82"/>
      <c r="BA2212" s="84" t="s">
        <v>152</v>
      </c>
      <c r="BB2212" s="84" t="str">
        <f>IFERROR(__xludf.DUMMYFUNCTION("iferror(if(A2212="""",,E2212&gt;=FILTER(Constants!$F$2:$F$10,Constants!$A$2:$A$10=A2212)))"),"")</f>
        <v/>
      </c>
    </row>
    <row r="2213">
      <c r="A2213" s="89"/>
      <c r="B2213" s="87"/>
      <c r="C2213" s="73"/>
      <c r="D2213" s="73"/>
      <c r="E2213" s="82"/>
      <c r="F2213" s="82"/>
      <c r="G2213" s="86"/>
      <c r="H2213" s="86"/>
      <c r="I2213" s="86"/>
      <c r="J2213" s="82"/>
      <c r="K2213" s="82"/>
      <c r="L2213" s="82"/>
      <c r="M2213" s="82"/>
      <c r="N2213" s="82"/>
      <c r="O2213" s="82"/>
      <c r="P2213" s="82"/>
      <c r="Q2213" s="82"/>
      <c r="R2213" s="82"/>
      <c r="S2213" s="82"/>
      <c r="T2213" s="82"/>
      <c r="U2213" s="82"/>
      <c r="V2213" s="82"/>
      <c r="W2213" s="82"/>
      <c r="X2213" s="82"/>
      <c r="Y2213" s="82"/>
      <c r="Z2213" s="82"/>
      <c r="AA2213" s="82"/>
      <c r="AB2213" s="82"/>
      <c r="AC2213" s="82"/>
      <c r="AD2213" s="82"/>
      <c r="AE2213" s="82"/>
      <c r="AF2213" s="82"/>
      <c r="AG2213" s="82"/>
      <c r="AH2213" s="82"/>
      <c r="AI2213" s="82"/>
      <c r="AJ2213" s="82"/>
      <c r="AK2213" s="82"/>
      <c r="AL2213" s="82"/>
      <c r="AM2213" s="82"/>
      <c r="AN2213" s="82"/>
      <c r="AO2213" s="82"/>
      <c r="AP2213" s="82"/>
      <c r="AQ2213" s="82"/>
      <c r="AR2213" s="82"/>
      <c r="AS2213" s="82"/>
      <c r="AT2213" s="82"/>
      <c r="AU2213" s="82"/>
      <c r="AV2213" s="82"/>
      <c r="AW2213" s="82" t="str">
        <f t="shared" si="1"/>
        <v/>
      </c>
      <c r="AX2213" s="83" t="str">
        <f t="array" ref="AX2213">IFERROR(DGET('SBV Import'!A:G,"SBV",{"RSC ID","Tier";B2213,A2213}))</f>
        <v/>
      </c>
      <c r="AY2213" s="82" t="str">
        <f t="shared" si="2"/>
        <v/>
      </c>
      <c r="AZ2213" s="82"/>
      <c r="BA2213" s="84" t="s">
        <v>152</v>
      </c>
      <c r="BB2213" s="84" t="str">
        <f>IFERROR(__xludf.DUMMYFUNCTION("iferror(if(A2213="""",,E2213&gt;=FILTER(Constants!$F$2:$F$10,Constants!$A$2:$A$10=A2213)))"),"")</f>
        <v/>
      </c>
    </row>
    <row r="2214">
      <c r="A2214" s="89"/>
      <c r="B2214" s="87"/>
      <c r="C2214" s="73"/>
      <c r="D2214" s="73"/>
      <c r="E2214" s="82"/>
      <c r="F2214" s="82"/>
      <c r="G2214" s="86"/>
      <c r="H2214" s="86"/>
      <c r="I2214" s="86"/>
      <c r="J2214" s="82"/>
      <c r="K2214" s="82"/>
      <c r="L2214" s="82"/>
      <c r="M2214" s="82"/>
      <c r="N2214" s="82"/>
      <c r="O2214" s="82"/>
      <c r="P2214" s="82"/>
      <c r="Q2214" s="82"/>
      <c r="R2214" s="82"/>
      <c r="S2214" s="82"/>
      <c r="T2214" s="82"/>
      <c r="U2214" s="82"/>
      <c r="V2214" s="82"/>
      <c r="W2214" s="82"/>
      <c r="X2214" s="82"/>
      <c r="Y2214" s="82"/>
      <c r="Z2214" s="82"/>
      <c r="AA2214" s="82"/>
      <c r="AB2214" s="82"/>
      <c r="AC2214" s="82"/>
      <c r="AD2214" s="82"/>
      <c r="AE2214" s="82"/>
      <c r="AF2214" s="82"/>
      <c r="AG2214" s="82"/>
      <c r="AH2214" s="82"/>
      <c r="AI2214" s="82"/>
      <c r="AJ2214" s="82"/>
      <c r="AK2214" s="82"/>
      <c r="AL2214" s="82"/>
      <c r="AM2214" s="82"/>
      <c r="AN2214" s="82"/>
      <c r="AO2214" s="82"/>
      <c r="AP2214" s="82"/>
      <c r="AQ2214" s="82"/>
      <c r="AR2214" s="82"/>
      <c r="AS2214" s="82"/>
      <c r="AT2214" s="82"/>
      <c r="AU2214" s="82"/>
      <c r="AV2214" s="82"/>
      <c r="AW2214" s="82" t="str">
        <f t="shared" si="1"/>
        <v/>
      </c>
      <c r="AX2214" s="83" t="str">
        <f t="array" ref="AX2214">IFERROR(DGET('SBV Import'!A:G,"SBV",{"RSC ID","Tier";B2214,A2214}))</f>
        <v/>
      </c>
      <c r="AY2214" s="82" t="str">
        <f t="shared" si="2"/>
        <v/>
      </c>
      <c r="AZ2214" s="82"/>
      <c r="BA2214" s="84" t="s">
        <v>152</v>
      </c>
      <c r="BB2214" s="84" t="str">
        <f>IFERROR(__xludf.DUMMYFUNCTION("iferror(if(A2214="""",,E2214&gt;=FILTER(Constants!$F$2:$F$10,Constants!$A$2:$A$10=A2214)))"),"")</f>
        <v/>
      </c>
    </row>
    <row r="2215">
      <c r="A2215" s="89"/>
      <c r="B2215" s="87"/>
      <c r="C2215" s="73"/>
      <c r="D2215" s="73"/>
      <c r="E2215" s="82"/>
      <c r="F2215" s="82"/>
      <c r="G2215" s="86"/>
      <c r="H2215" s="86"/>
      <c r="I2215" s="86"/>
      <c r="J2215" s="82"/>
      <c r="K2215" s="82"/>
      <c r="L2215" s="82"/>
      <c r="M2215" s="82"/>
      <c r="N2215" s="82"/>
      <c r="O2215" s="82"/>
      <c r="P2215" s="82"/>
      <c r="Q2215" s="82"/>
      <c r="R2215" s="82"/>
      <c r="S2215" s="82"/>
      <c r="T2215" s="82"/>
      <c r="U2215" s="82"/>
      <c r="V2215" s="82"/>
      <c r="W2215" s="82"/>
      <c r="X2215" s="82"/>
      <c r="Y2215" s="82"/>
      <c r="Z2215" s="82"/>
      <c r="AA2215" s="82"/>
      <c r="AB2215" s="82"/>
      <c r="AC2215" s="82"/>
      <c r="AD2215" s="82"/>
      <c r="AE2215" s="82"/>
      <c r="AF2215" s="82"/>
      <c r="AG2215" s="82"/>
      <c r="AH2215" s="82"/>
      <c r="AI2215" s="82"/>
      <c r="AJ2215" s="82"/>
      <c r="AK2215" s="82"/>
      <c r="AL2215" s="82"/>
      <c r="AM2215" s="82"/>
      <c r="AN2215" s="82"/>
      <c r="AO2215" s="82"/>
      <c r="AP2215" s="82"/>
      <c r="AQ2215" s="82"/>
      <c r="AR2215" s="82"/>
      <c r="AS2215" s="82"/>
      <c r="AT2215" s="82"/>
      <c r="AU2215" s="82"/>
      <c r="AV2215" s="82"/>
      <c r="AW2215" s="82" t="str">
        <f t="shared" si="1"/>
        <v/>
      </c>
      <c r="AX2215" s="83" t="str">
        <f t="array" ref="AX2215">IFERROR(DGET('SBV Import'!A:G,"SBV",{"RSC ID","Tier";B2215,A2215}))</f>
        <v/>
      </c>
      <c r="AY2215" s="82" t="str">
        <f t="shared" si="2"/>
        <v/>
      </c>
      <c r="AZ2215" s="82"/>
      <c r="BA2215" s="84" t="s">
        <v>152</v>
      </c>
      <c r="BB2215" s="84" t="str">
        <f>IFERROR(__xludf.DUMMYFUNCTION("iferror(if(A2215="""",,E2215&gt;=FILTER(Constants!$F$2:$F$10,Constants!$A$2:$A$10=A2215)))"),"")</f>
        <v/>
      </c>
    </row>
    <row r="2216">
      <c r="A2216" s="89"/>
      <c r="B2216" s="87"/>
      <c r="C2216" s="73"/>
      <c r="D2216" s="73"/>
      <c r="E2216" s="82"/>
      <c r="F2216" s="82"/>
      <c r="G2216" s="86"/>
      <c r="H2216" s="86"/>
      <c r="I2216" s="86"/>
      <c r="J2216" s="82"/>
      <c r="K2216" s="82"/>
      <c r="L2216" s="82"/>
      <c r="M2216" s="82"/>
      <c r="N2216" s="82"/>
      <c r="O2216" s="82"/>
      <c r="P2216" s="82"/>
      <c r="Q2216" s="82"/>
      <c r="R2216" s="82"/>
      <c r="S2216" s="82"/>
      <c r="T2216" s="82"/>
      <c r="U2216" s="82"/>
      <c r="V2216" s="82"/>
      <c r="W2216" s="82"/>
      <c r="X2216" s="82"/>
      <c r="Y2216" s="82"/>
      <c r="Z2216" s="82"/>
      <c r="AA2216" s="82"/>
      <c r="AB2216" s="82"/>
      <c r="AC2216" s="82"/>
      <c r="AD2216" s="82"/>
      <c r="AE2216" s="82"/>
      <c r="AF2216" s="82"/>
      <c r="AG2216" s="82"/>
      <c r="AH2216" s="82"/>
      <c r="AI2216" s="82"/>
      <c r="AJ2216" s="82"/>
      <c r="AK2216" s="82"/>
      <c r="AL2216" s="82"/>
      <c r="AM2216" s="82"/>
      <c r="AN2216" s="82"/>
      <c r="AO2216" s="82"/>
      <c r="AP2216" s="82"/>
      <c r="AQ2216" s="82"/>
      <c r="AR2216" s="82"/>
      <c r="AS2216" s="82"/>
      <c r="AT2216" s="82"/>
      <c r="AU2216" s="82"/>
      <c r="AV2216" s="82"/>
      <c r="AW2216" s="82" t="str">
        <f t="shared" si="1"/>
        <v/>
      </c>
      <c r="AX2216" s="83" t="str">
        <f t="array" ref="AX2216">IFERROR(DGET('SBV Import'!A:G,"SBV",{"RSC ID","Tier";B2216,A2216}))</f>
        <v/>
      </c>
      <c r="AY2216" s="82" t="str">
        <f t="shared" si="2"/>
        <v/>
      </c>
      <c r="AZ2216" s="82"/>
      <c r="BA2216" s="84" t="s">
        <v>152</v>
      </c>
      <c r="BB2216" s="84" t="str">
        <f>IFERROR(__xludf.DUMMYFUNCTION("iferror(if(A2216="""",,E2216&gt;=FILTER(Constants!$F$2:$F$10,Constants!$A$2:$A$10=A2216)))"),"")</f>
        <v/>
      </c>
    </row>
    <row r="2217">
      <c r="A2217" s="89"/>
      <c r="B2217" s="87"/>
      <c r="C2217" s="73"/>
      <c r="D2217" s="73"/>
      <c r="E2217" s="82"/>
      <c r="F2217" s="82"/>
      <c r="G2217" s="86"/>
      <c r="H2217" s="86"/>
      <c r="I2217" s="86"/>
      <c r="J2217" s="82"/>
      <c r="K2217" s="82"/>
      <c r="L2217" s="82"/>
      <c r="M2217" s="82"/>
      <c r="N2217" s="82"/>
      <c r="O2217" s="82"/>
      <c r="P2217" s="82"/>
      <c r="Q2217" s="82"/>
      <c r="R2217" s="82"/>
      <c r="S2217" s="82"/>
      <c r="T2217" s="82"/>
      <c r="U2217" s="82"/>
      <c r="V2217" s="82"/>
      <c r="W2217" s="82"/>
      <c r="X2217" s="82"/>
      <c r="Y2217" s="82"/>
      <c r="Z2217" s="82"/>
      <c r="AA2217" s="82"/>
      <c r="AB2217" s="82"/>
      <c r="AC2217" s="82"/>
      <c r="AD2217" s="82"/>
      <c r="AE2217" s="82"/>
      <c r="AF2217" s="82"/>
      <c r="AG2217" s="82"/>
      <c r="AH2217" s="82"/>
      <c r="AI2217" s="82"/>
      <c r="AJ2217" s="82"/>
      <c r="AK2217" s="82"/>
      <c r="AL2217" s="82"/>
      <c r="AM2217" s="82"/>
      <c r="AN2217" s="82"/>
      <c r="AO2217" s="82"/>
      <c r="AP2217" s="82"/>
      <c r="AQ2217" s="82"/>
      <c r="AR2217" s="82"/>
      <c r="AS2217" s="82"/>
      <c r="AT2217" s="82"/>
      <c r="AU2217" s="82"/>
      <c r="AV2217" s="82"/>
      <c r="AW2217" s="82" t="str">
        <f t="shared" si="1"/>
        <v/>
      </c>
      <c r="AX2217" s="83" t="str">
        <f t="array" ref="AX2217">IFERROR(DGET('SBV Import'!A:G,"SBV",{"RSC ID","Tier";B2217,A2217}))</f>
        <v/>
      </c>
      <c r="AY2217" s="82" t="str">
        <f t="shared" si="2"/>
        <v/>
      </c>
      <c r="AZ2217" s="82"/>
      <c r="BA2217" s="84" t="s">
        <v>152</v>
      </c>
      <c r="BB2217" s="84" t="str">
        <f>IFERROR(__xludf.DUMMYFUNCTION("iferror(if(A2217="""",,E2217&gt;=FILTER(Constants!$F$2:$F$10,Constants!$A$2:$A$10=A2217)))"),"")</f>
        <v/>
      </c>
    </row>
    <row r="2218">
      <c r="A2218" s="89"/>
      <c r="B2218" s="87"/>
      <c r="C2218" s="73"/>
      <c r="D2218" s="73"/>
      <c r="E2218" s="82"/>
      <c r="F2218" s="82"/>
      <c r="G2218" s="86"/>
      <c r="H2218" s="86"/>
      <c r="I2218" s="86"/>
      <c r="J2218" s="82"/>
      <c r="K2218" s="82"/>
      <c r="L2218" s="82"/>
      <c r="M2218" s="82"/>
      <c r="N2218" s="82"/>
      <c r="O2218" s="82"/>
      <c r="P2218" s="82"/>
      <c r="Q2218" s="82"/>
      <c r="R2218" s="82"/>
      <c r="S2218" s="82"/>
      <c r="T2218" s="82"/>
      <c r="U2218" s="82"/>
      <c r="V2218" s="82"/>
      <c r="W2218" s="82"/>
      <c r="X2218" s="82"/>
      <c r="Y2218" s="82"/>
      <c r="Z2218" s="82"/>
      <c r="AA2218" s="82"/>
      <c r="AB2218" s="82"/>
      <c r="AC2218" s="82"/>
      <c r="AD2218" s="82"/>
      <c r="AE2218" s="82"/>
      <c r="AF2218" s="82"/>
      <c r="AG2218" s="82"/>
      <c r="AH2218" s="82"/>
      <c r="AI2218" s="82"/>
      <c r="AJ2218" s="82"/>
      <c r="AK2218" s="82"/>
      <c r="AL2218" s="82"/>
      <c r="AM2218" s="82"/>
      <c r="AN2218" s="82"/>
      <c r="AO2218" s="82"/>
      <c r="AP2218" s="82"/>
      <c r="AQ2218" s="82"/>
      <c r="AR2218" s="82"/>
      <c r="AS2218" s="82"/>
      <c r="AT2218" s="82"/>
      <c r="AU2218" s="82"/>
      <c r="AV2218" s="82"/>
      <c r="AW2218" s="82" t="str">
        <f t="shared" si="1"/>
        <v/>
      </c>
      <c r="AX2218" s="83" t="str">
        <f t="array" ref="AX2218">IFERROR(DGET('SBV Import'!A:G,"SBV",{"RSC ID","Tier";B2218,A2218}))</f>
        <v/>
      </c>
      <c r="AY2218" s="82" t="str">
        <f t="shared" si="2"/>
        <v/>
      </c>
      <c r="AZ2218" s="82"/>
      <c r="BA2218" s="84" t="s">
        <v>152</v>
      </c>
      <c r="BB2218" s="84" t="str">
        <f>IFERROR(__xludf.DUMMYFUNCTION("iferror(if(A2218="""",,E2218&gt;=FILTER(Constants!$F$2:$F$10,Constants!$A$2:$A$10=A2218)))"),"")</f>
        <v/>
      </c>
    </row>
    <row r="2219">
      <c r="A2219" s="89"/>
      <c r="B2219" s="87"/>
      <c r="C2219" s="73"/>
      <c r="D2219" s="73"/>
      <c r="E2219" s="82"/>
      <c r="F2219" s="82"/>
      <c r="G2219" s="86"/>
      <c r="H2219" s="86"/>
      <c r="I2219" s="86"/>
      <c r="J2219" s="82"/>
      <c r="K2219" s="82"/>
      <c r="L2219" s="82"/>
      <c r="M2219" s="82"/>
      <c r="N2219" s="82"/>
      <c r="O2219" s="82"/>
      <c r="P2219" s="82"/>
      <c r="Q2219" s="82"/>
      <c r="R2219" s="82"/>
      <c r="S2219" s="82"/>
      <c r="T2219" s="82"/>
      <c r="U2219" s="82"/>
      <c r="V2219" s="82"/>
      <c r="W2219" s="82"/>
      <c r="X2219" s="82"/>
      <c r="Y2219" s="82"/>
      <c r="Z2219" s="82"/>
      <c r="AA2219" s="82"/>
      <c r="AB2219" s="82"/>
      <c r="AC2219" s="82"/>
      <c r="AD2219" s="82"/>
      <c r="AE2219" s="82"/>
      <c r="AF2219" s="82"/>
      <c r="AG2219" s="82"/>
      <c r="AH2219" s="82"/>
      <c r="AI2219" s="82"/>
      <c r="AJ2219" s="82"/>
      <c r="AK2219" s="82"/>
      <c r="AL2219" s="82"/>
      <c r="AM2219" s="82"/>
      <c r="AN2219" s="82"/>
      <c r="AO2219" s="82"/>
      <c r="AP2219" s="82"/>
      <c r="AQ2219" s="82"/>
      <c r="AR2219" s="82"/>
      <c r="AS2219" s="82"/>
      <c r="AT2219" s="82"/>
      <c r="AU2219" s="82"/>
      <c r="AV2219" s="82"/>
      <c r="AW2219" s="82" t="str">
        <f t="shared" si="1"/>
        <v/>
      </c>
      <c r="AX2219" s="83" t="str">
        <f t="array" ref="AX2219">IFERROR(DGET('SBV Import'!A:G,"SBV",{"RSC ID","Tier";B2219,A2219}))</f>
        <v/>
      </c>
      <c r="AY2219" s="82" t="str">
        <f t="shared" si="2"/>
        <v/>
      </c>
      <c r="AZ2219" s="82"/>
      <c r="BA2219" s="84" t="s">
        <v>152</v>
      </c>
      <c r="BB2219" s="84" t="str">
        <f>IFERROR(__xludf.DUMMYFUNCTION("iferror(if(A2219="""",,E2219&gt;=FILTER(Constants!$F$2:$F$10,Constants!$A$2:$A$10=A2219)))"),"")</f>
        <v/>
      </c>
    </row>
    <row r="2220">
      <c r="A2220" s="89"/>
      <c r="B2220" s="87"/>
      <c r="C2220" s="73"/>
      <c r="D2220" s="73"/>
      <c r="E2220" s="82"/>
      <c r="F2220" s="82"/>
      <c r="G2220" s="86"/>
      <c r="H2220" s="86"/>
      <c r="I2220" s="86"/>
      <c r="J2220" s="82"/>
      <c r="K2220" s="82"/>
      <c r="L2220" s="82"/>
      <c r="M2220" s="82"/>
      <c r="N2220" s="82"/>
      <c r="O2220" s="82"/>
      <c r="P2220" s="82"/>
      <c r="Q2220" s="82"/>
      <c r="R2220" s="82"/>
      <c r="S2220" s="82"/>
      <c r="T2220" s="82"/>
      <c r="U2220" s="82"/>
      <c r="V2220" s="82"/>
      <c r="W2220" s="82"/>
      <c r="X2220" s="82"/>
      <c r="Y2220" s="82"/>
      <c r="Z2220" s="82"/>
      <c r="AA2220" s="82"/>
      <c r="AB2220" s="82"/>
      <c r="AC2220" s="82"/>
      <c r="AD2220" s="82"/>
      <c r="AE2220" s="82"/>
      <c r="AF2220" s="82"/>
      <c r="AG2220" s="82"/>
      <c r="AH2220" s="82"/>
      <c r="AI2220" s="82"/>
      <c r="AJ2220" s="82"/>
      <c r="AK2220" s="82"/>
      <c r="AL2220" s="82"/>
      <c r="AM2220" s="82"/>
      <c r="AN2220" s="82"/>
      <c r="AO2220" s="82"/>
      <c r="AP2220" s="82"/>
      <c r="AQ2220" s="82"/>
      <c r="AR2220" s="82"/>
      <c r="AS2220" s="82"/>
      <c r="AT2220" s="82"/>
      <c r="AU2220" s="82"/>
      <c r="AV2220" s="82"/>
      <c r="AW2220" s="82" t="str">
        <f t="shared" si="1"/>
        <v/>
      </c>
      <c r="AX2220" s="83" t="str">
        <f t="array" ref="AX2220">IFERROR(DGET('SBV Import'!A:G,"SBV",{"RSC ID","Tier";B2220,A2220}))</f>
        <v/>
      </c>
      <c r="AY2220" s="82" t="str">
        <f t="shared" si="2"/>
        <v/>
      </c>
      <c r="AZ2220" s="82"/>
      <c r="BA2220" s="84" t="s">
        <v>152</v>
      </c>
      <c r="BB2220" s="84" t="str">
        <f>IFERROR(__xludf.DUMMYFUNCTION("iferror(if(A2220="""",,E2220&gt;=FILTER(Constants!$F$2:$F$10,Constants!$A$2:$A$10=A2220)))"),"")</f>
        <v/>
      </c>
    </row>
    <row r="2221">
      <c r="A2221" s="89"/>
      <c r="B2221" s="87"/>
      <c r="C2221" s="73"/>
      <c r="D2221" s="73"/>
      <c r="E2221" s="82"/>
      <c r="F2221" s="82"/>
      <c r="G2221" s="86"/>
      <c r="H2221" s="86"/>
      <c r="I2221" s="86"/>
      <c r="J2221" s="82"/>
      <c r="K2221" s="82"/>
      <c r="L2221" s="82"/>
      <c r="M2221" s="82"/>
      <c r="N2221" s="82"/>
      <c r="O2221" s="82"/>
      <c r="P2221" s="82"/>
      <c r="Q2221" s="82"/>
      <c r="R2221" s="82"/>
      <c r="S2221" s="82"/>
      <c r="T2221" s="82"/>
      <c r="U2221" s="82"/>
      <c r="V2221" s="82"/>
      <c r="W2221" s="82"/>
      <c r="X2221" s="82"/>
      <c r="Y2221" s="82"/>
      <c r="Z2221" s="82"/>
      <c r="AA2221" s="82"/>
      <c r="AB2221" s="82"/>
      <c r="AC2221" s="82"/>
      <c r="AD2221" s="82"/>
      <c r="AE2221" s="82"/>
      <c r="AF2221" s="82"/>
      <c r="AG2221" s="82"/>
      <c r="AH2221" s="82"/>
      <c r="AI2221" s="82"/>
      <c r="AJ2221" s="82"/>
      <c r="AK2221" s="82"/>
      <c r="AL2221" s="82"/>
      <c r="AM2221" s="82"/>
      <c r="AN2221" s="82"/>
      <c r="AO2221" s="82"/>
      <c r="AP2221" s="82"/>
      <c r="AQ2221" s="82"/>
      <c r="AR2221" s="82"/>
      <c r="AS2221" s="82"/>
      <c r="AT2221" s="82"/>
      <c r="AU2221" s="82"/>
      <c r="AV2221" s="82"/>
      <c r="AW2221" s="82" t="str">
        <f t="shared" si="1"/>
        <v/>
      </c>
      <c r="AX2221" s="83" t="str">
        <f t="array" ref="AX2221">IFERROR(DGET('SBV Import'!A:G,"SBV",{"RSC ID","Tier";B2221,A2221}))</f>
        <v/>
      </c>
      <c r="AY2221" s="82" t="str">
        <f t="shared" si="2"/>
        <v/>
      </c>
      <c r="AZ2221" s="82"/>
      <c r="BA2221" s="84" t="s">
        <v>152</v>
      </c>
      <c r="BB2221" s="84" t="str">
        <f>IFERROR(__xludf.DUMMYFUNCTION("iferror(if(A2221="""",,E2221&gt;=FILTER(Constants!$F$2:$F$10,Constants!$A$2:$A$10=A2221)))"),"")</f>
        <v/>
      </c>
    </row>
    <row r="2222">
      <c r="A2222" s="89"/>
      <c r="B2222" s="87"/>
      <c r="C2222" s="73"/>
      <c r="D2222" s="73"/>
      <c r="E2222" s="82"/>
      <c r="F2222" s="82"/>
      <c r="G2222" s="86"/>
      <c r="H2222" s="86"/>
      <c r="I2222" s="86"/>
      <c r="J2222" s="82"/>
      <c r="K2222" s="82"/>
      <c r="L2222" s="82"/>
      <c r="M2222" s="82"/>
      <c r="N2222" s="82"/>
      <c r="O2222" s="82"/>
      <c r="P2222" s="82"/>
      <c r="Q2222" s="82"/>
      <c r="R2222" s="82"/>
      <c r="S2222" s="82"/>
      <c r="T2222" s="82"/>
      <c r="U2222" s="82"/>
      <c r="V2222" s="82"/>
      <c r="W2222" s="82"/>
      <c r="X2222" s="82"/>
      <c r="Y2222" s="82"/>
      <c r="Z2222" s="82"/>
      <c r="AA2222" s="82"/>
      <c r="AB2222" s="82"/>
      <c r="AC2222" s="82"/>
      <c r="AD2222" s="82"/>
      <c r="AE2222" s="82"/>
      <c r="AF2222" s="82"/>
      <c r="AG2222" s="82"/>
      <c r="AH2222" s="82"/>
      <c r="AI2222" s="82"/>
      <c r="AJ2222" s="82"/>
      <c r="AK2222" s="82"/>
      <c r="AL2222" s="82"/>
      <c r="AM2222" s="82"/>
      <c r="AN2222" s="82"/>
      <c r="AO2222" s="82"/>
      <c r="AP2222" s="82"/>
      <c r="AQ2222" s="82"/>
      <c r="AR2222" s="82"/>
      <c r="AS2222" s="82"/>
      <c r="AT2222" s="82"/>
      <c r="AU2222" s="82"/>
      <c r="AV2222" s="82"/>
      <c r="AW2222" s="82" t="str">
        <f t="shared" si="1"/>
        <v/>
      </c>
      <c r="AX2222" s="83" t="str">
        <f t="array" ref="AX2222">IFERROR(DGET('SBV Import'!A:G,"SBV",{"RSC ID","Tier";B2222,A2222}))</f>
        <v/>
      </c>
      <c r="AY2222" s="82" t="str">
        <f t="shared" si="2"/>
        <v/>
      </c>
      <c r="AZ2222" s="82"/>
      <c r="BA2222" s="84" t="s">
        <v>152</v>
      </c>
      <c r="BB2222" s="84" t="str">
        <f>IFERROR(__xludf.DUMMYFUNCTION("iferror(if(A2222="""",,E2222&gt;=FILTER(Constants!$F$2:$F$10,Constants!$A$2:$A$10=A2222)))"),"")</f>
        <v/>
      </c>
    </row>
    <row r="2223">
      <c r="A2223" s="89"/>
      <c r="B2223" s="87"/>
      <c r="C2223" s="73"/>
      <c r="D2223" s="73"/>
      <c r="E2223" s="82"/>
      <c r="F2223" s="82"/>
      <c r="G2223" s="86"/>
      <c r="H2223" s="86"/>
      <c r="I2223" s="86"/>
      <c r="J2223" s="82"/>
      <c r="K2223" s="82"/>
      <c r="L2223" s="82"/>
      <c r="M2223" s="82"/>
      <c r="N2223" s="82"/>
      <c r="O2223" s="82"/>
      <c r="P2223" s="82"/>
      <c r="Q2223" s="82"/>
      <c r="R2223" s="82"/>
      <c r="S2223" s="82"/>
      <c r="T2223" s="82"/>
      <c r="U2223" s="82"/>
      <c r="V2223" s="82"/>
      <c r="W2223" s="82"/>
      <c r="X2223" s="82"/>
      <c r="Y2223" s="82"/>
      <c r="Z2223" s="82"/>
      <c r="AA2223" s="82"/>
      <c r="AB2223" s="82"/>
      <c r="AC2223" s="82"/>
      <c r="AD2223" s="82"/>
      <c r="AE2223" s="82"/>
      <c r="AF2223" s="82"/>
      <c r="AG2223" s="82"/>
      <c r="AH2223" s="82"/>
      <c r="AI2223" s="82"/>
      <c r="AJ2223" s="82"/>
      <c r="AK2223" s="82"/>
      <c r="AL2223" s="82"/>
      <c r="AM2223" s="82"/>
      <c r="AN2223" s="82"/>
      <c r="AO2223" s="82"/>
      <c r="AP2223" s="82"/>
      <c r="AQ2223" s="82"/>
      <c r="AR2223" s="82"/>
      <c r="AS2223" s="82"/>
      <c r="AT2223" s="82"/>
      <c r="AU2223" s="82"/>
      <c r="AV2223" s="82"/>
      <c r="AW2223" s="82" t="str">
        <f t="shared" si="1"/>
        <v/>
      </c>
      <c r="AX2223" s="83" t="str">
        <f t="array" ref="AX2223">IFERROR(DGET('SBV Import'!A:G,"SBV",{"RSC ID","Tier";B2223,A2223}))</f>
        <v/>
      </c>
      <c r="AY2223" s="82" t="str">
        <f t="shared" si="2"/>
        <v/>
      </c>
      <c r="AZ2223" s="82"/>
      <c r="BA2223" s="84" t="s">
        <v>152</v>
      </c>
      <c r="BB2223" s="84" t="str">
        <f>IFERROR(__xludf.DUMMYFUNCTION("iferror(if(A2223="""",,E2223&gt;=FILTER(Constants!$F$2:$F$10,Constants!$A$2:$A$10=A2223)))"),"")</f>
        <v/>
      </c>
    </row>
    <row r="2224">
      <c r="A2224" s="89"/>
      <c r="B2224" s="87"/>
      <c r="C2224" s="73"/>
      <c r="D2224" s="73"/>
      <c r="E2224" s="82"/>
      <c r="F2224" s="82"/>
      <c r="G2224" s="86"/>
      <c r="H2224" s="86"/>
      <c r="I2224" s="86"/>
      <c r="J2224" s="82"/>
      <c r="K2224" s="82"/>
      <c r="L2224" s="82"/>
      <c r="M2224" s="82"/>
      <c r="N2224" s="82"/>
      <c r="O2224" s="82"/>
      <c r="P2224" s="82"/>
      <c r="Q2224" s="82"/>
      <c r="R2224" s="82"/>
      <c r="S2224" s="82"/>
      <c r="T2224" s="82"/>
      <c r="U2224" s="82"/>
      <c r="V2224" s="82"/>
      <c r="W2224" s="82"/>
      <c r="X2224" s="82"/>
      <c r="Y2224" s="82"/>
      <c r="Z2224" s="82"/>
      <c r="AA2224" s="82"/>
      <c r="AB2224" s="82"/>
      <c r="AC2224" s="82"/>
      <c r="AD2224" s="82"/>
      <c r="AE2224" s="82"/>
      <c r="AF2224" s="82"/>
      <c r="AG2224" s="82"/>
      <c r="AH2224" s="82"/>
      <c r="AI2224" s="82"/>
      <c r="AJ2224" s="82"/>
      <c r="AK2224" s="82"/>
      <c r="AL2224" s="82"/>
      <c r="AM2224" s="82"/>
      <c r="AN2224" s="82"/>
      <c r="AO2224" s="82"/>
      <c r="AP2224" s="82"/>
      <c r="AQ2224" s="82"/>
      <c r="AR2224" s="82"/>
      <c r="AS2224" s="82"/>
      <c r="AT2224" s="82"/>
      <c r="AU2224" s="82"/>
      <c r="AV2224" s="82"/>
      <c r="AW2224" s="82" t="str">
        <f t="shared" si="1"/>
        <v/>
      </c>
      <c r="AX2224" s="83" t="str">
        <f t="array" ref="AX2224">IFERROR(DGET('SBV Import'!A:G,"SBV",{"RSC ID","Tier";B2224,A2224}))</f>
        <v/>
      </c>
      <c r="AY2224" s="82" t="str">
        <f t="shared" si="2"/>
        <v/>
      </c>
      <c r="AZ2224" s="82"/>
      <c r="BA2224" s="84" t="s">
        <v>152</v>
      </c>
      <c r="BB2224" s="84" t="str">
        <f>IFERROR(__xludf.DUMMYFUNCTION("iferror(if(A2224="""",,E2224&gt;=FILTER(Constants!$F$2:$F$10,Constants!$A$2:$A$10=A2224)))"),"")</f>
        <v/>
      </c>
    </row>
    <row r="2225">
      <c r="A2225" s="89"/>
      <c r="B2225" s="87"/>
      <c r="C2225" s="73"/>
      <c r="D2225" s="73"/>
      <c r="E2225" s="82"/>
      <c r="F2225" s="82"/>
      <c r="G2225" s="86"/>
      <c r="H2225" s="86"/>
      <c r="I2225" s="86"/>
      <c r="J2225" s="82"/>
      <c r="K2225" s="82"/>
      <c r="L2225" s="82"/>
      <c r="M2225" s="82"/>
      <c r="N2225" s="82"/>
      <c r="O2225" s="82"/>
      <c r="P2225" s="82"/>
      <c r="Q2225" s="82"/>
      <c r="R2225" s="82"/>
      <c r="S2225" s="82"/>
      <c r="T2225" s="82"/>
      <c r="U2225" s="82"/>
      <c r="V2225" s="82"/>
      <c r="W2225" s="82"/>
      <c r="X2225" s="82"/>
      <c r="Y2225" s="82"/>
      <c r="Z2225" s="82"/>
      <c r="AA2225" s="82"/>
      <c r="AB2225" s="82"/>
      <c r="AC2225" s="82"/>
      <c r="AD2225" s="82"/>
      <c r="AE2225" s="82"/>
      <c r="AF2225" s="82"/>
      <c r="AG2225" s="82"/>
      <c r="AH2225" s="82"/>
      <c r="AI2225" s="82"/>
      <c r="AJ2225" s="82"/>
      <c r="AK2225" s="82"/>
      <c r="AL2225" s="82"/>
      <c r="AM2225" s="82"/>
      <c r="AN2225" s="82"/>
      <c r="AO2225" s="82"/>
      <c r="AP2225" s="82"/>
      <c r="AQ2225" s="82"/>
      <c r="AR2225" s="82"/>
      <c r="AS2225" s="82"/>
      <c r="AT2225" s="82"/>
      <c r="AU2225" s="82"/>
      <c r="AV2225" s="82"/>
      <c r="AW2225" s="82" t="str">
        <f t="shared" si="1"/>
        <v/>
      </c>
      <c r="AX2225" s="83" t="str">
        <f t="array" ref="AX2225">IFERROR(DGET('SBV Import'!A:G,"SBV",{"RSC ID","Tier";B2225,A2225}))</f>
        <v/>
      </c>
      <c r="AY2225" s="82" t="str">
        <f t="shared" si="2"/>
        <v/>
      </c>
      <c r="AZ2225" s="82"/>
      <c r="BA2225" s="84" t="s">
        <v>152</v>
      </c>
      <c r="BB2225" s="84" t="str">
        <f>IFERROR(__xludf.DUMMYFUNCTION("iferror(if(A2225="""",,E2225&gt;=FILTER(Constants!$F$2:$F$10,Constants!$A$2:$A$10=A2225)))"),"")</f>
        <v/>
      </c>
    </row>
    <row r="2226">
      <c r="A2226" s="89"/>
      <c r="B2226" s="87"/>
      <c r="C2226" s="73"/>
      <c r="D2226" s="73"/>
      <c r="E2226" s="82"/>
      <c r="F2226" s="82"/>
      <c r="G2226" s="86"/>
      <c r="H2226" s="86"/>
      <c r="I2226" s="86"/>
      <c r="J2226" s="82"/>
      <c r="K2226" s="82"/>
      <c r="L2226" s="82"/>
      <c r="M2226" s="82"/>
      <c r="N2226" s="82"/>
      <c r="O2226" s="82"/>
      <c r="P2226" s="82"/>
      <c r="Q2226" s="82"/>
      <c r="R2226" s="82"/>
      <c r="S2226" s="82"/>
      <c r="T2226" s="82"/>
      <c r="U2226" s="82"/>
      <c r="V2226" s="82"/>
      <c r="W2226" s="82"/>
      <c r="X2226" s="82"/>
      <c r="Y2226" s="82"/>
      <c r="Z2226" s="82"/>
      <c r="AA2226" s="82"/>
      <c r="AB2226" s="82"/>
      <c r="AC2226" s="82"/>
      <c r="AD2226" s="82"/>
      <c r="AE2226" s="82"/>
      <c r="AF2226" s="82"/>
      <c r="AG2226" s="82"/>
      <c r="AH2226" s="82"/>
      <c r="AI2226" s="82"/>
      <c r="AJ2226" s="82"/>
      <c r="AK2226" s="82"/>
      <c r="AL2226" s="82"/>
      <c r="AM2226" s="82"/>
      <c r="AN2226" s="82"/>
      <c r="AO2226" s="82"/>
      <c r="AP2226" s="82"/>
      <c r="AQ2226" s="82"/>
      <c r="AR2226" s="82"/>
      <c r="AS2226" s="82"/>
      <c r="AT2226" s="82"/>
      <c r="AU2226" s="82"/>
      <c r="AV2226" s="82"/>
      <c r="AW2226" s="82" t="str">
        <f t="shared" si="1"/>
        <v/>
      </c>
      <c r="AX2226" s="83" t="str">
        <f t="array" ref="AX2226">IFERROR(DGET('SBV Import'!A:G,"SBV",{"RSC ID","Tier";B2226,A2226}))</f>
        <v/>
      </c>
      <c r="AY2226" s="82" t="str">
        <f t="shared" si="2"/>
        <v/>
      </c>
      <c r="AZ2226" s="82"/>
      <c r="BA2226" s="84" t="s">
        <v>152</v>
      </c>
      <c r="BB2226" s="84" t="str">
        <f>IFERROR(__xludf.DUMMYFUNCTION("iferror(if(A2226="""",,E2226&gt;=FILTER(Constants!$F$2:$F$10,Constants!$A$2:$A$10=A2226)))"),"")</f>
        <v/>
      </c>
    </row>
    <row r="2227">
      <c r="A2227" s="89"/>
      <c r="B2227" s="87"/>
      <c r="C2227" s="73"/>
      <c r="D2227" s="73"/>
      <c r="E2227" s="82"/>
      <c r="F2227" s="82"/>
      <c r="G2227" s="86"/>
      <c r="H2227" s="86"/>
      <c r="I2227" s="86"/>
      <c r="J2227" s="82"/>
      <c r="K2227" s="82"/>
      <c r="L2227" s="82"/>
      <c r="M2227" s="82"/>
      <c r="N2227" s="82"/>
      <c r="O2227" s="82"/>
      <c r="P2227" s="82"/>
      <c r="Q2227" s="82"/>
      <c r="R2227" s="82"/>
      <c r="S2227" s="82"/>
      <c r="T2227" s="82"/>
      <c r="U2227" s="82"/>
      <c r="V2227" s="82"/>
      <c r="W2227" s="82"/>
      <c r="X2227" s="82"/>
      <c r="Y2227" s="82"/>
      <c r="Z2227" s="82"/>
      <c r="AA2227" s="82"/>
      <c r="AB2227" s="82"/>
      <c r="AC2227" s="82"/>
      <c r="AD2227" s="82"/>
      <c r="AE2227" s="82"/>
      <c r="AF2227" s="82"/>
      <c r="AG2227" s="82"/>
      <c r="AH2227" s="82"/>
      <c r="AI2227" s="82"/>
      <c r="AJ2227" s="82"/>
      <c r="AK2227" s="82"/>
      <c r="AL2227" s="82"/>
      <c r="AM2227" s="82"/>
      <c r="AN2227" s="82"/>
      <c r="AO2227" s="82"/>
      <c r="AP2227" s="82"/>
      <c r="AQ2227" s="82"/>
      <c r="AR2227" s="82"/>
      <c r="AS2227" s="82"/>
      <c r="AT2227" s="82"/>
      <c r="AU2227" s="82"/>
      <c r="AV2227" s="82"/>
      <c r="AW2227" s="82" t="str">
        <f t="shared" si="1"/>
        <v/>
      </c>
      <c r="AX2227" s="83" t="str">
        <f t="array" ref="AX2227">IFERROR(DGET('SBV Import'!A:G,"SBV",{"RSC ID","Tier";B2227,A2227}))</f>
        <v/>
      </c>
      <c r="AY2227" s="82" t="str">
        <f t="shared" si="2"/>
        <v/>
      </c>
      <c r="AZ2227" s="82"/>
      <c r="BA2227" s="84" t="s">
        <v>152</v>
      </c>
      <c r="BB2227" s="84" t="str">
        <f>IFERROR(__xludf.DUMMYFUNCTION("iferror(if(A2227="""",,E2227&gt;=FILTER(Constants!$F$2:$F$10,Constants!$A$2:$A$10=A2227)))"),"")</f>
        <v/>
      </c>
    </row>
    <row r="2228">
      <c r="A2228" s="89"/>
      <c r="B2228" s="87"/>
      <c r="C2228" s="73"/>
      <c r="D2228" s="73"/>
      <c r="E2228" s="82"/>
      <c r="F2228" s="82"/>
      <c r="G2228" s="86"/>
      <c r="H2228" s="86"/>
      <c r="I2228" s="86"/>
      <c r="J2228" s="82"/>
      <c r="K2228" s="82"/>
      <c r="L2228" s="82"/>
      <c r="M2228" s="82"/>
      <c r="N2228" s="82"/>
      <c r="O2228" s="82"/>
      <c r="P2228" s="82"/>
      <c r="Q2228" s="82"/>
      <c r="R2228" s="82"/>
      <c r="S2228" s="82"/>
      <c r="T2228" s="82"/>
      <c r="U2228" s="82"/>
      <c r="V2228" s="82"/>
      <c r="W2228" s="82"/>
      <c r="X2228" s="82"/>
      <c r="Y2228" s="82"/>
      <c r="Z2228" s="82"/>
      <c r="AA2228" s="82"/>
      <c r="AB2228" s="82"/>
      <c r="AC2228" s="82"/>
      <c r="AD2228" s="82"/>
      <c r="AE2228" s="82"/>
      <c r="AF2228" s="82"/>
      <c r="AG2228" s="82"/>
      <c r="AH2228" s="82"/>
      <c r="AI2228" s="82"/>
      <c r="AJ2228" s="82"/>
      <c r="AK2228" s="82"/>
      <c r="AL2228" s="82"/>
      <c r="AM2228" s="82"/>
      <c r="AN2228" s="82"/>
      <c r="AO2228" s="82"/>
      <c r="AP2228" s="82"/>
      <c r="AQ2228" s="82"/>
      <c r="AR2228" s="82"/>
      <c r="AS2228" s="82"/>
      <c r="AT2228" s="82"/>
      <c r="AU2228" s="82"/>
      <c r="AV2228" s="82"/>
      <c r="AW2228" s="82" t="str">
        <f t="shared" si="1"/>
        <v/>
      </c>
      <c r="AX2228" s="83" t="str">
        <f t="array" ref="AX2228">IFERROR(DGET('SBV Import'!A:G,"SBV",{"RSC ID","Tier";B2228,A2228}))</f>
        <v/>
      </c>
      <c r="AY2228" s="82" t="str">
        <f t="shared" si="2"/>
        <v/>
      </c>
      <c r="AZ2228" s="82"/>
      <c r="BA2228" s="84" t="s">
        <v>152</v>
      </c>
      <c r="BB2228" s="84" t="str">
        <f>IFERROR(__xludf.DUMMYFUNCTION("iferror(if(A2228="""",,E2228&gt;=FILTER(Constants!$F$2:$F$10,Constants!$A$2:$A$10=A2228)))"),"")</f>
        <v/>
      </c>
    </row>
    <row r="2229">
      <c r="A2229" s="89"/>
      <c r="B2229" s="87"/>
      <c r="C2229" s="73"/>
      <c r="D2229" s="73"/>
      <c r="E2229" s="82"/>
      <c r="F2229" s="82"/>
      <c r="G2229" s="86"/>
      <c r="H2229" s="86"/>
      <c r="I2229" s="86"/>
      <c r="J2229" s="82"/>
      <c r="K2229" s="82"/>
      <c r="L2229" s="82"/>
      <c r="M2229" s="82"/>
      <c r="N2229" s="82"/>
      <c r="O2229" s="82"/>
      <c r="P2229" s="82"/>
      <c r="Q2229" s="82"/>
      <c r="R2229" s="82"/>
      <c r="S2229" s="82"/>
      <c r="T2229" s="82"/>
      <c r="U2229" s="82"/>
      <c r="V2229" s="82"/>
      <c r="W2229" s="82"/>
      <c r="X2229" s="82"/>
      <c r="Y2229" s="82"/>
      <c r="Z2229" s="82"/>
      <c r="AA2229" s="82"/>
      <c r="AB2229" s="82"/>
      <c r="AC2229" s="82"/>
      <c r="AD2229" s="82"/>
      <c r="AE2229" s="82"/>
      <c r="AF2229" s="82"/>
      <c r="AG2229" s="82"/>
      <c r="AH2229" s="82"/>
      <c r="AI2229" s="82"/>
      <c r="AJ2229" s="82"/>
      <c r="AK2229" s="82"/>
      <c r="AL2229" s="82"/>
      <c r="AM2229" s="82"/>
      <c r="AN2229" s="82"/>
      <c r="AO2229" s="82"/>
      <c r="AP2229" s="82"/>
      <c r="AQ2229" s="82"/>
      <c r="AR2229" s="82"/>
      <c r="AS2229" s="82"/>
      <c r="AT2229" s="82"/>
      <c r="AU2229" s="82"/>
      <c r="AV2229" s="82"/>
      <c r="AW2229" s="82" t="str">
        <f t="shared" si="1"/>
        <v/>
      </c>
      <c r="AX2229" s="83" t="str">
        <f t="array" ref="AX2229">IFERROR(DGET('SBV Import'!A:G,"SBV",{"RSC ID","Tier";B2229,A2229}))</f>
        <v/>
      </c>
      <c r="AY2229" s="82" t="str">
        <f t="shared" si="2"/>
        <v/>
      </c>
      <c r="AZ2229" s="82"/>
      <c r="BA2229" s="84" t="s">
        <v>152</v>
      </c>
      <c r="BB2229" s="84" t="str">
        <f>IFERROR(__xludf.DUMMYFUNCTION("iferror(if(A2229="""",,E2229&gt;=FILTER(Constants!$F$2:$F$10,Constants!$A$2:$A$10=A2229)))"),"")</f>
        <v/>
      </c>
    </row>
    <row r="2230">
      <c r="A2230" s="89"/>
      <c r="B2230" s="87"/>
      <c r="C2230" s="73"/>
      <c r="D2230" s="73"/>
      <c r="E2230" s="82"/>
      <c r="F2230" s="82"/>
      <c r="G2230" s="86"/>
      <c r="H2230" s="86"/>
      <c r="I2230" s="86"/>
      <c r="J2230" s="82"/>
      <c r="K2230" s="82"/>
      <c r="L2230" s="82"/>
      <c r="M2230" s="82"/>
      <c r="N2230" s="82"/>
      <c r="O2230" s="82"/>
      <c r="P2230" s="82"/>
      <c r="Q2230" s="82"/>
      <c r="R2230" s="82"/>
      <c r="S2230" s="82"/>
      <c r="T2230" s="82"/>
      <c r="U2230" s="82"/>
      <c r="V2230" s="82"/>
      <c r="W2230" s="82"/>
      <c r="X2230" s="82"/>
      <c r="Y2230" s="82"/>
      <c r="Z2230" s="82"/>
      <c r="AA2230" s="82"/>
      <c r="AB2230" s="82"/>
      <c r="AC2230" s="82"/>
      <c r="AD2230" s="82"/>
      <c r="AE2230" s="82"/>
      <c r="AF2230" s="82"/>
      <c r="AG2230" s="82"/>
      <c r="AH2230" s="82"/>
      <c r="AI2230" s="82"/>
      <c r="AJ2230" s="82"/>
      <c r="AK2230" s="82"/>
      <c r="AL2230" s="82"/>
      <c r="AM2230" s="82"/>
      <c r="AN2230" s="82"/>
      <c r="AO2230" s="82"/>
      <c r="AP2230" s="82"/>
      <c r="AQ2230" s="82"/>
      <c r="AR2230" s="82"/>
      <c r="AS2230" s="82"/>
      <c r="AT2230" s="82"/>
      <c r="AU2230" s="82"/>
      <c r="AV2230" s="82"/>
      <c r="AW2230" s="82" t="str">
        <f t="shared" si="1"/>
        <v/>
      </c>
      <c r="AX2230" s="83" t="str">
        <f t="array" ref="AX2230">IFERROR(DGET('SBV Import'!A:G,"SBV",{"RSC ID","Tier";B2230,A2230}))</f>
        <v/>
      </c>
      <c r="AY2230" s="82" t="str">
        <f t="shared" si="2"/>
        <v/>
      </c>
      <c r="AZ2230" s="82"/>
      <c r="BA2230" s="84" t="s">
        <v>152</v>
      </c>
      <c r="BB2230" s="84" t="str">
        <f>IFERROR(__xludf.DUMMYFUNCTION("iferror(if(A2230="""",,E2230&gt;=FILTER(Constants!$F$2:$F$10,Constants!$A$2:$A$10=A2230)))"),"")</f>
        <v/>
      </c>
    </row>
    <row r="2231">
      <c r="A2231" s="89"/>
      <c r="B2231" s="87"/>
      <c r="C2231" s="73"/>
      <c r="D2231" s="73"/>
      <c r="E2231" s="82"/>
      <c r="F2231" s="82"/>
      <c r="G2231" s="86"/>
      <c r="H2231" s="86"/>
      <c r="I2231" s="86"/>
      <c r="J2231" s="82"/>
      <c r="K2231" s="82"/>
      <c r="L2231" s="82"/>
      <c r="M2231" s="82"/>
      <c r="N2231" s="82"/>
      <c r="O2231" s="82"/>
      <c r="P2231" s="82"/>
      <c r="Q2231" s="82"/>
      <c r="R2231" s="82"/>
      <c r="S2231" s="82"/>
      <c r="T2231" s="82"/>
      <c r="U2231" s="82"/>
      <c r="V2231" s="82"/>
      <c r="W2231" s="82"/>
      <c r="X2231" s="82"/>
      <c r="Y2231" s="82"/>
      <c r="Z2231" s="82"/>
      <c r="AA2231" s="82"/>
      <c r="AB2231" s="82"/>
      <c r="AC2231" s="82"/>
      <c r="AD2231" s="82"/>
      <c r="AE2231" s="82"/>
      <c r="AF2231" s="82"/>
      <c r="AG2231" s="82"/>
      <c r="AH2231" s="82"/>
      <c r="AI2231" s="82"/>
      <c r="AJ2231" s="82"/>
      <c r="AK2231" s="82"/>
      <c r="AL2231" s="82"/>
      <c r="AM2231" s="82"/>
      <c r="AN2231" s="82"/>
      <c r="AO2231" s="82"/>
      <c r="AP2231" s="82"/>
      <c r="AQ2231" s="82"/>
      <c r="AR2231" s="82"/>
      <c r="AS2231" s="82"/>
      <c r="AT2231" s="82"/>
      <c r="AU2231" s="82"/>
      <c r="AV2231" s="82"/>
      <c r="AW2231" s="82" t="str">
        <f t="shared" si="1"/>
        <v/>
      </c>
      <c r="AX2231" s="83" t="str">
        <f t="array" ref="AX2231">IFERROR(DGET('SBV Import'!A:G,"SBV",{"RSC ID","Tier";B2231,A2231}))</f>
        <v/>
      </c>
      <c r="AY2231" s="82" t="str">
        <f t="shared" si="2"/>
        <v/>
      </c>
      <c r="AZ2231" s="82"/>
      <c r="BA2231" s="84" t="s">
        <v>152</v>
      </c>
      <c r="BB2231" s="84" t="str">
        <f>IFERROR(__xludf.DUMMYFUNCTION("iferror(if(A2231="""",,E2231&gt;=FILTER(Constants!$F$2:$F$10,Constants!$A$2:$A$10=A2231)))"),"")</f>
        <v/>
      </c>
    </row>
    <row r="2232">
      <c r="A2232" s="89"/>
      <c r="B2232" s="87"/>
      <c r="C2232" s="73"/>
      <c r="D2232" s="73"/>
      <c r="E2232" s="82"/>
      <c r="F2232" s="82"/>
      <c r="G2232" s="86"/>
      <c r="H2232" s="86"/>
      <c r="I2232" s="86"/>
      <c r="J2232" s="82"/>
      <c r="K2232" s="82"/>
      <c r="L2232" s="82"/>
      <c r="M2232" s="82"/>
      <c r="N2232" s="82"/>
      <c r="O2232" s="82"/>
      <c r="P2232" s="82"/>
      <c r="Q2232" s="82"/>
      <c r="R2232" s="82"/>
      <c r="S2232" s="82"/>
      <c r="T2232" s="82"/>
      <c r="U2232" s="82"/>
      <c r="V2232" s="82"/>
      <c r="W2232" s="82"/>
      <c r="X2232" s="82"/>
      <c r="Y2232" s="82"/>
      <c r="Z2232" s="82"/>
      <c r="AA2232" s="82"/>
      <c r="AB2232" s="82"/>
      <c r="AC2232" s="82"/>
      <c r="AD2232" s="82"/>
      <c r="AE2232" s="82"/>
      <c r="AF2232" s="82"/>
      <c r="AG2232" s="82"/>
      <c r="AH2232" s="82"/>
      <c r="AI2232" s="82"/>
      <c r="AJ2232" s="82"/>
      <c r="AK2232" s="82"/>
      <c r="AL2232" s="82"/>
      <c r="AM2232" s="82"/>
      <c r="AN2232" s="82"/>
      <c r="AO2232" s="82"/>
      <c r="AP2232" s="82"/>
      <c r="AQ2232" s="82"/>
      <c r="AR2232" s="82"/>
      <c r="AS2232" s="82"/>
      <c r="AT2232" s="82"/>
      <c r="AU2232" s="82"/>
      <c r="AV2232" s="82"/>
      <c r="AW2232" s="82" t="str">
        <f t="shared" si="1"/>
        <v/>
      </c>
      <c r="AX2232" s="83" t="str">
        <f t="array" ref="AX2232">IFERROR(DGET('SBV Import'!A:G,"SBV",{"RSC ID","Tier";B2232,A2232}))</f>
        <v/>
      </c>
      <c r="AY2232" s="82" t="str">
        <f t="shared" si="2"/>
        <v/>
      </c>
      <c r="AZ2232" s="82"/>
      <c r="BA2232" s="84" t="s">
        <v>152</v>
      </c>
      <c r="BB2232" s="84" t="str">
        <f>IFERROR(__xludf.DUMMYFUNCTION("iferror(if(A2232="""",,E2232&gt;=FILTER(Constants!$F$2:$F$10,Constants!$A$2:$A$10=A2232)))"),"")</f>
        <v/>
      </c>
    </row>
    <row r="2233">
      <c r="A2233" s="89"/>
      <c r="B2233" s="87"/>
      <c r="C2233" s="73"/>
      <c r="D2233" s="73"/>
      <c r="E2233" s="82"/>
      <c r="F2233" s="82"/>
      <c r="G2233" s="86"/>
      <c r="H2233" s="86"/>
      <c r="I2233" s="86"/>
      <c r="J2233" s="82"/>
      <c r="K2233" s="82"/>
      <c r="L2233" s="82"/>
      <c r="M2233" s="82"/>
      <c r="N2233" s="82"/>
      <c r="O2233" s="82"/>
      <c r="P2233" s="82"/>
      <c r="Q2233" s="82"/>
      <c r="R2233" s="82"/>
      <c r="S2233" s="82"/>
      <c r="T2233" s="82"/>
      <c r="U2233" s="82"/>
      <c r="V2233" s="82"/>
      <c r="W2233" s="82"/>
      <c r="X2233" s="82"/>
      <c r="Y2233" s="82"/>
      <c r="Z2233" s="82"/>
      <c r="AA2233" s="82"/>
      <c r="AB2233" s="82"/>
      <c r="AC2233" s="82"/>
      <c r="AD2233" s="82"/>
      <c r="AE2233" s="82"/>
      <c r="AF2233" s="82"/>
      <c r="AG2233" s="82"/>
      <c r="AH2233" s="82"/>
      <c r="AI2233" s="82"/>
      <c r="AJ2233" s="82"/>
      <c r="AK2233" s="82"/>
      <c r="AL2233" s="82"/>
      <c r="AM2233" s="82"/>
      <c r="AN2233" s="82"/>
      <c r="AO2233" s="82"/>
      <c r="AP2233" s="82"/>
      <c r="AQ2233" s="82"/>
      <c r="AR2233" s="82"/>
      <c r="AS2233" s="82"/>
      <c r="AT2233" s="82"/>
      <c r="AU2233" s="82"/>
      <c r="AV2233" s="82"/>
      <c r="AW2233" s="82" t="str">
        <f t="shared" si="1"/>
        <v/>
      </c>
      <c r="AX2233" s="83" t="str">
        <f t="array" ref="AX2233">IFERROR(DGET('SBV Import'!A:G,"SBV",{"RSC ID","Tier";B2233,A2233}))</f>
        <v/>
      </c>
      <c r="AY2233" s="82" t="str">
        <f t="shared" si="2"/>
        <v/>
      </c>
      <c r="AZ2233" s="82"/>
      <c r="BA2233" s="84" t="s">
        <v>152</v>
      </c>
      <c r="BB2233" s="84" t="str">
        <f>IFERROR(__xludf.DUMMYFUNCTION("iferror(if(A2233="""",,E2233&gt;=FILTER(Constants!$F$2:$F$10,Constants!$A$2:$A$10=A2233)))"),"")</f>
        <v/>
      </c>
    </row>
    <row r="2234">
      <c r="A2234" s="89"/>
      <c r="B2234" s="87"/>
      <c r="C2234" s="73"/>
      <c r="D2234" s="73"/>
      <c r="E2234" s="82"/>
      <c r="F2234" s="82"/>
      <c r="G2234" s="86"/>
      <c r="H2234" s="86"/>
      <c r="I2234" s="86"/>
      <c r="J2234" s="82"/>
      <c r="K2234" s="82"/>
      <c r="L2234" s="82"/>
      <c r="M2234" s="82"/>
      <c r="N2234" s="82"/>
      <c r="O2234" s="82"/>
      <c r="P2234" s="82"/>
      <c r="Q2234" s="82"/>
      <c r="R2234" s="82"/>
      <c r="S2234" s="82"/>
      <c r="T2234" s="82"/>
      <c r="U2234" s="82"/>
      <c r="V2234" s="82"/>
      <c r="W2234" s="82"/>
      <c r="X2234" s="82"/>
      <c r="Y2234" s="82"/>
      <c r="Z2234" s="82"/>
      <c r="AA2234" s="82"/>
      <c r="AB2234" s="82"/>
      <c r="AC2234" s="82"/>
      <c r="AD2234" s="82"/>
      <c r="AE2234" s="82"/>
      <c r="AF2234" s="82"/>
      <c r="AG2234" s="82"/>
      <c r="AH2234" s="82"/>
      <c r="AI2234" s="82"/>
      <c r="AJ2234" s="82"/>
      <c r="AK2234" s="82"/>
      <c r="AL2234" s="82"/>
      <c r="AM2234" s="82"/>
      <c r="AN2234" s="82"/>
      <c r="AO2234" s="82"/>
      <c r="AP2234" s="82"/>
      <c r="AQ2234" s="82"/>
      <c r="AR2234" s="82"/>
      <c r="AS2234" s="82"/>
      <c r="AT2234" s="82"/>
      <c r="AU2234" s="82"/>
      <c r="AV2234" s="82"/>
      <c r="AW2234" s="82" t="str">
        <f t="shared" si="1"/>
        <v/>
      </c>
      <c r="AX2234" s="83" t="str">
        <f t="array" ref="AX2234">IFERROR(DGET('SBV Import'!A:G,"SBV",{"RSC ID","Tier";B2234,A2234}))</f>
        <v/>
      </c>
      <c r="AY2234" s="82" t="str">
        <f t="shared" si="2"/>
        <v/>
      </c>
      <c r="AZ2234" s="82"/>
      <c r="BA2234" s="84" t="s">
        <v>152</v>
      </c>
      <c r="BB2234" s="84" t="str">
        <f>IFERROR(__xludf.DUMMYFUNCTION("iferror(if(A2234="""",,E2234&gt;=FILTER(Constants!$F$2:$F$10,Constants!$A$2:$A$10=A2234)))"),"")</f>
        <v/>
      </c>
    </row>
    <row r="2235">
      <c r="A2235" s="89"/>
      <c r="B2235" s="87"/>
      <c r="C2235" s="73"/>
      <c r="D2235" s="73"/>
      <c r="E2235" s="82"/>
      <c r="F2235" s="82"/>
      <c r="G2235" s="86"/>
      <c r="H2235" s="86"/>
      <c r="I2235" s="86"/>
      <c r="J2235" s="82"/>
      <c r="K2235" s="82"/>
      <c r="L2235" s="82"/>
      <c r="M2235" s="82"/>
      <c r="N2235" s="82"/>
      <c r="O2235" s="82"/>
      <c r="P2235" s="82"/>
      <c r="Q2235" s="82"/>
      <c r="R2235" s="82"/>
      <c r="S2235" s="82"/>
      <c r="T2235" s="82"/>
      <c r="U2235" s="82"/>
      <c r="V2235" s="82"/>
      <c r="W2235" s="82"/>
      <c r="X2235" s="82"/>
      <c r="Y2235" s="82"/>
      <c r="Z2235" s="82"/>
      <c r="AA2235" s="82"/>
      <c r="AB2235" s="82"/>
      <c r="AC2235" s="82"/>
      <c r="AD2235" s="82"/>
      <c r="AE2235" s="82"/>
      <c r="AF2235" s="82"/>
      <c r="AG2235" s="82"/>
      <c r="AH2235" s="82"/>
      <c r="AI2235" s="82"/>
      <c r="AJ2235" s="82"/>
      <c r="AK2235" s="82"/>
      <c r="AL2235" s="82"/>
      <c r="AM2235" s="82"/>
      <c r="AN2235" s="82"/>
      <c r="AO2235" s="82"/>
      <c r="AP2235" s="82"/>
      <c r="AQ2235" s="82"/>
      <c r="AR2235" s="82"/>
      <c r="AS2235" s="82"/>
      <c r="AT2235" s="82"/>
      <c r="AU2235" s="82"/>
      <c r="AV2235" s="82"/>
      <c r="AW2235" s="82" t="str">
        <f t="shared" si="1"/>
        <v/>
      </c>
      <c r="AX2235" s="83" t="str">
        <f t="array" ref="AX2235">IFERROR(DGET('SBV Import'!A:G,"SBV",{"RSC ID","Tier";B2235,A2235}))</f>
        <v/>
      </c>
      <c r="AY2235" s="82" t="str">
        <f t="shared" si="2"/>
        <v/>
      </c>
      <c r="AZ2235" s="82"/>
      <c r="BA2235" s="84" t="s">
        <v>152</v>
      </c>
      <c r="BB2235" s="84" t="str">
        <f>IFERROR(__xludf.DUMMYFUNCTION("iferror(if(A2235="""",,E2235&gt;=FILTER(Constants!$F$2:$F$10,Constants!$A$2:$A$10=A2235)))"),"")</f>
        <v/>
      </c>
    </row>
    <row r="2236">
      <c r="A2236" s="89"/>
      <c r="B2236" s="87"/>
      <c r="C2236" s="73"/>
      <c r="D2236" s="73"/>
      <c r="E2236" s="82"/>
      <c r="F2236" s="82"/>
      <c r="G2236" s="86"/>
      <c r="H2236" s="86"/>
      <c r="I2236" s="86"/>
      <c r="J2236" s="82"/>
      <c r="K2236" s="82"/>
      <c r="L2236" s="82"/>
      <c r="M2236" s="82"/>
      <c r="N2236" s="82"/>
      <c r="O2236" s="82"/>
      <c r="P2236" s="82"/>
      <c r="Q2236" s="82"/>
      <c r="R2236" s="82"/>
      <c r="S2236" s="82"/>
      <c r="T2236" s="82"/>
      <c r="U2236" s="82"/>
      <c r="V2236" s="82"/>
      <c r="W2236" s="82"/>
      <c r="X2236" s="82"/>
      <c r="Y2236" s="82"/>
      <c r="Z2236" s="82"/>
      <c r="AA2236" s="82"/>
      <c r="AB2236" s="82"/>
      <c r="AC2236" s="82"/>
      <c r="AD2236" s="82"/>
      <c r="AE2236" s="82"/>
      <c r="AF2236" s="82"/>
      <c r="AG2236" s="82"/>
      <c r="AH2236" s="82"/>
      <c r="AI2236" s="82"/>
      <c r="AJ2236" s="82"/>
      <c r="AK2236" s="82"/>
      <c r="AL2236" s="82"/>
      <c r="AM2236" s="82"/>
      <c r="AN2236" s="82"/>
      <c r="AO2236" s="82"/>
      <c r="AP2236" s="82"/>
      <c r="AQ2236" s="82"/>
      <c r="AR2236" s="82"/>
      <c r="AS2236" s="82"/>
      <c r="AT2236" s="82"/>
      <c r="AU2236" s="82"/>
      <c r="AV2236" s="82"/>
      <c r="AW2236" s="82" t="str">
        <f t="shared" si="1"/>
        <v/>
      </c>
      <c r="AX2236" s="83" t="str">
        <f t="array" ref="AX2236">IFERROR(DGET('SBV Import'!A:G,"SBV",{"RSC ID","Tier";B2236,A2236}))</f>
        <v/>
      </c>
      <c r="AY2236" s="82" t="str">
        <f t="shared" si="2"/>
        <v/>
      </c>
      <c r="AZ2236" s="82"/>
      <c r="BA2236" s="84" t="s">
        <v>152</v>
      </c>
      <c r="BB2236" s="84" t="str">
        <f>IFERROR(__xludf.DUMMYFUNCTION("iferror(if(A2236="""",,E2236&gt;=FILTER(Constants!$F$2:$F$10,Constants!$A$2:$A$10=A2236)))"),"")</f>
        <v/>
      </c>
    </row>
    <row r="2237">
      <c r="A2237" s="89"/>
      <c r="B2237" s="87"/>
      <c r="C2237" s="73"/>
      <c r="D2237" s="73"/>
      <c r="E2237" s="82"/>
      <c r="F2237" s="82"/>
      <c r="G2237" s="86"/>
      <c r="H2237" s="86"/>
      <c r="I2237" s="86"/>
      <c r="J2237" s="82"/>
      <c r="K2237" s="82"/>
      <c r="L2237" s="82"/>
      <c r="M2237" s="82"/>
      <c r="N2237" s="82"/>
      <c r="O2237" s="82"/>
      <c r="P2237" s="82"/>
      <c r="Q2237" s="82"/>
      <c r="R2237" s="82"/>
      <c r="S2237" s="82"/>
      <c r="T2237" s="82"/>
      <c r="U2237" s="82"/>
      <c r="V2237" s="82"/>
      <c r="W2237" s="82"/>
      <c r="X2237" s="82"/>
      <c r="Y2237" s="82"/>
      <c r="Z2237" s="82"/>
      <c r="AA2237" s="82"/>
      <c r="AB2237" s="82"/>
      <c r="AC2237" s="82"/>
      <c r="AD2237" s="82"/>
      <c r="AE2237" s="82"/>
      <c r="AF2237" s="82"/>
      <c r="AG2237" s="82"/>
      <c r="AH2237" s="82"/>
      <c r="AI2237" s="82"/>
      <c r="AJ2237" s="82"/>
      <c r="AK2237" s="82"/>
      <c r="AL2237" s="82"/>
      <c r="AM2237" s="82"/>
      <c r="AN2237" s="82"/>
      <c r="AO2237" s="82"/>
      <c r="AP2237" s="82"/>
      <c r="AQ2237" s="82"/>
      <c r="AR2237" s="82"/>
      <c r="AS2237" s="82"/>
      <c r="AT2237" s="82"/>
      <c r="AU2237" s="82"/>
      <c r="AV2237" s="82"/>
      <c r="AW2237" s="82" t="str">
        <f t="shared" si="1"/>
        <v/>
      </c>
      <c r="AX2237" s="83" t="str">
        <f t="array" ref="AX2237">IFERROR(DGET('SBV Import'!A:G,"SBV",{"RSC ID","Tier";B2237,A2237}))</f>
        <v/>
      </c>
      <c r="AY2237" s="82" t="str">
        <f t="shared" si="2"/>
        <v/>
      </c>
      <c r="AZ2237" s="82"/>
      <c r="BA2237" s="84" t="s">
        <v>152</v>
      </c>
      <c r="BB2237" s="84" t="str">
        <f>IFERROR(__xludf.DUMMYFUNCTION("iferror(if(A2237="""",,E2237&gt;=FILTER(Constants!$F$2:$F$10,Constants!$A$2:$A$10=A2237)))"),"")</f>
        <v/>
      </c>
    </row>
    <row r="2238">
      <c r="A2238" s="89"/>
      <c r="B2238" s="87"/>
      <c r="C2238" s="73"/>
      <c r="D2238" s="73"/>
      <c r="E2238" s="82"/>
      <c r="F2238" s="82"/>
      <c r="G2238" s="86"/>
      <c r="H2238" s="86"/>
      <c r="I2238" s="86"/>
      <c r="J2238" s="82"/>
      <c r="K2238" s="82"/>
      <c r="L2238" s="82"/>
      <c r="M2238" s="82"/>
      <c r="N2238" s="82"/>
      <c r="O2238" s="82"/>
      <c r="P2238" s="82"/>
      <c r="Q2238" s="82"/>
      <c r="R2238" s="82"/>
      <c r="S2238" s="82"/>
      <c r="T2238" s="82"/>
      <c r="U2238" s="82"/>
      <c r="V2238" s="82"/>
      <c r="W2238" s="82"/>
      <c r="X2238" s="82"/>
      <c r="Y2238" s="82"/>
      <c r="Z2238" s="82"/>
      <c r="AA2238" s="82"/>
      <c r="AB2238" s="82"/>
      <c r="AC2238" s="82"/>
      <c r="AD2238" s="82"/>
      <c r="AE2238" s="82"/>
      <c r="AF2238" s="82"/>
      <c r="AG2238" s="82"/>
      <c r="AH2238" s="82"/>
      <c r="AI2238" s="82"/>
      <c r="AJ2238" s="82"/>
      <c r="AK2238" s="82"/>
      <c r="AL2238" s="82"/>
      <c r="AM2238" s="82"/>
      <c r="AN2238" s="82"/>
      <c r="AO2238" s="82"/>
      <c r="AP2238" s="82"/>
      <c r="AQ2238" s="82"/>
      <c r="AR2238" s="82"/>
      <c r="AS2238" s="82"/>
      <c r="AT2238" s="82"/>
      <c r="AU2238" s="82"/>
      <c r="AV2238" s="82"/>
      <c r="AW2238" s="82" t="str">
        <f t="shared" si="1"/>
        <v/>
      </c>
      <c r="AX2238" s="83" t="str">
        <f t="array" ref="AX2238">IFERROR(DGET('SBV Import'!A:G,"SBV",{"RSC ID","Tier";B2238,A2238}))</f>
        <v/>
      </c>
      <c r="AY2238" s="82" t="str">
        <f t="shared" si="2"/>
        <v/>
      </c>
      <c r="AZ2238" s="82"/>
      <c r="BA2238" s="84" t="s">
        <v>152</v>
      </c>
      <c r="BB2238" s="84" t="str">
        <f>IFERROR(__xludf.DUMMYFUNCTION("iferror(if(A2238="""",,E2238&gt;=FILTER(Constants!$F$2:$F$10,Constants!$A$2:$A$10=A2238)))"),"")</f>
        <v/>
      </c>
    </row>
    <row r="2239">
      <c r="A2239" s="89"/>
      <c r="B2239" s="87"/>
      <c r="C2239" s="73"/>
      <c r="D2239" s="73"/>
      <c r="E2239" s="82"/>
      <c r="F2239" s="82"/>
      <c r="G2239" s="86"/>
      <c r="H2239" s="86"/>
      <c r="I2239" s="86"/>
      <c r="J2239" s="82"/>
      <c r="K2239" s="82"/>
      <c r="L2239" s="82"/>
      <c r="M2239" s="82"/>
      <c r="N2239" s="82"/>
      <c r="O2239" s="82"/>
      <c r="P2239" s="82"/>
      <c r="Q2239" s="82"/>
      <c r="R2239" s="82"/>
      <c r="S2239" s="82"/>
      <c r="T2239" s="82"/>
      <c r="U2239" s="82"/>
      <c r="V2239" s="82"/>
      <c r="W2239" s="82"/>
      <c r="X2239" s="82"/>
      <c r="Y2239" s="82"/>
      <c r="Z2239" s="82"/>
      <c r="AA2239" s="82"/>
      <c r="AB2239" s="82"/>
      <c r="AC2239" s="82"/>
      <c r="AD2239" s="82"/>
      <c r="AE2239" s="82"/>
      <c r="AF2239" s="82"/>
      <c r="AG2239" s="82"/>
      <c r="AH2239" s="82"/>
      <c r="AI2239" s="82"/>
      <c r="AJ2239" s="82"/>
      <c r="AK2239" s="82"/>
      <c r="AL2239" s="82"/>
      <c r="AM2239" s="82"/>
      <c r="AN2239" s="82"/>
      <c r="AO2239" s="82"/>
      <c r="AP2239" s="82"/>
      <c r="AQ2239" s="82"/>
      <c r="AR2239" s="82"/>
      <c r="AS2239" s="82"/>
      <c r="AT2239" s="82"/>
      <c r="AU2239" s="82"/>
      <c r="AV2239" s="82"/>
      <c r="AW2239" s="82" t="str">
        <f t="shared" si="1"/>
        <v/>
      </c>
      <c r="AX2239" s="83" t="str">
        <f t="array" ref="AX2239">IFERROR(DGET('SBV Import'!A:G,"SBV",{"RSC ID","Tier";B2239,A2239}))</f>
        <v/>
      </c>
      <c r="AY2239" s="82" t="str">
        <f t="shared" si="2"/>
        <v/>
      </c>
      <c r="AZ2239" s="82"/>
      <c r="BA2239" s="84" t="s">
        <v>152</v>
      </c>
      <c r="BB2239" s="84" t="str">
        <f>IFERROR(__xludf.DUMMYFUNCTION("iferror(if(A2239="""",,E2239&gt;=FILTER(Constants!$F$2:$F$10,Constants!$A$2:$A$10=A2239)))"),"")</f>
        <v/>
      </c>
    </row>
    <row r="2240">
      <c r="A2240" s="89"/>
      <c r="B2240" s="87"/>
      <c r="C2240" s="73"/>
      <c r="D2240" s="73"/>
      <c r="E2240" s="82"/>
      <c r="F2240" s="82"/>
      <c r="G2240" s="86"/>
      <c r="H2240" s="86"/>
      <c r="I2240" s="86"/>
      <c r="J2240" s="82"/>
      <c r="K2240" s="82"/>
      <c r="L2240" s="82"/>
      <c r="M2240" s="82"/>
      <c r="N2240" s="82"/>
      <c r="O2240" s="82"/>
      <c r="P2240" s="82"/>
      <c r="Q2240" s="82"/>
      <c r="R2240" s="82"/>
      <c r="S2240" s="82"/>
      <c r="T2240" s="82"/>
      <c r="U2240" s="82"/>
      <c r="V2240" s="82"/>
      <c r="W2240" s="82"/>
      <c r="X2240" s="82"/>
      <c r="Y2240" s="82"/>
      <c r="Z2240" s="82"/>
      <c r="AA2240" s="82"/>
      <c r="AB2240" s="82"/>
      <c r="AC2240" s="82"/>
      <c r="AD2240" s="82"/>
      <c r="AE2240" s="82"/>
      <c r="AF2240" s="82"/>
      <c r="AG2240" s="82"/>
      <c r="AH2240" s="82"/>
      <c r="AI2240" s="82"/>
      <c r="AJ2240" s="82"/>
      <c r="AK2240" s="82"/>
      <c r="AL2240" s="82"/>
      <c r="AM2240" s="82"/>
      <c r="AN2240" s="82"/>
      <c r="AO2240" s="82"/>
      <c r="AP2240" s="82"/>
      <c r="AQ2240" s="82"/>
      <c r="AR2240" s="82"/>
      <c r="AS2240" s="82"/>
      <c r="AT2240" s="82"/>
      <c r="AU2240" s="82"/>
      <c r="AV2240" s="82"/>
      <c r="AW2240" s="82" t="str">
        <f t="shared" si="1"/>
        <v/>
      </c>
      <c r="AX2240" s="83" t="str">
        <f t="array" ref="AX2240">IFERROR(DGET('SBV Import'!A:G,"SBV",{"RSC ID","Tier";B2240,A2240}))</f>
        <v/>
      </c>
      <c r="AY2240" s="82" t="str">
        <f t="shared" si="2"/>
        <v/>
      </c>
      <c r="AZ2240" s="82"/>
      <c r="BA2240" s="84" t="s">
        <v>152</v>
      </c>
      <c r="BB2240" s="84" t="str">
        <f>IFERROR(__xludf.DUMMYFUNCTION("iferror(if(A2240="""",,E2240&gt;=FILTER(Constants!$F$2:$F$10,Constants!$A$2:$A$10=A2240)))"),"")</f>
        <v/>
      </c>
    </row>
    <row r="2241">
      <c r="A2241" s="89"/>
      <c r="B2241" s="87"/>
      <c r="C2241" s="73"/>
      <c r="D2241" s="73"/>
      <c r="E2241" s="82"/>
      <c r="F2241" s="82"/>
      <c r="G2241" s="86"/>
      <c r="H2241" s="86"/>
      <c r="I2241" s="86"/>
      <c r="J2241" s="82"/>
      <c r="K2241" s="82"/>
      <c r="L2241" s="82"/>
      <c r="M2241" s="82"/>
      <c r="N2241" s="82"/>
      <c r="O2241" s="82"/>
      <c r="P2241" s="82"/>
      <c r="Q2241" s="82"/>
      <c r="R2241" s="82"/>
      <c r="S2241" s="82"/>
      <c r="T2241" s="82"/>
      <c r="U2241" s="82"/>
      <c r="V2241" s="82"/>
      <c r="W2241" s="82"/>
      <c r="X2241" s="82"/>
      <c r="Y2241" s="82"/>
      <c r="Z2241" s="82"/>
      <c r="AA2241" s="82"/>
      <c r="AB2241" s="82"/>
      <c r="AC2241" s="82"/>
      <c r="AD2241" s="82"/>
      <c r="AE2241" s="82"/>
      <c r="AF2241" s="82"/>
      <c r="AG2241" s="82"/>
      <c r="AH2241" s="82"/>
      <c r="AI2241" s="82"/>
      <c r="AJ2241" s="82"/>
      <c r="AK2241" s="82"/>
      <c r="AL2241" s="82"/>
      <c r="AM2241" s="82"/>
      <c r="AN2241" s="82"/>
      <c r="AO2241" s="82"/>
      <c r="AP2241" s="82"/>
      <c r="AQ2241" s="82"/>
      <c r="AR2241" s="82"/>
      <c r="AS2241" s="82"/>
      <c r="AT2241" s="82"/>
      <c r="AU2241" s="82"/>
      <c r="AV2241" s="82"/>
      <c r="AW2241" s="82" t="str">
        <f t="shared" si="1"/>
        <v/>
      </c>
      <c r="AX2241" s="83" t="str">
        <f t="array" ref="AX2241">IFERROR(DGET('SBV Import'!A:G,"SBV",{"RSC ID","Tier";B2241,A2241}))</f>
        <v/>
      </c>
      <c r="AY2241" s="82" t="str">
        <f t="shared" si="2"/>
        <v/>
      </c>
      <c r="AZ2241" s="82"/>
      <c r="BA2241" s="84" t="s">
        <v>152</v>
      </c>
      <c r="BB2241" s="84" t="str">
        <f>IFERROR(__xludf.DUMMYFUNCTION("iferror(if(A2241="""",,E2241&gt;=FILTER(Constants!$F$2:$F$10,Constants!$A$2:$A$10=A2241)))"),"")</f>
        <v/>
      </c>
    </row>
    <row r="2242">
      <c r="A2242" s="89"/>
      <c r="B2242" s="87"/>
      <c r="C2242" s="73"/>
      <c r="D2242" s="73"/>
      <c r="E2242" s="82"/>
      <c r="F2242" s="82"/>
      <c r="G2242" s="86"/>
      <c r="H2242" s="86"/>
      <c r="I2242" s="86"/>
      <c r="J2242" s="82"/>
      <c r="K2242" s="82"/>
      <c r="L2242" s="82"/>
      <c r="M2242" s="82"/>
      <c r="N2242" s="82"/>
      <c r="O2242" s="82"/>
      <c r="P2242" s="82"/>
      <c r="Q2242" s="82"/>
      <c r="R2242" s="82"/>
      <c r="S2242" s="82"/>
      <c r="T2242" s="82"/>
      <c r="U2242" s="82"/>
      <c r="V2242" s="82"/>
      <c r="W2242" s="82"/>
      <c r="X2242" s="82"/>
      <c r="Y2242" s="82"/>
      <c r="Z2242" s="82"/>
      <c r="AA2242" s="82"/>
      <c r="AB2242" s="82"/>
      <c r="AC2242" s="82"/>
      <c r="AD2242" s="82"/>
      <c r="AE2242" s="82"/>
      <c r="AF2242" s="82"/>
      <c r="AG2242" s="82"/>
      <c r="AH2242" s="82"/>
      <c r="AI2242" s="82"/>
      <c r="AJ2242" s="82"/>
      <c r="AK2242" s="82"/>
      <c r="AL2242" s="82"/>
      <c r="AM2242" s="82"/>
      <c r="AN2242" s="82"/>
      <c r="AO2242" s="82"/>
      <c r="AP2242" s="82"/>
      <c r="AQ2242" s="82"/>
      <c r="AR2242" s="82"/>
      <c r="AS2242" s="82"/>
      <c r="AT2242" s="82"/>
      <c r="AU2242" s="82"/>
      <c r="AV2242" s="82"/>
      <c r="AW2242" s="82" t="str">
        <f t="shared" si="1"/>
        <v/>
      </c>
      <c r="AX2242" s="83" t="str">
        <f t="array" ref="AX2242">IFERROR(DGET('SBV Import'!A:G,"SBV",{"RSC ID","Tier";B2242,A2242}))</f>
        <v/>
      </c>
      <c r="AY2242" s="82" t="str">
        <f t="shared" si="2"/>
        <v/>
      </c>
      <c r="AZ2242" s="82"/>
      <c r="BA2242" s="84" t="s">
        <v>152</v>
      </c>
      <c r="BB2242" s="84" t="str">
        <f>IFERROR(__xludf.DUMMYFUNCTION("iferror(if(A2242="""",,E2242&gt;=FILTER(Constants!$F$2:$F$10,Constants!$A$2:$A$10=A2242)))"),"")</f>
        <v/>
      </c>
    </row>
    <row r="2243">
      <c r="A2243" s="89"/>
      <c r="B2243" s="87"/>
      <c r="C2243" s="73"/>
      <c r="D2243" s="73"/>
      <c r="E2243" s="82"/>
      <c r="F2243" s="82"/>
      <c r="G2243" s="86"/>
      <c r="H2243" s="86"/>
      <c r="I2243" s="86"/>
      <c r="J2243" s="82"/>
      <c r="K2243" s="82"/>
      <c r="L2243" s="82"/>
      <c r="M2243" s="82"/>
      <c r="N2243" s="82"/>
      <c r="O2243" s="82"/>
      <c r="P2243" s="82"/>
      <c r="Q2243" s="82"/>
      <c r="R2243" s="82"/>
      <c r="S2243" s="82"/>
      <c r="T2243" s="82"/>
      <c r="U2243" s="82"/>
      <c r="V2243" s="82"/>
      <c r="W2243" s="82"/>
      <c r="X2243" s="82"/>
      <c r="Y2243" s="82"/>
      <c r="Z2243" s="82"/>
      <c r="AA2243" s="82"/>
      <c r="AB2243" s="82"/>
      <c r="AC2243" s="82"/>
      <c r="AD2243" s="82"/>
      <c r="AE2243" s="82"/>
      <c r="AF2243" s="82"/>
      <c r="AG2243" s="82"/>
      <c r="AH2243" s="82"/>
      <c r="AI2243" s="82"/>
      <c r="AJ2243" s="82"/>
      <c r="AK2243" s="82"/>
      <c r="AL2243" s="82"/>
      <c r="AM2243" s="82"/>
      <c r="AN2243" s="82"/>
      <c r="AO2243" s="82"/>
      <c r="AP2243" s="82"/>
      <c r="AQ2243" s="82"/>
      <c r="AR2243" s="82"/>
      <c r="AS2243" s="82"/>
      <c r="AT2243" s="82"/>
      <c r="AU2243" s="82"/>
      <c r="AV2243" s="82"/>
      <c r="AW2243" s="82" t="str">
        <f t="shared" si="1"/>
        <v/>
      </c>
      <c r="AX2243" s="83" t="str">
        <f t="array" ref="AX2243">IFERROR(DGET('SBV Import'!A:G,"SBV",{"RSC ID","Tier";B2243,A2243}))</f>
        <v/>
      </c>
      <c r="AY2243" s="82" t="str">
        <f t="shared" si="2"/>
        <v/>
      </c>
      <c r="AZ2243" s="82"/>
      <c r="BA2243" s="84" t="s">
        <v>152</v>
      </c>
      <c r="BB2243" s="84" t="str">
        <f>IFERROR(__xludf.DUMMYFUNCTION("iferror(if(A2243="""",,E2243&gt;=FILTER(Constants!$F$2:$F$10,Constants!$A$2:$A$10=A2243)))"),"")</f>
        <v/>
      </c>
    </row>
    <row r="2244">
      <c r="A2244" s="89"/>
      <c r="B2244" s="87"/>
      <c r="C2244" s="73"/>
      <c r="D2244" s="73"/>
      <c r="E2244" s="82"/>
      <c r="F2244" s="82"/>
      <c r="G2244" s="86"/>
      <c r="H2244" s="86"/>
      <c r="I2244" s="86"/>
      <c r="J2244" s="82"/>
      <c r="K2244" s="82"/>
      <c r="L2244" s="82"/>
      <c r="M2244" s="82"/>
      <c r="N2244" s="82"/>
      <c r="O2244" s="82"/>
      <c r="P2244" s="82"/>
      <c r="Q2244" s="82"/>
      <c r="R2244" s="82"/>
      <c r="S2244" s="82"/>
      <c r="T2244" s="82"/>
      <c r="U2244" s="82"/>
      <c r="V2244" s="82"/>
      <c r="W2244" s="82"/>
      <c r="X2244" s="82"/>
      <c r="Y2244" s="82"/>
      <c r="Z2244" s="82"/>
      <c r="AA2244" s="82"/>
      <c r="AB2244" s="82"/>
      <c r="AC2244" s="82"/>
      <c r="AD2244" s="82"/>
      <c r="AE2244" s="82"/>
      <c r="AF2244" s="82"/>
      <c r="AG2244" s="82"/>
      <c r="AH2244" s="82"/>
      <c r="AI2244" s="82"/>
      <c r="AJ2244" s="82"/>
      <c r="AK2244" s="82"/>
      <c r="AL2244" s="82"/>
      <c r="AM2244" s="82"/>
      <c r="AN2244" s="82"/>
      <c r="AO2244" s="82"/>
      <c r="AP2244" s="82"/>
      <c r="AQ2244" s="82"/>
      <c r="AR2244" s="82"/>
      <c r="AS2244" s="82"/>
      <c r="AT2244" s="82"/>
      <c r="AU2244" s="82"/>
      <c r="AV2244" s="82"/>
      <c r="AW2244" s="82" t="str">
        <f t="shared" si="1"/>
        <v/>
      </c>
      <c r="AX2244" s="83" t="str">
        <f t="array" ref="AX2244">IFERROR(DGET('SBV Import'!A:G,"SBV",{"RSC ID","Tier";B2244,A2244}))</f>
        <v/>
      </c>
      <c r="AY2244" s="82" t="str">
        <f t="shared" si="2"/>
        <v/>
      </c>
      <c r="AZ2244" s="82"/>
      <c r="BA2244" s="84" t="s">
        <v>152</v>
      </c>
      <c r="BB2244" s="84" t="str">
        <f>IFERROR(__xludf.DUMMYFUNCTION("iferror(if(A2244="""",,E2244&gt;=FILTER(Constants!$F$2:$F$10,Constants!$A$2:$A$10=A2244)))"),"")</f>
        <v/>
      </c>
    </row>
    <row r="2245">
      <c r="A2245" s="89"/>
      <c r="B2245" s="87"/>
      <c r="C2245" s="73"/>
      <c r="D2245" s="73"/>
      <c r="E2245" s="82"/>
      <c r="F2245" s="82"/>
      <c r="G2245" s="86"/>
      <c r="H2245" s="86"/>
      <c r="I2245" s="86"/>
      <c r="J2245" s="82"/>
      <c r="K2245" s="82"/>
      <c r="L2245" s="82"/>
      <c r="M2245" s="82"/>
      <c r="N2245" s="82"/>
      <c r="O2245" s="82"/>
      <c r="P2245" s="82"/>
      <c r="Q2245" s="82"/>
      <c r="R2245" s="82"/>
      <c r="S2245" s="82"/>
      <c r="T2245" s="82"/>
      <c r="U2245" s="82"/>
      <c r="V2245" s="82"/>
      <c r="W2245" s="82"/>
      <c r="X2245" s="82"/>
      <c r="Y2245" s="82"/>
      <c r="Z2245" s="82"/>
      <c r="AA2245" s="82"/>
      <c r="AB2245" s="82"/>
      <c r="AC2245" s="82"/>
      <c r="AD2245" s="82"/>
      <c r="AE2245" s="82"/>
      <c r="AF2245" s="82"/>
      <c r="AG2245" s="82"/>
      <c r="AH2245" s="82"/>
      <c r="AI2245" s="82"/>
      <c r="AJ2245" s="82"/>
      <c r="AK2245" s="82"/>
      <c r="AL2245" s="82"/>
      <c r="AM2245" s="82"/>
      <c r="AN2245" s="82"/>
      <c r="AO2245" s="82"/>
      <c r="AP2245" s="82"/>
      <c r="AQ2245" s="82"/>
      <c r="AR2245" s="82"/>
      <c r="AS2245" s="82"/>
      <c r="AT2245" s="82"/>
      <c r="AU2245" s="82"/>
      <c r="AV2245" s="82"/>
      <c r="AW2245" s="82" t="str">
        <f t="shared" si="1"/>
        <v/>
      </c>
      <c r="AX2245" s="83" t="str">
        <f t="array" ref="AX2245">IFERROR(DGET('SBV Import'!A:G,"SBV",{"RSC ID","Tier";B2245,A2245}))</f>
        <v/>
      </c>
      <c r="AY2245" s="82" t="str">
        <f t="shared" si="2"/>
        <v/>
      </c>
      <c r="AZ2245" s="82"/>
      <c r="BA2245" s="84" t="s">
        <v>152</v>
      </c>
      <c r="BB2245" s="84" t="str">
        <f>IFERROR(__xludf.DUMMYFUNCTION("iferror(if(A2245="""",,E2245&gt;=FILTER(Constants!$F$2:$F$10,Constants!$A$2:$A$10=A2245)))"),"")</f>
        <v/>
      </c>
    </row>
    <row r="2246">
      <c r="A2246" s="89"/>
      <c r="B2246" s="87"/>
      <c r="C2246" s="73"/>
      <c r="D2246" s="73"/>
      <c r="E2246" s="82"/>
      <c r="F2246" s="82"/>
      <c r="G2246" s="86"/>
      <c r="H2246" s="86"/>
      <c r="I2246" s="86"/>
      <c r="J2246" s="82"/>
      <c r="K2246" s="82"/>
      <c r="L2246" s="82"/>
      <c r="M2246" s="82"/>
      <c r="N2246" s="82"/>
      <c r="O2246" s="82"/>
      <c r="P2246" s="82"/>
      <c r="Q2246" s="82"/>
      <c r="R2246" s="82"/>
      <c r="S2246" s="82"/>
      <c r="T2246" s="82"/>
      <c r="U2246" s="82"/>
      <c r="V2246" s="82"/>
      <c r="W2246" s="82"/>
      <c r="X2246" s="82"/>
      <c r="Y2246" s="82"/>
      <c r="Z2246" s="82"/>
      <c r="AA2246" s="82"/>
      <c r="AB2246" s="82"/>
      <c r="AC2246" s="82"/>
      <c r="AD2246" s="82"/>
      <c r="AE2246" s="82"/>
      <c r="AF2246" s="82"/>
      <c r="AG2246" s="82"/>
      <c r="AH2246" s="82"/>
      <c r="AI2246" s="82"/>
      <c r="AJ2246" s="82"/>
      <c r="AK2246" s="82"/>
      <c r="AL2246" s="82"/>
      <c r="AM2246" s="82"/>
      <c r="AN2246" s="82"/>
      <c r="AO2246" s="82"/>
      <c r="AP2246" s="82"/>
      <c r="AQ2246" s="82"/>
      <c r="AR2246" s="82"/>
      <c r="AS2246" s="82"/>
      <c r="AT2246" s="82"/>
      <c r="AU2246" s="82"/>
      <c r="AV2246" s="82"/>
      <c r="AW2246" s="82" t="str">
        <f t="shared" si="1"/>
        <v/>
      </c>
      <c r="AX2246" s="83" t="str">
        <f t="array" ref="AX2246">IFERROR(DGET('SBV Import'!A:G,"SBV",{"RSC ID","Tier";B2246,A2246}))</f>
        <v/>
      </c>
      <c r="AY2246" s="82" t="str">
        <f t="shared" si="2"/>
        <v/>
      </c>
      <c r="AZ2246" s="82"/>
      <c r="BA2246" s="84" t="s">
        <v>152</v>
      </c>
      <c r="BB2246" s="84" t="str">
        <f>IFERROR(__xludf.DUMMYFUNCTION("iferror(if(A2246="""",,E2246&gt;=FILTER(Constants!$F$2:$F$10,Constants!$A$2:$A$10=A2246)))"),"")</f>
        <v/>
      </c>
    </row>
    <row r="2247">
      <c r="A2247" s="89"/>
      <c r="B2247" s="87"/>
      <c r="C2247" s="73"/>
      <c r="D2247" s="73"/>
      <c r="E2247" s="82"/>
      <c r="F2247" s="82"/>
      <c r="G2247" s="86"/>
      <c r="H2247" s="86"/>
      <c r="I2247" s="86"/>
      <c r="J2247" s="82"/>
      <c r="K2247" s="82"/>
      <c r="L2247" s="82"/>
      <c r="M2247" s="82"/>
      <c r="N2247" s="82"/>
      <c r="O2247" s="82"/>
      <c r="P2247" s="82"/>
      <c r="Q2247" s="82"/>
      <c r="R2247" s="82"/>
      <c r="S2247" s="82"/>
      <c r="T2247" s="82"/>
      <c r="U2247" s="82"/>
      <c r="V2247" s="82"/>
      <c r="W2247" s="82"/>
      <c r="X2247" s="82"/>
      <c r="Y2247" s="82"/>
      <c r="Z2247" s="82"/>
      <c r="AA2247" s="82"/>
      <c r="AB2247" s="82"/>
      <c r="AC2247" s="82"/>
      <c r="AD2247" s="82"/>
      <c r="AE2247" s="82"/>
      <c r="AF2247" s="82"/>
      <c r="AG2247" s="82"/>
      <c r="AH2247" s="82"/>
      <c r="AI2247" s="82"/>
      <c r="AJ2247" s="82"/>
      <c r="AK2247" s="82"/>
      <c r="AL2247" s="82"/>
      <c r="AM2247" s="82"/>
      <c r="AN2247" s="82"/>
      <c r="AO2247" s="82"/>
      <c r="AP2247" s="82"/>
      <c r="AQ2247" s="82"/>
      <c r="AR2247" s="82"/>
      <c r="AS2247" s="82"/>
      <c r="AT2247" s="82"/>
      <c r="AU2247" s="82"/>
      <c r="AV2247" s="82"/>
      <c r="AW2247" s="82" t="str">
        <f t="shared" si="1"/>
        <v/>
      </c>
      <c r="AX2247" s="83" t="str">
        <f t="array" ref="AX2247">IFERROR(DGET('SBV Import'!A:G,"SBV",{"RSC ID","Tier";B2247,A2247}))</f>
        <v/>
      </c>
      <c r="AY2247" s="82" t="str">
        <f t="shared" si="2"/>
        <v/>
      </c>
      <c r="AZ2247" s="82"/>
      <c r="BA2247" s="84" t="s">
        <v>152</v>
      </c>
      <c r="BB2247" s="84" t="str">
        <f>IFERROR(__xludf.DUMMYFUNCTION("iferror(if(A2247="""",,E2247&gt;=FILTER(Constants!$F$2:$F$10,Constants!$A$2:$A$10=A2247)))"),"")</f>
        <v/>
      </c>
    </row>
    <row r="2248">
      <c r="A2248" s="89"/>
      <c r="B2248" s="87"/>
      <c r="C2248" s="73"/>
      <c r="D2248" s="73"/>
      <c r="E2248" s="82"/>
      <c r="F2248" s="82"/>
      <c r="G2248" s="86"/>
      <c r="H2248" s="86"/>
      <c r="I2248" s="86"/>
      <c r="J2248" s="82"/>
      <c r="K2248" s="82"/>
      <c r="L2248" s="82"/>
      <c r="M2248" s="82"/>
      <c r="N2248" s="82"/>
      <c r="O2248" s="82"/>
      <c r="P2248" s="82"/>
      <c r="Q2248" s="82"/>
      <c r="R2248" s="82"/>
      <c r="S2248" s="82"/>
      <c r="T2248" s="82"/>
      <c r="U2248" s="82"/>
      <c r="V2248" s="82"/>
      <c r="W2248" s="82"/>
      <c r="X2248" s="82"/>
      <c r="Y2248" s="82"/>
      <c r="Z2248" s="82"/>
      <c r="AA2248" s="82"/>
      <c r="AB2248" s="82"/>
      <c r="AC2248" s="82"/>
      <c r="AD2248" s="82"/>
      <c r="AE2248" s="82"/>
      <c r="AF2248" s="82"/>
      <c r="AG2248" s="82"/>
      <c r="AH2248" s="82"/>
      <c r="AI2248" s="82"/>
      <c r="AJ2248" s="82"/>
      <c r="AK2248" s="82"/>
      <c r="AL2248" s="82"/>
      <c r="AM2248" s="82"/>
      <c r="AN2248" s="82"/>
      <c r="AO2248" s="82"/>
      <c r="AP2248" s="82"/>
      <c r="AQ2248" s="82"/>
      <c r="AR2248" s="82"/>
      <c r="AS2248" s="82"/>
      <c r="AT2248" s="82"/>
      <c r="AU2248" s="82"/>
      <c r="AV2248" s="82"/>
      <c r="AW2248" s="82" t="str">
        <f t="shared" si="1"/>
        <v/>
      </c>
      <c r="AX2248" s="83" t="str">
        <f t="array" ref="AX2248">IFERROR(DGET('SBV Import'!A:G,"SBV",{"RSC ID","Tier";B2248,A2248}))</f>
        <v/>
      </c>
      <c r="AY2248" s="82" t="str">
        <f t="shared" si="2"/>
        <v/>
      </c>
      <c r="AZ2248" s="82"/>
      <c r="BA2248" s="84" t="s">
        <v>152</v>
      </c>
      <c r="BB2248" s="84" t="str">
        <f>IFERROR(__xludf.DUMMYFUNCTION("iferror(if(A2248="""",,E2248&gt;=FILTER(Constants!$F$2:$F$10,Constants!$A$2:$A$10=A2248)))"),"")</f>
        <v/>
      </c>
    </row>
    <row r="2249">
      <c r="A2249" s="89"/>
      <c r="B2249" s="87"/>
      <c r="C2249" s="73"/>
      <c r="D2249" s="73"/>
      <c r="E2249" s="82"/>
      <c r="F2249" s="82"/>
      <c r="G2249" s="86"/>
      <c r="H2249" s="86"/>
      <c r="I2249" s="86"/>
      <c r="J2249" s="82"/>
      <c r="K2249" s="82"/>
      <c r="L2249" s="82"/>
      <c r="M2249" s="82"/>
      <c r="N2249" s="82"/>
      <c r="O2249" s="82"/>
      <c r="P2249" s="82"/>
      <c r="Q2249" s="82"/>
      <c r="R2249" s="82"/>
      <c r="S2249" s="82"/>
      <c r="T2249" s="82"/>
      <c r="U2249" s="82"/>
      <c r="V2249" s="82"/>
      <c r="W2249" s="82"/>
      <c r="X2249" s="82"/>
      <c r="Y2249" s="82"/>
      <c r="Z2249" s="82"/>
      <c r="AA2249" s="82"/>
      <c r="AB2249" s="82"/>
      <c r="AC2249" s="82"/>
      <c r="AD2249" s="82"/>
      <c r="AE2249" s="82"/>
      <c r="AF2249" s="82"/>
      <c r="AG2249" s="82"/>
      <c r="AH2249" s="82"/>
      <c r="AI2249" s="82"/>
      <c r="AJ2249" s="82"/>
      <c r="AK2249" s="82"/>
      <c r="AL2249" s="82"/>
      <c r="AM2249" s="82"/>
      <c r="AN2249" s="82"/>
      <c r="AO2249" s="82"/>
      <c r="AP2249" s="82"/>
      <c r="AQ2249" s="82"/>
      <c r="AR2249" s="82"/>
      <c r="AS2249" s="82"/>
      <c r="AT2249" s="82"/>
      <c r="AU2249" s="82"/>
      <c r="AV2249" s="82"/>
      <c r="AW2249" s="82" t="str">
        <f t="shared" si="1"/>
        <v/>
      </c>
      <c r="AX2249" s="83" t="str">
        <f t="array" ref="AX2249">IFERROR(DGET('SBV Import'!A:G,"SBV",{"RSC ID","Tier";B2249,A2249}))</f>
        <v/>
      </c>
      <c r="AY2249" s="82" t="str">
        <f t="shared" si="2"/>
        <v/>
      </c>
      <c r="AZ2249" s="82"/>
      <c r="BA2249" s="84" t="s">
        <v>152</v>
      </c>
      <c r="BB2249" s="84" t="str">
        <f>IFERROR(__xludf.DUMMYFUNCTION("iferror(if(A2249="""",,E2249&gt;=FILTER(Constants!$F$2:$F$10,Constants!$A$2:$A$10=A2249)))"),"")</f>
        <v/>
      </c>
    </row>
    <row r="2250">
      <c r="A2250" s="89"/>
      <c r="B2250" s="87"/>
      <c r="C2250" s="73"/>
      <c r="D2250" s="73"/>
      <c r="E2250" s="82"/>
      <c r="F2250" s="82"/>
      <c r="G2250" s="86"/>
      <c r="H2250" s="86"/>
      <c r="I2250" s="86"/>
      <c r="J2250" s="82"/>
      <c r="K2250" s="82"/>
      <c r="L2250" s="82"/>
      <c r="M2250" s="82"/>
      <c r="N2250" s="82"/>
      <c r="O2250" s="82"/>
      <c r="P2250" s="82"/>
      <c r="Q2250" s="82"/>
      <c r="R2250" s="82"/>
      <c r="S2250" s="82"/>
      <c r="T2250" s="82"/>
      <c r="U2250" s="82"/>
      <c r="V2250" s="82"/>
      <c r="W2250" s="82"/>
      <c r="X2250" s="82"/>
      <c r="Y2250" s="82"/>
      <c r="Z2250" s="82"/>
      <c r="AA2250" s="82"/>
      <c r="AB2250" s="82"/>
      <c r="AC2250" s="82"/>
      <c r="AD2250" s="82"/>
      <c r="AE2250" s="82"/>
      <c r="AF2250" s="82"/>
      <c r="AG2250" s="82"/>
      <c r="AH2250" s="82"/>
      <c r="AI2250" s="82"/>
      <c r="AJ2250" s="82"/>
      <c r="AK2250" s="82"/>
      <c r="AL2250" s="82"/>
      <c r="AM2250" s="82"/>
      <c r="AN2250" s="82"/>
      <c r="AO2250" s="82"/>
      <c r="AP2250" s="82"/>
      <c r="AQ2250" s="82"/>
      <c r="AR2250" s="82"/>
      <c r="AS2250" s="82"/>
      <c r="AT2250" s="82"/>
      <c r="AU2250" s="82"/>
      <c r="AV2250" s="82"/>
      <c r="AW2250" s="82" t="str">
        <f t="shared" si="1"/>
        <v/>
      </c>
      <c r="AX2250" s="83" t="str">
        <f t="array" ref="AX2250">IFERROR(DGET('SBV Import'!A:G,"SBV",{"RSC ID","Tier";B2250,A2250}))</f>
        <v/>
      </c>
      <c r="AY2250" s="82" t="str">
        <f t="shared" si="2"/>
        <v/>
      </c>
      <c r="AZ2250" s="82"/>
      <c r="BA2250" s="84" t="s">
        <v>152</v>
      </c>
      <c r="BB2250" s="84" t="str">
        <f>IFERROR(__xludf.DUMMYFUNCTION("iferror(if(A2250="""",,E2250&gt;=FILTER(Constants!$F$2:$F$10,Constants!$A$2:$A$10=A2250)))"),"")</f>
        <v/>
      </c>
    </row>
    <row r="2251">
      <c r="A2251" s="89"/>
      <c r="B2251" s="87"/>
      <c r="C2251" s="73"/>
      <c r="D2251" s="73"/>
      <c r="E2251" s="82"/>
      <c r="F2251" s="82"/>
      <c r="G2251" s="86"/>
      <c r="H2251" s="86"/>
      <c r="I2251" s="86"/>
      <c r="J2251" s="82"/>
      <c r="K2251" s="82"/>
      <c r="L2251" s="82"/>
      <c r="M2251" s="82"/>
      <c r="N2251" s="82"/>
      <c r="O2251" s="82"/>
      <c r="P2251" s="82"/>
      <c r="Q2251" s="82"/>
      <c r="R2251" s="82"/>
      <c r="S2251" s="82"/>
      <c r="T2251" s="82"/>
      <c r="U2251" s="82"/>
      <c r="V2251" s="82"/>
      <c r="W2251" s="82"/>
      <c r="X2251" s="82"/>
      <c r="Y2251" s="82"/>
      <c r="Z2251" s="82"/>
      <c r="AA2251" s="82"/>
      <c r="AB2251" s="82"/>
      <c r="AC2251" s="82"/>
      <c r="AD2251" s="82"/>
      <c r="AE2251" s="82"/>
      <c r="AF2251" s="82"/>
      <c r="AG2251" s="82"/>
      <c r="AH2251" s="82"/>
      <c r="AI2251" s="82"/>
      <c r="AJ2251" s="82"/>
      <c r="AK2251" s="82"/>
      <c r="AL2251" s="82"/>
      <c r="AM2251" s="82"/>
      <c r="AN2251" s="82"/>
      <c r="AO2251" s="82"/>
      <c r="AP2251" s="82"/>
      <c r="AQ2251" s="82"/>
      <c r="AR2251" s="82"/>
      <c r="AS2251" s="82"/>
      <c r="AT2251" s="82"/>
      <c r="AU2251" s="82"/>
      <c r="AV2251" s="82"/>
      <c r="AW2251" s="82" t="str">
        <f t="shared" si="1"/>
        <v/>
      </c>
      <c r="AX2251" s="83" t="str">
        <f t="array" ref="AX2251">IFERROR(DGET('SBV Import'!A:G,"SBV",{"RSC ID","Tier";B2251,A2251}))</f>
        <v/>
      </c>
      <c r="AY2251" s="82" t="str">
        <f t="shared" si="2"/>
        <v/>
      </c>
      <c r="AZ2251" s="82"/>
      <c r="BA2251" s="84" t="s">
        <v>152</v>
      </c>
      <c r="BB2251" s="84" t="str">
        <f>IFERROR(__xludf.DUMMYFUNCTION("iferror(if(A2251="""",,E2251&gt;=FILTER(Constants!$F$2:$F$10,Constants!$A$2:$A$10=A2251)))"),"")</f>
        <v/>
      </c>
    </row>
    <row r="2252">
      <c r="A2252" s="89"/>
      <c r="B2252" s="87"/>
      <c r="C2252" s="73"/>
      <c r="D2252" s="73"/>
      <c r="E2252" s="82"/>
      <c r="F2252" s="82"/>
      <c r="G2252" s="86"/>
      <c r="H2252" s="86"/>
      <c r="I2252" s="86"/>
      <c r="J2252" s="82"/>
      <c r="K2252" s="82"/>
      <c r="L2252" s="82"/>
      <c r="M2252" s="82"/>
      <c r="N2252" s="82"/>
      <c r="O2252" s="82"/>
      <c r="P2252" s="82"/>
      <c r="Q2252" s="82"/>
      <c r="R2252" s="82"/>
      <c r="S2252" s="82"/>
      <c r="T2252" s="82"/>
      <c r="U2252" s="82"/>
      <c r="V2252" s="82"/>
      <c r="W2252" s="82"/>
      <c r="X2252" s="82"/>
      <c r="Y2252" s="82"/>
      <c r="Z2252" s="82"/>
      <c r="AA2252" s="82"/>
      <c r="AB2252" s="82"/>
      <c r="AC2252" s="82"/>
      <c r="AD2252" s="82"/>
      <c r="AE2252" s="82"/>
      <c r="AF2252" s="82"/>
      <c r="AG2252" s="82"/>
      <c r="AH2252" s="82"/>
      <c r="AI2252" s="82"/>
      <c r="AJ2252" s="82"/>
      <c r="AK2252" s="82"/>
      <c r="AL2252" s="82"/>
      <c r="AM2252" s="82"/>
      <c r="AN2252" s="82"/>
      <c r="AO2252" s="82"/>
      <c r="AP2252" s="82"/>
      <c r="AQ2252" s="82"/>
      <c r="AR2252" s="82"/>
      <c r="AS2252" s="82"/>
      <c r="AT2252" s="82"/>
      <c r="AU2252" s="82"/>
      <c r="AV2252" s="82"/>
      <c r="AW2252" s="82" t="str">
        <f t="shared" si="1"/>
        <v/>
      </c>
      <c r="AX2252" s="83" t="str">
        <f t="array" ref="AX2252">IFERROR(DGET('SBV Import'!A:G,"SBV",{"RSC ID","Tier";B2252,A2252}))</f>
        <v/>
      </c>
      <c r="AY2252" s="82" t="str">
        <f t="shared" si="2"/>
        <v/>
      </c>
      <c r="AZ2252" s="82"/>
      <c r="BA2252" s="84" t="s">
        <v>152</v>
      </c>
      <c r="BB2252" s="84" t="str">
        <f>IFERROR(__xludf.DUMMYFUNCTION("iferror(if(A2252="""",,E2252&gt;=FILTER(Constants!$F$2:$F$10,Constants!$A$2:$A$10=A2252)))"),"")</f>
        <v/>
      </c>
    </row>
    <row r="2253">
      <c r="A2253" s="89"/>
      <c r="B2253" s="87"/>
      <c r="C2253" s="73"/>
      <c r="D2253" s="73"/>
      <c r="E2253" s="82"/>
      <c r="F2253" s="82"/>
      <c r="G2253" s="86"/>
      <c r="H2253" s="86"/>
      <c r="I2253" s="86"/>
      <c r="J2253" s="82"/>
      <c r="K2253" s="82"/>
      <c r="L2253" s="82"/>
      <c r="M2253" s="82"/>
      <c r="N2253" s="82"/>
      <c r="O2253" s="82"/>
      <c r="P2253" s="82"/>
      <c r="Q2253" s="82"/>
      <c r="R2253" s="82"/>
      <c r="S2253" s="82"/>
      <c r="T2253" s="82"/>
      <c r="U2253" s="82"/>
      <c r="V2253" s="82"/>
      <c r="W2253" s="82"/>
      <c r="X2253" s="82"/>
      <c r="Y2253" s="82"/>
      <c r="Z2253" s="82"/>
      <c r="AA2253" s="82"/>
      <c r="AB2253" s="82"/>
      <c r="AC2253" s="82"/>
      <c r="AD2253" s="82"/>
      <c r="AE2253" s="82"/>
      <c r="AF2253" s="82"/>
      <c r="AG2253" s="82"/>
      <c r="AH2253" s="82"/>
      <c r="AI2253" s="82"/>
      <c r="AJ2253" s="82"/>
      <c r="AK2253" s="82"/>
      <c r="AL2253" s="82"/>
      <c r="AM2253" s="82"/>
      <c r="AN2253" s="82"/>
      <c r="AO2253" s="82"/>
      <c r="AP2253" s="82"/>
      <c r="AQ2253" s="82"/>
      <c r="AR2253" s="82"/>
      <c r="AS2253" s="82"/>
      <c r="AT2253" s="82"/>
      <c r="AU2253" s="82"/>
      <c r="AV2253" s="82"/>
      <c r="AW2253" s="82" t="str">
        <f t="shared" si="1"/>
        <v/>
      </c>
      <c r="AX2253" s="83" t="str">
        <f t="array" ref="AX2253">IFERROR(DGET('SBV Import'!A:G,"SBV",{"RSC ID","Tier";B2253,A2253}))</f>
        <v/>
      </c>
      <c r="AY2253" s="82" t="str">
        <f t="shared" si="2"/>
        <v/>
      </c>
      <c r="AZ2253" s="82"/>
      <c r="BA2253" s="84" t="s">
        <v>152</v>
      </c>
      <c r="BB2253" s="84" t="str">
        <f>IFERROR(__xludf.DUMMYFUNCTION("iferror(if(A2253="""",,E2253&gt;=FILTER(Constants!$F$2:$F$10,Constants!$A$2:$A$10=A2253)))"),"")</f>
        <v/>
      </c>
    </row>
    <row r="2254">
      <c r="A2254" s="89"/>
      <c r="B2254" s="87"/>
      <c r="C2254" s="73"/>
      <c r="D2254" s="73"/>
      <c r="E2254" s="82"/>
      <c r="F2254" s="82"/>
      <c r="G2254" s="86"/>
      <c r="H2254" s="86"/>
      <c r="I2254" s="86"/>
      <c r="J2254" s="82"/>
      <c r="K2254" s="82"/>
      <c r="L2254" s="82"/>
      <c r="M2254" s="82"/>
      <c r="N2254" s="82"/>
      <c r="O2254" s="82"/>
      <c r="P2254" s="82"/>
      <c r="Q2254" s="82"/>
      <c r="R2254" s="82"/>
      <c r="S2254" s="82"/>
      <c r="T2254" s="82"/>
      <c r="U2254" s="82"/>
      <c r="V2254" s="82"/>
      <c r="W2254" s="82"/>
      <c r="X2254" s="82"/>
      <c r="Y2254" s="82"/>
      <c r="Z2254" s="82"/>
      <c r="AA2254" s="82"/>
      <c r="AB2254" s="82"/>
      <c r="AC2254" s="82"/>
      <c r="AD2254" s="82"/>
      <c r="AE2254" s="82"/>
      <c r="AF2254" s="82"/>
      <c r="AG2254" s="82"/>
      <c r="AH2254" s="82"/>
      <c r="AI2254" s="82"/>
      <c r="AJ2254" s="82"/>
      <c r="AK2254" s="82"/>
      <c r="AL2254" s="82"/>
      <c r="AM2254" s="82"/>
      <c r="AN2254" s="82"/>
      <c r="AO2254" s="82"/>
      <c r="AP2254" s="82"/>
      <c r="AQ2254" s="82"/>
      <c r="AR2254" s="82"/>
      <c r="AS2254" s="82"/>
      <c r="AT2254" s="82"/>
      <c r="AU2254" s="82"/>
      <c r="AV2254" s="82"/>
      <c r="AW2254" s="82" t="str">
        <f t="shared" si="1"/>
        <v/>
      </c>
      <c r="AX2254" s="83" t="str">
        <f t="array" ref="AX2254">IFERROR(DGET('SBV Import'!A:G,"SBV",{"RSC ID","Tier";B2254,A2254}))</f>
        <v/>
      </c>
      <c r="AY2254" s="82" t="str">
        <f t="shared" si="2"/>
        <v/>
      </c>
      <c r="AZ2254" s="82"/>
      <c r="BA2254" s="84" t="s">
        <v>152</v>
      </c>
      <c r="BB2254" s="84" t="str">
        <f>IFERROR(__xludf.DUMMYFUNCTION("iferror(if(A2254="""",,E2254&gt;=FILTER(Constants!$F$2:$F$10,Constants!$A$2:$A$10=A2254)))"),"")</f>
        <v/>
      </c>
    </row>
    <row r="2255">
      <c r="A2255" s="89"/>
      <c r="B2255" s="87"/>
      <c r="C2255" s="73"/>
      <c r="D2255" s="73"/>
      <c r="E2255" s="82"/>
      <c r="F2255" s="82"/>
      <c r="G2255" s="86"/>
      <c r="H2255" s="86"/>
      <c r="I2255" s="86"/>
      <c r="J2255" s="82"/>
      <c r="K2255" s="82"/>
      <c r="L2255" s="82"/>
      <c r="M2255" s="82"/>
      <c r="N2255" s="82"/>
      <c r="O2255" s="82"/>
      <c r="P2255" s="82"/>
      <c r="Q2255" s="82"/>
      <c r="R2255" s="82"/>
      <c r="S2255" s="82"/>
      <c r="T2255" s="82"/>
      <c r="U2255" s="82"/>
      <c r="V2255" s="82"/>
      <c r="W2255" s="82"/>
      <c r="X2255" s="82"/>
      <c r="Y2255" s="82"/>
      <c r="Z2255" s="82"/>
      <c r="AA2255" s="82"/>
      <c r="AB2255" s="82"/>
      <c r="AC2255" s="82"/>
      <c r="AD2255" s="82"/>
      <c r="AE2255" s="82"/>
      <c r="AF2255" s="82"/>
      <c r="AG2255" s="82"/>
      <c r="AH2255" s="82"/>
      <c r="AI2255" s="82"/>
      <c r="AJ2255" s="82"/>
      <c r="AK2255" s="82"/>
      <c r="AL2255" s="82"/>
      <c r="AM2255" s="82"/>
      <c r="AN2255" s="82"/>
      <c r="AO2255" s="82"/>
      <c r="AP2255" s="82"/>
      <c r="AQ2255" s="82"/>
      <c r="AR2255" s="82"/>
      <c r="AS2255" s="82"/>
      <c r="AT2255" s="82"/>
      <c r="AU2255" s="82"/>
      <c r="AV2255" s="82"/>
      <c r="AW2255" s="82" t="str">
        <f t="shared" si="1"/>
        <v/>
      </c>
      <c r="AX2255" s="83" t="str">
        <f t="array" ref="AX2255">IFERROR(DGET('SBV Import'!A:G,"SBV",{"RSC ID","Tier";B2255,A2255}))</f>
        <v/>
      </c>
      <c r="AY2255" s="82" t="str">
        <f t="shared" si="2"/>
        <v/>
      </c>
      <c r="AZ2255" s="82"/>
      <c r="BA2255" s="84" t="s">
        <v>152</v>
      </c>
      <c r="BB2255" s="84" t="str">
        <f>IFERROR(__xludf.DUMMYFUNCTION("iferror(if(A2255="""",,E2255&gt;=FILTER(Constants!$F$2:$F$10,Constants!$A$2:$A$10=A2255)))"),"")</f>
        <v/>
      </c>
    </row>
    <row r="2256">
      <c r="A2256" s="89"/>
      <c r="B2256" s="87"/>
      <c r="C2256" s="73"/>
      <c r="D2256" s="73"/>
      <c r="E2256" s="82"/>
      <c r="F2256" s="82"/>
      <c r="G2256" s="86"/>
      <c r="H2256" s="86"/>
      <c r="I2256" s="86"/>
      <c r="J2256" s="82"/>
      <c r="K2256" s="82"/>
      <c r="L2256" s="82"/>
      <c r="M2256" s="82"/>
      <c r="N2256" s="82"/>
      <c r="O2256" s="82"/>
      <c r="P2256" s="82"/>
      <c r="Q2256" s="82"/>
      <c r="R2256" s="82"/>
      <c r="S2256" s="82"/>
      <c r="T2256" s="82"/>
      <c r="U2256" s="82"/>
      <c r="V2256" s="82"/>
      <c r="W2256" s="82"/>
      <c r="X2256" s="82"/>
      <c r="Y2256" s="82"/>
      <c r="Z2256" s="82"/>
      <c r="AA2256" s="82"/>
      <c r="AB2256" s="82"/>
      <c r="AC2256" s="82"/>
      <c r="AD2256" s="82"/>
      <c r="AE2256" s="82"/>
      <c r="AF2256" s="82"/>
      <c r="AG2256" s="82"/>
      <c r="AH2256" s="82"/>
      <c r="AI2256" s="82"/>
      <c r="AJ2256" s="82"/>
      <c r="AK2256" s="82"/>
      <c r="AL2256" s="82"/>
      <c r="AM2256" s="82"/>
      <c r="AN2256" s="82"/>
      <c r="AO2256" s="82"/>
      <c r="AP2256" s="82"/>
      <c r="AQ2256" s="82"/>
      <c r="AR2256" s="82"/>
      <c r="AS2256" s="82"/>
      <c r="AT2256" s="82"/>
      <c r="AU2256" s="82"/>
      <c r="AV2256" s="82"/>
      <c r="AW2256" s="82" t="str">
        <f t="shared" si="1"/>
        <v/>
      </c>
      <c r="AX2256" s="83" t="str">
        <f t="array" ref="AX2256">IFERROR(DGET('SBV Import'!A:G,"SBV",{"RSC ID","Tier";B2256,A2256}))</f>
        <v/>
      </c>
      <c r="AY2256" s="82" t="str">
        <f t="shared" si="2"/>
        <v/>
      </c>
      <c r="AZ2256" s="82"/>
      <c r="BA2256" s="84" t="s">
        <v>152</v>
      </c>
      <c r="BB2256" s="84" t="str">
        <f>IFERROR(__xludf.DUMMYFUNCTION("iferror(if(A2256="""",,E2256&gt;=FILTER(Constants!$F$2:$F$10,Constants!$A$2:$A$10=A2256)))"),"")</f>
        <v/>
      </c>
    </row>
    <row r="2257">
      <c r="A2257" s="89"/>
      <c r="B2257" s="87"/>
      <c r="C2257" s="73"/>
      <c r="D2257" s="73"/>
      <c r="E2257" s="82"/>
      <c r="F2257" s="82"/>
      <c r="G2257" s="86"/>
      <c r="H2257" s="86"/>
      <c r="I2257" s="86"/>
      <c r="J2257" s="82"/>
      <c r="K2257" s="82"/>
      <c r="L2257" s="82"/>
      <c r="M2257" s="82"/>
      <c r="N2257" s="82"/>
      <c r="O2257" s="82"/>
      <c r="P2257" s="82"/>
      <c r="Q2257" s="82"/>
      <c r="R2257" s="82"/>
      <c r="S2257" s="82"/>
      <c r="T2257" s="82"/>
      <c r="U2257" s="82"/>
      <c r="V2257" s="82"/>
      <c r="W2257" s="82"/>
      <c r="X2257" s="82"/>
      <c r="Y2257" s="82"/>
      <c r="Z2257" s="82"/>
      <c r="AA2257" s="82"/>
      <c r="AB2257" s="82"/>
      <c r="AC2257" s="82"/>
      <c r="AD2257" s="82"/>
      <c r="AE2257" s="82"/>
      <c r="AF2257" s="82"/>
      <c r="AG2257" s="82"/>
      <c r="AH2257" s="82"/>
      <c r="AI2257" s="82"/>
      <c r="AJ2257" s="82"/>
      <c r="AK2257" s="82"/>
      <c r="AL2257" s="82"/>
      <c r="AM2257" s="82"/>
      <c r="AN2257" s="82"/>
      <c r="AO2257" s="82"/>
      <c r="AP2257" s="82"/>
      <c r="AQ2257" s="82"/>
      <c r="AR2257" s="82"/>
      <c r="AS2257" s="82"/>
      <c r="AT2257" s="82"/>
      <c r="AU2257" s="82"/>
      <c r="AV2257" s="82"/>
      <c r="AW2257" s="82" t="str">
        <f t="shared" si="1"/>
        <v/>
      </c>
      <c r="AX2257" s="83" t="str">
        <f t="array" ref="AX2257">IFERROR(DGET('SBV Import'!A:G,"SBV",{"RSC ID","Tier";B2257,A2257}))</f>
        <v/>
      </c>
      <c r="AY2257" s="82" t="str">
        <f t="shared" si="2"/>
        <v/>
      </c>
      <c r="AZ2257" s="82"/>
      <c r="BA2257" s="84" t="s">
        <v>152</v>
      </c>
      <c r="BB2257" s="84" t="str">
        <f>IFERROR(__xludf.DUMMYFUNCTION("iferror(if(A2257="""",,E2257&gt;=FILTER(Constants!$F$2:$F$10,Constants!$A$2:$A$10=A2257)))"),"")</f>
        <v/>
      </c>
    </row>
    <row r="2258">
      <c r="A2258" s="89"/>
      <c r="B2258" s="87"/>
      <c r="C2258" s="73"/>
      <c r="D2258" s="73"/>
      <c r="E2258" s="82"/>
      <c r="F2258" s="82"/>
      <c r="G2258" s="86"/>
      <c r="H2258" s="86"/>
      <c r="I2258" s="86"/>
      <c r="J2258" s="82"/>
      <c r="K2258" s="82"/>
      <c r="L2258" s="82"/>
      <c r="M2258" s="82"/>
      <c r="N2258" s="82"/>
      <c r="O2258" s="82"/>
      <c r="P2258" s="82"/>
      <c r="Q2258" s="82"/>
      <c r="R2258" s="82"/>
      <c r="S2258" s="82"/>
      <c r="T2258" s="82"/>
      <c r="U2258" s="82"/>
      <c r="V2258" s="82"/>
      <c r="W2258" s="82"/>
      <c r="X2258" s="82"/>
      <c r="Y2258" s="82"/>
      <c r="Z2258" s="82"/>
      <c r="AA2258" s="82"/>
      <c r="AB2258" s="82"/>
      <c r="AC2258" s="82"/>
      <c r="AD2258" s="82"/>
      <c r="AE2258" s="82"/>
      <c r="AF2258" s="82"/>
      <c r="AG2258" s="82"/>
      <c r="AH2258" s="82"/>
      <c r="AI2258" s="82"/>
      <c r="AJ2258" s="82"/>
      <c r="AK2258" s="82"/>
      <c r="AL2258" s="82"/>
      <c r="AM2258" s="82"/>
      <c r="AN2258" s="82"/>
      <c r="AO2258" s="82"/>
      <c r="AP2258" s="82"/>
      <c r="AQ2258" s="82"/>
      <c r="AR2258" s="82"/>
      <c r="AS2258" s="82"/>
      <c r="AT2258" s="82"/>
      <c r="AU2258" s="82"/>
      <c r="AV2258" s="82"/>
      <c r="AW2258" s="82" t="str">
        <f t="shared" si="1"/>
        <v/>
      </c>
      <c r="AX2258" s="83" t="str">
        <f t="array" ref="AX2258">IFERROR(DGET('SBV Import'!A:G,"SBV",{"RSC ID","Tier";B2258,A2258}))</f>
        <v/>
      </c>
      <c r="AY2258" s="82" t="str">
        <f t="shared" si="2"/>
        <v/>
      </c>
      <c r="AZ2258" s="82"/>
      <c r="BA2258" s="84" t="s">
        <v>152</v>
      </c>
      <c r="BB2258" s="84" t="str">
        <f>IFERROR(__xludf.DUMMYFUNCTION("iferror(if(A2258="""",,E2258&gt;=FILTER(Constants!$F$2:$F$10,Constants!$A$2:$A$10=A2258)))"),"")</f>
        <v/>
      </c>
    </row>
    <row r="2259">
      <c r="A2259" s="89"/>
      <c r="B2259" s="87"/>
      <c r="C2259" s="73"/>
      <c r="D2259" s="73"/>
      <c r="E2259" s="82"/>
      <c r="F2259" s="82"/>
      <c r="G2259" s="86"/>
      <c r="H2259" s="86"/>
      <c r="I2259" s="86"/>
      <c r="J2259" s="82"/>
      <c r="K2259" s="82"/>
      <c r="L2259" s="82"/>
      <c r="M2259" s="82"/>
      <c r="N2259" s="82"/>
      <c r="O2259" s="82"/>
      <c r="P2259" s="82"/>
      <c r="Q2259" s="82"/>
      <c r="R2259" s="82"/>
      <c r="S2259" s="82"/>
      <c r="T2259" s="82"/>
      <c r="U2259" s="82"/>
      <c r="V2259" s="82"/>
      <c r="W2259" s="82"/>
      <c r="X2259" s="82"/>
      <c r="Y2259" s="82"/>
      <c r="Z2259" s="82"/>
      <c r="AA2259" s="82"/>
      <c r="AB2259" s="82"/>
      <c r="AC2259" s="82"/>
      <c r="AD2259" s="82"/>
      <c r="AE2259" s="82"/>
      <c r="AF2259" s="82"/>
      <c r="AG2259" s="82"/>
      <c r="AH2259" s="82"/>
      <c r="AI2259" s="82"/>
      <c r="AJ2259" s="82"/>
      <c r="AK2259" s="82"/>
      <c r="AL2259" s="82"/>
      <c r="AM2259" s="82"/>
      <c r="AN2259" s="82"/>
      <c r="AO2259" s="82"/>
      <c r="AP2259" s="82"/>
      <c r="AQ2259" s="82"/>
      <c r="AR2259" s="82"/>
      <c r="AS2259" s="82"/>
      <c r="AT2259" s="82"/>
      <c r="AU2259" s="82"/>
      <c r="AV2259" s="82"/>
      <c r="AW2259" s="82" t="str">
        <f t="shared" si="1"/>
        <v/>
      </c>
      <c r="AX2259" s="83" t="str">
        <f t="array" ref="AX2259">IFERROR(DGET('SBV Import'!A:G,"SBV",{"RSC ID","Tier";B2259,A2259}))</f>
        <v/>
      </c>
      <c r="AY2259" s="82" t="str">
        <f t="shared" si="2"/>
        <v/>
      </c>
      <c r="AZ2259" s="82"/>
      <c r="BA2259" s="84" t="s">
        <v>152</v>
      </c>
      <c r="BB2259" s="84" t="str">
        <f>IFERROR(__xludf.DUMMYFUNCTION("iferror(if(A2259="""",,E2259&gt;=FILTER(Constants!$F$2:$F$10,Constants!$A$2:$A$10=A2259)))"),"")</f>
        <v/>
      </c>
    </row>
    <row r="2260">
      <c r="A2260" s="89"/>
      <c r="B2260" s="87"/>
      <c r="C2260" s="73"/>
      <c r="D2260" s="73"/>
      <c r="E2260" s="82"/>
      <c r="F2260" s="82"/>
      <c r="G2260" s="86"/>
      <c r="H2260" s="86"/>
      <c r="I2260" s="86"/>
      <c r="J2260" s="82"/>
      <c r="K2260" s="82"/>
      <c r="L2260" s="82"/>
      <c r="M2260" s="82"/>
      <c r="N2260" s="82"/>
      <c r="O2260" s="82"/>
      <c r="P2260" s="82"/>
      <c r="Q2260" s="82"/>
      <c r="R2260" s="82"/>
      <c r="S2260" s="82"/>
      <c r="T2260" s="82"/>
      <c r="U2260" s="82"/>
      <c r="V2260" s="82"/>
      <c r="W2260" s="82"/>
      <c r="X2260" s="82"/>
      <c r="Y2260" s="82"/>
      <c r="Z2260" s="82"/>
      <c r="AA2260" s="82"/>
      <c r="AB2260" s="82"/>
      <c r="AC2260" s="82"/>
      <c r="AD2260" s="82"/>
      <c r="AE2260" s="82"/>
      <c r="AF2260" s="82"/>
      <c r="AG2260" s="82"/>
      <c r="AH2260" s="82"/>
      <c r="AI2260" s="82"/>
      <c r="AJ2260" s="82"/>
      <c r="AK2260" s="82"/>
      <c r="AL2260" s="82"/>
      <c r="AM2260" s="82"/>
      <c r="AN2260" s="82"/>
      <c r="AO2260" s="82"/>
      <c r="AP2260" s="82"/>
      <c r="AQ2260" s="82"/>
      <c r="AR2260" s="82"/>
      <c r="AS2260" s="82"/>
      <c r="AT2260" s="82"/>
      <c r="AU2260" s="82"/>
      <c r="AV2260" s="82"/>
      <c r="AW2260" s="82" t="str">
        <f t="shared" si="1"/>
        <v/>
      </c>
      <c r="AX2260" s="83" t="str">
        <f t="array" ref="AX2260">IFERROR(DGET('SBV Import'!A:G,"SBV",{"RSC ID","Tier";B2260,A2260}))</f>
        <v/>
      </c>
      <c r="AY2260" s="82" t="str">
        <f t="shared" si="2"/>
        <v/>
      </c>
      <c r="AZ2260" s="82"/>
      <c r="BA2260" s="84" t="s">
        <v>152</v>
      </c>
      <c r="BB2260" s="84" t="str">
        <f>IFERROR(__xludf.DUMMYFUNCTION("iferror(if(A2260="""",,E2260&gt;=FILTER(Constants!$F$2:$F$10,Constants!$A$2:$A$10=A2260)))"),"")</f>
        <v/>
      </c>
    </row>
    <row r="2261">
      <c r="A2261" s="89"/>
      <c r="B2261" s="87"/>
      <c r="C2261" s="73"/>
      <c r="D2261" s="73"/>
      <c r="E2261" s="82"/>
      <c r="F2261" s="82"/>
      <c r="G2261" s="86"/>
      <c r="H2261" s="86"/>
      <c r="I2261" s="86"/>
      <c r="J2261" s="82"/>
      <c r="K2261" s="82"/>
      <c r="L2261" s="82"/>
      <c r="M2261" s="82"/>
      <c r="N2261" s="82"/>
      <c r="O2261" s="82"/>
      <c r="P2261" s="82"/>
      <c r="Q2261" s="82"/>
      <c r="R2261" s="82"/>
      <c r="S2261" s="82"/>
      <c r="T2261" s="82"/>
      <c r="U2261" s="82"/>
      <c r="V2261" s="82"/>
      <c r="W2261" s="82"/>
      <c r="X2261" s="82"/>
      <c r="Y2261" s="82"/>
      <c r="Z2261" s="82"/>
      <c r="AA2261" s="82"/>
      <c r="AB2261" s="82"/>
      <c r="AC2261" s="82"/>
      <c r="AD2261" s="82"/>
      <c r="AE2261" s="82"/>
      <c r="AF2261" s="82"/>
      <c r="AG2261" s="82"/>
      <c r="AH2261" s="82"/>
      <c r="AI2261" s="82"/>
      <c r="AJ2261" s="82"/>
      <c r="AK2261" s="82"/>
      <c r="AL2261" s="82"/>
      <c r="AM2261" s="82"/>
      <c r="AN2261" s="82"/>
      <c r="AO2261" s="82"/>
      <c r="AP2261" s="82"/>
      <c r="AQ2261" s="82"/>
      <c r="AR2261" s="82"/>
      <c r="AS2261" s="82"/>
      <c r="AT2261" s="82"/>
      <c r="AU2261" s="82"/>
      <c r="AV2261" s="82"/>
      <c r="AW2261" s="82" t="str">
        <f t="shared" si="1"/>
        <v/>
      </c>
      <c r="AX2261" s="83" t="str">
        <f t="array" ref="AX2261">IFERROR(DGET('SBV Import'!A:G,"SBV",{"RSC ID","Tier";B2261,A2261}))</f>
        <v/>
      </c>
      <c r="AY2261" s="82" t="str">
        <f t="shared" si="2"/>
        <v/>
      </c>
      <c r="AZ2261" s="82"/>
      <c r="BA2261" s="84" t="s">
        <v>152</v>
      </c>
      <c r="BB2261" s="84" t="str">
        <f>IFERROR(__xludf.DUMMYFUNCTION("iferror(if(A2261="""",,E2261&gt;=FILTER(Constants!$F$2:$F$10,Constants!$A$2:$A$10=A2261)))"),"")</f>
        <v/>
      </c>
    </row>
    <row r="2262">
      <c r="A2262" s="89"/>
      <c r="B2262" s="87"/>
      <c r="C2262" s="73"/>
      <c r="D2262" s="73"/>
      <c r="E2262" s="82"/>
      <c r="F2262" s="82"/>
      <c r="G2262" s="86"/>
      <c r="H2262" s="86"/>
      <c r="I2262" s="86"/>
      <c r="J2262" s="82"/>
      <c r="K2262" s="82"/>
      <c r="L2262" s="82"/>
      <c r="M2262" s="82"/>
      <c r="N2262" s="82"/>
      <c r="O2262" s="82"/>
      <c r="P2262" s="82"/>
      <c r="Q2262" s="82"/>
      <c r="R2262" s="82"/>
      <c r="S2262" s="82"/>
      <c r="T2262" s="82"/>
      <c r="U2262" s="82"/>
      <c r="V2262" s="82"/>
      <c r="W2262" s="82"/>
      <c r="X2262" s="82"/>
      <c r="Y2262" s="82"/>
      <c r="Z2262" s="82"/>
      <c r="AA2262" s="82"/>
      <c r="AB2262" s="82"/>
      <c r="AC2262" s="82"/>
      <c r="AD2262" s="82"/>
      <c r="AE2262" s="82"/>
      <c r="AF2262" s="82"/>
      <c r="AG2262" s="82"/>
      <c r="AH2262" s="82"/>
      <c r="AI2262" s="82"/>
      <c r="AJ2262" s="82"/>
      <c r="AK2262" s="82"/>
      <c r="AL2262" s="82"/>
      <c r="AM2262" s="82"/>
      <c r="AN2262" s="82"/>
      <c r="AO2262" s="82"/>
      <c r="AP2262" s="82"/>
      <c r="AQ2262" s="82"/>
      <c r="AR2262" s="82"/>
      <c r="AS2262" s="82"/>
      <c r="AT2262" s="82"/>
      <c r="AU2262" s="82"/>
      <c r="AV2262" s="82"/>
      <c r="AW2262" s="82" t="str">
        <f t="shared" si="1"/>
        <v/>
      </c>
      <c r="AX2262" s="83" t="str">
        <f t="array" ref="AX2262">IFERROR(DGET('SBV Import'!A:G,"SBV",{"RSC ID","Tier";B2262,A2262}))</f>
        <v/>
      </c>
      <c r="AY2262" s="82" t="str">
        <f t="shared" si="2"/>
        <v/>
      </c>
      <c r="AZ2262" s="82"/>
      <c r="BA2262" s="84" t="s">
        <v>152</v>
      </c>
      <c r="BB2262" s="84" t="str">
        <f>IFERROR(__xludf.DUMMYFUNCTION("iferror(if(A2262="""",,E2262&gt;=FILTER(Constants!$F$2:$F$10,Constants!$A$2:$A$10=A2262)))"),"")</f>
        <v/>
      </c>
    </row>
    <row r="2263">
      <c r="A2263" s="89"/>
      <c r="B2263" s="87"/>
      <c r="C2263" s="73"/>
      <c r="D2263" s="73"/>
      <c r="E2263" s="82"/>
      <c r="F2263" s="82"/>
      <c r="G2263" s="86"/>
      <c r="H2263" s="86"/>
      <c r="I2263" s="86"/>
      <c r="J2263" s="82"/>
      <c r="K2263" s="82"/>
      <c r="L2263" s="82"/>
      <c r="M2263" s="82"/>
      <c r="N2263" s="82"/>
      <c r="O2263" s="82"/>
      <c r="P2263" s="82"/>
      <c r="Q2263" s="82"/>
      <c r="R2263" s="82"/>
      <c r="S2263" s="82"/>
      <c r="T2263" s="82"/>
      <c r="U2263" s="82"/>
      <c r="V2263" s="82"/>
      <c r="W2263" s="82"/>
      <c r="X2263" s="82"/>
      <c r="Y2263" s="82"/>
      <c r="Z2263" s="82"/>
      <c r="AA2263" s="82"/>
      <c r="AB2263" s="82"/>
      <c r="AC2263" s="82"/>
      <c r="AD2263" s="82"/>
      <c r="AE2263" s="82"/>
      <c r="AF2263" s="82"/>
      <c r="AG2263" s="82"/>
      <c r="AH2263" s="82"/>
      <c r="AI2263" s="82"/>
      <c r="AJ2263" s="82"/>
      <c r="AK2263" s="82"/>
      <c r="AL2263" s="82"/>
      <c r="AM2263" s="82"/>
      <c r="AN2263" s="82"/>
      <c r="AO2263" s="82"/>
      <c r="AP2263" s="82"/>
      <c r="AQ2263" s="82"/>
      <c r="AR2263" s="82"/>
      <c r="AS2263" s="82"/>
      <c r="AT2263" s="82"/>
      <c r="AU2263" s="82"/>
      <c r="AV2263" s="82"/>
      <c r="AW2263" s="82" t="str">
        <f t="shared" si="1"/>
        <v/>
      </c>
      <c r="AX2263" s="83" t="str">
        <f t="array" ref="AX2263">IFERROR(DGET('SBV Import'!A:G,"SBV",{"RSC ID","Tier";B2263,A2263}))</f>
        <v/>
      </c>
      <c r="AY2263" s="82" t="str">
        <f t="shared" si="2"/>
        <v/>
      </c>
      <c r="AZ2263" s="82"/>
      <c r="BA2263" s="84" t="s">
        <v>152</v>
      </c>
      <c r="BB2263" s="84" t="str">
        <f>IFERROR(__xludf.DUMMYFUNCTION("iferror(if(A2263="""",,E2263&gt;=FILTER(Constants!$F$2:$F$10,Constants!$A$2:$A$10=A2263)))"),"")</f>
        <v/>
      </c>
    </row>
    <row r="2264">
      <c r="A2264" s="89"/>
      <c r="B2264" s="87"/>
      <c r="C2264" s="73"/>
      <c r="D2264" s="73"/>
      <c r="E2264" s="82"/>
      <c r="F2264" s="82"/>
      <c r="G2264" s="86"/>
      <c r="H2264" s="86"/>
      <c r="I2264" s="86"/>
      <c r="J2264" s="82"/>
      <c r="K2264" s="82"/>
      <c r="L2264" s="82"/>
      <c r="M2264" s="82"/>
      <c r="N2264" s="82"/>
      <c r="O2264" s="82"/>
      <c r="P2264" s="82"/>
      <c r="Q2264" s="82"/>
      <c r="R2264" s="82"/>
      <c r="S2264" s="82"/>
      <c r="T2264" s="82"/>
      <c r="U2264" s="82"/>
      <c r="V2264" s="82"/>
      <c r="W2264" s="82"/>
      <c r="X2264" s="82"/>
      <c r="Y2264" s="82"/>
      <c r="Z2264" s="82"/>
      <c r="AA2264" s="82"/>
      <c r="AB2264" s="82"/>
      <c r="AC2264" s="82"/>
      <c r="AD2264" s="82"/>
      <c r="AE2264" s="82"/>
      <c r="AF2264" s="82"/>
      <c r="AG2264" s="82"/>
      <c r="AH2264" s="82"/>
      <c r="AI2264" s="82"/>
      <c r="AJ2264" s="82"/>
      <c r="AK2264" s="82"/>
      <c r="AL2264" s="82"/>
      <c r="AM2264" s="82"/>
      <c r="AN2264" s="82"/>
      <c r="AO2264" s="82"/>
      <c r="AP2264" s="82"/>
      <c r="AQ2264" s="82"/>
      <c r="AR2264" s="82"/>
      <c r="AS2264" s="82"/>
      <c r="AT2264" s="82"/>
      <c r="AU2264" s="82"/>
      <c r="AV2264" s="82"/>
      <c r="AW2264" s="82" t="str">
        <f t="shared" si="1"/>
        <v/>
      </c>
      <c r="AX2264" s="83" t="str">
        <f t="array" ref="AX2264">IFERROR(DGET('SBV Import'!A:G,"SBV",{"RSC ID","Tier";B2264,A2264}))</f>
        <v/>
      </c>
      <c r="AY2264" s="82" t="str">
        <f t="shared" si="2"/>
        <v/>
      </c>
      <c r="AZ2264" s="82"/>
      <c r="BA2264" s="84" t="s">
        <v>152</v>
      </c>
      <c r="BB2264" s="84" t="str">
        <f>IFERROR(__xludf.DUMMYFUNCTION("iferror(if(A2264="""",,E2264&gt;=FILTER(Constants!$F$2:$F$10,Constants!$A$2:$A$10=A2264)))"),"")</f>
        <v/>
      </c>
    </row>
    <row r="2265">
      <c r="A2265" s="89"/>
      <c r="B2265" s="87"/>
      <c r="C2265" s="73"/>
      <c r="D2265" s="73"/>
      <c r="E2265" s="82"/>
      <c r="F2265" s="82"/>
      <c r="G2265" s="86"/>
      <c r="H2265" s="86"/>
      <c r="I2265" s="86"/>
      <c r="J2265" s="82"/>
      <c r="K2265" s="82"/>
      <c r="L2265" s="82"/>
      <c r="M2265" s="82"/>
      <c r="N2265" s="82"/>
      <c r="O2265" s="82"/>
      <c r="P2265" s="82"/>
      <c r="Q2265" s="82"/>
      <c r="R2265" s="82"/>
      <c r="S2265" s="82"/>
      <c r="T2265" s="82"/>
      <c r="U2265" s="82"/>
      <c r="V2265" s="82"/>
      <c r="W2265" s="82"/>
      <c r="X2265" s="82"/>
      <c r="Y2265" s="82"/>
      <c r="Z2265" s="82"/>
      <c r="AA2265" s="82"/>
      <c r="AB2265" s="82"/>
      <c r="AC2265" s="82"/>
      <c r="AD2265" s="82"/>
      <c r="AE2265" s="82"/>
      <c r="AF2265" s="82"/>
      <c r="AG2265" s="82"/>
      <c r="AH2265" s="82"/>
      <c r="AI2265" s="82"/>
      <c r="AJ2265" s="82"/>
      <c r="AK2265" s="82"/>
      <c r="AL2265" s="82"/>
      <c r="AM2265" s="82"/>
      <c r="AN2265" s="82"/>
      <c r="AO2265" s="82"/>
      <c r="AP2265" s="82"/>
      <c r="AQ2265" s="82"/>
      <c r="AR2265" s="82"/>
      <c r="AS2265" s="82"/>
      <c r="AT2265" s="82"/>
      <c r="AU2265" s="82"/>
      <c r="AV2265" s="82"/>
      <c r="AW2265" s="82" t="str">
        <f t="shared" si="1"/>
        <v/>
      </c>
      <c r="AX2265" s="83" t="str">
        <f t="array" ref="AX2265">IFERROR(DGET('SBV Import'!A:G,"SBV",{"RSC ID","Tier";B2265,A2265}))</f>
        <v/>
      </c>
      <c r="AY2265" s="82" t="str">
        <f t="shared" si="2"/>
        <v/>
      </c>
      <c r="AZ2265" s="82"/>
      <c r="BA2265" s="84" t="s">
        <v>152</v>
      </c>
      <c r="BB2265" s="84" t="str">
        <f>IFERROR(__xludf.DUMMYFUNCTION("iferror(if(A2265="""",,E2265&gt;=FILTER(Constants!$F$2:$F$10,Constants!$A$2:$A$10=A2265)))"),"")</f>
        <v/>
      </c>
    </row>
    <row r="2266">
      <c r="A2266" s="89"/>
      <c r="B2266" s="87"/>
      <c r="C2266" s="73"/>
      <c r="D2266" s="73"/>
      <c r="E2266" s="82"/>
      <c r="F2266" s="82"/>
      <c r="G2266" s="86"/>
      <c r="H2266" s="86"/>
      <c r="I2266" s="86"/>
      <c r="J2266" s="82"/>
      <c r="K2266" s="82"/>
      <c r="L2266" s="82"/>
      <c r="M2266" s="82"/>
      <c r="N2266" s="82"/>
      <c r="O2266" s="82"/>
      <c r="P2266" s="82"/>
      <c r="Q2266" s="82"/>
      <c r="R2266" s="82"/>
      <c r="S2266" s="82"/>
      <c r="T2266" s="82"/>
      <c r="U2266" s="82"/>
      <c r="V2266" s="82"/>
      <c r="W2266" s="82"/>
      <c r="X2266" s="82"/>
      <c r="Y2266" s="82"/>
      <c r="Z2266" s="82"/>
      <c r="AA2266" s="82"/>
      <c r="AB2266" s="82"/>
      <c r="AC2266" s="82"/>
      <c r="AD2266" s="82"/>
      <c r="AE2266" s="82"/>
      <c r="AF2266" s="82"/>
      <c r="AG2266" s="82"/>
      <c r="AH2266" s="82"/>
      <c r="AI2266" s="82"/>
      <c r="AJ2266" s="82"/>
      <c r="AK2266" s="82"/>
      <c r="AL2266" s="82"/>
      <c r="AM2266" s="82"/>
      <c r="AN2266" s="82"/>
      <c r="AO2266" s="82"/>
      <c r="AP2266" s="82"/>
      <c r="AQ2266" s="82"/>
      <c r="AR2266" s="82"/>
      <c r="AS2266" s="82"/>
      <c r="AT2266" s="82"/>
      <c r="AU2266" s="82"/>
      <c r="AV2266" s="82"/>
      <c r="AW2266" s="82" t="str">
        <f t="shared" si="1"/>
        <v/>
      </c>
      <c r="AX2266" s="83" t="str">
        <f t="array" ref="AX2266">IFERROR(DGET('SBV Import'!A:G,"SBV",{"RSC ID","Tier";B2266,A2266}))</f>
        <v/>
      </c>
      <c r="AY2266" s="82" t="str">
        <f t="shared" si="2"/>
        <v/>
      </c>
      <c r="AZ2266" s="82"/>
      <c r="BA2266" s="84" t="s">
        <v>152</v>
      </c>
      <c r="BB2266" s="84" t="str">
        <f>IFERROR(__xludf.DUMMYFUNCTION("iferror(if(A2266="""",,E2266&gt;=FILTER(Constants!$F$2:$F$10,Constants!$A$2:$A$10=A2266)))"),"")</f>
        <v/>
      </c>
    </row>
    <row r="2267">
      <c r="A2267" s="89"/>
      <c r="B2267" s="87"/>
      <c r="C2267" s="73"/>
      <c r="D2267" s="73"/>
      <c r="E2267" s="82"/>
      <c r="F2267" s="82"/>
      <c r="G2267" s="86"/>
      <c r="H2267" s="86"/>
      <c r="I2267" s="86"/>
      <c r="J2267" s="82"/>
      <c r="K2267" s="82"/>
      <c r="L2267" s="82"/>
      <c r="M2267" s="82"/>
      <c r="N2267" s="82"/>
      <c r="O2267" s="82"/>
      <c r="P2267" s="82"/>
      <c r="Q2267" s="82"/>
      <c r="R2267" s="82"/>
      <c r="S2267" s="82"/>
      <c r="T2267" s="82"/>
      <c r="U2267" s="82"/>
      <c r="V2267" s="82"/>
      <c r="W2267" s="82"/>
      <c r="X2267" s="82"/>
      <c r="Y2267" s="82"/>
      <c r="Z2267" s="82"/>
      <c r="AA2267" s="82"/>
      <c r="AB2267" s="82"/>
      <c r="AC2267" s="82"/>
      <c r="AD2267" s="82"/>
      <c r="AE2267" s="82"/>
      <c r="AF2267" s="82"/>
      <c r="AG2267" s="82"/>
      <c r="AH2267" s="82"/>
      <c r="AI2267" s="82"/>
      <c r="AJ2267" s="82"/>
      <c r="AK2267" s="82"/>
      <c r="AL2267" s="82"/>
      <c r="AM2267" s="82"/>
      <c r="AN2267" s="82"/>
      <c r="AO2267" s="82"/>
      <c r="AP2267" s="82"/>
      <c r="AQ2267" s="82"/>
      <c r="AR2267" s="82"/>
      <c r="AS2267" s="82"/>
      <c r="AT2267" s="82"/>
      <c r="AU2267" s="82"/>
      <c r="AV2267" s="82"/>
      <c r="AW2267" s="82" t="str">
        <f t="shared" si="1"/>
        <v/>
      </c>
      <c r="AX2267" s="83" t="str">
        <f t="array" ref="AX2267">IFERROR(DGET('SBV Import'!A:G,"SBV",{"RSC ID","Tier";B2267,A2267}))</f>
        <v/>
      </c>
      <c r="AY2267" s="82" t="str">
        <f t="shared" si="2"/>
        <v/>
      </c>
      <c r="AZ2267" s="82"/>
      <c r="BA2267" s="84" t="s">
        <v>152</v>
      </c>
      <c r="BB2267" s="84" t="str">
        <f>IFERROR(__xludf.DUMMYFUNCTION("iferror(if(A2267="""",,E2267&gt;=FILTER(Constants!$F$2:$F$10,Constants!$A$2:$A$10=A2267)))"),"")</f>
        <v/>
      </c>
    </row>
    <row r="2268">
      <c r="A2268" s="89"/>
      <c r="B2268" s="87"/>
      <c r="C2268" s="73"/>
      <c r="D2268" s="73"/>
      <c r="E2268" s="82"/>
      <c r="F2268" s="82"/>
      <c r="G2268" s="86"/>
      <c r="H2268" s="86"/>
      <c r="I2268" s="86"/>
      <c r="J2268" s="82"/>
      <c r="K2268" s="82"/>
      <c r="L2268" s="82"/>
      <c r="M2268" s="82"/>
      <c r="N2268" s="82"/>
      <c r="O2268" s="82"/>
      <c r="P2268" s="82"/>
      <c r="Q2268" s="82"/>
      <c r="R2268" s="82"/>
      <c r="S2268" s="82"/>
      <c r="T2268" s="82"/>
      <c r="U2268" s="82"/>
      <c r="V2268" s="82"/>
      <c r="W2268" s="82"/>
      <c r="X2268" s="82"/>
      <c r="Y2268" s="82"/>
      <c r="Z2268" s="82"/>
      <c r="AA2268" s="82"/>
      <c r="AB2268" s="82"/>
      <c r="AC2268" s="82"/>
      <c r="AD2268" s="82"/>
      <c r="AE2268" s="82"/>
      <c r="AF2268" s="82"/>
      <c r="AG2268" s="82"/>
      <c r="AH2268" s="82"/>
      <c r="AI2268" s="82"/>
      <c r="AJ2268" s="82"/>
      <c r="AK2268" s="82"/>
      <c r="AL2268" s="82"/>
      <c r="AM2268" s="82"/>
      <c r="AN2268" s="82"/>
      <c r="AO2268" s="82"/>
      <c r="AP2268" s="82"/>
      <c r="AQ2268" s="82"/>
      <c r="AR2268" s="82"/>
      <c r="AS2268" s="82"/>
      <c r="AT2268" s="82"/>
      <c r="AU2268" s="82"/>
      <c r="AV2268" s="82"/>
      <c r="AW2268" s="82" t="str">
        <f t="shared" si="1"/>
        <v/>
      </c>
      <c r="AX2268" s="83" t="str">
        <f t="array" ref="AX2268">IFERROR(DGET('SBV Import'!A:G,"SBV",{"RSC ID","Tier";B2268,A2268}))</f>
        <v/>
      </c>
      <c r="AY2268" s="82" t="str">
        <f t="shared" si="2"/>
        <v/>
      </c>
      <c r="AZ2268" s="82"/>
      <c r="BA2268" s="84" t="s">
        <v>152</v>
      </c>
      <c r="BB2268" s="84" t="str">
        <f>IFERROR(__xludf.DUMMYFUNCTION("iferror(if(A2268="""",,E2268&gt;=FILTER(Constants!$F$2:$F$10,Constants!$A$2:$A$10=A2268)))"),"")</f>
        <v/>
      </c>
    </row>
    <row r="2269">
      <c r="A2269" s="89"/>
      <c r="B2269" s="87"/>
      <c r="C2269" s="73"/>
      <c r="D2269" s="73"/>
      <c r="E2269" s="82"/>
      <c r="F2269" s="82"/>
      <c r="G2269" s="86"/>
      <c r="H2269" s="86"/>
      <c r="I2269" s="86"/>
      <c r="J2269" s="82"/>
      <c r="K2269" s="82"/>
      <c r="L2269" s="82"/>
      <c r="M2269" s="82"/>
      <c r="N2269" s="82"/>
      <c r="O2269" s="82"/>
      <c r="P2269" s="82"/>
      <c r="Q2269" s="82"/>
      <c r="R2269" s="82"/>
      <c r="S2269" s="82"/>
      <c r="T2269" s="82"/>
      <c r="U2269" s="82"/>
      <c r="V2269" s="82"/>
      <c r="W2269" s="82"/>
      <c r="X2269" s="82"/>
      <c r="Y2269" s="82"/>
      <c r="Z2269" s="82"/>
      <c r="AA2269" s="82"/>
      <c r="AB2269" s="82"/>
      <c r="AC2269" s="82"/>
      <c r="AD2269" s="82"/>
      <c r="AE2269" s="82"/>
      <c r="AF2269" s="82"/>
      <c r="AG2269" s="82"/>
      <c r="AH2269" s="82"/>
      <c r="AI2269" s="82"/>
      <c r="AJ2269" s="82"/>
      <c r="AK2269" s="82"/>
      <c r="AL2269" s="82"/>
      <c r="AM2269" s="82"/>
      <c r="AN2269" s="82"/>
      <c r="AO2269" s="82"/>
      <c r="AP2269" s="82"/>
      <c r="AQ2269" s="82"/>
      <c r="AR2269" s="82"/>
      <c r="AS2269" s="82"/>
      <c r="AT2269" s="82"/>
      <c r="AU2269" s="82"/>
      <c r="AV2269" s="82"/>
      <c r="AW2269" s="82" t="str">
        <f t="shared" si="1"/>
        <v/>
      </c>
      <c r="AX2269" s="83" t="str">
        <f t="array" ref="AX2269">IFERROR(DGET('SBV Import'!A:G,"SBV",{"RSC ID","Tier";B2269,A2269}))</f>
        <v/>
      </c>
      <c r="AY2269" s="82" t="str">
        <f t="shared" si="2"/>
        <v/>
      </c>
      <c r="AZ2269" s="82"/>
      <c r="BA2269" s="84" t="s">
        <v>152</v>
      </c>
      <c r="BB2269" s="84" t="str">
        <f>IFERROR(__xludf.DUMMYFUNCTION("iferror(if(A2269="""",,E2269&gt;=FILTER(Constants!$F$2:$F$10,Constants!$A$2:$A$10=A2269)))"),"")</f>
        <v/>
      </c>
    </row>
    <row r="2270">
      <c r="A2270" s="89"/>
      <c r="B2270" s="87"/>
      <c r="C2270" s="73"/>
      <c r="D2270" s="73"/>
      <c r="E2270" s="82"/>
      <c r="F2270" s="82"/>
      <c r="G2270" s="86"/>
      <c r="H2270" s="86"/>
      <c r="I2270" s="86"/>
      <c r="J2270" s="82"/>
      <c r="K2270" s="82"/>
      <c r="L2270" s="82"/>
      <c r="M2270" s="82"/>
      <c r="N2270" s="82"/>
      <c r="O2270" s="82"/>
      <c r="P2270" s="82"/>
      <c r="Q2270" s="82"/>
      <c r="R2270" s="82"/>
      <c r="S2270" s="82"/>
      <c r="T2270" s="82"/>
      <c r="U2270" s="82"/>
      <c r="V2270" s="82"/>
      <c r="W2270" s="82"/>
      <c r="X2270" s="82"/>
      <c r="Y2270" s="82"/>
      <c r="Z2270" s="82"/>
      <c r="AA2270" s="82"/>
      <c r="AB2270" s="82"/>
      <c r="AC2270" s="82"/>
      <c r="AD2270" s="82"/>
      <c r="AE2270" s="82"/>
      <c r="AF2270" s="82"/>
      <c r="AG2270" s="82"/>
      <c r="AH2270" s="82"/>
      <c r="AI2270" s="82"/>
      <c r="AJ2270" s="82"/>
      <c r="AK2270" s="82"/>
      <c r="AL2270" s="82"/>
      <c r="AM2270" s="82"/>
      <c r="AN2270" s="82"/>
      <c r="AO2270" s="82"/>
      <c r="AP2270" s="82"/>
      <c r="AQ2270" s="82"/>
      <c r="AR2270" s="82"/>
      <c r="AS2270" s="82"/>
      <c r="AT2270" s="82"/>
      <c r="AU2270" s="82"/>
      <c r="AV2270" s="82"/>
      <c r="AW2270" s="82" t="str">
        <f t="shared" si="1"/>
        <v/>
      </c>
      <c r="AX2270" s="83" t="str">
        <f t="array" ref="AX2270">IFERROR(DGET('SBV Import'!A:G,"SBV",{"RSC ID","Tier";B2270,A2270}))</f>
        <v/>
      </c>
      <c r="AY2270" s="82" t="str">
        <f t="shared" si="2"/>
        <v/>
      </c>
      <c r="AZ2270" s="82"/>
      <c r="BA2270" s="84" t="s">
        <v>152</v>
      </c>
      <c r="BB2270" s="84" t="str">
        <f>IFERROR(__xludf.DUMMYFUNCTION("iferror(if(A2270="""",,E2270&gt;=FILTER(Constants!$F$2:$F$10,Constants!$A$2:$A$10=A2270)))"),"")</f>
        <v/>
      </c>
    </row>
    <row r="2271">
      <c r="A2271" s="89"/>
      <c r="B2271" s="87"/>
      <c r="C2271" s="73"/>
      <c r="D2271" s="73"/>
      <c r="E2271" s="82"/>
      <c r="F2271" s="82"/>
      <c r="G2271" s="86"/>
      <c r="H2271" s="86"/>
      <c r="I2271" s="86"/>
      <c r="J2271" s="82"/>
      <c r="K2271" s="82"/>
      <c r="L2271" s="82"/>
      <c r="M2271" s="82"/>
      <c r="N2271" s="82"/>
      <c r="O2271" s="82"/>
      <c r="P2271" s="82"/>
      <c r="Q2271" s="82"/>
      <c r="R2271" s="82"/>
      <c r="S2271" s="82"/>
      <c r="T2271" s="82"/>
      <c r="U2271" s="82"/>
      <c r="V2271" s="82"/>
      <c r="W2271" s="82"/>
      <c r="X2271" s="82"/>
      <c r="Y2271" s="82"/>
      <c r="Z2271" s="82"/>
      <c r="AA2271" s="82"/>
      <c r="AB2271" s="82"/>
      <c r="AC2271" s="82"/>
      <c r="AD2271" s="82"/>
      <c r="AE2271" s="82"/>
      <c r="AF2271" s="82"/>
      <c r="AG2271" s="82"/>
      <c r="AH2271" s="82"/>
      <c r="AI2271" s="82"/>
      <c r="AJ2271" s="82"/>
      <c r="AK2271" s="82"/>
      <c r="AL2271" s="82"/>
      <c r="AM2271" s="82"/>
      <c r="AN2271" s="82"/>
      <c r="AO2271" s="82"/>
      <c r="AP2271" s="82"/>
      <c r="AQ2271" s="82"/>
      <c r="AR2271" s="82"/>
      <c r="AS2271" s="82"/>
      <c r="AT2271" s="82"/>
      <c r="AU2271" s="82"/>
      <c r="AV2271" s="82"/>
      <c r="AW2271" s="82" t="str">
        <f t="shared" si="1"/>
        <v/>
      </c>
      <c r="AX2271" s="83" t="str">
        <f t="array" ref="AX2271">IFERROR(DGET('SBV Import'!A:G,"SBV",{"RSC ID","Tier";B2271,A2271}))</f>
        <v/>
      </c>
      <c r="AY2271" s="82" t="str">
        <f t="shared" si="2"/>
        <v/>
      </c>
      <c r="AZ2271" s="82"/>
      <c r="BA2271" s="84" t="s">
        <v>152</v>
      </c>
      <c r="BB2271" s="84" t="str">
        <f>IFERROR(__xludf.DUMMYFUNCTION("iferror(if(A2271="""",,E2271&gt;=FILTER(Constants!$F$2:$F$10,Constants!$A$2:$A$10=A2271)))"),"")</f>
        <v/>
      </c>
    </row>
    <row r="2272">
      <c r="A2272" s="89"/>
      <c r="B2272" s="87"/>
      <c r="C2272" s="73"/>
      <c r="D2272" s="73"/>
      <c r="E2272" s="82"/>
      <c r="F2272" s="82"/>
      <c r="G2272" s="86"/>
      <c r="H2272" s="86"/>
      <c r="I2272" s="86"/>
      <c r="J2272" s="82"/>
      <c r="K2272" s="82"/>
      <c r="L2272" s="82"/>
      <c r="M2272" s="82"/>
      <c r="N2272" s="82"/>
      <c r="O2272" s="82"/>
      <c r="P2272" s="82"/>
      <c r="Q2272" s="82"/>
      <c r="R2272" s="82"/>
      <c r="S2272" s="82"/>
      <c r="T2272" s="82"/>
      <c r="U2272" s="82"/>
      <c r="V2272" s="82"/>
      <c r="W2272" s="82"/>
      <c r="X2272" s="82"/>
      <c r="Y2272" s="82"/>
      <c r="Z2272" s="82"/>
      <c r="AA2272" s="82"/>
      <c r="AB2272" s="82"/>
      <c r="AC2272" s="82"/>
      <c r="AD2272" s="82"/>
      <c r="AE2272" s="82"/>
      <c r="AF2272" s="82"/>
      <c r="AG2272" s="82"/>
      <c r="AH2272" s="82"/>
      <c r="AI2272" s="82"/>
      <c r="AJ2272" s="82"/>
      <c r="AK2272" s="82"/>
      <c r="AL2272" s="82"/>
      <c r="AM2272" s="82"/>
      <c r="AN2272" s="82"/>
      <c r="AO2272" s="82"/>
      <c r="AP2272" s="82"/>
      <c r="AQ2272" s="82"/>
      <c r="AR2272" s="82"/>
      <c r="AS2272" s="82"/>
      <c r="AT2272" s="82"/>
      <c r="AU2272" s="82"/>
      <c r="AV2272" s="82"/>
      <c r="AW2272" s="82" t="str">
        <f t="shared" si="1"/>
        <v/>
      </c>
      <c r="AX2272" s="83" t="str">
        <f t="array" ref="AX2272">IFERROR(DGET('SBV Import'!A:G,"SBV",{"RSC ID","Tier";B2272,A2272}))</f>
        <v/>
      </c>
      <c r="AY2272" s="82" t="str">
        <f t="shared" si="2"/>
        <v/>
      </c>
      <c r="AZ2272" s="82"/>
      <c r="BA2272" s="84" t="s">
        <v>152</v>
      </c>
      <c r="BB2272" s="84" t="str">
        <f>IFERROR(__xludf.DUMMYFUNCTION("iferror(if(A2272="""",,E2272&gt;=FILTER(Constants!$F$2:$F$10,Constants!$A$2:$A$10=A2272)))"),"")</f>
        <v/>
      </c>
    </row>
    <row r="2273">
      <c r="A2273" s="89"/>
      <c r="B2273" s="87"/>
      <c r="C2273" s="73"/>
      <c r="D2273" s="73"/>
      <c r="E2273" s="82"/>
      <c r="F2273" s="82"/>
      <c r="G2273" s="86"/>
      <c r="H2273" s="86"/>
      <c r="I2273" s="86"/>
      <c r="J2273" s="82"/>
      <c r="K2273" s="82"/>
      <c r="L2273" s="82"/>
      <c r="M2273" s="82"/>
      <c r="N2273" s="82"/>
      <c r="O2273" s="82"/>
      <c r="P2273" s="82"/>
      <c r="Q2273" s="82"/>
      <c r="R2273" s="82"/>
      <c r="S2273" s="82"/>
      <c r="T2273" s="82"/>
      <c r="U2273" s="82"/>
      <c r="V2273" s="82"/>
      <c r="W2273" s="82"/>
      <c r="X2273" s="82"/>
      <c r="Y2273" s="82"/>
      <c r="Z2273" s="82"/>
      <c r="AA2273" s="82"/>
      <c r="AB2273" s="82"/>
      <c r="AC2273" s="82"/>
      <c r="AD2273" s="82"/>
      <c r="AE2273" s="82"/>
      <c r="AF2273" s="82"/>
      <c r="AG2273" s="82"/>
      <c r="AH2273" s="82"/>
      <c r="AI2273" s="82"/>
      <c r="AJ2273" s="82"/>
      <c r="AK2273" s="82"/>
      <c r="AL2273" s="82"/>
      <c r="AM2273" s="82"/>
      <c r="AN2273" s="82"/>
      <c r="AO2273" s="82"/>
      <c r="AP2273" s="82"/>
      <c r="AQ2273" s="82"/>
      <c r="AR2273" s="82"/>
      <c r="AS2273" s="82"/>
      <c r="AT2273" s="82"/>
      <c r="AU2273" s="82"/>
      <c r="AV2273" s="82"/>
      <c r="AW2273" s="82" t="str">
        <f t="shared" si="1"/>
        <v/>
      </c>
      <c r="AX2273" s="83" t="str">
        <f t="array" ref="AX2273">IFERROR(DGET('SBV Import'!A:G,"SBV",{"RSC ID","Tier";B2273,A2273}))</f>
        <v/>
      </c>
      <c r="AY2273" s="82" t="str">
        <f t="shared" si="2"/>
        <v/>
      </c>
      <c r="AZ2273" s="82"/>
      <c r="BA2273" s="84" t="s">
        <v>152</v>
      </c>
      <c r="BB2273" s="84" t="str">
        <f>IFERROR(__xludf.DUMMYFUNCTION("iferror(if(A2273="""",,E2273&gt;=FILTER(Constants!$F$2:$F$10,Constants!$A$2:$A$10=A2273)))"),"")</f>
        <v/>
      </c>
    </row>
    <row r="2274">
      <c r="A2274" s="89"/>
      <c r="B2274" s="87"/>
      <c r="C2274" s="73"/>
      <c r="D2274" s="73"/>
      <c r="E2274" s="82"/>
      <c r="F2274" s="82"/>
      <c r="G2274" s="86"/>
      <c r="H2274" s="86"/>
      <c r="I2274" s="86"/>
      <c r="J2274" s="82"/>
      <c r="K2274" s="82"/>
      <c r="L2274" s="82"/>
      <c r="M2274" s="82"/>
      <c r="N2274" s="82"/>
      <c r="O2274" s="82"/>
      <c r="P2274" s="82"/>
      <c r="Q2274" s="82"/>
      <c r="R2274" s="82"/>
      <c r="S2274" s="82"/>
      <c r="T2274" s="82"/>
      <c r="U2274" s="82"/>
      <c r="V2274" s="82"/>
      <c r="W2274" s="82"/>
      <c r="X2274" s="82"/>
      <c r="Y2274" s="82"/>
      <c r="Z2274" s="82"/>
      <c r="AA2274" s="82"/>
      <c r="AB2274" s="82"/>
      <c r="AC2274" s="82"/>
      <c r="AD2274" s="82"/>
      <c r="AE2274" s="82"/>
      <c r="AF2274" s="82"/>
      <c r="AG2274" s="82"/>
      <c r="AH2274" s="82"/>
      <c r="AI2274" s="82"/>
      <c r="AJ2274" s="82"/>
      <c r="AK2274" s="82"/>
      <c r="AL2274" s="82"/>
      <c r="AM2274" s="82"/>
      <c r="AN2274" s="82"/>
      <c r="AO2274" s="82"/>
      <c r="AP2274" s="82"/>
      <c r="AQ2274" s="82"/>
      <c r="AR2274" s="82"/>
      <c r="AS2274" s="82"/>
      <c r="AT2274" s="82"/>
      <c r="AU2274" s="82"/>
      <c r="AV2274" s="82"/>
      <c r="AW2274" s="82" t="str">
        <f t="shared" si="1"/>
        <v/>
      </c>
      <c r="AX2274" s="83" t="str">
        <f t="array" ref="AX2274">IFERROR(DGET('SBV Import'!A:G,"SBV",{"RSC ID","Tier";B2274,A2274}))</f>
        <v/>
      </c>
      <c r="AY2274" s="82" t="str">
        <f t="shared" si="2"/>
        <v/>
      </c>
      <c r="AZ2274" s="82"/>
      <c r="BA2274" s="84" t="s">
        <v>152</v>
      </c>
      <c r="BB2274" s="84" t="str">
        <f>IFERROR(__xludf.DUMMYFUNCTION("iferror(if(A2274="""",,E2274&gt;=FILTER(Constants!$F$2:$F$10,Constants!$A$2:$A$10=A2274)))"),"")</f>
        <v/>
      </c>
    </row>
    <row r="2275">
      <c r="A2275" s="89"/>
      <c r="B2275" s="87"/>
      <c r="C2275" s="73"/>
      <c r="D2275" s="73"/>
      <c r="E2275" s="82"/>
      <c r="F2275" s="82"/>
      <c r="G2275" s="86"/>
      <c r="H2275" s="86"/>
      <c r="I2275" s="86"/>
      <c r="J2275" s="82"/>
      <c r="K2275" s="82"/>
      <c r="L2275" s="82"/>
      <c r="M2275" s="82"/>
      <c r="N2275" s="82"/>
      <c r="O2275" s="82"/>
      <c r="P2275" s="82"/>
      <c r="Q2275" s="82"/>
      <c r="R2275" s="82"/>
      <c r="S2275" s="82"/>
      <c r="T2275" s="82"/>
      <c r="U2275" s="82"/>
      <c r="V2275" s="82"/>
      <c r="W2275" s="82"/>
      <c r="X2275" s="82"/>
      <c r="Y2275" s="82"/>
      <c r="Z2275" s="82"/>
      <c r="AA2275" s="82"/>
      <c r="AB2275" s="82"/>
      <c r="AC2275" s="82"/>
      <c r="AD2275" s="82"/>
      <c r="AE2275" s="82"/>
      <c r="AF2275" s="82"/>
      <c r="AG2275" s="82"/>
      <c r="AH2275" s="82"/>
      <c r="AI2275" s="82"/>
      <c r="AJ2275" s="82"/>
      <c r="AK2275" s="82"/>
      <c r="AL2275" s="82"/>
      <c r="AM2275" s="82"/>
      <c r="AN2275" s="82"/>
      <c r="AO2275" s="82"/>
      <c r="AP2275" s="82"/>
      <c r="AQ2275" s="82"/>
      <c r="AR2275" s="82"/>
      <c r="AS2275" s="82"/>
      <c r="AT2275" s="82"/>
      <c r="AU2275" s="82"/>
      <c r="AV2275" s="82"/>
      <c r="AW2275" s="82" t="str">
        <f t="shared" si="1"/>
        <v/>
      </c>
      <c r="AX2275" s="83" t="str">
        <f t="array" ref="AX2275">IFERROR(DGET('SBV Import'!A:G,"SBV",{"RSC ID","Tier";B2275,A2275}))</f>
        <v/>
      </c>
      <c r="AY2275" s="82" t="str">
        <f t="shared" si="2"/>
        <v/>
      </c>
      <c r="AZ2275" s="82"/>
      <c r="BA2275" s="84" t="s">
        <v>152</v>
      </c>
      <c r="BB2275" s="84" t="str">
        <f>IFERROR(__xludf.DUMMYFUNCTION("iferror(if(A2275="""",,E2275&gt;=FILTER(Constants!$F$2:$F$10,Constants!$A$2:$A$10=A2275)))"),"")</f>
        <v/>
      </c>
    </row>
    <row r="2276">
      <c r="A2276" s="89"/>
      <c r="B2276" s="87"/>
      <c r="C2276" s="73"/>
      <c r="D2276" s="73"/>
      <c r="E2276" s="82"/>
      <c r="F2276" s="82"/>
      <c r="G2276" s="86"/>
      <c r="H2276" s="86"/>
      <c r="I2276" s="86"/>
      <c r="J2276" s="82"/>
      <c r="K2276" s="82"/>
      <c r="L2276" s="82"/>
      <c r="M2276" s="82"/>
      <c r="N2276" s="82"/>
      <c r="O2276" s="82"/>
      <c r="P2276" s="82"/>
      <c r="Q2276" s="82"/>
      <c r="R2276" s="82"/>
      <c r="S2276" s="82"/>
      <c r="T2276" s="82"/>
      <c r="U2276" s="82"/>
      <c r="V2276" s="82"/>
      <c r="W2276" s="82"/>
      <c r="X2276" s="82"/>
      <c r="Y2276" s="82"/>
      <c r="Z2276" s="82"/>
      <c r="AA2276" s="82"/>
      <c r="AB2276" s="82"/>
      <c r="AC2276" s="82"/>
      <c r="AD2276" s="82"/>
      <c r="AE2276" s="82"/>
      <c r="AF2276" s="82"/>
      <c r="AG2276" s="82"/>
      <c r="AH2276" s="82"/>
      <c r="AI2276" s="82"/>
      <c r="AJ2276" s="82"/>
      <c r="AK2276" s="82"/>
      <c r="AL2276" s="82"/>
      <c r="AM2276" s="82"/>
      <c r="AN2276" s="82"/>
      <c r="AO2276" s="82"/>
      <c r="AP2276" s="82"/>
      <c r="AQ2276" s="82"/>
      <c r="AR2276" s="82"/>
      <c r="AS2276" s="82"/>
      <c r="AT2276" s="82"/>
      <c r="AU2276" s="82"/>
      <c r="AV2276" s="82"/>
      <c r="AW2276" s="82" t="str">
        <f t="shared" si="1"/>
        <v/>
      </c>
      <c r="AX2276" s="83" t="str">
        <f t="array" ref="AX2276">IFERROR(DGET('SBV Import'!A:G,"SBV",{"RSC ID","Tier";B2276,A2276}))</f>
        <v/>
      </c>
      <c r="AY2276" s="82" t="str">
        <f t="shared" si="2"/>
        <v/>
      </c>
      <c r="AZ2276" s="82"/>
      <c r="BA2276" s="84" t="s">
        <v>152</v>
      </c>
      <c r="BB2276" s="84" t="str">
        <f>IFERROR(__xludf.DUMMYFUNCTION("iferror(if(A2276="""",,E2276&gt;=FILTER(Constants!$F$2:$F$10,Constants!$A$2:$A$10=A2276)))"),"")</f>
        <v/>
      </c>
    </row>
    <row r="2277">
      <c r="A2277" s="89"/>
      <c r="B2277" s="87"/>
      <c r="C2277" s="73"/>
      <c r="D2277" s="73"/>
      <c r="E2277" s="82"/>
      <c r="F2277" s="82"/>
      <c r="G2277" s="86"/>
      <c r="H2277" s="86"/>
      <c r="I2277" s="86"/>
      <c r="J2277" s="82"/>
      <c r="K2277" s="82"/>
      <c r="L2277" s="82"/>
      <c r="M2277" s="82"/>
      <c r="N2277" s="82"/>
      <c r="O2277" s="82"/>
      <c r="P2277" s="82"/>
      <c r="Q2277" s="82"/>
      <c r="R2277" s="82"/>
      <c r="S2277" s="82"/>
      <c r="T2277" s="82"/>
      <c r="U2277" s="82"/>
      <c r="V2277" s="82"/>
      <c r="W2277" s="82"/>
      <c r="X2277" s="82"/>
      <c r="Y2277" s="82"/>
      <c r="Z2277" s="82"/>
      <c r="AA2277" s="82"/>
      <c r="AB2277" s="82"/>
      <c r="AC2277" s="82"/>
      <c r="AD2277" s="82"/>
      <c r="AE2277" s="82"/>
      <c r="AF2277" s="82"/>
      <c r="AG2277" s="82"/>
      <c r="AH2277" s="82"/>
      <c r="AI2277" s="82"/>
      <c r="AJ2277" s="82"/>
      <c r="AK2277" s="82"/>
      <c r="AL2277" s="82"/>
      <c r="AM2277" s="82"/>
      <c r="AN2277" s="82"/>
      <c r="AO2277" s="82"/>
      <c r="AP2277" s="82"/>
      <c r="AQ2277" s="82"/>
      <c r="AR2277" s="82"/>
      <c r="AS2277" s="82"/>
      <c r="AT2277" s="82"/>
      <c r="AU2277" s="82"/>
      <c r="AV2277" s="82"/>
      <c r="AW2277" s="82" t="str">
        <f t="shared" si="1"/>
        <v/>
      </c>
      <c r="AX2277" s="83" t="str">
        <f t="array" ref="AX2277">IFERROR(DGET('SBV Import'!A:G,"SBV",{"RSC ID","Tier";B2277,A2277}))</f>
        <v/>
      </c>
      <c r="AY2277" s="82" t="str">
        <f t="shared" si="2"/>
        <v/>
      </c>
      <c r="AZ2277" s="82"/>
      <c r="BA2277" s="84" t="s">
        <v>152</v>
      </c>
      <c r="BB2277" s="84" t="str">
        <f>IFERROR(__xludf.DUMMYFUNCTION("iferror(if(A2277="""",,E2277&gt;=FILTER(Constants!$F$2:$F$10,Constants!$A$2:$A$10=A2277)))"),"")</f>
        <v/>
      </c>
    </row>
    <row r="2278">
      <c r="A2278" s="89"/>
      <c r="B2278" s="87"/>
      <c r="C2278" s="73"/>
      <c r="D2278" s="73"/>
      <c r="E2278" s="82"/>
      <c r="F2278" s="82"/>
      <c r="G2278" s="86"/>
      <c r="H2278" s="86"/>
      <c r="I2278" s="86"/>
      <c r="J2278" s="82"/>
      <c r="K2278" s="82"/>
      <c r="L2278" s="82"/>
      <c r="M2278" s="82"/>
      <c r="N2278" s="82"/>
      <c r="O2278" s="82"/>
      <c r="P2278" s="82"/>
      <c r="Q2278" s="82"/>
      <c r="R2278" s="82"/>
      <c r="S2278" s="82"/>
      <c r="T2278" s="82"/>
      <c r="U2278" s="82"/>
      <c r="V2278" s="82"/>
      <c r="W2278" s="82"/>
      <c r="X2278" s="82"/>
      <c r="Y2278" s="82"/>
      <c r="Z2278" s="82"/>
      <c r="AA2278" s="82"/>
      <c r="AB2278" s="82"/>
      <c r="AC2278" s="82"/>
      <c r="AD2278" s="82"/>
      <c r="AE2278" s="82"/>
      <c r="AF2278" s="82"/>
      <c r="AG2278" s="82"/>
      <c r="AH2278" s="82"/>
      <c r="AI2278" s="82"/>
      <c r="AJ2278" s="82"/>
      <c r="AK2278" s="82"/>
      <c r="AL2278" s="82"/>
      <c r="AM2278" s="82"/>
      <c r="AN2278" s="82"/>
      <c r="AO2278" s="82"/>
      <c r="AP2278" s="82"/>
      <c r="AQ2278" s="82"/>
      <c r="AR2278" s="82"/>
      <c r="AS2278" s="82"/>
      <c r="AT2278" s="82"/>
      <c r="AU2278" s="82"/>
      <c r="AV2278" s="82"/>
      <c r="AW2278" s="82" t="str">
        <f t="shared" si="1"/>
        <v/>
      </c>
      <c r="AX2278" s="83" t="str">
        <f t="array" ref="AX2278">IFERROR(DGET('SBV Import'!A:G,"SBV",{"RSC ID","Tier";B2278,A2278}))</f>
        <v/>
      </c>
      <c r="AY2278" s="82" t="str">
        <f t="shared" si="2"/>
        <v/>
      </c>
      <c r="AZ2278" s="82"/>
      <c r="BA2278" s="84" t="s">
        <v>152</v>
      </c>
      <c r="BB2278" s="84" t="str">
        <f>IFERROR(__xludf.DUMMYFUNCTION("iferror(if(A2278="""",,E2278&gt;=FILTER(Constants!$F$2:$F$10,Constants!$A$2:$A$10=A2278)))"),"")</f>
        <v/>
      </c>
    </row>
    <row r="2279">
      <c r="A2279" s="89"/>
      <c r="B2279" s="87"/>
      <c r="C2279" s="73"/>
      <c r="D2279" s="73"/>
      <c r="E2279" s="82"/>
      <c r="F2279" s="82"/>
      <c r="G2279" s="86"/>
      <c r="H2279" s="86"/>
      <c r="I2279" s="86"/>
      <c r="J2279" s="82"/>
      <c r="K2279" s="82"/>
      <c r="L2279" s="82"/>
      <c r="M2279" s="82"/>
      <c r="N2279" s="82"/>
      <c r="O2279" s="82"/>
      <c r="P2279" s="82"/>
      <c r="Q2279" s="82"/>
      <c r="R2279" s="82"/>
      <c r="S2279" s="82"/>
      <c r="T2279" s="82"/>
      <c r="U2279" s="82"/>
      <c r="V2279" s="82"/>
      <c r="W2279" s="82"/>
      <c r="X2279" s="82"/>
      <c r="Y2279" s="82"/>
      <c r="Z2279" s="82"/>
      <c r="AA2279" s="82"/>
      <c r="AB2279" s="82"/>
      <c r="AC2279" s="82"/>
      <c r="AD2279" s="82"/>
      <c r="AE2279" s="82"/>
      <c r="AF2279" s="82"/>
      <c r="AG2279" s="82"/>
      <c r="AH2279" s="82"/>
      <c r="AI2279" s="82"/>
      <c r="AJ2279" s="82"/>
      <c r="AK2279" s="82"/>
      <c r="AL2279" s="82"/>
      <c r="AM2279" s="82"/>
      <c r="AN2279" s="82"/>
      <c r="AO2279" s="82"/>
      <c r="AP2279" s="82"/>
      <c r="AQ2279" s="82"/>
      <c r="AR2279" s="82"/>
      <c r="AS2279" s="82"/>
      <c r="AT2279" s="82"/>
      <c r="AU2279" s="82"/>
      <c r="AV2279" s="82"/>
      <c r="AW2279" s="82" t="str">
        <f t="shared" si="1"/>
        <v/>
      </c>
      <c r="AX2279" s="83" t="str">
        <f t="array" ref="AX2279">IFERROR(DGET('SBV Import'!A:G,"SBV",{"RSC ID","Tier";B2279,A2279}))</f>
        <v/>
      </c>
      <c r="AY2279" s="82" t="str">
        <f t="shared" si="2"/>
        <v/>
      </c>
      <c r="AZ2279" s="82"/>
      <c r="BA2279" s="84" t="s">
        <v>152</v>
      </c>
      <c r="BB2279" s="84" t="str">
        <f>IFERROR(__xludf.DUMMYFUNCTION("iferror(if(A2279="""",,E2279&gt;=FILTER(Constants!$F$2:$F$10,Constants!$A$2:$A$10=A2279)))"),"")</f>
        <v/>
      </c>
    </row>
    <row r="2280">
      <c r="A2280" s="89"/>
      <c r="B2280" s="87"/>
      <c r="C2280" s="73"/>
      <c r="D2280" s="73"/>
      <c r="E2280" s="82"/>
      <c r="F2280" s="82"/>
      <c r="G2280" s="86"/>
      <c r="H2280" s="86"/>
      <c r="I2280" s="86"/>
      <c r="J2280" s="82"/>
      <c r="K2280" s="82"/>
      <c r="L2280" s="82"/>
      <c r="M2280" s="82"/>
      <c r="N2280" s="82"/>
      <c r="O2280" s="82"/>
      <c r="P2280" s="82"/>
      <c r="Q2280" s="82"/>
      <c r="R2280" s="82"/>
      <c r="S2280" s="82"/>
      <c r="T2280" s="82"/>
      <c r="U2280" s="82"/>
      <c r="V2280" s="82"/>
      <c r="W2280" s="82"/>
      <c r="X2280" s="82"/>
      <c r="Y2280" s="82"/>
      <c r="Z2280" s="82"/>
      <c r="AA2280" s="82"/>
      <c r="AB2280" s="82"/>
      <c r="AC2280" s="82"/>
      <c r="AD2280" s="82"/>
      <c r="AE2280" s="82"/>
      <c r="AF2280" s="82"/>
      <c r="AG2280" s="82"/>
      <c r="AH2280" s="82"/>
      <c r="AI2280" s="82"/>
      <c r="AJ2280" s="82"/>
      <c r="AK2280" s="82"/>
      <c r="AL2280" s="82"/>
      <c r="AM2280" s="82"/>
      <c r="AN2280" s="82"/>
      <c r="AO2280" s="82"/>
      <c r="AP2280" s="82"/>
      <c r="AQ2280" s="82"/>
      <c r="AR2280" s="82"/>
      <c r="AS2280" s="82"/>
      <c r="AT2280" s="82"/>
      <c r="AU2280" s="82"/>
      <c r="AV2280" s="82"/>
      <c r="AW2280" s="82" t="str">
        <f t="shared" si="1"/>
        <v/>
      </c>
      <c r="AX2280" s="83" t="str">
        <f t="array" ref="AX2280">IFERROR(DGET('SBV Import'!A:G,"SBV",{"RSC ID","Tier";B2280,A2280}))</f>
        <v/>
      </c>
      <c r="AY2280" s="82" t="str">
        <f t="shared" si="2"/>
        <v/>
      </c>
      <c r="AZ2280" s="82"/>
      <c r="BA2280" s="84" t="s">
        <v>152</v>
      </c>
      <c r="BB2280" s="84" t="str">
        <f>IFERROR(__xludf.DUMMYFUNCTION("iferror(if(A2280="""",,E2280&gt;=FILTER(Constants!$F$2:$F$10,Constants!$A$2:$A$10=A2280)))"),"")</f>
        <v/>
      </c>
    </row>
    <row r="2281">
      <c r="A2281" s="89"/>
      <c r="B2281" s="87"/>
      <c r="C2281" s="73"/>
      <c r="D2281" s="73"/>
      <c r="E2281" s="82"/>
      <c r="F2281" s="82"/>
      <c r="G2281" s="86"/>
      <c r="H2281" s="86"/>
      <c r="I2281" s="86"/>
      <c r="J2281" s="82"/>
      <c r="K2281" s="82"/>
      <c r="L2281" s="82"/>
      <c r="M2281" s="82"/>
      <c r="N2281" s="82"/>
      <c r="O2281" s="82"/>
      <c r="P2281" s="82"/>
      <c r="Q2281" s="82"/>
      <c r="R2281" s="82"/>
      <c r="S2281" s="82"/>
      <c r="T2281" s="82"/>
      <c r="U2281" s="82"/>
      <c r="V2281" s="82"/>
      <c r="W2281" s="82"/>
      <c r="X2281" s="82"/>
      <c r="Y2281" s="82"/>
      <c r="Z2281" s="82"/>
      <c r="AA2281" s="82"/>
      <c r="AB2281" s="82"/>
      <c r="AC2281" s="82"/>
      <c r="AD2281" s="82"/>
      <c r="AE2281" s="82"/>
      <c r="AF2281" s="82"/>
      <c r="AG2281" s="82"/>
      <c r="AH2281" s="82"/>
      <c r="AI2281" s="82"/>
      <c r="AJ2281" s="82"/>
      <c r="AK2281" s="82"/>
      <c r="AL2281" s="82"/>
      <c r="AM2281" s="82"/>
      <c r="AN2281" s="82"/>
      <c r="AO2281" s="82"/>
      <c r="AP2281" s="82"/>
      <c r="AQ2281" s="82"/>
      <c r="AR2281" s="82"/>
      <c r="AS2281" s="82"/>
      <c r="AT2281" s="82"/>
      <c r="AU2281" s="82"/>
      <c r="AV2281" s="82"/>
      <c r="AW2281" s="82" t="str">
        <f t="shared" si="1"/>
        <v/>
      </c>
      <c r="AX2281" s="83" t="str">
        <f t="array" ref="AX2281">IFERROR(DGET('SBV Import'!A:G,"SBV",{"RSC ID","Tier";B2281,A2281}))</f>
        <v/>
      </c>
      <c r="AY2281" s="82" t="str">
        <f t="shared" si="2"/>
        <v/>
      </c>
      <c r="AZ2281" s="82"/>
      <c r="BA2281" s="84" t="s">
        <v>152</v>
      </c>
      <c r="BB2281" s="84" t="str">
        <f>IFERROR(__xludf.DUMMYFUNCTION("iferror(if(A2281="""",,E2281&gt;=FILTER(Constants!$F$2:$F$10,Constants!$A$2:$A$10=A2281)))"),"")</f>
        <v/>
      </c>
    </row>
    <row r="2282">
      <c r="A2282" s="89"/>
      <c r="B2282" s="87"/>
      <c r="C2282" s="73"/>
      <c r="D2282" s="73"/>
      <c r="E2282" s="82"/>
      <c r="F2282" s="82"/>
      <c r="G2282" s="86"/>
      <c r="H2282" s="86"/>
      <c r="I2282" s="86"/>
      <c r="J2282" s="82"/>
      <c r="K2282" s="82"/>
      <c r="L2282" s="82"/>
      <c r="M2282" s="82"/>
      <c r="N2282" s="82"/>
      <c r="O2282" s="82"/>
      <c r="P2282" s="82"/>
      <c r="Q2282" s="82"/>
      <c r="R2282" s="82"/>
      <c r="S2282" s="82"/>
      <c r="T2282" s="82"/>
      <c r="U2282" s="82"/>
      <c r="V2282" s="82"/>
      <c r="W2282" s="82"/>
      <c r="X2282" s="82"/>
      <c r="Y2282" s="82"/>
      <c r="Z2282" s="82"/>
      <c r="AA2282" s="82"/>
      <c r="AB2282" s="82"/>
      <c r="AC2282" s="82"/>
      <c r="AD2282" s="82"/>
      <c r="AE2282" s="82"/>
      <c r="AF2282" s="82"/>
      <c r="AG2282" s="82"/>
      <c r="AH2282" s="82"/>
      <c r="AI2282" s="82"/>
      <c r="AJ2282" s="82"/>
      <c r="AK2282" s="82"/>
      <c r="AL2282" s="82"/>
      <c r="AM2282" s="82"/>
      <c r="AN2282" s="82"/>
      <c r="AO2282" s="82"/>
      <c r="AP2282" s="82"/>
      <c r="AQ2282" s="82"/>
      <c r="AR2282" s="82"/>
      <c r="AS2282" s="82"/>
      <c r="AT2282" s="82"/>
      <c r="AU2282" s="82"/>
      <c r="AV2282" s="82"/>
      <c r="AW2282" s="82" t="str">
        <f t="shared" si="1"/>
        <v/>
      </c>
      <c r="AX2282" s="83" t="str">
        <f t="array" ref="AX2282">IFERROR(DGET('SBV Import'!A:G,"SBV",{"RSC ID","Tier";B2282,A2282}))</f>
        <v/>
      </c>
      <c r="AY2282" s="82" t="str">
        <f t="shared" si="2"/>
        <v/>
      </c>
      <c r="AZ2282" s="82"/>
      <c r="BA2282" s="84" t="s">
        <v>152</v>
      </c>
      <c r="BB2282" s="84" t="str">
        <f>IFERROR(__xludf.DUMMYFUNCTION("iferror(if(A2282="""",,E2282&gt;=FILTER(Constants!$F$2:$F$10,Constants!$A$2:$A$10=A2282)))"),"")</f>
        <v/>
      </c>
    </row>
    <row r="2283">
      <c r="A2283" s="89"/>
      <c r="B2283" s="87"/>
      <c r="C2283" s="73"/>
      <c r="D2283" s="73"/>
      <c r="E2283" s="82"/>
      <c r="F2283" s="82"/>
      <c r="G2283" s="86"/>
      <c r="H2283" s="86"/>
      <c r="I2283" s="86"/>
      <c r="J2283" s="82"/>
      <c r="K2283" s="82"/>
      <c r="L2283" s="82"/>
      <c r="M2283" s="82"/>
      <c r="N2283" s="82"/>
      <c r="O2283" s="82"/>
      <c r="P2283" s="82"/>
      <c r="Q2283" s="82"/>
      <c r="R2283" s="82"/>
      <c r="S2283" s="82"/>
      <c r="T2283" s="82"/>
      <c r="U2283" s="82"/>
      <c r="V2283" s="82"/>
      <c r="W2283" s="82"/>
      <c r="X2283" s="82"/>
      <c r="Y2283" s="82"/>
      <c r="Z2283" s="82"/>
      <c r="AA2283" s="82"/>
      <c r="AB2283" s="82"/>
      <c r="AC2283" s="82"/>
      <c r="AD2283" s="82"/>
      <c r="AE2283" s="82"/>
      <c r="AF2283" s="82"/>
      <c r="AG2283" s="82"/>
      <c r="AH2283" s="82"/>
      <c r="AI2283" s="82"/>
      <c r="AJ2283" s="82"/>
      <c r="AK2283" s="82"/>
      <c r="AL2283" s="82"/>
      <c r="AM2283" s="82"/>
      <c r="AN2283" s="82"/>
      <c r="AO2283" s="82"/>
      <c r="AP2283" s="82"/>
      <c r="AQ2283" s="82"/>
      <c r="AR2283" s="82"/>
      <c r="AS2283" s="82"/>
      <c r="AT2283" s="82"/>
      <c r="AU2283" s="82"/>
      <c r="AV2283" s="82"/>
      <c r="AW2283" s="82" t="str">
        <f t="shared" si="1"/>
        <v/>
      </c>
      <c r="AX2283" s="83" t="str">
        <f t="array" ref="AX2283">IFERROR(DGET('SBV Import'!A:G,"SBV",{"RSC ID","Tier";B2283,A2283}))</f>
        <v/>
      </c>
      <c r="AY2283" s="82" t="str">
        <f t="shared" si="2"/>
        <v/>
      </c>
      <c r="AZ2283" s="82"/>
      <c r="BA2283" s="84" t="s">
        <v>152</v>
      </c>
      <c r="BB2283" s="84" t="str">
        <f>IFERROR(__xludf.DUMMYFUNCTION("iferror(if(A2283="""",,E2283&gt;=FILTER(Constants!$F$2:$F$10,Constants!$A$2:$A$10=A2283)))"),"")</f>
        <v/>
      </c>
    </row>
    <row r="2284">
      <c r="A2284" s="89"/>
      <c r="B2284" s="87"/>
      <c r="C2284" s="73"/>
      <c r="D2284" s="73"/>
      <c r="E2284" s="82"/>
      <c r="F2284" s="82"/>
      <c r="G2284" s="86"/>
      <c r="H2284" s="86"/>
      <c r="I2284" s="86"/>
      <c r="J2284" s="82"/>
      <c r="K2284" s="82"/>
      <c r="L2284" s="82"/>
      <c r="M2284" s="82"/>
      <c r="N2284" s="82"/>
      <c r="O2284" s="82"/>
      <c r="P2284" s="82"/>
      <c r="Q2284" s="82"/>
      <c r="R2284" s="82"/>
      <c r="S2284" s="82"/>
      <c r="T2284" s="82"/>
      <c r="U2284" s="82"/>
      <c r="V2284" s="82"/>
      <c r="W2284" s="82"/>
      <c r="X2284" s="82"/>
      <c r="Y2284" s="82"/>
      <c r="Z2284" s="82"/>
      <c r="AA2284" s="82"/>
      <c r="AB2284" s="82"/>
      <c r="AC2284" s="82"/>
      <c r="AD2284" s="82"/>
      <c r="AE2284" s="82"/>
      <c r="AF2284" s="82"/>
      <c r="AG2284" s="82"/>
      <c r="AH2284" s="82"/>
      <c r="AI2284" s="82"/>
      <c r="AJ2284" s="82"/>
      <c r="AK2284" s="82"/>
      <c r="AL2284" s="82"/>
      <c r="AM2284" s="82"/>
      <c r="AN2284" s="82"/>
      <c r="AO2284" s="82"/>
      <c r="AP2284" s="82"/>
      <c r="AQ2284" s="82"/>
      <c r="AR2284" s="82"/>
      <c r="AS2284" s="82"/>
      <c r="AT2284" s="82"/>
      <c r="AU2284" s="82"/>
      <c r="AV2284" s="82"/>
      <c r="AW2284" s="82" t="str">
        <f t="shared" si="1"/>
        <v/>
      </c>
      <c r="AX2284" s="83" t="str">
        <f t="array" ref="AX2284">IFERROR(DGET('SBV Import'!A:G,"SBV",{"RSC ID","Tier";B2284,A2284}))</f>
        <v/>
      </c>
      <c r="AY2284" s="82" t="str">
        <f t="shared" si="2"/>
        <v/>
      </c>
      <c r="AZ2284" s="82"/>
      <c r="BA2284" s="84" t="s">
        <v>152</v>
      </c>
      <c r="BB2284" s="84" t="str">
        <f>IFERROR(__xludf.DUMMYFUNCTION("iferror(if(A2284="""",,E2284&gt;=FILTER(Constants!$F$2:$F$10,Constants!$A$2:$A$10=A2284)))"),"")</f>
        <v/>
      </c>
    </row>
    <row r="2285">
      <c r="A2285" s="89"/>
      <c r="B2285" s="87"/>
      <c r="C2285" s="73"/>
      <c r="D2285" s="73"/>
      <c r="E2285" s="82"/>
      <c r="F2285" s="82"/>
      <c r="G2285" s="86"/>
      <c r="H2285" s="86"/>
      <c r="I2285" s="86"/>
      <c r="J2285" s="82"/>
      <c r="K2285" s="82"/>
      <c r="L2285" s="82"/>
      <c r="M2285" s="82"/>
      <c r="N2285" s="82"/>
      <c r="O2285" s="82"/>
      <c r="P2285" s="82"/>
      <c r="Q2285" s="82"/>
      <c r="R2285" s="82"/>
      <c r="S2285" s="82"/>
      <c r="T2285" s="82"/>
      <c r="U2285" s="82"/>
      <c r="V2285" s="82"/>
      <c r="W2285" s="82"/>
      <c r="X2285" s="82"/>
      <c r="Y2285" s="82"/>
      <c r="Z2285" s="82"/>
      <c r="AA2285" s="82"/>
      <c r="AB2285" s="82"/>
      <c r="AC2285" s="82"/>
      <c r="AD2285" s="82"/>
      <c r="AE2285" s="82"/>
      <c r="AF2285" s="82"/>
      <c r="AG2285" s="82"/>
      <c r="AH2285" s="82"/>
      <c r="AI2285" s="82"/>
      <c r="AJ2285" s="82"/>
      <c r="AK2285" s="82"/>
      <c r="AL2285" s="82"/>
      <c r="AM2285" s="82"/>
      <c r="AN2285" s="82"/>
      <c r="AO2285" s="82"/>
      <c r="AP2285" s="82"/>
      <c r="AQ2285" s="82"/>
      <c r="AR2285" s="82"/>
      <c r="AS2285" s="82"/>
      <c r="AT2285" s="82"/>
      <c r="AU2285" s="82"/>
      <c r="AV2285" s="82"/>
      <c r="AW2285" s="82" t="str">
        <f t="shared" si="1"/>
        <v/>
      </c>
      <c r="AX2285" s="83" t="str">
        <f t="array" ref="AX2285">IFERROR(DGET('SBV Import'!A:G,"SBV",{"RSC ID","Tier";B2285,A2285}))</f>
        <v/>
      </c>
      <c r="AY2285" s="82" t="str">
        <f t="shared" si="2"/>
        <v/>
      </c>
      <c r="AZ2285" s="82"/>
      <c r="BA2285" s="84" t="s">
        <v>152</v>
      </c>
      <c r="BB2285" s="84" t="str">
        <f>IFERROR(__xludf.DUMMYFUNCTION("iferror(if(A2285="""",,E2285&gt;=FILTER(Constants!$F$2:$F$10,Constants!$A$2:$A$10=A2285)))"),"")</f>
        <v/>
      </c>
    </row>
    <row r="2286">
      <c r="A2286" s="89"/>
      <c r="B2286" s="87"/>
      <c r="C2286" s="73"/>
      <c r="D2286" s="73"/>
      <c r="E2286" s="82"/>
      <c r="F2286" s="82"/>
      <c r="G2286" s="86"/>
      <c r="H2286" s="86"/>
      <c r="I2286" s="86"/>
      <c r="J2286" s="82"/>
      <c r="K2286" s="82"/>
      <c r="L2286" s="82"/>
      <c r="M2286" s="82"/>
      <c r="N2286" s="82"/>
      <c r="O2286" s="82"/>
      <c r="P2286" s="82"/>
      <c r="Q2286" s="82"/>
      <c r="R2286" s="82"/>
      <c r="S2286" s="82"/>
      <c r="T2286" s="82"/>
      <c r="U2286" s="82"/>
      <c r="V2286" s="82"/>
      <c r="W2286" s="82"/>
      <c r="X2286" s="82"/>
      <c r="Y2286" s="82"/>
      <c r="Z2286" s="82"/>
      <c r="AA2286" s="82"/>
      <c r="AB2286" s="82"/>
      <c r="AC2286" s="82"/>
      <c r="AD2286" s="82"/>
      <c r="AE2286" s="82"/>
      <c r="AF2286" s="82"/>
      <c r="AG2286" s="82"/>
      <c r="AH2286" s="82"/>
      <c r="AI2286" s="82"/>
      <c r="AJ2286" s="82"/>
      <c r="AK2286" s="82"/>
      <c r="AL2286" s="82"/>
      <c r="AM2286" s="82"/>
      <c r="AN2286" s="82"/>
      <c r="AO2286" s="82"/>
      <c r="AP2286" s="82"/>
      <c r="AQ2286" s="82"/>
      <c r="AR2286" s="82"/>
      <c r="AS2286" s="82"/>
      <c r="AT2286" s="82"/>
      <c r="AU2286" s="82"/>
      <c r="AV2286" s="82"/>
      <c r="AW2286" s="82" t="str">
        <f t="shared" si="1"/>
        <v/>
      </c>
      <c r="AX2286" s="83" t="str">
        <f t="array" ref="AX2286">IFERROR(DGET('SBV Import'!A:G,"SBV",{"RSC ID","Tier";B2286,A2286}))</f>
        <v/>
      </c>
      <c r="AY2286" s="82" t="str">
        <f t="shared" si="2"/>
        <v/>
      </c>
      <c r="AZ2286" s="82"/>
      <c r="BA2286" s="84" t="s">
        <v>152</v>
      </c>
      <c r="BB2286" s="84" t="str">
        <f>IFERROR(__xludf.DUMMYFUNCTION("iferror(if(A2286="""",,E2286&gt;=FILTER(Constants!$F$2:$F$10,Constants!$A$2:$A$10=A2286)))"),"")</f>
        <v/>
      </c>
    </row>
    <row r="2287">
      <c r="A2287" s="89"/>
      <c r="B2287" s="87"/>
      <c r="C2287" s="73"/>
      <c r="D2287" s="73"/>
      <c r="E2287" s="82"/>
      <c r="F2287" s="82"/>
      <c r="G2287" s="86"/>
      <c r="H2287" s="86"/>
      <c r="I2287" s="86"/>
      <c r="J2287" s="82"/>
      <c r="K2287" s="82"/>
      <c r="L2287" s="82"/>
      <c r="M2287" s="82"/>
      <c r="N2287" s="82"/>
      <c r="O2287" s="82"/>
      <c r="P2287" s="82"/>
      <c r="Q2287" s="82"/>
      <c r="R2287" s="82"/>
      <c r="S2287" s="82"/>
      <c r="T2287" s="82"/>
      <c r="U2287" s="82"/>
      <c r="V2287" s="82"/>
      <c r="W2287" s="82"/>
      <c r="X2287" s="82"/>
      <c r="Y2287" s="82"/>
      <c r="Z2287" s="82"/>
      <c r="AA2287" s="82"/>
      <c r="AB2287" s="82"/>
      <c r="AC2287" s="82"/>
      <c r="AD2287" s="82"/>
      <c r="AE2287" s="82"/>
      <c r="AF2287" s="82"/>
      <c r="AG2287" s="82"/>
      <c r="AH2287" s="82"/>
      <c r="AI2287" s="82"/>
      <c r="AJ2287" s="82"/>
      <c r="AK2287" s="82"/>
      <c r="AL2287" s="82"/>
      <c r="AM2287" s="82"/>
      <c r="AN2287" s="82"/>
      <c r="AO2287" s="82"/>
      <c r="AP2287" s="82"/>
      <c r="AQ2287" s="82"/>
      <c r="AR2287" s="82"/>
      <c r="AS2287" s="82"/>
      <c r="AT2287" s="82"/>
      <c r="AU2287" s="82"/>
      <c r="AV2287" s="82"/>
      <c r="AW2287" s="82" t="str">
        <f t="shared" si="1"/>
        <v/>
      </c>
      <c r="AX2287" s="83" t="str">
        <f t="array" ref="AX2287">IFERROR(DGET('SBV Import'!A:G,"SBV",{"RSC ID","Tier";B2287,A2287}))</f>
        <v/>
      </c>
      <c r="AY2287" s="82" t="str">
        <f t="shared" si="2"/>
        <v/>
      </c>
      <c r="AZ2287" s="82"/>
      <c r="BA2287" s="84" t="s">
        <v>152</v>
      </c>
      <c r="BB2287" s="84" t="str">
        <f>IFERROR(__xludf.DUMMYFUNCTION("iferror(if(A2287="""",,E2287&gt;=FILTER(Constants!$F$2:$F$10,Constants!$A$2:$A$10=A2287)))"),"")</f>
        <v/>
      </c>
    </row>
    <row r="2288">
      <c r="A2288" s="89"/>
      <c r="B2288" s="87"/>
      <c r="C2288" s="73"/>
      <c r="D2288" s="73"/>
      <c r="E2288" s="82"/>
      <c r="F2288" s="82"/>
      <c r="G2288" s="86"/>
      <c r="H2288" s="86"/>
      <c r="I2288" s="86"/>
      <c r="J2288" s="82"/>
      <c r="K2288" s="82"/>
      <c r="L2288" s="82"/>
      <c r="M2288" s="82"/>
      <c r="N2288" s="82"/>
      <c r="O2288" s="82"/>
      <c r="P2288" s="82"/>
      <c r="Q2288" s="82"/>
      <c r="R2288" s="82"/>
      <c r="S2288" s="82"/>
      <c r="T2288" s="82"/>
      <c r="U2288" s="82"/>
      <c r="V2288" s="82"/>
      <c r="W2288" s="82"/>
      <c r="X2288" s="82"/>
      <c r="Y2288" s="82"/>
      <c r="Z2288" s="82"/>
      <c r="AA2288" s="82"/>
      <c r="AB2288" s="82"/>
      <c r="AC2288" s="82"/>
      <c r="AD2288" s="82"/>
      <c r="AE2288" s="82"/>
      <c r="AF2288" s="82"/>
      <c r="AG2288" s="82"/>
      <c r="AH2288" s="82"/>
      <c r="AI2288" s="82"/>
      <c r="AJ2288" s="82"/>
      <c r="AK2288" s="82"/>
      <c r="AL2288" s="82"/>
      <c r="AM2288" s="82"/>
      <c r="AN2288" s="82"/>
      <c r="AO2288" s="82"/>
      <c r="AP2288" s="82"/>
      <c r="AQ2288" s="82"/>
      <c r="AR2288" s="82"/>
      <c r="AS2288" s="82"/>
      <c r="AT2288" s="82"/>
      <c r="AU2288" s="82"/>
      <c r="AV2288" s="82"/>
      <c r="AW2288" s="82" t="str">
        <f t="shared" si="1"/>
        <v/>
      </c>
      <c r="AX2288" s="83" t="str">
        <f t="array" ref="AX2288">IFERROR(DGET('SBV Import'!A:G,"SBV",{"RSC ID","Tier";B2288,A2288}))</f>
        <v/>
      </c>
      <c r="AY2288" s="82" t="str">
        <f t="shared" si="2"/>
        <v/>
      </c>
      <c r="AZ2288" s="82"/>
      <c r="BA2288" s="84" t="s">
        <v>152</v>
      </c>
      <c r="BB2288" s="84" t="str">
        <f>IFERROR(__xludf.DUMMYFUNCTION("iferror(if(A2288="""",,E2288&gt;=FILTER(Constants!$F$2:$F$10,Constants!$A$2:$A$10=A2288)))"),"")</f>
        <v/>
      </c>
    </row>
    <row r="2289">
      <c r="A2289" s="89"/>
      <c r="B2289" s="87"/>
      <c r="C2289" s="73"/>
      <c r="D2289" s="73"/>
      <c r="E2289" s="82"/>
      <c r="F2289" s="82"/>
      <c r="G2289" s="86"/>
      <c r="H2289" s="86"/>
      <c r="I2289" s="86"/>
      <c r="J2289" s="82"/>
      <c r="K2289" s="82"/>
      <c r="L2289" s="82"/>
      <c r="M2289" s="82"/>
      <c r="N2289" s="82"/>
      <c r="O2289" s="82"/>
      <c r="P2289" s="82"/>
      <c r="Q2289" s="82"/>
      <c r="R2289" s="82"/>
      <c r="S2289" s="82"/>
      <c r="T2289" s="82"/>
      <c r="U2289" s="82"/>
      <c r="V2289" s="82"/>
      <c r="W2289" s="82"/>
      <c r="X2289" s="82"/>
      <c r="Y2289" s="82"/>
      <c r="Z2289" s="82"/>
      <c r="AA2289" s="82"/>
      <c r="AB2289" s="82"/>
      <c r="AC2289" s="82"/>
      <c r="AD2289" s="82"/>
      <c r="AE2289" s="82"/>
      <c r="AF2289" s="82"/>
      <c r="AG2289" s="82"/>
      <c r="AH2289" s="82"/>
      <c r="AI2289" s="82"/>
      <c r="AJ2289" s="82"/>
      <c r="AK2289" s="82"/>
      <c r="AL2289" s="82"/>
      <c r="AM2289" s="82"/>
      <c r="AN2289" s="82"/>
      <c r="AO2289" s="82"/>
      <c r="AP2289" s="82"/>
      <c r="AQ2289" s="82"/>
      <c r="AR2289" s="82"/>
      <c r="AS2289" s="82"/>
      <c r="AT2289" s="82"/>
      <c r="AU2289" s="82"/>
      <c r="AV2289" s="82"/>
      <c r="AW2289" s="82" t="str">
        <f t="shared" si="1"/>
        <v/>
      </c>
      <c r="AX2289" s="83" t="str">
        <f t="array" ref="AX2289">IFERROR(DGET('SBV Import'!A:G,"SBV",{"RSC ID","Tier";B2289,A2289}))</f>
        <v/>
      </c>
      <c r="AY2289" s="82" t="str">
        <f t="shared" si="2"/>
        <v/>
      </c>
      <c r="AZ2289" s="82"/>
      <c r="BA2289" s="84" t="s">
        <v>152</v>
      </c>
      <c r="BB2289" s="84" t="str">
        <f>IFERROR(__xludf.DUMMYFUNCTION("iferror(if(A2289="""",,E2289&gt;=FILTER(Constants!$F$2:$F$10,Constants!$A$2:$A$10=A2289)))"),"")</f>
        <v/>
      </c>
    </row>
    <row r="2290">
      <c r="A2290" s="89"/>
      <c r="B2290" s="87"/>
      <c r="C2290" s="73"/>
      <c r="D2290" s="73"/>
      <c r="E2290" s="82"/>
      <c r="F2290" s="82"/>
      <c r="G2290" s="86"/>
      <c r="H2290" s="86"/>
      <c r="I2290" s="86"/>
      <c r="J2290" s="82"/>
      <c r="K2290" s="82"/>
      <c r="L2290" s="82"/>
      <c r="M2290" s="82"/>
      <c r="N2290" s="82"/>
      <c r="O2290" s="82"/>
      <c r="P2290" s="82"/>
      <c r="Q2290" s="82"/>
      <c r="R2290" s="82"/>
      <c r="S2290" s="82"/>
      <c r="T2290" s="82"/>
      <c r="U2290" s="82"/>
      <c r="V2290" s="82"/>
      <c r="W2290" s="82"/>
      <c r="X2290" s="82"/>
      <c r="Y2290" s="82"/>
      <c r="Z2290" s="82"/>
      <c r="AA2290" s="82"/>
      <c r="AB2290" s="82"/>
      <c r="AC2290" s="82"/>
      <c r="AD2290" s="82"/>
      <c r="AE2290" s="82"/>
      <c r="AF2290" s="82"/>
      <c r="AG2290" s="82"/>
      <c r="AH2290" s="82"/>
      <c r="AI2290" s="82"/>
      <c r="AJ2290" s="82"/>
      <c r="AK2290" s="82"/>
      <c r="AL2290" s="82"/>
      <c r="AM2290" s="82"/>
      <c r="AN2290" s="82"/>
      <c r="AO2290" s="82"/>
      <c r="AP2290" s="82"/>
      <c r="AQ2290" s="82"/>
      <c r="AR2290" s="82"/>
      <c r="AS2290" s="82"/>
      <c r="AT2290" s="82"/>
      <c r="AU2290" s="82"/>
      <c r="AV2290" s="82"/>
      <c r="AW2290" s="82" t="str">
        <f t="shared" si="1"/>
        <v/>
      </c>
      <c r="AX2290" s="83" t="str">
        <f t="array" ref="AX2290">IFERROR(DGET('SBV Import'!A:G,"SBV",{"RSC ID","Tier";B2290,A2290}))</f>
        <v/>
      </c>
      <c r="AY2290" s="82" t="str">
        <f t="shared" si="2"/>
        <v/>
      </c>
      <c r="AZ2290" s="82"/>
      <c r="BA2290" s="84" t="s">
        <v>152</v>
      </c>
      <c r="BB2290" s="84" t="str">
        <f>IFERROR(__xludf.DUMMYFUNCTION("iferror(if(A2290="""",,E2290&gt;=FILTER(Constants!$F$2:$F$10,Constants!$A$2:$A$10=A2290)))"),"")</f>
        <v/>
      </c>
    </row>
    <row r="2291">
      <c r="A2291" s="89"/>
      <c r="B2291" s="87"/>
      <c r="C2291" s="73"/>
      <c r="D2291" s="73"/>
      <c r="E2291" s="82"/>
      <c r="F2291" s="82"/>
      <c r="G2291" s="86"/>
      <c r="H2291" s="86"/>
      <c r="I2291" s="86"/>
      <c r="J2291" s="82"/>
      <c r="K2291" s="82"/>
      <c r="L2291" s="82"/>
      <c r="M2291" s="82"/>
      <c r="N2291" s="82"/>
      <c r="O2291" s="82"/>
      <c r="P2291" s="82"/>
      <c r="Q2291" s="82"/>
      <c r="R2291" s="82"/>
      <c r="S2291" s="82"/>
      <c r="T2291" s="82"/>
      <c r="U2291" s="82"/>
      <c r="V2291" s="82"/>
      <c r="W2291" s="82"/>
      <c r="X2291" s="82"/>
      <c r="Y2291" s="82"/>
      <c r="Z2291" s="82"/>
      <c r="AA2291" s="82"/>
      <c r="AB2291" s="82"/>
      <c r="AC2291" s="82"/>
      <c r="AD2291" s="82"/>
      <c r="AE2291" s="82"/>
      <c r="AF2291" s="82"/>
      <c r="AG2291" s="82"/>
      <c r="AH2291" s="82"/>
      <c r="AI2291" s="82"/>
      <c r="AJ2291" s="82"/>
      <c r="AK2291" s="82"/>
      <c r="AL2291" s="82"/>
      <c r="AM2291" s="82"/>
      <c r="AN2291" s="82"/>
      <c r="AO2291" s="82"/>
      <c r="AP2291" s="82"/>
      <c r="AQ2291" s="82"/>
      <c r="AR2291" s="82"/>
      <c r="AS2291" s="82"/>
      <c r="AT2291" s="82"/>
      <c r="AU2291" s="82"/>
      <c r="AV2291" s="82"/>
      <c r="AW2291" s="82" t="str">
        <f t="shared" si="1"/>
        <v/>
      </c>
      <c r="AX2291" s="83" t="str">
        <f t="array" ref="AX2291">IFERROR(DGET('SBV Import'!A:G,"SBV",{"RSC ID","Tier";B2291,A2291}))</f>
        <v/>
      </c>
      <c r="AY2291" s="82" t="str">
        <f t="shared" si="2"/>
        <v/>
      </c>
      <c r="AZ2291" s="82"/>
      <c r="BA2291" s="84" t="s">
        <v>152</v>
      </c>
      <c r="BB2291" s="84" t="str">
        <f>IFERROR(__xludf.DUMMYFUNCTION("iferror(if(A2291="""",,E2291&gt;=FILTER(Constants!$F$2:$F$10,Constants!$A$2:$A$10=A2291)))"),"")</f>
        <v/>
      </c>
    </row>
    <row r="2292">
      <c r="A2292" s="89"/>
      <c r="B2292" s="87"/>
      <c r="C2292" s="73"/>
      <c r="D2292" s="73"/>
      <c r="E2292" s="82"/>
      <c r="F2292" s="82"/>
      <c r="G2292" s="86"/>
      <c r="H2292" s="86"/>
      <c r="I2292" s="86"/>
      <c r="J2292" s="82"/>
      <c r="K2292" s="82"/>
      <c r="L2292" s="82"/>
      <c r="M2292" s="82"/>
      <c r="N2292" s="82"/>
      <c r="O2292" s="82"/>
      <c r="P2292" s="82"/>
      <c r="Q2292" s="82"/>
      <c r="R2292" s="82"/>
      <c r="S2292" s="82"/>
      <c r="T2292" s="82"/>
      <c r="U2292" s="82"/>
      <c r="V2292" s="82"/>
      <c r="W2292" s="82"/>
      <c r="X2292" s="82"/>
      <c r="Y2292" s="82"/>
      <c r="Z2292" s="82"/>
      <c r="AA2292" s="82"/>
      <c r="AB2292" s="82"/>
      <c r="AC2292" s="82"/>
      <c r="AD2292" s="82"/>
      <c r="AE2292" s="82"/>
      <c r="AF2292" s="82"/>
      <c r="AG2292" s="82"/>
      <c r="AH2292" s="82"/>
      <c r="AI2292" s="82"/>
      <c r="AJ2292" s="82"/>
      <c r="AK2292" s="82"/>
      <c r="AL2292" s="82"/>
      <c r="AM2292" s="82"/>
      <c r="AN2292" s="82"/>
      <c r="AO2292" s="82"/>
      <c r="AP2292" s="82"/>
      <c r="AQ2292" s="82"/>
      <c r="AR2292" s="82"/>
      <c r="AS2292" s="82"/>
      <c r="AT2292" s="82"/>
      <c r="AU2292" s="82"/>
      <c r="AV2292" s="82"/>
      <c r="AW2292" s="82" t="str">
        <f t="shared" si="1"/>
        <v/>
      </c>
      <c r="AX2292" s="83" t="str">
        <f t="array" ref="AX2292">IFERROR(DGET('SBV Import'!A:G,"SBV",{"RSC ID","Tier";B2292,A2292}))</f>
        <v/>
      </c>
      <c r="AY2292" s="82" t="str">
        <f t="shared" si="2"/>
        <v/>
      </c>
      <c r="AZ2292" s="82"/>
      <c r="BA2292" s="84" t="s">
        <v>152</v>
      </c>
      <c r="BB2292" s="84" t="str">
        <f>IFERROR(__xludf.DUMMYFUNCTION("iferror(if(A2292="""",,E2292&gt;=FILTER(Constants!$F$2:$F$10,Constants!$A$2:$A$10=A2292)))"),"")</f>
        <v/>
      </c>
    </row>
    <row r="2293">
      <c r="A2293" s="89"/>
      <c r="B2293" s="87"/>
      <c r="C2293" s="73"/>
      <c r="D2293" s="73"/>
      <c r="E2293" s="82"/>
      <c r="F2293" s="82"/>
      <c r="G2293" s="86"/>
      <c r="H2293" s="86"/>
      <c r="I2293" s="86"/>
      <c r="J2293" s="82"/>
      <c r="K2293" s="82"/>
      <c r="L2293" s="82"/>
      <c r="M2293" s="82"/>
      <c r="N2293" s="82"/>
      <c r="O2293" s="82"/>
      <c r="P2293" s="82"/>
      <c r="Q2293" s="82"/>
      <c r="R2293" s="82"/>
      <c r="S2293" s="82"/>
      <c r="T2293" s="82"/>
      <c r="U2293" s="82"/>
      <c r="V2293" s="82"/>
      <c r="W2293" s="82"/>
      <c r="X2293" s="82"/>
      <c r="Y2293" s="82"/>
      <c r="Z2293" s="82"/>
      <c r="AA2293" s="82"/>
      <c r="AB2293" s="82"/>
      <c r="AC2293" s="82"/>
      <c r="AD2293" s="82"/>
      <c r="AE2293" s="82"/>
      <c r="AF2293" s="82"/>
      <c r="AG2293" s="82"/>
      <c r="AH2293" s="82"/>
      <c r="AI2293" s="82"/>
      <c r="AJ2293" s="82"/>
      <c r="AK2293" s="82"/>
      <c r="AL2293" s="82"/>
      <c r="AM2293" s="82"/>
      <c r="AN2293" s="82"/>
      <c r="AO2293" s="82"/>
      <c r="AP2293" s="82"/>
      <c r="AQ2293" s="82"/>
      <c r="AR2293" s="82"/>
      <c r="AS2293" s="82"/>
      <c r="AT2293" s="82"/>
      <c r="AU2293" s="82"/>
      <c r="AV2293" s="82"/>
      <c r="AW2293" s="82" t="str">
        <f t="shared" si="1"/>
        <v/>
      </c>
      <c r="AX2293" s="83" t="str">
        <f t="array" ref="AX2293">IFERROR(DGET('SBV Import'!A:G,"SBV",{"RSC ID","Tier";B2293,A2293}))</f>
        <v/>
      </c>
      <c r="AY2293" s="82" t="str">
        <f t="shared" si="2"/>
        <v/>
      </c>
      <c r="AZ2293" s="82"/>
      <c r="BA2293" s="84" t="s">
        <v>152</v>
      </c>
      <c r="BB2293" s="84" t="str">
        <f>IFERROR(__xludf.DUMMYFUNCTION("iferror(if(A2293="""",,E2293&gt;=FILTER(Constants!$F$2:$F$10,Constants!$A$2:$A$10=A2293)))"),"")</f>
        <v/>
      </c>
    </row>
    <row r="2294">
      <c r="A2294" s="89"/>
      <c r="B2294" s="87"/>
      <c r="C2294" s="73"/>
      <c r="D2294" s="73"/>
      <c r="E2294" s="82"/>
      <c r="F2294" s="82"/>
      <c r="G2294" s="86"/>
      <c r="H2294" s="86"/>
      <c r="I2294" s="86"/>
      <c r="J2294" s="82"/>
      <c r="K2294" s="82"/>
      <c r="L2294" s="82"/>
      <c r="M2294" s="82"/>
      <c r="N2294" s="82"/>
      <c r="O2294" s="82"/>
      <c r="P2294" s="82"/>
      <c r="Q2294" s="82"/>
      <c r="R2294" s="82"/>
      <c r="S2294" s="82"/>
      <c r="T2294" s="82"/>
      <c r="U2294" s="82"/>
      <c r="V2294" s="82"/>
      <c r="W2294" s="82"/>
      <c r="X2294" s="82"/>
      <c r="Y2294" s="82"/>
      <c r="Z2294" s="82"/>
      <c r="AA2294" s="82"/>
      <c r="AB2294" s="82"/>
      <c r="AC2294" s="82"/>
      <c r="AD2294" s="82"/>
      <c r="AE2294" s="82"/>
      <c r="AF2294" s="82"/>
      <c r="AG2294" s="82"/>
      <c r="AH2294" s="82"/>
      <c r="AI2294" s="82"/>
      <c r="AJ2294" s="82"/>
      <c r="AK2294" s="82"/>
      <c r="AL2294" s="82"/>
      <c r="AM2294" s="82"/>
      <c r="AN2294" s="82"/>
      <c r="AO2294" s="82"/>
      <c r="AP2294" s="82"/>
      <c r="AQ2294" s="82"/>
      <c r="AR2294" s="82"/>
      <c r="AS2294" s="82"/>
      <c r="AT2294" s="82"/>
      <c r="AU2294" s="82"/>
      <c r="AV2294" s="82"/>
      <c r="AW2294" s="82" t="str">
        <f t="shared" si="1"/>
        <v/>
      </c>
      <c r="AX2294" s="83" t="str">
        <f t="array" ref="AX2294">IFERROR(DGET('SBV Import'!A:G,"SBV",{"RSC ID","Tier";B2294,A2294}))</f>
        <v/>
      </c>
      <c r="AY2294" s="82" t="str">
        <f t="shared" si="2"/>
        <v/>
      </c>
      <c r="AZ2294" s="82"/>
      <c r="BA2294" s="84" t="s">
        <v>152</v>
      </c>
      <c r="BB2294" s="84" t="str">
        <f>IFERROR(__xludf.DUMMYFUNCTION("iferror(if(A2294="""",,E2294&gt;=FILTER(Constants!$F$2:$F$10,Constants!$A$2:$A$10=A2294)))"),"")</f>
        <v/>
      </c>
    </row>
    <row r="2295">
      <c r="A2295" s="89"/>
      <c r="B2295" s="87"/>
      <c r="C2295" s="73"/>
      <c r="D2295" s="73"/>
      <c r="E2295" s="82"/>
      <c r="F2295" s="82"/>
      <c r="G2295" s="86"/>
      <c r="H2295" s="86"/>
      <c r="I2295" s="86"/>
      <c r="J2295" s="82"/>
      <c r="K2295" s="82"/>
      <c r="L2295" s="82"/>
      <c r="M2295" s="82"/>
      <c r="N2295" s="82"/>
      <c r="O2295" s="82"/>
      <c r="P2295" s="82"/>
      <c r="Q2295" s="82"/>
      <c r="R2295" s="82"/>
      <c r="S2295" s="82"/>
      <c r="T2295" s="82"/>
      <c r="U2295" s="82"/>
      <c r="V2295" s="82"/>
      <c r="W2295" s="82"/>
      <c r="X2295" s="82"/>
      <c r="Y2295" s="82"/>
      <c r="Z2295" s="82"/>
      <c r="AA2295" s="82"/>
      <c r="AB2295" s="82"/>
      <c r="AC2295" s="82"/>
      <c r="AD2295" s="82"/>
      <c r="AE2295" s="82"/>
      <c r="AF2295" s="82"/>
      <c r="AG2295" s="82"/>
      <c r="AH2295" s="82"/>
      <c r="AI2295" s="82"/>
      <c r="AJ2295" s="82"/>
      <c r="AK2295" s="82"/>
      <c r="AL2295" s="82"/>
      <c r="AM2295" s="82"/>
      <c r="AN2295" s="82"/>
      <c r="AO2295" s="82"/>
      <c r="AP2295" s="82"/>
      <c r="AQ2295" s="82"/>
      <c r="AR2295" s="82"/>
      <c r="AS2295" s="82"/>
      <c r="AT2295" s="82"/>
      <c r="AU2295" s="82"/>
      <c r="AV2295" s="82"/>
      <c r="AW2295" s="82" t="str">
        <f t="shared" si="1"/>
        <v/>
      </c>
      <c r="AX2295" s="83" t="str">
        <f t="array" ref="AX2295">IFERROR(DGET('SBV Import'!A:G,"SBV",{"RSC ID","Tier";B2295,A2295}))</f>
        <v/>
      </c>
      <c r="AY2295" s="82" t="str">
        <f t="shared" si="2"/>
        <v/>
      </c>
      <c r="AZ2295" s="82"/>
      <c r="BA2295" s="84" t="s">
        <v>152</v>
      </c>
      <c r="BB2295" s="84" t="str">
        <f>IFERROR(__xludf.DUMMYFUNCTION("iferror(if(A2295="""",,E2295&gt;=FILTER(Constants!$F$2:$F$10,Constants!$A$2:$A$10=A2295)))"),"")</f>
        <v/>
      </c>
    </row>
    <row r="2296">
      <c r="A2296" s="89"/>
      <c r="B2296" s="87"/>
      <c r="C2296" s="73"/>
      <c r="D2296" s="73"/>
      <c r="E2296" s="82"/>
      <c r="F2296" s="82"/>
      <c r="G2296" s="86"/>
      <c r="H2296" s="86"/>
      <c r="I2296" s="86"/>
      <c r="J2296" s="82"/>
      <c r="K2296" s="82"/>
      <c r="L2296" s="82"/>
      <c r="M2296" s="82"/>
      <c r="N2296" s="82"/>
      <c r="O2296" s="82"/>
      <c r="P2296" s="82"/>
      <c r="Q2296" s="82"/>
      <c r="R2296" s="82"/>
      <c r="S2296" s="82"/>
      <c r="T2296" s="82"/>
      <c r="U2296" s="82"/>
      <c r="V2296" s="82"/>
      <c r="W2296" s="82"/>
      <c r="X2296" s="82"/>
      <c r="Y2296" s="82"/>
      <c r="Z2296" s="82"/>
      <c r="AA2296" s="82"/>
      <c r="AB2296" s="82"/>
      <c r="AC2296" s="82"/>
      <c r="AD2296" s="82"/>
      <c r="AE2296" s="82"/>
      <c r="AF2296" s="82"/>
      <c r="AG2296" s="82"/>
      <c r="AH2296" s="82"/>
      <c r="AI2296" s="82"/>
      <c r="AJ2296" s="82"/>
      <c r="AK2296" s="82"/>
      <c r="AL2296" s="82"/>
      <c r="AM2296" s="82"/>
      <c r="AN2296" s="82"/>
      <c r="AO2296" s="82"/>
      <c r="AP2296" s="82"/>
      <c r="AQ2296" s="82"/>
      <c r="AR2296" s="82"/>
      <c r="AS2296" s="82"/>
      <c r="AT2296" s="82"/>
      <c r="AU2296" s="82"/>
      <c r="AV2296" s="82"/>
      <c r="AW2296" s="82" t="str">
        <f t="shared" si="1"/>
        <v/>
      </c>
      <c r="AX2296" s="83" t="str">
        <f t="array" ref="AX2296">IFERROR(DGET('SBV Import'!A:G,"SBV",{"RSC ID","Tier";B2296,A2296}))</f>
        <v/>
      </c>
      <c r="AY2296" s="82" t="str">
        <f t="shared" si="2"/>
        <v/>
      </c>
      <c r="AZ2296" s="82"/>
      <c r="BA2296" s="84" t="s">
        <v>152</v>
      </c>
      <c r="BB2296" s="84" t="str">
        <f>IFERROR(__xludf.DUMMYFUNCTION("iferror(if(A2296="""",,E2296&gt;=FILTER(Constants!$F$2:$F$10,Constants!$A$2:$A$10=A2296)))"),"")</f>
        <v/>
      </c>
    </row>
    <row r="2297">
      <c r="A2297" s="89"/>
      <c r="B2297" s="87"/>
      <c r="C2297" s="73"/>
      <c r="D2297" s="73"/>
      <c r="E2297" s="82"/>
      <c r="F2297" s="82"/>
      <c r="G2297" s="86"/>
      <c r="H2297" s="86"/>
      <c r="I2297" s="86"/>
      <c r="J2297" s="82"/>
      <c r="K2297" s="82"/>
      <c r="L2297" s="82"/>
      <c r="M2297" s="82"/>
      <c r="N2297" s="82"/>
      <c r="O2297" s="82"/>
      <c r="P2297" s="82"/>
      <c r="Q2297" s="82"/>
      <c r="R2297" s="82"/>
      <c r="S2297" s="82"/>
      <c r="T2297" s="82"/>
      <c r="U2297" s="82"/>
      <c r="V2297" s="82"/>
      <c r="W2297" s="82"/>
      <c r="X2297" s="82"/>
      <c r="Y2297" s="82"/>
      <c r="Z2297" s="82"/>
      <c r="AA2297" s="82"/>
      <c r="AB2297" s="82"/>
      <c r="AC2297" s="82"/>
      <c r="AD2297" s="82"/>
      <c r="AE2297" s="82"/>
      <c r="AF2297" s="82"/>
      <c r="AG2297" s="82"/>
      <c r="AH2297" s="82"/>
      <c r="AI2297" s="82"/>
      <c r="AJ2297" s="82"/>
      <c r="AK2297" s="82"/>
      <c r="AL2297" s="82"/>
      <c r="AM2297" s="82"/>
      <c r="AN2297" s="82"/>
      <c r="AO2297" s="82"/>
      <c r="AP2297" s="82"/>
      <c r="AQ2297" s="82"/>
      <c r="AR2297" s="82"/>
      <c r="AS2297" s="82"/>
      <c r="AT2297" s="82"/>
      <c r="AU2297" s="82"/>
      <c r="AV2297" s="82"/>
      <c r="AW2297" s="82" t="str">
        <f t="shared" si="1"/>
        <v/>
      </c>
      <c r="AX2297" s="83" t="str">
        <f t="array" ref="AX2297">IFERROR(DGET('SBV Import'!A:G,"SBV",{"RSC ID","Tier";B2297,A2297}))</f>
        <v/>
      </c>
      <c r="AY2297" s="82" t="str">
        <f t="shared" si="2"/>
        <v/>
      </c>
      <c r="AZ2297" s="82"/>
      <c r="BA2297" s="84" t="s">
        <v>152</v>
      </c>
      <c r="BB2297" s="84" t="str">
        <f>IFERROR(__xludf.DUMMYFUNCTION("iferror(if(A2297="""",,E2297&gt;=FILTER(Constants!$F$2:$F$10,Constants!$A$2:$A$10=A2297)))"),"")</f>
        <v/>
      </c>
    </row>
    <row r="2298">
      <c r="A2298" s="89"/>
      <c r="B2298" s="87"/>
      <c r="C2298" s="73"/>
      <c r="D2298" s="73"/>
      <c r="E2298" s="82"/>
      <c r="F2298" s="82"/>
      <c r="G2298" s="86"/>
      <c r="H2298" s="86"/>
      <c r="I2298" s="86"/>
      <c r="J2298" s="82"/>
      <c r="K2298" s="82"/>
      <c r="L2298" s="82"/>
      <c r="M2298" s="82"/>
      <c r="N2298" s="82"/>
      <c r="O2298" s="82"/>
      <c r="P2298" s="82"/>
      <c r="Q2298" s="82"/>
      <c r="R2298" s="82"/>
      <c r="S2298" s="82"/>
      <c r="T2298" s="82"/>
      <c r="U2298" s="82"/>
      <c r="V2298" s="82"/>
      <c r="W2298" s="82"/>
      <c r="X2298" s="82"/>
      <c r="Y2298" s="82"/>
      <c r="Z2298" s="82"/>
      <c r="AA2298" s="82"/>
      <c r="AB2298" s="82"/>
      <c r="AC2298" s="82"/>
      <c r="AD2298" s="82"/>
      <c r="AE2298" s="82"/>
      <c r="AF2298" s="82"/>
      <c r="AG2298" s="82"/>
      <c r="AH2298" s="82"/>
      <c r="AI2298" s="82"/>
      <c r="AJ2298" s="82"/>
      <c r="AK2298" s="82"/>
      <c r="AL2298" s="82"/>
      <c r="AM2298" s="82"/>
      <c r="AN2298" s="82"/>
      <c r="AO2298" s="82"/>
      <c r="AP2298" s="82"/>
      <c r="AQ2298" s="82"/>
      <c r="AR2298" s="82"/>
      <c r="AS2298" s="82"/>
      <c r="AT2298" s="82"/>
      <c r="AU2298" s="82"/>
      <c r="AV2298" s="82"/>
      <c r="AW2298" s="82" t="str">
        <f t="shared" si="1"/>
        <v/>
      </c>
      <c r="AX2298" s="83" t="str">
        <f t="array" ref="AX2298">IFERROR(DGET('SBV Import'!A:G,"SBV",{"RSC ID","Tier";B2298,A2298}))</f>
        <v/>
      </c>
      <c r="AY2298" s="82" t="str">
        <f t="shared" si="2"/>
        <v/>
      </c>
      <c r="AZ2298" s="82"/>
      <c r="BA2298" s="84" t="s">
        <v>152</v>
      </c>
      <c r="BB2298" s="84" t="str">
        <f>IFERROR(__xludf.DUMMYFUNCTION("iferror(if(A2298="""",,E2298&gt;=FILTER(Constants!$F$2:$F$10,Constants!$A$2:$A$10=A2298)))"),"")</f>
        <v/>
      </c>
    </row>
    <row r="2299">
      <c r="A2299" s="89"/>
      <c r="B2299" s="87"/>
      <c r="C2299" s="73"/>
      <c r="D2299" s="73"/>
      <c r="E2299" s="82"/>
      <c r="F2299" s="82"/>
      <c r="G2299" s="86"/>
      <c r="H2299" s="86"/>
      <c r="I2299" s="86"/>
      <c r="J2299" s="82"/>
      <c r="K2299" s="82"/>
      <c r="L2299" s="82"/>
      <c r="M2299" s="82"/>
      <c r="N2299" s="82"/>
      <c r="O2299" s="82"/>
      <c r="P2299" s="82"/>
      <c r="Q2299" s="82"/>
      <c r="R2299" s="82"/>
      <c r="S2299" s="82"/>
      <c r="T2299" s="82"/>
      <c r="U2299" s="82"/>
      <c r="V2299" s="82"/>
      <c r="W2299" s="82"/>
      <c r="X2299" s="82"/>
      <c r="Y2299" s="82"/>
      <c r="Z2299" s="82"/>
      <c r="AA2299" s="82"/>
      <c r="AB2299" s="82"/>
      <c r="AC2299" s="82"/>
      <c r="AD2299" s="82"/>
      <c r="AE2299" s="82"/>
      <c r="AF2299" s="82"/>
      <c r="AG2299" s="82"/>
      <c r="AH2299" s="82"/>
      <c r="AI2299" s="82"/>
      <c r="AJ2299" s="82"/>
      <c r="AK2299" s="82"/>
      <c r="AL2299" s="82"/>
      <c r="AM2299" s="82"/>
      <c r="AN2299" s="82"/>
      <c r="AO2299" s="82"/>
      <c r="AP2299" s="82"/>
      <c r="AQ2299" s="82"/>
      <c r="AR2299" s="82"/>
      <c r="AS2299" s="82"/>
      <c r="AT2299" s="82"/>
      <c r="AU2299" s="82"/>
      <c r="AV2299" s="82"/>
      <c r="AW2299" s="82" t="str">
        <f t="shared" si="1"/>
        <v/>
      </c>
      <c r="AX2299" s="83" t="str">
        <f t="array" ref="AX2299">IFERROR(DGET('SBV Import'!A:G,"SBV",{"RSC ID","Tier";B2299,A2299}))</f>
        <v/>
      </c>
      <c r="AY2299" s="82" t="str">
        <f t="shared" si="2"/>
        <v/>
      </c>
      <c r="AZ2299" s="82"/>
      <c r="BA2299" s="84" t="s">
        <v>152</v>
      </c>
      <c r="BB2299" s="84" t="str">
        <f>IFERROR(__xludf.DUMMYFUNCTION("iferror(if(A2299="""",,E2299&gt;=FILTER(Constants!$F$2:$F$10,Constants!$A$2:$A$10=A2299)))"),"")</f>
        <v/>
      </c>
    </row>
    <row r="2300">
      <c r="A2300" s="90" t="str">
        <f>IFERROR(__xludf.DUMMYFUNCTION("QUERY(IMPORTRANGE(Constants!$B7, ""'Player Stats'!a2:AV""), ""Select * order by Col48 desc"")"),"Challenger")</f>
        <v>Challenger</v>
      </c>
      <c r="B2300" s="87" t="str">
        <f>IFERROR(__xludf.DUMMYFUNCTION("""COMPUTED_VALUE"""),"RSC003193")</f>
        <v>RSC003193</v>
      </c>
      <c r="C2300" s="73" t="str">
        <f>IFERROR(__xludf.DUMMYFUNCTION("""COMPUTED_VALUE"""),"ShiftDrink")</f>
        <v>ShiftDrink</v>
      </c>
      <c r="D2300" s="73" t="str">
        <f>IFERROR(__xludf.DUMMYFUNCTION("""COMPUTED_VALUE"""),"Mugged")</f>
        <v>Mugged</v>
      </c>
      <c r="E2300" s="82">
        <f>IFERROR(__xludf.DUMMYFUNCTION("""COMPUTED_VALUE"""),2.0)</f>
        <v>2</v>
      </c>
      <c r="F2300" s="82">
        <f>IFERROR(__xludf.DUMMYFUNCTION("""COMPUTED_VALUE"""),2.0)</f>
        <v>2</v>
      </c>
      <c r="G2300" s="86">
        <f>IFERROR(__xludf.DUMMYFUNCTION("""COMPUTED_VALUE"""),0.0)</f>
        <v>0</v>
      </c>
      <c r="H2300" s="86">
        <f>IFERROR(__xludf.DUMMYFUNCTION("""COMPUTED_VALUE"""),1.0)</f>
        <v>1</v>
      </c>
      <c r="I2300" s="86">
        <f>IFERROR(__xludf.DUMMYFUNCTION("""COMPUTED_VALUE"""),0.625)</f>
        <v>0.625</v>
      </c>
      <c r="J2300" s="82">
        <f>IFERROR(__xludf.DUMMYFUNCTION("""COMPUTED_VALUE"""),447.5)</f>
        <v>447.5</v>
      </c>
      <c r="K2300" s="82">
        <f>IFERROR(__xludf.DUMMYFUNCTION("""COMPUTED_VALUE"""),2.5)</f>
        <v>2.5</v>
      </c>
      <c r="L2300" s="82">
        <f>IFERROR(__xludf.DUMMYFUNCTION("""COMPUTED_VALUE"""),0.0)</f>
        <v>0</v>
      </c>
      <c r="M2300" s="82">
        <f>IFERROR(__xludf.DUMMYFUNCTION("""COMPUTED_VALUE"""),0.5)</f>
        <v>0.5</v>
      </c>
      <c r="N2300" s="82">
        <f>IFERROR(__xludf.DUMMYFUNCTION("""COMPUTED_VALUE"""),4.0)</f>
        <v>4</v>
      </c>
      <c r="O2300" s="82">
        <f>IFERROR(__xludf.DUMMYFUNCTION("""COMPUTED_VALUE"""),352.5)</f>
        <v>352.5</v>
      </c>
      <c r="P2300" s="82">
        <f>IFERROR(__xludf.DUMMYFUNCTION("""COMPUTED_VALUE"""),1.0)</f>
        <v>1</v>
      </c>
      <c r="Q2300" s="82">
        <f>IFERROR(__xludf.DUMMYFUNCTION("""COMPUTED_VALUE"""),0.8333333333333333)</f>
        <v>0.8333333333</v>
      </c>
      <c r="R2300" s="82">
        <f>IFERROR(__xludf.DUMMYFUNCTION("""COMPUTED_VALUE"""),1.3333333333333333)</f>
        <v>1.333333333</v>
      </c>
      <c r="S2300" s="82">
        <f>IFERROR(__xludf.DUMMYFUNCTION("""COMPUTED_VALUE"""),2.833333333333333)</f>
        <v>2.833333333</v>
      </c>
      <c r="T2300" s="82">
        <f>IFERROR(__xludf.DUMMYFUNCTION("""COMPUTED_VALUE"""),339.827207011837)</f>
        <v>339.827207</v>
      </c>
      <c r="U2300" s="82">
        <f>IFERROR(__xludf.DUMMYFUNCTION("""COMPUTED_VALUE"""),0.7271030993042378)</f>
        <v>0.7271030993</v>
      </c>
      <c r="V2300" s="82">
        <f>IFERROR(__xludf.DUMMYFUNCTION("""COMPUTED_VALUE"""),0.5360599078341014)</f>
        <v>0.5360599078</v>
      </c>
      <c r="W2300" s="82">
        <f>IFERROR(__xludf.DUMMYFUNCTION("""COMPUTED_VALUE"""),1.330069124423963)</f>
        <v>1.330069124</v>
      </c>
      <c r="X2300" s="82">
        <f>IFERROR(__xludf.DUMMYFUNCTION("""COMPUTED_VALUE"""),2.3785420619860846)</f>
        <v>2.378542062</v>
      </c>
      <c r="Y2300" s="82">
        <f>IFERROR(__xludf.DUMMYFUNCTION("""COMPUTED_VALUE"""),352.2358814493539)</f>
        <v>352.2358814</v>
      </c>
      <c r="Z2300" s="82">
        <f>IFERROR(__xludf.DUMMYFUNCTION("""COMPUTED_VALUE"""),0.8361065931749043)</f>
        <v>0.8361065932</v>
      </c>
      <c r="AA2300" s="82">
        <f>IFERROR(__xludf.DUMMYFUNCTION("""COMPUTED_VALUE"""),0.6065600433721876)</f>
        <v>0.6065600434</v>
      </c>
      <c r="AB2300" s="82">
        <f>IFERROR(__xludf.DUMMYFUNCTION("""COMPUTED_VALUE"""),1.1797769645492604)</f>
        <v>1.179776965</v>
      </c>
      <c r="AC2300" s="82">
        <f>IFERROR(__xludf.DUMMYFUNCTION("""COMPUTED_VALUE"""),2.7068476853106835)</f>
        <v>2.706847685</v>
      </c>
      <c r="AD2300" s="82">
        <f>IFERROR(__xludf.DUMMYFUNCTION("""COMPUTED_VALUE"""),1.2704554634203093)</f>
        <v>1.270455463</v>
      </c>
      <c r="AE2300" s="82">
        <f>IFERROR(__xludf.DUMMYFUNCTION("""COMPUTED_VALUE"""),2.9900493793582936)</f>
        <v>2.990049379</v>
      </c>
      <c r="AF2300" s="82">
        <f>IFERROR(__xludf.DUMMYFUNCTION("""COMPUTED_VALUE"""),0.0)</f>
        <v>0</v>
      </c>
      <c r="AG2300" s="82">
        <f>IFERROR(__xludf.DUMMYFUNCTION("""COMPUTED_VALUE"""),0.4238089189943012)</f>
        <v>0.423808919</v>
      </c>
      <c r="AH2300" s="82">
        <f>IFERROR(__xludf.DUMMYFUNCTION("""COMPUTED_VALUE"""),1.4777336832459758)</f>
        <v>1.477733683</v>
      </c>
      <c r="AI2300" s="82">
        <f>IFERROR(__xludf.DUMMYFUNCTION("""COMPUTED_VALUE"""),1.0372918728303044)</f>
        <v>1.037291873</v>
      </c>
      <c r="AJ2300" s="82">
        <f>IFERROR(__xludf.DUMMYFUNCTION("""COMPUTED_VALUE"""),1.3753207776956202)</f>
        <v>1.375320778</v>
      </c>
      <c r="AK2300" s="82">
        <f>IFERROR(__xludf.DUMMYFUNCTION("""COMPUTED_VALUE"""),1.5545526183824054)</f>
        <v>1.554552618</v>
      </c>
      <c r="AL2300" s="82">
        <f>IFERROR(__xludf.DUMMYFUNCTION("""COMPUTED_VALUE"""),1.0024541648621337)</f>
        <v>1.002454165</v>
      </c>
      <c r="AM2300" s="82">
        <f>IFERROR(__xludf.DUMMYFUNCTION("""COMPUTED_VALUE"""),1.191205898191053)</f>
        <v>1.191205898</v>
      </c>
      <c r="AN2300" s="82">
        <f>IFERROR(__xludf.DUMMYFUNCTION("""COMPUTED_VALUE"""),1.3613744283455604)</f>
        <v>1.361374428</v>
      </c>
      <c r="AO2300" s="82">
        <f>IFERROR(__xludf.DUMMYFUNCTION("""COMPUTED_VALUE"""),3.2968664752909875)</f>
        <v>3.296866475</v>
      </c>
      <c r="AP2300" s="82">
        <f>IFERROR(__xludf.DUMMYFUNCTION("""COMPUTED_VALUE"""),0.0)</f>
        <v>0</v>
      </c>
      <c r="AQ2300" s="82">
        <f>IFERROR(__xludf.DUMMYFUNCTION("""COMPUTED_VALUE"""),0.4169438950684508)</f>
        <v>0.4169438951</v>
      </c>
      <c r="AR2300" s="82">
        <f>IFERROR(__xludf.DUMMYFUNCTION("""COMPUTED_VALUE"""),1.667543754801558)</f>
        <v>1.667543755</v>
      </c>
      <c r="AS2300" s="82">
        <f>IFERROR(__xludf.DUMMYFUNCTION("""COMPUTED_VALUE"""),11.0)</f>
        <v>11</v>
      </c>
      <c r="AT2300" s="82">
        <f>IFERROR(__xludf.DUMMYFUNCTION("""COMPUTED_VALUE"""),0.7540342329489803)</f>
        <v>0.7540342329</v>
      </c>
      <c r="AU2300" s="82">
        <f>IFERROR(__xludf.DUMMYFUNCTION("""COMPUTED_VALUE"""),5.229991605508996)</f>
        <v>5.229991606</v>
      </c>
      <c r="AV2300" s="82">
        <f>IFERROR(__xludf.DUMMYFUNCTION("""COMPUTED_VALUE"""),108.88234453161247)</f>
        <v>108.8823445</v>
      </c>
      <c r="AW2300" s="82">
        <f t="shared" si="1"/>
        <v>108.0609891</v>
      </c>
      <c r="AX2300" s="83">
        <f t="array" ref="AX2300">IFERROR(DGET('SBV Import'!A:G,"SBV",{"RSC ID","Tier";B2300,A2300}))</f>
        <v>44.38111618</v>
      </c>
      <c r="AY2300" s="82">
        <f t="shared" si="2"/>
        <v>-2.432588116</v>
      </c>
      <c r="AZ2300" s="82">
        <v>110.49357726591337</v>
      </c>
      <c r="BA2300" s="84">
        <v>2300.0</v>
      </c>
      <c r="BB2300" s="84" t="b">
        <f>IFERROR(__xludf.DUMMYFUNCTION("iferror(if(A2300="""",,E2300&gt;=FILTER(Constants!$F$2:$F$10,Constants!$A$2:$A$10=A2300)))"),TRUE)</f>
        <v>1</v>
      </c>
    </row>
    <row r="2301">
      <c r="A2301" s="89" t="str">
        <f>IFERROR(__xludf.DUMMYFUNCTION("""COMPUTED_VALUE"""),"Challenger")</f>
        <v>Challenger</v>
      </c>
      <c r="B2301" s="87" t="str">
        <f>IFERROR(__xludf.DUMMYFUNCTION("""COMPUTED_VALUE"""),"RSC006976")</f>
        <v>RSC006976</v>
      </c>
      <c r="C2301" s="73" t="str">
        <f>IFERROR(__xludf.DUMMYFUNCTION("""COMPUTED_VALUE"""),"Slendda")</f>
        <v>Slendda</v>
      </c>
      <c r="D2301" s="73" t="str">
        <f>IFERROR(__xludf.DUMMYFUNCTION("""COMPUTED_VALUE"""),"Meat Lovers")</f>
        <v>Meat Lovers</v>
      </c>
      <c r="E2301" s="82">
        <f>IFERROR(__xludf.DUMMYFUNCTION("""COMPUTED_VALUE"""),36.0)</f>
        <v>36</v>
      </c>
      <c r="F2301" s="82">
        <f>IFERROR(__xludf.DUMMYFUNCTION("""COMPUTED_VALUE"""),28.0)</f>
        <v>28</v>
      </c>
      <c r="G2301" s="86">
        <f>IFERROR(__xludf.DUMMYFUNCTION("""COMPUTED_VALUE"""),8.0)</f>
        <v>8</v>
      </c>
      <c r="H2301" s="86">
        <f>IFERROR(__xludf.DUMMYFUNCTION("""COMPUTED_VALUE"""),0.7777777777777778)</f>
        <v>0.7777777778</v>
      </c>
      <c r="I2301" s="86">
        <f>IFERROR(__xludf.DUMMYFUNCTION("""COMPUTED_VALUE"""),0.4513274336283186)</f>
        <v>0.4513274336</v>
      </c>
      <c r="J2301" s="82">
        <f>IFERROR(__xludf.DUMMYFUNCTION("""COMPUTED_VALUE"""),419.25)</f>
        <v>419.25</v>
      </c>
      <c r="K2301" s="82">
        <f>IFERROR(__xludf.DUMMYFUNCTION("""COMPUTED_VALUE"""),1.4166666666666667)</f>
        <v>1.416666667</v>
      </c>
      <c r="L2301" s="82">
        <f>IFERROR(__xludf.DUMMYFUNCTION("""COMPUTED_VALUE"""),0.6388888888888888)</f>
        <v>0.6388888889</v>
      </c>
      <c r="M2301" s="82">
        <f>IFERROR(__xludf.DUMMYFUNCTION("""COMPUTED_VALUE"""),1.0277777777777777)</f>
        <v>1.027777778</v>
      </c>
      <c r="N2301" s="82">
        <f>IFERROR(__xludf.DUMMYFUNCTION("""COMPUTED_VALUE"""),3.138888888888889)</f>
        <v>3.138888889</v>
      </c>
      <c r="O2301" s="82">
        <f>IFERROR(__xludf.DUMMYFUNCTION("""COMPUTED_VALUE"""),312.42592592592587)</f>
        <v>312.4259259</v>
      </c>
      <c r="P2301" s="82">
        <f>IFERROR(__xludf.DUMMYFUNCTION("""COMPUTED_VALUE"""),0.6296296296296297)</f>
        <v>0.6296296296</v>
      </c>
      <c r="Q2301" s="82">
        <f>IFERROR(__xludf.DUMMYFUNCTION("""COMPUTED_VALUE"""),0.45370370370370366)</f>
        <v>0.4537037037</v>
      </c>
      <c r="R2301" s="82">
        <f>IFERROR(__xludf.DUMMYFUNCTION("""COMPUTED_VALUE"""),1.25)</f>
        <v>1.25</v>
      </c>
      <c r="S2301" s="82">
        <f>IFERROR(__xludf.DUMMYFUNCTION("""COMPUTED_VALUE"""),2.2129629629629632)</f>
        <v>2.212962963</v>
      </c>
      <c r="T2301" s="82">
        <f>IFERROR(__xludf.DUMMYFUNCTION("""COMPUTED_VALUE"""),329.7404052935383)</f>
        <v>329.7404053</v>
      </c>
      <c r="U2301" s="82">
        <f>IFERROR(__xludf.DUMMYFUNCTION("""COMPUTED_VALUE"""),0.7458885045360544)</f>
        <v>0.7458885045</v>
      </c>
      <c r="V2301" s="82">
        <f>IFERROR(__xludf.DUMMYFUNCTION("""COMPUTED_VALUE"""),0.5365835687989665)</f>
        <v>0.5365835688</v>
      </c>
      <c r="W2301" s="82">
        <f>IFERROR(__xludf.DUMMYFUNCTION("""COMPUTED_VALUE"""),1.2221964927403208)</f>
        <v>1.222196493</v>
      </c>
      <c r="X2301" s="82">
        <f>IFERROR(__xludf.DUMMYFUNCTION("""COMPUTED_VALUE"""),2.4223708961432266)</f>
        <v>2.422370896</v>
      </c>
      <c r="Y2301" s="82">
        <f>IFERROR(__xludf.DUMMYFUNCTION("""COMPUTED_VALUE"""),342.76708274250984)</f>
        <v>342.7670827</v>
      </c>
      <c r="Z2301" s="82">
        <f>IFERROR(__xludf.DUMMYFUNCTION("""COMPUTED_VALUE"""),0.7839896516173908)</f>
        <v>0.7839896516</v>
      </c>
      <c r="AA2301" s="82">
        <f>IFERROR(__xludf.DUMMYFUNCTION("""COMPUTED_VALUE"""),0.5738647531544196)</f>
        <v>0.5738647532</v>
      </c>
      <c r="AB2301" s="82">
        <f>IFERROR(__xludf.DUMMYFUNCTION("""COMPUTED_VALUE"""),1.2440832494000826)</f>
        <v>1.244083249</v>
      </c>
      <c r="AC2301" s="82">
        <f>IFERROR(__xludf.DUMMYFUNCTION("""COMPUTED_VALUE"""),2.475789265068703)</f>
        <v>2.475789265</v>
      </c>
      <c r="AD2301" s="82">
        <f>IFERROR(__xludf.DUMMYFUNCTION("""COMPUTED_VALUE"""),1.2231337870764705)</f>
        <v>1.223133787</v>
      </c>
      <c r="AE2301" s="82">
        <f>IFERROR(__xludf.DUMMYFUNCTION("""COMPUTED_VALUE"""),1.806996640509281)</f>
        <v>1.806996641</v>
      </c>
      <c r="AF2301" s="82">
        <f>IFERROR(__xludf.DUMMYFUNCTION("""COMPUTED_VALUE"""),1.1133091645323128)</f>
        <v>1.113309165</v>
      </c>
      <c r="AG2301" s="82">
        <f>IFERROR(__xludf.DUMMYFUNCTION("""COMPUTED_VALUE"""),0.8261326388514506)</f>
        <v>0.8261326389</v>
      </c>
      <c r="AH2301" s="82">
        <f>IFERROR(__xludf.DUMMYFUNCTION("""COMPUTED_VALUE"""),1.2678336291282792)</f>
        <v>1.267833629</v>
      </c>
      <c r="AI2301" s="82">
        <f>IFERROR(__xludf.DUMMYFUNCTION("""COMPUTED_VALUE"""),0.9474905741314933)</f>
        <v>0.9474905741</v>
      </c>
      <c r="AJ2301" s="82">
        <f>IFERROR(__xludf.DUMMYFUNCTION("""COMPUTED_VALUE"""),0.8441337087253568)</f>
        <v>0.8441337087</v>
      </c>
      <c r="AK2301" s="82">
        <f>IFERROR(__xludf.DUMMYFUNCTION("""COMPUTED_VALUE"""),0.8455415523051282)</f>
        <v>0.8455415523</v>
      </c>
      <c r="AL2301" s="82">
        <f>IFERROR(__xludf.DUMMYFUNCTION("""COMPUTED_VALUE"""),1.0227488030155774)</f>
        <v>1.022748803</v>
      </c>
      <c r="AM2301" s="82">
        <f>IFERROR(__xludf.DUMMYFUNCTION("""COMPUTED_VALUE"""),0.9135524896234215)</f>
        <v>0.9135524896</v>
      </c>
      <c r="AN2301" s="82">
        <f>IFERROR(__xludf.DUMMYFUNCTION("""COMPUTED_VALUE"""),1.2754329141539134)</f>
        <v>1.275432914</v>
      </c>
      <c r="AO2301" s="82">
        <f>IFERROR(__xludf.DUMMYFUNCTION("""COMPUTED_VALUE"""),1.8682243359982262)</f>
        <v>1.868224336</v>
      </c>
      <c r="AP2301" s="82">
        <f>IFERROR(__xludf.DUMMYFUNCTION("""COMPUTED_VALUE"""),1.2390647981420444)</f>
        <v>1.239064798</v>
      </c>
      <c r="AQ2301" s="82">
        <f>IFERROR(__xludf.DUMMYFUNCTION("""COMPUTED_VALUE"""),0.8570513398629266)</f>
        <v>0.8570513399</v>
      </c>
      <c r="AR2301" s="82">
        <f>IFERROR(__xludf.DUMMYFUNCTION("""COMPUTED_VALUE"""),1.308558640920667)</f>
        <v>1.308558641</v>
      </c>
      <c r="AS2301" s="82">
        <f>IFERROR(__xludf.DUMMYFUNCTION("""COMPUTED_VALUE"""),113.0)</f>
        <v>113</v>
      </c>
      <c r="AT2301" s="82">
        <f>IFERROR(__xludf.DUMMYFUNCTION("""COMPUTED_VALUE"""),0.6915422544751254)</f>
        <v>0.6915422545</v>
      </c>
      <c r="AU2301" s="82">
        <f>IFERROR(__xludf.DUMMYFUNCTION("""COMPUTED_VALUE"""),4.9183329613574145)</f>
        <v>4.918332961</v>
      </c>
      <c r="AV2301" s="82">
        <f>IFERROR(__xludf.DUMMYFUNCTION("""COMPUTED_VALUE"""),100.641417527335)</f>
        <v>100.6414175</v>
      </c>
      <c r="AW2301" s="82">
        <f t="shared" si="1"/>
        <v>46.72899742</v>
      </c>
      <c r="AX2301" s="83">
        <f t="array" ref="AX2301">IFERROR(DGET('SBV Import'!A:G,"SBV",{"RSC ID","Tier";B2301,A2301}))</f>
        <v>82.09380408</v>
      </c>
      <c r="AY2301" s="82">
        <f t="shared" si="2"/>
        <v>10.03871499</v>
      </c>
      <c r="AZ2301" s="82">
        <v>36.690282425339404</v>
      </c>
      <c r="BA2301" s="84">
        <v>2300.0</v>
      </c>
      <c r="BB2301" s="84" t="b">
        <f>IFERROR(__xludf.DUMMYFUNCTION("iferror(if(A2301="""",,E2301&gt;=FILTER(Constants!$F$2:$F$10,Constants!$A$2:$A$10=A2301)))"),TRUE)</f>
        <v>1</v>
      </c>
    </row>
    <row r="2302">
      <c r="A2302" s="89" t="str">
        <f>IFERROR(__xludf.DUMMYFUNCTION("""COMPUTED_VALUE"""),"Challenger")</f>
        <v>Challenger</v>
      </c>
      <c r="B2302" s="87" t="str">
        <f>IFERROR(__xludf.DUMMYFUNCTION("""COMPUTED_VALUE"""),"RSC006355")</f>
        <v>RSC006355</v>
      </c>
      <c r="C2302" s="73" t="str">
        <f>IFERROR(__xludf.DUMMYFUNCTION("""COMPUTED_VALUE"""),"Heartlesswins")</f>
        <v>Heartlesswins</v>
      </c>
      <c r="D2302" s="73" t="str">
        <f>IFERROR(__xludf.DUMMYFUNCTION("""COMPUTED_VALUE"""),"Lilac")</f>
        <v>Lilac</v>
      </c>
      <c r="E2302" s="82">
        <f>IFERROR(__xludf.DUMMYFUNCTION("""COMPUTED_VALUE"""),30.0)</f>
        <v>30</v>
      </c>
      <c r="F2302" s="82">
        <f>IFERROR(__xludf.DUMMYFUNCTION("""COMPUTED_VALUE"""),19.0)</f>
        <v>19</v>
      </c>
      <c r="G2302" s="86">
        <f>IFERROR(__xludf.DUMMYFUNCTION("""COMPUTED_VALUE"""),11.0)</f>
        <v>11</v>
      </c>
      <c r="H2302" s="86">
        <f>IFERROR(__xludf.DUMMYFUNCTION("""COMPUTED_VALUE"""),0.6333333333333333)</f>
        <v>0.6333333333</v>
      </c>
      <c r="I2302" s="86">
        <f>IFERROR(__xludf.DUMMYFUNCTION("""COMPUTED_VALUE"""),0.38947368421052636)</f>
        <v>0.3894736842</v>
      </c>
      <c r="J2302" s="82">
        <f>IFERROR(__xludf.DUMMYFUNCTION("""COMPUTED_VALUE"""),398.43333333333334)</f>
        <v>398.4333333</v>
      </c>
      <c r="K2302" s="82">
        <f>IFERROR(__xludf.DUMMYFUNCTION("""COMPUTED_VALUE"""),1.2333333333333334)</f>
        <v>1.233333333</v>
      </c>
      <c r="L2302" s="82">
        <f>IFERROR(__xludf.DUMMYFUNCTION("""COMPUTED_VALUE"""),0.9)</f>
        <v>0.9</v>
      </c>
      <c r="M2302" s="82">
        <f>IFERROR(__xludf.DUMMYFUNCTION("""COMPUTED_VALUE"""),1.1333333333333333)</f>
        <v>1.133333333</v>
      </c>
      <c r="N2302" s="82">
        <f>IFERROR(__xludf.DUMMYFUNCTION("""COMPUTED_VALUE"""),3.1666666666666665)</f>
        <v>3.166666667</v>
      </c>
      <c r="O2302" s="82">
        <f>IFERROR(__xludf.DUMMYFUNCTION("""COMPUTED_VALUE"""),334.6111111111111)</f>
        <v>334.6111111</v>
      </c>
      <c r="P2302" s="82">
        <f>IFERROR(__xludf.DUMMYFUNCTION("""COMPUTED_VALUE"""),0.6444444444444444)</f>
        <v>0.6444444444</v>
      </c>
      <c r="Q2302" s="82">
        <f>IFERROR(__xludf.DUMMYFUNCTION("""COMPUTED_VALUE"""),0.5333333333333334)</f>
        <v>0.5333333333</v>
      </c>
      <c r="R2302" s="82">
        <f>IFERROR(__xludf.DUMMYFUNCTION("""COMPUTED_VALUE"""),1.377777777777778)</f>
        <v>1.377777778</v>
      </c>
      <c r="S2302" s="82">
        <f>IFERROR(__xludf.DUMMYFUNCTION("""COMPUTED_VALUE"""),2.4)</f>
        <v>2.4</v>
      </c>
      <c r="T2302" s="82">
        <f>IFERROR(__xludf.DUMMYFUNCTION("""COMPUTED_VALUE"""),335.1539496050294)</f>
        <v>335.1539496</v>
      </c>
      <c r="U2302" s="82">
        <f>IFERROR(__xludf.DUMMYFUNCTION("""COMPUTED_VALUE"""),0.7876769873251596)</f>
        <v>0.7876769873</v>
      </c>
      <c r="V2302" s="82">
        <f>IFERROR(__xludf.DUMMYFUNCTION("""COMPUTED_VALUE"""),0.5336107158692073)</f>
        <v>0.5336107159</v>
      </c>
      <c r="W2302" s="82">
        <f>IFERROR(__xludf.DUMMYFUNCTION("""COMPUTED_VALUE"""),1.229478773497672)</f>
        <v>1.229478773</v>
      </c>
      <c r="X2302" s="82">
        <f>IFERROR(__xludf.DUMMYFUNCTION("""COMPUTED_VALUE"""),2.360896373636637)</f>
        <v>2.360896374</v>
      </c>
      <c r="Y2302" s="82">
        <f>IFERROR(__xludf.DUMMYFUNCTION("""COMPUTED_VALUE"""),342.37195934748064)</f>
        <v>342.3719593</v>
      </c>
      <c r="Z2302" s="82">
        <f>IFERROR(__xludf.DUMMYFUNCTION("""COMPUTED_VALUE"""),0.8425525605403443)</f>
        <v>0.8425525605</v>
      </c>
      <c r="AA2302" s="82">
        <f>IFERROR(__xludf.DUMMYFUNCTION("""COMPUTED_VALUE"""),0.5911984149723094)</f>
        <v>0.591198415</v>
      </c>
      <c r="AB2302" s="82">
        <f>IFERROR(__xludf.DUMMYFUNCTION("""COMPUTED_VALUE"""),1.194503938192977)</f>
        <v>1.194503938</v>
      </c>
      <c r="AC2302" s="82">
        <f>IFERROR(__xludf.DUMMYFUNCTION("""COMPUTED_VALUE"""),2.533754348795171)</f>
        <v>2.533754349</v>
      </c>
      <c r="AD2302" s="82">
        <f>IFERROR(__xludf.DUMMYFUNCTION("""COMPUTED_VALUE"""),1.1637440580493184)</f>
        <v>1.163744058</v>
      </c>
      <c r="AE2302" s="82">
        <f>IFERROR(__xludf.DUMMYFUNCTION("""COMPUTED_VALUE"""),1.4638058099810107)</f>
        <v>1.46380581</v>
      </c>
      <c r="AF2302" s="82">
        <f>IFERROR(__xludf.DUMMYFUNCTION("""COMPUTED_VALUE"""),1.5223315509771018)</f>
        <v>1.522331551</v>
      </c>
      <c r="AG2302" s="82">
        <f>IFERROR(__xludf.DUMMYFUNCTION("""COMPUTED_VALUE"""),0.9487899512895861)</f>
        <v>0.9487899513</v>
      </c>
      <c r="AH2302" s="82">
        <f>IFERROR(__xludf.DUMMYFUNCTION("""COMPUTED_VALUE"""),1.2497922966259347)</f>
        <v>1.249792297</v>
      </c>
      <c r="AI2302" s="82">
        <f>IFERROR(__xludf.DUMMYFUNCTION("""COMPUTED_VALUE"""),0.9983803309059671)</f>
        <v>0.9983803309</v>
      </c>
      <c r="AJ2302" s="82">
        <f>IFERROR(__xludf.DUMMYFUNCTION("""COMPUTED_VALUE"""),0.8181582740317033)</f>
        <v>0.818158274</v>
      </c>
      <c r="AK2302" s="82">
        <f>IFERROR(__xludf.DUMMYFUNCTION("""COMPUTED_VALUE"""),0.9994801781005803)</f>
        <v>0.9994801781</v>
      </c>
      <c r="AL2302" s="82">
        <f>IFERROR(__xludf.DUMMYFUNCTION("""COMPUTED_VALUE"""),1.120619410010812)</f>
        <v>1.12061941</v>
      </c>
      <c r="AM2302" s="82">
        <f>IFERROR(__xludf.DUMMYFUNCTION("""COMPUTED_VALUE"""),1.0165630422410827)</f>
        <v>1.016563042</v>
      </c>
      <c r="AN2302" s="82">
        <f>IFERROR(__xludf.DUMMYFUNCTION("""COMPUTED_VALUE"""),1.2121049193306879)</f>
        <v>1.212104919</v>
      </c>
      <c r="AO2302" s="82">
        <f>IFERROR(__xludf.DUMMYFUNCTION("""COMPUTED_VALUE"""),1.6264541278102205)</f>
        <v>1.626454128</v>
      </c>
      <c r="AP2302" s="82">
        <f>IFERROR(__xludf.DUMMYFUNCTION("""COMPUTED_VALUE"""),1.7454651939044452)</f>
        <v>1.745465194</v>
      </c>
      <c r="AQ2302" s="82">
        <f>IFERROR(__xludf.DUMMYFUNCTION("""COMPUTED_VALUE"""),0.9450728288218219)</f>
        <v>0.9450728288</v>
      </c>
      <c r="AR2302" s="82">
        <f>IFERROR(__xludf.DUMMYFUNCTION("""COMPUTED_VALUE"""),1.3201388058845667)</f>
        <v>1.320138806</v>
      </c>
      <c r="AS2302" s="82">
        <f>IFERROR(__xludf.DUMMYFUNCTION("""COMPUTED_VALUE"""),94.0)</f>
        <v>94</v>
      </c>
      <c r="AT2302" s="82">
        <f>IFERROR(__xludf.DUMMYFUNCTION("""COMPUTED_VALUE"""),0.6833592576102556)</f>
        <v>0.6833592576</v>
      </c>
      <c r="AU2302" s="82">
        <f>IFERROR(__xludf.DUMMYFUNCTION("""COMPUTED_VALUE"""),4.845769219568065)</f>
        <v>4.84576922</v>
      </c>
      <c r="AV2302" s="82">
        <f>IFERROR(__xludf.DUMMYFUNCTION("""COMPUTED_VALUE"""),98.72267562665336)</f>
        <v>98.72267563</v>
      </c>
      <c r="AW2302" s="82">
        <f t="shared" si="1"/>
        <v>38.98139359</v>
      </c>
      <c r="AX2302" s="83">
        <f t="array" ref="AX2302">IFERROR(DGET('SBV Import'!A:G,"SBV",{"RSC ID","Tier";B2302,A2302}))</f>
        <v>73.15414494</v>
      </c>
      <c r="AY2302" s="82">
        <f t="shared" si="2"/>
        <v>5.643980677</v>
      </c>
      <c r="AZ2302" s="82">
        <v>33.33741291522468</v>
      </c>
      <c r="BA2302" s="84">
        <v>2300.0</v>
      </c>
      <c r="BB2302" s="84" t="b">
        <f>IFERROR(__xludf.DUMMYFUNCTION("iferror(if(A2302="""",,E2302&gt;=FILTER(Constants!$F$2:$F$10,Constants!$A$2:$A$10=A2302)))"),TRUE)</f>
        <v>1</v>
      </c>
    </row>
    <row r="2303">
      <c r="A2303" s="89" t="str">
        <f>IFERROR(__xludf.DUMMYFUNCTION("""COMPUTED_VALUE"""),"Challenger")</f>
        <v>Challenger</v>
      </c>
      <c r="B2303" s="87" t="str">
        <f>IFERROR(__xludf.DUMMYFUNCTION("""COMPUTED_VALUE"""),"RSC004997")</f>
        <v>RSC004997</v>
      </c>
      <c r="C2303" s="73" t="str">
        <f>IFERROR(__xludf.DUMMYFUNCTION("""COMPUTED_VALUE"""),"evelynnx")</f>
        <v>evelynnx</v>
      </c>
      <c r="D2303" s="73" t="str">
        <f>IFERROR(__xludf.DUMMYFUNCTION("""COMPUTED_VALUE"""),"Deceased")</f>
        <v>Deceased</v>
      </c>
      <c r="E2303" s="82">
        <f>IFERROR(__xludf.DUMMYFUNCTION("""COMPUTED_VALUE"""),19.0)</f>
        <v>19</v>
      </c>
      <c r="F2303" s="82">
        <f>IFERROR(__xludf.DUMMYFUNCTION("""COMPUTED_VALUE"""),15.0)</f>
        <v>15</v>
      </c>
      <c r="G2303" s="86">
        <f>IFERROR(__xludf.DUMMYFUNCTION("""COMPUTED_VALUE"""),4.0)</f>
        <v>4</v>
      </c>
      <c r="H2303" s="86">
        <f>IFERROR(__xludf.DUMMYFUNCTION("""COMPUTED_VALUE"""),0.7894736842105263)</f>
        <v>0.7894736842</v>
      </c>
      <c r="I2303" s="86">
        <f>IFERROR(__xludf.DUMMYFUNCTION("""COMPUTED_VALUE"""),0.3333333333333333)</f>
        <v>0.3333333333</v>
      </c>
      <c r="J2303" s="82">
        <f>IFERROR(__xludf.DUMMYFUNCTION("""COMPUTED_VALUE"""),402.63157894736844)</f>
        <v>402.6315789</v>
      </c>
      <c r="K2303" s="82">
        <f>IFERROR(__xludf.DUMMYFUNCTION("""COMPUTED_VALUE"""),1.1578947368421053)</f>
        <v>1.157894737</v>
      </c>
      <c r="L2303" s="82">
        <f>IFERROR(__xludf.DUMMYFUNCTION("""COMPUTED_VALUE"""),0.8421052631578947)</f>
        <v>0.8421052632</v>
      </c>
      <c r="M2303" s="82">
        <f>IFERROR(__xludf.DUMMYFUNCTION("""COMPUTED_VALUE"""),1.0526315789473684)</f>
        <v>1.052631579</v>
      </c>
      <c r="N2303" s="82">
        <f>IFERROR(__xludf.DUMMYFUNCTION("""COMPUTED_VALUE"""),3.473684210526316)</f>
        <v>3.473684211</v>
      </c>
      <c r="O2303" s="82">
        <f>IFERROR(__xludf.DUMMYFUNCTION("""COMPUTED_VALUE"""),325.1578947368421)</f>
        <v>325.1578947</v>
      </c>
      <c r="P2303" s="82">
        <f>IFERROR(__xludf.DUMMYFUNCTION("""COMPUTED_VALUE"""),0.5614035087719299)</f>
        <v>0.5614035088</v>
      </c>
      <c r="Q2303" s="82">
        <f>IFERROR(__xludf.DUMMYFUNCTION("""COMPUTED_VALUE"""),0.40350877192982454)</f>
        <v>0.4035087719</v>
      </c>
      <c r="R2303" s="82">
        <f>IFERROR(__xludf.DUMMYFUNCTION("""COMPUTED_VALUE"""),1.5087719298245614)</f>
        <v>1.50877193</v>
      </c>
      <c r="S2303" s="82">
        <f>IFERROR(__xludf.DUMMYFUNCTION("""COMPUTED_VALUE"""),2.0175438596491224)</f>
        <v>2.01754386</v>
      </c>
      <c r="T2303" s="82">
        <f>IFERROR(__xludf.DUMMYFUNCTION("""COMPUTED_VALUE"""),325.97350624062034)</f>
        <v>325.9735062</v>
      </c>
      <c r="U2303" s="82">
        <f>IFERROR(__xludf.DUMMYFUNCTION("""COMPUTED_VALUE"""),0.7235067052498834)</f>
        <v>0.7235067052</v>
      </c>
      <c r="V2303" s="82">
        <f>IFERROR(__xludf.DUMMYFUNCTION("""COMPUTED_VALUE"""),0.4695235250989581)</f>
        <v>0.4695235251</v>
      </c>
      <c r="W2303" s="82">
        <f>IFERROR(__xludf.DUMMYFUNCTION("""COMPUTED_VALUE"""),1.257993869549475)</f>
        <v>1.25799387</v>
      </c>
      <c r="X2303" s="82">
        <f>IFERROR(__xludf.DUMMYFUNCTION("""COMPUTED_VALUE"""),2.2536678950604987)</f>
        <v>2.253667895</v>
      </c>
      <c r="Y2303" s="82">
        <f>IFERROR(__xludf.DUMMYFUNCTION("""COMPUTED_VALUE"""),345.82187086887393)</f>
        <v>345.8218709</v>
      </c>
      <c r="Z2303" s="82">
        <f>IFERROR(__xludf.DUMMYFUNCTION("""COMPUTED_VALUE"""),0.8662199803859917)</f>
        <v>0.8662199804</v>
      </c>
      <c r="AA2303" s="82">
        <f>IFERROR(__xludf.DUMMYFUNCTION("""COMPUTED_VALUE"""),0.6165814646931068)</f>
        <v>0.6165814647</v>
      </c>
      <c r="AB2303" s="82">
        <f>IFERROR(__xludf.DUMMYFUNCTION("""COMPUTED_VALUE"""),1.116731984557172)</f>
        <v>1.116731985</v>
      </c>
      <c r="AC2303" s="82">
        <f>IFERROR(__xludf.DUMMYFUNCTION("""COMPUTED_VALUE"""),2.63819007071118)</f>
        <v>2.638190071</v>
      </c>
      <c r="AD2303" s="82">
        <f>IFERROR(__xludf.DUMMYFUNCTION("""COMPUTED_VALUE"""),1.1642744801991867)</f>
        <v>1.16427448</v>
      </c>
      <c r="AE2303" s="82">
        <f>IFERROR(__xludf.DUMMYFUNCTION("""COMPUTED_VALUE"""),1.3367213445320691)</f>
        <v>1.336721345</v>
      </c>
      <c r="AF2303" s="82">
        <f>IFERROR(__xludf.DUMMYFUNCTION("""COMPUTED_VALUE"""),1.3657648038074557)</f>
        <v>1.365764804</v>
      </c>
      <c r="AG2303" s="82">
        <f>IFERROR(__xludf.DUMMYFUNCTION("""COMPUTED_VALUE"""),0.9426000092267243)</f>
        <v>0.9426000092</v>
      </c>
      <c r="AH2303" s="82">
        <f>IFERROR(__xludf.DUMMYFUNCTION("""COMPUTED_VALUE"""),1.3166921705493004)</f>
        <v>1.316692171</v>
      </c>
      <c r="AI2303" s="82">
        <f>IFERROR(__xludf.DUMMYFUNCTION("""COMPUTED_VALUE"""),0.9974979208795692)</f>
        <v>0.9974979209</v>
      </c>
      <c r="AJ2303" s="82">
        <f>IFERROR(__xludf.DUMMYFUNCTION("""COMPUTED_VALUE"""),0.7759479002727879)</f>
        <v>0.7759479003</v>
      </c>
      <c r="AK2303" s="82">
        <f>IFERROR(__xludf.DUMMYFUNCTION("""COMPUTED_VALUE"""),0.8594005419532065)</f>
        <v>0.859400542</v>
      </c>
      <c r="AL2303" s="82">
        <f>IFERROR(__xludf.DUMMYFUNCTION("""COMPUTED_VALUE"""),1.1993476012445892)</f>
        <v>1.199347601</v>
      </c>
      <c r="AM2303" s="82">
        <f>IFERROR(__xludf.DUMMYFUNCTION("""COMPUTED_VALUE"""),0.8952267830016554)</f>
        <v>0.895226783</v>
      </c>
      <c r="AN2303" s="82">
        <f>IFERROR(__xludf.DUMMYFUNCTION("""COMPUTED_VALUE"""),1.2248767276499308)</f>
        <v>1.224876728</v>
      </c>
      <c r="AO2303" s="82">
        <f>IFERROR(__xludf.DUMMYFUNCTION("""COMPUTED_VALUE"""),1.526969735924247)</f>
        <v>1.526969736</v>
      </c>
      <c r="AP2303" s="82">
        <f>IFERROR(__xludf.DUMMYFUNCTION("""COMPUTED_VALUE"""),1.633183807162054)</f>
        <v>1.633183807</v>
      </c>
      <c r="AQ2303" s="82">
        <f>IFERROR(__xludf.DUMMYFUNCTION("""COMPUTED_VALUE"""),0.8777766211967385)</f>
        <v>0.8777766212</v>
      </c>
      <c r="AR2303" s="82">
        <f>IFERROR(__xludf.DUMMYFUNCTION("""COMPUTED_VALUE"""),1.4481301028539846)</f>
        <v>1.448130103</v>
      </c>
      <c r="AS2303" s="82">
        <f>IFERROR(__xludf.DUMMYFUNCTION("""COMPUTED_VALUE"""),64.0)</f>
        <v>64</v>
      </c>
      <c r="AT2303" s="82">
        <f>IFERROR(__xludf.DUMMYFUNCTION("""COMPUTED_VALUE"""),0.7508975913226639)</f>
        <v>0.7508975913</v>
      </c>
      <c r="AU2303" s="82">
        <f>IFERROR(__xludf.DUMMYFUNCTION("""COMPUTED_VALUE"""),4.840960216942653)</f>
        <v>4.840960217</v>
      </c>
      <c r="AV2303" s="82">
        <f>IFERROR(__xludf.DUMMYFUNCTION("""COMPUTED_VALUE"""),98.59551522105228)</f>
        <v>98.59551522</v>
      </c>
      <c r="AW2303" s="82">
        <f t="shared" si="1"/>
        <v>38.52296211</v>
      </c>
      <c r="AX2303" s="83">
        <f t="array" ref="AX2303">IFERROR(DGET('SBV Import'!A:G,"SBV",{"RSC ID","Tier";B2303,A2303}))</f>
        <v>76.71195015</v>
      </c>
      <c r="AY2303" s="82">
        <f t="shared" si="2"/>
        <v>7.010043205</v>
      </c>
      <c r="AZ2303" s="82">
        <v>31.512918903100157</v>
      </c>
      <c r="BA2303" s="84">
        <v>2300.0</v>
      </c>
      <c r="BB2303" s="84" t="b">
        <f>IFERROR(__xludf.DUMMYFUNCTION("iferror(if(A2303="""",,E2303&gt;=FILTER(Constants!$F$2:$F$10,Constants!$A$2:$A$10=A2303)))"),TRUE)</f>
        <v>1</v>
      </c>
    </row>
    <row r="2304">
      <c r="A2304" s="89" t="str">
        <f>IFERROR(__xludf.DUMMYFUNCTION("""COMPUTED_VALUE"""),"Challenger")</f>
        <v>Challenger</v>
      </c>
      <c r="B2304" s="87" t="str">
        <f>IFERROR(__xludf.DUMMYFUNCTION("""COMPUTED_VALUE"""),"RSC007647")</f>
        <v>RSC007647</v>
      </c>
      <c r="C2304" s="73" t="str">
        <f>IFERROR(__xludf.DUMMYFUNCTION("""COMPUTED_VALUE"""),"I'm Pale")</f>
        <v>I'm Pale</v>
      </c>
      <c r="D2304" s="73" t="str">
        <f>IFERROR(__xludf.DUMMYFUNCTION("""COMPUTED_VALUE"""),"Cassowaries")</f>
        <v>Cassowaries</v>
      </c>
      <c r="E2304" s="82">
        <f>IFERROR(__xludf.DUMMYFUNCTION("""COMPUTED_VALUE"""),36.0)</f>
        <v>36</v>
      </c>
      <c r="F2304" s="82">
        <f>IFERROR(__xludf.DUMMYFUNCTION("""COMPUTED_VALUE"""),27.0)</f>
        <v>27</v>
      </c>
      <c r="G2304" s="86">
        <f>IFERROR(__xludf.DUMMYFUNCTION("""COMPUTED_VALUE"""),9.0)</f>
        <v>9</v>
      </c>
      <c r="H2304" s="86">
        <f>IFERROR(__xludf.DUMMYFUNCTION("""COMPUTED_VALUE"""),0.75)</f>
        <v>0.75</v>
      </c>
      <c r="I2304" s="86">
        <f>IFERROR(__xludf.DUMMYFUNCTION("""COMPUTED_VALUE"""),0.34782608695652173)</f>
        <v>0.347826087</v>
      </c>
      <c r="J2304" s="82">
        <f>IFERROR(__xludf.DUMMYFUNCTION("""COMPUTED_VALUE"""),435.8611111111111)</f>
        <v>435.8611111</v>
      </c>
      <c r="K2304" s="82">
        <f>IFERROR(__xludf.DUMMYFUNCTION("""COMPUTED_VALUE"""),1.1111111111111112)</f>
        <v>1.111111111</v>
      </c>
      <c r="L2304" s="82">
        <f>IFERROR(__xludf.DUMMYFUNCTION("""COMPUTED_VALUE"""),0.9722222222222222)</f>
        <v>0.9722222222</v>
      </c>
      <c r="M2304" s="82">
        <f>IFERROR(__xludf.DUMMYFUNCTION("""COMPUTED_VALUE"""),1.4166666666666667)</f>
        <v>1.416666667</v>
      </c>
      <c r="N2304" s="82">
        <f>IFERROR(__xludf.DUMMYFUNCTION("""COMPUTED_VALUE"""),3.1944444444444446)</f>
        <v>3.194444444</v>
      </c>
      <c r="O2304" s="82">
        <f>IFERROR(__xludf.DUMMYFUNCTION("""COMPUTED_VALUE"""),322.08333333333326)</f>
        <v>322.0833333</v>
      </c>
      <c r="P2304" s="82">
        <f>IFERROR(__xludf.DUMMYFUNCTION("""COMPUTED_VALUE"""),0.7129629629629631)</f>
        <v>0.712962963</v>
      </c>
      <c r="Q2304" s="82">
        <f>IFERROR(__xludf.DUMMYFUNCTION("""COMPUTED_VALUE"""),0.44444444444444453)</f>
        <v>0.4444444444</v>
      </c>
      <c r="R2304" s="82">
        <f>IFERROR(__xludf.DUMMYFUNCTION("""COMPUTED_VALUE"""),1.2777777777777777)</f>
        <v>1.277777778</v>
      </c>
      <c r="S2304" s="82">
        <f>IFERROR(__xludf.DUMMYFUNCTION("""COMPUTED_VALUE"""),2.398148148148147)</f>
        <v>2.398148148</v>
      </c>
      <c r="T2304" s="82">
        <f>IFERROR(__xludf.DUMMYFUNCTION("""COMPUTED_VALUE"""),316.4738613322481)</f>
        <v>316.4738613</v>
      </c>
      <c r="U2304" s="82">
        <f>IFERROR(__xludf.DUMMYFUNCTION("""COMPUTED_VALUE"""),0.6802615228983347)</f>
        <v>0.6802615229</v>
      </c>
      <c r="V2304" s="82">
        <f>IFERROR(__xludf.DUMMYFUNCTION("""COMPUTED_VALUE"""),0.4476486266373476)</f>
        <v>0.4476486266</v>
      </c>
      <c r="W2304" s="82">
        <f>IFERROR(__xludf.DUMMYFUNCTION("""COMPUTED_VALUE"""),1.2048384271228598)</f>
        <v>1.204838427</v>
      </c>
      <c r="X2304" s="82">
        <f>IFERROR(__xludf.DUMMYFUNCTION("""COMPUTED_VALUE"""),2.319022296670239)</f>
        <v>2.319022297</v>
      </c>
      <c r="Y2304" s="82">
        <f>IFERROR(__xludf.DUMMYFUNCTION("""COMPUTED_VALUE"""),345.9012490151765)</f>
        <v>345.901249</v>
      </c>
      <c r="Z2304" s="82">
        <f>IFERROR(__xludf.DUMMYFUNCTION("""COMPUTED_VALUE"""),0.8379194763209228)</f>
        <v>0.8379194763</v>
      </c>
      <c r="AA2304" s="82">
        <f>IFERROR(__xludf.DUMMYFUNCTION("""COMPUTED_VALUE"""),0.5879163744889324)</f>
        <v>0.5879163745</v>
      </c>
      <c r="AB2304" s="82">
        <f>IFERROR(__xludf.DUMMYFUNCTION("""COMPUTED_VALUE"""),1.2111797856103057)</f>
        <v>1.211179786</v>
      </c>
      <c r="AC2304" s="82">
        <f>IFERROR(__xludf.DUMMYFUNCTION("""COMPUTED_VALUE"""),2.5374191106794735)</f>
        <v>2.537419111</v>
      </c>
      <c r="AD2304" s="82">
        <f>IFERROR(__xludf.DUMMYFUNCTION("""COMPUTED_VALUE"""),1.26007382844688)</f>
        <v>1.260073828</v>
      </c>
      <c r="AE2304" s="82">
        <f>IFERROR(__xludf.DUMMYFUNCTION("""COMPUTED_VALUE"""),1.3260356663264337)</f>
        <v>1.326035666</v>
      </c>
      <c r="AF2304" s="82">
        <f>IFERROR(__xludf.DUMMYFUNCTION("""COMPUTED_VALUE"""),1.6536743394285651)</f>
        <v>1.653674339</v>
      </c>
      <c r="AG2304" s="82">
        <f>IFERROR(__xludf.DUMMYFUNCTION("""COMPUTED_VALUE"""),1.1696584466630753)</f>
        <v>1.169658447</v>
      </c>
      <c r="AH2304" s="82">
        <f>IFERROR(__xludf.DUMMYFUNCTION("""COMPUTED_VALUE"""),1.258934494108477)</f>
        <v>1.258934494</v>
      </c>
      <c r="AI2304" s="82">
        <f>IFERROR(__xludf.DUMMYFUNCTION("""COMPUTED_VALUE"""),1.0177249140812805)</f>
        <v>1.017724914</v>
      </c>
      <c r="AJ2304" s="82">
        <f>IFERROR(__xludf.DUMMYFUNCTION("""COMPUTED_VALUE"""),1.0480718649576122)</f>
        <v>1.048071865</v>
      </c>
      <c r="AK2304" s="82">
        <f>IFERROR(__xludf.DUMMYFUNCTION("""COMPUTED_VALUE"""),0.9928421936263442)</f>
        <v>0.9928421936</v>
      </c>
      <c r="AL2304" s="82">
        <f>IFERROR(__xludf.DUMMYFUNCTION("""COMPUTED_VALUE"""),1.0605386988105088)</f>
        <v>1.060538699</v>
      </c>
      <c r="AM2304" s="82">
        <f>IFERROR(__xludf.DUMMYFUNCTION("""COMPUTED_VALUE"""),1.0341203495936717)</f>
        <v>1.03412035</v>
      </c>
      <c r="AN2304" s="82">
        <f>IFERROR(__xludf.DUMMYFUNCTION("""COMPUTED_VALUE"""),1.3259668625183232)</f>
        <v>1.325966863</v>
      </c>
      <c r="AO2304" s="82">
        <f>IFERROR(__xludf.DUMMYFUNCTION("""COMPUTED_VALUE"""),1.4652739890182167)</f>
        <v>1.465273989</v>
      </c>
      <c r="AP2304" s="82">
        <f>IFERROR(__xludf.DUMMYFUNCTION("""COMPUTED_VALUE"""),1.8855333884770242)</f>
        <v>1.885533388</v>
      </c>
      <c r="AQ2304" s="82">
        <f>IFERROR(__xludf.DUMMYFUNCTION("""COMPUTED_VALUE"""),1.1813410360272774)</f>
        <v>1.181341036</v>
      </c>
      <c r="AR2304" s="82">
        <f>IFERROR(__xludf.DUMMYFUNCTION("""COMPUTED_VALUE"""),1.3317189708484665)</f>
        <v>1.331718971</v>
      </c>
      <c r="AS2304" s="82">
        <f>IFERROR(__xludf.DUMMYFUNCTION("""COMPUTED_VALUE"""),113.0)</f>
        <v>113</v>
      </c>
      <c r="AT2304" s="82">
        <f>IFERROR(__xludf.DUMMYFUNCTION("""COMPUTED_VALUE"""),0.6498327469893497)</f>
        <v>0.649832747</v>
      </c>
      <c r="AU2304" s="82">
        <f>IFERROR(__xludf.DUMMYFUNCTION("""COMPUTED_VALUE"""),4.840763811341232)</f>
        <v>4.840763811</v>
      </c>
      <c r="AV2304" s="82">
        <f>IFERROR(__xludf.DUMMYFUNCTION("""COMPUTED_VALUE"""),98.59032183317451)</f>
        <v>98.59032183</v>
      </c>
      <c r="AW2304" s="82">
        <f t="shared" si="1"/>
        <v>38.50437291</v>
      </c>
      <c r="AX2304" s="83">
        <f t="array" ref="AX2304">IFERROR(DGET('SBV Import'!A:G,"SBV",{"RSC ID","Tier";B2304,A2304}))</f>
        <v>83.22348422</v>
      </c>
      <c r="AY2304" s="82">
        <f t="shared" si="2"/>
        <v>10.87737008</v>
      </c>
      <c r="AZ2304" s="82">
        <v>27.627002823527093</v>
      </c>
      <c r="BA2304" s="84">
        <v>2300.0</v>
      </c>
      <c r="BB2304" s="84" t="b">
        <f>IFERROR(__xludf.DUMMYFUNCTION("iferror(if(A2304="""",,E2304&gt;=FILTER(Constants!$F$2:$F$10,Constants!$A$2:$A$10=A2304)))"),TRUE)</f>
        <v>1</v>
      </c>
    </row>
    <row r="2305">
      <c r="A2305" s="89" t="str">
        <f>IFERROR(__xludf.DUMMYFUNCTION("""COMPUTED_VALUE"""),"Challenger")</f>
        <v>Challenger</v>
      </c>
      <c r="B2305" s="87" t="str">
        <f>IFERROR(__xludf.DUMMYFUNCTION("""COMPUTED_VALUE"""),"RSC006769")</f>
        <v>RSC006769</v>
      </c>
      <c r="C2305" s="73" t="str">
        <f>IFERROR(__xludf.DUMMYFUNCTION("""COMPUTED_VALUE"""),"baltostorm")</f>
        <v>baltostorm</v>
      </c>
      <c r="D2305" s="73" t="str">
        <f>IFERROR(__xludf.DUMMYFUNCTION("""COMPUTED_VALUE"""),"Decuriones")</f>
        <v>Decuriones</v>
      </c>
      <c r="E2305" s="82">
        <f>IFERROR(__xludf.DUMMYFUNCTION("""COMPUTED_VALUE"""),12.0)</f>
        <v>12</v>
      </c>
      <c r="F2305" s="82">
        <f>IFERROR(__xludf.DUMMYFUNCTION("""COMPUTED_VALUE"""),10.0)</f>
        <v>10</v>
      </c>
      <c r="G2305" s="86">
        <f>IFERROR(__xludf.DUMMYFUNCTION("""COMPUTED_VALUE"""),2.0)</f>
        <v>2</v>
      </c>
      <c r="H2305" s="86">
        <f>IFERROR(__xludf.DUMMYFUNCTION("""COMPUTED_VALUE"""),0.8333333333333334)</f>
        <v>0.8333333333</v>
      </c>
      <c r="I2305" s="86">
        <f>IFERROR(__xludf.DUMMYFUNCTION("""COMPUTED_VALUE"""),0.3611111111111111)</f>
        <v>0.3611111111</v>
      </c>
      <c r="J2305" s="82">
        <f>IFERROR(__xludf.DUMMYFUNCTION("""COMPUTED_VALUE"""),400.3333333333333)</f>
        <v>400.3333333</v>
      </c>
      <c r="K2305" s="82">
        <f>IFERROR(__xludf.DUMMYFUNCTION("""COMPUTED_VALUE"""),1.0833333333333333)</f>
        <v>1.083333333</v>
      </c>
      <c r="L2305" s="82">
        <f>IFERROR(__xludf.DUMMYFUNCTION("""COMPUTED_VALUE"""),0.75)</f>
        <v>0.75</v>
      </c>
      <c r="M2305" s="82">
        <f>IFERROR(__xludf.DUMMYFUNCTION("""COMPUTED_VALUE"""),1.3333333333333333)</f>
        <v>1.333333333</v>
      </c>
      <c r="N2305" s="82">
        <f>IFERROR(__xludf.DUMMYFUNCTION("""COMPUTED_VALUE"""),3.0)</f>
        <v>3</v>
      </c>
      <c r="O2305" s="82">
        <f>IFERROR(__xludf.DUMMYFUNCTION("""COMPUTED_VALUE"""),269.22222222222223)</f>
        <v>269.2222222</v>
      </c>
      <c r="P2305" s="82">
        <f>IFERROR(__xludf.DUMMYFUNCTION("""COMPUTED_VALUE"""),0.4166666666666666)</f>
        <v>0.4166666667</v>
      </c>
      <c r="Q2305" s="82">
        <f>IFERROR(__xludf.DUMMYFUNCTION("""COMPUTED_VALUE"""),0.3333333333333333)</f>
        <v>0.3333333333</v>
      </c>
      <c r="R2305" s="82">
        <f>IFERROR(__xludf.DUMMYFUNCTION("""COMPUTED_VALUE"""),1.25)</f>
        <v>1.25</v>
      </c>
      <c r="S2305" s="82">
        <f>IFERROR(__xludf.DUMMYFUNCTION("""COMPUTED_VALUE"""),1.6666666666666667)</f>
        <v>1.666666667</v>
      </c>
      <c r="T2305" s="82">
        <f>IFERROR(__xludf.DUMMYFUNCTION("""COMPUTED_VALUE"""),318.11814161252806)</f>
        <v>318.1181416</v>
      </c>
      <c r="U2305" s="82">
        <f>IFERROR(__xludf.DUMMYFUNCTION("""COMPUTED_VALUE"""),0.6626146748834132)</f>
        <v>0.6626146749</v>
      </c>
      <c r="V2305" s="82">
        <f>IFERROR(__xludf.DUMMYFUNCTION("""COMPUTED_VALUE"""),0.4172419004467549)</f>
        <v>0.4172419004</v>
      </c>
      <c r="W2305" s="82">
        <f>IFERROR(__xludf.DUMMYFUNCTION("""COMPUTED_VALUE"""),1.2470090138970595)</f>
        <v>1.247009014</v>
      </c>
      <c r="X2305" s="82">
        <f>IFERROR(__xludf.DUMMYFUNCTION("""COMPUTED_VALUE"""),2.0783967475440437)</f>
        <v>2.078396748</v>
      </c>
      <c r="Y2305" s="82">
        <f>IFERROR(__xludf.DUMMYFUNCTION("""COMPUTED_VALUE"""),339.1660743877016)</f>
        <v>339.1660744</v>
      </c>
      <c r="Z2305" s="82">
        <f>IFERROR(__xludf.DUMMYFUNCTION("""COMPUTED_VALUE"""),0.8576167029815828)</f>
        <v>0.857616703</v>
      </c>
      <c r="AA2305" s="82">
        <f>IFERROR(__xludf.DUMMYFUNCTION("""COMPUTED_VALUE"""),0.5726742419737361)</f>
        <v>0.572674242</v>
      </c>
      <c r="AB2305" s="82">
        <f>IFERROR(__xludf.DUMMYFUNCTION("""COMPUTED_VALUE"""),1.127441681017345)</f>
        <v>1.127441681</v>
      </c>
      <c r="AC2305" s="82">
        <f>IFERROR(__xludf.DUMMYFUNCTION("""COMPUTED_VALUE"""),2.640037705957219)</f>
        <v>2.640037706</v>
      </c>
      <c r="AD2305" s="82">
        <f>IFERROR(__xludf.DUMMYFUNCTION("""COMPUTED_VALUE"""),1.18034604155518)</f>
        <v>1.180346042</v>
      </c>
      <c r="AE2305" s="82">
        <f>IFERROR(__xludf.DUMMYFUNCTION("""COMPUTED_VALUE"""),1.2631905716936553)</f>
        <v>1.263190572</v>
      </c>
      <c r="AF2305" s="82">
        <f>IFERROR(__xludf.DUMMYFUNCTION("""COMPUTED_VALUE"""),1.309645073986751)</f>
        <v>1.309645074</v>
      </c>
      <c r="AG2305" s="82">
        <f>IFERROR(__xludf.DUMMYFUNCTION("""COMPUTED_VALUE"""),1.1826184500560617)</f>
        <v>1.18261845</v>
      </c>
      <c r="AH2305" s="82">
        <f>IFERROR(__xludf.DUMMYFUNCTION("""COMPUTED_VALUE"""),1.136347406414132)</f>
        <v>1.136347406</v>
      </c>
      <c r="AI2305" s="82">
        <f>IFERROR(__xludf.DUMMYFUNCTION("""COMPUTED_VALUE"""),0.8462963503355879)</f>
        <v>0.8462963503</v>
      </c>
      <c r="AJ2305" s="82">
        <f>IFERROR(__xludf.DUMMYFUNCTION("""COMPUTED_VALUE"""),0.6288219721967053)</f>
        <v>0.6288219722</v>
      </c>
      <c r="AK2305" s="82">
        <f>IFERROR(__xludf.DUMMYFUNCTION("""COMPUTED_VALUE"""),0.7988970737992088)</f>
        <v>0.7988970738</v>
      </c>
      <c r="AL2305" s="82">
        <f>IFERROR(__xludf.DUMMYFUNCTION("""COMPUTED_VALUE"""),1.002398528053613)</f>
        <v>1.002398528</v>
      </c>
      <c r="AM2305" s="82">
        <f>IFERROR(__xludf.DUMMYFUNCTION("""COMPUTED_VALUE"""),0.8019001514682403)</f>
        <v>0.8019001515</v>
      </c>
      <c r="AN2305" s="82">
        <f>IFERROR(__xludf.DUMMYFUNCTION("""COMPUTED_VALUE"""),1.217885056568356)</f>
        <v>1.217885057</v>
      </c>
      <c r="AO2305" s="82">
        <f>IFERROR(__xludf.DUMMYFUNCTION("""COMPUTED_VALUE"""),1.428642139292761)</f>
        <v>1.428642139</v>
      </c>
      <c r="AP2305" s="82">
        <f>IFERROR(__xludf.DUMMYFUNCTION("""COMPUTED_VALUE"""),1.4545543282537043)</f>
        <v>1.454554328</v>
      </c>
      <c r="AQ2305" s="82">
        <f>IFERROR(__xludf.DUMMYFUNCTION("""COMPUTED_VALUE"""),1.111850386849202)</f>
        <v>1.111850387</v>
      </c>
      <c r="AR2305" s="82">
        <f>IFERROR(__xludf.DUMMYFUNCTION("""COMPUTED_VALUE"""),1.2506578161011686)</f>
        <v>1.250657816</v>
      </c>
      <c r="AS2305" s="82">
        <f>IFERROR(__xludf.DUMMYFUNCTION("""COMPUTED_VALUE"""),36.0)</f>
        <v>36</v>
      </c>
      <c r="AT2305" s="82">
        <f>IFERROR(__xludf.DUMMYFUNCTION("""COMPUTED_VALUE"""),0.7902008669973493)</f>
        <v>0.790200867</v>
      </c>
      <c r="AU2305" s="82">
        <f>IFERROR(__xludf.DUMMYFUNCTION("""COMPUTED_VALUE"""),4.550927015795803)</f>
        <v>4.550927016</v>
      </c>
      <c r="AV2305" s="82">
        <f>IFERROR(__xludf.DUMMYFUNCTION("""COMPUTED_VALUE"""),90.9264115901399)</f>
        <v>90.92641159</v>
      </c>
      <c r="AW2305" s="82">
        <f t="shared" si="1"/>
        <v>19.68142228</v>
      </c>
      <c r="AX2305" s="83">
        <f t="array" ref="AX2305">IFERROR(DGET('SBV Import'!A:G,"SBV",{"RSC ID","Tier";B2305,A2305}))</f>
        <v>87.24212016</v>
      </c>
      <c r="AY2305" s="82">
        <f t="shared" si="2"/>
        <v>14.67274661</v>
      </c>
      <c r="AZ2305" s="82">
        <v>5.008675678827963</v>
      </c>
      <c r="BA2305" s="84">
        <v>2300.0</v>
      </c>
      <c r="BB2305" s="84" t="b">
        <f>IFERROR(__xludf.DUMMYFUNCTION("iferror(if(A2305="""",,E2305&gt;=FILTER(Constants!$F$2:$F$10,Constants!$A$2:$A$10=A2305)))"),TRUE)</f>
        <v>1</v>
      </c>
    </row>
    <row r="2306">
      <c r="A2306" s="89" t="str">
        <f>IFERROR(__xludf.DUMMYFUNCTION("""COMPUTED_VALUE"""),"Challenger")</f>
        <v>Challenger</v>
      </c>
      <c r="B2306" s="87" t="str">
        <f>IFERROR(__xludf.DUMMYFUNCTION("""COMPUTED_VALUE"""),"RSC005696")</f>
        <v>RSC005696</v>
      </c>
      <c r="C2306" s="73" t="str">
        <f>IFERROR(__xludf.DUMMYFUNCTION("""COMPUTED_VALUE"""),"Jack.flv")</f>
        <v>Jack.flv</v>
      </c>
      <c r="D2306" s="73"/>
      <c r="E2306" s="82">
        <f>IFERROR(__xludf.DUMMYFUNCTION("""COMPUTED_VALUE"""),2.0)</f>
        <v>2</v>
      </c>
      <c r="F2306" s="82">
        <f>IFERROR(__xludf.DUMMYFUNCTION("""COMPUTED_VALUE"""),1.0)</f>
        <v>1</v>
      </c>
      <c r="G2306" s="86">
        <f>IFERROR(__xludf.DUMMYFUNCTION("""COMPUTED_VALUE"""),1.0)</f>
        <v>1</v>
      </c>
      <c r="H2306" s="86">
        <f>IFERROR(__xludf.DUMMYFUNCTION("""COMPUTED_VALUE"""),0.5)</f>
        <v>0.5</v>
      </c>
      <c r="I2306" s="86">
        <f>IFERROR(__xludf.DUMMYFUNCTION("""COMPUTED_VALUE"""),0.3333333333333333)</f>
        <v>0.3333333333</v>
      </c>
      <c r="J2306" s="82">
        <f>IFERROR(__xludf.DUMMYFUNCTION("""COMPUTED_VALUE"""),330.0)</f>
        <v>330</v>
      </c>
      <c r="K2306" s="82">
        <f>IFERROR(__xludf.DUMMYFUNCTION("""COMPUTED_VALUE"""),1.0)</f>
        <v>1</v>
      </c>
      <c r="L2306" s="82">
        <f>IFERROR(__xludf.DUMMYFUNCTION("""COMPUTED_VALUE"""),0.5)</f>
        <v>0.5</v>
      </c>
      <c r="M2306" s="82">
        <f>IFERROR(__xludf.DUMMYFUNCTION("""COMPUTED_VALUE"""),0.5)</f>
        <v>0.5</v>
      </c>
      <c r="N2306" s="82">
        <f>IFERROR(__xludf.DUMMYFUNCTION("""COMPUTED_VALUE"""),3.0)</f>
        <v>3</v>
      </c>
      <c r="O2306" s="82">
        <f>IFERROR(__xludf.DUMMYFUNCTION("""COMPUTED_VALUE"""),336.0)</f>
        <v>336</v>
      </c>
      <c r="P2306" s="82">
        <f>IFERROR(__xludf.DUMMYFUNCTION("""COMPUTED_VALUE"""),0.6666666666666666)</f>
        <v>0.6666666667</v>
      </c>
      <c r="Q2306" s="82">
        <f>IFERROR(__xludf.DUMMYFUNCTION("""COMPUTED_VALUE"""),0.3333333333333333)</f>
        <v>0.3333333333</v>
      </c>
      <c r="R2306" s="82">
        <f>IFERROR(__xludf.DUMMYFUNCTION("""COMPUTED_VALUE"""),1.5)</f>
        <v>1.5</v>
      </c>
      <c r="S2306" s="82">
        <f>IFERROR(__xludf.DUMMYFUNCTION("""COMPUTED_VALUE"""),1.8333333333333335)</f>
        <v>1.833333333</v>
      </c>
      <c r="T2306" s="82">
        <f>IFERROR(__xludf.DUMMYFUNCTION("""COMPUTED_VALUE"""),333.8383487654321)</f>
        <v>333.8383488</v>
      </c>
      <c r="U2306" s="82">
        <f>IFERROR(__xludf.DUMMYFUNCTION("""COMPUTED_VALUE"""),0.7737654320987654)</f>
        <v>0.7737654321</v>
      </c>
      <c r="V2306" s="82">
        <f>IFERROR(__xludf.DUMMYFUNCTION("""COMPUTED_VALUE"""),0.47955246913580246)</f>
        <v>0.4795524691</v>
      </c>
      <c r="W2306" s="82">
        <f>IFERROR(__xludf.DUMMYFUNCTION("""COMPUTED_VALUE"""),1.0820987654320988)</f>
        <v>1.082098765</v>
      </c>
      <c r="X2306" s="82">
        <f>IFERROR(__xludf.DUMMYFUNCTION("""COMPUTED_VALUE"""),2.6412037037037037)</f>
        <v>2.641203704</v>
      </c>
      <c r="Y2306" s="82">
        <f>IFERROR(__xludf.DUMMYFUNCTION("""COMPUTED_VALUE"""),312.8741769547324)</f>
        <v>312.874177</v>
      </c>
      <c r="Z2306" s="82">
        <f>IFERROR(__xludf.DUMMYFUNCTION("""COMPUTED_VALUE"""),0.6204475308641975)</f>
        <v>0.6204475309</v>
      </c>
      <c r="AA2306" s="82">
        <f>IFERROR(__xludf.DUMMYFUNCTION("""COMPUTED_VALUE"""),0.39979423868312763)</f>
        <v>0.3997942387</v>
      </c>
      <c r="AB2306" s="82">
        <f>IFERROR(__xludf.DUMMYFUNCTION("""COMPUTED_VALUE"""),1.3649691358024691)</f>
        <v>1.364969136</v>
      </c>
      <c r="AC2306" s="82">
        <f>IFERROR(__xludf.DUMMYFUNCTION("""COMPUTED_VALUE"""),2.1086934156378607)</f>
        <v>2.108693416</v>
      </c>
      <c r="AD2306" s="82">
        <f>IFERROR(__xludf.DUMMYFUNCTION("""COMPUTED_VALUE"""),1.054737093396319)</f>
        <v>1.054737093</v>
      </c>
      <c r="AE2306" s="82">
        <f>IFERROR(__xludf.DUMMYFUNCTION("""COMPUTED_VALUE"""),1.6117398333540607)</f>
        <v>1.611739833</v>
      </c>
      <c r="AF2306" s="82">
        <f>IFERROR(__xludf.DUMMYFUNCTION("""COMPUTED_VALUE"""),1.2506433350488932)</f>
        <v>1.250643335</v>
      </c>
      <c r="AG2306" s="82">
        <f>IFERROR(__xludf.DUMMYFUNCTION("""COMPUTED_VALUE"""),0.3663086489542114)</f>
        <v>0.366308649</v>
      </c>
      <c r="AH2306" s="82">
        <f>IFERROR(__xludf.DUMMYFUNCTION("""COMPUTED_VALUE"""),1.4226819213036368)</f>
        <v>1.422681921</v>
      </c>
      <c r="AI2306" s="82">
        <f>IFERROR(__xludf.DUMMYFUNCTION("""COMPUTED_VALUE"""),1.006475143561433)</f>
        <v>1.006475144</v>
      </c>
      <c r="AJ2306" s="82">
        <f>IFERROR(__xludf.DUMMYFUNCTION("""COMPUTED_VALUE"""),0.86158755484643)</f>
        <v>0.8615875548</v>
      </c>
      <c r="AK2306" s="82">
        <f>IFERROR(__xludf.DUMMYFUNCTION("""COMPUTED_VALUE"""),0.6950925181013676)</f>
        <v>0.6950925181</v>
      </c>
      <c r="AL2306" s="82">
        <f>IFERROR(__xludf.DUMMYFUNCTION("""COMPUTED_VALUE"""),1.3861950941243582)</f>
        <v>1.386195094</v>
      </c>
      <c r="AM2306" s="82">
        <f>IFERROR(__xludf.DUMMYFUNCTION("""COMPUTED_VALUE"""),0.694127957931639)</f>
        <v>0.6941279579</v>
      </c>
      <c r="AN2306" s="82">
        <f>IFERROR(__xludf.DUMMYFUNCTION("""COMPUTED_VALUE"""),1.0039185728581785)</f>
        <v>1.003918573</v>
      </c>
      <c r="AO2306" s="82">
        <f>IFERROR(__xludf.DUMMYFUNCTION("""COMPUTED_VALUE"""),1.318746590116395)</f>
        <v>1.31874659</v>
      </c>
      <c r="AP2306" s="82">
        <f>IFERROR(__xludf.DUMMYFUNCTION("""COMPUTED_VALUE"""),0.9697028855024696)</f>
        <v>0.9697028855</v>
      </c>
      <c r="AQ2306" s="82">
        <f>IFERROR(__xludf.DUMMYFUNCTION("""COMPUTED_VALUE"""),0.4169438950684508)</f>
        <v>0.4169438951</v>
      </c>
      <c r="AR2306" s="82">
        <f>IFERROR(__xludf.DUMMYFUNCTION("""COMPUTED_VALUE"""),1.2506578161011686)</f>
        <v>1.250657816</v>
      </c>
      <c r="AS2306" s="82">
        <f>IFERROR(__xludf.DUMMYFUNCTION("""COMPUTED_VALUE"""),4.0)</f>
        <v>4</v>
      </c>
      <c r="AT2306" s="82">
        <f>IFERROR(__xludf.DUMMYFUNCTION("""COMPUTED_VALUE"""),0.5)</f>
        <v>0.5</v>
      </c>
      <c r="AU2306" s="82">
        <f>IFERROR(__xludf.DUMMYFUNCTION("""COMPUTED_VALUE"""),4.313809149800543)</f>
        <v>4.31380915</v>
      </c>
      <c r="AV2306" s="82">
        <f>IFERROR(__xludf.DUMMYFUNCTION("""COMPUTED_VALUE"""),84.65650359385604)</f>
        <v>84.65650359</v>
      </c>
      <c r="AW2306" s="82">
        <f t="shared" si="1"/>
        <v>12.07237517</v>
      </c>
      <c r="AX2306" s="83">
        <f t="array" ref="AX2306">IFERROR(DGET('SBV Import'!A:G,"SBV",{"RSC ID","Tier";B2306,A2306}))</f>
        <v>80.4551499</v>
      </c>
      <c r="AY2306" s="82">
        <f t="shared" si="2"/>
        <v>8.962753864</v>
      </c>
      <c r="AZ2306" s="82">
        <v>3.1096213044985834</v>
      </c>
      <c r="BA2306" s="84">
        <v>2300.0</v>
      </c>
      <c r="BB2306" s="84" t="b">
        <f>IFERROR(__xludf.DUMMYFUNCTION("iferror(if(A2306="""",,E2306&gt;=FILTER(Constants!$F$2:$F$10,Constants!$A$2:$A$10=A2306)))"),TRUE)</f>
        <v>1</v>
      </c>
    </row>
    <row r="2307">
      <c r="A2307" s="89" t="str">
        <f>IFERROR(__xludf.DUMMYFUNCTION("""COMPUTED_VALUE"""),"Challenger")</f>
        <v>Challenger</v>
      </c>
      <c r="B2307" s="87" t="str">
        <f>IFERROR(__xludf.DUMMYFUNCTION("""COMPUTED_VALUE"""),"RSC002412")</f>
        <v>RSC002412</v>
      </c>
      <c r="C2307" s="73" t="str">
        <f>IFERROR(__xludf.DUMMYFUNCTION("""COMPUTED_VALUE"""),"Rosefanatic3615")</f>
        <v>Rosefanatic3615</v>
      </c>
      <c r="D2307" s="73" t="str">
        <f>IFERROR(__xludf.DUMMYFUNCTION("""COMPUTED_VALUE"""),"Solstice Sake")</f>
        <v>Solstice Sake</v>
      </c>
      <c r="E2307" s="82">
        <f>IFERROR(__xludf.DUMMYFUNCTION("""COMPUTED_VALUE"""),24.0)</f>
        <v>24</v>
      </c>
      <c r="F2307" s="82">
        <f>IFERROR(__xludf.DUMMYFUNCTION("""COMPUTED_VALUE"""),16.0)</f>
        <v>16</v>
      </c>
      <c r="G2307" s="86">
        <f>IFERROR(__xludf.DUMMYFUNCTION("""COMPUTED_VALUE"""),8.0)</f>
        <v>8</v>
      </c>
      <c r="H2307" s="86">
        <f>IFERROR(__xludf.DUMMYFUNCTION("""COMPUTED_VALUE"""),0.6666666666666666)</f>
        <v>0.6666666667</v>
      </c>
      <c r="I2307" s="86">
        <f>IFERROR(__xludf.DUMMYFUNCTION("""COMPUTED_VALUE"""),0.3571428571428572)</f>
        <v>0.3571428571</v>
      </c>
      <c r="J2307" s="82">
        <f>IFERROR(__xludf.DUMMYFUNCTION("""COMPUTED_VALUE"""),395.5416666666667)</f>
        <v>395.5416667</v>
      </c>
      <c r="K2307" s="82">
        <f>IFERROR(__xludf.DUMMYFUNCTION("""COMPUTED_VALUE"""),1.0416666666666667)</f>
        <v>1.041666667</v>
      </c>
      <c r="L2307" s="82">
        <f>IFERROR(__xludf.DUMMYFUNCTION("""COMPUTED_VALUE"""),0.7083333333333334)</f>
        <v>0.7083333333</v>
      </c>
      <c r="M2307" s="82">
        <f>IFERROR(__xludf.DUMMYFUNCTION("""COMPUTED_VALUE"""),1.2916666666666667)</f>
        <v>1.291666667</v>
      </c>
      <c r="N2307" s="82">
        <f>IFERROR(__xludf.DUMMYFUNCTION("""COMPUTED_VALUE"""),2.9166666666666665)</f>
        <v>2.916666667</v>
      </c>
      <c r="O2307" s="82">
        <f>IFERROR(__xludf.DUMMYFUNCTION("""COMPUTED_VALUE"""),324.8333333333332)</f>
        <v>324.8333333</v>
      </c>
      <c r="P2307" s="82">
        <f>IFERROR(__xludf.DUMMYFUNCTION("""COMPUTED_VALUE"""),0.736111111111111)</f>
        <v>0.7361111111</v>
      </c>
      <c r="Q2307" s="82">
        <f>IFERROR(__xludf.DUMMYFUNCTION("""COMPUTED_VALUE"""),0.4722222222222223)</f>
        <v>0.4722222222</v>
      </c>
      <c r="R2307" s="82">
        <f>IFERROR(__xludf.DUMMYFUNCTION("""COMPUTED_VALUE"""),1.138888888888889)</f>
        <v>1.138888889</v>
      </c>
      <c r="S2307" s="82">
        <f>IFERROR(__xludf.DUMMYFUNCTION("""COMPUTED_VALUE"""),2.361111111111111)</f>
        <v>2.361111111</v>
      </c>
      <c r="T2307" s="82">
        <f>IFERROR(__xludf.DUMMYFUNCTION("""COMPUTED_VALUE"""),340.99162909279096)</f>
        <v>340.9916291</v>
      </c>
      <c r="U2307" s="82">
        <f>IFERROR(__xludf.DUMMYFUNCTION("""COMPUTED_VALUE"""),0.8175176263444018)</f>
        <v>0.8175176263</v>
      </c>
      <c r="V2307" s="82">
        <f>IFERROR(__xludf.DUMMYFUNCTION("""COMPUTED_VALUE"""),0.5884409667267335)</f>
        <v>0.5884409667</v>
      </c>
      <c r="W2307" s="82">
        <f>IFERROR(__xludf.DUMMYFUNCTION("""COMPUTED_VALUE"""),1.2333346512496484)</f>
        <v>1.233334651</v>
      </c>
      <c r="X2307" s="82">
        <f>IFERROR(__xludf.DUMMYFUNCTION("""COMPUTED_VALUE"""),2.476829395439111)</f>
        <v>2.476829395</v>
      </c>
      <c r="Y2307" s="82">
        <f>IFERROR(__xludf.DUMMYFUNCTION("""COMPUTED_VALUE"""),338.98937884955103)</f>
        <v>338.9893788</v>
      </c>
      <c r="Z2307" s="82">
        <f>IFERROR(__xludf.DUMMYFUNCTION("""COMPUTED_VALUE"""),0.8069587102042551)</f>
        <v>0.8069587102</v>
      </c>
      <c r="AA2307" s="82">
        <f>IFERROR(__xludf.DUMMYFUNCTION("""COMPUTED_VALUE"""),0.5578737235713864)</f>
        <v>0.5578737236</v>
      </c>
      <c r="AB2307" s="82">
        <f>IFERROR(__xludf.DUMMYFUNCTION("""COMPUTED_VALUE"""),1.2064836060249415)</f>
        <v>1.206483606</v>
      </c>
      <c r="AC2307" s="82">
        <f>IFERROR(__xludf.DUMMYFUNCTION("""COMPUTED_VALUE"""),2.4653147670687163)</f>
        <v>2.465314767</v>
      </c>
      <c r="AD2307" s="82">
        <f>IFERROR(__xludf.DUMMYFUNCTION("""COMPUTED_VALUE"""),1.1668261348159066)</f>
        <v>1.166826135</v>
      </c>
      <c r="AE2307" s="82">
        <f>IFERROR(__xludf.DUMMYFUNCTION("""COMPUTED_VALUE"""),1.2908549762143382)</f>
        <v>1.290854976</v>
      </c>
      <c r="AF2307" s="82">
        <f>IFERROR(__xludf.DUMMYFUNCTION("""COMPUTED_VALUE"""),1.269701911749378)</f>
        <v>1.269701912</v>
      </c>
      <c r="AG2307" s="82">
        <f>IFERROR(__xludf.DUMMYFUNCTION("""COMPUTED_VALUE"""),1.0706044078977432)</f>
        <v>1.070604408</v>
      </c>
      <c r="AH2307" s="82">
        <f>IFERROR(__xludf.DUMMYFUNCTION("""COMPUTED_VALUE"""),1.183080840478075)</f>
        <v>1.18308084</v>
      </c>
      <c r="AI2307" s="82">
        <f>IFERROR(__xludf.DUMMYFUNCTION("""COMPUTED_VALUE"""),0.9526138052055796)</f>
        <v>0.9526138052</v>
      </c>
      <c r="AJ2307" s="82">
        <f>IFERROR(__xludf.DUMMYFUNCTION("""COMPUTED_VALUE"""),0.9004223118744157)</f>
        <v>0.9004223119</v>
      </c>
      <c r="AK2307" s="82">
        <f>IFERROR(__xludf.DUMMYFUNCTION("""COMPUTED_VALUE"""),0.8024971899033636)</f>
        <v>0.8024971899</v>
      </c>
      <c r="AL2307" s="82">
        <f>IFERROR(__xludf.DUMMYFUNCTION("""COMPUTED_VALUE"""),0.9234224366719411)</f>
        <v>0.9234224367</v>
      </c>
      <c r="AM2307" s="82">
        <f>IFERROR(__xludf.DUMMYFUNCTION("""COMPUTED_VALUE"""),0.9532796709611545)</f>
        <v>0.953279671</v>
      </c>
      <c r="AN2307" s="82">
        <f>IFERROR(__xludf.DUMMYFUNCTION("""COMPUTED_VALUE"""),1.2033079560786226)</f>
        <v>1.203307956</v>
      </c>
      <c r="AO2307" s="82">
        <f>IFERROR(__xludf.DUMMYFUNCTION("""COMPUTED_VALUE"""),1.3736943647045783)</f>
        <v>1.373694365</v>
      </c>
      <c r="AP2307" s="82">
        <f>IFERROR(__xludf.DUMMYFUNCTION("""COMPUTED_VALUE"""),1.373745754461832)</f>
        <v>1.373745754</v>
      </c>
      <c r="AQ2307" s="82">
        <f>IFERROR(__xludf.DUMMYFUNCTION("""COMPUTED_VALUE"""),1.0771050622601646)</f>
        <v>1.077105062</v>
      </c>
      <c r="AR2307" s="82">
        <f>IFERROR(__xludf.DUMMYFUNCTION("""COMPUTED_VALUE"""),1.2159173212094694)</f>
        <v>1.215917321</v>
      </c>
      <c r="AS2307" s="82">
        <f>IFERROR(__xludf.DUMMYFUNCTION("""COMPUTED_VALUE"""),70.0)</f>
        <v>70</v>
      </c>
      <c r="AT2307" s="82">
        <f>IFERROR(__xludf.DUMMYFUNCTION("""COMPUTED_VALUE"""),0.6093728503112839)</f>
        <v>0.6093728503</v>
      </c>
      <c r="AU2307" s="82">
        <f>IFERROR(__xludf.DUMMYFUNCTION("""COMPUTED_VALUE"""),4.292202243912161)</f>
        <v>4.292202244</v>
      </c>
      <c r="AV2307" s="82">
        <f>IFERROR(__xludf.DUMMYFUNCTION("""COMPUTED_VALUE"""),84.085170381844)</f>
        <v>84.08517038</v>
      </c>
      <c r="AW2307" s="82">
        <f t="shared" si="1"/>
        <v>11.57713355</v>
      </c>
      <c r="AX2307" s="83">
        <f t="array" ref="AX2307">IFERROR(DGET('SBV Import'!A:G,"SBV",{"RSC ID","Tier";B2307,A2307}))</f>
        <v>75.18399331</v>
      </c>
      <c r="AY2307" s="82">
        <f t="shared" si="2"/>
        <v>6.374259524</v>
      </c>
      <c r="AZ2307" s="82">
        <v>5.202874023024924</v>
      </c>
      <c r="BA2307" s="84">
        <v>2300.0</v>
      </c>
      <c r="BB2307" s="84" t="b">
        <f>IFERROR(__xludf.DUMMYFUNCTION("iferror(if(A2307="""",,E2307&gt;=FILTER(Constants!$F$2:$F$10,Constants!$A$2:$A$10=A2307)))"),TRUE)</f>
        <v>1</v>
      </c>
    </row>
    <row r="2308">
      <c r="A2308" s="89" t="str">
        <f>IFERROR(__xludf.DUMMYFUNCTION("""COMPUTED_VALUE"""),"Challenger")</f>
        <v>Challenger</v>
      </c>
      <c r="B2308" s="87" t="str">
        <f>IFERROR(__xludf.DUMMYFUNCTION("""COMPUTED_VALUE"""),"RSC004890")</f>
        <v>RSC004890</v>
      </c>
      <c r="C2308" s="73" t="str">
        <f>IFERROR(__xludf.DUMMYFUNCTION("""COMPUTED_VALUE"""),"kamikaze7200")</f>
        <v>kamikaze7200</v>
      </c>
      <c r="D2308" s="73" t="str">
        <f>IFERROR(__xludf.DUMMYFUNCTION("""COMPUTED_VALUE"""),"Lilac")</f>
        <v>Lilac</v>
      </c>
      <c r="E2308" s="82">
        <f>IFERROR(__xludf.DUMMYFUNCTION("""COMPUTED_VALUE"""),32.0)</f>
        <v>32</v>
      </c>
      <c r="F2308" s="82">
        <f>IFERROR(__xludf.DUMMYFUNCTION("""COMPUTED_VALUE"""),20.0)</f>
        <v>20</v>
      </c>
      <c r="G2308" s="86">
        <f>IFERROR(__xludf.DUMMYFUNCTION("""COMPUTED_VALUE"""),12.0)</f>
        <v>12</v>
      </c>
      <c r="H2308" s="86">
        <f>IFERROR(__xludf.DUMMYFUNCTION("""COMPUTED_VALUE"""),0.625)</f>
        <v>0.625</v>
      </c>
      <c r="I2308" s="86">
        <f>IFERROR(__xludf.DUMMYFUNCTION("""COMPUTED_VALUE"""),0.3655913978494624)</f>
        <v>0.3655913978</v>
      </c>
      <c r="J2308" s="82">
        <f>IFERROR(__xludf.DUMMYFUNCTION("""COMPUTED_VALUE"""),376.09375)</f>
        <v>376.09375</v>
      </c>
      <c r="K2308" s="82">
        <f>IFERROR(__xludf.DUMMYFUNCTION("""COMPUTED_VALUE"""),1.0625)</f>
        <v>1.0625</v>
      </c>
      <c r="L2308" s="82">
        <f>IFERROR(__xludf.DUMMYFUNCTION("""COMPUTED_VALUE"""),0.75)</f>
        <v>0.75</v>
      </c>
      <c r="M2308" s="82">
        <f>IFERROR(__xludf.DUMMYFUNCTION("""COMPUTED_VALUE"""),1.0)</f>
        <v>1</v>
      </c>
      <c r="N2308" s="82">
        <f>IFERROR(__xludf.DUMMYFUNCTION("""COMPUTED_VALUE"""),2.90625)</f>
        <v>2.90625</v>
      </c>
      <c r="O2308" s="82">
        <f>IFERROR(__xludf.DUMMYFUNCTION("""COMPUTED_VALUE"""),333.07291666666663)</f>
        <v>333.0729167</v>
      </c>
      <c r="P2308" s="82">
        <f>IFERROR(__xludf.DUMMYFUNCTION("""COMPUTED_VALUE"""),0.6458333333333333)</f>
        <v>0.6458333333</v>
      </c>
      <c r="Q2308" s="82">
        <f>IFERROR(__xludf.DUMMYFUNCTION("""COMPUTED_VALUE"""),0.5208333333333334)</f>
        <v>0.5208333333</v>
      </c>
      <c r="R2308" s="82">
        <f>IFERROR(__xludf.DUMMYFUNCTION("""COMPUTED_VALUE"""),1.40625)</f>
        <v>1.40625</v>
      </c>
      <c r="S2308" s="82">
        <f>IFERROR(__xludf.DUMMYFUNCTION("""COMPUTED_VALUE"""),2.15625)</f>
        <v>2.15625</v>
      </c>
      <c r="T2308" s="82">
        <f>IFERROR(__xludf.DUMMYFUNCTION("""COMPUTED_VALUE"""),339.04163141851325)</f>
        <v>339.0416314</v>
      </c>
      <c r="U2308" s="82">
        <f>IFERROR(__xludf.DUMMYFUNCTION("""COMPUTED_VALUE"""),0.7964649404784261)</f>
        <v>0.7964649405</v>
      </c>
      <c r="V2308" s="82">
        <f>IFERROR(__xludf.DUMMYFUNCTION("""COMPUTED_VALUE"""),0.5335426472692364)</f>
        <v>0.5335426473</v>
      </c>
      <c r="W2308" s="82">
        <f>IFERROR(__xludf.DUMMYFUNCTION("""COMPUTED_VALUE"""),1.256720582182326)</f>
        <v>1.256720582</v>
      </c>
      <c r="X2308" s="82">
        <f>IFERROR(__xludf.DUMMYFUNCTION("""COMPUTED_VALUE"""),2.3736945285212423)</f>
        <v>2.373694529</v>
      </c>
      <c r="Y2308" s="82">
        <f>IFERROR(__xludf.DUMMYFUNCTION("""COMPUTED_VALUE"""),338.12912188030555)</f>
        <v>338.1291219</v>
      </c>
      <c r="Z2308" s="82">
        <f>IFERROR(__xludf.DUMMYFUNCTION("""COMPUTED_VALUE"""),0.8124966483836479)</f>
        <v>0.8124966484</v>
      </c>
      <c r="AA2308" s="82">
        <f>IFERROR(__xludf.DUMMYFUNCTION("""COMPUTED_VALUE"""),0.5719564395416128)</f>
        <v>0.5719564395</v>
      </c>
      <c r="AB2308" s="82">
        <f>IFERROR(__xludf.DUMMYFUNCTION("""COMPUTED_VALUE"""),1.1972753302516277)</f>
        <v>1.19727533</v>
      </c>
      <c r="AC2308" s="82">
        <f>IFERROR(__xludf.DUMMYFUNCTION("""COMPUTED_VALUE"""),2.5371427694064446)</f>
        <v>2.537142769</v>
      </c>
      <c r="AD2308" s="82">
        <f>IFERROR(__xludf.DUMMYFUNCTION("""COMPUTED_VALUE"""),1.1122784926319762)</f>
        <v>1.112278493</v>
      </c>
      <c r="AE2308" s="82">
        <f>IFERROR(__xludf.DUMMYFUNCTION("""COMPUTED_VALUE"""),1.3076977020320022)</f>
        <v>1.307697702</v>
      </c>
      <c r="AF2308" s="82">
        <f>IFERROR(__xludf.DUMMYFUNCTION("""COMPUTED_VALUE"""),1.311288671915431)</f>
        <v>1.311288672</v>
      </c>
      <c r="AG2308" s="82">
        <f>IFERROR(__xludf.DUMMYFUNCTION("""COMPUTED_VALUE"""),0.8352297710751571)</f>
        <v>0.8352297711</v>
      </c>
      <c r="AH2308" s="82">
        <f>IFERROR(__xludf.DUMMYFUNCTION("""COMPUTED_VALUE"""),1.1454814585305764)</f>
        <v>1.145481459</v>
      </c>
      <c r="AI2308" s="82">
        <f>IFERROR(__xludf.DUMMYFUNCTION("""COMPUTED_VALUE"""),0.9823953337916816)</f>
        <v>0.9823953338</v>
      </c>
      <c r="AJ2308" s="82">
        <f>IFERROR(__xludf.DUMMYFUNCTION("""COMPUTED_VALUE"""),0.8108747799311663)</f>
        <v>0.8108747799</v>
      </c>
      <c r="AK2308" s="82">
        <f>IFERROR(__xludf.DUMMYFUNCTION("""COMPUTED_VALUE"""),0.9761793850951719)</f>
        <v>0.9761793851</v>
      </c>
      <c r="AL2308" s="82">
        <f>IFERROR(__xludf.DUMMYFUNCTION("""COMPUTED_VALUE"""),1.1189838218118562)</f>
        <v>1.118983822</v>
      </c>
      <c r="AM2308" s="82">
        <f>IFERROR(__xludf.DUMMYFUNCTION("""COMPUTED_VALUE"""),0.9083940558026625)</f>
        <v>0.9083940558</v>
      </c>
      <c r="AN2308" s="82">
        <f>IFERROR(__xludf.DUMMYFUNCTION("""COMPUTED_VALUE"""),1.1441439416996382)</f>
        <v>1.144143942</v>
      </c>
      <c r="AO2308" s="82">
        <f>IFERROR(__xludf.DUMMYFUNCTION("""COMPUTED_VALUE"""),1.4011682519986697)</f>
        <v>1.401168252</v>
      </c>
      <c r="AP2308" s="82">
        <f>IFERROR(__xludf.DUMMYFUNCTION("""COMPUTED_VALUE"""),1.4545543282537043)</f>
        <v>1.454554328</v>
      </c>
      <c r="AQ2308" s="82">
        <f>IFERROR(__xludf.DUMMYFUNCTION("""COMPUTED_VALUE"""),0.8338877901369016)</f>
        <v>0.8338877901</v>
      </c>
      <c r="AR2308" s="82">
        <f>IFERROR(__xludf.DUMMYFUNCTION("""COMPUTED_VALUE"""),1.211574759348007)</f>
        <v>1.211574759</v>
      </c>
      <c r="AS2308" s="82">
        <f>IFERROR(__xludf.DUMMYFUNCTION("""COMPUTED_VALUE"""),100.0)</f>
        <v>100</v>
      </c>
      <c r="AT2308" s="82">
        <f>IFERROR(__xludf.DUMMYFUNCTION("""COMPUTED_VALUE"""),0.6816577318926157)</f>
        <v>0.6816577319</v>
      </c>
      <c r="AU2308" s="82">
        <f>IFERROR(__xludf.DUMMYFUNCTION("""COMPUTED_VALUE"""),4.259739544726516)</f>
        <v>4.259739545</v>
      </c>
      <c r="AV2308" s="82">
        <f>IFERROR(__xludf.DUMMYFUNCTION("""COMPUTED_VALUE"""),83.22678657195806)</f>
        <v>83.22678657</v>
      </c>
      <c r="AW2308" s="82">
        <f t="shared" si="1"/>
        <v>10.87994882</v>
      </c>
      <c r="AX2308" s="83">
        <f t="array" ref="AX2308">IFERROR(DGET('SBV Import'!A:G,"SBV",{"RSC ID","Tier";B2308,A2308}))</f>
        <v>67.49344489</v>
      </c>
      <c r="AY2308" s="82">
        <f t="shared" si="2"/>
        <v>4.131454042</v>
      </c>
      <c r="AZ2308" s="82">
        <v>6.748494778801923</v>
      </c>
      <c r="BA2308" s="84">
        <v>2300.0</v>
      </c>
      <c r="BB2308" s="84" t="b">
        <f>IFERROR(__xludf.DUMMYFUNCTION("iferror(if(A2308="""",,E2308&gt;=FILTER(Constants!$F$2:$F$10,Constants!$A$2:$A$10=A2308)))"),TRUE)</f>
        <v>1</v>
      </c>
    </row>
    <row r="2309">
      <c r="A2309" s="89" t="str">
        <f>IFERROR(__xludf.DUMMYFUNCTION("""COMPUTED_VALUE"""),"Challenger")</f>
        <v>Challenger</v>
      </c>
      <c r="B2309" s="87" t="str">
        <f>IFERROR(__xludf.DUMMYFUNCTION("""COMPUTED_VALUE"""),"RSC007093")</f>
        <v>RSC007093</v>
      </c>
      <c r="C2309" s="73" t="str">
        <f>IFERROR(__xludf.DUMMYFUNCTION("""COMPUTED_VALUE"""),"Mangy")</f>
        <v>Mangy</v>
      </c>
      <c r="D2309" s="73" t="str">
        <f>IFERROR(__xludf.DUMMYFUNCTION("""COMPUTED_VALUE"""),"Meat Lovers")</f>
        <v>Meat Lovers</v>
      </c>
      <c r="E2309" s="82">
        <f>IFERROR(__xludf.DUMMYFUNCTION("""COMPUTED_VALUE"""),32.0)</f>
        <v>32</v>
      </c>
      <c r="F2309" s="82">
        <f>IFERROR(__xludf.DUMMYFUNCTION("""COMPUTED_VALUE"""),26.0)</f>
        <v>26</v>
      </c>
      <c r="G2309" s="86">
        <f>IFERROR(__xludf.DUMMYFUNCTION("""COMPUTED_VALUE"""),6.0)</f>
        <v>6</v>
      </c>
      <c r="H2309" s="86">
        <f>IFERROR(__xludf.DUMMYFUNCTION("""COMPUTED_VALUE"""),0.8125)</f>
        <v>0.8125</v>
      </c>
      <c r="I2309" s="86">
        <f>IFERROR(__xludf.DUMMYFUNCTION("""COMPUTED_VALUE"""),0.30434782608695654)</f>
        <v>0.3043478261</v>
      </c>
      <c r="J2309" s="82">
        <f>IFERROR(__xludf.DUMMYFUNCTION("""COMPUTED_VALUE"""),383.59375)</f>
        <v>383.59375</v>
      </c>
      <c r="K2309" s="82">
        <f>IFERROR(__xludf.DUMMYFUNCTION("""COMPUTED_VALUE"""),0.875)</f>
        <v>0.875</v>
      </c>
      <c r="L2309" s="82">
        <f>IFERROR(__xludf.DUMMYFUNCTION("""COMPUTED_VALUE"""),0.875)</f>
        <v>0.875</v>
      </c>
      <c r="M2309" s="82">
        <f>IFERROR(__xludf.DUMMYFUNCTION("""COMPUTED_VALUE"""),1.34375)</f>
        <v>1.34375</v>
      </c>
      <c r="N2309" s="82">
        <f>IFERROR(__xludf.DUMMYFUNCTION("""COMPUTED_VALUE"""),2.875)</f>
        <v>2.875</v>
      </c>
      <c r="O2309" s="82">
        <f>IFERROR(__xludf.DUMMYFUNCTION("""COMPUTED_VALUE"""),310.8020833333333)</f>
        <v>310.8020833</v>
      </c>
      <c r="P2309" s="82">
        <f>IFERROR(__xludf.DUMMYFUNCTION("""COMPUTED_VALUE"""),0.6250000000000001)</f>
        <v>0.625</v>
      </c>
      <c r="Q2309" s="82">
        <f>IFERROR(__xludf.DUMMYFUNCTION("""COMPUTED_VALUE"""),0.44791666666666663)</f>
        <v>0.4479166667</v>
      </c>
      <c r="R2309" s="82">
        <f>IFERROR(__xludf.DUMMYFUNCTION("""COMPUTED_VALUE"""),1.2395833333333333)</f>
        <v>1.239583333</v>
      </c>
      <c r="S2309" s="82">
        <f>IFERROR(__xludf.DUMMYFUNCTION("""COMPUTED_VALUE"""),2.239583333333333)</f>
        <v>2.239583333</v>
      </c>
      <c r="T2309" s="82">
        <f>IFERROR(__xludf.DUMMYFUNCTION("""COMPUTED_VALUE"""),329.60537310922655)</f>
        <v>329.6053731</v>
      </c>
      <c r="U2309" s="82">
        <f>IFERROR(__xludf.DUMMYFUNCTION("""COMPUTED_VALUE"""),0.7299627742307415)</f>
        <v>0.7299627742</v>
      </c>
      <c r="V2309" s="82">
        <f>IFERROR(__xludf.DUMMYFUNCTION("""COMPUTED_VALUE"""),0.5359177234758352)</f>
        <v>0.5359177235</v>
      </c>
      <c r="W2309" s="82">
        <f>IFERROR(__xludf.DUMMYFUNCTION("""COMPUTED_VALUE"""),1.239554387666194)</f>
        <v>1.239554388</v>
      </c>
      <c r="X2309" s="82">
        <f>IFERROR(__xludf.DUMMYFUNCTION("""COMPUTED_VALUE"""),2.4361809033853024)</f>
        <v>2.436180903</v>
      </c>
      <c r="Y2309" s="82">
        <f>IFERROR(__xludf.DUMMYFUNCTION("""COMPUTED_VALUE"""),345.9648605479616)</f>
        <v>345.9648605</v>
      </c>
      <c r="Z2309" s="82">
        <f>IFERROR(__xludf.DUMMYFUNCTION("""COMPUTED_VALUE"""),0.8010104503372709)</f>
        <v>0.8010104503</v>
      </c>
      <c r="AA2309" s="82">
        <f>IFERROR(__xludf.DUMMYFUNCTION("""COMPUTED_VALUE"""),0.5880523632181504)</f>
        <v>0.5880523632</v>
      </c>
      <c r="AB2309" s="82">
        <f>IFERROR(__xludf.DUMMYFUNCTION("""COMPUTED_VALUE"""),1.263060192287244)</f>
        <v>1.263060192</v>
      </c>
      <c r="AC2309" s="82">
        <f>IFERROR(__xludf.DUMMYFUNCTION("""COMPUTED_VALUE"""),2.5163382968215244)</f>
        <v>2.516338297</v>
      </c>
      <c r="AD2309" s="82">
        <f>IFERROR(__xludf.DUMMYFUNCTION("""COMPUTED_VALUE"""),1.1087650618402092)</f>
        <v>1.108765062</v>
      </c>
      <c r="AE2309" s="82">
        <f>IFERROR(__xludf.DUMMYFUNCTION("""COMPUTED_VALUE"""),1.0923702676183253)</f>
        <v>1.092370268</v>
      </c>
      <c r="AF2309" s="82">
        <f>IFERROR(__xludf.DUMMYFUNCTION("""COMPUTED_VALUE"""),1.4879627304131764)</f>
        <v>1.48796273</v>
      </c>
      <c r="AG2309" s="82">
        <f>IFERROR(__xludf.DUMMYFUNCTION("""COMPUTED_VALUE"""),1.0638843724198424)</f>
        <v>1.063884372</v>
      </c>
      <c r="AH2309" s="82">
        <f>IFERROR(__xludf.DUMMYFUNCTION("""COMPUTED_VALUE"""),1.1425331815008792)</f>
        <v>1.142533182</v>
      </c>
      <c r="AI2309" s="82">
        <f>IFERROR(__xludf.DUMMYFUNCTION("""COMPUTED_VALUE"""),0.9429521139218138)</f>
        <v>0.9429521139</v>
      </c>
      <c r="AJ2309" s="82">
        <f>IFERROR(__xludf.DUMMYFUNCTION("""COMPUTED_VALUE"""),0.8562080452097649)</f>
        <v>0.8562080452</v>
      </c>
      <c r="AK2309" s="82">
        <f>IFERROR(__xludf.DUMMYFUNCTION("""COMPUTED_VALUE"""),0.8357937180386299)</f>
        <v>0.835793718</v>
      </c>
      <c r="AL2309" s="82">
        <f>IFERROR(__xludf.DUMMYFUNCTION("""COMPUTED_VALUE"""),1.0000233516717194)</f>
        <v>1.000023352</v>
      </c>
      <c r="AM2309" s="82">
        <f>IFERROR(__xludf.DUMMYFUNCTION("""COMPUTED_VALUE"""),0.9193009148956145)</f>
        <v>0.9193009149</v>
      </c>
      <c r="AN2309" s="82">
        <f>IFERROR(__xludf.DUMMYFUNCTION("""COMPUTED_VALUE"""),1.1669602729009605)</f>
        <v>1.166960273</v>
      </c>
      <c r="AO2309" s="82">
        <f>IFERROR(__xludf.DUMMYFUNCTION("""COMPUTED_VALUE"""),1.1539032663518456)</f>
        <v>1.153903266</v>
      </c>
      <c r="AP2309" s="82">
        <f>IFERROR(__xludf.DUMMYFUNCTION("""COMPUTED_VALUE"""),1.6969800496293217)</f>
        <v>1.69698005</v>
      </c>
      <c r="AQ2309" s="82">
        <f>IFERROR(__xludf.DUMMYFUNCTION("""COMPUTED_VALUE"""),1.1205367179964616)</f>
        <v>1.120536718</v>
      </c>
      <c r="AR2309" s="82">
        <f>IFERROR(__xludf.DUMMYFUNCTION("""COMPUTED_VALUE"""),1.19854707376362)</f>
        <v>1.198547074</v>
      </c>
      <c r="AS2309" s="82">
        <f>IFERROR(__xludf.DUMMYFUNCTION("""COMPUTED_VALUE"""),103.0)</f>
        <v>103</v>
      </c>
      <c r="AT2309" s="82">
        <f>IFERROR(__xludf.DUMMYFUNCTION("""COMPUTED_VALUE"""),0.7031261446299429)</f>
        <v>0.7031261446</v>
      </c>
      <c r="AU2309" s="82">
        <f>IFERROR(__xludf.DUMMYFUNCTION("""COMPUTED_VALUE"""),4.232086478666199)</f>
        <v>4.232086479</v>
      </c>
      <c r="AV2309" s="82">
        <f>IFERROR(__xludf.DUMMYFUNCTION("""COMPUTED_VALUE"""),82.49557983945138)</f>
        <v>82.49557984</v>
      </c>
      <c r="AW2309" s="82">
        <f t="shared" si="1"/>
        <v>10.32729393</v>
      </c>
      <c r="AX2309" s="83">
        <f t="array" ref="AX2309">IFERROR(DGET('SBV Import'!A:G,"SBV",{"RSC ID","Tier";B2309,A2309}))</f>
        <v>71.79744658</v>
      </c>
      <c r="AY2309" s="82">
        <f t="shared" si="2"/>
        <v>5.218333787</v>
      </c>
      <c r="AZ2309" s="82">
        <v>5.108960140902113</v>
      </c>
      <c r="BA2309" s="84">
        <v>2300.0</v>
      </c>
      <c r="BB2309" s="84" t="b">
        <f>IFERROR(__xludf.DUMMYFUNCTION("iferror(if(A2309="""",,E2309&gt;=FILTER(Constants!$F$2:$F$10,Constants!$A$2:$A$10=A2309)))"),TRUE)</f>
        <v>1</v>
      </c>
    </row>
    <row r="2310">
      <c r="A2310" s="89" t="str">
        <f>IFERROR(__xludf.DUMMYFUNCTION("""COMPUTED_VALUE"""),"Challenger")</f>
        <v>Challenger</v>
      </c>
      <c r="B2310" s="87" t="str">
        <f>IFERROR(__xludf.DUMMYFUNCTION("""COMPUTED_VALUE"""),"RSC005059")</f>
        <v>RSC005059</v>
      </c>
      <c r="C2310" s="73" t="str">
        <f>IFERROR(__xludf.DUMMYFUNCTION("""COMPUTED_VALUE"""),"Jacobim Mugatu")</f>
        <v>Jacobim Mugatu</v>
      </c>
      <c r="D2310" s="73" t="str">
        <f>IFERROR(__xludf.DUMMYFUNCTION("""COMPUTED_VALUE"""),"Lilac")</f>
        <v>Lilac</v>
      </c>
      <c r="E2310" s="82">
        <f>IFERROR(__xludf.DUMMYFUNCTION("""COMPUTED_VALUE"""),30.0)</f>
        <v>30</v>
      </c>
      <c r="F2310" s="82">
        <f>IFERROR(__xludf.DUMMYFUNCTION("""COMPUTED_VALUE"""),21.0)</f>
        <v>21</v>
      </c>
      <c r="G2310" s="86">
        <f>IFERROR(__xludf.DUMMYFUNCTION("""COMPUTED_VALUE"""),9.0)</f>
        <v>9</v>
      </c>
      <c r="H2310" s="86">
        <f>IFERROR(__xludf.DUMMYFUNCTION("""COMPUTED_VALUE"""),0.7)</f>
        <v>0.7</v>
      </c>
      <c r="I2310" s="86">
        <f>IFERROR(__xludf.DUMMYFUNCTION("""COMPUTED_VALUE"""),0.34615384615384615)</f>
        <v>0.3461538462</v>
      </c>
      <c r="J2310" s="82">
        <f>IFERROR(__xludf.DUMMYFUNCTION("""COMPUTED_VALUE"""),385.06666666666666)</f>
        <v>385.0666667</v>
      </c>
      <c r="K2310" s="82">
        <f>IFERROR(__xludf.DUMMYFUNCTION("""COMPUTED_VALUE"""),0.9)</f>
        <v>0.9</v>
      </c>
      <c r="L2310" s="82">
        <f>IFERROR(__xludf.DUMMYFUNCTION("""COMPUTED_VALUE"""),0.8)</f>
        <v>0.8</v>
      </c>
      <c r="M2310" s="82">
        <f>IFERROR(__xludf.DUMMYFUNCTION("""COMPUTED_VALUE"""),1.5333333333333334)</f>
        <v>1.533333333</v>
      </c>
      <c r="N2310" s="82">
        <f>IFERROR(__xludf.DUMMYFUNCTION("""COMPUTED_VALUE"""),2.6)</f>
        <v>2.6</v>
      </c>
      <c r="O2310" s="82">
        <f>IFERROR(__xludf.DUMMYFUNCTION("""COMPUTED_VALUE"""),328.51111111111106)</f>
        <v>328.5111111</v>
      </c>
      <c r="P2310" s="82">
        <f>IFERROR(__xludf.DUMMYFUNCTION("""COMPUTED_VALUE"""),0.6)</f>
        <v>0.6</v>
      </c>
      <c r="Q2310" s="82">
        <f>IFERROR(__xludf.DUMMYFUNCTION("""COMPUTED_VALUE"""),0.488888888888889)</f>
        <v>0.4888888889</v>
      </c>
      <c r="R2310" s="82">
        <f>IFERROR(__xludf.DUMMYFUNCTION("""COMPUTED_VALUE"""),1.4111111111111114)</f>
        <v>1.411111111</v>
      </c>
      <c r="S2310" s="82">
        <f>IFERROR(__xludf.DUMMYFUNCTION("""COMPUTED_VALUE"""),2.177777777777778)</f>
        <v>2.177777778</v>
      </c>
      <c r="T2310" s="82">
        <f>IFERROR(__xludf.DUMMYFUNCTION("""COMPUTED_VALUE"""),342.08976442528257)</f>
        <v>342.0897644</v>
      </c>
      <c r="U2310" s="82">
        <f>IFERROR(__xludf.DUMMYFUNCTION("""COMPUTED_VALUE"""),0.8147184078631802)</f>
        <v>0.8147184079</v>
      </c>
      <c r="V2310" s="82">
        <f>IFERROR(__xludf.DUMMYFUNCTION("""COMPUTED_VALUE"""),0.5318632682749855)</f>
        <v>0.5318632683</v>
      </c>
      <c r="W2310" s="82">
        <f>IFERROR(__xludf.DUMMYFUNCTION("""COMPUTED_VALUE"""),1.255136506097609)</f>
        <v>1.255136506</v>
      </c>
      <c r="X2310" s="82">
        <f>IFERROR(__xludf.DUMMYFUNCTION("""COMPUTED_VALUE"""),2.4454714605955)</f>
        <v>2.445471461</v>
      </c>
      <c r="Y2310" s="82">
        <f>IFERROR(__xludf.DUMMYFUNCTION("""COMPUTED_VALUE"""),338.5014153829542)</f>
        <v>338.5014154</v>
      </c>
      <c r="Z2310" s="82">
        <f>IFERROR(__xludf.DUMMYFUNCTION("""COMPUTED_VALUE"""),0.7952351129248261)</f>
        <v>0.7952351129</v>
      </c>
      <c r="AA2310" s="82">
        <f>IFERROR(__xludf.DUMMYFUNCTION("""COMPUTED_VALUE"""),0.549001959120862)</f>
        <v>0.5490019591</v>
      </c>
      <c r="AB2310" s="82">
        <f>IFERROR(__xludf.DUMMYFUNCTION("""COMPUTED_VALUE"""),1.2430758987374495)</f>
        <v>1.243075899</v>
      </c>
      <c r="AC2310" s="82">
        <f>IFERROR(__xludf.DUMMYFUNCTION("""COMPUTED_VALUE"""),2.501922710778103)</f>
        <v>2.501922711</v>
      </c>
      <c r="AD2310" s="82">
        <f>IFERROR(__xludf.DUMMYFUNCTION("""COMPUTED_VALUE"""),1.1375629441047748)</f>
        <v>1.137562944</v>
      </c>
      <c r="AE2310" s="82">
        <f>IFERROR(__xludf.DUMMYFUNCTION("""COMPUTED_VALUE"""),1.1317407712165213)</f>
        <v>1.131740771</v>
      </c>
      <c r="AF2310" s="82">
        <f>IFERROR(__xludf.DUMMYFUNCTION("""COMPUTED_VALUE"""),1.4571896997982865)</f>
        <v>1.4571897</v>
      </c>
      <c r="AG2310" s="82">
        <f>IFERROR(__xludf.DUMMYFUNCTION("""COMPUTED_VALUE"""),1.2334993662822107)</f>
        <v>1.233499366</v>
      </c>
      <c r="AH2310" s="82">
        <f>IFERROR(__xludf.DUMMYFUNCTION("""COMPUTED_VALUE"""),1.0392007669938752)</f>
        <v>1.039200767</v>
      </c>
      <c r="AI2310" s="82">
        <f>IFERROR(__xludf.DUMMYFUNCTION("""COMPUTED_VALUE"""),0.9603067535885387)</f>
        <v>0.9603067536</v>
      </c>
      <c r="AJ2310" s="82">
        <f>IFERROR(__xludf.DUMMYFUNCTION("""COMPUTED_VALUE"""),0.7364507714679758)</f>
        <v>0.7364507715</v>
      </c>
      <c r="AK2310" s="82">
        <f>IFERROR(__xludf.DUMMYFUNCTION("""COMPUTED_VALUE"""),0.9192003246896948)</f>
        <v>0.9192003247</v>
      </c>
      <c r="AL2310" s="82">
        <f>IFERROR(__xludf.DUMMYFUNCTION("""COMPUTED_VALUE"""),1.1242690370774482)</f>
        <v>1.124269037</v>
      </c>
      <c r="AM2310" s="82">
        <f>IFERROR(__xludf.DUMMYFUNCTION("""COMPUTED_VALUE"""),0.8905349389141776)</f>
        <v>0.8905349389</v>
      </c>
      <c r="AN2310" s="82">
        <f>IFERROR(__xludf.DUMMYFUNCTION("""COMPUTED_VALUE"""),1.171441146834109)</f>
        <v>1.171441147</v>
      </c>
      <c r="AO2310" s="82">
        <f>IFERROR(__xludf.DUMMYFUNCTION("""COMPUTED_VALUE"""),1.1868719311047555)</f>
        <v>1.186871931</v>
      </c>
      <c r="AP2310" s="82">
        <f>IFERROR(__xludf.DUMMYFUNCTION("""COMPUTED_VALUE"""),1.5515246168039514)</f>
        <v>1.551524617</v>
      </c>
      <c r="AQ2310" s="82">
        <f>IFERROR(__xludf.DUMMYFUNCTION("""COMPUTED_VALUE"""),1.2786279448765825)</f>
        <v>1.278627945</v>
      </c>
      <c r="AR2310" s="82">
        <f>IFERROR(__xludf.DUMMYFUNCTION("""COMPUTED_VALUE"""),1.0839034406210128)</f>
        <v>1.083903441</v>
      </c>
      <c r="AS2310" s="82">
        <f>IFERROR(__xludf.DUMMYFUNCTION("""COMPUTED_VALUE"""),96.0)</f>
        <v>96</v>
      </c>
      <c r="AT2310" s="82">
        <f>IFERROR(__xludf.DUMMYFUNCTION("""COMPUTED_VALUE"""),0.7136464925755103)</f>
        <v>0.7136464926</v>
      </c>
      <c r="AU2310" s="82">
        <f>IFERROR(__xludf.DUMMYFUNCTION("""COMPUTED_VALUE"""),4.087812516086395)</f>
        <v>4.087812516</v>
      </c>
      <c r="AV2310" s="82">
        <f>IFERROR(__xludf.DUMMYFUNCTION("""COMPUTED_VALUE"""),78.68066497490571)</f>
        <v>78.68066497</v>
      </c>
      <c r="AW2310" s="82">
        <f t="shared" si="1"/>
        <v>7.958995856</v>
      </c>
      <c r="AX2310" s="83">
        <f t="array" ref="AX2310">IFERROR(DGET('SBV Import'!A:G,"SBV",{"RSC ID","Tier";B2310,A2310}))</f>
        <v>65.55991092</v>
      </c>
      <c r="AY2310" s="82">
        <f t="shared" si="2"/>
        <v>3.747555497</v>
      </c>
      <c r="AZ2310" s="82">
        <v>4.2114403596126735</v>
      </c>
      <c r="BA2310" s="84">
        <v>2300.0</v>
      </c>
      <c r="BB2310" s="84" t="b">
        <f>IFERROR(__xludf.DUMMYFUNCTION("iferror(if(A2310="""",,E2310&gt;=FILTER(Constants!$F$2:$F$10,Constants!$A$2:$A$10=A2310)))"),TRUE)</f>
        <v>1</v>
      </c>
    </row>
    <row r="2311">
      <c r="A2311" s="89" t="str">
        <f>IFERROR(__xludf.DUMMYFUNCTION("""COMPUTED_VALUE"""),"Challenger")</f>
        <v>Challenger</v>
      </c>
      <c r="B2311" s="87" t="str">
        <f>IFERROR(__xludf.DUMMYFUNCTION("""COMPUTED_VALUE"""),"RSC007961")</f>
        <v>RSC007961</v>
      </c>
      <c r="C2311" s="73" t="str">
        <f>IFERROR(__xludf.DUMMYFUNCTION("""COMPUTED_VALUE"""),"Skrilpp")</f>
        <v>Skrilpp</v>
      </c>
      <c r="D2311" s="73"/>
      <c r="E2311" s="82">
        <f>IFERROR(__xludf.DUMMYFUNCTION("""COMPUTED_VALUE"""),4.0)</f>
        <v>4</v>
      </c>
      <c r="F2311" s="82">
        <f>IFERROR(__xludf.DUMMYFUNCTION("""COMPUTED_VALUE"""),3.0)</f>
        <v>3</v>
      </c>
      <c r="G2311" s="86">
        <f>IFERROR(__xludf.DUMMYFUNCTION("""COMPUTED_VALUE"""),1.0)</f>
        <v>1</v>
      </c>
      <c r="H2311" s="86">
        <f>IFERROR(__xludf.DUMMYFUNCTION("""COMPUTED_VALUE"""),0.75)</f>
        <v>0.75</v>
      </c>
      <c r="I2311" s="86">
        <f>IFERROR(__xludf.DUMMYFUNCTION("""COMPUTED_VALUE"""),0.14285714285714285)</f>
        <v>0.1428571429</v>
      </c>
      <c r="J2311" s="82">
        <f>IFERROR(__xludf.DUMMYFUNCTION("""COMPUTED_VALUE"""),352.5)</f>
        <v>352.5</v>
      </c>
      <c r="K2311" s="82">
        <f>IFERROR(__xludf.DUMMYFUNCTION("""COMPUTED_VALUE"""),0.5)</f>
        <v>0.5</v>
      </c>
      <c r="L2311" s="82">
        <f>IFERROR(__xludf.DUMMYFUNCTION("""COMPUTED_VALUE"""),0.75)</f>
        <v>0.75</v>
      </c>
      <c r="M2311" s="82">
        <f>IFERROR(__xludf.DUMMYFUNCTION("""COMPUTED_VALUE"""),1.5)</f>
        <v>1.5</v>
      </c>
      <c r="N2311" s="82">
        <f>IFERROR(__xludf.DUMMYFUNCTION("""COMPUTED_VALUE"""),3.5)</f>
        <v>3.5</v>
      </c>
      <c r="O2311" s="82">
        <f>IFERROR(__xludf.DUMMYFUNCTION("""COMPUTED_VALUE"""),241.08333333333334)</f>
        <v>241.0833333</v>
      </c>
      <c r="P2311" s="82">
        <f>IFERROR(__xludf.DUMMYFUNCTION("""COMPUTED_VALUE"""),0.25)</f>
        <v>0.25</v>
      </c>
      <c r="Q2311" s="82">
        <f>IFERROR(__xludf.DUMMYFUNCTION("""COMPUTED_VALUE"""),0.16666666666666666)</f>
        <v>0.1666666667</v>
      </c>
      <c r="R2311" s="82">
        <f>IFERROR(__xludf.DUMMYFUNCTION("""COMPUTED_VALUE"""),1.25)</f>
        <v>1.25</v>
      </c>
      <c r="S2311" s="82">
        <f>IFERROR(__xludf.DUMMYFUNCTION("""COMPUTED_VALUE"""),2.25)</f>
        <v>2.25</v>
      </c>
      <c r="T2311" s="82">
        <f>IFERROR(__xludf.DUMMYFUNCTION("""COMPUTED_VALUE"""),337.83638468013464)</f>
        <v>337.8363847</v>
      </c>
      <c r="U2311" s="82">
        <f>IFERROR(__xludf.DUMMYFUNCTION("""COMPUTED_VALUE"""),0.7802413502844538)</f>
        <v>0.7802413503</v>
      </c>
      <c r="V2311" s="82">
        <f>IFERROR(__xludf.DUMMYFUNCTION("""COMPUTED_VALUE"""),0.5509984906536631)</f>
        <v>0.5509984907</v>
      </c>
      <c r="W2311" s="82">
        <f>IFERROR(__xludf.DUMMYFUNCTION("""COMPUTED_VALUE"""),1.1904316150005805)</f>
        <v>1.190431615</v>
      </c>
      <c r="X2311" s="82">
        <f>IFERROR(__xludf.DUMMYFUNCTION("""COMPUTED_VALUE"""),2.6259288285150353)</f>
        <v>2.625928829</v>
      </c>
      <c r="Y2311" s="82">
        <f>IFERROR(__xludf.DUMMYFUNCTION("""COMPUTED_VALUE"""),381.4018682998568)</f>
        <v>381.4018683</v>
      </c>
      <c r="Z2311" s="82">
        <f>IFERROR(__xludf.DUMMYFUNCTION("""COMPUTED_VALUE"""),0.9296751035256783)</f>
        <v>0.9296751035</v>
      </c>
      <c r="AA2311" s="82">
        <f>IFERROR(__xludf.DUMMYFUNCTION("""COMPUTED_VALUE"""),0.6142205096946476)</f>
        <v>0.6142205097</v>
      </c>
      <c r="AB2311" s="82">
        <f>IFERROR(__xludf.DUMMYFUNCTION("""COMPUTED_VALUE"""),1.4223799295638373)</f>
        <v>1.42237993</v>
      </c>
      <c r="AC2311" s="82">
        <f>IFERROR(__xludf.DUMMYFUNCTION("""COMPUTED_VALUE"""),2.49832617361353)</f>
        <v>2.498326174</v>
      </c>
      <c r="AD2311" s="82">
        <f>IFERROR(__xludf.DUMMYFUNCTION("""COMPUTED_VALUE"""),0.9242220064922854)</f>
        <v>0.9242220065</v>
      </c>
      <c r="AE2311" s="82">
        <f>IFERROR(__xludf.DUMMYFUNCTION("""COMPUTED_VALUE"""),0.5378222973851957)</f>
        <v>0.5378222974</v>
      </c>
      <c r="AF2311" s="82">
        <f>IFERROR(__xludf.DUMMYFUNCTION("""COMPUTED_VALUE"""),1.2210598444080834)</f>
        <v>1.221059844</v>
      </c>
      <c r="AG2311" s="82">
        <f>IFERROR(__xludf.DUMMYFUNCTION("""COMPUTED_VALUE"""),1.0545705608064677)</f>
        <v>1.054570561</v>
      </c>
      <c r="AH2311" s="82">
        <f>IFERROR(__xludf.DUMMYFUNCTION("""COMPUTED_VALUE"""),1.4009379707765175)</f>
        <v>1.400937971</v>
      </c>
      <c r="AI2311" s="82">
        <f>IFERROR(__xludf.DUMMYFUNCTION("""COMPUTED_VALUE"""),0.7136097361496228)</f>
        <v>0.7136097361</v>
      </c>
      <c r="AJ2311" s="82">
        <f>IFERROR(__xludf.DUMMYFUNCTION("""COMPUTED_VALUE"""),0.3204136770101419)</f>
        <v>0.320413677</v>
      </c>
      <c r="AK2311" s="82">
        <f>IFERROR(__xludf.DUMMYFUNCTION("""COMPUTED_VALUE"""),0.30248116736026964)</f>
        <v>0.3024811674</v>
      </c>
      <c r="AL2311" s="82">
        <f>IFERROR(__xludf.DUMMYFUNCTION("""COMPUTED_VALUE"""),1.0500393170416518)</f>
        <v>1.050039317</v>
      </c>
      <c r="AM2311" s="82">
        <f>IFERROR(__xludf.DUMMYFUNCTION("""COMPUTED_VALUE"""),0.8568396734775088)</f>
        <v>0.8568396735</v>
      </c>
      <c r="AN2311" s="82">
        <f>IFERROR(__xludf.DUMMYFUNCTION("""COMPUTED_VALUE"""),1.0723675664621453)</f>
        <v>1.072367566</v>
      </c>
      <c r="AO2311" s="82">
        <f>IFERROR(__xludf.DUMMYFUNCTION("""COMPUTED_VALUE"""),0.6593732950581975)</f>
        <v>0.6593732951</v>
      </c>
      <c r="AP2311" s="82">
        <f>IFERROR(__xludf.DUMMYFUNCTION("""COMPUTED_VALUE"""),1.4545543282537043)</f>
        <v>1.454554328</v>
      </c>
      <c r="AQ2311" s="82">
        <f>IFERROR(__xludf.DUMMYFUNCTION("""COMPUTED_VALUE"""),1.2508316852053525)</f>
        <v>1.250831685</v>
      </c>
      <c r="AR2311" s="82">
        <f>IFERROR(__xludf.DUMMYFUNCTION("""COMPUTED_VALUE"""),1.4591007854513633)</f>
        <v>1.459100785</v>
      </c>
      <c r="AS2311" s="82">
        <f>IFERROR(__xludf.DUMMYFUNCTION("""COMPUTED_VALUE"""),8.0)</f>
        <v>8</v>
      </c>
      <c r="AT2311" s="82">
        <f>IFERROR(__xludf.DUMMYFUNCTION("""COMPUTED_VALUE"""),0.7877204293842835)</f>
        <v>0.7877204294</v>
      </c>
      <c r="AU2311" s="82">
        <f>IFERROR(__xludf.DUMMYFUNCTION("""COMPUTED_VALUE"""),4.083036850824181)</f>
        <v>4.083036851</v>
      </c>
      <c r="AV2311" s="82">
        <f>IFERROR(__xludf.DUMMYFUNCTION("""COMPUTED_VALUE"""),78.55438608111821)</f>
        <v>78.55438608</v>
      </c>
      <c r="AW2311" s="82">
        <f t="shared" si="1"/>
        <v>7.893248512</v>
      </c>
      <c r="AX2311" s="83">
        <f t="array" ref="AX2311">IFERROR(DGET('SBV Import'!A:G,"SBV",{"RSC ID","Tier";B2311,A2311}))</f>
        <v>70.24683688</v>
      </c>
      <c r="AY2311" s="82">
        <f t="shared" si="2"/>
        <v>4.78454136</v>
      </c>
      <c r="AZ2311" s="82">
        <v>3.108707151443708</v>
      </c>
      <c r="BA2311" s="84">
        <v>2300.0</v>
      </c>
      <c r="BB2311" s="84" t="b">
        <f>IFERROR(__xludf.DUMMYFUNCTION("iferror(if(A2311="""",,E2311&gt;=FILTER(Constants!$F$2:$F$10,Constants!$A$2:$A$10=A2311)))"),TRUE)</f>
        <v>1</v>
      </c>
    </row>
    <row r="2312">
      <c r="A2312" s="89" t="str">
        <f>IFERROR(__xludf.DUMMYFUNCTION("""COMPUTED_VALUE"""),"Challenger")</f>
        <v>Challenger</v>
      </c>
      <c r="B2312" s="87" t="str">
        <f>IFERROR(__xludf.DUMMYFUNCTION("""COMPUTED_VALUE"""),"RSC007256")</f>
        <v>RSC007256</v>
      </c>
      <c r="C2312" s="73" t="str">
        <f>IFERROR(__xludf.DUMMYFUNCTION("""COMPUTED_VALUE"""),"Dark Odst RW7")</f>
        <v>Dark Odst RW7</v>
      </c>
      <c r="D2312" s="73" t="str">
        <f>IFERROR(__xludf.DUMMYFUNCTION("""COMPUTED_VALUE"""),"Deceased")</f>
        <v>Deceased</v>
      </c>
      <c r="E2312" s="82">
        <f>IFERROR(__xludf.DUMMYFUNCTION("""COMPUTED_VALUE"""),31.0)</f>
        <v>31</v>
      </c>
      <c r="F2312" s="82">
        <f>IFERROR(__xludf.DUMMYFUNCTION("""COMPUTED_VALUE"""),20.0)</f>
        <v>20</v>
      </c>
      <c r="G2312" s="86">
        <f>IFERROR(__xludf.DUMMYFUNCTION("""COMPUTED_VALUE"""),11.0)</f>
        <v>11</v>
      </c>
      <c r="H2312" s="86">
        <f>IFERROR(__xludf.DUMMYFUNCTION("""COMPUTED_VALUE"""),0.6451612903225806)</f>
        <v>0.6451612903</v>
      </c>
      <c r="I2312" s="86">
        <f>IFERROR(__xludf.DUMMYFUNCTION("""COMPUTED_VALUE"""),0.326530612244898)</f>
        <v>0.3265306122</v>
      </c>
      <c r="J2312" s="82">
        <f>IFERROR(__xludf.DUMMYFUNCTION("""COMPUTED_VALUE"""),375.93548387096774)</f>
        <v>375.9354839</v>
      </c>
      <c r="K2312" s="82">
        <f>IFERROR(__xludf.DUMMYFUNCTION("""COMPUTED_VALUE"""),1.032258064516129)</f>
        <v>1.032258065</v>
      </c>
      <c r="L2312" s="82">
        <f>IFERROR(__xludf.DUMMYFUNCTION("""COMPUTED_VALUE"""),0.6129032258064516)</f>
        <v>0.6129032258</v>
      </c>
      <c r="M2312" s="82">
        <f>IFERROR(__xludf.DUMMYFUNCTION("""COMPUTED_VALUE"""),1.1612903225806452)</f>
        <v>1.161290323</v>
      </c>
      <c r="N2312" s="82">
        <f>IFERROR(__xludf.DUMMYFUNCTION("""COMPUTED_VALUE"""),3.161290322580645)</f>
        <v>3.161290323</v>
      </c>
      <c r="O2312" s="82">
        <f>IFERROR(__xludf.DUMMYFUNCTION("""COMPUTED_VALUE"""),323.5376344086022)</f>
        <v>323.5376344</v>
      </c>
      <c r="P2312" s="82">
        <f>IFERROR(__xludf.DUMMYFUNCTION("""COMPUTED_VALUE"""),0.5698924731182795)</f>
        <v>0.5698924731</v>
      </c>
      <c r="Q2312" s="82">
        <f>IFERROR(__xludf.DUMMYFUNCTION("""COMPUTED_VALUE"""),0.41935483870967744)</f>
        <v>0.4193548387</v>
      </c>
      <c r="R2312" s="82">
        <f>IFERROR(__xludf.DUMMYFUNCTION("""COMPUTED_VALUE"""),1.3978494623655915)</f>
        <v>1.397849462</v>
      </c>
      <c r="S2312" s="82">
        <f>IFERROR(__xludf.DUMMYFUNCTION("""COMPUTED_VALUE"""),2.086021505376345)</f>
        <v>2.086021505</v>
      </c>
      <c r="T2312" s="82">
        <f>IFERROR(__xludf.DUMMYFUNCTION("""COMPUTED_VALUE"""),322.03152729203214)</f>
        <v>322.0315273</v>
      </c>
      <c r="U2312" s="82">
        <f>IFERROR(__xludf.DUMMYFUNCTION("""COMPUTED_VALUE"""),0.7055067318466566)</f>
        <v>0.7055067318</v>
      </c>
      <c r="V2312" s="82">
        <f>IFERROR(__xludf.DUMMYFUNCTION("""COMPUTED_VALUE"""),0.4483990114455204)</f>
        <v>0.4483990114</v>
      </c>
      <c r="W2312" s="82">
        <f>IFERROR(__xludf.DUMMYFUNCTION("""COMPUTED_VALUE"""),1.2651556395197623)</f>
        <v>1.26515564</v>
      </c>
      <c r="X2312" s="82">
        <f>IFERROR(__xludf.DUMMYFUNCTION("""COMPUTED_VALUE"""),2.2108055050336177)</f>
        <v>2.210805505</v>
      </c>
      <c r="Y2312" s="82">
        <f>IFERROR(__xludf.DUMMYFUNCTION("""COMPUTED_VALUE"""),346.27483240706744)</f>
        <v>346.2748324</v>
      </c>
      <c r="Z2312" s="82">
        <f>IFERROR(__xludf.DUMMYFUNCTION("""COMPUTED_VALUE"""),0.8691764114398355)</f>
        <v>0.8691764114</v>
      </c>
      <c r="AA2312" s="82">
        <f>IFERROR(__xludf.DUMMYFUNCTION("""COMPUTED_VALUE"""),0.6189821867833313)</f>
        <v>0.6189821868</v>
      </c>
      <c r="AB2312" s="82">
        <f>IFERROR(__xludf.DUMMYFUNCTION("""COMPUTED_VALUE"""),1.1329006571453322)</f>
        <v>1.132900657</v>
      </c>
      <c r="AC2312" s="82">
        <f>IFERROR(__xludf.DUMMYFUNCTION("""COMPUTED_VALUE"""),2.650065202047979)</f>
        <v>2.650065202</v>
      </c>
      <c r="AD2312" s="82">
        <f>IFERROR(__xludf.DUMMYFUNCTION("""COMPUTED_VALUE"""),1.085656388186573)</f>
        <v>1.085656388</v>
      </c>
      <c r="AE2312" s="82">
        <f>IFERROR(__xludf.DUMMYFUNCTION("""COMPUTED_VALUE"""),1.1876277944613571)</f>
        <v>1.187627794</v>
      </c>
      <c r="AF2312" s="82">
        <f>IFERROR(__xludf.DUMMYFUNCTION("""COMPUTED_VALUE"""),0.9901791019084568)</f>
        <v>0.9901791019</v>
      </c>
      <c r="AG2312" s="82">
        <f>IFERROR(__xludf.DUMMYFUNCTION("""COMPUTED_VALUE"""),1.0250592717519018)</f>
        <v>1.025059272</v>
      </c>
      <c r="AH2312" s="82">
        <f>IFERROR(__xludf.DUMMYFUNCTION("""COMPUTED_VALUE"""),1.192910393350922)</f>
        <v>1.192910393</v>
      </c>
      <c r="AI2312" s="82">
        <f>IFERROR(__xludf.DUMMYFUNCTION("""COMPUTED_VALUE"""),1.0046768933751142)</f>
        <v>1.004676893</v>
      </c>
      <c r="AJ2312" s="82">
        <f>IFERROR(__xludf.DUMMYFUNCTION("""COMPUTED_VALUE"""),0.8077775128050045)</f>
        <v>0.8077775128</v>
      </c>
      <c r="AK2312" s="82">
        <f>IFERROR(__xludf.DUMMYFUNCTION("""COMPUTED_VALUE"""),0.9352269474408246)</f>
        <v>0.9352269474</v>
      </c>
      <c r="AL2312" s="82">
        <f>IFERROR(__xludf.DUMMYFUNCTION("""COMPUTED_VALUE"""),1.1048833982957214)</f>
        <v>1.104883398</v>
      </c>
      <c r="AM2312" s="82">
        <f>IFERROR(__xludf.DUMMYFUNCTION("""COMPUTED_VALUE"""),0.9435572241098724)</f>
        <v>0.9435572241</v>
      </c>
      <c r="AN2312" s="82">
        <f>IFERROR(__xludf.DUMMYFUNCTION("""COMPUTED_VALUE"""),1.1436624680439114)</f>
        <v>1.143662468</v>
      </c>
      <c r="AO2312" s="82">
        <f>IFERROR(__xludf.DUMMYFUNCTION("""COMPUTED_VALUE"""),1.3612868027007947)</f>
        <v>1.361286803</v>
      </c>
      <c r="AP2312" s="82">
        <f>IFERROR(__xludf.DUMMYFUNCTION("""COMPUTED_VALUE"""),1.1886680531965756)</f>
        <v>1.188668053</v>
      </c>
      <c r="AQ2312" s="82">
        <f>IFERROR(__xludf.DUMMYFUNCTION("""COMPUTED_VALUE"""),0.9683858208041439)</f>
        <v>0.9683858208</v>
      </c>
      <c r="AR2312" s="82">
        <f>IFERROR(__xludf.DUMMYFUNCTION("""COMPUTED_VALUE"""),1.3178974836334894)</f>
        <v>1.317897484</v>
      </c>
      <c r="AS2312" s="82">
        <f>IFERROR(__xludf.DUMMYFUNCTION("""COMPUTED_VALUE"""),89.0)</f>
        <v>89</v>
      </c>
      <c r="AT2312" s="82">
        <f>IFERROR(__xludf.DUMMYFUNCTION("""COMPUTED_VALUE"""),0.6904534721176743)</f>
        <v>0.6904534721</v>
      </c>
      <c r="AU2312" s="82">
        <f>IFERROR(__xludf.DUMMYFUNCTION("""COMPUTED_VALUE"""),4.009699919255924)</f>
        <v>4.009699919</v>
      </c>
      <c r="AV2312" s="82">
        <f>IFERROR(__xludf.DUMMYFUNCTION("""COMPUTED_VALUE"""),76.6151993744028)</f>
        <v>76.61519937</v>
      </c>
      <c r="AW2312" s="82">
        <f t="shared" si="1"/>
        <v>6.967345494</v>
      </c>
      <c r="AX2312" s="83">
        <f t="array" ref="AX2312">IFERROR(DGET('SBV Import'!A:G,"SBV",{"RSC ID","Tier";B2312,A2312}))</f>
        <v>61.25066133</v>
      </c>
      <c r="AY2312" s="82">
        <f t="shared" si="2"/>
        <v>3.064235415</v>
      </c>
      <c r="AZ2312" s="82">
        <v>3.9031100794082674</v>
      </c>
      <c r="BA2312" s="84">
        <v>2300.0</v>
      </c>
      <c r="BB2312" s="84" t="b">
        <f>IFERROR(__xludf.DUMMYFUNCTION("iferror(if(A2312="""",,E2312&gt;=FILTER(Constants!$F$2:$F$10,Constants!$A$2:$A$10=A2312)))"),TRUE)</f>
        <v>1</v>
      </c>
    </row>
    <row r="2313">
      <c r="A2313" s="89" t="str">
        <f>IFERROR(__xludf.DUMMYFUNCTION("""COMPUTED_VALUE"""),"Challenger")</f>
        <v>Challenger</v>
      </c>
      <c r="B2313" s="87" t="str">
        <f>IFERROR(__xludf.DUMMYFUNCTION("""COMPUTED_VALUE"""),"RSC002841")</f>
        <v>RSC002841</v>
      </c>
      <c r="C2313" s="73" t="str">
        <f>IFERROR(__xludf.DUMMYFUNCTION("""COMPUTED_VALUE"""),"dyl")</f>
        <v>dyl</v>
      </c>
      <c r="D2313" s="73" t="str">
        <f>IFERROR(__xludf.DUMMYFUNCTION("""COMPUTED_VALUE"""),"Cassowaries")</f>
        <v>Cassowaries</v>
      </c>
      <c r="E2313" s="82">
        <f>IFERROR(__xludf.DUMMYFUNCTION("""COMPUTED_VALUE"""),35.0)</f>
        <v>35</v>
      </c>
      <c r="F2313" s="82">
        <f>IFERROR(__xludf.DUMMYFUNCTION("""COMPUTED_VALUE"""),27.0)</f>
        <v>27</v>
      </c>
      <c r="G2313" s="86">
        <f>IFERROR(__xludf.DUMMYFUNCTION("""COMPUTED_VALUE"""),8.0)</f>
        <v>8</v>
      </c>
      <c r="H2313" s="86">
        <f>IFERROR(__xludf.DUMMYFUNCTION("""COMPUTED_VALUE"""),0.7714285714285715)</f>
        <v>0.7714285714</v>
      </c>
      <c r="I2313" s="86">
        <f>IFERROR(__xludf.DUMMYFUNCTION("""COMPUTED_VALUE"""),0.39772727272727276)</f>
        <v>0.3977272727</v>
      </c>
      <c r="J2313" s="82">
        <f>IFERROR(__xludf.DUMMYFUNCTION("""COMPUTED_VALUE"""),393.2857142857143)</f>
        <v>393.2857143</v>
      </c>
      <c r="K2313" s="82">
        <f>IFERROR(__xludf.DUMMYFUNCTION("""COMPUTED_VALUE"""),1.0)</f>
        <v>1</v>
      </c>
      <c r="L2313" s="82">
        <f>IFERROR(__xludf.DUMMYFUNCTION("""COMPUTED_VALUE"""),0.8285714285714286)</f>
        <v>0.8285714286</v>
      </c>
      <c r="M2313" s="82">
        <f>IFERROR(__xludf.DUMMYFUNCTION("""COMPUTED_VALUE"""),1.4)</f>
        <v>1.4</v>
      </c>
      <c r="N2313" s="82">
        <f>IFERROR(__xludf.DUMMYFUNCTION("""COMPUTED_VALUE"""),2.5142857142857142)</f>
        <v>2.514285714</v>
      </c>
      <c r="O2313" s="82">
        <f>IFERROR(__xludf.DUMMYFUNCTION("""COMPUTED_VALUE"""),319.29523809523806)</f>
        <v>319.2952381</v>
      </c>
      <c r="P2313" s="82">
        <f>IFERROR(__xludf.DUMMYFUNCTION("""COMPUTED_VALUE"""),0.6952380952380953)</f>
        <v>0.6952380952</v>
      </c>
      <c r="Q2313" s="82">
        <f>IFERROR(__xludf.DUMMYFUNCTION("""COMPUTED_VALUE"""),0.4380952380952382)</f>
        <v>0.4380952381</v>
      </c>
      <c r="R2313" s="82">
        <f>IFERROR(__xludf.DUMMYFUNCTION("""COMPUTED_VALUE"""),1.276190476190476)</f>
        <v>1.276190476</v>
      </c>
      <c r="S2313" s="82">
        <f>IFERROR(__xludf.DUMMYFUNCTION("""COMPUTED_VALUE"""),2.3714285714285706)</f>
        <v>2.371428571</v>
      </c>
      <c r="T2313" s="82">
        <f>IFERROR(__xludf.DUMMYFUNCTION("""COMPUTED_VALUE"""),316.34361937063085)</f>
        <v>316.3436194</v>
      </c>
      <c r="U2313" s="82">
        <f>IFERROR(__xludf.DUMMYFUNCTION("""COMPUTED_VALUE"""),0.6775125050942196)</f>
        <v>0.6775125051</v>
      </c>
      <c r="V2313" s="82">
        <f>IFERROR(__xludf.DUMMYFUNCTION("""COMPUTED_VALUE"""),0.4444169278984944)</f>
        <v>0.4444169279</v>
      </c>
      <c r="W2313" s="82">
        <f>IFERROR(__xludf.DUMMYFUNCTION("""COMPUTED_VALUE"""),1.2080312944306861)</f>
        <v>1.208031294</v>
      </c>
      <c r="X2313" s="82">
        <f>IFERROR(__xludf.DUMMYFUNCTION("""COMPUTED_VALUE"""),2.317355247780709)</f>
        <v>2.317355248</v>
      </c>
      <c r="Y2313" s="82">
        <f>IFERROR(__xludf.DUMMYFUNCTION("""COMPUTED_VALUE"""),345.69212613042663)</f>
        <v>345.6921261</v>
      </c>
      <c r="Z2313" s="82">
        <f>IFERROR(__xludf.DUMMYFUNCTION("""COMPUTED_VALUE"""),0.8341008354628202)</f>
        <v>0.8341008355</v>
      </c>
      <c r="AA2313" s="82">
        <f>IFERROR(__xludf.DUMMYFUNCTION("""COMPUTED_VALUE"""),0.587582807187873)</f>
        <v>0.5875828072</v>
      </c>
      <c r="AB2313" s="82">
        <f>IFERROR(__xludf.DUMMYFUNCTION("""COMPUTED_VALUE"""),1.2123878845971647)</f>
        <v>1.212387885</v>
      </c>
      <c r="AC2313" s="82">
        <f>IFERROR(__xludf.DUMMYFUNCTION("""COMPUTED_VALUE"""),2.5320434651609567)</f>
        <v>2.532043465</v>
      </c>
      <c r="AD2313" s="82">
        <f>IFERROR(__xludf.DUMMYFUNCTION("""COMPUTED_VALUE"""),1.1376762285217077)</f>
        <v>1.137676229</v>
      </c>
      <c r="AE2313" s="82">
        <f>IFERROR(__xludf.DUMMYFUNCTION("""COMPUTED_VALUE"""),1.1988958138917662)</f>
        <v>1.198895814</v>
      </c>
      <c r="AF2313" s="82">
        <f>IFERROR(__xludf.DUMMYFUNCTION("""COMPUTED_VALUE"""),1.4101355901424497)</f>
        <v>1.41013559</v>
      </c>
      <c r="AG2313" s="82">
        <f>IFERROR(__xludf.DUMMYFUNCTION("""COMPUTED_VALUE"""),1.1547459503566158)</f>
        <v>1.15474595</v>
      </c>
      <c r="AH2313" s="82">
        <f>IFERROR(__xludf.DUMMYFUNCTION("""COMPUTED_VALUE"""),0.9929867906615444)</f>
        <v>0.9929867907</v>
      </c>
      <c r="AI2313" s="82">
        <f>IFERROR(__xludf.DUMMYFUNCTION("""COMPUTED_VALUE"""),1.0093304196572053)</f>
        <v>1.00933042</v>
      </c>
      <c r="AJ2313" s="82">
        <f>IFERROR(__xludf.DUMMYFUNCTION("""COMPUTED_VALUE"""),1.0261627497804056)</f>
        <v>1.02616275</v>
      </c>
      <c r="AK2313" s="82">
        <f>IFERROR(__xludf.DUMMYFUNCTION("""COMPUTED_VALUE"""),0.9857753172608671)</f>
        <v>0.9857753173</v>
      </c>
      <c r="AL2313" s="82">
        <f>IFERROR(__xludf.DUMMYFUNCTION("""COMPUTED_VALUE"""),1.0564217020486308)</f>
        <v>1.056421702</v>
      </c>
      <c r="AM2313" s="82">
        <f>IFERROR(__xludf.DUMMYFUNCTION("""COMPUTED_VALUE"""),1.0233340674459157)</f>
        <v>1.023334067</v>
      </c>
      <c r="AN2313" s="82">
        <f>IFERROR(__xludf.DUMMYFUNCTION("""COMPUTED_VALUE"""),1.1964449485188597)</f>
        <v>1.196444949</v>
      </c>
      <c r="AO2313" s="82">
        <f>IFERROR(__xludf.DUMMYFUNCTION("""COMPUTED_VALUE"""),1.318746590116395)</f>
        <v>1.31874659</v>
      </c>
      <c r="AP2313" s="82">
        <f>IFERROR(__xludf.DUMMYFUNCTION("""COMPUTED_VALUE"""),1.6069362102612355)</f>
        <v>1.60693621</v>
      </c>
      <c r="AQ2313" s="82">
        <f>IFERROR(__xludf.DUMMYFUNCTION("""COMPUTED_VALUE"""),1.1674429061916622)</f>
        <v>1.167442906</v>
      </c>
      <c r="AR2313" s="82">
        <f>IFERROR(__xludf.DUMMYFUNCTION("""COMPUTED_VALUE"""),1.0481703601609793)</f>
        <v>1.04817036</v>
      </c>
      <c r="AS2313" s="82">
        <f>IFERROR(__xludf.DUMMYFUNCTION("""COMPUTED_VALUE"""),111.0)</f>
        <v>111</v>
      </c>
      <c r="AT2313" s="82">
        <f>IFERROR(__xludf.DUMMYFUNCTION("""COMPUTED_VALUE"""),0.6625658258640648)</f>
        <v>0.6625658259</v>
      </c>
      <c r="AU2313" s="82">
        <f>IFERROR(__xludf.DUMMYFUNCTION("""COMPUTED_VALUE"""),3.990239776658442)</f>
        <v>3.990239777</v>
      </c>
      <c r="AV2313" s="82">
        <f>IFERROR(__xludf.DUMMYFUNCTION("""COMPUTED_VALUE"""),76.10063121578409)</f>
        <v>76.10063122</v>
      </c>
      <c r="AW2313" s="82">
        <f t="shared" si="1"/>
        <v>6.745960753</v>
      </c>
      <c r="AX2313" s="83">
        <f t="array" ref="AX2313">IFERROR(DGET('SBV Import'!A:G,"SBV",{"RSC ID","Tier";B2313,A2313}))</f>
        <v>61.90396282</v>
      </c>
      <c r="AY2313" s="82">
        <f t="shared" si="2"/>
        <v>3.154765938</v>
      </c>
      <c r="AZ2313" s="82">
        <v>3.591194814830965</v>
      </c>
      <c r="BA2313" s="84">
        <v>2300.0</v>
      </c>
      <c r="BB2313" s="84" t="b">
        <f>IFERROR(__xludf.DUMMYFUNCTION("iferror(if(A2313="""",,E2313&gt;=FILTER(Constants!$F$2:$F$10,Constants!$A$2:$A$10=A2313)))"),TRUE)</f>
        <v>1</v>
      </c>
    </row>
    <row r="2314">
      <c r="A2314" s="89" t="str">
        <f>IFERROR(__xludf.DUMMYFUNCTION("""COMPUTED_VALUE"""),"Challenger")</f>
        <v>Challenger</v>
      </c>
      <c r="B2314" s="87" t="str">
        <f>IFERROR(__xludf.DUMMYFUNCTION("""COMPUTED_VALUE"""),"RSC007890")</f>
        <v>RSC007890</v>
      </c>
      <c r="C2314" s="73" t="str">
        <f>IFERROR(__xludf.DUMMYFUNCTION("""COMPUTED_VALUE"""),"Ghost-Bacon")</f>
        <v>Ghost-Bacon</v>
      </c>
      <c r="D2314" s="73" t="str">
        <f>IFERROR(__xludf.DUMMYFUNCTION("""COMPUTED_VALUE"""),"Void")</f>
        <v>Void</v>
      </c>
      <c r="E2314" s="82">
        <f>IFERROR(__xludf.DUMMYFUNCTION("""COMPUTED_VALUE"""),15.0)</f>
        <v>15</v>
      </c>
      <c r="F2314" s="82">
        <f>IFERROR(__xludf.DUMMYFUNCTION("""COMPUTED_VALUE"""),10.0)</f>
        <v>10</v>
      </c>
      <c r="G2314" s="86">
        <f>IFERROR(__xludf.DUMMYFUNCTION("""COMPUTED_VALUE"""),5.0)</f>
        <v>5</v>
      </c>
      <c r="H2314" s="86">
        <f>IFERROR(__xludf.DUMMYFUNCTION("""COMPUTED_VALUE"""),0.6666666666666666)</f>
        <v>0.6666666667</v>
      </c>
      <c r="I2314" s="86">
        <f>IFERROR(__xludf.DUMMYFUNCTION("""COMPUTED_VALUE"""),0.25)</f>
        <v>0.25</v>
      </c>
      <c r="J2314" s="82">
        <f>IFERROR(__xludf.DUMMYFUNCTION("""COMPUTED_VALUE"""),333.6666666666667)</f>
        <v>333.6666667</v>
      </c>
      <c r="K2314" s="82">
        <f>IFERROR(__xludf.DUMMYFUNCTION("""COMPUTED_VALUE"""),0.8)</f>
        <v>0.8</v>
      </c>
      <c r="L2314" s="82">
        <f>IFERROR(__xludf.DUMMYFUNCTION("""COMPUTED_VALUE"""),0.6666666666666666)</f>
        <v>0.6666666667</v>
      </c>
      <c r="M2314" s="82">
        <f>IFERROR(__xludf.DUMMYFUNCTION("""COMPUTED_VALUE"""),0.8666666666666667)</f>
        <v>0.8666666667</v>
      </c>
      <c r="N2314" s="82">
        <f>IFERROR(__xludf.DUMMYFUNCTION("""COMPUTED_VALUE"""),3.2)</f>
        <v>3.2</v>
      </c>
      <c r="O2314" s="82">
        <f>IFERROR(__xludf.DUMMYFUNCTION("""COMPUTED_VALUE"""),301.1111111111111)</f>
        <v>301.1111111</v>
      </c>
      <c r="P2314" s="82">
        <f>IFERROR(__xludf.DUMMYFUNCTION("""COMPUTED_VALUE"""),0.5555555555555556)</f>
        <v>0.5555555556</v>
      </c>
      <c r="Q2314" s="82">
        <f>IFERROR(__xludf.DUMMYFUNCTION("""COMPUTED_VALUE"""),0.44444444444444436)</f>
        <v>0.4444444444</v>
      </c>
      <c r="R2314" s="82">
        <f>IFERROR(__xludf.DUMMYFUNCTION("""COMPUTED_VALUE"""),1.2222222222222223)</f>
        <v>1.222222222</v>
      </c>
      <c r="S2314" s="82">
        <f>IFERROR(__xludf.DUMMYFUNCTION("""COMPUTED_VALUE"""),2.177777777777778)</f>
        <v>2.177777778</v>
      </c>
      <c r="T2314" s="82">
        <f>IFERROR(__xludf.DUMMYFUNCTION("""COMPUTED_VALUE"""),328.47123364569677)</f>
        <v>328.4712336</v>
      </c>
      <c r="U2314" s="82">
        <f>IFERROR(__xludf.DUMMYFUNCTION("""COMPUTED_VALUE"""),0.8191580685690084)</f>
        <v>0.8191580686</v>
      </c>
      <c r="V2314" s="82">
        <f>IFERROR(__xludf.DUMMYFUNCTION("""COMPUTED_VALUE"""),0.4721575632593243)</f>
        <v>0.4721575633</v>
      </c>
      <c r="W2314" s="82">
        <f>IFERROR(__xludf.DUMMYFUNCTION("""COMPUTED_VALUE"""),1.1991161437849924)</f>
        <v>1.199116144</v>
      </c>
      <c r="X2314" s="82">
        <f>IFERROR(__xludf.DUMMYFUNCTION("""COMPUTED_VALUE"""),2.343315108061874)</f>
        <v>2.343315108</v>
      </c>
      <c r="Y2314" s="82">
        <f>IFERROR(__xludf.DUMMYFUNCTION("""COMPUTED_VALUE"""),326.35601838802086)</f>
        <v>326.3560184</v>
      </c>
      <c r="Z2314" s="82">
        <f>IFERROR(__xludf.DUMMYFUNCTION("""COMPUTED_VALUE"""),0.7877743327247249)</f>
        <v>0.7877743327</v>
      </c>
      <c r="AA2314" s="82">
        <f>IFERROR(__xludf.DUMMYFUNCTION("""COMPUTED_VALUE"""),0.5222376364826109)</f>
        <v>0.5222376365</v>
      </c>
      <c r="AB2314" s="82">
        <f>IFERROR(__xludf.DUMMYFUNCTION("""COMPUTED_VALUE"""),1.1393166613061683)</f>
        <v>1.139316661</v>
      </c>
      <c r="AC2314" s="82">
        <f>IFERROR(__xludf.DUMMYFUNCTION("""COMPUTED_VALUE"""),2.4054166559636405)</f>
        <v>2.405416656</v>
      </c>
      <c r="AD2314" s="82">
        <f>IFERROR(__xludf.DUMMYFUNCTION("""COMPUTED_VALUE"""),1.0224008379399758)</f>
        <v>1.022400838</v>
      </c>
      <c r="AE2314" s="82">
        <f>IFERROR(__xludf.DUMMYFUNCTION("""COMPUTED_VALUE"""),1.0155192505866362)</f>
        <v>1.015519251</v>
      </c>
      <c r="AF2314" s="82">
        <f>IFERROR(__xludf.DUMMYFUNCTION("""COMPUTED_VALUE"""),1.2765580649392068)</f>
        <v>1.276558065</v>
      </c>
      <c r="AG2314" s="82">
        <f>IFERROR(__xludf.DUMMYFUNCTION("""COMPUTED_VALUE"""),0.7606898907921505)</f>
        <v>0.7606898908</v>
      </c>
      <c r="AH2314" s="82">
        <f>IFERROR(__xludf.DUMMYFUNCTION("""COMPUTED_VALUE"""),1.3303308564303757)</f>
        <v>1.330330856</v>
      </c>
      <c r="AI2314" s="82">
        <f>IFERROR(__xludf.DUMMYFUNCTION("""COMPUTED_VALUE"""),0.9167046616809754)</f>
        <v>0.9167046617</v>
      </c>
      <c r="AJ2314" s="82">
        <f>IFERROR(__xludf.DUMMYFUNCTION("""COMPUTED_VALUE"""),0.6782031171664566)</f>
        <v>0.6782031172</v>
      </c>
      <c r="AK2314" s="82">
        <f>IFERROR(__xludf.DUMMYFUNCTION("""COMPUTED_VALUE"""),0.9413053586951461)</f>
        <v>0.9413053587</v>
      </c>
      <c r="AL2314" s="82">
        <f>IFERROR(__xludf.DUMMYFUNCTION("""COMPUTED_VALUE"""),1.0192692580756155)</f>
        <v>1.019269258</v>
      </c>
      <c r="AM2314" s="82">
        <f>IFERROR(__xludf.DUMMYFUNCTION("""COMPUTED_VALUE"""),0.9293576311121854)</f>
        <v>0.9293576311</v>
      </c>
      <c r="AN2314" s="82">
        <f>IFERROR(__xludf.DUMMYFUNCTION("""COMPUTED_VALUE"""),1.015073223667714)</f>
        <v>1.015073224</v>
      </c>
      <c r="AO2314" s="82">
        <f>IFERROR(__xludf.DUMMYFUNCTION("""COMPUTED_VALUE"""),1.054997272093116)</f>
        <v>1.054997272</v>
      </c>
      <c r="AP2314" s="82">
        <f>IFERROR(__xludf.DUMMYFUNCTION("""COMPUTED_VALUE"""),1.2929371806699594)</f>
        <v>1.292937181</v>
      </c>
      <c r="AQ2314" s="82">
        <f>IFERROR(__xludf.DUMMYFUNCTION("""COMPUTED_VALUE"""),0.7227027514519815)</f>
        <v>0.7227027515</v>
      </c>
      <c r="AR2314" s="82">
        <f>IFERROR(__xludf.DUMMYFUNCTION("""COMPUTED_VALUE"""),1.3340350038412465)</f>
        <v>1.334035004</v>
      </c>
      <c r="AS2314" s="82">
        <f>IFERROR(__xludf.DUMMYFUNCTION("""COMPUTED_VALUE"""),35.0)</f>
        <v>35</v>
      </c>
      <c r="AT2314" s="82">
        <f>IFERROR(__xludf.DUMMYFUNCTION("""COMPUTED_VALUE"""),0.6226679444608085)</f>
        <v>0.6226679445</v>
      </c>
      <c r="AU2314" s="82">
        <f>IFERROR(__xludf.DUMMYFUNCTION("""COMPUTED_VALUE"""),3.9631317648716347)</f>
        <v>3.963131765</v>
      </c>
      <c r="AV2314" s="82">
        <f>IFERROR(__xludf.DUMMYFUNCTION("""COMPUTED_VALUE"""),75.38383689430998)</f>
        <v>75.38383689</v>
      </c>
      <c r="AW2314" s="82">
        <f t="shared" si="1"/>
        <v>6.452916769</v>
      </c>
      <c r="AX2314" s="83">
        <f t="array" ref="AX2314">IFERROR(DGET('SBV Import'!A:G,"SBV",{"RSC ID","Tier";B2314,A2314}))</f>
        <v>67.89199395</v>
      </c>
      <c r="AY2314" s="82">
        <f t="shared" si="2"/>
        <v>4.217726529</v>
      </c>
      <c r="AZ2314" s="82">
        <v>2.2351902401092705</v>
      </c>
      <c r="BA2314" s="84">
        <v>2300.0</v>
      </c>
      <c r="BB2314" s="84" t="b">
        <f>IFERROR(__xludf.DUMMYFUNCTION("iferror(if(A2314="""",,E2314&gt;=FILTER(Constants!$F$2:$F$10,Constants!$A$2:$A$10=A2314)))"),TRUE)</f>
        <v>1</v>
      </c>
    </row>
    <row r="2315">
      <c r="A2315" s="89" t="str">
        <f>IFERROR(__xludf.DUMMYFUNCTION("""COMPUTED_VALUE"""),"Challenger")</f>
        <v>Challenger</v>
      </c>
      <c r="B2315" s="87" t="str">
        <f>IFERROR(__xludf.DUMMYFUNCTION("""COMPUTED_VALUE"""),"RSC008000")</f>
        <v>RSC008000</v>
      </c>
      <c r="C2315" s="73" t="str">
        <f>IFERROR(__xludf.DUMMYFUNCTION("""COMPUTED_VALUE"""),"ChefHoffy")</f>
        <v>ChefHoffy</v>
      </c>
      <c r="D2315" s="73" t="str">
        <f>IFERROR(__xludf.DUMMYFUNCTION("""COMPUTED_VALUE"""),"Ryujin")</f>
        <v>Ryujin</v>
      </c>
      <c r="E2315" s="82">
        <f>IFERROR(__xludf.DUMMYFUNCTION("""COMPUTED_VALUE"""),36.0)</f>
        <v>36</v>
      </c>
      <c r="F2315" s="82">
        <f>IFERROR(__xludf.DUMMYFUNCTION("""COMPUTED_VALUE"""),24.0)</f>
        <v>24</v>
      </c>
      <c r="G2315" s="86">
        <f>IFERROR(__xludf.DUMMYFUNCTION("""COMPUTED_VALUE"""),12.0)</f>
        <v>12</v>
      </c>
      <c r="H2315" s="86">
        <f>IFERROR(__xludf.DUMMYFUNCTION("""COMPUTED_VALUE"""),0.6666666666666666)</f>
        <v>0.6666666667</v>
      </c>
      <c r="I2315" s="86">
        <f>IFERROR(__xludf.DUMMYFUNCTION("""COMPUTED_VALUE"""),0.3229166666666667)</f>
        <v>0.3229166667</v>
      </c>
      <c r="J2315" s="82">
        <f>IFERROR(__xludf.DUMMYFUNCTION("""COMPUTED_VALUE"""),340.52777777777777)</f>
        <v>340.5277778</v>
      </c>
      <c r="K2315" s="82">
        <f>IFERROR(__xludf.DUMMYFUNCTION("""COMPUTED_VALUE"""),0.8611111111111112)</f>
        <v>0.8611111111</v>
      </c>
      <c r="L2315" s="82">
        <f>IFERROR(__xludf.DUMMYFUNCTION("""COMPUTED_VALUE"""),0.6111111111111112)</f>
        <v>0.6111111111</v>
      </c>
      <c r="M2315" s="82">
        <f>IFERROR(__xludf.DUMMYFUNCTION("""COMPUTED_VALUE"""),1.0555555555555556)</f>
        <v>1.055555556</v>
      </c>
      <c r="N2315" s="82">
        <f>IFERROR(__xludf.DUMMYFUNCTION("""COMPUTED_VALUE"""),2.6666666666666665)</f>
        <v>2.666666667</v>
      </c>
      <c r="O2315" s="82">
        <f>IFERROR(__xludf.DUMMYFUNCTION("""COMPUTED_VALUE"""),291.35185185185185)</f>
        <v>291.3518519</v>
      </c>
      <c r="P2315" s="82">
        <f>IFERROR(__xludf.DUMMYFUNCTION("""COMPUTED_VALUE"""),0.5185185185185186)</f>
        <v>0.5185185185</v>
      </c>
      <c r="Q2315" s="82">
        <f>IFERROR(__xludf.DUMMYFUNCTION("""COMPUTED_VALUE"""),0.3796296296296296)</f>
        <v>0.3796296296</v>
      </c>
      <c r="R2315" s="82">
        <f>IFERROR(__xludf.DUMMYFUNCTION("""COMPUTED_VALUE"""),1.2037037037037037)</f>
        <v>1.203703704</v>
      </c>
      <c r="S2315" s="82">
        <f>IFERROR(__xludf.DUMMYFUNCTION("""COMPUTED_VALUE"""),1.9074074074074074)</f>
        <v>1.907407407</v>
      </c>
      <c r="T2315" s="82">
        <f>IFERROR(__xludf.DUMMYFUNCTION("""COMPUTED_VALUE"""),329.0240049043056)</f>
        <v>329.0240049</v>
      </c>
      <c r="U2315" s="82">
        <f>IFERROR(__xludf.DUMMYFUNCTION("""COMPUTED_VALUE"""),0.7648654839931854)</f>
        <v>0.764865484</v>
      </c>
      <c r="V2315" s="82">
        <f>IFERROR(__xludf.DUMMYFUNCTION("""COMPUTED_VALUE"""),0.5212809906852512)</f>
        <v>0.5212809907</v>
      </c>
      <c r="W2315" s="82">
        <f>IFERROR(__xludf.DUMMYFUNCTION("""COMPUTED_VALUE"""),1.1308448307067327)</f>
        <v>1.130844831</v>
      </c>
      <c r="X2315" s="82">
        <f>IFERROR(__xludf.DUMMYFUNCTION("""COMPUTED_VALUE"""),2.4023496296629117)</f>
        <v>2.40234963</v>
      </c>
      <c r="Y2315" s="82">
        <f>IFERROR(__xludf.DUMMYFUNCTION("""COMPUTED_VALUE"""),320.7943840207231)</f>
        <v>320.794384</v>
      </c>
      <c r="Z2315" s="82">
        <f>IFERROR(__xludf.DUMMYFUNCTION("""COMPUTED_VALUE"""),0.736558250003069)</f>
        <v>0.73655825</v>
      </c>
      <c r="AA2315" s="82">
        <f>IFERROR(__xludf.DUMMYFUNCTION("""COMPUTED_VALUE"""),0.4971573499519356)</f>
        <v>0.49715735</v>
      </c>
      <c r="AB2315" s="82">
        <f>IFERROR(__xludf.DUMMYFUNCTION("""COMPUTED_VALUE"""),1.170011649857392)</f>
        <v>1.17001165</v>
      </c>
      <c r="AC2315" s="82">
        <f>IFERROR(__xludf.DUMMYFUNCTION("""COMPUTED_VALUE"""),2.3062613458907024)</f>
        <v>2.306261346</v>
      </c>
      <c r="AD2315" s="82">
        <f>IFERROR(__xludf.DUMMYFUNCTION("""COMPUTED_VALUE"""),1.0615141496859244)</f>
        <v>1.06151415</v>
      </c>
      <c r="AE2315" s="82">
        <f>IFERROR(__xludf.DUMMYFUNCTION("""COMPUTED_VALUE"""),1.169101168994473)</f>
        <v>1.169101169</v>
      </c>
      <c r="AF2315" s="82">
        <f>IFERROR(__xludf.DUMMYFUNCTION("""COMPUTED_VALUE"""),1.2292106536696932)</f>
        <v>1.229210654</v>
      </c>
      <c r="AG2315" s="82">
        <f>IFERROR(__xludf.DUMMYFUNCTION("""COMPUTED_VALUE"""),0.9021752524295061)</f>
        <v>0.9021752524</v>
      </c>
      <c r="AH2315" s="82">
        <f>IFERROR(__xludf.DUMMYFUNCTION("""COMPUTED_VALUE"""),1.1562725410188808)</f>
        <v>1.156272541</v>
      </c>
      <c r="AI2315" s="82">
        <f>IFERROR(__xludf.DUMMYFUNCTION("""COMPUTED_VALUE"""),0.8855033295719245)</f>
        <v>0.8855033296</v>
      </c>
      <c r="AJ2315" s="82">
        <f>IFERROR(__xludf.DUMMYFUNCTION("""COMPUTED_VALUE"""),0.6779211892416083)</f>
        <v>0.6779211892</v>
      </c>
      <c r="AK2315" s="82">
        <f>IFERROR(__xludf.DUMMYFUNCTION("""COMPUTED_VALUE"""),0.7282629453465903)</f>
        <v>0.7282629453</v>
      </c>
      <c r="AL2315" s="82">
        <f>IFERROR(__xludf.DUMMYFUNCTION("""COMPUTED_VALUE"""),1.064428709420228)</f>
        <v>1.064428709</v>
      </c>
      <c r="AM2315" s="82">
        <f>IFERROR(__xludf.DUMMYFUNCTION("""COMPUTED_VALUE"""),0.7939757743235099)</f>
        <v>0.7939757743</v>
      </c>
      <c r="AN2315" s="82">
        <f>IFERROR(__xludf.DUMMYFUNCTION("""COMPUTED_VALUE"""),1.035945941470405)</f>
        <v>1.035945941</v>
      </c>
      <c r="AO2315" s="82">
        <f>IFERROR(__xludf.DUMMYFUNCTION("""COMPUTED_VALUE"""),1.135587341489118)</f>
        <v>1.135587341</v>
      </c>
      <c r="AP2315" s="82">
        <f>IFERROR(__xludf.DUMMYFUNCTION("""COMPUTED_VALUE"""),1.1851924156141296)</f>
        <v>1.185192416</v>
      </c>
      <c r="AQ2315" s="82">
        <f>IFERROR(__xludf.DUMMYFUNCTION("""COMPUTED_VALUE"""),0.8802148895889518)</f>
        <v>0.8802148896</v>
      </c>
      <c r="AR2315" s="82">
        <f>IFERROR(__xludf.DUMMYFUNCTION("""COMPUTED_VALUE"""),1.1116958365343719)</f>
        <v>1.111695837</v>
      </c>
      <c r="AS2315" s="82">
        <f>IFERROR(__xludf.DUMMYFUNCTION("""COMPUTED_VALUE"""),91.0)</f>
        <v>91</v>
      </c>
      <c r="AT2315" s="82">
        <f>IFERROR(__xludf.DUMMYFUNCTION("""COMPUTED_VALUE"""),0.674155082745607)</f>
        <v>0.6741550827</v>
      </c>
      <c r="AU2315" s="82">
        <f>IFERROR(__xludf.DUMMYFUNCTION("""COMPUTED_VALUE"""),3.916520735318277)</f>
        <v>3.916520735</v>
      </c>
      <c r="AV2315" s="82">
        <f>IFERROR(__xludf.DUMMYFUNCTION("""COMPUTED_VALUE"""),74.15134070223705)</f>
        <v>74.1513407</v>
      </c>
      <c r="AW2315" s="82">
        <f t="shared" si="1"/>
        <v>5.987712971</v>
      </c>
      <c r="AX2315" s="83">
        <f t="array" ref="AX2315">IFERROR(DGET('SBV Import'!A:G,"SBV",{"RSC ID","Tier";B2315,A2315}))</f>
        <v>69.06893631</v>
      </c>
      <c r="AY2315" s="82">
        <f t="shared" si="2"/>
        <v>4.488249159</v>
      </c>
      <c r="AZ2315" s="82">
        <v>1.4994638117584467</v>
      </c>
      <c r="BA2315" s="84">
        <v>2300.0</v>
      </c>
      <c r="BB2315" s="84" t="b">
        <f>IFERROR(__xludf.DUMMYFUNCTION("iferror(if(A2315="""",,E2315&gt;=FILTER(Constants!$F$2:$F$10,Constants!$A$2:$A$10=A2315)))"),TRUE)</f>
        <v>1</v>
      </c>
    </row>
    <row r="2316">
      <c r="A2316" s="89" t="str">
        <f>IFERROR(__xludf.DUMMYFUNCTION("""COMPUTED_VALUE"""),"Challenger")</f>
        <v>Challenger</v>
      </c>
      <c r="B2316" s="87" t="str">
        <f>IFERROR(__xludf.DUMMYFUNCTION("""COMPUTED_VALUE"""),"RSC006240")</f>
        <v>RSC006240</v>
      </c>
      <c r="C2316" s="73" t="str">
        <f>IFERROR(__xludf.DUMMYFUNCTION("""COMPUTED_VALUE"""),"Canadian Gamer")</f>
        <v>Canadian Gamer</v>
      </c>
      <c r="D2316" s="73" t="str">
        <f>IFERROR(__xludf.DUMMYFUNCTION("""COMPUTED_VALUE"""),"Meat Lovers")</f>
        <v>Meat Lovers</v>
      </c>
      <c r="E2316" s="82">
        <f>IFERROR(__xludf.DUMMYFUNCTION("""COMPUTED_VALUE"""),28.0)</f>
        <v>28</v>
      </c>
      <c r="F2316" s="82">
        <f>IFERROR(__xludf.DUMMYFUNCTION("""COMPUTED_VALUE"""),21.0)</f>
        <v>21</v>
      </c>
      <c r="G2316" s="86">
        <f>IFERROR(__xludf.DUMMYFUNCTION("""COMPUTED_VALUE"""),7.0)</f>
        <v>7</v>
      </c>
      <c r="H2316" s="86">
        <f>IFERROR(__xludf.DUMMYFUNCTION("""COMPUTED_VALUE"""),0.75)</f>
        <v>0.75</v>
      </c>
      <c r="I2316" s="86">
        <f>IFERROR(__xludf.DUMMYFUNCTION("""COMPUTED_VALUE"""),0.34782608695652173)</f>
        <v>0.347826087</v>
      </c>
      <c r="J2316" s="82">
        <f>IFERROR(__xludf.DUMMYFUNCTION("""COMPUTED_VALUE"""),354.0357142857143)</f>
        <v>354.0357143</v>
      </c>
      <c r="K2316" s="82">
        <f>IFERROR(__xludf.DUMMYFUNCTION("""COMPUTED_VALUE"""),0.8571428571428571)</f>
        <v>0.8571428571</v>
      </c>
      <c r="L2316" s="82">
        <f>IFERROR(__xludf.DUMMYFUNCTION("""COMPUTED_VALUE"""),0.8214285714285714)</f>
        <v>0.8214285714</v>
      </c>
      <c r="M2316" s="82">
        <f>IFERROR(__xludf.DUMMYFUNCTION("""COMPUTED_VALUE"""),1.3214285714285714)</f>
        <v>1.321428571</v>
      </c>
      <c r="N2316" s="82">
        <f>IFERROR(__xludf.DUMMYFUNCTION("""COMPUTED_VALUE"""),2.4642857142857144)</f>
        <v>2.464285714</v>
      </c>
      <c r="O2316" s="82">
        <f>IFERROR(__xludf.DUMMYFUNCTION("""COMPUTED_VALUE"""),310.8214285714286)</f>
        <v>310.8214286</v>
      </c>
      <c r="P2316" s="82">
        <f>IFERROR(__xludf.DUMMYFUNCTION("""COMPUTED_VALUE"""),0.619047619047619)</f>
        <v>0.619047619</v>
      </c>
      <c r="Q2316" s="82">
        <f>IFERROR(__xludf.DUMMYFUNCTION("""COMPUTED_VALUE"""),0.45238095238095244)</f>
        <v>0.4523809524</v>
      </c>
      <c r="R2316" s="82">
        <f>IFERROR(__xludf.DUMMYFUNCTION("""COMPUTED_VALUE"""),1.3095238095238098)</f>
        <v>1.30952381</v>
      </c>
      <c r="S2316" s="82">
        <f>IFERROR(__xludf.DUMMYFUNCTION("""COMPUTED_VALUE"""),2.130952380952381)</f>
        <v>2.130952381</v>
      </c>
      <c r="T2316" s="82">
        <f>IFERROR(__xludf.DUMMYFUNCTION("""COMPUTED_VALUE"""),325.7972763568478)</f>
        <v>325.7972764</v>
      </c>
      <c r="U2316" s="82">
        <f>IFERROR(__xludf.DUMMYFUNCTION("""COMPUTED_VALUE"""),0.751360497149418)</f>
        <v>0.7513604971</v>
      </c>
      <c r="V2316" s="82">
        <f>IFERROR(__xludf.DUMMYFUNCTION("""COMPUTED_VALUE"""),0.5426454191458613)</f>
        <v>0.5426454191</v>
      </c>
      <c r="W2316" s="82">
        <f>IFERROR(__xludf.DUMMYFUNCTION("""COMPUTED_VALUE"""),1.1808482307064239)</f>
        <v>1.180848231</v>
      </c>
      <c r="X2316" s="82">
        <f>IFERROR(__xludf.DUMMYFUNCTION("""COMPUTED_VALUE"""),2.457276816361845)</f>
        <v>2.457276816</v>
      </c>
      <c r="Y2316" s="82">
        <f>IFERROR(__xludf.DUMMYFUNCTION("""COMPUTED_VALUE"""),340.8809990268925)</f>
        <v>340.880999</v>
      </c>
      <c r="Z2316" s="82">
        <f>IFERROR(__xludf.DUMMYFUNCTION("""COMPUTED_VALUE"""),0.7677462830338585)</f>
        <v>0.767746283</v>
      </c>
      <c r="AA2316" s="82">
        <f>IFERROR(__xludf.DUMMYFUNCTION("""COMPUTED_VALUE"""),0.5650096727952213)</f>
        <v>0.5650096728</v>
      </c>
      <c r="AB2316" s="82">
        <f>IFERROR(__xludf.DUMMYFUNCTION("""COMPUTED_VALUE"""),1.2731736686345632)</f>
        <v>1.273173669</v>
      </c>
      <c r="AC2316" s="82">
        <f>IFERROR(__xludf.DUMMYFUNCTION("""COMPUTED_VALUE"""),2.405526192711711)</f>
        <v>2.405526193</v>
      </c>
      <c r="AD2316" s="82">
        <f>IFERROR(__xludf.DUMMYFUNCTION("""COMPUTED_VALUE"""),1.0385903447137692)</f>
        <v>1.038590345</v>
      </c>
      <c r="AE2316" s="82">
        <f>IFERROR(__xludf.DUMMYFUNCTION("""COMPUTED_VALUE"""),1.1164402564812628)</f>
        <v>1.116440256</v>
      </c>
      <c r="AF2316" s="82">
        <f>IFERROR(__xludf.DUMMYFUNCTION("""COMPUTED_VALUE"""),1.4538309890604033)</f>
        <v>1.453830989</v>
      </c>
      <c r="AG2316" s="82">
        <f>IFERROR(__xludf.DUMMYFUNCTION("""COMPUTED_VALUE"""),1.0379012730021036)</f>
        <v>1.037901273</v>
      </c>
      <c r="AH2316" s="82">
        <f>IFERROR(__xludf.DUMMYFUNCTION("""COMPUTED_VALUE"""),1.0244268891155845)</f>
        <v>1.024426889</v>
      </c>
      <c r="AI2316" s="82">
        <f>IFERROR(__xludf.DUMMYFUNCTION("""COMPUTED_VALUE"""),0.9540332320979379)</f>
        <v>0.9540332321</v>
      </c>
      <c r="AJ2316" s="82">
        <f>IFERROR(__xludf.DUMMYFUNCTION("""COMPUTED_VALUE"""),0.8239022698108563)</f>
        <v>0.8239022698</v>
      </c>
      <c r="AK2316" s="82">
        <f>IFERROR(__xludf.DUMMYFUNCTION("""COMPUTED_VALUE"""),0.8336584746131506)</f>
        <v>0.8336584746</v>
      </c>
      <c r="AL2316" s="82">
        <f>IFERROR(__xludf.DUMMYFUNCTION("""COMPUTED_VALUE"""),1.1089687696279205)</f>
        <v>1.10896877</v>
      </c>
      <c r="AM2316" s="82">
        <f>IFERROR(__xludf.DUMMYFUNCTION("""COMPUTED_VALUE"""),0.8672007837144664)</f>
        <v>0.8672007837</v>
      </c>
      <c r="AN2316" s="82">
        <f>IFERROR(__xludf.DUMMYFUNCTION("""COMPUTED_VALUE"""),1.0770394818986067)</f>
        <v>1.077039482</v>
      </c>
      <c r="AO2316" s="82">
        <f>IFERROR(__xludf.DUMMYFUNCTION("""COMPUTED_VALUE"""),1.1303542200997672)</f>
        <v>1.13035422</v>
      </c>
      <c r="AP2316" s="82">
        <f>IFERROR(__xludf.DUMMYFUNCTION("""COMPUTED_VALUE"""),1.5930833118969143)</f>
        <v>1.593083312</v>
      </c>
      <c r="AQ2316" s="82">
        <f>IFERROR(__xludf.DUMMYFUNCTION("""COMPUTED_VALUE"""),1.1019231512523342)</f>
        <v>1.101923151</v>
      </c>
      <c r="AR2316" s="82">
        <f>IFERROR(__xludf.DUMMYFUNCTION("""COMPUTED_VALUE"""),1.02732606322596)</f>
        <v>1.027326063</v>
      </c>
      <c r="AS2316" s="82">
        <f>IFERROR(__xludf.DUMMYFUNCTION("""COMPUTED_VALUE"""),84.0)</f>
        <v>84</v>
      </c>
      <c r="AT2316" s="82">
        <f>IFERROR(__xludf.DUMMYFUNCTION("""COMPUTED_VALUE"""),0.6802290692135441)</f>
        <v>0.6802290692</v>
      </c>
      <c r="AU2316" s="82">
        <f>IFERROR(__xludf.DUMMYFUNCTION("""COMPUTED_VALUE"""),3.91528132117047)</f>
        <v>3.915281321</v>
      </c>
      <c r="AV2316" s="82">
        <f>IFERROR(__xludf.DUMMYFUNCTION("""COMPUTED_VALUE"""),74.1185679179366)</f>
        <v>74.11856792</v>
      </c>
      <c r="AW2316" s="82">
        <f t="shared" si="1"/>
        <v>5.975970136</v>
      </c>
      <c r="AX2316" s="83">
        <f t="array" ref="AX2316">IFERROR(DGET('SBV Import'!A:G,"SBV",{"RSC ID","Tier";B2316,A2316}))</f>
        <v>59.75631132</v>
      </c>
      <c r="AY2316" s="82">
        <f t="shared" si="2"/>
        <v>2.872119407</v>
      </c>
      <c r="AZ2316" s="82">
        <v>3.103850729242079</v>
      </c>
      <c r="BA2316" s="84">
        <v>2300.0</v>
      </c>
      <c r="BB2316" s="84" t="b">
        <f>IFERROR(__xludf.DUMMYFUNCTION("iferror(if(A2316="""",,E2316&gt;=FILTER(Constants!$F$2:$F$10,Constants!$A$2:$A$10=A2316)))"),TRUE)</f>
        <v>1</v>
      </c>
    </row>
    <row r="2317">
      <c r="A2317" s="89" t="str">
        <f>IFERROR(__xludf.DUMMYFUNCTION("""COMPUTED_VALUE"""),"Challenger")</f>
        <v>Challenger</v>
      </c>
      <c r="B2317" s="87" t="str">
        <f>IFERROR(__xludf.DUMMYFUNCTION("""COMPUTED_VALUE"""),"RSC005265")</f>
        <v>RSC005265</v>
      </c>
      <c r="C2317" s="73" t="str">
        <f>IFERROR(__xludf.DUMMYFUNCTION("""COMPUTED_VALUE"""),"doctorprofessor_")</f>
        <v>doctorprofessor_</v>
      </c>
      <c r="D2317" s="73" t="str">
        <f>IFERROR(__xludf.DUMMYFUNCTION("""COMPUTED_VALUE"""),"Decuriones")</f>
        <v>Decuriones</v>
      </c>
      <c r="E2317" s="82">
        <f>IFERROR(__xludf.DUMMYFUNCTION("""COMPUTED_VALUE"""),35.0)</f>
        <v>35</v>
      </c>
      <c r="F2317" s="82">
        <f>IFERROR(__xludf.DUMMYFUNCTION("""COMPUTED_VALUE"""),24.0)</f>
        <v>24</v>
      </c>
      <c r="G2317" s="86">
        <f>IFERROR(__xludf.DUMMYFUNCTION("""COMPUTED_VALUE"""),11.0)</f>
        <v>11</v>
      </c>
      <c r="H2317" s="86">
        <f>IFERROR(__xludf.DUMMYFUNCTION("""COMPUTED_VALUE"""),0.6857142857142857)</f>
        <v>0.6857142857</v>
      </c>
      <c r="I2317" s="86">
        <f>IFERROR(__xludf.DUMMYFUNCTION("""COMPUTED_VALUE"""),0.26666666666666666)</f>
        <v>0.2666666667</v>
      </c>
      <c r="J2317" s="82">
        <f>IFERROR(__xludf.DUMMYFUNCTION("""COMPUTED_VALUE"""),347.51428571428573)</f>
        <v>347.5142857</v>
      </c>
      <c r="K2317" s="82">
        <f>IFERROR(__xludf.DUMMYFUNCTION("""COMPUTED_VALUE"""),0.8)</f>
        <v>0.8</v>
      </c>
      <c r="L2317" s="82">
        <f>IFERROR(__xludf.DUMMYFUNCTION("""COMPUTED_VALUE"""),0.6571428571428571)</f>
        <v>0.6571428571</v>
      </c>
      <c r="M2317" s="82">
        <f>IFERROR(__xludf.DUMMYFUNCTION("""COMPUTED_VALUE"""),0.8857142857142857)</f>
        <v>0.8857142857</v>
      </c>
      <c r="N2317" s="82">
        <f>IFERROR(__xludf.DUMMYFUNCTION("""COMPUTED_VALUE"""),3.0)</f>
        <v>3</v>
      </c>
      <c r="O2317" s="82">
        <f>IFERROR(__xludf.DUMMYFUNCTION("""COMPUTED_VALUE"""),285.39047619047625)</f>
        <v>285.3904762</v>
      </c>
      <c r="P2317" s="82">
        <f>IFERROR(__xludf.DUMMYFUNCTION("""COMPUTED_VALUE"""),0.4857142857142858)</f>
        <v>0.4857142857</v>
      </c>
      <c r="Q2317" s="82">
        <f>IFERROR(__xludf.DUMMYFUNCTION("""COMPUTED_VALUE"""),0.3333333333333334)</f>
        <v>0.3333333333</v>
      </c>
      <c r="R2317" s="82">
        <f>IFERROR(__xludf.DUMMYFUNCTION("""COMPUTED_VALUE"""),1.257142857142857)</f>
        <v>1.257142857</v>
      </c>
      <c r="S2317" s="82">
        <f>IFERROR(__xludf.DUMMYFUNCTION("""COMPUTED_VALUE"""),1.8)</f>
        <v>1.8</v>
      </c>
      <c r="T2317" s="82">
        <f>IFERROR(__xludf.DUMMYFUNCTION("""COMPUTED_VALUE"""),329.8432515432575)</f>
        <v>329.8432515</v>
      </c>
      <c r="U2317" s="82">
        <f>IFERROR(__xludf.DUMMYFUNCTION("""COMPUTED_VALUE"""),0.7029124663873172)</f>
        <v>0.7029124664</v>
      </c>
      <c r="V2317" s="82">
        <f>IFERROR(__xludf.DUMMYFUNCTION("""COMPUTED_VALUE"""),0.4977426091868689)</f>
        <v>0.4977426092</v>
      </c>
      <c r="W2317" s="82">
        <f>IFERROR(__xludf.DUMMYFUNCTION("""COMPUTED_VALUE"""),1.296753872789197)</f>
        <v>1.296753873</v>
      </c>
      <c r="X2317" s="82">
        <f>IFERROR(__xludf.DUMMYFUNCTION("""COMPUTED_VALUE"""),2.186210247846305)</f>
        <v>2.186210248</v>
      </c>
      <c r="Y2317" s="82">
        <f>IFERROR(__xludf.DUMMYFUNCTION("""COMPUTED_VALUE"""),335.25847644871817)</f>
        <v>335.2584764</v>
      </c>
      <c r="Z2317" s="82">
        <f>IFERROR(__xludf.DUMMYFUNCTION("""COMPUTED_VALUE"""),0.8103188238888875)</f>
        <v>0.8103188239</v>
      </c>
      <c r="AA2317" s="82">
        <f>IFERROR(__xludf.DUMMYFUNCTION("""COMPUTED_VALUE"""),0.5670658793879211)</f>
        <v>0.5670658794</v>
      </c>
      <c r="AB2317" s="82">
        <f>IFERROR(__xludf.DUMMYFUNCTION("""COMPUTED_VALUE"""),1.0985597398917153)</f>
        <v>1.09855974</v>
      </c>
      <c r="AC2317" s="82">
        <f>IFERROR(__xludf.DUMMYFUNCTION("""COMPUTED_VALUE"""),2.5859250786674686)</f>
        <v>2.585925079</v>
      </c>
      <c r="AD2317" s="82">
        <f>IFERROR(__xludf.DUMMYFUNCTION("""COMPUTED_VALUE"""),1.0365562994719455)</f>
        <v>1.036556299</v>
      </c>
      <c r="AE2317" s="82">
        <f>IFERROR(__xludf.DUMMYFUNCTION("""COMPUTED_VALUE"""),0.9872657235835084)</f>
        <v>0.9872657236</v>
      </c>
      <c r="AF2317" s="82">
        <f>IFERROR(__xludf.DUMMYFUNCTION("""COMPUTED_VALUE"""),1.1588474655751873)</f>
        <v>1.158847466</v>
      </c>
      <c r="AG2317" s="82">
        <f>IFERROR(__xludf.DUMMYFUNCTION("""COMPUTED_VALUE"""),0.8062504509782875)</f>
        <v>0.806250451</v>
      </c>
      <c r="AH2317" s="82">
        <f>IFERROR(__xludf.DUMMYFUNCTION("""COMPUTED_VALUE"""),1.1601264184907882)</f>
        <v>1.160126418</v>
      </c>
      <c r="AI2317" s="82">
        <f>IFERROR(__xludf.DUMMYFUNCTION("""COMPUTED_VALUE"""),0.8652306053108639)</f>
        <v>0.8652306053</v>
      </c>
      <c r="AJ2317" s="82">
        <f>IFERROR(__xludf.DUMMYFUNCTION("""COMPUTED_VALUE"""),0.6910025201440213)</f>
        <v>0.6910025201</v>
      </c>
      <c r="AK2317" s="82">
        <f>IFERROR(__xludf.DUMMYFUNCTION("""COMPUTED_VALUE"""),0.6696901715484622)</f>
        <v>0.6696901715</v>
      </c>
      <c r="AL2317" s="82">
        <f>IFERROR(__xludf.DUMMYFUNCTION("""COMPUTED_VALUE"""),0.9694537132469553)</f>
        <v>0.9694537132</v>
      </c>
      <c r="AM2317" s="82">
        <f>IFERROR(__xludf.DUMMYFUNCTION("""COMPUTED_VALUE"""),0.8233425864567367)</f>
        <v>0.8233425865</v>
      </c>
      <c r="AN2317" s="82">
        <f>IFERROR(__xludf.DUMMYFUNCTION("""COMPUTED_VALUE"""),1.057200138673076)</f>
        <v>1.057200139</v>
      </c>
      <c r="AO2317" s="82">
        <f>IFERROR(__xludf.DUMMYFUNCTION("""COMPUTED_VALUE"""),1.054997272093116)</f>
        <v>1.054997272</v>
      </c>
      <c r="AP2317" s="82">
        <f>IFERROR(__xludf.DUMMYFUNCTION("""COMPUTED_VALUE"""),1.2744666495175314)</f>
        <v>1.27446665</v>
      </c>
      <c r="AQ2317" s="82">
        <f>IFERROR(__xludf.DUMMYFUNCTION("""COMPUTED_VALUE"""),0.73858632840697)</f>
        <v>0.7385863284</v>
      </c>
      <c r="AR2317" s="82">
        <f>IFERROR(__xludf.DUMMYFUNCTION("""COMPUTED_VALUE"""),1.2506578161011686)</f>
        <v>1.250657816</v>
      </c>
      <c r="AS2317" s="82">
        <f>IFERROR(__xludf.DUMMYFUNCTION("""COMPUTED_VALUE"""),83.0)</f>
        <v>83</v>
      </c>
      <c r="AT2317" s="82">
        <f>IFERROR(__xludf.DUMMYFUNCTION("""COMPUTED_VALUE"""),0.6717113470299899)</f>
        <v>0.671711347</v>
      </c>
      <c r="AU2317" s="82">
        <f>IFERROR(__xludf.DUMMYFUNCTION("""COMPUTED_VALUE"""),3.9013972670366206)</f>
        <v>3.901397267</v>
      </c>
      <c r="AV2317" s="82">
        <f>IFERROR(__xludf.DUMMYFUNCTION("""COMPUTED_VALUE"""),73.75144356959079)</f>
        <v>73.75144357</v>
      </c>
      <c r="AW2317" s="82">
        <f t="shared" si="1"/>
        <v>5.846535803</v>
      </c>
      <c r="AX2317" s="83">
        <f t="array" ref="AX2317">IFERROR(DGET('SBV Import'!A:G,"SBV",{"RSC ID","Tier";B2317,A2317}))</f>
        <v>75.42329386</v>
      </c>
      <c r="AY2317" s="82">
        <f t="shared" si="2"/>
        <v>6.468600367</v>
      </c>
      <c r="AZ2317" s="82">
        <v>0.6220645639512936</v>
      </c>
      <c r="BA2317" s="84">
        <v>2300.0</v>
      </c>
      <c r="BB2317" s="84" t="b">
        <f>IFERROR(__xludf.DUMMYFUNCTION("iferror(if(A2317="""",,E2317&gt;=FILTER(Constants!$F$2:$F$10,Constants!$A$2:$A$10=A2317)))"),TRUE)</f>
        <v>1</v>
      </c>
    </row>
    <row r="2318">
      <c r="A2318" s="89" t="str">
        <f>IFERROR(__xludf.DUMMYFUNCTION("""COMPUTED_VALUE"""),"Challenger")</f>
        <v>Challenger</v>
      </c>
      <c r="B2318" s="87" t="str">
        <f>IFERROR(__xludf.DUMMYFUNCTION("""COMPUTED_VALUE"""),"RSC006017")</f>
        <v>RSC006017</v>
      </c>
      <c r="C2318" s="73" t="str">
        <f>IFERROR(__xludf.DUMMYFUNCTION("""COMPUTED_VALUE"""),"Dondo RF")</f>
        <v>Dondo RF</v>
      </c>
      <c r="D2318" s="73" t="str">
        <f>IFERROR(__xludf.DUMMYFUNCTION("""COMPUTED_VALUE"""),"Ryujin")</f>
        <v>Ryujin</v>
      </c>
      <c r="E2318" s="82">
        <f>IFERROR(__xludf.DUMMYFUNCTION("""COMPUTED_VALUE"""),35.0)</f>
        <v>35</v>
      </c>
      <c r="F2318" s="82">
        <f>IFERROR(__xludf.DUMMYFUNCTION("""COMPUTED_VALUE"""),24.0)</f>
        <v>24</v>
      </c>
      <c r="G2318" s="86">
        <f>IFERROR(__xludf.DUMMYFUNCTION("""COMPUTED_VALUE"""),11.0)</f>
        <v>11</v>
      </c>
      <c r="H2318" s="86">
        <f>IFERROR(__xludf.DUMMYFUNCTION("""COMPUTED_VALUE"""),0.6857142857142857)</f>
        <v>0.6857142857</v>
      </c>
      <c r="I2318" s="86">
        <f>IFERROR(__xludf.DUMMYFUNCTION("""COMPUTED_VALUE"""),0.3297872340425532)</f>
        <v>0.329787234</v>
      </c>
      <c r="J2318" s="82">
        <f>IFERROR(__xludf.DUMMYFUNCTION("""COMPUTED_VALUE"""),336.9714285714286)</f>
        <v>336.9714286</v>
      </c>
      <c r="K2318" s="82">
        <f>IFERROR(__xludf.DUMMYFUNCTION("""COMPUTED_VALUE"""),0.8857142857142857)</f>
        <v>0.8857142857</v>
      </c>
      <c r="L2318" s="82">
        <f>IFERROR(__xludf.DUMMYFUNCTION("""COMPUTED_VALUE"""),0.5714285714285714)</f>
        <v>0.5714285714</v>
      </c>
      <c r="M2318" s="82">
        <f>IFERROR(__xludf.DUMMYFUNCTION("""COMPUTED_VALUE"""),1.0571428571428572)</f>
        <v>1.057142857</v>
      </c>
      <c r="N2318" s="82">
        <f>IFERROR(__xludf.DUMMYFUNCTION("""COMPUTED_VALUE"""),2.6857142857142855)</f>
        <v>2.685714286</v>
      </c>
      <c r="O2318" s="82">
        <f>IFERROR(__xludf.DUMMYFUNCTION("""COMPUTED_VALUE"""),287.84761904761905)</f>
        <v>287.847619</v>
      </c>
      <c r="P2318" s="82">
        <f>IFERROR(__xludf.DUMMYFUNCTION("""COMPUTED_VALUE"""),0.4952380952380952)</f>
        <v>0.4952380952</v>
      </c>
      <c r="Q2318" s="82">
        <f>IFERROR(__xludf.DUMMYFUNCTION("""COMPUTED_VALUE"""),0.37142857142857144)</f>
        <v>0.3714285714</v>
      </c>
      <c r="R2318" s="82">
        <f>IFERROR(__xludf.DUMMYFUNCTION("""COMPUTED_VALUE"""),1.2000000000000002)</f>
        <v>1.2</v>
      </c>
      <c r="S2318" s="82">
        <f>IFERROR(__xludf.DUMMYFUNCTION("""COMPUTED_VALUE"""),1.8952380952380956)</f>
        <v>1.895238095</v>
      </c>
      <c r="T2318" s="82">
        <f>IFERROR(__xludf.DUMMYFUNCTION("""COMPUTED_VALUE"""),328.88645222255917)</f>
        <v>328.8864522</v>
      </c>
      <c r="U2318" s="82">
        <f>IFERROR(__xludf.DUMMYFUNCTION("""COMPUTED_VALUE"""),0.7646111997615974)</f>
        <v>0.7646111998</v>
      </c>
      <c r="V2318" s="82">
        <f>IFERROR(__xludf.DUMMYFUNCTION("""COMPUTED_VALUE"""),0.5224732341580925)</f>
        <v>0.5224732342</v>
      </c>
      <c r="W2318" s="82">
        <f>IFERROR(__xludf.DUMMYFUNCTION("""COMPUTED_VALUE"""),1.1322375754288652)</f>
        <v>1.132237575</v>
      </c>
      <c r="X2318" s="82">
        <f>IFERROR(__xludf.DUMMYFUNCTION("""COMPUTED_VALUE"""),2.3955252275474606)</f>
        <v>2.395525228</v>
      </c>
      <c r="Y2318" s="82">
        <f>IFERROR(__xludf.DUMMYFUNCTION("""COMPUTED_VALUE"""),321.02067565118)</f>
        <v>321.0206757</v>
      </c>
      <c r="Z2318" s="82">
        <f>IFERROR(__xludf.DUMMYFUNCTION("""COMPUTED_VALUE"""),0.7398756991213223)</f>
        <v>0.7398756991</v>
      </c>
      <c r="AA2318" s="82">
        <f>IFERROR(__xludf.DUMMYFUNCTION("""COMPUTED_VALUE"""),0.49993915313104437)</f>
        <v>0.4999391531</v>
      </c>
      <c r="AB2318" s="82">
        <f>IFERROR(__xludf.DUMMYFUNCTION("""COMPUTED_VALUE"""),1.164441435973247)</f>
        <v>1.164441436</v>
      </c>
      <c r="AC2318" s="82">
        <f>IFERROR(__xludf.DUMMYFUNCTION("""COMPUTED_VALUE"""),2.3119061438979265)</f>
        <v>2.311906144</v>
      </c>
      <c r="AD2318" s="82">
        <f>IFERROR(__xludf.DUMMYFUNCTION("""COMPUTED_VALUE"""),1.0496876186803015)</f>
        <v>1.049687619</v>
      </c>
      <c r="AE2318" s="82">
        <f>IFERROR(__xludf.DUMMYFUNCTION("""COMPUTED_VALUE"""),1.197112280841446)</f>
        <v>1.197112281</v>
      </c>
      <c r="AF2318" s="82">
        <f>IFERROR(__xludf.DUMMYFUNCTION("""COMPUTED_VALUE"""),1.142996238341805)</f>
        <v>1.142996238</v>
      </c>
      <c r="AG2318" s="82">
        <f>IFERROR(__xludf.DUMMYFUNCTION("""COMPUTED_VALUE"""),0.9078540358358951)</f>
        <v>0.9078540358</v>
      </c>
      <c r="AH2318" s="82">
        <f>IFERROR(__xludf.DUMMYFUNCTION("""COMPUTED_VALUE"""),1.1616882860071949)</f>
        <v>1.161688286</v>
      </c>
      <c r="AI2318" s="82">
        <f>IFERROR(__xludf.DUMMYFUNCTION("""COMPUTED_VALUE"""),0.875218839518604)</f>
        <v>0.8752188395</v>
      </c>
      <c r="AJ2318" s="82">
        <f>IFERROR(__xludf.DUMMYFUNCTION("""COMPUTED_VALUE"""),0.6476992429518537)</f>
        <v>0.647699243</v>
      </c>
      <c r="AK2318" s="82">
        <f>IFERROR(__xludf.DUMMYFUNCTION("""COMPUTED_VALUE"""),0.71090449643241)</f>
        <v>0.7109044964</v>
      </c>
      <c r="AL2318" s="82">
        <f>IFERROR(__xludf.DUMMYFUNCTION("""COMPUTED_VALUE"""),1.0598482386044008)</f>
        <v>1.059848239</v>
      </c>
      <c r="AM2318" s="82">
        <f>IFERROR(__xludf.DUMMYFUNCTION("""COMPUTED_VALUE"""),0.7911576440288383)</f>
        <v>0.791157644</v>
      </c>
      <c r="AN2318" s="82">
        <f>IFERROR(__xludf.DUMMYFUNCTION("""COMPUTED_VALUE"""),1.0251268959557887)</f>
        <v>1.025126896</v>
      </c>
      <c r="AO2318" s="82">
        <f>IFERROR(__xludf.DUMMYFUNCTION("""COMPUTED_VALUE"""),1.1680326941030927)</f>
        <v>1.168032694</v>
      </c>
      <c r="AP2318" s="82">
        <f>IFERROR(__xludf.DUMMYFUNCTION("""COMPUTED_VALUE"""),1.1082318691456794)</f>
        <v>1.108231869</v>
      </c>
      <c r="AQ2318" s="82">
        <f>IFERROR(__xludf.DUMMYFUNCTION("""COMPUTED_VALUE"""),0.8815385210018675)</f>
        <v>0.881538521</v>
      </c>
      <c r="AR2318" s="82">
        <f>IFERROR(__xludf.DUMMYFUNCTION("""COMPUTED_VALUE"""),1.119636521081046)</f>
        <v>1.119636521</v>
      </c>
      <c r="AS2318" s="82">
        <f>IFERROR(__xludf.DUMMYFUNCTION("""COMPUTED_VALUE"""),90.0)</f>
        <v>90</v>
      </c>
      <c r="AT2318" s="82">
        <f>IFERROR(__xludf.DUMMYFUNCTION("""COMPUTED_VALUE"""),0.6942260086734675)</f>
        <v>0.6942260087</v>
      </c>
      <c r="AU2318" s="82">
        <f>IFERROR(__xludf.DUMMYFUNCTION("""COMPUTED_VALUE"""),3.8961431674537197)</f>
        <v>3.896143167</v>
      </c>
      <c r="AV2318" s="82">
        <f>IFERROR(__xludf.DUMMYFUNCTION("""COMPUTED_VALUE"""),73.61251384006648)</f>
        <v>73.61251384</v>
      </c>
      <c r="AW2318" s="82">
        <f t="shared" si="1"/>
        <v>5.798548244</v>
      </c>
      <c r="AX2318" s="83">
        <f t="array" ref="AX2318">IFERROR(DGET('SBV Import'!A:G,"SBV",{"RSC ID","Tier";B2318,A2318}))</f>
        <v>67.11613037</v>
      </c>
      <c r="AY2318" s="82">
        <f t="shared" si="2"/>
        <v>4.05212797</v>
      </c>
      <c r="AZ2318" s="82">
        <v>1.7464202744375132</v>
      </c>
      <c r="BA2318" s="84">
        <v>2300.0</v>
      </c>
      <c r="BB2318" s="84" t="b">
        <f>IFERROR(__xludf.DUMMYFUNCTION("iferror(if(A2318="""",,E2318&gt;=FILTER(Constants!$F$2:$F$10,Constants!$A$2:$A$10=A2318)))"),TRUE)</f>
        <v>1</v>
      </c>
    </row>
    <row r="2319">
      <c r="A2319" s="89" t="str">
        <f>IFERROR(__xludf.DUMMYFUNCTION("""COMPUTED_VALUE"""),"Challenger")</f>
        <v>Challenger</v>
      </c>
      <c r="B2319" s="87" t="str">
        <f>IFERROR(__xludf.DUMMYFUNCTION("""COMPUTED_VALUE"""),"RSC006928")</f>
        <v>RSC006928</v>
      </c>
      <c r="C2319" s="73" t="str">
        <f>IFERROR(__xludf.DUMMYFUNCTION("""COMPUTED_VALUE"""),"Thunderbolt")</f>
        <v>Thunderbolt</v>
      </c>
      <c r="D2319" s="73" t="str">
        <f>IFERROR(__xludf.DUMMYFUNCTION("""COMPUTED_VALUE"""),"Havarti Hustlers")</f>
        <v>Havarti Hustlers</v>
      </c>
      <c r="E2319" s="82">
        <f>IFERROR(__xludf.DUMMYFUNCTION("""COMPUTED_VALUE"""),28.0)</f>
        <v>28</v>
      </c>
      <c r="F2319" s="82">
        <f>IFERROR(__xludf.DUMMYFUNCTION("""COMPUTED_VALUE"""),14.0)</f>
        <v>14</v>
      </c>
      <c r="G2319" s="86">
        <f>IFERROR(__xludf.DUMMYFUNCTION("""COMPUTED_VALUE"""),14.0)</f>
        <v>14</v>
      </c>
      <c r="H2319" s="86">
        <f>IFERROR(__xludf.DUMMYFUNCTION("""COMPUTED_VALUE"""),0.5)</f>
        <v>0.5</v>
      </c>
      <c r="I2319" s="86">
        <f>IFERROR(__xludf.DUMMYFUNCTION("""COMPUTED_VALUE"""),0.19)</f>
        <v>0.19</v>
      </c>
      <c r="J2319" s="82">
        <f>IFERROR(__xludf.DUMMYFUNCTION("""COMPUTED_VALUE"""),368.07142857142856)</f>
        <v>368.0714286</v>
      </c>
      <c r="K2319" s="82">
        <f>IFERROR(__xludf.DUMMYFUNCTION("""COMPUTED_VALUE"""),0.6785714285714286)</f>
        <v>0.6785714286</v>
      </c>
      <c r="L2319" s="82">
        <f>IFERROR(__xludf.DUMMYFUNCTION("""COMPUTED_VALUE"""),0.75)</f>
        <v>0.75</v>
      </c>
      <c r="M2319" s="82">
        <f>IFERROR(__xludf.DUMMYFUNCTION("""COMPUTED_VALUE"""),1.4285714285714286)</f>
        <v>1.428571429</v>
      </c>
      <c r="N2319" s="82">
        <f>IFERROR(__xludf.DUMMYFUNCTION("""COMPUTED_VALUE"""),3.5714285714285716)</f>
        <v>3.571428571</v>
      </c>
      <c r="O2319" s="82">
        <f>IFERROR(__xludf.DUMMYFUNCTION("""COMPUTED_VALUE"""),350.4166666666667)</f>
        <v>350.4166667</v>
      </c>
      <c r="P2319" s="82">
        <f>IFERROR(__xludf.DUMMYFUNCTION("""COMPUTED_VALUE"""),0.7380952380952382)</f>
        <v>0.7380952381</v>
      </c>
      <c r="Q2319" s="82">
        <f>IFERROR(__xludf.DUMMYFUNCTION("""COMPUTED_VALUE"""),0.4761904761904763)</f>
        <v>0.4761904762</v>
      </c>
      <c r="R2319" s="82">
        <f>IFERROR(__xludf.DUMMYFUNCTION("""COMPUTED_VALUE"""),1.5357142857142854)</f>
        <v>1.535714286</v>
      </c>
      <c r="S2319" s="82">
        <f>IFERROR(__xludf.DUMMYFUNCTION("""COMPUTED_VALUE"""),2.2857142857142856)</f>
        <v>2.285714286</v>
      </c>
      <c r="T2319" s="82">
        <f>IFERROR(__xludf.DUMMYFUNCTION("""COMPUTED_VALUE"""),332.235056851065)</f>
        <v>332.2350569</v>
      </c>
      <c r="U2319" s="82">
        <f>IFERROR(__xludf.DUMMYFUNCTION("""COMPUTED_VALUE"""),0.6955860728631128)</f>
        <v>0.6955860729</v>
      </c>
      <c r="V2319" s="82">
        <f>IFERROR(__xludf.DUMMYFUNCTION("""COMPUTED_VALUE"""),0.48928265245074215)</f>
        <v>0.4892826525</v>
      </c>
      <c r="W2319" s="82">
        <f>IFERROR(__xludf.DUMMYFUNCTION("""COMPUTED_VALUE"""),1.3061638806335873)</f>
        <v>1.306163881</v>
      </c>
      <c r="X2319" s="82">
        <f>IFERROR(__xludf.DUMMYFUNCTION("""COMPUTED_VALUE"""),2.3609242090825857)</f>
        <v>2.360924209</v>
      </c>
      <c r="Y2319" s="82">
        <f>IFERROR(__xludf.DUMMYFUNCTION("""COMPUTED_VALUE"""),343.30086247753104)</f>
        <v>343.3008625</v>
      </c>
      <c r="Z2319" s="82">
        <f>IFERROR(__xludf.DUMMYFUNCTION("""COMPUTED_VALUE"""),0.8116936826196335)</f>
        <v>0.8116936826</v>
      </c>
      <c r="AA2319" s="82">
        <f>IFERROR(__xludf.DUMMYFUNCTION("""COMPUTED_VALUE"""),0.585422080559087)</f>
        <v>0.5854220806</v>
      </c>
      <c r="AB2319" s="82">
        <f>IFERROR(__xludf.DUMMYFUNCTION("""COMPUTED_VALUE"""),1.1864403361749076)</f>
        <v>1.186440336</v>
      </c>
      <c r="AC2319" s="82">
        <f>IFERROR(__xludf.DUMMYFUNCTION("""COMPUTED_VALUE"""),2.5748474111637107)</f>
        <v>2.574847411</v>
      </c>
      <c r="AD2319" s="82">
        <f>IFERROR(__xludf.DUMMYFUNCTION("""COMPUTED_VALUE"""),1.0721541038817481)</f>
        <v>1.072154104</v>
      </c>
      <c r="AE2319" s="82">
        <f>IFERROR(__xludf.DUMMYFUNCTION("""COMPUTED_VALUE"""),0.8359944682351469)</f>
        <v>0.8359944682</v>
      </c>
      <c r="AF2319" s="82">
        <f>IFERROR(__xludf.DUMMYFUNCTION("""COMPUTED_VALUE"""),1.2811269422631593)</f>
        <v>1.281126942</v>
      </c>
      <c r="AG2319" s="82">
        <f>IFERROR(__xludf.DUMMYFUNCTION("""COMPUTED_VALUE"""),1.2040819795263817)</f>
        <v>1.20408198</v>
      </c>
      <c r="AH2319" s="82">
        <f>IFERROR(__xludf.DUMMYFUNCTION("""COMPUTED_VALUE"""),1.3870447452318941)</f>
        <v>1.387044745</v>
      </c>
      <c r="AI2319" s="82">
        <f>IFERROR(__xludf.DUMMYFUNCTION("""COMPUTED_VALUE"""),1.054725139447738)</f>
        <v>1.054725139</v>
      </c>
      <c r="AJ2319" s="82">
        <f>IFERROR(__xludf.DUMMYFUNCTION("""COMPUTED_VALUE"""),1.061112731968817)</f>
        <v>1.061112732</v>
      </c>
      <c r="AK2319" s="82">
        <f>IFERROR(__xludf.DUMMYFUNCTION("""COMPUTED_VALUE"""),0.9732421000526196)</f>
        <v>0.9732421001</v>
      </c>
      <c r="AL2319" s="82">
        <f>IFERROR(__xludf.DUMMYFUNCTION("""COMPUTED_VALUE"""),1.1757439540965937)</f>
        <v>1.175743954</v>
      </c>
      <c r="AM2319" s="82">
        <f>IFERROR(__xludf.DUMMYFUNCTION("""COMPUTED_VALUE"""),0.9681438637127935)</f>
        <v>0.9681438637</v>
      </c>
      <c r="AN2319" s="82">
        <f>IFERROR(__xludf.DUMMYFUNCTION("""COMPUTED_VALUE"""),1.1197386160039382)</f>
        <v>1.119738616</v>
      </c>
      <c r="AO2319" s="82">
        <f>IFERROR(__xludf.DUMMYFUNCTION("""COMPUTED_VALUE"""),0.8948637575789824)</f>
        <v>0.8948637576</v>
      </c>
      <c r="AP2319" s="82">
        <f>IFERROR(__xludf.DUMMYFUNCTION("""COMPUTED_VALUE"""),1.4545543282537043)</f>
        <v>1.454554328</v>
      </c>
      <c r="AQ2319" s="82">
        <f>IFERROR(__xludf.DUMMYFUNCTION("""COMPUTED_VALUE"""),1.1912682716241452)</f>
        <v>1.191268272</v>
      </c>
      <c r="AR2319" s="82">
        <f>IFERROR(__xludf.DUMMYFUNCTION("""COMPUTED_VALUE"""),1.4888783525013911)</f>
        <v>1.488878353</v>
      </c>
      <c r="AS2319" s="82">
        <f>IFERROR(__xludf.DUMMYFUNCTION("""COMPUTED_VALUE"""),64.0)</f>
        <v>64</v>
      </c>
      <c r="AT2319" s="82">
        <f>IFERROR(__xludf.DUMMYFUNCTION("""COMPUTED_VALUE"""),0.5122194438387684)</f>
        <v>0.5122194438</v>
      </c>
      <c r="AU2319" s="82">
        <f>IFERROR(__xludf.DUMMYFUNCTION("""COMPUTED_VALUE"""),3.882610074262686)</f>
        <v>3.882610074</v>
      </c>
      <c r="AV2319" s="82">
        <f>IFERROR(__xludf.DUMMYFUNCTION("""COMPUTED_VALUE"""),73.25466965630255)</f>
        <v>73.25466966</v>
      </c>
      <c r="AW2319" s="82">
        <f t="shared" si="1"/>
        <v>5.677392683</v>
      </c>
      <c r="AX2319" s="83">
        <f t="array" ref="AX2319">IFERROR(DGET('SBV Import'!A:G,"SBV",{"RSC ID","Tier";B2319,A2319}))</f>
        <v>71.26862828</v>
      </c>
      <c r="AY2319" s="82">
        <f t="shared" si="2"/>
        <v>5.064432918</v>
      </c>
      <c r="AZ2319" s="82">
        <v>0.612959764505705</v>
      </c>
      <c r="BA2319" s="84">
        <v>2300.0</v>
      </c>
      <c r="BB2319" s="84" t="b">
        <f>IFERROR(__xludf.DUMMYFUNCTION("iferror(if(A2319="""",,E2319&gt;=FILTER(Constants!$F$2:$F$10,Constants!$A$2:$A$10=A2319)))"),TRUE)</f>
        <v>1</v>
      </c>
    </row>
    <row r="2320">
      <c r="A2320" s="89" t="str">
        <f>IFERROR(__xludf.DUMMYFUNCTION("""COMPUTED_VALUE"""),"Challenger")</f>
        <v>Challenger</v>
      </c>
      <c r="B2320" s="87" t="str">
        <f>IFERROR(__xludf.DUMMYFUNCTION("""COMPUTED_VALUE"""),"RSC003450")</f>
        <v>RSC003450</v>
      </c>
      <c r="C2320" s="73" t="str">
        <f>IFERROR(__xludf.DUMMYFUNCTION("""COMPUTED_VALUE"""),"ChronoElevated")</f>
        <v>ChronoElevated</v>
      </c>
      <c r="D2320" s="73" t="str">
        <f>IFERROR(__xludf.DUMMYFUNCTION("""COMPUTED_VALUE"""),"Mugged")</f>
        <v>Mugged</v>
      </c>
      <c r="E2320" s="82">
        <f>IFERROR(__xludf.DUMMYFUNCTION("""COMPUTED_VALUE"""),22.0)</f>
        <v>22</v>
      </c>
      <c r="F2320" s="82">
        <f>IFERROR(__xludf.DUMMYFUNCTION("""COMPUTED_VALUE"""),13.0)</f>
        <v>13</v>
      </c>
      <c r="G2320" s="86">
        <f>IFERROR(__xludf.DUMMYFUNCTION("""COMPUTED_VALUE"""),9.0)</f>
        <v>9</v>
      </c>
      <c r="H2320" s="86">
        <f>IFERROR(__xludf.DUMMYFUNCTION("""COMPUTED_VALUE"""),0.5909090909090909)</f>
        <v>0.5909090909</v>
      </c>
      <c r="I2320" s="86">
        <f>IFERROR(__xludf.DUMMYFUNCTION("""COMPUTED_VALUE"""),0.32786885245901637)</f>
        <v>0.3278688525</v>
      </c>
      <c r="J2320" s="82">
        <f>IFERROR(__xludf.DUMMYFUNCTION("""COMPUTED_VALUE"""),349.3636363636364)</f>
        <v>349.3636364</v>
      </c>
      <c r="K2320" s="82">
        <f>IFERROR(__xludf.DUMMYFUNCTION("""COMPUTED_VALUE"""),0.9090909090909091)</f>
        <v>0.9090909091</v>
      </c>
      <c r="L2320" s="82">
        <f>IFERROR(__xludf.DUMMYFUNCTION("""COMPUTED_VALUE"""),0.8181818181818182)</f>
        <v>0.8181818182</v>
      </c>
      <c r="M2320" s="82">
        <f>IFERROR(__xludf.DUMMYFUNCTION("""COMPUTED_VALUE"""),1.2272727272727273)</f>
        <v>1.227272727</v>
      </c>
      <c r="N2320" s="82">
        <f>IFERROR(__xludf.DUMMYFUNCTION("""COMPUTED_VALUE"""),2.772727272727273)</f>
        <v>2.772727273</v>
      </c>
      <c r="O2320" s="82">
        <f>IFERROR(__xludf.DUMMYFUNCTION("""COMPUTED_VALUE"""),350.25757575757575)</f>
        <v>350.2575758</v>
      </c>
      <c r="P2320" s="82">
        <f>IFERROR(__xludf.DUMMYFUNCTION("""COMPUTED_VALUE"""),0.9090909090909091)</f>
        <v>0.9090909091</v>
      </c>
      <c r="Q2320" s="82">
        <f>IFERROR(__xludf.DUMMYFUNCTION("""COMPUTED_VALUE"""),0.6212121212121212)</f>
        <v>0.6212121212</v>
      </c>
      <c r="R2320" s="82">
        <f>IFERROR(__xludf.DUMMYFUNCTION("""COMPUTED_VALUE"""),1.1818181818181817)</f>
        <v>1.181818182</v>
      </c>
      <c r="S2320" s="82">
        <f>IFERROR(__xludf.DUMMYFUNCTION("""COMPUTED_VALUE"""),2.7121212121212115)</f>
        <v>2.712121212</v>
      </c>
      <c r="T2320" s="82">
        <f>IFERROR(__xludf.DUMMYFUNCTION("""COMPUTED_VALUE"""),332.7833549906983)</f>
        <v>332.783355</v>
      </c>
      <c r="U2320" s="82">
        <f>IFERROR(__xludf.DUMMYFUNCTION("""COMPUTED_VALUE"""),0.7784393819725731)</f>
        <v>0.778439382</v>
      </c>
      <c r="V2320" s="82">
        <f>IFERROR(__xludf.DUMMYFUNCTION("""COMPUTED_VALUE"""),0.5221006342184417)</f>
        <v>0.5221006342</v>
      </c>
      <c r="W2320" s="82">
        <f>IFERROR(__xludf.DUMMYFUNCTION("""COMPUTED_VALUE"""),1.2017265750608426)</f>
        <v>1.201726575</v>
      </c>
      <c r="X2320" s="82">
        <f>IFERROR(__xludf.DUMMYFUNCTION("""COMPUTED_VALUE"""),2.4799546725374686)</f>
        <v>2.479954673</v>
      </c>
      <c r="Y2320" s="82">
        <f>IFERROR(__xludf.DUMMYFUNCTION("""COMPUTED_VALUE"""),336.3243491830045)</f>
        <v>336.3243492</v>
      </c>
      <c r="Z2320" s="82">
        <f>IFERROR(__xludf.DUMMYFUNCTION("""COMPUTED_VALUE"""),0.7332482196235831)</f>
        <v>0.7332482196</v>
      </c>
      <c r="AA2320" s="82">
        <f>IFERROR(__xludf.DUMMYFUNCTION("""COMPUTED_VALUE"""),0.5297485792774496)</f>
        <v>0.5297485793</v>
      </c>
      <c r="AB2320" s="82">
        <f>IFERROR(__xludf.DUMMYFUNCTION("""COMPUTED_VALUE"""),1.2894824283682504)</f>
        <v>1.289482428</v>
      </c>
      <c r="AC2320" s="82">
        <f>IFERROR(__xludf.DUMMYFUNCTION("""COMPUTED_VALUE"""),2.3633373265015294)</f>
        <v>2.363337327</v>
      </c>
      <c r="AD2320" s="82">
        <f>IFERROR(__xludf.DUMMYFUNCTION("""COMPUTED_VALUE"""),1.0387699766975147)</f>
        <v>1.038769977</v>
      </c>
      <c r="AE2320" s="82">
        <f>IFERROR(__xludf.DUMMYFUNCTION("""COMPUTED_VALUE"""),1.239813319366252)</f>
        <v>1.239813319</v>
      </c>
      <c r="AF2320" s="82">
        <f>IFERROR(__xludf.DUMMYFUNCTION("""COMPUTED_VALUE"""),1.5444719442150787)</f>
        <v>1.544471944</v>
      </c>
      <c r="AG2320" s="82">
        <f>IFERROR(__xludf.DUMMYFUNCTION("""COMPUTED_VALUE"""),0.9517560691585033)</f>
        <v>0.9517560692</v>
      </c>
      <c r="AH2320" s="82">
        <f>IFERROR(__xludf.DUMMYFUNCTION("""COMPUTED_VALUE"""),1.1732253545166857)</f>
        <v>1.173225355</v>
      </c>
      <c r="AI2320" s="82">
        <f>IFERROR(__xludf.DUMMYFUNCTION("""COMPUTED_VALUE"""),1.0525092992327272)</f>
        <v>1.052509299</v>
      </c>
      <c r="AJ2320" s="82">
        <f>IFERROR(__xludf.DUMMYFUNCTION("""COMPUTED_VALUE"""),1.167837766361799)</f>
        <v>1.167837766</v>
      </c>
      <c r="AK2320" s="82">
        <f>IFERROR(__xludf.DUMMYFUNCTION("""COMPUTED_VALUE"""),1.189832152075518)</f>
        <v>1.189832152</v>
      </c>
      <c r="AL2320" s="82">
        <f>IFERROR(__xludf.DUMMYFUNCTION("""COMPUTED_VALUE"""),0.9834335083738553)</f>
        <v>0.9834335084</v>
      </c>
      <c r="AM2320" s="82">
        <f>IFERROR(__xludf.DUMMYFUNCTION("""COMPUTED_VALUE"""),1.0936172512162055)</f>
        <v>1.093617251</v>
      </c>
      <c r="AN2320" s="82">
        <f>IFERROR(__xludf.DUMMYFUNCTION("""COMPUTED_VALUE"""),1.062826191596138)</f>
        <v>1.062826192</v>
      </c>
      <c r="AO2320" s="82">
        <f>IFERROR(__xludf.DUMMYFUNCTION("""COMPUTED_VALUE"""),1.19886053646945)</f>
        <v>1.198860536</v>
      </c>
      <c r="AP2320" s="82">
        <f>IFERROR(__xludf.DUMMYFUNCTION("""COMPUTED_VALUE"""),1.5867865399131322)</f>
        <v>1.58678654</v>
      </c>
      <c r="AQ2320" s="82">
        <f>IFERROR(__xludf.DUMMYFUNCTION("""COMPUTED_VALUE"""),1.0234077424407428)</f>
        <v>1.023407742</v>
      </c>
      <c r="AR2320" s="82">
        <f>IFERROR(__xludf.DUMMYFUNCTION("""COMPUTED_VALUE"""),1.15591101185108)</f>
        <v>1.155911012</v>
      </c>
      <c r="AS2320" s="82">
        <f>IFERROR(__xludf.DUMMYFUNCTION("""COMPUTED_VALUE"""),59.0)</f>
        <v>59</v>
      </c>
      <c r="AT2320" s="82">
        <f>IFERROR(__xludf.DUMMYFUNCTION("""COMPUTED_VALUE"""),0.4931795505355791)</f>
        <v>0.4931795505</v>
      </c>
      <c r="AU2320" s="82">
        <f>IFERROR(__xludf.DUMMYFUNCTION("""COMPUTED_VALUE"""),3.876819193633083)</f>
        <v>3.876819194</v>
      </c>
      <c r="AV2320" s="82">
        <f>IFERROR(__xludf.DUMMYFUNCTION("""COMPUTED_VALUE"""),73.1015462777133)</f>
        <v>73.10154628</v>
      </c>
      <c r="AW2320" s="82">
        <f t="shared" si="1"/>
        <v>5.626605295</v>
      </c>
      <c r="AX2320" s="83">
        <f t="array" ref="AX2320">IFERROR(DGET('SBV Import'!A:G,"SBV",{"RSC ID","Tier";B2320,A2320}))</f>
        <v>54.13763664</v>
      </c>
      <c r="AY2320" s="82">
        <f t="shared" si="2"/>
        <v>2.3026986</v>
      </c>
      <c r="AZ2320" s="82">
        <v>3.323906694667654</v>
      </c>
      <c r="BA2320" s="84">
        <v>2300.0</v>
      </c>
      <c r="BB2320" s="84" t="b">
        <f>IFERROR(__xludf.DUMMYFUNCTION("iferror(if(A2320="""",,E2320&gt;=FILTER(Constants!$F$2:$F$10,Constants!$A$2:$A$10=A2320)))"),TRUE)</f>
        <v>1</v>
      </c>
    </row>
    <row r="2321">
      <c r="A2321" s="89" t="str">
        <f>IFERROR(__xludf.DUMMYFUNCTION("""COMPUTED_VALUE"""),"Challenger")</f>
        <v>Challenger</v>
      </c>
      <c r="B2321" s="87" t="str">
        <f>IFERROR(__xludf.DUMMYFUNCTION("""COMPUTED_VALUE"""),"RSC006322")</f>
        <v>RSC006322</v>
      </c>
      <c r="C2321" s="73" t="str">
        <f>IFERROR(__xludf.DUMMYFUNCTION("""COMPUTED_VALUE"""),"Lorak")</f>
        <v>Lorak</v>
      </c>
      <c r="D2321" s="73" t="str">
        <f>IFERROR(__xludf.DUMMYFUNCTION("""COMPUTED_VALUE"""),"Deceased")</f>
        <v>Deceased</v>
      </c>
      <c r="E2321" s="82">
        <f>IFERROR(__xludf.DUMMYFUNCTION("""COMPUTED_VALUE"""),30.0)</f>
        <v>30</v>
      </c>
      <c r="F2321" s="82">
        <f>IFERROR(__xludf.DUMMYFUNCTION("""COMPUTED_VALUE"""),20.0)</f>
        <v>20</v>
      </c>
      <c r="G2321" s="86">
        <f>IFERROR(__xludf.DUMMYFUNCTION("""COMPUTED_VALUE"""),10.0)</f>
        <v>10</v>
      </c>
      <c r="H2321" s="86">
        <f>IFERROR(__xludf.DUMMYFUNCTION("""COMPUTED_VALUE"""),0.6666666666666666)</f>
        <v>0.6666666667</v>
      </c>
      <c r="I2321" s="86">
        <f>IFERROR(__xludf.DUMMYFUNCTION("""COMPUTED_VALUE"""),0.33333333333333337)</f>
        <v>0.3333333333</v>
      </c>
      <c r="J2321" s="82">
        <f>IFERROR(__xludf.DUMMYFUNCTION("""COMPUTED_VALUE"""),369.2)</f>
        <v>369.2</v>
      </c>
      <c r="K2321" s="82">
        <f>IFERROR(__xludf.DUMMYFUNCTION("""COMPUTED_VALUE"""),0.9333333333333333)</f>
        <v>0.9333333333</v>
      </c>
      <c r="L2321" s="82">
        <f>IFERROR(__xludf.DUMMYFUNCTION("""COMPUTED_VALUE"""),0.6333333333333333)</f>
        <v>0.6333333333</v>
      </c>
      <c r="M2321" s="82">
        <f>IFERROR(__xludf.DUMMYFUNCTION("""COMPUTED_VALUE"""),1.4666666666666666)</f>
        <v>1.466666667</v>
      </c>
      <c r="N2321" s="82">
        <f>IFERROR(__xludf.DUMMYFUNCTION("""COMPUTED_VALUE"""),2.8)</f>
        <v>2.8</v>
      </c>
      <c r="O2321" s="82">
        <f>IFERROR(__xludf.DUMMYFUNCTION("""COMPUTED_VALUE"""),299.62222222222226)</f>
        <v>299.6222222</v>
      </c>
      <c r="P2321" s="82">
        <f>IFERROR(__xludf.DUMMYFUNCTION("""COMPUTED_VALUE"""),0.45555555555555555)</f>
        <v>0.4555555556</v>
      </c>
      <c r="Q2321" s="82">
        <f>IFERROR(__xludf.DUMMYFUNCTION("""COMPUTED_VALUE"""),0.34444444444444444)</f>
        <v>0.3444444444</v>
      </c>
      <c r="R2321" s="82">
        <f>IFERROR(__xludf.DUMMYFUNCTION("""COMPUTED_VALUE"""),1.3666666666666671)</f>
        <v>1.366666667</v>
      </c>
      <c r="S2321" s="82">
        <f>IFERROR(__xludf.DUMMYFUNCTION("""COMPUTED_VALUE"""),2.055555555555556)</f>
        <v>2.055555556</v>
      </c>
      <c r="T2321" s="82">
        <f>IFERROR(__xludf.DUMMYFUNCTION("""COMPUTED_VALUE"""),324.6038491655275)</f>
        <v>324.6038492</v>
      </c>
      <c r="U2321" s="82">
        <f>IFERROR(__xludf.DUMMYFUNCTION("""COMPUTED_VALUE"""),0.7113548037859394)</f>
        <v>0.7113548038</v>
      </c>
      <c r="V2321" s="82">
        <f>IFERROR(__xludf.DUMMYFUNCTION("""COMPUTED_VALUE"""),0.46198205974670187)</f>
        <v>0.4619820597</v>
      </c>
      <c r="W2321" s="82">
        <f>IFERROR(__xludf.DUMMYFUNCTION("""COMPUTED_VALUE"""),1.2685948583443825)</f>
        <v>1.268594858</v>
      </c>
      <c r="X2321" s="82">
        <f>IFERROR(__xludf.DUMMYFUNCTION("""COMPUTED_VALUE"""),2.228052841789624)</f>
        <v>2.228052842</v>
      </c>
      <c r="Y2321" s="82">
        <f>IFERROR(__xludf.DUMMYFUNCTION("""COMPUTED_VALUE"""),346.2328439564087)</f>
        <v>346.232844</v>
      </c>
      <c r="Z2321" s="82">
        <f>IFERROR(__xludf.DUMMYFUNCTION("""COMPUTED_VALUE"""),0.860238236594403)</f>
        <v>0.8602382366</v>
      </c>
      <c r="AA2321" s="82">
        <f>IFERROR(__xludf.DUMMYFUNCTION("""COMPUTED_VALUE"""),0.6073124013260148)</f>
        <v>0.6073124013</v>
      </c>
      <c r="AB2321" s="82">
        <f>IFERROR(__xludf.DUMMYFUNCTION("""COMPUTED_VALUE"""),1.1471215858498938)</f>
        <v>1.147121586</v>
      </c>
      <c r="AC2321" s="82">
        <f>IFERROR(__xludf.DUMMYFUNCTION("""COMPUTED_VALUE"""),2.6367994432763124)</f>
        <v>2.636799443</v>
      </c>
      <c r="AD2321" s="82">
        <f>IFERROR(__xludf.DUMMYFUNCTION("""COMPUTED_VALUE"""),1.0663344233353058)</f>
        <v>1.066334423</v>
      </c>
      <c r="AE2321" s="82">
        <f>IFERROR(__xludf.DUMMYFUNCTION("""COMPUTED_VALUE"""),1.0849707599935414)</f>
        <v>1.08497076</v>
      </c>
      <c r="AF2321" s="82">
        <f>IFERROR(__xludf.DUMMYFUNCTION("""COMPUTED_VALUE"""),1.0428460409346227)</f>
        <v>1.042846041</v>
      </c>
      <c r="AG2321" s="82">
        <f>IFERROR(__xludf.DUMMYFUNCTION("""COMPUTED_VALUE"""),1.2785625209728961)</f>
        <v>1.278562521</v>
      </c>
      <c r="AH2321" s="82">
        <f>IFERROR(__xludf.DUMMYFUNCTION("""COMPUTED_VALUE"""),1.0618934280875398)</f>
        <v>1.061893428</v>
      </c>
      <c r="AI2321" s="82">
        <f>IFERROR(__xludf.DUMMYFUNCTION("""COMPUTED_VALUE"""),0.9230396466107025)</f>
        <v>0.9230396466</v>
      </c>
      <c r="AJ2321" s="82">
        <f>IFERROR(__xludf.DUMMYFUNCTION("""COMPUTED_VALUE"""),0.640405537617823)</f>
        <v>0.6404055376</v>
      </c>
      <c r="AK2321" s="82">
        <f>IFERROR(__xludf.DUMMYFUNCTION("""COMPUTED_VALUE"""),0.7455796976906385)</f>
        <v>0.7455796977</v>
      </c>
      <c r="AL2321" s="82">
        <f>IFERROR(__xludf.DUMMYFUNCTION("""COMPUTED_VALUE"""),1.0773074300886543)</f>
        <v>1.07730743</v>
      </c>
      <c r="AM2321" s="82">
        <f>IFERROR(__xludf.DUMMYFUNCTION("""COMPUTED_VALUE"""),0.9225793558399116)</f>
        <v>0.9225793558</v>
      </c>
      <c r="AN2321" s="82">
        <f>IFERROR(__xludf.DUMMYFUNCTION("""COMPUTED_VALUE"""),1.1231719306037562)</f>
        <v>1.123171931</v>
      </c>
      <c r="AO2321" s="82">
        <f>IFERROR(__xludf.DUMMYFUNCTION("""COMPUTED_VALUE"""),1.2308301507753021)</f>
        <v>1.230830151</v>
      </c>
      <c r="AP2321" s="82">
        <f>IFERROR(__xludf.DUMMYFUNCTION("""COMPUTED_VALUE"""),1.2282903216364613)</f>
        <v>1.228290322</v>
      </c>
      <c r="AQ2321" s="82">
        <f>IFERROR(__xludf.DUMMYFUNCTION("""COMPUTED_VALUE"""),1.2230354255341223)</f>
        <v>1.223035426</v>
      </c>
      <c r="AR2321" s="82">
        <f>IFERROR(__xludf.DUMMYFUNCTION("""COMPUTED_VALUE"""),1.1672806283610906)</f>
        <v>1.167280628</v>
      </c>
      <c r="AS2321" s="82">
        <f>IFERROR(__xludf.DUMMYFUNCTION("""COMPUTED_VALUE"""),76.0)</f>
        <v>76</v>
      </c>
      <c r="AT2321" s="82">
        <f>IFERROR(__xludf.DUMMYFUNCTION("""COMPUTED_VALUE"""),0.7134261543852537)</f>
        <v>0.7134261544</v>
      </c>
      <c r="AU2321" s="82">
        <f>IFERROR(__xludf.DUMMYFUNCTION("""COMPUTED_VALUE"""),3.8744982732713344)</f>
        <v>3.874498273</v>
      </c>
      <c r="AV2321" s="82">
        <f>IFERROR(__xludf.DUMMYFUNCTION("""COMPUTED_VALUE"""),73.0401761355952)</f>
        <v>73.04017614</v>
      </c>
      <c r="AW2321" s="82">
        <f t="shared" si="1"/>
        <v>5.606424794</v>
      </c>
      <c r="AX2321" s="83">
        <f t="array" ref="AX2321">IFERROR(DGET('SBV Import'!A:G,"SBV",{"RSC ID","Tier";B2321,A2321}))</f>
        <v>64.09724208</v>
      </c>
      <c r="AY2321" s="82">
        <f t="shared" si="2"/>
        <v>3.491442055</v>
      </c>
      <c r="AZ2321" s="82">
        <v>2.114982738576352</v>
      </c>
      <c r="BA2321" s="84">
        <v>2300.0</v>
      </c>
      <c r="BB2321" s="84" t="b">
        <f>IFERROR(__xludf.DUMMYFUNCTION("iferror(if(A2321="""",,E2321&gt;=FILTER(Constants!$F$2:$F$10,Constants!$A$2:$A$10=A2321)))"),TRUE)</f>
        <v>1</v>
      </c>
    </row>
    <row r="2322">
      <c r="A2322" s="89" t="str">
        <f>IFERROR(__xludf.DUMMYFUNCTION("""COMPUTED_VALUE"""),"Challenger")</f>
        <v>Challenger</v>
      </c>
      <c r="B2322" s="87" t="str">
        <f>IFERROR(__xludf.DUMMYFUNCTION("""COMPUTED_VALUE"""),"RSC004679")</f>
        <v>RSC004679</v>
      </c>
      <c r="C2322" s="73" t="str">
        <f>IFERROR(__xludf.DUMMYFUNCTION("""COMPUTED_VALUE"""),"master_ibk810")</f>
        <v>master_ibk810</v>
      </c>
      <c r="D2322" s="73" t="str">
        <f>IFERROR(__xludf.DUMMYFUNCTION("""COMPUTED_VALUE"""),"Squalls")</f>
        <v>Squalls</v>
      </c>
      <c r="E2322" s="82">
        <f>IFERROR(__xludf.DUMMYFUNCTION("""COMPUTED_VALUE"""),27.0)</f>
        <v>27</v>
      </c>
      <c r="F2322" s="82">
        <f>IFERROR(__xludf.DUMMYFUNCTION("""COMPUTED_VALUE"""),17.0)</f>
        <v>17</v>
      </c>
      <c r="G2322" s="86">
        <f>IFERROR(__xludf.DUMMYFUNCTION("""COMPUTED_VALUE"""),10.0)</f>
        <v>10</v>
      </c>
      <c r="H2322" s="86">
        <f>IFERROR(__xludf.DUMMYFUNCTION("""COMPUTED_VALUE"""),0.6296296296296297)</f>
        <v>0.6296296296</v>
      </c>
      <c r="I2322" s="86">
        <f>IFERROR(__xludf.DUMMYFUNCTION("""COMPUTED_VALUE"""),0.3466666666666667)</f>
        <v>0.3466666667</v>
      </c>
      <c r="J2322" s="82">
        <f>IFERROR(__xludf.DUMMYFUNCTION("""COMPUTED_VALUE"""),315.6296296296296)</f>
        <v>315.6296296</v>
      </c>
      <c r="K2322" s="82">
        <f>IFERROR(__xludf.DUMMYFUNCTION("""COMPUTED_VALUE"""),0.9629629629629629)</f>
        <v>0.962962963</v>
      </c>
      <c r="L2322" s="82">
        <f>IFERROR(__xludf.DUMMYFUNCTION("""COMPUTED_VALUE"""),0.4074074074074074)</f>
        <v>0.4074074074</v>
      </c>
      <c r="M2322" s="82">
        <f>IFERROR(__xludf.DUMMYFUNCTION("""COMPUTED_VALUE"""),0.6296296296296297)</f>
        <v>0.6296296296</v>
      </c>
      <c r="N2322" s="82">
        <f>IFERROR(__xludf.DUMMYFUNCTION("""COMPUTED_VALUE"""),2.7777777777777777)</f>
        <v>2.777777778</v>
      </c>
      <c r="O2322" s="82">
        <f>IFERROR(__xludf.DUMMYFUNCTION("""COMPUTED_VALUE"""),295.4197530864197)</f>
        <v>295.4197531</v>
      </c>
      <c r="P2322" s="82">
        <f>IFERROR(__xludf.DUMMYFUNCTION("""COMPUTED_VALUE"""),0.5925925925925926)</f>
        <v>0.5925925926</v>
      </c>
      <c r="Q2322" s="82">
        <f>IFERROR(__xludf.DUMMYFUNCTION("""COMPUTED_VALUE"""),0.3827160493827161)</f>
        <v>0.3827160494</v>
      </c>
      <c r="R2322" s="82">
        <f>IFERROR(__xludf.DUMMYFUNCTION("""COMPUTED_VALUE"""),1.2962962962962965)</f>
        <v>1.296296296</v>
      </c>
      <c r="S2322" s="82">
        <f>IFERROR(__xludf.DUMMYFUNCTION("""COMPUTED_VALUE"""),2.024691358024692)</f>
        <v>2.024691358</v>
      </c>
      <c r="T2322" s="82">
        <f>IFERROR(__xludf.DUMMYFUNCTION("""COMPUTED_VALUE"""),341.9339363012246)</f>
        <v>341.9339363</v>
      </c>
      <c r="U2322" s="82">
        <f>IFERROR(__xludf.DUMMYFUNCTION("""COMPUTED_VALUE"""),0.8617255438406943)</f>
        <v>0.8617255438</v>
      </c>
      <c r="V2322" s="82">
        <f>IFERROR(__xludf.DUMMYFUNCTION("""COMPUTED_VALUE"""),0.5742580393666616)</f>
        <v>0.5742580394</v>
      </c>
      <c r="W2322" s="82">
        <f>IFERROR(__xludf.DUMMYFUNCTION("""COMPUTED_VALUE"""),1.150418570549384)</f>
        <v>1.150418571</v>
      </c>
      <c r="X2322" s="82">
        <f>IFERROR(__xludf.DUMMYFUNCTION("""COMPUTED_VALUE"""),2.5326253843951347)</f>
        <v>2.532625384</v>
      </c>
      <c r="Y2322" s="82">
        <f>IFERROR(__xludf.DUMMYFUNCTION("""COMPUTED_VALUE"""),316.4509995473917)</f>
        <v>316.4509995</v>
      </c>
      <c r="Z2322" s="82">
        <f>IFERROR(__xludf.DUMMYFUNCTION("""COMPUTED_VALUE"""),0.6839035424431236)</f>
        <v>0.6839035424</v>
      </c>
      <c r="AA2322" s="82">
        <f>IFERROR(__xludf.DUMMYFUNCTION("""COMPUTED_VALUE"""),0.45822310536307154)</f>
        <v>0.4582231054</v>
      </c>
      <c r="AB2322" s="82">
        <f>IFERROR(__xludf.DUMMYFUNCTION("""COMPUTED_VALUE"""),1.1994344405505422)</f>
        <v>1.199434441</v>
      </c>
      <c r="AC2322" s="82">
        <f>IFERROR(__xludf.DUMMYFUNCTION("""COMPUTED_VALUE"""),2.242487403504324)</f>
        <v>2.242487404</v>
      </c>
      <c r="AD2322" s="82">
        <f>IFERROR(__xludf.DUMMYFUNCTION("""COMPUTED_VALUE"""),0.9974044325379384)</f>
        <v>0.9974044325</v>
      </c>
      <c r="AE2322" s="82">
        <f>IFERROR(__xludf.DUMMYFUNCTION("""COMPUTED_VALUE"""),1.4080391505546956)</f>
        <v>1.408039151</v>
      </c>
      <c r="AF2322" s="82">
        <f>IFERROR(__xludf.DUMMYFUNCTION("""COMPUTED_VALUE"""),0.8891027157711733)</f>
        <v>0.8891027158</v>
      </c>
      <c r="AG2322" s="82">
        <f>IFERROR(__xludf.DUMMYFUNCTION("""COMPUTED_VALUE"""),0.5249387614221155)</f>
        <v>0.5249387614</v>
      </c>
      <c r="AH2322" s="82">
        <f>IFERROR(__xludf.DUMMYFUNCTION("""COMPUTED_VALUE"""),1.2387038488764566)</f>
        <v>1.238703849</v>
      </c>
      <c r="AI2322" s="82">
        <f>IFERROR(__xludf.DUMMYFUNCTION("""COMPUTED_VALUE"""),0.8639673390773692)</f>
        <v>0.8639673391</v>
      </c>
      <c r="AJ2322" s="82">
        <f>IFERROR(__xludf.DUMMYFUNCTION("""COMPUTED_VALUE"""),0.6876813584420611)</f>
        <v>0.6876813584</v>
      </c>
      <c r="AK2322" s="82">
        <f>IFERROR(__xludf.DUMMYFUNCTION("""COMPUTED_VALUE"""),0.666453097991987)</f>
        <v>0.666453098</v>
      </c>
      <c r="AL2322" s="82">
        <f>IFERROR(__xludf.DUMMYFUNCTION("""COMPUTED_VALUE"""),1.1268040428774098)</f>
        <v>1.126804043</v>
      </c>
      <c r="AM2322" s="82">
        <f>IFERROR(__xludf.DUMMYFUNCTION("""COMPUTED_VALUE"""),0.799443680261559)</f>
        <v>0.7994436803</v>
      </c>
      <c r="AN2322" s="82">
        <f>IFERROR(__xludf.DUMMYFUNCTION("""COMPUTED_VALUE"""),0.9602013555440402)</f>
        <v>0.9602013555</v>
      </c>
      <c r="AO2322" s="82">
        <f>IFERROR(__xludf.DUMMYFUNCTION("""COMPUTED_VALUE"""),1.2699041238157878)</f>
        <v>1.269904124</v>
      </c>
      <c r="AP2322" s="82">
        <f>IFERROR(__xludf.DUMMYFUNCTION("""COMPUTED_VALUE"""),0.7901282770760862)</f>
        <v>0.7901282771</v>
      </c>
      <c r="AQ2322" s="82">
        <f>IFERROR(__xludf.DUMMYFUNCTION("""COMPUTED_VALUE"""),0.5250404604565677)</f>
        <v>0.5250404605</v>
      </c>
      <c r="AR2322" s="82">
        <f>IFERROR(__xludf.DUMMYFUNCTION("""COMPUTED_VALUE"""),1.1580164963899708)</f>
        <v>1.158016496</v>
      </c>
      <c r="AS2322" s="82">
        <f>IFERROR(__xludf.DUMMYFUNCTION("""COMPUTED_VALUE"""),63.0)</f>
        <v>63</v>
      </c>
      <c r="AT2322" s="82">
        <f>IFERROR(__xludf.DUMMYFUNCTION("""COMPUTED_VALUE"""),0.6006102901482088)</f>
        <v>0.6006102901</v>
      </c>
      <c r="AU2322" s="82">
        <f>IFERROR(__xludf.DUMMYFUNCTION("""COMPUTED_VALUE"""),3.81762714088216)</f>
        <v>3.817627141</v>
      </c>
      <c r="AV2322" s="82">
        <f>IFERROR(__xludf.DUMMYFUNCTION("""COMPUTED_VALUE"""),71.5363806867456)</f>
        <v>71.53638069</v>
      </c>
      <c r="AW2322" s="82">
        <f t="shared" si="1"/>
        <v>5.14155511</v>
      </c>
      <c r="AX2322" s="83">
        <f t="array" ref="AX2322">IFERROR(DGET('SBV Import'!A:G,"SBV",{"RSC ID","Tier";B2322,A2322}))</f>
        <v>57.8579586</v>
      </c>
      <c r="AY2322" s="82">
        <f t="shared" si="2"/>
        <v>2.655057808</v>
      </c>
      <c r="AZ2322" s="82">
        <v>2.4864973013164824</v>
      </c>
      <c r="BA2322" s="84">
        <v>2300.0</v>
      </c>
      <c r="BB2322" s="84" t="b">
        <f>IFERROR(__xludf.DUMMYFUNCTION("iferror(if(A2322="""",,E2322&gt;=FILTER(Constants!$F$2:$F$10,Constants!$A$2:$A$10=A2322)))"),TRUE)</f>
        <v>1</v>
      </c>
    </row>
    <row r="2323">
      <c r="A2323" s="89" t="str">
        <f>IFERROR(__xludf.DUMMYFUNCTION("""COMPUTED_VALUE"""),"Challenger")</f>
        <v>Challenger</v>
      </c>
      <c r="B2323" s="87" t="str">
        <f>IFERROR(__xludf.DUMMYFUNCTION("""COMPUTED_VALUE"""),"RSC004618")</f>
        <v>RSC004618</v>
      </c>
      <c r="C2323" s="73" t="str">
        <f>IFERROR(__xludf.DUMMYFUNCTION("""COMPUTED_VALUE"""),"Squirrel")</f>
        <v>Squirrel</v>
      </c>
      <c r="D2323" s="73" t="str">
        <f>IFERROR(__xludf.DUMMYFUNCTION("""COMPUTED_VALUE"""),"Mugged")</f>
        <v>Mugged</v>
      </c>
      <c r="E2323" s="82">
        <f>IFERROR(__xludf.DUMMYFUNCTION("""COMPUTED_VALUE"""),11.0)</f>
        <v>11</v>
      </c>
      <c r="F2323" s="82">
        <f>IFERROR(__xludf.DUMMYFUNCTION("""COMPUTED_VALUE"""),6.0)</f>
        <v>6</v>
      </c>
      <c r="G2323" s="86">
        <f>IFERROR(__xludf.DUMMYFUNCTION("""COMPUTED_VALUE"""),5.0)</f>
        <v>5</v>
      </c>
      <c r="H2323" s="86">
        <f>IFERROR(__xludf.DUMMYFUNCTION("""COMPUTED_VALUE"""),0.5454545454545454)</f>
        <v>0.5454545455</v>
      </c>
      <c r="I2323" s="86">
        <f>IFERROR(__xludf.DUMMYFUNCTION("""COMPUTED_VALUE"""),0.43478260869565216)</f>
        <v>0.4347826087</v>
      </c>
      <c r="J2323" s="82">
        <f>IFERROR(__xludf.DUMMYFUNCTION("""COMPUTED_VALUE"""),441.3636363636364)</f>
        <v>441.3636364</v>
      </c>
      <c r="K2323" s="82">
        <f>IFERROR(__xludf.DUMMYFUNCTION("""COMPUTED_VALUE"""),0.9090909090909091)</f>
        <v>0.9090909091</v>
      </c>
      <c r="L2323" s="82">
        <f>IFERROR(__xludf.DUMMYFUNCTION("""COMPUTED_VALUE"""),0.5454545454545454)</f>
        <v>0.5454545455</v>
      </c>
      <c r="M2323" s="82">
        <f>IFERROR(__xludf.DUMMYFUNCTION("""COMPUTED_VALUE"""),2.0)</f>
        <v>2</v>
      </c>
      <c r="N2323" s="82">
        <f>IFERROR(__xludf.DUMMYFUNCTION("""COMPUTED_VALUE"""),2.090909090909091)</f>
        <v>2.090909091</v>
      </c>
      <c r="O2323" s="82">
        <f>IFERROR(__xludf.DUMMYFUNCTION("""COMPUTED_VALUE"""),332.09090909090907)</f>
        <v>332.0909091</v>
      </c>
      <c r="P2323" s="82">
        <f>IFERROR(__xludf.DUMMYFUNCTION("""COMPUTED_VALUE"""),0.7575757575757575)</f>
        <v>0.7575757576</v>
      </c>
      <c r="Q2323" s="82">
        <f>IFERROR(__xludf.DUMMYFUNCTION("""COMPUTED_VALUE"""),0.42424242424242425)</f>
        <v>0.4242424242</v>
      </c>
      <c r="R2323" s="82">
        <f>IFERROR(__xludf.DUMMYFUNCTION("""COMPUTED_VALUE"""),1.1818181818181819)</f>
        <v>1.181818182</v>
      </c>
      <c r="S2323" s="82">
        <f>IFERROR(__xludf.DUMMYFUNCTION("""COMPUTED_VALUE"""),2.96969696969697)</f>
        <v>2.96969697</v>
      </c>
      <c r="T2323" s="82">
        <f>IFERROR(__xludf.DUMMYFUNCTION("""COMPUTED_VALUE"""),334.646578626652)</f>
        <v>334.6465786</v>
      </c>
      <c r="U2323" s="82">
        <f>IFERROR(__xludf.DUMMYFUNCTION("""COMPUTED_VALUE"""),0.7900258608286467)</f>
        <v>0.7900258608</v>
      </c>
      <c r="V2323" s="82">
        <f>IFERROR(__xludf.DUMMYFUNCTION("""COMPUTED_VALUE"""),0.5211512961622933)</f>
        <v>0.5211512962</v>
      </c>
      <c r="W2323" s="82">
        <f>IFERROR(__xludf.DUMMYFUNCTION("""COMPUTED_VALUE"""),1.159504523661415)</f>
        <v>1.159504524</v>
      </c>
      <c r="X2323" s="82">
        <f>IFERROR(__xludf.DUMMYFUNCTION("""COMPUTED_VALUE"""),2.5643030324188683)</f>
        <v>2.564303032</v>
      </c>
      <c r="Y2323" s="82">
        <f>IFERROR(__xludf.DUMMYFUNCTION("""COMPUTED_VALUE"""),320.41595403835873)</f>
        <v>320.415954</v>
      </c>
      <c r="Z2323" s="82">
        <f>IFERROR(__xludf.DUMMYFUNCTION("""COMPUTED_VALUE"""),0.6560127228858902)</f>
        <v>0.6560127229</v>
      </c>
      <c r="AA2323" s="82">
        <f>IFERROR(__xludf.DUMMYFUNCTION("""COMPUTED_VALUE"""),0.45411177477893006)</f>
        <v>0.4541117748</v>
      </c>
      <c r="AB2323" s="82">
        <f>IFERROR(__xludf.DUMMYFUNCTION("""COMPUTED_VALUE"""),1.2174627665426785)</f>
        <v>1.217462767</v>
      </c>
      <c r="AC2323" s="82">
        <f>IFERROR(__xludf.DUMMYFUNCTION("""COMPUTED_VALUE"""),2.2577021788898617)</f>
        <v>2.257702179</v>
      </c>
      <c r="AD2323" s="82">
        <f>IFERROR(__xludf.DUMMYFUNCTION("""COMPUTED_VALUE"""),1.3774708493784873)</f>
        <v>1.377470849</v>
      </c>
      <c r="AE2323" s="82">
        <f>IFERROR(__xludf.DUMMYFUNCTION("""COMPUTED_VALUE"""),1.3857824358827877)</f>
        <v>1.385782436</v>
      </c>
      <c r="AF2323" s="82">
        <f>IFERROR(__xludf.DUMMYFUNCTION("""COMPUTED_VALUE"""),1.20114600798467)</f>
        <v>1.201146008</v>
      </c>
      <c r="AG2323" s="82">
        <f>IFERROR(__xludf.DUMMYFUNCTION("""COMPUTED_VALUE"""),1.6427607110150497)</f>
        <v>1.642760711</v>
      </c>
      <c r="AH2323" s="82">
        <f>IFERROR(__xludf.DUMMYFUNCTION("""COMPUTED_VALUE"""),0.9261226349780178)</f>
        <v>0.926122635</v>
      </c>
      <c r="AI2323" s="82">
        <f>IFERROR(__xludf.DUMMYFUNCTION("""COMPUTED_VALUE"""),0.9923630788450577)</f>
        <v>0.9923630788</v>
      </c>
      <c r="AJ2323" s="82">
        <f>IFERROR(__xludf.DUMMYFUNCTION("""COMPUTED_VALUE"""),0.9589252645238059)</f>
        <v>0.9589252645</v>
      </c>
      <c r="AK2323" s="82">
        <f>IFERROR(__xludf.DUMMYFUNCTION("""COMPUTED_VALUE"""),0.8140484871984462)</f>
        <v>0.8140484872</v>
      </c>
      <c r="AL2323" s="82">
        <f>IFERROR(__xludf.DUMMYFUNCTION("""COMPUTED_VALUE"""),1.0192441320421124)</f>
        <v>1.019244132</v>
      </c>
      <c r="AM2323" s="82">
        <f>IFERROR(__xludf.DUMMYFUNCTION("""COMPUTED_VALUE"""),1.1580912755446457)</f>
        <v>1.158091276</v>
      </c>
      <c r="AN2323" s="82">
        <f>IFERROR(__xludf.DUMMYFUNCTION("""COMPUTED_VALUE"""),1.342706520999024)</f>
        <v>1.342706521</v>
      </c>
      <c r="AO2323" s="82">
        <f>IFERROR(__xludf.DUMMYFUNCTION("""COMPUTED_VALUE"""),1.19886053646945)</f>
        <v>1.198860536</v>
      </c>
      <c r="AP2323" s="82">
        <f>IFERROR(__xludf.DUMMYFUNCTION("""COMPUTED_VALUE"""),1.0578576932754213)</f>
        <v>1.057857693</v>
      </c>
      <c r="AQ2323" s="82">
        <f>IFERROR(__xludf.DUMMYFUNCTION("""COMPUTED_VALUE"""),1.6677755802738032)</f>
        <v>1.66777558</v>
      </c>
      <c r="AR2323" s="82">
        <f>IFERROR(__xludf.DUMMYFUNCTION("""COMPUTED_VALUE"""),0.8716705991008143)</f>
        <v>0.8716705991</v>
      </c>
      <c r="AS2323" s="82">
        <f>IFERROR(__xludf.DUMMYFUNCTION("""COMPUTED_VALUE"""),29.0)</f>
        <v>29</v>
      </c>
      <c r="AT2323" s="82">
        <f>IFERROR(__xludf.DUMMYFUNCTION("""COMPUTED_VALUE"""),0.558313483557868)</f>
        <v>0.5583134836</v>
      </c>
      <c r="AU2323" s="82">
        <f>IFERROR(__xludf.DUMMYFUNCTION("""COMPUTED_VALUE"""),3.77578935839126)</f>
        <v>3.775789358</v>
      </c>
      <c r="AV2323" s="82">
        <f>IFERROR(__xludf.DUMMYFUNCTION("""COMPUTED_VALUE"""),70.43009944604093)</f>
        <v>70.43009945</v>
      </c>
      <c r="AW2323" s="82">
        <f t="shared" si="1"/>
        <v>4.833114143</v>
      </c>
      <c r="AX2323" s="83">
        <f t="array" ref="AX2323">IFERROR(DGET('SBV Import'!A:G,"SBV",{"RSC ID","Tier";B2323,A2323}))</f>
        <v>60.44681368</v>
      </c>
      <c r="AY2323" s="82">
        <f t="shared" si="2"/>
        <v>2.958403492</v>
      </c>
      <c r="AZ2323" s="82">
        <v>1.8747106511798424</v>
      </c>
      <c r="BA2323" s="84">
        <v>2300.0</v>
      </c>
      <c r="BB2323" s="84" t="b">
        <f>IFERROR(__xludf.DUMMYFUNCTION("iferror(if(A2323="""",,E2323&gt;=FILTER(Constants!$F$2:$F$10,Constants!$A$2:$A$10=A2323)))"),TRUE)</f>
        <v>1</v>
      </c>
    </row>
    <row r="2324">
      <c r="A2324" s="89" t="str">
        <f>IFERROR(__xludf.DUMMYFUNCTION("""COMPUTED_VALUE"""),"Challenger")</f>
        <v>Challenger</v>
      </c>
      <c r="B2324" s="87" t="str">
        <f>IFERROR(__xludf.DUMMYFUNCTION("""COMPUTED_VALUE"""),"RSC004901")</f>
        <v>RSC004901</v>
      </c>
      <c r="C2324" s="73" t="str">
        <f>IFERROR(__xludf.DUMMYFUNCTION("""COMPUTED_VALUE"""),"Dofri9976")</f>
        <v>Dofri9976</v>
      </c>
      <c r="D2324" s="73" t="str">
        <f>IFERROR(__xludf.DUMMYFUNCTION("""COMPUTED_VALUE"""),"Lilac")</f>
        <v>Lilac</v>
      </c>
      <c r="E2324" s="82">
        <f>IFERROR(__xludf.DUMMYFUNCTION("""COMPUTED_VALUE"""),16.0)</f>
        <v>16</v>
      </c>
      <c r="F2324" s="82">
        <f>IFERROR(__xludf.DUMMYFUNCTION("""COMPUTED_VALUE"""),9.0)</f>
        <v>9</v>
      </c>
      <c r="G2324" s="86">
        <f>IFERROR(__xludf.DUMMYFUNCTION("""COMPUTED_VALUE"""),7.0)</f>
        <v>7</v>
      </c>
      <c r="H2324" s="86">
        <f>IFERROR(__xludf.DUMMYFUNCTION("""COMPUTED_VALUE"""),0.5625)</f>
        <v>0.5625</v>
      </c>
      <c r="I2324" s="86">
        <f>IFERROR(__xludf.DUMMYFUNCTION("""COMPUTED_VALUE"""),0.30434782608695654)</f>
        <v>0.3043478261</v>
      </c>
      <c r="J2324" s="82">
        <f>IFERROR(__xludf.DUMMYFUNCTION("""COMPUTED_VALUE"""),393.0)</f>
        <v>393</v>
      </c>
      <c r="K2324" s="82">
        <f>IFERROR(__xludf.DUMMYFUNCTION("""COMPUTED_VALUE"""),0.875)</f>
        <v>0.875</v>
      </c>
      <c r="L2324" s="82">
        <f>IFERROR(__xludf.DUMMYFUNCTION("""COMPUTED_VALUE"""),0.75)</f>
        <v>0.75</v>
      </c>
      <c r="M2324" s="82">
        <f>IFERROR(__xludf.DUMMYFUNCTION("""COMPUTED_VALUE"""),1.6875)</f>
        <v>1.6875</v>
      </c>
      <c r="N2324" s="82">
        <f>IFERROR(__xludf.DUMMYFUNCTION("""COMPUTED_VALUE"""),2.875)</f>
        <v>2.875</v>
      </c>
      <c r="O2324" s="82">
        <f>IFERROR(__xludf.DUMMYFUNCTION("""COMPUTED_VALUE"""),367.06249999999994)</f>
        <v>367.0625</v>
      </c>
      <c r="P2324" s="82">
        <f>IFERROR(__xludf.DUMMYFUNCTION("""COMPUTED_VALUE"""),0.6875)</f>
        <v>0.6875</v>
      </c>
      <c r="Q2324" s="82">
        <f>IFERROR(__xludf.DUMMYFUNCTION("""COMPUTED_VALUE"""),0.6041666666666667)</f>
        <v>0.6041666667</v>
      </c>
      <c r="R2324" s="82">
        <f>IFERROR(__xludf.DUMMYFUNCTION("""COMPUTED_VALUE"""),1.5833333333333333)</f>
        <v>1.583333333</v>
      </c>
      <c r="S2324" s="82">
        <f>IFERROR(__xludf.DUMMYFUNCTION("""COMPUTED_VALUE"""),2.354166666666667)</f>
        <v>2.354166667</v>
      </c>
      <c r="T2324" s="82">
        <f>IFERROR(__xludf.DUMMYFUNCTION("""COMPUTED_VALUE"""),340.12415703767255)</f>
        <v>340.124157</v>
      </c>
      <c r="U2324" s="82">
        <f>IFERROR(__xludf.DUMMYFUNCTION("""COMPUTED_VALUE"""),0.7898009161811264)</f>
        <v>0.7898009162</v>
      </c>
      <c r="V2324" s="82">
        <f>IFERROR(__xludf.DUMMYFUNCTION("""COMPUTED_VALUE"""),0.5604239795693841)</f>
        <v>0.5604239796</v>
      </c>
      <c r="W2324" s="82">
        <f>IFERROR(__xludf.DUMMYFUNCTION("""COMPUTED_VALUE"""),1.26832582551741)</f>
        <v>1.268325826</v>
      </c>
      <c r="X2324" s="82">
        <f>IFERROR(__xludf.DUMMYFUNCTION("""COMPUTED_VALUE"""),2.412463882057498)</f>
        <v>2.412463882</v>
      </c>
      <c r="Y2324" s="82">
        <f>IFERROR(__xludf.DUMMYFUNCTION("""COMPUTED_VALUE"""),361.808877138682)</f>
        <v>361.8088771</v>
      </c>
      <c r="Z2324" s="82">
        <f>IFERROR(__xludf.DUMMYFUNCTION("""COMPUTED_VALUE"""),0.8916885850977414)</f>
        <v>0.8916885851</v>
      </c>
      <c r="AA2324" s="82">
        <f>IFERROR(__xludf.DUMMYFUNCTION("""COMPUTED_VALUE"""),0.6350215420691673)</f>
        <v>0.6350215421</v>
      </c>
      <c r="AB2324" s="82">
        <f>IFERROR(__xludf.DUMMYFUNCTION("""COMPUTED_VALUE"""),1.261748561627861)</f>
        <v>1.261748562</v>
      </c>
      <c r="AC2324" s="82">
        <f>IFERROR(__xludf.DUMMYFUNCTION("""COMPUTED_VALUE"""),2.676577104684161)</f>
        <v>2.676577105</v>
      </c>
      <c r="AD2324" s="82">
        <f>IFERROR(__xludf.DUMMYFUNCTION("""COMPUTED_VALUE"""),1.0862088379588386)</f>
        <v>1.086208838</v>
      </c>
      <c r="AE2324" s="82">
        <f>IFERROR(__xludf.DUMMYFUNCTION("""COMPUTED_VALUE"""),0.9812842898556203)</f>
        <v>0.9812842899</v>
      </c>
      <c r="AF2324" s="82">
        <f>IFERROR(__xludf.DUMMYFUNCTION("""COMPUTED_VALUE"""),1.1810622952351892)</f>
        <v>1.181062295</v>
      </c>
      <c r="AG2324" s="82">
        <f>IFERROR(__xludf.DUMMYFUNCTION("""COMPUTED_VALUE"""),1.3374296997991821)</f>
        <v>1.3374297</v>
      </c>
      <c r="AH2324" s="82">
        <f>IFERROR(__xludf.DUMMYFUNCTION("""COMPUTED_VALUE"""),1.0741330765209745)</f>
        <v>1.074133077</v>
      </c>
      <c r="AI2324" s="82">
        <f>IFERROR(__xludf.DUMMYFUNCTION("""COMPUTED_VALUE"""),1.0792014986437546)</f>
        <v>1.079201499</v>
      </c>
      <c r="AJ2324" s="82">
        <f>IFERROR(__xludf.DUMMYFUNCTION("""COMPUTED_VALUE"""),0.8704725278418574)</f>
        <v>0.8704725278</v>
      </c>
      <c r="AK2324" s="82">
        <f>IFERROR(__xludf.DUMMYFUNCTION("""COMPUTED_VALUE"""),1.0780528469372304)</f>
        <v>1.078052847</v>
      </c>
      <c r="AL2324" s="82">
        <f>IFERROR(__xludf.DUMMYFUNCTION("""COMPUTED_VALUE"""),1.2483648140551085)</f>
        <v>1.248364814</v>
      </c>
      <c r="AM2324" s="82">
        <f>IFERROR(__xludf.DUMMYFUNCTION("""COMPUTED_VALUE"""),0.9758349893549032)</f>
        <v>0.9758349894</v>
      </c>
      <c r="AN2324" s="82">
        <f>IFERROR(__xludf.DUMMYFUNCTION("""COMPUTED_VALUE"""),1.1955757549492856)</f>
        <v>1.195575755</v>
      </c>
      <c r="AO2324" s="82">
        <f>IFERROR(__xludf.DUMMYFUNCTION("""COMPUTED_VALUE"""),1.1539032663518456)</f>
        <v>1.153903266</v>
      </c>
      <c r="AP2324" s="82">
        <f>IFERROR(__xludf.DUMMYFUNCTION("""COMPUTED_VALUE"""),1.4545543282537043)</f>
        <v>1.454554328</v>
      </c>
      <c r="AQ2324" s="82">
        <f>IFERROR(__xludf.DUMMYFUNCTION("""COMPUTED_VALUE"""),1.4071856458560215)</f>
        <v>1.407185646</v>
      </c>
      <c r="AR2324" s="82">
        <f>IFERROR(__xludf.DUMMYFUNCTION("""COMPUTED_VALUE"""),1.19854707376362)</f>
        <v>1.198547074</v>
      </c>
      <c r="AS2324" s="82">
        <f>IFERROR(__xludf.DUMMYFUNCTION("""COMPUTED_VALUE"""),46.0)</f>
        <v>46</v>
      </c>
      <c r="AT2324" s="82">
        <f>IFERROR(__xludf.DUMMYFUNCTION("""COMPUTED_VALUE"""),0.6283699382265279)</f>
        <v>0.6283699382</v>
      </c>
      <c r="AU2324" s="82">
        <f>IFERROR(__xludf.DUMMYFUNCTION("""COMPUTED_VALUE"""),3.764522248624311)</f>
        <v>3.764522249</v>
      </c>
      <c r="AV2324" s="82">
        <f>IFERROR(__xludf.DUMMYFUNCTION("""COMPUTED_VALUE"""),70.1321727532281)</f>
        <v>70.13217275</v>
      </c>
      <c r="AW2324" s="82">
        <f t="shared" si="1"/>
        <v>4.754499813</v>
      </c>
      <c r="AX2324" s="83">
        <f t="array" ref="AX2324">IFERROR(DGET('SBV Import'!A:G,"SBV",{"RSC ID","Tier";B2324,A2324}))</f>
        <v>62.7121753</v>
      </c>
      <c r="AY2324" s="82">
        <f t="shared" si="2"/>
        <v>3.272723341</v>
      </c>
      <c r="AZ2324" s="82">
        <v>1.4817764719919162</v>
      </c>
      <c r="BA2324" s="84">
        <v>2300.0</v>
      </c>
      <c r="BB2324" s="84" t="b">
        <f>IFERROR(__xludf.DUMMYFUNCTION("iferror(if(A2324="""",,E2324&gt;=FILTER(Constants!$F$2:$F$10,Constants!$A$2:$A$10=A2324)))"),TRUE)</f>
        <v>1</v>
      </c>
    </row>
    <row r="2325">
      <c r="A2325" s="89" t="str">
        <f>IFERROR(__xludf.DUMMYFUNCTION("""COMPUTED_VALUE"""),"Challenger")</f>
        <v>Challenger</v>
      </c>
      <c r="B2325" s="87" t="str">
        <f>IFERROR(__xludf.DUMMYFUNCTION("""COMPUTED_VALUE"""),"RSC007307")</f>
        <v>RSC007307</v>
      </c>
      <c r="C2325" s="73" t="str">
        <f>IFERROR(__xludf.DUMMYFUNCTION("""COMPUTED_VALUE"""),"Jmh187-")</f>
        <v>Jmh187-</v>
      </c>
      <c r="D2325" s="73" t="str">
        <f>IFERROR(__xludf.DUMMYFUNCTION("""COMPUTED_VALUE"""),"Chromatic Chaos")</f>
        <v>Chromatic Chaos</v>
      </c>
      <c r="E2325" s="82">
        <f>IFERROR(__xludf.DUMMYFUNCTION("""COMPUTED_VALUE"""),24.0)</f>
        <v>24</v>
      </c>
      <c r="F2325" s="82">
        <f>IFERROR(__xludf.DUMMYFUNCTION("""COMPUTED_VALUE"""),8.0)</f>
        <v>8</v>
      </c>
      <c r="G2325" s="86">
        <f>IFERROR(__xludf.DUMMYFUNCTION("""COMPUTED_VALUE"""),16.0)</f>
        <v>16</v>
      </c>
      <c r="H2325" s="86">
        <f>IFERROR(__xludf.DUMMYFUNCTION("""COMPUTED_VALUE"""),0.3333333333333333)</f>
        <v>0.3333333333</v>
      </c>
      <c r="I2325" s="86">
        <f>IFERROR(__xludf.DUMMYFUNCTION("""COMPUTED_VALUE"""),0.4067796610169491)</f>
        <v>0.406779661</v>
      </c>
      <c r="J2325" s="82">
        <f>IFERROR(__xludf.DUMMYFUNCTION("""COMPUTED_VALUE"""),420.2083333333333)</f>
        <v>420.2083333</v>
      </c>
      <c r="K2325" s="82">
        <f>IFERROR(__xludf.DUMMYFUNCTION("""COMPUTED_VALUE"""),1.0)</f>
        <v>1</v>
      </c>
      <c r="L2325" s="82">
        <f>IFERROR(__xludf.DUMMYFUNCTION("""COMPUTED_VALUE"""),0.625)</f>
        <v>0.625</v>
      </c>
      <c r="M2325" s="82">
        <f>IFERROR(__xludf.DUMMYFUNCTION("""COMPUTED_VALUE"""),2.0833333333333335)</f>
        <v>2.083333333</v>
      </c>
      <c r="N2325" s="82">
        <f>IFERROR(__xludf.DUMMYFUNCTION("""COMPUTED_VALUE"""),2.4583333333333335)</f>
        <v>2.458333333</v>
      </c>
      <c r="O2325" s="82">
        <f>IFERROR(__xludf.DUMMYFUNCTION("""COMPUTED_VALUE"""),338.48611111111114)</f>
        <v>338.4861111</v>
      </c>
      <c r="P2325" s="82">
        <f>IFERROR(__xludf.DUMMYFUNCTION("""COMPUTED_VALUE"""),0.9166666666666665)</f>
        <v>0.9166666667</v>
      </c>
      <c r="Q2325" s="82">
        <f>IFERROR(__xludf.DUMMYFUNCTION("""COMPUTED_VALUE"""),0.5277777777777778)</f>
        <v>0.5277777778</v>
      </c>
      <c r="R2325" s="82">
        <f>IFERROR(__xludf.DUMMYFUNCTION("""COMPUTED_VALUE"""),1.0833333333333335)</f>
        <v>1.083333333</v>
      </c>
      <c r="S2325" s="82">
        <f>IFERROR(__xludf.DUMMYFUNCTION("""COMPUTED_VALUE"""),2.736111111111111)</f>
        <v>2.736111111</v>
      </c>
      <c r="T2325" s="82">
        <f>IFERROR(__xludf.DUMMYFUNCTION("""COMPUTED_VALUE"""),329.5249749529905)</f>
        <v>329.524975</v>
      </c>
      <c r="U2325" s="82">
        <f>IFERROR(__xludf.DUMMYFUNCTION("""COMPUTED_VALUE"""),0.769772486862559)</f>
        <v>0.7697724869</v>
      </c>
      <c r="V2325" s="82">
        <f>IFERROR(__xludf.DUMMYFUNCTION("""COMPUTED_VALUE"""),0.5131279637649674)</f>
        <v>0.5131279638</v>
      </c>
      <c r="W2325" s="82">
        <f>IFERROR(__xludf.DUMMYFUNCTION("""COMPUTED_VALUE"""),1.1340059941643055)</f>
        <v>1.134005994</v>
      </c>
      <c r="X2325" s="82">
        <f>IFERROR(__xludf.DUMMYFUNCTION("""COMPUTED_VALUE"""),2.4461905319557693)</f>
        <v>2.446190532</v>
      </c>
      <c r="Y2325" s="82">
        <f>IFERROR(__xludf.DUMMYFUNCTION("""COMPUTED_VALUE"""),340.9974499206586)</f>
        <v>340.9974499</v>
      </c>
      <c r="Z2325" s="82">
        <f>IFERROR(__xludf.DUMMYFUNCTION("""COMPUTED_VALUE"""),0.7899361190728308)</f>
        <v>0.7899361191</v>
      </c>
      <c r="AA2325" s="82">
        <f>IFERROR(__xludf.DUMMYFUNCTION("""COMPUTED_VALUE"""),0.5303053476681084)</f>
        <v>0.5303053477</v>
      </c>
      <c r="AB2325" s="82">
        <f>IFERROR(__xludf.DUMMYFUNCTION("""COMPUTED_VALUE"""),1.2539802643430489)</f>
        <v>1.253980264</v>
      </c>
      <c r="AC2325" s="82">
        <f>IFERROR(__xludf.DUMMYFUNCTION("""COMPUTED_VALUE"""),2.399906603645663)</f>
        <v>2.399906604</v>
      </c>
      <c r="AD2325" s="82">
        <f>IFERROR(__xludf.DUMMYFUNCTION("""COMPUTED_VALUE"""),1.2322917178152066)</f>
        <v>1.232291718</v>
      </c>
      <c r="AE2325" s="82">
        <f>IFERROR(__xludf.DUMMYFUNCTION("""COMPUTED_VALUE"""),1.265925149964945)</f>
        <v>1.26592515</v>
      </c>
      <c r="AF2325" s="82">
        <f>IFERROR(__xludf.DUMMYFUNCTION("""COMPUTED_VALUE"""),1.178566278368281)</f>
        <v>1.178566278</v>
      </c>
      <c r="AG2325" s="82">
        <f>IFERROR(__xludf.DUMMYFUNCTION("""COMPUTED_VALUE"""),1.661376492575644)</f>
        <v>1.661376493</v>
      </c>
      <c r="AH2325" s="82">
        <f>IFERROR(__xludf.DUMMYFUNCTION("""COMPUTED_VALUE"""),1.0243454181087361)</f>
        <v>1.024345418</v>
      </c>
      <c r="AI2325" s="82">
        <f>IFERROR(__xludf.DUMMYFUNCTION("""COMPUTED_VALUE"""),1.0271941031462002)</f>
        <v>1.027194103</v>
      </c>
      <c r="AJ2325" s="82">
        <f>IFERROR(__xludf.DUMMYFUNCTION("""COMPUTED_VALUE"""),1.1908280463527858)</f>
        <v>1.190828046</v>
      </c>
      <c r="AK2325" s="82">
        <f>IFERROR(__xludf.DUMMYFUNCTION("""COMPUTED_VALUE"""),1.028550020749835)</f>
        <v>1.028550021</v>
      </c>
      <c r="AL2325" s="82">
        <f>IFERROR(__xludf.DUMMYFUNCTION("""COMPUTED_VALUE"""),0.9553153501024351)</f>
        <v>0.9553153501</v>
      </c>
      <c r="AM2325" s="82">
        <f>IFERROR(__xludf.DUMMYFUNCTION("""COMPUTED_VALUE"""),1.1185192140056015)</f>
        <v>1.118519214</v>
      </c>
      <c r="AN2325" s="82">
        <f>IFERROR(__xludf.DUMMYFUNCTION("""COMPUTED_VALUE"""),1.27834833425186)</f>
        <v>1.278348334</v>
      </c>
      <c r="AO2325" s="82">
        <f>IFERROR(__xludf.DUMMYFUNCTION("""COMPUTED_VALUE"""),1.318746590116395)</f>
        <v>1.31874659</v>
      </c>
      <c r="AP2325" s="82">
        <f>IFERROR(__xludf.DUMMYFUNCTION("""COMPUTED_VALUE"""),1.212128606878087)</f>
        <v>1.212128607</v>
      </c>
      <c r="AQ2325" s="82">
        <f>IFERROR(__xludf.DUMMYFUNCTION("""COMPUTED_VALUE"""),1.7372662294518786)</f>
        <v>1.737266229</v>
      </c>
      <c r="AR2325" s="82">
        <f>IFERROR(__xludf.DUMMYFUNCTION("""COMPUTED_VALUE"""),1.0248445993051243)</f>
        <v>1.024844599</v>
      </c>
      <c r="AS2325" s="82">
        <f>IFERROR(__xludf.DUMMYFUNCTION("""COMPUTED_VALUE"""),55.0)</f>
        <v>55</v>
      </c>
      <c r="AT2325" s="82">
        <f>IFERROR(__xludf.DUMMYFUNCTION("""COMPUTED_VALUE"""),0.4279909844312013)</f>
        <v>0.4279909844</v>
      </c>
      <c r="AU2325" s="82">
        <f>IFERROR(__xludf.DUMMYFUNCTION("""COMPUTED_VALUE"""),3.742422870230326)</f>
        <v>3.74242287</v>
      </c>
      <c r="AV2325" s="82">
        <f>IFERROR(__xludf.DUMMYFUNCTION("""COMPUTED_VALUE"""),69.54781750558044)</f>
        <v>69.54781751</v>
      </c>
      <c r="AW2325" s="82">
        <f t="shared" si="1"/>
        <v>4.605473488</v>
      </c>
      <c r="AX2325" s="83">
        <f t="array" ref="AX2325">IFERROR(DGET('SBV Import'!A:G,"SBV",{"RSC ID","Tier";B2325,A2325}))</f>
        <v>73.2997571</v>
      </c>
      <c r="AY2325" s="82">
        <f t="shared" si="2"/>
        <v>5.692466544</v>
      </c>
      <c r="AZ2325" s="82">
        <v>1.0869930563625712</v>
      </c>
      <c r="BA2325" s="84">
        <v>2300.0</v>
      </c>
      <c r="BB2325" s="84" t="b">
        <f>IFERROR(__xludf.DUMMYFUNCTION("iferror(if(A2325="""",,E2325&gt;=FILTER(Constants!$F$2:$F$10,Constants!$A$2:$A$10=A2325)))"),TRUE)</f>
        <v>1</v>
      </c>
    </row>
    <row r="2326">
      <c r="A2326" s="89" t="str">
        <f>IFERROR(__xludf.DUMMYFUNCTION("""COMPUTED_VALUE"""),"Challenger")</f>
        <v>Challenger</v>
      </c>
      <c r="B2326" s="87" t="str">
        <f>IFERROR(__xludf.DUMMYFUNCTION("""COMPUTED_VALUE"""),"RSC004333")</f>
        <v>RSC004333</v>
      </c>
      <c r="C2326" s="73" t="str">
        <f>IFERROR(__xludf.DUMMYFUNCTION("""COMPUTED_VALUE"""),"Penguin")</f>
        <v>Penguin</v>
      </c>
      <c r="D2326" s="73" t="str">
        <f>IFERROR(__xludf.DUMMYFUNCTION("""COMPUTED_VALUE"""),"Mugged")</f>
        <v>Mugged</v>
      </c>
      <c r="E2326" s="82">
        <f>IFERROR(__xludf.DUMMYFUNCTION("""COMPUTED_VALUE"""),33.0)</f>
        <v>33</v>
      </c>
      <c r="F2326" s="82">
        <f>IFERROR(__xludf.DUMMYFUNCTION("""COMPUTED_VALUE"""),18.0)</f>
        <v>18</v>
      </c>
      <c r="G2326" s="86">
        <f>IFERROR(__xludf.DUMMYFUNCTION("""COMPUTED_VALUE"""),15.0)</f>
        <v>15</v>
      </c>
      <c r="H2326" s="86">
        <f>IFERROR(__xludf.DUMMYFUNCTION("""COMPUTED_VALUE"""),0.5454545454545454)</f>
        <v>0.5454545455</v>
      </c>
      <c r="I2326" s="86">
        <f>IFERROR(__xludf.DUMMYFUNCTION("""COMPUTED_VALUE"""),0.3522727272727273)</f>
        <v>0.3522727273</v>
      </c>
      <c r="J2326" s="82">
        <f>IFERROR(__xludf.DUMMYFUNCTION("""COMPUTED_VALUE"""),389.42424242424244)</f>
        <v>389.4242424</v>
      </c>
      <c r="K2326" s="82">
        <f>IFERROR(__xludf.DUMMYFUNCTION("""COMPUTED_VALUE"""),0.9393939393939394)</f>
        <v>0.9393939394</v>
      </c>
      <c r="L2326" s="82">
        <f>IFERROR(__xludf.DUMMYFUNCTION("""COMPUTED_VALUE"""),0.5757575757575758)</f>
        <v>0.5757575758</v>
      </c>
      <c r="M2326" s="82">
        <f>IFERROR(__xludf.DUMMYFUNCTION("""COMPUTED_VALUE"""),1.393939393939394)</f>
        <v>1.393939394</v>
      </c>
      <c r="N2326" s="82">
        <f>IFERROR(__xludf.DUMMYFUNCTION("""COMPUTED_VALUE"""),2.6666666666666665)</f>
        <v>2.666666667</v>
      </c>
      <c r="O2326" s="82">
        <f>IFERROR(__xludf.DUMMYFUNCTION("""COMPUTED_VALUE"""),340.13131313131305)</f>
        <v>340.1313131</v>
      </c>
      <c r="P2326" s="82">
        <f>IFERROR(__xludf.DUMMYFUNCTION("""COMPUTED_VALUE"""),0.8383838383838385)</f>
        <v>0.8383838384</v>
      </c>
      <c r="Q2326" s="82">
        <f>IFERROR(__xludf.DUMMYFUNCTION("""COMPUTED_VALUE"""),0.5353535353535355)</f>
        <v>0.5353535354</v>
      </c>
      <c r="R2326" s="82">
        <f>IFERROR(__xludf.DUMMYFUNCTION("""COMPUTED_VALUE"""),1.171717171717172)</f>
        <v>1.171717172</v>
      </c>
      <c r="S2326" s="82">
        <f>IFERROR(__xludf.DUMMYFUNCTION("""COMPUTED_VALUE"""),2.777777777777778)</f>
        <v>2.777777778</v>
      </c>
      <c r="T2326" s="82">
        <f>IFERROR(__xludf.DUMMYFUNCTION("""COMPUTED_VALUE"""),332.56694755209924)</f>
        <v>332.5669476</v>
      </c>
      <c r="U2326" s="82">
        <f>IFERROR(__xludf.DUMMYFUNCTION("""COMPUTED_VALUE"""),0.7747719120473745)</f>
        <v>0.774771912</v>
      </c>
      <c r="V2326" s="82">
        <f>IFERROR(__xludf.DUMMYFUNCTION("""COMPUTED_VALUE"""),0.5176983849160611)</f>
        <v>0.5176983849</v>
      </c>
      <c r="W2326" s="82">
        <f>IFERROR(__xludf.DUMMYFUNCTION("""COMPUTED_VALUE"""),1.1896394928914626)</f>
        <v>1.189639493</v>
      </c>
      <c r="X2326" s="82">
        <f>IFERROR(__xludf.DUMMYFUNCTION("""COMPUTED_VALUE"""),2.4917238496804033)</f>
        <v>2.49172385</v>
      </c>
      <c r="Y2326" s="82">
        <f>IFERROR(__xludf.DUMMYFUNCTION("""COMPUTED_VALUE"""),332.0501418787398)</f>
        <v>332.0501419</v>
      </c>
      <c r="Z2326" s="82">
        <f>IFERROR(__xludf.DUMMYFUNCTION("""COMPUTED_VALUE"""),0.7148972860969325)</f>
        <v>0.7148972861</v>
      </c>
      <c r="AA2326" s="82">
        <f>IFERROR(__xludf.DUMMYFUNCTION("""COMPUTED_VALUE"""),0.5124522986469907)</f>
        <v>0.5124522986</v>
      </c>
      <c r="AB2326" s="82">
        <f>IFERROR(__xludf.DUMMYFUNCTION("""COMPUTED_VALUE"""),1.2598437817770687)</f>
        <v>1.259843782</v>
      </c>
      <c r="AC2326" s="82">
        <f>IFERROR(__xludf.DUMMYFUNCTION("""COMPUTED_VALUE"""),2.3456933886859765)</f>
        <v>2.345693389</v>
      </c>
      <c r="AD2326" s="82">
        <f>IFERROR(__xludf.DUMMYFUNCTION("""COMPUTED_VALUE"""),1.1727874598121837)</f>
        <v>1.17278746</v>
      </c>
      <c r="AE2326" s="82">
        <f>IFERROR(__xludf.DUMMYFUNCTION("""COMPUTED_VALUE"""),1.3140264450053705)</f>
        <v>1.314026445</v>
      </c>
      <c r="AF2326" s="82">
        <f>IFERROR(__xludf.DUMMYFUNCTION("""COMPUTED_VALUE"""),1.1235339899493626)</f>
        <v>1.12353399</v>
      </c>
      <c r="AG2326" s="82">
        <f>IFERROR(__xludf.DUMMYFUNCTION("""COMPUTED_VALUE"""),1.1064382855255095)</f>
        <v>1.106438286</v>
      </c>
      <c r="AH2326" s="82">
        <f>IFERROR(__xludf.DUMMYFUNCTION("""COMPUTED_VALUE"""),1.1368351377587735)</f>
        <v>1.136835138</v>
      </c>
      <c r="AI2326" s="82">
        <f>IFERROR(__xludf.DUMMYFUNCTION("""COMPUTED_VALUE"""),1.0227453919726306)</f>
        <v>1.022745392</v>
      </c>
      <c r="AJ2326" s="82">
        <f>IFERROR(__xludf.DUMMYFUNCTION("""COMPUTED_VALUE"""),1.082104068755366)</f>
        <v>1.082104069</v>
      </c>
      <c r="AK2326" s="82">
        <f>IFERROR(__xludf.DUMMYFUNCTION("""COMPUTED_VALUE"""),1.0341031591982597)</f>
        <v>1.034103159</v>
      </c>
      <c r="AL2326" s="82">
        <f>IFERROR(__xludf.DUMMYFUNCTION("""COMPUTED_VALUE"""),0.9849346619027165)</f>
        <v>0.9849346619</v>
      </c>
      <c r="AM2326" s="82">
        <f>IFERROR(__xludf.DUMMYFUNCTION("""COMPUTED_VALUE"""),1.1148016174160171)</f>
        <v>1.114801617</v>
      </c>
      <c r="AN2326" s="82">
        <f>IFERROR(__xludf.DUMMYFUNCTION("""COMPUTED_VALUE"""),1.1846976657300692)</f>
        <v>1.184697666</v>
      </c>
      <c r="AO2326" s="82">
        <f>IFERROR(__xludf.DUMMYFUNCTION("""COMPUTED_VALUE"""),1.238822554351765)</f>
        <v>1.238822554</v>
      </c>
      <c r="AP2326" s="82">
        <f>IFERROR(__xludf.DUMMYFUNCTION("""COMPUTED_VALUE"""),1.116627565124056)</f>
        <v>1.116627565</v>
      </c>
      <c r="AQ2326" s="82">
        <f>IFERROR(__xludf.DUMMYFUNCTION("""COMPUTED_VALUE"""),1.1623890407968933)</f>
        <v>1.162389041</v>
      </c>
      <c r="AR2326" s="82">
        <f>IFERROR(__xludf.DUMMYFUNCTION("""COMPUTED_VALUE"""),1.1116958365343719)</f>
        <v>1.111695837</v>
      </c>
      <c r="AS2326" s="82">
        <f>IFERROR(__xludf.DUMMYFUNCTION("""COMPUTED_VALUE"""),84.0)</f>
        <v>84</v>
      </c>
      <c r="AT2326" s="82">
        <f>IFERROR(__xludf.DUMMYFUNCTION("""COMPUTED_VALUE"""),0.5047681694933939)</f>
        <v>0.5047681695</v>
      </c>
      <c r="AU2326" s="82">
        <f>IFERROR(__xludf.DUMMYFUNCTION("""COMPUTED_VALUE"""),3.7304497869191677)</f>
        <v>3.730449787</v>
      </c>
      <c r="AV2326" s="82">
        <f>IFERROR(__xludf.DUMMYFUNCTION("""COMPUTED_VALUE"""),69.23122334900893)</f>
        <v>69.23122335</v>
      </c>
      <c r="AW2326" s="82">
        <f t="shared" si="1"/>
        <v>4.5274933</v>
      </c>
      <c r="AX2326" s="83">
        <f t="array" ref="AX2326">IFERROR(DGET('SBV Import'!A:G,"SBV",{"RSC ID","Tier";B2326,A2326}))</f>
        <v>59.90401853</v>
      </c>
      <c r="AY2326" s="82">
        <f t="shared" si="2"/>
        <v>2.89023</v>
      </c>
      <c r="AZ2326" s="82">
        <v>1.6372633005783852</v>
      </c>
      <c r="BA2326" s="84">
        <v>2300.0</v>
      </c>
      <c r="BB2326" s="84" t="b">
        <f>IFERROR(__xludf.DUMMYFUNCTION("iferror(if(A2326="""",,E2326&gt;=FILTER(Constants!$F$2:$F$10,Constants!$A$2:$A$10=A2326)))"),TRUE)</f>
        <v>1</v>
      </c>
    </row>
    <row r="2327">
      <c r="A2327" s="89" t="str">
        <f>IFERROR(__xludf.DUMMYFUNCTION("""COMPUTED_VALUE"""),"Challenger")</f>
        <v>Challenger</v>
      </c>
      <c r="B2327" s="87" t="str">
        <f>IFERROR(__xludf.DUMMYFUNCTION("""COMPUTED_VALUE"""),"RSC007960")</f>
        <v>RSC007960</v>
      </c>
      <c r="C2327" s="73" t="str">
        <f>IFERROR(__xludf.DUMMYFUNCTION("""COMPUTED_VALUE"""),"Kayo")</f>
        <v>Kayo</v>
      </c>
      <c r="D2327" s="73" t="str">
        <f>IFERROR(__xludf.DUMMYFUNCTION("""COMPUTED_VALUE"""),"Warbirds")</f>
        <v>Warbirds</v>
      </c>
      <c r="E2327" s="82">
        <f>IFERROR(__xludf.DUMMYFUNCTION("""COMPUTED_VALUE"""),32.0)</f>
        <v>32</v>
      </c>
      <c r="F2327" s="82">
        <f>IFERROR(__xludf.DUMMYFUNCTION("""COMPUTED_VALUE"""),18.0)</f>
        <v>18</v>
      </c>
      <c r="G2327" s="86">
        <f>IFERROR(__xludf.DUMMYFUNCTION("""COMPUTED_VALUE"""),14.0)</f>
        <v>14</v>
      </c>
      <c r="H2327" s="86">
        <f>IFERROR(__xludf.DUMMYFUNCTION("""COMPUTED_VALUE"""),0.5625)</f>
        <v>0.5625</v>
      </c>
      <c r="I2327" s="86">
        <f>IFERROR(__xludf.DUMMYFUNCTION("""COMPUTED_VALUE"""),0.34444444444444444)</f>
        <v>0.3444444444</v>
      </c>
      <c r="J2327" s="82">
        <f>IFERROR(__xludf.DUMMYFUNCTION("""COMPUTED_VALUE"""),383.71875)</f>
        <v>383.71875</v>
      </c>
      <c r="K2327" s="82">
        <f>IFERROR(__xludf.DUMMYFUNCTION("""COMPUTED_VALUE"""),0.96875)</f>
        <v>0.96875</v>
      </c>
      <c r="L2327" s="82">
        <f>IFERROR(__xludf.DUMMYFUNCTION("""COMPUTED_VALUE"""),0.5)</f>
        <v>0.5</v>
      </c>
      <c r="M2327" s="82">
        <f>IFERROR(__xludf.DUMMYFUNCTION("""COMPUTED_VALUE"""),1.5625)</f>
        <v>1.5625</v>
      </c>
      <c r="N2327" s="82">
        <f>IFERROR(__xludf.DUMMYFUNCTION("""COMPUTED_VALUE"""),2.8125)</f>
        <v>2.8125</v>
      </c>
      <c r="O2327" s="82">
        <f>IFERROR(__xludf.DUMMYFUNCTION("""COMPUTED_VALUE"""),347.15624999999994)</f>
        <v>347.15625</v>
      </c>
      <c r="P2327" s="82">
        <f>IFERROR(__xludf.DUMMYFUNCTION("""COMPUTED_VALUE"""),0.78125)</f>
        <v>0.78125</v>
      </c>
      <c r="Q2327" s="82">
        <f>IFERROR(__xludf.DUMMYFUNCTION("""COMPUTED_VALUE"""),0.5833333333333333)</f>
        <v>0.5833333333</v>
      </c>
      <c r="R2327" s="82">
        <f>IFERROR(__xludf.DUMMYFUNCTION("""COMPUTED_VALUE"""),1.3125000000000002)</f>
        <v>1.3125</v>
      </c>
      <c r="S2327" s="82">
        <f>IFERROR(__xludf.DUMMYFUNCTION("""COMPUTED_VALUE"""),2.635416666666666)</f>
        <v>2.635416667</v>
      </c>
      <c r="T2327" s="82">
        <f>IFERROR(__xludf.DUMMYFUNCTION("""COMPUTED_VALUE"""),330.446850180411)</f>
        <v>330.4468502</v>
      </c>
      <c r="U2327" s="82">
        <f>IFERROR(__xludf.DUMMYFUNCTION("""COMPUTED_VALUE"""),0.7305781860085017)</f>
        <v>0.730578186</v>
      </c>
      <c r="V2327" s="82">
        <f>IFERROR(__xludf.DUMMYFUNCTION("""COMPUTED_VALUE"""),0.5066145759200308)</f>
        <v>0.5066145759</v>
      </c>
      <c r="W2327" s="82">
        <f>IFERROR(__xludf.DUMMYFUNCTION("""COMPUTED_VALUE"""),1.2241101199047897)</f>
        <v>1.22411012</v>
      </c>
      <c r="X2327" s="82">
        <f>IFERROR(__xludf.DUMMYFUNCTION("""COMPUTED_VALUE"""),2.465705240639669)</f>
        <v>2.465705241</v>
      </c>
      <c r="Y2327" s="82">
        <f>IFERROR(__xludf.DUMMYFUNCTION("""COMPUTED_VALUE"""),329.9615513359829)</f>
        <v>329.9615513</v>
      </c>
      <c r="Z2327" s="82">
        <f>IFERROR(__xludf.DUMMYFUNCTION("""COMPUTED_VALUE"""),0.7292725287628526)</f>
        <v>0.7292725288</v>
      </c>
      <c r="AA2327" s="82">
        <f>IFERROR(__xludf.DUMMYFUNCTION("""COMPUTED_VALUE"""),0.5030737486778853)</f>
        <v>0.5030737487</v>
      </c>
      <c r="AB2327" s="82">
        <f>IFERROR(__xludf.DUMMYFUNCTION("""COMPUTED_VALUE"""),1.254465469060495)</f>
        <v>1.254465469</v>
      </c>
      <c r="AC2327" s="82">
        <f>IFERROR(__xludf.DUMMYFUNCTION("""COMPUTED_VALUE"""),2.352130927620573)</f>
        <v>2.352130928</v>
      </c>
      <c r="AD2327" s="82">
        <f>IFERROR(__xludf.DUMMYFUNCTION("""COMPUTED_VALUE"""),1.162919583952613)</f>
        <v>1.162919584</v>
      </c>
      <c r="AE2327" s="82">
        <f>IFERROR(__xludf.DUMMYFUNCTION("""COMPUTED_VALUE"""),1.3283785715107082)</f>
        <v>1.328378572</v>
      </c>
      <c r="AF2327" s="82">
        <f>IFERROR(__xludf.DUMMYFUNCTION("""COMPUTED_VALUE"""),0.9938900634629348)</f>
        <v>0.9938900635</v>
      </c>
      <c r="AG2327" s="82">
        <f>IFERROR(__xludf.DUMMYFUNCTION("""COMPUTED_VALUE"""),1.245550426485793)</f>
        <v>1.245550426</v>
      </c>
      <c r="AH2327" s="82">
        <f>IFERROR(__xludf.DUMMYFUNCTION("""COMPUTED_VALUE"""),1.1957242545359235)</f>
        <v>1.195724255</v>
      </c>
      <c r="AI2327" s="82">
        <f>IFERROR(__xludf.DUMMYFUNCTION("""COMPUTED_VALUE"""),1.0505660738193336)</f>
        <v>1.050566074</v>
      </c>
      <c r="AJ2327" s="82">
        <f>IFERROR(__xludf.DUMMYFUNCTION("""COMPUTED_VALUE"""),1.0693585094134042)</f>
        <v>1.069358509</v>
      </c>
      <c r="AK2327" s="82">
        <f>IFERROR(__xludf.DUMMYFUNCTION("""COMPUTED_VALUE"""),1.1514341692083738)</f>
        <v>1.151434169</v>
      </c>
      <c r="AL2327" s="82">
        <f>IFERROR(__xludf.DUMMYFUNCTION("""COMPUTED_VALUE"""),1.072207458020268)</f>
        <v>1.072207458</v>
      </c>
      <c r="AM2327" s="82">
        <f>IFERROR(__xludf.DUMMYFUNCTION("""COMPUTED_VALUE"""),1.068828756669621)</f>
        <v>1.068828757</v>
      </c>
      <c r="AN2327" s="82">
        <f>IFERROR(__xludf.DUMMYFUNCTION("""COMPUTED_VALUE"""),1.1673405450876493)</f>
        <v>1.167340545</v>
      </c>
      <c r="AO2327" s="82">
        <f>IFERROR(__xludf.DUMMYFUNCTION("""COMPUTED_VALUE"""),1.2775357591752576)</f>
        <v>1.277535759</v>
      </c>
      <c r="AP2327" s="82">
        <f>IFERROR(__xludf.DUMMYFUNCTION("""COMPUTED_VALUE"""),0.9697028855024696)</f>
        <v>0.9697028855</v>
      </c>
      <c r="AQ2327" s="82">
        <f>IFERROR(__xludf.DUMMYFUNCTION("""COMPUTED_VALUE"""),1.3029496720889089)</f>
        <v>1.302949672</v>
      </c>
      <c r="AR2327" s="82">
        <f>IFERROR(__xludf.DUMMYFUNCTION("""COMPUTED_VALUE"""),1.1724917025948456)</f>
        <v>1.172491703</v>
      </c>
      <c r="AS2327" s="82">
        <f>IFERROR(__xludf.DUMMYFUNCTION("""COMPUTED_VALUE"""),72.0)</f>
        <v>72</v>
      </c>
      <c r="AT2327" s="82">
        <f>IFERROR(__xludf.DUMMYFUNCTION("""COMPUTED_VALUE"""),0.4841972892314587)</f>
        <v>0.4841972892</v>
      </c>
      <c r="AU2327" s="82">
        <f>IFERROR(__xludf.DUMMYFUNCTION("""COMPUTED_VALUE"""),3.6711427008536224)</f>
        <v>3.671142701</v>
      </c>
      <c r="AV2327" s="82">
        <f>IFERROR(__xludf.DUMMYFUNCTION("""COMPUTED_VALUE"""),67.66301602900003)</f>
        <v>67.66301603</v>
      </c>
      <c r="AW2327" s="82">
        <f t="shared" si="1"/>
        <v>4.1678439</v>
      </c>
      <c r="AX2327" s="83">
        <f t="array" ref="AX2327">IFERROR(DGET('SBV Import'!A:G,"SBV",{"RSC ID","Tier";B2327,A2327}))</f>
        <v>61.27466685</v>
      </c>
      <c r="AY2327" s="82">
        <f t="shared" si="2"/>
        <v>3.067488646</v>
      </c>
      <c r="AZ2327" s="82">
        <v>1.1003552542310864</v>
      </c>
      <c r="BA2327" s="84">
        <v>2300.0</v>
      </c>
      <c r="BB2327" s="84" t="b">
        <f>IFERROR(__xludf.DUMMYFUNCTION("iferror(if(A2327="""",,E2327&gt;=FILTER(Constants!$F$2:$F$10,Constants!$A$2:$A$10=A2327)))"),TRUE)</f>
        <v>1</v>
      </c>
    </row>
    <row r="2328">
      <c r="A2328" s="89" t="str">
        <f>IFERROR(__xludf.DUMMYFUNCTION("""COMPUTED_VALUE"""),"Challenger")</f>
        <v>Challenger</v>
      </c>
      <c r="B2328" s="87" t="str">
        <f>IFERROR(__xludf.DUMMYFUNCTION("""COMPUTED_VALUE"""),"RSC007626")</f>
        <v>RSC007626</v>
      </c>
      <c r="C2328" s="73" t="str">
        <f>IFERROR(__xludf.DUMMYFUNCTION("""COMPUTED_VALUE"""),"ACDye2")</f>
        <v>ACDye2</v>
      </c>
      <c r="D2328" s="73" t="str">
        <f>IFERROR(__xludf.DUMMYFUNCTION("""COMPUTED_VALUE"""),"Squalls")</f>
        <v>Squalls</v>
      </c>
      <c r="E2328" s="82">
        <f>IFERROR(__xludf.DUMMYFUNCTION("""COMPUTED_VALUE"""),30.0)</f>
        <v>30</v>
      </c>
      <c r="F2328" s="82">
        <f>IFERROR(__xludf.DUMMYFUNCTION("""COMPUTED_VALUE"""),16.0)</f>
        <v>16</v>
      </c>
      <c r="G2328" s="86">
        <f>IFERROR(__xludf.DUMMYFUNCTION("""COMPUTED_VALUE"""),14.0)</f>
        <v>14</v>
      </c>
      <c r="H2328" s="86">
        <f>IFERROR(__xludf.DUMMYFUNCTION("""COMPUTED_VALUE"""),0.5333333333333333)</f>
        <v>0.5333333333</v>
      </c>
      <c r="I2328" s="86">
        <f>IFERROR(__xludf.DUMMYFUNCTION("""COMPUTED_VALUE"""),0.2588235294117647)</f>
        <v>0.2588235294</v>
      </c>
      <c r="J2328" s="82">
        <f>IFERROR(__xludf.DUMMYFUNCTION("""COMPUTED_VALUE"""),358.6666666666667)</f>
        <v>358.6666667</v>
      </c>
      <c r="K2328" s="82">
        <f>IFERROR(__xludf.DUMMYFUNCTION("""COMPUTED_VALUE"""),0.7333333333333333)</f>
        <v>0.7333333333</v>
      </c>
      <c r="L2328" s="82">
        <f>IFERROR(__xludf.DUMMYFUNCTION("""COMPUTED_VALUE"""),0.5)</f>
        <v>0.5</v>
      </c>
      <c r="M2328" s="82">
        <f>IFERROR(__xludf.DUMMYFUNCTION("""COMPUTED_VALUE"""),1.3666666666666667)</f>
        <v>1.366666667</v>
      </c>
      <c r="N2328" s="82">
        <f>IFERROR(__xludf.DUMMYFUNCTION("""COMPUTED_VALUE"""),2.8333333333333335)</f>
        <v>2.833333333</v>
      </c>
      <c r="O2328" s="82">
        <f>IFERROR(__xludf.DUMMYFUNCTION("""COMPUTED_VALUE"""),324.24444444444435)</f>
        <v>324.2444444</v>
      </c>
      <c r="P2328" s="82">
        <f>IFERROR(__xludf.DUMMYFUNCTION("""COMPUTED_VALUE"""),0.6333333333333332)</f>
        <v>0.6333333333</v>
      </c>
      <c r="Q2328" s="82">
        <f>IFERROR(__xludf.DUMMYFUNCTION("""COMPUTED_VALUE"""),0.4000000000000001)</f>
        <v>0.4</v>
      </c>
      <c r="R2328" s="82">
        <f>IFERROR(__xludf.DUMMYFUNCTION("""COMPUTED_VALUE"""),1.4444444444444442)</f>
        <v>1.444444444</v>
      </c>
      <c r="S2328" s="82">
        <f>IFERROR(__xludf.DUMMYFUNCTION("""COMPUTED_VALUE"""),2.155555555555556)</f>
        <v>2.155555556</v>
      </c>
      <c r="T2328" s="82">
        <f>IFERROR(__xludf.DUMMYFUNCTION("""COMPUTED_VALUE"""),338.6455646997075)</f>
        <v>338.6455647</v>
      </c>
      <c r="U2328" s="82">
        <f>IFERROR(__xludf.DUMMYFUNCTION("""COMPUTED_VALUE"""),0.8027807219221714)</f>
        <v>0.8027807219</v>
      </c>
      <c r="V2328" s="82">
        <f>IFERROR(__xludf.DUMMYFUNCTION("""COMPUTED_VALUE"""),0.5257560115773882)</f>
        <v>0.5257560116</v>
      </c>
      <c r="W2328" s="82">
        <f>IFERROR(__xludf.DUMMYFUNCTION("""COMPUTED_VALUE"""),1.1959537825581414)</f>
        <v>1.195953783</v>
      </c>
      <c r="X2328" s="82">
        <f>IFERROR(__xludf.DUMMYFUNCTION("""COMPUTED_VALUE"""),2.461350846508864)</f>
        <v>2.461350847</v>
      </c>
      <c r="Y2328" s="82">
        <f>IFERROR(__xludf.DUMMYFUNCTION("""COMPUTED_VALUE"""),320.26712176804347)</f>
        <v>320.2671218</v>
      </c>
      <c r="Z2328" s="82">
        <f>IFERROR(__xludf.DUMMYFUNCTION("""COMPUTED_VALUE"""),0.6747224002080282)</f>
        <v>0.6747224002</v>
      </c>
      <c r="AA2328" s="82">
        <f>IFERROR(__xludf.DUMMYFUNCTION("""COMPUTED_VALUE"""),0.4635931756134382)</f>
        <v>0.4635931756</v>
      </c>
      <c r="AB2328" s="82">
        <f>IFERROR(__xludf.DUMMYFUNCTION("""COMPUTED_VALUE"""),1.1917994345182703)</f>
        <v>1.191799435</v>
      </c>
      <c r="AC2328" s="82">
        <f>IFERROR(__xludf.DUMMYFUNCTION("""COMPUTED_VALUE"""),2.330033236198721)</f>
        <v>2.330033236</v>
      </c>
      <c r="AD2328" s="82">
        <f>IFERROR(__xludf.DUMMYFUNCTION("""COMPUTED_VALUE"""),1.1198984918796455)</f>
        <v>1.119898492</v>
      </c>
      <c r="AE2328" s="82">
        <f>IFERROR(__xludf.DUMMYFUNCTION("""COMPUTED_VALUE"""),1.086866736760532)</f>
        <v>1.086866737</v>
      </c>
      <c r="AF2328" s="82">
        <f>IFERROR(__xludf.DUMMYFUNCTION("""COMPUTED_VALUE"""),1.0785318384775344)</f>
        <v>1.078531838</v>
      </c>
      <c r="AG2328" s="82">
        <f>IFERROR(__xludf.DUMMYFUNCTION("""COMPUTED_VALUE"""),1.1467253860705835)</f>
        <v>1.146725386</v>
      </c>
      <c r="AH2328" s="82">
        <f>IFERROR(__xludf.DUMMYFUNCTION("""COMPUTED_VALUE"""),1.2160055441765758)</f>
        <v>1.216005544</v>
      </c>
      <c r="AI2328" s="82">
        <f>IFERROR(__xludf.DUMMYFUNCTION("""COMPUTED_VALUE"""),0.9574743573918256)</f>
        <v>0.9574743574</v>
      </c>
      <c r="AJ2328" s="82">
        <f>IFERROR(__xludf.DUMMYFUNCTION("""COMPUTED_VALUE"""),0.7889244423021086)</f>
        <v>0.7889244423</v>
      </c>
      <c r="AK2328" s="82">
        <f>IFERROR(__xludf.DUMMYFUNCTION("""COMPUTED_VALUE"""),0.7608091799082024)</f>
        <v>0.7608091799</v>
      </c>
      <c r="AL2328" s="82">
        <f>IFERROR(__xludf.DUMMYFUNCTION("""COMPUTED_VALUE"""),1.207776141110388)</f>
        <v>1.207776141</v>
      </c>
      <c r="AM2328" s="82">
        <f>IFERROR(__xludf.DUMMYFUNCTION("""COMPUTED_VALUE"""),0.8757611937416226)</f>
        <v>0.8757611937</v>
      </c>
      <c r="AN2328" s="82">
        <f>IFERROR(__xludf.DUMMYFUNCTION("""COMPUTED_VALUE"""),1.0911276610054548)</f>
        <v>1.091127661</v>
      </c>
      <c r="AO2328" s="82">
        <f>IFERROR(__xludf.DUMMYFUNCTION("""COMPUTED_VALUE"""),0.967080832752023)</f>
        <v>0.9670808328</v>
      </c>
      <c r="AP2328" s="82">
        <f>IFERROR(__xludf.DUMMYFUNCTION("""COMPUTED_VALUE"""),0.9697028855024696)</f>
        <v>0.9697028855</v>
      </c>
      <c r="AQ2328" s="82">
        <f>IFERROR(__xludf.DUMMYFUNCTION("""COMPUTED_VALUE"""),1.1396466465204322)</f>
        <v>1.139646647</v>
      </c>
      <c r="AR2328" s="82">
        <f>IFERROR(__xludf.DUMMYFUNCTION("""COMPUTED_VALUE"""),1.1811768263177702)</f>
        <v>1.181176826</v>
      </c>
      <c r="AS2328" s="82">
        <f>IFERROR(__xludf.DUMMYFUNCTION("""COMPUTED_VALUE"""),65.0)</f>
        <v>65</v>
      </c>
      <c r="AT2328" s="82">
        <f>IFERROR(__xludf.DUMMYFUNCTION("""COMPUTED_VALUE"""),0.5489532807110372)</f>
        <v>0.5489532807</v>
      </c>
      <c r="AU2328" s="82">
        <f>IFERROR(__xludf.DUMMYFUNCTION("""COMPUTED_VALUE"""),3.6661535421604725)</f>
        <v>3.666153542</v>
      </c>
      <c r="AV2328" s="82">
        <f>IFERROR(__xludf.DUMMYFUNCTION("""COMPUTED_VALUE"""),67.53109190825269)</f>
        <v>67.53109191</v>
      </c>
      <c r="AW2328" s="82">
        <f t="shared" si="1"/>
        <v>4.139492991</v>
      </c>
      <c r="AX2328" s="83">
        <f t="array" ref="AX2328">IFERROR(DGET('SBV Import'!A:G,"SBV",{"RSC ID","Tier";B2328,A2328}))</f>
        <v>65.83780783</v>
      </c>
      <c r="AY2328" s="82">
        <f t="shared" si="2"/>
        <v>3.799398287</v>
      </c>
      <c r="AZ2328" s="82">
        <v>0.34009470441338907</v>
      </c>
      <c r="BA2328" s="84">
        <v>2300.0</v>
      </c>
      <c r="BB2328" s="84" t="b">
        <f>IFERROR(__xludf.DUMMYFUNCTION("iferror(if(A2328="""",,E2328&gt;=FILTER(Constants!$F$2:$F$10,Constants!$A$2:$A$10=A2328)))"),TRUE)</f>
        <v>1</v>
      </c>
    </row>
    <row r="2329">
      <c r="A2329" s="89" t="str">
        <f>IFERROR(__xludf.DUMMYFUNCTION("""COMPUTED_VALUE"""),"Challenger")</f>
        <v>Challenger</v>
      </c>
      <c r="B2329" s="87" t="str">
        <f>IFERROR(__xludf.DUMMYFUNCTION("""COMPUTED_VALUE"""),"RSC004681")</f>
        <v>RSC004681</v>
      </c>
      <c r="C2329" s="73" t="str">
        <f>IFERROR(__xludf.DUMMYFUNCTION("""COMPUTED_VALUE"""),"Speciial_Eddy")</f>
        <v>Speciial_Eddy</v>
      </c>
      <c r="D2329" s="73" t="str">
        <f>IFERROR(__xludf.DUMMYFUNCTION("""COMPUTED_VALUE"""),"Jock O Lanterns")</f>
        <v>Jock O Lanterns</v>
      </c>
      <c r="E2329" s="82">
        <f>IFERROR(__xludf.DUMMYFUNCTION("""COMPUTED_VALUE"""),11.0)</f>
        <v>11</v>
      </c>
      <c r="F2329" s="82">
        <f>IFERROR(__xludf.DUMMYFUNCTION("""COMPUTED_VALUE"""),7.0)</f>
        <v>7</v>
      </c>
      <c r="G2329" s="86">
        <f>IFERROR(__xludf.DUMMYFUNCTION("""COMPUTED_VALUE"""),4.0)</f>
        <v>4</v>
      </c>
      <c r="H2329" s="86">
        <f>IFERROR(__xludf.DUMMYFUNCTION("""COMPUTED_VALUE"""),0.6363636363636364)</f>
        <v>0.6363636364</v>
      </c>
      <c r="I2329" s="86">
        <f>IFERROR(__xludf.DUMMYFUNCTION("""COMPUTED_VALUE"""),0.2571428571428572)</f>
        <v>0.2571428571</v>
      </c>
      <c r="J2329" s="82">
        <f>IFERROR(__xludf.DUMMYFUNCTION("""COMPUTED_VALUE"""),375.6363636363636)</f>
        <v>375.6363636</v>
      </c>
      <c r="K2329" s="82">
        <f>IFERROR(__xludf.DUMMYFUNCTION("""COMPUTED_VALUE"""),0.8181818181818182)</f>
        <v>0.8181818182</v>
      </c>
      <c r="L2329" s="82">
        <f>IFERROR(__xludf.DUMMYFUNCTION("""COMPUTED_VALUE"""),0.5454545454545454)</f>
        <v>0.5454545455</v>
      </c>
      <c r="M2329" s="82">
        <f>IFERROR(__xludf.DUMMYFUNCTION("""COMPUTED_VALUE"""),1.6363636363636365)</f>
        <v>1.636363636</v>
      </c>
      <c r="N2329" s="82">
        <f>IFERROR(__xludf.DUMMYFUNCTION("""COMPUTED_VALUE"""),3.1818181818181817)</f>
        <v>3.181818182</v>
      </c>
      <c r="O2329" s="82">
        <f>IFERROR(__xludf.DUMMYFUNCTION("""COMPUTED_VALUE"""),395.3636363636364)</f>
        <v>395.3636364</v>
      </c>
      <c r="P2329" s="82">
        <f>IFERROR(__xludf.DUMMYFUNCTION("""COMPUTED_VALUE"""),0.8484848484848485)</f>
        <v>0.8484848485</v>
      </c>
      <c r="Q2329" s="82">
        <f>IFERROR(__xludf.DUMMYFUNCTION("""COMPUTED_VALUE"""),0.606060606060606)</f>
        <v>0.6060606061</v>
      </c>
      <c r="R2329" s="82">
        <f>IFERROR(__xludf.DUMMYFUNCTION("""COMPUTED_VALUE"""),1.5454545454545454)</f>
        <v>1.545454545</v>
      </c>
      <c r="S2329" s="82">
        <f>IFERROR(__xludf.DUMMYFUNCTION("""COMPUTED_VALUE"""),2.8181818181818183)</f>
        <v>2.818181818</v>
      </c>
      <c r="T2329" s="82">
        <f>IFERROR(__xludf.DUMMYFUNCTION("""COMPUTED_VALUE"""),339.39131220210766)</f>
        <v>339.3913122</v>
      </c>
      <c r="U2329" s="82">
        <f>IFERROR(__xludf.DUMMYFUNCTION("""COMPUTED_VALUE"""),0.8072199265381084)</f>
        <v>0.8072199265</v>
      </c>
      <c r="V2329" s="82">
        <f>IFERROR(__xludf.DUMMYFUNCTION("""COMPUTED_VALUE"""),0.6390878481787573)</f>
        <v>0.6390878482</v>
      </c>
      <c r="W2329" s="82">
        <f>IFERROR(__xludf.DUMMYFUNCTION("""COMPUTED_VALUE"""),1.14400443832262)</f>
        <v>1.144004438</v>
      </c>
      <c r="X2329" s="82">
        <f>IFERROR(__xludf.DUMMYFUNCTION("""COMPUTED_VALUE"""),2.5425950522541436)</f>
        <v>2.542595052</v>
      </c>
      <c r="Y2329" s="82">
        <f>IFERROR(__xludf.DUMMYFUNCTION("""COMPUTED_VALUE"""),334.97252512498727)</f>
        <v>334.9725251</v>
      </c>
      <c r="Z2329" s="82">
        <f>IFERROR(__xludf.DUMMYFUNCTION("""COMPUTED_VALUE"""),0.7787292113049687)</f>
        <v>0.7787292113</v>
      </c>
      <c r="AA2329" s="82">
        <f>IFERROR(__xludf.DUMMYFUNCTION("""COMPUTED_VALUE"""),0.5311156296004781)</f>
        <v>0.5311156296</v>
      </c>
      <c r="AB2329" s="82">
        <f>IFERROR(__xludf.DUMMYFUNCTION("""COMPUTED_VALUE"""),1.2466974033261915)</f>
        <v>1.246697403</v>
      </c>
      <c r="AC2329" s="82">
        <f>IFERROR(__xludf.DUMMYFUNCTION("""COMPUTED_VALUE"""),2.4045320630547904)</f>
        <v>2.404532063</v>
      </c>
      <c r="AD2329" s="82">
        <f>IFERROR(__xludf.DUMMYFUNCTION("""COMPUTED_VALUE"""),1.1213945486908323)</f>
        <v>1.121394549</v>
      </c>
      <c r="AE2329" s="82">
        <f>IFERROR(__xludf.DUMMYFUNCTION("""COMPUTED_VALUE"""),1.0506628058946654)</f>
        <v>1.050662806</v>
      </c>
      <c r="AF2329" s="82">
        <f>IFERROR(__xludf.DUMMYFUNCTION("""COMPUTED_VALUE"""),1.0269977290347367)</f>
        <v>1.026997729</v>
      </c>
      <c r="AG2329" s="82">
        <f>IFERROR(__xludf.DUMMYFUNCTION("""COMPUTED_VALUE"""),1.3125587909285883)</f>
        <v>1.312558791</v>
      </c>
      <c r="AH2329" s="82">
        <f>IFERROR(__xludf.DUMMYFUNCTION("""COMPUTED_VALUE"""),1.32325878731511)</f>
        <v>1.323258787</v>
      </c>
      <c r="AI2329" s="82">
        <f>IFERROR(__xludf.DUMMYFUNCTION("""COMPUTED_VALUE"""),1.1649197317349043)</f>
        <v>1.164919732</v>
      </c>
      <c r="AJ2329" s="82">
        <f>IFERROR(__xludf.DUMMYFUNCTION("""COMPUTED_VALUE"""),1.0511198009242801)</f>
        <v>1.051119801</v>
      </c>
      <c r="AK2329" s="82">
        <f>IFERROR(__xludf.DUMMYFUNCTION("""COMPUTED_VALUE"""),0.9483212797547773)</f>
        <v>0.9483212798</v>
      </c>
      <c r="AL2329" s="82">
        <f>IFERROR(__xludf.DUMMYFUNCTION("""COMPUTED_VALUE"""),1.3509165643802448)</f>
        <v>1.350916564</v>
      </c>
      <c r="AM2329" s="82">
        <f>IFERROR(__xludf.DUMMYFUNCTION("""COMPUTED_VALUE"""),1.108387989539802)</f>
        <v>1.10838799</v>
      </c>
      <c r="AN2329" s="82">
        <f>IFERROR(__xludf.DUMMYFUNCTION("""COMPUTED_VALUE"""),1.1427524911983455)</f>
        <v>1.142752491</v>
      </c>
      <c r="AO2329" s="82">
        <f>IFERROR(__xludf.DUMMYFUNCTION("""COMPUTED_VALUE"""),1.078974482822505)</f>
        <v>1.078974483</v>
      </c>
      <c r="AP2329" s="82">
        <f>IFERROR(__xludf.DUMMYFUNCTION("""COMPUTED_VALUE"""),1.0578576932754213)</f>
        <v>1.057857693</v>
      </c>
      <c r="AQ2329" s="82">
        <f>IFERROR(__xludf.DUMMYFUNCTION("""COMPUTED_VALUE"""),1.3645436565876572)</f>
        <v>1.364543657</v>
      </c>
      <c r="AR2329" s="82">
        <f>IFERROR(__xludf.DUMMYFUNCTION("""COMPUTED_VALUE"""),1.3264552595012393)</f>
        <v>1.32645526</v>
      </c>
      <c r="AS2329" s="82">
        <f>IFERROR(__xludf.DUMMYFUNCTION("""COMPUTED_VALUE"""),30.0)</f>
        <v>30</v>
      </c>
      <c r="AT2329" s="82">
        <f>IFERROR(__xludf.DUMMYFUNCTION("""COMPUTED_VALUE"""),0.5277665116738786)</f>
        <v>0.5277665117</v>
      </c>
      <c r="AU2329" s="82">
        <f>IFERROR(__xludf.DUMMYFUNCTION("""COMPUTED_VALUE"""),3.6419391120870017)</f>
        <v>3.641939112</v>
      </c>
      <c r="AV2329" s="82">
        <f>IFERROR(__xludf.DUMMYFUNCTION("""COMPUTED_VALUE"""),66.89081013064026)</f>
        <v>66.89081013</v>
      </c>
      <c r="AW2329" s="82">
        <f t="shared" si="1"/>
        <v>4.005815949</v>
      </c>
      <c r="AX2329" s="83">
        <f t="array" ref="AX2329">IFERROR(DGET('SBV Import'!A:G,"SBV",{"RSC ID","Tier";B2329,A2329}))</f>
        <v>45.43728313</v>
      </c>
      <c r="AY2329" s="82">
        <f t="shared" si="2"/>
        <v>-2.33867923</v>
      </c>
      <c r="AZ2329" s="82">
        <v>6.344495178853979</v>
      </c>
      <c r="BA2329" s="84">
        <v>2300.0</v>
      </c>
      <c r="BB2329" s="84" t="b">
        <f>IFERROR(__xludf.DUMMYFUNCTION("iferror(if(A2329="""",,E2329&gt;=FILTER(Constants!$F$2:$F$10,Constants!$A$2:$A$10=A2329)))"),TRUE)</f>
        <v>1</v>
      </c>
    </row>
    <row r="2330">
      <c r="A2330" s="89" t="str">
        <f>IFERROR(__xludf.DUMMYFUNCTION("""COMPUTED_VALUE"""),"Challenger")</f>
        <v>Challenger</v>
      </c>
      <c r="B2330" s="87" t="str">
        <f>IFERROR(__xludf.DUMMYFUNCTION("""COMPUTED_VALUE"""),"RSC006353")</f>
        <v>RSC006353</v>
      </c>
      <c r="C2330" s="73" t="str">
        <f>IFERROR(__xludf.DUMMYFUNCTION("""COMPUTED_VALUE"""),"Novarchite")</f>
        <v>Novarchite</v>
      </c>
      <c r="D2330" s="73"/>
      <c r="E2330" s="82">
        <f>IFERROR(__xludf.DUMMYFUNCTION("""COMPUTED_VALUE"""),4.0)</f>
        <v>4</v>
      </c>
      <c r="F2330" s="82">
        <f>IFERROR(__xludf.DUMMYFUNCTION("""COMPUTED_VALUE"""),3.0)</f>
        <v>3</v>
      </c>
      <c r="G2330" s="86">
        <f>IFERROR(__xludf.DUMMYFUNCTION("""COMPUTED_VALUE"""),1.0)</f>
        <v>1</v>
      </c>
      <c r="H2330" s="86">
        <f>IFERROR(__xludf.DUMMYFUNCTION("""COMPUTED_VALUE"""),0.75)</f>
        <v>0.75</v>
      </c>
      <c r="I2330" s="86">
        <f>IFERROR(__xludf.DUMMYFUNCTION("""COMPUTED_VALUE"""),0.13333333333333333)</f>
        <v>0.1333333333</v>
      </c>
      <c r="J2330" s="82">
        <f>IFERROR(__xludf.DUMMYFUNCTION("""COMPUTED_VALUE"""),270.0)</f>
        <v>270</v>
      </c>
      <c r="K2330" s="82">
        <f>IFERROR(__xludf.DUMMYFUNCTION("""COMPUTED_VALUE"""),0.5)</f>
        <v>0.5</v>
      </c>
      <c r="L2330" s="82">
        <f>IFERROR(__xludf.DUMMYFUNCTION("""COMPUTED_VALUE"""),0.75)</f>
        <v>0.75</v>
      </c>
      <c r="M2330" s="82">
        <f>IFERROR(__xludf.DUMMYFUNCTION("""COMPUTED_VALUE"""),0.5)</f>
        <v>0.5</v>
      </c>
      <c r="N2330" s="82">
        <f>IFERROR(__xludf.DUMMYFUNCTION("""COMPUTED_VALUE"""),3.75)</f>
        <v>3.75</v>
      </c>
      <c r="O2330" s="82">
        <f>IFERROR(__xludf.DUMMYFUNCTION("""COMPUTED_VALUE"""),293.5)</f>
        <v>293.5</v>
      </c>
      <c r="P2330" s="82">
        <f>IFERROR(__xludf.DUMMYFUNCTION("""COMPUTED_VALUE"""),0.49999999999999994)</f>
        <v>0.5</v>
      </c>
      <c r="Q2330" s="82">
        <f>IFERROR(__xludf.DUMMYFUNCTION("""COMPUTED_VALUE"""),0.25)</f>
        <v>0.25</v>
      </c>
      <c r="R2330" s="82">
        <f>IFERROR(__xludf.DUMMYFUNCTION("""COMPUTED_VALUE"""),1.4166666666666665)</f>
        <v>1.416666667</v>
      </c>
      <c r="S2330" s="82">
        <f>IFERROR(__xludf.DUMMYFUNCTION("""COMPUTED_VALUE"""),1.75)</f>
        <v>1.75</v>
      </c>
      <c r="T2330" s="82">
        <f>IFERROR(__xludf.DUMMYFUNCTION("""COMPUTED_VALUE"""),334.767894265233)</f>
        <v>334.7678943</v>
      </c>
      <c r="U2330" s="82">
        <f>IFERROR(__xludf.DUMMYFUNCTION("""COMPUTED_VALUE"""),0.611356886840758)</f>
        <v>0.6113568868</v>
      </c>
      <c r="V2330" s="82">
        <f>IFERROR(__xludf.DUMMYFUNCTION("""COMPUTED_VALUE"""),0.42346390168970816)</f>
        <v>0.4234639017</v>
      </c>
      <c r="W2330" s="82">
        <f>IFERROR(__xludf.DUMMYFUNCTION("""COMPUTED_VALUE"""),1.4985215053763443)</f>
        <v>1.498521505</v>
      </c>
      <c r="X2330" s="82">
        <f>IFERROR(__xludf.DUMMYFUNCTION("""COMPUTED_VALUE"""),2.007153097798259)</f>
        <v>2.007153098</v>
      </c>
      <c r="Y2330" s="82">
        <f>IFERROR(__xludf.DUMMYFUNCTION("""COMPUTED_VALUE"""),346.637585338795)</f>
        <v>346.6375853</v>
      </c>
      <c r="Z2330" s="82">
        <f>IFERROR(__xludf.DUMMYFUNCTION("""COMPUTED_VALUE"""),0.7762877624167948)</f>
        <v>0.7762877624</v>
      </c>
      <c r="AA2330" s="82">
        <f>IFERROR(__xludf.DUMMYFUNCTION("""COMPUTED_VALUE"""),0.5471142686465265)</f>
        <v>0.5471142686</v>
      </c>
      <c r="AB2330" s="82">
        <f>IFERROR(__xludf.DUMMYFUNCTION("""COMPUTED_VALUE"""),1.0394593787335722)</f>
        <v>1.039459379</v>
      </c>
      <c r="AC2330" s="82">
        <f>IFERROR(__xludf.DUMMYFUNCTION("""COMPUTED_VALUE"""),2.891429424816522)</f>
        <v>2.891429425</v>
      </c>
      <c r="AD2330" s="82">
        <f>IFERROR(__xludf.DUMMYFUNCTION("""COMPUTED_VALUE"""),0.7789114955209161)</f>
        <v>0.7789114955</v>
      </c>
      <c r="AE2330" s="82">
        <f>IFERROR(__xludf.DUMMYFUNCTION("""COMPUTED_VALUE"""),0.6440910500036277)</f>
        <v>0.64409105</v>
      </c>
      <c r="AF2330" s="82">
        <f>IFERROR(__xludf.DUMMYFUNCTION("""COMPUTED_VALUE"""),1.3708288066684506)</f>
        <v>1.370828807</v>
      </c>
      <c r="AG2330" s="82">
        <f>IFERROR(__xludf.DUMMYFUNCTION("""COMPUTED_VALUE"""),0.48101927812626616)</f>
        <v>0.4810192781</v>
      </c>
      <c r="AH2330" s="82">
        <f>IFERROR(__xludf.DUMMYFUNCTION("""COMPUTED_VALUE"""),1.2969363761102208)</f>
        <v>1.296936376</v>
      </c>
      <c r="AI2330" s="82">
        <f>IFERROR(__xludf.DUMMYFUNCTION("""COMPUTED_VALUE"""),0.8767268457573865)</f>
        <v>0.8767268458</v>
      </c>
      <c r="AJ2330" s="82">
        <f>IFERROR(__xludf.DUMMYFUNCTION("""COMPUTED_VALUE"""),0.8178528953583809)</f>
        <v>0.8178528954</v>
      </c>
      <c r="AK2330" s="82">
        <f>IFERROR(__xludf.DUMMYFUNCTION("""COMPUTED_VALUE"""),0.5903690940418972)</f>
        <v>0.590369094</v>
      </c>
      <c r="AL2330" s="82">
        <f>IFERROR(__xludf.DUMMYFUNCTION("""COMPUTED_VALUE"""),0.9453762669297693)</f>
        <v>0.9453762669</v>
      </c>
      <c r="AM2330" s="82">
        <f>IFERROR(__xludf.DUMMYFUNCTION("""COMPUTED_VALUE"""),0.8718816725638207)</f>
        <v>0.8718816726</v>
      </c>
      <c r="AN2330" s="82">
        <f>IFERROR(__xludf.DUMMYFUNCTION("""COMPUTED_VALUE"""),0.8213879232476007)</f>
        <v>0.8213879232</v>
      </c>
      <c r="AO2330" s="82">
        <f>IFERROR(__xludf.DUMMYFUNCTION("""COMPUTED_VALUE"""),0.6593732950581975)</f>
        <v>0.6593732951</v>
      </c>
      <c r="AP2330" s="82">
        <f>IFERROR(__xludf.DUMMYFUNCTION("""COMPUTED_VALUE"""),1.4545543282537043)</f>
        <v>1.454554328</v>
      </c>
      <c r="AQ2330" s="82">
        <f>IFERROR(__xludf.DUMMYFUNCTION("""COMPUTED_VALUE"""),0.4169438950684508)</f>
        <v>0.4169438951</v>
      </c>
      <c r="AR2330" s="82">
        <f>IFERROR(__xludf.DUMMYFUNCTION("""COMPUTED_VALUE"""),1.5633222701264606)</f>
        <v>1.56332227</v>
      </c>
      <c r="AS2330" s="82">
        <f>IFERROR(__xludf.DUMMYFUNCTION("""COMPUTED_VALUE"""),13.0)</f>
        <v>13</v>
      </c>
      <c r="AT2330" s="82">
        <f>IFERROR(__xludf.DUMMYFUNCTION("""COMPUTED_VALUE"""),0.7701569207074537)</f>
        <v>0.7701569207</v>
      </c>
      <c r="AU2330" s="82">
        <f>IFERROR(__xludf.DUMMYFUNCTION("""COMPUTED_VALUE"""),3.6399411634906134)</f>
        <v>3.639941163</v>
      </c>
      <c r="AV2330" s="82">
        <f>IFERROR(__xludf.DUMMYFUNCTION("""COMPUTED_VALUE"""),66.83798005886106)</f>
        <v>66.83798006</v>
      </c>
      <c r="AW2330" s="82">
        <f t="shared" si="1"/>
        <v>3.995069792</v>
      </c>
      <c r="AX2330" s="83">
        <f t="array" ref="AX2330">IFERROR(DGET('SBV Import'!A:G,"SBV",{"RSC ID","Tier";B2330,A2330}))</f>
        <v>39.16340607</v>
      </c>
      <c r="AY2330" s="82">
        <f t="shared" si="2"/>
        <v>-3.00897627</v>
      </c>
      <c r="AZ2330" s="82">
        <v>7.004046061859354</v>
      </c>
      <c r="BA2330" s="84">
        <v>2300.0</v>
      </c>
      <c r="BB2330" s="84" t="b">
        <f>IFERROR(__xludf.DUMMYFUNCTION("iferror(if(A2330="""",,E2330&gt;=FILTER(Constants!$F$2:$F$10,Constants!$A$2:$A$10=A2330)))"),TRUE)</f>
        <v>1</v>
      </c>
    </row>
    <row r="2331">
      <c r="A2331" s="89" t="str">
        <f>IFERROR(__xludf.DUMMYFUNCTION("""COMPUTED_VALUE"""),"Challenger")</f>
        <v>Challenger</v>
      </c>
      <c r="B2331" s="87" t="str">
        <f>IFERROR(__xludf.DUMMYFUNCTION("""COMPUTED_VALUE"""),"RSC004059")</f>
        <v>RSC004059</v>
      </c>
      <c r="C2331" s="73" t="str">
        <f>IFERROR(__xludf.DUMMYFUNCTION("""COMPUTED_VALUE"""),"turboalpaca")</f>
        <v>turboalpaca</v>
      </c>
      <c r="D2331" s="73" t="str">
        <f>IFERROR(__xludf.DUMMYFUNCTION("""COMPUTED_VALUE"""),"Decuriones")</f>
        <v>Decuriones</v>
      </c>
      <c r="E2331" s="82">
        <f>IFERROR(__xludf.DUMMYFUNCTION("""COMPUTED_VALUE"""),25.0)</f>
        <v>25</v>
      </c>
      <c r="F2331" s="82">
        <f>IFERROR(__xludf.DUMMYFUNCTION("""COMPUTED_VALUE"""),15.0)</f>
        <v>15</v>
      </c>
      <c r="G2331" s="86">
        <f>IFERROR(__xludf.DUMMYFUNCTION("""COMPUTED_VALUE"""),10.0)</f>
        <v>10</v>
      </c>
      <c r="H2331" s="86">
        <f>IFERROR(__xludf.DUMMYFUNCTION("""COMPUTED_VALUE"""),0.6)</f>
        <v>0.6</v>
      </c>
      <c r="I2331" s="86">
        <f>IFERROR(__xludf.DUMMYFUNCTION("""COMPUTED_VALUE"""),0.3442622950819672)</f>
        <v>0.3442622951</v>
      </c>
      <c r="J2331" s="82">
        <f>IFERROR(__xludf.DUMMYFUNCTION("""COMPUTED_VALUE"""),327.04)</f>
        <v>327.04</v>
      </c>
      <c r="K2331" s="82">
        <f>IFERROR(__xludf.DUMMYFUNCTION("""COMPUTED_VALUE"""),0.84)</f>
        <v>0.84</v>
      </c>
      <c r="L2331" s="82">
        <f>IFERROR(__xludf.DUMMYFUNCTION("""COMPUTED_VALUE"""),0.72)</f>
        <v>0.72</v>
      </c>
      <c r="M2331" s="82">
        <f>IFERROR(__xludf.DUMMYFUNCTION("""COMPUTED_VALUE"""),0.88)</f>
        <v>0.88</v>
      </c>
      <c r="N2331" s="82">
        <f>IFERROR(__xludf.DUMMYFUNCTION("""COMPUTED_VALUE"""),2.44)</f>
        <v>2.44</v>
      </c>
      <c r="O2331" s="82">
        <f>IFERROR(__xludf.DUMMYFUNCTION("""COMPUTED_VALUE"""),296.87999999999994)</f>
        <v>296.88</v>
      </c>
      <c r="P2331" s="82">
        <f>IFERROR(__xludf.DUMMYFUNCTION("""COMPUTED_VALUE"""),0.5733333333333334)</f>
        <v>0.5733333333</v>
      </c>
      <c r="Q2331" s="82">
        <f>IFERROR(__xludf.DUMMYFUNCTION("""COMPUTED_VALUE"""),0.3999999999999999)</f>
        <v>0.4</v>
      </c>
      <c r="R2331" s="82">
        <f>IFERROR(__xludf.DUMMYFUNCTION("""COMPUTED_VALUE"""),1.2400000000000002)</f>
        <v>1.24</v>
      </c>
      <c r="S2331" s="82">
        <f>IFERROR(__xludf.DUMMYFUNCTION("""COMPUTED_VALUE"""),1.8933333333333335)</f>
        <v>1.893333333</v>
      </c>
      <c r="T2331" s="82">
        <f>IFERROR(__xludf.DUMMYFUNCTION("""COMPUTED_VALUE"""),327.9849846933521)</f>
        <v>327.9849847</v>
      </c>
      <c r="U2331" s="82">
        <f>IFERROR(__xludf.DUMMYFUNCTION("""COMPUTED_VALUE"""),0.7140208095224126)</f>
        <v>0.7140208095</v>
      </c>
      <c r="V2331" s="82">
        <f>IFERROR(__xludf.DUMMYFUNCTION("""COMPUTED_VALUE"""),0.5327288967964009)</f>
        <v>0.5327288968</v>
      </c>
      <c r="W2331" s="82">
        <f>IFERROR(__xludf.DUMMYFUNCTION("""COMPUTED_VALUE"""),1.2589139540958558)</f>
        <v>1.258913954</v>
      </c>
      <c r="X2331" s="82">
        <f>IFERROR(__xludf.DUMMYFUNCTION("""COMPUTED_VALUE"""),2.190903494025852)</f>
        <v>2.190903494</v>
      </c>
      <c r="Y2331" s="82">
        <f>IFERROR(__xludf.DUMMYFUNCTION("""COMPUTED_VALUE"""),332.26603928540027)</f>
        <v>332.2660393</v>
      </c>
      <c r="Z2331" s="82">
        <f>IFERROR(__xludf.DUMMYFUNCTION("""COMPUTED_VALUE"""),0.813710635188421)</f>
        <v>0.8137106352</v>
      </c>
      <c r="AA2331" s="82">
        <f>IFERROR(__xludf.DUMMYFUNCTION("""COMPUTED_VALUE"""),0.5745110051303646)</f>
        <v>0.5745110051</v>
      </c>
      <c r="AB2331" s="82">
        <f>IFERROR(__xludf.DUMMYFUNCTION("""COMPUTED_VALUE"""),1.079802696793078)</f>
        <v>1.079802697</v>
      </c>
      <c r="AC2331" s="82">
        <f>IFERROR(__xludf.DUMMYFUNCTION("""COMPUTED_VALUE"""),2.533669499551351)</f>
        <v>2.5336695</v>
      </c>
      <c r="AD2331" s="82">
        <f>IFERROR(__xludf.DUMMYFUNCTION("""COMPUTED_VALUE"""),0.9842715214090497)</f>
        <v>0.9842715214</v>
      </c>
      <c r="AE2331" s="82">
        <f>IFERROR(__xludf.DUMMYFUNCTION("""COMPUTED_VALUE"""),1.0323080019784816)</f>
        <v>1.032308002</v>
      </c>
      <c r="AF2331" s="82">
        <f>IFERROR(__xludf.DUMMYFUNCTION("""COMPUTED_VALUE"""),1.253239700493852)</f>
        <v>1.2532397</v>
      </c>
      <c r="AG2331" s="82">
        <f>IFERROR(__xludf.DUMMYFUNCTION("""COMPUTED_VALUE"""),0.8149636990290217)</f>
        <v>0.814963699</v>
      </c>
      <c r="AH2331" s="82">
        <f>IFERROR(__xludf.DUMMYFUNCTION("""COMPUTED_VALUE"""),0.9630301033469686)</f>
        <v>0.9630301033</v>
      </c>
      <c r="AI2331" s="82">
        <f>IFERROR(__xludf.DUMMYFUNCTION("""COMPUTED_VALUE"""),0.9051633881275584)</f>
        <v>0.9051633881</v>
      </c>
      <c r="AJ2331" s="82">
        <f>IFERROR(__xludf.DUMMYFUNCTION("""COMPUTED_VALUE"""),0.8029644594207542)</f>
        <v>0.8029644594</v>
      </c>
      <c r="AK2331" s="82">
        <f>IFERROR(__xludf.DUMMYFUNCTION("""COMPUTED_VALUE"""),0.750850953281163)</f>
        <v>0.7508509533</v>
      </c>
      <c r="AL2331" s="82">
        <f>IFERROR(__xludf.DUMMYFUNCTION("""COMPUTED_VALUE"""),0.9849759754951326)</f>
        <v>0.9849759755</v>
      </c>
      <c r="AM2331" s="82">
        <f>IFERROR(__xludf.DUMMYFUNCTION("""COMPUTED_VALUE"""),0.8641792477377797)</f>
        <v>0.8641792477</v>
      </c>
      <c r="AN2331" s="82">
        <f>IFERROR(__xludf.DUMMYFUNCTION("""COMPUTED_VALUE"""),0.9949137274773902)</f>
        <v>0.9949137275</v>
      </c>
      <c r="AO2331" s="82">
        <f>IFERROR(__xludf.DUMMYFUNCTION("""COMPUTED_VALUE"""),1.1077471356977717)</f>
        <v>1.107747136</v>
      </c>
      <c r="AP2331" s="82">
        <f>IFERROR(__xludf.DUMMYFUNCTION("""COMPUTED_VALUE"""),1.3963721551235562)</f>
        <v>1.396372155</v>
      </c>
      <c r="AQ2331" s="82">
        <f>IFERROR(__xludf.DUMMYFUNCTION("""COMPUTED_VALUE"""),0.7338212553204735)</f>
        <v>0.7338212553</v>
      </c>
      <c r="AR2331" s="82">
        <f>IFERROR(__xludf.DUMMYFUNCTION("""COMPUTED_VALUE"""),1.0172016904289503)</f>
        <v>1.01720169</v>
      </c>
      <c r="AS2331" s="82">
        <f>IFERROR(__xludf.DUMMYFUNCTION("""COMPUTED_VALUE"""),56.0)</f>
        <v>56</v>
      </c>
      <c r="AT2331" s="82">
        <f>IFERROR(__xludf.DUMMYFUNCTION("""COMPUTED_VALUE"""),0.5967870169720001)</f>
        <v>0.596787017</v>
      </c>
      <c r="AU2331" s="82">
        <f>IFERROR(__xludf.DUMMYFUNCTION("""COMPUTED_VALUE"""),3.6186032338709433)</f>
        <v>3.618603234</v>
      </c>
      <c r="AV2331" s="82">
        <f>IFERROR(__xludf.DUMMYFUNCTION("""COMPUTED_VALUE"""),66.27375915975266)</f>
        <v>66.27375916</v>
      </c>
      <c r="AW2331" s="82">
        <f t="shared" si="1"/>
        <v>3.882903081</v>
      </c>
      <c r="AX2331" s="83">
        <f t="array" ref="AX2331">IFERROR(DGET('SBV Import'!A:G,"SBV",{"RSC ID","Tier";B2331,A2331}))</f>
        <v>64.94332062</v>
      </c>
      <c r="AY2331" s="82">
        <f t="shared" si="2"/>
        <v>3.636243182</v>
      </c>
      <c r="AZ2331" s="82">
        <v>0.24665989948344302</v>
      </c>
      <c r="BA2331" s="84">
        <v>2300.0</v>
      </c>
      <c r="BB2331" s="84" t="b">
        <f>IFERROR(__xludf.DUMMYFUNCTION("iferror(if(A2331="""",,E2331&gt;=FILTER(Constants!$F$2:$F$10,Constants!$A$2:$A$10=A2331)))"),TRUE)</f>
        <v>1</v>
      </c>
    </row>
    <row r="2332">
      <c r="A2332" s="89" t="str">
        <f>IFERROR(__xludf.DUMMYFUNCTION("""COMPUTED_VALUE"""),"Challenger")</f>
        <v>Challenger</v>
      </c>
      <c r="B2332" s="87" t="str">
        <f>IFERROR(__xludf.DUMMYFUNCTION("""COMPUTED_VALUE"""),"RSC005150")</f>
        <v>RSC005150</v>
      </c>
      <c r="C2332" s="73" t="str">
        <f>IFERROR(__xludf.DUMMYFUNCTION("""COMPUTED_VALUE"""),"Galatiq")</f>
        <v>Galatiq</v>
      </c>
      <c r="D2332" s="73" t="str">
        <f>IFERROR(__xludf.DUMMYFUNCTION("""COMPUTED_VALUE"""),"Lions")</f>
        <v>Lions</v>
      </c>
      <c r="E2332" s="82">
        <f>IFERROR(__xludf.DUMMYFUNCTION("""COMPUTED_VALUE"""),33.0)</f>
        <v>33</v>
      </c>
      <c r="F2332" s="82">
        <f>IFERROR(__xludf.DUMMYFUNCTION("""COMPUTED_VALUE"""),16.0)</f>
        <v>16</v>
      </c>
      <c r="G2332" s="86">
        <f>IFERROR(__xludf.DUMMYFUNCTION("""COMPUTED_VALUE"""),17.0)</f>
        <v>17</v>
      </c>
      <c r="H2332" s="86">
        <f>IFERROR(__xludf.DUMMYFUNCTION("""COMPUTED_VALUE"""),0.48484848484848486)</f>
        <v>0.4848484848</v>
      </c>
      <c r="I2332" s="86">
        <f>IFERROR(__xludf.DUMMYFUNCTION("""COMPUTED_VALUE"""),0.2705882352941177)</f>
        <v>0.2705882353</v>
      </c>
      <c r="J2332" s="82">
        <f>IFERROR(__xludf.DUMMYFUNCTION("""COMPUTED_VALUE"""),345.72727272727275)</f>
        <v>345.7272727</v>
      </c>
      <c r="K2332" s="82">
        <f>IFERROR(__xludf.DUMMYFUNCTION("""COMPUTED_VALUE"""),0.696969696969697)</f>
        <v>0.696969697</v>
      </c>
      <c r="L2332" s="82">
        <f>IFERROR(__xludf.DUMMYFUNCTION("""COMPUTED_VALUE"""),0.9090909090909091)</f>
        <v>0.9090909091</v>
      </c>
      <c r="M2332" s="82">
        <f>IFERROR(__xludf.DUMMYFUNCTION("""COMPUTED_VALUE"""),1.303030303030303)</f>
        <v>1.303030303</v>
      </c>
      <c r="N2332" s="82">
        <f>IFERROR(__xludf.DUMMYFUNCTION("""COMPUTED_VALUE"""),2.5757575757575757)</f>
        <v>2.575757576</v>
      </c>
      <c r="O2332" s="82">
        <f>IFERROR(__xludf.DUMMYFUNCTION("""COMPUTED_VALUE"""),331.67676767676767)</f>
        <v>331.6767677</v>
      </c>
      <c r="P2332" s="82">
        <f>IFERROR(__xludf.DUMMYFUNCTION("""COMPUTED_VALUE"""),0.7373737373737375)</f>
        <v>0.7373737374</v>
      </c>
      <c r="Q2332" s="82">
        <f>IFERROR(__xludf.DUMMYFUNCTION("""COMPUTED_VALUE"""),0.48484848484848486)</f>
        <v>0.4848484848</v>
      </c>
      <c r="R2332" s="82">
        <f>IFERROR(__xludf.DUMMYFUNCTION("""COMPUTED_VALUE"""),1.3838383838383836)</f>
        <v>1.383838384</v>
      </c>
      <c r="S2332" s="82">
        <f>IFERROR(__xludf.DUMMYFUNCTION("""COMPUTED_VALUE"""),2.1818181818181817)</f>
        <v>2.181818182</v>
      </c>
      <c r="T2332" s="82">
        <f>IFERROR(__xludf.DUMMYFUNCTION("""COMPUTED_VALUE"""),334.23106984594637)</f>
        <v>334.2310698</v>
      </c>
      <c r="U2332" s="82">
        <f>IFERROR(__xludf.DUMMYFUNCTION("""COMPUTED_VALUE"""),0.7428366056866924)</f>
        <v>0.7428366057</v>
      </c>
      <c r="V2332" s="82">
        <f>IFERROR(__xludf.DUMMYFUNCTION("""COMPUTED_VALUE"""),0.5063938493346053)</f>
        <v>0.5063938493</v>
      </c>
      <c r="W2332" s="82">
        <f>IFERROR(__xludf.DUMMYFUNCTION("""COMPUTED_VALUE"""),1.2685402195639603)</f>
        <v>1.26854022</v>
      </c>
      <c r="X2332" s="82">
        <f>IFERROR(__xludf.DUMMYFUNCTION("""COMPUTED_VALUE"""),2.359500978394111)</f>
        <v>2.359500978</v>
      </c>
      <c r="Y2332" s="82">
        <f>IFERROR(__xludf.DUMMYFUNCTION("""COMPUTED_VALUE"""),345.96860233429203)</f>
        <v>345.9686023</v>
      </c>
      <c r="Z2332" s="82">
        <f>IFERROR(__xludf.DUMMYFUNCTION("""COMPUTED_VALUE"""),0.8380498080098412)</f>
        <v>0.838049808</v>
      </c>
      <c r="AA2332" s="82">
        <f>IFERROR(__xludf.DUMMYFUNCTION("""COMPUTED_VALUE"""),0.5807820794628568)</f>
        <v>0.5807820795</v>
      </c>
      <c r="AB2332" s="82">
        <f>IFERROR(__xludf.DUMMYFUNCTION("""COMPUTED_VALUE"""),1.2109124623472276)</f>
        <v>1.210912462</v>
      </c>
      <c r="AC2332" s="82">
        <f>IFERROR(__xludf.DUMMYFUNCTION("""COMPUTED_VALUE"""),2.599384242560402)</f>
        <v>2.599384243</v>
      </c>
      <c r="AD2332" s="82">
        <f>IFERROR(__xludf.DUMMYFUNCTION("""COMPUTED_VALUE"""),0.9993024522878926)</f>
        <v>0.9993024523</v>
      </c>
      <c r="AE2332" s="82">
        <f>IFERROR(__xludf.DUMMYFUNCTION("""COMPUTED_VALUE"""),0.8316566513210305)</f>
        <v>0.8316566513</v>
      </c>
      <c r="AF2332" s="82">
        <f>IFERROR(__xludf.DUMMYFUNCTION("""COMPUTED_VALUE"""),1.565287465363416)</f>
        <v>1.565287465</v>
      </c>
      <c r="AG2332" s="82">
        <f>IFERROR(__xludf.DUMMYFUNCTION("""COMPUTED_VALUE"""),1.0760730800511495)</f>
        <v>1.07607308</v>
      </c>
      <c r="AH2332" s="82">
        <f>IFERROR(__xludf.DUMMYFUNCTION("""COMPUTED_VALUE"""),0.990910667835874)</f>
        <v>0.9909106678</v>
      </c>
      <c r="AI2332" s="82">
        <f>IFERROR(__xludf.DUMMYFUNCTION("""COMPUTED_VALUE"""),0.9923576758726949)</f>
        <v>0.9923576759</v>
      </c>
      <c r="AJ2332" s="82">
        <f>IFERROR(__xludf.DUMMYFUNCTION("""COMPUTED_VALUE"""),0.9926459354976119)</f>
        <v>0.9926459355</v>
      </c>
      <c r="AK2332" s="82">
        <f>IFERROR(__xludf.DUMMYFUNCTION("""COMPUTED_VALUE"""),0.9574533448334123)</f>
        <v>0.9574533448</v>
      </c>
      <c r="AL2332" s="82">
        <f>IFERROR(__xludf.DUMMYFUNCTION("""COMPUTED_VALUE"""),1.0908904286172771)</f>
        <v>1.090890429</v>
      </c>
      <c r="AM2332" s="82">
        <f>IFERROR(__xludf.DUMMYFUNCTION("""COMPUTED_VALUE"""),0.9246947561357396)</f>
        <v>0.9246947561</v>
      </c>
      <c r="AN2332" s="82">
        <f>IFERROR(__xludf.DUMMYFUNCTION("""COMPUTED_VALUE"""),1.0517637279833756)</f>
        <v>1.051763728</v>
      </c>
      <c r="AO2332" s="82">
        <f>IFERROR(__xludf.DUMMYFUNCTION("""COMPUTED_VALUE"""),0.919126411293245)</f>
        <v>0.9191264113</v>
      </c>
      <c r="AP2332" s="82">
        <f>IFERROR(__xludf.DUMMYFUNCTION("""COMPUTED_VALUE"""),1.7630961554590356)</f>
        <v>1.763096155</v>
      </c>
      <c r="AQ2332" s="82">
        <f>IFERROR(__xludf.DUMMYFUNCTION("""COMPUTED_VALUE"""),1.0865810598753567)</f>
        <v>1.08658106</v>
      </c>
      <c r="AR2332" s="82">
        <f>IFERROR(__xludf.DUMMYFUNCTION("""COMPUTED_VALUE"""),1.0737971148343366)</f>
        <v>1.073797115</v>
      </c>
      <c r="AS2332" s="82">
        <f>IFERROR(__xludf.DUMMYFUNCTION("""COMPUTED_VALUE"""),85.0)</f>
        <v>85</v>
      </c>
      <c r="AT2332" s="82">
        <f>IFERROR(__xludf.DUMMYFUNCTION("""COMPUTED_VALUE"""),0.5593580432510219)</f>
        <v>0.5593580433</v>
      </c>
      <c r="AU2332" s="82">
        <f>IFERROR(__xludf.DUMMYFUNCTION("""COMPUTED_VALUE"""),3.6182880922391174)</f>
        <v>3.618288092</v>
      </c>
      <c r="AV2332" s="82">
        <f>IFERROR(__xludf.DUMMYFUNCTION("""COMPUTED_VALUE"""),66.26542613503918)</f>
        <v>66.26542614</v>
      </c>
      <c r="AW2332" s="82">
        <f t="shared" si="1"/>
        <v>3.881281501</v>
      </c>
      <c r="AX2332" s="83">
        <f t="array" ref="AX2332">IFERROR(DGET('SBV Import'!A:G,"SBV",{"RSC ID","Tier";B2332,A2332}))</f>
        <v>59.71869415</v>
      </c>
      <c r="AY2332" s="82">
        <f t="shared" si="2"/>
        <v>2.867536679</v>
      </c>
      <c r="AZ2332" s="82">
        <v>1.0137448227404873</v>
      </c>
      <c r="BA2332" s="84">
        <v>2300.0</v>
      </c>
      <c r="BB2332" s="84" t="b">
        <f>IFERROR(__xludf.DUMMYFUNCTION("iferror(if(A2332="""",,E2332&gt;=FILTER(Constants!$F$2:$F$10,Constants!$A$2:$A$10=A2332)))"),TRUE)</f>
        <v>1</v>
      </c>
    </row>
    <row r="2333">
      <c r="A2333" s="89" t="str">
        <f>IFERROR(__xludf.DUMMYFUNCTION("""COMPUTED_VALUE"""),"Challenger")</f>
        <v>Challenger</v>
      </c>
      <c r="B2333" s="87" t="str">
        <f>IFERROR(__xludf.DUMMYFUNCTION("""COMPUTED_VALUE"""),"RSC007870")</f>
        <v>RSC007870</v>
      </c>
      <c r="C2333" s="73" t="str">
        <f>IFERROR(__xludf.DUMMYFUNCTION("""COMPUTED_VALUE"""),"King_OaF")</f>
        <v>King_OaF</v>
      </c>
      <c r="D2333" s="73" t="str">
        <f>IFERROR(__xludf.DUMMYFUNCTION("""COMPUTED_VALUE"""),"Metal")</f>
        <v>Metal</v>
      </c>
      <c r="E2333" s="82">
        <f>IFERROR(__xludf.DUMMYFUNCTION("""COMPUTED_VALUE"""),21.0)</f>
        <v>21</v>
      </c>
      <c r="F2333" s="82">
        <f>IFERROR(__xludf.DUMMYFUNCTION("""COMPUTED_VALUE"""),12.0)</f>
        <v>12</v>
      </c>
      <c r="G2333" s="86">
        <f>IFERROR(__xludf.DUMMYFUNCTION("""COMPUTED_VALUE"""),9.0)</f>
        <v>9</v>
      </c>
      <c r="H2333" s="86">
        <f>IFERROR(__xludf.DUMMYFUNCTION("""COMPUTED_VALUE"""),0.5714285714285714)</f>
        <v>0.5714285714</v>
      </c>
      <c r="I2333" s="86">
        <f>IFERROR(__xludf.DUMMYFUNCTION("""COMPUTED_VALUE"""),0.3508771929824561)</f>
        <v>0.350877193</v>
      </c>
      <c r="J2333" s="82">
        <f>IFERROR(__xludf.DUMMYFUNCTION("""COMPUTED_VALUE"""),374.5238095238095)</f>
        <v>374.5238095</v>
      </c>
      <c r="K2333" s="82">
        <f>IFERROR(__xludf.DUMMYFUNCTION("""COMPUTED_VALUE"""),0.9523809523809523)</f>
        <v>0.9523809524</v>
      </c>
      <c r="L2333" s="82">
        <f>IFERROR(__xludf.DUMMYFUNCTION("""COMPUTED_VALUE"""),0.5714285714285714)</f>
        <v>0.5714285714</v>
      </c>
      <c r="M2333" s="82">
        <f>IFERROR(__xludf.DUMMYFUNCTION("""COMPUTED_VALUE"""),1.0952380952380953)</f>
        <v>1.095238095</v>
      </c>
      <c r="N2333" s="82">
        <f>IFERROR(__xludf.DUMMYFUNCTION("""COMPUTED_VALUE"""),2.7142857142857144)</f>
        <v>2.714285714</v>
      </c>
      <c r="O2333" s="82">
        <f>IFERROR(__xludf.DUMMYFUNCTION("""COMPUTED_VALUE"""),315.04761904761904)</f>
        <v>315.047619</v>
      </c>
      <c r="P2333" s="82">
        <f>IFERROR(__xludf.DUMMYFUNCTION("""COMPUTED_VALUE"""),0.6984126984126986)</f>
        <v>0.6984126984</v>
      </c>
      <c r="Q2333" s="82">
        <f>IFERROR(__xludf.DUMMYFUNCTION("""COMPUTED_VALUE"""),0.4444444444444445)</f>
        <v>0.4444444444</v>
      </c>
      <c r="R2333" s="82">
        <f>IFERROR(__xludf.DUMMYFUNCTION("""COMPUTED_VALUE"""),1.0634920634920637)</f>
        <v>1.063492063</v>
      </c>
      <c r="S2333" s="82">
        <f>IFERROR(__xludf.DUMMYFUNCTION("""COMPUTED_VALUE"""),2.253968253968254)</f>
        <v>2.253968254</v>
      </c>
      <c r="T2333" s="82">
        <f>IFERROR(__xludf.DUMMYFUNCTION("""COMPUTED_VALUE"""),322.3076435816726)</f>
        <v>322.3076436</v>
      </c>
      <c r="U2333" s="82">
        <f>IFERROR(__xludf.DUMMYFUNCTION("""COMPUTED_VALUE"""),0.7074127585435085)</f>
        <v>0.7074127585</v>
      </c>
      <c r="V2333" s="82">
        <f>IFERROR(__xludf.DUMMYFUNCTION("""COMPUTED_VALUE"""),0.48252678942006966)</f>
        <v>0.4825267894</v>
      </c>
      <c r="W2333" s="82">
        <f>IFERROR(__xludf.DUMMYFUNCTION("""COMPUTED_VALUE"""),1.2112380943113734)</f>
        <v>1.211238094</v>
      </c>
      <c r="X2333" s="82">
        <f>IFERROR(__xludf.DUMMYFUNCTION("""COMPUTED_VALUE"""),2.270815880355425)</f>
        <v>2.27081588</v>
      </c>
      <c r="Y2333" s="82">
        <f>IFERROR(__xludf.DUMMYFUNCTION("""COMPUTED_VALUE"""),342.65395485911796)</f>
        <v>342.6539549</v>
      </c>
      <c r="Z2333" s="82">
        <f>IFERROR(__xludf.DUMMYFUNCTION("""COMPUTED_VALUE"""),0.8369385585500285)</f>
        <v>0.8369385586</v>
      </c>
      <c r="AA2333" s="82">
        <f>IFERROR(__xludf.DUMMYFUNCTION("""COMPUTED_VALUE"""),0.5930324582045253)</f>
        <v>0.5930324582</v>
      </c>
      <c r="AB2333" s="82">
        <f>IFERROR(__xludf.DUMMYFUNCTION("""COMPUTED_VALUE"""),1.1357887845013286)</f>
        <v>1.135788785</v>
      </c>
      <c r="AC2333" s="82">
        <f>IFERROR(__xludf.DUMMYFUNCTION("""COMPUTED_VALUE"""),2.5292203249416056)</f>
        <v>2.529220325</v>
      </c>
      <c r="AD2333" s="82">
        <f>IFERROR(__xludf.DUMMYFUNCTION("""COMPUTED_VALUE"""),1.0930088627688388)</f>
        <v>1.093008863</v>
      </c>
      <c r="AE2333" s="82">
        <f>IFERROR(__xludf.DUMMYFUNCTION("""COMPUTED_VALUE"""),1.1379341322628562)</f>
        <v>1.137934132</v>
      </c>
      <c r="AF2333" s="82">
        <f>IFERROR(__xludf.DUMMYFUNCTION("""COMPUTED_VALUE"""),0.9635704817214185)</f>
        <v>0.9635704817</v>
      </c>
      <c r="AG2333" s="82">
        <f>IFERROR(__xludf.DUMMYFUNCTION("""COMPUTED_VALUE"""),0.964297332552868)</f>
        <v>0.9642973326</v>
      </c>
      <c r="AH2333" s="82">
        <f>IFERROR(__xludf.DUMMYFUNCTION("""COMPUTED_VALUE"""),1.0731709244620204)</f>
        <v>1.073170924</v>
      </c>
      <c r="AI2333" s="82">
        <f>IFERROR(__xludf.DUMMYFUNCTION("""COMPUTED_VALUE"""),0.977474860808835)</f>
        <v>0.9774748608</v>
      </c>
      <c r="AJ2333" s="82">
        <f>IFERROR(__xludf.DUMMYFUNCTION("""COMPUTED_VALUE"""),0.9872774981478422)</f>
        <v>0.9872774981</v>
      </c>
      <c r="AK2333" s="82">
        <f>IFERROR(__xludf.DUMMYFUNCTION("""COMPUTED_VALUE"""),0.9210772421125158)</f>
        <v>0.9210772421</v>
      </c>
      <c r="AL2333" s="82">
        <f>IFERROR(__xludf.DUMMYFUNCTION("""COMPUTED_VALUE"""),0.878020653814304)</f>
        <v>0.8780206538</v>
      </c>
      <c r="AM2333" s="82">
        <f>IFERROR(__xludf.DUMMYFUNCTION("""COMPUTED_VALUE"""),0.9925808047526363)</f>
        <v>0.9925808048</v>
      </c>
      <c r="AN2333" s="82">
        <f>IFERROR(__xludf.DUMMYFUNCTION("""COMPUTED_VALUE"""),1.1393679041168219)</f>
        <v>1.139367904</v>
      </c>
      <c r="AO2333" s="82">
        <f>IFERROR(__xludf.DUMMYFUNCTION("""COMPUTED_VALUE"""),1.2559491334441857)</f>
        <v>1.255949133</v>
      </c>
      <c r="AP2333" s="82">
        <f>IFERROR(__xludf.DUMMYFUNCTION("""COMPUTED_VALUE"""),1.1082318691456794)</f>
        <v>1.108231869</v>
      </c>
      <c r="AQ2333" s="82">
        <f>IFERROR(__xludf.DUMMYFUNCTION("""COMPUTED_VALUE"""),0.9133056749118448)</f>
        <v>0.9133056749</v>
      </c>
      <c r="AR2333" s="82">
        <f>IFERROR(__xludf.DUMMYFUNCTION("""COMPUTED_VALUE"""),1.1315475479010573)</f>
        <v>1.131547548</v>
      </c>
      <c r="AS2333" s="82">
        <f>IFERROR(__xludf.DUMMYFUNCTION("""COMPUTED_VALUE"""),53.0)</f>
        <v>53</v>
      </c>
      <c r="AT2333" s="82">
        <f>IFERROR(__xludf.DUMMYFUNCTION("""COMPUTED_VALUE"""),0.5716829625812315)</f>
        <v>0.5716829626</v>
      </c>
      <c r="AU2333" s="82">
        <f>IFERROR(__xludf.DUMMYFUNCTION("""COMPUTED_VALUE"""),3.6141228137949257)</f>
        <v>3.614122814</v>
      </c>
      <c r="AV2333" s="82">
        <f>IFERROR(__xludf.DUMMYFUNCTION("""COMPUTED_VALUE"""),66.15528718572648)</f>
        <v>66.15528719</v>
      </c>
      <c r="AW2333" s="82">
        <f t="shared" si="1"/>
        <v>3.859942742</v>
      </c>
      <c r="AX2333" s="83">
        <f t="array" ref="AX2333">IFERROR(DGET('SBV Import'!A:G,"SBV",{"RSC ID","Tier";B2333,A2333}))</f>
        <v>76.13409261</v>
      </c>
      <c r="AY2333" s="82">
        <f t="shared" si="2"/>
        <v>6.760070448</v>
      </c>
      <c r="AZ2333" s="82">
        <v>2.900127706186339</v>
      </c>
      <c r="BA2333" s="84">
        <v>2300.0</v>
      </c>
      <c r="BB2333" s="84" t="b">
        <f>IFERROR(__xludf.DUMMYFUNCTION("iferror(if(A2333="""",,E2333&gt;=FILTER(Constants!$F$2:$F$10,Constants!$A$2:$A$10=A2333)))"),TRUE)</f>
        <v>1</v>
      </c>
    </row>
    <row r="2334">
      <c r="A2334" s="89" t="str">
        <f>IFERROR(__xludf.DUMMYFUNCTION("""COMPUTED_VALUE"""),"Challenger")</f>
        <v>Challenger</v>
      </c>
      <c r="B2334" s="87" t="str">
        <f>IFERROR(__xludf.DUMMYFUNCTION("""COMPUTED_VALUE"""),"RSC003109")</f>
        <v>RSC003109</v>
      </c>
      <c r="C2334" s="73" t="str">
        <f>IFERROR(__xludf.DUMMYFUNCTION("""COMPUTED_VALUE"""),"Kflip11")</f>
        <v>Kflip11</v>
      </c>
      <c r="D2334" s="73" t="str">
        <f>IFERROR(__xludf.DUMMYFUNCTION("""COMPUTED_VALUE"""),"Cassowaries")</f>
        <v>Cassowaries</v>
      </c>
      <c r="E2334" s="82">
        <f>IFERROR(__xludf.DUMMYFUNCTION("""COMPUTED_VALUE"""),35.0)</f>
        <v>35</v>
      </c>
      <c r="F2334" s="82">
        <f>IFERROR(__xludf.DUMMYFUNCTION("""COMPUTED_VALUE"""),26.0)</f>
        <v>26</v>
      </c>
      <c r="G2334" s="86">
        <f>IFERROR(__xludf.DUMMYFUNCTION("""COMPUTED_VALUE"""),9.0)</f>
        <v>9</v>
      </c>
      <c r="H2334" s="86">
        <f>IFERROR(__xludf.DUMMYFUNCTION("""COMPUTED_VALUE"""),0.7428571428571429)</f>
        <v>0.7428571429</v>
      </c>
      <c r="I2334" s="86">
        <f>IFERROR(__xludf.DUMMYFUNCTION("""COMPUTED_VALUE"""),0.3398058252427184)</f>
        <v>0.3398058252</v>
      </c>
      <c r="J2334" s="82">
        <f>IFERROR(__xludf.DUMMYFUNCTION("""COMPUTED_VALUE"""),332.25714285714287)</f>
        <v>332.2571429</v>
      </c>
      <c r="K2334" s="82">
        <f>IFERROR(__xludf.DUMMYFUNCTION("""COMPUTED_VALUE"""),1.0)</f>
        <v>1</v>
      </c>
      <c r="L2334" s="82">
        <f>IFERROR(__xludf.DUMMYFUNCTION("""COMPUTED_VALUE"""),0.5714285714285714)</f>
        <v>0.5714285714</v>
      </c>
      <c r="M2334" s="82">
        <f>IFERROR(__xludf.DUMMYFUNCTION("""COMPUTED_VALUE"""),1.0)</f>
        <v>1</v>
      </c>
      <c r="N2334" s="82">
        <f>IFERROR(__xludf.DUMMYFUNCTION("""COMPUTED_VALUE"""),2.942857142857143)</f>
        <v>2.942857143</v>
      </c>
      <c r="O2334" s="82">
        <f>IFERROR(__xludf.DUMMYFUNCTION("""COMPUTED_VALUE"""),319.9714285714286)</f>
        <v>319.9714286</v>
      </c>
      <c r="P2334" s="82">
        <f>IFERROR(__xludf.DUMMYFUNCTION("""COMPUTED_VALUE"""),0.7047619047619049)</f>
        <v>0.7047619048</v>
      </c>
      <c r="Q2334" s="82">
        <f>IFERROR(__xludf.DUMMYFUNCTION("""COMPUTED_VALUE"""),0.44761904761904775)</f>
        <v>0.4476190476</v>
      </c>
      <c r="R2334" s="82">
        <f>IFERROR(__xludf.DUMMYFUNCTION("""COMPUTED_VALUE"""),1.257142857142857)</f>
        <v>1.257142857</v>
      </c>
      <c r="S2334" s="82">
        <f>IFERROR(__xludf.DUMMYFUNCTION("""COMPUTED_VALUE"""),2.3619047619047606)</f>
        <v>2.361904762</v>
      </c>
      <c r="T2334" s="82">
        <f>IFERROR(__xludf.DUMMYFUNCTION("""COMPUTED_VALUE"""),316.4742858322718)</f>
        <v>316.4742858</v>
      </c>
      <c r="U2334" s="82">
        <f>IFERROR(__xludf.DUMMYFUNCTION("""COMPUTED_VALUE"""),0.6802695423265191)</f>
        <v>0.6802695423</v>
      </c>
      <c r="V2334" s="82">
        <f>IFERROR(__xludf.DUMMYFUNCTION("""COMPUTED_VALUE"""),0.45078341498462166)</f>
        <v>0.450783415</v>
      </c>
      <c r="W2334" s="82">
        <f>IFERROR(__xludf.DUMMYFUNCTION("""COMPUTED_VALUE"""),1.2009700997532997)</f>
        <v>1.2009701</v>
      </c>
      <c r="X2334" s="82">
        <f>IFERROR(__xludf.DUMMYFUNCTION("""COMPUTED_VALUE"""),2.330096715874501)</f>
        <v>2.330096716</v>
      </c>
      <c r="Y2334" s="82">
        <f>IFERROR(__xludf.DUMMYFUNCTION("""COMPUTED_VALUE"""),345.43277895419794)</f>
        <v>345.432779</v>
      </c>
      <c r="Z2334" s="82">
        <f>IFERROR(__xludf.DUMMYFUNCTION("""COMPUTED_VALUE"""),0.8339454186657241)</f>
        <v>0.8339454187</v>
      </c>
      <c r="AA2334" s="82">
        <f>IFERROR(__xludf.DUMMYFUNCTION("""COMPUTED_VALUE"""),0.5847595973031939)</f>
        <v>0.5847595973</v>
      </c>
      <c r="AB2334" s="82">
        <f>IFERROR(__xludf.DUMMYFUNCTION("""COMPUTED_VALUE"""),1.2185699980581388)</f>
        <v>1.218569998</v>
      </c>
      <c r="AC2334" s="82">
        <f>IFERROR(__xludf.DUMMYFUNCTION("""COMPUTED_VALUE"""),2.525914792622989)</f>
        <v>2.525914793</v>
      </c>
      <c r="AD2334" s="82">
        <f>IFERROR(__xludf.DUMMYFUNCTION("""COMPUTED_VALUE"""),0.9618575974841054)</f>
        <v>0.9618575975</v>
      </c>
      <c r="AE2334" s="82">
        <f>IFERROR(__xludf.DUMMYFUNCTION("""COMPUTED_VALUE"""),1.1991192440387237)</f>
        <v>1.199119244</v>
      </c>
      <c r="AF2334" s="82">
        <f>IFERROR(__xludf.DUMMYFUNCTION("""COMPUTED_VALUE"""),0.9772025530900171)</f>
        <v>0.9772025531</v>
      </c>
      <c r="AG2334" s="82">
        <f>IFERROR(__xludf.DUMMYFUNCTION("""COMPUTED_VALUE"""),0.820634023153005)</f>
        <v>0.8206340232</v>
      </c>
      <c r="AH2334" s="82">
        <f>IFERROR(__xludf.DUMMYFUNCTION("""COMPUTED_VALUE"""),1.1650658808649632)</f>
        <v>1.165065881</v>
      </c>
      <c r="AI2334" s="82">
        <f>IFERROR(__xludf.DUMMYFUNCTION("""COMPUTED_VALUE"""),1.0110503219241334)</f>
        <v>1.011050322</v>
      </c>
      <c r="AJ2334" s="82">
        <f>IFERROR(__xludf.DUMMYFUNCTION("""COMPUTED_VALUE"""),1.036003908614844)</f>
        <v>1.036003909</v>
      </c>
      <c r="AK2334" s="82">
        <f>IFERROR(__xludf.DUMMYFUNCTION("""COMPUTED_VALUE"""),0.9929802932841222)</f>
        <v>0.9929802933</v>
      </c>
      <c r="AL2334" s="82">
        <f>IFERROR(__xludf.DUMMYFUNCTION("""COMPUTED_VALUE"""),1.0467728192409587)</f>
        <v>1.046772819</v>
      </c>
      <c r="AM2334" s="82">
        <f>IFERROR(__xludf.DUMMYFUNCTION("""COMPUTED_VALUE"""),1.0136509552644564)</f>
        <v>1.013650955</v>
      </c>
      <c r="AN2334" s="82">
        <f>IFERROR(__xludf.DUMMYFUNCTION("""COMPUTED_VALUE"""),1.0107852020578147)</f>
        <v>1.010785202</v>
      </c>
      <c r="AO2334" s="82">
        <f>IFERROR(__xludf.DUMMYFUNCTION("""COMPUTED_VALUE"""),1.318746590116395)</f>
        <v>1.31874659</v>
      </c>
      <c r="AP2334" s="82">
        <f>IFERROR(__xludf.DUMMYFUNCTION("""COMPUTED_VALUE"""),1.1082318691456794)</f>
        <v>1.108231869</v>
      </c>
      <c r="AQ2334" s="82">
        <f>IFERROR(__xludf.DUMMYFUNCTION("""COMPUTED_VALUE"""),0.8338877901369016)</f>
        <v>0.8338877901</v>
      </c>
      <c r="AR2334" s="82">
        <f>IFERROR(__xludf.DUMMYFUNCTION("""COMPUTED_VALUE"""),1.2268357624611463)</f>
        <v>1.226835762</v>
      </c>
      <c r="AS2334" s="82">
        <f>IFERROR(__xludf.DUMMYFUNCTION("""COMPUTED_VALUE"""),109.0)</f>
        <v>109</v>
      </c>
      <c r="AT2334" s="82">
        <f>IFERROR(__xludf.DUMMYFUNCTION("""COMPUTED_VALUE"""),0.6508080226849516)</f>
        <v>0.6508080227</v>
      </c>
      <c r="AU2334" s="82">
        <f>IFERROR(__xludf.DUMMYFUNCTION("""COMPUTED_VALUE"""),3.6002047667479617)</f>
        <v>3.600204767</v>
      </c>
      <c r="AV2334" s="82">
        <f>IFERROR(__xludf.DUMMYFUNCTION("""COMPUTED_VALUE"""),65.78726399141281)</f>
        <v>65.78726399</v>
      </c>
      <c r="AW2334" s="82">
        <f t="shared" si="1"/>
        <v>3.789889871</v>
      </c>
      <c r="AX2334" s="83">
        <f t="array" ref="AX2334">IFERROR(DGET('SBV Import'!A:G,"SBV",{"RSC ID","Tier";B2334,A2334}))</f>
        <v>45.9876736</v>
      </c>
      <c r="AY2334" s="82">
        <f t="shared" si="2"/>
        <v>-2.292282813</v>
      </c>
      <c r="AZ2334" s="82">
        <v>6.082172683231768</v>
      </c>
      <c r="BA2334" s="84">
        <v>2300.0</v>
      </c>
      <c r="BB2334" s="84" t="b">
        <f>IFERROR(__xludf.DUMMYFUNCTION("iferror(if(A2334="""",,E2334&gt;=FILTER(Constants!$F$2:$F$10,Constants!$A$2:$A$10=A2334)))"),TRUE)</f>
        <v>1</v>
      </c>
    </row>
    <row r="2335">
      <c r="A2335" s="89" t="str">
        <f>IFERROR(__xludf.DUMMYFUNCTION("""COMPUTED_VALUE"""),"Challenger")</f>
        <v>Challenger</v>
      </c>
      <c r="B2335" s="87" t="str">
        <f>IFERROR(__xludf.DUMMYFUNCTION("""COMPUTED_VALUE"""),"RSC006067")</f>
        <v>RSC006067</v>
      </c>
      <c r="C2335" s="73" t="str">
        <f>IFERROR(__xludf.DUMMYFUNCTION("""COMPUTED_VALUE"""),"ShinxX403")</f>
        <v>ShinxX403</v>
      </c>
      <c r="D2335" s="73" t="str">
        <f>IFERROR(__xludf.DUMMYFUNCTION("""COMPUTED_VALUE"""),"Panda Bears")</f>
        <v>Panda Bears</v>
      </c>
      <c r="E2335" s="82">
        <f>IFERROR(__xludf.DUMMYFUNCTION("""COMPUTED_VALUE"""),20.0)</f>
        <v>20</v>
      </c>
      <c r="F2335" s="82">
        <f>IFERROR(__xludf.DUMMYFUNCTION("""COMPUTED_VALUE"""),10.0)</f>
        <v>10</v>
      </c>
      <c r="G2335" s="86">
        <f>IFERROR(__xludf.DUMMYFUNCTION("""COMPUTED_VALUE"""),10.0)</f>
        <v>10</v>
      </c>
      <c r="H2335" s="86">
        <f>IFERROR(__xludf.DUMMYFUNCTION("""COMPUTED_VALUE"""),0.5)</f>
        <v>0.5</v>
      </c>
      <c r="I2335" s="86">
        <f>IFERROR(__xludf.DUMMYFUNCTION("""COMPUTED_VALUE"""),0.3278688524590164)</f>
        <v>0.3278688525</v>
      </c>
      <c r="J2335" s="82">
        <f>IFERROR(__xludf.DUMMYFUNCTION("""COMPUTED_VALUE"""),350.8)</f>
        <v>350.8</v>
      </c>
      <c r="K2335" s="82">
        <f>IFERROR(__xludf.DUMMYFUNCTION("""COMPUTED_VALUE"""),1.0)</f>
        <v>1</v>
      </c>
      <c r="L2335" s="82">
        <f>IFERROR(__xludf.DUMMYFUNCTION("""COMPUTED_VALUE"""),0.45)</f>
        <v>0.45</v>
      </c>
      <c r="M2335" s="82">
        <f>IFERROR(__xludf.DUMMYFUNCTION("""COMPUTED_VALUE"""),1.15)</f>
        <v>1.15</v>
      </c>
      <c r="N2335" s="82">
        <f>IFERROR(__xludf.DUMMYFUNCTION("""COMPUTED_VALUE"""),3.05)</f>
        <v>3.05</v>
      </c>
      <c r="O2335" s="82">
        <f>IFERROR(__xludf.DUMMYFUNCTION("""COMPUTED_VALUE"""),368.0)</f>
        <v>368</v>
      </c>
      <c r="P2335" s="82">
        <f>IFERROR(__xludf.DUMMYFUNCTION("""COMPUTED_VALUE"""),0.7499999999999999)</f>
        <v>0.75</v>
      </c>
      <c r="Q2335" s="82">
        <f>IFERROR(__xludf.DUMMYFUNCTION("""COMPUTED_VALUE"""),0.5333333333333333)</f>
        <v>0.5333333333</v>
      </c>
      <c r="R2335" s="82">
        <f>IFERROR(__xludf.DUMMYFUNCTION("""COMPUTED_VALUE"""),1.5499999999999998)</f>
        <v>1.55</v>
      </c>
      <c r="S2335" s="82">
        <f>IFERROR(__xludf.DUMMYFUNCTION("""COMPUTED_VALUE"""),2.566666666666666)</f>
        <v>2.566666667</v>
      </c>
      <c r="T2335" s="82">
        <f>IFERROR(__xludf.DUMMYFUNCTION("""COMPUTED_VALUE"""),345.81661835859256)</f>
        <v>345.8166184</v>
      </c>
      <c r="U2335" s="82">
        <f>IFERROR(__xludf.DUMMYFUNCTION("""COMPUTED_VALUE"""),0.7803575743731129)</f>
        <v>0.7803575744</v>
      </c>
      <c r="V2335" s="82">
        <f>IFERROR(__xludf.DUMMYFUNCTION("""COMPUTED_VALUE"""),0.5406691615717599)</f>
        <v>0.5406691616</v>
      </c>
      <c r="W2335" s="82">
        <f>IFERROR(__xludf.DUMMYFUNCTION("""COMPUTED_VALUE"""),1.354825060025404)</f>
        <v>1.35482506</v>
      </c>
      <c r="X2335" s="82">
        <f>IFERROR(__xludf.DUMMYFUNCTION("""COMPUTED_VALUE"""),2.4481098557082808)</f>
        <v>2.448109856</v>
      </c>
      <c r="Y2335" s="82">
        <f>IFERROR(__xludf.DUMMYFUNCTION("""COMPUTED_VALUE"""),336.4397288897093)</f>
        <v>336.4397289</v>
      </c>
      <c r="Z2335" s="82">
        <f>IFERROR(__xludf.DUMMYFUNCTION("""COMPUTED_VALUE"""),0.7752861614354997)</f>
        <v>0.7752861614</v>
      </c>
      <c r="AA2335" s="82">
        <f>IFERROR(__xludf.DUMMYFUNCTION("""COMPUTED_VALUE"""),0.5372595851374993)</f>
        <v>0.5372595851</v>
      </c>
      <c r="AB2335" s="82">
        <f>IFERROR(__xludf.DUMMYFUNCTION("""COMPUTED_VALUE"""),1.2158290550056425)</f>
        <v>1.215829055</v>
      </c>
      <c r="AC2335" s="82">
        <f>IFERROR(__xludf.DUMMYFUNCTION("""COMPUTED_VALUE"""),2.5812730257023997)</f>
        <v>2.581273026</v>
      </c>
      <c r="AD2335" s="82">
        <f>IFERROR(__xludf.DUMMYFUNCTION("""COMPUTED_VALUE"""),1.042683042093992)</f>
        <v>1.042683042</v>
      </c>
      <c r="AE2335" s="82">
        <f>IFERROR(__xludf.DUMMYFUNCTION("""COMPUTED_VALUE"""),1.289846317066238)</f>
        <v>1.289846317</v>
      </c>
      <c r="AF2335" s="82">
        <f>IFERROR(__xludf.DUMMYFUNCTION("""COMPUTED_VALUE"""),0.8375839397724897)</f>
        <v>0.8375839398</v>
      </c>
      <c r="AG2335" s="82">
        <f>IFERROR(__xludf.DUMMYFUNCTION("""COMPUTED_VALUE"""),0.945856652516552)</f>
        <v>0.9458566525</v>
      </c>
      <c r="AH2335" s="82">
        <f>IFERROR(__xludf.DUMMYFUNCTION("""COMPUTED_VALUE"""),1.1815875227573236)</f>
        <v>1.181587523</v>
      </c>
      <c r="AI2335" s="82">
        <f>IFERROR(__xludf.DUMMYFUNCTION("""COMPUTED_VALUE"""),1.0641478184209312)</f>
        <v>1.064147818</v>
      </c>
      <c r="AJ2335" s="82">
        <f>IFERROR(__xludf.DUMMYFUNCTION("""COMPUTED_VALUE"""),0.9610978667087325)</f>
        <v>0.9610978667</v>
      </c>
      <c r="AK2335" s="82">
        <f>IFERROR(__xludf.DUMMYFUNCTION("""COMPUTED_VALUE"""),0.986431946262478)</f>
        <v>0.9864319463</v>
      </c>
      <c r="AL2335" s="82">
        <f>IFERROR(__xludf.DUMMYFUNCTION("""COMPUTED_VALUE"""),1.1440591451496596)</f>
        <v>1.144059145</v>
      </c>
      <c r="AM2335" s="82">
        <f>IFERROR(__xludf.DUMMYFUNCTION("""COMPUTED_VALUE"""),1.0484278966002873)</f>
        <v>1.048427897</v>
      </c>
      <c r="AN2335" s="82">
        <f>IFERROR(__xludf.DUMMYFUNCTION("""COMPUTED_VALUE"""),1.067195864723179)</f>
        <v>1.067195865</v>
      </c>
      <c r="AO2335" s="82">
        <f>IFERROR(__xludf.DUMMYFUNCTION("""COMPUTED_VALUE"""),1.318746590116395)</f>
        <v>1.31874659</v>
      </c>
      <c r="AP2335" s="82">
        <f>IFERROR(__xludf.DUMMYFUNCTION("""COMPUTED_VALUE"""),0.8727325969522226)</f>
        <v>0.872732597</v>
      </c>
      <c r="AQ2335" s="82">
        <f>IFERROR(__xludf.DUMMYFUNCTION("""COMPUTED_VALUE"""),0.9589709586574368)</f>
        <v>0.9589709587</v>
      </c>
      <c r="AR2335" s="82">
        <f>IFERROR(__xludf.DUMMYFUNCTION("""COMPUTED_VALUE"""),1.2715021130361879)</f>
        <v>1.271502113</v>
      </c>
      <c r="AS2335" s="82">
        <f>IFERROR(__xludf.DUMMYFUNCTION("""COMPUTED_VALUE"""),49.0)</f>
        <v>49</v>
      </c>
      <c r="AT2335" s="82">
        <f>IFERROR(__xludf.DUMMYFUNCTION("""COMPUTED_VALUE"""),0.5331450899641901)</f>
        <v>0.53314509</v>
      </c>
      <c r="AU2335" s="82">
        <f>IFERROR(__xludf.DUMMYFUNCTION("""COMPUTED_VALUE"""),3.598562368267204)</f>
        <v>3.598562368</v>
      </c>
      <c r="AV2335" s="82">
        <f>IFERROR(__xludf.DUMMYFUNCTION("""COMPUTED_VALUE"""),65.74383543184662)</f>
        <v>65.74383543</v>
      </c>
      <c r="AW2335" s="82">
        <f t="shared" si="1"/>
        <v>3.781748291</v>
      </c>
      <c r="AX2335" s="83">
        <f t="array" ref="AX2335">IFERROR(DGET('SBV Import'!A:G,"SBV",{"RSC ID","Tier";B2335,A2335}))</f>
        <v>46.39566471</v>
      </c>
      <c r="AY2335" s="82">
        <f t="shared" si="2"/>
        <v>-2.258959081</v>
      </c>
      <c r="AZ2335" s="82">
        <v>6.040707372736309</v>
      </c>
      <c r="BA2335" s="84">
        <v>2300.0</v>
      </c>
      <c r="BB2335" s="84" t="b">
        <f>IFERROR(__xludf.DUMMYFUNCTION("iferror(if(A2335="""",,E2335&gt;=FILTER(Constants!$F$2:$F$10,Constants!$A$2:$A$10=A2335)))"),TRUE)</f>
        <v>1</v>
      </c>
    </row>
    <row r="2336">
      <c r="A2336" s="89" t="str">
        <f>IFERROR(__xludf.DUMMYFUNCTION("""COMPUTED_VALUE"""),"Challenger")</f>
        <v>Challenger</v>
      </c>
      <c r="B2336" s="87" t="str">
        <f>IFERROR(__xludf.DUMMYFUNCTION("""COMPUTED_VALUE"""),"RSC000426")</f>
        <v>RSC000426</v>
      </c>
      <c r="C2336" s="73" t="str">
        <f>IFERROR(__xludf.DUMMYFUNCTION("""COMPUTED_VALUE"""),"struttrl")</f>
        <v>struttrl</v>
      </c>
      <c r="D2336" s="73" t="str">
        <f>IFERROR(__xludf.DUMMYFUNCTION("""COMPUTED_VALUE"""),"Void")</f>
        <v>Void</v>
      </c>
      <c r="E2336" s="82">
        <f>IFERROR(__xludf.DUMMYFUNCTION("""COMPUTED_VALUE"""),36.0)</f>
        <v>36</v>
      </c>
      <c r="F2336" s="82">
        <f>IFERROR(__xludf.DUMMYFUNCTION("""COMPUTED_VALUE"""),24.0)</f>
        <v>24</v>
      </c>
      <c r="G2336" s="86">
        <f>IFERROR(__xludf.DUMMYFUNCTION("""COMPUTED_VALUE"""),12.0)</f>
        <v>12</v>
      </c>
      <c r="H2336" s="86">
        <f>IFERROR(__xludf.DUMMYFUNCTION("""COMPUTED_VALUE"""),0.6666666666666666)</f>
        <v>0.6666666667</v>
      </c>
      <c r="I2336" s="86">
        <f>IFERROR(__xludf.DUMMYFUNCTION("""COMPUTED_VALUE"""),0.4177215189873417)</f>
        <v>0.417721519</v>
      </c>
      <c r="J2336" s="82">
        <f>IFERROR(__xludf.DUMMYFUNCTION("""COMPUTED_VALUE"""),342.55555555555554)</f>
        <v>342.5555556</v>
      </c>
      <c r="K2336" s="82">
        <f>IFERROR(__xludf.DUMMYFUNCTION("""COMPUTED_VALUE"""),0.9166666666666666)</f>
        <v>0.9166666667</v>
      </c>
      <c r="L2336" s="82">
        <f>IFERROR(__xludf.DUMMYFUNCTION("""COMPUTED_VALUE"""),0.6111111111111112)</f>
        <v>0.6111111111</v>
      </c>
      <c r="M2336" s="82">
        <f>IFERROR(__xludf.DUMMYFUNCTION("""COMPUTED_VALUE"""),1.0277777777777777)</f>
        <v>1.027777778</v>
      </c>
      <c r="N2336" s="82">
        <f>IFERROR(__xludf.DUMMYFUNCTION("""COMPUTED_VALUE"""),2.1944444444444446)</f>
        <v>2.194444444</v>
      </c>
      <c r="O2336" s="82">
        <f>IFERROR(__xludf.DUMMYFUNCTION("""COMPUTED_VALUE"""),314.43518518518505)</f>
        <v>314.4351852</v>
      </c>
      <c r="P2336" s="82">
        <f>IFERROR(__xludf.DUMMYFUNCTION("""COMPUTED_VALUE"""),0.6296296296296295)</f>
        <v>0.6296296296</v>
      </c>
      <c r="Q2336" s="82">
        <f>IFERROR(__xludf.DUMMYFUNCTION("""COMPUTED_VALUE"""),0.45370370370370366)</f>
        <v>0.4537037037</v>
      </c>
      <c r="R2336" s="82">
        <f>IFERROR(__xludf.DUMMYFUNCTION("""COMPUTED_VALUE"""),1.1296296296296298)</f>
        <v>1.12962963</v>
      </c>
      <c r="S2336" s="82">
        <f>IFERROR(__xludf.DUMMYFUNCTION("""COMPUTED_VALUE"""),2.148148148148148)</f>
        <v>2.148148148</v>
      </c>
      <c r="T2336" s="82">
        <f>IFERROR(__xludf.DUMMYFUNCTION("""COMPUTED_VALUE"""),332.07572617432675)</f>
        <v>332.0757262</v>
      </c>
      <c r="U2336" s="82">
        <f>IFERROR(__xludf.DUMMYFUNCTION("""COMPUTED_VALUE"""),0.7988504842524182)</f>
        <v>0.7988504843</v>
      </c>
      <c r="V2336" s="82">
        <f>IFERROR(__xludf.DUMMYFUNCTION("""COMPUTED_VALUE"""),0.5160258608086107)</f>
        <v>0.5160258608</v>
      </c>
      <c r="W2336" s="82">
        <f>IFERROR(__xludf.DUMMYFUNCTION("""COMPUTED_VALUE"""),1.1976392066948265)</f>
        <v>1.197639207</v>
      </c>
      <c r="X2336" s="82">
        <f>IFERROR(__xludf.DUMMYFUNCTION("""COMPUTED_VALUE"""),2.3643704430832138)</f>
        <v>2.364370443</v>
      </c>
      <c r="Y2336" s="82">
        <f>IFERROR(__xludf.DUMMYFUNCTION("""COMPUTED_VALUE"""),332.14237991948704)</f>
        <v>332.1423799</v>
      </c>
      <c r="Z2336" s="82">
        <f>IFERROR(__xludf.DUMMYFUNCTION("""COMPUTED_VALUE"""),0.7846304463507026)</f>
        <v>0.7846304464</v>
      </c>
      <c r="AA2336" s="82">
        <f>IFERROR(__xludf.DUMMYFUNCTION("""COMPUTED_VALUE"""),0.5230243852729618)</f>
        <v>0.5230243853</v>
      </c>
      <c r="AB2336" s="82">
        <f>IFERROR(__xludf.DUMMYFUNCTION("""COMPUTED_VALUE"""),1.1835554321391006)</f>
        <v>1.183555432</v>
      </c>
      <c r="AC2336" s="82">
        <f>IFERROR(__xludf.DUMMYFUNCTION("""COMPUTED_VALUE"""),2.428558704371798)</f>
        <v>2.428558704</v>
      </c>
      <c r="AD2336" s="82">
        <f>IFERROR(__xludf.DUMMYFUNCTION("""COMPUTED_VALUE"""),1.0313515415846441)</f>
        <v>1.031351542</v>
      </c>
      <c r="AE2336" s="82">
        <f>IFERROR(__xludf.DUMMYFUNCTION("""COMPUTED_VALUE"""),1.1682782269411816)</f>
        <v>1.168278227</v>
      </c>
      <c r="AF2336" s="82">
        <f>IFERROR(__xludf.DUMMYFUNCTION("""COMPUTED_VALUE"""),1.1684180094053889)</f>
        <v>1.168418009</v>
      </c>
      <c r="AG2336" s="82">
        <f>IFERROR(__xludf.DUMMYFUNCTION("""COMPUTED_VALUE"""),0.8683816151476927)</f>
        <v>0.8683816151</v>
      </c>
      <c r="AH2336" s="82">
        <f>IFERROR(__xludf.DUMMYFUNCTION("""COMPUTED_VALUE"""),0.9035995055396808)</f>
        <v>0.9035995055</v>
      </c>
      <c r="AI2336" s="82">
        <f>IFERROR(__xludf.DUMMYFUNCTION("""COMPUTED_VALUE"""),0.9468779570480225)</f>
        <v>0.946877957</v>
      </c>
      <c r="AJ2336" s="82">
        <f>IFERROR(__xludf.DUMMYFUNCTION("""COMPUTED_VALUE"""),0.7881695536791853)</f>
        <v>0.7881695537</v>
      </c>
      <c r="AK2336" s="82">
        <f>IFERROR(__xludf.DUMMYFUNCTION("""COMPUTED_VALUE"""),0.8792266786644212)</f>
        <v>0.8792266787</v>
      </c>
      <c r="AL2336" s="82">
        <f>IFERROR(__xludf.DUMMYFUNCTION("""COMPUTED_VALUE"""),0.9432136350538444)</f>
        <v>0.9432136351</v>
      </c>
      <c r="AM2336" s="82">
        <f>IFERROR(__xludf.DUMMYFUNCTION("""COMPUTED_VALUE"""),0.9085497386555446)</f>
        <v>0.9085497387</v>
      </c>
      <c r="AN2336" s="82">
        <f>IFERROR(__xludf.DUMMYFUNCTION("""COMPUTED_VALUE"""),1.0421148013877994)</f>
        <v>1.042114801</v>
      </c>
      <c r="AO2336" s="82">
        <f>IFERROR(__xludf.DUMMYFUNCTION("""COMPUTED_VALUE"""),1.2088510409400286)</f>
        <v>1.208851041</v>
      </c>
      <c r="AP2336" s="82">
        <f>IFERROR(__xludf.DUMMYFUNCTION("""COMPUTED_VALUE"""),1.1851924156141296)</f>
        <v>1.185192416</v>
      </c>
      <c r="AQ2336" s="82">
        <f>IFERROR(__xludf.DUMMYFUNCTION("""COMPUTED_VALUE"""),0.8570513398629266)</f>
        <v>0.8570513399</v>
      </c>
      <c r="AR2336" s="82">
        <f>IFERROR(__xludf.DUMMYFUNCTION("""COMPUTED_VALUE"""),0.9148330321480771)</f>
        <v>0.9148330321</v>
      </c>
      <c r="AS2336" s="82">
        <f>IFERROR(__xludf.DUMMYFUNCTION("""COMPUTED_VALUE"""),94.0)</f>
        <v>94</v>
      </c>
      <c r="AT2336" s="82">
        <f>IFERROR(__xludf.DUMMYFUNCTION("""COMPUTED_VALUE"""),0.6221246637083208)</f>
        <v>0.6221246637</v>
      </c>
      <c r="AU2336" s="82">
        <f>IFERROR(__xludf.DUMMYFUNCTION("""COMPUTED_VALUE"""),3.498645549527923)</f>
        <v>3.49864555</v>
      </c>
      <c r="AV2336" s="82">
        <f>IFERROR(__xludf.DUMMYFUNCTION("""COMPUTED_VALUE"""),63.10181915801094)</f>
        <v>63.10181916</v>
      </c>
      <c r="AW2336" s="82">
        <f t="shared" si="1"/>
        <v>3.332067539</v>
      </c>
      <c r="AX2336" s="83">
        <f t="array" ref="AX2336">IFERROR(DGET('SBV Import'!A:G,"SBV",{"RSC ID","Tier";B2336,A2336}))</f>
        <v>59.2107069</v>
      </c>
      <c r="AY2336" s="82">
        <f t="shared" si="2"/>
        <v>2.806805146</v>
      </c>
      <c r="AZ2336" s="82">
        <v>0.5252623929790547</v>
      </c>
      <c r="BA2336" s="84">
        <v>2300.0</v>
      </c>
      <c r="BB2336" s="84" t="b">
        <f>IFERROR(__xludf.DUMMYFUNCTION("iferror(if(A2336="""",,E2336&gt;=FILTER(Constants!$F$2:$F$10,Constants!$A$2:$A$10=A2336)))"),TRUE)</f>
        <v>1</v>
      </c>
    </row>
    <row r="2337">
      <c r="A2337" s="89" t="str">
        <f>IFERROR(__xludf.DUMMYFUNCTION("""COMPUTED_VALUE"""),"Challenger")</f>
        <v>Challenger</v>
      </c>
      <c r="B2337" s="87" t="str">
        <f>IFERROR(__xludf.DUMMYFUNCTION("""COMPUTED_VALUE"""),"RSC007313")</f>
        <v>RSC007313</v>
      </c>
      <c r="C2337" s="73" t="str">
        <f>IFERROR(__xludf.DUMMYFUNCTION("""COMPUTED_VALUE"""),"xNunYaBidn3ss")</f>
        <v>xNunYaBidn3ss</v>
      </c>
      <c r="D2337" s="73" t="str">
        <f>IFERROR(__xludf.DUMMYFUNCTION("""COMPUTED_VALUE"""),"Zombies")</f>
        <v>Zombies</v>
      </c>
      <c r="E2337" s="82">
        <f>IFERROR(__xludf.DUMMYFUNCTION("""COMPUTED_VALUE"""),19.0)</f>
        <v>19</v>
      </c>
      <c r="F2337" s="82">
        <f>IFERROR(__xludf.DUMMYFUNCTION("""COMPUTED_VALUE"""),11.0)</f>
        <v>11</v>
      </c>
      <c r="G2337" s="86">
        <f>IFERROR(__xludf.DUMMYFUNCTION("""COMPUTED_VALUE"""),8.0)</f>
        <v>8</v>
      </c>
      <c r="H2337" s="86">
        <f>IFERROR(__xludf.DUMMYFUNCTION("""COMPUTED_VALUE"""),0.5789473684210527)</f>
        <v>0.5789473684</v>
      </c>
      <c r="I2337" s="86">
        <f>IFERROR(__xludf.DUMMYFUNCTION("""COMPUTED_VALUE"""),0.3125)</f>
        <v>0.3125</v>
      </c>
      <c r="J2337" s="82">
        <f>IFERROR(__xludf.DUMMYFUNCTION("""COMPUTED_VALUE"""),364.2631578947368)</f>
        <v>364.2631579</v>
      </c>
      <c r="K2337" s="82">
        <f>IFERROR(__xludf.DUMMYFUNCTION("""COMPUTED_VALUE"""),0.7894736842105263)</f>
        <v>0.7894736842</v>
      </c>
      <c r="L2337" s="82">
        <f>IFERROR(__xludf.DUMMYFUNCTION("""COMPUTED_VALUE"""),0.5263157894736842)</f>
        <v>0.5263157895</v>
      </c>
      <c r="M2337" s="82">
        <f>IFERROR(__xludf.DUMMYFUNCTION("""COMPUTED_VALUE"""),1.5789473684210527)</f>
        <v>1.578947368</v>
      </c>
      <c r="N2337" s="82">
        <f>IFERROR(__xludf.DUMMYFUNCTION("""COMPUTED_VALUE"""),2.526315789473684)</f>
        <v>2.526315789</v>
      </c>
      <c r="O2337" s="82">
        <f>IFERROR(__xludf.DUMMYFUNCTION("""COMPUTED_VALUE"""),294.7894736842105)</f>
        <v>294.7894737</v>
      </c>
      <c r="P2337" s="82">
        <f>IFERROR(__xludf.DUMMYFUNCTION("""COMPUTED_VALUE"""),0.6140350877192983)</f>
        <v>0.6140350877</v>
      </c>
      <c r="Q2337" s="82">
        <f>IFERROR(__xludf.DUMMYFUNCTION("""COMPUTED_VALUE"""),0.40350877192982454)</f>
        <v>0.4035087719</v>
      </c>
      <c r="R2337" s="82">
        <f>IFERROR(__xludf.DUMMYFUNCTION("""COMPUTED_VALUE"""),1.192982456140351)</f>
        <v>1.192982456</v>
      </c>
      <c r="S2337" s="82">
        <f>IFERROR(__xludf.DUMMYFUNCTION("""COMPUTED_VALUE"""),2.228070175438597)</f>
        <v>2.228070175</v>
      </c>
      <c r="T2337" s="82">
        <f>IFERROR(__xludf.DUMMYFUNCTION("""COMPUTED_VALUE"""),341.7912754937941)</f>
        <v>341.7912755</v>
      </c>
      <c r="U2337" s="82">
        <f>IFERROR(__xludf.DUMMYFUNCTION("""COMPUTED_VALUE"""),0.7982328612534345)</f>
        <v>0.7982328613</v>
      </c>
      <c r="V2337" s="82">
        <f>IFERROR(__xludf.DUMMYFUNCTION("""COMPUTED_VALUE"""),0.5672100406676707)</f>
        <v>0.5672100407</v>
      </c>
      <c r="W2337" s="82">
        <f>IFERROR(__xludf.DUMMYFUNCTION("""COMPUTED_VALUE"""),1.224043701101027)</f>
        <v>1.224043701</v>
      </c>
      <c r="X2337" s="82">
        <f>IFERROR(__xludf.DUMMYFUNCTION("""COMPUTED_VALUE"""),2.4989507957836623)</f>
        <v>2.498950796</v>
      </c>
      <c r="Y2337" s="82">
        <f>IFERROR(__xludf.DUMMYFUNCTION("""COMPUTED_VALUE"""),342.41480525373134)</f>
        <v>342.4148053</v>
      </c>
      <c r="Z2337" s="82">
        <f>IFERROR(__xludf.DUMMYFUNCTION("""COMPUTED_VALUE"""),0.7743134955702368)</f>
        <v>0.7743134956</v>
      </c>
      <c r="AA2337" s="82">
        <f>IFERROR(__xludf.DUMMYFUNCTION("""COMPUTED_VALUE"""),0.542177262712234)</f>
        <v>0.5421772627</v>
      </c>
      <c r="AB2337" s="82">
        <f>IFERROR(__xludf.DUMMYFUNCTION("""COMPUTED_VALUE"""),1.2988312710311611)</f>
        <v>1.298831271</v>
      </c>
      <c r="AC2337" s="82">
        <f>IFERROR(__xludf.DUMMYFUNCTION("""COMPUTED_VALUE"""),2.478604639165493)</f>
        <v>2.478604639</v>
      </c>
      <c r="AD2337" s="82">
        <f>IFERROR(__xludf.DUMMYFUNCTION("""COMPUTED_VALUE"""),1.0638066821462808)</f>
        <v>1.063806682</v>
      </c>
      <c r="AE2337" s="82">
        <f>IFERROR(__xludf.DUMMYFUNCTION("""COMPUTED_VALUE"""),1.0195788769368213)</f>
        <v>1.019578877</v>
      </c>
      <c r="AF2337" s="82">
        <f>IFERROR(__xludf.DUMMYFUNCTION("""COMPUTED_VALUE"""),0.97074485720924)</f>
        <v>0.9707448572</v>
      </c>
      <c r="AG2337" s="82">
        <f>IFERROR(__xludf.DUMMYFUNCTION("""COMPUTED_VALUE"""),1.2156678112373314)</f>
        <v>1.215667811</v>
      </c>
      <c r="AH2337" s="82">
        <f>IFERROR(__xludf.DUMMYFUNCTION("""COMPUTED_VALUE"""),1.0192491975340832)</f>
        <v>1.019249198</v>
      </c>
      <c r="AI2337" s="82">
        <f>IFERROR(__xludf.DUMMYFUNCTION("""COMPUTED_VALUE"""),0.8624839041263446)</f>
        <v>0.8624839041</v>
      </c>
      <c r="AJ2337" s="82">
        <f>IFERROR(__xludf.DUMMYFUNCTION("""COMPUTED_VALUE"""),0.7692430586672446)</f>
        <v>0.7692430587</v>
      </c>
      <c r="AK2337" s="82">
        <f>IFERROR(__xludf.DUMMYFUNCTION("""COMPUTED_VALUE"""),0.7113921528167041)</f>
        <v>0.7113921528</v>
      </c>
      <c r="AL2337" s="82">
        <f>IFERROR(__xludf.DUMMYFUNCTION("""COMPUTED_VALUE"""),0.9746240718916029)</f>
        <v>0.9746240719</v>
      </c>
      <c r="AM2337" s="82">
        <f>IFERROR(__xludf.DUMMYFUNCTION("""COMPUTED_VALUE"""),0.8916022593153469)</f>
        <v>0.8916022593</v>
      </c>
      <c r="AN2337" s="82">
        <f>IFERROR(__xludf.DUMMYFUNCTION("""COMPUTED_VALUE"""),1.1081531806621139)</f>
        <v>1.108153181</v>
      </c>
      <c r="AO2337" s="82">
        <f>IFERROR(__xludf.DUMMYFUNCTION("""COMPUTED_VALUE"""),1.0411157290392592)</f>
        <v>1.041115729</v>
      </c>
      <c r="AP2337" s="82">
        <f>IFERROR(__xludf.DUMMYFUNCTION("""COMPUTED_VALUE"""),1.0207398794762836)</f>
        <v>1.020739879</v>
      </c>
      <c r="AQ2337" s="82">
        <f>IFERROR(__xludf.DUMMYFUNCTION("""COMPUTED_VALUE"""),1.3166649317951078)</f>
        <v>1.316664932</v>
      </c>
      <c r="AR2337" s="82">
        <f>IFERROR(__xludf.DUMMYFUNCTION("""COMPUTED_VALUE"""),1.0531855293483523)</f>
        <v>1.053185529</v>
      </c>
      <c r="AS2337" s="82">
        <f>IFERROR(__xludf.DUMMYFUNCTION("""COMPUTED_VALUE"""),51.0)</f>
        <v>51</v>
      </c>
      <c r="AT2337" s="82">
        <f>IFERROR(__xludf.DUMMYFUNCTION("""COMPUTED_VALUE"""),0.6412241705906524)</f>
        <v>0.6412241706</v>
      </c>
      <c r="AU2337" s="82">
        <f>IFERROR(__xludf.DUMMYFUNCTION("""COMPUTED_VALUE"""),3.4842724493458563)</f>
        <v>3.484272449</v>
      </c>
      <c r="AV2337" s="82">
        <f>IFERROR(__xludf.DUMMYFUNCTION("""COMPUTED_VALUE"""),62.72176337695592)</f>
        <v>62.72176338</v>
      </c>
      <c r="AW2337" s="82">
        <f t="shared" si="1"/>
        <v>3.274163875</v>
      </c>
      <c r="AX2337" s="83">
        <f t="array" ref="AX2337">IFERROR(DGET('SBV Import'!A:G,"SBV",{"RSC ID","Tier";B2337,A2337}))</f>
        <v>67.02301319</v>
      </c>
      <c r="AY2337" s="82">
        <f t="shared" si="2"/>
        <v>4.032894071</v>
      </c>
      <c r="AZ2337" s="82">
        <v>0.7587301956559744</v>
      </c>
      <c r="BA2337" s="84">
        <v>2300.0</v>
      </c>
      <c r="BB2337" s="84" t="b">
        <f>IFERROR(__xludf.DUMMYFUNCTION("iferror(if(A2337="""",,E2337&gt;=FILTER(Constants!$F$2:$F$10,Constants!$A$2:$A$10=A2337)))"),TRUE)</f>
        <v>1</v>
      </c>
    </row>
    <row r="2338">
      <c r="A2338" s="89" t="str">
        <f>IFERROR(__xludf.DUMMYFUNCTION("""COMPUTED_VALUE"""),"Challenger")</f>
        <v>Challenger</v>
      </c>
      <c r="B2338" s="87" t="str">
        <f>IFERROR(__xludf.DUMMYFUNCTION("""COMPUTED_VALUE"""),"RSC004028")</f>
        <v>RSC004028</v>
      </c>
      <c r="C2338" s="73" t="str">
        <f>IFERROR(__xludf.DUMMYFUNCTION("""COMPUTED_VALUE"""),"parker on 3 legs")</f>
        <v>parker on 3 legs</v>
      </c>
      <c r="D2338" s="73" t="str">
        <f>IFERROR(__xludf.DUMMYFUNCTION("""COMPUTED_VALUE"""),"Solstice Sake")</f>
        <v>Solstice Sake</v>
      </c>
      <c r="E2338" s="82">
        <f>IFERROR(__xludf.DUMMYFUNCTION("""COMPUTED_VALUE"""),21.0)</f>
        <v>21</v>
      </c>
      <c r="F2338" s="82">
        <f>IFERROR(__xludf.DUMMYFUNCTION("""COMPUTED_VALUE"""),12.0)</f>
        <v>12</v>
      </c>
      <c r="G2338" s="86">
        <f>IFERROR(__xludf.DUMMYFUNCTION("""COMPUTED_VALUE"""),9.0)</f>
        <v>9</v>
      </c>
      <c r="H2338" s="86">
        <f>IFERROR(__xludf.DUMMYFUNCTION("""COMPUTED_VALUE"""),0.5714285714285714)</f>
        <v>0.5714285714</v>
      </c>
      <c r="I2338" s="86">
        <f>IFERROR(__xludf.DUMMYFUNCTION("""COMPUTED_VALUE"""),0.25490196078431376)</f>
        <v>0.2549019608</v>
      </c>
      <c r="J2338" s="82">
        <f>IFERROR(__xludf.DUMMYFUNCTION("""COMPUTED_VALUE"""),395.6666666666667)</f>
        <v>395.6666667</v>
      </c>
      <c r="K2338" s="82">
        <f>IFERROR(__xludf.DUMMYFUNCTION("""COMPUTED_VALUE"""),0.6190476190476191)</f>
        <v>0.619047619</v>
      </c>
      <c r="L2338" s="82">
        <f>IFERROR(__xludf.DUMMYFUNCTION("""COMPUTED_VALUE"""),0.8095238095238095)</f>
        <v>0.8095238095</v>
      </c>
      <c r="M2338" s="82">
        <f>IFERROR(__xludf.DUMMYFUNCTION("""COMPUTED_VALUE"""),1.8095238095238095)</f>
        <v>1.80952381</v>
      </c>
      <c r="N2338" s="82">
        <f>IFERROR(__xludf.DUMMYFUNCTION("""COMPUTED_VALUE"""),2.4285714285714284)</f>
        <v>2.428571429</v>
      </c>
      <c r="O2338" s="82">
        <f>IFERROR(__xludf.DUMMYFUNCTION("""COMPUTED_VALUE"""),336.95238095238096)</f>
        <v>336.952381</v>
      </c>
      <c r="P2338" s="82">
        <f>IFERROR(__xludf.DUMMYFUNCTION("""COMPUTED_VALUE"""),0.7936507936507935)</f>
        <v>0.7936507937</v>
      </c>
      <c r="Q2338" s="82">
        <f>IFERROR(__xludf.DUMMYFUNCTION("""COMPUTED_VALUE"""),0.5396825396825397)</f>
        <v>0.5396825397</v>
      </c>
      <c r="R2338" s="82">
        <f>IFERROR(__xludf.DUMMYFUNCTION("""COMPUTED_VALUE"""),1.1269841269841272)</f>
        <v>1.126984127</v>
      </c>
      <c r="S2338" s="82">
        <f>IFERROR(__xludf.DUMMYFUNCTION("""COMPUTED_VALUE"""),2.5238095238095237)</f>
        <v>2.523809524</v>
      </c>
      <c r="T2338" s="82">
        <f>IFERROR(__xludf.DUMMYFUNCTION("""COMPUTED_VALUE"""),336.3579884780663)</f>
        <v>336.3579885</v>
      </c>
      <c r="U2338" s="82">
        <f>IFERROR(__xludf.DUMMYFUNCTION("""COMPUTED_VALUE"""),0.7854926128422612)</f>
        <v>0.7854926128</v>
      </c>
      <c r="V2338" s="82">
        <f>IFERROR(__xludf.DUMMYFUNCTION("""COMPUTED_VALUE"""),0.5512219811676197)</f>
        <v>0.5512219812</v>
      </c>
      <c r="W2338" s="82">
        <f>IFERROR(__xludf.DUMMYFUNCTION("""COMPUTED_VALUE"""),1.2310489419994153)</f>
        <v>1.231048942</v>
      </c>
      <c r="X2338" s="82">
        <f>IFERROR(__xludf.DUMMYFUNCTION("""COMPUTED_VALUE"""),2.4141594119157537)</f>
        <v>2.414159412</v>
      </c>
      <c r="Y2338" s="82">
        <f>IFERROR(__xludf.DUMMYFUNCTION("""COMPUTED_VALUE"""),336.0754679064384)</f>
        <v>336.0754679</v>
      </c>
      <c r="Z2338" s="82">
        <f>IFERROR(__xludf.DUMMYFUNCTION("""COMPUTED_VALUE"""),0.8086181002241197)</f>
        <v>0.8086181002</v>
      </c>
      <c r="AA2338" s="82">
        <f>IFERROR(__xludf.DUMMYFUNCTION("""COMPUTED_VALUE"""),0.5554483950155651)</f>
        <v>0.555448395</v>
      </c>
      <c r="AB2338" s="82">
        <f>IFERROR(__xludf.DUMMYFUNCTION("""COMPUTED_VALUE"""),1.142693272625434)</f>
        <v>1.142693273</v>
      </c>
      <c r="AC2338" s="82">
        <f>IFERROR(__xludf.DUMMYFUNCTION("""COMPUTED_VALUE"""),2.4858586286369517)</f>
        <v>2.485858629</v>
      </c>
      <c r="AD2338" s="82">
        <f>IFERROR(__xludf.DUMMYFUNCTION("""COMPUTED_VALUE"""),1.177314932064063)</f>
        <v>1.177314932</v>
      </c>
      <c r="AE2338" s="82">
        <f>IFERROR(__xludf.DUMMYFUNCTION("""COMPUTED_VALUE"""),0.7655624068717253)</f>
        <v>0.7655624069</v>
      </c>
      <c r="AF2338" s="82">
        <f>IFERROR(__xludf.DUMMYFUNCTION("""COMPUTED_VALUE"""),1.4574239781557468)</f>
        <v>1.457423978</v>
      </c>
      <c r="AG2338" s="82">
        <f>IFERROR(__xludf.DUMMYFUNCTION("""COMPUTED_VALUE"""),1.5835603944410002)</f>
        <v>1.583560394</v>
      </c>
      <c r="AH2338" s="82">
        <f>IFERROR(__xludf.DUMMYFUNCTION("""COMPUTED_VALUE"""),0.9769547634746489)</f>
        <v>0.9769547635</v>
      </c>
      <c r="AI2338" s="82">
        <f>IFERROR(__xludf.DUMMYFUNCTION("""COMPUTED_VALUE"""),1.0017671424335843)</f>
        <v>1.001767142</v>
      </c>
      <c r="AJ2338" s="82">
        <f>IFERROR(__xludf.DUMMYFUNCTION("""COMPUTED_VALUE"""),1.0103860694233804)</f>
        <v>1.010386069</v>
      </c>
      <c r="AK2338" s="82">
        <f>IFERROR(__xludf.DUMMYFUNCTION("""COMPUTED_VALUE"""),0.9790657087719239)</f>
        <v>0.9790657088</v>
      </c>
      <c r="AL2338" s="82">
        <f>IFERROR(__xludf.DUMMYFUNCTION("""COMPUTED_VALUE"""),0.9154665493264057)</f>
        <v>0.9154665493</v>
      </c>
      <c r="AM2338" s="82">
        <f>IFERROR(__xludf.DUMMYFUNCTION("""COMPUTED_VALUE"""),1.0454195822167176)</f>
        <v>1.045419582</v>
      </c>
      <c r="AN2338" s="82">
        <f>IFERROR(__xludf.DUMMYFUNCTION("""COMPUTED_VALUE"""),1.2036882282653112)</f>
        <v>1.203688228</v>
      </c>
      <c r="AO2338" s="82">
        <f>IFERROR(__xludf.DUMMYFUNCTION("""COMPUTED_VALUE"""),0.8163669367387207)</f>
        <v>0.8163669367</v>
      </c>
      <c r="AP2338" s="82">
        <f>IFERROR(__xludf.DUMMYFUNCTION("""COMPUTED_VALUE"""),1.5699951479563794)</f>
        <v>1.569995148</v>
      </c>
      <c r="AQ2338" s="82">
        <f>IFERROR(__xludf.DUMMYFUNCTION("""COMPUTED_VALUE"""),1.5089398107239171)</f>
        <v>1.508939811</v>
      </c>
      <c r="AR2338" s="82">
        <f>IFERROR(__xludf.DUMMYFUNCTION("""COMPUTED_VALUE"""),1.0124372797009458)</f>
        <v>1.01243728</v>
      </c>
      <c r="AS2338" s="82">
        <f>IFERROR(__xludf.DUMMYFUNCTION("""COMPUTED_VALUE"""),57.0)</f>
        <v>57</v>
      </c>
      <c r="AT2338" s="82">
        <f>IFERROR(__xludf.DUMMYFUNCTION("""COMPUTED_VALUE"""),0.5520814512577507)</f>
        <v>0.5520814513</v>
      </c>
      <c r="AU2338" s="82">
        <f>IFERROR(__xludf.DUMMYFUNCTION("""COMPUTED_VALUE"""),3.477734407862947)</f>
        <v>3.477734408</v>
      </c>
      <c r="AV2338" s="82">
        <f>IFERROR(__xludf.DUMMYFUNCTION("""COMPUTED_VALUE"""),62.54888345328729)</f>
        <v>62.54888345</v>
      </c>
      <c r="AW2338" s="82">
        <f t="shared" si="1"/>
        <v>3.248340833</v>
      </c>
      <c r="AX2338" s="83">
        <f t="array" ref="AX2338">IFERROR(DGET('SBV Import'!A:G,"SBV",{"RSC ID","Tier";B2338,A2338}))</f>
        <v>65.89451939</v>
      </c>
      <c r="AY2338" s="82">
        <f t="shared" si="2"/>
        <v>3.810109337</v>
      </c>
      <c r="AZ2338" s="82">
        <v>0.5617685035907867</v>
      </c>
      <c r="BA2338" s="84">
        <v>2300.0</v>
      </c>
      <c r="BB2338" s="84" t="b">
        <f>IFERROR(__xludf.DUMMYFUNCTION("iferror(if(A2338="""",,E2338&gt;=FILTER(Constants!$F$2:$F$10,Constants!$A$2:$A$10=A2338)))"),TRUE)</f>
        <v>1</v>
      </c>
    </row>
    <row r="2339">
      <c r="A2339" s="89" t="str">
        <f>IFERROR(__xludf.DUMMYFUNCTION("""COMPUTED_VALUE"""),"Challenger")</f>
        <v>Challenger</v>
      </c>
      <c r="B2339" s="87" t="str">
        <f>IFERROR(__xludf.DUMMYFUNCTION("""COMPUTED_VALUE"""),"RSC007934")</f>
        <v>RSC007934</v>
      </c>
      <c r="C2339" s="73" t="str">
        <f>IFERROR(__xludf.DUMMYFUNCTION("""COMPUTED_VALUE"""),"Chicknn.")</f>
        <v>Chicknn.</v>
      </c>
      <c r="D2339" s="73"/>
      <c r="E2339" s="82">
        <f>IFERROR(__xludf.DUMMYFUNCTION("""COMPUTED_VALUE"""),26.0)</f>
        <v>26</v>
      </c>
      <c r="F2339" s="82">
        <f>IFERROR(__xludf.DUMMYFUNCTION("""COMPUTED_VALUE"""),10.0)</f>
        <v>10</v>
      </c>
      <c r="G2339" s="86">
        <f>IFERROR(__xludf.DUMMYFUNCTION("""COMPUTED_VALUE"""),16.0)</f>
        <v>16</v>
      </c>
      <c r="H2339" s="86">
        <f>IFERROR(__xludf.DUMMYFUNCTION("""COMPUTED_VALUE"""),0.38461538461538464)</f>
        <v>0.3846153846</v>
      </c>
      <c r="I2339" s="86">
        <f>IFERROR(__xludf.DUMMYFUNCTION("""COMPUTED_VALUE"""),0.30434782608695654)</f>
        <v>0.3043478261</v>
      </c>
      <c r="J2339" s="82">
        <f>IFERROR(__xludf.DUMMYFUNCTION("""COMPUTED_VALUE"""),354.9230769230769)</f>
        <v>354.9230769</v>
      </c>
      <c r="K2339" s="82">
        <f>IFERROR(__xludf.DUMMYFUNCTION("""COMPUTED_VALUE"""),0.8076923076923077)</f>
        <v>0.8076923077</v>
      </c>
      <c r="L2339" s="82">
        <f>IFERROR(__xludf.DUMMYFUNCTION("""COMPUTED_VALUE"""),0.7692307692307693)</f>
        <v>0.7692307692</v>
      </c>
      <c r="M2339" s="82">
        <f>IFERROR(__xludf.DUMMYFUNCTION("""COMPUTED_VALUE"""),1.1923076923076923)</f>
        <v>1.192307692</v>
      </c>
      <c r="N2339" s="82">
        <f>IFERROR(__xludf.DUMMYFUNCTION("""COMPUTED_VALUE"""),2.6538461538461537)</f>
        <v>2.653846154</v>
      </c>
      <c r="O2339" s="82">
        <f>IFERROR(__xludf.DUMMYFUNCTION("""COMPUTED_VALUE"""),353.3717948717949)</f>
        <v>353.3717949</v>
      </c>
      <c r="P2339" s="82">
        <f>IFERROR(__xludf.DUMMYFUNCTION("""COMPUTED_VALUE"""),0.9871794871794871)</f>
        <v>0.9871794872</v>
      </c>
      <c r="Q2339" s="82">
        <f>IFERROR(__xludf.DUMMYFUNCTION("""COMPUTED_VALUE"""),0.6538461538461539)</f>
        <v>0.6538461538</v>
      </c>
      <c r="R2339" s="82">
        <f>IFERROR(__xludf.DUMMYFUNCTION("""COMPUTED_VALUE"""),1.1153846153846154)</f>
        <v>1.115384615</v>
      </c>
      <c r="S2339" s="82">
        <f>IFERROR(__xludf.DUMMYFUNCTION("""COMPUTED_VALUE"""),2.7564102564102564)</f>
        <v>2.756410256</v>
      </c>
      <c r="T2339" s="82">
        <f>IFERROR(__xludf.DUMMYFUNCTION("""COMPUTED_VALUE"""),337.17292366096297)</f>
        <v>337.1729237</v>
      </c>
      <c r="U2339" s="82">
        <f>IFERROR(__xludf.DUMMYFUNCTION("""COMPUTED_VALUE"""),0.7840714644570089)</f>
        <v>0.7840714645</v>
      </c>
      <c r="V2339" s="82">
        <f>IFERROR(__xludf.DUMMYFUNCTION("""COMPUTED_VALUE"""),0.5495095439086698)</f>
        <v>0.5495095439</v>
      </c>
      <c r="W2339" s="82">
        <f>IFERROR(__xludf.DUMMYFUNCTION("""COMPUTED_VALUE"""),1.1894417672657946)</f>
        <v>1.189441767</v>
      </c>
      <c r="X2339" s="82">
        <f>IFERROR(__xludf.DUMMYFUNCTION("""COMPUTED_VALUE"""),2.501457460695799)</f>
        <v>2.501457461</v>
      </c>
      <c r="Y2339" s="82">
        <f>IFERROR(__xludf.DUMMYFUNCTION("""COMPUTED_VALUE"""),344.75001512275253)</f>
        <v>344.7500151</v>
      </c>
      <c r="Z2339" s="82">
        <f>IFERROR(__xludf.DUMMYFUNCTION("""COMPUTED_VALUE"""),0.8040187226239965)</f>
        <v>0.8040187226</v>
      </c>
      <c r="AA2339" s="82">
        <f>IFERROR(__xludf.DUMMYFUNCTION("""COMPUTED_VALUE"""),0.542441023597974)</f>
        <v>0.5424410236</v>
      </c>
      <c r="AB2339" s="82">
        <f>IFERROR(__xludf.DUMMYFUNCTION("""COMPUTED_VALUE"""),1.285884627788924)</f>
        <v>1.285884628</v>
      </c>
      <c r="AC2339" s="82">
        <f>IFERROR(__xludf.DUMMYFUNCTION("""COMPUTED_VALUE"""),2.4710138358097256)</f>
        <v>2.471013836</v>
      </c>
      <c r="AD2339" s="82">
        <f>IFERROR(__xludf.DUMMYFUNCTION("""COMPUTED_VALUE"""),1.029508517343218)</f>
        <v>1.029508517</v>
      </c>
      <c r="AE2339" s="82">
        <f>IFERROR(__xludf.DUMMYFUNCTION("""COMPUTED_VALUE"""),1.0045690292588239)</f>
        <v>1.004569029</v>
      </c>
      <c r="AF2339" s="82">
        <f>IFERROR(__xludf.DUMMYFUNCTION("""COMPUTED_VALUE"""),1.4180910656950585)</f>
        <v>1.418091066</v>
      </c>
      <c r="AG2339" s="82">
        <f>IFERROR(__xludf.DUMMYFUNCTION("""COMPUTED_VALUE"""),0.9272275805628557)</f>
        <v>0.9272275806</v>
      </c>
      <c r="AH2339" s="82">
        <f>IFERROR(__xludf.DUMMYFUNCTION("""COMPUTED_VALUE"""),1.073990811134619)</f>
        <v>1.073990811</v>
      </c>
      <c r="AI2339" s="82">
        <f>IFERROR(__xludf.DUMMYFUNCTION("""COMPUTED_VALUE"""),1.0480432148434327)</f>
        <v>1.048043215</v>
      </c>
      <c r="AJ2339" s="82">
        <f>IFERROR(__xludf.DUMMYFUNCTION("""COMPUTED_VALUE"""),1.2590427428233677)</f>
        <v>1.259042743</v>
      </c>
      <c r="AK2339" s="82">
        <f>IFERROR(__xludf.DUMMYFUNCTION("""COMPUTED_VALUE"""),1.1898722435198053)</f>
        <v>1.189872244</v>
      </c>
      <c r="AL2339" s="82">
        <f>IFERROR(__xludf.DUMMYFUNCTION("""COMPUTED_VALUE"""),0.9377378919092302)</f>
        <v>0.9377378919</v>
      </c>
      <c r="AM2339" s="82">
        <f>IFERROR(__xludf.DUMMYFUNCTION("""COMPUTED_VALUE"""),1.101921699537333)</f>
        <v>1.1019217</v>
      </c>
      <c r="AN2339" s="82">
        <f>IFERROR(__xludf.DUMMYFUNCTION("""COMPUTED_VALUE"""),1.0797389965425725)</f>
        <v>1.079738997</v>
      </c>
      <c r="AO2339" s="82">
        <f>IFERROR(__xludf.DUMMYFUNCTION("""COMPUTED_VALUE"""),1.065141476632473)</f>
        <v>1.065141477</v>
      </c>
      <c r="AP2339" s="82">
        <f>IFERROR(__xludf.DUMMYFUNCTION("""COMPUTED_VALUE"""),1.4918505930807224)</f>
        <v>1.491850593</v>
      </c>
      <c r="AQ2339" s="82">
        <f>IFERROR(__xludf.DUMMYFUNCTION("""COMPUTED_VALUE"""),0.9942508267016904)</f>
        <v>0.9942508267</v>
      </c>
      <c r="AR2339" s="82">
        <f>IFERROR(__xludf.DUMMYFUNCTION("""COMPUTED_VALUE"""),1.106351145012572)</f>
        <v>1.106351145</v>
      </c>
      <c r="AS2339" s="82">
        <f>IFERROR(__xludf.DUMMYFUNCTION("""COMPUTED_VALUE"""),65.0)</f>
        <v>65</v>
      </c>
      <c r="AT2339" s="82">
        <f>IFERROR(__xludf.DUMMYFUNCTION("""COMPUTED_VALUE"""),0.43148764299191616)</f>
        <v>0.431487643</v>
      </c>
      <c r="AU2339" s="82">
        <f>IFERROR(__xludf.DUMMYFUNCTION("""COMPUTED_VALUE"""),3.466614673122426)</f>
        <v>3.466614673</v>
      </c>
      <c r="AV2339" s="82">
        <f>IFERROR(__xludf.DUMMYFUNCTION("""COMPUTED_VALUE"""),62.2548536741582)</f>
        <v>62.25485367</v>
      </c>
      <c r="AW2339" s="82">
        <f t="shared" si="1"/>
        <v>3.205146069</v>
      </c>
      <c r="AX2339" s="83">
        <f t="array" ref="AX2339">IFERROR(DGET('SBV Import'!A:G,"SBV",{"RSC ID","Tier";B2339,A2339}))</f>
        <v>54.47943174</v>
      </c>
      <c r="AY2339" s="82">
        <f t="shared" si="2"/>
        <v>2.331549861</v>
      </c>
      <c r="AZ2339" s="82">
        <v>0.8735962074765782</v>
      </c>
      <c r="BA2339" s="84">
        <v>2300.0</v>
      </c>
      <c r="BB2339" s="84" t="b">
        <f>IFERROR(__xludf.DUMMYFUNCTION("iferror(if(A2339="""",,E2339&gt;=FILTER(Constants!$F$2:$F$10,Constants!$A$2:$A$10=A2339)))"),TRUE)</f>
        <v>1</v>
      </c>
    </row>
    <row r="2340">
      <c r="A2340" s="89" t="str">
        <f>IFERROR(__xludf.DUMMYFUNCTION("""COMPUTED_VALUE"""),"Challenger")</f>
        <v>Challenger</v>
      </c>
      <c r="B2340" s="87" t="str">
        <f>IFERROR(__xludf.DUMMYFUNCTION("""COMPUTED_VALUE"""),"RSC006659")</f>
        <v>RSC006659</v>
      </c>
      <c r="C2340" s="73" t="str">
        <f>IFERROR(__xludf.DUMMYFUNCTION("""COMPUTED_VALUE"""),"Zalama")</f>
        <v>Zalama</v>
      </c>
      <c r="D2340" s="73" t="str">
        <f>IFERROR(__xludf.DUMMYFUNCTION("""COMPUTED_VALUE"""),"Solstice Sake")</f>
        <v>Solstice Sake</v>
      </c>
      <c r="E2340" s="82">
        <f>IFERROR(__xludf.DUMMYFUNCTION("""COMPUTED_VALUE"""),26.0)</f>
        <v>26</v>
      </c>
      <c r="F2340" s="82">
        <f>IFERROR(__xludf.DUMMYFUNCTION("""COMPUTED_VALUE"""),15.0)</f>
        <v>15</v>
      </c>
      <c r="G2340" s="86">
        <f>IFERROR(__xludf.DUMMYFUNCTION("""COMPUTED_VALUE"""),11.0)</f>
        <v>11</v>
      </c>
      <c r="H2340" s="86">
        <f>IFERROR(__xludf.DUMMYFUNCTION("""COMPUTED_VALUE"""),0.5769230769230769)</f>
        <v>0.5769230769</v>
      </c>
      <c r="I2340" s="86">
        <f>IFERROR(__xludf.DUMMYFUNCTION("""COMPUTED_VALUE"""),0.42424242424242425)</f>
        <v>0.4242424242</v>
      </c>
      <c r="J2340" s="82">
        <f>IFERROR(__xludf.DUMMYFUNCTION("""COMPUTED_VALUE"""),321.4230769230769)</f>
        <v>321.4230769</v>
      </c>
      <c r="K2340" s="82">
        <f>IFERROR(__xludf.DUMMYFUNCTION("""COMPUTED_VALUE"""),1.0769230769230769)</f>
        <v>1.076923077</v>
      </c>
      <c r="L2340" s="82">
        <f>IFERROR(__xludf.DUMMYFUNCTION("""COMPUTED_VALUE"""),0.4230769230769231)</f>
        <v>0.4230769231</v>
      </c>
      <c r="M2340" s="82">
        <f>IFERROR(__xludf.DUMMYFUNCTION("""COMPUTED_VALUE"""),0.7307692307692307)</f>
        <v>0.7307692308</v>
      </c>
      <c r="N2340" s="82">
        <f>IFERROR(__xludf.DUMMYFUNCTION("""COMPUTED_VALUE"""),2.5384615384615383)</f>
        <v>2.538461538</v>
      </c>
      <c r="O2340" s="82">
        <f>IFERROR(__xludf.DUMMYFUNCTION("""COMPUTED_VALUE"""),329.33333333333326)</f>
        <v>329.3333333</v>
      </c>
      <c r="P2340" s="82">
        <f>IFERROR(__xludf.DUMMYFUNCTION("""COMPUTED_VALUE"""),0.7564102564102562)</f>
        <v>0.7564102564</v>
      </c>
      <c r="Q2340" s="82">
        <f>IFERROR(__xludf.DUMMYFUNCTION("""COMPUTED_VALUE"""),0.4615384615384616)</f>
        <v>0.4615384615</v>
      </c>
      <c r="R2340" s="82">
        <f>IFERROR(__xludf.DUMMYFUNCTION("""COMPUTED_VALUE"""),1.1794871794871795)</f>
        <v>1.179487179</v>
      </c>
      <c r="S2340" s="82">
        <f>IFERROR(__xludf.DUMMYFUNCTION("""COMPUTED_VALUE"""),2.423076923076923)</f>
        <v>2.423076923</v>
      </c>
      <c r="T2340" s="82">
        <f>IFERROR(__xludf.DUMMYFUNCTION("""COMPUTED_VALUE"""),338.49352736991136)</f>
        <v>338.4935274</v>
      </c>
      <c r="U2340" s="82">
        <f>IFERROR(__xludf.DUMMYFUNCTION("""COMPUTED_VALUE"""),0.8196173384998383)</f>
        <v>0.8196173385</v>
      </c>
      <c r="V2340" s="82">
        <f>IFERROR(__xludf.DUMMYFUNCTION("""COMPUTED_VALUE"""),0.5744641044916718)</f>
        <v>0.5744641045</v>
      </c>
      <c r="W2340" s="82">
        <f>IFERROR(__xludf.DUMMYFUNCTION("""COMPUTED_VALUE"""),1.1972224343225224)</f>
        <v>1.197222434</v>
      </c>
      <c r="X2340" s="82">
        <f>IFERROR(__xludf.DUMMYFUNCTION("""COMPUTED_VALUE"""),2.488952588106998)</f>
        <v>2.488952588</v>
      </c>
      <c r="Y2340" s="82">
        <f>IFERROR(__xludf.DUMMYFUNCTION("""COMPUTED_VALUE"""),335.080965168333)</f>
        <v>335.0809652</v>
      </c>
      <c r="Z2340" s="82">
        <f>IFERROR(__xludf.DUMMYFUNCTION("""COMPUTED_VALUE"""),0.7797929404397792)</f>
        <v>0.7797929404</v>
      </c>
      <c r="AA2340" s="82">
        <f>IFERROR(__xludf.DUMMYFUNCTION("""COMPUTED_VALUE"""),0.5459602106481529)</f>
        <v>0.5459602106</v>
      </c>
      <c r="AB2340" s="82">
        <f>IFERROR(__xludf.DUMMYFUNCTION("""COMPUTED_VALUE"""),1.1957624368474873)</f>
        <v>1.195762437</v>
      </c>
      <c r="AC2340" s="82">
        <f>IFERROR(__xludf.DUMMYFUNCTION("""COMPUTED_VALUE"""),2.4252980280763885)</f>
        <v>2.425298028</v>
      </c>
      <c r="AD2340" s="82">
        <f>IFERROR(__xludf.DUMMYFUNCTION("""COMPUTED_VALUE"""),0.9592400354988984)</f>
        <v>0.9592400355</v>
      </c>
      <c r="AE2340" s="82">
        <f>IFERROR(__xludf.DUMMYFUNCTION("""COMPUTED_VALUE"""),1.3810372229270573)</f>
        <v>1.381037223</v>
      </c>
      <c r="AF2340" s="82">
        <f>IFERROR(__xludf.DUMMYFUNCTION("""COMPUTED_VALUE"""),0.7749226314032203)</f>
        <v>0.7749226314</v>
      </c>
      <c r="AG2340" s="82">
        <f>IFERROR(__xludf.DUMMYFUNCTION("""COMPUTED_VALUE"""),0.6111324526097621)</f>
        <v>0.6111324526</v>
      </c>
      <c r="AH2340" s="82">
        <f>IFERROR(__xludf.DUMMYFUNCTION("""COMPUTED_VALUE"""),1.0466596307237774)</f>
        <v>1.046659631</v>
      </c>
      <c r="AI2340" s="82">
        <f>IFERROR(__xludf.DUMMYFUNCTION("""COMPUTED_VALUE"""),0.9729383480158317)</f>
        <v>0.972938348</v>
      </c>
      <c r="AJ2340" s="82">
        <f>IFERROR(__xludf.DUMMYFUNCTION("""COMPUTED_VALUE"""),0.9228822047551223)</f>
        <v>0.9228822048</v>
      </c>
      <c r="AK2340" s="82">
        <f>IFERROR(__xludf.DUMMYFUNCTION("""COMPUTED_VALUE"""),0.8034243705215748)</f>
        <v>0.8034243705</v>
      </c>
      <c r="AL2340" s="82">
        <f>IFERROR(__xludf.DUMMYFUNCTION("""COMPUTED_VALUE"""),0.9851863326923215)</f>
        <v>0.9851863327</v>
      </c>
      <c r="AM2340" s="82">
        <f>IFERROR(__xludf.DUMMYFUNCTION("""COMPUTED_VALUE"""),0.9735327762590377)</f>
        <v>0.9735327763</v>
      </c>
      <c r="AN2340" s="82">
        <f>IFERROR(__xludf.DUMMYFUNCTION("""COMPUTED_VALUE"""),0.9778260505099998)</f>
        <v>0.9778260505</v>
      </c>
      <c r="AO2340" s="82">
        <f>IFERROR(__xludf.DUMMYFUNCTION("""COMPUTED_VALUE"""),1.4201886355099638)</f>
        <v>1.420188636</v>
      </c>
      <c r="AP2340" s="82">
        <f>IFERROR(__xludf.DUMMYFUNCTION("""COMPUTED_VALUE"""),0.8205178261943973)</f>
        <v>0.8205178262</v>
      </c>
      <c r="AQ2340" s="82">
        <f>IFERROR(__xludf.DUMMYFUNCTION("""COMPUTED_VALUE"""),0.6093795389461973)</f>
        <v>0.6093795389</v>
      </c>
      <c r="AR2340" s="82">
        <f>IFERROR(__xludf.DUMMYFUNCTION("""COMPUTED_VALUE"""),1.0582489213163733)</f>
        <v>1.058248921</v>
      </c>
      <c r="AS2340" s="82">
        <f>IFERROR(__xludf.DUMMYFUNCTION("""COMPUTED_VALUE"""),68.0)</f>
        <v>68</v>
      </c>
      <c r="AT2340" s="82">
        <f>IFERROR(__xludf.DUMMYFUNCTION("""COMPUTED_VALUE"""),0.5557216584304306)</f>
        <v>0.5557216584</v>
      </c>
      <c r="AU2340" s="82">
        <f>IFERROR(__xludf.DUMMYFUNCTION("""COMPUTED_VALUE"""),3.45743766901062)</f>
        <v>3.457437669</v>
      </c>
      <c r="AV2340" s="82">
        <f>IFERROR(__xludf.DUMMYFUNCTION("""COMPUTED_VALUE"""),62.0121938846015)</f>
        <v>62.01219388</v>
      </c>
      <c r="AW2340" s="82">
        <f t="shared" si="1"/>
        <v>3.170171939</v>
      </c>
      <c r="AX2340" s="83">
        <f t="array" ref="AX2340">IFERROR(DGET('SBV Import'!A:G,"SBV",{"RSC ID","Tier";B2340,A2340}))</f>
        <v>43.48422141</v>
      </c>
      <c r="AY2340" s="82">
        <f t="shared" si="2"/>
        <v>-2.517696351</v>
      </c>
      <c r="AZ2340" s="82">
        <v>5.687868290558772</v>
      </c>
      <c r="BA2340" s="84">
        <v>2300.0</v>
      </c>
      <c r="BB2340" s="84" t="b">
        <f>IFERROR(__xludf.DUMMYFUNCTION("iferror(if(A2340="""",,E2340&gt;=FILTER(Constants!$F$2:$F$10,Constants!$A$2:$A$10=A2340)))"),TRUE)</f>
        <v>1</v>
      </c>
    </row>
    <row r="2341">
      <c r="A2341" s="89" t="str">
        <f>IFERROR(__xludf.DUMMYFUNCTION("""COMPUTED_VALUE"""),"Challenger")</f>
        <v>Challenger</v>
      </c>
      <c r="B2341" s="87" t="str">
        <f>IFERROR(__xludf.DUMMYFUNCTION("""COMPUTED_VALUE"""),"RSC006092")</f>
        <v>RSC006092</v>
      </c>
      <c r="C2341" s="73" t="str">
        <f>IFERROR(__xludf.DUMMYFUNCTION("""COMPUTED_VALUE"""),"Mickstery")</f>
        <v>Mickstery</v>
      </c>
      <c r="D2341" s="73" t="str">
        <f>IFERROR(__xludf.DUMMYFUNCTION("""COMPUTED_VALUE"""),"Void")</f>
        <v>Void</v>
      </c>
      <c r="E2341" s="82">
        <f>IFERROR(__xludf.DUMMYFUNCTION("""COMPUTED_VALUE"""),19.0)</f>
        <v>19</v>
      </c>
      <c r="F2341" s="82">
        <f>IFERROR(__xludf.DUMMYFUNCTION("""COMPUTED_VALUE"""),13.0)</f>
        <v>13</v>
      </c>
      <c r="G2341" s="86">
        <f>IFERROR(__xludf.DUMMYFUNCTION("""COMPUTED_VALUE"""),6.0)</f>
        <v>6</v>
      </c>
      <c r="H2341" s="86">
        <f>IFERROR(__xludf.DUMMYFUNCTION("""COMPUTED_VALUE"""),0.6842105263157895)</f>
        <v>0.6842105263</v>
      </c>
      <c r="I2341" s="86">
        <f>IFERROR(__xludf.DUMMYFUNCTION("""COMPUTED_VALUE"""),0.39024390243902435)</f>
        <v>0.3902439024</v>
      </c>
      <c r="J2341" s="82">
        <f>IFERROR(__xludf.DUMMYFUNCTION("""COMPUTED_VALUE"""),326.6842105263158)</f>
        <v>326.6842105</v>
      </c>
      <c r="K2341" s="82">
        <f>IFERROR(__xludf.DUMMYFUNCTION("""COMPUTED_VALUE"""),0.8421052631578947)</f>
        <v>0.8421052632</v>
      </c>
      <c r="L2341" s="82">
        <f>IFERROR(__xludf.DUMMYFUNCTION("""COMPUTED_VALUE"""),0.7368421052631579)</f>
        <v>0.7368421053</v>
      </c>
      <c r="M2341" s="82">
        <f>IFERROR(__xludf.DUMMYFUNCTION("""COMPUTED_VALUE"""),1.0)</f>
        <v>1</v>
      </c>
      <c r="N2341" s="82">
        <f>IFERROR(__xludf.DUMMYFUNCTION("""COMPUTED_VALUE"""),2.1578947368421053)</f>
        <v>2.157894737</v>
      </c>
      <c r="O2341" s="82">
        <f>IFERROR(__xludf.DUMMYFUNCTION("""COMPUTED_VALUE"""),322.68421052631584)</f>
        <v>322.6842105</v>
      </c>
      <c r="P2341" s="82">
        <f>IFERROR(__xludf.DUMMYFUNCTION("""COMPUTED_VALUE"""),0.6842105263157895)</f>
        <v>0.6842105263</v>
      </c>
      <c r="Q2341" s="82">
        <f>IFERROR(__xludf.DUMMYFUNCTION("""COMPUTED_VALUE"""),0.4736842105263157)</f>
        <v>0.4736842105</v>
      </c>
      <c r="R2341" s="82">
        <f>IFERROR(__xludf.DUMMYFUNCTION("""COMPUTED_VALUE"""),1.0175438596491226)</f>
        <v>1.01754386</v>
      </c>
      <c r="S2341" s="82">
        <f>IFERROR(__xludf.DUMMYFUNCTION("""COMPUTED_VALUE"""),2.1578947368421053)</f>
        <v>2.157894737</v>
      </c>
      <c r="T2341" s="82">
        <f>IFERROR(__xludf.DUMMYFUNCTION("""COMPUTED_VALUE"""),334.73583895049666)</f>
        <v>334.735839</v>
      </c>
      <c r="U2341" s="82">
        <f>IFERROR(__xludf.DUMMYFUNCTION("""COMPUTED_VALUE"""),0.7854587126502314)</f>
        <v>0.7854587127</v>
      </c>
      <c r="V2341" s="82">
        <f>IFERROR(__xludf.DUMMYFUNCTION("""COMPUTED_VALUE"""),0.5544980316815005)</f>
        <v>0.5544980317</v>
      </c>
      <c r="W2341" s="82">
        <f>IFERROR(__xludf.DUMMYFUNCTION("""COMPUTED_VALUE"""),1.2086353554407732)</f>
        <v>1.208635355</v>
      </c>
      <c r="X2341" s="82">
        <f>IFERROR(__xludf.DUMMYFUNCTION("""COMPUTED_VALUE"""),2.351852732771591)</f>
        <v>2.351852733</v>
      </c>
      <c r="Y2341" s="82">
        <f>IFERROR(__xludf.DUMMYFUNCTION("""COMPUTED_VALUE"""),338.7387919669346)</f>
        <v>338.738792</v>
      </c>
      <c r="Z2341" s="82">
        <f>IFERROR(__xludf.DUMMYFUNCTION("""COMPUTED_VALUE"""),0.7994308429487381)</f>
        <v>0.7994308429</v>
      </c>
      <c r="AA2341" s="82">
        <f>IFERROR(__xludf.DUMMYFUNCTION("""COMPUTED_VALUE"""),0.5366170971169051)</f>
        <v>0.5366170971</v>
      </c>
      <c r="AB2341" s="82">
        <f>IFERROR(__xludf.DUMMYFUNCTION("""COMPUTED_VALUE"""),1.1993845982005342)</f>
        <v>1.199384598</v>
      </c>
      <c r="AC2341" s="82">
        <f>IFERROR(__xludf.DUMMYFUNCTION("""COMPUTED_VALUE"""),2.480498772981811)</f>
        <v>2.480498773</v>
      </c>
      <c r="AD2341" s="82">
        <f>IFERROR(__xludf.DUMMYFUNCTION("""COMPUTED_VALUE"""),0.9644133422965164)</f>
        <v>0.9644133423</v>
      </c>
      <c r="AE2341" s="82">
        <f>IFERROR(__xludf.DUMMYFUNCTION("""COMPUTED_VALUE"""),1.053381002979257)</f>
        <v>1.053381003</v>
      </c>
      <c r="AF2341" s="82">
        <f>IFERROR(__xludf.DUMMYFUNCTION("""COMPUTED_VALUE"""),1.373124541170988)</f>
        <v>1.373124541</v>
      </c>
      <c r="AG2341" s="82">
        <f>IFERROR(__xludf.DUMMYFUNCTION("""COMPUTED_VALUE"""),0.8337609149728321)</f>
        <v>0.833760915</v>
      </c>
      <c r="AH2341" s="82">
        <f>IFERROR(__xludf.DUMMYFUNCTION("""COMPUTED_VALUE"""),0.8699438840068835)</f>
        <v>0.869943884</v>
      </c>
      <c r="AI2341" s="82">
        <f>IFERROR(__xludf.DUMMYFUNCTION("""COMPUTED_VALUE"""),0.9639965996411782)</f>
        <v>0.9639965996</v>
      </c>
      <c r="AJ2341" s="82">
        <f>IFERROR(__xludf.DUMMYFUNCTION("""COMPUTED_VALUE"""),0.8710967429556947)</f>
        <v>0.871096743</v>
      </c>
      <c r="AK2341" s="82">
        <f>IFERROR(__xludf.DUMMYFUNCTION("""COMPUTED_VALUE"""),0.8542576951804157)</f>
        <v>0.8542576952</v>
      </c>
      <c r="AL2341" s="82">
        <f>IFERROR(__xludf.DUMMYFUNCTION("""COMPUTED_VALUE"""),0.8418948321084303)</f>
        <v>0.8418948321</v>
      </c>
      <c r="AM2341" s="82">
        <f>IFERROR(__xludf.DUMMYFUNCTION("""COMPUTED_VALUE"""),0.9175297019125378)</f>
        <v>0.9175297019</v>
      </c>
      <c r="AN2341" s="82">
        <f>IFERROR(__xludf.DUMMYFUNCTION("""COMPUTED_VALUE"""),0.9938313527481204)</f>
        <v>0.9938313527</v>
      </c>
      <c r="AO2341" s="82">
        <f>IFERROR(__xludf.DUMMYFUNCTION("""COMPUTED_VALUE"""),1.110523444308543)</f>
        <v>1.110523444</v>
      </c>
      <c r="AP2341" s="82">
        <f>IFERROR(__xludf.DUMMYFUNCTION("""COMPUTED_VALUE"""),1.4290358312667972)</f>
        <v>1.429035831</v>
      </c>
      <c r="AQ2341" s="82">
        <f>IFERROR(__xludf.DUMMYFUNCTION("""COMPUTED_VALUE"""),0.8338877901369016)</f>
        <v>0.8338877901</v>
      </c>
      <c r="AR2341" s="82">
        <f>IFERROR(__xludf.DUMMYFUNCTION("""COMPUTED_VALUE"""),0.899595972985051)</f>
        <v>0.899595973</v>
      </c>
      <c r="AS2341" s="82">
        <f>IFERROR(__xludf.DUMMYFUNCTION("""COMPUTED_VALUE"""),55.0)</f>
        <v>55</v>
      </c>
      <c r="AT2341" s="82">
        <f>IFERROR(__xludf.DUMMYFUNCTION("""COMPUTED_VALUE"""),0.6327297460946073)</f>
        <v>0.6327297461</v>
      </c>
      <c r="AU2341" s="82">
        <f>IFERROR(__xludf.DUMMYFUNCTION("""COMPUTED_VALUE"""),3.45412550437634)</f>
        <v>3.454125504</v>
      </c>
      <c r="AV2341" s="82">
        <f>IFERROR(__xludf.DUMMYFUNCTION("""COMPUTED_VALUE"""),61.9246131051511)</f>
        <v>61.92461311</v>
      </c>
      <c r="AW2341" s="82">
        <f t="shared" si="1"/>
        <v>3.157696258</v>
      </c>
      <c r="AX2341" s="83">
        <f t="array" ref="AX2341">IFERROR(DGET('SBV Import'!A:G,"SBV",{"RSC ID","Tier";B2341,A2341}))</f>
        <v>56.5427677</v>
      </c>
      <c r="AY2341" s="82">
        <f t="shared" si="2"/>
        <v>2.520337598</v>
      </c>
      <c r="AZ2341" s="82">
        <v>0.6373586599893084</v>
      </c>
      <c r="BA2341" s="84">
        <v>2300.0</v>
      </c>
      <c r="BB2341" s="84" t="b">
        <f>IFERROR(__xludf.DUMMYFUNCTION("iferror(if(A2341="""",,E2341&gt;=FILTER(Constants!$F$2:$F$10,Constants!$A$2:$A$10=A2341)))"),TRUE)</f>
        <v>1</v>
      </c>
    </row>
    <row r="2342">
      <c r="A2342" s="89" t="str">
        <f>IFERROR(__xludf.DUMMYFUNCTION("""COMPUTED_VALUE"""),"Challenger")</f>
        <v>Challenger</v>
      </c>
      <c r="B2342" s="87" t="str">
        <f>IFERROR(__xludf.DUMMYFUNCTION("""COMPUTED_VALUE"""),"RSC001066")</f>
        <v>RSC001066</v>
      </c>
      <c r="C2342" s="73" t="str">
        <f>IFERROR(__xludf.DUMMYFUNCTION("""COMPUTED_VALUE"""),"risu")</f>
        <v>risu</v>
      </c>
      <c r="D2342" s="73" t="str">
        <f>IFERROR(__xludf.DUMMYFUNCTION("""COMPUTED_VALUE"""),"Trippy Hippies")</f>
        <v>Trippy Hippies</v>
      </c>
      <c r="E2342" s="82">
        <f>IFERROR(__xludf.DUMMYFUNCTION("""COMPUTED_VALUE"""),31.0)</f>
        <v>31</v>
      </c>
      <c r="F2342" s="82">
        <f>IFERROR(__xludf.DUMMYFUNCTION("""COMPUTED_VALUE"""),16.0)</f>
        <v>16</v>
      </c>
      <c r="G2342" s="86">
        <f>IFERROR(__xludf.DUMMYFUNCTION("""COMPUTED_VALUE"""),15.0)</f>
        <v>15</v>
      </c>
      <c r="H2342" s="86">
        <f>IFERROR(__xludf.DUMMYFUNCTION("""COMPUTED_VALUE"""),0.5161290322580645)</f>
        <v>0.5161290323</v>
      </c>
      <c r="I2342" s="86">
        <f>IFERROR(__xludf.DUMMYFUNCTION("""COMPUTED_VALUE"""),0.32941176470588235)</f>
        <v>0.3294117647</v>
      </c>
      <c r="J2342" s="82">
        <f>IFERROR(__xludf.DUMMYFUNCTION("""COMPUTED_VALUE"""),333.1290322580645)</f>
        <v>333.1290323</v>
      </c>
      <c r="K2342" s="82">
        <f>IFERROR(__xludf.DUMMYFUNCTION("""COMPUTED_VALUE"""),0.9032258064516129)</f>
        <v>0.9032258065</v>
      </c>
      <c r="L2342" s="82">
        <f>IFERROR(__xludf.DUMMYFUNCTION("""COMPUTED_VALUE"""),0.6129032258064516)</f>
        <v>0.6129032258</v>
      </c>
      <c r="M2342" s="82">
        <f>IFERROR(__xludf.DUMMYFUNCTION("""COMPUTED_VALUE"""),1.0)</f>
        <v>1</v>
      </c>
      <c r="N2342" s="82">
        <f>IFERROR(__xludf.DUMMYFUNCTION("""COMPUTED_VALUE"""),2.7419354838709675)</f>
        <v>2.741935484</v>
      </c>
      <c r="O2342" s="82">
        <f>IFERROR(__xludf.DUMMYFUNCTION("""COMPUTED_VALUE"""),322.9139784946237)</f>
        <v>322.9139785</v>
      </c>
      <c r="P2342" s="82">
        <f>IFERROR(__xludf.DUMMYFUNCTION("""COMPUTED_VALUE"""),0.7634408602150538)</f>
        <v>0.7634408602</v>
      </c>
      <c r="Q2342" s="82">
        <f>IFERROR(__xludf.DUMMYFUNCTION("""COMPUTED_VALUE"""),0.5591397849462365)</f>
        <v>0.5591397849</v>
      </c>
      <c r="R2342" s="82">
        <f>IFERROR(__xludf.DUMMYFUNCTION("""COMPUTED_VALUE"""),1.204301075268817)</f>
        <v>1.204301075</v>
      </c>
      <c r="S2342" s="82">
        <f>IFERROR(__xludf.DUMMYFUNCTION("""COMPUTED_VALUE"""),2.4301075268817205)</f>
        <v>2.430107527</v>
      </c>
      <c r="T2342" s="82">
        <f>IFERROR(__xludf.DUMMYFUNCTION("""COMPUTED_VALUE"""),336.69464875366964)</f>
        <v>336.6946488</v>
      </c>
      <c r="U2342" s="82">
        <f>IFERROR(__xludf.DUMMYFUNCTION("""COMPUTED_VALUE"""),0.7566353999422688)</f>
        <v>0.7566353999</v>
      </c>
      <c r="V2342" s="82">
        <f>IFERROR(__xludf.DUMMYFUNCTION("""COMPUTED_VALUE"""),0.5660235604007726)</f>
        <v>0.5660235604</v>
      </c>
      <c r="W2342" s="82">
        <f>IFERROR(__xludf.DUMMYFUNCTION("""COMPUTED_VALUE"""),1.2871342368012977)</f>
        <v>1.287134237</v>
      </c>
      <c r="X2342" s="82">
        <f>IFERROR(__xludf.DUMMYFUNCTION("""COMPUTED_VALUE"""),2.3276735865984826)</f>
        <v>2.327673587</v>
      </c>
      <c r="Y2342" s="82">
        <f>IFERROR(__xludf.DUMMYFUNCTION("""COMPUTED_VALUE"""),341.7051515389518)</f>
        <v>341.7051515</v>
      </c>
      <c r="Z2342" s="82">
        <f>IFERROR(__xludf.DUMMYFUNCTION("""COMPUTED_VALUE"""),0.8307973246518623)</f>
        <v>0.8307973247</v>
      </c>
      <c r="AA2342" s="82">
        <f>IFERROR(__xludf.DUMMYFUNCTION("""COMPUTED_VALUE"""),0.5913818769915378)</f>
        <v>0.591381877</v>
      </c>
      <c r="AB2342" s="82">
        <f>IFERROR(__xludf.DUMMYFUNCTION("""COMPUTED_VALUE"""),1.1722066712726444)</f>
        <v>1.172206671</v>
      </c>
      <c r="AC2342" s="82">
        <f>IFERROR(__xludf.DUMMYFUNCTION("""COMPUTED_VALUE"""),2.5909020721361844)</f>
        <v>2.590902072</v>
      </c>
      <c r="AD2342" s="82">
        <f>IFERROR(__xludf.DUMMYFUNCTION("""COMPUTED_VALUE"""),0.9749019900862992)</f>
        <v>0.9749019901</v>
      </c>
      <c r="AE2342" s="82">
        <f>IFERROR(__xludf.DUMMYFUNCTION("""COMPUTED_VALUE"""),1.0871794836726287)</f>
        <v>1.087179484</v>
      </c>
      <c r="AF2342" s="82">
        <f>IFERROR(__xludf.DUMMYFUNCTION("""COMPUTED_VALUE"""),1.0363916272246905)</f>
        <v>1.036391627</v>
      </c>
      <c r="AG2342" s="82">
        <f>IFERROR(__xludf.DUMMYFUNCTION("""COMPUTED_VALUE"""),0.8530918860189708)</f>
        <v>0.853091886</v>
      </c>
      <c r="AH2342" s="82">
        <f>IFERROR(__xludf.DUMMYFUNCTION("""COMPUTED_VALUE"""),1.0582937554294582)</f>
        <v>1.058293755</v>
      </c>
      <c r="AI2342" s="82">
        <f>IFERROR(__xludf.DUMMYFUNCTION("""COMPUTED_VALUE"""),0.9590707179040197)</f>
        <v>0.9590707179</v>
      </c>
      <c r="AJ2342" s="82">
        <f>IFERROR(__xludf.DUMMYFUNCTION("""COMPUTED_VALUE"""),1.008994372022911)</f>
        <v>1.008994372</v>
      </c>
      <c r="AK2342" s="82">
        <f>IFERROR(__xludf.DUMMYFUNCTION("""COMPUTED_VALUE"""),0.9878383587961214)</f>
        <v>0.9878383588</v>
      </c>
      <c r="AL2342" s="82">
        <f>IFERROR(__xludf.DUMMYFUNCTION("""COMPUTED_VALUE"""),0.9356452814600502)</f>
        <v>0.9356452815</v>
      </c>
      <c r="AM2342" s="82">
        <f>IFERROR(__xludf.DUMMYFUNCTION("""COMPUTED_VALUE"""),1.0440070037624685)</f>
        <v>1.044007004</v>
      </c>
      <c r="AN2342" s="82">
        <f>IFERROR(__xludf.DUMMYFUNCTION("""COMPUTED_VALUE"""),1.013437644370128)</f>
        <v>1.013437644</v>
      </c>
      <c r="AO2342" s="82">
        <f>IFERROR(__xludf.DUMMYFUNCTION("""COMPUTED_VALUE"""),1.1911259523631954)</f>
        <v>1.191125952</v>
      </c>
      <c r="AP2342" s="82">
        <f>IFERROR(__xludf.DUMMYFUNCTION("""COMPUTED_VALUE"""),1.1886680531965756)</f>
        <v>1.188668053</v>
      </c>
      <c r="AQ2342" s="82">
        <f>IFERROR(__xludf.DUMMYFUNCTION("""COMPUTED_VALUE"""),0.8338877901369016)</f>
        <v>0.8338877901</v>
      </c>
      <c r="AR2342" s="82">
        <f>IFERROR(__xludf.DUMMYFUNCTION("""COMPUTED_VALUE"""),1.143074348049455)</f>
        <v>1.143074348</v>
      </c>
      <c r="AS2342" s="82">
        <f>IFERROR(__xludf.DUMMYFUNCTION("""COMPUTED_VALUE"""),71.0)</f>
        <v>71</v>
      </c>
      <c r="AT2342" s="82">
        <f>IFERROR(__xludf.DUMMYFUNCTION("""COMPUTED_VALUE"""),0.5000000000000001)</f>
        <v>0.5</v>
      </c>
      <c r="AU2342" s="82">
        <f>IFERROR(__xludf.DUMMYFUNCTION("""COMPUTED_VALUE"""),3.4383196269809466)</f>
        <v>3.438319627</v>
      </c>
      <c r="AV2342" s="82">
        <f>IFERROR(__xludf.DUMMYFUNCTION("""COMPUTED_VALUE"""),61.50667160313184)</f>
        <v>61.5066716</v>
      </c>
      <c r="AW2342" s="82">
        <f t="shared" si="1"/>
        <v>3.0992151</v>
      </c>
      <c r="AX2342" s="83">
        <f t="array" ref="AX2342">IFERROR(DGET('SBV Import'!A:G,"SBV",{"RSC ID","Tier";B2342,A2342}))</f>
        <v>55.49971576</v>
      </c>
      <c r="AY2342" s="82">
        <f t="shared" si="2"/>
        <v>2.421659293</v>
      </c>
      <c r="AZ2342" s="82">
        <v>0.6775558069850045</v>
      </c>
      <c r="BA2342" s="84">
        <v>2300.0</v>
      </c>
      <c r="BB2342" s="84" t="b">
        <f>IFERROR(__xludf.DUMMYFUNCTION("iferror(if(A2342="""",,E2342&gt;=FILTER(Constants!$F$2:$F$10,Constants!$A$2:$A$10=A2342)))"),TRUE)</f>
        <v>1</v>
      </c>
    </row>
    <row r="2343">
      <c r="A2343" s="89" t="str">
        <f>IFERROR(__xludf.DUMMYFUNCTION("""COMPUTED_VALUE"""),"Challenger")</f>
        <v>Challenger</v>
      </c>
      <c r="B2343" s="87" t="str">
        <f>IFERROR(__xludf.DUMMYFUNCTION("""COMPUTED_VALUE"""),"RSC007613")</f>
        <v>RSC007613</v>
      </c>
      <c r="C2343" s="73" t="str">
        <f>IFERROR(__xludf.DUMMYFUNCTION("""COMPUTED_VALUE"""),"Squatch70")</f>
        <v>Squatch70</v>
      </c>
      <c r="D2343" s="73" t="str">
        <f>IFERROR(__xludf.DUMMYFUNCTION("""COMPUTED_VALUE"""),"Panda Bears")</f>
        <v>Panda Bears</v>
      </c>
      <c r="E2343" s="82">
        <f>IFERROR(__xludf.DUMMYFUNCTION("""COMPUTED_VALUE"""),31.0)</f>
        <v>31</v>
      </c>
      <c r="F2343" s="82">
        <f>IFERROR(__xludf.DUMMYFUNCTION("""COMPUTED_VALUE"""),17.0)</f>
        <v>17</v>
      </c>
      <c r="G2343" s="86">
        <f>IFERROR(__xludf.DUMMYFUNCTION("""COMPUTED_VALUE"""),14.0)</f>
        <v>14</v>
      </c>
      <c r="H2343" s="86">
        <f>IFERROR(__xludf.DUMMYFUNCTION("""COMPUTED_VALUE"""),0.5483870967741935)</f>
        <v>0.5483870968</v>
      </c>
      <c r="I2343" s="86">
        <f>IFERROR(__xludf.DUMMYFUNCTION("""COMPUTED_VALUE"""),0.2597402597402597)</f>
        <v>0.2597402597</v>
      </c>
      <c r="J2343" s="82">
        <f>IFERROR(__xludf.DUMMYFUNCTION("""COMPUTED_VALUE"""),364.4193548387097)</f>
        <v>364.4193548</v>
      </c>
      <c r="K2343" s="82">
        <f>IFERROR(__xludf.DUMMYFUNCTION("""COMPUTED_VALUE"""),0.6451612903225806)</f>
        <v>0.6451612903</v>
      </c>
      <c r="L2343" s="82">
        <f>IFERROR(__xludf.DUMMYFUNCTION("""COMPUTED_VALUE"""),0.7096774193548387)</f>
        <v>0.7096774194</v>
      </c>
      <c r="M2343" s="82">
        <f>IFERROR(__xludf.DUMMYFUNCTION("""COMPUTED_VALUE"""),1.5483870967741935)</f>
        <v>1.548387097</v>
      </c>
      <c r="N2343" s="82">
        <f>IFERROR(__xludf.DUMMYFUNCTION("""COMPUTED_VALUE"""),2.4838709677419355)</f>
        <v>2.483870968</v>
      </c>
      <c r="O2343" s="82">
        <f>IFERROR(__xludf.DUMMYFUNCTION("""COMPUTED_VALUE"""),336.5376344086022)</f>
        <v>336.5376344</v>
      </c>
      <c r="P2343" s="82">
        <f>IFERROR(__xludf.DUMMYFUNCTION("""COMPUTED_VALUE"""),0.6881720430107527)</f>
        <v>0.688172043</v>
      </c>
      <c r="Q2343" s="82">
        <f>IFERROR(__xludf.DUMMYFUNCTION("""COMPUTED_VALUE"""),0.4838709677419356)</f>
        <v>0.4838709677</v>
      </c>
      <c r="R2343" s="82">
        <f>IFERROR(__xludf.DUMMYFUNCTION("""COMPUTED_VALUE"""),1.3333333333333335)</f>
        <v>1.333333333</v>
      </c>
      <c r="S2343" s="82">
        <f>IFERROR(__xludf.DUMMYFUNCTION("""COMPUTED_VALUE"""),2.5806451612903225)</f>
        <v>2.580645161</v>
      </c>
      <c r="T2343" s="82">
        <f>IFERROR(__xludf.DUMMYFUNCTION("""COMPUTED_VALUE"""),345.60506230200224)</f>
        <v>345.6050623</v>
      </c>
      <c r="U2343" s="82">
        <f>IFERROR(__xludf.DUMMYFUNCTION("""COMPUTED_VALUE"""),0.8075691909341287)</f>
        <v>0.8075691909</v>
      </c>
      <c r="V2343" s="82">
        <f>IFERROR(__xludf.DUMMYFUNCTION("""COMPUTED_VALUE"""),0.5732616811335582)</f>
        <v>0.5732616811</v>
      </c>
      <c r="W2343" s="82">
        <f>IFERROR(__xludf.DUMMYFUNCTION("""COMPUTED_VALUE"""),1.3020404100895504)</f>
        <v>1.30204041</v>
      </c>
      <c r="X2343" s="82">
        <f>IFERROR(__xludf.DUMMYFUNCTION("""COMPUTED_VALUE"""),2.471154471042112)</f>
        <v>2.471154471</v>
      </c>
      <c r="Y2343" s="82">
        <f>IFERROR(__xludf.DUMMYFUNCTION("""COMPUTED_VALUE"""),332.7635857460999)</f>
        <v>332.7635857</v>
      </c>
      <c r="Z2343" s="82">
        <f>IFERROR(__xludf.DUMMYFUNCTION("""COMPUTED_VALUE"""),0.7649331171378312)</f>
        <v>0.7649331171</v>
      </c>
      <c r="AA2343" s="82">
        <f>IFERROR(__xludf.DUMMYFUNCTION("""COMPUTED_VALUE"""),0.5311846667758441)</f>
        <v>0.5311846668</v>
      </c>
      <c r="AB2343" s="82">
        <f>IFERROR(__xludf.DUMMYFUNCTION("""COMPUTED_VALUE"""),1.2206278659949954)</f>
        <v>1.220627866</v>
      </c>
      <c r="AC2343" s="82">
        <f>IFERROR(__xludf.DUMMYFUNCTION("""COMPUTED_VALUE"""),2.491060759014675)</f>
        <v>2.491060759</v>
      </c>
      <c r="AD2343" s="82">
        <f>IFERROR(__xludf.DUMMYFUNCTION("""COMPUTED_VALUE"""),1.0951299073834457)</f>
        <v>1.095129907</v>
      </c>
      <c r="AE2343" s="82">
        <f>IFERROR(__xludf.DUMMYFUNCTION("""COMPUTED_VALUE"""),0.8434218310962875)</f>
        <v>0.8434218311</v>
      </c>
      <c r="AF2343" s="82">
        <f>IFERROR(__xludf.DUMMYFUNCTION("""COMPUTED_VALUE"""),1.336027682542872)</f>
        <v>1.336027683</v>
      </c>
      <c r="AG2343" s="82">
        <f>IFERROR(__xludf.DUMMYFUNCTION("""COMPUTED_VALUE"""),1.2685169165067562)</f>
        <v>1.268516917</v>
      </c>
      <c r="AH2343" s="82">
        <f>IFERROR(__xludf.DUMMYFUNCTION("""COMPUTED_VALUE"""),0.9971137631843298)</f>
        <v>0.9971137632</v>
      </c>
      <c r="AI2343" s="82">
        <f>IFERROR(__xludf.DUMMYFUNCTION("""COMPUTED_VALUE"""),0.9737636137821482)</f>
        <v>0.9737636138</v>
      </c>
      <c r="AJ2343" s="82">
        <f>IFERROR(__xludf.DUMMYFUNCTION("""COMPUTED_VALUE"""),0.852152423267575)</f>
        <v>0.8521524233</v>
      </c>
      <c r="AK2343" s="82">
        <f>IFERROR(__xludf.DUMMYFUNCTION("""COMPUTED_VALUE"""),0.8440664772589319)</f>
        <v>0.8440664773</v>
      </c>
      <c r="AL2343" s="82">
        <f>IFERROR(__xludf.DUMMYFUNCTION("""COMPUTED_VALUE"""),1.0240337573252667)</f>
        <v>1.024033757</v>
      </c>
      <c r="AM2343" s="82">
        <f>IFERROR(__xludf.DUMMYFUNCTION("""COMPUTED_VALUE"""),1.0443075054721436)</f>
        <v>1.044307505</v>
      </c>
      <c r="AN2343" s="82">
        <f>IFERROR(__xludf.DUMMYFUNCTION("""COMPUTED_VALUE"""),1.1086283594896231)</f>
        <v>1.108628359</v>
      </c>
      <c r="AO2343" s="82">
        <f>IFERROR(__xludf.DUMMYFUNCTION("""COMPUTED_VALUE"""),0.8508042516879968)</f>
        <v>0.8508042517</v>
      </c>
      <c r="AP2343" s="82">
        <f>IFERROR(__xludf.DUMMYFUNCTION("""COMPUTED_VALUE"""),1.3763524826486666)</f>
        <v>1.376352483</v>
      </c>
      <c r="AQ2343" s="82">
        <f>IFERROR(__xludf.DUMMYFUNCTION("""COMPUTED_VALUE"""),1.291181094405525)</f>
        <v>1.291181094</v>
      </c>
      <c r="AR2343" s="82">
        <f>IFERROR(__xludf.DUMMYFUNCTION("""COMPUTED_VALUE"""),1.0354908799977416)</f>
        <v>1.03549088</v>
      </c>
      <c r="AS2343" s="82">
        <f>IFERROR(__xludf.DUMMYFUNCTION("""COMPUTED_VALUE"""),75.0)</f>
        <v>75</v>
      </c>
      <c r="AT2343" s="82">
        <f>IFERROR(__xludf.DUMMYFUNCTION("""COMPUTED_VALUE"""),0.560692448220067)</f>
        <v>0.5606924482</v>
      </c>
      <c r="AU2343" s="82">
        <f>IFERROR(__xludf.DUMMYFUNCTION("""COMPUTED_VALUE"""),3.435055230544476)</f>
        <v>3.435055231</v>
      </c>
      <c r="AV2343" s="82">
        <f>IFERROR(__xludf.DUMMYFUNCTION("""COMPUTED_VALUE"""),61.42035391789898)</f>
        <v>61.42035392</v>
      </c>
      <c r="AW2343" s="82">
        <f t="shared" si="1"/>
        <v>3.087350582</v>
      </c>
      <c r="AX2343" s="83">
        <f t="array" ref="AX2343">IFERROR(DGET('SBV Import'!A:G,"SBV",{"RSC ID","Tier";B2343,A2343}))</f>
        <v>52.90637209</v>
      </c>
      <c r="AY2343" s="82">
        <f t="shared" si="2"/>
        <v>2.203976867</v>
      </c>
      <c r="AZ2343" s="82">
        <v>0.8833737147607623</v>
      </c>
      <c r="BA2343" s="84">
        <v>2300.0</v>
      </c>
      <c r="BB2343" s="84" t="b">
        <f>IFERROR(__xludf.DUMMYFUNCTION("iferror(if(A2343="""",,E2343&gt;=FILTER(Constants!$F$2:$F$10,Constants!$A$2:$A$10=A2343)))"),TRUE)</f>
        <v>1</v>
      </c>
    </row>
    <row r="2344">
      <c r="A2344" s="89" t="str">
        <f>IFERROR(__xludf.DUMMYFUNCTION("""COMPUTED_VALUE"""),"Challenger")</f>
        <v>Challenger</v>
      </c>
      <c r="B2344" s="87" t="str">
        <f>IFERROR(__xludf.DUMMYFUNCTION("""COMPUTED_VALUE"""),"RSC006072")</f>
        <v>RSC006072</v>
      </c>
      <c r="C2344" s="73" t="str">
        <f>IFERROR(__xludf.DUMMYFUNCTION("""COMPUTED_VALUE"""),"AveX InceptionZ")</f>
        <v>AveX InceptionZ</v>
      </c>
      <c r="D2344" s="73" t="str">
        <f>IFERROR(__xludf.DUMMYFUNCTION("""COMPUTED_VALUE"""),"Ryujin")</f>
        <v>Ryujin</v>
      </c>
      <c r="E2344" s="82">
        <f>IFERROR(__xludf.DUMMYFUNCTION("""COMPUTED_VALUE"""),24.0)</f>
        <v>24</v>
      </c>
      <c r="F2344" s="82">
        <f>IFERROR(__xludf.DUMMYFUNCTION("""COMPUTED_VALUE"""),17.0)</f>
        <v>17</v>
      </c>
      <c r="G2344" s="86">
        <f>IFERROR(__xludf.DUMMYFUNCTION("""COMPUTED_VALUE"""),7.0)</f>
        <v>7</v>
      </c>
      <c r="H2344" s="86">
        <f>IFERROR(__xludf.DUMMYFUNCTION("""COMPUTED_VALUE"""),0.7083333333333334)</f>
        <v>0.7083333333</v>
      </c>
      <c r="I2344" s="86">
        <f>IFERROR(__xludf.DUMMYFUNCTION("""COMPUTED_VALUE"""),0.30909090909090914)</f>
        <v>0.3090909091</v>
      </c>
      <c r="J2344" s="82">
        <f>IFERROR(__xludf.DUMMYFUNCTION("""COMPUTED_VALUE"""),330.875)</f>
        <v>330.875</v>
      </c>
      <c r="K2344" s="82">
        <f>IFERROR(__xludf.DUMMYFUNCTION("""COMPUTED_VALUE"""),0.7083333333333334)</f>
        <v>0.7083333333</v>
      </c>
      <c r="L2344" s="82">
        <f>IFERROR(__xludf.DUMMYFUNCTION("""COMPUTED_VALUE"""),0.5)</f>
        <v>0.5</v>
      </c>
      <c r="M2344" s="82">
        <f>IFERROR(__xludf.DUMMYFUNCTION("""COMPUTED_VALUE"""),1.375)</f>
        <v>1.375</v>
      </c>
      <c r="N2344" s="82">
        <f>IFERROR(__xludf.DUMMYFUNCTION("""COMPUTED_VALUE"""),2.2916666666666665)</f>
        <v>2.291666667</v>
      </c>
      <c r="O2344" s="82">
        <f>IFERROR(__xludf.DUMMYFUNCTION("""COMPUTED_VALUE"""),299.6944444444444)</f>
        <v>299.6944444</v>
      </c>
      <c r="P2344" s="82">
        <f>IFERROR(__xludf.DUMMYFUNCTION("""COMPUTED_VALUE"""),0.5416666666666666)</f>
        <v>0.5416666667</v>
      </c>
      <c r="Q2344" s="82">
        <f>IFERROR(__xludf.DUMMYFUNCTION("""COMPUTED_VALUE"""),0.37500000000000006)</f>
        <v>0.375</v>
      </c>
      <c r="R2344" s="82">
        <f>IFERROR(__xludf.DUMMYFUNCTION("""COMPUTED_VALUE"""),1.1944444444444442)</f>
        <v>1.194444444</v>
      </c>
      <c r="S2344" s="82">
        <f>IFERROR(__xludf.DUMMYFUNCTION("""COMPUTED_VALUE"""),2.0277777777777772)</f>
        <v>2.027777778</v>
      </c>
      <c r="T2344" s="82">
        <f>IFERROR(__xludf.DUMMYFUNCTION("""COMPUTED_VALUE"""),337.1796493415397)</f>
        <v>337.1796493</v>
      </c>
      <c r="U2344" s="82">
        <f>IFERROR(__xludf.DUMMYFUNCTION("""COMPUTED_VALUE"""),0.7874146627603036)</f>
        <v>0.7874146628</v>
      </c>
      <c r="V2344" s="82">
        <f>IFERROR(__xludf.DUMMYFUNCTION("""COMPUTED_VALUE"""),0.566303044561267)</f>
        <v>0.5663030446</v>
      </c>
      <c r="W2344" s="82">
        <f>IFERROR(__xludf.DUMMYFUNCTION("""COMPUTED_VALUE"""),1.125468573055543)</f>
        <v>1.125468573</v>
      </c>
      <c r="X2344" s="82">
        <f>IFERROR(__xludf.DUMMYFUNCTION("""COMPUTED_VALUE"""),2.496159130058297)</f>
        <v>2.49615913</v>
      </c>
      <c r="Y2344" s="82">
        <f>IFERROR(__xludf.DUMMYFUNCTION("""COMPUTED_VALUE"""),310.5915518130125)</f>
        <v>310.5915518</v>
      </c>
      <c r="Z2344" s="82">
        <f>IFERROR(__xludf.DUMMYFUNCTION("""COMPUTED_VALUE"""),0.6771747425598714)</f>
        <v>0.6771747426</v>
      </c>
      <c r="AA2344" s="82">
        <f>IFERROR(__xludf.DUMMYFUNCTION("""COMPUTED_VALUE"""),0.440883045022786)</f>
        <v>0.440883045</v>
      </c>
      <c r="AB2344" s="82">
        <f>IFERROR(__xludf.DUMMYFUNCTION("""COMPUTED_VALUE"""),1.1996249288271306)</f>
        <v>1.199624929</v>
      </c>
      <c r="AC2344" s="82">
        <f>IFERROR(__xludf.DUMMYFUNCTION("""COMPUTED_VALUE"""),2.1881385032160297)</f>
        <v>2.188138503</v>
      </c>
      <c r="AD2344" s="82">
        <f>IFERROR(__xludf.DUMMYFUNCTION("""COMPUTED_VALUE"""),1.0653058593145472)</f>
        <v>1.065305859</v>
      </c>
      <c r="AE2344" s="82">
        <f>IFERROR(__xludf.DUMMYFUNCTION("""COMPUTED_VALUE"""),1.0460126298504218)</f>
        <v>1.04601263</v>
      </c>
      <c r="AF2344" s="82">
        <f>IFERROR(__xludf.DUMMYFUNCTION("""COMPUTED_VALUE"""),1.1340876126777764)</f>
        <v>1.134087613</v>
      </c>
      <c r="AG2344" s="82">
        <f>IFERROR(__xludf.DUMMYFUNCTION("""COMPUTED_VALUE"""),1.1461915861854697)</f>
        <v>1.146191586</v>
      </c>
      <c r="AH2344" s="82">
        <f>IFERROR(__xludf.DUMMYFUNCTION("""COMPUTED_VALUE"""),1.0473133502739775)</f>
        <v>1.04731335</v>
      </c>
      <c r="AI2344" s="82">
        <f>IFERROR(__xludf.DUMMYFUNCTION("""COMPUTED_VALUE"""),0.8888272024414933)</f>
        <v>0.8888272024</v>
      </c>
      <c r="AJ2344" s="82">
        <f>IFERROR(__xludf.DUMMYFUNCTION("""COMPUTED_VALUE"""),0.6879052325084211)</f>
        <v>0.6879052325</v>
      </c>
      <c r="AK2344" s="82">
        <f>IFERROR(__xludf.DUMMYFUNCTION("""COMPUTED_VALUE"""),0.6621896237385135)</f>
        <v>0.6621896237</v>
      </c>
      <c r="AL2344" s="82">
        <f>IFERROR(__xludf.DUMMYFUNCTION("""COMPUTED_VALUE"""),1.0612863593353283)</f>
        <v>1.061286359</v>
      </c>
      <c r="AM2344" s="82">
        <f>IFERROR(__xludf.DUMMYFUNCTION("""COMPUTED_VALUE"""),0.8123591774897857)</f>
        <v>0.8123591775</v>
      </c>
      <c r="AN2344" s="82">
        <f>IFERROR(__xludf.DUMMYFUNCTION("""COMPUTED_VALUE"""),1.0065804781649996)</f>
        <v>1.006580478</v>
      </c>
      <c r="AO2344" s="82">
        <f>IFERROR(__xludf.DUMMYFUNCTION("""COMPUTED_VALUE"""),0.9341121679991131)</f>
        <v>0.934112168</v>
      </c>
      <c r="AP2344" s="82">
        <f>IFERROR(__xludf.DUMMYFUNCTION("""COMPUTED_VALUE"""),0.9697028855024696)</f>
        <v>0.9697028855</v>
      </c>
      <c r="AQ2344" s="82">
        <f>IFERROR(__xludf.DUMMYFUNCTION("""COMPUTED_VALUE"""),1.1465957114382397)</f>
        <v>1.146595711</v>
      </c>
      <c r="AR2344" s="82">
        <f>IFERROR(__xludf.DUMMYFUNCTION("""COMPUTED_VALUE"""),0.9553636095217258)</f>
        <v>0.9553636095</v>
      </c>
      <c r="AS2344" s="82">
        <f>IFERROR(__xludf.DUMMYFUNCTION("""COMPUTED_VALUE"""),61.0)</f>
        <v>61</v>
      </c>
      <c r="AT2344" s="82">
        <f>IFERROR(__xludf.DUMMYFUNCTION("""COMPUTED_VALUE"""),0.66233933874294)</f>
        <v>0.6623393387</v>
      </c>
      <c r="AU2344" s="82">
        <f>IFERROR(__xludf.DUMMYFUNCTION("""COMPUTED_VALUE"""),3.425028948228819)</f>
        <v>3.425028948</v>
      </c>
      <c r="AV2344" s="82">
        <f>IFERROR(__xludf.DUMMYFUNCTION("""COMPUTED_VALUE"""),61.15523738018017)</f>
        <v>61.15523738</v>
      </c>
      <c r="AW2344" s="82">
        <f t="shared" si="1"/>
        <v>3.051357747</v>
      </c>
      <c r="AX2344" s="83">
        <f t="array" ref="AX2344">IFERROR(DGET('SBV Import'!A:G,"SBV",{"RSC ID","Tier";B2344,A2344}))</f>
        <v>58.32852716</v>
      </c>
      <c r="AY2344" s="82">
        <f t="shared" si="2"/>
        <v>2.70625819</v>
      </c>
      <c r="AZ2344" s="82">
        <v>0.3450995570700255</v>
      </c>
      <c r="BA2344" s="84">
        <v>2300.0</v>
      </c>
      <c r="BB2344" s="84" t="b">
        <f>IFERROR(__xludf.DUMMYFUNCTION("iferror(if(A2344="""",,E2344&gt;=FILTER(Constants!$F$2:$F$10,Constants!$A$2:$A$10=A2344)))"),TRUE)</f>
        <v>1</v>
      </c>
    </row>
    <row r="2345">
      <c r="A2345" s="89" t="str">
        <f>IFERROR(__xludf.DUMMYFUNCTION("""COMPUTED_VALUE"""),"Challenger")</f>
        <v>Challenger</v>
      </c>
      <c r="B2345" s="87" t="str">
        <f>IFERROR(__xludf.DUMMYFUNCTION("""COMPUTED_VALUE"""),"RSC005859")</f>
        <v>RSC005859</v>
      </c>
      <c r="C2345" s="73" t="str">
        <f>IFERROR(__xludf.DUMMYFUNCTION("""COMPUTED_VALUE"""),"LedTasso")</f>
        <v>LedTasso</v>
      </c>
      <c r="D2345" s="73" t="str">
        <f>IFERROR(__xludf.DUMMYFUNCTION("""COMPUTED_VALUE"""),"Jock O Lanterns")</f>
        <v>Jock O Lanterns</v>
      </c>
      <c r="E2345" s="82">
        <f>IFERROR(__xludf.DUMMYFUNCTION("""COMPUTED_VALUE"""),32.0)</f>
        <v>32</v>
      </c>
      <c r="F2345" s="82">
        <f>IFERROR(__xludf.DUMMYFUNCTION("""COMPUTED_VALUE"""),13.0)</f>
        <v>13</v>
      </c>
      <c r="G2345" s="86">
        <f>IFERROR(__xludf.DUMMYFUNCTION("""COMPUTED_VALUE"""),19.0)</f>
        <v>19</v>
      </c>
      <c r="H2345" s="86">
        <f>IFERROR(__xludf.DUMMYFUNCTION("""COMPUTED_VALUE"""),0.40625)</f>
        <v>0.40625</v>
      </c>
      <c r="I2345" s="86">
        <f>IFERROR(__xludf.DUMMYFUNCTION("""COMPUTED_VALUE"""),0.39285714285714285)</f>
        <v>0.3928571429</v>
      </c>
      <c r="J2345" s="82">
        <f>IFERROR(__xludf.DUMMYFUNCTION("""COMPUTED_VALUE"""),348.46875)</f>
        <v>348.46875</v>
      </c>
      <c r="K2345" s="82">
        <f>IFERROR(__xludf.DUMMYFUNCTION("""COMPUTED_VALUE"""),1.03125)</f>
        <v>1.03125</v>
      </c>
      <c r="L2345" s="82">
        <f>IFERROR(__xludf.DUMMYFUNCTION("""COMPUTED_VALUE"""),0.5)</f>
        <v>0.5</v>
      </c>
      <c r="M2345" s="82">
        <f>IFERROR(__xludf.DUMMYFUNCTION("""COMPUTED_VALUE"""),1.0625)</f>
        <v>1.0625</v>
      </c>
      <c r="N2345" s="82">
        <f>IFERROR(__xludf.DUMMYFUNCTION("""COMPUTED_VALUE"""),2.625)</f>
        <v>2.625</v>
      </c>
      <c r="O2345" s="82">
        <f>IFERROR(__xludf.DUMMYFUNCTION("""COMPUTED_VALUE"""),386.29166666666674)</f>
        <v>386.2916667</v>
      </c>
      <c r="P2345" s="82">
        <f>IFERROR(__xludf.DUMMYFUNCTION("""COMPUTED_VALUE"""),0.9583333333333335)</f>
        <v>0.9583333333</v>
      </c>
      <c r="Q2345" s="82">
        <f>IFERROR(__xludf.DUMMYFUNCTION("""COMPUTED_VALUE"""),0.6354166666666667)</f>
        <v>0.6354166667</v>
      </c>
      <c r="R2345" s="82">
        <f>IFERROR(__xludf.DUMMYFUNCTION("""COMPUTED_VALUE"""),1.458333333333333)</f>
        <v>1.458333333</v>
      </c>
      <c r="S2345" s="82">
        <f>IFERROR(__xludf.DUMMYFUNCTION("""COMPUTED_VALUE"""),2.4999999999999996)</f>
        <v>2.5</v>
      </c>
      <c r="T2345" s="82">
        <f>IFERROR(__xludf.DUMMYFUNCTION("""COMPUTED_VALUE"""),346.07009731409534)</f>
        <v>346.0700973</v>
      </c>
      <c r="U2345" s="82">
        <f>IFERROR(__xludf.DUMMYFUNCTION("""COMPUTED_VALUE"""),0.8180994170276144)</f>
        <v>0.818099417</v>
      </c>
      <c r="V2345" s="82">
        <f>IFERROR(__xludf.DUMMYFUNCTION("""COMPUTED_VALUE"""),0.6083126811888674)</f>
        <v>0.6083126812</v>
      </c>
      <c r="W2345" s="82">
        <f>IFERROR(__xludf.DUMMYFUNCTION("""COMPUTED_VALUE"""),1.258878630220542)</f>
        <v>1.25887863</v>
      </c>
      <c r="X2345" s="82">
        <f>IFERROR(__xludf.DUMMYFUNCTION("""COMPUTED_VALUE"""),2.4972840059729955)</f>
        <v>2.497284006</v>
      </c>
      <c r="Y2345" s="82">
        <f>IFERROR(__xludf.DUMMYFUNCTION("""COMPUTED_VALUE"""),333.85924432505686)</f>
        <v>333.8592443</v>
      </c>
      <c r="Z2345" s="82">
        <f>IFERROR(__xludf.DUMMYFUNCTION("""COMPUTED_VALUE"""),0.7791027391862624)</f>
        <v>0.7791027392</v>
      </c>
      <c r="AA2345" s="82">
        <f>IFERROR(__xludf.DUMMYFUNCTION("""COMPUTED_VALUE"""),0.5454355996400582)</f>
        <v>0.5454355996</v>
      </c>
      <c r="AB2345" s="82">
        <f>IFERROR(__xludf.DUMMYFUNCTION("""COMPUTED_VALUE"""),1.1772255180393736)</f>
        <v>1.177225518</v>
      </c>
      <c r="AC2345" s="82">
        <f>IFERROR(__xludf.DUMMYFUNCTION("""COMPUTED_VALUE"""),2.4944710273954174)</f>
        <v>2.494471027</v>
      </c>
      <c r="AD2345" s="82">
        <f>IFERROR(__xludf.DUMMYFUNCTION("""COMPUTED_VALUE"""),1.043759476256164)</f>
        <v>1.043759476</v>
      </c>
      <c r="AE2345" s="82">
        <f>IFERROR(__xludf.DUMMYFUNCTION("""COMPUTED_VALUE"""),1.3236380109215045)</f>
        <v>1.323638011</v>
      </c>
      <c r="AF2345" s="82">
        <f>IFERROR(__xludf.DUMMYFUNCTION("""COMPUTED_VALUE"""),0.916698507266409)</f>
        <v>0.9166985073</v>
      </c>
      <c r="AG2345" s="82">
        <f>IFERROR(__xludf.DUMMYFUNCTION("""COMPUTED_VALUE"""),0.9025458450557164)</f>
        <v>0.9025458451</v>
      </c>
      <c r="AH2345" s="82">
        <f>IFERROR(__xludf.DUMMYFUNCTION("""COMPUTED_VALUE"""),1.052327315559513)</f>
        <v>1.052327316</v>
      </c>
      <c r="AI2345" s="82">
        <f>IFERROR(__xludf.DUMMYFUNCTION("""COMPUTED_VALUE"""),1.1162237641007915)</f>
        <v>1.116223764</v>
      </c>
      <c r="AJ2345" s="82">
        <f>IFERROR(__xludf.DUMMYFUNCTION("""COMPUTED_VALUE"""),1.171414272381746)</f>
        <v>1.171414272</v>
      </c>
      <c r="AK2345" s="82">
        <f>IFERROR(__xludf.DUMMYFUNCTION("""COMPUTED_VALUE"""),1.044556009295792)</f>
        <v>1.044556009</v>
      </c>
      <c r="AL2345" s="82">
        <f>IFERROR(__xludf.DUMMYFUNCTION("""COMPUTED_VALUE"""),1.1584383897896884)</f>
        <v>1.15843839</v>
      </c>
      <c r="AM2345" s="82">
        <f>IFERROR(__xludf.DUMMYFUNCTION("""COMPUTED_VALUE"""),1.0010875791541962)</f>
        <v>1.001087579</v>
      </c>
      <c r="AN2345" s="82">
        <f>IFERROR(__xludf.DUMMYFUNCTION("""COMPUTED_VALUE"""),1.0601037884414346)</f>
        <v>1.060103788</v>
      </c>
      <c r="AO2345" s="82">
        <f>IFERROR(__xludf.DUMMYFUNCTION("""COMPUTED_VALUE"""),1.3599574210575323)</f>
        <v>1.359957421</v>
      </c>
      <c r="AP2345" s="82">
        <f>IFERROR(__xludf.DUMMYFUNCTION("""COMPUTED_VALUE"""),0.9697028855024696)</f>
        <v>0.9697028855</v>
      </c>
      <c r="AQ2345" s="82">
        <f>IFERROR(__xludf.DUMMYFUNCTION("""COMPUTED_VALUE"""),0.886005777020458)</f>
        <v>0.886005777</v>
      </c>
      <c r="AR2345" s="82">
        <f>IFERROR(__xludf.DUMMYFUNCTION("""COMPUTED_VALUE"""),1.0943255890885224)</f>
        <v>1.094325589</v>
      </c>
      <c r="AS2345" s="82">
        <f>IFERROR(__xludf.DUMMYFUNCTION("""COMPUTED_VALUE"""),70.0)</f>
        <v>70</v>
      </c>
      <c r="AT2345" s="82">
        <f>IFERROR(__xludf.DUMMYFUNCTION("""COMPUTED_VALUE"""),0.39286309359466104)</f>
        <v>0.3928630936</v>
      </c>
      <c r="AU2345" s="82">
        <f>IFERROR(__xludf.DUMMYFUNCTION("""COMPUTED_VALUE"""),3.4189507760344187)</f>
        <v>3.418950776</v>
      </c>
      <c r="AV2345" s="82">
        <f>IFERROR(__xludf.DUMMYFUNCTION("""COMPUTED_VALUE"""),60.994517392740576)</f>
        <v>60.99451739</v>
      </c>
      <c r="AW2345" s="82">
        <f t="shared" si="1"/>
        <v>3.02986255</v>
      </c>
      <c r="AX2345" s="83">
        <f t="array" ref="AX2345">IFERROR(DGET('SBV Import'!A:G,"SBV",{"RSC ID","Tier";B2345,A2345}))</f>
        <v>50.92852217</v>
      </c>
      <c r="AY2345" s="82">
        <f t="shared" si="2"/>
        <v>2.061063815</v>
      </c>
      <c r="AZ2345" s="82">
        <v>0.9687987358581154</v>
      </c>
      <c r="BA2345" s="84">
        <v>2300.0</v>
      </c>
      <c r="BB2345" s="84" t="b">
        <f>IFERROR(__xludf.DUMMYFUNCTION("iferror(if(A2345="""",,E2345&gt;=FILTER(Constants!$F$2:$F$10,Constants!$A$2:$A$10=A2345)))"),TRUE)</f>
        <v>1</v>
      </c>
    </row>
    <row r="2346">
      <c r="A2346" s="89" t="str">
        <f>IFERROR(__xludf.DUMMYFUNCTION("""COMPUTED_VALUE"""),"Challenger")</f>
        <v>Challenger</v>
      </c>
      <c r="B2346" s="87" t="str">
        <f>IFERROR(__xludf.DUMMYFUNCTION("""COMPUTED_VALUE"""),"RSC003387")</f>
        <v>RSC003387</v>
      </c>
      <c r="C2346" s="73" t="str">
        <f>IFERROR(__xludf.DUMMYFUNCTION("""COMPUTED_VALUE"""),"Redline")</f>
        <v>Redline</v>
      </c>
      <c r="D2346" s="73" t="str">
        <f>IFERROR(__xludf.DUMMYFUNCTION("""COMPUTED_VALUE"""),"Havarti Hustlers")</f>
        <v>Havarti Hustlers</v>
      </c>
      <c r="E2346" s="82">
        <f>IFERROR(__xludf.DUMMYFUNCTION("""COMPUTED_VALUE"""),21.0)</f>
        <v>21</v>
      </c>
      <c r="F2346" s="82">
        <f>IFERROR(__xludf.DUMMYFUNCTION("""COMPUTED_VALUE"""),12.0)</f>
        <v>12</v>
      </c>
      <c r="G2346" s="86">
        <f>IFERROR(__xludf.DUMMYFUNCTION("""COMPUTED_VALUE"""),9.0)</f>
        <v>9</v>
      </c>
      <c r="H2346" s="86">
        <f>IFERROR(__xludf.DUMMYFUNCTION("""COMPUTED_VALUE"""),0.5714285714285714)</f>
        <v>0.5714285714</v>
      </c>
      <c r="I2346" s="86">
        <f>IFERROR(__xludf.DUMMYFUNCTION("""COMPUTED_VALUE"""),0.2777777777777778)</f>
        <v>0.2777777778</v>
      </c>
      <c r="J2346" s="82">
        <f>IFERROR(__xludf.DUMMYFUNCTION("""COMPUTED_VALUE"""),324.6190476190476)</f>
        <v>324.6190476</v>
      </c>
      <c r="K2346" s="82">
        <f>IFERROR(__xludf.DUMMYFUNCTION("""COMPUTED_VALUE"""),0.7142857142857143)</f>
        <v>0.7142857143</v>
      </c>
      <c r="L2346" s="82">
        <f>IFERROR(__xludf.DUMMYFUNCTION("""COMPUTED_VALUE"""),0.7619047619047619)</f>
        <v>0.7619047619</v>
      </c>
      <c r="M2346" s="82">
        <f>IFERROR(__xludf.DUMMYFUNCTION("""COMPUTED_VALUE"""),1.1428571428571428)</f>
        <v>1.142857143</v>
      </c>
      <c r="N2346" s="82">
        <f>IFERROR(__xludf.DUMMYFUNCTION("""COMPUTED_VALUE"""),2.5714285714285716)</f>
        <v>2.571428571</v>
      </c>
      <c r="O2346" s="82">
        <f>IFERROR(__xludf.DUMMYFUNCTION("""COMPUTED_VALUE"""),335.063492063492)</f>
        <v>335.0634921</v>
      </c>
      <c r="P2346" s="82">
        <f>IFERROR(__xludf.DUMMYFUNCTION("""COMPUTED_VALUE"""),0.6031746031746031)</f>
        <v>0.6031746032</v>
      </c>
      <c r="Q2346" s="82">
        <f>IFERROR(__xludf.DUMMYFUNCTION("""COMPUTED_VALUE"""),0.4603174603174603)</f>
        <v>0.4603174603</v>
      </c>
      <c r="R2346" s="82">
        <f>IFERROR(__xludf.DUMMYFUNCTION("""COMPUTED_VALUE"""),1.5555555555555558)</f>
        <v>1.555555556</v>
      </c>
      <c r="S2346" s="82">
        <f>IFERROR(__xludf.DUMMYFUNCTION("""COMPUTED_VALUE"""),2.1428571428571432)</f>
        <v>2.142857143</v>
      </c>
      <c r="T2346" s="82">
        <f>IFERROR(__xludf.DUMMYFUNCTION("""COMPUTED_VALUE"""),324.2624608689936)</f>
        <v>324.2624609</v>
      </c>
      <c r="U2346" s="82">
        <f>IFERROR(__xludf.DUMMYFUNCTION("""COMPUTED_VALUE"""),0.6738659088302171)</f>
        <v>0.6738659088</v>
      </c>
      <c r="V2346" s="82">
        <f>IFERROR(__xludf.DUMMYFUNCTION("""COMPUTED_VALUE"""),0.45155688450976994)</f>
        <v>0.4515568845</v>
      </c>
      <c r="W2346" s="82">
        <f>IFERROR(__xludf.DUMMYFUNCTION("""COMPUTED_VALUE"""),1.2801710823103247)</f>
        <v>1.280171082</v>
      </c>
      <c r="X2346" s="82">
        <f>IFERROR(__xludf.DUMMYFUNCTION("""COMPUTED_VALUE"""),2.3338175029684693)</f>
        <v>2.333817503</v>
      </c>
      <c r="Y2346" s="82">
        <f>IFERROR(__xludf.DUMMYFUNCTION("""COMPUTED_VALUE"""),337.9084750582727)</f>
        <v>337.9084751</v>
      </c>
      <c r="Z2346" s="82">
        <f>IFERROR(__xludf.DUMMYFUNCTION("""COMPUTED_VALUE"""),0.7959829836109917)</f>
        <v>0.7959829836</v>
      </c>
      <c r="AA2346" s="82">
        <f>IFERROR(__xludf.DUMMYFUNCTION("""COMPUTED_VALUE"""),0.5621684036479524)</f>
        <v>0.5621684036</v>
      </c>
      <c r="AB2346" s="82">
        <f>IFERROR(__xludf.DUMMYFUNCTION("""COMPUTED_VALUE"""),1.2128709262555009)</f>
        <v>1.212870926</v>
      </c>
      <c r="AC2346" s="82">
        <f>IFERROR(__xludf.DUMMYFUNCTION("""COMPUTED_VALUE"""),2.531093636103462)</f>
        <v>2.531093636</v>
      </c>
      <c r="AD2346" s="82">
        <f>IFERROR(__xludf.DUMMYFUNCTION("""COMPUTED_VALUE"""),0.9606715178217021)</f>
        <v>0.9606715178</v>
      </c>
      <c r="AE2346" s="82">
        <f>IFERROR(__xludf.DUMMYFUNCTION("""COMPUTED_VALUE"""),0.8973630454326345)</f>
        <v>0.8973630454</v>
      </c>
      <c r="AF2346" s="82">
        <f>IFERROR(__xludf.DUMMYFUNCTION("""COMPUTED_VALUE"""),1.3552963079402995)</f>
        <v>1.355296308</v>
      </c>
      <c r="AG2346" s="82">
        <f>IFERROR(__xludf.DUMMYFUNCTION("""COMPUTED_VALUE"""),0.9422743328389347)</f>
        <v>0.9422743328</v>
      </c>
      <c r="AH2346" s="82">
        <f>IFERROR(__xludf.DUMMYFUNCTION("""COMPUTED_VALUE"""),1.0159357736710222)</f>
        <v>1.015935774</v>
      </c>
      <c r="AI2346" s="82">
        <f>IFERROR(__xludf.DUMMYFUNCTION("""COMPUTED_VALUE"""),1.033309533165056)</f>
        <v>1.033309533</v>
      </c>
      <c r="AJ2346" s="82">
        <f>IFERROR(__xludf.DUMMYFUNCTION("""COMPUTED_VALUE"""),0.8950958866900849)</f>
        <v>0.8950958867</v>
      </c>
      <c r="AK2346" s="82">
        <f>IFERROR(__xludf.DUMMYFUNCTION("""COMPUTED_VALUE"""),1.0194008243661288)</f>
        <v>1.019400824</v>
      </c>
      <c r="AL2346" s="82">
        <f>IFERROR(__xludf.DUMMYFUNCTION("""COMPUTED_VALUE"""),1.215115367821186)</f>
        <v>1.215115368</v>
      </c>
      <c r="AM2346" s="82">
        <f>IFERROR(__xludf.DUMMYFUNCTION("""COMPUTED_VALUE"""),0.9181768240796735)</f>
        <v>0.9181768241</v>
      </c>
      <c r="AN2346" s="82">
        <f>IFERROR(__xludf.DUMMYFUNCTION("""COMPUTED_VALUE"""),0.9875487606311981)</f>
        <v>0.9875487606</v>
      </c>
      <c r="AO2346" s="82">
        <f>IFERROR(__xludf.DUMMYFUNCTION("""COMPUTED_VALUE"""),0.9419618500831393)</f>
        <v>0.9419618501</v>
      </c>
      <c r="AP2346" s="82">
        <f>IFERROR(__xludf.DUMMYFUNCTION("""COMPUTED_VALUE"""),1.4776424921942393)</f>
        <v>1.477642492</v>
      </c>
      <c r="AQ2346" s="82">
        <f>IFERROR(__xludf.DUMMYFUNCTION("""COMPUTED_VALUE"""),0.9530146172993161)</f>
        <v>0.9530146173</v>
      </c>
      <c r="AR2346" s="82">
        <f>IFERROR(__xludf.DUMMYFUNCTION("""COMPUTED_VALUE"""),1.0719924138010017)</f>
        <v>1.071992414</v>
      </c>
      <c r="AS2346" s="82">
        <f>IFERROR(__xludf.DUMMYFUNCTION("""COMPUTED_VALUE"""),56.0)</f>
        <v>56</v>
      </c>
      <c r="AT2346" s="82">
        <f>IFERROR(__xludf.DUMMYFUNCTION("""COMPUTED_VALUE"""),0.6447826683177352)</f>
        <v>0.6447826683</v>
      </c>
      <c r="AU2346" s="82">
        <f>IFERROR(__xludf.DUMMYFUNCTION("""COMPUTED_VALUE"""),3.4065814158067456)</f>
        <v>3.406581416</v>
      </c>
      <c r="AV2346" s="82">
        <f>IFERROR(__xludf.DUMMYFUNCTION("""COMPUTED_VALUE"""),60.667444819466176)</f>
        <v>60.66744482</v>
      </c>
      <c r="AW2346" s="82">
        <f t="shared" si="1"/>
        <v>2.986860241</v>
      </c>
      <c r="AX2346" s="83">
        <f t="array" ref="AX2346">IFERROR(DGET('SBV Import'!A:G,"SBV",{"RSC ID","Tier";B2346,A2346}))</f>
        <v>46.59774703</v>
      </c>
      <c r="AY2346" s="82">
        <f t="shared" si="2"/>
        <v>-2.242780951</v>
      </c>
      <c r="AZ2346" s="82">
        <v>5.229641192377684</v>
      </c>
      <c r="BA2346" s="84">
        <v>2300.0</v>
      </c>
      <c r="BB2346" s="84" t="b">
        <f>IFERROR(__xludf.DUMMYFUNCTION("iferror(if(A2346="""",,E2346&gt;=FILTER(Constants!$F$2:$F$10,Constants!$A$2:$A$10=A2346)))"),TRUE)</f>
        <v>1</v>
      </c>
    </row>
    <row r="2347">
      <c r="A2347" s="89" t="str">
        <f>IFERROR(__xludf.DUMMYFUNCTION("""COMPUTED_VALUE"""),"Challenger")</f>
        <v>Challenger</v>
      </c>
      <c r="B2347" s="87" t="str">
        <f>IFERROR(__xludf.DUMMYFUNCTION("""COMPUTED_VALUE"""),"RSC006747")</f>
        <v>RSC006747</v>
      </c>
      <c r="C2347" s="73" t="str">
        <f>IFERROR(__xludf.DUMMYFUNCTION("""COMPUTED_VALUE"""),"Panda")</f>
        <v>Panda</v>
      </c>
      <c r="D2347" s="73" t="str">
        <f>IFERROR(__xludf.DUMMYFUNCTION("""COMPUTED_VALUE"""),"Toucans")</f>
        <v>Toucans</v>
      </c>
      <c r="E2347" s="82">
        <f>IFERROR(__xludf.DUMMYFUNCTION("""COMPUTED_VALUE"""),31.0)</f>
        <v>31</v>
      </c>
      <c r="F2347" s="82">
        <f>IFERROR(__xludf.DUMMYFUNCTION("""COMPUTED_VALUE"""),16.0)</f>
        <v>16</v>
      </c>
      <c r="G2347" s="86">
        <f>IFERROR(__xludf.DUMMYFUNCTION("""COMPUTED_VALUE"""),15.0)</f>
        <v>15</v>
      </c>
      <c r="H2347" s="86">
        <f>IFERROR(__xludf.DUMMYFUNCTION("""COMPUTED_VALUE"""),0.5161290322580645)</f>
        <v>0.5161290323</v>
      </c>
      <c r="I2347" s="86">
        <f>IFERROR(__xludf.DUMMYFUNCTION("""COMPUTED_VALUE"""),0.2972972972972973)</f>
        <v>0.2972972973</v>
      </c>
      <c r="J2347" s="82">
        <f>IFERROR(__xludf.DUMMYFUNCTION("""COMPUTED_VALUE"""),312.5806451612903)</f>
        <v>312.5806452</v>
      </c>
      <c r="K2347" s="82">
        <f>IFERROR(__xludf.DUMMYFUNCTION("""COMPUTED_VALUE"""),0.7096774193548387)</f>
        <v>0.7096774194</v>
      </c>
      <c r="L2347" s="82">
        <f>IFERROR(__xludf.DUMMYFUNCTION("""COMPUTED_VALUE"""),0.7096774193548387)</f>
        <v>0.7096774194</v>
      </c>
      <c r="M2347" s="82">
        <f>IFERROR(__xludf.DUMMYFUNCTION("""COMPUTED_VALUE"""),0.967741935483871)</f>
        <v>0.9677419355</v>
      </c>
      <c r="N2347" s="82">
        <f>IFERROR(__xludf.DUMMYFUNCTION("""COMPUTED_VALUE"""),2.3870967741935485)</f>
        <v>2.387096774</v>
      </c>
      <c r="O2347" s="82">
        <f>IFERROR(__xludf.DUMMYFUNCTION("""COMPUTED_VALUE"""),309.3440860215053)</f>
        <v>309.344086</v>
      </c>
      <c r="P2347" s="82">
        <f>IFERROR(__xludf.DUMMYFUNCTION("""COMPUTED_VALUE"""),0.7096774193548389)</f>
        <v>0.7096774194</v>
      </c>
      <c r="Q2347" s="82">
        <f>IFERROR(__xludf.DUMMYFUNCTION("""COMPUTED_VALUE"""),0.4731182795698924)</f>
        <v>0.4731182796</v>
      </c>
      <c r="R2347" s="82">
        <f>IFERROR(__xludf.DUMMYFUNCTION("""COMPUTED_VALUE"""),1.1075268817204302)</f>
        <v>1.107526882</v>
      </c>
      <c r="S2347" s="82">
        <f>IFERROR(__xludf.DUMMYFUNCTION("""COMPUTED_VALUE"""),2.150537634408603)</f>
        <v>2.150537634</v>
      </c>
      <c r="T2347" s="82">
        <f>IFERROR(__xludf.DUMMYFUNCTION("""COMPUTED_VALUE"""),320.40930290542633)</f>
        <v>320.4093029</v>
      </c>
      <c r="U2347" s="82">
        <f>IFERROR(__xludf.DUMMYFUNCTION("""COMPUTED_VALUE"""),0.7121781185795439)</f>
        <v>0.7121781186</v>
      </c>
      <c r="V2347" s="82">
        <f>IFERROR(__xludf.DUMMYFUNCTION("""COMPUTED_VALUE"""),0.4815137143412376)</f>
        <v>0.4815137143</v>
      </c>
      <c r="W2347" s="82">
        <f>IFERROR(__xludf.DUMMYFUNCTION("""COMPUTED_VALUE"""),1.1376078481202523)</f>
        <v>1.137607848</v>
      </c>
      <c r="X2347" s="82">
        <f>IFERROR(__xludf.DUMMYFUNCTION("""COMPUTED_VALUE"""),2.4014792579682256)</f>
        <v>2.401479258</v>
      </c>
      <c r="Y2347" s="82">
        <f>IFERROR(__xludf.DUMMYFUNCTION("""COMPUTED_VALUE"""),321.5164958882612)</f>
        <v>321.5164959</v>
      </c>
      <c r="Z2347" s="82">
        <f>IFERROR(__xludf.DUMMYFUNCTION("""COMPUTED_VALUE"""),0.7123216085800638)</f>
        <v>0.7123216086</v>
      </c>
      <c r="AA2347" s="82">
        <f>IFERROR(__xludf.DUMMYFUNCTION("""COMPUTED_VALUE"""),0.49668603936954375)</f>
        <v>0.4966860394</v>
      </c>
      <c r="AB2347" s="82">
        <f>IFERROR(__xludf.DUMMYFUNCTION("""COMPUTED_VALUE"""),1.1652104036386084)</f>
        <v>1.165210404</v>
      </c>
      <c r="AC2347" s="82">
        <f>IFERROR(__xludf.DUMMYFUNCTION("""COMPUTED_VALUE"""),2.274796827208962)</f>
        <v>2.274796827</v>
      </c>
      <c r="AD2347" s="82">
        <f>IFERROR(__xludf.DUMMYFUNCTION("""COMPUTED_VALUE"""),0.972207178041414)</f>
        <v>0.972207178</v>
      </c>
      <c r="AE2347" s="82">
        <f>IFERROR(__xludf.DUMMYFUNCTION("""COMPUTED_VALUE"""),0.9962879278216816)</f>
        <v>0.9962879278</v>
      </c>
      <c r="AF2347" s="82">
        <f>IFERROR(__xludf.DUMMYFUNCTION("""COMPUTED_VALUE"""),1.4288249781605507)</f>
        <v>1.428824978</v>
      </c>
      <c r="AG2347" s="82">
        <f>IFERROR(__xludf.DUMMYFUNCTION("""COMPUTED_VALUE"""),0.8305297759631208)</f>
        <v>0.830529776</v>
      </c>
      <c r="AH2347" s="82">
        <f>IFERROR(__xludf.DUMMYFUNCTION("""COMPUTED_VALUE"""),1.0493670228661132)</f>
        <v>1.049367023</v>
      </c>
      <c r="AI2347" s="82">
        <f>IFERROR(__xludf.DUMMYFUNCTION("""COMPUTED_VALUE"""),0.9654653695021237)</f>
        <v>0.9654653695</v>
      </c>
      <c r="AJ2347" s="82">
        <f>IFERROR(__xludf.DUMMYFUNCTION("""COMPUTED_VALUE"""),0.9964886604074655)</f>
        <v>0.9964886604</v>
      </c>
      <c r="AK2347" s="82">
        <f>IFERROR(__xludf.DUMMYFUNCTION("""COMPUTED_VALUE"""),0.9825644950054412)</f>
        <v>0.982564495</v>
      </c>
      <c r="AL2347" s="82">
        <f>IFERROR(__xludf.DUMMYFUNCTION("""COMPUTED_VALUE"""),0.9735577014086824)</f>
        <v>0.9735577014</v>
      </c>
      <c r="AM2347" s="82">
        <f>IFERROR(__xludf.DUMMYFUNCTION("""COMPUTED_VALUE"""),0.8955053962148596)</f>
        <v>0.8955053962</v>
      </c>
      <c r="AN2347" s="82">
        <f>IFERROR(__xludf.DUMMYFUNCTION("""COMPUTED_VALUE"""),0.9509258036163979)</f>
        <v>0.9509258036</v>
      </c>
      <c r="AO2347" s="82">
        <f>IFERROR(__xludf.DUMMYFUNCTION("""COMPUTED_VALUE"""),0.9358846768567965)</f>
        <v>0.9358846769</v>
      </c>
      <c r="AP2347" s="82">
        <f>IFERROR(__xludf.DUMMYFUNCTION("""COMPUTED_VALUE"""),1.3763524826486666)</f>
        <v>1.376352483</v>
      </c>
      <c r="AQ2347" s="82">
        <f>IFERROR(__xludf.DUMMYFUNCTION("""COMPUTED_VALUE"""),0.8069881840034532)</f>
        <v>0.806988184</v>
      </c>
      <c r="AR2347" s="82">
        <f>IFERROR(__xludf.DUMMYFUNCTION("""COMPUTED_VALUE"""),0.9951470794783491)</f>
        <v>0.9951470795</v>
      </c>
      <c r="AS2347" s="82">
        <f>IFERROR(__xludf.DUMMYFUNCTION("""COMPUTED_VALUE"""),72.0)</f>
        <v>72</v>
      </c>
      <c r="AT2347" s="82">
        <f>IFERROR(__xludf.DUMMYFUNCTION("""COMPUTED_VALUE"""),0.5333422998356856)</f>
        <v>0.5333422998</v>
      </c>
      <c r="AU2347" s="82">
        <f>IFERROR(__xludf.DUMMYFUNCTION("""COMPUTED_VALUE"""),3.3876601644249975)</f>
        <v>3.387660164</v>
      </c>
      <c r="AV2347" s="82">
        <f>IFERROR(__xludf.DUMMYFUNCTION("""COMPUTED_VALUE"""),60.167126107334674)</f>
        <v>60.16712611</v>
      </c>
      <c r="AW2347" s="82">
        <f t="shared" si="1"/>
        <v>2.922953889</v>
      </c>
      <c r="AX2347" s="83">
        <f t="array" ref="AX2347">IFERROR(DGET('SBV Import'!A:G,"SBV",{"RSC ID","Tier";B2347,A2347}))</f>
        <v>62.09488896</v>
      </c>
      <c r="AY2347" s="82">
        <f t="shared" si="2"/>
        <v>3.182023009</v>
      </c>
      <c r="AZ2347" s="82">
        <v>0.25906911928785226</v>
      </c>
      <c r="BA2347" s="84">
        <v>2300.0</v>
      </c>
      <c r="BB2347" s="84" t="b">
        <f>IFERROR(__xludf.DUMMYFUNCTION("iferror(if(A2347="""",,E2347&gt;=FILTER(Constants!$F$2:$F$10,Constants!$A$2:$A$10=A2347)))"),TRUE)</f>
        <v>1</v>
      </c>
    </row>
    <row r="2348">
      <c r="A2348" s="89" t="str">
        <f>IFERROR(__xludf.DUMMYFUNCTION("""COMPUTED_VALUE"""),"Challenger")</f>
        <v>Challenger</v>
      </c>
      <c r="B2348" s="87" t="str">
        <f>IFERROR(__xludf.DUMMYFUNCTION("""COMPUTED_VALUE"""),"RSC004763")</f>
        <v>RSC004763</v>
      </c>
      <c r="C2348" s="73" t="str">
        <f>IFERROR(__xludf.DUMMYFUNCTION("""COMPUTED_VALUE"""),"Rmuru-")</f>
        <v>Rmuru-</v>
      </c>
      <c r="D2348" s="73" t="str">
        <f>IFERROR(__xludf.DUMMYFUNCTION("""COMPUTED_VALUE"""),"Warbirds")</f>
        <v>Warbirds</v>
      </c>
      <c r="E2348" s="82">
        <f>IFERROR(__xludf.DUMMYFUNCTION("""COMPUTED_VALUE"""),36.0)</f>
        <v>36</v>
      </c>
      <c r="F2348" s="82">
        <f>IFERROR(__xludf.DUMMYFUNCTION("""COMPUTED_VALUE"""),18.0)</f>
        <v>18</v>
      </c>
      <c r="G2348" s="86">
        <f>IFERROR(__xludf.DUMMYFUNCTION("""COMPUTED_VALUE"""),18.0)</f>
        <v>18</v>
      </c>
      <c r="H2348" s="86">
        <f>IFERROR(__xludf.DUMMYFUNCTION("""COMPUTED_VALUE"""),0.5)</f>
        <v>0.5</v>
      </c>
      <c r="I2348" s="86">
        <f>IFERROR(__xludf.DUMMYFUNCTION("""COMPUTED_VALUE"""),0.2626262626262626)</f>
        <v>0.2626262626</v>
      </c>
      <c r="J2348" s="82">
        <f>IFERROR(__xludf.DUMMYFUNCTION("""COMPUTED_VALUE"""),366.0)</f>
        <v>366</v>
      </c>
      <c r="K2348" s="82">
        <f>IFERROR(__xludf.DUMMYFUNCTION("""COMPUTED_VALUE"""),0.7222222222222222)</f>
        <v>0.7222222222</v>
      </c>
      <c r="L2348" s="82">
        <f>IFERROR(__xludf.DUMMYFUNCTION("""COMPUTED_VALUE"""),0.6388888888888888)</f>
        <v>0.6388888889</v>
      </c>
      <c r="M2348" s="82">
        <f>IFERROR(__xludf.DUMMYFUNCTION("""COMPUTED_VALUE"""),1.6388888888888888)</f>
        <v>1.638888889</v>
      </c>
      <c r="N2348" s="82">
        <f>IFERROR(__xludf.DUMMYFUNCTION("""COMPUTED_VALUE"""),2.75)</f>
        <v>2.75</v>
      </c>
      <c r="O2348" s="82">
        <f>IFERROR(__xludf.DUMMYFUNCTION("""COMPUTED_VALUE"""),363.84259259259244)</f>
        <v>363.8425926</v>
      </c>
      <c r="P2348" s="82">
        <f>IFERROR(__xludf.DUMMYFUNCTION("""COMPUTED_VALUE"""),0.8888888888888888)</f>
        <v>0.8888888889</v>
      </c>
      <c r="Q2348" s="82">
        <f>IFERROR(__xludf.DUMMYFUNCTION("""COMPUTED_VALUE"""),0.6759259259259259)</f>
        <v>0.6759259259</v>
      </c>
      <c r="R2348" s="82">
        <f>IFERROR(__xludf.DUMMYFUNCTION("""COMPUTED_VALUE"""),1.2777777777777777)</f>
        <v>1.277777778</v>
      </c>
      <c r="S2348" s="82">
        <f>IFERROR(__xludf.DUMMYFUNCTION("""COMPUTED_VALUE"""),2.824074074074073)</f>
        <v>2.824074074</v>
      </c>
      <c r="T2348" s="82">
        <f>IFERROR(__xludf.DUMMYFUNCTION("""COMPUTED_VALUE"""),336.5779210598363)</f>
        <v>336.5779211</v>
      </c>
      <c r="U2348" s="82">
        <f>IFERROR(__xludf.DUMMYFUNCTION("""COMPUTED_VALUE"""),0.7660254069634652)</f>
        <v>0.766025407</v>
      </c>
      <c r="V2348" s="82">
        <f>IFERROR(__xludf.DUMMYFUNCTION("""COMPUTED_VALUE"""),0.5368173067554889)</f>
        <v>0.5368173068</v>
      </c>
      <c r="W2348" s="82">
        <f>IFERROR(__xludf.DUMMYFUNCTION("""COMPUTED_VALUE"""),1.2248740454415294)</f>
        <v>1.224874045</v>
      </c>
      <c r="X2348" s="82">
        <f>IFERROR(__xludf.DUMMYFUNCTION("""COMPUTED_VALUE"""),2.5057444584639494)</f>
        <v>2.505744458</v>
      </c>
      <c r="Y2348" s="82">
        <f>IFERROR(__xludf.DUMMYFUNCTION("""COMPUTED_VALUE"""),327.89358036645467)</f>
        <v>327.8935804</v>
      </c>
      <c r="Z2348" s="82">
        <f>IFERROR(__xludf.DUMMYFUNCTION("""COMPUTED_VALUE"""),0.7176377014439153)</f>
        <v>0.7176377014</v>
      </c>
      <c r="AA2348" s="82">
        <f>IFERROR(__xludf.DUMMYFUNCTION("""COMPUTED_VALUE"""),0.4973248626303914)</f>
        <v>0.4973248626</v>
      </c>
      <c r="AB2348" s="82">
        <f>IFERROR(__xludf.DUMMYFUNCTION("""COMPUTED_VALUE"""),1.255788088900334)</f>
        <v>1.255788089</v>
      </c>
      <c r="AC2348" s="82">
        <f>IFERROR(__xludf.DUMMYFUNCTION("""COMPUTED_VALUE"""),2.3346163311163863)</f>
        <v>2.334616331</v>
      </c>
      <c r="AD2348" s="82">
        <f>IFERROR(__xludf.DUMMYFUNCTION("""COMPUTED_VALUE"""),1.1162158148718786)</f>
        <v>1.116215815</v>
      </c>
      <c r="AE2348" s="82">
        <f>IFERROR(__xludf.DUMMYFUNCTION("""COMPUTED_VALUE"""),1.0063883499558102)</f>
        <v>1.00638835</v>
      </c>
      <c r="AF2348" s="82">
        <f>IFERROR(__xludf.DUMMYFUNCTION("""COMPUTED_VALUE"""),1.2846510136447913)</f>
        <v>1.284651014</v>
      </c>
      <c r="AG2348" s="82">
        <f>IFERROR(__xludf.DUMMYFUNCTION("""COMPUTED_VALUE"""),1.3050680312822744)</f>
        <v>1.305068031</v>
      </c>
      <c r="AH2348" s="82">
        <f>IFERROR(__xludf.DUMMYFUNCTION("""COMPUTED_VALUE"""),1.1779237399084679)</f>
        <v>1.17792374</v>
      </c>
      <c r="AI2348" s="82">
        <f>IFERROR(__xludf.DUMMYFUNCTION("""COMPUTED_VALUE"""),1.0810055259920306)</f>
        <v>1.081005526</v>
      </c>
      <c r="AJ2348" s="82">
        <f>IFERROR(__xludf.DUMMYFUNCTION("""COMPUTED_VALUE"""),1.1603908706010888)</f>
        <v>1.160390871</v>
      </c>
      <c r="AK2348" s="82">
        <f>IFERROR(__xludf.DUMMYFUNCTION("""COMPUTED_VALUE"""),1.2591358687953007)</f>
        <v>1.259135869</v>
      </c>
      <c r="AL2348" s="82">
        <f>IFERROR(__xludf.DUMMYFUNCTION("""COMPUTED_VALUE"""),1.0431911611917437)</f>
        <v>1.043191161</v>
      </c>
      <c r="AM2348" s="82">
        <f>IFERROR(__xludf.DUMMYFUNCTION("""COMPUTED_VALUE"""),1.1270399359898269)</f>
        <v>1.127039936</v>
      </c>
      <c r="AN2348" s="82">
        <f>IFERROR(__xludf.DUMMYFUNCTION("""COMPUTED_VALUE"""),1.1134369626245255)</f>
        <v>1.113436963</v>
      </c>
      <c r="AO2348" s="82">
        <f>IFERROR(__xludf.DUMMYFUNCTION("""COMPUTED_VALUE"""),0.9524280928618408)</f>
        <v>0.9524280929</v>
      </c>
      <c r="AP2348" s="82">
        <f>IFERROR(__xludf.DUMMYFUNCTION("""COMPUTED_VALUE"""),1.2390647981420444)</f>
        <v>1.239064798</v>
      </c>
      <c r="AQ2348" s="82">
        <f>IFERROR(__xludf.DUMMYFUNCTION("""COMPUTED_VALUE"""),1.3666494338354775)</f>
        <v>1.366649434</v>
      </c>
      <c r="AR2348" s="82">
        <f>IFERROR(__xludf.DUMMYFUNCTION("""COMPUTED_VALUE"""),1.146436331426071)</f>
        <v>1.146436331</v>
      </c>
      <c r="AS2348" s="82">
        <f>IFERROR(__xludf.DUMMYFUNCTION("""COMPUTED_VALUE"""),82.0)</f>
        <v>82</v>
      </c>
      <c r="AT2348" s="82">
        <f>IFERROR(__xludf.DUMMYFUNCTION("""COMPUTED_VALUE"""),0.43797807717850157)</f>
        <v>0.4379780772</v>
      </c>
      <c r="AU2348" s="82">
        <f>IFERROR(__xludf.DUMMYFUNCTION("""COMPUTED_VALUE"""),3.3810654782215765)</f>
        <v>3.381065478</v>
      </c>
      <c r="AV2348" s="82">
        <f>IFERROR(__xludf.DUMMYFUNCTION("""COMPUTED_VALUE"""),59.99274837503576)</f>
        <v>59.99274838</v>
      </c>
      <c r="AW2348" s="82">
        <f t="shared" si="1"/>
        <v>2.901198915</v>
      </c>
      <c r="AX2348" s="83">
        <f t="array" ref="AX2348">IFERROR(DGET('SBV Import'!A:G,"SBV",{"RSC ID","Tier";B2348,A2348}))</f>
        <v>54.28891552</v>
      </c>
      <c r="AY2348" s="82">
        <f t="shared" si="2"/>
        <v>2.315387999</v>
      </c>
      <c r="AZ2348" s="82">
        <v>0.5858109160800598</v>
      </c>
      <c r="BA2348" s="84">
        <v>2300.0</v>
      </c>
      <c r="BB2348" s="84" t="b">
        <f>IFERROR(__xludf.DUMMYFUNCTION("iferror(if(A2348="""",,E2348&gt;=FILTER(Constants!$F$2:$F$10,Constants!$A$2:$A$10=A2348)))"),TRUE)</f>
        <v>1</v>
      </c>
    </row>
    <row r="2349">
      <c r="A2349" s="89" t="str">
        <f>IFERROR(__xludf.DUMMYFUNCTION("""COMPUTED_VALUE"""),"Challenger")</f>
        <v>Challenger</v>
      </c>
      <c r="B2349" s="87" t="str">
        <f>IFERROR(__xludf.DUMMYFUNCTION("""COMPUTED_VALUE"""),"RSC006159")</f>
        <v>RSC006159</v>
      </c>
      <c r="C2349" s="73" t="str">
        <f>IFERROR(__xludf.DUMMYFUNCTION("""COMPUTED_VALUE"""),"Peter Potamus")</f>
        <v>Peter Potamus</v>
      </c>
      <c r="D2349" s="73" t="str">
        <f>IFERROR(__xludf.DUMMYFUNCTION("""COMPUTED_VALUE"""),"Lions")</f>
        <v>Lions</v>
      </c>
      <c r="E2349" s="82">
        <f>IFERROR(__xludf.DUMMYFUNCTION("""COMPUTED_VALUE"""),28.0)</f>
        <v>28</v>
      </c>
      <c r="F2349" s="82">
        <f>IFERROR(__xludf.DUMMYFUNCTION("""COMPUTED_VALUE"""),13.0)</f>
        <v>13</v>
      </c>
      <c r="G2349" s="86">
        <f>IFERROR(__xludf.DUMMYFUNCTION("""COMPUTED_VALUE"""),15.0)</f>
        <v>15</v>
      </c>
      <c r="H2349" s="86">
        <f>IFERROR(__xludf.DUMMYFUNCTION("""COMPUTED_VALUE"""),0.4642857142857143)</f>
        <v>0.4642857143</v>
      </c>
      <c r="I2349" s="86">
        <f>IFERROR(__xludf.DUMMYFUNCTION("""COMPUTED_VALUE"""),0.37037037037037035)</f>
        <v>0.3703703704</v>
      </c>
      <c r="J2349" s="82">
        <f>IFERROR(__xludf.DUMMYFUNCTION("""COMPUTED_VALUE"""),331.92857142857144)</f>
        <v>331.9285714</v>
      </c>
      <c r="K2349" s="82">
        <f>IFERROR(__xludf.DUMMYFUNCTION("""COMPUTED_VALUE"""),1.0714285714285714)</f>
        <v>1.071428571</v>
      </c>
      <c r="L2349" s="82">
        <f>IFERROR(__xludf.DUMMYFUNCTION("""COMPUTED_VALUE"""),0.32142857142857145)</f>
        <v>0.3214285714</v>
      </c>
      <c r="M2349" s="82">
        <f>IFERROR(__xludf.DUMMYFUNCTION("""COMPUTED_VALUE"""),0.9642857142857143)</f>
        <v>0.9642857143</v>
      </c>
      <c r="N2349" s="82">
        <f>IFERROR(__xludf.DUMMYFUNCTION("""COMPUTED_VALUE"""),2.892857142857143)</f>
        <v>2.892857143</v>
      </c>
      <c r="O2349" s="82">
        <f>IFERROR(__xludf.DUMMYFUNCTION("""COMPUTED_VALUE"""),331.5357142857143)</f>
        <v>331.5357143</v>
      </c>
      <c r="P2349" s="82">
        <f>IFERROR(__xludf.DUMMYFUNCTION("""COMPUTED_VALUE"""),0.7261904761904762)</f>
        <v>0.7261904762</v>
      </c>
      <c r="Q2349" s="82">
        <f>IFERROR(__xludf.DUMMYFUNCTION("""COMPUTED_VALUE"""),0.47619047619047616)</f>
        <v>0.4761904762</v>
      </c>
      <c r="R2349" s="82">
        <f>IFERROR(__xludf.DUMMYFUNCTION("""COMPUTED_VALUE"""),1.345238095238095)</f>
        <v>1.345238095</v>
      </c>
      <c r="S2349" s="82">
        <f>IFERROR(__xludf.DUMMYFUNCTION("""COMPUTED_VALUE"""),2.130952380952381)</f>
        <v>2.130952381</v>
      </c>
      <c r="T2349" s="82">
        <f>IFERROR(__xludf.DUMMYFUNCTION("""COMPUTED_VALUE"""),331.82033562561344)</f>
        <v>331.8203356</v>
      </c>
      <c r="U2349" s="82">
        <f>IFERROR(__xludf.DUMMYFUNCTION("""COMPUTED_VALUE"""),0.7413581609768752)</f>
        <v>0.741358161</v>
      </c>
      <c r="V2349" s="82">
        <f>IFERROR(__xludf.DUMMYFUNCTION("""COMPUTED_VALUE"""),0.498349519776538)</f>
        <v>0.4983495198</v>
      </c>
      <c r="W2349" s="82">
        <f>IFERROR(__xludf.DUMMYFUNCTION("""COMPUTED_VALUE"""),1.249928077636298)</f>
        <v>1.249928078</v>
      </c>
      <c r="X2349" s="82">
        <f>IFERROR(__xludf.DUMMYFUNCTION("""COMPUTED_VALUE"""),2.302067859204363)</f>
        <v>2.302067859</v>
      </c>
      <c r="Y2349" s="82">
        <f>IFERROR(__xludf.DUMMYFUNCTION("""COMPUTED_VALUE"""),340.48152921657623)</f>
        <v>340.4815292</v>
      </c>
      <c r="Z2349" s="82">
        <f>IFERROR(__xludf.DUMMYFUNCTION("""COMPUTED_VALUE"""),0.8427618365492512)</f>
        <v>0.8427618365</v>
      </c>
      <c r="AA2349" s="82">
        <f>IFERROR(__xludf.DUMMYFUNCTION("""COMPUTED_VALUE"""),0.586836242970047)</f>
        <v>0.586836243</v>
      </c>
      <c r="AB2349" s="82">
        <f>IFERROR(__xludf.DUMMYFUNCTION("""COMPUTED_VALUE"""),1.1563631674733372)</f>
        <v>1.156363167</v>
      </c>
      <c r="AC2349" s="82">
        <f>IFERROR(__xludf.DUMMYFUNCTION("""COMPUTED_VALUE"""),2.593218100642058)</f>
        <v>2.593218101</v>
      </c>
      <c r="AD2349" s="82">
        <f>IFERROR(__xludf.DUMMYFUNCTION("""COMPUTED_VALUE"""),0.9748798185684712)</f>
        <v>0.9748798186</v>
      </c>
      <c r="AE2349" s="82">
        <f>IFERROR(__xludf.DUMMYFUNCTION("""COMPUTED_VALUE"""),1.2713301966966286)</f>
        <v>1.271330197</v>
      </c>
      <c r="AF2349" s="82">
        <f>IFERROR(__xludf.DUMMYFUNCTION("""COMPUTED_VALUE"""),0.5477312883774591)</f>
        <v>0.5477312884</v>
      </c>
      <c r="AG2349" s="82">
        <f>IFERROR(__xludf.DUMMYFUNCTION("""COMPUTED_VALUE"""),0.8338952168397807)</f>
        <v>0.8338952168</v>
      </c>
      <c r="AH2349" s="82">
        <f>IFERROR(__xludf.DUMMYFUNCTION("""COMPUTED_VALUE"""),1.1155471813731737)</f>
        <v>1.115547181</v>
      </c>
      <c r="AI2349" s="82">
        <f>IFERROR(__xludf.DUMMYFUNCTION("""COMPUTED_VALUE"""),0.9991422426254782)</f>
        <v>0.9991422426</v>
      </c>
      <c r="AJ2349" s="82">
        <f>IFERROR(__xludf.DUMMYFUNCTION("""COMPUTED_VALUE"""),0.9795406787369645)</f>
        <v>0.9795406787</v>
      </c>
      <c r="AK2349" s="82">
        <f>IFERROR(__xludf.DUMMYFUNCTION("""COMPUTED_VALUE"""),0.955535136070768)</f>
        <v>0.9555351361</v>
      </c>
      <c r="AL2349" s="82">
        <f>IFERROR(__xludf.DUMMYFUNCTION("""COMPUTED_VALUE"""),1.0762524014837997)</f>
        <v>1.076252401</v>
      </c>
      <c r="AM2349" s="82">
        <f>IFERROR(__xludf.DUMMYFUNCTION("""COMPUTED_VALUE"""),0.9256687948759588)</f>
        <v>0.9256687949</v>
      </c>
      <c r="AN2349" s="82">
        <f>IFERROR(__xludf.DUMMYFUNCTION("""COMPUTED_VALUE"""),1.0097856294528045)</f>
        <v>1.009785629</v>
      </c>
      <c r="AO2349" s="82">
        <f>IFERROR(__xludf.DUMMYFUNCTION("""COMPUTED_VALUE"""),1.4129427751247088)</f>
        <v>1.412942775</v>
      </c>
      <c r="AP2349" s="82">
        <f>IFERROR(__xludf.DUMMYFUNCTION("""COMPUTED_VALUE"""),0.6233804263944448)</f>
        <v>0.6233804264</v>
      </c>
      <c r="AQ2349" s="82">
        <f>IFERROR(__xludf.DUMMYFUNCTION("""COMPUTED_VALUE"""),0.804106083346298)</f>
        <v>0.8041060833</v>
      </c>
      <c r="AR2349" s="82">
        <f>IFERROR(__xludf.DUMMYFUNCTION("""COMPUTED_VALUE"""),1.2059914655261268)</f>
        <v>1.205991466</v>
      </c>
      <c r="AS2349" s="82">
        <f>IFERROR(__xludf.DUMMYFUNCTION("""COMPUTED_VALUE"""),70.0)</f>
        <v>70</v>
      </c>
      <c r="AT2349" s="82">
        <f>IFERROR(__xludf.DUMMYFUNCTION("""COMPUTED_VALUE"""),0.5533692251576388)</f>
        <v>0.5533692252</v>
      </c>
      <c r="AU2349" s="82">
        <f>IFERROR(__xludf.DUMMYFUNCTION("""COMPUTED_VALUE"""),3.3196098877903886)</f>
        <v>3.319609888</v>
      </c>
      <c r="AV2349" s="82">
        <f>IFERROR(__xludf.DUMMYFUNCTION("""COMPUTED_VALUE"""),58.36772996386064)</f>
        <v>58.36772996</v>
      </c>
      <c r="AW2349" s="82">
        <f t="shared" si="1"/>
        <v>2.710598376</v>
      </c>
      <c r="AX2349" s="83">
        <f t="array" ref="AX2349">IFERROR(DGET('SBV Import'!A:G,"SBV",{"RSC ID","Tier";B2349,A2349}))</f>
        <v>52.61329458</v>
      </c>
      <c r="AY2349" s="82">
        <f t="shared" si="2"/>
        <v>2.181626166</v>
      </c>
      <c r="AZ2349" s="82">
        <v>0.5289722102500045</v>
      </c>
      <c r="BA2349" s="84">
        <v>2300.0</v>
      </c>
      <c r="BB2349" s="84" t="b">
        <f>IFERROR(__xludf.DUMMYFUNCTION("iferror(if(A2349="""",,E2349&gt;=FILTER(Constants!$F$2:$F$10,Constants!$A$2:$A$10=A2349)))"),TRUE)</f>
        <v>1</v>
      </c>
    </row>
    <row r="2350">
      <c r="A2350" s="89" t="str">
        <f>IFERROR(__xludf.DUMMYFUNCTION("""COMPUTED_VALUE"""),"Challenger")</f>
        <v>Challenger</v>
      </c>
      <c r="B2350" s="87" t="str">
        <f>IFERROR(__xludf.DUMMYFUNCTION("""COMPUTED_VALUE"""),"RSC006535")</f>
        <v>RSC006535</v>
      </c>
      <c r="C2350" s="73" t="str">
        <f>IFERROR(__xludf.DUMMYFUNCTION("""COMPUTED_VALUE"""),"Westandalone0")</f>
        <v>Westandalone0</v>
      </c>
      <c r="D2350" s="73" t="str">
        <f>IFERROR(__xludf.DUMMYFUNCTION("""COMPUTED_VALUE"""),"Deceased")</f>
        <v>Deceased</v>
      </c>
      <c r="E2350" s="82">
        <f>IFERROR(__xludf.DUMMYFUNCTION("""COMPUTED_VALUE"""),28.0)</f>
        <v>28</v>
      </c>
      <c r="F2350" s="82">
        <f>IFERROR(__xludf.DUMMYFUNCTION("""COMPUTED_VALUE"""),17.0)</f>
        <v>17</v>
      </c>
      <c r="G2350" s="86">
        <f>IFERROR(__xludf.DUMMYFUNCTION("""COMPUTED_VALUE"""),11.0)</f>
        <v>11</v>
      </c>
      <c r="H2350" s="86">
        <f>IFERROR(__xludf.DUMMYFUNCTION("""COMPUTED_VALUE"""),0.6071428571428571)</f>
        <v>0.6071428571</v>
      </c>
      <c r="I2350" s="86">
        <f>IFERROR(__xludf.DUMMYFUNCTION("""COMPUTED_VALUE"""),0.225)</f>
        <v>0.225</v>
      </c>
      <c r="J2350" s="82">
        <f>IFERROR(__xludf.DUMMYFUNCTION("""COMPUTED_VALUE"""),319.5)</f>
        <v>319.5</v>
      </c>
      <c r="K2350" s="82">
        <f>IFERROR(__xludf.DUMMYFUNCTION("""COMPUTED_VALUE"""),0.6428571428571429)</f>
        <v>0.6428571429</v>
      </c>
      <c r="L2350" s="82">
        <f>IFERROR(__xludf.DUMMYFUNCTION("""COMPUTED_VALUE"""),0.75)</f>
        <v>0.75</v>
      </c>
      <c r="M2350" s="82">
        <f>IFERROR(__xludf.DUMMYFUNCTION("""COMPUTED_VALUE"""),0.8928571428571429)</f>
        <v>0.8928571429</v>
      </c>
      <c r="N2350" s="82">
        <f>IFERROR(__xludf.DUMMYFUNCTION("""COMPUTED_VALUE"""),2.857142857142857)</f>
        <v>2.857142857</v>
      </c>
      <c r="O2350" s="82">
        <f>IFERROR(__xludf.DUMMYFUNCTION("""COMPUTED_VALUE"""),317.5238095238095)</f>
        <v>317.5238095</v>
      </c>
      <c r="P2350" s="82">
        <f>IFERROR(__xludf.DUMMYFUNCTION("""COMPUTED_VALUE"""),0.6071428571428571)</f>
        <v>0.6071428571</v>
      </c>
      <c r="Q2350" s="82">
        <f>IFERROR(__xludf.DUMMYFUNCTION("""COMPUTED_VALUE"""),0.46428571428571425)</f>
        <v>0.4642857143</v>
      </c>
      <c r="R2350" s="82">
        <f>IFERROR(__xludf.DUMMYFUNCTION("""COMPUTED_VALUE"""),1.3571428571428572)</f>
        <v>1.357142857</v>
      </c>
      <c r="S2350" s="82">
        <f>IFERROR(__xludf.DUMMYFUNCTION("""COMPUTED_VALUE"""),2.011904761904762)</f>
        <v>2.011904762</v>
      </c>
      <c r="T2350" s="82">
        <f>IFERROR(__xludf.DUMMYFUNCTION("""COMPUTED_VALUE"""),323.06508416227126)</f>
        <v>323.0650842</v>
      </c>
      <c r="U2350" s="82">
        <f>IFERROR(__xludf.DUMMYFUNCTION("""COMPUTED_VALUE"""),0.7194701379179117)</f>
        <v>0.7194701379</v>
      </c>
      <c r="V2350" s="82">
        <f>IFERROR(__xludf.DUMMYFUNCTION("""COMPUTED_VALUE"""),0.44619255896936616)</f>
        <v>0.446192559</v>
      </c>
      <c r="W2350" s="82">
        <f>IFERROR(__xludf.DUMMYFUNCTION("""COMPUTED_VALUE"""),1.273323377569476)</f>
        <v>1.273323378</v>
      </c>
      <c r="X2350" s="82">
        <f>IFERROR(__xludf.DUMMYFUNCTION("""COMPUTED_VALUE"""),2.219863692963934)</f>
        <v>2.219863693</v>
      </c>
      <c r="Y2350" s="82">
        <f>IFERROR(__xludf.DUMMYFUNCTION("""COMPUTED_VALUE"""),347.2637415661408)</f>
        <v>347.2637416</v>
      </c>
      <c r="Z2350" s="82">
        <f>IFERROR(__xludf.DUMMYFUNCTION("""COMPUTED_VALUE"""),0.8755756873095624)</f>
        <v>0.8755756873</v>
      </c>
      <c r="AA2350" s="82">
        <f>IFERROR(__xludf.DUMMYFUNCTION("""COMPUTED_VALUE"""),0.6312968165076777)</f>
        <v>0.6312968165</v>
      </c>
      <c r="AB2350" s="82">
        <f>IFERROR(__xludf.DUMMYFUNCTION("""COMPUTED_VALUE"""),1.1318533273362268)</f>
        <v>1.131853327</v>
      </c>
      <c r="AC2350" s="82">
        <f>IFERROR(__xludf.DUMMYFUNCTION("""COMPUTED_VALUE"""),2.668730593619263)</f>
        <v>2.668730594</v>
      </c>
      <c r="AD2350" s="82">
        <f>IFERROR(__xludf.DUMMYFUNCTION("""COMPUTED_VALUE"""),0.9200499843694367)</f>
        <v>0.9200499844</v>
      </c>
      <c r="AE2350" s="82">
        <f>IFERROR(__xludf.DUMMYFUNCTION("""COMPUTED_VALUE"""),0.7342108194352579)</f>
        <v>0.7342108194</v>
      </c>
      <c r="AF2350" s="82">
        <f>IFERROR(__xludf.DUMMYFUNCTION("""COMPUTED_VALUE"""),1.1880307018638019)</f>
        <v>1.188030702</v>
      </c>
      <c r="AG2350" s="82">
        <f>IFERROR(__xludf.DUMMYFUNCTION("""COMPUTED_VALUE"""),0.7888452693410796)</f>
        <v>0.7888452693</v>
      </c>
      <c r="AH2350" s="82">
        <f>IFERROR(__xludf.DUMMYFUNCTION("""COMPUTED_VALUE"""),1.0705999563890314)</f>
        <v>1.070599956</v>
      </c>
      <c r="AI2350" s="82">
        <f>IFERROR(__xludf.DUMMYFUNCTION("""COMPUTED_VALUE"""),0.982847807113447)</f>
        <v>0.9828478071</v>
      </c>
      <c r="AJ2350" s="82">
        <f>IFERROR(__xludf.DUMMYFUNCTION("""COMPUTED_VALUE"""),0.843874992365742)</f>
        <v>0.8438749924</v>
      </c>
      <c r="AK2350" s="82">
        <f>IFERROR(__xludf.DUMMYFUNCTION("""COMPUTED_VALUE"""),1.0405501054480613)</f>
        <v>1.040550105</v>
      </c>
      <c r="AL2350" s="82">
        <f>IFERROR(__xludf.DUMMYFUNCTION("""COMPUTED_VALUE"""),1.0658273311005853)</f>
        <v>1.065827331</v>
      </c>
      <c r="AM2350" s="82">
        <f>IFERROR(__xludf.DUMMYFUNCTION("""COMPUTED_VALUE"""),0.9063190538597854)</f>
        <v>0.9063190539</v>
      </c>
      <c r="AN2350" s="82">
        <f>IFERROR(__xludf.DUMMYFUNCTION("""COMPUTED_VALUE"""),0.9719757091763275)</f>
        <v>0.9719757092</v>
      </c>
      <c r="AO2350" s="82">
        <f>IFERROR(__xludf.DUMMYFUNCTION("""COMPUTED_VALUE"""),0.8477656650748254)</f>
        <v>0.8477656651</v>
      </c>
      <c r="AP2350" s="82">
        <f>IFERROR(__xludf.DUMMYFUNCTION("""COMPUTED_VALUE"""),1.4545543282537043)</f>
        <v>1.454554328</v>
      </c>
      <c r="AQ2350" s="82">
        <f>IFERROR(__xludf.DUMMYFUNCTION("""COMPUTED_VALUE"""),0.7445426697650908)</f>
        <v>0.7445426698</v>
      </c>
      <c r="AR2350" s="82">
        <f>IFERROR(__xludf.DUMMYFUNCTION("""COMPUTED_VALUE"""),1.1911026820011128)</f>
        <v>1.191102682</v>
      </c>
      <c r="AS2350" s="82">
        <f>IFERROR(__xludf.DUMMYFUNCTION("""COMPUTED_VALUE"""),71.0)</f>
        <v>71</v>
      </c>
      <c r="AT2350" s="82">
        <f>IFERROR(__xludf.DUMMYFUNCTION("""COMPUTED_VALUE"""),0.6235780303363988)</f>
        <v>0.6235780303</v>
      </c>
      <c r="AU2350" s="82">
        <f>IFERROR(__xludf.DUMMYFUNCTION("""COMPUTED_VALUE"""),3.307371920424896)</f>
        <v>3.30737192</v>
      </c>
      <c r="AV2350" s="82">
        <f>IFERROR(__xludf.DUMMYFUNCTION("""COMPUTED_VALUE"""),58.04413170136322)</f>
        <v>58.0441317</v>
      </c>
      <c r="AW2350" s="82">
        <f t="shared" si="1"/>
        <v>2.675118156</v>
      </c>
      <c r="AX2350" s="83">
        <f t="array" ref="AX2350">IFERROR(DGET('SBV Import'!A:G,"SBV",{"RSC ID","Tier";B2350,A2350}))</f>
        <v>53.26861104</v>
      </c>
      <c r="AY2350" s="82">
        <f t="shared" si="2"/>
        <v>2.232198974</v>
      </c>
      <c r="AZ2350" s="82">
        <v>0.44291918224747295</v>
      </c>
      <c r="BA2350" s="84">
        <v>2300.0</v>
      </c>
      <c r="BB2350" s="84" t="b">
        <f>IFERROR(__xludf.DUMMYFUNCTION("iferror(if(A2350="""",,E2350&gt;=FILTER(Constants!$F$2:$F$10,Constants!$A$2:$A$10=A2350)))"),TRUE)</f>
        <v>1</v>
      </c>
    </row>
    <row r="2351">
      <c r="A2351" s="89" t="str">
        <f>IFERROR(__xludf.DUMMYFUNCTION("""COMPUTED_VALUE"""),"Challenger")</f>
        <v>Challenger</v>
      </c>
      <c r="B2351" s="87" t="str">
        <f>IFERROR(__xludf.DUMMYFUNCTION("""COMPUTED_VALUE"""),"RSC004614")</f>
        <v>RSC004614</v>
      </c>
      <c r="C2351" s="73" t="str">
        <f>IFERROR(__xludf.DUMMYFUNCTION("""COMPUTED_VALUE"""),"Ex ample")</f>
        <v>Ex ample</v>
      </c>
      <c r="D2351" s="73" t="str">
        <f>IFERROR(__xludf.DUMMYFUNCTION("""COMPUTED_VALUE"""),"Pharaohs")</f>
        <v>Pharaohs</v>
      </c>
      <c r="E2351" s="82">
        <f>IFERROR(__xludf.DUMMYFUNCTION("""COMPUTED_VALUE"""),31.0)</f>
        <v>31</v>
      </c>
      <c r="F2351" s="82">
        <f>IFERROR(__xludf.DUMMYFUNCTION("""COMPUTED_VALUE"""),15.0)</f>
        <v>15</v>
      </c>
      <c r="G2351" s="86">
        <f>IFERROR(__xludf.DUMMYFUNCTION("""COMPUTED_VALUE"""),16.0)</f>
        <v>16</v>
      </c>
      <c r="H2351" s="86">
        <f>IFERROR(__xludf.DUMMYFUNCTION("""COMPUTED_VALUE"""),0.4838709677419355)</f>
        <v>0.4838709677</v>
      </c>
      <c r="I2351" s="86">
        <f>IFERROR(__xludf.DUMMYFUNCTION("""COMPUTED_VALUE"""),0.3194444444444444)</f>
        <v>0.3194444444</v>
      </c>
      <c r="J2351" s="82">
        <f>IFERROR(__xludf.DUMMYFUNCTION("""COMPUTED_VALUE"""),369.4193548387097)</f>
        <v>369.4193548</v>
      </c>
      <c r="K2351" s="82">
        <f>IFERROR(__xludf.DUMMYFUNCTION("""COMPUTED_VALUE"""),0.7419354838709677)</f>
        <v>0.7419354839</v>
      </c>
      <c r="L2351" s="82">
        <f>IFERROR(__xludf.DUMMYFUNCTION("""COMPUTED_VALUE"""),0.6129032258064516)</f>
        <v>0.6129032258</v>
      </c>
      <c r="M2351" s="82">
        <f>IFERROR(__xludf.DUMMYFUNCTION("""COMPUTED_VALUE"""),1.6774193548387097)</f>
        <v>1.677419355</v>
      </c>
      <c r="N2351" s="82">
        <f>IFERROR(__xludf.DUMMYFUNCTION("""COMPUTED_VALUE"""),2.3225806451612905)</f>
        <v>2.322580645</v>
      </c>
      <c r="O2351" s="82">
        <f>IFERROR(__xludf.DUMMYFUNCTION("""COMPUTED_VALUE"""),342.68817204301064)</f>
        <v>342.688172</v>
      </c>
      <c r="P2351" s="82">
        <f>IFERROR(__xludf.DUMMYFUNCTION("""COMPUTED_VALUE"""),0.7311827956989249)</f>
        <v>0.7311827957</v>
      </c>
      <c r="Q2351" s="82">
        <f>IFERROR(__xludf.DUMMYFUNCTION("""COMPUTED_VALUE"""),0.5161290322580645)</f>
        <v>0.5161290323</v>
      </c>
      <c r="R2351" s="82">
        <f>IFERROR(__xludf.DUMMYFUNCTION("""COMPUTED_VALUE"""),1.0537634408602152)</f>
        <v>1.053763441</v>
      </c>
      <c r="S2351" s="82">
        <f>IFERROR(__xludf.DUMMYFUNCTION("""COMPUTED_VALUE"""),2.860215053763441)</f>
        <v>2.860215054</v>
      </c>
      <c r="T2351" s="82">
        <f>IFERROR(__xludf.DUMMYFUNCTION("""COMPUTED_VALUE"""),330.782724721451)</f>
        <v>330.7827247</v>
      </c>
      <c r="U2351" s="82">
        <f>IFERROR(__xludf.DUMMYFUNCTION("""COMPUTED_VALUE"""),0.7011163447029483)</f>
        <v>0.7011163447</v>
      </c>
      <c r="V2351" s="82">
        <f>IFERROR(__xludf.DUMMYFUNCTION("""COMPUTED_VALUE"""),0.502516348856315)</f>
        <v>0.5025163489</v>
      </c>
      <c r="W2351" s="82">
        <f>IFERROR(__xludf.DUMMYFUNCTION("""COMPUTED_VALUE"""),1.2174675347512556)</f>
        <v>1.217467535</v>
      </c>
      <c r="X2351" s="82">
        <f>IFERROR(__xludf.DUMMYFUNCTION("""COMPUTED_VALUE"""),2.515376738370113)</f>
        <v>2.515376738</v>
      </c>
      <c r="Y2351" s="82">
        <f>IFERROR(__xludf.DUMMYFUNCTION("""COMPUTED_VALUE"""),334.4461642322916)</f>
        <v>334.4461642</v>
      </c>
      <c r="Z2351" s="82">
        <f>IFERROR(__xludf.DUMMYFUNCTION("""COMPUTED_VALUE"""),0.7198270142833879)</f>
        <v>0.7198270143</v>
      </c>
      <c r="AA2351" s="82">
        <f>IFERROR(__xludf.DUMMYFUNCTION("""COMPUTED_VALUE"""),0.4877605128076425)</f>
        <v>0.4877605128</v>
      </c>
      <c r="AB2351" s="82">
        <f>IFERROR(__xludf.DUMMYFUNCTION("""COMPUTED_VALUE"""),1.3326323183977513)</f>
        <v>1.332632318</v>
      </c>
      <c r="AC2351" s="82">
        <f>IFERROR(__xludf.DUMMYFUNCTION("""COMPUTED_VALUE"""),2.35317638539859)</f>
        <v>2.353176385</v>
      </c>
      <c r="AD2351" s="82">
        <f>IFERROR(__xludf.DUMMYFUNCTION("""COMPUTED_VALUE"""),1.1045704640885856)</f>
        <v>1.104570464</v>
      </c>
      <c r="AE2351" s="82">
        <f>IFERROR(__xludf.DUMMYFUNCTION("""COMPUTED_VALUE"""),1.0307135869436486)</f>
        <v>1.030713587</v>
      </c>
      <c r="AF2351" s="82">
        <f>IFERROR(__xludf.DUMMYFUNCTION("""COMPUTED_VALUE"""),1.256565895993638)</f>
        <v>1.256565896</v>
      </c>
      <c r="AG2351" s="82">
        <f>IFERROR(__xludf.DUMMYFUNCTION("""COMPUTED_VALUE"""),1.2587263055840505)</f>
        <v>1.258726306</v>
      </c>
      <c r="AH2351" s="82">
        <f>IFERROR(__xludf.DUMMYFUNCTION("""COMPUTED_VALUE"""),0.9869981101173948)</f>
        <v>0.9869981101</v>
      </c>
      <c r="AI2351" s="82">
        <f>IFERROR(__xludf.DUMMYFUNCTION("""COMPUTED_VALUE"""),1.0359917445253075)</f>
        <v>1.035991745</v>
      </c>
      <c r="AJ2351" s="82">
        <f>IFERROR(__xludf.DUMMYFUNCTION("""COMPUTED_VALUE"""),1.0428836828910546)</f>
        <v>1.042883683</v>
      </c>
      <c r="AK2351" s="82">
        <f>IFERROR(__xludf.DUMMYFUNCTION("""COMPUTED_VALUE"""),1.0270890358746154)</f>
        <v>1.027089036</v>
      </c>
      <c r="AL2351" s="82">
        <f>IFERROR(__xludf.DUMMYFUNCTION("""COMPUTED_VALUE"""),0.8655371997870258)</f>
        <v>0.8655371998</v>
      </c>
      <c r="AM2351" s="82">
        <f>IFERROR(__xludf.DUMMYFUNCTION("""COMPUTED_VALUE"""),1.1370921143274835)</f>
        <v>1.137092114</v>
      </c>
      <c r="AN2351" s="82">
        <f>IFERROR(__xludf.DUMMYFUNCTION("""COMPUTED_VALUE"""),1.1238392469571712)</f>
        <v>1.123839247</v>
      </c>
      <c r="AO2351" s="82">
        <f>IFERROR(__xludf.DUMMYFUNCTION("""COMPUTED_VALUE"""),0.9784248894411963)</f>
        <v>0.9784248894</v>
      </c>
      <c r="AP2351" s="82">
        <f>IFERROR(__xludf.DUMMYFUNCTION("""COMPUTED_VALUE"""),1.1886680531965756)</f>
        <v>1.188668053</v>
      </c>
      <c r="AQ2351" s="82">
        <f>IFERROR(__xludf.DUMMYFUNCTION("""COMPUTED_VALUE"""),1.3987795189393188)</f>
        <v>1.398779519</v>
      </c>
      <c r="AR2351" s="82">
        <f>IFERROR(__xludf.DUMMYFUNCTION("""COMPUTED_VALUE"""),0.9682512124654209)</f>
        <v>0.9682512125</v>
      </c>
      <c r="AS2351" s="82">
        <f>IFERROR(__xludf.DUMMYFUNCTION("""COMPUTED_VALUE"""),63.0)</f>
        <v>63</v>
      </c>
      <c r="AT2351" s="82">
        <f>IFERROR(__xludf.DUMMYFUNCTION("""COMPUTED_VALUE"""),0.4711574679737482)</f>
        <v>0.471157468</v>
      </c>
      <c r="AU2351" s="82">
        <f>IFERROR(__xludf.DUMMYFUNCTION("""COMPUTED_VALUE"""),3.2703413398254124)</f>
        <v>3.27034134</v>
      </c>
      <c r="AV2351" s="82">
        <f>IFERROR(__xludf.DUMMYFUNCTION("""COMPUTED_VALUE"""),57.06496325096742)</f>
        <v>57.06496325</v>
      </c>
      <c r="AW2351" s="82">
        <f t="shared" si="1"/>
        <v>2.572398194</v>
      </c>
      <c r="AX2351" s="83">
        <f t="array" ref="AX2351">IFERROR(DGET('SBV Import'!A:G,"SBV",{"RSC ID","Tier";B2351,A2351}))</f>
        <v>57.18331948</v>
      </c>
      <c r="AY2351" s="82">
        <f t="shared" si="2"/>
        <v>2.584455061</v>
      </c>
      <c r="AZ2351" s="82">
        <v>0.012056866497141439</v>
      </c>
      <c r="BA2351" s="84">
        <v>2300.0</v>
      </c>
      <c r="BB2351" s="84" t="b">
        <f>IFERROR(__xludf.DUMMYFUNCTION("iferror(if(A2351="""",,E2351&gt;=FILTER(Constants!$F$2:$F$10,Constants!$A$2:$A$10=A2351)))"),TRUE)</f>
        <v>1</v>
      </c>
    </row>
    <row r="2352">
      <c r="A2352" s="89" t="str">
        <f>IFERROR(__xludf.DUMMYFUNCTION("""COMPUTED_VALUE"""),"Challenger")</f>
        <v>Challenger</v>
      </c>
      <c r="B2352" s="87" t="str">
        <f>IFERROR(__xludf.DUMMYFUNCTION("""COMPUTED_VALUE"""),"RSC001995")</f>
        <v>RSC001995</v>
      </c>
      <c r="C2352" s="73" t="str">
        <f>IFERROR(__xludf.DUMMYFUNCTION("""COMPUTED_VALUE"""),"Tvveedle")</f>
        <v>Tvveedle</v>
      </c>
      <c r="D2352" s="73"/>
      <c r="E2352" s="82">
        <f>IFERROR(__xludf.DUMMYFUNCTION("""COMPUTED_VALUE"""),8.0)</f>
        <v>8</v>
      </c>
      <c r="F2352" s="82">
        <f>IFERROR(__xludf.DUMMYFUNCTION("""COMPUTED_VALUE"""),5.0)</f>
        <v>5</v>
      </c>
      <c r="G2352" s="86">
        <f>IFERROR(__xludf.DUMMYFUNCTION("""COMPUTED_VALUE"""),3.0)</f>
        <v>3</v>
      </c>
      <c r="H2352" s="86">
        <f>IFERROR(__xludf.DUMMYFUNCTION("""COMPUTED_VALUE"""),0.625)</f>
        <v>0.625</v>
      </c>
      <c r="I2352" s="86">
        <f>IFERROR(__xludf.DUMMYFUNCTION("""COMPUTED_VALUE"""),0.3181818181818182)</f>
        <v>0.3181818182</v>
      </c>
      <c r="J2352" s="82">
        <f>IFERROR(__xludf.DUMMYFUNCTION("""COMPUTED_VALUE"""),322.625)</f>
        <v>322.625</v>
      </c>
      <c r="K2352" s="82">
        <f>IFERROR(__xludf.DUMMYFUNCTION("""COMPUTED_VALUE"""),0.875)</f>
        <v>0.875</v>
      </c>
      <c r="L2352" s="82">
        <f>IFERROR(__xludf.DUMMYFUNCTION("""COMPUTED_VALUE"""),0.375)</f>
        <v>0.375</v>
      </c>
      <c r="M2352" s="82">
        <f>IFERROR(__xludf.DUMMYFUNCTION("""COMPUTED_VALUE"""),0.875)</f>
        <v>0.875</v>
      </c>
      <c r="N2352" s="82">
        <f>IFERROR(__xludf.DUMMYFUNCTION("""COMPUTED_VALUE"""),2.75)</f>
        <v>2.75</v>
      </c>
      <c r="O2352" s="82">
        <f>IFERROR(__xludf.DUMMYFUNCTION("""COMPUTED_VALUE"""),265.8333333333333)</f>
        <v>265.8333333</v>
      </c>
      <c r="P2352" s="82">
        <f>IFERROR(__xludf.DUMMYFUNCTION("""COMPUTED_VALUE"""),0.41666666666666674)</f>
        <v>0.4166666667</v>
      </c>
      <c r="Q2352" s="82">
        <f>IFERROR(__xludf.DUMMYFUNCTION("""COMPUTED_VALUE"""),0.29166666666666663)</f>
        <v>0.2916666667</v>
      </c>
      <c r="R2352" s="82">
        <f>IFERROR(__xludf.DUMMYFUNCTION("""COMPUTED_VALUE"""),1.0416666666666667)</f>
        <v>1.041666667</v>
      </c>
      <c r="S2352" s="82">
        <f>IFERROR(__xludf.DUMMYFUNCTION("""COMPUTED_VALUE"""),1.6666666666666667)</f>
        <v>1.666666667</v>
      </c>
      <c r="T2352" s="82">
        <f>IFERROR(__xludf.DUMMYFUNCTION("""COMPUTED_VALUE"""),321.96482117187054)</f>
        <v>321.9648212</v>
      </c>
      <c r="U2352" s="82">
        <f>IFERROR(__xludf.DUMMYFUNCTION("""COMPUTED_VALUE"""),0.6124569495442361)</f>
        <v>0.6124569495</v>
      </c>
      <c r="V2352" s="82">
        <f>IFERROR(__xludf.DUMMYFUNCTION("""COMPUTED_VALUE"""),0.44577374449290963)</f>
        <v>0.4457737445</v>
      </c>
      <c r="W2352" s="82">
        <f>IFERROR(__xludf.DUMMYFUNCTION("""COMPUTED_VALUE"""),1.3865366185574917)</f>
        <v>1.386536619</v>
      </c>
      <c r="X2352" s="82">
        <f>IFERROR(__xludf.DUMMYFUNCTION("""COMPUTED_VALUE"""),2.0737286390607075)</f>
        <v>2.073728639</v>
      </c>
      <c r="Y2352" s="82">
        <f>IFERROR(__xludf.DUMMYFUNCTION("""COMPUTED_VALUE"""),352.4577965203677)</f>
        <v>352.4577965</v>
      </c>
      <c r="Z2352" s="82">
        <f>IFERROR(__xludf.DUMMYFUNCTION("""COMPUTED_VALUE"""),0.8667025226512893)</f>
        <v>0.8667025227</v>
      </c>
      <c r="AA2352" s="82">
        <f>IFERROR(__xludf.DUMMYFUNCTION("""COMPUTED_VALUE"""),0.641420452834115)</f>
        <v>0.6414204528</v>
      </c>
      <c r="AB2352" s="82">
        <f>IFERROR(__xludf.DUMMYFUNCTION("""COMPUTED_VALUE"""),1.0872968776953595)</f>
        <v>1.087296878</v>
      </c>
      <c r="AC2352" s="82">
        <f>IFERROR(__xludf.DUMMYFUNCTION("""COMPUTED_VALUE"""),2.8383994503633976)</f>
        <v>2.83839945</v>
      </c>
      <c r="AD2352" s="82">
        <f>IFERROR(__xludf.DUMMYFUNCTION("""COMPUTED_VALUE"""),0.9153578192484565)</f>
        <v>0.9153578192</v>
      </c>
      <c r="AE2352" s="82">
        <f>IFERROR(__xludf.DUMMYFUNCTION("""COMPUTED_VALUE"""),1.0095736162430082)</f>
        <v>1.009573616</v>
      </c>
      <c r="AF2352" s="82">
        <f>IFERROR(__xludf.DUMMYFUNCTION("""COMPUTED_VALUE"""),0.5846399165213134)</f>
        <v>0.5846399165</v>
      </c>
      <c r="AG2352" s="82">
        <f>IFERROR(__xludf.DUMMYFUNCTION("""COMPUTED_VALUE"""),0.8047480112834084)</f>
        <v>0.8047480113</v>
      </c>
      <c r="AH2352" s="82">
        <f>IFERROR(__xludf.DUMMYFUNCTION("""COMPUTED_VALUE"""),0.9688558809606309)</f>
        <v>0.968855881</v>
      </c>
      <c r="AI2352" s="82">
        <f>IFERROR(__xludf.DUMMYFUNCTION("""COMPUTED_VALUE"""),0.8256595623266144)</f>
        <v>0.8256595623</v>
      </c>
      <c r="AJ2352" s="82">
        <f>IFERROR(__xludf.DUMMYFUNCTION("""COMPUTED_VALUE"""),0.6803199261217168)</f>
        <v>0.6803199261</v>
      </c>
      <c r="AK2352" s="82">
        <f>IFERROR(__xludf.DUMMYFUNCTION("""COMPUTED_VALUE"""),0.6542930584627686)</f>
        <v>0.6542930585</v>
      </c>
      <c r="AL2352" s="82">
        <f>IFERROR(__xludf.DUMMYFUNCTION("""COMPUTED_VALUE"""),0.7512723809273667)</f>
        <v>0.7512723809</v>
      </c>
      <c r="AM2352" s="82">
        <f>IFERROR(__xludf.DUMMYFUNCTION("""COMPUTED_VALUE"""),0.8037052849024553)</f>
        <v>0.8037052849</v>
      </c>
      <c r="AN2352" s="82">
        <f>IFERROR(__xludf.DUMMYFUNCTION("""COMPUTED_VALUE"""),0.9814825138435451)</f>
        <v>0.9814825138</v>
      </c>
      <c r="AO2352" s="82">
        <f>IFERROR(__xludf.DUMMYFUNCTION("""COMPUTED_VALUE"""),1.1539032663518456)</f>
        <v>1.153903266</v>
      </c>
      <c r="AP2352" s="82">
        <f>IFERROR(__xludf.DUMMYFUNCTION("""COMPUTED_VALUE"""),0.7272771641268522)</f>
        <v>0.7272771641</v>
      </c>
      <c r="AQ2352" s="82">
        <f>IFERROR(__xludf.DUMMYFUNCTION("""COMPUTED_VALUE"""),0.7296518163697889)</f>
        <v>0.7296518164</v>
      </c>
      <c r="AR2352" s="82">
        <f>IFERROR(__xludf.DUMMYFUNCTION("""COMPUTED_VALUE"""),1.146436331426071)</f>
        <v>1.146436331</v>
      </c>
      <c r="AS2352" s="82">
        <f>IFERROR(__xludf.DUMMYFUNCTION("""COMPUTED_VALUE"""),17.0)</f>
        <v>17</v>
      </c>
      <c r="AT2352" s="82">
        <f>IFERROR(__xludf.DUMMYFUNCTION("""COMPUTED_VALUE"""),0.6796848859231691)</f>
        <v>0.6796848859</v>
      </c>
      <c r="AU2352" s="82">
        <f>IFERROR(__xludf.DUMMYFUNCTION("""COMPUTED_VALUE"""),3.2214826690234397)</f>
        <v>3.221482669</v>
      </c>
      <c r="AV2352" s="82">
        <f>IFERROR(__xludf.DUMMYFUNCTION("""COMPUTED_VALUE"""),55.77303457463895)</f>
        <v>55.77303457</v>
      </c>
      <c r="AW2352" s="82">
        <f t="shared" si="1"/>
        <v>2.446854688</v>
      </c>
      <c r="AX2352" s="83">
        <f t="array" ref="AX2352">IFERROR(DGET('SBV Import'!A:G,"SBV",{"RSC ID","Tier";B2352,A2352}))</f>
        <v>73.90778602</v>
      </c>
      <c r="AY2352" s="82">
        <f t="shared" si="2"/>
        <v>5.901186205</v>
      </c>
      <c r="AZ2352" s="82">
        <v>3.454331516783032</v>
      </c>
      <c r="BA2352" s="84">
        <v>2300.0</v>
      </c>
      <c r="BB2352" s="84" t="b">
        <f>IFERROR(__xludf.DUMMYFUNCTION("iferror(if(A2352="""",,E2352&gt;=FILTER(Constants!$F$2:$F$10,Constants!$A$2:$A$10=A2352)))"),TRUE)</f>
        <v>1</v>
      </c>
    </row>
    <row r="2353">
      <c r="A2353" s="89" t="str">
        <f>IFERROR(__xludf.DUMMYFUNCTION("""COMPUTED_VALUE"""),"Challenger")</f>
        <v>Challenger</v>
      </c>
      <c r="B2353" s="87" t="str">
        <f>IFERROR(__xludf.DUMMYFUNCTION("""COMPUTED_VALUE"""),"RSC007294")</f>
        <v>RSC007294</v>
      </c>
      <c r="C2353" s="73" t="str">
        <f>IFERROR(__xludf.DUMMYFUNCTION("""COMPUTED_VALUE"""),"CF0UR_")</f>
        <v>CF0UR_</v>
      </c>
      <c r="D2353" s="73" t="str">
        <f>IFERROR(__xludf.DUMMYFUNCTION("""COMPUTED_VALUE"""),"Havarti Hustlers")</f>
        <v>Havarti Hustlers</v>
      </c>
      <c r="E2353" s="82">
        <f>IFERROR(__xludf.DUMMYFUNCTION("""COMPUTED_VALUE"""),32.0)</f>
        <v>32</v>
      </c>
      <c r="F2353" s="82">
        <f>IFERROR(__xludf.DUMMYFUNCTION("""COMPUTED_VALUE"""),16.0)</f>
        <v>16</v>
      </c>
      <c r="G2353" s="86">
        <f>IFERROR(__xludf.DUMMYFUNCTION("""COMPUTED_VALUE"""),16.0)</f>
        <v>16</v>
      </c>
      <c r="H2353" s="86">
        <f>IFERROR(__xludf.DUMMYFUNCTION("""COMPUTED_VALUE"""),0.5)</f>
        <v>0.5</v>
      </c>
      <c r="I2353" s="86">
        <f>IFERROR(__xludf.DUMMYFUNCTION("""COMPUTED_VALUE"""),0.4)</f>
        <v>0.4</v>
      </c>
      <c r="J2353" s="82">
        <f>IFERROR(__xludf.DUMMYFUNCTION("""COMPUTED_VALUE"""),365.5)</f>
        <v>365.5</v>
      </c>
      <c r="K2353" s="82">
        <f>IFERROR(__xludf.DUMMYFUNCTION("""COMPUTED_VALUE"""),1.0)</f>
        <v>1</v>
      </c>
      <c r="L2353" s="82">
        <f>IFERROR(__xludf.DUMMYFUNCTION("""COMPUTED_VALUE"""),0.375)</f>
        <v>0.375</v>
      </c>
      <c r="M2353" s="82">
        <f>IFERROR(__xludf.DUMMYFUNCTION("""COMPUTED_VALUE"""),1.15625)</f>
        <v>1.15625</v>
      </c>
      <c r="N2353" s="82">
        <f>IFERROR(__xludf.DUMMYFUNCTION("""COMPUTED_VALUE"""),2.5)</f>
        <v>2.5</v>
      </c>
      <c r="O2353" s="82">
        <f>IFERROR(__xludf.DUMMYFUNCTION("""COMPUTED_VALUE"""),353.05208333333337)</f>
        <v>353.0520833</v>
      </c>
      <c r="P2353" s="82">
        <f>IFERROR(__xludf.DUMMYFUNCTION("""COMPUTED_VALUE"""),0.7187500000000001)</f>
        <v>0.71875</v>
      </c>
      <c r="Q2353" s="82">
        <f>IFERROR(__xludf.DUMMYFUNCTION("""COMPUTED_VALUE"""),0.47916666666666674)</f>
        <v>0.4791666667</v>
      </c>
      <c r="R2353" s="82">
        <f>IFERROR(__xludf.DUMMYFUNCTION("""COMPUTED_VALUE"""),1.5624999999999998)</f>
        <v>1.5625</v>
      </c>
      <c r="S2353" s="82">
        <f>IFERROR(__xludf.DUMMYFUNCTION("""COMPUTED_VALUE"""),2.239583333333333)</f>
        <v>2.239583333</v>
      </c>
      <c r="T2353" s="82">
        <f>IFERROR(__xludf.DUMMYFUNCTION("""COMPUTED_VALUE"""),330.2143731065052)</f>
        <v>330.2143731</v>
      </c>
      <c r="U2353" s="82">
        <f>IFERROR(__xludf.DUMMYFUNCTION("""COMPUTED_VALUE"""),0.695300919168329)</f>
        <v>0.6953009192</v>
      </c>
      <c r="V2353" s="82">
        <f>IFERROR(__xludf.DUMMYFUNCTION("""COMPUTED_VALUE"""),0.4872569362790148)</f>
        <v>0.4872569363</v>
      </c>
      <c r="W2353" s="82">
        <f>IFERROR(__xludf.DUMMYFUNCTION("""COMPUTED_VALUE"""),1.2943446063806001)</f>
        <v>1.294344606</v>
      </c>
      <c r="X2353" s="82">
        <f>IFERROR(__xludf.DUMMYFUNCTION("""COMPUTED_VALUE"""),2.3135472869358664)</f>
        <v>2.313547287</v>
      </c>
      <c r="Y2353" s="82">
        <f>IFERROR(__xludf.DUMMYFUNCTION("""COMPUTED_VALUE"""),340.395543366795)</f>
        <v>340.3955434</v>
      </c>
      <c r="Z2353" s="82">
        <f>IFERROR(__xludf.DUMMYFUNCTION("""COMPUTED_VALUE"""),0.8091606285125023)</f>
        <v>0.8091606285</v>
      </c>
      <c r="AA2353" s="82">
        <f>IFERROR(__xludf.DUMMYFUNCTION("""COMPUTED_VALUE"""),0.578510346130227)</f>
        <v>0.5785103461</v>
      </c>
      <c r="AB2353" s="82">
        <f>IFERROR(__xludf.DUMMYFUNCTION("""COMPUTED_VALUE"""),1.1707207642385138)</f>
        <v>1.170720764</v>
      </c>
      <c r="AC2353" s="82">
        <f>IFERROR(__xludf.DUMMYFUNCTION("""COMPUTED_VALUE"""),2.5761989871424165)</f>
        <v>2.576198987</v>
      </c>
      <c r="AD2353" s="82">
        <f>IFERROR(__xludf.DUMMYFUNCTION("""COMPUTED_VALUE"""),1.0737508381716783)</f>
        <v>1.073750838</v>
      </c>
      <c r="AE2353" s="82">
        <f>IFERROR(__xludf.DUMMYFUNCTION("""COMPUTED_VALUE"""),1.2358485630205736)</f>
        <v>1.235848563</v>
      </c>
      <c r="AF2353" s="82">
        <f>IFERROR(__xludf.DUMMYFUNCTION("""COMPUTED_VALUE"""),0.648216583347992)</f>
        <v>0.6482165833</v>
      </c>
      <c r="AG2353" s="82">
        <f>IFERROR(__xludf.DUMMYFUNCTION("""COMPUTED_VALUE"""),0.9876394400094832)</f>
        <v>0.98763944</v>
      </c>
      <c r="AH2353" s="82">
        <f>IFERROR(__xludf.DUMMYFUNCTION("""COMPUTED_VALUE"""),0.9704219326524391)</f>
        <v>0.9704219327</v>
      </c>
      <c r="AI2353" s="82">
        <f>IFERROR(__xludf.DUMMYFUNCTION("""COMPUTED_VALUE"""),1.0691602549337313)</f>
        <v>1.069160255</v>
      </c>
      <c r="AJ2353" s="82">
        <f>IFERROR(__xludf.DUMMYFUNCTION("""COMPUTED_VALUE"""),1.033725082457419)</f>
        <v>1.033725082</v>
      </c>
      <c r="AK2353" s="82">
        <f>IFERROR(__xludf.DUMMYFUNCTION("""COMPUTED_VALUE"""),0.9833962966763897)</f>
        <v>0.9833962967</v>
      </c>
      <c r="AL2353" s="82">
        <f>IFERROR(__xludf.DUMMYFUNCTION("""COMPUTED_VALUE"""),1.2071746521733864)</f>
        <v>1.207174652</v>
      </c>
      <c r="AM2353" s="82">
        <f>IFERROR(__xludf.DUMMYFUNCTION("""COMPUTED_VALUE"""),0.9680300662017185)</f>
        <v>0.9680300662</v>
      </c>
      <c r="AN2353" s="82">
        <f>IFERROR(__xludf.DUMMYFUNCTION("""COMPUTED_VALUE"""),1.1119158738777706)</f>
        <v>1.111915874</v>
      </c>
      <c r="AO2353" s="82">
        <f>IFERROR(__xludf.DUMMYFUNCTION("""COMPUTED_VALUE"""),1.318746590116395)</f>
        <v>1.31874659</v>
      </c>
      <c r="AP2353" s="82">
        <f>IFERROR(__xludf.DUMMYFUNCTION("""COMPUTED_VALUE"""),0.7272771641268522)</f>
        <v>0.7272771641</v>
      </c>
      <c r="AQ2353" s="82">
        <f>IFERROR(__xludf.DUMMYFUNCTION("""COMPUTED_VALUE"""),0.9641827573457925)</f>
        <v>0.9641827573</v>
      </c>
      <c r="AR2353" s="82">
        <f>IFERROR(__xludf.DUMMYFUNCTION("""COMPUTED_VALUE"""),1.0422148467509738)</f>
        <v>1.042214847</v>
      </c>
      <c r="AS2353" s="82">
        <f>IFERROR(__xludf.DUMMYFUNCTION("""COMPUTED_VALUE"""),76.0)</f>
        <v>76</v>
      </c>
      <c r="AT2353" s="82">
        <f>IFERROR(__xludf.DUMMYFUNCTION("""COMPUTED_VALUE"""),0.537202231288464)</f>
        <v>0.5372022313</v>
      </c>
      <c r="AU2353" s="82">
        <f>IFERROR(__xludf.DUMMYFUNCTION("""COMPUTED_VALUE"""),3.1901208842072606)</f>
        <v>3.190120884</v>
      </c>
      <c r="AV2353" s="82">
        <f>IFERROR(__xludf.DUMMYFUNCTION("""COMPUTED_VALUE"""),54.9437613160789)</f>
        <v>54.94376132</v>
      </c>
      <c r="AW2353" s="82">
        <f t="shared" si="1"/>
        <v>2.371803112</v>
      </c>
      <c r="AX2353" s="83">
        <f t="array" ref="AX2353">IFERROR(DGET('SBV Import'!A:G,"SBV",{"RSC ID","Tier";B2353,A2353}))</f>
        <v>50.81353233</v>
      </c>
      <c r="AY2353" s="82">
        <f t="shared" si="2"/>
        <v>2.053302952</v>
      </c>
      <c r="AZ2353" s="82">
        <v>0.3185001603827442</v>
      </c>
      <c r="BA2353" s="84">
        <v>2300.0</v>
      </c>
      <c r="BB2353" s="84" t="b">
        <f>IFERROR(__xludf.DUMMYFUNCTION("iferror(if(A2353="""",,E2353&gt;=FILTER(Constants!$F$2:$F$10,Constants!$A$2:$A$10=A2353)))"),TRUE)</f>
        <v>1</v>
      </c>
    </row>
    <row r="2354">
      <c r="A2354" s="89" t="str">
        <f>IFERROR(__xludf.DUMMYFUNCTION("""COMPUTED_VALUE"""),"Challenger")</f>
        <v>Challenger</v>
      </c>
      <c r="B2354" s="87" t="str">
        <f>IFERROR(__xludf.DUMMYFUNCTION("""COMPUTED_VALUE"""),"RSC000967")</f>
        <v>RSC000967</v>
      </c>
      <c r="C2354" s="73" t="str">
        <f>IFERROR(__xludf.DUMMYFUNCTION("""COMPUTED_VALUE"""),"tr1ppn")</f>
        <v>tr1ppn</v>
      </c>
      <c r="D2354" s="73" t="str">
        <f>IFERROR(__xludf.DUMMYFUNCTION("""COMPUTED_VALUE"""),"Bingo")</f>
        <v>Bingo</v>
      </c>
      <c r="E2354" s="82">
        <f>IFERROR(__xludf.DUMMYFUNCTION("""COMPUTED_VALUE"""),34.0)</f>
        <v>34</v>
      </c>
      <c r="F2354" s="82">
        <f>IFERROR(__xludf.DUMMYFUNCTION("""COMPUTED_VALUE"""),13.0)</f>
        <v>13</v>
      </c>
      <c r="G2354" s="86">
        <f>IFERROR(__xludf.DUMMYFUNCTION("""COMPUTED_VALUE"""),21.0)</f>
        <v>21</v>
      </c>
      <c r="H2354" s="86">
        <f>IFERROR(__xludf.DUMMYFUNCTION("""COMPUTED_VALUE"""),0.38235294117647056)</f>
        <v>0.3823529412</v>
      </c>
      <c r="I2354" s="86">
        <f>IFERROR(__xludf.DUMMYFUNCTION("""COMPUTED_VALUE"""),0.32222222222222224)</f>
        <v>0.3222222222</v>
      </c>
      <c r="J2354" s="82">
        <f>IFERROR(__xludf.DUMMYFUNCTION("""COMPUTED_VALUE"""),326.29411764705884)</f>
        <v>326.2941176</v>
      </c>
      <c r="K2354" s="82">
        <f>IFERROR(__xludf.DUMMYFUNCTION("""COMPUTED_VALUE"""),0.8529411764705882)</f>
        <v>0.8529411765</v>
      </c>
      <c r="L2354" s="82">
        <f>IFERROR(__xludf.DUMMYFUNCTION("""COMPUTED_VALUE"""),0.5)</f>
        <v>0.5</v>
      </c>
      <c r="M2354" s="82">
        <f>IFERROR(__xludf.DUMMYFUNCTION("""COMPUTED_VALUE"""),1.0)</f>
        <v>1</v>
      </c>
      <c r="N2354" s="82">
        <f>IFERROR(__xludf.DUMMYFUNCTION("""COMPUTED_VALUE"""),2.6470588235294117)</f>
        <v>2.647058824</v>
      </c>
      <c r="O2354" s="82">
        <f>IFERROR(__xludf.DUMMYFUNCTION("""COMPUTED_VALUE"""),360.1372549019608)</f>
        <v>360.1372549</v>
      </c>
      <c r="P2354" s="82">
        <f>IFERROR(__xludf.DUMMYFUNCTION("""COMPUTED_VALUE"""),1.0098039215686274)</f>
        <v>1.009803922</v>
      </c>
      <c r="Q2354" s="82">
        <f>IFERROR(__xludf.DUMMYFUNCTION("""COMPUTED_VALUE"""),0.7647058823529411)</f>
        <v>0.7647058824</v>
      </c>
      <c r="R2354" s="82">
        <f>IFERROR(__xludf.DUMMYFUNCTION("""COMPUTED_VALUE"""),0.9117647058823528)</f>
        <v>0.9117647059</v>
      </c>
      <c r="S2354" s="82">
        <f>IFERROR(__xludf.DUMMYFUNCTION("""COMPUTED_VALUE"""),2.8627450980392157)</f>
        <v>2.862745098</v>
      </c>
      <c r="T2354" s="82">
        <f>IFERROR(__xludf.DUMMYFUNCTION("""COMPUTED_VALUE"""),340.11822502982665)</f>
        <v>340.118225</v>
      </c>
      <c r="U2354" s="82">
        <f>IFERROR(__xludf.DUMMYFUNCTION("""COMPUTED_VALUE"""),0.8376993702820349)</f>
        <v>0.8376993703</v>
      </c>
      <c r="V2354" s="82">
        <f>IFERROR(__xludf.DUMMYFUNCTION("""COMPUTED_VALUE"""),0.580124456553819)</f>
        <v>0.5801244566</v>
      </c>
      <c r="W2354" s="82">
        <f>IFERROR(__xludf.DUMMYFUNCTION("""COMPUTED_VALUE"""),1.100072305604474)</f>
        <v>1.100072306</v>
      </c>
      <c r="X2354" s="82">
        <f>IFERROR(__xludf.DUMMYFUNCTION("""COMPUTED_VALUE"""),2.6908963037293363)</f>
        <v>2.690896304</v>
      </c>
      <c r="Y2354" s="82">
        <f>IFERROR(__xludf.DUMMYFUNCTION("""COMPUTED_VALUE"""),328.4222932257022)</f>
        <v>328.4222932</v>
      </c>
      <c r="Z2354" s="82">
        <f>IFERROR(__xludf.DUMMYFUNCTION("""COMPUTED_VALUE"""),0.7005131511325025)</f>
        <v>0.7005131511</v>
      </c>
      <c r="AA2354" s="82">
        <f>IFERROR(__xludf.DUMMYFUNCTION("""COMPUTED_VALUE"""),0.49158623371382576)</f>
        <v>0.4915862337</v>
      </c>
      <c r="AB2354" s="82">
        <f>IFERROR(__xludf.DUMMYFUNCTION("""COMPUTED_VALUE"""),1.31065258283861)</f>
        <v>1.310652583</v>
      </c>
      <c r="AC2354" s="82">
        <f>IFERROR(__xludf.DUMMYFUNCTION("""COMPUTED_VALUE"""),2.2240506646732072)</f>
        <v>2.224050665</v>
      </c>
      <c r="AD2354" s="82">
        <f>IFERROR(__xludf.DUMMYFUNCTION("""COMPUTED_VALUE"""),0.99352000268392)</f>
        <v>0.9935200027</v>
      </c>
      <c r="AE2354" s="82">
        <f>IFERROR(__xludf.DUMMYFUNCTION("""COMPUTED_VALUE"""),1.2175948090220134)</f>
        <v>1.217594809</v>
      </c>
      <c r="AF2354" s="82">
        <f>IFERROR(__xludf.DUMMYFUNCTION("""COMPUTED_VALUE"""),1.0171155449627018)</f>
        <v>1.017115545</v>
      </c>
      <c r="AG2354" s="82">
        <f>IFERROR(__xludf.DUMMYFUNCTION("""COMPUTED_VALUE"""),0.7629786970962213)</f>
        <v>0.7629786971</v>
      </c>
      <c r="AH2354" s="82">
        <f>IFERROR(__xludf.DUMMYFUNCTION("""COMPUTED_VALUE"""),1.19019717741833)</f>
        <v>1.190197177</v>
      </c>
      <c r="AI2354" s="82">
        <f>IFERROR(__xludf.DUMMYFUNCTION("""COMPUTED_VALUE"""),1.0588590331211407)</f>
        <v>1.058859033</v>
      </c>
      <c r="AJ2354" s="82">
        <f>IFERROR(__xludf.DUMMYFUNCTION("""COMPUTED_VALUE"""),1.205449063700082)</f>
        <v>1.205449064</v>
      </c>
      <c r="AK2354" s="82">
        <f>IFERROR(__xludf.DUMMYFUNCTION("""COMPUTED_VALUE"""),1.3181755633879197)</f>
        <v>1.318175563</v>
      </c>
      <c r="AL2354" s="82">
        <f>IFERROR(__xludf.DUMMYFUNCTION("""COMPUTED_VALUE"""),0.8288225248806269)</f>
        <v>0.8288225249</v>
      </c>
      <c r="AM2354" s="82">
        <f>IFERROR(__xludf.DUMMYFUNCTION("""COMPUTED_VALUE"""),1.0638630310918011)</f>
        <v>1.063863031</v>
      </c>
      <c r="AN2354" s="82">
        <f>IFERROR(__xludf.DUMMYFUNCTION("""COMPUTED_VALUE"""),0.9926446209704666)</f>
        <v>0.992644621</v>
      </c>
      <c r="AO2354" s="82">
        <f>IFERROR(__xludf.DUMMYFUNCTION("""COMPUTED_VALUE"""),1.1248132680404546)</f>
        <v>1.124813268</v>
      </c>
      <c r="AP2354" s="82">
        <f>IFERROR(__xludf.DUMMYFUNCTION("""COMPUTED_VALUE"""),0.9697028855024696)</f>
        <v>0.9697028855</v>
      </c>
      <c r="AQ2354" s="82">
        <f>IFERROR(__xludf.DUMMYFUNCTION("""COMPUTED_VALUE"""),0.8338877901369016)</f>
        <v>0.8338877901</v>
      </c>
      <c r="AR2354" s="82">
        <f>IFERROR(__xludf.DUMMYFUNCTION("""COMPUTED_VALUE"""),1.1035216024422074)</f>
        <v>1.103521602</v>
      </c>
      <c r="AS2354" s="82">
        <f>IFERROR(__xludf.DUMMYFUNCTION("""COMPUTED_VALUE"""),72.0)</f>
        <v>72</v>
      </c>
      <c r="AT2354" s="82">
        <f>IFERROR(__xludf.DUMMYFUNCTION("""COMPUTED_VALUE"""),0.36053814539393786)</f>
        <v>0.3605381454</v>
      </c>
      <c r="AU2354" s="82">
        <f>IFERROR(__xludf.DUMMYFUNCTION("""COMPUTED_VALUE"""),3.185969797871051)</f>
        <v>3.185969798</v>
      </c>
      <c r="AV2354" s="82">
        <f>IFERROR(__xludf.DUMMYFUNCTION("""COMPUTED_VALUE"""),54.83399763672297)</f>
        <v>54.83399764</v>
      </c>
      <c r="AW2354" s="82">
        <f t="shared" si="1"/>
        <v>2.362175578</v>
      </c>
      <c r="AX2354" s="83">
        <f t="array" ref="AX2354">IFERROR(DGET('SBV Import'!A:G,"SBV",{"RSC ID","Tier";B2354,A2354}))</f>
        <v>48.30144086</v>
      </c>
      <c r="AY2354" s="82">
        <f t="shared" si="2"/>
        <v>-2.114541513</v>
      </c>
      <c r="AZ2354" s="82">
        <v>4.476717090651564</v>
      </c>
      <c r="BA2354" s="84">
        <v>2300.0</v>
      </c>
      <c r="BB2354" s="84" t="b">
        <f>IFERROR(__xludf.DUMMYFUNCTION("iferror(if(A2354="""",,E2354&gt;=FILTER(Constants!$F$2:$F$10,Constants!$A$2:$A$10=A2354)))"),TRUE)</f>
        <v>1</v>
      </c>
    </row>
    <row r="2355">
      <c r="A2355" s="89" t="str">
        <f>IFERROR(__xludf.DUMMYFUNCTION("""COMPUTED_VALUE"""),"Challenger")</f>
        <v>Challenger</v>
      </c>
      <c r="B2355" s="87" t="str">
        <f>IFERROR(__xludf.DUMMYFUNCTION("""COMPUTED_VALUE"""),"RSC006883")</f>
        <v>RSC006883</v>
      </c>
      <c r="C2355" s="73" t="str">
        <f>IFERROR(__xludf.DUMMYFUNCTION("""COMPUTED_VALUE"""),"Kit")</f>
        <v>Kit</v>
      </c>
      <c r="D2355" s="73" t="str">
        <f>IFERROR(__xludf.DUMMYFUNCTION("""COMPUTED_VALUE"""),"Trippy Hippies")</f>
        <v>Trippy Hippies</v>
      </c>
      <c r="E2355" s="82">
        <f>IFERROR(__xludf.DUMMYFUNCTION("""COMPUTED_VALUE"""),13.0)</f>
        <v>13</v>
      </c>
      <c r="F2355" s="82">
        <f>IFERROR(__xludf.DUMMYFUNCTION("""COMPUTED_VALUE"""),5.0)</f>
        <v>5</v>
      </c>
      <c r="G2355" s="86">
        <f>IFERROR(__xludf.DUMMYFUNCTION("""COMPUTED_VALUE"""),8.0)</f>
        <v>8</v>
      </c>
      <c r="H2355" s="86">
        <f>IFERROR(__xludf.DUMMYFUNCTION("""COMPUTED_VALUE"""),0.38461538461538464)</f>
        <v>0.3846153846</v>
      </c>
      <c r="I2355" s="86">
        <f>IFERROR(__xludf.DUMMYFUNCTION("""COMPUTED_VALUE"""),0.39285714285714285)</f>
        <v>0.3928571429</v>
      </c>
      <c r="J2355" s="82">
        <f>IFERROR(__xludf.DUMMYFUNCTION("""COMPUTED_VALUE"""),360.6923076923077)</f>
        <v>360.6923077</v>
      </c>
      <c r="K2355" s="82">
        <f>IFERROR(__xludf.DUMMYFUNCTION("""COMPUTED_VALUE"""),0.8461538461538461)</f>
        <v>0.8461538462</v>
      </c>
      <c r="L2355" s="82">
        <f>IFERROR(__xludf.DUMMYFUNCTION("""COMPUTED_VALUE"""),0.38461538461538464)</f>
        <v>0.3846153846</v>
      </c>
      <c r="M2355" s="82">
        <f>IFERROR(__xludf.DUMMYFUNCTION("""COMPUTED_VALUE"""),1.6923076923076923)</f>
        <v>1.692307692</v>
      </c>
      <c r="N2355" s="82">
        <f>IFERROR(__xludf.DUMMYFUNCTION("""COMPUTED_VALUE"""),2.1538461538461537)</f>
        <v>2.153846154</v>
      </c>
      <c r="O2355" s="82">
        <f>IFERROR(__xludf.DUMMYFUNCTION("""COMPUTED_VALUE"""),304.6666666666667)</f>
        <v>304.6666667</v>
      </c>
      <c r="P2355" s="82">
        <f>IFERROR(__xludf.DUMMYFUNCTION("""COMPUTED_VALUE"""),0.7435897435897435)</f>
        <v>0.7435897436</v>
      </c>
      <c r="Q2355" s="82">
        <f>IFERROR(__xludf.DUMMYFUNCTION("""COMPUTED_VALUE"""),0.46153846153846156)</f>
        <v>0.4615384615</v>
      </c>
      <c r="R2355" s="82">
        <f>IFERROR(__xludf.DUMMYFUNCTION("""COMPUTED_VALUE"""),1.0769230769230769)</f>
        <v>1.076923077</v>
      </c>
      <c r="S2355" s="82">
        <f>IFERROR(__xludf.DUMMYFUNCTION("""COMPUTED_VALUE"""),2.4871794871794872)</f>
        <v>2.487179487</v>
      </c>
      <c r="T2355" s="82">
        <f>IFERROR(__xludf.DUMMYFUNCTION("""COMPUTED_VALUE"""),326.2997354235759)</f>
        <v>326.2997354</v>
      </c>
      <c r="U2355" s="82">
        <f>IFERROR(__xludf.DUMMYFUNCTION("""COMPUTED_VALUE"""),0.7688022949900777)</f>
        <v>0.768802295</v>
      </c>
      <c r="V2355" s="82">
        <f>IFERROR(__xludf.DUMMYFUNCTION("""COMPUTED_VALUE"""),0.5201327874404797)</f>
        <v>0.5201327874</v>
      </c>
      <c r="W2355" s="82">
        <f>IFERROR(__xludf.DUMMYFUNCTION("""COMPUTED_VALUE"""),1.1610486296006661)</f>
        <v>1.16104863</v>
      </c>
      <c r="X2355" s="82">
        <f>IFERROR(__xludf.DUMMYFUNCTION("""COMPUTED_VALUE"""),2.518891378648166)</f>
        <v>2.518891379</v>
      </c>
      <c r="Y2355" s="82">
        <f>IFERROR(__xludf.DUMMYFUNCTION("""COMPUTED_VALUE"""),320.79052816039064)</f>
        <v>320.7905282</v>
      </c>
      <c r="Z2355" s="82">
        <f>IFERROR(__xludf.DUMMYFUNCTION("""COMPUTED_VALUE"""),0.6935028053617797)</f>
        <v>0.6935028054</v>
      </c>
      <c r="AA2355" s="82">
        <f>IFERROR(__xludf.DUMMYFUNCTION("""COMPUTED_VALUE"""),0.48938489935850416)</f>
        <v>0.4893848994</v>
      </c>
      <c r="AB2355" s="82">
        <f>IFERROR(__xludf.DUMMYFUNCTION("""COMPUTED_VALUE"""),1.2514080296414383)</f>
        <v>1.25140803</v>
      </c>
      <c r="AC2355" s="82">
        <f>IFERROR(__xludf.DUMMYFUNCTION("""COMPUTED_VALUE"""),2.208922331160265)</f>
        <v>2.208922331</v>
      </c>
      <c r="AD2355" s="82">
        <f>IFERROR(__xludf.DUMMYFUNCTION("""COMPUTED_VALUE"""),1.124385778348065)</f>
        <v>1.124385778</v>
      </c>
      <c r="AE2355" s="82">
        <f>IFERROR(__xludf.DUMMYFUNCTION("""COMPUTED_VALUE"""),1.2201159672489472)</f>
        <v>1.220115967</v>
      </c>
      <c r="AF2355" s="82">
        <f>IFERROR(__xludf.DUMMYFUNCTION("""COMPUTED_VALUE"""),0.7859159224560186)</f>
        <v>0.7859159225</v>
      </c>
      <c r="AG2355" s="82">
        <f>IFERROR(__xludf.DUMMYFUNCTION("""COMPUTED_VALUE"""),1.352322865302841)</f>
        <v>1.352322865</v>
      </c>
      <c r="AH2355" s="82">
        <f>IFERROR(__xludf.DUMMYFUNCTION("""COMPUTED_VALUE"""),0.9750664943999269)</f>
        <v>0.9750664944</v>
      </c>
      <c r="AI2355" s="82">
        <f>IFERROR(__xludf.DUMMYFUNCTION("""COMPUTED_VALUE"""),0.9337018501445399)</f>
        <v>0.9337018501</v>
      </c>
      <c r="AJ2355" s="82">
        <f>IFERROR(__xludf.DUMMYFUNCTION("""COMPUTED_VALUE"""),0.9672054160547744)</f>
        <v>0.9672054161</v>
      </c>
      <c r="AK2355" s="82">
        <f>IFERROR(__xludf.DUMMYFUNCTION("""COMPUTED_VALUE"""),0.8873473710620035)</f>
        <v>0.8873473711</v>
      </c>
      <c r="AL2355" s="82">
        <f>IFERROR(__xludf.DUMMYFUNCTION("""COMPUTED_VALUE"""),0.9275434718815149)</f>
        <v>0.9275434719</v>
      </c>
      <c r="AM2355" s="82">
        <f>IFERROR(__xludf.DUMMYFUNCTION("""COMPUTED_VALUE"""),0.9874103775424814)</f>
        <v>0.9874103775</v>
      </c>
      <c r="AN2355" s="82">
        <f>IFERROR(__xludf.DUMMYFUNCTION("""COMPUTED_VALUE"""),1.0972900205435896)</f>
        <v>1.097290021</v>
      </c>
      <c r="AO2355" s="82">
        <f>IFERROR(__xludf.DUMMYFUNCTION("""COMPUTED_VALUE"""),1.1158624993292574)</f>
        <v>1.115862499</v>
      </c>
      <c r="AP2355" s="82">
        <f>IFERROR(__xludf.DUMMYFUNCTION("""COMPUTED_VALUE"""),0.7459252965403612)</f>
        <v>0.7459252965</v>
      </c>
      <c r="AQ2355" s="82">
        <f>IFERROR(__xludf.DUMMYFUNCTION("""COMPUTED_VALUE"""),1.4111947217701413)</f>
        <v>1.411194722</v>
      </c>
      <c r="AR2355" s="82">
        <f>IFERROR(__xludf.DUMMYFUNCTION("""COMPUTED_VALUE"""),0.8979081756623774)</f>
        <v>0.8979081757</v>
      </c>
      <c r="AS2355" s="82">
        <f>IFERROR(__xludf.DUMMYFUNCTION("""COMPUTED_VALUE"""),24.0)</f>
        <v>24</v>
      </c>
      <c r="AT2355" s="82">
        <f>IFERROR(__xludf.DUMMYFUNCTION("""COMPUTED_VALUE"""),0.42965509149921094)</f>
        <v>0.4296550915</v>
      </c>
      <c r="AU2355" s="82">
        <f>IFERROR(__xludf.DUMMYFUNCTION("""COMPUTED_VALUE"""),3.1424027779813013)</f>
        <v>3.142402778</v>
      </c>
      <c r="AV2355" s="82">
        <f>IFERROR(__xludf.DUMMYFUNCTION("""COMPUTED_VALUE"""),53.681991628089015)</f>
        <v>53.68199163</v>
      </c>
      <c r="AW2355" s="82">
        <f t="shared" si="1"/>
        <v>2.265233257</v>
      </c>
      <c r="AX2355" s="83">
        <f t="array" ref="AX2355">IFERROR(DGET('SBV Import'!A:G,"SBV",{"RSC ID","Tier";B2355,A2355}))</f>
        <v>60.27167543</v>
      </c>
      <c r="AY2355" s="82">
        <f t="shared" si="2"/>
        <v>2.936124399</v>
      </c>
      <c r="AZ2355" s="82">
        <v>0.670891141568783</v>
      </c>
      <c r="BA2355" s="84">
        <v>2300.0</v>
      </c>
      <c r="BB2355" s="84" t="b">
        <f>IFERROR(__xludf.DUMMYFUNCTION("iferror(if(A2355="""",,E2355&gt;=FILTER(Constants!$F$2:$F$10,Constants!$A$2:$A$10=A2355)))"),TRUE)</f>
        <v>1</v>
      </c>
    </row>
    <row r="2356">
      <c r="A2356" s="89" t="str">
        <f>IFERROR(__xludf.DUMMYFUNCTION("""COMPUTED_VALUE"""),"Challenger")</f>
        <v>Challenger</v>
      </c>
      <c r="B2356" s="87" t="str">
        <f>IFERROR(__xludf.DUMMYFUNCTION("""COMPUTED_VALUE"""),"RSC006244")</f>
        <v>RSC006244</v>
      </c>
      <c r="C2356" s="73" t="str">
        <f>IFERROR(__xludf.DUMMYFUNCTION("""COMPUTED_VALUE"""),"Whiite Bear")</f>
        <v>Whiite Bear</v>
      </c>
      <c r="D2356" s="73" t="str">
        <f>IFERROR(__xludf.DUMMYFUNCTION("""COMPUTED_VALUE"""),"Panda Bears")</f>
        <v>Panda Bears</v>
      </c>
      <c r="E2356" s="82">
        <f>IFERROR(__xludf.DUMMYFUNCTION("""COMPUTED_VALUE"""),22.0)</f>
        <v>22</v>
      </c>
      <c r="F2356" s="82">
        <f>IFERROR(__xludf.DUMMYFUNCTION("""COMPUTED_VALUE"""),8.0)</f>
        <v>8</v>
      </c>
      <c r="G2356" s="86">
        <f>IFERROR(__xludf.DUMMYFUNCTION("""COMPUTED_VALUE"""),14.0)</f>
        <v>14</v>
      </c>
      <c r="H2356" s="86">
        <f>IFERROR(__xludf.DUMMYFUNCTION("""COMPUTED_VALUE"""),0.36363636363636365)</f>
        <v>0.3636363636</v>
      </c>
      <c r="I2356" s="86">
        <f>IFERROR(__xludf.DUMMYFUNCTION("""COMPUTED_VALUE"""),0.37037037037037035)</f>
        <v>0.3703703704</v>
      </c>
      <c r="J2356" s="82">
        <f>IFERROR(__xludf.DUMMYFUNCTION("""COMPUTED_VALUE"""),368.90909090909093)</f>
        <v>368.9090909</v>
      </c>
      <c r="K2356" s="82">
        <f>IFERROR(__xludf.DUMMYFUNCTION("""COMPUTED_VALUE"""),0.9090909090909091)</f>
        <v>0.9090909091</v>
      </c>
      <c r="L2356" s="82">
        <f>IFERROR(__xludf.DUMMYFUNCTION("""COMPUTED_VALUE"""),0.3181818181818182)</f>
        <v>0.3181818182</v>
      </c>
      <c r="M2356" s="82">
        <f>IFERROR(__xludf.DUMMYFUNCTION("""COMPUTED_VALUE"""),1.4545454545454546)</f>
        <v>1.454545455</v>
      </c>
      <c r="N2356" s="82">
        <f>IFERROR(__xludf.DUMMYFUNCTION("""COMPUTED_VALUE"""),2.4545454545454546)</f>
        <v>2.454545455</v>
      </c>
      <c r="O2356" s="82">
        <f>IFERROR(__xludf.DUMMYFUNCTION("""COMPUTED_VALUE"""),345.8030303030303)</f>
        <v>345.8030303</v>
      </c>
      <c r="P2356" s="82">
        <f>IFERROR(__xludf.DUMMYFUNCTION("""COMPUTED_VALUE"""),0.7575757575757577)</f>
        <v>0.7575757576</v>
      </c>
      <c r="Q2356" s="82">
        <f>IFERROR(__xludf.DUMMYFUNCTION("""COMPUTED_VALUE"""),0.5)</f>
        <v>0.5</v>
      </c>
      <c r="R2356" s="82">
        <f>IFERROR(__xludf.DUMMYFUNCTION("""COMPUTED_VALUE"""),1.303030303030303)</f>
        <v>1.303030303</v>
      </c>
      <c r="S2356" s="82">
        <f>IFERROR(__xludf.DUMMYFUNCTION("""COMPUTED_VALUE"""),2.6969696969696972)</f>
        <v>2.696969697</v>
      </c>
      <c r="T2356" s="82">
        <f>IFERROR(__xludf.DUMMYFUNCTION("""COMPUTED_VALUE"""),348.5823714645403)</f>
        <v>348.5823715</v>
      </c>
      <c r="U2356" s="82">
        <f>IFERROR(__xludf.DUMMYFUNCTION("""COMPUTED_VALUE"""),0.7901024767653378)</f>
        <v>0.7901024768</v>
      </c>
      <c r="V2356" s="82">
        <f>IFERROR(__xludf.DUMMYFUNCTION("""COMPUTED_VALUE"""),0.5708062042083494)</f>
        <v>0.5708062042</v>
      </c>
      <c r="W2356" s="82">
        <f>IFERROR(__xludf.DUMMYFUNCTION("""COMPUTED_VALUE"""),1.3462729959317352)</f>
        <v>1.346272996</v>
      </c>
      <c r="X2356" s="82">
        <f>IFERROR(__xludf.DUMMYFUNCTION("""COMPUTED_VALUE"""),2.4385908885373677)</f>
        <v>2.438590889</v>
      </c>
      <c r="Y2356" s="82">
        <f>IFERROR(__xludf.DUMMYFUNCTION("""COMPUTED_VALUE"""),332.18027703615735)</f>
        <v>332.180277</v>
      </c>
      <c r="Z2356" s="82">
        <f>IFERROR(__xludf.DUMMYFUNCTION("""COMPUTED_VALUE"""),0.7366059326535478)</f>
        <v>0.7366059327</v>
      </c>
      <c r="AA2356" s="82">
        <f>IFERROR(__xludf.DUMMYFUNCTION("""COMPUTED_VALUE"""),0.5221671570242897)</f>
        <v>0.522167157</v>
      </c>
      <c r="AB2356" s="82">
        <f>IFERROR(__xludf.DUMMYFUNCTION("""COMPUTED_VALUE"""),1.2081950934706214)</f>
        <v>1.208195093</v>
      </c>
      <c r="AC2356" s="82">
        <f>IFERROR(__xludf.DUMMYFUNCTION("""COMPUTED_VALUE"""),2.4946464847130807)</f>
        <v>2.494646485</v>
      </c>
      <c r="AD2356" s="82">
        <f>IFERROR(__xludf.DUMMYFUNCTION("""COMPUTED_VALUE"""),1.1105689181809422)</f>
        <v>1.110568918</v>
      </c>
      <c r="AE2356" s="82">
        <f>IFERROR(__xludf.DUMMYFUNCTION("""COMPUTED_VALUE"""),1.234161807271904)</f>
        <v>1.234161807</v>
      </c>
      <c r="AF2356" s="82">
        <f>IFERROR(__xludf.DUMMYFUNCTION("""COMPUTED_VALUE"""),0.6093485848383553)</f>
        <v>0.6093485848</v>
      </c>
      <c r="AG2356" s="82">
        <f>IFERROR(__xludf.DUMMYFUNCTION("""COMPUTED_VALUE"""),1.2038994880927512)</f>
        <v>1.203899488</v>
      </c>
      <c r="AH2356" s="82">
        <f>IFERROR(__xludf.DUMMYFUNCTION("""COMPUTED_VALUE"""),0.9839251651833794)</f>
        <v>0.9839251652</v>
      </c>
      <c r="AI2356" s="82">
        <f>IFERROR(__xludf.DUMMYFUNCTION("""COMPUTED_VALUE"""),0.9920267305835553)</f>
        <v>0.9920267306</v>
      </c>
      <c r="AJ2356" s="82">
        <f>IFERROR(__xludf.DUMMYFUNCTION("""COMPUTED_VALUE"""),0.9588322779055903)</f>
        <v>0.9588322779</v>
      </c>
      <c r="AK2356" s="82">
        <f>IFERROR(__xludf.DUMMYFUNCTION("""COMPUTED_VALUE"""),0.8759540388903964)</f>
        <v>0.8759540389</v>
      </c>
      <c r="AL2356" s="82">
        <f>IFERROR(__xludf.DUMMYFUNCTION("""COMPUTED_VALUE"""),0.9678796997101583)</f>
        <v>0.9678796997</v>
      </c>
      <c r="AM2356" s="82">
        <f>IFERROR(__xludf.DUMMYFUNCTION("""COMPUTED_VALUE"""),1.105954143291047)</f>
        <v>1.105954143</v>
      </c>
      <c r="AN2356" s="82">
        <f>IFERROR(__xludf.DUMMYFUNCTION("""COMPUTED_VALUE"""),1.1222869335147354)</f>
        <v>1.122286934</v>
      </c>
      <c r="AO2356" s="82">
        <f>IFERROR(__xludf.DUMMYFUNCTION("""COMPUTED_VALUE"""),1.19886053646945)</f>
        <v>1.198860536</v>
      </c>
      <c r="AP2356" s="82">
        <f>IFERROR(__xludf.DUMMYFUNCTION("""COMPUTED_VALUE"""),0.6170836544106625)</f>
        <v>0.6170836544</v>
      </c>
      <c r="AQ2356" s="82">
        <f>IFERROR(__xludf.DUMMYFUNCTION("""COMPUTED_VALUE"""),1.2129276947445842)</f>
        <v>1.212927695</v>
      </c>
      <c r="AR2356" s="82">
        <f>IFERROR(__xludf.DUMMYFUNCTION("""COMPUTED_VALUE"""),1.023265485900956)</f>
        <v>1.023265486</v>
      </c>
      <c r="AS2356" s="82">
        <f>IFERROR(__xludf.DUMMYFUNCTION("""COMPUTED_VALUE"""),41.0)</f>
        <v>41</v>
      </c>
      <c r="AT2356" s="82">
        <f>IFERROR(__xludf.DUMMYFUNCTION("""COMPUTED_VALUE"""),0.4259782414574266)</f>
        <v>0.4259782415</v>
      </c>
      <c r="AU2356" s="82">
        <f>IFERROR(__xludf.DUMMYFUNCTION("""COMPUTED_VALUE"""),3.1198115602596292)</f>
        <v>3.11981156</v>
      </c>
      <c r="AV2356" s="82">
        <f>IFERROR(__xludf.DUMMYFUNCTION("""COMPUTED_VALUE"""),53.084631087396005)</f>
        <v>53.08463109</v>
      </c>
      <c r="AW2356" s="82">
        <f t="shared" si="1"/>
        <v>2.217781628</v>
      </c>
      <c r="AX2356" s="83">
        <f t="array" ref="AX2356">IFERROR(DGET('SBV Import'!A:G,"SBV",{"RSC ID","Tier";B2356,A2356}))</f>
        <v>49.33818656</v>
      </c>
      <c r="AY2356" s="82">
        <f t="shared" si="2"/>
        <v>-2.043150443</v>
      </c>
      <c r="AZ2356" s="82">
        <v>4.260932070644937</v>
      </c>
      <c r="BA2356" s="84">
        <v>2300.0</v>
      </c>
      <c r="BB2356" s="84" t="b">
        <f>IFERROR(__xludf.DUMMYFUNCTION("iferror(if(A2356="""",,E2356&gt;=FILTER(Constants!$F$2:$F$10,Constants!$A$2:$A$10=A2356)))"),TRUE)</f>
        <v>1</v>
      </c>
    </row>
    <row r="2357">
      <c r="A2357" s="89" t="str">
        <f>IFERROR(__xludf.DUMMYFUNCTION("""COMPUTED_VALUE"""),"Challenger")</f>
        <v>Challenger</v>
      </c>
      <c r="B2357" s="87" t="str">
        <f>IFERROR(__xludf.DUMMYFUNCTION("""COMPUTED_VALUE"""),"RSC002427")</f>
        <v>RSC002427</v>
      </c>
      <c r="C2357" s="73" t="str">
        <f>IFERROR(__xludf.DUMMYFUNCTION("""COMPUTED_VALUE"""),"Free.")</f>
        <v>Free.</v>
      </c>
      <c r="D2357" s="73" t="str">
        <f>IFERROR(__xludf.DUMMYFUNCTION("""COMPUTED_VALUE"""),"Ryujin")</f>
        <v>Ryujin</v>
      </c>
      <c r="E2357" s="82">
        <f>IFERROR(__xludf.DUMMYFUNCTION("""COMPUTED_VALUE"""),13.0)</f>
        <v>13</v>
      </c>
      <c r="F2357" s="82">
        <f>IFERROR(__xludf.DUMMYFUNCTION("""COMPUTED_VALUE"""),7.0)</f>
        <v>7</v>
      </c>
      <c r="G2357" s="86">
        <f>IFERROR(__xludf.DUMMYFUNCTION("""COMPUTED_VALUE"""),6.0)</f>
        <v>6</v>
      </c>
      <c r="H2357" s="86">
        <f>IFERROR(__xludf.DUMMYFUNCTION("""COMPUTED_VALUE"""),0.5384615384615384)</f>
        <v>0.5384615385</v>
      </c>
      <c r="I2357" s="86">
        <f>IFERROR(__xludf.DUMMYFUNCTION("""COMPUTED_VALUE"""),0.3636363636363637)</f>
        <v>0.3636363636</v>
      </c>
      <c r="J2357" s="82">
        <f>IFERROR(__xludf.DUMMYFUNCTION("""COMPUTED_VALUE"""),298.0)</f>
        <v>298</v>
      </c>
      <c r="K2357" s="82">
        <f>IFERROR(__xludf.DUMMYFUNCTION("""COMPUTED_VALUE"""),0.9230769230769231)</f>
        <v>0.9230769231</v>
      </c>
      <c r="L2357" s="82">
        <f>IFERROR(__xludf.DUMMYFUNCTION("""COMPUTED_VALUE"""),0.38461538461538464)</f>
        <v>0.3846153846</v>
      </c>
      <c r="M2357" s="82">
        <f>IFERROR(__xludf.DUMMYFUNCTION("""COMPUTED_VALUE"""),0.8461538461538461)</f>
        <v>0.8461538462</v>
      </c>
      <c r="N2357" s="82">
        <f>IFERROR(__xludf.DUMMYFUNCTION("""COMPUTED_VALUE"""),2.5384615384615383)</f>
        <v>2.538461538</v>
      </c>
      <c r="O2357" s="82">
        <f>IFERROR(__xludf.DUMMYFUNCTION("""COMPUTED_VALUE"""),285.38461538461536)</f>
        <v>285.3846154</v>
      </c>
      <c r="P2357" s="82">
        <f>IFERROR(__xludf.DUMMYFUNCTION("""COMPUTED_VALUE"""),0.5384615384615384)</f>
        <v>0.5384615385</v>
      </c>
      <c r="Q2357" s="82">
        <f>IFERROR(__xludf.DUMMYFUNCTION("""COMPUTED_VALUE"""),0.4102564102564103)</f>
        <v>0.4102564103</v>
      </c>
      <c r="R2357" s="82">
        <f>IFERROR(__xludf.DUMMYFUNCTION("""COMPUTED_VALUE"""),1.2307692307692308)</f>
        <v>1.230769231</v>
      </c>
      <c r="S2357" s="82">
        <f>IFERROR(__xludf.DUMMYFUNCTION("""COMPUTED_VALUE"""),1.7179487179487178)</f>
        <v>1.717948718</v>
      </c>
      <c r="T2357" s="82">
        <f>IFERROR(__xludf.DUMMYFUNCTION("""COMPUTED_VALUE"""),314.3377647018063)</f>
        <v>314.3377647</v>
      </c>
      <c r="U2357" s="82">
        <f>IFERROR(__xludf.DUMMYFUNCTION("""COMPUTED_VALUE"""),0.7239208422773954)</f>
        <v>0.7239208423</v>
      </c>
      <c r="V2357" s="82">
        <f>IFERROR(__xludf.DUMMYFUNCTION("""COMPUTED_VALUE"""),0.4349534664872642)</f>
        <v>0.4349534665</v>
      </c>
      <c r="W2357" s="82">
        <f>IFERROR(__xludf.DUMMYFUNCTION("""COMPUTED_VALUE"""),1.1370205321185716)</f>
        <v>1.137020532</v>
      </c>
      <c r="X2357" s="82">
        <f>IFERROR(__xludf.DUMMYFUNCTION("""COMPUTED_VALUE"""),2.24753625001303)</f>
        <v>2.24753625</v>
      </c>
      <c r="Y2357" s="82">
        <f>IFERROR(__xludf.DUMMYFUNCTION("""COMPUTED_VALUE"""),339.02113524526663)</f>
        <v>339.0211352</v>
      </c>
      <c r="Z2357" s="82">
        <f>IFERROR(__xludf.DUMMYFUNCTION("""COMPUTED_VALUE"""),0.8372577468875199)</f>
        <v>0.8372577469</v>
      </c>
      <c r="AA2357" s="82">
        <f>IFERROR(__xludf.DUMMYFUNCTION("""COMPUTED_VALUE"""),0.593558904338918)</f>
        <v>0.5935589043</v>
      </c>
      <c r="AB2357" s="82">
        <f>IFERROR(__xludf.DUMMYFUNCTION("""COMPUTED_VALUE"""),1.130337710678268)</f>
        <v>1.130337711</v>
      </c>
      <c r="AC2357" s="82">
        <f>IFERROR(__xludf.DUMMYFUNCTION("""COMPUTED_VALUE"""),2.509136753116801)</f>
        <v>2.509136753</v>
      </c>
      <c r="AD2357" s="82">
        <f>IFERROR(__xludf.DUMMYFUNCTION("""COMPUTED_VALUE"""),0.8790012451123742)</f>
        <v>0.8790012451</v>
      </c>
      <c r="AE2357" s="82">
        <f>IFERROR(__xludf.DUMMYFUNCTION("""COMPUTED_VALUE"""),1.102500307113829)</f>
        <v>1.102500307</v>
      </c>
      <c r="AF2357" s="82">
        <f>IFERROR(__xludf.DUMMYFUNCTION("""COMPUTED_VALUE"""),0.6479818292739686)</f>
        <v>0.6479818293</v>
      </c>
      <c r="AG2357" s="82">
        <f>IFERROR(__xludf.DUMMYFUNCTION("""COMPUTED_VALUE"""),0.7485849920428692)</f>
        <v>0.748584992</v>
      </c>
      <c r="AH2357" s="82">
        <f>IFERROR(__xludf.DUMMYFUNCTION("""COMPUTED_VALUE"""),1.0116872009101578)</f>
        <v>1.011687201</v>
      </c>
      <c r="AI2357" s="82">
        <f>IFERROR(__xludf.DUMMYFUNCTION("""COMPUTED_VALUE"""),0.9078915976110695)</f>
        <v>0.9078915976</v>
      </c>
      <c r="AJ2357" s="82">
        <f>IFERROR(__xludf.DUMMYFUNCTION("""COMPUTED_VALUE"""),0.7438127306399727)</f>
        <v>0.7438127306</v>
      </c>
      <c r="AK2357" s="82">
        <f>IFERROR(__xludf.DUMMYFUNCTION("""COMPUTED_VALUE"""),0.9432190840314247)</f>
        <v>0.943219084</v>
      </c>
      <c r="AL2357" s="82">
        <f>IFERROR(__xludf.DUMMYFUNCTION("""COMPUTED_VALUE"""),1.0824511923948994)</f>
        <v>1.082451192</v>
      </c>
      <c r="AM2357" s="82">
        <f>IFERROR(__xludf.DUMMYFUNCTION("""COMPUTED_VALUE"""),0.764369748402838)</f>
        <v>0.7643697484</v>
      </c>
      <c r="AN2357" s="82">
        <f>IFERROR(__xludf.DUMMYFUNCTION("""COMPUTED_VALUE"""),0.9065688930658704)</f>
        <v>0.9065688931</v>
      </c>
      <c r="AO2357" s="82">
        <f>IFERROR(__xludf.DUMMYFUNCTION("""COMPUTED_VALUE"""),1.2173045447228261)</f>
        <v>1.217304545</v>
      </c>
      <c r="AP2357" s="82">
        <f>IFERROR(__xludf.DUMMYFUNCTION("""COMPUTED_VALUE"""),0.7459252965403612)</f>
        <v>0.7459252965</v>
      </c>
      <c r="AQ2357" s="82">
        <f>IFERROR(__xludf.DUMMYFUNCTION("""COMPUTED_VALUE"""),0.7055973608850706)</f>
        <v>0.7055973609</v>
      </c>
      <c r="AR2357" s="82">
        <f>IFERROR(__xludf.DUMMYFUNCTION("""COMPUTED_VALUE"""),1.0582489213163733)</f>
        <v>1.058248921</v>
      </c>
      <c r="AS2357" s="82">
        <f>IFERROR(__xludf.DUMMYFUNCTION("""COMPUTED_VALUE"""),31.0)</f>
        <v>31</v>
      </c>
      <c r="AT2357" s="82">
        <f>IFERROR(__xludf.DUMMYFUNCTION("""COMPUTED_VALUE"""),0.6410156039122934)</f>
        <v>0.6410156039</v>
      </c>
      <c r="AU2357" s="82">
        <f>IFERROR(__xludf.DUMMYFUNCTION("""COMPUTED_VALUE"""),3.1085668611384913)</f>
        <v>3.108566861</v>
      </c>
      <c r="AV2357" s="82">
        <f>IFERROR(__xludf.DUMMYFUNCTION("""COMPUTED_VALUE"""),52.787296980412954)</f>
        <v>52.78729698</v>
      </c>
      <c r="AW2357" s="82">
        <f t="shared" si="1"/>
        <v>2.194844452</v>
      </c>
      <c r="AX2357" s="83">
        <f t="array" ref="AX2357">IFERROR(DGET('SBV Import'!A:G,"SBV",{"RSC ID","Tier";B2357,A2357}))</f>
        <v>48.64593917</v>
      </c>
      <c r="AY2357" s="82">
        <f t="shared" si="2"/>
        <v>-2.09028844</v>
      </c>
      <c r="AZ2357" s="82">
        <v>4.285132892149644</v>
      </c>
      <c r="BA2357" s="84">
        <v>2300.0</v>
      </c>
      <c r="BB2357" s="84" t="b">
        <f>IFERROR(__xludf.DUMMYFUNCTION("iferror(if(A2357="""",,E2357&gt;=FILTER(Constants!$F$2:$F$10,Constants!$A$2:$A$10=A2357)))"),TRUE)</f>
        <v>1</v>
      </c>
    </row>
    <row r="2358">
      <c r="A2358" s="89" t="str">
        <f>IFERROR(__xludf.DUMMYFUNCTION("""COMPUTED_VALUE"""),"Challenger")</f>
        <v>Challenger</v>
      </c>
      <c r="B2358" s="87" t="str">
        <f>IFERROR(__xludf.DUMMYFUNCTION("""COMPUTED_VALUE"""),"RSC005526")</f>
        <v>RSC005526</v>
      </c>
      <c r="C2358" s="73" t="str">
        <f>IFERROR(__xludf.DUMMYFUNCTION("""COMPUTED_VALUE"""),"Vortex3524")</f>
        <v>Vortex3524</v>
      </c>
      <c r="D2358" s="73" t="str">
        <f>IFERROR(__xludf.DUMMYFUNCTION("""COMPUTED_VALUE"""),"Zombies")</f>
        <v>Zombies</v>
      </c>
      <c r="E2358" s="82">
        <f>IFERROR(__xludf.DUMMYFUNCTION("""COMPUTED_VALUE"""),30.0)</f>
        <v>30</v>
      </c>
      <c r="F2358" s="82">
        <f>IFERROR(__xludf.DUMMYFUNCTION("""COMPUTED_VALUE"""),12.0)</f>
        <v>12</v>
      </c>
      <c r="G2358" s="86">
        <f>IFERROR(__xludf.DUMMYFUNCTION("""COMPUTED_VALUE"""),18.0)</f>
        <v>18</v>
      </c>
      <c r="H2358" s="86">
        <f>IFERROR(__xludf.DUMMYFUNCTION("""COMPUTED_VALUE"""),0.4)</f>
        <v>0.4</v>
      </c>
      <c r="I2358" s="86">
        <f>IFERROR(__xludf.DUMMYFUNCTION("""COMPUTED_VALUE"""),0.375)</f>
        <v>0.375</v>
      </c>
      <c r="J2358" s="82">
        <f>IFERROR(__xludf.DUMMYFUNCTION("""COMPUTED_VALUE"""),354.3)</f>
        <v>354.3</v>
      </c>
      <c r="K2358" s="82">
        <f>IFERROR(__xludf.DUMMYFUNCTION("""COMPUTED_VALUE"""),0.9)</f>
        <v>0.9</v>
      </c>
      <c r="L2358" s="82">
        <f>IFERROR(__xludf.DUMMYFUNCTION("""COMPUTED_VALUE"""),0.3333333333333333)</f>
        <v>0.3333333333</v>
      </c>
      <c r="M2358" s="82">
        <f>IFERROR(__xludf.DUMMYFUNCTION("""COMPUTED_VALUE"""),1.3333333333333333)</f>
        <v>1.333333333</v>
      </c>
      <c r="N2358" s="82">
        <f>IFERROR(__xludf.DUMMYFUNCTION("""COMPUTED_VALUE"""),2.4)</f>
        <v>2.4</v>
      </c>
      <c r="O2358" s="82">
        <f>IFERROR(__xludf.DUMMYFUNCTION("""COMPUTED_VALUE"""),321.3444444444445)</f>
        <v>321.3444444</v>
      </c>
      <c r="P2358" s="82">
        <f>IFERROR(__xludf.DUMMYFUNCTION("""COMPUTED_VALUE"""),0.7444444444444446)</f>
        <v>0.7444444444</v>
      </c>
      <c r="Q2358" s="82">
        <f>IFERROR(__xludf.DUMMYFUNCTION("""COMPUTED_VALUE"""),0.5000000000000002)</f>
        <v>0.5</v>
      </c>
      <c r="R2358" s="82">
        <f>IFERROR(__xludf.DUMMYFUNCTION("""COMPUTED_VALUE"""),1.1888888888888887)</f>
        <v>1.188888889</v>
      </c>
      <c r="S2358" s="82">
        <f>IFERROR(__xludf.DUMMYFUNCTION("""COMPUTED_VALUE"""),2.5111111111111106)</f>
        <v>2.511111111</v>
      </c>
      <c r="T2358" s="82">
        <f>IFERROR(__xludf.DUMMYFUNCTION("""COMPUTED_VALUE"""),337.11872895209734)</f>
        <v>337.118729</v>
      </c>
      <c r="U2358" s="82">
        <f>IFERROR(__xludf.DUMMYFUNCTION("""COMPUTED_VALUE"""),0.7887118043295831)</f>
        <v>0.7887118043</v>
      </c>
      <c r="V2358" s="82">
        <f>IFERROR(__xludf.DUMMYFUNCTION("""COMPUTED_VALUE"""),0.5587909612164565)</f>
        <v>0.5587909612</v>
      </c>
      <c r="W2358" s="82">
        <f>IFERROR(__xludf.DUMMYFUNCTION("""COMPUTED_VALUE"""),1.190412676521205)</f>
        <v>1.190412677</v>
      </c>
      <c r="X2358" s="82">
        <f>IFERROR(__xludf.DUMMYFUNCTION("""COMPUTED_VALUE"""),2.513433836617502)</f>
        <v>2.513433837</v>
      </c>
      <c r="Y2358" s="82">
        <f>IFERROR(__xludf.DUMMYFUNCTION("""COMPUTED_VALUE"""),337.62414788326237)</f>
        <v>337.6241479</v>
      </c>
      <c r="Z2358" s="82">
        <f>IFERROR(__xludf.DUMMYFUNCTION("""COMPUTED_VALUE"""),0.7509451573280109)</f>
        <v>0.7509451573</v>
      </c>
      <c r="AA2358" s="82">
        <f>IFERROR(__xludf.DUMMYFUNCTION("""COMPUTED_VALUE"""),0.5191822125849466)</f>
        <v>0.5191822126</v>
      </c>
      <c r="AB2358" s="82">
        <f>IFERROR(__xludf.DUMMYFUNCTION("""COMPUTED_VALUE"""),1.3218251215561985)</f>
        <v>1.321825122</v>
      </c>
      <c r="AC2358" s="82">
        <f>IFERROR(__xludf.DUMMYFUNCTION("""COMPUTED_VALUE"""),2.3741152945898274)</f>
        <v>2.374115295</v>
      </c>
      <c r="AD2358" s="82">
        <f>IFERROR(__xludf.DUMMYFUNCTION("""COMPUTED_VALUE"""),1.0493917636557901)</f>
        <v>1.049391764</v>
      </c>
      <c r="AE2358" s="82">
        <f>IFERROR(__xludf.DUMMYFUNCTION("""COMPUTED_VALUE"""),1.1984896516309544)</f>
        <v>1.198489652</v>
      </c>
      <c r="AF2358" s="82">
        <f>IFERROR(__xludf.DUMMYFUNCTION("""COMPUTED_VALUE"""),0.6420353495427091)</f>
        <v>0.6420353495</v>
      </c>
      <c r="AG2358" s="82">
        <f>IFERROR(__xludf.DUMMYFUNCTION("""COMPUTED_VALUE"""),1.0087063043283562)</f>
        <v>1.008706304</v>
      </c>
      <c r="AH2358" s="82">
        <f>IFERROR(__xludf.DUMMYFUNCTION("""COMPUTED_VALUE"""),1.0109028847373835)</f>
        <v>1.010902885</v>
      </c>
      <c r="AI2358" s="82">
        <f>IFERROR(__xludf.DUMMYFUNCTION("""COMPUTED_VALUE"""),0.9532085192754323)</f>
        <v>0.9532085193</v>
      </c>
      <c r="AJ2358" s="82">
        <f>IFERROR(__xludf.DUMMYFUNCTION("""COMPUTED_VALUE"""),0.9438738463883314)</f>
        <v>0.9438738464</v>
      </c>
      <c r="AK2358" s="82">
        <f>IFERROR(__xludf.DUMMYFUNCTION("""COMPUTED_VALUE"""),0.8947889903435952)</f>
        <v>0.8947889903</v>
      </c>
      <c r="AL2358" s="82">
        <f>IFERROR(__xludf.DUMMYFUNCTION("""COMPUTED_VALUE"""),0.9987199500959874)</f>
        <v>0.9987199501</v>
      </c>
      <c r="AM2358" s="82">
        <f>IFERROR(__xludf.DUMMYFUNCTION("""COMPUTED_VALUE"""),0.9990758756118613)</f>
        <v>0.9990758756</v>
      </c>
      <c r="AN2358" s="82">
        <f>IFERROR(__xludf.DUMMYFUNCTION("""COMPUTED_VALUE"""),1.0778434859504626)</f>
        <v>1.077843486</v>
      </c>
      <c r="AO2358" s="82">
        <f>IFERROR(__xludf.DUMMYFUNCTION("""COMPUTED_VALUE"""),1.1868719311047555)</f>
        <v>1.186871931</v>
      </c>
      <c r="AP2358" s="82">
        <f>IFERROR(__xludf.DUMMYFUNCTION("""COMPUTED_VALUE"""),0.6464685903349797)</f>
        <v>0.6464685903</v>
      </c>
      <c r="AQ2358" s="82">
        <f>IFERROR(__xludf.DUMMYFUNCTION("""COMPUTED_VALUE"""),1.111850386849202)</f>
        <v>1.111850387</v>
      </c>
      <c r="AR2358" s="82">
        <f>IFERROR(__xludf.DUMMYFUNCTION("""COMPUTED_VALUE"""),1.0005262528809347)</f>
        <v>1.000526253</v>
      </c>
      <c r="AS2358" s="82">
        <f>IFERROR(__xludf.DUMMYFUNCTION("""COMPUTED_VALUE"""),63.0)</f>
        <v>63</v>
      </c>
      <c r="AT2358" s="82">
        <f>IFERROR(__xludf.DUMMYFUNCTION("""COMPUTED_VALUE"""),0.4765753206038177)</f>
        <v>0.4765753206</v>
      </c>
      <c r="AU2358" s="82">
        <f>IFERROR(__xludf.DUMMYFUNCTION("""COMPUTED_VALUE"""),3.1054218966946303)</f>
        <v>3.105421897</v>
      </c>
      <c r="AV2358" s="82">
        <f>IFERROR(__xludf.DUMMYFUNCTION("""COMPUTED_VALUE"""),52.70413733475813)</f>
        <v>52.70413733</v>
      </c>
      <c r="AW2358" s="82">
        <f t="shared" si="1"/>
        <v>2.188508452</v>
      </c>
      <c r="AX2358" s="83">
        <f t="array" ref="AX2358">IFERROR(DGET('SBV Import'!A:G,"SBV",{"RSC ID","Tier";B2358,A2358}))</f>
        <v>56.55822714</v>
      </c>
      <c r="AY2358" s="82">
        <f t="shared" si="2"/>
        <v>2.521852673</v>
      </c>
      <c r="AZ2358" s="82">
        <v>0.3333442205473456</v>
      </c>
      <c r="BA2358" s="84">
        <v>2300.0</v>
      </c>
      <c r="BB2358" s="84" t="b">
        <f>IFERROR(__xludf.DUMMYFUNCTION("iferror(if(A2358="""",,E2358&gt;=FILTER(Constants!$F$2:$F$10,Constants!$A$2:$A$10=A2358)))"),TRUE)</f>
        <v>1</v>
      </c>
    </row>
    <row r="2359">
      <c r="A2359" s="89" t="str">
        <f>IFERROR(__xludf.DUMMYFUNCTION("""COMPUTED_VALUE"""),"Challenger")</f>
        <v>Challenger</v>
      </c>
      <c r="B2359" s="87" t="str">
        <f>IFERROR(__xludf.DUMMYFUNCTION("""COMPUTED_VALUE"""),"RSC006299")</f>
        <v>RSC006299</v>
      </c>
      <c r="C2359" s="73" t="str">
        <f>IFERROR(__xludf.DUMMYFUNCTION("""COMPUTED_VALUE"""),"dr_zachattack")</f>
        <v>dr_zachattack</v>
      </c>
      <c r="D2359" s="73" t="str">
        <f>IFERROR(__xludf.DUMMYFUNCTION("""COMPUTED_VALUE"""),"Trippy Hippies")</f>
        <v>Trippy Hippies</v>
      </c>
      <c r="E2359" s="82">
        <f>IFERROR(__xludf.DUMMYFUNCTION("""COMPUTED_VALUE"""),32.0)</f>
        <v>32</v>
      </c>
      <c r="F2359" s="82">
        <f>IFERROR(__xludf.DUMMYFUNCTION("""COMPUTED_VALUE"""),16.0)</f>
        <v>16</v>
      </c>
      <c r="G2359" s="86">
        <f>IFERROR(__xludf.DUMMYFUNCTION("""COMPUTED_VALUE"""),16.0)</f>
        <v>16</v>
      </c>
      <c r="H2359" s="86">
        <f>IFERROR(__xludf.DUMMYFUNCTION("""COMPUTED_VALUE"""),0.5)</f>
        <v>0.5</v>
      </c>
      <c r="I2359" s="86">
        <f>IFERROR(__xludf.DUMMYFUNCTION("""COMPUTED_VALUE"""),0.30666666666666664)</f>
        <v>0.3066666667</v>
      </c>
      <c r="J2359" s="82">
        <f>IFERROR(__xludf.DUMMYFUNCTION("""COMPUTED_VALUE"""),362.03125)</f>
        <v>362.03125</v>
      </c>
      <c r="K2359" s="82">
        <f>IFERROR(__xludf.DUMMYFUNCTION("""COMPUTED_VALUE"""),0.71875)</f>
        <v>0.71875</v>
      </c>
      <c r="L2359" s="82">
        <f>IFERROR(__xludf.DUMMYFUNCTION("""COMPUTED_VALUE"""),0.53125)</f>
        <v>0.53125</v>
      </c>
      <c r="M2359" s="82">
        <f>IFERROR(__xludf.DUMMYFUNCTION("""COMPUTED_VALUE"""),1.375)</f>
        <v>1.375</v>
      </c>
      <c r="N2359" s="82">
        <f>IFERROR(__xludf.DUMMYFUNCTION("""COMPUTED_VALUE"""),2.34375)</f>
        <v>2.34375</v>
      </c>
      <c r="O2359" s="82">
        <f>IFERROR(__xludf.DUMMYFUNCTION("""COMPUTED_VALUE"""),321.68750000000006)</f>
        <v>321.6875</v>
      </c>
      <c r="P2359" s="82">
        <f>IFERROR(__xludf.DUMMYFUNCTION("""COMPUTED_VALUE"""),0.7395833333333334)</f>
        <v>0.7395833333</v>
      </c>
      <c r="Q2359" s="82">
        <f>IFERROR(__xludf.DUMMYFUNCTION("""COMPUTED_VALUE"""),0.5208333333333333)</f>
        <v>0.5208333333</v>
      </c>
      <c r="R2359" s="82">
        <f>IFERROR(__xludf.DUMMYFUNCTION("""COMPUTED_VALUE"""),1.2499999999999998)</f>
        <v>1.25</v>
      </c>
      <c r="S2359" s="82">
        <f>IFERROR(__xludf.DUMMYFUNCTION("""COMPUTED_VALUE"""),2.3125)</f>
        <v>2.3125</v>
      </c>
      <c r="T2359" s="82">
        <f>IFERROR(__xludf.DUMMYFUNCTION("""COMPUTED_VALUE"""),339.48376580684294)</f>
        <v>339.4837658</v>
      </c>
      <c r="U2359" s="82">
        <f>IFERROR(__xludf.DUMMYFUNCTION("""COMPUTED_VALUE"""),0.7856039688718363)</f>
        <v>0.7856039689</v>
      </c>
      <c r="V2359" s="82">
        <f>IFERROR(__xludf.DUMMYFUNCTION("""COMPUTED_VALUE"""),0.5836855352697096)</f>
        <v>0.5836855353</v>
      </c>
      <c r="W2359" s="82">
        <f>IFERROR(__xludf.DUMMYFUNCTION("""COMPUTED_VALUE"""),1.2679848976255979)</f>
        <v>1.267984898</v>
      </c>
      <c r="X2359" s="82">
        <f>IFERROR(__xludf.DUMMYFUNCTION("""COMPUTED_VALUE"""),2.3440490137703747)</f>
        <v>2.344049014</v>
      </c>
      <c r="Y2359" s="82">
        <f>IFERROR(__xludf.DUMMYFUNCTION("""COMPUTED_VALUE"""),335.01430060661863)</f>
        <v>335.0143006</v>
      </c>
      <c r="Z2359" s="82">
        <f>IFERROR(__xludf.DUMMYFUNCTION("""COMPUTED_VALUE"""),0.7879260551497217)</f>
        <v>0.7879260551</v>
      </c>
      <c r="AA2359" s="82">
        <f>IFERROR(__xludf.DUMMYFUNCTION("""COMPUTED_VALUE"""),0.561664490677281)</f>
        <v>0.5616644907</v>
      </c>
      <c r="AB2359" s="82">
        <f>IFERROR(__xludf.DUMMYFUNCTION("""COMPUTED_VALUE"""),1.16487800139657)</f>
        <v>1.164878001</v>
      </c>
      <c r="AC2359" s="82">
        <f>IFERROR(__xludf.DUMMYFUNCTION("""COMPUTED_VALUE"""),2.526924509541623)</f>
        <v>2.52692451</v>
      </c>
      <c r="AD2359" s="82">
        <f>IFERROR(__xludf.DUMMYFUNCTION("""COMPUTED_VALUE"""),1.080644167560791)</f>
        <v>1.080644168</v>
      </c>
      <c r="AE2359" s="82">
        <f>IFERROR(__xludf.DUMMYFUNCTION("""COMPUTED_VALUE"""),0.9122048894085919)</f>
        <v>0.9122048894</v>
      </c>
      <c r="AF2359" s="82">
        <f>IFERROR(__xludf.DUMMYFUNCTION("""COMPUTED_VALUE"""),0.9458493617059434)</f>
        <v>0.9458493617</v>
      </c>
      <c r="AG2359" s="82">
        <f>IFERROR(__xludf.DUMMYFUNCTION("""COMPUTED_VALUE"""),1.1803811200413392)</f>
        <v>1.18038112</v>
      </c>
      <c r="AH2359" s="82">
        <f>IFERROR(__xludf.DUMMYFUNCTION("""COMPUTED_VALUE"""),0.927510889680337)</f>
        <v>0.9275108897</v>
      </c>
      <c r="AI2359" s="82">
        <f>IFERROR(__xludf.DUMMYFUNCTION("""COMPUTED_VALUE"""),0.9475784482225625)</f>
        <v>0.9475784482</v>
      </c>
      <c r="AJ2359" s="82">
        <f>IFERROR(__xludf.DUMMYFUNCTION("""COMPUTED_VALUE"""),0.9414200572273195)</f>
        <v>0.9414200572</v>
      </c>
      <c r="AK2359" s="82">
        <f>IFERROR(__xludf.DUMMYFUNCTION("""COMPUTED_VALUE"""),0.8923183835499134)</f>
        <v>0.8923183835</v>
      </c>
      <c r="AL2359" s="82">
        <f>IFERROR(__xludf.DUMMYFUNCTION("""COMPUTED_VALUE"""),0.9858161578586021)</f>
        <v>0.9858161579</v>
      </c>
      <c r="AM2359" s="82">
        <f>IFERROR(__xludf.DUMMYFUNCTION("""COMPUTED_VALUE"""),0.9865408045714759)</f>
        <v>0.9865408046</v>
      </c>
      <c r="AN2359" s="82">
        <f>IFERROR(__xludf.DUMMYFUNCTION("""COMPUTED_VALUE"""),1.1013633206971591)</f>
        <v>1.101363321</v>
      </c>
      <c r="AO2359" s="82">
        <f>IFERROR(__xludf.DUMMYFUNCTION("""COMPUTED_VALUE"""),0.9478491116461589)</f>
        <v>0.9478491116</v>
      </c>
      <c r="AP2359" s="82">
        <f>IFERROR(__xludf.DUMMYFUNCTION("""COMPUTED_VALUE"""),1.0303093158463739)</f>
        <v>1.030309316</v>
      </c>
      <c r="AQ2359" s="82">
        <f>IFERROR(__xludf.DUMMYFUNCTION("""COMPUTED_VALUE"""),1.1465957114382397)</f>
        <v>1.146595711</v>
      </c>
      <c r="AR2359" s="82">
        <f>IFERROR(__xludf.DUMMYFUNCTION("""COMPUTED_VALUE"""),0.977076418829038)</f>
        <v>0.9770764188</v>
      </c>
      <c r="AS2359" s="82">
        <f>IFERROR(__xludf.DUMMYFUNCTION("""COMPUTED_VALUE"""),73.0)</f>
        <v>73</v>
      </c>
      <c r="AT2359" s="82">
        <f>IFERROR(__xludf.DUMMYFUNCTION("""COMPUTED_VALUE"""),0.5106923019016073)</f>
        <v>0.5106923019</v>
      </c>
      <c r="AU2359" s="82">
        <f>IFERROR(__xludf.DUMMYFUNCTION("""COMPUTED_VALUE"""),3.0950281288055255)</f>
        <v>3.095028129</v>
      </c>
      <c r="AV2359" s="82">
        <f>IFERROR(__xludf.DUMMYFUNCTION("""COMPUTED_VALUE"""),52.429303685569)</f>
        <v>52.42930369</v>
      </c>
      <c r="AW2359" s="82">
        <f t="shared" si="1"/>
        <v>2.167810923</v>
      </c>
      <c r="AX2359" s="83">
        <f t="array" ref="AX2359">IFERROR(DGET('SBV Import'!A:G,"SBV",{"RSC ID","Tier";B2359,A2359}))</f>
        <v>60.74754544</v>
      </c>
      <c r="AY2359" s="82">
        <f t="shared" si="2"/>
        <v>2.997300646</v>
      </c>
      <c r="AZ2359" s="82">
        <v>0.8294897225696709</v>
      </c>
      <c r="BA2359" s="84">
        <v>2300.0</v>
      </c>
      <c r="BB2359" s="84" t="b">
        <f>IFERROR(__xludf.DUMMYFUNCTION("iferror(if(A2359="""",,E2359&gt;=FILTER(Constants!$F$2:$F$10,Constants!$A$2:$A$10=A2359)))"),TRUE)</f>
        <v>1</v>
      </c>
    </row>
    <row r="2360">
      <c r="A2360" s="89" t="str">
        <f>IFERROR(__xludf.DUMMYFUNCTION("""COMPUTED_VALUE"""),"Challenger")</f>
        <v>Challenger</v>
      </c>
      <c r="B2360" s="87" t="str">
        <f>IFERROR(__xludf.DUMMYFUNCTION("""COMPUTED_VALUE"""),"RSC007001")</f>
        <v>RSC007001</v>
      </c>
      <c r="C2360" s="73" t="str">
        <f>IFERROR(__xludf.DUMMYFUNCTION("""COMPUTED_VALUE"""),"tankersrul")</f>
        <v>tankersrul</v>
      </c>
      <c r="D2360" s="73" t="str">
        <f>IFERROR(__xludf.DUMMYFUNCTION("""COMPUTED_VALUE"""),"Squalls")</f>
        <v>Squalls</v>
      </c>
      <c r="E2360" s="82">
        <f>IFERROR(__xludf.DUMMYFUNCTION("""COMPUTED_VALUE"""),32.0)</f>
        <v>32</v>
      </c>
      <c r="F2360" s="82">
        <f>IFERROR(__xludf.DUMMYFUNCTION("""COMPUTED_VALUE"""),17.0)</f>
        <v>17</v>
      </c>
      <c r="G2360" s="86">
        <f>IFERROR(__xludf.DUMMYFUNCTION("""COMPUTED_VALUE"""),15.0)</f>
        <v>15</v>
      </c>
      <c r="H2360" s="86">
        <f>IFERROR(__xludf.DUMMYFUNCTION("""COMPUTED_VALUE"""),0.53125)</f>
        <v>0.53125</v>
      </c>
      <c r="I2360" s="86">
        <f>IFERROR(__xludf.DUMMYFUNCTION("""COMPUTED_VALUE"""),0.2702702702702703)</f>
        <v>0.2702702703</v>
      </c>
      <c r="J2360" s="82">
        <f>IFERROR(__xludf.DUMMYFUNCTION("""COMPUTED_VALUE"""),327.21875)</f>
        <v>327.21875</v>
      </c>
      <c r="K2360" s="82">
        <f>IFERROR(__xludf.DUMMYFUNCTION("""COMPUTED_VALUE"""),0.625)</f>
        <v>0.625</v>
      </c>
      <c r="L2360" s="82">
        <f>IFERROR(__xludf.DUMMYFUNCTION("""COMPUTED_VALUE"""),0.53125)</f>
        <v>0.53125</v>
      </c>
      <c r="M2360" s="82">
        <f>IFERROR(__xludf.DUMMYFUNCTION("""COMPUTED_VALUE"""),1.25)</f>
        <v>1.25</v>
      </c>
      <c r="N2360" s="82">
        <f>IFERROR(__xludf.DUMMYFUNCTION("""COMPUTED_VALUE"""),2.3125)</f>
        <v>2.3125</v>
      </c>
      <c r="O2360" s="82">
        <f>IFERROR(__xludf.DUMMYFUNCTION("""COMPUTED_VALUE"""),318.9583333333332)</f>
        <v>318.9583333</v>
      </c>
      <c r="P2360" s="82">
        <f>IFERROR(__xludf.DUMMYFUNCTION("""COMPUTED_VALUE"""),0.6354166666666665)</f>
        <v>0.6354166667</v>
      </c>
      <c r="Q2360" s="82">
        <f>IFERROR(__xludf.DUMMYFUNCTION("""COMPUTED_VALUE"""),0.41666666666666674)</f>
        <v>0.4166666667</v>
      </c>
      <c r="R2360" s="82">
        <f>IFERROR(__xludf.DUMMYFUNCTION("""COMPUTED_VALUE"""),1.3541666666666667)</f>
        <v>1.354166667</v>
      </c>
      <c r="S2360" s="82">
        <f>IFERROR(__xludf.DUMMYFUNCTION("""COMPUTED_VALUE"""),2.1458333333333335)</f>
        <v>2.145833333</v>
      </c>
      <c r="T2360" s="82">
        <f>IFERROR(__xludf.DUMMYFUNCTION("""COMPUTED_VALUE"""),339.3316277033958)</f>
        <v>339.3316277</v>
      </c>
      <c r="U2360" s="82">
        <f>IFERROR(__xludf.DUMMYFUNCTION("""COMPUTED_VALUE"""),0.7988922193547214)</f>
        <v>0.7988922194</v>
      </c>
      <c r="V2360" s="82">
        <f>IFERROR(__xludf.DUMMYFUNCTION("""COMPUTED_VALUE"""),0.5276760708489496)</f>
        <v>0.5276760708</v>
      </c>
      <c r="W2360" s="82">
        <f>IFERROR(__xludf.DUMMYFUNCTION("""COMPUTED_VALUE"""),1.2293363668756458)</f>
        <v>1.229336367</v>
      </c>
      <c r="X2360" s="82">
        <f>IFERROR(__xludf.DUMMYFUNCTION("""COMPUTED_VALUE"""),2.4199178941482815)</f>
        <v>2.419917894</v>
      </c>
      <c r="Y2360" s="82">
        <f>IFERROR(__xludf.DUMMYFUNCTION("""COMPUTED_VALUE"""),323.8659944113727)</f>
        <v>323.8659944</v>
      </c>
      <c r="Z2360" s="82">
        <f>IFERROR(__xludf.DUMMYFUNCTION("""COMPUTED_VALUE"""),0.7173093099692716)</f>
        <v>0.71730931</v>
      </c>
      <c r="AA2360" s="82">
        <f>IFERROR(__xludf.DUMMYFUNCTION("""COMPUTED_VALUE"""),0.4819732620560408)</f>
        <v>0.4819732621</v>
      </c>
      <c r="AB2360" s="82">
        <f>IFERROR(__xludf.DUMMYFUNCTION("""COMPUTED_VALUE"""),1.17097187246289)</f>
        <v>1.170971872</v>
      </c>
      <c r="AC2360" s="82">
        <f>IFERROR(__xludf.DUMMYFUNCTION("""COMPUTED_VALUE"""),2.3976102890091333)</f>
        <v>2.397610289</v>
      </c>
      <c r="AD2360" s="82">
        <f>IFERROR(__xludf.DUMMYFUNCTION("""COMPUTED_VALUE"""),1.0103522927583706)</f>
        <v>1.010352293</v>
      </c>
      <c r="AE2360" s="82">
        <f>IFERROR(__xludf.DUMMYFUNCTION("""COMPUTED_VALUE"""),0.8713117079531201)</f>
        <v>0.871311708</v>
      </c>
      <c r="AF2360" s="82">
        <f>IFERROR(__xludf.DUMMYFUNCTION("""COMPUTED_VALUE"""),1.1022395676759131)</f>
        <v>1.102239568</v>
      </c>
      <c r="AG2360" s="82">
        <f>IFERROR(__xludf.DUMMYFUNCTION("""COMPUTED_VALUE"""),1.0674893474348714)</f>
        <v>1.067489347</v>
      </c>
      <c r="AH2360" s="82">
        <f>IFERROR(__xludf.DUMMYFUNCTION("""COMPUTED_VALUE"""),0.9645020337961984)</f>
        <v>0.9645020338</v>
      </c>
      <c r="AI2360" s="82">
        <f>IFERROR(__xludf.DUMMYFUNCTION("""COMPUTED_VALUE"""),0.9399605203088509)</f>
        <v>0.9399605203</v>
      </c>
      <c r="AJ2360" s="82">
        <f>IFERROR(__xludf.DUMMYFUNCTION("""COMPUTED_VALUE"""),0.7953722057524896)</f>
        <v>0.7953722058</v>
      </c>
      <c r="AK2360" s="82">
        <f>IFERROR(__xludf.DUMMYFUNCTION("""COMPUTED_VALUE"""),0.7896258513226005)</f>
        <v>0.7896258513</v>
      </c>
      <c r="AL2360" s="82">
        <f>IFERROR(__xludf.DUMMYFUNCTION("""COMPUTED_VALUE"""),1.101542834942951)</f>
        <v>1.101542835</v>
      </c>
      <c r="AM2360" s="82">
        <f>IFERROR(__xludf.DUMMYFUNCTION("""COMPUTED_VALUE"""),0.8867380742637074)</f>
        <v>0.8867380743</v>
      </c>
      <c r="AN2360" s="82">
        <f>IFERROR(__xludf.DUMMYFUNCTION("""COMPUTED_VALUE"""),0.995457516704355)</f>
        <v>0.9954575167</v>
      </c>
      <c r="AO2360" s="82">
        <f>IFERROR(__xludf.DUMMYFUNCTION("""COMPUTED_VALUE"""),0.8242166188227469)</f>
        <v>0.8242166188</v>
      </c>
      <c r="AP2360" s="82">
        <f>IFERROR(__xludf.DUMMYFUNCTION("""COMPUTED_VALUE"""),1.0303093158463739)</f>
        <v>1.030309316</v>
      </c>
      <c r="AQ2360" s="82">
        <f>IFERROR(__xludf.DUMMYFUNCTION("""COMPUTED_VALUE"""),1.042359737671127)</f>
        <v>1.042359738</v>
      </c>
      <c r="AR2360" s="82">
        <f>IFERROR(__xludf.DUMMYFUNCTION("""COMPUTED_VALUE"""),0.9640487332446507)</f>
        <v>0.9640487332</v>
      </c>
      <c r="AS2360" s="82">
        <f>IFERROR(__xludf.DUMMYFUNCTION("""COMPUTED_VALUE"""),69.0)</f>
        <v>69</v>
      </c>
      <c r="AT2360" s="82">
        <f>IFERROR(__xludf.DUMMYFUNCTION("""COMPUTED_VALUE"""),0.5459370424119446)</f>
        <v>0.5459370424</v>
      </c>
      <c r="AU2360" s="82">
        <f>IFERROR(__xludf.DUMMYFUNCTION("""COMPUTED_VALUE"""),3.0924776669201153)</f>
        <v>3.092477667</v>
      </c>
      <c r="AV2360" s="82">
        <f>IFERROR(__xludf.DUMMYFUNCTION("""COMPUTED_VALUE"""),52.36186397029309)</f>
        <v>52.36186397</v>
      </c>
      <c r="AW2360" s="82">
        <f t="shared" si="1"/>
        <v>2.162788339</v>
      </c>
      <c r="AX2360" s="83">
        <f t="array" ref="AX2360">IFERROR(DGET('SBV Import'!A:G,"SBV",{"RSC ID","Tier";B2360,A2360}))</f>
        <v>50.92497832</v>
      </c>
      <c r="AY2360" s="82">
        <f t="shared" si="2"/>
        <v>2.060823777</v>
      </c>
      <c r="AZ2360" s="82">
        <v>0.10196456197718318</v>
      </c>
      <c r="BA2360" s="84">
        <v>2300.0</v>
      </c>
      <c r="BB2360" s="84" t="b">
        <f>IFERROR(__xludf.DUMMYFUNCTION("iferror(if(A2360="""",,E2360&gt;=FILTER(Constants!$F$2:$F$10,Constants!$A$2:$A$10=A2360)))"),TRUE)</f>
        <v>1</v>
      </c>
    </row>
    <row r="2361">
      <c r="A2361" s="89" t="str">
        <f>IFERROR(__xludf.DUMMYFUNCTION("""COMPUTED_VALUE"""),"Challenger")</f>
        <v>Challenger</v>
      </c>
      <c r="B2361" s="87" t="str">
        <f>IFERROR(__xludf.DUMMYFUNCTION("""COMPUTED_VALUE"""),"RSC007590")</f>
        <v>RSC007590</v>
      </c>
      <c r="C2361" s="73" t="str">
        <f>IFERROR(__xludf.DUMMYFUNCTION("""COMPUTED_VALUE"""),"DonkeyPancakes2")</f>
        <v>DonkeyPancakes2</v>
      </c>
      <c r="D2361" s="73" t="str">
        <f>IFERROR(__xludf.DUMMYFUNCTION("""COMPUTED_VALUE"""),"Lions")</f>
        <v>Lions</v>
      </c>
      <c r="E2361" s="82">
        <f>IFERROR(__xludf.DUMMYFUNCTION("""COMPUTED_VALUE"""),36.0)</f>
        <v>36</v>
      </c>
      <c r="F2361" s="82">
        <f>IFERROR(__xludf.DUMMYFUNCTION("""COMPUTED_VALUE"""),17.0)</f>
        <v>17</v>
      </c>
      <c r="G2361" s="86">
        <f>IFERROR(__xludf.DUMMYFUNCTION("""COMPUTED_VALUE"""),19.0)</f>
        <v>19</v>
      </c>
      <c r="H2361" s="86">
        <f>IFERROR(__xludf.DUMMYFUNCTION("""COMPUTED_VALUE"""),0.4722222222222222)</f>
        <v>0.4722222222</v>
      </c>
      <c r="I2361" s="86">
        <f>IFERROR(__xludf.DUMMYFUNCTION("""COMPUTED_VALUE"""),0.30208333333333337)</f>
        <v>0.3020833333</v>
      </c>
      <c r="J2361" s="82">
        <f>IFERROR(__xludf.DUMMYFUNCTION("""COMPUTED_VALUE"""),311.19444444444446)</f>
        <v>311.1944444</v>
      </c>
      <c r="K2361" s="82">
        <f>IFERROR(__xludf.DUMMYFUNCTION("""COMPUTED_VALUE"""),0.8055555555555556)</f>
        <v>0.8055555556</v>
      </c>
      <c r="L2361" s="82">
        <f>IFERROR(__xludf.DUMMYFUNCTION("""COMPUTED_VALUE"""),0.5)</f>
        <v>0.5</v>
      </c>
      <c r="M2361" s="82">
        <f>IFERROR(__xludf.DUMMYFUNCTION("""COMPUTED_VALUE"""),1.0277777777777777)</f>
        <v>1.027777778</v>
      </c>
      <c r="N2361" s="82">
        <f>IFERROR(__xludf.DUMMYFUNCTION("""COMPUTED_VALUE"""),2.6666666666666665)</f>
        <v>2.666666667</v>
      </c>
      <c r="O2361" s="82">
        <f>IFERROR(__xludf.DUMMYFUNCTION("""COMPUTED_VALUE"""),327.03703703703707)</f>
        <v>327.037037</v>
      </c>
      <c r="P2361" s="82">
        <f>IFERROR(__xludf.DUMMYFUNCTION("""COMPUTED_VALUE"""),0.7129629629629629)</f>
        <v>0.712962963</v>
      </c>
      <c r="Q2361" s="82">
        <f>IFERROR(__xludf.DUMMYFUNCTION("""COMPUTED_VALUE"""),0.48148148148148134)</f>
        <v>0.4814814815</v>
      </c>
      <c r="R2361" s="82">
        <f>IFERROR(__xludf.DUMMYFUNCTION("""COMPUTED_VALUE"""),1.3518518518518516)</f>
        <v>1.351851852</v>
      </c>
      <c r="S2361" s="82">
        <f>IFERROR(__xludf.DUMMYFUNCTION("""COMPUTED_VALUE"""),2.2129629629629632)</f>
        <v>2.212962963</v>
      </c>
      <c r="T2361" s="82">
        <f>IFERROR(__xludf.DUMMYFUNCTION("""COMPUTED_VALUE"""),334.4834196744647)</f>
        <v>334.4834197</v>
      </c>
      <c r="U2361" s="82">
        <f>IFERROR(__xludf.DUMMYFUNCTION("""COMPUTED_VALUE"""),0.7481321485930703)</f>
        <v>0.7481321486</v>
      </c>
      <c r="V2361" s="82">
        <f>IFERROR(__xludf.DUMMYFUNCTION("""COMPUTED_VALUE"""),0.5073099127901038)</f>
        <v>0.5073099128</v>
      </c>
      <c r="W2361" s="82">
        <f>IFERROR(__xludf.DUMMYFUNCTION("""COMPUTED_VALUE"""),1.259334908884449)</f>
        <v>1.259334909</v>
      </c>
      <c r="X2361" s="82">
        <f>IFERROR(__xludf.DUMMYFUNCTION("""COMPUTED_VALUE"""),2.3816099849389953)</f>
        <v>2.381609985</v>
      </c>
      <c r="Y2361" s="82">
        <f>IFERROR(__xludf.DUMMYFUNCTION("""COMPUTED_VALUE"""),346.18102262669595)</f>
        <v>346.1810226</v>
      </c>
      <c r="Z2361" s="82">
        <f>IFERROR(__xludf.DUMMYFUNCTION("""COMPUTED_VALUE"""),0.8367356513995827)</f>
        <v>0.8367356514</v>
      </c>
      <c r="AA2361" s="82">
        <f>IFERROR(__xludf.DUMMYFUNCTION("""COMPUTED_VALUE"""),0.5786773017623692)</f>
        <v>0.5786773018</v>
      </c>
      <c r="AB2361" s="82">
        <f>IFERROR(__xludf.DUMMYFUNCTION("""COMPUTED_VALUE"""),1.218387601124547)</f>
        <v>1.218387601</v>
      </c>
      <c r="AC2361" s="82">
        <f>IFERROR(__xludf.DUMMYFUNCTION("""COMPUTED_VALUE"""),2.586335305851102)</f>
        <v>2.586335306</v>
      </c>
      <c r="AD2361" s="82">
        <f>IFERROR(__xludf.DUMMYFUNCTION("""COMPUTED_VALUE"""),0.8989355975761293)</f>
        <v>0.8989355976</v>
      </c>
      <c r="AE2361" s="82">
        <f>IFERROR(__xludf.DUMMYFUNCTION("""COMPUTED_VALUE"""),0.9627360256589126)</f>
        <v>0.9627360257</v>
      </c>
      <c r="AF2361" s="82">
        <f>IFERROR(__xludf.DUMMYFUNCTION("""COMPUTED_VALUE"""),0.8640394196856236)</f>
        <v>0.8640394197</v>
      </c>
      <c r="AG2361" s="82">
        <f>IFERROR(__xludf.DUMMYFUNCTION("""COMPUTED_VALUE"""),0.8435556770515062)</f>
        <v>0.8435556771</v>
      </c>
      <c r="AH2361" s="82">
        <f>IFERROR(__xludf.DUMMYFUNCTION("""COMPUTED_VALUE"""),1.0310599173408916)</f>
        <v>1.031059917</v>
      </c>
      <c r="AI2361" s="82">
        <f>IFERROR(__xludf.DUMMYFUNCTION("""COMPUTED_VALUE"""),0.9777376629171192)</f>
        <v>0.9777376629</v>
      </c>
      <c r="AJ2361" s="82">
        <f>IFERROR(__xludf.DUMMYFUNCTION("""COMPUTED_VALUE"""),0.9529906772536828)</f>
        <v>0.9529906773</v>
      </c>
      <c r="AK2361" s="82">
        <f>IFERROR(__xludf.DUMMYFUNCTION("""COMPUTED_VALUE"""),0.9490874696956516)</f>
        <v>0.9490874697</v>
      </c>
      <c r="AL2361" s="82">
        <f>IFERROR(__xludf.DUMMYFUNCTION("""COMPUTED_VALUE"""),1.0734649236789255)</f>
        <v>1.073464924</v>
      </c>
      <c r="AM2361" s="82">
        <f>IFERROR(__xludf.DUMMYFUNCTION("""COMPUTED_VALUE"""),0.9291878086493864)</f>
        <v>0.9291878086</v>
      </c>
      <c r="AN2361" s="82">
        <f>IFERROR(__xludf.DUMMYFUNCTION("""COMPUTED_VALUE"""),0.9467087349941226)</f>
        <v>0.946708735</v>
      </c>
      <c r="AO2361" s="82">
        <f>IFERROR(__xludf.DUMMYFUNCTION("""COMPUTED_VALUE"""),1.0623236420382072)</f>
        <v>1.062323642</v>
      </c>
      <c r="AP2361" s="82">
        <f>IFERROR(__xludf.DUMMYFUNCTION("""COMPUTED_VALUE"""),0.9697028855024696)</f>
        <v>0.9697028855</v>
      </c>
      <c r="AQ2361" s="82">
        <f>IFERROR(__xludf.DUMMYFUNCTION("""COMPUTED_VALUE"""),0.8570513398629266)</f>
        <v>0.8570513399</v>
      </c>
      <c r="AR2361" s="82">
        <f>IFERROR(__xludf.DUMMYFUNCTION("""COMPUTED_VALUE"""),1.1116958365343719)</f>
        <v>1.111695837</v>
      </c>
      <c r="AS2361" s="82">
        <f>IFERROR(__xludf.DUMMYFUNCTION("""COMPUTED_VALUE"""),88.0)</f>
        <v>88</v>
      </c>
      <c r="AT2361" s="82">
        <f>IFERROR(__xludf.DUMMYFUNCTION("""COMPUTED_VALUE"""),0.5514920312529195)</f>
        <v>0.5514920313</v>
      </c>
      <c r="AU2361" s="82">
        <f>IFERROR(__xludf.DUMMYFUNCTION("""COMPUTED_VALUE"""),3.0732265413245825)</f>
        <v>3.073226541</v>
      </c>
      <c r="AV2361" s="82">
        <f>IFERROR(__xludf.DUMMYFUNCTION("""COMPUTED_VALUE"""),51.852822672193234)</f>
        <v>51.85282267</v>
      </c>
      <c r="AW2361" s="82">
        <f t="shared" si="1"/>
        <v>2.125577988</v>
      </c>
      <c r="AX2361" s="83">
        <f t="array" ref="AX2361">IFERROR(DGET('SBV Import'!A:G,"SBV",{"RSC ID","Tier";B2361,A2361}))</f>
        <v>44.53890903</v>
      </c>
      <c r="AY2361" s="82">
        <f t="shared" si="2"/>
        <v>-2.418135628</v>
      </c>
      <c r="AZ2361" s="82">
        <v>4.543713616328535</v>
      </c>
      <c r="BA2361" s="84">
        <v>2300.0</v>
      </c>
      <c r="BB2361" s="84" t="b">
        <f>IFERROR(__xludf.DUMMYFUNCTION("iferror(if(A2361="""",,E2361&gt;=FILTER(Constants!$F$2:$F$10,Constants!$A$2:$A$10=A2361)))"),TRUE)</f>
        <v>1</v>
      </c>
    </row>
    <row r="2362">
      <c r="A2362" s="89" t="str">
        <f>IFERROR(__xludf.DUMMYFUNCTION("""COMPUTED_VALUE"""),"Challenger")</f>
        <v>Challenger</v>
      </c>
      <c r="B2362" s="87" t="str">
        <f>IFERROR(__xludf.DUMMYFUNCTION("""COMPUTED_VALUE"""),"RSC007824")</f>
        <v>RSC007824</v>
      </c>
      <c r="C2362" s="73" t="str">
        <f>IFERROR(__xludf.DUMMYFUNCTION("""COMPUTED_VALUE"""),"Akki404")</f>
        <v>Akki404</v>
      </c>
      <c r="D2362" s="73" t="str">
        <f>IFERROR(__xludf.DUMMYFUNCTION("""COMPUTED_VALUE"""),"Bingo")</f>
        <v>Bingo</v>
      </c>
      <c r="E2362" s="82">
        <f>IFERROR(__xludf.DUMMYFUNCTION("""COMPUTED_VALUE"""),35.0)</f>
        <v>35</v>
      </c>
      <c r="F2362" s="82">
        <f>IFERROR(__xludf.DUMMYFUNCTION("""COMPUTED_VALUE"""),12.0)</f>
        <v>12</v>
      </c>
      <c r="G2362" s="86">
        <f>IFERROR(__xludf.DUMMYFUNCTION("""COMPUTED_VALUE"""),23.0)</f>
        <v>23</v>
      </c>
      <c r="H2362" s="86">
        <f>IFERROR(__xludf.DUMMYFUNCTION("""COMPUTED_VALUE"""),0.34285714285714286)</f>
        <v>0.3428571429</v>
      </c>
      <c r="I2362" s="86">
        <f>IFERROR(__xludf.DUMMYFUNCTION("""COMPUTED_VALUE"""),0.4444444444444445)</f>
        <v>0.4444444444</v>
      </c>
      <c r="J2362" s="82">
        <f>IFERROR(__xludf.DUMMYFUNCTION("""COMPUTED_VALUE"""),362.51428571428573)</f>
        <v>362.5142857</v>
      </c>
      <c r="K2362" s="82">
        <f>IFERROR(__xludf.DUMMYFUNCTION("""COMPUTED_VALUE"""),0.8)</f>
        <v>0.8</v>
      </c>
      <c r="L2362" s="82">
        <f>IFERROR(__xludf.DUMMYFUNCTION("""COMPUTED_VALUE"""),0.6857142857142857)</f>
        <v>0.6857142857</v>
      </c>
      <c r="M2362" s="82">
        <f>IFERROR(__xludf.DUMMYFUNCTION("""COMPUTED_VALUE"""),1.3142857142857143)</f>
        <v>1.314285714</v>
      </c>
      <c r="N2362" s="82">
        <f>IFERROR(__xludf.DUMMYFUNCTION("""COMPUTED_VALUE"""),1.8)</f>
        <v>1.8</v>
      </c>
      <c r="O2362" s="82">
        <f>IFERROR(__xludf.DUMMYFUNCTION("""COMPUTED_VALUE"""),359.0952380952381)</f>
        <v>359.0952381</v>
      </c>
      <c r="P2362" s="82">
        <f>IFERROR(__xludf.DUMMYFUNCTION("""COMPUTED_VALUE"""),1.0095238095238097)</f>
        <v>1.00952381</v>
      </c>
      <c r="Q2362" s="82">
        <f>IFERROR(__xludf.DUMMYFUNCTION("""COMPUTED_VALUE"""),0.7714285714285715)</f>
        <v>0.7714285714</v>
      </c>
      <c r="R2362" s="82">
        <f>IFERROR(__xludf.DUMMYFUNCTION("""COMPUTED_VALUE"""),0.8857142857142856)</f>
        <v>0.8857142857</v>
      </c>
      <c r="S2362" s="82">
        <f>IFERROR(__xludf.DUMMYFUNCTION("""COMPUTED_VALUE"""),2.8761904761904757)</f>
        <v>2.876190476</v>
      </c>
      <c r="T2362" s="82">
        <f>IFERROR(__xludf.DUMMYFUNCTION("""COMPUTED_VALUE"""),337.9137669500177)</f>
        <v>337.913767</v>
      </c>
      <c r="U2362" s="82">
        <f>IFERROR(__xludf.DUMMYFUNCTION("""COMPUTED_VALUE"""),0.8285901078306166)</f>
        <v>0.8285901078</v>
      </c>
      <c r="V2362" s="82">
        <f>IFERROR(__xludf.DUMMYFUNCTION("""COMPUTED_VALUE"""),0.5709404475869451)</f>
        <v>0.5709404476</v>
      </c>
      <c r="W2362" s="82">
        <f>IFERROR(__xludf.DUMMYFUNCTION("""COMPUTED_VALUE"""),1.0944687769227155)</f>
        <v>1.094468777</v>
      </c>
      <c r="X2362" s="82">
        <f>IFERROR(__xludf.DUMMYFUNCTION("""COMPUTED_VALUE"""),2.674144622543499)</f>
        <v>2.674144623</v>
      </c>
      <c r="Y2362" s="82">
        <f>IFERROR(__xludf.DUMMYFUNCTION("""COMPUTED_VALUE"""),328.9764505792231)</f>
        <v>328.9764506</v>
      </c>
      <c r="Z2362" s="82">
        <f>IFERROR(__xludf.DUMMYFUNCTION("""COMPUTED_VALUE"""),0.7057303016317223)</f>
        <v>0.7057303016</v>
      </c>
      <c r="AA2362" s="82">
        <f>IFERROR(__xludf.DUMMYFUNCTION("""COMPUTED_VALUE"""),0.49541568392547136)</f>
        <v>0.4954156839</v>
      </c>
      <c r="AB2362" s="82">
        <f>IFERROR(__xludf.DUMMYFUNCTION("""COMPUTED_VALUE"""),1.3083649162665647)</f>
        <v>1.308364916</v>
      </c>
      <c r="AC2362" s="82">
        <f>IFERROR(__xludf.DUMMYFUNCTION("""COMPUTED_VALUE"""),2.228588755411501)</f>
        <v>2.228588755</v>
      </c>
      <c r="AD2362" s="82">
        <f>IFERROR(__xludf.DUMMYFUNCTION("""COMPUTED_VALUE"""),1.1019460057886001)</f>
        <v>1.101946006</v>
      </c>
      <c r="AE2362" s="82">
        <f>IFERROR(__xludf.DUMMYFUNCTION("""COMPUTED_VALUE"""),1.1335775127556749)</f>
        <v>1.133577513</v>
      </c>
      <c r="AF2362" s="82">
        <f>IFERROR(__xludf.DUMMYFUNCTION("""COMPUTED_VALUE"""),1.3841190498471223)</f>
        <v>1.38411905</v>
      </c>
      <c r="AG2362" s="82">
        <f>IFERROR(__xludf.DUMMYFUNCTION("""COMPUTED_VALUE"""),1.0045253414743378)</f>
        <v>1.004525341</v>
      </c>
      <c r="AH2362" s="82">
        <f>IFERROR(__xludf.DUMMYFUNCTION("""COMPUTED_VALUE"""),0.8076860280431758)</f>
        <v>0.807686028</v>
      </c>
      <c r="AI2362" s="82">
        <f>IFERROR(__xludf.DUMMYFUNCTION("""COMPUTED_VALUE"""),1.0626830665598581)</f>
        <v>1.062683067</v>
      </c>
      <c r="AJ2362" s="82">
        <f>IFERROR(__xludf.DUMMYFUNCTION("""COMPUTED_VALUE"""),1.2183633378956296)</f>
        <v>1.218363338</v>
      </c>
      <c r="AK2362" s="82">
        <f>IFERROR(__xludf.DUMMYFUNCTION("""COMPUTED_VALUE"""),1.3511541784944134)</f>
        <v>1.351154178</v>
      </c>
      <c r="AL2362" s="82">
        <f>IFERROR(__xludf.DUMMYFUNCTION("""COMPUTED_VALUE"""),0.809264096326824)</f>
        <v>0.8092640963</v>
      </c>
      <c r="AM2362" s="82">
        <f>IFERROR(__xludf.DUMMYFUNCTION("""COMPUTED_VALUE"""),1.0755553203606474)</f>
        <v>1.07555532</v>
      </c>
      <c r="AN2362" s="82">
        <f>IFERROR(__xludf.DUMMYFUNCTION("""COMPUTED_VALUE"""),1.1028328010757205)</f>
        <v>1.102832801</v>
      </c>
      <c r="AO2362" s="82">
        <f>IFERROR(__xludf.DUMMYFUNCTION("""COMPUTED_VALUE"""),1.054997272093116)</f>
        <v>1.054997272</v>
      </c>
      <c r="AP2362" s="82">
        <f>IFERROR(__xludf.DUMMYFUNCTION("""COMPUTED_VALUE"""),1.3298782429748155)</f>
        <v>1.329878243</v>
      </c>
      <c r="AQ2362" s="82">
        <f>IFERROR(__xludf.DUMMYFUNCTION("""COMPUTED_VALUE"""),1.0959668098942135)</f>
        <v>1.09596681</v>
      </c>
      <c r="AR2362" s="82">
        <f>IFERROR(__xludf.DUMMYFUNCTION("""COMPUTED_VALUE"""),0.7503946896607011)</f>
        <v>0.7503946897</v>
      </c>
      <c r="AS2362" s="82">
        <f>IFERROR(__xludf.DUMMYFUNCTION("""COMPUTED_VALUE"""),70.0)</f>
        <v>70</v>
      </c>
      <c r="AT2362" s="82">
        <f>IFERROR(__xludf.DUMMYFUNCTION("""COMPUTED_VALUE"""),0.34082152313608755)</f>
        <v>0.3408215231</v>
      </c>
      <c r="AU2362" s="82">
        <f>IFERROR(__xludf.DUMMYFUNCTION("""COMPUTED_VALUE"""),3.054160979236033)</f>
        <v>3.054160979</v>
      </c>
      <c r="AV2362" s="82">
        <f>IFERROR(__xludf.DUMMYFUNCTION("""COMPUTED_VALUE"""),51.34868807360069)</f>
        <v>51.34868807</v>
      </c>
      <c r="AW2362" s="82">
        <f t="shared" si="1"/>
        <v>2.089914444</v>
      </c>
      <c r="AX2362" s="83">
        <f t="array" ref="AX2362">IFERROR(DGET('SBV Import'!A:G,"SBV",{"RSC ID","Tier";B2362,A2362}))</f>
        <v>54.14887861</v>
      </c>
      <c r="AY2362" s="82">
        <f t="shared" si="2"/>
        <v>2.303637241</v>
      </c>
      <c r="AZ2362" s="82">
        <v>0.2137227977030962</v>
      </c>
      <c r="BA2362" s="84">
        <v>2300.0</v>
      </c>
      <c r="BB2362" s="84" t="b">
        <f>IFERROR(__xludf.DUMMYFUNCTION("iferror(if(A2362="""",,E2362&gt;=FILTER(Constants!$F$2:$F$10,Constants!$A$2:$A$10=A2362)))"),TRUE)</f>
        <v>1</v>
      </c>
    </row>
    <row r="2363">
      <c r="A2363" s="89" t="str">
        <f>IFERROR(__xludf.DUMMYFUNCTION("""COMPUTED_VALUE"""),"Challenger")</f>
        <v>Challenger</v>
      </c>
      <c r="B2363" s="87" t="str">
        <f>IFERROR(__xludf.DUMMYFUNCTION("""COMPUTED_VALUE"""),"RSC007197")</f>
        <v>RSC007197</v>
      </c>
      <c r="C2363" s="73" t="str">
        <f>IFERROR(__xludf.DUMMYFUNCTION("""COMPUTED_VALUE"""),"xMaster P")</f>
        <v>xMaster P</v>
      </c>
      <c r="D2363" s="73" t="str">
        <f>IFERROR(__xludf.DUMMYFUNCTION("""COMPUTED_VALUE"""),"Mugged")</f>
        <v>Mugged</v>
      </c>
      <c r="E2363" s="82">
        <f>IFERROR(__xludf.DUMMYFUNCTION("""COMPUTED_VALUE"""),31.0)</f>
        <v>31</v>
      </c>
      <c r="F2363" s="82">
        <f>IFERROR(__xludf.DUMMYFUNCTION("""COMPUTED_VALUE"""),19.0)</f>
        <v>19</v>
      </c>
      <c r="G2363" s="86">
        <f>IFERROR(__xludf.DUMMYFUNCTION("""COMPUTED_VALUE"""),12.0)</f>
        <v>12</v>
      </c>
      <c r="H2363" s="86">
        <f>IFERROR(__xludf.DUMMYFUNCTION("""COMPUTED_VALUE"""),0.6129032258064516)</f>
        <v>0.6129032258</v>
      </c>
      <c r="I2363" s="86">
        <f>IFERROR(__xludf.DUMMYFUNCTION("""COMPUTED_VALUE"""),0.34375)</f>
        <v>0.34375</v>
      </c>
      <c r="J2363" s="82">
        <f>IFERROR(__xludf.DUMMYFUNCTION("""COMPUTED_VALUE"""),337.03225806451616)</f>
        <v>337.0322581</v>
      </c>
      <c r="K2363" s="82">
        <f>IFERROR(__xludf.DUMMYFUNCTION("""COMPUTED_VALUE"""),0.7096774193548387)</f>
        <v>0.7096774194</v>
      </c>
      <c r="L2363" s="82">
        <f>IFERROR(__xludf.DUMMYFUNCTION("""COMPUTED_VALUE"""),0.6129032258064516)</f>
        <v>0.6129032258</v>
      </c>
      <c r="M2363" s="82">
        <f>IFERROR(__xludf.DUMMYFUNCTION("""COMPUTED_VALUE"""),1.3225806451612903)</f>
        <v>1.322580645</v>
      </c>
      <c r="N2363" s="82">
        <f>IFERROR(__xludf.DUMMYFUNCTION("""COMPUTED_VALUE"""),2.064516129032258)</f>
        <v>2.064516129</v>
      </c>
      <c r="O2363" s="82">
        <f>IFERROR(__xludf.DUMMYFUNCTION("""COMPUTED_VALUE"""),315.0537634408602)</f>
        <v>315.0537634</v>
      </c>
      <c r="P2363" s="82">
        <f>IFERROR(__xludf.DUMMYFUNCTION("""COMPUTED_VALUE"""),0.7096774193548386)</f>
        <v>0.7096774194</v>
      </c>
      <c r="Q2363" s="82">
        <f>IFERROR(__xludf.DUMMYFUNCTION("""COMPUTED_VALUE"""),0.4086021505376344)</f>
        <v>0.4086021505</v>
      </c>
      <c r="R2363" s="82">
        <f>IFERROR(__xludf.DUMMYFUNCTION("""COMPUTED_VALUE"""),1.1290322580645162)</f>
        <v>1.129032258</v>
      </c>
      <c r="S2363" s="82">
        <f>IFERROR(__xludf.DUMMYFUNCTION("""COMPUTED_VALUE"""),2.6021505376344076)</f>
        <v>2.602150538</v>
      </c>
      <c r="T2363" s="82">
        <f>IFERROR(__xludf.DUMMYFUNCTION("""COMPUTED_VALUE"""),322.53026866274274)</f>
        <v>322.5302687</v>
      </c>
      <c r="U2363" s="82">
        <f>IFERROR(__xludf.DUMMYFUNCTION("""COMPUTED_VALUE"""),0.724747601785618)</f>
        <v>0.7247476018</v>
      </c>
      <c r="V2363" s="82">
        <f>IFERROR(__xludf.DUMMYFUNCTION("""COMPUTED_VALUE"""),0.4720397364782876)</f>
        <v>0.4720397365</v>
      </c>
      <c r="W2363" s="82">
        <f>IFERROR(__xludf.DUMMYFUNCTION("""COMPUTED_VALUE"""),1.1708829792546205)</f>
        <v>1.170882979</v>
      </c>
      <c r="X2363" s="82">
        <f>IFERROR(__xludf.DUMMYFUNCTION("""COMPUTED_VALUE"""),2.4027143212055484)</f>
        <v>2.402714321</v>
      </c>
      <c r="Y2363" s="82">
        <f>IFERROR(__xludf.DUMMYFUNCTION("""COMPUTED_VALUE"""),334.0772227664616)</f>
        <v>334.0772228</v>
      </c>
      <c r="Z2363" s="82">
        <f>IFERROR(__xludf.DUMMYFUNCTION("""COMPUTED_VALUE"""),0.7482864436874586)</f>
        <v>0.7482864437</v>
      </c>
      <c r="AA2363" s="82">
        <f>IFERROR(__xludf.DUMMYFUNCTION("""COMPUTED_VALUE"""),0.5325505385218646)</f>
        <v>0.5325505385</v>
      </c>
      <c r="AB2363" s="82">
        <f>IFERROR(__xludf.DUMMYFUNCTION("""COMPUTED_VALUE"""),1.2244972352072114)</f>
        <v>1.224497235</v>
      </c>
      <c r="AC2363" s="82">
        <f>IFERROR(__xludf.DUMMYFUNCTION("""COMPUTED_VALUE"""),2.40030278796109)</f>
        <v>2.400302788</v>
      </c>
      <c r="AD2363" s="82">
        <f>IFERROR(__xludf.DUMMYFUNCTION("""COMPUTED_VALUE"""),1.008845365971329)</f>
        <v>1.008845366</v>
      </c>
      <c r="AE2363" s="82">
        <f>IFERROR(__xludf.DUMMYFUNCTION("""COMPUTED_VALUE"""),0.9484034160202615)</f>
        <v>0.948403416</v>
      </c>
      <c r="AF2363" s="82">
        <f>IFERROR(__xludf.DUMMYFUNCTION("""COMPUTED_VALUE"""),1.1508827453402115)</f>
        <v>1.150882745</v>
      </c>
      <c r="AG2363" s="82">
        <f>IFERROR(__xludf.DUMMYFUNCTION("""COMPUTED_VALUE"""),1.0801009648155564)</f>
        <v>1.080100965</v>
      </c>
      <c r="AH2363" s="82">
        <f>IFERROR(__xludf.DUMMYFUNCTION("""COMPUTED_VALUE"""),0.8601065413026237)</f>
        <v>0.8601065413</v>
      </c>
      <c r="AI2363" s="82">
        <f>IFERROR(__xludf.DUMMYFUNCTION("""COMPUTED_VALUE"""),0.9768192137349427)</f>
        <v>0.9768192137</v>
      </c>
      <c r="AJ2363" s="82">
        <f>IFERROR(__xludf.DUMMYFUNCTION("""COMPUTED_VALUE"""),0.979206302451157)</f>
        <v>0.9792063025</v>
      </c>
      <c r="AK2363" s="82">
        <f>IFERROR(__xludf.DUMMYFUNCTION("""COMPUTED_VALUE"""),0.8656096488530025)</f>
        <v>0.8656096489</v>
      </c>
      <c r="AL2363" s="82">
        <f>IFERROR(__xludf.DUMMYFUNCTION("""COMPUTED_VALUE"""),0.9642571273717325)</f>
        <v>0.9642571274</v>
      </c>
      <c r="AM2363" s="82">
        <f>IFERROR(__xludf.DUMMYFUNCTION("""COMPUTED_VALUE"""),1.0830045480932553)</f>
        <v>1.083004548</v>
      </c>
      <c r="AN2363" s="82">
        <f>IFERROR(__xludf.DUMMYFUNCTION("""COMPUTED_VALUE"""),1.0253119500706014)</f>
        <v>1.02531195</v>
      </c>
      <c r="AO2363" s="82">
        <f>IFERROR(__xludf.DUMMYFUNCTION("""COMPUTED_VALUE"""),0.9358846768567965)</f>
        <v>0.9358846769</v>
      </c>
      <c r="AP2363" s="82">
        <f>IFERROR(__xludf.DUMMYFUNCTION("""COMPUTED_VALUE"""),1.1886680531965756)</f>
        <v>1.188668053</v>
      </c>
      <c r="AQ2363" s="82">
        <f>IFERROR(__xludf.DUMMYFUNCTION("""COMPUTED_VALUE"""),1.102883851471386)</f>
        <v>1.102883851</v>
      </c>
      <c r="AR2363" s="82">
        <f>IFERROR(__xludf.DUMMYFUNCTION("""COMPUTED_VALUE"""),0.8606677444137073)</f>
        <v>0.8606677444</v>
      </c>
      <c r="AS2363" s="82">
        <f>IFERROR(__xludf.DUMMYFUNCTION("""COMPUTED_VALUE"""),82.0)</f>
        <v>82</v>
      </c>
      <c r="AT2363" s="82">
        <f>IFERROR(__xludf.DUMMYFUNCTION("""COMPUTED_VALUE"""),0.5841818138991858)</f>
        <v>0.5841818139</v>
      </c>
      <c r="AU2363" s="82">
        <f>IFERROR(__xludf.DUMMYFUNCTION("""COMPUTED_VALUE"""),3.016682653218094)</f>
        <v>3.016682653</v>
      </c>
      <c r="AV2363" s="82">
        <f>IFERROR(__xludf.DUMMYFUNCTION("""COMPUTED_VALUE"""),50.357680268259244)</f>
        <v>50.35768027</v>
      </c>
      <c r="AW2363" s="82">
        <f t="shared" si="1"/>
        <v>2.023093845</v>
      </c>
      <c r="AX2363" s="83">
        <f t="array" ref="AX2363">IFERROR(DGET('SBV Import'!A:G,"SBV",{"RSC ID","Tier";B2363,A2363}))</f>
        <v>44.31301795</v>
      </c>
      <c r="AY2363" s="82">
        <f t="shared" si="2"/>
        <v>-2.438872473</v>
      </c>
      <c r="AZ2363" s="82">
        <v>4.461966318382942</v>
      </c>
      <c r="BA2363" s="84">
        <v>2300.0</v>
      </c>
      <c r="BB2363" s="84" t="b">
        <f>IFERROR(__xludf.DUMMYFUNCTION("iferror(if(A2363="""",,E2363&gt;=FILTER(Constants!$F$2:$F$10,Constants!$A$2:$A$10=A2363)))"),TRUE)</f>
        <v>1</v>
      </c>
    </row>
    <row r="2364">
      <c r="A2364" s="89" t="str">
        <f>IFERROR(__xludf.DUMMYFUNCTION("""COMPUTED_VALUE"""),"Challenger")</f>
        <v>Challenger</v>
      </c>
      <c r="B2364" s="87" t="str">
        <f>IFERROR(__xludf.DUMMYFUNCTION("""COMPUTED_VALUE"""),"RSC006643")</f>
        <v>RSC006643</v>
      </c>
      <c r="C2364" s="73" t="str">
        <f>IFERROR(__xludf.DUMMYFUNCTION("""COMPUTED_VALUE"""),"Napkhan")</f>
        <v>Napkhan</v>
      </c>
      <c r="D2364" s="73" t="str">
        <f>IFERROR(__xludf.DUMMYFUNCTION("""COMPUTED_VALUE"""),"Void")</f>
        <v>Void</v>
      </c>
      <c r="E2364" s="82">
        <f>IFERROR(__xludf.DUMMYFUNCTION("""COMPUTED_VALUE"""),36.0)</f>
        <v>36</v>
      </c>
      <c r="F2364" s="82">
        <f>IFERROR(__xludf.DUMMYFUNCTION("""COMPUTED_VALUE"""),24.0)</f>
        <v>24</v>
      </c>
      <c r="G2364" s="86">
        <f>IFERROR(__xludf.DUMMYFUNCTION("""COMPUTED_VALUE"""),12.0)</f>
        <v>12</v>
      </c>
      <c r="H2364" s="86">
        <f>IFERROR(__xludf.DUMMYFUNCTION("""COMPUTED_VALUE"""),0.6666666666666666)</f>
        <v>0.6666666667</v>
      </c>
      <c r="I2364" s="86">
        <f>IFERROR(__xludf.DUMMYFUNCTION("""COMPUTED_VALUE"""),0.3333333333333333)</f>
        <v>0.3333333333</v>
      </c>
      <c r="J2364" s="82">
        <f>IFERROR(__xludf.DUMMYFUNCTION("""COMPUTED_VALUE"""),323.22222222222223)</f>
        <v>323.2222222</v>
      </c>
      <c r="K2364" s="82">
        <f>IFERROR(__xludf.DUMMYFUNCTION("""COMPUTED_VALUE"""),0.8611111111111112)</f>
        <v>0.8611111111</v>
      </c>
      <c r="L2364" s="82">
        <f>IFERROR(__xludf.DUMMYFUNCTION("""COMPUTED_VALUE"""),0.2777777777777778)</f>
        <v>0.2777777778</v>
      </c>
      <c r="M2364" s="82">
        <f>IFERROR(__xludf.DUMMYFUNCTION("""COMPUTED_VALUE"""),1.2222222222222223)</f>
        <v>1.222222222</v>
      </c>
      <c r="N2364" s="82">
        <f>IFERROR(__xludf.DUMMYFUNCTION("""COMPUTED_VALUE"""),2.5833333333333335)</f>
        <v>2.583333333</v>
      </c>
      <c r="O2364" s="82">
        <f>IFERROR(__xludf.DUMMYFUNCTION("""COMPUTED_VALUE"""),314.43518518518505)</f>
        <v>314.4351852</v>
      </c>
      <c r="P2364" s="82">
        <f>IFERROR(__xludf.DUMMYFUNCTION("""COMPUTED_VALUE"""),0.6296296296296295)</f>
        <v>0.6296296296</v>
      </c>
      <c r="Q2364" s="82">
        <f>IFERROR(__xludf.DUMMYFUNCTION("""COMPUTED_VALUE"""),0.45370370370370366)</f>
        <v>0.4537037037</v>
      </c>
      <c r="R2364" s="82">
        <f>IFERROR(__xludf.DUMMYFUNCTION("""COMPUTED_VALUE"""),1.1296296296296298)</f>
        <v>1.12962963</v>
      </c>
      <c r="S2364" s="82">
        <f>IFERROR(__xludf.DUMMYFUNCTION("""COMPUTED_VALUE"""),2.148148148148148)</f>
        <v>2.148148148</v>
      </c>
      <c r="T2364" s="82">
        <f>IFERROR(__xludf.DUMMYFUNCTION("""COMPUTED_VALUE"""),332.07572617432675)</f>
        <v>332.0757262</v>
      </c>
      <c r="U2364" s="82">
        <f>IFERROR(__xludf.DUMMYFUNCTION("""COMPUTED_VALUE"""),0.7988504842524182)</f>
        <v>0.7988504843</v>
      </c>
      <c r="V2364" s="82">
        <f>IFERROR(__xludf.DUMMYFUNCTION("""COMPUTED_VALUE"""),0.5160258608086107)</f>
        <v>0.5160258608</v>
      </c>
      <c r="W2364" s="82">
        <f>IFERROR(__xludf.DUMMYFUNCTION("""COMPUTED_VALUE"""),1.1976392066948265)</f>
        <v>1.197639207</v>
      </c>
      <c r="X2364" s="82">
        <f>IFERROR(__xludf.DUMMYFUNCTION("""COMPUTED_VALUE"""),2.3643704430832138)</f>
        <v>2.364370443</v>
      </c>
      <c r="Y2364" s="82">
        <f>IFERROR(__xludf.DUMMYFUNCTION("""COMPUTED_VALUE"""),332.14237991948704)</f>
        <v>332.1423799</v>
      </c>
      <c r="Z2364" s="82">
        <f>IFERROR(__xludf.DUMMYFUNCTION("""COMPUTED_VALUE"""),0.7846304463507026)</f>
        <v>0.7846304464</v>
      </c>
      <c r="AA2364" s="82">
        <f>IFERROR(__xludf.DUMMYFUNCTION("""COMPUTED_VALUE"""),0.5230243852729618)</f>
        <v>0.5230243853</v>
      </c>
      <c r="AB2364" s="82">
        <f>IFERROR(__xludf.DUMMYFUNCTION("""COMPUTED_VALUE"""),1.1835554321391006)</f>
        <v>1.183555432</v>
      </c>
      <c r="AC2364" s="82">
        <f>IFERROR(__xludf.DUMMYFUNCTION("""COMPUTED_VALUE"""),2.428558704371798)</f>
        <v>2.428558704</v>
      </c>
      <c r="AD2364" s="82">
        <f>IFERROR(__xludf.DUMMYFUNCTION("""COMPUTED_VALUE"""),0.9731435726466852)</f>
        <v>0.9731435726</v>
      </c>
      <c r="AE2364" s="82">
        <f>IFERROR(__xludf.DUMMYFUNCTION("""COMPUTED_VALUE"""),1.0974734859144433)</f>
        <v>1.097473486</v>
      </c>
      <c r="AF2364" s="82">
        <f>IFERROR(__xludf.DUMMYFUNCTION("""COMPUTED_VALUE"""),0.5310990951842676)</f>
        <v>0.5310990952</v>
      </c>
      <c r="AG2364" s="82">
        <f>IFERROR(__xludf.DUMMYFUNCTION("""COMPUTED_VALUE"""),1.0326700288242834)</f>
        <v>1.032670029</v>
      </c>
      <c r="AH2364" s="82">
        <f>IFERROR(__xludf.DUMMYFUNCTION("""COMPUTED_VALUE"""),1.0637310634834218)</f>
        <v>1.063731063</v>
      </c>
      <c r="AI2364" s="82">
        <f>IFERROR(__xludf.DUMMYFUNCTION("""COMPUTED_VALUE"""),0.9468779570480225)</f>
        <v>0.946877957</v>
      </c>
      <c r="AJ2364" s="82">
        <f>IFERROR(__xludf.DUMMYFUNCTION("""COMPUTED_VALUE"""),0.7881695536791853)</f>
        <v>0.7881695537</v>
      </c>
      <c r="AK2364" s="82">
        <f>IFERROR(__xludf.DUMMYFUNCTION("""COMPUTED_VALUE"""),0.8792266786644212)</f>
        <v>0.8792266787</v>
      </c>
      <c r="AL2364" s="82">
        <f>IFERROR(__xludf.DUMMYFUNCTION("""COMPUTED_VALUE"""),0.9432136350538444)</f>
        <v>0.9432136351</v>
      </c>
      <c r="AM2364" s="82">
        <f>IFERROR(__xludf.DUMMYFUNCTION("""COMPUTED_VALUE"""),0.9085497386555446)</f>
        <v>0.9085497387</v>
      </c>
      <c r="AN2364" s="82">
        <f>IFERROR(__xludf.DUMMYFUNCTION("""COMPUTED_VALUE"""),0.9832993698466134)</f>
        <v>0.9832993698</v>
      </c>
      <c r="AO2364" s="82">
        <f>IFERROR(__xludf.DUMMYFUNCTION("""COMPUTED_VALUE"""),1.135587341489118)</f>
        <v>1.135587341</v>
      </c>
      <c r="AP2364" s="82">
        <f>IFERROR(__xludf.DUMMYFUNCTION("""COMPUTED_VALUE"""),0.5387238252791497)</f>
        <v>0.5387238253</v>
      </c>
      <c r="AQ2364" s="82">
        <f>IFERROR(__xludf.DUMMYFUNCTION("""COMPUTED_VALUE"""),1.0191961879451021)</f>
        <v>1.019196188</v>
      </c>
      <c r="AR2364" s="82">
        <f>IFERROR(__xludf.DUMMYFUNCTION("""COMPUTED_VALUE"""),1.076955341642673)</f>
        <v>1.076955342</v>
      </c>
      <c r="AS2364" s="82">
        <f>IFERROR(__xludf.DUMMYFUNCTION("""COMPUTED_VALUE"""),94.0)</f>
        <v>94</v>
      </c>
      <c r="AT2364" s="82">
        <f>IFERROR(__xludf.DUMMYFUNCTION("""COMPUTED_VALUE"""),0.6221246637083208)</f>
        <v>0.6221246637</v>
      </c>
      <c r="AU2364" s="82">
        <f>IFERROR(__xludf.DUMMYFUNCTION("""COMPUTED_VALUE"""),3.006326708380993)</f>
        <v>3.006326708</v>
      </c>
      <c r="AV2364" s="82">
        <f>IFERROR(__xludf.DUMMYFUNCTION("""COMPUTED_VALUE"""),50.083846742174316)</f>
        <v>50.08384674</v>
      </c>
      <c r="AW2364" s="82">
        <f t="shared" si="1"/>
        <v>2.005366352</v>
      </c>
      <c r="AX2364" s="83">
        <f t="array" ref="AX2364">IFERROR(DGET('SBV Import'!A:G,"SBV",{"RSC ID","Tier";B2364,A2364}))</f>
        <v>50.35672585</v>
      </c>
      <c r="AY2364" s="82">
        <f t="shared" si="2"/>
        <v>2.023031517</v>
      </c>
      <c r="AZ2364" s="82">
        <v>0.017665165308571318</v>
      </c>
      <c r="BA2364" s="84">
        <v>2300.0</v>
      </c>
      <c r="BB2364" s="84" t="b">
        <f>IFERROR(__xludf.DUMMYFUNCTION("iferror(if(A2364="""",,E2364&gt;=FILTER(Constants!$F$2:$F$10,Constants!$A$2:$A$10=A2364)))"),TRUE)</f>
        <v>1</v>
      </c>
    </row>
    <row r="2365">
      <c r="A2365" s="89" t="str">
        <f>IFERROR(__xludf.DUMMYFUNCTION("""COMPUTED_VALUE"""),"Challenger")</f>
        <v>Challenger</v>
      </c>
      <c r="B2365" s="87" t="str">
        <f>IFERROR(__xludf.DUMMYFUNCTION("""COMPUTED_VALUE"""),"RSC007939")</f>
        <v>RSC007939</v>
      </c>
      <c r="C2365" s="73" t="str">
        <f>IFERROR(__xludf.DUMMYFUNCTION("""COMPUTED_VALUE"""),"bryan_rown_")</f>
        <v>bryan_rown_</v>
      </c>
      <c r="D2365" s="73" t="str">
        <f>IFERROR(__xludf.DUMMYFUNCTION("""COMPUTED_VALUE"""),"Metal")</f>
        <v>Metal</v>
      </c>
      <c r="E2365" s="82">
        <f>IFERROR(__xludf.DUMMYFUNCTION("""COMPUTED_VALUE"""),25.0)</f>
        <v>25</v>
      </c>
      <c r="F2365" s="82">
        <f>IFERROR(__xludf.DUMMYFUNCTION("""COMPUTED_VALUE"""),12.0)</f>
        <v>12</v>
      </c>
      <c r="G2365" s="86">
        <f>IFERROR(__xludf.DUMMYFUNCTION("""COMPUTED_VALUE"""),13.0)</f>
        <v>13</v>
      </c>
      <c r="H2365" s="86">
        <f>IFERROR(__xludf.DUMMYFUNCTION("""COMPUTED_VALUE"""),0.48)</f>
        <v>0.48</v>
      </c>
      <c r="I2365" s="86">
        <f>IFERROR(__xludf.DUMMYFUNCTION("""COMPUTED_VALUE"""),0.44)</f>
        <v>0.44</v>
      </c>
      <c r="J2365" s="82">
        <f>IFERROR(__xludf.DUMMYFUNCTION("""COMPUTED_VALUE"""),331.2)</f>
        <v>331.2</v>
      </c>
      <c r="K2365" s="82">
        <f>IFERROR(__xludf.DUMMYFUNCTION("""COMPUTED_VALUE"""),0.88)</f>
        <v>0.88</v>
      </c>
      <c r="L2365" s="82">
        <f>IFERROR(__xludf.DUMMYFUNCTION("""COMPUTED_VALUE"""),0.6)</f>
        <v>0.6</v>
      </c>
      <c r="M2365" s="82">
        <f>IFERROR(__xludf.DUMMYFUNCTION("""COMPUTED_VALUE"""),1.12)</f>
        <v>1.12</v>
      </c>
      <c r="N2365" s="82">
        <f>IFERROR(__xludf.DUMMYFUNCTION("""COMPUTED_VALUE"""),2.0)</f>
        <v>2</v>
      </c>
      <c r="O2365" s="82">
        <f>IFERROR(__xludf.DUMMYFUNCTION("""COMPUTED_VALUE"""),322.5866666666667)</f>
        <v>322.5866667</v>
      </c>
      <c r="P2365" s="82">
        <f>IFERROR(__xludf.DUMMYFUNCTION("""COMPUTED_VALUE"""),0.7866666666666667)</f>
        <v>0.7866666667</v>
      </c>
      <c r="Q2365" s="82">
        <f>IFERROR(__xludf.DUMMYFUNCTION("""COMPUTED_VALUE"""),0.4933333333333333)</f>
        <v>0.4933333333</v>
      </c>
      <c r="R2365" s="82">
        <f>IFERROR(__xludf.DUMMYFUNCTION("""COMPUTED_VALUE"""),1.04)</f>
        <v>1.04</v>
      </c>
      <c r="S2365" s="82">
        <f>IFERROR(__xludf.DUMMYFUNCTION("""COMPUTED_VALUE"""),2.4000000000000004)</f>
        <v>2.4</v>
      </c>
      <c r="T2365" s="82">
        <f>IFERROR(__xludf.DUMMYFUNCTION("""COMPUTED_VALUE"""),325.85967483443324)</f>
        <v>325.8596748</v>
      </c>
      <c r="U2365" s="82">
        <f>IFERROR(__xludf.DUMMYFUNCTION("""COMPUTED_VALUE"""),0.7236113614557148)</f>
        <v>0.7236113615</v>
      </c>
      <c r="V2365" s="82">
        <f>IFERROR(__xludf.DUMMYFUNCTION("""COMPUTED_VALUE"""),0.4988205122782103)</f>
        <v>0.4988205123</v>
      </c>
      <c r="W2365" s="82">
        <f>IFERROR(__xludf.DUMMYFUNCTION("""COMPUTED_VALUE"""),1.2415519367168584)</f>
        <v>1.241551937</v>
      </c>
      <c r="X2365" s="82">
        <f>IFERROR(__xludf.DUMMYFUNCTION("""COMPUTED_VALUE"""),2.2957057587007204)</f>
        <v>2.295705759</v>
      </c>
      <c r="Y2365" s="82">
        <f>IFERROR(__xludf.DUMMYFUNCTION("""COMPUTED_VALUE"""),346.44341766676416)</f>
        <v>346.4434177</v>
      </c>
      <c r="Z2365" s="82">
        <f>IFERROR(__xludf.DUMMYFUNCTION("""COMPUTED_VALUE"""),0.8466167747278134)</f>
        <v>0.8466167747</v>
      </c>
      <c r="AA2365" s="82">
        <f>IFERROR(__xludf.DUMMYFUNCTION("""COMPUTED_VALUE"""),0.6079816374658626)</f>
        <v>0.6079816375</v>
      </c>
      <c r="AB2365" s="82">
        <f>IFERROR(__xludf.DUMMYFUNCTION("""COMPUTED_VALUE"""),1.1668701817156966)</f>
        <v>1.166870182</v>
      </c>
      <c r="AC2365" s="82">
        <f>IFERROR(__xludf.DUMMYFUNCTION("""COMPUTED_VALUE"""),2.5685094382628453)</f>
        <v>2.568509438</v>
      </c>
      <c r="AD2365" s="82">
        <f>IFERROR(__xludf.DUMMYFUNCTION("""COMPUTED_VALUE"""),0.9560002676066819)</f>
        <v>0.9560002676</v>
      </c>
      <c r="AE2365" s="82">
        <f>IFERROR(__xludf.DUMMYFUNCTION("""COMPUTED_VALUE"""),1.0394313298161606)</f>
        <v>1.03943133</v>
      </c>
      <c r="AF2365" s="82">
        <f>IFERROR(__xludf.DUMMYFUNCTION("""COMPUTED_VALUE"""),0.9868719103110892)</f>
        <v>0.9868719103</v>
      </c>
      <c r="AG2365" s="82">
        <f>IFERROR(__xludf.DUMMYFUNCTION("""COMPUTED_VALUE"""),0.9598325653957656)</f>
        <v>0.9598325654</v>
      </c>
      <c r="AH2365" s="82">
        <f>IFERROR(__xludf.DUMMYFUNCTION("""COMPUTED_VALUE"""),0.7786617289413801)</f>
        <v>0.7786617289</v>
      </c>
      <c r="AI2365" s="82">
        <f>IFERROR(__xludf.DUMMYFUNCTION("""COMPUTED_VALUE"""),0.9899557741551497)</f>
        <v>0.9899557742</v>
      </c>
      <c r="AJ2365" s="82">
        <f>IFERROR(__xludf.DUMMYFUNCTION("""COMPUTED_VALUE"""),1.0871397390501185)</f>
        <v>1.087139739</v>
      </c>
      <c r="AK2365" s="82">
        <f>IFERROR(__xludf.DUMMYFUNCTION("""COMPUTED_VALUE"""),0.9889996926553482)</f>
        <v>0.9889996927</v>
      </c>
      <c r="AL2365" s="82">
        <f>IFERROR(__xludf.DUMMYFUNCTION("""COMPUTED_VALUE"""),0.8376612924870148)</f>
        <v>0.8376612925</v>
      </c>
      <c r="AM2365" s="82">
        <f>IFERROR(__xludf.DUMMYFUNCTION("""COMPUTED_VALUE"""),1.0454301431723143)</f>
        <v>1.045430143</v>
      </c>
      <c r="AN2365" s="82">
        <f>IFERROR(__xludf.DUMMYFUNCTION("""COMPUTED_VALUE"""),1.0075691858503901)</f>
        <v>1.007569186</v>
      </c>
      <c r="AO2365" s="82">
        <f>IFERROR(__xludf.DUMMYFUNCTION("""COMPUTED_VALUE"""),1.1604969993024277)</f>
        <v>1.160496999</v>
      </c>
      <c r="AP2365" s="82">
        <f>IFERROR(__xludf.DUMMYFUNCTION("""COMPUTED_VALUE"""),1.1636434626029635)</f>
        <v>1.163643463</v>
      </c>
      <c r="AQ2365" s="82">
        <f>IFERROR(__xludf.DUMMYFUNCTION("""COMPUTED_VALUE"""),0.9339543249533299)</f>
        <v>0.933954325</v>
      </c>
      <c r="AR2365" s="82">
        <f>IFERROR(__xludf.DUMMYFUNCTION("""COMPUTED_VALUE"""),0.833771877400779)</f>
        <v>0.8337718774</v>
      </c>
      <c r="AS2365" s="82">
        <f>IFERROR(__xludf.DUMMYFUNCTION("""COMPUTED_VALUE"""),63.0)</f>
        <v>63</v>
      </c>
      <c r="AT2365" s="82">
        <f>IFERROR(__xludf.DUMMYFUNCTION("""COMPUTED_VALUE"""),0.5258235383964952)</f>
        <v>0.5258235384</v>
      </c>
      <c r="AU2365" s="82">
        <f>IFERROR(__xludf.DUMMYFUNCTION("""COMPUTED_VALUE"""),2.93981405201086)</f>
        <v>2.939814052</v>
      </c>
      <c r="AV2365" s="82">
        <f>IFERROR(__xludf.DUMMYFUNCTION("""COMPUTED_VALUE"""),48.325108596152404)</f>
        <v>48.3251086</v>
      </c>
      <c r="AW2365" s="82">
        <f t="shared" si="1"/>
        <v>-2.112857967</v>
      </c>
      <c r="AX2365" s="83">
        <f t="array" ref="AX2365">IFERROR(DGET('SBV Import'!A:G,"SBV",{"RSC ID","Tier";B2365,A2365}))</f>
        <v>47.42675678</v>
      </c>
      <c r="AY2365" s="82">
        <f t="shared" si="2"/>
        <v>-2.178604757</v>
      </c>
      <c r="AZ2365" s="82">
        <v>0.06574678971918413</v>
      </c>
      <c r="BA2365" s="84">
        <v>2300.0</v>
      </c>
      <c r="BB2365" s="84" t="b">
        <f>IFERROR(__xludf.DUMMYFUNCTION("iferror(if(A2365="""",,E2365&gt;=FILTER(Constants!$F$2:$F$10,Constants!$A$2:$A$10=A2365)))"),TRUE)</f>
        <v>1</v>
      </c>
    </row>
    <row r="2366">
      <c r="A2366" s="89" t="str">
        <f>IFERROR(__xludf.DUMMYFUNCTION("""COMPUTED_VALUE"""),"Challenger")</f>
        <v>Challenger</v>
      </c>
      <c r="B2366" s="87" t="str">
        <f>IFERROR(__xludf.DUMMYFUNCTION("""COMPUTED_VALUE"""),"RSC003978")</f>
        <v>RSC003978</v>
      </c>
      <c r="C2366" s="73" t="str">
        <f>IFERROR(__xludf.DUMMYFUNCTION("""COMPUTED_VALUE"""),"thenio")</f>
        <v>thenio</v>
      </c>
      <c r="D2366" s="73" t="str">
        <f>IFERROR(__xludf.DUMMYFUNCTION("""COMPUTED_VALUE"""),"Quarter")</f>
        <v>Quarter</v>
      </c>
      <c r="E2366" s="82">
        <f>IFERROR(__xludf.DUMMYFUNCTION("""COMPUTED_VALUE"""),24.0)</f>
        <v>24</v>
      </c>
      <c r="F2366" s="82">
        <f>IFERROR(__xludf.DUMMYFUNCTION("""COMPUTED_VALUE"""),6.0)</f>
        <v>6</v>
      </c>
      <c r="G2366" s="86">
        <f>IFERROR(__xludf.DUMMYFUNCTION("""COMPUTED_VALUE"""),18.0)</f>
        <v>18</v>
      </c>
      <c r="H2366" s="86">
        <f>IFERROR(__xludf.DUMMYFUNCTION("""COMPUTED_VALUE"""),0.25)</f>
        <v>0.25</v>
      </c>
      <c r="I2366" s="86">
        <f>IFERROR(__xludf.DUMMYFUNCTION("""COMPUTED_VALUE"""),0.4107142857142857)</f>
        <v>0.4107142857</v>
      </c>
      <c r="J2366" s="82">
        <f>IFERROR(__xludf.DUMMYFUNCTION("""COMPUTED_VALUE"""),336.5)</f>
        <v>336.5</v>
      </c>
      <c r="K2366" s="82">
        <f>IFERROR(__xludf.DUMMYFUNCTION("""COMPUTED_VALUE"""),0.9583333333333334)</f>
        <v>0.9583333333</v>
      </c>
      <c r="L2366" s="82">
        <f>IFERROR(__xludf.DUMMYFUNCTION("""COMPUTED_VALUE"""),0.3333333333333333)</f>
        <v>0.3333333333</v>
      </c>
      <c r="M2366" s="82">
        <f>IFERROR(__xludf.DUMMYFUNCTION("""COMPUTED_VALUE"""),1.1666666666666667)</f>
        <v>1.166666667</v>
      </c>
      <c r="N2366" s="82">
        <f>IFERROR(__xludf.DUMMYFUNCTION("""COMPUTED_VALUE"""),2.3333333333333335)</f>
        <v>2.333333333</v>
      </c>
      <c r="O2366" s="82">
        <f>IFERROR(__xludf.DUMMYFUNCTION("""COMPUTED_VALUE"""),374.2222222222222)</f>
        <v>374.2222222</v>
      </c>
      <c r="P2366" s="82">
        <f>IFERROR(__xludf.DUMMYFUNCTION("""COMPUTED_VALUE"""),1.0555555555555556)</f>
        <v>1.055555556</v>
      </c>
      <c r="Q2366" s="82">
        <f>IFERROR(__xludf.DUMMYFUNCTION("""COMPUTED_VALUE"""),0.7499999999999997)</f>
        <v>0.75</v>
      </c>
      <c r="R2366" s="82">
        <f>IFERROR(__xludf.DUMMYFUNCTION("""COMPUTED_VALUE"""),0.9027777777777777)</f>
        <v>0.9027777778</v>
      </c>
      <c r="S2366" s="82">
        <f>IFERROR(__xludf.DUMMYFUNCTION("""COMPUTED_VALUE"""),2.986111111111111)</f>
        <v>2.986111111</v>
      </c>
      <c r="T2366" s="82">
        <f>IFERROR(__xludf.DUMMYFUNCTION("""COMPUTED_VALUE"""),344.39726969487816)</f>
        <v>344.3972697</v>
      </c>
      <c r="U2366" s="82">
        <f>IFERROR(__xludf.DUMMYFUNCTION("""COMPUTED_VALUE"""),0.8401501200704021)</f>
        <v>0.8401501201</v>
      </c>
      <c r="V2366" s="82">
        <f>IFERROR(__xludf.DUMMYFUNCTION("""COMPUTED_VALUE"""),0.6131683581015196)</f>
        <v>0.6131683581</v>
      </c>
      <c r="W2366" s="82">
        <f>IFERROR(__xludf.DUMMYFUNCTION("""COMPUTED_VALUE"""),1.1274054131159368)</f>
        <v>1.127405413</v>
      </c>
      <c r="X2366" s="82">
        <f>IFERROR(__xludf.DUMMYFUNCTION("""COMPUTED_VALUE"""),2.6286962869794794)</f>
        <v>2.628696287</v>
      </c>
      <c r="Y2366" s="82">
        <f>IFERROR(__xludf.DUMMYFUNCTION("""COMPUTED_VALUE"""),324.01355766707184)</f>
        <v>324.0135577</v>
      </c>
      <c r="Z2366" s="82">
        <f>IFERROR(__xludf.DUMMYFUNCTION("""COMPUTED_VALUE"""),0.6982278839860364)</f>
        <v>0.698227884</v>
      </c>
      <c r="AA2366" s="82">
        <f>IFERROR(__xludf.DUMMYFUNCTION("""COMPUTED_VALUE"""),0.4702840954102489)</f>
        <v>0.4702840954</v>
      </c>
      <c r="AB2366" s="82">
        <f>IFERROR(__xludf.DUMMYFUNCTION("""COMPUTED_VALUE"""),1.2485693205028412)</f>
        <v>1.248569321</v>
      </c>
      <c r="AC2366" s="82">
        <f>IFERROR(__xludf.DUMMYFUNCTION("""COMPUTED_VALUE"""),2.2221209105669484)</f>
        <v>2.222120911</v>
      </c>
      <c r="AD2366" s="82">
        <f>IFERROR(__xludf.DUMMYFUNCTION("""COMPUTED_VALUE"""),1.0385367897035906)</f>
        <v>1.03853679</v>
      </c>
      <c r="AE2366" s="82">
        <f>IFERROR(__xludf.DUMMYFUNCTION("""COMPUTED_VALUE"""),1.3725222886579802)</f>
        <v>1.372522289</v>
      </c>
      <c r="AF2366" s="82">
        <f>IFERROR(__xludf.DUMMYFUNCTION("""COMPUTED_VALUE"""),0.7087914232833079)</f>
        <v>0.7087914233</v>
      </c>
      <c r="AG2366" s="82">
        <f>IFERROR(__xludf.DUMMYFUNCTION("""COMPUTED_VALUE"""),0.9344027980735667)</f>
        <v>0.9344027981</v>
      </c>
      <c r="AH2366" s="82">
        <f>IFERROR(__xludf.DUMMYFUNCTION("""COMPUTED_VALUE"""),1.0500478719396105)</f>
        <v>1.050047872</v>
      </c>
      <c r="AI2366" s="82">
        <f>IFERROR(__xludf.DUMMYFUNCTION("""COMPUTED_VALUE"""),1.0866004325579226)</f>
        <v>1.086600433</v>
      </c>
      <c r="AJ2366" s="82">
        <f>IFERROR(__xludf.DUMMYFUNCTION("""COMPUTED_VALUE"""),1.256389221806102)</f>
        <v>1.256389222</v>
      </c>
      <c r="AK2366" s="82">
        <f>IFERROR(__xludf.DUMMYFUNCTION("""COMPUTED_VALUE"""),1.223155092872267)</f>
        <v>1.223155093</v>
      </c>
      <c r="AL2366" s="82">
        <f>IFERROR(__xludf.DUMMYFUNCTION("""COMPUTED_VALUE"""),0.8007570012305241)</f>
        <v>0.8007570012</v>
      </c>
      <c r="AM2366" s="82">
        <f>IFERROR(__xludf.DUMMYFUNCTION("""COMPUTED_VALUE"""),1.1359665724420076)</f>
        <v>1.135966572</v>
      </c>
      <c r="AN2366" s="82">
        <f>IFERROR(__xludf.DUMMYFUNCTION("""COMPUTED_VALUE"""),1.0236927265659912)</f>
        <v>1.023692727</v>
      </c>
      <c r="AO2366" s="82">
        <f>IFERROR(__xludf.DUMMYFUNCTION("""COMPUTED_VALUE"""),1.2637988155282118)</f>
        <v>1.263798816</v>
      </c>
      <c r="AP2366" s="82">
        <f>IFERROR(__xludf.DUMMYFUNCTION("""COMPUTED_VALUE"""),0.6464685903349797)</f>
        <v>0.6464685903</v>
      </c>
      <c r="AQ2366" s="82">
        <f>IFERROR(__xludf.DUMMYFUNCTION("""COMPUTED_VALUE"""),0.972869088493052)</f>
        <v>0.9728690885</v>
      </c>
      <c r="AR2366" s="82">
        <f>IFERROR(__xludf.DUMMYFUNCTION("""COMPUTED_VALUE"""),0.9727338569675755)</f>
        <v>0.972733857</v>
      </c>
      <c r="AS2366" s="82">
        <f>IFERROR(__xludf.DUMMYFUNCTION("""COMPUTED_VALUE"""),49.0)</f>
        <v>49</v>
      </c>
      <c r="AT2366" s="82">
        <f>IFERROR(__xludf.DUMMYFUNCTION("""COMPUTED_VALUE"""),0.33074702084228863)</f>
        <v>0.3307470208</v>
      </c>
      <c r="AU2366" s="82">
        <f>IFERROR(__xludf.DUMMYFUNCTION("""COMPUTED_VALUE"""),2.92692014923038)</f>
        <v>2.926920149</v>
      </c>
      <c r="AV2366" s="82">
        <f>IFERROR(__xludf.DUMMYFUNCTION("""COMPUTED_VALUE"""),47.98416598599811)</f>
        <v>47.98416599</v>
      </c>
      <c r="AW2366" s="82">
        <f t="shared" si="1"/>
        <v>-2.137360612</v>
      </c>
      <c r="AX2366" s="83">
        <f t="array" ref="AX2366">IFERROR(DGET('SBV Import'!A:G,"SBV",{"RSC ID","Tier";B2366,A2366}))</f>
        <v>45.81360064</v>
      </c>
      <c r="AY2366" s="82">
        <f t="shared" si="2"/>
        <v>-2.306775048</v>
      </c>
      <c r="AZ2366" s="82">
        <v>0.16941443638713505</v>
      </c>
      <c r="BA2366" s="84">
        <v>2300.0</v>
      </c>
      <c r="BB2366" s="84" t="b">
        <f>IFERROR(__xludf.DUMMYFUNCTION("iferror(if(A2366="""",,E2366&gt;=FILTER(Constants!$F$2:$F$10,Constants!$A$2:$A$10=A2366)))"),TRUE)</f>
        <v>1</v>
      </c>
    </row>
    <row r="2367">
      <c r="A2367" s="89" t="str">
        <f>IFERROR(__xludf.DUMMYFUNCTION("""COMPUTED_VALUE"""),"Challenger")</f>
        <v>Challenger</v>
      </c>
      <c r="B2367" s="87" t="str">
        <f>IFERROR(__xludf.DUMMYFUNCTION("""COMPUTED_VALUE"""),"RSC006908")</f>
        <v>RSC006908</v>
      </c>
      <c r="C2367" s="73" t="str">
        <f>IFERROR(__xludf.DUMMYFUNCTION("""COMPUTED_VALUE"""),"OvrSizedFrog")</f>
        <v>OvrSizedFrog</v>
      </c>
      <c r="D2367" s="73" t="str">
        <f>IFERROR(__xludf.DUMMYFUNCTION("""COMPUTED_VALUE"""),"Toucans")</f>
        <v>Toucans</v>
      </c>
      <c r="E2367" s="82">
        <f>IFERROR(__xludf.DUMMYFUNCTION("""COMPUTED_VALUE"""),21.0)</f>
        <v>21</v>
      </c>
      <c r="F2367" s="82">
        <f>IFERROR(__xludf.DUMMYFUNCTION("""COMPUTED_VALUE"""),12.0)</f>
        <v>12</v>
      </c>
      <c r="G2367" s="86">
        <f>IFERROR(__xludf.DUMMYFUNCTION("""COMPUTED_VALUE"""),9.0)</f>
        <v>9</v>
      </c>
      <c r="H2367" s="86">
        <f>IFERROR(__xludf.DUMMYFUNCTION("""COMPUTED_VALUE"""),0.5714285714285714)</f>
        <v>0.5714285714</v>
      </c>
      <c r="I2367" s="86">
        <f>IFERROR(__xludf.DUMMYFUNCTION("""COMPUTED_VALUE"""),0.4347826086956521)</f>
        <v>0.4347826087</v>
      </c>
      <c r="J2367" s="82">
        <f>IFERROR(__xludf.DUMMYFUNCTION("""COMPUTED_VALUE"""),305.4761904761905)</f>
        <v>305.4761905</v>
      </c>
      <c r="K2367" s="82">
        <f>IFERROR(__xludf.DUMMYFUNCTION("""COMPUTED_VALUE"""),0.9523809523809523)</f>
        <v>0.9523809524</v>
      </c>
      <c r="L2367" s="82">
        <f>IFERROR(__xludf.DUMMYFUNCTION("""COMPUTED_VALUE"""),0.2857142857142857)</f>
        <v>0.2857142857</v>
      </c>
      <c r="M2367" s="82">
        <f>IFERROR(__xludf.DUMMYFUNCTION("""COMPUTED_VALUE"""),1.0)</f>
        <v>1</v>
      </c>
      <c r="N2367" s="82">
        <f>IFERROR(__xludf.DUMMYFUNCTION("""COMPUTED_VALUE"""),2.1904761904761907)</f>
        <v>2.19047619</v>
      </c>
      <c r="O2367" s="82">
        <f>IFERROR(__xludf.DUMMYFUNCTION("""COMPUTED_VALUE"""),322.9206349206349)</f>
        <v>322.9206349</v>
      </c>
      <c r="P2367" s="82">
        <f>IFERROR(__xludf.DUMMYFUNCTION("""COMPUTED_VALUE"""),0.73015873015873)</f>
        <v>0.7301587302</v>
      </c>
      <c r="Q2367" s="82">
        <f>IFERROR(__xludf.DUMMYFUNCTION("""COMPUTED_VALUE"""),0.5238095238095238)</f>
        <v>0.5238095238</v>
      </c>
      <c r="R2367" s="82">
        <f>IFERROR(__xludf.DUMMYFUNCTION("""COMPUTED_VALUE"""),1.1904761904761902)</f>
        <v>1.19047619</v>
      </c>
      <c r="S2367" s="82">
        <f>IFERROR(__xludf.DUMMYFUNCTION("""COMPUTED_VALUE"""),2.3333333333333335)</f>
        <v>2.333333333</v>
      </c>
      <c r="T2367" s="82">
        <f>IFERROR(__xludf.DUMMYFUNCTION("""COMPUTED_VALUE"""),330.1844049872668)</f>
        <v>330.184405</v>
      </c>
      <c r="U2367" s="82">
        <f>IFERROR(__xludf.DUMMYFUNCTION("""COMPUTED_VALUE"""),0.747338102819572)</f>
        <v>0.7473381028</v>
      </c>
      <c r="V2367" s="82">
        <f>IFERROR(__xludf.DUMMYFUNCTION("""COMPUTED_VALUE"""),0.5135262757873066)</f>
        <v>0.5135262758</v>
      </c>
      <c r="W2367" s="82">
        <f>IFERROR(__xludf.DUMMYFUNCTION("""COMPUTED_VALUE"""),1.14525285911384)</f>
        <v>1.145252859</v>
      </c>
      <c r="X2367" s="82">
        <f>IFERROR(__xludf.DUMMYFUNCTION("""COMPUTED_VALUE"""),2.4882979270435452)</f>
        <v>2.488297927</v>
      </c>
      <c r="Y2367" s="82">
        <f>IFERROR(__xludf.DUMMYFUNCTION("""COMPUTED_VALUE"""),320.51901614082084)</f>
        <v>320.5190161</v>
      </c>
      <c r="Z2367" s="82">
        <f>IFERROR(__xludf.DUMMYFUNCTION("""COMPUTED_VALUE"""),0.6852053848117041)</f>
        <v>0.6852053848</v>
      </c>
      <c r="AA2367" s="82">
        <f>IFERROR(__xludf.DUMMYFUNCTION("""COMPUTED_VALUE"""),0.4764438717279865)</f>
        <v>0.4764438717</v>
      </c>
      <c r="AB2367" s="82">
        <f>IFERROR(__xludf.DUMMYFUNCTION("""COMPUTED_VALUE"""),1.1943034893011468)</f>
        <v>1.194303489</v>
      </c>
      <c r="AC2367" s="82">
        <f>IFERROR(__xludf.DUMMYFUNCTION("""COMPUTED_VALUE"""),2.255892699342204)</f>
        <v>2.255892699</v>
      </c>
      <c r="AD2367" s="82">
        <f>IFERROR(__xludf.DUMMYFUNCTION("""COMPUTED_VALUE"""),0.9530672911524811)</f>
        <v>0.9530672912</v>
      </c>
      <c r="AE2367" s="82">
        <f>IFERROR(__xludf.DUMMYFUNCTION("""COMPUTED_VALUE"""),1.3899204143625763)</f>
        <v>1.389920414</v>
      </c>
      <c r="AF2367" s="82">
        <f>IFERROR(__xludf.DUMMYFUNCTION("""COMPUTED_VALUE"""),0.5996808914301809)</f>
        <v>0.5996808914</v>
      </c>
      <c r="AG2367" s="82">
        <f>IFERROR(__xludf.DUMMYFUNCTION("""COMPUTED_VALUE"""),0.8373081121827379)</f>
        <v>0.8373081122</v>
      </c>
      <c r="AH2367" s="82">
        <f>IFERROR(__xludf.DUMMYFUNCTION("""COMPUTED_VALUE"""),0.9710019413223474)</f>
        <v>0.9710019413</v>
      </c>
      <c r="AI2367" s="82">
        <f>IFERROR(__xludf.DUMMYFUNCTION("""COMPUTED_VALUE"""),0.9780008687360263)</f>
        <v>0.9780008687</v>
      </c>
      <c r="AJ2367" s="82">
        <f>IFERROR(__xludf.DUMMYFUNCTION("""COMPUTED_VALUE"""),0.9770125829313033)</f>
        <v>0.9770125829</v>
      </c>
      <c r="AK2367" s="82">
        <f>IFERROR(__xludf.DUMMYFUNCTION("""COMPUTED_VALUE"""),1.0200247747916142)</f>
        <v>1.020024775</v>
      </c>
      <c r="AL2367" s="82">
        <f>IFERROR(__xludf.DUMMYFUNCTION("""COMPUTED_VALUE"""),1.0394876389108887)</f>
        <v>1.039487639</v>
      </c>
      <c r="AM2367" s="82">
        <f>IFERROR(__xludf.DUMMYFUNCTION("""COMPUTED_VALUE"""),0.9377226528921592)</f>
        <v>0.9377226529</v>
      </c>
      <c r="AN2367" s="82">
        <f>IFERROR(__xludf.DUMMYFUNCTION("""COMPUTED_VALUE"""),0.9293127914697281)</f>
        <v>0.9293127915</v>
      </c>
      <c r="AO2367" s="82">
        <f>IFERROR(__xludf.DUMMYFUNCTION("""COMPUTED_VALUE"""),1.2559491334441857)</f>
        <v>1.255949133</v>
      </c>
      <c r="AP2367" s="82">
        <f>IFERROR(__xludf.DUMMYFUNCTION("""COMPUTED_VALUE"""),0.5541159345728397)</f>
        <v>0.5541159346</v>
      </c>
      <c r="AQ2367" s="82">
        <f>IFERROR(__xludf.DUMMYFUNCTION("""COMPUTED_VALUE"""),0.8338877901369016)</f>
        <v>0.8338877901</v>
      </c>
      <c r="AR2367" s="82">
        <f>IFERROR(__xludf.DUMMYFUNCTION("""COMPUTED_VALUE"""),0.91317872286752)</f>
        <v>0.9131787229</v>
      </c>
      <c r="AS2367" s="82">
        <f>IFERROR(__xludf.DUMMYFUNCTION("""COMPUTED_VALUE"""),48.0)</f>
        <v>48</v>
      </c>
      <c r="AT2367" s="82">
        <f>IFERROR(__xludf.DUMMYFUNCTION("""COMPUTED_VALUE"""),0.5163528528322511)</f>
        <v>0.5163528528</v>
      </c>
      <c r="AU2367" s="82">
        <f>IFERROR(__xludf.DUMMYFUNCTION("""COMPUTED_VALUE"""),2.9144334047537406)</f>
        <v>2.914433405</v>
      </c>
      <c r="AV2367" s="82">
        <f>IFERROR(__xludf.DUMMYFUNCTION("""COMPUTED_VALUE"""),47.65398951990593)</f>
        <v>47.65398952</v>
      </c>
      <c r="AW2367" s="82">
        <f t="shared" si="1"/>
        <v>-2.161610838</v>
      </c>
      <c r="AX2367" s="83">
        <f t="array" ref="AX2367">IFERROR(DGET('SBV Import'!A:G,"SBV",{"RSC ID","Tier";B2367,A2367}))</f>
        <v>40.0043243</v>
      </c>
      <c r="AY2367" s="82">
        <f t="shared" si="2"/>
        <v>-2.901561949</v>
      </c>
      <c r="AZ2367" s="82">
        <v>0.7399511106520058</v>
      </c>
      <c r="BA2367" s="84">
        <v>2300.0</v>
      </c>
      <c r="BB2367" s="84" t="b">
        <f>IFERROR(__xludf.DUMMYFUNCTION("iferror(if(A2367="""",,E2367&gt;=FILTER(Constants!$F$2:$F$10,Constants!$A$2:$A$10=A2367)))"),TRUE)</f>
        <v>1</v>
      </c>
    </row>
    <row r="2368">
      <c r="A2368" s="89" t="str">
        <f>IFERROR(__xludf.DUMMYFUNCTION("""COMPUTED_VALUE"""),"Challenger")</f>
        <v>Challenger</v>
      </c>
      <c r="B2368" s="87" t="str">
        <f>IFERROR(__xludf.DUMMYFUNCTION("""COMPUTED_VALUE"""),"RSC007848")</f>
        <v>RSC007848</v>
      </c>
      <c r="C2368" s="73" t="str">
        <f>IFERROR(__xludf.DUMMYFUNCTION("""COMPUTED_VALUE"""),"Ninji &lt;3")</f>
        <v>Ninji &lt;3</v>
      </c>
      <c r="D2368" s="73" t="str">
        <f>IFERROR(__xludf.DUMMYFUNCTION("""COMPUTED_VALUE"""),"Squalls")</f>
        <v>Squalls</v>
      </c>
      <c r="E2368" s="82">
        <f>IFERROR(__xludf.DUMMYFUNCTION("""COMPUTED_VALUE"""),19.0)</f>
        <v>19</v>
      </c>
      <c r="F2368" s="82">
        <f>IFERROR(__xludf.DUMMYFUNCTION("""COMPUTED_VALUE"""),10.0)</f>
        <v>10</v>
      </c>
      <c r="G2368" s="86">
        <f>IFERROR(__xludf.DUMMYFUNCTION("""COMPUTED_VALUE"""),9.0)</f>
        <v>9</v>
      </c>
      <c r="H2368" s="86">
        <f>IFERROR(__xludf.DUMMYFUNCTION("""COMPUTED_VALUE"""),0.5263157894736842)</f>
        <v>0.5263157895</v>
      </c>
      <c r="I2368" s="86">
        <f>IFERROR(__xludf.DUMMYFUNCTION("""COMPUTED_VALUE"""),0.24444444444444446)</f>
        <v>0.2444444444</v>
      </c>
      <c r="J2368" s="82">
        <f>IFERROR(__xludf.DUMMYFUNCTION("""COMPUTED_VALUE"""),294.1578947368421)</f>
        <v>294.1578947</v>
      </c>
      <c r="K2368" s="82">
        <f>IFERROR(__xludf.DUMMYFUNCTION("""COMPUTED_VALUE"""),0.5789473684210527)</f>
        <v>0.5789473684</v>
      </c>
      <c r="L2368" s="82">
        <f>IFERROR(__xludf.DUMMYFUNCTION("""COMPUTED_VALUE"""),0.5263157894736842)</f>
        <v>0.5263157895</v>
      </c>
      <c r="M2368" s="82">
        <f>IFERROR(__xludf.DUMMYFUNCTION("""COMPUTED_VALUE"""),1.0526315789473684)</f>
        <v>1.052631579</v>
      </c>
      <c r="N2368" s="82">
        <f>IFERROR(__xludf.DUMMYFUNCTION("""COMPUTED_VALUE"""),2.3684210526315788)</f>
        <v>2.368421053</v>
      </c>
      <c r="O2368" s="82">
        <f>IFERROR(__xludf.DUMMYFUNCTION("""COMPUTED_VALUE"""),341.14035087719304)</f>
        <v>341.1403509</v>
      </c>
      <c r="P2368" s="82">
        <f>IFERROR(__xludf.DUMMYFUNCTION("""COMPUTED_VALUE"""),0.6140350877192983)</f>
        <v>0.6140350877</v>
      </c>
      <c r="Q2368" s="82">
        <f>IFERROR(__xludf.DUMMYFUNCTION("""COMPUTED_VALUE"""),0.4385964912280701)</f>
        <v>0.4385964912</v>
      </c>
      <c r="R2368" s="82">
        <f>IFERROR(__xludf.DUMMYFUNCTION("""COMPUTED_VALUE"""),1.5964912280701755)</f>
        <v>1.596491228</v>
      </c>
      <c r="S2368" s="82">
        <f>IFERROR(__xludf.DUMMYFUNCTION("""COMPUTED_VALUE"""),2.0526315789473686)</f>
        <v>2.052631579</v>
      </c>
      <c r="T2368" s="82">
        <f>IFERROR(__xludf.DUMMYFUNCTION("""COMPUTED_VALUE"""),357.7639226134029)</f>
        <v>357.7639226</v>
      </c>
      <c r="U2368" s="82">
        <f>IFERROR(__xludf.DUMMYFUNCTION("""COMPUTED_VALUE"""),0.8134287593717339)</f>
        <v>0.8134287594</v>
      </c>
      <c r="V2368" s="82">
        <f>IFERROR(__xludf.DUMMYFUNCTION("""COMPUTED_VALUE"""),0.5871279061439633)</f>
        <v>0.5871279061</v>
      </c>
      <c r="W2368" s="82">
        <f>IFERROR(__xludf.DUMMYFUNCTION("""COMPUTED_VALUE"""),1.3611821584112977)</f>
        <v>1.361182158</v>
      </c>
      <c r="X2368" s="82">
        <f>IFERROR(__xludf.DUMMYFUNCTION("""COMPUTED_VALUE"""),2.5816024661170025)</f>
        <v>2.581602466</v>
      </c>
      <c r="Y2368" s="82">
        <f>IFERROR(__xludf.DUMMYFUNCTION("""COMPUTED_VALUE"""),336.4107240893963)</f>
        <v>336.4107241</v>
      </c>
      <c r="Z2368" s="82">
        <f>IFERROR(__xludf.DUMMYFUNCTION("""COMPUTED_VALUE"""),0.7511353900571945)</f>
        <v>0.7511353901</v>
      </c>
      <c r="AA2368" s="82">
        <f>IFERROR(__xludf.DUMMYFUNCTION("""COMPUTED_VALUE"""),0.504166882420435)</f>
        <v>0.5041668824</v>
      </c>
      <c r="AB2368" s="82">
        <f>IFERROR(__xludf.DUMMYFUNCTION("""COMPUTED_VALUE"""),1.224911016457277)</f>
        <v>1.224911016</v>
      </c>
      <c r="AC2368" s="82">
        <f>IFERROR(__xludf.DUMMYFUNCTION("""COMPUTED_VALUE"""),2.555708203570292)</f>
        <v>2.555708204</v>
      </c>
      <c r="AD2368" s="82">
        <f>IFERROR(__xludf.DUMMYFUNCTION("""COMPUTED_VALUE"""),0.874401062965739)</f>
        <v>0.874401063</v>
      </c>
      <c r="AE2368" s="82">
        <f>IFERROR(__xludf.DUMMYFUNCTION("""COMPUTED_VALUE"""),0.7707630023622895)</f>
        <v>0.7707630024</v>
      </c>
      <c r="AF2368" s="82">
        <f>IFERROR(__xludf.DUMMYFUNCTION("""COMPUTED_VALUE"""),1.0439316976690642)</f>
        <v>1.043931698</v>
      </c>
      <c r="AG2368" s="82">
        <f>IFERROR(__xludf.DUMMYFUNCTION("""COMPUTED_VALUE"""),0.859353507973028)</f>
        <v>0.859353508</v>
      </c>
      <c r="AH2368" s="82">
        <f>IFERROR(__xludf.DUMMYFUNCTION("""COMPUTED_VALUE"""),0.9267181008078014)</f>
        <v>0.9267181008</v>
      </c>
      <c r="AI2368" s="82">
        <f>IFERROR(__xludf.DUMMYFUNCTION("""COMPUTED_VALUE"""),0.953534801343921)</f>
        <v>0.9535348013</v>
      </c>
      <c r="AJ2368" s="82">
        <f>IFERROR(__xludf.DUMMYFUNCTION("""COMPUTED_VALUE"""),0.7548726064143086)</f>
        <v>0.7548726064</v>
      </c>
      <c r="AK2368" s="82">
        <f>IFERROR(__xludf.DUMMYFUNCTION("""COMPUTED_VALUE"""),0.7470203453768839)</f>
        <v>0.7470203454</v>
      </c>
      <c r="AL2368" s="82">
        <f>IFERROR(__xludf.DUMMYFUNCTION("""COMPUTED_VALUE"""),1.1728711092815958)</f>
        <v>1.172871109</v>
      </c>
      <c r="AM2368" s="82">
        <f>IFERROR(__xludf.DUMMYFUNCTION("""COMPUTED_VALUE"""),0.7950997901062354)</f>
        <v>0.7950997901</v>
      </c>
      <c r="AN2368" s="82">
        <f>IFERROR(__xludf.DUMMYFUNCTION("""COMPUTED_VALUE"""),0.8948805269065965)</f>
        <v>0.8948805269</v>
      </c>
      <c r="AO2368" s="82">
        <f>IFERROR(__xludf.DUMMYFUNCTION("""COMPUTED_VALUE"""),0.7634848679621234)</f>
        <v>0.763484868</v>
      </c>
      <c r="AP2368" s="82">
        <f>IFERROR(__xludf.DUMMYFUNCTION("""COMPUTED_VALUE"""),1.0207398794762836)</f>
        <v>1.020739879</v>
      </c>
      <c r="AQ2368" s="82">
        <f>IFERROR(__xludf.DUMMYFUNCTION("""COMPUTED_VALUE"""),0.8777766211967385)</f>
        <v>0.8777766212</v>
      </c>
      <c r="AR2368" s="82">
        <f>IFERROR(__xludf.DUMMYFUNCTION("""COMPUTED_VALUE"""),0.9873614337640804)</f>
        <v>0.9873614338</v>
      </c>
      <c r="AS2368" s="82">
        <f>IFERROR(__xludf.DUMMYFUNCTION("""COMPUTED_VALUE"""),40.0)</f>
        <v>40</v>
      </c>
      <c r="AT2368" s="82">
        <f>IFERROR(__xludf.DUMMYFUNCTION("""COMPUTED_VALUE"""),0.5493455167673286)</f>
        <v>0.5493455168</v>
      </c>
      <c r="AU2368" s="82">
        <f>IFERROR(__xludf.DUMMYFUNCTION("""COMPUTED_VALUE"""),2.8908939081516225)</f>
        <v>2.890893908</v>
      </c>
      <c r="AV2368" s="82">
        <f>IFERROR(__xludf.DUMMYFUNCTION("""COMPUTED_VALUE"""),47.03155443955198)</f>
        <v>47.03155444</v>
      </c>
      <c r="AW2368" s="82">
        <f t="shared" si="1"/>
        <v>-2.208765757</v>
      </c>
      <c r="AX2368" s="83">
        <f t="array" ref="AX2368">IFERROR(DGET('SBV Import'!A:G,"SBV",{"RSC ID","Tier";B2368,A2368}))</f>
        <v>37.82014454</v>
      </c>
      <c r="AY2368" s="82">
        <f t="shared" si="2"/>
        <v>-3.194272276</v>
      </c>
      <c r="AZ2368" s="82">
        <v>0.9855065182796117</v>
      </c>
      <c r="BA2368" s="84">
        <v>2300.0</v>
      </c>
      <c r="BB2368" s="84" t="b">
        <f>IFERROR(__xludf.DUMMYFUNCTION("iferror(if(A2368="""",,E2368&gt;=FILTER(Constants!$F$2:$F$10,Constants!$A$2:$A$10=A2368)))"),TRUE)</f>
        <v>1</v>
      </c>
    </row>
    <row r="2369">
      <c r="A2369" s="89" t="str">
        <f>IFERROR(__xludf.DUMMYFUNCTION("""COMPUTED_VALUE"""),"Challenger")</f>
        <v>Challenger</v>
      </c>
      <c r="B2369" s="87" t="str">
        <f>IFERROR(__xludf.DUMMYFUNCTION("""COMPUTED_VALUE"""),"RSC007291")</f>
        <v>RSC007291</v>
      </c>
      <c r="C2369" s="73" t="str">
        <f>IFERROR(__xludf.DUMMYFUNCTION("""COMPUTED_VALUE"""),"brdtrd999")</f>
        <v>brdtrd999</v>
      </c>
      <c r="D2369" s="73" t="str">
        <f>IFERROR(__xludf.DUMMYFUNCTION("""COMPUTED_VALUE"""),"Hydras")</f>
        <v>Hydras</v>
      </c>
      <c r="E2369" s="82">
        <f>IFERROR(__xludf.DUMMYFUNCTION("""COMPUTED_VALUE"""),26.0)</f>
        <v>26</v>
      </c>
      <c r="F2369" s="82">
        <f>IFERROR(__xludf.DUMMYFUNCTION("""COMPUTED_VALUE"""),15.0)</f>
        <v>15</v>
      </c>
      <c r="G2369" s="86">
        <f>IFERROR(__xludf.DUMMYFUNCTION("""COMPUTED_VALUE"""),11.0)</f>
        <v>11</v>
      </c>
      <c r="H2369" s="86">
        <f>IFERROR(__xludf.DUMMYFUNCTION("""COMPUTED_VALUE"""),0.5769230769230769)</f>
        <v>0.5769230769</v>
      </c>
      <c r="I2369" s="86">
        <f>IFERROR(__xludf.DUMMYFUNCTION("""COMPUTED_VALUE"""),0.29577464788732394)</f>
        <v>0.2957746479</v>
      </c>
      <c r="J2369" s="82">
        <f>IFERROR(__xludf.DUMMYFUNCTION("""COMPUTED_VALUE"""),335.9230769230769)</f>
        <v>335.9230769</v>
      </c>
      <c r="K2369" s="82">
        <f>IFERROR(__xludf.DUMMYFUNCTION("""COMPUTED_VALUE"""),0.8076923076923077)</f>
        <v>0.8076923077</v>
      </c>
      <c r="L2369" s="82">
        <f>IFERROR(__xludf.DUMMYFUNCTION("""COMPUTED_VALUE"""),0.3076923076923077)</f>
        <v>0.3076923077</v>
      </c>
      <c r="M2369" s="82">
        <f>IFERROR(__xludf.DUMMYFUNCTION("""COMPUTED_VALUE"""),1.2692307692307692)</f>
        <v>1.269230769</v>
      </c>
      <c r="N2369" s="82">
        <f>IFERROR(__xludf.DUMMYFUNCTION("""COMPUTED_VALUE"""),2.730769230769231)</f>
        <v>2.730769231</v>
      </c>
      <c r="O2369" s="82">
        <f>IFERROR(__xludf.DUMMYFUNCTION("""COMPUTED_VALUE"""),344.1410256410257)</f>
        <v>344.1410256</v>
      </c>
      <c r="P2369" s="82">
        <f>IFERROR(__xludf.DUMMYFUNCTION("""COMPUTED_VALUE"""),0.7564102564102563)</f>
        <v>0.7564102564</v>
      </c>
      <c r="Q2369" s="82">
        <f>IFERROR(__xludf.DUMMYFUNCTION("""COMPUTED_VALUE"""),0.5128205128205129)</f>
        <v>0.5128205128</v>
      </c>
      <c r="R2369" s="82">
        <f>IFERROR(__xludf.DUMMYFUNCTION("""COMPUTED_VALUE"""),1.2948717948717952)</f>
        <v>1.294871795</v>
      </c>
      <c r="S2369" s="82">
        <f>IFERROR(__xludf.DUMMYFUNCTION("""COMPUTED_VALUE"""),2.8589743589743595)</f>
        <v>2.858974359</v>
      </c>
      <c r="T2369" s="82">
        <f>IFERROR(__xludf.DUMMYFUNCTION("""COMPUTED_VALUE"""),337.66950618541097)</f>
        <v>337.6695062</v>
      </c>
      <c r="U2369" s="82">
        <f>IFERROR(__xludf.DUMMYFUNCTION("""COMPUTED_VALUE"""),0.7487659520634538)</f>
        <v>0.7487659521</v>
      </c>
      <c r="V2369" s="82">
        <f>IFERROR(__xludf.DUMMYFUNCTION("""COMPUTED_VALUE"""),0.5233323943419715)</f>
        <v>0.5233323943</v>
      </c>
      <c r="W2369" s="82">
        <f>IFERROR(__xludf.DUMMYFUNCTION("""COMPUTED_VALUE"""),1.2883208159416386)</f>
        <v>1.288320816</v>
      </c>
      <c r="X2369" s="82">
        <f>IFERROR(__xludf.DUMMYFUNCTION("""COMPUTED_VALUE"""),2.5641713876307297)</f>
        <v>2.564171388</v>
      </c>
      <c r="Y2369" s="82">
        <f>IFERROR(__xludf.DUMMYFUNCTION("""COMPUTED_VALUE"""),345.96498465421996)</f>
        <v>345.9649847</v>
      </c>
      <c r="Z2369" s="82">
        <f>IFERROR(__xludf.DUMMYFUNCTION("""COMPUTED_VALUE"""),0.7560238337566765)</f>
        <v>0.7560238338</v>
      </c>
      <c r="AA2369" s="82">
        <f>IFERROR(__xludf.DUMMYFUNCTION("""COMPUTED_VALUE"""),0.5121558596695694)</f>
        <v>0.5121558597</v>
      </c>
      <c r="AB2369" s="82">
        <f>IFERROR(__xludf.DUMMYFUNCTION("""COMPUTED_VALUE"""),1.3562124029020977)</f>
        <v>1.356212403</v>
      </c>
      <c r="AC2369" s="82">
        <f>IFERROR(__xludf.DUMMYFUNCTION("""COMPUTED_VALUE"""),2.52909842175662)</f>
        <v>2.529098422</v>
      </c>
      <c r="AD2369" s="82">
        <f>IFERROR(__xludf.DUMMYFUNCTION("""COMPUTED_VALUE"""),0.97097420786332)</f>
        <v>0.9709742079</v>
      </c>
      <c r="AE2369" s="82">
        <f>IFERROR(__xludf.DUMMYFUNCTION("""COMPUTED_VALUE"""),1.0683423876716835)</f>
        <v>1.068342388</v>
      </c>
      <c r="AF2369" s="82">
        <f>IFERROR(__xludf.DUMMYFUNCTION("""COMPUTED_VALUE"""),0.600778653378726)</f>
        <v>0.6007786534</v>
      </c>
      <c r="AG2369" s="82">
        <f>IFERROR(__xludf.DUMMYFUNCTION("""COMPUTED_VALUE"""),0.935864298626675)</f>
        <v>0.9358642986</v>
      </c>
      <c r="AH2369" s="82">
        <f>IFERROR(__xludf.DUMMYFUNCTION("""COMPUTED_VALUE"""),1.0797401980396388)</f>
        <v>1.079740198</v>
      </c>
      <c r="AI2369" s="82">
        <f>IFERROR(__xludf.DUMMYFUNCTION("""COMPUTED_VALUE"""),1.0191652468969503)</f>
        <v>1.019165247</v>
      </c>
      <c r="AJ2369" s="82">
        <f>IFERROR(__xludf.DUMMYFUNCTION("""COMPUTED_VALUE"""),1.0102092039918966)</f>
        <v>1.010209204</v>
      </c>
      <c r="AK2369" s="82">
        <f>IFERROR(__xludf.DUMMYFUNCTION("""COMPUTED_VALUE"""),0.9799135661481914)</f>
        <v>0.9799135661</v>
      </c>
      <c r="AL2369" s="82">
        <f>IFERROR(__xludf.DUMMYFUNCTION("""COMPUTED_VALUE"""),1.0050848972158914)</f>
        <v>1.005084897</v>
      </c>
      <c r="AM2369" s="82">
        <f>IFERROR(__xludf.DUMMYFUNCTION("""COMPUTED_VALUE"""),1.1149700728920562)</f>
        <v>1.114970073</v>
      </c>
      <c r="AN2369" s="82">
        <f>IFERROR(__xludf.DUMMYFUNCTION("""COMPUTED_VALUE"""),1.0219376241658895)</f>
        <v>1.021937624</v>
      </c>
      <c r="AO2369" s="82">
        <f>IFERROR(__xludf.DUMMYFUNCTION("""COMPUTED_VALUE"""),1.065141476632473)</f>
        <v>1.065141477</v>
      </c>
      <c r="AP2369" s="82">
        <f>IFERROR(__xludf.DUMMYFUNCTION("""COMPUTED_VALUE"""),0.596740237232289)</f>
        <v>0.5967402372</v>
      </c>
      <c r="AQ2369" s="82">
        <f>IFERROR(__xludf.DUMMYFUNCTION("""COMPUTED_VALUE"""),1.058396041327606)</f>
        <v>1.058396041</v>
      </c>
      <c r="AR2369" s="82">
        <f>IFERROR(__xludf.DUMMYFUNCTION("""COMPUTED_VALUE"""),1.1384192941433713)</f>
        <v>1.138419294</v>
      </c>
      <c r="AS2369" s="82">
        <f>IFERROR(__xludf.DUMMYFUNCTION("""COMPUTED_VALUE"""),56.0)</f>
        <v>56</v>
      </c>
      <c r="AT2369" s="82">
        <f>IFERROR(__xludf.DUMMYFUNCTION("""COMPUTED_VALUE"""),0.4800205473785568)</f>
        <v>0.4800205474</v>
      </c>
      <c r="AU2369" s="82">
        <f>IFERROR(__xludf.DUMMYFUNCTION("""COMPUTED_VALUE"""),2.8819112987548743)</f>
        <v>2.881911299</v>
      </c>
      <c r="AV2369" s="82">
        <f>IFERROR(__xludf.DUMMYFUNCTION("""COMPUTED_VALUE"""),46.79403486569881)</f>
        <v>46.79403487</v>
      </c>
      <c r="AW2369" s="82">
        <f t="shared" si="1"/>
        <v>-2.227270331</v>
      </c>
      <c r="AX2369" s="83">
        <f t="array" ref="AX2369">IFERROR(DGET('SBV Import'!A:G,"SBV",{"RSC ID","Tier";B2369,A2369}))</f>
        <v>35.21103526</v>
      </c>
      <c r="AY2369" s="82">
        <f t="shared" si="2"/>
        <v>-3.609155782</v>
      </c>
      <c r="AZ2369" s="82">
        <v>1.3818854508280398</v>
      </c>
      <c r="BA2369" s="84">
        <v>2300.0</v>
      </c>
      <c r="BB2369" s="84" t="b">
        <f>IFERROR(__xludf.DUMMYFUNCTION("iferror(if(A2369="""",,E2369&gt;=FILTER(Constants!$F$2:$F$10,Constants!$A$2:$A$10=A2369)))"),TRUE)</f>
        <v>1</v>
      </c>
    </row>
    <row r="2370">
      <c r="A2370" s="89" t="str">
        <f>IFERROR(__xludf.DUMMYFUNCTION("""COMPUTED_VALUE"""),"Challenger")</f>
        <v>Challenger</v>
      </c>
      <c r="B2370" s="87" t="str">
        <f>IFERROR(__xludf.DUMMYFUNCTION("""COMPUTED_VALUE"""),"RSC002897")</f>
        <v>RSC002897</v>
      </c>
      <c r="C2370" s="73" t="str">
        <f>IFERROR(__xludf.DUMMYFUNCTION("""COMPUTED_VALUE"""),"VickyViksta")</f>
        <v>VickyViksta</v>
      </c>
      <c r="D2370" s="73" t="str">
        <f>IFERROR(__xludf.DUMMYFUNCTION("""COMPUTED_VALUE"""),"Panda Bears")</f>
        <v>Panda Bears</v>
      </c>
      <c r="E2370" s="82">
        <f>IFERROR(__xludf.DUMMYFUNCTION("""COMPUTED_VALUE"""),31.0)</f>
        <v>31</v>
      </c>
      <c r="F2370" s="82">
        <f>IFERROR(__xludf.DUMMYFUNCTION("""COMPUTED_VALUE"""),16.0)</f>
        <v>16</v>
      </c>
      <c r="G2370" s="86">
        <f>IFERROR(__xludf.DUMMYFUNCTION("""COMPUTED_VALUE"""),15.0)</f>
        <v>15</v>
      </c>
      <c r="H2370" s="86">
        <f>IFERROR(__xludf.DUMMYFUNCTION("""COMPUTED_VALUE"""),0.5161290322580645)</f>
        <v>0.5161290323</v>
      </c>
      <c r="I2370" s="86">
        <f>IFERROR(__xludf.DUMMYFUNCTION("""COMPUTED_VALUE"""),0.25316455696202533)</f>
        <v>0.253164557</v>
      </c>
      <c r="J2370" s="82">
        <f>IFERROR(__xludf.DUMMYFUNCTION("""COMPUTED_VALUE"""),334.0967741935484)</f>
        <v>334.0967742</v>
      </c>
      <c r="K2370" s="82">
        <f>IFERROR(__xludf.DUMMYFUNCTION("""COMPUTED_VALUE"""),0.6451612903225806)</f>
        <v>0.6451612903</v>
      </c>
      <c r="L2370" s="82">
        <f>IFERROR(__xludf.DUMMYFUNCTION("""COMPUTED_VALUE"""),0.41935483870967744)</f>
        <v>0.4193548387</v>
      </c>
      <c r="M2370" s="82">
        <f>IFERROR(__xludf.DUMMYFUNCTION("""COMPUTED_VALUE"""),1.4838709677419355)</f>
        <v>1.483870968</v>
      </c>
      <c r="N2370" s="82">
        <f>IFERROR(__xludf.DUMMYFUNCTION("""COMPUTED_VALUE"""),2.5483870967741935)</f>
        <v>2.548387097</v>
      </c>
      <c r="O2370" s="82">
        <f>IFERROR(__xludf.DUMMYFUNCTION("""COMPUTED_VALUE"""),348.0322580645162)</f>
        <v>348.0322581</v>
      </c>
      <c r="P2370" s="82">
        <f>IFERROR(__xludf.DUMMYFUNCTION("""COMPUTED_VALUE"""),0.6666666666666667)</f>
        <v>0.6666666667</v>
      </c>
      <c r="Q2370" s="82">
        <f>IFERROR(__xludf.DUMMYFUNCTION("""COMPUTED_VALUE"""),0.4408602150537635)</f>
        <v>0.4408602151</v>
      </c>
      <c r="R2370" s="82">
        <f>IFERROR(__xludf.DUMMYFUNCTION("""COMPUTED_VALUE"""),1.4623655913978497)</f>
        <v>1.462365591</v>
      </c>
      <c r="S2370" s="82">
        <f>IFERROR(__xludf.DUMMYFUNCTION("""COMPUTED_VALUE"""),2.731182795698926)</f>
        <v>2.731182796</v>
      </c>
      <c r="T2370" s="82">
        <f>IFERROR(__xludf.DUMMYFUNCTION("""COMPUTED_VALUE"""),342.87041490759043)</f>
        <v>342.8704149</v>
      </c>
      <c r="U2370" s="82">
        <f>IFERROR(__xludf.DUMMYFUNCTION("""COMPUTED_VALUE"""),0.7818588119771317)</f>
        <v>0.781858812</v>
      </c>
      <c r="V2370" s="82">
        <f>IFERROR(__xludf.DUMMYFUNCTION("""COMPUTED_VALUE"""),0.5401441175009063)</f>
        <v>0.5401441175</v>
      </c>
      <c r="W2370" s="82">
        <f>IFERROR(__xludf.DUMMYFUNCTION("""COMPUTED_VALUE"""),1.3159143620423264)</f>
        <v>1.315914362</v>
      </c>
      <c r="X2370" s="82">
        <f>IFERROR(__xludf.DUMMYFUNCTION("""COMPUTED_VALUE"""),2.4625511788358017)</f>
        <v>2.462551179</v>
      </c>
      <c r="Y2370" s="82">
        <f>IFERROR(__xludf.DUMMYFUNCTION("""COMPUTED_VALUE"""),333.37533516969256)</f>
        <v>333.3753352</v>
      </c>
      <c r="Z2370" s="82">
        <f>IFERROR(__xludf.DUMMYFUNCTION("""COMPUTED_VALUE"""),0.7759091015598786)</f>
        <v>0.7759091016</v>
      </c>
      <c r="AA2370" s="82">
        <f>IFERROR(__xludf.DUMMYFUNCTION("""COMPUTED_VALUE"""),0.5320400944605296)</f>
        <v>0.5320400945</v>
      </c>
      <c r="AB2370" s="82">
        <f>IFERROR(__xludf.DUMMYFUNCTION("""COMPUTED_VALUE"""),1.2135924757515746)</f>
        <v>1.213592476</v>
      </c>
      <c r="AC2370" s="82">
        <f>IFERROR(__xludf.DUMMYFUNCTION("""COMPUTED_VALUE"""),2.532176977122308)</f>
        <v>2.532176977</v>
      </c>
      <c r="AD2370" s="82">
        <f>IFERROR(__xludf.DUMMYFUNCTION("""COMPUTED_VALUE"""),1.0021640443900526)</f>
        <v>1.002164044</v>
      </c>
      <c r="AE2370" s="82">
        <f>IFERROR(__xludf.DUMMYFUNCTION("""COMPUTED_VALUE"""),0.8314908138408944)</f>
        <v>0.8314908138</v>
      </c>
      <c r="AF2370" s="82">
        <f>IFERROR(__xludf.DUMMYFUNCTION("""COMPUTED_VALUE"""),0.7882015717911051)</f>
        <v>0.7882015718</v>
      </c>
      <c r="AG2370" s="82">
        <f>IFERROR(__xludf.DUMMYFUNCTION("""COMPUTED_VALUE"""),1.222709432853873)</f>
        <v>1.222709433</v>
      </c>
      <c r="AH2370" s="82">
        <f>IFERROR(__xludf.DUMMYFUNCTION("""COMPUTED_VALUE"""),1.0064016535172464)</f>
        <v>1.006401654</v>
      </c>
      <c r="AI2370" s="82">
        <f>IFERROR(__xludf.DUMMYFUNCTION("""COMPUTED_VALUE"""),1.0150547931011107)</f>
        <v>1.015054793</v>
      </c>
      <c r="AJ2370" s="82">
        <f>IFERROR(__xludf.DUMMYFUNCTION("""COMPUTED_VALUE"""),0.8526688661100181)</f>
        <v>0.8526688661</v>
      </c>
      <c r="AK2370" s="82">
        <f>IFERROR(__xludf.DUMMYFUNCTION("""COMPUTED_VALUE"""),0.8161899773962156)</f>
        <v>0.8161899774</v>
      </c>
      <c r="AL2370" s="82">
        <f>IFERROR(__xludf.DUMMYFUNCTION("""COMPUTED_VALUE"""),1.1112923709778713)</f>
        <v>1.111292371</v>
      </c>
      <c r="AM2370" s="82">
        <f>IFERROR(__xludf.DUMMYFUNCTION("""COMPUTED_VALUE"""),1.1090867142871415)</f>
        <v>1.109086714</v>
      </c>
      <c r="AN2370" s="82">
        <f>IFERROR(__xludf.DUMMYFUNCTION("""COMPUTED_VALUE"""),1.0163816871057827)</f>
        <v>1.016381687</v>
      </c>
      <c r="AO2370" s="82">
        <f>IFERROR(__xludf.DUMMYFUNCTION("""COMPUTED_VALUE"""),0.8508042516879968)</f>
        <v>0.8508042517</v>
      </c>
      <c r="AP2370" s="82">
        <f>IFERROR(__xludf.DUMMYFUNCTION("""COMPUTED_VALUE"""),0.8132991942923938)</f>
        <v>0.8132991943</v>
      </c>
      <c r="AQ2370" s="82">
        <f>IFERROR(__xludf.DUMMYFUNCTION("""COMPUTED_VALUE"""),1.2373818821386282)</f>
        <v>1.237381882</v>
      </c>
      <c r="AR2370" s="82">
        <f>IFERROR(__xludf.DUMMYFUNCTION("""COMPUTED_VALUE"""),1.06238674701067)</f>
        <v>1.062386747</v>
      </c>
      <c r="AS2370" s="82">
        <f>IFERROR(__xludf.DUMMYFUNCTION("""COMPUTED_VALUE"""),73.0)</f>
        <v>73</v>
      </c>
      <c r="AT2370" s="82">
        <f>IFERROR(__xludf.DUMMYFUNCTION("""COMPUTED_VALUE"""),0.5619640151952143)</f>
        <v>0.5619640152</v>
      </c>
      <c r="AU2370" s="82">
        <f>IFERROR(__xludf.DUMMYFUNCTION("""COMPUTED_VALUE"""),2.847267028933695)</f>
        <v>2.847267029</v>
      </c>
      <c r="AV2370" s="82">
        <f>IFERROR(__xludf.DUMMYFUNCTION("""COMPUTED_VALUE"""),45.87796562112502)</f>
        <v>45.87796562</v>
      </c>
      <c r="AW2370" s="82">
        <f t="shared" si="1"/>
        <v>-2.301397051</v>
      </c>
      <c r="AX2370" s="83">
        <f t="array" ref="AX2370">IFERROR(DGET('SBV Import'!A:G,"SBV",{"RSC ID","Tier";B2370,A2370}))</f>
        <v>36.00289434</v>
      </c>
      <c r="AY2370" s="82">
        <f t="shared" si="2"/>
        <v>-3.474886251</v>
      </c>
      <c r="AZ2370" s="82">
        <v>1.1734891997333619</v>
      </c>
      <c r="BA2370" s="84">
        <v>2300.0</v>
      </c>
      <c r="BB2370" s="84" t="b">
        <f>IFERROR(__xludf.DUMMYFUNCTION("iferror(if(A2370="""",,E2370&gt;=FILTER(Constants!$F$2:$F$10,Constants!$A$2:$A$10=A2370)))"),TRUE)</f>
        <v>1</v>
      </c>
    </row>
    <row r="2371">
      <c r="A2371" s="89" t="str">
        <f>IFERROR(__xludf.DUMMYFUNCTION("""COMPUTED_VALUE"""),"Challenger")</f>
        <v>Challenger</v>
      </c>
      <c r="B2371" s="87" t="str">
        <f>IFERROR(__xludf.DUMMYFUNCTION("""COMPUTED_VALUE"""),"RSC000357")</f>
        <v>RSC000357</v>
      </c>
      <c r="C2371" s="73" t="str">
        <f>IFERROR(__xludf.DUMMYFUNCTION("""COMPUTED_VALUE"""),"Primed")</f>
        <v>Primed</v>
      </c>
      <c r="D2371" s="73" t="str">
        <f>IFERROR(__xludf.DUMMYFUNCTION("""COMPUTED_VALUE"""),"Decuriones")</f>
        <v>Decuriones</v>
      </c>
      <c r="E2371" s="82">
        <f>IFERROR(__xludf.DUMMYFUNCTION("""COMPUTED_VALUE"""),32.0)</f>
        <v>32</v>
      </c>
      <c r="F2371" s="82">
        <f>IFERROR(__xludf.DUMMYFUNCTION("""COMPUTED_VALUE"""),21.0)</f>
        <v>21</v>
      </c>
      <c r="G2371" s="86">
        <f>IFERROR(__xludf.DUMMYFUNCTION("""COMPUTED_VALUE"""),11.0)</f>
        <v>11</v>
      </c>
      <c r="H2371" s="86">
        <f>IFERROR(__xludf.DUMMYFUNCTION("""COMPUTED_VALUE"""),0.65625)</f>
        <v>0.65625</v>
      </c>
      <c r="I2371" s="86">
        <f>IFERROR(__xludf.DUMMYFUNCTION("""COMPUTED_VALUE"""),0.24358974358974358)</f>
        <v>0.2435897436</v>
      </c>
      <c r="J2371" s="82">
        <f>IFERROR(__xludf.DUMMYFUNCTION("""COMPUTED_VALUE"""),283.375)</f>
        <v>283.375</v>
      </c>
      <c r="K2371" s="82">
        <f>IFERROR(__xludf.DUMMYFUNCTION("""COMPUTED_VALUE"""),0.59375)</f>
        <v>0.59375</v>
      </c>
      <c r="L2371" s="82">
        <f>IFERROR(__xludf.DUMMYFUNCTION("""COMPUTED_VALUE"""),0.46875)</f>
        <v>0.46875</v>
      </c>
      <c r="M2371" s="82">
        <f>IFERROR(__xludf.DUMMYFUNCTION("""COMPUTED_VALUE"""),0.9375)</f>
        <v>0.9375</v>
      </c>
      <c r="N2371" s="82">
        <f>IFERROR(__xludf.DUMMYFUNCTION("""COMPUTED_VALUE"""),2.4375)</f>
        <v>2.4375</v>
      </c>
      <c r="O2371" s="82">
        <f>IFERROR(__xludf.DUMMYFUNCTION("""COMPUTED_VALUE"""),288.25)</f>
        <v>288.25</v>
      </c>
      <c r="P2371" s="82">
        <f>IFERROR(__xludf.DUMMYFUNCTION("""COMPUTED_VALUE"""),0.5104166666666667)</f>
        <v>0.5104166667</v>
      </c>
      <c r="Q2371" s="82">
        <f>IFERROR(__xludf.DUMMYFUNCTION("""COMPUTED_VALUE"""),0.3541666666666667)</f>
        <v>0.3541666667</v>
      </c>
      <c r="R2371" s="82">
        <f>IFERROR(__xludf.DUMMYFUNCTION("""COMPUTED_VALUE"""),1.2395833333333335)</f>
        <v>1.239583333</v>
      </c>
      <c r="S2371" s="82">
        <f>IFERROR(__xludf.DUMMYFUNCTION("""COMPUTED_VALUE"""),1.791666666666667)</f>
        <v>1.791666667</v>
      </c>
      <c r="T2371" s="82">
        <f>IFERROR(__xludf.DUMMYFUNCTION("""COMPUTED_VALUE"""),330.37598283450745)</f>
        <v>330.3759828</v>
      </c>
      <c r="U2371" s="82">
        <f>IFERROR(__xludf.DUMMYFUNCTION("""COMPUTED_VALUE"""),0.7055610901202767)</f>
        <v>0.7055610901</v>
      </c>
      <c r="V2371" s="82">
        <f>IFERROR(__xludf.DUMMYFUNCTION("""COMPUTED_VALUE"""),0.5148071544034465)</f>
        <v>0.5148071544</v>
      </c>
      <c r="W2371" s="82">
        <f>IFERROR(__xludf.DUMMYFUNCTION("""COMPUTED_VALUE"""),1.2856604774430649)</f>
        <v>1.285660477</v>
      </c>
      <c r="X2371" s="82">
        <f>IFERROR(__xludf.DUMMYFUNCTION("""COMPUTED_VALUE"""),2.200035224720327)</f>
        <v>2.200035225</v>
      </c>
      <c r="Y2371" s="82">
        <f>IFERROR(__xludf.DUMMYFUNCTION("""COMPUTED_VALUE"""),334.1243972889888)</f>
        <v>334.1243973</v>
      </c>
      <c r="Z2371" s="82">
        <f>IFERROR(__xludf.DUMMYFUNCTION("""COMPUTED_VALUE"""),0.7984859972118229)</f>
        <v>0.7984859972</v>
      </c>
      <c r="AA2371" s="82">
        <f>IFERROR(__xludf.DUMMYFUNCTION("""COMPUTED_VALUE"""),0.5617944399390118)</f>
        <v>0.5617944399</v>
      </c>
      <c r="AB2371" s="82">
        <f>IFERROR(__xludf.DUMMYFUNCTION("""COMPUTED_VALUE"""),1.1015454499655033)</f>
        <v>1.10154545</v>
      </c>
      <c r="AC2371" s="82">
        <f>IFERROR(__xludf.DUMMYFUNCTION("""COMPUTED_VALUE"""),2.5720716197535682)</f>
        <v>2.57207162</v>
      </c>
      <c r="AD2371" s="82">
        <f>IFERROR(__xludf.DUMMYFUNCTION("""COMPUTED_VALUE"""),0.8481122668659992)</f>
        <v>0.8481122669</v>
      </c>
      <c r="AE2371" s="82">
        <f>IFERROR(__xludf.DUMMYFUNCTION("""COMPUTED_VALUE"""),0.7435947556666915)</f>
        <v>0.7435947557</v>
      </c>
      <c r="AF2371" s="82">
        <f>IFERROR(__xludf.DUMMYFUNCTION("""COMPUTED_VALUE"""),0.8343799202620933)</f>
        <v>0.8343799203</v>
      </c>
      <c r="AG2371" s="82">
        <f>IFERROR(__xludf.DUMMYFUNCTION("""COMPUTED_VALUE"""),0.8510770027958078)</f>
        <v>0.8510770028</v>
      </c>
      <c r="AH2371" s="82">
        <f>IFERROR(__xludf.DUMMYFUNCTION("""COMPUTED_VALUE"""),0.9476796762889279)</f>
        <v>0.9476796763</v>
      </c>
      <c r="AI2371" s="82">
        <f>IFERROR(__xludf.DUMMYFUNCTION("""COMPUTED_VALUE"""),0.8724907831583832)</f>
        <v>0.8724907832</v>
      </c>
      <c r="AJ2371" s="82">
        <f>IFERROR(__xludf.DUMMYFUNCTION("""COMPUTED_VALUE"""),0.7234195221559855)</f>
        <v>0.7234195222</v>
      </c>
      <c r="AK2371" s="82">
        <f>IFERROR(__xludf.DUMMYFUNCTION("""COMPUTED_VALUE"""),0.6879598770865404)</f>
        <v>0.6879598771</v>
      </c>
      <c r="AL2371" s="82">
        <f>IFERROR(__xludf.DUMMYFUNCTION("""COMPUTED_VALUE"""),0.9641607213427218)</f>
        <v>0.9641607213</v>
      </c>
      <c r="AM2371" s="82">
        <f>IFERROR(__xludf.DUMMYFUNCTION("""COMPUTED_VALUE"""),0.8143809001487362)</f>
        <v>0.8143809001</v>
      </c>
      <c r="AN2371" s="82">
        <f>IFERROR(__xludf.DUMMYFUNCTION("""COMPUTED_VALUE"""),0.862077047223292)</f>
        <v>0.8620770472</v>
      </c>
      <c r="AO2371" s="82">
        <f>IFERROR(__xludf.DUMMYFUNCTION("""COMPUTED_VALUE"""),0.7830057878816096)</f>
        <v>0.7830057879</v>
      </c>
      <c r="AP2371" s="82">
        <f>IFERROR(__xludf.DUMMYFUNCTION("""COMPUTED_VALUE"""),0.9090964551585652)</f>
        <v>0.9090964552</v>
      </c>
      <c r="AQ2371" s="82">
        <f>IFERROR(__xludf.DUMMYFUNCTION("""COMPUTED_VALUE"""),0.7817698032533452)</f>
        <v>0.7817698033</v>
      </c>
      <c r="AR2371" s="82">
        <f>IFERROR(__xludf.DUMMYFUNCTION("""COMPUTED_VALUE"""),1.0161594755821994)</f>
        <v>1.016159476</v>
      </c>
      <c r="AS2371" s="82">
        <f>IFERROR(__xludf.DUMMYFUNCTION("""COMPUTED_VALUE"""),73.0)</f>
        <v>73</v>
      </c>
      <c r="AT2371" s="82">
        <f>IFERROR(__xludf.DUMMYFUNCTION("""COMPUTED_VALUE"""),0.6422886988853646)</f>
        <v>0.6422886989</v>
      </c>
      <c r="AU2371" s="82">
        <f>IFERROR(__xludf.DUMMYFUNCTION("""COMPUTED_VALUE"""),2.8041768145385926)</f>
        <v>2.804176815</v>
      </c>
      <c r="AV2371" s="82">
        <f>IFERROR(__xludf.DUMMYFUNCTION("""COMPUTED_VALUE"""),44.73856737855295)</f>
        <v>44.73856738</v>
      </c>
      <c r="AW2371" s="82">
        <f t="shared" si="1"/>
        <v>-2.400064981</v>
      </c>
      <c r="AX2371" s="83">
        <f t="array" ref="AX2371">IFERROR(DGET('SBV Import'!A:G,"SBV",{"RSC ID","Tier";B2371,A2371}))</f>
        <v>44.0728487</v>
      </c>
      <c r="AY2371" s="82">
        <f t="shared" si="2"/>
        <v>-2.461265729</v>
      </c>
      <c r="AZ2371" s="82">
        <v>0.06120074867735781</v>
      </c>
      <c r="BA2371" s="84">
        <v>2300.0</v>
      </c>
      <c r="BB2371" s="84" t="b">
        <f>IFERROR(__xludf.DUMMYFUNCTION("iferror(if(A2371="""",,E2371&gt;=FILTER(Constants!$F$2:$F$10,Constants!$A$2:$A$10=A2371)))"),TRUE)</f>
        <v>1</v>
      </c>
    </row>
    <row r="2372">
      <c r="A2372" s="89" t="str">
        <f>IFERROR(__xludf.DUMMYFUNCTION("""COMPUTED_VALUE"""),"Challenger")</f>
        <v>Challenger</v>
      </c>
      <c r="B2372" s="87" t="str">
        <f>IFERROR(__xludf.DUMMYFUNCTION("""COMPUTED_VALUE"""),"RSC003424")</f>
        <v>RSC003424</v>
      </c>
      <c r="C2372" s="73" t="str">
        <f>IFERROR(__xludf.DUMMYFUNCTION("""COMPUTED_VALUE"""),"Fryder")</f>
        <v>Fryder</v>
      </c>
      <c r="D2372" s="73" t="str">
        <f>IFERROR(__xludf.DUMMYFUNCTION("""COMPUTED_VALUE"""),"Metal")</f>
        <v>Metal</v>
      </c>
      <c r="E2372" s="82">
        <f>IFERROR(__xludf.DUMMYFUNCTION("""COMPUTED_VALUE"""),25.0)</f>
        <v>25</v>
      </c>
      <c r="F2372" s="82">
        <f>IFERROR(__xludf.DUMMYFUNCTION("""COMPUTED_VALUE"""),10.0)</f>
        <v>10</v>
      </c>
      <c r="G2372" s="86">
        <f>IFERROR(__xludf.DUMMYFUNCTION("""COMPUTED_VALUE"""),15.0)</f>
        <v>15</v>
      </c>
      <c r="H2372" s="86">
        <f>IFERROR(__xludf.DUMMYFUNCTION("""COMPUTED_VALUE"""),0.4)</f>
        <v>0.4</v>
      </c>
      <c r="I2372" s="86">
        <f>IFERROR(__xludf.DUMMYFUNCTION("""COMPUTED_VALUE"""),0.25806451612903225)</f>
        <v>0.2580645161</v>
      </c>
      <c r="J2372" s="82">
        <f>IFERROR(__xludf.DUMMYFUNCTION("""COMPUTED_VALUE"""),334.96)</f>
        <v>334.96</v>
      </c>
      <c r="K2372" s="82">
        <f>IFERROR(__xludf.DUMMYFUNCTION("""COMPUTED_VALUE"""),0.64)</f>
        <v>0.64</v>
      </c>
      <c r="L2372" s="82">
        <f>IFERROR(__xludf.DUMMYFUNCTION("""COMPUTED_VALUE"""),0.56)</f>
        <v>0.56</v>
      </c>
      <c r="M2372" s="82">
        <f>IFERROR(__xludf.DUMMYFUNCTION("""COMPUTED_VALUE"""),1.36)</f>
        <v>1.36</v>
      </c>
      <c r="N2372" s="82">
        <f>IFERROR(__xludf.DUMMYFUNCTION("""COMPUTED_VALUE"""),2.48)</f>
        <v>2.48</v>
      </c>
      <c r="O2372" s="82">
        <f>IFERROR(__xludf.DUMMYFUNCTION("""COMPUTED_VALUE"""),323.05333333333334)</f>
        <v>323.0533333</v>
      </c>
      <c r="P2372" s="82">
        <f>IFERROR(__xludf.DUMMYFUNCTION("""COMPUTED_VALUE"""),0.7866666666666667)</f>
        <v>0.7866666667</v>
      </c>
      <c r="Q2372" s="82">
        <f>IFERROR(__xludf.DUMMYFUNCTION("""COMPUTED_VALUE"""),0.5199999999999999)</f>
        <v>0.52</v>
      </c>
      <c r="R2372" s="82">
        <f>IFERROR(__xludf.DUMMYFUNCTION("""COMPUTED_VALUE"""),1.0533333333333337)</f>
        <v>1.053333333</v>
      </c>
      <c r="S2372" s="82">
        <f>IFERROR(__xludf.DUMMYFUNCTION("""COMPUTED_VALUE"""),2.3466666666666667)</f>
        <v>2.346666667</v>
      </c>
      <c r="T2372" s="82">
        <f>IFERROR(__xludf.DUMMYFUNCTION("""COMPUTED_VALUE"""),325.85967483443324)</f>
        <v>325.8596748</v>
      </c>
      <c r="U2372" s="82">
        <f>IFERROR(__xludf.DUMMYFUNCTION("""COMPUTED_VALUE"""),0.7236113614557148)</f>
        <v>0.7236113615</v>
      </c>
      <c r="V2372" s="82">
        <f>IFERROR(__xludf.DUMMYFUNCTION("""COMPUTED_VALUE"""),0.4988205122782104)</f>
        <v>0.4988205123</v>
      </c>
      <c r="W2372" s="82">
        <f>IFERROR(__xludf.DUMMYFUNCTION("""COMPUTED_VALUE"""),1.2415519367168584)</f>
        <v>1.241551937</v>
      </c>
      <c r="X2372" s="82">
        <f>IFERROR(__xludf.DUMMYFUNCTION("""COMPUTED_VALUE"""),2.2957057587007204)</f>
        <v>2.295705759</v>
      </c>
      <c r="Y2372" s="82">
        <f>IFERROR(__xludf.DUMMYFUNCTION("""COMPUTED_VALUE"""),346.44341766676416)</f>
        <v>346.4434177</v>
      </c>
      <c r="Z2372" s="82">
        <f>IFERROR(__xludf.DUMMYFUNCTION("""COMPUTED_VALUE"""),0.8466167747278134)</f>
        <v>0.8466167747</v>
      </c>
      <c r="AA2372" s="82">
        <f>IFERROR(__xludf.DUMMYFUNCTION("""COMPUTED_VALUE"""),0.6079816374658626)</f>
        <v>0.6079816375</v>
      </c>
      <c r="AB2372" s="82">
        <f>IFERROR(__xludf.DUMMYFUNCTION("""COMPUTED_VALUE"""),1.1668701817156966)</f>
        <v>1.166870182</v>
      </c>
      <c r="AC2372" s="82">
        <f>IFERROR(__xludf.DUMMYFUNCTION("""COMPUTED_VALUE"""),2.5685094382628453)</f>
        <v>2.568509438</v>
      </c>
      <c r="AD2372" s="82">
        <f>IFERROR(__xludf.DUMMYFUNCTION("""COMPUTED_VALUE"""),0.966853410741347)</f>
        <v>0.9668534107</v>
      </c>
      <c r="AE2372" s="82">
        <f>IFERROR(__xludf.DUMMYFUNCTION("""COMPUTED_VALUE"""),0.7559500580481169)</f>
        <v>0.755950058</v>
      </c>
      <c r="AF2372" s="82">
        <f>IFERROR(__xludf.DUMMYFUNCTION("""COMPUTED_VALUE"""),0.9210804496236834)</f>
        <v>0.9210804496</v>
      </c>
      <c r="AG2372" s="82">
        <f>IFERROR(__xludf.DUMMYFUNCTION("""COMPUTED_VALUE"""),1.1655109722662866)</f>
        <v>1.165510972</v>
      </c>
      <c r="AH2372" s="82">
        <f>IFERROR(__xludf.DUMMYFUNCTION("""COMPUTED_VALUE"""),0.9655405438873113)</f>
        <v>0.9655405439</v>
      </c>
      <c r="AI2372" s="82">
        <f>IFERROR(__xludf.DUMMYFUNCTION("""COMPUTED_VALUE"""),0.9913878834423874)</f>
        <v>0.9913878834</v>
      </c>
      <c r="AJ2372" s="82">
        <f>IFERROR(__xludf.DUMMYFUNCTION("""COMPUTED_VALUE"""),1.0871397390501185)</f>
        <v>1.087139739</v>
      </c>
      <c r="AK2372" s="82">
        <f>IFERROR(__xludf.DUMMYFUNCTION("""COMPUTED_VALUE"""),1.0424591355015829)</f>
        <v>1.042459136</v>
      </c>
      <c r="AL2372" s="82">
        <f>IFERROR(__xludf.DUMMYFUNCTION("""COMPUTED_VALUE"""),0.8484005398265922)</f>
        <v>0.8484005398</v>
      </c>
      <c r="AM2372" s="82">
        <f>IFERROR(__xludf.DUMMYFUNCTION("""COMPUTED_VALUE"""),1.0221983622129294)</f>
        <v>1.022198362</v>
      </c>
      <c r="AN2372" s="82">
        <f>IFERROR(__xludf.DUMMYFUNCTION("""COMPUTED_VALUE"""),1.0190077732259863)</f>
        <v>1.019007773</v>
      </c>
      <c r="AO2372" s="82">
        <f>IFERROR(__xludf.DUMMYFUNCTION("""COMPUTED_VALUE"""),0.8439978176744928)</f>
        <v>0.8439978177</v>
      </c>
      <c r="AP2372" s="82">
        <f>IFERROR(__xludf.DUMMYFUNCTION("""COMPUTED_VALUE"""),1.086067231762766)</f>
        <v>1.086067232</v>
      </c>
      <c r="AQ2372" s="82">
        <f>IFERROR(__xludf.DUMMYFUNCTION("""COMPUTED_VALUE"""),1.1340873945861862)</f>
        <v>1.134087395</v>
      </c>
      <c r="AR2372" s="82">
        <f>IFERROR(__xludf.DUMMYFUNCTION("""COMPUTED_VALUE"""),1.033877127976966)</f>
        <v>1.033877128</v>
      </c>
      <c r="AS2372" s="82">
        <f>IFERROR(__xludf.DUMMYFUNCTION("""COMPUTED_VALUE"""),51.0)</f>
        <v>51</v>
      </c>
      <c r="AT2372" s="82">
        <f>IFERROR(__xludf.DUMMYFUNCTION("""COMPUTED_VALUE"""),0.4444975339306604)</f>
        <v>0.4444975339</v>
      </c>
      <c r="AU2372" s="82">
        <f>IFERROR(__xludf.DUMMYFUNCTION("""COMPUTED_VALUE"""),2.7984995787154285)</f>
        <v>2.798499579</v>
      </c>
      <c r="AV2372" s="82">
        <f>IFERROR(__xludf.DUMMYFUNCTION("""COMPUTED_VALUE"""),44.5884490138526)</f>
        <v>44.58844901</v>
      </c>
      <c r="AW2372" s="82">
        <f t="shared" si="1"/>
        <v>-2.413629442</v>
      </c>
      <c r="AX2372" s="83">
        <f t="array" ref="AX2372">IFERROR(DGET('SBV Import'!A:G,"SBV",{"RSC ID","Tier";B2372,A2372}))</f>
        <v>56.23724648</v>
      </c>
      <c r="AY2372" s="82">
        <f t="shared" si="2"/>
        <v>2.490716216</v>
      </c>
      <c r="AZ2372" s="82">
        <v>4.904345657685139</v>
      </c>
      <c r="BA2372" s="84">
        <v>2300.0</v>
      </c>
      <c r="BB2372" s="84" t="b">
        <f>IFERROR(__xludf.DUMMYFUNCTION("iferror(if(A2372="""",,E2372&gt;=FILTER(Constants!$F$2:$F$10,Constants!$A$2:$A$10=A2372)))"),TRUE)</f>
        <v>1</v>
      </c>
    </row>
    <row r="2373">
      <c r="A2373" s="89" t="str">
        <f>IFERROR(__xludf.DUMMYFUNCTION("""COMPUTED_VALUE"""),"Challenger")</f>
        <v>Challenger</v>
      </c>
      <c r="B2373" s="87" t="str">
        <f>IFERROR(__xludf.DUMMYFUNCTION("""COMPUTED_VALUE"""),"RSC002128")</f>
        <v>RSC002128</v>
      </c>
      <c r="C2373" s="73" t="str">
        <f>IFERROR(__xludf.DUMMYFUNCTION("""COMPUTED_VALUE"""),"Velo")</f>
        <v>Velo</v>
      </c>
      <c r="D2373" s="73" t="str">
        <f>IFERROR(__xludf.DUMMYFUNCTION("""COMPUTED_VALUE"""),"Jock O Lanterns")</f>
        <v>Jock O Lanterns</v>
      </c>
      <c r="E2373" s="82">
        <f>IFERROR(__xludf.DUMMYFUNCTION("""COMPUTED_VALUE"""),36.0)</f>
        <v>36</v>
      </c>
      <c r="F2373" s="82">
        <f>IFERROR(__xludf.DUMMYFUNCTION("""COMPUTED_VALUE"""),16.0)</f>
        <v>16</v>
      </c>
      <c r="G2373" s="86">
        <f>IFERROR(__xludf.DUMMYFUNCTION("""COMPUTED_VALUE"""),20.0)</f>
        <v>20</v>
      </c>
      <c r="H2373" s="86">
        <f>IFERROR(__xludf.DUMMYFUNCTION("""COMPUTED_VALUE"""),0.4444444444444444)</f>
        <v>0.4444444444</v>
      </c>
      <c r="I2373" s="86">
        <f>IFERROR(__xludf.DUMMYFUNCTION("""COMPUTED_VALUE"""),0.2247191011235955)</f>
        <v>0.2247191011</v>
      </c>
      <c r="J2373" s="82">
        <f>IFERROR(__xludf.DUMMYFUNCTION("""COMPUTED_VALUE"""),324.72222222222223)</f>
        <v>324.7222222</v>
      </c>
      <c r="K2373" s="82">
        <f>IFERROR(__xludf.DUMMYFUNCTION("""COMPUTED_VALUE"""),0.5555555555555556)</f>
        <v>0.5555555556</v>
      </c>
      <c r="L2373" s="82">
        <f>IFERROR(__xludf.DUMMYFUNCTION("""COMPUTED_VALUE"""),0.6388888888888888)</f>
        <v>0.6388888889</v>
      </c>
      <c r="M2373" s="82">
        <f>IFERROR(__xludf.DUMMYFUNCTION("""COMPUTED_VALUE"""),1.1388888888888888)</f>
        <v>1.138888889</v>
      </c>
      <c r="N2373" s="82">
        <f>IFERROR(__xludf.DUMMYFUNCTION("""COMPUTED_VALUE"""),2.4722222222222223)</f>
        <v>2.472222222</v>
      </c>
      <c r="O2373" s="82">
        <f>IFERROR(__xludf.DUMMYFUNCTION("""COMPUTED_VALUE"""),378.49074074074076)</f>
        <v>378.4907407</v>
      </c>
      <c r="P2373" s="82">
        <f>IFERROR(__xludf.DUMMYFUNCTION("""COMPUTED_VALUE"""),0.9351851851851851)</f>
        <v>0.9351851852</v>
      </c>
      <c r="Q2373" s="82">
        <f>IFERROR(__xludf.DUMMYFUNCTION("""COMPUTED_VALUE"""),0.6111111111111112)</f>
        <v>0.6111111111</v>
      </c>
      <c r="R2373" s="82">
        <f>IFERROR(__xludf.DUMMYFUNCTION("""COMPUTED_VALUE"""),1.398148148148148)</f>
        <v>1.398148148</v>
      </c>
      <c r="S2373" s="82">
        <f>IFERROR(__xludf.DUMMYFUNCTION("""COMPUTED_VALUE"""),2.4537037037037037)</f>
        <v>2.453703704</v>
      </c>
      <c r="T2373" s="82">
        <f>IFERROR(__xludf.DUMMYFUNCTION("""COMPUTED_VALUE"""),339.2224518212834)</f>
        <v>339.2224518</v>
      </c>
      <c r="U2373" s="82">
        <f>IFERROR(__xludf.DUMMYFUNCTION("""COMPUTED_VALUE"""),0.7959073942602362)</f>
        <v>0.7959073943</v>
      </c>
      <c r="V2373" s="82">
        <f>IFERROR(__xludf.DUMMYFUNCTION("""COMPUTED_VALUE"""),0.5882813058379158)</f>
        <v>0.5882813058</v>
      </c>
      <c r="W2373" s="82">
        <f>IFERROR(__xludf.DUMMYFUNCTION("""COMPUTED_VALUE"""),1.2152784793879565)</f>
        <v>1.215278479</v>
      </c>
      <c r="X2373" s="82">
        <f>IFERROR(__xludf.DUMMYFUNCTION("""COMPUTED_VALUE"""),2.435506658507983)</f>
        <v>2.435506659</v>
      </c>
      <c r="Y2373" s="82">
        <f>IFERROR(__xludf.DUMMYFUNCTION("""COMPUTED_VALUE"""),335.9476602193547)</f>
        <v>335.9476602</v>
      </c>
      <c r="Z2373" s="82">
        <f>IFERROR(__xludf.DUMMYFUNCTION("""COMPUTED_VALUE"""),0.8054005268636585)</f>
        <v>0.8054005269</v>
      </c>
      <c r="AA2373" s="82">
        <f>IFERROR(__xludf.DUMMYFUNCTION("""COMPUTED_VALUE"""),0.5543462344724199)</f>
        <v>0.5543462345</v>
      </c>
      <c r="AB2373" s="82">
        <f>IFERROR(__xludf.DUMMYFUNCTION("""COMPUTED_VALUE"""),1.1625492259115418)</f>
        <v>1.162549226</v>
      </c>
      <c r="AC2373" s="82">
        <f>IFERROR(__xludf.DUMMYFUNCTION("""COMPUTED_VALUE"""),2.500065716831841)</f>
        <v>2.500065717</v>
      </c>
      <c r="AD2373" s="82">
        <f>IFERROR(__xludf.DUMMYFUNCTION("""COMPUTED_VALUE"""),0.9665857532991808)</f>
        <v>0.9665857533</v>
      </c>
      <c r="AE2373" s="82">
        <f>IFERROR(__xludf.DUMMYFUNCTION("""COMPUTED_VALUE"""),0.6897879216927831)</f>
        <v>0.6897879217</v>
      </c>
      <c r="AF2373" s="82">
        <f>IFERROR(__xludf.DUMMYFUNCTION("""COMPUTED_VALUE"""),1.152508755646062)</f>
        <v>1.152508756</v>
      </c>
      <c r="AG2373" s="82">
        <f>IFERROR(__xludf.DUMMYFUNCTION("""COMPUTED_VALUE"""),0.9796478837237184)</f>
        <v>0.9796478837</v>
      </c>
      <c r="AH2373" s="82">
        <f>IFERROR(__xludf.DUMMYFUNCTION("""COMPUTED_VALUE"""),0.9888628949142573)</f>
        <v>0.9888628949</v>
      </c>
      <c r="AI2373" s="82">
        <f>IFERROR(__xludf.DUMMYFUNCTION("""COMPUTED_VALUE"""),1.1157596990076162)</f>
        <v>1.115759699</v>
      </c>
      <c r="AJ2373" s="82">
        <f>IFERROR(__xludf.DUMMYFUNCTION("""COMPUTED_VALUE"""),1.1749924575765527)</f>
        <v>1.174992458</v>
      </c>
      <c r="AK2373" s="82">
        <f>IFERROR(__xludf.DUMMYFUNCTION("""COMPUTED_VALUE"""),1.0388076334342764)</f>
        <v>1.038807633</v>
      </c>
      <c r="AL2373" s="82">
        <f>IFERROR(__xludf.DUMMYFUNCTION("""COMPUTED_VALUE"""),1.150475526277968)</f>
        <v>1.150475526</v>
      </c>
      <c r="AM2373" s="82">
        <f>IFERROR(__xludf.DUMMYFUNCTION("""COMPUTED_VALUE"""),1.0074715645437275)</f>
        <v>1.007471565</v>
      </c>
      <c r="AN2373" s="82">
        <f>IFERROR(__xludf.DUMMYFUNCTION("""COMPUTED_VALUE"""),0.9878626360868779)</f>
        <v>0.9878626361</v>
      </c>
      <c r="AO2373" s="82">
        <f>IFERROR(__xludf.DUMMYFUNCTION("""COMPUTED_VALUE"""),0.7326369945091084)</f>
        <v>0.7326369945</v>
      </c>
      <c r="AP2373" s="82">
        <f>IFERROR(__xludf.DUMMYFUNCTION("""COMPUTED_VALUE"""),1.2390647981420444)</f>
        <v>1.239064798</v>
      </c>
      <c r="AQ2373" s="82">
        <f>IFERROR(__xludf.DUMMYFUNCTION("""COMPUTED_VALUE"""),0.9497055387670268)</f>
        <v>0.9497055388</v>
      </c>
      <c r="AR2373" s="82">
        <f>IFERROR(__xludf.DUMMYFUNCTION("""COMPUTED_VALUE"""),1.0306346817870742)</f>
        <v>1.030634682</v>
      </c>
      <c r="AS2373" s="82">
        <f>IFERROR(__xludf.DUMMYFUNCTION("""COMPUTED_VALUE"""),82.0)</f>
        <v>82</v>
      </c>
      <c r="AT2373" s="82">
        <f>IFERROR(__xludf.DUMMYFUNCTION("""COMPUTED_VALUE"""),0.41767465187790215)</f>
        <v>0.4176746519</v>
      </c>
      <c r="AU2373" s="82">
        <f>IFERROR(__xludf.DUMMYFUNCTION("""COMPUTED_VALUE"""),2.7904189744581567)</f>
        <v>2.790418974</v>
      </c>
      <c r="AV2373" s="82">
        <f>IFERROR(__xludf.DUMMYFUNCTION("""COMPUTED_VALUE"""),44.37478040210621)</f>
        <v>44.3747804</v>
      </c>
      <c r="AW2373" s="82">
        <f t="shared" si="1"/>
        <v>-2.433171601</v>
      </c>
      <c r="AX2373" s="83">
        <f t="array" ref="AX2373">IFERROR(DGET('SBV Import'!A:G,"SBV",{"RSC ID","Tier";B2373,A2373}))</f>
        <v>45.63327712</v>
      </c>
      <c r="AY2373" s="82">
        <f t="shared" si="2"/>
        <v>-2.321964007</v>
      </c>
      <c r="AZ2373" s="82">
        <v>0.11120759448720108</v>
      </c>
      <c r="BA2373" s="84">
        <v>2300.0</v>
      </c>
      <c r="BB2373" s="84" t="b">
        <f>IFERROR(__xludf.DUMMYFUNCTION("iferror(if(A2373="""",,E2373&gt;=FILTER(Constants!$F$2:$F$10,Constants!$A$2:$A$10=A2373)))"),TRUE)</f>
        <v>1</v>
      </c>
    </row>
    <row r="2374">
      <c r="A2374" s="89" t="str">
        <f>IFERROR(__xludf.DUMMYFUNCTION("""COMPUTED_VALUE"""),"Challenger")</f>
        <v>Challenger</v>
      </c>
      <c r="B2374" s="87" t="str">
        <f>IFERROR(__xludf.DUMMYFUNCTION("""COMPUTED_VALUE"""),"RSC006923")</f>
        <v>RSC006923</v>
      </c>
      <c r="C2374" s="73" t="str">
        <f>IFERROR(__xludf.DUMMYFUNCTION("""COMPUTED_VALUE"""),"LostZealous")</f>
        <v>LostZealous</v>
      </c>
      <c r="D2374" s="73" t="str">
        <f>IFERROR(__xludf.DUMMYFUNCTION("""COMPUTED_VALUE"""),"Zombies")</f>
        <v>Zombies</v>
      </c>
      <c r="E2374" s="82">
        <f>IFERROR(__xludf.DUMMYFUNCTION("""COMPUTED_VALUE"""),36.0)</f>
        <v>36</v>
      </c>
      <c r="F2374" s="82">
        <f>IFERROR(__xludf.DUMMYFUNCTION("""COMPUTED_VALUE"""),16.0)</f>
        <v>16</v>
      </c>
      <c r="G2374" s="86">
        <f>IFERROR(__xludf.DUMMYFUNCTION("""COMPUTED_VALUE"""),20.0)</f>
        <v>20</v>
      </c>
      <c r="H2374" s="86">
        <f>IFERROR(__xludf.DUMMYFUNCTION("""COMPUTED_VALUE"""),0.4444444444444444)</f>
        <v>0.4444444444</v>
      </c>
      <c r="I2374" s="86">
        <f>IFERROR(__xludf.DUMMYFUNCTION("""COMPUTED_VALUE"""),0.34210526315789475)</f>
        <v>0.3421052632</v>
      </c>
      <c r="J2374" s="82">
        <f>IFERROR(__xludf.DUMMYFUNCTION("""COMPUTED_VALUE"""),319.97222222222223)</f>
        <v>319.9722222</v>
      </c>
      <c r="K2374" s="82">
        <f>IFERROR(__xludf.DUMMYFUNCTION("""COMPUTED_VALUE"""),0.7222222222222222)</f>
        <v>0.7222222222</v>
      </c>
      <c r="L2374" s="82">
        <f>IFERROR(__xludf.DUMMYFUNCTION("""COMPUTED_VALUE"""),0.4166666666666667)</f>
        <v>0.4166666667</v>
      </c>
      <c r="M2374" s="82">
        <f>IFERROR(__xludf.DUMMYFUNCTION("""COMPUTED_VALUE"""),1.3611111111111112)</f>
        <v>1.361111111</v>
      </c>
      <c r="N2374" s="82">
        <f>IFERROR(__xludf.DUMMYFUNCTION("""COMPUTED_VALUE"""),2.111111111111111)</f>
        <v>2.111111111</v>
      </c>
      <c r="O2374" s="82">
        <f>IFERROR(__xludf.DUMMYFUNCTION("""COMPUTED_VALUE"""),313.5740740740741)</f>
        <v>313.5740741</v>
      </c>
      <c r="P2374" s="82">
        <f>IFERROR(__xludf.DUMMYFUNCTION("""COMPUTED_VALUE"""),0.7407407407407408)</f>
        <v>0.7407407407</v>
      </c>
      <c r="Q2374" s="82">
        <f>IFERROR(__xludf.DUMMYFUNCTION("""COMPUTED_VALUE"""),0.5000000000000001)</f>
        <v>0.5</v>
      </c>
      <c r="R2374" s="82">
        <f>IFERROR(__xludf.DUMMYFUNCTION("""COMPUTED_VALUE"""),1.111111111111111)</f>
        <v>1.111111111</v>
      </c>
      <c r="S2374" s="82">
        <f>IFERROR(__xludf.DUMMYFUNCTION("""COMPUTED_VALUE"""),2.4907407407407405)</f>
        <v>2.490740741</v>
      </c>
      <c r="T2374" s="82">
        <f>IFERROR(__xludf.DUMMYFUNCTION("""COMPUTED_VALUE"""),337.60034588823396)</f>
        <v>337.6003459</v>
      </c>
      <c r="U2374" s="82">
        <f>IFERROR(__xludf.DUMMYFUNCTION("""COMPUTED_VALUE"""),0.797659958082181)</f>
        <v>0.7976599581</v>
      </c>
      <c r="V2374" s="82">
        <f>IFERROR(__xludf.DUMMYFUNCTION("""COMPUTED_VALUE"""),0.5660524413144286)</f>
        <v>0.5660524413</v>
      </c>
      <c r="W2374" s="82">
        <f>IFERROR(__xludf.DUMMYFUNCTION("""COMPUTED_VALUE"""),1.1707920514843437)</f>
        <v>1.170792051</v>
      </c>
      <c r="X2374" s="82">
        <f>IFERROR(__xludf.DUMMYFUNCTION("""COMPUTED_VALUE"""),2.542772829349495)</f>
        <v>2.542772829</v>
      </c>
      <c r="Y2374" s="82">
        <f>IFERROR(__xludf.DUMMYFUNCTION("""COMPUTED_VALUE"""),333.0994048844733)</f>
        <v>333.0994049</v>
      </c>
      <c r="Z2374" s="82">
        <f>IFERROR(__xludf.DUMMYFUNCTION("""COMPUTED_VALUE"""),0.7263373634388155)</f>
        <v>0.7263373634</v>
      </c>
      <c r="AA2374" s="82">
        <f>IFERROR(__xludf.DUMMYFUNCTION("""COMPUTED_VALUE"""),0.5026457459520366)</f>
        <v>0.502645746</v>
      </c>
      <c r="AB2374" s="82">
        <f>IFERROR(__xludf.DUMMYFUNCTION("""COMPUTED_VALUE"""),1.3231153009120316)</f>
        <v>1.323115301</v>
      </c>
      <c r="AC2374" s="82">
        <f>IFERROR(__xludf.DUMMYFUNCTION("""COMPUTED_VALUE"""),2.318694120158237)</f>
        <v>2.31869412</v>
      </c>
      <c r="AD2374" s="82">
        <f>IFERROR(__xludf.DUMMYFUNCTION("""COMPUTED_VALUE"""),0.9605907952108054)</f>
        <v>0.9605907952</v>
      </c>
      <c r="AE2374" s="82">
        <f>IFERROR(__xludf.DUMMYFUNCTION("""COMPUTED_VALUE"""),0.9943343941483193)</f>
        <v>0.9943343941</v>
      </c>
      <c r="AF2374" s="82">
        <f>IFERROR(__xludf.DUMMYFUNCTION("""COMPUTED_VALUE"""),0.8289469671676597)</f>
        <v>0.8289469672</v>
      </c>
      <c r="AG2374" s="82">
        <f>IFERROR(__xludf.DUMMYFUNCTION("""COMPUTED_VALUE"""),1.02871693054482)</f>
        <v>1.028716931</v>
      </c>
      <c r="AH2374" s="82">
        <f>IFERROR(__xludf.DUMMYFUNCTION("""COMPUTED_VALUE"""),0.9104741728361482)</f>
        <v>0.9104741728</v>
      </c>
      <c r="AI2374" s="82">
        <f>IFERROR(__xludf.DUMMYFUNCTION("""COMPUTED_VALUE"""),0.9288322061668917)</f>
        <v>0.9288322062</v>
      </c>
      <c r="AJ2374" s="82">
        <f>IFERROR(__xludf.DUMMYFUNCTION("""COMPUTED_VALUE"""),0.9286422531747845)</f>
        <v>0.9286422532</v>
      </c>
      <c r="AK2374" s="82">
        <f>IFERROR(__xludf.DUMMYFUNCTION("""COMPUTED_VALUE"""),0.883310385233834)</f>
        <v>0.8833103852</v>
      </c>
      <c r="AL2374" s="82">
        <f>IFERROR(__xludf.DUMMYFUNCTION("""COMPUTED_VALUE"""),0.9490251575439306)</f>
        <v>0.9490251575</v>
      </c>
      <c r="AM2374" s="82">
        <f>IFERROR(__xludf.DUMMYFUNCTION("""COMPUTED_VALUE"""),0.9795372641990729)</f>
        <v>0.9795372642</v>
      </c>
      <c r="AN2374" s="82">
        <f>IFERROR(__xludf.DUMMYFUNCTION("""COMPUTED_VALUE"""),0.973412292992707)</f>
        <v>0.973412293</v>
      </c>
      <c r="AO2374" s="82">
        <f>IFERROR(__xludf.DUMMYFUNCTION("""COMPUTED_VALUE"""),0.9524280928618408)</f>
        <v>0.9524280929</v>
      </c>
      <c r="AP2374" s="82">
        <f>IFERROR(__xludf.DUMMYFUNCTION("""COMPUTED_VALUE"""),0.8080857379187247)</f>
        <v>0.8080857379</v>
      </c>
      <c r="AQ2374" s="82">
        <f>IFERROR(__xludf.DUMMYFUNCTION("""COMPUTED_VALUE"""),1.1350139365752272)</f>
        <v>1.135013937</v>
      </c>
      <c r="AR2374" s="82">
        <f>IFERROR(__xludf.DUMMYFUNCTION("""COMPUTED_VALUE"""),0.8800925372563778)</f>
        <v>0.8800925373</v>
      </c>
      <c r="AS2374" s="82">
        <f>IFERROR(__xludf.DUMMYFUNCTION("""COMPUTED_VALUE"""),80.0)</f>
        <v>80</v>
      </c>
      <c r="AT2374" s="82">
        <f>IFERROR(__xludf.DUMMYFUNCTION("""COMPUTED_VALUE"""),0.5)</f>
        <v>0.5</v>
      </c>
      <c r="AU2374" s="82">
        <f>IFERROR(__xludf.DUMMYFUNCTION("""COMPUTED_VALUE"""),2.787537412789264)</f>
        <v>2.787537413</v>
      </c>
      <c r="AV2374" s="82">
        <f>IFERROR(__xludf.DUMMYFUNCTION("""COMPUTED_VALUE"""),44.29858569415478)</f>
        <v>44.29858569</v>
      </c>
      <c r="AW2374" s="82">
        <f t="shared" si="1"/>
        <v>-2.440208008</v>
      </c>
      <c r="AX2374" s="83">
        <f t="array" ref="AX2374">IFERROR(DGET('SBV Import'!A:G,"SBV",{"RSC ID","Tier";B2374,A2374}))</f>
        <v>46.13682075</v>
      </c>
      <c r="AY2374" s="82">
        <f t="shared" si="2"/>
        <v>-2.279997122</v>
      </c>
      <c r="AZ2374" s="82">
        <v>0.16021088624790591</v>
      </c>
      <c r="BA2374" s="84">
        <v>2300.0</v>
      </c>
      <c r="BB2374" s="84" t="b">
        <f>IFERROR(__xludf.DUMMYFUNCTION("iferror(if(A2374="""",,E2374&gt;=FILTER(Constants!$F$2:$F$10,Constants!$A$2:$A$10=A2374)))"),TRUE)</f>
        <v>1</v>
      </c>
    </row>
    <row r="2375">
      <c r="A2375" s="89" t="str">
        <f>IFERROR(__xludf.DUMMYFUNCTION("""COMPUTED_VALUE"""),"Challenger")</f>
        <v>Challenger</v>
      </c>
      <c r="B2375" s="87" t="str">
        <f>IFERROR(__xludf.DUMMYFUNCTION("""COMPUTED_VALUE"""),"RSC007065")</f>
        <v>RSC007065</v>
      </c>
      <c r="C2375" s="73" t="str">
        <f>IFERROR(__xludf.DUMMYFUNCTION("""COMPUTED_VALUE"""),"Rampage")</f>
        <v>Rampage</v>
      </c>
      <c r="D2375" s="73" t="str">
        <f>IFERROR(__xludf.DUMMYFUNCTION("""COMPUTED_VALUE"""),"Havarti Hustlers")</f>
        <v>Havarti Hustlers</v>
      </c>
      <c r="E2375" s="82">
        <f>IFERROR(__xludf.DUMMYFUNCTION("""COMPUTED_VALUE"""),15.0)</f>
        <v>15</v>
      </c>
      <c r="F2375" s="82">
        <f>IFERROR(__xludf.DUMMYFUNCTION("""COMPUTED_VALUE"""),6.0)</f>
        <v>6</v>
      </c>
      <c r="G2375" s="86">
        <f>IFERROR(__xludf.DUMMYFUNCTION("""COMPUTED_VALUE"""),9.0)</f>
        <v>9</v>
      </c>
      <c r="H2375" s="86">
        <f>IFERROR(__xludf.DUMMYFUNCTION("""COMPUTED_VALUE"""),0.4)</f>
        <v>0.4</v>
      </c>
      <c r="I2375" s="86">
        <f>IFERROR(__xludf.DUMMYFUNCTION("""COMPUTED_VALUE"""),0.25)</f>
        <v>0.25</v>
      </c>
      <c r="J2375" s="82">
        <f>IFERROR(__xludf.DUMMYFUNCTION("""COMPUTED_VALUE"""),314.4)</f>
        <v>314.4</v>
      </c>
      <c r="K2375" s="82">
        <f>IFERROR(__xludf.DUMMYFUNCTION("""COMPUTED_VALUE"""),0.6666666666666666)</f>
        <v>0.6666666667</v>
      </c>
      <c r="L2375" s="82">
        <f>IFERROR(__xludf.DUMMYFUNCTION("""COMPUTED_VALUE"""),0.5333333333333333)</f>
        <v>0.5333333333</v>
      </c>
      <c r="M2375" s="82">
        <f>IFERROR(__xludf.DUMMYFUNCTION("""COMPUTED_VALUE"""),1.0)</f>
        <v>1</v>
      </c>
      <c r="N2375" s="82">
        <f>IFERROR(__xludf.DUMMYFUNCTION("""COMPUTED_VALUE"""),2.6666666666666665)</f>
        <v>2.666666667</v>
      </c>
      <c r="O2375" s="82">
        <f>IFERROR(__xludf.DUMMYFUNCTION("""COMPUTED_VALUE"""),383.1555555555556)</f>
        <v>383.1555556</v>
      </c>
      <c r="P2375" s="82">
        <f>IFERROR(__xludf.DUMMYFUNCTION("""COMPUTED_VALUE"""),0.8444444444444442)</f>
        <v>0.8444444444</v>
      </c>
      <c r="Q2375" s="82">
        <f>IFERROR(__xludf.DUMMYFUNCTION("""COMPUTED_VALUE"""),0.511111111111111)</f>
        <v>0.5111111111</v>
      </c>
      <c r="R2375" s="82">
        <f>IFERROR(__xludf.DUMMYFUNCTION("""COMPUTED_VALUE"""),1.6222222222222222)</f>
        <v>1.622222222</v>
      </c>
      <c r="S2375" s="82">
        <f>IFERROR(__xludf.DUMMYFUNCTION("""COMPUTED_VALUE"""),2.288888888888889)</f>
        <v>2.288888889</v>
      </c>
      <c r="T2375" s="82">
        <f>IFERROR(__xludf.DUMMYFUNCTION("""COMPUTED_VALUE"""),334.77510724917664)</f>
        <v>334.7751072</v>
      </c>
      <c r="U2375" s="82">
        <f>IFERROR(__xludf.DUMMYFUNCTION("""COMPUTED_VALUE"""),0.7247776467447562)</f>
        <v>0.7247776467</v>
      </c>
      <c r="V2375" s="82">
        <f>IFERROR(__xludf.DUMMYFUNCTION("""COMPUTED_VALUE"""),0.5334556719020667)</f>
        <v>0.5334556719</v>
      </c>
      <c r="W2375" s="82">
        <f>IFERROR(__xludf.DUMMYFUNCTION("""COMPUTED_VALUE"""),1.2921248948067416)</f>
        <v>1.292124895</v>
      </c>
      <c r="X2375" s="82">
        <f>IFERROR(__xludf.DUMMYFUNCTION("""COMPUTED_VALUE"""),2.1967320631496787)</f>
        <v>2.196732063</v>
      </c>
      <c r="Y2375" s="82">
        <f>IFERROR(__xludf.DUMMYFUNCTION("""COMPUTED_VALUE"""),338.4541766586854)</f>
        <v>338.4541767</v>
      </c>
      <c r="Z2375" s="82">
        <f>IFERROR(__xludf.DUMMYFUNCTION("""COMPUTED_VALUE"""),0.8228809637079718)</f>
        <v>0.8228809637</v>
      </c>
      <c r="AA2375" s="82">
        <f>IFERROR(__xludf.DUMMYFUNCTION("""COMPUTED_VALUE"""),0.588487161338205)</f>
        <v>0.5884871613</v>
      </c>
      <c r="AB2375" s="82">
        <f>IFERROR(__xludf.DUMMYFUNCTION("""COMPUTED_VALUE"""),1.082367336466799)</f>
        <v>1.082367336</v>
      </c>
      <c r="AC2375" s="82">
        <f>IFERROR(__xludf.DUMMYFUNCTION("""COMPUTED_VALUE"""),2.6418694204238684)</f>
        <v>2.64186942</v>
      </c>
      <c r="AD2375" s="82">
        <f>IFERROR(__xludf.DUMMYFUNCTION("""COMPUTED_VALUE"""),0.9289292958469149)</f>
        <v>0.9289292958</v>
      </c>
      <c r="AE2375" s="82">
        <f>IFERROR(__xludf.DUMMYFUNCTION("""COMPUTED_VALUE"""),0.810161731853183)</f>
        <v>0.8101617319</v>
      </c>
      <c r="AF2375" s="82">
        <f>IFERROR(__xludf.DUMMYFUNCTION("""COMPUTED_VALUE"""),0.9062786214750153)</f>
        <v>0.9062786215</v>
      </c>
      <c r="AG2375" s="82">
        <f>IFERROR(__xludf.DUMMYFUNCTION("""COMPUTED_VALUE"""),0.9239007556014459)</f>
        <v>0.9239007556</v>
      </c>
      <c r="AH2375" s="82">
        <f>IFERROR(__xludf.DUMMYFUNCTION("""COMPUTED_VALUE"""),1.009386249771126)</f>
        <v>1.00938625</v>
      </c>
      <c r="AI2375" s="82">
        <f>IFERROR(__xludf.DUMMYFUNCTION("""COMPUTED_VALUE"""),1.1445162655727832)</f>
        <v>1.144516266</v>
      </c>
      <c r="AJ2375" s="82">
        <f>IFERROR(__xludf.DUMMYFUNCTION("""COMPUTED_VALUE"""),1.1651082897453526)</f>
        <v>1.16510829</v>
      </c>
      <c r="AK2375" s="82">
        <f>IFERROR(__xludf.DUMMYFUNCTION("""COMPUTED_VALUE"""),0.9581135566310789)</f>
        <v>0.9581135566</v>
      </c>
      <c r="AL2375" s="82">
        <f>IFERROR(__xludf.DUMMYFUNCTION("""COMPUTED_VALUE"""),1.255468591884728)</f>
        <v>1.255468592</v>
      </c>
      <c r="AM2375" s="82">
        <f>IFERROR(__xludf.DUMMYFUNCTION("""COMPUTED_VALUE"""),1.0419517825069098)</f>
        <v>1.041951783</v>
      </c>
      <c r="AN2375" s="82">
        <f>IFERROR(__xludf.DUMMYFUNCTION("""COMPUTED_VALUE"""),0.9564606039594283)</f>
        <v>0.956460604</v>
      </c>
      <c r="AO2375" s="82">
        <f>IFERROR(__xludf.DUMMYFUNCTION("""COMPUTED_VALUE"""),0.87916439341093)</f>
        <v>0.8791643934</v>
      </c>
      <c r="AP2375" s="82">
        <f>IFERROR(__xludf.DUMMYFUNCTION("""COMPUTED_VALUE"""),1.0343497445359675)</f>
        <v>1.034349745</v>
      </c>
      <c r="AQ2375" s="82">
        <f>IFERROR(__xludf.DUMMYFUNCTION("""COMPUTED_VALUE"""),0.8338877901369016)</f>
        <v>0.8338877901</v>
      </c>
      <c r="AR2375" s="82">
        <f>IFERROR(__xludf.DUMMYFUNCTION("""COMPUTED_VALUE"""),1.1116958365343719)</f>
        <v>1.111695837</v>
      </c>
      <c r="AS2375" s="82">
        <f>IFERROR(__xludf.DUMMYFUNCTION("""COMPUTED_VALUE"""),32.0)</f>
        <v>32</v>
      </c>
      <c r="AT2375" s="82">
        <f>IFERROR(__xludf.DUMMYFUNCTION("""COMPUTED_VALUE"""),0.43354645047540313)</f>
        <v>0.4335464505</v>
      </c>
      <c r="AU2375" s="82">
        <f>IFERROR(__xludf.DUMMYFUNCTION("""COMPUTED_VALUE"""),2.782788904710167)</f>
        <v>2.782788905</v>
      </c>
      <c r="AV2375" s="82">
        <f>IFERROR(__xludf.DUMMYFUNCTION("""COMPUTED_VALUE"""),44.17302489488483)</f>
        <v>44.17302489</v>
      </c>
      <c r="AW2375" s="82">
        <f t="shared" si="1"/>
        <v>-2.451881644</v>
      </c>
      <c r="AX2375" s="83">
        <f t="array" ref="AX2375">IFERROR(DGET('SBV Import'!A:G,"SBV",{"RSC ID","Tier";B2375,A2375}))</f>
        <v>40.03107187</v>
      </c>
      <c r="AY2375" s="82">
        <f t="shared" si="2"/>
        <v>-2.898247579</v>
      </c>
      <c r="AZ2375" s="82">
        <v>0.4463659344655668</v>
      </c>
      <c r="BA2375" s="84">
        <v>2300.0</v>
      </c>
      <c r="BB2375" s="84" t="b">
        <f>IFERROR(__xludf.DUMMYFUNCTION("iferror(if(A2375="""",,E2375&gt;=FILTER(Constants!$F$2:$F$10,Constants!$A$2:$A$10=A2375)))"),TRUE)</f>
        <v>1</v>
      </c>
    </row>
    <row r="2376">
      <c r="A2376" s="89" t="str">
        <f>IFERROR(__xludf.DUMMYFUNCTION("""COMPUTED_VALUE"""),"Challenger")</f>
        <v>Challenger</v>
      </c>
      <c r="B2376" s="87" t="str">
        <f>IFERROR(__xludf.DUMMYFUNCTION("""COMPUTED_VALUE"""),"RSC007589")</f>
        <v>RSC007589</v>
      </c>
      <c r="C2376" s="73" t="str">
        <f>IFERROR(__xludf.DUMMYFUNCTION("""COMPUTED_VALUE"""),"LilBoneSamaTTV")</f>
        <v>LilBoneSamaTTV</v>
      </c>
      <c r="D2376" s="73" t="str">
        <f>IFERROR(__xludf.DUMMYFUNCTION("""COMPUTED_VALUE"""),"Hydras")</f>
        <v>Hydras</v>
      </c>
      <c r="E2376" s="82">
        <f>IFERROR(__xludf.DUMMYFUNCTION("""COMPUTED_VALUE"""),35.0)</f>
        <v>35</v>
      </c>
      <c r="F2376" s="82">
        <f>IFERROR(__xludf.DUMMYFUNCTION("""COMPUTED_VALUE"""),17.0)</f>
        <v>17</v>
      </c>
      <c r="G2376" s="86">
        <f>IFERROR(__xludf.DUMMYFUNCTION("""COMPUTED_VALUE"""),18.0)</f>
        <v>18</v>
      </c>
      <c r="H2376" s="86">
        <f>IFERROR(__xludf.DUMMYFUNCTION("""COMPUTED_VALUE"""),0.4857142857142857)</f>
        <v>0.4857142857</v>
      </c>
      <c r="I2376" s="86">
        <f>IFERROR(__xludf.DUMMYFUNCTION("""COMPUTED_VALUE"""),0.2894736842105263)</f>
        <v>0.2894736842</v>
      </c>
      <c r="J2376" s="82">
        <f>IFERROR(__xludf.DUMMYFUNCTION("""COMPUTED_VALUE"""),357.0857142857143)</f>
        <v>357.0857143</v>
      </c>
      <c r="K2376" s="82">
        <f>IFERROR(__xludf.DUMMYFUNCTION("""COMPUTED_VALUE"""),0.6285714285714286)</f>
        <v>0.6285714286</v>
      </c>
      <c r="L2376" s="82">
        <f>IFERROR(__xludf.DUMMYFUNCTION("""COMPUTED_VALUE"""),0.45714285714285713)</f>
        <v>0.4571428571</v>
      </c>
      <c r="M2376" s="82">
        <f>IFERROR(__xludf.DUMMYFUNCTION("""COMPUTED_VALUE"""),1.6857142857142857)</f>
        <v>1.685714286</v>
      </c>
      <c r="N2376" s="82">
        <f>IFERROR(__xludf.DUMMYFUNCTION("""COMPUTED_VALUE"""),2.1714285714285713)</f>
        <v>2.171428571</v>
      </c>
      <c r="O2376" s="82">
        <f>IFERROR(__xludf.DUMMYFUNCTION("""COMPUTED_VALUE"""),334.3142857142857)</f>
        <v>334.3142857</v>
      </c>
      <c r="P2376" s="82">
        <f>IFERROR(__xludf.DUMMYFUNCTION("""COMPUTED_VALUE"""),0.7333333333333333)</f>
        <v>0.7333333333</v>
      </c>
      <c r="Q2376" s="82">
        <f>IFERROR(__xludf.DUMMYFUNCTION("""COMPUTED_VALUE"""),0.5047619047619047)</f>
        <v>0.5047619048</v>
      </c>
      <c r="R2376" s="82">
        <f>IFERROR(__xludf.DUMMYFUNCTION("""COMPUTED_VALUE"""),1.2095238095238094)</f>
        <v>1.20952381</v>
      </c>
      <c r="S2376" s="82">
        <f>IFERROR(__xludf.DUMMYFUNCTION("""COMPUTED_VALUE"""),2.6285714285714294)</f>
        <v>2.628571429</v>
      </c>
      <c r="T2376" s="82">
        <f>IFERROR(__xludf.DUMMYFUNCTION("""COMPUTED_VALUE"""),334.9969016862735)</f>
        <v>334.9969017</v>
      </c>
      <c r="U2376" s="82">
        <f>IFERROR(__xludf.DUMMYFUNCTION("""COMPUTED_VALUE"""),0.7698979150131011)</f>
        <v>0.769897915</v>
      </c>
      <c r="V2376" s="82">
        <f>IFERROR(__xludf.DUMMYFUNCTION("""COMPUTED_VALUE"""),0.515573444990831)</f>
        <v>0.515573445</v>
      </c>
      <c r="W2376" s="82">
        <f>IFERROR(__xludf.DUMMYFUNCTION("""COMPUTED_VALUE"""),1.2178587839450574)</f>
        <v>1.217858784</v>
      </c>
      <c r="X2376" s="82">
        <f>IFERROR(__xludf.DUMMYFUNCTION("""COMPUTED_VALUE"""),2.536183927577993)</f>
        <v>2.536183928</v>
      </c>
      <c r="Y2376" s="82">
        <f>IFERROR(__xludf.DUMMYFUNCTION("""COMPUTED_VALUE"""),339.33991233746156)</f>
        <v>339.3399123</v>
      </c>
      <c r="Z2376" s="82">
        <f>IFERROR(__xludf.DUMMYFUNCTION("""COMPUTED_VALUE"""),0.7437111742720907)</f>
        <v>0.7437111743</v>
      </c>
      <c r="AA2376" s="82">
        <f>IFERROR(__xludf.DUMMYFUNCTION("""COMPUTED_VALUE"""),0.5042448365842883)</f>
        <v>0.5042448366</v>
      </c>
      <c r="AB2376" s="82">
        <f>IFERROR(__xludf.DUMMYFUNCTION("""COMPUTED_VALUE"""),1.3198004985820138)</f>
        <v>1.319800499</v>
      </c>
      <c r="AC2376" s="82">
        <f>IFERROR(__xludf.DUMMYFUNCTION("""COMPUTED_VALUE"""),2.432225477363177)</f>
        <v>2.432225477</v>
      </c>
      <c r="AD2376" s="82">
        <f>IFERROR(__xludf.DUMMYFUNCTION("""COMPUTED_VALUE"""),1.052295062570197)</f>
        <v>1.052295063</v>
      </c>
      <c r="AE2376" s="82">
        <f>IFERROR(__xludf.DUMMYFUNCTION("""COMPUTED_VALUE"""),0.8451821759793303)</f>
        <v>0.845182176</v>
      </c>
      <c r="AF2376" s="82">
        <f>IFERROR(__xludf.DUMMYFUNCTION("""COMPUTED_VALUE"""),0.9065890693884027)</f>
        <v>0.9065890694</v>
      </c>
      <c r="AG2376" s="82">
        <f>IFERROR(__xludf.DUMMYFUNCTION("""COMPUTED_VALUE"""),1.2772493172456048)</f>
        <v>1.277249317</v>
      </c>
      <c r="AH2376" s="82">
        <f>IFERROR(__xludf.DUMMYFUNCTION("""COMPUTED_VALUE"""),0.8927743713065038)</f>
        <v>0.8927743713</v>
      </c>
      <c r="AI2376" s="82">
        <f>IFERROR(__xludf.DUMMYFUNCTION("""COMPUTED_VALUE"""),0.9979623215362539)</f>
        <v>0.9979623215</v>
      </c>
      <c r="AJ2376" s="82">
        <f>IFERROR(__xludf.DUMMYFUNCTION("""COMPUTED_VALUE"""),0.9525072337945666)</f>
        <v>0.9525072338</v>
      </c>
      <c r="AK2376" s="82">
        <f>IFERROR(__xludf.DUMMYFUNCTION("""COMPUTED_VALUE"""),0.9790300677159225)</f>
        <v>0.9790300677</v>
      </c>
      <c r="AL2376" s="82">
        <f>IFERROR(__xludf.DUMMYFUNCTION("""COMPUTED_VALUE"""),0.9931560419556624)</f>
        <v>0.993156042</v>
      </c>
      <c r="AM2376" s="82">
        <f>IFERROR(__xludf.DUMMYFUNCTION("""COMPUTED_VALUE"""),1.036427760616583)</f>
        <v>1.036427761</v>
      </c>
      <c r="AN2376" s="82">
        <f>IFERROR(__xludf.DUMMYFUNCTION("""COMPUTED_VALUE"""),1.086318123253811)</f>
        <v>1.086318123</v>
      </c>
      <c r="AO2376" s="82">
        <f>IFERROR(__xludf.DUMMYFUNCTION("""COMPUTED_VALUE"""),0.8289264280731625)</f>
        <v>0.8289264281</v>
      </c>
      <c r="AP2376" s="82">
        <f>IFERROR(__xludf.DUMMYFUNCTION("""COMPUTED_VALUE"""),0.8865854953165436)</f>
        <v>0.8865854953</v>
      </c>
      <c r="AQ2376" s="82">
        <f>IFERROR(__xludf.DUMMYFUNCTION("""COMPUTED_VALUE"""),1.4056965605164913)</f>
        <v>1.405696561</v>
      </c>
      <c r="AR2376" s="82">
        <f>IFERROR(__xludf.DUMMYFUNCTION("""COMPUTED_VALUE"""),0.9052380383208457)</f>
        <v>0.9052380383</v>
      </c>
      <c r="AS2376" s="82">
        <f>IFERROR(__xludf.DUMMYFUNCTION("""COMPUTED_VALUE"""),65.0)</f>
        <v>65</v>
      </c>
      <c r="AT2376" s="82">
        <f>IFERROR(__xludf.DUMMYFUNCTION("""COMPUTED_VALUE"""),0.4370280709050378)</f>
        <v>0.4370280709</v>
      </c>
      <c r="AU2376" s="82">
        <f>IFERROR(__xludf.DUMMYFUNCTION("""COMPUTED_VALUE"""),2.7530981571944735)</f>
        <v>2.753098157</v>
      </c>
      <c r="AV2376" s="82">
        <f>IFERROR(__xludf.DUMMYFUNCTION("""COMPUTED_VALUE"""),43.38793746807739)</f>
        <v>43.38793747</v>
      </c>
      <c r="AW2376" s="82">
        <f t="shared" si="1"/>
        <v>-2.527141031</v>
      </c>
      <c r="AX2376" s="83">
        <f t="array" ref="AX2376">IFERROR(DGET('SBV Import'!A:G,"SBV",{"RSC ID","Tier";B2376,A2376}))</f>
        <v>48.32440166</v>
      </c>
      <c r="AY2376" s="82">
        <f t="shared" si="2"/>
        <v>-2.112908216</v>
      </c>
      <c r="AZ2376" s="82">
        <v>0.4142328143178071</v>
      </c>
      <c r="BA2376" s="84">
        <v>2300.0</v>
      </c>
      <c r="BB2376" s="84" t="b">
        <f>IFERROR(__xludf.DUMMYFUNCTION("iferror(if(A2376="""",,E2376&gt;=FILTER(Constants!$F$2:$F$10,Constants!$A$2:$A$10=A2376)))"),TRUE)</f>
        <v>1</v>
      </c>
    </row>
    <row r="2377">
      <c r="A2377" s="89" t="str">
        <f>IFERROR(__xludf.DUMMYFUNCTION("""COMPUTED_VALUE"""),"Challenger")</f>
        <v>Challenger</v>
      </c>
      <c r="B2377" s="87" t="str">
        <f>IFERROR(__xludf.DUMMYFUNCTION("""COMPUTED_VALUE"""),"RSC008009")</f>
        <v>RSC008009</v>
      </c>
      <c r="C2377" s="73" t="str">
        <f>IFERROR(__xludf.DUMMYFUNCTION("""COMPUTED_VALUE"""),"Daddy Driz")</f>
        <v>Daddy Driz</v>
      </c>
      <c r="D2377" s="73" t="str">
        <f>IFERROR(__xludf.DUMMYFUNCTION("""COMPUTED_VALUE"""),"Toucans")</f>
        <v>Toucans</v>
      </c>
      <c r="E2377" s="82">
        <f>IFERROR(__xludf.DUMMYFUNCTION("""COMPUTED_VALUE"""),27.0)</f>
        <v>27</v>
      </c>
      <c r="F2377" s="82">
        <f>IFERROR(__xludf.DUMMYFUNCTION("""COMPUTED_VALUE"""),13.0)</f>
        <v>13</v>
      </c>
      <c r="G2377" s="86">
        <f>IFERROR(__xludf.DUMMYFUNCTION("""COMPUTED_VALUE"""),14.0)</f>
        <v>14</v>
      </c>
      <c r="H2377" s="86">
        <f>IFERROR(__xludf.DUMMYFUNCTION("""COMPUTED_VALUE"""),0.48148148148148145)</f>
        <v>0.4814814815</v>
      </c>
      <c r="I2377" s="86">
        <f>IFERROR(__xludf.DUMMYFUNCTION("""COMPUTED_VALUE"""),0.3559322033898305)</f>
        <v>0.3559322034</v>
      </c>
      <c r="J2377" s="82">
        <f>IFERROR(__xludf.DUMMYFUNCTION("""COMPUTED_VALUE"""),324.5925925925926)</f>
        <v>324.5925926</v>
      </c>
      <c r="K2377" s="82">
        <f>IFERROR(__xludf.DUMMYFUNCTION("""COMPUTED_VALUE"""),0.7777777777777778)</f>
        <v>0.7777777778</v>
      </c>
      <c r="L2377" s="82">
        <f>IFERROR(__xludf.DUMMYFUNCTION("""COMPUTED_VALUE"""),0.25925925925925924)</f>
        <v>0.2592592593</v>
      </c>
      <c r="M2377" s="82">
        <f>IFERROR(__xludf.DUMMYFUNCTION("""COMPUTED_VALUE"""),0.9259259259259259)</f>
        <v>0.9259259259</v>
      </c>
      <c r="N2377" s="82">
        <f>IFERROR(__xludf.DUMMYFUNCTION("""COMPUTED_VALUE"""),2.185185185185185)</f>
        <v>2.185185185</v>
      </c>
      <c r="O2377" s="82">
        <f>IFERROR(__xludf.DUMMYFUNCTION("""COMPUTED_VALUE"""),300.3703703703704)</f>
        <v>300.3703704</v>
      </c>
      <c r="P2377" s="82">
        <f>IFERROR(__xludf.DUMMYFUNCTION("""COMPUTED_VALUE"""),0.6419753086419753)</f>
        <v>0.6419753086</v>
      </c>
      <c r="Q2377" s="82">
        <f>IFERROR(__xludf.DUMMYFUNCTION("""COMPUTED_VALUE"""),0.4074074074074074)</f>
        <v>0.4074074074</v>
      </c>
      <c r="R2377" s="82">
        <f>IFERROR(__xludf.DUMMYFUNCTION("""COMPUTED_VALUE"""),1.1604938271604939)</f>
        <v>1.160493827</v>
      </c>
      <c r="S2377" s="82">
        <f>IFERROR(__xludf.DUMMYFUNCTION("""COMPUTED_VALUE"""),2.037037037037037)</f>
        <v>2.037037037</v>
      </c>
      <c r="T2377" s="82">
        <f>IFERROR(__xludf.DUMMYFUNCTION("""COMPUTED_VALUE"""),316.27972953959244)</f>
        <v>316.2797295</v>
      </c>
      <c r="U2377" s="82">
        <f>IFERROR(__xludf.DUMMYFUNCTION("""COMPUTED_VALUE"""),0.6961597808080404)</f>
        <v>0.6961597808</v>
      </c>
      <c r="V2377" s="82">
        <f>IFERROR(__xludf.DUMMYFUNCTION("""COMPUTED_VALUE"""),0.47030501653618156)</f>
        <v>0.4703050165</v>
      </c>
      <c r="W2377" s="82">
        <f>IFERROR(__xludf.DUMMYFUNCTION("""COMPUTED_VALUE"""),1.128722948396231)</f>
        <v>1.128722948</v>
      </c>
      <c r="X2377" s="82">
        <f>IFERROR(__xludf.DUMMYFUNCTION("""COMPUTED_VALUE"""),2.3959551881985126)</f>
        <v>2.395955188</v>
      </c>
      <c r="Y2377" s="82">
        <f>IFERROR(__xludf.DUMMYFUNCTION("""COMPUTED_VALUE"""),321.43234087551525)</f>
        <v>321.4323409</v>
      </c>
      <c r="Z2377" s="82">
        <f>IFERROR(__xludf.DUMMYFUNCTION("""COMPUTED_VALUE"""),0.7053572774884451)</f>
        <v>0.7053572775</v>
      </c>
      <c r="AA2377" s="82">
        <f>IFERROR(__xludf.DUMMYFUNCTION("""COMPUTED_VALUE"""),0.4987423343361036)</f>
        <v>0.4987423343</v>
      </c>
      <c r="AB2377" s="82">
        <f>IFERROR(__xludf.DUMMYFUNCTION("""COMPUTED_VALUE"""),1.1829085370806443)</f>
        <v>1.182908537</v>
      </c>
      <c r="AC2377" s="82">
        <f>IFERROR(__xludf.DUMMYFUNCTION("""COMPUTED_VALUE"""),2.2553996501153986)</f>
        <v>2.25539965</v>
      </c>
      <c r="AD2377" s="82">
        <f>IFERROR(__xludf.DUMMYFUNCTION("""COMPUTED_VALUE"""),1.0098317789319815)</f>
        <v>1.009831779</v>
      </c>
      <c r="AE2377" s="82">
        <f>IFERROR(__xludf.DUMMYFUNCTION("""COMPUTED_VALUE"""),1.102672082079027)</f>
        <v>1.102672082</v>
      </c>
      <c r="AF2377" s="82">
        <f>IFERROR(__xludf.DUMMYFUNCTION("""COMPUTED_VALUE"""),0.5198260532753248)</f>
        <v>0.5198260533</v>
      </c>
      <c r="AG2377" s="82">
        <f>IFERROR(__xludf.DUMMYFUNCTION("""COMPUTED_VALUE"""),0.7827536085005035)</f>
        <v>0.7827536085</v>
      </c>
      <c r="AH2377" s="82">
        <f>IFERROR(__xludf.DUMMYFUNCTION("""COMPUTED_VALUE"""),0.9688682824231968)</f>
        <v>0.9688682824</v>
      </c>
      <c r="AI2377" s="82">
        <f>IFERROR(__xludf.DUMMYFUNCTION("""COMPUTED_VALUE"""),0.9496984546167999)</f>
        <v>0.9496984546</v>
      </c>
      <c r="AJ2377" s="82">
        <f>IFERROR(__xludf.DUMMYFUNCTION("""COMPUTED_VALUE"""),0.9221666151078527)</f>
        <v>0.9221666151</v>
      </c>
      <c r="AK2377" s="82">
        <f>IFERROR(__xludf.DUMMYFUNCTION("""COMPUTED_VALUE"""),0.8662620917973234)</f>
        <v>0.8662620918</v>
      </c>
      <c r="AL2377" s="82">
        <f>IFERROR(__xludf.DUMMYFUNCTION("""COMPUTED_VALUE"""),1.0281476325163805)</f>
        <v>1.028147633</v>
      </c>
      <c r="AM2377" s="82">
        <f>IFERROR(__xludf.DUMMYFUNCTION("""COMPUTED_VALUE"""),0.8501983038208067)</f>
        <v>0.8501983038</v>
      </c>
      <c r="AN2377" s="82">
        <f>IFERROR(__xludf.DUMMYFUNCTION("""COMPUTED_VALUE"""),0.9874682797451266)</f>
        <v>0.9874682797</v>
      </c>
      <c r="AO2377" s="82">
        <f>IFERROR(__xludf.DUMMYFUNCTION("""COMPUTED_VALUE"""),1.0256917923127518)</f>
        <v>1.025691792</v>
      </c>
      <c r="AP2377" s="82">
        <f>IFERROR(__xludf.DUMMYFUNCTION("""COMPUTED_VALUE"""),0.5028089035938731)</f>
        <v>0.5028089036</v>
      </c>
      <c r="AQ2377" s="82">
        <f>IFERROR(__xludf.DUMMYFUNCTION("""COMPUTED_VALUE"""),0.7721183242008348)</f>
        <v>0.7721183242</v>
      </c>
      <c r="AR2377" s="82">
        <f>IFERROR(__xludf.DUMMYFUNCTION("""COMPUTED_VALUE"""),0.9109729771601104)</f>
        <v>0.9109729772</v>
      </c>
      <c r="AS2377" s="82">
        <f>IFERROR(__xludf.DUMMYFUNCTION("""COMPUTED_VALUE"""),56.0)</f>
        <v>56</v>
      </c>
      <c r="AT2377" s="82">
        <f>IFERROR(__xludf.DUMMYFUNCTION("""COMPUTED_VALUE"""),0.5275521820438875)</f>
        <v>0.527552182</v>
      </c>
      <c r="AU2377" s="82">
        <f>IFERROR(__xludf.DUMMYFUNCTION("""COMPUTED_VALUE"""),2.749380962404782)</f>
        <v>2.749380962</v>
      </c>
      <c r="AV2377" s="82">
        <f>IFERROR(__xludf.DUMMYFUNCTION("""COMPUTED_VALUE"""),43.28964681740116)</f>
        <v>43.28964682</v>
      </c>
      <c r="AW2377" s="82">
        <f t="shared" si="1"/>
        <v>-2.536845891</v>
      </c>
      <c r="AX2377" s="83">
        <f t="array" ref="AX2377">IFERROR(DGET('SBV Import'!A:G,"SBV",{"RSC ID","Tier";B2377,A2377}))</f>
        <v>57.14476371</v>
      </c>
      <c r="AY2377" s="82">
        <f t="shared" si="2"/>
        <v>2.58051681</v>
      </c>
      <c r="AZ2377" s="82">
        <v>5.117362700313375</v>
      </c>
      <c r="BA2377" s="84">
        <v>2300.0</v>
      </c>
      <c r="BB2377" s="84" t="b">
        <f>IFERROR(__xludf.DUMMYFUNCTION("iferror(if(A2377="""",,E2377&gt;=FILTER(Constants!$F$2:$F$10,Constants!$A$2:$A$10=A2377)))"),TRUE)</f>
        <v>1</v>
      </c>
    </row>
    <row r="2378">
      <c r="A2378" s="89" t="str">
        <f>IFERROR(__xludf.DUMMYFUNCTION("""COMPUTED_VALUE"""),"Challenger")</f>
        <v>Challenger</v>
      </c>
      <c r="B2378" s="87" t="str">
        <f>IFERROR(__xludf.DUMMYFUNCTION("""COMPUTED_VALUE"""),"RSC007549")</f>
        <v>RSC007549</v>
      </c>
      <c r="C2378" s="73" t="str">
        <f>IFERROR(__xludf.DUMMYFUNCTION("""COMPUTED_VALUE"""),"Whiffy_RL")</f>
        <v>Whiffy_RL</v>
      </c>
      <c r="D2378" s="73" t="str">
        <f>IFERROR(__xludf.DUMMYFUNCTION("""COMPUTED_VALUE"""),"Apple Associates")</f>
        <v>Apple Associates</v>
      </c>
      <c r="E2378" s="82">
        <f>IFERROR(__xludf.DUMMYFUNCTION("""COMPUTED_VALUE"""),32.0)</f>
        <v>32</v>
      </c>
      <c r="F2378" s="82">
        <f>IFERROR(__xludf.DUMMYFUNCTION("""COMPUTED_VALUE"""),11.0)</f>
        <v>11</v>
      </c>
      <c r="G2378" s="86">
        <f>IFERROR(__xludf.DUMMYFUNCTION("""COMPUTED_VALUE"""),21.0)</f>
        <v>21</v>
      </c>
      <c r="H2378" s="86">
        <f>IFERROR(__xludf.DUMMYFUNCTION("""COMPUTED_VALUE"""),0.34375)</f>
        <v>0.34375</v>
      </c>
      <c r="I2378" s="86">
        <f>IFERROR(__xludf.DUMMYFUNCTION("""COMPUTED_VALUE"""),0.3142857142857143)</f>
        <v>0.3142857143</v>
      </c>
      <c r="J2378" s="82">
        <f>IFERROR(__xludf.DUMMYFUNCTION("""COMPUTED_VALUE"""),321.78125)</f>
        <v>321.78125</v>
      </c>
      <c r="K2378" s="82">
        <f>IFERROR(__xludf.DUMMYFUNCTION("""COMPUTED_VALUE"""),0.6875)</f>
        <v>0.6875</v>
      </c>
      <c r="L2378" s="82">
        <f>IFERROR(__xludf.DUMMYFUNCTION("""COMPUTED_VALUE"""),0.34375)</f>
        <v>0.34375</v>
      </c>
      <c r="M2378" s="82">
        <f>IFERROR(__xludf.DUMMYFUNCTION("""COMPUTED_VALUE"""),1.28125)</f>
        <v>1.28125</v>
      </c>
      <c r="N2378" s="82">
        <f>IFERROR(__xludf.DUMMYFUNCTION("""COMPUTED_VALUE"""),2.1875)</f>
        <v>2.1875</v>
      </c>
      <c r="O2378" s="82">
        <f>IFERROR(__xludf.DUMMYFUNCTION("""COMPUTED_VALUE"""),337.03125)</f>
        <v>337.03125</v>
      </c>
      <c r="P2378" s="82">
        <f>IFERROR(__xludf.DUMMYFUNCTION("""COMPUTED_VALUE"""),0.7916666666666665)</f>
        <v>0.7916666667</v>
      </c>
      <c r="Q2378" s="82">
        <f>IFERROR(__xludf.DUMMYFUNCTION("""COMPUTED_VALUE"""),0.5625)</f>
        <v>0.5625</v>
      </c>
      <c r="R2378" s="82">
        <f>IFERROR(__xludf.DUMMYFUNCTION("""COMPUTED_VALUE"""),1.3020833333333333)</f>
        <v>1.302083333</v>
      </c>
      <c r="S2378" s="82">
        <f>IFERROR(__xludf.DUMMYFUNCTION("""COMPUTED_VALUE"""),2.3229166666666665)</f>
        <v>2.322916667</v>
      </c>
      <c r="T2378" s="82">
        <f>IFERROR(__xludf.DUMMYFUNCTION("""COMPUTED_VALUE"""),358.1524621622405)</f>
        <v>358.1524622</v>
      </c>
      <c r="U2378" s="82">
        <f>IFERROR(__xludf.DUMMYFUNCTION("""COMPUTED_VALUE"""),0.8595567424473677)</f>
        <v>0.8595567424</v>
      </c>
      <c r="V2378" s="82">
        <f>IFERROR(__xludf.DUMMYFUNCTION("""COMPUTED_VALUE"""),0.6289664098409058)</f>
        <v>0.6289664098</v>
      </c>
      <c r="W2378" s="82">
        <f>IFERROR(__xludf.DUMMYFUNCTION("""COMPUTED_VALUE"""),1.276315027005551)</f>
        <v>1.276315027</v>
      </c>
      <c r="X2378" s="82">
        <f>IFERROR(__xludf.DUMMYFUNCTION("""COMPUTED_VALUE"""),2.630245403677863)</f>
        <v>2.630245404</v>
      </c>
      <c r="Y2378" s="82">
        <f>IFERROR(__xludf.DUMMYFUNCTION("""COMPUTED_VALUE"""),326.0113644129791)</f>
        <v>326.0113644</v>
      </c>
      <c r="Z2378" s="82">
        <f>IFERROR(__xludf.DUMMYFUNCTION("""COMPUTED_VALUE"""),0.6770584556261641)</f>
        <v>0.6770584556</v>
      </c>
      <c r="AA2378" s="82">
        <f>IFERROR(__xludf.DUMMYFUNCTION("""COMPUTED_VALUE"""),0.47294475803716407)</f>
        <v>0.472944758</v>
      </c>
      <c r="AB2378" s="82">
        <f>IFERROR(__xludf.DUMMYFUNCTION("""COMPUTED_VALUE"""),1.2885163760037752)</f>
        <v>1.288516376</v>
      </c>
      <c r="AC2378" s="82">
        <f>IFERROR(__xludf.DUMMYFUNCTION("""COMPUTED_VALUE"""),2.356748343502376)</f>
        <v>2.356748344</v>
      </c>
      <c r="AD2378" s="82">
        <f>IFERROR(__xludf.DUMMYFUNCTION("""COMPUTED_VALUE"""),0.987024641240357)</f>
        <v>0.9870246412</v>
      </c>
      <c r="AE2378" s="82">
        <f>IFERROR(__xludf.DUMMYFUNCTION("""COMPUTED_VALUE"""),1.0154219244838754)</f>
        <v>1.015421924</v>
      </c>
      <c r="AF2378" s="82">
        <f>IFERROR(__xludf.DUMMYFUNCTION("""COMPUTED_VALUE"""),0.7268290728639137)</f>
        <v>0.7268290729</v>
      </c>
      <c r="AG2378" s="82">
        <f>IFERROR(__xludf.DUMMYFUNCTION("""COMPUTED_VALUE"""),0.9943606646069092)</f>
        <v>0.9943606646</v>
      </c>
      <c r="AH2378" s="82">
        <f>IFERROR(__xludf.DUMMYFUNCTION("""COMPUTED_VALUE"""),0.9281856529276881)</f>
        <v>0.9281856529</v>
      </c>
      <c r="AI2378" s="82">
        <f>IFERROR(__xludf.DUMMYFUNCTION("""COMPUTED_VALUE"""),0.9410273154769693)</f>
        <v>0.9410273155</v>
      </c>
      <c r="AJ2378" s="82">
        <f>IFERROR(__xludf.DUMMYFUNCTION("""COMPUTED_VALUE"""),0.921017342511442)</f>
        <v>0.9210173425</v>
      </c>
      <c r="AK2378" s="82">
        <f>IFERROR(__xludf.DUMMYFUNCTION("""COMPUTED_VALUE"""),0.8943243887098546)</f>
        <v>0.8943243887</v>
      </c>
      <c r="AL2378" s="82">
        <f>IFERROR(__xludf.DUMMYFUNCTION("""COMPUTED_VALUE"""),1.0201896128953671)</f>
        <v>1.020189613</v>
      </c>
      <c r="AM2378" s="82">
        <f>IFERROR(__xludf.DUMMYFUNCTION("""COMPUTED_VALUE"""),0.883155869569638)</f>
        <v>0.8831558696</v>
      </c>
      <c r="AN2378" s="82">
        <f>IFERROR(__xludf.DUMMYFUNCTION("""COMPUTED_VALUE"""),0.9789156765833964)</f>
        <v>0.9789156766</v>
      </c>
      <c r="AO2378" s="82">
        <f>IFERROR(__xludf.DUMMYFUNCTION("""COMPUTED_VALUE"""),0.9066382807050216)</f>
        <v>0.9066382807</v>
      </c>
      <c r="AP2378" s="82">
        <f>IFERROR(__xludf.DUMMYFUNCTION("""COMPUTED_VALUE"""),0.6666707337829478)</f>
        <v>0.6666707338</v>
      </c>
      <c r="AQ2378" s="82">
        <f>IFERROR(__xludf.DUMMYFUNCTION("""COMPUTED_VALUE"""),1.0684187311129052)</f>
        <v>1.068418731</v>
      </c>
      <c r="AR2378" s="82">
        <f>IFERROR(__xludf.DUMMYFUNCTION("""COMPUTED_VALUE"""),0.911937990907102)</f>
        <v>0.9119379909</v>
      </c>
      <c r="AS2378" s="82">
        <f>IFERROR(__xludf.DUMMYFUNCTION("""COMPUTED_VALUE"""),55.0)</f>
        <v>55</v>
      </c>
      <c r="AT2378" s="82">
        <f>IFERROR(__xludf.DUMMYFUNCTION("""COMPUTED_VALUE"""),0.38115711341479763)</f>
        <v>0.3811571134</v>
      </c>
      <c r="AU2378" s="82">
        <f>IFERROR(__xludf.DUMMYFUNCTION("""COMPUTED_VALUE"""),2.7365975445993156)</f>
        <v>2.736597545</v>
      </c>
      <c r="AV2378" s="82">
        <f>IFERROR(__xludf.DUMMYFUNCTION("""COMPUTED_VALUE"""),42.95162566837508)</f>
        <v>42.95162567</v>
      </c>
      <c r="AW2378" s="82">
        <f t="shared" si="1"/>
        <v>-2.570715988</v>
      </c>
      <c r="AX2378" s="83">
        <f t="array" ref="AX2378">IFERROR(DGET('SBV Import'!A:G,"SBV",{"RSC ID","Tier";B2378,A2378}))</f>
        <v>41.73395078</v>
      </c>
      <c r="AY2378" s="82">
        <f t="shared" si="2"/>
        <v>-2.699365189</v>
      </c>
      <c r="AZ2378" s="82">
        <v>0.12864920090583087</v>
      </c>
      <c r="BA2378" s="84">
        <v>2300.0</v>
      </c>
      <c r="BB2378" s="84" t="b">
        <f>IFERROR(__xludf.DUMMYFUNCTION("iferror(if(A2378="""",,E2378&gt;=FILTER(Constants!$F$2:$F$10,Constants!$A$2:$A$10=A2378)))"),TRUE)</f>
        <v>1</v>
      </c>
    </row>
    <row r="2379">
      <c r="A2379" s="89" t="str">
        <f>IFERROR(__xludf.DUMMYFUNCTION("""COMPUTED_VALUE"""),"Challenger")</f>
        <v>Challenger</v>
      </c>
      <c r="B2379" s="87" t="str">
        <f>IFERROR(__xludf.DUMMYFUNCTION("""COMPUTED_VALUE"""),"RSC002877")</f>
        <v>RSC002877</v>
      </c>
      <c r="C2379" s="73" t="str">
        <f>IFERROR(__xludf.DUMMYFUNCTION("""COMPUTED_VALUE"""),"robophant")</f>
        <v>robophant</v>
      </c>
      <c r="D2379" s="73" t="str">
        <f>IFERROR(__xludf.DUMMYFUNCTION("""COMPUTED_VALUE"""),"Hydras")</f>
        <v>Hydras</v>
      </c>
      <c r="E2379" s="82">
        <f>IFERROR(__xludf.DUMMYFUNCTION("""COMPUTED_VALUE"""),36.0)</f>
        <v>36</v>
      </c>
      <c r="F2379" s="82">
        <f>IFERROR(__xludf.DUMMYFUNCTION("""COMPUTED_VALUE"""),17.0)</f>
        <v>17</v>
      </c>
      <c r="G2379" s="86">
        <f>IFERROR(__xludf.DUMMYFUNCTION("""COMPUTED_VALUE"""),19.0)</f>
        <v>19</v>
      </c>
      <c r="H2379" s="86">
        <f>IFERROR(__xludf.DUMMYFUNCTION("""COMPUTED_VALUE"""),0.4722222222222222)</f>
        <v>0.4722222222</v>
      </c>
      <c r="I2379" s="86">
        <f>IFERROR(__xludf.DUMMYFUNCTION("""COMPUTED_VALUE"""),0.2197802197802198)</f>
        <v>0.2197802198</v>
      </c>
      <c r="J2379" s="82">
        <f>IFERROR(__xludf.DUMMYFUNCTION("""COMPUTED_VALUE"""),342.27777777777777)</f>
        <v>342.2777778</v>
      </c>
      <c r="K2379" s="82">
        <f>IFERROR(__xludf.DUMMYFUNCTION("""COMPUTED_VALUE"""),0.5555555555555556)</f>
        <v>0.5555555556</v>
      </c>
      <c r="L2379" s="82">
        <f>IFERROR(__xludf.DUMMYFUNCTION("""COMPUTED_VALUE"""),0.4444444444444444)</f>
        <v>0.4444444444</v>
      </c>
      <c r="M2379" s="82">
        <f>IFERROR(__xludf.DUMMYFUNCTION("""COMPUTED_VALUE"""),1.5277777777777777)</f>
        <v>1.527777778</v>
      </c>
      <c r="N2379" s="82">
        <f>IFERROR(__xludf.DUMMYFUNCTION("""COMPUTED_VALUE"""),2.5277777777777777)</f>
        <v>2.527777778</v>
      </c>
      <c r="O2379" s="82">
        <f>IFERROR(__xludf.DUMMYFUNCTION("""COMPUTED_VALUE"""),340.5648148148148)</f>
        <v>340.5648148</v>
      </c>
      <c r="P2379" s="82">
        <f>IFERROR(__xludf.DUMMYFUNCTION("""COMPUTED_VALUE"""),0.7777777777777777)</f>
        <v>0.7777777778</v>
      </c>
      <c r="Q2379" s="82">
        <f>IFERROR(__xludf.DUMMYFUNCTION("""COMPUTED_VALUE"""),0.5462962962962963)</f>
        <v>0.5462962963</v>
      </c>
      <c r="R2379" s="82">
        <f>IFERROR(__xludf.DUMMYFUNCTION("""COMPUTED_VALUE"""),1.185185185185185)</f>
        <v>1.185185185</v>
      </c>
      <c r="S2379" s="82">
        <f>IFERROR(__xludf.DUMMYFUNCTION("""COMPUTED_VALUE"""),2.685185185185186)</f>
        <v>2.685185185</v>
      </c>
      <c r="T2379" s="82">
        <f>IFERROR(__xludf.DUMMYFUNCTION("""COMPUTED_VALUE"""),336.4451726417841)</f>
        <v>336.4451726</v>
      </c>
      <c r="U2379" s="82">
        <f>IFERROR(__xludf.DUMMYFUNCTION("""COMPUTED_VALUE"""),0.7773184461804328)</f>
        <v>0.7773184462</v>
      </c>
      <c r="V2379" s="82">
        <f>IFERROR(__xludf.DUMMYFUNCTION("""COMPUTED_VALUE"""),0.523216980983884)</f>
        <v>0.523216981</v>
      </c>
      <c r="W2379" s="82">
        <f>IFERROR(__xludf.DUMMYFUNCTION("""COMPUTED_VALUE"""),1.2193688794527564)</f>
        <v>1.219368879</v>
      </c>
      <c r="X2379" s="82">
        <f>IFERROR(__xludf.DUMMYFUNCTION("""COMPUTED_VALUE"""),2.545841663863672)</f>
        <v>2.545841664</v>
      </c>
      <c r="Y2379" s="82">
        <f>IFERROR(__xludf.DUMMYFUNCTION("""COMPUTED_VALUE"""),338.8151925503098)</f>
        <v>338.8151926</v>
      </c>
      <c r="Z2379" s="82">
        <f>IFERROR(__xludf.DUMMYFUNCTION("""COMPUTED_VALUE"""),0.742617002421597)</f>
        <v>0.7426170024</v>
      </c>
      <c r="AA2379" s="82">
        <f>IFERROR(__xludf.DUMMYFUNCTION("""COMPUTED_VALUE"""),0.5025543201065648)</f>
        <v>0.5025543201</v>
      </c>
      <c r="AB2379" s="82">
        <f>IFERROR(__xludf.DUMMYFUNCTION("""COMPUTED_VALUE"""),1.3184274394650235)</f>
        <v>1.318427439</v>
      </c>
      <c r="AC2379" s="82">
        <f>IFERROR(__xludf.DUMMYFUNCTION("""COMPUTED_VALUE"""),2.4306958944871764)</f>
        <v>2.430695894</v>
      </c>
      <c r="AD2379" s="82">
        <f>IFERROR(__xludf.DUMMYFUNCTION("""COMPUTED_VALUE"""),1.010219687025852)</f>
        <v>1.010219687</v>
      </c>
      <c r="AE2379" s="82">
        <f>IFERROR(__xludf.DUMMYFUNCTION("""COMPUTED_VALUE"""),0.7481050847798347)</f>
        <v>0.7481050848</v>
      </c>
      <c r="AF2379" s="82">
        <f>IFERROR(__xludf.DUMMYFUNCTION("""COMPUTED_VALUE"""),0.8843709558604563)</f>
        <v>0.8843709559</v>
      </c>
      <c r="AG2379" s="82">
        <f>IFERROR(__xludf.DUMMYFUNCTION("""COMPUTED_VALUE"""),1.1587879105411383)</f>
        <v>1.158787911</v>
      </c>
      <c r="AH2379" s="82">
        <f>IFERROR(__xludf.DUMMYFUNCTION("""COMPUTED_VALUE"""),1.0399399544429986)</f>
        <v>1.039939954</v>
      </c>
      <c r="AI2379" s="82">
        <f>IFERROR(__xludf.DUMMYFUNCTION("""COMPUTED_VALUE"""),1.0122446166805814)</f>
        <v>1.012244617</v>
      </c>
      <c r="AJ2379" s="82">
        <f>IFERROR(__xludf.DUMMYFUNCTION("""COMPUTED_VALUE"""),1.000590918174658)</f>
        <v>1.000590918</v>
      </c>
      <c r="AK2379" s="82">
        <f>IFERROR(__xludf.DUMMYFUNCTION("""COMPUTED_VALUE"""),1.0441104095456013)</f>
        <v>1.04411041</v>
      </c>
      <c r="AL2379" s="82">
        <f>IFERROR(__xludf.DUMMYFUNCTION("""COMPUTED_VALUE"""),0.9719660761861391)</f>
        <v>0.9719660762</v>
      </c>
      <c r="AM2379" s="82">
        <f>IFERROR(__xludf.DUMMYFUNCTION("""COMPUTED_VALUE"""),1.0547337736275557)</f>
        <v>1.054733774</v>
      </c>
      <c r="AN2379" s="82">
        <f>IFERROR(__xludf.DUMMYFUNCTION("""COMPUTED_VALUE"""),1.0412697520840468)</f>
        <v>1.041269752</v>
      </c>
      <c r="AO2379" s="82">
        <f>IFERROR(__xludf.DUMMYFUNCTION("""COMPUTED_VALUE"""),0.7326369945091084)</f>
        <v>0.7326369945</v>
      </c>
      <c r="AP2379" s="82">
        <f>IFERROR(__xludf.DUMMYFUNCTION("""COMPUTED_VALUE"""),0.8619581204466396)</f>
        <v>0.8619581204</v>
      </c>
      <c r="AQ2379" s="82">
        <f>IFERROR(__xludf.DUMMYFUNCTION("""COMPUTED_VALUE"""),1.2739952349313775)</f>
        <v>1.273995235</v>
      </c>
      <c r="AR2379" s="82">
        <f>IFERROR(__xludf.DUMMYFUNCTION("""COMPUTED_VALUE"""),1.0537950117148733)</f>
        <v>1.053795012</v>
      </c>
      <c r="AS2379" s="82">
        <f>IFERROR(__xludf.DUMMYFUNCTION("""COMPUTED_VALUE"""),66.0)</f>
        <v>66</v>
      </c>
      <c r="AT2379" s="82">
        <f>IFERROR(__xludf.DUMMYFUNCTION("""COMPUTED_VALUE"""),0.4101765555054946)</f>
        <v>0.4101765555</v>
      </c>
      <c r="AU2379" s="82">
        <f>IFERROR(__xludf.DUMMYFUNCTION("""COMPUTED_VALUE"""),2.7177105760654694)</f>
        <v>2.717710576</v>
      </c>
      <c r="AV2379" s="82">
        <f>IFERROR(__xludf.DUMMYFUNCTION("""COMPUTED_VALUE"""),42.45221346871278)</f>
        <v>42.45221347</v>
      </c>
      <c r="AW2379" s="82">
        <f t="shared" si="1"/>
        <v>-2.62219577</v>
      </c>
      <c r="AX2379" s="83">
        <f t="array" ref="AX2379">IFERROR(DGET('SBV Import'!A:G,"SBV",{"RSC ID","Tier";B2379,A2379}))</f>
        <v>47.49026847</v>
      </c>
      <c r="AY2379" s="82">
        <f t="shared" si="2"/>
        <v>-2.173829647</v>
      </c>
      <c r="AZ2379" s="82">
        <v>0.44836612370188433</v>
      </c>
      <c r="BA2379" s="84">
        <v>2300.0</v>
      </c>
      <c r="BB2379" s="84" t="b">
        <f>IFERROR(__xludf.DUMMYFUNCTION("iferror(if(A2379="""",,E2379&gt;=FILTER(Constants!$F$2:$F$10,Constants!$A$2:$A$10=A2379)))"),TRUE)</f>
        <v>1</v>
      </c>
    </row>
    <row r="2380">
      <c r="A2380" s="89" t="str">
        <f>IFERROR(__xludf.DUMMYFUNCTION("""COMPUTED_VALUE"""),"Challenger")</f>
        <v>Challenger</v>
      </c>
      <c r="B2380" s="87" t="str">
        <f>IFERROR(__xludf.DUMMYFUNCTION("""COMPUTED_VALUE"""),"RSC000025")</f>
        <v>RSC000025</v>
      </c>
      <c r="C2380" s="73" t="str">
        <f>IFERROR(__xludf.DUMMYFUNCTION("""COMPUTED_VALUE"""),"Slayerof666")</f>
        <v>Slayerof666</v>
      </c>
      <c r="D2380" s="73" t="str">
        <f>IFERROR(__xludf.DUMMYFUNCTION("""COMPUTED_VALUE"""),"Apple Associates")</f>
        <v>Apple Associates</v>
      </c>
      <c r="E2380" s="82">
        <f>IFERROR(__xludf.DUMMYFUNCTION("""COMPUTED_VALUE"""),32.0)</f>
        <v>32</v>
      </c>
      <c r="F2380" s="82">
        <f>IFERROR(__xludf.DUMMYFUNCTION("""COMPUTED_VALUE"""),9.0)</f>
        <v>9</v>
      </c>
      <c r="G2380" s="86">
        <f>IFERROR(__xludf.DUMMYFUNCTION("""COMPUTED_VALUE"""),23.0)</f>
        <v>23</v>
      </c>
      <c r="H2380" s="86">
        <f>IFERROR(__xludf.DUMMYFUNCTION("""COMPUTED_VALUE"""),0.28125)</f>
        <v>0.28125</v>
      </c>
      <c r="I2380" s="86">
        <f>IFERROR(__xludf.DUMMYFUNCTION("""COMPUTED_VALUE"""),0.2289156626506024)</f>
        <v>0.2289156627</v>
      </c>
      <c r="J2380" s="82">
        <f>IFERROR(__xludf.DUMMYFUNCTION("""COMPUTED_VALUE"""),306.34375)</f>
        <v>306.34375</v>
      </c>
      <c r="K2380" s="82">
        <f>IFERROR(__xludf.DUMMYFUNCTION("""COMPUTED_VALUE"""),0.59375)</f>
        <v>0.59375</v>
      </c>
      <c r="L2380" s="82">
        <f>IFERROR(__xludf.DUMMYFUNCTION("""COMPUTED_VALUE"""),0.3125)</f>
        <v>0.3125</v>
      </c>
      <c r="M2380" s="82">
        <f>IFERROR(__xludf.DUMMYFUNCTION("""COMPUTED_VALUE"""),1.34375)</f>
        <v>1.34375</v>
      </c>
      <c r="N2380" s="82">
        <f>IFERROR(__xludf.DUMMYFUNCTION("""COMPUTED_VALUE"""),2.59375)</f>
        <v>2.59375</v>
      </c>
      <c r="O2380" s="82">
        <f>IFERROR(__xludf.DUMMYFUNCTION("""COMPUTED_VALUE"""),346.4583333333333)</f>
        <v>346.4583333</v>
      </c>
      <c r="P2380" s="82">
        <f>IFERROR(__xludf.DUMMYFUNCTION("""COMPUTED_VALUE"""),0.90625)</f>
        <v>0.90625</v>
      </c>
      <c r="Q2380" s="82">
        <f>IFERROR(__xludf.DUMMYFUNCTION("""COMPUTED_VALUE"""),0.6458333333333334)</f>
        <v>0.6458333333</v>
      </c>
      <c r="R2380" s="82">
        <f>IFERROR(__xludf.DUMMYFUNCTION("""COMPUTED_VALUE"""),1.166666666666667)</f>
        <v>1.166666667</v>
      </c>
      <c r="S2380" s="82">
        <f>IFERROR(__xludf.DUMMYFUNCTION("""COMPUTED_VALUE"""),2.5312500000000004)</f>
        <v>2.53125</v>
      </c>
      <c r="T2380" s="82">
        <f>IFERROR(__xludf.DUMMYFUNCTION("""COMPUTED_VALUE"""),354.6715367560864)</f>
        <v>354.6715368</v>
      </c>
      <c r="U2380" s="82">
        <f>IFERROR(__xludf.DUMMYFUNCTION("""COMPUTED_VALUE"""),0.8671732550022105)</f>
        <v>0.867173255</v>
      </c>
      <c r="V2380" s="82">
        <f>IFERROR(__xludf.DUMMYFUNCTION("""COMPUTED_VALUE"""),0.6433665680523383)</f>
        <v>0.6433665681</v>
      </c>
      <c r="W2380" s="82">
        <f>IFERROR(__xludf.DUMMYFUNCTION("""COMPUTED_VALUE"""),1.2046673722746024)</f>
        <v>1.204667372</v>
      </c>
      <c r="X2380" s="82">
        <f>IFERROR(__xludf.DUMMYFUNCTION("""COMPUTED_VALUE"""),2.655647328486018)</f>
        <v>2.655647328</v>
      </c>
      <c r="Y2380" s="82">
        <f>IFERROR(__xludf.DUMMYFUNCTION("""COMPUTED_VALUE"""),320.48104310509507)</f>
        <v>320.4810431</v>
      </c>
      <c r="Z2380" s="82">
        <f>IFERROR(__xludf.DUMMYFUNCTION("""COMPUTED_VALUE"""),0.6665701071605329)</f>
        <v>0.6665701072</v>
      </c>
      <c r="AA2380" s="82">
        <f>IFERROR(__xludf.DUMMYFUNCTION("""COMPUTED_VALUE"""),0.4592179009562193)</f>
        <v>0.459217901</v>
      </c>
      <c r="AB2380" s="82">
        <f>IFERROR(__xludf.DUMMYFUNCTION("""COMPUTED_VALUE"""),1.2955684766628364)</f>
        <v>1.295568477</v>
      </c>
      <c r="AC2380" s="82">
        <f>IFERROR(__xludf.DUMMYFUNCTION("""COMPUTED_VALUE"""),2.251501289782441)</f>
        <v>2.25150129</v>
      </c>
      <c r="AD2380" s="82">
        <f>IFERROR(__xludf.DUMMYFUNCTION("""COMPUTED_VALUE"""),0.9558872719330889)</f>
        <v>0.9558872719</v>
      </c>
      <c r="AE2380" s="82">
        <f>IFERROR(__xludf.DUMMYFUNCTION("""COMPUTED_VALUE"""),0.8907540161518295)</f>
        <v>0.8907540162</v>
      </c>
      <c r="AF2380" s="82">
        <f>IFERROR(__xludf.DUMMYFUNCTION("""COMPUTED_VALUE"""),0.6805048308205933)</f>
        <v>0.6805048308</v>
      </c>
      <c r="AG2380" s="82">
        <f>IFERROR(__xludf.DUMMYFUNCTION("""COMPUTED_VALUE"""),1.037189484157002)</f>
        <v>1.037189484</v>
      </c>
      <c r="AH2380" s="82">
        <f>IFERROR(__xludf.DUMMYFUNCTION("""COMPUTED_VALUE"""),1.1520091113297253)</f>
        <v>1.152009111</v>
      </c>
      <c r="AI2380" s="82">
        <f>IFERROR(__xludf.DUMMYFUNCTION("""COMPUTED_VALUE"""),0.9768427895345843)</f>
        <v>0.9768427895</v>
      </c>
      <c r="AJ2380" s="82">
        <f>IFERROR(__xludf.DUMMYFUNCTION("""COMPUTED_VALUE"""),1.0450622119309825)</f>
        <v>1.045062212</v>
      </c>
      <c r="AK2380" s="82">
        <f>IFERROR(__xludf.DUMMYFUNCTION("""COMPUTED_VALUE"""),1.0038341521047056)</f>
        <v>1.003834152</v>
      </c>
      <c r="AL2380" s="82">
        <f>IFERROR(__xludf.DUMMYFUNCTION("""COMPUTED_VALUE"""),0.9684554371750069)</f>
        <v>0.9684554372</v>
      </c>
      <c r="AM2380" s="82">
        <f>IFERROR(__xludf.DUMMYFUNCTION("""COMPUTED_VALUE"""),0.9531574365497785)</f>
        <v>0.9531574365</v>
      </c>
      <c r="AN2380" s="82">
        <f>IFERROR(__xludf.DUMMYFUNCTION("""COMPUTED_VALUE"""),0.9319520615273414)</f>
        <v>0.9319520615</v>
      </c>
      <c r="AO2380" s="82">
        <f>IFERROR(__xludf.DUMMYFUNCTION("""COMPUTED_VALUE"""),0.7830057878816096)</f>
        <v>0.7830057879</v>
      </c>
      <c r="AP2380" s="82">
        <f>IFERROR(__xludf.DUMMYFUNCTION("""COMPUTED_VALUE"""),0.6060643034390435)</f>
        <v>0.6060643034</v>
      </c>
      <c r="AQ2380" s="82">
        <f>IFERROR(__xludf.DUMMYFUNCTION("""COMPUTED_VALUE"""),1.1205367179964616)</f>
        <v>1.120536718</v>
      </c>
      <c r="AR2380" s="82">
        <f>IFERROR(__xludf.DUMMYFUNCTION("""COMPUTED_VALUE"""),1.0812979035041352)</f>
        <v>1.081297904</v>
      </c>
      <c r="AS2380" s="82">
        <f>IFERROR(__xludf.DUMMYFUNCTION("""COMPUTED_VALUE"""),48.0)</f>
        <v>48</v>
      </c>
      <c r="AT2380" s="82">
        <f>IFERROR(__xludf.DUMMYFUNCTION("""COMPUTED_VALUE"""),0.28926830351825444)</f>
        <v>0.2892683035</v>
      </c>
      <c r="AU2380" s="82">
        <f>IFERROR(__xludf.DUMMYFUNCTION("""COMPUTED_VALUE"""),2.646421690470305)</f>
        <v>2.64642169</v>
      </c>
      <c r="AV2380" s="82">
        <f>IFERROR(__xludf.DUMMYFUNCTION("""COMPUTED_VALUE"""),40.56718151650964)</f>
        <v>40.56718152</v>
      </c>
      <c r="AW2380" s="82">
        <f t="shared" si="1"/>
        <v>-2.833097123</v>
      </c>
      <c r="AX2380" s="83">
        <f t="array" ref="AX2380">IFERROR(DGET('SBV Import'!A:G,"SBV",{"RSC ID","Tier";B2380,A2380}))</f>
        <v>43.60018459</v>
      </c>
      <c r="AY2380" s="82">
        <f t="shared" si="2"/>
        <v>-2.50640217</v>
      </c>
      <c r="AZ2380" s="82">
        <v>0.3266949532608243</v>
      </c>
      <c r="BA2380" s="84">
        <v>2300.0</v>
      </c>
      <c r="BB2380" s="84" t="b">
        <f>IFERROR(__xludf.DUMMYFUNCTION("iferror(if(A2380="""",,E2380&gt;=FILTER(Constants!$F$2:$F$10,Constants!$A$2:$A$10=A2380)))"),TRUE)</f>
        <v>1</v>
      </c>
    </row>
    <row r="2381">
      <c r="A2381" s="89" t="str">
        <f>IFERROR(__xludf.DUMMYFUNCTION("""COMPUTED_VALUE"""),"Challenger")</f>
        <v>Challenger</v>
      </c>
      <c r="B2381" s="87" t="str">
        <f>IFERROR(__xludf.DUMMYFUNCTION("""COMPUTED_VALUE"""),"RSC004817")</f>
        <v>RSC004817</v>
      </c>
      <c r="C2381" s="73" t="str">
        <f>IFERROR(__xludf.DUMMYFUNCTION("""COMPUTED_VALUE"""),"crybound")</f>
        <v>crybound</v>
      </c>
      <c r="D2381" s="73" t="str">
        <f>IFERROR(__xludf.DUMMYFUNCTION("""COMPUTED_VALUE"""),"Chromatic Chaos")</f>
        <v>Chromatic Chaos</v>
      </c>
      <c r="E2381" s="82">
        <f>IFERROR(__xludf.DUMMYFUNCTION("""COMPUTED_VALUE"""),23.0)</f>
        <v>23</v>
      </c>
      <c r="F2381" s="82">
        <f>IFERROR(__xludf.DUMMYFUNCTION("""COMPUTED_VALUE"""),10.0)</f>
        <v>10</v>
      </c>
      <c r="G2381" s="86">
        <f>IFERROR(__xludf.DUMMYFUNCTION("""COMPUTED_VALUE"""),13.0)</f>
        <v>13</v>
      </c>
      <c r="H2381" s="86">
        <f>IFERROR(__xludf.DUMMYFUNCTION("""COMPUTED_VALUE"""),0.43478260869565216)</f>
        <v>0.4347826087</v>
      </c>
      <c r="I2381" s="86">
        <f>IFERROR(__xludf.DUMMYFUNCTION("""COMPUTED_VALUE"""),0.3018867924528302)</f>
        <v>0.3018867925</v>
      </c>
      <c r="J2381" s="82">
        <f>IFERROR(__xludf.DUMMYFUNCTION("""COMPUTED_VALUE"""),301.2608695652174)</f>
        <v>301.2608696</v>
      </c>
      <c r="K2381" s="82">
        <f>IFERROR(__xludf.DUMMYFUNCTION("""COMPUTED_VALUE"""),0.6956521739130435)</f>
        <v>0.6956521739</v>
      </c>
      <c r="L2381" s="82">
        <f>IFERROR(__xludf.DUMMYFUNCTION("""COMPUTED_VALUE"""),0.5217391304347826)</f>
        <v>0.5217391304</v>
      </c>
      <c r="M2381" s="82">
        <f>IFERROR(__xludf.DUMMYFUNCTION("""COMPUTED_VALUE"""),1.0)</f>
        <v>1</v>
      </c>
      <c r="N2381" s="82">
        <f>IFERROR(__xludf.DUMMYFUNCTION("""COMPUTED_VALUE"""),2.3043478260869565)</f>
        <v>2.304347826</v>
      </c>
      <c r="O2381" s="82">
        <f>IFERROR(__xludf.DUMMYFUNCTION("""COMPUTED_VALUE"""),347.9855072463768)</f>
        <v>347.9855072</v>
      </c>
      <c r="P2381" s="82">
        <f>IFERROR(__xludf.DUMMYFUNCTION("""COMPUTED_VALUE"""),0.9275362318840579)</f>
        <v>0.9275362319</v>
      </c>
      <c r="Q2381" s="82">
        <f>IFERROR(__xludf.DUMMYFUNCTION("""COMPUTED_VALUE"""),0.5652173913043478)</f>
        <v>0.5652173913</v>
      </c>
      <c r="R2381" s="82">
        <f>IFERROR(__xludf.DUMMYFUNCTION("""COMPUTED_VALUE"""),1.1884057971014494)</f>
        <v>1.188405797</v>
      </c>
      <c r="S2381" s="82">
        <f>IFERROR(__xludf.DUMMYFUNCTION("""COMPUTED_VALUE"""),2.840579710144927)</f>
        <v>2.84057971</v>
      </c>
      <c r="T2381" s="82">
        <f>IFERROR(__xludf.DUMMYFUNCTION("""COMPUTED_VALUE"""),332.2961533545671)</f>
        <v>332.2961534</v>
      </c>
      <c r="U2381" s="82">
        <f>IFERROR(__xludf.DUMMYFUNCTION("""COMPUTED_VALUE"""),0.785085735097366)</f>
        <v>0.7850857351</v>
      </c>
      <c r="V2381" s="82">
        <f>IFERROR(__xludf.DUMMYFUNCTION("""COMPUTED_VALUE"""),0.5367294007914845)</f>
        <v>0.5367294008</v>
      </c>
      <c r="W2381" s="82">
        <f>IFERROR(__xludf.DUMMYFUNCTION("""COMPUTED_VALUE"""),1.1507141222414339)</f>
        <v>1.150714122</v>
      </c>
      <c r="X2381" s="82">
        <f>IFERROR(__xludf.DUMMYFUNCTION("""COMPUTED_VALUE"""),2.5134608742566895)</f>
        <v>2.513460874</v>
      </c>
      <c r="Y2381" s="82">
        <f>IFERROR(__xludf.DUMMYFUNCTION("""COMPUTED_VALUE"""),343.19919055010746)</f>
        <v>343.1991906</v>
      </c>
      <c r="Z2381" s="82">
        <f>IFERROR(__xludf.DUMMYFUNCTION("""COMPUTED_VALUE"""),0.7970364323480877)</f>
        <v>0.7970364323</v>
      </c>
      <c r="AA2381" s="82">
        <f>IFERROR(__xludf.DUMMYFUNCTION("""COMPUTED_VALUE"""),0.5490562785284685)</f>
        <v>0.5490562785</v>
      </c>
      <c r="AB2381" s="82">
        <f>IFERROR(__xludf.DUMMYFUNCTION("""COMPUTED_VALUE"""),1.2693241447059553)</f>
        <v>1.269324145</v>
      </c>
      <c r="AC2381" s="82">
        <f>IFERROR(__xludf.DUMMYFUNCTION("""COMPUTED_VALUE"""),2.4459177055498773)</f>
        <v>2.445917706</v>
      </c>
      <c r="AD2381" s="82">
        <f>IFERROR(__xludf.DUMMYFUNCTION("""COMPUTED_VALUE"""),0.8778018068234137)</f>
        <v>0.8778018068</v>
      </c>
      <c r="AE2381" s="82">
        <f>IFERROR(__xludf.DUMMYFUNCTION("""COMPUTED_VALUE"""),0.872798464009526)</f>
        <v>0.872798464</v>
      </c>
      <c r="AF2381" s="82">
        <f>IFERROR(__xludf.DUMMYFUNCTION("""COMPUTED_VALUE"""),0.9502470891200828)</f>
        <v>0.9502470891</v>
      </c>
      <c r="AG2381" s="82">
        <f>IFERROR(__xludf.DUMMYFUNCTION("""COMPUTED_VALUE"""),0.7878208290378456)</f>
        <v>0.787820829</v>
      </c>
      <c r="AH2381" s="82">
        <f>IFERROR(__xludf.DUMMYFUNCTION("""COMPUTED_VALUE"""),0.9421199334950258)</f>
        <v>0.9421199335</v>
      </c>
      <c r="AI2381" s="82">
        <f>IFERROR(__xludf.DUMMYFUNCTION("""COMPUTED_VALUE"""),1.0472149729493523)</f>
        <v>1.047214973</v>
      </c>
      <c r="AJ2381" s="82">
        <f>IFERROR(__xludf.DUMMYFUNCTION("""COMPUTED_VALUE"""),1.1814457840951922)</f>
        <v>1.181445784</v>
      </c>
      <c r="AK2381" s="82">
        <f>IFERROR(__xludf.DUMMYFUNCTION("""COMPUTED_VALUE"""),1.0530770076520006)</f>
        <v>1.053077008</v>
      </c>
      <c r="AL2381" s="82">
        <f>IFERROR(__xludf.DUMMYFUNCTION("""COMPUTED_VALUE"""),1.0327550293608958)</f>
        <v>1.032755029</v>
      </c>
      <c r="AM2381" s="82">
        <f>IFERROR(__xludf.DUMMYFUNCTION("""COMPUTED_VALUE"""),1.1301467785867074)</f>
        <v>1.130146779</v>
      </c>
      <c r="AN2381" s="82">
        <f>IFERROR(__xludf.DUMMYFUNCTION("""COMPUTED_VALUE"""),0.9164890370664452)</f>
        <v>0.9164890371</v>
      </c>
      <c r="AO2381" s="82">
        <f>IFERROR(__xludf.DUMMYFUNCTION("""COMPUTED_VALUE"""),0.9173889322548835)</f>
        <v>0.9173889323</v>
      </c>
      <c r="AP2381" s="82">
        <f>IFERROR(__xludf.DUMMYFUNCTION("""COMPUTED_VALUE"""),1.011863880524316)</f>
        <v>1.011863881</v>
      </c>
      <c r="AQ2381" s="82">
        <f>IFERROR(__xludf.DUMMYFUNCTION("""COMPUTED_VALUE"""),0.8338877901369016)</f>
        <v>0.8338877901</v>
      </c>
      <c r="AR2381" s="82">
        <f>IFERROR(__xludf.DUMMYFUNCTION("""COMPUTED_VALUE"""),0.9606502065704627)</f>
        <v>0.9606502066</v>
      </c>
      <c r="AS2381" s="82">
        <f>IFERROR(__xludf.DUMMYFUNCTION("""COMPUTED_VALUE"""),60.0)</f>
        <v>60</v>
      </c>
      <c r="AT2381" s="82">
        <f>IFERROR(__xludf.DUMMYFUNCTION("""COMPUTED_VALUE"""),0.4738567897796502)</f>
        <v>0.4738567898</v>
      </c>
      <c r="AU2381" s="82">
        <f>IFERROR(__xludf.DUMMYFUNCTION("""COMPUTED_VALUE"""),2.617493168124105)</f>
        <v>2.617493168</v>
      </c>
      <c r="AV2381" s="82">
        <f>IFERROR(__xludf.DUMMYFUNCTION("""COMPUTED_VALUE"""),39.802248967805184)</f>
        <v>39.80224897</v>
      </c>
      <c r="AW2381" s="82">
        <f t="shared" si="1"/>
        <v>-2.926801911</v>
      </c>
      <c r="AX2381" s="83">
        <f t="array" ref="AX2381">IFERROR(DGET('SBV Import'!A:G,"SBV",{"RSC ID","Tier";B2381,A2381}))</f>
        <v>29.04648931</v>
      </c>
      <c r="AY2381" s="82">
        <f t="shared" si="2"/>
        <v>-4.975720476</v>
      </c>
      <c r="AZ2381" s="82">
        <v>2.0489185651645627</v>
      </c>
      <c r="BA2381" s="84">
        <v>2300.0</v>
      </c>
      <c r="BB2381" s="84" t="b">
        <f>IFERROR(__xludf.DUMMYFUNCTION("iferror(if(A2381="""",,E2381&gt;=FILTER(Constants!$F$2:$F$10,Constants!$A$2:$A$10=A2381)))"),TRUE)</f>
        <v>1</v>
      </c>
    </row>
    <row r="2382">
      <c r="A2382" s="89" t="str">
        <f>IFERROR(__xludf.DUMMYFUNCTION("""COMPUTED_VALUE"""),"Challenger")</f>
        <v>Challenger</v>
      </c>
      <c r="B2382" s="87" t="str">
        <f>IFERROR(__xludf.DUMMYFUNCTION("""COMPUTED_VALUE"""),"RSC006777")</f>
        <v>RSC006777</v>
      </c>
      <c r="C2382" s="73" t="str">
        <f>IFERROR(__xludf.DUMMYFUNCTION("""COMPUTED_VALUE"""),"AlteredSp4rky")</f>
        <v>AlteredSp4rky</v>
      </c>
      <c r="D2382" s="73" t="str">
        <f>IFERROR(__xludf.DUMMYFUNCTION("""COMPUTED_VALUE"""),"Toucans")</f>
        <v>Toucans</v>
      </c>
      <c r="E2382" s="82">
        <f>IFERROR(__xludf.DUMMYFUNCTION("""COMPUTED_VALUE"""),17.0)</f>
        <v>17</v>
      </c>
      <c r="F2382" s="82">
        <f>IFERROR(__xludf.DUMMYFUNCTION("""COMPUTED_VALUE"""),7.0)</f>
        <v>7</v>
      </c>
      <c r="G2382" s="86">
        <f>IFERROR(__xludf.DUMMYFUNCTION("""COMPUTED_VALUE"""),10.0)</f>
        <v>10</v>
      </c>
      <c r="H2382" s="86">
        <f>IFERROR(__xludf.DUMMYFUNCTION("""COMPUTED_VALUE"""),0.4117647058823529)</f>
        <v>0.4117647059</v>
      </c>
      <c r="I2382" s="86">
        <f>IFERROR(__xludf.DUMMYFUNCTION("""COMPUTED_VALUE"""),0.2571428571428572)</f>
        <v>0.2571428571</v>
      </c>
      <c r="J2382" s="82">
        <f>IFERROR(__xludf.DUMMYFUNCTION("""COMPUTED_VALUE"""),283.5882352941176)</f>
        <v>283.5882353</v>
      </c>
      <c r="K2382" s="82">
        <f>IFERROR(__xludf.DUMMYFUNCTION("""COMPUTED_VALUE"""),0.5294117647058824)</f>
        <v>0.5294117647</v>
      </c>
      <c r="L2382" s="82">
        <f>IFERROR(__xludf.DUMMYFUNCTION("""COMPUTED_VALUE"""),0.6470588235294118)</f>
        <v>0.6470588235</v>
      </c>
      <c r="M2382" s="82">
        <f>IFERROR(__xludf.DUMMYFUNCTION("""COMPUTED_VALUE"""),0.8823529411764706)</f>
        <v>0.8823529412</v>
      </c>
      <c r="N2382" s="82">
        <f>IFERROR(__xludf.DUMMYFUNCTION("""COMPUTED_VALUE"""),2.0588235294117645)</f>
        <v>2.058823529</v>
      </c>
      <c r="O2382" s="82">
        <f>IFERROR(__xludf.DUMMYFUNCTION("""COMPUTED_VALUE"""),297.47058823529414)</f>
        <v>297.4705882</v>
      </c>
      <c r="P2382" s="82">
        <f>IFERROR(__xludf.DUMMYFUNCTION("""COMPUTED_VALUE"""),0.7254901960784315)</f>
        <v>0.7254901961</v>
      </c>
      <c r="Q2382" s="82">
        <f>IFERROR(__xludf.DUMMYFUNCTION("""COMPUTED_VALUE"""),0.43137254901960775)</f>
        <v>0.431372549</v>
      </c>
      <c r="R2382" s="82">
        <f>IFERROR(__xludf.DUMMYFUNCTION("""COMPUTED_VALUE"""),1.0196078431372548)</f>
        <v>1.019607843</v>
      </c>
      <c r="S2382" s="82">
        <f>IFERROR(__xludf.DUMMYFUNCTION("""COMPUTED_VALUE"""),1.96078431372549)</f>
        <v>1.960784314</v>
      </c>
      <c r="T2382" s="82">
        <f>IFERROR(__xludf.DUMMYFUNCTION("""COMPUTED_VALUE"""),308.21526005718187)</f>
        <v>308.2152601</v>
      </c>
      <c r="U2382" s="82">
        <f>IFERROR(__xludf.DUMMYFUNCTION("""COMPUTED_VALUE"""),0.6518985982192441)</f>
        <v>0.6518985982</v>
      </c>
      <c r="V2382" s="82">
        <f>IFERROR(__xludf.DUMMYFUNCTION("""COMPUTED_VALUE"""),0.43419805721853)</f>
        <v>0.4341980572</v>
      </c>
      <c r="W2382" s="82">
        <f>IFERROR(__xludf.DUMMYFUNCTION("""COMPUTED_VALUE"""),1.1408289546755517)</f>
        <v>1.140828955</v>
      </c>
      <c r="X2382" s="82">
        <f>IFERROR(__xludf.DUMMYFUNCTION("""COMPUTED_VALUE"""),2.2237370699913956)</f>
        <v>2.22373707</v>
      </c>
      <c r="Y2382" s="82">
        <f>IFERROR(__xludf.DUMMYFUNCTION("""COMPUTED_VALUE"""),324.6633913797909)</f>
        <v>324.6633914</v>
      </c>
      <c r="Z2382" s="82">
        <f>IFERROR(__xludf.DUMMYFUNCTION("""COMPUTED_VALUE"""),0.777119171197891)</f>
        <v>0.7771191712</v>
      </c>
      <c r="AA2382" s="82">
        <f>IFERROR(__xludf.DUMMYFUNCTION("""COMPUTED_VALUE"""),0.5365032781449545)</f>
        <v>0.5365032781</v>
      </c>
      <c r="AB2382" s="82">
        <f>IFERROR(__xludf.DUMMYFUNCTION("""COMPUTED_VALUE"""),1.0890402195736684)</f>
        <v>1.08904022</v>
      </c>
      <c r="AC2382" s="82">
        <f>IFERROR(__xludf.DUMMYFUNCTION("""COMPUTED_VALUE"""),2.3443996560134583)</f>
        <v>2.344399656</v>
      </c>
      <c r="AD2382" s="82">
        <f>IFERROR(__xludf.DUMMYFUNCTION("""COMPUTED_VALUE"""),0.8734838692126407)</f>
        <v>0.8734838692</v>
      </c>
      <c r="AE2382" s="82">
        <f>IFERROR(__xludf.DUMMYFUNCTION("""COMPUTED_VALUE"""),0.6812491369757616)</f>
        <v>0.681249137</v>
      </c>
      <c r="AF2382" s="82">
        <f>IFERROR(__xludf.DUMMYFUNCTION("""COMPUTED_VALUE"""),1.2060668590259518)</f>
        <v>1.206066859</v>
      </c>
      <c r="AG2382" s="82">
        <f>IFERROR(__xludf.DUMMYFUNCTION("""COMPUTED_VALUE"""),0.8102115287550072)</f>
        <v>0.8102115288</v>
      </c>
      <c r="AH2382" s="82">
        <f>IFERROR(__xludf.DUMMYFUNCTION("""COMPUTED_VALUE"""),0.8781879506469035)</f>
        <v>0.8781879506</v>
      </c>
      <c r="AI2382" s="82">
        <f>IFERROR(__xludf.DUMMYFUNCTION("""COMPUTED_VALUE"""),0.9651390660543728)</f>
        <v>0.9651390661</v>
      </c>
      <c r="AJ2382" s="82">
        <f>IFERROR(__xludf.DUMMYFUNCTION("""COMPUTED_VALUE"""),1.11288810569652)</f>
        <v>1.112888106</v>
      </c>
      <c r="AK2382" s="82">
        <f>IFERROR(__xludf.DUMMYFUNCTION("""COMPUTED_VALUE"""),0.9934925821247971)</f>
        <v>0.9934925821</v>
      </c>
      <c r="AL2382" s="82">
        <f>IFERROR(__xludf.DUMMYFUNCTION("""COMPUTED_VALUE"""),0.8937429567846376)</f>
        <v>0.8937429568</v>
      </c>
      <c r="AM2382" s="82">
        <f>IFERROR(__xludf.DUMMYFUNCTION("""COMPUTED_VALUE"""),0.8817518672443936)</f>
        <v>0.8817518672</v>
      </c>
      <c r="AN2382" s="82">
        <f>IFERROR(__xludf.DUMMYFUNCTION("""COMPUTED_VALUE"""),0.8627257468358785)</f>
        <v>0.8627257468</v>
      </c>
      <c r="AO2382" s="82">
        <f>IFERROR(__xludf.DUMMYFUNCTION("""COMPUTED_VALUE"""),0.6981599594733856)</f>
        <v>0.6981599595</v>
      </c>
      <c r="AP2382" s="82">
        <f>IFERROR(__xludf.DUMMYFUNCTION("""COMPUTED_VALUE"""),1.2549096165326077)</f>
        <v>1.254909617</v>
      </c>
      <c r="AQ2382" s="82">
        <f>IFERROR(__xludf.DUMMYFUNCTION("""COMPUTED_VALUE"""),0.7357833442384426)</f>
        <v>0.7357833442</v>
      </c>
      <c r="AR2382" s="82">
        <f>IFERROR(__xludf.DUMMYFUNCTION("""COMPUTED_VALUE"""),0.8582945796772724)</f>
        <v>0.8582945797</v>
      </c>
      <c r="AS2382" s="82">
        <f>IFERROR(__xludf.DUMMYFUNCTION("""COMPUTED_VALUE"""),40.0)</f>
        <v>40</v>
      </c>
      <c r="AT2382" s="82">
        <f>IFERROR(__xludf.DUMMYFUNCTION("""COMPUTED_VALUE"""),0.5300317988764897)</f>
        <v>0.5300317989</v>
      </c>
      <c r="AU2382" s="82">
        <f>IFERROR(__xludf.DUMMYFUNCTION("""COMPUTED_VALUE"""),2.6080595438675584)</f>
        <v>2.608059544</v>
      </c>
      <c r="AV2382" s="82">
        <f>IFERROR(__xludf.DUMMYFUNCTION("""COMPUTED_VALUE"""),39.552803587922924)</f>
        <v>39.55280359</v>
      </c>
      <c r="AW2382" s="82">
        <f t="shared" si="1"/>
        <v>-2.958452478</v>
      </c>
      <c r="AX2382" s="83">
        <f t="array" ref="AX2382">IFERROR(DGET('SBV Import'!A:G,"SBV",{"RSC ID","Tier";B2382,A2382}))</f>
        <v>55.97152827</v>
      </c>
      <c r="AY2382" s="82">
        <f t="shared" si="2"/>
        <v>2.465442915</v>
      </c>
      <c r="AZ2382" s="82">
        <v>5.423895393177223</v>
      </c>
      <c r="BA2382" s="84">
        <v>2300.0</v>
      </c>
      <c r="BB2382" s="84" t="b">
        <f>IFERROR(__xludf.DUMMYFUNCTION("iferror(if(A2382="""",,E2382&gt;=FILTER(Constants!$F$2:$F$10,Constants!$A$2:$A$10=A2382)))"),TRUE)</f>
        <v>1</v>
      </c>
    </row>
    <row r="2383">
      <c r="A2383" s="89" t="str">
        <f>IFERROR(__xludf.DUMMYFUNCTION("""COMPUTED_VALUE"""),"Challenger")</f>
        <v>Challenger</v>
      </c>
      <c r="B2383" s="87" t="str">
        <f>IFERROR(__xludf.DUMMYFUNCTION("""COMPUTED_VALUE"""),"RSC007546")</f>
        <v>RSC007546</v>
      </c>
      <c r="C2383" s="73" t="str">
        <f>IFERROR(__xludf.DUMMYFUNCTION("""COMPUTED_VALUE"""),"N0TTopmarx")</f>
        <v>N0TTopmarx</v>
      </c>
      <c r="D2383" s="73" t="str">
        <f>IFERROR(__xludf.DUMMYFUNCTION("""COMPUTED_VALUE"""),"Metal")</f>
        <v>Metal</v>
      </c>
      <c r="E2383" s="82">
        <f>IFERROR(__xludf.DUMMYFUNCTION("""COMPUTED_VALUE"""),25.0)</f>
        <v>25</v>
      </c>
      <c r="F2383" s="82">
        <f>IFERROR(__xludf.DUMMYFUNCTION("""COMPUTED_VALUE"""),11.0)</f>
        <v>11</v>
      </c>
      <c r="G2383" s="86">
        <f>IFERROR(__xludf.DUMMYFUNCTION("""COMPUTED_VALUE"""),14.0)</f>
        <v>14</v>
      </c>
      <c r="H2383" s="86">
        <f>IFERROR(__xludf.DUMMYFUNCTION("""COMPUTED_VALUE"""),0.44)</f>
        <v>0.44</v>
      </c>
      <c r="I2383" s="86">
        <f>IFERROR(__xludf.DUMMYFUNCTION("""COMPUTED_VALUE"""),0.29032258064516125)</f>
        <v>0.2903225806</v>
      </c>
      <c r="J2383" s="82">
        <f>IFERROR(__xludf.DUMMYFUNCTION("""COMPUTED_VALUE"""),325.6)</f>
        <v>325.6</v>
      </c>
      <c r="K2383" s="82">
        <f>IFERROR(__xludf.DUMMYFUNCTION("""COMPUTED_VALUE"""),0.72)</f>
        <v>0.72</v>
      </c>
      <c r="L2383" s="82">
        <f>IFERROR(__xludf.DUMMYFUNCTION("""COMPUTED_VALUE"""),0.4)</f>
        <v>0.4</v>
      </c>
      <c r="M2383" s="82">
        <f>IFERROR(__xludf.DUMMYFUNCTION("""COMPUTED_VALUE"""),1.04)</f>
        <v>1.04</v>
      </c>
      <c r="N2383" s="82">
        <f>IFERROR(__xludf.DUMMYFUNCTION("""COMPUTED_VALUE"""),2.48)</f>
        <v>2.48</v>
      </c>
      <c r="O2383" s="82">
        <f>IFERROR(__xludf.DUMMYFUNCTION("""COMPUTED_VALUE"""),323.8)</f>
        <v>323.8</v>
      </c>
      <c r="P2383" s="82">
        <f>IFERROR(__xludf.DUMMYFUNCTION("""COMPUTED_VALUE"""),0.8)</f>
        <v>0.8</v>
      </c>
      <c r="Q2383" s="82">
        <f>IFERROR(__xludf.DUMMYFUNCTION("""COMPUTED_VALUE"""),0.5333333333333332)</f>
        <v>0.5333333333</v>
      </c>
      <c r="R2383" s="82">
        <f>IFERROR(__xludf.DUMMYFUNCTION("""COMPUTED_VALUE"""),1.0133333333333332)</f>
        <v>1.013333333</v>
      </c>
      <c r="S2383" s="82">
        <f>IFERROR(__xludf.DUMMYFUNCTION("""COMPUTED_VALUE"""),2.4800000000000004)</f>
        <v>2.48</v>
      </c>
      <c r="T2383" s="82">
        <f>IFERROR(__xludf.DUMMYFUNCTION("""COMPUTED_VALUE"""),325.85967483443324)</f>
        <v>325.8596748</v>
      </c>
      <c r="U2383" s="82">
        <f>IFERROR(__xludf.DUMMYFUNCTION("""COMPUTED_VALUE"""),0.7236113614557148)</f>
        <v>0.7236113615</v>
      </c>
      <c r="V2383" s="82">
        <f>IFERROR(__xludf.DUMMYFUNCTION("""COMPUTED_VALUE"""),0.4988205122782103)</f>
        <v>0.4988205123</v>
      </c>
      <c r="W2383" s="82">
        <f>IFERROR(__xludf.DUMMYFUNCTION("""COMPUTED_VALUE"""),1.2415519367168584)</f>
        <v>1.241551937</v>
      </c>
      <c r="X2383" s="82">
        <f>IFERROR(__xludf.DUMMYFUNCTION("""COMPUTED_VALUE"""),2.2957057587007204)</f>
        <v>2.295705759</v>
      </c>
      <c r="Y2383" s="82">
        <f>IFERROR(__xludf.DUMMYFUNCTION("""COMPUTED_VALUE"""),346.44341766676416)</f>
        <v>346.4434177</v>
      </c>
      <c r="Z2383" s="82">
        <f>IFERROR(__xludf.DUMMYFUNCTION("""COMPUTED_VALUE"""),0.8466167747278134)</f>
        <v>0.8466167747</v>
      </c>
      <c r="AA2383" s="82">
        <f>IFERROR(__xludf.DUMMYFUNCTION("""COMPUTED_VALUE"""),0.6079816374658626)</f>
        <v>0.6079816375</v>
      </c>
      <c r="AB2383" s="82">
        <f>IFERROR(__xludf.DUMMYFUNCTION("""COMPUTED_VALUE"""),1.1668701817156966)</f>
        <v>1.166870182</v>
      </c>
      <c r="AC2383" s="82">
        <f>IFERROR(__xludf.DUMMYFUNCTION("""COMPUTED_VALUE"""),2.5685094382628453)</f>
        <v>2.568509438</v>
      </c>
      <c r="AD2383" s="82">
        <f>IFERROR(__xludf.DUMMYFUNCTION("""COMPUTED_VALUE"""),0.9398360118742018)</f>
        <v>0.9398360119</v>
      </c>
      <c r="AE2383" s="82">
        <f>IFERROR(__xludf.DUMMYFUNCTION("""COMPUTED_VALUE"""),0.8504438153041315)</f>
        <v>0.8504438153</v>
      </c>
      <c r="AF2383" s="82">
        <f>IFERROR(__xludf.DUMMYFUNCTION("""COMPUTED_VALUE"""),0.6579146068740596)</f>
        <v>0.6579146069</v>
      </c>
      <c r="AG2383" s="82">
        <f>IFERROR(__xludf.DUMMYFUNCTION("""COMPUTED_VALUE"""),0.891273096438925)</f>
        <v>0.8912730964</v>
      </c>
      <c r="AH2383" s="82">
        <f>IFERROR(__xludf.DUMMYFUNCTION("""COMPUTED_VALUE"""),0.9655405438873113)</f>
        <v>0.9655405439</v>
      </c>
      <c r="AI2383" s="82">
        <f>IFERROR(__xludf.DUMMYFUNCTION("""COMPUTED_VALUE"""),0.9936792583019678)</f>
        <v>0.9936792583</v>
      </c>
      <c r="AJ2383" s="82">
        <f>IFERROR(__xludf.DUMMYFUNCTION("""COMPUTED_VALUE"""),1.1055658363221543)</f>
        <v>1.105565836</v>
      </c>
      <c r="AK2383" s="82">
        <f>IFERROR(__xludf.DUMMYFUNCTION("""COMPUTED_VALUE"""),1.0691888569247006)</f>
        <v>1.069188857</v>
      </c>
      <c r="AL2383" s="82">
        <f>IFERROR(__xludf.DUMMYFUNCTION("""COMPUTED_VALUE"""),0.8161827978078605)</f>
        <v>0.8161827978</v>
      </c>
      <c r="AM2383" s="82">
        <f>IFERROR(__xludf.DUMMYFUNCTION("""COMPUTED_VALUE"""),1.0802778146113914)</f>
        <v>1.080277815</v>
      </c>
      <c r="AN2383" s="82">
        <f>IFERROR(__xludf.DUMMYFUNCTION("""COMPUTED_VALUE"""),0.9905329918867364)</f>
        <v>0.9905329919</v>
      </c>
      <c r="AO2383" s="82">
        <f>IFERROR(__xludf.DUMMYFUNCTION("""COMPUTED_VALUE"""),0.9494975448838043)</f>
        <v>0.9494975449</v>
      </c>
      <c r="AP2383" s="82">
        <f>IFERROR(__xludf.DUMMYFUNCTION("""COMPUTED_VALUE"""),0.7757623084019757)</f>
        <v>0.7757623084</v>
      </c>
      <c r="AQ2383" s="82">
        <f>IFERROR(__xludf.DUMMYFUNCTION("""COMPUTED_VALUE"""),0.8672433017423777)</f>
        <v>0.8672433017</v>
      </c>
      <c r="AR2383" s="82">
        <f>IFERROR(__xludf.DUMMYFUNCTION("""COMPUTED_VALUE"""),1.033877127976966)</f>
        <v>1.033877128</v>
      </c>
      <c r="AS2383" s="82">
        <f>IFERROR(__xludf.DUMMYFUNCTION("""COMPUTED_VALUE"""),61.0)</f>
        <v>61</v>
      </c>
      <c r="AT2383" s="82">
        <f>IFERROR(__xludf.DUMMYFUNCTION("""COMPUTED_VALUE"""),0.5064971171164464)</f>
        <v>0.5064971171</v>
      </c>
      <c r="AU2383" s="82">
        <f>IFERROR(__xludf.DUMMYFUNCTION("""COMPUTED_VALUE"""),2.5938692249713324)</f>
        <v>2.593869225</v>
      </c>
      <c r="AV2383" s="82">
        <f>IFERROR(__xludf.DUMMYFUNCTION("""COMPUTED_VALUE"""),39.17758093844512)</f>
        <v>39.17758094</v>
      </c>
      <c r="AW2383" s="82">
        <f t="shared" si="1"/>
        <v>-3.00711285</v>
      </c>
      <c r="AX2383" s="83">
        <f t="array" ref="AX2383">IFERROR(DGET('SBV Import'!A:G,"SBV",{"RSC ID","Tier";B2383,A2383}))</f>
        <v>41.67266264</v>
      </c>
      <c r="AY2383" s="82">
        <f t="shared" si="2"/>
        <v>-2.706126647</v>
      </c>
      <c r="AZ2383" s="82">
        <v>0.3009862023887502</v>
      </c>
      <c r="BA2383" s="84">
        <v>2300.0</v>
      </c>
      <c r="BB2383" s="84" t="b">
        <f>IFERROR(__xludf.DUMMYFUNCTION("iferror(if(A2383="""",,E2383&gt;=FILTER(Constants!$F$2:$F$10,Constants!$A$2:$A$10=A2383)))"),TRUE)</f>
        <v>1</v>
      </c>
    </row>
    <row r="2384">
      <c r="A2384" s="89" t="str">
        <f>IFERROR(__xludf.DUMMYFUNCTION("""COMPUTED_VALUE"""),"Challenger")</f>
        <v>Challenger</v>
      </c>
      <c r="B2384" s="87" t="str">
        <f>IFERROR(__xludf.DUMMYFUNCTION("""COMPUTED_VALUE"""),"RSC004844")</f>
        <v>RSC004844</v>
      </c>
      <c r="C2384" s="73" t="str">
        <f>IFERROR(__xludf.DUMMYFUNCTION("""COMPUTED_VALUE"""),"Calicat01")</f>
        <v>Calicat01</v>
      </c>
      <c r="D2384" s="73" t="str">
        <f>IFERROR(__xludf.DUMMYFUNCTION("""COMPUTED_VALUE"""),"Threshers")</f>
        <v>Threshers</v>
      </c>
      <c r="E2384" s="82">
        <f>IFERROR(__xludf.DUMMYFUNCTION("""COMPUTED_VALUE"""),34.0)</f>
        <v>34</v>
      </c>
      <c r="F2384" s="82">
        <f>IFERROR(__xludf.DUMMYFUNCTION("""COMPUTED_VALUE"""),12.0)</f>
        <v>12</v>
      </c>
      <c r="G2384" s="86">
        <f>IFERROR(__xludf.DUMMYFUNCTION("""COMPUTED_VALUE"""),22.0)</f>
        <v>22</v>
      </c>
      <c r="H2384" s="86">
        <f>IFERROR(__xludf.DUMMYFUNCTION("""COMPUTED_VALUE"""),0.35294117647058826)</f>
        <v>0.3529411765</v>
      </c>
      <c r="I2384" s="86">
        <f>IFERROR(__xludf.DUMMYFUNCTION("""COMPUTED_VALUE"""),0.2289156626506024)</f>
        <v>0.2289156627</v>
      </c>
      <c r="J2384" s="82">
        <f>IFERROR(__xludf.DUMMYFUNCTION("""COMPUTED_VALUE"""),326.29411764705884)</f>
        <v>326.2941176</v>
      </c>
      <c r="K2384" s="82">
        <f>IFERROR(__xludf.DUMMYFUNCTION("""COMPUTED_VALUE"""),0.5588235294117647)</f>
        <v>0.5588235294</v>
      </c>
      <c r="L2384" s="82">
        <f>IFERROR(__xludf.DUMMYFUNCTION("""COMPUTED_VALUE"""),0.4411764705882353)</f>
        <v>0.4411764706</v>
      </c>
      <c r="M2384" s="82">
        <f>IFERROR(__xludf.DUMMYFUNCTION("""COMPUTED_VALUE"""),1.4705882352941178)</f>
        <v>1.470588235</v>
      </c>
      <c r="N2384" s="82">
        <f>IFERROR(__xludf.DUMMYFUNCTION("""COMPUTED_VALUE"""),2.4411764705882355)</f>
        <v>2.441176471</v>
      </c>
      <c r="O2384" s="82">
        <f>IFERROR(__xludf.DUMMYFUNCTION("""COMPUTED_VALUE"""),365.0588235294118)</f>
        <v>365.0588235</v>
      </c>
      <c r="P2384" s="82">
        <f>IFERROR(__xludf.DUMMYFUNCTION("""COMPUTED_VALUE"""),0.9509803921568626)</f>
        <v>0.9509803922</v>
      </c>
      <c r="Q2384" s="82">
        <f>IFERROR(__xludf.DUMMYFUNCTION("""COMPUTED_VALUE"""),0.7352941176470589)</f>
        <v>0.7352941176</v>
      </c>
      <c r="R2384" s="82">
        <f>IFERROR(__xludf.DUMMYFUNCTION("""COMPUTED_VALUE"""),1.196078431372549)</f>
        <v>1.196078431</v>
      </c>
      <c r="S2384" s="82">
        <f>IFERROR(__xludf.DUMMYFUNCTION("""COMPUTED_VALUE"""),2.8235294117647056)</f>
        <v>2.823529412</v>
      </c>
      <c r="T2384" s="82">
        <f>IFERROR(__xludf.DUMMYFUNCTION("""COMPUTED_VALUE"""),347.30989897044265)</f>
        <v>347.309899</v>
      </c>
      <c r="U2384" s="82">
        <f>IFERROR(__xludf.DUMMYFUNCTION("""COMPUTED_VALUE"""),0.8583916630878108)</f>
        <v>0.8583916631</v>
      </c>
      <c r="V2384" s="82">
        <f>IFERROR(__xludf.DUMMYFUNCTION("""COMPUTED_VALUE"""),0.5975790490135405)</f>
        <v>0.597579049</v>
      </c>
      <c r="W2384" s="82">
        <f>IFERROR(__xludf.DUMMYFUNCTION("""COMPUTED_VALUE"""),1.16540516462872)</f>
        <v>1.165405165</v>
      </c>
      <c r="X2384" s="82">
        <f>IFERROR(__xludf.DUMMYFUNCTION("""COMPUTED_VALUE"""),2.634170440266727)</f>
        <v>2.63417044</v>
      </c>
      <c r="Y2384" s="82">
        <f>IFERROR(__xludf.DUMMYFUNCTION("""COMPUTED_VALUE"""),325.2819621710357)</f>
        <v>325.2819622</v>
      </c>
      <c r="Z2384" s="82">
        <f>IFERROR(__xludf.DUMMYFUNCTION("""COMPUTED_VALUE"""),0.7201035864167996)</f>
        <v>0.7201035864</v>
      </c>
      <c r="AA2384" s="82">
        <f>IFERROR(__xludf.DUMMYFUNCTION("""COMPUTED_VALUE"""),0.48109191414498537)</f>
        <v>0.4810919141</v>
      </c>
      <c r="AB2384" s="82">
        <f>IFERROR(__xludf.DUMMYFUNCTION("""COMPUTED_VALUE"""),1.2329016017120216)</f>
        <v>1.232901602</v>
      </c>
      <c r="AC2384" s="82">
        <f>IFERROR(__xludf.DUMMYFUNCTION("""COMPUTED_VALUE"""),2.301934703067011)</f>
        <v>2.301934703</v>
      </c>
      <c r="AD2384" s="82">
        <f>IFERROR(__xludf.DUMMYFUNCTION("""COMPUTED_VALUE"""),1.0031116249707415)</f>
        <v>1.003111625</v>
      </c>
      <c r="AE2384" s="82">
        <f>IFERROR(__xludf.DUMMYFUNCTION("""COMPUTED_VALUE"""),0.7760321430871403)</f>
        <v>0.7760321431</v>
      </c>
      <c r="AF2384" s="82">
        <f>IFERROR(__xludf.DUMMYFUNCTION("""COMPUTED_VALUE"""),0.9170315642745954)</f>
        <v>0.9170315643</v>
      </c>
      <c r="AG2384" s="82">
        <f>IFERROR(__xludf.DUMMYFUNCTION("""COMPUTED_VALUE"""),1.1927863774789826)</f>
        <v>1.192786377</v>
      </c>
      <c r="AH2384" s="82">
        <f>IFERROR(__xludf.DUMMYFUNCTION("""COMPUTED_VALUE"""),1.0604890170584353)</f>
        <v>1.060489017</v>
      </c>
      <c r="AI2384" s="82">
        <f>IFERROR(__xludf.DUMMYFUNCTION("""COMPUTED_VALUE"""),1.0511039985084896)</f>
        <v>1.051103999</v>
      </c>
      <c r="AJ2384" s="82">
        <f>IFERROR(__xludf.DUMMYFUNCTION("""COMPUTED_VALUE"""),1.1078630339162325)</f>
        <v>1.107863034</v>
      </c>
      <c r="AK2384" s="82">
        <f>IFERROR(__xludf.DUMMYFUNCTION("""COMPUTED_VALUE"""),1.2304549814135097)</f>
        <v>1.230454981</v>
      </c>
      <c r="AL2384" s="82">
        <f>IFERROR(__xludf.DUMMYFUNCTION("""COMPUTED_VALUE"""),1.0263198307977304)</f>
        <v>1.026319831</v>
      </c>
      <c r="AM2384" s="82">
        <f>IFERROR(__xludf.DUMMYFUNCTION("""COMPUTED_VALUE"""),1.0718856185626335)</f>
        <v>1.071885619</v>
      </c>
      <c r="AN2384" s="82">
        <f>IFERROR(__xludf.DUMMYFUNCTION("""COMPUTED_VALUE"""),0.9926446209704666)</f>
        <v>0.992644621</v>
      </c>
      <c r="AO2384" s="82">
        <f>IFERROR(__xludf.DUMMYFUNCTION("""COMPUTED_VALUE"""),0.7369466238885737)</f>
        <v>0.7369466239</v>
      </c>
      <c r="AP2384" s="82">
        <f>IFERROR(__xludf.DUMMYFUNCTION("""COMPUTED_VALUE"""),0.8556201930904143)</f>
        <v>0.8556201931</v>
      </c>
      <c r="AQ2384" s="82">
        <f>IFERROR(__xludf.DUMMYFUNCTION("""COMPUTED_VALUE"""),1.2263055737307378)</f>
        <v>1.226305574</v>
      </c>
      <c r="AR2384" s="82">
        <f>IFERROR(__xludf.DUMMYFUNCTION("""COMPUTED_VALUE"""),1.0176921444744804)</f>
        <v>1.017692144</v>
      </c>
      <c r="AS2384" s="82">
        <f>IFERROR(__xludf.DUMMYFUNCTION("""COMPUTED_VALUE"""),62.0)</f>
        <v>62</v>
      </c>
      <c r="AT2384" s="82">
        <f>IFERROR(__xludf.DUMMYFUNCTION("""COMPUTED_VALUE"""),0.33251292049002995)</f>
        <v>0.3325129205</v>
      </c>
      <c r="AU2384" s="82">
        <f>IFERROR(__xludf.DUMMYFUNCTION("""COMPUTED_VALUE"""),2.5817339545974973)</f>
        <v>2.581733955</v>
      </c>
      <c r="AV2384" s="82">
        <f>IFERROR(__xludf.DUMMYFUNCTION("""COMPUTED_VALUE"""),38.85669820599215)</f>
        <v>38.85669821</v>
      </c>
      <c r="AW2384" s="82">
        <f t="shared" si="1"/>
        <v>-3.049753086</v>
      </c>
      <c r="AX2384" s="83">
        <f t="array" ref="AX2384">IFERROR(DGET('SBV Import'!A:G,"SBV",{"RSC ID","Tier";B2384,A2384}))</f>
        <v>41.52770617</v>
      </c>
      <c r="AY2384" s="82">
        <f t="shared" si="2"/>
        <v>-2.722231857</v>
      </c>
      <c r="AZ2384" s="82">
        <v>0.3275212288443248</v>
      </c>
      <c r="BA2384" s="84">
        <v>2300.0</v>
      </c>
      <c r="BB2384" s="84" t="b">
        <f>IFERROR(__xludf.DUMMYFUNCTION("iferror(if(A2384="""",,E2384&gt;=FILTER(Constants!$F$2:$F$10,Constants!$A$2:$A$10=A2384)))"),TRUE)</f>
        <v>1</v>
      </c>
    </row>
    <row r="2385">
      <c r="A2385" s="89" t="str">
        <f>IFERROR(__xludf.DUMMYFUNCTION("""COMPUTED_VALUE"""),"Challenger")</f>
        <v>Challenger</v>
      </c>
      <c r="B2385" s="87" t="str">
        <f>IFERROR(__xludf.DUMMYFUNCTION("""COMPUTED_VALUE"""),"RSC005663")</f>
        <v>RSC005663</v>
      </c>
      <c r="C2385" s="73" t="str">
        <f>IFERROR(__xludf.DUMMYFUNCTION("""COMPUTED_VALUE"""),"Pure_Pusher")</f>
        <v>Pure_Pusher</v>
      </c>
      <c r="D2385" s="73" t="str">
        <f>IFERROR(__xludf.DUMMYFUNCTION("""COMPUTED_VALUE"""),"Chromatic Chaos")</f>
        <v>Chromatic Chaos</v>
      </c>
      <c r="E2385" s="82">
        <f>IFERROR(__xludf.DUMMYFUNCTION("""COMPUTED_VALUE"""),23.0)</f>
        <v>23</v>
      </c>
      <c r="F2385" s="82">
        <f>IFERROR(__xludf.DUMMYFUNCTION("""COMPUTED_VALUE"""),11.0)</f>
        <v>11</v>
      </c>
      <c r="G2385" s="86">
        <f>IFERROR(__xludf.DUMMYFUNCTION("""COMPUTED_VALUE"""),12.0)</f>
        <v>12</v>
      </c>
      <c r="H2385" s="86">
        <f>IFERROR(__xludf.DUMMYFUNCTION("""COMPUTED_VALUE"""),0.4782608695652174)</f>
        <v>0.4782608696</v>
      </c>
      <c r="I2385" s="86">
        <f>IFERROR(__xludf.DUMMYFUNCTION("""COMPUTED_VALUE"""),0.38)</f>
        <v>0.38</v>
      </c>
      <c r="J2385" s="82">
        <f>IFERROR(__xludf.DUMMYFUNCTION("""COMPUTED_VALUE"""),306.9130434782609)</f>
        <v>306.9130435</v>
      </c>
      <c r="K2385" s="82">
        <f>IFERROR(__xludf.DUMMYFUNCTION("""COMPUTED_VALUE"""),0.8260869565217391)</f>
        <v>0.8260869565</v>
      </c>
      <c r="L2385" s="82">
        <f>IFERROR(__xludf.DUMMYFUNCTION("""COMPUTED_VALUE"""),0.391304347826087)</f>
        <v>0.3913043478</v>
      </c>
      <c r="M2385" s="82">
        <f>IFERROR(__xludf.DUMMYFUNCTION("""COMPUTED_VALUE"""),1.0869565217391304)</f>
        <v>1.086956522</v>
      </c>
      <c r="N2385" s="82">
        <f>IFERROR(__xludf.DUMMYFUNCTION("""COMPUTED_VALUE"""),2.1739130434782608)</f>
        <v>2.173913043</v>
      </c>
      <c r="O2385" s="82">
        <f>IFERROR(__xludf.DUMMYFUNCTION("""COMPUTED_VALUE"""),358.30434782608694)</f>
        <v>358.3043478</v>
      </c>
      <c r="P2385" s="82">
        <f>IFERROR(__xludf.DUMMYFUNCTION("""COMPUTED_VALUE"""),0.9999999999999999)</f>
        <v>1</v>
      </c>
      <c r="Q2385" s="82">
        <f>IFERROR(__xludf.DUMMYFUNCTION("""COMPUTED_VALUE"""),0.5797101449275363)</f>
        <v>0.5797101449</v>
      </c>
      <c r="R2385" s="82">
        <f>IFERROR(__xludf.DUMMYFUNCTION("""COMPUTED_VALUE"""),1.2028985507246375)</f>
        <v>1.202898551</v>
      </c>
      <c r="S2385" s="82">
        <f>IFERROR(__xludf.DUMMYFUNCTION("""COMPUTED_VALUE"""),2.579710144927536)</f>
        <v>2.579710145</v>
      </c>
      <c r="T2385" s="82">
        <f>IFERROR(__xludf.DUMMYFUNCTION("""COMPUTED_VALUE"""),337.5338842028912)</f>
        <v>337.5338842</v>
      </c>
      <c r="U2385" s="82">
        <f>IFERROR(__xludf.DUMMYFUNCTION("""COMPUTED_VALUE"""),0.8058378354951867)</f>
        <v>0.8058378355</v>
      </c>
      <c r="V2385" s="82">
        <f>IFERROR(__xludf.DUMMYFUNCTION("""COMPUTED_VALUE"""),0.5444884692727534)</f>
        <v>0.5444884693</v>
      </c>
      <c r="W2385" s="82">
        <f>IFERROR(__xludf.DUMMYFUNCTION("""COMPUTED_VALUE"""),1.1666927621458831)</f>
        <v>1.166692762</v>
      </c>
      <c r="X2385" s="82">
        <f>IFERROR(__xludf.DUMMYFUNCTION("""COMPUTED_VALUE"""),2.4793714945334147)</f>
        <v>2.479371495</v>
      </c>
      <c r="Y2385" s="82">
        <f>IFERROR(__xludf.DUMMYFUNCTION("""COMPUTED_VALUE"""),335.210939448624)</f>
        <v>335.2109394</v>
      </c>
      <c r="Z2385" s="82">
        <f>IFERROR(__xludf.DUMMYFUNCTION("""COMPUTED_VALUE"""),0.7836582676158801)</f>
        <v>0.7836582676</v>
      </c>
      <c r="AA2385" s="82">
        <f>IFERROR(__xludf.DUMMYFUNCTION("""COMPUTED_VALUE"""),0.532823043718469)</f>
        <v>0.5328230437</v>
      </c>
      <c r="AB2385" s="82">
        <f>IFERROR(__xludf.DUMMYFUNCTION("""COMPUTED_VALUE"""),1.206194573978701)</f>
        <v>1.206194574</v>
      </c>
      <c r="AC2385" s="82">
        <f>IFERROR(__xludf.DUMMYFUNCTION("""COMPUTED_VALUE"""),2.4512976962154753)</f>
        <v>2.451297696</v>
      </c>
      <c r="AD2385" s="82">
        <f>IFERROR(__xludf.DUMMYFUNCTION("""COMPUTED_VALUE"""),0.9155818243375073)</f>
        <v>0.9155818243</v>
      </c>
      <c r="AE2385" s="82">
        <f>IFERROR(__xludf.DUMMYFUNCTION("""COMPUTED_VALUE"""),1.0541418251541448)</f>
        <v>1.054141825</v>
      </c>
      <c r="AF2385" s="82">
        <f>IFERROR(__xludf.DUMMYFUNCTION("""COMPUTED_VALUE"""),0.734398319365562)</f>
        <v>0.7343983194</v>
      </c>
      <c r="AG2385" s="82">
        <f>IFERROR(__xludf.DUMMYFUNCTION("""COMPUTED_VALUE"""),0.9011452589723918)</f>
        <v>0.901145259</v>
      </c>
      <c r="AH2385" s="82">
        <f>IFERROR(__xludf.DUMMYFUNCTION("""COMPUTED_VALUE"""),0.8868417111616166)</f>
        <v>0.8868417112</v>
      </c>
      <c r="AI2385" s="82">
        <f>IFERROR(__xludf.DUMMYFUNCTION("""COMPUTED_VALUE"""),1.061535936376422)</f>
        <v>1.061535936</v>
      </c>
      <c r="AJ2385" s="82">
        <f>IFERROR(__xludf.DUMMYFUNCTION("""COMPUTED_VALUE"""),1.2409444629582336)</f>
        <v>1.240944463</v>
      </c>
      <c r="AK2385" s="82">
        <f>IFERROR(__xludf.DUMMYFUNCTION("""COMPUTED_VALUE"""),1.0646876428840204)</f>
        <v>1.064687643</v>
      </c>
      <c r="AL2385" s="82">
        <f>IFERROR(__xludf.DUMMYFUNCTION("""COMPUTED_VALUE"""),1.031032838938815)</f>
        <v>1.031032839</v>
      </c>
      <c r="AM2385" s="82">
        <f>IFERROR(__xludf.DUMMYFUNCTION("""COMPUTED_VALUE"""),1.0404693893655512)</f>
        <v>1.040469389</v>
      </c>
      <c r="AN2385" s="82">
        <f>IFERROR(__xludf.DUMMYFUNCTION("""COMPUTED_VALUE"""),0.9336839533341085)</f>
        <v>0.9336839533</v>
      </c>
      <c r="AO2385" s="82">
        <f>IFERROR(__xludf.DUMMYFUNCTION("""COMPUTED_VALUE"""),1.089399357052674)</f>
        <v>1.089399357</v>
      </c>
      <c r="AP2385" s="82">
        <f>IFERROR(__xludf.DUMMYFUNCTION("""COMPUTED_VALUE"""),0.7588979103932371)</f>
        <v>0.7588979104</v>
      </c>
      <c r="AQ2385" s="82">
        <f>IFERROR(__xludf.DUMMYFUNCTION("""COMPUTED_VALUE"""),0.9063997718879365)</f>
        <v>0.9063997719</v>
      </c>
      <c r="AR2385" s="82">
        <f>IFERROR(__xludf.DUMMYFUNCTION("""COMPUTED_VALUE"""),0.9062737797834554)</f>
        <v>0.9062737798</v>
      </c>
      <c r="AS2385" s="82">
        <f>IFERROR(__xludf.DUMMYFUNCTION("""COMPUTED_VALUE"""),60.0)</f>
        <v>60</v>
      </c>
      <c r="AT2385" s="82">
        <f>IFERROR(__xludf.DUMMYFUNCTION("""COMPUTED_VALUE"""),0.44293681224974746)</f>
        <v>0.4429368122</v>
      </c>
      <c r="AU2385" s="82">
        <f>IFERROR(__xludf.DUMMYFUNCTION("""COMPUTED_VALUE"""),2.561500106526065)</f>
        <v>2.561500107</v>
      </c>
      <c r="AV2385" s="82">
        <f>IFERROR(__xludf.DUMMYFUNCTION("""COMPUTED_VALUE"""),38.321671605250046)</f>
        <v>38.32167161</v>
      </c>
      <c r="AW2385" s="82">
        <f t="shared" si="1"/>
        <v>-3.123025524</v>
      </c>
      <c r="AX2385" s="83">
        <f t="array" ref="AX2385">IFERROR(DGET('SBV Import'!A:G,"SBV",{"RSC ID","Tier";B2385,A2385}))</f>
        <v>29.614397</v>
      </c>
      <c r="AY2385" s="82">
        <f t="shared" si="2"/>
        <v>-4.821256932</v>
      </c>
      <c r="AZ2385" s="82">
        <v>1.6982314078817922</v>
      </c>
      <c r="BA2385" s="84">
        <v>2300.0</v>
      </c>
      <c r="BB2385" s="84" t="b">
        <f>IFERROR(__xludf.DUMMYFUNCTION("iferror(if(A2385="""",,E2385&gt;=FILTER(Constants!$F$2:$F$10,Constants!$A$2:$A$10=A2385)))"),TRUE)</f>
        <v>1</v>
      </c>
    </row>
    <row r="2386">
      <c r="A2386" s="89" t="str">
        <f>IFERROR(__xludf.DUMMYFUNCTION("""COMPUTED_VALUE"""),"Challenger")</f>
        <v>Challenger</v>
      </c>
      <c r="B2386" s="87" t="str">
        <f>IFERROR(__xludf.DUMMYFUNCTION("""COMPUTED_VALUE"""),"RSC006346")</f>
        <v>RSC006346</v>
      </c>
      <c r="C2386" s="73" t="str">
        <f>IFERROR(__xludf.DUMMYFUNCTION("""COMPUTED_VALUE"""),"MobBossCitrus")</f>
        <v>MobBossCitrus</v>
      </c>
      <c r="D2386" s="73" t="str">
        <f>IFERROR(__xludf.DUMMYFUNCTION("""COMPUTED_VALUE"""),"Jock O Lanterns")</f>
        <v>Jock O Lanterns</v>
      </c>
      <c r="E2386" s="82">
        <f>IFERROR(__xludf.DUMMYFUNCTION("""COMPUTED_VALUE"""),29.0)</f>
        <v>29</v>
      </c>
      <c r="F2386" s="82">
        <f>IFERROR(__xludf.DUMMYFUNCTION("""COMPUTED_VALUE"""),12.0)</f>
        <v>12</v>
      </c>
      <c r="G2386" s="86">
        <f>IFERROR(__xludf.DUMMYFUNCTION("""COMPUTED_VALUE"""),17.0)</f>
        <v>17</v>
      </c>
      <c r="H2386" s="86">
        <f>IFERROR(__xludf.DUMMYFUNCTION("""COMPUTED_VALUE"""),0.41379310344827586)</f>
        <v>0.4137931034</v>
      </c>
      <c r="I2386" s="86">
        <f>IFERROR(__xludf.DUMMYFUNCTION("""COMPUTED_VALUE"""),0.2898550724637681)</f>
        <v>0.2898550725</v>
      </c>
      <c r="J2386" s="82">
        <f>IFERROR(__xludf.DUMMYFUNCTION("""COMPUTED_VALUE"""),305.0)</f>
        <v>305</v>
      </c>
      <c r="K2386" s="82">
        <f>IFERROR(__xludf.DUMMYFUNCTION("""COMPUTED_VALUE"""),0.6896551724137931)</f>
        <v>0.6896551724</v>
      </c>
      <c r="L2386" s="82">
        <f>IFERROR(__xludf.DUMMYFUNCTION("""COMPUTED_VALUE"""),0.4827586206896552)</f>
        <v>0.4827586207</v>
      </c>
      <c r="M2386" s="82">
        <f>IFERROR(__xludf.DUMMYFUNCTION("""COMPUTED_VALUE"""),1.103448275862069)</f>
        <v>1.103448276</v>
      </c>
      <c r="N2386" s="82">
        <f>IFERROR(__xludf.DUMMYFUNCTION("""COMPUTED_VALUE"""),2.3793103448275863)</f>
        <v>2.379310345</v>
      </c>
      <c r="O2386" s="82">
        <f>IFERROR(__xludf.DUMMYFUNCTION("""COMPUTED_VALUE"""),363.4827586206897)</f>
        <v>363.4827586</v>
      </c>
      <c r="P2386" s="82">
        <f>IFERROR(__xludf.DUMMYFUNCTION("""COMPUTED_VALUE"""),0.942528735632184)</f>
        <v>0.9425287356</v>
      </c>
      <c r="Q2386" s="82">
        <f>IFERROR(__xludf.DUMMYFUNCTION("""COMPUTED_VALUE"""),0.5862068965517241)</f>
        <v>0.5862068966</v>
      </c>
      <c r="R2386" s="82">
        <f>IFERROR(__xludf.DUMMYFUNCTION("""COMPUTED_VALUE"""),1.275862068965517)</f>
        <v>1.275862069</v>
      </c>
      <c r="S2386" s="82">
        <f>IFERROR(__xludf.DUMMYFUNCTION("""COMPUTED_VALUE"""),2.2643678160919536)</f>
        <v>2.264367816</v>
      </c>
      <c r="T2386" s="82">
        <f>IFERROR(__xludf.DUMMYFUNCTION("""COMPUTED_VALUE"""),331.6023787192473)</f>
        <v>331.6023787</v>
      </c>
      <c r="U2386" s="82">
        <f>IFERROR(__xludf.DUMMYFUNCTION("""COMPUTED_VALUE"""),0.7671286844804885)</f>
        <v>0.7671286845</v>
      </c>
      <c r="V2386" s="82">
        <f>IFERROR(__xludf.DUMMYFUNCTION("""COMPUTED_VALUE"""),0.5469062721489605)</f>
        <v>0.5469062721</v>
      </c>
      <c r="W2386" s="82">
        <f>IFERROR(__xludf.DUMMYFUNCTION("""COMPUTED_VALUE"""),1.194202949218162)</f>
        <v>1.194202949</v>
      </c>
      <c r="X2386" s="82">
        <f>IFERROR(__xludf.DUMMYFUNCTION("""COMPUTED_VALUE"""),2.3267188154014944)</f>
        <v>2.326718815</v>
      </c>
      <c r="Y2386" s="82">
        <f>IFERROR(__xludf.DUMMYFUNCTION("""COMPUTED_VALUE"""),338.6219979660986)</f>
        <v>338.621998</v>
      </c>
      <c r="Z2386" s="82">
        <f>IFERROR(__xludf.DUMMYFUNCTION("""COMPUTED_VALUE"""),0.8445354812368402)</f>
        <v>0.8445354812</v>
      </c>
      <c r="AA2386" s="82">
        <f>IFERROR(__xludf.DUMMYFUNCTION("""COMPUTED_VALUE"""),0.5729902678595554)</f>
        <v>0.5729902679</v>
      </c>
      <c r="AB2386" s="82">
        <f>IFERROR(__xludf.DUMMYFUNCTION("""COMPUTED_VALUE"""),1.1144364224752747)</f>
        <v>1.114436422</v>
      </c>
      <c r="AC2386" s="82">
        <f>IFERROR(__xludf.DUMMYFUNCTION("""COMPUTED_VALUE"""),2.5424760704012592)</f>
        <v>2.54247607</v>
      </c>
      <c r="AD2386" s="82">
        <f>IFERROR(__xludf.DUMMYFUNCTION("""COMPUTED_VALUE"""),0.9007093509339441)</f>
        <v>0.9007093509</v>
      </c>
      <c r="AE2386" s="82">
        <f>IFERROR(__xludf.DUMMYFUNCTION("""COMPUTED_VALUE"""),0.8166088787694017)</f>
        <v>0.8166088788</v>
      </c>
      <c r="AF2386" s="82">
        <f>IFERROR(__xludf.DUMMYFUNCTION("""COMPUTED_VALUE"""),0.8425249917298477)</f>
        <v>0.8425249917</v>
      </c>
      <c r="AG2386" s="82">
        <f>IFERROR(__xludf.DUMMYFUNCTION("""COMPUTED_VALUE"""),0.9901401763334332)</f>
        <v>0.9901401763</v>
      </c>
      <c r="AH2386" s="82">
        <f>IFERROR(__xludf.DUMMYFUNCTION("""COMPUTED_VALUE"""),0.9358240860265317)</f>
        <v>0.935824086</v>
      </c>
      <c r="AI2386" s="82">
        <f>IFERROR(__xludf.DUMMYFUNCTION("""COMPUTED_VALUE"""),1.0961403836262407)</f>
        <v>1.096140384</v>
      </c>
      <c r="AJ2386" s="82">
        <f>IFERROR(__xludf.DUMMYFUNCTION("""COMPUTED_VALUE"""),1.2286448867056496)</f>
        <v>1.228644887</v>
      </c>
      <c r="AK2386" s="82">
        <f>IFERROR(__xludf.DUMMYFUNCTION("""COMPUTED_VALUE"""),1.071859889718104)</f>
        <v>1.07185989</v>
      </c>
      <c r="AL2386" s="82">
        <f>IFERROR(__xludf.DUMMYFUNCTION("""COMPUTED_VALUE"""),1.0683795997998637)</f>
        <v>1.0683796</v>
      </c>
      <c r="AM2386" s="82">
        <f>IFERROR(__xludf.DUMMYFUNCTION("""COMPUTED_VALUE"""),0.973202176860902)</f>
        <v>0.9732021769</v>
      </c>
      <c r="AN2386" s="82">
        <f>IFERROR(__xludf.DUMMYFUNCTION("""COMPUTED_VALUE"""),0.9278641355204379)</f>
        <v>0.9278641355</v>
      </c>
      <c r="AO2386" s="82">
        <f>IFERROR(__xludf.DUMMYFUNCTION("""COMPUTED_VALUE"""),0.9094804069768242)</f>
        <v>0.909480407</v>
      </c>
      <c r="AP2386" s="82">
        <f>IFERROR(__xludf.DUMMYFUNCTION("""COMPUTED_VALUE"""),0.9362648549679017)</f>
        <v>0.936264855</v>
      </c>
      <c r="AQ2386" s="82">
        <f>IFERROR(__xludf.DUMMYFUNCTION("""COMPUTED_VALUE"""),0.9201520442889949)</f>
        <v>0.9201520443</v>
      </c>
      <c r="AR2386" s="82">
        <f>IFERROR(__xludf.DUMMYFUNCTION("""COMPUTED_VALUE"""),0.9919010265629957)</f>
        <v>0.9919010266</v>
      </c>
      <c r="AS2386" s="82">
        <f>IFERROR(__xludf.DUMMYFUNCTION("""COMPUTED_VALUE"""),64.0)</f>
        <v>64</v>
      </c>
      <c r="AT2386" s="82">
        <f>IFERROR(__xludf.DUMMYFUNCTION("""COMPUTED_VALUE"""),0.40272648989525994)</f>
        <v>0.4027264899</v>
      </c>
      <c r="AU2386" s="82">
        <f>IFERROR(__xludf.DUMMYFUNCTION("""COMPUTED_VALUE"""),2.5503253522295006)</f>
        <v>2.550325352</v>
      </c>
      <c r="AV2386" s="82">
        <f>IFERROR(__xludf.DUMMYFUNCTION("""COMPUTED_VALUE"""),38.02618699034575)</f>
        <v>38.02618699</v>
      </c>
      <c r="AW2386" s="82">
        <f t="shared" si="1"/>
        <v>-3.164695135</v>
      </c>
      <c r="AX2386" s="83">
        <f t="array" ref="AX2386">IFERROR(DGET('SBV Import'!A:G,"SBV",{"RSC ID","Tier";B2386,A2386}))</f>
        <v>44.51787341</v>
      </c>
      <c r="AY2386" s="82">
        <f t="shared" si="2"/>
        <v>-2.420053542</v>
      </c>
      <c r="AZ2386" s="82">
        <v>0.7446415932022314</v>
      </c>
      <c r="BA2386" s="84">
        <v>2300.0</v>
      </c>
      <c r="BB2386" s="84" t="b">
        <f>IFERROR(__xludf.DUMMYFUNCTION("iferror(if(A2386="""",,E2386&gt;=FILTER(Constants!$F$2:$F$10,Constants!$A$2:$A$10=A2386)))"),TRUE)</f>
        <v>1</v>
      </c>
    </row>
    <row r="2387">
      <c r="A2387" s="89" t="str">
        <f>IFERROR(__xludf.DUMMYFUNCTION("""COMPUTED_VALUE"""),"Challenger")</f>
        <v>Challenger</v>
      </c>
      <c r="B2387" s="87" t="str">
        <f>IFERROR(__xludf.DUMMYFUNCTION("""COMPUTED_VALUE"""),"RSC007604")</f>
        <v>RSC007604</v>
      </c>
      <c r="C2387" s="73" t="str">
        <f>IFERROR(__xludf.DUMMYFUNCTION("""COMPUTED_VALUE"""),"RiisenJT")</f>
        <v>RiisenJT</v>
      </c>
      <c r="D2387" s="73" t="str">
        <f>IFERROR(__xludf.DUMMYFUNCTION("""COMPUTED_VALUE"""),"Threshers")</f>
        <v>Threshers</v>
      </c>
      <c r="E2387" s="82">
        <f>IFERROR(__xludf.DUMMYFUNCTION("""COMPUTED_VALUE"""),33.0)</f>
        <v>33</v>
      </c>
      <c r="F2387" s="82">
        <f>IFERROR(__xludf.DUMMYFUNCTION("""COMPUTED_VALUE"""),10.0)</f>
        <v>10</v>
      </c>
      <c r="G2387" s="86">
        <f>IFERROR(__xludf.DUMMYFUNCTION("""COMPUTED_VALUE"""),23.0)</f>
        <v>23</v>
      </c>
      <c r="H2387" s="86">
        <f>IFERROR(__xludf.DUMMYFUNCTION("""COMPUTED_VALUE"""),0.30303030303030304)</f>
        <v>0.303030303</v>
      </c>
      <c r="I2387" s="86">
        <f>IFERROR(__xludf.DUMMYFUNCTION("""COMPUTED_VALUE"""),0.2837837837837838)</f>
        <v>0.2837837838</v>
      </c>
      <c r="J2387" s="82">
        <f>IFERROR(__xludf.DUMMYFUNCTION("""COMPUTED_VALUE"""),315.2121212121212)</f>
        <v>315.2121212</v>
      </c>
      <c r="K2387" s="82">
        <f>IFERROR(__xludf.DUMMYFUNCTION("""COMPUTED_VALUE"""),0.6363636363636364)</f>
        <v>0.6363636364</v>
      </c>
      <c r="L2387" s="82">
        <f>IFERROR(__xludf.DUMMYFUNCTION("""COMPUTED_VALUE"""),0.48484848484848486)</f>
        <v>0.4848484848</v>
      </c>
      <c r="M2387" s="82">
        <f>IFERROR(__xludf.DUMMYFUNCTION("""COMPUTED_VALUE"""),1.121212121212121)</f>
        <v>1.121212121</v>
      </c>
      <c r="N2387" s="82">
        <f>IFERROR(__xludf.DUMMYFUNCTION("""COMPUTED_VALUE"""),2.242424242424242)</f>
        <v>2.242424242</v>
      </c>
      <c r="O2387" s="82">
        <f>IFERROR(__xludf.DUMMYFUNCTION("""COMPUTED_VALUE"""),366.7878787878788)</f>
        <v>366.7878788</v>
      </c>
      <c r="P2387" s="82">
        <f>IFERROR(__xludf.DUMMYFUNCTION("""COMPUTED_VALUE"""),0.9797979797979797)</f>
        <v>0.9797979798</v>
      </c>
      <c r="Q2387" s="82">
        <f>IFERROR(__xludf.DUMMYFUNCTION("""COMPUTED_VALUE"""),0.7575757575757576)</f>
        <v>0.7575757576</v>
      </c>
      <c r="R2387" s="82">
        <f>IFERROR(__xludf.DUMMYFUNCTION("""COMPUTED_VALUE"""),1.1717171717171717)</f>
        <v>1.171717172</v>
      </c>
      <c r="S2387" s="82">
        <f>IFERROR(__xludf.DUMMYFUNCTION("""COMPUTED_VALUE"""),2.8080808080808075)</f>
        <v>2.808080808</v>
      </c>
      <c r="T2387" s="82">
        <f>IFERROR(__xludf.DUMMYFUNCTION("""COMPUTED_VALUE"""),347.3109136566253)</f>
        <v>347.3109137</v>
      </c>
      <c r="U2387" s="82">
        <f>IFERROR(__xludf.DUMMYFUNCTION("""COMPUTED_VALUE"""),0.8392795198755508)</f>
        <v>0.8392795199</v>
      </c>
      <c r="V2387" s="82">
        <f>IFERROR(__xludf.DUMMYFUNCTION("""COMPUTED_VALUE"""),0.5844958571859394)</f>
        <v>0.5844958572</v>
      </c>
      <c r="W2387" s="82">
        <f>IFERROR(__xludf.DUMMYFUNCTION("""COMPUTED_VALUE"""),1.1929535482141809)</f>
        <v>1.192953548</v>
      </c>
      <c r="X2387" s="82">
        <f>IFERROR(__xludf.DUMMYFUNCTION("""COMPUTED_VALUE"""),2.6172935735745964)</f>
        <v>2.617293574</v>
      </c>
      <c r="Y2387" s="82">
        <f>IFERROR(__xludf.DUMMYFUNCTION("""COMPUTED_VALUE"""),328.5483052648254)</f>
        <v>328.5483053</v>
      </c>
      <c r="Z2387" s="82">
        <f>IFERROR(__xludf.DUMMYFUNCTION("""COMPUTED_VALUE"""),0.7350324169914851)</f>
        <v>0.735032417</v>
      </c>
      <c r="AA2387" s="82">
        <f>IFERROR(__xludf.DUMMYFUNCTION("""COMPUTED_VALUE"""),0.49036711836119173)</f>
        <v>0.4903671184</v>
      </c>
      <c r="AB2387" s="82">
        <f>IFERROR(__xludf.DUMMYFUNCTION("""COMPUTED_VALUE"""),1.2328794744821294)</f>
        <v>1.232879474</v>
      </c>
      <c r="AC2387" s="82">
        <f>IFERROR(__xludf.DUMMYFUNCTION("""COMPUTED_VALUE"""),2.353233653895223)</f>
        <v>2.353233654</v>
      </c>
      <c r="AD2387" s="82">
        <f>IFERROR(__xludf.DUMMYFUNCTION("""COMPUTED_VALUE"""),0.9594087571325178)</f>
        <v>0.9594087571</v>
      </c>
      <c r="AE2387" s="82">
        <f>IFERROR(__xludf.DUMMYFUNCTION("""COMPUTED_VALUE"""),0.8657626815539595)</f>
        <v>0.8657626816</v>
      </c>
      <c r="AF2387" s="82">
        <f>IFERROR(__xludf.DUMMYFUNCTION("""COMPUTED_VALUE"""),0.9887459144260118)</f>
        <v>0.9887459144</v>
      </c>
      <c r="AG2387" s="82">
        <f>IFERROR(__xludf.DUMMYFUNCTION("""COMPUTED_VALUE"""),0.9094255719384783)</f>
        <v>0.9094255719</v>
      </c>
      <c r="AH2387" s="82">
        <f>IFERROR(__xludf.DUMMYFUNCTION("""COMPUTED_VALUE"""),0.9529118533182788)</f>
        <v>0.9529118533</v>
      </c>
      <c r="AI2387" s="82">
        <f>IFERROR(__xludf.DUMMYFUNCTION("""COMPUTED_VALUE"""),1.0560793351587843)</f>
        <v>1.056079335</v>
      </c>
      <c r="AJ2387" s="82">
        <f>IFERROR(__xludf.DUMMYFUNCTION("""COMPUTED_VALUE"""),1.167427485831258)</f>
        <v>1.167427486</v>
      </c>
      <c r="AK2387" s="82">
        <f>IFERROR(__xludf.DUMMYFUNCTION("""COMPUTED_VALUE"""),1.2961182671560973)</f>
        <v>1.296118267</v>
      </c>
      <c r="AL2387" s="82">
        <f>IFERROR(__xludf.DUMMYFUNCTION("""COMPUTED_VALUE"""),0.9821984883411433)</f>
        <v>0.9821984883</v>
      </c>
      <c r="AM2387" s="82">
        <f>IFERROR(__xludf.DUMMYFUNCTION("""COMPUTED_VALUE"""),1.0728948546057222)</f>
        <v>1.072894855</v>
      </c>
      <c r="AN2387" s="82">
        <f>IFERROR(__xludf.DUMMYFUNCTION("""COMPUTED_VALUE"""),0.9589312208329452)</f>
        <v>0.9589312208</v>
      </c>
      <c r="AO2387" s="82">
        <f>IFERROR(__xludf.DUMMYFUNCTION("""COMPUTED_VALUE"""),0.839202375528615)</f>
        <v>0.8392023755</v>
      </c>
      <c r="AP2387" s="82">
        <f>IFERROR(__xludf.DUMMYFUNCTION("""COMPUTED_VALUE"""),0.9403179495781524)</f>
        <v>0.9403179496</v>
      </c>
      <c r="AQ2387" s="82">
        <f>IFERROR(__xludf.DUMMYFUNCTION("""COMPUTED_VALUE"""),0.9349650980322836)</f>
        <v>0.934965098</v>
      </c>
      <c r="AR2387" s="82">
        <f>IFERROR(__xludf.DUMMYFUNCTION("""COMPUTED_VALUE"""),0.93483513526754)</f>
        <v>0.9348351353</v>
      </c>
      <c r="AS2387" s="82">
        <f>IFERROR(__xludf.DUMMYFUNCTION("""COMPUTED_VALUE"""),62.0)</f>
        <v>62</v>
      </c>
      <c r="AT2387" s="82">
        <f>IFERROR(__xludf.DUMMYFUNCTION("""COMPUTED_VALUE"""),0.33118344847707787)</f>
        <v>0.3311834485</v>
      </c>
      <c r="AU2387" s="82">
        <f>IFERROR(__xludf.DUMMYFUNCTION("""COMPUTED_VALUE"""),2.5452344725171283)</f>
        <v>2.545234473</v>
      </c>
      <c r="AV2387" s="82">
        <f>IFERROR(__xludf.DUMMYFUNCTION("""COMPUTED_VALUE"""),37.89157314637096)</f>
        <v>37.89157315</v>
      </c>
      <c r="AW2387" s="82">
        <f t="shared" si="1"/>
        <v>-3.183969763</v>
      </c>
      <c r="AX2387" s="83">
        <f t="array" ref="AX2387">IFERROR(DGET('SBV Import'!A:G,"SBV",{"RSC ID","Tier";B2387,A2387}))</f>
        <v>38.75340206</v>
      </c>
      <c r="AY2387" s="82">
        <f t="shared" si="2"/>
        <v>-3.063685287</v>
      </c>
      <c r="AZ2387" s="82">
        <v>0.12028447609176007</v>
      </c>
      <c r="BA2387" s="84">
        <v>2300.0</v>
      </c>
      <c r="BB2387" s="84" t="b">
        <f>IFERROR(__xludf.DUMMYFUNCTION("iferror(if(A2387="""",,E2387&gt;=FILTER(Constants!$F$2:$F$10,Constants!$A$2:$A$10=A2387)))"),TRUE)</f>
        <v>1</v>
      </c>
    </row>
    <row r="2388">
      <c r="A2388" s="89" t="str">
        <f>IFERROR(__xludf.DUMMYFUNCTION("""COMPUTED_VALUE"""),"Challenger")</f>
        <v>Challenger</v>
      </c>
      <c r="B2388" s="87" t="str">
        <f>IFERROR(__xludf.DUMMYFUNCTION("""COMPUTED_VALUE"""),"RSC000663")</f>
        <v>RSC000663</v>
      </c>
      <c r="C2388" s="73" t="str">
        <f>IFERROR(__xludf.DUMMYFUNCTION("""COMPUTED_VALUE"""),"DrProfessorNoah")</f>
        <v>DrProfessorNoah</v>
      </c>
      <c r="D2388" s="73" t="str">
        <f>IFERROR(__xludf.DUMMYFUNCTION("""COMPUTED_VALUE"""),"Apple Associates")</f>
        <v>Apple Associates</v>
      </c>
      <c r="E2388" s="82">
        <f>IFERROR(__xludf.DUMMYFUNCTION("""COMPUTED_VALUE"""),34.0)</f>
        <v>34</v>
      </c>
      <c r="F2388" s="82">
        <f>IFERROR(__xludf.DUMMYFUNCTION("""COMPUTED_VALUE"""),12.0)</f>
        <v>12</v>
      </c>
      <c r="G2388" s="86">
        <f>IFERROR(__xludf.DUMMYFUNCTION("""COMPUTED_VALUE"""),22.0)</f>
        <v>22</v>
      </c>
      <c r="H2388" s="86">
        <f>IFERROR(__xludf.DUMMYFUNCTION("""COMPUTED_VALUE"""),0.35294117647058826)</f>
        <v>0.3529411765</v>
      </c>
      <c r="I2388" s="86">
        <f>IFERROR(__xludf.DUMMYFUNCTION("""COMPUTED_VALUE"""),0.20512820512820515)</f>
        <v>0.2051282051</v>
      </c>
      <c r="J2388" s="82">
        <f>IFERROR(__xludf.DUMMYFUNCTION("""COMPUTED_VALUE"""),287.0882352941176)</f>
        <v>287.0882353</v>
      </c>
      <c r="K2388" s="82">
        <f>IFERROR(__xludf.DUMMYFUNCTION("""COMPUTED_VALUE"""),0.47058823529411764)</f>
        <v>0.4705882353</v>
      </c>
      <c r="L2388" s="82">
        <f>IFERROR(__xludf.DUMMYFUNCTION("""COMPUTED_VALUE"""),0.5)</f>
        <v>0.5</v>
      </c>
      <c r="M2388" s="82">
        <f>IFERROR(__xludf.DUMMYFUNCTION("""COMPUTED_VALUE"""),1.088235294117647)</f>
        <v>1.088235294</v>
      </c>
      <c r="N2388" s="82">
        <f>IFERROR(__xludf.DUMMYFUNCTION("""COMPUTED_VALUE"""),2.2941176470588234)</f>
        <v>2.294117647</v>
      </c>
      <c r="O2388" s="82">
        <f>IFERROR(__xludf.DUMMYFUNCTION("""COMPUTED_VALUE"""),336.6470588235294)</f>
        <v>336.6470588</v>
      </c>
      <c r="P2388" s="82">
        <f>IFERROR(__xludf.DUMMYFUNCTION("""COMPUTED_VALUE"""),0.8333333333333333)</f>
        <v>0.8333333333</v>
      </c>
      <c r="Q2388" s="82">
        <f>IFERROR(__xludf.DUMMYFUNCTION("""COMPUTED_VALUE"""),0.5784313725490196)</f>
        <v>0.5784313725</v>
      </c>
      <c r="R2388" s="82">
        <f>IFERROR(__xludf.DUMMYFUNCTION("""COMPUTED_VALUE"""),1.2254901960784312)</f>
        <v>1.225490196</v>
      </c>
      <c r="S2388" s="82">
        <f>IFERROR(__xludf.DUMMYFUNCTION("""COMPUTED_VALUE"""),2.4215686274509802)</f>
        <v>2.421568627</v>
      </c>
      <c r="T2388" s="82">
        <f>IFERROR(__xludf.DUMMYFUNCTION("""COMPUTED_VALUE"""),352.1167355065868)</f>
        <v>352.1167355</v>
      </c>
      <c r="U2388" s="82">
        <f>IFERROR(__xludf.DUMMYFUNCTION("""COMPUTED_VALUE"""),0.8346887103493592)</f>
        <v>0.8346887103</v>
      </c>
      <c r="V2388" s="82">
        <f>IFERROR(__xludf.DUMMYFUNCTION("""COMPUTED_VALUE"""),0.6136320748923064)</f>
        <v>0.6136320749</v>
      </c>
      <c r="W2388" s="82">
        <f>IFERROR(__xludf.DUMMYFUNCTION("""COMPUTED_VALUE"""),1.2493355937723796)</f>
        <v>1.249335594</v>
      </c>
      <c r="X2388" s="82">
        <f>IFERROR(__xludf.DUMMYFUNCTION("""COMPUTED_VALUE"""),2.5700782422376163)</f>
        <v>2.570078242</v>
      </c>
      <c r="Y2388" s="82">
        <f>IFERROR(__xludf.DUMMYFUNCTION("""COMPUTED_VALUE"""),325.7141741698949)</f>
        <v>325.7141742</v>
      </c>
      <c r="Z2388" s="82">
        <f>IFERROR(__xludf.DUMMYFUNCTION("""COMPUTED_VALUE"""),0.6897524986763152)</f>
        <v>0.6897524987</v>
      </c>
      <c r="AA2388" s="82">
        <f>IFERROR(__xludf.DUMMYFUNCTION("""COMPUTED_VALUE"""),0.47565643511982403)</f>
        <v>0.4756564351</v>
      </c>
      <c r="AB2388" s="82">
        <f>IFERROR(__xludf.DUMMYFUNCTION("""COMPUTED_VALUE"""),1.2681745155897004)</f>
        <v>1.268174516</v>
      </c>
      <c r="AC2388" s="82">
        <f>IFERROR(__xludf.DUMMYFUNCTION("""COMPUTED_VALUE"""),2.3541301658520837)</f>
        <v>2.354130166</v>
      </c>
      <c r="AD2388" s="82">
        <f>IFERROR(__xludf.DUMMYFUNCTION("""COMPUTED_VALUE"""),0.8814115505589583)</f>
        <v>0.8814115506</v>
      </c>
      <c r="AE2388" s="82">
        <f>IFERROR(__xludf.DUMMYFUNCTION("""COMPUTED_VALUE"""),0.6822566590149517)</f>
        <v>0.682256659</v>
      </c>
      <c r="AF2388" s="82">
        <f>IFERROR(__xludf.DUMMYFUNCTION("""COMPUTED_VALUE"""),1.0511788826614814)</f>
        <v>1.051178883</v>
      </c>
      <c r="AG2388" s="82">
        <f>IFERROR(__xludf.DUMMYFUNCTION("""COMPUTED_VALUE"""),0.8581116248118408)</f>
        <v>0.8581116248</v>
      </c>
      <c r="AH2388" s="82">
        <f>IFERROR(__xludf.DUMMYFUNCTION("""COMPUTED_VALUE"""),0.974507561364374)</f>
        <v>0.9745075614</v>
      </c>
      <c r="AI2388" s="82">
        <f>IFERROR(__xludf.DUMMYFUNCTION("""COMPUTED_VALUE"""),0.9560666247209144)</f>
        <v>0.9560666247</v>
      </c>
      <c r="AJ2388" s="82">
        <f>IFERROR(__xludf.DUMMYFUNCTION("""COMPUTED_VALUE"""),0.9983761886326956)</f>
        <v>0.9983761886</v>
      </c>
      <c r="AK2388" s="82">
        <f>IFERROR(__xludf.DUMMYFUNCTION("""COMPUTED_VALUE"""),0.9426354915533633)</f>
        <v>0.9426354916</v>
      </c>
      <c r="AL2388" s="82">
        <f>IFERROR(__xludf.DUMMYFUNCTION("""COMPUTED_VALUE"""),0.9809135369128906)</f>
        <v>0.9809135369</v>
      </c>
      <c r="AM2388" s="82">
        <f>IFERROR(__xludf.DUMMYFUNCTION("""COMPUTED_VALUE"""),0.9422159168752242)</f>
        <v>0.9422159169</v>
      </c>
      <c r="AN2388" s="82">
        <f>IFERROR(__xludf.DUMMYFUNCTION("""COMPUTED_VALUE"""),0.8733733680631623)</f>
        <v>0.8733733681</v>
      </c>
      <c r="AO2388" s="82">
        <f>IFERROR(__xludf.DUMMYFUNCTION("""COMPUTED_VALUE"""),0.6205866306430095)</f>
        <v>0.6205866306</v>
      </c>
      <c r="AP2388" s="82">
        <f>IFERROR(__xludf.DUMMYFUNCTION("""COMPUTED_VALUE"""),0.9697028855024696)</f>
        <v>0.9697028855</v>
      </c>
      <c r="AQ2388" s="82">
        <f>IFERROR(__xludf.DUMMYFUNCTION("""COMPUTED_VALUE"""),0.9074661245607458)</f>
        <v>0.9074661246</v>
      </c>
      <c r="AR2388" s="82">
        <f>IFERROR(__xludf.DUMMYFUNCTION("""COMPUTED_VALUE"""),0.9563853887832464)</f>
        <v>0.9563853888</v>
      </c>
      <c r="AS2388" s="82">
        <f>IFERROR(__xludf.DUMMYFUNCTION("""COMPUTED_VALUE"""),60.0)</f>
        <v>60</v>
      </c>
      <c r="AT2388" s="82">
        <f>IFERROR(__xludf.DUMMYFUNCTION("""COMPUTED_VALUE"""),0.3709533822763399)</f>
        <v>0.3709533823</v>
      </c>
      <c r="AU2388" s="82">
        <f>IFERROR(__xludf.DUMMYFUNCTION("""COMPUTED_VALUE"""),2.544992257755433)</f>
        <v>2.544992258</v>
      </c>
      <c r="AV2388" s="82">
        <f>IFERROR(__xludf.DUMMYFUNCTION("""COMPUTED_VALUE"""),37.88516846545501)</f>
        <v>37.88516847</v>
      </c>
      <c r="AW2388" s="82">
        <f t="shared" si="1"/>
        <v>-3.184891412</v>
      </c>
      <c r="AX2388" s="83">
        <f t="array" ref="AX2388">IFERROR(DGET('SBV Import'!A:G,"SBV",{"RSC ID","Tier";B2388,A2388}))</f>
        <v>35.40891717</v>
      </c>
      <c r="AY2388" s="82">
        <f t="shared" si="2"/>
        <v>-3.574873773</v>
      </c>
      <c r="AZ2388" s="82">
        <v>0.38998236095550354</v>
      </c>
      <c r="BA2388" s="84">
        <v>2300.0</v>
      </c>
      <c r="BB2388" s="84" t="b">
        <f>IFERROR(__xludf.DUMMYFUNCTION("iferror(if(A2388="""",,E2388&gt;=FILTER(Constants!$F$2:$F$10,Constants!$A$2:$A$10=A2388)))"),TRUE)</f>
        <v>1</v>
      </c>
    </row>
    <row r="2389">
      <c r="A2389" s="89" t="str">
        <f>IFERROR(__xludf.DUMMYFUNCTION("""COMPUTED_VALUE"""),"Challenger")</f>
        <v>Challenger</v>
      </c>
      <c r="B2389" s="87" t="str">
        <f>IFERROR(__xludf.DUMMYFUNCTION("""COMPUTED_VALUE"""),"RSC007969")</f>
        <v>RSC007969</v>
      </c>
      <c r="C2389" s="73" t="str">
        <f>IFERROR(__xludf.DUMMYFUNCTION("""COMPUTED_VALUE"""),"EcHo.rll")</f>
        <v>EcHo.rll</v>
      </c>
      <c r="D2389" s="73" t="str">
        <f>IFERROR(__xludf.DUMMYFUNCTION("""COMPUTED_VALUE"""),"Shade")</f>
        <v>Shade</v>
      </c>
      <c r="E2389" s="82">
        <f>IFERROR(__xludf.DUMMYFUNCTION("""COMPUTED_VALUE"""),10.0)</f>
        <v>10</v>
      </c>
      <c r="F2389" s="82">
        <f>IFERROR(__xludf.DUMMYFUNCTION("""COMPUTED_VALUE"""),4.0)</f>
        <v>4</v>
      </c>
      <c r="G2389" s="86">
        <f>IFERROR(__xludf.DUMMYFUNCTION("""COMPUTED_VALUE"""),6.0)</f>
        <v>6</v>
      </c>
      <c r="H2389" s="86">
        <f>IFERROR(__xludf.DUMMYFUNCTION("""COMPUTED_VALUE"""),0.4)</f>
        <v>0.4</v>
      </c>
      <c r="I2389" s="86">
        <f>IFERROR(__xludf.DUMMYFUNCTION("""COMPUTED_VALUE"""),0.3333333333333333)</f>
        <v>0.3333333333</v>
      </c>
      <c r="J2389" s="82">
        <f>IFERROR(__xludf.DUMMYFUNCTION("""COMPUTED_VALUE"""),314.6)</f>
        <v>314.6</v>
      </c>
      <c r="K2389" s="82">
        <f>IFERROR(__xludf.DUMMYFUNCTION("""COMPUTED_VALUE"""),0.6)</f>
        <v>0.6</v>
      </c>
      <c r="L2389" s="82">
        <f>IFERROR(__xludf.DUMMYFUNCTION("""COMPUTED_VALUE"""),0.5)</f>
        <v>0.5</v>
      </c>
      <c r="M2389" s="82">
        <f>IFERROR(__xludf.DUMMYFUNCTION("""COMPUTED_VALUE"""),1.3)</f>
        <v>1.3</v>
      </c>
      <c r="N2389" s="82">
        <f>IFERROR(__xludf.DUMMYFUNCTION("""COMPUTED_VALUE"""),1.8)</f>
        <v>1.8</v>
      </c>
      <c r="O2389" s="82">
        <f>IFERROR(__xludf.DUMMYFUNCTION("""COMPUTED_VALUE"""),328.6333333333333)</f>
        <v>328.6333333</v>
      </c>
      <c r="P2389" s="82">
        <f>IFERROR(__xludf.DUMMYFUNCTION("""COMPUTED_VALUE"""),0.9)</f>
        <v>0.9</v>
      </c>
      <c r="Q2389" s="82">
        <f>IFERROR(__xludf.DUMMYFUNCTION("""COMPUTED_VALUE"""),0.6666666666666666)</f>
        <v>0.6666666667</v>
      </c>
      <c r="R2389" s="82">
        <f>IFERROR(__xludf.DUMMYFUNCTION("""COMPUTED_VALUE"""),0.7999999999999999)</f>
        <v>0.8</v>
      </c>
      <c r="S2389" s="82">
        <f>IFERROR(__xludf.DUMMYFUNCTION("""COMPUTED_VALUE"""),2.7)</f>
        <v>2.7</v>
      </c>
      <c r="T2389" s="82">
        <f>IFERROR(__xludf.DUMMYFUNCTION("""COMPUTED_VALUE"""),352.2902695405889)</f>
        <v>352.2902695</v>
      </c>
      <c r="U2389" s="82">
        <f>IFERROR(__xludf.DUMMYFUNCTION("""COMPUTED_VALUE"""),0.8884286579258116)</f>
        <v>0.8884286579</v>
      </c>
      <c r="V2389" s="82">
        <f>IFERROR(__xludf.DUMMYFUNCTION("""COMPUTED_VALUE"""),0.6349810452625129)</f>
        <v>0.6349810453</v>
      </c>
      <c r="W2389" s="82">
        <f>IFERROR(__xludf.DUMMYFUNCTION("""COMPUTED_VALUE"""),1.139485813809027)</f>
        <v>1.139485814</v>
      </c>
      <c r="X2389" s="82">
        <f>IFERROR(__xludf.DUMMYFUNCTION("""COMPUTED_VALUE"""),2.5611067502085842)</f>
        <v>2.56110675</v>
      </c>
      <c r="Y2389" s="82">
        <f>IFERROR(__xludf.DUMMYFUNCTION("""COMPUTED_VALUE"""),316.51349564437476)</f>
        <v>316.5134956</v>
      </c>
      <c r="Z2389" s="82">
        <f>IFERROR(__xludf.DUMMYFUNCTION("""COMPUTED_VALUE"""),0.7119305905127116)</f>
        <v>0.7119305905</v>
      </c>
      <c r="AA2389" s="82">
        <f>IFERROR(__xludf.DUMMYFUNCTION("""COMPUTED_VALUE"""),0.45527475101795156)</f>
        <v>0.455274751</v>
      </c>
      <c r="AB2389" s="82">
        <f>IFERROR(__xludf.DUMMYFUNCTION("""COMPUTED_VALUE"""),1.1846498899777416)</f>
        <v>1.18464989</v>
      </c>
      <c r="AC2389" s="82">
        <f>IFERROR(__xludf.DUMMYFUNCTION("""COMPUTED_VALUE"""),2.2763567233712707)</f>
        <v>2.276356723</v>
      </c>
      <c r="AD2389" s="82">
        <f>IFERROR(__xludf.DUMMYFUNCTION("""COMPUTED_VALUE"""),0.9939544579592755)</f>
        <v>0.993954458</v>
      </c>
      <c r="AE2389" s="82">
        <f>IFERROR(__xludf.DUMMYFUNCTION("""COMPUTED_VALUE"""),0.8427787877016178)</f>
        <v>0.8427787877</v>
      </c>
      <c r="AF2389" s="82">
        <f>IFERROR(__xludf.DUMMYFUNCTION("""COMPUTED_VALUE"""),1.0982379296942055)</f>
        <v>1.09823793</v>
      </c>
      <c r="AG2389" s="82">
        <f>IFERROR(__xludf.DUMMYFUNCTION("""COMPUTED_VALUE"""),1.0973706332969193)</f>
        <v>1.097370633</v>
      </c>
      <c r="AH2389" s="82">
        <f>IFERROR(__xludf.DUMMYFUNCTION("""COMPUTED_VALUE"""),0.7907372256375578)</f>
        <v>0.7907372256</v>
      </c>
      <c r="AI2389" s="82">
        <f>IFERROR(__xludf.DUMMYFUNCTION("""COMPUTED_VALUE"""),0.932848170237271)</f>
        <v>0.9328481702</v>
      </c>
      <c r="AJ2389" s="82">
        <f>IFERROR(__xludf.DUMMYFUNCTION("""COMPUTED_VALUE"""),1.0130245033981724)</f>
        <v>1.013024503</v>
      </c>
      <c r="AK2389" s="82">
        <f>IFERROR(__xludf.DUMMYFUNCTION("""COMPUTED_VALUE"""),1.049900105901672)</f>
        <v>1.049900106</v>
      </c>
      <c r="AL2389" s="82">
        <f>IFERROR(__xludf.DUMMYFUNCTION("""COMPUTED_VALUE"""),0.702071048454559)</f>
        <v>0.7020710485</v>
      </c>
      <c r="AM2389" s="82">
        <f>IFERROR(__xludf.DUMMYFUNCTION("""COMPUTED_VALUE"""),1.0542317300050472)</f>
        <v>1.05423173</v>
      </c>
      <c r="AN2389" s="82">
        <f>IFERROR(__xludf.DUMMYFUNCTION("""COMPUTED_VALUE"""),0.9570690394581304)</f>
        <v>0.9570690395</v>
      </c>
      <c r="AO2389" s="82">
        <f>IFERROR(__xludf.DUMMYFUNCTION("""COMPUTED_VALUE"""),0.791247954069837)</f>
        <v>0.7912479541</v>
      </c>
      <c r="AP2389" s="82">
        <f>IFERROR(__xludf.DUMMYFUNCTION("""COMPUTED_VALUE"""),0.9697028855024696)</f>
        <v>0.9697028855</v>
      </c>
      <c r="AQ2389" s="82">
        <f>IFERROR(__xludf.DUMMYFUNCTION("""COMPUTED_VALUE"""),1.0840541271779722)</f>
        <v>1.084054127</v>
      </c>
      <c r="AR2389" s="82">
        <f>IFERROR(__xludf.DUMMYFUNCTION("""COMPUTED_VALUE"""),0.7503946896607011)</f>
        <v>0.7503946897</v>
      </c>
      <c r="AS2389" s="82">
        <f>IFERROR(__xludf.DUMMYFUNCTION("""COMPUTED_VALUE"""),20.0)</f>
        <v>20</v>
      </c>
      <c r="AT2389" s="82">
        <f>IFERROR(__xludf.DUMMYFUNCTION("""COMPUTED_VALUE"""),0.3851104254671969)</f>
        <v>0.3851104255</v>
      </c>
      <c r="AU2389" s="82">
        <f>IFERROR(__xludf.DUMMYFUNCTION("""COMPUTED_VALUE"""),2.5392489095460826)</f>
        <v>2.53924891</v>
      </c>
      <c r="AV2389" s="82">
        <f>IFERROR(__xludf.DUMMYFUNCTION("""COMPUTED_VALUE"""),37.73330194661594)</f>
        <v>37.73330195</v>
      </c>
      <c r="AW2389" s="82">
        <f t="shared" si="1"/>
        <v>-3.206868661</v>
      </c>
      <c r="AX2389" s="83">
        <f t="array" ref="AX2389">IFERROR(DGET('SBV Import'!A:G,"SBV",{"RSC ID","Tier";B2389,A2389}))</f>
        <v>44.9767767</v>
      </c>
      <c r="AY2389" s="82">
        <f t="shared" si="2"/>
        <v>-2.3788167</v>
      </c>
      <c r="AZ2389" s="82">
        <v>0.8280519612245865</v>
      </c>
      <c r="BA2389" s="84">
        <v>2300.0</v>
      </c>
      <c r="BB2389" s="84" t="b">
        <f>IFERROR(__xludf.DUMMYFUNCTION("iferror(if(A2389="""",,E2389&gt;=FILTER(Constants!$F$2:$F$10,Constants!$A$2:$A$10=A2389)))"),TRUE)</f>
        <v>1</v>
      </c>
    </row>
    <row r="2390">
      <c r="A2390" s="89" t="str">
        <f>IFERROR(__xludf.DUMMYFUNCTION("""COMPUTED_VALUE"""),"Challenger")</f>
        <v>Challenger</v>
      </c>
      <c r="B2390" s="87" t="str">
        <f>IFERROR(__xludf.DUMMYFUNCTION("""COMPUTED_VALUE"""),"RSC004597")</f>
        <v>RSC004597</v>
      </c>
      <c r="C2390" s="73" t="str">
        <f>IFERROR(__xludf.DUMMYFUNCTION("""COMPUTED_VALUE"""),"xXBlindBeastXx")</f>
        <v>xXBlindBeastXx</v>
      </c>
      <c r="D2390" s="73" t="str">
        <f>IFERROR(__xludf.DUMMYFUNCTION("""COMPUTED_VALUE"""),"Warbirds")</f>
        <v>Warbirds</v>
      </c>
      <c r="E2390" s="82">
        <f>IFERROR(__xludf.DUMMYFUNCTION("""COMPUTED_VALUE"""),34.0)</f>
        <v>34</v>
      </c>
      <c r="F2390" s="82">
        <f>IFERROR(__xludf.DUMMYFUNCTION("""COMPUTED_VALUE"""),16.0)</f>
        <v>16</v>
      </c>
      <c r="G2390" s="86">
        <f>IFERROR(__xludf.DUMMYFUNCTION("""COMPUTED_VALUE"""),18.0)</f>
        <v>18</v>
      </c>
      <c r="H2390" s="86">
        <f>IFERROR(__xludf.DUMMYFUNCTION("""COMPUTED_VALUE"""),0.47058823529411764)</f>
        <v>0.4705882353</v>
      </c>
      <c r="I2390" s="86">
        <f>IFERROR(__xludf.DUMMYFUNCTION("""COMPUTED_VALUE"""),0.3548387096774194)</f>
        <v>0.3548387097</v>
      </c>
      <c r="J2390" s="82">
        <f>IFERROR(__xludf.DUMMYFUNCTION("""COMPUTED_VALUE"""),298.38235294117646)</f>
        <v>298.3823529</v>
      </c>
      <c r="K2390" s="82">
        <f>IFERROR(__xludf.DUMMYFUNCTION("""COMPUTED_VALUE"""),0.6470588235294118)</f>
        <v>0.6470588235</v>
      </c>
      <c r="L2390" s="82">
        <f>IFERROR(__xludf.DUMMYFUNCTION("""COMPUTED_VALUE"""),0.6176470588235294)</f>
        <v>0.6176470588</v>
      </c>
      <c r="M2390" s="82">
        <f>IFERROR(__xludf.DUMMYFUNCTION("""COMPUTED_VALUE"""),1.2058823529411764)</f>
        <v>1.205882353</v>
      </c>
      <c r="N2390" s="82">
        <f>IFERROR(__xludf.DUMMYFUNCTION("""COMPUTED_VALUE"""),1.8235294117647058)</f>
        <v>1.823529412</v>
      </c>
      <c r="O2390" s="82">
        <f>IFERROR(__xludf.DUMMYFUNCTION("""COMPUTED_VALUE"""),368.81372549019596)</f>
        <v>368.8137255</v>
      </c>
      <c r="P2390" s="82">
        <f>IFERROR(__xludf.DUMMYFUNCTION("""COMPUTED_VALUE"""),0.9215686274509803)</f>
        <v>0.9215686275</v>
      </c>
      <c r="Q2390" s="82">
        <f>IFERROR(__xludf.DUMMYFUNCTION("""COMPUTED_VALUE"""),0.7058823529411764)</f>
        <v>0.7058823529</v>
      </c>
      <c r="R2390" s="82">
        <f>IFERROR(__xludf.DUMMYFUNCTION("""COMPUTED_VALUE"""),1.2941176470588236)</f>
        <v>1.294117647</v>
      </c>
      <c r="S2390" s="82">
        <f>IFERROR(__xludf.DUMMYFUNCTION("""COMPUTED_VALUE"""),2.8039215686274503)</f>
        <v>2.803921569</v>
      </c>
      <c r="T2390" s="82">
        <f>IFERROR(__xludf.DUMMYFUNCTION("""COMPUTED_VALUE"""),340.880598574662)</f>
        <v>340.8805986</v>
      </c>
      <c r="U2390" s="82">
        <f>IFERROR(__xludf.DUMMYFUNCTION("""COMPUTED_VALUE"""),0.7860928562723876)</f>
        <v>0.7860928563</v>
      </c>
      <c r="V2390" s="82">
        <f>IFERROR(__xludf.DUMMYFUNCTION("""COMPUTED_VALUE"""),0.5530105828093247)</f>
        <v>0.5530105828</v>
      </c>
      <c r="W2390" s="82">
        <f>IFERROR(__xludf.DUMMYFUNCTION("""COMPUTED_VALUE"""),1.2385504758987462)</f>
        <v>1.238550476</v>
      </c>
      <c r="X2390" s="82">
        <f>IFERROR(__xludf.DUMMYFUNCTION("""COMPUTED_VALUE"""),2.53177885342157)</f>
        <v>2.531778853</v>
      </c>
      <c r="Y2390" s="82">
        <f>IFERROR(__xludf.DUMMYFUNCTION("""COMPUTED_VALUE"""),327.0023637703695)</f>
        <v>327.0023638</v>
      </c>
      <c r="Z2390" s="82">
        <f>IFERROR(__xludf.DUMMYFUNCTION("""COMPUTED_VALUE"""),0.7107656554863173)</f>
        <v>0.7107656555</v>
      </c>
      <c r="AA2390" s="82">
        <f>IFERROR(__xludf.DUMMYFUNCTION("""COMPUTED_VALUE"""),0.491605813865171)</f>
        <v>0.4916058139</v>
      </c>
      <c r="AB2390" s="82">
        <f>IFERROR(__xludf.DUMMYFUNCTION("""COMPUTED_VALUE"""),1.2551681538476296)</f>
        <v>1.255168154</v>
      </c>
      <c r="AC2390" s="82">
        <f>IFERROR(__xludf.DUMMYFUNCTION("""COMPUTED_VALUE"""),2.337951369509898)</f>
        <v>2.33795137</v>
      </c>
      <c r="AD2390" s="82">
        <f>IFERROR(__xludf.DUMMYFUNCTION("""COMPUTED_VALUE"""),0.9124776637722078)</f>
        <v>0.9124776638</v>
      </c>
      <c r="AE2390" s="82">
        <f>IFERROR(__xludf.DUMMYFUNCTION("""COMPUTED_VALUE"""),0.9103687249585571)</f>
        <v>0.910368725</v>
      </c>
      <c r="AF2390" s="82">
        <f>IFERROR(__xludf.DUMMYFUNCTION("""COMPUTED_VALUE"""),1.2563868070789879)</f>
        <v>1.256386807</v>
      </c>
      <c r="AG2390" s="82">
        <f>IFERROR(__xludf.DUMMYFUNCTION("""COMPUTED_VALUE"""),0.9607337066707986)</f>
        <v>0.9607337067</v>
      </c>
      <c r="AH2390" s="82">
        <f>IFERROR(__xludf.DUMMYFUNCTION("""COMPUTED_VALUE"""),0.7799689230263888)</f>
        <v>0.779968923</v>
      </c>
      <c r="AI2390" s="82">
        <f>IFERROR(__xludf.DUMMYFUNCTION("""COMPUTED_VALUE"""),1.0819440209631523)</f>
        <v>1.081944021</v>
      </c>
      <c r="AJ2390" s="82">
        <f>IFERROR(__xludf.DUMMYFUNCTION("""COMPUTED_VALUE"""),1.1723406720944036)</f>
        <v>1.172340672</v>
      </c>
      <c r="AK2390" s="82">
        <f>IFERROR(__xludf.DUMMYFUNCTION("""COMPUTED_VALUE"""),1.2764355238108729)</f>
        <v>1.276435524</v>
      </c>
      <c r="AL2390" s="82">
        <f>IFERROR(__xludf.DUMMYFUNCTION("""COMPUTED_VALUE"""),1.0448646803189474)</f>
        <v>1.04486468</v>
      </c>
      <c r="AM2390" s="82">
        <f>IFERROR(__xludf.DUMMYFUNCTION("""COMPUTED_VALUE"""),1.1074907134318202)</f>
        <v>1.107490713</v>
      </c>
      <c r="AN2390" s="82">
        <f>IFERROR(__xludf.DUMMYFUNCTION("""COMPUTED_VALUE"""),0.9077320785780947)</f>
        <v>0.9077320786</v>
      </c>
      <c r="AO2390" s="82">
        <f>IFERROR(__xludf.DUMMYFUNCTION("""COMPUTED_VALUE"""),0.853306617134138)</f>
        <v>0.8533066171</v>
      </c>
      <c r="AP2390" s="82">
        <f>IFERROR(__xludf.DUMMYFUNCTION("""COMPUTED_VALUE"""),1.1978682703265802)</f>
        <v>1.19786827</v>
      </c>
      <c r="AQ2390" s="82">
        <f>IFERROR(__xludf.DUMMYFUNCTION("""COMPUTED_VALUE"""),1.0055705704592048)</f>
        <v>1.00557057</v>
      </c>
      <c r="AR2390" s="82">
        <f>IFERROR(__xludf.DUMMYFUNCTION("""COMPUTED_VALUE"""),0.7602037705712985)</f>
        <v>0.7602037706</v>
      </c>
      <c r="AS2390" s="82">
        <f>IFERROR(__xludf.DUMMYFUNCTION("""COMPUTED_VALUE"""),78.0)</f>
        <v>78</v>
      </c>
      <c r="AT2390" s="82">
        <f>IFERROR(__xludf.DUMMYFUNCTION("""COMPUTED_VALUE"""),0.4262601209463481)</f>
        <v>0.4262601209</v>
      </c>
      <c r="AU2390" s="82">
        <f>IFERROR(__xludf.DUMMYFUNCTION("""COMPUTED_VALUE"""),2.5117324317772463)</f>
        <v>2.511732432</v>
      </c>
      <c r="AV2390" s="82">
        <f>IFERROR(__xludf.DUMMYFUNCTION("""COMPUTED_VALUE"""),37.0057069032469)</f>
        <v>37.0057069</v>
      </c>
      <c r="AW2390" s="82">
        <f t="shared" si="1"/>
        <v>-3.315525153</v>
      </c>
      <c r="AX2390" s="83">
        <f t="array" ref="AX2390">IFERROR(DGET('SBV Import'!A:G,"SBV",{"RSC ID","Tier";B2390,A2390}))</f>
        <v>24.77996157</v>
      </c>
      <c r="AY2390" s="82">
        <f t="shared" si="2"/>
        <v>-6.38835125</v>
      </c>
      <c r="AZ2390" s="82">
        <v>3.072826097088489</v>
      </c>
      <c r="BA2390" s="84">
        <v>2300.0</v>
      </c>
      <c r="BB2390" s="84" t="b">
        <f>IFERROR(__xludf.DUMMYFUNCTION("iferror(if(A2390="""",,E2390&gt;=FILTER(Constants!$F$2:$F$10,Constants!$A$2:$A$10=A2390)))"),TRUE)</f>
        <v>1</v>
      </c>
    </row>
    <row r="2391">
      <c r="A2391" s="89" t="str">
        <f>IFERROR(__xludf.DUMMYFUNCTION("""COMPUTED_VALUE"""),"Challenger")</f>
        <v>Challenger</v>
      </c>
      <c r="B2391" s="87" t="str">
        <f>IFERROR(__xludf.DUMMYFUNCTION("""COMPUTED_VALUE"""),"RSC000347")</f>
        <v>RSC000347</v>
      </c>
      <c r="C2391" s="73" t="str">
        <f>IFERROR(__xludf.DUMMYFUNCTION("""COMPUTED_VALUE"""),"Chris.")</f>
        <v>Chris.</v>
      </c>
      <c r="D2391" s="73" t="str">
        <f>IFERROR(__xludf.DUMMYFUNCTION("""COMPUTED_VALUE"""),"Zombies")</f>
        <v>Zombies</v>
      </c>
      <c r="E2391" s="82">
        <f>IFERROR(__xludf.DUMMYFUNCTION("""COMPUTED_VALUE"""),13.0)</f>
        <v>13</v>
      </c>
      <c r="F2391" s="82">
        <f>IFERROR(__xludf.DUMMYFUNCTION("""COMPUTED_VALUE"""),6.0)</f>
        <v>6</v>
      </c>
      <c r="G2391" s="86">
        <f>IFERROR(__xludf.DUMMYFUNCTION("""COMPUTED_VALUE"""),7.0)</f>
        <v>7</v>
      </c>
      <c r="H2391" s="86">
        <f>IFERROR(__xludf.DUMMYFUNCTION("""COMPUTED_VALUE"""),0.46153846153846156)</f>
        <v>0.4615384615</v>
      </c>
      <c r="I2391" s="86">
        <f>IFERROR(__xludf.DUMMYFUNCTION("""COMPUTED_VALUE"""),0.3478260869565218)</f>
        <v>0.347826087</v>
      </c>
      <c r="J2391" s="82">
        <f>IFERROR(__xludf.DUMMYFUNCTION("""COMPUTED_VALUE"""),230.92307692307693)</f>
        <v>230.9230769</v>
      </c>
      <c r="K2391" s="82">
        <f>IFERROR(__xludf.DUMMYFUNCTION("""COMPUTED_VALUE"""),0.6153846153846154)</f>
        <v>0.6153846154</v>
      </c>
      <c r="L2391" s="82">
        <f>IFERROR(__xludf.DUMMYFUNCTION("""COMPUTED_VALUE"""),0.5384615384615384)</f>
        <v>0.5384615385</v>
      </c>
      <c r="M2391" s="82">
        <f>IFERROR(__xludf.DUMMYFUNCTION("""COMPUTED_VALUE"""),0.23076923076923078)</f>
        <v>0.2307692308</v>
      </c>
      <c r="N2391" s="82">
        <f>IFERROR(__xludf.DUMMYFUNCTION("""COMPUTED_VALUE"""),1.7692307692307692)</f>
        <v>1.769230769</v>
      </c>
      <c r="O2391" s="82">
        <f>IFERROR(__xludf.DUMMYFUNCTION("""COMPUTED_VALUE"""),312.84615384615387)</f>
        <v>312.8461538</v>
      </c>
      <c r="P2391" s="82">
        <f>IFERROR(__xludf.DUMMYFUNCTION("""COMPUTED_VALUE"""),0.7948717948717949)</f>
        <v>0.7948717949</v>
      </c>
      <c r="Q2391" s="82">
        <f>IFERROR(__xludf.DUMMYFUNCTION("""COMPUTED_VALUE"""),0.5641025641025641)</f>
        <v>0.5641025641</v>
      </c>
      <c r="R2391" s="82">
        <f>IFERROR(__xludf.DUMMYFUNCTION("""COMPUTED_VALUE"""),0.8974358974358974)</f>
        <v>0.8974358974</v>
      </c>
      <c r="S2391" s="82">
        <f>IFERROR(__xludf.DUMMYFUNCTION("""COMPUTED_VALUE"""),2.4102564102564106)</f>
        <v>2.41025641</v>
      </c>
      <c r="T2391" s="82">
        <f>IFERROR(__xludf.DUMMYFUNCTION("""COMPUTED_VALUE"""),336.64196511213254)</f>
        <v>336.6419651</v>
      </c>
      <c r="U2391" s="82">
        <f>IFERROR(__xludf.DUMMYFUNCTION("""COMPUTED_VALUE"""),0.8088931013155578)</f>
        <v>0.8088931013</v>
      </c>
      <c r="V2391" s="82">
        <f>IFERROR(__xludf.DUMMYFUNCTION("""COMPUTED_VALUE"""),0.5666805563703826)</f>
        <v>0.5666805564</v>
      </c>
      <c r="W2391" s="82">
        <f>IFERROR(__xludf.DUMMYFUNCTION("""COMPUTED_VALUE"""),1.1133810349194961)</f>
        <v>1.113381035</v>
      </c>
      <c r="X2391" s="82">
        <f>IFERROR(__xludf.DUMMYFUNCTION("""COMPUTED_VALUE"""),2.6193278175505217)</f>
        <v>2.619327818</v>
      </c>
      <c r="Y2391" s="82">
        <f>IFERROR(__xludf.DUMMYFUNCTION("""COMPUTED_VALUE"""),318.46910444543505)</f>
        <v>318.4691044</v>
      </c>
      <c r="Z2391" s="82">
        <f>IFERROR(__xludf.DUMMYFUNCTION("""COMPUTED_VALUE"""),0.6459352268140522)</f>
        <v>0.6459352268</v>
      </c>
      <c r="AA2391" s="82">
        <f>IFERROR(__xludf.DUMMYFUNCTION("""COMPUTED_VALUE"""),0.4422593156774298)</f>
        <v>0.4422593157</v>
      </c>
      <c r="AB2391" s="82">
        <f>IFERROR(__xludf.DUMMYFUNCTION("""COMPUTED_VALUE"""),1.3470051246581436)</f>
        <v>1.347005125</v>
      </c>
      <c r="AC2391" s="82">
        <f>IFERROR(__xludf.DUMMYFUNCTION("""COMPUTED_VALUE"""),2.115756785834329)</f>
        <v>2.115756786</v>
      </c>
      <c r="AD2391" s="82">
        <f>IFERROR(__xludf.DUMMYFUNCTION("""COMPUTED_VALUE"""),0.7251035459944974)</f>
        <v>0.725103546</v>
      </c>
      <c r="AE2391" s="82">
        <f>IFERROR(__xludf.DUMMYFUNCTION("""COMPUTED_VALUE"""),0.9527032894921652)</f>
        <v>0.9527032895</v>
      </c>
      <c r="AF2391" s="82">
        <f>IFERROR(__xludf.DUMMYFUNCTION("""COMPUTED_VALUE"""),1.2175244689572022)</f>
        <v>1.217524469</v>
      </c>
      <c r="AG2391" s="82">
        <f>IFERROR(__xludf.DUMMYFUNCTION("""COMPUTED_VALUE"""),0.1713202322283649)</f>
        <v>0.1713202322</v>
      </c>
      <c r="AH2391" s="82">
        <f>IFERROR(__xludf.DUMMYFUNCTION("""COMPUTED_VALUE"""),0.8362165165090512)</f>
        <v>0.8362165165</v>
      </c>
      <c r="AI2391" s="82">
        <f>IFERROR(__xludf.DUMMYFUNCTION("""COMPUTED_VALUE"""),0.9293141861916934)</f>
        <v>0.9293141862</v>
      </c>
      <c r="AJ2391" s="82">
        <f>IFERROR(__xludf.DUMMYFUNCTION("""COMPUTED_VALUE"""),0.9826660575779926)</f>
        <v>0.9826660576</v>
      </c>
      <c r="AK2391" s="82">
        <f>IFERROR(__xludf.DUMMYFUNCTION("""COMPUTED_VALUE"""),0.9954507133889846)</f>
        <v>0.9954507134</v>
      </c>
      <c r="AL2391" s="82">
        <f>IFERROR(__xludf.DUMMYFUNCTION("""COMPUTED_VALUE"""),0.8060456117799664)</f>
        <v>0.8060456118</v>
      </c>
      <c r="AM2391" s="82">
        <f>IFERROR(__xludf.DUMMYFUNCTION("""COMPUTED_VALUE"""),0.9201812747937654)</f>
        <v>0.9201812748</v>
      </c>
      <c r="AN2391" s="82">
        <f>IFERROR(__xludf.DUMMYFUNCTION("""COMPUTED_VALUE"""),0.7025089873473782)</f>
        <v>0.7025089873</v>
      </c>
      <c r="AO2391" s="82">
        <f>IFERROR(__xludf.DUMMYFUNCTION("""COMPUTED_VALUE"""),0.8115363631485508)</f>
        <v>0.8115363631</v>
      </c>
      <c r="AP2391" s="82">
        <f>IFERROR(__xludf.DUMMYFUNCTION("""COMPUTED_VALUE"""),1.0442954151565056)</f>
        <v>1.044295415</v>
      </c>
      <c r="AQ2391" s="82">
        <f>IFERROR(__xludf.DUMMYFUNCTION("""COMPUTED_VALUE"""),0.19243564387774653)</f>
        <v>0.1924356439</v>
      </c>
      <c r="AR2391" s="82">
        <f>IFERROR(__xludf.DUMMYFUNCTION("""COMPUTED_VALUE"""),0.7375674300083814)</f>
        <v>0.73756743</v>
      </c>
      <c r="AS2391" s="82">
        <f>IFERROR(__xludf.DUMMYFUNCTION("""COMPUTED_VALUE"""),25.0)</f>
        <v>25</v>
      </c>
      <c r="AT2391" s="82">
        <f>IFERROR(__xludf.DUMMYFUNCTION("""COMPUTED_VALUE"""),0.4189443762737412)</f>
        <v>0.4189443763</v>
      </c>
      <c r="AU2391" s="82">
        <f>IFERROR(__xludf.DUMMYFUNCTION("""COMPUTED_VALUE"""),2.4782002617111836)</f>
        <v>2.478200262</v>
      </c>
      <c r="AV2391" s="82">
        <f>IFERROR(__xludf.DUMMYFUNCTION("""COMPUTED_VALUE"""),36.11904397572984)</f>
        <v>36.11904398</v>
      </c>
      <c r="AW2391" s="82">
        <f t="shared" si="1"/>
        <v>-3.455832723</v>
      </c>
      <c r="AX2391" s="83">
        <f t="array" ref="AX2391">IFERROR(DGET('SBV Import'!A:G,"SBV",{"RSC ID","Tier";B2391,A2391}))</f>
        <v>29.3527878</v>
      </c>
      <c r="AY2391" s="82">
        <f t="shared" si="2"/>
        <v>-4.891562</v>
      </c>
      <c r="AZ2391" s="82">
        <v>1.4357292776528197</v>
      </c>
      <c r="BA2391" s="84">
        <v>2300.0</v>
      </c>
      <c r="BB2391" s="84" t="b">
        <f>IFERROR(__xludf.DUMMYFUNCTION("iferror(if(A2391="""",,E2391&gt;=FILTER(Constants!$F$2:$F$10,Constants!$A$2:$A$10=A2391)))"),TRUE)</f>
        <v>1</v>
      </c>
    </row>
    <row r="2392">
      <c r="A2392" s="89" t="str">
        <f>IFERROR(__xludf.DUMMYFUNCTION("""COMPUTED_VALUE"""),"Challenger")</f>
        <v>Challenger</v>
      </c>
      <c r="B2392" s="87" t="str">
        <f>IFERROR(__xludf.DUMMYFUNCTION("""COMPUTED_VALUE"""),"RSC004073")</f>
        <v>RSC004073</v>
      </c>
      <c r="C2392" s="73" t="str">
        <f>IFERROR(__xludf.DUMMYFUNCTION("""COMPUTED_VALUE"""),"BusterChugs")</f>
        <v>BusterChugs</v>
      </c>
      <c r="D2392" s="73" t="str">
        <f>IFERROR(__xludf.DUMMYFUNCTION("""COMPUTED_VALUE"""),"Spearmint")</f>
        <v>Spearmint</v>
      </c>
      <c r="E2392" s="82">
        <f>IFERROR(__xludf.DUMMYFUNCTION("""COMPUTED_VALUE"""),32.0)</f>
        <v>32</v>
      </c>
      <c r="F2392" s="82">
        <f>IFERROR(__xludf.DUMMYFUNCTION("""COMPUTED_VALUE"""),11.0)</f>
        <v>11</v>
      </c>
      <c r="G2392" s="86">
        <f>IFERROR(__xludf.DUMMYFUNCTION("""COMPUTED_VALUE"""),21.0)</f>
        <v>21</v>
      </c>
      <c r="H2392" s="86">
        <f>IFERROR(__xludf.DUMMYFUNCTION("""COMPUTED_VALUE"""),0.34375)</f>
        <v>0.34375</v>
      </c>
      <c r="I2392" s="86">
        <f>IFERROR(__xludf.DUMMYFUNCTION("""COMPUTED_VALUE"""),0.4262295081967213)</f>
        <v>0.4262295082</v>
      </c>
      <c r="J2392" s="82">
        <f>IFERROR(__xludf.DUMMYFUNCTION("""COMPUTED_VALUE"""),321.53125)</f>
        <v>321.53125</v>
      </c>
      <c r="K2392" s="82">
        <f>IFERROR(__xludf.DUMMYFUNCTION("""COMPUTED_VALUE"""),0.8125)</f>
        <v>0.8125</v>
      </c>
      <c r="L2392" s="82">
        <f>IFERROR(__xludf.DUMMYFUNCTION("""COMPUTED_VALUE"""),0.4375)</f>
        <v>0.4375</v>
      </c>
      <c r="M2392" s="82">
        <f>IFERROR(__xludf.DUMMYFUNCTION("""COMPUTED_VALUE"""),0.96875)</f>
        <v>0.96875</v>
      </c>
      <c r="N2392" s="82">
        <f>IFERROR(__xludf.DUMMYFUNCTION("""COMPUTED_VALUE"""),1.90625)</f>
        <v>1.90625</v>
      </c>
      <c r="O2392" s="82">
        <f>IFERROR(__xludf.DUMMYFUNCTION("""COMPUTED_VALUE"""),342.96875000000006)</f>
        <v>342.96875</v>
      </c>
      <c r="P2392" s="82">
        <f>IFERROR(__xludf.DUMMYFUNCTION("""COMPUTED_VALUE"""),0.9687499999999999)</f>
        <v>0.96875</v>
      </c>
      <c r="Q2392" s="82">
        <f>IFERROR(__xludf.DUMMYFUNCTION("""COMPUTED_VALUE"""),0.59375)</f>
        <v>0.59375</v>
      </c>
      <c r="R2392" s="82">
        <f>IFERROR(__xludf.DUMMYFUNCTION("""COMPUTED_VALUE"""),1.0625)</f>
        <v>1.0625</v>
      </c>
      <c r="S2392" s="82">
        <f>IFERROR(__xludf.DUMMYFUNCTION("""COMPUTED_VALUE"""),2.53125)</f>
        <v>2.53125</v>
      </c>
      <c r="T2392" s="82">
        <f>IFERROR(__xludf.DUMMYFUNCTION("""COMPUTED_VALUE"""),332.8946001894185)</f>
        <v>332.8946002</v>
      </c>
      <c r="U2392" s="82">
        <f>IFERROR(__xludf.DUMMYFUNCTION("""COMPUTED_VALUE"""),0.7324991584511875)</f>
        <v>0.7324991585</v>
      </c>
      <c r="V2392" s="82">
        <f>IFERROR(__xludf.DUMMYFUNCTION("""COMPUTED_VALUE"""),0.4927522128472148)</f>
        <v>0.4927522128</v>
      </c>
      <c r="W2392" s="82">
        <f>IFERROR(__xludf.DUMMYFUNCTION("""COMPUTED_VALUE"""),1.304749779188201)</f>
        <v>1.304749779</v>
      </c>
      <c r="X2392" s="82">
        <f>IFERROR(__xludf.DUMMYFUNCTION("""COMPUTED_VALUE"""),2.3489659051709513)</f>
        <v>2.348965905</v>
      </c>
      <c r="Y2392" s="82">
        <f>IFERROR(__xludf.DUMMYFUNCTION("""COMPUTED_VALUE"""),334.998132331704)</f>
        <v>334.9981323</v>
      </c>
      <c r="Z2392" s="82">
        <f>IFERROR(__xludf.DUMMYFUNCTION("""COMPUTED_VALUE"""),0.7693470184409197)</f>
        <v>0.7693470184</v>
      </c>
      <c r="AA2392" s="82">
        <f>IFERROR(__xludf.DUMMYFUNCTION("""COMPUTED_VALUE"""),0.5262969756197038)</f>
        <v>0.5262969756</v>
      </c>
      <c r="AB2392" s="82">
        <f>IFERROR(__xludf.DUMMYFUNCTION("""COMPUTED_VALUE"""),1.180287064264395)</f>
        <v>1.180287064</v>
      </c>
      <c r="AC2392" s="82">
        <f>IFERROR(__xludf.DUMMYFUNCTION("""COMPUTED_VALUE"""),2.4827853969200775)</f>
        <v>2.482785397</v>
      </c>
      <c r="AD2392" s="82">
        <f>IFERROR(__xludf.DUMMYFUNCTION("""COMPUTED_VALUE"""),0.959800127129158)</f>
        <v>0.9598001271</v>
      </c>
      <c r="AE2392" s="82">
        <f>IFERROR(__xludf.DUMMYFUNCTION("""COMPUTED_VALUE"""),1.0560903994227855)</f>
        <v>1.056090399</v>
      </c>
      <c r="AF2392" s="82">
        <f>IFERROR(__xludf.DUMMYFUNCTION("""COMPUTED_VALUE"""),0.8312797151928392)</f>
        <v>0.8312797152</v>
      </c>
      <c r="AG2392" s="82">
        <f>IFERROR(__xludf.DUMMYFUNCTION("""COMPUTED_VALUE"""),0.8207749024206803)</f>
        <v>0.8207749024</v>
      </c>
      <c r="AH2392" s="82">
        <f>IFERROR(__xludf.DUMMYFUNCTION("""COMPUTED_VALUE"""),0.7677868584069828)</f>
        <v>0.7677868584</v>
      </c>
      <c r="AI2392" s="82">
        <f>IFERROR(__xludf.DUMMYFUNCTION("""COMPUTED_VALUE"""),1.030262280628311)</f>
        <v>1.030262281</v>
      </c>
      <c r="AJ2392" s="82">
        <f>IFERROR(__xludf.DUMMYFUNCTION("""COMPUTED_VALUE"""),1.3225271166841288)</f>
        <v>1.322527117</v>
      </c>
      <c r="AK2392" s="82">
        <f>IFERROR(__xludf.DUMMYFUNCTION("""COMPUTED_VALUE"""),1.2049666841051834)</f>
        <v>1.204966684</v>
      </c>
      <c r="AL2392" s="82">
        <f>IFERROR(__xludf.DUMMYFUNCTION("""COMPUTED_VALUE"""),0.8143323853720629)</f>
        <v>0.8143323854</v>
      </c>
      <c r="AM2392" s="82">
        <f>IFERROR(__xludf.DUMMYFUNCTION("""COMPUTED_VALUE"""),1.0776018478717693)</f>
        <v>1.077601848</v>
      </c>
      <c r="AN2392" s="82">
        <f>IFERROR(__xludf.DUMMYFUNCTION("""COMPUTED_VALUE"""),0.9781551322100189)</f>
        <v>0.9781551322</v>
      </c>
      <c r="AO2392" s="82">
        <f>IFERROR(__xludf.DUMMYFUNCTION("""COMPUTED_VALUE"""),1.071481604469571)</f>
        <v>1.071481604</v>
      </c>
      <c r="AP2392" s="82">
        <f>IFERROR(__xludf.DUMMYFUNCTION("""COMPUTED_VALUE"""),0.8484900248146608)</f>
        <v>0.8484900248</v>
      </c>
      <c r="AQ2392" s="82">
        <f>IFERROR(__xludf.DUMMYFUNCTION("""COMPUTED_VALUE"""),0.8078287966951234)</f>
        <v>0.8078287967</v>
      </c>
      <c r="AR2392" s="82">
        <f>IFERROR(__xludf.DUMMYFUNCTION("""COMPUTED_VALUE"""),0.7946888206476175)</f>
        <v>0.7946888206</v>
      </c>
      <c r="AS2392" s="82">
        <f>IFERROR(__xludf.DUMMYFUNCTION("""COMPUTED_VALUE"""),65.0)</f>
        <v>65</v>
      </c>
      <c r="AT2392" s="82">
        <f>IFERROR(__xludf.DUMMYFUNCTION("""COMPUTED_VALUE"""),0.3620517442519526)</f>
        <v>0.3620517443</v>
      </c>
      <c r="AU2392" s="82">
        <f>IFERROR(__xludf.DUMMYFUNCTION("""COMPUTED_VALUE"""),2.4589411241550465)</f>
        <v>2.458941124</v>
      </c>
      <c r="AV2392" s="82">
        <f>IFERROR(__xludf.DUMMYFUNCTION("""COMPUTED_VALUE"""),35.60979082410452)</f>
        <v>35.60979082</v>
      </c>
      <c r="AW2392" s="82">
        <f t="shared" si="1"/>
        <v>-3.540575464</v>
      </c>
      <c r="AX2392" s="83">
        <f t="array" ref="AX2392">IFERROR(DGET('SBV Import'!A:G,"SBV",{"RSC ID","Tier";B2392,A2392}))</f>
        <v>47.99229511</v>
      </c>
      <c r="AY2392" s="82">
        <f t="shared" si="2"/>
        <v>-2.13677008</v>
      </c>
      <c r="AZ2392" s="82">
        <v>1.4038053836530033</v>
      </c>
      <c r="BA2392" s="84">
        <v>2300.0</v>
      </c>
      <c r="BB2392" s="84" t="b">
        <f>IFERROR(__xludf.DUMMYFUNCTION("iferror(if(A2392="""",,E2392&gt;=FILTER(Constants!$F$2:$F$10,Constants!$A$2:$A$10=A2392)))"),TRUE)</f>
        <v>1</v>
      </c>
    </row>
    <row r="2393">
      <c r="A2393" s="89" t="str">
        <f>IFERROR(__xludf.DUMMYFUNCTION("""COMPUTED_VALUE"""),"Challenger")</f>
        <v>Challenger</v>
      </c>
      <c r="B2393" s="87" t="str">
        <f>IFERROR(__xludf.DUMMYFUNCTION("""COMPUTED_VALUE"""),"RSC006583")</f>
        <v>RSC006583</v>
      </c>
      <c r="C2393" s="73" t="str">
        <f>IFERROR(__xludf.DUMMYFUNCTION("""COMPUTED_VALUE"""),"DaScrappyDoo15")</f>
        <v>DaScrappyDoo15</v>
      </c>
      <c r="D2393" s="73" t="str">
        <f>IFERROR(__xludf.DUMMYFUNCTION("""COMPUTED_VALUE"""),"Solstice Sake")</f>
        <v>Solstice Sake</v>
      </c>
      <c r="E2393" s="82">
        <f>IFERROR(__xludf.DUMMYFUNCTION("""COMPUTED_VALUE"""),5.0)</f>
        <v>5</v>
      </c>
      <c r="F2393" s="82">
        <f>IFERROR(__xludf.DUMMYFUNCTION("""COMPUTED_VALUE"""),2.0)</f>
        <v>2</v>
      </c>
      <c r="G2393" s="86">
        <f>IFERROR(__xludf.DUMMYFUNCTION("""COMPUTED_VALUE"""),3.0)</f>
        <v>3</v>
      </c>
      <c r="H2393" s="86">
        <f>IFERROR(__xludf.DUMMYFUNCTION("""COMPUTED_VALUE"""),0.4)</f>
        <v>0.4</v>
      </c>
      <c r="I2393" s="86">
        <f>IFERROR(__xludf.DUMMYFUNCTION("""COMPUTED_VALUE"""),0.5)</f>
        <v>0.5</v>
      </c>
      <c r="J2393" s="82">
        <f>IFERROR(__xludf.DUMMYFUNCTION("""COMPUTED_VALUE"""),316.4)</f>
        <v>316.4</v>
      </c>
      <c r="K2393" s="82">
        <f>IFERROR(__xludf.DUMMYFUNCTION("""COMPUTED_VALUE"""),0.8)</f>
        <v>0.8</v>
      </c>
      <c r="L2393" s="82">
        <f>IFERROR(__xludf.DUMMYFUNCTION("""COMPUTED_VALUE"""),0.2)</f>
        <v>0.2</v>
      </c>
      <c r="M2393" s="82">
        <f>IFERROR(__xludf.DUMMYFUNCTION("""COMPUTED_VALUE"""),1.2)</f>
        <v>1.2</v>
      </c>
      <c r="N2393" s="82">
        <f>IFERROR(__xludf.DUMMYFUNCTION("""COMPUTED_VALUE"""),1.6)</f>
        <v>1.6</v>
      </c>
      <c r="O2393" s="82">
        <f>IFERROR(__xludf.DUMMYFUNCTION("""COMPUTED_VALUE"""),330.93333333333334)</f>
        <v>330.9333333</v>
      </c>
      <c r="P2393" s="82">
        <f>IFERROR(__xludf.DUMMYFUNCTION("""COMPUTED_VALUE"""),0.8)</f>
        <v>0.8</v>
      </c>
      <c r="Q2393" s="82">
        <f>IFERROR(__xludf.DUMMYFUNCTION("""COMPUTED_VALUE"""),0.4666666666666666)</f>
        <v>0.4666666667</v>
      </c>
      <c r="R2393" s="82">
        <f>IFERROR(__xludf.DUMMYFUNCTION("""COMPUTED_VALUE"""),1.2)</f>
        <v>1.2</v>
      </c>
      <c r="S2393" s="82">
        <f>IFERROR(__xludf.DUMMYFUNCTION("""COMPUTED_VALUE"""),2.7333333333333334)</f>
        <v>2.733333333</v>
      </c>
      <c r="T2393" s="82">
        <f>IFERROR(__xludf.DUMMYFUNCTION("""COMPUTED_VALUE"""),375.03074584037597)</f>
        <v>375.0307458</v>
      </c>
      <c r="U2393" s="82">
        <f>IFERROR(__xludf.DUMMYFUNCTION("""COMPUTED_VALUE"""),0.9886485203280435)</f>
        <v>0.9886485203</v>
      </c>
      <c r="V2393" s="82">
        <f>IFERROR(__xludf.DUMMYFUNCTION("""COMPUTED_VALUE"""),0.7421181117464428)</f>
        <v>0.7421181117</v>
      </c>
      <c r="W2393" s="82">
        <f>IFERROR(__xludf.DUMMYFUNCTION("""COMPUTED_VALUE"""),1.258894111965641)</f>
        <v>1.258894112</v>
      </c>
      <c r="X2393" s="82">
        <f>IFERROR(__xludf.DUMMYFUNCTION("""COMPUTED_VALUE"""),2.8082183806920833)</f>
        <v>2.808218381</v>
      </c>
      <c r="Y2393" s="82">
        <f>IFERROR(__xludf.DUMMYFUNCTION("""COMPUTED_VALUE"""),331.9620891086862)</f>
        <v>331.9620891</v>
      </c>
      <c r="Z2393" s="82">
        <f>IFERROR(__xludf.DUMMYFUNCTION("""COMPUTED_VALUE"""),0.6804846915330787)</f>
        <v>0.6804846915</v>
      </c>
      <c r="AA2393" s="82">
        <f>IFERROR(__xludf.DUMMYFUNCTION("""COMPUTED_VALUE"""),0.5079057160438647)</f>
        <v>0.507905716</v>
      </c>
      <c r="AB2393" s="82">
        <f>IFERROR(__xludf.DUMMYFUNCTION("""COMPUTED_VALUE"""),1.340579476818958)</f>
        <v>1.340579477</v>
      </c>
      <c r="AC2393" s="82">
        <f>IFERROR(__xludf.DUMMYFUNCTION("""COMPUTED_VALUE"""),2.295186444574593)</f>
        <v>2.295186445</v>
      </c>
      <c r="AD2393" s="82">
        <f>IFERROR(__xludf.DUMMYFUNCTION("""COMPUTED_VALUE"""),0.9531208845248859)</f>
        <v>0.9531208845</v>
      </c>
      <c r="AE2393" s="82">
        <f>IFERROR(__xludf.DUMMYFUNCTION("""COMPUTED_VALUE"""),1.1756326188582769)</f>
        <v>1.175632619</v>
      </c>
      <c r="AF2393" s="82">
        <f>IFERROR(__xludf.DUMMYFUNCTION("""COMPUTED_VALUE"""),0.3937738711779476)</f>
        <v>0.3937738712</v>
      </c>
      <c r="AG2393" s="82">
        <f>IFERROR(__xludf.DUMMYFUNCTION("""COMPUTED_VALUE"""),0.8951352909321444)</f>
        <v>0.8951352909</v>
      </c>
      <c r="AH2393" s="82">
        <f>IFERROR(__xludf.DUMMYFUNCTION("""COMPUTED_VALUE"""),0.6971111230558684)</f>
        <v>0.6971111231</v>
      </c>
      <c r="AI2393" s="82">
        <f>IFERROR(__xludf.DUMMYFUNCTION("""COMPUTED_VALUE"""),0.8824165405206224)</f>
        <v>0.8824165405</v>
      </c>
      <c r="AJ2393" s="82">
        <f>IFERROR(__xludf.DUMMYFUNCTION("""COMPUTED_VALUE"""),0.8091854522116232)</f>
        <v>0.8091854522</v>
      </c>
      <c r="AK2393" s="82">
        <f>IFERROR(__xludf.DUMMYFUNCTION("""COMPUTED_VALUE"""),0.6288307201780182)</f>
        <v>0.6288307202</v>
      </c>
      <c r="AL2393" s="82">
        <f>IFERROR(__xludf.DUMMYFUNCTION("""COMPUTED_VALUE"""),0.9532175808863832)</f>
        <v>0.9532175809</v>
      </c>
      <c r="AM2393" s="82">
        <f>IFERROR(__xludf.DUMMYFUNCTION("""COMPUTED_VALUE"""),0.97333360971012)</f>
        <v>0.9733336097</v>
      </c>
      <c r="AN2393" s="82">
        <f>IFERROR(__xludf.DUMMYFUNCTION("""COMPUTED_VALUE"""),0.9625449589464475)</f>
        <v>0.9625449589</v>
      </c>
      <c r="AO2393" s="82">
        <f>IFERROR(__xludf.DUMMYFUNCTION("""COMPUTED_VALUE"""),1.054997272093116)</f>
        <v>1.054997272</v>
      </c>
      <c r="AP2393" s="82">
        <f>IFERROR(__xludf.DUMMYFUNCTION("""COMPUTED_VALUE"""),0.38788115420098784)</f>
        <v>0.3878811542</v>
      </c>
      <c r="AQ2393" s="82">
        <f>IFERROR(__xludf.DUMMYFUNCTION("""COMPUTED_VALUE"""),1.000665348164282)</f>
        <v>1.000665348</v>
      </c>
      <c r="AR2393" s="82">
        <f>IFERROR(__xludf.DUMMYFUNCTION("""COMPUTED_VALUE"""),0.6670175019206233)</f>
        <v>0.6670175019</v>
      </c>
      <c r="AS2393" s="82">
        <f>IFERROR(__xludf.DUMMYFUNCTION("""COMPUTED_VALUE"""),11.0)</f>
        <v>11</v>
      </c>
      <c r="AT2393" s="82">
        <f>IFERROR(__xludf.DUMMYFUNCTION("""COMPUTED_VALUE"""),0.4663433941244228)</f>
        <v>0.4663433941</v>
      </c>
      <c r="AU2393" s="82">
        <f>IFERROR(__xludf.DUMMYFUNCTION("""COMPUTED_VALUE"""),2.43337923160546)</f>
        <v>2.433379232</v>
      </c>
      <c r="AV2393" s="82">
        <f>IFERROR(__xludf.DUMMYFUNCTION("""COMPUTED_VALUE"""),34.933879231259795)</f>
        <v>34.93387923</v>
      </c>
      <c r="AW2393" s="82">
        <f t="shared" si="1"/>
        <v>-3.658012486</v>
      </c>
      <c r="AX2393" s="83">
        <f t="array" ref="AX2393">IFERROR(DGET('SBV Import'!A:G,"SBV",{"RSC ID","Tier";B2393,A2393}))</f>
        <v>25.07883872</v>
      </c>
      <c r="AY2393" s="82">
        <f t="shared" si="2"/>
        <v>-6.272757424</v>
      </c>
      <c r="AZ2393" s="82">
        <v>2.614744937911918</v>
      </c>
      <c r="BA2393" s="84">
        <v>2300.0</v>
      </c>
      <c r="BB2393" s="84" t="b">
        <f>IFERROR(__xludf.DUMMYFUNCTION("iferror(if(A2393="""",,E2393&gt;=FILTER(Constants!$F$2:$F$10,Constants!$A$2:$A$10=A2393)))"),TRUE)</f>
        <v>1</v>
      </c>
    </row>
    <row r="2394">
      <c r="A2394" s="89" t="str">
        <f>IFERROR(__xludf.DUMMYFUNCTION("""COMPUTED_VALUE"""),"Challenger")</f>
        <v>Challenger</v>
      </c>
      <c r="B2394" s="87" t="str">
        <f>IFERROR(__xludf.DUMMYFUNCTION("""COMPUTED_VALUE"""),"RSC000938")</f>
        <v>RSC000938</v>
      </c>
      <c r="C2394" s="73" t="str">
        <f>IFERROR(__xludf.DUMMYFUNCTION("""COMPUTED_VALUE"""),"Nukem_IV")</f>
        <v>Nukem_IV</v>
      </c>
      <c r="D2394" s="73" t="str">
        <f>IFERROR(__xludf.DUMMYFUNCTION("""COMPUTED_VALUE"""),"Spearmint")</f>
        <v>Spearmint</v>
      </c>
      <c r="E2394" s="82">
        <f>IFERROR(__xludf.DUMMYFUNCTION("""COMPUTED_VALUE"""),31.0)</f>
        <v>31</v>
      </c>
      <c r="F2394" s="82">
        <f>IFERROR(__xludf.DUMMYFUNCTION("""COMPUTED_VALUE"""),11.0)</f>
        <v>11</v>
      </c>
      <c r="G2394" s="86">
        <f>IFERROR(__xludf.DUMMYFUNCTION("""COMPUTED_VALUE"""),20.0)</f>
        <v>20</v>
      </c>
      <c r="H2394" s="86">
        <f>IFERROR(__xludf.DUMMYFUNCTION("""COMPUTED_VALUE"""),0.3548387096774194)</f>
        <v>0.3548387097</v>
      </c>
      <c r="I2394" s="86">
        <f>IFERROR(__xludf.DUMMYFUNCTION("""COMPUTED_VALUE"""),0.2142857142857143)</f>
        <v>0.2142857143</v>
      </c>
      <c r="J2394" s="82">
        <f>IFERROR(__xludf.DUMMYFUNCTION("""COMPUTED_VALUE"""),294.19354838709677)</f>
        <v>294.1935484</v>
      </c>
      <c r="K2394" s="82">
        <f>IFERROR(__xludf.DUMMYFUNCTION("""COMPUTED_VALUE"""),0.5806451612903226)</f>
        <v>0.5806451613</v>
      </c>
      <c r="L2394" s="82">
        <f>IFERROR(__xludf.DUMMYFUNCTION("""COMPUTED_VALUE"""),0.2903225806451613)</f>
        <v>0.2903225806</v>
      </c>
      <c r="M2394" s="82">
        <f>IFERROR(__xludf.DUMMYFUNCTION("""COMPUTED_VALUE"""),1.0)</f>
        <v>1</v>
      </c>
      <c r="N2394" s="82">
        <f>IFERROR(__xludf.DUMMYFUNCTION("""COMPUTED_VALUE"""),2.7096774193548385)</f>
        <v>2.709677419</v>
      </c>
      <c r="O2394" s="82">
        <f>IFERROR(__xludf.DUMMYFUNCTION("""COMPUTED_VALUE"""),354.49462365591404)</f>
        <v>354.4946237</v>
      </c>
      <c r="P2394" s="82">
        <f>IFERROR(__xludf.DUMMYFUNCTION("""COMPUTED_VALUE"""),0.8817204301075269)</f>
        <v>0.8817204301</v>
      </c>
      <c r="Q2394" s="82">
        <f>IFERROR(__xludf.DUMMYFUNCTION("""COMPUTED_VALUE"""),0.6021505376344084)</f>
        <v>0.6021505376</v>
      </c>
      <c r="R2394" s="82">
        <f>IFERROR(__xludf.DUMMYFUNCTION("""COMPUTED_VALUE"""),1.3225806451612905)</f>
        <v>1.322580645</v>
      </c>
      <c r="S2394" s="82">
        <f>IFERROR(__xludf.DUMMYFUNCTION("""COMPUTED_VALUE"""),2.3010752688172045)</f>
        <v>2.301075269</v>
      </c>
      <c r="T2394" s="82">
        <f>IFERROR(__xludf.DUMMYFUNCTION("""COMPUTED_VALUE"""),333.27941003974917)</f>
        <v>333.27941</v>
      </c>
      <c r="U2394" s="82">
        <f>IFERROR(__xludf.DUMMYFUNCTION("""COMPUTED_VALUE"""),0.7738420004691353)</f>
        <v>0.7738420005</v>
      </c>
      <c r="V2394" s="82">
        <f>IFERROR(__xludf.DUMMYFUNCTION("""COMPUTED_VALUE"""),0.5553048592648885)</f>
        <v>0.5553048593</v>
      </c>
      <c r="W2394" s="82">
        <f>IFERROR(__xludf.DUMMYFUNCTION("""COMPUTED_VALUE"""),1.2035626077757438)</f>
        <v>1.203562608</v>
      </c>
      <c r="X2394" s="82">
        <f>IFERROR(__xludf.DUMMYFUNCTION("""COMPUTED_VALUE"""),2.5096926671319153)</f>
        <v>2.509692667</v>
      </c>
      <c r="Y2394" s="82">
        <f>IFERROR(__xludf.DUMMYFUNCTION("""COMPUTED_VALUE"""),337.28611811057533)</f>
        <v>337.2861181</v>
      </c>
      <c r="Z2394" s="82">
        <f>IFERROR(__xludf.DUMMYFUNCTION("""COMPUTED_VALUE"""),0.7758757693507545)</f>
        <v>0.7758757694</v>
      </c>
      <c r="AA2394" s="82">
        <f>IFERROR(__xludf.DUMMYFUNCTION("""COMPUTED_VALUE"""),0.5467660770639694)</f>
        <v>0.5467660771</v>
      </c>
      <c r="AB2394" s="82">
        <f>IFERROR(__xludf.DUMMYFUNCTION("""COMPUTED_VALUE"""),1.2414340680301381)</f>
        <v>1.241434068</v>
      </c>
      <c r="AC2394" s="82">
        <f>IFERROR(__xludf.DUMMYFUNCTION("""COMPUTED_VALUE"""),2.432619514158403)</f>
        <v>2.432619514</v>
      </c>
      <c r="AD2394" s="82">
        <f>IFERROR(__xludf.DUMMYFUNCTION("""COMPUTED_VALUE"""),0.8722373456551474)</f>
        <v>0.8722373457</v>
      </c>
      <c r="AE2394" s="82">
        <f>IFERROR(__xludf.DUMMYFUNCTION("""COMPUTED_VALUE"""),0.7483738817829058)</f>
        <v>0.7483738818</v>
      </c>
      <c r="AF2394" s="82">
        <f>IFERROR(__xludf.DUMMYFUNCTION("""COMPUTED_VALUE"""),0.5309813333777742)</f>
        <v>0.5309813334</v>
      </c>
      <c r="AG2394" s="82">
        <f>IFERROR(__xludf.DUMMYFUNCTION("""COMPUTED_VALUE"""),0.8055200237792436)</f>
        <v>0.8055200238</v>
      </c>
      <c r="AH2394" s="82">
        <f>IFERROR(__xludf.DUMMYFUNCTION("""COMPUTED_VALUE"""),1.113892823593618)</f>
        <v>1.113892824</v>
      </c>
      <c r="AI2394" s="82">
        <f>IFERROR(__xludf.DUMMYFUNCTION("""COMPUTED_VALUE"""),1.0636559384620687)</f>
        <v>1.063655938</v>
      </c>
      <c r="AJ2394" s="82">
        <f>IFERROR(__xludf.DUMMYFUNCTION("""COMPUTED_VALUE"""),1.1394062735971828)</f>
        <v>1.139406274</v>
      </c>
      <c r="AK2394" s="82">
        <f>IFERROR(__xludf.DUMMYFUNCTION("""COMPUTED_VALUE"""),1.08436028892586)</f>
        <v>1.084360289</v>
      </c>
      <c r="AL2394" s="82">
        <f>IFERROR(__xludf.DUMMYFUNCTION("""COMPUTED_VALUE"""),1.0988881148488812)</f>
        <v>1.098888115</v>
      </c>
      <c r="AM2394" s="82">
        <f>IFERROR(__xludf.DUMMYFUNCTION("""COMPUTED_VALUE"""),0.916875320613213)</f>
        <v>0.9168753206</v>
      </c>
      <c r="AN2394" s="82">
        <f>IFERROR(__xludf.DUMMYFUNCTION("""COMPUTED_VALUE"""),0.8949889916389627)</f>
        <v>0.8949889916</v>
      </c>
      <c r="AO2394" s="82">
        <f>IFERROR(__xludf.DUMMYFUNCTION("""COMPUTED_VALUE"""),0.7657238265191971)</f>
        <v>0.7657238265</v>
      </c>
      <c r="AP2394" s="82">
        <f>IFERROR(__xludf.DUMMYFUNCTION("""COMPUTED_VALUE"""),0.5630532883562727)</f>
        <v>0.5630532884</v>
      </c>
      <c r="AQ2394" s="82">
        <f>IFERROR(__xludf.DUMMYFUNCTION("""COMPUTED_VALUE"""),0.8338877901369016)</f>
        <v>0.8338877901</v>
      </c>
      <c r="AR2394" s="82">
        <f>IFERROR(__xludf.DUMMYFUNCTION("""COMPUTED_VALUE"""),1.1296264145429908)</f>
        <v>1.129626415</v>
      </c>
      <c r="AS2394" s="82">
        <f>IFERROR(__xludf.DUMMYFUNCTION("""COMPUTED_VALUE"""),51.0)</f>
        <v>51</v>
      </c>
      <c r="AT2394" s="82">
        <f>IFERROR(__xludf.DUMMYFUNCTION("""COMPUTED_VALUE"""),0.32710494584460015)</f>
        <v>0.3271049458</v>
      </c>
      <c r="AU2394" s="82">
        <f>IFERROR(__xludf.DUMMYFUNCTION("""COMPUTED_VALUE"""),2.3532955597020306)</f>
        <v>2.35329556</v>
      </c>
      <c r="AV2394" s="82">
        <f>IFERROR(__xludf.DUMMYFUNCTION("""COMPUTED_VALUE"""),32.81629415292106)</f>
        <v>32.81629415</v>
      </c>
      <c r="AW2394" s="82">
        <f t="shared" si="1"/>
        <v>-4.066170332</v>
      </c>
      <c r="AX2394" s="83">
        <f t="array" ref="AX2394">IFERROR(DGET('SBV Import'!A:G,"SBV",{"RSC ID","Tier";B2394,A2394}))</f>
        <v>45.35909197</v>
      </c>
      <c r="AY2394" s="82">
        <f t="shared" si="2"/>
        <v>-2.345408364</v>
      </c>
      <c r="AZ2394" s="82">
        <v>1.720761968388873</v>
      </c>
      <c r="BA2394" s="84">
        <v>2300.0</v>
      </c>
      <c r="BB2394" s="84" t="b">
        <f>IFERROR(__xludf.DUMMYFUNCTION("iferror(if(A2394="""",,E2394&gt;=FILTER(Constants!$F$2:$F$10,Constants!$A$2:$A$10=A2394)))"),TRUE)</f>
        <v>1</v>
      </c>
    </row>
    <row r="2395">
      <c r="A2395" s="89" t="str">
        <f>IFERROR(__xludf.DUMMYFUNCTION("""COMPUTED_VALUE"""),"Challenger")</f>
        <v>Challenger</v>
      </c>
      <c r="B2395" s="87" t="str">
        <f>IFERROR(__xludf.DUMMYFUNCTION("""COMPUTED_VALUE"""),"RSC001933")</f>
        <v>RSC001933</v>
      </c>
      <c r="C2395" s="73" t="str">
        <f>IFERROR(__xludf.DUMMYFUNCTION("""COMPUTED_VALUE"""),"Ducky")</f>
        <v>Ducky</v>
      </c>
      <c r="D2395" s="73" t="str">
        <f>IFERROR(__xludf.DUMMYFUNCTION("""COMPUTED_VALUE"""),"Spearmint")</f>
        <v>Spearmint</v>
      </c>
      <c r="E2395" s="82">
        <f>IFERROR(__xludf.DUMMYFUNCTION("""COMPUTED_VALUE"""),22.0)</f>
        <v>22</v>
      </c>
      <c r="F2395" s="82">
        <f>IFERROR(__xludf.DUMMYFUNCTION("""COMPUTED_VALUE"""),6.0)</f>
        <v>6</v>
      </c>
      <c r="G2395" s="86">
        <f>IFERROR(__xludf.DUMMYFUNCTION("""COMPUTED_VALUE"""),16.0)</f>
        <v>16</v>
      </c>
      <c r="H2395" s="86">
        <f>IFERROR(__xludf.DUMMYFUNCTION("""COMPUTED_VALUE"""),0.2727272727272727)</f>
        <v>0.2727272727</v>
      </c>
      <c r="I2395" s="86">
        <f>IFERROR(__xludf.DUMMYFUNCTION("""COMPUTED_VALUE"""),0.3695652173913044)</f>
        <v>0.3695652174</v>
      </c>
      <c r="J2395" s="82">
        <f>IFERROR(__xludf.DUMMYFUNCTION("""COMPUTED_VALUE"""),330.77272727272725)</f>
        <v>330.7727273</v>
      </c>
      <c r="K2395" s="82">
        <f>IFERROR(__xludf.DUMMYFUNCTION("""COMPUTED_VALUE"""),0.7727272727272727)</f>
        <v>0.7727272727</v>
      </c>
      <c r="L2395" s="82">
        <f>IFERROR(__xludf.DUMMYFUNCTION("""COMPUTED_VALUE"""),0.3181818181818182)</f>
        <v>0.3181818182</v>
      </c>
      <c r="M2395" s="82">
        <f>IFERROR(__xludf.DUMMYFUNCTION("""COMPUTED_VALUE"""),1.3181818181818181)</f>
        <v>1.318181818</v>
      </c>
      <c r="N2395" s="82">
        <f>IFERROR(__xludf.DUMMYFUNCTION("""COMPUTED_VALUE"""),2.090909090909091)</f>
        <v>2.090909091</v>
      </c>
      <c r="O2395" s="82">
        <f>IFERROR(__xludf.DUMMYFUNCTION("""COMPUTED_VALUE"""),359.54545454545456)</f>
        <v>359.5454545</v>
      </c>
      <c r="P2395" s="82">
        <f>IFERROR(__xludf.DUMMYFUNCTION("""COMPUTED_VALUE"""),1.0606060606060608)</f>
        <v>1.060606061</v>
      </c>
      <c r="Q2395" s="82">
        <f>IFERROR(__xludf.DUMMYFUNCTION("""COMPUTED_VALUE"""),0.7272727272727273)</f>
        <v>0.7272727273</v>
      </c>
      <c r="R2395" s="82">
        <f>IFERROR(__xludf.DUMMYFUNCTION("""COMPUTED_VALUE"""),0.9848484848484849)</f>
        <v>0.9848484848</v>
      </c>
      <c r="S2395" s="82">
        <f>IFERROR(__xludf.DUMMYFUNCTION("""COMPUTED_VALUE"""),2.8181818181818183)</f>
        <v>2.818181818</v>
      </c>
      <c r="T2395" s="82">
        <f>IFERROR(__xludf.DUMMYFUNCTION("""COMPUTED_VALUE"""),341.26804099473446)</f>
        <v>341.268041</v>
      </c>
      <c r="U2395" s="82">
        <f>IFERROR(__xludf.DUMMYFUNCTION("""COMPUTED_VALUE"""),0.8023700040946512)</f>
        <v>0.8023700041</v>
      </c>
      <c r="V2395" s="82">
        <f>IFERROR(__xludf.DUMMYFUNCTION("""COMPUTED_VALUE"""),0.5554116257972944)</f>
        <v>0.5554116258</v>
      </c>
      <c r="W2395" s="82">
        <f>IFERROR(__xludf.DUMMYFUNCTION("""COMPUTED_VALUE"""),1.2575868868228424)</f>
        <v>1.257586887</v>
      </c>
      <c r="X2395" s="82">
        <f>IFERROR(__xludf.DUMMYFUNCTION("""COMPUTED_VALUE"""),2.4608961694168245)</f>
        <v>2.460896169</v>
      </c>
      <c r="Y2395" s="82">
        <f>IFERROR(__xludf.DUMMYFUNCTION("""COMPUTED_VALUE"""),326.09973570703664)</f>
        <v>326.0997357</v>
      </c>
      <c r="Z2395" s="82">
        <f>IFERROR(__xludf.DUMMYFUNCTION("""COMPUTED_VALUE"""),0.7346248698129845)</f>
        <v>0.7346248698</v>
      </c>
      <c r="AA2395" s="82">
        <f>IFERROR(__xludf.DUMMYFUNCTION("""COMPUTED_VALUE"""),0.49710428762551684)</f>
        <v>0.4971042876</v>
      </c>
      <c r="AB2395" s="82">
        <f>IFERROR(__xludf.DUMMYFUNCTION("""COMPUTED_VALUE"""),1.1782604104164038)</f>
        <v>1.17826041</v>
      </c>
      <c r="AC2395" s="82">
        <f>IFERROR(__xludf.DUMMYFUNCTION("""COMPUTED_VALUE"""),2.3678953153959497)</f>
        <v>2.367895315</v>
      </c>
      <c r="AD2395" s="82">
        <f>IFERROR(__xludf.DUMMYFUNCTION("""COMPUTED_VALUE"""),1.014329945884681)</f>
        <v>1.014329946</v>
      </c>
      <c r="AE2395" s="82">
        <f>IFERROR(__xludf.DUMMYFUNCTION("""COMPUTED_VALUE"""),1.0518664756394485)</f>
        <v>1.051866476</v>
      </c>
      <c r="AF2395" s="82">
        <f>IFERROR(__xludf.DUMMYFUNCTION("""COMPUTED_VALUE"""),0.640070556827532)</f>
        <v>0.6400705568</v>
      </c>
      <c r="AG2395" s="82">
        <f>IFERROR(__xludf.DUMMYFUNCTION("""COMPUTED_VALUE"""),1.118752532571272)</f>
        <v>1.118752533</v>
      </c>
      <c r="AH2395" s="82">
        <f>IFERROR(__xludf.DUMMYFUNCTION("""COMPUTED_VALUE"""),0.8830242947456728)</f>
        <v>0.8830242947</v>
      </c>
      <c r="AI2395" s="82">
        <f>IFERROR(__xludf.DUMMYFUNCTION("""COMPUTED_VALUE"""),1.0535573547919832)</f>
        <v>1.053557355</v>
      </c>
      <c r="AJ2395" s="82">
        <f>IFERROR(__xludf.DUMMYFUNCTION("""COMPUTED_VALUE"""),1.3218416132128326)</f>
        <v>1.321841613</v>
      </c>
      <c r="AK2395" s="82">
        <f>IFERROR(__xludf.DUMMYFUNCTION("""COMPUTED_VALUE"""),1.309430147827255)</f>
        <v>1.309430148</v>
      </c>
      <c r="AL2395" s="82">
        <f>IFERROR(__xludf.DUMMYFUNCTION("""COMPUTED_VALUE"""),0.7831255996447278)</f>
        <v>0.7831255996</v>
      </c>
      <c r="AM2395" s="82">
        <f>IFERROR(__xludf.DUMMYFUNCTION("""COMPUTED_VALUE"""),1.145185178149821)</f>
        <v>1.145185178</v>
      </c>
      <c r="AN2395" s="82">
        <f>IFERROR(__xludf.DUMMYFUNCTION("""COMPUTED_VALUE"""),1.0062693463758905)</f>
        <v>1.006269346</v>
      </c>
      <c r="AO2395" s="82">
        <f>IFERROR(__xludf.DUMMYFUNCTION("""COMPUTED_VALUE"""),1.0190314559990326)</f>
        <v>1.019031456</v>
      </c>
      <c r="AP2395" s="82">
        <f>IFERROR(__xludf.DUMMYFUNCTION("""COMPUTED_VALUE"""),0.6170836544106625)</f>
        <v>0.6170836544</v>
      </c>
      <c r="AQ2395" s="82">
        <f>IFERROR(__xludf.DUMMYFUNCTION("""COMPUTED_VALUE"""),1.0992157233622795)</f>
        <v>1.099215723</v>
      </c>
      <c r="AR2395" s="82">
        <f>IFERROR(__xludf.DUMMYFUNCTION("""COMPUTED_VALUE"""),0.8716705991008143)</f>
        <v>0.8716705991</v>
      </c>
      <c r="AS2395" s="82">
        <f>IFERROR(__xludf.DUMMYFUNCTION("""COMPUTED_VALUE"""),38.0)</f>
        <v>38</v>
      </c>
      <c r="AT2395" s="82">
        <f>IFERROR(__xludf.DUMMYFUNCTION("""COMPUTED_VALUE"""),0.2759818268233028)</f>
        <v>0.2759818268</v>
      </c>
      <c r="AU2395" s="82">
        <f>IFERROR(__xludf.DUMMYFUNCTION("""COMPUTED_VALUE"""),2.348357420919721)</f>
        <v>2.348357421</v>
      </c>
      <c r="AV2395" s="82">
        <f>IFERROR(__xludf.DUMMYFUNCTION("""COMPUTED_VALUE"""),32.68571910869987)</f>
        <v>32.68571911</v>
      </c>
      <c r="AW2395" s="82">
        <f t="shared" si="1"/>
        <v>-4.093506605</v>
      </c>
      <c r="AX2395" s="83">
        <f t="array" ref="AX2395">IFERROR(DGET('SBV Import'!A:G,"SBV",{"RSC ID","Tier";B2395,A2395}))</f>
        <v>46.91570378</v>
      </c>
      <c r="AY2395" s="82">
        <f t="shared" si="2"/>
        <v>-2.217755544</v>
      </c>
      <c r="AZ2395" s="82">
        <v>1.875751061546139</v>
      </c>
      <c r="BA2395" s="84">
        <v>2300.0</v>
      </c>
      <c r="BB2395" s="84" t="b">
        <f>IFERROR(__xludf.DUMMYFUNCTION("iferror(if(A2395="""",,E2395&gt;=FILTER(Constants!$F$2:$F$10,Constants!$A$2:$A$10=A2395)))"),TRUE)</f>
        <v>1</v>
      </c>
    </row>
    <row r="2396">
      <c r="A2396" s="89" t="str">
        <f>IFERROR(__xludf.DUMMYFUNCTION("""COMPUTED_VALUE"""),"Challenger")</f>
        <v>Challenger</v>
      </c>
      <c r="B2396" s="87" t="str">
        <f>IFERROR(__xludf.DUMMYFUNCTION("""COMPUTED_VALUE"""),"RSC007406")</f>
        <v>RSC007406</v>
      </c>
      <c r="C2396" s="73" t="str">
        <f>IFERROR(__xludf.DUMMYFUNCTION("""COMPUTED_VALUE"""),"junior1000gsxr")</f>
        <v>junior1000gsxr</v>
      </c>
      <c r="D2396" s="73"/>
      <c r="E2396" s="82">
        <f>IFERROR(__xludf.DUMMYFUNCTION("""COMPUTED_VALUE"""),12.0)</f>
        <v>12</v>
      </c>
      <c r="F2396" s="82">
        <f>IFERROR(__xludf.DUMMYFUNCTION("""COMPUTED_VALUE"""),5.0)</f>
        <v>5</v>
      </c>
      <c r="G2396" s="86">
        <f>IFERROR(__xludf.DUMMYFUNCTION("""COMPUTED_VALUE"""),7.0)</f>
        <v>7</v>
      </c>
      <c r="H2396" s="86">
        <f>IFERROR(__xludf.DUMMYFUNCTION("""COMPUTED_VALUE"""),0.4166666666666667)</f>
        <v>0.4166666667</v>
      </c>
      <c r="I2396" s="86">
        <f>IFERROR(__xludf.DUMMYFUNCTION("""COMPUTED_VALUE"""),0.31818181818181823)</f>
        <v>0.3181818182</v>
      </c>
      <c r="J2396" s="82">
        <f>IFERROR(__xludf.DUMMYFUNCTION("""COMPUTED_VALUE"""),334.9166666666667)</f>
        <v>334.9166667</v>
      </c>
      <c r="K2396" s="82">
        <f>IFERROR(__xludf.DUMMYFUNCTION("""COMPUTED_VALUE"""),0.5833333333333334)</f>
        <v>0.5833333333</v>
      </c>
      <c r="L2396" s="82">
        <f>IFERROR(__xludf.DUMMYFUNCTION("""COMPUTED_VALUE"""),0.6666666666666666)</f>
        <v>0.6666666667</v>
      </c>
      <c r="M2396" s="82">
        <f>IFERROR(__xludf.DUMMYFUNCTION("""COMPUTED_VALUE"""),1.5833333333333333)</f>
        <v>1.583333333</v>
      </c>
      <c r="N2396" s="82">
        <f>IFERROR(__xludf.DUMMYFUNCTION("""COMPUTED_VALUE"""),1.8333333333333333)</f>
        <v>1.833333333</v>
      </c>
      <c r="O2396" s="82">
        <f>IFERROR(__xludf.DUMMYFUNCTION("""COMPUTED_VALUE"""),344.3333333333333)</f>
        <v>344.3333333</v>
      </c>
      <c r="P2396" s="82">
        <f>IFERROR(__xludf.DUMMYFUNCTION("""COMPUTED_VALUE"""),0.9444444444444443)</f>
        <v>0.9444444444</v>
      </c>
      <c r="Q2396" s="82">
        <f>IFERROR(__xludf.DUMMYFUNCTION("""COMPUTED_VALUE"""),0.6944444444444443)</f>
        <v>0.6944444444</v>
      </c>
      <c r="R2396" s="82">
        <f>IFERROR(__xludf.DUMMYFUNCTION("""COMPUTED_VALUE"""),0.9166666666666666)</f>
        <v>0.9166666667</v>
      </c>
      <c r="S2396" s="82">
        <f>IFERROR(__xludf.DUMMYFUNCTION("""COMPUTED_VALUE"""),3.0833333333333335)</f>
        <v>3.083333333</v>
      </c>
      <c r="T2396" s="82">
        <f>IFERROR(__xludf.DUMMYFUNCTION("""COMPUTED_VALUE"""),329.2738253259086)</f>
        <v>329.2738253</v>
      </c>
      <c r="U2396" s="82">
        <f>IFERROR(__xludf.DUMMYFUNCTION("""COMPUTED_VALUE"""),0.7708215050169075)</f>
        <v>0.770821505</v>
      </c>
      <c r="V2396" s="82">
        <f>IFERROR(__xludf.DUMMYFUNCTION("""COMPUTED_VALUE"""),0.5334686599054416)</f>
        <v>0.5334686599</v>
      </c>
      <c r="W2396" s="82">
        <f>IFERROR(__xludf.DUMMYFUNCTION("""COMPUTED_VALUE"""),1.1095809655436093)</f>
        <v>1.109580966</v>
      </c>
      <c r="X2396" s="82">
        <f>IFERROR(__xludf.DUMMYFUNCTION("""COMPUTED_VALUE"""),2.351263173820645)</f>
        <v>2.351263174</v>
      </c>
      <c r="Y2396" s="82">
        <f>IFERROR(__xludf.DUMMYFUNCTION("""COMPUTED_VALUE"""),353.71977373857163)</f>
        <v>353.7197737</v>
      </c>
      <c r="Z2396" s="82">
        <f>IFERROR(__xludf.DUMMYFUNCTION("""COMPUTED_VALUE"""),0.9119385208944597)</f>
        <v>0.9119385209</v>
      </c>
      <c r="AA2396" s="82">
        <f>IFERROR(__xludf.DUMMYFUNCTION("""COMPUTED_VALUE"""),0.5826308775303028)</f>
        <v>0.5826308775</v>
      </c>
      <c r="AB2396" s="82">
        <f>IFERROR(__xludf.DUMMYFUNCTION("""COMPUTED_VALUE"""),1.1895049616553448)</f>
        <v>1.189504962</v>
      </c>
      <c r="AC2396" s="82">
        <f>IFERROR(__xludf.DUMMYFUNCTION("""COMPUTED_VALUE"""),2.478275352078034)</f>
        <v>2.478275352</v>
      </c>
      <c r="AD2396" s="82">
        <f>IFERROR(__xludf.DUMMYFUNCTION("""COMPUTED_VALUE"""),0.9468417983163079)</f>
        <v>0.9468417983</v>
      </c>
      <c r="AE2396" s="82">
        <f>IFERROR(__xludf.DUMMYFUNCTION("""COMPUTED_VALUE"""),0.6396630035555254)</f>
        <v>0.6396630036</v>
      </c>
      <c r="AF2396" s="82">
        <f>IFERROR(__xludf.DUMMYFUNCTION("""COMPUTED_VALUE"""),1.1442350420777228)</f>
        <v>1.144235042</v>
      </c>
      <c r="AG2396" s="82">
        <f>IFERROR(__xludf.DUMMYFUNCTION("""COMPUTED_VALUE"""),1.331085942785751)</f>
        <v>1.331085943</v>
      </c>
      <c r="AH2396" s="82">
        <f>IFERROR(__xludf.DUMMYFUNCTION("""COMPUTED_VALUE"""),0.7397617588360725)</f>
        <v>0.7397617588</v>
      </c>
      <c r="AI2396" s="82">
        <f>IFERROR(__xludf.DUMMYFUNCTION("""COMPUTED_VALUE"""),1.0457355150914869)</f>
        <v>1.045735515</v>
      </c>
      <c r="AJ2396" s="82">
        <f>IFERROR(__xludf.DUMMYFUNCTION("""COMPUTED_VALUE"""),1.225244026402362)</f>
        <v>1.225244026</v>
      </c>
      <c r="AK2396" s="82">
        <f>IFERROR(__xludf.DUMMYFUNCTION("""COMPUTED_VALUE"""),1.3017530300046793)</f>
        <v>1.30175303</v>
      </c>
      <c r="AL2396" s="82">
        <f>IFERROR(__xludf.DUMMYFUNCTION("""COMPUTED_VALUE"""),0.8261376998456084)</f>
        <v>0.8261376998</v>
      </c>
      <c r="AM2396" s="82">
        <f>IFERROR(__xludf.DUMMYFUNCTION("""COMPUTED_VALUE"""),1.3113518587215924)</f>
        <v>1.311351859</v>
      </c>
      <c r="AN2396" s="82">
        <f>IFERROR(__xludf.DUMMYFUNCTION("""COMPUTED_VALUE"""),1.018875945534601)</f>
        <v>1.018875946</v>
      </c>
      <c r="AO2396" s="82">
        <f>IFERROR(__xludf.DUMMYFUNCTION("""COMPUTED_VALUE"""),0.7692688442345638)</f>
        <v>0.7692688442</v>
      </c>
      <c r="AP2396" s="82">
        <f>IFERROR(__xludf.DUMMYFUNCTION("""COMPUTED_VALUE"""),1.2929371806699594)</f>
        <v>1.292937181</v>
      </c>
      <c r="AQ2396" s="82">
        <f>IFERROR(__xludf.DUMMYFUNCTION("""COMPUTED_VALUE"""),1.3203223343834276)</f>
        <v>1.320322334</v>
      </c>
      <c r="AR2396" s="82">
        <f>IFERROR(__xludf.DUMMYFUNCTION("""COMPUTED_VALUE"""),0.7642908876173807)</f>
        <v>0.7642908876</v>
      </c>
      <c r="AS2396" s="82">
        <f>IFERROR(__xludf.DUMMYFUNCTION("""COMPUTED_VALUE"""),30.0)</f>
        <v>30</v>
      </c>
      <c r="AT2396" s="82">
        <f>IFERROR(__xludf.DUMMYFUNCTION("""COMPUTED_VALUE"""),0.44958188361527557)</f>
        <v>0.4495818836</v>
      </c>
      <c r="AU2396" s="82">
        <f>IFERROR(__xludf.DUMMYFUNCTION("""COMPUTED_VALUE"""),2.320056492715819)</f>
        <v>2.320056493</v>
      </c>
      <c r="AV2396" s="82">
        <f>IFERROR(__xludf.DUMMYFUNCTION("""COMPUTED_VALUE"""),31.93738150325159)</f>
        <v>31.9373815</v>
      </c>
      <c r="AW2396" s="82">
        <f t="shared" si="1"/>
        <v>-4.255462094</v>
      </c>
      <c r="AX2396" s="83">
        <f t="array" ref="AX2396">IFERROR(DGET('SBV Import'!A:G,"SBV",{"RSC ID","Tier";B2396,A2396}))</f>
        <v>38.77017455</v>
      </c>
      <c r="AY2396" s="82">
        <f t="shared" si="2"/>
        <v>-3.061416186</v>
      </c>
      <c r="AZ2396" s="82">
        <v>1.1940459078318653</v>
      </c>
      <c r="BA2396" s="84">
        <v>2300.0</v>
      </c>
      <c r="BB2396" s="84" t="b">
        <f>IFERROR(__xludf.DUMMYFUNCTION("iferror(if(A2396="""",,E2396&gt;=FILTER(Constants!$F$2:$F$10,Constants!$A$2:$A$10=A2396)))"),TRUE)</f>
        <v>1</v>
      </c>
    </row>
    <row r="2397">
      <c r="A2397" s="89" t="str">
        <f>IFERROR(__xludf.DUMMYFUNCTION("""COMPUTED_VALUE"""),"Challenger")</f>
        <v>Challenger</v>
      </c>
      <c r="B2397" s="87" t="str">
        <f>IFERROR(__xludf.DUMMYFUNCTION("""COMPUTED_VALUE"""),"RSC003912")</f>
        <v>RSC003912</v>
      </c>
      <c r="C2397" s="73" t="str">
        <f>IFERROR(__xludf.DUMMYFUNCTION("""COMPUTED_VALUE"""),"ItsJustSticky.")</f>
        <v>ItsJustSticky.</v>
      </c>
      <c r="D2397" s="73" t="str">
        <f>IFERROR(__xludf.DUMMYFUNCTION("""COMPUTED_VALUE"""),"Pharaohs")</f>
        <v>Pharaohs</v>
      </c>
      <c r="E2397" s="82">
        <f>IFERROR(__xludf.DUMMYFUNCTION("""COMPUTED_VALUE"""),28.0)</f>
        <v>28</v>
      </c>
      <c r="F2397" s="82">
        <f>IFERROR(__xludf.DUMMYFUNCTION("""COMPUTED_VALUE"""),13.0)</f>
        <v>13</v>
      </c>
      <c r="G2397" s="86">
        <f>IFERROR(__xludf.DUMMYFUNCTION("""COMPUTED_VALUE"""),15.0)</f>
        <v>15</v>
      </c>
      <c r="H2397" s="86">
        <f>IFERROR(__xludf.DUMMYFUNCTION("""COMPUTED_VALUE"""),0.4642857142857143)</f>
        <v>0.4642857143</v>
      </c>
      <c r="I2397" s="86">
        <f>IFERROR(__xludf.DUMMYFUNCTION("""COMPUTED_VALUE"""),0.28260869565217395)</f>
        <v>0.2826086957</v>
      </c>
      <c r="J2397" s="82">
        <f>IFERROR(__xludf.DUMMYFUNCTION("""COMPUTED_VALUE"""),345.75)</f>
        <v>345.75</v>
      </c>
      <c r="K2397" s="82">
        <f>IFERROR(__xludf.DUMMYFUNCTION("""COMPUTED_VALUE"""),0.4642857142857143)</f>
        <v>0.4642857143</v>
      </c>
      <c r="L2397" s="82">
        <f>IFERROR(__xludf.DUMMYFUNCTION("""COMPUTED_VALUE"""),0.5357142857142857)</f>
        <v>0.5357142857</v>
      </c>
      <c r="M2397" s="82">
        <f>IFERROR(__xludf.DUMMYFUNCTION("""COMPUTED_VALUE"""),1.75)</f>
        <v>1.75</v>
      </c>
      <c r="N2397" s="82">
        <f>IFERROR(__xludf.DUMMYFUNCTION("""COMPUTED_VALUE"""),1.6428571428571428)</f>
        <v>1.642857143</v>
      </c>
      <c r="O2397" s="82">
        <f>IFERROR(__xludf.DUMMYFUNCTION("""COMPUTED_VALUE"""),341.84523809523813)</f>
        <v>341.8452381</v>
      </c>
      <c r="P2397" s="82">
        <f>IFERROR(__xludf.DUMMYFUNCTION("""COMPUTED_VALUE"""),0.7738095238095238)</f>
        <v>0.7738095238</v>
      </c>
      <c r="Q2397" s="82">
        <f>IFERROR(__xludf.DUMMYFUNCTION("""COMPUTED_VALUE"""),0.5595238095238094)</f>
        <v>0.5595238095</v>
      </c>
      <c r="R2397" s="82">
        <f>IFERROR(__xludf.DUMMYFUNCTION("""COMPUTED_VALUE"""),0.9999999999999999)</f>
        <v>1</v>
      </c>
      <c r="S2397" s="82">
        <f>IFERROR(__xludf.DUMMYFUNCTION("""COMPUTED_VALUE"""),3.0119047619047623)</f>
        <v>3.011904762</v>
      </c>
      <c r="T2397" s="82">
        <f>IFERROR(__xludf.DUMMYFUNCTION("""COMPUTED_VALUE"""),325.559534933359)</f>
        <v>325.5595349</v>
      </c>
      <c r="U2397" s="82">
        <f>IFERROR(__xludf.DUMMYFUNCTION("""COMPUTED_VALUE"""),0.708568999919084)</f>
        <v>0.7085689999</v>
      </c>
      <c r="V2397" s="82">
        <f>IFERROR(__xludf.DUMMYFUNCTION("""COMPUTED_VALUE"""),0.5145680474261353)</f>
        <v>0.5145680474</v>
      </c>
      <c r="W2397" s="82">
        <f>IFERROR(__xludf.DUMMYFUNCTION("""COMPUTED_VALUE"""),1.146881326701935)</f>
        <v>1.146881327</v>
      </c>
      <c r="X2397" s="82">
        <f>IFERROR(__xludf.DUMMYFUNCTION("""COMPUTED_VALUE"""),2.5588901440084184)</f>
        <v>2.558890144</v>
      </c>
      <c r="Y2397" s="82">
        <f>IFERROR(__xludf.DUMMYFUNCTION("""COMPUTED_VALUE"""),335.79030723955185)</f>
        <v>335.7903072</v>
      </c>
      <c r="Z2397" s="82">
        <f>IFERROR(__xludf.DUMMYFUNCTION("""COMPUTED_VALUE"""),0.7366737644449831)</f>
        <v>0.7366737644</v>
      </c>
      <c r="AA2397" s="82">
        <f>IFERROR(__xludf.DUMMYFUNCTION("""COMPUTED_VALUE"""),0.4954523773003797)</f>
        <v>0.4954523773</v>
      </c>
      <c r="AB2397" s="82">
        <f>IFERROR(__xludf.DUMMYFUNCTION("""COMPUTED_VALUE"""),1.323715734471662)</f>
        <v>1.323715734</v>
      </c>
      <c r="AC2397" s="82">
        <f>IFERROR(__xludf.DUMMYFUNCTION("""COMPUTED_VALUE"""),2.319306887563838)</f>
        <v>2.319306888</v>
      </c>
      <c r="AD2397" s="82">
        <f>IFERROR(__xludf.DUMMYFUNCTION("""COMPUTED_VALUE"""),1.0296604534011844)</f>
        <v>1.029660453</v>
      </c>
      <c r="AE2397" s="82">
        <f>IFERROR(__xludf.DUMMYFUNCTION("""COMPUTED_VALUE"""),0.6302460284241445)</f>
        <v>0.6302460284</v>
      </c>
      <c r="AF2397" s="82">
        <f>IFERROR(__xludf.DUMMYFUNCTION("""COMPUTED_VALUE"""),1.0812629230548554)</f>
        <v>1.081262923</v>
      </c>
      <c r="AG2397" s="82">
        <f>IFERROR(__xludf.DUMMYFUNCTION("""COMPUTED_VALUE"""),1.322036109738079)</f>
        <v>1.32203611</v>
      </c>
      <c r="AH2397" s="82">
        <f>IFERROR(__xludf.DUMMYFUNCTION("""COMPUTED_VALUE"""),0.7083396990998345)</f>
        <v>0.7083396991</v>
      </c>
      <c r="AI2397" s="82">
        <f>IFERROR(__xludf.DUMMYFUNCTION("""COMPUTED_VALUE"""),1.0500237327259139)</f>
        <v>1.050023733</v>
      </c>
      <c r="AJ2397" s="82">
        <f>IFERROR(__xludf.DUMMYFUNCTION("""COMPUTED_VALUE"""),1.0920736355921443)</f>
        <v>1.092073636</v>
      </c>
      <c r="AK2397" s="82">
        <f>IFERROR(__xludf.DUMMYFUNCTION("""COMPUTED_VALUE"""),1.0873660195625097)</f>
        <v>1.08736602</v>
      </c>
      <c r="AL2397" s="82">
        <f>IFERROR(__xludf.DUMMYFUNCTION("""COMPUTED_VALUE"""),0.8719297949297692)</f>
        <v>0.8719297949</v>
      </c>
      <c r="AM2397" s="82">
        <f>IFERROR(__xludf.DUMMYFUNCTION("""COMPUTED_VALUE"""),1.1770355866808377)</f>
        <v>1.177035587</v>
      </c>
      <c r="AN2397" s="82">
        <f>IFERROR(__xludf.DUMMYFUNCTION("""COMPUTED_VALUE"""),1.0518328683809552)</f>
        <v>1.051832868</v>
      </c>
      <c r="AO2397" s="82">
        <f>IFERROR(__xludf.DUMMYFUNCTION("""COMPUTED_VALUE"""),0.6122752025540406)</f>
        <v>0.6122752026</v>
      </c>
      <c r="AP2397" s="82">
        <f>IFERROR(__xludf.DUMMYFUNCTION("""COMPUTED_VALUE"""),1.0389673773240746)</f>
        <v>1.038967377</v>
      </c>
      <c r="AQ2397" s="82">
        <f>IFERROR(__xludf.DUMMYFUNCTION("""COMPUTED_VALUE"""),1.4593036327395779)</f>
        <v>1.459303633</v>
      </c>
      <c r="AR2397" s="82">
        <f>IFERROR(__xludf.DUMMYFUNCTION("""COMPUTED_VALUE"""),0.6848840421506399)</f>
        <v>0.6848840422</v>
      </c>
      <c r="AS2397" s="82">
        <f>IFERROR(__xludf.DUMMYFUNCTION("""COMPUTED_VALUE"""),55.0)</f>
        <v>55</v>
      </c>
      <c r="AT2397" s="82">
        <f>IFERROR(__xludf.DUMMYFUNCTION("""COMPUTED_VALUE"""),0.436923461640221)</f>
        <v>0.4369234616</v>
      </c>
      <c r="AU2397" s="82">
        <f>IFERROR(__xludf.DUMMYFUNCTION("""COMPUTED_VALUE"""),2.2263911655550643)</f>
        <v>2.226391166</v>
      </c>
      <c r="AV2397" s="82">
        <f>IFERROR(__xludf.DUMMYFUNCTION("""COMPUTED_VALUE"""),29.46066815533584)</f>
        <v>29.46066816</v>
      </c>
      <c r="AW2397" s="82">
        <f t="shared" si="1"/>
        <v>-4.862396544</v>
      </c>
      <c r="AX2397" s="83">
        <f t="array" ref="AX2397">IFERROR(DGET('SBV Import'!A:G,"SBV",{"RSC ID","Tier";B2397,A2397}))</f>
        <v>38.90303234</v>
      </c>
      <c r="AY2397" s="82">
        <f t="shared" si="2"/>
        <v>-3.04353651</v>
      </c>
      <c r="AZ2397" s="82">
        <v>1.8188600334842695</v>
      </c>
      <c r="BA2397" s="84">
        <v>2300.0</v>
      </c>
      <c r="BB2397" s="84" t="b">
        <f>IFERROR(__xludf.DUMMYFUNCTION("iferror(if(A2397="""",,E2397&gt;=FILTER(Constants!$F$2:$F$10,Constants!$A$2:$A$10=A2397)))"),TRUE)</f>
        <v>1</v>
      </c>
    </row>
    <row r="2398">
      <c r="A2398" s="89" t="str">
        <f>IFERROR(__xludf.DUMMYFUNCTION("""COMPUTED_VALUE"""),"Challenger")</f>
        <v>Challenger</v>
      </c>
      <c r="B2398" s="87" t="str">
        <f>IFERROR(__xludf.DUMMYFUNCTION("""COMPUTED_VALUE"""),"RSC002911")</f>
        <v>RSC002911</v>
      </c>
      <c r="C2398" s="73" t="str">
        <f>IFERROR(__xludf.DUMMYFUNCTION("""COMPUTED_VALUE"""),"Alextross")</f>
        <v>Alextross</v>
      </c>
      <c r="D2398" s="73" t="str">
        <f>IFERROR(__xludf.DUMMYFUNCTION("""COMPUTED_VALUE"""),"Meat Lovers")</f>
        <v>Meat Lovers</v>
      </c>
      <c r="E2398" s="82">
        <f>IFERROR(__xludf.DUMMYFUNCTION("""COMPUTED_VALUE"""),11.0)</f>
        <v>11</v>
      </c>
      <c r="F2398" s="82">
        <f>IFERROR(__xludf.DUMMYFUNCTION("""COMPUTED_VALUE"""),8.0)</f>
        <v>8</v>
      </c>
      <c r="G2398" s="86">
        <f>IFERROR(__xludf.DUMMYFUNCTION("""COMPUTED_VALUE"""),3.0)</f>
        <v>3</v>
      </c>
      <c r="H2398" s="86">
        <f>IFERROR(__xludf.DUMMYFUNCTION("""COMPUTED_VALUE"""),0.7272727272727273)</f>
        <v>0.7272727273</v>
      </c>
      <c r="I2398" s="86">
        <f>IFERROR(__xludf.DUMMYFUNCTION("""COMPUTED_VALUE"""),0.3)</f>
        <v>0.3</v>
      </c>
      <c r="J2398" s="82">
        <f>IFERROR(__xludf.DUMMYFUNCTION("""COMPUTED_VALUE"""),258.45454545454544)</f>
        <v>258.4545455</v>
      </c>
      <c r="K2398" s="82">
        <f>IFERROR(__xludf.DUMMYFUNCTION("""COMPUTED_VALUE"""),0.5454545454545454)</f>
        <v>0.5454545455</v>
      </c>
      <c r="L2398" s="82">
        <f>IFERROR(__xludf.DUMMYFUNCTION("""COMPUTED_VALUE"""),0.45454545454545453)</f>
        <v>0.4545454545</v>
      </c>
      <c r="M2398" s="82">
        <f>IFERROR(__xludf.DUMMYFUNCTION("""COMPUTED_VALUE"""),1.0)</f>
        <v>1</v>
      </c>
      <c r="N2398" s="82">
        <f>IFERROR(__xludf.DUMMYFUNCTION("""COMPUTED_VALUE"""),1.8181818181818181)</f>
        <v>1.818181818</v>
      </c>
      <c r="O2398" s="82">
        <f>IFERROR(__xludf.DUMMYFUNCTION("""COMPUTED_VALUE"""),316.0)</f>
        <v>316</v>
      </c>
      <c r="P2398" s="82">
        <f>IFERROR(__xludf.DUMMYFUNCTION("""COMPUTED_VALUE"""),0.6363636363636364)</f>
        <v>0.6363636364</v>
      </c>
      <c r="Q2398" s="82">
        <f>IFERROR(__xludf.DUMMYFUNCTION("""COMPUTED_VALUE"""),0.42424242424242425)</f>
        <v>0.4242424242</v>
      </c>
      <c r="R2398" s="82">
        <f>IFERROR(__xludf.DUMMYFUNCTION("""COMPUTED_VALUE"""),1.1212121212121213)</f>
        <v>1.121212121</v>
      </c>
      <c r="S2398" s="82">
        <f>IFERROR(__xludf.DUMMYFUNCTION("""COMPUTED_VALUE"""),2.272727272727273)</f>
        <v>2.272727273</v>
      </c>
      <c r="T2398" s="82">
        <f>IFERROR(__xludf.DUMMYFUNCTION("""COMPUTED_VALUE"""),340.1573756940761)</f>
        <v>340.1573757</v>
      </c>
      <c r="U2398" s="82">
        <f>IFERROR(__xludf.DUMMYFUNCTION("""COMPUTED_VALUE"""),0.783300390239551)</f>
        <v>0.7833003902</v>
      </c>
      <c r="V2398" s="82">
        <f>IFERROR(__xludf.DUMMYFUNCTION("""COMPUTED_VALUE"""),0.5222547578698221)</f>
        <v>0.5222547579</v>
      </c>
      <c r="W2398" s="82">
        <f>IFERROR(__xludf.DUMMYFUNCTION("""COMPUTED_VALUE"""),1.2729640349874956)</f>
        <v>1.272964035</v>
      </c>
      <c r="X2398" s="82">
        <f>IFERROR(__xludf.DUMMYFUNCTION("""COMPUTED_VALUE"""),2.3260151503076614)</f>
        <v>2.32601515</v>
      </c>
      <c r="Y2398" s="82">
        <f>IFERROR(__xludf.DUMMYFUNCTION("""COMPUTED_VALUE"""),337.27921046351025)</f>
        <v>337.2792105</v>
      </c>
      <c r="Z2398" s="82">
        <f>IFERROR(__xludf.DUMMYFUNCTION("""COMPUTED_VALUE"""),0.7588567543261291)</f>
        <v>0.7588567543</v>
      </c>
      <c r="AA2398" s="82">
        <f>IFERROR(__xludf.DUMMYFUNCTION("""COMPUTED_VALUE"""),0.5412015622275618)</f>
        <v>0.5412015622</v>
      </c>
      <c r="AB2398" s="82">
        <f>IFERROR(__xludf.DUMMYFUNCTION("""COMPUTED_VALUE"""),1.1451106782719624)</f>
        <v>1.145110678</v>
      </c>
      <c r="AC2398" s="82">
        <f>IFERROR(__xludf.DUMMYFUNCTION("""COMPUTED_VALUE"""),2.508339790423687)</f>
        <v>2.50833979</v>
      </c>
      <c r="AD2398" s="82">
        <f>IFERROR(__xludf.DUMMYFUNCTION("""COMPUTED_VALUE"""),0.7662925476472772)</f>
        <v>0.7662925476</v>
      </c>
      <c r="AE2398" s="82">
        <f>IFERROR(__xludf.DUMMYFUNCTION("""COMPUTED_VALUE"""),0.718784595834445)</f>
        <v>0.7187845958</v>
      </c>
      <c r="AF2398" s="82">
        <f>IFERROR(__xludf.DUMMYFUNCTION("""COMPUTED_VALUE"""),0.8398820074993233)</f>
        <v>0.8398820075</v>
      </c>
      <c r="AG2398" s="82">
        <f>IFERROR(__xludf.DUMMYFUNCTION("""COMPUTED_VALUE"""),0.87327803239863)</f>
        <v>0.8732780324</v>
      </c>
      <c r="AH2398" s="82">
        <f>IFERROR(__xludf.DUMMYFUNCTION("""COMPUTED_VALUE"""),0.7248546728490508)</f>
        <v>0.7248546728</v>
      </c>
      <c r="AI2398" s="82">
        <f>IFERROR(__xludf.DUMMYFUNCTION("""COMPUTED_VALUE"""),0.928981767204712)</f>
        <v>0.9289817672</v>
      </c>
      <c r="AJ2398" s="82">
        <f>IFERROR(__xludf.DUMMYFUNCTION("""COMPUTED_VALUE"""),0.8124132763026225)</f>
        <v>0.8124132763</v>
      </c>
      <c r="AK2398" s="82">
        <f>IFERROR(__xludf.DUMMYFUNCTION("""COMPUTED_VALUE"""),0.8123285003143456)</f>
        <v>0.8123285003</v>
      </c>
      <c r="AL2398" s="82">
        <f>IFERROR(__xludf.DUMMYFUNCTION("""COMPUTED_VALUE"""),0.8807885300727566)</f>
        <v>0.8807885301</v>
      </c>
      <c r="AM2398" s="82">
        <f>IFERROR(__xludf.DUMMYFUNCTION("""COMPUTED_VALUE"""),0.9770904856000873)</f>
        <v>0.9770904856</v>
      </c>
      <c r="AN2398" s="82">
        <f>IFERROR(__xludf.DUMMYFUNCTION("""COMPUTED_VALUE"""),0.7862646012770803)</f>
        <v>0.7862646013</v>
      </c>
      <c r="AO2398" s="82">
        <f>IFERROR(__xludf.DUMMYFUNCTION("""COMPUTED_VALUE"""),0.7193163218816699)</f>
        <v>0.7193163219</v>
      </c>
      <c r="AP2398" s="82">
        <f>IFERROR(__xludf.DUMMYFUNCTION("""COMPUTED_VALUE"""),0.8815480777295178)</f>
        <v>0.8815480777</v>
      </c>
      <c r="AQ2398" s="82">
        <f>IFERROR(__xludf.DUMMYFUNCTION("""COMPUTED_VALUE"""),0.8338877901369016)</f>
        <v>0.8338877901</v>
      </c>
      <c r="AR2398" s="82">
        <f>IFERROR(__xludf.DUMMYFUNCTION("""COMPUTED_VALUE"""),0.7579744340007082)</f>
        <v>0.757974434</v>
      </c>
      <c r="AS2398" s="82">
        <f>IFERROR(__xludf.DUMMYFUNCTION("""COMPUTED_VALUE"""),32.0)</f>
        <v>32</v>
      </c>
      <c r="AT2398" s="82">
        <f>IFERROR(__xludf.DUMMYFUNCTION("""COMPUTED_VALUE"""),0.6595835388946111)</f>
        <v>0.6595835389</v>
      </c>
      <c r="AU2398" s="82">
        <f>IFERROR(__xludf.DUMMYFUNCTION("""COMPUTED_VALUE"""),2.211297961770832)</f>
        <v>2.211297962</v>
      </c>
      <c r="AV2398" s="82">
        <f>IFERROR(__xludf.DUMMYFUNCTION("""COMPUTED_VALUE"""),29.06157128130193)</f>
        <v>29.06157128</v>
      </c>
      <c r="AW2398" s="82">
        <f t="shared" si="1"/>
        <v>-4.971529236</v>
      </c>
      <c r="AX2398" s="83">
        <f t="array" ref="AX2398">IFERROR(DGET('SBV Import'!A:G,"SBV",{"RSC ID","Tier";B2398,A2398}))</f>
        <v>18.884916</v>
      </c>
      <c r="AY2398" s="82">
        <f t="shared" si="2"/>
        <v>-9.377450531</v>
      </c>
      <c r="AZ2398" s="82">
        <v>4.405921294996504</v>
      </c>
      <c r="BA2398" s="84">
        <v>2300.0</v>
      </c>
      <c r="BB2398" s="84" t="b">
        <f>IFERROR(__xludf.DUMMYFUNCTION("iferror(if(A2398="""",,E2398&gt;=FILTER(Constants!$F$2:$F$10,Constants!$A$2:$A$10=A2398)))"),TRUE)</f>
        <v>1</v>
      </c>
    </row>
    <row r="2399">
      <c r="A2399" s="89" t="str">
        <f>IFERROR(__xludf.DUMMYFUNCTION("""COMPUTED_VALUE"""),"Challenger")</f>
        <v>Challenger</v>
      </c>
      <c r="B2399" s="87" t="str">
        <f>IFERROR(__xludf.DUMMYFUNCTION("""COMPUTED_VALUE"""),"RSC007911")</f>
        <v>RSC007911</v>
      </c>
      <c r="C2399" s="73" t="str">
        <f>IFERROR(__xludf.DUMMYFUNCTION("""COMPUTED_VALUE"""),"Redhood913011")</f>
        <v>Redhood913011</v>
      </c>
      <c r="D2399" s="73" t="str">
        <f>IFERROR(__xludf.DUMMYFUNCTION("""COMPUTED_VALUE"""),"Lions")</f>
        <v>Lions</v>
      </c>
      <c r="E2399" s="82">
        <f>IFERROR(__xludf.DUMMYFUNCTION("""COMPUTED_VALUE"""),6.0)</f>
        <v>6</v>
      </c>
      <c r="F2399" s="82">
        <f>IFERROR(__xludf.DUMMYFUNCTION("""COMPUTED_VALUE"""),1.0)</f>
        <v>1</v>
      </c>
      <c r="G2399" s="86">
        <f>IFERROR(__xludf.DUMMYFUNCTION("""COMPUTED_VALUE"""),5.0)</f>
        <v>5</v>
      </c>
      <c r="H2399" s="86">
        <f>IFERROR(__xludf.DUMMYFUNCTION("""COMPUTED_VALUE"""),0.16666666666666666)</f>
        <v>0.1666666667</v>
      </c>
      <c r="I2399" s="86">
        <f>IFERROR(__xludf.DUMMYFUNCTION("""COMPUTED_VALUE"""),0.23076923076923078)</f>
        <v>0.2307692308</v>
      </c>
      <c r="J2399" s="82">
        <f>IFERROR(__xludf.DUMMYFUNCTION("""COMPUTED_VALUE"""),270.1666666666667)</f>
        <v>270.1666667</v>
      </c>
      <c r="K2399" s="82">
        <f>IFERROR(__xludf.DUMMYFUNCTION("""COMPUTED_VALUE"""),0.5)</f>
        <v>0.5</v>
      </c>
      <c r="L2399" s="82">
        <f>IFERROR(__xludf.DUMMYFUNCTION("""COMPUTED_VALUE"""),0.5)</f>
        <v>0.5</v>
      </c>
      <c r="M2399" s="82">
        <f>IFERROR(__xludf.DUMMYFUNCTION("""COMPUTED_VALUE"""),0.8333333333333334)</f>
        <v>0.8333333333</v>
      </c>
      <c r="N2399" s="82">
        <f>IFERROR(__xludf.DUMMYFUNCTION("""COMPUTED_VALUE"""),2.1666666666666665)</f>
        <v>2.166666667</v>
      </c>
      <c r="O2399" s="82">
        <f>IFERROR(__xludf.DUMMYFUNCTION("""COMPUTED_VALUE"""),336.5)</f>
        <v>336.5</v>
      </c>
      <c r="P2399" s="82">
        <f>IFERROR(__xludf.DUMMYFUNCTION("""COMPUTED_VALUE"""),0.7777777777777777)</f>
        <v>0.7777777778</v>
      </c>
      <c r="Q2399" s="82">
        <f>IFERROR(__xludf.DUMMYFUNCTION("""COMPUTED_VALUE"""),0.6666666666666666)</f>
        <v>0.6666666667</v>
      </c>
      <c r="R2399" s="82">
        <f>IFERROR(__xludf.DUMMYFUNCTION("""COMPUTED_VALUE"""),1.277777777777778)</f>
        <v>1.277777778</v>
      </c>
      <c r="S2399" s="82">
        <f>IFERROR(__xludf.DUMMYFUNCTION("""COMPUTED_VALUE"""),2.6666666666666665)</f>
        <v>2.666666667</v>
      </c>
      <c r="T2399" s="82">
        <f>IFERROR(__xludf.DUMMYFUNCTION("""COMPUTED_VALUE"""),343.51565539945915)</f>
        <v>343.5156554</v>
      </c>
      <c r="U2399" s="82">
        <f>IFERROR(__xludf.DUMMYFUNCTION("""COMPUTED_VALUE"""),0.7849119903891407)</f>
        <v>0.7849119904</v>
      </c>
      <c r="V2399" s="82">
        <f>IFERROR(__xludf.DUMMYFUNCTION("""COMPUTED_VALUE"""),0.5218653484110473)</f>
        <v>0.5218653484</v>
      </c>
      <c r="W2399" s="82">
        <f>IFERROR(__xludf.DUMMYFUNCTION("""COMPUTED_VALUE"""),1.2760812564576003)</f>
        <v>1.276081256</v>
      </c>
      <c r="X2399" s="82">
        <f>IFERROR(__xludf.DUMMYFUNCTION("""COMPUTED_VALUE"""),2.6594475392190446)</f>
        <v>2.659447539</v>
      </c>
      <c r="Y2399" s="82">
        <f>IFERROR(__xludf.DUMMYFUNCTION("""COMPUTED_VALUE"""),349.68713833375574)</f>
        <v>349.6871383</v>
      </c>
      <c r="Z2399" s="82">
        <f>IFERROR(__xludf.DUMMYFUNCTION("""COMPUTED_VALUE"""),0.7619464159562725)</f>
        <v>0.761946416</v>
      </c>
      <c r="AA2399" s="82">
        <f>IFERROR(__xludf.DUMMYFUNCTION("""COMPUTED_VALUE"""),0.5207731262166746)</f>
        <v>0.5207731262</v>
      </c>
      <c r="AB2399" s="82">
        <f>IFERROR(__xludf.DUMMYFUNCTION("""COMPUTED_VALUE"""),1.3745902179593934)</f>
        <v>1.374590218</v>
      </c>
      <c r="AC2399" s="82">
        <f>IFERROR(__xludf.DUMMYFUNCTION("""COMPUTED_VALUE"""),2.534480938300383)</f>
        <v>2.534480938</v>
      </c>
      <c r="AD2399" s="82">
        <f>IFERROR(__xludf.DUMMYFUNCTION("""COMPUTED_VALUE"""),0.7725953775537736)</f>
        <v>0.7725953776</v>
      </c>
      <c r="AE2399" s="82">
        <f>IFERROR(__xludf.DUMMYFUNCTION("""COMPUTED_VALUE"""),0.6562141241552799)</f>
        <v>0.6562141242</v>
      </c>
      <c r="AF2399" s="82">
        <f>IFERROR(__xludf.DUMMYFUNCTION("""COMPUTED_VALUE"""),0.9601109865872156)</f>
        <v>0.9601109866</v>
      </c>
      <c r="AG2399" s="82">
        <f>IFERROR(__xludf.DUMMYFUNCTION("""COMPUTED_VALUE"""),0.6062412800888641)</f>
        <v>0.6062412801</v>
      </c>
      <c r="AH2399" s="82">
        <f>IFERROR(__xludf.DUMMYFUNCTION("""COMPUTED_VALUE"""),0.8548758974370618)</f>
        <v>0.8548758974</v>
      </c>
      <c r="AI2399" s="82">
        <f>IFERROR(__xludf.DUMMYFUNCTION("""COMPUTED_VALUE"""),0.9795768976196996)</f>
        <v>0.9795768976</v>
      </c>
      <c r="AJ2399" s="82">
        <f>IFERROR(__xludf.DUMMYFUNCTION("""COMPUTED_VALUE"""),0.9909108120417092)</f>
        <v>0.990910812</v>
      </c>
      <c r="AK2399" s="82">
        <f>IFERROR(__xludf.DUMMYFUNCTION("""COMPUTED_VALUE"""),1.2774687353672822)</f>
        <v>1.277468735</v>
      </c>
      <c r="AL2399" s="82">
        <f>IFERROR(__xludf.DUMMYFUNCTION("""COMPUTED_VALUE"""),1.0013294775012112)</f>
        <v>1.001329478</v>
      </c>
      <c r="AM2399" s="82">
        <f>IFERROR(__xludf.DUMMYFUNCTION("""COMPUTED_VALUE"""),1.0027145214715316)</f>
        <v>1.002714521</v>
      </c>
      <c r="AN2399" s="82">
        <f>IFERROR(__xludf.DUMMYFUNCTION("""COMPUTED_VALUE"""),0.8218949528298524)</f>
        <v>0.8218949528</v>
      </c>
      <c r="AO2399" s="82">
        <f>IFERROR(__xludf.DUMMYFUNCTION("""COMPUTED_VALUE"""),0.6593732950581975)</f>
        <v>0.6593732951</v>
      </c>
      <c r="AP2399" s="82">
        <f>IFERROR(__xludf.DUMMYFUNCTION("""COMPUTED_VALUE"""),0.9697028855024696)</f>
        <v>0.9697028855</v>
      </c>
      <c r="AQ2399" s="82">
        <f>IFERROR(__xludf.DUMMYFUNCTION("""COMPUTED_VALUE"""),0.6949064917807514)</f>
        <v>0.6949064918</v>
      </c>
      <c r="AR2399" s="82">
        <f>IFERROR(__xludf.DUMMYFUNCTION("""COMPUTED_VALUE"""),0.9032528671841772)</f>
        <v>0.9032528672</v>
      </c>
      <c r="AS2399" s="82">
        <f>IFERROR(__xludf.DUMMYFUNCTION("""COMPUTED_VALUE"""),9.0)</f>
        <v>9</v>
      </c>
      <c r="AT2399" s="82">
        <f>IFERROR(__xludf.DUMMYFUNCTION("""COMPUTED_VALUE"""),0.34304651772487854)</f>
        <v>0.3430465177</v>
      </c>
      <c r="AU2399" s="82">
        <f>IFERROR(__xludf.DUMMYFUNCTION("""COMPUTED_VALUE"""),2.190992440764605)</f>
        <v>2.190992441</v>
      </c>
      <c r="AV2399" s="82">
        <f>IFERROR(__xludf.DUMMYFUNCTION("""COMPUTED_VALUE"""),28.524649493518133)</f>
        <v>28.52464949</v>
      </c>
      <c r="AW2399" s="82">
        <f t="shared" si="1"/>
        <v>-5.123833041</v>
      </c>
      <c r="AX2399" s="83">
        <f t="array" ref="AX2399">IFERROR(DGET('SBV Import'!A:G,"SBV",{"RSC ID","Tier";B2399,A2399}))</f>
        <v>28.17338704</v>
      </c>
      <c r="AY2399" s="82">
        <f t="shared" si="2"/>
        <v>-5.227010201</v>
      </c>
      <c r="AZ2399" s="82">
        <v>0.10317715999015853</v>
      </c>
      <c r="BA2399" s="84">
        <v>2300.0</v>
      </c>
      <c r="BB2399" s="84" t="b">
        <f>IFERROR(__xludf.DUMMYFUNCTION("iferror(if(A2399="""",,E2399&gt;=FILTER(Constants!$F$2:$F$10,Constants!$A$2:$A$10=A2399)))"),TRUE)</f>
        <v>1</v>
      </c>
    </row>
    <row r="2400">
      <c r="A2400" s="89" t="str">
        <f>IFERROR(__xludf.DUMMYFUNCTION("""COMPUTED_VALUE"""),"Challenger")</f>
        <v>Challenger</v>
      </c>
      <c r="B2400" s="87" t="str">
        <f>IFERROR(__xludf.DUMMYFUNCTION("""COMPUTED_VALUE"""),"RSC007525")</f>
        <v>RSC007525</v>
      </c>
      <c r="C2400" s="73" t="str">
        <f>IFERROR(__xludf.DUMMYFUNCTION("""COMPUTED_VALUE"""),"BulletNote")</f>
        <v>BulletNote</v>
      </c>
      <c r="D2400" s="73" t="str">
        <f>IFERROR(__xludf.DUMMYFUNCTION("""COMPUTED_VALUE"""),"Quarter")</f>
        <v>Quarter</v>
      </c>
      <c r="E2400" s="82">
        <f>IFERROR(__xludf.DUMMYFUNCTION("""COMPUTED_VALUE"""),20.0)</f>
        <v>20</v>
      </c>
      <c r="F2400" s="82">
        <f>IFERROR(__xludf.DUMMYFUNCTION("""COMPUTED_VALUE"""),4.0)</f>
        <v>4</v>
      </c>
      <c r="G2400" s="86">
        <f>IFERROR(__xludf.DUMMYFUNCTION("""COMPUTED_VALUE"""),16.0)</f>
        <v>16</v>
      </c>
      <c r="H2400" s="86">
        <f>IFERROR(__xludf.DUMMYFUNCTION("""COMPUTED_VALUE"""),0.2)</f>
        <v>0.2</v>
      </c>
      <c r="I2400" s="86">
        <f>IFERROR(__xludf.DUMMYFUNCTION("""COMPUTED_VALUE"""),0.2727272727272727)</f>
        <v>0.2727272727</v>
      </c>
      <c r="J2400" s="82">
        <f>IFERROR(__xludf.DUMMYFUNCTION("""COMPUTED_VALUE"""),316.95)</f>
        <v>316.95</v>
      </c>
      <c r="K2400" s="82">
        <f>IFERROR(__xludf.DUMMYFUNCTION("""COMPUTED_VALUE"""),0.3)</f>
        <v>0.3</v>
      </c>
      <c r="L2400" s="82">
        <f>IFERROR(__xludf.DUMMYFUNCTION("""COMPUTED_VALUE"""),0.8)</f>
        <v>0.8</v>
      </c>
      <c r="M2400" s="82">
        <f>IFERROR(__xludf.DUMMYFUNCTION("""COMPUTED_VALUE"""),1.65)</f>
        <v>1.65</v>
      </c>
      <c r="N2400" s="82">
        <f>IFERROR(__xludf.DUMMYFUNCTION("""COMPUTED_VALUE"""),1.1)</f>
        <v>1.1</v>
      </c>
      <c r="O2400" s="82">
        <f>IFERROR(__xludf.DUMMYFUNCTION("""COMPUTED_VALUE"""),337.6666666666667)</f>
        <v>337.6666667</v>
      </c>
      <c r="P2400" s="82">
        <f>IFERROR(__xludf.DUMMYFUNCTION("""COMPUTED_VALUE"""),0.9833333333333332)</f>
        <v>0.9833333333</v>
      </c>
      <c r="Q2400" s="82">
        <f>IFERROR(__xludf.DUMMYFUNCTION("""COMPUTED_VALUE"""),0.6166666666666667)</f>
        <v>0.6166666667</v>
      </c>
      <c r="R2400" s="82">
        <f>IFERROR(__xludf.DUMMYFUNCTION("""COMPUTED_VALUE"""),0.8666666666666665)</f>
        <v>0.8666666667</v>
      </c>
      <c r="S2400" s="82">
        <f>IFERROR(__xludf.DUMMYFUNCTION("""COMPUTED_VALUE"""),3.1000000000000005)</f>
        <v>3.1</v>
      </c>
      <c r="T2400" s="82">
        <f>IFERROR(__xludf.DUMMYFUNCTION("""COMPUTED_VALUE"""),328.13136686913197)</f>
        <v>328.1313669</v>
      </c>
      <c r="U2400" s="82">
        <f>IFERROR(__xludf.DUMMYFUNCTION("""COMPUTED_VALUE"""),0.7842008970168987)</f>
        <v>0.784200897</v>
      </c>
      <c r="V2400" s="82">
        <f>IFERROR(__xludf.DUMMYFUNCTION("""COMPUTED_VALUE"""),0.5730212186339095)</f>
        <v>0.5730212186</v>
      </c>
      <c r="W2400" s="82">
        <f>IFERROR(__xludf.DUMMYFUNCTION("""COMPUTED_VALUE"""),1.0687408008658006)</f>
        <v>1.068740801</v>
      </c>
      <c r="X2400" s="82">
        <f>IFERROR(__xludf.DUMMYFUNCTION("""COMPUTED_VALUE"""),2.5422498760750027)</f>
        <v>2.542249876</v>
      </c>
      <c r="Y2400" s="82">
        <f>IFERROR(__xludf.DUMMYFUNCTION("""COMPUTED_VALUE"""),314.6992692208622)</f>
        <v>314.6992692</v>
      </c>
      <c r="Z2400" s="82">
        <f>IFERROR(__xludf.DUMMYFUNCTION("""COMPUTED_VALUE"""),0.654639278970207)</f>
        <v>0.654639279</v>
      </c>
      <c r="AA2400" s="82">
        <f>IFERROR(__xludf.DUMMYFUNCTION("""COMPUTED_VALUE"""),0.454165673599389)</f>
        <v>0.4541656736</v>
      </c>
      <c r="AB2400" s="82">
        <f>IFERROR(__xludf.DUMMYFUNCTION("""COMPUTED_VALUE"""),1.273551839677123)</f>
        <v>1.27355184</v>
      </c>
      <c r="AC2400" s="82">
        <f>IFERROR(__xludf.DUMMYFUNCTION("""COMPUTED_VALUE"""),2.1122175533598844)</f>
        <v>2.112217553</v>
      </c>
      <c r="AD2400" s="82">
        <f>IFERROR(__xludf.DUMMYFUNCTION("""COMPUTED_VALUE"""),1.0071520051022367)</f>
        <v>1.007152005</v>
      </c>
      <c r="AE2400" s="82">
        <f>IFERROR(__xludf.DUMMYFUNCTION("""COMPUTED_VALUE"""),0.45826764393349695)</f>
        <v>0.4582676439</v>
      </c>
      <c r="AF2400" s="82">
        <f>IFERROR(__xludf.DUMMYFUNCTION("""COMPUTED_VALUE"""),1.7614717414897918)</f>
        <v>1.761471741</v>
      </c>
      <c r="AG2400" s="82">
        <f>IFERROR(__xludf.DUMMYFUNCTION("""COMPUTED_VALUE"""),1.2955891928343615)</f>
        <v>1.295589193</v>
      </c>
      <c r="AH2400" s="82">
        <f>IFERROR(__xludf.DUMMYFUNCTION("""COMPUTED_VALUE"""),0.52077968874477)</f>
        <v>0.5207796887</v>
      </c>
      <c r="AI2400" s="82">
        <f>IFERROR(__xludf.DUMMYFUNCTION("""COMPUTED_VALUE"""),1.029059397425232)</f>
        <v>1.029059397</v>
      </c>
      <c r="AJ2400" s="82">
        <f>IFERROR(__xludf.DUMMYFUNCTION("""COMPUTED_VALUE"""),1.2539303857900885)</f>
        <v>1.253930386</v>
      </c>
      <c r="AK2400" s="82">
        <f>IFERROR(__xludf.DUMMYFUNCTION("""COMPUTED_VALUE"""),1.0761672458426732)</f>
        <v>1.076167246</v>
      </c>
      <c r="AL2400" s="82">
        <f>IFERROR(__xludf.DUMMYFUNCTION("""COMPUTED_VALUE"""),0.8109231592586048)</f>
        <v>0.8109231593</v>
      </c>
      <c r="AM2400" s="82">
        <f>IFERROR(__xludf.DUMMYFUNCTION("""COMPUTED_VALUE"""),1.2193923300671419)</f>
        <v>1.21939233</v>
      </c>
      <c r="AN2400" s="82">
        <f>IFERROR(__xludf.DUMMYFUNCTION("""COMPUTED_VALUE"""),0.9642181565678779)</f>
        <v>0.9642181566</v>
      </c>
      <c r="AO2400" s="82">
        <f>IFERROR(__xludf.DUMMYFUNCTION("""COMPUTED_VALUE"""),0.3956239770349185)</f>
        <v>0.395623977</v>
      </c>
      <c r="AP2400" s="82">
        <f>IFERROR(__xludf.DUMMYFUNCTION("""COMPUTED_VALUE"""),1.5515246168039514)</f>
        <v>1.551524617</v>
      </c>
      <c r="AQ2400" s="82">
        <f>IFERROR(__xludf.DUMMYFUNCTION("""COMPUTED_VALUE"""),1.3759148537258876)</f>
        <v>1.375914854</v>
      </c>
      <c r="AR2400" s="82">
        <f>IFERROR(__xludf.DUMMYFUNCTION("""COMPUTED_VALUE"""),0.4585745325704285)</f>
        <v>0.4585745326</v>
      </c>
      <c r="AS2400" s="82">
        <f>IFERROR(__xludf.DUMMYFUNCTION("""COMPUTED_VALUE"""),33.0)</f>
        <v>33</v>
      </c>
      <c r="AT2400" s="82">
        <f>IFERROR(__xludf.DUMMYFUNCTION("""COMPUTED_VALUE"""),0.288979174965501)</f>
        <v>0.288979175</v>
      </c>
      <c r="AU2400" s="82">
        <f>IFERROR(__xludf.DUMMYFUNCTION("""COMPUTED_VALUE"""),2.13009483486863)</f>
        <v>2.130094835</v>
      </c>
      <c r="AV2400" s="82">
        <f>IFERROR(__xludf.DUMMYFUNCTION("""COMPUTED_VALUE"""),26.914385397394106)</f>
        <v>26.9143854</v>
      </c>
      <c r="AW2400" s="82">
        <f t="shared" si="1"/>
        <v>-5.621356894</v>
      </c>
      <c r="AX2400" s="83">
        <f t="array" ref="AX2400">IFERROR(DGET('SBV Import'!A:G,"SBV",{"RSC ID","Tier";B2400,A2400}))</f>
        <v>37.55853593</v>
      </c>
      <c r="AY2400" s="82">
        <f t="shared" si="2"/>
        <v>-3.232455304</v>
      </c>
      <c r="AZ2400" s="82">
        <v>2.388901589607716</v>
      </c>
      <c r="BA2400" s="84">
        <v>2300.0</v>
      </c>
      <c r="BB2400" s="84" t="b">
        <f>IFERROR(__xludf.DUMMYFUNCTION("iferror(if(A2400="""",,E2400&gt;=FILTER(Constants!$F$2:$F$10,Constants!$A$2:$A$10=A2400)))"),TRUE)</f>
        <v>1</v>
      </c>
    </row>
    <row r="2401">
      <c r="A2401" s="89" t="str">
        <f>IFERROR(__xludf.DUMMYFUNCTION("""COMPUTED_VALUE"""),"Challenger")</f>
        <v>Challenger</v>
      </c>
      <c r="B2401" s="87" t="str">
        <f>IFERROR(__xludf.DUMMYFUNCTION("""COMPUTED_VALUE"""),"RSC003331")</f>
        <v>RSC003331</v>
      </c>
      <c r="C2401" s="73" t="str">
        <f>IFERROR(__xludf.DUMMYFUNCTION("""COMPUTED_VALUE"""),"Frostii")</f>
        <v>Frostii</v>
      </c>
      <c r="D2401" s="73" t="str">
        <f>IFERROR(__xludf.DUMMYFUNCTION("""COMPUTED_VALUE"""),"Spearmint")</f>
        <v>Spearmint</v>
      </c>
      <c r="E2401" s="82">
        <f>IFERROR(__xludf.DUMMYFUNCTION("""COMPUTED_VALUE"""),22.0)</f>
        <v>22</v>
      </c>
      <c r="F2401" s="82">
        <f>IFERROR(__xludf.DUMMYFUNCTION("""COMPUTED_VALUE"""),7.0)</f>
        <v>7</v>
      </c>
      <c r="G2401" s="86">
        <f>IFERROR(__xludf.DUMMYFUNCTION("""COMPUTED_VALUE"""),15.0)</f>
        <v>15</v>
      </c>
      <c r="H2401" s="86">
        <f>IFERROR(__xludf.DUMMYFUNCTION("""COMPUTED_VALUE"""),0.3181818181818182)</f>
        <v>0.3181818182</v>
      </c>
      <c r="I2401" s="86">
        <f>IFERROR(__xludf.DUMMYFUNCTION("""COMPUTED_VALUE"""),0.2978723404255319)</f>
        <v>0.2978723404</v>
      </c>
      <c r="J2401" s="82">
        <f>IFERROR(__xludf.DUMMYFUNCTION("""COMPUTED_VALUE"""),292.1363636363636)</f>
        <v>292.1363636</v>
      </c>
      <c r="K2401" s="82">
        <f>IFERROR(__xludf.DUMMYFUNCTION("""COMPUTED_VALUE"""),0.6363636363636364)</f>
        <v>0.6363636364</v>
      </c>
      <c r="L2401" s="82">
        <f>IFERROR(__xludf.DUMMYFUNCTION("""COMPUTED_VALUE"""),0.4090909090909091)</f>
        <v>0.4090909091</v>
      </c>
      <c r="M2401" s="82">
        <f>IFERROR(__xludf.DUMMYFUNCTION("""COMPUTED_VALUE"""),0.8181818181818182)</f>
        <v>0.8181818182</v>
      </c>
      <c r="N2401" s="82">
        <f>IFERROR(__xludf.DUMMYFUNCTION("""COMPUTED_VALUE"""),2.1363636363636362)</f>
        <v>2.136363636</v>
      </c>
      <c r="O2401" s="82">
        <f>IFERROR(__xludf.DUMMYFUNCTION("""COMPUTED_VALUE"""),347.28787878787875)</f>
        <v>347.2878788</v>
      </c>
      <c r="P2401" s="82">
        <f>IFERROR(__xludf.DUMMYFUNCTION("""COMPUTED_VALUE"""),0.9848484848484848)</f>
        <v>0.9848484848</v>
      </c>
      <c r="Q2401" s="82">
        <f>IFERROR(__xludf.DUMMYFUNCTION("""COMPUTED_VALUE"""),0.606060606060606)</f>
        <v>0.6060606061</v>
      </c>
      <c r="R2401" s="82">
        <f>IFERROR(__xludf.DUMMYFUNCTION("""COMPUTED_VALUE"""),1.0)</f>
        <v>1</v>
      </c>
      <c r="S2401" s="82">
        <f>IFERROR(__xludf.DUMMYFUNCTION("""COMPUTED_VALUE"""),2.5303030303030303)</f>
        <v>2.53030303</v>
      </c>
      <c r="T2401" s="82">
        <f>IFERROR(__xludf.DUMMYFUNCTION("""COMPUTED_VALUE"""),335.4964786577029)</f>
        <v>335.4964787</v>
      </c>
      <c r="U2401" s="82">
        <f>IFERROR(__xludf.DUMMYFUNCTION("""COMPUTED_VALUE"""),0.726858431064008)</f>
        <v>0.7268584311</v>
      </c>
      <c r="V2401" s="82">
        <f>IFERROR(__xludf.DUMMYFUNCTION("""COMPUTED_VALUE"""),0.48351518781315855)</f>
        <v>0.4835151878</v>
      </c>
      <c r="W2401" s="82">
        <f>IFERROR(__xludf.DUMMYFUNCTION("""COMPUTED_VALUE"""),1.3129637965473642)</f>
        <v>1.312963797</v>
      </c>
      <c r="X2401" s="82">
        <f>IFERROR(__xludf.DUMMYFUNCTION("""COMPUTED_VALUE"""),2.3353223403726617)</f>
        <v>2.33532234</v>
      </c>
      <c r="Y2401" s="82">
        <f>IFERROR(__xludf.DUMMYFUNCTION("""COMPUTED_VALUE"""),338.0017712387564)</f>
        <v>338.0017712</v>
      </c>
      <c r="Z2401" s="82">
        <f>IFERROR(__xludf.DUMMYFUNCTION("""COMPUTED_VALUE"""),0.7806279016975822)</f>
        <v>0.7806279017</v>
      </c>
      <c r="AA2401" s="82">
        <f>IFERROR(__xludf.DUMMYFUNCTION("""COMPUTED_VALUE"""),0.5312310821489729)</f>
        <v>0.5312310821</v>
      </c>
      <c r="AB2401" s="82">
        <f>IFERROR(__xludf.DUMMYFUNCTION("""COMPUTED_VALUE"""),1.1671255025728982)</f>
        <v>1.167125503</v>
      </c>
      <c r="AC2401" s="82">
        <f>IFERROR(__xludf.DUMMYFUNCTION("""COMPUTED_VALUE"""),2.5242271124375284)</f>
        <v>2.524227112</v>
      </c>
      <c r="AD2401" s="82">
        <f>IFERROR(__xludf.DUMMYFUNCTION("""COMPUTED_VALUE"""),0.8643042388970366)</f>
        <v>0.8643042389</v>
      </c>
      <c r="AE2401" s="82">
        <f>IFERROR(__xludf.DUMMYFUNCTION("""COMPUTED_VALUE"""),0.8151945824377742)</f>
        <v>0.8151945824</v>
      </c>
      <c r="AF2401" s="82">
        <f>IFERROR(__xludf.DUMMYFUNCTION("""COMPUTED_VALUE"""),0.7700808985724746)</f>
        <v>0.7700808986</v>
      </c>
      <c r="AG2401" s="82">
        <f>IFERROR(__xludf.DUMMYFUNCTION("""COMPUTED_VALUE"""),0.7010229974224343)</f>
        <v>0.7010229974</v>
      </c>
      <c r="AH2401" s="82">
        <f>IFERROR(__xludf.DUMMYFUNCTION("""COMPUTED_VALUE"""),0.8463436692511592)</f>
        <v>0.8463436693</v>
      </c>
      <c r="AI2401" s="82">
        <f>IFERROR(__xludf.DUMMYFUNCTION("""COMPUTED_VALUE"""),1.0351461218828657)</f>
        <v>1.035146122</v>
      </c>
      <c r="AJ2401" s="82">
        <f>IFERROR(__xludf.DUMMYFUNCTION("""COMPUTED_VALUE"""),1.3549385172664494)</f>
        <v>1.354938517</v>
      </c>
      <c r="AK2401" s="82">
        <f>IFERROR(__xludf.DUMMYFUNCTION("""COMPUTED_VALUE"""),1.2534468850951623)</f>
        <v>1.253446885</v>
      </c>
      <c r="AL2401" s="82">
        <f>IFERROR(__xludf.DUMMYFUNCTION("""COMPUTED_VALUE"""),0.7616356236399285)</f>
        <v>0.7616356236</v>
      </c>
      <c r="AM2401" s="82">
        <f>IFERROR(__xludf.DUMMYFUNCTION("""COMPUTED_VALUE"""),1.0834919816247954)</f>
        <v>1.083491982</v>
      </c>
      <c r="AN2401" s="82">
        <f>IFERROR(__xludf.DUMMYFUNCTION("""COMPUTED_VALUE"""),0.8887306704902912)</f>
        <v>0.8887306705</v>
      </c>
      <c r="AO2401" s="82">
        <f>IFERROR(__xludf.DUMMYFUNCTION("""COMPUTED_VALUE"""),0.839202375528615)</f>
        <v>0.8392023755</v>
      </c>
      <c r="AP2401" s="82">
        <f>IFERROR(__xludf.DUMMYFUNCTION("""COMPUTED_VALUE"""),0.7933932699565661)</f>
        <v>0.79339327</v>
      </c>
      <c r="AQ2401" s="82">
        <f>IFERROR(__xludf.DUMMYFUNCTION("""COMPUTED_VALUE"""),0.6822718282938286)</f>
        <v>0.6822718283</v>
      </c>
      <c r="AR2401" s="82">
        <f>IFERROR(__xludf.DUMMYFUNCTION("""COMPUTED_VALUE"""),0.8906199599508321)</f>
        <v>0.89061996</v>
      </c>
      <c r="AS2401" s="82">
        <f>IFERROR(__xludf.DUMMYFUNCTION("""COMPUTED_VALUE"""),45.0)</f>
        <v>45</v>
      </c>
      <c r="AT2401" s="82">
        <f>IFERROR(__xludf.DUMMYFUNCTION("""COMPUTED_VALUE"""),0.35810094679624704)</f>
        <v>0.3581009468</v>
      </c>
      <c r="AU2401" s="82">
        <f>IFERROR(__xludf.DUMMYFUNCTION("""COMPUTED_VALUE"""),2.1294048582158247)</f>
        <v>2.129404858</v>
      </c>
      <c r="AV2401" s="82">
        <f>IFERROR(__xludf.DUMMYFUNCTION("""COMPUTED_VALUE"""),26.896140925959973)</f>
        <v>26.89614093</v>
      </c>
      <c r="AW2401" s="82">
        <f t="shared" si="1"/>
        <v>-5.627367761</v>
      </c>
      <c r="AX2401" s="83">
        <f t="array" ref="AX2401">IFERROR(DGET('SBV Import'!A:G,"SBV",{"RSC ID","Tier";B2401,A2401}))</f>
        <v>43.15394978</v>
      </c>
      <c r="AY2401" s="82">
        <f t="shared" si="2"/>
        <v>-2.550350165</v>
      </c>
      <c r="AZ2401" s="82">
        <v>3.0770175968394096</v>
      </c>
      <c r="BA2401" s="84">
        <v>2300.0</v>
      </c>
      <c r="BB2401" s="84" t="b">
        <f>IFERROR(__xludf.DUMMYFUNCTION("iferror(if(A2401="""",,E2401&gt;=FILTER(Constants!$F$2:$F$10,Constants!$A$2:$A$10=A2401)))"),TRUE)</f>
        <v>1</v>
      </c>
    </row>
    <row r="2402">
      <c r="A2402" s="89" t="str">
        <f>IFERROR(__xludf.DUMMYFUNCTION("""COMPUTED_VALUE"""),"Challenger")</f>
        <v>Challenger</v>
      </c>
      <c r="B2402" s="87" t="str">
        <f>IFERROR(__xludf.DUMMYFUNCTION("""COMPUTED_VALUE"""),"RSC007370")</f>
        <v>RSC007370</v>
      </c>
      <c r="C2402" s="73" t="str">
        <f>IFERROR(__xludf.DUMMYFUNCTION("""COMPUTED_VALUE"""),"Jarrod81535")</f>
        <v>Jarrod81535</v>
      </c>
      <c r="D2402" s="73" t="str">
        <f>IFERROR(__xludf.DUMMYFUNCTION("""COMPUTED_VALUE"""),"Trippy Hippies")</f>
        <v>Trippy Hippies</v>
      </c>
      <c r="E2402" s="82">
        <f>IFERROR(__xludf.DUMMYFUNCTION("""COMPUTED_VALUE"""),32.0)</f>
        <v>32</v>
      </c>
      <c r="F2402" s="82">
        <f>IFERROR(__xludf.DUMMYFUNCTION("""COMPUTED_VALUE"""),14.0)</f>
        <v>14</v>
      </c>
      <c r="G2402" s="86">
        <f>IFERROR(__xludf.DUMMYFUNCTION("""COMPUTED_VALUE"""),18.0)</f>
        <v>18</v>
      </c>
      <c r="H2402" s="86">
        <f>IFERROR(__xludf.DUMMYFUNCTION("""COMPUTED_VALUE"""),0.4375)</f>
        <v>0.4375</v>
      </c>
      <c r="I2402" s="86">
        <f>IFERROR(__xludf.DUMMYFUNCTION("""COMPUTED_VALUE"""),0.2537313432835821)</f>
        <v>0.2537313433</v>
      </c>
      <c r="J2402" s="82">
        <f>IFERROR(__xludf.DUMMYFUNCTION("""COMPUTED_VALUE"""),280.1875)</f>
        <v>280.1875</v>
      </c>
      <c r="K2402" s="82">
        <f>IFERROR(__xludf.DUMMYFUNCTION("""COMPUTED_VALUE"""),0.53125)</f>
        <v>0.53125</v>
      </c>
      <c r="L2402" s="82">
        <f>IFERROR(__xludf.DUMMYFUNCTION("""COMPUTED_VALUE"""),0.40625)</f>
        <v>0.40625</v>
      </c>
      <c r="M2402" s="82">
        <f>IFERROR(__xludf.DUMMYFUNCTION("""COMPUTED_VALUE"""),1.1875)</f>
        <v>1.1875</v>
      </c>
      <c r="N2402" s="82">
        <f>IFERROR(__xludf.DUMMYFUNCTION("""COMPUTED_VALUE"""),2.09375)</f>
        <v>2.09375</v>
      </c>
      <c r="O2402" s="82">
        <f>IFERROR(__xludf.DUMMYFUNCTION("""COMPUTED_VALUE"""),323.25)</f>
        <v>323.25</v>
      </c>
      <c r="P2402" s="82">
        <f>IFERROR(__xludf.DUMMYFUNCTION("""COMPUTED_VALUE"""),0.7812500000000001)</f>
        <v>0.78125</v>
      </c>
      <c r="Q2402" s="82">
        <f>IFERROR(__xludf.DUMMYFUNCTION("""COMPUTED_VALUE"""),0.53125)</f>
        <v>0.53125</v>
      </c>
      <c r="R2402" s="82">
        <f>IFERROR(__xludf.DUMMYFUNCTION("""COMPUTED_VALUE"""),1.208333333333333)</f>
        <v>1.208333333</v>
      </c>
      <c r="S2402" s="82">
        <f>IFERROR(__xludf.DUMMYFUNCTION("""COMPUTED_VALUE"""),2.385416666666667)</f>
        <v>2.385416667</v>
      </c>
      <c r="T2402" s="82">
        <f>IFERROR(__xludf.DUMMYFUNCTION("""COMPUTED_VALUE"""),334.63697752950554)</f>
        <v>334.6369775</v>
      </c>
      <c r="U2402" s="82">
        <f>IFERROR(__xludf.DUMMYFUNCTION("""COMPUTED_VALUE"""),0.7448712411216452)</f>
        <v>0.7448712411</v>
      </c>
      <c r="V2402" s="82">
        <f>IFERROR(__xludf.DUMMYFUNCTION("""COMPUTED_VALUE"""),0.5522630515034758)</f>
        <v>0.5522630515</v>
      </c>
      <c r="W2402" s="82">
        <f>IFERROR(__xludf.DUMMYFUNCTION("""COMPUTED_VALUE"""),1.2815369093393745)</f>
        <v>1.281536909</v>
      </c>
      <c r="X2402" s="82">
        <f>IFERROR(__xludf.DUMMYFUNCTION("""COMPUTED_VALUE"""),2.2942855738300048)</f>
        <v>2.294285574</v>
      </c>
      <c r="Y2402" s="82">
        <f>IFERROR(__xludf.DUMMYFUNCTION("""COMPUTED_VALUE"""),336.19766386432696)</f>
        <v>336.1976639</v>
      </c>
      <c r="Z2402" s="82">
        <f>IFERROR(__xludf.DUMMYFUNCTION("""COMPUTED_VALUE"""),0.8056879373647289)</f>
        <v>0.8056879374</v>
      </c>
      <c r="AA2402" s="82">
        <f>IFERROR(__xludf.DUMMYFUNCTION("""COMPUTED_VALUE"""),0.5749607608899114)</f>
        <v>0.5749607609</v>
      </c>
      <c r="AB2402" s="82">
        <f>IFERROR(__xludf.DUMMYFUNCTION("""COMPUTED_VALUE"""),1.1475763024657353)</f>
        <v>1.147576302</v>
      </c>
      <c r="AC2402" s="82">
        <f>IFERROR(__xludf.DUMMYFUNCTION("""COMPUTED_VALUE"""),2.556004851432167)</f>
        <v>2.556004851</v>
      </c>
      <c r="AD2402" s="82">
        <f>IFERROR(__xludf.DUMMYFUNCTION("""COMPUTED_VALUE"""),0.83340109142778)</f>
        <v>0.8334010914</v>
      </c>
      <c r="AE2402" s="82">
        <f>IFERROR(__xludf.DUMMYFUNCTION("""COMPUTED_VALUE"""),0.6593743996436515)</f>
        <v>0.6593743996</v>
      </c>
      <c r="AF2402" s="82">
        <f>IFERROR(__xludf.DUMMYFUNCTION("""COMPUTED_VALUE"""),0.7065699568283847)</f>
        <v>0.7065699568</v>
      </c>
      <c r="AG2402" s="82">
        <f>IFERROR(__xludf.DUMMYFUNCTION("""COMPUTED_VALUE"""),1.034789579959505)</f>
        <v>1.03478958</v>
      </c>
      <c r="AH2402" s="82">
        <f>IFERROR(__xludf.DUMMYFUNCTION("""COMPUTED_VALUE"""),0.819149462422515)</f>
        <v>0.8191494624</v>
      </c>
      <c r="AI2402" s="82">
        <f>IFERROR(__xludf.DUMMYFUNCTION("""COMPUTED_VALUE"""),0.9659721480466051)</f>
        <v>0.965972148</v>
      </c>
      <c r="AJ2402" s="82">
        <f>IFERROR(__xludf.DUMMYFUNCTION("""COMPUTED_VALUE"""),1.0488389897072343)</f>
        <v>1.04883899</v>
      </c>
      <c r="AK2402" s="82">
        <f>IFERROR(__xludf.DUMMYFUNCTION("""COMPUTED_VALUE"""),0.9619510096750633)</f>
        <v>0.9619510097</v>
      </c>
      <c r="AL2402" s="82">
        <f>IFERROR(__xludf.DUMMYFUNCTION("""COMPUTED_VALUE"""),0.9428782928743134)</f>
        <v>0.9428782929</v>
      </c>
      <c r="AM2402" s="82">
        <f>IFERROR(__xludf.DUMMYFUNCTION("""COMPUTED_VALUE"""),1.0397209021737128)</f>
        <v>1.039720902</v>
      </c>
      <c r="AN2402" s="82">
        <f>IFERROR(__xludf.DUMMYFUNCTION("""COMPUTED_VALUE"""),0.8523801064627301)</f>
        <v>0.8523801065</v>
      </c>
      <c r="AO2402" s="82">
        <f>IFERROR(__xludf.DUMMYFUNCTION("""COMPUTED_VALUE"""),0.7005841259993348)</f>
        <v>0.700584126</v>
      </c>
      <c r="AP2402" s="82">
        <f>IFERROR(__xludf.DUMMYFUNCTION("""COMPUTED_VALUE"""),0.7878835944707565)</f>
        <v>0.7878835945</v>
      </c>
      <c r="AQ2402" s="82">
        <f>IFERROR(__xludf.DUMMYFUNCTION("""COMPUTED_VALUE"""),0.9902417507875707)</f>
        <v>0.9902417508</v>
      </c>
      <c r="AR2402" s="82">
        <f>IFERROR(__xludf.DUMMYFUNCTION("""COMPUTED_VALUE"""),0.8728549341539406)</f>
        <v>0.8728549342</v>
      </c>
      <c r="AS2402" s="82">
        <f>IFERROR(__xludf.DUMMYFUNCTION("""COMPUTED_VALUE"""),69.0)</f>
        <v>69</v>
      </c>
      <c r="AT2402" s="82">
        <f>IFERROR(__xludf.DUMMYFUNCTION("""COMPUTED_VALUE"""),0.46794570435206917)</f>
        <v>0.4679457044</v>
      </c>
      <c r="AU2402" s="82">
        <f>IFERROR(__xludf.DUMMYFUNCTION("""COMPUTED_VALUE"""),2.119236094970823)</f>
        <v>2.119236095</v>
      </c>
      <c r="AV2402" s="82">
        <f>IFERROR(__xludf.DUMMYFUNCTION("""COMPUTED_VALUE"""),26.627256885044105)</f>
        <v>26.62725689</v>
      </c>
      <c r="AW2402" s="82">
        <f t="shared" si="1"/>
        <v>-5.716983721</v>
      </c>
      <c r="AX2402" s="83">
        <f t="array" ref="AX2402">IFERROR(DGET('SBV Import'!A:G,"SBV",{"RSC ID","Tier";B2402,A2402}))</f>
        <v>30.67360463</v>
      </c>
      <c r="AY2402" s="82">
        <f t="shared" si="2"/>
        <v>-4.550735993</v>
      </c>
      <c r="AZ2402" s="82">
        <v>1.166247727906713</v>
      </c>
      <c r="BA2402" s="84">
        <v>2300.0</v>
      </c>
      <c r="BB2402" s="84" t="b">
        <f>IFERROR(__xludf.DUMMYFUNCTION("iferror(if(A2402="""",,E2402&gt;=FILTER(Constants!$F$2:$F$10,Constants!$A$2:$A$10=A2402)))"),TRUE)</f>
        <v>1</v>
      </c>
    </row>
    <row r="2403">
      <c r="A2403" s="89" t="str">
        <f>IFERROR(__xludf.DUMMYFUNCTION("""COMPUTED_VALUE"""),"Challenger")</f>
        <v>Challenger</v>
      </c>
      <c r="B2403" s="87" t="str">
        <f>IFERROR(__xludf.DUMMYFUNCTION("""COMPUTED_VALUE"""),"RSC007457")</f>
        <v>RSC007457</v>
      </c>
      <c r="C2403" s="73" t="str">
        <f>IFERROR(__xludf.DUMMYFUNCTION("""COMPUTED_VALUE"""),"Fyooze")</f>
        <v>Fyooze</v>
      </c>
      <c r="D2403" s="73" t="str">
        <f>IFERROR(__xludf.DUMMYFUNCTION("""COMPUTED_VALUE"""),"Threshers")</f>
        <v>Threshers</v>
      </c>
      <c r="E2403" s="82">
        <f>IFERROR(__xludf.DUMMYFUNCTION("""COMPUTED_VALUE"""),30.0)</f>
        <v>30</v>
      </c>
      <c r="F2403" s="82">
        <f>IFERROR(__xludf.DUMMYFUNCTION("""COMPUTED_VALUE"""),10.0)</f>
        <v>10</v>
      </c>
      <c r="G2403" s="86">
        <f>IFERROR(__xludf.DUMMYFUNCTION("""COMPUTED_VALUE"""),20.0)</f>
        <v>20</v>
      </c>
      <c r="H2403" s="86">
        <f>IFERROR(__xludf.DUMMYFUNCTION("""COMPUTED_VALUE"""),0.3333333333333333)</f>
        <v>0.3333333333</v>
      </c>
      <c r="I2403" s="86">
        <f>IFERROR(__xludf.DUMMYFUNCTION("""COMPUTED_VALUE"""),0.34545454545454546)</f>
        <v>0.3454545455</v>
      </c>
      <c r="J2403" s="82">
        <f>IFERROR(__xludf.DUMMYFUNCTION("""COMPUTED_VALUE"""),264.43333333333334)</f>
        <v>264.4333333</v>
      </c>
      <c r="K2403" s="82">
        <f>IFERROR(__xludf.DUMMYFUNCTION("""COMPUTED_VALUE"""),0.6333333333333333)</f>
        <v>0.6333333333</v>
      </c>
      <c r="L2403" s="82">
        <f>IFERROR(__xludf.DUMMYFUNCTION("""COMPUTED_VALUE"""),0.4)</f>
        <v>0.4</v>
      </c>
      <c r="M2403" s="82">
        <f>IFERROR(__xludf.DUMMYFUNCTION("""COMPUTED_VALUE"""),0.9)</f>
        <v>0.9</v>
      </c>
      <c r="N2403" s="82">
        <f>IFERROR(__xludf.DUMMYFUNCTION("""COMPUTED_VALUE"""),1.8333333333333333)</f>
        <v>1.833333333</v>
      </c>
      <c r="O2403" s="82">
        <f>IFERROR(__xludf.DUMMYFUNCTION("""COMPUTED_VALUE"""),360.23333333333335)</f>
        <v>360.2333333</v>
      </c>
      <c r="P2403" s="82">
        <f>IFERROR(__xludf.DUMMYFUNCTION("""COMPUTED_VALUE"""),0.9777777777777777)</f>
        <v>0.9777777778</v>
      </c>
      <c r="Q2403" s="82">
        <f>IFERROR(__xludf.DUMMYFUNCTION("""COMPUTED_VALUE"""),0.7333333333333332)</f>
        <v>0.7333333333</v>
      </c>
      <c r="R2403" s="82">
        <f>IFERROR(__xludf.DUMMYFUNCTION("""COMPUTED_VALUE"""),1.1555555555555554)</f>
        <v>1.155555556</v>
      </c>
      <c r="S2403" s="82">
        <f>IFERROR(__xludf.DUMMYFUNCTION("""COMPUTED_VALUE"""),2.633333333333333)</f>
        <v>2.633333333</v>
      </c>
      <c r="T2403" s="82">
        <f>IFERROR(__xludf.DUMMYFUNCTION("""COMPUTED_VALUE"""),345.92929089504344)</f>
        <v>345.9292909</v>
      </c>
      <c r="U2403" s="82">
        <f>IFERROR(__xludf.DUMMYFUNCTION("""COMPUTED_VALUE"""),0.8544177118735725)</f>
        <v>0.8544177119</v>
      </c>
      <c r="V2403" s="82">
        <f>IFERROR(__xludf.DUMMYFUNCTION("""COMPUTED_VALUE"""),0.5862149425888605)</f>
        <v>0.5862149426</v>
      </c>
      <c r="W2403" s="82">
        <f>IFERROR(__xludf.DUMMYFUNCTION("""COMPUTED_VALUE"""),1.168912281682566)</f>
        <v>1.168912282</v>
      </c>
      <c r="X2403" s="82">
        <f>IFERROR(__xludf.DUMMYFUNCTION("""COMPUTED_VALUE"""),2.5859774219753984)</f>
        <v>2.585977422</v>
      </c>
      <c r="Y2403" s="82">
        <f>IFERROR(__xludf.DUMMYFUNCTION("""COMPUTED_VALUE"""),326.56099782569413)</f>
        <v>326.5609978</v>
      </c>
      <c r="Z2403" s="82">
        <f>IFERROR(__xludf.DUMMYFUNCTION("""COMPUTED_VALUE"""),0.7423817146447823)</f>
        <v>0.7423817146</v>
      </c>
      <c r="AA2403" s="82">
        <f>IFERROR(__xludf.DUMMYFUNCTION("""COMPUTED_VALUE"""),0.4899996769504865)</f>
        <v>0.489999677</v>
      </c>
      <c r="AB2403" s="82">
        <f>IFERROR(__xludf.DUMMYFUNCTION("""COMPUTED_VALUE"""),1.2125246907418645)</f>
        <v>1.212524691</v>
      </c>
      <c r="AC2403" s="82">
        <f>IFERROR(__xludf.DUMMYFUNCTION("""COMPUTED_VALUE"""),2.3357936013043887)</f>
        <v>2.335793601</v>
      </c>
      <c r="AD2403" s="82">
        <f>IFERROR(__xludf.DUMMYFUNCTION("""COMPUTED_VALUE"""),0.8097517312048325)</f>
        <v>0.8097517312</v>
      </c>
      <c r="AE2403" s="82">
        <f>IFERROR(__xludf.DUMMYFUNCTION("""COMPUTED_VALUE"""),0.8531100926110136)</f>
        <v>0.8531100926</v>
      </c>
      <c r="AF2403" s="82">
        <f>IFERROR(__xludf.DUMMYFUNCTION("""COMPUTED_VALUE"""),0.816327068804209)</f>
        <v>0.8163270688</v>
      </c>
      <c r="AG2403" s="82">
        <f>IFERROR(__xludf.DUMMYFUNCTION("""COMPUTED_VALUE"""),0.7422529263708015)</f>
        <v>0.7422529264</v>
      </c>
      <c r="AH2403" s="82">
        <f>IFERROR(__xludf.DUMMYFUNCTION("""COMPUTED_VALUE"""),0.784886700738257)</f>
        <v>0.7848867007</v>
      </c>
      <c r="AI2403" s="82">
        <f>IFERROR(__xludf.DUMMYFUNCTION("""COMPUTED_VALUE"""),1.0413496133885634)</f>
        <v>1.041349613</v>
      </c>
      <c r="AJ2403" s="82">
        <f>IFERROR(__xludf.DUMMYFUNCTION("""COMPUTED_VALUE"""),1.144379106600799)</f>
        <v>1.144379107</v>
      </c>
      <c r="AK2403" s="82">
        <f>IFERROR(__xludf.DUMMYFUNCTION("""COMPUTED_VALUE"""),1.2509632219451177)</f>
        <v>1.250963222</v>
      </c>
      <c r="AL2403" s="82">
        <f>IFERROR(__xludf.DUMMYFUNCTION("""COMPUTED_VALUE"""),0.9885733717265898)</f>
        <v>0.9885733717</v>
      </c>
      <c r="AM2403" s="82">
        <f>IFERROR(__xludf.DUMMYFUNCTION("""COMPUTED_VALUE"""),1.01831257726982)</f>
        <v>1.018312577</v>
      </c>
      <c r="AN2403" s="82">
        <f>IFERROR(__xludf.DUMMYFUNCTION("""COMPUTED_VALUE"""),0.8044531352003971)</f>
        <v>0.8044531352</v>
      </c>
      <c r="AO2403" s="82">
        <f>IFERROR(__xludf.DUMMYFUNCTION("""COMPUTED_VALUE"""),0.8352061737403834)</f>
        <v>0.8352061737</v>
      </c>
      <c r="AP2403" s="82">
        <f>IFERROR(__xludf.DUMMYFUNCTION("""COMPUTED_VALUE"""),0.7757623084019757)</f>
        <v>0.7757623084</v>
      </c>
      <c r="AQ2403" s="82">
        <f>IFERROR(__xludf.DUMMYFUNCTION("""COMPUTED_VALUE"""),0.7504990111232115)</f>
        <v>0.7504990111</v>
      </c>
      <c r="AR2403" s="82">
        <f>IFERROR(__xludf.DUMMYFUNCTION("""COMPUTED_VALUE"""),0.7642908876173807)</f>
        <v>0.7642908876</v>
      </c>
      <c r="AS2403" s="82">
        <f>IFERROR(__xludf.DUMMYFUNCTION("""COMPUTED_VALUE"""),55.0)</f>
        <v>55</v>
      </c>
      <c r="AT2403" s="82">
        <f>IFERROR(__xludf.DUMMYFUNCTION("""COMPUTED_VALUE"""),0.3239273051551027)</f>
        <v>0.3239273052</v>
      </c>
      <c r="AU2403" s="82">
        <f>IFERROR(__xludf.DUMMYFUNCTION("""COMPUTED_VALUE"""),2.0486834535619094)</f>
        <v>2.048683454</v>
      </c>
      <c r="AV2403" s="82">
        <f>IFERROR(__xludf.DUMMYFUNCTION("""COMPUTED_VALUE"""),24.761692817688935)</f>
        <v>24.76169282</v>
      </c>
      <c r="AW2403" s="82">
        <f t="shared" si="1"/>
        <v>-6.395509326</v>
      </c>
      <c r="AX2403" s="83">
        <f t="array" ref="AX2403">IFERROR(DGET('SBV Import'!A:G,"SBV",{"RSC ID","Tier";B2403,A2403}))</f>
        <v>22.65245742</v>
      </c>
      <c r="AY2403" s="82">
        <f t="shared" si="2"/>
        <v>-7.29932091</v>
      </c>
      <c r="AZ2403" s="82">
        <v>0.9038115844155152</v>
      </c>
      <c r="BA2403" s="84">
        <v>2300.0</v>
      </c>
      <c r="BB2403" s="84" t="b">
        <f>IFERROR(__xludf.DUMMYFUNCTION("iferror(if(A2403="""",,E2403&gt;=FILTER(Constants!$F$2:$F$10,Constants!$A$2:$A$10=A2403)))"),TRUE)</f>
        <v>1</v>
      </c>
    </row>
    <row r="2404">
      <c r="A2404" s="89" t="str">
        <f>IFERROR(__xludf.DUMMYFUNCTION("""COMPUTED_VALUE"""),"Challenger")</f>
        <v>Challenger</v>
      </c>
      <c r="B2404" s="87" t="str">
        <f>IFERROR(__xludf.DUMMYFUNCTION("""COMPUTED_VALUE"""),"RSC002834")</f>
        <v>RSC002834</v>
      </c>
      <c r="C2404" s="73" t="str">
        <f>IFERROR(__xludf.DUMMYFUNCTION("""COMPUTED_VALUE"""),"Clockwork7678")</f>
        <v>Clockwork7678</v>
      </c>
      <c r="D2404" s="73" t="str">
        <f>IFERROR(__xludf.DUMMYFUNCTION("""COMPUTED_VALUE"""),"Pharaohs")</f>
        <v>Pharaohs</v>
      </c>
      <c r="E2404" s="82">
        <f>IFERROR(__xludf.DUMMYFUNCTION("""COMPUTED_VALUE"""),24.0)</f>
        <v>24</v>
      </c>
      <c r="F2404" s="82">
        <f>IFERROR(__xludf.DUMMYFUNCTION("""COMPUTED_VALUE"""),10.0)</f>
        <v>10</v>
      </c>
      <c r="G2404" s="86">
        <f>IFERROR(__xludf.DUMMYFUNCTION("""COMPUTED_VALUE"""),14.0)</f>
        <v>14</v>
      </c>
      <c r="H2404" s="86">
        <f>IFERROR(__xludf.DUMMYFUNCTION("""COMPUTED_VALUE"""),0.4166666666666667)</f>
        <v>0.4166666667</v>
      </c>
      <c r="I2404" s="86">
        <f>IFERROR(__xludf.DUMMYFUNCTION("""COMPUTED_VALUE"""),0.2857142857142857)</f>
        <v>0.2857142857</v>
      </c>
      <c r="J2404" s="82">
        <f>IFERROR(__xludf.DUMMYFUNCTION("""COMPUTED_VALUE"""),296.9583333333333)</f>
        <v>296.9583333</v>
      </c>
      <c r="K2404" s="82">
        <f>IFERROR(__xludf.DUMMYFUNCTION("""COMPUTED_VALUE"""),0.6666666666666666)</f>
        <v>0.6666666667</v>
      </c>
      <c r="L2404" s="82">
        <f>IFERROR(__xludf.DUMMYFUNCTION("""COMPUTED_VALUE"""),0.25)</f>
        <v>0.25</v>
      </c>
      <c r="M2404" s="82">
        <f>IFERROR(__xludf.DUMMYFUNCTION("""COMPUTED_VALUE"""),0.875)</f>
        <v>0.875</v>
      </c>
      <c r="N2404" s="82">
        <f>IFERROR(__xludf.DUMMYFUNCTION("""COMPUTED_VALUE"""),2.3333333333333335)</f>
        <v>2.333333333</v>
      </c>
      <c r="O2404" s="82">
        <f>IFERROR(__xludf.DUMMYFUNCTION("""COMPUTED_VALUE"""),374.90277777777777)</f>
        <v>374.9027778</v>
      </c>
      <c r="P2404" s="82">
        <f>IFERROR(__xludf.DUMMYFUNCTION("""COMPUTED_VALUE"""),0.8333333333333331)</f>
        <v>0.8333333333</v>
      </c>
      <c r="Q2404" s="82">
        <f>IFERROR(__xludf.DUMMYFUNCTION("""COMPUTED_VALUE"""),0.5694444444444443)</f>
        <v>0.5694444444</v>
      </c>
      <c r="R2404" s="82">
        <f>IFERROR(__xludf.DUMMYFUNCTION("""COMPUTED_VALUE"""),1.236111111111111)</f>
        <v>1.236111111</v>
      </c>
      <c r="S2404" s="82">
        <f>IFERROR(__xludf.DUMMYFUNCTION("""COMPUTED_VALUE"""),2.694444444444444)</f>
        <v>2.694444444</v>
      </c>
      <c r="T2404" s="82">
        <f>IFERROR(__xludf.DUMMYFUNCTION("""COMPUTED_VALUE"""),320.7982228203777)</f>
        <v>320.7982228</v>
      </c>
      <c r="U2404" s="82">
        <f>IFERROR(__xludf.DUMMYFUNCTION("""COMPUTED_VALUE"""),0.6576799192785391)</f>
        <v>0.6576799193</v>
      </c>
      <c r="V2404" s="82">
        <f>IFERROR(__xludf.DUMMYFUNCTION("""COMPUTED_VALUE"""),0.488465577052688)</f>
        <v>0.4884655771</v>
      </c>
      <c r="W2404" s="82">
        <f>IFERROR(__xludf.DUMMYFUNCTION("""COMPUTED_VALUE"""),1.1703366394440395)</f>
        <v>1.170336639</v>
      </c>
      <c r="X2404" s="82">
        <f>IFERROR(__xludf.DUMMYFUNCTION("""COMPUTED_VALUE"""),2.3604895253934832)</f>
        <v>2.360489525</v>
      </c>
      <c r="Y2404" s="82">
        <f>IFERROR(__xludf.DUMMYFUNCTION("""COMPUTED_VALUE"""),342.4689569227315)</f>
        <v>342.4689569</v>
      </c>
      <c r="Z2404" s="82">
        <f>IFERROR(__xludf.DUMMYFUNCTION("""COMPUTED_VALUE"""),0.7985492814751406)</f>
        <v>0.7985492815</v>
      </c>
      <c r="AA2404" s="82">
        <f>IFERROR(__xludf.DUMMYFUNCTION("""COMPUTED_VALUE"""),0.5235845673852307)</f>
        <v>0.5235845674</v>
      </c>
      <c r="AB2404" s="82">
        <f>IFERROR(__xludf.DUMMYFUNCTION("""COMPUTED_VALUE"""),1.3030974640058006)</f>
        <v>1.303097464</v>
      </c>
      <c r="AC2404" s="82">
        <f>IFERROR(__xludf.DUMMYFUNCTION("""COMPUTED_VALUE"""),2.411617493341842)</f>
        <v>2.411617493</v>
      </c>
      <c r="AD2404" s="82">
        <f>IFERROR(__xludf.DUMMYFUNCTION("""COMPUTED_VALUE"""),0.8671102221984273)</f>
        <v>0.8671102222</v>
      </c>
      <c r="AE2404" s="82">
        <f>IFERROR(__xludf.DUMMYFUNCTION("""COMPUTED_VALUE"""),0.8348472437858182)</f>
        <v>0.8348472438</v>
      </c>
      <c r="AF2404" s="82">
        <f>IFERROR(__xludf.DUMMYFUNCTION("""COMPUTED_VALUE"""),0.47747778596396423)</f>
        <v>0.477477786</v>
      </c>
      <c r="AG2404" s="82">
        <f>IFERROR(__xludf.DUMMYFUNCTION("""COMPUTED_VALUE"""),0.6714770185418034)</f>
        <v>0.6714770185</v>
      </c>
      <c r="AH2404" s="82">
        <f>IFERROR(__xludf.DUMMYFUNCTION("""COMPUTED_VALUE"""),0.9675387327282867)</f>
        <v>0.9675387327</v>
      </c>
      <c r="AI2404" s="82">
        <f>IFERROR(__xludf.DUMMYFUNCTION("""COMPUTED_VALUE"""),1.1686560308274976)</f>
        <v>1.168656031</v>
      </c>
      <c r="AJ2404" s="82">
        <f>IFERROR(__xludf.DUMMYFUNCTION("""COMPUTED_VALUE"""),1.267080397174787)</f>
        <v>1.267080397</v>
      </c>
      <c r="AK2404" s="82">
        <f>IFERROR(__xludf.DUMMYFUNCTION("""COMPUTED_VALUE"""),1.1657821373624073)</f>
        <v>1.165782137</v>
      </c>
      <c r="AL2404" s="82">
        <f>IFERROR(__xludf.DUMMYFUNCTION("""COMPUTED_VALUE"""),1.0562013265673005)</f>
        <v>1.056201327</v>
      </c>
      <c r="AM2404" s="82">
        <f>IFERROR(__xludf.DUMMYFUNCTION("""COMPUTED_VALUE"""),1.1414769756266097)</f>
        <v>1.141476976</v>
      </c>
      <c r="AN2404" s="82">
        <f>IFERROR(__xludf.DUMMYFUNCTION("""COMPUTED_VALUE"""),0.9033999581767979)</f>
        <v>0.9033999582</v>
      </c>
      <c r="AO2404" s="82">
        <f>IFERROR(__xludf.DUMMYFUNCTION("""COMPUTED_VALUE"""),0.87916439341093)</f>
        <v>0.8791643934</v>
      </c>
      <c r="AP2404" s="82">
        <f>IFERROR(__xludf.DUMMYFUNCTION("""COMPUTED_VALUE"""),0.4848514427512348)</f>
        <v>0.4848514428</v>
      </c>
      <c r="AQ2404" s="82">
        <f>IFERROR(__xludf.DUMMYFUNCTION("""COMPUTED_VALUE"""),0.7296518163697889)</f>
        <v>0.7296518164</v>
      </c>
      <c r="AR2404" s="82">
        <f>IFERROR(__xludf.DUMMYFUNCTION("""COMPUTED_VALUE"""),0.9727338569675755)</f>
        <v>0.972733857</v>
      </c>
      <c r="AS2404" s="82">
        <f>IFERROR(__xludf.DUMMYFUNCTION("""COMPUTED_VALUE"""),43.0)</f>
        <v>43</v>
      </c>
      <c r="AT2404" s="82">
        <f>IFERROR(__xludf.DUMMYFUNCTION("""COMPUTED_VALUE"""),0.3761191860318674)</f>
        <v>0.376119186</v>
      </c>
      <c r="AU2404" s="82">
        <f>IFERROR(__xludf.DUMMYFUNCTION("""COMPUTED_VALUE"""),2.0448447482675007)</f>
        <v>2.044844748</v>
      </c>
      <c r="AV2404" s="82">
        <f>IFERROR(__xludf.DUMMYFUNCTION("""COMPUTED_VALUE"""),24.66018916708982)</f>
        <v>24.66018917</v>
      </c>
      <c r="AW2404" s="82">
        <f t="shared" si="1"/>
        <v>-6.435477092</v>
      </c>
      <c r="AX2404" s="83">
        <f t="array" ref="AX2404">IFERROR(DGET('SBV Import'!A:G,"SBV",{"RSC ID","Tier";B2404,A2404}))</f>
        <v>31.5533182</v>
      </c>
      <c r="AY2404" s="82">
        <f t="shared" si="2"/>
        <v>-4.342208507</v>
      </c>
      <c r="AZ2404" s="82">
        <v>2.0932685842960383</v>
      </c>
      <c r="BA2404" s="84">
        <v>2300.0</v>
      </c>
      <c r="BB2404" s="84" t="b">
        <f>IFERROR(__xludf.DUMMYFUNCTION("iferror(if(A2404="""",,E2404&gt;=FILTER(Constants!$F$2:$F$10,Constants!$A$2:$A$10=A2404)))"),TRUE)</f>
        <v>1</v>
      </c>
    </row>
    <row r="2405">
      <c r="A2405" s="89" t="str">
        <f>IFERROR(__xludf.DUMMYFUNCTION("""COMPUTED_VALUE"""),"Challenger")</f>
        <v>Challenger</v>
      </c>
      <c r="B2405" s="87" t="str">
        <f>IFERROR(__xludf.DUMMYFUNCTION("""COMPUTED_VALUE"""),"RSC006225")</f>
        <v>RSC006225</v>
      </c>
      <c r="C2405" s="73" t="str">
        <f>IFERROR(__xludf.DUMMYFUNCTION("""COMPUTED_VALUE"""),"renightly")</f>
        <v>renightly</v>
      </c>
      <c r="D2405" s="73" t="str">
        <f>IFERROR(__xludf.DUMMYFUNCTION("""COMPUTED_VALUE"""),"Quarter")</f>
        <v>Quarter</v>
      </c>
      <c r="E2405" s="82">
        <f>IFERROR(__xludf.DUMMYFUNCTION("""COMPUTED_VALUE"""),29.0)</f>
        <v>29</v>
      </c>
      <c r="F2405" s="82">
        <f>IFERROR(__xludf.DUMMYFUNCTION("""COMPUTED_VALUE"""),7.0)</f>
        <v>7</v>
      </c>
      <c r="G2405" s="86">
        <f>IFERROR(__xludf.DUMMYFUNCTION("""COMPUTED_VALUE"""),22.0)</f>
        <v>22</v>
      </c>
      <c r="H2405" s="86">
        <f>IFERROR(__xludf.DUMMYFUNCTION("""COMPUTED_VALUE"""),0.2413793103448276)</f>
        <v>0.2413793103</v>
      </c>
      <c r="I2405" s="86">
        <f>IFERROR(__xludf.DUMMYFUNCTION("""COMPUTED_VALUE"""),0.24528301886792453)</f>
        <v>0.2452830189</v>
      </c>
      <c r="J2405" s="82">
        <f>IFERROR(__xludf.DUMMYFUNCTION("""COMPUTED_VALUE"""),304.3103448275862)</f>
        <v>304.3103448</v>
      </c>
      <c r="K2405" s="82">
        <f>IFERROR(__xludf.DUMMYFUNCTION("""COMPUTED_VALUE"""),0.4482758620689655)</f>
        <v>0.4482758621</v>
      </c>
      <c r="L2405" s="82">
        <f>IFERROR(__xludf.DUMMYFUNCTION("""COMPUTED_VALUE"""),0.41379310344827586)</f>
        <v>0.4137931034</v>
      </c>
      <c r="M2405" s="82">
        <f>IFERROR(__xludf.DUMMYFUNCTION("""COMPUTED_VALUE"""),1.6206896551724137)</f>
        <v>1.620689655</v>
      </c>
      <c r="N2405" s="82">
        <f>IFERROR(__xludf.DUMMYFUNCTION("""COMPUTED_VALUE"""),1.8275862068965518)</f>
        <v>1.827586207</v>
      </c>
      <c r="O2405" s="82">
        <f>IFERROR(__xludf.DUMMYFUNCTION("""COMPUTED_VALUE"""),359.1264367816092)</f>
        <v>359.1264368</v>
      </c>
      <c r="P2405" s="82">
        <f>IFERROR(__xludf.DUMMYFUNCTION("""COMPUTED_VALUE"""),0.9310344827586209)</f>
        <v>0.9310344828</v>
      </c>
      <c r="Q2405" s="82">
        <f>IFERROR(__xludf.DUMMYFUNCTION("""COMPUTED_VALUE"""),0.6896551724137931)</f>
        <v>0.6896551724</v>
      </c>
      <c r="R2405" s="82">
        <f>IFERROR(__xludf.DUMMYFUNCTION("""COMPUTED_VALUE"""),0.9770114942528736)</f>
        <v>0.9770114943</v>
      </c>
      <c r="S2405" s="82">
        <f>IFERROR(__xludf.DUMMYFUNCTION("""COMPUTED_VALUE"""),3.022988505747126)</f>
        <v>3.022988506</v>
      </c>
      <c r="T2405" s="82">
        <f>IFERROR(__xludf.DUMMYFUNCTION("""COMPUTED_VALUE"""),342.73675090338327)</f>
        <v>342.7367509</v>
      </c>
      <c r="U2405" s="82">
        <f>IFERROR(__xludf.DUMMYFUNCTION("""COMPUTED_VALUE"""),0.8394076216528069)</f>
        <v>0.8394076217</v>
      </c>
      <c r="V2405" s="82">
        <f>IFERROR(__xludf.DUMMYFUNCTION("""COMPUTED_VALUE"""),0.5985204074894374)</f>
        <v>0.5985204075</v>
      </c>
      <c r="W2405" s="82">
        <f>IFERROR(__xludf.DUMMYFUNCTION("""COMPUTED_VALUE"""),1.1225219216771232)</f>
        <v>1.122521922</v>
      </c>
      <c r="X2405" s="82">
        <f>IFERROR(__xludf.DUMMYFUNCTION("""COMPUTED_VALUE"""),2.5403527748610006)</f>
        <v>2.540352775</v>
      </c>
      <c r="Y2405" s="82">
        <f>IFERROR(__xludf.DUMMYFUNCTION("""COMPUTED_VALUE"""),321.49926253087756)</f>
        <v>321.4992625</v>
      </c>
      <c r="Z2405" s="82">
        <f>IFERROR(__xludf.DUMMYFUNCTION("""COMPUTED_VALUE"""),0.7118094552161647)</f>
        <v>0.7118094552</v>
      </c>
      <c r="AA2405" s="82">
        <f>IFERROR(__xludf.DUMMYFUNCTION("""COMPUTED_VALUE"""),0.47573339810567356)</f>
        <v>0.4757333981</v>
      </c>
      <c r="AB2405" s="82">
        <f>IFERROR(__xludf.DUMMYFUNCTION("""COMPUTED_VALUE"""),1.1851420788893228)</f>
        <v>1.185142079</v>
      </c>
      <c r="AC2405" s="82">
        <f>IFERROR(__xludf.DUMMYFUNCTION("""COMPUTED_VALUE"""),2.2660662238721194)</f>
        <v>2.266066224</v>
      </c>
      <c r="AD2405" s="82">
        <f>IFERROR(__xludf.DUMMYFUNCTION("""COMPUTED_VALUE"""),0.9465351255614763)</f>
        <v>0.9465351256</v>
      </c>
      <c r="AE2405" s="82">
        <f>IFERROR(__xludf.DUMMYFUNCTION("""COMPUTED_VALUE"""),0.6297694681968388)</f>
        <v>0.6297694682</v>
      </c>
      <c r="AF2405" s="82">
        <f>IFERROR(__xludf.DUMMYFUNCTION("""COMPUTED_VALUE"""),0.8698004073204904)</f>
        <v>0.8698004073</v>
      </c>
      <c r="AG2405" s="82">
        <f>IFERROR(__xludf.DUMMYFUNCTION("""COMPUTED_VALUE"""),1.3675066340495412)</f>
        <v>1.367506634</v>
      </c>
      <c r="AH2405" s="82">
        <f>IFERROR(__xludf.DUMMYFUNCTION("""COMPUTED_VALUE"""),0.8065016757425919)</f>
        <v>0.8065016757</v>
      </c>
      <c r="AI2405" s="82">
        <f>IFERROR(__xludf.DUMMYFUNCTION("""COMPUTED_VALUE"""),1.047820042160714)</f>
        <v>1.047820042</v>
      </c>
      <c r="AJ2405" s="82">
        <f>IFERROR(__xludf.DUMMYFUNCTION("""COMPUTED_VALUE"""),1.1091565751159125)</f>
        <v>1.109156575</v>
      </c>
      <c r="AK2405" s="82">
        <f>IFERROR(__xludf.DUMMYFUNCTION("""COMPUTED_VALUE"""),1.1522667628103627)</f>
        <v>1.152266763</v>
      </c>
      <c r="AL2405" s="82">
        <f>IFERROR(__xludf.DUMMYFUNCTION("""COMPUTED_VALUE"""),0.8703718612400485)</f>
        <v>0.8703718612</v>
      </c>
      <c r="AM2405" s="82">
        <f>IFERROR(__xludf.DUMMYFUNCTION("""COMPUTED_VALUE"""),1.1899876803183502)</f>
        <v>1.18998768</v>
      </c>
      <c r="AN2405" s="82">
        <f>IFERROR(__xludf.DUMMYFUNCTION("""COMPUTED_VALUE"""),0.9257660820766381)</f>
        <v>0.9257660821</v>
      </c>
      <c r="AO2405" s="82">
        <f>IFERROR(__xludf.DUMMYFUNCTION("""COMPUTED_VALUE"""),0.5911622645349357)</f>
        <v>0.5911622645</v>
      </c>
      <c r="AP2405" s="82">
        <f>IFERROR(__xludf.DUMMYFUNCTION("""COMPUTED_VALUE"""),0.80251273282963)</f>
        <v>0.8025127328</v>
      </c>
      <c r="AQ2405" s="82">
        <f>IFERROR(__xludf.DUMMYFUNCTION("""COMPUTED_VALUE"""),1.351473315049461)</f>
        <v>1.351473315</v>
      </c>
      <c r="AR2405" s="82">
        <f>IFERROR(__xludf.DUMMYFUNCTION("""COMPUTED_VALUE"""),0.7618949914179532)</f>
        <v>0.7618949914</v>
      </c>
      <c r="AS2405" s="82">
        <f>IFERROR(__xludf.DUMMYFUNCTION("""COMPUTED_VALUE"""),48.0)</f>
        <v>48</v>
      </c>
      <c r="AT2405" s="82">
        <f>IFERROR(__xludf.DUMMYFUNCTION("""COMPUTED_VALUE"""),0.309375001026492)</f>
        <v>0.309375001</v>
      </c>
      <c r="AU2405" s="82">
        <f>IFERROR(__xludf.DUMMYFUNCTION("""COMPUTED_VALUE"""),1.9798734553919535)</f>
        <v>1.979873455</v>
      </c>
      <c r="AV2405" s="82">
        <f>IFERROR(__xludf.DUMMYFUNCTION("""COMPUTED_VALUE"""),22.94220799760073)</f>
        <v>22.942208</v>
      </c>
      <c r="AW2405" s="82">
        <f t="shared" si="1"/>
        <v>-7.165529448</v>
      </c>
      <c r="AX2405" s="83">
        <f t="array" ref="AX2405">IFERROR(DGET('SBV Import'!A:G,"SBV",{"RSC ID","Tier";B2405,A2405}))</f>
        <v>31.88712535</v>
      </c>
      <c r="AY2405" s="82">
        <f t="shared" si="2"/>
        <v>-4.266670033</v>
      </c>
      <c r="AZ2405" s="82">
        <v>2.8988594155150595</v>
      </c>
      <c r="BA2405" s="84">
        <v>2300.0</v>
      </c>
      <c r="BB2405" s="84" t="b">
        <f>IFERROR(__xludf.DUMMYFUNCTION("iferror(if(A2405="""",,E2405&gt;=FILTER(Constants!$F$2:$F$10,Constants!$A$2:$A$10=A2405)))"),TRUE)</f>
        <v>1</v>
      </c>
    </row>
    <row r="2406">
      <c r="A2406" s="89" t="str">
        <f>IFERROR(__xludf.DUMMYFUNCTION("""COMPUTED_VALUE"""),"Challenger")</f>
        <v>Challenger</v>
      </c>
      <c r="B2406" s="87" t="str">
        <f>IFERROR(__xludf.DUMMYFUNCTION("""COMPUTED_VALUE"""),"RSC007560")</f>
        <v>RSC007560</v>
      </c>
      <c r="C2406" s="73" t="str">
        <f>IFERROR(__xludf.DUMMYFUNCTION("""COMPUTED_VALUE"""),"ObiWan_Can_O_Bee")</f>
        <v>ObiWan_Can_O_Bee</v>
      </c>
      <c r="D2406" s="73" t="str">
        <f>IFERROR(__xludf.DUMMYFUNCTION("""COMPUTED_VALUE"""),"Shade")</f>
        <v>Shade</v>
      </c>
      <c r="E2406" s="82">
        <f>IFERROR(__xludf.DUMMYFUNCTION("""COMPUTED_VALUE"""),34.0)</f>
        <v>34</v>
      </c>
      <c r="F2406" s="82">
        <f>IFERROR(__xludf.DUMMYFUNCTION("""COMPUTED_VALUE"""),10.0)</f>
        <v>10</v>
      </c>
      <c r="G2406" s="86">
        <f>IFERROR(__xludf.DUMMYFUNCTION("""COMPUTED_VALUE"""),24.0)</f>
        <v>24</v>
      </c>
      <c r="H2406" s="86">
        <f>IFERROR(__xludf.DUMMYFUNCTION("""COMPUTED_VALUE"""),0.29411764705882354)</f>
        <v>0.2941176471</v>
      </c>
      <c r="I2406" s="86">
        <f>IFERROR(__xludf.DUMMYFUNCTION("""COMPUTED_VALUE"""),0.26582278481012656)</f>
        <v>0.2658227848</v>
      </c>
      <c r="J2406" s="82">
        <f>IFERROR(__xludf.DUMMYFUNCTION("""COMPUTED_VALUE"""),282.44117647058823)</f>
        <v>282.4411765</v>
      </c>
      <c r="K2406" s="82">
        <f>IFERROR(__xludf.DUMMYFUNCTION("""COMPUTED_VALUE"""),0.6176470588235294)</f>
        <v>0.6176470588</v>
      </c>
      <c r="L2406" s="82">
        <f>IFERROR(__xludf.DUMMYFUNCTION("""COMPUTED_VALUE"""),0.17647058823529413)</f>
        <v>0.1764705882</v>
      </c>
      <c r="M2406" s="82">
        <f>IFERROR(__xludf.DUMMYFUNCTION("""COMPUTED_VALUE"""),1.088235294117647)</f>
        <v>1.088235294</v>
      </c>
      <c r="N2406" s="82">
        <f>IFERROR(__xludf.DUMMYFUNCTION("""COMPUTED_VALUE"""),2.323529411764706)</f>
        <v>2.323529412</v>
      </c>
      <c r="O2406" s="82">
        <f>IFERROR(__xludf.DUMMYFUNCTION("""COMPUTED_VALUE"""),356.12745098039215)</f>
        <v>356.127451</v>
      </c>
      <c r="P2406" s="82">
        <f>IFERROR(__xludf.DUMMYFUNCTION("""COMPUTED_VALUE"""),0.8921568627450979)</f>
        <v>0.8921568627</v>
      </c>
      <c r="Q2406" s="82">
        <f>IFERROR(__xludf.DUMMYFUNCTION("""COMPUTED_VALUE"""),0.6862745098039217)</f>
        <v>0.6862745098</v>
      </c>
      <c r="R2406" s="82">
        <f>IFERROR(__xludf.DUMMYFUNCTION("""COMPUTED_VALUE"""),1.2450980392156865)</f>
        <v>1.245098039</v>
      </c>
      <c r="S2406" s="82">
        <f>IFERROR(__xludf.DUMMYFUNCTION("""COMPUTED_VALUE"""),2.4313725490196076)</f>
        <v>2.431372549</v>
      </c>
      <c r="T2406" s="82">
        <f>IFERROR(__xludf.DUMMYFUNCTION("""COMPUTED_VALUE"""),340.52049987671194)</f>
        <v>340.5204999</v>
      </c>
      <c r="U2406" s="82">
        <f>IFERROR(__xludf.DUMMYFUNCTION("""COMPUTED_VALUE"""),0.8047988943914831)</f>
        <v>0.8047988944</v>
      </c>
      <c r="V2406" s="82">
        <f>IFERROR(__xludf.DUMMYFUNCTION("""COMPUTED_VALUE"""),0.580541942107314)</f>
        <v>0.5805419421</v>
      </c>
      <c r="W2406" s="82">
        <f>IFERROR(__xludf.DUMMYFUNCTION("""COMPUTED_VALUE"""),1.21772442850344)</f>
        <v>1.217724429</v>
      </c>
      <c r="X2406" s="82">
        <f>IFERROR(__xludf.DUMMYFUNCTION("""COMPUTED_VALUE"""),2.52025732604071)</f>
        <v>2.520257326</v>
      </c>
      <c r="Y2406" s="82">
        <f>IFERROR(__xludf.DUMMYFUNCTION("""COMPUTED_VALUE"""),331.90384725927)</f>
        <v>331.9038473</v>
      </c>
      <c r="Z2406" s="82">
        <f>IFERROR(__xludf.DUMMYFUNCTION("""COMPUTED_VALUE"""),0.7549947346073838)</f>
        <v>0.7549947346</v>
      </c>
      <c r="AA2406" s="82">
        <f>IFERROR(__xludf.DUMMYFUNCTION("""COMPUTED_VALUE"""),0.5211224759263975)</f>
        <v>0.5211224759</v>
      </c>
      <c r="AB2406" s="82">
        <f>IFERROR(__xludf.DUMMYFUNCTION("""COMPUTED_VALUE"""),1.2234226631807898)</f>
        <v>1.223422663</v>
      </c>
      <c r="AC2406" s="82">
        <f>IFERROR(__xludf.DUMMYFUNCTION("""COMPUTED_VALUE"""),2.413657408324595)</f>
        <v>2.413657408</v>
      </c>
      <c r="AD2406" s="82">
        <f>IFERROR(__xludf.DUMMYFUNCTION("""COMPUTED_VALUE"""),0.8509728911034783)</f>
        <v>0.8509728911</v>
      </c>
      <c r="AE2406" s="82">
        <f>IFERROR(__xludf.DUMMYFUNCTION("""COMPUTED_VALUE"""),0.8180812799240533)</f>
        <v>0.8180812799</v>
      </c>
      <c r="AF2406" s="82">
        <f>IFERROR(__xludf.DUMMYFUNCTION("""COMPUTED_VALUE"""),0.33863553461512674)</f>
        <v>0.3386355346</v>
      </c>
      <c r="AG2406" s="82">
        <f>IFERROR(__xludf.DUMMYFUNCTION("""COMPUTED_VALUE"""),0.8895006826899318)</f>
        <v>0.8895006827</v>
      </c>
      <c r="AH2406" s="82">
        <f>IFERROR(__xludf.DUMMYFUNCTION("""COMPUTED_VALUE"""),0.9626591593947668)</f>
        <v>0.9626591594</v>
      </c>
      <c r="AI2406" s="82">
        <f>IFERROR(__xludf.DUMMYFUNCTION("""COMPUTED_VALUE"""),1.045832633011319)</f>
        <v>1.045832633</v>
      </c>
      <c r="AJ2406" s="82">
        <f>IFERROR(__xludf.DUMMYFUNCTION("""COMPUTED_VALUE"""),1.108546332459449)</f>
        <v>1.108546332</v>
      </c>
      <c r="AK2406" s="82">
        <f>IFERROR(__xludf.DUMMYFUNCTION("""COMPUTED_VALUE"""),1.1821273538184134)</f>
        <v>1.182127354</v>
      </c>
      <c r="AL2406" s="82">
        <f>IFERROR(__xludf.DUMMYFUNCTION("""COMPUTED_VALUE"""),1.0224793147542321)</f>
        <v>1.022479315</v>
      </c>
      <c r="AM2406" s="82">
        <f>IFERROR(__xludf.DUMMYFUNCTION("""COMPUTED_VALUE"""),0.9647318644399145)</f>
        <v>0.9647318644</v>
      </c>
      <c r="AN2406" s="82">
        <f>IFERROR(__xludf.DUMMYFUNCTION("""COMPUTED_VALUE"""),0.8592361902992058)</f>
        <v>0.8592361903</v>
      </c>
      <c r="AO2406" s="82">
        <f>IFERROR(__xludf.DUMMYFUNCTION("""COMPUTED_VALUE"""),0.8145199527189498)</f>
        <v>0.8145199527</v>
      </c>
      <c r="AP2406" s="82">
        <f>IFERROR(__xludf.DUMMYFUNCTION("""COMPUTED_VALUE"""),0.34224807723616574)</f>
        <v>0.3422480772</v>
      </c>
      <c r="AQ2406" s="82">
        <f>IFERROR(__xludf.DUMMYFUNCTION("""COMPUTED_VALUE"""),0.9074661245607458)</f>
        <v>0.9074661246</v>
      </c>
      <c r="AR2406" s="82">
        <f>IFERROR(__xludf.DUMMYFUNCTION("""COMPUTED_VALUE"""),0.9686467399214933)</f>
        <v>0.9686467399</v>
      </c>
      <c r="AS2406" s="82">
        <f>IFERROR(__xludf.DUMMYFUNCTION("""COMPUTED_VALUE"""),47.0)</f>
        <v>47</v>
      </c>
      <c r="AT2406" s="82">
        <f>IFERROR(__xludf.DUMMYFUNCTION("""COMPUTED_VALUE"""),0.27136754224543674)</f>
        <v>0.2713675422</v>
      </c>
      <c r="AU2406" s="82">
        <f>IFERROR(__xludf.DUMMYFUNCTION("""COMPUTED_VALUE"""),1.9771617953131595)</f>
        <v>1.977161795</v>
      </c>
      <c r="AV2406" s="82">
        <f>IFERROR(__xludf.DUMMYFUNCTION("""COMPUTED_VALUE"""),22.870505854281113)</f>
        <v>22.87050585</v>
      </c>
      <c r="AW2406" s="82">
        <f t="shared" si="1"/>
        <v>-7.198334601</v>
      </c>
      <c r="AX2406" s="83">
        <f t="array" ref="AX2406">IFERROR(DGET('SBV Import'!A:G,"SBV",{"RSC ID","Tier";B2406,A2406}))</f>
        <v>35.11713242</v>
      </c>
      <c r="AY2406" s="82">
        <f t="shared" si="2"/>
        <v>-3.625598053</v>
      </c>
      <c r="AZ2406" s="82">
        <v>3.5727365478878155</v>
      </c>
      <c r="BA2406" s="84">
        <v>2300.0</v>
      </c>
      <c r="BB2406" s="84" t="b">
        <f>IFERROR(__xludf.DUMMYFUNCTION("iferror(if(A2406="""",,E2406&gt;=FILTER(Constants!$F$2:$F$10,Constants!$A$2:$A$10=A2406)))"),TRUE)</f>
        <v>1</v>
      </c>
    </row>
    <row r="2407">
      <c r="A2407" s="89" t="str">
        <f>IFERROR(__xludf.DUMMYFUNCTION("""COMPUTED_VALUE"""),"Challenger")</f>
        <v>Challenger</v>
      </c>
      <c r="B2407" s="87" t="str">
        <f>IFERROR(__xludf.DUMMYFUNCTION("""COMPUTED_VALUE"""),"RSC005844")</f>
        <v>RSC005844</v>
      </c>
      <c r="C2407" s="73" t="str">
        <f>IFERROR(__xludf.DUMMYFUNCTION("""COMPUTED_VALUE"""),"xr.")</f>
        <v>xr.</v>
      </c>
      <c r="D2407" s="73" t="str">
        <f>IFERROR(__xludf.DUMMYFUNCTION("""COMPUTED_VALUE"""),"Bingo")</f>
        <v>Bingo</v>
      </c>
      <c r="E2407" s="82">
        <f>IFERROR(__xludf.DUMMYFUNCTION("""COMPUTED_VALUE"""),31.0)</f>
        <v>31</v>
      </c>
      <c r="F2407" s="82">
        <f>IFERROR(__xludf.DUMMYFUNCTION("""COMPUTED_VALUE"""),13.0)</f>
        <v>13</v>
      </c>
      <c r="G2407" s="86">
        <f>IFERROR(__xludf.DUMMYFUNCTION("""COMPUTED_VALUE"""),18.0)</f>
        <v>18</v>
      </c>
      <c r="H2407" s="86">
        <f>IFERROR(__xludf.DUMMYFUNCTION("""COMPUTED_VALUE"""),0.41935483870967744)</f>
        <v>0.4193548387</v>
      </c>
      <c r="I2407" s="86">
        <f>IFERROR(__xludf.DUMMYFUNCTION("""COMPUTED_VALUE"""),0.24074074074074076)</f>
        <v>0.2407407407</v>
      </c>
      <c r="J2407" s="82">
        <f>IFERROR(__xludf.DUMMYFUNCTION("""COMPUTED_VALUE"""),300.83870967741933)</f>
        <v>300.8387097</v>
      </c>
      <c r="K2407" s="82">
        <f>IFERROR(__xludf.DUMMYFUNCTION("""COMPUTED_VALUE"""),0.41935483870967744)</f>
        <v>0.4193548387</v>
      </c>
      <c r="L2407" s="82">
        <f>IFERROR(__xludf.DUMMYFUNCTION("""COMPUTED_VALUE"""),0.45161290322580644)</f>
        <v>0.4516129032</v>
      </c>
      <c r="M2407" s="82">
        <f>IFERROR(__xludf.DUMMYFUNCTION("""COMPUTED_VALUE"""),1.4838709677419355)</f>
        <v>1.483870968</v>
      </c>
      <c r="N2407" s="82">
        <f>IFERROR(__xludf.DUMMYFUNCTION("""COMPUTED_VALUE"""),1.7419354838709677)</f>
        <v>1.741935484</v>
      </c>
      <c r="O2407" s="82">
        <f>IFERROR(__xludf.DUMMYFUNCTION("""COMPUTED_VALUE"""),341.6129032258064)</f>
        <v>341.6129032</v>
      </c>
      <c r="P2407" s="82">
        <f>IFERROR(__xludf.DUMMYFUNCTION("""COMPUTED_VALUE"""),0.8924731182795699)</f>
        <v>0.8924731183</v>
      </c>
      <c r="Q2407" s="82">
        <f>IFERROR(__xludf.DUMMYFUNCTION("""COMPUTED_VALUE"""),0.6451612903225806)</f>
        <v>0.6451612903</v>
      </c>
      <c r="R2407" s="82">
        <f>IFERROR(__xludf.DUMMYFUNCTION("""COMPUTED_VALUE"""),0.9354838709677418)</f>
        <v>0.935483871</v>
      </c>
      <c r="S2407" s="82">
        <f>IFERROR(__xludf.DUMMYFUNCTION("""COMPUTED_VALUE"""),2.6236559139784945)</f>
        <v>2.623655914</v>
      </c>
      <c r="T2407" s="82">
        <f>IFERROR(__xludf.DUMMYFUNCTION("""COMPUTED_VALUE"""),334.35927701451067)</f>
        <v>334.359277</v>
      </c>
      <c r="U2407" s="82">
        <f>IFERROR(__xludf.DUMMYFUNCTION("""COMPUTED_VALUE"""),0.814718777167054)</f>
        <v>0.8147187772</v>
      </c>
      <c r="V2407" s="82">
        <f>IFERROR(__xludf.DUMMYFUNCTION("""COMPUTED_VALUE"""),0.5495514293897309)</f>
        <v>0.5495514294</v>
      </c>
      <c r="W2407" s="82">
        <f>IFERROR(__xludf.DUMMYFUNCTION("""COMPUTED_VALUE"""),1.0987820328522415)</f>
        <v>1.098782033</v>
      </c>
      <c r="X2407" s="82">
        <f>IFERROR(__xludf.DUMMYFUNCTION("""COMPUTED_VALUE"""),2.6148172702005246)</f>
        <v>2.61481727</v>
      </c>
      <c r="Y2407" s="82">
        <f>IFERROR(__xludf.DUMMYFUNCTION("""COMPUTED_VALUE"""),330.12435879922356)</f>
        <v>330.1243588</v>
      </c>
      <c r="Z2407" s="82">
        <f>IFERROR(__xludf.DUMMYFUNCTION("""COMPUTED_VALUE"""),0.7232501422877562)</f>
        <v>0.7232501423</v>
      </c>
      <c r="AA2407" s="82">
        <f>IFERROR(__xludf.DUMMYFUNCTION("""COMPUTED_VALUE"""),0.5047845151262242)</f>
        <v>0.5047845151</v>
      </c>
      <c r="AB2407" s="82">
        <f>IFERROR(__xludf.DUMMYFUNCTION("""COMPUTED_VALUE"""),1.2941337850145826)</f>
        <v>1.294133785</v>
      </c>
      <c r="AC2407" s="82">
        <f>IFERROR(__xludf.DUMMYFUNCTION("""COMPUTED_VALUE"""),2.253445212476425)</f>
        <v>2.253445212</v>
      </c>
      <c r="AD2407" s="82">
        <f>IFERROR(__xludf.DUMMYFUNCTION("""COMPUTED_VALUE"""),0.9112890389902573)</f>
        <v>0.911289039</v>
      </c>
      <c r="AE2407" s="82">
        <f>IFERROR(__xludf.DUMMYFUNCTION("""COMPUTED_VALUE"""),0.5798199187119284)</f>
        <v>0.5798199187</v>
      </c>
      <c r="AF2407" s="82">
        <f>IFERROR(__xludf.DUMMYFUNCTION("""COMPUTED_VALUE"""),0.894664732559948)</f>
        <v>0.8946647326</v>
      </c>
      <c r="AG2407" s="82">
        <f>IFERROR(__xludf.DUMMYFUNCTION("""COMPUTED_VALUE"""),1.1466132674414453)</f>
        <v>1.146613267</v>
      </c>
      <c r="AH2407" s="82">
        <f>IFERROR(__xludf.DUMMYFUNCTION("""COMPUTED_VALUE"""),0.7730099113244766)</f>
        <v>0.7730099113</v>
      </c>
      <c r="AI2407" s="82">
        <f>IFERROR(__xludf.DUMMYFUNCTION("""COMPUTED_VALUE"""),1.0216941078353299)</f>
        <v>1.021694108</v>
      </c>
      <c r="AJ2407" s="82">
        <f>IFERROR(__xludf.DUMMYFUNCTION("""COMPUTED_VALUE"""),1.0954370309014896)</f>
        <v>1.095437031</v>
      </c>
      <c r="AK2407" s="82">
        <f>IFERROR(__xludf.DUMMYFUNCTION("""COMPUTED_VALUE"""),1.173978004277094)</f>
        <v>1.173978004</v>
      </c>
      <c r="AL2407" s="82">
        <f>IFERROR(__xludf.DUMMYFUNCTION("""COMPUTED_VALUE"""),0.851382569971037)</f>
        <v>0.85138257</v>
      </c>
      <c r="AM2407" s="82">
        <f>IFERROR(__xludf.DUMMYFUNCTION("""COMPUTED_VALUE"""),1.0033802147013096)</f>
        <v>1.003380215</v>
      </c>
      <c r="AN2407" s="82">
        <f>IFERROR(__xludf.DUMMYFUNCTION("""COMPUTED_VALUE"""),0.9152047517571235)</f>
        <v>0.9152047518</v>
      </c>
      <c r="AO2407" s="82">
        <f>IFERROR(__xludf.DUMMYFUNCTION("""COMPUTED_VALUE"""),0.5530227635971979)</f>
        <v>0.5530227636</v>
      </c>
      <c r="AP2407" s="82">
        <f>IFERROR(__xludf.DUMMYFUNCTION("""COMPUTED_VALUE"""),0.8758606707764242)</f>
        <v>0.8758606708</v>
      </c>
      <c r="AQ2407" s="82">
        <f>IFERROR(__xludf.DUMMYFUNCTION("""COMPUTED_VALUE"""),1.2373818821386282)</f>
        <v>1.237381882</v>
      </c>
      <c r="AR2407" s="82">
        <f>IFERROR(__xludf.DUMMYFUNCTION("""COMPUTED_VALUE"""),0.7261884093490656)</f>
        <v>0.7261884093</v>
      </c>
      <c r="AS2407" s="82">
        <f>IFERROR(__xludf.DUMMYFUNCTION("""COMPUTED_VALUE"""),66.0)</f>
        <v>66</v>
      </c>
      <c r="AT2407" s="82">
        <f>IFERROR(__xludf.DUMMYFUNCTION("""COMPUTED_VALUE"""),0.4110460140367588)</f>
        <v>0.411046014</v>
      </c>
      <c r="AU2407" s="82">
        <f>IFERROR(__xludf.DUMMYFUNCTION("""COMPUTED_VALUE"""),1.967611143434243)</f>
        <v>1.967611143</v>
      </c>
      <c r="AV2407" s="82">
        <f>IFERROR(__xludf.DUMMYFUNCTION("""COMPUTED_VALUE"""),22.61796601155775)</f>
        <v>22.61796601</v>
      </c>
      <c r="AW2407" s="82">
        <f t="shared" si="1"/>
        <v>-7.315465784</v>
      </c>
      <c r="AX2407" s="83">
        <f t="array" ref="AX2407">IFERROR(DGET('SBV Import'!A:G,"SBV",{"RSC ID","Tier";B2407,A2407}))</f>
        <v>32.70535568</v>
      </c>
      <c r="AY2407" s="82">
        <f t="shared" si="2"/>
        <v>-4.089378499</v>
      </c>
      <c r="AZ2407" s="82">
        <v>3.226087285300366</v>
      </c>
      <c r="BA2407" s="84">
        <v>2300.0</v>
      </c>
      <c r="BB2407" s="84" t="b">
        <f>IFERROR(__xludf.DUMMYFUNCTION("iferror(if(A2407="""",,E2407&gt;=FILTER(Constants!$F$2:$F$10,Constants!$A$2:$A$10=A2407)))"),TRUE)</f>
        <v>1</v>
      </c>
    </row>
    <row r="2408">
      <c r="A2408" s="89" t="str">
        <f>IFERROR(__xludf.DUMMYFUNCTION("""COMPUTED_VALUE"""),"Challenger")</f>
        <v>Challenger</v>
      </c>
      <c r="B2408" s="87" t="str">
        <f>IFERROR(__xludf.DUMMYFUNCTION("""COMPUTED_VALUE"""),"RSC006642")</f>
        <v>RSC006642</v>
      </c>
      <c r="C2408" s="73" t="str">
        <f>IFERROR(__xludf.DUMMYFUNCTION("""COMPUTED_VALUE"""),"Zonekiller.")</f>
        <v>Zonekiller.</v>
      </c>
      <c r="D2408" s="73" t="str">
        <f>IFERROR(__xludf.DUMMYFUNCTION("""COMPUTED_VALUE"""),"Pharaohs")</f>
        <v>Pharaohs</v>
      </c>
      <c r="E2408" s="82">
        <f>IFERROR(__xludf.DUMMYFUNCTION("""COMPUTED_VALUE"""),25.0)</f>
        <v>25</v>
      </c>
      <c r="F2408" s="82">
        <f>IFERROR(__xludf.DUMMYFUNCTION("""COMPUTED_VALUE"""),10.0)</f>
        <v>10</v>
      </c>
      <c r="G2408" s="86">
        <f>IFERROR(__xludf.DUMMYFUNCTION("""COMPUTED_VALUE"""),15.0)</f>
        <v>15</v>
      </c>
      <c r="H2408" s="86">
        <f>IFERROR(__xludf.DUMMYFUNCTION("""COMPUTED_VALUE"""),0.4)</f>
        <v>0.4</v>
      </c>
      <c r="I2408" s="86">
        <f>IFERROR(__xludf.DUMMYFUNCTION("""COMPUTED_VALUE"""),0.326530612244898)</f>
        <v>0.3265306122</v>
      </c>
      <c r="J2408" s="82">
        <f>IFERROR(__xludf.DUMMYFUNCTION("""COMPUTED_VALUE"""),310.68)</f>
        <v>310.68</v>
      </c>
      <c r="K2408" s="82">
        <f>IFERROR(__xludf.DUMMYFUNCTION("""COMPUTED_VALUE"""),0.64)</f>
        <v>0.64</v>
      </c>
      <c r="L2408" s="82">
        <f>IFERROR(__xludf.DUMMYFUNCTION("""COMPUTED_VALUE"""),0.2)</f>
        <v>0.2</v>
      </c>
      <c r="M2408" s="82">
        <f>IFERROR(__xludf.DUMMYFUNCTION("""COMPUTED_VALUE"""),1.4)</f>
        <v>1.4</v>
      </c>
      <c r="N2408" s="82">
        <f>IFERROR(__xludf.DUMMYFUNCTION("""COMPUTED_VALUE"""),1.96)</f>
        <v>1.96</v>
      </c>
      <c r="O2408" s="82">
        <f>IFERROR(__xludf.DUMMYFUNCTION("""COMPUTED_VALUE"""),338.13333333333327)</f>
        <v>338.1333333</v>
      </c>
      <c r="P2408" s="82">
        <f>IFERROR(__xludf.DUMMYFUNCTION("""COMPUTED_VALUE"""),0.7866666666666667)</f>
        <v>0.7866666667</v>
      </c>
      <c r="Q2408" s="82">
        <f>IFERROR(__xludf.DUMMYFUNCTION("""COMPUTED_VALUE"""),0.5466666666666665)</f>
        <v>0.5466666667</v>
      </c>
      <c r="R2408" s="82">
        <f>IFERROR(__xludf.DUMMYFUNCTION("""COMPUTED_VALUE"""),0.9466666666666665)</f>
        <v>0.9466666667</v>
      </c>
      <c r="S2408" s="82">
        <f>IFERROR(__xludf.DUMMYFUNCTION("""COMPUTED_VALUE"""),2.8933333333333335)</f>
        <v>2.893333333</v>
      </c>
      <c r="T2408" s="82">
        <f>IFERROR(__xludf.DUMMYFUNCTION("""COMPUTED_VALUE"""),319.4347818698567)</f>
        <v>319.4347819</v>
      </c>
      <c r="U2408" s="82">
        <f>IFERROR(__xludf.DUMMYFUNCTION("""COMPUTED_VALUE"""),0.6769402436764865)</f>
        <v>0.6769402437</v>
      </c>
      <c r="V2408" s="82">
        <f>IFERROR(__xludf.DUMMYFUNCTION("""COMPUTED_VALUE"""),0.47020192353035484)</f>
        <v>0.4702019235</v>
      </c>
      <c r="W2408" s="82">
        <f>IFERROR(__xludf.DUMMYFUNCTION("""COMPUTED_VALUE"""),1.1419777290844657)</f>
        <v>1.141977729</v>
      </c>
      <c r="X2408" s="82">
        <f>IFERROR(__xludf.DUMMYFUNCTION("""COMPUTED_VALUE"""),2.367190293191241)</f>
        <v>2.367190293</v>
      </c>
      <c r="Y2408" s="82">
        <f>IFERROR(__xludf.DUMMYFUNCTION("""COMPUTED_VALUE"""),332.532670834298)</f>
        <v>332.5326708</v>
      </c>
      <c r="Z2408" s="82">
        <f>IFERROR(__xludf.DUMMYFUNCTION("""COMPUTED_VALUE"""),0.7660648266040421)</f>
        <v>0.7660648266</v>
      </c>
      <c r="AA2408" s="82">
        <f>IFERROR(__xludf.DUMMYFUNCTION("""COMPUTED_VALUE"""),0.5080385097016977)</f>
        <v>0.5080385097</v>
      </c>
      <c r="AB2408" s="82">
        <f>IFERROR(__xludf.DUMMYFUNCTION("""COMPUTED_VALUE"""),1.2308292360823985)</f>
        <v>1.230829236</v>
      </c>
      <c r="AC2408" s="82">
        <f>IFERROR(__xludf.DUMMYFUNCTION("""COMPUTED_VALUE"""),2.4043954913886925)</f>
        <v>2.404395491</v>
      </c>
      <c r="AD2408" s="82">
        <f>IFERROR(__xludf.DUMMYFUNCTION("""COMPUTED_VALUE"""),0.9342841388201906)</f>
        <v>0.9342841388</v>
      </c>
      <c r="AE2408" s="82">
        <f>IFERROR(__xludf.DUMMYFUNCTION("""COMPUTED_VALUE"""),0.8354384352002086)</f>
        <v>0.8354384352</v>
      </c>
      <c r="AF2408" s="82">
        <f>IFERROR(__xludf.DUMMYFUNCTION("""COMPUTED_VALUE"""),0.39367094458534835)</f>
        <v>0.3936709446</v>
      </c>
      <c r="AG2408" s="82">
        <f>IFERROR(__xludf.DUMMYFUNCTION("""COMPUTED_VALUE"""),1.1374445446681576)</f>
        <v>1.137444545</v>
      </c>
      <c r="AH2408" s="82">
        <f>IFERROR(__xludf.DUMMYFUNCTION("""COMPUTED_VALUE"""),0.815173712901938)</f>
        <v>0.8151737129</v>
      </c>
      <c r="AI2408" s="82">
        <f>IFERROR(__xludf.DUMMYFUNCTION("""COMPUTED_VALUE"""),1.0585363664971672)</f>
        <v>1.058536366</v>
      </c>
      <c r="AJ2408" s="82">
        <f>IFERROR(__xludf.DUMMYFUNCTION("""COMPUTED_VALUE"""),1.1620917415018084)</f>
        <v>1.162091742</v>
      </c>
      <c r="AK2408" s="82">
        <f>IFERROR(__xludf.DUMMYFUNCTION("""COMPUTED_VALUE"""),1.162621076839077)</f>
        <v>1.162621077</v>
      </c>
      <c r="AL2408" s="82">
        <f>IFERROR(__xludf.DUMMYFUNCTION("""COMPUTED_VALUE"""),0.828971215949735)</f>
        <v>0.8289712159</v>
      </c>
      <c r="AM2408" s="82">
        <f>IFERROR(__xludf.DUMMYFUNCTION("""COMPUTED_VALUE"""),1.2222647843966916)</f>
        <v>1.222264784</v>
      </c>
      <c r="AN2408" s="82">
        <f>IFERROR(__xludf.DUMMYFUNCTION("""COMPUTED_VALUE"""),0.9451437036835726)</f>
        <v>0.9451437037</v>
      </c>
      <c r="AO2408" s="82">
        <f>IFERROR(__xludf.DUMMYFUNCTION("""COMPUTED_VALUE"""),0.8439978176744928)</f>
        <v>0.8439978177</v>
      </c>
      <c r="AP2408" s="82">
        <f>IFERROR(__xludf.DUMMYFUNCTION("""COMPUTED_VALUE"""),0.38788115420098784)</f>
        <v>0.3878811542</v>
      </c>
      <c r="AQ2408" s="82">
        <f>IFERROR(__xludf.DUMMYFUNCTION("""COMPUTED_VALUE"""),1.1674429061916622)</f>
        <v>1.167442906</v>
      </c>
      <c r="AR2408" s="82">
        <f>IFERROR(__xludf.DUMMYFUNCTION("""COMPUTED_VALUE"""),0.8170964398527634)</f>
        <v>0.8170964399</v>
      </c>
      <c r="AS2408" s="82">
        <f>IFERROR(__xludf.DUMMYFUNCTION("""COMPUTED_VALUE"""),43.0)</f>
        <v>43</v>
      </c>
      <c r="AT2408" s="82">
        <f>IFERROR(__xludf.DUMMYFUNCTION("""COMPUTED_VALUE"""),0.38376498684650273)</f>
        <v>0.3837649868</v>
      </c>
      <c r="AU2408" s="82">
        <f>IFERROR(__xludf.DUMMYFUNCTION("""COMPUTED_VALUE"""),1.8616167216887693)</f>
        <v>1.861616722</v>
      </c>
      <c r="AV2408" s="82">
        <f>IFERROR(__xludf.DUMMYFUNCTION("""COMPUTED_VALUE"""),19.815244800846816)</f>
        <v>19.8152448</v>
      </c>
      <c r="AW2408" s="82">
        <f t="shared" si="1"/>
        <v>-8.79964466</v>
      </c>
      <c r="AX2408" s="83">
        <f t="array" ref="AX2408">IFERROR(DGET('SBV Import'!A:G,"SBV",{"RSC ID","Tier";B2408,A2408}))</f>
        <v>31.60273207</v>
      </c>
      <c r="AY2408" s="82">
        <f t="shared" si="2"/>
        <v>-4.330905363</v>
      </c>
      <c r="AZ2408" s="82">
        <v>4.468739297797464</v>
      </c>
      <c r="BA2408" s="84">
        <v>2300.0</v>
      </c>
      <c r="BB2408" s="84" t="b">
        <f>IFERROR(__xludf.DUMMYFUNCTION("iferror(if(A2408="""",,E2408&gt;=FILTER(Constants!$F$2:$F$10,Constants!$A$2:$A$10=A2408)))"),TRUE)</f>
        <v>1</v>
      </c>
    </row>
    <row r="2409">
      <c r="A2409" s="89" t="str">
        <f>IFERROR(__xludf.DUMMYFUNCTION("""COMPUTED_VALUE"""),"Challenger")</f>
        <v>Challenger</v>
      </c>
      <c r="B2409" s="87" t="str">
        <f>IFERROR(__xludf.DUMMYFUNCTION("""COMPUTED_VALUE"""),"RSC006187")</f>
        <v>RSC006187</v>
      </c>
      <c r="C2409" s="73" t="str">
        <f>IFERROR(__xludf.DUMMYFUNCTION("""COMPUTED_VALUE"""),"1985 Fiat Panda")</f>
        <v>1985 Fiat Panda</v>
      </c>
      <c r="D2409" s="73" t="str">
        <f>IFERROR(__xludf.DUMMYFUNCTION("""COMPUTED_VALUE"""),"Quarter")</f>
        <v>Quarter</v>
      </c>
      <c r="E2409" s="82">
        <f>IFERROR(__xludf.DUMMYFUNCTION("""COMPUTED_VALUE"""),30.0)</f>
        <v>30</v>
      </c>
      <c r="F2409" s="82">
        <f>IFERROR(__xludf.DUMMYFUNCTION("""COMPUTED_VALUE"""),8.0)</f>
        <v>8</v>
      </c>
      <c r="G2409" s="86">
        <f>IFERROR(__xludf.DUMMYFUNCTION("""COMPUTED_VALUE"""),22.0)</f>
        <v>22</v>
      </c>
      <c r="H2409" s="86">
        <f>IFERROR(__xludf.DUMMYFUNCTION("""COMPUTED_VALUE"""),0.26666666666666666)</f>
        <v>0.2666666667</v>
      </c>
      <c r="I2409" s="86">
        <f>IFERROR(__xludf.DUMMYFUNCTION("""COMPUTED_VALUE"""),0.3877551020408163)</f>
        <v>0.387755102</v>
      </c>
      <c r="J2409" s="82">
        <f>IFERROR(__xludf.DUMMYFUNCTION("""COMPUTED_VALUE"""),308.56666666666666)</f>
        <v>308.5666667</v>
      </c>
      <c r="K2409" s="82">
        <f>IFERROR(__xludf.DUMMYFUNCTION("""COMPUTED_VALUE"""),0.6333333333333333)</f>
        <v>0.6333333333</v>
      </c>
      <c r="L2409" s="82">
        <f>IFERROR(__xludf.DUMMYFUNCTION("""COMPUTED_VALUE"""),0.26666666666666666)</f>
        <v>0.2666666667</v>
      </c>
      <c r="M2409" s="82">
        <f>IFERROR(__xludf.DUMMYFUNCTION("""COMPUTED_VALUE"""),1.2333333333333334)</f>
        <v>1.233333333</v>
      </c>
      <c r="N2409" s="82">
        <f>IFERROR(__xludf.DUMMYFUNCTION("""COMPUTED_VALUE"""),1.6333333333333333)</f>
        <v>1.633333333</v>
      </c>
      <c r="O2409" s="82">
        <f>IFERROR(__xludf.DUMMYFUNCTION("""COMPUTED_VALUE"""),353.5444444444445)</f>
        <v>353.5444444</v>
      </c>
      <c r="P2409" s="82">
        <f>IFERROR(__xludf.DUMMYFUNCTION("""COMPUTED_VALUE"""),0.9444444444444445)</f>
        <v>0.9444444444</v>
      </c>
      <c r="Q2409" s="82">
        <f>IFERROR(__xludf.DUMMYFUNCTION("""COMPUTED_VALUE"""),0.6555555555555556)</f>
        <v>0.6555555556</v>
      </c>
      <c r="R2409" s="82">
        <f>IFERROR(__xludf.DUMMYFUNCTION("""COMPUTED_VALUE"""),0.9777777777777779)</f>
        <v>0.9777777778</v>
      </c>
      <c r="S2409" s="82">
        <f>IFERROR(__xludf.DUMMYFUNCTION("""COMPUTED_VALUE"""),2.811111111111111)</f>
        <v>2.811111111</v>
      </c>
      <c r="T2409" s="82">
        <f>IFERROR(__xludf.DUMMYFUNCTION("""COMPUTED_VALUE"""),340.1815202069933)</f>
        <v>340.1815202</v>
      </c>
      <c r="U2409" s="82">
        <f>IFERROR(__xludf.DUMMYFUNCTION("""COMPUTED_VALUE"""),0.825227587592223)</f>
        <v>0.8252275876</v>
      </c>
      <c r="V2409" s="82">
        <f>IFERROR(__xludf.DUMMYFUNCTION("""COMPUTED_VALUE"""),0.5772581375674284)</f>
        <v>0.5772581376</v>
      </c>
      <c r="W2409" s="82">
        <f>IFERROR(__xludf.DUMMYFUNCTION("""COMPUTED_VALUE"""),1.1449664365348553)</f>
        <v>1.144966437</v>
      </c>
      <c r="X2409" s="82">
        <f>IFERROR(__xludf.DUMMYFUNCTION("""COMPUTED_VALUE"""),2.499536593127211)</f>
        <v>2.499536593</v>
      </c>
      <c r="Y2409" s="82">
        <f>IFERROR(__xludf.DUMMYFUNCTION("""COMPUTED_VALUE"""),332.4924384587555)</f>
        <v>332.4924385</v>
      </c>
      <c r="Z2409" s="82">
        <f>IFERROR(__xludf.DUMMYFUNCTION("""COMPUTED_VALUE"""),0.7707032430626417)</f>
        <v>0.7707032431</v>
      </c>
      <c r="AA2409" s="82">
        <f>IFERROR(__xludf.DUMMYFUNCTION("""COMPUTED_VALUE"""),0.5132441198761218)</f>
        <v>0.5132441199</v>
      </c>
      <c r="AB2409" s="82">
        <f>IFERROR(__xludf.DUMMYFUNCTION("""COMPUTED_VALUE"""),1.2025671710711654)</f>
        <v>1.202567171</v>
      </c>
      <c r="AC2409" s="82">
        <f>IFERROR(__xludf.DUMMYFUNCTION("""COMPUTED_VALUE"""),2.343852972153615)</f>
        <v>2.343852972</v>
      </c>
      <c r="AD2409" s="82">
        <f>IFERROR(__xludf.DUMMYFUNCTION("""COMPUTED_VALUE"""),0.9280411551522946)</f>
        <v>0.9280411552</v>
      </c>
      <c r="AE2409" s="82">
        <f>IFERROR(__xludf.DUMMYFUNCTION("""COMPUTED_VALUE"""),0.8217603066214901)</f>
        <v>0.8217603066</v>
      </c>
      <c r="AF2409" s="82">
        <f>IFERROR(__xludf.DUMMYFUNCTION("""COMPUTED_VALUE"""),0.5195708169652876)</f>
        <v>0.519570817</v>
      </c>
      <c r="AG2409" s="82">
        <f>IFERROR(__xludf.DUMMYFUNCTION("""COMPUTED_VALUE"""),1.0255837370271497)</f>
        <v>1.025583737</v>
      </c>
      <c r="AH2409" s="82">
        <f>IFERROR(__xludf.DUMMYFUNCTION("""COMPUTED_VALUE"""),0.6968582725701301)</f>
        <v>0.6968582726</v>
      </c>
      <c r="AI2409" s="82">
        <f>IFERROR(__xludf.DUMMYFUNCTION("""COMPUTED_VALUE"""),1.039281746490286)</f>
        <v>1.039281746</v>
      </c>
      <c r="AJ2409" s="82">
        <f>IFERROR(__xludf.DUMMYFUNCTION("""COMPUTED_VALUE"""),1.1444654282584783)</f>
        <v>1.144465428</v>
      </c>
      <c r="AK2409" s="82">
        <f>IFERROR(__xludf.DUMMYFUNCTION("""COMPUTED_VALUE"""),1.1356367505152432)</f>
        <v>1.135636751</v>
      </c>
      <c r="AL2409" s="82">
        <f>IFERROR(__xludf.DUMMYFUNCTION("""COMPUTED_VALUE"""),0.8539794238309204)</f>
        <v>0.8539794238</v>
      </c>
      <c r="AM2409" s="82">
        <f>IFERROR(__xludf.DUMMYFUNCTION("""COMPUTED_VALUE"""),1.124652913200236)</f>
        <v>1.124652913</v>
      </c>
      <c r="AN2409" s="82">
        <f>IFERROR(__xludf.DUMMYFUNCTION("""COMPUTED_VALUE"""),0.9387145685806222)</f>
        <v>0.9387145686</v>
      </c>
      <c r="AO2409" s="82">
        <f>IFERROR(__xludf.DUMMYFUNCTION("""COMPUTED_VALUE"""),0.8352061737403834)</f>
        <v>0.8352061737</v>
      </c>
      <c r="AP2409" s="82">
        <f>IFERROR(__xludf.DUMMYFUNCTION("""COMPUTED_VALUE"""),0.5171748722679838)</f>
        <v>0.5171748723</v>
      </c>
      <c r="AQ2409" s="82">
        <f>IFERROR(__xludf.DUMMYFUNCTION("""COMPUTED_VALUE"""),1.028461607835512)</f>
        <v>1.028461608</v>
      </c>
      <c r="AR2409" s="82">
        <f>IFERROR(__xludf.DUMMYFUNCTION("""COMPUTED_VALUE"""),0.6809136998773029)</f>
        <v>0.6809136999</v>
      </c>
      <c r="AS2409" s="82">
        <f>IFERROR(__xludf.DUMMYFUNCTION("""COMPUTED_VALUE"""),56.0)</f>
        <v>56</v>
      </c>
      <c r="AT2409" s="82">
        <f>IFERROR(__xludf.DUMMYFUNCTION("""COMPUTED_VALUE"""),0.3428455794956665)</f>
        <v>0.3428455795</v>
      </c>
      <c r="AU2409" s="82">
        <f>IFERROR(__xludf.DUMMYFUNCTION("""COMPUTED_VALUE"""),1.8398400732913949)</f>
        <v>1.839840073</v>
      </c>
      <c r="AV2409" s="82">
        <f>IFERROR(__xludf.DUMMYFUNCTION("""COMPUTED_VALUE"""),19.239423230650626)</f>
        <v>19.23942323</v>
      </c>
      <c r="AW2409" s="82">
        <f t="shared" si="1"/>
        <v>-9.151696389</v>
      </c>
      <c r="AX2409" s="83">
        <f t="array" ref="AX2409">IFERROR(DGET('SBV Import'!A:G,"SBV",{"RSC ID","Tier";B2409,A2409}))</f>
        <v>31.88498236</v>
      </c>
      <c r="AY2409" s="82">
        <f t="shared" si="2"/>
        <v>-4.267148903</v>
      </c>
      <c r="AZ2409" s="82">
        <v>4.884547485420323</v>
      </c>
      <c r="BA2409" s="84">
        <v>2300.0</v>
      </c>
      <c r="BB2409" s="84" t="b">
        <f>IFERROR(__xludf.DUMMYFUNCTION("iferror(if(A2409="""",,E2409&gt;=FILTER(Constants!$F$2:$F$10,Constants!$A$2:$A$10=A2409)))"),TRUE)</f>
        <v>1</v>
      </c>
    </row>
    <row r="2410">
      <c r="A2410" s="89" t="str">
        <f>IFERROR(__xludf.DUMMYFUNCTION("""COMPUTED_VALUE"""),"Challenger")</f>
        <v>Challenger</v>
      </c>
      <c r="B2410" s="87" t="str">
        <f>IFERROR(__xludf.DUMMYFUNCTION("""COMPUTED_VALUE"""),"RSC007967")</f>
        <v>RSC007967</v>
      </c>
      <c r="C2410" s="73" t="str">
        <f>IFERROR(__xludf.DUMMYFUNCTION("""COMPUTED_VALUE"""),"davisino1605")</f>
        <v>davisino1605</v>
      </c>
      <c r="D2410" s="73" t="str">
        <f>IFERROR(__xludf.DUMMYFUNCTION("""COMPUTED_VALUE"""),"Threshers")</f>
        <v>Threshers</v>
      </c>
      <c r="E2410" s="82">
        <f>IFERROR(__xludf.DUMMYFUNCTION("""COMPUTED_VALUE"""),5.0)</f>
        <v>5</v>
      </c>
      <c r="F2410" s="82">
        <f>IFERROR(__xludf.DUMMYFUNCTION("""COMPUTED_VALUE"""),1.0)</f>
        <v>1</v>
      </c>
      <c r="G2410" s="86">
        <f>IFERROR(__xludf.DUMMYFUNCTION("""COMPUTED_VALUE"""),4.0)</f>
        <v>4</v>
      </c>
      <c r="H2410" s="86">
        <f>IFERROR(__xludf.DUMMYFUNCTION("""COMPUTED_VALUE"""),0.2)</f>
        <v>0.2</v>
      </c>
      <c r="I2410" s="86">
        <f>IFERROR(__xludf.DUMMYFUNCTION("""COMPUTED_VALUE"""),0.5714285714285715)</f>
        <v>0.5714285714</v>
      </c>
      <c r="J2410" s="82">
        <f>IFERROR(__xludf.DUMMYFUNCTION("""COMPUTED_VALUE"""),246.0)</f>
        <v>246</v>
      </c>
      <c r="K2410" s="82">
        <f>IFERROR(__xludf.DUMMYFUNCTION("""COMPUTED_VALUE"""),0.8)</f>
        <v>0.8</v>
      </c>
      <c r="L2410" s="82">
        <f>IFERROR(__xludf.DUMMYFUNCTION("""COMPUTED_VALUE"""),0.4)</f>
        <v>0.4</v>
      </c>
      <c r="M2410" s="82">
        <f>IFERROR(__xludf.DUMMYFUNCTION("""COMPUTED_VALUE"""),0.8)</f>
        <v>0.8</v>
      </c>
      <c r="N2410" s="82">
        <f>IFERROR(__xludf.DUMMYFUNCTION("""COMPUTED_VALUE"""),1.4)</f>
        <v>1.4</v>
      </c>
      <c r="O2410" s="82">
        <f>IFERROR(__xludf.DUMMYFUNCTION("""COMPUTED_VALUE"""),435.9333333333333)</f>
        <v>435.9333333</v>
      </c>
      <c r="P2410" s="82">
        <f>IFERROR(__xludf.DUMMYFUNCTION("""COMPUTED_VALUE"""),1.3333333333333333)</f>
        <v>1.333333333</v>
      </c>
      <c r="Q2410" s="82">
        <f>IFERROR(__xludf.DUMMYFUNCTION("""COMPUTED_VALUE"""),1.0666666666666669)</f>
        <v>1.066666667</v>
      </c>
      <c r="R2410" s="82">
        <f>IFERROR(__xludf.DUMMYFUNCTION("""COMPUTED_VALUE"""),1.4)</f>
        <v>1.4</v>
      </c>
      <c r="S2410" s="82">
        <f>IFERROR(__xludf.DUMMYFUNCTION("""COMPUTED_VALUE"""),3.2666666666666666)</f>
        <v>3.266666667</v>
      </c>
      <c r="T2410" s="82">
        <f>IFERROR(__xludf.DUMMYFUNCTION("""COMPUTED_VALUE"""),376.6360833333333)</f>
        <v>376.6360833</v>
      </c>
      <c r="U2410" s="82">
        <f>IFERROR(__xludf.DUMMYFUNCTION("""COMPUTED_VALUE"""),0.9635)</f>
        <v>0.9635</v>
      </c>
      <c r="V2410" s="82">
        <f>IFERROR(__xludf.DUMMYFUNCTION("""COMPUTED_VALUE"""),0.744)</f>
        <v>0.744</v>
      </c>
      <c r="W2410" s="82">
        <f>IFERROR(__xludf.DUMMYFUNCTION("""COMPUTED_VALUE"""),1.3054999999999999)</f>
        <v>1.3055</v>
      </c>
      <c r="X2410" s="82">
        <f>IFERROR(__xludf.DUMMYFUNCTION("""COMPUTED_VALUE"""),2.7735833333333333)</f>
        <v>2.773583333</v>
      </c>
      <c r="Y2410" s="82">
        <f>IFERROR(__xludf.DUMMYFUNCTION("""COMPUTED_VALUE"""),337.2808611111111)</f>
        <v>337.2808611</v>
      </c>
      <c r="Z2410" s="82">
        <f>IFERROR(__xludf.DUMMYFUNCTION("""COMPUTED_VALUE"""),0.6737777777777778)</f>
        <v>0.6737777778</v>
      </c>
      <c r="AA2410" s="82">
        <f>IFERROR(__xludf.DUMMYFUNCTION("""COMPUTED_VALUE"""),0.5325555555555556)</f>
        <v>0.5325555556</v>
      </c>
      <c r="AB2410" s="82">
        <f>IFERROR(__xludf.DUMMYFUNCTION("""COMPUTED_VALUE"""),1.3628055555555556)</f>
        <v>1.362805556</v>
      </c>
      <c r="AC2410" s="82">
        <f>IFERROR(__xludf.DUMMYFUNCTION("""COMPUTED_VALUE"""),2.2994166666666667)</f>
        <v>2.299416667</v>
      </c>
      <c r="AD2410" s="82">
        <f>IFERROR(__xludf.DUMMYFUNCTION("""COMPUTED_VALUE"""),0.7293624642370672)</f>
        <v>0.7293624642</v>
      </c>
      <c r="AE2410" s="82">
        <f>IFERROR(__xludf.DUMMYFUNCTION("""COMPUTED_VALUE"""),1.187335092348285)</f>
        <v>1.187335092</v>
      </c>
      <c r="AF2410" s="82">
        <f>IFERROR(__xludf.DUMMYFUNCTION("""COMPUTED_VALUE"""),0.7510953473815982)</f>
        <v>0.7510953474</v>
      </c>
      <c r="AG2410" s="82">
        <f>IFERROR(__xludf.DUMMYFUNCTION("""COMPUTED_VALUE"""),0.5870243166670064)</f>
        <v>0.5870243167</v>
      </c>
      <c r="AH2410" s="82">
        <f>IFERROR(__xludf.DUMMYFUNCTION("""COMPUTED_VALUE"""),0.6088500706700974)</f>
        <v>0.6088500707</v>
      </c>
      <c r="AI2410" s="82">
        <f>IFERROR(__xludf.DUMMYFUNCTION("""COMPUTED_VALUE"""),1.1574391106534534)</f>
        <v>1.157439111</v>
      </c>
      <c r="AJ2410" s="82">
        <f>IFERROR(__xludf.DUMMYFUNCTION("""COMPUTED_VALUE"""),1.383843625670299)</f>
        <v>1.383843626</v>
      </c>
      <c r="AK2410" s="82">
        <f>IFERROR(__xludf.DUMMYFUNCTION("""COMPUTED_VALUE"""),1.4336917562724016)</f>
        <v>1.433691756</v>
      </c>
      <c r="AL2410" s="82">
        <f>IFERROR(__xludf.DUMMYFUNCTION("""COMPUTED_VALUE"""),1.0723860589812333)</f>
        <v>1.072386059</v>
      </c>
      <c r="AM2410" s="82">
        <f>IFERROR(__xludf.DUMMYFUNCTION("""COMPUTED_VALUE"""),1.1777784454526334)</f>
        <v>1.177778445</v>
      </c>
      <c r="AN2410" s="82">
        <f>IFERROR(__xludf.DUMMYFUNCTION("""COMPUTED_VALUE"""),0.7483756634033696)</f>
        <v>0.7483756634</v>
      </c>
      <c r="AO2410" s="82">
        <f>IFERROR(__xludf.DUMMYFUNCTION("""COMPUTED_VALUE"""),1.054997272093116)</f>
        <v>1.054997272</v>
      </c>
      <c r="AP2410" s="82">
        <f>IFERROR(__xludf.DUMMYFUNCTION("""COMPUTED_VALUE"""),0.7757623084019757)</f>
        <v>0.7757623084</v>
      </c>
      <c r="AQ2410" s="82">
        <f>IFERROR(__xludf.DUMMYFUNCTION("""COMPUTED_VALUE"""),0.6671102321095214)</f>
        <v>0.6671102321</v>
      </c>
      <c r="AR2410" s="82">
        <f>IFERROR(__xludf.DUMMYFUNCTION("""COMPUTED_VALUE"""),0.5836403141805453)</f>
        <v>0.5836403142</v>
      </c>
      <c r="AS2410" s="82">
        <f>IFERROR(__xludf.DUMMYFUNCTION("""COMPUTED_VALUE"""),10.0)</f>
        <v>10</v>
      </c>
      <c r="AT2410" s="82">
        <f>IFERROR(__xludf.DUMMYFUNCTION("""COMPUTED_VALUE"""),0.23881437916311218)</f>
        <v>0.2388143792</v>
      </c>
      <c r="AU2410" s="82">
        <f>IFERROR(__xludf.DUMMYFUNCTION("""COMPUTED_VALUE"""),1.7867954242881225)</f>
        <v>1.786795424</v>
      </c>
      <c r="AV2410" s="82">
        <f>IFERROR(__xludf.DUMMYFUNCTION("""COMPUTED_VALUE"""),17.836808258768514)</f>
        <v>17.83680826</v>
      </c>
      <c r="AW2410" s="82">
        <f t="shared" si="1"/>
        <v>-10.08781602</v>
      </c>
      <c r="AX2410" s="83">
        <f t="array" ref="AX2410">IFERROR(DGET('SBV Import'!A:G,"SBV",{"RSC ID","Tier";B2410,A2410}))</f>
        <v>-5.76511857</v>
      </c>
      <c r="AY2410" s="82">
        <f t="shared" si="2"/>
        <v>-77.79884545</v>
      </c>
      <c r="AZ2410" s="82">
        <v>67.71102942420384</v>
      </c>
      <c r="BA2410" s="84">
        <v>2300.0</v>
      </c>
      <c r="BB2410" s="84" t="b">
        <f>IFERROR(__xludf.DUMMYFUNCTION("iferror(if(A2410="""",,E2410&gt;=FILTER(Constants!$F$2:$F$10,Constants!$A$2:$A$10=A2410)))"),TRUE)</f>
        <v>1</v>
      </c>
    </row>
    <row r="2411">
      <c r="A2411" s="89" t="str">
        <f>IFERROR(__xludf.DUMMYFUNCTION("""COMPUTED_VALUE"""),"Challenger")</f>
        <v>Challenger</v>
      </c>
      <c r="B2411" s="87" t="str">
        <f>IFERROR(__xludf.DUMMYFUNCTION("""COMPUTED_VALUE"""),"RSC007568")</f>
        <v>RSC007568</v>
      </c>
      <c r="C2411" s="73" t="str">
        <f>IFERROR(__xludf.DUMMYFUNCTION("""COMPUTED_VALUE"""),"Chills1912")</f>
        <v>Chills1912</v>
      </c>
      <c r="D2411" s="73" t="str">
        <f>IFERROR(__xludf.DUMMYFUNCTION("""COMPUTED_VALUE"""),"Threshers")</f>
        <v>Threshers</v>
      </c>
      <c r="E2411" s="82">
        <f>IFERROR(__xludf.DUMMYFUNCTION("""COMPUTED_VALUE"""),11.0)</f>
        <v>11</v>
      </c>
      <c r="F2411" s="82">
        <f>IFERROR(__xludf.DUMMYFUNCTION("""COMPUTED_VALUE"""),4.0)</f>
        <v>4</v>
      </c>
      <c r="G2411" s="86">
        <f>IFERROR(__xludf.DUMMYFUNCTION("""COMPUTED_VALUE"""),7.0)</f>
        <v>7</v>
      </c>
      <c r="H2411" s="86">
        <f>IFERROR(__xludf.DUMMYFUNCTION("""COMPUTED_VALUE"""),0.36363636363636365)</f>
        <v>0.3636363636</v>
      </c>
      <c r="I2411" s="86">
        <f>IFERROR(__xludf.DUMMYFUNCTION("""COMPUTED_VALUE"""),0.3157894736842105)</f>
        <v>0.3157894737</v>
      </c>
      <c r="J2411" s="82">
        <f>IFERROR(__xludf.DUMMYFUNCTION("""COMPUTED_VALUE"""),300.3636363636364)</f>
        <v>300.3636364</v>
      </c>
      <c r="K2411" s="82">
        <f>IFERROR(__xludf.DUMMYFUNCTION("""COMPUTED_VALUE"""),0.5454545454545454)</f>
        <v>0.5454545455</v>
      </c>
      <c r="L2411" s="82">
        <f>IFERROR(__xludf.DUMMYFUNCTION("""COMPUTED_VALUE"""),0.09090909090909091)</f>
        <v>0.09090909091</v>
      </c>
      <c r="M2411" s="82">
        <f>IFERROR(__xludf.DUMMYFUNCTION("""COMPUTED_VALUE"""),2.1818181818181817)</f>
        <v>2.181818182</v>
      </c>
      <c r="N2411" s="82">
        <f>IFERROR(__xludf.DUMMYFUNCTION("""COMPUTED_VALUE"""),1.7272727272727273)</f>
        <v>1.727272727</v>
      </c>
      <c r="O2411" s="82">
        <f>IFERROR(__xludf.DUMMYFUNCTION("""COMPUTED_VALUE"""),333.45454545454544)</f>
        <v>333.4545455</v>
      </c>
      <c r="P2411" s="82">
        <f>IFERROR(__xludf.DUMMYFUNCTION("""COMPUTED_VALUE"""),0.7272727272727273)</f>
        <v>0.7272727273</v>
      </c>
      <c r="Q2411" s="82">
        <f>IFERROR(__xludf.DUMMYFUNCTION("""COMPUTED_VALUE"""),0.6363636363636362)</f>
        <v>0.6363636364</v>
      </c>
      <c r="R2411" s="82">
        <f>IFERROR(__xludf.DUMMYFUNCTION("""COMPUTED_VALUE"""),1.0909090909090908)</f>
        <v>1.090909091</v>
      </c>
      <c r="S2411" s="82">
        <f>IFERROR(__xludf.DUMMYFUNCTION("""COMPUTED_VALUE"""),3.303030303030303)</f>
        <v>3.303030303</v>
      </c>
      <c r="T2411" s="82">
        <f>IFERROR(__xludf.DUMMYFUNCTION("""COMPUTED_VALUE"""),349.8643082221181)</f>
        <v>349.8643082</v>
      </c>
      <c r="U2411" s="82">
        <f>IFERROR(__xludf.DUMMYFUNCTION("""COMPUTED_VALUE"""),0.8205014692281246)</f>
        <v>0.8205014692</v>
      </c>
      <c r="V2411" s="82">
        <f>IFERROR(__xludf.DUMMYFUNCTION("""COMPUTED_VALUE"""),0.5617384533343786)</f>
        <v>0.5617384533</v>
      </c>
      <c r="W2411" s="82">
        <f>IFERROR(__xludf.DUMMYFUNCTION("""COMPUTED_VALUE"""),1.252560119877607)</f>
        <v>1.25256012</v>
      </c>
      <c r="X2411" s="82">
        <f>IFERROR(__xludf.DUMMYFUNCTION("""COMPUTED_VALUE"""),2.73032095553318)</f>
        <v>2.730320956</v>
      </c>
      <c r="Y2411" s="82">
        <f>IFERROR(__xludf.DUMMYFUNCTION("""COMPUTED_VALUE"""),319.84451558732826)</f>
        <v>319.8445156</v>
      </c>
      <c r="Z2411" s="82">
        <f>IFERROR(__xludf.DUMMYFUNCTION("""COMPUTED_VALUE"""),0.6340514010293298)</f>
        <v>0.634051401</v>
      </c>
      <c r="AA2411" s="82">
        <f>IFERROR(__xludf.DUMMYFUNCTION("""COMPUTED_VALUE"""),0.45090021592568275)</f>
        <v>0.4509002159</v>
      </c>
      <c r="AB2411" s="82">
        <f>IFERROR(__xludf.DUMMYFUNCTION("""COMPUTED_VALUE"""),1.2868824650375303)</f>
        <v>1.286882465</v>
      </c>
      <c r="AC2411" s="82">
        <f>IFERROR(__xludf.DUMMYFUNCTION("""COMPUTED_VALUE"""),2.2860457396676983)</f>
        <v>2.28604574</v>
      </c>
      <c r="AD2411" s="82">
        <f>IFERROR(__xludf.DUMMYFUNCTION("""COMPUTED_VALUE"""),0.9390926582313932)</f>
        <v>0.9390926582</v>
      </c>
      <c r="AE2411" s="82">
        <f>IFERROR(__xludf.DUMMYFUNCTION("""COMPUTED_VALUE"""),0.86026865419593)</f>
        <v>0.8602686542</v>
      </c>
      <c r="AF2411" s="82">
        <f>IFERROR(__xludf.DUMMYFUNCTION("""COMPUTED_VALUE"""),0.20161687153433194)</f>
        <v>0.2016168715</v>
      </c>
      <c r="AG2411" s="82">
        <f>IFERROR(__xludf.DUMMYFUNCTION("""COMPUTED_VALUE"""),1.6954292572123528)</f>
        <v>1.695429257</v>
      </c>
      <c r="AH2411" s="82">
        <f>IFERROR(__xludf.DUMMYFUNCTION("""COMPUTED_VALUE"""),0.7555722518149638)</f>
        <v>0.7555722518</v>
      </c>
      <c r="AI2411" s="82">
        <f>IFERROR(__xludf.DUMMYFUNCTION("""COMPUTED_VALUE"""),0.9530967795744555)</f>
        <v>0.9530967796</v>
      </c>
      <c r="AJ2411" s="82">
        <f>IFERROR(__xludf.DUMMYFUNCTION("""COMPUTED_VALUE"""),0.8863758988230686)</f>
        <v>0.8863758988</v>
      </c>
      <c r="AK2411" s="82">
        <f>IFERROR(__xludf.DUMMYFUNCTION("""COMPUTED_VALUE"""),1.1328468481840543)</f>
        <v>1.132846848</v>
      </c>
      <c r="AL2411" s="82">
        <f>IFERROR(__xludf.DUMMYFUNCTION("""COMPUTED_VALUE"""),0.8709434969202821)</f>
        <v>0.8709434969</v>
      </c>
      <c r="AM2411" s="82">
        <f>IFERROR(__xludf.DUMMYFUNCTION("""COMPUTED_VALUE"""),1.2097589832200824)</f>
        <v>1.209758983</v>
      </c>
      <c r="AN2411" s="82">
        <f>IFERROR(__xludf.DUMMYFUNCTION("""COMPUTED_VALUE"""),0.9137594944141659)</f>
        <v>0.9137594944</v>
      </c>
      <c r="AO2411" s="82">
        <f>IFERROR(__xludf.DUMMYFUNCTION("""COMPUTED_VALUE"""),0.7193163218816699)</f>
        <v>0.7193163219</v>
      </c>
      <c r="AP2411" s="82">
        <f>IFERROR(__xludf.DUMMYFUNCTION("""COMPUTED_VALUE"""),0.17630961554590358)</f>
        <v>0.1763096155</v>
      </c>
      <c r="AQ2411" s="82">
        <f>IFERROR(__xludf.DUMMYFUNCTION("""COMPUTED_VALUE"""),1.819391542116876)</f>
        <v>1.819391542</v>
      </c>
      <c r="AR2411" s="82">
        <f>IFERROR(__xludf.DUMMYFUNCTION("""COMPUTED_VALUE"""),0.7200757123006728)</f>
        <v>0.7200757123</v>
      </c>
      <c r="AS2411" s="82">
        <f>IFERROR(__xludf.DUMMYFUNCTION("""COMPUTED_VALUE"""),16.0)</f>
        <v>16</v>
      </c>
      <c r="AT2411" s="82">
        <f>IFERROR(__xludf.DUMMYFUNCTION("""COMPUTED_VALUE"""),0.3572530455218765)</f>
        <v>0.3572530455</v>
      </c>
      <c r="AU2411" s="82">
        <f>IFERROR(__xludf.DUMMYFUNCTION("""COMPUTED_VALUE"""),1.6557677117598466)</f>
        <v>1.655767712</v>
      </c>
      <c r="AV2411" s="82">
        <f>IFERROR(__xludf.DUMMYFUNCTION("""COMPUTED_VALUE"""),14.372152826468685)</f>
        <v>14.37215283</v>
      </c>
      <c r="AW2411" s="82">
        <f t="shared" si="1"/>
        <v>-12.97654049</v>
      </c>
      <c r="AX2411" s="83">
        <f t="array" ref="AX2411">IFERROR(DGET('SBV Import'!A:G,"SBV",{"RSC ID","Tier";B2411,A2411}))</f>
        <v>10.54772058</v>
      </c>
      <c r="AY2411" s="82">
        <f t="shared" si="2"/>
        <v>-17.46043783</v>
      </c>
      <c r="AZ2411" s="82">
        <v>4.4838973379290366</v>
      </c>
      <c r="BA2411" s="84">
        <v>2300.0</v>
      </c>
      <c r="BB2411" s="84" t="b">
        <f>IFERROR(__xludf.DUMMYFUNCTION("iferror(if(A2411="""",,E2411&gt;=FILTER(Constants!$F$2:$F$10,Constants!$A$2:$A$10=A2411)))"),TRUE)</f>
        <v>1</v>
      </c>
    </row>
    <row r="2412">
      <c r="A2412" s="89" t="str">
        <f>IFERROR(__xludf.DUMMYFUNCTION("""COMPUTED_VALUE"""),"Challenger")</f>
        <v>Challenger</v>
      </c>
      <c r="B2412" s="87" t="str">
        <f>IFERROR(__xludf.DUMMYFUNCTION("""COMPUTED_VALUE"""),"RSC004902")</f>
        <v>RSC004902</v>
      </c>
      <c r="C2412" s="73" t="str">
        <f>IFERROR(__xludf.DUMMYFUNCTION("""COMPUTED_VALUE"""),"cuse42")</f>
        <v>cuse42</v>
      </c>
      <c r="D2412" s="73" t="str">
        <f>IFERROR(__xludf.DUMMYFUNCTION("""COMPUTED_VALUE"""),"Hydras")</f>
        <v>Hydras</v>
      </c>
      <c r="E2412" s="82">
        <f>IFERROR(__xludf.DUMMYFUNCTION("""COMPUTED_VALUE"""),3.0)</f>
        <v>3</v>
      </c>
      <c r="F2412" s="82">
        <f>IFERROR(__xludf.DUMMYFUNCTION("""COMPUTED_VALUE"""),0.0)</f>
        <v>0</v>
      </c>
      <c r="G2412" s="86">
        <f>IFERROR(__xludf.DUMMYFUNCTION("""COMPUTED_VALUE"""),3.0)</f>
        <v>3</v>
      </c>
      <c r="H2412" s="86">
        <f>IFERROR(__xludf.DUMMYFUNCTION("""COMPUTED_VALUE"""),0.0)</f>
        <v>0</v>
      </c>
      <c r="I2412" s="86">
        <f>IFERROR(__xludf.DUMMYFUNCTION("""COMPUTED_VALUE"""),0.19999999999999998)</f>
        <v>0.2</v>
      </c>
      <c r="J2412" s="82">
        <f>IFERROR(__xludf.DUMMYFUNCTION("""COMPUTED_VALUE"""),232.0)</f>
        <v>232</v>
      </c>
      <c r="K2412" s="82">
        <f>IFERROR(__xludf.DUMMYFUNCTION("""COMPUTED_VALUE"""),0.3333333333333333)</f>
        <v>0.3333333333</v>
      </c>
      <c r="L2412" s="82">
        <f>IFERROR(__xludf.DUMMYFUNCTION("""COMPUTED_VALUE"""),0.6666666666666666)</f>
        <v>0.6666666667</v>
      </c>
      <c r="M2412" s="82">
        <f>IFERROR(__xludf.DUMMYFUNCTION("""COMPUTED_VALUE"""),1.0)</f>
        <v>1</v>
      </c>
      <c r="N2412" s="82">
        <f>IFERROR(__xludf.DUMMYFUNCTION("""COMPUTED_VALUE"""),1.6666666666666667)</f>
        <v>1.666666667</v>
      </c>
      <c r="O2412" s="82">
        <f>IFERROR(__xludf.DUMMYFUNCTION("""COMPUTED_VALUE"""),457.5555555555555)</f>
        <v>457.5555556</v>
      </c>
      <c r="P2412" s="82">
        <f>IFERROR(__xludf.DUMMYFUNCTION("""COMPUTED_VALUE"""),1.4444444444444446)</f>
        <v>1.444444444</v>
      </c>
      <c r="Q2412" s="82">
        <f>IFERROR(__xludf.DUMMYFUNCTION("""COMPUTED_VALUE"""),1.222222222222222)</f>
        <v>1.222222222</v>
      </c>
      <c r="R2412" s="82">
        <f>IFERROR(__xludf.DUMMYFUNCTION("""COMPUTED_VALUE"""),1.1111111111111112)</f>
        <v>1.111111111</v>
      </c>
      <c r="S2412" s="82">
        <f>IFERROR(__xludf.DUMMYFUNCTION("""COMPUTED_VALUE"""),4.0)</f>
        <v>4</v>
      </c>
      <c r="T2412" s="82">
        <f>IFERROR(__xludf.DUMMYFUNCTION("""COMPUTED_VALUE"""),374.86739054925243)</f>
        <v>374.8673905</v>
      </c>
      <c r="U2412" s="82">
        <f>IFERROR(__xludf.DUMMYFUNCTION("""COMPUTED_VALUE"""),0.982560642945476)</f>
        <v>0.9825606429</v>
      </c>
      <c r="V2412" s="82">
        <f>IFERROR(__xludf.DUMMYFUNCTION("""COMPUTED_VALUE"""),0.7174222892955208)</f>
        <v>0.7174222893</v>
      </c>
      <c r="W2412" s="82">
        <f>IFERROR(__xludf.DUMMYFUNCTION("""COMPUTED_VALUE"""),1.2242299296628667)</f>
        <v>1.22422993</v>
      </c>
      <c r="X2412" s="82">
        <f>IFERROR(__xludf.DUMMYFUNCTION("""COMPUTED_VALUE"""),2.989443890490863)</f>
        <v>2.98944389</v>
      </c>
      <c r="Y2412" s="82">
        <f>IFERROR(__xludf.DUMMYFUNCTION("""COMPUTED_VALUE"""),316.7057130580334)</f>
        <v>316.7057131</v>
      </c>
      <c r="Z2412" s="82">
        <f>IFERROR(__xludf.DUMMYFUNCTION("""COMPUTED_VALUE"""),0.59248948735838)</f>
        <v>0.5924894874</v>
      </c>
      <c r="AA2412" s="82">
        <f>IFERROR(__xludf.DUMMYFUNCTION("""COMPUTED_VALUE"""),0.4139501980758347)</f>
        <v>0.4139501981</v>
      </c>
      <c r="AB2412" s="82">
        <f>IFERROR(__xludf.DUMMYFUNCTION("""COMPUTED_VALUE"""),1.3562286840158944)</f>
        <v>1.356228684</v>
      </c>
      <c r="AC2412" s="82">
        <f>IFERROR(__xludf.DUMMYFUNCTION("""COMPUTED_VALUE"""),2.1604538027665736)</f>
        <v>2.160453803</v>
      </c>
      <c r="AD2412" s="82">
        <f>IFERROR(__xludf.DUMMYFUNCTION("""COMPUTED_VALUE"""),0.732541253392193)</f>
        <v>0.7325412534</v>
      </c>
      <c r="AE2412" s="82">
        <f>IFERROR(__xludf.DUMMYFUNCTION("""COMPUTED_VALUE"""),0.5625978864528097)</f>
        <v>0.5625978865</v>
      </c>
      <c r="AF2412" s="82">
        <f>IFERROR(__xludf.DUMMYFUNCTION("""COMPUTED_VALUE"""),1.6104996923918244)</f>
        <v>1.610499692</v>
      </c>
      <c r="AG2412" s="82">
        <f>IFERROR(__xludf.DUMMYFUNCTION("""COMPUTED_VALUE"""),0.73733877758648)</f>
        <v>0.7373387776</v>
      </c>
      <c r="AH2412" s="82">
        <f>IFERROR(__xludf.DUMMYFUNCTION("""COMPUTED_VALUE"""),0.7714428628524309)</f>
        <v>0.7714428629</v>
      </c>
      <c r="AI2412" s="82">
        <f>IFERROR(__xludf.DUMMYFUNCTION("""COMPUTED_VALUE"""),1.2205797759179562)</f>
        <v>1.220579776</v>
      </c>
      <c r="AJ2412" s="82">
        <f>IFERROR(__xludf.DUMMYFUNCTION("""COMPUTED_VALUE"""),1.4700817245379931)</f>
        <v>1.470081725</v>
      </c>
      <c r="AK2412" s="82">
        <f>IFERROR(__xludf.DUMMYFUNCTION("""COMPUTED_VALUE"""),1.7036301219779415)</f>
        <v>1.703630122</v>
      </c>
      <c r="AL2412" s="82">
        <f>IFERROR(__xludf.DUMMYFUNCTION("""COMPUTED_VALUE"""),0.907600022013098)</f>
        <v>0.907600022</v>
      </c>
      <c r="AM2412" s="82">
        <f>IFERROR(__xludf.DUMMYFUNCTION("""COMPUTED_VALUE"""),1.3380415042154228)</f>
        <v>1.338041504</v>
      </c>
      <c r="AN2412" s="82">
        <f>IFERROR(__xludf.DUMMYFUNCTION("""COMPUTED_VALUE"""),0.7057851784942347)</f>
        <v>0.7057851785</v>
      </c>
      <c r="AO2412" s="82">
        <f>IFERROR(__xludf.DUMMYFUNCTION("""COMPUTED_VALUE"""),0.439582196705465)</f>
        <v>0.4395821967</v>
      </c>
      <c r="AP2412" s="82">
        <f>IFERROR(__xludf.DUMMYFUNCTION("""COMPUTED_VALUE"""),1.2929371806699594)</f>
        <v>1.292937181</v>
      </c>
      <c r="AQ2412" s="82">
        <f>IFERROR(__xludf.DUMMYFUNCTION("""COMPUTED_VALUE"""),0.8338877901369016)</f>
        <v>0.8338877901</v>
      </c>
      <c r="AR2412" s="82">
        <f>IFERROR(__xludf.DUMMYFUNCTION("""COMPUTED_VALUE"""),0.6948098978339825)</f>
        <v>0.6948098978</v>
      </c>
      <c r="AS2412" s="82">
        <f>IFERROR(__xludf.DUMMYFUNCTION("""COMPUTED_VALUE"""),3.0)</f>
        <v>3</v>
      </c>
      <c r="AT2412" s="82">
        <f>IFERROR(__xludf.DUMMYFUNCTION("""COMPUTED_VALUE"""),0.08543193415905717)</f>
        <v>0.08543193416</v>
      </c>
      <c r="AU2412" s="82">
        <f>IFERROR(__xludf.DUMMYFUNCTION("""COMPUTED_VALUE"""),1.6538103347215025)</f>
        <v>1.653810335</v>
      </c>
      <c r="AV2412" s="82">
        <f>IFERROR(__xludf.DUMMYFUNCTION("""COMPUTED_VALUE"""),14.320395554223744)</f>
        <v>14.32039555</v>
      </c>
      <c r="AW2412" s="82">
        <f t="shared" si="1"/>
        <v>-13.02704036</v>
      </c>
      <c r="AX2412" s="83">
        <f t="array" ref="AX2412">IFERROR(DGET('SBV Import'!A:G,"SBV",{"RSC ID","Tier";B2412,A2412}))</f>
        <v>-4.844882671</v>
      </c>
      <c r="AY2412" s="82">
        <f t="shared" si="2"/>
        <v>-70.79613845</v>
      </c>
      <c r="AZ2412" s="82">
        <v>57.76909809699361</v>
      </c>
      <c r="BA2412" s="84">
        <v>2300.0</v>
      </c>
      <c r="BB2412" s="84" t="b">
        <f>IFERROR(__xludf.DUMMYFUNCTION("iferror(if(A2412="""",,E2412&gt;=FILTER(Constants!$F$2:$F$10,Constants!$A$2:$A$10=A2412)))"),TRUE)</f>
        <v>1</v>
      </c>
    </row>
    <row r="2413">
      <c r="A2413" s="89" t="str">
        <f>IFERROR(__xludf.DUMMYFUNCTION("""COMPUTED_VALUE"""),"Challenger")</f>
        <v>Challenger</v>
      </c>
      <c r="B2413" s="87" t="str">
        <f>IFERROR(__xludf.DUMMYFUNCTION("""COMPUTED_VALUE"""),"RSC006066")</f>
        <v>RSC006066</v>
      </c>
      <c r="C2413" s="73" t="str">
        <f>IFERROR(__xludf.DUMMYFUNCTION("""COMPUTED_VALUE"""),"GoldenTiger5")</f>
        <v>GoldenTiger5</v>
      </c>
      <c r="D2413" s="73"/>
      <c r="E2413" s="82">
        <f>IFERROR(__xludf.DUMMYFUNCTION("""COMPUTED_VALUE"""),4.0)</f>
        <v>4</v>
      </c>
      <c r="F2413" s="82">
        <f>IFERROR(__xludf.DUMMYFUNCTION("""COMPUTED_VALUE"""),0.0)</f>
        <v>0</v>
      </c>
      <c r="G2413" s="86">
        <f>IFERROR(__xludf.DUMMYFUNCTION("""COMPUTED_VALUE"""),4.0)</f>
        <v>4</v>
      </c>
      <c r="H2413" s="86">
        <f>IFERROR(__xludf.DUMMYFUNCTION("""COMPUTED_VALUE"""),0.0)</f>
        <v>0</v>
      </c>
      <c r="I2413" s="86">
        <f>IFERROR(__xludf.DUMMYFUNCTION("""COMPUTED_VALUE"""),0.08333333333333333)</f>
        <v>0.08333333333</v>
      </c>
      <c r="J2413" s="82">
        <f>IFERROR(__xludf.DUMMYFUNCTION("""COMPUTED_VALUE"""),286.25)</f>
        <v>286.25</v>
      </c>
      <c r="K2413" s="82">
        <f>IFERROR(__xludf.DUMMYFUNCTION("""COMPUTED_VALUE"""),0.25)</f>
        <v>0.25</v>
      </c>
      <c r="L2413" s="82">
        <f>IFERROR(__xludf.DUMMYFUNCTION("""COMPUTED_VALUE"""),0.25)</f>
        <v>0.25</v>
      </c>
      <c r="M2413" s="82">
        <f>IFERROR(__xludf.DUMMYFUNCTION("""COMPUTED_VALUE"""),1.5)</f>
        <v>1.5</v>
      </c>
      <c r="N2413" s="82">
        <f>IFERROR(__xludf.DUMMYFUNCTION("""COMPUTED_VALUE"""),3.0)</f>
        <v>3</v>
      </c>
      <c r="O2413" s="82">
        <f>IFERROR(__xludf.DUMMYFUNCTION("""COMPUTED_VALUE"""),483.1666666666667)</f>
        <v>483.1666667</v>
      </c>
      <c r="P2413" s="82">
        <f>IFERROR(__xludf.DUMMYFUNCTION("""COMPUTED_VALUE"""),0.8333333333333333)</f>
        <v>0.8333333333</v>
      </c>
      <c r="Q2413" s="82">
        <f>IFERROR(__xludf.DUMMYFUNCTION("""COMPUTED_VALUE"""),0.41666666666666663)</f>
        <v>0.4166666667</v>
      </c>
      <c r="R2413" s="82">
        <f>IFERROR(__xludf.DUMMYFUNCTION("""COMPUTED_VALUE"""),2.4166666666666665)</f>
        <v>2.416666667</v>
      </c>
      <c r="S2413" s="82">
        <f>IFERROR(__xludf.DUMMYFUNCTION("""COMPUTED_VALUE"""),3.666666666666667)</f>
        <v>3.666666667</v>
      </c>
      <c r="T2413" s="82">
        <f>IFERROR(__xludf.DUMMYFUNCTION("""COMPUTED_VALUE"""),345.09552299552297)</f>
        <v>345.095523</v>
      </c>
      <c r="U2413" s="82">
        <f>IFERROR(__xludf.DUMMYFUNCTION("""COMPUTED_VALUE"""),0.663939763939764)</f>
        <v>0.6639397639</v>
      </c>
      <c r="V2413" s="82">
        <f>IFERROR(__xludf.DUMMYFUNCTION("""COMPUTED_VALUE"""),0.40309320309320307)</f>
        <v>0.4030932031</v>
      </c>
      <c r="W2413" s="82">
        <f>IFERROR(__xludf.DUMMYFUNCTION("""COMPUTED_VALUE"""),1.4942409442409443)</f>
        <v>1.494240944</v>
      </c>
      <c r="X2413" s="82">
        <f>IFERROR(__xludf.DUMMYFUNCTION("""COMPUTED_VALUE"""),2.4766585266585266)</f>
        <v>2.476658527</v>
      </c>
      <c r="Y2413" s="82">
        <f>IFERROR(__xludf.DUMMYFUNCTION("""COMPUTED_VALUE"""),339.67337539004205)</f>
        <v>339.6733754</v>
      </c>
      <c r="Z2413" s="82">
        <f>IFERROR(__xludf.DUMMYFUNCTION("""COMPUTED_VALUE"""),0.7558404558404558)</f>
        <v>0.7558404558</v>
      </c>
      <c r="AA2413" s="82">
        <f>IFERROR(__xludf.DUMMYFUNCTION("""COMPUTED_VALUE"""),0.5212929046262379)</f>
        <v>0.5212929046</v>
      </c>
      <c r="AB2413" s="82">
        <f>IFERROR(__xludf.DUMMYFUNCTION("""COMPUTED_VALUE"""),1.2298602631935964)</f>
        <v>1.229860263</v>
      </c>
      <c r="AC2413" s="82">
        <f>IFERROR(__xludf.DUMMYFUNCTION("""COMPUTED_VALUE"""),2.7242436575769915)</f>
        <v>2.724243658</v>
      </c>
      <c r="AD2413" s="82">
        <f>IFERROR(__xludf.DUMMYFUNCTION("""COMPUTED_VALUE"""),0.8427213339029096)</f>
        <v>0.8427213339</v>
      </c>
      <c r="AE2413" s="82">
        <f>IFERROR(__xludf.DUMMYFUNCTION("""COMPUTED_VALUE"""),0.33075763286845083)</f>
        <v>0.3307576329</v>
      </c>
      <c r="AF2413" s="82">
        <f>IFERROR(__xludf.DUMMYFUNCTION("""COMPUTED_VALUE"""),0.47957683248968763)</f>
        <v>0.4795768325</v>
      </c>
      <c r="AG2413" s="82">
        <f>IFERROR(__xludf.DUMMYFUNCTION("""COMPUTED_VALUE"""),1.2196507561801595)</f>
        <v>1.219650756</v>
      </c>
      <c r="AH2413" s="82">
        <f>IFERROR(__xludf.DUMMYFUNCTION("""COMPUTED_VALUE"""),1.1012230832055137)</f>
        <v>1.101223083</v>
      </c>
      <c r="AI2413" s="82">
        <f>IFERROR(__xludf.DUMMYFUNCTION("""COMPUTED_VALUE"""),1.4000954358162883)</f>
        <v>1.400095436</v>
      </c>
      <c r="AJ2413" s="82">
        <f>IFERROR(__xludf.DUMMYFUNCTION("""COMPUTED_VALUE"""),1.2551339422546435)</f>
        <v>1.255133942</v>
      </c>
      <c r="AK2413" s="82">
        <f>IFERROR(__xludf.DUMMYFUNCTION("""COMPUTED_VALUE"""),1.0336732633279482)</f>
        <v>1.033673263</v>
      </c>
      <c r="AL2413" s="82">
        <f>IFERROR(__xludf.DUMMYFUNCTION("""COMPUTED_VALUE"""),1.6173206041374424)</f>
        <v>1.617320604</v>
      </c>
      <c r="AM2413" s="82">
        <f>IFERROR(__xludf.DUMMYFUNCTION("""COMPUTED_VALUE"""),1.48048938810054)</f>
        <v>1.480489388</v>
      </c>
      <c r="AN2413" s="82">
        <f>IFERROR(__xludf.DUMMYFUNCTION("""COMPUTED_VALUE"""),0.8708233075171322)</f>
        <v>0.8708233075</v>
      </c>
      <c r="AO2413" s="82">
        <f>IFERROR(__xludf.DUMMYFUNCTION("""COMPUTED_VALUE"""),0.32968664752909876)</f>
        <v>0.3296866475</v>
      </c>
      <c r="AP2413" s="82">
        <f>IFERROR(__xludf.DUMMYFUNCTION("""COMPUTED_VALUE"""),0.4848514427512348)</f>
        <v>0.4848514428</v>
      </c>
      <c r="AQ2413" s="82">
        <f>IFERROR(__xludf.DUMMYFUNCTION("""COMPUTED_VALUE"""),1.2508316852053525)</f>
        <v>1.250831685</v>
      </c>
      <c r="AR2413" s="82">
        <f>IFERROR(__xludf.DUMMYFUNCTION("""COMPUTED_VALUE"""),1.2506578161011686)</f>
        <v>1.250657816</v>
      </c>
      <c r="AS2413" s="82">
        <f>IFERROR(__xludf.DUMMYFUNCTION("""COMPUTED_VALUE"""),5.0)</f>
        <v>5</v>
      </c>
      <c r="AT2413" s="82">
        <f>IFERROR(__xludf.DUMMYFUNCTION("""COMPUTED_VALUE"""),0.26641002694967897)</f>
        <v>0.2664100269</v>
      </c>
      <c r="AU2413" s="82">
        <f>IFERROR(__xludf.DUMMYFUNCTION("""COMPUTED_VALUE"""),1.5863496532114616)</f>
        <v>1.586349653</v>
      </c>
      <c r="AV2413" s="82">
        <f>IFERROR(__xludf.DUMMYFUNCTION("""COMPUTED_VALUE"""),12.536589577988202)</f>
        <v>12.53658958</v>
      </c>
      <c r="AW2413" s="82">
        <f t="shared" si="1"/>
        <v>-14.92604833</v>
      </c>
      <c r="AX2413" s="83">
        <f t="array" ref="AX2413">IFERROR(DGET('SBV Import'!A:G,"SBV",{"RSC ID","Tier";B2413,A2413}))</f>
        <v>5.608848703</v>
      </c>
      <c r="AY2413" s="82">
        <f t="shared" si="2"/>
        <v>-26.38826189</v>
      </c>
      <c r="AZ2413" s="82">
        <v>11.462213559447708</v>
      </c>
      <c r="BA2413" s="84">
        <v>2300.0</v>
      </c>
      <c r="BB2413" s="84" t="b">
        <f>IFERROR(__xludf.DUMMYFUNCTION("iferror(if(A2413="""",,E2413&gt;=FILTER(Constants!$F$2:$F$10,Constants!$A$2:$A$10=A2413)))"),TRUE)</f>
        <v>1</v>
      </c>
    </row>
    <row r="2414">
      <c r="A2414" s="89" t="str">
        <f>IFERROR(__xludf.DUMMYFUNCTION("""COMPUTED_VALUE"""),"Challenger")</f>
        <v>Challenger</v>
      </c>
      <c r="B2414" s="87" t="str">
        <f>IFERROR(__xludf.DUMMYFUNCTION("""COMPUTED_VALUE"""),"RSC007447")</f>
        <v>RSC007447</v>
      </c>
      <c r="C2414" s="73" t="str">
        <f>IFERROR(__xludf.DUMMYFUNCTION("""COMPUTED_VALUE"""),"1R3IGN")</f>
        <v>1R3IGN</v>
      </c>
      <c r="D2414" s="73"/>
      <c r="E2414" s="82">
        <f>IFERROR(__xludf.DUMMYFUNCTION("""COMPUTED_VALUE"""),10.0)</f>
        <v>10</v>
      </c>
      <c r="F2414" s="82">
        <f>IFERROR(__xludf.DUMMYFUNCTION("""COMPUTED_VALUE"""),3.0)</f>
        <v>3</v>
      </c>
      <c r="G2414" s="86">
        <f>IFERROR(__xludf.DUMMYFUNCTION("""COMPUTED_VALUE"""),7.0)</f>
        <v>7</v>
      </c>
      <c r="H2414" s="86">
        <f>IFERROR(__xludf.DUMMYFUNCTION("""COMPUTED_VALUE"""),0.3)</f>
        <v>0.3</v>
      </c>
      <c r="I2414" s="86">
        <f>IFERROR(__xludf.DUMMYFUNCTION("""COMPUTED_VALUE"""),0.35714285714285715)</f>
        <v>0.3571428571</v>
      </c>
      <c r="J2414" s="82">
        <f>IFERROR(__xludf.DUMMYFUNCTION("""COMPUTED_VALUE"""),228.9)</f>
        <v>228.9</v>
      </c>
      <c r="K2414" s="82">
        <f>IFERROR(__xludf.DUMMYFUNCTION("""COMPUTED_VALUE"""),0.5)</f>
        <v>0.5</v>
      </c>
      <c r="L2414" s="82">
        <f>IFERROR(__xludf.DUMMYFUNCTION("""COMPUTED_VALUE"""),0.4)</f>
        <v>0.4</v>
      </c>
      <c r="M2414" s="82">
        <f>IFERROR(__xludf.DUMMYFUNCTION("""COMPUTED_VALUE"""),0.7)</f>
        <v>0.7</v>
      </c>
      <c r="N2414" s="82">
        <f>IFERROR(__xludf.DUMMYFUNCTION("""COMPUTED_VALUE"""),1.4)</f>
        <v>1.4</v>
      </c>
      <c r="O2414" s="82">
        <f>IFERROR(__xludf.DUMMYFUNCTION("""COMPUTED_VALUE"""),331.49999999999994)</f>
        <v>331.5</v>
      </c>
      <c r="P2414" s="82">
        <f>IFERROR(__xludf.DUMMYFUNCTION("""COMPUTED_VALUE"""),0.8666666666666666)</f>
        <v>0.8666666667</v>
      </c>
      <c r="Q2414" s="82">
        <f>IFERROR(__xludf.DUMMYFUNCTION("""COMPUTED_VALUE"""),0.5666666666666667)</f>
        <v>0.5666666667</v>
      </c>
      <c r="R2414" s="82">
        <f>IFERROR(__xludf.DUMMYFUNCTION("""COMPUTED_VALUE"""),0.9333333333333333)</f>
        <v>0.9333333333</v>
      </c>
      <c r="S2414" s="82">
        <f>IFERROR(__xludf.DUMMYFUNCTION("""COMPUTED_VALUE"""),2.2)</f>
        <v>2.2</v>
      </c>
      <c r="T2414" s="82">
        <f>IFERROR(__xludf.DUMMYFUNCTION("""COMPUTED_VALUE"""),323.26428725407095)</f>
        <v>323.2642873</v>
      </c>
      <c r="U2414" s="82">
        <f>IFERROR(__xludf.DUMMYFUNCTION("""COMPUTED_VALUE"""),0.8061362406000626)</f>
        <v>0.8061362406</v>
      </c>
      <c r="V2414" s="82">
        <f>IFERROR(__xludf.DUMMYFUNCTION("""COMPUTED_VALUE"""),0.4766332052362712)</f>
        <v>0.4766332052</v>
      </c>
      <c r="W2414" s="82">
        <f>IFERROR(__xludf.DUMMYFUNCTION("""COMPUTED_VALUE"""),1.0433788835456668)</f>
        <v>1.043378884</v>
      </c>
      <c r="X2414" s="82">
        <f>IFERROR(__xludf.DUMMYFUNCTION("""COMPUTED_VALUE"""),2.320616121540794)</f>
        <v>2.320616122</v>
      </c>
      <c r="Y2414" s="82">
        <f>IFERROR(__xludf.DUMMYFUNCTION("""COMPUTED_VALUE"""),328.8108442758181)</f>
        <v>328.8108443</v>
      </c>
      <c r="Z2414" s="82">
        <f>IFERROR(__xludf.DUMMYFUNCTION("""COMPUTED_VALUE"""),0.7953028335690457)</f>
        <v>0.7953028336</v>
      </c>
      <c r="AA2414" s="82">
        <f>IFERROR(__xludf.DUMMYFUNCTION("""COMPUTED_VALUE"""),0.5275433627602059)</f>
        <v>0.5275433628</v>
      </c>
      <c r="AB2414" s="82">
        <f>IFERROR(__xludf.DUMMYFUNCTION("""COMPUTED_VALUE"""),1.1524968334615378)</f>
        <v>1.152496833</v>
      </c>
      <c r="AC2414" s="82">
        <f>IFERROR(__xludf.DUMMYFUNCTION("""COMPUTED_VALUE"""),2.3309929267877694)</f>
        <v>2.330992927</v>
      </c>
      <c r="AD2414" s="82">
        <f>IFERROR(__xludf.DUMMYFUNCTION("""COMPUTED_VALUE"""),0.6961449233955028)</f>
        <v>0.6961449234</v>
      </c>
      <c r="AE2414" s="82">
        <f>IFERROR(__xludf.DUMMYFUNCTION("""COMPUTED_VALUE"""),0.6286913347915182)</f>
        <v>0.6286913348</v>
      </c>
      <c r="AF2414" s="82">
        <f>IFERROR(__xludf.DUMMYFUNCTION("""COMPUTED_VALUE"""),0.7582315089836881)</f>
        <v>0.758231509</v>
      </c>
      <c r="AG2414" s="82">
        <f>IFERROR(__xludf.DUMMYFUNCTION("""COMPUTED_VALUE"""),0.6073769399413808)</f>
        <v>0.6073769399</v>
      </c>
      <c r="AH2414" s="82">
        <f>IFERROR(__xludf.DUMMYFUNCTION("""COMPUTED_VALUE"""),0.6006024230752486)</f>
        <v>0.6006024231</v>
      </c>
      <c r="AI2414" s="82">
        <f>IFERROR(__xludf.DUMMYFUNCTION("""COMPUTED_VALUE"""),1.025476716948495)</f>
        <v>1.025476717</v>
      </c>
      <c r="AJ2414" s="82">
        <f>IFERROR(__xludf.DUMMYFUNCTION("""COMPUTED_VALUE"""),1.0750870920051268)</f>
        <v>1.075087092</v>
      </c>
      <c r="AK2414" s="82">
        <f>IFERROR(__xludf.DUMMYFUNCTION("""COMPUTED_VALUE"""),1.1888946477947653)</f>
        <v>1.188894648</v>
      </c>
      <c r="AL2414" s="82">
        <f>IFERROR(__xludf.DUMMYFUNCTION("""COMPUTED_VALUE"""),0.8945296364074662)</f>
        <v>0.8945296364</v>
      </c>
      <c r="AM2414" s="82">
        <f>IFERROR(__xludf.DUMMYFUNCTION("""COMPUTED_VALUE"""),0.9480240956609791)</f>
        <v>0.9480240957</v>
      </c>
      <c r="AN2414" s="82">
        <f>IFERROR(__xludf.DUMMYFUNCTION("""COMPUTED_VALUE"""),0.6963544282643549)</f>
        <v>0.6963544283</v>
      </c>
      <c r="AO2414" s="82">
        <f>IFERROR(__xludf.DUMMYFUNCTION("""COMPUTED_VALUE"""),0.6593732950581975)</f>
        <v>0.6593732951</v>
      </c>
      <c r="AP2414" s="82">
        <f>IFERROR(__xludf.DUMMYFUNCTION("""COMPUTED_VALUE"""),0.7757623084019757)</f>
        <v>0.7757623084</v>
      </c>
      <c r="AQ2414" s="82">
        <f>IFERROR(__xludf.DUMMYFUNCTION("""COMPUTED_VALUE"""),0.5837214530958311)</f>
        <v>0.5837214531</v>
      </c>
      <c r="AR2414" s="82">
        <f>IFERROR(__xludf.DUMMYFUNCTION("""COMPUTED_VALUE"""),0.5836403141805453)</f>
        <v>0.5836403142</v>
      </c>
      <c r="AS2414" s="82">
        <f>IFERROR(__xludf.DUMMYFUNCTION("""COMPUTED_VALUE"""),14.0)</f>
        <v>14</v>
      </c>
      <c r="AT2414" s="82">
        <f>IFERROR(__xludf.DUMMYFUNCTION("""COMPUTED_VALUE"""),0.2846462935742301)</f>
        <v>0.2846462936</v>
      </c>
      <c r="AU2414" s="82">
        <f>IFERROR(__xludf.DUMMYFUNCTION("""COMPUTED_VALUE"""),1.5267900361216684)</f>
        <v>1.526790036</v>
      </c>
      <c r="AV2414" s="82">
        <f>IFERROR(__xludf.DUMMYFUNCTION("""COMPUTED_VALUE"""),10.96170479282248)</f>
        <v>10.96170479</v>
      </c>
      <c r="AW2414" s="82">
        <f t="shared" si="1"/>
        <v>-16.89213089</v>
      </c>
      <c r="AX2414" s="83">
        <f t="array" ref="AX2414">IFERROR(DGET('SBV Import'!A:G,"SBV",{"RSC ID","Tier";B2414,A2414}))</f>
        <v>24.20235499</v>
      </c>
      <c r="AY2414" s="82">
        <f t="shared" si="2"/>
        <v>-6.619968341</v>
      </c>
      <c r="AZ2414" s="82">
        <v>10.272162545345353</v>
      </c>
      <c r="BA2414" s="84">
        <v>2300.0</v>
      </c>
      <c r="BB2414" s="84" t="b">
        <f>IFERROR(__xludf.DUMMYFUNCTION("iferror(if(A2414="""",,E2414&gt;=FILTER(Constants!$F$2:$F$10,Constants!$A$2:$A$10=A2414)))"),TRUE)</f>
        <v>1</v>
      </c>
    </row>
    <row r="2415">
      <c r="A2415" s="89" t="str">
        <f>IFERROR(__xludf.DUMMYFUNCTION("""COMPUTED_VALUE"""),"Challenger")</f>
        <v>Challenger</v>
      </c>
      <c r="B2415" s="87" t="str">
        <f>IFERROR(__xludf.DUMMYFUNCTION("""COMPUTED_VALUE"""),"RSC005154")</f>
        <v>RSC005154</v>
      </c>
      <c r="C2415" s="73" t="str">
        <f>IFERROR(__xludf.DUMMYFUNCTION("""COMPUTED_VALUE"""),"TacoBae")</f>
        <v>TacoBae</v>
      </c>
      <c r="D2415" s="73"/>
      <c r="E2415" s="82">
        <f>IFERROR(__xludf.DUMMYFUNCTION("""COMPUTED_VALUE"""),32.0)</f>
        <v>32</v>
      </c>
      <c r="F2415" s="82">
        <f>IFERROR(__xludf.DUMMYFUNCTION("""COMPUTED_VALUE"""),9.0)</f>
        <v>9</v>
      </c>
      <c r="G2415" s="86">
        <f>IFERROR(__xludf.DUMMYFUNCTION("""COMPUTED_VALUE"""),23.0)</f>
        <v>23</v>
      </c>
      <c r="H2415" s="86">
        <f>IFERROR(__xludf.DUMMYFUNCTION("""COMPUTED_VALUE"""),0.28125)</f>
        <v>0.28125</v>
      </c>
      <c r="I2415" s="86">
        <f>IFERROR(__xludf.DUMMYFUNCTION("""COMPUTED_VALUE"""),0.22807017543859648)</f>
        <v>0.2280701754</v>
      </c>
      <c r="J2415" s="82">
        <f>IFERROR(__xludf.DUMMYFUNCTION("""COMPUTED_VALUE"""),239.65625)</f>
        <v>239.65625</v>
      </c>
      <c r="K2415" s="82">
        <f>IFERROR(__xludf.DUMMYFUNCTION("""COMPUTED_VALUE"""),0.40625)</f>
        <v>0.40625</v>
      </c>
      <c r="L2415" s="82">
        <f>IFERROR(__xludf.DUMMYFUNCTION("""COMPUTED_VALUE"""),0.4375)</f>
        <v>0.4375</v>
      </c>
      <c r="M2415" s="82">
        <f>IFERROR(__xludf.DUMMYFUNCTION("""COMPUTED_VALUE"""),0.8125)</f>
        <v>0.8125</v>
      </c>
      <c r="N2415" s="82">
        <f>IFERROR(__xludf.DUMMYFUNCTION("""COMPUTED_VALUE"""),1.78125)</f>
        <v>1.78125</v>
      </c>
      <c r="O2415" s="82">
        <f>IFERROR(__xludf.DUMMYFUNCTION("""COMPUTED_VALUE"""),367.7083333333334)</f>
        <v>367.7083333</v>
      </c>
      <c r="P2415" s="82">
        <f>IFERROR(__xludf.DUMMYFUNCTION("""COMPUTED_VALUE"""),1.09375)</f>
        <v>1.09375</v>
      </c>
      <c r="Q2415" s="82">
        <f>IFERROR(__xludf.DUMMYFUNCTION("""COMPUTED_VALUE"""),0.6770833333333333)</f>
        <v>0.6770833333</v>
      </c>
      <c r="R2415" s="82">
        <f>IFERROR(__xludf.DUMMYFUNCTION("""COMPUTED_VALUE"""),1.0729166666666667)</f>
        <v>1.072916667</v>
      </c>
      <c r="S2415" s="82">
        <f>IFERROR(__xludf.DUMMYFUNCTION("""COMPUTED_VALUE"""),2.5729166666666665)</f>
        <v>2.572916667</v>
      </c>
      <c r="T2415" s="82">
        <f>IFERROR(__xludf.DUMMYFUNCTION("""COMPUTED_VALUE"""),339.5925193998377)</f>
        <v>339.5925194</v>
      </c>
      <c r="U2415" s="82">
        <f>IFERROR(__xludf.DUMMYFUNCTION("""COMPUTED_VALUE"""),0.7558584380604669)</f>
        <v>0.7558584381</v>
      </c>
      <c r="V2415" s="82">
        <f>IFERROR(__xludf.DUMMYFUNCTION("""COMPUTED_VALUE"""),0.5138589995790015)</f>
        <v>0.5138589996</v>
      </c>
      <c r="W2415" s="82">
        <f>IFERROR(__xludf.DUMMYFUNCTION("""COMPUTED_VALUE"""),1.3212409269293488)</f>
        <v>1.321240927</v>
      </c>
      <c r="X2415" s="82">
        <f>IFERROR(__xludf.DUMMYFUNCTION("""COMPUTED_VALUE"""),2.3859940390740855)</f>
        <v>2.385994039</v>
      </c>
      <c r="Y2415" s="82">
        <f>IFERROR(__xludf.DUMMYFUNCTION("""COMPUTED_VALUE"""),337.31635959055626)</f>
        <v>337.3163596</v>
      </c>
      <c r="Z2415" s="82">
        <f>IFERROR(__xludf.DUMMYFUNCTION("""COMPUTED_VALUE"""),0.7827292766148444)</f>
        <v>0.7827292766</v>
      </c>
      <c r="AA2415" s="82">
        <f>IFERROR(__xludf.DUMMYFUNCTION("""COMPUTED_VALUE"""),0.529793787449849)</f>
        <v>0.5297937874</v>
      </c>
      <c r="AB2415" s="82">
        <f>IFERROR(__xludf.DUMMYFUNCTION("""COMPUTED_VALUE"""),1.1787913377686685)</f>
        <v>1.178791338</v>
      </c>
      <c r="AC2415" s="82">
        <f>IFERROR(__xludf.DUMMYFUNCTION("""COMPUTED_VALUE"""),2.515736319454333)</f>
        <v>2.515736319</v>
      </c>
      <c r="AD2415" s="82">
        <f>IFERROR(__xludf.DUMMYFUNCTION("""COMPUTED_VALUE"""),0.7104791783324748)</f>
        <v>0.7104791783</v>
      </c>
      <c r="AE2415" s="82">
        <f>IFERROR(__xludf.DUMMYFUNCTION("""COMPUTED_VALUE"""),0.5190172542886784)</f>
        <v>0.5190172543</v>
      </c>
      <c r="AF2415" s="82">
        <f>IFERROR(__xludf.DUMMYFUNCTION("""COMPUTED_VALUE"""),0.8257929978867756)</f>
        <v>0.8257929979</v>
      </c>
      <c r="AG2415" s="82">
        <f>IFERROR(__xludf.DUMMYFUNCTION("""COMPUTED_VALUE"""),0.6892653296366933)</f>
        <v>0.6892653296</v>
      </c>
      <c r="AH2415" s="82">
        <f>IFERROR(__xludf.DUMMYFUNCTION("""COMPUTED_VALUE"""),0.7080432023918769)</f>
        <v>0.7080432024</v>
      </c>
      <c r="AI2415" s="82">
        <f>IFERROR(__xludf.DUMMYFUNCTION("""COMPUTED_VALUE"""),1.0827927952688263)</f>
        <v>1.082792795</v>
      </c>
      <c r="AJ2415" s="82">
        <f>IFERROR(__xludf.DUMMYFUNCTION("""COMPUTED_VALUE"""),1.4470302174658034)</f>
        <v>1.447030217</v>
      </c>
      <c r="AK2415" s="82">
        <f>IFERROR(__xludf.DUMMYFUNCTION("""COMPUTED_VALUE"""),1.3176442056829976)</f>
        <v>1.317644206</v>
      </c>
      <c r="AL2415" s="82">
        <f>IFERROR(__xludf.DUMMYFUNCTION("""COMPUTED_VALUE"""),0.8120522493654476)</f>
        <v>0.8120522494</v>
      </c>
      <c r="AM2415" s="82">
        <f>IFERROR(__xludf.DUMMYFUNCTION("""COMPUTED_VALUE"""),1.0783416154992234)</f>
        <v>1.078341615</v>
      </c>
      <c r="AN2415" s="82">
        <f>IFERROR(__xludf.DUMMYFUNCTION("""COMPUTED_VALUE"""),0.7290768499289179)</f>
        <v>0.7290768499</v>
      </c>
      <c r="AO2415" s="82">
        <f>IFERROR(__xludf.DUMMYFUNCTION("""COMPUTED_VALUE"""),0.5357408022347855)</f>
        <v>0.5357408022</v>
      </c>
      <c r="AP2415" s="82">
        <f>IFERROR(__xludf.DUMMYFUNCTION("""COMPUTED_VALUE"""),0.8484900248146608)</f>
        <v>0.8484900248</v>
      </c>
      <c r="AQ2415" s="82">
        <f>IFERROR(__xludf.DUMMYFUNCTION("""COMPUTED_VALUE"""),0.6775338294862325)</f>
        <v>0.6775338295</v>
      </c>
      <c r="AR2415" s="82">
        <f>IFERROR(__xludf.DUMMYFUNCTION("""COMPUTED_VALUE"""),0.7425780783100688)</f>
        <v>0.7425780783</v>
      </c>
      <c r="AS2415" s="82">
        <f>IFERROR(__xludf.DUMMYFUNCTION("""COMPUTED_VALUE"""),62.0)</f>
        <v>62</v>
      </c>
      <c r="AT2415" s="82">
        <f>IFERROR(__xludf.DUMMYFUNCTION("""COMPUTED_VALUE"""),0.30017503239458027)</f>
        <v>0.3001750324</v>
      </c>
      <c r="AU2415" s="82">
        <f>IFERROR(__xludf.DUMMYFUNCTION("""COMPUTED_VALUE"""),1.4254051494693598)</f>
        <v>1.425405149</v>
      </c>
      <c r="AV2415" s="82">
        <f>IFERROR(__xludf.DUMMYFUNCTION("""COMPUTED_VALUE"""),8.280869635777208)</f>
        <v>8.280869636</v>
      </c>
      <c r="AW2415" s="82">
        <f t="shared" si="1"/>
        <v>-21.01636859</v>
      </c>
      <c r="AX2415" s="83">
        <f t="array" ref="AX2415">IFERROR(DGET('SBV Import'!A:G,"SBV",{"RSC ID","Tier";B2415,A2415}))</f>
        <v>18.3375019</v>
      </c>
      <c r="AY2415" s="82">
        <f t="shared" si="2"/>
        <v>-9.740220688</v>
      </c>
      <c r="AZ2415" s="82">
        <v>11.276147907176167</v>
      </c>
      <c r="BA2415" s="84">
        <v>2300.0</v>
      </c>
      <c r="BB2415" s="84" t="b">
        <f>IFERROR(__xludf.DUMMYFUNCTION("iferror(if(A2415="""",,E2415&gt;=FILTER(Constants!$F$2:$F$10,Constants!$A$2:$A$10=A2415)))"),TRUE)</f>
        <v>1</v>
      </c>
    </row>
    <row r="2416">
      <c r="A2416" s="89" t="str">
        <f>IFERROR(__xludf.DUMMYFUNCTION("""COMPUTED_VALUE"""),"Challenger")</f>
        <v>Challenger</v>
      </c>
      <c r="B2416" s="87" t="str">
        <f>IFERROR(__xludf.DUMMYFUNCTION("""COMPUTED_VALUE"""),"RSC006413")</f>
        <v>RSC006413</v>
      </c>
      <c r="C2416" s="73" t="str">
        <f>IFERROR(__xludf.DUMMYFUNCTION("""COMPUTED_VALUE"""),"BlueFlre")</f>
        <v>BlueFlre</v>
      </c>
      <c r="D2416" s="73" t="str">
        <f>IFERROR(__xludf.DUMMYFUNCTION("""COMPUTED_VALUE"""),"Shade")</f>
        <v>Shade</v>
      </c>
      <c r="E2416" s="82">
        <f>IFERROR(__xludf.DUMMYFUNCTION("""COMPUTED_VALUE"""),15.0)</f>
        <v>15</v>
      </c>
      <c r="F2416" s="82">
        <f>IFERROR(__xludf.DUMMYFUNCTION("""COMPUTED_VALUE"""),6.0)</f>
        <v>6</v>
      </c>
      <c r="G2416" s="86">
        <f>IFERROR(__xludf.DUMMYFUNCTION("""COMPUTED_VALUE"""),9.0)</f>
        <v>9</v>
      </c>
      <c r="H2416" s="86">
        <f>IFERROR(__xludf.DUMMYFUNCTION("""COMPUTED_VALUE"""),0.4)</f>
        <v>0.4</v>
      </c>
      <c r="I2416" s="86">
        <f>IFERROR(__xludf.DUMMYFUNCTION("""COMPUTED_VALUE"""),0.11538461538461539)</f>
        <v>0.1153846154</v>
      </c>
      <c r="J2416" s="82">
        <f>IFERROR(__xludf.DUMMYFUNCTION("""COMPUTED_VALUE"""),250.66666666666666)</f>
        <v>250.6666667</v>
      </c>
      <c r="K2416" s="82">
        <f>IFERROR(__xludf.DUMMYFUNCTION("""COMPUTED_VALUE"""),0.2)</f>
        <v>0.2</v>
      </c>
      <c r="L2416" s="82">
        <f>IFERROR(__xludf.DUMMYFUNCTION("""COMPUTED_VALUE"""),0.3333333333333333)</f>
        <v>0.3333333333</v>
      </c>
      <c r="M2416" s="82">
        <f>IFERROR(__xludf.DUMMYFUNCTION("""COMPUTED_VALUE"""),1.0)</f>
        <v>1</v>
      </c>
      <c r="N2416" s="82">
        <f>IFERROR(__xludf.DUMMYFUNCTION("""COMPUTED_VALUE"""),1.7333333333333334)</f>
        <v>1.733333333</v>
      </c>
      <c r="O2416" s="82">
        <f>IFERROR(__xludf.DUMMYFUNCTION("""COMPUTED_VALUE"""),310.0666666666667)</f>
        <v>310.0666667</v>
      </c>
      <c r="P2416" s="82">
        <f>IFERROR(__xludf.DUMMYFUNCTION("""COMPUTED_VALUE"""),0.688888888888889)</f>
        <v>0.6888888889</v>
      </c>
      <c r="Q2416" s="82">
        <f>IFERROR(__xludf.DUMMYFUNCTION("""COMPUTED_VALUE"""),0.4444444444444444)</f>
        <v>0.4444444444</v>
      </c>
      <c r="R2416" s="82">
        <f>IFERROR(__xludf.DUMMYFUNCTION("""COMPUTED_VALUE"""),1.2444444444444442)</f>
        <v>1.244444444</v>
      </c>
      <c r="S2416" s="82">
        <f>IFERROR(__xludf.DUMMYFUNCTION("""COMPUTED_VALUE"""),1.9555555555555555)</f>
        <v>1.955555556</v>
      </c>
      <c r="T2416" s="82">
        <f>IFERROR(__xludf.DUMMYFUNCTION("""COMPUTED_VALUE"""),328.11713955179846)</f>
        <v>328.1171396</v>
      </c>
      <c r="U2416" s="82">
        <f>IFERROR(__xludf.DUMMYFUNCTION("""COMPUTED_VALUE"""),0.7369806029938858)</f>
        <v>0.736980603</v>
      </c>
      <c r="V2416" s="82">
        <f>IFERROR(__xludf.DUMMYFUNCTION("""COMPUTED_VALUE"""),0.4751522488724682)</f>
        <v>0.4751522489</v>
      </c>
      <c r="W2416" s="82">
        <f>IFERROR(__xludf.DUMMYFUNCTION("""COMPUTED_VALUE"""),1.247348631009553)</f>
        <v>1.247348631</v>
      </c>
      <c r="X2416" s="82">
        <f>IFERROR(__xludf.DUMMYFUNCTION("""COMPUTED_VALUE"""),2.387009041450112)</f>
        <v>2.387009041</v>
      </c>
      <c r="Y2416" s="82">
        <f>IFERROR(__xludf.DUMMYFUNCTION("""COMPUTED_VALUE"""),343.04926194631565)</f>
        <v>343.0492619</v>
      </c>
      <c r="Z2416" s="82">
        <f>IFERROR(__xludf.DUMMYFUNCTION("""COMPUTED_VALUE"""),0.7777280136400772)</f>
        <v>0.7777280136</v>
      </c>
      <c r="AA2416" s="82">
        <f>IFERROR(__xludf.DUMMYFUNCTION("""COMPUTED_VALUE"""),0.5470112730874906)</f>
        <v>0.5470112731</v>
      </c>
      <c r="AB2416" s="82">
        <f>IFERROR(__xludf.DUMMYFUNCTION("""COMPUTED_VALUE"""),1.228025614839059)</f>
        <v>1.228025615</v>
      </c>
      <c r="AC2416" s="82">
        <f>IFERROR(__xludf.DUMMYFUNCTION("""COMPUTED_VALUE"""),2.5395535835600667)</f>
        <v>2.539553584</v>
      </c>
      <c r="AD2416" s="82">
        <f>IFERROR(__xludf.DUMMYFUNCTION("""COMPUTED_VALUE"""),0.7307016643746457)</f>
        <v>0.7307016644</v>
      </c>
      <c r="AE2416" s="82">
        <f>IFERROR(__xludf.DUMMYFUNCTION("""COMPUTED_VALUE"""),0.2571593108288851)</f>
        <v>0.2571593108</v>
      </c>
      <c r="AF2416" s="82">
        <f>IFERROR(__xludf.DUMMYFUNCTION("""COMPUTED_VALUE"""),0.6093719631259208)</f>
        <v>0.6093719631</v>
      </c>
      <c r="AG2416" s="82">
        <f>IFERROR(__xludf.DUMMYFUNCTION("""COMPUTED_VALUE"""),0.8143152617635396)</f>
        <v>0.8143152618</v>
      </c>
      <c r="AH2416" s="82">
        <f>IFERROR(__xludf.DUMMYFUNCTION("""COMPUTED_VALUE"""),0.6825346567027204)</f>
        <v>0.6825346567</v>
      </c>
      <c r="AI2416" s="82">
        <f>IFERROR(__xludf.DUMMYFUNCTION("""COMPUTED_VALUE"""),0.9449877171616565)</f>
        <v>0.9449877172</v>
      </c>
      <c r="AJ2416" s="82">
        <f>IFERROR(__xludf.DUMMYFUNCTION("""COMPUTED_VALUE"""),0.9347449391345842)</f>
        <v>0.9347449391</v>
      </c>
      <c r="AK2416" s="82">
        <f>IFERROR(__xludf.DUMMYFUNCTION("""COMPUTED_VALUE"""),0.9353727052731138)</f>
        <v>0.9353727053</v>
      </c>
      <c r="AL2416" s="82">
        <f>IFERROR(__xludf.DUMMYFUNCTION("""COMPUTED_VALUE"""),0.9976717122279132)</f>
        <v>0.9976717122</v>
      </c>
      <c r="AM2416" s="82">
        <f>IFERROR(__xludf.DUMMYFUNCTION("""COMPUTED_VALUE"""),0.8192493290128269)</f>
        <v>0.819249329</v>
      </c>
      <c r="AN2416" s="82">
        <f>IFERROR(__xludf.DUMMYFUNCTION("""COMPUTED_VALUE"""),0.7625724917064145)</f>
        <v>0.7625724917</v>
      </c>
      <c r="AO2416" s="82">
        <f>IFERROR(__xludf.DUMMYFUNCTION("""COMPUTED_VALUE"""),0.263749318023279)</f>
        <v>0.263749318</v>
      </c>
      <c r="AP2416" s="82">
        <f>IFERROR(__xludf.DUMMYFUNCTION("""COMPUTED_VALUE"""),0.6464685903349797)</f>
        <v>0.6464685903</v>
      </c>
      <c r="AQ2416" s="82">
        <f>IFERROR(__xludf.DUMMYFUNCTION("""COMPUTED_VALUE"""),0.8338877901369016)</f>
        <v>0.8338877901</v>
      </c>
      <c r="AR2416" s="82">
        <f>IFERROR(__xludf.DUMMYFUNCTION("""COMPUTED_VALUE"""),0.7226022937473419)</f>
        <v>0.7226022937</v>
      </c>
      <c r="AS2416" s="82">
        <f>IFERROR(__xludf.DUMMYFUNCTION("""COMPUTED_VALUE"""),20.0)</f>
        <v>20</v>
      </c>
      <c r="AT2416" s="82">
        <f>IFERROR(__xludf.DUMMYFUNCTION("""COMPUTED_VALUE"""),0.34917336426230006)</f>
        <v>0.3491733643</v>
      </c>
      <c r="AU2416" s="82">
        <f>IFERROR(__xludf.DUMMYFUNCTION("""COMPUTED_VALUE"""),1.388419030590195)</f>
        <v>1.388419031</v>
      </c>
      <c r="AV2416" s="82">
        <f>IFERROR(__xludf.DUMMYFUNCTION("""COMPUTED_VALUE"""),7.302876849199848)</f>
        <v>7.302876849</v>
      </c>
      <c r="AW2416" s="82">
        <f t="shared" si="1"/>
        <v>-22.81602272</v>
      </c>
      <c r="AX2416" s="83">
        <f t="array" ref="AX2416">IFERROR(DGET('SBV Import'!A:G,"SBV",{"RSC ID","Tier";B2416,A2416}))</f>
        <v>32.04441652</v>
      </c>
      <c r="AY2416" s="82">
        <f t="shared" si="2"/>
        <v>-4.231733183</v>
      </c>
      <c r="AZ2416" s="82">
        <v>18.5842895395849</v>
      </c>
      <c r="BA2416" s="84">
        <v>2300.0</v>
      </c>
      <c r="BB2416" s="84" t="b">
        <f>IFERROR(__xludf.DUMMYFUNCTION("iferror(if(A2416="""",,E2416&gt;=FILTER(Constants!$F$2:$F$10,Constants!$A$2:$A$10=A2416)))"),TRUE)</f>
        <v>1</v>
      </c>
    </row>
    <row r="2417">
      <c r="A2417" s="89" t="str">
        <f>IFERROR(__xludf.DUMMYFUNCTION("""COMPUTED_VALUE"""),"Challenger")</f>
        <v>Challenger</v>
      </c>
      <c r="B2417" s="87" t="str">
        <f>IFERROR(__xludf.DUMMYFUNCTION("""COMPUTED_VALUE"""),"RSC007118")</f>
        <v>RSC007118</v>
      </c>
      <c r="C2417" s="73" t="str">
        <f>IFERROR(__xludf.DUMMYFUNCTION("""COMPUTED_VALUE"""),"Vampress Maru")</f>
        <v>Vampress Maru</v>
      </c>
      <c r="D2417" s="73" t="str">
        <f>IFERROR(__xludf.DUMMYFUNCTION("""COMPUTED_VALUE"""),"Bingo")</f>
        <v>Bingo</v>
      </c>
      <c r="E2417" s="82">
        <f>IFERROR(__xludf.DUMMYFUNCTION("""COMPUTED_VALUE"""),9.0)</f>
        <v>9</v>
      </c>
      <c r="F2417" s="82">
        <f>IFERROR(__xludf.DUMMYFUNCTION("""COMPUTED_VALUE"""),0.0)</f>
        <v>0</v>
      </c>
      <c r="G2417" s="86">
        <f>IFERROR(__xludf.DUMMYFUNCTION("""COMPUTED_VALUE"""),9.0)</f>
        <v>9</v>
      </c>
      <c r="H2417" s="86">
        <f>IFERROR(__xludf.DUMMYFUNCTION("""COMPUTED_VALUE"""),0.0)</f>
        <v>0</v>
      </c>
      <c r="I2417" s="86">
        <f>IFERROR(__xludf.DUMMYFUNCTION("""COMPUTED_VALUE"""),0.31250000000000006)</f>
        <v>0.3125</v>
      </c>
      <c r="J2417" s="82">
        <f>IFERROR(__xludf.DUMMYFUNCTION("""COMPUTED_VALUE"""),275.55555555555554)</f>
        <v>275.5555556</v>
      </c>
      <c r="K2417" s="82">
        <f>IFERROR(__xludf.DUMMYFUNCTION("""COMPUTED_VALUE"""),0.5555555555555556)</f>
        <v>0.5555555556</v>
      </c>
      <c r="L2417" s="82">
        <f>IFERROR(__xludf.DUMMYFUNCTION("""COMPUTED_VALUE"""),0.1111111111111111)</f>
        <v>0.1111111111</v>
      </c>
      <c r="M2417" s="82">
        <f>IFERROR(__xludf.DUMMYFUNCTION("""COMPUTED_VALUE"""),1.6666666666666667)</f>
        <v>1.666666667</v>
      </c>
      <c r="N2417" s="82">
        <f>IFERROR(__xludf.DUMMYFUNCTION("""COMPUTED_VALUE"""),1.7777777777777777)</f>
        <v>1.777777778</v>
      </c>
      <c r="O2417" s="82">
        <f>IFERROR(__xludf.DUMMYFUNCTION("""COMPUTED_VALUE"""),379.3703703703704)</f>
        <v>379.3703704</v>
      </c>
      <c r="P2417" s="82">
        <f>IFERROR(__xludf.DUMMYFUNCTION("""COMPUTED_VALUE"""),1.2222222222222223)</f>
        <v>1.222222222</v>
      </c>
      <c r="Q2417" s="82">
        <f>IFERROR(__xludf.DUMMYFUNCTION("""COMPUTED_VALUE"""),0.9259259259259258)</f>
        <v>0.9259259259</v>
      </c>
      <c r="R2417" s="82">
        <f>IFERROR(__xludf.DUMMYFUNCTION("""COMPUTED_VALUE"""),0.8518518518518517)</f>
        <v>0.8518518519</v>
      </c>
      <c r="S2417" s="82">
        <f>IFERROR(__xludf.DUMMYFUNCTION("""COMPUTED_VALUE"""),3.2962962962962963)</f>
        <v>3.296296296</v>
      </c>
      <c r="T2417" s="82">
        <f>IFERROR(__xludf.DUMMYFUNCTION("""COMPUTED_VALUE"""),340.0048316749269)</f>
        <v>340.0048317</v>
      </c>
      <c r="U2417" s="82">
        <f>IFERROR(__xludf.DUMMYFUNCTION("""COMPUTED_VALUE"""),0.8546611744532225)</f>
        <v>0.8546611745</v>
      </c>
      <c r="V2417" s="82">
        <f>IFERROR(__xludf.DUMMYFUNCTION("""COMPUTED_VALUE"""),0.5847681005091185)</f>
        <v>0.5847681005</v>
      </c>
      <c r="W2417" s="82">
        <f>IFERROR(__xludf.DUMMYFUNCTION("""COMPUTED_VALUE"""),1.0394508244514347)</f>
        <v>1.039450824</v>
      </c>
      <c r="X2417" s="82">
        <f>IFERROR(__xludf.DUMMYFUNCTION("""COMPUTED_VALUE"""),2.8187797309705496)</f>
        <v>2.818779731</v>
      </c>
      <c r="Y2417" s="82">
        <f>IFERROR(__xludf.DUMMYFUNCTION("""COMPUTED_VALUE"""),320.1071355223055)</f>
        <v>320.1071355</v>
      </c>
      <c r="Z2417" s="82">
        <f>IFERROR(__xludf.DUMMYFUNCTION("""COMPUTED_VALUE"""),0.6235377019868292)</f>
        <v>0.623537702</v>
      </c>
      <c r="AA2417" s="82">
        <f>IFERROR(__xludf.DUMMYFUNCTION("""COMPUTED_VALUE"""),0.4619712245920397)</f>
        <v>0.4619712246</v>
      </c>
      <c r="AB2417" s="82">
        <f>IFERROR(__xludf.DUMMYFUNCTION("""COMPUTED_VALUE"""),1.2893990780826785)</f>
        <v>1.289399078</v>
      </c>
      <c r="AC2417" s="82">
        <f>IFERROR(__xludf.DUMMYFUNCTION("""COMPUTED_VALUE"""),2.135287083875031)</f>
        <v>2.135287084</v>
      </c>
      <c r="AD2417" s="82">
        <f>IFERROR(__xludf.DUMMYFUNCTION("""COMPUTED_VALUE"""),0.8608229088862484)</f>
        <v>0.8608229089</v>
      </c>
      <c r="AE2417" s="82">
        <f>IFERROR(__xludf.DUMMYFUNCTION("""COMPUTED_VALUE"""),0.8909734788856286)</f>
        <v>0.8909734789</v>
      </c>
      <c r="AF2417" s="82">
        <f>IFERROR(__xludf.DUMMYFUNCTION("""COMPUTED_VALUE"""),0.24051522085435464)</f>
        <v>0.2405152209</v>
      </c>
      <c r="AG2417" s="82">
        <f>IFERROR(__xludf.DUMMYFUNCTION("""COMPUTED_VALUE"""),1.292591793337545)</f>
        <v>1.292591793</v>
      </c>
      <c r="AH2417" s="82">
        <f>IFERROR(__xludf.DUMMYFUNCTION("""COMPUTED_VALUE"""),0.8325708478278901)</f>
        <v>0.8325708478</v>
      </c>
      <c r="AI2417" s="82">
        <f>IFERROR(__xludf.DUMMYFUNCTION("""COMPUTED_VALUE"""),1.1157793508448735)</f>
        <v>1.115779351</v>
      </c>
      <c r="AJ2417" s="82">
        <f>IFERROR(__xludf.DUMMYFUNCTION("""COMPUTED_VALUE"""),1.430066392104626)</f>
        <v>1.430066392</v>
      </c>
      <c r="AK2417" s="82">
        <f>IFERROR(__xludf.DUMMYFUNCTION("""COMPUTED_VALUE"""),1.583407037969041)</f>
        <v>1.583407038</v>
      </c>
      <c r="AL2417" s="82">
        <f>IFERROR(__xludf.DUMMYFUNCTION("""COMPUTED_VALUE"""),0.819521069985598)</f>
        <v>0.81952107</v>
      </c>
      <c r="AM2417" s="82">
        <f>IFERROR(__xludf.DUMMYFUNCTION("""COMPUTED_VALUE"""),1.1694054203949205)</f>
        <v>1.16940542</v>
      </c>
      <c r="AN2417" s="82">
        <f>IFERROR(__xludf.DUMMYFUNCTION("""COMPUTED_VALUE"""),0.8382889093226542)</f>
        <v>0.8382889093</v>
      </c>
      <c r="AO2417" s="82">
        <f>IFERROR(__xludf.DUMMYFUNCTION("""COMPUTED_VALUE"""),0.7326369945091084)</f>
        <v>0.7326369945</v>
      </c>
      <c r="AP2417" s="82">
        <f>IFERROR(__xludf.DUMMYFUNCTION("""COMPUTED_VALUE"""),0.2154895301116599)</f>
        <v>0.2154895301</v>
      </c>
      <c r="AQ2417" s="82">
        <f>IFERROR(__xludf.DUMMYFUNCTION("""COMPUTED_VALUE"""),1.3898129835615027)</f>
        <v>1.389812984</v>
      </c>
      <c r="AR2417" s="82">
        <f>IFERROR(__xludf.DUMMYFUNCTION("""COMPUTED_VALUE"""),0.7411305576895812)</f>
        <v>0.7411305577</v>
      </c>
      <c r="AS2417" s="82">
        <f>IFERROR(__xludf.DUMMYFUNCTION("""COMPUTED_VALUE"""),10.0)</f>
        <v>10</v>
      </c>
      <c r="AT2417" s="82">
        <f>IFERROR(__xludf.DUMMYFUNCTION("""COMPUTED_VALUE"""),0.13350566975068476)</f>
        <v>0.1335056698</v>
      </c>
      <c r="AU2417" s="82">
        <f>IFERROR(__xludf.DUMMYFUNCTION("""COMPUTED_VALUE"""),1.3011159914964952)</f>
        <v>1.301115991</v>
      </c>
      <c r="AV2417" s="82">
        <f>IFERROR(__xludf.DUMMYFUNCTION("""COMPUTED_VALUE"""),4.994396125421687)</f>
        <v>4.994396125</v>
      </c>
      <c r="AW2417" s="82">
        <f t="shared" si="1"/>
        <v>-27.84536031</v>
      </c>
      <c r="AX2417" s="83">
        <f t="array" ref="AX2417">IFERROR(DGET('SBV Import'!A:G,"SBV",{"RSC ID","Tier";B2417,A2417}))</f>
        <v>13.08509143</v>
      </c>
      <c r="AY2417" s="82">
        <f t="shared" si="2"/>
        <v>-14.30780219</v>
      </c>
      <c r="AZ2417" s="82">
        <v>13.537558122542427</v>
      </c>
      <c r="BA2417" s="84">
        <v>2300.0</v>
      </c>
      <c r="BB2417" s="84" t="b">
        <f>IFERROR(__xludf.DUMMYFUNCTION("iferror(if(A2417="""",,E2417&gt;=FILTER(Constants!$F$2:$F$10,Constants!$A$2:$A$10=A2417)))"),TRUE)</f>
        <v>1</v>
      </c>
    </row>
    <row r="2418">
      <c r="A2418" s="89" t="str">
        <f>IFERROR(__xludf.DUMMYFUNCTION("""COMPUTED_VALUE"""),"Challenger")</f>
        <v>Challenger</v>
      </c>
      <c r="B2418" s="87" t="str">
        <f>IFERROR(__xludf.DUMMYFUNCTION("""COMPUTED_VALUE"""),"RSC007946")</f>
        <v>RSC007946</v>
      </c>
      <c r="C2418" s="73" t="str">
        <f>IFERROR(__xludf.DUMMYFUNCTION("""COMPUTED_VALUE"""),"hagerity_tv")</f>
        <v>hagerity_tv</v>
      </c>
      <c r="D2418" s="73"/>
      <c r="E2418" s="82">
        <f>IFERROR(__xludf.DUMMYFUNCTION("""COMPUTED_VALUE"""),3.0)</f>
        <v>3</v>
      </c>
      <c r="F2418" s="82">
        <f>IFERROR(__xludf.DUMMYFUNCTION("""COMPUTED_VALUE"""),1.0)</f>
        <v>1</v>
      </c>
      <c r="G2418" s="86">
        <f>IFERROR(__xludf.DUMMYFUNCTION("""COMPUTED_VALUE"""),2.0)</f>
        <v>2</v>
      </c>
      <c r="H2418" s="86">
        <f>IFERROR(__xludf.DUMMYFUNCTION("""COMPUTED_VALUE"""),0.3333333333333333)</f>
        <v>0.3333333333</v>
      </c>
      <c r="I2418" s="86">
        <f>IFERROR(__xludf.DUMMYFUNCTION("""COMPUTED_VALUE"""),0.5)</f>
        <v>0.5</v>
      </c>
      <c r="J2418" s="82">
        <f>IFERROR(__xludf.DUMMYFUNCTION("""COMPUTED_VALUE"""),253.0)</f>
        <v>253</v>
      </c>
      <c r="K2418" s="82">
        <f>IFERROR(__xludf.DUMMYFUNCTION("""COMPUTED_VALUE"""),0.3333333333333333)</f>
        <v>0.3333333333</v>
      </c>
      <c r="L2418" s="82">
        <f>IFERROR(__xludf.DUMMYFUNCTION("""COMPUTED_VALUE"""),0.6666666666666666)</f>
        <v>0.6666666667</v>
      </c>
      <c r="M2418" s="82">
        <f>IFERROR(__xludf.DUMMYFUNCTION("""COMPUTED_VALUE"""),1.3333333333333333)</f>
        <v>1.333333333</v>
      </c>
      <c r="N2418" s="82">
        <f>IFERROR(__xludf.DUMMYFUNCTION("""COMPUTED_VALUE"""),0.6666666666666666)</f>
        <v>0.6666666667</v>
      </c>
      <c r="O2418" s="82">
        <f>IFERROR(__xludf.DUMMYFUNCTION("""COMPUTED_VALUE"""),417.0)</f>
        <v>417</v>
      </c>
      <c r="P2418" s="82">
        <f>IFERROR(__xludf.DUMMYFUNCTION("""COMPUTED_VALUE"""),1.4444444444444446)</f>
        <v>1.444444444</v>
      </c>
      <c r="Q2418" s="82">
        <f>IFERROR(__xludf.DUMMYFUNCTION("""COMPUTED_VALUE"""),1.2222222222222223)</f>
        <v>1.222222222</v>
      </c>
      <c r="R2418" s="82">
        <f>IFERROR(__xludf.DUMMYFUNCTION("""COMPUTED_VALUE"""),0.7777777777777777)</f>
        <v>0.7777777778</v>
      </c>
      <c r="S2418" s="82">
        <f>IFERROR(__xludf.DUMMYFUNCTION("""COMPUTED_VALUE"""),3.3333333333333335)</f>
        <v>3.333333333</v>
      </c>
      <c r="T2418" s="82">
        <f>IFERROR(__xludf.DUMMYFUNCTION("""COMPUTED_VALUE"""),388.29421296296294)</f>
        <v>388.294213</v>
      </c>
      <c r="U2418" s="82">
        <f>IFERROR(__xludf.DUMMYFUNCTION("""COMPUTED_VALUE"""),1.0597222222222222)</f>
        <v>1.059722222</v>
      </c>
      <c r="V2418" s="82">
        <f>IFERROR(__xludf.DUMMYFUNCTION("""COMPUTED_VALUE"""),0.8055555555555555)</f>
        <v>0.8055555556</v>
      </c>
      <c r="W2418" s="82">
        <f>IFERROR(__xludf.DUMMYFUNCTION("""COMPUTED_VALUE"""),1.2564814814814815)</f>
        <v>1.256481481</v>
      </c>
      <c r="X2418" s="82">
        <f>IFERROR(__xludf.DUMMYFUNCTION("""COMPUTED_VALUE"""),2.952083333333333)</f>
        <v>2.952083333</v>
      </c>
      <c r="Y2418" s="82">
        <f>IFERROR(__xludf.DUMMYFUNCTION("""COMPUTED_VALUE"""),340.6320216049383)</f>
        <v>340.6320216</v>
      </c>
      <c r="Z2418" s="82">
        <f>IFERROR(__xludf.DUMMYFUNCTION("""COMPUTED_VALUE"""),0.649537037037037)</f>
        <v>0.649537037</v>
      </c>
      <c r="AA2418" s="82">
        <f>IFERROR(__xludf.DUMMYFUNCTION("""COMPUTED_VALUE"""),0.5399691358024693)</f>
        <v>0.5399691358</v>
      </c>
      <c r="AB2418" s="82">
        <f>IFERROR(__xludf.DUMMYFUNCTION("""COMPUTED_VALUE"""),1.4366512345679014)</f>
        <v>1.436651235</v>
      </c>
      <c r="AC2418" s="82">
        <f>IFERROR(__xludf.DUMMYFUNCTION("""COMPUTED_VALUE"""),2.2838734567901233)</f>
        <v>2.283873457</v>
      </c>
      <c r="AD2418" s="82">
        <f>IFERROR(__xludf.DUMMYFUNCTION("""COMPUTED_VALUE"""),0.7427369828824459)</f>
        <v>0.7427369829</v>
      </c>
      <c r="AE2418" s="82">
        <f>IFERROR(__xludf.DUMMYFUNCTION("""COMPUTED_VALUE"""),0.5131860299358517)</f>
        <v>0.5131860299</v>
      </c>
      <c r="AF2418" s="82">
        <f>IFERROR(__xludf.DUMMYFUNCTION("""COMPUTED_VALUE"""),1.234638468133752)</f>
        <v>1.234638468</v>
      </c>
      <c r="AG2418" s="82">
        <f>IFERROR(__xludf.DUMMYFUNCTION("""COMPUTED_VALUE"""),0.9280842150491432)</f>
        <v>0.928084215</v>
      </c>
      <c r="AH2418" s="82">
        <f>IFERROR(__xludf.DUMMYFUNCTION("""COMPUTED_VALUE"""),0.29190175343761615)</f>
        <v>0.2919017534</v>
      </c>
      <c r="AI2418" s="82">
        <f>IFERROR(__xludf.DUMMYFUNCTION("""COMPUTED_VALUE"""),1.0739279290772616)</f>
        <v>1.073927929</v>
      </c>
      <c r="AJ2418" s="82">
        <f>IFERROR(__xludf.DUMMYFUNCTION("""COMPUTED_VALUE"""),1.3630406290956751)</f>
        <v>1.363040629</v>
      </c>
      <c r="AK2418" s="82">
        <f>IFERROR(__xludf.DUMMYFUNCTION("""COMPUTED_VALUE"""),1.5172413793103452)</f>
        <v>1.517241379</v>
      </c>
      <c r="AL2418" s="82">
        <f>IFERROR(__xludf.DUMMYFUNCTION("""COMPUTED_VALUE"""),0.6190125276344878)</f>
        <v>0.6190125276</v>
      </c>
      <c r="AM2418" s="82">
        <f>IFERROR(__xludf.DUMMYFUNCTION("""COMPUTED_VALUE"""),1.129146083274524)</f>
        <v>1.129146083</v>
      </c>
      <c r="AN2418" s="82">
        <f>IFERROR(__xludf.DUMMYFUNCTION("""COMPUTED_VALUE"""),0.769670905857937)</f>
        <v>0.7696709059</v>
      </c>
      <c r="AO2418" s="82">
        <f>IFERROR(__xludf.DUMMYFUNCTION("""COMPUTED_VALUE"""),0.439582196705465)</f>
        <v>0.4395821967</v>
      </c>
      <c r="AP2418" s="82">
        <f>IFERROR(__xludf.DUMMYFUNCTION("""COMPUTED_VALUE"""),1.2929371806699594)</f>
        <v>1.292937181</v>
      </c>
      <c r="AQ2418" s="82">
        <f>IFERROR(__xludf.DUMMYFUNCTION("""COMPUTED_VALUE"""),1.111850386849202)</f>
        <v>1.111850387</v>
      </c>
      <c r="AR2418" s="82">
        <f>IFERROR(__xludf.DUMMYFUNCTION("""COMPUTED_VALUE"""),0.27792395913359297)</f>
        <v>0.2779239591</v>
      </c>
      <c r="AS2418" s="82">
        <f>IFERROR(__xludf.DUMMYFUNCTION("""COMPUTED_VALUE"""),7.0)</f>
        <v>7</v>
      </c>
      <c r="AT2418" s="82">
        <f>IFERROR(__xludf.DUMMYFUNCTION("""COMPUTED_VALUE"""),0.2559667453991127)</f>
        <v>0.2559667454</v>
      </c>
      <c r="AU2418" s="82">
        <f>IFERROR(__xludf.DUMMYFUNCTION("""COMPUTED_VALUE"""),1.1695385021353812)</f>
        <v>1.169538502</v>
      </c>
      <c r="AV2418" s="82">
        <f>IFERROR(__xludf.DUMMYFUNCTION("""COMPUTED_VALUE"""),1.5152034074309952)</f>
        <v>1.515203407</v>
      </c>
      <c r="AW2418" s="82">
        <f t="shared" si="1"/>
        <v>-38.12890737</v>
      </c>
      <c r="AX2418" s="83">
        <f t="array" ref="AX2418">IFERROR(DGET('SBV Import'!A:G,"SBV",{"RSC ID","Tier";B2418,A2418}))</f>
        <v>0.4118700947</v>
      </c>
      <c r="AY2418" s="82">
        <f t="shared" si="2"/>
        <v>-42.27543692</v>
      </c>
      <c r="AZ2418" s="82">
        <v>4.146529545869193</v>
      </c>
      <c r="BA2418" s="84">
        <v>2300.0</v>
      </c>
      <c r="BB2418" s="84" t="b">
        <f>IFERROR(__xludf.DUMMYFUNCTION("iferror(if(A2418="""",,E2418&gt;=FILTER(Constants!$F$2:$F$10,Constants!$A$2:$A$10=A2418)))"),TRUE)</f>
        <v>1</v>
      </c>
    </row>
    <row r="2419">
      <c r="A2419" s="89" t="str">
        <f>IFERROR(__xludf.DUMMYFUNCTION("""COMPUTED_VALUE"""),"Challenger")</f>
        <v>Challenger</v>
      </c>
      <c r="B2419" s="87" t="str">
        <f>IFERROR(__xludf.DUMMYFUNCTION("""COMPUTED_VALUE"""),"RSC005219")</f>
        <v>RSC005219</v>
      </c>
      <c r="C2419" s="73" t="str">
        <f>IFERROR(__xludf.DUMMYFUNCTION("""COMPUTED_VALUE"""),"iargue")</f>
        <v>iargue</v>
      </c>
      <c r="D2419" s="73" t="str">
        <f>IFERROR(__xludf.DUMMYFUNCTION("""COMPUTED_VALUE"""),"Shade")</f>
        <v>Shade</v>
      </c>
      <c r="E2419" s="82">
        <f>IFERROR(__xludf.DUMMYFUNCTION("""COMPUTED_VALUE"""),27.0)</f>
        <v>27</v>
      </c>
      <c r="F2419" s="82">
        <f>IFERROR(__xludf.DUMMYFUNCTION("""COMPUTED_VALUE"""),5.0)</f>
        <v>5</v>
      </c>
      <c r="G2419" s="86">
        <f>IFERROR(__xludf.DUMMYFUNCTION("""COMPUTED_VALUE"""),22.0)</f>
        <v>22</v>
      </c>
      <c r="H2419" s="86">
        <f>IFERROR(__xludf.DUMMYFUNCTION("""COMPUTED_VALUE"""),0.18518518518518517)</f>
        <v>0.1851851852</v>
      </c>
      <c r="I2419" s="86">
        <f>IFERROR(__xludf.DUMMYFUNCTION("""COMPUTED_VALUE"""),0.21428571428571427)</f>
        <v>0.2142857143</v>
      </c>
      <c r="J2419" s="82">
        <f>IFERROR(__xludf.DUMMYFUNCTION("""COMPUTED_VALUE"""),220.1851851851852)</f>
        <v>220.1851852</v>
      </c>
      <c r="K2419" s="82">
        <f>IFERROR(__xludf.DUMMYFUNCTION("""COMPUTED_VALUE"""),0.3333333333333333)</f>
        <v>0.3333333333</v>
      </c>
      <c r="L2419" s="82">
        <f>IFERROR(__xludf.DUMMYFUNCTION("""COMPUTED_VALUE"""),0.25925925925925924)</f>
        <v>0.2592592593</v>
      </c>
      <c r="M2419" s="82">
        <f>IFERROR(__xludf.DUMMYFUNCTION("""COMPUTED_VALUE"""),0.7777777777777778)</f>
        <v>0.7777777778</v>
      </c>
      <c r="N2419" s="82">
        <f>IFERROR(__xludf.DUMMYFUNCTION("""COMPUTED_VALUE"""),1.5555555555555556)</f>
        <v>1.555555556</v>
      </c>
      <c r="O2419" s="82">
        <f>IFERROR(__xludf.DUMMYFUNCTION("""COMPUTED_VALUE"""),371.3827160493826)</f>
        <v>371.382716</v>
      </c>
      <c r="P2419" s="82">
        <f>IFERROR(__xludf.DUMMYFUNCTION("""COMPUTED_VALUE"""),0.9629629629629629)</f>
        <v>0.962962963</v>
      </c>
      <c r="Q2419" s="82">
        <f>IFERROR(__xludf.DUMMYFUNCTION("""COMPUTED_VALUE"""),0.7037037037037036)</f>
        <v>0.7037037037</v>
      </c>
      <c r="R2419" s="82">
        <f>IFERROR(__xludf.DUMMYFUNCTION("""COMPUTED_VALUE"""),1.2962962962962963)</f>
        <v>1.296296296</v>
      </c>
      <c r="S2419" s="82">
        <f>IFERROR(__xludf.DUMMYFUNCTION("""COMPUTED_VALUE"""),2.5925925925925926)</f>
        <v>2.592592593</v>
      </c>
      <c r="T2419" s="82">
        <f>IFERROR(__xludf.DUMMYFUNCTION("""COMPUTED_VALUE"""),343.4874776489768)</f>
        <v>343.4874776</v>
      </c>
      <c r="U2419" s="82">
        <f>IFERROR(__xludf.DUMMYFUNCTION("""COMPUTED_VALUE"""),0.8116787193136551)</f>
        <v>0.8116787193</v>
      </c>
      <c r="V2419" s="82">
        <f>IFERROR(__xludf.DUMMYFUNCTION("""COMPUTED_VALUE"""),0.581558902310185)</f>
        <v>0.5815589023</v>
      </c>
      <c r="W2419" s="82">
        <f>IFERROR(__xludf.DUMMYFUNCTION("""COMPUTED_VALUE"""),1.243626085246983)</f>
        <v>1.243626085</v>
      </c>
      <c r="X2419" s="82">
        <f>IFERROR(__xludf.DUMMYFUNCTION("""COMPUTED_VALUE"""),2.5139282346538656)</f>
        <v>2.513928235</v>
      </c>
      <c r="Y2419" s="82">
        <f>IFERROR(__xludf.DUMMYFUNCTION("""COMPUTED_VALUE"""),332.92344949540865)</f>
        <v>332.9234495</v>
      </c>
      <c r="Z2419" s="82">
        <f>IFERROR(__xludf.DUMMYFUNCTION("""COMPUTED_VALUE"""),0.7612151021401203)</f>
        <v>0.7612151021</v>
      </c>
      <c r="AA2419" s="82">
        <f>IFERROR(__xludf.DUMMYFUNCTION("""COMPUTED_VALUE"""),0.525392925768274)</f>
        <v>0.5253929258</v>
      </c>
      <c r="AB2419" s="82">
        <f>IFERROR(__xludf.DUMMYFUNCTION("""COMPUTED_VALUE"""),1.1903935739645084)</f>
        <v>1.190393574</v>
      </c>
      <c r="AC2419" s="82">
        <f>IFERROR(__xludf.DUMMYFUNCTION("""COMPUTED_VALUE"""),2.4724499860827955)</f>
        <v>2.472449986</v>
      </c>
      <c r="AD2419" s="82">
        <f>IFERROR(__xludf.DUMMYFUNCTION("""COMPUTED_VALUE"""),0.6613688087123517)</f>
        <v>0.6613688087</v>
      </c>
      <c r="AE2419" s="82">
        <f>IFERROR(__xludf.DUMMYFUNCTION("""COMPUTED_VALUE"""),0.4378963743575008)</f>
        <v>0.4378963744</v>
      </c>
      <c r="AF2419" s="82">
        <f>IFERROR(__xludf.DUMMYFUNCTION("""COMPUTED_VALUE"""),0.49345784182409463)</f>
        <v>0.4934578418</v>
      </c>
      <c r="AG2419" s="82">
        <f>IFERROR(__xludf.DUMMYFUNCTION("""COMPUTED_VALUE"""),0.6533786764216583)</f>
        <v>0.6533786764</v>
      </c>
      <c r="AH2419" s="82">
        <f>IFERROR(__xludf.DUMMYFUNCTION("""COMPUTED_VALUE"""),0.6291555195500987)</f>
        <v>0.6291555196</v>
      </c>
      <c r="AI2419" s="82">
        <f>IFERROR(__xludf.DUMMYFUNCTION("""COMPUTED_VALUE"""),1.081211806006253)</f>
        <v>1.081211806</v>
      </c>
      <c r="AJ2419" s="82">
        <f>IFERROR(__xludf.DUMMYFUNCTION("""COMPUTED_VALUE"""),1.1863843908304406)</f>
        <v>1.186384391</v>
      </c>
      <c r="AK2419" s="82">
        <f>IFERROR(__xludf.DUMMYFUNCTION("""COMPUTED_VALUE"""),1.2100299744502414)</f>
        <v>1.210029974</v>
      </c>
      <c r="AL2419" s="82">
        <f>IFERROR(__xludf.DUMMYFUNCTION("""COMPUTED_VALUE"""),1.0423521279218368)</f>
        <v>1.042352128</v>
      </c>
      <c r="AM2419" s="82">
        <f>IFERROR(__xludf.DUMMYFUNCTION("""COMPUTED_VALUE"""),1.0312914095376147)</f>
        <v>1.03129141</v>
      </c>
      <c r="AN2419" s="82">
        <f>IFERROR(__xludf.DUMMYFUNCTION("""COMPUTED_VALUE"""),0.6698424147746209)</f>
        <v>0.6698424148</v>
      </c>
      <c r="AO2419" s="82">
        <f>IFERROR(__xludf.DUMMYFUNCTION("""COMPUTED_VALUE"""),0.439582196705465)</f>
        <v>0.4395821967</v>
      </c>
      <c r="AP2419" s="82">
        <f>IFERROR(__xludf.DUMMYFUNCTION("""COMPUTED_VALUE"""),0.5028089035938731)</f>
        <v>0.5028089036</v>
      </c>
      <c r="AQ2419" s="82">
        <f>IFERROR(__xludf.DUMMYFUNCTION("""COMPUTED_VALUE"""),0.6485793923287013)</f>
        <v>0.6485793923</v>
      </c>
      <c r="AR2419" s="82">
        <f>IFERROR(__xludf.DUMMYFUNCTION("""COMPUTED_VALUE"""),0.6484892379783836)</f>
        <v>0.648489238</v>
      </c>
      <c r="AS2419" s="82">
        <f>IFERROR(__xludf.DUMMYFUNCTION("""COMPUTED_VALUE"""),33.0)</f>
        <v>33</v>
      </c>
      <c r="AT2419" s="82">
        <f>IFERROR(__xludf.DUMMYFUNCTION("""COMPUTED_VALUE"""),0.21574387494716957)</f>
        <v>0.2157438749</v>
      </c>
      <c r="AU2419" s="82">
        <f>IFERROR(__xludf.DUMMYFUNCTION("""COMPUTED_VALUE"""),1.0093704084080546)</f>
        <v>1.009370408</v>
      </c>
      <c r="AV2419" s="82">
        <f>IFERROR(__xludf.DUMMYFUNCTION("""COMPUTED_VALUE"""),-2.719986578761713)</f>
        <v>-2.719986579</v>
      </c>
      <c r="AW2419" s="82">
        <f t="shared" si="1"/>
        <v>-57.20513723</v>
      </c>
      <c r="AX2419" s="83">
        <f t="array" ref="AX2419">IFERROR(DGET('SBV Import'!A:G,"SBV",{"RSC ID","Tier";B2419,A2419}))</f>
        <v>5.803955844</v>
      </c>
      <c r="AY2419" s="82">
        <f t="shared" si="2"/>
        <v>-25.94459053</v>
      </c>
      <c r="AZ2419" s="82">
        <v>31.26054669629259</v>
      </c>
      <c r="BA2419" s="84">
        <v>2300.0</v>
      </c>
      <c r="BB2419" s="84" t="b">
        <f>IFERROR(__xludf.DUMMYFUNCTION("iferror(if(A2419="""",,E2419&gt;=FILTER(Constants!$F$2:$F$10,Constants!$A$2:$A$10=A2419)))"),TRUE)</f>
        <v>1</v>
      </c>
    </row>
    <row r="2420">
      <c r="A2420" s="89" t="str">
        <f>IFERROR(__xludf.DUMMYFUNCTION("""COMPUTED_VALUE"""),"Challenger")</f>
        <v>Challenger</v>
      </c>
      <c r="B2420" s="87" t="str">
        <f>IFERROR(__xludf.DUMMYFUNCTION("""COMPUTED_VALUE"""),"RSC006868")</f>
        <v>RSC006868</v>
      </c>
      <c r="C2420" s="73" t="str">
        <f>IFERROR(__xludf.DUMMYFUNCTION("""COMPUTED_VALUE"""),"TraxStar_19")</f>
        <v>TraxStar_19</v>
      </c>
      <c r="D2420" s="73" t="str">
        <f>IFERROR(__xludf.DUMMYFUNCTION("""COMPUTED_VALUE"""),"Warbirds")</f>
        <v>Warbirds</v>
      </c>
      <c r="E2420" s="82">
        <f>IFERROR(__xludf.DUMMYFUNCTION("""COMPUTED_VALUE"""),6.0)</f>
        <v>6</v>
      </c>
      <c r="F2420" s="82">
        <f>IFERROR(__xludf.DUMMYFUNCTION("""COMPUTED_VALUE"""),2.0)</f>
        <v>2</v>
      </c>
      <c r="G2420" s="86">
        <f>IFERROR(__xludf.DUMMYFUNCTION("""COMPUTED_VALUE"""),4.0)</f>
        <v>4</v>
      </c>
      <c r="H2420" s="86">
        <f>IFERROR(__xludf.DUMMYFUNCTION("""COMPUTED_VALUE"""),0.3333333333333333)</f>
        <v>0.3333333333</v>
      </c>
      <c r="I2420" s="86">
        <f>IFERROR(__xludf.DUMMYFUNCTION("""COMPUTED_VALUE"""),0.375)</f>
        <v>0.375</v>
      </c>
      <c r="J2420" s="82">
        <f>IFERROR(__xludf.DUMMYFUNCTION("""COMPUTED_VALUE"""),194.5)</f>
        <v>194.5</v>
      </c>
      <c r="K2420" s="82">
        <f>IFERROR(__xludf.DUMMYFUNCTION("""COMPUTED_VALUE"""),0.5)</f>
        <v>0.5</v>
      </c>
      <c r="L2420" s="82">
        <f>IFERROR(__xludf.DUMMYFUNCTION("""COMPUTED_VALUE"""),0.0)</f>
        <v>0</v>
      </c>
      <c r="M2420" s="82">
        <f>IFERROR(__xludf.DUMMYFUNCTION("""COMPUTED_VALUE"""),1.3333333333333333)</f>
        <v>1.333333333</v>
      </c>
      <c r="N2420" s="82">
        <f>IFERROR(__xludf.DUMMYFUNCTION("""COMPUTED_VALUE"""),1.3333333333333333)</f>
        <v>1.333333333</v>
      </c>
      <c r="O2420" s="82">
        <f>IFERROR(__xludf.DUMMYFUNCTION("""COMPUTED_VALUE"""),424.6666666666667)</f>
        <v>424.6666667</v>
      </c>
      <c r="P2420" s="82">
        <f>IFERROR(__xludf.DUMMYFUNCTION("""COMPUTED_VALUE"""),1.2777777777777777)</f>
        <v>1.277777778</v>
      </c>
      <c r="Q2420" s="82">
        <f>IFERROR(__xludf.DUMMYFUNCTION("""COMPUTED_VALUE"""),1.0)</f>
        <v>1</v>
      </c>
      <c r="R2420" s="82">
        <f>IFERROR(__xludf.DUMMYFUNCTION("""COMPUTED_VALUE"""),1.0)</f>
        <v>1</v>
      </c>
      <c r="S2420" s="82">
        <f>IFERROR(__xludf.DUMMYFUNCTION("""COMPUTED_VALUE"""),3.944444444444444)</f>
        <v>3.944444444</v>
      </c>
      <c r="T2420" s="82">
        <f>IFERROR(__xludf.DUMMYFUNCTION("""COMPUTED_VALUE"""),344.895126499425)</f>
        <v>344.8951265</v>
      </c>
      <c r="U2420" s="82">
        <f>IFERROR(__xludf.DUMMYFUNCTION("""COMPUTED_VALUE"""),0.8413617059727118)</f>
        <v>0.841361706</v>
      </c>
      <c r="V2420" s="82">
        <f>IFERROR(__xludf.DUMMYFUNCTION("""COMPUTED_VALUE"""),0.6061366402395287)</f>
        <v>0.6061366402</v>
      </c>
      <c r="W2420" s="82">
        <f>IFERROR(__xludf.DUMMYFUNCTION("""COMPUTED_VALUE"""),1.1514485423799148)</f>
        <v>1.151448542</v>
      </c>
      <c r="X2420" s="82">
        <f>IFERROR(__xludf.DUMMYFUNCTION("""COMPUTED_VALUE"""),2.571758715433605)</f>
        <v>2.571758715</v>
      </c>
      <c r="Y2420" s="82">
        <f>IFERROR(__xludf.DUMMYFUNCTION("""COMPUTED_VALUE"""),321.9146292401203)</f>
        <v>321.9146292</v>
      </c>
      <c r="Z2420" s="82">
        <f>IFERROR(__xludf.DUMMYFUNCTION("""COMPUTED_VALUE"""),0.6945268828359699)</f>
        <v>0.6945268828</v>
      </c>
      <c r="AA2420" s="82">
        <f>IFERROR(__xludf.DUMMYFUNCTION("""COMPUTED_VALUE"""),0.4990720800466742)</f>
        <v>0.49907208</v>
      </c>
      <c r="AB2420" s="82">
        <f>IFERROR(__xludf.DUMMYFUNCTION("""COMPUTED_VALUE"""),1.2663550266781343)</f>
        <v>1.266355027</v>
      </c>
      <c r="AC2420" s="82">
        <f>IFERROR(__xludf.DUMMYFUNCTION("""COMPUTED_VALUE"""),2.2223065988641575)</f>
        <v>2.222306599</v>
      </c>
      <c r="AD2420" s="82">
        <f>IFERROR(__xludf.DUMMYFUNCTION("""COMPUTED_VALUE"""),0.6041974558879706)</f>
        <v>0.6041974559</v>
      </c>
      <c r="AE2420" s="82">
        <f>IFERROR(__xludf.DUMMYFUNCTION("""COMPUTED_VALUE"""),0.7199145380209677)</f>
        <v>0.719914538</v>
      </c>
      <c r="AF2420" s="82">
        <f>IFERROR(__xludf.DUMMYFUNCTION("""COMPUTED_VALUE"""),0.0)</f>
        <v>0</v>
      </c>
      <c r="AG2420" s="82">
        <f>IFERROR(__xludf.DUMMYFUNCTION("""COMPUTED_VALUE"""),1.0528906232803408)</f>
        <v>1.052890623</v>
      </c>
      <c r="AH2420" s="82">
        <f>IFERROR(__xludf.DUMMYFUNCTION("""COMPUTED_VALUE"""),0.5999772191716538)</f>
        <v>0.5999772192</v>
      </c>
      <c r="AI2420" s="82">
        <f>IFERROR(__xludf.DUMMYFUNCTION("""COMPUTED_VALUE"""),1.2312921640177907)</f>
        <v>1.231292164</v>
      </c>
      <c r="AJ2420" s="82">
        <f>IFERROR(__xludf.DUMMYFUNCTION("""COMPUTED_VALUE"""),1.5187020858056741)</f>
        <v>1.518702086</v>
      </c>
      <c r="AK2420" s="82">
        <f>IFERROR(__xludf.DUMMYFUNCTION("""COMPUTED_VALUE"""),1.6497930229144822)</f>
        <v>1.649793023</v>
      </c>
      <c r="AL2420" s="82">
        <f>IFERROR(__xludf.DUMMYFUNCTION("""COMPUTED_VALUE"""),0.868471289158187)</f>
        <v>0.8684712892</v>
      </c>
      <c r="AM2420" s="82">
        <f>IFERROR(__xludf.DUMMYFUNCTION("""COMPUTED_VALUE"""),1.5337536996659507)</f>
        <v>1.5337537</v>
      </c>
      <c r="AN2420" s="82">
        <f>IFERROR(__xludf.DUMMYFUNCTION("""COMPUTED_VALUE"""),0.5917035224876235)</f>
        <v>0.5917035225</v>
      </c>
      <c r="AO2420" s="82">
        <f>IFERROR(__xludf.DUMMYFUNCTION("""COMPUTED_VALUE"""),0.6593732950581975)</f>
        <v>0.6593732951</v>
      </c>
      <c r="AP2420" s="82">
        <f>IFERROR(__xludf.DUMMYFUNCTION("""COMPUTED_VALUE"""),0.0)</f>
        <v>0</v>
      </c>
      <c r="AQ2420" s="82">
        <f>IFERROR(__xludf.DUMMYFUNCTION("""COMPUTED_VALUE"""),1.111850386849202)</f>
        <v>1.111850387</v>
      </c>
      <c r="AR2420" s="82">
        <f>IFERROR(__xludf.DUMMYFUNCTION("""COMPUTED_VALUE"""),0.5558479182671859)</f>
        <v>0.5558479183</v>
      </c>
      <c r="AS2420" s="82">
        <f>IFERROR(__xludf.DUMMYFUNCTION("""COMPUTED_VALUE"""),14.0)</f>
        <v>14</v>
      </c>
      <c r="AT2420" s="82">
        <f>IFERROR(__xludf.DUMMYFUNCTION("""COMPUTED_VALUE"""),0.3022145087535711)</f>
        <v>0.3022145088</v>
      </c>
      <c r="AU2420" s="82">
        <f>IFERROR(__xludf.DUMMYFUNCTION("""COMPUTED_VALUE"""),0.23686119936602135)</f>
        <v>0.2368611994</v>
      </c>
      <c r="AV2420" s="82">
        <f>IFERROR(__xludf.DUMMYFUNCTION("""COMPUTED_VALUE"""),-23.146796876862098)</f>
        <v>-23.14679688</v>
      </c>
      <c r="AW2420" s="82">
        <f t="shared" si="1"/>
        <v>-582.2545612</v>
      </c>
      <c r="AX2420" s="83">
        <f t="array" ref="AX2420">IFERROR(DGET('SBV Import'!A:G,"SBV",{"RSC ID","Tier";B2420,A2420}))</f>
        <v>-27.93699962</v>
      </c>
      <c r="AY2420" s="82">
        <f t="shared" si="2"/>
        <v>-1096.465188</v>
      </c>
      <c r="AZ2420" s="82">
        <v>514.2106264666454</v>
      </c>
      <c r="BA2420" s="84">
        <v>2300.0</v>
      </c>
      <c r="BB2420" s="84" t="b">
        <f>IFERROR(__xludf.DUMMYFUNCTION("iferror(if(A2420="""",,E2420&gt;=FILTER(Constants!$F$2:$F$10,Constants!$A$2:$A$10=A2420)))"),TRUE)</f>
        <v>1</v>
      </c>
    </row>
    <row r="2421">
      <c r="A2421" s="89" t="str">
        <f>IFERROR(__xludf.DUMMYFUNCTION("""COMPUTED_VALUE"""),"Challenger")</f>
        <v>Challenger</v>
      </c>
      <c r="B2421" s="87" t="str">
        <f>IFERROR(__xludf.DUMMYFUNCTION("""COMPUTED_VALUE"""),"RSC007874")</f>
        <v>RSC007874</v>
      </c>
      <c r="C2421" s="73" t="str">
        <f>IFERROR(__xludf.DUMMYFUNCTION("""COMPUTED_VALUE"""),"SALTY NUM NUM")</f>
        <v>SALTY NUM NUM</v>
      </c>
      <c r="D2421" s="73" t="str">
        <f>IFERROR(__xludf.DUMMYFUNCTION("""COMPUTED_VALUE"""),"Apple Associates")</f>
        <v>Apple Associates</v>
      </c>
      <c r="E2421" s="82">
        <f>IFERROR(__xludf.DUMMYFUNCTION("""COMPUTED_VALUE"""),6.0)</f>
        <v>6</v>
      </c>
      <c r="F2421" s="82">
        <f>IFERROR(__xludf.DUMMYFUNCTION("""COMPUTED_VALUE"""),1.0)</f>
        <v>1</v>
      </c>
      <c r="G2421" s="86">
        <f>IFERROR(__xludf.DUMMYFUNCTION("""COMPUTED_VALUE"""),5.0)</f>
        <v>5</v>
      </c>
      <c r="H2421" s="86">
        <f>IFERROR(__xludf.DUMMYFUNCTION("""COMPUTED_VALUE"""),0.16666666666666666)</f>
        <v>0.1666666667</v>
      </c>
      <c r="I2421" s="86">
        <f>IFERROR(__xludf.DUMMYFUNCTION("""COMPUTED_VALUE"""),0.5)</f>
        <v>0.5</v>
      </c>
      <c r="J2421" s="82">
        <f>IFERROR(__xludf.DUMMYFUNCTION("""COMPUTED_VALUE"""),185.0)</f>
        <v>185</v>
      </c>
      <c r="K2421" s="82">
        <f>IFERROR(__xludf.DUMMYFUNCTION("""COMPUTED_VALUE"""),0.3333333333333333)</f>
        <v>0.3333333333</v>
      </c>
      <c r="L2421" s="82">
        <f>IFERROR(__xludf.DUMMYFUNCTION("""COMPUTED_VALUE"""),0.0)</f>
        <v>0</v>
      </c>
      <c r="M2421" s="82">
        <f>IFERROR(__xludf.DUMMYFUNCTION("""COMPUTED_VALUE"""),0.8333333333333334)</f>
        <v>0.8333333333</v>
      </c>
      <c r="N2421" s="82">
        <f>IFERROR(__xludf.DUMMYFUNCTION("""COMPUTED_VALUE"""),0.6666666666666666)</f>
        <v>0.6666666667</v>
      </c>
      <c r="O2421" s="82">
        <f>IFERROR(__xludf.DUMMYFUNCTION("""COMPUTED_VALUE"""),381.7222222222222)</f>
        <v>381.7222222</v>
      </c>
      <c r="P2421" s="82">
        <f>IFERROR(__xludf.DUMMYFUNCTION("""COMPUTED_VALUE"""),1.388888888888889)</f>
        <v>1.388888889</v>
      </c>
      <c r="Q2421" s="82">
        <f>IFERROR(__xludf.DUMMYFUNCTION("""COMPUTED_VALUE"""),0.9444444444444443)</f>
        <v>0.9444444444</v>
      </c>
      <c r="R2421" s="82">
        <f>IFERROR(__xludf.DUMMYFUNCTION("""COMPUTED_VALUE"""),0.4444444444444445)</f>
        <v>0.4444444444</v>
      </c>
      <c r="S2421" s="82">
        <f>IFERROR(__xludf.DUMMYFUNCTION("""COMPUTED_VALUE"""),3.2222222222222228)</f>
        <v>3.222222222</v>
      </c>
      <c r="T2421" s="82">
        <f>IFERROR(__xludf.DUMMYFUNCTION("""COMPUTED_VALUE"""),324.0456183492911)</f>
        <v>324.0456183</v>
      </c>
      <c r="U2421" s="82">
        <f>IFERROR(__xludf.DUMMYFUNCTION("""COMPUTED_VALUE"""),0.7507852507789257)</f>
        <v>0.7507852508</v>
      </c>
      <c r="V2421" s="82">
        <f>IFERROR(__xludf.DUMMYFUNCTION("""COMPUTED_VALUE"""),0.5954593179366529)</f>
        <v>0.5954593179</v>
      </c>
      <c r="W2421" s="82">
        <f>IFERROR(__xludf.DUMMYFUNCTION("""COMPUTED_VALUE"""),0.9612321360244617)</f>
        <v>0.961232136</v>
      </c>
      <c r="X2421" s="82">
        <f>IFERROR(__xludf.DUMMYFUNCTION("""COMPUTED_VALUE"""),2.411356775286777)</f>
        <v>2.411356775</v>
      </c>
      <c r="Y2421" s="82">
        <f>IFERROR(__xludf.DUMMYFUNCTION("""COMPUTED_VALUE"""),296.20697640744874)</f>
        <v>296.2069764</v>
      </c>
      <c r="Z2421" s="82">
        <f>IFERROR(__xludf.DUMMYFUNCTION("""COMPUTED_VALUE"""),0.6255555704294197)</f>
        <v>0.6255555704</v>
      </c>
      <c r="AA2421" s="82">
        <f>IFERROR(__xludf.DUMMYFUNCTION("""COMPUTED_VALUE"""),0.41005145985116465)</f>
        <v>0.4100514599</v>
      </c>
      <c r="AB2421" s="82">
        <f>IFERROR(__xludf.DUMMYFUNCTION("""COMPUTED_VALUE"""),1.1469333290199129)</f>
        <v>1.146933329</v>
      </c>
      <c r="AC2421" s="82">
        <f>IFERROR(__xludf.DUMMYFUNCTION("""COMPUTED_VALUE"""),1.961857552260251)</f>
        <v>1.961857552</v>
      </c>
      <c r="AD2421" s="82">
        <f>IFERROR(__xludf.DUMMYFUNCTION("""COMPUTED_VALUE"""),0.6245632774885169)</f>
        <v>0.6245632775</v>
      </c>
      <c r="AE2421" s="82">
        <f>IFERROR(__xludf.DUMMYFUNCTION("""COMPUTED_VALUE"""),0.5328596676143622)</f>
        <v>0.5328596676</v>
      </c>
      <c r="AF2421" s="82">
        <f>IFERROR(__xludf.DUMMYFUNCTION("""COMPUTED_VALUE"""),0.0)</f>
        <v>0</v>
      </c>
      <c r="AG2421" s="82">
        <f>IFERROR(__xludf.DUMMYFUNCTION("""COMPUTED_VALUE"""),0.7265752177987891)</f>
        <v>0.7265752178</v>
      </c>
      <c r="AH2421" s="82">
        <f>IFERROR(__xludf.DUMMYFUNCTION("""COMPUTED_VALUE"""),0.33981400224425146)</f>
        <v>0.3398140022</v>
      </c>
      <c r="AI2421" s="82">
        <f>IFERROR(__xludf.DUMMYFUNCTION("""COMPUTED_VALUE"""),1.1779891490795011)</f>
        <v>1.177989149</v>
      </c>
      <c r="AJ2421" s="82">
        <f>IFERROR(__xludf.DUMMYFUNCTION("""COMPUTED_VALUE"""),1.849914988937173)</f>
        <v>1.849914989</v>
      </c>
      <c r="AK2421" s="82">
        <f>IFERROR(__xludf.DUMMYFUNCTION("""COMPUTED_VALUE"""),1.5860771945211507)</f>
        <v>1.586077195</v>
      </c>
      <c r="AL2421" s="82">
        <f>IFERROR(__xludf.DUMMYFUNCTION("""COMPUTED_VALUE"""),0.4623695232273572)</f>
        <v>0.4623695232</v>
      </c>
      <c r="AM2421" s="82">
        <f>IFERROR(__xludf.DUMMYFUNCTION("""COMPUTED_VALUE"""),1.3362693796479002)</f>
        <v>1.33626938</v>
      </c>
      <c r="AN2421" s="82">
        <f>IFERROR(__xludf.DUMMYFUNCTION("""COMPUTED_VALUE"""),0.562802836299282)</f>
        <v>0.5628028363</v>
      </c>
      <c r="AO2421" s="82">
        <f>IFERROR(__xludf.DUMMYFUNCTION("""COMPUTED_VALUE"""),0.439582196705465)</f>
        <v>0.4395821967</v>
      </c>
      <c r="AP2421" s="82">
        <f>IFERROR(__xludf.DUMMYFUNCTION("""COMPUTED_VALUE"""),0.0)</f>
        <v>0</v>
      </c>
      <c r="AQ2421" s="82">
        <f>IFERROR(__xludf.DUMMYFUNCTION("""COMPUTED_VALUE"""),0.6949064917807514)</f>
        <v>0.6949064918</v>
      </c>
      <c r="AR2421" s="82">
        <f>IFERROR(__xludf.DUMMYFUNCTION("""COMPUTED_VALUE"""),0.27792395913359297)</f>
        <v>0.2779239591</v>
      </c>
      <c r="AS2421" s="82">
        <f>IFERROR(__xludf.DUMMYFUNCTION("""COMPUTED_VALUE"""),7.0)</f>
        <v>7</v>
      </c>
      <c r="AT2421" s="82">
        <f>IFERROR(__xludf.DUMMYFUNCTION("""COMPUTED_VALUE"""),0.11323702096194349)</f>
        <v>0.113237021</v>
      </c>
      <c r="AU2421" s="82">
        <f>IFERROR(__xludf.DUMMYFUNCTION("""COMPUTED_VALUE"""),-0.35859602784815847)</f>
        <v>-0.3585960278</v>
      </c>
      <c r="AV2421" s="82">
        <f>IFERROR(__xludf.DUMMYFUNCTION("""COMPUTED_VALUE"""),-38.89197075772786)</f>
        <v>-38.89197076</v>
      </c>
      <c r="AW2421" s="82">
        <f t="shared" si="1"/>
        <v>-5304.977835</v>
      </c>
      <c r="AX2421" s="83">
        <f t="array" ref="AX2421">IFERROR(DGET('SBV Import'!A:G,"SBV",{"RSC ID","Tier";B2421,A2421}))</f>
        <v>-20.26061062</v>
      </c>
      <c r="AY2421" s="82">
        <f t="shared" si="2"/>
        <v>-404.2347048</v>
      </c>
      <c r="AZ2421" s="82">
        <v>4900.74313039671</v>
      </c>
      <c r="BA2421" s="84">
        <v>2300.0</v>
      </c>
      <c r="BB2421" s="84" t="b">
        <f>IFERROR(__xludf.DUMMYFUNCTION("iferror(if(A2421="""",,E2421&gt;=FILTER(Constants!$F$2:$F$10,Constants!$A$2:$A$10=A2421)))"),TRUE)</f>
        <v>1</v>
      </c>
    </row>
    <row r="2422">
      <c r="A2422" s="89"/>
      <c r="B2422" s="87"/>
      <c r="C2422" s="73"/>
      <c r="D2422" s="73"/>
      <c r="E2422" s="82"/>
      <c r="F2422" s="82"/>
      <c r="G2422" s="86"/>
      <c r="H2422" s="86"/>
      <c r="I2422" s="86"/>
      <c r="J2422" s="82"/>
      <c r="K2422" s="82"/>
      <c r="L2422" s="82"/>
      <c r="M2422" s="82"/>
      <c r="N2422" s="82"/>
      <c r="O2422" s="82"/>
      <c r="P2422" s="82"/>
      <c r="Q2422" s="82"/>
      <c r="R2422" s="82"/>
      <c r="S2422" s="82"/>
      <c r="T2422" s="82"/>
      <c r="U2422" s="82"/>
      <c r="V2422" s="82"/>
      <c r="W2422" s="82"/>
      <c r="X2422" s="82"/>
      <c r="Y2422" s="82"/>
      <c r="Z2422" s="82"/>
      <c r="AA2422" s="82"/>
      <c r="AB2422" s="82"/>
      <c r="AC2422" s="82"/>
      <c r="AD2422" s="82"/>
      <c r="AE2422" s="82"/>
      <c r="AF2422" s="82"/>
      <c r="AG2422" s="82"/>
      <c r="AH2422" s="82"/>
      <c r="AI2422" s="82"/>
      <c r="AJ2422" s="82"/>
      <c r="AK2422" s="82"/>
      <c r="AL2422" s="82"/>
      <c r="AM2422" s="82"/>
      <c r="AN2422" s="82">
        <f>IFERROR(__xludf.DUMMYFUNCTION("""COMPUTED_VALUE"""),0.0)</f>
        <v>0</v>
      </c>
      <c r="AO2422" s="82">
        <f>IFERROR(__xludf.DUMMYFUNCTION("""COMPUTED_VALUE"""),0.0)</f>
        <v>0</v>
      </c>
      <c r="AP2422" s="82">
        <f>IFERROR(__xludf.DUMMYFUNCTION("""COMPUTED_VALUE"""),0.0)</f>
        <v>0</v>
      </c>
      <c r="AQ2422" s="82">
        <f>IFERROR(__xludf.DUMMYFUNCTION("""COMPUTED_VALUE"""),0.0)</f>
        <v>0</v>
      </c>
      <c r="AR2422" s="82">
        <f>IFERROR(__xludf.DUMMYFUNCTION("""COMPUTED_VALUE"""),0.0)</f>
        <v>0</v>
      </c>
      <c r="AS2422" s="82"/>
      <c r="AT2422" s="82">
        <f>IFERROR(__xludf.DUMMYFUNCTION("""COMPUTED_VALUE"""),0.0)</f>
        <v>0</v>
      </c>
      <c r="AU2422" s="82"/>
      <c r="AV2422" s="82"/>
      <c r="AW2422" s="82" t="str">
        <f t="shared" si="1"/>
        <v/>
      </c>
      <c r="AX2422" s="83" t="str">
        <f t="array" ref="AX2422">IFERROR(DGET('SBV Import'!A:G,"SBV",{"RSC ID","Tier";B2422,A2422}))</f>
        <v/>
      </c>
      <c r="AY2422" s="82" t="str">
        <f t="shared" si="2"/>
        <v/>
      </c>
      <c r="AZ2422" s="82"/>
      <c r="BA2422" s="84" t="s">
        <v>152</v>
      </c>
      <c r="BB2422" s="84" t="str">
        <f>IFERROR(__xludf.DUMMYFUNCTION("iferror(if(A2422="""",,E2422&gt;=FILTER(Constants!$F$2:$F$10,Constants!$A$2:$A$10=A2422)))"),"")</f>
        <v/>
      </c>
    </row>
    <row r="2423">
      <c r="A2423" s="89"/>
      <c r="B2423" s="87"/>
      <c r="C2423" s="73"/>
      <c r="D2423" s="73"/>
      <c r="E2423" s="82"/>
      <c r="F2423" s="82"/>
      <c r="G2423" s="86"/>
      <c r="H2423" s="86"/>
      <c r="I2423" s="86"/>
      <c r="J2423" s="82"/>
      <c r="K2423" s="82"/>
      <c r="L2423" s="82"/>
      <c r="M2423" s="82"/>
      <c r="N2423" s="82"/>
      <c r="O2423" s="82"/>
      <c r="P2423" s="82"/>
      <c r="Q2423" s="82"/>
      <c r="R2423" s="82"/>
      <c r="S2423" s="82"/>
      <c r="T2423" s="82"/>
      <c r="U2423" s="82"/>
      <c r="V2423" s="82"/>
      <c r="W2423" s="82"/>
      <c r="X2423" s="82"/>
      <c r="Y2423" s="82"/>
      <c r="Z2423" s="82"/>
      <c r="AA2423" s="82"/>
      <c r="AB2423" s="82"/>
      <c r="AC2423" s="82"/>
      <c r="AD2423" s="82"/>
      <c r="AE2423" s="82"/>
      <c r="AF2423" s="82"/>
      <c r="AG2423" s="82"/>
      <c r="AH2423" s="82"/>
      <c r="AI2423" s="82"/>
      <c r="AJ2423" s="82"/>
      <c r="AK2423" s="82"/>
      <c r="AL2423" s="82"/>
      <c r="AM2423" s="82"/>
      <c r="AN2423" s="82">
        <f>IFERROR(__xludf.DUMMYFUNCTION("""COMPUTED_VALUE"""),0.0)</f>
        <v>0</v>
      </c>
      <c r="AO2423" s="82">
        <f>IFERROR(__xludf.DUMMYFUNCTION("""COMPUTED_VALUE"""),0.0)</f>
        <v>0</v>
      </c>
      <c r="AP2423" s="82">
        <f>IFERROR(__xludf.DUMMYFUNCTION("""COMPUTED_VALUE"""),0.0)</f>
        <v>0</v>
      </c>
      <c r="AQ2423" s="82">
        <f>IFERROR(__xludf.DUMMYFUNCTION("""COMPUTED_VALUE"""),0.0)</f>
        <v>0</v>
      </c>
      <c r="AR2423" s="82">
        <f>IFERROR(__xludf.DUMMYFUNCTION("""COMPUTED_VALUE"""),0.0)</f>
        <v>0</v>
      </c>
      <c r="AS2423" s="82"/>
      <c r="AT2423" s="82">
        <f>IFERROR(__xludf.DUMMYFUNCTION("""COMPUTED_VALUE"""),0.0)</f>
        <v>0</v>
      </c>
      <c r="AU2423" s="82"/>
      <c r="AV2423" s="82"/>
      <c r="AW2423" s="82" t="str">
        <f t="shared" si="1"/>
        <v/>
      </c>
      <c r="AX2423" s="83" t="str">
        <f t="array" ref="AX2423">IFERROR(DGET('SBV Import'!A:G,"SBV",{"RSC ID","Tier";B2423,A2423}))</f>
        <v/>
      </c>
      <c r="AY2423" s="82" t="str">
        <f t="shared" si="2"/>
        <v/>
      </c>
      <c r="AZ2423" s="82"/>
      <c r="BA2423" s="84" t="s">
        <v>152</v>
      </c>
      <c r="BB2423" s="84" t="str">
        <f>IFERROR(__xludf.DUMMYFUNCTION("iferror(if(A2423="""",,E2423&gt;=FILTER(Constants!$F$2:$F$10,Constants!$A$2:$A$10=A2423)))"),"")</f>
        <v/>
      </c>
    </row>
    <row r="2424">
      <c r="A2424" s="89"/>
      <c r="B2424" s="87"/>
      <c r="C2424" s="73"/>
      <c r="D2424" s="73"/>
      <c r="E2424" s="82"/>
      <c r="F2424" s="82"/>
      <c r="G2424" s="86"/>
      <c r="H2424" s="86"/>
      <c r="I2424" s="86"/>
      <c r="J2424" s="82"/>
      <c r="K2424" s="82"/>
      <c r="L2424" s="82"/>
      <c r="M2424" s="82"/>
      <c r="N2424" s="82"/>
      <c r="O2424" s="82"/>
      <c r="P2424" s="82"/>
      <c r="Q2424" s="82"/>
      <c r="R2424" s="82"/>
      <c r="S2424" s="82"/>
      <c r="T2424" s="82"/>
      <c r="U2424" s="82"/>
      <c r="V2424" s="82"/>
      <c r="W2424" s="82"/>
      <c r="X2424" s="82"/>
      <c r="Y2424" s="82"/>
      <c r="Z2424" s="82"/>
      <c r="AA2424" s="82"/>
      <c r="AB2424" s="82"/>
      <c r="AC2424" s="82"/>
      <c r="AD2424" s="82"/>
      <c r="AE2424" s="82"/>
      <c r="AF2424" s="82"/>
      <c r="AG2424" s="82"/>
      <c r="AH2424" s="82"/>
      <c r="AI2424" s="82"/>
      <c r="AJ2424" s="82"/>
      <c r="AK2424" s="82"/>
      <c r="AL2424" s="82"/>
      <c r="AM2424" s="82"/>
      <c r="AN2424" s="82">
        <f>IFERROR(__xludf.DUMMYFUNCTION("""COMPUTED_VALUE"""),0.0)</f>
        <v>0</v>
      </c>
      <c r="AO2424" s="82">
        <f>IFERROR(__xludf.DUMMYFUNCTION("""COMPUTED_VALUE"""),0.0)</f>
        <v>0</v>
      </c>
      <c r="AP2424" s="82">
        <f>IFERROR(__xludf.DUMMYFUNCTION("""COMPUTED_VALUE"""),0.0)</f>
        <v>0</v>
      </c>
      <c r="AQ2424" s="82">
        <f>IFERROR(__xludf.DUMMYFUNCTION("""COMPUTED_VALUE"""),0.0)</f>
        <v>0</v>
      </c>
      <c r="AR2424" s="82">
        <f>IFERROR(__xludf.DUMMYFUNCTION("""COMPUTED_VALUE"""),0.0)</f>
        <v>0</v>
      </c>
      <c r="AS2424" s="82"/>
      <c r="AT2424" s="82">
        <f>IFERROR(__xludf.DUMMYFUNCTION("""COMPUTED_VALUE"""),0.0)</f>
        <v>0</v>
      </c>
      <c r="AU2424" s="82"/>
      <c r="AV2424" s="82"/>
      <c r="AW2424" s="82" t="str">
        <f t="shared" si="1"/>
        <v/>
      </c>
      <c r="AX2424" s="83" t="str">
        <f t="array" ref="AX2424">IFERROR(DGET('SBV Import'!A:G,"SBV",{"RSC ID","Tier";B2424,A2424}))</f>
        <v/>
      </c>
      <c r="AY2424" s="82" t="str">
        <f t="shared" si="2"/>
        <v/>
      </c>
      <c r="AZ2424" s="82"/>
      <c r="BA2424" s="84" t="s">
        <v>152</v>
      </c>
      <c r="BB2424" s="84" t="str">
        <f>IFERROR(__xludf.DUMMYFUNCTION("iferror(if(A2424="""",,E2424&gt;=FILTER(Constants!$F$2:$F$10,Constants!$A$2:$A$10=A2424)))"),"")</f>
        <v/>
      </c>
    </row>
    <row r="2425">
      <c r="A2425" s="89"/>
      <c r="B2425" s="87"/>
      <c r="C2425" s="73"/>
      <c r="D2425" s="73"/>
      <c r="E2425" s="82"/>
      <c r="F2425" s="82"/>
      <c r="G2425" s="86"/>
      <c r="H2425" s="86"/>
      <c r="I2425" s="86"/>
      <c r="J2425" s="82"/>
      <c r="K2425" s="82"/>
      <c r="L2425" s="82"/>
      <c r="M2425" s="82"/>
      <c r="N2425" s="82"/>
      <c r="O2425" s="82"/>
      <c r="P2425" s="82"/>
      <c r="Q2425" s="82"/>
      <c r="R2425" s="82"/>
      <c r="S2425" s="82"/>
      <c r="T2425" s="82"/>
      <c r="U2425" s="82"/>
      <c r="V2425" s="82"/>
      <c r="W2425" s="82"/>
      <c r="X2425" s="82"/>
      <c r="Y2425" s="82"/>
      <c r="Z2425" s="82"/>
      <c r="AA2425" s="82"/>
      <c r="AB2425" s="82"/>
      <c r="AC2425" s="82"/>
      <c r="AD2425" s="82"/>
      <c r="AE2425" s="82"/>
      <c r="AF2425" s="82"/>
      <c r="AG2425" s="82"/>
      <c r="AH2425" s="82"/>
      <c r="AI2425" s="82"/>
      <c r="AJ2425" s="82"/>
      <c r="AK2425" s="82"/>
      <c r="AL2425" s="82"/>
      <c r="AM2425" s="82"/>
      <c r="AN2425" s="82">
        <f>IFERROR(__xludf.DUMMYFUNCTION("""COMPUTED_VALUE"""),0.0)</f>
        <v>0</v>
      </c>
      <c r="AO2425" s="82">
        <f>IFERROR(__xludf.DUMMYFUNCTION("""COMPUTED_VALUE"""),0.0)</f>
        <v>0</v>
      </c>
      <c r="AP2425" s="82">
        <f>IFERROR(__xludf.DUMMYFUNCTION("""COMPUTED_VALUE"""),0.0)</f>
        <v>0</v>
      </c>
      <c r="AQ2425" s="82">
        <f>IFERROR(__xludf.DUMMYFUNCTION("""COMPUTED_VALUE"""),0.0)</f>
        <v>0</v>
      </c>
      <c r="AR2425" s="82">
        <f>IFERROR(__xludf.DUMMYFUNCTION("""COMPUTED_VALUE"""),0.0)</f>
        <v>0</v>
      </c>
      <c r="AS2425" s="82"/>
      <c r="AT2425" s="82">
        <f>IFERROR(__xludf.DUMMYFUNCTION("""COMPUTED_VALUE"""),0.0)</f>
        <v>0</v>
      </c>
      <c r="AU2425" s="82"/>
      <c r="AV2425" s="82"/>
      <c r="AW2425" s="82" t="str">
        <f t="shared" si="1"/>
        <v/>
      </c>
      <c r="AX2425" s="83" t="str">
        <f t="array" ref="AX2425">IFERROR(DGET('SBV Import'!A:G,"SBV",{"RSC ID","Tier";B2425,A2425}))</f>
        <v/>
      </c>
      <c r="AY2425" s="82" t="str">
        <f t="shared" si="2"/>
        <v/>
      </c>
      <c r="AZ2425" s="82"/>
      <c r="BA2425" s="84" t="s">
        <v>152</v>
      </c>
      <c r="BB2425" s="84" t="str">
        <f>IFERROR(__xludf.DUMMYFUNCTION("iferror(if(A2425="""",,E2425&gt;=FILTER(Constants!$F$2:$F$10,Constants!$A$2:$A$10=A2425)))"),"")</f>
        <v/>
      </c>
    </row>
    <row r="2426">
      <c r="A2426" s="89"/>
      <c r="B2426" s="87"/>
      <c r="C2426" s="73"/>
      <c r="D2426" s="73"/>
      <c r="E2426" s="82"/>
      <c r="F2426" s="82"/>
      <c r="G2426" s="86"/>
      <c r="H2426" s="86"/>
      <c r="I2426" s="86"/>
      <c r="J2426" s="82"/>
      <c r="K2426" s="82"/>
      <c r="L2426" s="82"/>
      <c r="M2426" s="82"/>
      <c r="N2426" s="82"/>
      <c r="O2426" s="82"/>
      <c r="P2426" s="82"/>
      <c r="Q2426" s="82"/>
      <c r="R2426" s="82"/>
      <c r="S2426" s="82"/>
      <c r="T2426" s="82"/>
      <c r="U2426" s="82"/>
      <c r="V2426" s="82"/>
      <c r="W2426" s="82"/>
      <c r="X2426" s="82"/>
      <c r="Y2426" s="82"/>
      <c r="Z2426" s="82"/>
      <c r="AA2426" s="82"/>
      <c r="AB2426" s="82"/>
      <c r="AC2426" s="82"/>
      <c r="AD2426" s="82"/>
      <c r="AE2426" s="82"/>
      <c r="AF2426" s="82"/>
      <c r="AG2426" s="82"/>
      <c r="AH2426" s="82"/>
      <c r="AI2426" s="82"/>
      <c r="AJ2426" s="82"/>
      <c r="AK2426" s="82"/>
      <c r="AL2426" s="82"/>
      <c r="AM2426" s="82"/>
      <c r="AN2426" s="82">
        <f>IFERROR(__xludf.DUMMYFUNCTION("""COMPUTED_VALUE"""),0.0)</f>
        <v>0</v>
      </c>
      <c r="AO2426" s="82">
        <f>IFERROR(__xludf.DUMMYFUNCTION("""COMPUTED_VALUE"""),0.0)</f>
        <v>0</v>
      </c>
      <c r="AP2426" s="82">
        <f>IFERROR(__xludf.DUMMYFUNCTION("""COMPUTED_VALUE"""),0.0)</f>
        <v>0</v>
      </c>
      <c r="AQ2426" s="82">
        <f>IFERROR(__xludf.DUMMYFUNCTION("""COMPUTED_VALUE"""),0.0)</f>
        <v>0</v>
      </c>
      <c r="AR2426" s="82">
        <f>IFERROR(__xludf.DUMMYFUNCTION("""COMPUTED_VALUE"""),0.0)</f>
        <v>0</v>
      </c>
      <c r="AS2426" s="82"/>
      <c r="AT2426" s="82">
        <f>IFERROR(__xludf.DUMMYFUNCTION("""COMPUTED_VALUE"""),0.0)</f>
        <v>0</v>
      </c>
      <c r="AU2426" s="82"/>
      <c r="AV2426" s="82"/>
      <c r="AW2426" s="82" t="str">
        <f t="shared" si="1"/>
        <v/>
      </c>
      <c r="AX2426" s="83" t="str">
        <f t="array" ref="AX2426">IFERROR(DGET('SBV Import'!A:G,"SBV",{"RSC ID","Tier";B2426,A2426}))</f>
        <v/>
      </c>
      <c r="AY2426" s="82" t="str">
        <f t="shared" si="2"/>
        <v/>
      </c>
      <c r="AZ2426" s="82"/>
      <c r="BA2426" s="84" t="s">
        <v>152</v>
      </c>
      <c r="BB2426" s="84" t="str">
        <f>IFERROR(__xludf.DUMMYFUNCTION("iferror(if(A2426="""",,E2426&gt;=FILTER(Constants!$F$2:$F$10,Constants!$A$2:$A$10=A2426)))"),"")</f>
        <v/>
      </c>
    </row>
    <row r="2427">
      <c r="A2427" s="89"/>
      <c r="B2427" s="87"/>
      <c r="C2427" s="73"/>
      <c r="D2427" s="73"/>
      <c r="E2427" s="82"/>
      <c r="F2427" s="82"/>
      <c r="G2427" s="86"/>
      <c r="H2427" s="86"/>
      <c r="I2427" s="86"/>
      <c r="J2427" s="82"/>
      <c r="K2427" s="82"/>
      <c r="L2427" s="82"/>
      <c r="M2427" s="82"/>
      <c r="N2427" s="82"/>
      <c r="O2427" s="82"/>
      <c r="P2427" s="82"/>
      <c r="Q2427" s="82"/>
      <c r="R2427" s="82"/>
      <c r="S2427" s="82"/>
      <c r="T2427" s="82"/>
      <c r="U2427" s="82"/>
      <c r="V2427" s="82"/>
      <c r="W2427" s="82"/>
      <c r="X2427" s="82"/>
      <c r="Y2427" s="82"/>
      <c r="Z2427" s="82"/>
      <c r="AA2427" s="82"/>
      <c r="AB2427" s="82"/>
      <c r="AC2427" s="82"/>
      <c r="AD2427" s="82"/>
      <c r="AE2427" s="82"/>
      <c r="AF2427" s="82"/>
      <c r="AG2427" s="82"/>
      <c r="AH2427" s="82"/>
      <c r="AI2427" s="82"/>
      <c r="AJ2427" s="82"/>
      <c r="AK2427" s="82"/>
      <c r="AL2427" s="82"/>
      <c r="AM2427" s="82"/>
      <c r="AN2427" s="82">
        <f>IFERROR(__xludf.DUMMYFUNCTION("""COMPUTED_VALUE"""),0.0)</f>
        <v>0</v>
      </c>
      <c r="AO2427" s="82">
        <f>IFERROR(__xludf.DUMMYFUNCTION("""COMPUTED_VALUE"""),0.0)</f>
        <v>0</v>
      </c>
      <c r="AP2427" s="82">
        <f>IFERROR(__xludf.DUMMYFUNCTION("""COMPUTED_VALUE"""),0.0)</f>
        <v>0</v>
      </c>
      <c r="AQ2427" s="82">
        <f>IFERROR(__xludf.DUMMYFUNCTION("""COMPUTED_VALUE"""),0.0)</f>
        <v>0</v>
      </c>
      <c r="AR2427" s="82">
        <f>IFERROR(__xludf.DUMMYFUNCTION("""COMPUTED_VALUE"""),0.0)</f>
        <v>0</v>
      </c>
      <c r="AS2427" s="82"/>
      <c r="AT2427" s="82">
        <f>IFERROR(__xludf.DUMMYFUNCTION("""COMPUTED_VALUE"""),0.0)</f>
        <v>0</v>
      </c>
      <c r="AU2427" s="82"/>
      <c r="AV2427" s="82"/>
      <c r="AW2427" s="82" t="str">
        <f t="shared" si="1"/>
        <v/>
      </c>
      <c r="AX2427" s="83" t="str">
        <f t="array" ref="AX2427">IFERROR(DGET('SBV Import'!A:G,"SBV",{"RSC ID","Tier";B2427,A2427}))</f>
        <v/>
      </c>
      <c r="AY2427" s="82" t="str">
        <f t="shared" si="2"/>
        <v/>
      </c>
      <c r="AZ2427" s="82"/>
      <c r="BA2427" s="84" t="s">
        <v>152</v>
      </c>
      <c r="BB2427" s="84" t="str">
        <f>IFERROR(__xludf.DUMMYFUNCTION("iferror(if(A2427="""",,E2427&gt;=FILTER(Constants!$F$2:$F$10,Constants!$A$2:$A$10=A2427)))"),"")</f>
        <v/>
      </c>
    </row>
    <row r="2428">
      <c r="A2428" s="89"/>
      <c r="B2428" s="87"/>
      <c r="C2428" s="73"/>
      <c r="D2428" s="73"/>
      <c r="E2428" s="82"/>
      <c r="F2428" s="82"/>
      <c r="G2428" s="86"/>
      <c r="H2428" s="86"/>
      <c r="I2428" s="86"/>
      <c r="J2428" s="82"/>
      <c r="K2428" s="82"/>
      <c r="L2428" s="82"/>
      <c r="M2428" s="82"/>
      <c r="N2428" s="82"/>
      <c r="O2428" s="82"/>
      <c r="P2428" s="82"/>
      <c r="Q2428" s="82"/>
      <c r="R2428" s="82"/>
      <c r="S2428" s="82"/>
      <c r="T2428" s="82"/>
      <c r="U2428" s="82"/>
      <c r="V2428" s="82"/>
      <c r="W2428" s="82"/>
      <c r="X2428" s="82"/>
      <c r="Y2428" s="82"/>
      <c r="Z2428" s="82"/>
      <c r="AA2428" s="82"/>
      <c r="AB2428" s="82"/>
      <c r="AC2428" s="82"/>
      <c r="AD2428" s="82"/>
      <c r="AE2428" s="82"/>
      <c r="AF2428" s="82"/>
      <c r="AG2428" s="82"/>
      <c r="AH2428" s="82"/>
      <c r="AI2428" s="82"/>
      <c r="AJ2428" s="82"/>
      <c r="AK2428" s="82"/>
      <c r="AL2428" s="82"/>
      <c r="AM2428" s="82"/>
      <c r="AN2428" s="82">
        <f>IFERROR(__xludf.DUMMYFUNCTION("""COMPUTED_VALUE"""),0.0)</f>
        <v>0</v>
      </c>
      <c r="AO2428" s="82">
        <f>IFERROR(__xludf.DUMMYFUNCTION("""COMPUTED_VALUE"""),0.0)</f>
        <v>0</v>
      </c>
      <c r="AP2428" s="82">
        <f>IFERROR(__xludf.DUMMYFUNCTION("""COMPUTED_VALUE"""),0.0)</f>
        <v>0</v>
      </c>
      <c r="AQ2428" s="82">
        <f>IFERROR(__xludf.DUMMYFUNCTION("""COMPUTED_VALUE"""),0.0)</f>
        <v>0</v>
      </c>
      <c r="AR2428" s="82">
        <f>IFERROR(__xludf.DUMMYFUNCTION("""COMPUTED_VALUE"""),0.0)</f>
        <v>0</v>
      </c>
      <c r="AS2428" s="82"/>
      <c r="AT2428" s="82">
        <f>IFERROR(__xludf.DUMMYFUNCTION("""COMPUTED_VALUE"""),0.0)</f>
        <v>0</v>
      </c>
      <c r="AU2428" s="82"/>
      <c r="AV2428" s="82"/>
      <c r="AW2428" s="82" t="str">
        <f t="shared" si="1"/>
        <v/>
      </c>
      <c r="AX2428" s="83" t="str">
        <f t="array" ref="AX2428">IFERROR(DGET('SBV Import'!A:G,"SBV",{"RSC ID","Tier";B2428,A2428}))</f>
        <v/>
      </c>
      <c r="AY2428" s="82" t="str">
        <f t="shared" si="2"/>
        <v/>
      </c>
      <c r="AZ2428" s="82"/>
      <c r="BA2428" s="84" t="s">
        <v>152</v>
      </c>
      <c r="BB2428" s="84" t="str">
        <f>IFERROR(__xludf.DUMMYFUNCTION("iferror(if(A2428="""",,E2428&gt;=FILTER(Constants!$F$2:$F$10,Constants!$A$2:$A$10=A2428)))"),"")</f>
        <v/>
      </c>
    </row>
    <row r="2429">
      <c r="A2429" s="89"/>
      <c r="B2429" s="87"/>
      <c r="C2429" s="73"/>
      <c r="D2429" s="73"/>
      <c r="E2429" s="82"/>
      <c r="F2429" s="82"/>
      <c r="G2429" s="86"/>
      <c r="H2429" s="86"/>
      <c r="I2429" s="86"/>
      <c r="J2429" s="82"/>
      <c r="K2429" s="82"/>
      <c r="L2429" s="82"/>
      <c r="M2429" s="82"/>
      <c r="N2429" s="82"/>
      <c r="O2429" s="82"/>
      <c r="P2429" s="82"/>
      <c r="Q2429" s="82"/>
      <c r="R2429" s="82"/>
      <c r="S2429" s="82"/>
      <c r="T2429" s="82"/>
      <c r="U2429" s="82"/>
      <c r="V2429" s="82"/>
      <c r="W2429" s="82"/>
      <c r="X2429" s="82"/>
      <c r="Y2429" s="82"/>
      <c r="Z2429" s="82"/>
      <c r="AA2429" s="82"/>
      <c r="AB2429" s="82"/>
      <c r="AC2429" s="82"/>
      <c r="AD2429" s="82"/>
      <c r="AE2429" s="82"/>
      <c r="AF2429" s="82"/>
      <c r="AG2429" s="82"/>
      <c r="AH2429" s="82"/>
      <c r="AI2429" s="82"/>
      <c r="AJ2429" s="82"/>
      <c r="AK2429" s="82"/>
      <c r="AL2429" s="82"/>
      <c r="AM2429" s="82"/>
      <c r="AN2429" s="82">
        <f>IFERROR(__xludf.DUMMYFUNCTION("""COMPUTED_VALUE"""),0.0)</f>
        <v>0</v>
      </c>
      <c r="AO2429" s="82">
        <f>IFERROR(__xludf.DUMMYFUNCTION("""COMPUTED_VALUE"""),0.0)</f>
        <v>0</v>
      </c>
      <c r="AP2429" s="82">
        <f>IFERROR(__xludf.DUMMYFUNCTION("""COMPUTED_VALUE"""),0.0)</f>
        <v>0</v>
      </c>
      <c r="AQ2429" s="82">
        <f>IFERROR(__xludf.DUMMYFUNCTION("""COMPUTED_VALUE"""),0.0)</f>
        <v>0</v>
      </c>
      <c r="AR2429" s="82">
        <f>IFERROR(__xludf.DUMMYFUNCTION("""COMPUTED_VALUE"""),0.0)</f>
        <v>0</v>
      </c>
      <c r="AS2429" s="82"/>
      <c r="AT2429" s="82">
        <f>IFERROR(__xludf.DUMMYFUNCTION("""COMPUTED_VALUE"""),0.0)</f>
        <v>0</v>
      </c>
      <c r="AU2429" s="82"/>
      <c r="AV2429" s="82"/>
      <c r="AW2429" s="82" t="str">
        <f t="shared" si="1"/>
        <v/>
      </c>
      <c r="AX2429" s="83" t="str">
        <f t="array" ref="AX2429">IFERROR(DGET('SBV Import'!A:G,"SBV",{"RSC ID","Tier";B2429,A2429}))</f>
        <v/>
      </c>
      <c r="AY2429" s="82" t="str">
        <f t="shared" si="2"/>
        <v/>
      </c>
      <c r="AZ2429" s="82"/>
      <c r="BA2429" s="84" t="s">
        <v>152</v>
      </c>
      <c r="BB2429" s="84" t="str">
        <f>IFERROR(__xludf.DUMMYFUNCTION("iferror(if(A2429="""",,E2429&gt;=FILTER(Constants!$F$2:$F$10,Constants!$A$2:$A$10=A2429)))"),"")</f>
        <v/>
      </c>
    </row>
    <row r="2430">
      <c r="A2430" s="89"/>
      <c r="B2430" s="87"/>
      <c r="C2430" s="73"/>
      <c r="D2430" s="73"/>
      <c r="E2430" s="82"/>
      <c r="F2430" s="82"/>
      <c r="G2430" s="86"/>
      <c r="H2430" s="86"/>
      <c r="I2430" s="86"/>
      <c r="J2430" s="82"/>
      <c r="K2430" s="82"/>
      <c r="L2430" s="82"/>
      <c r="M2430" s="82"/>
      <c r="N2430" s="82"/>
      <c r="O2430" s="82"/>
      <c r="P2430" s="82"/>
      <c r="Q2430" s="82"/>
      <c r="R2430" s="82"/>
      <c r="S2430" s="82"/>
      <c r="T2430" s="82"/>
      <c r="U2430" s="82"/>
      <c r="V2430" s="82"/>
      <c r="W2430" s="82"/>
      <c r="X2430" s="82"/>
      <c r="Y2430" s="82"/>
      <c r="Z2430" s="82"/>
      <c r="AA2430" s="82"/>
      <c r="AB2430" s="82"/>
      <c r="AC2430" s="82"/>
      <c r="AD2430" s="82"/>
      <c r="AE2430" s="82"/>
      <c r="AF2430" s="82"/>
      <c r="AG2430" s="82"/>
      <c r="AH2430" s="82"/>
      <c r="AI2430" s="82"/>
      <c r="AJ2430" s="82"/>
      <c r="AK2430" s="82"/>
      <c r="AL2430" s="82"/>
      <c r="AM2430" s="82"/>
      <c r="AN2430" s="82">
        <f>IFERROR(__xludf.DUMMYFUNCTION("""COMPUTED_VALUE"""),0.0)</f>
        <v>0</v>
      </c>
      <c r="AO2430" s="82">
        <f>IFERROR(__xludf.DUMMYFUNCTION("""COMPUTED_VALUE"""),0.0)</f>
        <v>0</v>
      </c>
      <c r="AP2430" s="82">
        <f>IFERROR(__xludf.DUMMYFUNCTION("""COMPUTED_VALUE"""),0.0)</f>
        <v>0</v>
      </c>
      <c r="AQ2430" s="82">
        <f>IFERROR(__xludf.DUMMYFUNCTION("""COMPUTED_VALUE"""),0.0)</f>
        <v>0</v>
      </c>
      <c r="AR2430" s="82">
        <f>IFERROR(__xludf.DUMMYFUNCTION("""COMPUTED_VALUE"""),0.0)</f>
        <v>0</v>
      </c>
      <c r="AS2430" s="82"/>
      <c r="AT2430" s="82">
        <f>IFERROR(__xludf.DUMMYFUNCTION("""COMPUTED_VALUE"""),0.0)</f>
        <v>0</v>
      </c>
      <c r="AU2430" s="82"/>
      <c r="AV2430" s="82"/>
      <c r="AW2430" s="82" t="str">
        <f t="shared" si="1"/>
        <v/>
      </c>
      <c r="AX2430" s="83" t="str">
        <f t="array" ref="AX2430">IFERROR(DGET('SBV Import'!A:G,"SBV",{"RSC ID","Tier";B2430,A2430}))</f>
        <v/>
      </c>
      <c r="AY2430" s="82" t="str">
        <f t="shared" si="2"/>
        <v/>
      </c>
      <c r="AZ2430" s="82"/>
      <c r="BA2430" s="84" t="s">
        <v>152</v>
      </c>
      <c r="BB2430" s="84" t="str">
        <f>IFERROR(__xludf.DUMMYFUNCTION("iferror(if(A2430="""",,E2430&gt;=FILTER(Constants!$F$2:$F$10,Constants!$A$2:$A$10=A2430)))"),"")</f>
        <v/>
      </c>
    </row>
    <row r="2431">
      <c r="A2431" s="89"/>
      <c r="B2431" s="87"/>
      <c r="C2431" s="73"/>
      <c r="D2431" s="73"/>
      <c r="E2431" s="82"/>
      <c r="F2431" s="82"/>
      <c r="G2431" s="86"/>
      <c r="H2431" s="86"/>
      <c r="I2431" s="86"/>
      <c r="J2431" s="82"/>
      <c r="K2431" s="82"/>
      <c r="L2431" s="82"/>
      <c r="M2431" s="82"/>
      <c r="N2431" s="82"/>
      <c r="O2431" s="82"/>
      <c r="P2431" s="82"/>
      <c r="Q2431" s="82"/>
      <c r="R2431" s="82"/>
      <c r="S2431" s="82"/>
      <c r="T2431" s="82"/>
      <c r="U2431" s="82"/>
      <c r="V2431" s="82"/>
      <c r="W2431" s="82"/>
      <c r="X2431" s="82"/>
      <c r="Y2431" s="82"/>
      <c r="Z2431" s="82"/>
      <c r="AA2431" s="82"/>
      <c r="AB2431" s="82"/>
      <c r="AC2431" s="82"/>
      <c r="AD2431" s="82"/>
      <c r="AE2431" s="82"/>
      <c r="AF2431" s="82"/>
      <c r="AG2431" s="82"/>
      <c r="AH2431" s="82"/>
      <c r="AI2431" s="82"/>
      <c r="AJ2431" s="82"/>
      <c r="AK2431" s="82"/>
      <c r="AL2431" s="82"/>
      <c r="AM2431" s="82"/>
      <c r="AN2431" s="82">
        <f>IFERROR(__xludf.DUMMYFUNCTION("""COMPUTED_VALUE"""),0.0)</f>
        <v>0</v>
      </c>
      <c r="AO2431" s="82">
        <f>IFERROR(__xludf.DUMMYFUNCTION("""COMPUTED_VALUE"""),0.0)</f>
        <v>0</v>
      </c>
      <c r="AP2431" s="82">
        <f>IFERROR(__xludf.DUMMYFUNCTION("""COMPUTED_VALUE"""),0.0)</f>
        <v>0</v>
      </c>
      <c r="AQ2431" s="82">
        <f>IFERROR(__xludf.DUMMYFUNCTION("""COMPUTED_VALUE"""),0.0)</f>
        <v>0</v>
      </c>
      <c r="AR2431" s="82">
        <f>IFERROR(__xludf.DUMMYFUNCTION("""COMPUTED_VALUE"""),0.0)</f>
        <v>0</v>
      </c>
      <c r="AS2431" s="82"/>
      <c r="AT2431" s="82">
        <f>IFERROR(__xludf.DUMMYFUNCTION("""COMPUTED_VALUE"""),0.0)</f>
        <v>0</v>
      </c>
      <c r="AU2431" s="82"/>
      <c r="AV2431" s="82"/>
      <c r="AW2431" s="82" t="str">
        <f t="shared" si="1"/>
        <v/>
      </c>
      <c r="AX2431" s="83" t="str">
        <f t="array" ref="AX2431">IFERROR(DGET('SBV Import'!A:G,"SBV",{"RSC ID","Tier";B2431,A2431}))</f>
        <v/>
      </c>
      <c r="AY2431" s="82" t="str">
        <f t="shared" si="2"/>
        <v/>
      </c>
      <c r="AZ2431" s="82"/>
      <c r="BA2431" s="84" t="s">
        <v>152</v>
      </c>
      <c r="BB2431" s="84" t="str">
        <f>IFERROR(__xludf.DUMMYFUNCTION("iferror(if(A2431="""",,E2431&gt;=FILTER(Constants!$F$2:$F$10,Constants!$A$2:$A$10=A2431)))"),"")</f>
        <v/>
      </c>
    </row>
    <row r="2432">
      <c r="A2432" s="89"/>
      <c r="B2432" s="87"/>
      <c r="C2432" s="73"/>
      <c r="D2432" s="73"/>
      <c r="E2432" s="82"/>
      <c r="F2432" s="82"/>
      <c r="G2432" s="86"/>
      <c r="H2432" s="86"/>
      <c r="I2432" s="86"/>
      <c r="J2432" s="82"/>
      <c r="K2432" s="82"/>
      <c r="L2432" s="82"/>
      <c r="M2432" s="82"/>
      <c r="N2432" s="82"/>
      <c r="O2432" s="82"/>
      <c r="P2432" s="82"/>
      <c r="Q2432" s="82"/>
      <c r="R2432" s="82"/>
      <c r="S2432" s="82"/>
      <c r="T2432" s="82"/>
      <c r="U2432" s="82"/>
      <c r="V2432" s="82"/>
      <c r="W2432" s="82"/>
      <c r="X2432" s="82"/>
      <c r="Y2432" s="82"/>
      <c r="Z2432" s="82"/>
      <c r="AA2432" s="82"/>
      <c r="AB2432" s="82"/>
      <c r="AC2432" s="82"/>
      <c r="AD2432" s="82"/>
      <c r="AE2432" s="82"/>
      <c r="AF2432" s="82"/>
      <c r="AG2432" s="82"/>
      <c r="AH2432" s="82"/>
      <c r="AI2432" s="82"/>
      <c r="AJ2432" s="82"/>
      <c r="AK2432" s="82"/>
      <c r="AL2432" s="82"/>
      <c r="AM2432" s="82"/>
      <c r="AN2432" s="82">
        <f>IFERROR(__xludf.DUMMYFUNCTION("""COMPUTED_VALUE"""),0.0)</f>
        <v>0</v>
      </c>
      <c r="AO2432" s="82">
        <f>IFERROR(__xludf.DUMMYFUNCTION("""COMPUTED_VALUE"""),0.0)</f>
        <v>0</v>
      </c>
      <c r="AP2432" s="82">
        <f>IFERROR(__xludf.DUMMYFUNCTION("""COMPUTED_VALUE"""),0.0)</f>
        <v>0</v>
      </c>
      <c r="AQ2432" s="82">
        <f>IFERROR(__xludf.DUMMYFUNCTION("""COMPUTED_VALUE"""),0.0)</f>
        <v>0</v>
      </c>
      <c r="AR2432" s="82">
        <f>IFERROR(__xludf.DUMMYFUNCTION("""COMPUTED_VALUE"""),0.0)</f>
        <v>0</v>
      </c>
      <c r="AS2432" s="82"/>
      <c r="AT2432" s="82">
        <f>IFERROR(__xludf.DUMMYFUNCTION("""COMPUTED_VALUE"""),0.0)</f>
        <v>0</v>
      </c>
      <c r="AU2432" s="82"/>
      <c r="AV2432" s="82"/>
      <c r="AW2432" s="82" t="str">
        <f t="shared" si="1"/>
        <v/>
      </c>
      <c r="AX2432" s="83" t="str">
        <f t="array" ref="AX2432">IFERROR(DGET('SBV Import'!A:G,"SBV",{"RSC ID","Tier";B2432,A2432}))</f>
        <v/>
      </c>
      <c r="AY2432" s="82" t="str">
        <f t="shared" si="2"/>
        <v/>
      </c>
      <c r="AZ2432" s="82"/>
      <c r="BA2432" s="84" t="s">
        <v>152</v>
      </c>
      <c r="BB2432" s="84" t="str">
        <f>IFERROR(__xludf.DUMMYFUNCTION("iferror(if(A2432="""",,E2432&gt;=FILTER(Constants!$F$2:$F$10,Constants!$A$2:$A$10=A2432)))"),"")</f>
        <v/>
      </c>
    </row>
    <row r="2433">
      <c r="A2433" s="89"/>
      <c r="B2433" s="87"/>
      <c r="C2433" s="73"/>
      <c r="D2433" s="73"/>
      <c r="E2433" s="82"/>
      <c r="F2433" s="82"/>
      <c r="G2433" s="86"/>
      <c r="H2433" s="86"/>
      <c r="I2433" s="86"/>
      <c r="J2433" s="82"/>
      <c r="K2433" s="82"/>
      <c r="L2433" s="82"/>
      <c r="M2433" s="82"/>
      <c r="N2433" s="82"/>
      <c r="O2433" s="82"/>
      <c r="P2433" s="82"/>
      <c r="Q2433" s="82"/>
      <c r="R2433" s="82"/>
      <c r="S2433" s="82"/>
      <c r="T2433" s="82"/>
      <c r="U2433" s="82"/>
      <c r="V2433" s="82"/>
      <c r="W2433" s="82"/>
      <c r="X2433" s="82"/>
      <c r="Y2433" s="82"/>
      <c r="Z2433" s="82"/>
      <c r="AA2433" s="82"/>
      <c r="AB2433" s="82"/>
      <c r="AC2433" s="82"/>
      <c r="AD2433" s="82"/>
      <c r="AE2433" s="82"/>
      <c r="AF2433" s="82"/>
      <c r="AG2433" s="82"/>
      <c r="AH2433" s="82"/>
      <c r="AI2433" s="82"/>
      <c r="AJ2433" s="82"/>
      <c r="AK2433" s="82"/>
      <c r="AL2433" s="82"/>
      <c r="AM2433" s="82"/>
      <c r="AN2433" s="82">
        <f>IFERROR(__xludf.DUMMYFUNCTION("""COMPUTED_VALUE"""),0.0)</f>
        <v>0</v>
      </c>
      <c r="AO2433" s="82">
        <f>IFERROR(__xludf.DUMMYFUNCTION("""COMPUTED_VALUE"""),0.0)</f>
        <v>0</v>
      </c>
      <c r="AP2433" s="82">
        <f>IFERROR(__xludf.DUMMYFUNCTION("""COMPUTED_VALUE"""),0.0)</f>
        <v>0</v>
      </c>
      <c r="AQ2433" s="82">
        <f>IFERROR(__xludf.DUMMYFUNCTION("""COMPUTED_VALUE"""),0.0)</f>
        <v>0</v>
      </c>
      <c r="AR2433" s="82">
        <f>IFERROR(__xludf.DUMMYFUNCTION("""COMPUTED_VALUE"""),0.0)</f>
        <v>0</v>
      </c>
      <c r="AS2433" s="82"/>
      <c r="AT2433" s="82">
        <f>IFERROR(__xludf.DUMMYFUNCTION("""COMPUTED_VALUE"""),0.0)</f>
        <v>0</v>
      </c>
      <c r="AU2433" s="82"/>
      <c r="AV2433" s="82"/>
      <c r="AW2433" s="82" t="str">
        <f t="shared" si="1"/>
        <v/>
      </c>
      <c r="AX2433" s="83" t="str">
        <f t="array" ref="AX2433">IFERROR(DGET('SBV Import'!A:G,"SBV",{"RSC ID","Tier";B2433,A2433}))</f>
        <v/>
      </c>
      <c r="AY2433" s="82" t="str">
        <f t="shared" si="2"/>
        <v/>
      </c>
      <c r="AZ2433" s="82"/>
      <c r="BA2433" s="84" t="s">
        <v>152</v>
      </c>
      <c r="BB2433" s="84" t="str">
        <f>IFERROR(__xludf.DUMMYFUNCTION("iferror(if(A2433="""",,E2433&gt;=FILTER(Constants!$F$2:$F$10,Constants!$A$2:$A$10=A2433)))"),"")</f>
        <v/>
      </c>
    </row>
    <row r="2434">
      <c r="A2434" s="89"/>
      <c r="B2434" s="87"/>
      <c r="C2434" s="73"/>
      <c r="D2434" s="73"/>
      <c r="E2434" s="82"/>
      <c r="F2434" s="82"/>
      <c r="G2434" s="86"/>
      <c r="H2434" s="86"/>
      <c r="I2434" s="86"/>
      <c r="J2434" s="82"/>
      <c r="K2434" s="82"/>
      <c r="L2434" s="82"/>
      <c r="M2434" s="82"/>
      <c r="N2434" s="82"/>
      <c r="O2434" s="82"/>
      <c r="P2434" s="82"/>
      <c r="Q2434" s="82"/>
      <c r="R2434" s="82"/>
      <c r="S2434" s="82"/>
      <c r="T2434" s="82"/>
      <c r="U2434" s="82"/>
      <c r="V2434" s="82"/>
      <c r="W2434" s="82"/>
      <c r="X2434" s="82"/>
      <c r="Y2434" s="82"/>
      <c r="Z2434" s="82"/>
      <c r="AA2434" s="82"/>
      <c r="AB2434" s="82"/>
      <c r="AC2434" s="82"/>
      <c r="AD2434" s="82"/>
      <c r="AE2434" s="82"/>
      <c r="AF2434" s="82"/>
      <c r="AG2434" s="82"/>
      <c r="AH2434" s="82"/>
      <c r="AI2434" s="82"/>
      <c r="AJ2434" s="82"/>
      <c r="AK2434" s="82"/>
      <c r="AL2434" s="82"/>
      <c r="AM2434" s="82"/>
      <c r="AN2434" s="82">
        <f>IFERROR(__xludf.DUMMYFUNCTION("""COMPUTED_VALUE"""),0.0)</f>
        <v>0</v>
      </c>
      <c r="AO2434" s="82">
        <f>IFERROR(__xludf.DUMMYFUNCTION("""COMPUTED_VALUE"""),0.0)</f>
        <v>0</v>
      </c>
      <c r="AP2434" s="82">
        <f>IFERROR(__xludf.DUMMYFUNCTION("""COMPUTED_VALUE"""),0.0)</f>
        <v>0</v>
      </c>
      <c r="AQ2434" s="82">
        <f>IFERROR(__xludf.DUMMYFUNCTION("""COMPUTED_VALUE"""),0.0)</f>
        <v>0</v>
      </c>
      <c r="AR2434" s="82">
        <f>IFERROR(__xludf.DUMMYFUNCTION("""COMPUTED_VALUE"""),0.0)</f>
        <v>0</v>
      </c>
      <c r="AS2434" s="82"/>
      <c r="AT2434" s="82">
        <f>IFERROR(__xludf.DUMMYFUNCTION("""COMPUTED_VALUE"""),0.0)</f>
        <v>0</v>
      </c>
      <c r="AU2434" s="82"/>
      <c r="AV2434" s="82"/>
      <c r="AW2434" s="82" t="str">
        <f t="shared" si="1"/>
        <v/>
      </c>
      <c r="AX2434" s="83" t="str">
        <f t="array" ref="AX2434">IFERROR(DGET('SBV Import'!A:G,"SBV",{"RSC ID","Tier";B2434,A2434}))</f>
        <v/>
      </c>
      <c r="AY2434" s="82" t="str">
        <f t="shared" si="2"/>
        <v/>
      </c>
      <c r="AZ2434" s="82"/>
      <c r="BA2434" s="84" t="s">
        <v>152</v>
      </c>
      <c r="BB2434" s="84" t="str">
        <f>IFERROR(__xludf.DUMMYFUNCTION("iferror(if(A2434="""",,E2434&gt;=FILTER(Constants!$F$2:$F$10,Constants!$A$2:$A$10=A2434)))"),"")</f>
        <v/>
      </c>
    </row>
    <row r="2435">
      <c r="A2435" s="89"/>
      <c r="B2435" s="87"/>
      <c r="C2435" s="73"/>
      <c r="D2435" s="73"/>
      <c r="E2435" s="82"/>
      <c r="F2435" s="82"/>
      <c r="G2435" s="86"/>
      <c r="H2435" s="86"/>
      <c r="I2435" s="86"/>
      <c r="J2435" s="82"/>
      <c r="K2435" s="82"/>
      <c r="L2435" s="82"/>
      <c r="M2435" s="82"/>
      <c r="N2435" s="82"/>
      <c r="O2435" s="82"/>
      <c r="P2435" s="82"/>
      <c r="Q2435" s="82"/>
      <c r="R2435" s="82"/>
      <c r="S2435" s="82"/>
      <c r="T2435" s="82"/>
      <c r="U2435" s="82"/>
      <c r="V2435" s="82"/>
      <c r="W2435" s="82"/>
      <c r="X2435" s="82"/>
      <c r="Y2435" s="82"/>
      <c r="Z2435" s="82"/>
      <c r="AA2435" s="82"/>
      <c r="AB2435" s="82"/>
      <c r="AC2435" s="82"/>
      <c r="AD2435" s="82"/>
      <c r="AE2435" s="82"/>
      <c r="AF2435" s="82"/>
      <c r="AG2435" s="82"/>
      <c r="AH2435" s="82"/>
      <c r="AI2435" s="82"/>
      <c r="AJ2435" s="82"/>
      <c r="AK2435" s="82"/>
      <c r="AL2435" s="82"/>
      <c r="AM2435" s="82"/>
      <c r="AN2435" s="82">
        <f>IFERROR(__xludf.DUMMYFUNCTION("""COMPUTED_VALUE"""),0.0)</f>
        <v>0</v>
      </c>
      <c r="AO2435" s="82">
        <f>IFERROR(__xludf.DUMMYFUNCTION("""COMPUTED_VALUE"""),0.0)</f>
        <v>0</v>
      </c>
      <c r="AP2435" s="82">
        <f>IFERROR(__xludf.DUMMYFUNCTION("""COMPUTED_VALUE"""),0.0)</f>
        <v>0</v>
      </c>
      <c r="AQ2435" s="82">
        <f>IFERROR(__xludf.DUMMYFUNCTION("""COMPUTED_VALUE"""),0.0)</f>
        <v>0</v>
      </c>
      <c r="AR2435" s="82">
        <f>IFERROR(__xludf.DUMMYFUNCTION("""COMPUTED_VALUE"""),0.0)</f>
        <v>0</v>
      </c>
      <c r="AS2435" s="82"/>
      <c r="AT2435" s="82">
        <f>IFERROR(__xludf.DUMMYFUNCTION("""COMPUTED_VALUE"""),0.0)</f>
        <v>0</v>
      </c>
      <c r="AU2435" s="82"/>
      <c r="AV2435" s="82"/>
      <c r="AW2435" s="82" t="str">
        <f t="shared" si="1"/>
        <v/>
      </c>
      <c r="AX2435" s="83" t="str">
        <f t="array" ref="AX2435">IFERROR(DGET('SBV Import'!A:G,"SBV",{"RSC ID","Tier";B2435,A2435}))</f>
        <v/>
      </c>
      <c r="AY2435" s="82" t="str">
        <f t="shared" si="2"/>
        <v/>
      </c>
      <c r="AZ2435" s="82"/>
      <c r="BA2435" s="84" t="s">
        <v>152</v>
      </c>
      <c r="BB2435" s="84" t="str">
        <f>IFERROR(__xludf.DUMMYFUNCTION("iferror(if(A2435="""",,E2435&gt;=FILTER(Constants!$F$2:$F$10,Constants!$A$2:$A$10=A2435)))"),"")</f>
        <v/>
      </c>
    </row>
    <row r="2436">
      <c r="A2436" s="89"/>
      <c r="B2436" s="87"/>
      <c r="C2436" s="73"/>
      <c r="D2436" s="73"/>
      <c r="E2436" s="82"/>
      <c r="F2436" s="82"/>
      <c r="G2436" s="86"/>
      <c r="H2436" s="86"/>
      <c r="I2436" s="86"/>
      <c r="J2436" s="82"/>
      <c r="K2436" s="82"/>
      <c r="L2436" s="82"/>
      <c r="M2436" s="82"/>
      <c r="N2436" s="82"/>
      <c r="O2436" s="82"/>
      <c r="P2436" s="82"/>
      <c r="Q2436" s="82"/>
      <c r="R2436" s="82"/>
      <c r="S2436" s="82"/>
      <c r="T2436" s="82"/>
      <c r="U2436" s="82"/>
      <c r="V2436" s="82"/>
      <c r="W2436" s="82"/>
      <c r="X2436" s="82"/>
      <c r="Y2436" s="82"/>
      <c r="Z2436" s="82"/>
      <c r="AA2436" s="82"/>
      <c r="AB2436" s="82"/>
      <c r="AC2436" s="82"/>
      <c r="AD2436" s="82"/>
      <c r="AE2436" s="82"/>
      <c r="AF2436" s="82"/>
      <c r="AG2436" s="82"/>
      <c r="AH2436" s="82"/>
      <c r="AI2436" s="82"/>
      <c r="AJ2436" s="82"/>
      <c r="AK2436" s="82"/>
      <c r="AL2436" s="82"/>
      <c r="AM2436" s="82"/>
      <c r="AN2436" s="82">
        <f>IFERROR(__xludf.DUMMYFUNCTION("""COMPUTED_VALUE"""),0.0)</f>
        <v>0</v>
      </c>
      <c r="AO2436" s="82">
        <f>IFERROR(__xludf.DUMMYFUNCTION("""COMPUTED_VALUE"""),0.0)</f>
        <v>0</v>
      </c>
      <c r="AP2436" s="82">
        <f>IFERROR(__xludf.DUMMYFUNCTION("""COMPUTED_VALUE"""),0.0)</f>
        <v>0</v>
      </c>
      <c r="AQ2436" s="82">
        <f>IFERROR(__xludf.DUMMYFUNCTION("""COMPUTED_VALUE"""),0.0)</f>
        <v>0</v>
      </c>
      <c r="AR2436" s="82">
        <f>IFERROR(__xludf.DUMMYFUNCTION("""COMPUTED_VALUE"""),0.0)</f>
        <v>0</v>
      </c>
      <c r="AS2436" s="82"/>
      <c r="AT2436" s="82">
        <f>IFERROR(__xludf.DUMMYFUNCTION("""COMPUTED_VALUE"""),0.0)</f>
        <v>0</v>
      </c>
      <c r="AU2436" s="82"/>
      <c r="AV2436" s="82"/>
      <c r="AW2436" s="82" t="str">
        <f t="shared" si="1"/>
        <v/>
      </c>
      <c r="AX2436" s="83" t="str">
        <f t="array" ref="AX2436">IFERROR(DGET('SBV Import'!A:G,"SBV",{"RSC ID","Tier";B2436,A2436}))</f>
        <v/>
      </c>
      <c r="AY2436" s="82" t="str">
        <f t="shared" si="2"/>
        <v/>
      </c>
      <c r="AZ2436" s="82"/>
      <c r="BA2436" s="84" t="s">
        <v>152</v>
      </c>
      <c r="BB2436" s="84" t="str">
        <f>IFERROR(__xludf.DUMMYFUNCTION("iferror(if(A2436="""",,E2436&gt;=FILTER(Constants!$F$2:$F$10,Constants!$A$2:$A$10=A2436)))"),"")</f>
        <v/>
      </c>
    </row>
    <row r="2437">
      <c r="A2437" s="89"/>
      <c r="B2437" s="87"/>
      <c r="C2437" s="73"/>
      <c r="D2437" s="73"/>
      <c r="E2437" s="82"/>
      <c r="F2437" s="82"/>
      <c r="G2437" s="86"/>
      <c r="H2437" s="86"/>
      <c r="I2437" s="86"/>
      <c r="J2437" s="82"/>
      <c r="K2437" s="82"/>
      <c r="L2437" s="82"/>
      <c r="M2437" s="82"/>
      <c r="N2437" s="82"/>
      <c r="O2437" s="82"/>
      <c r="P2437" s="82"/>
      <c r="Q2437" s="82"/>
      <c r="R2437" s="82"/>
      <c r="S2437" s="82"/>
      <c r="T2437" s="82"/>
      <c r="U2437" s="82"/>
      <c r="V2437" s="82"/>
      <c r="W2437" s="82"/>
      <c r="X2437" s="82"/>
      <c r="Y2437" s="82"/>
      <c r="Z2437" s="82"/>
      <c r="AA2437" s="82"/>
      <c r="AB2437" s="82"/>
      <c r="AC2437" s="82"/>
      <c r="AD2437" s="82"/>
      <c r="AE2437" s="82"/>
      <c r="AF2437" s="82"/>
      <c r="AG2437" s="82"/>
      <c r="AH2437" s="82"/>
      <c r="AI2437" s="82"/>
      <c r="AJ2437" s="82"/>
      <c r="AK2437" s="82"/>
      <c r="AL2437" s="82"/>
      <c r="AM2437" s="82"/>
      <c r="AN2437" s="82">
        <f>IFERROR(__xludf.DUMMYFUNCTION("""COMPUTED_VALUE"""),0.0)</f>
        <v>0</v>
      </c>
      <c r="AO2437" s="82">
        <f>IFERROR(__xludf.DUMMYFUNCTION("""COMPUTED_VALUE"""),0.0)</f>
        <v>0</v>
      </c>
      <c r="AP2437" s="82">
        <f>IFERROR(__xludf.DUMMYFUNCTION("""COMPUTED_VALUE"""),0.0)</f>
        <v>0</v>
      </c>
      <c r="AQ2437" s="82">
        <f>IFERROR(__xludf.DUMMYFUNCTION("""COMPUTED_VALUE"""),0.0)</f>
        <v>0</v>
      </c>
      <c r="AR2437" s="82">
        <f>IFERROR(__xludf.DUMMYFUNCTION("""COMPUTED_VALUE"""),0.0)</f>
        <v>0</v>
      </c>
      <c r="AS2437" s="82"/>
      <c r="AT2437" s="82">
        <f>IFERROR(__xludf.DUMMYFUNCTION("""COMPUTED_VALUE"""),0.0)</f>
        <v>0</v>
      </c>
      <c r="AU2437" s="82"/>
      <c r="AV2437" s="82"/>
      <c r="AW2437" s="82" t="str">
        <f t="shared" si="1"/>
        <v/>
      </c>
      <c r="AX2437" s="83" t="str">
        <f t="array" ref="AX2437">IFERROR(DGET('SBV Import'!A:G,"SBV",{"RSC ID","Tier";B2437,A2437}))</f>
        <v/>
      </c>
      <c r="AY2437" s="82" t="str">
        <f t="shared" si="2"/>
        <v/>
      </c>
      <c r="AZ2437" s="82"/>
      <c r="BA2437" s="84" t="s">
        <v>152</v>
      </c>
      <c r="BB2437" s="84" t="str">
        <f>IFERROR(__xludf.DUMMYFUNCTION("iferror(if(A2437="""",,E2437&gt;=FILTER(Constants!$F$2:$F$10,Constants!$A$2:$A$10=A2437)))"),"")</f>
        <v/>
      </c>
    </row>
    <row r="2438">
      <c r="A2438" s="89"/>
      <c r="B2438" s="87"/>
      <c r="C2438" s="73"/>
      <c r="D2438" s="73"/>
      <c r="E2438" s="82"/>
      <c r="F2438" s="82"/>
      <c r="G2438" s="86"/>
      <c r="H2438" s="86"/>
      <c r="I2438" s="86"/>
      <c r="J2438" s="82"/>
      <c r="K2438" s="82"/>
      <c r="L2438" s="82"/>
      <c r="M2438" s="82"/>
      <c r="N2438" s="82"/>
      <c r="O2438" s="82"/>
      <c r="P2438" s="82"/>
      <c r="Q2438" s="82"/>
      <c r="R2438" s="82"/>
      <c r="S2438" s="82"/>
      <c r="T2438" s="82"/>
      <c r="U2438" s="82"/>
      <c r="V2438" s="82"/>
      <c r="W2438" s="82"/>
      <c r="X2438" s="82"/>
      <c r="Y2438" s="82"/>
      <c r="Z2438" s="82"/>
      <c r="AA2438" s="82"/>
      <c r="AB2438" s="82"/>
      <c r="AC2438" s="82"/>
      <c r="AD2438" s="82"/>
      <c r="AE2438" s="82"/>
      <c r="AF2438" s="82"/>
      <c r="AG2438" s="82"/>
      <c r="AH2438" s="82"/>
      <c r="AI2438" s="82"/>
      <c r="AJ2438" s="82"/>
      <c r="AK2438" s="82"/>
      <c r="AL2438" s="82"/>
      <c r="AM2438" s="82"/>
      <c r="AN2438" s="82">
        <f>IFERROR(__xludf.DUMMYFUNCTION("""COMPUTED_VALUE"""),0.0)</f>
        <v>0</v>
      </c>
      <c r="AO2438" s="82">
        <f>IFERROR(__xludf.DUMMYFUNCTION("""COMPUTED_VALUE"""),0.0)</f>
        <v>0</v>
      </c>
      <c r="AP2438" s="82">
        <f>IFERROR(__xludf.DUMMYFUNCTION("""COMPUTED_VALUE"""),0.0)</f>
        <v>0</v>
      </c>
      <c r="AQ2438" s="82">
        <f>IFERROR(__xludf.DUMMYFUNCTION("""COMPUTED_VALUE"""),0.0)</f>
        <v>0</v>
      </c>
      <c r="AR2438" s="82">
        <f>IFERROR(__xludf.DUMMYFUNCTION("""COMPUTED_VALUE"""),0.0)</f>
        <v>0</v>
      </c>
      <c r="AS2438" s="82"/>
      <c r="AT2438" s="82">
        <f>IFERROR(__xludf.DUMMYFUNCTION("""COMPUTED_VALUE"""),0.0)</f>
        <v>0</v>
      </c>
      <c r="AU2438" s="82"/>
      <c r="AV2438" s="82"/>
      <c r="AW2438" s="82" t="str">
        <f t="shared" si="1"/>
        <v/>
      </c>
      <c r="AX2438" s="83" t="str">
        <f t="array" ref="AX2438">IFERROR(DGET('SBV Import'!A:G,"SBV",{"RSC ID","Tier";B2438,A2438}))</f>
        <v/>
      </c>
      <c r="AY2438" s="82" t="str">
        <f t="shared" si="2"/>
        <v/>
      </c>
      <c r="AZ2438" s="82"/>
      <c r="BA2438" s="84" t="s">
        <v>152</v>
      </c>
      <c r="BB2438" s="84" t="str">
        <f>IFERROR(__xludf.DUMMYFUNCTION("iferror(if(A2438="""",,E2438&gt;=FILTER(Constants!$F$2:$F$10,Constants!$A$2:$A$10=A2438)))"),"")</f>
        <v/>
      </c>
    </row>
    <row r="2439">
      <c r="A2439" s="89"/>
      <c r="B2439" s="87"/>
      <c r="C2439" s="73"/>
      <c r="D2439" s="73"/>
      <c r="E2439" s="82"/>
      <c r="F2439" s="82"/>
      <c r="G2439" s="86"/>
      <c r="H2439" s="86"/>
      <c r="I2439" s="86"/>
      <c r="J2439" s="82"/>
      <c r="K2439" s="82"/>
      <c r="L2439" s="82"/>
      <c r="M2439" s="82"/>
      <c r="N2439" s="82"/>
      <c r="O2439" s="82"/>
      <c r="P2439" s="82"/>
      <c r="Q2439" s="82"/>
      <c r="R2439" s="82"/>
      <c r="S2439" s="82"/>
      <c r="T2439" s="82"/>
      <c r="U2439" s="82"/>
      <c r="V2439" s="82"/>
      <c r="W2439" s="82"/>
      <c r="X2439" s="82"/>
      <c r="Y2439" s="82"/>
      <c r="Z2439" s="82"/>
      <c r="AA2439" s="82"/>
      <c r="AB2439" s="82"/>
      <c r="AC2439" s="82"/>
      <c r="AD2439" s="82"/>
      <c r="AE2439" s="82"/>
      <c r="AF2439" s="82"/>
      <c r="AG2439" s="82"/>
      <c r="AH2439" s="82"/>
      <c r="AI2439" s="82"/>
      <c r="AJ2439" s="82"/>
      <c r="AK2439" s="82"/>
      <c r="AL2439" s="82"/>
      <c r="AM2439" s="82"/>
      <c r="AN2439" s="82">
        <f>IFERROR(__xludf.DUMMYFUNCTION("""COMPUTED_VALUE"""),0.0)</f>
        <v>0</v>
      </c>
      <c r="AO2439" s="82">
        <f>IFERROR(__xludf.DUMMYFUNCTION("""COMPUTED_VALUE"""),0.0)</f>
        <v>0</v>
      </c>
      <c r="AP2439" s="82">
        <f>IFERROR(__xludf.DUMMYFUNCTION("""COMPUTED_VALUE"""),0.0)</f>
        <v>0</v>
      </c>
      <c r="AQ2439" s="82">
        <f>IFERROR(__xludf.DUMMYFUNCTION("""COMPUTED_VALUE"""),0.0)</f>
        <v>0</v>
      </c>
      <c r="AR2439" s="82">
        <f>IFERROR(__xludf.DUMMYFUNCTION("""COMPUTED_VALUE"""),0.0)</f>
        <v>0</v>
      </c>
      <c r="AS2439" s="82"/>
      <c r="AT2439" s="82">
        <f>IFERROR(__xludf.DUMMYFUNCTION("""COMPUTED_VALUE"""),0.0)</f>
        <v>0</v>
      </c>
      <c r="AU2439" s="82"/>
      <c r="AV2439" s="82"/>
      <c r="AW2439" s="82" t="str">
        <f t="shared" si="1"/>
        <v/>
      </c>
      <c r="AX2439" s="83" t="str">
        <f t="array" ref="AX2439">IFERROR(DGET('SBV Import'!A:G,"SBV",{"RSC ID","Tier";B2439,A2439}))</f>
        <v/>
      </c>
      <c r="AY2439" s="82" t="str">
        <f t="shared" si="2"/>
        <v/>
      </c>
      <c r="AZ2439" s="82"/>
      <c r="BA2439" s="84" t="s">
        <v>152</v>
      </c>
      <c r="BB2439" s="84" t="str">
        <f>IFERROR(__xludf.DUMMYFUNCTION("iferror(if(A2439="""",,E2439&gt;=FILTER(Constants!$F$2:$F$10,Constants!$A$2:$A$10=A2439)))"),"")</f>
        <v/>
      </c>
    </row>
    <row r="2440">
      <c r="A2440" s="89"/>
      <c r="B2440" s="87"/>
      <c r="C2440" s="73"/>
      <c r="D2440" s="73"/>
      <c r="E2440" s="82"/>
      <c r="F2440" s="82"/>
      <c r="G2440" s="86"/>
      <c r="H2440" s="86"/>
      <c r="I2440" s="86"/>
      <c r="J2440" s="82"/>
      <c r="K2440" s="82"/>
      <c r="L2440" s="82"/>
      <c r="M2440" s="82"/>
      <c r="N2440" s="82"/>
      <c r="O2440" s="82"/>
      <c r="P2440" s="82"/>
      <c r="Q2440" s="82"/>
      <c r="R2440" s="82"/>
      <c r="S2440" s="82"/>
      <c r="T2440" s="82"/>
      <c r="U2440" s="82"/>
      <c r="V2440" s="82"/>
      <c r="W2440" s="82"/>
      <c r="X2440" s="82"/>
      <c r="Y2440" s="82"/>
      <c r="Z2440" s="82"/>
      <c r="AA2440" s="82"/>
      <c r="AB2440" s="82"/>
      <c r="AC2440" s="82"/>
      <c r="AD2440" s="82"/>
      <c r="AE2440" s="82"/>
      <c r="AF2440" s="82"/>
      <c r="AG2440" s="82"/>
      <c r="AH2440" s="82"/>
      <c r="AI2440" s="82"/>
      <c r="AJ2440" s="82"/>
      <c r="AK2440" s="82"/>
      <c r="AL2440" s="82"/>
      <c r="AM2440" s="82"/>
      <c r="AN2440" s="82">
        <f>IFERROR(__xludf.DUMMYFUNCTION("""COMPUTED_VALUE"""),0.0)</f>
        <v>0</v>
      </c>
      <c r="AO2440" s="82">
        <f>IFERROR(__xludf.DUMMYFUNCTION("""COMPUTED_VALUE"""),0.0)</f>
        <v>0</v>
      </c>
      <c r="AP2440" s="82">
        <f>IFERROR(__xludf.DUMMYFUNCTION("""COMPUTED_VALUE"""),0.0)</f>
        <v>0</v>
      </c>
      <c r="AQ2440" s="82">
        <f>IFERROR(__xludf.DUMMYFUNCTION("""COMPUTED_VALUE"""),0.0)</f>
        <v>0</v>
      </c>
      <c r="AR2440" s="82">
        <f>IFERROR(__xludf.DUMMYFUNCTION("""COMPUTED_VALUE"""),0.0)</f>
        <v>0</v>
      </c>
      <c r="AS2440" s="82"/>
      <c r="AT2440" s="82">
        <f>IFERROR(__xludf.DUMMYFUNCTION("""COMPUTED_VALUE"""),0.0)</f>
        <v>0</v>
      </c>
      <c r="AU2440" s="82"/>
      <c r="AV2440" s="82"/>
      <c r="AW2440" s="82" t="str">
        <f t="shared" si="1"/>
        <v/>
      </c>
      <c r="AX2440" s="83" t="str">
        <f t="array" ref="AX2440">IFERROR(DGET('SBV Import'!A:G,"SBV",{"RSC ID","Tier";B2440,A2440}))</f>
        <v/>
      </c>
      <c r="AY2440" s="82" t="str">
        <f t="shared" si="2"/>
        <v/>
      </c>
      <c r="AZ2440" s="82"/>
      <c r="BA2440" s="84" t="s">
        <v>152</v>
      </c>
      <c r="BB2440" s="84" t="str">
        <f>IFERROR(__xludf.DUMMYFUNCTION("iferror(if(A2440="""",,E2440&gt;=FILTER(Constants!$F$2:$F$10,Constants!$A$2:$A$10=A2440)))"),"")</f>
        <v/>
      </c>
    </row>
    <row r="2441">
      <c r="A2441" s="89"/>
      <c r="B2441" s="87"/>
      <c r="C2441" s="73"/>
      <c r="D2441" s="73"/>
      <c r="E2441" s="82"/>
      <c r="F2441" s="82"/>
      <c r="G2441" s="86"/>
      <c r="H2441" s="86"/>
      <c r="I2441" s="86"/>
      <c r="J2441" s="82"/>
      <c r="K2441" s="82"/>
      <c r="L2441" s="82"/>
      <c r="M2441" s="82"/>
      <c r="N2441" s="82"/>
      <c r="O2441" s="82"/>
      <c r="P2441" s="82"/>
      <c r="Q2441" s="82"/>
      <c r="R2441" s="82"/>
      <c r="S2441" s="82"/>
      <c r="T2441" s="82"/>
      <c r="U2441" s="82"/>
      <c r="V2441" s="82"/>
      <c r="W2441" s="82"/>
      <c r="X2441" s="82"/>
      <c r="Y2441" s="82"/>
      <c r="Z2441" s="82"/>
      <c r="AA2441" s="82"/>
      <c r="AB2441" s="82"/>
      <c r="AC2441" s="82"/>
      <c r="AD2441" s="82"/>
      <c r="AE2441" s="82"/>
      <c r="AF2441" s="82"/>
      <c r="AG2441" s="82"/>
      <c r="AH2441" s="82"/>
      <c r="AI2441" s="82"/>
      <c r="AJ2441" s="82"/>
      <c r="AK2441" s="82"/>
      <c r="AL2441" s="82"/>
      <c r="AM2441" s="82"/>
      <c r="AN2441" s="82">
        <f>IFERROR(__xludf.DUMMYFUNCTION("""COMPUTED_VALUE"""),0.0)</f>
        <v>0</v>
      </c>
      <c r="AO2441" s="82">
        <f>IFERROR(__xludf.DUMMYFUNCTION("""COMPUTED_VALUE"""),0.0)</f>
        <v>0</v>
      </c>
      <c r="AP2441" s="82">
        <f>IFERROR(__xludf.DUMMYFUNCTION("""COMPUTED_VALUE"""),0.0)</f>
        <v>0</v>
      </c>
      <c r="AQ2441" s="82">
        <f>IFERROR(__xludf.DUMMYFUNCTION("""COMPUTED_VALUE"""),0.0)</f>
        <v>0</v>
      </c>
      <c r="AR2441" s="82">
        <f>IFERROR(__xludf.DUMMYFUNCTION("""COMPUTED_VALUE"""),0.0)</f>
        <v>0</v>
      </c>
      <c r="AS2441" s="82"/>
      <c r="AT2441" s="82">
        <f>IFERROR(__xludf.DUMMYFUNCTION("""COMPUTED_VALUE"""),0.0)</f>
        <v>0</v>
      </c>
      <c r="AU2441" s="82"/>
      <c r="AV2441" s="82"/>
      <c r="AW2441" s="82" t="str">
        <f t="shared" si="1"/>
        <v/>
      </c>
      <c r="AX2441" s="83" t="str">
        <f t="array" ref="AX2441">IFERROR(DGET('SBV Import'!A:G,"SBV",{"RSC ID","Tier";B2441,A2441}))</f>
        <v/>
      </c>
      <c r="AY2441" s="82" t="str">
        <f t="shared" si="2"/>
        <v/>
      </c>
      <c r="AZ2441" s="82"/>
      <c r="BA2441" s="84" t="s">
        <v>152</v>
      </c>
      <c r="BB2441" s="84" t="str">
        <f>IFERROR(__xludf.DUMMYFUNCTION("iferror(if(A2441="""",,E2441&gt;=FILTER(Constants!$F$2:$F$10,Constants!$A$2:$A$10=A2441)))"),"")</f>
        <v/>
      </c>
    </row>
    <row r="2442">
      <c r="A2442" s="89"/>
      <c r="B2442" s="87"/>
      <c r="C2442" s="73"/>
      <c r="D2442" s="73"/>
      <c r="E2442" s="82"/>
      <c r="F2442" s="82"/>
      <c r="G2442" s="86"/>
      <c r="H2442" s="86"/>
      <c r="I2442" s="86"/>
      <c r="J2442" s="82"/>
      <c r="K2442" s="82"/>
      <c r="L2442" s="82"/>
      <c r="M2442" s="82"/>
      <c r="N2442" s="82"/>
      <c r="O2442" s="82"/>
      <c r="P2442" s="82"/>
      <c r="Q2442" s="82"/>
      <c r="R2442" s="82"/>
      <c r="S2442" s="82"/>
      <c r="T2442" s="82"/>
      <c r="U2442" s="82"/>
      <c r="V2442" s="82"/>
      <c r="W2442" s="82"/>
      <c r="X2442" s="82"/>
      <c r="Y2442" s="82"/>
      <c r="Z2442" s="82"/>
      <c r="AA2442" s="82"/>
      <c r="AB2442" s="82"/>
      <c r="AC2442" s="82"/>
      <c r="AD2442" s="82"/>
      <c r="AE2442" s="82"/>
      <c r="AF2442" s="82"/>
      <c r="AG2442" s="82"/>
      <c r="AH2442" s="82"/>
      <c r="AI2442" s="82"/>
      <c r="AJ2442" s="82"/>
      <c r="AK2442" s="82"/>
      <c r="AL2442" s="82"/>
      <c r="AM2442" s="82"/>
      <c r="AN2442" s="82">
        <f>IFERROR(__xludf.DUMMYFUNCTION("""COMPUTED_VALUE"""),0.0)</f>
        <v>0</v>
      </c>
      <c r="AO2442" s="82">
        <f>IFERROR(__xludf.DUMMYFUNCTION("""COMPUTED_VALUE"""),0.0)</f>
        <v>0</v>
      </c>
      <c r="AP2442" s="82">
        <f>IFERROR(__xludf.DUMMYFUNCTION("""COMPUTED_VALUE"""),0.0)</f>
        <v>0</v>
      </c>
      <c r="AQ2442" s="82">
        <f>IFERROR(__xludf.DUMMYFUNCTION("""COMPUTED_VALUE"""),0.0)</f>
        <v>0</v>
      </c>
      <c r="AR2442" s="82">
        <f>IFERROR(__xludf.DUMMYFUNCTION("""COMPUTED_VALUE"""),0.0)</f>
        <v>0</v>
      </c>
      <c r="AS2442" s="82"/>
      <c r="AT2442" s="82">
        <f>IFERROR(__xludf.DUMMYFUNCTION("""COMPUTED_VALUE"""),0.0)</f>
        <v>0</v>
      </c>
      <c r="AU2442" s="82"/>
      <c r="AV2442" s="82"/>
      <c r="AW2442" s="82" t="str">
        <f t="shared" si="1"/>
        <v/>
      </c>
      <c r="AX2442" s="83" t="str">
        <f t="array" ref="AX2442">IFERROR(DGET('SBV Import'!A:G,"SBV",{"RSC ID","Tier";B2442,A2442}))</f>
        <v/>
      </c>
      <c r="AY2442" s="82" t="str">
        <f t="shared" si="2"/>
        <v/>
      </c>
      <c r="AZ2442" s="82"/>
      <c r="BA2442" s="84" t="s">
        <v>152</v>
      </c>
      <c r="BB2442" s="84" t="str">
        <f>IFERROR(__xludf.DUMMYFUNCTION("iferror(if(A2442="""",,E2442&gt;=FILTER(Constants!$F$2:$F$10,Constants!$A$2:$A$10=A2442)))"),"")</f>
        <v/>
      </c>
    </row>
    <row r="2443">
      <c r="A2443" s="89"/>
      <c r="B2443" s="87"/>
      <c r="C2443" s="73"/>
      <c r="D2443" s="73"/>
      <c r="E2443" s="82"/>
      <c r="F2443" s="82"/>
      <c r="G2443" s="86"/>
      <c r="H2443" s="86"/>
      <c r="I2443" s="86"/>
      <c r="J2443" s="82"/>
      <c r="K2443" s="82"/>
      <c r="L2443" s="82"/>
      <c r="M2443" s="82"/>
      <c r="N2443" s="82"/>
      <c r="O2443" s="82"/>
      <c r="P2443" s="82"/>
      <c r="Q2443" s="82"/>
      <c r="R2443" s="82"/>
      <c r="S2443" s="82"/>
      <c r="T2443" s="82"/>
      <c r="U2443" s="82"/>
      <c r="V2443" s="82"/>
      <c r="W2443" s="82"/>
      <c r="X2443" s="82"/>
      <c r="Y2443" s="82"/>
      <c r="Z2443" s="82"/>
      <c r="AA2443" s="82"/>
      <c r="AB2443" s="82"/>
      <c r="AC2443" s="82"/>
      <c r="AD2443" s="82"/>
      <c r="AE2443" s="82"/>
      <c r="AF2443" s="82"/>
      <c r="AG2443" s="82"/>
      <c r="AH2443" s="82"/>
      <c r="AI2443" s="82"/>
      <c r="AJ2443" s="82"/>
      <c r="AK2443" s="82"/>
      <c r="AL2443" s="82"/>
      <c r="AM2443" s="82"/>
      <c r="AN2443" s="82">
        <f>IFERROR(__xludf.DUMMYFUNCTION("""COMPUTED_VALUE"""),0.0)</f>
        <v>0</v>
      </c>
      <c r="AO2443" s="82">
        <f>IFERROR(__xludf.DUMMYFUNCTION("""COMPUTED_VALUE"""),0.0)</f>
        <v>0</v>
      </c>
      <c r="AP2443" s="82">
        <f>IFERROR(__xludf.DUMMYFUNCTION("""COMPUTED_VALUE"""),0.0)</f>
        <v>0</v>
      </c>
      <c r="AQ2443" s="82">
        <f>IFERROR(__xludf.DUMMYFUNCTION("""COMPUTED_VALUE"""),0.0)</f>
        <v>0</v>
      </c>
      <c r="AR2443" s="82">
        <f>IFERROR(__xludf.DUMMYFUNCTION("""COMPUTED_VALUE"""),0.0)</f>
        <v>0</v>
      </c>
      <c r="AS2443" s="82"/>
      <c r="AT2443" s="82">
        <f>IFERROR(__xludf.DUMMYFUNCTION("""COMPUTED_VALUE"""),0.0)</f>
        <v>0</v>
      </c>
      <c r="AU2443" s="82"/>
      <c r="AV2443" s="82"/>
      <c r="AW2443" s="82" t="str">
        <f t="shared" si="1"/>
        <v/>
      </c>
      <c r="AX2443" s="83" t="str">
        <f t="array" ref="AX2443">IFERROR(DGET('SBV Import'!A:G,"SBV",{"RSC ID","Tier";B2443,A2443}))</f>
        <v/>
      </c>
      <c r="AY2443" s="82" t="str">
        <f t="shared" si="2"/>
        <v/>
      </c>
      <c r="AZ2443" s="82"/>
      <c r="BA2443" s="84" t="s">
        <v>152</v>
      </c>
      <c r="BB2443" s="84" t="str">
        <f>IFERROR(__xludf.DUMMYFUNCTION("iferror(if(A2443="""",,E2443&gt;=FILTER(Constants!$F$2:$F$10,Constants!$A$2:$A$10=A2443)))"),"")</f>
        <v/>
      </c>
    </row>
    <row r="2444">
      <c r="A2444" s="89"/>
      <c r="B2444" s="87"/>
      <c r="C2444" s="73"/>
      <c r="D2444" s="73"/>
      <c r="E2444" s="82"/>
      <c r="F2444" s="82"/>
      <c r="G2444" s="86"/>
      <c r="H2444" s="86"/>
      <c r="I2444" s="86"/>
      <c r="J2444" s="82"/>
      <c r="K2444" s="82"/>
      <c r="L2444" s="82"/>
      <c r="M2444" s="82"/>
      <c r="N2444" s="82"/>
      <c r="O2444" s="82"/>
      <c r="P2444" s="82"/>
      <c r="Q2444" s="82"/>
      <c r="R2444" s="82"/>
      <c r="S2444" s="82"/>
      <c r="T2444" s="82"/>
      <c r="U2444" s="82"/>
      <c r="V2444" s="82"/>
      <c r="W2444" s="82"/>
      <c r="X2444" s="82"/>
      <c r="Y2444" s="82"/>
      <c r="Z2444" s="82"/>
      <c r="AA2444" s="82"/>
      <c r="AB2444" s="82"/>
      <c r="AC2444" s="82"/>
      <c r="AD2444" s="82"/>
      <c r="AE2444" s="82"/>
      <c r="AF2444" s="82"/>
      <c r="AG2444" s="82"/>
      <c r="AH2444" s="82"/>
      <c r="AI2444" s="82"/>
      <c r="AJ2444" s="82"/>
      <c r="AK2444" s="82"/>
      <c r="AL2444" s="82"/>
      <c r="AM2444" s="82"/>
      <c r="AN2444" s="82">
        <f>IFERROR(__xludf.DUMMYFUNCTION("""COMPUTED_VALUE"""),0.0)</f>
        <v>0</v>
      </c>
      <c r="AO2444" s="82">
        <f>IFERROR(__xludf.DUMMYFUNCTION("""COMPUTED_VALUE"""),0.0)</f>
        <v>0</v>
      </c>
      <c r="AP2444" s="82">
        <f>IFERROR(__xludf.DUMMYFUNCTION("""COMPUTED_VALUE"""),0.0)</f>
        <v>0</v>
      </c>
      <c r="AQ2444" s="82">
        <f>IFERROR(__xludf.DUMMYFUNCTION("""COMPUTED_VALUE"""),0.0)</f>
        <v>0</v>
      </c>
      <c r="AR2444" s="82">
        <f>IFERROR(__xludf.DUMMYFUNCTION("""COMPUTED_VALUE"""),0.0)</f>
        <v>0</v>
      </c>
      <c r="AS2444" s="82"/>
      <c r="AT2444" s="82">
        <f>IFERROR(__xludf.DUMMYFUNCTION("""COMPUTED_VALUE"""),0.0)</f>
        <v>0</v>
      </c>
      <c r="AU2444" s="82"/>
      <c r="AV2444" s="82"/>
      <c r="AW2444" s="82" t="str">
        <f t="shared" si="1"/>
        <v/>
      </c>
      <c r="AX2444" s="83" t="str">
        <f t="array" ref="AX2444">IFERROR(DGET('SBV Import'!A:G,"SBV",{"RSC ID","Tier";B2444,A2444}))</f>
        <v/>
      </c>
      <c r="AY2444" s="82" t="str">
        <f t="shared" si="2"/>
        <v/>
      </c>
      <c r="AZ2444" s="82"/>
      <c r="BA2444" s="84" t="s">
        <v>152</v>
      </c>
      <c r="BB2444" s="84" t="str">
        <f>IFERROR(__xludf.DUMMYFUNCTION("iferror(if(A2444="""",,E2444&gt;=FILTER(Constants!$F$2:$F$10,Constants!$A$2:$A$10=A2444)))"),"")</f>
        <v/>
      </c>
    </row>
    <row r="2445">
      <c r="A2445" s="89"/>
      <c r="B2445" s="87"/>
      <c r="C2445" s="73"/>
      <c r="D2445" s="73"/>
      <c r="E2445" s="82"/>
      <c r="F2445" s="82"/>
      <c r="G2445" s="86"/>
      <c r="H2445" s="86"/>
      <c r="I2445" s="86"/>
      <c r="J2445" s="82"/>
      <c r="K2445" s="82"/>
      <c r="L2445" s="82"/>
      <c r="M2445" s="82"/>
      <c r="N2445" s="82"/>
      <c r="O2445" s="82"/>
      <c r="P2445" s="82"/>
      <c r="Q2445" s="82"/>
      <c r="R2445" s="82"/>
      <c r="S2445" s="82"/>
      <c r="T2445" s="82"/>
      <c r="U2445" s="82"/>
      <c r="V2445" s="82"/>
      <c r="W2445" s="82"/>
      <c r="X2445" s="82"/>
      <c r="Y2445" s="82"/>
      <c r="Z2445" s="82"/>
      <c r="AA2445" s="82"/>
      <c r="AB2445" s="82"/>
      <c r="AC2445" s="82"/>
      <c r="AD2445" s="82"/>
      <c r="AE2445" s="82"/>
      <c r="AF2445" s="82"/>
      <c r="AG2445" s="82"/>
      <c r="AH2445" s="82"/>
      <c r="AI2445" s="82"/>
      <c r="AJ2445" s="82"/>
      <c r="AK2445" s="82"/>
      <c r="AL2445" s="82"/>
      <c r="AM2445" s="82"/>
      <c r="AN2445" s="82">
        <f>IFERROR(__xludf.DUMMYFUNCTION("""COMPUTED_VALUE"""),0.0)</f>
        <v>0</v>
      </c>
      <c r="AO2445" s="82">
        <f>IFERROR(__xludf.DUMMYFUNCTION("""COMPUTED_VALUE"""),0.0)</f>
        <v>0</v>
      </c>
      <c r="AP2445" s="82">
        <f>IFERROR(__xludf.DUMMYFUNCTION("""COMPUTED_VALUE"""),0.0)</f>
        <v>0</v>
      </c>
      <c r="AQ2445" s="82">
        <f>IFERROR(__xludf.DUMMYFUNCTION("""COMPUTED_VALUE"""),0.0)</f>
        <v>0</v>
      </c>
      <c r="AR2445" s="82">
        <f>IFERROR(__xludf.DUMMYFUNCTION("""COMPUTED_VALUE"""),0.0)</f>
        <v>0</v>
      </c>
      <c r="AS2445" s="82"/>
      <c r="AT2445" s="82">
        <f>IFERROR(__xludf.DUMMYFUNCTION("""COMPUTED_VALUE"""),0.0)</f>
        <v>0</v>
      </c>
      <c r="AU2445" s="82"/>
      <c r="AV2445" s="82"/>
      <c r="AW2445" s="82" t="str">
        <f t="shared" si="1"/>
        <v/>
      </c>
      <c r="AX2445" s="83" t="str">
        <f t="array" ref="AX2445">IFERROR(DGET('SBV Import'!A:G,"SBV",{"RSC ID","Tier";B2445,A2445}))</f>
        <v/>
      </c>
      <c r="AY2445" s="82" t="str">
        <f t="shared" si="2"/>
        <v/>
      </c>
      <c r="AZ2445" s="82"/>
      <c r="BA2445" s="84" t="s">
        <v>152</v>
      </c>
      <c r="BB2445" s="84" t="str">
        <f>IFERROR(__xludf.DUMMYFUNCTION("iferror(if(A2445="""",,E2445&gt;=FILTER(Constants!$F$2:$F$10,Constants!$A$2:$A$10=A2445)))"),"")</f>
        <v/>
      </c>
    </row>
    <row r="2446">
      <c r="A2446" s="89"/>
      <c r="B2446" s="87"/>
      <c r="C2446" s="73"/>
      <c r="D2446" s="73"/>
      <c r="E2446" s="82"/>
      <c r="F2446" s="82"/>
      <c r="G2446" s="86"/>
      <c r="H2446" s="86"/>
      <c r="I2446" s="86"/>
      <c r="J2446" s="82"/>
      <c r="K2446" s="82"/>
      <c r="L2446" s="82"/>
      <c r="M2446" s="82"/>
      <c r="N2446" s="82"/>
      <c r="O2446" s="82"/>
      <c r="P2446" s="82"/>
      <c r="Q2446" s="82"/>
      <c r="R2446" s="82"/>
      <c r="S2446" s="82"/>
      <c r="T2446" s="82"/>
      <c r="U2446" s="82"/>
      <c r="V2446" s="82"/>
      <c r="W2446" s="82"/>
      <c r="X2446" s="82"/>
      <c r="Y2446" s="82"/>
      <c r="Z2446" s="82"/>
      <c r="AA2446" s="82"/>
      <c r="AB2446" s="82"/>
      <c r="AC2446" s="82"/>
      <c r="AD2446" s="82"/>
      <c r="AE2446" s="82"/>
      <c r="AF2446" s="82"/>
      <c r="AG2446" s="82"/>
      <c r="AH2446" s="82"/>
      <c r="AI2446" s="82"/>
      <c r="AJ2446" s="82"/>
      <c r="AK2446" s="82"/>
      <c r="AL2446" s="82"/>
      <c r="AM2446" s="82"/>
      <c r="AN2446" s="82">
        <f>IFERROR(__xludf.DUMMYFUNCTION("""COMPUTED_VALUE"""),0.0)</f>
        <v>0</v>
      </c>
      <c r="AO2446" s="82">
        <f>IFERROR(__xludf.DUMMYFUNCTION("""COMPUTED_VALUE"""),0.0)</f>
        <v>0</v>
      </c>
      <c r="AP2446" s="82">
        <f>IFERROR(__xludf.DUMMYFUNCTION("""COMPUTED_VALUE"""),0.0)</f>
        <v>0</v>
      </c>
      <c r="AQ2446" s="82">
        <f>IFERROR(__xludf.DUMMYFUNCTION("""COMPUTED_VALUE"""),0.0)</f>
        <v>0</v>
      </c>
      <c r="AR2446" s="82">
        <f>IFERROR(__xludf.DUMMYFUNCTION("""COMPUTED_VALUE"""),0.0)</f>
        <v>0</v>
      </c>
      <c r="AS2446" s="82"/>
      <c r="AT2446" s="82">
        <f>IFERROR(__xludf.DUMMYFUNCTION("""COMPUTED_VALUE"""),0.0)</f>
        <v>0</v>
      </c>
      <c r="AU2446" s="82"/>
      <c r="AV2446" s="82"/>
      <c r="AW2446" s="82" t="str">
        <f t="shared" si="1"/>
        <v/>
      </c>
      <c r="AX2446" s="83" t="str">
        <f t="array" ref="AX2446">IFERROR(DGET('SBV Import'!A:G,"SBV",{"RSC ID","Tier";B2446,A2446}))</f>
        <v/>
      </c>
      <c r="AY2446" s="82" t="str">
        <f t="shared" si="2"/>
        <v/>
      </c>
      <c r="AZ2446" s="82"/>
      <c r="BA2446" s="84" t="s">
        <v>152</v>
      </c>
      <c r="BB2446" s="84" t="str">
        <f>IFERROR(__xludf.DUMMYFUNCTION("iferror(if(A2446="""",,E2446&gt;=FILTER(Constants!$F$2:$F$10,Constants!$A$2:$A$10=A2446)))"),"")</f>
        <v/>
      </c>
    </row>
    <row r="2447">
      <c r="A2447" s="89"/>
      <c r="B2447" s="87"/>
      <c r="C2447" s="73"/>
      <c r="D2447" s="73"/>
      <c r="E2447" s="82"/>
      <c r="F2447" s="82"/>
      <c r="G2447" s="86"/>
      <c r="H2447" s="86"/>
      <c r="I2447" s="86"/>
      <c r="J2447" s="82"/>
      <c r="K2447" s="82"/>
      <c r="L2447" s="82"/>
      <c r="M2447" s="82"/>
      <c r="N2447" s="82"/>
      <c r="O2447" s="82"/>
      <c r="P2447" s="82"/>
      <c r="Q2447" s="82"/>
      <c r="R2447" s="82"/>
      <c r="S2447" s="82"/>
      <c r="T2447" s="82"/>
      <c r="U2447" s="82"/>
      <c r="V2447" s="82"/>
      <c r="W2447" s="82"/>
      <c r="X2447" s="82"/>
      <c r="Y2447" s="82"/>
      <c r="Z2447" s="82"/>
      <c r="AA2447" s="82"/>
      <c r="AB2447" s="82"/>
      <c r="AC2447" s="82"/>
      <c r="AD2447" s="82"/>
      <c r="AE2447" s="82"/>
      <c r="AF2447" s="82"/>
      <c r="AG2447" s="82"/>
      <c r="AH2447" s="82"/>
      <c r="AI2447" s="82"/>
      <c r="AJ2447" s="82"/>
      <c r="AK2447" s="82"/>
      <c r="AL2447" s="82"/>
      <c r="AM2447" s="82"/>
      <c r="AN2447" s="82">
        <f>IFERROR(__xludf.DUMMYFUNCTION("""COMPUTED_VALUE"""),0.0)</f>
        <v>0</v>
      </c>
      <c r="AO2447" s="82">
        <f>IFERROR(__xludf.DUMMYFUNCTION("""COMPUTED_VALUE"""),0.0)</f>
        <v>0</v>
      </c>
      <c r="AP2447" s="82">
        <f>IFERROR(__xludf.DUMMYFUNCTION("""COMPUTED_VALUE"""),0.0)</f>
        <v>0</v>
      </c>
      <c r="AQ2447" s="82">
        <f>IFERROR(__xludf.DUMMYFUNCTION("""COMPUTED_VALUE"""),0.0)</f>
        <v>0</v>
      </c>
      <c r="AR2447" s="82">
        <f>IFERROR(__xludf.DUMMYFUNCTION("""COMPUTED_VALUE"""),0.0)</f>
        <v>0</v>
      </c>
      <c r="AS2447" s="82"/>
      <c r="AT2447" s="82">
        <f>IFERROR(__xludf.DUMMYFUNCTION("""COMPUTED_VALUE"""),0.0)</f>
        <v>0</v>
      </c>
      <c r="AU2447" s="82"/>
      <c r="AV2447" s="82"/>
      <c r="AW2447" s="82" t="str">
        <f t="shared" si="1"/>
        <v/>
      </c>
      <c r="AX2447" s="83" t="str">
        <f t="array" ref="AX2447">IFERROR(DGET('SBV Import'!A:G,"SBV",{"RSC ID","Tier";B2447,A2447}))</f>
        <v/>
      </c>
      <c r="AY2447" s="82" t="str">
        <f t="shared" si="2"/>
        <v/>
      </c>
      <c r="AZ2447" s="82"/>
      <c r="BA2447" s="84" t="s">
        <v>152</v>
      </c>
      <c r="BB2447" s="84" t="str">
        <f>IFERROR(__xludf.DUMMYFUNCTION("iferror(if(A2447="""",,E2447&gt;=FILTER(Constants!$F$2:$F$10,Constants!$A$2:$A$10=A2447)))"),"")</f>
        <v/>
      </c>
    </row>
    <row r="2448">
      <c r="A2448" s="89"/>
      <c r="B2448" s="87"/>
      <c r="C2448" s="73"/>
      <c r="D2448" s="73"/>
      <c r="E2448" s="82"/>
      <c r="F2448" s="82"/>
      <c r="G2448" s="86"/>
      <c r="H2448" s="86"/>
      <c r="I2448" s="86"/>
      <c r="J2448" s="82"/>
      <c r="K2448" s="82"/>
      <c r="L2448" s="82"/>
      <c r="M2448" s="82"/>
      <c r="N2448" s="82"/>
      <c r="O2448" s="82"/>
      <c r="P2448" s="82"/>
      <c r="Q2448" s="82"/>
      <c r="R2448" s="82"/>
      <c r="S2448" s="82"/>
      <c r="T2448" s="82"/>
      <c r="U2448" s="82"/>
      <c r="V2448" s="82"/>
      <c r="W2448" s="82"/>
      <c r="X2448" s="82"/>
      <c r="Y2448" s="82"/>
      <c r="Z2448" s="82"/>
      <c r="AA2448" s="82"/>
      <c r="AB2448" s="82"/>
      <c r="AC2448" s="82"/>
      <c r="AD2448" s="82"/>
      <c r="AE2448" s="82"/>
      <c r="AF2448" s="82"/>
      <c r="AG2448" s="82"/>
      <c r="AH2448" s="82"/>
      <c r="AI2448" s="82"/>
      <c r="AJ2448" s="82"/>
      <c r="AK2448" s="82"/>
      <c r="AL2448" s="82"/>
      <c r="AM2448" s="82"/>
      <c r="AN2448" s="82">
        <f>IFERROR(__xludf.DUMMYFUNCTION("""COMPUTED_VALUE"""),0.0)</f>
        <v>0</v>
      </c>
      <c r="AO2448" s="82">
        <f>IFERROR(__xludf.DUMMYFUNCTION("""COMPUTED_VALUE"""),0.0)</f>
        <v>0</v>
      </c>
      <c r="AP2448" s="82">
        <f>IFERROR(__xludf.DUMMYFUNCTION("""COMPUTED_VALUE"""),0.0)</f>
        <v>0</v>
      </c>
      <c r="AQ2448" s="82">
        <f>IFERROR(__xludf.DUMMYFUNCTION("""COMPUTED_VALUE"""),0.0)</f>
        <v>0</v>
      </c>
      <c r="AR2448" s="82">
        <f>IFERROR(__xludf.DUMMYFUNCTION("""COMPUTED_VALUE"""),0.0)</f>
        <v>0</v>
      </c>
      <c r="AS2448" s="82"/>
      <c r="AT2448" s="82">
        <f>IFERROR(__xludf.DUMMYFUNCTION("""COMPUTED_VALUE"""),0.0)</f>
        <v>0</v>
      </c>
      <c r="AU2448" s="82"/>
      <c r="AV2448" s="82"/>
      <c r="AW2448" s="82" t="str">
        <f t="shared" si="1"/>
        <v/>
      </c>
      <c r="AX2448" s="83" t="str">
        <f t="array" ref="AX2448">IFERROR(DGET('SBV Import'!A:G,"SBV",{"RSC ID","Tier";B2448,A2448}))</f>
        <v/>
      </c>
      <c r="AY2448" s="82" t="str">
        <f t="shared" si="2"/>
        <v/>
      </c>
      <c r="AZ2448" s="82"/>
      <c r="BA2448" s="84" t="s">
        <v>152</v>
      </c>
      <c r="BB2448" s="84" t="str">
        <f>IFERROR(__xludf.DUMMYFUNCTION("iferror(if(A2448="""",,E2448&gt;=FILTER(Constants!$F$2:$F$10,Constants!$A$2:$A$10=A2448)))"),"")</f>
        <v/>
      </c>
    </row>
    <row r="2449">
      <c r="A2449" s="89"/>
      <c r="B2449" s="87"/>
      <c r="C2449" s="73"/>
      <c r="D2449" s="73"/>
      <c r="E2449" s="82"/>
      <c r="F2449" s="82"/>
      <c r="G2449" s="86"/>
      <c r="H2449" s="86"/>
      <c r="I2449" s="86"/>
      <c r="J2449" s="82"/>
      <c r="K2449" s="82"/>
      <c r="L2449" s="82"/>
      <c r="M2449" s="82"/>
      <c r="N2449" s="82"/>
      <c r="O2449" s="82"/>
      <c r="P2449" s="82"/>
      <c r="Q2449" s="82"/>
      <c r="R2449" s="82"/>
      <c r="S2449" s="82"/>
      <c r="T2449" s="82"/>
      <c r="U2449" s="82"/>
      <c r="V2449" s="82"/>
      <c r="W2449" s="82"/>
      <c r="X2449" s="82"/>
      <c r="Y2449" s="82"/>
      <c r="Z2449" s="82"/>
      <c r="AA2449" s="82"/>
      <c r="AB2449" s="82"/>
      <c r="AC2449" s="82"/>
      <c r="AD2449" s="82"/>
      <c r="AE2449" s="82"/>
      <c r="AF2449" s="82"/>
      <c r="AG2449" s="82"/>
      <c r="AH2449" s="82"/>
      <c r="AI2449" s="82"/>
      <c r="AJ2449" s="82"/>
      <c r="AK2449" s="82"/>
      <c r="AL2449" s="82"/>
      <c r="AM2449" s="82"/>
      <c r="AN2449" s="82">
        <f>IFERROR(__xludf.DUMMYFUNCTION("""COMPUTED_VALUE"""),0.0)</f>
        <v>0</v>
      </c>
      <c r="AO2449" s="82">
        <f>IFERROR(__xludf.DUMMYFUNCTION("""COMPUTED_VALUE"""),0.0)</f>
        <v>0</v>
      </c>
      <c r="AP2449" s="82">
        <f>IFERROR(__xludf.DUMMYFUNCTION("""COMPUTED_VALUE"""),0.0)</f>
        <v>0</v>
      </c>
      <c r="AQ2449" s="82">
        <f>IFERROR(__xludf.DUMMYFUNCTION("""COMPUTED_VALUE"""),0.0)</f>
        <v>0</v>
      </c>
      <c r="AR2449" s="82">
        <f>IFERROR(__xludf.DUMMYFUNCTION("""COMPUTED_VALUE"""),0.0)</f>
        <v>0</v>
      </c>
      <c r="AS2449" s="82"/>
      <c r="AT2449" s="82">
        <f>IFERROR(__xludf.DUMMYFUNCTION("""COMPUTED_VALUE"""),0.0)</f>
        <v>0</v>
      </c>
      <c r="AU2449" s="82"/>
      <c r="AV2449" s="82"/>
      <c r="AW2449" s="82" t="str">
        <f t="shared" si="1"/>
        <v/>
      </c>
      <c r="AX2449" s="83" t="str">
        <f t="array" ref="AX2449">IFERROR(DGET('SBV Import'!A:G,"SBV",{"RSC ID","Tier";B2449,A2449}))</f>
        <v/>
      </c>
      <c r="AY2449" s="82" t="str">
        <f t="shared" si="2"/>
        <v/>
      </c>
      <c r="AZ2449" s="82"/>
      <c r="BA2449" s="84" t="s">
        <v>152</v>
      </c>
      <c r="BB2449" s="84" t="str">
        <f>IFERROR(__xludf.DUMMYFUNCTION("iferror(if(A2449="""",,E2449&gt;=FILTER(Constants!$F$2:$F$10,Constants!$A$2:$A$10=A2449)))"),"")</f>
        <v/>
      </c>
    </row>
    <row r="2450">
      <c r="A2450" s="89"/>
      <c r="B2450" s="87"/>
      <c r="C2450" s="73"/>
      <c r="D2450" s="73"/>
      <c r="E2450" s="82"/>
      <c r="F2450" s="82"/>
      <c r="G2450" s="86"/>
      <c r="H2450" s="86"/>
      <c r="I2450" s="86"/>
      <c r="J2450" s="82"/>
      <c r="K2450" s="82"/>
      <c r="L2450" s="82"/>
      <c r="M2450" s="82"/>
      <c r="N2450" s="82"/>
      <c r="O2450" s="82"/>
      <c r="P2450" s="82"/>
      <c r="Q2450" s="82"/>
      <c r="R2450" s="82"/>
      <c r="S2450" s="82"/>
      <c r="T2450" s="82"/>
      <c r="U2450" s="82"/>
      <c r="V2450" s="82"/>
      <c r="W2450" s="82"/>
      <c r="X2450" s="82"/>
      <c r="Y2450" s="82"/>
      <c r="Z2450" s="82"/>
      <c r="AA2450" s="82"/>
      <c r="AB2450" s="82"/>
      <c r="AC2450" s="82"/>
      <c r="AD2450" s="82"/>
      <c r="AE2450" s="82"/>
      <c r="AF2450" s="82"/>
      <c r="AG2450" s="82"/>
      <c r="AH2450" s="82"/>
      <c r="AI2450" s="82"/>
      <c r="AJ2450" s="82"/>
      <c r="AK2450" s="82"/>
      <c r="AL2450" s="82"/>
      <c r="AM2450" s="82"/>
      <c r="AN2450" s="82">
        <f>IFERROR(__xludf.DUMMYFUNCTION("""COMPUTED_VALUE"""),0.0)</f>
        <v>0</v>
      </c>
      <c r="AO2450" s="82">
        <f>IFERROR(__xludf.DUMMYFUNCTION("""COMPUTED_VALUE"""),0.0)</f>
        <v>0</v>
      </c>
      <c r="AP2450" s="82">
        <f>IFERROR(__xludf.DUMMYFUNCTION("""COMPUTED_VALUE"""),0.0)</f>
        <v>0</v>
      </c>
      <c r="AQ2450" s="82">
        <f>IFERROR(__xludf.DUMMYFUNCTION("""COMPUTED_VALUE"""),0.0)</f>
        <v>0</v>
      </c>
      <c r="AR2450" s="82">
        <f>IFERROR(__xludf.DUMMYFUNCTION("""COMPUTED_VALUE"""),0.0)</f>
        <v>0</v>
      </c>
      <c r="AS2450" s="82"/>
      <c r="AT2450" s="82">
        <f>IFERROR(__xludf.DUMMYFUNCTION("""COMPUTED_VALUE"""),0.0)</f>
        <v>0</v>
      </c>
      <c r="AU2450" s="82"/>
      <c r="AV2450" s="82"/>
      <c r="AW2450" s="82" t="str">
        <f t="shared" si="1"/>
        <v/>
      </c>
      <c r="AX2450" s="83" t="str">
        <f t="array" ref="AX2450">IFERROR(DGET('SBV Import'!A:G,"SBV",{"RSC ID","Tier";B2450,A2450}))</f>
        <v/>
      </c>
      <c r="AY2450" s="82" t="str">
        <f t="shared" si="2"/>
        <v/>
      </c>
      <c r="AZ2450" s="82"/>
      <c r="BA2450" s="84" t="s">
        <v>152</v>
      </c>
      <c r="BB2450" s="84" t="str">
        <f>IFERROR(__xludf.DUMMYFUNCTION("iferror(if(A2450="""",,E2450&gt;=FILTER(Constants!$F$2:$F$10,Constants!$A$2:$A$10=A2450)))"),"")</f>
        <v/>
      </c>
    </row>
    <row r="2451">
      <c r="A2451" s="89"/>
      <c r="B2451" s="87"/>
      <c r="C2451" s="73"/>
      <c r="D2451" s="73"/>
      <c r="E2451" s="82"/>
      <c r="F2451" s="82"/>
      <c r="G2451" s="86"/>
      <c r="H2451" s="86"/>
      <c r="I2451" s="86"/>
      <c r="J2451" s="82"/>
      <c r="K2451" s="82"/>
      <c r="L2451" s="82"/>
      <c r="M2451" s="82"/>
      <c r="N2451" s="82"/>
      <c r="O2451" s="82"/>
      <c r="P2451" s="82"/>
      <c r="Q2451" s="82"/>
      <c r="R2451" s="82"/>
      <c r="S2451" s="82"/>
      <c r="T2451" s="82"/>
      <c r="U2451" s="82"/>
      <c r="V2451" s="82"/>
      <c r="W2451" s="82"/>
      <c r="X2451" s="82"/>
      <c r="Y2451" s="82"/>
      <c r="Z2451" s="82"/>
      <c r="AA2451" s="82"/>
      <c r="AB2451" s="82"/>
      <c r="AC2451" s="82"/>
      <c r="AD2451" s="82"/>
      <c r="AE2451" s="82"/>
      <c r="AF2451" s="82"/>
      <c r="AG2451" s="82"/>
      <c r="AH2451" s="82"/>
      <c r="AI2451" s="82"/>
      <c r="AJ2451" s="82"/>
      <c r="AK2451" s="82"/>
      <c r="AL2451" s="82"/>
      <c r="AM2451" s="82"/>
      <c r="AN2451" s="82">
        <f>IFERROR(__xludf.DUMMYFUNCTION("""COMPUTED_VALUE"""),0.0)</f>
        <v>0</v>
      </c>
      <c r="AO2451" s="82">
        <f>IFERROR(__xludf.DUMMYFUNCTION("""COMPUTED_VALUE"""),0.0)</f>
        <v>0</v>
      </c>
      <c r="AP2451" s="82">
        <f>IFERROR(__xludf.DUMMYFUNCTION("""COMPUTED_VALUE"""),0.0)</f>
        <v>0</v>
      </c>
      <c r="AQ2451" s="82">
        <f>IFERROR(__xludf.DUMMYFUNCTION("""COMPUTED_VALUE"""),0.0)</f>
        <v>0</v>
      </c>
      <c r="AR2451" s="82">
        <f>IFERROR(__xludf.DUMMYFUNCTION("""COMPUTED_VALUE"""),0.0)</f>
        <v>0</v>
      </c>
      <c r="AS2451" s="82"/>
      <c r="AT2451" s="82">
        <f>IFERROR(__xludf.DUMMYFUNCTION("""COMPUTED_VALUE"""),0.0)</f>
        <v>0</v>
      </c>
      <c r="AU2451" s="82"/>
      <c r="AV2451" s="82"/>
      <c r="AW2451" s="82" t="str">
        <f t="shared" si="1"/>
        <v/>
      </c>
      <c r="AX2451" s="83" t="str">
        <f t="array" ref="AX2451">IFERROR(DGET('SBV Import'!A:G,"SBV",{"RSC ID","Tier";B2451,A2451}))</f>
        <v/>
      </c>
      <c r="AY2451" s="82" t="str">
        <f t="shared" si="2"/>
        <v/>
      </c>
      <c r="AZ2451" s="82"/>
      <c r="BA2451" s="84" t="s">
        <v>152</v>
      </c>
      <c r="BB2451" s="84" t="str">
        <f>IFERROR(__xludf.DUMMYFUNCTION("iferror(if(A2451="""",,E2451&gt;=FILTER(Constants!$F$2:$F$10,Constants!$A$2:$A$10=A2451)))"),"")</f>
        <v/>
      </c>
    </row>
    <row r="2452">
      <c r="A2452" s="89"/>
      <c r="B2452" s="87"/>
      <c r="C2452" s="73"/>
      <c r="D2452" s="73"/>
      <c r="E2452" s="82"/>
      <c r="F2452" s="82"/>
      <c r="G2452" s="86"/>
      <c r="H2452" s="86"/>
      <c r="I2452" s="86"/>
      <c r="J2452" s="82"/>
      <c r="K2452" s="82"/>
      <c r="L2452" s="82"/>
      <c r="M2452" s="82"/>
      <c r="N2452" s="82"/>
      <c r="O2452" s="82"/>
      <c r="P2452" s="82"/>
      <c r="Q2452" s="82"/>
      <c r="R2452" s="82"/>
      <c r="S2452" s="82"/>
      <c r="T2452" s="82"/>
      <c r="U2452" s="82"/>
      <c r="V2452" s="82"/>
      <c r="W2452" s="82"/>
      <c r="X2452" s="82"/>
      <c r="Y2452" s="82"/>
      <c r="Z2452" s="82"/>
      <c r="AA2452" s="82"/>
      <c r="AB2452" s="82"/>
      <c r="AC2452" s="82"/>
      <c r="AD2452" s="82"/>
      <c r="AE2452" s="82"/>
      <c r="AF2452" s="82"/>
      <c r="AG2452" s="82"/>
      <c r="AH2452" s="82"/>
      <c r="AI2452" s="82"/>
      <c r="AJ2452" s="82"/>
      <c r="AK2452" s="82"/>
      <c r="AL2452" s="82"/>
      <c r="AM2452" s="82"/>
      <c r="AN2452" s="82">
        <f>IFERROR(__xludf.DUMMYFUNCTION("""COMPUTED_VALUE"""),0.0)</f>
        <v>0</v>
      </c>
      <c r="AO2452" s="82">
        <f>IFERROR(__xludf.DUMMYFUNCTION("""COMPUTED_VALUE"""),0.0)</f>
        <v>0</v>
      </c>
      <c r="AP2452" s="82">
        <f>IFERROR(__xludf.DUMMYFUNCTION("""COMPUTED_VALUE"""),0.0)</f>
        <v>0</v>
      </c>
      <c r="AQ2452" s="82">
        <f>IFERROR(__xludf.DUMMYFUNCTION("""COMPUTED_VALUE"""),0.0)</f>
        <v>0</v>
      </c>
      <c r="AR2452" s="82">
        <f>IFERROR(__xludf.DUMMYFUNCTION("""COMPUTED_VALUE"""),0.0)</f>
        <v>0</v>
      </c>
      <c r="AS2452" s="82"/>
      <c r="AT2452" s="82">
        <f>IFERROR(__xludf.DUMMYFUNCTION("""COMPUTED_VALUE"""),0.0)</f>
        <v>0</v>
      </c>
      <c r="AU2452" s="82"/>
      <c r="AV2452" s="82"/>
      <c r="AW2452" s="82" t="str">
        <f t="shared" si="1"/>
        <v/>
      </c>
      <c r="AX2452" s="83" t="str">
        <f t="array" ref="AX2452">IFERROR(DGET('SBV Import'!A:G,"SBV",{"RSC ID","Tier";B2452,A2452}))</f>
        <v/>
      </c>
      <c r="AY2452" s="82" t="str">
        <f t="shared" si="2"/>
        <v/>
      </c>
      <c r="AZ2452" s="82"/>
      <c r="BA2452" s="84" t="s">
        <v>152</v>
      </c>
      <c r="BB2452" s="84" t="str">
        <f>IFERROR(__xludf.DUMMYFUNCTION("iferror(if(A2452="""",,E2452&gt;=FILTER(Constants!$F$2:$F$10,Constants!$A$2:$A$10=A2452)))"),"")</f>
        <v/>
      </c>
    </row>
    <row r="2453">
      <c r="A2453" s="89"/>
      <c r="B2453" s="87"/>
      <c r="C2453" s="73"/>
      <c r="D2453" s="73"/>
      <c r="E2453" s="82"/>
      <c r="F2453" s="82"/>
      <c r="G2453" s="86"/>
      <c r="H2453" s="86"/>
      <c r="I2453" s="86"/>
      <c r="J2453" s="82"/>
      <c r="K2453" s="82"/>
      <c r="L2453" s="82"/>
      <c r="M2453" s="82"/>
      <c r="N2453" s="82"/>
      <c r="O2453" s="82"/>
      <c r="P2453" s="82"/>
      <c r="Q2453" s="82"/>
      <c r="R2453" s="82"/>
      <c r="S2453" s="82"/>
      <c r="T2453" s="82"/>
      <c r="U2453" s="82"/>
      <c r="V2453" s="82"/>
      <c r="W2453" s="82"/>
      <c r="X2453" s="82"/>
      <c r="Y2453" s="82"/>
      <c r="Z2453" s="82"/>
      <c r="AA2453" s="82"/>
      <c r="AB2453" s="82"/>
      <c r="AC2453" s="82"/>
      <c r="AD2453" s="82"/>
      <c r="AE2453" s="82"/>
      <c r="AF2453" s="82"/>
      <c r="AG2453" s="82"/>
      <c r="AH2453" s="82"/>
      <c r="AI2453" s="82"/>
      <c r="AJ2453" s="82"/>
      <c r="AK2453" s="82"/>
      <c r="AL2453" s="82"/>
      <c r="AM2453" s="82"/>
      <c r="AN2453" s="82">
        <f>IFERROR(__xludf.DUMMYFUNCTION("""COMPUTED_VALUE"""),0.0)</f>
        <v>0</v>
      </c>
      <c r="AO2453" s="82">
        <f>IFERROR(__xludf.DUMMYFUNCTION("""COMPUTED_VALUE"""),0.0)</f>
        <v>0</v>
      </c>
      <c r="AP2453" s="82">
        <f>IFERROR(__xludf.DUMMYFUNCTION("""COMPUTED_VALUE"""),0.0)</f>
        <v>0</v>
      </c>
      <c r="AQ2453" s="82">
        <f>IFERROR(__xludf.DUMMYFUNCTION("""COMPUTED_VALUE"""),0.0)</f>
        <v>0</v>
      </c>
      <c r="AR2453" s="82">
        <f>IFERROR(__xludf.DUMMYFUNCTION("""COMPUTED_VALUE"""),0.0)</f>
        <v>0</v>
      </c>
      <c r="AS2453" s="82"/>
      <c r="AT2453" s="82">
        <f>IFERROR(__xludf.DUMMYFUNCTION("""COMPUTED_VALUE"""),0.0)</f>
        <v>0</v>
      </c>
      <c r="AU2453" s="82"/>
      <c r="AV2453" s="82"/>
      <c r="AW2453" s="82" t="str">
        <f t="shared" si="1"/>
        <v/>
      </c>
      <c r="AX2453" s="83" t="str">
        <f t="array" ref="AX2453">IFERROR(DGET('SBV Import'!A:G,"SBV",{"RSC ID","Tier";B2453,A2453}))</f>
        <v/>
      </c>
      <c r="AY2453" s="82" t="str">
        <f t="shared" si="2"/>
        <v/>
      </c>
      <c r="AZ2453" s="82"/>
      <c r="BA2453" s="84" t="s">
        <v>152</v>
      </c>
      <c r="BB2453" s="84" t="str">
        <f>IFERROR(__xludf.DUMMYFUNCTION("iferror(if(A2453="""",,E2453&gt;=FILTER(Constants!$F$2:$F$10,Constants!$A$2:$A$10=A2453)))"),"")</f>
        <v/>
      </c>
    </row>
    <row r="2454">
      <c r="A2454" s="89"/>
      <c r="B2454" s="87"/>
      <c r="C2454" s="73"/>
      <c r="D2454" s="73"/>
      <c r="E2454" s="82"/>
      <c r="F2454" s="82"/>
      <c r="G2454" s="86"/>
      <c r="H2454" s="86"/>
      <c r="I2454" s="86"/>
      <c r="J2454" s="82"/>
      <c r="K2454" s="82"/>
      <c r="L2454" s="82"/>
      <c r="M2454" s="82"/>
      <c r="N2454" s="82"/>
      <c r="O2454" s="82"/>
      <c r="P2454" s="82"/>
      <c r="Q2454" s="82"/>
      <c r="R2454" s="82"/>
      <c r="S2454" s="82"/>
      <c r="T2454" s="82"/>
      <c r="U2454" s="82"/>
      <c r="V2454" s="82"/>
      <c r="W2454" s="82"/>
      <c r="X2454" s="82"/>
      <c r="Y2454" s="82"/>
      <c r="Z2454" s="82"/>
      <c r="AA2454" s="82"/>
      <c r="AB2454" s="82"/>
      <c r="AC2454" s="82"/>
      <c r="AD2454" s="82"/>
      <c r="AE2454" s="82"/>
      <c r="AF2454" s="82"/>
      <c r="AG2454" s="82"/>
      <c r="AH2454" s="82"/>
      <c r="AI2454" s="82"/>
      <c r="AJ2454" s="82"/>
      <c r="AK2454" s="82"/>
      <c r="AL2454" s="82"/>
      <c r="AM2454" s="82"/>
      <c r="AN2454" s="82">
        <f>IFERROR(__xludf.DUMMYFUNCTION("""COMPUTED_VALUE"""),0.0)</f>
        <v>0</v>
      </c>
      <c r="AO2454" s="82">
        <f>IFERROR(__xludf.DUMMYFUNCTION("""COMPUTED_VALUE"""),0.0)</f>
        <v>0</v>
      </c>
      <c r="AP2454" s="82">
        <f>IFERROR(__xludf.DUMMYFUNCTION("""COMPUTED_VALUE"""),0.0)</f>
        <v>0</v>
      </c>
      <c r="AQ2454" s="82">
        <f>IFERROR(__xludf.DUMMYFUNCTION("""COMPUTED_VALUE"""),0.0)</f>
        <v>0</v>
      </c>
      <c r="AR2454" s="82">
        <f>IFERROR(__xludf.DUMMYFUNCTION("""COMPUTED_VALUE"""),0.0)</f>
        <v>0</v>
      </c>
      <c r="AS2454" s="82"/>
      <c r="AT2454" s="82">
        <f>IFERROR(__xludf.DUMMYFUNCTION("""COMPUTED_VALUE"""),0.0)</f>
        <v>0</v>
      </c>
      <c r="AU2454" s="82"/>
      <c r="AV2454" s="82"/>
      <c r="AW2454" s="82" t="str">
        <f t="shared" si="1"/>
        <v/>
      </c>
      <c r="AX2454" s="83" t="str">
        <f t="array" ref="AX2454">IFERROR(DGET('SBV Import'!A:G,"SBV",{"RSC ID","Tier";B2454,A2454}))</f>
        <v/>
      </c>
      <c r="AY2454" s="82" t="str">
        <f t="shared" si="2"/>
        <v/>
      </c>
      <c r="AZ2454" s="82"/>
      <c r="BA2454" s="84" t="s">
        <v>152</v>
      </c>
      <c r="BB2454" s="84" t="str">
        <f>IFERROR(__xludf.DUMMYFUNCTION("iferror(if(A2454="""",,E2454&gt;=FILTER(Constants!$F$2:$F$10,Constants!$A$2:$A$10=A2454)))"),"")</f>
        <v/>
      </c>
    </row>
    <row r="2455">
      <c r="A2455" s="89"/>
      <c r="B2455" s="87"/>
      <c r="C2455" s="73"/>
      <c r="D2455" s="73"/>
      <c r="E2455" s="82"/>
      <c r="F2455" s="82"/>
      <c r="G2455" s="86"/>
      <c r="H2455" s="86"/>
      <c r="I2455" s="86"/>
      <c r="J2455" s="82"/>
      <c r="K2455" s="82"/>
      <c r="L2455" s="82"/>
      <c r="M2455" s="82"/>
      <c r="N2455" s="82"/>
      <c r="O2455" s="82"/>
      <c r="P2455" s="82"/>
      <c r="Q2455" s="82"/>
      <c r="R2455" s="82"/>
      <c r="S2455" s="82"/>
      <c r="T2455" s="82"/>
      <c r="U2455" s="82"/>
      <c r="V2455" s="82"/>
      <c r="W2455" s="82"/>
      <c r="X2455" s="82"/>
      <c r="Y2455" s="82"/>
      <c r="Z2455" s="82"/>
      <c r="AA2455" s="82"/>
      <c r="AB2455" s="82"/>
      <c r="AC2455" s="82"/>
      <c r="AD2455" s="82"/>
      <c r="AE2455" s="82"/>
      <c r="AF2455" s="82"/>
      <c r="AG2455" s="82"/>
      <c r="AH2455" s="82"/>
      <c r="AI2455" s="82"/>
      <c r="AJ2455" s="82"/>
      <c r="AK2455" s="82"/>
      <c r="AL2455" s="82"/>
      <c r="AM2455" s="82"/>
      <c r="AN2455" s="82">
        <f>IFERROR(__xludf.DUMMYFUNCTION("""COMPUTED_VALUE"""),0.0)</f>
        <v>0</v>
      </c>
      <c r="AO2455" s="82">
        <f>IFERROR(__xludf.DUMMYFUNCTION("""COMPUTED_VALUE"""),0.0)</f>
        <v>0</v>
      </c>
      <c r="AP2455" s="82">
        <f>IFERROR(__xludf.DUMMYFUNCTION("""COMPUTED_VALUE"""),0.0)</f>
        <v>0</v>
      </c>
      <c r="AQ2455" s="82">
        <f>IFERROR(__xludf.DUMMYFUNCTION("""COMPUTED_VALUE"""),0.0)</f>
        <v>0</v>
      </c>
      <c r="AR2455" s="82">
        <f>IFERROR(__xludf.DUMMYFUNCTION("""COMPUTED_VALUE"""),0.0)</f>
        <v>0</v>
      </c>
      <c r="AS2455" s="82"/>
      <c r="AT2455" s="82">
        <f>IFERROR(__xludf.DUMMYFUNCTION("""COMPUTED_VALUE"""),0.0)</f>
        <v>0</v>
      </c>
      <c r="AU2455" s="82"/>
      <c r="AV2455" s="82"/>
      <c r="AW2455" s="82" t="str">
        <f t="shared" si="1"/>
        <v/>
      </c>
      <c r="AX2455" s="83" t="str">
        <f t="array" ref="AX2455">IFERROR(DGET('SBV Import'!A:G,"SBV",{"RSC ID","Tier";B2455,A2455}))</f>
        <v/>
      </c>
      <c r="AY2455" s="82" t="str">
        <f t="shared" si="2"/>
        <v/>
      </c>
      <c r="AZ2455" s="82"/>
      <c r="BA2455" s="84" t="s">
        <v>152</v>
      </c>
      <c r="BB2455" s="84" t="str">
        <f>IFERROR(__xludf.DUMMYFUNCTION("iferror(if(A2455="""",,E2455&gt;=FILTER(Constants!$F$2:$F$10,Constants!$A$2:$A$10=A2455)))"),"")</f>
        <v/>
      </c>
    </row>
    <row r="2456">
      <c r="A2456" s="89"/>
      <c r="B2456" s="87"/>
      <c r="C2456" s="73"/>
      <c r="D2456" s="73"/>
      <c r="E2456" s="82"/>
      <c r="F2456" s="82"/>
      <c r="G2456" s="86"/>
      <c r="H2456" s="86"/>
      <c r="I2456" s="86"/>
      <c r="J2456" s="82"/>
      <c r="K2456" s="82"/>
      <c r="L2456" s="82"/>
      <c r="M2456" s="82"/>
      <c r="N2456" s="82"/>
      <c r="O2456" s="82"/>
      <c r="P2456" s="82"/>
      <c r="Q2456" s="82"/>
      <c r="R2456" s="82"/>
      <c r="S2456" s="82"/>
      <c r="T2456" s="82"/>
      <c r="U2456" s="82"/>
      <c r="V2456" s="82"/>
      <c r="W2456" s="82"/>
      <c r="X2456" s="82"/>
      <c r="Y2456" s="82"/>
      <c r="Z2456" s="82"/>
      <c r="AA2456" s="82"/>
      <c r="AB2456" s="82"/>
      <c r="AC2456" s="82"/>
      <c r="AD2456" s="82"/>
      <c r="AE2456" s="82"/>
      <c r="AF2456" s="82"/>
      <c r="AG2456" s="82"/>
      <c r="AH2456" s="82"/>
      <c r="AI2456" s="82"/>
      <c r="AJ2456" s="82"/>
      <c r="AK2456" s="82"/>
      <c r="AL2456" s="82"/>
      <c r="AM2456" s="82"/>
      <c r="AN2456" s="82">
        <f>IFERROR(__xludf.DUMMYFUNCTION("""COMPUTED_VALUE"""),0.0)</f>
        <v>0</v>
      </c>
      <c r="AO2456" s="82">
        <f>IFERROR(__xludf.DUMMYFUNCTION("""COMPUTED_VALUE"""),0.0)</f>
        <v>0</v>
      </c>
      <c r="AP2456" s="82">
        <f>IFERROR(__xludf.DUMMYFUNCTION("""COMPUTED_VALUE"""),0.0)</f>
        <v>0</v>
      </c>
      <c r="AQ2456" s="82">
        <f>IFERROR(__xludf.DUMMYFUNCTION("""COMPUTED_VALUE"""),0.0)</f>
        <v>0</v>
      </c>
      <c r="AR2456" s="82">
        <f>IFERROR(__xludf.DUMMYFUNCTION("""COMPUTED_VALUE"""),0.0)</f>
        <v>0</v>
      </c>
      <c r="AS2456" s="82"/>
      <c r="AT2456" s="82">
        <f>IFERROR(__xludf.DUMMYFUNCTION("""COMPUTED_VALUE"""),0.0)</f>
        <v>0</v>
      </c>
      <c r="AU2456" s="82"/>
      <c r="AV2456" s="82"/>
      <c r="AW2456" s="82" t="str">
        <f t="shared" si="1"/>
        <v/>
      </c>
      <c r="AX2456" s="83" t="str">
        <f t="array" ref="AX2456">IFERROR(DGET('SBV Import'!A:G,"SBV",{"RSC ID","Tier";B2456,A2456}))</f>
        <v/>
      </c>
      <c r="AY2456" s="82" t="str">
        <f t="shared" si="2"/>
        <v/>
      </c>
      <c r="AZ2456" s="82"/>
      <c r="BA2456" s="84" t="s">
        <v>152</v>
      </c>
      <c r="BB2456" s="84" t="str">
        <f>IFERROR(__xludf.DUMMYFUNCTION("iferror(if(A2456="""",,E2456&gt;=FILTER(Constants!$F$2:$F$10,Constants!$A$2:$A$10=A2456)))"),"")</f>
        <v/>
      </c>
    </row>
    <row r="2457">
      <c r="A2457" s="89"/>
      <c r="B2457" s="87"/>
      <c r="C2457" s="73"/>
      <c r="D2457" s="73"/>
      <c r="E2457" s="82"/>
      <c r="F2457" s="82"/>
      <c r="G2457" s="86"/>
      <c r="H2457" s="86"/>
      <c r="I2457" s="86"/>
      <c r="J2457" s="82"/>
      <c r="K2457" s="82"/>
      <c r="L2457" s="82"/>
      <c r="M2457" s="82"/>
      <c r="N2457" s="82"/>
      <c r="O2457" s="82"/>
      <c r="P2457" s="82"/>
      <c r="Q2457" s="82"/>
      <c r="R2457" s="82"/>
      <c r="S2457" s="82"/>
      <c r="T2457" s="82"/>
      <c r="U2457" s="82"/>
      <c r="V2457" s="82"/>
      <c r="W2457" s="82"/>
      <c r="X2457" s="82"/>
      <c r="Y2457" s="82"/>
      <c r="Z2457" s="82"/>
      <c r="AA2457" s="82"/>
      <c r="AB2457" s="82"/>
      <c r="AC2457" s="82"/>
      <c r="AD2457" s="82"/>
      <c r="AE2457" s="82"/>
      <c r="AF2457" s="82"/>
      <c r="AG2457" s="82"/>
      <c r="AH2457" s="82"/>
      <c r="AI2457" s="82"/>
      <c r="AJ2457" s="82"/>
      <c r="AK2457" s="82"/>
      <c r="AL2457" s="82"/>
      <c r="AM2457" s="82"/>
      <c r="AN2457" s="82">
        <f>IFERROR(__xludf.DUMMYFUNCTION("""COMPUTED_VALUE"""),0.0)</f>
        <v>0</v>
      </c>
      <c r="AO2457" s="82">
        <f>IFERROR(__xludf.DUMMYFUNCTION("""COMPUTED_VALUE"""),0.0)</f>
        <v>0</v>
      </c>
      <c r="AP2457" s="82">
        <f>IFERROR(__xludf.DUMMYFUNCTION("""COMPUTED_VALUE"""),0.0)</f>
        <v>0</v>
      </c>
      <c r="AQ2457" s="82">
        <f>IFERROR(__xludf.DUMMYFUNCTION("""COMPUTED_VALUE"""),0.0)</f>
        <v>0</v>
      </c>
      <c r="AR2457" s="82">
        <f>IFERROR(__xludf.DUMMYFUNCTION("""COMPUTED_VALUE"""),0.0)</f>
        <v>0</v>
      </c>
      <c r="AS2457" s="82"/>
      <c r="AT2457" s="82">
        <f>IFERROR(__xludf.DUMMYFUNCTION("""COMPUTED_VALUE"""),0.0)</f>
        <v>0</v>
      </c>
      <c r="AU2457" s="82"/>
      <c r="AV2457" s="82"/>
      <c r="AW2457" s="82" t="str">
        <f t="shared" si="1"/>
        <v/>
      </c>
      <c r="AX2457" s="83" t="str">
        <f t="array" ref="AX2457">IFERROR(DGET('SBV Import'!A:G,"SBV",{"RSC ID","Tier";B2457,A2457}))</f>
        <v/>
      </c>
      <c r="AY2457" s="82" t="str">
        <f t="shared" si="2"/>
        <v/>
      </c>
      <c r="AZ2457" s="82"/>
      <c r="BA2457" s="84" t="s">
        <v>152</v>
      </c>
      <c r="BB2457" s="84" t="str">
        <f>IFERROR(__xludf.DUMMYFUNCTION("iferror(if(A2457="""",,E2457&gt;=FILTER(Constants!$F$2:$F$10,Constants!$A$2:$A$10=A2457)))"),"")</f>
        <v/>
      </c>
    </row>
    <row r="2458">
      <c r="A2458" s="89"/>
      <c r="B2458" s="87"/>
      <c r="C2458" s="73"/>
      <c r="D2458" s="73"/>
      <c r="E2458" s="82"/>
      <c r="F2458" s="82"/>
      <c r="G2458" s="86"/>
      <c r="H2458" s="86"/>
      <c r="I2458" s="86"/>
      <c r="J2458" s="82"/>
      <c r="K2458" s="82"/>
      <c r="L2458" s="82"/>
      <c r="M2458" s="82"/>
      <c r="N2458" s="82"/>
      <c r="O2458" s="82"/>
      <c r="P2458" s="82"/>
      <c r="Q2458" s="82"/>
      <c r="R2458" s="82"/>
      <c r="S2458" s="82"/>
      <c r="T2458" s="82"/>
      <c r="U2458" s="82"/>
      <c r="V2458" s="82"/>
      <c r="W2458" s="82"/>
      <c r="X2458" s="82"/>
      <c r="Y2458" s="82"/>
      <c r="Z2458" s="82"/>
      <c r="AA2458" s="82"/>
      <c r="AB2458" s="82"/>
      <c r="AC2458" s="82"/>
      <c r="AD2458" s="82"/>
      <c r="AE2458" s="82"/>
      <c r="AF2458" s="82"/>
      <c r="AG2458" s="82"/>
      <c r="AH2458" s="82"/>
      <c r="AI2458" s="82"/>
      <c r="AJ2458" s="82"/>
      <c r="AK2458" s="82"/>
      <c r="AL2458" s="82"/>
      <c r="AM2458" s="82"/>
      <c r="AN2458" s="82">
        <f>IFERROR(__xludf.DUMMYFUNCTION("""COMPUTED_VALUE"""),0.0)</f>
        <v>0</v>
      </c>
      <c r="AO2458" s="82">
        <f>IFERROR(__xludf.DUMMYFUNCTION("""COMPUTED_VALUE"""),0.0)</f>
        <v>0</v>
      </c>
      <c r="AP2458" s="82">
        <f>IFERROR(__xludf.DUMMYFUNCTION("""COMPUTED_VALUE"""),0.0)</f>
        <v>0</v>
      </c>
      <c r="AQ2458" s="82">
        <f>IFERROR(__xludf.DUMMYFUNCTION("""COMPUTED_VALUE"""),0.0)</f>
        <v>0</v>
      </c>
      <c r="AR2458" s="82">
        <f>IFERROR(__xludf.DUMMYFUNCTION("""COMPUTED_VALUE"""),0.0)</f>
        <v>0</v>
      </c>
      <c r="AS2458" s="82"/>
      <c r="AT2458" s="82">
        <f>IFERROR(__xludf.DUMMYFUNCTION("""COMPUTED_VALUE"""),0.0)</f>
        <v>0</v>
      </c>
      <c r="AU2458" s="82"/>
      <c r="AV2458" s="82"/>
      <c r="AW2458" s="82" t="str">
        <f t="shared" si="1"/>
        <v/>
      </c>
      <c r="AX2458" s="83" t="str">
        <f t="array" ref="AX2458">IFERROR(DGET('SBV Import'!A:G,"SBV",{"RSC ID","Tier";B2458,A2458}))</f>
        <v/>
      </c>
      <c r="AY2458" s="82" t="str">
        <f t="shared" si="2"/>
        <v/>
      </c>
      <c r="AZ2458" s="82"/>
      <c r="BA2458" s="84" t="s">
        <v>152</v>
      </c>
      <c r="BB2458" s="84" t="str">
        <f>IFERROR(__xludf.DUMMYFUNCTION("iferror(if(A2458="""",,E2458&gt;=FILTER(Constants!$F$2:$F$10,Constants!$A$2:$A$10=A2458)))"),"")</f>
        <v/>
      </c>
    </row>
    <row r="2459">
      <c r="A2459" s="89"/>
      <c r="B2459" s="87"/>
      <c r="C2459" s="73"/>
      <c r="D2459" s="73"/>
      <c r="E2459" s="82"/>
      <c r="F2459" s="82"/>
      <c r="G2459" s="86"/>
      <c r="H2459" s="86"/>
      <c r="I2459" s="86"/>
      <c r="J2459" s="82"/>
      <c r="K2459" s="82"/>
      <c r="L2459" s="82"/>
      <c r="M2459" s="82"/>
      <c r="N2459" s="82"/>
      <c r="O2459" s="82"/>
      <c r="P2459" s="82"/>
      <c r="Q2459" s="82"/>
      <c r="R2459" s="82"/>
      <c r="S2459" s="82"/>
      <c r="T2459" s="82"/>
      <c r="U2459" s="82"/>
      <c r="V2459" s="82"/>
      <c r="W2459" s="82"/>
      <c r="X2459" s="82"/>
      <c r="Y2459" s="82"/>
      <c r="Z2459" s="82"/>
      <c r="AA2459" s="82"/>
      <c r="AB2459" s="82"/>
      <c r="AC2459" s="82"/>
      <c r="AD2459" s="82"/>
      <c r="AE2459" s="82"/>
      <c r="AF2459" s="82"/>
      <c r="AG2459" s="82"/>
      <c r="AH2459" s="82"/>
      <c r="AI2459" s="82"/>
      <c r="AJ2459" s="82"/>
      <c r="AK2459" s="82"/>
      <c r="AL2459" s="82"/>
      <c r="AM2459" s="82"/>
      <c r="AN2459" s="82">
        <f>IFERROR(__xludf.DUMMYFUNCTION("""COMPUTED_VALUE"""),0.0)</f>
        <v>0</v>
      </c>
      <c r="AO2459" s="82">
        <f>IFERROR(__xludf.DUMMYFUNCTION("""COMPUTED_VALUE"""),0.0)</f>
        <v>0</v>
      </c>
      <c r="AP2459" s="82">
        <f>IFERROR(__xludf.DUMMYFUNCTION("""COMPUTED_VALUE"""),0.0)</f>
        <v>0</v>
      </c>
      <c r="AQ2459" s="82">
        <f>IFERROR(__xludf.DUMMYFUNCTION("""COMPUTED_VALUE"""),0.0)</f>
        <v>0</v>
      </c>
      <c r="AR2459" s="82">
        <f>IFERROR(__xludf.DUMMYFUNCTION("""COMPUTED_VALUE"""),0.0)</f>
        <v>0</v>
      </c>
      <c r="AS2459" s="82"/>
      <c r="AT2459" s="82">
        <f>IFERROR(__xludf.DUMMYFUNCTION("""COMPUTED_VALUE"""),0.0)</f>
        <v>0</v>
      </c>
      <c r="AU2459" s="82"/>
      <c r="AV2459" s="82"/>
      <c r="AW2459" s="82" t="str">
        <f t="shared" si="1"/>
        <v/>
      </c>
      <c r="AX2459" s="83" t="str">
        <f t="array" ref="AX2459">IFERROR(DGET('SBV Import'!A:G,"SBV",{"RSC ID","Tier";B2459,A2459}))</f>
        <v/>
      </c>
      <c r="AY2459" s="82" t="str">
        <f t="shared" si="2"/>
        <v/>
      </c>
      <c r="AZ2459" s="82"/>
      <c r="BA2459" s="84" t="s">
        <v>152</v>
      </c>
      <c r="BB2459" s="84" t="str">
        <f>IFERROR(__xludf.DUMMYFUNCTION("iferror(if(A2459="""",,E2459&gt;=FILTER(Constants!$F$2:$F$10,Constants!$A$2:$A$10=A2459)))"),"")</f>
        <v/>
      </c>
    </row>
    <row r="2460">
      <c r="A2460" s="89"/>
      <c r="B2460" s="87"/>
      <c r="C2460" s="73"/>
      <c r="D2460" s="73"/>
      <c r="E2460" s="82"/>
      <c r="F2460" s="82"/>
      <c r="G2460" s="86"/>
      <c r="H2460" s="86"/>
      <c r="I2460" s="86"/>
      <c r="J2460" s="82"/>
      <c r="K2460" s="82"/>
      <c r="L2460" s="82"/>
      <c r="M2460" s="82"/>
      <c r="N2460" s="82"/>
      <c r="O2460" s="82"/>
      <c r="P2460" s="82"/>
      <c r="Q2460" s="82"/>
      <c r="R2460" s="82"/>
      <c r="S2460" s="82"/>
      <c r="T2460" s="82"/>
      <c r="U2460" s="82"/>
      <c r="V2460" s="82"/>
      <c r="W2460" s="82"/>
      <c r="X2460" s="82"/>
      <c r="Y2460" s="82"/>
      <c r="Z2460" s="82"/>
      <c r="AA2460" s="82"/>
      <c r="AB2460" s="82"/>
      <c r="AC2460" s="82"/>
      <c r="AD2460" s="82"/>
      <c r="AE2460" s="82"/>
      <c r="AF2460" s="82"/>
      <c r="AG2460" s="82"/>
      <c r="AH2460" s="82"/>
      <c r="AI2460" s="82"/>
      <c r="AJ2460" s="82"/>
      <c r="AK2460" s="82"/>
      <c r="AL2460" s="82"/>
      <c r="AM2460" s="82"/>
      <c r="AN2460" s="82">
        <f>IFERROR(__xludf.DUMMYFUNCTION("""COMPUTED_VALUE"""),0.0)</f>
        <v>0</v>
      </c>
      <c r="AO2460" s="82">
        <f>IFERROR(__xludf.DUMMYFUNCTION("""COMPUTED_VALUE"""),0.0)</f>
        <v>0</v>
      </c>
      <c r="AP2460" s="82">
        <f>IFERROR(__xludf.DUMMYFUNCTION("""COMPUTED_VALUE"""),0.0)</f>
        <v>0</v>
      </c>
      <c r="AQ2460" s="82">
        <f>IFERROR(__xludf.DUMMYFUNCTION("""COMPUTED_VALUE"""),0.0)</f>
        <v>0</v>
      </c>
      <c r="AR2460" s="82">
        <f>IFERROR(__xludf.DUMMYFUNCTION("""COMPUTED_VALUE"""),0.0)</f>
        <v>0</v>
      </c>
      <c r="AS2460" s="82"/>
      <c r="AT2460" s="82">
        <f>IFERROR(__xludf.DUMMYFUNCTION("""COMPUTED_VALUE"""),0.0)</f>
        <v>0</v>
      </c>
      <c r="AU2460" s="82"/>
      <c r="AV2460" s="82"/>
      <c r="AW2460" s="82" t="str">
        <f t="shared" si="1"/>
        <v/>
      </c>
      <c r="AX2460" s="83" t="str">
        <f t="array" ref="AX2460">IFERROR(DGET('SBV Import'!A:G,"SBV",{"RSC ID","Tier";B2460,A2460}))</f>
        <v/>
      </c>
      <c r="AY2460" s="82" t="str">
        <f t="shared" si="2"/>
        <v/>
      </c>
      <c r="AZ2460" s="82"/>
      <c r="BA2460" s="84" t="s">
        <v>152</v>
      </c>
      <c r="BB2460" s="84" t="str">
        <f>IFERROR(__xludf.DUMMYFUNCTION("iferror(if(A2460="""",,E2460&gt;=FILTER(Constants!$F$2:$F$10,Constants!$A$2:$A$10=A2460)))"),"")</f>
        <v/>
      </c>
    </row>
    <row r="2461">
      <c r="A2461" s="89"/>
      <c r="B2461" s="87"/>
      <c r="C2461" s="73"/>
      <c r="D2461" s="73"/>
      <c r="E2461" s="82"/>
      <c r="F2461" s="82"/>
      <c r="G2461" s="86"/>
      <c r="H2461" s="86"/>
      <c r="I2461" s="86"/>
      <c r="J2461" s="82"/>
      <c r="K2461" s="82"/>
      <c r="L2461" s="82"/>
      <c r="M2461" s="82"/>
      <c r="N2461" s="82"/>
      <c r="O2461" s="82"/>
      <c r="P2461" s="82"/>
      <c r="Q2461" s="82"/>
      <c r="R2461" s="82"/>
      <c r="S2461" s="82"/>
      <c r="T2461" s="82"/>
      <c r="U2461" s="82"/>
      <c r="V2461" s="82"/>
      <c r="W2461" s="82"/>
      <c r="X2461" s="82"/>
      <c r="Y2461" s="82"/>
      <c r="Z2461" s="82"/>
      <c r="AA2461" s="82"/>
      <c r="AB2461" s="82"/>
      <c r="AC2461" s="82"/>
      <c r="AD2461" s="82"/>
      <c r="AE2461" s="82"/>
      <c r="AF2461" s="82"/>
      <c r="AG2461" s="82"/>
      <c r="AH2461" s="82"/>
      <c r="AI2461" s="82"/>
      <c r="AJ2461" s="82"/>
      <c r="AK2461" s="82"/>
      <c r="AL2461" s="82"/>
      <c r="AM2461" s="82"/>
      <c r="AN2461" s="82">
        <f>IFERROR(__xludf.DUMMYFUNCTION("""COMPUTED_VALUE"""),0.0)</f>
        <v>0</v>
      </c>
      <c r="AO2461" s="82">
        <f>IFERROR(__xludf.DUMMYFUNCTION("""COMPUTED_VALUE"""),0.0)</f>
        <v>0</v>
      </c>
      <c r="AP2461" s="82">
        <f>IFERROR(__xludf.DUMMYFUNCTION("""COMPUTED_VALUE"""),0.0)</f>
        <v>0</v>
      </c>
      <c r="AQ2461" s="82">
        <f>IFERROR(__xludf.DUMMYFUNCTION("""COMPUTED_VALUE"""),0.0)</f>
        <v>0</v>
      </c>
      <c r="AR2461" s="82">
        <f>IFERROR(__xludf.DUMMYFUNCTION("""COMPUTED_VALUE"""),0.0)</f>
        <v>0</v>
      </c>
      <c r="AS2461" s="82"/>
      <c r="AT2461" s="82">
        <f>IFERROR(__xludf.DUMMYFUNCTION("""COMPUTED_VALUE"""),0.0)</f>
        <v>0</v>
      </c>
      <c r="AU2461" s="82"/>
      <c r="AV2461" s="82"/>
      <c r="AW2461" s="82" t="str">
        <f t="shared" si="1"/>
        <v/>
      </c>
      <c r="AX2461" s="83" t="str">
        <f t="array" ref="AX2461">IFERROR(DGET('SBV Import'!A:G,"SBV",{"RSC ID","Tier";B2461,A2461}))</f>
        <v/>
      </c>
      <c r="AY2461" s="82" t="str">
        <f t="shared" si="2"/>
        <v/>
      </c>
      <c r="AZ2461" s="82"/>
      <c r="BA2461" s="84" t="s">
        <v>152</v>
      </c>
      <c r="BB2461" s="84" t="str">
        <f>IFERROR(__xludf.DUMMYFUNCTION("iferror(if(A2461="""",,E2461&gt;=FILTER(Constants!$F$2:$F$10,Constants!$A$2:$A$10=A2461)))"),"")</f>
        <v/>
      </c>
    </row>
    <row r="2462">
      <c r="A2462" s="89"/>
      <c r="B2462" s="87"/>
      <c r="C2462" s="73"/>
      <c r="D2462" s="73"/>
      <c r="E2462" s="82"/>
      <c r="F2462" s="82"/>
      <c r="G2462" s="86"/>
      <c r="H2462" s="86"/>
      <c r="I2462" s="86"/>
      <c r="J2462" s="82"/>
      <c r="K2462" s="82"/>
      <c r="L2462" s="82"/>
      <c r="M2462" s="82"/>
      <c r="N2462" s="82"/>
      <c r="O2462" s="82"/>
      <c r="P2462" s="82"/>
      <c r="Q2462" s="82"/>
      <c r="R2462" s="82"/>
      <c r="S2462" s="82"/>
      <c r="T2462" s="82"/>
      <c r="U2462" s="82"/>
      <c r="V2462" s="82"/>
      <c r="W2462" s="82"/>
      <c r="X2462" s="82"/>
      <c r="Y2462" s="82"/>
      <c r="Z2462" s="82"/>
      <c r="AA2462" s="82"/>
      <c r="AB2462" s="82"/>
      <c r="AC2462" s="82"/>
      <c r="AD2462" s="82"/>
      <c r="AE2462" s="82"/>
      <c r="AF2462" s="82"/>
      <c r="AG2462" s="82"/>
      <c r="AH2462" s="82"/>
      <c r="AI2462" s="82"/>
      <c r="AJ2462" s="82"/>
      <c r="AK2462" s="82"/>
      <c r="AL2462" s="82"/>
      <c r="AM2462" s="82"/>
      <c r="AN2462" s="82">
        <f>IFERROR(__xludf.DUMMYFUNCTION("""COMPUTED_VALUE"""),0.0)</f>
        <v>0</v>
      </c>
      <c r="AO2462" s="82">
        <f>IFERROR(__xludf.DUMMYFUNCTION("""COMPUTED_VALUE"""),0.0)</f>
        <v>0</v>
      </c>
      <c r="AP2462" s="82">
        <f>IFERROR(__xludf.DUMMYFUNCTION("""COMPUTED_VALUE"""),0.0)</f>
        <v>0</v>
      </c>
      <c r="AQ2462" s="82">
        <f>IFERROR(__xludf.DUMMYFUNCTION("""COMPUTED_VALUE"""),0.0)</f>
        <v>0</v>
      </c>
      <c r="AR2462" s="82">
        <f>IFERROR(__xludf.DUMMYFUNCTION("""COMPUTED_VALUE"""),0.0)</f>
        <v>0</v>
      </c>
      <c r="AS2462" s="82"/>
      <c r="AT2462" s="82">
        <f>IFERROR(__xludf.DUMMYFUNCTION("""COMPUTED_VALUE"""),0.0)</f>
        <v>0</v>
      </c>
      <c r="AU2462" s="82"/>
      <c r="AV2462" s="82"/>
      <c r="AW2462" s="82" t="str">
        <f t="shared" si="1"/>
        <v/>
      </c>
      <c r="AX2462" s="83" t="str">
        <f t="array" ref="AX2462">IFERROR(DGET('SBV Import'!A:G,"SBV",{"RSC ID","Tier";B2462,A2462}))</f>
        <v/>
      </c>
      <c r="AY2462" s="82" t="str">
        <f t="shared" si="2"/>
        <v/>
      </c>
      <c r="AZ2462" s="82"/>
      <c r="BA2462" s="84" t="s">
        <v>152</v>
      </c>
      <c r="BB2462" s="84" t="str">
        <f>IFERROR(__xludf.DUMMYFUNCTION("iferror(if(A2462="""",,E2462&gt;=FILTER(Constants!$F$2:$F$10,Constants!$A$2:$A$10=A2462)))"),"")</f>
        <v/>
      </c>
    </row>
    <row r="2463">
      <c r="A2463" s="89"/>
      <c r="B2463" s="87"/>
      <c r="C2463" s="73"/>
      <c r="D2463" s="73"/>
      <c r="E2463" s="82"/>
      <c r="F2463" s="82"/>
      <c r="G2463" s="86"/>
      <c r="H2463" s="86"/>
      <c r="I2463" s="86"/>
      <c r="J2463" s="82"/>
      <c r="K2463" s="82"/>
      <c r="L2463" s="82"/>
      <c r="M2463" s="82"/>
      <c r="N2463" s="82"/>
      <c r="O2463" s="82"/>
      <c r="P2463" s="82"/>
      <c r="Q2463" s="82"/>
      <c r="R2463" s="82"/>
      <c r="S2463" s="82"/>
      <c r="T2463" s="82"/>
      <c r="U2463" s="82"/>
      <c r="V2463" s="82"/>
      <c r="W2463" s="82"/>
      <c r="X2463" s="82"/>
      <c r="Y2463" s="82"/>
      <c r="Z2463" s="82"/>
      <c r="AA2463" s="82"/>
      <c r="AB2463" s="82"/>
      <c r="AC2463" s="82"/>
      <c r="AD2463" s="82"/>
      <c r="AE2463" s="82"/>
      <c r="AF2463" s="82"/>
      <c r="AG2463" s="82"/>
      <c r="AH2463" s="82"/>
      <c r="AI2463" s="82"/>
      <c r="AJ2463" s="82"/>
      <c r="AK2463" s="82"/>
      <c r="AL2463" s="82"/>
      <c r="AM2463" s="82"/>
      <c r="AN2463" s="82">
        <f>IFERROR(__xludf.DUMMYFUNCTION("""COMPUTED_VALUE"""),0.0)</f>
        <v>0</v>
      </c>
      <c r="AO2463" s="82">
        <f>IFERROR(__xludf.DUMMYFUNCTION("""COMPUTED_VALUE"""),0.0)</f>
        <v>0</v>
      </c>
      <c r="AP2463" s="82">
        <f>IFERROR(__xludf.DUMMYFUNCTION("""COMPUTED_VALUE"""),0.0)</f>
        <v>0</v>
      </c>
      <c r="AQ2463" s="82">
        <f>IFERROR(__xludf.DUMMYFUNCTION("""COMPUTED_VALUE"""),0.0)</f>
        <v>0</v>
      </c>
      <c r="AR2463" s="82">
        <f>IFERROR(__xludf.DUMMYFUNCTION("""COMPUTED_VALUE"""),0.0)</f>
        <v>0</v>
      </c>
      <c r="AS2463" s="82"/>
      <c r="AT2463" s="82">
        <f>IFERROR(__xludf.DUMMYFUNCTION("""COMPUTED_VALUE"""),0.0)</f>
        <v>0</v>
      </c>
      <c r="AU2463" s="82"/>
      <c r="AV2463" s="82"/>
      <c r="AW2463" s="82" t="str">
        <f t="shared" si="1"/>
        <v/>
      </c>
      <c r="AX2463" s="83" t="str">
        <f t="array" ref="AX2463">IFERROR(DGET('SBV Import'!A:G,"SBV",{"RSC ID","Tier";B2463,A2463}))</f>
        <v/>
      </c>
      <c r="AY2463" s="82" t="str">
        <f t="shared" si="2"/>
        <v/>
      </c>
      <c r="AZ2463" s="82"/>
      <c r="BA2463" s="84" t="s">
        <v>152</v>
      </c>
      <c r="BB2463" s="84" t="str">
        <f>IFERROR(__xludf.DUMMYFUNCTION("iferror(if(A2463="""",,E2463&gt;=FILTER(Constants!$F$2:$F$10,Constants!$A$2:$A$10=A2463)))"),"")</f>
        <v/>
      </c>
    </row>
    <row r="2464">
      <c r="A2464" s="89"/>
      <c r="B2464" s="87"/>
      <c r="C2464" s="73"/>
      <c r="D2464" s="73"/>
      <c r="E2464" s="82"/>
      <c r="F2464" s="82"/>
      <c r="G2464" s="86"/>
      <c r="H2464" s="86"/>
      <c r="I2464" s="86"/>
      <c r="J2464" s="82"/>
      <c r="K2464" s="82"/>
      <c r="L2464" s="82"/>
      <c r="M2464" s="82"/>
      <c r="N2464" s="82"/>
      <c r="O2464" s="82"/>
      <c r="P2464" s="82"/>
      <c r="Q2464" s="82"/>
      <c r="R2464" s="82"/>
      <c r="S2464" s="82"/>
      <c r="T2464" s="82"/>
      <c r="U2464" s="82"/>
      <c r="V2464" s="82"/>
      <c r="W2464" s="82"/>
      <c r="X2464" s="82"/>
      <c r="Y2464" s="82"/>
      <c r="Z2464" s="82"/>
      <c r="AA2464" s="82"/>
      <c r="AB2464" s="82"/>
      <c r="AC2464" s="82"/>
      <c r="AD2464" s="82"/>
      <c r="AE2464" s="82"/>
      <c r="AF2464" s="82"/>
      <c r="AG2464" s="82"/>
      <c r="AH2464" s="82"/>
      <c r="AI2464" s="82"/>
      <c r="AJ2464" s="82"/>
      <c r="AK2464" s="82"/>
      <c r="AL2464" s="82"/>
      <c r="AM2464" s="82"/>
      <c r="AN2464" s="82">
        <f>IFERROR(__xludf.DUMMYFUNCTION("""COMPUTED_VALUE"""),0.0)</f>
        <v>0</v>
      </c>
      <c r="AO2464" s="82">
        <f>IFERROR(__xludf.DUMMYFUNCTION("""COMPUTED_VALUE"""),0.0)</f>
        <v>0</v>
      </c>
      <c r="AP2464" s="82">
        <f>IFERROR(__xludf.DUMMYFUNCTION("""COMPUTED_VALUE"""),0.0)</f>
        <v>0</v>
      </c>
      <c r="AQ2464" s="82">
        <f>IFERROR(__xludf.DUMMYFUNCTION("""COMPUTED_VALUE"""),0.0)</f>
        <v>0</v>
      </c>
      <c r="AR2464" s="82">
        <f>IFERROR(__xludf.DUMMYFUNCTION("""COMPUTED_VALUE"""),0.0)</f>
        <v>0</v>
      </c>
      <c r="AS2464" s="82"/>
      <c r="AT2464" s="82">
        <f>IFERROR(__xludf.DUMMYFUNCTION("""COMPUTED_VALUE"""),0.0)</f>
        <v>0</v>
      </c>
      <c r="AU2464" s="82"/>
      <c r="AV2464" s="82"/>
      <c r="AW2464" s="82" t="str">
        <f t="shared" si="1"/>
        <v/>
      </c>
      <c r="AX2464" s="83" t="str">
        <f t="array" ref="AX2464">IFERROR(DGET('SBV Import'!A:G,"SBV",{"RSC ID","Tier";B2464,A2464}))</f>
        <v/>
      </c>
      <c r="AY2464" s="82" t="str">
        <f t="shared" si="2"/>
        <v/>
      </c>
      <c r="AZ2464" s="82"/>
      <c r="BA2464" s="84" t="s">
        <v>152</v>
      </c>
      <c r="BB2464" s="84" t="str">
        <f>IFERROR(__xludf.DUMMYFUNCTION("iferror(if(A2464="""",,E2464&gt;=FILTER(Constants!$F$2:$F$10,Constants!$A$2:$A$10=A2464)))"),"")</f>
        <v/>
      </c>
    </row>
    <row r="2465">
      <c r="A2465" s="89"/>
      <c r="B2465" s="87"/>
      <c r="C2465" s="73"/>
      <c r="D2465" s="73"/>
      <c r="E2465" s="82"/>
      <c r="F2465" s="82"/>
      <c r="G2465" s="86"/>
      <c r="H2465" s="86"/>
      <c r="I2465" s="86"/>
      <c r="J2465" s="82"/>
      <c r="K2465" s="82"/>
      <c r="L2465" s="82"/>
      <c r="M2465" s="82"/>
      <c r="N2465" s="82"/>
      <c r="O2465" s="82"/>
      <c r="P2465" s="82"/>
      <c r="Q2465" s="82"/>
      <c r="R2465" s="82"/>
      <c r="S2465" s="82"/>
      <c r="T2465" s="82"/>
      <c r="U2465" s="82"/>
      <c r="V2465" s="82"/>
      <c r="W2465" s="82"/>
      <c r="X2465" s="82"/>
      <c r="Y2465" s="82"/>
      <c r="Z2465" s="82"/>
      <c r="AA2465" s="82"/>
      <c r="AB2465" s="82"/>
      <c r="AC2465" s="82"/>
      <c r="AD2465" s="82"/>
      <c r="AE2465" s="82"/>
      <c r="AF2465" s="82"/>
      <c r="AG2465" s="82"/>
      <c r="AH2465" s="82"/>
      <c r="AI2465" s="82"/>
      <c r="AJ2465" s="82"/>
      <c r="AK2465" s="82"/>
      <c r="AL2465" s="82"/>
      <c r="AM2465" s="82"/>
      <c r="AN2465" s="82">
        <f>IFERROR(__xludf.DUMMYFUNCTION("""COMPUTED_VALUE"""),0.0)</f>
        <v>0</v>
      </c>
      <c r="AO2465" s="82">
        <f>IFERROR(__xludf.DUMMYFUNCTION("""COMPUTED_VALUE"""),0.0)</f>
        <v>0</v>
      </c>
      <c r="AP2465" s="82">
        <f>IFERROR(__xludf.DUMMYFUNCTION("""COMPUTED_VALUE"""),0.0)</f>
        <v>0</v>
      </c>
      <c r="AQ2465" s="82">
        <f>IFERROR(__xludf.DUMMYFUNCTION("""COMPUTED_VALUE"""),0.0)</f>
        <v>0</v>
      </c>
      <c r="AR2465" s="82">
        <f>IFERROR(__xludf.DUMMYFUNCTION("""COMPUTED_VALUE"""),0.0)</f>
        <v>0</v>
      </c>
      <c r="AS2465" s="82"/>
      <c r="AT2465" s="82">
        <f>IFERROR(__xludf.DUMMYFUNCTION("""COMPUTED_VALUE"""),0.0)</f>
        <v>0</v>
      </c>
      <c r="AU2465" s="82"/>
      <c r="AV2465" s="82"/>
      <c r="AW2465" s="82" t="str">
        <f t="shared" si="1"/>
        <v/>
      </c>
      <c r="AX2465" s="83" t="str">
        <f t="array" ref="AX2465">IFERROR(DGET('SBV Import'!A:G,"SBV",{"RSC ID","Tier";B2465,A2465}))</f>
        <v/>
      </c>
      <c r="AY2465" s="82" t="str">
        <f t="shared" si="2"/>
        <v/>
      </c>
      <c r="AZ2465" s="82"/>
      <c r="BA2465" s="84" t="s">
        <v>152</v>
      </c>
      <c r="BB2465" s="84" t="str">
        <f>IFERROR(__xludf.DUMMYFUNCTION("iferror(if(A2465="""",,E2465&gt;=FILTER(Constants!$F$2:$F$10,Constants!$A$2:$A$10=A2465)))"),"")</f>
        <v/>
      </c>
    </row>
    <row r="2466">
      <c r="A2466" s="89"/>
      <c r="B2466" s="87"/>
      <c r="C2466" s="73"/>
      <c r="D2466" s="73"/>
      <c r="E2466" s="82"/>
      <c r="F2466" s="82"/>
      <c r="G2466" s="86"/>
      <c r="H2466" s="86"/>
      <c r="I2466" s="86"/>
      <c r="J2466" s="82"/>
      <c r="K2466" s="82"/>
      <c r="L2466" s="82"/>
      <c r="M2466" s="82"/>
      <c r="N2466" s="82"/>
      <c r="O2466" s="82"/>
      <c r="P2466" s="82"/>
      <c r="Q2466" s="82"/>
      <c r="R2466" s="82"/>
      <c r="S2466" s="82"/>
      <c r="T2466" s="82"/>
      <c r="U2466" s="82"/>
      <c r="V2466" s="82"/>
      <c r="W2466" s="82"/>
      <c r="X2466" s="82"/>
      <c r="Y2466" s="82"/>
      <c r="Z2466" s="82"/>
      <c r="AA2466" s="82"/>
      <c r="AB2466" s="82"/>
      <c r="AC2466" s="82"/>
      <c r="AD2466" s="82"/>
      <c r="AE2466" s="82"/>
      <c r="AF2466" s="82"/>
      <c r="AG2466" s="82"/>
      <c r="AH2466" s="82"/>
      <c r="AI2466" s="82"/>
      <c r="AJ2466" s="82"/>
      <c r="AK2466" s="82"/>
      <c r="AL2466" s="82"/>
      <c r="AM2466" s="82"/>
      <c r="AN2466" s="82">
        <f>IFERROR(__xludf.DUMMYFUNCTION("""COMPUTED_VALUE"""),0.0)</f>
        <v>0</v>
      </c>
      <c r="AO2466" s="82">
        <f>IFERROR(__xludf.DUMMYFUNCTION("""COMPUTED_VALUE"""),0.0)</f>
        <v>0</v>
      </c>
      <c r="AP2466" s="82">
        <f>IFERROR(__xludf.DUMMYFUNCTION("""COMPUTED_VALUE"""),0.0)</f>
        <v>0</v>
      </c>
      <c r="AQ2466" s="82">
        <f>IFERROR(__xludf.DUMMYFUNCTION("""COMPUTED_VALUE"""),0.0)</f>
        <v>0</v>
      </c>
      <c r="AR2466" s="82">
        <f>IFERROR(__xludf.DUMMYFUNCTION("""COMPUTED_VALUE"""),0.0)</f>
        <v>0</v>
      </c>
      <c r="AS2466" s="82"/>
      <c r="AT2466" s="82">
        <f>IFERROR(__xludf.DUMMYFUNCTION("""COMPUTED_VALUE"""),0.0)</f>
        <v>0</v>
      </c>
      <c r="AU2466" s="82"/>
      <c r="AV2466" s="82"/>
      <c r="AW2466" s="82" t="str">
        <f t="shared" si="1"/>
        <v/>
      </c>
      <c r="AX2466" s="83" t="str">
        <f t="array" ref="AX2466">IFERROR(DGET('SBV Import'!A:G,"SBV",{"RSC ID","Tier";B2466,A2466}))</f>
        <v/>
      </c>
      <c r="AY2466" s="82" t="str">
        <f t="shared" si="2"/>
        <v/>
      </c>
      <c r="AZ2466" s="82"/>
      <c r="BA2466" s="84" t="s">
        <v>152</v>
      </c>
      <c r="BB2466" s="84" t="str">
        <f>IFERROR(__xludf.DUMMYFUNCTION("iferror(if(A2466="""",,E2466&gt;=FILTER(Constants!$F$2:$F$10,Constants!$A$2:$A$10=A2466)))"),"")</f>
        <v/>
      </c>
    </row>
    <row r="2467">
      <c r="A2467" s="89"/>
      <c r="B2467" s="87"/>
      <c r="C2467" s="73"/>
      <c r="D2467" s="73"/>
      <c r="E2467" s="82"/>
      <c r="F2467" s="82"/>
      <c r="G2467" s="86"/>
      <c r="H2467" s="86"/>
      <c r="I2467" s="86"/>
      <c r="J2467" s="82"/>
      <c r="K2467" s="82"/>
      <c r="L2467" s="82"/>
      <c r="M2467" s="82"/>
      <c r="N2467" s="82"/>
      <c r="O2467" s="82"/>
      <c r="P2467" s="82"/>
      <c r="Q2467" s="82"/>
      <c r="R2467" s="82"/>
      <c r="S2467" s="82"/>
      <c r="T2467" s="82"/>
      <c r="U2467" s="82"/>
      <c r="V2467" s="82"/>
      <c r="W2467" s="82"/>
      <c r="X2467" s="82"/>
      <c r="Y2467" s="82"/>
      <c r="Z2467" s="82"/>
      <c r="AA2467" s="82"/>
      <c r="AB2467" s="82"/>
      <c r="AC2467" s="82"/>
      <c r="AD2467" s="82"/>
      <c r="AE2467" s="82"/>
      <c r="AF2467" s="82"/>
      <c r="AG2467" s="82"/>
      <c r="AH2467" s="82"/>
      <c r="AI2467" s="82"/>
      <c r="AJ2467" s="82"/>
      <c r="AK2467" s="82"/>
      <c r="AL2467" s="82"/>
      <c r="AM2467" s="82"/>
      <c r="AN2467" s="82">
        <f>IFERROR(__xludf.DUMMYFUNCTION("""COMPUTED_VALUE"""),0.0)</f>
        <v>0</v>
      </c>
      <c r="AO2467" s="82">
        <f>IFERROR(__xludf.DUMMYFUNCTION("""COMPUTED_VALUE"""),0.0)</f>
        <v>0</v>
      </c>
      <c r="AP2467" s="82">
        <f>IFERROR(__xludf.DUMMYFUNCTION("""COMPUTED_VALUE"""),0.0)</f>
        <v>0</v>
      </c>
      <c r="AQ2467" s="82">
        <f>IFERROR(__xludf.DUMMYFUNCTION("""COMPUTED_VALUE"""),0.0)</f>
        <v>0</v>
      </c>
      <c r="AR2467" s="82">
        <f>IFERROR(__xludf.DUMMYFUNCTION("""COMPUTED_VALUE"""),0.0)</f>
        <v>0</v>
      </c>
      <c r="AS2467" s="82"/>
      <c r="AT2467" s="82">
        <f>IFERROR(__xludf.DUMMYFUNCTION("""COMPUTED_VALUE"""),0.0)</f>
        <v>0</v>
      </c>
      <c r="AU2467" s="82"/>
      <c r="AV2467" s="82"/>
      <c r="AW2467" s="82" t="str">
        <f t="shared" si="1"/>
        <v/>
      </c>
      <c r="AX2467" s="83" t="str">
        <f t="array" ref="AX2467">IFERROR(DGET('SBV Import'!A:G,"SBV",{"RSC ID","Tier";B2467,A2467}))</f>
        <v/>
      </c>
      <c r="AY2467" s="82" t="str">
        <f t="shared" si="2"/>
        <v/>
      </c>
      <c r="AZ2467" s="82"/>
      <c r="BA2467" s="84" t="s">
        <v>152</v>
      </c>
      <c r="BB2467" s="84" t="str">
        <f>IFERROR(__xludf.DUMMYFUNCTION("iferror(if(A2467="""",,E2467&gt;=FILTER(Constants!$F$2:$F$10,Constants!$A$2:$A$10=A2467)))"),"")</f>
        <v/>
      </c>
    </row>
    <row r="2468">
      <c r="A2468" s="89"/>
      <c r="B2468" s="87"/>
      <c r="C2468" s="73"/>
      <c r="D2468" s="73"/>
      <c r="E2468" s="82"/>
      <c r="F2468" s="82"/>
      <c r="G2468" s="86"/>
      <c r="H2468" s="86"/>
      <c r="I2468" s="86"/>
      <c r="J2468" s="82"/>
      <c r="K2468" s="82"/>
      <c r="L2468" s="82"/>
      <c r="M2468" s="82"/>
      <c r="N2468" s="82"/>
      <c r="O2468" s="82"/>
      <c r="P2468" s="82"/>
      <c r="Q2468" s="82"/>
      <c r="R2468" s="82"/>
      <c r="S2468" s="82"/>
      <c r="T2468" s="82"/>
      <c r="U2468" s="82"/>
      <c r="V2468" s="82"/>
      <c r="W2468" s="82"/>
      <c r="X2468" s="82"/>
      <c r="Y2468" s="82"/>
      <c r="Z2468" s="82"/>
      <c r="AA2468" s="82"/>
      <c r="AB2468" s="82"/>
      <c r="AC2468" s="82"/>
      <c r="AD2468" s="82"/>
      <c r="AE2468" s="82"/>
      <c r="AF2468" s="82"/>
      <c r="AG2468" s="82"/>
      <c r="AH2468" s="82"/>
      <c r="AI2468" s="82"/>
      <c r="AJ2468" s="82"/>
      <c r="AK2468" s="82"/>
      <c r="AL2468" s="82"/>
      <c r="AM2468" s="82"/>
      <c r="AN2468" s="82">
        <f>IFERROR(__xludf.DUMMYFUNCTION("""COMPUTED_VALUE"""),0.0)</f>
        <v>0</v>
      </c>
      <c r="AO2468" s="82">
        <f>IFERROR(__xludf.DUMMYFUNCTION("""COMPUTED_VALUE"""),0.0)</f>
        <v>0</v>
      </c>
      <c r="AP2468" s="82">
        <f>IFERROR(__xludf.DUMMYFUNCTION("""COMPUTED_VALUE"""),0.0)</f>
        <v>0</v>
      </c>
      <c r="AQ2468" s="82">
        <f>IFERROR(__xludf.DUMMYFUNCTION("""COMPUTED_VALUE"""),0.0)</f>
        <v>0</v>
      </c>
      <c r="AR2468" s="82">
        <f>IFERROR(__xludf.DUMMYFUNCTION("""COMPUTED_VALUE"""),0.0)</f>
        <v>0</v>
      </c>
      <c r="AS2468" s="82"/>
      <c r="AT2468" s="82">
        <f>IFERROR(__xludf.DUMMYFUNCTION("""COMPUTED_VALUE"""),0.0)</f>
        <v>0</v>
      </c>
      <c r="AU2468" s="82"/>
      <c r="AV2468" s="82"/>
      <c r="AW2468" s="82" t="str">
        <f t="shared" si="1"/>
        <v/>
      </c>
      <c r="AX2468" s="83" t="str">
        <f t="array" ref="AX2468">IFERROR(DGET('SBV Import'!A:G,"SBV",{"RSC ID","Tier";B2468,A2468}))</f>
        <v/>
      </c>
      <c r="AY2468" s="82" t="str">
        <f t="shared" si="2"/>
        <v/>
      </c>
      <c r="AZ2468" s="82"/>
      <c r="BA2468" s="84" t="s">
        <v>152</v>
      </c>
      <c r="BB2468" s="84" t="str">
        <f>IFERROR(__xludf.DUMMYFUNCTION("iferror(if(A2468="""",,E2468&gt;=FILTER(Constants!$F$2:$F$10,Constants!$A$2:$A$10=A2468)))"),"")</f>
        <v/>
      </c>
    </row>
    <row r="2469">
      <c r="A2469" s="89"/>
      <c r="B2469" s="87"/>
      <c r="C2469" s="73"/>
      <c r="D2469" s="73"/>
      <c r="E2469" s="82"/>
      <c r="F2469" s="82"/>
      <c r="G2469" s="86"/>
      <c r="H2469" s="86"/>
      <c r="I2469" s="86"/>
      <c r="J2469" s="82"/>
      <c r="K2469" s="82"/>
      <c r="L2469" s="82"/>
      <c r="M2469" s="82"/>
      <c r="N2469" s="82"/>
      <c r="O2469" s="82"/>
      <c r="P2469" s="82"/>
      <c r="Q2469" s="82"/>
      <c r="R2469" s="82"/>
      <c r="S2469" s="82"/>
      <c r="T2469" s="82"/>
      <c r="U2469" s="82"/>
      <c r="V2469" s="82"/>
      <c r="W2469" s="82"/>
      <c r="X2469" s="82"/>
      <c r="Y2469" s="82"/>
      <c r="Z2469" s="82"/>
      <c r="AA2469" s="82"/>
      <c r="AB2469" s="82"/>
      <c r="AC2469" s="82"/>
      <c r="AD2469" s="82"/>
      <c r="AE2469" s="82"/>
      <c r="AF2469" s="82"/>
      <c r="AG2469" s="82"/>
      <c r="AH2469" s="82"/>
      <c r="AI2469" s="82"/>
      <c r="AJ2469" s="82"/>
      <c r="AK2469" s="82"/>
      <c r="AL2469" s="82"/>
      <c r="AM2469" s="82"/>
      <c r="AN2469" s="82">
        <f>IFERROR(__xludf.DUMMYFUNCTION("""COMPUTED_VALUE"""),0.0)</f>
        <v>0</v>
      </c>
      <c r="AO2469" s="82">
        <f>IFERROR(__xludf.DUMMYFUNCTION("""COMPUTED_VALUE"""),0.0)</f>
        <v>0</v>
      </c>
      <c r="AP2469" s="82">
        <f>IFERROR(__xludf.DUMMYFUNCTION("""COMPUTED_VALUE"""),0.0)</f>
        <v>0</v>
      </c>
      <c r="AQ2469" s="82">
        <f>IFERROR(__xludf.DUMMYFUNCTION("""COMPUTED_VALUE"""),0.0)</f>
        <v>0</v>
      </c>
      <c r="AR2469" s="82">
        <f>IFERROR(__xludf.DUMMYFUNCTION("""COMPUTED_VALUE"""),0.0)</f>
        <v>0</v>
      </c>
      <c r="AS2469" s="82"/>
      <c r="AT2469" s="82">
        <f>IFERROR(__xludf.DUMMYFUNCTION("""COMPUTED_VALUE"""),0.0)</f>
        <v>0</v>
      </c>
      <c r="AU2469" s="82"/>
      <c r="AV2469" s="82"/>
      <c r="AW2469" s="82" t="str">
        <f t="shared" si="1"/>
        <v/>
      </c>
      <c r="AX2469" s="83" t="str">
        <f t="array" ref="AX2469">IFERROR(DGET('SBV Import'!A:G,"SBV",{"RSC ID","Tier";B2469,A2469}))</f>
        <v/>
      </c>
      <c r="AY2469" s="82" t="str">
        <f t="shared" si="2"/>
        <v/>
      </c>
      <c r="AZ2469" s="82"/>
      <c r="BA2469" s="84" t="s">
        <v>152</v>
      </c>
      <c r="BB2469" s="84" t="str">
        <f>IFERROR(__xludf.DUMMYFUNCTION("iferror(if(A2469="""",,E2469&gt;=FILTER(Constants!$F$2:$F$10,Constants!$A$2:$A$10=A2469)))"),"")</f>
        <v/>
      </c>
    </row>
    <row r="2470">
      <c r="A2470" s="89"/>
      <c r="B2470" s="87"/>
      <c r="C2470" s="73"/>
      <c r="D2470" s="73"/>
      <c r="E2470" s="82"/>
      <c r="F2470" s="82"/>
      <c r="G2470" s="86"/>
      <c r="H2470" s="86"/>
      <c r="I2470" s="86"/>
      <c r="J2470" s="82"/>
      <c r="K2470" s="82"/>
      <c r="L2470" s="82"/>
      <c r="M2470" s="82"/>
      <c r="N2470" s="82"/>
      <c r="O2470" s="82"/>
      <c r="P2470" s="82"/>
      <c r="Q2470" s="82"/>
      <c r="R2470" s="82"/>
      <c r="S2470" s="82"/>
      <c r="T2470" s="82"/>
      <c r="U2470" s="82"/>
      <c r="V2470" s="82"/>
      <c r="W2470" s="82"/>
      <c r="X2470" s="82"/>
      <c r="Y2470" s="82"/>
      <c r="Z2470" s="82"/>
      <c r="AA2470" s="82"/>
      <c r="AB2470" s="82"/>
      <c r="AC2470" s="82"/>
      <c r="AD2470" s="82"/>
      <c r="AE2470" s="82"/>
      <c r="AF2470" s="82"/>
      <c r="AG2470" s="82"/>
      <c r="AH2470" s="82"/>
      <c r="AI2470" s="82"/>
      <c r="AJ2470" s="82"/>
      <c r="AK2470" s="82"/>
      <c r="AL2470" s="82"/>
      <c r="AM2470" s="82"/>
      <c r="AN2470" s="82">
        <f>IFERROR(__xludf.DUMMYFUNCTION("""COMPUTED_VALUE"""),0.0)</f>
        <v>0</v>
      </c>
      <c r="AO2470" s="82">
        <f>IFERROR(__xludf.DUMMYFUNCTION("""COMPUTED_VALUE"""),0.0)</f>
        <v>0</v>
      </c>
      <c r="AP2470" s="82">
        <f>IFERROR(__xludf.DUMMYFUNCTION("""COMPUTED_VALUE"""),0.0)</f>
        <v>0</v>
      </c>
      <c r="AQ2470" s="82">
        <f>IFERROR(__xludf.DUMMYFUNCTION("""COMPUTED_VALUE"""),0.0)</f>
        <v>0</v>
      </c>
      <c r="AR2470" s="82">
        <f>IFERROR(__xludf.DUMMYFUNCTION("""COMPUTED_VALUE"""),0.0)</f>
        <v>0</v>
      </c>
      <c r="AS2470" s="82"/>
      <c r="AT2470" s="82">
        <f>IFERROR(__xludf.DUMMYFUNCTION("""COMPUTED_VALUE"""),0.0)</f>
        <v>0</v>
      </c>
      <c r="AU2470" s="82"/>
      <c r="AV2470" s="82"/>
      <c r="AW2470" s="82" t="str">
        <f t="shared" si="1"/>
        <v/>
      </c>
      <c r="AX2470" s="83" t="str">
        <f t="array" ref="AX2470">IFERROR(DGET('SBV Import'!A:G,"SBV",{"RSC ID","Tier";B2470,A2470}))</f>
        <v/>
      </c>
      <c r="AY2470" s="82" t="str">
        <f t="shared" si="2"/>
        <v/>
      </c>
      <c r="AZ2470" s="82"/>
      <c r="BA2470" s="84" t="s">
        <v>152</v>
      </c>
      <c r="BB2470" s="84" t="str">
        <f>IFERROR(__xludf.DUMMYFUNCTION("iferror(if(A2470="""",,E2470&gt;=FILTER(Constants!$F$2:$F$10,Constants!$A$2:$A$10=A2470)))"),"")</f>
        <v/>
      </c>
    </row>
    <row r="2471">
      <c r="A2471" s="89"/>
      <c r="B2471" s="87"/>
      <c r="C2471" s="73"/>
      <c r="D2471" s="73"/>
      <c r="E2471" s="82"/>
      <c r="F2471" s="82"/>
      <c r="G2471" s="86"/>
      <c r="H2471" s="86"/>
      <c r="I2471" s="86"/>
      <c r="J2471" s="82"/>
      <c r="K2471" s="82"/>
      <c r="L2471" s="82"/>
      <c r="M2471" s="82"/>
      <c r="N2471" s="82"/>
      <c r="O2471" s="82"/>
      <c r="P2471" s="82"/>
      <c r="Q2471" s="82"/>
      <c r="R2471" s="82"/>
      <c r="S2471" s="82"/>
      <c r="T2471" s="82"/>
      <c r="U2471" s="82"/>
      <c r="V2471" s="82"/>
      <c r="W2471" s="82"/>
      <c r="X2471" s="82"/>
      <c r="Y2471" s="82"/>
      <c r="Z2471" s="82"/>
      <c r="AA2471" s="82"/>
      <c r="AB2471" s="82"/>
      <c r="AC2471" s="82"/>
      <c r="AD2471" s="82"/>
      <c r="AE2471" s="82"/>
      <c r="AF2471" s="82"/>
      <c r="AG2471" s="82"/>
      <c r="AH2471" s="82"/>
      <c r="AI2471" s="82"/>
      <c r="AJ2471" s="82"/>
      <c r="AK2471" s="82"/>
      <c r="AL2471" s="82"/>
      <c r="AM2471" s="82"/>
      <c r="AN2471" s="82">
        <f>IFERROR(__xludf.DUMMYFUNCTION("""COMPUTED_VALUE"""),0.0)</f>
        <v>0</v>
      </c>
      <c r="AO2471" s="82">
        <f>IFERROR(__xludf.DUMMYFUNCTION("""COMPUTED_VALUE"""),0.0)</f>
        <v>0</v>
      </c>
      <c r="AP2471" s="82">
        <f>IFERROR(__xludf.DUMMYFUNCTION("""COMPUTED_VALUE"""),0.0)</f>
        <v>0</v>
      </c>
      <c r="AQ2471" s="82">
        <f>IFERROR(__xludf.DUMMYFUNCTION("""COMPUTED_VALUE"""),0.0)</f>
        <v>0</v>
      </c>
      <c r="AR2471" s="82">
        <f>IFERROR(__xludf.DUMMYFUNCTION("""COMPUTED_VALUE"""),0.0)</f>
        <v>0</v>
      </c>
      <c r="AS2471" s="82"/>
      <c r="AT2471" s="82">
        <f>IFERROR(__xludf.DUMMYFUNCTION("""COMPUTED_VALUE"""),0.0)</f>
        <v>0</v>
      </c>
      <c r="AU2471" s="82"/>
      <c r="AV2471" s="82"/>
      <c r="AW2471" s="82" t="str">
        <f t="shared" si="1"/>
        <v/>
      </c>
      <c r="AX2471" s="83" t="str">
        <f t="array" ref="AX2471">IFERROR(DGET('SBV Import'!A:G,"SBV",{"RSC ID","Tier";B2471,A2471}))</f>
        <v/>
      </c>
      <c r="AY2471" s="82" t="str">
        <f t="shared" si="2"/>
        <v/>
      </c>
      <c r="AZ2471" s="82"/>
      <c r="BA2471" s="84" t="s">
        <v>152</v>
      </c>
      <c r="BB2471" s="84" t="str">
        <f>IFERROR(__xludf.DUMMYFUNCTION("iferror(if(A2471="""",,E2471&gt;=FILTER(Constants!$F$2:$F$10,Constants!$A$2:$A$10=A2471)))"),"")</f>
        <v/>
      </c>
    </row>
    <row r="2472">
      <c r="A2472" s="89"/>
      <c r="B2472" s="87"/>
      <c r="C2472" s="73"/>
      <c r="D2472" s="73"/>
      <c r="E2472" s="82"/>
      <c r="F2472" s="82"/>
      <c r="G2472" s="86"/>
      <c r="H2472" s="86"/>
      <c r="I2472" s="86"/>
      <c r="J2472" s="82"/>
      <c r="K2472" s="82"/>
      <c r="L2472" s="82"/>
      <c r="M2472" s="82"/>
      <c r="N2472" s="82"/>
      <c r="O2472" s="82"/>
      <c r="P2472" s="82"/>
      <c r="Q2472" s="82"/>
      <c r="R2472" s="82"/>
      <c r="S2472" s="82"/>
      <c r="T2472" s="82"/>
      <c r="U2472" s="82"/>
      <c r="V2472" s="82"/>
      <c r="W2472" s="82"/>
      <c r="X2472" s="82"/>
      <c r="Y2472" s="82"/>
      <c r="Z2472" s="82"/>
      <c r="AA2472" s="82"/>
      <c r="AB2472" s="82"/>
      <c r="AC2472" s="82"/>
      <c r="AD2472" s="82"/>
      <c r="AE2472" s="82"/>
      <c r="AF2472" s="82"/>
      <c r="AG2472" s="82"/>
      <c r="AH2472" s="82"/>
      <c r="AI2472" s="82"/>
      <c r="AJ2472" s="82"/>
      <c r="AK2472" s="82"/>
      <c r="AL2472" s="82"/>
      <c r="AM2472" s="82"/>
      <c r="AN2472" s="82">
        <f>IFERROR(__xludf.DUMMYFUNCTION("""COMPUTED_VALUE"""),0.0)</f>
        <v>0</v>
      </c>
      <c r="AO2472" s="82">
        <f>IFERROR(__xludf.DUMMYFUNCTION("""COMPUTED_VALUE"""),0.0)</f>
        <v>0</v>
      </c>
      <c r="AP2472" s="82">
        <f>IFERROR(__xludf.DUMMYFUNCTION("""COMPUTED_VALUE"""),0.0)</f>
        <v>0</v>
      </c>
      <c r="AQ2472" s="82">
        <f>IFERROR(__xludf.DUMMYFUNCTION("""COMPUTED_VALUE"""),0.0)</f>
        <v>0</v>
      </c>
      <c r="AR2472" s="82">
        <f>IFERROR(__xludf.DUMMYFUNCTION("""COMPUTED_VALUE"""),0.0)</f>
        <v>0</v>
      </c>
      <c r="AS2472" s="82"/>
      <c r="AT2472" s="82">
        <f>IFERROR(__xludf.DUMMYFUNCTION("""COMPUTED_VALUE"""),0.0)</f>
        <v>0</v>
      </c>
      <c r="AU2472" s="82"/>
      <c r="AV2472" s="82"/>
      <c r="AW2472" s="82" t="str">
        <f t="shared" si="1"/>
        <v/>
      </c>
      <c r="AX2472" s="83" t="str">
        <f t="array" ref="AX2472">IFERROR(DGET('SBV Import'!A:G,"SBV",{"RSC ID","Tier";B2472,A2472}))</f>
        <v/>
      </c>
      <c r="AY2472" s="82" t="str">
        <f t="shared" si="2"/>
        <v/>
      </c>
      <c r="AZ2472" s="82"/>
      <c r="BA2472" s="84" t="s">
        <v>152</v>
      </c>
      <c r="BB2472" s="84" t="str">
        <f>IFERROR(__xludf.DUMMYFUNCTION("iferror(if(A2472="""",,E2472&gt;=FILTER(Constants!$F$2:$F$10,Constants!$A$2:$A$10=A2472)))"),"")</f>
        <v/>
      </c>
    </row>
    <row r="2473">
      <c r="A2473" s="89"/>
      <c r="B2473" s="87"/>
      <c r="C2473" s="73"/>
      <c r="D2473" s="73"/>
      <c r="E2473" s="82"/>
      <c r="F2473" s="82"/>
      <c r="G2473" s="86"/>
      <c r="H2473" s="86"/>
      <c r="I2473" s="86"/>
      <c r="J2473" s="82"/>
      <c r="K2473" s="82"/>
      <c r="L2473" s="82"/>
      <c r="M2473" s="82"/>
      <c r="N2473" s="82"/>
      <c r="O2473" s="82"/>
      <c r="P2473" s="82"/>
      <c r="Q2473" s="82"/>
      <c r="R2473" s="82"/>
      <c r="S2473" s="82"/>
      <c r="T2473" s="82"/>
      <c r="U2473" s="82"/>
      <c r="V2473" s="82"/>
      <c r="W2473" s="82"/>
      <c r="X2473" s="82"/>
      <c r="Y2473" s="82"/>
      <c r="Z2473" s="82"/>
      <c r="AA2473" s="82"/>
      <c r="AB2473" s="82"/>
      <c r="AC2473" s="82"/>
      <c r="AD2473" s="82"/>
      <c r="AE2473" s="82"/>
      <c r="AF2473" s="82"/>
      <c r="AG2473" s="82"/>
      <c r="AH2473" s="82"/>
      <c r="AI2473" s="82"/>
      <c r="AJ2473" s="82"/>
      <c r="AK2473" s="82"/>
      <c r="AL2473" s="82"/>
      <c r="AM2473" s="82"/>
      <c r="AN2473" s="82">
        <f>IFERROR(__xludf.DUMMYFUNCTION("""COMPUTED_VALUE"""),0.0)</f>
        <v>0</v>
      </c>
      <c r="AO2473" s="82">
        <f>IFERROR(__xludf.DUMMYFUNCTION("""COMPUTED_VALUE"""),0.0)</f>
        <v>0</v>
      </c>
      <c r="AP2473" s="82">
        <f>IFERROR(__xludf.DUMMYFUNCTION("""COMPUTED_VALUE"""),0.0)</f>
        <v>0</v>
      </c>
      <c r="AQ2473" s="82">
        <f>IFERROR(__xludf.DUMMYFUNCTION("""COMPUTED_VALUE"""),0.0)</f>
        <v>0</v>
      </c>
      <c r="AR2473" s="82">
        <f>IFERROR(__xludf.DUMMYFUNCTION("""COMPUTED_VALUE"""),0.0)</f>
        <v>0</v>
      </c>
      <c r="AS2473" s="82"/>
      <c r="AT2473" s="82">
        <f>IFERROR(__xludf.DUMMYFUNCTION("""COMPUTED_VALUE"""),0.0)</f>
        <v>0</v>
      </c>
      <c r="AU2473" s="82"/>
      <c r="AV2473" s="82"/>
      <c r="AW2473" s="82" t="str">
        <f t="shared" si="1"/>
        <v/>
      </c>
      <c r="AX2473" s="83" t="str">
        <f t="array" ref="AX2473">IFERROR(DGET('SBV Import'!A:G,"SBV",{"RSC ID","Tier";B2473,A2473}))</f>
        <v/>
      </c>
      <c r="AY2473" s="82" t="str">
        <f t="shared" si="2"/>
        <v/>
      </c>
      <c r="AZ2473" s="82"/>
      <c r="BA2473" s="84" t="s">
        <v>152</v>
      </c>
      <c r="BB2473" s="84" t="str">
        <f>IFERROR(__xludf.DUMMYFUNCTION("iferror(if(A2473="""",,E2473&gt;=FILTER(Constants!$F$2:$F$10,Constants!$A$2:$A$10=A2473)))"),"")</f>
        <v/>
      </c>
    </row>
    <row r="2474">
      <c r="A2474" s="89"/>
      <c r="B2474" s="87"/>
      <c r="C2474" s="73"/>
      <c r="D2474" s="73"/>
      <c r="E2474" s="82"/>
      <c r="F2474" s="82"/>
      <c r="G2474" s="86"/>
      <c r="H2474" s="86"/>
      <c r="I2474" s="86"/>
      <c r="J2474" s="82"/>
      <c r="K2474" s="82"/>
      <c r="L2474" s="82"/>
      <c r="M2474" s="82"/>
      <c r="N2474" s="82"/>
      <c r="O2474" s="82"/>
      <c r="P2474" s="82"/>
      <c r="Q2474" s="82"/>
      <c r="R2474" s="82"/>
      <c r="S2474" s="82"/>
      <c r="T2474" s="82"/>
      <c r="U2474" s="82"/>
      <c r="V2474" s="82"/>
      <c r="W2474" s="82"/>
      <c r="X2474" s="82"/>
      <c r="Y2474" s="82"/>
      <c r="Z2474" s="82"/>
      <c r="AA2474" s="82"/>
      <c r="AB2474" s="82"/>
      <c r="AC2474" s="82"/>
      <c r="AD2474" s="82"/>
      <c r="AE2474" s="82"/>
      <c r="AF2474" s="82"/>
      <c r="AG2474" s="82"/>
      <c r="AH2474" s="82"/>
      <c r="AI2474" s="82"/>
      <c r="AJ2474" s="82"/>
      <c r="AK2474" s="82"/>
      <c r="AL2474" s="82"/>
      <c r="AM2474" s="82"/>
      <c r="AN2474" s="82">
        <f>IFERROR(__xludf.DUMMYFUNCTION("""COMPUTED_VALUE"""),0.0)</f>
        <v>0</v>
      </c>
      <c r="AO2474" s="82">
        <f>IFERROR(__xludf.DUMMYFUNCTION("""COMPUTED_VALUE"""),0.0)</f>
        <v>0</v>
      </c>
      <c r="AP2474" s="82">
        <f>IFERROR(__xludf.DUMMYFUNCTION("""COMPUTED_VALUE"""),0.0)</f>
        <v>0</v>
      </c>
      <c r="AQ2474" s="82">
        <f>IFERROR(__xludf.DUMMYFUNCTION("""COMPUTED_VALUE"""),0.0)</f>
        <v>0</v>
      </c>
      <c r="AR2474" s="82">
        <f>IFERROR(__xludf.DUMMYFUNCTION("""COMPUTED_VALUE"""),0.0)</f>
        <v>0</v>
      </c>
      <c r="AS2474" s="82"/>
      <c r="AT2474" s="82">
        <f>IFERROR(__xludf.DUMMYFUNCTION("""COMPUTED_VALUE"""),0.0)</f>
        <v>0</v>
      </c>
      <c r="AU2474" s="82"/>
      <c r="AV2474" s="82"/>
      <c r="AW2474" s="82" t="str">
        <f t="shared" si="1"/>
        <v/>
      </c>
      <c r="AX2474" s="83" t="str">
        <f t="array" ref="AX2474">IFERROR(DGET('SBV Import'!A:G,"SBV",{"RSC ID","Tier";B2474,A2474}))</f>
        <v/>
      </c>
      <c r="AY2474" s="82" t="str">
        <f t="shared" si="2"/>
        <v/>
      </c>
      <c r="AZ2474" s="82"/>
      <c r="BA2474" s="84" t="s">
        <v>152</v>
      </c>
      <c r="BB2474" s="84" t="str">
        <f>IFERROR(__xludf.DUMMYFUNCTION("iferror(if(A2474="""",,E2474&gt;=FILTER(Constants!$F$2:$F$10,Constants!$A$2:$A$10=A2474)))"),"")</f>
        <v/>
      </c>
    </row>
    <row r="2475">
      <c r="A2475" s="89"/>
      <c r="B2475" s="87"/>
      <c r="C2475" s="73"/>
      <c r="D2475" s="73"/>
      <c r="E2475" s="82"/>
      <c r="F2475" s="82"/>
      <c r="G2475" s="86"/>
      <c r="H2475" s="86"/>
      <c r="I2475" s="86"/>
      <c r="J2475" s="82"/>
      <c r="K2475" s="82"/>
      <c r="L2475" s="82"/>
      <c r="M2475" s="82"/>
      <c r="N2475" s="82"/>
      <c r="O2475" s="82"/>
      <c r="P2475" s="82"/>
      <c r="Q2475" s="82"/>
      <c r="R2475" s="82"/>
      <c r="S2475" s="82"/>
      <c r="T2475" s="82"/>
      <c r="U2475" s="82"/>
      <c r="V2475" s="82"/>
      <c r="W2475" s="82"/>
      <c r="X2475" s="82"/>
      <c r="Y2475" s="82"/>
      <c r="Z2475" s="82"/>
      <c r="AA2475" s="82"/>
      <c r="AB2475" s="82"/>
      <c r="AC2475" s="82"/>
      <c r="AD2475" s="82"/>
      <c r="AE2475" s="82"/>
      <c r="AF2475" s="82"/>
      <c r="AG2475" s="82"/>
      <c r="AH2475" s="82"/>
      <c r="AI2475" s="82"/>
      <c r="AJ2475" s="82"/>
      <c r="AK2475" s="82"/>
      <c r="AL2475" s="82"/>
      <c r="AM2475" s="82"/>
      <c r="AN2475" s="82">
        <f>IFERROR(__xludf.DUMMYFUNCTION("""COMPUTED_VALUE"""),0.0)</f>
        <v>0</v>
      </c>
      <c r="AO2475" s="82">
        <f>IFERROR(__xludf.DUMMYFUNCTION("""COMPUTED_VALUE"""),0.0)</f>
        <v>0</v>
      </c>
      <c r="AP2475" s="82">
        <f>IFERROR(__xludf.DUMMYFUNCTION("""COMPUTED_VALUE"""),0.0)</f>
        <v>0</v>
      </c>
      <c r="AQ2475" s="82">
        <f>IFERROR(__xludf.DUMMYFUNCTION("""COMPUTED_VALUE"""),0.0)</f>
        <v>0</v>
      </c>
      <c r="AR2475" s="82">
        <f>IFERROR(__xludf.DUMMYFUNCTION("""COMPUTED_VALUE"""),0.0)</f>
        <v>0</v>
      </c>
      <c r="AS2475" s="82"/>
      <c r="AT2475" s="82">
        <f>IFERROR(__xludf.DUMMYFUNCTION("""COMPUTED_VALUE"""),0.0)</f>
        <v>0</v>
      </c>
      <c r="AU2475" s="82"/>
      <c r="AV2475" s="82"/>
      <c r="AW2475" s="82" t="str">
        <f t="shared" si="1"/>
        <v/>
      </c>
      <c r="AX2475" s="83" t="str">
        <f t="array" ref="AX2475">IFERROR(DGET('SBV Import'!A:G,"SBV",{"RSC ID","Tier";B2475,A2475}))</f>
        <v/>
      </c>
      <c r="AY2475" s="82" t="str">
        <f t="shared" si="2"/>
        <v/>
      </c>
      <c r="AZ2475" s="82"/>
      <c r="BA2475" s="84" t="s">
        <v>152</v>
      </c>
      <c r="BB2475" s="84" t="str">
        <f>IFERROR(__xludf.DUMMYFUNCTION("iferror(if(A2475="""",,E2475&gt;=FILTER(Constants!$F$2:$F$10,Constants!$A$2:$A$10=A2475)))"),"")</f>
        <v/>
      </c>
    </row>
    <row r="2476">
      <c r="A2476" s="89"/>
      <c r="B2476" s="87"/>
      <c r="C2476" s="73"/>
      <c r="D2476" s="73"/>
      <c r="E2476" s="82"/>
      <c r="F2476" s="82"/>
      <c r="G2476" s="86"/>
      <c r="H2476" s="86"/>
      <c r="I2476" s="86"/>
      <c r="J2476" s="82"/>
      <c r="K2476" s="82"/>
      <c r="L2476" s="82"/>
      <c r="M2476" s="82"/>
      <c r="N2476" s="82"/>
      <c r="O2476" s="82"/>
      <c r="P2476" s="82"/>
      <c r="Q2476" s="82"/>
      <c r="R2476" s="82"/>
      <c r="S2476" s="82"/>
      <c r="T2476" s="82"/>
      <c r="U2476" s="82"/>
      <c r="V2476" s="82"/>
      <c r="W2476" s="82"/>
      <c r="X2476" s="82"/>
      <c r="Y2476" s="82"/>
      <c r="Z2476" s="82"/>
      <c r="AA2476" s="82"/>
      <c r="AB2476" s="82"/>
      <c r="AC2476" s="82"/>
      <c r="AD2476" s="82"/>
      <c r="AE2476" s="82"/>
      <c r="AF2476" s="82"/>
      <c r="AG2476" s="82"/>
      <c r="AH2476" s="82"/>
      <c r="AI2476" s="82"/>
      <c r="AJ2476" s="82"/>
      <c r="AK2476" s="82"/>
      <c r="AL2476" s="82"/>
      <c r="AM2476" s="82"/>
      <c r="AN2476" s="82">
        <f>IFERROR(__xludf.DUMMYFUNCTION("""COMPUTED_VALUE"""),0.0)</f>
        <v>0</v>
      </c>
      <c r="AO2476" s="82">
        <f>IFERROR(__xludf.DUMMYFUNCTION("""COMPUTED_VALUE"""),0.0)</f>
        <v>0</v>
      </c>
      <c r="AP2476" s="82">
        <f>IFERROR(__xludf.DUMMYFUNCTION("""COMPUTED_VALUE"""),0.0)</f>
        <v>0</v>
      </c>
      <c r="AQ2476" s="82">
        <f>IFERROR(__xludf.DUMMYFUNCTION("""COMPUTED_VALUE"""),0.0)</f>
        <v>0</v>
      </c>
      <c r="AR2476" s="82">
        <f>IFERROR(__xludf.DUMMYFUNCTION("""COMPUTED_VALUE"""),0.0)</f>
        <v>0</v>
      </c>
      <c r="AS2476" s="82"/>
      <c r="AT2476" s="82">
        <f>IFERROR(__xludf.DUMMYFUNCTION("""COMPUTED_VALUE"""),0.0)</f>
        <v>0</v>
      </c>
      <c r="AU2476" s="82"/>
      <c r="AV2476" s="82"/>
      <c r="AW2476" s="82" t="str">
        <f t="shared" si="1"/>
        <v/>
      </c>
      <c r="AX2476" s="83" t="str">
        <f t="array" ref="AX2476">IFERROR(DGET('SBV Import'!A:G,"SBV",{"RSC ID","Tier";B2476,A2476}))</f>
        <v/>
      </c>
      <c r="AY2476" s="82" t="str">
        <f t="shared" si="2"/>
        <v/>
      </c>
      <c r="AZ2476" s="82"/>
      <c r="BA2476" s="84" t="s">
        <v>152</v>
      </c>
      <c r="BB2476" s="84" t="str">
        <f>IFERROR(__xludf.DUMMYFUNCTION("iferror(if(A2476="""",,E2476&gt;=FILTER(Constants!$F$2:$F$10,Constants!$A$2:$A$10=A2476)))"),"")</f>
        <v/>
      </c>
    </row>
    <row r="2477">
      <c r="A2477" s="89"/>
      <c r="B2477" s="87"/>
      <c r="C2477" s="73"/>
      <c r="D2477" s="73"/>
      <c r="E2477" s="82"/>
      <c r="F2477" s="82"/>
      <c r="G2477" s="86"/>
      <c r="H2477" s="86"/>
      <c r="I2477" s="86"/>
      <c r="J2477" s="82"/>
      <c r="K2477" s="82"/>
      <c r="L2477" s="82"/>
      <c r="M2477" s="82"/>
      <c r="N2477" s="82"/>
      <c r="O2477" s="82"/>
      <c r="P2477" s="82"/>
      <c r="Q2477" s="82"/>
      <c r="R2477" s="82"/>
      <c r="S2477" s="82"/>
      <c r="T2477" s="82"/>
      <c r="U2477" s="82"/>
      <c r="V2477" s="82"/>
      <c r="W2477" s="82"/>
      <c r="X2477" s="82"/>
      <c r="Y2477" s="82"/>
      <c r="Z2477" s="82"/>
      <c r="AA2477" s="82"/>
      <c r="AB2477" s="82"/>
      <c r="AC2477" s="82"/>
      <c r="AD2477" s="82"/>
      <c r="AE2477" s="82"/>
      <c r="AF2477" s="82"/>
      <c r="AG2477" s="82"/>
      <c r="AH2477" s="82"/>
      <c r="AI2477" s="82"/>
      <c r="AJ2477" s="82"/>
      <c r="AK2477" s="82"/>
      <c r="AL2477" s="82"/>
      <c r="AM2477" s="82"/>
      <c r="AN2477" s="82">
        <f>IFERROR(__xludf.DUMMYFUNCTION("""COMPUTED_VALUE"""),0.0)</f>
        <v>0</v>
      </c>
      <c r="AO2477" s="82">
        <f>IFERROR(__xludf.DUMMYFUNCTION("""COMPUTED_VALUE"""),0.0)</f>
        <v>0</v>
      </c>
      <c r="AP2477" s="82">
        <f>IFERROR(__xludf.DUMMYFUNCTION("""COMPUTED_VALUE"""),0.0)</f>
        <v>0</v>
      </c>
      <c r="AQ2477" s="82">
        <f>IFERROR(__xludf.DUMMYFUNCTION("""COMPUTED_VALUE"""),0.0)</f>
        <v>0</v>
      </c>
      <c r="AR2477" s="82">
        <f>IFERROR(__xludf.DUMMYFUNCTION("""COMPUTED_VALUE"""),0.0)</f>
        <v>0</v>
      </c>
      <c r="AS2477" s="82"/>
      <c r="AT2477" s="82">
        <f>IFERROR(__xludf.DUMMYFUNCTION("""COMPUTED_VALUE"""),0.0)</f>
        <v>0</v>
      </c>
      <c r="AU2477" s="82"/>
      <c r="AV2477" s="82"/>
      <c r="AW2477" s="82" t="str">
        <f t="shared" si="1"/>
        <v/>
      </c>
      <c r="AX2477" s="83" t="str">
        <f t="array" ref="AX2477">IFERROR(DGET('SBV Import'!A:G,"SBV",{"RSC ID","Tier";B2477,A2477}))</f>
        <v/>
      </c>
      <c r="AY2477" s="82" t="str">
        <f t="shared" si="2"/>
        <v/>
      </c>
      <c r="AZ2477" s="82"/>
      <c r="BA2477" s="84" t="s">
        <v>152</v>
      </c>
      <c r="BB2477" s="84" t="str">
        <f>IFERROR(__xludf.DUMMYFUNCTION("iferror(if(A2477="""",,E2477&gt;=FILTER(Constants!$F$2:$F$10,Constants!$A$2:$A$10=A2477)))"),"")</f>
        <v/>
      </c>
    </row>
    <row r="2478">
      <c r="A2478" s="89"/>
      <c r="B2478" s="87"/>
      <c r="C2478" s="73"/>
      <c r="D2478" s="73"/>
      <c r="E2478" s="82"/>
      <c r="F2478" s="82"/>
      <c r="G2478" s="86"/>
      <c r="H2478" s="86"/>
      <c r="I2478" s="86"/>
      <c r="J2478" s="82"/>
      <c r="K2478" s="82"/>
      <c r="L2478" s="82"/>
      <c r="M2478" s="82"/>
      <c r="N2478" s="82"/>
      <c r="O2478" s="82"/>
      <c r="P2478" s="82"/>
      <c r="Q2478" s="82"/>
      <c r="R2478" s="82"/>
      <c r="S2478" s="82"/>
      <c r="T2478" s="82"/>
      <c r="U2478" s="82"/>
      <c r="V2478" s="82"/>
      <c r="W2478" s="82"/>
      <c r="X2478" s="82"/>
      <c r="Y2478" s="82"/>
      <c r="Z2478" s="82"/>
      <c r="AA2478" s="82"/>
      <c r="AB2478" s="82"/>
      <c r="AC2478" s="82"/>
      <c r="AD2478" s="82"/>
      <c r="AE2478" s="82"/>
      <c r="AF2478" s="82"/>
      <c r="AG2478" s="82"/>
      <c r="AH2478" s="82"/>
      <c r="AI2478" s="82"/>
      <c r="AJ2478" s="82"/>
      <c r="AK2478" s="82"/>
      <c r="AL2478" s="82"/>
      <c r="AM2478" s="82"/>
      <c r="AN2478" s="82">
        <f>IFERROR(__xludf.DUMMYFUNCTION("""COMPUTED_VALUE"""),0.0)</f>
        <v>0</v>
      </c>
      <c r="AO2478" s="82">
        <f>IFERROR(__xludf.DUMMYFUNCTION("""COMPUTED_VALUE"""),0.0)</f>
        <v>0</v>
      </c>
      <c r="AP2478" s="82">
        <f>IFERROR(__xludf.DUMMYFUNCTION("""COMPUTED_VALUE"""),0.0)</f>
        <v>0</v>
      </c>
      <c r="AQ2478" s="82">
        <f>IFERROR(__xludf.DUMMYFUNCTION("""COMPUTED_VALUE"""),0.0)</f>
        <v>0</v>
      </c>
      <c r="AR2478" s="82">
        <f>IFERROR(__xludf.DUMMYFUNCTION("""COMPUTED_VALUE"""),0.0)</f>
        <v>0</v>
      </c>
      <c r="AS2478" s="82"/>
      <c r="AT2478" s="82">
        <f>IFERROR(__xludf.DUMMYFUNCTION("""COMPUTED_VALUE"""),0.0)</f>
        <v>0</v>
      </c>
      <c r="AU2478" s="82"/>
      <c r="AV2478" s="82"/>
      <c r="AW2478" s="82" t="str">
        <f t="shared" si="1"/>
        <v/>
      </c>
      <c r="AX2478" s="83" t="str">
        <f t="array" ref="AX2478">IFERROR(DGET('SBV Import'!A:G,"SBV",{"RSC ID","Tier";B2478,A2478}))</f>
        <v/>
      </c>
      <c r="AY2478" s="82" t="str">
        <f t="shared" si="2"/>
        <v/>
      </c>
      <c r="AZ2478" s="82"/>
      <c r="BA2478" s="84" t="s">
        <v>152</v>
      </c>
      <c r="BB2478" s="84" t="str">
        <f>IFERROR(__xludf.DUMMYFUNCTION("iferror(if(A2478="""",,E2478&gt;=FILTER(Constants!$F$2:$F$10,Constants!$A$2:$A$10=A2478)))"),"")</f>
        <v/>
      </c>
    </row>
    <row r="2479">
      <c r="A2479" s="89"/>
      <c r="B2479" s="87"/>
      <c r="C2479" s="73"/>
      <c r="D2479" s="73"/>
      <c r="E2479" s="82"/>
      <c r="F2479" s="82"/>
      <c r="G2479" s="86"/>
      <c r="H2479" s="86"/>
      <c r="I2479" s="86"/>
      <c r="J2479" s="82"/>
      <c r="K2479" s="82"/>
      <c r="L2479" s="82"/>
      <c r="M2479" s="82"/>
      <c r="N2479" s="82"/>
      <c r="O2479" s="82"/>
      <c r="P2479" s="82"/>
      <c r="Q2479" s="82"/>
      <c r="R2479" s="82"/>
      <c r="S2479" s="82"/>
      <c r="T2479" s="82"/>
      <c r="U2479" s="82"/>
      <c r="V2479" s="82"/>
      <c r="W2479" s="82"/>
      <c r="X2479" s="82"/>
      <c r="Y2479" s="82"/>
      <c r="Z2479" s="82"/>
      <c r="AA2479" s="82"/>
      <c r="AB2479" s="82"/>
      <c r="AC2479" s="82"/>
      <c r="AD2479" s="82"/>
      <c r="AE2479" s="82"/>
      <c r="AF2479" s="82"/>
      <c r="AG2479" s="82"/>
      <c r="AH2479" s="82"/>
      <c r="AI2479" s="82"/>
      <c r="AJ2479" s="82"/>
      <c r="AK2479" s="82"/>
      <c r="AL2479" s="82"/>
      <c r="AM2479" s="82"/>
      <c r="AN2479" s="82">
        <f>IFERROR(__xludf.DUMMYFUNCTION("""COMPUTED_VALUE"""),0.0)</f>
        <v>0</v>
      </c>
      <c r="AO2479" s="82">
        <f>IFERROR(__xludf.DUMMYFUNCTION("""COMPUTED_VALUE"""),0.0)</f>
        <v>0</v>
      </c>
      <c r="AP2479" s="82">
        <f>IFERROR(__xludf.DUMMYFUNCTION("""COMPUTED_VALUE"""),0.0)</f>
        <v>0</v>
      </c>
      <c r="AQ2479" s="82">
        <f>IFERROR(__xludf.DUMMYFUNCTION("""COMPUTED_VALUE"""),0.0)</f>
        <v>0</v>
      </c>
      <c r="AR2479" s="82">
        <f>IFERROR(__xludf.DUMMYFUNCTION("""COMPUTED_VALUE"""),0.0)</f>
        <v>0</v>
      </c>
      <c r="AS2479" s="82"/>
      <c r="AT2479" s="82">
        <f>IFERROR(__xludf.DUMMYFUNCTION("""COMPUTED_VALUE"""),0.0)</f>
        <v>0</v>
      </c>
      <c r="AU2479" s="82"/>
      <c r="AV2479" s="82"/>
      <c r="AW2479" s="82" t="str">
        <f t="shared" si="1"/>
        <v/>
      </c>
      <c r="AX2479" s="83" t="str">
        <f t="array" ref="AX2479">IFERROR(DGET('SBV Import'!A:G,"SBV",{"RSC ID","Tier";B2479,A2479}))</f>
        <v/>
      </c>
      <c r="AY2479" s="82" t="str">
        <f t="shared" si="2"/>
        <v/>
      </c>
      <c r="AZ2479" s="82"/>
      <c r="BA2479" s="84" t="s">
        <v>152</v>
      </c>
      <c r="BB2479" s="84" t="str">
        <f>IFERROR(__xludf.DUMMYFUNCTION("iferror(if(A2479="""",,E2479&gt;=FILTER(Constants!$F$2:$F$10,Constants!$A$2:$A$10=A2479)))"),"")</f>
        <v/>
      </c>
    </row>
    <row r="2480">
      <c r="A2480" s="89"/>
      <c r="B2480" s="87"/>
      <c r="C2480" s="73"/>
      <c r="D2480" s="73"/>
      <c r="E2480" s="82"/>
      <c r="F2480" s="82"/>
      <c r="G2480" s="86"/>
      <c r="H2480" s="86"/>
      <c r="I2480" s="86"/>
      <c r="J2480" s="82"/>
      <c r="K2480" s="82"/>
      <c r="L2480" s="82"/>
      <c r="M2480" s="82"/>
      <c r="N2480" s="82"/>
      <c r="O2480" s="82"/>
      <c r="P2480" s="82"/>
      <c r="Q2480" s="82"/>
      <c r="R2480" s="82"/>
      <c r="S2480" s="82"/>
      <c r="T2480" s="82"/>
      <c r="U2480" s="82"/>
      <c r="V2480" s="82"/>
      <c r="W2480" s="82"/>
      <c r="X2480" s="82"/>
      <c r="Y2480" s="82"/>
      <c r="Z2480" s="82"/>
      <c r="AA2480" s="82"/>
      <c r="AB2480" s="82"/>
      <c r="AC2480" s="82"/>
      <c r="AD2480" s="82"/>
      <c r="AE2480" s="82"/>
      <c r="AF2480" s="82"/>
      <c r="AG2480" s="82"/>
      <c r="AH2480" s="82"/>
      <c r="AI2480" s="82"/>
      <c r="AJ2480" s="82"/>
      <c r="AK2480" s="82"/>
      <c r="AL2480" s="82"/>
      <c r="AM2480" s="82"/>
      <c r="AN2480" s="82">
        <f>IFERROR(__xludf.DUMMYFUNCTION("""COMPUTED_VALUE"""),0.0)</f>
        <v>0</v>
      </c>
      <c r="AO2480" s="82">
        <f>IFERROR(__xludf.DUMMYFUNCTION("""COMPUTED_VALUE"""),0.0)</f>
        <v>0</v>
      </c>
      <c r="AP2480" s="82">
        <f>IFERROR(__xludf.DUMMYFUNCTION("""COMPUTED_VALUE"""),0.0)</f>
        <v>0</v>
      </c>
      <c r="AQ2480" s="82">
        <f>IFERROR(__xludf.DUMMYFUNCTION("""COMPUTED_VALUE"""),0.0)</f>
        <v>0</v>
      </c>
      <c r="AR2480" s="82">
        <f>IFERROR(__xludf.DUMMYFUNCTION("""COMPUTED_VALUE"""),0.0)</f>
        <v>0</v>
      </c>
      <c r="AS2480" s="82"/>
      <c r="AT2480" s="82">
        <f>IFERROR(__xludf.DUMMYFUNCTION("""COMPUTED_VALUE"""),0.0)</f>
        <v>0</v>
      </c>
      <c r="AU2480" s="82"/>
      <c r="AV2480" s="82"/>
      <c r="AW2480" s="82" t="str">
        <f t="shared" si="1"/>
        <v/>
      </c>
      <c r="AX2480" s="83" t="str">
        <f t="array" ref="AX2480">IFERROR(DGET('SBV Import'!A:G,"SBV",{"RSC ID","Tier";B2480,A2480}))</f>
        <v/>
      </c>
      <c r="AY2480" s="82" t="str">
        <f t="shared" si="2"/>
        <v/>
      </c>
      <c r="AZ2480" s="82"/>
      <c r="BA2480" s="84" t="s">
        <v>152</v>
      </c>
      <c r="BB2480" s="84" t="str">
        <f>IFERROR(__xludf.DUMMYFUNCTION("iferror(if(A2480="""",,E2480&gt;=FILTER(Constants!$F$2:$F$10,Constants!$A$2:$A$10=A2480)))"),"")</f>
        <v/>
      </c>
    </row>
    <row r="2481">
      <c r="A2481" s="89"/>
      <c r="B2481" s="87"/>
      <c r="C2481" s="73"/>
      <c r="D2481" s="73"/>
      <c r="E2481" s="82"/>
      <c r="F2481" s="82"/>
      <c r="G2481" s="86"/>
      <c r="H2481" s="86"/>
      <c r="I2481" s="86"/>
      <c r="J2481" s="82"/>
      <c r="K2481" s="82"/>
      <c r="L2481" s="82"/>
      <c r="M2481" s="82"/>
      <c r="N2481" s="82"/>
      <c r="O2481" s="82"/>
      <c r="P2481" s="82"/>
      <c r="Q2481" s="82"/>
      <c r="R2481" s="82"/>
      <c r="S2481" s="82"/>
      <c r="T2481" s="82"/>
      <c r="U2481" s="82"/>
      <c r="V2481" s="82"/>
      <c r="W2481" s="82"/>
      <c r="X2481" s="82"/>
      <c r="Y2481" s="82"/>
      <c r="Z2481" s="82"/>
      <c r="AA2481" s="82"/>
      <c r="AB2481" s="82"/>
      <c r="AC2481" s="82"/>
      <c r="AD2481" s="82"/>
      <c r="AE2481" s="82"/>
      <c r="AF2481" s="82"/>
      <c r="AG2481" s="82"/>
      <c r="AH2481" s="82"/>
      <c r="AI2481" s="82"/>
      <c r="AJ2481" s="82"/>
      <c r="AK2481" s="82"/>
      <c r="AL2481" s="82"/>
      <c r="AM2481" s="82"/>
      <c r="AN2481" s="82">
        <f>IFERROR(__xludf.DUMMYFUNCTION("""COMPUTED_VALUE"""),0.0)</f>
        <v>0</v>
      </c>
      <c r="AO2481" s="82">
        <f>IFERROR(__xludf.DUMMYFUNCTION("""COMPUTED_VALUE"""),0.0)</f>
        <v>0</v>
      </c>
      <c r="AP2481" s="82">
        <f>IFERROR(__xludf.DUMMYFUNCTION("""COMPUTED_VALUE"""),0.0)</f>
        <v>0</v>
      </c>
      <c r="AQ2481" s="82">
        <f>IFERROR(__xludf.DUMMYFUNCTION("""COMPUTED_VALUE"""),0.0)</f>
        <v>0</v>
      </c>
      <c r="AR2481" s="82">
        <f>IFERROR(__xludf.DUMMYFUNCTION("""COMPUTED_VALUE"""),0.0)</f>
        <v>0</v>
      </c>
      <c r="AS2481" s="82"/>
      <c r="AT2481" s="82">
        <f>IFERROR(__xludf.DUMMYFUNCTION("""COMPUTED_VALUE"""),0.0)</f>
        <v>0</v>
      </c>
      <c r="AU2481" s="82"/>
      <c r="AV2481" s="82"/>
      <c r="AW2481" s="82" t="str">
        <f t="shared" si="1"/>
        <v/>
      </c>
      <c r="AX2481" s="83" t="str">
        <f t="array" ref="AX2481">IFERROR(DGET('SBV Import'!A:G,"SBV",{"RSC ID","Tier";B2481,A2481}))</f>
        <v/>
      </c>
      <c r="AY2481" s="82" t="str">
        <f t="shared" si="2"/>
        <v/>
      </c>
      <c r="AZ2481" s="82"/>
      <c r="BA2481" s="84" t="s">
        <v>152</v>
      </c>
      <c r="BB2481" s="84" t="str">
        <f>IFERROR(__xludf.DUMMYFUNCTION("iferror(if(A2481="""",,E2481&gt;=FILTER(Constants!$F$2:$F$10,Constants!$A$2:$A$10=A2481)))"),"")</f>
        <v/>
      </c>
    </row>
    <row r="2482">
      <c r="A2482" s="89"/>
      <c r="B2482" s="87"/>
      <c r="C2482" s="73"/>
      <c r="D2482" s="73"/>
      <c r="E2482" s="82"/>
      <c r="F2482" s="82"/>
      <c r="G2482" s="86"/>
      <c r="H2482" s="86"/>
      <c r="I2482" s="86"/>
      <c r="J2482" s="82"/>
      <c r="K2482" s="82"/>
      <c r="L2482" s="82"/>
      <c r="M2482" s="82"/>
      <c r="N2482" s="82"/>
      <c r="O2482" s="82"/>
      <c r="P2482" s="82"/>
      <c r="Q2482" s="82"/>
      <c r="R2482" s="82"/>
      <c r="S2482" s="82"/>
      <c r="T2482" s="82"/>
      <c r="U2482" s="82"/>
      <c r="V2482" s="82"/>
      <c r="W2482" s="82"/>
      <c r="X2482" s="82"/>
      <c r="Y2482" s="82"/>
      <c r="Z2482" s="82"/>
      <c r="AA2482" s="82"/>
      <c r="AB2482" s="82"/>
      <c r="AC2482" s="82"/>
      <c r="AD2482" s="82"/>
      <c r="AE2482" s="82"/>
      <c r="AF2482" s="82"/>
      <c r="AG2482" s="82"/>
      <c r="AH2482" s="82"/>
      <c r="AI2482" s="82"/>
      <c r="AJ2482" s="82"/>
      <c r="AK2482" s="82"/>
      <c r="AL2482" s="82"/>
      <c r="AM2482" s="82"/>
      <c r="AN2482" s="82">
        <f>IFERROR(__xludf.DUMMYFUNCTION("""COMPUTED_VALUE"""),0.0)</f>
        <v>0</v>
      </c>
      <c r="AO2482" s="82">
        <f>IFERROR(__xludf.DUMMYFUNCTION("""COMPUTED_VALUE"""),0.0)</f>
        <v>0</v>
      </c>
      <c r="AP2482" s="82">
        <f>IFERROR(__xludf.DUMMYFUNCTION("""COMPUTED_VALUE"""),0.0)</f>
        <v>0</v>
      </c>
      <c r="AQ2482" s="82">
        <f>IFERROR(__xludf.DUMMYFUNCTION("""COMPUTED_VALUE"""),0.0)</f>
        <v>0</v>
      </c>
      <c r="AR2482" s="82">
        <f>IFERROR(__xludf.DUMMYFUNCTION("""COMPUTED_VALUE"""),0.0)</f>
        <v>0</v>
      </c>
      <c r="AS2482" s="82"/>
      <c r="AT2482" s="82">
        <f>IFERROR(__xludf.DUMMYFUNCTION("""COMPUTED_VALUE"""),0.0)</f>
        <v>0</v>
      </c>
      <c r="AU2482" s="82"/>
      <c r="AV2482" s="82"/>
      <c r="AW2482" s="82" t="str">
        <f t="shared" si="1"/>
        <v/>
      </c>
      <c r="AX2482" s="83" t="str">
        <f t="array" ref="AX2482">IFERROR(DGET('SBV Import'!A:G,"SBV",{"RSC ID","Tier";B2482,A2482}))</f>
        <v/>
      </c>
      <c r="AY2482" s="82" t="str">
        <f t="shared" si="2"/>
        <v/>
      </c>
      <c r="AZ2482" s="82"/>
      <c r="BA2482" s="84" t="s">
        <v>152</v>
      </c>
      <c r="BB2482" s="84" t="str">
        <f>IFERROR(__xludf.DUMMYFUNCTION("iferror(if(A2482="""",,E2482&gt;=FILTER(Constants!$F$2:$F$10,Constants!$A$2:$A$10=A2482)))"),"")</f>
        <v/>
      </c>
    </row>
    <row r="2483">
      <c r="A2483" s="89"/>
      <c r="B2483" s="87"/>
      <c r="C2483" s="73"/>
      <c r="D2483" s="73"/>
      <c r="E2483" s="82"/>
      <c r="F2483" s="82"/>
      <c r="G2483" s="86"/>
      <c r="H2483" s="86"/>
      <c r="I2483" s="86"/>
      <c r="J2483" s="82"/>
      <c r="K2483" s="82"/>
      <c r="L2483" s="82"/>
      <c r="M2483" s="82"/>
      <c r="N2483" s="82"/>
      <c r="O2483" s="82"/>
      <c r="P2483" s="82"/>
      <c r="Q2483" s="82"/>
      <c r="R2483" s="82"/>
      <c r="S2483" s="82"/>
      <c r="T2483" s="82"/>
      <c r="U2483" s="82"/>
      <c r="V2483" s="82"/>
      <c r="W2483" s="82"/>
      <c r="X2483" s="82"/>
      <c r="Y2483" s="82"/>
      <c r="Z2483" s="82"/>
      <c r="AA2483" s="82"/>
      <c r="AB2483" s="82"/>
      <c r="AC2483" s="82"/>
      <c r="AD2483" s="82"/>
      <c r="AE2483" s="82"/>
      <c r="AF2483" s="82"/>
      <c r="AG2483" s="82"/>
      <c r="AH2483" s="82"/>
      <c r="AI2483" s="82"/>
      <c r="AJ2483" s="82"/>
      <c r="AK2483" s="82"/>
      <c r="AL2483" s="82"/>
      <c r="AM2483" s="82"/>
      <c r="AN2483" s="82">
        <f>IFERROR(__xludf.DUMMYFUNCTION("""COMPUTED_VALUE"""),0.0)</f>
        <v>0</v>
      </c>
      <c r="AO2483" s="82">
        <f>IFERROR(__xludf.DUMMYFUNCTION("""COMPUTED_VALUE"""),0.0)</f>
        <v>0</v>
      </c>
      <c r="AP2483" s="82">
        <f>IFERROR(__xludf.DUMMYFUNCTION("""COMPUTED_VALUE"""),0.0)</f>
        <v>0</v>
      </c>
      <c r="AQ2483" s="82">
        <f>IFERROR(__xludf.DUMMYFUNCTION("""COMPUTED_VALUE"""),0.0)</f>
        <v>0</v>
      </c>
      <c r="AR2483" s="82">
        <f>IFERROR(__xludf.DUMMYFUNCTION("""COMPUTED_VALUE"""),0.0)</f>
        <v>0</v>
      </c>
      <c r="AS2483" s="82"/>
      <c r="AT2483" s="82">
        <f>IFERROR(__xludf.DUMMYFUNCTION("""COMPUTED_VALUE"""),0.0)</f>
        <v>0</v>
      </c>
      <c r="AU2483" s="82"/>
      <c r="AV2483" s="82"/>
      <c r="AW2483" s="82" t="str">
        <f t="shared" si="1"/>
        <v/>
      </c>
      <c r="AX2483" s="83" t="str">
        <f t="array" ref="AX2483">IFERROR(DGET('SBV Import'!A:G,"SBV",{"RSC ID","Tier";B2483,A2483}))</f>
        <v/>
      </c>
      <c r="AY2483" s="82" t="str">
        <f t="shared" si="2"/>
        <v/>
      </c>
      <c r="AZ2483" s="82"/>
      <c r="BA2483" s="84" t="s">
        <v>152</v>
      </c>
      <c r="BB2483" s="84" t="str">
        <f>IFERROR(__xludf.DUMMYFUNCTION("iferror(if(A2483="""",,E2483&gt;=FILTER(Constants!$F$2:$F$10,Constants!$A$2:$A$10=A2483)))"),"")</f>
        <v/>
      </c>
    </row>
    <row r="2484">
      <c r="A2484" s="89"/>
      <c r="B2484" s="87"/>
      <c r="C2484" s="73"/>
      <c r="D2484" s="73"/>
      <c r="E2484" s="82"/>
      <c r="F2484" s="82"/>
      <c r="G2484" s="86"/>
      <c r="H2484" s="86"/>
      <c r="I2484" s="86"/>
      <c r="J2484" s="82"/>
      <c r="K2484" s="82"/>
      <c r="L2484" s="82"/>
      <c r="M2484" s="82"/>
      <c r="N2484" s="82"/>
      <c r="O2484" s="82"/>
      <c r="P2484" s="82"/>
      <c r="Q2484" s="82"/>
      <c r="R2484" s="82"/>
      <c r="S2484" s="82"/>
      <c r="T2484" s="82"/>
      <c r="U2484" s="82"/>
      <c r="V2484" s="82"/>
      <c r="W2484" s="82"/>
      <c r="X2484" s="82"/>
      <c r="Y2484" s="82"/>
      <c r="Z2484" s="82"/>
      <c r="AA2484" s="82"/>
      <c r="AB2484" s="82"/>
      <c r="AC2484" s="82"/>
      <c r="AD2484" s="82"/>
      <c r="AE2484" s="82"/>
      <c r="AF2484" s="82"/>
      <c r="AG2484" s="82"/>
      <c r="AH2484" s="82"/>
      <c r="AI2484" s="82"/>
      <c r="AJ2484" s="82"/>
      <c r="AK2484" s="82"/>
      <c r="AL2484" s="82"/>
      <c r="AM2484" s="82"/>
      <c r="AN2484" s="82">
        <f>IFERROR(__xludf.DUMMYFUNCTION("""COMPUTED_VALUE"""),0.0)</f>
        <v>0</v>
      </c>
      <c r="AO2484" s="82">
        <f>IFERROR(__xludf.DUMMYFUNCTION("""COMPUTED_VALUE"""),0.0)</f>
        <v>0</v>
      </c>
      <c r="AP2484" s="82">
        <f>IFERROR(__xludf.DUMMYFUNCTION("""COMPUTED_VALUE"""),0.0)</f>
        <v>0</v>
      </c>
      <c r="AQ2484" s="82">
        <f>IFERROR(__xludf.DUMMYFUNCTION("""COMPUTED_VALUE"""),0.0)</f>
        <v>0</v>
      </c>
      <c r="AR2484" s="82">
        <f>IFERROR(__xludf.DUMMYFUNCTION("""COMPUTED_VALUE"""),0.0)</f>
        <v>0</v>
      </c>
      <c r="AS2484" s="82"/>
      <c r="AT2484" s="82">
        <f>IFERROR(__xludf.DUMMYFUNCTION("""COMPUTED_VALUE"""),0.0)</f>
        <v>0</v>
      </c>
      <c r="AU2484" s="82"/>
      <c r="AV2484" s="82"/>
      <c r="AW2484" s="82" t="str">
        <f t="shared" si="1"/>
        <v/>
      </c>
      <c r="AX2484" s="83" t="str">
        <f t="array" ref="AX2484">IFERROR(DGET('SBV Import'!A:G,"SBV",{"RSC ID","Tier";B2484,A2484}))</f>
        <v/>
      </c>
      <c r="AY2484" s="82" t="str">
        <f t="shared" si="2"/>
        <v/>
      </c>
      <c r="AZ2484" s="82"/>
      <c r="BA2484" s="84" t="s">
        <v>152</v>
      </c>
      <c r="BB2484" s="84" t="str">
        <f>IFERROR(__xludf.DUMMYFUNCTION("iferror(if(A2484="""",,E2484&gt;=FILTER(Constants!$F$2:$F$10,Constants!$A$2:$A$10=A2484)))"),"")</f>
        <v/>
      </c>
    </row>
    <row r="2485">
      <c r="A2485" s="89"/>
      <c r="B2485" s="87"/>
      <c r="C2485" s="73"/>
      <c r="D2485" s="73"/>
      <c r="E2485" s="82"/>
      <c r="F2485" s="82"/>
      <c r="G2485" s="86"/>
      <c r="H2485" s="86"/>
      <c r="I2485" s="86"/>
      <c r="J2485" s="82"/>
      <c r="K2485" s="82"/>
      <c r="L2485" s="82"/>
      <c r="M2485" s="82"/>
      <c r="N2485" s="82"/>
      <c r="O2485" s="82"/>
      <c r="P2485" s="82"/>
      <c r="Q2485" s="82"/>
      <c r="R2485" s="82"/>
      <c r="S2485" s="82"/>
      <c r="T2485" s="82"/>
      <c r="U2485" s="82"/>
      <c r="V2485" s="82"/>
      <c r="W2485" s="82"/>
      <c r="X2485" s="82"/>
      <c r="Y2485" s="82"/>
      <c r="Z2485" s="82"/>
      <c r="AA2485" s="82"/>
      <c r="AB2485" s="82"/>
      <c r="AC2485" s="82"/>
      <c r="AD2485" s="82"/>
      <c r="AE2485" s="82"/>
      <c r="AF2485" s="82"/>
      <c r="AG2485" s="82"/>
      <c r="AH2485" s="82"/>
      <c r="AI2485" s="82"/>
      <c r="AJ2485" s="82"/>
      <c r="AK2485" s="82"/>
      <c r="AL2485" s="82"/>
      <c r="AM2485" s="82"/>
      <c r="AN2485" s="82">
        <f>IFERROR(__xludf.DUMMYFUNCTION("""COMPUTED_VALUE"""),0.0)</f>
        <v>0</v>
      </c>
      <c r="AO2485" s="82">
        <f>IFERROR(__xludf.DUMMYFUNCTION("""COMPUTED_VALUE"""),0.0)</f>
        <v>0</v>
      </c>
      <c r="AP2485" s="82">
        <f>IFERROR(__xludf.DUMMYFUNCTION("""COMPUTED_VALUE"""),0.0)</f>
        <v>0</v>
      </c>
      <c r="AQ2485" s="82">
        <f>IFERROR(__xludf.DUMMYFUNCTION("""COMPUTED_VALUE"""),0.0)</f>
        <v>0</v>
      </c>
      <c r="AR2485" s="82">
        <f>IFERROR(__xludf.DUMMYFUNCTION("""COMPUTED_VALUE"""),0.0)</f>
        <v>0</v>
      </c>
      <c r="AS2485" s="82"/>
      <c r="AT2485" s="82">
        <f>IFERROR(__xludf.DUMMYFUNCTION("""COMPUTED_VALUE"""),0.0)</f>
        <v>0</v>
      </c>
      <c r="AU2485" s="82"/>
      <c r="AV2485" s="82"/>
      <c r="AW2485" s="82" t="str">
        <f t="shared" si="1"/>
        <v/>
      </c>
      <c r="AX2485" s="83" t="str">
        <f t="array" ref="AX2485">IFERROR(DGET('SBV Import'!A:G,"SBV",{"RSC ID","Tier";B2485,A2485}))</f>
        <v/>
      </c>
      <c r="AY2485" s="82" t="str">
        <f t="shared" si="2"/>
        <v/>
      </c>
      <c r="AZ2485" s="82"/>
      <c r="BA2485" s="84" t="s">
        <v>152</v>
      </c>
      <c r="BB2485" s="84" t="str">
        <f>IFERROR(__xludf.DUMMYFUNCTION("iferror(if(A2485="""",,E2485&gt;=FILTER(Constants!$F$2:$F$10,Constants!$A$2:$A$10=A2485)))"),"")</f>
        <v/>
      </c>
    </row>
    <row r="2486">
      <c r="A2486" s="89"/>
      <c r="B2486" s="87"/>
      <c r="C2486" s="73"/>
      <c r="D2486" s="73"/>
      <c r="E2486" s="82"/>
      <c r="F2486" s="82"/>
      <c r="G2486" s="86"/>
      <c r="H2486" s="86"/>
      <c r="I2486" s="86"/>
      <c r="J2486" s="82"/>
      <c r="K2486" s="82"/>
      <c r="L2486" s="82"/>
      <c r="M2486" s="82"/>
      <c r="N2486" s="82"/>
      <c r="O2486" s="82"/>
      <c r="P2486" s="82"/>
      <c r="Q2486" s="82"/>
      <c r="R2486" s="82"/>
      <c r="S2486" s="82"/>
      <c r="T2486" s="82"/>
      <c r="U2486" s="82"/>
      <c r="V2486" s="82"/>
      <c r="W2486" s="82"/>
      <c r="X2486" s="82"/>
      <c r="Y2486" s="82"/>
      <c r="Z2486" s="82"/>
      <c r="AA2486" s="82"/>
      <c r="AB2486" s="82"/>
      <c r="AC2486" s="82"/>
      <c r="AD2486" s="82"/>
      <c r="AE2486" s="82"/>
      <c r="AF2486" s="82"/>
      <c r="AG2486" s="82"/>
      <c r="AH2486" s="82"/>
      <c r="AI2486" s="82"/>
      <c r="AJ2486" s="82"/>
      <c r="AK2486" s="82"/>
      <c r="AL2486" s="82"/>
      <c r="AM2486" s="82"/>
      <c r="AN2486" s="82">
        <f>IFERROR(__xludf.DUMMYFUNCTION("""COMPUTED_VALUE"""),0.0)</f>
        <v>0</v>
      </c>
      <c r="AO2486" s="82">
        <f>IFERROR(__xludf.DUMMYFUNCTION("""COMPUTED_VALUE"""),0.0)</f>
        <v>0</v>
      </c>
      <c r="AP2486" s="82">
        <f>IFERROR(__xludf.DUMMYFUNCTION("""COMPUTED_VALUE"""),0.0)</f>
        <v>0</v>
      </c>
      <c r="AQ2486" s="82">
        <f>IFERROR(__xludf.DUMMYFUNCTION("""COMPUTED_VALUE"""),0.0)</f>
        <v>0</v>
      </c>
      <c r="AR2486" s="82">
        <f>IFERROR(__xludf.DUMMYFUNCTION("""COMPUTED_VALUE"""),0.0)</f>
        <v>0</v>
      </c>
      <c r="AS2486" s="82"/>
      <c r="AT2486" s="82">
        <f>IFERROR(__xludf.DUMMYFUNCTION("""COMPUTED_VALUE"""),0.0)</f>
        <v>0</v>
      </c>
      <c r="AU2486" s="82"/>
      <c r="AV2486" s="82"/>
      <c r="AW2486" s="82" t="str">
        <f t="shared" si="1"/>
        <v/>
      </c>
      <c r="AX2486" s="83" t="str">
        <f t="array" ref="AX2486">IFERROR(DGET('SBV Import'!A:G,"SBV",{"RSC ID","Tier";B2486,A2486}))</f>
        <v/>
      </c>
      <c r="AY2486" s="82" t="str">
        <f t="shared" si="2"/>
        <v/>
      </c>
      <c r="AZ2486" s="82"/>
      <c r="BA2486" s="84" t="s">
        <v>152</v>
      </c>
      <c r="BB2486" s="84" t="str">
        <f>IFERROR(__xludf.DUMMYFUNCTION("iferror(if(A2486="""",,E2486&gt;=FILTER(Constants!$F$2:$F$10,Constants!$A$2:$A$10=A2486)))"),"")</f>
        <v/>
      </c>
    </row>
    <row r="2487">
      <c r="A2487" s="89"/>
      <c r="B2487" s="87"/>
      <c r="C2487" s="73"/>
      <c r="D2487" s="73"/>
      <c r="E2487" s="82"/>
      <c r="F2487" s="82"/>
      <c r="G2487" s="86"/>
      <c r="H2487" s="86"/>
      <c r="I2487" s="86"/>
      <c r="J2487" s="82"/>
      <c r="K2487" s="82"/>
      <c r="L2487" s="82"/>
      <c r="M2487" s="82"/>
      <c r="N2487" s="82"/>
      <c r="O2487" s="82"/>
      <c r="P2487" s="82"/>
      <c r="Q2487" s="82"/>
      <c r="R2487" s="82"/>
      <c r="S2487" s="82"/>
      <c r="T2487" s="82"/>
      <c r="U2487" s="82"/>
      <c r="V2487" s="82"/>
      <c r="W2487" s="82"/>
      <c r="X2487" s="82"/>
      <c r="Y2487" s="82"/>
      <c r="Z2487" s="82"/>
      <c r="AA2487" s="82"/>
      <c r="AB2487" s="82"/>
      <c r="AC2487" s="82"/>
      <c r="AD2487" s="82"/>
      <c r="AE2487" s="82"/>
      <c r="AF2487" s="82"/>
      <c r="AG2487" s="82"/>
      <c r="AH2487" s="82"/>
      <c r="AI2487" s="82"/>
      <c r="AJ2487" s="82"/>
      <c r="AK2487" s="82"/>
      <c r="AL2487" s="82"/>
      <c r="AM2487" s="82"/>
      <c r="AN2487" s="82">
        <f>IFERROR(__xludf.DUMMYFUNCTION("""COMPUTED_VALUE"""),0.0)</f>
        <v>0</v>
      </c>
      <c r="AO2487" s="82">
        <f>IFERROR(__xludf.DUMMYFUNCTION("""COMPUTED_VALUE"""),0.0)</f>
        <v>0</v>
      </c>
      <c r="AP2487" s="82">
        <f>IFERROR(__xludf.DUMMYFUNCTION("""COMPUTED_VALUE"""),0.0)</f>
        <v>0</v>
      </c>
      <c r="AQ2487" s="82">
        <f>IFERROR(__xludf.DUMMYFUNCTION("""COMPUTED_VALUE"""),0.0)</f>
        <v>0</v>
      </c>
      <c r="AR2487" s="82">
        <f>IFERROR(__xludf.DUMMYFUNCTION("""COMPUTED_VALUE"""),0.0)</f>
        <v>0</v>
      </c>
      <c r="AS2487" s="82"/>
      <c r="AT2487" s="82">
        <f>IFERROR(__xludf.DUMMYFUNCTION("""COMPUTED_VALUE"""),0.0)</f>
        <v>0</v>
      </c>
      <c r="AU2487" s="82"/>
      <c r="AV2487" s="82"/>
      <c r="AW2487" s="82" t="str">
        <f t="shared" si="1"/>
        <v/>
      </c>
      <c r="AX2487" s="83" t="str">
        <f t="array" ref="AX2487">IFERROR(DGET('SBV Import'!A:G,"SBV",{"RSC ID","Tier";B2487,A2487}))</f>
        <v/>
      </c>
      <c r="AY2487" s="82" t="str">
        <f t="shared" si="2"/>
        <v/>
      </c>
      <c r="AZ2487" s="82"/>
      <c r="BA2487" s="84" t="s">
        <v>152</v>
      </c>
      <c r="BB2487" s="84" t="str">
        <f>IFERROR(__xludf.DUMMYFUNCTION("iferror(if(A2487="""",,E2487&gt;=FILTER(Constants!$F$2:$F$10,Constants!$A$2:$A$10=A2487)))"),"")</f>
        <v/>
      </c>
    </row>
    <row r="2488">
      <c r="A2488" s="89"/>
      <c r="B2488" s="87"/>
      <c r="C2488" s="73"/>
      <c r="D2488" s="73"/>
      <c r="E2488" s="82"/>
      <c r="F2488" s="82"/>
      <c r="G2488" s="86"/>
      <c r="H2488" s="86"/>
      <c r="I2488" s="86"/>
      <c r="J2488" s="82"/>
      <c r="K2488" s="82"/>
      <c r="L2488" s="82"/>
      <c r="M2488" s="82"/>
      <c r="N2488" s="82"/>
      <c r="O2488" s="82"/>
      <c r="P2488" s="82"/>
      <c r="Q2488" s="82"/>
      <c r="R2488" s="82"/>
      <c r="S2488" s="82"/>
      <c r="T2488" s="82"/>
      <c r="U2488" s="82"/>
      <c r="V2488" s="82"/>
      <c r="W2488" s="82"/>
      <c r="X2488" s="82"/>
      <c r="Y2488" s="82"/>
      <c r="Z2488" s="82"/>
      <c r="AA2488" s="82"/>
      <c r="AB2488" s="82"/>
      <c r="AC2488" s="82"/>
      <c r="AD2488" s="82"/>
      <c r="AE2488" s="82"/>
      <c r="AF2488" s="82"/>
      <c r="AG2488" s="82"/>
      <c r="AH2488" s="82"/>
      <c r="AI2488" s="82"/>
      <c r="AJ2488" s="82"/>
      <c r="AK2488" s="82"/>
      <c r="AL2488" s="82"/>
      <c r="AM2488" s="82"/>
      <c r="AN2488" s="82">
        <f>IFERROR(__xludf.DUMMYFUNCTION("""COMPUTED_VALUE"""),0.0)</f>
        <v>0</v>
      </c>
      <c r="AO2488" s="82">
        <f>IFERROR(__xludf.DUMMYFUNCTION("""COMPUTED_VALUE"""),0.0)</f>
        <v>0</v>
      </c>
      <c r="AP2488" s="82">
        <f>IFERROR(__xludf.DUMMYFUNCTION("""COMPUTED_VALUE"""),0.0)</f>
        <v>0</v>
      </c>
      <c r="AQ2488" s="82">
        <f>IFERROR(__xludf.DUMMYFUNCTION("""COMPUTED_VALUE"""),0.0)</f>
        <v>0</v>
      </c>
      <c r="AR2488" s="82">
        <f>IFERROR(__xludf.DUMMYFUNCTION("""COMPUTED_VALUE"""),0.0)</f>
        <v>0</v>
      </c>
      <c r="AS2488" s="82"/>
      <c r="AT2488" s="82">
        <f>IFERROR(__xludf.DUMMYFUNCTION("""COMPUTED_VALUE"""),0.0)</f>
        <v>0</v>
      </c>
      <c r="AU2488" s="82"/>
      <c r="AV2488" s="82"/>
      <c r="AW2488" s="82" t="str">
        <f t="shared" si="1"/>
        <v/>
      </c>
      <c r="AX2488" s="83" t="str">
        <f t="array" ref="AX2488">IFERROR(DGET('SBV Import'!A:G,"SBV",{"RSC ID","Tier";B2488,A2488}))</f>
        <v/>
      </c>
      <c r="AY2488" s="82" t="str">
        <f t="shared" si="2"/>
        <v/>
      </c>
      <c r="AZ2488" s="82"/>
      <c r="BA2488" s="84" t="s">
        <v>152</v>
      </c>
      <c r="BB2488" s="84" t="str">
        <f>IFERROR(__xludf.DUMMYFUNCTION("iferror(if(A2488="""",,E2488&gt;=FILTER(Constants!$F$2:$F$10,Constants!$A$2:$A$10=A2488)))"),"")</f>
        <v/>
      </c>
    </row>
    <row r="2489">
      <c r="A2489" s="89"/>
      <c r="B2489" s="87"/>
      <c r="C2489" s="73"/>
      <c r="D2489" s="73"/>
      <c r="E2489" s="82"/>
      <c r="F2489" s="82"/>
      <c r="G2489" s="86"/>
      <c r="H2489" s="86"/>
      <c r="I2489" s="86"/>
      <c r="J2489" s="82"/>
      <c r="K2489" s="82"/>
      <c r="L2489" s="82"/>
      <c r="M2489" s="82"/>
      <c r="N2489" s="82"/>
      <c r="O2489" s="82"/>
      <c r="P2489" s="82"/>
      <c r="Q2489" s="82"/>
      <c r="R2489" s="82"/>
      <c r="S2489" s="82"/>
      <c r="T2489" s="82"/>
      <c r="U2489" s="82"/>
      <c r="V2489" s="82"/>
      <c r="W2489" s="82"/>
      <c r="X2489" s="82"/>
      <c r="Y2489" s="82"/>
      <c r="Z2489" s="82"/>
      <c r="AA2489" s="82"/>
      <c r="AB2489" s="82"/>
      <c r="AC2489" s="82"/>
      <c r="AD2489" s="82"/>
      <c r="AE2489" s="82"/>
      <c r="AF2489" s="82"/>
      <c r="AG2489" s="82"/>
      <c r="AH2489" s="82"/>
      <c r="AI2489" s="82"/>
      <c r="AJ2489" s="82"/>
      <c r="AK2489" s="82"/>
      <c r="AL2489" s="82"/>
      <c r="AM2489" s="82"/>
      <c r="AN2489" s="82">
        <f>IFERROR(__xludf.DUMMYFUNCTION("""COMPUTED_VALUE"""),0.0)</f>
        <v>0</v>
      </c>
      <c r="AO2489" s="82">
        <f>IFERROR(__xludf.DUMMYFUNCTION("""COMPUTED_VALUE"""),0.0)</f>
        <v>0</v>
      </c>
      <c r="AP2489" s="82">
        <f>IFERROR(__xludf.DUMMYFUNCTION("""COMPUTED_VALUE"""),0.0)</f>
        <v>0</v>
      </c>
      <c r="AQ2489" s="82">
        <f>IFERROR(__xludf.DUMMYFUNCTION("""COMPUTED_VALUE"""),0.0)</f>
        <v>0</v>
      </c>
      <c r="AR2489" s="82">
        <f>IFERROR(__xludf.DUMMYFUNCTION("""COMPUTED_VALUE"""),0.0)</f>
        <v>0</v>
      </c>
      <c r="AS2489" s="82"/>
      <c r="AT2489" s="82">
        <f>IFERROR(__xludf.DUMMYFUNCTION("""COMPUTED_VALUE"""),0.0)</f>
        <v>0</v>
      </c>
      <c r="AU2489" s="82"/>
      <c r="AV2489" s="82"/>
      <c r="AW2489" s="82" t="str">
        <f t="shared" si="1"/>
        <v/>
      </c>
      <c r="AX2489" s="83" t="str">
        <f t="array" ref="AX2489">IFERROR(DGET('SBV Import'!A:G,"SBV",{"RSC ID","Tier";B2489,A2489}))</f>
        <v/>
      </c>
      <c r="AY2489" s="82" t="str">
        <f t="shared" si="2"/>
        <v/>
      </c>
      <c r="AZ2489" s="82"/>
      <c r="BA2489" s="84" t="s">
        <v>152</v>
      </c>
      <c r="BB2489" s="84" t="str">
        <f>IFERROR(__xludf.DUMMYFUNCTION("iferror(if(A2489="""",,E2489&gt;=FILTER(Constants!$F$2:$F$10,Constants!$A$2:$A$10=A2489)))"),"")</f>
        <v/>
      </c>
    </row>
    <row r="2490">
      <c r="A2490" s="89"/>
      <c r="B2490" s="87"/>
      <c r="C2490" s="73"/>
      <c r="D2490" s="73"/>
      <c r="E2490" s="82"/>
      <c r="F2490" s="82"/>
      <c r="G2490" s="86"/>
      <c r="H2490" s="86"/>
      <c r="I2490" s="86"/>
      <c r="J2490" s="82"/>
      <c r="K2490" s="82"/>
      <c r="L2490" s="82"/>
      <c r="M2490" s="82"/>
      <c r="N2490" s="82"/>
      <c r="O2490" s="82"/>
      <c r="P2490" s="82"/>
      <c r="Q2490" s="82"/>
      <c r="R2490" s="82"/>
      <c r="S2490" s="82"/>
      <c r="T2490" s="82"/>
      <c r="U2490" s="82"/>
      <c r="V2490" s="82"/>
      <c r="W2490" s="82"/>
      <c r="X2490" s="82"/>
      <c r="Y2490" s="82"/>
      <c r="Z2490" s="82"/>
      <c r="AA2490" s="82"/>
      <c r="AB2490" s="82"/>
      <c r="AC2490" s="82"/>
      <c r="AD2490" s="82"/>
      <c r="AE2490" s="82"/>
      <c r="AF2490" s="82"/>
      <c r="AG2490" s="82"/>
      <c r="AH2490" s="82"/>
      <c r="AI2490" s="82"/>
      <c r="AJ2490" s="82"/>
      <c r="AK2490" s="82"/>
      <c r="AL2490" s="82"/>
      <c r="AM2490" s="82"/>
      <c r="AN2490" s="82">
        <f>IFERROR(__xludf.DUMMYFUNCTION("""COMPUTED_VALUE"""),0.0)</f>
        <v>0</v>
      </c>
      <c r="AO2490" s="82">
        <f>IFERROR(__xludf.DUMMYFUNCTION("""COMPUTED_VALUE"""),0.0)</f>
        <v>0</v>
      </c>
      <c r="AP2490" s="82">
        <f>IFERROR(__xludf.DUMMYFUNCTION("""COMPUTED_VALUE"""),0.0)</f>
        <v>0</v>
      </c>
      <c r="AQ2490" s="82">
        <f>IFERROR(__xludf.DUMMYFUNCTION("""COMPUTED_VALUE"""),0.0)</f>
        <v>0</v>
      </c>
      <c r="AR2490" s="82">
        <f>IFERROR(__xludf.DUMMYFUNCTION("""COMPUTED_VALUE"""),0.0)</f>
        <v>0</v>
      </c>
      <c r="AS2490" s="82"/>
      <c r="AT2490" s="82">
        <f>IFERROR(__xludf.DUMMYFUNCTION("""COMPUTED_VALUE"""),0.0)</f>
        <v>0</v>
      </c>
      <c r="AU2490" s="82"/>
      <c r="AV2490" s="82"/>
      <c r="AW2490" s="82" t="str">
        <f t="shared" si="1"/>
        <v/>
      </c>
      <c r="AX2490" s="83" t="str">
        <f t="array" ref="AX2490">IFERROR(DGET('SBV Import'!A:G,"SBV",{"RSC ID","Tier";B2490,A2490}))</f>
        <v/>
      </c>
      <c r="AY2490" s="82" t="str">
        <f t="shared" si="2"/>
        <v/>
      </c>
      <c r="AZ2490" s="82"/>
      <c r="BA2490" s="84" t="s">
        <v>152</v>
      </c>
      <c r="BB2490" s="84" t="str">
        <f>IFERROR(__xludf.DUMMYFUNCTION("iferror(if(A2490="""",,E2490&gt;=FILTER(Constants!$F$2:$F$10,Constants!$A$2:$A$10=A2490)))"),"")</f>
        <v/>
      </c>
    </row>
    <row r="2491">
      <c r="A2491" s="89"/>
      <c r="B2491" s="87"/>
      <c r="C2491" s="73"/>
      <c r="D2491" s="73"/>
      <c r="E2491" s="82"/>
      <c r="F2491" s="82"/>
      <c r="G2491" s="86"/>
      <c r="H2491" s="86"/>
      <c r="I2491" s="86"/>
      <c r="J2491" s="82"/>
      <c r="K2491" s="82"/>
      <c r="L2491" s="82"/>
      <c r="M2491" s="82"/>
      <c r="N2491" s="82"/>
      <c r="O2491" s="82"/>
      <c r="P2491" s="82"/>
      <c r="Q2491" s="82"/>
      <c r="R2491" s="82"/>
      <c r="S2491" s="82"/>
      <c r="T2491" s="82"/>
      <c r="U2491" s="82"/>
      <c r="V2491" s="82"/>
      <c r="W2491" s="82"/>
      <c r="X2491" s="82"/>
      <c r="Y2491" s="82"/>
      <c r="Z2491" s="82"/>
      <c r="AA2491" s="82"/>
      <c r="AB2491" s="82"/>
      <c r="AC2491" s="82"/>
      <c r="AD2491" s="82"/>
      <c r="AE2491" s="82"/>
      <c r="AF2491" s="82"/>
      <c r="AG2491" s="82"/>
      <c r="AH2491" s="82"/>
      <c r="AI2491" s="82"/>
      <c r="AJ2491" s="82"/>
      <c r="AK2491" s="82"/>
      <c r="AL2491" s="82"/>
      <c r="AM2491" s="82"/>
      <c r="AN2491" s="82">
        <f>IFERROR(__xludf.DUMMYFUNCTION("""COMPUTED_VALUE"""),0.0)</f>
        <v>0</v>
      </c>
      <c r="AO2491" s="82">
        <f>IFERROR(__xludf.DUMMYFUNCTION("""COMPUTED_VALUE"""),0.0)</f>
        <v>0</v>
      </c>
      <c r="AP2491" s="82">
        <f>IFERROR(__xludf.DUMMYFUNCTION("""COMPUTED_VALUE"""),0.0)</f>
        <v>0</v>
      </c>
      <c r="AQ2491" s="82">
        <f>IFERROR(__xludf.DUMMYFUNCTION("""COMPUTED_VALUE"""),0.0)</f>
        <v>0</v>
      </c>
      <c r="AR2491" s="82">
        <f>IFERROR(__xludf.DUMMYFUNCTION("""COMPUTED_VALUE"""),0.0)</f>
        <v>0</v>
      </c>
      <c r="AS2491" s="82"/>
      <c r="AT2491" s="82">
        <f>IFERROR(__xludf.DUMMYFUNCTION("""COMPUTED_VALUE"""),0.0)</f>
        <v>0</v>
      </c>
      <c r="AU2491" s="82"/>
      <c r="AV2491" s="82"/>
      <c r="AW2491" s="82" t="str">
        <f t="shared" si="1"/>
        <v/>
      </c>
      <c r="AX2491" s="83" t="str">
        <f t="array" ref="AX2491">IFERROR(DGET('SBV Import'!A:G,"SBV",{"RSC ID","Tier";B2491,A2491}))</f>
        <v/>
      </c>
      <c r="AY2491" s="82" t="str">
        <f t="shared" si="2"/>
        <v/>
      </c>
      <c r="AZ2491" s="82"/>
      <c r="BA2491" s="84" t="s">
        <v>152</v>
      </c>
      <c r="BB2491" s="84" t="str">
        <f>IFERROR(__xludf.DUMMYFUNCTION("iferror(if(A2491="""",,E2491&gt;=FILTER(Constants!$F$2:$F$10,Constants!$A$2:$A$10=A2491)))"),"")</f>
        <v/>
      </c>
    </row>
    <row r="2492">
      <c r="A2492" s="89"/>
      <c r="B2492" s="87"/>
      <c r="C2492" s="73"/>
      <c r="D2492" s="73"/>
      <c r="E2492" s="82"/>
      <c r="F2492" s="82"/>
      <c r="G2492" s="86"/>
      <c r="H2492" s="86"/>
      <c r="I2492" s="86"/>
      <c r="J2492" s="82"/>
      <c r="K2492" s="82"/>
      <c r="L2492" s="82"/>
      <c r="M2492" s="82"/>
      <c r="N2492" s="82"/>
      <c r="O2492" s="82"/>
      <c r="P2492" s="82"/>
      <c r="Q2492" s="82"/>
      <c r="R2492" s="82"/>
      <c r="S2492" s="82"/>
      <c r="T2492" s="82"/>
      <c r="U2492" s="82"/>
      <c r="V2492" s="82"/>
      <c r="W2492" s="82"/>
      <c r="X2492" s="82"/>
      <c r="Y2492" s="82"/>
      <c r="Z2492" s="82"/>
      <c r="AA2492" s="82"/>
      <c r="AB2492" s="82"/>
      <c r="AC2492" s="82"/>
      <c r="AD2492" s="82"/>
      <c r="AE2492" s="82"/>
      <c r="AF2492" s="82"/>
      <c r="AG2492" s="82"/>
      <c r="AH2492" s="82"/>
      <c r="AI2492" s="82"/>
      <c r="AJ2492" s="82"/>
      <c r="AK2492" s="82"/>
      <c r="AL2492" s="82"/>
      <c r="AM2492" s="82"/>
      <c r="AN2492" s="82">
        <f>IFERROR(__xludf.DUMMYFUNCTION("""COMPUTED_VALUE"""),0.0)</f>
        <v>0</v>
      </c>
      <c r="AO2492" s="82">
        <f>IFERROR(__xludf.DUMMYFUNCTION("""COMPUTED_VALUE"""),0.0)</f>
        <v>0</v>
      </c>
      <c r="AP2492" s="82">
        <f>IFERROR(__xludf.DUMMYFUNCTION("""COMPUTED_VALUE"""),0.0)</f>
        <v>0</v>
      </c>
      <c r="AQ2492" s="82">
        <f>IFERROR(__xludf.DUMMYFUNCTION("""COMPUTED_VALUE"""),0.0)</f>
        <v>0</v>
      </c>
      <c r="AR2492" s="82">
        <f>IFERROR(__xludf.DUMMYFUNCTION("""COMPUTED_VALUE"""),0.0)</f>
        <v>0</v>
      </c>
      <c r="AS2492" s="82"/>
      <c r="AT2492" s="82">
        <f>IFERROR(__xludf.DUMMYFUNCTION("""COMPUTED_VALUE"""),0.0)</f>
        <v>0</v>
      </c>
      <c r="AU2492" s="82"/>
      <c r="AV2492" s="82"/>
      <c r="AW2492" s="82" t="str">
        <f t="shared" si="1"/>
        <v/>
      </c>
      <c r="AX2492" s="83" t="str">
        <f t="array" ref="AX2492">IFERROR(DGET('SBV Import'!A:G,"SBV",{"RSC ID","Tier";B2492,A2492}))</f>
        <v/>
      </c>
      <c r="AY2492" s="82" t="str">
        <f t="shared" si="2"/>
        <v/>
      </c>
      <c r="AZ2492" s="82"/>
      <c r="BA2492" s="84" t="s">
        <v>152</v>
      </c>
      <c r="BB2492" s="84" t="str">
        <f>IFERROR(__xludf.DUMMYFUNCTION("iferror(if(A2492="""",,E2492&gt;=FILTER(Constants!$F$2:$F$10,Constants!$A$2:$A$10=A2492)))"),"")</f>
        <v/>
      </c>
    </row>
    <row r="2493">
      <c r="A2493" s="89"/>
      <c r="B2493" s="87"/>
      <c r="C2493" s="73"/>
      <c r="D2493" s="73"/>
      <c r="E2493" s="82"/>
      <c r="F2493" s="82"/>
      <c r="G2493" s="86"/>
      <c r="H2493" s="86"/>
      <c r="I2493" s="86"/>
      <c r="J2493" s="82"/>
      <c r="K2493" s="82"/>
      <c r="L2493" s="82"/>
      <c r="M2493" s="82"/>
      <c r="N2493" s="82"/>
      <c r="O2493" s="82"/>
      <c r="P2493" s="82"/>
      <c r="Q2493" s="82"/>
      <c r="R2493" s="82"/>
      <c r="S2493" s="82"/>
      <c r="T2493" s="82"/>
      <c r="U2493" s="82"/>
      <c r="V2493" s="82"/>
      <c r="W2493" s="82"/>
      <c r="X2493" s="82"/>
      <c r="Y2493" s="82"/>
      <c r="Z2493" s="82"/>
      <c r="AA2493" s="82"/>
      <c r="AB2493" s="82"/>
      <c r="AC2493" s="82"/>
      <c r="AD2493" s="82"/>
      <c r="AE2493" s="82"/>
      <c r="AF2493" s="82"/>
      <c r="AG2493" s="82"/>
      <c r="AH2493" s="82"/>
      <c r="AI2493" s="82"/>
      <c r="AJ2493" s="82"/>
      <c r="AK2493" s="82"/>
      <c r="AL2493" s="82"/>
      <c r="AM2493" s="82"/>
      <c r="AN2493" s="82">
        <f>IFERROR(__xludf.DUMMYFUNCTION("""COMPUTED_VALUE"""),0.0)</f>
        <v>0</v>
      </c>
      <c r="AO2493" s="82">
        <f>IFERROR(__xludf.DUMMYFUNCTION("""COMPUTED_VALUE"""),0.0)</f>
        <v>0</v>
      </c>
      <c r="AP2493" s="82">
        <f>IFERROR(__xludf.DUMMYFUNCTION("""COMPUTED_VALUE"""),0.0)</f>
        <v>0</v>
      </c>
      <c r="AQ2493" s="82">
        <f>IFERROR(__xludf.DUMMYFUNCTION("""COMPUTED_VALUE"""),0.0)</f>
        <v>0</v>
      </c>
      <c r="AR2493" s="82">
        <f>IFERROR(__xludf.DUMMYFUNCTION("""COMPUTED_VALUE"""),0.0)</f>
        <v>0</v>
      </c>
      <c r="AS2493" s="82"/>
      <c r="AT2493" s="82">
        <f>IFERROR(__xludf.DUMMYFUNCTION("""COMPUTED_VALUE"""),0.0)</f>
        <v>0</v>
      </c>
      <c r="AU2493" s="82"/>
      <c r="AV2493" s="82"/>
      <c r="AW2493" s="82" t="str">
        <f t="shared" si="1"/>
        <v/>
      </c>
      <c r="AX2493" s="83" t="str">
        <f t="array" ref="AX2493">IFERROR(DGET('SBV Import'!A:G,"SBV",{"RSC ID","Tier";B2493,A2493}))</f>
        <v/>
      </c>
      <c r="AY2493" s="82" t="str">
        <f t="shared" si="2"/>
        <v/>
      </c>
      <c r="AZ2493" s="82"/>
      <c r="BA2493" s="84" t="s">
        <v>152</v>
      </c>
      <c r="BB2493" s="84" t="str">
        <f>IFERROR(__xludf.DUMMYFUNCTION("iferror(if(A2493="""",,E2493&gt;=FILTER(Constants!$F$2:$F$10,Constants!$A$2:$A$10=A2493)))"),"")</f>
        <v/>
      </c>
    </row>
    <row r="2494">
      <c r="A2494" s="89"/>
      <c r="B2494" s="87"/>
      <c r="C2494" s="73"/>
      <c r="D2494" s="73"/>
      <c r="E2494" s="82"/>
      <c r="F2494" s="82"/>
      <c r="G2494" s="86"/>
      <c r="H2494" s="86"/>
      <c r="I2494" s="86"/>
      <c r="J2494" s="82"/>
      <c r="K2494" s="82"/>
      <c r="L2494" s="82"/>
      <c r="M2494" s="82"/>
      <c r="N2494" s="82"/>
      <c r="O2494" s="82"/>
      <c r="P2494" s="82"/>
      <c r="Q2494" s="82"/>
      <c r="R2494" s="82"/>
      <c r="S2494" s="82"/>
      <c r="T2494" s="82"/>
      <c r="U2494" s="82"/>
      <c r="V2494" s="82"/>
      <c r="W2494" s="82"/>
      <c r="X2494" s="82"/>
      <c r="Y2494" s="82"/>
      <c r="Z2494" s="82"/>
      <c r="AA2494" s="82"/>
      <c r="AB2494" s="82"/>
      <c r="AC2494" s="82"/>
      <c r="AD2494" s="82"/>
      <c r="AE2494" s="82"/>
      <c r="AF2494" s="82"/>
      <c r="AG2494" s="82"/>
      <c r="AH2494" s="82"/>
      <c r="AI2494" s="82"/>
      <c r="AJ2494" s="82"/>
      <c r="AK2494" s="82"/>
      <c r="AL2494" s="82"/>
      <c r="AM2494" s="82"/>
      <c r="AN2494" s="82">
        <f>IFERROR(__xludf.DUMMYFUNCTION("""COMPUTED_VALUE"""),0.0)</f>
        <v>0</v>
      </c>
      <c r="AO2494" s="82">
        <f>IFERROR(__xludf.DUMMYFUNCTION("""COMPUTED_VALUE"""),0.0)</f>
        <v>0</v>
      </c>
      <c r="AP2494" s="82">
        <f>IFERROR(__xludf.DUMMYFUNCTION("""COMPUTED_VALUE"""),0.0)</f>
        <v>0</v>
      </c>
      <c r="AQ2494" s="82">
        <f>IFERROR(__xludf.DUMMYFUNCTION("""COMPUTED_VALUE"""),0.0)</f>
        <v>0</v>
      </c>
      <c r="AR2494" s="82">
        <f>IFERROR(__xludf.DUMMYFUNCTION("""COMPUTED_VALUE"""),0.0)</f>
        <v>0</v>
      </c>
      <c r="AS2494" s="82"/>
      <c r="AT2494" s="82">
        <f>IFERROR(__xludf.DUMMYFUNCTION("""COMPUTED_VALUE"""),0.0)</f>
        <v>0</v>
      </c>
      <c r="AU2494" s="82"/>
      <c r="AV2494" s="82"/>
      <c r="AW2494" s="82" t="str">
        <f t="shared" si="1"/>
        <v/>
      </c>
      <c r="AX2494" s="83" t="str">
        <f t="array" ref="AX2494">IFERROR(DGET('SBV Import'!A:G,"SBV",{"RSC ID","Tier";B2494,A2494}))</f>
        <v/>
      </c>
      <c r="AY2494" s="82" t="str">
        <f t="shared" si="2"/>
        <v/>
      </c>
      <c r="AZ2494" s="82"/>
      <c r="BA2494" s="84" t="s">
        <v>152</v>
      </c>
      <c r="BB2494" s="84" t="str">
        <f>IFERROR(__xludf.DUMMYFUNCTION("iferror(if(A2494="""",,E2494&gt;=FILTER(Constants!$F$2:$F$10,Constants!$A$2:$A$10=A2494)))"),"")</f>
        <v/>
      </c>
    </row>
    <row r="2495">
      <c r="A2495" s="89"/>
      <c r="B2495" s="87"/>
      <c r="C2495" s="73"/>
      <c r="D2495" s="73"/>
      <c r="E2495" s="82"/>
      <c r="F2495" s="82"/>
      <c r="G2495" s="86"/>
      <c r="H2495" s="86"/>
      <c r="I2495" s="86"/>
      <c r="J2495" s="82"/>
      <c r="K2495" s="82"/>
      <c r="L2495" s="82"/>
      <c r="M2495" s="82"/>
      <c r="N2495" s="82"/>
      <c r="O2495" s="82"/>
      <c r="P2495" s="82"/>
      <c r="Q2495" s="82"/>
      <c r="R2495" s="82"/>
      <c r="S2495" s="82"/>
      <c r="T2495" s="82"/>
      <c r="U2495" s="82"/>
      <c r="V2495" s="82"/>
      <c r="W2495" s="82"/>
      <c r="X2495" s="82"/>
      <c r="Y2495" s="82"/>
      <c r="Z2495" s="82"/>
      <c r="AA2495" s="82"/>
      <c r="AB2495" s="82"/>
      <c r="AC2495" s="82"/>
      <c r="AD2495" s="82"/>
      <c r="AE2495" s="82"/>
      <c r="AF2495" s="82"/>
      <c r="AG2495" s="82"/>
      <c r="AH2495" s="82"/>
      <c r="AI2495" s="82"/>
      <c r="AJ2495" s="82"/>
      <c r="AK2495" s="82"/>
      <c r="AL2495" s="82"/>
      <c r="AM2495" s="82"/>
      <c r="AN2495" s="82">
        <f>IFERROR(__xludf.DUMMYFUNCTION("""COMPUTED_VALUE"""),0.0)</f>
        <v>0</v>
      </c>
      <c r="AO2495" s="82">
        <f>IFERROR(__xludf.DUMMYFUNCTION("""COMPUTED_VALUE"""),0.0)</f>
        <v>0</v>
      </c>
      <c r="AP2495" s="82">
        <f>IFERROR(__xludf.DUMMYFUNCTION("""COMPUTED_VALUE"""),0.0)</f>
        <v>0</v>
      </c>
      <c r="AQ2495" s="82">
        <f>IFERROR(__xludf.DUMMYFUNCTION("""COMPUTED_VALUE"""),0.0)</f>
        <v>0</v>
      </c>
      <c r="AR2495" s="82">
        <f>IFERROR(__xludf.DUMMYFUNCTION("""COMPUTED_VALUE"""),0.0)</f>
        <v>0</v>
      </c>
      <c r="AS2495" s="82"/>
      <c r="AT2495" s="82">
        <f>IFERROR(__xludf.DUMMYFUNCTION("""COMPUTED_VALUE"""),0.0)</f>
        <v>0</v>
      </c>
      <c r="AU2495" s="82"/>
      <c r="AV2495" s="82"/>
      <c r="AW2495" s="82" t="str">
        <f t="shared" si="1"/>
        <v/>
      </c>
      <c r="AX2495" s="83" t="str">
        <f t="array" ref="AX2495">IFERROR(DGET('SBV Import'!A:G,"SBV",{"RSC ID","Tier";B2495,A2495}))</f>
        <v/>
      </c>
      <c r="AY2495" s="82" t="str">
        <f t="shared" si="2"/>
        <v/>
      </c>
      <c r="AZ2495" s="82"/>
      <c r="BA2495" s="84" t="s">
        <v>152</v>
      </c>
      <c r="BB2495" s="84" t="str">
        <f>IFERROR(__xludf.DUMMYFUNCTION("iferror(if(A2495="""",,E2495&gt;=FILTER(Constants!$F$2:$F$10,Constants!$A$2:$A$10=A2495)))"),"")</f>
        <v/>
      </c>
    </row>
    <row r="2496">
      <c r="A2496" s="89"/>
      <c r="B2496" s="87"/>
      <c r="C2496" s="73"/>
      <c r="D2496" s="73"/>
      <c r="E2496" s="82"/>
      <c r="F2496" s="82"/>
      <c r="G2496" s="86"/>
      <c r="H2496" s="86"/>
      <c r="I2496" s="86"/>
      <c r="J2496" s="82"/>
      <c r="K2496" s="82"/>
      <c r="L2496" s="82"/>
      <c r="M2496" s="82"/>
      <c r="N2496" s="82"/>
      <c r="O2496" s="82"/>
      <c r="P2496" s="82"/>
      <c r="Q2496" s="82"/>
      <c r="R2496" s="82"/>
      <c r="S2496" s="82"/>
      <c r="T2496" s="82"/>
      <c r="U2496" s="82"/>
      <c r="V2496" s="82"/>
      <c r="W2496" s="82"/>
      <c r="X2496" s="82"/>
      <c r="Y2496" s="82"/>
      <c r="Z2496" s="82"/>
      <c r="AA2496" s="82"/>
      <c r="AB2496" s="82"/>
      <c r="AC2496" s="82"/>
      <c r="AD2496" s="82"/>
      <c r="AE2496" s="82"/>
      <c r="AF2496" s="82"/>
      <c r="AG2496" s="82"/>
      <c r="AH2496" s="82"/>
      <c r="AI2496" s="82"/>
      <c r="AJ2496" s="82"/>
      <c r="AK2496" s="82"/>
      <c r="AL2496" s="82"/>
      <c r="AM2496" s="82"/>
      <c r="AN2496" s="82">
        <f>IFERROR(__xludf.DUMMYFUNCTION("""COMPUTED_VALUE"""),0.0)</f>
        <v>0</v>
      </c>
      <c r="AO2496" s="82">
        <f>IFERROR(__xludf.DUMMYFUNCTION("""COMPUTED_VALUE"""),0.0)</f>
        <v>0</v>
      </c>
      <c r="AP2496" s="82">
        <f>IFERROR(__xludf.DUMMYFUNCTION("""COMPUTED_VALUE"""),0.0)</f>
        <v>0</v>
      </c>
      <c r="AQ2496" s="82">
        <f>IFERROR(__xludf.DUMMYFUNCTION("""COMPUTED_VALUE"""),0.0)</f>
        <v>0</v>
      </c>
      <c r="AR2496" s="82">
        <f>IFERROR(__xludf.DUMMYFUNCTION("""COMPUTED_VALUE"""),0.0)</f>
        <v>0</v>
      </c>
      <c r="AS2496" s="82"/>
      <c r="AT2496" s="82">
        <f>IFERROR(__xludf.DUMMYFUNCTION("""COMPUTED_VALUE"""),0.0)</f>
        <v>0</v>
      </c>
      <c r="AU2496" s="82"/>
      <c r="AV2496" s="82"/>
      <c r="AW2496" s="82" t="str">
        <f t="shared" si="1"/>
        <v/>
      </c>
      <c r="AX2496" s="83" t="str">
        <f t="array" ref="AX2496">IFERROR(DGET('SBV Import'!A:G,"SBV",{"RSC ID","Tier";B2496,A2496}))</f>
        <v/>
      </c>
      <c r="AY2496" s="82" t="str">
        <f t="shared" si="2"/>
        <v/>
      </c>
      <c r="AZ2496" s="82"/>
      <c r="BA2496" s="84" t="s">
        <v>152</v>
      </c>
      <c r="BB2496" s="84" t="str">
        <f>IFERROR(__xludf.DUMMYFUNCTION("iferror(if(A2496="""",,E2496&gt;=FILTER(Constants!$F$2:$F$10,Constants!$A$2:$A$10=A2496)))"),"")</f>
        <v/>
      </c>
    </row>
    <row r="2497">
      <c r="A2497" s="89"/>
      <c r="B2497" s="87"/>
      <c r="C2497" s="73"/>
      <c r="D2497" s="73"/>
      <c r="E2497" s="82"/>
      <c r="F2497" s="82"/>
      <c r="G2497" s="86"/>
      <c r="H2497" s="86"/>
      <c r="I2497" s="86"/>
      <c r="J2497" s="82"/>
      <c r="K2497" s="82"/>
      <c r="L2497" s="82"/>
      <c r="M2497" s="82"/>
      <c r="N2497" s="82"/>
      <c r="O2497" s="82"/>
      <c r="P2497" s="82"/>
      <c r="Q2497" s="82"/>
      <c r="R2497" s="82"/>
      <c r="S2497" s="82"/>
      <c r="T2497" s="82"/>
      <c r="U2497" s="82"/>
      <c r="V2497" s="82"/>
      <c r="W2497" s="82"/>
      <c r="X2497" s="82"/>
      <c r="Y2497" s="82"/>
      <c r="Z2497" s="82"/>
      <c r="AA2497" s="82"/>
      <c r="AB2497" s="82"/>
      <c r="AC2497" s="82"/>
      <c r="AD2497" s="82"/>
      <c r="AE2497" s="82"/>
      <c r="AF2497" s="82"/>
      <c r="AG2497" s="82"/>
      <c r="AH2497" s="82"/>
      <c r="AI2497" s="82"/>
      <c r="AJ2497" s="82"/>
      <c r="AK2497" s="82"/>
      <c r="AL2497" s="82"/>
      <c r="AM2497" s="82"/>
      <c r="AN2497" s="82">
        <f>IFERROR(__xludf.DUMMYFUNCTION("""COMPUTED_VALUE"""),0.0)</f>
        <v>0</v>
      </c>
      <c r="AO2497" s="82">
        <f>IFERROR(__xludf.DUMMYFUNCTION("""COMPUTED_VALUE"""),0.0)</f>
        <v>0</v>
      </c>
      <c r="AP2497" s="82">
        <f>IFERROR(__xludf.DUMMYFUNCTION("""COMPUTED_VALUE"""),0.0)</f>
        <v>0</v>
      </c>
      <c r="AQ2497" s="82">
        <f>IFERROR(__xludf.DUMMYFUNCTION("""COMPUTED_VALUE"""),0.0)</f>
        <v>0</v>
      </c>
      <c r="AR2497" s="82">
        <f>IFERROR(__xludf.DUMMYFUNCTION("""COMPUTED_VALUE"""),0.0)</f>
        <v>0</v>
      </c>
      <c r="AS2497" s="82"/>
      <c r="AT2497" s="82">
        <f>IFERROR(__xludf.DUMMYFUNCTION("""COMPUTED_VALUE"""),0.0)</f>
        <v>0</v>
      </c>
      <c r="AU2497" s="82"/>
      <c r="AV2497" s="82"/>
      <c r="AW2497" s="82" t="str">
        <f t="shared" si="1"/>
        <v/>
      </c>
      <c r="AX2497" s="83" t="str">
        <f t="array" ref="AX2497">IFERROR(DGET('SBV Import'!A:G,"SBV",{"RSC ID","Tier";B2497,A2497}))</f>
        <v/>
      </c>
      <c r="AY2497" s="82" t="str">
        <f t="shared" si="2"/>
        <v/>
      </c>
      <c r="AZ2497" s="82"/>
      <c r="BA2497" s="84" t="s">
        <v>152</v>
      </c>
      <c r="BB2497" s="84" t="str">
        <f>IFERROR(__xludf.DUMMYFUNCTION("iferror(if(A2497="""",,E2497&gt;=FILTER(Constants!$F$2:$F$10,Constants!$A$2:$A$10=A2497)))"),"")</f>
        <v/>
      </c>
    </row>
    <row r="2498">
      <c r="A2498" s="89"/>
      <c r="B2498" s="87"/>
      <c r="C2498" s="73"/>
      <c r="D2498" s="73"/>
      <c r="E2498" s="82"/>
      <c r="F2498" s="82"/>
      <c r="G2498" s="86"/>
      <c r="H2498" s="86"/>
      <c r="I2498" s="86"/>
      <c r="J2498" s="82"/>
      <c r="K2498" s="82"/>
      <c r="L2498" s="82"/>
      <c r="M2498" s="82"/>
      <c r="N2498" s="82"/>
      <c r="O2498" s="82"/>
      <c r="P2498" s="82"/>
      <c r="Q2498" s="82"/>
      <c r="R2498" s="82"/>
      <c r="S2498" s="82"/>
      <c r="T2498" s="82"/>
      <c r="U2498" s="82"/>
      <c r="V2498" s="82"/>
      <c r="W2498" s="82"/>
      <c r="X2498" s="82"/>
      <c r="Y2498" s="82"/>
      <c r="Z2498" s="82"/>
      <c r="AA2498" s="82"/>
      <c r="AB2498" s="82"/>
      <c r="AC2498" s="82"/>
      <c r="AD2498" s="82"/>
      <c r="AE2498" s="82"/>
      <c r="AF2498" s="82"/>
      <c r="AG2498" s="82"/>
      <c r="AH2498" s="82"/>
      <c r="AI2498" s="82"/>
      <c r="AJ2498" s="82"/>
      <c r="AK2498" s="82"/>
      <c r="AL2498" s="82"/>
      <c r="AM2498" s="82"/>
      <c r="AN2498" s="82">
        <f>IFERROR(__xludf.DUMMYFUNCTION("""COMPUTED_VALUE"""),0.0)</f>
        <v>0</v>
      </c>
      <c r="AO2498" s="82">
        <f>IFERROR(__xludf.DUMMYFUNCTION("""COMPUTED_VALUE"""),0.0)</f>
        <v>0</v>
      </c>
      <c r="AP2498" s="82">
        <f>IFERROR(__xludf.DUMMYFUNCTION("""COMPUTED_VALUE"""),0.0)</f>
        <v>0</v>
      </c>
      <c r="AQ2498" s="82">
        <f>IFERROR(__xludf.DUMMYFUNCTION("""COMPUTED_VALUE"""),0.0)</f>
        <v>0</v>
      </c>
      <c r="AR2498" s="82">
        <f>IFERROR(__xludf.DUMMYFUNCTION("""COMPUTED_VALUE"""),0.0)</f>
        <v>0</v>
      </c>
      <c r="AS2498" s="82"/>
      <c r="AT2498" s="82">
        <f>IFERROR(__xludf.DUMMYFUNCTION("""COMPUTED_VALUE"""),0.0)</f>
        <v>0</v>
      </c>
      <c r="AU2498" s="82"/>
      <c r="AV2498" s="82"/>
      <c r="AW2498" s="82" t="str">
        <f t="shared" si="1"/>
        <v/>
      </c>
      <c r="AX2498" s="83" t="str">
        <f t="array" ref="AX2498">IFERROR(DGET('SBV Import'!A:G,"SBV",{"RSC ID","Tier";B2498,A2498}))</f>
        <v/>
      </c>
      <c r="AY2498" s="82" t="str">
        <f t="shared" si="2"/>
        <v/>
      </c>
      <c r="AZ2498" s="82"/>
      <c r="BA2498" s="84" t="s">
        <v>152</v>
      </c>
      <c r="BB2498" s="84" t="str">
        <f>IFERROR(__xludf.DUMMYFUNCTION("iferror(if(A2498="""",,E2498&gt;=FILTER(Constants!$F$2:$F$10,Constants!$A$2:$A$10=A2498)))"),"")</f>
        <v/>
      </c>
    </row>
    <row r="2499">
      <c r="A2499" s="89"/>
      <c r="B2499" s="87"/>
      <c r="C2499" s="73"/>
      <c r="D2499" s="73"/>
      <c r="E2499" s="82"/>
      <c r="F2499" s="82"/>
      <c r="G2499" s="86"/>
      <c r="H2499" s="86"/>
      <c r="I2499" s="86"/>
      <c r="J2499" s="82"/>
      <c r="K2499" s="82"/>
      <c r="L2499" s="82"/>
      <c r="M2499" s="82"/>
      <c r="N2499" s="82"/>
      <c r="O2499" s="82"/>
      <c r="P2499" s="82"/>
      <c r="Q2499" s="82"/>
      <c r="R2499" s="82"/>
      <c r="S2499" s="82"/>
      <c r="T2499" s="82"/>
      <c r="U2499" s="82"/>
      <c r="V2499" s="82"/>
      <c r="W2499" s="82"/>
      <c r="X2499" s="82"/>
      <c r="Y2499" s="82"/>
      <c r="Z2499" s="82"/>
      <c r="AA2499" s="82"/>
      <c r="AB2499" s="82"/>
      <c r="AC2499" s="82"/>
      <c r="AD2499" s="82"/>
      <c r="AE2499" s="82"/>
      <c r="AF2499" s="82"/>
      <c r="AG2499" s="82"/>
      <c r="AH2499" s="82"/>
      <c r="AI2499" s="82"/>
      <c r="AJ2499" s="82"/>
      <c r="AK2499" s="82"/>
      <c r="AL2499" s="82"/>
      <c r="AM2499" s="82"/>
      <c r="AN2499" s="82">
        <f>IFERROR(__xludf.DUMMYFUNCTION("""COMPUTED_VALUE"""),0.0)</f>
        <v>0</v>
      </c>
      <c r="AO2499" s="82">
        <f>IFERROR(__xludf.DUMMYFUNCTION("""COMPUTED_VALUE"""),0.0)</f>
        <v>0</v>
      </c>
      <c r="AP2499" s="82">
        <f>IFERROR(__xludf.DUMMYFUNCTION("""COMPUTED_VALUE"""),0.0)</f>
        <v>0</v>
      </c>
      <c r="AQ2499" s="82">
        <f>IFERROR(__xludf.DUMMYFUNCTION("""COMPUTED_VALUE"""),0.0)</f>
        <v>0</v>
      </c>
      <c r="AR2499" s="82">
        <f>IFERROR(__xludf.DUMMYFUNCTION("""COMPUTED_VALUE"""),0.0)</f>
        <v>0</v>
      </c>
      <c r="AS2499" s="82"/>
      <c r="AT2499" s="82">
        <f>IFERROR(__xludf.DUMMYFUNCTION("""COMPUTED_VALUE"""),0.0)</f>
        <v>0</v>
      </c>
      <c r="AU2499" s="82"/>
      <c r="AV2499" s="82"/>
      <c r="AW2499" s="82" t="str">
        <f t="shared" si="1"/>
        <v/>
      </c>
      <c r="AX2499" s="83" t="str">
        <f t="array" ref="AX2499">IFERROR(DGET('SBV Import'!A:G,"SBV",{"RSC ID","Tier";B2499,A2499}))</f>
        <v/>
      </c>
      <c r="AY2499" s="82" t="str">
        <f t="shared" si="2"/>
        <v/>
      </c>
      <c r="AZ2499" s="82"/>
      <c r="BA2499" s="84" t="s">
        <v>152</v>
      </c>
      <c r="BB2499" s="84" t="str">
        <f>IFERROR(__xludf.DUMMYFUNCTION("iferror(if(A2499="""",,E2499&gt;=FILTER(Constants!$F$2:$F$10,Constants!$A$2:$A$10=A2499)))"),"")</f>
        <v/>
      </c>
    </row>
    <row r="2500">
      <c r="A2500" s="89"/>
      <c r="B2500" s="87"/>
      <c r="C2500" s="73"/>
      <c r="D2500" s="73"/>
      <c r="E2500" s="82"/>
      <c r="F2500" s="82"/>
      <c r="G2500" s="86"/>
      <c r="H2500" s="86"/>
      <c r="I2500" s="86"/>
      <c r="J2500" s="82"/>
      <c r="K2500" s="82"/>
      <c r="L2500" s="82"/>
      <c r="M2500" s="82"/>
      <c r="N2500" s="82"/>
      <c r="O2500" s="82"/>
      <c r="P2500" s="82"/>
      <c r="Q2500" s="82"/>
      <c r="R2500" s="82"/>
      <c r="S2500" s="82"/>
      <c r="T2500" s="82"/>
      <c r="U2500" s="82"/>
      <c r="V2500" s="82"/>
      <c r="W2500" s="82"/>
      <c r="X2500" s="82"/>
      <c r="Y2500" s="82"/>
      <c r="Z2500" s="82"/>
      <c r="AA2500" s="82"/>
      <c r="AB2500" s="82"/>
      <c r="AC2500" s="82"/>
      <c r="AD2500" s="82"/>
      <c r="AE2500" s="82"/>
      <c r="AF2500" s="82"/>
      <c r="AG2500" s="82"/>
      <c r="AH2500" s="82"/>
      <c r="AI2500" s="82"/>
      <c r="AJ2500" s="82"/>
      <c r="AK2500" s="82"/>
      <c r="AL2500" s="82"/>
      <c r="AM2500" s="82"/>
      <c r="AN2500" s="82">
        <f>IFERROR(__xludf.DUMMYFUNCTION("""COMPUTED_VALUE"""),0.0)</f>
        <v>0</v>
      </c>
      <c r="AO2500" s="82">
        <f>IFERROR(__xludf.DUMMYFUNCTION("""COMPUTED_VALUE"""),0.0)</f>
        <v>0</v>
      </c>
      <c r="AP2500" s="82">
        <f>IFERROR(__xludf.DUMMYFUNCTION("""COMPUTED_VALUE"""),0.0)</f>
        <v>0</v>
      </c>
      <c r="AQ2500" s="82">
        <f>IFERROR(__xludf.DUMMYFUNCTION("""COMPUTED_VALUE"""),0.0)</f>
        <v>0</v>
      </c>
      <c r="AR2500" s="82">
        <f>IFERROR(__xludf.DUMMYFUNCTION("""COMPUTED_VALUE"""),0.0)</f>
        <v>0</v>
      </c>
      <c r="AS2500" s="82"/>
      <c r="AT2500" s="82">
        <f>IFERROR(__xludf.DUMMYFUNCTION("""COMPUTED_VALUE"""),0.0)</f>
        <v>0</v>
      </c>
      <c r="AU2500" s="82"/>
      <c r="AV2500" s="82"/>
      <c r="AW2500" s="82" t="str">
        <f t="shared" si="1"/>
        <v/>
      </c>
      <c r="AX2500" s="83" t="str">
        <f t="array" ref="AX2500">IFERROR(DGET('SBV Import'!A:G,"SBV",{"RSC ID","Tier";B2500,A2500}))</f>
        <v/>
      </c>
      <c r="AY2500" s="82" t="str">
        <f t="shared" si="2"/>
        <v/>
      </c>
      <c r="AZ2500" s="82"/>
      <c r="BA2500" s="84" t="s">
        <v>152</v>
      </c>
      <c r="BB2500" s="84" t="str">
        <f>IFERROR(__xludf.DUMMYFUNCTION("iferror(if(A2500="""",,E2500&gt;=FILTER(Constants!$F$2:$F$10,Constants!$A$2:$A$10=A2500)))"),"")</f>
        <v/>
      </c>
    </row>
    <row r="2501">
      <c r="A2501" s="89"/>
      <c r="B2501" s="87"/>
      <c r="C2501" s="73"/>
      <c r="D2501" s="73"/>
      <c r="E2501" s="82"/>
      <c r="F2501" s="82"/>
      <c r="G2501" s="86"/>
      <c r="H2501" s="86"/>
      <c r="I2501" s="86"/>
      <c r="J2501" s="82"/>
      <c r="K2501" s="82"/>
      <c r="L2501" s="82"/>
      <c r="M2501" s="82"/>
      <c r="N2501" s="82"/>
      <c r="O2501" s="82"/>
      <c r="P2501" s="82"/>
      <c r="Q2501" s="82"/>
      <c r="R2501" s="82"/>
      <c r="S2501" s="82"/>
      <c r="T2501" s="82"/>
      <c r="U2501" s="82"/>
      <c r="V2501" s="82"/>
      <c r="W2501" s="82"/>
      <c r="X2501" s="82"/>
      <c r="Y2501" s="82"/>
      <c r="Z2501" s="82"/>
      <c r="AA2501" s="82"/>
      <c r="AB2501" s="82"/>
      <c r="AC2501" s="82"/>
      <c r="AD2501" s="82"/>
      <c r="AE2501" s="82"/>
      <c r="AF2501" s="82"/>
      <c r="AG2501" s="82"/>
      <c r="AH2501" s="82"/>
      <c r="AI2501" s="82"/>
      <c r="AJ2501" s="82"/>
      <c r="AK2501" s="82"/>
      <c r="AL2501" s="82"/>
      <c r="AM2501" s="82"/>
      <c r="AN2501" s="82">
        <f>IFERROR(__xludf.DUMMYFUNCTION("""COMPUTED_VALUE"""),0.0)</f>
        <v>0</v>
      </c>
      <c r="AO2501" s="82">
        <f>IFERROR(__xludf.DUMMYFUNCTION("""COMPUTED_VALUE"""),0.0)</f>
        <v>0</v>
      </c>
      <c r="AP2501" s="82">
        <f>IFERROR(__xludf.DUMMYFUNCTION("""COMPUTED_VALUE"""),0.0)</f>
        <v>0</v>
      </c>
      <c r="AQ2501" s="82">
        <f>IFERROR(__xludf.DUMMYFUNCTION("""COMPUTED_VALUE"""),0.0)</f>
        <v>0</v>
      </c>
      <c r="AR2501" s="82">
        <f>IFERROR(__xludf.DUMMYFUNCTION("""COMPUTED_VALUE"""),0.0)</f>
        <v>0</v>
      </c>
      <c r="AS2501" s="82"/>
      <c r="AT2501" s="82">
        <f>IFERROR(__xludf.DUMMYFUNCTION("""COMPUTED_VALUE"""),0.0)</f>
        <v>0</v>
      </c>
      <c r="AU2501" s="82"/>
      <c r="AV2501" s="82"/>
      <c r="AW2501" s="82" t="str">
        <f t="shared" si="1"/>
        <v/>
      </c>
      <c r="AX2501" s="83" t="str">
        <f t="array" ref="AX2501">IFERROR(DGET('SBV Import'!A:G,"SBV",{"RSC ID","Tier";B2501,A2501}))</f>
        <v/>
      </c>
      <c r="AY2501" s="82" t="str">
        <f t="shared" si="2"/>
        <v/>
      </c>
      <c r="AZ2501" s="82"/>
      <c r="BA2501" s="84" t="s">
        <v>152</v>
      </c>
      <c r="BB2501" s="84" t="str">
        <f>IFERROR(__xludf.DUMMYFUNCTION("iferror(if(A2501="""",,E2501&gt;=FILTER(Constants!$F$2:$F$10,Constants!$A$2:$A$10=A2501)))"),"")</f>
        <v/>
      </c>
    </row>
    <row r="2502">
      <c r="A2502" s="89"/>
      <c r="B2502" s="87"/>
      <c r="C2502" s="73"/>
      <c r="D2502" s="73"/>
      <c r="E2502" s="82"/>
      <c r="F2502" s="82"/>
      <c r="G2502" s="86"/>
      <c r="H2502" s="86"/>
      <c r="I2502" s="86"/>
      <c r="J2502" s="82"/>
      <c r="K2502" s="82"/>
      <c r="L2502" s="82"/>
      <c r="M2502" s="82"/>
      <c r="N2502" s="82"/>
      <c r="O2502" s="82"/>
      <c r="P2502" s="82"/>
      <c r="Q2502" s="82"/>
      <c r="R2502" s="82"/>
      <c r="S2502" s="82"/>
      <c r="T2502" s="82"/>
      <c r="U2502" s="82"/>
      <c r="V2502" s="82"/>
      <c r="W2502" s="82"/>
      <c r="X2502" s="82"/>
      <c r="Y2502" s="82"/>
      <c r="Z2502" s="82"/>
      <c r="AA2502" s="82"/>
      <c r="AB2502" s="82"/>
      <c r="AC2502" s="82"/>
      <c r="AD2502" s="82"/>
      <c r="AE2502" s="82"/>
      <c r="AF2502" s="82"/>
      <c r="AG2502" s="82"/>
      <c r="AH2502" s="82"/>
      <c r="AI2502" s="82"/>
      <c r="AJ2502" s="82"/>
      <c r="AK2502" s="82"/>
      <c r="AL2502" s="82"/>
      <c r="AM2502" s="82"/>
      <c r="AN2502" s="82">
        <f>IFERROR(__xludf.DUMMYFUNCTION("""COMPUTED_VALUE"""),0.0)</f>
        <v>0</v>
      </c>
      <c r="AO2502" s="82">
        <f>IFERROR(__xludf.DUMMYFUNCTION("""COMPUTED_VALUE"""),0.0)</f>
        <v>0</v>
      </c>
      <c r="AP2502" s="82">
        <f>IFERROR(__xludf.DUMMYFUNCTION("""COMPUTED_VALUE"""),0.0)</f>
        <v>0</v>
      </c>
      <c r="AQ2502" s="82">
        <f>IFERROR(__xludf.DUMMYFUNCTION("""COMPUTED_VALUE"""),0.0)</f>
        <v>0</v>
      </c>
      <c r="AR2502" s="82">
        <f>IFERROR(__xludf.DUMMYFUNCTION("""COMPUTED_VALUE"""),0.0)</f>
        <v>0</v>
      </c>
      <c r="AS2502" s="82"/>
      <c r="AT2502" s="82">
        <f>IFERROR(__xludf.DUMMYFUNCTION("""COMPUTED_VALUE"""),0.0)</f>
        <v>0</v>
      </c>
      <c r="AU2502" s="82"/>
      <c r="AV2502" s="82"/>
      <c r="AW2502" s="82" t="str">
        <f t="shared" si="1"/>
        <v/>
      </c>
      <c r="AX2502" s="83" t="str">
        <f t="array" ref="AX2502">IFERROR(DGET('SBV Import'!A:G,"SBV",{"RSC ID","Tier";B2502,A2502}))</f>
        <v/>
      </c>
      <c r="AY2502" s="82" t="str">
        <f t="shared" si="2"/>
        <v/>
      </c>
      <c r="AZ2502" s="82"/>
      <c r="BA2502" s="84" t="s">
        <v>152</v>
      </c>
      <c r="BB2502" s="84" t="str">
        <f>IFERROR(__xludf.DUMMYFUNCTION("iferror(if(A2502="""",,E2502&gt;=FILTER(Constants!$F$2:$F$10,Constants!$A$2:$A$10=A2502)))"),"")</f>
        <v/>
      </c>
    </row>
    <row r="2503">
      <c r="A2503" s="89"/>
      <c r="B2503" s="87"/>
      <c r="C2503" s="73"/>
      <c r="D2503" s="73"/>
      <c r="E2503" s="82"/>
      <c r="F2503" s="82"/>
      <c r="G2503" s="86"/>
      <c r="H2503" s="86"/>
      <c r="I2503" s="86"/>
      <c r="J2503" s="82"/>
      <c r="K2503" s="82"/>
      <c r="L2503" s="82"/>
      <c r="M2503" s="82"/>
      <c r="N2503" s="82"/>
      <c r="O2503" s="82"/>
      <c r="P2503" s="82"/>
      <c r="Q2503" s="82"/>
      <c r="R2503" s="82"/>
      <c r="S2503" s="82"/>
      <c r="T2503" s="82"/>
      <c r="U2503" s="82"/>
      <c r="V2503" s="82"/>
      <c r="W2503" s="82"/>
      <c r="X2503" s="82"/>
      <c r="Y2503" s="82"/>
      <c r="Z2503" s="82"/>
      <c r="AA2503" s="82"/>
      <c r="AB2503" s="82"/>
      <c r="AC2503" s="82"/>
      <c r="AD2503" s="82"/>
      <c r="AE2503" s="82"/>
      <c r="AF2503" s="82"/>
      <c r="AG2503" s="82"/>
      <c r="AH2503" s="82"/>
      <c r="AI2503" s="82"/>
      <c r="AJ2503" s="82"/>
      <c r="AK2503" s="82"/>
      <c r="AL2503" s="82"/>
      <c r="AM2503" s="82"/>
      <c r="AN2503" s="82">
        <f>IFERROR(__xludf.DUMMYFUNCTION("""COMPUTED_VALUE"""),0.0)</f>
        <v>0</v>
      </c>
      <c r="AO2503" s="82">
        <f>IFERROR(__xludf.DUMMYFUNCTION("""COMPUTED_VALUE"""),0.0)</f>
        <v>0</v>
      </c>
      <c r="AP2503" s="82">
        <f>IFERROR(__xludf.DUMMYFUNCTION("""COMPUTED_VALUE"""),0.0)</f>
        <v>0</v>
      </c>
      <c r="AQ2503" s="82">
        <f>IFERROR(__xludf.DUMMYFUNCTION("""COMPUTED_VALUE"""),0.0)</f>
        <v>0</v>
      </c>
      <c r="AR2503" s="82">
        <f>IFERROR(__xludf.DUMMYFUNCTION("""COMPUTED_VALUE"""),0.0)</f>
        <v>0</v>
      </c>
      <c r="AS2503" s="82"/>
      <c r="AT2503" s="82">
        <f>IFERROR(__xludf.DUMMYFUNCTION("""COMPUTED_VALUE"""),0.0)</f>
        <v>0</v>
      </c>
      <c r="AU2503" s="82"/>
      <c r="AV2503" s="82"/>
      <c r="AW2503" s="82" t="str">
        <f t="shared" si="1"/>
        <v/>
      </c>
      <c r="AX2503" s="83" t="str">
        <f t="array" ref="AX2503">IFERROR(DGET('SBV Import'!A:G,"SBV",{"RSC ID","Tier";B2503,A2503}))</f>
        <v/>
      </c>
      <c r="AY2503" s="82" t="str">
        <f t="shared" si="2"/>
        <v/>
      </c>
      <c r="AZ2503" s="82"/>
      <c r="BA2503" s="84" t="s">
        <v>152</v>
      </c>
      <c r="BB2503" s="84" t="str">
        <f>IFERROR(__xludf.DUMMYFUNCTION("iferror(if(A2503="""",,E2503&gt;=FILTER(Constants!$F$2:$F$10,Constants!$A$2:$A$10=A2503)))"),"")</f>
        <v/>
      </c>
    </row>
    <row r="2504">
      <c r="A2504" s="89"/>
      <c r="B2504" s="87"/>
      <c r="C2504" s="73"/>
      <c r="D2504" s="73"/>
      <c r="E2504" s="82"/>
      <c r="F2504" s="82"/>
      <c r="G2504" s="86"/>
      <c r="H2504" s="86"/>
      <c r="I2504" s="86"/>
      <c r="J2504" s="82"/>
      <c r="K2504" s="82"/>
      <c r="L2504" s="82"/>
      <c r="M2504" s="82"/>
      <c r="N2504" s="82"/>
      <c r="O2504" s="82"/>
      <c r="P2504" s="82"/>
      <c r="Q2504" s="82"/>
      <c r="R2504" s="82"/>
      <c r="S2504" s="82"/>
      <c r="T2504" s="82"/>
      <c r="U2504" s="82"/>
      <c r="V2504" s="82"/>
      <c r="W2504" s="82"/>
      <c r="X2504" s="82"/>
      <c r="Y2504" s="82"/>
      <c r="Z2504" s="82"/>
      <c r="AA2504" s="82"/>
      <c r="AB2504" s="82"/>
      <c r="AC2504" s="82"/>
      <c r="AD2504" s="82"/>
      <c r="AE2504" s="82"/>
      <c r="AF2504" s="82"/>
      <c r="AG2504" s="82"/>
      <c r="AH2504" s="82"/>
      <c r="AI2504" s="82"/>
      <c r="AJ2504" s="82"/>
      <c r="AK2504" s="82"/>
      <c r="AL2504" s="82"/>
      <c r="AM2504" s="82"/>
      <c r="AN2504" s="82">
        <f>IFERROR(__xludf.DUMMYFUNCTION("""COMPUTED_VALUE"""),0.0)</f>
        <v>0</v>
      </c>
      <c r="AO2504" s="82">
        <f>IFERROR(__xludf.DUMMYFUNCTION("""COMPUTED_VALUE"""),0.0)</f>
        <v>0</v>
      </c>
      <c r="AP2504" s="82">
        <f>IFERROR(__xludf.DUMMYFUNCTION("""COMPUTED_VALUE"""),0.0)</f>
        <v>0</v>
      </c>
      <c r="AQ2504" s="82">
        <f>IFERROR(__xludf.DUMMYFUNCTION("""COMPUTED_VALUE"""),0.0)</f>
        <v>0</v>
      </c>
      <c r="AR2504" s="82">
        <f>IFERROR(__xludf.DUMMYFUNCTION("""COMPUTED_VALUE"""),0.0)</f>
        <v>0</v>
      </c>
      <c r="AS2504" s="82"/>
      <c r="AT2504" s="82">
        <f>IFERROR(__xludf.DUMMYFUNCTION("""COMPUTED_VALUE"""),0.0)</f>
        <v>0</v>
      </c>
      <c r="AU2504" s="82"/>
      <c r="AV2504" s="82"/>
      <c r="AW2504" s="82" t="str">
        <f t="shared" si="1"/>
        <v/>
      </c>
      <c r="AX2504" s="83" t="str">
        <f t="array" ref="AX2504">IFERROR(DGET('SBV Import'!A:G,"SBV",{"RSC ID","Tier";B2504,A2504}))</f>
        <v/>
      </c>
      <c r="AY2504" s="82" t="str">
        <f t="shared" si="2"/>
        <v/>
      </c>
      <c r="AZ2504" s="82"/>
      <c r="BA2504" s="84" t="s">
        <v>152</v>
      </c>
      <c r="BB2504" s="84" t="str">
        <f>IFERROR(__xludf.DUMMYFUNCTION("iferror(if(A2504="""",,E2504&gt;=FILTER(Constants!$F$2:$F$10,Constants!$A$2:$A$10=A2504)))"),"")</f>
        <v/>
      </c>
    </row>
    <row r="2505">
      <c r="A2505" s="89"/>
      <c r="B2505" s="87"/>
      <c r="C2505" s="73"/>
      <c r="D2505" s="73"/>
      <c r="E2505" s="82"/>
      <c r="F2505" s="82"/>
      <c r="G2505" s="86"/>
      <c r="H2505" s="86"/>
      <c r="I2505" s="86"/>
      <c r="J2505" s="82"/>
      <c r="K2505" s="82"/>
      <c r="L2505" s="82"/>
      <c r="M2505" s="82"/>
      <c r="N2505" s="82"/>
      <c r="O2505" s="82"/>
      <c r="P2505" s="82"/>
      <c r="Q2505" s="82"/>
      <c r="R2505" s="82"/>
      <c r="S2505" s="82"/>
      <c r="T2505" s="82"/>
      <c r="U2505" s="82"/>
      <c r="V2505" s="82"/>
      <c r="W2505" s="82"/>
      <c r="X2505" s="82"/>
      <c r="Y2505" s="82"/>
      <c r="Z2505" s="82"/>
      <c r="AA2505" s="82"/>
      <c r="AB2505" s="82"/>
      <c r="AC2505" s="82"/>
      <c r="AD2505" s="82"/>
      <c r="AE2505" s="82"/>
      <c r="AF2505" s="82"/>
      <c r="AG2505" s="82"/>
      <c r="AH2505" s="82"/>
      <c r="AI2505" s="82"/>
      <c r="AJ2505" s="82"/>
      <c r="AK2505" s="82"/>
      <c r="AL2505" s="82"/>
      <c r="AM2505" s="82"/>
      <c r="AN2505" s="82">
        <f>IFERROR(__xludf.DUMMYFUNCTION("""COMPUTED_VALUE"""),0.0)</f>
        <v>0</v>
      </c>
      <c r="AO2505" s="82">
        <f>IFERROR(__xludf.DUMMYFUNCTION("""COMPUTED_VALUE"""),0.0)</f>
        <v>0</v>
      </c>
      <c r="AP2505" s="82">
        <f>IFERROR(__xludf.DUMMYFUNCTION("""COMPUTED_VALUE"""),0.0)</f>
        <v>0</v>
      </c>
      <c r="AQ2505" s="82">
        <f>IFERROR(__xludf.DUMMYFUNCTION("""COMPUTED_VALUE"""),0.0)</f>
        <v>0</v>
      </c>
      <c r="AR2505" s="82">
        <f>IFERROR(__xludf.DUMMYFUNCTION("""COMPUTED_VALUE"""),0.0)</f>
        <v>0</v>
      </c>
      <c r="AS2505" s="82"/>
      <c r="AT2505" s="82">
        <f>IFERROR(__xludf.DUMMYFUNCTION("""COMPUTED_VALUE"""),0.0)</f>
        <v>0</v>
      </c>
      <c r="AU2505" s="82"/>
      <c r="AV2505" s="82"/>
      <c r="AW2505" s="82" t="str">
        <f t="shared" si="1"/>
        <v/>
      </c>
      <c r="AX2505" s="83" t="str">
        <f t="array" ref="AX2505">IFERROR(DGET('SBV Import'!A:G,"SBV",{"RSC ID","Tier";B2505,A2505}))</f>
        <v/>
      </c>
      <c r="AY2505" s="82" t="str">
        <f t="shared" si="2"/>
        <v/>
      </c>
      <c r="AZ2505" s="82"/>
      <c r="BA2505" s="84" t="s">
        <v>152</v>
      </c>
      <c r="BB2505" s="84" t="str">
        <f>IFERROR(__xludf.DUMMYFUNCTION("iferror(if(A2505="""",,E2505&gt;=FILTER(Constants!$F$2:$F$10,Constants!$A$2:$A$10=A2505)))"),"")</f>
        <v/>
      </c>
    </row>
    <row r="2506">
      <c r="A2506" s="89"/>
      <c r="B2506" s="87"/>
      <c r="C2506" s="73"/>
      <c r="D2506" s="73"/>
      <c r="E2506" s="82"/>
      <c r="F2506" s="82"/>
      <c r="G2506" s="86"/>
      <c r="H2506" s="86"/>
      <c r="I2506" s="86"/>
      <c r="J2506" s="82"/>
      <c r="K2506" s="82"/>
      <c r="L2506" s="82"/>
      <c r="M2506" s="82"/>
      <c r="N2506" s="82"/>
      <c r="O2506" s="82"/>
      <c r="P2506" s="82"/>
      <c r="Q2506" s="82"/>
      <c r="R2506" s="82"/>
      <c r="S2506" s="82"/>
      <c r="T2506" s="82"/>
      <c r="U2506" s="82"/>
      <c r="V2506" s="82"/>
      <c r="W2506" s="82"/>
      <c r="X2506" s="82"/>
      <c r="Y2506" s="82"/>
      <c r="Z2506" s="82"/>
      <c r="AA2506" s="82"/>
      <c r="AB2506" s="82"/>
      <c r="AC2506" s="82"/>
      <c r="AD2506" s="82"/>
      <c r="AE2506" s="82"/>
      <c r="AF2506" s="82"/>
      <c r="AG2506" s="82"/>
      <c r="AH2506" s="82"/>
      <c r="AI2506" s="82"/>
      <c r="AJ2506" s="82"/>
      <c r="AK2506" s="82"/>
      <c r="AL2506" s="82"/>
      <c r="AM2506" s="82"/>
      <c r="AN2506" s="82">
        <f>IFERROR(__xludf.DUMMYFUNCTION("""COMPUTED_VALUE"""),0.0)</f>
        <v>0</v>
      </c>
      <c r="AO2506" s="82">
        <f>IFERROR(__xludf.DUMMYFUNCTION("""COMPUTED_VALUE"""),0.0)</f>
        <v>0</v>
      </c>
      <c r="AP2506" s="82">
        <f>IFERROR(__xludf.DUMMYFUNCTION("""COMPUTED_VALUE"""),0.0)</f>
        <v>0</v>
      </c>
      <c r="AQ2506" s="82">
        <f>IFERROR(__xludf.DUMMYFUNCTION("""COMPUTED_VALUE"""),0.0)</f>
        <v>0</v>
      </c>
      <c r="AR2506" s="82">
        <f>IFERROR(__xludf.DUMMYFUNCTION("""COMPUTED_VALUE"""),0.0)</f>
        <v>0</v>
      </c>
      <c r="AS2506" s="82"/>
      <c r="AT2506" s="82">
        <f>IFERROR(__xludf.DUMMYFUNCTION("""COMPUTED_VALUE"""),0.0)</f>
        <v>0</v>
      </c>
      <c r="AU2506" s="82"/>
      <c r="AV2506" s="82"/>
      <c r="AW2506" s="82" t="str">
        <f t="shared" si="1"/>
        <v/>
      </c>
      <c r="AX2506" s="83" t="str">
        <f t="array" ref="AX2506">IFERROR(DGET('SBV Import'!A:G,"SBV",{"RSC ID","Tier";B2506,A2506}))</f>
        <v/>
      </c>
      <c r="AY2506" s="82" t="str">
        <f t="shared" si="2"/>
        <v/>
      </c>
      <c r="AZ2506" s="82"/>
      <c r="BA2506" s="84" t="s">
        <v>152</v>
      </c>
      <c r="BB2506" s="84" t="str">
        <f>IFERROR(__xludf.DUMMYFUNCTION("iferror(if(A2506="""",,E2506&gt;=FILTER(Constants!$F$2:$F$10,Constants!$A$2:$A$10=A2506)))"),"")</f>
        <v/>
      </c>
    </row>
    <row r="2507">
      <c r="A2507" s="89"/>
      <c r="B2507" s="87"/>
      <c r="C2507" s="73"/>
      <c r="D2507" s="73"/>
      <c r="E2507" s="82"/>
      <c r="F2507" s="82"/>
      <c r="G2507" s="86"/>
      <c r="H2507" s="86"/>
      <c r="I2507" s="86"/>
      <c r="J2507" s="82"/>
      <c r="K2507" s="82"/>
      <c r="L2507" s="82"/>
      <c r="M2507" s="82"/>
      <c r="N2507" s="82"/>
      <c r="O2507" s="82"/>
      <c r="P2507" s="82"/>
      <c r="Q2507" s="82"/>
      <c r="R2507" s="82"/>
      <c r="S2507" s="82"/>
      <c r="T2507" s="82"/>
      <c r="U2507" s="82"/>
      <c r="V2507" s="82"/>
      <c r="W2507" s="82"/>
      <c r="X2507" s="82"/>
      <c r="Y2507" s="82"/>
      <c r="Z2507" s="82"/>
      <c r="AA2507" s="82"/>
      <c r="AB2507" s="82"/>
      <c r="AC2507" s="82"/>
      <c r="AD2507" s="82"/>
      <c r="AE2507" s="82"/>
      <c r="AF2507" s="82"/>
      <c r="AG2507" s="82"/>
      <c r="AH2507" s="82"/>
      <c r="AI2507" s="82"/>
      <c r="AJ2507" s="82"/>
      <c r="AK2507" s="82"/>
      <c r="AL2507" s="82"/>
      <c r="AM2507" s="82"/>
      <c r="AN2507" s="82">
        <f>IFERROR(__xludf.DUMMYFUNCTION("""COMPUTED_VALUE"""),0.0)</f>
        <v>0</v>
      </c>
      <c r="AO2507" s="82">
        <f>IFERROR(__xludf.DUMMYFUNCTION("""COMPUTED_VALUE"""),0.0)</f>
        <v>0</v>
      </c>
      <c r="AP2507" s="82">
        <f>IFERROR(__xludf.DUMMYFUNCTION("""COMPUTED_VALUE"""),0.0)</f>
        <v>0</v>
      </c>
      <c r="AQ2507" s="82">
        <f>IFERROR(__xludf.DUMMYFUNCTION("""COMPUTED_VALUE"""),0.0)</f>
        <v>0</v>
      </c>
      <c r="AR2507" s="82">
        <f>IFERROR(__xludf.DUMMYFUNCTION("""COMPUTED_VALUE"""),0.0)</f>
        <v>0</v>
      </c>
      <c r="AS2507" s="82"/>
      <c r="AT2507" s="82">
        <f>IFERROR(__xludf.DUMMYFUNCTION("""COMPUTED_VALUE"""),0.0)</f>
        <v>0</v>
      </c>
      <c r="AU2507" s="82"/>
      <c r="AV2507" s="82"/>
      <c r="AW2507" s="82" t="str">
        <f t="shared" si="1"/>
        <v/>
      </c>
      <c r="AX2507" s="83" t="str">
        <f t="array" ref="AX2507">IFERROR(DGET('SBV Import'!A:G,"SBV",{"RSC ID","Tier";B2507,A2507}))</f>
        <v/>
      </c>
      <c r="AY2507" s="82" t="str">
        <f t="shared" si="2"/>
        <v/>
      </c>
      <c r="AZ2507" s="82"/>
      <c r="BA2507" s="84" t="s">
        <v>152</v>
      </c>
      <c r="BB2507" s="84" t="str">
        <f>IFERROR(__xludf.DUMMYFUNCTION("iferror(if(A2507="""",,E2507&gt;=FILTER(Constants!$F$2:$F$10,Constants!$A$2:$A$10=A2507)))"),"")</f>
        <v/>
      </c>
    </row>
    <row r="2508">
      <c r="A2508" s="89"/>
      <c r="B2508" s="87"/>
      <c r="C2508" s="73"/>
      <c r="D2508" s="73"/>
      <c r="E2508" s="82"/>
      <c r="F2508" s="82"/>
      <c r="G2508" s="86"/>
      <c r="H2508" s="86"/>
      <c r="I2508" s="86"/>
      <c r="J2508" s="82"/>
      <c r="K2508" s="82"/>
      <c r="L2508" s="82"/>
      <c r="M2508" s="82"/>
      <c r="N2508" s="82"/>
      <c r="O2508" s="82"/>
      <c r="P2508" s="82"/>
      <c r="Q2508" s="82"/>
      <c r="R2508" s="82"/>
      <c r="S2508" s="82"/>
      <c r="T2508" s="82"/>
      <c r="U2508" s="82"/>
      <c r="V2508" s="82"/>
      <c r="W2508" s="82"/>
      <c r="X2508" s="82"/>
      <c r="Y2508" s="82"/>
      <c r="Z2508" s="82"/>
      <c r="AA2508" s="82"/>
      <c r="AB2508" s="82"/>
      <c r="AC2508" s="82"/>
      <c r="AD2508" s="82"/>
      <c r="AE2508" s="82"/>
      <c r="AF2508" s="82"/>
      <c r="AG2508" s="82"/>
      <c r="AH2508" s="82"/>
      <c r="AI2508" s="82"/>
      <c r="AJ2508" s="82"/>
      <c r="AK2508" s="82"/>
      <c r="AL2508" s="82"/>
      <c r="AM2508" s="82"/>
      <c r="AN2508" s="82">
        <f>IFERROR(__xludf.DUMMYFUNCTION("""COMPUTED_VALUE"""),0.0)</f>
        <v>0</v>
      </c>
      <c r="AO2508" s="82">
        <f>IFERROR(__xludf.DUMMYFUNCTION("""COMPUTED_VALUE"""),0.0)</f>
        <v>0</v>
      </c>
      <c r="AP2508" s="82">
        <f>IFERROR(__xludf.DUMMYFUNCTION("""COMPUTED_VALUE"""),0.0)</f>
        <v>0</v>
      </c>
      <c r="AQ2508" s="82">
        <f>IFERROR(__xludf.DUMMYFUNCTION("""COMPUTED_VALUE"""),0.0)</f>
        <v>0</v>
      </c>
      <c r="AR2508" s="82">
        <f>IFERROR(__xludf.DUMMYFUNCTION("""COMPUTED_VALUE"""),0.0)</f>
        <v>0</v>
      </c>
      <c r="AS2508" s="82"/>
      <c r="AT2508" s="82">
        <f>IFERROR(__xludf.DUMMYFUNCTION("""COMPUTED_VALUE"""),0.0)</f>
        <v>0</v>
      </c>
      <c r="AU2508" s="82"/>
      <c r="AV2508" s="82"/>
      <c r="AW2508" s="82" t="str">
        <f t="shared" si="1"/>
        <v/>
      </c>
      <c r="AX2508" s="83" t="str">
        <f t="array" ref="AX2508">IFERROR(DGET('SBV Import'!A:G,"SBV",{"RSC ID","Tier";B2508,A2508}))</f>
        <v/>
      </c>
      <c r="AY2508" s="82" t="str">
        <f t="shared" si="2"/>
        <v/>
      </c>
      <c r="AZ2508" s="82"/>
      <c r="BA2508" s="84" t="s">
        <v>152</v>
      </c>
      <c r="BB2508" s="84" t="str">
        <f>IFERROR(__xludf.DUMMYFUNCTION("iferror(if(A2508="""",,E2508&gt;=FILTER(Constants!$F$2:$F$10,Constants!$A$2:$A$10=A2508)))"),"")</f>
        <v/>
      </c>
    </row>
    <row r="2509">
      <c r="A2509" s="89"/>
      <c r="B2509" s="87"/>
      <c r="C2509" s="73"/>
      <c r="D2509" s="73"/>
      <c r="E2509" s="82"/>
      <c r="F2509" s="82"/>
      <c r="G2509" s="86"/>
      <c r="H2509" s="86"/>
      <c r="I2509" s="86"/>
      <c r="J2509" s="82"/>
      <c r="K2509" s="82"/>
      <c r="L2509" s="82"/>
      <c r="M2509" s="82"/>
      <c r="N2509" s="82"/>
      <c r="O2509" s="82"/>
      <c r="P2509" s="82"/>
      <c r="Q2509" s="82"/>
      <c r="R2509" s="82"/>
      <c r="S2509" s="82"/>
      <c r="T2509" s="82"/>
      <c r="U2509" s="82"/>
      <c r="V2509" s="82"/>
      <c r="W2509" s="82"/>
      <c r="X2509" s="82"/>
      <c r="Y2509" s="82"/>
      <c r="Z2509" s="82"/>
      <c r="AA2509" s="82"/>
      <c r="AB2509" s="82"/>
      <c r="AC2509" s="82"/>
      <c r="AD2509" s="82"/>
      <c r="AE2509" s="82"/>
      <c r="AF2509" s="82"/>
      <c r="AG2509" s="82"/>
      <c r="AH2509" s="82"/>
      <c r="AI2509" s="82"/>
      <c r="AJ2509" s="82"/>
      <c r="AK2509" s="82"/>
      <c r="AL2509" s="82"/>
      <c r="AM2509" s="82"/>
      <c r="AN2509" s="82">
        <f>IFERROR(__xludf.DUMMYFUNCTION("""COMPUTED_VALUE"""),0.0)</f>
        <v>0</v>
      </c>
      <c r="AO2509" s="82">
        <f>IFERROR(__xludf.DUMMYFUNCTION("""COMPUTED_VALUE"""),0.0)</f>
        <v>0</v>
      </c>
      <c r="AP2509" s="82">
        <f>IFERROR(__xludf.DUMMYFUNCTION("""COMPUTED_VALUE"""),0.0)</f>
        <v>0</v>
      </c>
      <c r="AQ2509" s="82">
        <f>IFERROR(__xludf.DUMMYFUNCTION("""COMPUTED_VALUE"""),0.0)</f>
        <v>0</v>
      </c>
      <c r="AR2509" s="82">
        <f>IFERROR(__xludf.DUMMYFUNCTION("""COMPUTED_VALUE"""),0.0)</f>
        <v>0</v>
      </c>
      <c r="AS2509" s="82"/>
      <c r="AT2509" s="82">
        <f>IFERROR(__xludf.DUMMYFUNCTION("""COMPUTED_VALUE"""),0.0)</f>
        <v>0</v>
      </c>
      <c r="AU2509" s="82"/>
      <c r="AV2509" s="82"/>
      <c r="AW2509" s="82" t="str">
        <f t="shared" si="1"/>
        <v/>
      </c>
      <c r="AX2509" s="83" t="str">
        <f t="array" ref="AX2509">IFERROR(DGET('SBV Import'!A:G,"SBV",{"RSC ID","Tier";B2509,A2509}))</f>
        <v/>
      </c>
      <c r="AY2509" s="82" t="str">
        <f t="shared" si="2"/>
        <v/>
      </c>
      <c r="AZ2509" s="82"/>
      <c r="BA2509" s="84" t="s">
        <v>152</v>
      </c>
      <c r="BB2509" s="84" t="str">
        <f>IFERROR(__xludf.DUMMYFUNCTION("iferror(if(A2509="""",,E2509&gt;=FILTER(Constants!$F$2:$F$10,Constants!$A$2:$A$10=A2509)))"),"")</f>
        <v/>
      </c>
    </row>
    <row r="2510">
      <c r="A2510" s="89"/>
      <c r="B2510" s="87"/>
      <c r="C2510" s="73"/>
      <c r="D2510" s="73"/>
      <c r="E2510" s="82"/>
      <c r="F2510" s="82"/>
      <c r="G2510" s="86"/>
      <c r="H2510" s="86"/>
      <c r="I2510" s="86"/>
      <c r="J2510" s="82"/>
      <c r="K2510" s="82"/>
      <c r="L2510" s="82"/>
      <c r="M2510" s="82"/>
      <c r="N2510" s="82"/>
      <c r="O2510" s="82"/>
      <c r="P2510" s="82"/>
      <c r="Q2510" s="82"/>
      <c r="R2510" s="82"/>
      <c r="S2510" s="82"/>
      <c r="T2510" s="82"/>
      <c r="U2510" s="82"/>
      <c r="V2510" s="82"/>
      <c r="W2510" s="82"/>
      <c r="X2510" s="82"/>
      <c r="Y2510" s="82"/>
      <c r="Z2510" s="82"/>
      <c r="AA2510" s="82"/>
      <c r="AB2510" s="82"/>
      <c r="AC2510" s="82"/>
      <c r="AD2510" s="82"/>
      <c r="AE2510" s="82"/>
      <c r="AF2510" s="82"/>
      <c r="AG2510" s="82"/>
      <c r="AH2510" s="82"/>
      <c r="AI2510" s="82"/>
      <c r="AJ2510" s="82"/>
      <c r="AK2510" s="82"/>
      <c r="AL2510" s="82"/>
      <c r="AM2510" s="82"/>
      <c r="AN2510" s="82">
        <f>IFERROR(__xludf.DUMMYFUNCTION("""COMPUTED_VALUE"""),0.0)</f>
        <v>0</v>
      </c>
      <c r="AO2510" s="82">
        <f>IFERROR(__xludf.DUMMYFUNCTION("""COMPUTED_VALUE"""),0.0)</f>
        <v>0</v>
      </c>
      <c r="AP2510" s="82">
        <f>IFERROR(__xludf.DUMMYFUNCTION("""COMPUTED_VALUE"""),0.0)</f>
        <v>0</v>
      </c>
      <c r="AQ2510" s="82">
        <f>IFERROR(__xludf.DUMMYFUNCTION("""COMPUTED_VALUE"""),0.0)</f>
        <v>0</v>
      </c>
      <c r="AR2510" s="82">
        <f>IFERROR(__xludf.DUMMYFUNCTION("""COMPUTED_VALUE"""),0.0)</f>
        <v>0</v>
      </c>
      <c r="AS2510" s="82"/>
      <c r="AT2510" s="82">
        <f>IFERROR(__xludf.DUMMYFUNCTION("""COMPUTED_VALUE"""),0.0)</f>
        <v>0</v>
      </c>
      <c r="AU2510" s="82"/>
      <c r="AV2510" s="82"/>
      <c r="AW2510" s="82" t="str">
        <f t="shared" si="1"/>
        <v/>
      </c>
      <c r="AX2510" s="83" t="str">
        <f t="array" ref="AX2510">IFERROR(DGET('SBV Import'!A:G,"SBV",{"RSC ID","Tier";B2510,A2510}))</f>
        <v/>
      </c>
      <c r="AY2510" s="82" t="str">
        <f t="shared" si="2"/>
        <v/>
      </c>
      <c r="AZ2510" s="82"/>
      <c r="BA2510" s="84" t="s">
        <v>152</v>
      </c>
      <c r="BB2510" s="84" t="str">
        <f>IFERROR(__xludf.DUMMYFUNCTION("iferror(if(A2510="""",,E2510&gt;=FILTER(Constants!$F$2:$F$10,Constants!$A$2:$A$10=A2510)))"),"")</f>
        <v/>
      </c>
    </row>
    <row r="2511">
      <c r="A2511" s="89"/>
      <c r="B2511" s="87"/>
      <c r="C2511" s="73"/>
      <c r="D2511" s="73"/>
      <c r="E2511" s="82"/>
      <c r="F2511" s="82"/>
      <c r="G2511" s="86"/>
      <c r="H2511" s="86"/>
      <c r="I2511" s="86"/>
      <c r="J2511" s="82"/>
      <c r="K2511" s="82"/>
      <c r="L2511" s="82"/>
      <c r="M2511" s="82"/>
      <c r="N2511" s="82"/>
      <c r="O2511" s="82"/>
      <c r="P2511" s="82"/>
      <c r="Q2511" s="82"/>
      <c r="R2511" s="82"/>
      <c r="S2511" s="82"/>
      <c r="T2511" s="82"/>
      <c r="U2511" s="82"/>
      <c r="V2511" s="82"/>
      <c r="W2511" s="82"/>
      <c r="X2511" s="82"/>
      <c r="Y2511" s="82"/>
      <c r="Z2511" s="82"/>
      <c r="AA2511" s="82"/>
      <c r="AB2511" s="82"/>
      <c r="AC2511" s="82"/>
      <c r="AD2511" s="82"/>
      <c r="AE2511" s="82"/>
      <c r="AF2511" s="82"/>
      <c r="AG2511" s="82"/>
      <c r="AH2511" s="82"/>
      <c r="AI2511" s="82"/>
      <c r="AJ2511" s="82"/>
      <c r="AK2511" s="82"/>
      <c r="AL2511" s="82"/>
      <c r="AM2511" s="82"/>
      <c r="AN2511" s="82">
        <f>IFERROR(__xludf.DUMMYFUNCTION("""COMPUTED_VALUE"""),0.0)</f>
        <v>0</v>
      </c>
      <c r="AO2511" s="82">
        <f>IFERROR(__xludf.DUMMYFUNCTION("""COMPUTED_VALUE"""),0.0)</f>
        <v>0</v>
      </c>
      <c r="AP2511" s="82">
        <f>IFERROR(__xludf.DUMMYFUNCTION("""COMPUTED_VALUE"""),0.0)</f>
        <v>0</v>
      </c>
      <c r="AQ2511" s="82">
        <f>IFERROR(__xludf.DUMMYFUNCTION("""COMPUTED_VALUE"""),0.0)</f>
        <v>0</v>
      </c>
      <c r="AR2511" s="82">
        <f>IFERROR(__xludf.DUMMYFUNCTION("""COMPUTED_VALUE"""),0.0)</f>
        <v>0</v>
      </c>
      <c r="AS2511" s="82"/>
      <c r="AT2511" s="82">
        <f>IFERROR(__xludf.DUMMYFUNCTION("""COMPUTED_VALUE"""),0.0)</f>
        <v>0</v>
      </c>
      <c r="AU2511" s="82"/>
      <c r="AV2511" s="82"/>
      <c r="AW2511" s="82" t="str">
        <f t="shared" si="1"/>
        <v/>
      </c>
      <c r="AX2511" s="83" t="str">
        <f t="array" ref="AX2511">IFERROR(DGET('SBV Import'!A:G,"SBV",{"RSC ID","Tier";B2511,A2511}))</f>
        <v/>
      </c>
      <c r="AY2511" s="82" t="str">
        <f t="shared" si="2"/>
        <v/>
      </c>
      <c r="AZ2511" s="82"/>
      <c r="BA2511" s="84" t="s">
        <v>152</v>
      </c>
      <c r="BB2511" s="84" t="str">
        <f>IFERROR(__xludf.DUMMYFUNCTION("iferror(if(A2511="""",,E2511&gt;=FILTER(Constants!$F$2:$F$10,Constants!$A$2:$A$10=A2511)))"),"")</f>
        <v/>
      </c>
    </row>
    <row r="2512">
      <c r="A2512" s="89"/>
      <c r="B2512" s="87"/>
      <c r="C2512" s="73"/>
      <c r="D2512" s="73"/>
      <c r="E2512" s="82"/>
      <c r="F2512" s="82"/>
      <c r="G2512" s="86"/>
      <c r="H2512" s="86"/>
      <c r="I2512" s="86"/>
      <c r="J2512" s="82"/>
      <c r="K2512" s="82"/>
      <c r="L2512" s="82"/>
      <c r="M2512" s="82"/>
      <c r="N2512" s="82"/>
      <c r="O2512" s="82"/>
      <c r="P2512" s="82"/>
      <c r="Q2512" s="82"/>
      <c r="R2512" s="82"/>
      <c r="S2512" s="82"/>
      <c r="T2512" s="82"/>
      <c r="U2512" s="82"/>
      <c r="V2512" s="82"/>
      <c r="W2512" s="82"/>
      <c r="X2512" s="82"/>
      <c r="Y2512" s="82"/>
      <c r="Z2512" s="82"/>
      <c r="AA2512" s="82"/>
      <c r="AB2512" s="82"/>
      <c r="AC2512" s="82"/>
      <c r="AD2512" s="82"/>
      <c r="AE2512" s="82"/>
      <c r="AF2512" s="82"/>
      <c r="AG2512" s="82"/>
      <c r="AH2512" s="82"/>
      <c r="AI2512" s="82"/>
      <c r="AJ2512" s="82"/>
      <c r="AK2512" s="82"/>
      <c r="AL2512" s="82"/>
      <c r="AM2512" s="82"/>
      <c r="AN2512" s="82">
        <f>IFERROR(__xludf.DUMMYFUNCTION("""COMPUTED_VALUE"""),0.0)</f>
        <v>0</v>
      </c>
      <c r="AO2512" s="82">
        <f>IFERROR(__xludf.DUMMYFUNCTION("""COMPUTED_VALUE"""),0.0)</f>
        <v>0</v>
      </c>
      <c r="AP2512" s="82">
        <f>IFERROR(__xludf.DUMMYFUNCTION("""COMPUTED_VALUE"""),0.0)</f>
        <v>0</v>
      </c>
      <c r="AQ2512" s="82">
        <f>IFERROR(__xludf.DUMMYFUNCTION("""COMPUTED_VALUE"""),0.0)</f>
        <v>0</v>
      </c>
      <c r="AR2512" s="82">
        <f>IFERROR(__xludf.DUMMYFUNCTION("""COMPUTED_VALUE"""),0.0)</f>
        <v>0</v>
      </c>
      <c r="AS2512" s="82"/>
      <c r="AT2512" s="82">
        <f>IFERROR(__xludf.DUMMYFUNCTION("""COMPUTED_VALUE"""),0.0)</f>
        <v>0</v>
      </c>
      <c r="AU2512" s="82"/>
      <c r="AV2512" s="82"/>
      <c r="AW2512" s="82" t="str">
        <f t="shared" si="1"/>
        <v/>
      </c>
      <c r="AX2512" s="83" t="str">
        <f t="array" ref="AX2512">IFERROR(DGET('SBV Import'!A:G,"SBV",{"RSC ID","Tier";B2512,A2512}))</f>
        <v/>
      </c>
      <c r="AY2512" s="82" t="str">
        <f t="shared" si="2"/>
        <v/>
      </c>
      <c r="AZ2512" s="82"/>
      <c r="BA2512" s="84" t="s">
        <v>152</v>
      </c>
      <c r="BB2512" s="84" t="str">
        <f>IFERROR(__xludf.DUMMYFUNCTION("iferror(if(A2512="""",,E2512&gt;=FILTER(Constants!$F$2:$F$10,Constants!$A$2:$A$10=A2512)))"),"")</f>
        <v/>
      </c>
    </row>
    <row r="2513">
      <c r="A2513" s="89"/>
      <c r="B2513" s="87"/>
      <c r="C2513" s="73"/>
      <c r="D2513" s="73"/>
      <c r="E2513" s="82"/>
      <c r="F2513" s="82"/>
      <c r="G2513" s="86"/>
      <c r="H2513" s="86"/>
      <c r="I2513" s="86"/>
      <c r="J2513" s="82"/>
      <c r="K2513" s="82"/>
      <c r="L2513" s="82"/>
      <c r="M2513" s="82"/>
      <c r="N2513" s="82"/>
      <c r="O2513" s="82"/>
      <c r="P2513" s="82"/>
      <c r="Q2513" s="82"/>
      <c r="R2513" s="82"/>
      <c r="S2513" s="82"/>
      <c r="T2513" s="82"/>
      <c r="U2513" s="82"/>
      <c r="V2513" s="82"/>
      <c r="W2513" s="82"/>
      <c r="X2513" s="82"/>
      <c r="Y2513" s="82"/>
      <c r="Z2513" s="82"/>
      <c r="AA2513" s="82"/>
      <c r="AB2513" s="82"/>
      <c r="AC2513" s="82"/>
      <c r="AD2513" s="82"/>
      <c r="AE2513" s="82"/>
      <c r="AF2513" s="82"/>
      <c r="AG2513" s="82"/>
      <c r="AH2513" s="82"/>
      <c r="AI2513" s="82"/>
      <c r="AJ2513" s="82"/>
      <c r="AK2513" s="82"/>
      <c r="AL2513" s="82"/>
      <c r="AM2513" s="82"/>
      <c r="AN2513" s="82">
        <f>IFERROR(__xludf.DUMMYFUNCTION("""COMPUTED_VALUE"""),0.0)</f>
        <v>0</v>
      </c>
      <c r="AO2513" s="82">
        <f>IFERROR(__xludf.DUMMYFUNCTION("""COMPUTED_VALUE"""),0.0)</f>
        <v>0</v>
      </c>
      <c r="AP2513" s="82">
        <f>IFERROR(__xludf.DUMMYFUNCTION("""COMPUTED_VALUE"""),0.0)</f>
        <v>0</v>
      </c>
      <c r="AQ2513" s="82">
        <f>IFERROR(__xludf.DUMMYFUNCTION("""COMPUTED_VALUE"""),0.0)</f>
        <v>0</v>
      </c>
      <c r="AR2513" s="82">
        <f>IFERROR(__xludf.DUMMYFUNCTION("""COMPUTED_VALUE"""),0.0)</f>
        <v>0</v>
      </c>
      <c r="AS2513" s="82"/>
      <c r="AT2513" s="82">
        <f>IFERROR(__xludf.DUMMYFUNCTION("""COMPUTED_VALUE"""),0.0)</f>
        <v>0</v>
      </c>
      <c r="AU2513" s="82"/>
      <c r="AV2513" s="82"/>
      <c r="AW2513" s="82" t="str">
        <f t="shared" si="1"/>
        <v/>
      </c>
      <c r="AX2513" s="83" t="str">
        <f t="array" ref="AX2513">IFERROR(DGET('SBV Import'!A:G,"SBV",{"RSC ID","Tier";B2513,A2513}))</f>
        <v/>
      </c>
      <c r="AY2513" s="82" t="str">
        <f t="shared" si="2"/>
        <v/>
      </c>
      <c r="AZ2513" s="82"/>
      <c r="BA2513" s="84" t="s">
        <v>152</v>
      </c>
      <c r="BB2513" s="84" t="str">
        <f>IFERROR(__xludf.DUMMYFUNCTION("iferror(if(A2513="""",,E2513&gt;=FILTER(Constants!$F$2:$F$10,Constants!$A$2:$A$10=A2513)))"),"")</f>
        <v/>
      </c>
    </row>
    <row r="2514">
      <c r="A2514" s="89"/>
      <c r="B2514" s="87"/>
      <c r="C2514" s="73"/>
      <c r="D2514" s="73"/>
      <c r="E2514" s="82"/>
      <c r="F2514" s="82"/>
      <c r="G2514" s="86"/>
      <c r="H2514" s="86"/>
      <c r="I2514" s="86"/>
      <c r="J2514" s="82"/>
      <c r="K2514" s="82"/>
      <c r="L2514" s="82"/>
      <c r="M2514" s="82"/>
      <c r="N2514" s="82"/>
      <c r="O2514" s="82"/>
      <c r="P2514" s="82"/>
      <c r="Q2514" s="82"/>
      <c r="R2514" s="82"/>
      <c r="S2514" s="82"/>
      <c r="T2514" s="82"/>
      <c r="U2514" s="82"/>
      <c r="V2514" s="82"/>
      <c r="W2514" s="82"/>
      <c r="X2514" s="82"/>
      <c r="Y2514" s="82"/>
      <c r="Z2514" s="82"/>
      <c r="AA2514" s="82"/>
      <c r="AB2514" s="82"/>
      <c r="AC2514" s="82"/>
      <c r="AD2514" s="82"/>
      <c r="AE2514" s="82"/>
      <c r="AF2514" s="82"/>
      <c r="AG2514" s="82"/>
      <c r="AH2514" s="82"/>
      <c r="AI2514" s="82"/>
      <c r="AJ2514" s="82"/>
      <c r="AK2514" s="82"/>
      <c r="AL2514" s="82"/>
      <c r="AM2514" s="82"/>
      <c r="AN2514" s="82">
        <f>IFERROR(__xludf.DUMMYFUNCTION("""COMPUTED_VALUE"""),0.0)</f>
        <v>0</v>
      </c>
      <c r="AO2514" s="82">
        <f>IFERROR(__xludf.DUMMYFUNCTION("""COMPUTED_VALUE"""),0.0)</f>
        <v>0</v>
      </c>
      <c r="AP2514" s="82">
        <f>IFERROR(__xludf.DUMMYFUNCTION("""COMPUTED_VALUE"""),0.0)</f>
        <v>0</v>
      </c>
      <c r="AQ2514" s="82">
        <f>IFERROR(__xludf.DUMMYFUNCTION("""COMPUTED_VALUE"""),0.0)</f>
        <v>0</v>
      </c>
      <c r="AR2514" s="82">
        <f>IFERROR(__xludf.DUMMYFUNCTION("""COMPUTED_VALUE"""),0.0)</f>
        <v>0</v>
      </c>
      <c r="AS2514" s="82"/>
      <c r="AT2514" s="82">
        <f>IFERROR(__xludf.DUMMYFUNCTION("""COMPUTED_VALUE"""),0.0)</f>
        <v>0</v>
      </c>
      <c r="AU2514" s="82"/>
      <c r="AV2514" s="82"/>
      <c r="AW2514" s="82" t="str">
        <f t="shared" si="1"/>
        <v/>
      </c>
      <c r="AX2514" s="83" t="str">
        <f t="array" ref="AX2514">IFERROR(DGET('SBV Import'!A:G,"SBV",{"RSC ID","Tier";B2514,A2514}))</f>
        <v/>
      </c>
      <c r="AY2514" s="82" t="str">
        <f t="shared" si="2"/>
        <v/>
      </c>
      <c r="AZ2514" s="82"/>
      <c r="BA2514" s="84" t="s">
        <v>152</v>
      </c>
      <c r="BB2514" s="84" t="str">
        <f>IFERROR(__xludf.DUMMYFUNCTION("iferror(if(A2514="""",,E2514&gt;=FILTER(Constants!$F$2:$F$10,Constants!$A$2:$A$10=A2514)))"),"")</f>
        <v/>
      </c>
    </row>
    <row r="2515">
      <c r="A2515" s="89"/>
      <c r="B2515" s="87"/>
      <c r="C2515" s="73"/>
      <c r="D2515" s="73"/>
      <c r="E2515" s="82"/>
      <c r="F2515" s="82"/>
      <c r="G2515" s="86"/>
      <c r="H2515" s="86"/>
      <c r="I2515" s="86"/>
      <c r="J2515" s="82"/>
      <c r="K2515" s="82"/>
      <c r="L2515" s="82"/>
      <c r="M2515" s="82"/>
      <c r="N2515" s="82"/>
      <c r="O2515" s="82"/>
      <c r="P2515" s="82"/>
      <c r="Q2515" s="82"/>
      <c r="R2515" s="82"/>
      <c r="S2515" s="82"/>
      <c r="T2515" s="82"/>
      <c r="U2515" s="82"/>
      <c r="V2515" s="82"/>
      <c r="W2515" s="82"/>
      <c r="X2515" s="82"/>
      <c r="Y2515" s="82"/>
      <c r="Z2515" s="82"/>
      <c r="AA2515" s="82"/>
      <c r="AB2515" s="82"/>
      <c r="AC2515" s="82"/>
      <c r="AD2515" s="82"/>
      <c r="AE2515" s="82"/>
      <c r="AF2515" s="82"/>
      <c r="AG2515" s="82"/>
      <c r="AH2515" s="82"/>
      <c r="AI2515" s="82"/>
      <c r="AJ2515" s="82"/>
      <c r="AK2515" s="82"/>
      <c r="AL2515" s="82"/>
      <c r="AM2515" s="82"/>
      <c r="AN2515" s="82">
        <f>IFERROR(__xludf.DUMMYFUNCTION("""COMPUTED_VALUE"""),0.0)</f>
        <v>0</v>
      </c>
      <c r="AO2515" s="82">
        <f>IFERROR(__xludf.DUMMYFUNCTION("""COMPUTED_VALUE"""),0.0)</f>
        <v>0</v>
      </c>
      <c r="AP2515" s="82">
        <f>IFERROR(__xludf.DUMMYFUNCTION("""COMPUTED_VALUE"""),0.0)</f>
        <v>0</v>
      </c>
      <c r="AQ2515" s="82">
        <f>IFERROR(__xludf.DUMMYFUNCTION("""COMPUTED_VALUE"""),0.0)</f>
        <v>0</v>
      </c>
      <c r="AR2515" s="82">
        <f>IFERROR(__xludf.DUMMYFUNCTION("""COMPUTED_VALUE"""),0.0)</f>
        <v>0</v>
      </c>
      <c r="AS2515" s="82"/>
      <c r="AT2515" s="82">
        <f>IFERROR(__xludf.DUMMYFUNCTION("""COMPUTED_VALUE"""),0.0)</f>
        <v>0</v>
      </c>
      <c r="AU2515" s="82"/>
      <c r="AV2515" s="82"/>
      <c r="AW2515" s="82" t="str">
        <f t="shared" si="1"/>
        <v/>
      </c>
      <c r="AX2515" s="83" t="str">
        <f t="array" ref="AX2515">IFERROR(DGET('SBV Import'!A:G,"SBV",{"RSC ID","Tier";B2515,A2515}))</f>
        <v/>
      </c>
      <c r="AY2515" s="82" t="str">
        <f t="shared" si="2"/>
        <v/>
      </c>
      <c r="AZ2515" s="82"/>
      <c r="BA2515" s="84" t="s">
        <v>152</v>
      </c>
      <c r="BB2515" s="84" t="str">
        <f>IFERROR(__xludf.DUMMYFUNCTION("iferror(if(A2515="""",,E2515&gt;=FILTER(Constants!$F$2:$F$10,Constants!$A$2:$A$10=A2515)))"),"")</f>
        <v/>
      </c>
    </row>
    <row r="2516">
      <c r="A2516" s="89"/>
      <c r="B2516" s="87"/>
      <c r="C2516" s="73"/>
      <c r="D2516" s="73"/>
      <c r="E2516" s="82"/>
      <c r="F2516" s="82"/>
      <c r="G2516" s="86"/>
      <c r="H2516" s="86"/>
      <c r="I2516" s="86"/>
      <c r="J2516" s="82"/>
      <c r="K2516" s="82"/>
      <c r="L2516" s="82"/>
      <c r="M2516" s="82"/>
      <c r="N2516" s="82"/>
      <c r="O2516" s="82"/>
      <c r="P2516" s="82"/>
      <c r="Q2516" s="82"/>
      <c r="R2516" s="82"/>
      <c r="S2516" s="82"/>
      <c r="T2516" s="82"/>
      <c r="U2516" s="82"/>
      <c r="V2516" s="82"/>
      <c r="W2516" s="82"/>
      <c r="X2516" s="82"/>
      <c r="Y2516" s="82"/>
      <c r="Z2516" s="82"/>
      <c r="AA2516" s="82"/>
      <c r="AB2516" s="82"/>
      <c r="AC2516" s="82"/>
      <c r="AD2516" s="82"/>
      <c r="AE2516" s="82"/>
      <c r="AF2516" s="82"/>
      <c r="AG2516" s="82"/>
      <c r="AH2516" s="82"/>
      <c r="AI2516" s="82"/>
      <c r="AJ2516" s="82"/>
      <c r="AK2516" s="82"/>
      <c r="AL2516" s="82"/>
      <c r="AM2516" s="82"/>
      <c r="AN2516" s="82">
        <f>IFERROR(__xludf.DUMMYFUNCTION("""COMPUTED_VALUE"""),0.0)</f>
        <v>0</v>
      </c>
      <c r="AO2516" s="82">
        <f>IFERROR(__xludf.DUMMYFUNCTION("""COMPUTED_VALUE"""),0.0)</f>
        <v>0</v>
      </c>
      <c r="AP2516" s="82">
        <f>IFERROR(__xludf.DUMMYFUNCTION("""COMPUTED_VALUE"""),0.0)</f>
        <v>0</v>
      </c>
      <c r="AQ2516" s="82">
        <f>IFERROR(__xludf.DUMMYFUNCTION("""COMPUTED_VALUE"""),0.0)</f>
        <v>0</v>
      </c>
      <c r="AR2516" s="82">
        <f>IFERROR(__xludf.DUMMYFUNCTION("""COMPUTED_VALUE"""),0.0)</f>
        <v>0</v>
      </c>
      <c r="AS2516" s="82"/>
      <c r="AT2516" s="82">
        <f>IFERROR(__xludf.DUMMYFUNCTION("""COMPUTED_VALUE"""),0.0)</f>
        <v>0</v>
      </c>
      <c r="AU2516" s="82"/>
      <c r="AV2516" s="82"/>
      <c r="AW2516" s="82" t="str">
        <f t="shared" si="1"/>
        <v/>
      </c>
      <c r="AX2516" s="83" t="str">
        <f t="array" ref="AX2516">IFERROR(DGET('SBV Import'!A:G,"SBV",{"RSC ID","Tier";B2516,A2516}))</f>
        <v/>
      </c>
      <c r="AY2516" s="82" t="str">
        <f t="shared" si="2"/>
        <v/>
      </c>
      <c r="AZ2516" s="82"/>
      <c r="BA2516" s="84" t="s">
        <v>152</v>
      </c>
      <c r="BB2516" s="84" t="str">
        <f>IFERROR(__xludf.DUMMYFUNCTION("iferror(if(A2516="""",,E2516&gt;=FILTER(Constants!$F$2:$F$10,Constants!$A$2:$A$10=A2516)))"),"")</f>
        <v/>
      </c>
    </row>
    <row r="2517">
      <c r="A2517" s="89"/>
      <c r="B2517" s="87"/>
      <c r="C2517" s="73"/>
      <c r="D2517" s="73"/>
      <c r="E2517" s="82"/>
      <c r="F2517" s="82"/>
      <c r="G2517" s="86"/>
      <c r="H2517" s="86"/>
      <c r="I2517" s="86"/>
      <c r="J2517" s="82"/>
      <c r="K2517" s="82"/>
      <c r="L2517" s="82"/>
      <c r="M2517" s="82"/>
      <c r="N2517" s="82"/>
      <c r="O2517" s="82"/>
      <c r="P2517" s="82"/>
      <c r="Q2517" s="82"/>
      <c r="R2517" s="82"/>
      <c r="S2517" s="82"/>
      <c r="T2517" s="82"/>
      <c r="U2517" s="82"/>
      <c r="V2517" s="82"/>
      <c r="W2517" s="82"/>
      <c r="X2517" s="82"/>
      <c r="Y2517" s="82"/>
      <c r="Z2517" s="82"/>
      <c r="AA2517" s="82"/>
      <c r="AB2517" s="82"/>
      <c r="AC2517" s="82"/>
      <c r="AD2517" s="82"/>
      <c r="AE2517" s="82"/>
      <c r="AF2517" s="82"/>
      <c r="AG2517" s="82"/>
      <c r="AH2517" s="82"/>
      <c r="AI2517" s="82"/>
      <c r="AJ2517" s="82"/>
      <c r="AK2517" s="82"/>
      <c r="AL2517" s="82"/>
      <c r="AM2517" s="82"/>
      <c r="AN2517" s="82">
        <f>IFERROR(__xludf.DUMMYFUNCTION("""COMPUTED_VALUE"""),0.0)</f>
        <v>0</v>
      </c>
      <c r="AO2517" s="82">
        <f>IFERROR(__xludf.DUMMYFUNCTION("""COMPUTED_VALUE"""),0.0)</f>
        <v>0</v>
      </c>
      <c r="AP2517" s="82">
        <f>IFERROR(__xludf.DUMMYFUNCTION("""COMPUTED_VALUE"""),0.0)</f>
        <v>0</v>
      </c>
      <c r="AQ2517" s="82">
        <f>IFERROR(__xludf.DUMMYFUNCTION("""COMPUTED_VALUE"""),0.0)</f>
        <v>0</v>
      </c>
      <c r="AR2517" s="82">
        <f>IFERROR(__xludf.DUMMYFUNCTION("""COMPUTED_VALUE"""),0.0)</f>
        <v>0</v>
      </c>
      <c r="AS2517" s="82"/>
      <c r="AT2517" s="82">
        <f>IFERROR(__xludf.DUMMYFUNCTION("""COMPUTED_VALUE"""),0.0)</f>
        <v>0</v>
      </c>
      <c r="AU2517" s="82"/>
      <c r="AV2517" s="82"/>
      <c r="AW2517" s="82" t="str">
        <f t="shared" si="1"/>
        <v/>
      </c>
      <c r="AX2517" s="83" t="str">
        <f t="array" ref="AX2517">IFERROR(DGET('SBV Import'!A:G,"SBV",{"RSC ID","Tier";B2517,A2517}))</f>
        <v/>
      </c>
      <c r="AY2517" s="82" t="str">
        <f t="shared" si="2"/>
        <v/>
      </c>
      <c r="AZ2517" s="82"/>
      <c r="BA2517" s="84" t="s">
        <v>152</v>
      </c>
      <c r="BB2517" s="84" t="str">
        <f>IFERROR(__xludf.DUMMYFUNCTION("iferror(if(A2517="""",,E2517&gt;=FILTER(Constants!$F$2:$F$10,Constants!$A$2:$A$10=A2517)))"),"")</f>
        <v/>
      </c>
    </row>
    <row r="2518">
      <c r="A2518" s="89"/>
      <c r="B2518" s="87"/>
      <c r="C2518" s="73"/>
      <c r="D2518" s="73"/>
      <c r="E2518" s="82"/>
      <c r="F2518" s="82"/>
      <c r="G2518" s="86"/>
      <c r="H2518" s="86"/>
      <c r="I2518" s="86"/>
      <c r="J2518" s="82"/>
      <c r="K2518" s="82"/>
      <c r="L2518" s="82"/>
      <c r="M2518" s="82"/>
      <c r="N2518" s="82"/>
      <c r="O2518" s="82"/>
      <c r="P2518" s="82"/>
      <c r="Q2518" s="82"/>
      <c r="R2518" s="82"/>
      <c r="S2518" s="82"/>
      <c r="T2518" s="82"/>
      <c r="U2518" s="82"/>
      <c r="V2518" s="82"/>
      <c r="W2518" s="82"/>
      <c r="X2518" s="82"/>
      <c r="Y2518" s="82"/>
      <c r="Z2518" s="82"/>
      <c r="AA2518" s="82"/>
      <c r="AB2518" s="82"/>
      <c r="AC2518" s="82"/>
      <c r="AD2518" s="82"/>
      <c r="AE2518" s="82"/>
      <c r="AF2518" s="82"/>
      <c r="AG2518" s="82"/>
      <c r="AH2518" s="82"/>
      <c r="AI2518" s="82"/>
      <c r="AJ2518" s="82"/>
      <c r="AK2518" s="82"/>
      <c r="AL2518" s="82"/>
      <c r="AM2518" s="82"/>
      <c r="AN2518" s="82">
        <f>IFERROR(__xludf.DUMMYFUNCTION("""COMPUTED_VALUE"""),0.0)</f>
        <v>0</v>
      </c>
      <c r="AO2518" s="82">
        <f>IFERROR(__xludf.DUMMYFUNCTION("""COMPUTED_VALUE"""),0.0)</f>
        <v>0</v>
      </c>
      <c r="AP2518" s="82">
        <f>IFERROR(__xludf.DUMMYFUNCTION("""COMPUTED_VALUE"""),0.0)</f>
        <v>0</v>
      </c>
      <c r="AQ2518" s="82">
        <f>IFERROR(__xludf.DUMMYFUNCTION("""COMPUTED_VALUE"""),0.0)</f>
        <v>0</v>
      </c>
      <c r="AR2518" s="82">
        <f>IFERROR(__xludf.DUMMYFUNCTION("""COMPUTED_VALUE"""),0.0)</f>
        <v>0</v>
      </c>
      <c r="AS2518" s="82"/>
      <c r="AT2518" s="82">
        <f>IFERROR(__xludf.DUMMYFUNCTION("""COMPUTED_VALUE"""),0.0)</f>
        <v>0</v>
      </c>
      <c r="AU2518" s="82"/>
      <c r="AV2518" s="82"/>
      <c r="AW2518" s="82" t="str">
        <f t="shared" si="1"/>
        <v/>
      </c>
      <c r="AX2518" s="83" t="str">
        <f t="array" ref="AX2518">IFERROR(DGET('SBV Import'!A:G,"SBV",{"RSC ID","Tier";B2518,A2518}))</f>
        <v/>
      </c>
      <c r="AY2518" s="82" t="str">
        <f t="shared" si="2"/>
        <v/>
      </c>
      <c r="AZ2518" s="82"/>
      <c r="BA2518" s="84" t="s">
        <v>152</v>
      </c>
      <c r="BB2518" s="84" t="str">
        <f>IFERROR(__xludf.DUMMYFUNCTION("iferror(if(A2518="""",,E2518&gt;=FILTER(Constants!$F$2:$F$10,Constants!$A$2:$A$10=A2518)))"),"")</f>
        <v/>
      </c>
    </row>
    <row r="2519">
      <c r="A2519" s="89"/>
      <c r="B2519" s="87"/>
      <c r="C2519" s="73"/>
      <c r="D2519" s="73"/>
      <c r="E2519" s="82"/>
      <c r="F2519" s="82"/>
      <c r="G2519" s="86"/>
      <c r="H2519" s="86"/>
      <c r="I2519" s="86"/>
      <c r="J2519" s="82"/>
      <c r="K2519" s="82"/>
      <c r="L2519" s="82"/>
      <c r="M2519" s="82"/>
      <c r="N2519" s="82"/>
      <c r="O2519" s="82"/>
      <c r="P2519" s="82"/>
      <c r="Q2519" s="82"/>
      <c r="R2519" s="82"/>
      <c r="S2519" s="82"/>
      <c r="T2519" s="82"/>
      <c r="U2519" s="82"/>
      <c r="V2519" s="82"/>
      <c r="W2519" s="82"/>
      <c r="X2519" s="82"/>
      <c r="Y2519" s="82"/>
      <c r="Z2519" s="82"/>
      <c r="AA2519" s="82"/>
      <c r="AB2519" s="82"/>
      <c r="AC2519" s="82"/>
      <c r="AD2519" s="82"/>
      <c r="AE2519" s="82"/>
      <c r="AF2519" s="82"/>
      <c r="AG2519" s="82"/>
      <c r="AH2519" s="82"/>
      <c r="AI2519" s="82"/>
      <c r="AJ2519" s="82"/>
      <c r="AK2519" s="82"/>
      <c r="AL2519" s="82"/>
      <c r="AM2519" s="82"/>
      <c r="AN2519" s="82">
        <f>IFERROR(__xludf.DUMMYFUNCTION("""COMPUTED_VALUE"""),0.0)</f>
        <v>0</v>
      </c>
      <c r="AO2519" s="82">
        <f>IFERROR(__xludf.DUMMYFUNCTION("""COMPUTED_VALUE"""),0.0)</f>
        <v>0</v>
      </c>
      <c r="AP2519" s="82">
        <f>IFERROR(__xludf.DUMMYFUNCTION("""COMPUTED_VALUE"""),0.0)</f>
        <v>0</v>
      </c>
      <c r="AQ2519" s="82">
        <f>IFERROR(__xludf.DUMMYFUNCTION("""COMPUTED_VALUE"""),0.0)</f>
        <v>0</v>
      </c>
      <c r="AR2519" s="82">
        <f>IFERROR(__xludf.DUMMYFUNCTION("""COMPUTED_VALUE"""),0.0)</f>
        <v>0</v>
      </c>
      <c r="AS2519" s="82"/>
      <c r="AT2519" s="82">
        <f>IFERROR(__xludf.DUMMYFUNCTION("""COMPUTED_VALUE"""),0.0)</f>
        <v>0</v>
      </c>
      <c r="AU2519" s="82"/>
      <c r="AV2519" s="82"/>
      <c r="AW2519" s="82" t="str">
        <f t="shared" si="1"/>
        <v/>
      </c>
      <c r="AX2519" s="83" t="str">
        <f t="array" ref="AX2519">IFERROR(DGET('SBV Import'!A:G,"SBV",{"RSC ID","Tier";B2519,A2519}))</f>
        <v/>
      </c>
      <c r="AY2519" s="82" t="str">
        <f t="shared" si="2"/>
        <v/>
      </c>
      <c r="AZ2519" s="82"/>
      <c r="BA2519" s="84" t="s">
        <v>152</v>
      </c>
      <c r="BB2519" s="84" t="str">
        <f>IFERROR(__xludf.DUMMYFUNCTION("iferror(if(A2519="""",,E2519&gt;=FILTER(Constants!$F$2:$F$10,Constants!$A$2:$A$10=A2519)))"),"")</f>
        <v/>
      </c>
    </row>
    <row r="2520">
      <c r="A2520" s="89"/>
      <c r="B2520" s="87"/>
      <c r="C2520" s="73"/>
      <c r="D2520" s="73"/>
      <c r="E2520" s="82"/>
      <c r="F2520" s="82"/>
      <c r="G2520" s="86"/>
      <c r="H2520" s="86"/>
      <c r="I2520" s="86"/>
      <c r="J2520" s="82"/>
      <c r="K2520" s="82"/>
      <c r="L2520" s="82"/>
      <c r="M2520" s="82"/>
      <c r="N2520" s="82"/>
      <c r="O2520" s="82"/>
      <c r="P2520" s="82"/>
      <c r="Q2520" s="82"/>
      <c r="R2520" s="82"/>
      <c r="S2520" s="82"/>
      <c r="T2520" s="82"/>
      <c r="U2520" s="82"/>
      <c r="V2520" s="82"/>
      <c r="W2520" s="82"/>
      <c r="X2520" s="82"/>
      <c r="Y2520" s="82"/>
      <c r="Z2520" s="82"/>
      <c r="AA2520" s="82"/>
      <c r="AB2520" s="82"/>
      <c r="AC2520" s="82"/>
      <c r="AD2520" s="82"/>
      <c r="AE2520" s="82"/>
      <c r="AF2520" s="82"/>
      <c r="AG2520" s="82"/>
      <c r="AH2520" s="82"/>
      <c r="AI2520" s="82"/>
      <c r="AJ2520" s="82"/>
      <c r="AK2520" s="82"/>
      <c r="AL2520" s="82"/>
      <c r="AM2520" s="82"/>
      <c r="AN2520" s="82">
        <f>IFERROR(__xludf.DUMMYFUNCTION("""COMPUTED_VALUE"""),0.0)</f>
        <v>0</v>
      </c>
      <c r="AO2520" s="82">
        <f>IFERROR(__xludf.DUMMYFUNCTION("""COMPUTED_VALUE"""),0.0)</f>
        <v>0</v>
      </c>
      <c r="AP2520" s="82">
        <f>IFERROR(__xludf.DUMMYFUNCTION("""COMPUTED_VALUE"""),0.0)</f>
        <v>0</v>
      </c>
      <c r="AQ2520" s="82">
        <f>IFERROR(__xludf.DUMMYFUNCTION("""COMPUTED_VALUE"""),0.0)</f>
        <v>0</v>
      </c>
      <c r="AR2520" s="82">
        <f>IFERROR(__xludf.DUMMYFUNCTION("""COMPUTED_VALUE"""),0.0)</f>
        <v>0</v>
      </c>
      <c r="AS2520" s="82"/>
      <c r="AT2520" s="82">
        <f>IFERROR(__xludf.DUMMYFUNCTION("""COMPUTED_VALUE"""),0.0)</f>
        <v>0</v>
      </c>
      <c r="AU2520" s="82"/>
      <c r="AV2520" s="82"/>
      <c r="AW2520" s="82" t="str">
        <f t="shared" si="1"/>
        <v/>
      </c>
      <c r="AX2520" s="83" t="str">
        <f t="array" ref="AX2520">IFERROR(DGET('SBV Import'!A:G,"SBV",{"RSC ID","Tier";B2520,A2520}))</f>
        <v/>
      </c>
      <c r="AY2520" s="82" t="str">
        <f t="shared" si="2"/>
        <v/>
      </c>
      <c r="AZ2520" s="82"/>
      <c r="BA2520" s="84" t="s">
        <v>152</v>
      </c>
      <c r="BB2520" s="84" t="str">
        <f>IFERROR(__xludf.DUMMYFUNCTION("iferror(if(A2520="""",,E2520&gt;=FILTER(Constants!$F$2:$F$10,Constants!$A$2:$A$10=A2520)))"),"")</f>
        <v/>
      </c>
    </row>
    <row r="2521">
      <c r="A2521" s="89"/>
      <c r="B2521" s="87"/>
      <c r="C2521" s="73"/>
      <c r="D2521" s="73"/>
      <c r="E2521" s="82"/>
      <c r="F2521" s="82"/>
      <c r="G2521" s="86"/>
      <c r="H2521" s="86"/>
      <c r="I2521" s="86"/>
      <c r="J2521" s="82"/>
      <c r="K2521" s="82"/>
      <c r="L2521" s="82"/>
      <c r="M2521" s="82"/>
      <c r="N2521" s="82"/>
      <c r="O2521" s="82"/>
      <c r="P2521" s="82"/>
      <c r="Q2521" s="82"/>
      <c r="R2521" s="82"/>
      <c r="S2521" s="82"/>
      <c r="T2521" s="82"/>
      <c r="U2521" s="82"/>
      <c r="V2521" s="82"/>
      <c r="W2521" s="82"/>
      <c r="X2521" s="82"/>
      <c r="Y2521" s="82"/>
      <c r="Z2521" s="82"/>
      <c r="AA2521" s="82"/>
      <c r="AB2521" s="82"/>
      <c r="AC2521" s="82"/>
      <c r="AD2521" s="82"/>
      <c r="AE2521" s="82"/>
      <c r="AF2521" s="82"/>
      <c r="AG2521" s="82"/>
      <c r="AH2521" s="82"/>
      <c r="AI2521" s="82"/>
      <c r="AJ2521" s="82"/>
      <c r="AK2521" s="82"/>
      <c r="AL2521" s="82"/>
      <c r="AM2521" s="82"/>
      <c r="AN2521" s="82">
        <f>IFERROR(__xludf.DUMMYFUNCTION("""COMPUTED_VALUE"""),0.0)</f>
        <v>0</v>
      </c>
      <c r="AO2521" s="82">
        <f>IFERROR(__xludf.DUMMYFUNCTION("""COMPUTED_VALUE"""),0.0)</f>
        <v>0</v>
      </c>
      <c r="AP2521" s="82">
        <f>IFERROR(__xludf.DUMMYFUNCTION("""COMPUTED_VALUE"""),0.0)</f>
        <v>0</v>
      </c>
      <c r="AQ2521" s="82">
        <f>IFERROR(__xludf.DUMMYFUNCTION("""COMPUTED_VALUE"""),0.0)</f>
        <v>0</v>
      </c>
      <c r="AR2521" s="82">
        <f>IFERROR(__xludf.DUMMYFUNCTION("""COMPUTED_VALUE"""),0.0)</f>
        <v>0</v>
      </c>
      <c r="AS2521" s="82"/>
      <c r="AT2521" s="82">
        <f>IFERROR(__xludf.DUMMYFUNCTION("""COMPUTED_VALUE"""),0.0)</f>
        <v>0</v>
      </c>
      <c r="AU2521" s="82"/>
      <c r="AV2521" s="82"/>
      <c r="AW2521" s="82" t="str">
        <f t="shared" si="1"/>
        <v/>
      </c>
      <c r="AX2521" s="83" t="str">
        <f t="array" ref="AX2521">IFERROR(DGET('SBV Import'!A:G,"SBV",{"RSC ID","Tier";B2521,A2521}))</f>
        <v/>
      </c>
      <c r="AY2521" s="82" t="str">
        <f t="shared" si="2"/>
        <v/>
      </c>
      <c r="AZ2521" s="82"/>
      <c r="BA2521" s="84" t="s">
        <v>152</v>
      </c>
      <c r="BB2521" s="84" t="str">
        <f>IFERROR(__xludf.DUMMYFUNCTION("iferror(if(A2521="""",,E2521&gt;=FILTER(Constants!$F$2:$F$10,Constants!$A$2:$A$10=A2521)))"),"")</f>
        <v/>
      </c>
    </row>
    <row r="2522">
      <c r="A2522" s="89"/>
      <c r="B2522" s="87"/>
      <c r="C2522" s="73"/>
      <c r="D2522" s="73"/>
      <c r="E2522" s="82"/>
      <c r="F2522" s="82"/>
      <c r="G2522" s="86"/>
      <c r="H2522" s="86"/>
      <c r="I2522" s="86"/>
      <c r="J2522" s="82"/>
      <c r="K2522" s="82"/>
      <c r="L2522" s="82"/>
      <c r="M2522" s="82"/>
      <c r="N2522" s="82"/>
      <c r="O2522" s="82"/>
      <c r="P2522" s="82"/>
      <c r="Q2522" s="82"/>
      <c r="R2522" s="82"/>
      <c r="S2522" s="82"/>
      <c r="T2522" s="82"/>
      <c r="U2522" s="82"/>
      <c r="V2522" s="82"/>
      <c r="W2522" s="82"/>
      <c r="X2522" s="82"/>
      <c r="Y2522" s="82"/>
      <c r="Z2522" s="82"/>
      <c r="AA2522" s="82"/>
      <c r="AB2522" s="82"/>
      <c r="AC2522" s="82"/>
      <c r="AD2522" s="82"/>
      <c r="AE2522" s="82"/>
      <c r="AF2522" s="82"/>
      <c r="AG2522" s="82"/>
      <c r="AH2522" s="82"/>
      <c r="AI2522" s="82"/>
      <c r="AJ2522" s="82"/>
      <c r="AK2522" s="82"/>
      <c r="AL2522" s="82"/>
      <c r="AM2522" s="82"/>
      <c r="AN2522" s="82">
        <f>IFERROR(__xludf.DUMMYFUNCTION("""COMPUTED_VALUE"""),0.0)</f>
        <v>0</v>
      </c>
      <c r="AO2522" s="82">
        <f>IFERROR(__xludf.DUMMYFUNCTION("""COMPUTED_VALUE"""),0.0)</f>
        <v>0</v>
      </c>
      <c r="AP2522" s="82">
        <f>IFERROR(__xludf.DUMMYFUNCTION("""COMPUTED_VALUE"""),0.0)</f>
        <v>0</v>
      </c>
      <c r="AQ2522" s="82">
        <f>IFERROR(__xludf.DUMMYFUNCTION("""COMPUTED_VALUE"""),0.0)</f>
        <v>0</v>
      </c>
      <c r="AR2522" s="82">
        <f>IFERROR(__xludf.DUMMYFUNCTION("""COMPUTED_VALUE"""),0.0)</f>
        <v>0</v>
      </c>
      <c r="AS2522" s="82"/>
      <c r="AT2522" s="82">
        <f>IFERROR(__xludf.DUMMYFUNCTION("""COMPUTED_VALUE"""),0.0)</f>
        <v>0</v>
      </c>
      <c r="AU2522" s="82"/>
      <c r="AV2522" s="82"/>
      <c r="AW2522" s="82" t="str">
        <f t="shared" si="1"/>
        <v/>
      </c>
      <c r="AX2522" s="83" t="str">
        <f t="array" ref="AX2522">IFERROR(DGET('SBV Import'!A:G,"SBV",{"RSC ID","Tier";B2522,A2522}))</f>
        <v/>
      </c>
      <c r="AY2522" s="82" t="str">
        <f t="shared" si="2"/>
        <v/>
      </c>
      <c r="AZ2522" s="82"/>
      <c r="BA2522" s="84" t="s">
        <v>152</v>
      </c>
      <c r="BB2522" s="84" t="str">
        <f>IFERROR(__xludf.DUMMYFUNCTION("iferror(if(A2522="""",,E2522&gt;=FILTER(Constants!$F$2:$F$10,Constants!$A$2:$A$10=A2522)))"),"")</f>
        <v/>
      </c>
    </row>
    <row r="2523">
      <c r="A2523" s="89"/>
      <c r="B2523" s="87"/>
      <c r="C2523" s="73"/>
      <c r="D2523" s="73"/>
      <c r="E2523" s="82"/>
      <c r="F2523" s="82"/>
      <c r="G2523" s="86"/>
      <c r="H2523" s="86"/>
      <c r="I2523" s="86"/>
      <c r="J2523" s="82"/>
      <c r="K2523" s="82"/>
      <c r="L2523" s="82"/>
      <c r="M2523" s="82"/>
      <c r="N2523" s="82"/>
      <c r="O2523" s="82"/>
      <c r="P2523" s="82"/>
      <c r="Q2523" s="82"/>
      <c r="R2523" s="82"/>
      <c r="S2523" s="82"/>
      <c r="T2523" s="82"/>
      <c r="U2523" s="82"/>
      <c r="V2523" s="82"/>
      <c r="W2523" s="82"/>
      <c r="X2523" s="82"/>
      <c r="Y2523" s="82"/>
      <c r="Z2523" s="82"/>
      <c r="AA2523" s="82"/>
      <c r="AB2523" s="82"/>
      <c r="AC2523" s="82"/>
      <c r="AD2523" s="82"/>
      <c r="AE2523" s="82"/>
      <c r="AF2523" s="82"/>
      <c r="AG2523" s="82"/>
      <c r="AH2523" s="82"/>
      <c r="AI2523" s="82"/>
      <c r="AJ2523" s="82"/>
      <c r="AK2523" s="82"/>
      <c r="AL2523" s="82"/>
      <c r="AM2523" s="82"/>
      <c r="AN2523" s="82">
        <f>IFERROR(__xludf.DUMMYFUNCTION("""COMPUTED_VALUE"""),0.0)</f>
        <v>0</v>
      </c>
      <c r="AO2523" s="82">
        <f>IFERROR(__xludf.DUMMYFUNCTION("""COMPUTED_VALUE"""),0.0)</f>
        <v>0</v>
      </c>
      <c r="AP2523" s="82">
        <f>IFERROR(__xludf.DUMMYFUNCTION("""COMPUTED_VALUE"""),0.0)</f>
        <v>0</v>
      </c>
      <c r="AQ2523" s="82">
        <f>IFERROR(__xludf.DUMMYFUNCTION("""COMPUTED_VALUE"""),0.0)</f>
        <v>0</v>
      </c>
      <c r="AR2523" s="82">
        <f>IFERROR(__xludf.DUMMYFUNCTION("""COMPUTED_VALUE"""),0.0)</f>
        <v>0</v>
      </c>
      <c r="AS2523" s="82"/>
      <c r="AT2523" s="82">
        <f>IFERROR(__xludf.DUMMYFUNCTION("""COMPUTED_VALUE"""),0.0)</f>
        <v>0</v>
      </c>
      <c r="AU2523" s="82"/>
      <c r="AV2523" s="82"/>
      <c r="AW2523" s="82" t="str">
        <f t="shared" si="1"/>
        <v/>
      </c>
      <c r="AX2523" s="83" t="str">
        <f t="array" ref="AX2523">IFERROR(DGET('SBV Import'!A:G,"SBV",{"RSC ID","Tier";B2523,A2523}))</f>
        <v/>
      </c>
      <c r="AY2523" s="82" t="str">
        <f t="shared" si="2"/>
        <v/>
      </c>
      <c r="AZ2523" s="82"/>
      <c r="BA2523" s="84" t="s">
        <v>152</v>
      </c>
      <c r="BB2523" s="84" t="str">
        <f>IFERROR(__xludf.DUMMYFUNCTION("iferror(if(A2523="""",,E2523&gt;=FILTER(Constants!$F$2:$F$10,Constants!$A$2:$A$10=A2523)))"),"")</f>
        <v/>
      </c>
    </row>
    <row r="2524">
      <c r="A2524" s="89"/>
      <c r="B2524" s="87"/>
      <c r="C2524" s="73"/>
      <c r="D2524" s="73"/>
      <c r="E2524" s="82"/>
      <c r="F2524" s="82"/>
      <c r="G2524" s="86"/>
      <c r="H2524" s="86"/>
      <c r="I2524" s="86"/>
      <c r="J2524" s="82"/>
      <c r="K2524" s="82"/>
      <c r="L2524" s="82"/>
      <c r="M2524" s="82"/>
      <c r="N2524" s="82"/>
      <c r="O2524" s="82"/>
      <c r="P2524" s="82"/>
      <c r="Q2524" s="82"/>
      <c r="R2524" s="82"/>
      <c r="S2524" s="82"/>
      <c r="T2524" s="82"/>
      <c r="U2524" s="82"/>
      <c r="V2524" s="82"/>
      <c r="W2524" s="82"/>
      <c r="X2524" s="82"/>
      <c r="Y2524" s="82"/>
      <c r="Z2524" s="82"/>
      <c r="AA2524" s="82"/>
      <c r="AB2524" s="82"/>
      <c r="AC2524" s="82"/>
      <c r="AD2524" s="82"/>
      <c r="AE2524" s="82"/>
      <c r="AF2524" s="82"/>
      <c r="AG2524" s="82"/>
      <c r="AH2524" s="82"/>
      <c r="AI2524" s="82"/>
      <c r="AJ2524" s="82"/>
      <c r="AK2524" s="82"/>
      <c r="AL2524" s="82"/>
      <c r="AM2524" s="82"/>
      <c r="AN2524" s="82">
        <f>IFERROR(__xludf.DUMMYFUNCTION("""COMPUTED_VALUE"""),0.0)</f>
        <v>0</v>
      </c>
      <c r="AO2524" s="82">
        <f>IFERROR(__xludf.DUMMYFUNCTION("""COMPUTED_VALUE"""),0.0)</f>
        <v>0</v>
      </c>
      <c r="AP2524" s="82">
        <f>IFERROR(__xludf.DUMMYFUNCTION("""COMPUTED_VALUE"""),0.0)</f>
        <v>0</v>
      </c>
      <c r="AQ2524" s="82">
        <f>IFERROR(__xludf.DUMMYFUNCTION("""COMPUTED_VALUE"""),0.0)</f>
        <v>0</v>
      </c>
      <c r="AR2524" s="82">
        <f>IFERROR(__xludf.DUMMYFUNCTION("""COMPUTED_VALUE"""),0.0)</f>
        <v>0</v>
      </c>
      <c r="AS2524" s="82"/>
      <c r="AT2524" s="82">
        <f>IFERROR(__xludf.DUMMYFUNCTION("""COMPUTED_VALUE"""),0.0)</f>
        <v>0</v>
      </c>
      <c r="AU2524" s="82"/>
      <c r="AV2524" s="82"/>
      <c r="AW2524" s="82" t="str">
        <f t="shared" si="1"/>
        <v/>
      </c>
      <c r="AX2524" s="83" t="str">
        <f t="array" ref="AX2524">IFERROR(DGET('SBV Import'!A:G,"SBV",{"RSC ID","Tier";B2524,A2524}))</f>
        <v/>
      </c>
      <c r="AY2524" s="82" t="str">
        <f t="shared" si="2"/>
        <v/>
      </c>
      <c r="AZ2524" s="82"/>
      <c r="BA2524" s="84" t="s">
        <v>152</v>
      </c>
      <c r="BB2524" s="84" t="str">
        <f>IFERROR(__xludf.DUMMYFUNCTION("iferror(if(A2524="""",,E2524&gt;=FILTER(Constants!$F$2:$F$10,Constants!$A$2:$A$10=A2524)))"),"")</f>
        <v/>
      </c>
    </row>
    <row r="2525">
      <c r="A2525" s="89"/>
      <c r="B2525" s="87"/>
      <c r="C2525" s="73"/>
      <c r="D2525" s="73"/>
      <c r="E2525" s="82"/>
      <c r="F2525" s="82"/>
      <c r="G2525" s="86"/>
      <c r="H2525" s="86"/>
      <c r="I2525" s="86"/>
      <c r="J2525" s="82"/>
      <c r="K2525" s="82"/>
      <c r="L2525" s="82"/>
      <c r="M2525" s="82"/>
      <c r="N2525" s="82"/>
      <c r="O2525" s="82"/>
      <c r="P2525" s="82"/>
      <c r="Q2525" s="82"/>
      <c r="R2525" s="82"/>
      <c r="S2525" s="82"/>
      <c r="T2525" s="82"/>
      <c r="U2525" s="82"/>
      <c r="V2525" s="82"/>
      <c r="W2525" s="82"/>
      <c r="X2525" s="82"/>
      <c r="Y2525" s="82"/>
      <c r="Z2525" s="82"/>
      <c r="AA2525" s="82"/>
      <c r="AB2525" s="82"/>
      <c r="AC2525" s="82"/>
      <c r="AD2525" s="82"/>
      <c r="AE2525" s="82"/>
      <c r="AF2525" s="82"/>
      <c r="AG2525" s="82"/>
      <c r="AH2525" s="82"/>
      <c r="AI2525" s="82"/>
      <c r="AJ2525" s="82"/>
      <c r="AK2525" s="82"/>
      <c r="AL2525" s="82"/>
      <c r="AM2525" s="82"/>
      <c r="AN2525" s="82">
        <f>IFERROR(__xludf.DUMMYFUNCTION("""COMPUTED_VALUE"""),0.0)</f>
        <v>0</v>
      </c>
      <c r="AO2525" s="82">
        <f>IFERROR(__xludf.DUMMYFUNCTION("""COMPUTED_VALUE"""),0.0)</f>
        <v>0</v>
      </c>
      <c r="AP2525" s="82">
        <f>IFERROR(__xludf.DUMMYFUNCTION("""COMPUTED_VALUE"""),0.0)</f>
        <v>0</v>
      </c>
      <c r="AQ2525" s="82">
        <f>IFERROR(__xludf.DUMMYFUNCTION("""COMPUTED_VALUE"""),0.0)</f>
        <v>0</v>
      </c>
      <c r="AR2525" s="82">
        <f>IFERROR(__xludf.DUMMYFUNCTION("""COMPUTED_VALUE"""),0.0)</f>
        <v>0</v>
      </c>
      <c r="AS2525" s="82"/>
      <c r="AT2525" s="82">
        <f>IFERROR(__xludf.DUMMYFUNCTION("""COMPUTED_VALUE"""),0.0)</f>
        <v>0</v>
      </c>
      <c r="AU2525" s="82"/>
      <c r="AV2525" s="82"/>
      <c r="AW2525" s="82" t="str">
        <f t="shared" si="1"/>
        <v/>
      </c>
      <c r="AX2525" s="83" t="str">
        <f t="array" ref="AX2525">IFERROR(DGET('SBV Import'!A:G,"SBV",{"RSC ID","Tier";B2525,A2525}))</f>
        <v/>
      </c>
      <c r="AY2525" s="82" t="str">
        <f t="shared" si="2"/>
        <v/>
      </c>
      <c r="AZ2525" s="82"/>
      <c r="BA2525" s="84" t="s">
        <v>152</v>
      </c>
      <c r="BB2525" s="84" t="str">
        <f>IFERROR(__xludf.DUMMYFUNCTION("iferror(if(A2525="""",,E2525&gt;=FILTER(Constants!$F$2:$F$10,Constants!$A$2:$A$10=A2525)))"),"")</f>
        <v/>
      </c>
    </row>
    <row r="2526">
      <c r="A2526" s="89"/>
      <c r="B2526" s="87"/>
      <c r="C2526" s="73"/>
      <c r="D2526" s="73"/>
      <c r="E2526" s="82"/>
      <c r="F2526" s="82"/>
      <c r="G2526" s="86"/>
      <c r="H2526" s="86"/>
      <c r="I2526" s="86"/>
      <c r="J2526" s="82"/>
      <c r="K2526" s="82"/>
      <c r="L2526" s="82"/>
      <c r="M2526" s="82"/>
      <c r="N2526" s="82"/>
      <c r="O2526" s="82"/>
      <c r="P2526" s="82"/>
      <c r="Q2526" s="82"/>
      <c r="R2526" s="82"/>
      <c r="S2526" s="82"/>
      <c r="T2526" s="82"/>
      <c r="U2526" s="82"/>
      <c r="V2526" s="82"/>
      <c r="W2526" s="82"/>
      <c r="X2526" s="82"/>
      <c r="Y2526" s="82"/>
      <c r="Z2526" s="82"/>
      <c r="AA2526" s="82"/>
      <c r="AB2526" s="82"/>
      <c r="AC2526" s="82"/>
      <c r="AD2526" s="82"/>
      <c r="AE2526" s="82"/>
      <c r="AF2526" s="82"/>
      <c r="AG2526" s="82"/>
      <c r="AH2526" s="82"/>
      <c r="AI2526" s="82"/>
      <c r="AJ2526" s="82"/>
      <c r="AK2526" s="82"/>
      <c r="AL2526" s="82"/>
      <c r="AM2526" s="82"/>
      <c r="AN2526" s="82">
        <f>IFERROR(__xludf.DUMMYFUNCTION("""COMPUTED_VALUE"""),0.0)</f>
        <v>0</v>
      </c>
      <c r="AO2526" s="82">
        <f>IFERROR(__xludf.DUMMYFUNCTION("""COMPUTED_VALUE"""),0.0)</f>
        <v>0</v>
      </c>
      <c r="AP2526" s="82">
        <f>IFERROR(__xludf.DUMMYFUNCTION("""COMPUTED_VALUE"""),0.0)</f>
        <v>0</v>
      </c>
      <c r="AQ2526" s="82">
        <f>IFERROR(__xludf.DUMMYFUNCTION("""COMPUTED_VALUE"""),0.0)</f>
        <v>0</v>
      </c>
      <c r="AR2526" s="82">
        <f>IFERROR(__xludf.DUMMYFUNCTION("""COMPUTED_VALUE"""),0.0)</f>
        <v>0</v>
      </c>
      <c r="AS2526" s="82"/>
      <c r="AT2526" s="82">
        <f>IFERROR(__xludf.DUMMYFUNCTION("""COMPUTED_VALUE"""),0.0)</f>
        <v>0</v>
      </c>
      <c r="AU2526" s="82"/>
      <c r="AV2526" s="82"/>
      <c r="AW2526" s="82" t="str">
        <f t="shared" si="1"/>
        <v/>
      </c>
      <c r="AX2526" s="83" t="str">
        <f t="array" ref="AX2526">IFERROR(DGET('SBV Import'!A:G,"SBV",{"RSC ID","Tier";B2526,A2526}))</f>
        <v/>
      </c>
      <c r="AY2526" s="82" t="str">
        <f t="shared" si="2"/>
        <v/>
      </c>
      <c r="AZ2526" s="82"/>
      <c r="BA2526" s="84" t="s">
        <v>152</v>
      </c>
      <c r="BB2526" s="84" t="str">
        <f>IFERROR(__xludf.DUMMYFUNCTION("iferror(if(A2526="""",,E2526&gt;=FILTER(Constants!$F$2:$F$10,Constants!$A$2:$A$10=A2526)))"),"")</f>
        <v/>
      </c>
    </row>
    <row r="2527">
      <c r="A2527" s="89"/>
      <c r="B2527" s="87"/>
      <c r="C2527" s="73"/>
      <c r="D2527" s="73"/>
      <c r="E2527" s="82"/>
      <c r="F2527" s="82"/>
      <c r="G2527" s="86"/>
      <c r="H2527" s="86"/>
      <c r="I2527" s="86"/>
      <c r="J2527" s="82"/>
      <c r="K2527" s="82"/>
      <c r="L2527" s="82"/>
      <c r="M2527" s="82"/>
      <c r="N2527" s="82"/>
      <c r="O2527" s="82"/>
      <c r="P2527" s="82"/>
      <c r="Q2527" s="82"/>
      <c r="R2527" s="82"/>
      <c r="S2527" s="82"/>
      <c r="T2527" s="82"/>
      <c r="U2527" s="82"/>
      <c r="V2527" s="82"/>
      <c r="W2527" s="82"/>
      <c r="X2527" s="82"/>
      <c r="Y2527" s="82"/>
      <c r="Z2527" s="82"/>
      <c r="AA2527" s="82"/>
      <c r="AB2527" s="82"/>
      <c r="AC2527" s="82"/>
      <c r="AD2527" s="82"/>
      <c r="AE2527" s="82"/>
      <c r="AF2527" s="82"/>
      <c r="AG2527" s="82"/>
      <c r="AH2527" s="82"/>
      <c r="AI2527" s="82"/>
      <c r="AJ2527" s="82"/>
      <c r="AK2527" s="82"/>
      <c r="AL2527" s="82"/>
      <c r="AM2527" s="82"/>
      <c r="AN2527" s="82">
        <f>IFERROR(__xludf.DUMMYFUNCTION("""COMPUTED_VALUE"""),0.0)</f>
        <v>0</v>
      </c>
      <c r="AO2527" s="82">
        <f>IFERROR(__xludf.DUMMYFUNCTION("""COMPUTED_VALUE"""),0.0)</f>
        <v>0</v>
      </c>
      <c r="AP2527" s="82">
        <f>IFERROR(__xludf.DUMMYFUNCTION("""COMPUTED_VALUE"""),0.0)</f>
        <v>0</v>
      </c>
      <c r="AQ2527" s="82">
        <f>IFERROR(__xludf.DUMMYFUNCTION("""COMPUTED_VALUE"""),0.0)</f>
        <v>0</v>
      </c>
      <c r="AR2527" s="82">
        <f>IFERROR(__xludf.DUMMYFUNCTION("""COMPUTED_VALUE"""),0.0)</f>
        <v>0</v>
      </c>
      <c r="AS2527" s="82"/>
      <c r="AT2527" s="82">
        <f>IFERROR(__xludf.DUMMYFUNCTION("""COMPUTED_VALUE"""),0.0)</f>
        <v>0</v>
      </c>
      <c r="AU2527" s="82"/>
      <c r="AV2527" s="82"/>
      <c r="AW2527" s="82" t="str">
        <f t="shared" si="1"/>
        <v/>
      </c>
      <c r="AX2527" s="83" t="str">
        <f t="array" ref="AX2527">IFERROR(DGET('SBV Import'!A:G,"SBV",{"RSC ID","Tier";B2527,A2527}))</f>
        <v/>
      </c>
      <c r="AY2527" s="82" t="str">
        <f t="shared" si="2"/>
        <v/>
      </c>
      <c r="AZ2527" s="82"/>
      <c r="BA2527" s="84" t="s">
        <v>152</v>
      </c>
      <c r="BB2527" s="84" t="str">
        <f>IFERROR(__xludf.DUMMYFUNCTION("iferror(if(A2527="""",,E2527&gt;=FILTER(Constants!$F$2:$F$10,Constants!$A$2:$A$10=A2527)))"),"")</f>
        <v/>
      </c>
    </row>
    <row r="2528">
      <c r="A2528" s="89"/>
      <c r="B2528" s="87"/>
      <c r="C2528" s="73"/>
      <c r="D2528" s="73"/>
      <c r="E2528" s="82"/>
      <c r="F2528" s="82"/>
      <c r="G2528" s="86"/>
      <c r="H2528" s="86"/>
      <c r="I2528" s="86"/>
      <c r="J2528" s="82"/>
      <c r="K2528" s="82"/>
      <c r="L2528" s="82"/>
      <c r="M2528" s="82"/>
      <c r="N2528" s="82"/>
      <c r="O2528" s="82"/>
      <c r="P2528" s="82"/>
      <c r="Q2528" s="82"/>
      <c r="R2528" s="82"/>
      <c r="S2528" s="82"/>
      <c r="T2528" s="82"/>
      <c r="U2528" s="82"/>
      <c r="V2528" s="82"/>
      <c r="W2528" s="82"/>
      <c r="X2528" s="82"/>
      <c r="Y2528" s="82"/>
      <c r="Z2528" s="82"/>
      <c r="AA2528" s="82"/>
      <c r="AB2528" s="82"/>
      <c r="AC2528" s="82"/>
      <c r="AD2528" s="82"/>
      <c r="AE2528" s="82"/>
      <c r="AF2528" s="82"/>
      <c r="AG2528" s="82"/>
      <c r="AH2528" s="82"/>
      <c r="AI2528" s="82"/>
      <c r="AJ2528" s="82"/>
      <c r="AK2528" s="82"/>
      <c r="AL2528" s="82"/>
      <c r="AM2528" s="82"/>
      <c r="AN2528" s="82">
        <f>IFERROR(__xludf.DUMMYFUNCTION("""COMPUTED_VALUE"""),0.0)</f>
        <v>0</v>
      </c>
      <c r="AO2528" s="82">
        <f>IFERROR(__xludf.DUMMYFUNCTION("""COMPUTED_VALUE"""),0.0)</f>
        <v>0</v>
      </c>
      <c r="AP2528" s="82">
        <f>IFERROR(__xludf.DUMMYFUNCTION("""COMPUTED_VALUE"""),0.0)</f>
        <v>0</v>
      </c>
      <c r="AQ2528" s="82">
        <f>IFERROR(__xludf.DUMMYFUNCTION("""COMPUTED_VALUE"""),0.0)</f>
        <v>0</v>
      </c>
      <c r="AR2528" s="82">
        <f>IFERROR(__xludf.DUMMYFUNCTION("""COMPUTED_VALUE"""),0.0)</f>
        <v>0</v>
      </c>
      <c r="AS2528" s="82"/>
      <c r="AT2528" s="82">
        <f>IFERROR(__xludf.DUMMYFUNCTION("""COMPUTED_VALUE"""),0.0)</f>
        <v>0</v>
      </c>
      <c r="AU2528" s="82"/>
      <c r="AV2528" s="82"/>
      <c r="AW2528" s="82" t="str">
        <f t="shared" si="1"/>
        <v/>
      </c>
      <c r="AX2528" s="83" t="str">
        <f t="array" ref="AX2528">IFERROR(DGET('SBV Import'!A:G,"SBV",{"RSC ID","Tier";B2528,A2528}))</f>
        <v/>
      </c>
      <c r="AY2528" s="82" t="str">
        <f t="shared" si="2"/>
        <v/>
      </c>
      <c r="AZ2528" s="82"/>
      <c r="BA2528" s="84" t="s">
        <v>152</v>
      </c>
      <c r="BB2528" s="84" t="str">
        <f>IFERROR(__xludf.DUMMYFUNCTION("iferror(if(A2528="""",,E2528&gt;=FILTER(Constants!$F$2:$F$10,Constants!$A$2:$A$10=A2528)))"),"")</f>
        <v/>
      </c>
    </row>
    <row r="2529">
      <c r="A2529" s="89"/>
      <c r="B2529" s="87"/>
      <c r="C2529" s="73"/>
      <c r="D2529" s="73"/>
      <c r="E2529" s="82"/>
      <c r="F2529" s="82"/>
      <c r="G2529" s="86"/>
      <c r="H2529" s="86"/>
      <c r="I2529" s="86"/>
      <c r="J2529" s="82"/>
      <c r="K2529" s="82"/>
      <c r="L2529" s="82"/>
      <c r="M2529" s="82"/>
      <c r="N2529" s="82"/>
      <c r="O2529" s="82"/>
      <c r="P2529" s="82"/>
      <c r="Q2529" s="82"/>
      <c r="R2529" s="82"/>
      <c r="S2529" s="82"/>
      <c r="T2529" s="82"/>
      <c r="U2529" s="82"/>
      <c r="V2529" s="82"/>
      <c r="W2529" s="82"/>
      <c r="X2529" s="82"/>
      <c r="Y2529" s="82"/>
      <c r="Z2529" s="82"/>
      <c r="AA2529" s="82"/>
      <c r="AB2529" s="82"/>
      <c r="AC2529" s="82"/>
      <c r="AD2529" s="82"/>
      <c r="AE2529" s="82"/>
      <c r="AF2529" s="82"/>
      <c r="AG2529" s="82"/>
      <c r="AH2529" s="82"/>
      <c r="AI2529" s="82"/>
      <c r="AJ2529" s="82"/>
      <c r="AK2529" s="82"/>
      <c r="AL2529" s="82"/>
      <c r="AM2529" s="82"/>
      <c r="AN2529" s="82">
        <f>IFERROR(__xludf.DUMMYFUNCTION("""COMPUTED_VALUE"""),0.0)</f>
        <v>0</v>
      </c>
      <c r="AO2529" s="82">
        <f>IFERROR(__xludf.DUMMYFUNCTION("""COMPUTED_VALUE"""),0.0)</f>
        <v>0</v>
      </c>
      <c r="AP2529" s="82">
        <f>IFERROR(__xludf.DUMMYFUNCTION("""COMPUTED_VALUE"""),0.0)</f>
        <v>0</v>
      </c>
      <c r="AQ2529" s="82">
        <f>IFERROR(__xludf.DUMMYFUNCTION("""COMPUTED_VALUE"""),0.0)</f>
        <v>0</v>
      </c>
      <c r="AR2529" s="82">
        <f>IFERROR(__xludf.DUMMYFUNCTION("""COMPUTED_VALUE"""),0.0)</f>
        <v>0</v>
      </c>
      <c r="AS2529" s="82"/>
      <c r="AT2529" s="82">
        <f>IFERROR(__xludf.DUMMYFUNCTION("""COMPUTED_VALUE"""),0.0)</f>
        <v>0</v>
      </c>
      <c r="AU2529" s="82"/>
      <c r="AV2529" s="82"/>
      <c r="AW2529" s="82" t="str">
        <f t="shared" si="1"/>
        <v/>
      </c>
      <c r="AX2529" s="83" t="str">
        <f t="array" ref="AX2529">IFERROR(DGET('SBV Import'!A:G,"SBV",{"RSC ID","Tier";B2529,A2529}))</f>
        <v/>
      </c>
      <c r="AY2529" s="82" t="str">
        <f t="shared" si="2"/>
        <v/>
      </c>
      <c r="AZ2529" s="82"/>
      <c r="BA2529" s="84" t="s">
        <v>152</v>
      </c>
      <c r="BB2529" s="84" t="str">
        <f>IFERROR(__xludf.DUMMYFUNCTION("iferror(if(A2529="""",,E2529&gt;=FILTER(Constants!$F$2:$F$10,Constants!$A$2:$A$10=A2529)))"),"")</f>
        <v/>
      </c>
    </row>
    <row r="2530">
      <c r="A2530" s="89"/>
      <c r="B2530" s="87"/>
      <c r="C2530" s="73"/>
      <c r="D2530" s="73"/>
      <c r="E2530" s="82"/>
      <c r="F2530" s="82"/>
      <c r="G2530" s="86"/>
      <c r="H2530" s="86"/>
      <c r="I2530" s="86"/>
      <c r="J2530" s="82"/>
      <c r="K2530" s="82"/>
      <c r="L2530" s="82"/>
      <c r="M2530" s="82"/>
      <c r="N2530" s="82"/>
      <c r="O2530" s="82"/>
      <c r="P2530" s="82"/>
      <c r="Q2530" s="82"/>
      <c r="R2530" s="82"/>
      <c r="S2530" s="82"/>
      <c r="T2530" s="82"/>
      <c r="U2530" s="82"/>
      <c r="V2530" s="82"/>
      <c r="W2530" s="82"/>
      <c r="X2530" s="82"/>
      <c r="Y2530" s="82"/>
      <c r="Z2530" s="82"/>
      <c r="AA2530" s="82"/>
      <c r="AB2530" s="82"/>
      <c r="AC2530" s="82"/>
      <c r="AD2530" s="82"/>
      <c r="AE2530" s="82"/>
      <c r="AF2530" s="82"/>
      <c r="AG2530" s="82"/>
      <c r="AH2530" s="82"/>
      <c r="AI2530" s="82"/>
      <c r="AJ2530" s="82"/>
      <c r="AK2530" s="82"/>
      <c r="AL2530" s="82"/>
      <c r="AM2530" s="82"/>
      <c r="AN2530" s="82">
        <f>IFERROR(__xludf.DUMMYFUNCTION("""COMPUTED_VALUE"""),0.0)</f>
        <v>0</v>
      </c>
      <c r="AO2530" s="82">
        <f>IFERROR(__xludf.DUMMYFUNCTION("""COMPUTED_VALUE"""),0.0)</f>
        <v>0</v>
      </c>
      <c r="AP2530" s="82">
        <f>IFERROR(__xludf.DUMMYFUNCTION("""COMPUTED_VALUE"""),0.0)</f>
        <v>0</v>
      </c>
      <c r="AQ2530" s="82">
        <f>IFERROR(__xludf.DUMMYFUNCTION("""COMPUTED_VALUE"""),0.0)</f>
        <v>0</v>
      </c>
      <c r="AR2530" s="82">
        <f>IFERROR(__xludf.DUMMYFUNCTION("""COMPUTED_VALUE"""),0.0)</f>
        <v>0</v>
      </c>
      <c r="AS2530" s="82"/>
      <c r="AT2530" s="82">
        <f>IFERROR(__xludf.DUMMYFUNCTION("""COMPUTED_VALUE"""),0.0)</f>
        <v>0</v>
      </c>
      <c r="AU2530" s="82"/>
      <c r="AV2530" s="82"/>
      <c r="AW2530" s="82" t="str">
        <f t="shared" si="1"/>
        <v/>
      </c>
      <c r="AX2530" s="83" t="str">
        <f t="array" ref="AX2530">IFERROR(DGET('SBV Import'!A:G,"SBV",{"RSC ID","Tier";B2530,A2530}))</f>
        <v/>
      </c>
      <c r="AY2530" s="82" t="str">
        <f t="shared" si="2"/>
        <v/>
      </c>
      <c r="AZ2530" s="82"/>
      <c r="BA2530" s="84" t="s">
        <v>152</v>
      </c>
      <c r="BB2530" s="84" t="str">
        <f>IFERROR(__xludf.DUMMYFUNCTION("iferror(if(A2530="""",,E2530&gt;=FILTER(Constants!$F$2:$F$10,Constants!$A$2:$A$10=A2530)))"),"")</f>
        <v/>
      </c>
    </row>
    <row r="2531">
      <c r="A2531" s="89"/>
      <c r="B2531" s="87"/>
      <c r="C2531" s="73"/>
      <c r="D2531" s="73"/>
      <c r="E2531" s="82"/>
      <c r="F2531" s="82"/>
      <c r="G2531" s="86"/>
      <c r="H2531" s="86"/>
      <c r="I2531" s="86"/>
      <c r="J2531" s="82"/>
      <c r="K2531" s="82"/>
      <c r="L2531" s="82"/>
      <c r="M2531" s="82"/>
      <c r="N2531" s="82"/>
      <c r="O2531" s="82"/>
      <c r="P2531" s="82"/>
      <c r="Q2531" s="82"/>
      <c r="R2531" s="82"/>
      <c r="S2531" s="82"/>
      <c r="T2531" s="82"/>
      <c r="U2531" s="82"/>
      <c r="V2531" s="82"/>
      <c r="W2531" s="82"/>
      <c r="X2531" s="82"/>
      <c r="Y2531" s="82"/>
      <c r="Z2531" s="82"/>
      <c r="AA2531" s="82"/>
      <c r="AB2531" s="82"/>
      <c r="AC2531" s="82"/>
      <c r="AD2531" s="82"/>
      <c r="AE2531" s="82"/>
      <c r="AF2531" s="82"/>
      <c r="AG2531" s="82"/>
      <c r="AH2531" s="82"/>
      <c r="AI2531" s="82"/>
      <c r="AJ2531" s="82"/>
      <c r="AK2531" s="82"/>
      <c r="AL2531" s="82"/>
      <c r="AM2531" s="82"/>
      <c r="AN2531" s="82">
        <f>IFERROR(__xludf.DUMMYFUNCTION("""COMPUTED_VALUE"""),0.0)</f>
        <v>0</v>
      </c>
      <c r="AO2531" s="82">
        <f>IFERROR(__xludf.DUMMYFUNCTION("""COMPUTED_VALUE"""),0.0)</f>
        <v>0</v>
      </c>
      <c r="AP2531" s="82">
        <f>IFERROR(__xludf.DUMMYFUNCTION("""COMPUTED_VALUE"""),0.0)</f>
        <v>0</v>
      </c>
      <c r="AQ2531" s="82">
        <f>IFERROR(__xludf.DUMMYFUNCTION("""COMPUTED_VALUE"""),0.0)</f>
        <v>0</v>
      </c>
      <c r="AR2531" s="82">
        <f>IFERROR(__xludf.DUMMYFUNCTION("""COMPUTED_VALUE"""),0.0)</f>
        <v>0</v>
      </c>
      <c r="AS2531" s="82"/>
      <c r="AT2531" s="82">
        <f>IFERROR(__xludf.DUMMYFUNCTION("""COMPUTED_VALUE"""),0.0)</f>
        <v>0</v>
      </c>
      <c r="AU2531" s="82"/>
      <c r="AV2531" s="82"/>
      <c r="AW2531" s="82" t="str">
        <f t="shared" si="1"/>
        <v/>
      </c>
      <c r="AX2531" s="83" t="str">
        <f t="array" ref="AX2531">IFERROR(DGET('SBV Import'!A:G,"SBV",{"RSC ID","Tier";B2531,A2531}))</f>
        <v/>
      </c>
      <c r="AY2531" s="82" t="str">
        <f t="shared" si="2"/>
        <v/>
      </c>
      <c r="AZ2531" s="82"/>
      <c r="BA2531" s="84" t="s">
        <v>152</v>
      </c>
      <c r="BB2531" s="84" t="str">
        <f>IFERROR(__xludf.DUMMYFUNCTION("iferror(if(A2531="""",,E2531&gt;=FILTER(Constants!$F$2:$F$10,Constants!$A$2:$A$10=A2531)))"),"")</f>
        <v/>
      </c>
    </row>
    <row r="2532">
      <c r="A2532" s="89"/>
      <c r="B2532" s="87"/>
      <c r="C2532" s="73"/>
      <c r="D2532" s="73"/>
      <c r="E2532" s="82"/>
      <c r="F2532" s="82"/>
      <c r="G2532" s="86"/>
      <c r="H2532" s="86"/>
      <c r="I2532" s="86"/>
      <c r="J2532" s="82"/>
      <c r="K2532" s="82"/>
      <c r="L2532" s="82"/>
      <c r="M2532" s="82"/>
      <c r="N2532" s="82"/>
      <c r="O2532" s="82"/>
      <c r="P2532" s="82"/>
      <c r="Q2532" s="82"/>
      <c r="R2532" s="82"/>
      <c r="S2532" s="82"/>
      <c r="T2532" s="82"/>
      <c r="U2532" s="82"/>
      <c r="V2532" s="82"/>
      <c r="W2532" s="82"/>
      <c r="X2532" s="82"/>
      <c r="Y2532" s="82"/>
      <c r="Z2532" s="82"/>
      <c r="AA2532" s="82"/>
      <c r="AB2532" s="82"/>
      <c r="AC2532" s="82"/>
      <c r="AD2532" s="82"/>
      <c r="AE2532" s="82"/>
      <c r="AF2532" s="82"/>
      <c r="AG2532" s="82"/>
      <c r="AH2532" s="82"/>
      <c r="AI2532" s="82"/>
      <c r="AJ2532" s="82"/>
      <c r="AK2532" s="82"/>
      <c r="AL2532" s="82"/>
      <c r="AM2532" s="82"/>
      <c r="AN2532" s="82">
        <f>IFERROR(__xludf.DUMMYFUNCTION("""COMPUTED_VALUE"""),0.0)</f>
        <v>0</v>
      </c>
      <c r="AO2532" s="82">
        <f>IFERROR(__xludf.DUMMYFUNCTION("""COMPUTED_VALUE"""),0.0)</f>
        <v>0</v>
      </c>
      <c r="AP2532" s="82">
        <f>IFERROR(__xludf.DUMMYFUNCTION("""COMPUTED_VALUE"""),0.0)</f>
        <v>0</v>
      </c>
      <c r="AQ2532" s="82">
        <f>IFERROR(__xludf.DUMMYFUNCTION("""COMPUTED_VALUE"""),0.0)</f>
        <v>0</v>
      </c>
      <c r="AR2532" s="82">
        <f>IFERROR(__xludf.DUMMYFUNCTION("""COMPUTED_VALUE"""),0.0)</f>
        <v>0</v>
      </c>
      <c r="AS2532" s="82"/>
      <c r="AT2532" s="82">
        <f>IFERROR(__xludf.DUMMYFUNCTION("""COMPUTED_VALUE"""),0.0)</f>
        <v>0</v>
      </c>
      <c r="AU2532" s="82"/>
      <c r="AV2532" s="82"/>
      <c r="AW2532" s="82" t="str">
        <f t="shared" si="1"/>
        <v/>
      </c>
      <c r="AX2532" s="83" t="str">
        <f t="array" ref="AX2532">IFERROR(DGET('SBV Import'!A:G,"SBV",{"RSC ID","Tier";B2532,A2532}))</f>
        <v/>
      </c>
      <c r="AY2532" s="82" t="str">
        <f t="shared" si="2"/>
        <v/>
      </c>
      <c r="AZ2532" s="82"/>
      <c r="BA2532" s="84" t="s">
        <v>152</v>
      </c>
      <c r="BB2532" s="84" t="str">
        <f>IFERROR(__xludf.DUMMYFUNCTION("iferror(if(A2532="""",,E2532&gt;=FILTER(Constants!$F$2:$F$10,Constants!$A$2:$A$10=A2532)))"),"")</f>
        <v/>
      </c>
    </row>
    <row r="2533">
      <c r="A2533" s="89"/>
      <c r="B2533" s="87"/>
      <c r="C2533" s="73"/>
      <c r="D2533" s="73"/>
      <c r="E2533" s="82"/>
      <c r="F2533" s="82"/>
      <c r="G2533" s="86"/>
      <c r="H2533" s="86"/>
      <c r="I2533" s="86"/>
      <c r="J2533" s="82"/>
      <c r="K2533" s="82"/>
      <c r="L2533" s="82"/>
      <c r="M2533" s="82"/>
      <c r="N2533" s="82"/>
      <c r="O2533" s="82"/>
      <c r="P2533" s="82"/>
      <c r="Q2533" s="82"/>
      <c r="R2533" s="82"/>
      <c r="S2533" s="82"/>
      <c r="T2533" s="82"/>
      <c r="U2533" s="82"/>
      <c r="V2533" s="82"/>
      <c r="W2533" s="82"/>
      <c r="X2533" s="82"/>
      <c r="Y2533" s="82"/>
      <c r="Z2533" s="82"/>
      <c r="AA2533" s="82"/>
      <c r="AB2533" s="82"/>
      <c r="AC2533" s="82"/>
      <c r="AD2533" s="82"/>
      <c r="AE2533" s="82"/>
      <c r="AF2533" s="82"/>
      <c r="AG2533" s="82"/>
      <c r="AH2533" s="82"/>
      <c r="AI2533" s="82"/>
      <c r="AJ2533" s="82"/>
      <c r="AK2533" s="82"/>
      <c r="AL2533" s="82"/>
      <c r="AM2533" s="82"/>
      <c r="AN2533" s="82">
        <f>IFERROR(__xludf.DUMMYFUNCTION("""COMPUTED_VALUE"""),0.0)</f>
        <v>0</v>
      </c>
      <c r="AO2533" s="82">
        <f>IFERROR(__xludf.DUMMYFUNCTION("""COMPUTED_VALUE"""),0.0)</f>
        <v>0</v>
      </c>
      <c r="AP2533" s="82">
        <f>IFERROR(__xludf.DUMMYFUNCTION("""COMPUTED_VALUE"""),0.0)</f>
        <v>0</v>
      </c>
      <c r="AQ2533" s="82">
        <f>IFERROR(__xludf.DUMMYFUNCTION("""COMPUTED_VALUE"""),0.0)</f>
        <v>0</v>
      </c>
      <c r="AR2533" s="82">
        <f>IFERROR(__xludf.DUMMYFUNCTION("""COMPUTED_VALUE"""),0.0)</f>
        <v>0</v>
      </c>
      <c r="AS2533" s="82"/>
      <c r="AT2533" s="82">
        <f>IFERROR(__xludf.DUMMYFUNCTION("""COMPUTED_VALUE"""),0.0)</f>
        <v>0</v>
      </c>
      <c r="AU2533" s="82"/>
      <c r="AV2533" s="82"/>
      <c r="AW2533" s="82" t="str">
        <f t="shared" si="1"/>
        <v/>
      </c>
      <c r="AX2533" s="83" t="str">
        <f t="array" ref="AX2533">IFERROR(DGET('SBV Import'!A:G,"SBV",{"RSC ID","Tier";B2533,A2533}))</f>
        <v/>
      </c>
      <c r="AY2533" s="82" t="str">
        <f t="shared" si="2"/>
        <v/>
      </c>
      <c r="AZ2533" s="82"/>
      <c r="BA2533" s="84" t="s">
        <v>152</v>
      </c>
      <c r="BB2533" s="84" t="str">
        <f>IFERROR(__xludf.DUMMYFUNCTION("iferror(if(A2533="""",,E2533&gt;=FILTER(Constants!$F$2:$F$10,Constants!$A$2:$A$10=A2533)))"),"")</f>
        <v/>
      </c>
    </row>
    <row r="2534">
      <c r="A2534" s="89"/>
      <c r="B2534" s="87"/>
      <c r="C2534" s="73"/>
      <c r="D2534" s="73"/>
      <c r="E2534" s="82"/>
      <c r="F2534" s="82"/>
      <c r="G2534" s="86"/>
      <c r="H2534" s="86"/>
      <c r="I2534" s="86"/>
      <c r="J2534" s="82"/>
      <c r="K2534" s="82"/>
      <c r="L2534" s="82"/>
      <c r="M2534" s="82"/>
      <c r="N2534" s="82"/>
      <c r="O2534" s="82"/>
      <c r="P2534" s="82"/>
      <c r="Q2534" s="82"/>
      <c r="R2534" s="82"/>
      <c r="S2534" s="82"/>
      <c r="T2534" s="82"/>
      <c r="U2534" s="82"/>
      <c r="V2534" s="82"/>
      <c r="W2534" s="82"/>
      <c r="X2534" s="82"/>
      <c r="Y2534" s="82"/>
      <c r="Z2534" s="82"/>
      <c r="AA2534" s="82"/>
      <c r="AB2534" s="82"/>
      <c r="AC2534" s="82"/>
      <c r="AD2534" s="82"/>
      <c r="AE2534" s="82"/>
      <c r="AF2534" s="82"/>
      <c r="AG2534" s="82"/>
      <c r="AH2534" s="82"/>
      <c r="AI2534" s="82"/>
      <c r="AJ2534" s="82"/>
      <c r="AK2534" s="82"/>
      <c r="AL2534" s="82"/>
      <c r="AM2534" s="82"/>
      <c r="AN2534" s="82">
        <f>IFERROR(__xludf.DUMMYFUNCTION("""COMPUTED_VALUE"""),0.0)</f>
        <v>0</v>
      </c>
      <c r="AO2534" s="82">
        <f>IFERROR(__xludf.DUMMYFUNCTION("""COMPUTED_VALUE"""),0.0)</f>
        <v>0</v>
      </c>
      <c r="AP2534" s="82">
        <f>IFERROR(__xludf.DUMMYFUNCTION("""COMPUTED_VALUE"""),0.0)</f>
        <v>0</v>
      </c>
      <c r="AQ2534" s="82">
        <f>IFERROR(__xludf.DUMMYFUNCTION("""COMPUTED_VALUE"""),0.0)</f>
        <v>0</v>
      </c>
      <c r="AR2534" s="82">
        <f>IFERROR(__xludf.DUMMYFUNCTION("""COMPUTED_VALUE"""),0.0)</f>
        <v>0</v>
      </c>
      <c r="AS2534" s="82"/>
      <c r="AT2534" s="82">
        <f>IFERROR(__xludf.DUMMYFUNCTION("""COMPUTED_VALUE"""),0.0)</f>
        <v>0</v>
      </c>
      <c r="AU2534" s="82"/>
      <c r="AV2534" s="82"/>
      <c r="AW2534" s="82" t="str">
        <f t="shared" si="1"/>
        <v/>
      </c>
      <c r="AX2534" s="83" t="str">
        <f t="array" ref="AX2534">IFERROR(DGET('SBV Import'!A:G,"SBV",{"RSC ID","Tier";B2534,A2534}))</f>
        <v/>
      </c>
      <c r="AY2534" s="82" t="str">
        <f t="shared" si="2"/>
        <v/>
      </c>
      <c r="AZ2534" s="82"/>
      <c r="BA2534" s="84" t="s">
        <v>152</v>
      </c>
      <c r="BB2534" s="84" t="str">
        <f>IFERROR(__xludf.DUMMYFUNCTION("iferror(if(A2534="""",,E2534&gt;=FILTER(Constants!$F$2:$F$10,Constants!$A$2:$A$10=A2534)))"),"")</f>
        <v/>
      </c>
    </row>
    <row r="2535">
      <c r="A2535" s="89"/>
      <c r="B2535" s="87"/>
      <c r="C2535" s="73"/>
      <c r="D2535" s="73"/>
      <c r="E2535" s="82"/>
      <c r="F2535" s="82"/>
      <c r="G2535" s="86"/>
      <c r="H2535" s="86"/>
      <c r="I2535" s="86"/>
      <c r="J2535" s="82"/>
      <c r="K2535" s="82"/>
      <c r="L2535" s="82"/>
      <c r="M2535" s="82"/>
      <c r="N2535" s="82"/>
      <c r="O2535" s="82"/>
      <c r="P2535" s="82"/>
      <c r="Q2535" s="82"/>
      <c r="R2535" s="82"/>
      <c r="S2535" s="82"/>
      <c r="T2535" s="82"/>
      <c r="U2535" s="82"/>
      <c r="V2535" s="82"/>
      <c r="W2535" s="82"/>
      <c r="X2535" s="82"/>
      <c r="Y2535" s="82"/>
      <c r="Z2535" s="82"/>
      <c r="AA2535" s="82"/>
      <c r="AB2535" s="82"/>
      <c r="AC2535" s="82"/>
      <c r="AD2535" s="82"/>
      <c r="AE2535" s="82"/>
      <c r="AF2535" s="82"/>
      <c r="AG2535" s="82"/>
      <c r="AH2535" s="82"/>
      <c r="AI2535" s="82"/>
      <c r="AJ2535" s="82"/>
      <c r="AK2535" s="82"/>
      <c r="AL2535" s="82"/>
      <c r="AM2535" s="82"/>
      <c r="AN2535" s="82">
        <f>IFERROR(__xludf.DUMMYFUNCTION("""COMPUTED_VALUE"""),0.0)</f>
        <v>0</v>
      </c>
      <c r="AO2535" s="82">
        <f>IFERROR(__xludf.DUMMYFUNCTION("""COMPUTED_VALUE"""),0.0)</f>
        <v>0</v>
      </c>
      <c r="AP2535" s="82">
        <f>IFERROR(__xludf.DUMMYFUNCTION("""COMPUTED_VALUE"""),0.0)</f>
        <v>0</v>
      </c>
      <c r="AQ2535" s="82">
        <f>IFERROR(__xludf.DUMMYFUNCTION("""COMPUTED_VALUE"""),0.0)</f>
        <v>0</v>
      </c>
      <c r="AR2535" s="82">
        <f>IFERROR(__xludf.DUMMYFUNCTION("""COMPUTED_VALUE"""),0.0)</f>
        <v>0</v>
      </c>
      <c r="AS2535" s="82"/>
      <c r="AT2535" s="82">
        <f>IFERROR(__xludf.DUMMYFUNCTION("""COMPUTED_VALUE"""),0.0)</f>
        <v>0</v>
      </c>
      <c r="AU2535" s="82"/>
      <c r="AV2535" s="82"/>
      <c r="AW2535" s="82" t="str">
        <f t="shared" si="1"/>
        <v/>
      </c>
      <c r="AX2535" s="83" t="str">
        <f t="array" ref="AX2535">IFERROR(DGET('SBV Import'!A:G,"SBV",{"RSC ID","Tier";B2535,A2535}))</f>
        <v/>
      </c>
      <c r="AY2535" s="82" t="str">
        <f t="shared" si="2"/>
        <v/>
      </c>
      <c r="AZ2535" s="82"/>
      <c r="BA2535" s="84" t="s">
        <v>152</v>
      </c>
      <c r="BB2535" s="84" t="str">
        <f>IFERROR(__xludf.DUMMYFUNCTION("iferror(if(A2535="""",,E2535&gt;=FILTER(Constants!$F$2:$F$10,Constants!$A$2:$A$10=A2535)))"),"")</f>
        <v/>
      </c>
    </row>
    <row r="2536">
      <c r="A2536" s="89"/>
      <c r="B2536" s="87"/>
      <c r="C2536" s="73"/>
      <c r="D2536" s="73"/>
      <c r="E2536" s="82"/>
      <c r="F2536" s="82"/>
      <c r="G2536" s="86"/>
      <c r="H2536" s="86"/>
      <c r="I2536" s="86"/>
      <c r="J2536" s="82"/>
      <c r="K2536" s="82"/>
      <c r="L2536" s="82"/>
      <c r="M2536" s="82"/>
      <c r="N2536" s="82"/>
      <c r="O2536" s="82"/>
      <c r="P2536" s="82"/>
      <c r="Q2536" s="82"/>
      <c r="R2536" s="82"/>
      <c r="S2536" s="82"/>
      <c r="T2536" s="82"/>
      <c r="U2536" s="82"/>
      <c r="V2536" s="82"/>
      <c r="W2536" s="82"/>
      <c r="X2536" s="82"/>
      <c r="Y2536" s="82"/>
      <c r="Z2536" s="82"/>
      <c r="AA2536" s="82"/>
      <c r="AB2536" s="82"/>
      <c r="AC2536" s="82"/>
      <c r="AD2536" s="82"/>
      <c r="AE2536" s="82"/>
      <c r="AF2536" s="82"/>
      <c r="AG2536" s="82"/>
      <c r="AH2536" s="82"/>
      <c r="AI2536" s="82"/>
      <c r="AJ2536" s="82"/>
      <c r="AK2536" s="82"/>
      <c r="AL2536" s="82"/>
      <c r="AM2536" s="82"/>
      <c r="AN2536" s="82">
        <f>IFERROR(__xludf.DUMMYFUNCTION("""COMPUTED_VALUE"""),0.0)</f>
        <v>0</v>
      </c>
      <c r="AO2536" s="82">
        <f>IFERROR(__xludf.DUMMYFUNCTION("""COMPUTED_VALUE"""),0.0)</f>
        <v>0</v>
      </c>
      <c r="AP2536" s="82">
        <f>IFERROR(__xludf.DUMMYFUNCTION("""COMPUTED_VALUE"""),0.0)</f>
        <v>0</v>
      </c>
      <c r="AQ2536" s="82">
        <f>IFERROR(__xludf.DUMMYFUNCTION("""COMPUTED_VALUE"""),0.0)</f>
        <v>0</v>
      </c>
      <c r="AR2536" s="82">
        <f>IFERROR(__xludf.DUMMYFUNCTION("""COMPUTED_VALUE"""),0.0)</f>
        <v>0</v>
      </c>
      <c r="AS2536" s="82"/>
      <c r="AT2536" s="82">
        <f>IFERROR(__xludf.DUMMYFUNCTION("""COMPUTED_VALUE"""),0.0)</f>
        <v>0</v>
      </c>
      <c r="AU2536" s="82"/>
      <c r="AV2536" s="82"/>
      <c r="AW2536" s="82" t="str">
        <f t="shared" si="1"/>
        <v/>
      </c>
      <c r="AX2536" s="83" t="str">
        <f t="array" ref="AX2536">IFERROR(DGET('SBV Import'!A:G,"SBV",{"RSC ID","Tier";B2536,A2536}))</f>
        <v/>
      </c>
      <c r="AY2536" s="82" t="str">
        <f t="shared" si="2"/>
        <v/>
      </c>
      <c r="AZ2536" s="82"/>
      <c r="BA2536" s="84" t="s">
        <v>152</v>
      </c>
      <c r="BB2536" s="84" t="str">
        <f>IFERROR(__xludf.DUMMYFUNCTION("iferror(if(A2536="""",,E2536&gt;=FILTER(Constants!$F$2:$F$10,Constants!$A$2:$A$10=A2536)))"),"")</f>
        <v/>
      </c>
    </row>
    <row r="2537">
      <c r="A2537" s="89"/>
      <c r="B2537" s="87"/>
      <c r="C2537" s="73"/>
      <c r="D2537" s="73"/>
      <c r="E2537" s="82"/>
      <c r="F2537" s="82"/>
      <c r="G2537" s="86"/>
      <c r="H2537" s="86"/>
      <c r="I2537" s="86"/>
      <c r="J2537" s="82"/>
      <c r="K2537" s="82"/>
      <c r="L2537" s="82"/>
      <c r="M2537" s="82"/>
      <c r="N2537" s="82"/>
      <c r="O2537" s="82"/>
      <c r="P2537" s="82"/>
      <c r="Q2537" s="82"/>
      <c r="R2537" s="82"/>
      <c r="S2537" s="82"/>
      <c r="T2537" s="82"/>
      <c r="U2537" s="82"/>
      <c r="V2537" s="82"/>
      <c r="W2537" s="82"/>
      <c r="X2537" s="82"/>
      <c r="Y2537" s="82"/>
      <c r="Z2537" s="82"/>
      <c r="AA2537" s="82"/>
      <c r="AB2537" s="82"/>
      <c r="AC2537" s="82"/>
      <c r="AD2537" s="82"/>
      <c r="AE2537" s="82"/>
      <c r="AF2537" s="82"/>
      <c r="AG2537" s="82"/>
      <c r="AH2537" s="82"/>
      <c r="AI2537" s="82"/>
      <c r="AJ2537" s="82"/>
      <c r="AK2537" s="82"/>
      <c r="AL2537" s="82"/>
      <c r="AM2537" s="82"/>
      <c r="AN2537" s="82">
        <f>IFERROR(__xludf.DUMMYFUNCTION("""COMPUTED_VALUE"""),0.0)</f>
        <v>0</v>
      </c>
      <c r="AO2537" s="82">
        <f>IFERROR(__xludf.DUMMYFUNCTION("""COMPUTED_VALUE"""),0.0)</f>
        <v>0</v>
      </c>
      <c r="AP2537" s="82">
        <f>IFERROR(__xludf.DUMMYFUNCTION("""COMPUTED_VALUE"""),0.0)</f>
        <v>0</v>
      </c>
      <c r="AQ2537" s="82">
        <f>IFERROR(__xludf.DUMMYFUNCTION("""COMPUTED_VALUE"""),0.0)</f>
        <v>0</v>
      </c>
      <c r="AR2537" s="82">
        <f>IFERROR(__xludf.DUMMYFUNCTION("""COMPUTED_VALUE"""),0.0)</f>
        <v>0</v>
      </c>
      <c r="AS2537" s="82"/>
      <c r="AT2537" s="82">
        <f>IFERROR(__xludf.DUMMYFUNCTION("""COMPUTED_VALUE"""),0.0)</f>
        <v>0</v>
      </c>
      <c r="AU2537" s="82"/>
      <c r="AV2537" s="82"/>
      <c r="AW2537" s="82" t="str">
        <f t="shared" si="1"/>
        <v/>
      </c>
      <c r="AX2537" s="83" t="str">
        <f t="array" ref="AX2537">IFERROR(DGET('SBV Import'!A:G,"SBV",{"RSC ID","Tier";B2537,A2537}))</f>
        <v/>
      </c>
      <c r="AY2537" s="82" t="str">
        <f t="shared" si="2"/>
        <v/>
      </c>
      <c r="AZ2537" s="82"/>
      <c r="BA2537" s="84" t="s">
        <v>152</v>
      </c>
      <c r="BB2537" s="84" t="str">
        <f>IFERROR(__xludf.DUMMYFUNCTION("iferror(if(A2537="""",,E2537&gt;=FILTER(Constants!$F$2:$F$10,Constants!$A$2:$A$10=A2537)))"),"")</f>
        <v/>
      </c>
    </row>
    <row r="2538">
      <c r="A2538" s="89"/>
      <c r="B2538" s="87"/>
      <c r="C2538" s="73"/>
      <c r="D2538" s="73"/>
      <c r="E2538" s="82"/>
      <c r="F2538" s="82"/>
      <c r="G2538" s="86"/>
      <c r="H2538" s="86"/>
      <c r="I2538" s="86"/>
      <c r="J2538" s="82"/>
      <c r="K2538" s="82"/>
      <c r="L2538" s="82"/>
      <c r="M2538" s="82"/>
      <c r="N2538" s="82"/>
      <c r="O2538" s="82"/>
      <c r="P2538" s="82"/>
      <c r="Q2538" s="82"/>
      <c r="R2538" s="82"/>
      <c r="S2538" s="82"/>
      <c r="T2538" s="82"/>
      <c r="U2538" s="82"/>
      <c r="V2538" s="82"/>
      <c r="W2538" s="82"/>
      <c r="X2538" s="82"/>
      <c r="Y2538" s="82"/>
      <c r="Z2538" s="82"/>
      <c r="AA2538" s="82"/>
      <c r="AB2538" s="82"/>
      <c r="AC2538" s="82"/>
      <c r="AD2538" s="82"/>
      <c r="AE2538" s="82"/>
      <c r="AF2538" s="82"/>
      <c r="AG2538" s="82"/>
      <c r="AH2538" s="82"/>
      <c r="AI2538" s="82"/>
      <c r="AJ2538" s="82"/>
      <c r="AK2538" s="82"/>
      <c r="AL2538" s="82"/>
      <c r="AM2538" s="82"/>
      <c r="AN2538" s="82">
        <f>IFERROR(__xludf.DUMMYFUNCTION("""COMPUTED_VALUE"""),0.0)</f>
        <v>0</v>
      </c>
      <c r="AO2538" s="82">
        <f>IFERROR(__xludf.DUMMYFUNCTION("""COMPUTED_VALUE"""),0.0)</f>
        <v>0</v>
      </c>
      <c r="AP2538" s="82">
        <f>IFERROR(__xludf.DUMMYFUNCTION("""COMPUTED_VALUE"""),0.0)</f>
        <v>0</v>
      </c>
      <c r="AQ2538" s="82">
        <f>IFERROR(__xludf.DUMMYFUNCTION("""COMPUTED_VALUE"""),0.0)</f>
        <v>0</v>
      </c>
      <c r="AR2538" s="82">
        <f>IFERROR(__xludf.DUMMYFUNCTION("""COMPUTED_VALUE"""),0.0)</f>
        <v>0</v>
      </c>
      <c r="AS2538" s="82"/>
      <c r="AT2538" s="82">
        <f>IFERROR(__xludf.DUMMYFUNCTION("""COMPUTED_VALUE"""),0.0)</f>
        <v>0</v>
      </c>
      <c r="AU2538" s="82"/>
      <c r="AV2538" s="82"/>
      <c r="AW2538" s="82" t="str">
        <f t="shared" si="1"/>
        <v/>
      </c>
      <c r="AX2538" s="83" t="str">
        <f t="array" ref="AX2538">IFERROR(DGET('SBV Import'!A:G,"SBV",{"RSC ID","Tier";B2538,A2538}))</f>
        <v/>
      </c>
      <c r="AY2538" s="82" t="str">
        <f t="shared" si="2"/>
        <v/>
      </c>
      <c r="AZ2538" s="82"/>
      <c r="BA2538" s="84" t="s">
        <v>152</v>
      </c>
      <c r="BB2538" s="84" t="str">
        <f>IFERROR(__xludf.DUMMYFUNCTION("iferror(if(A2538="""",,E2538&gt;=FILTER(Constants!$F$2:$F$10,Constants!$A$2:$A$10=A2538)))"),"")</f>
        <v/>
      </c>
    </row>
    <row r="2539">
      <c r="A2539" s="89"/>
      <c r="B2539" s="87"/>
      <c r="C2539" s="73"/>
      <c r="D2539" s="73"/>
      <c r="E2539" s="82"/>
      <c r="F2539" s="82"/>
      <c r="G2539" s="86"/>
      <c r="H2539" s="86"/>
      <c r="I2539" s="86"/>
      <c r="J2539" s="82"/>
      <c r="K2539" s="82"/>
      <c r="L2539" s="82"/>
      <c r="M2539" s="82"/>
      <c r="N2539" s="82"/>
      <c r="O2539" s="82"/>
      <c r="P2539" s="82"/>
      <c r="Q2539" s="82"/>
      <c r="R2539" s="82"/>
      <c r="S2539" s="82"/>
      <c r="T2539" s="82"/>
      <c r="U2539" s="82"/>
      <c r="V2539" s="82"/>
      <c r="W2539" s="82"/>
      <c r="X2539" s="82"/>
      <c r="Y2539" s="82"/>
      <c r="Z2539" s="82"/>
      <c r="AA2539" s="82"/>
      <c r="AB2539" s="82"/>
      <c r="AC2539" s="82"/>
      <c r="AD2539" s="82"/>
      <c r="AE2539" s="82"/>
      <c r="AF2539" s="82"/>
      <c r="AG2539" s="82"/>
      <c r="AH2539" s="82"/>
      <c r="AI2539" s="82"/>
      <c r="AJ2539" s="82"/>
      <c r="AK2539" s="82"/>
      <c r="AL2539" s="82"/>
      <c r="AM2539" s="82"/>
      <c r="AN2539" s="82">
        <f>IFERROR(__xludf.DUMMYFUNCTION("""COMPUTED_VALUE"""),0.0)</f>
        <v>0</v>
      </c>
      <c r="AO2539" s="82">
        <f>IFERROR(__xludf.DUMMYFUNCTION("""COMPUTED_VALUE"""),0.0)</f>
        <v>0</v>
      </c>
      <c r="AP2539" s="82">
        <f>IFERROR(__xludf.DUMMYFUNCTION("""COMPUTED_VALUE"""),0.0)</f>
        <v>0</v>
      </c>
      <c r="AQ2539" s="82">
        <f>IFERROR(__xludf.DUMMYFUNCTION("""COMPUTED_VALUE"""),0.0)</f>
        <v>0</v>
      </c>
      <c r="AR2539" s="82">
        <f>IFERROR(__xludf.DUMMYFUNCTION("""COMPUTED_VALUE"""),0.0)</f>
        <v>0</v>
      </c>
      <c r="AS2539" s="82"/>
      <c r="AT2539" s="82">
        <f>IFERROR(__xludf.DUMMYFUNCTION("""COMPUTED_VALUE"""),0.0)</f>
        <v>0</v>
      </c>
      <c r="AU2539" s="82"/>
      <c r="AV2539" s="82"/>
      <c r="AW2539" s="82" t="str">
        <f t="shared" si="1"/>
        <v/>
      </c>
      <c r="AX2539" s="83" t="str">
        <f t="array" ref="AX2539">IFERROR(DGET('SBV Import'!A:G,"SBV",{"RSC ID","Tier";B2539,A2539}))</f>
        <v/>
      </c>
      <c r="AY2539" s="82" t="str">
        <f t="shared" si="2"/>
        <v/>
      </c>
      <c r="AZ2539" s="82"/>
      <c r="BA2539" s="84" t="s">
        <v>152</v>
      </c>
      <c r="BB2539" s="84" t="str">
        <f>IFERROR(__xludf.DUMMYFUNCTION("iferror(if(A2539="""",,E2539&gt;=FILTER(Constants!$F$2:$F$10,Constants!$A$2:$A$10=A2539)))"),"")</f>
        <v/>
      </c>
    </row>
    <row r="2540">
      <c r="A2540" s="89"/>
      <c r="B2540" s="87"/>
      <c r="C2540" s="73"/>
      <c r="D2540" s="73"/>
      <c r="E2540" s="82"/>
      <c r="F2540" s="82"/>
      <c r="G2540" s="86"/>
      <c r="H2540" s="86"/>
      <c r="I2540" s="86"/>
      <c r="J2540" s="82"/>
      <c r="K2540" s="82"/>
      <c r="L2540" s="82"/>
      <c r="M2540" s="82"/>
      <c r="N2540" s="82"/>
      <c r="O2540" s="82"/>
      <c r="P2540" s="82"/>
      <c r="Q2540" s="82"/>
      <c r="R2540" s="82"/>
      <c r="S2540" s="82"/>
      <c r="T2540" s="82"/>
      <c r="U2540" s="82"/>
      <c r="V2540" s="82"/>
      <c r="W2540" s="82"/>
      <c r="X2540" s="82"/>
      <c r="Y2540" s="82"/>
      <c r="Z2540" s="82"/>
      <c r="AA2540" s="82"/>
      <c r="AB2540" s="82"/>
      <c r="AC2540" s="82"/>
      <c r="AD2540" s="82"/>
      <c r="AE2540" s="82"/>
      <c r="AF2540" s="82"/>
      <c r="AG2540" s="82"/>
      <c r="AH2540" s="82"/>
      <c r="AI2540" s="82"/>
      <c r="AJ2540" s="82"/>
      <c r="AK2540" s="82"/>
      <c r="AL2540" s="82"/>
      <c r="AM2540" s="82"/>
      <c r="AN2540" s="82">
        <f>IFERROR(__xludf.DUMMYFUNCTION("""COMPUTED_VALUE"""),0.0)</f>
        <v>0</v>
      </c>
      <c r="AO2540" s="82">
        <f>IFERROR(__xludf.DUMMYFUNCTION("""COMPUTED_VALUE"""),0.0)</f>
        <v>0</v>
      </c>
      <c r="AP2540" s="82">
        <f>IFERROR(__xludf.DUMMYFUNCTION("""COMPUTED_VALUE"""),0.0)</f>
        <v>0</v>
      </c>
      <c r="AQ2540" s="82">
        <f>IFERROR(__xludf.DUMMYFUNCTION("""COMPUTED_VALUE"""),0.0)</f>
        <v>0</v>
      </c>
      <c r="AR2540" s="82">
        <f>IFERROR(__xludf.DUMMYFUNCTION("""COMPUTED_VALUE"""),0.0)</f>
        <v>0</v>
      </c>
      <c r="AS2540" s="82"/>
      <c r="AT2540" s="82">
        <f>IFERROR(__xludf.DUMMYFUNCTION("""COMPUTED_VALUE"""),0.0)</f>
        <v>0</v>
      </c>
      <c r="AU2540" s="82"/>
      <c r="AV2540" s="82"/>
      <c r="AW2540" s="82" t="str">
        <f t="shared" si="1"/>
        <v/>
      </c>
      <c r="AX2540" s="83" t="str">
        <f t="array" ref="AX2540">IFERROR(DGET('SBV Import'!A:G,"SBV",{"RSC ID","Tier";B2540,A2540}))</f>
        <v/>
      </c>
      <c r="AY2540" s="82" t="str">
        <f t="shared" si="2"/>
        <v/>
      </c>
      <c r="AZ2540" s="82"/>
      <c r="BA2540" s="84" t="s">
        <v>152</v>
      </c>
      <c r="BB2540" s="84" t="str">
        <f>IFERROR(__xludf.DUMMYFUNCTION("iferror(if(A2540="""",,E2540&gt;=FILTER(Constants!$F$2:$F$10,Constants!$A$2:$A$10=A2540)))"),"")</f>
        <v/>
      </c>
    </row>
    <row r="2541">
      <c r="A2541" s="89"/>
      <c r="B2541" s="87"/>
      <c r="C2541" s="73"/>
      <c r="D2541" s="73"/>
      <c r="E2541" s="82"/>
      <c r="F2541" s="82"/>
      <c r="G2541" s="86"/>
      <c r="H2541" s="86"/>
      <c r="I2541" s="86"/>
      <c r="J2541" s="82"/>
      <c r="K2541" s="82"/>
      <c r="L2541" s="82"/>
      <c r="M2541" s="82"/>
      <c r="N2541" s="82"/>
      <c r="O2541" s="82"/>
      <c r="P2541" s="82"/>
      <c r="Q2541" s="82"/>
      <c r="R2541" s="82"/>
      <c r="S2541" s="82"/>
      <c r="T2541" s="82"/>
      <c r="U2541" s="82"/>
      <c r="V2541" s="82"/>
      <c r="W2541" s="82"/>
      <c r="X2541" s="82"/>
      <c r="Y2541" s="82"/>
      <c r="Z2541" s="82"/>
      <c r="AA2541" s="82"/>
      <c r="AB2541" s="82"/>
      <c r="AC2541" s="82"/>
      <c r="AD2541" s="82"/>
      <c r="AE2541" s="82"/>
      <c r="AF2541" s="82"/>
      <c r="AG2541" s="82"/>
      <c r="AH2541" s="82"/>
      <c r="AI2541" s="82"/>
      <c r="AJ2541" s="82"/>
      <c r="AK2541" s="82"/>
      <c r="AL2541" s="82"/>
      <c r="AM2541" s="82"/>
      <c r="AN2541" s="82">
        <f>IFERROR(__xludf.DUMMYFUNCTION("""COMPUTED_VALUE"""),0.0)</f>
        <v>0</v>
      </c>
      <c r="AO2541" s="82">
        <f>IFERROR(__xludf.DUMMYFUNCTION("""COMPUTED_VALUE"""),0.0)</f>
        <v>0</v>
      </c>
      <c r="AP2541" s="82">
        <f>IFERROR(__xludf.DUMMYFUNCTION("""COMPUTED_VALUE"""),0.0)</f>
        <v>0</v>
      </c>
      <c r="AQ2541" s="82">
        <f>IFERROR(__xludf.DUMMYFUNCTION("""COMPUTED_VALUE"""),0.0)</f>
        <v>0</v>
      </c>
      <c r="AR2541" s="82">
        <f>IFERROR(__xludf.DUMMYFUNCTION("""COMPUTED_VALUE"""),0.0)</f>
        <v>0</v>
      </c>
      <c r="AS2541" s="82"/>
      <c r="AT2541" s="82">
        <f>IFERROR(__xludf.DUMMYFUNCTION("""COMPUTED_VALUE"""),0.0)</f>
        <v>0</v>
      </c>
      <c r="AU2541" s="82"/>
      <c r="AV2541" s="82"/>
      <c r="AW2541" s="82" t="str">
        <f t="shared" si="1"/>
        <v/>
      </c>
      <c r="AX2541" s="83" t="str">
        <f t="array" ref="AX2541">IFERROR(DGET('SBV Import'!A:G,"SBV",{"RSC ID","Tier";B2541,A2541}))</f>
        <v/>
      </c>
      <c r="AY2541" s="82" t="str">
        <f t="shared" si="2"/>
        <v/>
      </c>
      <c r="AZ2541" s="82"/>
      <c r="BA2541" s="84" t="s">
        <v>152</v>
      </c>
      <c r="BB2541" s="84" t="str">
        <f>IFERROR(__xludf.DUMMYFUNCTION("iferror(if(A2541="""",,E2541&gt;=FILTER(Constants!$F$2:$F$10,Constants!$A$2:$A$10=A2541)))"),"")</f>
        <v/>
      </c>
    </row>
    <row r="2542">
      <c r="A2542" s="89"/>
      <c r="B2542" s="87"/>
      <c r="C2542" s="73"/>
      <c r="D2542" s="73"/>
      <c r="E2542" s="82"/>
      <c r="F2542" s="82"/>
      <c r="G2542" s="86"/>
      <c r="H2542" s="86"/>
      <c r="I2542" s="86"/>
      <c r="J2542" s="82"/>
      <c r="K2542" s="82"/>
      <c r="L2542" s="82"/>
      <c r="M2542" s="82"/>
      <c r="N2542" s="82"/>
      <c r="O2542" s="82"/>
      <c r="P2542" s="82"/>
      <c r="Q2542" s="82"/>
      <c r="R2542" s="82"/>
      <c r="S2542" s="82"/>
      <c r="T2542" s="82"/>
      <c r="U2542" s="82"/>
      <c r="V2542" s="82"/>
      <c r="W2542" s="82"/>
      <c r="X2542" s="82"/>
      <c r="Y2542" s="82"/>
      <c r="Z2542" s="82"/>
      <c r="AA2542" s="82"/>
      <c r="AB2542" s="82"/>
      <c r="AC2542" s="82"/>
      <c r="AD2542" s="82"/>
      <c r="AE2542" s="82"/>
      <c r="AF2542" s="82"/>
      <c r="AG2542" s="82"/>
      <c r="AH2542" s="82"/>
      <c r="AI2542" s="82"/>
      <c r="AJ2542" s="82"/>
      <c r="AK2542" s="82"/>
      <c r="AL2542" s="82"/>
      <c r="AM2542" s="82"/>
      <c r="AN2542" s="82">
        <f>IFERROR(__xludf.DUMMYFUNCTION("""COMPUTED_VALUE"""),0.0)</f>
        <v>0</v>
      </c>
      <c r="AO2542" s="82">
        <f>IFERROR(__xludf.DUMMYFUNCTION("""COMPUTED_VALUE"""),0.0)</f>
        <v>0</v>
      </c>
      <c r="AP2542" s="82">
        <f>IFERROR(__xludf.DUMMYFUNCTION("""COMPUTED_VALUE"""),0.0)</f>
        <v>0</v>
      </c>
      <c r="AQ2542" s="82">
        <f>IFERROR(__xludf.DUMMYFUNCTION("""COMPUTED_VALUE"""),0.0)</f>
        <v>0</v>
      </c>
      <c r="AR2542" s="82">
        <f>IFERROR(__xludf.DUMMYFUNCTION("""COMPUTED_VALUE"""),0.0)</f>
        <v>0</v>
      </c>
      <c r="AS2542" s="82"/>
      <c r="AT2542" s="82">
        <f>IFERROR(__xludf.DUMMYFUNCTION("""COMPUTED_VALUE"""),0.0)</f>
        <v>0</v>
      </c>
      <c r="AU2542" s="82"/>
      <c r="AV2542" s="82"/>
      <c r="AW2542" s="82" t="str">
        <f t="shared" si="1"/>
        <v/>
      </c>
      <c r="AX2542" s="83" t="str">
        <f t="array" ref="AX2542">IFERROR(DGET('SBV Import'!A:G,"SBV",{"RSC ID","Tier";B2542,A2542}))</f>
        <v/>
      </c>
      <c r="AY2542" s="82" t="str">
        <f t="shared" si="2"/>
        <v/>
      </c>
      <c r="AZ2542" s="82"/>
      <c r="BA2542" s="84" t="s">
        <v>152</v>
      </c>
      <c r="BB2542" s="84" t="str">
        <f>IFERROR(__xludf.DUMMYFUNCTION("iferror(if(A2542="""",,E2542&gt;=FILTER(Constants!$F$2:$F$10,Constants!$A$2:$A$10=A2542)))"),"")</f>
        <v/>
      </c>
    </row>
    <row r="2543">
      <c r="A2543" s="89"/>
      <c r="B2543" s="87"/>
      <c r="C2543" s="73"/>
      <c r="D2543" s="73"/>
      <c r="E2543" s="82"/>
      <c r="F2543" s="82"/>
      <c r="G2543" s="86"/>
      <c r="H2543" s="86"/>
      <c r="I2543" s="86"/>
      <c r="J2543" s="82"/>
      <c r="K2543" s="82"/>
      <c r="L2543" s="82"/>
      <c r="M2543" s="82"/>
      <c r="N2543" s="82"/>
      <c r="O2543" s="82"/>
      <c r="P2543" s="82"/>
      <c r="Q2543" s="82"/>
      <c r="R2543" s="82"/>
      <c r="S2543" s="82"/>
      <c r="T2543" s="82"/>
      <c r="U2543" s="82"/>
      <c r="V2543" s="82"/>
      <c r="W2543" s="82"/>
      <c r="X2543" s="82"/>
      <c r="Y2543" s="82"/>
      <c r="Z2543" s="82"/>
      <c r="AA2543" s="82"/>
      <c r="AB2543" s="82"/>
      <c r="AC2543" s="82"/>
      <c r="AD2543" s="82"/>
      <c r="AE2543" s="82"/>
      <c r="AF2543" s="82"/>
      <c r="AG2543" s="82"/>
      <c r="AH2543" s="82"/>
      <c r="AI2543" s="82"/>
      <c r="AJ2543" s="82"/>
      <c r="AK2543" s="82"/>
      <c r="AL2543" s="82"/>
      <c r="AM2543" s="82"/>
      <c r="AN2543" s="82">
        <f>IFERROR(__xludf.DUMMYFUNCTION("""COMPUTED_VALUE"""),0.0)</f>
        <v>0</v>
      </c>
      <c r="AO2543" s="82">
        <f>IFERROR(__xludf.DUMMYFUNCTION("""COMPUTED_VALUE"""),0.0)</f>
        <v>0</v>
      </c>
      <c r="AP2543" s="82">
        <f>IFERROR(__xludf.DUMMYFUNCTION("""COMPUTED_VALUE"""),0.0)</f>
        <v>0</v>
      </c>
      <c r="AQ2543" s="82">
        <f>IFERROR(__xludf.DUMMYFUNCTION("""COMPUTED_VALUE"""),0.0)</f>
        <v>0</v>
      </c>
      <c r="AR2543" s="82">
        <f>IFERROR(__xludf.DUMMYFUNCTION("""COMPUTED_VALUE"""),0.0)</f>
        <v>0</v>
      </c>
      <c r="AS2543" s="82"/>
      <c r="AT2543" s="82">
        <f>IFERROR(__xludf.DUMMYFUNCTION("""COMPUTED_VALUE"""),0.0)</f>
        <v>0</v>
      </c>
      <c r="AU2543" s="82"/>
      <c r="AV2543" s="82"/>
      <c r="AW2543" s="82" t="str">
        <f t="shared" si="1"/>
        <v/>
      </c>
      <c r="AX2543" s="83" t="str">
        <f t="array" ref="AX2543">IFERROR(DGET('SBV Import'!A:G,"SBV",{"RSC ID","Tier";B2543,A2543}))</f>
        <v/>
      </c>
      <c r="AY2543" s="82" t="str">
        <f t="shared" si="2"/>
        <v/>
      </c>
      <c r="AZ2543" s="82"/>
      <c r="BA2543" s="84" t="s">
        <v>152</v>
      </c>
      <c r="BB2543" s="84" t="str">
        <f>IFERROR(__xludf.DUMMYFUNCTION("iferror(if(A2543="""",,E2543&gt;=FILTER(Constants!$F$2:$F$10,Constants!$A$2:$A$10=A2543)))"),"")</f>
        <v/>
      </c>
    </row>
    <row r="2544">
      <c r="A2544" s="89"/>
      <c r="B2544" s="87"/>
      <c r="C2544" s="73"/>
      <c r="D2544" s="73"/>
      <c r="E2544" s="82"/>
      <c r="F2544" s="82"/>
      <c r="G2544" s="86"/>
      <c r="H2544" s="86"/>
      <c r="I2544" s="86"/>
      <c r="J2544" s="82"/>
      <c r="K2544" s="82"/>
      <c r="L2544" s="82"/>
      <c r="M2544" s="82"/>
      <c r="N2544" s="82"/>
      <c r="O2544" s="82"/>
      <c r="P2544" s="82"/>
      <c r="Q2544" s="82"/>
      <c r="R2544" s="82"/>
      <c r="S2544" s="82"/>
      <c r="T2544" s="82"/>
      <c r="U2544" s="82"/>
      <c r="V2544" s="82"/>
      <c r="W2544" s="82"/>
      <c r="X2544" s="82"/>
      <c r="Y2544" s="82"/>
      <c r="Z2544" s="82"/>
      <c r="AA2544" s="82"/>
      <c r="AB2544" s="82"/>
      <c r="AC2544" s="82"/>
      <c r="AD2544" s="82"/>
      <c r="AE2544" s="82"/>
      <c r="AF2544" s="82"/>
      <c r="AG2544" s="82"/>
      <c r="AH2544" s="82"/>
      <c r="AI2544" s="82"/>
      <c r="AJ2544" s="82"/>
      <c r="AK2544" s="82"/>
      <c r="AL2544" s="82"/>
      <c r="AM2544" s="82"/>
      <c r="AN2544" s="82">
        <f>IFERROR(__xludf.DUMMYFUNCTION("""COMPUTED_VALUE"""),0.0)</f>
        <v>0</v>
      </c>
      <c r="AO2544" s="82">
        <f>IFERROR(__xludf.DUMMYFUNCTION("""COMPUTED_VALUE"""),0.0)</f>
        <v>0</v>
      </c>
      <c r="AP2544" s="82">
        <f>IFERROR(__xludf.DUMMYFUNCTION("""COMPUTED_VALUE"""),0.0)</f>
        <v>0</v>
      </c>
      <c r="AQ2544" s="82">
        <f>IFERROR(__xludf.DUMMYFUNCTION("""COMPUTED_VALUE"""),0.0)</f>
        <v>0</v>
      </c>
      <c r="AR2544" s="82">
        <f>IFERROR(__xludf.DUMMYFUNCTION("""COMPUTED_VALUE"""),0.0)</f>
        <v>0</v>
      </c>
      <c r="AS2544" s="82"/>
      <c r="AT2544" s="82">
        <f>IFERROR(__xludf.DUMMYFUNCTION("""COMPUTED_VALUE"""),0.0)</f>
        <v>0</v>
      </c>
      <c r="AU2544" s="82"/>
      <c r="AV2544" s="82"/>
      <c r="AW2544" s="82" t="str">
        <f t="shared" si="1"/>
        <v/>
      </c>
      <c r="AX2544" s="83" t="str">
        <f t="array" ref="AX2544">IFERROR(DGET('SBV Import'!A:G,"SBV",{"RSC ID","Tier";B2544,A2544}))</f>
        <v/>
      </c>
      <c r="AY2544" s="82" t="str">
        <f t="shared" si="2"/>
        <v/>
      </c>
      <c r="AZ2544" s="82"/>
      <c r="BA2544" s="84" t="s">
        <v>152</v>
      </c>
      <c r="BB2544" s="84" t="str">
        <f>IFERROR(__xludf.DUMMYFUNCTION("iferror(if(A2544="""",,E2544&gt;=FILTER(Constants!$F$2:$F$10,Constants!$A$2:$A$10=A2544)))"),"")</f>
        <v/>
      </c>
    </row>
    <row r="2545">
      <c r="A2545" s="89"/>
      <c r="B2545" s="87"/>
      <c r="C2545" s="73"/>
      <c r="D2545" s="73"/>
      <c r="E2545" s="82"/>
      <c r="F2545" s="82"/>
      <c r="G2545" s="86"/>
      <c r="H2545" s="86"/>
      <c r="I2545" s="86"/>
      <c r="J2545" s="82"/>
      <c r="K2545" s="82"/>
      <c r="L2545" s="82"/>
      <c r="M2545" s="82"/>
      <c r="N2545" s="82"/>
      <c r="O2545" s="82"/>
      <c r="P2545" s="82"/>
      <c r="Q2545" s="82"/>
      <c r="R2545" s="82"/>
      <c r="S2545" s="82"/>
      <c r="T2545" s="82"/>
      <c r="U2545" s="82"/>
      <c r="V2545" s="82"/>
      <c r="W2545" s="82"/>
      <c r="X2545" s="82"/>
      <c r="Y2545" s="82"/>
      <c r="Z2545" s="82"/>
      <c r="AA2545" s="82"/>
      <c r="AB2545" s="82"/>
      <c r="AC2545" s="82"/>
      <c r="AD2545" s="82"/>
      <c r="AE2545" s="82"/>
      <c r="AF2545" s="82"/>
      <c r="AG2545" s="82"/>
      <c r="AH2545" s="82"/>
      <c r="AI2545" s="82"/>
      <c r="AJ2545" s="82"/>
      <c r="AK2545" s="82"/>
      <c r="AL2545" s="82"/>
      <c r="AM2545" s="82"/>
      <c r="AN2545" s="82">
        <f>IFERROR(__xludf.DUMMYFUNCTION("""COMPUTED_VALUE"""),0.0)</f>
        <v>0</v>
      </c>
      <c r="AO2545" s="82">
        <f>IFERROR(__xludf.DUMMYFUNCTION("""COMPUTED_VALUE"""),0.0)</f>
        <v>0</v>
      </c>
      <c r="AP2545" s="82">
        <f>IFERROR(__xludf.DUMMYFUNCTION("""COMPUTED_VALUE"""),0.0)</f>
        <v>0</v>
      </c>
      <c r="AQ2545" s="82">
        <f>IFERROR(__xludf.DUMMYFUNCTION("""COMPUTED_VALUE"""),0.0)</f>
        <v>0</v>
      </c>
      <c r="AR2545" s="82">
        <f>IFERROR(__xludf.DUMMYFUNCTION("""COMPUTED_VALUE"""),0.0)</f>
        <v>0</v>
      </c>
      <c r="AS2545" s="82"/>
      <c r="AT2545" s="82">
        <f>IFERROR(__xludf.DUMMYFUNCTION("""COMPUTED_VALUE"""),0.0)</f>
        <v>0</v>
      </c>
      <c r="AU2545" s="82"/>
      <c r="AV2545" s="82"/>
      <c r="AW2545" s="82" t="str">
        <f t="shared" si="1"/>
        <v/>
      </c>
      <c r="AX2545" s="83" t="str">
        <f t="array" ref="AX2545">IFERROR(DGET('SBV Import'!A:G,"SBV",{"RSC ID","Tier";B2545,A2545}))</f>
        <v/>
      </c>
      <c r="AY2545" s="82" t="str">
        <f t="shared" si="2"/>
        <v/>
      </c>
      <c r="AZ2545" s="82"/>
      <c r="BA2545" s="84" t="s">
        <v>152</v>
      </c>
      <c r="BB2545" s="84" t="str">
        <f>IFERROR(__xludf.DUMMYFUNCTION("iferror(if(A2545="""",,E2545&gt;=FILTER(Constants!$F$2:$F$10,Constants!$A$2:$A$10=A2545)))"),"")</f>
        <v/>
      </c>
    </row>
    <row r="2546">
      <c r="A2546" s="89"/>
      <c r="B2546" s="87"/>
      <c r="C2546" s="73"/>
      <c r="D2546" s="73"/>
      <c r="E2546" s="82"/>
      <c r="F2546" s="82"/>
      <c r="G2546" s="86"/>
      <c r="H2546" s="86"/>
      <c r="I2546" s="86"/>
      <c r="J2546" s="82"/>
      <c r="K2546" s="82"/>
      <c r="L2546" s="82"/>
      <c r="M2546" s="82"/>
      <c r="N2546" s="82"/>
      <c r="O2546" s="82"/>
      <c r="P2546" s="82"/>
      <c r="Q2546" s="82"/>
      <c r="R2546" s="82"/>
      <c r="S2546" s="82"/>
      <c r="T2546" s="82"/>
      <c r="U2546" s="82"/>
      <c r="V2546" s="82"/>
      <c r="W2546" s="82"/>
      <c r="X2546" s="82"/>
      <c r="Y2546" s="82"/>
      <c r="Z2546" s="82"/>
      <c r="AA2546" s="82"/>
      <c r="AB2546" s="82"/>
      <c r="AC2546" s="82"/>
      <c r="AD2546" s="82"/>
      <c r="AE2546" s="82"/>
      <c r="AF2546" s="82"/>
      <c r="AG2546" s="82"/>
      <c r="AH2546" s="82"/>
      <c r="AI2546" s="82"/>
      <c r="AJ2546" s="82"/>
      <c r="AK2546" s="82"/>
      <c r="AL2546" s="82"/>
      <c r="AM2546" s="82"/>
      <c r="AN2546" s="82">
        <f>IFERROR(__xludf.DUMMYFUNCTION("""COMPUTED_VALUE"""),0.0)</f>
        <v>0</v>
      </c>
      <c r="AO2546" s="82">
        <f>IFERROR(__xludf.DUMMYFUNCTION("""COMPUTED_VALUE"""),0.0)</f>
        <v>0</v>
      </c>
      <c r="AP2546" s="82">
        <f>IFERROR(__xludf.DUMMYFUNCTION("""COMPUTED_VALUE"""),0.0)</f>
        <v>0</v>
      </c>
      <c r="AQ2546" s="82">
        <f>IFERROR(__xludf.DUMMYFUNCTION("""COMPUTED_VALUE"""),0.0)</f>
        <v>0</v>
      </c>
      <c r="AR2546" s="82">
        <f>IFERROR(__xludf.DUMMYFUNCTION("""COMPUTED_VALUE"""),0.0)</f>
        <v>0</v>
      </c>
      <c r="AS2546" s="82"/>
      <c r="AT2546" s="82">
        <f>IFERROR(__xludf.DUMMYFUNCTION("""COMPUTED_VALUE"""),0.0)</f>
        <v>0</v>
      </c>
      <c r="AU2546" s="82"/>
      <c r="AV2546" s="82"/>
      <c r="AW2546" s="82" t="str">
        <f t="shared" si="1"/>
        <v/>
      </c>
      <c r="AX2546" s="83" t="str">
        <f t="array" ref="AX2546">IFERROR(DGET('SBV Import'!A:G,"SBV",{"RSC ID","Tier";B2546,A2546}))</f>
        <v/>
      </c>
      <c r="AY2546" s="82" t="str">
        <f t="shared" si="2"/>
        <v/>
      </c>
      <c r="AZ2546" s="82"/>
      <c r="BA2546" s="84" t="s">
        <v>152</v>
      </c>
      <c r="BB2546" s="84" t="str">
        <f>IFERROR(__xludf.DUMMYFUNCTION("iferror(if(A2546="""",,E2546&gt;=FILTER(Constants!$F$2:$F$10,Constants!$A$2:$A$10=A2546)))"),"")</f>
        <v/>
      </c>
    </row>
    <row r="2547">
      <c r="A2547" s="89"/>
      <c r="B2547" s="87"/>
      <c r="C2547" s="73"/>
      <c r="D2547" s="73"/>
      <c r="E2547" s="82"/>
      <c r="F2547" s="82"/>
      <c r="G2547" s="86"/>
      <c r="H2547" s="86"/>
      <c r="I2547" s="86"/>
      <c r="J2547" s="82"/>
      <c r="K2547" s="82"/>
      <c r="L2547" s="82"/>
      <c r="M2547" s="82"/>
      <c r="N2547" s="82"/>
      <c r="O2547" s="82"/>
      <c r="P2547" s="82"/>
      <c r="Q2547" s="82"/>
      <c r="R2547" s="82"/>
      <c r="S2547" s="82"/>
      <c r="T2547" s="82"/>
      <c r="U2547" s="82"/>
      <c r="V2547" s="82"/>
      <c r="W2547" s="82"/>
      <c r="X2547" s="82"/>
      <c r="Y2547" s="82"/>
      <c r="Z2547" s="82"/>
      <c r="AA2547" s="82"/>
      <c r="AB2547" s="82"/>
      <c r="AC2547" s="82"/>
      <c r="AD2547" s="82"/>
      <c r="AE2547" s="82"/>
      <c r="AF2547" s="82"/>
      <c r="AG2547" s="82"/>
      <c r="AH2547" s="82"/>
      <c r="AI2547" s="82"/>
      <c r="AJ2547" s="82"/>
      <c r="AK2547" s="82"/>
      <c r="AL2547" s="82"/>
      <c r="AM2547" s="82"/>
      <c r="AN2547" s="82">
        <f>IFERROR(__xludf.DUMMYFUNCTION("""COMPUTED_VALUE"""),0.0)</f>
        <v>0</v>
      </c>
      <c r="AO2547" s="82">
        <f>IFERROR(__xludf.DUMMYFUNCTION("""COMPUTED_VALUE"""),0.0)</f>
        <v>0</v>
      </c>
      <c r="AP2547" s="82">
        <f>IFERROR(__xludf.DUMMYFUNCTION("""COMPUTED_VALUE"""),0.0)</f>
        <v>0</v>
      </c>
      <c r="AQ2547" s="82">
        <f>IFERROR(__xludf.DUMMYFUNCTION("""COMPUTED_VALUE"""),0.0)</f>
        <v>0</v>
      </c>
      <c r="AR2547" s="82">
        <f>IFERROR(__xludf.DUMMYFUNCTION("""COMPUTED_VALUE"""),0.0)</f>
        <v>0</v>
      </c>
      <c r="AS2547" s="82"/>
      <c r="AT2547" s="82">
        <f>IFERROR(__xludf.DUMMYFUNCTION("""COMPUTED_VALUE"""),0.0)</f>
        <v>0</v>
      </c>
      <c r="AU2547" s="82"/>
      <c r="AV2547" s="82"/>
      <c r="AW2547" s="82" t="str">
        <f t="shared" si="1"/>
        <v/>
      </c>
      <c r="AX2547" s="83" t="str">
        <f t="array" ref="AX2547">IFERROR(DGET('SBV Import'!A:G,"SBV",{"RSC ID","Tier";B2547,A2547}))</f>
        <v/>
      </c>
      <c r="AY2547" s="82" t="str">
        <f t="shared" si="2"/>
        <v/>
      </c>
      <c r="AZ2547" s="82"/>
      <c r="BA2547" s="84" t="s">
        <v>152</v>
      </c>
      <c r="BB2547" s="84" t="str">
        <f>IFERROR(__xludf.DUMMYFUNCTION("iferror(if(A2547="""",,E2547&gt;=FILTER(Constants!$F$2:$F$10,Constants!$A$2:$A$10=A2547)))"),"")</f>
        <v/>
      </c>
    </row>
    <row r="2548">
      <c r="A2548" s="89"/>
      <c r="B2548" s="87"/>
      <c r="C2548" s="73"/>
      <c r="D2548" s="73"/>
      <c r="E2548" s="82"/>
      <c r="F2548" s="82"/>
      <c r="G2548" s="86"/>
      <c r="H2548" s="86"/>
      <c r="I2548" s="86"/>
      <c r="J2548" s="82"/>
      <c r="K2548" s="82"/>
      <c r="L2548" s="82"/>
      <c r="M2548" s="82"/>
      <c r="N2548" s="82"/>
      <c r="O2548" s="82"/>
      <c r="P2548" s="82"/>
      <c r="Q2548" s="82"/>
      <c r="R2548" s="82"/>
      <c r="S2548" s="82"/>
      <c r="T2548" s="82"/>
      <c r="U2548" s="82"/>
      <c r="V2548" s="82"/>
      <c r="W2548" s="82"/>
      <c r="X2548" s="82"/>
      <c r="Y2548" s="82"/>
      <c r="Z2548" s="82"/>
      <c r="AA2548" s="82"/>
      <c r="AB2548" s="82"/>
      <c r="AC2548" s="82"/>
      <c r="AD2548" s="82"/>
      <c r="AE2548" s="82"/>
      <c r="AF2548" s="82"/>
      <c r="AG2548" s="82"/>
      <c r="AH2548" s="82"/>
      <c r="AI2548" s="82"/>
      <c r="AJ2548" s="82"/>
      <c r="AK2548" s="82"/>
      <c r="AL2548" s="82"/>
      <c r="AM2548" s="82"/>
      <c r="AN2548" s="82">
        <f>IFERROR(__xludf.DUMMYFUNCTION("""COMPUTED_VALUE"""),0.0)</f>
        <v>0</v>
      </c>
      <c r="AO2548" s="82">
        <f>IFERROR(__xludf.DUMMYFUNCTION("""COMPUTED_VALUE"""),0.0)</f>
        <v>0</v>
      </c>
      <c r="AP2548" s="82">
        <f>IFERROR(__xludf.DUMMYFUNCTION("""COMPUTED_VALUE"""),0.0)</f>
        <v>0</v>
      </c>
      <c r="AQ2548" s="82">
        <f>IFERROR(__xludf.DUMMYFUNCTION("""COMPUTED_VALUE"""),0.0)</f>
        <v>0</v>
      </c>
      <c r="AR2548" s="82">
        <f>IFERROR(__xludf.DUMMYFUNCTION("""COMPUTED_VALUE"""),0.0)</f>
        <v>0</v>
      </c>
      <c r="AS2548" s="82"/>
      <c r="AT2548" s="82">
        <f>IFERROR(__xludf.DUMMYFUNCTION("""COMPUTED_VALUE"""),0.0)</f>
        <v>0</v>
      </c>
      <c r="AU2548" s="82"/>
      <c r="AV2548" s="82"/>
      <c r="AW2548" s="82" t="str">
        <f t="shared" si="1"/>
        <v/>
      </c>
      <c r="AX2548" s="83" t="str">
        <f t="array" ref="AX2548">IFERROR(DGET('SBV Import'!A:G,"SBV",{"RSC ID","Tier";B2548,A2548}))</f>
        <v/>
      </c>
      <c r="AY2548" s="82" t="str">
        <f t="shared" si="2"/>
        <v/>
      </c>
      <c r="AZ2548" s="82"/>
      <c r="BA2548" s="84" t="s">
        <v>152</v>
      </c>
      <c r="BB2548" s="84" t="str">
        <f>IFERROR(__xludf.DUMMYFUNCTION("iferror(if(A2548="""",,E2548&gt;=FILTER(Constants!$F$2:$F$10,Constants!$A$2:$A$10=A2548)))"),"")</f>
        <v/>
      </c>
    </row>
    <row r="2549">
      <c r="A2549" s="89"/>
      <c r="B2549" s="87"/>
      <c r="C2549" s="73"/>
      <c r="D2549" s="73"/>
      <c r="E2549" s="82"/>
      <c r="F2549" s="82"/>
      <c r="G2549" s="86"/>
      <c r="H2549" s="86"/>
      <c r="I2549" s="86"/>
      <c r="J2549" s="82"/>
      <c r="K2549" s="82"/>
      <c r="L2549" s="82"/>
      <c r="M2549" s="82"/>
      <c r="N2549" s="82"/>
      <c r="O2549" s="82"/>
      <c r="P2549" s="82"/>
      <c r="Q2549" s="82"/>
      <c r="R2549" s="82"/>
      <c r="S2549" s="82"/>
      <c r="T2549" s="82"/>
      <c r="U2549" s="82"/>
      <c r="V2549" s="82"/>
      <c r="W2549" s="82"/>
      <c r="X2549" s="82"/>
      <c r="Y2549" s="82"/>
      <c r="Z2549" s="82"/>
      <c r="AA2549" s="82"/>
      <c r="AB2549" s="82"/>
      <c r="AC2549" s="82"/>
      <c r="AD2549" s="82"/>
      <c r="AE2549" s="82"/>
      <c r="AF2549" s="82"/>
      <c r="AG2549" s="82"/>
      <c r="AH2549" s="82"/>
      <c r="AI2549" s="82"/>
      <c r="AJ2549" s="82"/>
      <c r="AK2549" s="82"/>
      <c r="AL2549" s="82"/>
      <c r="AM2549" s="82"/>
      <c r="AN2549" s="82">
        <f>IFERROR(__xludf.DUMMYFUNCTION("""COMPUTED_VALUE"""),0.0)</f>
        <v>0</v>
      </c>
      <c r="AO2549" s="82">
        <f>IFERROR(__xludf.DUMMYFUNCTION("""COMPUTED_VALUE"""),0.0)</f>
        <v>0</v>
      </c>
      <c r="AP2549" s="82">
        <f>IFERROR(__xludf.DUMMYFUNCTION("""COMPUTED_VALUE"""),0.0)</f>
        <v>0</v>
      </c>
      <c r="AQ2549" s="82">
        <f>IFERROR(__xludf.DUMMYFUNCTION("""COMPUTED_VALUE"""),0.0)</f>
        <v>0</v>
      </c>
      <c r="AR2549" s="82">
        <f>IFERROR(__xludf.DUMMYFUNCTION("""COMPUTED_VALUE"""),0.0)</f>
        <v>0</v>
      </c>
      <c r="AS2549" s="82"/>
      <c r="AT2549" s="82">
        <f>IFERROR(__xludf.DUMMYFUNCTION("""COMPUTED_VALUE"""),0.0)</f>
        <v>0</v>
      </c>
      <c r="AU2549" s="82"/>
      <c r="AV2549" s="82"/>
      <c r="AW2549" s="82" t="str">
        <f t="shared" si="1"/>
        <v/>
      </c>
      <c r="AX2549" s="83" t="str">
        <f t="array" ref="AX2549">IFERROR(DGET('SBV Import'!A:G,"SBV",{"RSC ID","Tier";B2549,A2549}))</f>
        <v/>
      </c>
      <c r="AY2549" s="82" t="str">
        <f t="shared" si="2"/>
        <v/>
      </c>
      <c r="AZ2549" s="82"/>
      <c r="BA2549" s="84" t="s">
        <v>152</v>
      </c>
      <c r="BB2549" s="84" t="str">
        <f>IFERROR(__xludf.DUMMYFUNCTION("iferror(if(A2549="""",,E2549&gt;=FILTER(Constants!$F$2:$F$10,Constants!$A$2:$A$10=A2549)))"),"")</f>
        <v/>
      </c>
    </row>
    <row r="2550">
      <c r="A2550" s="89"/>
      <c r="B2550" s="87"/>
      <c r="C2550" s="73"/>
      <c r="D2550" s="73"/>
      <c r="E2550" s="82"/>
      <c r="F2550" s="82"/>
      <c r="G2550" s="86"/>
      <c r="H2550" s="86"/>
      <c r="I2550" s="86"/>
      <c r="J2550" s="82"/>
      <c r="K2550" s="82"/>
      <c r="L2550" s="82"/>
      <c r="M2550" s="82"/>
      <c r="N2550" s="82"/>
      <c r="O2550" s="82"/>
      <c r="P2550" s="82"/>
      <c r="Q2550" s="82"/>
      <c r="R2550" s="82"/>
      <c r="S2550" s="82"/>
      <c r="T2550" s="82"/>
      <c r="U2550" s="82"/>
      <c r="V2550" s="82"/>
      <c r="W2550" s="82"/>
      <c r="X2550" s="82"/>
      <c r="Y2550" s="82"/>
      <c r="Z2550" s="82"/>
      <c r="AA2550" s="82"/>
      <c r="AB2550" s="82"/>
      <c r="AC2550" s="82"/>
      <c r="AD2550" s="82"/>
      <c r="AE2550" s="82"/>
      <c r="AF2550" s="82"/>
      <c r="AG2550" s="82"/>
      <c r="AH2550" s="82"/>
      <c r="AI2550" s="82"/>
      <c r="AJ2550" s="82"/>
      <c r="AK2550" s="82"/>
      <c r="AL2550" s="82"/>
      <c r="AM2550" s="82"/>
      <c r="AN2550" s="82">
        <f>IFERROR(__xludf.DUMMYFUNCTION("""COMPUTED_VALUE"""),0.0)</f>
        <v>0</v>
      </c>
      <c r="AO2550" s="82">
        <f>IFERROR(__xludf.DUMMYFUNCTION("""COMPUTED_VALUE"""),0.0)</f>
        <v>0</v>
      </c>
      <c r="AP2550" s="82">
        <f>IFERROR(__xludf.DUMMYFUNCTION("""COMPUTED_VALUE"""),0.0)</f>
        <v>0</v>
      </c>
      <c r="AQ2550" s="82">
        <f>IFERROR(__xludf.DUMMYFUNCTION("""COMPUTED_VALUE"""),0.0)</f>
        <v>0</v>
      </c>
      <c r="AR2550" s="82">
        <f>IFERROR(__xludf.DUMMYFUNCTION("""COMPUTED_VALUE"""),0.0)</f>
        <v>0</v>
      </c>
      <c r="AS2550" s="82"/>
      <c r="AT2550" s="82">
        <f>IFERROR(__xludf.DUMMYFUNCTION("""COMPUTED_VALUE"""),0.0)</f>
        <v>0</v>
      </c>
      <c r="AU2550" s="82"/>
      <c r="AV2550" s="82"/>
      <c r="AW2550" s="82" t="str">
        <f t="shared" si="1"/>
        <v/>
      </c>
      <c r="AX2550" s="83" t="str">
        <f t="array" ref="AX2550">IFERROR(DGET('SBV Import'!A:G,"SBV",{"RSC ID","Tier";B2550,A2550}))</f>
        <v/>
      </c>
      <c r="AY2550" s="82" t="str">
        <f t="shared" si="2"/>
        <v/>
      </c>
      <c r="AZ2550" s="82"/>
      <c r="BA2550" s="84" t="s">
        <v>152</v>
      </c>
      <c r="BB2550" s="84" t="str">
        <f>IFERROR(__xludf.DUMMYFUNCTION("iferror(if(A2550="""",,E2550&gt;=FILTER(Constants!$F$2:$F$10,Constants!$A$2:$A$10=A2550)))"),"")</f>
        <v/>
      </c>
    </row>
    <row r="2551">
      <c r="A2551" s="89"/>
      <c r="B2551" s="87"/>
      <c r="C2551" s="73"/>
      <c r="D2551" s="73"/>
      <c r="E2551" s="82"/>
      <c r="F2551" s="82"/>
      <c r="G2551" s="86"/>
      <c r="H2551" s="86"/>
      <c r="I2551" s="86"/>
      <c r="J2551" s="82"/>
      <c r="K2551" s="82"/>
      <c r="L2551" s="82"/>
      <c r="M2551" s="82"/>
      <c r="N2551" s="82"/>
      <c r="O2551" s="82"/>
      <c r="P2551" s="82"/>
      <c r="Q2551" s="82"/>
      <c r="R2551" s="82"/>
      <c r="S2551" s="82"/>
      <c r="T2551" s="82"/>
      <c r="U2551" s="82"/>
      <c r="V2551" s="82"/>
      <c r="W2551" s="82"/>
      <c r="X2551" s="82"/>
      <c r="Y2551" s="82"/>
      <c r="Z2551" s="82"/>
      <c r="AA2551" s="82"/>
      <c r="AB2551" s="82"/>
      <c r="AC2551" s="82"/>
      <c r="AD2551" s="82"/>
      <c r="AE2551" s="82"/>
      <c r="AF2551" s="82"/>
      <c r="AG2551" s="82"/>
      <c r="AH2551" s="82"/>
      <c r="AI2551" s="82"/>
      <c r="AJ2551" s="82"/>
      <c r="AK2551" s="82"/>
      <c r="AL2551" s="82"/>
      <c r="AM2551" s="82"/>
      <c r="AN2551" s="82">
        <f>IFERROR(__xludf.DUMMYFUNCTION("""COMPUTED_VALUE"""),0.0)</f>
        <v>0</v>
      </c>
      <c r="AO2551" s="82">
        <f>IFERROR(__xludf.DUMMYFUNCTION("""COMPUTED_VALUE"""),0.0)</f>
        <v>0</v>
      </c>
      <c r="AP2551" s="82">
        <f>IFERROR(__xludf.DUMMYFUNCTION("""COMPUTED_VALUE"""),0.0)</f>
        <v>0</v>
      </c>
      <c r="AQ2551" s="82">
        <f>IFERROR(__xludf.DUMMYFUNCTION("""COMPUTED_VALUE"""),0.0)</f>
        <v>0</v>
      </c>
      <c r="AR2551" s="82">
        <f>IFERROR(__xludf.DUMMYFUNCTION("""COMPUTED_VALUE"""),0.0)</f>
        <v>0</v>
      </c>
      <c r="AS2551" s="82"/>
      <c r="AT2551" s="82">
        <f>IFERROR(__xludf.DUMMYFUNCTION("""COMPUTED_VALUE"""),0.0)</f>
        <v>0</v>
      </c>
      <c r="AU2551" s="82"/>
      <c r="AV2551" s="82"/>
      <c r="AW2551" s="82" t="str">
        <f t="shared" si="1"/>
        <v/>
      </c>
      <c r="AX2551" s="83" t="str">
        <f t="array" ref="AX2551">IFERROR(DGET('SBV Import'!A:G,"SBV",{"RSC ID","Tier";B2551,A2551}))</f>
        <v/>
      </c>
      <c r="AY2551" s="82" t="str">
        <f t="shared" si="2"/>
        <v/>
      </c>
      <c r="AZ2551" s="82"/>
      <c r="BA2551" s="84" t="s">
        <v>152</v>
      </c>
      <c r="BB2551" s="84" t="str">
        <f>IFERROR(__xludf.DUMMYFUNCTION("iferror(if(A2551="""",,E2551&gt;=FILTER(Constants!$F$2:$F$10,Constants!$A$2:$A$10=A2551)))"),"")</f>
        <v/>
      </c>
    </row>
    <row r="2552">
      <c r="A2552" s="89"/>
      <c r="B2552" s="87"/>
      <c r="C2552" s="73"/>
      <c r="D2552" s="73"/>
      <c r="E2552" s="82"/>
      <c r="F2552" s="82"/>
      <c r="G2552" s="86"/>
      <c r="H2552" s="86"/>
      <c r="I2552" s="86"/>
      <c r="J2552" s="82"/>
      <c r="K2552" s="82"/>
      <c r="L2552" s="82"/>
      <c r="M2552" s="82"/>
      <c r="N2552" s="82"/>
      <c r="O2552" s="82"/>
      <c r="P2552" s="82"/>
      <c r="Q2552" s="82"/>
      <c r="R2552" s="82"/>
      <c r="S2552" s="82"/>
      <c r="T2552" s="82"/>
      <c r="U2552" s="82"/>
      <c r="V2552" s="82"/>
      <c r="W2552" s="82"/>
      <c r="X2552" s="82"/>
      <c r="Y2552" s="82"/>
      <c r="Z2552" s="82"/>
      <c r="AA2552" s="82"/>
      <c r="AB2552" s="82"/>
      <c r="AC2552" s="82"/>
      <c r="AD2552" s="82"/>
      <c r="AE2552" s="82"/>
      <c r="AF2552" s="82"/>
      <c r="AG2552" s="82"/>
      <c r="AH2552" s="82"/>
      <c r="AI2552" s="82"/>
      <c r="AJ2552" s="82"/>
      <c r="AK2552" s="82"/>
      <c r="AL2552" s="82"/>
      <c r="AM2552" s="82"/>
      <c r="AN2552" s="82">
        <f>IFERROR(__xludf.DUMMYFUNCTION("""COMPUTED_VALUE"""),0.0)</f>
        <v>0</v>
      </c>
      <c r="AO2552" s="82">
        <f>IFERROR(__xludf.DUMMYFUNCTION("""COMPUTED_VALUE"""),0.0)</f>
        <v>0</v>
      </c>
      <c r="AP2552" s="82">
        <f>IFERROR(__xludf.DUMMYFUNCTION("""COMPUTED_VALUE"""),0.0)</f>
        <v>0</v>
      </c>
      <c r="AQ2552" s="82">
        <f>IFERROR(__xludf.DUMMYFUNCTION("""COMPUTED_VALUE"""),0.0)</f>
        <v>0</v>
      </c>
      <c r="AR2552" s="82">
        <f>IFERROR(__xludf.DUMMYFUNCTION("""COMPUTED_VALUE"""),0.0)</f>
        <v>0</v>
      </c>
      <c r="AS2552" s="82"/>
      <c r="AT2552" s="82">
        <f>IFERROR(__xludf.DUMMYFUNCTION("""COMPUTED_VALUE"""),0.0)</f>
        <v>0</v>
      </c>
      <c r="AU2552" s="82"/>
      <c r="AV2552" s="82"/>
      <c r="AW2552" s="82" t="str">
        <f t="shared" si="1"/>
        <v/>
      </c>
      <c r="AX2552" s="83" t="str">
        <f t="array" ref="AX2552">IFERROR(DGET('SBV Import'!A:G,"SBV",{"RSC ID","Tier";B2552,A2552}))</f>
        <v/>
      </c>
      <c r="AY2552" s="82" t="str">
        <f t="shared" si="2"/>
        <v/>
      </c>
      <c r="AZ2552" s="82"/>
      <c r="BA2552" s="84" t="s">
        <v>152</v>
      </c>
      <c r="BB2552" s="84" t="str">
        <f>IFERROR(__xludf.DUMMYFUNCTION("iferror(if(A2552="""",,E2552&gt;=FILTER(Constants!$F$2:$F$10,Constants!$A$2:$A$10=A2552)))"),"")</f>
        <v/>
      </c>
    </row>
    <row r="2553">
      <c r="A2553" s="89"/>
      <c r="B2553" s="87"/>
      <c r="C2553" s="73"/>
      <c r="D2553" s="73"/>
      <c r="E2553" s="82"/>
      <c r="F2553" s="82"/>
      <c r="G2553" s="86"/>
      <c r="H2553" s="86"/>
      <c r="I2553" s="86"/>
      <c r="J2553" s="82"/>
      <c r="K2553" s="82"/>
      <c r="L2553" s="82"/>
      <c r="M2553" s="82"/>
      <c r="N2553" s="82"/>
      <c r="O2553" s="82"/>
      <c r="P2553" s="82"/>
      <c r="Q2553" s="82"/>
      <c r="R2553" s="82"/>
      <c r="S2553" s="82"/>
      <c r="T2553" s="82"/>
      <c r="U2553" s="82"/>
      <c r="V2553" s="82"/>
      <c r="W2553" s="82"/>
      <c r="X2553" s="82"/>
      <c r="Y2553" s="82"/>
      <c r="Z2553" s="82"/>
      <c r="AA2553" s="82"/>
      <c r="AB2553" s="82"/>
      <c r="AC2553" s="82"/>
      <c r="AD2553" s="82"/>
      <c r="AE2553" s="82"/>
      <c r="AF2553" s="82"/>
      <c r="AG2553" s="82"/>
      <c r="AH2553" s="82"/>
      <c r="AI2553" s="82"/>
      <c r="AJ2553" s="82"/>
      <c r="AK2553" s="82"/>
      <c r="AL2553" s="82"/>
      <c r="AM2553" s="82"/>
      <c r="AN2553" s="82">
        <f>IFERROR(__xludf.DUMMYFUNCTION("""COMPUTED_VALUE"""),0.0)</f>
        <v>0</v>
      </c>
      <c r="AO2553" s="82">
        <f>IFERROR(__xludf.DUMMYFUNCTION("""COMPUTED_VALUE"""),0.0)</f>
        <v>0</v>
      </c>
      <c r="AP2553" s="82">
        <f>IFERROR(__xludf.DUMMYFUNCTION("""COMPUTED_VALUE"""),0.0)</f>
        <v>0</v>
      </c>
      <c r="AQ2553" s="82">
        <f>IFERROR(__xludf.DUMMYFUNCTION("""COMPUTED_VALUE"""),0.0)</f>
        <v>0</v>
      </c>
      <c r="AR2553" s="82">
        <f>IFERROR(__xludf.DUMMYFUNCTION("""COMPUTED_VALUE"""),0.0)</f>
        <v>0</v>
      </c>
      <c r="AS2553" s="82"/>
      <c r="AT2553" s="82">
        <f>IFERROR(__xludf.DUMMYFUNCTION("""COMPUTED_VALUE"""),0.0)</f>
        <v>0</v>
      </c>
      <c r="AU2553" s="82"/>
      <c r="AV2553" s="82"/>
      <c r="AW2553" s="82" t="str">
        <f t="shared" si="1"/>
        <v/>
      </c>
      <c r="AX2553" s="83" t="str">
        <f t="array" ref="AX2553">IFERROR(DGET('SBV Import'!A:G,"SBV",{"RSC ID","Tier";B2553,A2553}))</f>
        <v/>
      </c>
      <c r="AY2553" s="82" t="str">
        <f t="shared" si="2"/>
        <v/>
      </c>
      <c r="AZ2553" s="82"/>
      <c r="BA2553" s="84" t="s">
        <v>152</v>
      </c>
      <c r="BB2553" s="84" t="str">
        <f>IFERROR(__xludf.DUMMYFUNCTION("iferror(if(A2553="""",,E2553&gt;=FILTER(Constants!$F$2:$F$10,Constants!$A$2:$A$10=A2553)))"),"")</f>
        <v/>
      </c>
    </row>
    <row r="2554">
      <c r="A2554" s="89"/>
      <c r="B2554" s="87"/>
      <c r="C2554" s="73"/>
      <c r="D2554" s="73"/>
      <c r="E2554" s="82"/>
      <c r="F2554" s="82"/>
      <c r="G2554" s="86"/>
      <c r="H2554" s="86"/>
      <c r="I2554" s="86"/>
      <c r="J2554" s="82"/>
      <c r="K2554" s="82"/>
      <c r="L2554" s="82"/>
      <c r="M2554" s="82"/>
      <c r="N2554" s="82"/>
      <c r="O2554" s="82"/>
      <c r="P2554" s="82"/>
      <c r="Q2554" s="82"/>
      <c r="R2554" s="82"/>
      <c r="S2554" s="82"/>
      <c r="T2554" s="82"/>
      <c r="U2554" s="82"/>
      <c r="V2554" s="82"/>
      <c r="W2554" s="82"/>
      <c r="X2554" s="82"/>
      <c r="Y2554" s="82"/>
      <c r="Z2554" s="82"/>
      <c r="AA2554" s="82"/>
      <c r="AB2554" s="82"/>
      <c r="AC2554" s="82"/>
      <c r="AD2554" s="82"/>
      <c r="AE2554" s="82"/>
      <c r="AF2554" s="82"/>
      <c r="AG2554" s="82"/>
      <c r="AH2554" s="82"/>
      <c r="AI2554" s="82"/>
      <c r="AJ2554" s="82"/>
      <c r="AK2554" s="82"/>
      <c r="AL2554" s="82"/>
      <c r="AM2554" s="82"/>
      <c r="AN2554" s="82">
        <f>IFERROR(__xludf.DUMMYFUNCTION("""COMPUTED_VALUE"""),0.0)</f>
        <v>0</v>
      </c>
      <c r="AO2554" s="82">
        <f>IFERROR(__xludf.DUMMYFUNCTION("""COMPUTED_VALUE"""),0.0)</f>
        <v>0</v>
      </c>
      <c r="AP2554" s="82">
        <f>IFERROR(__xludf.DUMMYFUNCTION("""COMPUTED_VALUE"""),0.0)</f>
        <v>0</v>
      </c>
      <c r="AQ2554" s="82">
        <f>IFERROR(__xludf.DUMMYFUNCTION("""COMPUTED_VALUE"""),0.0)</f>
        <v>0</v>
      </c>
      <c r="AR2554" s="82">
        <f>IFERROR(__xludf.DUMMYFUNCTION("""COMPUTED_VALUE"""),0.0)</f>
        <v>0</v>
      </c>
      <c r="AS2554" s="82"/>
      <c r="AT2554" s="82">
        <f>IFERROR(__xludf.DUMMYFUNCTION("""COMPUTED_VALUE"""),0.0)</f>
        <v>0</v>
      </c>
      <c r="AU2554" s="82"/>
      <c r="AV2554" s="82"/>
      <c r="AW2554" s="82" t="str">
        <f t="shared" si="1"/>
        <v/>
      </c>
      <c r="AX2554" s="83" t="str">
        <f t="array" ref="AX2554">IFERROR(DGET('SBV Import'!A:G,"SBV",{"RSC ID","Tier";B2554,A2554}))</f>
        <v/>
      </c>
      <c r="AY2554" s="82" t="str">
        <f t="shared" si="2"/>
        <v/>
      </c>
      <c r="AZ2554" s="82"/>
      <c r="BA2554" s="84" t="s">
        <v>152</v>
      </c>
      <c r="BB2554" s="84" t="str">
        <f>IFERROR(__xludf.DUMMYFUNCTION("iferror(if(A2554="""",,E2554&gt;=FILTER(Constants!$F$2:$F$10,Constants!$A$2:$A$10=A2554)))"),"")</f>
        <v/>
      </c>
    </row>
    <row r="2555">
      <c r="A2555" s="89"/>
      <c r="B2555" s="87"/>
      <c r="C2555" s="73"/>
      <c r="D2555" s="73"/>
      <c r="E2555" s="82"/>
      <c r="F2555" s="82"/>
      <c r="G2555" s="86"/>
      <c r="H2555" s="86"/>
      <c r="I2555" s="86"/>
      <c r="J2555" s="82"/>
      <c r="K2555" s="82"/>
      <c r="L2555" s="82"/>
      <c r="M2555" s="82"/>
      <c r="N2555" s="82"/>
      <c r="O2555" s="82"/>
      <c r="P2555" s="82"/>
      <c r="Q2555" s="82"/>
      <c r="R2555" s="82"/>
      <c r="S2555" s="82"/>
      <c r="T2555" s="82"/>
      <c r="U2555" s="82"/>
      <c r="V2555" s="82"/>
      <c r="W2555" s="82"/>
      <c r="X2555" s="82"/>
      <c r="Y2555" s="82"/>
      <c r="Z2555" s="82"/>
      <c r="AA2555" s="82"/>
      <c r="AB2555" s="82"/>
      <c r="AC2555" s="82"/>
      <c r="AD2555" s="82"/>
      <c r="AE2555" s="82"/>
      <c r="AF2555" s="82"/>
      <c r="AG2555" s="82"/>
      <c r="AH2555" s="82"/>
      <c r="AI2555" s="82"/>
      <c r="AJ2555" s="82"/>
      <c r="AK2555" s="82"/>
      <c r="AL2555" s="82"/>
      <c r="AM2555" s="82"/>
      <c r="AN2555" s="82">
        <f>IFERROR(__xludf.DUMMYFUNCTION("""COMPUTED_VALUE"""),0.0)</f>
        <v>0</v>
      </c>
      <c r="AO2555" s="82">
        <f>IFERROR(__xludf.DUMMYFUNCTION("""COMPUTED_VALUE"""),0.0)</f>
        <v>0</v>
      </c>
      <c r="AP2555" s="82">
        <f>IFERROR(__xludf.DUMMYFUNCTION("""COMPUTED_VALUE"""),0.0)</f>
        <v>0</v>
      </c>
      <c r="AQ2555" s="82">
        <f>IFERROR(__xludf.DUMMYFUNCTION("""COMPUTED_VALUE"""),0.0)</f>
        <v>0</v>
      </c>
      <c r="AR2555" s="82">
        <f>IFERROR(__xludf.DUMMYFUNCTION("""COMPUTED_VALUE"""),0.0)</f>
        <v>0</v>
      </c>
      <c r="AS2555" s="82"/>
      <c r="AT2555" s="82">
        <f>IFERROR(__xludf.DUMMYFUNCTION("""COMPUTED_VALUE"""),0.0)</f>
        <v>0</v>
      </c>
      <c r="AU2555" s="82"/>
      <c r="AV2555" s="82"/>
      <c r="AW2555" s="82" t="str">
        <f t="shared" si="1"/>
        <v/>
      </c>
      <c r="AX2555" s="83" t="str">
        <f t="array" ref="AX2555">IFERROR(DGET('SBV Import'!A:G,"SBV",{"RSC ID","Tier";B2555,A2555}))</f>
        <v/>
      </c>
      <c r="AY2555" s="82" t="str">
        <f t="shared" si="2"/>
        <v/>
      </c>
      <c r="AZ2555" s="82"/>
      <c r="BA2555" s="84" t="s">
        <v>152</v>
      </c>
      <c r="BB2555" s="84" t="str">
        <f>IFERROR(__xludf.DUMMYFUNCTION("iferror(if(A2555="""",,E2555&gt;=FILTER(Constants!$F$2:$F$10,Constants!$A$2:$A$10=A2555)))"),"")</f>
        <v/>
      </c>
    </row>
    <row r="2556">
      <c r="A2556" s="89"/>
      <c r="B2556" s="87"/>
      <c r="C2556" s="73"/>
      <c r="D2556" s="73"/>
      <c r="E2556" s="82"/>
      <c r="F2556" s="82"/>
      <c r="G2556" s="86"/>
      <c r="H2556" s="86"/>
      <c r="I2556" s="86"/>
      <c r="J2556" s="82"/>
      <c r="K2556" s="82"/>
      <c r="L2556" s="82"/>
      <c r="M2556" s="82"/>
      <c r="N2556" s="82"/>
      <c r="O2556" s="82"/>
      <c r="P2556" s="82"/>
      <c r="Q2556" s="82"/>
      <c r="R2556" s="82"/>
      <c r="S2556" s="82"/>
      <c r="T2556" s="82"/>
      <c r="U2556" s="82"/>
      <c r="V2556" s="82"/>
      <c r="W2556" s="82"/>
      <c r="X2556" s="82"/>
      <c r="Y2556" s="82"/>
      <c r="Z2556" s="82"/>
      <c r="AA2556" s="82"/>
      <c r="AB2556" s="82"/>
      <c r="AC2556" s="82"/>
      <c r="AD2556" s="82"/>
      <c r="AE2556" s="82"/>
      <c r="AF2556" s="82"/>
      <c r="AG2556" s="82"/>
      <c r="AH2556" s="82"/>
      <c r="AI2556" s="82"/>
      <c r="AJ2556" s="82"/>
      <c r="AK2556" s="82"/>
      <c r="AL2556" s="82"/>
      <c r="AM2556" s="82"/>
      <c r="AN2556" s="82">
        <f>IFERROR(__xludf.DUMMYFUNCTION("""COMPUTED_VALUE"""),0.0)</f>
        <v>0</v>
      </c>
      <c r="AO2556" s="82">
        <f>IFERROR(__xludf.DUMMYFUNCTION("""COMPUTED_VALUE"""),0.0)</f>
        <v>0</v>
      </c>
      <c r="AP2556" s="82">
        <f>IFERROR(__xludf.DUMMYFUNCTION("""COMPUTED_VALUE"""),0.0)</f>
        <v>0</v>
      </c>
      <c r="AQ2556" s="82">
        <f>IFERROR(__xludf.DUMMYFUNCTION("""COMPUTED_VALUE"""),0.0)</f>
        <v>0</v>
      </c>
      <c r="AR2556" s="82">
        <f>IFERROR(__xludf.DUMMYFUNCTION("""COMPUTED_VALUE"""),0.0)</f>
        <v>0</v>
      </c>
      <c r="AS2556" s="82"/>
      <c r="AT2556" s="82">
        <f>IFERROR(__xludf.DUMMYFUNCTION("""COMPUTED_VALUE"""),0.0)</f>
        <v>0</v>
      </c>
      <c r="AU2556" s="82"/>
      <c r="AV2556" s="82"/>
      <c r="AW2556" s="82" t="str">
        <f t="shared" si="1"/>
        <v/>
      </c>
      <c r="AX2556" s="83" t="str">
        <f t="array" ref="AX2556">IFERROR(DGET('SBV Import'!A:G,"SBV",{"RSC ID","Tier";B2556,A2556}))</f>
        <v/>
      </c>
      <c r="AY2556" s="82" t="str">
        <f t="shared" si="2"/>
        <v/>
      </c>
      <c r="AZ2556" s="82"/>
      <c r="BA2556" s="84" t="s">
        <v>152</v>
      </c>
      <c r="BB2556" s="84" t="str">
        <f>IFERROR(__xludf.DUMMYFUNCTION("iferror(if(A2556="""",,E2556&gt;=FILTER(Constants!$F$2:$F$10,Constants!$A$2:$A$10=A2556)))"),"")</f>
        <v/>
      </c>
    </row>
    <row r="2557">
      <c r="A2557" s="89"/>
      <c r="B2557" s="87"/>
      <c r="C2557" s="73"/>
      <c r="D2557" s="73"/>
      <c r="E2557" s="82"/>
      <c r="F2557" s="82"/>
      <c r="G2557" s="86"/>
      <c r="H2557" s="86"/>
      <c r="I2557" s="86"/>
      <c r="J2557" s="82"/>
      <c r="K2557" s="82"/>
      <c r="L2557" s="82"/>
      <c r="M2557" s="82"/>
      <c r="N2557" s="82"/>
      <c r="O2557" s="82"/>
      <c r="P2557" s="82"/>
      <c r="Q2557" s="82"/>
      <c r="R2557" s="82"/>
      <c r="S2557" s="82"/>
      <c r="T2557" s="82"/>
      <c r="U2557" s="82"/>
      <c r="V2557" s="82"/>
      <c r="W2557" s="82"/>
      <c r="X2557" s="82"/>
      <c r="Y2557" s="82"/>
      <c r="Z2557" s="82"/>
      <c r="AA2557" s="82"/>
      <c r="AB2557" s="82"/>
      <c r="AC2557" s="82"/>
      <c r="AD2557" s="82"/>
      <c r="AE2557" s="82"/>
      <c r="AF2557" s="82"/>
      <c r="AG2557" s="82"/>
      <c r="AH2557" s="82"/>
      <c r="AI2557" s="82"/>
      <c r="AJ2557" s="82"/>
      <c r="AK2557" s="82"/>
      <c r="AL2557" s="82"/>
      <c r="AM2557" s="82"/>
      <c r="AN2557" s="82">
        <f>IFERROR(__xludf.DUMMYFUNCTION("""COMPUTED_VALUE"""),0.0)</f>
        <v>0</v>
      </c>
      <c r="AO2557" s="82">
        <f>IFERROR(__xludf.DUMMYFUNCTION("""COMPUTED_VALUE"""),0.0)</f>
        <v>0</v>
      </c>
      <c r="AP2557" s="82">
        <f>IFERROR(__xludf.DUMMYFUNCTION("""COMPUTED_VALUE"""),0.0)</f>
        <v>0</v>
      </c>
      <c r="AQ2557" s="82">
        <f>IFERROR(__xludf.DUMMYFUNCTION("""COMPUTED_VALUE"""),0.0)</f>
        <v>0</v>
      </c>
      <c r="AR2557" s="82">
        <f>IFERROR(__xludf.DUMMYFUNCTION("""COMPUTED_VALUE"""),0.0)</f>
        <v>0</v>
      </c>
      <c r="AS2557" s="82"/>
      <c r="AT2557" s="82">
        <f>IFERROR(__xludf.DUMMYFUNCTION("""COMPUTED_VALUE"""),0.0)</f>
        <v>0</v>
      </c>
      <c r="AU2557" s="82"/>
      <c r="AV2557" s="82"/>
      <c r="AW2557" s="82" t="str">
        <f t="shared" si="1"/>
        <v/>
      </c>
      <c r="AX2557" s="83" t="str">
        <f t="array" ref="AX2557">IFERROR(DGET('SBV Import'!A:G,"SBV",{"RSC ID","Tier";B2557,A2557}))</f>
        <v/>
      </c>
      <c r="AY2557" s="82" t="str">
        <f t="shared" si="2"/>
        <v/>
      </c>
      <c r="AZ2557" s="82"/>
      <c r="BA2557" s="84" t="s">
        <v>152</v>
      </c>
      <c r="BB2557" s="84" t="str">
        <f>IFERROR(__xludf.DUMMYFUNCTION("iferror(if(A2557="""",,E2557&gt;=FILTER(Constants!$F$2:$F$10,Constants!$A$2:$A$10=A2557)))"),"")</f>
        <v/>
      </c>
    </row>
    <row r="2558">
      <c r="A2558" s="89"/>
      <c r="B2558" s="87"/>
      <c r="C2558" s="73"/>
      <c r="D2558" s="73"/>
      <c r="E2558" s="82"/>
      <c r="F2558" s="82"/>
      <c r="G2558" s="86"/>
      <c r="H2558" s="86"/>
      <c r="I2558" s="86"/>
      <c r="J2558" s="82"/>
      <c r="K2558" s="82"/>
      <c r="L2558" s="82"/>
      <c r="M2558" s="82"/>
      <c r="N2558" s="82"/>
      <c r="O2558" s="82"/>
      <c r="P2558" s="82"/>
      <c r="Q2558" s="82"/>
      <c r="R2558" s="82"/>
      <c r="S2558" s="82"/>
      <c r="T2558" s="82"/>
      <c r="U2558" s="82"/>
      <c r="V2558" s="82"/>
      <c r="W2558" s="82"/>
      <c r="X2558" s="82"/>
      <c r="Y2558" s="82"/>
      <c r="Z2558" s="82"/>
      <c r="AA2558" s="82"/>
      <c r="AB2558" s="82"/>
      <c r="AC2558" s="82"/>
      <c r="AD2558" s="82"/>
      <c r="AE2558" s="82"/>
      <c r="AF2558" s="82"/>
      <c r="AG2558" s="82"/>
      <c r="AH2558" s="82"/>
      <c r="AI2558" s="82"/>
      <c r="AJ2558" s="82"/>
      <c r="AK2558" s="82"/>
      <c r="AL2558" s="82"/>
      <c r="AM2558" s="82"/>
      <c r="AN2558" s="82">
        <f>IFERROR(__xludf.DUMMYFUNCTION("""COMPUTED_VALUE"""),0.0)</f>
        <v>0</v>
      </c>
      <c r="AO2558" s="82">
        <f>IFERROR(__xludf.DUMMYFUNCTION("""COMPUTED_VALUE"""),0.0)</f>
        <v>0</v>
      </c>
      <c r="AP2558" s="82">
        <f>IFERROR(__xludf.DUMMYFUNCTION("""COMPUTED_VALUE"""),0.0)</f>
        <v>0</v>
      </c>
      <c r="AQ2558" s="82">
        <f>IFERROR(__xludf.DUMMYFUNCTION("""COMPUTED_VALUE"""),0.0)</f>
        <v>0</v>
      </c>
      <c r="AR2558" s="82">
        <f>IFERROR(__xludf.DUMMYFUNCTION("""COMPUTED_VALUE"""),0.0)</f>
        <v>0</v>
      </c>
      <c r="AS2558" s="82"/>
      <c r="AT2558" s="82">
        <f>IFERROR(__xludf.DUMMYFUNCTION("""COMPUTED_VALUE"""),0.0)</f>
        <v>0</v>
      </c>
      <c r="AU2558" s="82"/>
      <c r="AV2558" s="82"/>
      <c r="AW2558" s="82" t="str">
        <f t="shared" si="1"/>
        <v/>
      </c>
      <c r="AX2558" s="83" t="str">
        <f t="array" ref="AX2558">IFERROR(DGET('SBV Import'!A:G,"SBV",{"RSC ID","Tier";B2558,A2558}))</f>
        <v/>
      </c>
      <c r="AY2558" s="82" t="str">
        <f t="shared" si="2"/>
        <v/>
      </c>
      <c r="AZ2558" s="82"/>
      <c r="BA2558" s="84" t="s">
        <v>152</v>
      </c>
      <c r="BB2558" s="84" t="str">
        <f>IFERROR(__xludf.DUMMYFUNCTION("iferror(if(A2558="""",,E2558&gt;=FILTER(Constants!$F$2:$F$10,Constants!$A$2:$A$10=A2558)))"),"")</f>
        <v/>
      </c>
    </row>
    <row r="2559">
      <c r="A2559" s="89"/>
      <c r="B2559" s="87"/>
      <c r="C2559" s="73"/>
      <c r="D2559" s="73"/>
      <c r="E2559" s="82"/>
      <c r="F2559" s="82"/>
      <c r="G2559" s="86"/>
      <c r="H2559" s="86"/>
      <c r="I2559" s="86"/>
      <c r="J2559" s="82"/>
      <c r="K2559" s="82"/>
      <c r="L2559" s="82"/>
      <c r="M2559" s="82"/>
      <c r="N2559" s="82"/>
      <c r="O2559" s="82"/>
      <c r="P2559" s="82"/>
      <c r="Q2559" s="82"/>
      <c r="R2559" s="82"/>
      <c r="S2559" s="82"/>
      <c r="T2559" s="82"/>
      <c r="U2559" s="82"/>
      <c r="V2559" s="82"/>
      <c r="W2559" s="82"/>
      <c r="X2559" s="82"/>
      <c r="Y2559" s="82"/>
      <c r="Z2559" s="82"/>
      <c r="AA2559" s="82"/>
      <c r="AB2559" s="82"/>
      <c r="AC2559" s="82"/>
      <c r="AD2559" s="82"/>
      <c r="AE2559" s="82"/>
      <c r="AF2559" s="82"/>
      <c r="AG2559" s="82"/>
      <c r="AH2559" s="82"/>
      <c r="AI2559" s="82"/>
      <c r="AJ2559" s="82"/>
      <c r="AK2559" s="82"/>
      <c r="AL2559" s="82"/>
      <c r="AM2559" s="82"/>
      <c r="AN2559" s="82">
        <f>IFERROR(__xludf.DUMMYFUNCTION("""COMPUTED_VALUE"""),0.0)</f>
        <v>0</v>
      </c>
      <c r="AO2559" s="82">
        <f>IFERROR(__xludf.DUMMYFUNCTION("""COMPUTED_VALUE"""),0.0)</f>
        <v>0</v>
      </c>
      <c r="AP2559" s="82">
        <f>IFERROR(__xludf.DUMMYFUNCTION("""COMPUTED_VALUE"""),0.0)</f>
        <v>0</v>
      </c>
      <c r="AQ2559" s="82">
        <f>IFERROR(__xludf.DUMMYFUNCTION("""COMPUTED_VALUE"""),0.0)</f>
        <v>0</v>
      </c>
      <c r="AR2559" s="82">
        <f>IFERROR(__xludf.DUMMYFUNCTION("""COMPUTED_VALUE"""),0.0)</f>
        <v>0</v>
      </c>
      <c r="AS2559" s="82"/>
      <c r="AT2559" s="82">
        <f>IFERROR(__xludf.DUMMYFUNCTION("""COMPUTED_VALUE"""),0.0)</f>
        <v>0</v>
      </c>
      <c r="AU2559" s="82"/>
      <c r="AV2559" s="82"/>
      <c r="AW2559" s="82" t="str">
        <f t="shared" si="1"/>
        <v/>
      </c>
      <c r="AX2559" s="83" t="str">
        <f t="array" ref="AX2559">IFERROR(DGET('SBV Import'!A:G,"SBV",{"RSC ID","Tier";B2559,A2559}))</f>
        <v/>
      </c>
      <c r="AY2559" s="82" t="str">
        <f t="shared" si="2"/>
        <v/>
      </c>
      <c r="AZ2559" s="82"/>
      <c r="BA2559" s="84" t="s">
        <v>152</v>
      </c>
      <c r="BB2559" s="84" t="str">
        <f>IFERROR(__xludf.DUMMYFUNCTION("iferror(if(A2559="""",,E2559&gt;=FILTER(Constants!$F$2:$F$10,Constants!$A$2:$A$10=A2559)))"),"")</f>
        <v/>
      </c>
    </row>
    <row r="2560">
      <c r="A2560" s="89"/>
      <c r="B2560" s="87"/>
      <c r="C2560" s="73"/>
      <c r="D2560" s="73"/>
      <c r="E2560" s="82"/>
      <c r="F2560" s="82"/>
      <c r="G2560" s="86"/>
      <c r="H2560" s="86"/>
      <c r="I2560" s="86"/>
      <c r="J2560" s="82"/>
      <c r="K2560" s="82"/>
      <c r="L2560" s="82"/>
      <c r="M2560" s="82"/>
      <c r="N2560" s="82"/>
      <c r="O2560" s="82"/>
      <c r="P2560" s="82"/>
      <c r="Q2560" s="82"/>
      <c r="R2560" s="82"/>
      <c r="S2560" s="82"/>
      <c r="T2560" s="82"/>
      <c r="U2560" s="82"/>
      <c r="V2560" s="82"/>
      <c r="W2560" s="82"/>
      <c r="X2560" s="82"/>
      <c r="Y2560" s="82"/>
      <c r="Z2560" s="82"/>
      <c r="AA2560" s="82"/>
      <c r="AB2560" s="82"/>
      <c r="AC2560" s="82"/>
      <c r="AD2560" s="82"/>
      <c r="AE2560" s="82"/>
      <c r="AF2560" s="82"/>
      <c r="AG2560" s="82"/>
      <c r="AH2560" s="82"/>
      <c r="AI2560" s="82"/>
      <c r="AJ2560" s="82"/>
      <c r="AK2560" s="82"/>
      <c r="AL2560" s="82"/>
      <c r="AM2560" s="82"/>
      <c r="AN2560" s="82">
        <f>IFERROR(__xludf.DUMMYFUNCTION("""COMPUTED_VALUE"""),0.0)</f>
        <v>0</v>
      </c>
      <c r="AO2560" s="82">
        <f>IFERROR(__xludf.DUMMYFUNCTION("""COMPUTED_VALUE"""),0.0)</f>
        <v>0</v>
      </c>
      <c r="AP2560" s="82">
        <f>IFERROR(__xludf.DUMMYFUNCTION("""COMPUTED_VALUE"""),0.0)</f>
        <v>0</v>
      </c>
      <c r="AQ2560" s="82">
        <f>IFERROR(__xludf.DUMMYFUNCTION("""COMPUTED_VALUE"""),0.0)</f>
        <v>0</v>
      </c>
      <c r="AR2560" s="82">
        <f>IFERROR(__xludf.DUMMYFUNCTION("""COMPUTED_VALUE"""),0.0)</f>
        <v>0</v>
      </c>
      <c r="AS2560" s="82"/>
      <c r="AT2560" s="82">
        <f>IFERROR(__xludf.DUMMYFUNCTION("""COMPUTED_VALUE"""),0.0)</f>
        <v>0</v>
      </c>
      <c r="AU2560" s="82"/>
      <c r="AV2560" s="82"/>
      <c r="AW2560" s="82" t="str">
        <f t="shared" si="1"/>
        <v/>
      </c>
      <c r="AX2560" s="83" t="str">
        <f t="array" ref="AX2560">IFERROR(DGET('SBV Import'!A:G,"SBV",{"RSC ID","Tier";B2560,A2560}))</f>
        <v/>
      </c>
      <c r="AY2560" s="82" t="str">
        <f t="shared" si="2"/>
        <v/>
      </c>
      <c r="AZ2560" s="82"/>
      <c r="BA2560" s="84" t="s">
        <v>152</v>
      </c>
      <c r="BB2560" s="84" t="str">
        <f>IFERROR(__xludf.DUMMYFUNCTION("iferror(if(A2560="""",,E2560&gt;=FILTER(Constants!$F$2:$F$10,Constants!$A$2:$A$10=A2560)))"),"")</f>
        <v/>
      </c>
    </row>
    <row r="2561">
      <c r="A2561" s="89"/>
      <c r="B2561" s="87"/>
      <c r="C2561" s="73"/>
      <c r="D2561" s="73"/>
      <c r="E2561" s="82"/>
      <c r="F2561" s="82"/>
      <c r="G2561" s="86"/>
      <c r="H2561" s="86"/>
      <c r="I2561" s="86"/>
      <c r="J2561" s="82"/>
      <c r="K2561" s="82"/>
      <c r="L2561" s="82"/>
      <c r="M2561" s="82"/>
      <c r="N2561" s="82"/>
      <c r="O2561" s="82"/>
      <c r="P2561" s="82"/>
      <c r="Q2561" s="82"/>
      <c r="R2561" s="82"/>
      <c r="S2561" s="82"/>
      <c r="T2561" s="82"/>
      <c r="U2561" s="82"/>
      <c r="V2561" s="82"/>
      <c r="W2561" s="82"/>
      <c r="X2561" s="82"/>
      <c r="Y2561" s="82"/>
      <c r="Z2561" s="82"/>
      <c r="AA2561" s="82"/>
      <c r="AB2561" s="82"/>
      <c r="AC2561" s="82"/>
      <c r="AD2561" s="82"/>
      <c r="AE2561" s="82"/>
      <c r="AF2561" s="82"/>
      <c r="AG2561" s="82"/>
      <c r="AH2561" s="82"/>
      <c r="AI2561" s="82"/>
      <c r="AJ2561" s="82"/>
      <c r="AK2561" s="82"/>
      <c r="AL2561" s="82"/>
      <c r="AM2561" s="82"/>
      <c r="AN2561" s="82">
        <f>IFERROR(__xludf.DUMMYFUNCTION("""COMPUTED_VALUE"""),0.0)</f>
        <v>0</v>
      </c>
      <c r="AO2561" s="82">
        <f>IFERROR(__xludf.DUMMYFUNCTION("""COMPUTED_VALUE"""),0.0)</f>
        <v>0</v>
      </c>
      <c r="AP2561" s="82">
        <f>IFERROR(__xludf.DUMMYFUNCTION("""COMPUTED_VALUE"""),0.0)</f>
        <v>0</v>
      </c>
      <c r="AQ2561" s="82">
        <f>IFERROR(__xludf.DUMMYFUNCTION("""COMPUTED_VALUE"""),0.0)</f>
        <v>0</v>
      </c>
      <c r="AR2561" s="82">
        <f>IFERROR(__xludf.DUMMYFUNCTION("""COMPUTED_VALUE"""),0.0)</f>
        <v>0</v>
      </c>
      <c r="AS2561" s="82"/>
      <c r="AT2561" s="82">
        <f>IFERROR(__xludf.DUMMYFUNCTION("""COMPUTED_VALUE"""),0.0)</f>
        <v>0</v>
      </c>
      <c r="AU2561" s="82"/>
      <c r="AV2561" s="82"/>
      <c r="AW2561" s="82" t="str">
        <f t="shared" si="1"/>
        <v/>
      </c>
      <c r="AX2561" s="83" t="str">
        <f t="array" ref="AX2561">IFERROR(DGET('SBV Import'!A:G,"SBV",{"RSC ID","Tier";B2561,A2561}))</f>
        <v/>
      </c>
      <c r="AY2561" s="82" t="str">
        <f t="shared" si="2"/>
        <v/>
      </c>
      <c r="AZ2561" s="82"/>
      <c r="BA2561" s="84" t="s">
        <v>152</v>
      </c>
      <c r="BB2561" s="84" t="str">
        <f>IFERROR(__xludf.DUMMYFUNCTION("iferror(if(A2561="""",,E2561&gt;=FILTER(Constants!$F$2:$F$10,Constants!$A$2:$A$10=A2561)))"),"")</f>
        <v/>
      </c>
    </row>
    <row r="2562">
      <c r="A2562" s="89"/>
      <c r="B2562" s="87"/>
      <c r="C2562" s="73"/>
      <c r="D2562" s="73"/>
      <c r="E2562" s="82"/>
      <c r="F2562" s="82"/>
      <c r="G2562" s="86"/>
      <c r="H2562" s="86"/>
      <c r="I2562" s="86"/>
      <c r="J2562" s="82"/>
      <c r="K2562" s="82"/>
      <c r="L2562" s="82"/>
      <c r="M2562" s="82"/>
      <c r="N2562" s="82"/>
      <c r="O2562" s="82"/>
      <c r="P2562" s="82"/>
      <c r="Q2562" s="82"/>
      <c r="R2562" s="82"/>
      <c r="S2562" s="82"/>
      <c r="T2562" s="82"/>
      <c r="U2562" s="82"/>
      <c r="V2562" s="82"/>
      <c r="W2562" s="82"/>
      <c r="X2562" s="82"/>
      <c r="Y2562" s="82"/>
      <c r="Z2562" s="82"/>
      <c r="AA2562" s="82"/>
      <c r="AB2562" s="82"/>
      <c r="AC2562" s="82"/>
      <c r="AD2562" s="82"/>
      <c r="AE2562" s="82"/>
      <c r="AF2562" s="82"/>
      <c r="AG2562" s="82"/>
      <c r="AH2562" s="82"/>
      <c r="AI2562" s="82"/>
      <c r="AJ2562" s="82"/>
      <c r="AK2562" s="82"/>
      <c r="AL2562" s="82"/>
      <c r="AM2562" s="82"/>
      <c r="AN2562" s="82">
        <f>IFERROR(__xludf.DUMMYFUNCTION("""COMPUTED_VALUE"""),0.0)</f>
        <v>0</v>
      </c>
      <c r="AO2562" s="82">
        <f>IFERROR(__xludf.DUMMYFUNCTION("""COMPUTED_VALUE"""),0.0)</f>
        <v>0</v>
      </c>
      <c r="AP2562" s="82">
        <f>IFERROR(__xludf.DUMMYFUNCTION("""COMPUTED_VALUE"""),0.0)</f>
        <v>0</v>
      </c>
      <c r="AQ2562" s="82">
        <f>IFERROR(__xludf.DUMMYFUNCTION("""COMPUTED_VALUE"""),0.0)</f>
        <v>0</v>
      </c>
      <c r="AR2562" s="82">
        <f>IFERROR(__xludf.DUMMYFUNCTION("""COMPUTED_VALUE"""),0.0)</f>
        <v>0</v>
      </c>
      <c r="AS2562" s="82"/>
      <c r="AT2562" s="82">
        <f>IFERROR(__xludf.DUMMYFUNCTION("""COMPUTED_VALUE"""),0.0)</f>
        <v>0</v>
      </c>
      <c r="AU2562" s="82"/>
      <c r="AV2562" s="82"/>
      <c r="AW2562" s="82" t="str">
        <f t="shared" si="1"/>
        <v/>
      </c>
      <c r="AX2562" s="83" t="str">
        <f t="array" ref="AX2562">IFERROR(DGET('SBV Import'!A:G,"SBV",{"RSC ID","Tier";B2562,A2562}))</f>
        <v/>
      </c>
      <c r="AY2562" s="82" t="str">
        <f t="shared" si="2"/>
        <v/>
      </c>
      <c r="AZ2562" s="82"/>
      <c r="BA2562" s="84" t="s">
        <v>152</v>
      </c>
      <c r="BB2562" s="84" t="str">
        <f>IFERROR(__xludf.DUMMYFUNCTION("iferror(if(A2562="""",,E2562&gt;=FILTER(Constants!$F$2:$F$10,Constants!$A$2:$A$10=A2562)))"),"")</f>
        <v/>
      </c>
    </row>
    <row r="2563">
      <c r="A2563" s="89"/>
      <c r="B2563" s="87"/>
      <c r="C2563" s="73"/>
      <c r="D2563" s="73"/>
      <c r="E2563" s="82"/>
      <c r="F2563" s="82"/>
      <c r="G2563" s="86"/>
      <c r="H2563" s="86"/>
      <c r="I2563" s="86"/>
      <c r="J2563" s="82"/>
      <c r="K2563" s="82"/>
      <c r="L2563" s="82"/>
      <c r="M2563" s="82"/>
      <c r="N2563" s="82"/>
      <c r="O2563" s="82"/>
      <c r="P2563" s="82"/>
      <c r="Q2563" s="82"/>
      <c r="R2563" s="82"/>
      <c r="S2563" s="82"/>
      <c r="T2563" s="82"/>
      <c r="U2563" s="82"/>
      <c r="V2563" s="82"/>
      <c r="W2563" s="82"/>
      <c r="X2563" s="82"/>
      <c r="Y2563" s="82"/>
      <c r="Z2563" s="82"/>
      <c r="AA2563" s="82"/>
      <c r="AB2563" s="82"/>
      <c r="AC2563" s="82"/>
      <c r="AD2563" s="82"/>
      <c r="AE2563" s="82"/>
      <c r="AF2563" s="82"/>
      <c r="AG2563" s="82"/>
      <c r="AH2563" s="82"/>
      <c r="AI2563" s="82"/>
      <c r="AJ2563" s="82"/>
      <c r="AK2563" s="82"/>
      <c r="AL2563" s="82"/>
      <c r="AM2563" s="82"/>
      <c r="AN2563" s="82">
        <f>IFERROR(__xludf.DUMMYFUNCTION("""COMPUTED_VALUE"""),0.0)</f>
        <v>0</v>
      </c>
      <c r="AO2563" s="82">
        <f>IFERROR(__xludf.DUMMYFUNCTION("""COMPUTED_VALUE"""),0.0)</f>
        <v>0</v>
      </c>
      <c r="AP2563" s="82">
        <f>IFERROR(__xludf.DUMMYFUNCTION("""COMPUTED_VALUE"""),0.0)</f>
        <v>0</v>
      </c>
      <c r="AQ2563" s="82">
        <f>IFERROR(__xludf.DUMMYFUNCTION("""COMPUTED_VALUE"""),0.0)</f>
        <v>0</v>
      </c>
      <c r="AR2563" s="82">
        <f>IFERROR(__xludf.DUMMYFUNCTION("""COMPUTED_VALUE"""),0.0)</f>
        <v>0</v>
      </c>
      <c r="AS2563" s="82"/>
      <c r="AT2563" s="82">
        <f>IFERROR(__xludf.DUMMYFUNCTION("""COMPUTED_VALUE"""),0.0)</f>
        <v>0</v>
      </c>
      <c r="AU2563" s="82"/>
      <c r="AV2563" s="82"/>
      <c r="AW2563" s="82" t="str">
        <f t="shared" si="1"/>
        <v/>
      </c>
      <c r="AX2563" s="83" t="str">
        <f t="array" ref="AX2563">IFERROR(DGET('SBV Import'!A:G,"SBV",{"RSC ID","Tier";B2563,A2563}))</f>
        <v/>
      </c>
      <c r="AY2563" s="82" t="str">
        <f t="shared" si="2"/>
        <v/>
      </c>
      <c r="AZ2563" s="82"/>
      <c r="BA2563" s="84" t="s">
        <v>152</v>
      </c>
      <c r="BB2563" s="84" t="str">
        <f>IFERROR(__xludf.DUMMYFUNCTION("iferror(if(A2563="""",,E2563&gt;=FILTER(Constants!$F$2:$F$10,Constants!$A$2:$A$10=A2563)))"),"")</f>
        <v/>
      </c>
    </row>
    <row r="2564">
      <c r="A2564" s="89"/>
      <c r="B2564" s="87"/>
      <c r="C2564" s="73"/>
      <c r="D2564" s="73"/>
      <c r="E2564" s="82"/>
      <c r="F2564" s="82"/>
      <c r="G2564" s="86"/>
      <c r="H2564" s="86"/>
      <c r="I2564" s="86"/>
      <c r="J2564" s="82"/>
      <c r="K2564" s="82"/>
      <c r="L2564" s="82"/>
      <c r="M2564" s="82"/>
      <c r="N2564" s="82"/>
      <c r="O2564" s="82"/>
      <c r="P2564" s="82"/>
      <c r="Q2564" s="82"/>
      <c r="R2564" s="82"/>
      <c r="S2564" s="82"/>
      <c r="T2564" s="82"/>
      <c r="U2564" s="82"/>
      <c r="V2564" s="82"/>
      <c r="W2564" s="82"/>
      <c r="X2564" s="82"/>
      <c r="Y2564" s="82"/>
      <c r="Z2564" s="82"/>
      <c r="AA2564" s="82"/>
      <c r="AB2564" s="82"/>
      <c r="AC2564" s="82"/>
      <c r="AD2564" s="82"/>
      <c r="AE2564" s="82"/>
      <c r="AF2564" s="82"/>
      <c r="AG2564" s="82"/>
      <c r="AH2564" s="82"/>
      <c r="AI2564" s="82"/>
      <c r="AJ2564" s="82"/>
      <c r="AK2564" s="82"/>
      <c r="AL2564" s="82"/>
      <c r="AM2564" s="82"/>
      <c r="AN2564" s="82">
        <f>IFERROR(__xludf.DUMMYFUNCTION("""COMPUTED_VALUE"""),0.0)</f>
        <v>0</v>
      </c>
      <c r="AO2564" s="82">
        <f>IFERROR(__xludf.DUMMYFUNCTION("""COMPUTED_VALUE"""),0.0)</f>
        <v>0</v>
      </c>
      <c r="AP2564" s="82">
        <f>IFERROR(__xludf.DUMMYFUNCTION("""COMPUTED_VALUE"""),0.0)</f>
        <v>0</v>
      </c>
      <c r="AQ2564" s="82">
        <f>IFERROR(__xludf.DUMMYFUNCTION("""COMPUTED_VALUE"""),0.0)</f>
        <v>0</v>
      </c>
      <c r="AR2564" s="82">
        <f>IFERROR(__xludf.DUMMYFUNCTION("""COMPUTED_VALUE"""),0.0)</f>
        <v>0</v>
      </c>
      <c r="AS2564" s="82"/>
      <c r="AT2564" s="82">
        <f>IFERROR(__xludf.DUMMYFUNCTION("""COMPUTED_VALUE"""),0.0)</f>
        <v>0</v>
      </c>
      <c r="AU2564" s="82"/>
      <c r="AV2564" s="82"/>
      <c r="AW2564" s="82" t="str">
        <f t="shared" si="1"/>
        <v/>
      </c>
      <c r="AX2564" s="83" t="str">
        <f t="array" ref="AX2564">IFERROR(DGET('SBV Import'!A:G,"SBV",{"RSC ID","Tier";B2564,A2564}))</f>
        <v/>
      </c>
      <c r="AY2564" s="82" t="str">
        <f t="shared" si="2"/>
        <v/>
      </c>
      <c r="AZ2564" s="82"/>
      <c r="BA2564" s="84" t="s">
        <v>152</v>
      </c>
      <c r="BB2564" s="84" t="str">
        <f>IFERROR(__xludf.DUMMYFUNCTION("iferror(if(A2564="""",,E2564&gt;=FILTER(Constants!$F$2:$F$10,Constants!$A$2:$A$10=A2564)))"),"")</f>
        <v/>
      </c>
    </row>
    <row r="2565">
      <c r="A2565" s="89"/>
      <c r="B2565" s="87"/>
      <c r="C2565" s="73"/>
      <c r="D2565" s="73"/>
      <c r="E2565" s="82"/>
      <c r="F2565" s="82"/>
      <c r="G2565" s="86"/>
      <c r="H2565" s="86"/>
      <c r="I2565" s="86"/>
      <c r="J2565" s="82"/>
      <c r="K2565" s="82"/>
      <c r="L2565" s="82"/>
      <c r="M2565" s="82"/>
      <c r="N2565" s="82"/>
      <c r="O2565" s="82"/>
      <c r="P2565" s="82"/>
      <c r="Q2565" s="82"/>
      <c r="R2565" s="82"/>
      <c r="S2565" s="82"/>
      <c r="T2565" s="82"/>
      <c r="U2565" s="82"/>
      <c r="V2565" s="82"/>
      <c r="W2565" s="82"/>
      <c r="X2565" s="82"/>
      <c r="Y2565" s="82"/>
      <c r="Z2565" s="82"/>
      <c r="AA2565" s="82"/>
      <c r="AB2565" s="82"/>
      <c r="AC2565" s="82"/>
      <c r="AD2565" s="82"/>
      <c r="AE2565" s="82"/>
      <c r="AF2565" s="82"/>
      <c r="AG2565" s="82"/>
      <c r="AH2565" s="82"/>
      <c r="AI2565" s="82"/>
      <c r="AJ2565" s="82"/>
      <c r="AK2565" s="82"/>
      <c r="AL2565" s="82"/>
      <c r="AM2565" s="82"/>
      <c r="AN2565" s="82">
        <f>IFERROR(__xludf.DUMMYFUNCTION("""COMPUTED_VALUE"""),0.0)</f>
        <v>0</v>
      </c>
      <c r="AO2565" s="82">
        <f>IFERROR(__xludf.DUMMYFUNCTION("""COMPUTED_VALUE"""),0.0)</f>
        <v>0</v>
      </c>
      <c r="AP2565" s="82">
        <f>IFERROR(__xludf.DUMMYFUNCTION("""COMPUTED_VALUE"""),0.0)</f>
        <v>0</v>
      </c>
      <c r="AQ2565" s="82">
        <f>IFERROR(__xludf.DUMMYFUNCTION("""COMPUTED_VALUE"""),0.0)</f>
        <v>0</v>
      </c>
      <c r="AR2565" s="82">
        <f>IFERROR(__xludf.DUMMYFUNCTION("""COMPUTED_VALUE"""),0.0)</f>
        <v>0</v>
      </c>
      <c r="AS2565" s="82"/>
      <c r="AT2565" s="82">
        <f>IFERROR(__xludf.DUMMYFUNCTION("""COMPUTED_VALUE"""),0.0)</f>
        <v>0</v>
      </c>
      <c r="AU2565" s="82"/>
      <c r="AV2565" s="82"/>
      <c r="AW2565" s="82" t="str">
        <f t="shared" si="1"/>
        <v/>
      </c>
      <c r="AX2565" s="83" t="str">
        <f t="array" ref="AX2565">IFERROR(DGET('SBV Import'!A:G,"SBV",{"RSC ID","Tier";B2565,A2565}))</f>
        <v/>
      </c>
      <c r="AY2565" s="82" t="str">
        <f t="shared" si="2"/>
        <v/>
      </c>
      <c r="AZ2565" s="82"/>
      <c r="BA2565" s="84" t="s">
        <v>152</v>
      </c>
      <c r="BB2565" s="84" t="str">
        <f>IFERROR(__xludf.DUMMYFUNCTION("iferror(if(A2565="""",,E2565&gt;=FILTER(Constants!$F$2:$F$10,Constants!$A$2:$A$10=A2565)))"),"")</f>
        <v/>
      </c>
    </row>
    <row r="2566">
      <c r="A2566" s="89"/>
      <c r="B2566" s="87"/>
      <c r="C2566" s="73"/>
      <c r="D2566" s="73"/>
      <c r="E2566" s="82"/>
      <c r="F2566" s="82"/>
      <c r="G2566" s="86"/>
      <c r="H2566" s="86"/>
      <c r="I2566" s="86"/>
      <c r="J2566" s="82"/>
      <c r="K2566" s="82"/>
      <c r="L2566" s="82"/>
      <c r="M2566" s="82"/>
      <c r="N2566" s="82"/>
      <c r="O2566" s="82"/>
      <c r="P2566" s="82"/>
      <c r="Q2566" s="82"/>
      <c r="R2566" s="82"/>
      <c r="S2566" s="82"/>
      <c r="T2566" s="82"/>
      <c r="U2566" s="82"/>
      <c r="V2566" s="82"/>
      <c r="W2566" s="82"/>
      <c r="X2566" s="82"/>
      <c r="Y2566" s="82"/>
      <c r="Z2566" s="82"/>
      <c r="AA2566" s="82"/>
      <c r="AB2566" s="82"/>
      <c r="AC2566" s="82"/>
      <c r="AD2566" s="82"/>
      <c r="AE2566" s="82"/>
      <c r="AF2566" s="82"/>
      <c r="AG2566" s="82"/>
      <c r="AH2566" s="82"/>
      <c r="AI2566" s="82"/>
      <c r="AJ2566" s="82"/>
      <c r="AK2566" s="82"/>
      <c r="AL2566" s="82"/>
      <c r="AM2566" s="82"/>
      <c r="AN2566" s="82">
        <f>IFERROR(__xludf.DUMMYFUNCTION("""COMPUTED_VALUE"""),0.0)</f>
        <v>0</v>
      </c>
      <c r="AO2566" s="82">
        <f>IFERROR(__xludf.DUMMYFUNCTION("""COMPUTED_VALUE"""),0.0)</f>
        <v>0</v>
      </c>
      <c r="AP2566" s="82">
        <f>IFERROR(__xludf.DUMMYFUNCTION("""COMPUTED_VALUE"""),0.0)</f>
        <v>0</v>
      </c>
      <c r="AQ2566" s="82">
        <f>IFERROR(__xludf.DUMMYFUNCTION("""COMPUTED_VALUE"""),0.0)</f>
        <v>0</v>
      </c>
      <c r="AR2566" s="82">
        <f>IFERROR(__xludf.DUMMYFUNCTION("""COMPUTED_VALUE"""),0.0)</f>
        <v>0</v>
      </c>
      <c r="AS2566" s="82"/>
      <c r="AT2566" s="82">
        <f>IFERROR(__xludf.DUMMYFUNCTION("""COMPUTED_VALUE"""),0.0)</f>
        <v>0</v>
      </c>
      <c r="AU2566" s="82"/>
      <c r="AV2566" s="82"/>
      <c r="AW2566" s="82" t="str">
        <f t="shared" si="1"/>
        <v/>
      </c>
      <c r="AX2566" s="83" t="str">
        <f t="array" ref="AX2566">IFERROR(DGET('SBV Import'!A:G,"SBV",{"RSC ID","Tier";B2566,A2566}))</f>
        <v/>
      </c>
      <c r="AY2566" s="82" t="str">
        <f t="shared" si="2"/>
        <v/>
      </c>
      <c r="AZ2566" s="82"/>
      <c r="BA2566" s="84" t="s">
        <v>152</v>
      </c>
      <c r="BB2566" s="84" t="str">
        <f>IFERROR(__xludf.DUMMYFUNCTION("iferror(if(A2566="""",,E2566&gt;=FILTER(Constants!$F$2:$F$10,Constants!$A$2:$A$10=A2566)))"),"")</f>
        <v/>
      </c>
    </row>
    <row r="2567">
      <c r="A2567" s="89"/>
      <c r="B2567" s="87"/>
      <c r="C2567" s="73"/>
      <c r="D2567" s="73"/>
      <c r="E2567" s="82"/>
      <c r="F2567" s="82"/>
      <c r="G2567" s="86"/>
      <c r="H2567" s="86"/>
      <c r="I2567" s="86"/>
      <c r="J2567" s="82"/>
      <c r="K2567" s="82"/>
      <c r="L2567" s="82"/>
      <c r="M2567" s="82"/>
      <c r="N2567" s="82"/>
      <c r="O2567" s="82"/>
      <c r="P2567" s="82"/>
      <c r="Q2567" s="82"/>
      <c r="R2567" s="82"/>
      <c r="S2567" s="82"/>
      <c r="T2567" s="82"/>
      <c r="U2567" s="82"/>
      <c r="V2567" s="82"/>
      <c r="W2567" s="82"/>
      <c r="X2567" s="82"/>
      <c r="Y2567" s="82"/>
      <c r="Z2567" s="82"/>
      <c r="AA2567" s="82"/>
      <c r="AB2567" s="82"/>
      <c r="AC2567" s="82"/>
      <c r="AD2567" s="82"/>
      <c r="AE2567" s="82"/>
      <c r="AF2567" s="82"/>
      <c r="AG2567" s="82"/>
      <c r="AH2567" s="82"/>
      <c r="AI2567" s="82"/>
      <c r="AJ2567" s="82"/>
      <c r="AK2567" s="82"/>
      <c r="AL2567" s="82"/>
      <c r="AM2567" s="82"/>
      <c r="AN2567" s="82">
        <f>IFERROR(__xludf.DUMMYFUNCTION("""COMPUTED_VALUE"""),0.0)</f>
        <v>0</v>
      </c>
      <c r="AO2567" s="82">
        <f>IFERROR(__xludf.DUMMYFUNCTION("""COMPUTED_VALUE"""),0.0)</f>
        <v>0</v>
      </c>
      <c r="AP2567" s="82">
        <f>IFERROR(__xludf.DUMMYFUNCTION("""COMPUTED_VALUE"""),0.0)</f>
        <v>0</v>
      </c>
      <c r="AQ2567" s="82">
        <f>IFERROR(__xludf.DUMMYFUNCTION("""COMPUTED_VALUE"""),0.0)</f>
        <v>0</v>
      </c>
      <c r="AR2567" s="82">
        <f>IFERROR(__xludf.DUMMYFUNCTION("""COMPUTED_VALUE"""),0.0)</f>
        <v>0</v>
      </c>
      <c r="AS2567" s="82"/>
      <c r="AT2567" s="82">
        <f>IFERROR(__xludf.DUMMYFUNCTION("""COMPUTED_VALUE"""),0.0)</f>
        <v>0</v>
      </c>
      <c r="AU2567" s="82"/>
      <c r="AV2567" s="82"/>
      <c r="AW2567" s="82" t="str">
        <f t="shared" si="1"/>
        <v/>
      </c>
      <c r="AX2567" s="83" t="str">
        <f t="array" ref="AX2567">IFERROR(DGET('SBV Import'!A:G,"SBV",{"RSC ID","Tier";B2567,A2567}))</f>
        <v/>
      </c>
      <c r="AY2567" s="82" t="str">
        <f t="shared" si="2"/>
        <v/>
      </c>
      <c r="AZ2567" s="82"/>
      <c r="BA2567" s="84" t="s">
        <v>152</v>
      </c>
      <c r="BB2567" s="84" t="str">
        <f>IFERROR(__xludf.DUMMYFUNCTION("iferror(if(A2567="""",,E2567&gt;=FILTER(Constants!$F$2:$F$10,Constants!$A$2:$A$10=A2567)))"),"")</f>
        <v/>
      </c>
    </row>
    <row r="2568">
      <c r="A2568" s="89"/>
      <c r="B2568" s="87"/>
      <c r="C2568" s="73"/>
      <c r="D2568" s="73"/>
      <c r="E2568" s="82"/>
      <c r="F2568" s="82"/>
      <c r="G2568" s="86"/>
      <c r="H2568" s="86"/>
      <c r="I2568" s="86"/>
      <c r="J2568" s="82"/>
      <c r="K2568" s="82"/>
      <c r="L2568" s="82"/>
      <c r="M2568" s="82"/>
      <c r="N2568" s="82"/>
      <c r="O2568" s="82"/>
      <c r="P2568" s="82"/>
      <c r="Q2568" s="82"/>
      <c r="R2568" s="82"/>
      <c r="S2568" s="82"/>
      <c r="T2568" s="82"/>
      <c r="U2568" s="82"/>
      <c r="V2568" s="82"/>
      <c r="W2568" s="82"/>
      <c r="X2568" s="82"/>
      <c r="Y2568" s="82"/>
      <c r="Z2568" s="82"/>
      <c r="AA2568" s="82"/>
      <c r="AB2568" s="82"/>
      <c r="AC2568" s="82"/>
      <c r="AD2568" s="82"/>
      <c r="AE2568" s="82"/>
      <c r="AF2568" s="82"/>
      <c r="AG2568" s="82"/>
      <c r="AH2568" s="82"/>
      <c r="AI2568" s="82"/>
      <c r="AJ2568" s="82"/>
      <c r="AK2568" s="82"/>
      <c r="AL2568" s="82"/>
      <c r="AM2568" s="82"/>
      <c r="AN2568" s="82">
        <f>IFERROR(__xludf.DUMMYFUNCTION("""COMPUTED_VALUE"""),0.0)</f>
        <v>0</v>
      </c>
      <c r="AO2568" s="82">
        <f>IFERROR(__xludf.DUMMYFUNCTION("""COMPUTED_VALUE"""),0.0)</f>
        <v>0</v>
      </c>
      <c r="AP2568" s="82">
        <f>IFERROR(__xludf.DUMMYFUNCTION("""COMPUTED_VALUE"""),0.0)</f>
        <v>0</v>
      </c>
      <c r="AQ2568" s="82">
        <f>IFERROR(__xludf.DUMMYFUNCTION("""COMPUTED_VALUE"""),0.0)</f>
        <v>0</v>
      </c>
      <c r="AR2568" s="82">
        <f>IFERROR(__xludf.DUMMYFUNCTION("""COMPUTED_VALUE"""),0.0)</f>
        <v>0</v>
      </c>
      <c r="AS2568" s="82"/>
      <c r="AT2568" s="82">
        <f>IFERROR(__xludf.DUMMYFUNCTION("""COMPUTED_VALUE"""),0.0)</f>
        <v>0</v>
      </c>
      <c r="AU2568" s="82"/>
      <c r="AV2568" s="82"/>
      <c r="AW2568" s="82" t="str">
        <f t="shared" si="1"/>
        <v/>
      </c>
      <c r="AX2568" s="83" t="str">
        <f t="array" ref="AX2568">IFERROR(DGET('SBV Import'!A:G,"SBV",{"RSC ID","Tier";B2568,A2568}))</f>
        <v/>
      </c>
      <c r="AY2568" s="82" t="str">
        <f t="shared" si="2"/>
        <v/>
      </c>
      <c r="AZ2568" s="82"/>
      <c r="BA2568" s="84" t="s">
        <v>152</v>
      </c>
      <c r="BB2568" s="84" t="str">
        <f>IFERROR(__xludf.DUMMYFUNCTION("iferror(if(A2568="""",,E2568&gt;=FILTER(Constants!$F$2:$F$10,Constants!$A$2:$A$10=A2568)))"),"")</f>
        <v/>
      </c>
    </row>
    <row r="2569">
      <c r="A2569" s="89"/>
      <c r="B2569" s="87"/>
      <c r="C2569" s="73"/>
      <c r="D2569" s="73"/>
      <c r="E2569" s="82"/>
      <c r="F2569" s="82"/>
      <c r="G2569" s="86"/>
      <c r="H2569" s="86"/>
      <c r="I2569" s="86"/>
      <c r="J2569" s="82"/>
      <c r="K2569" s="82"/>
      <c r="L2569" s="82"/>
      <c r="M2569" s="82"/>
      <c r="N2569" s="82"/>
      <c r="O2569" s="82"/>
      <c r="P2569" s="82"/>
      <c r="Q2569" s="82"/>
      <c r="R2569" s="82"/>
      <c r="S2569" s="82"/>
      <c r="T2569" s="82"/>
      <c r="U2569" s="82"/>
      <c r="V2569" s="82"/>
      <c r="W2569" s="82"/>
      <c r="X2569" s="82"/>
      <c r="Y2569" s="82"/>
      <c r="Z2569" s="82"/>
      <c r="AA2569" s="82"/>
      <c r="AB2569" s="82"/>
      <c r="AC2569" s="82"/>
      <c r="AD2569" s="82"/>
      <c r="AE2569" s="82"/>
      <c r="AF2569" s="82"/>
      <c r="AG2569" s="82"/>
      <c r="AH2569" s="82"/>
      <c r="AI2569" s="82"/>
      <c r="AJ2569" s="82"/>
      <c r="AK2569" s="82"/>
      <c r="AL2569" s="82"/>
      <c r="AM2569" s="82"/>
      <c r="AN2569" s="82">
        <f>IFERROR(__xludf.DUMMYFUNCTION("""COMPUTED_VALUE"""),0.0)</f>
        <v>0</v>
      </c>
      <c r="AO2569" s="82">
        <f>IFERROR(__xludf.DUMMYFUNCTION("""COMPUTED_VALUE"""),0.0)</f>
        <v>0</v>
      </c>
      <c r="AP2569" s="82">
        <f>IFERROR(__xludf.DUMMYFUNCTION("""COMPUTED_VALUE"""),0.0)</f>
        <v>0</v>
      </c>
      <c r="AQ2569" s="82">
        <f>IFERROR(__xludf.DUMMYFUNCTION("""COMPUTED_VALUE"""),0.0)</f>
        <v>0</v>
      </c>
      <c r="AR2569" s="82">
        <f>IFERROR(__xludf.DUMMYFUNCTION("""COMPUTED_VALUE"""),0.0)</f>
        <v>0</v>
      </c>
      <c r="AS2569" s="82"/>
      <c r="AT2569" s="82">
        <f>IFERROR(__xludf.DUMMYFUNCTION("""COMPUTED_VALUE"""),0.0)</f>
        <v>0</v>
      </c>
      <c r="AU2569" s="82"/>
      <c r="AV2569" s="82"/>
      <c r="AW2569" s="82" t="str">
        <f t="shared" si="1"/>
        <v/>
      </c>
      <c r="AX2569" s="83" t="str">
        <f t="array" ref="AX2569">IFERROR(DGET('SBV Import'!A:G,"SBV",{"RSC ID","Tier";B2569,A2569}))</f>
        <v/>
      </c>
      <c r="AY2569" s="82" t="str">
        <f t="shared" si="2"/>
        <v/>
      </c>
      <c r="AZ2569" s="82"/>
      <c r="BA2569" s="84" t="s">
        <v>152</v>
      </c>
      <c r="BB2569" s="84" t="str">
        <f>IFERROR(__xludf.DUMMYFUNCTION("iferror(if(A2569="""",,E2569&gt;=FILTER(Constants!$F$2:$F$10,Constants!$A$2:$A$10=A2569)))"),"")</f>
        <v/>
      </c>
    </row>
    <row r="2570">
      <c r="A2570" s="89"/>
      <c r="B2570" s="87"/>
      <c r="C2570" s="73"/>
      <c r="D2570" s="73"/>
      <c r="E2570" s="82"/>
      <c r="F2570" s="82"/>
      <c r="G2570" s="86"/>
      <c r="H2570" s="86"/>
      <c r="I2570" s="86"/>
      <c r="J2570" s="82"/>
      <c r="K2570" s="82"/>
      <c r="L2570" s="82"/>
      <c r="M2570" s="82"/>
      <c r="N2570" s="82"/>
      <c r="O2570" s="82"/>
      <c r="P2570" s="82"/>
      <c r="Q2570" s="82"/>
      <c r="R2570" s="82"/>
      <c r="S2570" s="82"/>
      <c r="T2570" s="82"/>
      <c r="U2570" s="82"/>
      <c r="V2570" s="82"/>
      <c r="W2570" s="82"/>
      <c r="X2570" s="82"/>
      <c r="Y2570" s="82"/>
      <c r="Z2570" s="82"/>
      <c r="AA2570" s="82"/>
      <c r="AB2570" s="82"/>
      <c r="AC2570" s="82"/>
      <c r="AD2570" s="82"/>
      <c r="AE2570" s="82"/>
      <c r="AF2570" s="82"/>
      <c r="AG2570" s="82"/>
      <c r="AH2570" s="82"/>
      <c r="AI2570" s="82"/>
      <c r="AJ2570" s="82"/>
      <c r="AK2570" s="82"/>
      <c r="AL2570" s="82"/>
      <c r="AM2570" s="82"/>
      <c r="AN2570" s="82">
        <f>IFERROR(__xludf.DUMMYFUNCTION("""COMPUTED_VALUE"""),0.0)</f>
        <v>0</v>
      </c>
      <c r="AO2570" s="82">
        <f>IFERROR(__xludf.DUMMYFUNCTION("""COMPUTED_VALUE"""),0.0)</f>
        <v>0</v>
      </c>
      <c r="AP2570" s="82">
        <f>IFERROR(__xludf.DUMMYFUNCTION("""COMPUTED_VALUE"""),0.0)</f>
        <v>0</v>
      </c>
      <c r="AQ2570" s="82">
        <f>IFERROR(__xludf.DUMMYFUNCTION("""COMPUTED_VALUE"""),0.0)</f>
        <v>0</v>
      </c>
      <c r="AR2570" s="82">
        <f>IFERROR(__xludf.DUMMYFUNCTION("""COMPUTED_VALUE"""),0.0)</f>
        <v>0</v>
      </c>
      <c r="AS2570" s="82"/>
      <c r="AT2570" s="82">
        <f>IFERROR(__xludf.DUMMYFUNCTION("""COMPUTED_VALUE"""),0.0)</f>
        <v>0</v>
      </c>
      <c r="AU2570" s="82"/>
      <c r="AV2570" s="82"/>
      <c r="AW2570" s="82" t="str">
        <f t="shared" si="1"/>
        <v/>
      </c>
      <c r="AX2570" s="83" t="str">
        <f t="array" ref="AX2570">IFERROR(DGET('SBV Import'!A:G,"SBV",{"RSC ID","Tier";B2570,A2570}))</f>
        <v/>
      </c>
      <c r="AY2570" s="82" t="str">
        <f t="shared" si="2"/>
        <v/>
      </c>
      <c r="AZ2570" s="82"/>
      <c r="BA2570" s="84" t="s">
        <v>152</v>
      </c>
      <c r="BB2570" s="84" t="str">
        <f>IFERROR(__xludf.DUMMYFUNCTION("iferror(if(A2570="""",,E2570&gt;=FILTER(Constants!$F$2:$F$10,Constants!$A$2:$A$10=A2570)))"),"")</f>
        <v/>
      </c>
    </row>
    <row r="2571">
      <c r="A2571" s="89"/>
      <c r="B2571" s="87"/>
      <c r="C2571" s="73"/>
      <c r="D2571" s="73"/>
      <c r="E2571" s="82"/>
      <c r="F2571" s="82"/>
      <c r="G2571" s="86"/>
      <c r="H2571" s="86"/>
      <c r="I2571" s="86"/>
      <c r="J2571" s="82"/>
      <c r="K2571" s="82"/>
      <c r="L2571" s="82"/>
      <c r="M2571" s="82"/>
      <c r="N2571" s="82"/>
      <c r="O2571" s="82"/>
      <c r="P2571" s="82"/>
      <c r="Q2571" s="82"/>
      <c r="R2571" s="82"/>
      <c r="S2571" s="82"/>
      <c r="T2571" s="82"/>
      <c r="U2571" s="82"/>
      <c r="V2571" s="82"/>
      <c r="W2571" s="82"/>
      <c r="X2571" s="82"/>
      <c r="Y2571" s="82"/>
      <c r="Z2571" s="82"/>
      <c r="AA2571" s="82"/>
      <c r="AB2571" s="82"/>
      <c r="AC2571" s="82"/>
      <c r="AD2571" s="82"/>
      <c r="AE2571" s="82"/>
      <c r="AF2571" s="82"/>
      <c r="AG2571" s="82"/>
      <c r="AH2571" s="82"/>
      <c r="AI2571" s="82"/>
      <c r="AJ2571" s="82"/>
      <c r="AK2571" s="82"/>
      <c r="AL2571" s="82"/>
      <c r="AM2571" s="82"/>
      <c r="AN2571" s="82">
        <f>IFERROR(__xludf.DUMMYFUNCTION("""COMPUTED_VALUE"""),0.0)</f>
        <v>0</v>
      </c>
      <c r="AO2571" s="82">
        <f>IFERROR(__xludf.DUMMYFUNCTION("""COMPUTED_VALUE"""),0.0)</f>
        <v>0</v>
      </c>
      <c r="AP2571" s="82">
        <f>IFERROR(__xludf.DUMMYFUNCTION("""COMPUTED_VALUE"""),0.0)</f>
        <v>0</v>
      </c>
      <c r="AQ2571" s="82">
        <f>IFERROR(__xludf.DUMMYFUNCTION("""COMPUTED_VALUE"""),0.0)</f>
        <v>0</v>
      </c>
      <c r="AR2571" s="82">
        <f>IFERROR(__xludf.DUMMYFUNCTION("""COMPUTED_VALUE"""),0.0)</f>
        <v>0</v>
      </c>
      <c r="AS2571" s="82"/>
      <c r="AT2571" s="82">
        <f>IFERROR(__xludf.DUMMYFUNCTION("""COMPUTED_VALUE"""),0.0)</f>
        <v>0</v>
      </c>
      <c r="AU2571" s="82"/>
      <c r="AV2571" s="82"/>
      <c r="AW2571" s="82" t="str">
        <f t="shared" si="1"/>
        <v/>
      </c>
      <c r="AX2571" s="83" t="str">
        <f t="array" ref="AX2571">IFERROR(DGET('SBV Import'!A:G,"SBV",{"RSC ID","Tier";B2571,A2571}))</f>
        <v/>
      </c>
      <c r="AY2571" s="82" t="str">
        <f t="shared" si="2"/>
        <v/>
      </c>
      <c r="AZ2571" s="82"/>
      <c r="BA2571" s="84" t="s">
        <v>152</v>
      </c>
      <c r="BB2571" s="84" t="str">
        <f>IFERROR(__xludf.DUMMYFUNCTION("iferror(if(A2571="""",,E2571&gt;=FILTER(Constants!$F$2:$F$10,Constants!$A$2:$A$10=A2571)))"),"")</f>
        <v/>
      </c>
    </row>
    <row r="2572">
      <c r="A2572" s="89"/>
      <c r="B2572" s="87"/>
      <c r="C2572" s="73"/>
      <c r="D2572" s="73"/>
      <c r="E2572" s="82"/>
      <c r="F2572" s="82"/>
      <c r="G2572" s="86"/>
      <c r="H2572" s="86"/>
      <c r="I2572" s="86"/>
      <c r="J2572" s="82"/>
      <c r="K2572" s="82"/>
      <c r="L2572" s="82"/>
      <c r="M2572" s="82"/>
      <c r="N2572" s="82"/>
      <c r="O2572" s="82"/>
      <c r="P2572" s="82"/>
      <c r="Q2572" s="82"/>
      <c r="R2572" s="82"/>
      <c r="S2572" s="82"/>
      <c r="T2572" s="82"/>
      <c r="U2572" s="82"/>
      <c r="V2572" s="82"/>
      <c r="W2572" s="82"/>
      <c r="X2572" s="82"/>
      <c r="Y2572" s="82"/>
      <c r="Z2572" s="82"/>
      <c r="AA2572" s="82"/>
      <c r="AB2572" s="82"/>
      <c r="AC2572" s="82"/>
      <c r="AD2572" s="82"/>
      <c r="AE2572" s="82"/>
      <c r="AF2572" s="82"/>
      <c r="AG2572" s="82"/>
      <c r="AH2572" s="82"/>
      <c r="AI2572" s="82"/>
      <c r="AJ2572" s="82"/>
      <c r="AK2572" s="82"/>
      <c r="AL2572" s="82"/>
      <c r="AM2572" s="82"/>
      <c r="AN2572" s="82">
        <f>IFERROR(__xludf.DUMMYFUNCTION("""COMPUTED_VALUE"""),0.0)</f>
        <v>0</v>
      </c>
      <c r="AO2572" s="82">
        <f>IFERROR(__xludf.DUMMYFUNCTION("""COMPUTED_VALUE"""),0.0)</f>
        <v>0</v>
      </c>
      <c r="AP2572" s="82">
        <f>IFERROR(__xludf.DUMMYFUNCTION("""COMPUTED_VALUE"""),0.0)</f>
        <v>0</v>
      </c>
      <c r="AQ2572" s="82">
        <f>IFERROR(__xludf.DUMMYFUNCTION("""COMPUTED_VALUE"""),0.0)</f>
        <v>0</v>
      </c>
      <c r="AR2572" s="82">
        <f>IFERROR(__xludf.DUMMYFUNCTION("""COMPUTED_VALUE"""),0.0)</f>
        <v>0</v>
      </c>
      <c r="AS2572" s="82"/>
      <c r="AT2572" s="82">
        <f>IFERROR(__xludf.DUMMYFUNCTION("""COMPUTED_VALUE"""),0.0)</f>
        <v>0</v>
      </c>
      <c r="AU2572" s="82"/>
      <c r="AV2572" s="82"/>
      <c r="AW2572" s="82" t="str">
        <f t="shared" si="1"/>
        <v/>
      </c>
      <c r="AX2572" s="83" t="str">
        <f t="array" ref="AX2572">IFERROR(DGET('SBV Import'!A:G,"SBV",{"RSC ID","Tier";B2572,A2572}))</f>
        <v/>
      </c>
      <c r="AY2572" s="82" t="str">
        <f t="shared" si="2"/>
        <v/>
      </c>
      <c r="AZ2572" s="82"/>
      <c r="BA2572" s="84" t="s">
        <v>152</v>
      </c>
      <c r="BB2572" s="84" t="str">
        <f>IFERROR(__xludf.DUMMYFUNCTION("iferror(if(A2572="""",,E2572&gt;=FILTER(Constants!$F$2:$F$10,Constants!$A$2:$A$10=A2572)))"),"")</f>
        <v/>
      </c>
    </row>
    <row r="2573">
      <c r="A2573" s="89"/>
      <c r="B2573" s="87"/>
      <c r="C2573" s="73"/>
      <c r="D2573" s="73"/>
      <c r="E2573" s="82"/>
      <c r="F2573" s="82"/>
      <c r="G2573" s="86"/>
      <c r="H2573" s="86"/>
      <c r="I2573" s="86"/>
      <c r="J2573" s="82"/>
      <c r="K2573" s="82"/>
      <c r="L2573" s="82"/>
      <c r="M2573" s="82"/>
      <c r="N2573" s="82"/>
      <c r="O2573" s="82"/>
      <c r="P2573" s="82"/>
      <c r="Q2573" s="82"/>
      <c r="R2573" s="82"/>
      <c r="S2573" s="82"/>
      <c r="T2573" s="82"/>
      <c r="U2573" s="82"/>
      <c r="V2573" s="82"/>
      <c r="W2573" s="82"/>
      <c r="X2573" s="82"/>
      <c r="Y2573" s="82"/>
      <c r="Z2573" s="82"/>
      <c r="AA2573" s="82"/>
      <c r="AB2573" s="82"/>
      <c r="AC2573" s="82"/>
      <c r="AD2573" s="82"/>
      <c r="AE2573" s="82"/>
      <c r="AF2573" s="82"/>
      <c r="AG2573" s="82"/>
      <c r="AH2573" s="82"/>
      <c r="AI2573" s="82"/>
      <c r="AJ2573" s="82"/>
      <c r="AK2573" s="82"/>
      <c r="AL2573" s="82"/>
      <c r="AM2573" s="82"/>
      <c r="AN2573" s="82">
        <f>IFERROR(__xludf.DUMMYFUNCTION("""COMPUTED_VALUE"""),0.0)</f>
        <v>0</v>
      </c>
      <c r="AO2573" s="82">
        <f>IFERROR(__xludf.DUMMYFUNCTION("""COMPUTED_VALUE"""),0.0)</f>
        <v>0</v>
      </c>
      <c r="AP2573" s="82">
        <f>IFERROR(__xludf.DUMMYFUNCTION("""COMPUTED_VALUE"""),0.0)</f>
        <v>0</v>
      </c>
      <c r="AQ2573" s="82">
        <f>IFERROR(__xludf.DUMMYFUNCTION("""COMPUTED_VALUE"""),0.0)</f>
        <v>0</v>
      </c>
      <c r="AR2573" s="82">
        <f>IFERROR(__xludf.DUMMYFUNCTION("""COMPUTED_VALUE"""),0.0)</f>
        <v>0</v>
      </c>
      <c r="AS2573" s="82"/>
      <c r="AT2573" s="82">
        <f>IFERROR(__xludf.DUMMYFUNCTION("""COMPUTED_VALUE"""),0.0)</f>
        <v>0</v>
      </c>
      <c r="AU2573" s="82"/>
      <c r="AV2573" s="82"/>
      <c r="AW2573" s="82" t="str">
        <f t="shared" si="1"/>
        <v/>
      </c>
      <c r="AX2573" s="83" t="str">
        <f t="array" ref="AX2573">IFERROR(DGET('SBV Import'!A:G,"SBV",{"RSC ID","Tier";B2573,A2573}))</f>
        <v/>
      </c>
      <c r="AY2573" s="82" t="str">
        <f t="shared" si="2"/>
        <v/>
      </c>
      <c r="AZ2573" s="82"/>
      <c r="BA2573" s="84" t="s">
        <v>152</v>
      </c>
      <c r="BB2573" s="84" t="str">
        <f>IFERROR(__xludf.DUMMYFUNCTION("iferror(if(A2573="""",,E2573&gt;=FILTER(Constants!$F$2:$F$10,Constants!$A$2:$A$10=A2573)))"),"")</f>
        <v/>
      </c>
    </row>
    <row r="2574">
      <c r="A2574" s="89"/>
      <c r="B2574" s="87"/>
      <c r="C2574" s="73"/>
      <c r="D2574" s="73"/>
      <c r="E2574" s="82"/>
      <c r="F2574" s="82"/>
      <c r="G2574" s="86"/>
      <c r="H2574" s="86"/>
      <c r="I2574" s="86"/>
      <c r="J2574" s="82"/>
      <c r="K2574" s="82"/>
      <c r="L2574" s="82"/>
      <c r="M2574" s="82"/>
      <c r="N2574" s="82"/>
      <c r="O2574" s="82"/>
      <c r="P2574" s="82"/>
      <c r="Q2574" s="82"/>
      <c r="R2574" s="82"/>
      <c r="S2574" s="82"/>
      <c r="T2574" s="82"/>
      <c r="U2574" s="82"/>
      <c r="V2574" s="82"/>
      <c r="W2574" s="82"/>
      <c r="X2574" s="82"/>
      <c r="Y2574" s="82"/>
      <c r="Z2574" s="82"/>
      <c r="AA2574" s="82"/>
      <c r="AB2574" s="82"/>
      <c r="AC2574" s="82"/>
      <c r="AD2574" s="82"/>
      <c r="AE2574" s="82"/>
      <c r="AF2574" s="82"/>
      <c r="AG2574" s="82"/>
      <c r="AH2574" s="82"/>
      <c r="AI2574" s="82"/>
      <c r="AJ2574" s="82"/>
      <c r="AK2574" s="82"/>
      <c r="AL2574" s="82"/>
      <c r="AM2574" s="82"/>
      <c r="AN2574" s="82">
        <f>IFERROR(__xludf.DUMMYFUNCTION("""COMPUTED_VALUE"""),0.0)</f>
        <v>0</v>
      </c>
      <c r="AO2574" s="82">
        <f>IFERROR(__xludf.DUMMYFUNCTION("""COMPUTED_VALUE"""),0.0)</f>
        <v>0</v>
      </c>
      <c r="AP2574" s="82">
        <f>IFERROR(__xludf.DUMMYFUNCTION("""COMPUTED_VALUE"""),0.0)</f>
        <v>0</v>
      </c>
      <c r="AQ2574" s="82">
        <f>IFERROR(__xludf.DUMMYFUNCTION("""COMPUTED_VALUE"""),0.0)</f>
        <v>0</v>
      </c>
      <c r="AR2574" s="82">
        <f>IFERROR(__xludf.DUMMYFUNCTION("""COMPUTED_VALUE"""),0.0)</f>
        <v>0</v>
      </c>
      <c r="AS2574" s="82"/>
      <c r="AT2574" s="82">
        <f>IFERROR(__xludf.DUMMYFUNCTION("""COMPUTED_VALUE"""),0.0)</f>
        <v>0</v>
      </c>
      <c r="AU2574" s="82"/>
      <c r="AV2574" s="82"/>
      <c r="AW2574" s="82" t="str">
        <f t="shared" si="1"/>
        <v/>
      </c>
      <c r="AX2574" s="83" t="str">
        <f t="array" ref="AX2574">IFERROR(DGET('SBV Import'!A:G,"SBV",{"RSC ID","Tier";B2574,A2574}))</f>
        <v/>
      </c>
      <c r="AY2574" s="82" t="str">
        <f t="shared" si="2"/>
        <v/>
      </c>
      <c r="AZ2574" s="82"/>
      <c r="BA2574" s="84" t="s">
        <v>152</v>
      </c>
      <c r="BB2574" s="84" t="str">
        <f>IFERROR(__xludf.DUMMYFUNCTION("iferror(if(A2574="""",,E2574&gt;=FILTER(Constants!$F$2:$F$10,Constants!$A$2:$A$10=A2574)))"),"")</f>
        <v/>
      </c>
    </row>
    <row r="2575">
      <c r="A2575" s="89"/>
      <c r="B2575" s="87"/>
      <c r="C2575" s="73"/>
      <c r="D2575" s="73"/>
      <c r="E2575" s="82"/>
      <c r="F2575" s="82"/>
      <c r="G2575" s="86"/>
      <c r="H2575" s="86"/>
      <c r="I2575" s="86"/>
      <c r="J2575" s="82"/>
      <c r="K2575" s="82"/>
      <c r="L2575" s="82"/>
      <c r="M2575" s="82"/>
      <c r="N2575" s="82"/>
      <c r="O2575" s="82"/>
      <c r="P2575" s="82"/>
      <c r="Q2575" s="82"/>
      <c r="R2575" s="82"/>
      <c r="S2575" s="82"/>
      <c r="T2575" s="82"/>
      <c r="U2575" s="82"/>
      <c r="V2575" s="82"/>
      <c r="W2575" s="82"/>
      <c r="X2575" s="82"/>
      <c r="Y2575" s="82"/>
      <c r="Z2575" s="82"/>
      <c r="AA2575" s="82"/>
      <c r="AB2575" s="82"/>
      <c r="AC2575" s="82"/>
      <c r="AD2575" s="82"/>
      <c r="AE2575" s="82"/>
      <c r="AF2575" s="82"/>
      <c r="AG2575" s="82"/>
      <c r="AH2575" s="82"/>
      <c r="AI2575" s="82"/>
      <c r="AJ2575" s="82"/>
      <c r="AK2575" s="82"/>
      <c r="AL2575" s="82"/>
      <c r="AM2575" s="82"/>
      <c r="AN2575" s="82">
        <f>IFERROR(__xludf.DUMMYFUNCTION("""COMPUTED_VALUE"""),0.0)</f>
        <v>0</v>
      </c>
      <c r="AO2575" s="82">
        <f>IFERROR(__xludf.DUMMYFUNCTION("""COMPUTED_VALUE"""),0.0)</f>
        <v>0</v>
      </c>
      <c r="AP2575" s="82">
        <f>IFERROR(__xludf.DUMMYFUNCTION("""COMPUTED_VALUE"""),0.0)</f>
        <v>0</v>
      </c>
      <c r="AQ2575" s="82">
        <f>IFERROR(__xludf.DUMMYFUNCTION("""COMPUTED_VALUE"""),0.0)</f>
        <v>0</v>
      </c>
      <c r="AR2575" s="82">
        <f>IFERROR(__xludf.DUMMYFUNCTION("""COMPUTED_VALUE"""),0.0)</f>
        <v>0</v>
      </c>
      <c r="AS2575" s="82"/>
      <c r="AT2575" s="82">
        <f>IFERROR(__xludf.DUMMYFUNCTION("""COMPUTED_VALUE"""),0.0)</f>
        <v>0</v>
      </c>
      <c r="AU2575" s="82"/>
      <c r="AV2575" s="82"/>
      <c r="AW2575" s="82" t="str">
        <f t="shared" si="1"/>
        <v/>
      </c>
      <c r="AX2575" s="83" t="str">
        <f t="array" ref="AX2575">IFERROR(DGET('SBV Import'!A:G,"SBV",{"RSC ID","Tier";B2575,A2575}))</f>
        <v/>
      </c>
      <c r="AY2575" s="82" t="str">
        <f t="shared" si="2"/>
        <v/>
      </c>
      <c r="AZ2575" s="82"/>
      <c r="BA2575" s="84" t="s">
        <v>152</v>
      </c>
      <c r="BB2575" s="84" t="str">
        <f>IFERROR(__xludf.DUMMYFUNCTION("iferror(if(A2575="""",,E2575&gt;=FILTER(Constants!$F$2:$F$10,Constants!$A$2:$A$10=A2575)))"),"")</f>
        <v/>
      </c>
    </row>
    <row r="2576">
      <c r="A2576" s="89"/>
      <c r="B2576" s="87"/>
      <c r="C2576" s="73"/>
      <c r="D2576" s="73"/>
      <c r="E2576" s="82"/>
      <c r="F2576" s="82"/>
      <c r="G2576" s="86"/>
      <c r="H2576" s="86"/>
      <c r="I2576" s="86"/>
      <c r="J2576" s="82"/>
      <c r="K2576" s="82"/>
      <c r="L2576" s="82"/>
      <c r="M2576" s="82"/>
      <c r="N2576" s="82"/>
      <c r="O2576" s="82"/>
      <c r="P2576" s="82"/>
      <c r="Q2576" s="82"/>
      <c r="R2576" s="82"/>
      <c r="S2576" s="82"/>
      <c r="T2576" s="82"/>
      <c r="U2576" s="82"/>
      <c r="V2576" s="82"/>
      <c r="W2576" s="82"/>
      <c r="X2576" s="82"/>
      <c r="Y2576" s="82"/>
      <c r="Z2576" s="82"/>
      <c r="AA2576" s="82"/>
      <c r="AB2576" s="82"/>
      <c r="AC2576" s="82"/>
      <c r="AD2576" s="82"/>
      <c r="AE2576" s="82"/>
      <c r="AF2576" s="82"/>
      <c r="AG2576" s="82"/>
      <c r="AH2576" s="82"/>
      <c r="AI2576" s="82"/>
      <c r="AJ2576" s="82"/>
      <c r="AK2576" s="82"/>
      <c r="AL2576" s="82"/>
      <c r="AM2576" s="82"/>
      <c r="AN2576" s="82">
        <f>IFERROR(__xludf.DUMMYFUNCTION("""COMPUTED_VALUE"""),0.0)</f>
        <v>0</v>
      </c>
      <c r="AO2576" s="82">
        <f>IFERROR(__xludf.DUMMYFUNCTION("""COMPUTED_VALUE"""),0.0)</f>
        <v>0</v>
      </c>
      <c r="AP2576" s="82">
        <f>IFERROR(__xludf.DUMMYFUNCTION("""COMPUTED_VALUE"""),0.0)</f>
        <v>0</v>
      </c>
      <c r="AQ2576" s="82">
        <f>IFERROR(__xludf.DUMMYFUNCTION("""COMPUTED_VALUE"""),0.0)</f>
        <v>0</v>
      </c>
      <c r="AR2576" s="82">
        <f>IFERROR(__xludf.DUMMYFUNCTION("""COMPUTED_VALUE"""),0.0)</f>
        <v>0</v>
      </c>
      <c r="AS2576" s="82"/>
      <c r="AT2576" s="82">
        <f>IFERROR(__xludf.DUMMYFUNCTION("""COMPUTED_VALUE"""),0.0)</f>
        <v>0</v>
      </c>
      <c r="AU2576" s="82"/>
      <c r="AV2576" s="82"/>
      <c r="AW2576" s="82" t="str">
        <f t="shared" si="1"/>
        <v/>
      </c>
      <c r="AX2576" s="83" t="str">
        <f t="array" ref="AX2576">IFERROR(DGET('SBV Import'!A:G,"SBV",{"RSC ID","Tier";B2576,A2576}))</f>
        <v/>
      </c>
      <c r="AY2576" s="82" t="str">
        <f t="shared" si="2"/>
        <v/>
      </c>
      <c r="AZ2576" s="82"/>
      <c r="BA2576" s="84" t="s">
        <v>152</v>
      </c>
      <c r="BB2576" s="84" t="str">
        <f>IFERROR(__xludf.DUMMYFUNCTION("iferror(if(A2576="""",,E2576&gt;=FILTER(Constants!$F$2:$F$10,Constants!$A$2:$A$10=A2576)))"),"")</f>
        <v/>
      </c>
    </row>
    <row r="2577">
      <c r="A2577" s="89"/>
      <c r="B2577" s="87"/>
      <c r="C2577" s="73"/>
      <c r="D2577" s="73"/>
      <c r="E2577" s="82"/>
      <c r="F2577" s="82"/>
      <c r="G2577" s="86"/>
      <c r="H2577" s="86"/>
      <c r="I2577" s="86"/>
      <c r="J2577" s="82"/>
      <c r="K2577" s="82"/>
      <c r="L2577" s="82"/>
      <c r="M2577" s="82"/>
      <c r="N2577" s="82"/>
      <c r="O2577" s="82"/>
      <c r="P2577" s="82"/>
      <c r="Q2577" s="82"/>
      <c r="R2577" s="82"/>
      <c r="S2577" s="82"/>
      <c r="T2577" s="82"/>
      <c r="U2577" s="82"/>
      <c r="V2577" s="82"/>
      <c r="W2577" s="82"/>
      <c r="X2577" s="82"/>
      <c r="Y2577" s="82"/>
      <c r="Z2577" s="82"/>
      <c r="AA2577" s="82"/>
      <c r="AB2577" s="82"/>
      <c r="AC2577" s="82"/>
      <c r="AD2577" s="82"/>
      <c r="AE2577" s="82"/>
      <c r="AF2577" s="82"/>
      <c r="AG2577" s="82"/>
      <c r="AH2577" s="82"/>
      <c r="AI2577" s="82"/>
      <c r="AJ2577" s="82"/>
      <c r="AK2577" s="82"/>
      <c r="AL2577" s="82"/>
      <c r="AM2577" s="82"/>
      <c r="AN2577" s="82">
        <f>IFERROR(__xludf.DUMMYFUNCTION("""COMPUTED_VALUE"""),0.0)</f>
        <v>0</v>
      </c>
      <c r="AO2577" s="82">
        <f>IFERROR(__xludf.DUMMYFUNCTION("""COMPUTED_VALUE"""),0.0)</f>
        <v>0</v>
      </c>
      <c r="AP2577" s="82">
        <f>IFERROR(__xludf.DUMMYFUNCTION("""COMPUTED_VALUE"""),0.0)</f>
        <v>0</v>
      </c>
      <c r="AQ2577" s="82">
        <f>IFERROR(__xludf.DUMMYFUNCTION("""COMPUTED_VALUE"""),0.0)</f>
        <v>0</v>
      </c>
      <c r="AR2577" s="82">
        <f>IFERROR(__xludf.DUMMYFUNCTION("""COMPUTED_VALUE"""),0.0)</f>
        <v>0</v>
      </c>
      <c r="AS2577" s="82"/>
      <c r="AT2577" s="82">
        <f>IFERROR(__xludf.DUMMYFUNCTION("""COMPUTED_VALUE"""),0.0)</f>
        <v>0</v>
      </c>
      <c r="AU2577" s="82"/>
      <c r="AV2577" s="82"/>
      <c r="AW2577" s="82" t="str">
        <f t="shared" si="1"/>
        <v/>
      </c>
      <c r="AX2577" s="83" t="str">
        <f t="array" ref="AX2577">IFERROR(DGET('SBV Import'!A:G,"SBV",{"RSC ID","Tier";B2577,A2577}))</f>
        <v/>
      </c>
      <c r="AY2577" s="82" t="str">
        <f t="shared" si="2"/>
        <v/>
      </c>
      <c r="AZ2577" s="82"/>
      <c r="BA2577" s="84" t="s">
        <v>152</v>
      </c>
      <c r="BB2577" s="84" t="str">
        <f>IFERROR(__xludf.DUMMYFUNCTION("iferror(if(A2577="""",,E2577&gt;=FILTER(Constants!$F$2:$F$10,Constants!$A$2:$A$10=A2577)))"),"")</f>
        <v/>
      </c>
    </row>
    <row r="2578">
      <c r="A2578" s="89"/>
      <c r="B2578" s="87"/>
      <c r="C2578" s="73"/>
      <c r="D2578" s="73"/>
      <c r="E2578" s="82"/>
      <c r="F2578" s="82"/>
      <c r="G2578" s="86"/>
      <c r="H2578" s="86"/>
      <c r="I2578" s="86"/>
      <c r="J2578" s="82"/>
      <c r="K2578" s="82"/>
      <c r="L2578" s="82"/>
      <c r="M2578" s="82"/>
      <c r="N2578" s="82"/>
      <c r="O2578" s="82"/>
      <c r="P2578" s="82"/>
      <c r="Q2578" s="82"/>
      <c r="R2578" s="82"/>
      <c r="S2578" s="82"/>
      <c r="T2578" s="82"/>
      <c r="U2578" s="82"/>
      <c r="V2578" s="82"/>
      <c r="W2578" s="82"/>
      <c r="X2578" s="82"/>
      <c r="Y2578" s="82"/>
      <c r="Z2578" s="82"/>
      <c r="AA2578" s="82"/>
      <c r="AB2578" s="82"/>
      <c r="AC2578" s="82"/>
      <c r="AD2578" s="82"/>
      <c r="AE2578" s="82"/>
      <c r="AF2578" s="82"/>
      <c r="AG2578" s="82"/>
      <c r="AH2578" s="82"/>
      <c r="AI2578" s="82"/>
      <c r="AJ2578" s="82"/>
      <c r="AK2578" s="82"/>
      <c r="AL2578" s="82"/>
      <c r="AM2578" s="82"/>
      <c r="AN2578" s="82">
        <f>IFERROR(__xludf.DUMMYFUNCTION("""COMPUTED_VALUE"""),0.0)</f>
        <v>0</v>
      </c>
      <c r="AO2578" s="82">
        <f>IFERROR(__xludf.DUMMYFUNCTION("""COMPUTED_VALUE"""),0.0)</f>
        <v>0</v>
      </c>
      <c r="AP2578" s="82">
        <f>IFERROR(__xludf.DUMMYFUNCTION("""COMPUTED_VALUE"""),0.0)</f>
        <v>0</v>
      </c>
      <c r="AQ2578" s="82">
        <f>IFERROR(__xludf.DUMMYFUNCTION("""COMPUTED_VALUE"""),0.0)</f>
        <v>0</v>
      </c>
      <c r="AR2578" s="82">
        <f>IFERROR(__xludf.DUMMYFUNCTION("""COMPUTED_VALUE"""),0.0)</f>
        <v>0</v>
      </c>
      <c r="AS2578" s="82"/>
      <c r="AT2578" s="82">
        <f>IFERROR(__xludf.DUMMYFUNCTION("""COMPUTED_VALUE"""),0.0)</f>
        <v>0</v>
      </c>
      <c r="AU2578" s="82"/>
      <c r="AV2578" s="82"/>
      <c r="AW2578" s="82" t="str">
        <f t="shared" si="1"/>
        <v/>
      </c>
      <c r="AX2578" s="83" t="str">
        <f t="array" ref="AX2578">IFERROR(DGET('SBV Import'!A:G,"SBV",{"RSC ID","Tier";B2578,A2578}))</f>
        <v/>
      </c>
      <c r="AY2578" s="82" t="str">
        <f t="shared" si="2"/>
        <v/>
      </c>
      <c r="AZ2578" s="82"/>
      <c r="BA2578" s="84" t="s">
        <v>152</v>
      </c>
      <c r="BB2578" s="84" t="str">
        <f>IFERROR(__xludf.DUMMYFUNCTION("iferror(if(A2578="""",,E2578&gt;=FILTER(Constants!$F$2:$F$10,Constants!$A$2:$A$10=A2578)))"),"")</f>
        <v/>
      </c>
    </row>
    <row r="2579">
      <c r="A2579" s="89"/>
      <c r="B2579" s="87"/>
      <c r="C2579" s="73"/>
      <c r="D2579" s="73"/>
      <c r="E2579" s="82"/>
      <c r="F2579" s="82"/>
      <c r="G2579" s="86"/>
      <c r="H2579" s="86"/>
      <c r="I2579" s="86"/>
      <c r="J2579" s="82"/>
      <c r="K2579" s="82"/>
      <c r="L2579" s="82"/>
      <c r="M2579" s="82"/>
      <c r="N2579" s="82"/>
      <c r="O2579" s="82"/>
      <c r="P2579" s="82"/>
      <c r="Q2579" s="82"/>
      <c r="R2579" s="82"/>
      <c r="S2579" s="82"/>
      <c r="T2579" s="82"/>
      <c r="U2579" s="82"/>
      <c r="V2579" s="82"/>
      <c r="W2579" s="82"/>
      <c r="X2579" s="82"/>
      <c r="Y2579" s="82"/>
      <c r="Z2579" s="82"/>
      <c r="AA2579" s="82"/>
      <c r="AB2579" s="82"/>
      <c r="AC2579" s="82"/>
      <c r="AD2579" s="82"/>
      <c r="AE2579" s="82"/>
      <c r="AF2579" s="82"/>
      <c r="AG2579" s="82"/>
      <c r="AH2579" s="82"/>
      <c r="AI2579" s="82"/>
      <c r="AJ2579" s="82"/>
      <c r="AK2579" s="82"/>
      <c r="AL2579" s="82"/>
      <c r="AM2579" s="82"/>
      <c r="AN2579" s="82">
        <f>IFERROR(__xludf.DUMMYFUNCTION("""COMPUTED_VALUE"""),0.0)</f>
        <v>0</v>
      </c>
      <c r="AO2579" s="82">
        <f>IFERROR(__xludf.DUMMYFUNCTION("""COMPUTED_VALUE"""),0.0)</f>
        <v>0</v>
      </c>
      <c r="AP2579" s="82">
        <f>IFERROR(__xludf.DUMMYFUNCTION("""COMPUTED_VALUE"""),0.0)</f>
        <v>0</v>
      </c>
      <c r="AQ2579" s="82">
        <f>IFERROR(__xludf.DUMMYFUNCTION("""COMPUTED_VALUE"""),0.0)</f>
        <v>0</v>
      </c>
      <c r="AR2579" s="82">
        <f>IFERROR(__xludf.DUMMYFUNCTION("""COMPUTED_VALUE"""),0.0)</f>
        <v>0</v>
      </c>
      <c r="AS2579" s="82"/>
      <c r="AT2579" s="82">
        <f>IFERROR(__xludf.DUMMYFUNCTION("""COMPUTED_VALUE"""),0.0)</f>
        <v>0</v>
      </c>
      <c r="AU2579" s="82"/>
      <c r="AV2579" s="82"/>
      <c r="AW2579" s="82" t="str">
        <f t="shared" si="1"/>
        <v/>
      </c>
      <c r="AX2579" s="83" t="str">
        <f t="array" ref="AX2579">IFERROR(DGET('SBV Import'!A:G,"SBV",{"RSC ID","Tier";B2579,A2579}))</f>
        <v/>
      </c>
      <c r="AY2579" s="82" t="str">
        <f t="shared" si="2"/>
        <v/>
      </c>
      <c r="AZ2579" s="82"/>
      <c r="BA2579" s="84" t="s">
        <v>152</v>
      </c>
      <c r="BB2579" s="84" t="str">
        <f>IFERROR(__xludf.DUMMYFUNCTION("iferror(if(A2579="""",,E2579&gt;=FILTER(Constants!$F$2:$F$10,Constants!$A$2:$A$10=A2579)))"),"")</f>
        <v/>
      </c>
    </row>
    <row r="2580">
      <c r="A2580" s="89"/>
      <c r="B2580" s="87"/>
      <c r="C2580" s="73"/>
      <c r="D2580" s="73"/>
      <c r="E2580" s="82"/>
      <c r="F2580" s="82"/>
      <c r="G2580" s="86"/>
      <c r="H2580" s="86"/>
      <c r="I2580" s="86"/>
      <c r="J2580" s="82"/>
      <c r="K2580" s="82"/>
      <c r="L2580" s="82"/>
      <c r="M2580" s="82"/>
      <c r="N2580" s="82"/>
      <c r="O2580" s="82"/>
      <c r="P2580" s="82"/>
      <c r="Q2580" s="82"/>
      <c r="R2580" s="82"/>
      <c r="S2580" s="82"/>
      <c r="T2580" s="82"/>
      <c r="U2580" s="82"/>
      <c r="V2580" s="82"/>
      <c r="W2580" s="82"/>
      <c r="X2580" s="82"/>
      <c r="Y2580" s="82"/>
      <c r="Z2580" s="82"/>
      <c r="AA2580" s="82"/>
      <c r="AB2580" s="82"/>
      <c r="AC2580" s="82"/>
      <c r="AD2580" s="82"/>
      <c r="AE2580" s="82"/>
      <c r="AF2580" s="82"/>
      <c r="AG2580" s="82"/>
      <c r="AH2580" s="82"/>
      <c r="AI2580" s="82"/>
      <c r="AJ2580" s="82"/>
      <c r="AK2580" s="82"/>
      <c r="AL2580" s="82"/>
      <c r="AM2580" s="82"/>
      <c r="AN2580" s="82">
        <f>IFERROR(__xludf.DUMMYFUNCTION("""COMPUTED_VALUE"""),0.0)</f>
        <v>0</v>
      </c>
      <c r="AO2580" s="82">
        <f>IFERROR(__xludf.DUMMYFUNCTION("""COMPUTED_VALUE"""),0.0)</f>
        <v>0</v>
      </c>
      <c r="AP2580" s="82">
        <f>IFERROR(__xludf.DUMMYFUNCTION("""COMPUTED_VALUE"""),0.0)</f>
        <v>0</v>
      </c>
      <c r="AQ2580" s="82">
        <f>IFERROR(__xludf.DUMMYFUNCTION("""COMPUTED_VALUE"""),0.0)</f>
        <v>0</v>
      </c>
      <c r="AR2580" s="82">
        <f>IFERROR(__xludf.DUMMYFUNCTION("""COMPUTED_VALUE"""),0.0)</f>
        <v>0</v>
      </c>
      <c r="AS2580" s="82"/>
      <c r="AT2580" s="82">
        <f>IFERROR(__xludf.DUMMYFUNCTION("""COMPUTED_VALUE"""),0.0)</f>
        <v>0</v>
      </c>
      <c r="AU2580" s="82"/>
      <c r="AV2580" s="82"/>
      <c r="AW2580" s="82" t="str">
        <f t="shared" si="1"/>
        <v/>
      </c>
      <c r="AX2580" s="83" t="str">
        <f t="array" ref="AX2580">IFERROR(DGET('SBV Import'!A:G,"SBV",{"RSC ID","Tier";B2580,A2580}))</f>
        <v/>
      </c>
      <c r="AY2580" s="82" t="str">
        <f t="shared" si="2"/>
        <v/>
      </c>
      <c r="AZ2580" s="82"/>
      <c r="BA2580" s="84" t="s">
        <v>152</v>
      </c>
      <c r="BB2580" s="84" t="str">
        <f>IFERROR(__xludf.DUMMYFUNCTION("iferror(if(A2580="""",,E2580&gt;=FILTER(Constants!$F$2:$F$10,Constants!$A$2:$A$10=A2580)))"),"")</f>
        <v/>
      </c>
    </row>
    <row r="2581">
      <c r="A2581" s="89"/>
      <c r="B2581" s="87"/>
      <c r="C2581" s="73"/>
      <c r="D2581" s="73"/>
      <c r="E2581" s="82"/>
      <c r="F2581" s="82"/>
      <c r="G2581" s="86"/>
      <c r="H2581" s="86"/>
      <c r="I2581" s="86"/>
      <c r="J2581" s="82"/>
      <c r="K2581" s="82"/>
      <c r="L2581" s="82"/>
      <c r="M2581" s="82"/>
      <c r="N2581" s="82"/>
      <c r="O2581" s="82"/>
      <c r="P2581" s="82"/>
      <c r="Q2581" s="82"/>
      <c r="R2581" s="82"/>
      <c r="S2581" s="82"/>
      <c r="T2581" s="82"/>
      <c r="U2581" s="82"/>
      <c r="V2581" s="82"/>
      <c r="W2581" s="82"/>
      <c r="X2581" s="82"/>
      <c r="Y2581" s="82"/>
      <c r="Z2581" s="82"/>
      <c r="AA2581" s="82"/>
      <c r="AB2581" s="82"/>
      <c r="AC2581" s="82"/>
      <c r="AD2581" s="82"/>
      <c r="AE2581" s="82"/>
      <c r="AF2581" s="82"/>
      <c r="AG2581" s="82"/>
      <c r="AH2581" s="82"/>
      <c r="AI2581" s="82"/>
      <c r="AJ2581" s="82"/>
      <c r="AK2581" s="82"/>
      <c r="AL2581" s="82"/>
      <c r="AM2581" s="82"/>
      <c r="AN2581" s="82">
        <f>IFERROR(__xludf.DUMMYFUNCTION("""COMPUTED_VALUE"""),0.0)</f>
        <v>0</v>
      </c>
      <c r="AO2581" s="82">
        <f>IFERROR(__xludf.DUMMYFUNCTION("""COMPUTED_VALUE"""),0.0)</f>
        <v>0</v>
      </c>
      <c r="AP2581" s="82">
        <f>IFERROR(__xludf.DUMMYFUNCTION("""COMPUTED_VALUE"""),0.0)</f>
        <v>0</v>
      </c>
      <c r="AQ2581" s="82">
        <f>IFERROR(__xludf.DUMMYFUNCTION("""COMPUTED_VALUE"""),0.0)</f>
        <v>0</v>
      </c>
      <c r="AR2581" s="82">
        <f>IFERROR(__xludf.DUMMYFUNCTION("""COMPUTED_VALUE"""),0.0)</f>
        <v>0</v>
      </c>
      <c r="AS2581" s="82"/>
      <c r="AT2581" s="82">
        <f>IFERROR(__xludf.DUMMYFUNCTION("""COMPUTED_VALUE"""),0.0)</f>
        <v>0</v>
      </c>
      <c r="AU2581" s="82"/>
      <c r="AV2581" s="82"/>
      <c r="AW2581" s="82" t="str">
        <f t="shared" si="1"/>
        <v/>
      </c>
      <c r="AX2581" s="83" t="str">
        <f t="array" ref="AX2581">IFERROR(DGET('SBV Import'!A:G,"SBV",{"RSC ID","Tier";B2581,A2581}))</f>
        <v/>
      </c>
      <c r="AY2581" s="82" t="str">
        <f t="shared" si="2"/>
        <v/>
      </c>
      <c r="AZ2581" s="82"/>
      <c r="BA2581" s="84" t="s">
        <v>152</v>
      </c>
      <c r="BB2581" s="84" t="str">
        <f>IFERROR(__xludf.DUMMYFUNCTION("iferror(if(A2581="""",,E2581&gt;=FILTER(Constants!$F$2:$F$10,Constants!$A$2:$A$10=A2581)))"),"")</f>
        <v/>
      </c>
    </row>
    <row r="2582">
      <c r="A2582" s="89"/>
      <c r="B2582" s="87"/>
      <c r="C2582" s="73"/>
      <c r="D2582" s="73"/>
      <c r="E2582" s="82"/>
      <c r="F2582" s="82"/>
      <c r="G2582" s="86"/>
      <c r="H2582" s="86"/>
      <c r="I2582" s="86"/>
      <c r="J2582" s="82"/>
      <c r="K2582" s="82"/>
      <c r="L2582" s="82"/>
      <c r="M2582" s="82"/>
      <c r="N2582" s="82"/>
      <c r="O2582" s="82"/>
      <c r="P2582" s="82"/>
      <c r="Q2582" s="82"/>
      <c r="R2582" s="82"/>
      <c r="S2582" s="82"/>
      <c r="T2582" s="82"/>
      <c r="U2582" s="82"/>
      <c r="V2582" s="82"/>
      <c r="W2582" s="82"/>
      <c r="X2582" s="82"/>
      <c r="Y2582" s="82"/>
      <c r="Z2582" s="82"/>
      <c r="AA2582" s="82"/>
      <c r="AB2582" s="82"/>
      <c r="AC2582" s="82"/>
      <c r="AD2582" s="82"/>
      <c r="AE2582" s="82"/>
      <c r="AF2582" s="82"/>
      <c r="AG2582" s="82"/>
      <c r="AH2582" s="82"/>
      <c r="AI2582" s="82"/>
      <c r="AJ2582" s="82"/>
      <c r="AK2582" s="82"/>
      <c r="AL2582" s="82"/>
      <c r="AM2582" s="82"/>
      <c r="AN2582" s="82">
        <f>IFERROR(__xludf.DUMMYFUNCTION("""COMPUTED_VALUE"""),0.0)</f>
        <v>0</v>
      </c>
      <c r="AO2582" s="82">
        <f>IFERROR(__xludf.DUMMYFUNCTION("""COMPUTED_VALUE"""),0.0)</f>
        <v>0</v>
      </c>
      <c r="AP2582" s="82">
        <f>IFERROR(__xludf.DUMMYFUNCTION("""COMPUTED_VALUE"""),0.0)</f>
        <v>0</v>
      </c>
      <c r="AQ2582" s="82">
        <f>IFERROR(__xludf.DUMMYFUNCTION("""COMPUTED_VALUE"""),0.0)</f>
        <v>0</v>
      </c>
      <c r="AR2582" s="82">
        <f>IFERROR(__xludf.DUMMYFUNCTION("""COMPUTED_VALUE"""),0.0)</f>
        <v>0</v>
      </c>
      <c r="AS2582" s="82"/>
      <c r="AT2582" s="82">
        <f>IFERROR(__xludf.DUMMYFUNCTION("""COMPUTED_VALUE"""),0.0)</f>
        <v>0</v>
      </c>
      <c r="AU2582" s="82"/>
      <c r="AV2582" s="82"/>
      <c r="AW2582" s="82" t="str">
        <f t="shared" si="1"/>
        <v/>
      </c>
      <c r="AX2582" s="83" t="str">
        <f t="array" ref="AX2582">IFERROR(DGET('SBV Import'!A:G,"SBV",{"RSC ID","Tier";B2582,A2582}))</f>
        <v/>
      </c>
      <c r="AY2582" s="82" t="str">
        <f t="shared" si="2"/>
        <v/>
      </c>
      <c r="AZ2582" s="82"/>
      <c r="BA2582" s="84" t="s">
        <v>152</v>
      </c>
      <c r="BB2582" s="84" t="str">
        <f>IFERROR(__xludf.DUMMYFUNCTION("iferror(if(A2582="""",,E2582&gt;=FILTER(Constants!$F$2:$F$10,Constants!$A$2:$A$10=A2582)))"),"")</f>
        <v/>
      </c>
    </row>
    <row r="2583">
      <c r="A2583" s="89"/>
      <c r="B2583" s="87"/>
      <c r="C2583" s="73"/>
      <c r="D2583" s="73"/>
      <c r="E2583" s="82"/>
      <c r="F2583" s="82"/>
      <c r="G2583" s="86"/>
      <c r="H2583" s="86"/>
      <c r="I2583" s="86"/>
      <c r="J2583" s="82"/>
      <c r="K2583" s="82"/>
      <c r="L2583" s="82"/>
      <c r="M2583" s="82"/>
      <c r="N2583" s="82"/>
      <c r="O2583" s="82"/>
      <c r="P2583" s="82"/>
      <c r="Q2583" s="82"/>
      <c r="R2583" s="82"/>
      <c r="S2583" s="82"/>
      <c r="T2583" s="82"/>
      <c r="U2583" s="82"/>
      <c r="V2583" s="82"/>
      <c r="W2583" s="82"/>
      <c r="X2583" s="82"/>
      <c r="Y2583" s="82"/>
      <c r="Z2583" s="82"/>
      <c r="AA2583" s="82"/>
      <c r="AB2583" s="82"/>
      <c r="AC2583" s="82"/>
      <c r="AD2583" s="82"/>
      <c r="AE2583" s="82"/>
      <c r="AF2583" s="82"/>
      <c r="AG2583" s="82"/>
      <c r="AH2583" s="82"/>
      <c r="AI2583" s="82"/>
      <c r="AJ2583" s="82"/>
      <c r="AK2583" s="82"/>
      <c r="AL2583" s="82"/>
      <c r="AM2583" s="82"/>
      <c r="AN2583" s="82">
        <f>IFERROR(__xludf.DUMMYFUNCTION("""COMPUTED_VALUE"""),0.0)</f>
        <v>0</v>
      </c>
      <c r="AO2583" s="82">
        <f>IFERROR(__xludf.DUMMYFUNCTION("""COMPUTED_VALUE"""),0.0)</f>
        <v>0</v>
      </c>
      <c r="AP2583" s="82">
        <f>IFERROR(__xludf.DUMMYFUNCTION("""COMPUTED_VALUE"""),0.0)</f>
        <v>0</v>
      </c>
      <c r="AQ2583" s="82">
        <f>IFERROR(__xludf.DUMMYFUNCTION("""COMPUTED_VALUE"""),0.0)</f>
        <v>0</v>
      </c>
      <c r="AR2583" s="82">
        <f>IFERROR(__xludf.DUMMYFUNCTION("""COMPUTED_VALUE"""),0.0)</f>
        <v>0</v>
      </c>
      <c r="AS2583" s="82"/>
      <c r="AT2583" s="82">
        <f>IFERROR(__xludf.DUMMYFUNCTION("""COMPUTED_VALUE"""),0.0)</f>
        <v>0</v>
      </c>
      <c r="AU2583" s="82"/>
      <c r="AV2583" s="82"/>
      <c r="AW2583" s="82" t="str">
        <f t="shared" si="1"/>
        <v/>
      </c>
      <c r="AX2583" s="83" t="str">
        <f t="array" ref="AX2583">IFERROR(DGET('SBV Import'!A:G,"SBV",{"RSC ID","Tier";B2583,A2583}))</f>
        <v/>
      </c>
      <c r="AY2583" s="82" t="str">
        <f t="shared" si="2"/>
        <v/>
      </c>
      <c r="AZ2583" s="82"/>
      <c r="BA2583" s="84" t="s">
        <v>152</v>
      </c>
      <c r="BB2583" s="84" t="str">
        <f>IFERROR(__xludf.DUMMYFUNCTION("iferror(if(A2583="""",,E2583&gt;=FILTER(Constants!$F$2:$F$10,Constants!$A$2:$A$10=A2583)))"),"")</f>
        <v/>
      </c>
    </row>
    <row r="2584">
      <c r="A2584" s="89"/>
      <c r="B2584" s="87"/>
      <c r="C2584" s="73"/>
      <c r="D2584" s="73"/>
      <c r="E2584" s="82"/>
      <c r="F2584" s="82"/>
      <c r="G2584" s="86"/>
      <c r="H2584" s="86"/>
      <c r="I2584" s="86"/>
      <c r="J2584" s="82"/>
      <c r="K2584" s="82"/>
      <c r="L2584" s="82"/>
      <c r="M2584" s="82"/>
      <c r="N2584" s="82"/>
      <c r="O2584" s="82"/>
      <c r="P2584" s="82"/>
      <c r="Q2584" s="82"/>
      <c r="R2584" s="82"/>
      <c r="S2584" s="82"/>
      <c r="T2584" s="82"/>
      <c r="U2584" s="82"/>
      <c r="V2584" s="82"/>
      <c r="W2584" s="82"/>
      <c r="X2584" s="82"/>
      <c r="Y2584" s="82"/>
      <c r="Z2584" s="82"/>
      <c r="AA2584" s="82"/>
      <c r="AB2584" s="82"/>
      <c r="AC2584" s="82"/>
      <c r="AD2584" s="82"/>
      <c r="AE2584" s="82"/>
      <c r="AF2584" s="82"/>
      <c r="AG2584" s="82"/>
      <c r="AH2584" s="82"/>
      <c r="AI2584" s="82"/>
      <c r="AJ2584" s="82"/>
      <c r="AK2584" s="82"/>
      <c r="AL2584" s="82"/>
      <c r="AM2584" s="82"/>
      <c r="AN2584" s="82">
        <f>IFERROR(__xludf.DUMMYFUNCTION("""COMPUTED_VALUE"""),0.0)</f>
        <v>0</v>
      </c>
      <c r="AO2584" s="82">
        <f>IFERROR(__xludf.DUMMYFUNCTION("""COMPUTED_VALUE"""),0.0)</f>
        <v>0</v>
      </c>
      <c r="AP2584" s="82">
        <f>IFERROR(__xludf.DUMMYFUNCTION("""COMPUTED_VALUE"""),0.0)</f>
        <v>0</v>
      </c>
      <c r="AQ2584" s="82">
        <f>IFERROR(__xludf.DUMMYFUNCTION("""COMPUTED_VALUE"""),0.0)</f>
        <v>0</v>
      </c>
      <c r="AR2584" s="82">
        <f>IFERROR(__xludf.DUMMYFUNCTION("""COMPUTED_VALUE"""),0.0)</f>
        <v>0</v>
      </c>
      <c r="AS2584" s="82"/>
      <c r="AT2584" s="82">
        <f>IFERROR(__xludf.DUMMYFUNCTION("""COMPUTED_VALUE"""),0.0)</f>
        <v>0</v>
      </c>
      <c r="AU2584" s="82"/>
      <c r="AV2584" s="82"/>
      <c r="AW2584" s="82" t="str">
        <f t="shared" si="1"/>
        <v/>
      </c>
      <c r="AX2584" s="83" t="str">
        <f t="array" ref="AX2584">IFERROR(DGET('SBV Import'!A:G,"SBV",{"RSC ID","Tier";B2584,A2584}))</f>
        <v/>
      </c>
      <c r="AY2584" s="82" t="str">
        <f t="shared" si="2"/>
        <v/>
      </c>
      <c r="AZ2584" s="82"/>
      <c r="BA2584" s="84" t="s">
        <v>152</v>
      </c>
      <c r="BB2584" s="84" t="str">
        <f>IFERROR(__xludf.DUMMYFUNCTION("iferror(if(A2584="""",,E2584&gt;=FILTER(Constants!$F$2:$F$10,Constants!$A$2:$A$10=A2584)))"),"")</f>
        <v/>
      </c>
    </row>
    <row r="2585">
      <c r="A2585" s="89"/>
      <c r="B2585" s="87"/>
      <c r="C2585" s="73"/>
      <c r="D2585" s="73"/>
      <c r="E2585" s="82"/>
      <c r="F2585" s="82"/>
      <c r="G2585" s="86"/>
      <c r="H2585" s="86"/>
      <c r="I2585" s="86"/>
      <c r="J2585" s="82"/>
      <c r="K2585" s="82"/>
      <c r="L2585" s="82"/>
      <c r="M2585" s="82"/>
      <c r="N2585" s="82"/>
      <c r="O2585" s="82"/>
      <c r="P2585" s="82"/>
      <c r="Q2585" s="82"/>
      <c r="R2585" s="82"/>
      <c r="S2585" s="82"/>
      <c r="T2585" s="82"/>
      <c r="U2585" s="82"/>
      <c r="V2585" s="82"/>
      <c r="W2585" s="82"/>
      <c r="X2585" s="82"/>
      <c r="Y2585" s="82"/>
      <c r="Z2585" s="82"/>
      <c r="AA2585" s="82"/>
      <c r="AB2585" s="82"/>
      <c r="AC2585" s="82"/>
      <c r="AD2585" s="82"/>
      <c r="AE2585" s="82"/>
      <c r="AF2585" s="82"/>
      <c r="AG2585" s="82"/>
      <c r="AH2585" s="82"/>
      <c r="AI2585" s="82"/>
      <c r="AJ2585" s="82"/>
      <c r="AK2585" s="82"/>
      <c r="AL2585" s="82"/>
      <c r="AM2585" s="82"/>
      <c r="AN2585" s="82">
        <f>IFERROR(__xludf.DUMMYFUNCTION("""COMPUTED_VALUE"""),0.0)</f>
        <v>0</v>
      </c>
      <c r="AO2585" s="82">
        <f>IFERROR(__xludf.DUMMYFUNCTION("""COMPUTED_VALUE"""),0.0)</f>
        <v>0</v>
      </c>
      <c r="AP2585" s="82">
        <f>IFERROR(__xludf.DUMMYFUNCTION("""COMPUTED_VALUE"""),0.0)</f>
        <v>0</v>
      </c>
      <c r="AQ2585" s="82">
        <f>IFERROR(__xludf.DUMMYFUNCTION("""COMPUTED_VALUE"""),0.0)</f>
        <v>0</v>
      </c>
      <c r="AR2585" s="82">
        <f>IFERROR(__xludf.DUMMYFUNCTION("""COMPUTED_VALUE"""),0.0)</f>
        <v>0</v>
      </c>
      <c r="AS2585" s="82"/>
      <c r="AT2585" s="82">
        <f>IFERROR(__xludf.DUMMYFUNCTION("""COMPUTED_VALUE"""),0.0)</f>
        <v>0</v>
      </c>
      <c r="AU2585" s="82"/>
      <c r="AV2585" s="82"/>
      <c r="AW2585" s="82" t="str">
        <f t="shared" si="1"/>
        <v/>
      </c>
      <c r="AX2585" s="83" t="str">
        <f t="array" ref="AX2585">IFERROR(DGET('SBV Import'!A:G,"SBV",{"RSC ID","Tier";B2585,A2585}))</f>
        <v/>
      </c>
      <c r="AY2585" s="82" t="str">
        <f t="shared" si="2"/>
        <v/>
      </c>
      <c r="AZ2585" s="82"/>
      <c r="BA2585" s="84" t="s">
        <v>152</v>
      </c>
      <c r="BB2585" s="84" t="str">
        <f>IFERROR(__xludf.DUMMYFUNCTION("iferror(if(A2585="""",,E2585&gt;=FILTER(Constants!$F$2:$F$10,Constants!$A$2:$A$10=A2585)))"),"")</f>
        <v/>
      </c>
    </row>
    <row r="2586">
      <c r="A2586" s="89"/>
      <c r="B2586" s="87"/>
      <c r="C2586" s="73"/>
      <c r="D2586" s="73"/>
      <c r="E2586" s="82"/>
      <c r="F2586" s="82"/>
      <c r="G2586" s="86"/>
      <c r="H2586" s="86"/>
      <c r="I2586" s="86"/>
      <c r="J2586" s="82"/>
      <c r="K2586" s="82"/>
      <c r="L2586" s="82"/>
      <c r="M2586" s="82"/>
      <c r="N2586" s="82"/>
      <c r="O2586" s="82"/>
      <c r="P2586" s="82"/>
      <c r="Q2586" s="82"/>
      <c r="R2586" s="82"/>
      <c r="S2586" s="82"/>
      <c r="T2586" s="82"/>
      <c r="U2586" s="82"/>
      <c r="V2586" s="82"/>
      <c r="W2586" s="82"/>
      <c r="X2586" s="82"/>
      <c r="Y2586" s="82"/>
      <c r="Z2586" s="82"/>
      <c r="AA2586" s="82"/>
      <c r="AB2586" s="82"/>
      <c r="AC2586" s="82"/>
      <c r="AD2586" s="82"/>
      <c r="AE2586" s="82"/>
      <c r="AF2586" s="82"/>
      <c r="AG2586" s="82"/>
      <c r="AH2586" s="82"/>
      <c r="AI2586" s="82"/>
      <c r="AJ2586" s="82"/>
      <c r="AK2586" s="82"/>
      <c r="AL2586" s="82"/>
      <c r="AM2586" s="82"/>
      <c r="AN2586" s="82">
        <f>IFERROR(__xludf.DUMMYFUNCTION("""COMPUTED_VALUE"""),0.0)</f>
        <v>0</v>
      </c>
      <c r="AO2586" s="82">
        <f>IFERROR(__xludf.DUMMYFUNCTION("""COMPUTED_VALUE"""),0.0)</f>
        <v>0</v>
      </c>
      <c r="AP2586" s="82">
        <f>IFERROR(__xludf.DUMMYFUNCTION("""COMPUTED_VALUE"""),0.0)</f>
        <v>0</v>
      </c>
      <c r="AQ2586" s="82">
        <f>IFERROR(__xludf.DUMMYFUNCTION("""COMPUTED_VALUE"""),0.0)</f>
        <v>0</v>
      </c>
      <c r="AR2586" s="82">
        <f>IFERROR(__xludf.DUMMYFUNCTION("""COMPUTED_VALUE"""),0.0)</f>
        <v>0</v>
      </c>
      <c r="AS2586" s="82"/>
      <c r="AT2586" s="82">
        <f>IFERROR(__xludf.DUMMYFUNCTION("""COMPUTED_VALUE"""),0.0)</f>
        <v>0</v>
      </c>
      <c r="AU2586" s="82"/>
      <c r="AV2586" s="82"/>
      <c r="AW2586" s="82" t="str">
        <f t="shared" si="1"/>
        <v/>
      </c>
      <c r="AX2586" s="83" t="str">
        <f t="array" ref="AX2586">IFERROR(DGET('SBV Import'!A:G,"SBV",{"RSC ID","Tier";B2586,A2586}))</f>
        <v/>
      </c>
      <c r="AY2586" s="82" t="str">
        <f t="shared" si="2"/>
        <v/>
      </c>
      <c r="AZ2586" s="82"/>
      <c r="BA2586" s="84" t="s">
        <v>152</v>
      </c>
      <c r="BB2586" s="84" t="str">
        <f>IFERROR(__xludf.DUMMYFUNCTION("iferror(if(A2586="""",,E2586&gt;=FILTER(Constants!$F$2:$F$10,Constants!$A$2:$A$10=A2586)))"),"")</f>
        <v/>
      </c>
    </row>
    <row r="2587">
      <c r="A2587" s="89"/>
      <c r="B2587" s="87"/>
      <c r="C2587" s="73"/>
      <c r="D2587" s="73"/>
      <c r="E2587" s="82"/>
      <c r="F2587" s="82"/>
      <c r="G2587" s="86"/>
      <c r="H2587" s="86"/>
      <c r="I2587" s="86"/>
      <c r="J2587" s="82"/>
      <c r="K2587" s="82"/>
      <c r="L2587" s="82"/>
      <c r="M2587" s="82"/>
      <c r="N2587" s="82"/>
      <c r="O2587" s="82"/>
      <c r="P2587" s="82"/>
      <c r="Q2587" s="82"/>
      <c r="R2587" s="82"/>
      <c r="S2587" s="82"/>
      <c r="T2587" s="82"/>
      <c r="U2587" s="82"/>
      <c r="V2587" s="82"/>
      <c r="W2587" s="82"/>
      <c r="X2587" s="82"/>
      <c r="Y2587" s="82"/>
      <c r="Z2587" s="82"/>
      <c r="AA2587" s="82"/>
      <c r="AB2587" s="82"/>
      <c r="AC2587" s="82"/>
      <c r="AD2587" s="82"/>
      <c r="AE2587" s="82"/>
      <c r="AF2587" s="82"/>
      <c r="AG2587" s="82"/>
      <c r="AH2587" s="82"/>
      <c r="AI2587" s="82"/>
      <c r="AJ2587" s="82"/>
      <c r="AK2587" s="82"/>
      <c r="AL2587" s="82"/>
      <c r="AM2587" s="82"/>
      <c r="AN2587" s="82">
        <f>IFERROR(__xludf.DUMMYFUNCTION("""COMPUTED_VALUE"""),0.0)</f>
        <v>0</v>
      </c>
      <c r="AO2587" s="82">
        <f>IFERROR(__xludf.DUMMYFUNCTION("""COMPUTED_VALUE"""),0.0)</f>
        <v>0</v>
      </c>
      <c r="AP2587" s="82">
        <f>IFERROR(__xludf.DUMMYFUNCTION("""COMPUTED_VALUE"""),0.0)</f>
        <v>0</v>
      </c>
      <c r="AQ2587" s="82">
        <f>IFERROR(__xludf.DUMMYFUNCTION("""COMPUTED_VALUE"""),0.0)</f>
        <v>0</v>
      </c>
      <c r="AR2587" s="82">
        <f>IFERROR(__xludf.DUMMYFUNCTION("""COMPUTED_VALUE"""),0.0)</f>
        <v>0</v>
      </c>
      <c r="AS2587" s="82"/>
      <c r="AT2587" s="82">
        <f>IFERROR(__xludf.DUMMYFUNCTION("""COMPUTED_VALUE"""),0.0)</f>
        <v>0</v>
      </c>
      <c r="AU2587" s="82"/>
      <c r="AV2587" s="82"/>
      <c r="AW2587" s="82" t="str">
        <f t="shared" si="1"/>
        <v/>
      </c>
      <c r="AX2587" s="83" t="str">
        <f t="array" ref="AX2587">IFERROR(DGET('SBV Import'!A:G,"SBV",{"RSC ID","Tier";B2587,A2587}))</f>
        <v/>
      </c>
      <c r="AY2587" s="82" t="str">
        <f t="shared" si="2"/>
        <v/>
      </c>
      <c r="AZ2587" s="82"/>
      <c r="BA2587" s="84" t="s">
        <v>152</v>
      </c>
      <c r="BB2587" s="84" t="str">
        <f>IFERROR(__xludf.DUMMYFUNCTION("iferror(if(A2587="""",,E2587&gt;=FILTER(Constants!$F$2:$F$10,Constants!$A$2:$A$10=A2587)))"),"")</f>
        <v/>
      </c>
    </row>
    <row r="2588">
      <c r="A2588" s="89"/>
      <c r="B2588" s="87"/>
      <c r="C2588" s="73"/>
      <c r="D2588" s="73"/>
      <c r="E2588" s="82"/>
      <c r="F2588" s="82"/>
      <c r="G2588" s="86"/>
      <c r="H2588" s="86"/>
      <c r="I2588" s="86"/>
      <c r="J2588" s="82"/>
      <c r="K2588" s="82"/>
      <c r="L2588" s="82"/>
      <c r="M2588" s="82"/>
      <c r="N2588" s="82"/>
      <c r="O2588" s="82"/>
      <c r="P2588" s="82"/>
      <c r="Q2588" s="82"/>
      <c r="R2588" s="82"/>
      <c r="S2588" s="82"/>
      <c r="T2588" s="82"/>
      <c r="U2588" s="82"/>
      <c r="V2588" s="82"/>
      <c r="W2588" s="82"/>
      <c r="X2588" s="82"/>
      <c r="Y2588" s="82"/>
      <c r="Z2588" s="82"/>
      <c r="AA2588" s="82"/>
      <c r="AB2588" s="82"/>
      <c r="AC2588" s="82"/>
      <c r="AD2588" s="82"/>
      <c r="AE2588" s="82"/>
      <c r="AF2588" s="82"/>
      <c r="AG2588" s="82"/>
      <c r="AH2588" s="82"/>
      <c r="AI2588" s="82"/>
      <c r="AJ2588" s="82"/>
      <c r="AK2588" s="82"/>
      <c r="AL2588" s="82"/>
      <c r="AM2588" s="82"/>
      <c r="AN2588" s="82">
        <f>IFERROR(__xludf.DUMMYFUNCTION("""COMPUTED_VALUE"""),0.0)</f>
        <v>0</v>
      </c>
      <c r="AO2588" s="82">
        <f>IFERROR(__xludf.DUMMYFUNCTION("""COMPUTED_VALUE"""),0.0)</f>
        <v>0</v>
      </c>
      <c r="AP2588" s="82">
        <f>IFERROR(__xludf.DUMMYFUNCTION("""COMPUTED_VALUE"""),0.0)</f>
        <v>0</v>
      </c>
      <c r="AQ2588" s="82">
        <f>IFERROR(__xludf.DUMMYFUNCTION("""COMPUTED_VALUE"""),0.0)</f>
        <v>0</v>
      </c>
      <c r="AR2588" s="82">
        <f>IFERROR(__xludf.DUMMYFUNCTION("""COMPUTED_VALUE"""),0.0)</f>
        <v>0</v>
      </c>
      <c r="AS2588" s="82"/>
      <c r="AT2588" s="82">
        <f>IFERROR(__xludf.DUMMYFUNCTION("""COMPUTED_VALUE"""),0.0)</f>
        <v>0</v>
      </c>
      <c r="AU2588" s="82"/>
      <c r="AV2588" s="82"/>
      <c r="AW2588" s="82" t="str">
        <f t="shared" si="1"/>
        <v/>
      </c>
      <c r="AX2588" s="83" t="str">
        <f t="array" ref="AX2588">IFERROR(DGET('SBV Import'!A:G,"SBV",{"RSC ID","Tier";B2588,A2588}))</f>
        <v/>
      </c>
      <c r="AY2588" s="82" t="str">
        <f t="shared" si="2"/>
        <v/>
      </c>
      <c r="AZ2588" s="82"/>
      <c r="BA2588" s="84" t="s">
        <v>152</v>
      </c>
      <c r="BB2588" s="84" t="str">
        <f>IFERROR(__xludf.DUMMYFUNCTION("iferror(if(A2588="""",,E2588&gt;=FILTER(Constants!$F$2:$F$10,Constants!$A$2:$A$10=A2588)))"),"")</f>
        <v/>
      </c>
    </row>
    <row r="2589">
      <c r="A2589" s="89"/>
      <c r="B2589" s="87"/>
      <c r="C2589" s="73"/>
      <c r="D2589" s="73"/>
      <c r="E2589" s="82"/>
      <c r="F2589" s="82"/>
      <c r="G2589" s="86"/>
      <c r="H2589" s="86"/>
      <c r="I2589" s="86"/>
      <c r="J2589" s="82"/>
      <c r="K2589" s="82"/>
      <c r="L2589" s="82"/>
      <c r="M2589" s="82"/>
      <c r="N2589" s="82"/>
      <c r="O2589" s="82"/>
      <c r="P2589" s="82"/>
      <c r="Q2589" s="82"/>
      <c r="R2589" s="82"/>
      <c r="S2589" s="82"/>
      <c r="T2589" s="82"/>
      <c r="U2589" s="82"/>
      <c r="V2589" s="82"/>
      <c r="W2589" s="82"/>
      <c r="X2589" s="82"/>
      <c r="Y2589" s="82"/>
      <c r="Z2589" s="82"/>
      <c r="AA2589" s="82"/>
      <c r="AB2589" s="82"/>
      <c r="AC2589" s="82"/>
      <c r="AD2589" s="82"/>
      <c r="AE2589" s="82"/>
      <c r="AF2589" s="82"/>
      <c r="AG2589" s="82"/>
      <c r="AH2589" s="82"/>
      <c r="AI2589" s="82"/>
      <c r="AJ2589" s="82"/>
      <c r="AK2589" s="82"/>
      <c r="AL2589" s="82"/>
      <c r="AM2589" s="82"/>
      <c r="AN2589" s="82">
        <f>IFERROR(__xludf.DUMMYFUNCTION("""COMPUTED_VALUE"""),0.0)</f>
        <v>0</v>
      </c>
      <c r="AO2589" s="82">
        <f>IFERROR(__xludf.DUMMYFUNCTION("""COMPUTED_VALUE"""),0.0)</f>
        <v>0</v>
      </c>
      <c r="AP2589" s="82">
        <f>IFERROR(__xludf.DUMMYFUNCTION("""COMPUTED_VALUE"""),0.0)</f>
        <v>0</v>
      </c>
      <c r="AQ2589" s="82">
        <f>IFERROR(__xludf.DUMMYFUNCTION("""COMPUTED_VALUE"""),0.0)</f>
        <v>0</v>
      </c>
      <c r="AR2589" s="82">
        <f>IFERROR(__xludf.DUMMYFUNCTION("""COMPUTED_VALUE"""),0.0)</f>
        <v>0</v>
      </c>
      <c r="AS2589" s="82"/>
      <c r="AT2589" s="82">
        <f>IFERROR(__xludf.DUMMYFUNCTION("""COMPUTED_VALUE"""),0.0)</f>
        <v>0</v>
      </c>
      <c r="AU2589" s="82"/>
      <c r="AV2589" s="82"/>
      <c r="AW2589" s="82" t="str">
        <f t="shared" si="1"/>
        <v/>
      </c>
      <c r="AX2589" s="83" t="str">
        <f t="array" ref="AX2589">IFERROR(DGET('SBV Import'!A:G,"SBV",{"RSC ID","Tier";B2589,A2589}))</f>
        <v/>
      </c>
      <c r="AY2589" s="82" t="str">
        <f t="shared" si="2"/>
        <v/>
      </c>
      <c r="AZ2589" s="82"/>
      <c r="BA2589" s="84" t="s">
        <v>152</v>
      </c>
      <c r="BB2589" s="84" t="str">
        <f>IFERROR(__xludf.DUMMYFUNCTION("iferror(if(A2589="""",,E2589&gt;=FILTER(Constants!$F$2:$F$10,Constants!$A$2:$A$10=A2589)))"),"")</f>
        <v/>
      </c>
    </row>
    <row r="2590">
      <c r="A2590" s="89"/>
      <c r="B2590" s="87"/>
      <c r="C2590" s="73"/>
      <c r="D2590" s="73"/>
      <c r="E2590" s="82"/>
      <c r="F2590" s="82"/>
      <c r="G2590" s="86"/>
      <c r="H2590" s="86"/>
      <c r="I2590" s="86"/>
      <c r="J2590" s="82"/>
      <c r="K2590" s="82"/>
      <c r="L2590" s="82"/>
      <c r="M2590" s="82"/>
      <c r="N2590" s="82"/>
      <c r="O2590" s="82"/>
      <c r="P2590" s="82"/>
      <c r="Q2590" s="82"/>
      <c r="R2590" s="82"/>
      <c r="S2590" s="82"/>
      <c r="T2590" s="82"/>
      <c r="U2590" s="82"/>
      <c r="V2590" s="82"/>
      <c r="W2590" s="82"/>
      <c r="X2590" s="82"/>
      <c r="Y2590" s="82"/>
      <c r="Z2590" s="82"/>
      <c r="AA2590" s="82"/>
      <c r="AB2590" s="82"/>
      <c r="AC2590" s="82"/>
      <c r="AD2590" s="82"/>
      <c r="AE2590" s="82"/>
      <c r="AF2590" s="82"/>
      <c r="AG2590" s="82"/>
      <c r="AH2590" s="82"/>
      <c r="AI2590" s="82"/>
      <c r="AJ2590" s="82"/>
      <c r="AK2590" s="82"/>
      <c r="AL2590" s="82"/>
      <c r="AM2590" s="82"/>
      <c r="AN2590" s="82">
        <f>IFERROR(__xludf.DUMMYFUNCTION("""COMPUTED_VALUE"""),0.0)</f>
        <v>0</v>
      </c>
      <c r="AO2590" s="82">
        <f>IFERROR(__xludf.DUMMYFUNCTION("""COMPUTED_VALUE"""),0.0)</f>
        <v>0</v>
      </c>
      <c r="AP2590" s="82">
        <f>IFERROR(__xludf.DUMMYFUNCTION("""COMPUTED_VALUE"""),0.0)</f>
        <v>0</v>
      </c>
      <c r="AQ2590" s="82">
        <f>IFERROR(__xludf.DUMMYFUNCTION("""COMPUTED_VALUE"""),0.0)</f>
        <v>0</v>
      </c>
      <c r="AR2590" s="82">
        <f>IFERROR(__xludf.DUMMYFUNCTION("""COMPUTED_VALUE"""),0.0)</f>
        <v>0</v>
      </c>
      <c r="AS2590" s="82"/>
      <c r="AT2590" s="82">
        <f>IFERROR(__xludf.DUMMYFUNCTION("""COMPUTED_VALUE"""),0.0)</f>
        <v>0</v>
      </c>
      <c r="AU2590" s="82"/>
      <c r="AV2590" s="82"/>
      <c r="AW2590" s="82" t="str">
        <f t="shared" si="1"/>
        <v/>
      </c>
      <c r="AX2590" s="83" t="str">
        <f t="array" ref="AX2590">IFERROR(DGET('SBV Import'!A:G,"SBV",{"RSC ID","Tier";B2590,A2590}))</f>
        <v/>
      </c>
      <c r="AY2590" s="82" t="str">
        <f t="shared" si="2"/>
        <v/>
      </c>
      <c r="AZ2590" s="82"/>
      <c r="BA2590" s="84" t="s">
        <v>152</v>
      </c>
      <c r="BB2590" s="84" t="str">
        <f>IFERROR(__xludf.DUMMYFUNCTION("iferror(if(A2590="""",,E2590&gt;=FILTER(Constants!$F$2:$F$10,Constants!$A$2:$A$10=A2590)))"),"")</f>
        <v/>
      </c>
    </row>
    <row r="2591">
      <c r="A2591" s="89"/>
      <c r="B2591" s="87"/>
      <c r="C2591" s="73"/>
      <c r="D2591" s="73"/>
      <c r="E2591" s="82"/>
      <c r="F2591" s="82"/>
      <c r="G2591" s="86"/>
      <c r="H2591" s="86"/>
      <c r="I2591" s="86"/>
      <c r="J2591" s="82"/>
      <c r="K2591" s="82"/>
      <c r="L2591" s="82"/>
      <c r="M2591" s="82"/>
      <c r="N2591" s="82"/>
      <c r="O2591" s="82"/>
      <c r="P2591" s="82"/>
      <c r="Q2591" s="82"/>
      <c r="R2591" s="82"/>
      <c r="S2591" s="82"/>
      <c r="T2591" s="82"/>
      <c r="U2591" s="82"/>
      <c r="V2591" s="82"/>
      <c r="W2591" s="82"/>
      <c r="X2591" s="82"/>
      <c r="Y2591" s="82"/>
      <c r="Z2591" s="82"/>
      <c r="AA2591" s="82"/>
      <c r="AB2591" s="82"/>
      <c r="AC2591" s="82"/>
      <c r="AD2591" s="82"/>
      <c r="AE2591" s="82"/>
      <c r="AF2591" s="82"/>
      <c r="AG2591" s="82"/>
      <c r="AH2591" s="82"/>
      <c r="AI2591" s="82"/>
      <c r="AJ2591" s="82"/>
      <c r="AK2591" s="82"/>
      <c r="AL2591" s="82"/>
      <c r="AM2591" s="82"/>
      <c r="AN2591" s="82">
        <f>IFERROR(__xludf.DUMMYFUNCTION("""COMPUTED_VALUE"""),0.0)</f>
        <v>0</v>
      </c>
      <c r="AO2591" s="82">
        <f>IFERROR(__xludf.DUMMYFUNCTION("""COMPUTED_VALUE"""),0.0)</f>
        <v>0</v>
      </c>
      <c r="AP2591" s="82">
        <f>IFERROR(__xludf.DUMMYFUNCTION("""COMPUTED_VALUE"""),0.0)</f>
        <v>0</v>
      </c>
      <c r="AQ2591" s="82">
        <f>IFERROR(__xludf.DUMMYFUNCTION("""COMPUTED_VALUE"""),0.0)</f>
        <v>0</v>
      </c>
      <c r="AR2591" s="82">
        <f>IFERROR(__xludf.DUMMYFUNCTION("""COMPUTED_VALUE"""),0.0)</f>
        <v>0</v>
      </c>
      <c r="AS2591" s="82"/>
      <c r="AT2591" s="82">
        <f>IFERROR(__xludf.DUMMYFUNCTION("""COMPUTED_VALUE"""),0.0)</f>
        <v>0</v>
      </c>
      <c r="AU2591" s="82"/>
      <c r="AV2591" s="82"/>
      <c r="AW2591" s="82" t="str">
        <f t="shared" si="1"/>
        <v/>
      </c>
      <c r="AX2591" s="83" t="str">
        <f t="array" ref="AX2591">IFERROR(DGET('SBV Import'!A:G,"SBV",{"RSC ID","Tier";B2591,A2591}))</f>
        <v/>
      </c>
      <c r="AY2591" s="82" t="str">
        <f t="shared" si="2"/>
        <v/>
      </c>
      <c r="AZ2591" s="82"/>
      <c r="BA2591" s="84" t="s">
        <v>152</v>
      </c>
      <c r="BB2591" s="84" t="str">
        <f>IFERROR(__xludf.DUMMYFUNCTION("iferror(if(A2591="""",,E2591&gt;=FILTER(Constants!$F$2:$F$10,Constants!$A$2:$A$10=A2591)))"),"")</f>
        <v/>
      </c>
    </row>
    <row r="2592">
      <c r="A2592" s="89"/>
      <c r="B2592" s="87"/>
      <c r="C2592" s="73"/>
      <c r="D2592" s="73"/>
      <c r="E2592" s="82"/>
      <c r="F2592" s="82"/>
      <c r="G2592" s="86"/>
      <c r="H2592" s="86"/>
      <c r="I2592" s="86"/>
      <c r="J2592" s="82"/>
      <c r="K2592" s="82"/>
      <c r="L2592" s="82"/>
      <c r="M2592" s="82"/>
      <c r="N2592" s="82"/>
      <c r="O2592" s="82"/>
      <c r="P2592" s="82"/>
      <c r="Q2592" s="82"/>
      <c r="R2592" s="82"/>
      <c r="S2592" s="82"/>
      <c r="T2592" s="82"/>
      <c r="U2592" s="82"/>
      <c r="V2592" s="82"/>
      <c r="W2592" s="82"/>
      <c r="X2592" s="82"/>
      <c r="Y2592" s="82"/>
      <c r="Z2592" s="82"/>
      <c r="AA2592" s="82"/>
      <c r="AB2592" s="82"/>
      <c r="AC2592" s="82"/>
      <c r="AD2592" s="82"/>
      <c r="AE2592" s="82"/>
      <c r="AF2592" s="82"/>
      <c r="AG2592" s="82"/>
      <c r="AH2592" s="82"/>
      <c r="AI2592" s="82"/>
      <c r="AJ2592" s="82"/>
      <c r="AK2592" s="82"/>
      <c r="AL2592" s="82"/>
      <c r="AM2592" s="82"/>
      <c r="AN2592" s="82">
        <f>IFERROR(__xludf.DUMMYFUNCTION("""COMPUTED_VALUE"""),0.0)</f>
        <v>0</v>
      </c>
      <c r="AO2592" s="82">
        <f>IFERROR(__xludf.DUMMYFUNCTION("""COMPUTED_VALUE"""),0.0)</f>
        <v>0</v>
      </c>
      <c r="AP2592" s="82">
        <f>IFERROR(__xludf.DUMMYFUNCTION("""COMPUTED_VALUE"""),0.0)</f>
        <v>0</v>
      </c>
      <c r="AQ2592" s="82">
        <f>IFERROR(__xludf.DUMMYFUNCTION("""COMPUTED_VALUE"""),0.0)</f>
        <v>0</v>
      </c>
      <c r="AR2592" s="82">
        <f>IFERROR(__xludf.DUMMYFUNCTION("""COMPUTED_VALUE"""),0.0)</f>
        <v>0</v>
      </c>
      <c r="AS2592" s="82"/>
      <c r="AT2592" s="82">
        <f>IFERROR(__xludf.DUMMYFUNCTION("""COMPUTED_VALUE"""),0.0)</f>
        <v>0</v>
      </c>
      <c r="AU2592" s="82"/>
      <c r="AV2592" s="82"/>
      <c r="AW2592" s="82" t="str">
        <f t="shared" si="1"/>
        <v/>
      </c>
      <c r="AX2592" s="83" t="str">
        <f t="array" ref="AX2592">IFERROR(DGET('SBV Import'!A:G,"SBV",{"RSC ID","Tier";B2592,A2592}))</f>
        <v/>
      </c>
      <c r="AY2592" s="82" t="str">
        <f t="shared" si="2"/>
        <v/>
      </c>
      <c r="AZ2592" s="82"/>
      <c r="BA2592" s="84" t="s">
        <v>152</v>
      </c>
      <c r="BB2592" s="84" t="str">
        <f>IFERROR(__xludf.DUMMYFUNCTION("iferror(if(A2592="""",,E2592&gt;=FILTER(Constants!$F$2:$F$10,Constants!$A$2:$A$10=A2592)))"),"")</f>
        <v/>
      </c>
    </row>
    <row r="2593">
      <c r="A2593" s="89"/>
      <c r="B2593" s="87"/>
      <c r="C2593" s="73"/>
      <c r="D2593" s="73"/>
      <c r="E2593" s="82"/>
      <c r="F2593" s="82"/>
      <c r="G2593" s="86"/>
      <c r="H2593" s="86"/>
      <c r="I2593" s="86"/>
      <c r="J2593" s="82"/>
      <c r="K2593" s="82"/>
      <c r="L2593" s="82"/>
      <c r="M2593" s="82"/>
      <c r="N2593" s="82"/>
      <c r="O2593" s="82"/>
      <c r="P2593" s="82"/>
      <c r="Q2593" s="82"/>
      <c r="R2593" s="82"/>
      <c r="S2593" s="82"/>
      <c r="T2593" s="82"/>
      <c r="U2593" s="82"/>
      <c r="V2593" s="82"/>
      <c r="W2593" s="82"/>
      <c r="X2593" s="82"/>
      <c r="Y2593" s="82"/>
      <c r="Z2593" s="82"/>
      <c r="AA2593" s="82"/>
      <c r="AB2593" s="82"/>
      <c r="AC2593" s="82"/>
      <c r="AD2593" s="82"/>
      <c r="AE2593" s="82"/>
      <c r="AF2593" s="82"/>
      <c r="AG2593" s="82"/>
      <c r="AH2593" s="82"/>
      <c r="AI2593" s="82"/>
      <c r="AJ2593" s="82"/>
      <c r="AK2593" s="82"/>
      <c r="AL2593" s="82"/>
      <c r="AM2593" s="82"/>
      <c r="AN2593" s="82">
        <f>IFERROR(__xludf.DUMMYFUNCTION("""COMPUTED_VALUE"""),0.0)</f>
        <v>0</v>
      </c>
      <c r="AO2593" s="82">
        <f>IFERROR(__xludf.DUMMYFUNCTION("""COMPUTED_VALUE"""),0.0)</f>
        <v>0</v>
      </c>
      <c r="AP2593" s="82">
        <f>IFERROR(__xludf.DUMMYFUNCTION("""COMPUTED_VALUE"""),0.0)</f>
        <v>0</v>
      </c>
      <c r="AQ2593" s="82">
        <f>IFERROR(__xludf.DUMMYFUNCTION("""COMPUTED_VALUE"""),0.0)</f>
        <v>0</v>
      </c>
      <c r="AR2593" s="82">
        <f>IFERROR(__xludf.DUMMYFUNCTION("""COMPUTED_VALUE"""),0.0)</f>
        <v>0</v>
      </c>
      <c r="AS2593" s="82"/>
      <c r="AT2593" s="82">
        <f>IFERROR(__xludf.DUMMYFUNCTION("""COMPUTED_VALUE"""),0.0)</f>
        <v>0</v>
      </c>
      <c r="AU2593" s="82"/>
      <c r="AV2593" s="82"/>
      <c r="AW2593" s="82" t="str">
        <f t="shared" si="1"/>
        <v/>
      </c>
      <c r="AX2593" s="83" t="str">
        <f t="array" ref="AX2593">IFERROR(DGET('SBV Import'!A:G,"SBV",{"RSC ID","Tier";B2593,A2593}))</f>
        <v/>
      </c>
      <c r="AY2593" s="82" t="str">
        <f t="shared" si="2"/>
        <v/>
      </c>
      <c r="AZ2593" s="82"/>
      <c r="BA2593" s="84" t="s">
        <v>152</v>
      </c>
      <c r="BB2593" s="84" t="str">
        <f>IFERROR(__xludf.DUMMYFUNCTION("iferror(if(A2593="""",,E2593&gt;=FILTER(Constants!$F$2:$F$10,Constants!$A$2:$A$10=A2593)))"),"")</f>
        <v/>
      </c>
    </row>
    <row r="2594">
      <c r="A2594" s="89"/>
      <c r="B2594" s="87"/>
      <c r="C2594" s="73"/>
      <c r="D2594" s="73"/>
      <c r="E2594" s="82"/>
      <c r="F2594" s="82"/>
      <c r="G2594" s="86"/>
      <c r="H2594" s="86"/>
      <c r="I2594" s="86"/>
      <c r="J2594" s="82"/>
      <c r="K2594" s="82"/>
      <c r="L2594" s="82"/>
      <c r="M2594" s="82"/>
      <c r="N2594" s="82"/>
      <c r="O2594" s="82"/>
      <c r="P2594" s="82"/>
      <c r="Q2594" s="82"/>
      <c r="R2594" s="82"/>
      <c r="S2594" s="82"/>
      <c r="T2594" s="82"/>
      <c r="U2594" s="82"/>
      <c r="V2594" s="82"/>
      <c r="W2594" s="82"/>
      <c r="X2594" s="82"/>
      <c r="Y2594" s="82"/>
      <c r="Z2594" s="82"/>
      <c r="AA2594" s="82"/>
      <c r="AB2594" s="82"/>
      <c r="AC2594" s="82"/>
      <c r="AD2594" s="82"/>
      <c r="AE2594" s="82"/>
      <c r="AF2594" s="82"/>
      <c r="AG2594" s="82"/>
      <c r="AH2594" s="82"/>
      <c r="AI2594" s="82"/>
      <c r="AJ2594" s="82"/>
      <c r="AK2594" s="82"/>
      <c r="AL2594" s="82"/>
      <c r="AM2594" s="82"/>
      <c r="AN2594" s="82">
        <f>IFERROR(__xludf.DUMMYFUNCTION("""COMPUTED_VALUE"""),0.0)</f>
        <v>0</v>
      </c>
      <c r="AO2594" s="82">
        <f>IFERROR(__xludf.DUMMYFUNCTION("""COMPUTED_VALUE"""),0.0)</f>
        <v>0</v>
      </c>
      <c r="AP2594" s="82">
        <f>IFERROR(__xludf.DUMMYFUNCTION("""COMPUTED_VALUE"""),0.0)</f>
        <v>0</v>
      </c>
      <c r="AQ2594" s="82">
        <f>IFERROR(__xludf.DUMMYFUNCTION("""COMPUTED_VALUE"""),0.0)</f>
        <v>0</v>
      </c>
      <c r="AR2594" s="82">
        <f>IFERROR(__xludf.DUMMYFUNCTION("""COMPUTED_VALUE"""),0.0)</f>
        <v>0</v>
      </c>
      <c r="AS2594" s="82"/>
      <c r="AT2594" s="82">
        <f>IFERROR(__xludf.DUMMYFUNCTION("""COMPUTED_VALUE"""),0.0)</f>
        <v>0</v>
      </c>
      <c r="AU2594" s="82"/>
      <c r="AV2594" s="82"/>
      <c r="AW2594" s="82" t="str">
        <f t="shared" si="1"/>
        <v/>
      </c>
      <c r="AX2594" s="83" t="str">
        <f t="array" ref="AX2594">IFERROR(DGET('SBV Import'!A:G,"SBV",{"RSC ID","Tier";B2594,A2594}))</f>
        <v/>
      </c>
      <c r="AY2594" s="82" t="str">
        <f t="shared" si="2"/>
        <v/>
      </c>
      <c r="AZ2594" s="82"/>
      <c r="BA2594" s="84" t="s">
        <v>152</v>
      </c>
      <c r="BB2594" s="84" t="str">
        <f>IFERROR(__xludf.DUMMYFUNCTION("iferror(if(A2594="""",,E2594&gt;=FILTER(Constants!$F$2:$F$10,Constants!$A$2:$A$10=A2594)))"),"")</f>
        <v/>
      </c>
    </row>
    <row r="2595">
      <c r="A2595" s="89"/>
      <c r="B2595" s="87"/>
      <c r="C2595" s="73"/>
      <c r="D2595" s="73"/>
      <c r="E2595" s="82"/>
      <c r="F2595" s="82"/>
      <c r="G2595" s="86"/>
      <c r="H2595" s="86"/>
      <c r="I2595" s="86"/>
      <c r="J2595" s="82"/>
      <c r="K2595" s="82"/>
      <c r="L2595" s="82"/>
      <c r="M2595" s="82"/>
      <c r="N2595" s="82"/>
      <c r="O2595" s="82"/>
      <c r="P2595" s="82"/>
      <c r="Q2595" s="82"/>
      <c r="R2595" s="82"/>
      <c r="S2595" s="82"/>
      <c r="T2595" s="82"/>
      <c r="U2595" s="82"/>
      <c r="V2595" s="82"/>
      <c r="W2595" s="82"/>
      <c r="X2595" s="82"/>
      <c r="Y2595" s="82"/>
      <c r="Z2595" s="82"/>
      <c r="AA2595" s="82"/>
      <c r="AB2595" s="82"/>
      <c r="AC2595" s="82"/>
      <c r="AD2595" s="82"/>
      <c r="AE2595" s="82"/>
      <c r="AF2595" s="82"/>
      <c r="AG2595" s="82"/>
      <c r="AH2595" s="82"/>
      <c r="AI2595" s="82"/>
      <c r="AJ2595" s="82"/>
      <c r="AK2595" s="82"/>
      <c r="AL2595" s="82"/>
      <c r="AM2595" s="82"/>
      <c r="AN2595" s="82">
        <f>IFERROR(__xludf.DUMMYFUNCTION("""COMPUTED_VALUE"""),0.0)</f>
        <v>0</v>
      </c>
      <c r="AO2595" s="82">
        <f>IFERROR(__xludf.DUMMYFUNCTION("""COMPUTED_VALUE"""),0.0)</f>
        <v>0</v>
      </c>
      <c r="AP2595" s="82">
        <f>IFERROR(__xludf.DUMMYFUNCTION("""COMPUTED_VALUE"""),0.0)</f>
        <v>0</v>
      </c>
      <c r="AQ2595" s="82">
        <f>IFERROR(__xludf.DUMMYFUNCTION("""COMPUTED_VALUE"""),0.0)</f>
        <v>0</v>
      </c>
      <c r="AR2595" s="82">
        <f>IFERROR(__xludf.DUMMYFUNCTION("""COMPUTED_VALUE"""),0.0)</f>
        <v>0</v>
      </c>
      <c r="AS2595" s="82"/>
      <c r="AT2595" s="82">
        <f>IFERROR(__xludf.DUMMYFUNCTION("""COMPUTED_VALUE"""),0.0)</f>
        <v>0</v>
      </c>
      <c r="AU2595" s="82"/>
      <c r="AV2595" s="82"/>
      <c r="AW2595" s="82" t="str">
        <f t="shared" si="1"/>
        <v/>
      </c>
      <c r="AX2595" s="83" t="str">
        <f t="array" ref="AX2595">IFERROR(DGET('SBV Import'!A:G,"SBV",{"RSC ID","Tier";B2595,A2595}))</f>
        <v/>
      </c>
      <c r="AY2595" s="82" t="str">
        <f t="shared" si="2"/>
        <v/>
      </c>
      <c r="AZ2595" s="82"/>
      <c r="BA2595" s="84" t="s">
        <v>152</v>
      </c>
      <c r="BB2595" s="84" t="str">
        <f>IFERROR(__xludf.DUMMYFUNCTION("iferror(if(A2595="""",,E2595&gt;=FILTER(Constants!$F$2:$F$10,Constants!$A$2:$A$10=A2595)))"),"")</f>
        <v/>
      </c>
    </row>
    <row r="2596">
      <c r="A2596" s="89"/>
      <c r="B2596" s="87"/>
      <c r="C2596" s="73"/>
      <c r="D2596" s="73"/>
      <c r="E2596" s="82"/>
      <c r="F2596" s="82"/>
      <c r="G2596" s="86"/>
      <c r="H2596" s="86"/>
      <c r="I2596" s="86"/>
      <c r="J2596" s="82"/>
      <c r="K2596" s="82"/>
      <c r="L2596" s="82"/>
      <c r="M2596" s="82"/>
      <c r="N2596" s="82"/>
      <c r="O2596" s="82"/>
      <c r="P2596" s="82"/>
      <c r="Q2596" s="82"/>
      <c r="R2596" s="82"/>
      <c r="S2596" s="82"/>
      <c r="T2596" s="82"/>
      <c r="U2596" s="82"/>
      <c r="V2596" s="82"/>
      <c r="W2596" s="82"/>
      <c r="X2596" s="82"/>
      <c r="Y2596" s="82"/>
      <c r="Z2596" s="82"/>
      <c r="AA2596" s="82"/>
      <c r="AB2596" s="82"/>
      <c r="AC2596" s="82"/>
      <c r="AD2596" s="82"/>
      <c r="AE2596" s="82"/>
      <c r="AF2596" s="82"/>
      <c r="AG2596" s="82"/>
      <c r="AH2596" s="82"/>
      <c r="AI2596" s="82"/>
      <c r="AJ2596" s="82"/>
      <c r="AK2596" s="82"/>
      <c r="AL2596" s="82"/>
      <c r="AM2596" s="82"/>
      <c r="AN2596" s="82">
        <f>IFERROR(__xludf.DUMMYFUNCTION("""COMPUTED_VALUE"""),0.0)</f>
        <v>0</v>
      </c>
      <c r="AO2596" s="82">
        <f>IFERROR(__xludf.DUMMYFUNCTION("""COMPUTED_VALUE"""),0.0)</f>
        <v>0</v>
      </c>
      <c r="AP2596" s="82">
        <f>IFERROR(__xludf.DUMMYFUNCTION("""COMPUTED_VALUE"""),0.0)</f>
        <v>0</v>
      </c>
      <c r="AQ2596" s="82">
        <f>IFERROR(__xludf.DUMMYFUNCTION("""COMPUTED_VALUE"""),0.0)</f>
        <v>0</v>
      </c>
      <c r="AR2596" s="82">
        <f>IFERROR(__xludf.DUMMYFUNCTION("""COMPUTED_VALUE"""),0.0)</f>
        <v>0</v>
      </c>
      <c r="AS2596" s="82"/>
      <c r="AT2596" s="82">
        <f>IFERROR(__xludf.DUMMYFUNCTION("""COMPUTED_VALUE"""),0.0)</f>
        <v>0</v>
      </c>
      <c r="AU2596" s="82"/>
      <c r="AV2596" s="82"/>
      <c r="AW2596" s="82" t="str">
        <f t="shared" si="1"/>
        <v/>
      </c>
      <c r="AX2596" s="83" t="str">
        <f t="array" ref="AX2596">IFERROR(DGET('SBV Import'!A:G,"SBV",{"RSC ID","Tier";B2596,A2596}))</f>
        <v/>
      </c>
      <c r="AY2596" s="82" t="str">
        <f t="shared" si="2"/>
        <v/>
      </c>
      <c r="AZ2596" s="82"/>
      <c r="BA2596" s="84" t="s">
        <v>152</v>
      </c>
      <c r="BB2596" s="84" t="str">
        <f>IFERROR(__xludf.DUMMYFUNCTION("iferror(if(A2596="""",,E2596&gt;=FILTER(Constants!$F$2:$F$10,Constants!$A$2:$A$10=A2596)))"),"")</f>
        <v/>
      </c>
    </row>
    <row r="2597">
      <c r="A2597" s="89"/>
      <c r="B2597" s="87"/>
      <c r="C2597" s="73"/>
      <c r="D2597" s="73"/>
      <c r="E2597" s="82"/>
      <c r="F2597" s="82"/>
      <c r="G2597" s="86"/>
      <c r="H2597" s="86"/>
      <c r="I2597" s="86"/>
      <c r="J2597" s="82"/>
      <c r="K2597" s="82"/>
      <c r="L2597" s="82"/>
      <c r="M2597" s="82"/>
      <c r="N2597" s="82"/>
      <c r="O2597" s="82"/>
      <c r="P2597" s="82"/>
      <c r="Q2597" s="82"/>
      <c r="R2597" s="82"/>
      <c r="S2597" s="82"/>
      <c r="T2597" s="82"/>
      <c r="U2597" s="82"/>
      <c r="V2597" s="82"/>
      <c r="W2597" s="82"/>
      <c r="X2597" s="82"/>
      <c r="Y2597" s="82"/>
      <c r="Z2597" s="82"/>
      <c r="AA2597" s="82"/>
      <c r="AB2597" s="82"/>
      <c r="AC2597" s="82"/>
      <c r="AD2597" s="82"/>
      <c r="AE2597" s="82"/>
      <c r="AF2597" s="82"/>
      <c r="AG2597" s="82"/>
      <c r="AH2597" s="82"/>
      <c r="AI2597" s="82"/>
      <c r="AJ2597" s="82"/>
      <c r="AK2597" s="82"/>
      <c r="AL2597" s="82"/>
      <c r="AM2597" s="82"/>
      <c r="AN2597" s="82">
        <f>IFERROR(__xludf.DUMMYFUNCTION("""COMPUTED_VALUE"""),0.0)</f>
        <v>0</v>
      </c>
      <c r="AO2597" s="82">
        <f>IFERROR(__xludf.DUMMYFUNCTION("""COMPUTED_VALUE"""),0.0)</f>
        <v>0</v>
      </c>
      <c r="AP2597" s="82">
        <f>IFERROR(__xludf.DUMMYFUNCTION("""COMPUTED_VALUE"""),0.0)</f>
        <v>0</v>
      </c>
      <c r="AQ2597" s="82">
        <f>IFERROR(__xludf.DUMMYFUNCTION("""COMPUTED_VALUE"""),0.0)</f>
        <v>0</v>
      </c>
      <c r="AR2597" s="82">
        <f>IFERROR(__xludf.DUMMYFUNCTION("""COMPUTED_VALUE"""),0.0)</f>
        <v>0</v>
      </c>
      <c r="AS2597" s="82"/>
      <c r="AT2597" s="82">
        <f>IFERROR(__xludf.DUMMYFUNCTION("""COMPUTED_VALUE"""),0.0)</f>
        <v>0</v>
      </c>
      <c r="AU2597" s="82"/>
      <c r="AV2597" s="82"/>
      <c r="AW2597" s="82" t="str">
        <f t="shared" si="1"/>
        <v/>
      </c>
      <c r="AX2597" s="83" t="str">
        <f t="array" ref="AX2597">IFERROR(DGET('SBV Import'!A:G,"SBV",{"RSC ID","Tier";B2597,A2597}))</f>
        <v/>
      </c>
      <c r="AY2597" s="82" t="str">
        <f t="shared" si="2"/>
        <v/>
      </c>
      <c r="AZ2597" s="82"/>
      <c r="BA2597" s="84" t="s">
        <v>152</v>
      </c>
      <c r="BB2597" s="84" t="str">
        <f>IFERROR(__xludf.DUMMYFUNCTION("iferror(if(A2597="""",,E2597&gt;=FILTER(Constants!$F$2:$F$10,Constants!$A$2:$A$10=A2597)))"),"")</f>
        <v/>
      </c>
    </row>
    <row r="2598">
      <c r="A2598" s="89"/>
      <c r="B2598" s="87"/>
      <c r="C2598" s="73"/>
      <c r="D2598" s="73"/>
      <c r="E2598" s="82"/>
      <c r="F2598" s="82"/>
      <c r="G2598" s="86"/>
      <c r="H2598" s="86"/>
      <c r="I2598" s="86"/>
      <c r="J2598" s="82"/>
      <c r="K2598" s="82"/>
      <c r="L2598" s="82"/>
      <c r="M2598" s="82"/>
      <c r="N2598" s="82"/>
      <c r="O2598" s="82"/>
      <c r="P2598" s="82"/>
      <c r="Q2598" s="82"/>
      <c r="R2598" s="82"/>
      <c r="S2598" s="82"/>
      <c r="T2598" s="82"/>
      <c r="U2598" s="82"/>
      <c r="V2598" s="82"/>
      <c r="W2598" s="82"/>
      <c r="X2598" s="82"/>
      <c r="Y2598" s="82"/>
      <c r="Z2598" s="82"/>
      <c r="AA2598" s="82"/>
      <c r="AB2598" s="82"/>
      <c r="AC2598" s="82"/>
      <c r="AD2598" s="82"/>
      <c r="AE2598" s="82"/>
      <c r="AF2598" s="82"/>
      <c r="AG2598" s="82"/>
      <c r="AH2598" s="82"/>
      <c r="AI2598" s="82"/>
      <c r="AJ2598" s="82"/>
      <c r="AK2598" s="82"/>
      <c r="AL2598" s="82"/>
      <c r="AM2598" s="82"/>
      <c r="AN2598" s="82">
        <f>IFERROR(__xludf.DUMMYFUNCTION("""COMPUTED_VALUE"""),0.0)</f>
        <v>0</v>
      </c>
      <c r="AO2598" s="82">
        <f>IFERROR(__xludf.DUMMYFUNCTION("""COMPUTED_VALUE"""),0.0)</f>
        <v>0</v>
      </c>
      <c r="AP2598" s="82">
        <f>IFERROR(__xludf.DUMMYFUNCTION("""COMPUTED_VALUE"""),0.0)</f>
        <v>0</v>
      </c>
      <c r="AQ2598" s="82">
        <f>IFERROR(__xludf.DUMMYFUNCTION("""COMPUTED_VALUE"""),0.0)</f>
        <v>0</v>
      </c>
      <c r="AR2598" s="82">
        <f>IFERROR(__xludf.DUMMYFUNCTION("""COMPUTED_VALUE"""),0.0)</f>
        <v>0</v>
      </c>
      <c r="AS2598" s="82"/>
      <c r="AT2598" s="82">
        <f>IFERROR(__xludf.DUMMYFUNCTION("""COMPUTED_VALUE"""),0.0)</f>
        <v>0</v>
      </c>
      <c r="AU2598" s="82"/>
      <c r="AV2598" s="82"/>
      <c r="AW2598" s="82" t="str">
        <f t="shared" si="1"/>
        <v/>
      </c>
      <c r="AX2598" s="83" t="str">
        <f t="array" ref="AX2598">IFERROR(DGET('SBV Import'!A:G,"SBV",{"RSC ID","Tier";B2598,A2598}))</f>
        <v/>
      </c>
      <c r="AY2598" s="82" t="str">
        <f t="shared" si="2"/>
        <v/>
      </c>
      <c r="AZ2598" s="82"/>
      <c r="BA2598" s="84" t="s">
        <v>152</v>
      </c>
      <c r="BB2598" s="84" t="str">
        <f>IFERROR(__xludf.DUMMYFUNCTION("iferror(if(A2598="""",,E2598&gt;=FILTER(Constants!$F$2:$F$10,Constants!$A$2:$A$10=A2598)))"),"")</f>
        <v/>
      </c>
    </row>
    <row r="2599">
      <c r="A2599" s="89"/>
      <c r="B2599" s="87"/>
      <c r="C2599" s="73"/>
      <c r="D2599" s="73"/>
      <c r="E2599" s="82"/>
      <c r="F2599" s="82"/>
      <c r="G2599" s="86"/>
      <c r="H2599" s="86"/>
      <c r="I2599" s="86"/>
      <c r="J2599" s="82"/>
      <c r="K2599" s="82"/>
      <c r="L2599" s="82"/>
      <c r="M2599" s="82"/>
      <c r="N2599" s="82"/>
      <c r="O2599" s="82"/>
      <c r="P2599" s="82"/>
      <c r="Q2599" s="82"/>
      <c r="R2599" s="82"/>
      <c r="S2599" s="82"/>
      <c r="T2599" s="82"/>
      <c r="U2599" s="82"/>
      <c r="V2599" s="82"/>
      <c r="W2599" s="82"/>
      <c r="X2599" s="82"/>
      <c r="Y2599" s="82"/>
      <c r="Z2599" s="82"/>
      <c r="AA2599" s="82"/>
      <c r="AB2599" s="82"/>
      <c r="AC2599" s="82"/>
      <c r="AD2599" s="82"/>
      <c r="AE2599" s="82"/>
      <c r="AF2599" s="82"/>
      <c r="AG2599" s="82"/>
      <c r="AH2599" s="82"/>
      <c r="AI2599" s="82"/>
      <c r="AJ2599" s="82"/>
      <c r="AK2599" s="82"/>
      <c r="AL2599" s="82"/>
      <c r="AM2599" s="82"/>
      <c r="AN2599" s="82"/>
      <c r="AO2599" s="82"/>
      <c r="AP2599" s="82"/>
      <c r="AQ2599" s="82"/>
      <c r="AR2599" s="82"/>
      <c r="AS2599" s="82"/>
      <c r="AT2599" s="82"/>
      <c r="AU2599" s="82"/>
      <c r="AV2599" s="82"/>
      <c r="AW2599" s="82" t="str">
        <f t="shared" si="1"/>
        <v/>
      </c>
      <c r="AX2599" s="83" t="str">
        <f t="array" ref="AX2599">IFERROR(DGET('SBV Import'!A:G,"SBV",{"RSC ID","Tier";B2599,A2599}))</f>
        <v/>
      </c>
      <c r="AY2599" s="82" t="str">
        <f t="shared" si="2"/>
        <v/>
      </c>
      <c r="AZ2599" s="82"/>
      <c r="BA2599" s="84" t="s">
        <v>152</v>
      </c>
      <c r="BB2599" s="84" t="str">
        <f>IFERROR(__xludf.DUMMYFUNCTION("iferror(if(A2599="""",,E2599&gt;=FILTER(Constants!$F$2:$F$10,Constants!$A$2:$A$10=A2599)))"),"")</f>
        <v/>
      </c>
    </row>
    <row r="2600">
      <c r="A2600" s="89"/>
      <c r="B2600" s="87"/>
      <c r="C2600" s="73"/>
      <c r="D2600" s="73"/>
      <c r="E2600" s="82"/>
      <c r="F2600" s="82"/>
      <c r="G2600" s="86"/>
      <c r="H2600" s="86"/>
      <c r="I2600" s="86"/>
      <c r="J2600" s="82"/>
      <c r="K2600" s="82"/>
      <c r="L2600" s="82"/>
      <c r="M2600" s="82"/>
      <c r="N2600" s="82"/>
      <c r="O2600" s="82"/>
      <c r="P2600" s="82"/>
      <c r="Q2600" s="82"/>
      <c r="R2600" s="82"/>
      <c r="S2600" s="82"/>
      <c r="T2600" s="82"/>
      <c r="U2600" s="82"/>
      <c r="V2600" s="82"/>
      <c r="W2600" s="82"/>
      <c r="X2600" s="82"/>
      <c r="Y2600" s="82"/>
      <c r="Z2600" s="82"/>
      <c r="AA2600" s="82"/>
      <c r="AB2600" s="82"/>
      <c r="AC2600" s="82"/>
      <c r="AD2600" s="82"/>
      <c r="AE2600" s="82"/>
      <c r="AF2600" s="82"/>
      <c r="AG2600" s="82"/>
      <c r="AH2600" s="82"/>
      <c r="AI2600" s="82"/>
      <c r="AJ2600" s="82"/>
      <c r="AK2600" s="82"/>
      <c r="AL2600" s="82"/>
      <c r="AM2600" s="82"/>
      <c r="AN2600" s="82"/>
      <c r="AO2600" s="82"/>
      <c r="AP2600" s="82"/>
      <c r="AQ2600" s="82"/>
      <c r="AR2600" s="82"/>
      <c r="AS2600" s="82"/>
      <c r="AT2600" s="82"/>
      <c r="AU2600" s="82"/>
      <c r="AV2600" s="82"/>
      <c r="AW2600" s="82" t="str">
        <f t="shared" si="1"/>
        <v/>
      </c>
      <c r="AX2600" s="83" t="str">
        <f t="array" ref="AX2600">IFERROR(DGET('SBV Import'!A:G,"SBV",{"RSC ID","Tier";B2600,A2600}))</f>
        <v/>
      </c>
      <c r="AY2600" s="82" t="str">
        <f t="shared" si="2"/>
        <v/>
      </c>
      <c r="AZ2600" s="82"/>
      <c r="BA2600" s="84" t="s">
        <v>152</v>
      </c>
      <c r="BB2600" s="84" t="str">
        <f>IFERROR(__xludf.DUMMYFUNCTION("iferror(if(A2600="""",,E2600&gt;=FILTER(Constants!$F$2:$F$10,Constants!$A$2:$A$10=A2600)))"),"")</f>
        <v/>
      </c>
    </row>
    <row r="2601">
      <c r="A2601" s="89"/>
      <c r="B2601" s="87"/>
      <c r="C2601" s="73"/>
      <c r="D2601" s="73"/>
      <c r="E2601" s="82"/>
      <c r="F2601" s="82"/>
      <c r="G2601" s="86"/>
      <c r="H2601" s="86"/>
      <c r="I2601" s="86"/>
      <c r="J2601" s="82"/>
      <c r="K2601" s="82"/>
      <c r="L2601" s="82"/>
      <c r="M2601" s="82"/>
      <c r="N2601" s="82"/>
      <c r="O2601" s="82"/>
      <c r="P2601" s="82"/>
      <c r="Q2601" s="82"/>
      <c r="R2601" s="82"/>
      <c r="S2601" s="82"/>
      <c r="T2601" s="82"/>
      <c r="U2601" s="82"/>
      <c r="V2601" s="82"/>
      <c r="W2601" s="82"/>
      <c r="X2601" s="82"/>
      <c r="Y2601" s="82"/>
      <c r="Z2601" s="82"/>
      <c r="AA2601" s="82"/>
      <c r="AB2601" s="82"/>
      <c r="AC2601" s="82"/>
      <c r="AD2601" s="82"/>
      <c r="AE2601" s="82"/>
      <c r="AF2601" s="82"/>
      <c r="AG2601" s="82"/>
      <c r="AH2601" s="82"/>
      <c r="AI2601" s="82"/>
      <c r="AJ2601" s="82"/>
      <c r="AK2601" s="82"/>
      <c r="AL2601" s="82"/>
      <c r="AM2601" s="82"/>
      <c r="AN2601" s="82"/>
      <c r="AO2601" s="82"/>
      <c r="AP2601" s="82"/>
      <c r="AQ2601" s="82"/>
      <c r="AR2601" s="82"/>
      <c r="AS2601" s="82"/>
      <c r="AT2601" s="82"/>
      <c r="AU2601" s="82"/>
      <c r="AV2601" s="82"/>
      <c r="AW2601" s="82" t="str">
        <f t="shared" si="1"/>
        <v/>
      </c>
      <c r="AX2601" s="83" t="str">
        <f t="array" ref="AX2601">IFERROR(DGET('SBV Import'!A:G,"SBV",{"RSC ID","Tier";B2601,A2601}))</f>
        <v/>
      </c>
      <c r="AY2601" s="82" t="str">
        <f t="shared" si="2"/>
        <v/>
      </c>
      <c r="AZ2601" s="82"/>
      <c r="BA2601" s="84" t="s">
        <v>152</v>
      </c>
      <c r="BB2601" s="84" t="str">
        <f>IFERROR(__xludf.DUMMYFUNCTION("iferror(if(A2601="""",,E2601&gt;=FILTER(Constants!$F$2:$F$10,Constants!$A$2:$A$10=A2601)))"),"")</f>
        <v/>
      </c>
    </row>
    <row r="2602">
      <c r="A2602" s="89"/>
      <c r="B2602" s="87"/>
      <c r="C2602" s="73"/>
      <c r="D2602" s="73"/>
      <c r="E2602" s="82"/>
      <c r="F2602" s="82"/>
      <c r="G2602" s="86"/>
      <c r="H2602" s="86"/>
      <c r="I2602" s="86"/>
      <c r="J2602" s="82"/>
      <c r="K2602" s="82"/>
      <c r="L2602" s="82"/>
      <c r="M2602" s="82"/>
      <c r="N2602" s="82"/>
      <c r="O2602" s="82"/>
      <c r="P2602" s="82"/>
      <c r="Q2602" s="82"/>
      <c r="R2602" s="82"/>
      <c r="S2602" s="82"/>
      <c r="T2602" s="82"/>
      <c r="U2602" s="82"/>
      <c r="V2602" s="82"/>
      <c r="W2602" s="82"/>
      <c r="X2602" s="82"/>
      <c r="Y2602" s="82"/>
      <c r="Z2602" s="82"/>
      <c r="AA2602" s="82"/>
      <c r="AB2602" s="82"/>
      <c r="AC2602" s="82"/>
      <c r="AD2602" s="82"/>
      <c r="AE2602" s="82"/>
      <c r="AF2602" s="82"/>
      <c r="AG2602" s="82"/>
      <c r="AH2602" s="82"/>
      <c r="AI2602" s="82"/>
      <c r="AJ2602" s="82"/>
      <c r="AK2602" s="82"/>
      <c r="AL2602" s="82"/>
      <c r="AM2602" s="82"/>
      <c r="AN2602" s="82"/>
      <c r="AO2602" s="82"/>
      <c r="AP2602" s="82"/>
      <c r="AQ2602" s="82"/>
      <c r="AR2602" s="82"/>
      <c r="AS2602" s="82"/>
      <c r="AT2602" s="82"/>
      <c r="AU2602" s="82"/>
      <c r="AV2602" s="82"/>
      <c r="AW2602" s="82" t="str">
        <f t="shared" si="1"/>
        <v/>
      </c>
      <c r="AX2602" s="83" t="str">
        <f t="array" ref="AX2602">IFERROR(DGET('SBV Import'!A:G,"SBV",{"RSC ID","Tier";B2602,A2602}))</f>
        <v/>
      </c>
      <c r="AY2602" s="82" t="str">
        <f t="shared" si="2"/>
        <v/>
      </c>
      <c r="AZ2602" s="82"/>
      <c r="BA2602" s="84" t="s">
        <v>152</v>
      </c>
      <c r="BB2602" s="84" t="str">
        <f>IFERROR(__xludf.DUMMYFUNCTION("iferror(if(A2602="""",,E2602&gt;=FILTER(Constants!$F$2:$F$10,Constants!$A$2:$A$10=A2602)))"),"")</f>
        <v/>
      </c>
    </row>
    <row r="2603">
      <c r="A2603" s="89"/>
      <c r="B2603" s="87"/>
      <c r="C2603" s="73"/>
      <c r="D2603" s="73"/>
      <c r="E2603" s="82"/>
      <c r="F2603" s="82"/>
      <c r="G2603" s="86"/>
      <c r="H2603" s="86"/>
      <c r="I2603" s="86"/>
      <c r="J2603" s="82"/>
      <c r="K2603" s="82"/>
      <c r="L2603" s="82"/>
      <c r="M2603" s="82"/>
      <c r="N2603" s="82"/>
      <c r="O2603" s="82"/>
      <c r="P2603" s="82"/>
      <c r="Q2603" s="82"/>
      <c r="R2603" s="82"/>
      <c r="S2603" s="82"/>
      <c r="T2603" s="82"/>
      <c r="U2603" s="82"/>
      <c r="V2603" s="82"/>
      <c r="W2603" s="82"/>
      <c r="X2603" s="82"/>
      <c r="Y2603" s="82"/>
      <c r="Z2603" s="82"/>
      <c r="AA2603" s="82"/>
      <c r="AB2603" s="82"/>
      <c r="AC2603" s="82"/>
      <c r="AD2603" s="82"/>
      <c r="AE2603" s="82"/>
      <c r="AF2603" s="82"/>
      <c r="AG2603" s="82"/>
      <c r="AH2603" s="82"/>
      <c r="AI2603" s="82"/>
      <c r="AJ2603" s="82"/>
      <c r="AK2603" s="82"/>
      <c r="AL2603" s="82"/>
      <c r="AM2603" s="82"/>
      <c r="AN2603" s="82"/>
      <c r="AO2603" s="82"/>
      <c r="AP2603" s="82"/>
      <c r="AQ2603" s="82"/>
      <c r="AR2603" s="82"/>
      <c r="AS2603" s="82"/>
      <c r="AT2603" s="82"/>
      <c r="AU2603" s="82"/>
      <c r="AV2603" s="82"/>
      <c r="AW2603" s="82" t="str">
        <f t="shared" si="1"/>
        <v/>
      </c>
      <c r="AX2603" s="83" t="str">
        <f t="array" ref="AX2603">IFERROR(DGET('SBV Import'!A:G,"SBV",{"RSC ID","Tier";B2603,A2603}))</f>
        <v/>
      </c>
      <c r="AY2603" s="82" t="str">
        <f t="shared" si="2"/>
        <v/>
      </c>
      <c r="AZ2603" s="82"/>
      <c r="BA2603" s="84" t="s">
        <v>152</v>
      </c>
      <c r="BB2603" s="84" t="str">
        <f>IFERROR(__xludf.DUMMYFUNCTION("iferror(if(A2603="""",,E2603&gt;=FILTER(Constants!$F$2:$F$10,Constants!$A$2:$A$10=A2603)))"),"")</f>
        <v/>
      </c>
    </row>
    <row r="2604">
      <c r="A2604" s="89"/>
      <c r="B2604" s="87"/>
      <c r="C2604" s="73"/>
      <c r="D2604" s="73"/>
      <c r="E2604" s="82"/>
      <c r="F2604" s="82"/>
      <c r="G2604" s="86"/>
      <c r="H2604" s="86"/>
      <c r="I2604" s="86"/>
      <c r="J2604" s="82"/>
      <c r="K2604" s="82"/>
      <c r="L2604" s="82"/>
      <c r="M2604" s="82"/>
      <c r="N2604" s="82"/>
      <c r="O2604" s="82"/>
      <c r="P2604" s="82"/>
      <c r="Q2604" s="82"/>
      <c r="R2604" s="82"/>
      <c r="S2604" s="82"/>
      <c r="T2604" s="82"/>
      <c r="U2604" s="82"/>
      <c r="V2604" s="82"/>
      <c r="W2604" s="82"/>
      <c r="X2604" s="82"/>
      <c r="Y2604" s="82"/>
      <c r="Z2604" s="82"/>
      <c r="AA2604" s="82"/>
      <c r="AB2604" s="82"/>
      <c r="AC2604" s="82"/>
      <c r="AD2604" s="82"/>
      <c r="AE2604" s="82"/>
      <c r="AF2604" s="82"/>
      <c r="AG2604" s="82"/>
      <c r="AH2604" s="82"/>
      <c r="AI2604" s="82"/>
      <c r="AJ2604" s="82"/>
      <c r="AK2604" s="82"/>
      <c r="AL2604" s="82"/>
      <c r="AM2604" s="82"/>
      <c r="AN2604" s="82"/>
      <c r="AO2604" s="82"/>
      <c r="AP2604" s="82"/>
      <c r="AQ2604" s="82"/>
      <c r="AR2604" s="82"/>
      <c r="AS2604" s="82"/>
      <c r="AT2604" s="82"/>
      <c r="AU2604" s="82"/>
      <c r="AV2604" s="82"/>
      <c r="AW2604" s="82" t="str">
        <f t="shared" si="1"/>
        <v/>
      </c>
      <c r="AX2604" s="83" t="str">
        <f t="array" ref="AX2604">IFERROR(DGET('SBV Import'!A:G,"SBV",{"RSC ID","Tier";B2604,A2604}))</f>
        <v/>
      </c>
      <c r="AY2604" s="82" t="str">
        <f t="shared" si="2"/>
        <v/>
      </c>
      <c r="AZ2604" s="82"/>
      <c r="BA2604" s="84" t="s">
        <v>152</v>
      </c>
      <c r="BB2604" s="84" t="str">
        <f>IFERROR(__xludf.DUMMYFUNCTION("iferror(if(A2604="""",,E2604&gt;=FILTER(Constants!$F$2:$F$10,Constants!$A$2:$A$10=A2604)))"),"")</f>
        <v/>
      </c>
    </row>
    <row r="2605">
      <c r="A2605" s="89"/>
      <c r="B2605" s="87"/>
      <c r="C2605" s="73"/>
      <c r="D2605" s="73"/>
      <c r="E2605" s="82"/>
      <c r="F2605" s="82"/>
      <c r="G2605" s="86"/>
      <c r="H2605" s="86"/>
      <c r="I2605" s="86"/>
      <c r="J2605" s="82"/>
      <c r="K2605" s="82"/>
      <c r="L2605" s="82"/>
      <c r="M2605" s="82"/>
      <c r="N2605" s="82"/>
      <c r="O2605" s="82"/>
      <c r="P2605" s="82"/>
      <c r="Q2605" s="82"/>
      <c r="R2605" s="82"/>
      <c r="S2605" s="82"/>
      <c r="T2605" s="82"/>
      <c r="U2605" s="82"/>
      <c r="V2605" s="82"/>
      <c r="W2605" s="82"/>
      <c r="X2605" s="82"/>
      <c r="Y2605" s="82"/>
      <c r="Z2605" s="82"/>
      <c r="AA2605" s="82"/>
      <c r="AB2605" s="82"/>
      <c r="AC2605" s="82"/>
      <c r="AD2605" s="82"/>
      <c r="AE2605" s="82"/>
      <c r="AF2605" s="82"/>
      <c r="AG2605" s="82"/>
      <c r="AH2605" s="82"/>
      <c r="AI2605" s="82"/>
      <c r="AJ2605" s="82"/>
      <c r="AK2605" s="82"/>
      <c r="AL2605" s="82"/>
      <c r="AM2605" s="82"/>
      <c r="AN2605" s="82"/>
      <c r="AO2605" s="82"/>
      <c r="AP2605" s="82"/>
      <c r="AQ2605" s="82"/>
      <c r="AR2605" s="82"/>
      <c r="AS2605" s="82"/>
      <c r="AT2605" s="82"/>
      <c r="AU2605" s="82"/>
      <c r="AV2605" s="82"/>
      <c r="AW2605" s="82" t="str">
        <f t="shared" si="1"/>
        <v/>
      </c>
      <c r="AX2605" s="83" t="str">
        <f t="array" ref="AX2605">IFERROR(DGET('SBV Import'!A:G,"SBV",{"RSC ID","Tier";B2605,A2605}))</f>
        <v/>
      </c>
      <c r="AY2605" s="82" t="str">
        <f t="shared" si="2"/>
        <v/>
      </c>
      <c r="AZ2605" s="82"/>
      <c r="BA2605" s="84" t="s">
        <v>152</v>
      </c>
      <c r="BB2605" s="84" t="str">
        <f>IFERROR(__xludf.DUMMYFUNCTION("iferror(if(A2605="""",,E2605&gt;=FILTER(Constants!$F$2:$F$10,Constants!$A$2:$A$10=A2605)))"),"")</f>
        <v/>
      </c>
    </row>
    <row r="2606">
      <c r="A2606" s="89"/>
      <c r="B2606" s="87"/>
      <c r="C2606" s="73"/>
      <c r="D2606" s="73"/>
      <c r="E2606" s="82"/>
      <c r="F2606" s="82"/>
      <c r="G2606" s="86"/>
      <c r="H2606" s="86"/>
      <c r="I2606" s="86"/>
      <c r="J2606" s="82"/>
      <c r="K2606" s="82"/>
      <c r="L2606" s="82"/>
      <c r="M2606" s="82"/>
      <c r="N2606" s="82"/>
      <c r="O2606" s="82"/>
      <c r="P2606" s="82"/>
      <c r="Q2606" s="82"/>
      <c r="R2606" s="82"/>
      <c r="S2606" s="82"/>
      <c r="T2606" s="82"/>
      <c r="U2606" s="82"/>
      <c r="V2606" s="82"/>
      <c r="W2606" s="82"/>
      <c r="X2606" s="82"/>
      <c r="Y2606" s="82"/>
      <c r="Z2606" s="82"/>
      <c r="AA2606" s="82"/>
      <c r="AB2606" s="82"/>
      <c r="AC2606" s="82"/>
      <c r="AD2606" s="82"/>
      <c r="AE2606" s="82"/>
      <c r="AF2606" s="82"/>
      <c r="AG2606" s="82"/>
      <c r="AH2606" s="82"/>
      <c r="AI2606" s="82"/>
      <c r="AJ2606" s="82"/>
      <c r="AK2606" s="82"/>
      <c r="AL2606" s="82"/>
      <c r="AM2606" s="82"/>
      <c r="AN2606" s="82"/>
      <c r="AO2606" s="82"/>
      <c r="AP2606" s="82"/>
      <c r="AQ2606" s="82"/>
      <c r="AR2606" s="82"/>
      <c r="AS2606" s="82"/>
      <c r="AT2606" s="82"/>
      <c r="AU2606" s="82"/>
      <c r="AV2606" s="82"/>
      <c r="AW2606" s="82" t="str">
        <f t="shared" si="1"/>
        <v/>
      </c>
      <c r="AX2606" s="83" t="str">
        <f t="array" ref="AX2606">IFERROR(DGET('SBV Import'!A:G,"SBV",{"RSC ID","Tier";B2606,A2606}))</f>
        <v/>
      </c>
      <c r="AY2606" s="82" t="str">
        <f t="shared" si="2"/>
        <v/>
      </c>
      <c r="AZ2606" s="82"/>
      <c r="BA2606" s="84" t="s">
        <v>152</v>
      </c>
      <c r="BB2606" s="84" t="str">
        <f>IFERROR(__xludf.DUMMYFUNCTION("iferror(if(A2606="""",,E2606&gt;=FILTER(Constants!$F$2:$F$10,Constants!$A$2:$A$10=A2606)))"),"")</f>
        <v/>
      </c>
    </row>
    <row r="2607">
      <c r="A2607" s="89"/>
      <c r="B2607" s="87"/>
      <c r="C2607" s="73"/>
      <c r="D2607" s="73"/>
      <c r="E2607" s="82"/>
      <c r="F2607" s="82"/>
      <c r="G2607" s="86"/>
      <c r="H2607" s="86"/>
      <c r="I2607" s="86"/>
      <c r="J2607" s="82"/>
      <c r="K2607" s="82"/>
      <c r="L2607" s="82"/>
      <c r="M2607" s="82"/>
      <c r="N2607" s="82"/>
      <c r="O2607" s="82"/>
      <c r="P2607" s="82"/>
      <c r="Q2607" s="82"/>
      <c r="R2607" s="82"/>
      <c r="S2607" s="82"/>
      <c r="T2607" s="82"/>
      <c r="U2607" s="82"/>
      <c r="V2607" s="82"/>
      <c r="W2607" s="82"/>
      <c r="X2607" s="82"/>
      <c r="Y2607" s="82"/>
      <c r="Z2607" s="82"/>
      <c r="AA2607" s="82"/>
      <c r="AB2607" s="82"/>
      <c r="AC2607" s="82"/>
      <c r="AD2607" s="82"/>
      <c r="AE2607" s="82"/>
      <c r="AF2607" s="82"/>
      <c r="AG2607" s="82"/>
      <c r="AH2607" s="82"/>
      <c r="AI2607" s="82"/>
      <c r="AJ2607" s="82"/>
      <c r="AK2607" s="82"/>
      <c r="AL2607" s="82"/>
      <c r="AM2607" s="82"/>
      <c r="AN2607" s="82"/>
      <c r="AO2607" s="82"/>
      <c r="AP2607" s="82"/>
      <c r="AQ2607" s="82"/>
      <c r="AR2607" s="82"/>
      <c r="AS2607" s="82"/>
      <c r="AT2607" s="82"/>
      <c r="AU2607" s="82"/>
      <c r="AV2607" s="82"/>
      <c r="AW2607" s="82" t="str">
        <f t="shared" si="1"/>
        <v/>
      </c>
      <c r="AX2607" s="83" t="str">
        <f t="array" ref="AX2607">IFERROR(DGET('SBV Import'!A:G,"SBV",{"RSC ID","Tier";B2607,A2607}))</f>
        <v/>
      </c>
      <c r="AY2607" s="82" t="str">
        <f t="shared" si="2"/>
        <v/>
      </c>
      <c r="AZ2607" s="82"/>
      <c r="BA2607" s="84" t="s">
        <v>152</v>
      </c>
      <c r="BB2607" s="84" t="str">
        <f>IFERROR(__xludf.DUMMYFUNCTION("iferror(if(A2607="""",,E2607&gt;=FILTER(Constants!$F$2:$F$10,Constants!$A$2:$A$10=A2607)))"),"")</f>
        <v/>
      </c>
    </row>
    <row r="2608">
      <c r="A2608" s="89"/>
      <c r="B2608" s="87"/>
      <c r="C2608" s="73"/>
      <c r="D2608" s="73"/>
      <c r="E2608" s="82"/>
      <c r="F2608" s="82"/>
      <c r="G2608" s="86"/>
      <c r="H2608" s="86"/>
      <c r="I2608" s="86"/>
      <c r="J2608" s="82"/>
      <c r="K2608" s="82"/>
      <c r="L2608" s="82"/>
      <c r="M2608" s="82"/>
      <c r="N2608" s="82"/>
      <c r="O2608" s="82"/>
      <c r="P2608" s="82"/>
      <c r="Q2608" s="82"/>
      <c r="R2608" s="82"/>
      <c r="S2608" s="82"/>
      <c r="T2608" s="82"/>
      <c r="U2608" s="82"/>
      <c r="V2608" s="82"/>
      <c r="W2608" s="82"/>
      <c r="X2608" s="82"/>
      <c r="Y2608" s="82"/>
      <c r="Z2608" s="82"/>
      <c r="AA2608" s="82"/>
      <c r="AB2608" s="82"/>
      <c r="AC2608" s="82"/>
      <c r="AD2608" s="82"/>
      <c r="AE2608" s="82"/>
      <c r="AF2608" s="82"/>
      <c r="AG2608" s="82"/>
      <c r="AH2608" s="82"/>
      <c r="AI2608" s="82"/>
      <c r="AJ2608" s="82"/>
      <c r="AK2608" s="82"/>
      <c r="AL2608" s="82"/>
      <c r="AM2608" s="82"/>
      <c r="AN2608" s="82"/>
      <c r="AO2608" s="82"/>
      <c r="AP2608" s="82"/>
      <c r="AQ2608" s="82"/>
      <c r="AR2608" s="82"/>
      <c r="AS2608" s="82"/>
      <c r="AT2608" s="82"/>
      <c r="AU2608" s="82"/>
      <c r="AV2608" s="82"/>
      <c r="AW2608" s="82" t="str">
        <f t="shared" si="1"/>
        <v/>
      </c>
      <c r="AX2608" s="83" t="str">
        <f t="array" ref="AX2608">IFERROR(DGET('SBV Import'!A:G,"SBV",{"RSC ID","Tier";B2608,A2608}))</f>
        <v/>
      </c>
      <c r="AY2608" s="82" t="str">
        <f t="shared" si="2"/>
        <v/>
      </c>
      <c r="AZ2608" s="82"/>
      <c r="BA2608" s="84" t="s">
        <v>152</v>
      </c>
      <c r="BB2608" s="84" t="str">
        <f>IFERROR(__xludf.DUMMYFUNCTION("iferror(if(A2608="""",,E2608&gt;=FILTER(Constants!$F$2:$F$10,Constants!$A$2:$A$10=A2608)))"),"")</f>
        <v/>
      </c>
    </row>
    <row r="2609">
      <c r="A2609" s="89"/>
      <c r="B2609" s="87"/>
      <c r="C2609" s="73"/>
      <c r="D2609" s="73"/>
      <c r="E2609" s="82"/>
      <c r="F2609" s="82"/>
      <c r="G2609" s="86"/>
      <c r="H2609" s="86"/>
      <c r="I2609" s="86"/>
      <c r="J2609" s="82"/>
      <c r="K2609" s="82"/>
      <c r="L2609" s="82"/>
      <c r="M2609" s="82"/>
      <c r="N2609" s="82"/>
      <c r="O2609" s="82"/>
      <c r="P2609" s="82"/>
      <c r="Q2609" s="82"/>
      <c r="R2609" s="82"/>
      <c r="S2609" s="82"/>
      <c r="T2609" s="82"/>
      <c r="U2609" s="82"/>
      <c r="V2609" s="82"/>
      <c r="W2609" s="82"/>
      <c r="X2609" s="82"/>
      <c r="Y2609" s="82"/>
      <c r="Z2609" s="82"/>
      <c r="AA2609" s="82"/>
      <c r="AB2609" s="82"/>
      <c r="AC2609" s="82"/>
      <c r="AD2609" s="82"/>
      <c r="AE2609" s="82"/>
      <c r="AF2609" s="82"/>
      <c r="AG2609" s="82"/>
      <c r="AH2609" s="82"/>
      <c r="AI2609" s="82"/>
      <c r="AJ2609" s="82"/>
      <c r="AK2609" s="82"/>
      <c r="AL2609" s="82"/>
      <c r="AM2609" s="82"/>
      <c r="AN2609" s="82"/>
      <c r="AO2609" s="82"/>
      <c r="AP2609" s="82"/>
      <c r="AQ2609" s="82"/>
      <c r="AR2609" s="82"/>
      <c r="AS2609" s="82"/>
      <c r="AT2609" s="82"/>
      <c r="AU2609" s="82"/>
      <c r="AV2609" s="82"/>
      <c r="AW2609" s="82" t="str">
        <f t="shared" si="1"/>
        <v/>
      </c>
      <c r="AX2609" s="83" t="str">
        <f t="array" ref="AX2609">IFERROR(DGET('SBV Import'!A:G,"SBV",{"RSC ID","Tier";B2609,A2609}))</f>
        <v/>
      </c>
      <c r="AY2609" s="82" t="str">
        <f t="shared" si="2"/>
        <v/>
      </c>
      <c r="AZ2609" s="82"/>
      <c r="BA2609" s="84" t="s">
        <v>152</v>
      </c>
      <c r="BB2609" s="84" t="str">
        <f>IFERROR(__xludf.DUMMYFUNCTION("iferror(if(A2609="""",,E2609&gt;=FILTER(Constants!$F$2:$F$10,Constants!$A$2:$A$10=A2609)))"),"")</f>
        <v/>
      </c>
    </row>
    <row r="2610">
      <c r="A2610" s="89"/>
      <c r="B2610" s="87"/>
      <c r="C2610" s="73"/>
      <c r="D2610" s="73"/>
      <c r="E2610" s="82"/>
      <c r="F2610" s="82"/>
      <c r="G2610" s="86"/>
      <c r="H2610" s="86"/>
      <c r="I2610" s="86"/>
      <c r="J2610" s="82"/>
      <c r="K2610" s="82"/>
      <c r="L2610" s="82"/>
      <c r="M2610" s="82"/>
      <c r="N2610" s="82"/>
      <c r="O2610" s="82"/>
      <c r="P2610" s="82"/>
      <c r="Q2610" s="82"/>
      <c r="R2610" s="82"/>
      <c r="S2610" s="82"/>
      <c r="T2610" s="82"/>
      <c r="U2610" s="82"/>
      <c r="V2610" s="82"/>
      <c r="W2610" s="82"/>
      <c r="X2610" s="82"/>
      <c r="Y2610" s="82"/>
      <c r="Z2610" s="82"/>
      <c r="AA2610" s="82"/>
      <c r="AB2610" s="82"/>
      <c r="AC2610" s="82"/>
      <c r="AD2610" s="82"/>
      <c r="AE2610" s="82"/>
      <c r="AF2610" s="82"/>
      <c r="AG2610" s="82"/>
      <c r="AH2610" s="82"/>
      <c r="AI2610" s="82"/>
      <c r="AJ2610" s="82"/>
      <c r="AK2610" s="82"/>
      <c r="AL2610" s="82"/>
      <c r="AM2610" s="82"/>
      <c r="AN2610" s="82"/>
      <c r="AO2610" s="82"/>
      <c r="AP2610" s="82"/>
      <c r="AQ2610" s="82"/>
      <c r="AR2610" s="82"/>
      <c r="AS2610" s="82"/>
      <c r="AT2610" s="82"/>
      <c r="AU2610" s="82"/>
      <c r="AV2610" s="82"/>
      <c r="AW2610" s="82" t="str">
        <f t="shared" si="1"/>
        <v/>
      </c>
      <c r="AX2610" s="83" t="str">
        <f t="array" ref="AX2610">IFERROR(DGET('SBV Import'!A:G,"SBV",{"RSC ID","Tier";B2610,A2610}))</f>
        <v/>
      </c>
      <c r="AY2610" s="82" t="str">
        <f t="shared" si="2"/>
        <v/>
      </c>
      <c r="AZ2610" s="82"/>
      <c r="BA2610" s="84" t="s">
        <v>152</v>
      </c>
      <c r="BB2610" s="84" t="str">
        <f>IFERROR(__xludf.DUMMYFUNCTION("iferror(if(A2610="""",,E2610&gt;=FILTER(Constants!$F$2:$F$10,Constants!$A$2:$A$10=A2610)))"),"")</f>
        <v/>
      </c>
    </row>
    <row r="2611">
      <c r="A2611" s="89"/>
      <c r="B2611" s="87"/>
      <c r="C2611" s="73"/>
      <c r="D2611" s="73"/>
      <c r="E2611" s="82"/>
      <c r="F2611" s="82"/>
      <c r="G2611" s="86"/>
      <c r="H2611" s="86"/>
      <c r="I2611" s="86"/>
      <c r="J2611" s="82"/>
      <c r="K2611" s="82"/>
      <c r="L2611" s="82"/>
      <c r="M2611" s="82"/>
      <c r="N2611" s="82"/>
      <c r="O2611" s="82"/>
      <c r="P2611" s="82"/>
      <c r="Q2611" s="82"/>
      <c r="R2611" s="82"/>
      <c r="S2611" s="82"/>
      <c r="T2611" s="82"/>
      <c r="U2611" s="82"/>
      <c r="V2611" s="82"/>
      <c r="W2611" s="82"/>
      <c r="X2611" s="82"/>
      <c r="Y2611" s="82"/>
      <c r="Z2611" s="82"/>
      <c r="AA2611" s="82"/>
      <c r="AB2611" s="82"/>
      <c r="AC2611" s="82"/>
      <c r="AD2611" s="82"/>
      <c r="AE2611" s="82"/>
      <c r="AF2611" s="82"/>
      <c r="AG2611" s="82"/>
      <c r="AH2611" s="82"/>
      <c r="AI2611" s="82"/>
      <c r="AJ2611" s="82"/>
      <c r="AK2611" s="82"/>
      <c r="AL2611" s="82"/>
      <c r="AM2611" s="82"/>
      <c r="AN2611" s="82"/>
      <c r="AO2611" s="82"/>
      <c r="AP2611" s="82"/>
      <c r="AQ2611" s="82"/>
      <c r="AR2611" s="82"/>
      <c r="AS2611" s="82"/>
      <c r="AT2611" s="82"/>
      <c r="AU2611" s="82"/>
      <c r="AV2611" s="82"/>
      <c r="AW2611" s="82" t="str">
        <f t="shared" si="1"/>
        <v/>
      </c>
      <c r="AX2611" s="83" t="str">
        <f t="array" ref="AX2611">IFERROR(DGET('SBV Import'!A:G,"SBV",{"RSC ID","Tier";B2611,A2611}))</f>
        <v/>
      </c>
      <c r="AY2611" s="82" t="str">
        <f t="shared" si="2"/>
        <v/>
      </c>
      <c r="AZ2611" s="82"/>
      <c r="BA2611" s="84" t="s">
        <v>152</v>
      </c>
      <c r="BB2611" s="84" t="str">
        <f>IFERROR(__xludf.DUMMYFUNCTION("iferror(if(A2611="""",,E2611&gt;=FILTER(Constants!$F$2:$F$10,Constants!$A$2:$A$10=A2611)))"),"")</f>
        <v/>
      </c>
    </row>
    <row r="2612">
      <c r="A2612" s="89"/>
      <c r="B2612" s="87"/>
      <c r="C2612" s="73"/>
      <c r="D2612" s="73"/>
      <c r="E2612" s="82"/>
      <c r="F2612" s="82"/>
      <c r="G2612" s="86"/>
      <c r="H2612" s="86"/>
      <c r="I2612" s="86"/>
      <c r="J2612" s="82"/>
      <c r="K2612" s="82"/>
      <c r="L2612" s="82"/>
      <c r="M2612" s="82"/>
      <c r="N2612" s="82"/>
      <c r="O2612" s="82"/>
      <c r="P2612" s="82"/>
      <c r="Q2612" s="82"/>
      <c r="R2612" s="82"/>
      <c r="S2612" s="82"/>
      <c r="T2612" s="82"/>
      <c r="U2612" s="82"/>
      <c r="V2612" s="82"/>
      <c r="W2612" s="82"/>
      <c r="X2612" s="82"/>
      <c r="Y2612" s="82"/>
      <c r="Z2612" s="82"/>
      <c r="AA2612" s="82"/>
      <c r="AB2612" s="82"/>
      <c r="AC2612" s="82"/>
      <c r="AD2612" s="82"/>
      <c r="AE2612" s="82"/>
      <c r="AF2612" s="82"/>
      <c r="AG2612" s="82"/>
      <c r="AH2612" s="82"/>
      <c r="AI2612" s="82"/>
      <c r="AJ2612" s="82"/>
      <c r="AK2612" s="82"/>
      <c r="AL2612" s="82"/>
      <c r="AM2612" s="82"/>
      <c r="AN2612" s="82"/>
      <c r="AO2612" s="82"/>
      <c r="AP2612" s="82"/>
      <c r="AQ2612" s="82"/>
      <c r="AR2612" s="82"/>
      <c r="AS2612" s="82"/>
      <c r="AT2612" s="82"/>
      <c r="AU2612" s="82"/>
      <c r="AV2612" s="82"/>
      <c r="AW2612" s="82" t="str">
        <f t="shared" si="1"/>
        <v/>
      </c>
      <c r="AX2612" s="83" t="str">
        <f t="array" ref="AX2612">IFERROR(DGET('SBV Import'!A:G,"SBV",{"RSC ID","Tier";B2612,A2612}))</f>
        <v/>
      </c>
      <c r="AY2612" s="82" t="str">
        <f t="shared" si="2"/>
        <v/>
      </c>
      <c r="AZ2612" s="82"/>
      <c r="BA2612" s="84" t="s">
        <v>152</v>
      </c>
      <c r="BB2612" s="84" t="str">
        <f>IFERROR(__xludf.DUMMYFUNCTION("iferror(if(A2612="""",,E2612&gt;=FILTER(Constants!$F$2:$F$10,Constants!$A$2:$A$10=A2612)))"),"")</f>
        <v/>
      </c>
    </row>
    <row r="2613">
      <c r="A2613" s="89"/>
      <c r="B2613" s="87"/>
      <c r="C2613" s="73"/>
      <c r="D2613" s="73"/>
      <c r="E2613" s="82"/>
      <c r="F2613" s="82"/>
      <c r="G2613" s="86"/>
      <c r="H2613" s="86"/>
      <c r="I2613" s="86"/>
      <c r="J2613" s="82"/>
      <c r="K2613" s="82"/>
      <c r="L2613" s="82"/>
      <c r="M2613" s="82"/>
      <c r="N2613" s="82"/>
      <c r="O2613" s="82"/>
      <c r="P2613" s="82"/>
      <c r="Q2613" s="82"/>
      <c r="R2613" s="82"/>
      <c r="S2613" s="82"/>
      <c r="T2613" s="82"/>
      <c r="U2613" s="82"/>
      <c r="V2613" s="82"/>
      <c r="W2613" s="82"/>
      <c r="X2613" s="82"/>
      <c r="Y2613" s="82"/>
      <c r="Z2613" s="82"/>
      <c r="AA2613" s="82"/>
      <c r="AB2613" s="82"/>
      <c r="AC2613" s="82"/>
      <c r="AD2613" s="82"/>
      <c r="AE2613" s="82"/>
      <c r="AF2613" s="82"/>
      <c r="AG2613" s="82"/>
      <c r="AH2613" s="82"/>
      <c r="AI2613" s="82"/>
      <c r="AJ2613" s="82"/>
      <c r="AK2613" s="82"/>
      <c r="AL2613" s="82"/>
      <c r="AM2613" s="82"/>
      <c r="AN2613" s="82"/>
      <c r="AO2613" s="82"/>
      <c r="AP2613" s="82"/>
      <c r="AQ2613" s="82"/>
      <c r="AR2613" s="82"/>
      <c r="AS2613" s="82"/>
      <c r="AT2613" s="82"/>
      <c r="AU2613" s="82"/>
      <c r="AV2613" s="82"/>
      <c r="AW2613" s="82" t="str">
        <f t="shared" si="1"/>
        <v/>
      </c>
      <c r="AX2613" s="83" t="str">
        <f t="array" ref="AX2613">IFERROR(DGET('SBV Import'!A:G,"SBV",{"RSC ID","Tier";B2613,A2613}))</f>
        <v/>
      </c>
      <c r="AY2613" s="82" t="str">
        <f t="shared" si="2"/>
        <v/>
      </c>
      <c r="AZ2613" s="82"/>
      <c r="BA2613" s="84" t="s">
        <v>152</v>
      </c>
      <c r="BB2613" s="84" t="str">
        <f>IFERROR(__xludf.DUMMYFUNCTION("iferror(if(A2613="""",,E2613&gt;=FILTER(Constants!$F$2:$F$10,Constants!$A$2:$A$10=A2613)))"),"")</f>
        <v/>
      </c>
    </row>
    <row r="2614">
      <c r="A2614" s="89"/>
      <c r="B2614" s="87"/>
      <c r="C2614" s="73"/>
      <c r="D2614" s="73"/>
      <c r="E2614" s="82"/>
      <c r="F2614" s="82"/>
      <c r="G2614" s="86"/>
      <c r="H2614" s="86"/>
      <c r="I2614" s="86"/>
      <c r="J2614" s="82"/>
      <c r="K2614" s="82"/>
      <c r="L2614" s="82"/>
      <c r="M2614" s="82"/>
      <c r="N2614" s="82"/>
      <c r="O2614" s="82"/>
      <c r="P2614" s="82"/>
      <c r="Q2614" s="82"/>
      <c r="R2614" s="82"/>
      <c r="S2614" s="82"/>
      <c r="T2614" s="82"/>
      <c r="U2614" s="82"/>
      <c r="V2614" s="82"/>
      <c r="W2614" s="82"/>
      <c r="X2614" s="82"/>
      <c r="Y2614" s="82"/>
      <c r="Z2614" s="82"/>
      <c r="AA2614" s="82"/>
      <c r="AB2614" s="82"/>
      <c r="AC2614" s="82"/>
      <c r="AD2614" s="82"/>
      <c r="AE2614" s="82"/>
      <c r="AF2614" s="82"/>
      <c r="AG2614" s="82"/>
      <c r="AH2614" s="82"/>
      <c r="AI2614" s="82"/>
      <c r="AJ2614" s="82"/>
      <c r="AK2614" s="82"/>
      <c r="AL2614" s="82"/>
      <c r="AM2614" s="82"/>
      <c r="AN2614" s="82"/>
      <c r="AO2614" s="82"/>
      <c r="AP2614" s="82"/>
      <c r="AQ2614" s="82"/>
      <c r="AR2614" s="82"/>
      <c r="AS2614" s="82"/>
      <c r="AT2614" s="82"/>
      <c r="AU2614" s="82"/>
      <c r="AV2614" s="82"/>
      <c r="AW2614" s="82" t="str">
        <f t="shared" si="1"/>
        <v/>
      </c>
      <c r="AX2614" s="83" t="str">
        <f t="array" ref="AX2614">IFERROR(DGET('SBV Import'!A:G,"SBV",{"RSC ID","Tier";B2614,A2614}))</f>
        <v/>
      </c>
      <c r="AY2614" s="82" t="str">
        <f t="shared" si="2"/>
        <v/>
      </c>
      <c r="AZ2614" s="82"/>
      <c r="BA2614" s="84" t="s">
        <v>152</v>
      </c>
      <c r="BB2614" s="84" t="str">
        <f>IFERROR(__xludf.DUMMYFUNCTION("iferror(if(A2614="""",,E2614&gt;=FILTER(Constants!$F$2:$F$10,Constants!$A$2:$A$10=A2614)))"),"")</f>
        <v/>
      </c>
    </row>
    <row r="2615">
      <c r="A2615" s="89"/>
      <c r="B2615" s="87"/>
      <c r="C2615" s="73"/>
      <c r="D2615" s="73"/>
      <c r="E2615" s="82"/>
      <c r="F2615" s="82"/>
      <c r="G2615" s="86"/>
      <c r="H2615" s="86"/>
      <c r="I2615" s="86"/>
      <c r="J2615" s="82"/>
      <c r="K2615" s="82"/>
      <c r="L2615" s="82"/>
      <c r="M2615" s="82"/>
      <c r="N2615" s="82"/>
      <c r="O2615" s="82"/>
      <c r="P2615" s="82"/>
      <c r="Q2615" s="82"/>
      <c r="R2615" s="82"/>
      <c r="S2615" s="82"/>
      <c r="T2615" s="82"/>
      <c r="U2615" s="82"/>
      <c r="V2615" s="82"/>
      <c r="W2615" s="82"/>
      <c r="X2615" s="82"/>
      <c r="Y2615" s="82"/>
      <c r="Z2615" s="82"/>
      <c r="AA2615" s="82"/>
      <c r="AB2615" s="82"/>
      <c r="AC2615" s="82"/>
      <c r="AD2615" s="82"/>
      <c r="AE2615" s="82"/>
      <c r="AF2615" s="82"/>
      <c r="AG2615" s="82"/>
      <c r="AH2615" s="82"/>
      <c r="AI2615" s="82"/>
      <c r="AJ2615" s="82"/>
      <c r="AK2615" s="82"/>
      <c r="AL2615" s="82"/>
      <c r="AM2615" s="82"/>
      <c r="AN2615" s="82"/>
      <c r="AO2615" s="82"/>
      <c r="AP2615" s="82"/>
      <c r="AQ2615" s="82"/>
      <c r="AR2615" s="82"/>
      <c r="AS2615" s="82"/>
      <c r="AT2615" s="82"/>
      <c r="AU2615" s="82"/>
      <c r="AV2615" s="82"/>
      <c r="AW2615" s="82" t="str">
        <f t="shared" si="1"/>
        <v/>
      </c>
      <c r="AX2615" s="83" t="str">
        <f t="array" ref="AX2615">IFERROR(DGET('SBV Import'!A:G,"SBV",{"RSC ID","Tier";B2615,A2615}))</f>
        <v/>
      </c>
      <c r="AY2615" s="82" t="str">
        <f t="shared" si="2"/>
        <v/>
      </c>
      <c r="AZ2615" s="82"/>
      <c r="BA2615" s="84" t="s">
        <v>152</v>
      </c>
      <c r="BB2615" s="84" t="str">
        <f>IFERROR(__xludf.DUMMYFUNCTION("iferror(if(A2615="""",,E2615&gt;=FILTER(Constants!$F$2:$F$10,Constants!$A$2:$A$10=A2615)))"),"")</f>
        <v/>
      </c>
    </row>
    <row r="2616">
      <c r="A2616" s="89"/>
      <c r="B2616" s="87"/>
      <c r="C2616" s="73"/>
      <c r="D2616" s="73"/>
      <c r="E2616" s="82"/>
      <c r="F2616" s="82"/>
      <c r="G2616" s="86"/>
      <c r="H2616" s="86"/>
      <c r="I2616" s="86"/>
      <c r="J2616" s="82"/>
      <c r="K2616" s="82"/>
      <c r="L2616" s="82"/>
      <c r="M2616" s="82"/>
      <c r="N2616" s="82"/>
      <c r="O2616" s="82"/>
      <c r="P2616" s="82"/>
      <c r="Q2616" s="82"/>
      <c r="R2616" s="82"/>
      <c r="S2616" s="82"/>
      <c r="T2616" s="82"/>
      <c r="U2616" s="82"/>
      <c r="V2616" s="82"/>
      <c r="W2616" s="82"/>
      <c r="X2616" s="82"/>
      <c r="Y2616" s="82"/>
      <c r="Z2616" s="82"/>
      <c r="AA2616" s="82"/>
      <c r="AB2616" s="82"/>
      <c r="AC2616" s="82"/>
      <c r="AD2616" s="82"/>
      <c r="AE2616" s="82"/>
      <c r="AF2616" s="82"/>
      <c r="AG2616" s="82"/>
      <c r="AH2616" s="82"/>
      <c r="AI2616" s="82"/>
      <c r="AJ2616" s="82"/>
      <c r="AK2616" s="82"/>
      <c r="AL2616" s="82"/>
      <c r="AM2616" s="82"/>
      <c r="AN2616" s="82"/>
      <c r="AO2616" s="82"/>
      <c r="AP2616" s="82"/>
      <c r="AQ2616" s="82"/>
      <c r="AR2616" s="82"/>
      <c r="AS2616" s="82"/>
      <c r="AT2616" s="82"/>
      <c r="AU2616" s="82"/>
      <c r="AV2616" s="82"/>
      <c r="AW2616" s="82" t="str">
        <f t="shared" si="1"/>
        <v/>
      </c>
      <c r="AX2616" s="83" t="str">
        <f t="array" ref="AX2616">IFERROR(DGET('SBV Import'!A:G,"SBV",{"RSC ID","Tier";B2616,A2616}))</f>
        <v/>
      </c>
      <c r="AY2616" s="82" t="str">
        <f t="shared" si="2"/>
        <v/>
      </c>
      <c r="AZ2616" s="82"/>
      <c r="BA2616" s="84" t="s">
        <v>152</v>
      </c>
      <c r="BB2616" s="84" t="str">
        <f>IFERROR(__xludf.DUMMYFUNCTION("iferror(if(A2616="""",,E2616&gt;=FILTER(Constants!$F$2:$F$10,Constants!$A$2:$A$10=A2616)))"),"")</f>
        <v/>
      </c>
    </row>
    <row r="2617">
      <c r="A2617" s="89"/>
      <c r="B2617" s="87"/>
      <c r="C2617" s="73"/>
      <c r="D2617" s="73"/>
      <c r="E2617" s="82"/>
      <c r="F2617" s="82"/>
      <c r="G2617" s="86"/>
      <c r="H2617" s="86"/>
      <c r="I2617" s="86"/>
      <c r="J2617" s="82"/>
      <c r="K2617" s="82"/>
      <c r="L2617" s="82"/>
      <c r="M2617" s="82"/>
      <c r="N2617" s="82"/>
      <c r="O2617" s="82"/>
      <c r="P2617" s="82"/>
      <c r="Q2617" s="82"/>
      <c r="R2617" s="82"/>
      <c r="S2617" s="82"/>
      <c r="T2617" s="82"/>
      <c r="U2617" s="82"/>
      <c r="V2617" s="82"/>
      <c r="W2617" s="82"/>
      <c r="X2617" s="82"/>
      <c r="Y2617" s="82"/>
      <c r="Z2617" s="82"/>
      <c r="AA2617" s="82"/>
      <c r="AB2617" s="82"/>
      <c r="AC2617" s="82"/>
      <c r="AD2617" s="82"/>
      <c r="AE2617" s="82"/>
      <c r="AF2617" s="82"/>
      <c r="AG2617" s="82"/>
      <c r="AH2617" s="82"/>
      <c r="AI2617" s="82"/>
      <c r="AJ2617" s="82"/>
      <c r="AK2617" s="82"/>
      <c r="AL2617" s="82"/>
      <c r="AM2617" s="82"/>
      <c r="AN2617" s="82"/>
      <c r="AO2617" s="82"/>
      <c r="AP2617" s="82"/>
      <c r="AQ2617" s="82"/>
      <c r="AR2617" s="82"/>
      <c r="AS2617" s="82"/>
      <c r="AT2617" s="82"/>
      <c r="AU2617" s="82"/>
      <c r="AV2617" s="82"/>
      <c r="AW2617" s="82" t="str">
        <f t="shared" si="1"/>
        <v/>
      </c>
      <c r="AX2617" s="83" t="str">
        <f t="array" ref="AX2617">IFERROR(DGET('SBV Import'!A:G,"SBV",{"RSC ID","Tier";B2617,A2617}))</f>
        <v/>
      </c>
      <c r="AY2617" s="82" t="str">
        <f t="shared" si="2"/>
        <v/>
      </c>
      <c r="AZ2617" s="82"/>
      <c r="BA2617" s="84" t="s">
        <v>152</v>
      </c>
      <c r="BB2617" s="84" t="str">
        <f>IFERROR(__xludf.DUMMYFUNCTION("iferror(if(A2617="""",,E2617&gt;=FILTER(Constants!$F$2:$F$10,Constants!$A$2:$A$10=A2617)))"),"")</f>
        <v/>
      </c>
    </row>
    <row r="2618">
      <c r="A2618" s="89"/>
      <c r="B2618" s="87"/>
      <c r="C2618" s="73"/>
      <c r="D2618" s="73"/>
      <c r="E2618" s="82"/>
      <c r="F2618" s="82"/>
      <c r="G2618" s="86"/>
      <c r="H2618" s="86"/>
      <c r="I2618" s="86"/>
      <c r="J2618" s="82"/>
      <c r="K2618" s="82"/>
      <c r="L2618" s="82"/>
      <c r="M2618" s="82"/>
      <c r="N2618" s="82"/>
      <c r="O2618" s="82"/>
      <c r="P2618" s="82"/>
      <c r="Q2618" s="82"/>
      <c r="R2618" s="82"/>
      <c r="S2618" s="82"/>
      <c r="T2618" s="82"/>
      <c r="U2618" s="82"/>
      <c r="V2618" s="82"/>
      <c r="W2618" s="82"/>
      <c r="X2618" s="82"/>
      <c r="Y2618" s="82"/>
      <c r="Z2618" s="82"/>
      <c r="AA2618" s="82"/>
      <c r="AB2618" s="82"/>
      <c r="AC2618" s="82"/>
      <c r="AD2618" s="82"/>
      <c r="AE2618" s="82"/>
      <c r="AF2618" s="82"/>
      <c r="AG2618" s="82"/>
      <c r="AH2618" s="82"/>
      <c r="AI2618" s="82"/>
      <c r="AJ2618" s="82"/>
      <c r="AK2618" s="82"/>
      <c r="AL2618" s="82"/>
      <c r="AM2618" s="82"/>
      <c r="AN2618" s="82"/>
      <c r="AO2618" s="82"/>
      <c r="AP2618" s="82"/>
      <c r="AQ2618" s="82"/>
      <c r="AR2618" s="82"/>
      <c r="AS2618" s="82"/>
      <c r="AT2618" s="82"/>
      <c r="AU2618" s="82"/>
      <c r="AV2618" s="82"/>
      <c r="AW2618" s="82" t="str">
        <f t="shared" si="1"/>
        <v/>
      </c>
      <c r="AX2618" s="83" t="str">
        <f t="array" ref="AX2618">IFERROR(DGET('SBV Import'!A:G,"SBV",{"RSC ID","Tier";B2618,A2618}))</f>
        <v/>
      </c>
      <c r="AY2618" s="82" t="str">
        <f t="shared" si="2"/>
        <v/>
      </c>
      <c r="AZ2618" s="82"/>
      <c r="BA2618" s="84" t="s">
        <v>152</v>
      </c>
      <c r="BB2618" s="84" t="str">
        <f>IFERROR(__xludf.DUMMYFUNCTION("iferror(if(A2618="""",,E2618&gt;=FILTER(Constants!$F$2:$F$10,Constants!$A$2:$A$10=A2618)))"),"")</f>
        <v/>
      </c>
    </row>
    <row r="2619">
      <c r="A2619" s="89"/>
      <c r="B2619" s="87"/>
      <c r="C2619" s="73"/>
      <c r="D2619" s="73"/>
      <c r="E2619" s="82"/>
      <c r="F2619" s="82"/>
      <c r="G2619" s="86"/>
      <c r="H2619" s="86"/>
      <c r="I2619" s="86"/>
      <c r="J2619" s="82"/>
      <c r="K2619" s="82"/>
      <c r="L2619" s="82"/>
      <c r="M2619" s="82"/>
      <c r="N2619" s="82"/>
      <c r="O2619" s="82"/>
      <c r="P2619" s="82"/>
      <c r="Q2619" s="82"/>
      <c r="R2619" s="82"/>
      <c r="S2619" s="82"/>
      <c r="T2619" s="82"/>
      <c r="U2619" s="82"/>
      <c r="V2619" s="82"/>
      <c r="W2619" s="82"/>
      <c r="X2619" s="82"/>
      <c r="Y2619" s="82"/>
      <c r="Z2619" s="82"/>
      <c r="AA2619" s="82"/>
      <c r="AB2619" s="82"/>
      <c r="AC2619" s="82"/>
      <c r="AD2619" s="82"/>
      <c r="AE2619" s="82"/>
      <c r="AF2619" s="82"/>
      <c r="AG2619" s="82"/>
      <c r="AH2619" s="82"/>
      <c r="AI2619" s="82"/>
      <c r="AJ2619" s="82"/>
      <c r="AK2619" s="82"/>
      <c r="AL2619" s="82"/>
      <c r="AM2619" s="82"/>
      <c r="AN2619" s="82"/>
      <c r="AO2619" s="82"/>
      <c r="AP2619" s="82"/>
      <c r="AQ2619" s="82"/>
      <c r="AR2619" s="82"/>
      <c r="AS2619" s="82"/>
      <c r="AT2619" s="82"/>
      <c r="AU2619" s="82"/>
      <c r="AV2619" s="82"/>
      <c r="AW2619" s="82" t="str">
        <f t="shared" si="1"/>
        <v/>
      </c>
      <c r="AX2619" s="83" t="str">
        <f t="array" ref="AX2619">IFERROR(DGET('SBV Import'!A:G,"SBV",{"RSC ID","Tier";B2619,A2619}))</f>
        <v/>
      </c>
      <c r="AY2619" s="82" t="str">
        <f t="shared" si="2"/>
        <v/>
      </c>
      <c r="AZ2619" s="82"/>
      <c r="BA2619" s="84" t="s">
        <v>152</v>
      </c>
      <c r="BB2619" s="84" t="str">
        <f>IFERROR(__xludf.DUMMYFUNCTION("iferror(if(A2619="""",,E2619&gt;=FILTER(Constants!$F$2:$F$10,Constants!$A$2:$A$10=A2619)))"),"")</f>
        <v/>
      </c>
    </row>
    <row r="2620">
      <c r="A2620" s="89"/>
      <c r="B2620" s="87"/>
      <c r="C2620" s="73"/>
      <c r="D2620" s="73"/>
      <c r="E2620" s="82"/>
      <c r="F2620" s="82"/>
      <c r="G2620" s="86"/>
      <c r="H2620" s="86"/>
      <c r="I2620" s="86"/>
      <c r="J2620" s="82"/>
      <c r="K2620" s="82"/>
      <c r="L2620" s="82"/>
      <c r="M2620" s="82"/>
      <c r="N2620" s="82"/>
      <c r="O2620" s="82"/>
      <c r="P2620" s="82"/>
      <c r="Q2620" s="82"/>
      <c r="R2620" s="82"/>
      <c r="S2620" s="82"/>
      <c r="T2620" s="82"/>
      <c r="U2620" s="82"/>
      <c r="V2620" s="82"/>
      <c r="W2620" s="82"/>
      <c r="X2620" s="82"/>
      <c r="Y2620" s="82"/>
      <c r="Z2620" s="82"/>
      <c r="AA2620" s="82"/>
      <c r="AB2620" s="82"/>
      <c r="AC2620" s="82"/>
      <c r="AD2620" s="82"/>
      <c r="AE2620" s="82"/>
      <c r="AF2620" s="82"/>
      <c r="AG2620" s="82"/>
      <c r="AH2620" s="82"/>
      <c r="AI2620" s="82"/>
      <c r="AJ2620" s="82"/>
      <c r="AK2620" s="82"/>
      <c r="AL2620" s="82"/>
      <c r="AM2620" s="82"/>
      <c r="AN2620" s="82"/>
      <c r="AO2620" s="82"/>
      <c r="AP2620" s="82"/>
      <c r="AQ2620" s="82"/>
      <c r="AR2620" s="82"/>
      <c r="AS2620" s="82"/>
      <c r="AT2620" s="82"/>
      <c r="AU2620" s="82"/>
      <c r="AV2620" s="82"/>
      <c r="AW2620" s="82" t="str">
        <f t="shared" si="1"/>
        <v/>
      </c>
      <c r="AX2620" s="83" t="str">
        <f t="array" ref="AX2620">IFERROR(DGET('SBV Import'!A:G,"SBV",{"RSC ID","Tier";B2620,A2620}))</f>
        <v/>
      </c>
      <c r="AY2620" s="82" t="str">
        <f t="shared" si="2"/>
        <v/>
      </c>
      <c r="AZ2620" s="82"/>
      <c r="BA2620" s="84" t="s">
        <v>152</v>
      </c>
      <c r="BB2620" s="84" t="str">
        <f>IFERROR(__xludf.DUMMYFUNCTION("iferror(if(A2620="""",,E2620&gt;=FILTER(Constants!$F$2:$F$10,Constants!$A$2:$A$10=A2620)))"),"")</f>
        <v/>
      </c>
    </row>
    <row r="2621">
      <c r="A2621" s="89"/>
      <c r="B2621" s="87"/>
      <c r="C2621" s="73"/>
      <c r="D2621" s="73"/>
      <c r="E2621" s="82"/>
      <c r="F2621" s="82"/>
      <c r="G2621" s="86"/>
      <c r="H2621" s="86"/>
      <c r="I2621" s="86"/>
      <c r="J2621" s="82"/>
      <c r="K2621" s="82"/>
      <c r="L2621" s="82"/>
      <c r="M2621" s="82"/>
      <c r="N2621" s="82"/>
      <c r="O2621" s="82"/>
      <c r="P2621" s="82"/>
      <c r="Q2621" s="82"/>
      <c r="R2621" s="82"/>
      <c r="S2621" s="82"/>
      <c r="T2621" s="82"/>
      <c r="U2621" s="82"/>
      <c r="V2621" s="82"/>
      <c r="W2621" s="82"/>
      <c r="X2621" s="82"/>
      <c r="Y2621" s="82"/>
      <c r="Z2621" s="82"/>
      <c r="AA2621" s="82"/>
      <c r="AB2621" s="82"/>
      <c r="AC2621" s="82"/>
      <c r="AD2621" s="82"/>
      <c r="AE2621" s="82"/>
      <c r="AF2621" s="82"/>
      <c r="AG2621" s="82"/>
      <c r="AH2621" s="82"/>
      <c r="AI2621" s="82"/>
      <c r="AJ2621" s="82"/>
      <c r="AK2621" s="82"/>
      <c r="AL2621" s="82"/>
      <c r="AM2621" s="82"/>
      <c r="AN2621" s="82"/>
      <c r="AO2621" s="82"/>
      <c r="AP2621" s="82"/>
      <c r="AQ2621" s="82"/>
      <c r="AR2621" s="82"/>
      <c r="AS2621" s="82"/>
      <c r="AT2621" s="82"/>
      <c r="AU2621" s="82"/>
      <c r="AV2621" s="82"/>
      <c r="AW2621" s="82" t="str">
        <f t="shared" si="1"/>
        <v/>
      </c>
      <c r="AX2621" s="83" t="str">
        <f t="array" ref="AX2621">IFERROR(DGET('SBV Import'!A:G,"SBV",{"RSC ID","Tier";B2621,A2621}))</f>
        <v/>
      </c>
      <c r="AY2621" s="82" t="str">
        <f t="shared" si="2"/>
        <v/>
      </c>
      <c r="AZ2621" s="82"/>
      <c r="BA2621" s="84" t="s">
        <v>152</v>
      </c>
      <c r="BB2621" s="84" t="str">
        <f>IFERROR(__xludf.DUMMYFUNCTION("iferror(if(A2621="""",,E2621&gt;=FILTER(Constants!$F$2:$F$10,Constants!$A$2:$A$10=A2621)))"),"")</f>
        <v/>
      </c>
    </row>
    <row r="2622">
      <c r="A2622" s="89"/>
      <c r="B2622" s="87"/>
      <c r="C2622" s="73"/>
      <c r="D2622" s="73"/>
      <c r="E2622" s="82"/>
      <c r="F2622" s="82"/>
      <c r="G2622" s="86"/>
      <c r="H2622" s="86"/>
      <c r="I2622" s="86"/>
      <c r="J2622" s="82"/>
      <c r="K2622" s="82"/>
      <c r="L2622" s="82"/>
      <c r="M2622" s="82"/>
      <c r="N2622" s="82"/>
      <c r="O2622" s="82"/>
      <c r="P2622" s="82"/>
      <c r="Q2622" s="82"/>
      <c r="R2622" s="82"/>
      <c r="S2622" s="82"/>
      <c r="T2622" s="82"/>
      <c r="U2622" s="82"/>
      <c r="V2622" s="82"/>
      <c r="W2622" s="82"/>
      <c r="X2622" s="82"/>
      <c r="Y2622" s="82"/>
      <c r="Z2622" s="82"/>
      <c r="AA2622" s="82"/>
      <c r="AB2622" s="82"/>
      <c r="AC2622" s="82"/>
      <c r="AD2622" s="82"/>
      <c r="AE2622" s="82"/>
      <c r="AF2622" s="82"/>
      <c r="AG2622" s="82"/>
      <c r="AH2622" s="82"/>
      <c r="AI2622" s="82"/>
      <c r="AJ2622" s="82"/>
      <c r="AK2622" s="82"/>
      <c r="AL2622" s="82"/>
      <c r="AM2622" s="82"/>
      <c r="AN2622" s="82"/>
      <c r="AO2622" s="82"/>
      <c r="AP2622" s="82"/>
      <c r="AQ2622" s="82"/>
      <c r="AR2622" s="82"/>
      <c r="AS2622" s="82"/>
      <c r="AT2622" s="82"/>
      <c r="AU2622" s="82"/>
      <c r="AV2622" s="82"/>
      <c r="AW2622" s="82" t="str">
        <f t="shared" si="1"/>
        <v/>
      </c>
      <c r="AX2622" s="83" t="str">
        <f t="array" ref="AX2622">IFERROR(DGET('SBV Import'!A:G,"SBV",{"RSC ID","Tier";B2622,A2622}))</f>
        <v/>
      </c>
      <c r="AY2622" s="82" t="str">
        <f t="shared" si="2"/>
        <v/>
      </c>
      <c r="AZ2622" s="82"/>
      <c r="BA2622" s="84" t="s">
        <v>152</v>
      </c>
      <c r="BB2622" s="84" t="str">
        <f>IFERROR(__xludf.DUMMYFUNCTION("iferror(if(A2622="""",,E2622&gt;=FILTER(Constants!$F$2:$F$10,Constants!$A$2:$A$10=A2622)))"),"")</f>
        <v/>
      </c>
    </row>
    <row r="2623">
      <c r="A2623" s="89"/>
      <c r="B2623" s="87"/>
      <c r="C2623" s="73"/>
      <c r="D2623" s="73"/>
      <c r="E2623" s="82"/>
      <c r="F2623" s="82"/>
      <c r="G2623" s="86"/>
      <c r="H2623" s="86"/>
      <c r="I2623" s="86"/>
      <c r="J2623" s="82"/>
      <c r="K2623" s="82"/>
      <c r="L2623" s="82"/>
      <c r="M2623" s="82"/>
      <c r="N2623" s="82"/>
      <c r="O2623" s="82"/>
      <c r="P2623" s="82"/>
      <c r="Q2623" s="82"/>
      <c r="R2623" s="82"/>
      <c r="S2623" s="82"/>
      <c r="T2623" s="82"/>
      <c r="U2623" s="82"/>
      <c r="V2623" s="82"/>
      <c r="W2623" s="82"/>
      <c r="X2623" s="82"/>
      <c r="Y2623" s="82"/>
      <c r="Z2623" s="82"/>
      <c r="AA2623" s="82"/>
      <c r="AB2623" s="82"/>
      <c r="AC2623" s="82"/>
      <c r="AD2623" s="82"/>
      <c r="AE2623" s="82"/>
      <c r="AF2623" s="82"/>
      <c r="AG2623" s="82"/>
      <c r="AH2623" s="82"/>
      <c r="AI2623" s="82"/>
      <c r="AJ2623" s="82"/>
      <c r="AK2623" s="82"/>
      <c r="AL2623" s="82"/>
      <c r="AM2623" s="82"/>
      <c r="AN2623" s="82"/>
      <c r="AO2623" s="82"/>
      <c r="AP2623" s="82"/>
      <c r="AQ2623" s="82"/>
      <c r="AR2623" s="82"/>
      <c r="AS2623" s="82"/>
      <c r="AT2623" s="82"/>
      <c r="AU2623" s="82"/>
      <c r="AV2623" s="82"/>
      <c r="AW2623" s="82" t="str">
        <f t="shared" si="1"/>
        <v/>
      </c>
      <c r="AX2623" s="83" t="str">
        <f t="array" ref="AX2623">IFERROR(DGET('SBV Import'!A:G,"SBV",{"RSC ID","Tier";B2623,A2623}))</f>
        <v/>
      </c>
      <c r="AY2623" s="82" t="str">
        <f t="shared" si="2"/>
        <v/>
      </c>
      <c r="AZ2623" s="82"/>
      <c r="BA2623" s="84" t="s">
        <v>152</v>
      </c>
      <c r="BB2623" s="84" t="str">
        <f>IFERROR(__xludf.DUMMYFUNCTION("iferror(if(A2623="""",,E2623&gt;=FILTER(Constants!$F$2:$F$10,Constants!$A$2:$A$10=A2623)))"),"")</f>
        <v/>
      </c>
    </row>
    <row r="2624">
      <c r="A2624" s="89"/>
      <c r="B2624" s="87"/>
      <c r="C2624" s="73"/>
      <c r="D2624" s="73"/>
      <c r="E2624" s="82"/>
      <c r="F2624" s="82"/>
      <c r="G2624" s="86"/>
      <c r="H2624" s="86"/>
      <c r="I2624" s="86"/>
      <c r="J2624" s="82"/>
      <c r="K2624" s="82"/>
      <c r="L2624" s="82"/>
      <c r="M2624" s="82"/>
      <c r="N2624" s="82"/>
      <c r="O2624" s="82"/>
      <c r="P2624" s="82"/>
      <c r="Q2624" s="82"/>
      <c r="R2624" s="82"/>
      <c r="S2624" s="82"/>
      <c r="T2624" s="82"/>
      <c r="U2624" s="82"/>
      <c r="V2624" s="82"/>
      <c r="W2624" s="82"/>
      <c r="X2624" s="82"/>
      <c r="Y2624" s="82"/>
      <c r="Z2624" s="82"/>
      <c r="AA2624" s="82"/>
      <c r="AB2624" s="82"/>
      <c r="AC2624" s="82"/>
      <c r="AD2624" s="82"/>
      <c r="AE2624" s="82"/>
      <c r="AF2624" s="82"/>
      <c r="AG2624" s="82"/>
      <c r="AH2624" s="82"/>
      <c r="AI2624" s="82"/>
      <c r="AJ2624" s="82"/>
      <c r="AK2624" s="82"/>
      <c r="AL2624" s="82"/>
      <c r="AM2624" s="82"/>
      <c r="AN2624" s="82"/>
      <c r="AO2624" s="82"/>
      <c r="AP2624" s="82"/>
      <c r="AQ2624" s="82"/>
      <c r="AR2624" s="82"/>
      <c r="AS2624" s="82"/>
      <c r="AT2624" s="82"/>
      <c r="AU2624" s="82"/>
      <c r="AV2624" s="82"/>
      <c r="AW2624" s="82" t="str">
        <f t="shared" si="1"/>
        <v/>
      </c>
      <c r="AX2624" s="83" t="str">
        <f t="array" ref="AX2624">IFERROR(DGET('SBV Import'!A:G,"SBV",{"RSC ID","Tier";B2624,A2624}))</f>
        <v/>
      </c>
      <c r="AY2624" s="82" t="str">
        <f t="shared" si="2"/>
        <v/>
      </c>
      <c r="AZ2624" s="82"/>
      <c r="BA2624" s="84" t="s">
        <v>152</v>
      </c>
      <c r="BB2624" s="84" t="str">
        <f>IFERROR(__xludf.DUMMYFUNCTION("iferror(if(A2624="""",,E2624&gt;=FILTER(Constants!$F$2:$F$10,Constants!$A$2:$A$10=A2624)))"),"")</f>
        <v/>
      </c>
    </row>
    <row r="2625">
      <c r="A2625" s="89"/>
      <c r="B2625" s="87"/>
      <c r="C2625" s="73"/>
      <c r="D2625" s="73"/>
      <c r="E2625" s="82"/>
      <c r="F2625" s="82"/>
      <c r="G2625" s="86"/>
      <c r="H2625" s="86"/>
      <c r="I2625" s="86"/>
      <c r="J2625" s="82"/>
      <c r="K2625" s="82"/>
      <c r="L2625" s="82"/>
      <c r="M2625" s="82"/>
      <c r="N2625" s="82"/>
      <c r="O2625" s="82"/>
      <c r="P2625" s="82"/>
      <c r="Q2625" s="82"/>
      <c r="R2625" s="82"/>
      <c r="S2625" s="82"/>
      <c r="T2625" s="82"/>
      <c r="U2625" s="82"/>
      <c r="V2625" s="82"/>
      <c r="W2625" s="82"/>
      <c r="X2625" s="82"/>
      <c r="Y2625" s="82"/>
      <c r="Z2625" s="82"/>
      <c r="AA2625" s="82"/>
      <c r="AB2625" s="82"/>
      <c r="AC2625" s="82"/>
      <c r="AD2625" s="82"/>
      <c r="AE2625" s="82"/>
      <c r="AF2625" s="82"/>
      <c r="AG2625" s="82"/>
      <c r="AH2625" s="82"/>
      <c r="AI2625" s="82"/>
      <c r="AJ2625" s="82"/>
      <c r="AK2625" s="82"/>
      <c r="AL2625" s="82"/>
      <c r="AM2625" s="82"/>
      <c r="AN2625" s="82"/>
      <c r="AO2625" s="82"/>
      <c r="AP2625" s="82"/>
      <c r="AQ2625" s="82"/>
      <c r="AR2625" s="82"/>
      <c r="AS2625" s="82"/>
      <c r="AT2625" s="82"/>
      <c r="AU2625" s="82"/>
      <c r="AV2625" s="82"/>
      <c r="AW2625" s="82" t="str">
        <f t="shared" si="1"/>
        <v/>
      </c>
      <c r="AX2625" s="83" t="str">
        <f t="array" ref="AX2625">IFERROR(DGET('SBV Import'!A:G,"SBV",{"RSC ID","Tier";B2625,A2625}))</f>
        <v/>
      </c>
      <c r="AY2625" s="82" t="str">
        <f t="shared" si="2"/>
        <v/>
      </c>
      <c r="AZ2625" s="82"/>
      <c r="BA2625" s="84" t="s">
        <v>152</v>
      </c>
      <c r="BB2625" s="84" t="str">
        <f>IFERROR(__xludf.DUMMYFUNCTION("iferror(if(A2625="""",,E2625&gt;=FILTER(Constants!$F$2:$F$10,Constants!$A$2:$A$10=A2625)))"),"")</f>
        <v/>
      </c>
    </row>
    <row r="2626">
      <c r="A2626" s="89"/>
      <c r="B2626" s="87"/>
      <c r="C2626" s="73"/>
      <c r="D2626" s="73"/>
      <c r="E2626" s="82"/>
      <c r="F2626" s="82"/>
      <c r="G2626" s="86"/>
      <c r="H2626" s="86"/>
      <c r="I2626" s="86"/>
      <c r="J2626" s="82"/>
      <c r="K2626" s="82"/>
      <c r="L2626" s="82"/>
      <c r="M2626" s="82"/>
      <c r="N2626" s="82"/>
      <c r="O2626" s="82"/>
      <c r="P2626" s="82"/>
      <c r="Q2626" s="82"/>
      <c r="R2626" s="82"/>
      <c r="S2626" s="82"/>
      <c r="T2626" s="82"/>
      <c r="U2626" s="82"/>
      <c r="V2626" s="82"/>
      <c r="W2626" s="82"/>
      <c r="X2626" s="82"/>
      <c r="Y2626" s="82"/>
      <c r="Z2626" s="82"/>
      <c r="AA2626" s="82"/>
      <c r="AB2626" s="82"/>
      <c r="AC2626" s="82"/>
      <c r="AD2626" s="82"/>
      <c r="AE2626" s="82"/>
      <c r="AF2626" s="82"/>
      <c r="AG2626" s="82"/>
      <c r="AH2626" s="82"/>
      <c r="AI2626" s="82"/>
      <c r="AJ2626" s="82"/>
      <c r="AK2626" s="82"/>
      <c r="AL2626" s="82"/>
      <c r="AM2626" s="82"/>
      <c r="AN2626" s="82"/>
      <c r="AO2626" s="82"/>
      <c r="AP2626" s="82"/>
      <c r="AQ2626" s="82"/>
      <c r="AR2626" s="82"/>
      <c r="AS2626" s="82"/>
      <c r="AT2626" s="82"/>
      <c r="AU2626" s="82"/>
      <c r="AV2626" s="82"/>
      <c r="AW2626" s="82" t="str">
        <f t="shared" si="1"/>
        <v/>
      </c>
      <c r="AX2626" s="83" t="str">
        <f t="array" ref="AX2626">IFERROR(DGET('SBV Import'!A:G,"SBV",{"RSC ID","Tier";B2626,A2626}))</f>
        <v/>
      </c>
      <c r="AY2626" s="82" t="str">
        <f t="shared" si="2"/>
        <v/>
      </c>
      <c r="AZ2626" s="82"/>
      <c r="BA2626" s="84" t="s">
        <v>152</v>
      </c>
      <c r="BB2626" s="84" t="str">
        <f>IFERROR(__xludf.DUMMYFUNCTION("iferror(if(A2626="""",,E2626&gt;=FILTER(Constants!$F$2:$F$10,Constants!$A$2:$A$10=A2626)))"),"")</f>
        <v/>
      </c>
    </row>
    <row r="2627">
      <c r="A2627" s="89"/>
      <c r="B2627" s="87"/>
      <c r="C2627" s="73"/>
      <c r="D2627" s="73"/>
      <c r="E2627" s="82"/>
      <c r="F2627" s="82"/>
      <c r="G2627" s="86"/>
      <c r="H2627" s="86"/>
      <c r="I2627" s="86"/>
      <c r="J2627" s="82"/>
      <c r="K2627" s="82"/>
      <c r="L2627" s="82"/>
      <c r="M2627" s="82"/>
      <c r="N2627" s="82"/>
      <c r="O2627" s="82"/>
      <c r="P2627" s="82"/>
      <c r="Q2627" s="82"/>
      <c r="R2627" s="82"/>
      <c r="S2627" s="82"/>
      <c r="T2627" s="82"/>
      <c r="U2627" s="82"/>
      <c r="V2627" s="82"/>
      <c r="W2627" s="82"/>
      <c r="X2627" s="82"/>
      <c r="Y2627" s="82"/>
      <c r="Z2627" s="82"/>
      <c r="AA2627" s="82"/>
      <c r="AB2627" s="82"/>
      <c r="AC2627" s="82"/>
      <c r="AD2627" s="82"/>
      <c r="AE2627" s="82"/>
      <c r="AF2627" s="82"/>
      <c r="AG2627" s="82"/>
      <c r="AH2627" s="82"/>
      <c r="AI2627" s="82"/>
      <c r="AJ2627" s="82"/>
      <c r="AK2627" s="82"/>
      <c r="AL2627" s="82"/>
      <c r="AM2627" s="82"/>
      <c r="AN2627" s="82"/>
      <c r="AO2627" s="82"/>
      <c r="AP2627" s="82"/>
      <c r="AQ2627" s="82"/>
      <c r="AR2627" s="82"/>
      <c r="AS2627" s="82"/>
      <c r="AT2627" s="82"/>
      <c r="AU2627" s="82"/>
      <c r="AV2627" s="82"/>
      <c r="AW2627" s="82" t="str">
        <f t="shared" si="1"/>
        <v/>
      </c>
      <c r="AX2627" s="83" t="str">
        <f t="array" ref="AX2627">IFERROR(DGET('SBV Import'!A:G,"SBV",{"RSC ID","Tier";B2627,A2627}))</f>
        <v/>
      </c>
      <c r="AY2627" s="82" t="str">
        <f t="shared" si="2"/>
        <v/>
      </c>
      <c r="AZ2627" s="82"/>
      <c r="BA2627" s="84" t="s">
        <v>152</v>
      </c>
      <c r="BB2627" s="84" t="str">
        <f>IFERROR(__xludf.DUMMYFUNCTION("iferror(if(A2627="""",,E2627&gt;=FILTER(Constants!$F$2:$F$10,Constants!$A$2:$A$10=A2627)))"),"")</f>
        <v/>
      </c>
    </row>
    <row r="2628">
      <c r="A2628" s="89"/>
      <c r="B2628" s="87"/>
      <c r="C2628" s="73"/>
      <c r="D2628" s="73"/>
      <c r="E2628" s="82"/>
      <c r="F2628" s="82"/>
      <c r="G2628" s="86"/>
      <c r="H2628" s="86"/>
      <c r="I2628" s="86"/>
      <c r="J2628" s="82"/>
      <c r="K2628" s="82"/>
      <c r="L2628" s="82"/>
      <c r="M2628" s="82"/>
      <c r="N2628" s="82"/>
      <c r="O2628" s="82"/>
      <c r="P2628" s="82"/>
      <c r="Q2628" s="82"/>
      <c r="R2628" s="82"/>
      <c r="S2628" s="82"/>
      <c r="T2628" s="82"/>
      <c r="U2628" s="82"/>
      <c r="V2628" s="82"/>
      <c r="W2628" s="82"/>
      <c r="X2628" s="82"/>
      <c r="Y2628" s="82"/>
      <c r="Z2628" s="82"/>
      <c r="AA2628" s="82"/>
      <c r="AB2628" s="82"/>
      <c r="AC2628" s="82"/>
      <c r="AD2628" s="82"/>
      <c r="AE2628" s="82"/>
      <c r="AF2628" s="82"/>
      <c r="AG2628" s="82"/>
      <c r="AH2628" s="82"/>
      <c r="AI2628" s="82"/>
      <c r="AJ2628" s="82"/>
      <c r="AK2628" s="82"/>
      <c r="AL2628" s="82"/>
      <c r="AM2628" s="82"/>
      <c r="AN2628" s="82"/>
      <c r="AO2628" s="82"/>
      <c r="AP2628" s="82"/>
      <c r="AQ2628" s="82"/>
      <c r="AR2628" s="82"/>
      <c r="AS2628" s="82"/>
      <c r="AT2628" s="82"/>
      <c r="AU2628" s="82"/>
      <c r="AV2628" s="82"/>
      <c r="AW2628" s="82" t="str">
        <f t="shared" si="1"/>
        <v/>
      </c>
      <c r="AX2628" s="83" t="str">
        <f t="array" ref="AX2628">IFERROR(DGET('SBV Import'!A:G,"SBV",{"RSC ID","Tier";B2628,A2628}))</f>
        <v/>
      </c>
      <c r="AY2628" s="82" t="str">
        <f t="shared" si="2"/>
        <v/>
      </c>
      <c r="AZ2628" s="82"/>
      <c r="BA2628" s="84" t="s">
        <v>152</v>
      </c>
      <c r="BB2628" s="84" t="str">
        <f>IFERROR(__xludf.DUMMYFUNCTION("iferror(if(A2628="""",,E2628&gt;=FILTER(Constants!$F$2:$F$10,Constants!$A$2:$A$10=A2628)))"),"")</f>
        <v/>
      </c>
    </row>
    <row r="2629">
      <c r="A2629" s="89"/>
      <c r="B2629" s="87"/>
      <c r="C2629" s="73"/>
      <c r="D2629" s="73"/>
      <c r="E2629" s="82"/>
      <c r="F2629" s="82"/>
      <c r="G2629" s="86"/>
      <c r="H2629" s="86"/>
      <c r="I2629" s="86"/>
      <c r="J2629" s="82"/>
      <c r="K2629" s="82"/>
      <c r="L2629" s="82"/>
      <c r="M2629" s="82"/>
      <c r="N2629" s="82"/>
      <c r="O2629" s="82"/>
      <c r="P2629" s="82"/>
      <c r="Q2629" s="82"/>
      <c r="R2629" s="82"/>
      <c r="S2629" s="82"/>
      <c r="T2629" s="82"/>
      <c r="U2629" s="82"/>
      <c r="V2629" s="82"/>
      <c r="W2629" s="82"/>
      <c r="X2629" s="82"/>
      <c r="Y2629" s="82"/>
      <c r="Z2629" s="82"/>
      <c r="AA2629" s="82"/>
      <c r="AB2629" s="82"/>
      <c r="AC2629" s="82"/>
      <c r="AD2629" s="82"/>
      <c r="AE2629" s="82"/>
      <c r="AF2629" s="82"/>
      <c r="AG2629" s="82"/>
      <c r="AH2629" s="82"/>
      <c r="AI2629" s="82"/>
      <c r="AJ2629" s="82"/>
      <c r="AK2629" s="82"/>
      <c r="AL2629" s="82"/>
      <c r="AM2629" s="82"/>
      <c r="AN2629" s="82"/>
      <c r="AO2629" s="82"/>
      <c r="AP2629" s="82"/>
      <c r="AQ2629" s="82"/>
      <c r="AR2629" s="82"/>
      <c r="AS2629" s="82"/>
      <c r="AT2629" s="82"/>
      <c r="AU2629" s="82"/>
      <c r="AV2629" s="82"/>
      <c r="AW2629" s="82" t="str">
        <f t="shared" si="1"/>
        <v/>
      </c>
      <c r="AX2629" s="83" t="str">
        <f t="array" ref="AX2629">IFERROR(DGET('SBV Import'!A:G,"SBV",{"RSC ID","Tier";B2629,A2629}))</f>
        <v/>
      </c>
      <c r="AY2629" s="82" t="str">
        <f t="shared" si="2"/>
        <v/>
      </c>
      <c r="AZ2629" s="82"/>
      <c r="BA2629" s="84" t="s">
        <v>152</v>
      </c>
      <c r="BB2629" s="84" t="str">
        <f>IFERROR(__xludf.DUMMYFUNCTION("iferror(if(A2629="""",,E2629&gt;=FILTER(Constants!$F$2:$F$10,Constants!$A$2:$A$10=A2629)))"),"")</f>
        <v/>
      </c>
    </row>
    <row r="2630">
      <c r="A2630" s="89"/>
      <c r="B2630" s="87"/>
      <c r="C2630" s="73"/>
      <c r="D2630" s="73"/>
      <c r="E2630" s="82"/>
      <c r="F2630" s="82"/>
      <c r="G2630" s="86"/>
      <c r="H2630" s="86"/>
      <c r="I2630" s="86"/>
      <c r="J2630" s="82"/>
      <c r="K2630" s="82"/>
      <c r="L2630" s="82"/>
      <c r="M2630" s="82"/>
      <c r="N2630" s="82"/>
      <c r="O2630" s="82"/>
      <c r="P2630" s="82"/>
      <c r="Q2630" s="82"/>
      <c r="R2630" s="82"/>
      <c r="S2630" s="82"/>
      <c r="T2630" s="82"/>
      <c r="U2630" s="82"/>
      <c r="V2630" s="82"/>
      <c r="W2630" s="82"/>
      <c r="X2630" s="82"/>
      <c r="Y2630" s="82"/>
      <c r="Z2630" s="82"/>
      <c r="AA2630" s="82"/>
      <c r="AB2630" s="82"/>
      <c r="AC2630" s="82"/>
      <c r="AD2630" s="82"/>
      <c r="AE2630" s="82"/>
      <c r="AF2630" s="82"/>
      <c r="AG2630" s="82"/>
      <c r="AH2630" s="82"/>
      <c r="AI2630" s="82"/>
      <c r="AJ2630" s="82"/>
      <c r="AK2630" s="82"/>
      <c r="AL2630" s="82"/>
      <c r="AM2630" s="82"/>
      <c r="AN2630" s="82"/>
      <c r="AO2630" s="82"/>
      <c r="AP2630" s="82"/>
      <c r="AQ2630" s="82"/>
      <c r="AR2630" s="82"/>
      <c r="AS2630" s="82"/>
      <c r="AT2630" s="82"/>
      <c r="AU2630" s="82"/>
      <c r="AV2630" s="82"/>
      <c r="AW2630" s="82" t="str">
        <f t="shared" si="1"/>
        <v/>
      </c>
      <c r="AX2630" s="83" t="str">
        <f t="array" ref="AX2630">IFERROR(DGET('SBV Import'!A:G,"SBV",{"RSC ID","Tier";B2630,A2630}))</f>
        <v/>
      </c>
      <c r="AY2630" s="82" t="str">
        <f t="shared" si="2"/>
        <v/>
      </c>
      <c r="AZ2630" s="82"/>
      <c r="BA2630" s="84" t="s">
        <v>152</v>
      </c>
      <c r="BB2630" s="84" t="str">
        <f>IFERROR(__xludf.DUMMYFUNCTION("iferror(if(A2630="""",,E2630&gt;=FILTER(Constants!$F$2:$F$10,Constants!$A$2:$A$10=A2630)))"),"")</f>
        <v/>
      </c>
    </row>
    <row r="2631">
      <c r="A2631" s="89"/>
      <c r="B2631" s="87"/>
      <c r="C2631" s="73"/>
      <c r="D2631" s="73"/>
      <c r="E2631" s="82"/>
      <c r="F2631" s="82"/>
      <c r="G2631" s="86"/>
      <c r="H2631" s="86"/>
      <c r="I2631" s="86"/>
      <c r="J2631" s="82"/>
      <c r="K2631" s="82"/>
      <c r="L2631" s="82"/>
      <c r="M2631" s="82"/>
      <c r="N2631" s="82"/>
      <c r="O2631" s="82"/>
      <c r="P2631" s="82"/>
      <c r="Q2631" s="82"/>
      <c r="R2631" s="82"/>
      <c r="S2631" s="82"/>
      <c r="T2631" s="82"/>
      <c r="U2631" s="82"/>
      <c r="V2631" s="82"/>
      <c r="W2631" s="82"/>
      <c r="X2631" s="82"/>
      <c r="Y2631" s="82"/>
      <c r="Z2631" s="82"/>
      <c r="AA2631" s="82"/>
      <c r="AB2631" s="82"/>
      <c r="AC2631" s="82"/>
      <c r="AD2631" s="82"/>
      <c r="AE2631" s="82"/>
      <c r="AF2631" s="82"/>
      <c r="AG2631" s="82"/>
      <c r="AH2631" s="82"/>
      <c r="AI2631" s="82"/>
      <c r="AJ2631" s="82"/>
      <c r="AK2631" s="82"/>
      <c r="AL2631" s="82"/>
      <c r="AM2631" s="82"/>
      <c r="AN2631" s="82"/>
      <c r="AO2631" s="82"/>
      <c r="AP2631" s="82"/>
      <c r="AQ2631" s="82"/>
      <c r="AR2631" s="82"/>
      <c r="AS2631" s="82"/>
      <c r="AT2631" s="82"/>
      <c r="AU2631" s="82"/>
      <c r="AV2631" s="82"/>
      <c r="AW2631" s="82" t="str">
        <f t="shared" si="1"/>
        <v/>
      </c>
      <c r="AX2631" s="83" t="str">
        <f t="array" ref="AX2631">IFERROR(DGET('SBV Import'!A:G,"SBV",{"RSC ID","Tier";B2631,A2631}))</f>
        <v/>
      </c>
      <c r="AY2631" s="82" t="str">
        <f t="shared" si="2"/>
        <v/>
      </c>
      <c r="AZ2631" s="82"/>
      <c r="BA2631" s="84" t="s">
        <v>152</v>
      </c>
      <c r="BB2631" s="84" t="str">
        <f>IFERROR(__xludf.DUMMYFUNCTION("iferror(if(A2631="""",,E2631&gt;=FILTER(Constants!$F$2:$F$10,Constants!$A$2:$A$10=A2631)))"),"")</f>
        <v/>
      </c>
    </row>
    <row r="2632">
      <c r="A2632" s="89"/>
      <c r="B2632" s="87"/>
      <c r="C2632" s="73"/>
      <c r="D2632" s="73"/>
      <c r="E2632" s="82"/>
      <c r="F2632" s="82"/>
      <c r="G2632" s="86"/>
      <c r="H2632" s="86"/>
      <c r="I2632" s="86"/>
      <c r="J2632" s="82"/>
      <c r="K2632" s="82"/>
      <c r="L2632" s="82"/>
      <c r="M2632" s="82"/>
      <c r="N2632" s="82"/>
      <c r="O2632" s="82"/>
      <c r="P2632" s="82"/>
      <c r="Q2632" s="82"/>
      <c r="R2632" s="82"/>
      <c r="S2632" s="82"/>
      <c r="T2632" s="82"/>
      <c r="U2632" s="82"/>
      <c r="V2632" s="82"/>
      <c r="W2632" s="82"/>
      <c r="X2632" s="82"/>
      <c r="Y2632" s="82"/>
      <c r="Z2632" s="82"/>
      <c r="AA2632" s="82"/>
      <c r="AB2632" s="82"/>
      <c r="AC2632" s="82"/>
      <c r="AD2632" s="82"/>
      <c r="AE2632" s="82"/>
      <c r="AF2632" s="82"/>
      <c r="AG2632" s="82"/>
      <c r="AH2632" s="82"/>
      <c r="AI2632" s="82"/>
      <c r="AJ2632" s="82"/>
      <c r="AK2632" s="82"/>
      <c r="AL2632" s="82"/>
      <c r="AM2632" s="82"/>
      <c r="AN2632" s="82"/>
      <c r="AO2632" s="82"/>
      <c r="AP2632" s="82"/>
      <c r="AQ2632" s="82"/>
      <c r="AR2632" s="82"/>
      <c r="AS2632" s="82"/>
      <c r="AT2632" s="82"/>
      <c r="AU2632" s="82"/>
      <c r="AV2632" s="82"/>
      <c r="AW2632" s="82" t="str">
        <f t="shared" si="1"/>
        <v/>
      </c>
      <c r="AX2632" s="83" t="str">
        <f t="array" ref="AX2632">IFERROR(DGET('SBV Import'!A:G,"SBV",{"RSC ID","Tier";B2632,A2632}))</f>
        <v/>
      </c>
      <c r="AY2632" s="82" t="str">
        <f t="shared" si="2"/>
        <v/>
      </c>
      <c r="AZ2632" s="82"/>
      <c r="BA2632" s="84" t="s">
        <v>152</v>
      </c>
      <c r="BB2632" s="84" t="str">
        <f>IFERROR(__xludf.DUMMYFUNCTION("iferror(if(A2632="""",,E2632&gt;=FILTER(Constants!$F$2:$F$10,Constants!$A$2:$A$10=A2632)))"),"")</f>
        <v/>
      </c>
    </row>
    <row r="2633">
      <c r="A2633" s="89"/>
      <c r="B2633" s="87"/>
      <c r="C2633" s="73"/>
      <c r="D2633" s="73"/>
      <c r="E2633" s="82"/>
      <c r="F2633" s="82"/>
      <c r="G2633" s="86"/>
      <c r="H2633" s="86"/>
      <c r="I2633" s="86"/>
      <c r="J2633" s="82"/>
      <c r="K2633" s="82"/>
      <c r="L2633" s="82"/>
      <c r="M2633" s="82"/>
      <c r="N2633" s="82"/>
      <c r="O2633" s="82"/>
      <c r="P2633" s="82"/>
      <c r="Q2633" s="82"/>
      <c r="R2633" s="82"/>
      <c r="S2633" s="82"/>
      <c r="T2633" s="82"/>
      <c r="U2633" s="82"/>
      <c r="V2633" s="82"/>
      <c r="W2633" s="82"/>
      <c r="X2633" s="82"/>
      <c r="Y2633" s="82"/>
      <c r="Z2633" s="82"/>
      <c r="AA2633" s="82"/>
      <c r="AB2633" s="82"/>
      <c r="AC2633" s="82"/>
      <c r="AD2633" s="82"/>
      <c r="AE2633" s="82"/>
      <c r="AF2633" s="82"/>
      <c r="AG2633" s="82"/>
      <c r="AH2633" s="82"/>
      <c r="AI2633" s="82"/>
      <c r="AJ2633" s="82"/>
      <c r="AK2633" s="82"/>
      <c r="AL2633" s="82"/>
      <c r="AM2633" s="82"/>
      <c r="AN2633" s="82"/>
      <c r="AO2633" s="82"/>
      <c r="AP2633" s="82"/>
      <c r="AQ2633" s="82"/>
      <c r="AR2633" s="82"/>
      <c r="AS2633" s="82"/>
      <c r="AT2633" s="82"/>
      <c r="AU2633" s="82"/>
      <c r="AV2633" s="82"/>
      <c r="AW2633" s="82" t="str">
        <f t="shared" si="1"/>
        <v/>
      </c>
      <c r="AX2633" s="83" t="str">
        <f t="array" ref="AX2633">IFERROR(DGET('SBV Import'!A:G,"SBV",{"RSC ID","Tier";B2633,A2633}))</f>
        <v/>
      </c>
      <c r="AY2633" s="82" t="str">
        <f t="shared" si="2"/>
        <v/>
      </c>
      <c r="AZ2633" s="82"/>
      <c r="BA2633" s="84" t="s">
        <v>152</v>
      </c>
      <c r="BB2633" s="84" t="str">
        <f>IFERROR(__xludf.DUMMYFUNCTION("iferror(if(A2633="""",,E2633&gt;=FILTER(Constants!$F$2:$F$10,Constants!$A$2:$A$10=A2633)))"),"")</f>
        <v/>
      </c>
    </row>
    <row r="2634">
      <c r="A2634" s="89"/>
      <c r="B2634" s="87"/>
      <c r="C2634" s="73"/>
      <c r="D2634" s="73"/>
      <c r="E2634" s="82"/>
      <c r="F2634" s="82"/>
      <c r="G2634" s="86"/>
      <c r="H2634" s="86"/>
      <c r="I2634" s="86"/>
      <c r="J2634" s="82"/>
      <c r="K2634" s="82"/>
      <c r="L2634" s="82"/>
      <c r="M2634" s="82"/>
      <c r="N2634" s="82"/>
      <c r="O2634" s="82"/>
      <c r="P2634" s="82"/>
      <c r="Q2634" s="82"/>
      <c r="R2634" s="82"/>
      <c r="S2634" s="82"/>
      <c r="T2634" s="82"/>
      <c r="U2634" s="82"/>
      <c r="V2634" s="82"/>
      <c r="W2634" s="82"/>
      <c r="X2634" s="82"/>
      <c r="Y2634" s="82"/>
      <c r="Z2634" s="82"/>
      <c r="AA2634" s="82"/>
      <c r="AB2634" s="82"/>
      <c r="AC2634" s="82"/>
      <c r="AD2634" s="82"/>
      <c r="AE2634" s="82"/>
      <c r="AF2634" s="82"/>
      <c r="AG2634" s="82"/>
      <c r="AH2634" s="82"/>
      <c r="AI2634" s="82"/>
      <c r="AJ2634" s="82"/>
      <c r="AK2634" s="82"/>
      <c r="AL2634" s="82"/>
      <c r="AM2634" s="82"/>
      <c r="AN2634" s="82"/>
      <c r="AO2634" s="82"/>
      <c r="AP2634" s="82"/>
      <c r="AQ2634" s="82"/>
      <c r="AR2634" s="82"/>
      <c r="AS2634" s="82"/>
      <c r="AT2634" s="82"/>
      <c r="AU2634" s="82"/>
      <c r="AV2634" s="82"/>
      <c r="AW2634" s="82" t="str">
        <f t="shared" si="1"/>
        <v/>
      </c>
      <c r="AX2634" s="83" t="str">
        <f t="array" ref="AX2634">IFERROR(DGET('SBV Import'!A:G,"SBV",{"RSC ID","Tier";B2634,A2634}))</f>
        <v/>
      </c>
      <c r="AY2634" s="82" t="str">
        <f t="shared" si="2"/>
        <v/>
      </c>
      <c r="AZ2634" s="82"/>
      <c r="BA2634" s="84" t="s">
        <v>152</v>
      </c>
      <c r="BB2634" s="84" t="str">
        <f>IFERROR(__xludf.DUMMYFUNCTION("iferror(if(A2634="""",,E2634&gt;=FILTER(Constants!$F$2:$F$10,Constants!$A$2:$A$10=A2634)))"),"")</f>
        <v/>
      </c>
    </row>
    <row r="2635">
      <c r="A2635" s="89"/>
      <c r="B2635" s="87"/>
      <c r="C2635" s="73"/>
      <c r="D2635" s="73"/>
      <c r="E2635" s="82"/>
      <c r="F2635" s="82"/>
      <c r="G2635" s="86"/>
      <c r="H2635" s="86"/>
      <c r="I2635" s="86"/>
      <c r="J2635" s="82"/>
      <c r="K2635" s="82"/>
      <c r="L2635" s="82"/>
      <c r="M2635" s="82"/>
      <c r="N2635" s="82"/>
      <c r="O2635" s="82"/>
      <c r="P2635" s="82"/>
      <c r="Q2635" s="82"/>
      <c r="R2635" s="82"/>
      <c r="S2635" s="82"/>
      <c r="T2635" s="82"/>
      <c r="U2635" s="82"/>
      <c r="V2635" s="82"/>
      <c r="W2635" s="82"/>
      <c r="X2635" s="82"/>
      <c r="Y2635" s="82"/>
      <c r="Z2635" s="82"/>
      <c r="AA2635" s="82"/>
      <c r="AB2635" s="82"/>
      <c r="AC2635" s="82"/>
      <c r="AD2635" s="82"/>
      <c r="AE2635" s="82"/>
      <c r="AF2635" s="82"/>
      <c r="AG2635" s="82"/>
      <c r="AH2635" s="82"/>
      <c r="AI2635" s="82"/>
      <c r="AJ2635" s="82"/>
      <c r="AK2635" s="82"/>
      <c r="AL2635" s="82"/>
      <c r="AM2635" s="82"/>
      <c r="AN2635" s="82"/>
      <c r="AO2635" s="82"/>
      <c r="AP2635" s="82"/>
      <c r="AQ2635" s="82"/>
      <c r="AR2635" s="82"/>
      <c r="AS2635" s="82"/>
      <c r="AT2635" s="82"/>
      <c r="AU2635" s="82"/>
      <c r="AV2635" s="82"/>
      <c r="AW2635" s="82" t="str">
        <f t="shared" si="1"/>
        <v/>
      </c>
      <c r="AX2635" s="83" t="str">
        <f t="array" ref="AX2635">IFERROR(DGET('SBV Import'!A:G,"SBV",{"RSC ID","Tier";B2635,A2635}))</f>
        <v/>
      </c>
      <c r="AY2635" s="82" t="str">
        <f t="shared" si="2"/>
        <v/>
      </c>
      <c r="AZ2635" s="82"/>
      <c r="BA2635" s="84" t="s">
        <v>152</v>
      </c>
      <c r="BB2635" s="84" t="str">
        <f>IFERROR(__xludf.DUMMYFUNCTION("iferror(if(A2635="""",,E2635&gt;=FILTER(Constants!$F$2:$F$10,Constants!$A$2:$A$10=A2635)))"),"")</f>
        <v/>
      </c>
    </row>
    <row r="2636">
      <c r="A2636" s="89"/>
      <c r="B2636" s="87"/>
      <c r="C2636" s="73"/>
      <c r="D2636" s="73"/>
      <c r="E2636" s="82"/>
      <c r="F2636" s="82"/>
      <c r="G2636" s="86"/>
      <c r="H2636" s="86"/>
      <c r="I2636" s="86"/>
      <c r="J2636" s="82"/>
      <c r="K2636" s="82"/>
      <c r="L2636" s="82"/>
      <c r="M2636" s="82"/>
      <c r="N2636" s="82"/>
      <c r="O2636" s="82"/>
      <c r="P2636" s="82"/>
      <c r="Q2636" s="82"/>
      <c r="R2636" s="82"/>
      <c r="S2636" s="82"/>
      <c r="T2636" s="82"/>
      <c r="U2636" s="82"/>
      <c r="V2636" s="82"/>
      <c r="W2636" s="82"/>
      <c r="X2636" s="82"/>
      <c r="Y2636" s="82"/>
      <c r="Z2636" s="82"/>
      <c r="AA2636" s="82"/>
      <c r="AB2636" s="82"/>
      <c r="AC2636" s="82"/>
      <c r="AD2636" s="82"/>
      <c r="AE2636" s="82"/>
      <c r="AF2636" s="82"/>
      <c r="AG2636" s="82"/>
      <c r="AH2636" s="82"/>
      <c r="AI2636" s="82"/>
      <c r="AJ2636" s="82"/>
      <c r="AK2636" s="82"/>
      <c r="AL2636" s="82"/>
      <c r="AM2636" s="82"/>
      <c r="AN2636" s="82"/>
      <c r="AO2636" s="82"/>
      <c r="AP2636" s="82"/>
      <c r="AQ2636" s="82"/>
      <c r="AR2636" s="82"/>
      <c r="AS2636" s="82"/>
      <c r="AT2636" s="82"/>
      <c r="AU2636" s="82"/>
      <c r="AV2636" s="82"/>
      <c r="AW2636" s="82" t="str">
        <f t="shared" si="1"/>
        <v/>
      </c>
      <c r="AX2636" s="83" t="str">
        <f t="array" ref="AX2636">IFERROR(DGET('SBV Import'!A:G,"SBV",{"RSC ID","Tier";B2636,A2636}))</f>
        <v/>
      </c>
      <c r="AY2636" s="82" t="str">
        <f t="shared" si="2"/>
        <v/>
      </c>
      <c r="AZ2636" s="82"/>
      <c r="BA2636" s="84" t="s">
        <v>152</v>
      </c>
      <c r="BB2636" s="84" t="str">
        <f>IFERROR(__xludf.DUMMYFUNCTION("iferror(if(A2636="""",,E2636&gt;=FILTER(Constants!$F$2:$F$10,Constants!$A$2:$A$10=A2636)))"),"")</f>
        <v/>
      </c>
    </row>
    <row r="2637">
      <c r="A2637" s="89"/>
      <c r="B2637" s="87"/>
      <c r="C2637" s="73"/>
      <c r="D2637" s="73"/>
      <c r="E2637" s="82"/>
      <c r="F2637" s="82"/>
      <c r="G2637" s="86"/>
      <c r="H2637" s="86"/>
      <c r="I2637" s="86"/>
      <c r="J2637" s="82"/>
      <c r="K2637" s="82"/>
      <c r="L2637" s="82"/>
      <c r="M2637" s="82"/>
      <c r="N2637" s="82"/>
      <c r="O2637" s="82"/>
      <c r="P2637" s="82"/>
      <c r="Q2637" s="82"/>
      <c r="R2637" s="82"/>
      <c r="S2637" s="82"/>
      <c r="T2637" s="82"/>
      <c r="U2637" s="82"/>
      <c r="V2637" s="82"/>
      <c r="W2637" s="82"/>
      <c r="X2637" s="82"/>
      <c r="Y2637" s="82"/>
      <c r="Z2637" s="82"/>
      <c r="AA2637" s="82"/>
      <c r="AB2637" s="82"/>
      <c r="AC2637" s="82"/>
      <c r="AD2637" s="82"/>
      <c r="AE2637" s="82"/>
      <c r="AF2637" s="82"/>
      <c r="AG2637" s="82"/>
      <c r="AH2637" s="82"/>
      <c r="AI2637" s="82"/>
      <c r="AJ2637" s="82"/>
      <c r="AK2637" s="82"/>
      <c r="AL2637" s="82"/>
      <c r="AM2637" s="82"/>
      <c r="AN2637" s="82"/>
      <c r="AO2637" s="82"/>
      <c r="AP2637" s="82"/>
      <c r="AQ2637" s="82"/>
      <c r="AR2637" s="82"/>
      <c r="AS2637" s="82"/>
      <c r="AT2637" s="82"/>
      <c r="AU2637" s="82"/>
      <c r="AV2637" s="82"/>
      <c r="AW2637" s="82" t="str">
        <f t="shared" si="1"/>
        <v/>
      </c>
      <c r="AX2637" s="83" t="str">
        <f t="array" ref="AX2637">IFERROR(DGET('SBV Import'!A:G,"SBV",{"RSC ID","Tier";B2637,A2637}))</f>
        <v/>
      </c>
      <c r="AY2637" s="82" t="str">
        <f t="shared" si="2"/>
        <v/>
      </c>
      <c r="AZ2637" s="82"/>
      <c r="BA2637" s="84" t="s">
        <v>152</v>
      </c>
      <c r="BB2637" s="84" t="str">
        <f>IFERROR(__xludf.DUMMYFUNCTION("iferror(if(A2637="""",,E2637&gt;=FILTER(Constants!$F$2:$F$10,Constants!$A$2:$A$10=A2637)))"),"")</f>
        <v/>
      </c>
    </row>
    <row r="2638">
      <c r="A2638" s="89"/>
      <c r="B2638" s="87"/>
      <c r="C2638" s="73"/>
      <c r="D2638" s="73"/>
      <c r="E2638" s="82"/>
      <c r="F2638" s="82"/>
      <c r="G2638" s="86"/>
      <c r="H2638" s="86"/>
      <c r="I2638" s="86"/>
      <c r="J2638" s="82"/>
      <c r="K2638" s="82"/>
      <c r="L2638" s="82"/>
      <c r="M2638" s="82"/>
      <c r="N2638" s="82"/>
      <c r="O2638" s="82"/>
      <c r="P2638" s="82"/>
      <c r="Q2638" s="82"/>
      <c r="R2638" s="82"/>
      <c r="S2638" s="82"/>
      <c r="T2638" s="82"/>
      <c r="U2638" s="82"/>
      <c r="V2638" s="82"/>
      <c r="W2638" s="82"/>
      <c r="X2638" s="82"/>
      <c r="Y2638" s="82"/>
      <c r="Z2638" s="82"/>
      <c r="AA2638" s="82"/>
      <c r="AB2638" s="82"/>
      <c r="AC2638" s="82"/>
      <c r="AD2638" s="82"/>
      <c r="AE2638" s="82"/>
      <c r="AF2638" s="82"/>
      <c r="AG2638" s="82"/>
      <c r="AH2638" s="82"/>
      <c r="AI2638" s="82"/>
      <c r="AJ2638" s="82"/>
      <c r="AK2638" s="82"/>
      <c r="AL2638" s="82"/>
      <c r="AM2638" s="82"/>
      <c r="AN2638" s="82"/>
      <c r="AO2638" s="82"/>
      <c r="AP2638" s="82"/>
      <c r="AQ2638" s="82"/>
      <c r="AR2638" s="82"/>
      <c r="AS2638" s="82"/>
      <c r="AT2638" s="82"/>
      <c r="AU2638" s="82"/>
      <c r="AV2638" s="82"/>
      <c r="AW2638" s="82" t="str">
        <f t="shared" si="1"/>
        <v/>
      </c>
      <c r="AX2638" s="83" t="str">
        <f t="array" ref="AX2638">IFERROR(DGET('SBV Import'!A:G,"SBV",{"RSC ID","Tier";B2638,A2638}))</f>
        <v/>
      </c>
      <c r="AY2638" s="82" t="str">
        <f t="shared" si="2"/>
        <v/>
      </c>
      <c r="AZ2638" s="82"/>
      <c r="BA2638" s="84" t="s">
        <v>152</v>
      </c>
      <c r="BB2638" s="84" t="str">
        <f>IFERROR(__xludf.DUMMYFUNCTION("iferror(if(A2638="""",,E2638&gt;=FILTER(Constants!$F$2:$F$10,Constants!$A$2:$A$10=A2638)))"),"")</f>
        <v/>
      </c>
    </row>
    <row r="2639">
      <c r="A2639" s="89"/>
      <c r="B2639" s="87"/>
      <c r="C2639" s="73"/>
      <c r="D2639" s="73"/>
      <c r="E2639" s="82"/>
      <c r="F2639" s="82"/>
      <c r="G2639" s="86"/>
      <c r="H2639" s="86"/>
      <c r="I2639" s="86"/>
      <c r="J2639" s="82"/>
      <c r="K2639" s="82"/>
      <c r="L2639" s="82"/>
      <c r="M2639" s="82"/>
      <c r="N2639" s="82"/>
      <c r="O2639" s="82"/>
      <c r="P2639" s="82"/>
      <c r="Q2639" s="82"/>
      <c r="R2639" s="82"/>
      <c r="S2639" s="82"/>
      <c r="T2639" s="82"/>
      <c r="U2639" s="82"/>
      <c r="V2639" s="82"/>
      <c r="W2639" s="82"/>
      <c r="X2639" s="82"/>
      <c r="Y2639" s="82"/>
      <c r="Z2639" s="82"/>
      <c r="AA2639" s="82"/>
      <c r="AB2639" s="82"/>
      <c r="AC2639" s="82"/>
      <c r="AD2639" s="82"/>
      <c r="AE2639" s="82"/>
      <c r="AF2639" s="82"/>
      <c r="AG2639" s="82"/>
      <c r="AH2639" s="82"/>
      <c r="AI2639" s="82"/>
      <c r="AJ2639" s="82"/>
      <c r="AK2639" s="82"/>
      <c r="AL2639" s="82"/>
      <c r="AM2639" s="82"/>
      <c r="AN2639" s="82"/>
      <c r="AO2639" s="82"/>
      <c r="AP2639" s="82"/>
      <c r="AQ2639" s="82"/>
      <c r="AR2639" s="82"/>
      <c r="AS2639" s="82"/>
      <c r="AT2639" s="82"/>
      <c r="AU2639" s="82"/>
      <c r="AV2639" s="82"/>
      <c r="AW2639" s="82" t="str">
        <f t="shared" si="1"/>
        <v/>
      </c>
      <c r="AX2639" s="83" t="str">
        <f t="array" ref="AX2639">IFERROR(DGET('SBV Import'!A:G,"SBV",{"RSC ID","Tier";B2639,A2639}))</f>
        <v/>
      </c>
      <c r="AY2639" s="82" t="str">
        <f t="shared" si="2"/>
        <v/>
      </c>
      <c r="AZ2639" s="82"/>
      <c r="BA2639" s="84" t="s">
        <v>152</v>
      </c>
      <c r="BB2639" s="84" t="str">
        <f>IFERROR(__xludf.DUMMYFUNCTION("iferror(if(A2639="""",,E2639&gt;=FILTER(Constants!$F$2:$F$10,Constants!$A$2:$A$10=A2639)))"),"")</f>
        <v/>
      </c>
    </row>
    <row r="2640">
      <c r="A2640" s="89"/>
      <c r="B2640" s="87"/>
      <c r="C2640" s="73"/>
      <c r="D2640" s="73"/>
      <c r="E2640" s="82"/>
      <c r="F2640" s="82"/>
      <c r="G2640" s="86"/>
      <c r="H2640" s="86"/>
      <c r="I2640" s="86"/>
      <c r="J2640" s="82"/>
      <c r="K2640" s="82"/>
      <c r="L2640" s="82"/>
      <c r="M2640" s="82"/>
      <c r="N2640" s="82"/>
      <c r="O2640" s="82"/>
      <c r="P2640" s="82"/>
      <c r="Q2640" s="82"/>
      <c r="R2640" s="82"/>
      <c r="S2640" s="82"/>
      <c r="T2640" s="82"/>
      <c r="U2640" s="82"/>
      <c r="V2640" s="82"/>
      <c r="W2640" s="82"/>
      <c r="X2640" s="82"/>
      <c r="Y2640" s="82"/>
      <c r="Z2640" s="82"/>
      <c r="AA2640" s="82"/>
      <c r="AB2640" s="82"/>
      <c r="AC2640" s="82"/>
      <c r="AD2640" s="82"/>
      <c r="AE2640" s="82"/>
      <c r="AF2640" s="82"/>
      <c r="AG2640" s="82"/>
      <c r="AH2640" s="82"/>
      <c r="AI2640" s="82"/>
      <c r="AJ2640" s="82"/>
      <c r="AK2640" s="82"/>
      <c r="AL2640" s="82"/>
      <c r="AM2640" s="82"/>
      <c r="AN2640" s="82"/>
      <c r="AO2640" s="82"/>
      <c r="AP2640" s="82"/>
      <c r="AQ2640" s="82"/>
      <c r="AR2640" s="82"/>
      <c r="AS2640" s="82"/>
      <c r="AT2640" s="82"/>
      <c r="AU2640" s="82"/>
      <c r="AV2640" s="82"/>
      <c r="AW2640" s="82" t="str">
        <f t="shared" si="1"/>
        <v/>
      </c>
      <c r="AX2640" s="83" t="str">
        <f t="array" ref="AX2640">IFERROR(DGET('SBV Import'!A:G,"SBV",{"RSC ID","Tier";B2640,A2640}))</f>
        <v/>
      </c>
      <c r="AY2640" s="82" t="str">
        <f t="shared" si="2"/>
        <v/>
      </c>
      <c r="AZ2640" s="82"/>
      <c r="BA2640" s="84" t="s">
        <v>152</v>
      </c>
      <c r="BB2640" s="84" t="str">
        <f>IFERROR(__xludf.DUMMYFUNCTION("iferror(if(A2640="""",,E2640&gt;=FILTER(Constants!$F$2:$F$10,Constants!$A$2:$A$10=A2640)))"),"")</f>
        <v/>
      </c>
    </row>
    <row r="2641">
      <c r="A2641" s="89"/>
      <c r="B2641" s="87"/>
      <c r="C2641" s="73"/>
      <c r="D2641" s="73"/>
      <c r="E2641" s="82"/>
      <c r="F2641" s="82"/>
      <c r="G2641" s="86"/>
      <c r="H2641" s="86"/>
      <c r="I2641" s="86"/>
      <c r="J2641" s="82"/>
      <c r="K2641" s="82"/>
      <c r="L2641" s="82"/>
      <c r="M2641" s="82"/>
      <c r="N2641" s="82"/>
      <c r="O2641" s="82"/>
      <c r="P2641" s="82"/>
      <c r="Q2641" s="82"/>
      <c r="R2641" s="82"/>
      <c r="S2641" s="82"/>
      <c r="T2641" s="82"/>
      <c r="U2641" s="82"/>
      <c r="V2641" s="82"/>
      <c r="W2641" s="82"/>
      <c r="X2641" s="82"/>
      <c r="Y2641" s="82"/>
      <c r="Z2641" s="82"/>
      <c r="AA2641" s="82"/>
      <c r="AB2641" s="82"/>
      <c r="AC2641" s="82"/>
      <c r="AD2641" s="82"/>
      <c r="AE2641" s="82"/>
      <c r="AF2641" s="82"/>
      <c r="AG2641" s="82"/>
      <c r="AH2641" s="82"/>
      <c r="AI2641" s="82"/>
      <c r="AJ2641" s="82"/>
      <c r="AK2641" s="82"/>
      <c r="AL2641" s="82"/>
      <c r="AM2641" s="82"/>
      <c r="AN2641" s="82"/>
      <c r="AO2641" s="82"/>
      <c r="AP2641" s="82"/>
      <c r="AQ2641" s="82"/>
      <c r="AR2641" s="82"/>
      <c r="AS2641" s="82"/>
      <c r="AT2641" s="82"/>
      <c r="AU2641" s="82"/>
      <c r="AV2641" s="82"/>
      <c r="AW2641" s="82" t="str">
        <f t="shared" si="1"/>
        <v/>
      </c>
      <c r="AX2641" s="83" t="str">
        <f t="array" ref="AX2641">IFERROR(DGET('SBV Import'!A:G,"SBV",{"RSC ID","Tier";B2641,A2641}))</f>
        <v/>
      </c>
      <c r="AY2641" s="82" t="str">
        <f t="shared" si="2"/>
        <v/>
      </c>
      <c r="AZ2641" s="82"/>
      <c r="BA2641" s="84" t="s">
        <v>152</v>
      </c>
      <c r="BB2641" s="84" t="str">
        <f>IFERROR(__xludf.DUMMYFUNCTION("iferror(if(A2641="""",,E2641&gt;=FILTER(Constants!$F$2:$F$10,Constants!$A$2:$A$10=A2641)))"),"")</f>
        <v/>
      </c>
    </row>
    <row r="2642">
      <c r="A2642" s="89"/>
      <c r="B2642" s="87"/>
      <c r="C2642" s="73"/>
      <c r="D2642" s="73"/>
      <c r="E2642" s="82"/>
      <c r="F2642" s="82"/>
      <c r="G2642" s="86"/>
      <c r="H2642" s="86"/>
      <c r="I2642" s="86"/>
      <c r="J2642" s="82"/>
      <c r="K2642" s="82"/>
      <c r="L2642" s="82"/>
      <c r="M2642" s="82"/>
      <c r="N2642" s="82"/>
      <c r="O2642" s="82"/>
      <c r="P2642" s="82"/>
      <c r="Q2642" s="82"/>
      <c r="R2642" s="82"/>
      <c r="S2642" s="82"/>
      <c r="T2642" s="82"/>
      <c r="U2642" s="82"/>
      <c r="V2642" s="82"/>
      <c r="W2642" s="82"/>
      <c r="X2642" s="82"/>
      <c r="Y2642" s="82"/>
      <c r="Z2642" s="82"/>
      <c r="AA2642" s="82"/>
      <c r="AB2642" s="82"/>
      <c r="AC2642" s="82"/>
      <c r="AD2642" s="82"/>
      <c r="AE2642" s="82"/>
      <c r="AF2642" s="82"/>
      <c r="AG2642" s="82"/>
      <c r="AH2642" s="82"/>
      <c r="AI2642" s="82"/>
      <c r="AJ2642" s="82"/>
      <c r="AK2642" s="82"/>
      <c r="AL2642" s="82"/>
      <c r="AM2642" s="82"/>
      <c r="AN2642" s="82"/>
      <c r="AO2642" s="82"/>
      <c r="AP2642" s="82"/>
      <c r="AQ2642" s="82"/>
      <c r="AR2642" s="82"/>
      <c r="AS2642" s="82"/>
      <c r="AT2642" s="82"/>
      <c r="AU2642" s="82"/>
      <c r="AV2642" s="82"/>
      <c r="AW2642" s="82" t="str">
        <f t="shared" si="1"/>
        <v/>
      </c>
      <c r="AX2642" s="83" t="str">
        <f t="array" ref="AX2642">IFERROR(DGET('SBV Import'!A:G,"SBV",{"RSC ID","Tier";B2642,A2642}))</f>
        <v/>
      </c>
      <c r="AY2642" s="82" t="str">
        <f t="shared" si="2"/>
        <v/>
      </c>
      <c r="AZ2642" s="82"/>
      <c r="BA2642" s="84" t="s">
        <v>152</v>
      </c>
      <c r="BB2642" s="84" t="str">
        <f>IFERROR(__xludf.DUMMYFUNCTION("iferror(if(A2642="""",,E2642&gt;=FILTER(Constants!$F$2:$F$10,Constants!$A$2:$A$10=A2642)))"),"")</f>
        <v/>
      </c>
    </row>
    <row r="2643">
      <c r="A2643" s="89"/>
      <c r="B2643" s="87"/>
      <c r="C2643" s="73"/>
      <c r="D2643" s="73"/>
      <c r="E2643" s="82"/>
      <c r="F2643" s="82"/>
      <c r="G2643" s="86"/>
      <c r="H2643" s="86"/>
      <c r="I2643" s="86"/>
      <c r="J2643" s="82"/>
      <c r="K2643" s="82"/>
      <c r="L2643" s="82"/>
      <c r="M2643" s="82"/>
      <c r="N2643" s="82"/>
      <c r="O2643" s="82"/>
      <c r="P2643" s="82"/>
      <c r="Q2643" s="82"/>
      <c r="R2643" s="82"/>
      <c r="S2643" s="82"/>
      <c r="T2643" s="82"/>
      <c r="U2643" s="82"/>
      <c r="V2643" s="82"/>
      <c r="W2643" s="82"/>
      <c r="X2643" s="82"/>
      <c r="Y2643" s="82"/>
      <c r="Z2643" s="82"/>
      <c r="AA2643" s="82"/>
      <c r="AB2643" s="82"/>
      <c r="AC2643" s="82"/>
      <c r="AD2643" s="82"/>
      <c r="AE2643" s="82"/>
      <c r="AF2643" s="82"/>
      <c r="AG2643" s="82"/>
      <c r="AH2643" s="82"/>
      <c r="AI2643" s="82"/>
      <c r="AJ2643" s="82"/>
      <c r="AK2643" s="82"/>
      <c r="AL2643" s="82"/>
      <c r="AM2643" s="82"/>
      <c r="AN2643" s="82"/>
      <c r="AO2643" s="82"/>
      <c r="AP2643" s="82"/>
      <c r="AQ2643" s="82"/>
      <c r="AR2643" s="82"/>
      <c r="AS2643" s="82"/>
      <c r="AT2643" s="82"/>
      <c r="AU2643" s="82"/>
      <c r="AV2643" s="82"/>
      <c r="AW2643" s="82" t="str">
        <f t="shared" si="1"/>
        <v/>
      </c>
      <c r="AX2643" s="83" t="str">
        <f t="array" ref="AX2643">IFERROR(DGET('SBV Import'!A:G,"SBV",{"RSC ID","Tier";B2643,A2643}))</f>
        <v/>
      </c>
      <c r="AY2643" s="82" t="str">
        <f t="shared" si="2"/>
        <v/>
      </c>
      <c r="AZ2643" s="82"/>
      <c r="BA2643" s="84" t="s">
        <v>152</v>
      </c>
      <c r="BB2643" s="84" t="str">
        <f>IFERROR(__xludf.DUMMYFUNCTION("iferror(if(A2643="""",,E2643&gt;=FILTER(Constants!$F$2:$F$10,Constants!$A$2:$A$10=A2643)))"),"")</f>
        <v/>
      </c>
    </row>
    <row r="2644">
      <c r="A2644" s="89"/>
      <c r="B2644" s="87"/>
      <c r="C2644" s="73"/>
      <c r="D2644" s="73"/>
      <c r="E2644" s="82"/>
      <c r="F2644" s="82"/>
      <c r="G2644" s="86"/>
      <c r="H2644" s="86"/>
      <c r="I2644" s="86"/>
      <c r="J2644" s="82"/>
      <c r="K2644" s="82"/>
      <c r="L2644" s="82"/>
      <c r="M2644" s="82"/>
      <c r="N2644" s="82"/>
      <c r="O2644" s="82"/>
      <c r="P2644" s="82"/>
      <c r="Q2644" s="82"/>
      <c r="R2644" s="82"/>
      <c r="S2644" s="82"/>
      <c r="T2644" s="82"/>
      <c r="U2644" s="82"/>
      <c r="V2644" s="82"/>
      <c r="W2644" s="82"/>
      <c r="X2644" s="82"/>
      <c r="Y2644" s="82"/>
      <c r="Z2644" s="82"/>
      <c r="AA2644" s="82"/>
      <c r="AB2644" s="82"/>
      <c r="AC2644" s="82"/>
      <c r="AD2644" s="82"/>
      <c r="AE2644" s="82"/>
      <c r="AF2644" s="82"/>
      <c r="AG2644" s="82"/>
      <c r="AH2644" s="82"/>
      <c r="AI2644" s="82"/>
      <c r="AJ2644" s="82"/>
      <c r="AK2644" s="82"/>
      <c r="AL2644" s="82"/>
      <c r="AM2644" s="82"/>
      <c r="AN2644" s="82"/>
      <c r="AO2644" s="82"/>
      <c r="AP2644" s="82"/>
      <c r="AQ2644" s="82"/>
      <c r="AR2644" s="82"/>
      <c r="AS2644" s="82"/>
      <c r="AT2644" s="82"/>
      <c r="AU2644" s="82"/>
      <c r="AV2644" s="82"/>
      <c r="AW2644" s="82" t="str">
        <f t="shared" si="1"/>
        <v/>
      </c>
      <c r="AX2644" s="83" t="str">
        <f t="array" ref="AX2644">IFERROR(DGET('SBV Import'!A:G,"SBV",{"RSC ID","Tier";B2644,A2644}))</f>
        <v/>
      </c>
      <c r="AY2644" s="82" t="str">
        <f t="shared" si="2"/>
        <v/>
      </c>
      <c r="AZ2644" s="82"/>
      <c r="BA2644" s="84" t="s">
        <v>152</v>
      </c>
      <c r="BB2644" s="84" t="str">
        <f>IFERROR(__xludf.DUMMYFUNCTION("iferror(if(A2644="""",,E2644&gt;=FILTER(Constants!$F$2:$F$10,Constants!$A$2:$A$10=A2644)))"),"")</f>
        <v/>
      </c>
    </row>
    <row r="2645">
      <c r="A2645" s="89"/>
      <c r="B2645" s="87"/>
      <c r="C2645" s="73"/>
      <c r="D2645" s="73"/>
      <c r="E2645" s="82"/>
      <c r="F2645" s="82"/>
      <c r="G2645" s="86"/>
      <c r="H2645" s="86"/>
      <c r="I2645" s="86"/>
      <c r="J2645" s="82"/>
      <c r="K2645" s="82"/>
      <c r="L2645" s="82"/>
      <c r="M2645" s="82"/>
      <c r="N2645" s="82"/>
      <c r="O2645" s="82"/>
      <c r="P2645" s="82"/>
      <c r="Q2645" s="82"/>
      <c r="R2645" s="82"/>
      <c r="S2645" s="82"/>
      <c r="T2645" s="82"/>
      <c r="U2645" s="82"/>
      <c r="V2645" s="82"/>
      <c r="W2645" s="82"/>
      <c r="X2645" s="82"/>
      <c r="Y2645" s="82"/>
      <c r="Z2645" s="82"/>
      <c r="AA2645" s="82"/>
      <c r="AB2645" s="82"/>
      <c r="AC2645" s="82"/>
      <c r="AD2645" s="82"/>
      <c r="AE2645" s="82"/>
      <c r="AF2645" s="82"/>
      <c r="AG2645" s="82"/>
      <c r="AH2645" s="82"/>
      <c r="AI2645" s="82"/>
      <c r="AJ2645" s="82"/>
      <c r="AK2645" s="82"/>
      <c r="AL2645" s="82"/>
      <c r="AM2645" s="82"/>
      <c r="AN2645" s="82"/>
      <c r="AO2645" s="82"/>
      <c r="AP2645" s="82"/>
      <c r="AQ2645" s="82"/>
      <c r="AR2645" s="82"/>
      <c r="AS2645" s="82"/>
      <c r="AT2645" s="82"/>
      <c r="AU2645" s="82"/>
      <c r="AV2645" s="82"/>
      <c r="AW2645" s="82" t="str">
        <f t="shared" si="1"/>
        <v/>
      </c>
      <c r="AX2645" s="83" t="str">
        <f t="array" ref="AX2645">IFERROR(DGET('SBV Import'!A:G,"SBV",{"RSC ID","Tier";B2645,A2645}))</f>
        <v/>
      </c>
      <c r="AY2645" s="82" t="str">
        <f t="shared" si="2"/>
        <v/>
      </c>
      <c r="AZ2645" s="82"/>
      <c r="BA2645" s="84" t="s">
        <v>152</v>
      </c>
      <c r="BB2645" s="84" t="str">
        <f>IFERROR(__xludf.DUMMYFUNCTION("iferror(if(A2645="""",,E2645&gt;=FILTER(Constants!$F$2:$F$10,Constants!$A$2:$A$10=A2645)))"),"")</f>
        <v/>
      </c>
    </row>
    <row r="2646">
      <c r="A2646" s="89"/>
      <c r="B2646" s="87"/>
      <c r="C2646" s="73"/>
      <c r="D2646" s="73"/>
      <c r="E2646" s="82"/>
      <c r="F2646" s="82"/>
      <c r="G2646" s="86"/>
      <c r="H2646" s="86"/>
      <c r="I2646" s="86"/>
      <c r="J2646" s="82"/>
      <c r="K2646" s="82"/>
      <c r="L2646" s="82"/>
      <c r="M2646" s="82"/>
      <c r="N2646" s="82"/>
      <c r="O2646" s="82"/>
      <c r="P2646" s="82"/>
      <c r="Q2646" s="82"/>
      <c r="R2646" s="82"/>
      <c r="S2646" s="82"/>
      <c r="T2646" s="82"/>
      <c r="U2646" s="82"/>
      <c r="V2646" s="82"/>
      <c r="W2646" s="82"/>
      <c r="X2646" s="82"/>
      <c r="Y2646" s="82"/>
      <c r="Z2646" s="82"/>
      <c r="AA2646" s="82"/>
      <c r="AB2646" s="82"/>
      <c r="AC2646" s="82"/>
      <c r="AD2646" s="82"/>
      <c r="AE2646" s="82"/>
      <c r="AF2646" s="82"/>
      <c r="AG2646" s="82"/>
      <c r="AH2646" s="82"/>
      <c r="AI2646" s="82"/>
      <c r="AJ2646" s="82"/>
      <c r="AK2646" s="82"/>
      <c r="AL2646" s="82"/>
      <c r="AM2646" s="82"/>
      <c r="AN2646" s="82"/>
      <c r="AO2646" s="82"/>
      <c r="AP2646" s="82"/>
      <c r="AQ2646" s="82"/>
      <c r="AR2646" s="82"/>
      <c r="AS2646" s="82"/>
      <c r="AT2646" s="82"/>
      <c r="AU2646" s="82"/>
      <c r="AV2646" s="82"/>
      <c r="AW2646" s="82" t="str">
        <f t="shared" si="1"/>
        <v/>
      </c>
      <c r="AX2646" s="83" t="str">
        <f t="array" ref="AX2646">IFERROR(DGET('SBV Import'!A:G,"SBV",{"RSC ID","Tier";B2646,A2646}))</f>
        <v/>
      </c>
      <c r="AY2646" s="82" t="str">
        <f t="shared" si="2"/>
        <v/>
      </c>
      <c r="AZ2646" s="82"/>
      <c r="BA2646" s="84" t="s">
        <v>152</v>
      </c>
      <c r="BB2646" s="84" t="str">
        <f>IFERROR(__xludf.DUMMYFUNCTION("iferror(if(A2646="""",,E2646&gt;=FILTER(Constants!$F$2:$F$10,Constants!$A$2:$A$10=A2646)))"),"")</f>
        <v/>
      </c>
    </row>
    <row r="2647">
      <c r="A2647" s="89"/>
      <c r="B2647" s="87"/>
      <c r="C2647" s="73"/>
      <c r="D2647" s="73"/>
      <c r="E2647" s="82"/>
      <c r="F2647" s="82"/>
      <c r="G2647" s="86"/>
      <c r="H2647" s="86"/>
      <c r="I2647" s="86"/>
      <c r="J2647" s="82"/>
      <c r="K2647" s="82"/>
      <c r="L2647" s="82"/>
      <c r="M2647" s="82"/>
      <c r="N2647" s="82"/>
      <c r="O2647" s="82"/>
      <c r="P2647" s="82"/>
      <c r="Q2647" s="82"/>
      <c r="R2647" s="82"/>
      <c r="S2647" s="82"/>
      <c r="T2647" s="82"/>
      <c r="U2647" s="82"/>
      <c r="V2647" s="82"/>
      <c r="W2647" s="82"/>
      <c r="X2647" s="82"/>
      <c r="Y2647" s="82"/>
      <c r="Z2647" s="82"/>
      <c r="AA2647" s="82"/>
      <c r="AB2647" s="82"/>
      <c r="AC2647" s="82"/>
      <c r="AD2647" s="82"/>
      <c r="AE2647" s="82"/>
      <c r="AF2647" s="82"/>
      <c r="AG2647" s="82"/>
      <c r="AH2647" s="82"/>
      <c r="AI2647" s="82"/>
      <c r="AJ2647" s="82"/>
      <c r="AK2647" s="82"/>
      <c r="AL2647" s="82"/>
      <c r="AM2647" s="82"/>
      <c r="AN2647" s="82"/>
      <c r="AO2647" s="82"/>
      <c r="AP2647" s="82"/>
      <c r="AQ2647" s="82"/>
      <c r="AR2647" s="82"/>
      <c r="AS2647" s="82"/>
      <c r="AT2647" s="82"/>
      <c r="AU2647" s="82"/>
      <c r="AV2647" s="82"/>
      <c r="AW2647" s="82" t="str">
        <f t="shared" si="1"/>
        <v/>
      </c>
      <c r="AX2647" s="83" t="str">
        <f t="array" ref="AX2647">IFERROR(DGET('SBV Import'!A:G,"SBV",{"RSC ID","Tier";B2647,A2647}))</f>
        <v/>
      </c>
      <c r="AY2647" s="82" t="str">
        <f t="shared" si="2"/>
        <v/>
      </c>
      <c r="AZ2647" s="82"/>
      <c r="BA2647" s="84" t="s">
        <v>152</v>
      </c>
      <c r="BB2647" s="84" t="str">
        <f>IFERROR(__xludf.DUMMYFUNCTION("iferror(if(A2647="""",,E2647&gt;=FILTER(Constants!$F$2:$F$10,Constants!$A$2:$A$10=A2647)))"),"")</f>
        <v/>
      </c>
    </row>
    <row r="2648">
      <c r="A2648" s="89"/>
      <c r="B2648" s="87"/>
      <c r="C2648" s="73"/>
      <c r="D2648" s="73"/>
      <c r="E2648" s="82"/>
      <c r="F2648" s="82"/>
      <c r="G2648" s="86"/>
      <c r="H2648" s="86"/>
      <c r="I2648" s="86"/>
      <c r="J2648" s="82"/>
      <c r="K2648" s="82"/>
      <c r="L2648" s="82"/>
      <c r="M2648" s="82"/>
      <c r="N2648" s="82"/>
      <c r="O2648" s="82"/>
      <c r="P2648" s="82"/>
      <c r="Q2648" s="82"/>
      <c r="R2648" s="82"/>
      <c r="S2648" s="82"/>
      <c r="T2648" s="82"/>
      <c r="U2648" s="82"/>
      <c r="V2648" s="82"/>
      <c r="W2648" s="82"/>
      <c r="X2648" s="82"/>
      <c r="Y2648" s="82"/>
      <c r="Z2648" s="82"/>
      <c r="AA2648" s="82"/>
      <c r="AB2648" s="82"/>
      <c r="AC2648" s="82"/>
      <c r="AD2648" s="82"/>
      <c r="AE2648" s="82"/>
      <c r="AF2648" s="82"/>
      <c r="AG2648" s="82"/>
      <c r="AH2648" s="82"/>
      <c r="AI2648" s="82"/>
      <c r="AJ2648" s="82"/>
      <c r="AK2648" s="82"/>
      <c r="AL2648" s="82"/>
      <c r="AM2648" s="82"/>
      <c r="AN2648" s="82"/>
      <c r="AO2648" s="82"/>
      <c r="AP2648" s="82"/>
      <c r="AQ2648" s="82"/>
      <c r="AR2648" s="82"/>
      <c r="AS2648" s="82"/>
      <c r="AT2648" s="82"/>
      <c r="AU2648" s="82"/>
      <c r="AV2648" s="82"/>
      <c r="AW2648" s="82" t="str">
        <f t="shared" si="1"/>
        <v/>
      </c>
      <c r="AX2648" s="83" t="str">
        <f t="array" ref="AX2648">IFERROR(DGET('SBV Import'!A:G,"SBV",{"RSC ID","Tier";B2648,A2648}))</f>
        <v/>
      </c>
      <c r="AY2648" s="82" t="str">
        <f t="shared" si="2"/>
        <v/>
      </c>
      <c r="AZ2648" s="82"/>
      <c r="BA2648" s="84" t="s">
        <v>152</v>
      </c>
      <c r="BB2648" s="84" t="str">
        <f>IFERROR(__xludf.DUMMYFUNCTION("iferror(if(A2648="""",,E2648&gt;=FILTER(Constants!$F$2:$F$10,Constants!$A$2:$A$10=A2648)))"),"")</f>
        <v/>
      </c>
    </row>
    <row r="2649">
      <c r="A2649" s="89"/>
      <c r="B2649" s="87"/>
      <c r="C2649" s="73"/>
      <c r="D2649" s="73"/>
      <c r="E2649" s="82"/>
      <c r="F2649" s="82"/>
      <c r="G2649" s="86"/>
      <c r="H2649" s="86"/>
      <c r="I2649" s="86"/>
      <c r="J2649" s="82"/>
      <c r="K2649" s="82"/>
      <c r="L2649" s="82"/>
      <c r="M2649" s="82"/>
      <c r="N2649" s="82"/>
      <c r="O2649" s="82"/>
      <c r="P2649" s="82"/>
      <c r="Q2649" s="82"/>
      <c r="R2649" s="82"/>
      <c r="S2649" s="82"/>
      <c r="T2649" s="82"/>
      <c r="U2649" s="82"/>
      <c r="V2649" s="82"/>
      <c r="W2649" s="82"/>
      <c r="X2649" s="82"/>
      <c r="Y2649" s="82"/>
      <c r="Z2649" s="82"/>
      <c r="AA2649" s="82"/>
      <c r="AB2649" s="82"/>
      <c r="AC2649" s="82"/>
      <c r="AD2649" s="82"/>
      <c r="AE2649" s="82"/>
      <c r="AF2649" s="82"/>
      <c r="AG2649" s="82"/>
      <c r="AH2649" s="82"/>
      <c r="AI2649" s="82"/>
      <c r="AJ2649" s="82"/>
      <c r="AK2649" s="82"/>
      <c r="AL2649" s="82"/>
      <c r="AM2649" s="82"/>
      <c r="AN2649" s="82"/>
      <c r="AO2649" s="82"/>
      <c r="AP2649" s="82"/>
      <c r="AQ2649" s="82"/>
      <c r="AR2649" s="82"/>
      <c r="AS2649" s="82"/>
      <c r="AT2649" s="82"/>
      <c r="AU2649" s="82"/>
      <c r="AV2649" s="82"/>
      <c r="AW2649" s="82" t="str">
        <f t="shared" si="1"/>
        <v/>
      </c>
      <c r="AX2649" s="83" t="str">
        <f t="array" ref="AX2649">IFERROR(DGET('SBV Import'!A:G,"SBV",{"RSC ID","Tier";B2649,A2649}))</f>
        <v/>
      </c>
      <c r="AY2649" s="82" t="str">
        <f t="shared" si="2"/>
        <v/>
      </c>
      <c r="AZ2649" s="82"/>
      <c r="BA2649" s="84" t="s">
        <v>152</v>
      </c>
      <c r="BB2649" s="84" t="str">
        <f>IFERROR(__xludf.DUMMYFUNCTION("iferror(if(A2649="""",,E2649&gt;=FILTER(Constants!$F$2:$F$10,Constants!$A$2:$A$10=A2649)))"),"")</f>
        <v/>
      </c>
    </row>
    <row r="2650">
      <c r="A2650" s="89"/>
      <c r="B2650" s="87"/>
      <c r="C2650" s="73"/>
      <c r="D2650" s="73"/>
      <c r="E2650" s="82"/>
      <c r="F2650" s="82"/>
      <c r="G2650" s="86"/>
      <c r="H2650" s="86"/>
      <c r="I2650" s="86"/>
      <c r="J2650" s="82"/>
      <c r="K2650" s="82"/>
      <c r="L2650" s="82"/>
      <c r="M2650" s="82"/>
      <c r="N2650" s="82"/>
      <c r="O2650" s="82"/>
      <c r="P2650" s="82"/>
      <c r="Q2650" s="82"/>
      <c r="R2650" s="82"/>
      <c r="S2650" s="82"/>
      <c r="T2650" s="82"/>
      <c r="U2650" s="82"/>
      <c r="V2650" s="82"/>
      <c r="W2650" s="82"/>
      <c r="X2650" s="82"/>
      <c r="Y2650" s="82"/>
      <c r="Z2650" s="82"/>
      <c r="AA2650" s="82"/>
      <c r="AB2650" s="82"/>
      <c r="AC2650" s="82"/>
      <c r="AD2650" s="82"/>
      <c r="AE2650" s="82"/>
      <c r="AF2650" s="82"/>
      <c r="AG2650" s="82"/>
      <c r="AH2650" s="82"/>
      <c r="AI2650" s="82"/>
      <c r="AJ2650" s="82"/>
      <c r="AK2650" s="82"/>
      <c r="AL2650" s="82"/>
      <c r="AM2650" s="82"/>
      <c r="AN2650" s="82"/>
      <c r="AO2650" s="82"/>
      <c r="AP2650" s="82"/>
      <c r="AQ2650" s="82"/>
      <c r="AR2650" s="82"/>
      <c r="AS2650" s="82"/>
      <c r="AT2650" s="82"/>
      <c r="AU2650" s="82"/>
      <c r="AV2650" s="82"/>
      <c r="AW2650" s="82" t="str">
        <f t="shared" si="1"/>
        <v/>
      </c>
      <c r="AX2650" s="83" t="str">
        <f t="array" ref="AX2650">IFERROR(DGET('SBV Import'!A:G,"SBV",{"RSC ID","Tier";B2650,A2650}))</f>
        <v/>
      </c>
      <c r="AY2650" s="82" t="str">
        <f t="shared" si="2"/>
        <v/>
      </c>
      <c r="AZ2650" s="82"/>
      <c r="BA2650" s="84" t="s">
        <v>152</v>
      </c>
      <c r="BB2650" s="84" t="str">
        <f>IFERROR(__xludf.DUMMYFUNCTION("iferror(if(A2650="""",,E2650&gt;=FILTER(Constants!$F$2:$F$10,Constants!$A$2:$A$10=A2650)))"),"")</f>
        <v/>
      </c>
    </row>
    <row r="2651">
      <c r="A2651" s="89"/>
      <c r="B2651" s="87"/>
      <c r="C2651" s="73"/>
      <c r="D2651" s="73"/>
      <c r="E2651" s="82"/>
      <c r="F2651" s="82"/>
      <c r="G2651" s="86"/>
      <c r="H2651" s="86"/>
      <c r="I2651" s="86"/>
      <c r="J2651" s="82"/>
      <c r="K2651" s="82"/>
      <c r="L2651" s="82"/>
      <c r="M2651" s="82"/>
      <c r="N2651" s="82"/>
      <c r="O2651" s="82"/>
      <c r="P2651" s="82"/>
      <c r="Q2651" s="82"/>
      <c r="R2651" s="82"/>
      <c r="S2651" s="82"/>
      <c r="T2651" s="82"/>
      <c r="U2651" s="82"/>
      <c r="V2651" s="82"/>
      <c r="W2651" s="82"/>
      <c r="X2651" s="82"/>
      <c r="Y2651" s="82"/>
      <c r="Z2651" s="82"/>
      <c r="AA2651" s="82"/>
      <c r="AB2651" s="82"/>
      <c r="AC2651" s="82"/>
      <c r="AD2651" s="82"/>
      <c r="AE2651" s="82"/>
      <c r="AF2651" s="82"/>
      <c r="AG2651" s="82"/>
      <c r="AH2651" s="82"/>
      <c r="AI2651" s="82"/>
      <c r="AJ2651" s="82"/>
      <c r="AK2651" s="82"/>
      <c r="AL2651" s="82"/>
      <c r="AM2651" s="82"/>
      <c r="AN2651" s="82"/>
      <c r="AO2651" s="82"/>
      <c r="AP2651" s="82"/>
      <c r="AQ2651" s="82"/>
      <c r="AR2651" s="82"/>
      <c r="AS2651" s="82"/>
      <c r="AT2651" s="82"/>
      <c r="AU2651" s="82"/>
      <c r="AV2651" s="82"/>
      <c r="AW2651" s="82" t="str">
        <f t="shared" si="1"/>
        <v/>
      </c>
      <c r="AX2651" s="83" t="str">
        <f t="array" ref="AX2651">IFERROR(DGET('SBV Import'!A:G,"SBV",{"RSC ID","Tier";B2651,A2651}))</f>
        <v/>
      </c>
      <c r="AY2651" s="82" t="str">
        <f t="shared" si="2"/>
        <v/>
      </c>
      <c r="AZ2651" s="82"/>
      <c r="BA2651" s="84" t="s">
        <v>152</v>
      </c>
      <c r="BB2651" s="84" t="str">
        <f>IFERROR(__xludf.DUMMYFUNCTION("iferror(if(A2651="""",,E2651&gt;=FILTER(Constants!$F$2:$F$10,Constants!$A$2:$A$10=A2651)))"),"")</f>
        <v/>
      </c>
    </row>
    <row r="2652">
      <c r="A2652" s="89"/>
      <c r="B2652" s="87"/>
      <c r="C2652" s="73"/>
      <c r="D2652" s="73"/>
      <c r="E2652" s="82"/>
      <c r="F2652" s="82"/>
      <c r="G2652" s="86"/>
      <c r="H2652" s="86"/>
      <c r="I2652" s="86"/>
      <c r="J2652" s="82"/>
      <c r="K2652" s="82"/>
      <c r="L2652" s="82"/>
      <c r="M2652" s="82"/>
      <c r="N2652" s="82"/>
      <c r="O2652" s="82"/>
      <c r="P2652" s="82"/>
      <c r="Q2652" s="82"/>
      <c r="R2652" s="82"/>
      <c r="S2652" s="82"/>
      <c r="T2652" s="82"/>
      <c r="U2652" s="82"/>
      <c r="V2652" s="82"/>
      <c r="W2652" s="82"/>
      <c r="X2652" s="82"/>
      <c r="Y2652" s="82"/>
      <c r="Z2652" s="82"/>
      <c r="AA2652" s="82"/>
      <c r="AB2652" s="82"/>
      <c r="AC2652" s="82"/>
      <c r="AD2652" s="82"/>
      <c r="AE2652" s="82"/>
      <c r="AF2652" s="82"/>
      <c r="AG2652" s="82"/>
      <c r="AH2652" s="82"/>
      <c r="AI2652" s="82"/>
      <c r="AJ2652" s="82"/>
      <c r="AK2652" s="82"/>
      <c r="AL2652" s="82"/>
      <c r="AM2652" s="82"/>
      <c r="AN2652" s="82"/>
      <c r="AO2652" s="82"/>
      <c r="AP2652" s="82"/>
      <c r="AQ2652" s="82"/>
      <c r="AR2652" s="82"/>
      <c r="AS2652" s="82"/>
      <c r="AT2652" s="82"/>
      <c r="AU2652" s="82"/>
      <c r="AV2652" s="82"/>
      <c r="AW2652" s="82" t="str">
        <f t="shared" si="1"/>
        <v/>
      </c>
      <c r="AX2652" s="83" t="str">
        <f t="array" ref="AX2652">IFERROR(DGET('SBV Import'!A:G,"SBV",{"RSC ID","Tier";B2652,A2652}))</f>
        <v/>
      </c>
      <c r="AY2652" s="82" t="str">
        <f t="shared" si="2"/>
        <v/>
      </c>
      <c r="AZ2652" s="82"/>
      <c r="BA2652" s="84" t="s">
        <v>152</v>
      </c>
      <c r="BB2652" s="84" t="str">
        <f>IFERROR(__xludf.DUMMYFUNCTION("iferror(if(A2652="""",,E2652&gt;=FILTER(Constants!$F$2:$F$10,Constants!$A$2:$A$10=A2652)))"),"")</f>
        <v/>
      </c>
    </row>
    <row r="2653">
      <c r="A2653" s="89"/>
      <c r="B2653" s="87"/>
      <c r="C2653" s="73"/>
      <c r="D2653" s="73"/>
      <c r="E2653" s="82"/>
      <c r="F2653" s="82"/>
      <c r="G2653" s="86"/>
      <c r="H2653" s="86"/>
      <c r="I2653" s="86"/>
      <c r="J2653" s="82"/>
      <c r="K2653" s="82"/>
      <c r="L2653" s="82"/>
      <c r="M2653" s="82"/>
      <c r="N2653" s="82"/>
      <c r="O2653" s="82"/>
      <c r="P2653" s="82"/>
      <c r="Q2653" s="82"/>
      <c r="R2653" s="82"/>
      <c r="S2653" s="82"/>
      <c r="T2653" s="82"/>
      <c r="U2653" s="82"/>
      <c r="V2653" s="82"/>
      <c r="W2653" s="82"/>
      <c r="X2653" s="82"/>
      <c r="Y2653" s="82"/>
      <c r="Z2653" s="82"/>
      <c r="AA2653" s="82"/>
      <c r="AB2653" s="82"/>
      <c r="AC2653" s="82"/>
      <c r="AD2653" s="82"/>
      <c r="AE2653" s="82"/>
      <c r="AF2653" s="82"/>
      <c r="AG2653" s="82"/>
      <c r="AH2653" s="82"/>
      <c r="AI2653" s="82"/>
      <c r="AJ2653" s="82"/>
      <c r="AK2653" s="82"/>
      <c r="AL2653" s="82"/>
      <c r="AM2653" s="82"/>
      <c r="AN2653" s="82"/>
      <c r="AO2653" s="82"/>
      <c r="AP2653" s="82"/>
      <c r="AQ2653" s="82"/>
      <c r="AR2653" s="82"/>
      <c r="AS2653" s="82"/>
      <c r="AT2653" s="82"/>
      <c r="AU2653" s="82"/>
      <c r="AV2653" s="82"/>
      <c r="AW2653" s="82" t="str">
        <f t="shared" si="1"/>
        <v/>
      </c>
      <c r="AX2653" s="83" t="str">
        <f t="array" ref="AX2653">IFERROR(DGET('SBV Import'!A:G,"SBV",{"RSC ID","Tier";B2653,A2653}))</f>
        <v/>
      </c>
      <c r="AY2653" s="82" t="str">
        <f t="shared" si="2"/>
        <v/>
      </c>
      <c r="AZ2653" s="82"/>
      <c r="BA2653" s="84" t="s">
        <v>152</v>
      </c>
      <c r="BB2653" s="84" t="str">
        <f>IFERROR(__xludf.DUMMYFUNCTION("iferror(if(A2653="""",,E2653&gt;=FILTER(Constants!$F$2:$F$10,Constants!$A$2:$A$10=A2653)))"),"")</f>
        <v/>
      </c>
    </row>
    <row r="2654">
      <c r="A2654" s="89"/>
      <c r="B2654" s="87"/>
      <c r="C2654" s="73"/>
      <c r="D2654" s="73"/>
      <c r="E2654" s="82"/>
      <c r="F2654" s="82"/>
      <c r="G2654" s="86"/>
      <c r="H2654" s="86"/>
      <c r="I2654" s="86"/>
      <c r="J2654" s="82"/>
      <c r="K2654" s="82"/>
      <c r="L2654" s="82"/>
      <c r="M2654" s="82"/>
      <c r="N2654" s="82"/>
      <c r="O2654" s="82"/>
      <c r="P2654" s="82"/>
      <c r="Q2654" s="82"/>
      <c r="R2654" s="82"/>
      <c r="S2654" s="82"/>
      <c r="T2654" s="82"/>
      <c r="U2654" s="82"/>
      <c r="V2654" s="82"/>
      <c r="W2654" s="82"/>
      <c r="X2654" s="82"/>
      <c r="Y2654" s="82"/>
      <c r="Z2654" s="82"/>
      <c r="AA2654" s="82"/>
      <c r="AB2654" s="82"/>
      <c r="AC2654" s="82"/>
      <c r="AD2654" s="82"/>
      <c r="AE2654" s="82"/>
      <c r="AF2654" s="82"/>
      <c r="AG2654" s="82"/>
      <c r="AH2654" s="82"/>
      <c r="AI2654" s="82"/>
      <c r="AJ2654" s="82"/>
      <c r="AK2654" s="82"/>
      <c r="AL2654" s="82"/>
      <c r="AM2654" s="82"/>
      <c r="AN2654" s="82"/>
      <c r="AO2654" s="82"/>
      <c r="AP2654" s="82"/>
      <c r="AQ2654" s="82"/>
      <c r="AR2654" s="82"/>
      <c r="AS2654" s="82"/>
      <c r="AT2654" s="82"/>
      <c r="AU2654" s="82"/>
      <c r="AV2654" s="82"/>
      <c r="AW2654" s="82" t="str">
        <f t="shared" si="1"/>
        <v/>
      </c>
      <c r="AX2654" s="83" t="str">
        <f t="array" ref="AX2654">IFERROR(DGET('SBV Import'!A:G,"SBV",{"RSC ID","Tier";B2654,A2654}))</f>
        <v/>
      </c>
      <c r="AY2654" s="82" t="str">
        <f t="shared" si="2"/>
        <v/>
      </c>
      <c r="AZ2654" s="82"/>
      <c r="BA2654" s="84" t="s">
        <v>152</v>
      </c>
      <c r="BB2654" s="84" t="str">
        <f>IFERROR(__xludf.DUMMYFUNCTION("iferror(if(A2654="""",,E2654&gt;=FILTER(Constants!$F$2:$F$10,Constants!$A$2:$A$10=A2654)))"),"")</f>
        <v/>
      </c>
    </row>
    <row r="2655">
      <c r="A2655" s="89"/>
      <c r="B2655" s="87"/>
      <c r="C2655" s="73"/>
      <c r="D2655" s="73"/>
      <c r="E2655" s="82"/>
      <c r="F2655" s="82"/>
      <c r="G2655" s="86"/>
      <c r="H2655" s="86"/>
      <c r="I2655" s="86"/>
      <c r="J2655" s="82"/>
      <c r="K2655" s="82"/>
      <c r="L2655" s="82"/>
      <c r="M2655" s="82"/>
      <c r="N2655" s="82"/>
      <c r="O2655" s="82"/>
      <c r="P2655" s="82"/>
      <c r="Q2655" s="82"/>
      <c r="R2655" s="82"/>
      <c r="S2655" s="82"/>
      <c r="T2655" s="82"/>
      <c r="U2655" s="82"/>
      <c r="V2655" s="82"/>
      <c r="W2655" s="82"/>
      <c r="X2655" s="82"/>
      <c r="Y2655" s="82"/>
      <c r="Z2655" s="82"/>
      <c r="AA2655" s="82"/>
      <c r="AB2655" s="82"/>
      <c r="AC2655" s="82"/>
      <c r="AD2655" s="82"/>
      <c r="AE2655" s="82"/>
      <c r="AF2655" s="82"/>
      <c r="AG2655" s="82"/>
      <c r="AH2655" s="82"/>
      <c r="AI2655" s="82"/>
      <c r="AJ2655" s="82"/>
      <c r="AK2655" s="82"/>
      <c r="AL2655" s="82"/>
      <c r="AM2655" s="82"/>
      <c r="AN2655" s="82"/>
      <c r="AO2655" s="82"/>
      <c r="AP2655" s="82"/>
      <c r="AQ2655" s="82"/>
      <c r="AR2655" s="82"/>
      <c r="AS2655" s="82"/>
      <c r="AT2655" s="82"/>
      <c r="AU2655" s="82"/>
      <c r="AV2655" s="82"/>
      <c r="AW2655" s="82" t="str">
        <f t="shared" si="1"/>
        <v/>
      </c>
      <c r="AX2655" s="83" t="str">
        <f t="array" ref="AX2655">IFERROR(DGET('SBV Import'!A:G,"SBV",{"RSC ID","Tier";B2655,A2655}))</f>
        <v/>
      </c>
      <c r="AY2655" s="82" t="str">
        <f t="shared" si="2"/>
        <v/>
      </c>
      <c r="AZ2655" s="82"/>
      <c r="BA2655" s="84" t="s">
        <v>152</v>
      </c>
      <c r="BB2655" s="84" t="str">
        <f>IFERROR(__xludf.DUMMYFUNCTION("iferror(if(A2655="""",,E2655&gt;=FILTER(Constants!$F$2:$F$10,Constants!$A$2:$A$10=A2655)))"),"")</f>
        <v/>
      </c>
    </row>
    <row r="2656">
      <c r="A2656" s="89"/>
      <c r="B2656" s="87"/>
      <c r="C2656" s="73"/>
      <c r="D2656" s="73"/>
      <c r="E2656" s="82"/>
      <c r="F2656" s="82"/>
      <c r="G2656" s="86"/>
      <c r="H2656" s="86"/>
      <c r="I2656" s="86"/>
      <c r="J2656" s="82"/>
      <c r="K2656" s="82"/>
      <c r="L2656" s="82"/>
      <c r="M2656" s="82"/>
      <c r="N2656" s="82"/>
      <c r="O2656" s="82"/>
      <c r="P2656" s="82"/>
      <c r="Q2656" s="82"/>
      <c r="R2656" s="82"/>
      <c r="S2656" s="82"/>
      <c r="T2656" s="82"/>
      <c r="U2656" s="82"/>
      <c r="V2656" s="82"/>
      <c r="W2656" s="82"/>
      <c r="X2656" s="82"/>
      <c r="Y2656" s="82"/>
      <c r="Z2656" s="82"/>
      <c r="AA2656" s="82"/>
      <c r="AB2656" s="82"/>
      <c r="AC2656" s="82"/>
      <c r="AD2656" s="82"/>
      <c r="AE2656" s="82"/>
      <c r="AF2656" s="82"/>
      <c r="AG2656" s="82"/>
      <c r="AH2656" s="82"/>
      <c r="AI2656" s="82"/>
      <c r="AJ2656" s="82"/>
      <c r="AK2656" s="82"/>
      <c r="AL2656" s="82"/>
      <c r="AM2656" s="82"/>
      <c r="AN2656" s="82"/>
      <c r="AO2656" s="82"/>
      <c r="AP2656" s="82"/>
      <c r="AQ2656" s="82"/>
      <c r="AR2656" s="82"/>
      <c r="AS2656" s="82"/>
      <c r="AT2656" s="82"/>
      <c r="AU2656" s="82"/>
      <c r="AV2656" s="82"/>
      <c r="AW2656" s="82" t="str">
        <f t="shared" si="1"/>
        <v/>
      </c>
      <c r="AX2656" s="83" t="str">
        <f t="array" ref="AX2656">IFERROR(DGET('SBV Import'!A:G,"SBV",{"RSC ID","Tier";B2656,A2656}))</f>
        <v/>
      </c>
      <c r="AY2656" s="82" t="str">
        <f t="shared" si="2"/>
        <v/>
      </c>
      <c r="AZ2656" s="82"/>
      <c r="BA2656" s="84" t="s">
        <v>152</v>
      </c>
      <c r="BB2656" s="84" t="str">
        <f>IFERROR(__xludf.DUMMYFUNCTION("iferror(if(A2656="""",,E2656&gt;=FILTER(Constants!$F$2:$F$10,Constants!$A$2:$A$10=A2656)))"),"")</f>
        <v/>
      </c>
    </row>
    <row r="2657">
      <c r="A2657" s="89"/>
      <c r="B2657" s="87"/>
      <c r="C2657" s="73"/>
      <c r="D2657" s="73"/>
      <c r="E2657" s="82"/>
      <c r="F2657" s="82"/>
      <c r="G2657" s="86"/>
      <c r="H2657" s="86"/>
      <c r="I2657" s="86"/>
      <c r="J2657" s="82"/>
      <c r="K2657" s="82"/>
      <c r="L2657" s="82"/>
      <c r="M2657" s="82"/>
      <c r="N2657" s="82"/>
      <c r="O2657" s="82"/>
      <c r="P2657" s="82"/>
      <c r="Q2657" s="82"/>
      <c r="R2657" s="82"/>
      <c r="S2657" s="82"/>
      <c r="T2657" s="82"/>
      <c r="U2657" s="82"/>
      <c r="V2657" s="82"/>
      <c r="W2657" s="82"/>
      <c r="X2657" s="82"/>
      <c r="Y2657" s="82"/>
      <c r="Z2657" s="82"/>
      <c r="AA2657" s="82"/>
      <c r="AB2657" s="82"/>
      <c r="AC2657" s="82"/>
      <c r="AD2657" s="82"/>
      <c r="AE2657" s="82"/>
      <c r="AF2657" s="82"/>
      <c r="AG2657" s="82"/>
      <c r="AH2657" s="82"/>
      <c r="AI2657" s="82"/>
      <c r="AJ2657" s="82"/>
      <c r="AK2657" s="82"/>
      <c r="AL2657" s="82"/>
      <c r="AM2657" s="82"/>
      <c r="AN2657" s="82"/>
      <c r="AO2657" s="82"/>
      <c r="AP2657" s="82"/>
      <c r="AQ2657" s="82"/>
      <c r="AR2657" s="82"/>
      <c r="AS2657" s="82"/>
      <c r="AT2657" s="82"/>
      <c r="AU2657" s="82"/>
      <c r="AV2657" s="82"/>
      <c r="AW2657" s="82" t="str">
        <f t="shared" si="1"/>
        <v/>
      </c>
      <c r="AX2657" s="83" t="str">
        <f t="array" ref="AX2657">IFERROR(DGET('SBV Import'!A:G,"SBV",{"RSC ID","Tier";B2657,A2657}))</f>
        <v/>
      </c>
      <c r="AY2657" s="82" t="str">
        <f t="shared" si="2"/>
        <v/>
      </c>
      <c r="AZ2657" s="82"/>
      <c r="BA2657" s="84" t="s">
        <v>152</v>
      </c>
      <c r="BB2657" s="84" t="str">
        <f>IFERROR(__xludf.DUMMYFUNCTION("iferror(if(A2657="""",,E2657&gt;=FILTER(Constants!$F$2:$F$10,Constants!$A$2:$A$10=A2657)))"),"")</f>
        <v/>
      </c>
    </row>
    <row r="2658">
      <c r="A2658" s="89"/>
      <c r="B2658" s="87"/>
      <c r="C2658" s="73"/>
      <c r="D2658" s="73"/>
      <c r="E2658" s="82"/>
      <c r="F2658" s="82"/>
      <c r="G2658" s="86"/>
      <c r="H2658" s="86"/>
      <c r="I2658" s="86"/>
      <c r="J2658" s="82"/>
      <c r="K2658" s="82"/>
      <c r="L2658" s="82"/>
      <c r="M2658" s="82"/>
      <c r="N2658" s="82"/>
      <c r="O2658" s="82"/>
      <c r="P2658" s="82"/>
      <c r="Q2658" s="82"/>
      <c r="R2658" s="82"/>
      <c r="S2658" s="82"/>
      <c r="T2658" s="82"/>
      <c r="U2658" s="82"/>
      <c r="V2658" s="82"/>
      <c r="W2658" s="82"/>
      <c r="X2658" s="82"/>
      <c r="Y2658" s="82"/>
      <c r="Z2658" s="82"/>
      <c r="AA2658" s="82"/>
      <c r="AB2658" s="82"/>
      <c r="AC2658" s="82"/>
      <c r="AD2658" s="82"/>
      <c r="AE2658" s="82"/>
      <c r="AF2658" s="82"/>
      <c r="AG2658" s="82"/>
      <c r="AH2658" s="82"/>
      <c r="AI2658" s="82"/>
      <c r="AJ2658" s="82"/>
      <c r="AK2658" s="82"/>
      <c r="AL2658" s="82"/>
      <c r="AM2658" s="82"/>
      <c r="AN2658" s="82"/>
      <c r="AO2658" s="82"/>
      <c r="AP2658" s="82"/>
      <c r="AQ2658" s="82"/>
      <c r="AR2658" s="82"/>
      <c r="AS2658" s="82"/>
      <c r="AT2658" s="82"/>
      <c r="AU2658" s="82"/>
      <c r="AV2658" s="82"/>
      <c r="AW2658" s="82" t="str">
        <f t="shared" si="1"/>
        <v/>
      </c>
      <c r="AX2658" s="83" t="str">
        <f t="array" ref="AX2658">IFERROR(DGET('SBV Import'!A:G,"SBV",{"RSC ID","Tier";B2658,A2658}))</f>
        <v/>
      </c>
      <c r="AY2658" s="82" t="str">
        <f t="shared" si="2"/>
        <v/>
      </c>
      <c r="AZ2658" s="82"/>
      <c r="BA2658" s="84" t="s">
        <v>152</v>
      </c>
      <c r="BB2658" s="84" t="str">
        <f>IFERROR(__xludf.DUMMYFUNCTION("iferror(if(A2658="""",,E2658&gt;=FILTER(Constants!$F$2:$F$10,Constants!$A$2:$A$10=A2658)))"),"")</f>
        <v/>
      </c>
    </row>
    <row r="2659">
      <c r="A2659" s="89"/>
      <c r="B2659" s="87"/>
      <c r="C2659" s="73"/>
      <c r="D2659" s="73"/>
      <c r="E2659" s="82"/>
      <c r="F2659" s="82"/>
      <c r="G2659" s="86"/>
      <c r="H2659" s="86"/>
      <c r="I2659" s="86"/>
      <c r="J2659" s="82"/>
      <c r="K2659" s="82"/>
      <c r="L2659" s="82"/>
      <c r="M2659" s="82"/>
      <c r="N2659" s="82"/>
      <c r="O2659" s="82"/>
      <c r="P2659" s="82"/>
      <c r="Q2659" s="82"/>
      <c r="R2659" s="82"/>
      <c r="S2659" s="82"/>
      <c r="T2659" s="82"/>
      <c r="U2659" s="82"/>
      <c r="V2659" s="82"/>
      <c r="W2659" s="82"/>
      <c r="X2659" s="82"/>
      <c r="Y2659" s="82"/>
      <c r="Z2659" s="82"/>
      <c r="AA2659" s="82"/>
      <c r="AB2659" s="82"/>
      <c r="AC2659" s="82"/>
      <c r="AD2659" s="82"/>
      <c r="AE2659" s="82"/>
      <c r="AF2659" s="82"/>
      <c r="AG2659" s="82"/>
      <c r="AH2659" s="82"/>
      <c r="AI2659" s="82"/>
      <c r="AJ2659" s="82"/>
      <c r="AK2659" s="82"/>
      <c r="AL2659" s="82"/>
      <c r="AM2659" s="82"/>
      <c r="AN2659" s="82"/>
      <c r="AO2659" s="82"/>
      <c r="AP2659" s="82"/>
      <c r="AQ2659" s="82"/>
      <c r="AR2659" s="82"/>
      <c r="AS2659" s="82"/>
      <c r="AT2659" s="82"/>
      <c r="AU2659" s="82"/>
      <c r="AV2659" s="82"/>
      <c r="AW2659" s="82" t="str">
        <f t="shared" si="1"/>
        <v/>
      </c>
      <c r="AX2659" s="83" t="str">
        <f t="array" ref="AX2659">IFERROR(DGET('SBV Import'!A:G,"SBV",{"RSC ID","Tier";B2659,A2659}))</f>
        <v/>
      </c>
      <c r="AY2659" s="82" t="str">
        <f t="shared" si="2"/>
        <v/>
      </c>
      <c r="AZ2659" s="82"/>
      <c r="BA2659" s="84" t="s">
        <v>152</v>
      </c>
      <c r="BB2659" s="84" t="str">
        <f>IFERROR(__xludf.DUMMYFUNCTION("iferror(if(A2659="""",,E2659&gt;=FILTER(Constants!$F$2:$F$10,Constants!$A$2:$A$10=A2659)))"),"")</f>
        <v/>
      </c>
    </row>
    <row r="2660">
      <c r="A2660" s="89"/>
      <c r="B2660" s="87"/>
      <c r="C2660" s="73"/>
      <c r="D2660" s="73"/>
      <c r="E2660" s="82"/>
      <c r="F2660" s="82"/>
      <c r="G2660" s="86"/>
      <c r="H2660" s="86"/>
      <c r="I2660" s="86"/>
      <c r="J2660" s="82"/>
      <c r="K2660" s="82"/>
      <c r="L2660" s="82"/>
      <c r="M2660" s="82"/>
      <c r="N2660" s="82"/>
      <c r="O2660" s="82"/>
      <c r="P2660" s="82"/>
      <c r="Q2660" s="82"/>
      <c r="R2660" s="82"/>
      <c r="S2660" s="82"/>
      <c r="T2660" s="82"/>
      <c r="U2660" s="82"/>
      <c r="V2660" s="82"/>
      <c r="W2660" s="82"/>
      <c r="X2660" s="82"/>
      <c r="Y2660" s="82"/>
      <c r="Z2660" s="82"/>
      <c r="AA2660" s="82"/>
      <c r="AB2660" s="82"/>
      <c r="AC2660" s="82"/>
      <c r="AD2660" s="82"/>
      <c r="AE2660" s="82"/>
      <c r="AF2660" s="82"/>
      <c r="AG2660" s="82"/>
      <c r="AH2660" s="82"/>
      <c r="AI2660" s="82"/>
      <c r="AJ2660" s="82"/>
      <c r="AK2660" s="82"/>
      <c r="AL2660" s="82"/>
      <c r="AM2660" s="82"/>
      <c r="AN2660" s="82"/>
      <c r="AO2660" s="82"/>
      <c r="AP2660" s="82"/>
      <c r="AQ2660" s="82"/>
      <c r="AR2660" s="82"/>
      <c r="AS2660" s="82"/>
      <c r="AT2660" s="82"/>
      <c r="AU2660" s="82"/>
      <c r="AV2660" s="82"/>
      <c r="AW2660" s="82" t="str">
        <f t="shared" si="1"/>
        <v/>
      </c>
      <c r="AX2660" s="83" t="str">
        <f t="array" ref="AX2660">IFERROR(DGET('SBV Import'!A:G,"SBV",{"RSC ID","Tier";B2660,A2660}))</f>
        <v/>
      </c>
      <c r="AY2660" s="82" t="str">
        <f t="shared" si="2"/>
        <v/>
      </c>
      <c r="AZ2660" s="82"/>
      <c r="BA2660" s="84" t="s">
        <v>152</v>
      </c>
      <c r="BB2660" s="84" t="str">
        <f>IFERROR(__xludf.DUMMYFUNCTION("iferror(if(A2660="""",,E2660&gt;=FILTER(Constants!$F$2:$F$10,Constants!$A$2:$A$10=A2660)))"),"")</f>
        <v/>
      </c>
    </row>
    <row r="2661">
      <c r="A2661" s="89"/>
      <c r="B2661" s="87"/>
      <c r="C2661" s="73"/>
      <c r="D2661" s="73"/>
      <c r="E2661" s="82"/>
      <c r="F2661" s="82"/>
      <c r="G2661" s="86"/>
      <c r="H2661" s="86"/>
      <c r="I2661" s="86"/>
      <c r="J2661" s="82"/>
      <c r="K2661" s="82"/>
      <c r="L2661" s="82"/>
      <c r="M2661" s="82"/>
      <c r="N2661" s="82"/>
      <c r="O2661" s="82"/>
      <c r="P2661" s="82"/>
      <c r="Q2661" s="82"/>
      <c r="R2661" s="82"/>
      <c r="S2661" s="82"/>
      <c r="T2661" s="82"/>
      <c r="U2661" s="82"/>
      <c r="V2661" s="82"/>
      <c r="W2661" s="82"/>
      <c r="X2661" s="82"/>
      <c r="Y2661" s="82"/>
      <c r="Z2661" s="82"/>
      <c r="AA2661" s="82"/>
      <c r="AB2661" s="82"/>
      <c r="AC2661" s="82"/>
      <c r="AD2661" s="82"/>
      <c r="AE2661" s="82"/>
      <c r="AF2661" s="82"/>
      <c r="AG2661" s="82"/>
      <c r="AH2661" s="82"/>
      <c r="AI2661" s="82"/>
      <c r="AJ2661" s="82"/>
      <c r="AK2661" s="82"/>
      <c r="AL2661" s="82"/>
      <c r="AM2661" s="82"/>
      <c r="AN2661" s="82"/>
      <c r="AO2661" s="82"/>
      <c r="AP2661" s="82"/>
      <c r="AQ2661" s="82"/>
      <c r="AR2661" s="82"/>
      <c r="AS2661" s="82"/>
      <c r="AT2661" s="82"/>
      <c r="AU2661" s="82"/>
      <c r="AV2661" s="82"/>
      <c r="AW2661" s="82" t="str">
        <f t="shared" si="1"/>
        <v/>
      </c>
      <c r="AX2661" s="83" t="str">
        <f t="array" ref="AX2661">IFERROR(DGET('SBV Import'!A:G,"SBV",{"RSC ID","Tier";B2661,A2661}))</f>
        <v/>
      </c>
      <c r="AY2661" s="82" t="str">
        <f t="shared" si="2"/>
        <v/>
      </c>
      <c r="AZ2661" s="82"/>
      <c r="BA2661" s="84" t="s">
        <v>152</v>
      </c>
      <c r="BB2661" s="84" t="str">
        <f>IFERROR(__xludf.DUMMYFUNCTION("iferror(if(A2661="""",,E2661&gt;=FILTER(Constants!$F$2:$F$10,Constants!$A$2:$A$10=A2661)))"),"")</f>
        <v/>
      </c>
    </row>
    <row r="2662">
      <c r="A2662" s="89"/>
      <c r="B2662" s="87"/>
      <c r="C2662" s="73"/>
      <c r="D2662" s="73"/>
      <c r="E2662" s="82"/>
      <c r="F2662" s="82"/>
      <c r="G2662" s="86"/>
      <c r="H2662" s="86"/>
      <c r="I2662" s="86"/>
      <c r="J2662" s="82"/>
      <c r="K2662" s="82"/>
      <c r="L2662" s="82"/>
      <c r="M2662" s="82"/>
      <c r="N2662" s="82"/>
      <c r="O2662" s="82"/>
      <c r="P2662" s="82"/>
      <c r="Q2662" s="82"/>
      <c r="R2662" s="82"/>
      <c r="S2662" s="82"/>
      <c r="T2662" s="82"/>
      <c r="U2662" s="82"/>
      <c r="V2662" s="82"/>
      <c r="W2662" s="82"/>
      <c r="X2662" s="82"/>
      <c r="Y2662" s="82"/>
      <c r="Z2662" s="82"/>
      <c r="AA2662" s="82"/>
      <c r="AB2662" s="82"/>
      <c r="AC2662" s="82"/>
      <c r="AD2662" s="82"/>
      <c r="AE2662" s="82"/>
      <c r="AF2662" s="82"/>
      <c r="AG2662" s="82"/>
      <c r="AH2662" s="82"/>
      <c r="AI2662" s="82"/>
      <c r="AJ2662" s="82"/>
      <c r="AK2662" s="82"/>
      <c r="AL2662" s="82"/>
      <c r="AM2662" s="82"/>
      <c r="AN2662" s="82"/>
      <c r="AO2662" s="82"/>
      <c r="AP2662" s="82"/>
      <c r="AQ2662" s="82"/>
      <c r="AR2662" s="82"/>
      <c r="AS2662" s="82"/>
      <c r="AT2662" s="82"/>
      <c r="AU2662" s="82"/>
      <c r="AV2662" s="82"/>
      <c r="AW2662" s="82" t="str">
        <f t="shared" si="1"/>
        <v/>
      </c>
      <c r="AX2662" s="83" t="str">
        <f t="array" ref="AX2662">IFERROR(DGET('SBV Import'!A:G,"SBV",{"RSC ID","Tier";B2662,A2662}))</f>
        <v/>
      </c>
      <c r="AY2662" s="82" t="str">
        <f t="shared" si="2"/>
        <v/>
      </c>
      <c r="AZ2662" s="82"/>
      <c r="BA2662" s="84" t="s">
        <v>152</v>
      </c>
      <c r="BB2662" s="84" t="str">
        <f>IFERROR(__xludf.DUMMYFUNCTION("iferror(if(A2662="""",,E2662&gt;=FILTER(Constants!$F$2:$F$10,Constants!$A$2:$A$10=A2662)))"),"")</f>
        <v/>
      </c>
    </row>
    <row r="2663">
      <c r="A2663" s="89"/>
      <c r="B2663" s="87"/>
      <c r="C2663" s="73"/>
      <c r="D2663" s="73"/>
      <c r="E2663" s="82"/>
      <c r="F2663" s="82"/>
      <c r="G2663" s="86"/>
      <c r="H2663" s="86"/>
      <c r="I2663" s="86"/>
      <c r="J2663" s="82"/>
      <c r="K2663" s="82"/>
      <c r="L2663" s="82"/>
      <c r="M2663" s="82"/>
      <c r="N2663" s="82"/>
      <c r="O2663" s="82"/>
      <c r="P2663" s="82"/>
      <c r="Q2663" s="82"/>
      <c r="R2663" s="82"/>
      <c r="S2663" s="82"/>
      <c r="T2663" s="82"/>
      <c r="U2663" s="82"/>
      <c r="V2663" s="82"/>
      <c r="W2663" s="82"/>
      <c r="X2663" s="82"/>
      <c r="Y2663" s="82"/>
      <c r="Z2663" s="82"/>
      <c r="AA2663" s="82"/>
      <c r="AB2663" s="82"/>
      <c r="AC2663" s="82"/>
      <c r="AD2663" s="82"/>
      <c r="AE2663" s="82"/>
      <c r="AF2663" s="82"/>
      <c r="AG2663" s="82"/>
      <c r="AH2663" s="82"/>
      <c r="AI2663" s="82"/>
      <c r="AJ2663" s="82"/>
      <c r="AK2663" s="82"/>
      <c r="AL2663" s="82"/>
      <c r="AM2663" s="82"/>
      <c r="AN2663" s="82"/>
      <c r="AO2663" s="82"/>
      <c r="AP2663" s="82"/>
      <c r="AQ2663" s="82"/>
      <c r="AR2663" s="82"/>
      <c r="AS2663" s="82"/>
      <c r="AT2663" s="82"/>
      <c r="AU2663" s="82"/>
      <c r="AV2663" s="82"/>
      <c r="AW2663" s="82" t="str">
        <f t="shared" si="1"/>
        <v/>
      </c>
      <c r="AX2663" s="83" t="str">
        <f t="array" ref="AX2663">IFERROR(DGET('SBV Import'!A:G,"SBV",{"RSC ID","Tier";B2663,A2663}))</f>
        <v/>
      </c>
      <c r="AY2663" s="82" t="str">
        <f t="shared" si="2"/>
        <v/>
      </c>
      <c r="AZ2663" s="82"/>
      <c r="BA2663" s="84" t="s">
        <v>152</v>
      </c>
      <c r="BB2663" s="84" t="str">
        <f>IFERROR(__xludf.DUMMYFUNCTION("iferror(if(A2663="""",,E2663&gt;=FILTER(Constants!$F$2:$F$10,Constants!$A$2:$A$10=A2663)))"),"")</f>
        <v/>
      </c>
    </row>
    <row r="2664">
      <c r="A2664" s="89"/>
      <c r="B2664" s="87"/>
      <c r="C2664" s="73"/>
      <c r="D2664" s="73"/>
      <c r="E2664" s="82"/>
      <c r="F2664" s="82"/>
      <c r="G2664" s="86"/>
      <c r="H2664" s="86"/>
      <c r="I2664" s="86"/>
      <c r="J2664" s="82"/>
      <c r="K2664" s="82"/>
      <c r="L2664" s="82"/>
      <c r="M2664" s="82"/>
      <c r="N2664" s="82"/>
      <c r="O2664" s="82"/>
      <c r="P2664" s="82"/>
      <c r="Q2664" s="82"/>
      <c r="R2664" s="82"/>
      <c r="S2664" s="82"/>
      <c r="T2664" s="82"/>
      <c r="U2664" s="82"/>
      <c r="V2664" s="82"/>
      <c r="W2664" s="82"/>
      <c r="X2664" s="82"/>
      <c r="Y2664" s="82"/>
      <c r="Z2664" s="82"/>
      <c r="AA2664" s="82"/>
      <c r="AB2664" s="82"/>
      <c r="AC2664" s="82"/>
      <c r="AD2664" s="82"/>
      <c r="AE2664" s="82"/>
      <c r="AF2664" s="82"/>
      <c r="AG2664" s="82"/>
      <c r="AH2664" s="82"/>
      <c r="AI2664" s="82"/>
      <c r="AJ2664" s="82"/>
      <c r="AK2664" s="82"/>
      <c r="AL2664" s="82"/>
      <c r="AM2664" s="82"/>
      <c r="AN2664" s="82"/>
      <c r="AO2664" s="82"/>
      <c r="AP2664" s="82"/>
      <c r="AQ2664" s="82"/>
      <c r="AR2664" s="82"/>
      <c r="AS2664" s="82"/>
      <c r="AT2664" s="82"/>
      <c r="AU2664" s="82"/>
      <c r="AV2664" s="82"/>
      <c r="AW2664" s="82" t="str">
        <f t="shared" si="1"/>
        <v/>
      </c>
      <c r="AX2664" s="83" t="str">
        <f t="array" ref="AX2664">IFERROR(DGET('SBV Import'!A:G,"SBV",{"RSC ID","Tier";B2664,A2664}))</f>
        <v/>
      </c>
      <c r="AY2664" s="82" t="str">
        <f t="shared" si="2"/>
        <v/>
      </c>
      <c r="AZ2664" s="82"/>
      <c r="BA2664" s="84" t="s">
        <v>152</v>
      </c>
      <c r="BB2664" s="84" t="str">
        <f>IFERROR(__xludf.DUMMYFUNCTION("iferror(if(A2664="""",,E2664&gt;=FILTER(Constants!$F$2:$F$10,Constants!$A$2:$A$10=A2664)))"),"")</f>
        <v/>
      </c>
    </row>
    <row r="2665">
      <c r="A2665" s="89"/>
      <c r="B2665" s="87"/>
      <c r="C2665" s="73"/>
      <c r="D2665" s="73"/>
      <c r="E2665" s="82"/>
      <c r="F2665" s="82"/>
      <c r="G2665" s="86"/>
      <c r="H2665" s="86"/>
      <c r="I2665" s="86"/>
      <c r="J2665" s="82"/>
      <c r="K2665" s="82"/>
      <c r="L2665" s="82"/>
      <c r="M2665" s="82"/>
      <c r="N2665" s="82"/>
      <c r="O2665" s="82"/>
      <c r="P2665" s="82"/>
      <c r="Q2665" s="82"/>
      <c r="R2665" s="82"/>
      <c r="S2665" s="82"/>
      <c r="T2665" s="82"/>
      <c r="U2665" s="82"/>
      <c r="V2665" s="82"/>
      <c r="W2665" s="82"/>
      <c r="X2665" s="82"/>
      <c r="Y2665" s="82"/>
      <c r="Z2665" s="82"/>
      <c r="AA2665" s="82"/>
      <c r="AB2665" s="82"/>
      <c r="AC2665" s="82"/>
      <c r="AD2665" s="82"/>
      <c r="AE2665" s="82"/>
      <c r="AF2665" s="82"/>
      <c r="AG2665" s="82"/>
      <c r="AH2665" s="82"/>
      <c r="AI2665" s="82"/>
      <c r="AJ2665" s="82"/>
      <c r="AK2665" s="82"/>
      <c r="AL2665" s="82"/>
      <c r="AM2665" s="82"/>
      <c r="AN2665" s="82"/>
      <c r="AO2665" s="82"/>
      <c r="AP2665" s="82"/>
      <c r="AQ2665" s="82"/>
      <c r="AR2665" s="82"/>
      <c r="AS2665" s="82"/>
      <c r="AT2665" s="82"/>
      <c r="AU2665" s="82"/>
      <c r="AV2665" s="82"/>
      <c r="AW2665" s="82" t="str">
        <f t="shared" si="1"/>
        <v/>
      </c>
      <c r="AX2665" s="83" t="str">
        <f t="array" ref="AX2665">IFERROR(DGET('SBV Import'!A:G,"SBV",{"RSC ID","Tier";B2665,A2665}))</f>
        <v/>
      </c>
      <c r="AY2665" s="82" t="str">
        <f t="shared" si="2"/>
        <v/>
      </c>
      <c r="AZ2665" s="82"/>
      <c r="BA2665" s="84" t="s">
        <v>152</v>
      </c>
      <c r="BB2665" s="84" t="str">
        <f>IFERROR(__xludf.DUMMYFUNCTION("iferror(if(A2665="""",,E2665&gt;=FILTER(Constants!$F$2:$F$10,Constants!$A$2:$A$10=A2665)))"),"")</f>
        <v/>
      </c>
    </row>
    <row r="2666">
      <c r="A2666" s="89"/>
      <c r="B2666" s="87"/>
      <c r="C2666" s="73"/>
      <c r="D2666" s="73"/>
      <c r="E2666" s="82"/>
      <c r="F2666" s="82"/>
      <c r="G2666" s="86"/>
      <c r="H2666" s="86"/>
      <c r="I2666" s="86"/>
      <c r="J2666" s="82"/>
      <c r="K2666" s="82"/>
      <c r="L2666" s="82"/>
      <c r="M2666" s="82"/>
      <c r="N2666" s="82"/>
      <c r="O2666" s="82"/>
      <c r="P2666" s="82"/>
      <c r="Q2666" s="82"/>
      <c r="R2666" s="82"/>
      <c r="S2666" s="82"/>
      <c r="T2666" s="82"/>
      <c r="U2666" s="82"/>
      <c r="V2666" s="82"/>
      <c r="W2666" s="82"/>
      <c r="X2666" s="82"/>
      <c r="Y2666" s="82"/>
      <c r="Z2666" s="82"/>
      <c r="AA2666" s="82"/>
      <c r="AB2666" s="82"/>
      <c r="AC2666" s="82"/>
      <c r="AD2666" s="82"/>
      <c r="AE2666" s="82"/>
      <c r="AF2666" s="82"/>
      <c r="AG2666" s="82"/>
      <c r="AH2666" s="82"/>
      <c r="AI2666" s="82"/>
      <c r="AJ2666" s="82"/>
      <c r="AK2666" s="82"/>
      <c r="AL2666" s="82"/>
      <c r="AM2666" s="82"/>
      <c r="AN2666" s="82"/>
      <c r="AO2666" s="82"/>
      <c r="AP2666" s="82"/>
      <c r="AQ2666" s="82"/>
      <c r="AR2666" s="82"/>
      <c r="AS2666" s="82"/>
      <c r="AT2666" s="82"/>
      <c r="AU2666" s="82"/>
      <c r="AV2666" s="82"/>
      <c r="AW2666" s="82" t="str">
        <f t="shared" si="1"/>
        <v/>
      </c>
      <c r="AX2666" s="83" t="str">
        <f t="array" ref="AX2666">IFERROR(DGET('SBV Import'!A:G,"SBV",{"RSC ID","Tier";B2666,A2666}))</f>
        <v/>
      </c>
      <c r="AY2666" s="82" t="str">
        <f t="shared" si="2"/>
        <v/>
      </c>
      <c r="AZ2666" s="82"/>
      <c r="BA2666" s="84" t="s">
        <v>152</v>
      </c>
      <c r="BB2666" s="84" t="str">
        <f>IFERROR(__xludf.DUMMYFUNCTION("iferror(if(A2666="""",,E2666&gt;=FILTER(Constants!$F$2:$F$10,Constants!$A$2:$A$10=A2666)))"),"")</f>
        <v/>
      </c>
    </row>
    <row r="2667">
      <c r="A2667" s="89"/>
      <c r="B2667" s="87"/>
      <c r="C2667" s="73"/>
      <c r="D2667" s="73"/>
      <c r="E2667" s="82"/>
      <c r="F2667" s="82"/>
      <c r="G2667" s="86"/>
      <c r="H2667" s="86"/>
      <c r="I2667" s="86"/>
      <c r="J2667" s="82"/>
      <c r="K2667" s="82"/>
      <c r="L2667" s="82"/>
      <c r="M2667" s="82"/>
      <c r="N2667" s="82"/>
      <c r="O2667" s="82"/>
      <c r="P2667" s="82"/>
      <c r="Q2667" s="82"/>
      <c r="R2667" s="82"/>
      <c r="S2667" s="82"/>
      <c r="T2667" s="82"/>
      <c r="U2667" s="82"/>
      <c r="V2667" s="82"/>
      <c r="W2667" s="82"/>
      <c r="X2667" s="82"/>
      <c r="Y2667" s="82"/>
      <c r="Z2667" s="82"/>
      <c r="AA2667" s="82"/>
      <c r="AB2667" s="82"/>
      <c r="AC2667" s="82"/>
      <c r="AD2667" s="82"/>
      <c r="AE2667" s="82"/>
      <c r="AF2667" s="82"/>
      <c r="AG2667" s="82"/>
      <c r="AH2667" s="82"/>
      <c r="AI2667" s="82"/>
      <c r="AJ2667" s="82"/>
      <c r="AK2667" s="82"/>
      <c r="AL2667" s="82"/>
      <c r="AM2667" s="82"/>
      <c r="AN2667" s="82"/>
      <c r="AO2667" s="82"/>
      <c r="AP2667" s="82"/>
      <c r="AQ2667" s="82"/>
      <c r="AR2667" s="82"/>
      <c r="AS2667" s="82"/>
      <c r="AT2667" s="82"/>
      <c r="AU2667" s="82"/>
      <c r="AV2667" s="82"/>
      <c r="AW2667" s="82" t="str">
        <f t="shared" si="1"/>
        <v/>
      </c>
      <c r="AX2667" s="83" t="str">
        <f t="array" ref="AX2667">IFERROR(DGET('SBV Import'!A:G,"SBV",{"RSC ID","Tier";B2667,A2667}))</f>
        <v/>
      </c>
      <c r="AY2667" s="82" t="str">
        <f t="shared" si="2"/>
        <v/>
      </c>
      <c r="AZ2667" s="82"/>
      <c r="BA2667" s="84" t="s">
        <v>152</v>
      </c>
      <c r="BB2667" s="84" t="str">
        <f>IFERROR(__xludf.DUMMYFUNCTION("iferror(if(A2667="""",,E2667&gt;=FILTER(Constants!$F$2:$F$10,Constants!$A$2:$A$10=A2667)))"),"")</f>
        <v/>
      </c>
    </row>
    <row r="2668">
      <c r="A2668" s="89"/>
      <c r="B2668" s="87"/>
      <c r="C2668" s="73"/>
      <c r="D2668" s="73"/>
      <c r="E2668" s="82"/>
      <c r="F2668" s="82"/>
      <c r="G2668" s="86"/>
      <c r="H2668" s="86"/>
      <c r="I2668" s="86"/>
      <c r="J2668" s="82"/>
      <c r="K2668" s="82"/>
      <c r="L2668" s="82"/>
      <c r="M2668" s="82"/>
      <c r="N2668" s="82"/>
      <c r="O2668" s="82"/>
      <c r="P2668" s="82"/>
      <c r="Q2668" s="82"/>
      <c r="R2668" s="82"/>
      <c r="S2668" s="82"/>
      <c r="T2668" s="82"/>
      <c r="U2668" s="82"/>
      <c r="V2668" s="82"/>
      <c r="W2668" s="82"/>
      <c r="X2668" s="82"/>
      <c r="Y2668" s="82"/>
      <c r="Z2668" s="82"/>
      <c r="AA2668" s="82"/>
      <c r="AB2668" s="82"/>
      <c r="AC2668" s="82"/>
      <c r="AD2668" s="82"/>
      <c r="AE2668" s="82"/>
      <c r="AF2668" s="82"/>
      <c r="AG2668" s="82"/>
      <c r="AH2668" s="82"/>
      <c r="AI2668" s="82"/>
      <c r="AJ2668" s="82"/>
      <c r="AK2668" s="82"/>
      <c r="AL2668" s="82"/>
      <c r="AM2668" s="82"/>
      <c r="AN2668" s="82"/>
      <c r="AO2668" s="82"/>
      <c r="AP2668" s="82"/>
      <c r="AQ2668" s="82"/>
      <c r="AR2668" s="82"/>
      <c r="AS2668" s="82"/>
      <c r="AT2668" s="82"/>
      <c r="AU2668" s="82"/>
      <c r="AV2668" s="82"/>
      <c r="AW2668" s="82" t="str">
        <f t="shared" si="1"/>
        <v/>
      </c>
      <c r="AX2668" s="83" t="str">
        <f t="array" ref="AX2668">IFERROR(DGET('SBV Import'!A:G,"SBV",{"RSC ID","Tier";B2668,A2668}))</f>
        <v/>
      </c>
      <c r="AY2668" s="82" t="str">
        <f t="shared" si="2"/>
        <v/>
      </c>
      <c r="AZ2668" s="82"/>
      <c r="BA2668" s="84" t="s">
        <v>152</v>
      </c>
      <c r="BB2668" s="84" t="str">
        <f>IFERROR(__xludf.DUMMYFUNCTION("iferror(if(A2668="""",,E2668&gt;=FILTER(Constants!$F$2:$F$10,Constants!$A$2:$A$10=A2668)))"),"")</f>
        <v/>
      </c>
    </row>
    <row r="2669">
      <c r="A2669" s="89"/>
      <c r="B2669" s="87"/>
      <c r="C2669" s="73"/>
      <c r="D2669" s="73"/>
      <c r="E2669" s="82"/>
      <c r="F2669" s="82"/>
      <c r="G2669" s="86"/>
      <c r="H2669" s="86"/>
      <c r="I2669" s="86"/>
      <c r="J2669" s="82"/>
      <c r="K2669" s="82"/>
      <c r="L2669" s="82"/>
      <c r="M2669" s="82"/>
      <c r="N2669" s="82"/>
      <c r="O2669" s="82"/>
      <c r="P2669" s="82"/>
      <c r="Q2669" s="82"/>
      <c r="R2669" s="82"/>
      <c r="S2669" s="82"/>
      <c r="T2669" s="82"/>
      <c r="U2669" s="82"/>
      <c r="V2669" s="82"/>
      <c r="W2669" s="82"/>
      <c r="X2669" s="82"/>
      <c r="Y2669" s="82"/>
      <c r="Z2669" s="82"/>
      <c r="AA2669" s="82"/>
      <c r="AB2669" s="82"/>
      <c r="AC2669" s="82"/>
      <c r="AD2669" s="82"/>
      <c r="AE2669" s="82"/>
      <c r="AF2669" s="82"/>
      <c r="AG2669" s="82"/>
      <c r="AH2669" s="82"/>
      <c r="AI2669" s="82"/>
      <c r="AJ2669" s="82"/>
      <c r="AK2669" s="82"/>
      <c r="AL2669" s="82"/>
      <c r="AM2669" s="82"/>
      <c r="AN2669" s="82"/>
      <c r="AO2669" s="82"/>
      <c r="AP2669" s="82"/>
      <c r="AQ2669" s="82"/>
      <c r="AR2669" s="82"/>
      <c r="AS2669" s="82"/>
      <c r="AT2669" s="82"/>
      <c r="AU2669" s="82"/>
      <c r="AV2669" s="82"/>
      <c r="AW2669" s="82" t="str">
        <f t="shared" si="1"/>
        <v/>
      </c>
      <c r="AX2669" s="83" t="str">
        <f t="array" ref="AX2669">IFERROR(DGET('SBV Import'!A:G,"SBV",{"RSC ID","Tier";B2669,A2669}))</f>
        <v/>
      </c>
      <c r="AY2669" s="82" t="str">
        <f t="shared" si="2"/>
        <v/>
      </c>
      <c r="AZ2669" s="82"/>
      <c r="BA2669" s="84" t="s">
        <v>152</v>
      </c>
      <c r="BB2669" s="84" t="str">
        <f>IFERROR(__xludf.DUMMYFUNCTION("iferror(if(A2669="""",,E2669&gt;=FILTER(Constants!$F$2:$F$10,Constants!$A$2:$A$10=A2669)))"),"")</f>
        <v/>
      </c>
    </row>
    <row r="2670">
      <c r="A2670" s="89"/>
      <c r="B2670" s="87"/>
      <c r="C2670" s="73"/>
      <c r="D2670" s="73"/>
      <c r="E2670" s="82"/>
      <c r="F2670" s="82"/>
      <c r="G2670" s="86"/>
      <c r="H2670" s="86"/>
      <c r="I2670" s="86"/>
      <c r="J2670" s="82"/>
      <c r="K2670" s="82"/>
      <c r="L2670" s="82"/>
      <c r="M2670" s="82"/>
      <c r="N2670" s="82"/>
      <c r="O2670" s="82"/>
      <c r="P2670" s="82"/>
      <c r="Q2670" s="82"/>
      <c r="R2670" s="82"/>
      <c r="S2670" s="82"/>
      <c r="T2670" s="82"/>
      <c r="U2670" s="82"/>
      <c r="V2670" s="82"/>
      <c r="W2670" s="82"/>
      <c r="X2670" s="82"/>
      <c r="Y2670" s="82"/>
      <c r="Z2670" s="82"/>
      <c r="AA2670" s="82"/>
      <c r="AB2670" s="82"/>
      <c r="AC2670" s="82"/>
      <c r="AD2670" s="82"/>
      <c r="AE2670" s="82"/>
      <c r="AF2670" s="82"/>
      <c r="AG2670" s="82"/>
      <c r="AH2670" s="82"/>
      <c r="AI2670" s="82"/>
      <c r="AJ2670" s="82"/>
      <c r="AK2670" s="82"/>
      <c r="AL2670" s="82"/>
      <c r="AM2670" s="82"/>
      <c r="AN2670" s="82"/>
      <c r="AO2670" s="82"/>
      <c r="AP2670" s="82"/>
      <c r="AQ2670" s="82"/>
      <c r="AR2670" s="82"/>
      <c r="AS2670" s="82"/>
      <c r="AT2670" s="82"/>
      <c r="AU2670" s="82"/>
      <c r="AV2670" s="82"/>
      <c r="AW2670" s="82" t="str">
        <f t="shared" si="1"/>
        <v/>
      </c>
      <c r="AX2670" s="83" t="str">
        <f t="array" ref="AX2670">IFERROR(DGET('SBV Import'!A:G,"SBV",{"RSC ID","Tier";B2670,A2670}))</f>
        <v/>
      </c>
      <c r="AY2670" s="82" t="str">
        <f t="shared" si="2"/>
        <v/>
      </c>
      <c r="AZ2670" s="82"/>
      <c r="BA2670" s="84" t="s">
        <v>152</v>
      </c>
      <c r="BB2670" s="84" t="str">
        <f>IFERROR(__xludf.DUMMYFUNCTION("iferror(if(A2670="""",,E2670&gt;=FILTER(Constants!$F$2:$F$10,Constants!$A$2:$A$10=A2670)))"),"")</f>
        <v/>
      </c>
    </row>
    <row r="2671">
      <c r="A2671" s="89"/>
      <c r="B2671" s="87"/>
      <c r="C2671" s="73"/>
      <c r="D2671" s="73"/>
      <c r="E2671" s="82"/>
      <c r="F2671" s="82"/>
      <c r="G2671" s="86"/>
      <c r="H2671" s="86"/>
      <c r="I2671" s="86"/>
      <c r="J2671" s="82"/>
      <c r="K2671" s="82"/>
      <c r="L2671" s="82"/>
      <c r="M2671" s="82"/>
      <c r="N2671" s="82"/>
      <c r="O2671" s="82"/>
      <c r="P2671" s="82"/>
      <c r="Q2671" s="82"/>
      <c r="R2671" s="82"/>
      <c r="S2671" s="82"/>
      <c r="T2671" s="82"/>
      <c r="U2671" s="82"/>
      <c r="V2671" s="82"/>
      <c r="W2671" s="82"/>
      <c r="X2671" s="82"/>
      <c r="Y2671" s="82"/>
      <c r="Z2671" s="82"/>
      <c r="AA2671" s="82"/>
      <c r="AB2671" s="82"/>
      <c r="AC2671" s="82"/>
      <c r="AD2671" s="82"/>
      <c r="AE2671" s="82"/>
      <c r="AF2671" s="82"/>
      <c r="AG2671" s="82"/>
      <c r="AH2671" s="82"/>
      <c r="AI2671" s="82"/>
      <c r="AJ2671" s="82"/>
      <c r="AK2671" s="82"/>
      <c r="AL2671" s="82"/>
      <c r="AM2671" s="82"/>
      <c r="AN2671" s="82"/>
      <c r="AO2671" s="82"/>
      <c r="AP2671" s="82"/>
      <c r="AQ2671" s="82"/>
      <c r="AR2671" s="82"/>
      <c r="AS2671" s="82"/>
      <c r="AT2671" s="82"/>
      <c r="AU2671" s="82"/>
      <c r="AV2671" s="82"/>
      <c r="AW2671" s="82" t="str">
        <f t="shared" si="1"/>
        <v/>
      </c>
      <c r="AX2671" s="83" t="str">
        <f t="array" ref="AX2671">IFERROR(DGET('SBV Import'!A:G,"SBV",{"RSC ID","Tier";B2671,A2671}))</f>
        <v/>
      </c>
      <c r="AY2671" s="82" t="str">
        <f t="shared" si="2"/>
        <v/>
      </c>
      <c r="AZ2671" s="82"/>
      <c r="BA2671" s="84" t="s">
        <v>152</v>
      </c>
      <c r="BB2671" s="84" t="str">
        <f>IFERROR(__xludf.DUMMYFUNCTION("iferror(if(A2671="""",,E2671&gt;=FILTER(Constants!$F$2:$F$10,Constants!$A$2:$A$10=A2671)))"),"")</f>
        <v/>
      </c>
    </row>
    <row r="2672">
      <c r="A2672" s="89"/>
      <c r="B2672" s="87"/>
      <c r="C2672" s="73"/>
      <c r="D2672" s="73"/>
      <c r="E2672" s="82"/>
      <c r="F2672" s="82"/>
      <c r="G2672" s="86"/>
      <c r="H2672" s="86"/>
      <c r="I2672" s="86"/>
      <c r="J2672" s="82"/>
      <c r="K2672" s="82"/>
      <c r="L2672" s="82"/>
      <c r="M2672" s="82"/>
      <c r="N2672" s="82"/>
      <c r="O2672" s="82"/>
      <c r="P2672" s="82"/>
      <c r="Q2672" s="82"/>
      <c r="R2672" s="82"/>
      <c r="S2672" s="82"/>
      <c r="T2672" s="82"/>
      <c r="U2672" s="82"/>
      <c r="V2672" s="82"/>
      <c r="W2672" s="82"/>
      <c r="X2672" s="82"/>
      <c r="Y2672" s="82"/>
      <c r="Z2672" s="82"/>
      <c r="AA2672" s="82"/>
      <c r="AB2672" s="82"/>
      <c r="AC2672" s="82"/>
      <c r="AD2672" s="82"/>
      <c r="AE2672" s="82"/>
      <c r="AF2672" s="82"/>
      <c r="AG2672" s="82"/>
      <c r="AH2672" s="82"/>
      <c r="AI2672" s="82"/>
      <c r="AJ2672" s="82"/>
      <c r="AK2672" s="82"/>
      <c r="AL2672" s="82"/>
      <c r="AM2672" s="82"/>
      <c r="AN2672" s="82"/>
      <c r="AO2672" s="82"/>
      <c r="AP2672" s="82"/>
      <c r="AQ2672" s="82"/>
      <c r="AR2672" s="82"/>
      <c r="AS2672" s="82"/>
      <c r="AT2672" s="82"/>
      <c r="AU2672" s="82"/>
      <c r="AV2672" s="82"/>
      <c r="AW2672" s="82" t="str">
        <f t="shared" si="1"/>
        <v/>
      </c>
      <c r="AX2672" s="83" t="str">
        <f t="array" ref="AX2672">IFERROR(DGET('SBV Import'!A:G,"SBV",{"RSC ID","Tier";B2672,A2672}))</f>
        <v/>
      </c>
      <c r="AY2672" s="82" t="str">
        <f t="shared" si="2"/>
        <v/>
      </c>
      <c r="AZ2672" s="82"/>
      <c r="BA2672" s="84" t="s">
        <v>152</v>
      </c>
      <c r="BB2672" s="84" t="str">
        <f>IFERROR(__xludf.DUMMYFUNCTION("iferror(if(A2672="""",,E2672&gt;=FILTER(Constants!$F$2:$F$10,Constants!$A$2:$A$10=A2672)))"),"")</f>
        <v/>
      </c>
    </row>
    <row r="2673">
      <c r="A2673" s="89"/>
      <c r="B2673" s="87"/>
      <c r="C2673" s="73"/>
      <c r="D2673" s="73"/>
      <c r="E2673" s="82"/>
      <c r="F2673" s="82"/>
      <c r="G2673" s="86"/>
      <c r="H2673" s="86"/>
      <c r="I2673" s="86"/>
      <c r="J2673" s="82"/>
      <c r="K2673" s="82"/>
      <c r="L2673" s="82"/>
      <c r="M2673" s="82"/>
      <c r="N2673" s="82"/>
      <c r="O2673" s="82"/>
      <c r="P2673" s="82"/>
      <c r="Q2673" s="82"/>
      <c r="R2673" s="82"/>
      <c r="S2673" s="82"/>
      <c r="T2673" s="82"/>
      <c r="U2673" s="82"/>
      <c r="V2673" s="82"/>
      <c r="W2673" s="82"/>
      <c r="X2673" s="82"/>
      <c r="Y2673" s="82"/>
      <c r="Z2673" s="82"/>
      <c r="AA2673" s="82"/>
      <c r="AB2673" s="82"/>
      <c r="AC2673" s="82"/>
      <c r="AD2673" s="82"/>
      <c r="AE2673" s="82"/>
      <c r="AF2673" s="82"/>
      <c r="AG2673" s="82"/>
      <c r="AH2673" s="82"/>
      <c r="AI2673" s="82"/>
      <c r="AJ2673" s="82"/>
      <c r="AK2673" s="82"/>
      <c r="AL2673" s="82"/>
      <c r="AM2673" s="82"/>
      <c r="AN2673" s="82"/>
      <c r="AO2673" s="82"/>
      <c r="AP2673" s="82"/>
      <c r="AQ2673" s="82"/>
      <c r="AR2673" s="82"/>
      <c r="AS2673" s="82"/>
      <c r="AT2673" s="82"/>
      <c r="AU2673" s="82"/>
      <c r="AV2673" s="82"/>
      <c r="AW2673" s="82" t="str">
        <f t="shared" si="1"/>
        <v/>
      </c>
      <c r="AX2673" s="83" t="str">
        <f t="array" ref="AX2673">IFERROR(DGET('SBV Import'!A:G,"SBV",{"RSC ID","Tier";B2673,A2673}))</f>
        <v/>
      </c>
      <c r="AY2673" s="82" t="str">
        <f t="shared" si="2"/>
        <v/>
      </c>
      <c r="AZ2673" s="82"/>
      <c r="BA2673" s="84" t="s">
        <v>152</v>
      </c>
      <c r="BB2673" s="84" t="str">
        <f>IFERROR(__xludf.DUMMYFUNCTION("iferror(if(A2673="""",,E2673&gt;=FILTER(Constants!$F$2:$F$10,Constants!$A$2:$A$10=A2673)))"),"")</f>
        <v/>
      </c>
    </row>
    <row r="2674">
      <c r="A2674" s="89"/>
      <c r="B2674" s="87"/>
      <c r="C2674" s="73"/>
      <c r="D2674" s="73"/>
      <c r="E2674" s="82"/>
      <c r="F2674" s="82"/>
      <c r="G2674" s="86"/>
      <c r="H2674" s="86"/>
      <c r="I2674" s="86"/>
      <c r="J2674" s="82"/>
      <c r="K2674" s="82"/>
      <c r="L2674" s="82"/>
      <c r="M2674" s="82"/>
      <c r="N2674" s="82"/>
      <c r="O2674" s="82"/>
      <c r="P2674" s="82"/>
      <c r="Q2674" s="82"/>
      <c r="R2674" s="82"/>
      <c r="S2674" s="82"/>
      <c r="T2674" s="82"/>
      <c r="U2674" s="82"/>
      <c r="V2674" s="82"/>
      <c r="W2674" s="82"/>
      <c r="X2674" s="82"/>
      <c r="Y2674" s="82"/>
      <c r="Z2674" s="82"/>
      <c r="AA2674" s="82"/>
      <c r="AB2674" s="82"/>
      <c r="AC2674" s="82"/>
      <c r="AD2674" s="82"/>
      <c r="AE2674" s="82"/>
      <c r="AF2674" s="82"/>
      <c r="AG2674" s="82"/>
      <c r="AH2674" s="82"/>
      <c r="AI2674" s="82"/>
      <c r="AJ2674" s="82"/>
      <c r="AK2674" s="82"/>
      <c r="AL2674" s="82"/>
      <c r="AM2674" s="82"/>
      <c r="AN2674" s="82"/>
      <c r="AO2674" s="82"/>
      <c r="AP2674" s="82"/>
      <c r="AQ2674" s="82"/>
      <c r="AR2674" s="82"/>
      <c r="AS2674" s="82"/>
      <c r="AT2674" s="82"/>
      <c r="AU2674" s="82"/>
      <c r="AV2674" s="82"/>
      <c r="AW2674" s="82" t="str">
        <f t="shared" si="1"/>
        <v/>
      </c>
      <c r="AX2674" s="83" t="str">
        <f t="array" ref="AX2674">IFERROR(DGET('SBV Import'!A:G,"SBV",{"RSC ID","Tier";B2674,A2674}))</f>
        <v/>
      </c>
      <c r="AY2674" s="82" t="str">
        <f t="shared" si="2"/>
        <v/>
      </c>
      <c r="AZ2674" s="82"/>
      <c r="BA2674" s="84" t="s">
        <v>152</v>
      </c>
      <c r="BB2674" s="84" t="str">
        <f>IFERROR(__xludf.DUMMYFUNCTION("iferror(if(A2674="""",,E2674&gt;=FILTER(Constants!$F$2:$F$10,Constants!$A$2:$A$10=A2674)))"),"")</f>
        <v/>
      </c>
    </row>
    <row r="2675">
      <c r="A2675" s="89"/>
      <c r="B2675" s="87"/>
      <c r="C2675" s="73"/>
      <c r="D2675" s="73"/>
      <c r="E2675" s="82"/>
      <c r="F2675" s="82"/>
      <c r="G2675" s="86"/>
      <c r="H2675" s="86"/>
      <c r="I2675" s="86"/>
      <c r="J2675" s="82"/>
      <c r="K2675" s="82"/>
      <c r="L2675" s="82"/>
      <c r="M2675" s="82"/>
      <c r="N2675" s="82"/>
      <c r="O2675" s="82"/>
      <c r="P2675" s="82"/>
      <c r="Q2675" s="82"/>
      <c r="R2675" s="82"/>
      <c r="S2675" s="82"/>
      <c r="T2675" s="82"/>
      <c r="U2675" s="82"/>
      <c r="V2675" s="82"/>
      <c r="W2675" s="82"/>
      <c r="X2675" s="82"/>
      <c r="Y2675" s="82"/>
      <c r="Z2675" s="82"/>
      <c r="AA2675" s="82"/>
      <c r="AB2675" s="82"/>
      <c r="AC2675" s="82"/>
      <c r="AD2675" s="82"/>
      <c r="AE2675" s="82"/>
      <c r="AF2675" s="82"/>
      <c r="AG2675" s="82"/>
      <c r="AH2675" s="82"/>
      <c r="AI2675" s="82"/>
      <c r="AJ2675" s="82"/>
      <c r="AK2675" s="82"/>
      <c r="AL2675" s="82"/>
      <c r="AM2675" s="82"/>
      <c r="AN2675" s="82"/>
      <c r="AO2675" s="82"/>
      <c r="AP2675" s="82"/>
      <c r="AQ2675" s="82"/>
      <c r="AR2675" s="82"/>
      <c r="AS2675" s="82"/>
      <c r="AT2675" s="82"/>
      <c r="AU2675" s="82"/>
      <c r="AV2675" s="82"/>
      <c r="AW2675" s="82" t="str">
        <f t="shared" si="1"/>
        <v/>
      </c>
      <c r="AX2675" s="83" t="str">
        <f t="array" ref="AX2675">IFERROR(DGET('SBV Import'!A:G,"SBV",{"RSC ID","Tier";B2675,A2675}))</f>
        <v/>
      </c>
      <c r="AY2675" s="82" t="str">
        <f t="shared" si="2"/>
        <v/>
      </c>
      <c r="AZ2675" s="82"/>
      <c r="BA2675" s="84" t="s">
        <v>152</v>
      </c>
      <c r="BB2675" s="84" t="str">
        <f>IFERROR(__xludf.DUMMYFUNCTION("iferror(if(A2675="""",,E2675&gt;=FILTER(Constants!$F$2:$F$10,Constants!$A$2:$A$10=A2675)))"),"")</f>
        <v/>
      </c>
    </row>
    <row r="2676">
      <c r="A2676" s="89"/>
      <c r="B2676" s="87"/>
      <c r="C2676" s="73"/>
      <c r="D2676" s="73"/>
      <c r="E2676" s="82"/>
      <c r="F2676" s="82"/>
      <c r="G2676" s="86"/>
      <c r="H2676" s="86"/>
      <c r="I2676" s="86"/>
      <c r="J2676" s="82"/>
      <c r="K2676" s="82"/>
      <c r="L2676" s="82"/>
      <c r="M2676" s="82"/>
      <c r="N2676" s="82"/>
      <c r="O2676" s="82"/>
      <c r="P2676" s="82"/>
      <c r="Q2676" s="82"/>
      <c r="R2676" s="82"/>
      <c r="S2676" s="82"/>
      <c r="T2676" s="82"/>
      <c r="U2676" s="82"/>
      <c r="V2676" s="82"/>
      <c r="W2676" s="82"/>
      <c r="X2676" s="82"/>
      <c r="Y2676" s="82"/>
      <c r="Z2676" s="82"/>
      <c r="AA2676" s="82"/>
      <c r="AB2676" s="82"/>
      <c r="AC2676" s="82"/>
      <c r="AD2676" s="82"/>
      <c r="AE2676" s="82"/>
      <c r="AF2676" s="82"/>
      <c r="AG2676" s="82"/>
      <c r="AH2676" s="82"/>
      <c r="AI2676" s="82"/>
      <c r="AJ2676" s="82"/>
      <c r="AK2676" s="82"/>
      <c r="AL2676" s="82"/>
      <c r="AM2676" s="82"/>
      <c r="AN2676" s="82"/>
      <c r="AO2676" s="82"/>
      <c r="AP2676" s="82"/>
      <c r="AQ2676" s="82"/>
      <c r="AR2676" s="82"/>
      <c r="AS2676" s="82"/>
      <c r="AT2676" s="82"/>
      <c r="AU2676" s="82"/>
      <c r="AV2676" s="82"/>
      <c r="AW2676" s="82" t="str">
        <f t="shared" si="1"/>
        <v/>
      </c>
      <c r="AX2676" s="83" t="str">
        <f t="array" ref="AX2676">IFERROR(DGET('SBV Import'!A:G,"SBV",{"RSC ID","Tier";B2676,A2676}))</f>
        <v/>
      </c>
      <c r="AY2676" s="82" t="str">
        <f t="shared" si="2"/>
        <v/>
      </c>
      <c r="AZ2676" s="82"/>
      <c r="BA2676" s="84" t="s">
        <v>152</v>
      </c>
      <c r="BB2676" s="84" t="str">
        <f>IFERROR(__xludf.DUMMYFUNCTION("iferror(if(A2676="""",,E2676&gt;=FILTER(Constants!$F$2:$F$10,Constants!$A$2:$A$10=A2676)))"),"")</f>
        <v/>
      </c>
    </row>
    <row r="2677">
      <c r="A2677" s="89"/>
      <c r="B2677" s="87"/>
      <c r="C2677" s="73"/>
      <c r="D2677" s="73"/>
      <c r="E2677" s="82"/>
      <c r="F2677" s="82"/>
      <c r="G2677" s="86"/>
      <c r="H2677" s="86"/>
      <c r="I2677" s="86"/>
      <c r="J2677" s="82"/>
      <c r="K2677" s="82"/>
      <c r="L2677" s="82"/>
      <c r="M2677" s="82"/>
      <c r="N2677" s="82"/>
      <c r="O2677" s="82"/>
      <c r="P2677" s="82"/>
      <c r="Q2677" s="82"/>
      <c r="R2677" s="82"/>
      <c r="S2677" s="82"/>
      <c r="T2677" s="82"/>
      <c r="U2677" s="82"/>
      <c r="V2677" s="82"/>
      <c r="W2677" s="82"/>
      <c r="X2677" s="82"/>
      <c r="Y2677" s="82"/>
      <c r="Z2677" s="82"/>
      <c r="AA2677" s="82"/>
      <c r="AB2677" s="82"/>
      <c r="AC2677" s="82"/>
      <c r="AD2677" s="82"/>
      <c r="AE2677" s="82"/>
      <c r="AF2677" s="82"/>
      <c r="AG2677" s="82"/>
      <c r="AH2677" s="82"/>
      <c r="AI2677" s="82"/>
      <c r="AJ2677" s="82"/>
      <c r="AK2677" s="82"/>
      <c r="AL2677" s="82"/>
      <c r="AM2677" s="82"/>
      <c r="AN2677" s="82"/>
      <c r="AO2677" s="82"/>
      <c r="AP2677" s="82"/>
      <c r="AQ2677" s="82"/>
      <c r="AR2677" s="82"/>
      <c r="AS2677" s="82"/>
      <c r="AT2677" s="82"/>
      <c r="AU2677" s="82"/>
      <c r="AV2677" s="82"/>
      <c r="AW2677" s="82" t="str">
        <f t="shared" si="1"/>
        <v/>
      </c>
      <c r="AX2677" s="83" t="str">
        <f t="array" ref="AX2677">IFERROR(DGET('SBV Import'!A:G,"SBV",{"RSC ID","Tier";B2677,A2677}))</f>
        <v/>
      </c>
      <c r="AY2677" s="82" t="str">
        <f t="shared" si="2"/>
        <v/>
      </c>
      <c r="AZ2677" s="82"/>
      <c r="BA2677" s="84" t="s">
        <v>152</v>
      </c>
      <c r="BB2677" s="84" t="str">
        <f>IFERROR(__xludf.DUMMYFUNCTION("iferror(if(A2677="""",,E2677&gt;=FILTER(Constants!$F$2:$F$10,Constants!$A$2:$A$10=A2677)))"),"")</f>
        <v/>
      </c>
    </row>
    <row r="2678">
      <c r="A2678" s="89"/>
      <c r="B2678" s="87"/>
      <c r="C2678" s="73"/>
      <c r="D2678" s="73"/>
      <c r="E2678" s="82"/>
      <c r="F2678" s="82"/>
      <c r="G2678" s="86"/>
      <c r="H2678" s="86"/>
      <c r="I2678" s="86"/>
      <c r="J2678" s="82"/>
      <c r="K2678" s="82"/>
      <c r="L2678" s="82"/>
      <c r="M2678" s="82"/>
      <c r="N2678" s="82"/>
      <c r="O2678" s="82"/>
      <c r="P2678" s="82"/>
      <c r="Q2678" s="82"/>
      <c r="R2678" s="82"/>
      <c r="S2678" s="82"/>
      <c r="T2678" s="82"/>
      <c r="U2678" s="82"/>
      <c r="V2678" s="82"/>
      <c r="W2678" s="82"/>
      <c r="X2678" s="82"/>
      <c r="Y2678" s="82"/>
      <c r="Z2678" s="82"/>
      <c r="AA2678" s="82"/>
      <c r="AB2678" s="82"/>
      <c r="AC2678" s="82"/>
      <c r="AD2678" s="82"/>
      <c r="AE2678" s="82"/>
      <c r="AF2678" s="82"/>
      <c r="AG2678" s="82"/>
      <c r="AH2678" s="82"/>
      <c r="AI2678" s="82"/>
      <c r="AJ2678" s="82"/>
      <c r="AK2678" s="82"/>
      <c r="AL2678" s="82"/>
      <c r="AM2678" s="82"/>
      <c r="AN2678" s="82"/>
      <c r="AO2678" s="82"/>
      <c r="AP2678" s="82"/>
      <c r="AQ2678" s="82"/>
      <c r="AR2678" s="82"/>
      <c r="AS2678" s="82"/>
      <c r="AT2678" s="82"/>
      <c r="AU2678" s="82"/>
      <c r="AV2678" s="82"/>
      <c r="AW2678" s="82" t="str">
        <f t="shared" si="1"/>
        <v/>
      </c>
      <c r="AX2678" s="83" t="str">
        <f t="array" ref="AX2678">IFERROR(DGET('SBV Import'!A:G,"SBV",{"RSC ID","Tier";B2678,A2678}))</f>
        <v/>
      </c>
      <c r="AY2678" s="82" t="str">
        <f t="shared" si="2"/>
        <v/>
      </c>
      <c r="AZ2678" s="82"/>
      <c r="BA2678" s="84" t="s">
        <v>152</v>
      </c>
      <c r="BB2678" s="84" t="str">
        <f>IFERROR(__xludf.DUMMYFUNCTION("iferror(if(A2678="""",,E2678&gt;=FILTER(Constants!$F$2:$F$10,Constants!$A$2:$A$10=A2678)))"),"")</f>
        <v/>
      </c>
    </row>
    <row r="2679">
      <c r="A2679" s="89"/>
      <c r="B2679" s="87"/>
      <c r="C2679" s="73"/>
      <c r="D2679" s="73"/>
      <c r="E2679" s="82"/>
      <c r="F2679" s="82"/>
      <c r="G2679" s="86"/>
      <c r="H2679" s="86"/>
      <c r="I2679" s="86"/>
      <c r="J2679" s="82"/>
      <c r="K2679" s="82"/>
      <c r="L2679" s="82"/>
      <c r="M2679" s="82"/>
      <c r="N2679" s="82"/>
      <c r="O2679" s="82"/>
      <c r="P2679" s="82"/>
      <c r="Q2679" s="82"/>
      <c r="R2679" s="82"/>
      <c r="S2679" s="82"/>
      <c r="T2679" s="82"/>
      <c r="U2679" s="82"/>
      <c r="V2679" s="82"/>
      <c r="W2679" s="82"/>
      <c r="X2679" s="82"/>
      <c r="Y2679" s="82"/>
      <c r="Z2679" s="82"/>
      <c r="AA2679" s="82"/>
      <c r="AB2679" s="82"/>
      <c r="AC2679" s="82"/>
      <c r="AD2679" s="82"/>
      <c r="AE2679" s="82"/>
      <c r="AF2679" s="82"/>
      <c r="AG2679" s="82"/>
      <c r="AH2679" s="82"/>
      <c r="AI2679" s="82"/>
      <c r="AJ2679" s="82"/>
      <c r="AK2679" s="82"/>
      <c r="AL2679" s="82"/>
      <c r="AM2679" s="82"/>
      <c r="AN2679" s="82"/>
      <c r="AO2679" s="82"/>
      <c r="AP2679" s="82"/>
      <c r="AQ2679" s="82"/>
      <c r="AR2679" s="82"/>
      <c r="AS2679" s="82"/>
      <c r="AT2679" s="82"/>
      <c r="AU2679" s="82"/>
      <c r="AV2679" s="82"/>
      <c r="AW2679" s="82" t="str">
        <f t="shared" si="1"/>
        <v/>
      </c>
      <c r="AX2679" s="83" t="str">
        <f t="array" ref="AX2679">IFERROR(DGET('SBV Import'!A:G,"SBV",{"RSC ID","Tier";B2679,A2679}))</f>
        <v/>
      </c>
      <c r="AY2679" s="82" t="str">
        <f t="shared" si="2"/>
        <v/>
      </c>
      <c r="AZ2679" s="82"/>
      <c r="BA2679" s="84" t="s">
        <v>152</v>
      </c>
      <c r="BB2679" s="84" t="str">
        <f>IFERROR(__xludf.DUMMYFUNCTION("iferror(if(A2679="""",,E2679&gt;=FILTER(Constants!$F$2:$F$10,Constants!$A$2:$A$10=A2679)))"),"")</f>
        <v/>
      </c>
    </row>
    <row r="2680">
      <c r="A2680" s="89"/>
      <c r="B2680" s="87"/>
      <c r="C2680" s="73"/>
      <c r="D2680" s="73"/>
      <c r="E2680" s="82"/>
      <c r="F2680" s="82"/>
      <c r="G2680" s="86"/>
      <c r="H2680" s="86"/>
      <c r="I2680" s="86"/>
      <c r="J2680" s="82"/>
      <c r="K2680" s="82"/>
      <c r="L2680" s="82"/>
      <c r="M2680" s="82"/>
      <c r="N2680" s="82"/>
      <c r="O2680" s="82"/>
      <c r="P2680" s="82"/>
      <c r="Q2680" s="82"/>
      <c r="R2680" s="82"/>
      <c r="S2680" s="82"/>
      <c r="T2680" s="82"/>
      <c r="U2680" s="82"/>
      <c r="V2680" s="82"/>
      <c r="W2680" s="82"/>
      <c r="X2680" s="82"/>
      <c r="Y2680" s="82"/>
      <c r="Z2680" s="82"/>
      <c r="AA2680" s="82"/>
      <c r="AB2680" s="82"/>
      <c r="AC2680" s="82"/>
      <c r="AD2680" s="82"/>
      <c r="AE2680" s="82"/>
      <c r="AF2680" s="82"/>
      <c r="AG2680" s="82"/>
      <c r="AH2680" s="82"/>
      <c r="AI2680" s="82"/>
      <c r="AJ2680" s="82"/>
      <c r="AK2680" s="82"/>
      <c r="AL2680" s="82"/>
      <c r="AM2680" s="82"/>
      <c r="AN2680" s="82"/>
      <c r="AO2680" s="82"/>
      <c r="AP2680" s="82"/>
      <c r="AQ2680" s="82"/>
      <c r="AR2680" s="82"/>
      <c r="AS2680" s="82"/>
      <c r="AT2680" s="82"/>
      <c r="AU2680" s="82"/>
      <c r="AV2680" s="82"/>
      <c r="AW2680" s="82" t="str">
        <f t="shared" si="1"/>
        <v/>
      </c>
      <c r="AX2680" s="83" t="str">
        <f t="array" ref="AX2680">IFERROR(DGET('SBV Import'!A:G,"SBV",{"RSC ID","Tier";B2680,A2680}))</f>
        <v/>
      </c>
      <c r="AY2680" s="82" t="str">
        <f t="shared" si="2"/>
        <v/>
      </c>
      <c r="AZ2680" s="82"/>
      <c r="BA2680" s="84" t="s">
        <v>152</v>
      </c>
      <c r="BB2680" s="84" t="str">
        <f>IFERROR(__xludf.DUMMYFUNCTION("iferror(if(A2680="""",,E2680&gt;=FILTER(Constants!$F$2:$F$10,Constants!$A$2:$A$10=A2680)))"),"")</f>
        <v/>
      </c>
    </row>
    <row r="2681">
      <c r="A2681" s="89"/>
      <c r="B2681" s="87"/>
      <c r="C2681" s="73"/>
      <c r="D2681" s="73"/>
      <c r="E2681" s="82"/>
      <c r="F2681" s="82"/>
      <c r="G2681" s="86"/>
      <c r="H2681" s="86"/>
      <c r="I2681" s="86"/>
      <c r="J2681" s="82"/>
      <c r="K2681" s="82"/>
      <c r="L2681" s="82"/>
      <c r="M2681" s="82"/>
      <c r="N2681" s="82"/>
      <c r="O2681" s="82"/>
      <c r="P2681" s="82"/>
      <c r="Q2681" s="82"/>
      <c r="R2681" s="82"/>
      <c r="S2681" s="82"/>
      <c r="T2681" s="82"/>
      <c r="U2681" s="82"/>
      <c r="V2681" s="82"/>
      <c r="W2681" s="82"/>
      <c r="X2681" s="82"/>
      <c r="Y2681" s="82"/>
      <c r="Z2681" s="82"/>
      <c r="AA2681" s="82"/>
      <c r="AB2681" s="82"/>
      <c r="AC2681" s="82"/>
      <c r="AD2681" s="82"/>
      <c r="AE2681" s="82"/>
      <c r="AF2681" s="82"/>
      <c r="AG2681" s="82"/>
      <c r="AH2681" s="82"/>
      <c r="AI2681" s="82"/>
      <c r="AJ2681" s="82"/>
      <c r="AK2681" s="82"/>
      <c r="AL2681" s="82"/>
      <c r="AM2681" s="82"/>
      <c r="AN2681" s="82"/>
      <c r="AO2681" s="82"/>
      <c r="AP2681" s="82"/>
      <c r="AQ2681" s="82"/>
      <c r="AR2681" s="82"/>
      <c r="AS2681" s="82"/>
      <c r="AT2681" s="82"/>
      <c r="AU2681" s="82"/>
      <c r="AV2681" s="82"/>
      <c r="AW2681" s="82" t="str">
        <f t="shared" si="1"/>
        <v/>
      </c>
      <c r="AX2681" s="83" t="str">
        <f t="array" ref="AX2681">IFERROR(DGET('SBV Import'!A:G,"SBV",{"RSC ID","Tier";B2681,A2681}))</f>
        <v/>
      </c>
      <c r="AY2681" s="82" t="str">
        <f t="shared" si="2"/>
        <v/>
      </c>
      <c r="AZ2681" s="82"/>
      <c r="BA2681" s="84" t="s">
        <v>152</v>
      </c>
      <c r="BB2681" s="84" t="str">
        <f>IFERROR(__xludf.DUMMYFUNCTION("iferror(if(A2681="""",,E2681&gt;=FILTER(Constants!$F$2:$F$10,Constants!$A$2:$A$10=A2681)))"),"")</f>
        <v/>
      </c>
    </row>
    <row r="2682">
      <c r="A2682" s="89"/>
      <c r="B2682" s="87"/>
      <c r="C2682" s="73"/>
      <c r="D2682" s="73"/>
      <c r="E2682" s="82"/>
      <c r="F2682" s="82"/>
      <c r="G2682" s="86"/>
      <c r="H2682" s="86"/>
      <c r="I2682" s="86"/>
      <c r="J2682" s="82"/>
      <c r="K2682" s="82"/>
      <c r="L2682" s="82"/>
      <c r="M2682" s="82"/>
      <c r="N2682" s="82"/>
      <c r="O2682" s="82"/>
      <c r="P2682" s="82"/>
      <c r="Q2682" s="82"/>
      <c r="R2682" s="82"/>
      <c r="S2682" s="82"/>
      <c r="T2682" s="82"/>
      <c r="U2682" s="82"/>
      <c r="V2682" s="82"/>
      <c r="W2682" s="82"/>
      <c r="X2682" s="82"/>
      <c r="Y2682" s="82"/>
      <c r="Z2682" s="82"/>
      <c r="AA2682" s="82"/>
      <c r="AB2682" s="82"/>
      <c r="AC2682" s="82"/>
      <c r="AD2682" s="82"/>
      <c r="AE2682" s="82"/>
      <c r="AF2682" s="82"/>
      <c r="AG2682" s="82"/>
      <c r="AH2682" s="82"/>
      <c r="AI2682" s="82"/>
      <c r="AJ2682" s="82"/>
      <c r="AK2682" s="82"/>
      <c r="AL2682" s="82"/>
      <c r="AM2682" s="82"/>
      <c r="AN2682" s="82"/>
      <c r="AO2682" s="82"/>
      <c r="AP2682" s="82"/>
      <c r="AQ2682" s="82"/>
      <c r="AR2682" s="82"/>
      <c r="AS2682" s="82"/>
      <c r="AT2682" s="82"/>
      <c r="AU2682" s="82"/>
      <c r="AV2682" s="82"/>
      <c r="AW2682" s="82" t="str">
        <f t="shared" si="1"/>
        <v/>
      </c>
      <c r="AX2682" s="83" t="str">
        <f t="array" ref="AX2682">IFERROR(DGET('SBV Import'!A:G,"SBV",{"RSC ID","Tier";B2682,A2682}))</f>
        <v/>
      </c>
      <c r="AY2682" s="82" t="str">
        <f t="shared" si="2"/>
        <v/>
      </c>
      <c r="AZ2682" s="82"/>
      <c r="BA2682" s="84" t="s">
        <v>152</v>
      </c>
      <c r="BB2682" s="84" t="str">
        <f>IFERROR(__xludf.DUMMYFUNCTION("iferror(if(A2682="""",,E2682&gt;=FILTER(Constants!$F$2:$F$10,Constants!$A$2:$A$10=A2682)))"),"")</f>
        <v/>
      </c>
    </row>
    <row r="2683">
      <c r="A2683" s="89"/>
      <c r="B2683" s="87"/>
      <c r="C2683" s="73"/>
      <c r="D2683" s="73"/>
      <c r="E2683" s="82"/>
      <c r="F2683" s="82"/>
      <c r="G2683" s="86"/>
      <c r="H2683" s="86"/>
      <c r="I2683" s="86"/>
      <c r="J2683" s="82"/>
      <c r="K2683" s="82"/>
      <c r="L2683" s="82"/>
      <c r="M2683" s="82"/>
      <c r="N2683" s="82"/>
      <c r="O2683" s="82"/>
      <c r="P2683" s="82"/>
      <c r="Q2683" s="82"/>
      <c r="R2683" s="82"/>
      <c r="S2683" s="82"/>
      <c r="T2683" s="82"/>
      <c r="U2683" s="82"/>
      <c r="V2683" s="82"/>
      <c r="W2683" s="82"/>
      <c r="X2683" s="82"/>
      <c r="Y2683" s="82"/>
      <c r="Z2683" s="82"/>
      <c r="AA2683" s="82"/>
      <c r="AB2683" s="82"/>
      <c r="AC2683" s="82"/>
      <c r="AD2683" s="82"/>
      <c r="AE2683" s="82"/>
      <c r="AF2683" s="82"/>
      <c r="AG2683" s="82"/>
      <c r="AH2683" s="82"/>
      <c r="AI2683" s="82"/>
      <c r="AJ2683" s="82"/>
      <c r="AK2683" s="82"/>
      <c r="AL2683" s="82"/>
      <c r="AM2683" s="82"/>
      <c r="AN2683" s="82"/>
      <c r="AO2683" s="82"/>
      <c r="AP2683" s="82"/>
      <c r="AQ2683" s="82"/>
      <c r="AR2683" s="82"/>
      <c r="AS2683" s="82"/>
      <c r="AT2683" s="82"/>
      <c r="AU2683" s="82"/>
      <c r="AV2683" s="82"/>
      <c r="AW2683" s="82" t="str">
        <f t="shared" si="1"/>
        <v/>
      </c>
      <c r="AX2683" s="83" t="str">
        <f t="array" ref="AX2683">IFERROR(DGET('SBV Import'!A:G,"SBV",{"RSC ID","Tier";B2683,A2683}))</f>
        <v/>
      </c>
      <c r="AY2683" s="82" t="str">
        <f t="shared" si="2"/>
        <v/>
      </c>
      <c r="AZ2683" s="82"/>
      <c r="BA2683" s="84" t="s">
        <v>152</v>
      </c>
      <c r="BB2683" s="84" t="str">
        <f>IFERROR(__xludf.DUMMYFUNCTION("iferror(if(A2683="""",,E2683&gt;=FILTER(Constants!$F$2:$F$10,Constants!$A$2:$A$10=A2683)))"),"")</f>
        <v/>
      </c>
    </row>
    <row r="2684">
      <c r="A2684" s="89"/>
      <c r="B2684" s="87"/>
      <c r="C2684" s="73"/>
      <c r="D2684" s="73"/>
      <c r="E2684" s="82"/>
      <c r="F2684" s="82"/>
      <c r="G2684" s="86"/>
      <c r="H2684" s="86"/>
      <c r="I2684" s="86"/>
      <c r="J2684" s="82"/>
      <c r="K2684" s="82"/>
      <c r="L2684" s="82"/>
      <c r="M2684" s="82"/>
      <c r="N2684" s="82"/>
      <c r="O2684" s="82"/>
      <c r="P2684" s="82"/>
      <c r="Q2684" s="82"/>
      <c r="R2684" s="82"/>
      <c r="S2684" s="82"/>
      <c r="T2684" s="82"/>
      <c r="U2684" s="82"/>
      <c r="V2684" s="82"/>
      <c r="W2684" s="82"/>
      <c r="X2684" s="82"/>
      <c r="Y2684" s="82"/>
      <c r="Z2684" s="82"/>
      <c r="AA2684" s="82"/>
      <c r="AB2684" s="82"/>
      <c r="AC2684" s="82"/>
      <c r="AD2684" s="82"/>
      <c r="AE2684" s="82"/>
      <c r="AF2684" s="82"/>
      <c r="AG2684" s="82"/>
      <c r="AH2684" s="82"/>
      <c r="AI2684" s="82"/>
      <c r="AJ2684" s="82"/>
      <c r="AK2684" s="82"/>
      <c r="AL2684" s="82"/>
      <c r="AM2684" s="82"/>
      <c r="AN2684" s="82"/>
      <c r="AO2684" s="82"/>
      <c r="AP2684" s="82"/>
      <c r="AQ2684" s="82"/>
      <c r="AR2684" s="82"/>
      <c r="AS2684" s="82"/>
      <c r="AT2684" s="82"/>
      <c r="AU2684" s="82"/>
      <c r="AV2684" s="82"/>
      <c r="AW2684" s="82" t="str">
        <f t="shared" si="1"/>
        <v/>
      </c>
      <c r="AX2684" s="83" t="str">
        <f t="array" ref="AX2684">IFERROR(DGET('SBV Import'!A:G,"SBV",{"RSC ID","Tier";B2684,A2684}))</f>
        <v/>
      </c>
      <c r="AY2684" s="82" t="str">
        <f t="shared" si="2"/>
        <v/>
      </c>
      <c r="AZ2684" s="82"/>
      <c r="BA2684" s="84" t="s">
        <v>152</v>
      </c>
      <c r="BB2684" s="84" t="str">
        <f>IFERROR(__xludf.DUMMYFUNCTION("iferror(if(A2684="""",,E2684&gt;=FILTER(Constants!$F$2:$F$10,Constants!$A$2:$A$10=A2684)))"),"")</f>
        <v/>
      </c>
    </row>
    <row r="2685">
      <c r="A2685" s="89"/>
      <c r="B2685" s="87"/>
      <c r="C2685" s="73"/>
      <c r="D2685" s="73"/>
      <c r="E2685" s="82"/>
      <c r="F2685" s="82"/>
      <c r="G2685" s="86"/>
      <c r="H2685" s="86"/>
      <c r="I2685" s="86"/>
      <c r="J2685" s="82"/>
      <c r="K2685" s="82"/>
      <c r="L2685" s="82"/>
      <c r="M2685" s="82"/>
      <c r="N2685" s="82"/>
      <c r="O2685" s="82"/>
      <c r="P2685" s="82"/>
      <c r="Q2685" s="82"/>
      <c r="R2685" s="82"/>
      <c r="S2685" s="82"/>
      <c r="T2685" s="82"/>
      <c r="U2685" s="82"/>
      <c r="V2685" s="82"/>
      <c r="W2685" s="82"/>
      <c r="X2685" s="82"/>
      <c r="Y2685" s="82"/>
      <c r="Z2685" s="82"/>
      <c r="AA2685" s="82"/>
      <c r="AB2685" s="82"/>
      <c r="AC2685" s="82"/>
      <c r="AD2685" s="82"/>
      <c r="AE2685" s="82"/>
      <c r="AF2685" s="82"/>
      <c r="AG2685" s="82"/>
      <c r="AH2685" s="82"/>
      <c r="AI2685" s="82"/>
      <c r="AJ2685" s="82"/>
      <c r="AK2685" s="82"/>
      <c r="AL2685" s="82"/>
      <c r="AM2685" s="82"/>
      <c r="AN2685" s="82"/>
      <c r="AO2685" s="82"/>
      <c r="AP2685" s="82"/>
      <c r="AQ2685" s="82"/>
      <c r="AR2685" s="82"/>
      <c r="AS2685" s="82"/>
      <c r="AT2685" s="82"/>
      <c r="AU2685" s="82"/>
      <c r="AV2685" s="82"/>
      <c r="AW2685" s="82" t="str">
        <f t="shared" si="1"/>
        <v/>
      </c>
      <c r="AX2685" s="83" t="str">
        <f t="array" ref="AX2685">IFERROR(DGET('SBV Import'!A:G,"SBV",{"RSC ID","Tier";B2685,A2685}))</f>
        <v/>
      </c>
      <c r="AY2685" s="82" t="str">
        <f t="shared" si="2"/>
        <v/>
      </c>
      <c r="AZ2685" s="82"/>
      <c r="BA2685" s="84" t="s">
        <v>152</v>
      </c>
      <c r="BB2685" s="84" t="str">
        <f>IFERROR(__xludf.DUMMYFUNCTION("iferror(if(A2685="""",,E2685&gt;=FILTER(Constants!$F$2:$F$10,Constants!$A$2:$A$10=A2685)))"),"")</f>
        <v/>
      </c>
    </row>
    <row r="2686">
      <c r="A2686" s="89"/>
      <c r="B2686" s="87"/>
      <c r="C2686" s="73"/>
      <c r="D2686" s="73"/>
      <c r="E2686" s="82"/>
      <c r="F2686" s="82"/>
      <c r="G2686" s="86"/>
      <c r="H2686" s="86"/>
      <c r="I2686" s="86"/>
      <c r="J2686" s="82"/>
      <c r="K2686" s="82"/>
      <c r="L2686" s="82"/>
      <c r="M2686" s="82"/>
      <c r="N2686" s="82"/>
      <c r="O2686" s="82"/>
      <c r="P2686" s="82"/>
      <c r="Q2686" s="82"/>
      <c r="R2686" s="82"/>
      <c r="S2686" s="82"/>
      <c r="T2686" s="82"/>
      <c r="U2686" s="82"/>
      <c r="V2686" s="82"/>
      <c r="W2686" s="82"/>
      <c r="X2686" s="82"/>
      <c r="Y2686" s="82"/>
      <c r="Z2686" s="82"/>
      <c r="AA2686" s="82"/>
      <c r="AB2686" s="82"/>
      <c r="AC2686" s="82"/>
      <c r="AD2686" s="82"/>
      <c r="AE2686" s="82"/>
      <c r="AF2686" s="82"/>
      <c r="AG2686" s="82"/>
      <c r="AH2686" s="82"/>
      <c r="AI2686" s="82"/>
      <c r="AJ2686" s="82"/>
      <c r="AK2686" s="82"/>
      <c r="AL2686" s="82"/>
      <c r="AM2686" s="82"/>
      <c r="AN2686" s="82"/>
      <c r="AO2686" s="82"/>
      <c r="AP2686" s="82"/>
      <c r="AQ2686" s="82"/>
      <c r="AR2686" s="82"/>
      <c r="AS2686" s="82"/>
      <c r="AT2686" s="82"/>
      <c r="AU2686" s="82"/>
      <c r="AV2686" s="82"/>
      <c r="AW2686" s="82" t="str">
        <f t="shared" si="1"/>
        <v/>
      </c>
      <c r="AX2686" s="83" t="str">
        <f t="array" ref="AX2686">IFERROR(DGET('SBV Import'!A:G,"SBV",{"RSC ID","Tier";B2686,A2686}))</f>
        <v/>
      </c>
      <c r="AY2686" s="82" t="str">
        <f t="shared" si="2"/>
        <v/>
      </c>
      <c r="AZ2686" s="82"/>
      <c r="BA2686" s="84" t="s">
        <v>152</v>
      </c>
      <c r="BB2686" s="84" t="str">
        <f>IFERROR(__xludf.DUMMYFUNCTION("iferror(if(A2686="""",,E2686&gt;=FILTER(Constants!$F$2:$F$10,Constants!$A$2:$A$10=A2686)))"),"")</f>
        <v/>
      </c>
    </row>
    <row r="2687">
      <c r="A2687" s="89"/>
      <c r="B2687" s="87"/>
      <c r="C2687" s="73"/>
      <c r="D2687" s="73"/>
      <c r="E2687" s="82"/>
      <c r="F2687" s="82"/>
      <c r="G2687" s="86"/>
      <c r="H2687" s="86"/>
      <c r="I2687" s="86"/>
      <c r="J2687" s="82"/>
      <c r="K2687" s="82"/>
      <c r="L2687" s="82"/>
      <c r="M2687" s="82"/>
      <c r="N2687" s="82"/>
      <c r="O2687" s="82"/>
      <c r="P2687" s="82"/>
      <c r="Q2687" s="82"/>
      <c r="R2687" s="82"/>
      <c r="S2687" s="82"/>
      <c r="T2687" s="82"/>
      <c r="U2687" s="82"/>
      <c r="V2687" s="82"/>
      <c r="W2687" s="82"/>
      <c r="X2687" s="82"/>
      <c r="Y2687" s="82"/>
      <c r="Z2687" s="82"/>
      <c r="AA2687" s="82"/>
      <c r="AB2687" s="82"/>
      <c r="AC2687" s="82"/>
      <c r="AD2687" s="82"/>
      <c r="AE2687" s="82"/>
      <c r="AF2687" s="82"/>
      <c r="AG2687" s="82"/>
      <c r="AH2687" s="82"/>
      <c r="AI2687" s="82"/>
      <c r="AJ2687" s="82"/>
      <c r="AK2687" s="82"/>
      <c r="AL2687" s="82"/>
      <c r="AM2687" s="82"/>
      <c r="AN2687" s="82"/>
      <c r="AO2687" s="82"/>
      <c r="AP2687" s="82"/>
      <c r="AQ2687" s="82"/>
      <c r="AR2687" s="82"/>
      <c r="AS2687" s="82"/>
      <c r="AT2687" s="82"/>
      <c r="AU2687" s="82"/>
      <c r="AV2687" s="82"/>
      <c r="AW2687" s="82" t="str">
        <f t="shared" si="1"/>
        <v/>
      </c>
      <c r="AX2687" s="83" t="str">
        <f t="array" ref="AX2687">IFERROR(DGET('SBV Import'!A:G,"SBV",{"RSC ID","Tier";B2687,A2687}))</f>
        <v/>
      </c>
      <c r="AY2687" s="82" t="str">
        <f t="shared" si="2"/>
        <v/>
      </c>
      <c r="AZ2687" s="82"/>
      <c r="BA2687" s="84" t="s">
        <v>152</v>
      </c>
      <c r="BB2687" s="84" t="str">
        <f>IFERROR(__xludf.DUMMYFUNCTION("iferror(if(A2687="""",,E2687&gt;=FILTER(Constants!$F$2:$F$10,Constants!$A$2:$A$10=A2687)))"),"")</f>
        <v/>
      </c>
    </row>
    <row r="2688">
      <c r="A2688" s="89"/>
      <c r="B2688" s="87"/>
      <c r="C2688" s="73"/>
      <c r="D2688" s="73"/>
      <c r="E2688" s="82"/>
      <c r="F2688" s="82"/>
      <c r="G2688" s="86"/>
      <c r="H2688" s="86"/>
      <c r="I2688" s="86"/>
      <c r="J2688" s="82"/>
      <c r="K2688" s="82"/>
      <c r="L2688" s="82"/>
      <c r="M2688" s="82"/>
      <c r="N2688" s="82"/>
      <c r="O2688" s="82"/>
      <c r="P2688" s="82"/>
      <c r="Q2688" s="82"/>
      <c r="R2688" s="82"/>
      <c r="S2688" s="82"/>
      <c r="T2688" s="82"/>
      <c r="U2688" s="82"/>
      <c r="V2688" s="82"/>
      <c r="W2688" s="82"/>
      <c r="X2688" s="82"/>
      <c r="Y2688" s="82"/>
      <c r="Z2688" s="82"/>
      <c r="AA2688" s="82"/>
      <c r="AB2688" s="82"/>
      <c r="AC2688" s="82"/>
      <c r="AD2688" s="82"/>
      <c r="AE2688" s="82"/>
      <c r="AF2688" s="82"/>
      <c r="AG2688" s="82"/>
      <c r="AH2688" s="82"/>
      <c r="AI2688" s="82"/>
      <c r="AJ2688" s="82"/>
      <c r="AK2688" s="82"/>
      <c r="AL2688" s="82"/>
      <c r="AM2688" s="82"/>
      <c r="AN2688" s="82"/>
      <c r="AO2688" s="82"/>
      <c r="AP2688" s="82"/>
      <c r="AQ2688" s="82"/>
      <c r="AR2688" s="82"/>
      <c r="AS2688" s="82"/>
      <c r="AT2688" s="82"/>
      <c r="AU2688" s="82"/>
      <c r="AV2688" s="82"/>
      <c r="AW2688" s="82" t="str">
        <f t="shared" si="1"/>
        <v/>
      </c>
      <c r="AX2688" s="83" t="str">
        <f t="array" ref="AX2688">IFERROR(DGET('SBV Import'!A:G,"SBV",{"RSC ID","Tier";B2688,A2688}))</f>
        <v/>
      </c>
      <c r="AY2688" s="82" t="str">
        <f t="shared" si="2"/>
        <v/>
      </c>
      <c r="AZ2688" s="82"/>
      <c r="BA2688" s="84" t="s">
        <v>152</v>
      </c>
      <c r="BB2688" s="84" t="str">
        <f>IFERROR(__xludf.DUMMYFUNCTION("iferror(if(A2688="""",,E2688&gt;=FILTER(Constants!$F$2:$F$10,Constants!$A$2:$A$10=A2688)))"),"")</f>
        <v/>
      </c>
    </row>
    <row r="2689">
      <c r="A2689" s="89"/>
      <c r="B2689" s="87"/>
      <c r="C2689" s="73"/>
      <c r="D2689" s="73"/>
      <c r="E2689" s="82"/>
      <c r="F2689" s="82"/>
      <c r="G2689" s="86"/>
      <c r="H2689" s="86"/>
      <c r="I2689" s="86"/>
      <c r="J2689" s="82"/>
      <c r="K2689" s="82"/>
      <c r="L2689" s="82"/>
      <c r="M2689" s="82"/>
      <c r="N2689" s="82"/>
      <c r="O2689" s="82"/>
      <c r="P2689" s="82"/>
      <c r="Q2689" s="82"/>
      <c r="R2689" s="82"/>
      <c r="S2689" s="82"/>
      <c r="T2689" s="82"/>
      <c r="U2689" s="82"/>
      <c r="V2689" s="82"/>
      <c r="W2689" s="82"/>
      <c r="X2689" s="82"/>
      <c r="Y2689" s="82"/>
      <c r="Z2689" s="82"/>
      <c r="AA2689" s="82"/>
      <c r="AB2689" s="82"/>
      <c r="AC2689" s="82"/>
      <c r="AD2689" s="82"/>
      <c r="AE2689" s="82"/>
      <c r="AF2689" s="82"/>
      <c r="AG2689" s="82"/>
      <c r="AH2689" s="82"/>
      <c r="AI2689" s="82"/>
      <c r="AJ2689" s="82"/>
      <c r="AK2689" s="82"/>
      <c r="AL2689" s="82"/>
      <c r="AM2689" s="82"/>
      <c r="AN2689" s="82"/>
      <c r="AO2689" s="82"/>
      <c r="AP2689" s="82"/>
      <c r="AQ2689" s="82"/>
      <c r="AR2689" s="82"/>
      <c r="AS2689" s="82"/>
      <c r="AT2689" s="82"/>
      <c r="AU2689" s="82"/>
      <c r="AV2689" s="82"/>
      <c r="AW2689" s="82" t="str">
        <f t="shared" si="1"/>
        <v/>
      </c>
      <c r="AX2689" s="83" t="str">
        <f t="array" ref="AX2689">IFERROR(DGET('SBV Import'!A:G,"SBV",{"RSC ID","Tier";B2689,A2689}))</f>
        <v/>
      </c>
      <c r="AY2689" s="82" t="str">
        <f t="shared" si="2"/>
        <v/>
      </c>
      <c r="AZ2689" s="82"/>
      <c r="BA2689" s="84" t="s">
        <v>152</v>
      </c>
      <c r="BB2689" s="84" t="str">
        <f>IFERROR(__xludf.DUMMYFUNCTION("iferror(if(A2689="""",,E2689&gt;=FILTER(Constants!$F$2:$F$10,Constants!$A$2:$A$10=A2689)))"),"")</f>
        <v/>
      </c>
    </row>
    <row r="2690">
      <c r="A2690" s="89"/>
      <c r="B2690" s="87"/>
      <c r="C2690" s="73"/>
      <c r="D2690" s="73"/>
      <c r="E2690" s="82"/>
      <c r="F2690" s="82"/>
      <c r="G2690" s="86"/>
      <c r="H2690" s="86"/>
      <c r="I2690" s="86"/>
      <c r="J2690" s="82"/>
      <c r="K2690" s="82"/>
      <c r="L2690" s="82"/>
      <c r="M2690" s="82"/>
      <c r="N2690" s="82"/>
      <c r="O2690" s="82"/>
      <c r="P2690" s="82"/>
      <c r="Q2690" s="82"/>
      <c r="R2690" s="82"/>
      <c r="S2690" s="82"/>
      <c r="T2690" s="82"/>
      <c r="U2690" s="82"/>
      <c r="V2690" s="82"/>
      <c r="W2690" s="82"/>
      <c r="X2690" s="82"/>
      <c r="Y2690" s="82"/>
      <c r="Z2690" s="82"/>
      <c r="AA2690" s="82"/>
      <c r="AB2690" s="82"/>
      <c r="AC2690" s="82"/>
      <c r="AD2690" s="82"/>
      <c r="AE2690" s="82"/>
      <c r="AF2690" s="82"/>
      <c r="AG2690" s="82"/>
      <c r="AH2690" s="82"/>
      <c r="AI2690" s="82"/>
      <c r="AJ2690" s="82"/>
      <c r="AK2690" s="82"/>
      <c r="AL2690" s="82"/>
      <c r="AM2690" s="82"/>
      <c r="AN2690" s="82"/>
      <c r="AO2690" s="82"/>
      <c r="AP2690" s="82"/>
      <c r="AQ2690" s="82"/>
      <c r="AR2690" s="82"/>
      <c r="AS2690" s="82"/>
      <c r="AT2690" s="82"/>
      <c r="AU2690" s="82"/>
      <c r="AV2690" s="82"/>
      <c r="AW2690" s="82" t="str">
        <f t="shared" si="1"/>
        <v/>
      </c>
      <c r="AX2690" s="83" t="str">
        <f t="array" ref="AX2690">IFERROR(DGET('SBV Import'!A:G,"SBV",{"RSC ID","Tier";B2690,A2690}))</f>
        <v/>
      </c>
      <c r="AY2690" s="82" t="str">
        <f t="shared" si="2"/>
        <v/>
      </c>
      <c r="AZ2690" s="82"/>
      <c r="BA2690" s="84" t="s">
        <v>152</v>
      </c>
      <c r="BB2690" s="84" t="str">
        <f>IFERROR(__xludf.DUMMYFUNCTION("iferror(if(A2690="""",,E2690&gt;=FILTER(Constants!$F$2:$F$10,Constants!$A$2:$A$10=A2690)))"),"")</f>
        <v/>
      </c>
    </row>
    <row r="2691">
      <c r="A2691" s="89"/>
      <c r="B2691" s="87"/>
      <c r="C2691" s="73"/>
      <c r="D2691" s="73"/>
      <c r="E2691" s="82"/>
      <c r="F2691" s="82"/>
      <c r="G2691" s="86"/>
      <c r="H2691" s="86"/>
      <c r="I2691" s="86"/>
      <c r="J2691" s="82"/>
      <c r="K2691" s="82"/>
      <c r="L2691" s="82"/>
      <c r="M2691" s="82"/>
      <c r="N2691" s="82"/>
      <c r="O2691" s="82"/>
      <c r="P2691" s="82"/>
      <c r="Q2691" s="82"/>
      <c r="R2691" s="82"/>
      <c r="S2691" s="82"/>
      <c r="T2691" s="82"/>
      <c r="U2691" s="82"/>
      <c r="V2691" s="82"/>
      <c r="W2691" s="82"/>
      <c r="X2691" s="82"/>
      <c r="Y2691" s="82"/>
      <c r="Z2691" s="82"/>
      <c r="AA2691" s="82"/>
      <c r="AB2691" s="82"/>
      <c r="AC2691" s="82"/>
      <c r="AD2691" s="82"/>
      <c r="AE2691" s="82"/>
      <c r="AF2691" s="82"/>
      <c r="AG2691" s="82"/>
      <c r="AH2691" s="82"/>
      <c r="AI2691" s="82"/>
      <c r="AJ2691" s="82"/>
      <c r="AK2691" s="82"/>
      <c r="AL2691" s="82"/>
      <c r="AM2691" s="82"/>
      <c r="AN2691" s="82"/>
      <c r="AO2691" s="82"/>
      <c r="AP2691" s="82"/>
      <c r="AQ2691" s="82"/>
      <c r="AR2691" s="82"/>
      <c r="AS2691" s="82"/>
      <c r="AT2691" s="82"/>
      <c r="AU2691" s="82"/>
      <c r="AV2691" s="82"/>
      <c r="AW2691" s="82" t="str">
        <f t="shared" si="1"/>
        <v/>
      </c>
      <c r="AX2691" s="83" t="str">
        <f t="array" ref="AX2691">IFERROR(DGET('SBV Import'!A:G,"SBV",{"RSC ID","Tier";B2691,A2691}))</f>
        <v/>
      </c>
      <c r="AY2691" s="82" t="str">
        <f t="shared" si="2"/>
        <v/>
      </c>
      <c r="AZ2691" s="82"/>
      <c r="BA2691" s="84" t="s">
        <v>152</v>
      </c>
      <c r="BB2691" s="84" t="str">
        <f>IFERROR(__xludf.DUMMYFUNCTION("iferror(if(A2691="""",,E2691&gt;=FILTER(Constants!$F$2:$F$10,Constants!$A$2:$A$10=A2691)))"),"")</f>
        <v/>
      </c>
    </row>
    <row r="2692">
      <c r="A2692" s="89"/>
      <c r="B2692" s="87"/>
      <c r="C2692" s="73"/>
      <c r="D2692" s="73"/>
      <c r="E2692" s="82"/>
      <c r="F2692" s="82"/>
      <c r="G2692" s="86"/>
      <c r="H2692" s="86"/>
      <c r="I2692" s="86"/>
      <c r="J2692" s="82"/>
      <c r="K2692" s="82"/>
      <c r="L2692" s="82"/>
      <c r="M2692" s="82"/>
      <c r="N2692" s="82"/>
      <c r="O2692" s="82"/>
      <c r="P2692" s="82"/>
      <c r="Q2692" s="82"/>
      <c r="R2692" s="82"/>
      <c r="S2692" s="82"/>
      <c r="T2692" s="82"/>
      <c r="U2692" s="82"/>
      <c r="V2692" s="82"/>
      <c r="W2692" s="82"/>
      <c r="X2692" s="82"/>
      <c r="Y2692" s="82"/>
      <c r="Z2692" s="82"/>
      <c r="AA2692" s="82"/>
      <c r="AB2692" s="82"/>
      <c r="AC2692" s="82"/>
      <c r="AD2692" s="82"/>
      <c r="AE2692" s="82"/>
      <c r="AF2692" s="82"/>
      <c r="AG2692" s="82"/>
      <c r="AH2692" s="82"/>
      <c r="AI2692" s="82"/>
      <c r="AJ2692" s="82"/>
      <c r="AK2692" s="82"/>
      <c r="AL2692" s="82"/>
      <c r="AM2692" s="82"/>
      <c r="AN2692" s="82"/>
      <c r="AO2692" s="82"/>
      <c r="AP2692" s="82"/>
      <c r="AQ2692" s="82"/>
      <c r="AR2692" s="82"/>
      <c r="AS2692" s="82"/>
      <c r="AT2692" s="82"/>
      <c r="AU2692" s="82"/>
      <c r="AV2692" s="82"/>
      <c r="AW2692" s="82" t="str">
        <f t="shared" si="1"/>
        <v/>
      </c>
      <c r="AX2692" s="83" t="str">
        <f t="array" ref="AX2692">IFERROR(DGET('SBV Import'!A:G,"SBV",{"RSC ID","Tier";B2692,A2692}))</f>
        <v/>
      </c>
      <c r="AY2692" s="82" t="str">
        <f t="shared" si="2"/>
        <v/>
      </c>
      <c r="AZ2692" s="82"/>
      <c r="BA2692" s="84" t="s">
        <v>152</v>
      </c>
      <c r="BB2692" s="84" t="str">
        <f>IFERROR(__xludf.DUMMYFUNCTION("iferror(if(A2692="""",,E2692&gt;=FILTER(Constants!$F$2:$F$10,Constants!$A$2:$A$10=A2692)))"),"")</f>
        <v/>
      </c>
    </row>
    <row r="2693">
      <c r="A2693" s="89"/>
      <c r="B2693" s="87"/>
      <c r="C2693" s="73"/>
      <c r="D2693" s="73"/>
      <c r="E2693" s="82"/>
      <c r="F2693" s="82"/>
      <c r="G2693" s="86"/>
      <c r="H2693" s="86"/>
      <c r="I2693" s="86"/>
      <c r="J2693" s="82"/>
      <c r="K2693" s="82"/>
      <c r="L2693" s="82"/>
      <c r="M2693" s="82"/>
      <c r="N2693" s="82"/>
      <c r="O2693" s="82"/>
      <c r="P2693" s="82"/>
      <c r="Q2693" s="82"/>
      <c r="R2693" s="82"/>
      <c r="S2693" s="82"/>
      <c r="T2693" s="82"/>
      <c r="U2693" s="82"/>
      <c r="V2693" s="82"/>
      <c r="W2693" s="82"/>
      <c r="X2693" s="82"/>
      <c r="Y2693" s="82"/>
      <c r="Z2693" s="82"/>
      <c r="AA2693" s="82"/>
      <c r="AB2693" s="82"/>
      <c r="AC2693" s="82"/>
      <c r="AD2693" s="82"/>
      <c r="AE2693" s="82"/>
      <c r="AF2693" s="82"/>
      <c r="AG2693" s="82"/>
      <c r="AH2693" s="82"/>
      <c r="AI2693" s="82"/>
      <c r="AJ2693" s="82"/>
      <c r="AK2693" s="82"/>
      <c r="AL2693" s="82"/>
      <c r="AM2693" s="82"/>
      <c r="AN2693" s="82"/>
      <c r="AO2693" s="82"/>
      <c r="AP2693" s="82"/>
      <c r="AQ2693" s="82"/>
      <c r="AR2693" s="82"/>
      <c r="AS2693" s="82"/>
      <c r="AT2693" s="82"/>
      <c r="AU2693" s="82"/>
      <c r="AV2693" s="82"/>
      <c r="AW2693" s="82" t="str">
        <f t="shared" si="1"/>
        <v/>
      </c>
      <c r="AX2693" s="83" t="str">
        <f t="array" ref="AX2693">IFERROR(DGET('SBV Import'!A:G,"SBV",{"RSC ID","Tier";B2693,A2693}))</f>
        <v/>
      </c>
      <c r="AY2693" s="82" t="str">
        <f t="shared" si="2"/>
        <v/>
      </c>
      <c r="AZ2693" s="82"/>
      <c r="BA2693" s="84" t="s">
        <v>152</v>
      </c>
      <c r="BB2693" s="84" t="str">
        <f>IFERROR(__xludf.DUMMYFUNCTION("iferror(if(A2693="""",,E2693&gt;=FILTER(Constants!$F$2:$F$10,Constants!$A$2:$A$10=A2693)))"),"")</f>
        <v/>
      </c>
    </row>
    <row r="2694">
      <c r="A2694" s="89"/>
      <c r="B2694" s="87"/>
      <c r="C2694" s="73"/>
      <c r="D2694" s="73"/>
      <c r="E2694" s="82"/>
      <c r="F2694" s="82"/>
      <c r="G2694" s="86"/>
      <c r="H2694" s="86"/>
      <c r="I2694" s="86"/>
      <c r="J2694" s="82"/>
      <c r="K2694" s="82"/>
      <c r="L2694" s="82"/>
      <c r="M2694" s="82"/>
      <c r="N2694" s="82"/>
      <c r="O2694" s="82"/>
      <c r="P2694" s="82"/>
      <c r="Q2694" s="82"/>
      <c r="R2694" s="82"/>
      <c r="S2694" s="82"/>
      <c r="T2694" s="82"/>
      <c r="U2694" s="82"/>
      <c r="V2694" s="82"/>
      <c r="W2694" s="82"/>
      <c r="X2694" s="82"/>
      <c r="Y2694" s="82"/>
      <c r="Z2694" s="82"/>
      <c r="AA2694" s="82"/>
      <c r="AB2694" s="82"/>
      <c r="AC2694" s="82"/>
      <c r="AD2694" s="82"/>
      <c r="AE2694" s="82"/>
      <c r="AF2694" s="82"/>
      <c r="AG2694" s="82"/>
      <c r="AH2694" s="82"/>
      <c r="AI2694" s="82"/>
      <c r="AJ2694" s="82"/>
      <c r="AK2694" s="82"/>
      <c r="AL2694" s="82"/>
      <c r="AM2694" s="82"/>
      <c r="AN2694" s="82"/>
      <c r="AO2694" s="82"/>
      <c r="AP2694" s="82"/>
      <c r="AQ2694" s="82"/>
      <c r="AR2694" s="82"/>
      <c r="AS2694" s="82"/>
      <c r="AT2694" s="82"/>
      <c r="AU2694" s="82"/>
      <c r="AV2694" s="82"/>
      <c r="AW2694" s="82" t="str">
        <f t="shared" si="1"/>
        <v/>
      </c>
      <c r="AX2694" s="83" t="str">
        <f t="array" ref="AX2694">IFERROR(DGET('SBV Import'!A:G,"SBV",{"RSC ID","Tier";B2694,A2694}))</f>
        <v/>
      </c>
      <c r="AY2694" s="82" t="str">
        <f t="shared" si="2"/>
        <v/>
      </c>
      <c r="AZ2694" s="82"/>
      <c r="BA2694" s="84" t="s">
        <v>152</v>
      </c>
      <c r="BB2694" s="84" t="str">
        <f>IFERROR(__xludf.DUMMYFUNCTION("iferror(if(A2694="""",,E2694&gt;=FILTER(Constants!$F$2:$F$10,Constants!$A$2:$A$10=A2694)))"),"")</f>
        <v/>
      </c>
    </row>
    <row r="2695">
      <c r="A2695" s="89"/>
      <c r="B2695" s="87"/>
      <c r="C2695" s="73"/>
      <c r="D2695" s="73"/>
      <c r="E2695" s="82"/>
      <c r="F2695" s="82"/>
      <c r="G2695" s="86"/>
      <c r="H2695" s="86"/>
      <c r="I2695" s="86"/>
      <c r="J2695" s="82"/>
      <c r="K2695" s="82"/>
      <c r="L2695" s="82"/>
      <c r="M2695" s="82"/>
      <c r="N2695" s="82"/>
      <c r="O2695" s="82"/>
      <c r="P2695" s="82"/>
      <c r="Q2695" s="82"/>
      <c r="R2695" s="82"/>
      <c r="S2695" s="82"/>
      <c r="T2695" s="82"/>
      <c r="U2695" s="82"/>
      <c r="V2695" s="82"/>
      <c r="W2695" s="82"/>
      <c r="X2695" s="82"/>
      <c r="Y2695" s="82"/>
      <c r="Z2695" s="82"/>
      <c r="AA2695" s="82"/>
      <c r="AB2695" s="82"/>
      <c r="AC2695" s="82"/>
      <c r="AD2695" s="82"/>
      <c r="AE2695" s="82"/>
      <c r="AF2695" s="82"/>
      <c r="AG2695" s="82"/>
      <c r="AH2695" s="82"/>
      <c r="AI2695" s="82"/>
      <c r="AJ2695" s="82"/>
      <c r="AK2695" s="82"/>
      <c r="AL2695" s="82"/>
      <c r="AM2695" s="82"/>
      <c r="AN2695" s="82"/>
      <c r="AO2695" s="82"/>
      <c r="AP2695" s="82"/>
      <c r="AQ2695" s="82"/>
      <c r="AR2695" s="82"/>
      <c r="AS2695" s="82"/>
      <c r="AT2695" s="82"/>
      <c r="AU2695" s="82"/>
      <c r="AV2695" s="82"/>
      <c r="AW2695" s="82" t="str">
        <f t="shared" si="1"/>
        <v/>
      </c>
      <c r="AX2695" s="83" t="str">
        <f t="array" ref="AX2695">IFERROR(DGET('SBV Import'!A:G,"SBV",{"RSC ID","Tier";B2695,A2695}))</f>
        <v/>
      </c>
      <c r="AY2695" s="82" t="str">
        <f t="shared" si="2"/>
        <v/>
      </c>
      <c r="AZ2695" s="82"/>
      <c r="BA2695" s="84" t="s">
        <v>152</v>
      </c>
      <c r="BB2695" s="84" t="str">
        <f>IFERROR(__xludf.DUMMYFUNCTION("iferror(if(A2695="""",,E2695&gt;=FILTER(Constants!$F$2:$F$10,Constants!$A$2:$A$10=A2695)))"),"")</f>
        <v/>
      </c>
    </row>
    <row r="2696">
      <c r="A2696" s="89"/>
      <c r="B2696" s="87"/>
      <c r="C2696" s="73"/>
      <c r="D2696" s="73"/>
      <c r="E2696" s="82"/>
      <c r="F2696" s="82"/>
      <c r="G2696" s="86"/>
      <c r="H2696" s="86"/>
      <c r="I2696" s="86"/>
      <c r="J2696" s="82"/>
      <c r="K2696" s="82"/>
      <c r="L2696" s="82"/>
      <c r="M2696" s="82"/>
      <c r="N2696" s="82"/>
      <c r="O2696" s="82"/>
      <c r="P2696" s="82"/>
      <c r="Q2696" s="82"/>
      <c r="R2696" s="82"/>
      <c r="S2696" s="82"/>
      <c r="T2696" s="82"/>
      <c r="U2696" s="82"/>
      <c r="V2696" s="82"/>
      <c r="W2696" s="82"/>
      <c r="X2696" s="82"/>
      <c r="Y2696" s="82"/>
      <c r="Z2696" s="82"/>
      <c r="AA2696" s="82"/>
      <c r="AB2696" s="82"/>
      <c r="AC2696" s="82"/>
      <c r="AD2696" s="82"/>
      <c r="AE2696" s="82"/>
      <c r="AF2696" s="82"/>
      <c r="AG2696" s="82"/>
      <c r="AH2696" s="82"/>
      <c r="AI2696" s="82"/>
      <c r="AJ2696" s="82"/>
      <c r="AK2696" s="82"/>
      <c r="AL2696" s="82"/>
      <c r="AM2696" s="82"/>
      <c r="AN2696" s="82"/>
      <c r="AO2696" s="82"/>
      <c r="AP2696" s="82"/>
      <c r="AQ2696" s="82"/>
      <c r="AR2696" s="82"/>
      <c r="AS2696" s="82"/>
      <c r="AT2696" s="82"/>
      <c r="AU2696" s="82"/>
      <c r="AV2696" s="82"/>
      <c r="AW2696" s="82" t="str">
        <f t="shared" si="1"/>
        <v/>
      </c>
      <c r="AX2696" s="83" t="str">
        <f t="array" ref="AX2696">IFERROR(DGET('SBV Import'!A:G,"SBV",{"RSC ID","Tier";B2696,A2696}))</f>
        <v/>
      </c>
      <c r="AY2696" s="82" t="str">
        <f t="shared" si="2"/>
        <v/>
      </c>
      <c r="AZ2696" s="82"/>
      <c r="BA2696" s="84" t="s">
        <v>152</v>
      </c>
      <c r="BB2696" s="84" t="str">
        <f>IFERROR(__xludf.DUMMYFUNCTION("iferror(if(A2696="""",,E2696&gt;=FILTER(Constants!$F$2:$F$10,Constants!$A$2:$A$10=A2696)))"),"")</f>
        <v/>
      </c>
    </row>
    <row r="2697">
      <c r="A2697" s="89"/>
      <c r="B2697" s="87"/>
      <c r="C2697" s="73"/>
      <c r="D2697" s="73"/>
      <c r="E2697" s="82"/>
      <c r="F2697" s="82"/>
      <c r="G2697" s="86"/>
      <c r="H2697" s="86"/>
      <c r="I2697" s="86"/>
      <c r="J2697" s="82"/>
      <c r="K2697" s="82"/>
      <c r="L2697" s="82"/>
      <c r="M2697" s="82"/>
      <c r="N2697" s="82"/>
      <c r="O2697" s="82"/>
      <c r="P2697" s="82"/>
      <c r="Q2697" s="82"/>
      <c r="R2697" s="82"/>
      <c r="S2697" s="82"/>
      <c r="T2697" s="82"/>
      <c r="U2697" s="82"/>
      <c r="V2697" s="82"/>
      <c r="W2697" s="82"/>
      <c r="X2697" s="82"/>
      <c r="Y2697" s="82"/>
      <c r="Z2697" s="82"/>
      <c r="AA2697" s="82"/>
      <c r="AB2697" s="82"/>
      <c r="AC2697" s="82"/>
      <c r="AD2697" s="82"/>
      <c r="AE2697" s="82"/>
      <c r="AF2697" s="82"/>
      <c r="AG2697" s="82"/>
      <c r="AH2697" s="82"/>
      <c r="AI2697" s="82"/>
      <c r="AJ2697" s="82"/>
      <c r="AK2697" s="82"/>
      <c r="AL2697" s="82"/>
      <c r="AM2697" s="82"/>
      <c r="AN2697" s="82"/>
      <c r="AO2697" s="82"/>
      <c r="AP2697" s="82"/>
      <c r="AQ2697" s="82"/>
      <c r="AR2697" s="82"/>
      <c r="AS2697" s="82"/>
      <c r="AT2697" s="82"/>
      <c r="AU2697" s="82"/>
      <c r="AV2697" s="82"/>
      <c r="AW2697" s="82" t="str">
        <f t="shared" si="1"/>
        <v/>
      </c>
      <c r="AX2697" s="83" t="str">
        <f t="array" ref="AX2697">IFERROR(DGET('SBV Import'!A:G,"SBV",{"RSC ID","Tier";B2697,A2697}))</f>
        <v/>
      </c>
      <c r="AY2697" s="82" t="str">
        <f t="shared" si="2"/>
        <v/>
      </c>
      <c r="AZ2697" s="82"/>
      <c r="BA2697" s="84" t="s">
        <v>152</v>
      </c>
      <c r="BB2697" s="84" t="str">
        <f>IFERROR(__xludf.DUMMYFUNCTION("iferror(if(A2697="""",,E2697&gt;=FILTER(Constants!$F$2:$F$10,Constants!$A$2:$A$10=A2697)))"),"")</f>
        <v/>
      </c>
    </row>
    <row r="2698">
      <c r="A2698" s="89"/>
      <c r="B2698" s="87"/>
      <c r="C2698" s="73"/>
      <c r="D2698" s="73"/>
      <c r="E2698" s="82"/>
      <c r="F2698" s="82"/>
      <c r="G2698" s="86"/>
      <c r="H2698" s="86"/>
      <c r="I2698" s="86"/>
      <c r="J2698" s="82"/>
      <c r="K2698" s="82"/>
      <c r="L2698" s="82"/>
      <c r="M2698" s="82"/>
      <c r="N2698" s="82"/>
      <c r="O2698" s="82"/>
      <c r="P2698" s="82"/>
      <c r="Q2698" s="82"/>
      <c r="R2698" s="82"/>
      <c r="S2698" s="82"/>
      <c r="T2698" s="82"/>
      <c r="U2698" s="82"/>
      <c r="V2698" s="82"/>
      <c r="W2698" s="82"/>
      <c r="X2698" s="82"/>
      <c r="Y2698" s="82"/>
      <c r="Z2698" s="82"/>
      <c r="AA2698" s="82"/>
      <c r="AB2698" s="82"/>
      <c r="AC2698" s="82"/>
      <c r="AD2698" s="82"/>
      <c r="AE2698" s="82"/>
      <c r="AF2698" s="82"/>
      <c r="AG2698" s="82"/>
      <c r="AH2698" s="82"/>
      <c r="AI2698" s="82"/>
      <c r="AJ2698" s="82"/>
      <c r="AK2698" s="82"/>
      <c r="AL2698" s="82"/>
      <c r="AM2698" s="82"/>
      <c r="AN2698" s="82"/>
      <c r="AO2698" s="82"/>
      <c r="AP2698" s="82"/>
      <c r="AQ2698" s="82"/>
      <c r="AR2698" s="82"/>
      <c r="AS2698" s="82"/>
      <c r="AT2698" s="82"/>
      <c r="AU2698" s="82"/>
      <c r="AV2698" s="82"/>
      <c r="AW2698" s="82" t="str">
        <f t="shared" si="1"/>
        <v/>
      </c>
      <c r="AX2698" s="83" t="str">
        <f t="array" ref="AX2698">IFERROR(DGET('SBV Import'!A:G,"SBV",{"RSC ID","Tier";B2698,A2698}))</f>
        <v/>
      </c>
      <c r="AY2698" s="82" t="str">
        <f t="shared" si="2"/>
        <v/>
      </c>
      <c r="AZ2698" s="82"/>
      <c r="BA2698" s="84" t="s">
        <v>152</v>
      </c>
      <c r="BB2698" s="84" t="str">
        <f>IFERROR(__xludf.DUMMYFUNCTION("iferror(if(A2698="""",,E2698&gt;=FILTER(Constants!$F$2:$F$10,Constants!$A$2:$A$10=A2698)))"),"")</f>
        <v/>
      </c>
    </row>
    <row r="2699">
      <c r="A2699" s="89"/>
      <c r="B2699" s="87"/>
      <c r="C2699" s="73"/>
      <c r="D2699" s="73"/>
      <c r="E2699" s="82"/>
      <c r="F2699" s="82"/>
      <c r="G2699" s="86"/>
      <c r="H2699" s="86"/>
      <c r="I2699" s="86"/>
      <c r="J2699" s="82"/>
      <c r="K2699" s="82"/>
      <c r="L2699" s="82"/>
      <c r="M2699" s="82"/>
      <c r="N2699" s="82"/>
      <c r="O2699" s="82"/>
      <c r="P2699" s="82"/>
      <c r="Q2699" s="82"/>
      <c r="R2699" s="82"/>
      <c r="S2699" s="82"/>
      <c r="T2699" s="82"/>
      <c r="U2699" s="82"/>
      <c r="V2699" s="82"/>
      <c r="W2699" s="82"/>
      <c r="X2699" s="82"/>
      <c r="Y2699" s="82"/>
      <c r="Z2699" s="82"/>
      <c r="AA2699" s="82"/>
      <c r="AB2699" s="82"/>
      <c r="AC2699" s="82"/>
      <c r="AD2699" s="82"/>
      <c r="AE2699" s="82"/>
      <c r="AF2699" s="82"/>
      <c r="AG2699" s="82"/>
      <c r="AH2699" s="82"/>
      <c r="AI2699" s="82"/>
      <c r="AJ2699" s="82"/>
      <c r="AK2699" s="82"/>
      <c r="AL2699" s="82"/>
      <c r="AM2699" s="82"/>
      <c r="AN2699" s="82"/>
      <c r="AO2699" s="82"/>
      <c r="AP2699" s="82"/>
      <c r="AQ2699" s="82"/>
      <c r="AR2699" s="82"/>
      <c r="AS2699" s="82"/>
      <c r="AT2699" s="82"/>
      <c r="AU2699" s="82"/>
      <c r="AV2699" s="82"/>
      <c r="AW2699" s="82" t="str">
        <f t="shared" si="1"/>
        <v/>
      </c>
      <c r="AX2699" s="83" t="str">
        <f t="array" ref="AX2699">IFERROR(DGET('SBV Import'!A:G,"SBV",{"RSC ID","Tier";B2699,A2699}))</f>
        <v/>
      </c>
      <c r="AY2699" s="82" t="str">
        <f t="shared" si="2"/>
        <v/>
      </c>
      <c r="AZ2699" s="82"/>
      <c r="BA2699" s="84" t="s">
        <v>152</v>
      </c>
      <c r="BB2699" s="84" t="str">
        <f>IFERROR(__xludf.DUMMYFUNCTION("iferror(if(A2699="""",,E2699&gt;=FILTER(Constants!$F$2:$F$10,Constants!$A$2:$A$10=A2699)))"),"")</f>
        <v/>
      </c>
    </row>
    <row r="2700">
      <c r="A2700" s="90" t="str">
        <f>IFERROR(__xludf.DUMMYFUNCTION("QUERY(IMPORTRANGE(Constants!$B8, ""'Player Stats'!A2:AV""), ""Select * order by Col48 desc"")"),"Prospect")</f>
        <v>Prospect</v>
      </c>
      <c r="B2700" s="87" t="str">
        <f>IFERROR(__xludf.DUMMYFUNCTION("""COMPUTED_VALUE"""),"RSC007904")</f>
        <v>RSC007904</v>
      </c>
      <c r="C2700" s="73" t="str">
        <f>IFERROR(__xludf.DUMMYFUNCTION("""COMPUTED_VALUE"""),"Branthedan")</f>
        <v>Branthedan</v>
      </c>
      <c r="D2700" s="73" t="str">
        <f>IFERROR(__xludf.DUMMYFUNCTION("""COMPUTED_VALUE"""),"Dime")</f>
        <v>Dime</v>
      </c>
      <c r="E2700" s="82">
        <f>IFERROR(__xludf.DUMMYFUNCTION("""COMPUTED_VALUE"""),36.0)</f>
        <v>36</v>
      </c>
      <c r="F2700" s="82">
        <f>IFERROR(__xludf.DUMMYFUNCTION("""COMPUTED_VALUE"""),22.0)</f>
        <v>22</v>
      </c>
      <c r="G2700" s="86">
        <f>IFERROR(__xludf.DUMMYFUNCTION("""COMPUTED_VALUE"""),14.0)</f>
        <v>14</v>
      </c>
      <c r="H2700" s="86">
        <f>IFERROR(__xludf.DUMMYFUNCTION("""COMPUTED_VALUE"""),0.6111111111111112)</f>
        <v>0.6111111111</v>
      </c>
      <c r="I2700" s="86">
        <f>IFERROR(__xludf.DUMMYFUNCTION("""COMPUTED_VALUE"""),0.3888888888888889)</f>
        <v>0.3888888889</v>
      </c>
      <c r="J2700" s="82">
        <f>IFERROR(__xludf.DUMMYFUNCTION("""COMPUTED_VALUE"""),417.4166666666667)</f>
        <v>417.4166667</v>
      </c>
      <c r="K2700" s="82">
        <f>IFERROR(__xludf.DUMMYFUNCTION("""COMPUTED_VALUE"""),1.3611111111111112)</f>
        <v>1.361111111</v>
      </c>
      <c r="L2700" s="82">
        <f>IFERROR(__xludf.DUMMYFUNCTION("""COMPUTED_VALUE"""),0.6388888888888888)</f>
        <v>0.6388888889</v>
      </c>
      <c r="M2700" s="82">
        <f>IFERROR(__xludf.DUMMYFUNCTION("""COMPUTED_VALUE"""),1.1666666666666667)</f>
        <v>1.166666667</v>
      </c>
      <c r="N2700" s="82">
        <f>IFERROR(__xludf.DUMMYFUNCTION("""COMPUTED_VALUE"""),3.5)</f>
        <v>3.5</v>
      </c>
      <c r="O2700" s="82">
        <f>IFERROR(__xludf.DUMMYFUNCTION("""COMPUTED_VALUE"""),311.62962962962956)</f>
        <v>311.6296296</v>
      </c>
      <c r="P2700" s="82">
        <f>IFERROR(__xludf.DUMMYFUNCTION("""COMPUTED_VALUE"""),0.648148148148148)</f>
        <v>0.6481481481</v>
      </c>
      <c r="Q2700" s="82">
        <f>IFERROR(__xludf.DUMMYFUNCTION("""COMPUTED_VALUE"""),0.42592592592592593)</f>
        <v>0.4259259259</v>
      </c>
      <c r="R2700" s="82">
        <f>IFERROR(__xludf.DUMMYFUNCTION("""COMPUTED_VALUE"""),1.351851851851852)</f>
        <v>1.351851852</v>
      </c>
      <c r="S2700" s="82">
        <f>IFERROR(__xludf.DUMMYFUNCTION("""COMPUTED_VALUE"""),2.0185185185185186)</f>
        <v>2.018518519</v>
      </c>
      <c r="T2700" s="82">
        <f>IFERROR(__xludf.DUMMYFUNCTION("""COMPUTED_VALUE"""),332.54798279586123)</f>
        <v>332.5479828</v>
      </c>
      <c r="U2700" s="82">
        <f>IFERROR(__xludf.DUMMYFUNCTION("""COMPUTED_VALUE"""),0.7577368339013572)</f>
        <v>0.7577368339</v>
      </c>
      <c r="V2700" s="82">
        <f>IFERROR(__xludf.DUMMYFUNCTION("""COMPUTED_VALUE"""),0.5058325126656262)</f>
        <v>0.5058325127</v>
      </c>
      <c r="W2700" s="82">
        <f>IFERROR(__xludf.DUMMYFUNCTION("""COMPUTED_VALUE"""),1.2677489043393917)</f>
        <v>1.267748904</v>
      </c>
      <c r="X2700" s="82">
        <f>IFERROR(__xludf.DUMMYFUNCTION("""COMPUTED_VALUE"""),2.432422106092958)</f>
        <v>2.432422106</v>
      </c>
      <c r="Y2700" s="82">
        <f>IFERROR(__xludf.DUMMYFUNCTION("""COMPUTED_VALUE"""),338.31115046277637)</f>
        <v>338.3111505</v>
      </c>
      <c r="Z2700" s="82">
        <f>IFERROR(__xludf.DUMMYFUNCTION("""COMPUTED_VALUE"""),0.7969387058139247)</f>
        <v>0.7969387058</v>
      </c>
      <c r="AA2700" s="82">
        <f>IFERROR(__xludf.DUMMYFUNCTION("""COMPUTED_VALUE"""),0.5328016686187208)</f>
        <v>0.5328016686</v>
      </c>
      <c r="AB2700" s="82">
        <f>IFERROR(__xludf.DUMMYFUNCTION("""COMPUTED_VALUE"""),1.2157942872692038)</f>
        <v>1.215794287</v>
      </c>
      <c r="AC2700" s="82">
        <f>IFERROR(__xludf.DUMMYFUNCTION("""COMPUTED_VALUE"""),2.5740850485827362)</f>
        <v>2.574085049</v>
      </c>
      <c r="AD2700" s="82">
        <f>IFERROR(__xludf.DUMMYFUNCTION("""COMPUTED_VALUE"""),1.2338247382496312)</f>
        <v>1.233824738</v>
      </c>
      <c r="AE2700" s="82">
        <f>IFERROR(__xludf.DUMMYFUNCTION("""COMPUTED_VALUE"""),1.7079244629246477)</f>
        <v>1.707924463</v>
      </c>
      <c r="AF2700" s="82">
        <f>IFERROR(__xludf.DUMMYFUNCTION("""COMPUTED_VALUE"""),1.19911202707979)</f>
        <v>1.199112027</v>
      </c>
      <c r="AG2700" s="82">
        <f>IFERROR(__xludf.DUMMYFUNCTION("""COMPUTED_VALUE"""),0.9595921603539669)</f>
        <v>0.9595921604</v>
      </c>
      <c r="AH2700" s="82">
        <f>IFERROR(__xludf.DUMMYFUNCTION("""COMPUTED_VALUE"""),1.3597064331371111)</f>
        <v>1.359706433</v>
      </c>
      <c r="AI2700" s="82">
        <f>IFERROR(__xludf.DUMMYFUNCTION("""COMPUTED_VALUE"""),0.9370967371674822)</f>
        <v>0.9370967372</v>
      </c>
      <c r="AJ2700" s="82">
        <f>IFERROR(__xludf.DUMMYFUNCTION("""COMPUTED_VALUE"""),0.855373685361222)</f>
        <v>0.8553736854</v>
      </c>
      <c r="AK2700" s="82">
        <f>IFERROR(__xludf.DUMMYFUNCTION("""COMPUTED_VALUE"""),0.8420295557543145)</f>
        <v>0.8420295558</v>
      </c>
      <c r="AL2700" s="82">
        <f>IFERROR(__xludf.DUMMYFUNCTION("""COMPUTED_VALUE"""),1.0663403827245155)</f>
        <v>1.066340383</v>
      </c>
      <c r="AM2700" s="82">
        <f>IFERROR(__xludf.DUMMYFUNCTION("""COMPUTED_VALUE"""),0.8298389138391503)</f>
        <v>0.8298389138</v>
      </c>
      <c r="AN2700" s="82">
        <f>IFERROR(__xludf.DUMMYFUNCTION("""COMPUTED_VALUE"""),1.289352124749388)</f>
        <v>1.289352125</v>
      </c>
      <c r="AO2700" s="82">
        <f>IFERROR(__xludf.DUMMYFUNCTION("""COMPUTED_VALUE"""),1.8453904129917513)</f>
        <v>1.845390413</v>
      </c>
      <c r="AP2700" s="82">
        <f>IFERROR(__xludf.DUMMYFUNCTION("""COMPUTED_VALUE"""),1.2948314366404752)</f>
        <v>1.294831437</v>
      </c>
      <c r="AQ2700" s="82">
        <f>IFERROR(__xludf.DUMMYFUNCTION("""COMPUTED_VALUE"""),0.9673000799252894)</f>
        <v>0.9673000799</v>
      </c>
      <c r="AR2700" s="82">
        <f>IFERROR(__xludf.DUMMYFUNCTION("""COMPUTED_VALUE"""),1.48593351947043)</f>
        <v>1.485933519</v>
      </c>
      <c r="AS2700" s="82">
        <f>IFERROR(__xludf.DUMMYFUNCTION("""COMPUTED_VALUE"""),102.0)</f>
        <v>102</v>
      </c>
      <c r="AT2700" s="82">
        <f>IFERROR(__xludf.DUMMYFUNCTION("""COMPUTED_VALUE"""),0.6433105880241531)</f>
        <v>0.643310588</v>
      </c>
      <c r="AU2700" s="82">
        <f>IFERROR(__xludf.DUMMYFUNCTION("""COMPUTED_VALUE"""),3.7601804070938236)</f>
        <v>3.760180407</v>
      </c>
      <c r="AV2700" s="82">
        <f>IFERROR(__xludf.DUMMYFUNCTION("""COMPUTED_VALUE"""),107.23707802533815)</f>
        <v>107.237078</v>
      </c>
      <c r="AW2700" s="82">
        <f t="shared" si="1"/>
        <v>90.69761083</v>
      </c>
      <c r="AX2700" s="83">
        <f t="array" ref="AX2700">IFERROR(DGET('SBV Import'!A:G,"SBV",{"RSC ID","Tier";B2700,A2700}))</f>
        <v>85.71276285</v>
      </c>
      <c r="AY2700" s="82">
        <f t="shared" si="2"/>
        <v>13.05952127</v>
      </c>
      <c r="AZ2700" s="82">
        <v>77.63808956365109</v>
      </c>
      <c r="BA2700" s="84">
        <v>2700.0</v>
      </c>
      <c r="BB2700" s="84" t="b">
        <f>IFERROR(__xludf.DUMMYFUNCTION("iferror(if(A2700="""",,E2700&gt;=FILTER(Constants!$F$2:$F$10,Constants!$A$2:$A$10=A2700)))"),TRUE)</f>
        <v>1</v>
      </c>
    </row>
    <row r="2701">
      <c r="A2701" s="89" t="str">
        <f>IFERROR(__xludf.DUMMYFUNCTION("""COMPUTED_VALUE"""),"Prospect")</f>
        <v>Prospect</v>
      </c>
      <c r="B2701" s="87" t="str">
        <f>IFERROR(__xludf.DUMMYFUNCTION("""COMPUTED_VALUE"""),"RSC007045")</f>
        <v>RSC007045</v>
      </c>
      <c r="C2701" s="73" t="str">
        <f>IFERROR(__xludf.DUMMYFUNCTION("""COMPUTED_VALUE"""),"fetty_steve98")</f>
        <v>fetty_steve98</v>
      </c>
      <c r="D2701" s="73" t="str">
        <f>IFERROR(__xludf.DUMMYFUNCTION("""COMPUTED_VALUE"""),"Blacktips")</f>
        <v>Blacktips</v>
      </c>
      <c r="E2701" s="82">
        <f>IFERROR(__xludf.DUMMYFUNCTION("""COMPUTED_VALUE"""),32.0)</f>
        <v>32</v>
      </c>
      <c r="F2701" s="82">
        <f>IFERROR(__xludf.DUMMYFUNCTION("""COMPUTED_VALUE"""),24.0)</f>
        <v>24</v>
      </c>
      <c r="G2701" s="86">
        <f>IFERROR(__xludf.DUMMYFUNCTION("""COMPUTED_VALUE"""),8.0)</f>
        <v>8</v>
      </c>
      <c r="H2701" s="86">
        <f>IFERROR(__xludf.DUMMYFUNCTION("""COMPUTED_VALUE"""),0.75)</f>
        <v>0.75</v>
      </c>
      <c r="I2701" s="86">
        <f>IFERROR(__xludf.DUMMYFUNCTION("""COMPUTED_VALUE"""),0.3645833333333333)</f>
        <v>0.3645833333</v>
      </c>
      <c r="J2701" s="82">
        <f>IFERROR(__xludf.DUMMYFUNCTION("""COMPUTED_VALUE"""),409.71875)</f>
        <v>409.71875</v>
      </c>
      <c r="K2701" s="82">
        <f>IFERROR(__xludf.DUMMYFUNCTION("""COMPUTED_VALUE"""),1.09375)</f>
        <v>1.09375</v>
      </c>
      <c r="L2701" s="82">
        <f>IFERROR(__xludf.DUMMYFUNCTION("""COMPUTED_VALUE"""),0.8125)</f>
        <v>0.8125</v>
      </c>
      <c r="M2701" s="82">
        <f>IFERROR(__xludf.DUMMYFUNCTION("""COMPUTED_VALUE"""),1.15625)</f>
        <v>1.15625</v>
      </c>
      <c r="N2701" s="82">
        <f>IFERROR(__xludf.DUMMYFUNCTION("""COMPUTED_VALUE"""),3.0)</f>
        <v>3</v>
      </c>
      <c r="O2701" s="82">
        <f>IFERROR(__xludf.DUMMYFUNCTION("""COMPUTED_VALUE"""),305.88541666666674)</f>
        <v>305.8854167</v>
      </c>
      <c r="P2701" s="82">
        <f>IFERROR(__xludf.DUMMYFUNCTION("""COMPUTED_VALUE"""),0.5937500000000001)</f>
        <v>0.59375</v>
      </c>
      <c r="Q2701" s="82">
        <f>IFERROR(__xludf.DUMMYFUNCTION("""COMPUTED_VALUE"""),0.41666666666666663)</f>
        <v>0.4166666667</v>
      </c>
      <c r="R2701" s="82">
        <f>IFERROR(__xludf.DUMMYFUNCTION("""COMPUTED_VALUE"""),1.208333333333333)</f>
        <v>1.208333333</v>
      </c>
      <c r="S2701" s="82">
        <f>IFERROR(__xludf.DUMMYFUNCTION("""COMPUTED_VALUE"""),2.0625)</f>
        <v>2.0625</v>
      </c>
      <c r="T2701" s="82">
        <f>IFERROR(__xludf.DUMMYFUNCTION("""COMPUTED_VALUE"""),330.63409325214246)</f>
        <v>330.6340933</v>
      </c>
      <c r="U2701" s="82">
        <f>IFERROR(__xludf.DUMMYFUNCTION("""COMPUTED_VALUE"""),0.7360952662017568)</f>
        <v>0.7360952662</v>
      </c>
      <c r="V2701" s="82">
        <f>IFERROR(__xludf.DUMMYFUNCTION("""COMPUTED_VALUE"""),0.512071154580727)</f>
        <v>0.5120711546</v>
      </c>
      <c r="W2701" s="82">
        <f>IFERROR(__xludf.DUMMYFUNCTION("""COMPUTED_VALUE"""),1.2303662382481795)</f>
        <v>1.230366238</v>
      </c>
      <c r="X2701" s="82">
        <f>IFERROR(__xludf.DUMMYFUNCTION("""COMPUTED_VALUE"""),2.4065788350463846)</f>
        <v>2.406578835</v>
      </c>
      <c r="Y2701" s="82">
        <f>IFERROR(__xludf.DUMMYFUNCTION("""COMPUTED_VALUE"""),339.87187240973253)</f>
        <v>339.8718724</v>
      </c>
      <c r="Z2701" s="82">
        <f>IFERROR(__xludf.DUMMYFUNCTION("""COMPUTED_VALUE"""),0.8024309722111372)</f>
        <v>0.8024309722</v>
      </c>
      <c r="AA2701" s="82">
        <f>IFERROR(__xludf.DUMMYFUNCTION("""COMPUTED_VALUE"""),0.5379257529195)</f>
        <v>0.5379257529</v>
      </c>
      <c r="AB2701" s="82">
        <f>IFERROR(__xludf.DUMMYFUNCTION("""COMPUTED_VALUE"""),1.2131317850994596)</f>
        <v>1.213131785</v>
      </c>
      <c r="AC2701" s="82">
        <f>IFERROR(__xludf.DUMMYFUNCTION("""COMPUTED_VALUE"""),2.527170388818144)</f>
        <v>2.527170389</v>
      </c>
      <c r="AD2701" s="82">
        <f>IFERROR(__xludf.DUMMYFUNCTION("""COMPUTED_VALUE"""),1.2055094382922737)</f>
        <v>1.205509438</v>
      </c>
      <c r="AE2701" s="82">
        <f>IFERROR(__xludf.DUMMYFUNCTION("""COMPUTED_VALUE"""),1.3630455925524898)</f>
        <v>1.363045593</v>
      </c>
      <c r="AF2701" s="82">
        <f>IFERROR(__xludf.DUMMYFUNCTION("""COMPUTED_VALUE"""),1.5104314965221415)</f>
        <v>1.510431497</v>
      </c>
      <c r="AG2701" s="82">
        <f>IFERROR(__xludf.DUMMYFUNCTION("""COMPUTED_VALUE"""),0.9531116192007152)</f>
        <v>0.9531116192</v>
      </c>
      <c r="AH2701" s="82">
        <f>IFERROR(__xludf.DUMMYFUNCTION("""COMPUTED_VALUE"""),1.1870984296405038)</f>
        <v>1.18709843</v>
      </c>
      <c r="AI2701" s="82">
        <f>IFERROR(__xludf.DUMMYFUNCTION("""COMPUTED_VALUE"""),0.9251478383791404)</f>
        <v>0.9251478384</v>
      </c>
      <c r="AJ2701" s="82">
        <f>IFERROR(__xludf.DUMMYFUNCTION("""COMPUTED_VALUE"""),0.8066211362338238)</f>
        <v>0.8066211362</v>
      </c>
      <c r="AK2701" s="82">
        <f>IFERROR(__xludf.DUMMYFUNCTION("""COMPUTED_VALUE"""),0.8136890018884669)</f>
        <v>0.8136890019</v>
      </c>
      <c r="AL2701" s="82">
        <f>IFERROR(__xludf.DUMMYFUNCTION("""COMPUTED_VALUE"""),0.9820924012461384)</f>
        <v>0.9820924012</v>
      </c>
      <c r="AM2701" s="82">
        <f>IFERROR(__xludf.DUMMYFUNCTION("""COMPUTED_VALUE"""),0.8570257371021246)</f>
        <v>0.8570257371</v>
      </c>
      <c r="AN2701" s="82">
        <f>IFERROR(__xludf.DUMMYFUNCTION("""COMPUTED_VALUE"""),1.2655741446088957)</f>
        <v>1.265574145</v>
      </c>
      <c r="AO2701" s="82">
        <f>IFERROR(__xludf.DUMMYFUNCTION("""COMPUTED_VALUE"""),1.4829030104398)</f>
        <v>1.48290301</v>
      </c>
      <c r="AP2701" s="82">
        <f>IFERROR(__xludf.DUMMYFUNCTION("""COMPUTED_VALUE"""),1.6466878052927783)</f>
        <v>1.646687805</v>
      </c>
      <c r="AQ2701" s="82">
        <f>IFERROR(__xludf.DUMMYFUNCTION("""COMPUTED_VALUE"""),0.9586634720688135)</f>
        <v>0.9586634721</v>
      </c>
      <c r="AR2701" s="82">
        <f>IFERROR(__xludf.DUMMYFUNCTION("""COMPUTED_VALUE"""),1.2736573024032256)</f>
        <v>1.273657302</v>
      </c>
      <c r="AS2701" s="82">
        <f>IFERROR(__xludf.DUMMYFUNCTION("""COMPUTED_VALUE"""),95.0)</f>
        <v>95</v>
      </c>
      <c r="AT2701" s="82">
        <f>IFERROR(__xludf.DUMMYFUNCTION("""COMPUTED_VALUE"""),0.6897357138936779)</f>
        <v>0.6897357139</v>
      </c>
      <c r="AU2701" s="82">
        <f>IFERROR(__xludf.DUMMYFUNCTION("""COMPUTED_VALUE"""),3.4271655994679513)</f>
        <v>3.427165599</v>
      </c>
      <c r="AV2701" s="82">
        <f>IFERROR(__xludf.DUMMYFUNCTION("""COMPUTED_VALUE"""),96.6431461021013)</f>
        <v>96.6431461</v>
      </c>
      <c r="AW2701" s="82">
        <f t="shared" si="1"/>
        <v>32.21663395</v>
      </c>
      <c r="AX2701" s="83">
        <f t="array" ref="AX2701">IFERROR(DGET('SBV Import'!A:G,"SBV",{"RSC ID","Tier";B2701,A2701}))</f>
        <v>90.11583629</v>
      </c>
      <c r="AY2701" s="82">
        <f t="shared" si="2"/>
        <v>18.42053234</v>
      </c>
      <c r="AZ2701" s="82">
        <v>13.796101614627677</v>
      </c>
      <c r="BA2701" s="84">
        <v>2700.0</v>
      </c>
      <c r="BB2701" s="84" t="b">
        <f>IFERROR(__xludf.DUMMYFUNCTION("iferror(if(A2701="""",,E2701&gt;=FILTER(Constants!$F$2:$F$10,Constants!$A$2:$A$10=A2701)))"),TRUE)</f>
        <v>1</v>
      </c>
    </row>
    <row r="2702">
      <c r="A2702" s="89" t="str">
        <f>IFERROR(__xludf.DUMMYFUNCTION("""COMPUTED_VALUE"""),"Prospect")</f>
        <v>Prospect</v>
      </c>
      <c r="B2702" s="87" t="str">
        <f>IFERROR(__xludf.DUMMYFUNCTION("""COMPUTED_VALUE"""),"RSC007297")</f>
        <v>RSC007297</v>
      </c>
      <c r="C2702" s="73" t="str">
        <f>IFERROR(__xludf.DUMMYFUNCTION("""COMPUTED_VALUE"""),"Marc_Byy_8")</f>
        <v>Marc_Byy_8</v>
      </c>
      <c r="D2702" s="73" t="str">
        <f>IFERROR(__xludf.DUMMYFUNCTION("""COMPUTED_VALUE"""),"Tic Tacs")</f>
        <v>Tic Tacs</v>
      </c>
      <c r="E2702" s="82">
        <f>IFERROR(__xludf.DUMMYFUNCTION("""COMPUTED_VALUE"""),27.0)</f>
        <v>27</v>
      </c>
      <c r="F2702" s="82">
        <f>IFERROR(__xludf.DUMMYFUNCTION("""COMPUTED_VALUE"""),14.0)</f>
        <v>14</v>
      </c>
      <c r="G2702" s="86">
        <f>IFERROR(__xludf.DUMMYFUNCTION("""COMPUTED_VALUE"""),13.0)</f>
        <v>13</v>
      </c>
      <c r="H2702" s="86">
        <f>IFERROR(__xludf.DUMMYFUNCTION("""COMPUTED_VALUE"""),0.5185185185185185)</f>
        <v>0.5185185185</v>
      </c>
      <c r="I2702" s="86">
        <f>IFERROR(__xludf.DUMMYFUNCTION("""COMPUTED_VALUE"""),0.4574468085106383)</f>
        <v>0.4574468085</v>
      </c>
      <c r="J2702" s="82">
        <f>IFERROR(__xludf.DUMMYFUNCTION("""COMPUTED_VALUE"""),421.3703703703704)</f>
        <v>421.3703704</v>
      </c>
      <c r="K2702" s="82">
        <f>IFERROR(__xludf.DUMMYFUNCTION("""COMPUTED_VALUE"""),1.5925925925925926)</f>
        <v>1.592592593</v>
      </c>
      <c r="L2702" s="82">
        <f>IFERROR(__xludf.DUMMYFUNCTION("""COMPUTED_VALUE"""),0.2222222222222222)</f>
        <v>0.2222222222</v>
      </c>
      <c r="M2702" s="82">
        <f>IFERROR(__xludf.DUMMYFUNCTION("""COMPUTED_VALUE"""),1.1481481481481481)</f>
        <v>1.148148148</v>
      </c>
      <c r="N2702" s="82">
        <f>IFERROR(__xludf.DUMMYFUNCTION("""COMPUTED_VALUE"""),3.4814814814814814)</f>
        <v>3.481481481</v>
      </c>
      <c r="O2702" s="82">
        <f>IFERROR(__xludf.DUMMYFUNCTION("""COMPUTED_VALUE"""),338.2592592592592)</f>
        <v>338.2592593</v>
      </c>
      <c r="P2702" s="82">
        <f>IFERROR(__xludf.DUMMYFUNCTION("""COMPUTED_VALUE"""),0.8888888888888888)</f>
        <v>0.8888888889</v>
      </c>
      <c r="Q2702" s="82">
        <f>IFERROR(__xludf.DUMMYFUNCTION("""COMPUTED_VALUE"""),0.6049382716049384)</f>
        <v>0.6049382716</v>
      </c>
      <c r="R2702" s="82">
        <f>IFERROR(__xludf.DUMMYFUNCTION("""COMPUTED_VALUE"""),0.91358024691358)</f>
        <v>0.9135802469</v>
      </c>
      <c r="S2702" s="82">
        <f>IFERROR(__xludf.DUMMYFUNCTION("""COMPUTED_VALUE"""),2.7654320987654324)</f>
        <v>2.765432099</v>
      </c>
      <c r="T2702" s="82">
        <f>IFERROR(__xludf.DUMMYFUNCTION("""COMPUTED_VALUE"""),333.401348320258)</f>
        <v>333.4013483</v>
      </c>
      <c r="U2702" s="82">
        <f>IFERROR(__xludf.DUMMYFUNCTION("""COMPUTED_VALUE"""),0.7682807520844382)</f>
        <v>0.7682807521</v>
      </c>
      <c r="V2702" s="82">
        <f>IFERROR(__xludf.DUMMYFUNCTION("""COMPUTED_VALUE"""),0.5049888402105268)</f>
        <v>0.5049888402</v>
      </c>
      <c r="W2702" s="82">
        <f>IFERROR(__xludf.DUMMYFUNCTION("""COMPUTED_VALUE"""),1.2634684905148532)</f>
        <v>1.263468491</v>
      </c>
      <c r="X2702" s="82">
        <f>IFERROR(__xludf.DUMMYFUNCTION("""COMPUTED_VALUE"""),2.454776186140732)</f>
        <v>2.454776186</v>
      </c>
      <c r="Y2702" s="82">
        <f>IFERROR(__xludf.DUMMYFUNCTION("""COMPUTED_VALUE"""),338.3666952203038)</f>
        <v>338.3666952</v>
      </c>
      <c r="Z2702" s="82">
        <f>IFERROR(__xludf.DUMMYFUNCTION("""COMPUTED_VALUE"""),0.7858204030899002)</f>
        <v>0.7858204031</v>
      </c>
      <c r="AA2702" s="82">
        <f>IFERROR(__xludf.DUMMYFUNCTION("""COMPUTED_VALUE"""),0.5277942724155347)</f>
        <v>0.5277942724</v>
      </c>
      <c r="AB2702" s="82">
        <f>IFERROR(__xludf.DUMMYFUNCTION("""COMPUTED_VALUE"""),1.242835318214758)</f>
        <v>1.242835318</v>
      </c>
      <c r="AC2702" s="82">
        <f>IFERROR(__xludf.DUMMYFUNCTION("""COMPUTED_VALUE"""),2.5403754183923195)</f>
        <v>2.540375418</v>
      </c>
      <c r="AD2702" s="82">
        <f>IFERROR(__xludf.DUMMYFUNCTION("""COMPUTED_VALUE"""),1.245306870689577)</f>
        <v>1.245306871</v>
      </c>
      <c r="AE2702" s="82">
        <f>IFERROR(__xludf.DUMMYFUNCTION("""COMPUTED_VALUE"""),2.026662309009041)</f>
        <v>2.026662309</v>
      </c>
      <c r="AF2702" s="82">
        <f>IFERROR(__xludf.DUMMYFUNCTION("""COMPUTED_VALUE"""),0.421039472833206)</f>
        <v>0.4210394728</v>
      </c>
      <c r="AG2702" s="82">
        <f>IFERROR(__xludf.DUMMYFUNCTION("""COMPUTED_VALUE"""),0.9238135827982253)</f>
        <v>0.9238135828</v>
      </c>
      <c r="AH2702" s="82">
        <f>IFERROR(__xludf.DUMMYFUNCTION("""COMPUTED_VALUE"""),1.370459443228569)</f>
        <v>1.370459443</v>
      </c>
      <c r="AI2702" s="82">
        <f>IFERROR(__xludf.DUMMYFUNCTION("""COMPUTED_VALUE"""),1.0145707597269065)</f>
        <v>1.01457076</v>
      </c>
      <c r="AJ2702" s="82">
        <f>IFERROR(__xludf.DUMMYFUNCTION("""COMPUTED_VALUE"""),1.1569844571495853)</f>
        <v>1.156984457</v>
      </c>
      <c r="AK2702" s="82">
        <f>IFERROR(__xludf.DUMMYFUNCTION("""COMPUTED_VALUE"""),1.1979240399703552)</f>
        <v>1.19792404</v>
      </c>
      <c r="AL2702" s="82">
        <f>IFERROR(__xludf.DUMMYFUNCTION("""COMPUTED_VALUE"""),0.7230732335408724)</f>
        <v>0.7230732335</v>
      </c>
      <c r="AM2702" s="82">
        <f>IFERROR(__xludf.DUMMYFUNCTION("""COMPUTED_VALUE"""),1.126551623882704)</f>
        <v>1.126551624</v>
      </c>
      <c r="AN2702" s="82">
        <f>IFERROR(__xludf.DUMMYFUNCTION("""COMPUTED_VALUE"""),1.3015646612341152)</f>
        <v>1.301564661</v>
      </c>
      <c r="AO2702" s="82">
        <f>IFERROR(__xludf.DUMMYFUNCTION("""COMPUTED_VALUE"""),2.1592323199631376)</f>
        <v>2.15923232</v>
      </c>
      <c r="AP2702" s="82">
        <f>IFERROR(__xludf.DUMMYFUNCTION("""COMPUTED_VALUE"""),0.4503761518749479)</f>
        <v>0.4503761519</v>
      </c>
      <c r="AQ2702" s="82">
        <f>IFERROR(__xludf.DUMMYFUNCTION("""COMPUTED_VALUE"""),0.9519461104026656)</f>
        <v>0.9519461104</v>
      </c>
      <c r="AR2702" s="82">
        <f>IFERROR(__xludf.DUMMYFUNCTION("""COMPUTED_VALUE"""),1.4780714373568298)</f>
        <v>1.478071437</v>
      </c>
      <c r="AS2702" s="82">
        <f>IFERROR(__xludf.DUMMYFUNCTION("""COMPUTED_VALUE"""),76.0)</f>
        <v>76</v>
      </c>
      <c r="AT2702" s="82">
        <f>IFERROR(__xludf.DUMMYFUNCTION("""COMPUTED_VALUE"""),0.5220118714339684)</f>
        <v>0.5220118714</v>
      </c>
      <c r="AU2702" s="82">
        <f>IFERROR(__xludf.DUMMYFUNCTION("""COMPUTED_VALUE"""),3.2809915335836948)</f>
        <v>3.280991534</v>
      </c>
      <c r="AV2702" s="82">
        <f>IFERROR(__xludf.DUMMYFUNCTION("""COMPUTED_VALUE"""),91.99302824710102)</f>
        <v>91.99302825</v>
      </c>
      <c r="AW2702" s="82">
        <f t="shared" si="1"/>
        <v>21.50269737</v>
      </c>
      <c r="AX2702" s="83">
        <f t="array" ref="AX2702">IFERROR(DGET('SBV Import'!A:G,"SBV",{"RSC ID","Tier";B2702,A2702}))</f>
        <v>66.01716021</v>
      </c>
      <c r="AY2702" s="82">
        <f t="shared" si="2"/>
        <v>3.833426527</v>
      </c>
      <c r="AZ2702" s="82">
        <v>17.669270841062218</v>
      </c>
      <c r="BA2702" s="84">
        <v>2700.0</v>
      </c>
      <c r="BB2702" s="84" t="b">
        <f>IFERROR(__xludf.DUMMYFUNCTION("iferror(if(A2702="""",,E2702&gt;=FILTER(Constants!$F$2:$F$10,Constants!$A$2:$A$10=A2702)))"),TRUE)</f>
        <v>1</v>
      </c>
    </row>
    <row r="2703">
      <c r="A2703" s="89" t="str">
        <f>IFERROR(__xludf.DUMMYFUNCTION("""COMPUTED_VALUE"""),"Prospect")</f>
        <v>Prospect</v>
      </c>
      <c r="B2703" s="87" t="str">
        <f>IFERROR(__xludf.DUMMYFUNCTION("""COMPUTED_VALUE"""),"RSC005915")</f>
        <v>RSC005915</v>
      </c>
      <c r="C2703" s="73" t="str">
        <f>IFERROR(__xludf.DUMMYFUNCTION("""COMPUTED_VALUE"""),"BromzaTheOldMan")</f>
        <v>BromzaTheOldMan</v>
      </c>
      <c r="D2703" s="73" t="str">
        <f>IFERROR(__xludf.DUMMYFUNCTION("""COMPUTED_VALUE"""),"Honey Badgers")</f>
        <v>Honey Badgers</v>
      </c>
      <c r="E2703" s="82">
        <f>IFERROR(__xludf.DUMMYFUNCTION("""COMPUTED_VALUE"""),36.0)</f>
        <v>36</v>
      </c>
      <c r="F2703" s="82">
        <f>IFERROR(__xludf.DUMMYFUNCTION("""COMPUTED_VALUE"""),21.0)</f>
        <v>21</v>
      </c>
      <c r="G2703" s="86">
        <f>IFERROR(__xludf.DUMMYFUNCTION("""COMPUTED_VALUE"""),15.0)</f>
        <v>15</v>
      </c>
      <c r="H2703" s="86">
        <f>IFERROR(__xludf.DUMMYFUNCTION("""COMPUTED_VALUE"""),0.5833333333333334)</f>
        <v>0.5833333333</v>
      </c>
      <c r="I2703" s="86">
        <f>IFERROR(__xludf.DUMMYFUNCTION("""COMPUTED_VALUE"""),0.43636363636363634)</f>
        <v>0.4363636364</v>
      </c>
      <c r="J2703" s="82">
        <f>IFERROR(__xludf.DUMMYFUNCTION("""COMPUTED_VALUE"""),408.1111111111111)</f>
        <v>408.1111111</v>
      </c>
      <c r="K2703" s="82">
        <f>IFERROR(__xludf.DUMMYFUNCTION("""COMPUTED_VALUE"""),1.3333333333333333)</f>
        <v>1.333333333</v>
      </c>
      <c r="L2703" s="82">
        <f>IFERROR(__xludf.DUMMYFUNCTION("""COMPUTED_VALUE"""),0.4444444444444444)</f>
        <v>0.4444444444</v>
      </c>
      <c r="M2703" s="82">
        <f>IFERROR(__xludf.DUMMYFUNCTION("""COMPUTED_VALUE"""),1.2777777777777777)</f>
        <v>1.277777778</v>
      </c>
      <c r="N2703" s="82">
        <f>IFERROR(__xludf.DUMMYFUNCTION("""COMPUTED_VALUE"""),3.0555555555555554)</f>
        <v>3.055555556</v>
      </c>
      <c r="O2703" s="82">
        <f>IFERROR(__xludf.DUMMYFUNCTION("""COMPUTED_VALUE"""),334.6666666666667)</f>
        <v>334.6666667</v>
      </c>
      <c r="P2703" s="82">
        <f>IFERROR(__xludf.DUMMYFUNCTION("""COMPUTED_VALUE"""),0.712962962962963)</f>
        <v>0.712962963</v>
      </c>
      <c r="Q2703" s="82">
        <f>IFERROR(__xludf.DUMMYFUNCTION("""COMPUTED_VALUE"""),0.5370370370370371)</f>
        <v>0.537037037</v>
      </c>
      <c r="R2703" s="82">
        <f>IFERROR(__xludf.DUMMYFUNCTION("""COMPUTED_VALUE"""),1.222222222222222)</f>
        <v>1.222222222</v>
      </c>
      <c r="S2703" s="82">
        <f>IFERROR(__xludf.DUMMYFUNCTION("""COMPUTED_VALUE"""),2.4537037037037037)</f>
        <v>2.453703704</v>
      </c>
      <c r="T2703" s="82">
        <f>IFERROR(__xludf.DUMMYFUNCTION("""COMPUTED_VALUE"""),337.4261043103597)</f>
        <v>337.4261043</v>
      </c>
      <c r="U2703" s="82">
        <f>IFERROR(__xludf.DUMMYFUNCTION("""COMPUTED_VALUE"""),0.7790603041244454)</f>
        <v>0.7790603041</v>
      </c>
      <c r="V2703" s="82">
        <f>IFERROR(__xludf.DUMMYFUNCTION("""COMPUTED_VALUE"""),0.5415746717608739)</f>
        <v>0.5415746718</v>
      </c>
      <c r="W2703" s="82">
        <f>IFERROR(__xludf.DUMMYFUNCTION("""COMPUTED_VALUE"""),1.228065232490681)</f>
        <v>1.228065232</v>
      </c>
      <c r="X2703" s="82">
        <f>IFERROR(__xludf.DUMMYFUNCTION("""COMPUTED_VALUE"""),2.395000271234211)</f>
        <v>2.395000271</v>
      </c>
      <c r="Y2703" s="82">
        <f>IFERROR(__xludf.DUMMYFUNCTION("""COMPUTED_VALUE"""),334.439959497796)</f>
        <v>334.4399595</v>
      </c>
      <c r="Z2703" s="82">
        <f>IFERROR(__xludf.DUMMYFUNCTION("""COMPUTED_VALUE"""),0.8105849774394914)</f>
        <v>0.8105849774</v>
      </c>
      <c r="AA2703" s="82">
        <f>IFERROR(__xludf.DUMMYFUNCTION("""COMPUTED_VALUE"""),0.5229552365620439)</f>
        <v>0.5229552366</v>
      </c>
      <c r="AB2703" s="82">
        <f>IFERROR(__xludf.DUMMYFUNCTION("""COMPUTED_VALUE"""),1.1730279987521535)</f>
        <v>1.173027999</v>
      </c>
      <c r="AC2703" s="82">
        <f>IFERROR(__xludf.DUMMYFUNCTION("""COMPUTED_VALUE"""),2.4644456627528424)</f>
        <v>2.464445663</v>
      </c>
      <c r="AD2703" s="82">
        <f>IFERROR(__xludf.DUMMYFUNCTION("""COMPUTED_VALUE"""),1.2202821448846652)</f>
        <v>1.220282145</v>
      </c>
      <c r="AE2703" s="82">
        <f>IFERROR(__xludf.DUMMYFUNCTION("""COMPUTED_VALUE"""),1.6449025955861167)</f>
        <v>1.644902596</v>
      </c>
      <c r="AF2703" s="82">
        <f>IFERROR(__xludf.DUMMYFUNCTION("""COMPUTED_VALUE"""),0.8498709131708161)</f>
        <v>0.8498709132</v>
      </c>
      <c r="AG2703" s="82">
        <f>IFERROR(__xludf.DUMMYFUNCTION("""COMPUTED_VALUE"""),1.0892986178821435)</f>
        <v>1.089298618</v>
      </c>
      <c r="AH2703" s="82">
        <f>IFERROR(__xludf.DUMMYFUNCTION("""COMPUTED_VALUE"""),1.23985511295162)</f>
        <v>1.239855113</v>
      </c>
      <c r="AI2703" s="82">
        <f>IFERROR(__xludf.DUMMYFUNCTION("""COMPUTED_VALUE"""),0.9918220979099029)</f>
        <v>0.9918220979</v>
      </c>
      <c r="AJ2703" s="82">
        <f>IFERROR(__xludf.DUMMYFUNCTION("""COMPUTED_VALUE"""),0.9151576061422273)</f>
        <v>0.9151576061</v>
      </c>
      <c r="AK2703" s="82">
        <f>IFERROR(__xludf.DUMMYFUNCTION("""COMPUTED_VALUE"""),0.9916214052088456)</f>
        <v>0.9916214052</v>
      </c>
      <c r="AL2703" s="82">
        <f>IFERROR(__xludf.DUMMYFUNCTION("""COMPUTED_VALUE"""),0.9952421010595599)</f>
        <v>0.9952421011</v>
      </c>
      <c r="AM2703" s="82">
        <f>IFERROR(__xludf.DUMMYFUNCTION("""COMPUTED_VALUE"""),1.024510824977586)</f>
        <v>1.024510825</v>
      </c>
      <c r="AN2703" s="82">
        <f>IFERROR(__xludf.DUMMYFUNCTION("""COMPUTED_VALUE"""),1.260608332788847)</f>
        <v>1.260608333</v>
      </c>
      <c r="AO2703" s="82">
        <f>IFERROR(__xludf.DUMMYFUNCTION("""COMPUTED_VALUE"""),1.8077293841551847)</f>
        <v>1.807729384</v>
      </c>
      <c r="AP2703" s="82">
        <f>IFERROR(__xludf.DUMMYFUNCTION("""COMPUTED_VALUE"""),0.9007523037498958)</f>
        <v>0.9007523037</v>
      </c>
      <c r="AQ2703" s="82">
        <f>IFERROR(__xludf.DUMMYFUNCTION("""COMPUTED_VALUE"""),1.059423897061031)</f>
        <v>1.059423897</v>
      </c>
      <c r="AR2703" s="82">
        <f>IFERROR(__xludf.DUMMYFUNCTION("""COMPUTED_VALUE"""),1.2972435487440261)</f>
        <v>1.297243549</v>
      </c>
      <c r="AS2703" s="82">
        <f>IFERROR(__xludf.DUMMYFUNCTION("""COMPUTED_VALUE"""),98.0)</f>
        <v>98</v>
      </c>
      <c r="AT2703" s="82">
        <f>IFERROR(__xludf.DUMMYFUNCTION("""COMPUTED_VALUE"""),0.5937926226789796)</f>
        <v>0.5937926227</v>
      </c>
      <c r="AU2703" s="82">
        <f>IFERROR(__xludf.DUMMYFUNCTION("""COMPUTED_VALUE"""),3.1864453466458023)</f>
        <v>3.186445347</v>
      </c>
      <c r="AV2703" s="82">
        <f>IFERROR(__xludf.DUMMYFUNCTION("""COMPUTED_VALUE"""),88.98530653297556)</f>
        <v>88.98530653</v>
      </c>
      <c r="AW2703" s="82">
        <f t="shared" si="1"/>
        <v>16.82102252</v>
      </c>
      <c r="AX2703" s="83">
        <f t="array" ref="AX2703">IFERROR(DGET('SBV Import'!A:G,"SBV",{"RSC ID","Tier";B2703,A2703}))</f>
        <v>72.19986653</v>
      </c>
      <c r="AY2703" s="82">
        <f t="shared" si="2"/>
        <v>5.339831935</v>
      </c>
      <c r="AZ2703" s="82">
        <v>11.481190587885575</v>
      </c>
      <c r="BA2703" s="84">
        <v>2700.0</v>
      </c>
      <c r="BB2703" s="84" t="b">
        <f>IFERROR(__xludf.DUMMYFUNCTION("iferror(if(A2703="""",,E2703&gt;=FILTER(Constants!$F$2:$F$10,Constants!$A$2:$A$10=A2703)))"),TRUE)</f>
        <v>1</v>
      </c>
    </row>
    <row r="2704">
      <c r="A2704" s="89" t="str">
        <f>IFERROR(__xludf.DUMMYFUNCTION("""COMPUTED_VALUE"""),"Prospect")</f>
        <v>Prospect</v>
      </c>
      <c r="B2704" s="87" t="str">
        <f>IFERROR(__xludf.DUMMYFUNCTION("""COMPUTED_VALUE"""),"RSC002736")</f>
        <v>RSC002736</v>
      </c>
      <c r="C2704" s="73" t="str">
        <f>IFERROR(__xludf.DUMMYFUNCTION("""COMPUTED_VALUE"""),"chulainn")</f>
        <v>chulainn</v>
      </c>
      <c r="D2704" s="73" t="str">
        <f>IFERROR(__xludf.DUMMYFUNCTION("""COMPUTED_VALUE"""),"Earth")</f>
        <v>Earth</v>
      </c>
      <c r="E2704" s="82">
        <f>IFERROR(__xludf.DUMMYFUNCTION("""COMPUTED_VALUE"""),35.0)</f>
        <v>35</v>
      </c>
      <c r="F2704" s="82">
        <f>IFERROR(__xludf.DUMMYFUNCTION("""COMPUTED_VALUE"""),19.0)</f>
        <v>19</v>
      </c>
      <c r="G2704" s="86">
        <f>IFERROR(__xludf.DUMMYFUNCTION("""COMPUTED_VALUE"""),16.0)</f>
        <v>16</v>
      </c>
      <c r="H2704" s="86">
        <f>IFERROR(__xludf.DUMMYFUNCTION("""COMPUTED_VALUE"""),0.5428571428571428)</f>
        <v>0.5428571429</v>
      </c>
      <c r="I2704" s="86">
        <f>IFERROR(__xludf.DUMMYFUNCTION("""COMPUTED_VALUE"""),0.33620689655172414)</f>
        <v>0.3362068966</v>
      </c>
      <c r="J2704" s="82">
        <f>IFERROR(__xludf.DUMMYFUNCTION("""COMPUTED_VALUE"""),394.77142857142854)</f>
        <v>394.7714286</v>
      </c>
      <c r="K2704" s="82">
        <f>IFERROR(__xludf.DUMMYFUNCTION("""COMPUTED_VALUE"""),1.1142857142857143)</f>
        <v>1.114285714</v>
      </c>
      <c r="L2704" s="82">
        <f>IFERROR(__xludf.DUMMYFUNCTION("""COMPUTED_VALUE"""),0.6571428571428571)</f>
        <v>0.6571428571</v>
      </c>
      <c r="M2704" s="82">
        <f>IFERROR(__xludf.DUMMYFUNCTION("""COMPUTED_VALUE"""),0.8)</f>
        <v>0.8</v>
      </c>
      <c r="N2704" s="82">
        <f>IFERROR(__xludf.DUMMYFUNCTION("""COMPUTED_VALUE"""),3.3142857142857145)</f>
        <v>3.314285714</v>
      </c>
      <c r="O2704" s="82">
        <f>IFERROR(__xludf.DUMMYFUNCTION("""COMPUTED_VALUE"""),331.65714285714284)</f>
        <v>331.6571429</v>
      </c>
      <c r="P2704" s="82">
        <f>IFERROR(__xludf.DUMMYFUNCTION("""COMPUTED_VALUE"""),0.7523809523809524)</f>
        <v>0.7523809524</v>
      </c>
      <c r="Q2704" s="82">
        <f>IFERROR(__xludf.DUMMYFUNCTION("""COMPUTED_VALUE"""),0.4571428571428571)</f>
        <v>0.4571428571</v>
      </c>
      <c r="R2704" s="82">
        <f>IFERROR(__xludf.DUMMYFUNCTION("""COMPUTED_VALUE"""),1.3714285714285714)</f>
        <v>1.371428571</v>
      </c>
      <c r="S2704" s="82">
        <f>IFERROR(__xludf.DUMMYFUNCTION("""COMPUTED_VALUE"""),2.0761904761904755)</f>
        <v>2.076190476</v>
      </c>
      <c r="T2704" s="82">
        <f>IFERROR(__xludf.DUMMYFUNCTION("""COMPUTED_VALUE"""),326.28980341036737)</f>
        <v>326.2898034</v>
      </c>
      <c r="U2704" s="82">
        <f>IFERROR(__xludf.DUMMYFUNCTION("""COMPUTED_VALUE"""),0.7519280905267445)</f>
        <v>0.7519280905</v>
      </c>
      <c r="V2704" s="82">
        <f>IFERROR(__xludf.DUMMYFUNCTION("""COMPUTED_VALUE"""),0.46848171023972013)</f>
        <v>0.4684817102</v>
      </c>
      <c r="W2704" s="82">
        <f>IFERROR(__xludf.DUMMYFUNCTION("""COMPUTED_VALUE"""),1.2303486795674676)</f>
        <v>1.23034868</v>
      </c>
      <c r="X2704" s="82">
        <f>IFERROR(__xludf.DUMMYFUNCTION("""COMPUTED_VALUE"""),2.2377717961298944)</f>
        <v>2.237771796</v>
      </c>
      <c r="Y2704" s="82">
        <f>IFERROR(__xludf.DUMMYFUNCTION("""COMPUTED_VALUE"""),338.71578932334387)</f>
        <v>338.7157893</v>
      </c>
      <c r="Z2704" s="82">
        <f>IFERROR(__xludf.DUMMYFUNCTION("""COMPUTED_VALUE"""),0.8235408604376871)</f>
        <v>0.8235408604</v>
      </c>
      <c r="AA2704" s="82">
        <f>IFERROR(__xludf.DUMMYFUNCTION("""COMPUTED_VALUE"""),0.5641204644315649)</f>
        <v>0.5641204644</v>
      </c>
      <c r="AB2704" s="82">
        <f>IFERROR(__xludf.DUMMYFUNCTION("""COMPUTED_VALUE"""),1.1029113031134081)</f>
        <v>1.102911303</v>
      </c>
      <c r="AC2704" s="82">
        <f>IFERROR(__xludf.DUMMYFUNCTION("""COMPUTED_VALUE"""),2.637427769456637)</f>
        <v>2.637427769</v>
      </c>
      <c r="AD2704" s="82">
        <f>IFERROR(__xludf.DUMMYFUNCTION("""COMPUTED_VALUE"""),1.1654946152940422)</f>
        <v>1.165494615</v>
      </c>
      <c r="AE2704" s="82">
        <f>IFERROR(__xludf.DUMMYFUNCTION("""COMPUTED_VALUE"""),1.3530424145482047)</f>
        <v>1.353042415</v>
      </c>
      <c r="AF2704" s="82">
        <f>IFERROR(__xludf.DUMMYFUNCTION("""COMPUTED_VALUE"""),1.1648980999209557)</f>
        <v>1.1648981</v>
      </c>
      <c r="AG2704" s="82">
        <f>IFERROR(__xludf.DUMMYFUNCTION("""COMPUTED_VALUE"""),0.7253529796473027)</f>
        <v>0.7253529796</v>
      </c>
      <c r="AH2704" s="82">
        <f>IFERROR(__xludf.DUMMYFUNCTION("""COMPUTED_VALUE"""),1.256635632894896)</f>
        <v>1.256635633</v>
      </c>
      <c r="AI2704" s="82">
        <f>IFERROR(__xludf.DUMMYFUNCTION("""COMPUTED_VALUE"""),1.016449608264421)</f>
        <v>1.016449608</v>
      </c>
      <c r="AJ2704" s="82">
        <f>IFERROR(__xludf.DUMMYFUNCTION("""COMPUTED_VALUE"""),1.0006022675039188)</f>
        <v>1.000602268</v>
      </c>
      <c r="AK2704" s="82">
        <f>IFERROR(__xludf.DUMMYFUNCTION("""COMPUTED_VALUE"""),0.9757965938711652)</f>
        <v>0.9757965939</v>
      </c>
      <c r="AL2704" s="82">
        <f>IFERROR(__xludf.DUMMYFUNCTION("""COMPUTED_VALUE"""),1.1146665934657651)</f>
        <v>1.114666593</v>
      </c>
      <c r="AM2704" s="82">
        <f>IFERROR(__xludf.DUMMYFUNCTION("""COMPUTED_VALUE"""),0.927793656073928)</f>
        <v>0.9277936561</v>
      </c>
      <c r="AN2704" s="82">
        <f>IFERROR(__xludf.DUMMYFUNCTION("""COMPUTED_VALUE"""),1.2194035860704873)</f>
        <v>1.219403586</v>
      </c>
      <c r="AO2704" s="82">
        <f>IFERROR(__xludf.DUMMYFUNCTION("""COMPUTED_VALUE"""),1.510745271043976)</f>
        <v>1.510745271</v>
      </c>
      <c r="AP2704" s="82">
        <f>IFERROR(__xludf.DUMMYFUNCTION("""COMPUTED_VALUE"""),1.3318266205444889)</f>
        <v>1.331826621</v>
      </c>
      <c r="AQ2704" s="82">
        <f>IFERROR(__xludf.DUMMYFUNCTION("""COMPUTED_VALUE"""),0.6632914833773413)</f>
        <v>0.6632914834</v>
      </c>
      <c r="AR2704" s="82">
        <f>IFERROR(__xludf.DUMMYFUNCTION("""COMPUTED_VALUE"""),1.407088067416897)</f>
        <v>1.407088067</v>
      </c>
      <c r="AS2704" s="82">
        <f>IFERROR(__xludf.DUMMYFUNCTION("""COMPUTED_VALUE"""),90.0)</f>
        <v>90</v>
      </c>
      <c r="AT2704" s="82">
        <f>IFERROR(__xludf.DUMMYFUNCTION("""COMPUTED_VALUE"""),0.5510307057138046)</f>
        <v>0.5510307057</v>
      </c>
      <c r="AU2704" s="82">
        <f>IFERROR(__xludf.DUMMYFUNCTION("""COMPUTED_VALUE"""),3.1309215312204914)</f>
        <v>3.130921531</v>
      </c>
      <c r="AV2704" s="82">
        <f>IFERROR(__xludf.DUMMYFUNCTION("""COMPUTED_VALUE"""),87.21897210200049)</f>
        <v>87.2189721</v>
      </c>
      <c r="AW2704" s="82">
        <f t="shared" si="1"/>
        <v>14.64655595</v>
      </c>
      <c r="AX2704" s="83">
        <f t="array" ref="AX2704">IFERROR(DGET('SBV Import'!A:G,"SBV",{"RSC ID","Tier";B2704,A2704}))</f>
        <v>81.02909404</v>
      </c>
      <c r="AY2704" s="82">
        <f t="shared" si="2"/>
        <v>9.322042402</v>
      </c>
      <c r="AZ2704" s="82">
        <v>5.324513548752904</v>
      </c>
      <c r="BA2704" s="84">
        <v>2700.0</v>
      </c>
      <c r="BB2704" s="84" t="b">
        <f>IFERROR(__xludf.DUMMYFUNCTION("iferror(if(A2704="""",,E2704&gt;=FILTER(Constants!$F$2:$F$10,Constants!$A$2:$A$10=A2704)))"),TRUE)</f>
        <v>1</v>
      </c>
    </row>
    <row r="2705">
      <c r="A2705" s="89" t="str">
        <f>IFERROR(__xludf.DUMMYFUNCTION("""COMPUTED_VALUE"""),"Prospect")</f>
        <v>Prospect</v>
      </c>
      <c r="B2705" s="87" t="str">
        <f>IFERROR(__xludf.DUMMYFUNCTION("""COMPUTED_VALUE"""),"RSC000962")</f>
        <v>RSC000962</v>
      </c>
      <c r="C2705" s="73" t="str">
        <f>IFERROR(__xludf.DUMMYFUNCTION("""COMPUTED_VALUE"""),"pythagorjags")</f>
        <v>pythagorjags</v>
      </c>
      <c r="D2705" s="73" t="str">
        <f>IFERROR(__xludf.DUMMYFUNCTION("""COMPUTED_VALUE"""),"Hawaiian Pizza")</f>
        <v>Hawaiian Pizza</v>
      </c>
      <c r="E2705" s="82">
        <f>IFERROR(__xludf.DUMMYFUNCTION("""COMPUTED_VALUE"""),32.0)</f>
        <v>32</v>
      </c>
      <c r="F2705" s="82">
        <f>IFERROR(__xludf.DUMMYFUNCTION("""COMPUTED_VALUE"""),21.0)</f>
        <v>21</v>
      </c>
      <c r="G2705" s="86">
        <f>IFERROR(__xludf.DUMMYFUNCTION("""COMPUTED_VALUE"""),11.0)</f>
        <v>11</v>
      </c>
      <c r="H2705" s="86">
        <f>IFERROR(__xludf.DUMMYFUNCTION("""COMPUTED_VALUE"""),0.65625)</f>
        <v>0.65625</v>
      </c>
      <c r="I2705" s="86">
        <f>IFERROR(__xludf.DUMMYFUNCTION("""COMPUTED_VALUE"""),0.4367816091954023)</f>
        <v>0.4367816092</v>
      </c>
      <c r="J2705" s="82">
        <f>IFERROR(__xludf.DUMMYFUNCTION("""COMPUTED_VALUE"""),389.84375)</f>
        <v>389.84375</v>
      </c>
      <c r="K2705" s="82">
        <f>IFERROR(__xludf.DUMMYFUNCTION("""COMPUTED_VALUE"""),1.1875)</f>
        <v>1.1875</v>
      </c>
      <c r="L2705" s="82">
        <f>IFERROR(__xludf.DUMMYFUNCTION("""COMPUTED_VALUE"""),0.5625)</f>
        <v>0.5625</v>
      </c>
      <c r="M2705" s="82">
        <f>IFERROR(__xludf.DUMMYFUNCTION("""COMPUTED_VALUE"""),1.1875)</f>
        <v>1.1875</v>
      </c>
      <c r="N2705" s="82">
        <f>IFERROR(__xludf.DUMMYFUNCTION("""COMPUTED_VALUE"""),2.71875)</f>
        <v>2.71875</v>
      </c>
      <c r="O2705" s="82">
        <f>IFERROR(__xludf.DUMMYFUNCTION("""COMPUTED_VALUE"""),313.09375000000006)</f>
        <v>313.09375</v>
      </c>
      <c r="P2705" s="82">
        <f>IFERROR(__xludf.DUMMYFUNCTION("""COMPUTED_VALUE"""),0.6354166666666666)</f>
        <v>0.6354166667</v>
      </c>
      <c r="Q2705" s="82">
        <f>IFERROR(__xludf.DUMMYFUNCTION("""COMPUTED_VALUE"""),0.4583333333333333)</f>
        <v>0.4583333333</v>
      </c>
      <c r="R2705" s="82">
        <f>IFERROR(__xludf.DUMMYFUNCTION("""COMPUTED_VALUE"""),1.135416666666667)</f>
        <v>1.135416667</v>
      </c>
      <c r="S2705" s="82">
        <f>IFERROR(__xludf.DUMMYFUNCTION("""COMPUTED_VALUE"""),2.354166666666668)</f>
        <v>2.354166667</v>
      </c>
      <c r="T2705" s="82">
        <f>IFERROR(__xludf.DUMMYFUNCTION("""COMPUTED_VALUE"""),328.3428623366451)</f>
        <v>328.3428623</v>
      </c>
      <c r="U2705" s="82">
        <f>IFERROR(__xludf.DUMMYFUNCTION("""COMPUTED_VALUE"""),0.7429877909937034)</f>
        <v>0.742987791</v>
      </c>
      <c r="V2705" s="82">
        <f>IFERROR(__xludf.DUMMYFUNCTION("""COMPUTED_VALUE"""),0.524175116235864)</f>
        <v>0.5241751162</v>
      </c>
      <c r="W2705" s="82">
        <f>IFERROR(__xludf.DUMMYFUNCTION("""COMPUTED_VALUE"""),1.154615000803836)</f>
        <v>1.154615001</v>
      </c>
      <c r="X2705" s="82">
        <f>IFERROR(__xludf.DUMMYFUNCTION("""COMPUTED_VALUE"""),2.469281010318253)</f>
        <v>2.46928101</v>
      </c>
      <c r="Y2705" s="82">
        <f>IFERROR(__xludf.DUMMYFUNCTION("""COMPUTED_VALUE"""),336.40714188829475)</f>
        <v>336.4071419</v>
      </c>
      <c r="Z2705" s="82">
        <f>IFERROR(__xludf.DUMMYFUNCTION("""COMPUTED_VALUE"""),0.808506389576078)</f>
        <v>0.8085063896</v>
      </c>
      <c r="AA2705" s="82">
        <f>IFERROR(__xludf.DUMMYFUNCTION("""COMPUTED_VALUE"""),0.523757404059358)</f>
        <v>0.5237574041</v>
      </c>
      <c r="AB2705" s="82">
        <f>IFERROR(__xludf.DUMMYFUNCTION("""COMPUTED_VALUE"""),1.2580148985271742)</f>
        <v>1.258014899</v>
      </c>
      <c r="AC2705" s="82">
        <f>IFERROR(__xludf.DUMMYFUNCTION("""COMPUTED_VALUE"""),2.3645145497251416)</f>
        <v>2.36451455</v>
      </c>
      <c r="AD2705" s="82">
        <f>IFERROR(__xludf.DUMMYFUNCTION("""COMPUTED_VALUE"""),1.1588450465461553)</f>
        <v>1.158845047</v>
      </c>
      <c r="AE2705" s="82">
        <f>IFERROR(__xludf.DUMMYFUNCTION("""COMPUTED_VALUE"""),1.4687577183188851)</f>
        <v>1.468757718</v>
      </c>
      <c r="AF2705" s="82">
        <f>IFERROR(__xludf.DUMMYFUNCTION("""COMPUTED_VALUE"""),1.073970497868611)</f>
        <v>1.073970498</v>
      </c>
      <c r="AG2705" s="82">
        <f>IFERROR(__xludf.DUMMYFUNCTION("""COMPUTED_VALUE"""),0.9439474853519384)</f>
        <v>0.9439474854</v>
      </c>
      <c r="AH2705" s="82">
        <f>IFERROR(__xludf.DUMMYFUNCTION("""COMPUTED_VALUE"""),1.1498131827169495)</f>
        <v>1.149813183</v>
      </c>
      <c r="AI2705" s="82">
        <f>IFERROR(__xludf.DUMMYFUNCTION("""COMPUTED_VALUE"""),0.9535573509101887)</f>
        <v>0.9535573509</v>
      </c>
      <c r="AJ2705" s="82">
        <f>IFERROR(__xludf.DUMMYFUNCTION("""COMPUTED_VALUE"""),0.8552181803914078)</f>
        <v>0.8552181804</v>
      </c>
      <c r="AK2705" s="82">
        <f>IFERROR(__xludf.DUMMYFUNCTION("""COMPUTED_VALUE"""),0.8743897204137715)</f>
        <v>0.8743897204</v>
      </c>
      <c r="AL2705" s="82">
        <f>IFERROR(__xludf.DUMMYFUNCTION("""COMPUTED_VALUE"""),0.9833725232014106)</f>
        <v>0.9833725232</v>
      </c>
      <c r="AM2705" s="82">
        <f>IFERROR(__xludf.DUMMYFUNCTION("""COMPUTED_VALUE"""),0.9533814324207885)</f>
        <v>0.9533814324</v>
      </c>
      <c r="AN2705" s="82">
        <f>IFERROR(__xludf.DUMMYFUNCTION("""COMPUTED_VALUE"""),1.2041825531230246)</f>
        <v>1.204182553</v>
      </c>
      <c r="AO2705" s="82">
        <f>IFERROR(__xludf.DUMMYFUNCTION("""COMPUTED_VALUE"""),1.6100089827632116)</f>
        <v>1.610008983</v>
      </c>
      <c r="AP2705" s="82">
        <f>IFERROR(__xludf.DUMMYFUNCTION("""COMPUTED_VALUE"""),1.1400146344334618)</f>
        <v>1.140014634</v>
      </c>
      <c r="AQ2705" s="82">
        <f>IFERROR(__xludf.DUMMYFUNCTION("""COMPUTED_VALUE"""),0.9845732956382409)</f>
        <v>0.9845732956</v>
      </c>
      <c r="AR2705" s="82">
        <f>IFERROR(__xludf.DUMMYFUNCTION("""COMPUTED_VALUE"""),1.1542519303029233)</f>
        <v>1.15425193</v>
      </c>
      <c r="AS2705" s="82">
        <f>IFERROR(__xludf.DUMMYFUNCTION("""COMPUTED_VALUE"""),89.0)</f>
        <v>89</v>
      </c>
      <c r="AT2705" s="82">
        <f>IFERROR(__xludf.DUMMYFUNCTION("""COMPUTED_VALUE"""),0.643031021047631)</f>
        <v>0.643031021</v>
      </c>
      <c r="AU2705" s="82">
        <f>IFERROR(__xludf.DUMMYFUNCTION("""COMPUTED_VALUE"""),3.0768971354810524)</f>
        <v>3.076897135</v>
      </c>
      <c r="AV2705" s="82">
        <f>IFERROR(__xludf.DUMMYFUNCTION("""COMPUTED_VALUE"""),85.50033750212225)</f>
        <v>85.5003375</v>
      </c>
      <c r="AW2705" s="82">
        <f t="shared" si="1"/>
        <v>12.8531606</v>
      </c>
      <c r="AX2705" s="83">
        <f t="array" ref="AX2705">IFERROR(DGET('SBV Import'!A:G,"SBV",{"RSC ID","Tier";B2705,A2705}))</f>
        <v>67.15807421</v>
      </c>
      <c r="AY2705" s="82">
        <f t="shared" si="2"/>
        <v>4.060835637</v>
      </c>
      <c r="AZ2705" s="82">
        <v>8.792324966562457</v>
      </c>
      <c r="BA2705" s="84">
        <v>2700.0</v>
      </c>
      <c r="BB2705" s="84" t="b">
        <f>IFERROR(__xludf.DUMMYFUNCTION("iferror(if(A2705="""",,E2705&gt;=FILTER(Constants!$F$2:$F$10,Constants!$A$2:$A$10=A2705)))"),TRUE)</f>
        <v>1</v>
      </c>
    </row>
    <row r="2706">
      <c r="A2706" s="89" t="str">
        <f>IFERROR(__xludf.DUMMYFUNCTION("""COMPUTED_VALUE"""),"Prospect")</f>
        <v>Prospect</v>
      </c>
      <c r="B2706" s="87" t="str">
        <f>IFERROR(__xludf.DUMMYFUNCTION("""COMPUTED_VALUE"""),"RSC000221")</f>
        <v>RSC000221</v>
      </c>
      <c r="C2706" s="73" t="str">
        <f>IFERROR(__xludf.DUMMYFUNCTION("""COMPUTED_VALUE"""),"Treefrog")</f>
        <v>Treefrog</v>
      </c>
      <c r="D2706" s="73" t="str">
        <f>IFERROR(__xludf.DUMMYFUNCTION("""COMPUTED_VALUE"""),"Dime")</f>
        <v>Dime</v>
      </c>
      <c r="E2706" s="82">
        <f>IFERROR(__xludf.DUMMYFUNCTION("""COMPUTED_VALUE"""),31.0)</f>
        <v>31</v>
      </c>
      <c r="F2706" s="82">
        <f>IFERROR(__xludf.DUMMYFUNCTION("""COMPUTED_VALUE"""),19.0)</f>
        <v>19</v>
      </c>
      <c r="G2706" s="86">
        <f>IFERROR(__xludf.DUMMYFUNCTION("""COMPUTED_VALUE"""),12.0)</f>
        <v>12</v>
      </c>
      <c r="H2706" s="86">
        <f>IFERROR(__xludf.DUMMYFUNCTION("""COMPUTED_VALUE"""),0.6129032258064516)</f>
        <v>0.6129032258</v>
      </c>
      <c r="I2706" s="86">
        <f>IFERROR(__xludf.DUMMYFUNCTION("""COMPUTED_VALUE"""),0.3255813953488372)</f>
        <v>0.3255813953</v>
      </c>
      <c r="J2706" s="82">
        <f>IFERROR(__xludf.DUMMYFUNCTION("""COMPUTED_VALUE"""),348.3225806451613)</f>
        <v>348.3225806</v>
      </c>
      <c r="K2706" s="82">
        <f>IFERROR(__xludf.DUMMYFUNCTION("""COMPUTED_VALUE"""),0.9032258064516129)</f>
        <v>0.9032258065</v>
      </c>
      <c r="L2706" s="82">
        <f>IFERROR(__xludf.DUMMYFUNCTION("""COMPUTED_VALUE"""),0.7741935483870968)</f>
        <v>0.7741935484</v>
      </c>
      <c r="M2706" s="82">
        <f>IFERROR(__xludf.DUMMYFUNCTION("""COMPUTED_VALUE"""),0.9354838709677419)</f>
        <v>0.935483871</v>
      </c>
      <c r="N2706" s="82">
        <f>IFERROR(__xludf.DUMMYFUNCTION("""COMPUTED_VALUE"""),2.774193548387097)</f>
        <v>2.774193548</v>
      </c>
      <c r="O2706" s="82">
        <f>IFERROR(__xludf.DUMMYFUNCTION("""COMPUTED_VALUE"""),315.4623655913979)</f>
        <v>315.4623656</v>
      </c>
      <c r="P2706" s="82">
        <f>IFERROR(__xludf.DUMMYFUNCTION("""COMPUTED_VALUE"""),0.6774193548387095)</f>
        <v>0.6774193548</v>
      </c>
      <c r="Q2706" s="82">
        <f>IFERROR(__xludf.DUMMYFUNCTION("""COMPUTED_VALUE"""),0.4301075268817205)</f>
        <v>0.4301075269</v>
      </c>
      <c r="R2706" s="82">
        <f>IFERROR(__xludf.DUMMYFUNCTION("""COMPUTED_VALUE"""),1.3440860215053763)</f>
        <v>1.344086022</v>
      </c>
      <c r="S2706" s="82">
        <f>IFERROR(__xludf.DUMMYFUNCTION("""COMPUTED_VALUE"""),2.0537634408602155)</f>
        <v>2.053763441</v>
      </c>
      <c r="T2706" s="82">
        <f>IFERROR(__xludf.DUMMYFUNCTION("""COMPUTED_VALUE"""),330.8602519962225)</f>
        <v>330.860252</v>
      </c>
      <c r="U2706" s="82">
        <f>IFERROR(__xludf.DUMMYFUNCTION("""COMPUTED_VALUE"""),0.7825729502556424)</f>
        <v>0.7825729503</v>
      </c>
      <c r="V2706" s="82">
        <f>IFERROR(__xludf.DUMMYFUNCTION("""COMPUTED_VALUE"""),0.5101826555009061)</f>
        <v>0.5101826555</v>
      </c>
      <c r="W2706" s="82">
        <f>IFERROR(__xludf.DUMMYFUNCTION("""COMPUTED_VALUE"""),1.2088172247566518)</f>
        <v>1.208817225</v>
      </c>
      <c r="X2706" s="82">
        <f>IFERROR(__xludf.DUMMYFUNCTION("""COMPUTED_VALUE"""),2.468810259339144)</f>
        <v>2.468810259</v>
      </c>
      <c r="Y2706" s="82">
        <f>IFERROR(__xludf.DUMMYFUNCTION("""COMPUTED_VALUE"""),338.3628660185497)</f>
        <v>338.362866</v>
      </c>
      <c r="Z2706" s="82">
        <f>IFERROR(__xludf.DUMMYFUNCTION("""COMPUTED_VALUE"""),0.7845273205371025)</f>
        <v>0.7845273205</v>
      </c>
      <c r="AA2706" s="82">
        <f>IFERROR(__xludf.DUMMYFUNCTION("""COMPUTED_VALUE"""),0.5316076980112648)</f>
        <v>0.531607698</v>
      </c>
      <c r="AB2706" s="82">
        <f>IFERROR(__xludf.DUMMYFUNCTION("""COMPUTED_VALUE"""),1.2474015127778704)</f>
        <v>1.247401513</v>
      </c>
      <c r="AC2706" s="82">
        <f>IFERROR(__xludf.DUMMYFUNCTION("""COMPUTED_VALUE"""),2.5162267783362955)</f>
        <v>2.516226778</v>
      </c>
      <c r="AD2706" s="82">
        <f>IFERROR(__xludf.DUMMYFUNCTION("""COMPUTED_VALUE"""),1.0294350108326176)</f>
        <v>1.029435011</v>
      </c>
      <c r="AE2706" s="82">
        <f>IFERROR(__xludf.DUMMYFUNCTION("""COMPUTED_VALUE"""),1.1512993656272508)</f>
        <v>1.151299366</v>
      </c>
      <c r="AF2706" s="82">
        <f>IFERROR(__xludf.DUMMYFUNCTION("""COMPUTED_VALUE"""),1.4563249390167625)</f>
        <v>1.456324939</v>
      </c>
      <c r="AG2706" s="82">
        <f>IFERROR(__xludf.DUMMYFUNCTION("""COMPUTED_VALUE"""),0.7499460770129169)</f>
        <v>0.749946077</v>
      </c>
      <c r="AH2706" s="82">
        <f>IFERROR(__xludf.DUMMYFUNCTION("""COMPUTED_VALUE"""),1.1025212720378752)</f>
        <v>1.102521272</v>
      </c>
      <c r="AI2706" s="82">
        <f>IFERROR(__xludf.DUMMYFUNCTION("""COMPUTED_VALUE"""),0.9534610570114648)</f>
        <v>0.953461057</v>
      </c>
      <c r="AJ2706" s="82">
        <f>IFERROR(__xludf.DUMMYFUNCTION("""COMPUTED_VALUE"""),0.8656309352596682)</f>
        <v>0.8656309353</v>
      </c>
      <c r="AK2706" s="82">
        <f>IFERROR(__xludf.DUMMYFUNCTION("""COMPUTED_VALUE"""),0.8430461565954913)</f>
        <v>0.8430461566</v>
      </c>
      <c r="AL2706" s="82">
        <f>IFERROR(__xludf.DUMMYFUNCTION("""COMPUTED_VALUE"""),1.1119017780177276)</f>
        <v>1.111901778</v>
      </c>
      <c r="AM2706" s="82">
        <f>IFERROR(__xludf.DUMMYFUNCTION("""COMPUTED_VALUE"""),0.8318838732507419)</f>
        <v>0.8318838733</v>
      </c>
      <c r="AN2706" s="82">
        <f>IFERROR(__xludf.DUMMYFUNCTION("""COMPUTED_VALUE"""),1.07592843151055)</f>
        <v>1.075928432</v>
      </c>
      <c r="AO2706" s="82">
        <f>IFERROR(__xludf.DUMMYFUNCTION("""COMPUTED_VALUE"""),1.2245908731373834)</f>
        <v>1.224590873</v>
      </c>
      <c r="AP2706" s="82">
        <f>IFERROR(__xludf.DUMMYFUNCTION("""COMPUTED_VALUE"""),1.5690524000804635)</f>
        <v>1.5690524</v>
      </c>
      <c r="AQ2706" s="82">
        <f>IFERROR(__xludf.DUMMYFUNCTION("""COMPUTED_VALUE"""),0.7756231055622135)</f>
        <v>0.7756231056</v>
      </c>
      <c r="AR2706" s="82">
        <f>IFERROR(__xludf.DUMMYFUNCTION("""COMPUTED_VALUE"""),1.1777906237277143)</f>
        <v>1.177790624</v>
      </c>
      <c r="AS2706" s="82">
        <f>IFERROR(__xludf.DUMMYFUNCTION("""COMPUTED_VALUE"""),85.0)</f>
        <v>85</v>
      </c>
      <c r="AT2706" s="82">
        <f>IFERROR(__xludf.DUMMYFUNCTION("""COMPUTED_VALUE"""),0.6151706317189368)</f>
        <v>0.6151706317</v>
      </c>
      <c r="AU2706" s="82">
        <f>IFERROR(__xludf.DUMMYFUNCTION("""COMPUTED_VALUE"""),2.902956835400887)</f>
        <v>2.902956835</v>
      </c>
      <c r="AV2706" s="82">
        <f>IFERROR(__xludf.DUMMYFUNCTION("""COMPUTED_VALUE"""),79.9669147967065)</f>
        <v>79.9669148</v>
      </c>
      <c r="AW2706" s="82">
        <f t="shared" si="1"/>
        <v>8.671006781</v>
      </c>
      <c r="AX2706" s="83">
        <f t="array" ref="AX2706">IFERROR(DGET('SBV Import'!A:G,"SBV",{"RSC ID","Tier";B2706,A2706}))</f>
        <v>63.46337311</v>
      </c>
      <c r="AY2706" s="82">
        <f t="shared" si="2"/>
        <v>3.388637015</v>
      </c>
      <c r="AZ2706" s="82">
        <v>5.282369765972362</v>
      </c>
      <c r="BA2706" s="84">
        <v>2700.0</v>
      </c>
      <c r="BB2706" s="84" t="b">
        <f>IFERROR(__xludf.DUMMYFUNCTION("iferror(if(A2706="""",,E2706&gt;=FILTER(Constants!$F$2:$F$10,Constants!$A$2:$A$10=A2706)))"),TRUE)</f>
        <v>1</v>
      </c>
    </row>
    <row r="2707">
      <c r="A2707" s="89" t="str">
        <f>IFERROR(__xludf.DUMMYFUNCTION("""COMPUTED_VALUE"""),"Prospect")</f>
        <v>Prospect</v>
      </c>
      <c r="B2707" s="87" t="str">
        <f>IFERROR(__xludf.DUMMYFUNCTION("""COMPUTED_VALUE"""),"RSC006934")</f>
        <v>RSC006934</v>
      </c>
      <c r="C2707" s="73" t="str">
        <f>IFERROR(__xludf.DUMMYFUNCTION("""COMPUTED_VALUE"""),"TPM_CheezeTV")</f>
        <v>TPM_CheezeTV</v>
      </c>
      <c r="D2707" s="73" t="str">
        <f>IFERROR(__xludf.DUMMYFUNCTION("""COMPUTED_VALUE"""),"Gloom")</f>
        <v>Gloom</v>
      </c>
      <c r="E2707" s="82">
        <f>IFERROR(__xludf.DUMMYFUNCTION("""COMPUTED_VALUE"""),6.0)</f>
        <v>6</v>
      </c>
      <c r="F2707" s="82">
        <f>IFERROR(__xludf.DUMMYFUNCTION("""COMPUTED_VALUE"""),5.0)</f>
        <v>5</v>
      </c>
      <c r="G2707" s="86">
        <f>IFERROR(__xludf.DUMMYFUNCTION("""COMPUTED_VALUE"""),1.0)</f>
        <v>1</v>
      </c>
      <c r="H2707" s="86">
        <f>IFERROR(__xludf.DUMMYFUNCTION("""COMPUTED_VALUE"""),0.8333333333333334)</f>
        <v>0.8333333333</v>
      </c>
      <c r="I2707" s="86">
        <f>IFERROR(__xludf.DUMMYFUNCTION("""COMPUTED_VALUE"""),0.5384615384615385)</f>
        <v>0.5384615385</v>
      </c>
      <c r="J2707" s="82">
        <f>IFERROR(__xludf.DUMMYFUNCTION("""COMPUTED_VALUE"""),398.8333333333333)</f>
        <v>398.8333333</v>
      </c>
      <c r="K2707" s="82">
        <f>IFERROR(__xludf.DUMMYFUNCTION("""COMPUTED_VALUE"""),1.1666666666666667)</f>
        <v>1.166666667</v>
      </c>
      <c r="L2707" s="82">
        <f>IFERROR(__xludf.DUMMYFUNCTION("""COMPUTED_VALUE"""),0.5)</f>
        <v>0.5</v>
      </c>
      <c r="M2707" s="82">
        <f>IFERROR(__xludf.DUMMYFUNCTION("""COMPUTED_VALUE"""),1.8333333333333333)</f>
        <v>1.833333333</v>
      </c>
      <c r="N2707" s="82">
        <f>IFERROR(__xludf.DUMMYFUNCTION("""COMPUTED_VALUE"""),2.1666666666666665)</f>
        <v>2.166666667</v>
      </c>
      <c r="O2707" s="82">
        <f>IFERROR(__xludf.DUMMYFUNCTION("""COMPUTED_VALUE"""),275.05555555555554)</f>
        <v>275.0555556</v>
      </c>
      <c r="P2707" s="82">
        <f>IFERROR(__xludf.DUMMYFUNCTION("""COMPUTED_VALUE"""),0.611111111111111)</f>
        <v>0.6111111111</v>
      </c>
      <c r="Q2707" s="82">
        <f>IFERROR(__xludf.DUMMYFUNCTION("""COMPUTED_VALUE"""),0.3333333333333333)</f>
        <v>0.3333333333</v>
      </c>
      <c r="R2707" s="82">
        <f>IFERROR(__xludf.DUMMYFUNCTION("""COMPUTED_VALUE"""),1.0555555555555556)</f>
        <v>1.055555556</v>
      </c>
      <c r="S2707" s="82">
        <f>IFERROR(__xludf.DUMMYFUNCTION("""COMPUTED_VALUE"""),3.0)</f>
        <v>3</v>
      </c>
      <c r="T2707" s="82">
        <f>IFERROR(__xludf.DUMMYFUNCTION("""COMPUTED_VALUE"""),354.1812942203492)</f>
        <v>354.1812942</v>
      </c>
      <c r="U2707" s="82">
        <f>IFERROR(__xludf.DUMMYFUNCTION("""COMPUTED_VALUE"""),0.9066045198304661)</f>
        <v>0.9066045198</v>
      </c>
      <c r="V2707" s="82">
        <f>IFERROR(__xludf.DUMMYFUNCTION("""COMPUTED_VALUE"""),0.531081587648196)</f>
        <v>0.5310815876</v>
      </c>
      <c r="W2707" s="82">
        <f>IFERROR(__xludf.DUMMYFUNCTION("""COMPUTED_VALUE"""),1.2717750466624997)</f>
        <v>1.271775047</v>
      </c>
      <c r="X2707" s="82">
        <f>IFERROR(__xludf.DUMMYFUNCTION("""COMPUTED_VALUE"""),2.6581018585512983)</f>
        <v>2.658101859</v>
      </c>
      <c r="Y2707" s="82">
        <f>IFERROR(__xludf.DUMMYFUNCTION("""COMPUTED_VALUE"""),343.103182194322)</f>
        <v>343.1031822</v>
      </c>
      <c r="Z2707" s="82">
        <f>IFERROR(__xludf.DUMMYFUNCTION("""COMPUTED_VALUE"""),0.8138310461368747)</f>
        <v>0.8138310461</v>
      </c>
      <c r="AA2707" s="82">
        <f>IFERROR(__xludf.DUMMYFUNCTION("""COMPUTED_VALUE"""),0.5220152250897628)</f>
        <v>0.5220152251</v>
      </c>
      <c r="AB2707" s="82">
        <f>IFERROR(__xludf.DUMMYFUNCTION("""COMPUTED_VALUE"""),1.2357165934413257)</f>
        <v>1.235716593</v>
      </c>
      <c r="AC2707" s="82">
        <f>IFERROR(__xludf.DUMMYFUNCTION("""COMPUTED_VALUE"""),2.564511501882066)</f>
        <v>2.564511502</v>
      </c>
      <c r="AD2707" s="82">
        <f>IFERROR(__xludf.DUMMYFUNCTION("""COMPUTED_VALUE"""),1.162429712200826)</f>
        <v>1.162429712</v>
      </c>
      <c r="AE2707" s="82">
        <f>IFERROR(__xludf.DUMMYFUNCTION("""COMPUTED_VALUE"""),1.4335489807185975)</f>
        <v>1.433548981</v>
      </c>
      <c r="AF2707" s="82">
        <f>IFERROR(__xludf.DUMMYFUNCTION("""COMPUTED_VALUE"""),0.9578264693602045)</f>
        <v>0.9578264694</v>
      </c>
      <c r="AG2707" s="82">
        <f>IFERROR(__xludf.DUMMYFUNCTION("""COMPUTED_VALUE"""),1.4836195799780556)</f>
        <v>1.48361958</v>
      </c>
      <c r="AH2707" s="82">
        <f>IFERROR(__xludf.DUMMYFUNCTION("""COMPUTED_VALUE"""),0.8448652560445037)</f>
        <v>0.844865256</v>
      </c>
      <c r="AI2707" s="82">
        <f>IFERROR(__xludf.DUMMYFUNCTION("""COMPUTED_VALUE"""),0.7765953765599868)</f>
        <v>0.7765953766</v>
      </c>
      <c r="AJ2707" s="82">
        <f>IFERROR(__xludf.DUMMYFUNCTION("""COMPUTED_VALUE"""),0.6740658112154438)</f>
        <v>0.6740658112</v>
      </c>
      <c r="AK2707" s="82">
        <f>IFERROR(__xludf.DUMMYFUNCTION("""COMPUTED_VALUE"""),0.6276499526361721)</f>
        <v>0.6276499526</v>
      </c>
      <c r="AL2707" s="82">
        <f>IFERROR(__xludf.DUMMYFUNCTION("""COMPUTED_VALUE"""),0.8299860563592864)</f>
        <v>0.8299860564</v>
      </c>
      <c r="AM2707" s="82">
        <f>IFERROR(__xludf.DUMMYFUNCTION("""COMPUTED_VALUE"""),1.1286249209558286)</f>
        <v>1.128624921</v>
      </c>
      <c r="AN2707" s="82">
        <f>IFERROR(__xludf.DUMMYFUNCTION("""COMPUTED_VALUE"""),1.2319503431923677)</f>
        <v>1.231950343</v>
      </c>
      <c r="AO2707" s="82">
        <f>IFERROR(__xludf.DUMMYFUNCTION("""COMPUTED_VALUE"""),1.5817632111357869)</f>
        <v>1.581763211</v>
      </c>
      <c r="AP2707" s="82">
        <f>IFERROR(__xludf.DUMMYFUNCTION("""COMPUTED_VALUE"""),1.0133463417186328)</f>
        <v>1.013346342</v>
      </c>
      <c r="AQ2707" s="82">
        <f>IFERROR(__xludf.DUMMYFUNCTION("""COMPUTED_VALUE"""),1.5200429827397404)</f>
        <v>1.520042983</v>
      </c>
      <c r="AR2707" s="82">
        <f>IFERROR(__xludf.DUMMYFUNCTION("""COMPUTED_VALUE"""),0.9198636072912185)</f>
        <v>0.9198636073</v>
      </c>
      <c r="AS2707" s="82">
        <f>IFERROR(__xludf.DUMMYFUNCTION("""COMPUTED_VALUE"""),20.0)</f>
        <v>20</v>
      </c>
      <c r="AT2707" s="82">
        <f>IFERROR(__xludf.DUMMYFUNCTION("""COMPUTED_VALUE"""),0.7226808272582861)</f>
        <v>0.7226808273</v>
      </c>
      <c r="AU2707" s="82">
        <f>IFERROR(__xludf.DUMMYFUNCTION("""COMPUTED_VALUE"""),2.8883996128042604)</f>
        <v>2.888399613</v>
      </c>
      <c r="AV2707" s="82">
        <f>IFERROR(__xludf.DUMMYFUNCTION("""COMPUTED_VALUE"""),79.50381759607595)</f>
        <v>79.5038176</v>
      </c>
      <c r="AW2707" s="82">
        <f t="shared" si="1"/>
        <v>8.405498529</v>
      </c>
      <c r="AX2707" s="83">
        <f t="array" ref="AX2707">IFERROR(DGET('SBV Import'!A:G,"SBV",{"RSC ID","Tier";B2707,A2707}))</f>
        <v>43.85999376</v>
      </c>
      <c r="AY2707" s="82">
        <f t="shared" si="2"/>
        <v>-2.481415143</v>
      </c>
      <c r="AZ2707" s="82">
        <v>10.886913672117851</v>
      </c>
      <c r="BA2707" s="84">
        <v>2700.0</v>
      </c>
      <c r="BB2707" s="84" t="b">
        <f>IFERROR(__xludf.DUMMYFUNCTION("iferror(if(A2707="""",,E2707&gt;=FILTER(Constants!$F$2:$F$10,Constants!$A$2:$A$10=A2707)))"),TRUE)</f>
        <v>1</v>
      </c>
    </row>
    <row r="2708">
      <c r="A2708" s="89" t="str">
        <f>IFERROR(__xludf.DUMMYFUNCTION("""COMPUTED_VALUE"""),"Prospect")</f>
        <v>Prospect</v>
      </c>
      <c r="B2708" s="87" t="str">
        <f>IFERROR(__xludf.DUMMYFUNCTION("""COMPUTED_VALUE"""),"RSC005603")</f>
        <v>RSC005603</v>
      </c>
      <c r="C2708" s="73" t="str">
        <f>IFERROR(__xludf.DUMMYFUNCTION("""COMPUTED_VALUE"""),"Aiden_23-")</f>
        <v>Aiden_23-</v>
      </c>
      <c r="D2708" s="73" t="str">
        <f>IFERROR(__xludf.DUMMYFUNCTION("""COMPUTED_VALUE"""),"Emus")</f>
        <v>Emus</v>
      </c>
      <c r="E2708" s="82">
        <f>IFERROR(__xludf.DUMMYFUNCTION("""COMPUTED_VALUE"""),35.0)</f>
        <v>35</v>
      </c>
      <c r="F2708" s="82">
        <f>IFERROR(__xludf.DUMMYFUNCTION("""COMPUTED_VALUE"""),19.0)</f>
        <v>19</v>
      </c>
      <c r="G2708" s="86">
        <f>IFERROR(__xludf.DUMMYFUNCTION("""COMPUTED_VALUE"""),16.0)</f>
        <v>16</v>
      </c>
      <c r="H2708" s="86">
        <f>IFERROR(__xludf.DUMMYFUNCTION("""COMPUTED_VALUE"""),0.5428571428571428)</f>
        <v>0.5428571429</v>
      </c>
      <c r="I2708" s="86">
        <f>IFERROR(__xludf.DUMMYFUNCTION("""COMPUTED_VALUE"""),0.3090909090909091)</f>
        <v>0.3090909091</v>
      </c>
      <c r="J2708" s="82">
        <f>IFERROR(__xludf.DUMMYFUNCTION("""COMPUTED_VALUE"""),362.42857142857144)</f>
        <v>362.4285714</v>
      </c>
      <c r="K2708" s="82">
        <f>IFERROR(__xludf.DUMMYFUNCTION("""COMPUTED_VALUE"""),0.9714285714285714)</f>
        <v>0.9714285714</v>
      </c>
      <c r="L2708" s="82">
        <f>IFERROR(__xludf.DUMMYFUNCTION("""COMPUTED_VALUE"""),0.6)</f>
        <v>0.6</v>
      </c>
      <c r="M2708" s="82">
        <f>IFERROR(__xludf.DUMMYFUNCTION("""COMPUTED_VALUE"""),1.0)</f>
        <v>1</v>
      </c>
      <c r="N2708" s="82">
        <f>IFERROR(__xludf.DUMMYFUNCTION("""COMPUTED_VALUE"""),3.142857142857143)</f>
        <v>3.142857143</v>
      </c>
      <c r="O2708" s="82">
        <f>IFERROR(__xludf.DUMMYFUNCTION("""COMPUTED_VALUE"""),340.9142857142857)</f>
        <v>340.9142857</v>
      </c>
      <c r="P2708" s="82">
        <f>IFERROR(__xludf.DUMMYFUNCTION("""COMPUTED_VALUE"""),0.7714285714285715)</f>
        <v>0.7714285714</v>
      </c>
      <c r="Q2708" s="82">
        <f>IFERROR(__xludf.DUMMYFUNCTION("""COMPUTED_VALUE"""),0.4571428571428571)</f>
        <v>0.4571428571</v>
      </c>
      <c r="R2708" s="82">
        <f>IFERROR(__xludf.DUMMYFUNCTION("""COMPUTED_VALUE"""),1.4285714285714286)</f>
        <v>1.428571429</v>
      </c>
      <c r="S2708" s="82">
        <f>IFERROR(__xludf.DUMMYFUNCTION("""COMPUTED_VALUE"""),2.3904761904761913)</f>
        <v>2.39047619</v>
      </c>
      <c r="T2708" s="82">
        <f>IFERROR(__xludf.DUMMYFUNCTION("""COMPUTED_VALUE"""),339.9396865250134)</f>
        <v>339.9396865</v>
      </c>
      <c r="U2708" s="82">
        <f>IFERROR(__xludf.DUMMYFUNCTION("""COMPUTED_VALUE"""),0.8055409881514983)</f>
        <v>0.8055409882</v>
      </c>
      <c r="V2708" s="82">
        <f>IFERROR(__xludf.DUMMYFUNCTION("""COMPUTED_VALUE"""),0.512414120719861)</f>
        <v>0.5124141207</v>
      </c>
      <c r="W2708" s="82">
        <f>IFERROR(__xludf.DUMMYFUNCTION("""COMPUTED_VALUE"""),1.242538661582509)</f>
        <v>1.242538662</v>
      </c>
      <c r="X2708" s="82">
        <f>IFERROR(__xludf.DUMMYFUNCTION("""COMPUTED_VALUE"""),2.491300572499391)</f>
        <v>2.491300572</v>
      </c>
      <c r="Y2708" s="82">
        <f>IFERROR(__xludf.DUMMYFUNCTION("""COMPUTED_VALUE"""),333.2645004301388)</f>
        <v>333.2645004</v>
      </c>
      <c r="Z2708" s="82">
        <f>IFERROR(__xludf.DUMMYFUNCTION("""COMPUTED_VALUE"""),0.7789050907342601)</f>
        <v>0.7789050907</v>
      </c>
      <c r="AA2708" s="82">
        <f>IFERROR(__xludf.DUMMYFUNCTION("""COMPUTED_VALUE"""),0.5302786316607659)</f>
        <v>0.5302786317</v>
      </c>
      <c r="AB2708" s="82">
        <f>IFERROR(__xludf.DUMMYFUNCTION("""COMPUTED_VALUE"""),1.206092507360063)</f>
        <v>1.206092507</v>
      </c>
      <c r="AC2708" s="82">
        <f>IFERROR(__xludf.DUMMYFUNCTION("""COMPUTED_VALUE"""),2.429476249067396)</f>
        <v>2.429476249</v>
      </c>
      <c r="AD2708" s="82">
        <f>IFERROR(__xludf.DUMMYFUNCTION("""COMPUTED_VALUE"""),1.0875102837559687)</f>
        <v>1.087510284</v>
      </c>
      <c r="AE2708" s="82">
        <f>IFERROR(__xludf.DUMMYFUNCTION("""COMPUTED_VALUE"""),1.2471719378709194)</f>
        <v>1.247171938</v>
      </c>
      <c r="AF2708" s="82">
        <f>IFERROR(__xludf.DUMMYFUNCTION("""COMPUTED_VALUE"""),1.1314806295718074)</f>
        <v>1.13148063</v>
      </c>
      <c r="AG2708" s="82">
        <f>IFERROR(__xludf.DUMMYFUNCTION("""COMPUTED_VALUE"""),0.8291237976337608)</f>
        <v>0.8291237976</v>
      </c>
      <c r="AH2708" s="82">
        <f>IFERROR(__xludf.DUMMYFUNCTION("""COMPUTED_VALUE"""),1.2936356731470797)</f>
        <v>1.293635673</v>
      </c>
      <c r="AI2708" s="82">
        <f>IFERROR(__xludf.DUMMYFUNCTION("""COMPUTED_VALUE"""),1.0028669767841318)</f>
        <v>1.002866977</v>
      </c>
      <c r="AJ2708" s="82">
        <f>IFERROR(__xludf.DUMMYFUNCTION("""COMPUTED_VALUE"""),0.9576527858610823)</f>
        <v>0.9576527859</v>
      </c>
      <c r="AK2708" s="82">
        <f>IFERROR(__xludf.DUMMYFUNCTION("""COMPUTED_VALUE"""),0.8921355572727845)</f>
        <v>0.8921355573</v>
      </c>
      <c r="AL2708" s="82">
        <f>IFERROR(__xludf.DUMMYFUNCTION("""COMPUTED_VALUE"""),1.1497199022781204)</f>
        <v>1.149719902</v>
      </c>
      <c r="AM2708" s="82">
        <f>IFERROR(__xludf.DUMMYFUNCTION("""COMPUTED_VALUE"""),0.9595294188360227)</f>
        <v>0.9595294188</v>
      </c>
      <c r="AN2708" s="82">
        <f>IFERROR(__xludf.DUMMYFUNCTION("""COMPUTED_VALUE"""),1.1195002163497239)</f>
        <v>1.119500216</v>
      </c>
      <c r="AO2708" s="82">
        <f>IFERROR(__xludf.DUMMYFUNCTION("""COMPUTED_VALUE"""),1.3170599798844917)</f>
        <v>1.31705998</v>
      </c>
      <c r="AP2708" s="82">
        <f>IFERROR(__xludf.DUMMYFUNCTION("""COMPUTED_VALUE"""),1.2160156100623594)</f>
        <v>1.21601561</v>
      </c>
      <c r="AQ2708" s="82">
        <f>IFERROR(__xludf.DUMMYFUNCTION("""COMPUTED_VALUE"""),0.8291143542216766)</f>
        <v>0.8291143542</v>
      </c>
      <c r="AR2708" s="82">
        <f>IFERROR(__xludf.DUMMYFUNCTION("""COMPUTED_VALUE"""),1.3343076501367126)</f>
        <v>1.33430765</v>
      </c>
      <c r="AS2708" s="82">
        <f>IFERROR(__xludf.DUMMYFUNCTION("""COMPUTED_VALUE"""),83.0)</f>
        <v>83</v>
      </c>
      <c r="AT2708" s="82">
        <f>IFERROR(__xludf.DUMMYFUNCTION("""COMPUTED_VALUE"""),0.5094981295940921)</f>
        <v>0.5094981296</v>
      </c>
      <c r="AU2708" s="82">
        <f>IFERROR(__xludf.DUMMYFUNCTION("""COMPUTED_VALUE"""),2.8780227989936282)</f>
        <v>2.878022799</v>
      </c>
      <c r="AV2708" s="82">
        <f>IFERROR(__xludf.DUMMYFUNCTION("""COMPUTED_VALUE"""),79.1737083739856)</f>
        <v>79.17370837</v>
      </c>
      <c r="AW2708" s="82">
        <f t="shared" si="1"/>
        <v>8.222628164</v>
      </c>
      <c r="AX2708" s="83">
        <f t="array" ref="AX2708">IFERROR(DGET('SBV Import'!A:G,"SBV",{"RSC ID","Tier";B2708,A2708}))</f>
        <v>61.03859205</v>
      </c>
      <c r="AY2708" s="82">
        <f t="shared" si="2"/>
        <v>3.035733105</v>
      </c>
      <c r="AZ2708" s="82">
        <v>5.18689505876503</v>
      </c>
      <c r="BA2708" s="84">
        <v>2700.0</v>
      </c>
      <c r="BB2708" s="84" t="b">
        <f>IFERROR(__xludf.DUMMYFUNCTION("iferror(if(A2708="""",,E2708&gt;=FILTER(Constants!$F$2:$F$10,Constants!$A$2:$A$10=A2708)))"),TRUE)</f>
        <v>1</v>
      </c>
    </row>
    <row r="2709">
      <c r="A2709" s="89" t="str">
        <f>IFERROR(__xludf.DUMMYFUNCTION("""COMPUTED_VALUE"""),"Prospect")</f>
        <v>Prospect</v>
      </c>
      <c r="B2709" s="87" t="str">
        <f>IFERROR(__xludf.DUMMYFUNCTION("""COMPUTED_VALUE"""),"RSC007518")</f>
        <v>RSC007518</v>
      </c>
      <c r="C2709" s="73" t="str">
        <f>IFERROR(__xludf.DUMMYFUNCTION("""COMPUTED_VALUE"""),"LoneDrifter.")</f>
        <v>LoneDrifter.</v>
      </c>
      <c r="D2709" s="73" t="str">
        <f>IFERROR(__xludf.DUMMYFUNCTION("""COMPUTED_VALUE"""),"Blacktips")</f>
        <v>Blacktips</v>
      </c>
      <c r="E2709" s="82">
        <f>IFERROR(__xludf.DUMMYFUNCTION("""COMPUTED_VALUE"""),36.0)</f>
        <v>36</v>
      </c>
      <c r="F2709" s="82">
        <f>IFERROR(__xludf.DUMMYFUNCTION("""COMPUTED_VALUE"""),24.0)</f>
        <v>24</v>
      </c>
      <c r="G2709" s="86">
        <f>IFERROR(__xludf.DUMMYFUNCTION("""COMPUTED_VALUE"""),12.0)</f>
        <v>12</v>
      </c>
      <c r="H2709" s="86">
        <f>IFERROR(__xludf.DUMMYFUNCTION("""COMPUTED_VALUE"""),0.6666666666666666)</f>
        <v>0.6666666667</v>
      </c>
      <c r="I2709" s="86">
        <f>IFERROR(__xludf.DUMMYFUNCTION("""COMPUTED_VALUE"""),0.3894736842105263)</f>
        <v>0.3894736842</v>
      </c>
      <c r="J2709" s="82">
        <f>IFERROR(__xludf.DUMMYFUNCTION("""COMPUTED_VALUE"""),370.30555555555554)</f>
        <v>370.3055556</v>
      </c>
      <c r="K2709" s="82">
        <f>IFERROR(__xludf.DUMMYFUNCTION("""COMPUTED_VALUE"""),1.0277777777777777)</f>
        <v>1.027777778</v>
      </c>
      <c r="L2709" s="82">
        <f>IFERROR(__xludf.DUMMYFUNCTION("""COMPUTED_VALUE"""),0.5833333333333334)</f>
        <v>0.5833333333</v>
      </c>
      <c r="M2709" s="82">
        <f>IFERROR(__xludf.DUMMYFUNCTION("""COMPUTED_VALUE"""),1.2222222222222223)</f>
        <v>1.222222222</v>
      </c>
      <c r="N2709" s="82">
        <f>IFERROR(__xludf.DUMMYFUNCTION("""COMPUTED_VALUE"""),2.638888888888889)</f>
        <v>2.638888889</v>
      </c>
      <c r="O2709" s="82">
        <f>IFERROR(__xludf.DUMMYFUNCTION("""COMPUTED_VALUE"""),312.7777777777778)</f>
        <v>312.7777778</v>
      </c>
      <c r="P2709" s="82">
        <f>IFERROR(__xludf.DUMMYFUNCTION("""COMPUTED_VALUE"""),0.6481481481481483)</f>
        <v>0.6481481481</v>
      </c>
      <c r="Q2709" s="82">
        <f>IFERROR(__xludf.DUMMYFUNCTION("""COMPUTED_VALUE"""),0.4722222222222222)</f>
        <v>0.4722222222</v>
      </c>
      <c r="R2709" s="82">
        <f>IFERROR(__xludf.DUMMYFUNCTION("""COMPUTED_VALUE"""),1.1388888888888886)</f>
        <v>1.138888889</v>
      </c>
      <c r="S2709" s="82">
        <f>IFERROR(__xludf.DUMMYFUNCTION("""COMPUTED_VALUE"""),2.1944444444444446)</f>
        <v>2.194444444</v>
      </c>
      <c r="T2709" s="82">
        <f>IFERROR(__xludf.DUMMYFUNCTION("""COMPUTED_VALUE"""),332.6429784736055)</f>
        <v>332.6429785</v>
      </c>
      <c r="U2709" s="82">
        <f>IFERROR(__xludf.DUMMYFUNCTION("""COMPUTED_VALUE"""),0.7445445976948115)</f>
        <v>0.7445445977</v>
      </c>
      <c r="V2709" s="82">
        <f>IFERROR(__xludf.DUMMYFUNCTION("""COMPUTED_VALUE"""),0.5216776865473066)</f>
        <v>0.5216776865</v>
      </c>
      <c r="W2709" s="82">
        <f>IFERROR(__xludf.DUMMYFUNCTION("""COMPUTED_VALUE"""),1.2407899109905254)</f>
        <v>1.240789911</v>
      </c>
      <c r="X2709" s="82">
        <f>IFERROR(__xludf.DUMMYFUNCTION("""COMPUTED_VALUE"""),2.416513036956415)</f>
        <v>2.416513037</v>
      </c>
      <c r="Y2709" s="82">
        <f>IFERROR(__xludf.DUMMYFUNCTION("""COMPUTED_VALUE"""),339.73029972575875)</f>
        <v>339.7302997</v>
      </c>
      <c r="Z2709" s="82">
        <f>IFERROR(__xludf.DUMMYFUNCTION("""COMPUTED_VALUE"""),0.7933218122930701)</f>
        <v>0.7933218123</v>
      </c>
      <c r="AA2709" s="82">
        <f>IFERROR(__xludf.DUMMYFUNCTION("""COMPUTED_VALUE"""),0.5348708579208551)</f>
        <v>0.5348708579</v>
      </c>
      <c r="AB2709" s="82">
        <f>IFERROR(__xludf.DUMMYFUNCTION("""COMPUTED_VALUE"""),1.223843680176057)</f>
        <v>1.22384368</v>
      </c>
      <c r="AC2709" s="82">
        <f>IFERROR(__xludf.DUMMYFUNCTION("""COMPUTED_VALUE"""),2.5145047248582855)</f>
        <v>2.514504725</v>
      </c>
      <c r="AD2709" s="82">
        <f>IFERROR(__xludf.DUMMYFUNCTION("""COMPUTED_VALUE"""),1.0899986131778006)</f>
        <v>1.089998613</v>
      </c>
      <c r="AE2709" s="82">
        <f>IFERROR(__xludf.DUMMYFUNCTION("""COMPUTED_VALUE"""),1.2955370214856698)</f>
        <v>1.295537021</v>
      </c>
      <c r="AF2709" s="82">
        <f>IFERROR(__xludf.DUMMYFUNCTION("""COMPUTED_VALUE"""),1.0906059372927162)</f>
        <v>1.090605937</v>
      </c>
      <c r="AG2709" s="82">
        <f>IFERROR(__xludf.DUMMYFUNCTION("""COMPUTED_VALUE"""),0.9986751102447974)</f>
        <v>0.9986751102</v>
      </c>
      <c r="AH2709" s="82">
        <f>IFERROR(__xludf.DUMMYFUNCTION("""COMPUTED_VALUE"""),1.0494666654633602)</f>
        <v>1.049466665</v>
      </c>
      <c r="AI2709" s="82">
        <f>IFERROR(__xludf.DUMMYFUNCTION("""COMPUTED_VALUE"""),0.940280715417524)</f>
        <v>0.9402807154</v>
      </c>
      <c r="AJ2709" s="82">
        <f>IFERROR(__xludf.DUMMYFUNCTION("""COMPUTED_VALUE"""),0.8705296501443744)</f>
        <v>0.8705296501</v>
      </c>
      <c r="AK2709" s="82">
        <f>IFERROR(__xludf.DUMMYFUNCTION("""COMPUTED_VALUE"""),0.905199195594501)</f>
        <v>0.9051991956</v>
      </c>
      <c r="AL2709" s="82">
        <f>IFERROR(__xludf.DUMMYFUNCTION("""COMPUTED_VALUE"""),0.9178740726378981)</f>
        <v>0.9178740726</v>
      </c>
      <c r="AM2709" s="82">
        <f>IFERROR(__xludf.DUMMYFUNCTION("""COMPUTED_VALUE"""),0.9081037059946242)</f>
        <v>0.908103706</v>
      </c>
      <c r="AN2709" s="82">
        <f>IFERROR(__xludf.DUMMYFUNCTION("""COMPUTED_VALUE"""),1.1438313153013968)</f>
        <v>1.143831315</v>
      </c>
      <c r="AO2709" s="82">
        <f>IFERROR(__xludf.DUMMYFUNCTION("""COMPUTED_VALUE"""),1.3934580669529548)</f>
        <v>1.393458067</v>
      </c>
      <c r="AP2709" s="82">
        <f>IFERROR(__xludf.DUMMYFUNCTION("""COMPUTED_VALUE"""),1.1822373986717383)</f>
        <v>1.182237399</v>
      </c>
      <c r="AQ2709" s="82">
        <f>IFERROR(__xludf.DUMMYFUNCTION("""COMPUTED_VALUE"""),1.0133619884931604)</f>
        <v>1.013361988</v>
      </c>
      <c r="AR2709" s="82">
        <f>IFERROR(__xludf.DUMMYFUNCTION("""COMPUTED_VALUE"""),1.1203467011880226)</f>
        <v>1.120346701</v>
      </c>
      <c r="AS2709" s="82">
        <f>IFERROR(__xludf.DUMMYFUNCTION("""COMPUTED_VALUE"""),102.0)</f>
        <v>102</v>
      </c>
      <c r="AT2709" s="82">
        <f>IFERROR(__xludf.DUMMYFUNCTION("""COMPUTED_VALUE"""),0.6433105880241531)</f>
        <v>0.643310588</v>
      </c>
      <c r="AU2709" s="82">
        <f>IFERROR(__xludf.DUMMYFUNCTION("""COMPUTED_VALUE"""),2.7865163264427064)</f>
        <v>2.786516326</v>
      </c>
      <c r="AV2709" s="82">
        <f>IFERROR(__xludf.DUMMYFUNCTION("""COMPUTED_VALUE"""),76.26268664599957)</f>
        <v>76.26268665</v>
      </c>
      <c r="AW2709" s="82">
        <f t="shared" si="1"/>
        <v>6.814661575</v>
      </c>
      <c r="AX2709" s="83">
        <f t="array" ref="AX2709">IFERROR(DGET('SBV Import'!A:G,"SBV",{"RSC ID","Tier";B2709,A2709}))</f>
        <v>68.86515642</v>
      </c>
      <c r="AY2709" s="82">
        <f t="shared" si="2"/>
        <v>4.439656833</v>
      </c>
      <c r="AZ2709" s="82">
        <v>2.3750047423559106</v>
      </c>
      <c r="BA2709" s="84">
        <v>2700.0</v>
      </c>
      <c r="BB2709" s="84" t="b">
        <f>IFERROR(__xludf.DUMMYFUNCTION("iferror(if(A2709="""",,E2709&gt;=FILTER(Constants!$F$2:$F$10,Constants!$A$2:$A$10=A2709)))"),TRUE)</f>
        <v>1</v>
      </c>
    </row>
    <row r="2710">
      <c r="A2710" s="89" t="str">
        <f>IFERROR(__xludf.DUMMYFUNCTION("""COMPUTED_VALUE"""),"Prospect")</f>
        <v>Prospect</v>
      </c>
      <c r="B2710" s="87" t="str">
        <f>IFERROR(__xludf.DUMMYFUNCTION("""COMPUTED_VALUE"""),"RSC007572")</f>
        <v>RSC007572</v>
      </c>
      <c r="C2710" s="73" t="str">
        <f>IFERROR(__xludf.DUMMYFUNCTION("""COMPUTED_VALUE"""),"Mexalato")</f>
        <v>Mexalato</v>
      </c>
      <c r="D2710" s="73" t="str">
        <f>IFERROR(__xludf.DUMMYFUNCTION("""COMPUTED_VALUE"""),"Horizon Highball")</f>
        <v>Horizon Highball</v>
      </c>
      <c r="E2710" s="82">
        <f>IFERROR(__xludf.DUMMYFUNCTION("""COMPUTED_VALUE"""),36.0)</f>
        <v>36</v>
      </c>
      <c r="F2710" s="82">
        <f>IFERROR(__xludf.DUMMYFUNCTION("""COMPUTED_VALUE"""),24.0)</f>
        <v>24</v>
      </c>
      <c r="G2710" s="86">
        <f>IFERROR(__xludf.DUMMYFUNCTION("""COMPUTED_VALUE"""),12.0)</f>
        <v>12</v>
      </c>
      <c r="H2710" s="86">
        <f>IFERROR(__xludf.DUMMYFUNCTION("""COMPUTED_VALUE"""),0.6666666666666666)</f>
        <v>0.6666666667</v>
      </c>
      <c r="I2710" s="86">
        <f>IFERROR(__xludf.DUMMYFUNCTION("""COMPUTED_VALUE"""),0.30769230769230765)</f>
        <v>0.3076923077</v>
      </c>
      <c r="J2710" s="82">
        <f>IFERROR(__xludf.DUMMYFUNCTION("""COMPUTED_VALUE"""),352.75)</f>
        <v>352.75</v>
      </c>
      <c r="K2710" s="82">
        <f>IFERROR(__xludf.DUMMYFUNCTION("""COMPUTED_VALUE"""),0.8888888888888888)</f>
        <v>0.8888888889</v>
      </c>
      <c r="L2710" s="82">
        <f>IFERROR(__xludf.DUMMYFUNCTION("""COMPUTED_VALUE"""),0.6944444444444444)</f>
        <v>0.6944444444</v>
      </c>
      <c r="M2710" s="82">
        <f>IFERROR(__xludf.DUMMYFUNCTION("""COMPUTED_VALUE"""),0.9444444444444444)</f>
        <v>0.9444444444</v>
      </c>
      <c r="N2710" s="82">
        <f>IFERROR(__xludf.DUMMYFUNCTION("""COMPUTED_VALUE"""),2.888888888888889)</f>
        <v>2.888888889</v>
      </c>
      <c r="O2710" s="82">
        <f>IFERROR(__xludf.DUMMYFUNCTION("""COMPUTED_VALUE"""),334.9722222222222)</f>
        <v>334.9722222</v>
      </c>
      <c r="P2710" s="82">
        <f>IFERROR(__xludf.DUMMYFUNCTION("""COMPUTED_VALUE"""),0.6574074074074073)</f>
        <v>0.6574074074</v>
      </c>
      <c r="Q2710" s="82">
        <f>IFERROR(__xludf.DUMMYFUNCTION("""COMPUTED_VALUE"""),0.48148148148148134)</f>
        <v>0.4814814815</v>
      </c>
      <c r="R2710" s="82">
        <f>IFERROR(__xludf.DUMMYFUNCTION("""COMPUTED_VALUE"""),1.462962962962963)</f>
        <v>1.462962963</v>
      </c>
      <c r="S2710" s="82">
        <f>IFERROR(__xludf.DUMMYFUNCTION("""COMPUTED_VALUE"""),1.9722222222222219)</f>
        <v>1.972222222</v>
      </c>
      <c r="T2710" s="82">
        <f>IFERROR(__xludf.DUMMYFUNCTION("""COMPUTED_VALUE"""),331.32122950103997)</f>
        <v>331.3212295</v>
      </c>
      <c r="U2710" s="82">
        <f>IFERROR(__xludf.DUMMYFUNCTION("""COMPUTED_VALUE"""),0.7294358763854468)</f>
        <v>0.7294358764</v>
      </c>
      <c r="V2710" s="82">
        <f>IFERROR(__xludf.DUMMYFUNCTION("""COMPUTED_VALUE"""),0.4870230558923276)</f>
        <v>0.4870230559</v>
      </c>
      <c r="W2710" s="82">
        <f>IFERROR(__xludf.DUMMYFUNCTION("""COMPUTED_VALUE"""),1.28988231127963)</f>
        <v>1.289882311</v>
      </c>
      <c r="X2710" s="82">
        <f>IFERROR(__xludf.DUMMYFUNCTION("""COMPUTED_VALUE"""),2.2981014942274447)</f>
        <v>2.298101494</v>
      </c>
      <c r="Y2710" s="82">
        <f>IFERROR(__xludf.DUMMYFUNCTION("""COMPUTED_VALUE"""),335.3255343637726)</f>
        <v>335.3255344</v>
      </c>
      <c r="Z2710" s="82">
        <f>IFERROR(__xludf.DUMMYFUNCTION("""COMPUTED_VALUE"""),0.8063963287278403)</f>
        <v>0.8063963287</v>
      </c>
      <c r="AA2710" s="82">
        <f>IFERROR(__xludf.DUMMYFUNCTION("""COMPUTED_VALUE"""),0.5344518512440377)</f>
        <v>0.5344518512</v>
      </c>
      <c r="AB2710" s="82">
        <f>IFERROR(__xludf.DUMMYFUNCTION("""COMPUTED_VALUE"""),1.1501251780399355)</f>
        <v>1.150125178</v>
      </c>
      <c r="AC2710" s="82">
        <f>IFERROR(__xludf.DUMMYFUNCTION("""COMPUTED_VALUE"""),2.556930271826415)</f>
        <v>2.556930272</v>
      </c>
      <c r="AD2710" s="82">
        <f>IFERROR(__xludf.DUMMYFUNCTION("""COMPUTED_VALUE"""),1.0519628356644166)</f>
        <v>1.051962836</v>
      </c>
      <c r="AE2710" s="82">
        <f>IFERROR(__xludf.DUMMYFUNCTION("""COMPUTED_VALUE"""),1.1022977873562343)</f>
        <v>1.102297787</v>
      </c>
      <c r="AF2710" s="82">
        <f>IFERROR(__xludf.DUMMYFUNCTION("""COMPUTED_VALUE"""),1.2993582917301039)</f>
        <v>1.299358292</v>
      </c>
      <c r="AG2710" s="82">
        <f>IFERROR(__xludf.DUMMYFUNCTION("""COMPUTED_VALUE"""),0.8211666542714803)</f>
        <v>0.8211666543</v>
      </c>
      <c r="AH2710" s="82">
        <f>IFERROR(__xludf.DUMMYFUNCTION("""COMPUTED_VALUE"""),1.1298270119917488)</f>
        <v>1.129827012</v>
      </c>
      <c r="AI2710" s="82">
        <f>IFERROR(__xludf.DUMMYFUNCTION("""COMPUTED_VALUE"""),1.011019495269532)</f>
        <v>1.011019495</v>
      </c>
      <c r="AJ2710" s="82">
        <f>IFERROR(__xludf.DUMMYFUNCTION("""COMPUTED_VALUE"""),0.9012545566925496)</f>
        <v>0.9012545567</v>
      </c>
      <c r="AK2710" s="82">
        <f>IFERROR(__xludf.DUMMYFUNCTION("""COMPUTED_VALUE"""),0.9886215357901426)</f>
        <v>0.9886215358</v>
      </c>
      <c r="AL2710" s="82">
        <f>IFERROR(__xludf.DUMMYFUNCTION("""COMPUTED_VALUE"""),1.1341832895681994)</f>
        <v>1.13418329</v>
      </c>
      <c r="AM2710" s="82">
        <f>IFERROR(__xludf.DUMMYFUNCTION("""COMPUTED_VALUE"""),0.8581963099437547)</f>
        <v>0.8581963099</v>
      </c>
      <c r="AN2710" s="82">
        <f>IFERROR(__xludf.DUMMYFUNCTION("""COMPUTED_VALUE"""),1.0896042212146453)</f>
        <v>1.089604221</v>
      </c>
      <c r="AO2710" s="82">
        <f>IFERROR(__xludf.DUMMYFUNCTION("""COMPUTED_VALUE"""),1.2051529227701232)</f>
        <v>1.205152923</v>
      </c>
      <c r="AP2710" s="82">
        <f>IFERROR(__xludf.DUMMYFUNCTION("""COMPUTED_VALUE"""),1.407425474609212)</f>
        <v>1.407425475</v>
      </c>
      <c r="AQ2710" s="82">
        <f>IFERROR(__xludf.DUMMYFUNCTION("""COMPUTED_VALUE"""),0.7830524456538056)</f>
        <v>0.7830524457</v>
      </c>
      <c r="AR2710" s="82">
        <f>IFERROR(__xludf.DUMMYFUNCTION("""COMPUTED_VALUE"""),1.2264848097216248)</f>
        <v>1.22648481</v>
      </c>
      <c r="AS2710" s="82">
        <f>IFERROR(__xludf.DUMMYFUNCTION("""COMPUTED_VALUE"""),96.0)</f>
        <v>96</v>
      </c>
      <c r="AT2710" s="82">
        <f>IFERROR(__xludf.DUMMYFUNCTION("""COMPUTED_VALUE"""),0.6150493328309246)</f>
        <v>0.6150493328</v>
      </c>
      <c r="AU2710" s="82">
        <f>IFERROR(__xludf.DUMMYFUNCTION("""COMPUTED_VALUE"""),2.7288672600606096)</f>
        <v>2.72886726</v>
      </c>
      <c r="AV2710" s="82">
        <f>IFERROR(__xludf.DUMMYFUNCTION("""COMPUTED_VALUE"""),74.42874331764095)</f>
        <v>74.42874332</v>
      </c>
      <c r="AW2710" s="82">
        <f t="shared" si="1"/>
        <v>6.088372182</v>
      </c>
      <c r="AX2710" s="83">
        <f t="array" ref="AX2710">IFERROR(DGET('SBV Import'!A:G,"SBV",{"RSC ID","Tier";B2710,A2710}))</f>
        <v>66.87923436</v>
      </c>
      <c r="AY2710" s="82">
        <f t="shared" si="2"/>
        <v>4.003457693</v>
      </c>
      <c r="AZ2710" s="82">
        <v>2.08491448884884</v>
      </c>
      <c r="BA2710" s="84">
        <v>2700.0</v>
      </c>
      <c r="BB2710" s="84" t="b">
        <f>IFERROR(__xludf.DUMMYFUNCTION("iferror(if(A2710="""",,E2710&gt;=FILTER(Constants!$F$2:$F$10,Constants!$A$2:$A$10=A2710)))"),TRUE)</f>
        <v>1</v>
      </c>
    </row>
    <row r="2711">
      <c r="A2711" s="89" t="str">
        <f>IFERROR(__xludf.DUMMYFUNCTION("""COMPUTED_VALUE"""),"Prospect")</f>
        <v>Prospect</v>
      </c>
      <c r="B2711" s="87" t="str">
        <f>IFERROR(__xludf.DUMMYFUNCTION("""COMPUTED_VALUE"""),"RSC006832")</f>
        <v>RSC006832</v>
      </c>
      <c r="C2711" s="73" t="str">
        <f>IFERROR(__xludf.DUMMYFUNCTION("""COMPUTED_VALUE"""),"Pandaliciously")</f>
        <v>Pandaliciously</v>
      </c>
      <c r="D2711" s="73" t="str">
        <f>IFERROR(__xludf.DUMMYFUNCTION("""COMPUTED_VALUE"""),"Horizon Highball")</f>
        <v>Horizon Highball</v>
      </c>
      <c r="E2711" s="82">
        <f>IFERROR(__xludf.DUMMYFUNCTION("""COMPUTED_VALUE"""),21.0)</f>
        <v>21</v>
      </c>
      <c r="F2711" s="82">
        <f>IFERROR(__xludf.DUMMYFUNCTION("""COMPUTED_VALUE"""),13.0)</f>
        <v>13</v>
      </c>
      <c r="G2711" s="86">
        <f>IFERROR(__xludf.DUMMYFUNCTION("""COMPUTED_VALUE"""),8.0)</f>
        <v>8</v>
      </c>
      <c r="H2711" s="86">
        <f>IFERROR(__xludf.DUMMYFUNCTION("""COMPUTED_VALUE"""),0.6190476190476191)</f>
        <v>0.619047619</v>
      </c>
      <c r="I2711" s="86">
        <f>IFERROR(__xludf.DUMMYFUNCTION("""COMPUTED_VALUE"""),0.3283582089552239)</f>
        <v>0.328358209</v>
      </c>
      <c r="J2711" s="82">
        <f>IFERROR(__xludf.DUMMYFUNCTION("""COMPUTED_VALUE"""),384.3333333333333)</f>
        <v>384.3333333</v>
      </c>
      <c r="K2711" s="82">
        <f>IFERROR(__xludf.DUMMYFUNCTION("""COMPUTED_VALUE"""),1.0476190476190477)</f>
        <v>1.047619048</v>
      </c>
      <c r="L2711" s="82">
        <f>IFERROR(__xludf.DUMMYFUNCTION("""COMPUTED_VALUE"""),0.38095238095238093)</f>
        <v>0.380952381</v>
      </c>
      <c r="M2711" s="82">
        <f>IFERROR(__xludf.DUMMYFUNCTION("""COMPUTED_VALUE"""),1.3333333333333333)</f>
        <v>1.333333333</v>
      </c>
      <c r="N2711" s="82">
        <f>IFERROR(__xludf.DUMMYFUNCTION("""COMPUTED_VALUE"""),3.1904761904761907)</f>
        <v>3.19047619</v>
      </c>
      <c r="O2711" s="82">
        <f>IFERROR(__xludf.DUMMYFUNCTION("""COMPUTED_VALUE"""),343.06349206349205)</f>
        <v>343.0634921</v>
      </c>
      <c r="P2711" s="82">
        <f>IFERROR(__xludf.DUMMYFUNCTION("""COMPUTED_VALUE"""),0.6666666666666666)</f>
        <v>0.6666666667</v>
      </c>
      <c r="Q2711" s="82">
        <f>IFERROR(__xludf.DUMMYFUNCTION("""COMPUTED_VALUE"""),0.492063492063492)</f>
        <v>0.4920634921</v>
      </c>
      <c r="R2711" s="82">
        <f>IFERROR(__xludf.DUMMYFUNCTION("""COMPUTED_VALUE"""),1.492063492063492)</f>
        <v>1.492063492</v>
      </c>
      <c r="S2711" s="82">
        <f>IFERROR(__xludf.DUMMYFUNCTION("""COMPUTED_VALUE"""),2.253968253968254)</f>
        <v>2.253968254</v>
      </c>
      <c r="T2711" s="82">
        <f>IFERROR(__xludf.DUMMYFUNCTION("""COMPUTED_VALUE"""),335.965834298238)</f>
        <v>335.9658343</v>
      </c>
      <c r="U2711" s="82">
        <f>IFERROR(__xludf.DUMMYFUNCTION("""COMPUTED_VALUE"""),0.7422951025169805)</f>
        <v>0.7422951025</v>
      </c>
      <c r="V2711" s="82">
        <f>IFERROR(__xludf.DUMMYFUNCTION("""COMPUTED_VALUE"""),0.4887927809753781)</f>
        <v>0.488792781</v>
      </c>
      <c r="W2711" s="82">
        <f>IFERROR(__xludf.DUMMYFUNCTION("""COMPUTED_VALUE"""),1.3172213068458607)</f>
        <v>1.317221307</v>
      </c>
      <c r="X2711" s="82">
        <f>IFERROR(__xludf.DUMMYFUNCTION("""COMPUTED_VALUE"""),2.394957035103108)</f>
        <v>2.394957035</v>
      </c>
      <c r="Y2711" s="82">
        <f>IFERROR(__xludf.DUMMYFUNCTION("""COMPUTED_VALUE"""),337.65648993189325)</f>
        <v>337.6564899</v>
      </c>
      <c r="Z2711" s="82">
        <f>IFERROR(__xludf.DUMMYFUNCTION("""COMPUTED_VALUE"""),0.8093002342834038)</f>
        <v>0.8093002343</v>
      </c>
      <c r="AA2711" s="82">
        <f>IFERROR(__xludf.DUMMYFUNCTION("""COMPUTED_VALUE"""),0.5286423016501806)</f>
        <v>0.5286423017</v>
      </c>
      <c r="AB2711" s="82">
        <f>IFERROR(__xludf.DUMMYFUNCTION("""COMPUTED_VALUE"""),1.1728249072069858)</f>
        <v>1.172824907</v>
      </c>
      <c r="AC2711" s="82">
        <f>IFERROR(__xludf.DUMMYFUNCTION("""COMPUTED_VALUE"""),2.594728624764542)</f>
        <v>2.594728625</v>
      </c>
      <c r="AD2711" s="82">
        <f>IFERROR(__xludf.DUMMYFUNCTION("""COMPUTED_VALUE"""),1.1382376610349025)</f>
        <v>1.138237661</v>
      </c>
      <c r="AE2711" s="82">
        <f>IFERROR(__xludf.DUMMYFUNCTION("""COMPUTED_VALUE"""),1.294475156734217)</f>
        <v>1.294475157</v>
      </c>
      <c r="AF2711" s="82">
        <f>IFERROR(__xludf.DUMMYFUNCTION("""COMPUTED_VALUE"""),0.7206240964130586)</f>
        <v>0.7206240964</v>
      </c>
      <c r="AG2711" s="82">
        <f>IFERROR(__xludf.DUMMYFUNCTION("""COMPUTED_VALUE"""),1.1368562563260947)</f>
        <v>1.136856256</v>
      </c>
      <c r="AH2711" s="82">
        <f>IFERROR(__xludf.DUMMYFUNCTION("""COMPUTED_VALUE"""),1.2295991804405788)</f>
        <v>1.22959918</v>
      </c>
      <c r="AI2711" s="82">
        <f>IFERROR(__xludf.DUMMYFUNCTION("""COMPUTED_VALUE"""),1.0211261296258876)</f>
        <v>1.02112613</v>
      </c>
      <c r="AJ2711" s="82">
        <f>IFERROR(__xludf.DUMMYFUNCTION("""COMPUTED_VALUE"""),0.8981154050540381)</f>
        <v>0.8981154051</v>
      </c>
      <c r="AK2711" s="82">
        <f>IFERROR(__xludf.DUMMYFUNCTION("""COMPUTED_VALUE"""),1.0066914062879309)</f>
        <v>1.006691406</v>
      </c>
      <c r="AL2711" s="82">
        <f>IFERROR(__xludf.DUMMYFUNCTION("""COMPUTED_VALUE"""),1.1327356187672806)</f>
        <v>1.132735619</v>
      </c>
      <c r="AM2711" s="82">
        <f>IFERROR(__xludf.DUMMYFUNCTION("""COMPUTED_VALUE"""),0.9411309768532927)</f>
        <v>0.9411309769</v>
      </c>
      <c r="AN2711" s="82">
        <f>IFERROR(__xludf.DUMMYFUNCTION("""COMPUTED_VALUE"""),1.187161509152361)</f>
        <v>1.187161509</v>
      </c>
      <c r="AO2711" s="82">
        <f>IFERROR(__xludf.DUMMYFUNCTION("""COMPUTED_VALUE"""),1.4203588018362168)</f>
        <v>1.420358802</v>
      </c>
      <c r="AP2711" s="82">
        <f>IFERROR(__xludf.DUMMYFUNCTION("""COMPUTED_VALUE"""),0.7720734032141964)</f>
        <v>0.7720734032</v>
      </c>
      <c r="AQ2711" s="82">
        <f>IFERROR(__xludf.DUMMYFUNCTION("""COMPUTED_VALUE"""),1.105485805628902)</f>
        <v>1.105485806</v>
      </c>
      <c r="AR2711" s="82">
        <f>IFERROR(__xludf.DUMMYFUNCTION("""COMPUTED_VALUE"""),1.3545244327145418)</f>
        <v>1.354524433</v>
      </c>
      <c r="AS2711" s="82">
        <f>IFERROR(__xludf.DUMMYFUNCTION("""COMPUTED_VALUE"""),57.0)</f>
        <v>57</v>
      </c>
      <c r="AT2711" s="82">
        <f>IFERROR(__xludf.DUMMYFUNCTION("""COMPUTED_VALUE"""),0.6169341287360022)</f>
        <v>0.6169341287</v>
      </c>
      <c r="AU2711" s="82">
        <f>IFERROR(__xludf.DUMMYFUNCTION("""COMPUTED_VALUE"""),2.6890222389951077)</f>
        <v>2.689022239</v>
      </c>
      <c r="AV2711" s="82">
        <f>IFERROR(__xludf.DUMMYFUNCTION("""COMPUTED_VALUE"""),73.16118574668124)</f>
        <v>73.16118575</v>
      </c>
      <c r="AW2711" s="82">
        <f t="shared" si="1"/>
        <v>5.6463121</v>
      </c>
      <c r="AX2711" s="83">
        <f t="array" ref="AX2711">IFERROR(DGET('SBV Import'!A:G,"SBV",{"RSC ID","Tier";B2711,A2711}))</f>
        <v>57.07582085</v>
      </c>
      <c r="AY2711" s="82">
        <f t="shared" si="2"/>
        <v>2.573500235</v>
      </c>
      <c r="AZ2711" s="82">
        <v>3.072811864742194</v>
      </c>
      <c r="BA2711" s="84">
        <v>2700.0</v>
      </c>
      <c r="BB2711" s="84" t="b">
        <f>IFERROR(__xludf.DUMMYFUNCTION("iferror(if(A2711="""",,E2711&gt;=FILTER(Constants!$F$2:$F$10,Constants!$A$2:$A$10=A2711)))"),TRUE)</f>
        <v>1</v>
      </c>
    </row>
    <row r="2712">
      <c r="A2712" s="89" t="str">
        <f>IFERROR(__xludf.DUMMYFUNCTION("""COMPUTED_VALUE"""),"Prospect")</f>
        <v>Prospect</v>
      </c>
      <c r="B2712" s="87" t="str">
        <f>IFERROR(__xludf.DUMMYFUNCTION("""COMPUTED_VALUE"""),"RSC007262")</f>
        <v>RSC007262</v>
      </c>
      <c r="C2712" s="73" t="str">
        <f>IFERROR(__xludf.DUMMYFUNCTION("""COMPUTED_VALUE"""),"Vvreze")</f>
        <v>Vvreze</v>
      </c>
      <c r="D2712" s="73" t="str">
        <f>IFERROR(__xludf.DUMMYFUNCTION("""COMPUTED_VALUE"""),"Poppy")</f>
        <v>Poppy</v>
      </c>
      <c r="E2712" s="82">
        <f>IFERROR(__xludf.DUMMYFUNCTION("""COMPUTED_VALUE"""),34.0)</f>
        <v>34</v>
      </c>
      <c r="F2712" s="82">
        <f>IFERROR(__xludf.DUMMYFUNCTION("""COMPUTED_VALUE"""),16.0)</f>
        <v>16</v>
      </c>
      <c r="G2712" s="86">
        <f>IFERROR(__xludf.DUMMYFUNCTION("""COMPUTED_VALUE"""),18.0)</f>
        <v>18</v>
      </c>
      <c r="H2712" s="86">
        <f>IFERROR(__xludf.DUMMYFUNCTION("""COMPUTED_VALUE"""),0.47058823529411764)</f>
        <v>0.4705882353</v>
      </c>
      <c r="I2712" s="86">
        <f>IFERROR(__xludf.DUMMYFUNCTION("""COMPUTED_VALUE"""),0.3592233009708738)</f>
        <v>0.359223301</v>
      </c>
      <c r="J2712" s="82">
        <f>IFERROR(__xludf.DUMMYFUNCTION("""COMPUTED_VALUE"""),387.11764705882354)</f>
        <v>387.1176471</v>
      </c>
      <c r="K2712" s="82">
        <f>IFERROR(__xludf.DUMMYFUNCTION("""COMPUTED_VALUE"""),1.088235294117647)</f>
        <v>1.088235294</v>
      </c>
      <c r="L2712" s="82">
        <f>IFERROR(__xludf.DUMMYFUNCTION("""COMPUTED_VALUE"""),0.4411764705882353)</f>
        <v>0.4411764706</v>
      </c>
      <c r="M2712" s="82">
        <f>IFERROR(__xludf.DUMMYFUNCTION("""COMPUTED_VALUE"""),1.3529411764705883)</f>
        <v>1.352941176</v>
      </c>
      <c r="N2712" s="82">
        <f>IFERROR(__xludf.DUMMYFUNCTION("""COMPUTED_VALUE"""),3.0294117647058822)</f>
        <v>3.029411765</v>
      </c>
      <c r="O2712" s="82">
        <f>IFERROR(__xludf.DUMMYFUNCTION("""COMPUTED_VALUE"""),349.6176470588236)</f>
        <v>349.6176471</v>
      </c>
      <c r="P2712" s="82">
        <f>IFERROR(__xludf.DUMMYFUNCTION("""COMPUTED_VALUE"""),0.803921568627451)</f>
        <v>0.8039215686</v>
      </c>
      <c r="Q2712" s="82">
        <f>IFERROR(__xludf.DUMMYFUNCTION("""COMPUTED_VALUE"""),0.588235294117647)</f>
        <v>0.5882352941</v>
      </c>
      <c r="R2712" s="82">
        <f>IFERROR(__xludf.DUMMYFUNCTION("""COMPUTED_VALUE"""),1.303921568627451)</f>
        <v>1.303921569</v>
      </c>
      <c r="S2712" s="82">
        <f>IFERROR(__xludf.DUMMYFUNCTION("""COMPUTED_VALUE"""),2.598039215686274)</f>
        <v>2.598039216</v>
      </c>
      <c r="T2712" s="82">
        <f>IFERROR(__xludf.DUMMYFUNCTION("""COMPUTED_VALUE"""),338.3679837058167)</f>
        <v>338.3679837</v>
      </c>
      <c r="U2712" s="82">
        <f>IFERROR(__xludf.DUMMYFUNCTION("""COMPUTED_VALUE"""),0.786352544325454)</f>
        <v>0.7863525443</v>
      </c>
      <c r="V2712" s="82">
        <f>IFERROR(__xludf.DUMMYFUNCTION("""COMPUTED_VALUE"""),0.5110608590174086)</f>
        <v>0.511060859</v>
      </c>
      <c r="W2712" s="82">
        <f>IFERROR(__xludf.DUMMYFUNCTION("""COMPUTED_VALUE"""),1.265193007899904)</f>
        <v>1.265193008</v>
      </c>
      <c r="X2712" s="82">
        <f>IFERROR(__xludf.DUMMYFUNCTION("""COMPUTED_VALUE"""),2.5119147267948003)</f>
        <v>2.511914727</v>
      </c>
      <c r="Y2712" s="82">
        <f>IFERROR(__xludf.DUMMYFUNCTION("""COMPUTED_VALUE"""),337.7658570949881)</f>
        <v>337.7658571</v>
      </c>
      <c r="Z2712" s="82">
        <f>IFERROR(__xludf.DUMMYFUNCTION("""COMPUTED_VALUE"""),0.8134021324060473)</f>
        <v>0.8134021324</v>
      </c>
      <c r="AA2712" s="82">
        <f>IFERROR(__xludf.DUMMYFUNCTION("""COMPUTED_VALUE"""),0.5274092746594763)</f>
        <v>0.5274092747</v>
      </c>
      <c r="AB2712" s="82">
        <f>IFERROR(__xludf.DUMMYFUNCTION("""COMPUTED_VALUE"""),1.2089098604638728)</f>
        <v>1.20890986</v>
      </c>
      <c r="AC2712" s="82">
        <f>IFERROR(__xludf.DUMMYFUNCTION("""COMPUTED_VALUE"""),2.518514722723024)</f>
        <v>2.518514723</v>
      </c>
      <c r="AD2712" s="82">
        <f>IFERROR(__xludf.DUMMYFUNCTION("""COMPUTED_VALUE"""),1.1461124294453375)</f>
        <v>1.146112429</v>
      </c>
      <c r="AE2712" s="82">
        <f>IFERROR(__xludf.DUMMYFUNCTION("""COMPUTED_VALUE"""),1.337881044027561)</f>
        <v>1.337881044</v>
      </c>
      <c r="AF2712" s="82">
        <f>IFERROR(__xludf.DUMMYFUNCTION("""COMPUTED_VALUE"""),0.8364973689040309)</f>
        <v>0.8364973689</v>
      </c>
      <c r="AG2712" s="82">
        <f>IFERROR(__xludf.DUMMYFUNCTION("""COMPUTED_VALUE"""),1.119141484999923)</f>
        <v>1.119141485</v>
      </c>
      <c r="AH2712" s="82">
        <f>IFERROR(__xludf.DUMMYFUNCTION("""COMPUTED_VALUE"""),1.2028564841703508)</f>
        <v>1.202856484</v>
      </c>
      <c r="AI2712" s="82">
        <f>IFERROR(__xludf.DUMMYFUNCTION("""COMPUTED_VALUE"""),1.0332468315406211)</f>
        <v>1.033246832</v>
      </c>
      <c r="AJ2712" s="82">
        <f>IFERROR(__xludf.DUMMYFUNCTION("""COMPUTED_VALUE"""),1.0223424269798327)</f>
        <v>1.022342427</v>
      </c>
      <c r="AK2712" s="82">
        <f>IFERROR(__xludf.DUMMYFUNCTION("""COMPUTED_VALUE"""),1.1510083070118455)</f>
        <v>1.151008307</v>
      </c>
      <c r="AL2712" s="82">
        <f>IFERROR(__xludf.DUMMYFUNCTION("""COMPUTED_VALUE"""),1.0306107925713506)</f>
        <v>1.030610793</v>
      </c>
      <c r="AM2712" s="82">
        <f>IFERROR(__xludf.DUMMYFUNCTION("""COMPUTED_VALUE"""),1.0342863903669886)</f>
        <v>1.03428639</v>
      </c>
      <c r="AN2712" s="82">
        <f>IFERROR(__xludf.DUMMYFUNCTION("""COMPUTED_VALUE"""),1.1957619343500365)</f>
        <v>1.195761934</v>
      </c>
      <c r="AO2712" s="82">
        <f>IFERROR(__xludf.DUMMYFUNCTION("""COMPUTED_VALUE"""),1.4754261885384228)</f>
        <v>1.475426189</v>
      </c>
      <c r="AP2712" s="82">
        <f>IFERROR(__xludf.DUMMYFUNCTION("""COMPUTED_VALUE"""),0.8941291250458524)</f>
        <v>0.894129125</v>
      </c>
      <c r="AQ2712" s="82">
        <f>IFERROR(__xludf.DUMMYFUNCTION("""COMPUTED_VALUE"""),1.1217429498293272)</f>
        <v>1.12174295</v>
      </c>
      <c r="AR2712" s="82">
        <f>IFERROR(__xludf.DUMMYFUNCTION("""COMPUTED_VALUE"""),1.2861441387012964)</f>
        <v>1.286144139</v>
      </c>
      <c r="AS2712" s="82">
        <f>IFERROR(__xludf.DUMMYFUNCTION("""COMPUTED_VALUE"""),85.0)</f>
        <v>85</v>
      </c>
      <c r="AT2712" s="82">
        <f>IFERROR(__xludf.DUMMYFUNCTION("""COMPUTED_VALUE"""),0.5141804563795682)</f>
        <v>0.5141804564</v>
      </c>
      <c r="AU2712" s="82">
        <f>IFERROR(__xludf.DUMMYFUNCTION("""COMPUTED_VALUE"""),2.669141335284739)</f>
        <v>2.669141335</v>
      </c>
      <c r="AV2712" s="82">
        <f>IFERROR(__xludf.DUMMYFUNCTION("""COMPUTED_VALUE"""),72.52873056553898)</f>
        <v>72.52873057</v>
      </c>
      <c r="AW2712" s="82">
        <f t="shared" si="1"/>
        <v>5.442043824</v>
      </c>
      <c r="AX2712" s="83">
        <f t="array" ref="AX2712">IFERROR(DGET('SBV Import'!A:G,"SBV",{"RSC ID","Tier";B2712,A2712}))</f>
        <v>55.8279997</v>
      </c>
      <c r="AY2712" s="82">
        <f t="shared" si="2"/>
        <v>2.451977307</v>
      </c>
      <c r="AZ2712" s="82">
        <v>2.9900665172144243</v>
      </c>
      <c r="BA2712" s="84">
        <v>2700.0</v>
      </c>
      <c r="BB2712" s="84" t="b">
        <f>IFERROR(__xludf.DUMMYFUNCTION("iferror(if(A2712="""",,E2712&gt;=FILTER(Constants!$F$2:$F$10,Constants!$A$2:$A$10=A2712)))"),TRUE)</f>
        <v>1</v>
      </c>
    </row>
    <row r="2713">
      <c r="A2713" s="89" t="str">
        <f>IFERROR(__xludf.DUMMYFUNCTION("""COMPUTED_VALUE"""),"Prospect")</f>
        <v>Prospect</v>
      </c>
      <c r="B2713" s="87" t="str">
        <f>IFERROR(__xludf.DUMMYFUNCTION("""COMPUTED_VALUE"""),"RSC007453")</f>
        <v>RSC007453</v>
      </c>
      <c r="C2713" s="73" t="str">
        <f>IFERROR(__xludf.DUMMYFUNCTION("""COMPUTED_VALUE"""),"TheDoy420")</f>
        <v>TheDoy420</v>
      </c>
      <c r="D2713" s="73" t="str">
        <f>IFERROR(__xludf.DUMMYFUNCTION("""COMPUTED_VALUE"""),"Emus")</f>
        <v>Emus</v>
      </c>
      <c r="E2713" s="82">
        <f>IFERROR(__xludf.DUMMYFUNCTION("""COMPUTED_VALUE"""),33.0)</f>
        <v>33</v>
      </c>
      <c r="F2713" s="82">
        <f>IFERROR(__xludf.DUMMYFUNCTION("""COMPUTED_VALUE"""),18.0)</f>
        <v>18</v>
      </c>
      <c r="G2713" s="86">
        <f>IFERROR(__xludf.DUMMYFUNCTION("""COMPUTED_VALUE"""),15.0)</f>
        <v>15</v>
      </c>
      <c r="H2713" s="86">
        <f>IFERROR(__xludf.DUMMYFUNCTION("""COMPUTED_VALUE"""),0.5454545454545454)</f>
        <v>0.5454545455</v>
      </c>
      <c r="I2713" s="86">
        <f>IFERROR(__xludf.DUMMYFUNCTION("""COMPUTED_VALUE"""),0.25510204081632654)</f>
        <v>0.2551020408</v>
      </c>
      <c r="J2713" s="82">
        <f>IFERROR(__xludf.DUMMYFUNCTION("""COMPUTED_VALUE"""),373.93939393939394)</f>
        <v>373.9393939</v>
      </c>
      <c r="K2713" s="82">
        <f>IFERROR(__xludf.DUMMYFUNCTION("""COMPUTED_VALUE"""),0.7575757575757576)</f>
        <v>0.7575757576</v>
      </c>
      <c r="L2713" s="82">
        <f>IFERROR(__xludf.DUMMYFUNCTION("""COMPUTED_VALUE"""),0.6666666666666666)</f>
        <v>0.6666666667</v>
      </c>
      <c r="M2713" s="82">
        <f>IFERROR(__xludf.DUMMYFUNCTION("""COMPUTED_VALUE"""),1.5454545454545454)</f>
        <v>1.545454545</v>
      </c>
      <c r="N2713" s="82">
        <f>IFERROR(__xludf.DUMMYFUNCTION("""COMPUTED_VALUE"""),2.9696969696969697)</f>
        <v>2.96969697</v>
      </c>
      <c r="O2713" s="82">
        <f>IFERROR(__xludf.DUMMYFUNCTION("""COMPUTED_VALUE"""),338.2020202020202)</f>
        <v>338.2020202</v>
      </c>
      <c r="P2713" s="82">
        <f>IFERROR(__xludf.DUMMYFUNCTION("""COMPUTED_VALUE"""),0.7171717171717171)</f>
        <v>0.7171717172</v>
      </c>
      <c r="Q2713" s="82">
        <f>IFERROR(__xludf.DUMMYFUNCTION("""COMPUTED_VALUE"""),0.4444444444444444)</f>
        <v>0.4444444444</v>
      </c>
      <c r="R2713" s="82">
        <f>IFERROR(__xludf.DUMMYFUNCTION("""COMPUTED_VALUE"""),1.4848484848484849)</f>
        <v>1.484848485</v>
      </c>
      <c r="S2713" s="82">
        <f>IFERROR(__xludf.DUMMYFUNCTION("""COMPUTED_VALUE"""),2.333333333333334)</f>
        <v>2.333333333</v>
      </c>
      <c r="T2713" s="82">
        <f>IFERROR(__xludf.DUMMYFUNCTION("""COMPUTED_VALUE"""),339.37653974063784)</f>
        <v>339.3765397</v>
      </c>
      <c r="U2713" s="82">
        <f>IFERROR(__xludf.DUMMYFUNCTION("""COMPUTED_VALUE"""),0.8001688712240703)</f>
        <v>0.8001688712</v>
      </c>
      <c r="V2713" s="82">
        <f>IFERROR(__xludf.DUMMYFUNCTION("""COMPUTED_VALUE"""),0.5051749325884861)</f>
        <v>0.5051749326</v>
      </c>
      <c r="W2713" s="82">
        <f>IFERROR(__xludf.DUMMYFUNCTION("""COMPUTED_VALUE"""),1.2532743015586725)</f>
        <v>1.253274302</v>
      </c>
      <c r="X2713" s="82">
        <f>IFERROR(__xludf.DUMMYFUNCTION("""COMPUTED_VALUE"""),2.4704221390958083)</f>
        <v>2.470422139</v>
      </c>
      <c r="Y2713" s="82">
        <f>IFERROR(__xludf.DUMMYFUNCTION("""COMPUTED_VALUE"""),333.81024820740686)</f>
        <v>333.8102482</v>
      </c>
      <c r="Z2713" s="82">
        <f>IFERROR(__xludf.DUMMYFUNCTION("""COMPUTED_VALUE"""),0.7871351702266498)</f>
        <v>0.7871351702</v>
      </c>
      <c r="AA2713" s="82">
        <f>IFERROR(__xludf.DUMMYFUNCTION("""COMPUTED_VALUE"""),0.5349095846678401)</f>
        <v>0.5349095847</v>
      </c>
      <c r="AB2713" s="82">
        <f>IFERROR(__xludf.DUMMYFUNCTION("""COMPUTED_VALUE"""),1.194363908246979)</f>
        <v>1.194363908</v>
      </c>
      <c r="AC2713" s="82">
        <f>IFERROR(__xludf.DUMMYFUNCTION("""COMPUTED_VALUE"""),2.451891877302239)</f>
        <v>2.451891877</v>
      </c>
      <c r="AD2713" s="82">
        <f>IFERROR(__xludf.DUMMYFUNCTION("""COMPUTED_VALUE"""),1.1202154396022423)</f>
        <v>1.12021544</v>
      </c>
      <c r="AE2713" s="82">
        <f>IFERROR(__xludf.DUMMYFUNCTION("""COMPUTED_VALUE"""),0.9624468404297309)</f>
        <v>0.9624468404</v>
      </c>
      <c r="AF2713" s="82">
        <f>IFERROR(__xludf.DUMMYFUNCTION("""COMPUTED_VALUE"""),1.246316547273392)</f>
        <v>1.246316547</v>
      </c>
      <c r="AG2713" s="82">
        <f>IFERROR(__xludf.DUMMYFUNCTION("""COMPUTED_VALUE"""),1.2939561676163487)</f>
        <v>1.293956168</v>
      </c>
      <c r="AH2713" s="82">
        <f>IFERROR(__xludf.DUMMYFUNCTION("""COMPUTED_VALUE"""),1.2111859406151546)</f>
        <v>1.211185941</v>
      </c>
      <c r="AI2713" s="82">
        <f>IFERROR(__xludf.DUMMYFUNCTION("""COMPUTED_VALUE"""),0.9965391846486642)</f>
        <v>0.9965391846</v>
      </c>
      <c r="AJ2713" s="82">
        <f>IFERROR(__xludf.DUMMYFUNCTION("""COMPUTED_VALUE"""),0.8962754525486764)</f>
        <v>0.8962754525</v>
      </c>
      <c r="AK2713" s="82">
        <f>IFERROR(__xludf.DUMMYFUNCTION("""COMPUTED_VALUE"""),0.8797832508575548)</f>
        <v>0.8797832509</v>
      </c>
      <c r="AL2713" s="82">
        <f>IFERROR(__xludf.DUMMYFUNCTION("""COMPUTED_VALUE"""),1.1847753384887953)</f>
        <v>1.184775338</v>
      </c>
      <c r="AM2713" s="82">
        <f>IFERROR(__xludf.DUMMYFUNCTION("""COMPUTED_VALUE"""),0.9445079431596052)</f>
        <v>0.9445079432</v>
      </c>
      <c r="AN2713" s="82">
        <f>IFERROR(__xludf.DUMMYFUNCTION("""COMPUTED_VALUE"""),1.1550558245635998)</f>
        <v>1.155055825</v>
      </c>
      <c r="AO2713" s="82">
        <f>IFERROR(__xludf.DUMMYFUNCTION("""COMPUTED_VALUE"""),1.0271189682699915)</f>
        <v>1.027118968</v>
      </c>
      <c r="AP2713" s="82">
        <f>IFERROR(__xludf.DUMMYFUNCTION("""COMPUTED_VALUE"""),1.3511284556248435)</f>
        <v>1.351128456</v>
      </c>
      <c r="AQ2713" s="82">
        <f>IFERROR(__xludf.DUMMYFUNCTION("""COMPUTED_VALUE"""),1.2813585474335)</f>
        <v>1.281358547</v>
      </c>
      <c r="AR2713" s="82">
        <f>IFERROR(__xludf.DUMMYFUNCTION("""COMPUTED_VALUE"""),1.2607920771264254)</f>
        <v>1.260792077</v>
      </c>
      <c r="AS2713" s="82">
        <f>IFERROR(__xludf.DUMMYFUNCTION("""COMPUTED_VALUE"""),75.0)</f>
        <v>75</v>
      </c>
      <c r="AT2713" s="82">
        <f>IFERROR(__xludf.DUMMYFUNCTION("""COMPUTED_VALUE"""),0.5209839110768636)</f>
        <v>0.5209839111</v>
      </c>
      <c r="AU2713" s="82">
        <f>IFERROR(__xludf.DUMMYFUNCTION("""COMPUTED_VALUE"""),2.6305543577627795)</f>
        <v>2.630554358</v>
      </c>
      <c r="AV2713" s="82">
        <f>IFERROR(__xludf.DUMMYFUNCTION("""COMPUTED_VALUE"""),71.3011941208222)</f>
        <v>71.30119412</v>
      </c>
      <c r="AW2713" s="82">
        <f t="shared" si="1"/>
        <v>5.073726549</v>
      </c>
      <c r="AX2713" s="83">
        <f t="array" ref="AX2713">IFERROR(DGET('SBV Import'!A:G,"SBV",{"RSC ID","Tier";B2713,A2713}))</f>
        <v>63.4740677</v>
      </c>
      <c r="AY2713" s="82">
        <f t="shared" si="2"/>
        <v>3.390332814</v>
      </c>
      <c r="AZ2713" s="82">
        <v>1.6833937353425554</v>
      </c>
      <c r="BA2713" s="84">
        <v>2700.0</v>
      </c>
      <c r="BB2713" s="84" t="b">
        <f>IFERROR(__xludf.DUMMYFUNCTION("iferror(if(A2713="""",,E2713&gt;=FILTER(Constants!$F$2:$F$10,Constants!$A$2:$A$10=A2713)))"),TRUE)</f>
        <v>1</v>
      </c>
    </row>
    <row r="2714">
      <c r="A2714" s="89" t="str">
        <f>IFERROR(__xludf.DUMMYFUNCTION("""COMPUTED_VALUE"""),"Prospect")</f>
        <v>Prospect</v>
      </c>
      <c r="B2714" s="87" t="str">
        <f>IFERROR(__xludf.DUMMYFUNCTION("""COMPUTED_VALUE"""),"RSC007442")</f>
        <v>RSC007442</v>
      </c>
      <c r="C2714" s="73" t="str">
        <f>IFERROR(__xludf.DUMMYFUNCTION("""COMPUTED_VALUE"""),"willbong")</f>
        <v>willbong</v>
      </c>
      <c r="D2714" s="73" t="str">
        <f>IFERROR(__xludf.DUMMYFUNCTION("""COMPUTED_VALUE"""),"Mop Tops")</f>
        <v>Mop Tops</v>
      </c>
      <c r="E2714" s="82">
        <f>IFERROR(__xludf.DUMMYFUNCTION("""COMPUTED_VALUE"""),32.0)</f>
        <v>32</v>
      </c>
      <c r="F2714" s="82">
        <f>IFERROR(__xludf.DUMMYFUNCTION("""COMPUTED_VALUE"""),17.0)</f>
        <v>17</v>
      </c>
      <c r="G2714" s="86">
        <f>IFERROR(__xludf.DUMMYFUNCTION("""COMPUTED_VALUE"""),15.0)</f>
        <v>15</v>
      </c>
      <c r="H2714" s="86">
        <f>IFERROR(__xludf.DUMMYFUNCTION("""COMPUTED_VALUE"""),0.53125)</f>
        <v>0.53125</v>
      </c>
      <c r="I2714" s="86">
        <f>IFERROR(__xludf.DUMMYFUNCTION("""COMPUTED_VALUE"""),0.32098765432098764)</f>
        <v>0.3209876543</v>
      </c>
      <c r="J2714" s="82">
        <f>IFERROR(__xludf.DUMMYFUNCTION("""COMPUTED_VALUE"""),346.15625)</f>
        <v>346.15625</v>
      </c>
      <c r="K2714" s="82">
        <f>IFERROR(__xludf.DUMMYFUNCTION("""COMPUTED_VALUE"""),0.8125)</f>
        <v>0.8125</v>
      </c>
      <c r="L2714" s="82">
        <f>IFERROR(__xludf.DUMMYFUNCTION("""COMPUTED_VALUE"""),0.71875)</f>
        <v>0.71875</v>
      </c>
      <c r="M2714" s="82">
        <f>IFERROR(__xludf.DUMMYFUNCTION("""COMPUTED_VALUE"""),1.21875)</f>
        <v>1.21875</v>
      </c>
      <c r="N2714" s="82">
        <f>IFERROR(__xludf.DUMMYFUNCTION("""COMPUTED_VALUE"""),2.53125)</f>
        <v>2.53125</v>
      </c>
      <c r="O2714" s="82">
        <f>IFERROR(__xludf.DUMMYFUNCTION("""COMPUTED_VALUE"""),337.28125000000006)</f>
        <v>337.28125</v>
      </c>
      <c r="P2714" s="82">
        <f>IFERROR(__xludf.DUMMYFUNCTION("""COMPUTED_VALUE"""),0.7291666666666667)</f>
        <v>0.7291666667</v>
      </c>
      <c r="Q2714" s="82">
        <f>IFERROR(__xludf.DUMMYFUNCTION("""COMPUTED_VALUE"""),0.5208333333333333)</f>
        <v>0.5208333333</v>
      </c>
      <c r="R2714" s="82">
        <f>IFERROR(__xludf.DUMMYFUNCTION("""COMPUTED_VALUE"""),1.2812500000000002)</f>
        <v>1.28125</v>
      </c>
      <c r="S2714" s="82">
        <f>IFERROR(__xludf.DUMMYFUNCTION("""COMPUTED_VALUE"""),2.333333333333334)</f>
        <v>2.333333333</v>
      </c>
      <c r="T2714" s="82">
        <f>IFERROR(__xludf.DUMMYFUNCTION("""COMPUTED_VALUE"""),336.29431649205907)</f>
        <v>336.2943165</v>
      </c>
      <c r="U2714" s="82">
        <f>IFERROR(__xludf.DUMMYFUNCTION("""COMPUTED_VALUE"""),0.8094857816837971)</f>
        <v>0.8094857817</v>
      </c>
      <c r="V2714" s="82">
        <f>IFERROR(__xludf.DUMMYFUNCTION("""COMPUTED_VALUE"""),0.5305843186898594)</f>
        <v>0.5305843187</v>
      </c>
      <c r="W2714" s="82">
        <f>IFERROR(__xludf.DUMMYFUNCTION("""COMPUTED_VALUE"""),1.1869748649911531)</f>
        <v>1.186974865</v>
      </c>
      <c r="X2714" s="82">
        <f>IFERROR(__xludf.DUMMYFUNCTION("""COMPUTED_VALUE"""),2.5213005899320655)</f>
        <v>2.52130059</v>
      </c>
      <c r="Y2714" s="82">
        <f>IFERROR(__xludf.DUMMYFUNCTION("""COMPUTED_VALUE"""),334.46189975409027)</f>
        <v>334.4618998</v>
      </c>
      <c r="Z2714" s="82">
        <f>IFERROR(__xludf.DUMMYFUNCTION("""COMPUTED_VALUE"""),0.7766438234920606)</f>
        <v>0.7766438235</v>
      </c>
      <c r="AA2714" s="82">
        <f>IFERROR(__xludf.DUMMYFUNCTION("""COMPUTED_VALUE"""),0.5221053246022742)</f>
        <v>0.5221053246</v>
      </c>
      <c r="AB2714" s="82">
        <f>IFERROR(__xludf.DUMMYFUNCTION("""COMPUTED_VALUE"""),1.2394980403237217)</f>
        <v>1.23949804</v>
      </c>
      <c r="AC2714" s="82">
        <f>IFERROR(__xludf.DUMMYFUNCTION("""COMPUTED_VALUE"""),2.424481436083534)</f>
        <v>2.424481436</v>
      </c>
      <c r="AD2714" s="82">
        <f>IFERROR(__xludf.DUMMYFUNCTION("""COMPUTED_VALUE"""),1.0349646708773343)</f>
        <v>1.034964671</v>
      </c>
      <c r="AE2714" s="82">
        <f>IFERROR(__xludf.DUMMYFUNCTION("""COMPUTED_VALUE"""),1.0461681087563635)</f>
        <v>1.046168109</v>
      </c>
      <c r="AF2714" s="82">
        <f>IFERROR(__xludf.DUMMYFUNCTION("""COMPUTED_VALUE"""),1.3766379428279618)</f>
        <v>1.376637943</v>
      </c>
      <c r="AG2714" s="82">
        <f>IFERROR(__xludf.DUMMYFUNCTION("""COMPUTED_VALUE"""),0.9832609333385449)</f>
        <v>0.9832609333</v>
      </c>
      <c r="AH2714" s="82">
        <f>IFERROR(__xludf.DUMMYFUNCTION("""COMPUTED_VALUE"""),1.044037690834597)</f>
        <v>1.044037691</v>
      </c>
      <c r="AI2714" s="82">
        <f>IFERROR(__xludf.DUMMYFUNCTION("""COMPUTED_VALUE"""),1.0029347314526034)</f>
        <v>1.002934731</v>
      </c>
      <c r="AJ2714" s="82">
        <f>IFERROR(__xludf.DUMMYFUNCTION("""COMPUTED_VALUE"""),0.9007776086566215)</f>
        <v>0.9007776087</v>
      </c>
      <c r="AK2714" s="82">
        <f>IFERROR(__xludf.DUMMYFUNCTION("""COMPUTED_VALUE"""),0.9816221757540748)</f>
        <v>0.9816221758</v>
      </c>
      <c r="AL2714" s="82">
        <f>IFERROR(__xludf.DUMMYFUNCTION("""COMPUTED_VALUE"""),1.07942471048833)</f>
        <v>1.07942471</v>
      </c>
      <c r="AM2714" s="82">
        <f>IFERROR(__xludf.DUMMYFUNCTION("""COMPUTED_VALUE"""),0.9254482954752348)</f>
        <v>0.9254482955</v>
      </c>
      <c r="AN2714" s="82">
        <f>IFERROR(__xludf.DUMMYFUNCTION("""COMPUTED_VALUE"""),1.0692368850455907)</f>
        <v>1.069236885</v>
      </c>
      <c r="AO2714" s="82">
        <f>IFERROR(__xludf.DUMMYFUNCTION("""COMPUTED_VALUE"""),1.1015850934695657)</f>
        <v>1.101585093</v>
      </c>
      <c r="AP2714" s="82">
        <f>IFERROR(__xludf.DUMMYFUNCTION("""COMPUTED_VALUE"""),1.4566853662205346)</f>
        <v>1.456685366</v>
      </c>
      <c r="AQ2714" s="82">
        <f>IFERROR(__xludf.DUMMYFUNCTION("""COMPUTED_VALUE"""),1.0104831192076684)</f>
        <v>1.010483119</v>
      </c>
      <c r="AR2714" s="82">
        <f>IFERROR(__xludf.DUMMYFUNCTION("""COMPUTED_VALUE"""),1.0746483489027217)</f>
        <v>1.074648349</v>
      </c>
      <c r="AS2714" s="82">
        <f>IFERROR(__xludf.DUMMYFUNCTION("""COMPUTED_VALUE"""),76.0)</f>
        <v>76</v>
      </c>
      <c r="AT2714" s="82">
        <f>IFERROR(__xludf.DUMMYFUNCTION("""COMPUTED_VALUE"""),0.5317409467675499)</f>
        <v>0.5317409468</v>
      </c>
      <c r="AU2714" s="82">
        <f>IFERROR(__xludf.DUMMYFUNCTION("""COMPUTED_VALUE"""),2.5517757430779593)</f>
        <v>2.551775743</v>
      </c>
      <c r="AV2714" s="82">
        <f>IFERROR(__xludf.DUMMYFUNCTION("""COMPUTED_VALUE"""),68.7950734863443)</f>
        <v>68.79507349</v>
      </c>
      <c r="AW2714" s="82">
        <f t="shared" si="1"/>
        <v>4.423119367</v>
      </c>
      <c r="AX2714" s="83">
        <f t="array" ref="AX2714">IFERROR(DGET('SBV Import'!A:G,"SBV",{"RSC ID","Tier";B2714,A2714}))</f>
        <v>62.67537248</v>
      </c>
      <c r="AY2714" s="82">
        <f t="shared" si="2"/>
        <v>3.267203157</v>
      </c>
      <c r="AZ2714" s="82">
        <v>1.1559162097882365</v>
      </c>
      <c r="BA2714" s="84">
        <v>2700.0</v>
      </c>
      <c r="BB2714" s="84" t="b">
        <f>IFERROR(__xludf.DUMMYFUNCTION("iferror(if(A2714="""",,E2714&gt;=FILTER(Constants!$F$2:$F$10,Constants!$A$2:$A$10=A2714)))"),TRUE)</f>
        <v>1</v>
      </c>
    </row>
    <row r="2715">
      <c r="A2715" s="89" t="str">
        <f>IFERROR(__xludf.DUMMYFUNCTION("""COMPUTED_VALUE"""),"Prospect")</f>
        <v>Prospect</v>
      </c>
      <c r="B2715" s="87" t="str">
        <f>IFERROR(__xludf.DUMMYFUNCTION("""COMPUTED_VALUE"""),"RSC007092")</f>
        <v>RSC007092</v>
      </c>
      <c r="C2715" s="73" t="str">
        <f>IFERROR(__xludf.DUMMYFUNCTION("""COMPUTED_VALUE"""),"Minjaaa")</f>
        <v>Minjaaa</v>
      </c>
      <c r="D2715" s="73" t="str">
        <f>IFERROR(__xludf.DUMMYFUNCTION("""COMPUTED_VALUE"""),"Horizon Highball")</f>
        <v>Horizon Highball</v>
      </c>
      <c r="E2715" s="82">
        <f>IFERROR(__xludf.DUMMYFUNCTION("""COMPUTED_VALUE"""),25.0)</f>
        <v>25</v>
      </c>
      <c r="F2715" s="82">
        <f>IFERROR(__xludf.DUMMYFUNCTION("""COMPUTED_VALUE"""),17.0)</f>
        <v>17</v>
      </c>
      <c r="G2715" s="86">
        <f>IFERROR(__xludf.DUMMYFUNCTION("""COMPUTED_VALUE"""),8.0)</f>
        <v>8</v>
      </c>
      <c r="H2715" s="86">
        <f>IFERROR(__xludf.DUMMYFUNCTION("""COMPUTED_VALUE"""),0.68)</f>
        <v>0.68</v>
      </c>
      <c r="I2715" s="86">
        <f>IFERROR(__xludf.DUMMYFUNCTION("""COMPUTED_VALUE"""),0.31884057971014496)</f>
        <v>0.3188405797</v>
      </c>
      <c r="J2715" s="82">
        <f>IFERROR(__xludf.DUMMYFUNCTION("""COMPUTED_VALUE"""),325.44)</f>
        <v>325.44</v>
      </c>
      <c r="K2715" s="82">
        <f>IFERROR(__xludf.DUMMYFUNCTION("""COMPUTED_VALUE"""),0.88)</f>
        <v>0.88</v>
      </c>
      <c r="L2715" s="82">
        <f>IFERROR(__xludf.DUMMYFUNCTION("""COMPUTED_VALUE"""),0.68)</f>
        <v>0.68</v>
      </c>
      <c r="M2715" s="82">
        <f>IFERROR(__xludf.DUMMYFUNCTION("""COMPUTED_VALUE"""),0.88)</f>
        <v>0.88</v>
      </c>
      <c r="N2715" s="82">
        <f>IFERROR(__xludf.DUMMYFUNCTION("""COMPUTED_VALUE"""),2.76)</f>
        <v>2.76</v>
      </c>
      <c r="O2715" s="82">
        <f>IFERROR(__xludf.DUMMYFUNCTION("""COMPUTED_VALUE"""),339.44)</f>
        <v>339.44</v>
      </c>
      <c r="P2715" s="82">
        <f>IFERROR(__xludf.DUMMYFUNCTION("""COMPUTED_VALUE"""),0.6933333333333332)</f>
        <v>0.6933333333</v>
      </c>
      <c r="Q2715" s="82">
        <f>IFERROR(__xludf.DUMMYFUNCTION("""COMPUTED_VALUE"""),0.5066666666666666)</f>
        <v>0.5066666667</v>
      </c>
      <c r="R2715" s="82">
        <f>IFERROR(__xludf.DUMMYFUNCTION("""COMPUTED_VALUE"""),1.56)</f>
        <v>1.56</v>
      </c>
      <c r="S2715" s="82">
        <f>IFERROR(__xludf.DUMMYFUNCTION("""COMPUTED_VALUE"""),1.853333333333333)</f>
        <v>1.853333333</v>
      </c>
      <c r="T2715" s="82">
        <f>IFERROR(__xludf.DUMMYFUNCTION("""COMPUTED_VALUE"""),329.7768069120413)</f>
        <v>329.7768069</v>
      </c>
      <c r="U2715" s="82">
        <f>IFERROR(__xludf.DUMMYFUNCTION("""COMPUTED_VALUE"""),0.7102797495987514)</f>
        <v>0.7102797496</v>
      </c>
      <c r="V2715" s="82">
        <f>IFERROR(__xludf.DUMMYFUNCTION("""COMPUTED_VALUE"""),0.478311953334457)</f>
        <v>0.4783119533</v>
      </c>
      <c r="W2715" s="82">
        <f>IFERROR(__xludf.DUMMYFUNCTION("""COMPUTED_VALUE"""),1.3189938296801282)</f>
        <v>1.31899383</v>
      </c>
      <c r="X2715" s="82">
        <f>IFERROR(__xludf.DUMMYFUNCTION("""COMPUTED_VALUE"""),2.2056472854899214)</f>
        <v>2.205647285</v>
      </c>
      <c r="Y2715" s="82">
        <f>IFERROR(__xludf.DUMMYFUNCTION("""COMPUTED_VALUE"""),333.0768851132735)</f>
        <v>333.0768851</v>
      </c>
      <c r="Z2715" s="82">
        <f>IFERROR(__xludf.DUMMYFUNCTION("""COMPUTED_VALUE"""),0.8141166762549343)</f>
        <v>0.8141166763</v>
      </c>
      <c r="AA2715" s="82">
        <f>IFERROR(__xludf.DUMMYFUNCTION("""COMPUTED_VALUE"""),0.5415129056915721)</f>
        <v>0.5415129057</v>
      </c>
      <c r="AB2715" s="82">
        <f>IFERROR(__xludf.DUMMYFUNCTION("""COMPUTED_VALUE"""),1.095253165350686)</f>
        <v>1.095253165</v>
      </c>
      <c r="AC2715" s="82">
        <f>IFERROR(__xludf.DUMMYFUNCTION("""COMPUTED_VALUE"""),2.587789777593025)</f>
        <v>2.587789778</v>
      </c>
      <c r="AD2715" s="82">
        <f>IFERROR(__xludf.DUMMYFUNCTION("""COMPUTED_VALUE"""),0.9770717048987764)</f>
        <v>0.9770717049</v>
      </c>
      <c r="AE2715" s="82">
        <f>IFERROR(__xludf.DUMMYFUNCTION("""COMPUTED_VALUE"""),1.0809261444540597)</f>
        <v>1.080926144</v>
      </c>
      <c r="AF2715" s="82">
        <f>IFERROR(__xludf.DUMMYFUNCTION("""COMPUTED_VALUE"""),1.2557410781033271)</f>
        <v>1.255741078</v>
      </c>
      <c r="AG2715" s="82">
        <f>IFERROR(__xludf.DUMMYFUNCTION("""COMPUTED_VALUE"""),0.8034672054275555)</f>
        <v>0.8034672054</v>
      </c>
      <c r="AH2715" s="82">
        <f>IFERROR(__xludf.DUMMYFUNCTION("""COMPUTED_VALUE"""),1.0665472226137134)</f>
        <v>1.066547223</v>
      </c>
      <c r="AI2715" s="82">
        <f>IFERROR(__xludf.DUMMYFUNCTION("""COMPUTED_VALUE"""),1.0293022216402747)</f>
        <v>1.029302222</v>
      </c>
      <c r="AJ2715" s="82">
        <f>IFERROR(__xludf.DUMMYFUNCTION("""COMPUTED_VALUE"""),0.9761412087631789)</f>
        <v>0.9761412088</v>
      </c>
      <c r="AK2715" s="82">
        <f>IFERROR(__xludf.DUMMYFUNCTION("""COMPUTED_VALUE"""),1.0592807960046584)</f>
        <v>1.059280796</v>
      </c>
      <c r="AL2715" s="82">
        <f>IFERROR(__xludf.DUMMYFUNCTION("""COMPUTED_VALUE"""),1.1827197102038898)</f>
        <v>1.18271971</v>
      </c>
      <c r="AM2715" s="82">
        <f>IFERROR(__xludf.DUMMYFUNCTION("""COMPUTED_VALUE"""),0.840267319949875)</f>
        <v>0.8402673199</v>
      </c>
      <c r="AN2715" s="82">
        <f>IFERROR(__xludf.DUMMYFUNCTION("""COMPUTED_VALUE"""),1.0052467689641225)</f>
        <v>1.005246769</v>
      </c>
      <c r="AO2715" s="82">
        <f>IFERROR(__xludf.DUMMYFUNCTION("""COMPUTED_VALUE"""),1.193101393542422)</f>
        <v>1.193101394</v>
      </c>
      <c r="AP2715" s="82">
        <f>IFERROR(__xludf.DUMMYFUNCTION("""COMPUTED_VALUE"""),1.3781510247373407)</f>
        <v>1.378151025</v>
      </c>
      <c r="AQ2715" s="82">
        <f>IFERROR(__xludf.DUMMYFUNCTION("""COMPUTED_VALUE"""),0.7296206317150754)</f>
        <v>0.7296206317</v>
      </c>
      <c r="AR2715" s="82">
        <f>IFERROR(__xludf.DUMMYFUNCTION("""COMPUTED_VALUE"""),1.1717647182109676)</f>
        <v>1.171764718</v>
      </c>
      <c r="AS2715" s="82">
        <f>IFERROR(__xludf.DUMMYFUNCTION("""COMPUTED_VALUE"""),64.0)</f>
        <v>64</v>
      </c>
      <c r="AT2715" s="82">
        <f>IFERROR(__xludf.DUMMYFUNCTION("""COMPUTED_VALUE"""),0.5799461787824696)</f>
        <v>0.5799461788</v>
      </c>
      <c r="AU2715" s="82">
        <f>IFERROR(__xludf.DUMMYFUNCTION("""COMPUTED_VALUE"""),2.5380975480342327)</f>
        <v>2.538097548</v>
      </c>
      <c r="AV2715" s="82">
        <f>IFERROR(__xludf.DUMMYFUNCTION("""COMPUTED_VALUE"""),68.35994008143939)</f>
        <v>68.35994008</v>
      </c>
      <c r="AW2715" s="82">
        <f t="shared" si="1"/>
        <v>4.322394928</v>
      </c>
      <c r="AX2715" s="83">
        <f t="array" ref="AX2715">IFERROR(DGET('SBV Import'!A:G,"SBV",{"RSC ID","Tier";B2715,A2715}))</f>
        <v>61.67317515</v>
      </c>
      <c r="AY2715" s="82">
        <f t="shared" si="2"/>
        <v>3.122306508</v>
      </c>
      <c r="AZ2715" s="82">
        <v>1.2000884194932748</v>
      </c>
      <c r="BA2715" s="84">
        <v>2700.0</v>
      </c>
      <c r="BB2715" s="84" t="b">
        <f>IFERROR(__xludf.DUMMYFUNCTION("iferror(if(A2715="""",,E2715&gt;=FILTER(Constants!$F$2:$F$10,Constants!$A$2:$A$10=A2715)))"),TRUE)</f>
        <v>1</v>
      </c>
    </row>
    <row r="2716">
      <c r="A2716" s="89" t="str">
        <f>IFERROR(__xludf.DUMMYFUNCTION("""COMPUTED_VALUE"""),"Prospect")</f>
        <v>Prospect</v>
      </c>
      <c r="B2716" s="87" t="str">
        <f>IFERROR(__xludf.DUMMYFUNCTION("""COMPUTED_VALUE"""),"RSC007431")</f>
        <v>RSC007431</v>
      </c>
      <c r="C2716" s="73" t="str">
        <f>IFERROR(__xludf.DUMMYFUNCTION("""COMPUTED_VALUE"""),"xPotatodactylx")</f>
        <v>xPotatodactylx</v>
      </c>
      <c r="D2716" s="73" t="str">
        <f>IFERROR(__xludf.DUMMYFUNCTION("""COMPUTED_VALUE"""),"Hawaiian Pizza")</f>
        <v>Hawaiian Pizza</v>
      </c>
      <c r="E2716" s="82">
        <f>IFERROR(__xludf.DUMMYFUNCTION("""COMPUTED_VALUE"""),31.0)</f>
        <v>31</v>
      </c>
      <c r="F2716" s="82">
        <f>IFERROR(__xludf.DUMMYFUNCTION("""COMPUTED_VALUE"""),21.0)</f>
        <v>21</v>
      </c>
      <c r="G2716" s="86">
        <f>IFERROR(__xludf.DUMMYFUNCTION("""COMPUTED_VALUE"""),10.0)</f>
        <v>10</v>
      </c>
      <c r="H2716" s="86">
        <f>IFERROR(__xludf.DUMMYFUNCTION("""COMPUTED_VALUE"""),0.6774193548387096)</f>
        <v>0.6774193548</v>
      </c>
      <c r="I2716" s="86">
        <f>IFERROR(__xludf.DUMMYFUNCTION("""COMPUTED_VALUE"""),0.3424657534246575)</f>
        <v>0.3424657534</v>
      </c>
      <c r="J2716" s="82">
        <f>IFERROR(__xludf.DUMMYFUNCTION("""COMPUTED_VALUE"""),334.61290322580646)</f>
        <v>334.6129032</v>
      </c>
      <c r="K2716" s="82">
        <f>IFERROR(__xludf.DUMMYFUNCTION("""COMPUTED_VALUE"""),0.8064516129032258)</f>
        <v>0.8064516129</v>
      </c>
      <c r="L2716" s="82">
        <f>IFERROR(__xludf.DUMMYFUNCTION("""COMPUTED_VALUE"""),0.7419354838709677)</f>
        <v>0.7419354839</v>
      </c>
      <c r="M2716" s="82">
        <f>IFERROR(__xludf.DUMMYFUNCTION("""COMPUTED_VALUE"""),1.2258064516129032)</f>
        <v>1.225806452</v>
      </c>
      <c r="N2716" s="82">
        <f>IFERROR(__xludf.DUMMYFUNCTION("""COMPUTED_VALUE"""),2.3548387096774195)</f>
        <v>2.35483871</v>
      </c>
      <c r="O2716" s="82">
        <f>IFERROR(__xludf.DUMMYFUNCTION("""COMPUTED_VALUE"""),311.54838709677426)</f>
        <v>311.5483871</v>
      </c>
      <c r="P2716" s="82">
        <f>IFERROR(__xludf.DUMMYFUNCTION("""COMPUTED_VALUE"""),0.6129032258064516)</f>
        <v>0.6129032258</v>
      </c>
      <c r="Q2716" s="82">
        <f>IFERROR(__xludf.DUMMYFUNCTION("""COMPUTED_VALUE"""),0.4408602150537635)</f>
        <v>0.4408602151</v>
      </c>
      <c r="R2716" s="82">
        <f>IFERROR(__xludf.DUMMYFUNCTION("""COMPUTED_VALUE"""),1.1935483870967745)</f>
        <v>1.193548387</v>
      </c>
      <c r="S2716" s="82">
        <f>IFERROR(__xludf.DUMMYFUNCTION("""COMPUTED_VALUE"""),2.279569892473119)</f>
        <v>2.279569892</v>
      </c>
      <c r="T2716" s="82">
        <f>IFERROR(__xludf.DUMMYFUNCTION("""COMPUTED_VALUE"""),323.3456102903271)</f>
        <v>323.3456103</v>
      </c>
      <c r="U2716" s="82">
        <f>IFERROR(__xludf.DUMMYFUNCTION("""COMPUTED_VALUE"""),0.7172890724497918)</f>
        <v>0.7172890724</v>
      </c>
      <c r="V2716" s="82">
        <f>IFERROR(__xludf.DUMMYFUNCTION("""COMPUTED_VALUE"""),0.4923785792388391)</f>
        <v>0.4923785792</v>
      </c>
      <c r="W2716" s="82">
        <f>IFERROR(__xludf.DUMMYFUNCTION("""COMPUTED_VALUE"""),1.1804611807095002)</f>
        <v>1.180461181</v>
      </c>
      <c r="X2716" s="82">
        <f>IFERROR(__xludf.DUMMYFUNCTION("""COMPUTED_VALUE"""),2.369003828928814)</f>
        <v>2.369003829</v>
      </c>
      <c r="Y2716" s="82">
        <f>IFERROR(__xludf.DUMMYFUNCTION("""COMPUTED_VALUE"""),336.61567575280014)</f>
        <v>336.6156758</v>
      </c>
      <c r="Z2716" s="82">
        <f>IFERROR(__xludf.DUMMYFUNCTION("""COMPUTED_VALUE"""),0.8310202142842161)</f>
        <v>0.8310202143</v>
      </c>
      <c r="AA2716" s="82">
        <f>IFERROR(__xludf.DUMMYFUNCTION("""COMPUTED_VALUE"""),0.5375392752907177)</f>
        <v>0.5375392753</v>
      </c>
      <c r="AB2716" s="82">
        <f>IFERROR(__xludf.DUMMYFUNCTION("""COMPUTED_VALUE"""),1.2001925039267178)</f>
        <v>1.200192504</v>
      </c>
      <c r="AC2716" s="82">
        <f>IFERROR(__xludf.DUMMYFUNCTION("""COMPUTED_VALUE"""),2.437859336291404)</f>
        <v>2.437859336</v>
      </c>
      <c r="AD2716" s="82">
        <f>IFERROR(__xludf.DUMMYFUNCTION("""COMPUTED_VALUE"""),0.9940502695766775)</f>
        <v>0.9940502696</v>
      </c>
      <c r="AE2716" s="82">
        <f>IFERROR(__xludf.DUMMYFUNCTION("""COMPUTED_VALUE"""),0.9704356152128597)</f>
        <v>0.9704356152</v>
      </c>
      <c r="AF2716" s="82">
        <f>IFERROR(__xludf.DUMMYFUNCTION("""COMPUTED_VALUE"""),1.3802442314000338)</f>
        <v>1.380244231</v>
      </c>
      <c r="AG2716" s="82">
        <f>IFERROR(__xludf.DUMMYFUNCTION("""COMPUTED_VALUE"""),1.0213415327977664)</f>
        <v>1.021341533</v>
      </c>
      <c r="AH2716" s="82">
        <f>IFERROR(__xludf.DUMMYFUNCTION("""COMPUTED_VALUE"""),0.9659452760960853)</f>
        <v>0.9659452761</v>
      </c>
      <c r="AI2716" s="82">
        <f>IFERROR(__xludf.DUMMYFUNCTION("""COMPUTED_VALUE"""),0.9635151280298493)</f>
        <v>0.963515128</v>
      </c>
      <c r="AJ2716" s="82">
        <f>IFERROR(__xludf.DUMMYFUNCTION("""COMPUTED_VALUE"""),0.8544717176760742)</f>
        <v>0.8544717177</v>
      </c>
      <c r="AK2716" s="82">
        <f>IFERROR(__xludf.DUMMYFUNCTION("""COMPUTED_VALUE"""),0.8953683885584196)</f>
        <v>0.8953683886</v>
      </c>
      <c r="AL2716" s="82">
        <f>IFERROR(__xludf.DUMMYFUNCTION("""COMPUTED_VALUE"""),1.0110865199136903)</f>
        <v>1.01108652</v>
      </c>
      <c r="AM2716" s="82">
        <f>IFERROR(__xludf.DUMMYFUNCTION("""COMPUTED_VALUE"""),0.9622482938340653)</f>
        <v>0.9622482938</v>
      </c>
      <c r="AN2716" s="82">
        <f>IFERROR(__xludf.DUMMYFUNCTION("""COMPUTED_VALUE"""),1.0335808131189974)</f>
        <v>1.033580813</v>
      </c>
      <c r="AO2716" s="82">
        <f>IFERROR(__xludf.DUMMYFUNCTION("""COMPUTED_VALUE"""),1.0933847081583778)</f>
        <v>1.093384708</v>
      </c>
      <c r="AP2716" s="82">
        <f>IFERROR(__xludf.DUMMYFUNCTION("""COMPUTED_VALUE"""),1.5036752167437777)</f>
        <v>1.503675217</v>
      </c>
      <c r="AQ2716" s="82">
        <f>IFERROR(__xludf.DUMMYFUNCTION("""COMPUTED_VALUE"""),1.0163337245297972)</f>
        <v>1.016333725</v>
      </c>
      <c r="AR2716" s="82">
        <f>IFERROR(__xludf.DUMMYFUNCTION("""COMPUTED_VALUE"""),0.9997525061874784)</f>
        <v>0.9997525062</v>
      </c>
      <c r="AS2716" s="82">
        <f>IFERROR(__xludf.DUMMYFUNCTION("""COMPUTED_VALUE"""),85.0)</f>
        <v>85</v>
      </c>
      <c r="AT2716" s="82">
        <f>IFERROR(__xludf.DUMMYFUNCTION("""COMPUTED_VALUE"""),0.6498681537799031)</f>
        <v>0.6498681538</v>
      </c>
      <c r="AU2716" s="82">
        <f>IFERROR(__xludf.DUMMYFUNCTION("""COMPUTED_VALUE"""),2.4804908207459357)</f>
        <v>2.480490821</v>
      </c>
      <c r="AV2716" s="82">
        <f>IFERROR(__xludf.DUMMYFUNCTION("""COMPUTED_VALUE"""),66.52734365257936)</f>
        <v>66.52734365</v>
      </c>
      <c r="AW2716" s="82">
        <f t="shared" si="1"/>
        <v>3.932732996</v>
      </c>
      <c r="AX2716" s="83">
        <f t="array" ref="AX2716">IFERROR(DGET('SBV Import'!A:G,"SBV",{"RSC ID","Tier";B2716,A2716}))</f>
        <v>55.2681822</v>
      </c>
      <c r="AY2716" s="82">
        <f t="shared" si="2"/>
        <v>2.400671958</v>
      </c>
      <c r="AZ2716" s="82">
        <v>1.5320610379940929</v>
      </c>
      <c r="BA2716" s="84">
        <v>2700.0</v>
      </c>
      <c r="BB2716" s="84" t="b">
        <f>IFERROR(__xludf.DUMMYFUNCTION("iferror(if(A2716="""",,E2716&gt;=FILTER(Constants!$F$2:$F$10,Constants!$A$2:$A$10=A2716)))"),TRUE)</f>
        <v>1</v>
      </c>
    </row>
    <row r="2717">
      <c r="A2717" s="89" t="str">
        <f>IFERROR(__xludf.DUMMYFUNCTION("""COMPUTED_VALUE"""),"Prospect")</f>
        <v>Prospect</v>
      </c>
      <c r="B2717" s="87" t="str">
        <f>IFERROR(__xludf.DUMMYFUNCTION("""COMPUTED_VALUE"""),"RSC007202")</f>
        <v>RSC007202</v>
      </c>
      <c r="C2717" s="73" t="str">
        <f>IFERROR(__xludf.DUMMYFUNCTION("""COMPUTED_VALUE"""),"GreatHonda")</f>
        <v>GreatHonda</v>
      </c>
      <c r="D2717" s="73" t="str">
        <f>IFERROR(__xludf.DUMMYFUNCTION("""COMPUTED_VALUE"""),"Horizon Highball")</f>
        <v>Horizon Highball</v>
      </c>
      <c r="E2717" s="82">
        <f>IFERROR(__xludf.DUMMYFUNCTION("""COMPUTED_VALUE"""),26.0)</f>
        <v>26</v>
      </c>
      <c r="F2717" s="82">
        <f>IFERROR(__xludf.DUMMYFUNCTION("""COMPUTED_VALUE"""),18.0)</f>
        <v>18</v>
      </c>
      <c r="G2717" s="86">
        <f>IFERROR(__xludf.DUMMYFUNCTION("""COMPUTED_VALUE"""),8.0)</f>
        <v>8</v>
      </c>
      <c r="H2717" s="86">
        <f>IFERROR(__xludf.DUMMYFUNCTION("""COMPUTED_VALUE"""),0.6923076923076923)</f>
        <v>0.6923076923</v>
      </c>
      <c r="I2717" s="86">
        <f>IFERROR(__xludf.DUMMYFUNCTION("""COMPUTED_VALUE"""),0.29411764705882354)</f>
        <v>0.2941176471</v>
      </c>
      <c r="J2717" s="82">
        <f>IFERROR(__xludf.DUMMYFUNCTION("""COMPUTED_VALUE"""),338.0)</f>
        <v>338</v>
      </c>
      <c r="K2717" s="82">
        <f>IFERROR(__xludf.DUMMYFUNCTION("""COMPUTED_VALUE"""),0.7692307692307693)</f>
        <v>0.7692307692</v>
      </c>
      <c r="L2717" s="82">
        <f>IFERROR(__xludf.DUMMYFUNCTION("""COMPUTED_VALUE"""),0.6538461538461539)</f>
        <v>0.6538461538</v>
      </c>
      <c r="M2717" s="82">
        <f>IFERROR(__xludf.DUMMYFUNCTION("""COMPUTED_VALUE"""),1.0)</f>
        <v>1</v>
      </c>
      <c r="N2717" s="82">
        <f>IFERROR(__xludf.DUMMYFUNCTION("""COMPUTED_VALUE"""),2.6153846153846154)</f>
        <v>2.615384615</v>
      </c>
      <c r="O2717" s="82">
        <f>IFERROR(__xludf.DUMMYFUNCTION("""COMPUTED_VALUE"""),324.14102564102564)</f>
        <v>324.1410256</v>
      </c>
      <c r="P2717" s="82">
        <f>IFERROR(__xludf.DUMMYFUNCTION("""COMPUTED_VALUE"""),0.6153846153846154)</f>
        <v>0.6153846154</v>
      </c>
      <c r="Q2717" s="82">
        <f>IFERROR(__xludf.DUMMYFUNCTION("""COMPUTED_VALUE"""),0.4487179487179488)</f>
        <v>0.4487179487</v>
      </c>
      <c r="R2717" s="82">
        <f>IFERROR(__xludf.DUMMYFUNCTION("""COMPUTED_VALUE"""),1.3461538461538463)</f>
        <v>1.346153846</v>
      </c>
      <c r="S2717" s="82">
        <f>IFERROR(__xludf.DUMMYFUNCTION("""COMPUTED_VALUE"""),1.858974358974359)</f>
        <v>1.858974359</v>
      </c>
      <c r="T2717" s="82">
        <f>IFERROR(__xludf.DUMMYFUNCTION("""COMPUTED_VALUE"""),329.0548396542637)</f>
        <v>329.0548397</v>
      </c>
      <c r="U2717" s="82">
        <f>IFERROR(__xludf.DUMMYFUNCTION("""COMPUTED_VALUE"""),0.7374689310356455)</f>
        <v>0.737468931</v>
      </c>
      <c r="V2717" s="82">
        <f>IFERROR(__xludf.DUMMYFUNCTION("""COMPUTED_VALUE"""),0.4939697227078158)</f>
        <v>0.4939697227</v>
      </c>
      <c r="W2717" s="82">
        <f>IFERROR(__xludf.DUMMYFUNCTION("""COMPUTED_VALUE"""),1.2398089702448882)</f>
        <v>1.23980897</v>
      </c>
      <c r="X2717" s="82">
        <f>IFERROR(__xludf.DUMMYFUNCTION("""COMPUTED_VALUE"""),2.30877029653703)</f>
        <v>2.308770297</v>
      </c>
      <c r="Y2717" s="82">
        <f>IFERROR(__xludf.DUMMYFUNCTION("""COMPUTED_VALUE"""),335.60500222269417)</f>
        <v>335.6050022</v>
      </c>
      <c r="Z2717" s="82">
        <f>IFERROR(__xludf.DUMMYFUNCTION("""COMPUTED_VALUE"""),0.7966274554646025)</f>
        <v>0.7966274555</v>
      </c>
      <c r="AA2717" s="82">
        <f>IFERROR(__xludf.DUMMYFUNCTION("""COMPUTED_VALUE"""),0.5323547043318309)</f>
        <v>0.5323547043</v>
      </c>
      <c r="AB2717" s="82">
        <f>IFERROR(__xludf.DUMMYFUNCTION("""COMPUTED_VALUE"""),1.1845523320677491)</f>
        <v>1.184552332</v>
      </c>
      <c r="AC2717" s="82">
        <f>IFERROR(__xludf.DUMMYFUNCTION("""COMPUTED_VALUE"""),2.4967282312161916)</f>
        <v>2.496728231</v>
      </c>
      <c r="AD2717" s="82">
        <f>IFERROR(__xludf.DUMMYFUNCTION("""COMPUTED_VALUE"""),1.007136358997762)</f>
        <v>1.007136359</v>
      </c>
      <c r="AE2717" s="82">
        <f>IFERROR(__xludf.DUMMYFUNCTION("""COMPUTED_VALUE"""),0.9656091614142835)</f>
        <v>0.9656091614</v>
      </c>
      <c r="AF2717" s="82">
        <f>IFERROR(__xludf.DUMMYFUNCTION("""COMPUTED_VALUE"""),1.2282152266632251)</f>
        <v>1.228215227</v>
      </c>
      <c r="AG2717" s="82">
        <f>IFERROR(__xludf.DUMMYFUNCTION("""COMPUTED_VALUE"""),0.8442007777355051)</f>
        <v>0.8442007777</v>
      </c>
      <c r="AH2717" s="82">
        <f>IFERROR(__xludf.DUMMYFUNCTION("""COMPUTED_VALUE"""),1.0475247496643336)</f>
        <v>1.04752475</v>
      </c>
      <c r="AI2717" s="82">
        <f>IFERROR(__xludf.DUMMYFUNCTION("""COMPUTED_VALUE"""),0.9850668842360716)</f>
        <v>0.9850668842</v>
      </c>
      <c r="AJ2717" s="82">
        <f>IFERROR(__xludf.DUMMYFUNCTION("""COMPUTED_VALUE"""),0.8344549708967616)</f>
        <v>0.8344549709</v>
      </c>
      <c r="AK2717" s="82">
        <f>IFERROR(__xludf.DUMMYFUNCTION("""COMPUTED_VALUE"""),0.9083916039594323)</f>
        <v>0.908391604</v>
      </c>
      <c r="AL2717" s="82">
        <f>IFERROR(__xludf.DUMMYFUNCTION("""COMPUTED_VALUE"""),1.0857752109084617)</f>
        <v>1.085775211</v>
      </c>
      <c r="AM2717" s="82">
        <f>IFERROR(__xludf.DUMMYFUNCTION("""COMPUTED_VALUE"""),0.8051794332951491)</f>
        <v>0.8051794333</v>
      </c>
      <c r="AN2717" s="82">
        <f>IFERROR(__xludf.DUMMYFUNCTION("""COMPUTED_VALUE"""),1.0440431658980869)</f>
        <v>1.044043166</v>
      </c>
      <c r="AO2717" s="82">
        <f>IFERROR(__xludf.DUMMYFUNCTION("""COMPUTED_VALUE"""),1.0429207985510682)</f>
        <v>1.042920799</v>
      </c>
      <c r="AP2717" s="82">
        <f>IFERROR(__xludf.DUMMYFUNCTION("""COMPUTED_VALUE"""),1.3251452160935968)</f>
        <v>1.325145216</v>
      </c>
      <c r="AQ2717" s="82">
        <f>IFERROR(__xludf.DUMMYFUNCTION("""COMPUTED_VALUE"""),0.8291143542216766)</f>
        <v>0.8291143542</v>
      </c>
      <c r="AR2717" s="82">
        <f>IFERROR(__xludf.DUMMYFUNCTION("""COMPUTED_VALUE"""),1.1103679046592225)</f>
        <v>1.110367905</v>
      </c>
      <c r="AS2717" s="82">
        <f>IFERROR(__xludf.DUMMYFUNCTION("""COMPUTED_VALUE"""),71.0)</f>
        <v>71</v>
      </c>
      <c r="AT2717" s="82">
        <f>IFERROR(__xludf.DUMMYFUNCTION("""COMPUTED_VALUE"""),0.64697056014436)</f>
        <v>0.6469705601</v>
      </c>
      <c r="AU2717" s="82">
        <f>IFERROR(__xludf.DUMMYFUNCTION("""COMPUTED_VALUE"""),2.4675258706361323)</f>
        <v>2.467525871</v>
      </c>
      <c r="AV2717" s="82">
        <f>IFERROR(__xludf.DUMMYFUNCTION("""COMPUTED_VALUE"""),66.11490013443488)</f>
        <v>66.11490013</v>
      </c>
      <c r="AW2717" s="82">
        <f t="shared" si="1"/>
        <v>3.852161557</v>
      </c>
      <c r="AX2717" s="83">
        <f t="array" ref="AX2717">IFERROR(DGET('SBV Import'!A:G,"SBV",{"RSC ID","Tier";B2717,A2717}))</f>
        <v>65.24401305</v>
      </c>
      <c r="AY2717" s="82">
        <f t="shared" si="2"/>
        <v>3.689897634</v>
      </c>
      <c r="AZ2717" s="82">
        <v>0.1622639228009355</v>
      </c>
      <c r="BA2717" s="84">
        <v>2700.0</v>
      </c>
      <c r="BB2717" s="84" t="b">
        <f>IFERROR(__xludf.DUMMYFUNCTION("iferror(if(A2717="""",,E2717&gt;=FILTER(Constants!$F$2:$F$10,Constants!$A$2:$A$10=A2717)))"),TRUE)</f>
        <v>1</v>
      </c>
    </row>
    <row r="2718">
      <c r="A2718" s="89" t="str">
        <f>IFERROR(__xludf.DUMMYFUNCTION("""COMPUTED_VALUE"""),"Prospect")</f>
        <v>Prospect</v>
      </c>
      <c r="B2718" s="87" t="str">
        <f>IFERROR(__xludf.DUMMYFUNCTION("""COMPUTED_VALUE"""),"RSC006308")</f>
        <v>RSC006308</v>
      </c>
      <c r="C2718" s="73" t="str">
        <f>IFERROR(__xludf.DUMMYFUNCTION("""COMPUTED_VALUE"""),"SqueezySponge")</f>
        <v>SqueezySponge</v>
      </c>
      <c r="D2718" s="73" t="str">
        <f>IFERROR(__xludf.DUMMYFUNCTION("""COMPUTED_VALUE"""),"Hawaiian Pizza")</f>
        <v>Hawaiian Pizza</v>
      </c>
      <c r="E2718" s="82">
        <f>IFERROR(__xludf.DUMMYFUNCTION("""COMPUTED_VALUE"""),31.0)</f>
        <v>31</v>
      </c>
      <c r="F2718" s="82">
        <f>IFERROR(__xludf.DUMMYFUNCTION("""COMPUTED_VALUE"""),19.0)</f>
        <v>19</v>
      </c>
      <c r="G2718" s="86">
        <f>IFERROR(__xludf.DUMMYFUNCTION("""COMPUTED_VALUE"""),12.0)</f>
        <v>12</v>
      </c>
      <c r="H2718" s="86">
        <f>IFERROR(__xludf.DUMMYFUNCTION("""COMPUTED_VALUE"""),0.6129032258064516)</f>
        <v>0.6129032258</v>
      </c>
      <c r="I2718" s="86">
        <f>IFERROR(__xludf.DUMMYFUNCTION("""COMPUTED_VALUE"""),0.3023255813953488)</f>
        <v>0.3023255814</v>
      </c>
      <c r="J2718" s="82">
        <f>IFERROR(__xludf.DUMMYFUNCTION("""COMPUTED_VALUE"""),353.2258064516129)</f>
        <v>353.2258065</v>
      </c>
      <c r="K2718" s="82">
        <f>IFERROR(__xludf.DUMMYFUNCTION("""COMPUTED_VALUE"""),0.8387096774193549)</f>
        <v>0.8387096774</v>
      </c>
      <c r="L2718" s="82">
        <f>IFERROR(__xludf.DUMMYFUNCTION("""COMPUTED_VALUE"""),0.6129032258064516)</f>
        <v>0.6129032258</v>
      </c>
      <c r="M2718" s="82">
        <f>IFERROR(__xludf.DUMMYFUNCTION("""COMPUTED_VALUE"""),1.3548387096774193)</f>
        <v>1.35483871</v>
      </c>
      <c r="N2718" s="82">
        <f>IFERROR(__xludf.DUMMYFUNCTION("""COMPUTED_VALUE"""),2.774193548387097)</f>
        <v>2.774193548</v>
      </c>
      <c r="O2718" s="82">
        <f>IFERROR(__xludf.DUMMYFUNCTION("""COMPUTED_VALUE"""),316.3870967741936)</f>
        <v>316.3870968</v>
      </c>
      <c r="P2718" s="82">
        <f>IFERROR(__xludf.DUMMYFUNCTION("""COMPUTED_VALUE"""),0.7096774193548386)</f>
        <v>0.7096774194</v>
      </c>
      <c r="Q2718" s="82">
        <f>IFERROR(__xludf.DUMMYFUNCTION("""COMPUTED_VALUE"""),0.5161290322580646)</f>
        <v>0.5161290323</v>
      </c>
      <c r="R2718" s="82">
        <f>IFERROR(__xludf.DUMMYFUNCTION("""COMPUTED_VALUE"""),1.0645161290322582)</f>
        <v>1.064516129</v>
      </c>
      <c r="S2718" s="82">
        <f>IFERROR(__xludf.DUMMYFUNCTION("""COMPUTED_VALUE"""),2.3978494623655924)</f>
        <v>2.397849462</v>
      </c>
      <c r="T2718" s="82">
        <f>IFERROR(__xludf.DUMMYFUNCTION("""COMPUTED_VALUE"""),324.91431757448356)</f>
        <v>324.9143176</v>
      </c>
      <c r="U2718" s="82">
        <f>IFERROR(__xludf.DUMMYFUNCTION("""COMPUTED_VALUE"""),0.7266254944198708)</f>
        <v>0.7266254944</v>
      </c>
      <c r="V2718" s="82">
        <f>IFERROR(__xludf.DUMMYFUNCTION("""COMPUTED_VALUE"""),0.5048698401791483)</f>
        <v>0.5048698402</v>
      </c>
      <c r="W2718" s="82">
        <f>IFERROR(__xludf.DUMMYFUNCTION("""COMPUTED_VALUE"""),1.1513188714558313)</f>
        <v>1.151318871</v>
      </c>
      <c r="X2718" s="82">
        <f>IFERROR(__xludf.DUMMYFUNCTION("""COMPUTED_VALUE"""),2.379753262495434)</f>
        <v>2.379753262</v>
      </c>
      <c r="Y2718" s="82">
        <f>IFERROR(__xludf.DUMMYFUNCTION("""COMPUTED_VALUE"""),337.998008584395)</f>
        <v>337.9980086</v>
      </c>
      <c r="Z2718" s="82">
        <f>IFERROR(__xludf.DUMMYFUNCTION("""COMPUTED_VALUE"""),0.8244133412028593)</f>
        <v>0.8244133412</v>
      </c>
      <c r="AA2718" s="82">
        <f>IFERROR(__xludf.DUMMYFUNCTION("""COMPUTED_VALUE"""),0.536543099420553)</f>
        <v>0.5365430994</v>
      </c>
      <c r="AB2718" s="82">
        <f>IFERROR(__xludf.DUMMYFUNCTION("""COMPUTED_VALUE"""),1.2090449182944598)</f>
        <v>1.209044918</v>
      </c>
      <c r="AC2718" s="82">
        <f>IFERROR(__xludf.DUMMYFUNCTION("""COMPUTED_VALUE"""),2.4130574805248117)</f>
        <v>2.413057481</v>
      </c>
      <c r="AD2718" s="82">
        <f>IFERROR(__xludf.DUMMYFUNCTION("""COMPUTED_VALUE"""),1.045052921852987)</f>
        <v>1.045052922</v>
      </c>
      <c r="AE2718" s="82">
        <f>IFERROR(__xludf.DUMMYFUNCTION("""COMPUTED_VALUE"""),1.0173412237551087)</f>
        <v>1.017341224</v>
      </c>
      <c r="AF2718" s="82">
        <f>IFERROR(__xludf.DUMMYFUNCTION("""COMPUTED_VALUE"""),1.1423187186050194)</f>
        <v>1.142318719</v>
      </c>
      <c r="AG2718" s="82">
        <f>IFERROR(__xludf.DUMMYFUNCTION("""COMPUTED_VALUE"""),1.1205859180059443)</f>
        <v>1.120585918</v>
      </c>
      <c r="AH2718" s="82">
        <f>IFERROR(__xludf.DUMMYFUNCTION("""COMPUTED_VALUE"""),1.149659123654088)</f>
        <v>1.149659124</v>
      </c>
      <c r="AI2718" s="82">
        <f>IFERROR(__xludf.DUMMYFUNCTION("""COMPUTED_VALUE"""),0.9737554784783062)</f>
        <v>0.9737554785</v>
      </c>
      <c r="AJ2718" s="82">
        <f>IFERROR(__xludf.DUMMYFUNCTION("""COMPUTED_VALUE"""),0.9766756393834443)</f>
        <v>0.9766756394</v>
      </c>
      <c r="AK2718" s="82">
        <f>IFERROR(__xludf.DUMMYFUNCTION("""COMPUTED_VALUE"""),1.0223011778143078)</f>
        <v>1.022301178</v>
      </c>
      <c r="AL2718" s="82">
        <f>IFERROR(__xludf.DUMMYFUNCTION("""COMPUTED_VALUE"""),0.9246058198335515)</f>
        <v>0.9246058198</v>
      </c>
      <c r="AM2718" s="82">
        <f>IFERROR(__xludf.DUMMYFUNCTION("""COMPUTED_VALUE"""),1.0076042336637803)</f>
        <v>1.007604234</v>
      </c>
      <c r="AN2718" s="82">
        <f>IFERROR(__xludf.DUMMYFUNCTION("""COMPUTED_VALUE"""),1.0910739326764698)</f>
        <v>1.091073933</v>
      </c>
      <c r="AO2718" s="82">
        <f>IFERROR(__xludf.DUMMYFUNCTION("""COMPUTED_VALUE"""),1.137120096484713)</f>
        <v>1.137120096</v>
      </c>
      <c r="AP2718" s="82">
        <f>IFERROR(__xludf.DUMMYFUNCTION("""COMPUTED_VALUE"""),1.2421664833970338)</f>
        <v>1.242166483</v>
      </c>
      <c r="AQ2718" s="82">
        <f>IFERROR(__xludf.DUMMYFUNCTION("""COMPUTED_VALUE"""),1.123316221848723)</f>
        <v>1.123316222</v>
      </c>
      <c r="AR2718" s="82">
        <f>IFERROR(__xludf.DUMMYFUNCTION("""COMPUTED_VALUE"""),1.1777906237277143)</f>
        <v>1.177790624</v>
      </c>
      <c r="AS2718" s="82">
        <f>IFERROR(__xludf.DUMMYFUNCTION("""COMPUTED_VALUE"""),88.0)</f>
        <v>88</v>
      </c>
      <c r="AT2718" s="82">
        <f>IFERROR(__xludf.DUMMYFUNCTION("""COMPUTED_VALUE"""),0.6120014288565654)</f>
        <v>0.6120014289</v>
      </c>
      <c r="AU2718" s="82">
        <f>IFERROR(__xludf.DUMMYFUNCTION("""COMPUTED_VALUE"""),2.4656603959140053)</f>
        <v>2.465660396</v>
      </c>
      <c r="AV2718" s="82">
        <f>IFERROR(__xludf.DUMMYFUNCTION("""COMPUTED_VALUE"""),66.05555528922628)</f>
        <v>66.05555529</v>
      </c>
      <c r="AW2718" s="82">
        <f t="shared" si="1"/>
        <v>3.840770023</v>
      </c>
      <c r="AX2718" s="83">
        <f t="array" ref="AX2718">IFERROR(DGET('SBV Import'!A:G,"SBV",{"RSC ID","Tier";B2718,A2718}))</f>
        <v>59.90725965</v>
      </c>
      <c r="AY2718" s="82">
        <f t="shared" si="2"/>
        <v>2.890629483</v>
      </c>
      <c r="AZ2718" s="82">
        <v>0.9501405402980132</v>
      </c>
      <c r="BA2718" s="84">
        <v>2700.0</v>
      </c>
      <c r="BB2718" s="84" t="b">
        <f>IFERROR(__xludf.DUMMYFUNCTION("iferror(if(A2718="""",,E2718&gt;=FILTER(Constants!$F$2:$F$10,Constants!$A$2:$A$10=A2718)))"),TRUE)</f>
        <v>1</v>
      </c>
    </row>
    <row r="2719">
      <c r="A2719" s="89" t="str">
        <f>IFERROR(__xludf.DUMMYFUNCTION("""COMPUTED_VALUE"""),"Prospect")</f>
        <v>Prospect</v>
      </c>
      <c r="B2719" s="87" t="str">
        <f>IFERROR(__xludf.DUMMYFUNCTION("""COMPUTED_VALUE"""),"RSC005884")</f>
        <v>RSC005884</v>
      </c>
      <c r="C2719" s="73" t="str">
        <f>IFERROR(__xludf.DUMMYFUNCTION("""COMPUTED_VALUE"""),"Zachthebull36")</f>
        <v>Zachthebull36</v>
      </c>
      <c r="D2719" s="73" t="str">
        <f>IFERROR(__xludf.DUMMYFUNCTION("""COMPUTED_VALUE"""),"Earth")</f>
        <v>Earth</v>
      </c>
      <c r="E2719" s="82">
        <f>IFERROR(__xludf.DUMMYFUNCTION("""COMPUTED_VALUE"""),24.0)</f>
        <v>24</v>
      </c>
      <c r="F2719" s="82">
        <f>IFERROR(__xludf.DUMMYFUNCTION("""COMPUTED_VALUE"""),16.0)</f>
        <v>16</v>
      </c>
      <c r="G2719" s="86">
        <f>IFERROR(__xludf.DUMMYFUNCTION("""COMPUTED_VALUE"""),8.0)</f>
        <v>8</v>
      </c>
      <c r="H2719" s="86">
        <f>IFERROR(__xludf.DUMMYFUNCTION("""COMPUTED_VALUE"""),0.6666666666666666)</f>
        <v>0.6666666667</v>
      </c>
      <c r="I2719" s="86">
        <f>IFERROR(__xludf.DUMMYFUNCTION("""COMPUTED_VALUE"""),0.27397260273972607)</f>
        <v>0.2739726027</v>
      </c>
      <c r="J2719" s="82">
        <f>IFERROR(__xludf.DUMMYFUNCTION("""COMPUTED_VALUE"""),322.5)</f>
        <v>322.5</v>
      </c>
      <c r="K2719" s="82">
        <f>IFERROR(__xludf.DUMMYFUNCTION("""COMPUTED_VALUE"""),0.8333333333333334)</f>
        <v>0.8333333333</v>
      </c>
      <c r="L2719" s="82">
        <f>IFERROR(__xludf.DUMMYFUNCTION("""COMPUTED_VALUE"""),0.5)</f>
        <v>0.5</v>
      </c>
      <c r="M2719" s="82">
        <f>IFERROR(__xludf.DUMMYFUNCTION("""COMPUTED_VALUE"""),0.8333333333333334)</f>
        <v>0.8333333333</v>
      </c>
      <c r="N2719" s="82">
        <f>IFERROR(__xludf.DUMMYFUNCTION("""COMPUTED_VALUE"""),3.0416666666666665)</f>
        <v>3.041666667</v>
      </c>
      <c r="O2719" s="82">
        <f>IFERROR(__xludf.DUMMYFUNCTION("""COMPUTED_VALUE"""),309.1805555555555)</f>
        <v>309.1805556</v>
      </c>
      <c r="P2719" s="82">
        <f>IFERROR(__xludf.DUMMYFUNCTION("""COMPUTED_VALUE"""),0.5972222222222223)</f>
        <v>0.5972222222</v>
      </c>
      <c r="Q2719" s="82">
        <f>IFERROR(__xludf.DUMMYFUNCTION("""COMPUTED_VALUE"""),0.3611111111111111)</f>
        <v>0.3611111111</v>
      </c>
      <c r="R2719" s="82">
        <f>IFERROR(__xludf.DUMMYFUNCTION("""COMPUTED_VALUE"""),1.3888888888888886)</f>
        <v>1.388888889</v>
      </c>
      <c r="S2719" s="82">
        <f>IFERROR(__xludf.DUMMYFUNCTION("""COMPUTED_VALUE"""),1.847222222222222)</f>
        <v>1.847222222</v>
      </c>
      <c r="T2719" s="82">
        <f>IFERROR(__xludf.DUMMYFUNCTION("""COMPUTED_VALUE"""),320.76858115361074)</f>
        <v>320.7685812</v>
      </c>
      <c r="U2719" s="82">
        <f>IFERROR(__xludf.DUMMYFUNCTION("""COMPUTED_VALUE"""),0.701869431306061)</f>
        <v>0.7018694313</v>
      </c>
      <c r="V2719" s="82">
        <f>IFERROR(__xludf.DUMMYFUNCTION("""COMPUTED_VALUE"""),0.45710816985150254)</f>
        <v>0.4571081699</v>
      </c>
      <c r="W2719" s="82">
        <f>IFERROR(__xludf.DUMMYFUNCTION("""COMPUTED_VALUE"""),1.2442572306695066)</f>
        <v>1.244257231</v>
      </c>
      <c r="X2719" s="82">
        <f>IFERROR(__xludf.DUMMYFUNCTION("""COMPUTED_VALUE"""),2.152874055269612)</f>
        <v>2.152874055</v>
      </c>
      <c r="Y2719" s="82">
        <f>IFERROR(__xludf.DUMMYFUNCTION("""COMPUTED_VALUE"""),342.3176731469794)</f>
        <v>342.3176731</v>
      </c>
      <c r="Z2719" s="82">
        <f>IFERROR(__xludf.DUMMYFUNCTION("""COMPUTED_VALUE"""),0.8539067701582308)</f>
        <v>0.8539067702</v>
      </c>
      <c r="AA2719" s="82">
        <f>IFERROR(__xludf.DUMMYFUNCTION("""COMPUTED_VALUE"""),0.5785842420352932)</f>
        <v>0.578584242</v>
      </c>
      <c r="AB2719" s="82">
        <f>IFERROR(__xludf.DUMMYFUNCTION("""COMPUTED_VALUE"""),1.090235946983103)</f>
        <v>1.090235947</v>
      </c>
      <c r="AC2719" s="82">
        <f>IFERROR(__xludf.DUMMYFUNCTION("""COMPUTED_VALUE"""),2.7185571112363824)</f>
        <v>2.718557111</v>
      </c>
      <c r="AD2719" s="82">
        <f>IFERROR(__xludf.DUMMYFUNCTION("""COMPUTED_VALUE"""),0.942107361957703)</f>
        <v>0.942107362</v>
      </c>
      <c r="AE2719" s="82">
        <f>IFERROR(__xludf.DUMMYFUNCTION("""COMPUTED_VALUE"""),0.9759066943325849)</f>
        <v>0.9759066943</v>
      </c>
      <c r="AF2719" s="82">
        <f>IFERROR(__xludf.DUMMYFUNCTION("""COMPUTED_VALUE"""),0.8641783921406908)</f>
        <v>0.8641783921</v>
      </c>
      <c r="AG2719" s="82">
        <f>IFERROR(__xludf.DUMMYFUNCTION("""COMPUTED_VALUE"""),0.7643605364869231)</f>
        <v>0.7643605365</v>
      </c>
      <c r="AH2719" s="82">
        <f>IFERROR(__xludf.DUMMYFUNCTION("""COMPUTED_VALUE"""),1.1188533263085785)</f>
        <v>1.118853326</v>
      </c>
      <c r="AI2719" s="82">
        <f>IFERROR(__xludf.DUMMYFUNCTION("""COMPUTED_VALUE"""),0.9638741875641931)</f>
        <v>0.9638741876</v>
      </c>
      <c r="AJ2719" s="82">
        <f>IFERROR(__xludf.DUMMYFUNCTION("""COMPUTED_VALUE"""),0.8509021700957857)</f>
        <v>0.8509021701</v>
      </c>
      <c r="AK2719" s="82">
        <f>IFERROR(__xludf.DUMMYFUNCTION("""COMPUTED_VALUE"""),0.7899904988099922)</f>
        <v>0.7899904988</v>
      </c>
      <c r="AL2719" s="82">
        <f>IFERROR(__xludf.DUMMYFUNCTION("""COMPUTED_VALUE"""),1.1162393552188232)</f>
        <v>1.116239355</v>
      </c>
      <c r="AM2719" s="82">
        <f>IFERROR(__xludf.DUMMYFUNCTION("""COMPUTED_VALUE"""),0.8580261430996193)</f>
        <v>0.8580261431</v>
      </c>
      <c r="AN2719" s="82">
        <f>IFERROR(__xludf.DUMMYFUNCTION("""COMPUTED_VALUE"""),0.9961654467518728)</f>
        <v>0.9961654468</v>
      </c>
      <c r="AO2719" s="82">
        <f>IFERROR(__xludf.DUMMYFUNCTION("""COMPUTED_VALUE"""),1.1298308650969906)</f>
        <v>1.129830865</v>
      </c>
      <c r="AP2719" s="82">
        <f>IFERROR(__xludf.DUMMYFUNCTION("""COMPUTED_VALUE"""),1.0133463417186328)</f>
        <v>1.013346342</v>
      </c>
      <c r="AQ2719" s="82">
        <f>IFERROR(__xludf.DUMMYFUNCTION("""COMPUTED_VALUE"""),0.6909286285180638)</f>
        <v>0.6909286285</v>
      </c>
      <c r="AR2719" s="82">
        <f>IFERROR(__xludf.DUMMYFUNCTION("""COMPUTED_VALUE"""),1.291346987158826)</f>
        <v>1.291346987</v>
      </c>
      <c r="AS2719" s="82">
        <f>IFERROR(__xludf.DUMMYFUNCTION("""COMPUTED_VALUE"""),66.0)</f>
        <v>66</v>
      </c>
      <c r="AT2719" s="82">
        <f>IFERROR(__xludf.DUMMYFUNCTION("""COMPUTED_VALUE"""),0.659595814315728)</f>
        <v>0.6595958143</v>
      </c>
      <c r="AU2719" s="82">
        <f>IFERROR(__xludf.DUMMYFUNCTION("""COMPUTED_VALUE"""),2.410818613476908)</f>
        <v>2.410818613</v>
      </c>
      <c r="AV2719" s="82">
        <f>IFERROR(__xludf.DUMMYFUNCTION("""COMPUTED_VALUE"""),64.31091782451541)</f>
        <v>64.31091782</v>
      </c>
      <c r="AW2719" s="82">
        <f t="shared" si="1"/>
        <v>3.52717419</v>
      </c>
      <c r="AX2719" s="83">
        <f t="array" ref="AX2719">IFERROR(DGET('SBV Import'!A:G,"SBV",{"RSC ID","Tier";B2719,A2719}))</f>
        <v>56.51609689</v>
      </c>
      <c r="AY2719" s="82">
        <f t="shared" si="2"/>
        <v>2.517727473</v>
      </c>
      <c r="AZ2719" s="82">
        <v>1.0094467161426266</v>
      </c>
      <c r="BA2719" s="84">
        <v>2700.0</v>
      </c>
      <c r="BB2719" s="84" t="b">
        <f>IFERROR(__xludf.DUMMYFUNCTION("iferror(if(A2719="""",,E2719&gt;=FILTER(Constants!$F$2:$F$10,Constants!$A$2:$A$10=A2719)))"),TRUE)</f>
        <v>1</v>
      </c>
    </row>
    <row r="2720">
      <c r="A2720" s="89" t="str">
        <f>IFERROR(__xludf.DUMMYFUNCTION("""COMPUTED_VALUE"""),"Prospect")</f>
        <v>Prospect</v>
      </c>
      <c r="B2720" s="87" t="str">
        <f>IFERROR(__xludf.DUMMYFUNCTION("""COMPUTED_VALUE"""),"RSC003295")</f>
        <v>RSC003295</v>
      </c>
      <c r="C2720" s="73" t="str">
        <f>IFERROR(__xludf.DUMMYFUNCTION("""COMPUTED_VALUE"""),"ConfuciusDragon")</f>
        <v>ConfuciusDragon</v>
      </c>
      <c r="D2720" s="73" t="str">
        <f>IFERROR(__xludf.DUMMYFUNCTION("""COMPUTED_VALUE"""),"Mop Tops")</f>
        <v>Mop Tops</v>
      </c>
      <c r="E2720" s="82">
        <f>IFERROR(__xludf.DUMMYFUNCTION("""COMPUTED_VALUE"""),33.0)</f>
        <v>33</v>
      </c>
      <c r="F2720" s="82">
        <f>IFERROR(__xludf.DUMMYFUNCTION("""COMPUTED_VALUE"""),18.0)</f>
        <v>18</v>
      </c>
      <c r="G2720" s="86">
        <f>IFERROR(__xludf.DUMMYFUNCTION("""COMPUTED_VALUE"""),15.0)</f>
        <v>15</v>
      </c>
      <c r="H2720" s="86">
        <f>IFERROR(__xludf.DUMMYFUNCTION("""COMPUTED_VALUE"""),0.5454545454545454)</f>
        <v>0.5454545455</v>
      </c>
      <c r="I2720" s="86">
        <f>IFERROR(__xludf.DUMMYFUNCTION("""COMPUTED_VALUE"""),0.32499999999999996)</f>
        <v>0.325</v>
      </c>
      <c r="J2720" s="82">
        <f>IFERROR(__xludf.DUMMYFUNCTION("""COMPUTED_VALUE"""),359.969696969697)</f>
        <v>359.969697</v>
      </c>
      <c r="K2720" s="82">
        <f>IFERROR(__xludf.DUMMYFUNCTION("""COMPUTED_VALUE"""),0.7878787878787878)</f>
        <v>0.7878787879</v>
      </c>
      <c r="L2720" s="82">
        <f>IFERROR(__xludf.DUMMYFUNCTION("""COMPUTED_VALUE"""),0.6060606060606061)</f>
        <v>0.6060606061</v>
      </c>
      <c r="M2720" s="82">
        <f>IFERROR(__xludf.DUMMYFUNCTION("""COMPUTED_VALUE"""),1.4242424242424243)</f>
        <v>1.424242424</v>
      </c>
      <c r="N2720" s="82">
        <f>IFERROR(__xludf.DUMMYFUNCTION("""COMPUTED_VALUE"""),2.4242424242424243)</f>
        <v>2.424242424</v>
      </c>
      <c r="O2720" s="82">
        <f>IFERROR(__xludf.DUMMYFUNCTION("""COMPUTED_VALUE"""),336.6363636363637)</f>
        <v>336.6363636</v>
      </c>
      <c r="P2720" s="82">
        <f>IFERROR(__xludf.DUMMYFUNCTION("""COMPUTED_VALUE"""),0.7070707070707072)</f>
        <v>0.7070707071</v>
      </c>
      <c r="Q2720" s="82">
        <f>IFERROR(__xludf.DUMMYFUNCTION("""COMPUTED_VALUE"""),0.505050505050505)</f>
        <v>0.5050505051</v>
      </c>
      <c r="R2720" s="82">
        <f>IFERROR(__xludf.DUMMYFUNCTION("""COMPUTED_VALUE"""),1.2626262626262625)</f>
        <v>1.262626263</v>
      </c>
      <c r="S2720" s="82">
        <f>IFERROR(__xludf.DUMMYFUNCTION("""COMPUTED_VALUE"""),2.373737373737374)</f>
        <v>2.373737374</v>
      </c>
      <c r="T2720" s="82">
        <f>IFERROR(__xludf.DUMMYFUNCTION("""COMPUTED_VALUE"""),336.0160291386173)</f>
        <v>336.0160291</v>
      </c>
      <c r="U2720" s="82">
        <f>IFERROR(__xludf.DUMMYFUNCTION("""COMPUTED_VALUE"""),0.8138200538837265)</f>
        <v>0.8138200539</v>
      </c>
      <c r="V2720" s="82">
        <f>IFERROR(__xludf.DUMMYFUNCTION("""COMPUTED_VALUE"""),0.5239562507466504)</f>
        <v>0.5239562507</v>
      </c>
      <c r="W2720" s="82">
        <f>IFERROR(__xludf.DUMMYFUNCTION("""COMPUTED_VALUE"""),1.1742497420587632)</f>
        <v>1.174249742</v>
      </c>
      <c r="X2720" s="82">
        <f>IFERROR(__xludf.DUMMYFUNCTION("""COMPUTED_VALUE"""),2.5372095936009)</f>
        <v>2.537209594</v>
      </c>
      <c r="Y2720" s="82">
        <f>IFERROR(__xludf.DUMMYFUNCTION("""COMPUTED_VALUE"""),335.411256242602)</f>
        <v>335.4112562</v>
      </c>
      <c r="Z2720" s="82">
        <f>IFERROR(__xludf.DUMMYFUNCTION("""COMPUTED_VALUE"""),0.778700516969277)</f>
        <v>0.778700517</v>
      </c>
      <c r="AA2720" s="82">
        <f>IFERROR(__xludf.DUMMYFUNCTION("""COMPUTED_VALUE"""),0.5235040827286945)</f>
        <v>0.5235040827</v>
      </c>
      <c r="AB2720" s="82">
        <f>IFERROR(__xludf.DUMMYFUNCTION("""COMPUTED_VALUE"""),1.243449664274092)</f>
        <v>1.243449664</v>
      </c>
      <c r="AC2720" s="82">
        <f>IFERROR(__xludf.DUMMYFUNCTION("""COMPUTED_VALUE"""),2.4286927790104396)</f>
        <v>2.428692779</v>
      </c>
      <c r="AD2720" s="82">
        <f>IFERROR(__xludf.DUMMYFUNCTION("""COMPUTED_VALUE"""),1.0732188925386927)</f>
        <v>1.073218893</v>
      </c>
      <c r="AE2720" s="82">
        <f>IFERROR(__xludf.DUMMYFUNCTION("""COMPUTED_VALUE"""),1.0117866505922366)</f>
        <v>1.011786651</v>
      </c>
      <c r="AF2720" s="82">
        <f>IFERROR(__xludf.DUMMYFUNCTION("""COMPUTED_VALUE"""),1.1576998653030495)</f>
        <v>1.157699865</v>
      </c>
      <c r="AG2720" s="82">
        <f>IFERROR(__xludf.DUMMYFUNCTION("""COMPUTED_VALUE"""),1.1453961227082534)</f>
        <v>1.145396123</v>
      </c>
      <c r="AH2720" s="82">
        <f>IFERROR(__xludf.DUMMYFUNCTION("""COMPUTED_VALUE"""),0.9981675925392965)</f>
        <v>0.9981675925</v>
      </c>
      <c r="AI2720" s="82">
        <f>IFERROR(__xludf.DUMMYFUNCTION("""COMPUTED_VALUE"""),1.0018461455524508)</f>
        <v>1.001846146</v>
      </c>
      <c r="AJ2720" s="82">
        <f>IFERROR(__xludf.DUMMYFUNCTION("""COMPUTED_VALUE"""),0.8688292991754281)</f>
        <v>0.8688292992</v>
      </c>
      <c r="AK2720" s="82">
        <f>IFERROR(__xludf.DUMMYFUNCTION("""COMPUTED_VALUE"""),0.9639173200640239)</f>
        <v>0.9639173201</v>
      </c>
      <c r="AL2720" s="82">
        <f>IFERROR(__xludf.DUMMYFUNCTION("""COMPUTED_VALUE"""),1.0752621162279776)</f>
        <v>1.075262116</v>
      </c>
      <c r="AM2720" s="82">
        <f>IFERROR(__xludf.DUMMYFUNCTION("""COMPUTED_VALUE"""),0.9355700765613455)</f>
        <v>0.9355700766</v>
      </c>
      <c r="AN2720" s="82">
        <f>IFERROR(__xludf.DUMMYFUNCTION("""COMPUTED_VALUE"""),1.1119050356556728)</f>
        <v>1.111905036</v>
      </c>
      <c r="AO2720" s="82">
        <f>IFERROR(__xludf.DUMMYFUNCTION("""COMPUTED_VALUE"""),1.068203727000791)</f>
        <v>1.068203727</v>
      </c>
      <c r="AP2720" s="82">
        <f>IFERROR(__xludf.DUMMYFUNCTION("""COMPUTED_VALUE"""),1.2282985960225852)</f>
        <v>1.228298596</v>
      </c>
      <c r="AQ2720" s="82">
        <f>IFERROR(__xludf.DUMMYFUNCTION("""COMPUTED_VALUE"""),1.1808598378308728)</f>
        <v>1.180859838</v>
      </c>
      <c r="AR2720" s="82">
        <f>IFERROR(__xludf.DUMMYFUNCTION("""COMPUTED_VALUE"""),1.0292180221440208)</f>
        <v>1.029218022</v>
      </c>
      <c r="AS2720" s="82">
        <f>IFERROR(__xludf.DUMMYFUNCTION("""COMPUTED_VALUE"""),80.0)</f>
        <v>80</v>
      </c>
      <c r="AT2720" s="82">
        <f>IFERROR(__xludf.DUMMYFUNCTION("""COMPUTED_VALUE"""),0.5513704005830359)</f>
        <v>0.5513704006</v>
      </c>
      <c r="AU2720" s="82">
        <f>IFERROR(__xludf.DUMMYFUNCTION("""COMPUTED_VALUE"""),2.3700717036183234)</f>
        <v>2.370071704</v>
      </c>
      <c r="AV2720" s="82">
        <f>IFERROR(__xludf.DUMMYFUNCTION("""COMPUTED_VALUE"""),63.014669191604554)</f>
        <v>63.01466919</v>
      </c>
      <c r="AW2720" s="82">
        <f t="shared" si="1"/>
        <v>3.318650136</v>
      </c>
      <c r="AX2720" s="83">
        <f t="array" ref="AX2720">IFERROR(DGET('SBV Import'!A:G,"SBV",{"RSC ID","Tier";B2720,A2720}))</f>
        <v>61.92192559</v>
      </c>
      <c r="AY2720" s="82">
        <f t="shared" si="2"/>
        <v>3.157314651</v>
      </c>
      <c r="AZ2720" s="82">
        <v>0.16133548499118877</v>
      </c>
      <c r="BA2720" s="84">
        <v>2700.0</v>
      </c>
      <c r="BB2720" s="84" t="b">
        <f>IFERROR(__xludf.DUMMYFUNCTION("iferror(if(A2720="""",,E2720&gt;=FILTER(Constants!$F$2:$F$10,Constants!$A$2:$A$10=A2720)))"),TRUE)</f>
        <v>1</v>
      </c>
    </row>
    <row r="2721">
      <c r="A2721" s="89" t="str">
        <f>IFERROR(__xludf.DUMMYFUNCTION("""COMPUTED_VALUE"""),"Prospect")</f>
        <v>Prospect</v>
      </c>
      <c r="B2721" s="87" t="str">
        <f>IFERROR(__xludf.DUMMYFUNCTION("""COMPUTED_VALUE"""),"RSC007897")</f>
        <v>RSC007897</v>
      </c>
      <c r="C2721" s="73" t="str">
        <f>IFERROR(__xludf.DUMMYFUNCTION("""COMPUTED_VALUE"""),"Synnicall")</f>
        <v>Synnicall</v>
      </c>
      <c r="D2721" s="73" t="str">
        <f>IFERROR(__xludf.DUMMYFUNCTION("""COMPUTED_VALUE"""),"Poppy")</f>
        <v>Poppy</v>
      </c>
      <c r="E2721" s="82">
        <f>IFERROR(__xludf.DUMMYFUNCTION("""COMPUTED_VALUE"""),36.0)</f>
        <v>36</v>
      </c>
      <c r="F2721" s="82">
        <f>IFERROR(__xludf.DUMMYFUNCTION("""COMPUTED_VALUE"""),17.0)</f>
        <v>17</v>
      </c>
      <c r="G2721" s="86">
        <f>IFERROR(__xludf.DUMMYFUNCTION("""COMPUTED_VALUE"""),19.0)</f>
        <v>19</v>
      </c>
      <c r="H2721" s="86">
        <f>IFERROR(__xludf.DUMMYFUNCTION("""COMPUTED_VALUE"""),0.4722222222222222)</f>
        <v>0.4722222222</v>
      </c>
      <c r="I2721" s="86">
        <f>IFERROR(__xludf.DUMMYFUNCTION("""COMPUTED_VALUE"""),0.27722772277227725)</f>
        <v>0.2772277228</v>
      </c>
      <c r="J2721" s="82">
        <f>IFERROR(__xludf.DUMMYFUNCTION("""COMPUTED_VALUE"""),364.19444444444446)</f>
        <v>364.1944444</v>
      </c>
      <c r="K2721" s="82">
        <f>IFERROR(__xludf.DUMMYFUNCTION("""COMPUTED_VALUE"""),0.7777777777777778)</f>
        <v>0.7777777778</v>
      </c>
      <c r="L2721" s="82">
        <f>IFERROR(__xludf.DUMMYFUNCTION("""COMPUTED_VALUE"""),0.6111111111111112)</f>
        <v>0.6111111111</v>
      </c>
      <c r="M2721" s="82">
        <f>IFERROR(__xludf.DUMMYFUNCTION("""COMPUTED_VALUE"""),1.4444444444444444)</f>
        <v>1.444444444</v>
      </c>
      <c r="N2721" s="82">
        <f>IFERROR(__xludf.DUMMYFUNCTION("""COMPUTED_VALUE"""),2.8055555555555554)</f>
        <v>2.805555556</v>
      </c>
      <c r="O2721" s="82">
        <f>IFERROR(__xludf.DUMMYFUNCTION("""COMPUTED_VALUE"""),349.75925925925935)</f>
        <v>349.7592593</v>
      </c>
      <c r="P2721" s="82">
        <f>IFERROR(__xludf.DUMMYFUNCTION("""COMPUTED_VALUE"""),0.7962962962962964)</f>
        <v>0.7962962963</v>
      </c>
      <c r="Q2721" s="82">
        <f>IFERROR(__xludf.DUMMYFUNCTION("""COMPUTED_VALUE"""),0.574074074074074)</f>
        <v>0.5740740741</v>
      </c>
      <c r="R2721" s="82">
        <f>IFERROR(__xludf.DUMMYFUNCTION("""COMPUTED_VALUE"""),1.2777777777777777)</f>
        <v>1.277777778</v>
      </c>
      <c r="S2721" s="82">
        <f>IFERROR(__xludf.DUMMYFUNCTION("""COMPUTED_VALUE"""),2.6388888888888884)</f>
        <v>2.638888889</v>
      </c>
      <c r="T2721" s="82">
        <f>IFERROR(__xludf.DUMMYFUNCTION("""COMPUTED_VALUE"""),339.9045746316253)</f>
        <v>339.9045746</v>
      </c>
      <c r="U2721" s="82">
        <f>IFERROR(__xludf.DUMMYFUNCTION("""COMPUTED_VALUE"""),0.7963571354843277)</f>
        <v>0.7963571355</v>
      </c>
      <c r="V2721" s="82">
        <f>IFERROR(__xludf.DUMMYFUNCTION("""COMPUTED_VALUE"""),0.5182910170555362)</f>
        <v>0.5182910171</v>
      </c>
      <c r="W2721" s="82">
        <f>IFERROR(__xludf.DUMMYFUNCTION("""COMPUTED_VALUE"""),1.257468807872543)</f>
        <v>1.257468808</v>
      </c>
      <c r="X2721" s="82">
        <f>IFERROR(__xludf.DUMMYFUNCTION("""COMPUTED_VALUE"""),2.514339217281509)</f>
        <v>2.514339217</v>
      </c>
      <c r="Y2721" s="82">
        <f>IFERROR(__xludf.DUMMYFUNCTION("""COMPUTED_VALUE"""),336.2499941493818)</f>
        <v>336.2499941</v>
      </c>
      <c r="Z2721" s="82">
        <f>IFERROR(__xludf.DUMMYFUNCTION("""COMPUTED_VALUE"""),0.8032139823889761)</f>
        <v>0.8032139824</v>
      </c>
      <c r="AA2721" s="82">
        <f>IFERROR(__xludf.DUMMYFUNCTION("""COMPUTED_VALUE"""),0.5233145207174889)</f>
        <v>0.5233145207</v>
      </c>
      <c r="AB2721" s="82">
        <f>IFERROR(__xludf.DUMMYFUNCTION("""COMPUTED_VALUE"""),1.2063058147179375)</f>
        <v>1.206305815</v>
      </c>
      <c r="AC2721" s="82">
        <f>IFERROR(__xludf.DUMMYFUNCTION("""COMPUTED_VALUE"""),2.498067402736354)</f>
        <v>2.498067403</v>
      </c>
      <c r="AD2721" s="82">
        <f>IFERROR(__xludf.DUMMYFUNCTION("""COMPUTED_VALUE"""),1.083106173327242)</f>
        <v>1.083106173</v>
      </c>
      <c r="AE2721" s="82">
        <f>IFERROR(__xludf.DUMMYFUNCTION("""COMPUTED_VALUE"""),0.9683319698499967)</f>
        <v>0.9683319698</v>
      </c>
      <c r="AF2721" s="82">
        <f>IFERROR(__xludf.DUMMYFUNCTION("""COMPUTED_VALUE"""),1.1677702164144979)</f>
        <v>1.167770216</v>
      </c>
      <c r="AG2721" s="82">
        <f>IFERROR(__xludf.DUMMYFUNCTION("""COMPUTED_VALUE"""),1.1974114911998408)</f>
        <v>1.197411491</v>
      </c>
      <c r="AH2721" s="82">
        <f>IFERROR(__xludf.DUMMYFUNCTION("""COMPUTED_VALUE"""),1.1230904148072156)</f>
        <v>1.123090415</v>
      </c>
      <c r="AI2721" s="82">
        <f>IFERROR(__xludf.DUMMYFUNCTION("""COMPUTED_VALUE"""),1.0289925036705203)</f>
        <v>1.028992504</v>
      </c>
      <c r="AJ2721" s="82">
        <f>IFERROR(__xludf.DUMMYFUNCTION("""COMPUTED_VALUE"""),0.9999236031356782)</f>
        <v>0.9999236031</v>
      </c>
      <c r="AK2721" s="82">
        <f>IFERROR(__xludf.DUMMYFUNCTION("""COMPUTED_VALUE"""),1.1076288324182175)</f>
        <v>1.107628832</v>
      </c>
      <c r="AL2721" s="82">
        <f>IFERROR(__xludf.DUMMYFUNCTION("""COMPUTED_VALUE"""),1.016150674893952)</f>
        <v>1.016150675</v>
      </c>
      <c r="AM2721" s="82">
        <f>IFERROR(__xludf.DUMMYFUNCTION("""COMPUTED_VALUE"""),1.0495357471065667)</f>
        <v>1.049535747</v>
      </c>
      <c r="AN2721" s="82">
        <f>IFERROR(__xludf.DUMMYFUNCTION("""COMPUTED_VALUE"""),1.1249547952079073)</f>
        <v>1.124954795</v>
      </c>
      <c r="AO2721" s="82">
        <f>IFERROR(__xludf.DUMMYFUNCTION("""COMPUTED_VALUE"""),1.0545088074238578)</f>
        <v>1.054508807</v>
      </c>
      <c r="AP2721" s="82">
        <f>IFERROR(__xludf.DUMMYFUNCTION("""COMPUTED_VALUE"""),1.2385344176561068)</f>
        <v>1.238534418</v>
      </c>
      <c r="AQ2721" s="82">
        <f>IFERROR(__xludf.DUMMYFUNCTION("""COMPUTED_VALUE"""),1.197609622764644)</f>
        <v>1.197609623</v>
      </c>
      <c r="AR2721" s="82">
        <f>IFERROR(__xludf.DUMMYFUNCTION("""COMPUTED_VALUE"""),1.191105440210424)</f>
        <v>1.19110544</v>
      </c>
      <c r="AS2721" s="82">
        <f>IFERROR(__xludf.DUMMYFUNCTION("""COMPUTED_VALUE"""),89.0)</f>
        <v>89</v>
      </c>
      <c r="AT2721" s="82">
        <f>IFERROR(__xludf.DUMMYFUNCTION("""COMPUTED_VALUE"""),0.513492220058788)</f>
        <v>0.5134922201</v>
      </c>
      <c r="AU2721" s="82">
        <f>IFERROR(__xludf.DUMMYFUNCTION("""COMPUTED_VALUE"""),2.357190572785891)</f>
        <v>2.357190573</v>
      </c>
      <c r="AV2721" s="82">
        <f>IFERROR(__xludf.DUMMYFUNCTION("""COMPUTED_VALUE"""),62.60489214863772)</f>
        <v>62.60489215</v>
      </c>
      <c r="AW2721" s="82">
        <f t="shared" si="1"/>
        <v>3.256671972</v>
      </c>
      <c r="AX2721" s="83">
        <f t="array" ref="AX2721">IFERROR(DGET('SBV Import'!A:G,"SBV",{"RSC ID","Tier";B2721,A2721}))</f>
        <v>52.41844962</v>
      </c>
      <c r="AY2721" s="82">
        <f t="shared" si="2"/>
        <v>2.167001079</v>
      </c>
      <c r="AZ2721" s="82">
        <v>1.0896708928942096</v>
      </c>
      <c r="BA2721" s="84">
        <v>2700.0</v>
      </c>
      <c r="BB2721" s="84" t="b">
        <f>IFERROR(__xludf.DUMMYFUNCTION("iferror(if(A2721="""",,E2721&gt;=FILTER(Constants!$F$2:$F$10,Constants!$A$2:$A$10=A2721)))"),TRUE)</f>
        <v>1</v>
      </c>
    </row>
    <row r="2722">
      <c r="A2722" s="89" t="str">
        <f>IFERROR(__xludf.DUMMYFUNCTION("""COMPUTED_VALUE"""),"Prospect")</f>
        <v>Prospect</v>
      </c>
      <c r="B2722" s="87" t="str">
        <f>IFERROR(__xludf.DUMMYFUNCTION("""COMPUTED_VALUE"""),"RSC007138")</f>
        <v>RSC007138</v>
      </c>
      <c r="C2722" s="73" t="str">
        <f>IFERROR(__xludf.DUMMYFUNCTION("""COMPUTED_VALUE"""),"GFC-RAIDER")</f>
        <v>GFC-RAIDER</v>
      </c>
      <c r="D2722" s="73" t="str">
        <f>IFERROR(__xludf.DUMMYFUNCTION("""COMPUTED_VALUE"""),"Mop Tops")</f>
        <v>Mop Tops</v>
      </c>
      <c r="E2722" s="82">
        <f>IFERROR(__xludf.DUMMYFUNCTION("""COMPUTED_VALUE"""),21.0)</f>
        <v>21</v>
      </c>
      <c r="F2722" s="82">
        <f>IFERROR(__xludf.DUMMYFUNCTION("""COMPUTED_VALUE"""),13.0)</f>
        <v>13</v>
      </c>
      <c r="G2722" s="86">
        <f>IFERROR(__xludf.DUMMYFUNCTION("""COMPUTED_VALUE"""),8.0)</f>
        <v>8</v>
      </c>
      <c r="H2722" s="86">
        <f>IFERROR(__xludf.DUMMYFUNCTION("""COMPUTED_VALUE"""),0.6190476190476191)</f>
        <v>0.619047619</v>
      </c>
      <c r="I2722" s="86">
        <f>IFERROR(__xludf.DUMMYFUNCTION("""COMPUTED_VALUE"""),0.32727272727272727)</f>
        <v>0.3272727273</v>
      </c>
      <c r="J2722" s="82">
        <f>IFERROR(__xludf.DUMMYFUNCTION("""COMPUTED_VALUE"""),347.14285714285717)</f>
        <v>347.1428571</v>
      </c>
      <c r="K2722" s="82">
        <f>IFERROR(__xludf.DUMMYFUNCTION("""COMPUTED_VALUE"""),0.8571428571428571)</f>
        <v>0.8571428571</v>
      </c>
      <c r="L2722" s="82">
        <f>IFERROR(__xludf.DUMMYFUNCTION("""COMPUTED_VALUE"""),0.47619047619047616)</f>
        <v>0.4761904762</v>
      </c>
      <c r="M2722" s="82">
        <f>IFERROR(__xludf.DUMMYFUNCTION("""COMPUTED_VALUE"""),1.3333333333333333)</f>
        <v>1.333333333</v>
      </c>
      <c r="N2722" s="82">
        <f>IFERROR(__xludf.DUMMYFUNCTION("""COMPUTED_VALUE"""),2.619047619047619)</f>
        <v>2.619047619</v>
      </c>
      <c r="O2722" s="82">
        <f>IFERROR(__xludf.DUMMYFUNCTION("""COMPUTED_VALUE"""),338.46031746031747)</f>
        <v>338.4603175</v>
      </c>
      <c r="P2722" s="82">
        <f>IFERROR(__xludf.DUMMYFUNCTION("""COMPUTED_VALUE"""),0.7142857142857142)</f>
        <v>0.7142857143</v>
      </c>
      <c r="Q2722" s="82">
        <f>IFERROR(__xludf.DUMMYFUNCTION("""COMPUTED_VALUE"""),0.4920634920634921)</f>
        <v>0.4920634921</v>
      </c>
      <c r="R2722" s="82">
        <f>IFERROR(__xludf.DUMMYFUNCTION("""COMPUTED_VALUE"""),1.3968253968253965)</f>
        <v>1.396825397</v>
      </c>
      <c r="S2722" s="82">
        <f>IFERROR(__xludf.DUMMYFUNCTION("""COMPUTED_VALUE"""),2.5079365079365084)</f>
        <v>2.507936508</v>
      </c>
      <c r="T2722" s="82">
        <f>IFERROR(__xludf.DUMMYFUNCTION("""COMPUTED_VALUE"""),335.2235500200198)</f>
        <v>335.22355</v>
      </c>
      <c r="U2722" s="82">
        <f>IFERROR(__xludf.DUMMYFUNCTION("""COMPUTED_VALUE"""),0.7995622081030478)</f>
        <v>0.7995622081</v>
      </c>
      <c r="V2722" s="82">
        <f>IFERROR(__xludf.DUMMYFUNCTION("""COMPUTED_VALUE"""),0.5279620989948819)</f>
        <v>0.527962099</v>
      </c>
      <c r="W2722" s="82">
        <f>IFERROR(__xludf.DUMMYFUNCTION("""COMPUTED_VALUE"""),1.1888542949385663)</f>
        <v>1.188854295</v>
      </c>
      <c r="X2722" s="82">
        <f>IFERROR(__xludf.DUMMYFUNCTION("""COMPUTED_VALUE"""),2.5140953136021595)</f>
        <v>2.514095314</v>
      </c>
      <c r="Y2722" s="82">
        <f>IFERROR(__xludf.DUMMYFUNCTION("""COMPUTED_VALUE"""),334.6867228548412)</f>
        <v>334.6867229</v>
      </c>
      <c r="Z2722" s="82">
        <f>IFERROR(__xludf.DUMMYFUNCTION("""COMPUTED_VALUE"""),0.772991252854545)</f>
        <v>0.7729912529</v>
      </c>
      <c r="AA2722" s="82">
        <f>IFERROR(__xludf.DUMMYFUNCTION("""COMPUTED_VALUE"""),0.5199463009720472)</f>
        <v>0.519946301</v>
      </c>
      <c r="AB2722" s="82">
        <f>IFERROR(__xludf.DUMMYFUNCTION("""COMPUTED_VALUE"""),1.2501411714802322)</f>
        <v>1.250141171</v>
      </c>
      <c r="AC2722" s="82">
        <f>IFERROR(__xludf.DUMMYFUNCTION("""COMPUTED_VALUE"""),2.4353571613086356)</f>
        <v>2.435357161</v>
      </c>
      <c r="AD2722" s="82">
        <f>IFERROR(__xludf.DUMMYFUNCTION("""COMPUTED_VALUE"""),1.0372172943753684)</f>
        <v>1.037217294</v>
      </c>
      <c r="AE2722" s="82">
        <f>IFERROR(__xludf.DUMMYFUNCTION("""COMPUTED_VALUE"""),1.1088648855696004)</f>
        <v>1.108864886</v>
      </c>
      <c r="AF2722" s="82">
        <f>IFERROR(__xludf.DUMMYFUNCTION("""COMPUTED_VALUE"""),0.9158454926984404)</f>
        <v>0.9158454927</v>
      </c>
      <c r="AG2722" s="82">
        <f>IFERROR(__xludf.DUMMYFUNCTION("""COMPUTED_VALUE"""),1.0665462139404602)</f>
        <v>1.066546214</v>
      </c>
      <c r="AH2722" s="82">
        <f>IFERROR(__xludf.DUMMYFUNCTION("""COMPUTED_VALUE"""),1.0754264962270577)</f>
        <v>1.075426496</v>
      </c>
      <c r="AI2722" s="82">
        <f>IFERROR(__xludf.DUMMYFUNCTION("""COMPUTED_VALUE"""),1.0096555490809174)</f>
        <v>1.009655549</v>
      </c>
      <c r="AJ2722" s="82">
        <f>IFERROR(__xludf.DUMMYFUNCTION("""COMPUTED_VALUE"""),0.8933460174166421)</f>
        <v>0.8933460174</v>
      </c>
      <c r="AK2722" s="82">
        <f>IFERROR(__xludf.DUMMYFUNCTION("""COMPUTED_VALUE"""),0.9320053333378807)</f>
        <v>0.9320053333</v>
      </c>
      <c r="AL2722" s="82">
        <f>IFERROR(__xludf.DUMMYFUNCTION("""COMPUTED_VALUE"""),1.1749340543851734)</f>
        <v>1.174934054</v>
      </c>
      <c r="AM2722" s="82">
        <f>IFERROR(__xludf.DUMMYFUNCTION("""COMPUTED_VALUE"""),0.9975502895087828)</f>
        <v>0.9975502895</v>
      </c>
      <c r="AN2722" s="82">
        <f>IFERROR(__xludf.DUMMYFUNCTION("""COMPUTED_VALUE"""),1.0722844011548398)</f>
        <v>1.072284401</v>
      </c>
      <c r="AO2722" s="82">
        <f>IFERROR(__xludf.DUMMYFUNCTION("""COMPUTED_VALUE"""),1.1621117469569044)</f>
        <v>1.162111747</v>
      </c>
      <c r="AP2722" s="82">
        <f>IFERROR(__xludf.DUMMYFUNCTION("""COMPUTED_VALUE"""),0.9650917540177455)</f>
        <v>0.965091754</v>
      </c>
      <c r="AQ2722" s="82">
        <f>IFERROR(__xludf.DUMMYFUNCTION("""COMPUTED_VALUE"""),1.105485805628902)</f>
        <v>1.105485806</v>
      </c>
      <c r="AR2722" s="82">
        <f>IFERROR(__xludf.DUMMYFUNCTION("""COMPUTED_VALUE"""),1.1119230417805939)</f>
        <v>1.111923042</v>
      </c>
      <c r="AS2722" s="82">
        <f>IFERROR(__xludf.DUMMYFUNCTION("""COMPUTED_VALUE"""),51.0)</f>
        <v>51</v>
      </c>
      <c r="AT2722" s="82">
        <f>IFERROR(__xludf.DUMMYFUNCTION("""COMPUTED_VALUE"""),0.5482500551978903)</f>
        <v>0.5482500552</v>
      </c>
      <c r="AU2722" s="82">
        <f>IFERROR(__xludf.DUMMYFUNCTION("""COMPUTED_VALUE"""),2.3419716963085175)</f>
        <v>2.341971696</v>
      </c>
      <c r="AV2722" s="82">
        <f>IFERROR(__xludf.DUMMYFUNCTION("""COMPUTED_VALUE"""),62.120746285879044)</f>
        <v>62.12074629</v>
      </c>
      <c r="AW2722" s="82">
        <f t="shared" si="1"/>
        <v>3.18574293</v>
      </c>
      <c r="AX2722" s="83">
        <f t="array" ref="AX2722">IFERROR(DGET('SBV Import'!A:G,"SBV",{"RSC ID","Tier";B2722,A2722}))</f>
        <v>48.20736848</v>
      </c>
      <c r="AY2722" s="82">
        <f t="shared" si="2"/>
        <v>-2.121258633</v>
      </c>
      <c r="AZ2722" s="82">
        <v>5.307001563332454</v>
      </c>
      <c r="BA2722" s="84">
        <v>2700.0</v>
      </c>
      <c r="BB2722" s="84" t="b">
        <f>IFERROR(__xludf.DUMMYFUNCTION("iferror(if(A2722="""",,E2722&gt;=FILTER(Constants!$F$2:$F$10,Constants!$A$2:$A$10=A2722)))"),TRUE)</f>
        <v>1</v>
      </c>
    </row>
    <row r="2723">
      <c r="A2723" s="89" t="str">
        <f>IFERROR(__xludf.DUMMYFUNCTION("""COMPUTED_VALUE"""),"Prospect")</f>
        <v>Prospect</v>
      </c>
      <c r="B2723" s="87" t="str">
        <f>IFERROR(__xludf.DUMMYFUNCTION("""COMPUTED_VALUE"""),"RSC008010")</f>
        <v>RSC008010</v>
      </c>
      <c r="C2723" s="73" t="str">
        <f>IFERROR(__xludf.DUMMYFUNCTION("""COMPUTED_VALUE"""),"WamBamTYMan-")</f>
        <v>WamBamTYMan-</v>
      </c>
      <c r="D2723" s="73" t="str">
        <f>IFERROR(__xludf.DUMMYFUNCTION("""COMPUTED_VALUE"""),"Khans")</f>
        <v>Khans</v>
      </c>
      <c r="E2723" s="82">
        <f>IFERROR(__xludf.DUMMYFUNCTION("""COMPUTED_VALUE"""),36.0)</f>
        <v>36</v>
      </c>
      <c r="F2723" s="82">
        <f>IFERROR(__xludf.DUMMYFUNCTION("""COMPUTED_VALUE"""),15.0)</f>
        <v>15</v>
      </c>
      <c r="G2723" s="86">
        <f>IFERROR(__xludf.DUMMYFUNCTION("""COMPUTED_VALUE"""),21.0)</f>
        <v>21</v>
      </c>
      <c r="H2723" s="86">
        <f>IFERROR(__xludf.DUMMYFUNCTION("""COMPUTED_VALUE"""),0.4166666666666667)</f>
        <v>0.4166666667</v>
      </c>
      <c r="I2723" s="86">
        <f>IFERROR(__xludf.DUMMYFUNCTION("""COMPUTED_VALUE"""),0.3225806451612903)</f>
        <v>0.3225806452</v>
      </c>
      <c r="J2723" s="82">
        <f>IFERROR(__xludf.DUMMYFUNCTION("""COMPUTED_VALUE"""),369.9166666666667)</f>
        <v>369.9166667</v>
      </c>
      <c r="K2723" s="82">
        <f>IFERROR(__xludf.DUMMYFUNCTION("""COMPUTED_VALUE"""),0.8333333333333334)</f>
        <v>0.8333333333</v>
      </c>
      <c r="L2723" s="82">
        <f>IFERROR(__xludf.DUMMYFUNCTION("""COMPUTED_VALUE"""),0.4444444444444444)</f>
        <v>0.4444444444</v>
      </c>
      <c r="M2723" s="82">
        <f>IFERROR(__xludf.DUMMYFUNCTION("""COMPUTED_VALUE"""),1.5833333333333333)</f>
        <v>1.583333333</v>
      </c>
      <c r="N2723" s="82">
        <f>IFERROR(__xludf.DUMMYFUNCTION("""COMPUTED_VALUE"""),2.5833333333333335)</f>
        <v>2.583333333</v>
      </c>
      <c r="O2723" s="82">
        <f>IFERROR(__xludf.DUMMYFUNCTION("""COMPUTED_VALUE"""),349.7685185185185)</f>
        <v>349.7685185</v>
      </c>
      <c r="P2723" s="82">
        <f>IFERROR(__xludf.DUMMYFUNCTION("""COMPUTED_VALUE"""),0.8518518518518517)</f>
        <v>0.8518518519</v>
      </c>
      <c r="Q2723" s="82">
        <f>IFERROR(__xludf.DUMMYFUNCTION("""COMPUTED_VALUE"""),0.5648148148148147)</f>
        <v>0.5648148148</v>
      </c>
      <c r="R2723" s="82">
        <f>IFERROR(__xludf.DUMMYFUNCTION("""COMPUTED_VALUE"""),1.2500000000000007)</f>
        <v>1.25</v>
      </c>
      <c r="S2723" s="82">
        <f>IFERROR(__xludf.DUMMYFUNCTION("""COMPUTED_VALUE"""),2.851851851851852)</f>
        <v>2.851851852</v>
      </c>
      <c r="T2723" s="82">
        <f>IFERROR(__xludf.DUMMYFUNCTION("""COMPUTED_VALUE"""),336.3486909207961)</f>
        <v>336.3486909</v>
      </c>
      <c r="U2723" s="82">
        <f>IFERROR(__xludf.DUMMYFUNCTION("""COMPUTED_VALUE"""),0.8171942005470112)</f>
        <v>0.8171942005</v>
      </c>
      <c r="V2723" s="82">
        <f>IFERROR(__xludf.DUMMYFUNCTION("""COMPUTED_VALUE"""),0.5536048075206998)</f>
        <v>0.5536048075</v>
      </c>
      <c r="W2723" s="82">
        <f>IFERROR(__xludf.DUMMYFUNCTION("""COMPUTED_VALUE"""),1.138370662467693)</f>
        <v>1.138370662</v>
      </c>
      <c r="X2723" s="82">
        <f>IFERROR(__xludf.DUMMYFUNCTION("""COMPUTED_VALUE"""),2.580153230987422)</f>
        <v>2.580153231</v>
      </c>
      <c r="Y2723" s="82">
        <f>IFERROR(__xludf.DUMMYFUNCTION("""COMPUTED_VALUE"""),332.126417192251)</f>
        <v>332.1264172</v>
      </c>
      <c r="Z2723" s="82">
        <f>IFERROR(__xludf.DUMMYFUNCTION("""COMPUTED_VALUE"""),0.74762375106311)</f>
        <v>0.7476237511</v>
      </c>
      <c r="AA2723" s="82">
        <f>IFERROR(__xludf.DUMMYFUNCTION("""COMPUTED_VALUE"""),0.4983315913609817)</f>
        <v>0.4983315914</v>
      </c>
      <c r="AB2723" s="82">
        <f>IFERROR(__xludf.DUMMYFUNCTION("""COMPUTED_VALUE"""),1.281182619510454)</f>
        <v>1.28118262</v>
      </c>
      <c r="AC2723" s="82">
        <f>IFERROR(__xludf.DUMMYFUNCTION("""COMPUTED_VALUE"""),2.3033915188696352)</f>
        <v>2.303391519</v>
      </c>
      <c r="AD2723" s="82">
        <f>IFERROR(__xludf.DUMMYFUNCTION("""COMPUTED_VALUE"""),1.1137827270528164)</f>
        <v>1.113782727</v>
      </c>
      <c r="AE2723" s="82">
        <f>IFERROR(__xludf.DUMMYFUNCTION("""COMPUTED_VALUE"""),1.1146426690542477)</f>
        <v>1.114642669</v>
      </c>
      <c r="AF2723" s="82">
        <f>IFERROR(__xludf.DUMMYFUNCTION("""COMPUTED_VALUE"""),0.8918648790268998)</f>
        <v>0.891864879</v>
      </c>
      <c r="AG2723" s="82">
        <f>IFERROR(__xludf.DUMMYFUNCTION("""COMPUTED_VALUE"""),1.2358373499777358)</f>
        <v>1.23583735</v>
      </c>
      <c r="AH2723" s="82">
        <f>IFERROR(__xludf.DUMMYFUNCTION("""COMPUTED_VALUE"""),1.1215346206541026)</f>
        <v>1.121534621</v>
      </c>
      <c r="AI2723" s="82">
        <f>IFERROR(__xludf.DUMMYFUNCTION("""COMPUTED_VALUE"""),1.0398985575385589)</f>
        <v>1.039898558</v>
      </c>
      <c r="AJ2723" s="82">
        <f>IFERROR(__xludf.DUMMYFUNCTION("""COMPUTED_VALUE"""),1.0424105448639278)</f>
        <v>1.042410545</v>
      </c>
      <c r="AK2723" s="82">
        <f>IFERROR(__xludf.DUMMYFUNCTION("""COMPUTED_VALUE"""),1.0202491147869877)</f>
        <v>1.020249115</v>
      </c>
      <c r="AL2723" s="82">
        <f>IFERROR(__xludf.DUMMYFUNCTION("""COMPUTED_VALUE"""),1.0980606240240978)</f>
        <v>1.098060624</v>
      </c>
      <c r="AM2723" s="82">
        <f>IFERROR(__xludf.DUMMYFUNCTION("""COMPUTED_VALUE"""),1.105303288812987)</f>
        <v>1.105303289</v>
      </c>
      <c r="AN2723" s="82">
        <f>IFERROR(__xludf.DUMMYFUNCTION("""COMPUTED_VALUE"""),1.1426300822045383)</f>
        <v>1.142630082</v>
      </c>
      <c r="AO2723" s="82">
        <f>IFERROR(__xludf.DUMMYFUNCTION("""COMPUTED_VALUE"""),1.1298308650969906)</f>
        <v>1.129830865</v>
      </c>
      <c r="AP2723" s="82">
        <f>IFERROR(__xludf.DUMMYFUNCTION("""COMPUTED_VALUE"""),0.9007523037498958)</f>
        <v>0.9007523037</v>
      </c>
      <c r="AQ2723" s="82">
        <f>IFERROR(__xludf.DUMMYFUNCTION("""COMPUTED_VALUE"""),1.3127643941843212)</f>
        <v>1.312764394</v>
      </c>
      <c r="AR2723" s="82">
        <f>IFERROR(__xludf.DUMMYFUNCTION("""COMPUTED_VALUE"""),1.0967604548472223)</f>
        <v>1.096760455</v>
      </c>
      <c r="AS2723" s="82">
        <f>IFERROR(__xludf.DUMMYFUNCTION("""COMPUTED_VALUE"""),70.0)</f>
        <v>70</v>
      </c>
      <c r="AT2723" s="82">
        <f>IFERROR(__xludf.DUMMYFUNCTION("""COMPUTED_VALUE"""),0.39631946772274024)</f>
        <v>0.3963194677</v>
      </c>
      <c r="AU2723" s="82">
        <f>IFERROR(__xludf.DUMMYFUNCTION("""COMPUTED_VALUE"""),2.242112167130031)</f>
        <v>2.242112167</v>
      </c>
      <c r="AV2723" s="82">
        <f>IFERROR(__xludf.DUMMYFUNCTION("""COMPUTED_VALUE"""),58.94399549348821)</f>
        <v>58.94399549</v>
      </c>
      <c r="AW2723" s="82">
        <f t="shared" si="1"/>
        <v>2.775761256</v>
      </c>
      <c r="AX2723" s="83">
        <f t="array" ref="AX2723">IFERROR(DGET('SBV Import'!A:G,"SBV",{"RSC ID","Tier";B2723,A2723}))</f>
        <v>51.62276429</v>
      </c>
      <c r="AY2723" s="82">
        <f t="shared" si="2"/>
        <v>2.1091591</v>
      </c>
      <c r="AZ2723" s="82">
        <v>0.6666021556585879</v>
      </c>
      <c r="BA2723" s="84">
        <v>2700.0</v>
      </c>
      <c r="BB2723" s="84" t="b">
        <f>IFERROR(__xludf.DUMMYFUNCTION("iferror(if(A2723="""",,E2723&gt;=FILTER(Constants!$F$2:$F$10,Constants!$A$2:$A$10=A2723)))"),TRUE)</f>
        <v>1</v>
      </c>
    </row>
    <row r="2724">
      <c r="A2724" s="89" t="str">
        <f>IFERROR(__xludf.DUMMYFUNCTION("""COMPUTED_VALUE"""),"Prospect")</f>
        <v>Prospect</v>
      </c>
      <c r="B2724" s="87" t="str">
        <f>IFERROR(__xludf.DUMMYFUNCTION("""COMPUTED_VALUE"""),"RSC007189")</f>
        <v>RSC007189</v>
      </c>
      <c r="C2724" s="73" t="str">
        <f>IFERROR(__xludf.DUMMYFUNCTION("""COMPUTED_VALUE"""),"RU_Fluffy")</f>
        <v>RU_Fluffy</v>
      </c>
      <c r="D2724" s="73"/>
      <c r="E2724" s="82">
        <f>IFERROR(__xludf.DUMMYFUNCTION("""COMPUTED_VALUE"""),1.0)</f>
        <v>1</v>
      </c>
      <c r="F2724" s="82">
        <f>IFERROR(__xludf.DUMMYFUNCTION("""COMPUTED_VALUE"""),1.0)</f>
        <v>1</v>
      </c>
      <c r="G2724" s="86">
        <f>IFERROR(__xludf.DUMMYFUNCTION("""COMPUTED_VALUE"""),0.0)</f>
        <v>0</v>
      </c>
      <c r="H2724" s="86">
        <f>IFERROR(__xludf.DUMMYFUNCTION("""COMPUTED_VALUE"""),1.0)</f>
        <v>1</v>
      </c>
      <c r="I2724" s="86">
        <f>IFERROR(__xludf.DUMMYFUNCTION("""COMPUTED_VALUE"""),0.3333333333333333)</f>
        <v>0.3333333333</v>
      </c>
      <c r="J2724" s="82">
        <f>IFERROR(__xludf.DUMMYFUNCTION("""COMPUTED_VALUE"""),225.0)</f>
        <v>225</v>
      </c>
      <c r="K2724" s="82">
        <f>IFERROR(__xludf.DUMMYFUNCTION("""COMPUTED_VALUE"""),1.0)</f>
        <v>1</v>
      </c>
      <c r="L2724" s="82">
        <f>IFERROR(__xludf.DUMMYFUNCTION("""COMPUTED_VALUE"""),0.0)</f>
        <v>0</v>
      </c>
      <c r="M2724" s="82">
        <f>IFERROR(__xludf.DUMMYFUNCTION("""COMPUTED_VALUE"""),0.0)</f>
        <v>0</v>
      </c>
      <c r="N2724" s="82">
        <f>IFERROR(__xludf.DUMMYFUNCTION("""COMPUTED_VALUE"""),3.0)</f>
        <v>3</v>
      </c>
      <c r="O2724" s="82">
        <f>IFERROR(__xludf.DUMMYFUNCTION("""COMPUTED_VALUE"""),186.66666666666666)</f>
        <v>186.6666667</v>
      </c>
      <c r="P2724" s="82">
        <f>IFERROR(__xludf.DUMMYFUNCTION("""COMPUTED_VALUE"""),0.3333333333333333)</f>
        <v>0.3333333333</v>
      </c>
      <c r="Q2724" s="82">
        <f>IFERROR(__xludf.DUMMYFUNCTION("""COMPUTED_VALUE"""),0.0)</f>
        <v>0</v>
      </c>
      <c r="R2724" s="82">
        <f>IFERROR(__xludf.DUMMYFUNCTION("""COMPUTED_VALUE"""),0.3333333333333333)</f>
        <v>0.3333333333</v>
      </c>
      <c r="S2724" s="82">
        <f>IFERROR(__xludf.DUMMYFUNCTION("""COMPUTED_VALUE"""),2.0)</f>
        <v>2</v>
      </c>
      <c r="T2724" s="82">
        <f>IFERROR(__xludf.DUMMYFUNCTION("""COMPUTED_VALUE"""),285.8656818181818)</f>
        <v>285.8656818</v>
      </c>
      <c r="U2724" s="82">
        <f>IFERROR(__xludf.DUMMYFUNCTION("""COMPUTED_VALUE"""),0.6374242424242424)</f>
        <v>0.6374242424</v>
      </c>
      <c r="V2724" s="82">
        <f>IFERROR(__xludf.DUMMYFUNCTION("""COMPUTED_VALUE"""),0.384280303030303)</f>
        <v>0.384280303</v>
      </c>
      <c r="W2724" s="82">
        <f>IFERROR(__xludf.DUMMYFUNCTION("""COMPUTED_VALUE"""),1.0713636363636365)</f>
        <v>1.071363636</v>
      </c>
      <c r="X2724" s="82">
        <f>IFERROR(__xludf.DUMMYFUNCTION("""COMPUTED_VALUE"""),1.993712121212121)</f>
        <v>1.993712121</v>
      </c>
      <c r="Y2724" s="82">
        <f>IFERROR(__xludf.DUMMYFUNCTION("""COMPUTED_VALUE"""),342.7316287878787)</f>
        <v>342.7316288</v>
      </c>
      <c r="Z2724" s="82">
        <f>IFERROR(__xludf.DUMMYFUNCTION("""COMPUTED_VALUE"""),0.9156944444444443)</f>
        <v>0.9156944444</v>
      </c>
      <c r="AA2724" s="82">
        <f>IFERROR(__xludf.DUMMYFUNCTION("""COMPUTED_VALUE"""),0.5994065656565657)</f>
        <v>0.5994065657</v>
      </c>
      <c r="AB2724" s="82">
        <f>IFERROR(__xludf.DUMMYFUNCTION("""COMPUTED_VALUE"""),1.0065530303030303)</f>
        <v>1.00655303</v>
      </c>
      <c r="AC2724" s="82">
        <f>IFERROR(__xludf.DUMMYFUNCTION("""COMPUTED_VALUE"""),2.6247853535353536)</f>
        <v>2.624785354</v>
      </c>
      <c r="AD2724" s="82">
        <f>IFERROR(__xludf.DUMMYFUNCTION("""COMPUTED_VALUE"""),0.6564903297537665)</f>
        <v>0.6564903298</v>
      </c>
      <c r="AE2724" s="82">
        <f>IFERROR(__xludf.DUMMYFUNCTION("""COMPUTED_VALUE"""),1.0920673441528896)</f>
        <v>1.092067344</v>
      </c>
      <c r="AF2724" s="82">
        <f>IFERROR(__xludf.DUMMYFUNCTION("""COMPUTED_VALUE"""),0.0)</f>
        <v>0</v>
      </c>
      <c r="AG2724" s="82">
        <f>IFERROR(__xludf.DUMMYFUNCTION("""COMPUTED_VALUE"""),0.0)</f>
        <v>0</v>
      </c>
      <c r="AH2724" s="82">
        <f>IFERROR(__xludf.DUMMYFUNCTION("""COMPUTED_VALUE"""),1.1429506020213294)</f>
        <v>1.142950602</v>
      </c>
      <c r="AI2724" s="82">
        <f>IFERROR(__xludf.DUMMYFUNCTION("""COMPUTED_VALUE"""),0.6529873242545834)</f>
        <v>0.6529873243</v>
      </c>
      <c r="AJ2724" s="82">
        <f>IFERROR(__xludf.DUMMYFUNCTION("""COMPUTED_VALUE"""),0.5229379605419539)</f>
        <v>0.5229379605</v>
      </c>
      <c r="AK2724" s="82">
        <f>IFERROR(__xludf.DUMMYFUNCTION("""COMPUTED_VALUE"""),0.0)</f>
        <v>0</v>
      </c>
      <c r="AL2724" s="82">
        <f>IFERROR(__xludf.DUMMYFUNCTION("""COMPUTED_VALUE"""),0.31112996747277605)</f>
        <v>0.3111299675</v>
      </c>
      <c r="AM2724" s="82">
        <f>IFERROR(__xludf.DUMMYFUNCTION("""COMPUTED_VALUE"""),1.0031538549226737)</f>
        <v>1.003153855</v>
      </c>
      <c r="AN2724" s="82">
        <f>IFERROR(__xludf.DUMMYFUNCTION("""COMPUTED_VALUE"""),0.6949991488966555)</f>
        <v>0.6949991489</v>
      </c>
      <c r="AO2724" s="82">
        <f>IFERROR(__xludf.DUMMYFUNCTION("""COMPUTED_VALUE"""),1.3557970381163886)</f>
        <v>1.355797038</v>
      </c>
      <c r="AP2724" s="82">
        <f>IFERROR(__xludf.DUMMYFUNCTION("""COMPUTED_VALUE"""),0.0)</f>
        <v>0</v>
      </c>
      <c r="AQ2724" s="82">
        <f>IFERROR(__xludf.DUMMYFUNCTION("""COMPUTED_VALUE"""),0.0)</f>
        <v>0</v>
      </c>
      <c r="AR2724" s="82">
        <f>IFERROR(__xludf.DUMMYFUNCTION("""COMPUTED_VALUE"""),1.2736573024032256)</f>
        <v>1.273657302</v>
      </c>
      <c r="AS2724" s="82">
        <f>IFERROR(__xludf.DUMMYFUNCTION("""COMPUTED_VALUE"""),2.0)</f>
        <v>2</v>
      </c>
      <c r="AT2724" s="82">
        <f>IFERROR(__xludf.DUMMYFUNCTION("""COMPUTED_VALUE"""),0.7211308639456647)</f>
        <v>0.7211308639</v>
      </c>
      <c r="AU2724" s="82">
        <f>IFERROR(__xludf.DUMMYFUNCTION("""COMPUTED_VALUE"""),2.2237288068040844)</f>
        <v>2.223728807</v>
      </c>
      <c r="AV2724" s="82">
        <f>IFERROR(__xludf.DUMMYFUNCTION("""COMPUTED_VALUE"""),58.359180454175586)</f>
        <v>58.35918045</v>
      </c>
      <c r="AW2724" s="82">
        <f t="shared" si="1"/>
        <v>2.709650858</v>
      </c>
      <c r="AX2724" s="83">
        <f t="array" ref="AX2724">IFERROR(DGET('SBV Import'!A:G,"SBV",{"RSC ID","Tier";B2724,A2724}))</f>
        <v>28.28678177</v>
      </c>
      <c r="AY2724" s="82">
        <f t="shared" si="2"/>
        <v>-5.193389466</v>
      </c>
      <c r="AZ2724" s="82">
        <v>7.903040323619859</v>
      </c>
      <c r="BA2724" s="84">
        <v>2700.0</v>
      </c>
      <c r="BB2724" s="84" t="b">
        <f>IFERROR(__xludf.DUMMYFUNCTION("iferror(if(A2724="""",,E2724&gt;=FILTER(Constants!$F$2:$F$10,Constants!$A$2:$A$10=A2724)))"),TRUE)</f>
        <v>1</v>
      </c>
    </row>
    <row r="2725">
      <c r="A2725" s="89" t="str">
        <f>IFERROR(__xludf.DUMMYFUNCTION("""COMPUTED_VALUE"""),"Prospect")</f>
        <v>Prospect</v>
      </c>
      <c r="B2725" s="87" t="str">
        <f>IFERROR(__xludf.DUMMYFUNCTION("""COMPUTED_VALUE"""),"RSC007487")</f>
        <v>RSC007487</v>
      </c>
      <c r="C2725" s="73" t="str">
        <f>IFERROR(__xludf.DUMMYFUNCTION("""COMPUTED_VALUE"""),"YoloOnTinder")</f>
        <v>YoloOnTinder</v>
      </c>
      <c r="D2725" s="73" t="str">
        <f>IFERROR(__xludf.DUMMYFUNCTION("""COMPUTED_VALUE"""),"Dime")</f>
        <v>Dime</v>
      </c>
      <c r="E2725" s="82">
        <f>IFERROR(__xludf.DUMMYFUNCTION("""COMPUTED_VALUE"""),23.0)</f>
        <v>23</v>
      </c>
      <c r="F2725" s="82">
        <f>IFERROR(__xludf.DUMMYFUNCTION("""COMPUTED_VALUE"""),16.0)</f>
        <v>16</v>
      </c>
      <c r="G2725" s="86">
        <f>IFERROR(__xludf.DUMMYFUNCTION("""COMPUTED_VALUE"""),7.0)</f>
        <v>7</v>
      </c>
      <c r="H2725" s="86">
        <f>IFERROR(__xludf.DUMMYFUNCTION("""COMPUTED_VALUE"""),0.6956521739130435)</f>
        <v>0.6956521739</v>
      </c>
      <c r="I2725" s="86">
        <f>IFERROR(__xludf.DUMMYFUNCTION("""COMPUTED_VALUE"""),0.18867924528301885)</f>
        <v>0.1886792453</v>
      </c>
      <c r="J2725" s="82">
        <f>IFERROR(__xludf.DUMMYFUNCTION("""COMPUTED_VALUE"""),282.0869565217391)</f>
        <v>282.0869565</v>
      </c>
      <c r="K2725" s="82">
        <f>IFERROR(__xludf.DUMMYFUNCTION("""COMPUTED_VALUE"""),0.43478260869565216)</f>
        <v>0.4347826087</v>
      </c>
      <c r="L2725" s="82">
        <f>IFERROR(__xludf.DUMMYFUNCTION("""COMPUTED_VALUE"""),0.9130434782608695)</f>
        <v>0.9130434783</v>
      </c>
      <c r="M2725" s="82">
        <f>IFERROR(__xludf.DUMMYFUNCTION("""COMPUTED_VALUE"""),0.9130434782608695)</f>
        <v>0.9130434783</v>
      </c>
      <c r="N2725" s="82">
        <f>IFERROR(__xludf.DUMMYFUNCTION("""COMPUTED_VALUE"""),2.3043478260869565)</f>
        <v>2.304347826</v>
      </c>
      <c r="O2725" s="82">
        <f>IFERROR(__xludf.DUMMYFUNCTION("""COMPUTED_VALUE"""),301.44927536231893)</f>
        <v>301.4492754</v>
      </c>
      <c r="P2725" s="82">
        <f>IFERROR(__xludf.DUMMYFUNCTION("""COMPUTED_VALUE"""),0.5652173913043479)</f>
        <v>0.5652173913</v>
      </c>
      <c r="Q2725" s="82">
        <f>IFERROR(__xludf.DUMMYFUNCTION("""COMPUTED_VALUE"""),0.4202898550724637)</f>
        <v>0.4202898551</v>
      </c>
      <c r="R2725" s="82">
        <f>IFERROR(__xludf.DUMMYFUNCTION("""COMPUTED_VALUE"""),1.3333333333333335)</f>
        <v>1.333333333</v>
      </c>
      <c r="S2725" s="82">
        <f>IFERROR(__xludf.DUMMYFUNCTION("""COMPUTED_VALUE"""),1.9275362318840583)</f>
        <v>1.927536232</v>
      </c>
      <c r="T2725" s="82">
        <f>IFERROR(__xludf.DUMMYFUNCTION("""COMPUTED_VALUE"""),339.15786915471256)</f>
        <v>339.1578692</v>
      </c>
      <c r="U2725" s="82">
        <f>IFERROR(__xludf.DUMMYFUNCTION("""COMPUTED_VALUE"""),0.7768578378063739)</f>
        <v>0.7768578378</v>
      </c>
      <c r="V2725" s="82">
        <f>IFERROR(__xludf.DUMMYFUNCTION("""COMPUTED_VALUE"""),0.5252794702376101)</f>
        <v>0.5252794702</v>
      </c>
      <c r="W2725" s="82">
        <f>IFERROR(__xludf.DUMMYFUNCTION("""COMPUTED_VALUE"""),1.3130442251272323)</f>
        <v>1.313044225</v>
      </c>
      <c r="X2725" s="82">
        <f>IFERROR(__xludf.DUMMYFUNCTION("""COMPUTED_VALUE"""),2.454678986039689)</f>
        <v>2.454678986</v>
      </c>
      <c r="Y2725" s="82">
        <f>IFERROR(__xludf.DUMMYFUNCTION("""COMPUTED_VALUE"""),334.4511263224362)</f>
        <v>334.4511263</v>
      </c>
      <c r="Z2725" s="82">
        <f>IFERROR(__xludf.DUMMYFUNCTION("""COMPUTED_VALUE"""),0.7727910707797137)</f>
        <v>0.7727910708</v>
      </c>
      <c r="AA2725" s="82">
        <f>IFERROR(__xludf.DUMMYFUNCTION("""COMPUTED_VALUE"""),0.5187606061417863)</f>
        <v>0.5187606061</v>
      </c>
      <c r="AB2725" s="82">
        <f>IFERROR(__xludf.DUMMYFUNCTION("""COMPUTED_VALUE"""),1.2094870673687652)</f>
        <v>1.209487067</v>
      </c>
      <c r="AC2725" s="82">
        <f>IFERROR(__xludf.DUMMYFUNCTION("""COMPUTED_VALUE"""),2.560203966718942)</f>
        <v>2.560203967</v>
      </c>
      <c r="AD2725" s="82">
        <f>IFERROR(__xludf.DUMMYFUNCTION("""COMPUTED_VALUE"""),0.8434325206899914)</f>
        <v>0.8434325207</v>
      </c>
      <c r="AE2725" s="82">
        <f>IFERROR(__xludf.DUMMYFUNCTION("""COMPUTED_VALUE"""),0.5626133959557462)</f>
        <v>0.562613396</v>
      </c>
      <c r="AF2725" s="82">
        <f>IFERROR(__xludf.DUMMYFUNCTION("""COMPUTED_VALUE"""),1.7600478283258825)</f>
        <v>1.760047828</v>
      </c>
      <c r="AG2725" s="82">
        <f>IFERROR(__xludf.DUMMYFUNCTION("""COMPUTED_VALUE"""),0.75490139819948)</f>
        <v>0.7549013982</v>
      </c>
      <c r="AH2725" s="82">
        <f>IFERROR(__xludf.DUMMYFUNCTION("""COMPUTED_VALUE"""),0.9000641574038803)</f>
        <v>0.9000641574</v>
      </c>
      <c r="AI2725" s="82">
        <f>IFERROR(__xludf.DUMMYFUNCTION("""COMPUTED_VALUE"""),0.8888169869495429)</f>
        <v>0.8888169869</v>
      </c>
      <c r="AJ2725" s="82">
        <f>IFERROR(__xludf.DUMMYFUNCTION("""COMPUTED_VALUE"""),0.7275686281293904)</f>
        <v>0.7275686281</v>
      </c>
      <c r="AK2725" s="82">
        <f>IFERROR(__xludf.DUMMYFUNCTION("""COMPUTED_VALUE"""),0.8001261783224568)</f>
        <v>0.8001261783</v>
      </c>
      <c r="AL2725" s="82">
        <f>IFERROR(__xludf.DUMMYFUNCTION("""COMPUTED_VALUE"""),1.0154519610366781)</f>
        <v>1.015451961</v>
      </c>
      <c r="AM2725" s="82">
        <f>IFERROR(__xludf.DUMMYFUNCTION("""COMPUTED_VALUE"""),0.7852498199749907)</f>
        <v>0.78524982</v>
      </c>
      <c r="AN2725" s="82">
        <f>IFERROR(__xludf.DUMMYFUNCTION("""COMPUTED_VALUE"""),0.8713341986553624)</f>
        <v>0.8713341987</v>
      </c>
      <c r="AO2725" s="82">
        <f>IFERROR(__xludf.DUMMYFUNCTION("""COMPUTED_VALUE"""),0.589476973094082)</f>
        <v>0.5894769731</v>
      </c>
      <c r="AP2725" s="82">
        <f>IFERROR(__xludf.DUMMYFUNCTION("""COMPUTED_VALUE"""),1.8504585370514162)</f>
        <v>1.850458537</v>
      </c>
      <c r="AQ2725" s="82">
        <f>IFERROR(__xludf.DUMMYFUNCTION("""COMPUTED_VALUE"""),0.7570174538545742)</f>
        <v>0.7570174539</v>
      </c>
      <c r="AR2725" s="82">
        <f>IFERROR(__xludf.DUMMYFUNCTION("""COMPUTED_VALUE"""),0.9783164786575502)</f>
        <v>0.9783164787</v>
      </c>
      <c r="AS2725" s="82">
        <f>IFERROR(__xludf.DUMMYFUNCTION("""COMPUTED_VALUE"""),67.0)</f>
        <v>67</v>
      </c>
      <c r="AT2725" s="82">
        <f>IFERROR(__xludf.DUMMYFUNCTION("""COMPUTED_VALUE"""),0.6982494040861325)</f>
        <v>0.6982494041</v>
      </c>
      <c r="AU2725" s="82">
        <f>IFERROR(__xludf.DUMMYFUNCTION("""COMPUTED_VALUE"""),2.21800547670807)</f>
        <v>2.218005477</v>
      </c>
      <c r="AV2725" s="82">
        <f>IFERROR(__xludf.DUMMYFUNCTION("""COMPUTED_VALUE"""),58.17710876239813)</f>
        <v>58.17710876</v>
      </c>
      <c r="AW2725" s="82">
        <f t="shared" si="1"/>
        <v>2.689603288</v>
      </c>
      <c r="AX2725" s="83">
        <f t="array" ref="AX2725">IFERROR(DGET('SBV Import'!A:G,"SBV",{"RSC ID","Tier";B2725,A2725}))</f>
        <v>48.71884159</v>
      </c>
      <c r="AY2725" s="82">
        <f t="shared" si="2"/>
        <v>-2.085224742</v>
      </c>
      <c r="AZ2725" s="82">
        <v>4.774828030472905</v>
      </c>
      <c r="BA2725" s="84">
        <v>2700.0</v>
      </c>
      <c r="BB2725" s="84" t="b">
        <f>IFERROR(__xludf.DUMMYFUNCTION("iferror(if(A2725="""",,E2725&gt;=FILTER(Constants!$F$2:$F$10,Constants!$A$2:$A$10=A2725)))"),TRUE)</f>
        <v>1</v>
      </c>
    </row>
    <row r="2726">
      <c r="A2726" s="89" t="str">
        <f>IFERROR(__xludf.DUMMYFUNCTION("""COMPUTED_VALUE"""),"Prospect")</f>
        <v>Prospect</v>
      </c>
      <c r="B2726" s="87" t="str">
        <f>IFERROR(__xludf.DUMMYFUNCTION("""COMPUTED_VALUE"""),"RSC006667")</f>
        <v>RSC006667</v>
      </c>
      <c r="C2726" s="73" t="str">
        <f>IFERROR(__xludf.DUMMYFUNCTION("""COMPUTED_VALUE"""),"GET2DACHOPPA5")</f>
        <v>GET2DACHOPPA5</v>
      </c>
      <c r="D2726" s="73" t="str">
        <f>IFERROR(__xludf.DUMMYFUNCTION("""COMPUTED_VALUE"""),"Honey Badgers")</f>
        <v>Honey Badgers</v>
      </c>
      <c r="E2726" s="82">
        <f>IFERROR(__xludf.DUMMYFUNCTION("""COMPUTED_VALUE"""),15.0)</f>
        <v>15</v>
      </c>
      <c r="F2726" s="82">
        <f>IFERROR(__xludf.DUMMYFUNCTION("""COMPUTED_VALUE"""),7.0)</f>
        <v>7</v>
      </c>
      <c r="G2726" s="86">
        <f>IFERROR(__xludf.DUMMYFUNCTION("""COMPUTED_VALUE"""),8.0)</f>
        <v>8</v>
      </c>
      <c r="H2726" s="86">
        <f>IFERROR(__xludf.DUMMYFUNCTION("""COMPUTED_VALUE"""),0.4666666666666667)</f>
        <v>0.4666666667</v>
      </c>
      <c r="I2726" s="86">
        <f>IFERROR(__xludf.DUMMYFUNCTION("""COMPUTED_VALUE"""),0.2857142857142857)</f>
        <v>0.2857142857</v>
      </c>
      <c r="J2726" s="82">
        <f>IFERROR(__xludf.DUMMYFUNCTION("""COMPUTED_VALUE"""),309.46666666666664)</f>
        <v>309.4666667</v>
      </c>
      <c r="K2726" s="82">
        <f>IFERROR(__xludf.DUMMYFUNCTION("""COMPUTED_VALUE"""),0.5333333333333333)</f>
        <v>0.5333333333</v>
      </c>
      <c r="L2726" s="82">
        <f>IFERROR(__xludf.DUMMYFUNCTION("""COMPUTED_VALUE"""),1.0)</f>
        <v>1</v>
      </c>
      <c r="M2726" s="82">
        <f>IFERROR(__xludf.DUMMYFUNCTION("""COMPUTED_VALUE"""),1.1333333333333333)</f>
        <v>1.133333333</v>
      </c>
      <c r="N2726" s="82">
        <f>IFERROR(__xludf.DUMMYFUNCTION("""COMPUTED_VALUE"""),1.8666666666666667)</f>
        <v>1.866666667</v>
      </c>
      <c r="O2726" s="82">
        <f>IFERROR(__xludf.DUMMYFUNCTION("""COMPUTED_VALUE"""),322.17777777777775)</f>
        <v>322.1777778</v>
      </c>
      <c r="P2726" s="82">
        <f>IFERROR(__xludf.DUMMYFUNCTION("""COMPUTED_VALUE"""),0.7333333333333333)</f>
        <v>0.7333333333</v>
      </c>
      <c r="Q2726" s="82">
        <f>IFERROR(__xludf.DUMMYFUNCTION("""COMPUTED_VALUE"""),0.5555555555555555)</f>
        <v>0.5555555556</v>
      </c>
      <c r="R2726" s="82">
        <f>IFERROR(__xludf.DUMMYFUNCTION("""COMPUTED_VALUE"""),1.0666666666666667)</f>
        <v>1.066666667</v>
      </c>
      <c r="S2726" s="82">
        <f>IFERROR(__xludf.DUMMYFUNCTION("""COMPUTED_VALUE"""),2.4222222222222225)</f>
        <v>2.422222222</v>
      </c>
      <c r="T2726" s="82">
        <f>IFERROR(__xludf.DUMMYFUNCTION("""COMPUTED_VALUE"""),334.9813470003791)</f>
        <v>334.981347</v>
      </c>
      <c r="U2726" s="82">
        <f>IFERROR(__xludf.DUMMYFUNCTION("""COMPUTED_VALUE"""),0.8061526675200874)</f>
        <v>0.8061526675</v>
      </c>
      <c r="V2726" s="82">
        <f>IFERROR(__xludf.DUMMYFUNCTION("""COMPUTED_VALUE"""),0.5579274343380444)</f>
        <v>0.5579274343</v>
      </c>
      <c r="W2726" s="82">
        <f>IFERROR(__xludf.DUMMYFUNCTION("""COMPUTED_VALUE"""),1.137531519593991)</f>
        <v>1.13753152</v>
      </c>
      <c r="X2726" s="82">
        <f>IFERROR(__xludf.DUMMYFUNCTION("""COMPUTED_VALUE"""),2.4585734639323404)</f>
        <v>2.458573464</v>
      </c>
      <c r="Y2726" s="82">
        <f>IFERROR(__xludf.DUMMYFUNCTION("""COMPUTED_VALUE"""),332.55612143174443)</f>
        <v>332.5561214</v>
      </c>
      <c r="Z2726" s="82">
        <f>IFERROR(__xludf.DUMMYFUNCTION("""COMPUTED_VALUE"""),0.7789963749894145)</f>
        <v>0.778996375</v>
      </c>
      <c r="AA2726" s="82">
        <f>IFERROR(__xludf.DUMMYFUNCTION("""COMPUTED_VALUE"""),0.5136934039719177)</f>
        <v>0.513693404</v>
      </c>
      <c r="AB2726" s="82">
        <f>IFERROR(__xludf.DUMMYFUNCTION("""COMPUTED_VALUE"""),1.213570687117756)</f>
        <v>1.213570687</v>
      </c>
      <c r="AC2726" s="82">
        <f>IFERROR(__xludf.DUMMYFUNCTION("""COMPUTED_VALUE"""),2.3116282904456766)</f>
        <v>2.31162829</v>
      </c>
      <c r="AD2726" s="82">
        <f>IFERROR(__xludf.DUMMYFUNCTION("""COMPUTED_VALUE"""),0.9305697496540691)</f>
        <v>0.9305697497</v>
      </c>
      <c r="AE2726" s="82">
        <f>IFERROR(__xludf.DUMMYFUNCTION("""COMPUTED_VALUE"""),0.6846416112534293)</f>
        <v>0.6846416113</v>
      </c>
      <c r="AF2726" s="82">
        <f>IFERROR(__xludf.DUMMYFUNCTION("""COMPUTED_VALUE"""),1.946686471478749)</f>
        <v>1.946686471</v>
      </c>
      <c r="AG2726" s="82">
        <f>IFERROR(__xludf.DUMMYFUNCTION("""COMPUTED_VALUE"""),0.9338832466570305)</f>
        <v>0.9338832467</v>
      </c>
      <c r="AH2726" s="82">
        <f>IFERROR(__xludf.DUMMYFUNCTION("""COMPUTED_VALUE"""),0.8075116031335546)</f>
        <v>0.8075116031</v>
      </c>
      <c r="AI2726" s="82">
        <f>IFERROR(__xludf.DUMMYFUNCTION("""COMPUTED_VALUE"""),0.9617782621711565)</f>
        <v>0.9617782622</v>
      </c>
      <c r="AJ2726" s="82">
        <f>IFERROR(__xludf.DUMMYFUNCTION("""COMPUTED_VALUE"""),0.9096705411758256)</f>
        <v>0.9096705412</v>
      </c>
      <c r="AK2726" s="82">
        <f>IFERROR(__xludf.DUMMYFUNCTION("""COMPUTED_VALUE"""),0.9957487683227066)</f>
        <v>0.9957487683</v>
      </c>
      <c r="AL2726" s="82">
        <f>IFERROR(__xludf.DUMMYFUNCTION("""COMPUTED_VALUE"""),0.9377029544178103)</f>
        <v>0.9377029544</v>
      </c>
      <c r="AM2726" s="82">
        <f>IFERROR(__xludf.DUMMYFUNCTION("""COMPUTED_VALUE"""),0.9852144984710051)</f>
        <v>0.9852144985</v>
      </c>
      <c r="AN2726" s="82">
        <f>IFERROR(__xludf.DUMMYFUNCTION("""COMPUTED_VALUE"""),0.9559069775343035)</f>
        <v>0.9559069775</v>
      </c>
      <c r="AO2726" s="82">
        <f>IFERROR(__xludf.DUMMYFUNCTION("""COMPUTED_VALUE"""),0.7230917536620739)</f>
        <v>0.7230917537</v>
      </c>
      <c r="AP2726" s="82">
        <f>IFERROR(__xludf.DUMMYFUNCTION("""COMPUTED_VALUE"""),2.0266926834372656)</f>
        <v>2.026692683</v>
      </c>
      <c r="AQ2726" s="82">
        <f>IFERROR(__xludf.DUMMYFUNCTION("""COMPUTED_VALUE"""),0.9396629347845668)</f>
        <v>0.9396629348</v>
      </c>
      <c r="AR2726" s="82">
        <f>IFERROR(__xludf.DUMMYFUNCTION("""COMPUTED_VALUE"""),0.792497877050896)</f>
        <v>0.7924978771</v>
      </c>
      <c r="AS2726" s="82">
        <f>IFERROR(__xludf.DUMMYFUNCTION("""COMPUTED_VALUE"""),36.0)</f>
        <v>36</v>
      </c>
      <c r="AT2726" s="82">
        <f>IFERROR(__xludf.DUMMYFUNCTION("""COMPUTED_VALUE"""),0.5336566058755772)</f>
        <v>0.5336566059</v>
      </c>
      <c r="AU2726" s="82">
        <f>IFERROR(__xludf.DUMMYFUNCTION("""COMPUTED_VALUE"""),2.2112660684008603)</f>
        <v>2.211266068</v>
      </c>
      <c r="AV2726" s="82">
        <f>IFERROR(__xludf.DUMMYFUNCTION("""COMPUTED_VALUE"""),57.962713392659225)</f>
        <v>57.96271339</v>
      </c>
      <c r="AW2726" s="82">
        <f t="shared" si="1"/>
        <v>2.666313928</v>
      </c>
      <c r="AX2726" s="83">
        <f t="array" ref="AX2726">IFERROR(DGET('SBV Import'!A:G,"SBV",{"RSC ID","Tier";B2726,A2726}))</f>
        <v>57.32822809</v>
      </c>
      <c r="AY2726" s="82">
        <f t="shared" si="2"/>
        <v>2.59934888</v>
      </c>
      <c r="AZ2726" s="82">
        <v>0.06696504737810605</v>
      </c>
      <c r="BA2726" s="84">
        <v>2700.0</v>
      </c>
      <c r="BB2726" s="84" t="b">
        <f>IFERROR(__xludf.DUMMYFUNCTION("iferror(if(A2726="""",,E2726&gt;=FILTER(Constants!$F$2:$F$10,Constants!$A$2:$A$10=A2726)))"),TRUE)</f>
        <v>1</v>
      </c>
    </row>
    <row r="2727">
      <c r="A2727" s="89" t="str">
        <f>IFERROR(__xludf.DUMMYFUNCTION("""COMPUTED_VALUE"""),"Prospect")</f>
        <v>Prospect</v>
      </c>
      <c r="B2727" s="87" t="str">
        <f>IFERROR(__xludf.DUMMYFUNCTION("""COMPUTED_VALUE"""),"RSC006344")</f>
        <v>RSC006344</v>
      </c>
      <c r="C2727" s="73" t="str">
        <f>IFERROR(__xludf.DUMMYFUNCTION("""COMPUTED_VALUE"""),"FerrisCrueller")</f>
        <v>FerrisCrueller</v>
      </c>
      <c r="D2727" s="73" t="str">
        <f>IFERROR(__xludf.DUMMYFUNCTION("""COMPUTED_VALUE"""),"Poppy")</f>
        <v>Poppy</v>
      </c>
      <c r="E2727" s="82">
        <f>IFERROR(__xludf.DUMMYFUNCTION("""COMPUTED_VALUE"""),9.0)</f>
        <v>9</v>
      </c>
      <c r="F2727" s="82">
        <f>IFERROR(__xludf.DUMMYFUNCTION("""COMPUTED_VALUE"""),4.0)</f>
        <v>4</v>
      </c>
      <c r="G2727" s="86">
        <f>IFERROR(__xludf.DUMMYFUNCTION("""COMPUTED_VALUE"""),5.0)</f>
        <v>5</v>
      </c>
      <c r="H2727" s="86">
        <f>IFERROR(__xludf.DUMMYFUNCTION("""COMPUTED_VALUE"""),0.4444444444444444)</f>
        <v>0.4444444444</v>
      </c>
      <c r="I2727" s="86">
        <f>IFERROR(__xludf.DUMMYFUNCTION("""COMPUTED_VALUE"""),0.3636363636363636)</f>
        <v>0.3636363636</v>
      </c>
      <c r="J2727" s="82">
        <f>IFERROR(__xludf.DUMMYFUNCTION("""COMPUTED_VALUE"""),296.6666666666667)</f>
        <v>296.6666667</v>
      </c>
      <c r="K2727" s="82">
        <f>IFERROR(__xludf.DUMMYFUNCTION("""COMPUTED_VALUE"""),0.8888888888888888)</f>
        <v>0.8888888889</v>
      </c>
      <c r="L2727" s="82">
        <f>IFERROR(__xludf.DUMMYFUNCTION("""COMPUTED_VALUE"""),0.4444444444444444)</f>
        <v>0.4444444444</v>
      </c>
      <c r="M2727" s="82">
        <f>IFERROR(__xludf.DUMMYFUNCTION("""COMPUTED_VALUE"""),0.5555555555555556)</f>
        <v>0.5555555556</v>
      </c>
      <c r="N2727" s="82">
        <f>IFERROR(__xludf.DUMMYFUNCTION("""COMPUTED_VALUE"""),2.4444444444444446)</f>
        <v>2.444444444</v>
      </c>
      <c r="O2727" s="82">
        <f>IFERROR(__xludf.DUMMYFUNCTION("""COMPUTED_VALUE"""),335.3703703703703)</f>
        <v>335.3703704</v>
      </c>
      <c r="P2727" s="82">
        <f>IFERROR(__xludf.DUMMYFUNCTION("""COMPUTED_VALUE"""),0.7037037037037037)</f>
        <v>0.7037037037</v>
      </c>
      <c r="Q2727" s="82">
        <f>IFERROR(__xludf.DUMMYFUNCTION("""COMPUTED_VALUE"""),0.48148148148148145)</f>
        <v>0.4814814815</v>
      </c>
      <c r="R2727" s="82">
        <f>IFERROR(__xludf.DUMMYFUNCTION("""COMPUTED_VALUE"""),1.1851851851851853)</f>
        <v>1.185185185</v>
      </c>
      <c r="S2727" s="82">
        <f>IFERROR(__xludf.DUMMYFUNCTION("""COMPUTED_VALUE"""),2.3333333333333335)</f>
        <v>2.333333333</v>
      </c>
      <c r="T2727" s="82">
        <f>IFERROR(__xludf.DUMMYFUNCTION("""COMPUTED_VALUE"""),331.35452063049775)</f>
        <v>331.3545206</v>
      </c>
      <c r="U2727" s="82">
        <f>IFERROR(__xludf.DUMMYFUNCTION("""COMPUTED_VALUE"""),0.7920033739142935)</f>
        <v>0.7920033739</v>
      </c>
      <c r="V2727" s="82">
        <f>IFERROR(__xludf.DUMMYFUNCTION("""COMPUTED_VALUE"""),0.5169575475609958)</f>
        <v>0.5169575476</v>
      </c>
      <c r="W2727" s="82">
        <f>IFERROR(__xludf.DUMMYFUNCTION("""COMPUTED_VALUE"""),1.175447675993653)</f>
        <v>1.175447676</v>
      </c>
      <c r="X2727" s="82">
        <f>IFERROR(__xludf.DUMMYFUNCTION("""COMPUTED_VALUE"""),2.3736060177583167)</f>
        <v>2.373606018</v>
      </c>
      <c r="Y2727" s="82">
        <f>IFERROR(__xludf.DUMMYFUNCTION("""COMPUTED_VALUE"""),331.2476277669046)</f>
        <v>331.2476278</v>
      </c>
      <c r="Z2727" s="82">
        <f>IFERROR(__xludf.DUMMYFUNCTION("""COMPUTED_VALUE"""),0.7789525339142197)</f>
        <v>0.7789525339</v>
      </c>
      <c r="AA2727" s="82">
        <f>IFERROR(__xludf.DUMMYFUNCTION("""COMPUTED_VALUE"""),0.5258828040485128)</f>
        <v>0.525882804</v>
      </c>
      <c r="AB2727" s="82">
        <f>IFERROR(__xludf.DUMMYFUNCTION("""COMPUTED_VALUE"""),1.1478325906391038)</f>
        <v>1.147832591</v>
      </c>
      <c r="AC2727" s="82">
        <f>IFERROR(__xludf.DUMMYFUNCTION("""COMPUTED_VALUE"""),2.424594768612968)</f>
        <v>2.424594769</v>
      </c>
      <c r="AD2727" s="82">
        <f>IFERROR(__xludf.DUMMYFUNCTION("""COMPUTED_VALUE"""),0.8956038981067899)</f>
        <v>0.8956038981</v>
      </c>
      <c r="AE2727" s="82">
        <f>IFERROR(__xludf.DUMMYFUNCTION("""COMPUTED_VALUE"""),1.1411335738549322)</f>
        <v>1.141133574</v>
      </c>
      <c r="AF2727" s="82">
        <f>IFERROR(__xludf.DUMMYFUNCTION("""COMPUTED_VALUE"""),0.8451397174862639)</f>
        <v>0.8451397175</v>
      </c>
      <c r="AG2727" s="82">
        <f>IFERROR(__xludf.DUMMYFUNCTION("""COMPUTED_VALUE"""),0.48400399159796187)</f>
        <v>0.4840039916</v>
      </c>
      <c r="AH2727" s="82">
        <f>IFERROR(__xludf.DUMMYFUNCTION("""COMPUTED_VALUE"""),1.0081868013939632)</f>
        <v>1.008186801</v>
      </c>
      <c r="AI2727" s="82">
        <f>IFERROR(__xludf.DUMMYFUNCTION("""COMPUTED_VALUE"""),1.0121194958566773)</f>
        <v>1.012119496</v>
      </c>
      <c r="AJ2727" s="82">
        <f>IFERROR(__xludf.DUMMYFUNCTION("""COMPUTED_VALUE"""),0.8885109923532407)</f>
        <v>0.8885109924</v>
      </c>
      <c r="AK2727" s="82">
        <f>IFERROR(__xludf.DUMMYFUNCTION("""COMPUTED_VALUE"""),0.9313752816901691)</f>
        <v>0.9313752817</v>
      </c>
      <c r="AL2727" s="82">
        <f>IFERROR(__xludf.DUMMYFUNCTION("""COMPUTED_VALUE"""),1.0082840856215065)</f>
        <v>1.008284086</v>
      </c>
      <c r="AM2727" s="82">
        <f>IFERROR(__xludf.DUMMYFUNCTION("""COMPUTED_VALUE"""),0.9830331217044109)</f>
        <v>0.9830331217</v>
      </c>
      <c r="AN2727" s="82">
        <f>IFERROR(__xludf.DUMMYFUNCTION("""COMPUTED_VALUE"""),0.9163692481748494)</f>
        <v>0.9163692482</v>
      </c>
      <c r="AO2727" s="82">
        <f>IFERROR(__xludf.DUMMYFUNCTION("""COMPUTED_VALUE"""),1.2051529227701232)</f>
        <v>1.205152923</v>
      </c>
      <c r="AP2727" s="82">
        <f>IFERROR(__xludf.DUMMYFUNCTION("""COMPUTED_VALUE"""),0.9007523037498958)</f>
        <v>0.9007523037</v>
      </c>
      <c r="AQ2727" s="82">
        <f>IFERROR(__xludf.DUMMYFUNCTION("""COMPUTED_VALUE"""),0.46061908567870924)</f>
        <v>0.4606190857</v>
      </c>
      <c r="AR2727" s="82">
        <f>IFERROR(__xludf.DUMMYFUNCTION("""COMPUTED_VALUE"""),1.037794838995221)</f>
        <v>1.037794839</v>
      </c>
      <c r="AS2727" s="82">
        <f>IFERROR(__xludf.DUMMYFUNCTION("""COMPUTED_VALUE"""),21.0)</f>
        <v>21</v>
      </c>
      <c r="AT2727" s="82">
        <f>IFERROR(__xludf.DUMMYFUNCTION("""COMPUTED_VALUE"""),0.5383154260430724)</f>
        <v>0.538315426</v>
      </c>
      <c r="AU2727" s="82">
        <f>IFERROR(__xludf.DUMMYFUNCTION("""COMPUTED_VALUE"""),2.189255686727668)</f>
        <v>2.189255687</v>
      </c>
      <c r="AV2727" s="82">
        <f>IFERROR(__xludf.DUMMYFUNCTION("""COMPUTED_VALUE"""),57.26251484379402)</f>
        <v>57.26251484</v>
      </c>
      <c r="AW2727" s="82">
        <f t="shared" si="1"/>
        <v>2.592576712</v>
      </c>
      <c r="AX2727" s="83">
        <f t="array" ref="AX2727">IFERROR(DGET('SBV Import'!A:G,"SBV",{"RSC ID","Tier";B2727,A2727}))</f>
        <v>39.16673036</v>
      </c>
      <c r="AY2727" s="82">
        <f t="shared" si="2"/>
        <v>-3.008539095</v>
      </c>
      <c r="AZ2727" s="82">
        <v>5.601115807482069</v>
      </c>
      <c r="BA2727" s="84">
        <v>2700.0</v>
      </c>
      <c r="BB2727" s="84" t="b">
        <f>IFERROR(__xludf.DUMMYFUNCTION("iferror(if(A2727="""",,E2727&gt;=FILTER(Constants!$F$2:$F$10,Constants!$A$2:$A$10=A2727)))"),TRUE)</f>
        <v>1</v>
      </c>
    </row>
    <row r="2728">
      <c r="A2728" s="89" t="str">
        <f>IFERROR(__xludf.DUMMYFUNCTION("""COMPUTED_VALUE"""),"Prospect")</f>
        <v>Prospect</v>
      </c>
      <c r="B2728" s="87" t="str">
        <f>IFERROR(__xludf.DUMMYFUNCTION("""COMPUTED_VALUE"""),"RSC007423")</f>
        <v>RSC007423</v>
      </c>
      <c r="C2728" s="73" t="str">
        <f>IFERROR(__xludf.DUMMYFUNCTION("""COMPUTED_VALUE"""),"Valuedsquash465")</f>
        <v>Valuedsquash465</v>
      </c>
      <c r="D2728" s="73" t="str">
        <f>IFERROR(__xludf.DUMMYFUNCTION("""COMPUTED_VALUE"""),"Tic Tacs")</f>
        <v>Tic Tacs</v>
      </c>
      <c r="E2728" s="82">
        <f>IFERROR(__xludf.DUMMYFUNCTION("""COMPUTED_VALUE"""),18.0)</f>
        <v>18</v>
      </c>
      <c r="F2728" s="82">
        <f>IFERROR(__xludf.DUMMYFUNCTION("""COMPUTED_VALUE"""),7.0)</f>
        <v>7</v>
      </c>
      <c r="G2728" s="86">
        <f>IFERROR(__xludf.DUMMYFUNCTION("""COMPUTED_VALUE"""),11.0)</f>
        <v>11</v>
      </c>
      <c r="H2728" s="86">
        <f>IFERROR(__xludf.DUMMYFUNCTION("""COMPUTED_VALUE"""),0.3888888888888889)</f>
        <v>0.3888888889</v>
      </c>
      <c r="I2728" s="86">
        <f>IFERROR(__xludf.DUMMYFUNCTION("""COMPUTED_VALUE"""),0.3095238095238095)</f>
        <v>0.3095238095</v>
      </c>
      <c r="J2728" s="82">
        <f>IFERROR(__xludf.DUMMYFUNCTION("""COMPUTED_VALUE"""),346.1666666666667)</f>
        <v>346.1666667</v>
      </c>
      <c r="K2728" s="82">
        <f>IFERROR(__xludf.DUMMYFUNCTION("""COMPUTED_VALUE"""),0.7222222222222222)</f>
        <v>0.7222222222</v>
      </c>
      <c r="L2728" s="82">
        <f>IFERROR(__xludf.DUMMYFUNCTION("""COMPUTED_VALUE"""),0.8333333333333334)</f>
        <v>0.8333333333</v>
      </c>
      <c r="M2728" s="82">
        <f>IFERROR(__xludf.DUMMYFUNCTION("""COMPUTED_VALUE"""),1.4444444444444444)</f>
        <v>1.444444444</v>
      </c>
      <c r="N2728" s="82">
        <f>IFERROR(__xludf.DUMMYFUNCTION("""COMPUTED_VALUE"""),2.3333333333333335)</f>
        <v>2.333333333</v>
      </c>
      <c r="O2728" s="82">
        <f>IFERROR(__xludf.DUMMYFUNCTION("""COMPUTED_VALUE"""),364.6111111111111)</f>
        <v>364.6111111</v>
      </c>
      <c r="P2728" s="82">
        <f>IFERROR(__xludf.DUMMYFUNCTION("""COMPUTED_VALUE"""),1.074074074074074)</f>
        <v>1.074074074</v>
      </c>
      <c r="Q2728" s="82">
        <f>IFERROR(__xludf.DUMMYFUNCTION("""COMPUTED_VALUE"""),0.5370370370370371)</f>
        <v>0.537037037</v>
      </c>
      <c r="R2728" s="82">
        <f>IFERROR(__xludf.DUMMYFUNCTION("""COMPUTED_VALUE"""),1.0740740740740737)</f>
        <v>1.074074074</v>
      </c>
      <c r="S2728" s="82">
        <f>IFERROR(__xludf.DUMMYFUNCTION("""COMPUTED_VALUE"""),3.0)</f>
        <v>3</v>
      </c>
      <c r="T2728" s="82">
        <f>IFERROR(__xludf.DUMMYFUNCTION("""COMPUTED_VALUE"""),335.07573883297835)</f>
        <v>335.0757388</v>
      </c>
      <c r="U2728" s="82">
        <f>IFERROR(__xludf.DUMMYFUNCTION("""COMPUTED_VALUE"""),0.7881498060948695)</f>
        <v>0.7881498061</v>
      </c>
      <c r="V2728" s="82">
        <f>IFERROR(__xludf.DUMMYFUNCTION("""COMPUTED_VALUE"""),0.49719317306210936)</f>
        <v>0.4971931731</v>
      </c>
      <c r="W2728" s="82">
        <f>IFERROR(__xludf.DUMMYFUNCTION("""COMPUTED_VALUE"""),1.2508303451486984)</f>
        <v>1.250830345</v>
      </c>
      <c r="X2728" s="82">
        <f>IFERROR(__xludf.DUMMYFUNCTION("""COMPUTED_VALUE"""),2.3233429300002237)</f>
        <v>2.32334293</v>
      </c>
      <c r="Y2728" s="82">
        <f>IFERROR(__xludf.DUMMYFUNCTION("""COMPUTED_VALUE"""),333.1421789153192)</f>
        <v>333.1421789</v>
      </c>
      <c r="Z2728" s="82">
        <f>IFERROR(__xludf.DUMMYFUNCTION("""COMPUTED_VALUE"""),0.7908012023254806)</f>
        <v>0.7908012023</v>
      </c>
      <c r="AA2728" s="82">
        <f>IFERROR(__xludf.DUMMYFUNCTION("""COMPUTED_VALUE"""),0.5393619703045979)</f>
        <v>0.5393619703</v>
      </c>
      <c r="AB2728" s="82">
        <f>IFERROR(__xludf.DUMMYFUNCTION("""COMPUTED_VALUE"""),1.141411820335139)</f>
        <v>1.14141182</v>
      </c>
      <c r="AC2728" s="82">
        <f>IFERROR(__xludf.DUMMYFUNCTION("""COMPUTED_VALUE"""),2.5225749686971066)</f>
        <v>2.522574969</v>
      </c>
      <c r="AD2728" s="82">
        <f>IFERROR(__xludf.DUMMYFUNCTION("""COMPUTED_VALUE"""),1.039095883306503)</f>
        <v>1.039095883</v>
      </c>
      <c r="AE2728" s="82">
        <f>IFERROR(__xludf.DUMMYFUNCTION("""COMPUTED_VALUE"""),0.9132791150271514)</f>
        <v>0.913279115</v>
      </c>
      <c r="AF2728" s="82">
        <f>IFERROR(__xludf.DUMMYFUNCTION("""COMPUTED_VALUE"""),1.5450353922111322)</f>
        <v>1.545035392</v>
      </c>
      <c r="AG2728" s="82">
        <f>IFERROR(__xludf.DUMMYFUNCTION("""COMPUTED_VALUE"""),1.265489299051003)</f>
        <v>1.265489299</v>
      </c>
      <c r="AH2728" s="82">
        <f>IFERROR(__xludf.DUMMYFUNCTION("""COMPUTED_VALUE"""),0.9249807685749315)</f>
        <v>0.9249807686</v>
      </c>
      <c r="AI2728" s="82">
        <f>IFERROR(__xludf.DUMMYFUNCTION("""COMPUTED_VALUE"""),1.0881453619441392)</f>
        <v>1.088145362</v>
      </c>
      <c r="AJ2728" s="82">
        <f>IFERROR(__xludf.DUMMYFUNCTION("""COMPUTED_VALUE"""),1.3627790881481074)</f>
        <v>1.362779088</v>
      </c>
      <c r="AK2728" s="82">
        <f>IFERROR(__xludf.DUMMYFUNCTION("""COMPUTED_VALUE"""),1.0801375926574728)</f>
        <v>1.080137593</v>
      </c>
      <c r="AL2728" s="82">
        <f>IFERROR(__xludf.DUMMYFUNCTION("""COMPUTED_VALUE"""),0.8586888527607539)</f>
        <v>0.8586888528</v>
      </c>
      <c r="AM2728" s="82">
        <f>IFERROR(__xludf.DUMMYFUNCTION("""COMPUTED_VALUE"""),1.2912428730440197)</f>
        <v>1.291242873</v>
      </c>
      <c r="AN2728" s="82">
        <f>IFERROR(__xludf.DUMMYFUNCTION("""COMPUTED_VALUE"""),1.0692690609321136)</f>
        <v>1.069269061</v>
      </c>
      <c r="AO2728" s="82">
        <f>IFERROR(__xludf.DUMMYFUNCTION("""COMPUTED_VALUE"""),0.9791867497507252)</f>
        <v>0.9791867498</v>
      </c>
      <c r="AP2728" s="82">
        <f>IFERROR(__xludf.DUMMYFUNCTION("""COMPUTED_VALUE"""),1.6889105695310547)</f>
        <v>1.68891057</v>
      </c>
      <c r="AQ2728" s="82">
        <f>IFERROR(__xludf.DUMMYFUNCTION("""COMPUTED_VALUE"""),1.197609622764644)</f>
        <v>1.197609623</v>
      </c>
      <c r="AR2728" s="82">
        <f>IFERROR(__xludf.DUMMYFUNCTION("""COMPUTED_VALUE"""),0.99062234631362)</f>
        <v>0.9906223463</v>
      </c>
      <c r="AS2728" s="82">
        <f>IFERROR(__xludf.DUMMYFUNCTION("""COMPUTED_VALUE"""),41.0)</f>
        <v>41</v>
      </c>
      <c r="AT2728" s="82">
        <f>IFERROR(__xludf.DUMMYFUNCTION("""COMPUTED_VALUE"""),0.36220980590949137)</f>
        <v>0.3622098059</v>
      </c>
      <c r="AU2728" s="82">
        <f>IFERROR(__xludf.DUMMYFUNCTION("""COMPUTED_VALUE"""),2.1604807737506384)</f>
        <v>2.160480774</v>
      </c>
      <c r="AV2728" s="82">
        <f>IFERROR(__xludf.DUMMYFUNCTION("""COMPUTED_VALUE"""),56.34712170752788)</f>
        <v>56.34712171</v>
      </c>
      <c r="AW2728" s="82">
        <f t="shared" si="1"/>
        <v>2.501299096</v>
      </c>
      <c r="AX2728" s="83">
        <f t="array" ref="AX2728">IFERROR(DGET('SBV Import'!A:G,"SBV",{"RSC ID","Tier";B2728,A2728}))</f>
        <v>49.5794259</v>
      </c>
      <c r="AY2728" s="82">
        <f t="shared" si="2"/>
        <v>-2.027209511</v>
      </c>
      <c r="AZ2728" s="82">
        <v>4.52850860656107</v>
      </c>
      <c r="BA2728" s="84">
        <v>2700.0</v>
      </c>
      <c r="BB2728" s="84" t="b">
        <f>IFERROR(__xludf.DUMMYFUNCTION("iferror(if(A2728="""",,E2728&gt;=FILTER(Constants!$F$2:$F$10,Constants!$A$2:$A$10=A2728)))"),TRUE)</f>
        <v>1</v>
      </c>
    </row>
    <row r="2729">
      <c r="A2729" s="89" t="str">
        <f>IFERROR(__xludf.DUMMYFUNCTION("""COMPUTED_VALUE"""),"Prospect")</f>
        <v>Prospect</v>
      </c>
      <c r="B2729" s="87" t="str">
        <f>IFERROR(__xludf.DUMMYFUNCTION("""COMPUTED_VALUE"""),"RSC003335")</f>
        <v>RSC003335</v>
      </c>
      <c r="C2729" s="73" t="str">
        <f>IFERROR(__xludf.DUMMYFUNCTION("""COMPUTED_VALUE"""),"xEaglex20x")</f>
        <v>xEaglex20x</v>
      </c>
      <c r="D2729" s="73" t="str">
        <f>IFERROR(__xludf.DUMMYFUNCTION("""COMPUTED_VALUE"""),"Earth")</f>
        <v>Earth</v>
      </c>
      <c r="E2729" s="82">
        <f>IFERROR(__xludf.DUMMYFUNCTION("""COMPUTED_VALUE"""),33.0)</f>
        <v>33</v>
      </c>
      <c r="F2729" s="82">
        <f>IFERROR(__xludf.DUMMYFUNCTION("""COMPUTED_VALUE"""),19.0)</f>
        <v>19</v>
      </c>
      <c r="G2729" s="86">
        <f>IFERROR(__xludf.DUMMYFUNCTION("""COMPUTED_VALUE"""),14.0)</f>
        <v>14</v>
      </c>
      <c r="H2729" s="86">
        <f>IFERROR(__xludf.DUMMYFUNCTION("""COMPUTED_VALUE"""),0.5757575757575758)</f>
        <v>0.5757575758</v>
      </c>
      <c r="I2729" s="86">
        <f>IFERROR(__xludf.DUMMYFUNCTION("""COMPUTED_VALUE"""),0.3)</f>
        <v>0.3</v>
      </c>
      <c r="J2729" s="82">
        <f>IFERROR(__xludf.DUMMYFUNCTION("""COMPUTED_VALUE"""),318.0)</f>
        <v>318</v>
      </c>
      <c r="K2729" s="82">
        <f>IFERROR(__xludf.DUMMYFUNCTION("""COMPUTED_VALUE"""),0.7272727272727273)</f>
        <v>0.7272727273</v>
      </c>
      <c r="L2729" s="82">
        <f>IFERROR(__xludf.DUMMYFUNCTION("""COMPUTED_VALUE"""),0.6363636363636364)</f>
        <v>0.6363636364</v>
      </c>
      <c r="M2729" s="82">
        <f>IFERROR(__xludf.DUMMYFUNCTION("""COMPUTED_VALUE"""),1.2424242424242424)</f>
        <v>1.242424242</v>
      </c>
      <c r="N2729" s="82">
        <f>IFERROR(__xludf.DUMMYFUNCTION("""COMPUTED_VALUE"""),2.4242424242424243)</f>
        <v>2.424242424</v>
      </c>
      <c r="O2729" s="82">
        <f>IFERROR(__xludf.DUMMYFUNCTION("""COMPUTED_VALUE"""),326.32323232323233)</f>
        <v>326.3232323</v>
      </c>
      <c r="P2729" s="82">
        <f>IFERROR(__xludf.DUMMYFUNCTION("""COMPUTED_VALUE"""),0.7272727272727271)</f>
        <v>0.7272727273</v>
      </c>
      <c r="Q2729" s="82">
        <f>IFERROR(__xludf.DUMMYFUNCTION("""COMPUTED_VALUE"""),0.43434343434343425)</f>
        <v>0.4343434343</v>
      </c>
      <c r="R2729" s="82">
        <f>IFERROR(__xludf.DUMMYFUNCTION("""COMPUTED_VALUE"""),1.3838383838383839)</f>
        <v>1.383838384</v>
      </c>
      <c r="S2729" s="82">
        <f>IFERROR(__xludf.DUMMYFUNCTION("""COMPUTED_VALUE"""),2.07070707070707)</f>
        <v>2.070707071</v>
      </c>
      <c r="T2729" s="82">
        <f>IFERROR(__xludf.DUMMYFUNCTION("""COMPUTED_VALUE"""),324.6303160514359)</f>
        <v>324.6303161</v>
      </c>
      <c r="U2729" s="82">
        <f>IFERROR(__xludf.DUMMYFUNCTION("""COMPUTED_VALUE"""),0.742988806656082)</f>
        <v>0.7429888067</v>
      </c>
      <c r="V2729" s="82">
        <f>IFERROR(__xludf.DUMMYFUNCTION("""COMPUTED_VALUE"""),0.46548462648489436)</f>
        <v>0.4654846265</v>
      </c>
      <c r="W2729" s="82">
        <f>IFERROR(__xludf.DUMMYFUNCTION("""COMPUTED_VALUE"""),1.2318243661680957)</f>
        <v>1.231824366</v>
      </c>
      <c r="X2729" s="82">
        <f>IFERROR(__xludf.DUMMYFUNCTION("""COMPUTED_VALUE"""),2.228587238005814)</f>
        <v>2.228587238</v>
      </c>
      <c r="Y2729" s="82">
        <f>IFERROR(__xludf.DUMMYFUNCTION("""COMPUTED_VALUE"""),339.76775019327573)</f>
        <v>339.7677502</v>
      </c>
      <c r="Z2729" s="82">
        <f>IFERROR(__xludf.DUMMYFUNCTION("""COMPUTED_VALUE"""),0.8280978213384278)</f>
        <v>0.8280978213</v>
      </c>
      <c r="AA2729" s="82">
        <f>IFERROR(__xludf.DUMMYFUNCTION("""COMPUTED_VALUE"""),0.5676648244681153)</f>
        <v>0.5676648245</v>
      </c>
      <c r="AB2729" s="82">
        <f>IFERROR(__xludf.DUMMYFUNCTION("""COMPUTED_VALUE"""),1.1060185873967296)</f>
        <v>1.106018587</v>
      </c>
      <c r="AC2729" s="82">
        <f>IFERROR(__xludf.DUMMYFUNCTION("""COMPUTED_VALUE"""),2.6481925228231726)</f>
        <v>2.648192523</v>
      </c>
      <c r="AD2729" s="82">
        <f>IFERROR(__xludf.DUMMYFUNCTION("""COMPUTED_VALUE"""),0.9359334422384313)</f>
        <v>0.9359334422</v>
      </c>
      <c r="AE2729" s="82">
        <f>IFERROR(__xludf.DUMMYFUNCTION("""COMPUTED_VALUE"""),0.8782449470731125)</f>
        <v>0.8782449471</v>
      </c>
      <c r="AF2729" s="82">
        <f>IFERROR(__xludf.DUMMYFUNCTION("""COMPUTED_VALUE"""),1.1210200261393504)</f>
        <v>1.121020026</v>
      </c>
      <c r="AG2729" s="82">
        <f>IFERROR(__xludf.DUMMYFUNCTION("""COMPUTED_VALUE"""),1.123330345965139)</f>
        <v>1.123330346</v>
      </c>
      <c r="AH2729" s="82">
        <f>IFERROR(__xludf.DUMMYFUNCTION("""COMPUTED_VALUE"""),0.9154328483859623)</f>
        <v>0.9154328484</v>
      </c>
      <c r="AI2729" s="82">
        <f>IFERROR(__xludf.DUMMYFUNCTION("""COMPUTED_VALUE"""),1.0052149050414878)</f>
        <v>1.005214905</v>
      </c>
      <c r="AJ2729" s="82">
        <f>IFERROR(__xludf.DUMMYFUNCTION("""COMPUTED_VALUE"""),0.978847488357076)</f>
        <v>0.9788474884</v>
      </c>
      <c r="AK2729" s="82">
        <f>IFERROR(__xludf.DUMMYFUNCTION("""COMPUTED_VALUE"""),0.9330994186067482)</f>
        <v>0.9330994186</v>
      </c>
      <c r="AL2729" s="82">
        <f>IFERROR(__xludf.DUMMYFUNCTION("""COMPUTED_VALUE"""),1.1234055940484167)</f>
        <v>1.123405594</v>
      </c>
      <c r="AM2729" s="82">
        <f>IFERROR(__xludf.DUMMYFUNCTION("""COMPUTED_VALUE"""),0.9291568377462225)</f>
        <v>0.9291568377</v>
      </c>
      <c r="AN2729" s="82">
        <f>IFERROR(__xludf.DUMMYFUNCTION("""COMPUTED_VALUE"""),0.9822654637739396)</f>
        <v>0.9822654638</v>
      </c>
      <c r="AO2729" s="82">
        <f>IFERROR(__xludf.DUMMYFUNCTION("""COMPUTED_VALUE"""),0.9860342095391917)</f>
        <v>0.9860342095</v>
      </c>
      <c r="AP2729" s="82">
        <f>IFERROR(__xludf.DUMMYFUNCTION("""COMPUTED_VALUE"""),1.2897135258237145)</f>
        <v>1.289713526</v>
      </c>
      <c r="AQ2729" s="82">
        <f>IFERROR(__xludf.DUMMYFUNCTION("""COMPUTED_VALUE"""),1.0301117734269314)</f>
        <v>1.030111773</v>
      </c>
      <c r="AR2729" s="82">
        <f>IFERROR(__xludf.DUMMYFUNCTION("""COMPUTED_VALUE"""),1.0292180221440208)</f>
        <v>1.029218022</v>
      </c>
      <c r="AS2729" s="82">
        <f>IFERROR(__xludf.DUMMYFUNCTION("""COMPUTED_VALUE"""),89.0)</f>
        <v>89</v>
      </c>
      <c r="AT2729" s="82">
        <f>IFERROR(__xludf.DUMMYFUNCTION("""COMPUTED_VALUE"""),0.5827461530572674)</f>
        <v>0.5827461531</v>
      </c>
      <c r="AU2729" s="82">
        <f>IFERROR(__xludf.DUMMYFUNCTION("""COMPUTED_VALUE"""),2.121499928022303)</f>
        <v>2.121499928</v>
      </c>
      <c r="AV2729" s="82">
        <f>IFERROR(__xludf.DUMMYFUNCTION("""COMPUTED_VALUE"""),55.107055450714086)</f>
        <v>55.10705545</v>
      </c>
      <c r="AW2729" s="82">
        <f t="shared" si="1"/>
        <v>2.386256219</v>
      </c>
      <c r="AX2729" s="83">
        <f t="array" ref="AX2729">IFERROR(DGET('SBV Import'!A:G,"SBV",{"RSC ID","Tier";B2729,A2729}))</f>
        <v>48.45906367</v>
      </c>
      <c r="AY2729" s="82">
        <f t="shared" si="2"/>
        <v>-2.103377756</v>
      </c>
      <c r="AZ2729" s="82">
        <v>4.489633974760762</v>
      </c>
      <c r="BA2729" s="84">
        <v>2700.0</v>
      </c>
      <c r="BB2729" s="84" t="b">
        <f>IFERROR(__xludf.DUMMYFUNCTION("iferror(if(A2729="""",,E2729&gt;=FILTER(Constants!$F$2:$F$10,Constants!$A$2:$A$10=A2729)))"),TRUE)</f>
        <v>1</v>
      </c>
    </row>
    <row r="2730">
      <c r="A2730" s="89" t="str">
        <f>IFERROR(__xludf.DUMMYFUNCTION("""COMPUTED_VALUE"""),"Prospect")</f>
        <v>Prospect</v>
      </c>
      <c r="B2730" s="87" t="str">
        <f>IFERROR(__xludf.DUMMYFUNCTION("""COMPUTED_VALUE"""),"RSC006569")</f>
        <v>RSC006569</v>
      </c>
      <c r="C2730" s="73" t="str">
        <f>IFERROR(__xludf.DUMMYFUNCTION("""COMPUTED_VALUE"""),"mulliganisoup")</f>
        <v>mulliganisoup</v>
      </c>
      <c r="D2730" s="73" t="str">
        <f>IFERROR(__xludf.DUMMYFUNCTION("""COMPUTED_VALUE"""),"Poppy")</f>
        <v>Poppy</v>
      </c>
      <c r="E2730" s="82">
        <f>IFERROR(__xludf.DUMMYFUNCTION("""COMPUTED_VALUE"""),9.0)</f>
        <v>9</v>
      </c>
      <c r="F2730" s="82">
        <f>IFERROR(__xludf.DUMMYFUNCTION("""COMPUTED_VALUE"""),4.0)</f>
        <v>4</v>
      </c>
      <c r="G2730" s="86">
        <f>IFERROR(__xludf.DUMMYFUNCTION("""COMPUTED_VALUE"""),5.0)</f>
        <v>5</v>
      </c>
      <c r="H2730" s="86">
        <f>IFERROR(__xludf.DUMMYFUNCTION("""COMPUTED_VALUE"""),0.4444444444444444)</f>
        <v>0.4444444444</v>
      </c>
      <c r="I2730" s="86">
        <f>IFERROR(__xludf.DUMMYFUNCTION("""COMPUTED_VALUE"""),0.23809523809523808)</f>
        <v>0.2380952381</v>
      </c>
      <c r="J2730" s="82">
        <f>IFERROR(__xludf.DUMMYFUNCTION("""COMPUTED_VALUE"""),354.1111111111111)</f>
        <v>354.1111111</v>
      </c>
      <c r="K2730" s="82">
        <f>IFERROR(__xludf.DUMMYFUNCTION("""COMPUTED_VALUE"""),0.5555555555555556)</f>
        <v>0.5555555556</v>
      </c>
      <c r="L2730" s="82">
        <f>IFERROR(__xludf.DUMMYFUNCTION("""COMPUTED_VALUE"""),0.6666666666666666)</f>
        <v>0.6666666667</v>
      </c>
      <c r="M2730" s="82">
        <f>IFERROR(__xludf.DUMMYFUNCTION("""COMPUTED_VALUE"""),1.8888888888888888)</f>
        <v>1.888888889</v>
      </c>
      <c r="N2730" s="82">
        <f>IFERROR(__xludf.DUMMYFUNCTION("""COMPUTED_VALUE"""),2.3333333333333335)</f>
        <v>2.333333333</v>
      </c>
      <c r="O2730" s="82">
        <f>IFERROR(__xludf.DUMMYFUNCTION("""COMPUTED_VALUE"""),340.2962962962963)</f>
        <v>340.2962963</v>
      </c>
      <c r="P2730" s="82">
        <f>IFERROR(__xludf.DUMMYFUNCTION("""COMPUTED_VALUE"""),0.925925925925926)</f>
        <v>0.9259259259</v>
      </c>
      <c r="Q2730" s="82">
        <f>IFERROR(__xludf.DUMMYFUNCTION("""COMPUTED_VALUE"""),0.48148148148148157)</f>
        <v>0.4814814815</v>
      </c>
      <c r="R2730" s="82">
        <f>IFERROR(__xludf.DUMMYFUNCTION("""COMPUTED_VALUE"""),0.9629629629629629)</f>
        <v>0.962962963</v>
      </c>
      <c r="S2730" s="82">
        <f>IFERROR(__xludf.DUMMYFUNCTION("""COMPUTED_VALUE"""),3.0740740740740744)</f>
        <v>3.074074074</v>
      </c>
      <c r="T2730" s="82">
        <f>IFERROR(__xludf.DUMMYFUNCTION("""COMPUTED_VALUE"""),342.90421095552443)</f>
        <v>342.904211</v>
      </c>
      <c r="U2730" s="82">
        <f>IFERROR(__xludf.DUMMYFUNCTION("""COMPUTED_VALUE"""),0.8737191332749435)</f>
        <v>0.8737191333</v>
      </c>
      <c r="V2730" s="82">
        <f>IFERROR(__xludf.DUMMYFUNCTION("""COMPUTED_VALUE"""),0.5874244265977812)</f>
        <v>0.5874244266</v>
      </c>
      <c r="W2730" s="82">
        <f>IFERROR(__xludf.DUMMYFUNCTION("""COMPUTED_VALUE"""),1.1103031055278458)</f>
        <v>1.110303106</v>
      </c>
      <c r="X2730" s="82">
        <f>IFERROR(__xludf.DUMMYFUNCTION("""COMPUTED_VALUE"""),2.79839741971529)</f>
        <v>2.79839742</v>
      </c>
      <c r="Y2730" s="82">
        <f>IFERROR(__xludf.DUMMYFUNCTION("""COMPUTED_VALUE"""),333.5954852478315)</f>
        <v>333.5954852</v>
      </c>
      <c r="Z2730" s="82">
        <f>IFERROR(__xludf.DUMMYFUNCTION("""COMPUTED_VALUE"""),0.7056429410567048)</f>
        <v>0.7056429411</v>
      </c>
      <c r="AA2730" s="82">
        <f>IFERROR(__xludf.DUMMYFUNCTION("""COMPUTED_VALUE"""),0.5000966235421556)</f>
        <v>0.5000966235</v>
      </c>
      <c r="AB2730" s="82">
        <f>IFERROR(__xludf.DUMMYFUNCTION("""COMPUTED_VALUE"""),1.382962438274586)</f>
        <v>1.382962438</v>
      </c>
      <c r="AC2730" s="82">
        <f>IFERROR(__xludf.DUMMYFUNCTION("""COMPUTED_VALUE"""),2.2353544371086578)</f>
        <v>2.235354437</v>
      </c>
      <c r="AD2730" s="82">
        <f>IFERROR(__xludf.DUMMYFUNCTION("""COMPUTED_VALUE"""),1.0614985117320708)</f>
        <v>1.061498512</v>
      </c>
      <c r="AE2730" s="82">
        <f>IFERROR(__xludf.DUMMYFUNCTION("""COMPUTED_VALUE"""),0.7873040644658156)</f>
        <v>0.7873040645</v>
      </c>
      <c r="AF2730" s="82">
        <f>IFERROR(__xludf.DUMMYFUNCTION("""COMPUTED_VALUE"""),1.3330757203372121)</f>
        <v>1.33307572</v>
      </c>
      <c r="AG2730" s="82">
        <f>IFERROR(__xludf.DUMMYFUNCTION("""COMPUTED_VALUE"""),1.3658280489855585)</f>
        <v>1.365828049</v>
      </c>
      <c r="AH2730" s="82">
        <f>IFERROR(__xludf.DUMMYFUNCTION("""COMPUTED_VALUE"""),1.0438314813070126)</f>
        <v>1.043831481</v>
      </c>
      <c r="AI2730" s="82">
        <f>IFERROR(__xludf.DUMMYFUNCTION("""COMPUTED_VALUE"""),0.9923946263244741)</f>
        <v>0.9923946263</v>
      </c>
      <c r="AJ2730" s="82">
        <f>IFERROR(__xludf.DUMMYFUNCTION("""COMPUTED_VALUE"""),1.0597523742616197)</f>
        <v>1.059752374</v>
      </c>
      <c r="AK2730" s="82">
        <f>IFERROR(__xludf.DUMMYFUNCTION("""COMPUTED_VALUE"""),0.8196483831462453)</f>
        <v>0.8196483831</v>
      </c>
      <c r="AL2730" s="82">
        <f>IFERROR(__xludf.DUMMYFUNCTION("""COMPUTED_VALUE"""),0.8672973696720082)</f>
        <v>0.8672973697</v>
      </c>
      <c r="AM2730" s="82">
        <f>IFERROR(__xludf.DUMMYFUNCTION("""COMPUTED_VALUE"""),1.0985123315282472)</f>
        <v>1.098512332</v>
      </c>
      <c r="AN2730" s="82">
        <f>IFERROR(__xludf.DUMMYFUNCTION("""COMPUTED_VALUE"""),1.0938085370536497)</f>
        <v>1.093808537</v>
      </c>
      <c r="AO2730" s="82">
        <f>IFERROR(__xludf.DUMMYFUNCTION("""COMPUTED_VALUE"""),0.753220576731327)</f>
        <v>0.7532205767</v>
      </c>
      <c r="AP2730" s="82">
        <f>IFERROR(__xludf.DUMMYFUNCTION("""COMPUTED_VALUE"""),1.3511284556248435)</f>
        <v>1.351128456</v>
      </c>
      <c r="AQ2730" s="82">
        <f>IFERROR(__xludf.DUMMYFUNCTION("""COMPUTED_VALUE"""),1.5661048913076112)</f>
        <v>1.566104891</v>
      </c>
      <c r="AR2730" s="82">
        <f>IFERROR(__xludf.DUMMYFUNCTION("""COMPUTED_VALUE"""),0.99062234631362)</f>
        <v>0.9906223463</v>
      </c>
      <c r="AS2730" s="82">
        <f>IFERROR(__xludf.DUMMYFUNCTION("""COMPUTED_VALUE"""),15.0)</f>
        <v>15</v>
      </c>
      <c r="AT2730" s="82">
        <f>IFERROR(__xludf.DUMMYFUNCTION("""COMPUTED_VALUE"""),0.31350496075656675)</f>
        <v>0.3135049608</v>
      </c>
      <c r="AU2730" s="82">
        <f>IFERROR(__xludf.DUMMYFUNCTION("""COMPUTED_VALUE"""),2.1058991183786877)</f>
        <v>2.105899118</v>
      </c>
      <c r="AV2730" s="82">
        <f>IFERROR(__xludf.DUMMYFUNCTION("""COMPUTED_VALUE"""),54.61075945567978)</f>
        <v>54.61075946</v>
      </c>
      <c r="AW2730" s="82">
        <f t="shared" si="1"/>
        <v>2.342809654</v>
      </c>
      <c r="AX2730" s="83">
        <f t="array" ref="AX2730">IFERROR(DGET('SBV Import'!A:G,"SBV",{"RSC ID","Tier";B2730,A2730}))</f>
        <v>51.63409244</v>
      </c>
      <c r="AY2730" s="82">
        <f t="shared" si="2"/>
        <v>2.109961871</v>
      </c>
      <c r="AZ2730" s="82">
        <v>0.23284778304614084</v>
      </c>
      <c r="BA2730" s="84">
        <v>2700.0</v>
      </c>
      <c r="BB2730" s="84" t="b">
        <f>IFERROR(__xludf.DUMMYFUNCTION("iferror(if(A2730="""",,E2730&gt;=FILTER(Constants!$F$2:$F$10,Constants!$A$2:$A$10=A2730)))"),TRUE)</f>
        <v>1</v>
      </c>
    </row>
    <row r="2731">
      <c r="A2731" s="89" t="str">
        <f>IFERROR(__xludf.DUMMYFUNCTION("""COMPUTED_VALUE"""),"Prospect")</f>
        <v>Prospect</v>
      </c>
      <c r="B2731" s="87" t="str">
        <f>IFERROR(__xludf.DUMMYFUNCTION("""COMPUTED_VALUE"""),"RSC006586")</f>
        <v>RSC006586</v>
      </c>
      <c r="C2731" s="73" t="str">
        <f>IFERROR(__xludf.DUMMYFUNCTION("""COMPUTED_VALUE"""),"dino_chick3n")</f>
        <v>dino_chick3n</v>
      </c>
      <c r="D2731" s="73"/>
      <c r="E2731" s="82">
        <f>IFERROR(__xludf.DUMMYFUNCTION("""COMPUTED_VALUE"""),14.0)</f>
        <v>14</v>
      </c>
      <c r="F2731" s="82">
        <f>IFERROR(__xludf.DUMMYFUNCTION("""COMPUTED_VALUE"""),4.0)</f>
        <v>4</v>
      </c>
      <c r="G2731" s="86">
        <f>IFERROR(__xludf.DUMMYFUNCTION("""COMPUTED_VALUE"""),10.0)</f>
        <v>10</v>
      </c>
      <c r="H2731" s="86">
        <f>IFERROR(__xludf.DUMMYFUNCTION("""COMPUTED_VALUE"""),0.2857142857142857)</f>
        <v>0.2857142857</v>
      </c>
      <c r="I2731" s="86">
        <f>IFERROR(__xludf.DUMMYFUNCTION("""COMPUTED_VALUE"""),0.2857142857142857)</f>
        <v>0.2857142857</v>
      </c>
      <c r="J2731" s="82">
        <f>IFERROR(__xludf.DUMMYFUNCTION("""COMPUTED_VALUE"""),342.0)</f>
        <v>342</v>
      </c>
      <c r="K2731" s="82">
        <f>IFERROR(__xludf.DUMMYFUNCTION("""COMPUTED_VALUE"""),0.7142857142857143)</f>
        <v>0.7142857143</v>
      </c>
      <c r="L2731" s="82">
        <f>IFERROR(__xludf.DUMMYFUNCTION("""COMPUTED_VALUE"""),0.5714285714285714)</f>
        <v>0.5714285714</v>
      </c>
      <c r="M2731" s="82">
        <f>IFERROR(__xludf.DUMMYFUNCTION("""COMPUTED_VALUE"""),1.1428571428571428)</f>
        <v>1.142857143</v>
      </c>
      <c r="N2731" s="82">
        <f>IFERROR(__xludf.DUMMYFUNCTION("""COMPUTED_VALUE"""),2.5)</f>
        <v>2.5</v>
      </c>
      <c r="O2731" s="82">
        <f>IFERROR(__xludf.DUMMYFUNCTION("""COMPUTED_VALUE"""),358.4047619047619)</f>
        <v>358.4047619</v>
      </c>
      <c r="P2731" s="82">
        <f>IFERROR(__xludf.DUMMYFUNCTION("""COMPUTED_VALUE"""),0.9285714285714287)</f>
        <v>0.9285714286</v>
      </c>
      <c r="Q2731" s="82">
        <f>IFERROR(__xludf.DUMMYFUNCTION("""COMPUTED_VALUE"""),0.6904761904761905)</f>
        <v>0.6904761905</v>
      </c>
      <c r="R2731" s="82">
        <f>IFERROR(__xludf.DUMMYFUNCTION("""COMPUTED_VALUE"""),1.4047619047619047)</f>
        <v>1.404761905</v>
      </c>
      <c r="S2731" s="82">
        <f>IFERROR(__xludf.DUMMYFUNCTION("""COMPUTED_VALUE"""),2.3095238095238098)</f>
        <v>2.30952381</v>
      </c>
      <c r="T2731" s="82">
        <f>IFERROR(__xludf.DUMMYFUNCTION("""COMPUTED_VALUE"""),328.95923237895715)</f>
        <v>328.9592324</v>
      </c>
      <c r="U2731" s="82">
        <f>IFERROR(__xludf.DUMMYFUNCTION("""COMPUTED_VALUE"""),0.7721348620027929)</f>
        <v>0.772134862</v>
      </c>
      <c r="V2731" s="82">
        <f>IFERROR(__xludf.DUMMYFUNCTION("""COMPUTED_VALUE"""),0.5822542145225995)</f>
        <v>0.5822542145</v>
      </c>
      <c r="W2731" s="82">
        <f>IFERROR(__xludf.DUMMYFUNCTION("""COMPUTED_VALUE"""),1.112333505761312)</f>
        <v>1.112333506</v>
      </c>
      <c r="X2731" s="82">
        <f>IFERROR(__xludf.DUMMYFUNCTION("""COMPUTED_VALUE"""),2.423601754503806)</f>
        <v>2.423601755</v>
      </c>
      <c r="Y2731" s="82">
        <f>IFERROR(__xludf.DUMMYFUNCTION("""COMPUTED_VALUE"""),326.9035084169159)</f>
        <v>326.9035084</v>
      </c>
      <c r="Z2731" s="82">
        <f>IFERROR(__xludf.DUMMYFUNCTION("""COMPUTED_VALUE"""),0.755016141010155)</f>
        <v>0.755016141</v>
      </c>
      <c r="AA2731" s="82">
        <f>IFERROR(__xludf.DUMMYFUNCTION("""COMPUTED_VALUE"""),0.48605047231472115)</f>
        <v>0.4860504723</v>
      </c>
      <c r="AB2731" s="82">
        <f>IFERROR(__xludf.DUMMYFUNCTION("""COMPUTED_VALUE"""),1.2332138511427164)</f>
        <v>1.233213851</v>
      </c>
      <c r="AC2731" s="82">
        <f>IFERROR(__xludf.DUMMYFUNCTION("""COMPUTED_VALUE"""),2.2933058840004317)</f>
        <v>2.293305884</v>
      </c>
      <c r="AD2731" s="82">
        <f>IFERROR(__xludf.DUMMYFUNCTION("""COMPUTED_VALUE"""),1.0461802678600525)</f>
        <v>1.046180268</v>
      </c>
      <c r="AE2731" s="82">
        <f>IFERROR(__xludf.DUMMYFUNCTION("""COMPUTED_VALUE"""),0.9460535682456451)</f>
        <v>0.9460535682</v>
      </c>
      <c r="AF2731" s="82">
        <f>IFERROR(__xludf.DUMMYFUNCTION("""COMPUTED_VALUE"""),1.1756568586534926)</f>
        <v>1.175656859</v>
      </c>
      <c r="AG2731" s="82">
        <f>IFERROR(__xludf.DUMMYFUNCTION("""COMPUTED_VALUE"""),0.9267307059502716)</f>
        <v>0.926730706</v>
      </c>
      <c r="AH2731" s="82">
        <f>IFERROR(__xludf.DUMMYFUNCTION("""COMPUTED_VALUE"""),1.0901293270302923)</f>
        <v>1.090129327</v>
      </c>
      <c r="AI2731" s="82">
        <f>IFERROR(__xludf.DUMMYFUNCTION("""COMPUTED_VALUE"""),1.0895111814095062)</f>
        <v>1.089511181</v>
      </c>
      <c r="AJ2731" s="82">
        <f>IFERROR(__xludf.DUMMYFUNCTION("""COMPUTED_VALUE"""),1.2026026465931932)</f>
        <v>1.202602647</v>
      </c>
      <c r="AK2731" s="82">
        <f>IFERROR(__xludf.DUMMYFUNCTION("""COMPUTED_VALUE"""),1.1858672264696686)</f>
        <v>1.185867226</v>
      </c>
      <c r="AL2731" s="82">
        <f>IFERROR(__xludf.DUMMYFUNCTION("""COMPUTED_VALUE"""),1.2628963323373474)</f>
        <v>1.262896332</v>
      </c>
      <c r="AM2731" s="82">
        <f>IFERROR(__xludf.DUMMYFUNCTION("""COMPUTED_VALUE"""),0.9529304083197645)</f>
        <v>0.9529304083</v>
      </c>
      <c r="AN2731" s="82">
        <f>IFERROR(__xludf.DUMMYFUNCTION("""COMPUTED_VALUE"""),1.0563987063229163)</f>
        <v>1.056398706</v>
      </c>
      <c r="AO2731" s="82">
        <f>IFERROR(__xludf.DUMMYFUNCTION("""COMPUTED_VALUE"""),0.9684264557974205)</f>
        <v>0.9684264558</v>
      </c>
      <c r="AP2731" s="82">
        <f>IFERROR(__xludf.DUMMYFUNCTION("""COMPUTED_VALUE"""),1.1581101048212945)</f>
        <v>1.158110105</v>
      </c>
      <c r="AQ2731" s="82">
        <f>IFERROR(__xludf.DUMMYFUNCTION("""COMPUTED_VALUE"""),0.9475592619676303)</f>
        <v>0.947559262</v>
      </c>
      <c r="AR2731" s="82">
        <f>IFERROR(__xludf.DUMMYFUNCTION("""COMPUTED_VALUE"""),1.0613810853360215)</f>
        <v>1.061381085</v>
      </c>
      <c r="AS2731" s="82">
        <f>IFERROR(__xludf.DUMMYFUNCTION("""COMPUTED_VALUE"""),29.0)</f>
        <v>29</v>
      </c>
      <c r="AT2731" s="82">
        <f>IFERROR(__xludf.DUMMYFUNCTION("""COMPUTED_VALUE"""),0.38549046449711494)</f>
        <v>0.3854904645</v>
      </c>
      <c r="AU2731" s="82">
        <f>IFERROR(__xludf.DUMMYFUNCTION("""COMPUTED_VALUE"""),2.0749492586435974)</f>
        <v>2.074949259</v>
      </c>
      <c r="AV2731" s="82">
        <f>IFERROR(__xludf.DUMMYFUNCTION("""COMPUTED_VALUE"""),53.62617648952041)</f>
        <v>53.62617649</v>
      </c>
      <c r="AW2731" s="82">
        <f t="shared" si="1"/>
        <v>2.260720493</v>
      </c>
      <c r="AX2731" s="83">
        <f t="array" ref="AX2731">IFERROR(DGET('SBV Import'!A:G,"SBV",{"RSC ID","Tier";B2731,A2731}))</f>
        <v>55.25000503</v>
      </c>
      <c r="AY2731" s="82">
        <f t="shared" si="2"/>
        <v>2.399037939</v>
      </c>
      <c r="AZ2731" s="82">
        <v>0.13831744692209558</v>
      </c>
      <c r="BA2731" s="84">
        <v>2700.0</v>
      </c>
      <c r="BB2731" s="84" t="b">
        <f>IFERROR(__xludf.DUMMYFUNCTION("iferror(if(A2731="""",,E2731&gt;=FILTER(Constants!$F$2:$F$10,Constants!$A$2:$A$10=A2731)))"),TRUE)</f>
        <v>1</v>
      </c>
    </row>
    <row r="2732">
      <c r="A2732" s="89" t="str">
        <f>IFERROR(__xludf.DUMMYFUNCTION("""COMPUTED_VALUE"""),"Prospect")</f>
        <v>Prospect</v>
      </c>
      <c r="B2732" s="87" t="str">
        <f>IFERROR(__xludf.DUMMYFUNCTION("""COMPUTED_VALUE"""),"RSC002596")</f>
        <v>RSC002596</v>
      </c>
      <c r="C2732" s="73" t="str">
        <f>IFERROR(__xludf.DUMMYFUNCTION("""COMPUTED_VALUE"""),"Jeff Wadowski")</f>
        <v>Jeff Wadowski</v>
      </c>
      <c r="D2732" s="73" t="str">
        <f>IFERROR(__xludf.DUMMYFUNCTION("""COMPUTED_VALUE"""),"Tic Tacs")</f>
        <v>Tic Tacs</v>
      </c>
      <c r="E2732" s="82">
        <f>IFERROR(__xludf.DUMMYFUNCTION("""COMPUTED_VALUE"""),36.0)</f>
        <v>36</v>
      </c>
      <c r="F2732" s="82">
        <f>IFERROR(__xludf.DUMMYFUNCTION("""COMPUTED_VALUE"""),17.0)</f>
        <v>17</v>
      </c>
      <c r="G2732" s="86">
        <f>IFERROR(__xludf.DUMMYFUNCTION("""COMPUTED_VALUE"""),19.0)</f>
        <v>19</v>
      </c>
      <c r="H2732" s="86">
        <f>IFERROR(__xludf.DUMMYFUNCTION("""COMPUTED_VALUE"""),0.4722222222222222)</f>
        <v>0.4722222222</v>
      </c>
      <c r="I2732" s="86">
        <f>IFERROR(__xludf.DUMMYFUNCTION("""COMPUTED_VALUE"""),0.2962962962962963)</f>
        <v>0.2962962963</v>
      </c>
      <c r="J2732" s="82">
        <f>IFERROR(__xludf.DUMMYFUNCTION("""COMPUTED_VALUE"""),380.47222222222223)</f>
        <v>380.4722222</v>
      </c>
      <c r="K2732" s="82">
        <f>IFERROR(__xludf.DUMMYFUNCTION("""COMPUTED_VALUE"""),0.6666666666666666)</f>
        <v>0.6666666667</v>
      </c>
      <c r="L2732" s="82">
        <f>IFERROR(__xludf.DUMMYFUNCTION("""COMPUTED_VALUE"""),0.7222222222222222)</f>
        <v>0.7222222222</v>
      </c>
      <c r="M2732" s="82">
        <f>IFERROR(__xludf.DUMMYFUNCTION("""COMPUTED_VALUE"""),1.75)</f>
        <v>1.75</v>
      </c>
      <c r="N2732" s="82">
        <f>IFERROR(__xludf.DUMMYFUNCTION("""COMPUTED_VALUE"""),2.25)</f>
        <v>2.25</v>
      </c>
      <c r="O2732" s="82">
        <f>IFERROR(__xludf.DUMMYFUNCTION("""COMPUTED_VALUE"""),344.9814814814815)</f>
        <v>344.9814815</v>
      </c>
      <c r="P2732" s="82">
        <f>IFERROR(__xludf.DUMMYFUNCTION("""COMPUTED_VALUE"""),0.9351851851851851)</f>
        <v>0.9351851852</v>
      </c>
      <c r="Q2732" s="82">
        <f>IFERROR(__xludf.DUMMYFUNCTION("""COMPUTED_VALUE"""),0.574074074074074)</f>
        <v>0.5740740741</v>
      </c>
      <c r="R2732" s="82">
        <f>IFERROR(__xludf.DUMMYFUNCTION("""COMPUTED_VALUE"""),1.0)</f>
        <v>1</v>
      </c>
      <c r="S2732" s="82">
        <f>IFERROR(__xludf.DUMMYFUNCTION("""COMPUTED_VALUE"""),2.805555555555554)</f>
        <v>2.805555556</v>
      </c>
      <c r="T2732" s="82">
        <f>IFERROR(__xludf.DUMMYFUNCTION("""COMPUTED_VALUE"""),332.43339269826566)</f>
        <v>332.4333927</v>
      </c>
      <c r="U2732" s="82">
        <f>IFERROR(__xludf.DUMMYFUNCTION("""COMPUTED_VALUE"""),0.7723393090092662)</f>
        <v>0.772339309</v>
      </c>
      <c r="V2732" s="82">
        <f>IFERROR(__xludf.DUMMYFUNCTION("""COMPUTED_VALUE"""),0.5084713861539336)</f>
        <v>0.5084713862</v>
      </c>
      <c r="W2732" s="82">
        <f>IFERROR(__xludf.DUMMYFUNCTION("""COMPUTED_VALUE"""),1.2296064725356564)</f>
        <v>1.229606473</v>
      </c>
      <c r="X2732" s="82">
        <f>IFERROR(__xludf.DUMMYFUNCTION("""COMPUTED_VALUE"""),2.386805577111385)</f>
        <v>2.386805577</v>
      </c>
      <c r="Y2732" s="82">
        <f>IFERROR(__xludf.DUMMYFUNCTION("""COMPUTED_VALUE"""),335.4986294389007)</f>
        <v>335.4986294</v>
      </c>
      <c r="Z2732" s="82">
        <f>IFERROR(__xludf.DUMMYFUNCTION("""COMPUTED_VALUE"""),0.785008305866798)</f>
        <v>0.7850083059</v>
      </c>
      <c r="AA2732" s="82">
        <f>IFERROR(__xludf.DUMMYFUNCTION("""COMPUTED_VALUE"""),0.5291303714126673)</f>
        <v>0.5291303714</v>
      </c>
      <c r="AB2732" s="82">
        <f>IFERROR(__xludf.DUMMYFUNCTION("""COMPUTED_VALUE"""),1.201756077549244)</f>
        <v>1.201756078</v>
      </c>
      <c r="AC2732" s="82">
        <f>IFERROR(__xludf.DUMMYFUNCTION("""COMPUTED_VALUE"""),2.4889321994910643)</f>
        <v>2.488932199</v>
      </c>
      <c r="AD2732" s="82">
        <f>IFERROR(__xludf.DUMMYFUNCTION("""COMPUTED_VALUE"""),1.1340500044919315)</f>
        <v>1.134050004</v>
      </c>
      <c r="AE2732" s="82">
        <f>IFERROR(__xludf.DUMMYFUNCTION("""COMPUTED_VALUE"""),0.8492479145561909)</f>
        <v>0.8492479146</v>
      </c>
      <c r="AF2732" s="82">
        <f>IFERROR(__xludf.DUMMYFUNCTION("""COMPUTED_VALUE"""),1.3649230156530991)</f>
        <v>1.364923016</v>
      </c>
      <c r="AG2732" s="82">
        <f>IFERROR(__xludf.DUMMYFUNCTION("""COMPUTED_VALUE"""),1.456202329817875)</f>
        <v>1.45620233</v>
      </c>
      <c r="AH2732" s="82">
        <f>IFERROR(__xludf.DUMMYFUNCTION("""COMPUTED_VALUE"""),0.904002126076427)</f>
        <v>0.9040021261</v>
      </c>
      <c r="AI2732" s="82">
        <f>IFERROR(__xludf.DUMMYFUNCTION("""COMPUTED_VALUE"""),1.0377461742978544)</f>
        <v>1.037746174</v>
      </c>
      <c r="AJ2732" s="82">
        <f>IFERROR(__xludf.DUMMYFUNCTION("""COMPUTED_VALUE"""),1.2108475825020648)</f>
        <v>1.210847583</v>
      </c>
      <c r="AK2732" s="82">
        <f>IFERROR(__xludf.DUMMYFUNCTION("""COMPUTED_VALUE"""),1.1290194290309188)</f>
        <v>1.129019429</v>
      </c>
      <c r="AL2732" s="82">
        <f>IFERROR(__xludf.DUMMYFUNCTION("""COMPUTED_VALUE"""),0.8132683279861328)</f>
        <v>0.813268328</v>
      </c>
      <c r="AM2732" s="82">
        <f>IFERROR(__xludf.DUMMYFUNCTION("""COMPUTED_VALUE"""),1.1754436902862269)</f>
        <v>1.17544369</v>
      </c>
      <c r="AN2732" s="82">
        <f>IFERROR(__xludf.DUMMYFUNCTION("""COMPUTED_VALUE"""),1.1752349805478381)</f>
        <v>1.175234981</v>
      </c>
      <c r="AO2732" s="82">
        <f>IFERROR(__xludf.DUMMYFUNCTION("""COMPUTED_VALUE"""),0.9038646920775923)</f>
        <v>0.9038646921</v>
      </c>
      <c r="AP2732" s="82">
        <f>IFERROR(__xludf.DUMMYFUNCTION("""COMPUTED_VALUE"""),1.4637224935935806)</f>
        <v>1.463722494</v>
      </c>
      <c r="AQ2732" s="82">
        <f>IFERROR(__xludf.DUMMYFUNCTION("""COMPUTED_VALUE"""),1.450950119887934)</f>
        <v>1.45095012</v>
      </c>
      <c r="AR2732" s="82">
        <f>IFERROR(__xludf.DUMMYFUNCTION("""COMPUTED_VALUE"""),0.9552429768024193)</f>
        <v>0.9552429768</v>
      </c>
      <c r="AS2732" s="82">
        <f>IFERROR(__xludf.DUMMYFUNCTION("""COMPUTED_VALUE"""),92.0)</f>
        <v>92</v>
      </c>
      <c r="AT2732" s="82">
        <f>IFERROR(__xludf.DUMMYFUNCTION("""COMPUTED_VALUE"""),0.462291348198378)</f>
        <v>0.4622913482</v>
      </c>
      <c r="AU2732" s="82">
        <f>IFERROR(__xludf.DUMMYFUNCTION("""COMPUTED_VALUE"""),2.0678402511492546)</f>
        <v>2.067840251</v>
      </c>
      <c r="AV2732" s="82">
        <f>IFERROR(__xludf.DUMMYFUNCTION("""COMPUTED_VALUE"""),53.40002335845166)</f>
        <v>53.40002336</v>
      </c>
      <c r="AW2732" s="82">
        <f t="shared" si="1"/>
        <v>2.242603646</v>
      </c>
      <c r="AX2732" s="83">
        <f t="array" ref="AX2732">IFERROR(DGET('SBV Import'!A:G,"SBV",{"RSC ID","Tier";B2732,A2732}))</f>
        <v>55.59801616</v>
      </c>
      <c r="AY2732" s="82">
        <f t="shared" si="2"/>
        <v>2.43066808</v>
      </c>
      <c r="AZ2732" s="82">
        <v>0.18806443336968837</v>
      </c>
      <c r="BA2732" s="84">
        <v>2700.0</v>
      </c>
      <c r="BB2732" s="84" t="b">
        <f>IFERROR(__xludf.DUMMYFUNCTION("iferror(if(A2732="""",,E2732&gt;=FILTER(Constants!$F$2:$F$10,Constants!$A$2:$A$10=A2732)))"),TRUE)</f>
        <v>1</v>
      </c>
    </row>
    <row r="2733">
      <c r="A2733" s="89" t="str">
        <f>IFERROR(__xludf.DUMMYFUNCTION("""COMPUTED_VALUE"""),"Prospect")</f>
        <v>Prospect</v>
      </c>
      <c r="B2733" s="87" t="str">
        <f>IFERROR(__xludf.DUMMYFUNCTION("""COMPUTED_VALUE"""),"RSC004106")</f>
        <v>RSC004106</v>
      </c>
      <c r="C2733" s="73" t="str">
        <f>IFERROR(__xludf.DUMMYFUNCTION("""COMPUTED_VALUE"""),"K.Doughboy")</f>
        <v>K.Doughboy</v>
      </c>
      <c r="D2733" s="73" t="str">
        <f>IFERROR(__xludf.DUMMYFUNCTION("""COMPUTED_VALUE"""),"Blacktips")</f>
        <v>Blacktips</v>
      </c>
      <c r="E2733" s="82">
        <f>IFERROR(__xludf.DUMMYFUNCTION("""COMPUTED_VALUE"""),36.0)</f>
        <v>36</v>
      </c>
      <c r="F2733" s="82">
        <f>IFERROR(__xludf.DUMMYFUNCTION("""COMPUTED_VALUE"""),24.0)</f>
        <v>24</v>
      </c>
      <c r="G2733" s="86">
        <f>IFERROR(__xludf.DUMMYFUNCTION("""COMPUTED_VALUE"""),12.0)</f>
        <v>12</v>
      </c>
      <c r="H2733" s="86">
        <f>IFERROR(__xludf.DUMMYFUNCTION("""COMPUTED_VALUE"""),0.6666666666666666)</f>
        <v>0.6666666667</v>
      </c>
      <c r="I2733" s="86">
        <f>IFERROR(__xludf.DUMMYFUNCTION("""COMPUTED_VALUE"""),0.3835616438356165)</f>
        <v>0.3835616438</v>
      </c>
      <c r="J2733" s="82">
        <f>IFERROR(__xludf.DUMMYFUNCTION("""COMPUTED_VALUE"""),318.05555555555554)</f>
        <v>318.0555556</v>
      </c>
      <c r="K2733" s="82">
        <f>IFERROR(__xludf.DUMMYFUNCTION("""COMPUTED_VALUE"""),0.7777777777777778)</f>
        <v>0.7777777778</v>
      </c>
      <c r="L2733" s="82">
        <f>IFERROR(__xludf.DUMMYFUNCTION("""COMPUTED_VALUE"""),0.5277777777777778)</f>
        <v>0.5277777778</v>
      </c>
      <c r="M2733" s="82">
        <f>IFERROR(__xludf.DUMMYFUNCTION("""COMPUTED_VALUE"""),1.0)</f>
        <v>1</v>
      </c>
      <c r="N2733" s="82">
        <f>IFERROR(__xludf.DUMMYFUNCTION("""COMPUTED_VALUE"""),2.0277777777777777)</f>
        <v>2.027777778</v>
      </c>
      <c r="O2733" s="82">
        <f>IFERROR(__xludf.DUMMYFUNCTION("""COMPUTED_VALUE"""),312.7777777777778)</f>
        <v>312.7777778</v>
      </c>
      <c r="P2733" s="82">
        <f>IFERROR(__xludf.DUMMYFUNCTION("""COMPUTED_VALUE"""),0.6481481481481483)</f>
        <v>0.6481481481</v>
      </c>
      <c r="Q2733" s="82">
        <f>IFERROR(__xludf.DUMMYFUNCTION("""COMPUTED_VALUE"""),0.4722222222222222)</f>
        <v>0.4722222222</v>
      </c>
      <c r="R2733" s="82">
        <f>IFERROR(__xludf.DUMMYFUNCTION("""COMPUTED_VALUE"""),1.1388888888888886)</f>
        <v>1.138888889</v>
      </c>
      <c r="S2733" s="82">
        <f>IFERROR(__xludf.DUMMYFUNCTION("""COMPUTED_VALUE"""),2.1944444444444446)</f>
        <v>2.194444444</v>
      </c>
      <c r="T2733" s="82">
        <f>IFERROR(__xludf.DUMMYFUNCTION("""COMPUTED_VALUE"""),332.6429784736055)</f>
        <v>332.6429785</v>
      </c>
      <c r="U2733" s="82">
        <f>IFERROR(__xludf.DUMMYFUNCTION("""COMPUTED_VALUE"""),0.7445445976948115)</f>
        <v>0.7445445977</v>
      </c>
      <c r="V2733" s="82">
        <f>IFERROR(__xludf.DUMMYFUNCTION("""COMPUTED_VALUE"""),0.5216776865473066)</f>
        <v>0.5216776865</v>
      </c>
      <c r="W2733" s="82">
        <f>IFERROR(__xludf.DUMMYFUNCTION("""COMPUTED_VALUE"""),1.2407899109905254)</f>
        <v>1.240789911</v>
      </c>
      <c r="X2733" s="82">
        <f>IFERROR(__xludf.DUMMYFUNCTION("""COMPUTED_VALUE"""),2.416513036956415)</f>
        <v>2.416513037</v>
      </c>
      <c r="Y2733" s="82">
        <f>IFERROR(__xludf.DUMMYFUNCTION("""COMPUTED_VALUE"""),339.73029972575875)</f>
        <v>339.7302997</v>
      </c>
      <c r="Z2733" s="82">
        <f>IFERROR(__xludf.DUMMYFUNCTION("""COMPUTED_VALUE"""),0.7933218122930701)</f>
        <v>0.7933218123</v>
      </c>
      <c r="AA2733" s="82">
        <f>IFERROR(__xludf.DUMMYFUNCTION("""COMPUTED_VALUE"""),0.5348708579208551)</f>
        <v>0.5348708579</v>
      </c>
      <c r="AB2733" s="82">
        <f>IFERROR(__xludf.DUMMYFUNCTION("""COMPUTED_VALUE"""),1.223843680176057)</f>
        <v>1.22384368</v>
      </c>
      <c r="AC2733" s="82">
        <f>IFERROR(__xludf.DUMMYFUNCTION("""COMPUTED_VALUE"""),2.5145047248582855)</f>
        <v>2.514504725</v>
      </c>
      <c r="AD2733" s="82">
        <f>IFERROR(__xludf.DUMMYFUNCTION("""COMPUTED_VALUE"""),0.9362001440916522)</f>
        <v>0.9362001441</v>
      </c>
      <c r="AE2733" s="82">
        <f>IFERROR(__xludf.DUMMYFUNCTION("""COMPUTED_VALUE"""),0.9804063946378043)</f>
        <v>0.9804063946</v>
      </c>
      <c r="AF2733" s="82">
        <f>IFERROR(__xludf.DUMMYFUNCTION("""COMPUTED_VALUE"""),0.9867387051696003)</f>
        <v>0.9867387052</v>
      </c>
      <c r="AG2733" s="82">
        <f>IFERROR(__xludf.DUMMYFUNCTION("""COMPUTED_VALUE"""),0.817097817473016)</f>
        <v>0.8170978175</v>
      </c>
      <c r="AH2733" s="82">
        <f>IFERROR(__xludf.DUMMYFUNCTION("""COMPUTED_VALUE"""),0.8064322797771083)</f>
        <v>0.8064322798</v>
      </c>
      <c r="AI2733" s="82">
        <f>IFERROR(__xludf.DUMMYFUNCTION("""COMPUTED_VALUE"""),0.940280715417524)</f>
        <v>0.9402807154</v>
      </c>
      <c r="AJ2733" s="82">
        <f>IFERROR(__xludf.DUMMYFUNCTION("""COMPUTED_VALUE"""),0.8705296501443744)</f>
        <v>0.8705296501</v>
      </c>
      <c r="AK2733" s="82">
        <f>IFERROR(__xludf.DUMMYFUNCTION("""COMPUTED_VALUE"""),0.905199195594501)</f>
        <v>0.9051991956</v>
      </c>
      <c r="AL2733" s="82">
        <f>IFERROR(__xludf.DUMMYFUNCTION("""COMPUTED_VALUE"""),0.9178740726378981)</f>
        <v>0.9178740726</v>
      </c>
      <c r="AM2733" s="82">
        <f>IFERROR(__xludf.DUMMYFUNCTION("""COMPUTED_VALUE"""),0.9081037059946242)</f>
        <v>0.908103706</v>
      </c>
      <c r="AN2733" s="82">
        <f>IFERROR(__xludf.DUMMYFUNCTION("""COMPUTED_VALUE"""),0.9824370685020622)</f>
        <v>0.9824370685</v>
      </c>
      <c r="AO2733" s="82">
        <f>IFERROR(__xludf.DUMMYFUNCTION("""COMPUTED_VALUE"""),1.0545088074238578)</f>
        <v>1.054508807</v>
      </c>
      <c r="AP2733" s="82">
        <f>IFERROR(__xludf.DUMMYFUNCTION("""COMPUTED_VALUE"""),1.0696433607030014)</f>
        <v>1.069643361</v>
      </c>
      <c r="AQ2733" s="82">
        <f>IFERROR(__xludf.DUMMYFUNCTION("""COMPUTED_VALUE"""),0.8291143542216766)</f>
        <v>0.8291143542</v>
      </c>
      <c r="AR2733" s="82">
        <f>IFERROR(__xludf.DUMMYFUNCTION("""COMPUTED_VALUE"""),0.8608979914392173)</f>
        <v>0.8608979914</v>
      </c>
      <c r="AS2733" s="82">
        <f>IFERROR(__xludf.DUMMYFUNCTION("""COMPUTED_VALUE"""),102.0)</f>
        <v>102</v>
      </c>
      <c r="AT2733" s="82">
        <f>IFERROR(__xludf.DUMMYFUNCTION("""COMPUTED_VALUE"""),0.6433105880241531)</f>
        <v>0.643310588</v>
      </c>
      <c r="AU2733" s="82">
        <f>IFERROR(__xludf.DUMMYFUNCTION("""COMPUTED_VALUE"""),2.0420203926030718)</f>
        <v>2.042020393</v>
      </c>
      <c r="AV2733" s="82">
        <f>IFERROR(__xludf.DUMMYFUNCTION("""COMPUTED_VALUE"""),52.57863698931108)</f>
        <v>52.57863699</v>
      </c>
      <c r="AW2733" s="82">
        <f t="shared" si="1"/>
        <v>2.179011195</v>
      </c>
      <c r="AX2733" s="83">
        <f t="array" ref="AX2733">IFERROR(DGET('SBV Import'!A:G,"SBV",{"RSC ID","Tier";B2733,A2733}))</f>
        <v>47.24118634</v>
      </c>
      <c r="AY2733" s="82">
        <f t="shared" si="2"/>
        <v>-2.192670419</v>
      </c>
      <c r="AZ2733" s="82">
        <v>4.37168161484635</v>
      </c>
      <c r="BA2733" s="84">
        <v>2700.0</v>
      </c>
      <c r="BB2733" s="84" t="b">
        <f>IFERROR(__xludf.DUMMYFUNCTION("iferror(if(A2733="""",,E2733&gt;=FILTER(Constants!$F$2:$F$10,Constants!$A$2:$A$10=A2733)))"),TRUE)</f>
        <v>1</v>
      </c>
    </row>
    <row r="2734">
      <c r="A2734" s="89" t="str">
        <f>IFERROR(__xludf.DUMMYFUNCTION("""COMPUTED_VALUE"""),"Prospect")</f>
        <v>Prospect</v>
      </c>
      <c r="B2734" s="87" t="str">
        <f>IFERROR(__xludf.DUMMYFUNCTION("""COMPUTED_VALUE"""),"RSC007864")</f>
        <v>RSC007864</v>
      </c>
      <c r="C2734" s="73" t="str">
        <f>IFERROR(__xludf.DUMMYFUNCTION("""COMPUTED_VALUE"""),"z . a . c")</f>
        <v>z . a . c</v>
      </c>
      <c r="D2734" s="73" t="str">
        <f>IFERROR(__xludf.DUMMYFUNCTION("""COMPUTED_VALUE"""),"Khans")</f>
        <v>Khans</v>
      </c>
      <c r="E2734" s="82">
        <f>IFERROR(__xludf.DUMMYFUNCTION("""COMPUTED_VALUE"""),12.0)</f>
        <v>12</v>
      </c>
      <c r="F2734" s="82">
        <f>IFERROR(__xludf.DUMMYFUNCTION("""COMPUTED_VALUE"""),7.0)</f>
        <v>7</v>
      </c>
      <c r="G2734" s="86">
        <f>IFERROR(__xludf.DUMMYFUNCTION("""COMPUTED_VALUE"""),5.0)</f>
        <v>5</v>
      </c>
      <c r="H2734" s="86">
        <f>IFERROR(__xludf.DUMMYFUNCTION("""COMPUTED_VALUE"""),0.5833333333333334)</f>
        <v>0.5833333333</v>
      </c>
      <c r="I2734" s="86">
        <f>IFERROR(__xludf.DUMMYFUNCTION("""COMPUTED_VALUE"""),0.4230769230769231)</f>
        <v>0.4230769231</v>
      </c>
      <c r="J2734" s="82">
        <f>IFERROR(__xludf.DUMMYFUNCTION("""COMPUTED_VALUE"""),317.4166666666667)</f>
        <v>317.4166667</v>
      </c>
      <c r="K2734" s="82">
        <f>IFERROR(__xludf.DUMMYFUNCTION("""COMPUTED_VALUE"""),0.9166666666666666)</f>
        <v>0.9166666667</v>
      </c>
      <c r="L2734" s="82">
        <f>IFERROR(__xludf.DUMMYFUNCTION("""COMPUTED_VALUE"""),0.3333333333333333)</f>
        <v>0.3333333333</v>
      </c>
      <c r="M2734" s="82">
        <f>IFERROR(__xludf.DUMMYFUNCTION("""COMPUTED_VALUE"""),1.3333333333333333)</f>
        <v>1.333333333</v>
      </c>
      <c r="N2734" s="82">
        <f>IFERROR(__xludf.DUMMYFUNCTION("""COMPUTED_VALUE"""),2.1666666666666665)</f>
        <v>2.166666667</v>
      </c>
      <c r="O2734" s="82">
        <f>IFERROR(__xludf.DUMMYFUNCTION("""COMPUTED_VALUE"""),320.02777777777777)</f>
        <v>320.0277778</v>
      </c>
      <c r="P2734" s="82">
        <f>IFERROR(__xludf.DUMMYFUNCTION("""COMPUTED_VALUE"""),0.8055555555555557)</f>
        <v>0.8055555556</v>
      </c>
      <c r="Q2734" s="82">
        <f>IFERROR(__xludf.DUMMYFUNCTION("""COMPUTED_VALUE"""),0.4166666666666666)</f>
        <v>0.4166666667</v>
      </c>
      <c r="R2734" s="82">
        <f>IFERROR(__xludf.DUMMYFUNCTION("""COMPUTED_VALUE"""),1.0833333333333333)</f>
        <v>1.083333333</v>
      </c>
      <c r="S2734" s="82">
        <f>IFERROR(__xludf.DUMMYFUNCTION("""COMPUTED_VALUE"""),2.972222222222222)</f>
        <v>2.972222222</v>
      </c>
      <c r="T2734" s="82">
        <f>IFERROR(__xludf.DUMMYFUNCTION("""COMPUTED_VALUE"""),328.4301349420475)</f>
        <v>328.4301349</v>
      </c>
      <c r="U2734" s="82">
        <f>IFERROR(__xludf.DUMMYFUNCTION("""COMPUTED_VALUE"""),0.797730514264183)</f>
        <v>0.7977305143</v>
      </c>
      <c r="V2734" s="82">
        <f>IFERROR(__xludf.DUMMYFUNCTION("""COMPUTED_VALUE"""),0.5317964099468507)</f>
        <v>0.5317964099</v>
      </c>
      <c r="W2734" s="82">
        <f>IFERROR(__xludf.DUMMYFUNCTION("""COMPUTED_VALUE"""),1.125916921605368)</f>
        <v>1.125916922</v>
      </c>
      <c r="X2734" s="82">
        <f>IFERROR(__xludf.DUMMYFUNCTION("""COMPUTED_VALUE"""),2.5922681785395594)</f>
        <v>2.592268179</v>
      </c>
      <c r="Y2734" s="82">
        <f>IFERROR(__xludf.DUMMYFUNCTION("""COMPUTED_VALUE"""),329.09143142383016)</f>
        <v>329.0914314</v>
      </c>
      <c r="Z2734" s="82">
        <f>IFERROR(__xludf.DUMMYFUNCTION("""COMPUTED_VALUE"""),0.7741435505742867)</f>
        <v>0.7741435506</v>
      </c>
      <c r="AA2734" s="82">
        <f>IFERROR(__xludf.DUMMYFUNCTION("""COMPUTED_VALUE"""),0.48353501394037574)</f>
        <v>0.4835350139</v>
      </c>
      <c r="AB2734" s="82">
        <f>IFERROR(__xludf.DUMMYFUNCTION("""COMPUTED_VALUE"""),1.2963013819150264)</f>
        <v>1.296301382</v>
      </c>
      <c r="AC2734" s="82">
        <f>IFERROR(__xludf.DUMMYFUNCTION("""COMPUTED_VALUE"""),2.3177866210963907)</f>
        <v>2.317786621</v>
      </c>
      <c r="AD2734" s="82">
        <f>IFERROR(__xludf.DUMMYFUNCTION("""COMPUTED_VALUE"""),0.9645242517963715)</f>
        <v>0.9645242518</v>
      </c>
      <c r="AE2734" s="82">
        <f>IFERROR(__xludf.DUMMYFUNCTION("""COMPUTED_VALUE"""),1.1841042478318797)</f>
        <v>1.184104248</v>
      </c>
      <c r="AF2734" s="82">
        <f>IFERROR(__xludf.DUMMYFUNCTION("""COMPUTED_VALUE"""),0.6893675198761022)</f>
        <v>0.6893675199</v>
      </c>
      <c r="AG2734" s="82">
        <f>IFERROR(__xludf.DUMMYFUNCTION("""COMPUTED_VALUE"""),1.0285673933044794)</f>
        <v>1.028567393</v>
      </c>
      <c r="AH2734" s="82">
        <f>IFERROR(__xludf.DUMMYFUNCTION("""COMPUTED_VALUE"""),0.9347998849185525)</f>
        <v>0.9347998849</v>
      </c>
      <c r="AI2734" s="82">
        <f>IFERROR(__xludf.DUMMYFUNCTION("""COMPUTED_VALUE"""),0.974416607155271)</f>
        <v>0.9744166072</v>
      </c>
      <c r="AJ2734" s="82">
        <f>IFERROR(__xludf.DUMMYFUNCTION("""COMPUTED_VALUE"""),1.0098091287113298)</f>
        <v>1.009809129</v>
      </c>
      <c r="AK2734" s="82">
        <f>IFERROR(__xludf.DUMMYFUNCTION("""COMPUTED_VALUE"""),0.7835078591604434)</f>
        <v>0.7835078592</v>
      </c>
      <c r="AL2734" s="82">
        <f>IFERROR(__xludf.DUMMYFUNCTION("""COMPUTED_VALUE"""),0.9621787474236397)</f>
        <v>0.9621787474</v>
      </c>
      <c r="AM2734" s="82">
        <f>IFERROR(__xludf.DUMMYFUNCTION("""COMPUTED_VALUE"""),1.1465720432894109)</f>
        <v>1.146572043</v>
      </c>
      <c r="AN2734" s="82">
        <f>IFERROR(__xludf.DUMMYFUNCTION("""COMPUTED_VALUE"""),0.9804636141286521)</f>
        <v>0.9804636141</v>
      </c>
      <c r="AO2734" s="82">
        <f>IFERROR(__xludf.DUMMYFUNCTION("""COMPUTED_VALUE"""),1.2428139516066896)</f>
        <v>1.242813952</v>
      </c>
      <c r="AP2734" s="82">
        <f>IFERROR(__xludf.DUMMYFUNCTION("""COMPUTED_VALUE"""),0.6755642278124218)</f>
        <v>0.6755642278</v>
      </c>
      <c r="AQ2734" s="82">
        <f>IFERROR(__xludf.DUMMYFUNCTION("""COMPUTED_VALUE"""),1.105485805628902)</f>
        <v>1.105485806</v>
      </c>
      <c r="AR2734" s="82">
        <f>IFERROR(__xludf.DUMMYFUNCTION("""COMPUTED_VALUE"""),0.9198636072912185)</f>
        <v>0.9198636073</v>
      </c>
      <c r="AS2734" s="82">
        <f>IFERROR(__xludf.DUMMYFUNCTION("""COMPUTED_VALUE"""),32.0)</f>
        <v>32</v>
      </c>
      <c r="AT2734" s="82">
        <f>IFERROR(__xludf.DUMMYFUNCTION("""COMPUTED_VALUE"""),0.5391639098078604)</f>
        <v>0.5391639098</v>
      </c>
      <c r="AU2734" s="82">
        <f>IFERROR(__xludf.DUMMYFUNCTION("""COMPUTED_VALUE"""),2.041993741536711)</f>
        <v>2.041993742</v>
      </c>
      <c r="AV2734" s="82">
        <f>IFERROR(__xludf.DUMMYFUNCTION("""COMPUTED_VALUE"""),52.57778916039703)</f>
        <v>52.57778916</v>
      </c>
      <c r="AW2734" s="82">
        <f t="shared" si="1"/>
        <v>2.178947299</v>
      </c>
      <c r="AX2734" s="83">
        <f t="array" ref="AX2734">IFERROR(DGET('SBV Import'!A:G,"SBV",{"RSC ID","Tier";B2734,A2734}))</f>
        <v>30.6739481</v>
      </c>
      <c r="AY2734" s="82">
        <f t="shared" si="2"/>
        <v>-4.550651806</v>
      </c>
      <c r="AZ2734" s="82">
        <v>6.729599105675689</v>
      </c>
      <c r="BA2734" s="84">
        <v>2700.0</v>
      </c>
      <c r="BB2734" s="84" t="b">
        <f>IFERROR(__xludf.DUMMYFUNCTION("iferror(if(A2734="""",,E2734&gt;=FILTER(Constants!$F$2:$F$10,Constants!$A$2:$A$10=A2734)))"),TRUE)</f>
        <v>1</v>
      </c>
    </row>
    <row r="2735">
      <c r="A2735" s="89" t="str">
        <f>IFERROR(__xludf.DUMMYFUNCTION("""COMPUTED_VALUE"""),"Prospect")</f>
        <v>Prospect</v>
      </c>
      <c r="B2735" s="87" t="str">
        <f>IFERROR(__xludf.DUMMYFUNCTION("""COMPUTED_VALUE"""),"RSC007886")</f>
        <v>RSC007886</v>
      </c>
      <c r="C2735" s="73" t="str">
        <f>IFERROR(__xludf.DUMMYFUNCTION("""COMPUTED_VALUE"""),"BabyDino8453")</f>
        <v>BabyDino8453</v>
      </c>
      <c r="D2735" s="73" t="str">
        <f>IFERROR(__xludf.DUMMYFUNCTION("""COMPUTED_VALUE"""),"Dime")</f>
        <v>Dime</v>
      </c>
      <c r="E2735" s="82">
        <f>IFERROR(__xludf.DUMMYFUNCTION("""COMPUTED_VALUE"""),18.0)</f>
        <v>18</v>
      </c>
      <c r="F2735" s="82">
        <f>IFERROR(__xludf.DUMMYFUNCTION("""COMPUTED_VALUE"""),9.0)</f>
        <v>9</v>
      </c>
      <c r="G2735" s="86">
        <f>IFERROR(__xludf.DUMMYFUNCTION("""COMPUTED_VALUE"""),9.0)</f>
        <v>9</v>
      </c>
      <c r="H2735" s="86">
        <f>IFERROR(__xludf.DUMMYFUNCTION("""COMPUTED_VALUE"""),0.5)</f>
        <v>0.5</v>
      </c>
      <c r="I2735" s="86">
        <f>IFERROR(__xludf.DUMMYFUNCTION("""COMPUTED_VALUE"""),0.33333333333333337)</f>
        <v>0.3333333333</v>
      </c>
      <c r="J2735" s="82">
        <f>IFERROR(__xludf.DUMMYFUNCTION("""COMPUTED_VALUE"""),297.8333333333333)</f>
        <v>297.8333333</v>
      </c>
      <c r="K2735" s="82">
        <f>IFERROR(__xludf.DUMMYFUNCTION("""COMPUTED_VALUE"""),0.8333333333333334)</f>
        <v>0.8333333333</v>
      </c>
      <c r="L2735" s="82">
        <f>IFERROR(__xludf.DUMMYFUNCTION("""COMPUTED_VALUE"""),0.4444444444444444)</f>
        <v>0.4444444444</v>
      </c>
      <c r="M2735" s="82">
        <f>IFERROR(__xludf.DUMMYFUNCTION("""COMPUTED_VALUE"""),0.8888888888888888)</f>
        <v>0.8888888889</v>
      </c>
      <c r="N2735" s="82">
        <f>IFERROR(__xludf.DUMMYFUNCTION("""COMPUTED_VALUE"""),2.5)</f>
        <v>2.5</v>
      </c>
      <c r="O2735" s="82">
        <f>IFERROR(__xludf.DUMMYFUNCTION("""COMPUTED_VALUE"""),318.03703703703707)</f>
        <v>318.037037</v>
      </c>
      <c r="P2735" s="82">
        <f>IFERROR(__xludf.DUMMYFUNCTION("""COMPUTED_VALUE"""),0.7037037037037037)</f>
        <v>0.7037037037</v>
      </c>
      <c r="Q2735" s="82">
        <f>IFERROR(__xludf.DUMMYFUNCTION("""COMPUTED_VALUE"""),0.4259259259259259)</f>
        <v>0.4259259259</v>
      </c>
      <c r="R2735" s="82">
        <f>IFERROR(__xludf.DUMMYFUNCTION("""COMPUTED_VALUE"""),1.3888888888888888)</f>
        <v>1.388888889</v>
      </c>
      <c r="S2735" s="82">
        <f>IFERROR(__xludf.DUMMYFUNCTION("""COMPUTED_VALUE"""),2.074074074074074)</f>
        <v>2.074074074</v>
      </c>
      <c r="T2735" s="82">
        <f>IFERROR(__xludf.DUMMYFUNCTION("""COMPUTED_VALUE"""),327.00866438115077)</f>
        <v>327.0086644</v>
      </c>
      <c r="U2735" s="82">
        <f>IFERROR(__xludf.DUMMYFUNCTION("""COMPUTED_VALUE"""),0.6905311285236764)</f>
        <v>0.6905311285</v>
      </c>
      <c r="V2735" s="82">
        <f>IFERROR(__xludf.DUMMYFUNCTION("""COMPUTED_VALUE"""),0.4734917097739976)</f>
        <v>0.4734917098</v>
      </c>
      <c r="W2735" s="82">
        <f>IFERROR(__xludf.DUMMYFUNCTION("""COMPUTED_VALUE"""),1.3113649981696471)</f>
        <v>1.311364998</v>
      </c>
      <c r="X2735" s="82">
        <f>IFERROR(__xludf.DUMMYFUNCTION("""COMPUTED_VALUE"""),2.3413142733481465)</f>
        <v>2.341314273</v>
      </c>
      <c r="Y2735" s="82">
        <f>IFERROR(__xludf.DUMMYFUNCTION("""COMPUTED_VALUE"""),343.1543378516013)</f>
        <v>343.1543379</v>
      </c>
      <c r="Z2735" s="82">
        <f>IFERROR(__xludf.DUMMYFUNCTION("""COMPUTED_VALUE"""),0.8491691807788336)</f>
        <v>0.8491691808</v>
      </c>
      <c r="AA2735" s="82">
        <f>IFERROR(__xludf.DUMMYFUNCTION("""COMPUTED_VALUE"""),0.5527993089409767)</f>
        <v>0.5527993089</v>
      </c>
      <c r="AB2735" s="82">
        <f>IFERROR(__xludf.DUMMYFUNCTION("""COMPUTED_VALUE"""),1.1694188465437274)</f>
        <v>1.169418847</v>
      </c>
      <c r="AC2735" s="82">
        <f>IFERROR(__xludf.DUMMYFUNCTION("""COMPUTED_VALUE"""),2.6914667852775676)</f>
        <v>2.691466785</v>
      </c>
      <c r="AD2735" s="82">
        <f>IFERROR(__xludf.DUMMYFUNCTION("""COMPUTED_VALUE"""),0.8679282191156001)</f>
        <v>0.8679282191</v>
      </c>
      <c r="AE2735" s="82">
        <f>IFERROR(__xludf.DUMMYFUNCTION("""COMPUTED_VALUE"""),0.9813513634220968)</f>
        <v>0.9813513634</v>
      </c>
      <c r="AF2735" s="82">
        <f>IFERROR(__xludf.DUMMYFUNCTION("""COMPUTED_VALUE"""),0.8039887844575769)</f>
        <v>0.8039887845</v>
      </c>
      <c r="AG2735" s="82">
        <f>IFERROR(__xludf.DUMMYFUNCTION("""COMPUTED_VALUE"""),0.7601116499157183)</f>
        <v>0.7601116499</v>
      </c>
      <c r="AH2735" s="82">
        <f>IFERROR(__xludf.DUMMYFUNCTION("""COMPUTED_VALUE"""),0.9288615463044543)</f>
        <v>0.9288615463</v>
      </c>
      <c r="AI2735" s="82">
        <f>IFERROR(__xludf.DUMMYFUNCTION("""COMPUTED_VALUE"""),0.972564557697295)</f>
        <v>0.9725645577</v>
      </c>
      <c r="AJ2735" s="82">
        <f>IFERROR(__xludf.DUMMYFUNCTION("""COMPUTED_VALUE"""),1.0190760048836462)</f>
        <v>1.019076005</v>
      </c>
      <c r="AK2735" s="82">
        <f>IFERROR(__xludf.DUMMYFUNCTION("""COMPUTED_VALUE"""),0.8995425202464994)</f>
        <v>0.8995425202</v>
      </c>
      <c r="AL2735" s="82">
        <f>IFERROR(__xludf.DUMMYFUNCTION("""COMPUTED_VALUE"""),1.0591169436636227)</f>
        <v>1.059116944</v>
      </c>
      <c r="AM2735" s="82">
        <f>IFERROR(__xludf.DUMMYFUNCTION("""COMPUTED_VALUE"""),0.8858588945891868)</f>
        <v>0.8858588946</v>
      </c>
      <c r="AN2735" s="82">
        <f>IFERROR(__xludf.DUMMYFUNCTION("""COMPUTED_VALUE"""),0.9199729474654246)</f>
        <v>0.9199729475</v>
      </c>
      <c r="AO2735" s="82">
        <f>IFERROR(__xludf.DUMMYFUNCTION("""COMPUTED_VALUE"""),1.1298308650969906)</f>
        <v>1.129830865</v>
      </c>
      <c r="AP2735" s="82">
        <f>IFERROR(__xludf.DUMMYFUNCTION("""COMPUTED_VALUE"""),0.9007523037498958)</f>
        <v>0.9007523037</v>
      </c>
      <c r="AQ2735" s="82">
        <f>IFERROR(__xludf.DUMMYFUNCTION("""COMPUTED_VALUE"""),0.7369905370859346)</f>
        <v>0.7369905371</v>
      </c>
      <c r="AR2735" s="82">
        <f>IFERROR(__xludf.DUMMYFUNCTION("""COMPUTED_VALUE"""),1.0613810853360215)</f>
        <v>1.061381085</v>
      </c>
      <c r="AS2735" s="82">
        <f>IFERROR(__xludf.DUMMYFUNCTION("""COMPUTED_VALUE"""),52.0)</f>
        <v>52</v>
      </c>
      <c r="AT2735" s="82">
        <f>IFERROR(__xludf.DUMMYFUNCTION("""COMPUTED_VALUE"""),0.6219436007703155)</f>
        <v>0.6219436008</v>
      </c>
      <c r="AU2735" s="82">
        <f>IFERROR(__xludf.DUMMYFUNCTION("""COMPUTED_VALUE"""),2.023885280475823)</f>
        <v>2.02388528</v>
      </c>
      <c r="AV2735" s="82">
        <f>IFERROR(__xludf.DUMMYFUNCTION("""COMPUTED_VALUE"""),52.00171927004803)</f>
        <v>52.00171927</v>
      </c>
      <c r="AW2735" s="82">
        <f t="shared" si="1"/>
        <v>2.136335459</v>
      </c>
      <c r="AX2735" s="83">
        <f t="array" ref="AX2735">IFERROR(DGET('SBV Import'!A:G,"SBV",{"RSC ID","Tier";B2735,A2735}))</f>
        <v>39.57567053</v>
      </c>
      <c r="AY2735" s="82">
        <f t="shared" si="2"/>
        <v>-2.955528054</v>
      </c>
      <c r="AZ2735" s="82">
        <v>5.091863513694391</v>
      </c>
      <c r="BA2735" s="84">
        <v>2700.0</v>
      </c>
      <c r="BB2735" s="84" t="b">
        <f>IFERROR(__xludf.DUMMYFUNCTION("iferror(if(A2735="""",,E2735&gt;=FILTER(Constants!$F$2:$F$10,Constants!$A$2:$A$10=A2735)))"),TRUE)</f>
        <v>1</v>
      </c>
    </row>
    <row r="2736">
      <c r="A2736" s="89" t="str">
        <f>IFERROR(__xludf.DUMMYFUNCTION("""COMPUTED_VALUE"""),"Prospect")</f>
        <v>Prospect</v>
      </c>
      <c r="B2736" s="87" t="str">
        <f>IFERROR(__xludf.DUMMYFUNCTION("""COMPUTED_VALUE"""),"RSC007865")</f>
        <v>RSC007865</v>
      </c>
      <c r="C2736" s="73" t="str">
        <f>IFERROR(__xludf.DUMMYFUNCTION("""COMPUTED_VALUE"""),"StoveMessiah")</f>
        <v>StoveMessiah</v>
      </c>
      <c r="D2736" s="73" t="str">
        <f>IFERROR(__xludf.DUMMYFUNCTION("""COMPUTED_VALUE"""),"Emus")</f>
        <v>Emus</v>
      </c>
      <c r="E2736" s="82">
        <f>IFERROR(__xludf.DUMMYFUNCTION("""COMPUTED_VALUE"""),21.0)</f>
        <v>21</v>
      </c>
      <c r="F2736" s="82">
        <f>IFERROR(__xludf.DUMMYFUNCTION("""COMPUTED_VALUE"""),11.0)</f>
        <v>11</v>
      </c>
      <c r="G2736" s="86">
        <f>IFERROR(__xludf.DUMMYFUNCTION("""COMPUTED_VALUE"""),10.0)</f>
        <v>10</v>
      </c>
      <c r="H2736" s="86">
        <f>IFERROR(__xludf.DUMMYFUNCTION("""COMPUTED_VALUE"""),0.5238095238095238)</f>
        <v>0.5238095238</v>
      </c>
      <c r="I2736" s="86">
        <f>IFERROR(__xludf.DUMMYFUNCTION("""COMPUTED_VALUE"""),0.23636363636363636)</f>
        <v>0.2363636364</v>
      </c>
      <c r="J2736" s="82">
        <f>IFERROR(__xludf.DUMMYFUNCTION("""COMPUTED_VALUE"""),299.3333333333333)</f>
        <v>299.3333333</v>
      </c>
      <c r="K2736" s="82">
        <f>IFERROR(__xludf.DUMMYFUNCTION("""COMPUTED_VALUE"""),0.6190476190476191)</f>
        <v>0.619047619</v>
      </c>
      <c r="L2736" s="82">
        <f>IFERROR(__xludf.DUMMYFUNCTION("""COMPUTED_VALUE"""),0.5238095238095238)</f>
        <v>0.5238095238</v>
      </c>
      <c r="M2736" s="82">
        <f>IFERROR(__xludf.DUMMYFUNCTION("""COMPUTED_VALUE"""),0.9047619047619048)</f>
        <v>0.9047619048</v>
      </c>
      <c r="N2736" s="82">
        <f>IFERROR(__xludf.DUMMYFUNCTION("""COMPUTED_VALUE"""),2.619047619047619)</f>
        <v>2.619047619</v>
      </c>
      <c r="O2736" s="82">
        <f>IFERROR(__xludf.DUMMYFUNCTION("""COMPUTED_VALUE"""),348.031746031746)</f>
        <v>348.031746</v>
      </c>
      <c r="P2736" s="82">
        <f>IFERROR(__xludf.DUMMYFUNCTION("""COMPUTED_VALUE"""),0.746031746031746)</f>
        <v>0.746031746</v>
      </c>
      <c r="Q2736" s="82">
        <f>IFERROR(__xludf.DUMMYFUNCTION("""COMPUTED_VALUE"""),0.44444444444444436)</f>
        <v>0.4444444444</v>
      </c>
      <c r="R2736" s="82">
        <f>IFERROR(__xludf.DUMMYFUNCTION("""COMPUTED_VALUE"""),1.5555555555555558)</f>
        <v>1.555555556</v>
      </c>
      <c r="S2736" s="82">
        <f>IFERROR(__xludf.DUMMYFUNCTION("""COMPUTED_VALUE"""),2.1904761904761902)</f>
        <v>2.19047619</v>
      </c>
      <c r="T2736" s="82">
        <f>IFERROR(__xludf.DUMMYFUNCTION("""COMPUTED_VALUE"""),337.2903932046439)</f>
        <v>337.2903932</v>
      </c>
      <c r="U2736" s="82">
        <f>IFERROR(__xludf.DUMMYFUNCTION("""COMPUTED_VALUE"""),0.7980314344794819)</f>
        <v>0.7980314345</v>
      </c>
      <c r="V2736" s="82">
        <f>IFERROR(__xludf.DUMMYFUNCTION("""COMPUTED_VALUE"""),0.5209515453292943)</f>
        <v>0.5209515453</v>
      </c>
      <c r="W2736" s="82">
        <f>IFERROR(__xludf.DUMMYFUNCTION("""COMPUTED_VALUE"""),1.1962080655163583)</f>
        <v>1.196208066</v>
      </c>
      <c r="X2736" s="82">
        <f>IFERROR(__xludf.DUMMYFUNCTION("""COMPUTED_VALUE"""),2.489278789726641)</f>
        <v>2.48927879</v>
      </c>
      <c r="Y2736" s="82">
        <f>IFERROR(__xludf.DUMMYFUNCTION("""COMPUTED_VALUE"""),331.30068469950527)</f>
        <v>331.3006847</v>
      </c>
      <c r="Z2736" s="82">
        <f>IFERROR(__xludf.DUMMYFUNCTION("""COMPUTED_VALUE"""),0.7803683849193008)</f>
        <v>0.7803683849</v>
      </c>
      <c r="AA2736" s="82">
        <f>IFERROR(__xludf.DUMMYFUNCTION("""COMPUTED_VALUE"""),0.5196039197715903)</f>
        <v>0.5196039198</v>
      </c>
      <c r="AB2736" s="82">
        <f>IFERROR(__xludf.DUMMYFUNCTION("""COMPUTED_VALUE"""),1.2055757918677596)</f>
        <v>1.205575792</v>
      </c>
      <c r="AC2736" s="82">
        <f>IFERROR(__xludf.DUMMYFUNCTION("""COMPUTED_VALUE"""),2.3779280175779824)</f>
        <v>2.377928018</v>
      </c>
      <c r="AD2736" s="82">
        <f>IFERROR(__xludf.DUMMYFUNCTION("""COMPUTED_VALUE"""),0.9035095523718376)</f>
        <v>0.9035095524</v>
      </c>
      <c r="AE2736" s="82">
        <f>IFERROR(__xludf.DUMMYFUNCTION("""COMPUTED_VALUE"""),0.793276138565808)</f>
        <v>0.7932761386</v>
      </c>
      <c r="AF2736" s="82">
        <f>IFERROR(__xludf.DUMMYFUNCTION("""COMPUTED_VALUE"""),1.0080938651112992)</f>
        <v>1.008093865</v>
      </c>
      <c r="AG2736" s="82">
        <f>IFERROR(__xludf.DUMMYFUNCTION("""COMPUTED_VALUE"""),0.750481148398133)</f>
        <v>0.7504811484</v>
      </c>
      <c r="AH2736" s="82">
        <f>IFERROR(__xludf.DUMMYFUNCTION("""COMPUTED_VALUE"""),1.1013990329762913)</f>
        <v>1.101399033</v>
      </c>
      <c r="AI2736" s="82">
        <f>IFERROR(__xludf.DUMMYFUNCTION("""COMPUTED_VALUE"""),1.031846008790962)</f>
        <v>1.031846009</v>
      </c>
      <c r="AJ2736" s="82">
        <f>IFERROR(__xludf.DUMMYFUNCTION("""COMPUTED_VALUE"""),0.934840049901477)</f>
        <v>0.9348400499</v>
      </c>
      <c r="AK2736" s="82">
        <f>IFERROR(__xludf.DUMMYFUNCTION("""COMPUTED_VALUE"""),0.8531396987478179)</f>
        <v>0.8531396987</v>
      </c>
      <c r="AL2736" s="82">
        <f>IFERROR(__xludf.DUMMYFUNCTION("""COMPUTED_VALUE"""),1.300405506699272)</f>
        <v>1.300405507</v>
      </c>
      <c r="AM2736" s="82">
        <f>IFERROR(__xludf.DUMMYFUNCTION("""COMPUTED_VALUE"""),0.8799641886302082)</f>
        <v>0.8799641886</v>
      </c>
      <c r="AN2736" s="82">
        <f>IFERROR(__xludf.DUMMYFUNCTION("""COMPUTED_VALUE"""),0.9246062751247356)</f>
        <v>0.9246062751</v>
      </c>
      <c r="AO2736" s="82">
        <f>IFERROR(__xludf.DUMMYFUNCTION("""COMPUTED_VALUE"""),0.8393029283577644)</f>
        <v>0.8393029284</v>
      </c>
      <c r="AP2736" s="82">
        <f>IFERROR(__xludf.DUMMYFUNCTION("""COMPUTED_VALUE"""),1.0616009294195201)</f>
        <v>1.061600929</v>
      </c>
      <c r="AQ2736" s="82">
        <f>IFERROR(__xludf.DUMMYFUNCTION("""COMPUTED_VALUE"""),0.7501510823910407)</f>
        <v>0.7501510824</v>
      </c>
      <c r="AR2736" s="82">
        <f>IFERROR(__xludf.DUMMYFUNCTION("""COMPUTED_VALUE"""),1.1119230417805939)</f>
        <v>1.111923042</v>
      </c>
      <c r="AS2736" s="82">
        <f>IFERROR(__xludf.DUMMYFUNCTION("""COMPUTED_VALUE"""),50.0)</f>
        <v>50</v>
      </c>
      <c r="AT2736" s="82">
        <f>IFERROR(__xludf.DUMMYFUNCTION("""COMPUTED_VALUE"""),0.5239801163704626)</f>
        <v>0.5239801164</v>
      </c>
      <c r="AU2736" s="82">
        <f>IFERROR(__xludf.DUMMYFUNCTION("""COMPUTED_VALUE"""),2.011305431191717)</f>
        <v>2.011305431</v>
      </c>
      <c r="AV2736" s="82">
        <f>IFERROR(__xludf.DUMMYFUNCTION("""COMPUTED_VALUE"""),51.60152665437876)</f>
        <v>51.60152665</v>
      </c>
      <c r="AW2736" s="82">
        <f t="shared" si="1"/>
        <v>2.107655674</v>
      </c>
      <c r="AX2736" s="83">
        <f t="array" ref="AX2736">IFERROR(DGET('SBV Import'!A:G,"SBV",{"RSC ID","Tier";B2736,A2736}))</f>
        <v>40.74061592</v>
      </c>
      <c r="AY2736" s="82">
        <f t="shared" si="2"/>
        <v>-2.812532761</v>
      </c>
      <c r="AZ2736" s="82">
        <v>4.920188434279321</v>
      </c>
      <c r="BA2736" s="84">
        <v>2700.0</v>
      </c>
      <c r="BB2736" s="84" t="b">
        <f>IFERROR(__xludf.DUMMYFUNCTION("iferror(if(A2736="""",,E2736&gt;=FILTER(Constants!$F$2:$F$10,Constants!$A$2:$A$10=A2736)))"),TRUE)</f>
        <v>1</v>
      </c>
    </row>
    <row r="2737">
      <c r="A2737" s="89" t="str">
        <f>IFERROR(__xludf.DUMMYFUNCTION("""COMPUTED_VALUE"""),"Prospect")</f>
        <v>Prospect</v>
      </c>
      <c r="B2737" s="87" t="str">
        <f>IFERROR(__xludf.DUMMYFUNCTION("""COMPUTED_VALUE"""),"RSC007600")</f>
        <v>RSC007600</v>
      </c>
      <c r="C2737" s="73" t="str">
        <f>IFERROR(__xludf.DUMMYFUNCTION("""COMPUTED_VALUE"""),"CN Tyson")</f>
        <v>CN Tyson</v>
      </c>
      <c r="D2737" s="73" t="str">
        <f>IFERROR(__xludf.DUMMYFUNCTION("""COMPUTED_VALUE"""),"Mop Tops")</f>
        <v>Mop Tops</v>
      </c>
      <c r="E2737" s="82">
        <f>IFERROR(__xludf.DUMMYFUNCTION("""COMPUTED_VALUE"""),30.0)</f>
        <v>30</v>
      </c>
      <c r="F2737" s="82">
        <f>IFERROR(__xludf.DUMMYFUNCTION("""COMPUTED_VALUE"""),11.0)</f>
        <v>11</v>
      </c>
      <c r="G2737" s="86">
        <f>IFERROR(__xludf.DUMMYFUNCTION("""COMPUTED_VALUE"""),19.0)</f>
        <v>19</v>
      </c>
      <c r="H2737" s="86">
        <f>IFERROR(__xludf.DUMMYFUNCTION("""COMPUTED_VALUE"""),0.36666666666666664)</f>
        <v>0.3666666667</v>
      </c>
      <c r="I2737" s="86">
        <f>IFERROR(__xludf.DUMMYFUNCTION("""COMPUTED_VALUE"""),0.2588235294117647)</f>
        <v>0.2588235294</v>
      </c>
      <c r="J2737" s="82">
        <f>IFERROR(__xludf.DUMMYFUNCTION("""COMPUTED_VALUE"""),320.1)</f>
        <v>320.1</v>
      </c>
      <c r="K2737" s="82">
        <f>IFERROR(__xludf.DUMMYFUNCTION("""COMPUTED_VALUE"""),0.7333333333333333)</f>
        <v>0.7333333333</v>
      </c>
      <c r="L2737" s="82">
        <f>IFERROR(__xludf.DUMMYFUNCTION("""COMPUTED_VALUE"""),0.4)</f>
        <v>0.4</v>
      </c>
      <c r="M2737" s="82">
        <f>IFERROR(__xludf.DUMMYFUNCTION("""COMPUTED_VALUE"""),1.3)</f>
        <v>1.3</v>
      </c>
      <c r="N2737" s="82">
        <f>IFERROR(__xludf.DUMMYFUNCTION("""COMPUTED_VALUE"""),2.8333333333333335)</f>
        <v>2.833333333</v>
      </c>
      <c r="O2737" s="82">
        <f>IFERROR(__xludf.DUMMYFUNCTION("""COMPUTED_VALUE"""),343.8666666666667)</f>
        <v>343.8666667</v>
      </c>
      <c r="P2737" s="82">
        <f>IFERROR(__xludf.DUMMYFUNCTION("""COMPUTED_VALUE"""),0.9222222222222223)</f>
        <v>0.9222222222</v>
      </c>
      <c r="Q2737" s="82">
        <f>IFERROR(__xludf.DUMMYFUNCTION("""COMPUTED_VALUE"""),0.5444444444444445)</f>
        <v>0.5444444444</v>
      </c>
      <c r="R2737" s="82">
        <f>IFERROR(__xludf.DUMMYFUNCTION("""COMPUTED_VALUE"""),1.211111111111111)</f>
        <v>1.211111111</v>
      </c>
      <c r="S2737" s="82">
        <f>IFERROR(__xludf.DUMMYFUNCTION("""COMPUTED_VALUE"""),2.644444444444445)</f>
        <v>2.644444444</v>
      </c>
      <c r="T2737" s="82">
        <f>IFERROR(__xludf.DUMMYFUNCTION("""COMPUTED_VALUE"""),339.75599893725126)</f>
        <v>339.7559989</v>
      </c>
      <c r="U2737" s="82">
        <f>IFERROR(__xludf.DUMMYFUNCTION("""COMPUTED_VALUE"""),0.8217563181960109)</f>
        <v>0.8217563182</v>
      </c>
      <c r="V2737" s="82">
        <f>IFERROR(__xludf.DUMMYFUNCTION("""COMPUTED_VALUE"""),0.5444483920155597)</f>
        <v>0.544448392</v>
      </c>
      <c r="W2737" s="82">
        <f>IFERROR(__xludf.DUMMYFUNCTION("""COMPUTED_VALUE"""),1.2224528220933548)</f>
        <v>1.222452822</v>
      </c>
      <c r="X2737" s="82">
        <f>IFERROR(__xludf.DUMMYFUNCTION("""COMPUTED_VALUE"""),2.5522432126619163)</f>
        <v>2.552243213</v>
      </c>
      <c r="Y2737" s="82">
        <f>IFERROR(__xludf.DUMMYFUNCTION("""COMPUTED_VALUE"""),333.754882585181)</f>
        <v>333.7548826</v>
      </c>
      <c r="Z2737" s="82">
        <f>IFERROR(__xludf.DUMMYFUNCTION("""COMPUTED_VALUE"""),0.7466868872164859)</f>
        <v>0.7466868872</v>
      </c>
      <c r="AA2737" s="82">
        <f>IFERROR(__xludf.DUMMYFUNCTION("""COMPUTED_VALUE"""),0.504255662793318)</f>
        <v>0.5042556628</v>
      </c>
      <c r="AB2737" s="82">
        <f>IFERROR(__xludf.DUMMYFUNCTION("""COMPUTED_VALUE"""),1.2652092081689283)</f>
        <v>1.265209208</v>
      </c>
      <c r="AC2737" s="82">
        <f>IFERROR(__xludf.DUMMYFUNCTION("""COMPUTED_VALUE"""),2.4735433954848753)</f>
        <v>2.473543395</v>
      </c>
      <c r="AD2737" s="82">
        <f>IFERROR(__xludf.DUMMYFUNCTION("""COMPUTED_VALUE"""),0.9590870926608962)</f>
        <v>0.9590870927</v>
      </c>
      <c r="AE2737" s="82">
        <f>IFERROR(__xludf.DUMMYFUNCTION("""COMPUTED_VALUE"""),0.9821162603605746)</f>
        <v>0.9821162604</v>
      </c>
      <c r="AF2737" s="82">
        <f>IFERROR(__xludf.DUMMYFUNCTION("""COMPUTED_VALUE"""),0.7932484045577296)</f>
        <v>0.7932484046</v>
      </c>
      <c r="AG2737" s="82">
        <f>IFERROR(__xludf.DUMMYFUNCTION("""COMPUTED_VALUE"""),1.0274980545560704)</f>
        <v>1.027498055</v>
      </c>
      <c r="AH2737" s="82">
        <f>IFERROR(__xludf.DUMMYFUNCTION("""COMPUTED_VALUE"""),1.1454552762264882)</f>
        <v>1.145455276</v>
      </c>
      <c r="AI2737" s="82">
        <f>IFERROR(__xludf.DUMMYFUNCTION("""COMPUTED_VALUE"""),1.012098881969041)</f>
        <v>1.012098882</v>
      </c>
      <c r="AJ2737" s="82">
        <f>IFERROR(__xludf.DUMMYFUNCTION("""COMPUTED_VALUE"""),1.1222575376685422)</f>
        <v>1.122257538</v>
      </c>
      <c r="AK2737" s="82">
        <f>IFERROR(__xludf.DUMMYFUNCTION("""COMPUTED_VALUE"""),0.9999927494117475)</f>
        <v>0.9999927494</v>
      </c>
      <c r="AL2737" s="82">
        <f>IFERROR(__xludf.DUMMYFUNCTION("""COMPUTED_VALUE"""),0.9907221687600001)</f>
        <v>0.9907221688</v>
      </c>
      <c r="AM2737" s="82">
        <f>IFERROR(__xludf.DUMMYFUNCTION("""COMPUTED_VALUE"""),1.0361255664527227)</f>
        <v>1.036125566</v>
      </c>
      <c r="AN2737" s="82">
        <f>IFERROR(__xludf.DUMMYFUNCTION("""COMPUTED_VALUE"""),0.9887521224969752)</f>
        <v>0.9887521225</v>
      </c>
      <c r="AO2737" s="82">
        <f>IFERROR(__xludf.DUMMYFUNCTION("""COMPUTED_VALUE"""),0.9942511612853516)</f>
        <v>0.9942511613</v>
      </c>
      <c r="AP2737" s="82">
        <f>IFERROR(__xludf.DUMMYFUNCTION("""COMPUTED_VALUE"""),0.8106770733749062)</f>
        <v>0.8106770734</v>
      </c>
      <c r="AQ2737" s="82">
        <f>IFERROR(__xludf.DUMMYFUNCTION("""COMPUTED_VALUE"""),1.0778486604881796)</f>
        <v>1.07784866</v>
      </c>
      <c r="AR2737" s="82">
        <f>IFERROR(__xludf.DUMMYFUNCTION("""COMPUTED_VALUE"""),1.2028985633808242)</f>
        <v>1.202898563</v>
      </c>
      <c r="AS2737" s="82">
        <f>IFERROR(__xludf.DUMMYFUNCTION("""COMPUTED_VALUE"""),60.0)</f>
        <v>60</v>
      </c>
      <c r="AT2737" s="82">
        <f>IFERROR(__xludf.DUMMYFUNCTION("""COMPUTED_VALUE"""),0.3756643165031301)</f>
        <v>0.3756643165</v>
      </c>
      <c r="AU2737" s="82">
        <f>IFERROR(__xludf.DUMMYFUNCTION("""COMPUTED_VALUE"""),2.0033201930845195)</f>
        <v>2.003320193</v>
      </c>
      <c r="AV2737" s="82">
        <f>IFERROR(__xludf.DUMMYFUNCTION("""COMPUTED_VALUE"""),51.347498704385835)</f>
        <v>51.3474987</v>
      </c>
      <c r="AW2737" s="82">
        <f t="shared" si="1"/>
        <v>2.089831669</v>
      </c>
      <c r="AX2737" s="83">
        <f t="array" ref="AX2737">IFERROR(DGET('SBV Import'!A:G,"SBV",{"RSC ID","Tier";B2737,A2737}))</f>
        <v>45.27739846</v>
      </c>
      <c r="AY2737" s="82">
        <f t="shared" si="2"/>
        <v>-2.352476188</v>
      </c>
      <c r="AZ2737" s="82">
        <v>4.442307857815877</v>
      </c>
      <c r="BA2737" s="84">
        <v>2700.0</v>
      </c>
      <c r="BB2737" s="84" t="b">
        <f>IFERROR(__xludf.DUMMYFUNCTION("iferror(if(A2737="""",,E2737&gt;=FILTER(Constants!$F$2:$F$10,Constants!$A$2:$A$10=A2737)))"),TRUE)</f>
        <v>1</v>
      </c>
    </row>
    <row r="2738">
      <c r="A2738" s="89" t="str">
        <f>IFERROR(__xludf.DUMMYFUNCTION("""COMPUTED_VALUE"""),"Prospect")</f>
        <v>Prospect</v>
      </c>
      <c r="B2738" s="87" t="str">
        <f>IFERROR(__xludf.DUMMYFUNCTION("""COMPUTED_VALUE"""),"RSC006115")</f>
        <v>RSC006115</v>
      </c>
      <c r="C2738" s="73" t="str">
        <f>IFERROR(__xludf.DUMMYFUNCTION("""COMPUTED_VALUE"""),"Shame")</f>
        <v>Shame</v>
      </c>
      <c r="D2738" s="73" t="str">
        <f>IFERROR(__xludf.DUMMYFUNCTION("""COMPUTED_VALUE"""),"Gloom")</f>
        <v>Gloom</v>
      </c>
      <c r="E2738" s="82">
        <f>IFERROR(__xludf.DUMMYFUNCTION("""COMPUTED_VALUE"""),35.0)</f>
        <v>35</v>
      </c>
      <c r="F2738" s="82">
        <f>IFERROR(__xludf.DUMMYFUNCTION("""COMPUTED_VALUE"""),14.0)</f>
        <v>14</v>
      </c>
      <c r="G2738" s="86">
        <f>IFERROR(__xludf.DUMMYFUNCTION("""COMPUTED_VALUE"""),21.0)</f>
        <v>21</v>
      </c>
      <c r="H2738" s="86">
        <f>IFERROR(__xludf.DUMMYFUNCTION("""COMPUTED_VALUE"""),0.4)</f>
        <v>0.4</v>
      </c>
      <c r="I2738" s="86">
        <f>IFERROR(__xludf.DUMMYFUNCTION("""COMPUTED_VALUE"""),0.30120481927710846)</f>
        <v>0.3012048193</v>
      </c>
      <c r="J2738" s="82">
        <f>IFERROR(__xludf.DUMMYFUNCTION("""COMPUTED_VALUE"""),381.57142857142856)</f>
        <v>381.5714286</v>
      </c>
      <c r="K2738" s="82">
        <f>IFERROR(__xludf.DUMMYFUNCTION("""COMPUTED_VALUE"""),0.7142857142857143)</f>
        <v>0.7142857143</v>
      </c>
      <c r="L2738" s="82">
        <f>IFERROR(__xludf.DUMMYFUNCTION("""COMPUTED_VALUE"""),0.34285714285714286)</f>
        <v>0.3428571429</v>
      </c>
      <c r="M2738" s="82">
        <f>IFERROR(__xludf.DUMMYFUNCTION("""COMPUTED_VALUE"""),1.9428571428571428)</f>
        <v>1.942857143</v>
      </c>
      <c r="N2738" s="82">
        <f>IFERROR(__xludf.DUMMYFUNCTION("""COMPUTED_VALUE"""),2.3714285714285714)</f>
        <v>2.371428571</v>
      </c>
      <c r="O2738" s="82">
        <f>IFERROR(__xludf.DUMMYFUNCTION("""COMPUTED_VALUE"""),333.3904761904762)</f>
        <v>333.3904762</v>
      </c>
      <c r="P2738" s="82">
        <f>IFERROR(__xludf.DUMMYFUNCTION("""COMPUTED_VALUE"""),0.8857142857142856)</f>
        <v>0.8857142857</v>
      </c>
      <c r="Q2738" s="82">
        <f>IFERROR(__xludf.DUMMYFUNCTION("""COMPUTED_VALUE"""),0.5619047619047618)</f>
        <v>0.5619047619</v>
      </c>
      <c r="R2738" s="82">
        <f>IFERROR(__xludf.DUMMYFUNCTION("""COMPUTED_VALUE"""),0.9238095238095239)</f>
        <v>0.9238095238</v>
      </c>
      <c r="S2738" s="82">
        <f>IFERROR(__xludf.DUMMYFUNCTION("""COMPUTED_VALUE"""),3.0952380952380953)</f>
        <v>3.095238095</v>
      </c>
      <c r="T2738" s="82">
        <f>IFERROR(__xludf.DUMMYFUNCTION("""COMPUTED_VALUE"""),350.28227884505105)</f>
        <v>350.2822788</v>
      </c>
      <c r="U2738" s="82">
        <f>IFERROR(__xludf.DUMMYFUNCTION("""COMPUTED_VALUE"""),0.902340887899927)</f>
        <v>0.9023408879</v>
      </c>
      <c r="V2738" s="82">
        <f>IFERROR(__xludf.DUMMYFUNCTION("""COMPUTED_VALUE"""),0.5768123034661197)</f>
        <v>0.5768123035</v>
      </c>
      <c r="W2738" s="82">
        <f>IFERROR(__xludf.DUMMYFUNCTION("""COMPUTED_VALUE"""),1.1567566062786476)</f>
        <v>1.156756606</v>
      </c>
      <c r="X2738" s="82">
        <f>IFERROR(__xludf.DUMMYFUNCTION("""COMPUTED_VALUE"""),2.7056114627031818)</f>
        <v>2.705611463</v>
      </c>
      <c r="Y2738" s="82">
        <f>IFERROR(__xludf.DUMMYFUNCTION("""COMPUTED_VALUE"""),329.6563924761642)</f>
        <v>329.6563925</v>
      </c>
      <c r="Z2738" s="82">
        <f>IFERROR(__xludf.DUMMYFUNCTION("""COMPUTED_VALUE"""),0.7201339179966894)</f>
        <v>0.720133918</v>
      </c>
      <c r="AA2738" s="82">
        <f>IFERROR(__xludf.DUMMYFUNCTION("""COMPUTED_VALUE"""),0.4878606005569719)</f>
        <v>0.4878606006</v>
      </c>
      <c r="AB2738" s="82">
        <f>IFERROR(__xludf.DUMMYFUNCTION("""COMPUTED_VALUE"""),1.280340973376939)</f>
        <v>1.280340973</v>
      </c>
      <c r="AC2738" s="82">
        <f>IFERROR(__xludf.DUMMYFUNCTION("""COMPUTED_VALUE"""),2.305877276068351)</f>
        <v>2.305877276</v>
      </c>
      <c r="AD2738" s="82">
        <f>IFERROR(__xludf.DUMMYFUNCTION("""COMPUTED_VALUE"""),1.1574822672338079)</f>
        <v>1.157482267</v>
      </c>
      <c r="AE2738" s="82">
        <f>IFERROR(__xludf.DUMMYFUNCTION("""COMPUTED_VALUE"""),0.9918790053282812)</f>
        <v>0.9918790053</v>
      </c>
      <c r="AF2738" s="82">
        <f>IFERROR(__xludf.DUMMYFUNCTION("""COMPUTED_VALUE"""),0.7027768638535596)</f>
        <v>0.7027768639</v>
      </c>
      <c r="AG2738" s="82">
        <f>IFERROR(__xludf.DUMMYFUNCTION("""COMPUTED_VALUE"""),1.517452915478286)</f>
        <v>1.517452915</v>
      </c>
      <c r="AH2738" s="82">
        <f>IFERROR(__xludf.DUMMYFUNCTION("""COMPUTED_VALUE"""),1.028427920271624)</f>
        <v>1.02842792</v>
      </c>
      <c r="AI2738" s="82">
        <f>IFERROR(__xludf.DUMMYFUNCTION("""COMPUTED_VALUE"""),0.9517765994035713)</f>
        <v>0.9517765994</v>
      </c>
      <c r="AJ2738" s="82">
        <f>IFERROR(__xludf.DUMMYFUNCTION("""COMPUTED_VALUE"""),0.9815739235486297)</f>
        <v>0.9815739235</v>
      </c>
      <c r="AK2738" s="82">
        <f>IFERROR(__xludf.DUMMYFUNCTION("""COMPUTED_VALUE"""),0.9741552989217167)</f>
        <v>0.9741552989</v>
      </c>
      <c r="AL2738" s="82">
        <f>IFERROR(__xludf.DUMMYFUNCTION("""COMPUTED_VALUE"""),0.7986204866220493)</f>
        <v>0.7986204866</v>
      </c>
      <c r="AM2738" s="82">
        <f>IFERROR(__xludf.DUMMYFUNCTION("""COMPUTED_VALUE"""),1.1440068679135609)</f>
        <v>1.144006868</v>
      </c>
      <c r="AN2738" s="82">
        <f>IFERROR(__xludf.DUMMYFUNCTION("""COMPUTED_VALUE"""),1.1786303026685503)</f>
        <v>1.178630303</v>
      </c>
      <c r="AO2738" s="82">
        <f>IFERROR(__xludf.DUMMYFUNCTION("""COMPUTED_VALUE"""),0.9684264557974205)</f>
        <v>0.9684264558</v>
      </c>
      <c r="AP2738" s="82">
        <f>IFERROR(__xludf.DUMMYFUNCTION("""COMPUTED_VALUE"""),0.6948660628927767)</f>
        <v>0.6948660629</v>
      </c>
      <c r="AQ2738" s="82">
        <f>IFERROR(__xludf.DUMMYFUNCTION("""COMPUTED_VALUE"""),1.6108507453449716)</f>
        <v>1.610850745</v>
      </c>
      <c r="AR2738" s="82">
        <f>IFERROR(__xludf.DUMMYFUNCTION("""COMPUTED_VALUE"""),1.0067957723758831)</f>
        <v>1.006795772</v>
      </c>
      <c r="AS2738" s="82">
        <f>IFERROR(__xludf.DUMMYFUNCTION("""COMPUTED_VALUE"""),60.0)</f>
        <v>60</v>
      </c>
      <c r="AT2738" s="82">
        <f>IFERROR(__xludf.DUMMYFUNCTION("""COMPUTED_VALUE"""),0.33866571563997877)</f>
        <v>0.3386657156</v>
      </c>
      <c r="AU2738" s="82">
        <f>IFERROR(__xludf.DUMMYFUNCTION("""COMPUTED_VALUE"""),1.9546396603886573)</f>
        <v>1.95463966</v>
      </c>
      <c r="AV2738" s="82">
        <f>IFERROR(__xludf.DUMMYFUNCTION("""COMPUTED_VALUE"""),49.798864116502116)</f>
        <v>49.79886412</v>
      </c>
      <c r="AW2738" s="82">
        <f t="shared" si="1"/>
        <v>-2.012921465</v>
      </c>
      <c r="AX2738" s="83">
        <f t="array" ref="AX2738">IFERROR(DGET('SBV Import'!A:G,"SBV",{"RSC ID","Tier";B2738,A2738}))</f>
        <v>50.68639279</v>
      </c>
      <c r="AY2738" s="82">
        <f t="shared" si="2"/>
        <v>2.044788509</v>
      </c>
      <c r="AZ2738" s="82">
        <v>4.057709973868462</v>
      </c>
      <c r="BA2738" s="84">
        <v>2700.0</v>
      </c>
      <c r="BB2738" s="84" t="b">
        <f>IFERROR(__xludf.DUMMYFUNCTION("iferror(if(A2738="""",,E2738&gt;=FILTER(Constants!$F$2:$F$10,Constants!$A$2:$A$10=A2738)))"),TRUE)</f>
        <v>1</v>
      </c>
    </row>
    <row r="2739">
      <c r="A2739" s="89" t="str">
        <f>IFERROR(__xludf.DUMMYFUNCTION("""COMPUTED_VALUE"""),"Prospect")</f>
        <v>Prospect</v>
      </c>
      <c r="B2739" s="87" t="str">
        <f>IFERROR(__xludf.DUMMYFUNCTION("""COMPUTED_VALUE"""),"RSC006495")</f>
        <v>RSC006495</v>
      </c>
      <c r="C2739" s="73" t="str">
        <f>IFERROR(__xludf.DUMMYFUNCTION("""COMPUTED_VALUE"""),"Hype.56")</f>
        <v>Hype.56</v>
      </c>
      <c r="D2739" s="73" t="str">
        <f>IFERROR(__xludf.DUMMYFUNCTION("""COMPUTED_VALUE"""),"Prism Proteges")</f>
        <v>Prism Proteges</v>
      </c>
      <c r="E2739" s="82">
        <f>IFERROR(__xludf.DUMMYFUNCTION("""COMPUTED_VALUE"""),29.0)</f>
        <v>29</v>
      </c>
      <c r="F2739" s="82">
        <f>IFERROR(__xludf.DUMMYFUNCTION("""COMPUTED_VALUE"""),12.0)</f>
        <v>12</v>
      </c>
      <c r="G2739" s="86">
        <f>IFERROR(__xludf.DUMMYFUNCTION("""COMPUTED_VALUE"""),17.0)</f>
        <v>17</v>
      </c>
      <c r="H2739" s="86">
        <f>IFERROR(__xludf.DUMMYFUNCTION("""COMPUTED_VALUE"""),0.41379310344827586)</f>
        <v>0.4137931034</v>
      </c>
      <c r="I2739" s="86">
        <f>IFERROR(__xludf.DUMMYFUNCTION("""COMPUTED_VALUE"""),0.2608695652173913)</f>
        <v>0.2608695652</v>
      </c>
      <c r="J2739" s="82">
        <f>IFERROR(__xludf.DUMMYFUNCTION("""COMPUTED_VALUE"""),298.2413793103448)</f>
        <v>298.2413793</v>
      </c>
      <c r="K2739" s="82">
        <f>IFERROR(__xludf.DUMMYFUNCTION("""COMPUTED_VALUE"""),0.6206896551724138)</f>
        <v>0.6206896552</v>
      </c>
      <c r="L2739" s="82">
        <f>IFERROR(__xludf.DUMMYFUNCTION("""COMPUTED_VALUE"""),0.5517241379310345)</f>
        <v>0.5517241379</v>
      </c>
      <c r="M2739" s="82">
        <f>IFERROR(__xludf.DUMMYFUNCTION("""COMPUTED_VALUE"""),1.103448275862069)</f>
        <v>1.103448276</v>
      </c>
      <c r="N2739" s="82">
        <f>IFERROR(__xludf.DUMMYFUNCTION("""COMPUTED_VALUE"""),2.3793103448275863)</f>
        <v>2.379310345</v>
      </c>
      <c r="O2739" s="82">
        <f>IFERROR(__xludf.DUMMYFUNCTION("""COMPUTED_VALUE"""),326.36781609195407)</f>
        <v>326.3678161</v>
      </c>
      <c r="P2739" s="82">
        <f>IFERROR(__xludf.DUMMYFUNCTION("""COMPUTED_VALUE"""),0.7471264367816093)</f>
        <v>0.7471264368</v>
      </c>
      <c r="Q2739" s="82">
        <f>IFERROR(__xludf.DUMMYFUNCTION("""COMPUTED_VALUE"""),0.4827586206896553)</f>
        <v>0.4827586207</v>
      </c>
      <c r="R2739" s="82">
        <f>IFERROR(__xludf.DUMMYFUNCTION("""COMPUTED_VALUE"""),1.436781609195402)</f>
        <v>1.436781609</v>
      </c>
      <c r="S2739" s="82">
        <f>IFERROR(__xludf.DUMMYFUNCTION("""COMPUTED_VALUE"""),2.1839080459770113)</f>
        <v>2.183908046</v>
      </c>
      <c r="T2739" s="82">
        <f>IFERROR(__xludf.DUMMYFUNCTION("""COMPUTED_VALUE"""),336.3114441395093)</f>
        <v>336.3114441</v>
      </c>
      <c r="U2739" s="82">
        <f>IFERROR(__xludf.DUMMYFUNCTION("""COMPUTED_VALUE"""),0.8012927991331528)</f>
        <v>0.8012927991</v>
      </c>
      <c r="V2739" s="82">
        <f>IFERROR(__xludf.DUMMYFUNCTION("""COMPUTED_VALUE"""),0.5382177448909077)</f>
        <v>0.5382177449</v>
      </c>
      <c r="W2739" s="82">
        <f>IFERROR(__xludf.DUMMYFUNCTION("""COMPUTED_VALUE"""),1.2333118235678646)</f>
        <v>1.233311824</v>
      </c>
      <c r="X2739" s="82">
        <f>IFERROR(__xludf.DUMMYFUNCTION("""COMPUTED_VALUE"""),2.38083378369104)</f>
        <v>2.380833784</v>
      </c>
      <c r="Y2739" s="82">
        <f>IFERROR(__xludf.DUMMYFUNCTION("""COMPUTED_VALUE"""),331.4921288937761)</f>
        <v>331.4921289</v>
      </c>
      <c r="Z2739" s="82">
        <f>IFERROR(__xludf.DUMMYFUNCTION("""COMPUTED_VALUE"""),0.7814639524225458)</f>
        <v>0.7814639524</v>
      </c>
      <c r="AA2739" s="82">
        <f>IFERROR(__xludf.DUMMYFUNCTION("""COMPUTED_VALUE"""),0.5252832183676119)</f>
        <v>0.5252832184</v>
      </c>
      <c r="AB2739" s="82">
        <f>IFERROR(__xludf.DUMMYFUNCTION("""COMPUTED_VALUE"""),1.1558344004730103)</f>
        <v>1.1558344</v>
      </c>
      <c r="AC2739" s="82">
        <f>IFERROR(__xludf.DUMMYFUNCTION("""COMPUTED_VALUE"""),2.4866931584614864)</f>
        <v>2.486693158</v>
      </c>
      <c r="AD2739" s="82">
        <f>IFERROR(__xludf.DUMMYFUNCTION("""COMPUTED_VALUE"""),0.8996936980241658)</f>
        <v>0.899693698</v>
      </c>
      <c r="AE2739" s="82">
        <f>IFERROR(__xludf.DUMMYFUNCTION("""COMPUTED_VALUE"""),0.7942652418557118)</f>
        <v>0.7942652419</v>
      </c>
      <c r="AF2739" s="82">
        <f>IFERROR(__xludf.DUMMYFUNCTION("""COMPUTED_VALUE"""),1.0503365016030615)</f>
        <v>1.050336502</v>
      </c>
      <c r="AG2739" s="82">
        <f>IFERROR(__xludf.DUMMYFUNCTION("""COMPUTED_VALUE"""),0.9546767905597003)</f>
        <v>0.9546767906</v>
      </c>
      <c r="AH2739" s="82">
        <f>IFERROR(__xludf.DUMMYFUNCTION("""COMPUTED_VALUE"""),0.9568170229332446)</f>
        <v>0.9568170229</v>
      </c>
      <c r="AI2739" s="82">
        <f>IFERROR(__xludf.DUMMYFUNCTION("""COMPUTED_VALUE"""),0.9704332748087204)</f>
        <v>0.9704332748</v>
      </c>
      <c r="AJ2739" s="82">
        <f>IFERROR(__xludf.DUMMYFUNCTION("""COMPUTED_VALUE"""),0.932401286508326)</f>
        <v>0.9324012865</v>
      </c>
      <c r="AK2739" s="82">
        <f>IFERROR(__xludf.DUMMYFUNCTION("""COMPUTED_VALUE"""),0.8969578303062202)</f>
        <v>0.8969578303</v>
      </c>
      <c r="AL2739" s="82">
        <f>IFERROR(__xludf.DUMMYFUNCTION("""COMPUTED_VALUE"""),1.1649783791409027)</f>
        <v>1.164978379</v>
      </c>
      <c r="AM2739" s="82">
        <f>IFERROR(__xludf.DUMMYFUNCTION("""COMPUTED_VALUE"""),0.9172870701587861)</f>
        <v>0.9172870702</v>
      </c>
      <c r="AN2739" s="82">
        <f>IFERROR(__xludf.DUMMYFUNCTION("""COMPUTED_VALUE"""),0.9212333546064633)</f>
        <v>0.9212333546</v>
      </c>
      <c r="AO2739" s="82">
        <f>IFERROR(__xludf.DUMMYFUNCTION("""COMPUTED_VALUE"""),0.8415291960722413)</f>
        <v>0.8415291961</v>
      </c>
      <c r="AP2739" s="82">
        <f>IFERROR(__xludf.DUMMYFUNCTION("""COMPUTED_VALUE"""),1.1181752736205604)</f>
        <v>1.118175274</v>
      </c>
      <c r="AQ2739" s="82">
        <f>IFERROR(__xludf.DUMMYFUNCTION("""COMPUTED_VALUE"""),0.9148848046584017)</f>
        <v>0.9148848047</v>
      </c>
      <c r="AR2739" s="82">
        <f>IFERROR(__xludf.DUMMYFUNCTION("""COMPUTED_VALUE"""),1.0101419984577307)</f>
        <v>1.010141998</v>
      </c>
      <c r="AS2739" s="82">
        <f>IFERROR(__xludf.DUMMYFUNCTION("""COMPUTED_VALUE"""),59.0)</f>
        <v>59</v>
      </c>
      <c r="AT2739" s="82">
        <f>IFERROR(__xludf.DUMMYFUNCTION("""COMPUTED_VALUE"""),0.4633256865845878)</f>
        <v>0.4633256866</v>
      </c>
      <c r="AU2739" s="82">
        <f>IFERROR(__xludf.DUMMYFUNCTION("""COMPUTED_VALUE"""),1.9322343931507293)</f>
        <v>1.932234393</v>
      </c>
      <c r="AV2739" s="82">
        <f>IFERROR(__xludf.DUMMYFUNCTION("""COMPUTED_VALUE"""),49.08610339113761)</f>
        <v>49.08610339</v>
      </c>
      <c r="AW2739" s="82">
        <f t="shared" si="1"/>
        <v>-2.060073526</v>
      </c>
      <c r="AX2739" s="83">
        <f t="array" ref="AX2739">IFERROR(DGET('SBV Import'!A:G,"SBV",{"RSC ID","Tier";B2739,A2739}))</f>
        <v>43.92030338</v>
      </c>
      <c r="AY2739" s="82">
        <f t="shared" si="2"/>
        <v>-2.475676885</v>
      </c>
      <c r="AZ2739" s="82">
        <v>0.415603359614678</v>
      </c>
      <c r="BA2739" s="84">
        <v>2700.0</v>
      </c>
      <c r="BB2739" s="84" t="b">
        <f>IFERROR(__xludf.DUMMYFUNCTION("iferror(if(A2739="""",,E2739&gt;=FILTER(Constants!$F$2:$F$10,Constants!$A$2:$A$10=A2739)))"),TRUE)</f>
        <v>1</v>
      </c>
    </row>
    <row r="2740">
      <c r="A2740" s="89" t="str">
        <f>IFERROR(__xludf.DUMMYFUNCTION("""COMPUTED_VALUE"""),"Prospect")</f>
        <v>Prospect</v>
      </c>
      <c r="B2740" s="87" t="str">
        <f>IFERROR(__xludf.DUMMYFUNCTION("""COMPUTED_VALUE"""),"RSC003374")</f>
        <v>RSC003374</v>
      </c>
      <c r="C2740" s="73" t="str">
        <f>IFERROR(__xludf.DUMMYFUNCTION("""COMPUTED_VALUE"""),"Raisonbran")</f>
        <v>Raisonbran</v>
      </c>
      <c r="D2740" s="73" t="str">
        <f>IFERROR(__xludf.DUMMYFUNCTION("""COMPUTED_VALUE"""),"Skeletons")</f>
        <v>Skeletons</v>
      </c>
      <c r="E2740" s="82">
        <f>IFERROR(__xludf.DUMMYFUNCTION("""COMPUTED_VALUE"""),28.0)</f>
        <v>28</v>
      </c>
      <c r="F2740" s="82">
        <f>IFERROR(__xludf.DUMMYFUNCTION("""COMPUTED_VALUE"""),12.0)</f>
        <v>12</v>
      </c>
      <c r="G2740" s="86">
        <f>IFERROR(__xludf.DUMMYFUNCTION("""COMPUTED_VALUE"""),16.0)</f>
        <v>16</v>
      </c>
      <c r="H2740" s="86">
        <f>IFERROR(__xludf.DUMMYFUNCTION("""COMPUTED_VALUE"""),0.42857142857142855)</f>
        <v>0.4285714286</v>
      </c>
      <c r="I2740" s="86">
        <f>IFERROR(__xludf.DUMMYFUNCTION("""COMPUTED_VALUE"""),0.40625000000000006)</f>
        <v>0.40625</v>
      </c>
      <c r="J2740" s="82">
        <f>IFERROR(__xludf.DUMMYFUNCTION("""COMPUTED_VALUE"""),325.67857142857144)</f>
        <v>325.6785714</v>
      </c>
      <c r="K2740" s="82">
        <f>IFERROR(__xludf.DUMMYFUNCTION("""COMPUTED_VALUE"""),0.9285714285714286)</f>
        <v>0.9285714286</v>
      </c>
      <c r="L2740" s="82">
        <f>IFERROR(__xludf.DUMMYFUNCTION("""COMPUTED_VALUE"""),0.25)</f>
        <v>0.25</v>
      </c>
      <c r="M2740" s="82">
        <f>IFERROR(__xludf.DUMMYFUNCTION("""COMPUTED_VALUE"""),1.25)</f>
        <v>1.25</v>
      </c>
      <c r="N2740" s="82">
        <f>IFERROR(__xludf.DUMMYFUNCTION("""COMPUTED_VALUE"""),2.2857142857142856)</f>
        <v>2.285714286</v>
      </c>
      <c r="O2740" s="82">
        <f>IFERROR(__xludf.DUMMYFUNCTION("""COMPUTED_VALUE"""),318.89285714285717)</f>
        <v>318.8928571</v>
      </c>
      <c r="P2740" s="82">
        <f>IFERROR(__xludf.DUMMYFUNCTION("""COMPUTED_VALUE"""),0.7976190476190476)</f>
        <v>0.7976190476</v>
      </c>
      <c r="Q2740" s="82">
        <f>IFERROR(__xludf.DUMMYFUNCTION("""COMPUTED_VALUE"""),0.4880952380952381)</f>
        <v>0.4880952381</v>
      </c>
      <c r="R2740" s="82">
        <f>IFERROR(__xludf.DUMMYFUNCTION("""COMPUTED_VALUE"""),1.0476190476190474)</f>
        <v>1.047619048</v>
      </c>
      <c r="S2740" s="82">
        <f>IFERROR(__xludf.DUMMYFUNCTION("""COMPUTED_VALUE"""),2.5714285714285725)</f>
        <v>2.571428571</v>
      </c>
      <c r="T2740" s="82">
        <f>IFERROR(__xludf.DUMMYFUNCTION("""COMPUTED_VALUE"""),330.9682127680341)</f>
        <v>330.9682128</v>
      </c>
      <c r="U2740" s="82">
        <f>IFERROR(__xludf.DUMMYFUNCTION("""COMPUTED_VALUE"""),0.7720177136516213)</f>
        <v>0.7720177137</v>
      </c>
      <c r="V2740" s="82">
        <f>IFERROR(__xludf.DUMMYFUNCTION("""COMPUTED_VALUE"""),0.529567225192898)</f>
        <v>0.5295672252</v>
      </c>
      <c r="W2740" s="82">
        <f>IFERROR(__xludf.DUMMYFUNCTION("""COMPUTED_VALUE"""),1.204134811598033)</f>
        <v>1.204134812</v>
      </c>
      <c r="X2740" s="82">
        <f>IFERROR(__xludf.DUMMYFUNCTION("""COMPUTED_VALUE"""),2.359570965966518)</f>
        <v>2.359570966</v>
      </c>
      <c r="Y2740" s="82">
        <f>IFERROR(__xludf.DUMMYFUNCTION("""COMPUTED_VALUE"""),334.0445276396334)</f>
        <v>334.0445276</v>
      </c>
      <c r="Z2740" s="82">
        <f>IFERROR(__xludf.DUMMYFUNCTION("""COMPUTED_VALUE"""),0.804277618260209)</f>
        <v>0.8042776183</v>
      </c>
      <c r="AA2740" s="82">
        <f>IFERROR(__xludf.DUMMYFUNCTION("""COMPUTED_VALUE"""),0.5292107672271275)</f>
        <v>0.5292107672</v>
      </c>
      <c r="AB2740" s="82">
        <f>IFERROR(__xludf.DUMMYFUNCTION("""COMPUTED_VALUE"""),1.1866112016977086)</f>
        <v>1.186611202</v>
      </c>
      <c r="AC2740" s="82">
        <f>IFERROR(__xludf.DUMMYFUNCTION("""COMPUTED_VALUE"""),2.4205690707559535)</f>
        <v>2.420569071</v>
      </c>
      <c r="AD2740" s="82">
        <f>IFERROR(__xludf.DUMMYFUNCTION("""COMPUTED_VALUE"""),0.9749555657439565)</f>
        <v>0.9749555657</v>
      </c>
      <c r="AE2740" s="82">
        <f>IFERROR(__xludf.DUMMYFUNCTION("""COMPUTED_VALUE"""),1.1545409290141486)</f>
        <v>1.154540929</v>
      </c>
      <c r="AF2740" s="82">
        <f>IFERROR(__xludf.DUMMYFUNCTION("""COMPUTED_VALUE"""),0.47240157510382746)</f>
        <v>0.4724015751</v>
      </c>
      <c r="AG2740" s="82">
        <f>IFERROR(__xludf.DUMMYFUNCTION("""COMPUTED_VALUE"""),1.0534200235187396)</f>
        <v>1.053420024</v>
      </c>
      <c r="AH2740" s="82">
        <f>IFERROR(__xludf.DUMMYFUNCTION("""COMPUTED_VALUE"""),0.9442879830735207)</f>
        <v>0.9442879831</v>
      </c>
      <c r="AI2740" s="82">
        <f>IFERROR(__xludf.DUMMYFUNCTION("""COMPUTED_VALUE"""),0.9635150592735617)</f>
        <v>0.9635150593</v>
      </c>
      <c r="AJ2740" s="82">
        <f>IFERROR(__xludf.DUMMYFUNCTION("""COMPUTED_VALUE"""),1.0331615888012888)</f>
        <v>1.033161589</v>
      </c>
      <c r="AK2740" s="82">
        <f>IFERROR(__xludf.DUMMYFUNCTION("""COMPUTED_VALUE"""),0.9216870207884306)</f>
        <v>0.9216870208</v>
      </c>
      <c r="AL2740" s="82">
        <f>IFERROR(__xludf.DUMMYFUNCTION("""COMPUTED_VALUE"""),0.8700180723358789)</f>
        <v>0.8700180723</v>
      </c>
      <c r="AM2740" s="82">
        <f>IFERROR(__xludf.DUMMYFUNCTION("""COMPUTED_VALUE"""),1.08978649445929)</f>
        <v>1.089786494</v>
      </c>
      <c r="AN2740" s="82">
        <f>IFERROR(__xludf.DUMMYFUNCTION("""COMPUTED_VALUE"""),1.0059836886966034)</f>
        <v>1.005983689</v>
      </c>
      <c r="AO2740" s="82">
        <f>IFERROR(__xludf.DUMMYFUNCTION("""COMPUTED_VALUE"""),1.2589543925366466)</f>
        <v>1.258954393</v>
      </c>
      <c r="AP2740" s="82">
        <f>IFERROR(__xludf.DUMMYFUNCTION("""COMPUTED_VALUE"""),0.5066731708593164)</f>
        <v>0.5066731709</v>
      </c>
      <c r="AQ2740" s="82">
        <f>IFERROR(__xludf.DUMMYFUNCTION("""COMPUTED_VALUE"""),1.0363929427770957)</f>
        <v>1.036392943</v>
      </c>
      <c r="AR2740" s="82">
        <f>IFERROR(__xludf.DUMMYFUNCTION("""COMPUTED_VALUE"""),0.970405563735791)</f>
        <v>0.9704055637</v>
      </c>
      <c r="AS2740" s="82">
        <f>IFERROR(__xludf.DUMMYFUNCTION("""COMPUTED_VALUE"""),61.0)</f>
        <v>61</v>
      </c>
      <c r="AT2740" s="82">
        <f>IFERROR(__xludf.DUMMYFUNCTION("""COMPUTED_VALUE"""),0.4637837611505417)</f>
        <v>0.4637837612</v>
      </c>
      <c r="AU2740" s="82">
        <f>IFERROR(__xludf.DUMMYFUNCTION("""COMPUTED_VALUE"""),1.9171120133269433)</f>
        <v>1.917112013</v>
      </c>
      <c r="AV2740" s="82">
        <f>IFERROR(__xludf.DUMMYFUNCTION("""COMPUTED_VALUE"""),48.60502729871801)</f>
        <v>48.6050273</v>
      </c>
      <c r="AW2740" s="82">
        <f t="shared" si="1"/>
        <v>-2.093140558</v>
      </c>
      <c r="AX2740" s="83">
        <f t="array" ref="AX2740">IFERROR(DGET('SBV Import'!A:G,"SBV",{"RSC ID","Tier";B2740,A2740}))</f>
        <v>41.87540321</v>
      </c>
      <c r="AY2740" s="82">
        <f t="shared" si="2"/>
        <v>-2.683867472</v>
      </c>
      <c r="AZ2740" s="82">
        <v>0.5907269131879422</v>
      </c>
      <c r="BA2740" s="84">
        <v>2700.0</v>
      </c>
      <c r="BB2740" s="84" t="b">
        <f>IFERROR(__xludf.DUMMYFUNCTION("iferror(if(A2740="""",,E2740&gt;=FILTER(Constants!$F$2:$F$10,Constants!$A$2:$A$10=A2740)))"),TRUE)</f>
        <v>1</v>
      </c>
    </row>
    <row r="2741">
      <c r="A2741" s="89" t="str">
        <f>IFERROR(__xludf.DUMMYFUNCTION("""COMPUTED_VALUE"""),"Prospect")</f>
        <v>Prospect</v>
      </c>
      <c r="B2741" s="87" t="str">
        <f>IFERROR(__xludf.DUMMYFUNCTION("""COMPUTED_VALUE"""),"RSC006966")</f>
        <v>RSC006966</v>
      </c>
      <c r="C2741" s="73" t="str">
        <f>IFERROR(__xludf.DUMMYFUNCTION("""COMPUTED_VALUE"""),"Pivot97")</f>
        <v>Pivot97</v>
      </c>
      <c r="D2741" s="73" t="str">
        <f>IFERROR(__xludf.DUMMYFUNCTION("""COMPUTED_VALUE"""),"Prism Proteges")</f>
        <v>Prism Proteges</v>
      </c>
      <c r="E2741" s="82">
        <f>IFERROR(__xludf.DUMMYFUNCTION("""COMPUTED_VALUE"""),22.0)</f>
        <v>22</v>
      </c>
      <c r="F2741" s="82">
        <f>IFERROR(__xludf.DUMMYFUNCTION("""COMPUTED_VALUE"""),11.0)</f>
        <v>11</v>
      </c>
      <c r="G2741" s="86">
        <f>IFERROR(__xludf.DUMMYFUNCTION("""COMPUTED_VALUE"""),11.0)</f>
        <v>11</v>
      </c>
      <c r="H2741" s="86">
        <f>IFERROR(__xludf.DUMMYFUNCTION("""COMPUTED_VALUE"""),0.5)</f>
        <v>0.5</v>
      </c>
      <c r="I2741" s="86">
        <f>IFERROR(__xludf.DUMMYFUNCTION("""COMPUTED_VALUE"""),0.33999999999999997)</f>
        <v>0.34</v>
      </c>
      <c r="J2741" s="82">
        <f>IFERROR(__xludf.DUMMYFUNCTION("""COMPUTED_VALUE"""),318.6363636363636)</f>
        <v>318.6363636</v>
      </c>
      <c r="K2741" s="82">
        <f>IFERROR(__xludf.DUMMYFUNCTION("""COMPUTED_VALUE"""),0.7727272727272727)</f>
        <v>0.7727272727</v>
      </c>
      <c r="L2741" s="82">
        <f>IFERROR(__xludf.DUMMYFUNCTION("""COMPUTED_VALUE"""),0.45454545454545453)</f>
        <v>0.4545454545</v>
      </c>
      <c r="M2741" s="82">
        <f>IFERROR(__xludf.DUMMYFUNCTION("""COMPUTED_VALUE"""),1.3181818181818181)</f>
        <v>1.318181818</v>
      </c>
      <c r="N2741" s="82">
        <f>IFERROR(__xludf.DUMMYFUNCTION("""COMPUTED_VALUE"""),2.272727272727273)</f>
        <v>2.272727273</v>
      </c>
      <c r="O2741" s="82">
        <f>IFERROR(__xludf.DUMMYFUNCTION("""COMPUTED_VALUE"""),352.1212121212121)</f>
        <v>352.1212121</v>
      </c>
      <c r="P2741" s="82">
        <f>IFERROR(__xludf.DUMMYFUNCTION("""COMPUTED_VALUE"""),0.7575757575757577)</f>
        <v>0.7575757576</v>
      </c>
      <c r="Q2741" s="82">
        <f>IFERROR(__xludf.DUMMYFUNCTION("""COMPUTED_VALUE"""),0.5454545454545454)</f>
        <v>0.5454545455</v>
      </c>
      <c r="R2741" s="82">
        <f>IFERROR(__xludf.DUMMYFUNCTION("""COMPUTED_VALUE"""),1.3484848484848482)</f>
        <v>1.348484848</v>
      </c>
      <c r="S2741" s="82">
        <f>IFERROR(__xludf.DUMMYFUNCTION("""COMPUTED_VALUE"""),2.606060606060606)</f>
        <v>2.606060606</v>
      </c>
      <c r="T2741" s="82">
        <f>IFERROR(__xludf.DUMMYFUNCTION("""COMPUTED_VALUE"""),340.43835114766995)</f>
        <v>340.4383511</v>
      </c>
      <c r="U2741" s="82">
        <f>IFERROR(__xludf.DUMMYFUNCTION("""COMPUTED_VALUE"""),0.8113750702031886)</f>
        <v>0.8113750702</v>
      </c>
      <c r="V2741" s="82">
        <f>IFERROR(__xludf.DUMMYFUNCTION("""COMPUTED_VALUE"""),0.5137690292346462)</f>
        <v>0.5137690292</v>
      </c>
      <c r="W2741" s="82">
        <f>IFERROR(__xludf.DUMMYFUNCTION("""COMPUTED_VALUE"""),1.2354643876961702)</f>
        <v>1.235464388</v>
      </c>
      <c r="X2741" s="82">
        <f>IFERROR(__xludf.DUMMYFUNCTION("""COMPUTED_VALUE"""),2.504928681888883)</f>
        <v>2.504928682</v>
      </c>
      <c r="Y2741" s="82">
        <f>IFERROR(__xludf.DUMMYFUNCTION("""COMPUTED_VALUE"""),339.2257741438779)</f>
        <v>339.2257741</v>
      </c>
      <c r="Z2741" s="82">
        <f>IFERROR(__xludf.DUMMYFUNCTION("""COMPUTED_VALUE"""),0.8106457964830492)</f>
        <v>0.8106457965</v>
      </c>
      <c r="AA2741" s="82">
        <f>IFERROR(__xludf.DUMMYFUNCTION("""COMPUTED_VALUE"""),0.5334603159916061)</f>
        <v>0.533460316</v>
      </c>
      <c r="AB2741" s="82">
        <f>IFERROR(__xludf.DUMMYFUNCTION("""COMPUTED_VALUE"""),1.2149716634009244)</f>
        <v>1.214971663</v>
      </c>
      <c r="AC2741" s="82">
        <f>IFERROR(__xludf.DUMMYFUNCTION("""COMPUTED_VALUE"""),2.5257870966140015)</f>
        <v>2.525787097</v>
      </c>
      <c r="AD2741" s="82">
        <f>IFERROR(__xludf.DUMMYFUNCTION("""COMPUTED_VALUE"""),0.939304698885346)</f>
        <v>0.9393046989</v>
      </c>
      <c r="AE2741" s="82">
        <f>IFERROR(__xludf.DUMMYFUNCTION("""COMPUTED_VALUE"""),0.9532243010198975)</f>
        <v>0.953224301</v>
      </c>
      <c r="AF2741" s="82">
        <f>IFERROR(__xludf.DUMMYFUNCTION("""COMPUTED_VALUE"""),0.852069855843985)</f>
        <v>0.8520698558</v>
      </c>
      <c r="AG2741" s="82">
        <f>IFERROR(__xludf.DUMMYFUNCTION("""COMPUTED_VALUE"""),1.0849486106465973)</f>
        <v>1.084948611</v>
      </c>
      <c r="AH2741" s="82">
        <f>IFERROR(__xludf.DUMMYFUNCTION("""COMPUTED_VALUE"""),0.8998095190897232)</f>
        <v>0.8998095191</v>
      </c>
      <c r="AI2741" s="82">
        <f>IFERROR(__xludf.DUMMYFUNCTION("""COMPUTED_VALUE"""),1.0343171118475856)</f>
        <v>1.034317112</v>
      </c>
      <c r="AJ2741" s="82">
        <f>IFERROR(__xludf.DUMMYFUNCTION("""COMPUTED_VALUE"""),0.9336936583299777)</f>
        <v>0.9336936583</v>
      </c>
      <c r="AK2741" s="82">
        <f>IFERROR(__xludf.DUMMYFUNCTION("""COMPUTED_VALUE"""),1.0616726863958708)</f>
        <v>1.061672686</v>
      </c>
      <c r="AL2741" s="82">
        <f>IFERROR(__xludf.DUMMYFUNCTION("""COMPUTED_VALUE"""),1.0914801445628333)</f>
        <v>1.091480145</v>
      </c>
      <c r="AM2741" s="82">
        <f>IFERROR(__xludf.DUMMYFUNCTION("""COMPUTED_VALUE"""),1.0403731750540148)</f>
        <v>1.040373175</v>
      </c>
      <c r="AN2741" s="82">
        <f>IFERROR(__xludf.DUMMYFUNCTION("""COMPUTED_VALUE"""),0.9842311179324352)</f>
        <v>0.9842311179</v>
      </c>
      <c r="AO2741" s="82">
        <f>IFERROR(__xludf.DUMMYFUNCTION("""COMPUTED_VALUE"""),1.047661347635391)</f>
        <v>1.047661348</v>
      </c>
      <c r="AP2741" s="82">
        <f>IFERROR(__xludf.DUMMYFUNCTION("""COMPUTED_VALUE"""),0.9212239470169389)</f>
        <v>0.921223947</v>
      </c>
      <c r="AQ2741" s="82">
        <f>IFERROR(__xludf.DUMMYFUNCTION("""COMPUTED_VALUE"""),1.0929234669285737)</f>
        <v>1.092923467</v>
      </c>
      <c r="AR2741" s="82">
        <f>IFERROR(__xludf.DUMMYFUNCTION("""COMPUTED_VALUE"""),0.9648918957600195)</f>
        <v>0.9648918958</v>
      </c>
      <c r="AS2741" s="82">
        <f>IFERROR(__xludf.DUMMYFUNCTION("""COMPUTED_VALUE"""),51.0)</f>
        <v>51</v>
      </c>
      <c r="AT2741" s="82">
        <f>IFERROR(__xludf.DUMMYFUNCTION("""COMPUTED_VALUE"""),0.5076664394511384)</f>
        <v>0.5076664395</v>
      </c>
      <c r="AU2741" s="82">
        <f>IFERROR(__xludf.DUMMYFUNCTION("""COMPUTED_VALUE"""),1.8930360859727031)</f>
        <v>1.893036086</v>
      </c>
      <c r="AV2741" s="82">
        <f>IFERROR(__xludf.DUMMYFUNCTION("""COMPUTED_VALUE"""),47.83911920833014)</f>
        <v>47.83911921</v>
      </c>
      <c r="AW2741" s="82">
        <f t="shared" si="1"/>
        <v>-2.147949838</v>
      </c>
      <c r="AX2741" s="83">
        <f t="array" ref="AX2741">IFERROR(DGET('SBV Import'!A:G,"SBV",{"RSC ID","Tier";B2741,A2741}))</f>
        <v>35.91816914</v>
      </c>
      <c r="AY2741" s="82">
        <f t="shared" si="2"/>
        <v>-3.488886252</v>
      </c>
      <c r="AZ2741" s="82">
        <v>1.3409364141037452</v>
      </c>
      <c r="BA2741" s="84">
        <v>2700.0</v>
      </c>
      <c r="BB2741" s="84" t="b">
        <f>IFERROR(__xludf.DUMMYFUNCTION("iferror(if(A2741="""",,E2741&gt;=FILTER(Constants!$F$2:$F$10,Constants!$A$2:$A$10=A2741)))"),TRUE)</f>
        <v>1</v>
      </c>
    </row>
    <row r="2742">
      <c r="A2742" s="89" t="str">
        <f>IFERROR(__xludf.DUMMYFUNCTION("""COMPUTED_VALUE"""),"Prospect")</f>
        <v>Prospect</v>
      </c>
      <c r="B2742" s="87" t="str">
        <f>IFERROR(__xludf.DUMMYFUNCTION("""COMPUTED_VALUE"""),"RSC007866")</f>
        <v>RSC007866</v>
      </c>
      <c r="C2742" s="73" t="str">
        <f>IFERROR(__xludf.DUMMYFUNCTION("""COMPUTED_VALUE"""),"Swzyy GN")</f>
        <v>Swzyy GN</v>
      </c>
      <c r="D2742" s="73" t="str">
        <f>IFERROR(__xludf.DUMMYFUNCTION("""COMPUTED_VALUE"""),"Prism Proteges")</f>
        <v>Prism Proteges</v>
      </c>
      <c r="E2742" s="82">
        <f>IFERROR(__xludf.DUMMYFUNCTION("""COMPUTED_VALUE"""),8.0)</f>
        <v>8</v>
      </c>
      <c r="F2742" s="82">
        <f>IFERROR(__xludf.DUMMYFUNCTION("""COMPUTED_VALUE"""),3.0)</f>
        <v>3</v>
      </c>
      <c r="G2742" s="86">
        <f>IFERROR(__xludf.DUMMYFUNCTION("""COMPUTED_VALUE"""),5.0)</f>
        <v>5</v>
      </c>
      <c r="H2742" s="86">
        <f>IFERROR(__xludf.DUMMYFUNCTION("""COMPUTED_VALUE"""),0.375)</f>
        <v>0.375</v>
      </c>
      <c r="I2742" s="86">
        <f>IFERROR(__xludf.DUMMYFUNCTION("""COMPUTED_VALUE"""),0.17391304347826086)</f>
        <v>0.1739130435</v>
      </c>
      <c r="J2742" s="82">
        <f>IFERROR(__xludf.DUMMYFUNCTION("""COMPUTED_VALUE"""),309.375)</f>
        <v>309.375</v>
      </c>
      <c r="K2742" s="82">
        <f>IFERROR(__xludf.DUMMYFUNCTION("""COMPUTED_VALUE"""),0.5)</f>
        <v>0.5</v>
      </c>
      <c r="L2742" s="82">
        <f>IFERROR(__xludf.DUMMYFUNCTION("""COMPUTED_VALUE"""),0.75)</f>
        <v>0.75</v>
      </c>
      <c r="M2742" s="82">
        <f>IFERROR(__xludf.DUMMYFUNCTION("""COMPUTED_VALUE"""),1.125)</f>
        <v>1.125</v>
      </c>
      <c r="N2742" s="82">
        <f>IFERROR(__xludf.DUMMYFUNCTION("""COMPUTED_VALUE"""),2.875)</f>
        <v>2.875</v>
      </c>
      <c r="O2742" s="82">
        <f>IFERROR(__xludf.DUMMYFUNCTION("""COMPUTED_VALUE"""),363.20833333333337)</f>
        <v>363.2083333</v>
      </c>
      <c r="P2742" s="82">
        <f>IFERROR(__xludf.DUMMYFUNCTION("""COMPUTED_VALUE"""),0.9166666666666666)</f>
        <v>0.9166666667</v>
      </c>
      <c r="Q2742" s="82">
        <f>IFERROR(__xludf.DUMMYFUNCTION("""COMPUTED_VALUE"""),0.5)</f>
        <v>0.5</v>
      </c>
      <c r="R2742" s="82">
        <f>IFERROR(__xludf.DUMMYFUNCTION("""COMPUTED_VALUE"""),1.4583333333333335)</f>
        <v>1.458333333</v>
      </c>
      <c r="S2742" s="82">
        <f>IFERROR(__xludf.DUMMYFUNCTION("""COMPUTED_VALUE"""),2.708333333333333)</f>
        <v>2.708333333</v>
      </c>
      <c r="T2742" s="82">
        <f>IFERROR(__xludf.DUMMYFUNCTION("""COMPUTED_VALUE"""),343.2950457641549)</f>
        <v>343.2950458</v>
      </c>
      <c r="U2742" s="82">
        <f>IFERROR(__xludf.DUMMYFUNCTION("""COMPUTED_VALUE"""),0.8515591741166453)</f>
        <v>0.8515591741</v>
      </c>
      <c r="V2742" s="82">
        <f>IFERROR(__xludf.DUMMYFUNCTION("""COMPUTED_VALUE"""),0.4279214559386973)</f>
        <v>0.4279214559</v>
      </c>
      <c r="W2742" s="82">
        <f>IFERROR(__xludf.DUMMYFUNCTION("""COMPUTED_VALUE"""),1.3441358024691357)</f>
        <v>1.344135802</v>
      </c>
      <c r="X2742" s="82">
        <f>IFERROR(__xludf.DUMMYFUNCTION("""COMPUTED_VALUE"""),2.428267347807578)</f>
        <v>2.428267348</v>
      </c>
      <c r="Y2742" s="82">
        <f>IFERROR(__xludf.DUMMYFUNCTION("""COMPUTED_VALUE"""),342.6269955300127)</f>
        <v>342.6269955</v>
      </c>
      <c r="Z2742" s="82">
        <f>IFERROR(__xludf.DUMMYFUNCTION("""COMPUTED_VALUE"""),0.8759578544061304)</f>
        <v>0.8759578544</v>
      </c>
      <c r="AA2742" s="82">
        <f>IFERROR(__xludf.DUMMYFUNCTION("""COMPUTED_VALUE"""),0.54923194267064)</f>
        <v>0.5492319427</v>
      </c>
      <c r="AB2742" s="82">
        <f>IFERROR(__xludf.DUMMYFUNCTION("""COMPUTED_VALUE"""),1.1063395771250177)</f>
        <v>1.106339577</v>
      </c>
      <c r="AC2742" s="82">
        <f>IFERROR(__xludf.DUMMYFUNCTION("""COMPUTED_VALUE"""),2.833031786575847)</f>
        <v>2.833031787</v>
      </c>
      <c r="AD2742" s="82">
        <f>IFERROR(__xludf.DUMMYFUNCTION("""COMPUTED_VALUE"""),0.9029498668703121)</f>
        <v>0.9029498669</v>
      </c>
      <c r="AE2742" s="82">
        <f>IFERROR(__xludf.DUMMYFUNCTION("""COMPUTED_VALUE"""),0.5708037178786222)</f>
        <v>0.5708037179</v>
      </c>
      <c r="AF2742" s="82">
        <f>IFERROR(__xludf.DUMMYFUNCTION("""COMPUTED_VALUE"""),1.365543300983416)</f>
        <v>1.365543301</v>
      </c>
      <c r="AG2742" s="82">
        <f>IFERROR(__xludf.DUMMYFUNCTION("""COMPUTED_VALUE"""),1.0168668131022431)</f>
        <v>1.016866813</v>
      </c>
      <c r="AH2742" s="82">
        <f>IFERROR(__xludf.DUMMYFUNCTION("""COMPUTED_VALUE"""),1.0148138872366406)</f>
        <v>1.014813887</v>
      </c>
      <c r="AI2742" s="82">
        <f>IFERROR(__xludf.DUMMYFUNCTION("""COMPUTED_VALUE"""),1.0580063354099756)</f>
        <v>1.058006335</v>
      </c>
      <c r="AJ2742" s="82">
        <f>IFERROR(__xludf.DUMMYFUNCTION("""COMPUTED_VALUE"""),1.0764568036244337)</f>
        <v>1.076456804</v>
      </c>
      <c r="AK2742" s="82">
        <f>IFERROR(__xludf.DUMMYFUNCTION("""COMPUTED_VALUE"""),1.1684387241186347)</f>
        <v>1.168438724</v>
      </c>
      <c r="AL2742" s="82">
        <f>IFERROR(__xludf.DUMMYFUNCTION("""COMPUTED_VALUE"""),1.0849598163031)</f>
        <v>1.084959816</v>
      </c>
      <c r="AM2742" s="82">
        <f>IFERROR(__xludf.DUMMYFUNCTION("""COMPUTED_VALUE"""),1.1153357293127628)</f>
        <v>1.115335729</v>
      </c>
      <c r="AN2742" s="82">
        <f>IFERROR(__xludf.DUMMYFUNCTION("""COMPUTED_VALUE"""),0.9556238297329013)</f>
        <v>0.9556238297</v>
      </c>
      <c r="AO2742" s="82">
        <f>IFERROR(__xludf.DUMMYFUNCTION("""COMPUTED_VALUE"""),0.6778985190581943)</f>
        <v>0.6778985191</v>
      </c>
      <c r="AP2742" s="82">
        <f>IFERROR(__xludf.DUMMYFUNCTION("""COMPUTED_VALUE"""),1.5200195125779492)</f>
        <v>1.520019513</v>
      </c>
      <c r="AQ2742" s="82">
        <f>IFERROR(__xludf.DUMMYFUNCTION("""COMPUTED_VALUE"""),0.9327536484993861)</f>
        <v>0.9327536485</v>
      </c>
      <c r="AR2742" s="82">
        <f>IFERROR(__xludf.DUMMYFUNCTION("""COMPUTED_VALUE"""),1.2205882481364245)</f>
        <v>1.220588248</v>
      </c>
      <c r="AS2742" s="82">
        <f>IFERROR(__xludf.DUMMYFUNCTION("""COMPUTED_VALUE"""),19.0)</f>
        <v>19</v>
      </c>
      <c r="AT2742" s="82">
        <f>IFERROR(__xludf.DUMMYFUNCTION("""COMPUTED_VALUE"""),0.441684300805893)</f>
        <v>0.4416843008</v>
      </c>
      <c r="AU2742" s="82">
        <f>IFERROR(__xludf.DUMMYFUNCTION("""COMPUTED_VALUE"""),1.887732471725792)</f>
        <v>1.887732472</v>
      </c>
      <c r="AV2742" s="82">
        <f>IFERROR(__xludf.DUMMYFUNCTION("""COMPUTED_VALUE"""),47.67039959889461)</f>
        <v>47.6703996</v>
      </c>
      <c r="AW2742" s="82">
        <f t="shared" si="1"/>
        <v>-2.160393273</v>
      </c>
      <c r="AX2742" s="83">
        <f t="array" ref="AX2742">IFERROR(DGET('SBV Import'!A:G,"SBV",{"RSC ID","Tier";B2742,A2742}))</f>
        <v>36.62272054</v>
      </c>
      <c r="AY2742" s="82">
        <f t="shared" si="2"/>
        <v>-3.375032936</v>
      </c>
      <c r="AZ2742" s="82">
        <v>1.2146396630821732</v>
      </c>
      <c r="BA2742" s="84">
        <v>2700.0</v>
      </c>
      <c r="BB2742" s="84" t="b">
        <f>IFERROR(__xludf.DUMMYFUNCTION("iferror(if(A2742="""",,E2742&gt;=FILTER(Constants!$F$2:$F$10,Constants!$A$2:$A$10=A2742)))"),TRUE)</f>
        <v>1</v>
      </c>
    </row>
    <row r="2743">
      <c r="A2743" s="89" t="str">
        <f>IFERROR(__xludf.DUMMYFUNCTION("""COMPUTED_VALUE"""),"Prospect")</f>
        <v>Prospect</v>
      </c>
      <c r="B2743" s="87" t="str">
        <f>IFERROR(__xludf.DUMMYFUNCTION("""COMPUTED_VALUE"""),"RSC007141")</f>
        <v>RSC007141</v>
      </c>
      <c r="C2743" s="73" t="str">
        <f>IFERROR(__xludf.DUMMYFUNCTION("""COMPUTED_VALUE"""),"Cuddlingus")</f>
        <v>Cuddlingus</v>
      </c>
      <c r="D2743" s="73" t="str">
        <f>IFERROR(__xludf.DUMMYFUNCTION("""COMPUTED_VALUE"""),"Skeletons")</f>
        <v>Skeletons</v>
      </c>
      <c r="E2743" s="82">
        <f>IFERROR(__xludf.DUMMYFUNCTION("""COMPUTED_VALUE"""),18.0)</f>
        <v>18</v>
      </c>
      <c r="F2743" s="82">
        <f>IFERROR(__xludf.DUMMYFUNCTION("""COMPUTED_VALUE"""),8.0)</f>
        <v>8</v>
      </c>
      <c r="G2743" s="86">
        <f>IFERROR(__xludf.DUMMYFUNCTION("""COMPUTED_VALUE"""),10.0)</f>
        <v>10</v>
      </c>
      <c r="H2743" s="86">
        <f>IFERROR(__xludf.DUMMYFUNCTION("""COMPUTED_VALUE"""),0.4444444444444444)</f>
        <v>0.4444444444</v>
      </c>
      <c r="I2743" s="86">
        <f>IFERROR(__xludf.DUMMYFUNCTION("""COMPUTED_VALUE"""),0.3095238095238095)</f>
        <v>0.3095238095</v>
      </c>
      <c r="J2743" s="82">
        <f>IFERROR(__xludf.DUMMYFUNCTION("""COMPUTED_VALUE"""),301.3888888888889)</f>
        <v>301.3888889</v>
      </c>
      <c r="K2743" s="82">
        <f>IFERROR(__xludf.DUMMYFUNCTION("""COMPUTED_VALUE"""),0.7222222222222222)</f>
        <v>0.7222222222</v>
      </c>
      <c r="L2743" s="82">
        <f>IFERROR(__xludf.DUMMYFUNCTION("""COMPUTED_VALUE"""),0.3333333333333333)</f>
        <v>0.3333333333</v>
      </c>
      <c r="M2743" s="82">
        <f>IFERROR(__xludf.DUMMYFUNCTION("""COMPUTED_VALUE"""),0.9444444444444444)</f>
        <v>0.9444444444</v>
      </c>
      <c r="N2743" s="82">
        <f>IFERROR(__xludf.DUMMYFUNCTION("""COMPUTED_VALUE"""),2.3333333333333335)</f>
        <v>2.333333333</v>
      </c>
      <c r="O2743" s="82">
        <f>IFERROR(__xludf.DUMMYFUNCTION("""COMPUTED_VALUE"""),332.87037037037027)</f>
        <v>332.8703704</v>
      </c>
      <c r="P2743" s="82">
        <f>IFERROR(__xludf.DUMMYFUNCTION("""COMPUTED_VALUE"""),0.7407407407407407)</f>
        <v>0.7407407407</v>
      </c>
      <c r="Q2743" s="82">
        <f>IFERROR(__xludf.DUMMYFUNCTION("""COMPUTED_VALUE"""),0.5185185185185185)</f>
        <v>0.5185185185</v>
      </c>
      <c r="R2743" s="82">
        <f>IFERROR(__xludf.DUMMYFUNCTION("""COMPUTED_VALUE"""),1.3148148148148147)</f>
        <v>1.314814815</v>
      </c>
      <c r="S2743" s="82">
        <f>IFERROR(__xludf.DUMMYFUNCTION("""COMPUTED_VALUE"""),2.129629629629629)</f>
        <v>2.12962963</v>
      </c>
      <c r="T2743" s="82">
        <f>IFERROR(__xludf.DUMMYFUNCTION("""COMPUTED_VALUE"""),345.25419219526134)</f>
        <v>345.2541922</v>
      </c>
      <c r="U2743" s="82">
        <f>IFERROR(__xludf.DUMMYFUNCTION("""COMPUTED_VALUE"""),0.8175656632988583)</f>
        <v>0.8175656633</v>
      </c>
      <c r="V2743" s="82">
        <f>IFERROR(__xludf.DUMMYFUNCTION("""COMPUTED_VALUE"""),0.5764801811173565)</f>
        <v>0.5764801811</v>
      </c>
      <c r="W2743" s="82">
        <f>IFERROR(__xludf.DUMMYFUNCTION("""COMPUTED_VALUE"""),1.2759769082566665)</f>
        <v>1.275976908</v>
      </c>
      <c r="X2743" s="82">
        <f>IFERROR(__xludf.DUMMYFUNCTION("""COMPUTED_VALUE"""),2.5029383648890984)</f>
        <v>2.502938365</v>
      </c>
      <c r="Y2743" s="82">
        <f>IFERROR(__xludf.DUMMYFUNCTION("""COMPUTED_VALUE"""),333.28181697076275)</f>
        <v>333.281817</v>
      </c>
      <c r="Z2743" s="82">
        <f>IFERROR(__xludf.DUMMYFUNCTION("""COMPUTED_VALUE"""),0.759979920965427)</f>
        <v>0.759979921</v>
      </c>
      <c r="AA2743" s="82">
        <f>IFERROR(__xludf.DUMMYFUNCTION("""COMPUTED_VALUE"""),0.49938006200304713)</f>
        <v>0.499380062</v>
      </c>
      <c r="AB2743" s="82">
        <f>IFERROR(__xludf.DUMMYFUNCTION("""COMPUTED_VALUE"""),1.2554516747836142)</f>
        <v>1.255451675</v>
      </c>
      <c r="AC2743" s="82">
        <f>IFERROR(__xludf.DUMMYFUNCTION("""COMPUTED_VALUE"""),2.4475241209099603)</f>
        <v>2.447524121</v>
      </c>
      <c r="AD2743" s="82">
        <f>IFERROR(__xludf.DUMMYFUNCTION("""COMPUTED_VALUE"""),0.9043064263998787)</f>
        <v>0.9043064264</v>
      </c>
      <c r="AE2743" s="82">
        <f>IFERROR(__xludf.DUMMYFUNCTION("""COMPUTED_VALUE"""),0.9503175048424438)</f>
        <v>0.9503175048</v>
      </c>
      <c r="AF2743" s="82">
        <f>IFERROR(__xludf.DUMMYFUNCTION("""COMPUTED_VALUE"""),0.6674942767965362)</f>
        <v>0.6674942768</v>
      </c>
      <c r="AG2743" s="82">
        <f>IFERROR(__xludf.DUMMYFUNCTION("""COMPUTED_VALUE"""),0.7522746302498867)</f>
        <v>0.7522746302</v>
      </c>
      <c r="AH2743" s="82">
        <f>IFERROR(__xludf.DUMMYFUNCTION("""COMPUTED_VALUE"""),0.9533443668231666)</f>
        <v>0.9533443668</v>
      </c>
      <c r="AI2743" s="82">
        <f>IFERROR(__xludf.DUMMYFUNCTION("""COMPUTED_VALUE"""),0.9641312919442053)</f>
        <v>0.9641312919</v>
      </c>
      <c r="AJ2743" s="82">
        <f>IFERROR(__xludf.DUMMYFUNCTION("""COMPUTED_VALUE"""),0.9060321072583567)</f>
        <v>0.9060321073</v>
      </c>
      <c r="AK2743" s="82">
        <f>IFERROR(__xludf.DUMMYFUNCTION("""COMPUTED_VALUE"""),0.8994559318821777)</f>
        <v>0.8994559319</v>
      </c>
      <c r="AL2743" s="82">
        <f>IFERROR(__xludf.DUMMYFUNCTION("""COMPUTED_VALUE"""),1.030437781676795)</f>
        <v>1.030437782</v>
      </c>
      <c r="AM2743" s="82">
        <f>IFERROR(__xludf.DUMMYFUNCTION("""COMPUTED_VALUE"""),0.8508518066220898)</f>
        <v>0.8508518066</v>
      </c>
      <c r="AN2743" s="82">
        <f>IFERROR(__xludf.DUMMYFUNCTION("""COMPUTED_VALUE"""),0.9309556500652731)</f>
        <v>0.9309556501</v>
      </c>
      <c r="AO2743" s="82">
        <f>IFERROR(__xludf.DUMMYFUNCTION("""COMPUTED_VALUE"""),0.9791867497507252)</f>
        <v>0.9791867498</v>
      </c>
      <c r="AP2743" s="82">
        <f>IFERROR(__xludf.DUMMYFUNCTION("""COMPUTED_VALUE"""),0.6755642278124218)</f>
        <v>0.6755642278</v>
      </c>
      <c r="AQ2743" s="82">
        <f>IFERROR(__xludf.DUMMYFUNCTION("""COMPUTED_VALUE"""),0.7830524456538056)</f>
        <v>0.7830524457</v>
      </c>
      <c r="AR2743" s="82">
        <f>IFERROR(__xludf.DUMMYFUNCTION("""COMPUTED_VALUE"""),0.99062234631362)</f>
        <v>0.9906223463</v>
      </c>
      <c r="AS2743" s="82">
        <f>IFERROR(__xludf.DUMMYFUNCTION("""COMPUTED_VALUE"""),41.0)</f>
        <v>41</v>
      </c>
      <c r="AT2743" s="82">
        <f>IFERROR(__xludf.DUMMYFUNCTION("""COMPUTED_VALUE"""),0.509504444206562)</f>
        <v>0.5095044442</v>
      </c>
      <c r="AU2743" s="82">
        <f>IFERROR(__xludf.DUMMYFUNCTION("""COMPUTED_VALUE"""),1.8425691341973953)</f>
        <v>1.842569134</v>
      </c>
      <c r="AV2743" s="82">
        <f>IFERROR(__xludf.DUMMYFUNCTION("""COMPUTED_VALUE"""),46.23365470874087)</f>
        <v>46.23365471</v>
      </c>
      <c r="AW2743" s="82">
        <f t="shared" si="1"/>
        <v>-2.272084866</v>
      </c>
      <c r="AX2743" s="83">
        <f t="array" ref="AX2743">IFERROR(DGET('SBV Import'!A:G,"SBV",{"RSC ID","Tier";B2743,A2743}))</f>
        <v>45.13852956</v>
      </c>
      <c r="AY2743" s="82">
        <f t="shared" si="2"/>
        <v>-2.36457869</v>
      </c>
      <c r="AZ2743" s="82">
        <v>0.09249382383384752</v>
      </c>
      <c r="BA2743" s="84">
        <v>2700.0</v>
      </c>
      <c r="BB2743" s="84" t="b">
        <f>IFERROR(__xludf.DUMMYFUNCTION("iferror(if(A2743="""",,E2743&gt;=FILTER(Constants!$F$2:$F$10,Constants!$A$2:$A$10=A2743)))"),TRUE)</f>
        <v>1</v>
      </c>
    </row>
    <row r="2744">
      <c r="A2744" s="89" t="str">
        <f>IFERROR(__xludf.DUMMYFUNCTION("""COMPUTED_VALUE"""),"Prospect")</f>
        <v>Prospect</v>
      </c>
      <c r="B2744" s="87" t="str">
        <f>IFERROR(__xludf.DUMMYFUNCTION("""COMPUTED_VALUE"""),"RSC006587")</f>
        <v>RSC006587</v>
      </c>
      <c r="C2744" s="73" t="str">
        <f>IFERROR(__xludf.DUMMYFUNCTION("""COMPUTED_VALUE"""),"Enterprise15")</f>
        <v>Enterprise15</v>
      </c>
      <c r="D2744" s="73" t="str">
        <f>IFERROR(__xludf.DUMMYFUNCTION("""COMPUTED_VALUE"""),"Skeletons")</f>
        <v>Skeletons</v>
      </c>
      <c r="E2744" s="82">
        <f>IFERROR(__xludf.DUMMYFUNCTION("""COMPUTED_VALUE"""),36.0)</f>
        <v>36</v>
      </c>
      <c r="F2744" s="82">
        <f>IFERROR(__xludf.DUMMYFUNCTION("""COMPUTED_VALUE"""),15.0)</f>
        <v>15</v>
      </c>
      <c r="G2744" s="86">
        <f>IFERROR(__xludf.DUMMYFUNCTION("""COMPUTED_VALUE"""),21.0)</f>
        <v>21</v>
      </c>
      <c r="H2744" s="86">
        <f>IFERROR(__xludf.DUMMYFUNCTION("""COMPUTED_VALUE"""),0.4166666666666667)</f>
        <v>0.4166666667</v>
      </c>
      <c r="I2744" s="86">
        <f>IFERROR(__xludf.DUMMYFUNCTION("""COMPUTED_VALUE"""),0.3378378378378379)</f>
        <v>0.3378378378</v>
      </c>
      <c r="J2744" s="82">
        <f>IFERROR(__xludf.DUMMYFUNCTION("""COMPUTED_VALUE"""),339.05555555555554)</f>
        <v>339.0555556</v>
      </c>
      <c r="K2744" s="82">
        <f>IFERROR(__xludf.DUMMYFUNCTION("""COMPUTED_VALUE"""),0.6944444444444444)</f>
        <v>0.6944444444</v>
      </c>
      <c r="L2744" s="82">
        <f>IFERROR(__xludf.DUMMYFUNCTION("""COMPUTED_VALUE"""),0.5)</f>
        <v>0.5</v>
      </c>
      <c r="M2744" s="82">
        <f>IFERROR(__xludf.DUMMYFUNCTION("""COMPUTED_VALUE"""),1.4444444444444444)</f>
        <v>1.444444444</v>
      </c>
      <c r="N2744" s="82">
        <f>IFERROR(__xludf.DUMMYFUNCTION("""COMPUTED_VALUE"""),2.0555555555555554)</f>
        <v>2.055555556</v>
      </c>
      <c r="O2744" s="82">
        <f>IFERROR(__xludf.DUMMYFUNCTION("""COMPUTED_VALUE"""),329.5370370370371)</f>
        <v>329.537037</v>
      </c>
      <c r="P2744" s="82">
        <f>IFERROR(__xludf.DUMMYFUNCTION("""COMPUTED_VALUE"""),0.8148148148148148)</f>
        <v>0.8148148148</v>
      </c>
      <c r="Q2744" s="82">
        <f>IFERROR(__xludf.DUMMYFUNCTION("""COMPUTED_VALUE"""),0.537037037037037)</f>
        <v>0.537037037</v>
      </c>
      <c r="R2744" s="82">
        <f>IFERROR(__xludf.DUMMYFUNCTION("""COMPUTED_VALUE"""),1.1111111111111112)</f>
        <v>1.111111111</v>
      </c>
      <c r="S2744" s="82">
        <f>IFERROR(__xludf.DUMMYFUNCTION("""COMPUTED_VALUE"""),2.5277777777777772)</f>
        <v>2.527777778</v>
      </c>
      <c r="T2744" s="82">
        <f>IFERROR(__xludf.DUMMYFUNCTION("""COMPUTED_VALUE"""),335.48029010837183)</f>
        <v>335.4802901</v>
      </c>
      <c r="U2744" s="82">
        <f>IFERROR(__xludf.DUMMYFUNCTION("""COMPUTED_VALUE"""),0.789205789127254)</f>
        <v>0.7892057891</v>
      </c>
      <c r="V2744" s="82">
        <f>IFERROR(__xludf.DUMMYFUNCTION("""COMPUTED_VALUE"""),0.5382089552301272)</f>
        <v>0.5382089552</v>
      </c>
      <c r="W2744" s="82">
        <f>IFERROR(__xludf.DUMMYFUNCTION("""COMPUTED_VALUE"""),1.2153951461703985)</f>
        <v>1.215395146</v>
      </c>
      <c r="X2744" s="82">
        <f>IFERROR(__xludf.DUMMYFUNCTION("""COMPUTED_VALUE"""),2.4222630235778513)</f>
        <v>2.422263024</v>
      </c>
      <c r="Y2744" s="82">
        <f>IFERROR(__xludf.DUMMYFUNCTION("""COMPUTED_VALUE"""),334.0644058822623)</f>
        <v>334.0644059</v>
      </c>
      <c r="Z2744" s="82">
        <f>IFERROR(__xludf.DUMMYFUNCTION("""COMPUTED_VALUE"""),0.7962669253418664)</f>
        <v>0.7962669253</v>
      </c>
      <c r="AA2744" s="82">
        <f>IFERROR(__xludf.DUMMYFUNCTION("""COMPUTED_VALUE"""),0.5205628081958663)</f>
        <v>0.5205628082</v>
      </c>
      <c r="AB2744" s="82">
        <f>IFERROR(__xludf.DUMMYFUNCTION("""COMPUTED_VALUE"""),1.2018055121070153)</f>
        <v>1.201805512</v>
      </c>
      <c r="AC2744" s="82">
        <f>IFERROR(__xludf.DUMMYFUNCTION("""COMPUTED_VALUE"""),2.4299464906751473)</f>
        <v>2.429946491</v>
      </c>
      <c r="AD2744" s="82">
        <f>IFERROR(__xludf.DUMMYFUNCTION("""COMPUTED_VALUE"""),1.0149406808549737)</f>
        <v>1.014940681</v>
      </c>
      <c r="AE2744" s="82">
        <f>IFERROR(__xludf.DUMMYFUNCTION("""COMPUTED_VALUE"""),0.8721251911176571)</f>
        <v>0.8721251911</v>
      </c>
      <c r="AF2744" s="82">
        <f>IFERROR(__xludf.DUMMYFUNCTION("""COMPUTED_VALUE"""),0.9604988910615194)</f>
        <v>0.9604988911</v>
      </c>
      <c r="AG2744" s="82">
        <f>IFERROR(__xludf.DUMMYFUNCTION("""COMPUTED_VALUE"""),1.2018953398807704)</f>
        <v>1.20189534</v>
      </c>
      <c r="AH2744" s="82">
        <f>IFERROR(__xludf.DUMMYFUNCTION("""COMPUTED_VALUE"""),0.8459262635797509)</f>
        <v>0.8459262636</v>
      </c>
      <c r="AI2744" s="82">
        <f>IFERROR(__xludf.DUMMYFUNCTION("""COMPUTED_VALUE"""),0.9822843450224309)</f>
        <v>0.982284345</v>
      </c>
      <c r="AJ2744" s="82">
        <f>IFERROR(__xludf.DUMMYFUNCTION("""COMPUTED_VALUE"""),1.0324491102832387)</f>
        <v>1.03244911</v>
      </c>
      <c r="AK2744" s="82">
        <f>IFERROR(__xludf.DUMMYFUNCTION("""COMPUTED_VALUE"""),0.9978225590977222)</f>
        <v>0.9978225591</v>
      </c>
      <c r="AL2744" s="82">
        <f>IFERROR(__xludf.DUMMYFUNCTION("""COMPUTED_VALUE"""),0.914197423456991)</f>
        <v>0.9141974235</v>
      </c>
      <c r="AM2744" s="82">
        <f>IFERROR(__xludf.DUMMYFUNCTION("""COMPUTED_VALUE"""),1.0435604032976045)</f>
        <v>1.043560403</v>
      </c>
      <c r="AN2744" s="82">
        <f>IFERROR(__xludf.DUMMYFUNCTION("""COMPUTED_VALUE"""),1.0473036557324167)</f>
        <v>1.047303656</v>
      </c>
      <c r="AO2744" s="82">
        <f>IFERROR(__xludf.DUMMYFUNCTION("""COMPUTED_VALUE"""),0.9415257209141588)</f>
        <v>0.9415257209</v>
      </c>
      <c r="AP2744" s="82">
        <f>IFERROR(__xludf.DUMMYFUNCTION("""COMPUTED_VALUE"""),1.0133463417186328)</f>
        <v>1.013346342</v>
      </c>
      <c r="AQ2744" s="82">
        <f>IFERROR(__xludf.DUMMYFUNCTION("""COMPUTED_VALUE"""),1.197609622764644)</f>
        <v>1.197609623</v>
      </c>
      <c r="AR2744" s="82">
        <f>IFERROR(__xludf.DUMMYFUNCTION("""COMPUTED_VALUE"""),0.8726911146096176)</f>
        <v>0.8726911146</v>
      </c>
      <c r="AS2744" s="82">
        <f>IFERROR(__xludf.DUMMYFUNCTION("""COMPUTED_VALUE"""),78.0)</f>
        <v>78</v>
      </c>
      <c r="AT2744" s="82">
        <f>IFERROR(__xludf.DUMMYFUNCTION("""COMPUTED_VALUE"""),0.45337309256942804)</f>
        <v>0.4533730926</v>
      </c>
      <c r="AU2744" s="82">
        <f>IFERROR(__xludf.DUMMYFUNCTION("""COMPUTED_VALUE"""),1.833137729408875)</f>
        <v>1.833137729</v>
      </c>
      <c r="AV2744" s="82">
        <f>IFERROR(__xludf.DUMMYFUNCTION("""COMPUTED_VALUE"""),45.933621022604235)</f>
        <v>45.93362102</v>
      </c>
      <c r="AW2744" s="82">
        <f t="shared" si="1"/>
        <v>-2.296765126</v>
      </c>
      <c r="AX2744" s="83">
        <f t="array" ref="AX2744">IFERROR(DGET('SBV Import'!A:G,"SBV",{"RSC ID","Tier";B2744,A2744}))</f>
        <v>50.54581647</v>
      </c>
      <c r="AY2744" s="82">
        <f t="shared" si="2"/>
        <v>2.035454685</v>
      </c>
      <c r="AZ2744" s="82">
        <v>4.33221981108944</v>
      </c>
      <c r="BA2744" s="84">
        <v>2700.0</v>
      </c>
      <c r="BB2744" s="84" t="b">
        <f>IFERROR(__xludf.DUMMYFUNCTION("iferror(if(A2744="""",,E2744&gt;=FILTER(Constants!$F$2:$F$10,Constants!$A$2:$A$10=A2744)))"),TRUE)</f>
        <v>1</v>
      </c>
    </row>
    <row r="2745">
      <c r="A2745" s="89" t="str">
        <f>IFERROR(__xludf.DUMMYFUNCTION("""COMPUTED_VALUE"""),"Prospect")</f>
        <v>Prospect</v>
      </c>
      <c r="B2745" s="87" t="str">
        <f>IFERROR(__xludf.DUMMYFUNCTION("""COMPUTED_VALUE"""),"RSC003737")</f>
        <v>RSC003737</v>
      </c>
      <c r="C2745" s="73" t="str">
        <f>IFERROR(__xludf.DUMMYFUNCTION("""COMPUTED_VALUE"""),"MeOnDisplay")</f>
        <v>MeOnDisplay</v>
      </c>
      <c r="D2745" s="73" t="str">
        <f>IFERROR(__xludf.DUMMYFUNCTION("""COMPUTED_VALUE"""),"Honey Badgers")</f>
        <v>Honey Badgers</v>
      </c>
      <c r="E2745" s="82">
        <f>IFERROR(__xludf.DUMMYFUNCTION("""COMPUTED_VALUE"""),23.0)</f>
        <v>23</v>
      </c>
      <c r="F2745" s="82">
        <f>IFERROR(__xludf.DUMMYFUNCTION("""COMPUTED_VALUE"""),14.0)</f>
        <v>14</v>
      </c>
      <c r="G2745" s="86">
        <f>IFERROR(__xludf.DUMMYFUNCTION("""COMPUTED_VALUE"""),9.0)</f>
        <v>9</v>
      </c>
      <c r="H2745" s="86">
        <f>IFERROR(__xludf.DUMMYFUNCTION("""COMPUTED_VALUE"""),0.6086956521739131)</f>
        <v>0.6086956522</v>
      </c>
      <c r="I2745" s="86">
        <f>IFERROR(__xludf.DUMMYFUNCTION("""COMPUTED_VALUE"""),0.36363636363636365)</f>
        <v>0.3636363636</v>
      </c>
      <c r="J2745" s="82">
        <f>IFERROR(__xludf.DUMMYFUNCTION("""COMPUTED_VALUE"""),280.95652173913044)</f>
        <v>280.9565217</v>
      </c>
      <c r="K2745" s="82">
        <f>IFERROR(__xludf.DUMMYFUNCTION("""COMPUTED_VALUE"""),0.8695652173913043)</f>
        <v>0.8695652174</v>
      </c>
      <c r="L2745" s="82">
        <f>IFERROR(__xludf.DUMMYFUNCTION("""COMPUTED_VALUE"""),0.34782608695652173)</f>
        <v>0.347826087</v>
      </c>
      <c r="M2745" s="82">
        <f>IFERROR(__xludf.DUMMYFUNCTION("""COMPUTED_VALUE"""),0.8695652173913043)</f>
        <v>0.8695652174</v>
      </c>
      <c r="N2745" s="82">
        <f>IFERROR(__xludf.DUMMYFUNCTION("""COMPUTED_VALUE"""),2.391304347826087)</f>
        <v>2.391304348</v>
      </c>
      <c r="O2745" s="82">
        <f>IFERROR(__xludf.DUMMYFUNCTION("""COMPUTED_VALUE"""),356.9420289855073)</f>
        <v>356.942029</v>
      </c>
      <c r="P2745" s="82">
        <f>IFERROR(__xludf.DUMMYFUNCTION("""COMPUTED_VALUE"""),0.782608695652174)</f>
        <v>0.7826086957</v>
      </c>
      <c r="Q2745" s="82">
        <f>IFERROR(__xludf.DUMMYFUNCTION("""COMPUTED_VALUE"""),0.5942028985507245)</f>
        <v>0.5942028986</v>
      </c>
      <c r="R2745" s="82">
        <f>IFERROR(__xludf.DUMMYFUNCTION("""COMPUTED_VALUE"""),1.3478260869565217)</f>
        <v>1.347826087</v>
      </c>
      <c r="S2745" s="82">
        <f>IFERROR(__xludf.DUMMYFUNCTION("""COMPUTED_VALUE"""),2.5072463768115947)</f>
        <v>2.507246377</v>
      </c>
      <c r="T2745" s="82">
        <f>IFERROR(__xludf.DUMMYFUNCTION("""COMPUTED_VALUE"""),341.5075126481742)</f>
        <v>341.5075126</v>
      </c>
      <c r="U2745" s="82">
        <f>IFERROR(__xludf.DUMMYFUNCTION("""COMPUTED_VALUE"""),0.7776848393934388)</f>
        <v>0.7776848394</v>
      </c>
      <c r="V2745" s="82">
        <f>IFERROR(__xludf.DUMMYFUNCTION("""COMPUTED_VALUE"""),0.5395732206838347)</f>
        <v>0.5395732207</v>
      </c>
      <c r="W2745" s="82">
        <f>IFERROR(__xludf.DUMMYFUNCTION("""COMPUTED_VALUE"""),1.2782474082856294)</f>
        <v>1.278247408</v>
      </c>
      <c r="X2745" s="82">
        <f>IFERROR(__xludf.DUMMYFUNCTION("""COMPUTED_VALUE"""),2.367500822459025)</f>
        <v>2.367500822</v>
      </c>
      <c r="Y2745" s="82">
        <f>IFERROR(__xludf.DUMMYFUNCTION("""COMPUTED_VALUE"""),333.5851029822883)</f>
        <v>333.585103</v>
      </c>
      <c r="Z2745" s="82">
        <f>IFERROR(__xludf.DUMMYFUNCTION("""COMPUTED_VALUE"""),0.8154845403120876)</f>
        <v>0.8154845403</v>
      </c>
      <c r="AA2745" s="82">
        <f>IFERROR(__xludf.DUMMYFUNCTION("""COMPUTED_VALUE"""),0.5229736897418359)</f>
        <v>0.5229736897</v>
      </c>
      <c r="AB2745" s="82">
        <f>IFERROR(__xludf.DUMMYFUNCTION("""COMPUTED_VALUE"""),1.1456313792341413)</f>
        <v>1.145631379</v>
      </c>
      <c r="AC2745" s="82">
        <f>IFERROR(__xludf.DUMMYFUNCTION("""COMPUTED_VALUE"""),2.5368063229714397)</f>
        <v>2.536806323</v>
      </c>
      <c r="AD2745" s="82">
        <f>IFERROR(__xludf.DUMMYFUNCTION("""COMPUTED_VALUE"""),0.8422334187808376)</f>
        <v>0.8422334188</v>
      </c>
      <c r="AE2745" s="82">
        <f>IFERROR(__xludf.DUMMYFUNCTION("""COMPUTED_VALUE"""),1.0663172315425133)</f>
        <v>1.066317232</v>
      </c>
      <c r="AF2745" s="82">
        <f>IFERROR(__xludf.DUMMYFUNCTION("""COMPUTED_VALUE"""),0.6650928981307355)</f>
        <v>0.6650928981</v>
      </c>
      <c r="AG2745" s="82">
        <f>IFERROR(__xludf.DUMMYFUNCTION("""COMPUTED_VALUE"""),0.7590270597970281)</f>
        <v>0.7590270598</v>
      </c>
      <c r="AH2745" s="82">
        <f>IFERROR(__xludf.DUMMYFUNCTION("""COMPUTED_VALUE"""),0.9426436406170252)</f>
        <v>0.9426436406</v>
      </c>
      <c r="AI2745" s="82">
        <f>IFERROR(__xludf.DUMMYFUNCTION("""COMPUTED_VALUE"""),1.0451952468560595)</f>
        <v>1.045195247</v>
      </c>
      <c r="AJ2745" s="82">
        <f>IFERROR(__xludf.DUMMYFUNCTION("""COMPUTED_VALUE"""),1.00633142888908)</f>
        <v>1.006331429</v>
      </c>
      <c r="AK2745" s="82">
        <f>IFERROR(__xludf.DUMMYFUNCTION("""COMPUTED_VALUE"""),1.1012460881539936)</f>
        <v>1.101246088</v>
      </c>
      <c r="AL2745" s="82">
        <f>IFERROR(__xludf.DUMMYFUNCTION("""COMPUTED_VALUE"""),1.0544328728694317)</f>
        <v>1.054432873</v>
      </c>
      <c r="AM2745" s="82">
        <f>IFERROR(__xludf.DUMMYFUNCTION("""COMPUTED_VALUE"""),1.0590266128006756)</f>
        <v>1.059026613</v>
      </c>
      <c r="AN2745" s="82">
        <f>IFERROR(__xludf.DUMMYFUNCTION("""COMPUTED_VALUE"""),0.8678424154918237)</f>
        <v>0.8678424155</v>
      </c>
      <c r="AO2745" s="82">
        <f>IFERROR(__xludf.DUMMYFUNCTION("""COMPUTED_VALUE"""),1.178953946188164)</f>
        <v>1.178953946</v>
      </c>
      <c r="AP2745" s="82">
        <f>IFERROR(__xludf.DUMMYFUNCTION("""COMPUTED_VALUE"""),0.7049365855433967)</f>
        <v>0.7049365855</v>
      </c>
      <c r="AQ2745" s="82">
        <f>IFERROR(__xludf.DUMMYFUNCTION("""COMPUTED_VALUE"""),0.7209690036710231)</f>
        <v>0.7209690037</v>
      </c>
      <c r="AR2745" s="82">
        <f>IFERROR(__xludf.DUMMYFUNCTION("""COMPUTED_VALUE"""),1.0152340816257597)</f>
        <v>1.015234082</v>
      </c>
      <c r="AS2745" s="82">
        <f>IFERROR(__xludf.DUMMYFUNCTION("""COMPUTED_VALUE"""),66.0)</f>
        <v>66</v>
      </c>
      <c r="AT2745" s="82">
        <f>IFERROR(__xludf.DUMMYFUNCTION("""COMPUTED_VALUE"""),0.5799086865197419)</f>
        <v>0.5799086865</v>
      </c>
      <c r="AU2745" s="82">
        <f>IFERROR(__xludf.DUMMYFUNCTION("""COMPUTED_VALUE"""),1.8253640010312486)</f>
        <v>1.825364001</v>
      </c>
      <c r="AV2745" s="82">
        <f>IFERROR(__xludf.DUMMYFUNCTION("""COMPUTED_VALUE"""),45.686321661325294)</f>
        <v>45.68632166</v>
      </c>
      <c r="AW2745" s="82">
        <f t="shared" si="1"/>
        <v>-2.317477205</v>
      </c>
      <c r="AX2745" s="83">
        <f t="array" ref="AX2745">IFERROR(DGET('SBV Import'!A:G,"SBV",{"RSC ID","Tier";B2745,A2745}))</f>
        <v>26.60927801</v>
      </c>
      <c r="AY2745" s="82">
        <f t="shared" si="2"/>
        <v>-5.723045246</v>
      </c>
      <c r="AZ2745" s="82">
        <v>3.405568041047365</v>
      </c>
      <c r="BA2745" s="84">
        <v>2700.0</v>
      </c>
      <c r="BB2745" s="84" t="b">
        <f>IFERROR(__xludf.DUMMYFUNCTION("iferror(if(A2745="""",,E2745&gt;=FILTER(Constants!$F$2:$F$10,Constants!$A$2:$A$10=A2745)))"),TRUE)</f>
        <v>1</v>
      </c>
    </row>
    <row r="2746">
      <c r="A2746" s="89" t="str">
        <f>IFERROR(__xludf.DUMMYFUNCTION("""COMPUTED_VALUE"""),"Prospect")</f>
        <v>Prospect</v>
      </c>
      <c r="B2746" s="87" t="str">
        <f>IFERROR(__xludf.DUMMYFUNCTION("""COMPUTED_VALUE"""),"RSC006402")</f>
        <v>RSC006402</v>
      </c>
      <c r="C2746" s="73" t="str">
        <f>IFERROR(__xludf.DUMMYFUNCTION("""COMPUTED_VALUE"""),"DEADLYFEET1001")</f>
        <v>DEADLYFEET1001</v>
      </c>
      <c r="D2746" s="73" t="str">
        <f>IFERROR(__xludf.DUMMYFUNCTION("""COMPUTED_VALUE"""),"Principales")</f>
        <v>Principales</v>
      </c>
      <c r="E2746" s="82">
        <f>IFERROR(__xludf.DUMMYFUNCTION("""COMPUTED_VALUE"""),16.0)</f>
        <v>16</v>
      </c>
      <c r="F2746" s="82">
        <f>IFERROR(__xludf.DUMMYFUNCTION("""COMPUTED_VALUE"""),3.0)</f>
        <v>3</v>
      </c>
      <c r="G2746" s="86">
        <f>IFERROR(__xludf.DUMMYFUNCTION("""COMPUTED_VALUE"""),13.0)</f>
        <v>13</v>
      </c>
      <c r="H2746" s="86">
        <f>IFERROR(__xludf.DUMMYFUNCTION("""COMPUTED_VALUE"""),0.1875)</f>
        <v>0.1875</v>
      </c>
      <c r="I2746" s="86">
        <f>IFERROR(__xludf.DUMMYFUNCTION("""COMPUTED_VALUE"""),0.30952380952380953)</f>
        <v>0.3095238095</v>
      </c>
      <c r="J2746" s="82">
        <f>IFERROR(__xludf.DUMMYFUNCTION("""COMPUTED_VALUE"""),333.0)</f>
        <v>333</v>
      </c>
      <c r="K2746" s="82">
        <f>IFERROR(__xludf.DUMMYFUNCTION("""COMPUTED_VALUE"""),0.8125)</f>
        <v>0.8125</v>
      </c>
      <c r="L2746" s="82">
        <f>IFERROR(__xludf.DUMMYFUNCTION("""COMPUTED_VALUE"""),0.1875)</f>
        <v>0.1875</v>
      </c>
      <c r="M2746" s="82">
        <f>IFERROR(__xludf.DUMMYFUNCTION("""COMPUTED_VALUE"""),1.125)</f>
        <v>1.125</v>
      </c>
      <c r="N2746" s="82">
        <f>IFERROR(__xludf.DUMMYFUNCTION("""COMPUTED_VALUE"""),2.625)</f>
        <v>2.625</v>
      </c>
      <c r="O2746" s="82">
        <f>IFERROR(__xludf.DUMMYFUNCTION("""COMPUTED_VALUE"""),354.2083333333333)</f>
        <v>354.2083333</v>
      </c>
      <c r="P2746" s="82">
        <f>IFERROR(__xludf.DUMMYFUNCTION("""COMPUTED_VALUE"""),1.0833333333333333)</f>
        <v>1.083333333</v>
      </c>
      <c r="Q2746" s="82">
        <f>IFERROR(__xludf.DUMMYFUNCTION("""COMPUTED_VALUE"""),0.6458333333333335)</f>
        <v>0.6458333333</v>
      </c>
      <c r="R2746" s="82">
        <f>IFERROR(__xludf.DUMMYFUNCTION("""COMPUTED_VALUE"""),0.8749999999999999)</f>
        <v>0.875</v>
      </c>
      <c r="S2746" s="82">
        <f>IFERROR(__xludf.DUMMYFUNCTION("""COMPUTED_VALUE"""),2.5833333333333335)</f>
        <v>2.583333333</v>
      </c>
      <c r="T2746" s="82">
        <f>IFERROR(__xludf.DUMMYFUNCTION("""COMPUTED_VALUE"""),345.31186025139124)</f>
        <v>345.3118603</v>
      </c>
      <c r="U2746" s="82">
        <f>IFERROR(__xludf.DUMMYFUNCTION("""COMPUTED_VALUE"""),0.8521159257935825)</f>
        <v>0.8521159258</v>
      </c>
      <c r="V2746" s="82">
        <f>IFERROR(__xludf.DUMMYFUNCTION("""COMPUTED_VALUE"""),0.6161355667226158)</f>
        <v>0.6161355667</v>
      </c>
      <c r="W2746" s="82">
        <f>IFERROR(__xludf.DUMMYFUNCTION("""COMPUTED_VALUE"""),1.1390647946210093)</f>
        <v>1.139064795</v>
      </c>
      <c r="X2746" s="82">
        <f>IFERROR(__xludf.DUMMYFUNCTION("""COMPUTED_VALUE"""),2.651426451364189)</f>
        <v>2.651426451</v>
      </c>
      <c r="Y2746" s="82">
        <f>IFERROR(__xludf.DUMMYFUNCTION("""COMPUTED_VALUE"""),329.131584519805)</f>
        <v>329.1315845</v>
      </c>
      <c r="Z2746" s="82">
        <f>IFERROR(__xludf.DUMMYFUNCTION("""COMPUTED_VALUE"""),0.7145044315515933)</f>
        <v>0.7145044316</v>
      </c>
      <c r="AA2746" s="82">
        <f>IFERROR(__xludf.DUMMYFUNCTION("""COMPUTED_VALUE"""),0.4803891411022973)</f>
        <v>0.4803891411</v>
      </c>
      <c r="AB2746" s="82">
        <f>IFERROR(__xludf.DUMMYFUNCTION("""COMPUTED_VALUE"""),1.288204537068982)</f>
        <v>1.288204537</v>
      </c>
      <c r="AC2746" s="82">
        <f>IFERROR(__xludf.DUMMYFUNCTION("""COMPUTED_VALUE"""),2.2971752592641272)</f>
        <v>2.297175259</v>
      </c>
      <c r="AD2746" s="82">
        <f>IFERROR(__xludf.DUMMYFUNCTION("""COMPUTED_VALUE"""),1.0117534009561522)</f>
        <v>1.011753401</v>
      </c>
      <c r="AE2746" s="82">
        <f>IFERROR(__xludf.DUMMYFUNCTION("""COMPUTED_VALUE"""),1.137151799374572)</f>
        <v>1.137151799</v>
      </c>
      <c r="AF2746" s="82">
        <f>IFERROR(__xludf.DUMMYFUNCTION("""COMPUTED_VALUE"""),0.3903085726912226)</f>
        <v>0.3903085727</v>
      </c>
      <c r="AG2746" s="82">
        <f>IFERROR(__xludf.DUMMYFUNCTION("""COMPUTED_VALUE"""),0.8733085217660256)</f>
        <v>0.8733085218</v>
      </c>
      <c r="AH2746" s="82">
        <f>IFERROR(__xludf.DUMMYFUNCTION("""COMPUTED_VALUE"""),1.142707762245745)</f>
        <v>1.142707762</v>
      </c>
      <c r="AI2746" s="82">
        <f>IFERROR(__xludf.DUMMYFUNCTION("""COMPUTED_VALUE"""),1.025763589688073)</f>
        <v>1.02576359</v>
      </c>
      <c r="AJ2746" s="82">
        <f>IFERROR(__xludf.DUMMYFUNCTION("""COMPUTED_VALUE"""),1.271345013678058)</f>
        <v>1.271345014</v>
      </c>
      <c r="AK2746" s="82">
        <f>IFERROR(__xludf.DUMMYFUNCTION("""COMPUTED_VALUE"""),1.0482000524149055)</f>
        <v>1.048200052</v>
      </c>
      <c r="AL2746" s="82">
        <f>IFERROR(__xludf.DUMMYFUNCTION("""COMPUTED_VALUE"""),0.7681740355175587)</f>
        <v>0.7681740355</v>
      </c>
      <c r="AM2746" s="82">
        <f>IFERROR(__xludf.DUMMYFUNCTION("""COMPUTED_VALUE"""),0.9743183077939722)</f>
        <v>0.9743183078</v>
      </c>
      <c r="AN2746" s="82">
        <f>IFERROR(__xludf.DUMMYFUNCTION("""COMPUTED_VALUE"""),1.02859874036705)</f>
        <v>1.02859874</v>
      </c>
      <c r="AO2746" s="82">
        <f>IFERROR(__xludf.DUMMYFUNCTION("""COMPUTED_VALUE"""),1.1015850934695657)</f>
        <v>1.101585093</v>
      </c>
      <c r="AP2746" s="82">
        <f>IFERROR(__xludf.DUMMYFUNCTION("""COMPUTED_VALUE"""),0.3800048781444873)</f>
        <v>0.3800048781</v>
      </c>
      <c r="AQ2746" s="82">
        <f>IFERROR(__xludf.DUMMYFUNCTION("""COMPUTED_VALUE"""),0.9327536484993861)</f>
        <v>0.9327536485</v>
      </c>
      <c r="AR2746" s="82">
        <f>IFERROR(__xludf.DUMMYFUNCTION("""COMPUTED_VALUE"""),1.1144501396028226)</f>
        <v>1.11445014</v>
      </c>
      <c r="AS2746" s="82">
        <f>IFERROR(__xludf.DUMMYFUNCTION("""COMPUTED_VALUE"""),29.0)</f>
        <v>29</v>
      </c>
      <c r="AT2746" s="82">
        <f>IFERROR(__xludf.DUMMYFUNCTION("""COMPUTED_VALUE"""),0.28290563776983474)</f>
        <v>0.2829056378</v>
      </c>
      <c r="AU2746" s="82">
        <f>IFERROR(__xludf.DUMMYFUNCTION("""COMPUTED_VALUE"""),1.8048587418170738)</f>
        <v>1.804858742</v>
      </c>
      <c r="AV2746" s="82">
        <f>IFERROR(__xludf.DUMMYFUNCTION("""COMPUTED_VALUE"""),45.03400436128696)</f>
        <v>45.03400436</v>
      </c>
      <c r="AW2746" s="82">
        <f t="shared" si="1"/>
        <v>-2.373761866</v>
      </c>
      <c r="AX2746" s="83">
        <f t="array" ref="AX2746">IFERROR(DGET('SBV Import'!A:G,"SBV",{"RSC ID","Tier";B2746,A2746}))</f>
        <v>49.67767142</v>
      </c>
      <c r="AY2746" s="82">
        <f t="shared" si="2"/>
        <v>-2.020787752</v>
      </c>
      <c r="AZ2746" s="82">
        <v>0.35297411395959033</v>
      </c>
      <c r="BA2746" s="84">
        <v>2700.0</v>
      </c>
      <c r="BB2746" s="84" t="b">
        <f>IFERROR(__xludf.DUMMYFUNCTION("iferror(if(A2746="""",,E2746&gt;=FILTER(Constants!$F$2:$F$10,Constants!$A$2:$A$10=A2746)))"),TRUE)</f>
        <v>1</v>
      </c>
    </row>
    <row r="2747">
      <c r="A2747" s="89" t="str">
        <f>IFERROR(__xludf.DUMMYFUNCTION("""COMPUTED_VALUE"""),"Prospect")</f>
        <v>Prospect</v>
      </c>
      <c r="B2747" s="87" t="str">
        <f>IFERROR(__xludf.DUMMYFUNCTION("""COMPUTED_VALUE"""),"RSC004303")</f>
        <v>RSC004303</v>
      </c>
      <c r="C2747" s="73" t="str">
        <f>IFERROR(__xludf.DUMMYFUNCTION("""COMPUTED_VALUE"""),"Shogun")</f>
        <v>Shogun</v>
      </c>
      <c r="D2747" s="73" t="str">
        <f>IFERROR(__xludf.DUMMYFUNCTION("""COMPUTED_VALUE"""),"Honey Badgers")</f>
        <v>Honey Badgers</v>
      </c>
      <c r="E2747" s="82">
        <f>IFERROR(__xludf.DUMMYFUNCTION("""COMPUTED_VALUE"""),34.0)</f>
        <v>34</v>
      </c>
      <c r="F2747" s="82">
        <f>IFERROR(__xludf.DUMMYFUNCTION("""COMPUTED_VALUE"""),21.0)</f>
        <v>21</v>
      </c>
      <c r="G2747" s="86">
        <f>IFERROR(__xludf.DUMMYFUNCTION("""COMPUTED_VALUE"""),13.0)</f>
        <v>13</v>
      </c>
      <c r="H2747" s="86">
        <f>IFERROR(__xludf.DUMMYFUNCTION("""COMPUTED_VALUE"""),0.6176470588235294)</f>
        <v>0.6176470588</v>
      </c>
      <c r="I2747" s="86">
        <f>IFERROR(__xludf.DUMMYFUNCTION("""COMPUTED_VALUE"""),0.30136986301369867)</f>
        <v>0.301369863</v>
      </c>
      <c r="J2747" s="82">
        <f>IFERROR(__xludf.DUMMYFUNCTION("""COMPUTED_VALUE"""),322.44117647058823)</f>
        <v>322.4411765</v>
      </c>
      <c r="K2747" s="82">
        <f>IFERROR(__xludf.DUMMYFUNCTION("""COMPUTED_VALUE"""),0.6470588235294118)</f>
        <v>0.6470588235</v>
      </c>
      <c r="L2747" s="82">
        <f>IFERROR(__xludf.DUMMYFUNCTION("""COMPUTED_VALUE"""),0.47058823529411764)</f>
        <v>0.4705882353</v>
      </c>
      <c r="M2747" s="82">
        <f>IFERROR(__xludf.DUMMYFUNCTION("""COMPUTED_VALUE"""),1.3529411764705883)</f>
        <v>1.352941176</v>
      </c>
      <c r="N2747" s="82">
        <f>IFERROR(__xludf.DUMMYFUNCTION("""COMPUTED_VALUE"""),2.1470588235294117)</f>
        <v>2.147058824</v>
      </c>
      <c r="O2747" s="82">
        <f>IFERROR(__xludf.DUMMYFUNCTION("""COMPUTED_VALUE"""),325.1078431372549)</f>
        <v>325.1078431</v>
      </c>
      <c r="P2747" s="82">
        <f>IFERROR(__xludf.DUMMYFUNCTION("""COMPUTED_VALUE"""),0.6568627450980392)</f>
        <v>0.6568627451</v>
      </c>
      <c r="Q2747" s="82">
        <f>IFERROR(__xludf.DUMMYFUNCTION("""COMPUTED_VALUE"""),0.4901960784313726)</f>
        <v>0.4901960784</v>
      </c>
      <c r="R2747" s="82">
        <f>IFERROR(__xludf.DUMMYFUNCTION("""COMPUTED_VALUE"""),1.2058823529411764)</f>
        <v>1.205882353</v>
      </c>
      <c r="S2747" s="82">
        <f>IFERROR(__xludf.DUMMYFUNCTION("""COMPUTED_VALUE"""),2.431372549019607)</f>
        <v>2.431372549</v>
      </c>
      <c r="T2747" s="82">
        <f>IFERROR(__xludf.DUMMYFUNCTION("""COMPUTED_VALUE"""),335.743721012712)</f>
        <v>335.743721</v>
      </c>
      <c r="U2747" s="82">
        <f>IFERROR(__xludf.DUMMYFUNCTION("""COMPUTED_VALUE"""),0.7680382522973431)</f>
        <v>0.7680382523</v>
      </c>
      <c r="V2747" s="82">
        <f>IFERROR(__xludf.DUMMYFUNCTION("""COMPUTED_VALUE"""),0.5357141404701192)</f>
        <v>0.5357141405</v>
      </c>
      <c r="W2747" s="82">
        <f>IFERROR(__xludf.DUMMYFUNCTION("""COMPUTED_VALUE"""),1.2340598104367562)</f>
        <v>1.23405981</v>
      </c>
      <c r="X2747" s="82">
        <f>IFERROR(__xludf.DUMMYFUNCTION("""COMPUTED_VALUE"""),2.38555584274472)</f>
        <v>2.385555843</v>
      </c>
      <c r="Y2747" s="82">
        <f>IFERROR(__xludf.DUMMYFUNCTION("""COMPUTED_VALUE"""),335.8493498168384)</f>
        <v>335.8493498</v>
      </c>
      <c r="Z2747" s="82">
        <f>IFERROR(__xludf.DUMMYFUNCTION("""COMPUTED_VALUE"""),0.8212067154007106)</f>
        <v>0.8212067154</v>
      </c>
      <c r="AA2747" s="82">
        <f>IFERROR(__xludf.DUMMYFUNCTION("""COMPUTED_VALUE"""),0.5270288561419462)</f>
        <v>0.5270288561</v>
      </c>
      <c r="AB2747" s="82">
        <f>IFERROR(__xludf.DUMMYFUNCTION("""COMPUTED_VALUE"""),1.1736745259118662)</f>
        <v>1.173674526</v>
      </c>
      <c r="AC2747" s="82">
        <f>IFERROR(__xludf.DUMMYFUNCTION("""COMPUTED_VALUE"""),2.482915233328718)</f>
        <v>2.482915233</v>
      </c>
      <c r="AD2747" s="82">
        <f>IFERROR(__xludf.DUMMYFUNCTION("""COMPUTED_VALUE"""),0.9600768220823933)</f>
        <v>0.9600768221</v>
      </c>
      <c r="AE2747" s="82">
        <f>IFERROR(__xludf.DUMMYFUNCTION("""COMPUTED_VALUE"""),0.7879365954937148)</f>
        <v>0.7879365955</v>
      </c>
      <c r="AF2747" s="82">
        <f>IFERROR(__xludf.DUMMYFUNCTION("""COMPUTED_VALUE"""),0.8929079116065948)</f>
        <v>0.8929079116</v>
      </c>
      <c r="AG2747" s="82">
        <f>IFERROR(__xludf.DUMMYFUNCTION("""COMPUTED_VALUE"""),1.1527396621473436)</f>
        <v>1.152739662</v>
      </c>
      <c r="AH2747" s="82">
        <f>IFERROR(__xludf.DUMMYFUNCTION("""COMPUTED_VALUE"""),0.8647330342610848)</f>
        <v>0.8647330343</v>
      </c>
      <c r="AI2747" s="82">
        <f>IFERROR(__xludf.DUMMYFUNCTION("""COMPUTED_VALUE"""),0.9683214392115038)</f>
        <v>0.9683214392</v>
      </c>
      <c r="AJ2747" s="82">
        <f>IFERROR(__xludf.DUMMYFUNCTION("""COMPUTED_VALUE"""),0.8552474347901845)</f>
        <v>0.8552474348</v>
      </c>
      <c r="AK2747" s="82">
        <f>IFERROR(__xludf.DUMMYFUNCTION("""COMPUTED_VALUE"""),0.9150329278245259)</f>
        <v>0.9150329278</v>
      </c>
      <c r="AL2747" s="82">
        <f>IFERROR(__xludf.DUMMYFUNCTION("""COMPUTED_VALUE"""),0.9771668623698172)</f>
        <v>0.9771668624</v>
      </c>
      <c r="AM2747" s="82">
        <f>IFERROR(__xludf.DUMMYFUNCTION("""COMPUTED_VALUE"""),1.0192058829451558)</f>
        <v>1.019205883</v>
      </c>
      <c r="AN2747" s="82">
        <f>IFERROR(__xludf.DUMMYFUNCTION("""COMPUTED_VALUE"""),0.9959837476279783)</f>
        <v>0.9959837476</v>
      </c>
      <c r="AO2747" s="82">
        <f>IFERROR(__xludf.DUMMYFUNCTION("""COMPUTED_VALUE"""),0.8772804364282515)</f>
        <v>0.8772804364</v>
      </c>
      <c r="AP2747" s="82">
        <f>IFERROR(__xludf.DUMMYFUNCTION("""COMPUTED_VALUE"""),0.9537377333822425)</f>
        <v>0.9537377334</v>
      </c>
      <c r="AQ2747" s="82">
        <f>IFERROR(__xludf.DUMMYFUNCTION("""COMPUTED_VALUE"""),1.1217429498293272)</f>
        <v>1.12174295</v>
      </c>
      <c r="AR2747" s="82">
        <f>IFERROR(__xludf.DUMMYFUNCTION("""COMPUTED_VALUE"""),0.9115390497591713)</f>
        <v>0.9115390498</v>
      </c>
      <c r="AS2747" s="82">
        <f>IFERROR(__xludf.DUMMYFUNCTION("""COMPUTED_VALUE"""),94.0)</f>
        <v>94</v>
      </c>
      <c r="AT2747" s="82">
        <f>IFERROR(__xludf.DUMMYFUNCTION("""COMPUTED_VALUE"""),0.6292665103077605)</f>
        <v>0.6292665103</v>
      </c>
      <c r="AU2747" s="82">
        <f>IFERROR(__xludf.DUMMYFUNCTION("""COMPUTED_VALUE"""),1.8012892431441263)</f>
        <v>1.801289243</v>
      </c>
      <c r="AV2747" s="82">
        <f>IFERROR(__xludf.DUMMYFUNCTION("""COMPUTED_VALUE"""),44.920450774253155)</f>
        <v>44.92045077</v>
      </c>
      <c r="AW2747" s="82">
        <f t="shared" si="1"/>
        <v>-2.383810668</v>
      </c>
      <c r="AX2747" s="83">
        <f t="array" ref="AX2747">IFERROR(DGET('SBV Import'!A:G,"SBV",{"RSC ID","Tier";B2747,A2747}))</f>
        <v>42.42835299</v>
      </c>
      <c r="AY2747" s="82">
        <f t="shared" si="2"/>
        <v>-2.624699216</v>
      </c>
      <c r="AZ2747" s="82">
        <v>0.2408885480391696</v>
      </c>
      <c r="BA2747" s="84">
        <v>2700.0</v>
      </c>
      <c r="BB2747" s="84" t="b">
        <f>IFERROR(__xludf.DUMMYFUNCTION("iferror(if(A2747="""",,E2747&gt;=FILTER(Constants!$F$2:$F$10,Constants!$A$2:$A$10=A2747)))"),TRUE)</f>
        <v>1</v>
      </c>
    </row>
    <row r="2748">
      <c r="A2748" s="89" t="str">
        <f>IFERROR(__xludf.DUMMYFUNCTION("""COMPUTED_VALUE"""),"Prospect")</f>
        <v>Prospect</v>
      </c>
      <c r="B2748" s="87" t="str">
        <f>IFERROR(__xludf.DUMMYFUNCTION("""COMPUTED_VALUE"""),"RSC005018")</f>
        <v>RSC005018</v>
      </c>
      <c r="C2748" s="73" t="str">
        <f>IFERROR(__xludf.DUMMYFUNCTION("""COMPUTED_VALUE"""),"Smitty")</f>
        <v>Smitty</v>
      </c>
      <c r="D2748" s="73" t="str">
        <f>IFERROR(__xludf.DUMMYFUNCTION("""COMPUTED_VALUE"""),"Hawaiian Pizza")</f>
        <v>Hawaiian Pizza</v>
      </c>
      <c r="E2748" s="82">
        <f>IFERROR(__xludf.DUMMYFUNCTION("""COMPUTED_VALUE"""),10.0)</f>
        <v>10</v>
      </c>
      <c r="F2748" s="82">
        <f>IFERROR(__xludf.DUMMYFUNCTION("""COMPUTED_VALUE"""),6.0)</f>
        <v>6</v>
      </c>
      <c r="G2748" s="86">
        <f>IFERROR(__xludf.DUMMYFUNCTION("""COMPUTED_VALUE"""),4.0)</f>
        <v>4</v>
      </c>
      <c r="H2748" s="86">
        <f>IFERROR(__xludf.DUMMYFUNCTION("""COMPUTED_VALUE"""),0.6)</f>
        <v>0.6</v>
      </c>
      <c r="I2748" s="86">
        <f>IFERROR(__xludf.DUMMYFUNCTION("""COMPUTED_VALUE"""),0.35294117647058826)</f>
        <v>0.3529411765</v>
      </c>
      <c r="J2748" s="82">
        <f>IFERROR(__xludf.DUMMYFUNCTION("""COMPUTED_VALUE"""),277.2)</f>
        <v>277.2</v>
      </c>
      <c r="K2748" s="82">
        <f>IFERROR(__xludf.DUMMYFUNCTION("""COMPUTED_VALUE"""),0.6)</f>
        <v>0.6</v>
      </c>
      <c r="L2748" s="82">
        <f>IFERROR(__xludf.DUMMYFUNCTION("""COMPUTED_VALUE"""),0.5)</f>
        <v>0.5</v>
      </c>
      <c r="M2748" s="82">
        <f>IFERROR(__xludf.DUMMYFUNCTION("""COMPUTED_VALUE"""),1.0)</f>
        <v>1</v>
      </c>
      <c r="N2748" s="82">
        <f>IFERROR(__xludf.DUMMYFUNCTION("""COMPUTED_VALUE"""),1.7)</f>
        <v>1.7</v>
      </c>
      <c r="O2748" s="82">
        <f>IFERROR(__xludf.DUMMYFUNCTION("""COMPUTED_VALUE"""),286.4)</f>
        <v>286.4</v>
      </c>
      <c r="P2748" s="82">
        <f>IFERROR(__xludf.DUMMYFUNCTION("""COMPUTED_VALUE"""),0.5)</f>
        <v>0.5</v>
      </c>
      <c r="Q2748" s="82">
        <f>IFERROR(__xludf.DUMMYFUNCTION("""COMPUTED_VALUE"""),0.3666666666666666)</f>
        <v>0.3666666667</v>
      </c>
      <c r="R2748" s="82">
        <f>IFERROR(__xludf.DUMMYFUNCTION("""COMPUTED_VALUE"""),1.0666666666666667)</f>
        <v>1.066666667</v>
      </c>
      <c r="S2748" s="82">
        <f>IFERROR(__xludf.DUMMYFUNCTION("""COMPUTED_VALUE"""),2.3000000000000003)</f>
        <v>2.3</v>
      </c>
      <c r="T2748" s="82">
        <f>IFERROR(__xludf.DUMMYFUNCTION("""COMPUTED_VALUE"""),325.87679962690714)</f>
        <v>325.8767996</v>
      </c>
      <c r="U2748" s="82">
        <f>IFERROR(__xludf.DUMMYFUNCTION("""COMPUTED_VALUE"""),0.7624600592957221)</f>
        <v>0.7624600593</v>
      </c>
      <c r="V2748" s="82">
        <f>IFERROR(__xludf.DUMMYFUNCTION("""COMPUTED_VALUE"""),0.5817302675382184)</f>
        <v>0.5817302675</v>
      </c>
      <c r="W2748" s="82">
        <f>IFERROR(__xludf.DUMMYFUNCTION("""COMPUTED_VALUE"""),1.0403825247277392)</f>
        <v>1.040382525</v>
      </c>
      <c r="X2748" s="82">
        <f>IFERROR(__xludf.DUMMYFUNCTION("""COMPUTED_VALUE"""),2.61663183789856)</f>
        <v>2.616631838</v>
      </c>
      <c r="Y2748" s="82">
        <f>IFERROR(__xludf.DUMMYFUNCTION("""COMPUTED_VALUE"""),337.9774715927592)</f>
        <v>337.9774716</v>
      </c>
      <c r="Z2748" s="82">
        <f>IFERROR(__xludf.DUMMYFUNCTION("""COMPUTED_VALUE"""),0.7848535762578097)</f>
        <v>0.7848535763</v>
      </c>
      <c r="AA2748" s="82">
        <f>IFERROR(__xludf.DUMMYFUNCTION("""COMPUTED_VALUE"""),0.5116880884641197)</f>
        <v>0.5116880885</v>
      </c>
      <c r="AB2748" s="82">
        <f>IFERROR(__xludf.DUMMYFUNCTION("""COMPUTED_VALUE"""),1.3907774190132367)</f>
        <v>1.390777419</v>
      </c>
      <c r="AC2748" s="82">
        <f>IFERROR(__xludf.DUMMYFUNCTION("""COMPUTED_VALUE"""),2.2064055663962487)</f>
        <v>2.206405566</v>
      </c>
      <c r="AD2748" s="82">
        <f>IFERROR(__xludf.DUMMYFUNCTION("""COMPUTED_VALUE"""),0.8201730094424989)</f>
        <v>0.8201730094</v>
      </c>
      <c r="AE2748" s="82">
        <f>IFERROR(__xludf.DUMMYFUNCTION("""COMPUTED_VALUE"""),0.7644738052425096)</f>
        <v>0.7644738052</v>
      </c>
      <c r="AF2748" s="82">
        <f>IFERROR(__xludf.DUMMYFUNCTION("""COMPUTED_VALUE"""),0.9771577866914928)</f>
        <v>0.9771577867</v>
      </c>
      <c r="AG2748" s="82">
        <f>IFERROR(__xludf.DUMMYFUNCTION("""COMPUTED_VALUE"""),0.7190223153820723)</f>
        <v>0.7190223154</v>
      </c>
      <c r="AH2748" s="82">
        <f>IFERROR(__xludf.DUMMYFUNCTION("""COMPUTED_VALUE"""),0.7704839155099814)</f>
        <v>0.7704839155</v>
      </c>
      <c r="AI2748" s="82">
        <f>IFERROR(__xludf.DUMMYFUNCTION("""COMPUTED_VALUE"""),0.8788597418653192)</f>
        <v>0.8788597419</v>
      </c>
      <c r="AJ2748" s="82">
        <f>IFERROR(__xludf.DUMMYFUNCTION("""COMPUTED_VALUE"""),0.6557720550789844)</f>
        <v>0.6557720551</v>
      </c>
      <c r="AK2748" s="82">
        <f>IFERROR(__xludf.DUMMYFUNCTION("""COMPUTED_VALUE"""),0.6303035738854302)</f>
        <v>0.6303035739</v>
      </c>
      <c r="AL2748" s="82">
        <f>IFERROR(__xludf.DUMMYFUNCTION("""COMPUTED_VALUE"""),1.0252639210234773)</f>
        <v>1.025263921</v>
      </c>
      <c r="AM2748" s="82">
        <f>IFERROR(__xludf.DUMMYFUNCTION("""COMPUTED_VALUE"""),0.878992591425147)</f>
        <v>0.8789925914</v>
      </c>
      <c r="AN2748" s="82">
        <f>IFERROR(__xludf.DUMMYFUNCTION("""COMPUTED_VALUE"""),0.8562389514406795)</f>
        <v>0.8562389514</v>
      </c>
      <c r="AO2748" s="82">
        <f>IFERROR(__xludf.DUMMYFUNCTION("""COMPUTED_VALUE"""),0.8134782228698332)</f>
        <v>0.8134782229</v>
      </c>
      <c r="AP2748" s="82">
        <f>IFERROR(__xludf.DUMMYFUNCTION("""COMPUTED_VALUE"""),1.0133463417186328)</f>
        <v>1.013346342</v>
      </c>
      <c r="AQ2748" s="82">
        <f>IFERROR(__xludf.DUMMYFUNCTION("""COMPUTED_VALUE"""),0.8291143542216766)</f>
        <v>0.8291143542</v>
      </c>
      <c r="AR2748" s="82">
        <f>IFERROR(__xludf.DUMMYFUNCTION("""COMPUTED_VALUE"""),0.7217391380284945)</f>
        <v>0.721739138</v>
      </c>
      <c r="AS2748" s="82">
        <f>IFERROR(__xludf.DUMMYFUNCTION("""COMPUTED_VALUE"""),21.0)</f>
        <v>21</v>
      </c>
      <c r="AT2748" s="82">
        <f>IFERROR(__xludf.DUMMYFUNCTION("""COMPUTED_VALUE"""),0.6191562375257209)</f>
        <v>0.6191562375</v>
      </c>
      <c r="AU2748" s="82">
        <f>IFERROR(__xludf.DUMMYFUNCTION("""COMPUTED_VALUE"""),1.7988914768980708)</f>
        <v>1.798891477</v>
      </c>
      <c r="AV2748" s="82">
        <f>IFERROR(__xludf.DUMMYFUNCTION("""COMPUTED_VALUE"""),44.84417256740812)</f>
        <v>44.84417257</v>
      </c>
      <c r="AW2748" s="82">
        <f t="shared" si="1"/>
        <v>-2.390603487</v>
      </c>
      <c r="AX2748" s="83">
        <f t="array" ref="AX2748">IFERROR(DGET('SBV Import'!A:G,"SBV",{"RSC ID","Tier";B2748,A2748}))</f>
        <v>36.19162902</v>
      </c>
      <c r="AY2748" s="82">
        <f t="shared" si="2"/>
        <v>-3.444006688</v>
      </c>
      <c r="AZ2748" s="82">
        <v>1.053403200276248</v>
      </c>
      <c r="BA2748" s="84">
        <v>2700.0</v>
      </c>
      <c r="BB2748" s="84" t="b">
        <f>IFERROR(__xludf.DUMMYFUNCTION("iferror(if(A2748="""",,E2748&gt;=FILTER(Constants!$F$2:$F$10,Constants!$A$2:$A$10=A2748)))"),TRUE)</f>
        <v>1</v>
      </c>
    </row>
    <row r="2749">
      <c r="A2749" s="89" t="str">
        <f>IFERROR(__xludf.DUMMYFUNCTION("""COMPUTED_VALUE"""),"Prospect")</f>
        <v>Prospect</v>
      </c>
      <c r="B2749" s="87" t="str">
        <f>IFERROR(__xludf.DUMMYFUNCTION("""COMPUTED_VALUE"""),"RSC006755")</f>
        <v>RSC006755</v>
      </c>
      <c r="C2749" s="73" t="str">
        <f>IFERROR(__xludf.DUMMYFUNCTION("""COMPUTED_VALUE"""),"Fox_gt_400")</f>
        <v>Fox_gt_400</v>
      </c>
      <c r="D2749" s="73" t="str">
        <f>IFERROR(__xludf.DUMMYFUNCTION("""COMPUTED_VALUE"""),"Undead")</f>
        <v>Undead</v>
      </c>
      <c r="E2749" s="82">
        <f>IFERROR(__xludf.DUMMYFUNCTION("""COMPUTED_VALUE"""),22.0)</f>
        <v>22</v>
      </c>
      <c r="F2749" s="82">
        <f>IFERROR(__xludf.DUMMYFUNCTION("""COMPUTED_VALUE"""),9.0)</f>
        <v>9</v>
      </c>
      <c r="G2749" s="86">
        <f>IFERROR(__xludf.DUMMYFUNCTION("""COMPUTED_VALUE"""),13.0)</f>
        <v>13</v>
      </c>
      <c r="H2749" s="86">
        <f>IFERROR(__xludf.DUMMYFUNCTION("""COMPUTED_VALUE"""),0.4090909090909091)</f>
        <v>0.4090909091</v>
      </c>
      <c r="I2749" s="86">
        <f>IFERROR(__xludf.DUMMYFUNCTION("""COMPUTED_VALUE"""),0.3076923076923077)</f>
        <v>0.3076923077</v>
      </c>
      <c r="J2749" s="82">
        <f>IFERROR(__xludf.DUMMYFUNCTION("""COMPUTED_VALUE"""),329.45454545454544)</f>
        <v>329.4545455</v>
      </c>
      <c r="K2749" s="82">
        <f>IFERROR(__xludf.DUMMYFUNCTION("""COMPUTED_VALUE"""),0.7272727272727273)</f>
        <v>0.7272727273</v>
      </c>
      <c r="L2749" s="82">
        <f>IFERROR(__xludf.DUMMYFUNCTION("""COMPUTED_VALUE"""),0.4090909090909091)</f>
        <v>0.4090909091</v>
      </c>
      <c r="M2749" s="82">
        <f>IFERROR(__xludf.DUMMYFUNCTION("""COMPUTED_VALUE"""),1.4090909090909092)</f>
        <v>1.409090909</v>
      </c>
      <c r="N2749" s="82">
        <f>IFERROR(__xludf.DUMMYFUNCTION("""COMPUTED_VALUE"""),2.3636363636363638)</f>
        <v>2.363636364</v>
      </c>
      <c r="O2749" s="82">
        <f>IFERROR(__xludf.DUMMYFUNCTION("""COMPUTED_VALUE"""),339.53030303030295)</f>
        <v>339.530303</v>
      </c>
      <c r="P2749" s="82">
        <f>IFERROR(__xludf.DUMMYFUNCTION("""COMPUTED_VALUE"""),0.8333333333333333)</f>
        <v>0.8333333333</v>
      </c>
      <c r="Q2749" s="82">
        <f>IFERROR(__xludf.DUMMYFUNCTION("""COMPUTED_VALUE"""),0.5303030303030303)</f>
        <v>0.5303030303</v>
      </c>
      <c r="R2749" s="82">
        <f>IFERROR(__xludf.DUMMYFUNCTION("""COMPUTED_VALUE"""),1.0909090909090908)</f>
        <v>1.090909091</v>
      </c>
      <c r="S2749" s="82">
        <f>IFERROR(__xludf.DUMMYFUNCTION("""COMPUTED_VALUE"""),2.560606060606061)</f>
        <v>2.560606061</v>
      </c>
      <c r="T2749" s="82">
        <f>IFERROR(__xludf.DUMMYFUNCTION("""COMPUTED_VALUE"""),330.50107116749035)</f>
        <v>330.5010712</v>
      </c>
      <c r="U2749" s="82">
        <f>IFERROR(__xludf.DUMMYFUNCTION("""COMPUTED_VALUE"""),0.7819207216754284)</f>
        <v>0.7819207217</v>
      </c>
      <c r="V2749" s="82">
        <f>IFERROR(__xludf.DUMMYFUNCTION("""COMPUTED_VALUE"""),0.467791523509762)</f>
        <v>0.4677915235</v>
      </c>
      <c r="W2749" s="82">
        <f>IFERROR(__xludf.DUMMYFUNCTION("""COMPUTED_VALUE"""),1.1916044935895156)</f>
        <v>1.191604494</v>
      </c>
      <c r="X2749" s="82">
        <f>IFERROR(__xludf.DUMMYFUNCTION("""COMPUTED_VALUE"""),2.4626204006481016)</f>
        <v>2.462620401</v>
      </c>
      <c r="Y2749" s="82">
        <f>IFERROR(__xludf.DUMMYFUNCTION("""COMPUTED_VALUE"""),337.095712060029)</f>
        <v>337.0957121</v>
      </c>
      <c r="Z2749" s="82">
        <f>IFERROR(__xludf.DUMMYFUNCTION("""COMPUTED_VALUE"""),0.7798411150760667)</f>
        <v>0.7798411151</v>
      </c>
      <c r="AA2749" s="82">
        <f>IFERROR(__xludf.DUMMYFUNCTION("""COMPUTED_VALUE"""),0.5388813232194405)</f>
        <v>0.5388813232</v>
      </c>
      <c r="AB2749" s="82">
        <f>IFERROR(__xludf.DUMMYFUNCTION("""COMPUTED_VALUE"""),1.2241071323483466)</f>
        <v>1.224107132</v>
      </c>
      <c r="AC2749" s="82">
        <f>IFERROR(__xludf.DUMMYFUNCTION("""COMPUTED_VALUE"""),2.4332635337471626)</f>
        <v>2.433263534</v>
      </c>
      <c r="AD2749" s="82">
        <f>IFERROR(__xludf.DUMMYFUNCTION("""COMPUTED_VALUE"""),0.9773323530020969)</f>
        <v>0.977332353</v>
      </c>
      <c r="AE2749" s="82">
        <f>IFERROR(__xludf.DUMMYFUNCTION("""COMPUTED_VALUE"""),0.9325908998806612)</f>
        <v>0.9325908999</v>
      </c>
      <c r="AF2749" s="82">
        <f>IFERROR(__xludf.DUMMYFUNCTION("""COMPUTED_VALUE"""),0.7591484274253113)</f>
        <v>0.7591484274</v>
      </c>
      <c r="AG2749" s="82">
        <f>IFERROR(__xludf.DUMMYFUNCTION("""COMPUTED_VALUE"""),1.1511173097959873)</f>
        <v>1.15111731</v>
      </c>
      <c r="AH2749" s="82">
        <f>IFERROR(__xludf.DUMMYFUNCTION("""COMPUTED_VALUE"""),0.9713852736684156)</f>
        <v>0.9713852737</v>
      </c>
      <c r="AI2749" s="82">
        <f>IFERROR(__xludf.DUMMYFUNCTION("""COMPUTED_VALUE"""),1.0273198263198269)</f>
        <v>1.027319826</v>
      </c>
      <c r="AJ2749" s="82">
        <f>IFERROR(__xludf.DUMMYFUNCTION("""COMPUTED_VALUE"""),1.0657516935319769)</f>
        <v>1.065751694</v>
      </c>
      <c r="AK2749" s="82">
        <f>IFERROR(__xludf.DUMMYFUNCTION("""COMPUTED_VALUE"""),1.1336311233778988)</f>
        <v>1.133631123</v>
      </c>
      <c r="AL2749" s="82">
        <f>IFERROR(__xludf.DUMMYFUNCTION("""COMPUTED_VALUE"""),0.9154959525395073)</f>
        <v>0.9154959525</v>
      </c>
      <c r="AM2749" s="82">
        <f>IFERROR(__xludf.DUMMYFUNCTION("""COMPUTED_VALUE"""),1.0397891855083194)</f>
        <v>1.039789186</v>
      </c>
      <c r="AN2749" s="82">
        <f>IFERROR(__xludf.DUMMYFUNCTION("""COMPUTED_VALUE"""),1.0176472386268602)</f>
        <v>1.017647239</v>
      </c>
      <c r="AO2749" s="82">
        <f>IFERROR(__xludf.DUMMYFUNCTION("""COMPUTED_VALUE"""),0.9860342095391917)</f>
        <v>0.9860342095</v>
      </c>
      <c r="AP2749" s="82">
        <f>IFERROR(__xludf.DUMMYFUNCTION("""COMPUTED_VALUE"""),0.8291015523152451)</f>
        <v>0.8291015523</v>
      </c>
      <c r="AQ2749" s="82">
        <f>IFERROR(__xludf.DUMMYFUNCTION("""COMPUTED_VALUE"""),1.1682974991305444)</f>
        <v>1.168297499</v>
      </c>
      <c r="AR2749" s="82">
        <f>IFERROR(__xludf.DUMMYFUNCTION("""COMPUTED_VALUE"""),1.0034875715904203)</f>
        <v>1.003487572</v>
      </c>
      <c r="AS2749" s="82">
        <f>IFERROR(__xludf.DUMMYFUNCTION("""COMPUTED_VALUE"""),45.0)</f>
        <v>45</v>
      </c>
      <c r="AT2749" s="82">
        <f>IFERROR(__xludf.DUMMYFUNCTION("""COMPUTED_VALUE"""),0.42314139997229583)</f>
        <v>0.4231414</v>
      </c>
      <c r="AU2749" s="82">
        <f>IFERROR(__xludf.DUMMYFUNCTION("""COMPUTED_VALUE"""),1.791613717576678)</f>
        <v>1.791613718</v>
      </c>
      <c r="AV2749" s="82">
        <f>IFERROR(__xludf.DUMMYFUNCTION("""COMPUTED_VALUE"""),44.612651070348576)</f>
        <v>44.61265107</v>
      </c>
      <c r="AW2749" s="82">
        <f t="shared" si="1"/>
        <v>-2.411433408</v>
      </c>
      <c r="AX2749" s="83">
        <f t="array" ref="AX2749">IFERROR(DGET('SBV Import'!A:G,"SBV",{"RSC ID","Tier";B2749,A2749}))</f>
        <v>46.60977571</v>
      </c>
      <c r="AY2749" s="82">
        <f t="shared" si="2"/>
        <v>-2.241824706</v>
      </c>
      <c r="AZ2749" s="82">
        <v>0.16960870185844712</v>
      </c>
      <c r="BA2749" s="84">
        <v>2700.0</v>
      </c>
      <c r="BB2749" s="84" t="b">
        <f>IFERROR(__xludf.DUMMYFUNCTION("iferror(if(A2749="""",,E2749&gt;=FILTER(Constants!$F$2:$F$10,Constants!$A$2:$A$10=A2749)))"),TRUE)</f>
        <v>1</v>
      </c>
    </row>
    <row r="2750">
      <c r="A2750" s="89" t="str">
        <f>IFERROR(__xludf.DUMMYFUNCTION("""COMPUTED_VALUE"""),"Prospect")</f>
        <v>Prospect</v>
      </c>
      <c r="B2750" s="87" t="str">
        <f>IFERROR(__xludf.DUMMYFUNCTION("""COMPUTED_VALUE"""),"RSC005608")</f>
        <v>RSC005608</v>
      </c>
      <c r="C2750" s="73" t="str">
        <f>IFERROR(__xludf.DUMMYFUNCTION("""COMPUTED_VALUE"""),"wolverine36535")</f>
        <v>wolverine36535</v>
      </c>
      <c r="D2750" s="73" t="str">
        <f>IFERROR(__xludf.DUMMYFUNCTION("""COMPUTED_VALUE"""),"Prism Proteges")</f>
        <v>Prism Proteges</v>
      </c>
      <c r="E2750" s="82">
        <f>IFERROR(__xludf.DUMMYFUNCTION("""COMPUTED_VALUE"""),26.0)</f>
        <v>26</v>
      </c>
      <c r="F2750" s="82">
        <f>IFERROR(__xludf.DUMMYFUNCTION("""COMPUTED_VALUE"""),10.0)</f>
        <v>10</v>
      </c>
      <c r="G2750" s="86">
        <f>IFERROR(__xludf.DUMMYFUNCTION("""COMPUTED_VALUE"""),16.0)</f>
        <v>16</v>
      </c>
      <c r="H2750" s="86">
        <f>IFERROR(__xludf.DUMMYFUNCTION("""COMPUTED_VALUE"""),0.38461538461538464)</f>
        <v>0.3846153846</v>
      </c>
      <c r="I2750" s="86">
        <f>IFERROR(__xludf.DUMMYFUNCTION("""COMPUTED_VALUE"""),0.3064516129032258)</f>
        <v>0.3064516129</v>
      </c>
      <c r="J2750" s="82">
        <f>IFERROR(__xludf.DUMMYFUNCTION("""COMPUTED_VALUE"""),310.03846153846155)</f>
        <v>310.0384615</v>
      </c>
      <c r="K2750" s="82">
        <f>IFERROR(__xludf.DUMMYFUNCTION("""COMPUTED_VALUE"""),0.7307692307692307)</f>
        <v>0.7307692308</v>
      </c>
      <c r="L2750" s="82">
        <f>IFERROR(__xludf.DUMMYFUNCTION("""COMPUTED_VALUE"""),0.4230769230769231)</f>
        <v>0.4230769231</v>
      </c>
      <c r="M2750" s="82">
        <f>IFERROR(__xludf.DUMMYFUNCTION("""COMPUTED_VALUE"""),1.1153846153846154)</f>
        <v>1.115384615</v>
      </c>
      <c r="N2750" s="82">
        <f>IFERROR(__xludf.DUMMYFUNCTION("""COMPUTED_VALUE"""),2.3846153846153846)</f>
        <v>2.384615385</v>
      </c>
      <c r="O2750" s="82">
        <f>IFERROR(__xludf.DUMMYFUNCTION("""COMPUTED_VALUE"""),340.9871794871796)</f>
        <v>340.9871795</v>
      </c>
      <c r="P2750" s="82">
        <f>IFERROR(__xludf.DUMMYFUNCTION("""COMPUTED_VALUE"""),0.858974358974359)</f>
        <v>0.858974359</v>
      </c>
      <c r="Q2750" s="82">
        <f>IFERROR(__xludf.DUMMYFUNCTION("""COMPUTED_VALUE"""),0.5)</f>
        <v>0.5</v>
      </c>
      <c r="R2750" s="82">
        <f>IFERROR(__xludf.DUMMYFUNCTION("""COMPUTED_VALUE"""),1.4102564102564101)</f>
        <v>1.41025641</v>
      </c>
      <c r="S2750" s="82">
        <f>IFERROR(__xludf.DUMMYFUNCTION("""COMPUTED_VALUE"""),2.3205128205128203)</f>
        <v>2.320512821</v>
      </c>
      <c r="T2750" s="82">
        <f>IFERROR(__xludf.DUMMYFUNCTION("""COMPUTED_VALUE"""),328.65980819218964)</f>
        <v>328.6598082</v>
      </c>
      <c r="U2750" s="82">
        <f>IFERROR(__xludf.DUMMYFUNCTION("""COMPUTED_VALUE"""),0.7544048304179716)</f>
        <v>0.7544048304</v>
      </c>
      <c r="V2750" s="82">
        <f>IFERROR(__xludf.DUMMYFUNCTION("""COMPUTED_VALUE"""),0.4943415302202476)</f>
        <v>0.4943415302</v>
      </c>
      <c r="W2750" s="82">
        <f>IFERROR(__xludf.DUMMYFUNCTION("""COMPUTED_VALUE"""),1.2520772037649552)</f>
        <v>1.252077204</v>
      </c>
      <c r="X2750" s="82">
        <f>IFERROR(__xludf.DUMMYFUNCTION("""COMPUTED_VALUE"""),2.336578183941395)</f>
        <v>2.336578184</v>
      </c>
      <c r="Y2750" s="82">
        <f>IFERROR(__xludf.DUMMYFUNCTION("""COMPUTED_VALUE"""),336.41896579470256)</f>
        <v>336.4189658</v>
      </c>
      <c r="Z2750" s="82">
        <f>IFERROR(__xludf.DUMMYFUNCTION("""COMPUTED_VALUE"""),0.7919521846742672)</f>
        <v>0.7919521847</v>
      </c>
      <c r="AA2750" s="82">
        <f>IFERROR(__xludf.DUMMYFUNCTION("""COMPUTED_VALUE"""),0.5269484325224849)</f>
        <v>0.5269484325</v>
      </c>
      <c r="AB2750" s="82">
        <f>IFERROR(__xludf.DUMMYFUNCTION("""COMPUTED_VALUE"""),1.197038480883197)</f>
        <v>1.197038481</v>
      </c>
      <c r="AC2750" s="82">
        <f>IFERROR(__xludf.DUMMYFUNCTION("""COMPUTED_VALUE"""),2.5500003733215206)</f>
        <v>2.550000373</v>
      </c>
      <c r="AD2750" s="82">
        <f>IFERROR(__xludf.DUMMYFUNCTION("""COMPUTED_VALUE"""),0.9215843726469942)</f>
        <v>0.9215843726</v>
      </c>
      <c r="AE2750" s="82">
        <f>IFERROR(__xludf.DUMMYFUNCTION("""COMPUTED_VALUE"""),0.9227441314146999)</f>
        <v>0.9227441314</v>
      </c>
      <c r="AF2750" s="82">
        <f>IFERROR(__xludf.DUMMYFUNCTION("""COMPUTED_VALUE"""),0.8028810732990849)</f>
        <v>0.8028810733</v>
      </c>
      <c r="AG2750" s="82">
        <f>IFERROR(__xludf.DUMMYFUNCTION("""COMPUTED_VALUE"""),0.9317867664217979)</f>
        <v>0.9317867664</v>
      </c>
      <c r="AH2750" s="82">
        <f>IFERROR(__xludf.DUMMYFUNCTION("""COMPUTED_VALUE"""),0.9351431511789495)</f>
        <v>0.9351431512</v>
      </c>
      <c r="AI2750" s="82">
        <f>IFERROR(__xludf.DUMMYFUNCTION("""COMPUTED_VALUE"""),1.0375079975942216)</f>
        <v>1.037507998</v>
      </c>
      <c r="AJ2750" s="82">
        <f>IFERROR(__xludf.DUMMYFUNCTION("""COMPUTED_VALUE"""),1.138611955199772)</f>
        <v>1.138611955</v>
      </c>
      <c r="AK2750" s="82">
        <f>IFERROR(__xludf.DUMMYFUNCTION("""COMPUTED_VALUE"""),1.0114464786667454)</f>
        <v>1.011446479</v>
      </c>
      <c r="AL2750" s="82">
        <f>IFERROR(__xludf.DUMMYFUNCTION("""COMPUTED_VALUE"""),1.1263334289737208)</f>
        <v>1.126333429</v>
      </c>
      <c r="AM2750" s="82">
        <f>IFERROR(__xludf.DUMMYFUNCTION("""COMPUTED_VALUE"""),0.9931244057917741)</f>
        <v>0.9931244058</v>
      </c>
      <c r="AN2750" s="82">
        <f>IFERROR(__xludf.DUMMYFUNCTION("""COMPUTED_VALUE"""),0.9576731861975966)</f>
        <v>0.9576731862</v>
      </c>
      <c r="AO2750" s="82">
        <f>IFERROR(__xludf.DUMMYFUNCTION("""COMPUTED_VALUE"""),0.9907747586235147)</f>
        <v>0.9907747586</v>
      </c>
      <c r="AP2750" s="82">
        <f>IFERROR(__xludf.DUMMYFUNCTION("""COMPUTED_VALUE"""),0.8574469045311508)</f>
        <v>0.8574469045</v>
      </c>
      <c r="AQ2750" s="82">
        <f>IFERROR(__xludf.DUMMYFUNCTION("""COMPUTED_VALUE"""),0.9247813950934085)</f>
        <v>0.9247813951</v>
      </c>
      <c r="AR2750" s="82">
        <f>IFERROR(__xludf.DUMMYFUNCTION("""COMPUTED_VALUE"""),1.0123942660128205)</f>
        <v>1.012394266</v>
      </c>
      <c r="AS2750" s="82">
        <f>IFERROR(__xludf.DUMMYFUNCTION("""COMPUTED_VALUE"""),54.0)</f>
        <v>54</v>
      </c>
      <c r="AT2750" s="82">
        <f>IFERROR(__xludf.DUMMYFUNCTION("""COMPUTED_VALUE"""),0.41693361135534673)</f>
        <v>0.4169336114</v>
      </c>
      <c r="AU2750" s="82">
        <f>IFERROR(__xludf.DUMMYFUNCTION("""COMPUTED_VALUE"""),1.7872030371318497)</f>
        <v>1.787203037</v>
      </c>
      <c r="AV2750" s="82">
        <f>IFERROR(__xludf.DUMMYFUNCTION("""COMPUTED_VALUE"""),44.47233764494631)</f>
        <v>44.47233764</v>
      </c>
      <c r="AW2750" s="82">
        <f t="shared" si="1"/>
        <v>-2.424214469</v>
      </c>
      <c r="AX2750" s="83">
        <f t="array" ref="AX2750">IFERROR(DGET('SBV Import'!A:G,"SBV",{"RSC ID","Tier";B2750,A2750}))</f>
        <v>39.79417737</v>
      </c>
      <c r="AY2750" s="82">
        <f t="shared" si="2"/>
        <v>-2.927817474</v>
      </c>
      <c r="AZ2750" s="82">
        <v>0.5036030056126002</v>
      </c>
      <c r="BA2750" s="84">
        <v>2700.0</v>
      </c>
      <c r="BB2750" s="84" t="b">
        <f>IFERROR(__xludf.DUMMYFUNCTION("iferror(if(A2750="""",,E2750&gt;=FILTER(Constants!$F$2:$F$10,Constants!$A$2:$A$10=A2750)))"),TRUE)</f>
        <v>1</v>
      </c>
    </row>
    <row r="2751">
      <c r="A2751" s="89" t="str">
        <f>IFERROR(__xludf.DUMMYFUNCTION("""COMPUTED_VALUE"""),"Prospect")</f>
        <v>Prospect</v>
      </c>
      <c r="B2751" s="87" t="str">
        <f>IFERROR(__xludf.DUMMYFUNCTION("""COMPUTED_VALUE"""),"RSC006758")</f>
        <v>RSC006758</v>
      </c>
      <c r="C2751" s="73" t="str">
        <f>IFERROR(__xludf.DUMMYFUNCTION("""COMPUTED_VALUE"""),"El Booger Sugar")</f>
        <v>El Booger Sugar</v>
      </c>
      <c r="D2751" s="73" t="str">
        <f>IFERROR(__xludf.DUMMYFUNCTION("""COMPUTED_VALUE"""),"Principales")</f>
        <v>Principales</v>
      </c>
      <c r="E2751" s="82">
        <f>IFERROR(__xludf.DUMMYFUNCTION("""COMPUTED_VALUE"""),12.0)</f>
        <v>12</v>
      </c>
      <c r="F2751" s="82">
        <f>IFERROR(__xludf.DUMMYFUNCTION("""COMPUTED_VALUE"""),6.0)</f>
        <v>6</v>
      </c>
      <c r="G2751" s="86">
        <f>IFERROR(__xludf.DUMMYFUNCTION("""COMPUTED_VALUE"""),6.0)</f>
        <v>6</v>
      </c>
      <c r="H2751" s="86">
        <f>IFERROR(__xludf.DUMMYFUNCTION("""COMPUTED_VALUE"""),0.5)</f>
        <v>0.5</v>
      </c>
      <c r="I2751" s="86">
        <f>IFERROR(__xludf.DUMMYFUNCTION("""COMPUTED_VALUE"""),0.2857142857142857)</f>
        <v>0.2857142857</v>
      </c>
      <c r="J2751" s="82">
        <f>IFERROR(__xludf.DUMMYFUNCTION("""COMPUTED_VALUE"""),302.3333333333333)</f>
        <v>302.3333333</v>
      </c>
      <c r="K2751" s="82">
        <f>IFERROR(__xludf.DUMMYFUNCTION("""COMPUTED_VALUE"""),0.6666666666666666)</f>
        <v>0.6666666667</v>
      </c>
      <c r="L2751" s="82">
        <f>IFERROR(__xludf.DUMMYFUNCTION("""COMPUTED_VALUE"""),0.5833333333333334)</f>
        <v>0.5833333333</v>
      </c>
      <c r="M2751" s="82">
        <f>IFERROR(__xludf.DUMMYFUNCTION("""COMPUTED_VALUE"""),0.9166666666666666)</f>
        <v>0.9166666667</v>
      </c>
      <c r="N2751" s="82">
        <f>IFERROR(__xludf.DUMMYFUNCTION("""COMPUTED_VALUE"""),2.3333333333333335)</f>
        <v>2.333333333</v>
      </c>
      <c r="O2751" s="82">
        <f>IFERROR(__xludf.DUMMYFUNCTION("""COMPUTED_VALUE"""),350.4444444444444)</f>
        <v>350.4444444</v>
      </c>
      <c r="P2751" s="82">
        <f>IFERROR(__xludf.DUMMYFUNCTION("""COMPUTED_VALUE"""),0.8611111111111112)</f>
        <v>0.8611111111</v>
      </c>
      <c r="Q2751" s="82">
        <f>IFERROR(__xludf.DUMMYFUNCTION("""COMPUTED_VALUE"""),0.5833333333333333)</f>
        <v>0.5833333333</v>
      </c>
      <c r="R2751" s="82">
        <f>IFERROR(__xludf.DUMMYFUNCTION("""COMPUTED_VALUE"""),1.3888888888888886)</f>
        <v>1.388888889</v>
      </c>
      <c r="S2751" s="82">
        <f>IFERROR(__xludf.DUMMYFUNCTION("""COMPUTED_VALUE"""),1.9999999999999993)</f>
        <v>2</v>
      </c>
      <c r="T2751" s="82">
        <f>IFERROR(__xludf.DUMMYFUNCTION("""COMPUTED_VALUE"""),322.3619078948985)</f>
        <v>322.3619079</v>
      </c>
      <c r="U2751" s="82">
        <f>IFERROR(__xludf.DUMMYFUNCTION("""COMPUTED_VALUE"""),0.7351214352866381)</f>
        <v>0.7351214353</v>
      </c>
      <c r="V2751" s="82">
        <f>IFERROR(__xludf.DUMMYFUNCTION("""COMPUTED_VALUE"""),0.48781839071543454)</f>
        <v>0.4878183907</v>
      </c>
      <c r="W2751" s="82">
        <f>IFERROR(__xludf.DUMMYFUNCTION("""COMPUTED_VALUE"""),1.2251226101905368)</f>
        <v>1.22512261</v>
      </c>
      <c r="X2751" s="82">
        <f>IFERROR(__xludf.DUMMYFUNCTION("""COMPUTED_VALUE"""),2.2403047988210627)</f>
        <v>2.240304799</v>
      </c>
      <c r="Y2751" s="82">
        <f>IFERROR(__xludf.DUMMYFUNCTION("""COMPUTED_VALUE"""),333.27083328912585)</f>
        <v>333.2708333</v>
      </c>
      <c r="Z2751" s="82">
        <f>IFERROR(__xludf.DUMMYFUNCTION("""COMPUTED_VALUE"""),0.8154566776238096)</f>
        <v>0.8154566776</v>
      </c>
      <c r="AA2751" s="82">
        <f>IFERROR(__xludf.DUMMYFUNCTION("""COMPUTED_VALUE"""),0.5448253828744747)</f>
        <v>0.5448253829</v>
      </c>
      <c r="AB2751" s="82">
        <f>IFERROR(__xludf.DUMMYFUNCTION("""COMPUTED_VALUE"""),1.1061004945854396)</f>
        <v>1.106100495</v>
      </c>
      <c r="AC2751" s="82">
        <f>IFERROR(__xludf.DUMMYFUNCTION("""COMPUTED_VALUE"""),2.542507986430344)</f>
        <v>2.542507986</v>
      </c>
      <c r="AD2751" s="82">
        <f>IFERROR(__xludf.DUMMYFUNCTION("""COMPUTED_VALUE"""),0.9071700945130323)</f>
        <v>0.9071700945</v>
      </c>
      <c r="AE2751" s="82">
        <f>IFERROR(__xludf.DUMMYFUNCTION("""COMPUTED_VALUE"""),0.817537810358353)</f>
        <v>0.8175378104</v>
      </c>
      <c r="AF2751" s="82">
        <f>IFERROR(__xludf.DUMMYFUNCTION("""COMPUTED_VALUE"""),1.0706794354104656)</f>
        <v>1.070679435</v>
      </c>
      <c r="AG2751" s="82">
        <f>IFERROR(__xludf.DUMMYFUNCTION("""COMPUTED_VALUE"""),0.8287372360413131)</f>
        <v>0.828737236</v>
      </c>
      <c r="AH2751" s="82">
        <f>IFERROR(__xludf.DUMMYFUNCTION("""COMPUTED_VALUE"""),0.917729008438361)</f>
        <v>0.9177290084</v>
      </c>
      <c r="AI2751" s="82">
        <f>IFERROR(__xludf.DUMMYFUNCTION("""COMPUTED_VALUE"""),1.0871149346798812)</f>
        <v>1.087114935</v>
      </c>
      <c r="AJ2751" s="82">
        <f>IFERROR(__xludf.DUMMYFUNCTION("""COMPUTED_VALUE"""),1.1713862088313984)</f>
        <v>1.171386209</v>
      </c>
      <c r="AK2751" s="82">
        <f>IFERROR(__xludf.DUMMYFUNCTION("""COMPUTED_VALUE"""),1.1958002085116481)</f>
        <v>1.195800209</v>
      </c>
      <c r="AL2751" s="82">
        <f>IFERROR(__xludf.DUMMYFUNCTION("""COMPUTED_VALUE"""),1.1336733787591122)</f>
        <v>1.133673379</v>
      </c>
      <c r="AM2751" s="82">
        <f>IFERROR(__xludf.DUMMYFUNCTION("""COMPUTED_VALUE"""),0.8927356675093847)</f>
        <v>0.8927356675</v>
      </c>
      <c r="AN2751" s="82">
        <f>IFERROR(__xludf.DUMMYFUNCTION("""COMPUTED_VALUE"""),0.9338729304433577)</f>
        <v>0.9338729304</v>
      </c>
      <c r="AO2751" s="82">
        <f>IFERROR(__xludf.DUMMYFUNCTION("""COMPUTED_VALUE"""),0.9038646920775923)</f>
        <v>0.9038646921</v>
      </c>
      <c r="AP2751" s="82">
        <f>IFERROR(__xludf.DUMMYFUNCTION("""COMPUTED_VALUE"""),1.1822373986717383)</f>
        <v>1.182237399</v>
      </c>
      <c r="AQ2751" s="82">
        <f>IFERROR(__xludf.DUMMYFUNCTION("""COMPUTED_VALUE"""),0.7600214913698702)</f>
        <v>0.7600214914</v>
      </c>
      <c r="AR2751" s="82">
        <f>IFERROR(__xludf.DUMMYFUNCTION("""COMPUTED_VALUE"""),0.99062234631362)</f>
        <v>0.9906223463</v>
      </c>
      <c r="AS2751" s="82">
        <f>IFERROR(__xludf.DUMMYFUNCTION("""COMPUTED_VALUE"""),28.0)</f>
        <v>28</v>
      </c>
      <c r="AT2751" s="82">
        <f>IFERROR(__xludf.DUMMYFUNCTION("""COMPUTED_VALUE"""),0.4598958304271462)</f>
        <v>0.4598958304</v>
      </c>
      <c r="AU2751" s="82">
        <f>IFERROR(__xludf.DUMMYFUNCTION("""COMPUTED_VALUE"""),1.7870201333124858)</f>
        <v>1.787020133</v>
      </c>
      <c r="AV2751" s="82">
        <f>IFERROR(__xludf.DUMMYFUNCTION("""COMPUTED_VALUE"""),44.46651907301957)</f>
        <v>44.46651907</v>
      </c>
      <c r="AW2751" s="82">
        <f t="shared" si="1"/>
        <v>-2.424747063</v>
      </c>
      <c r="AX2751" s="83">
        <f t="array" ref="AX2751">IFERROR(DGET('SBV Import'!A:G,"SBV",{"RSC ID","Tier";B2751,A2751}))</f>
        <v>49.53862613</v>
      </c>
      <c r="AY2751" s="82">
        <f t="shared" si="2"/>
        <v>-2.029888252</v>
      </c>
      <c r="AZ2751" s="82">
        <v>0.3948588108793216</v>
      </c>
      <c r="BA2751" s="84">
        <v>2700.0</v>
      </c>
      <c r="BB2751" s="84" t="b">
        <f>IFERROR(__xludf.DUMMYFUNCTION("iferror(if(A2751="""",,E2751&gt;=FILTER(Constants!$F$2:$F$10,Constants!$A$2:$A$10=A2751)))"),TRUE)</f>
        <v>1</v>
      </c>
    </row>
    <row r="2752">
      <c r="A2752" s="89" t="str">
        <f>IFERROR(__xludf.DUMMYFUNCTION("""COMPUTED_VALUE"""),"Prospect")</f>
        <v>Prospect</v>
      </c>
      <c r="B2752" s="87" t="str">
        <f>IFERROR(__xludf.DUMMYFUNCTION("""COMPUTED_VALUE"""),"RSC005139")</f>
        <v>RSC005139</v>
      </c>
      <c r="C2752" s="73" t="str">
        <f>IFERROR(__xludf.DUMMYFUNCTION("""COMPUTED_VALUE"""),"brillo_padd")</f>
        <v>brillo_padd</v>
      </c>
      <c r="D2752" s="73" t="str">
        <f>IFERROR(__xludf.DUMMYFUNCTION("""COMPUTED_VALUE"""),"Principales")</f>
        <v>Principales</v>
      </c>
      <c r="E2752" s="82">
        <f>IFERROR(__xludf.DUMMYFUNCTION("""COMPUTED_VALUE"""),34.0)</f>
        <v>34</v>
      </c>
      <c r="F2752" s="82">
        <f>IFERROR(__xludf.DUMMYFUNCTION("""COMPUTED_VALUE"""),12.0)</f>
        <v>12</v>
      </c>
      <c r="G2752" s="86">
        <f>IFERROR(__xludf.DUMMYFUNCTION("""COMPUTED_VALUE"""),22.0)</f>
        <v>22</v>
      </c>
      <c r="H2752" s="86">
        <f>IFERROR(__xludf.DUMMYFUNCTION("""COMPUTED_VALUE"""),0.35294117647058826)</f>
        <v>0.3529411765</v>
      </c>
      <c r="I2752" s="86">
        <f>IFERROR(__xludf.DUMMYFUNCTION("""COMPUTED_VALUE"""),0.32051282051282054)</f>
        <v>0.3205128205</v>
      </c>
      <c r="J2752" s="82">
        <f>IFERROR(__xludf.DUMMYFUNCTION("""COMPUTED_VALUE"""),293.29411764705884)</f>
        <v>293.2941176</v>
      </c>
      <c r="K2752" s="82">
        <f>IFERROR(__xludf.DUMMYFUNCTION("""COMPUTED_VALUE"""),0.7352941176470589)</f>
        <v>0.7352941176</v>
      </c>
      <c r="L2752" s="82">
        <f>IFERROR(__xludf.DUMMYFUNCTION("""COMPUTED_VALUE"""),0.4117647058823529)</f>
        <v>0.4117647059</v>
      </c>
      <c r="M2752" s="82">
        <f>IFERROR(__xludf.DUMMYFUNCTION("""COMPUTED_VALUE"""),1.0294117647058822)</f>
        <v>1.029411765</v>
      </c>
      <c r="N2752" s="82">
        <f>IFERROR(__xludf.DUMMYFUNCTION("""COMPUTED_VALUE"""),2.2941176470588234)</f>
        <v>2.294117647</v>
      </c>
      <c r="O2752" s="82">
        <f>IFERROR(__xludf.DUMMYFUNCTION("""COMPUTED_VALUE"""),339.3137254901961)</f>
        <v>339.3137255</v>
      </c>
      <c r="P2752" s="82">
        <f>IFERROR(__xludf.DUMMYFUNCTION("""COMPUTED_VALUE"""),0.9509803921568628)</f>
        <v>0.9509803922</v>
      </c>
      <c r="Q2752" s="82">
        <f>IFERROR(__xludf.DUMMYFUNCTION("""COMPUTED_VALUE"""),0.607843137254902)</f>
        <v>0.6078431373</v>
      </c>
      <c r="R2752" s="82">
        <f>IFERROR(__xludf.DUMMYFUNCTION("""COMPUTED_VALUE"""),0.9509803921568628)</f>
        <v>0.9509803922</v>
      </c>
      <c r="S2752" s="82">
        <f>IFERROR(__xludf.DUMMYFUNCTION("""COMPUTED_VALUE"""),2.4411764705882346)</f>
        <v>2.441176471</v>
      </c>
      <c r="T2752" s="82">
        <f>IFERROR(__xludf.DUMMYFUNCTION("""COMPUTED_VALUE"""),331.3859318576751)</f>
        <v>331.3859319</v>
      </c>
      <c r="U2752" s="82">
        <f>IFERROR(__xludf.DUMMYFUNCTION("""COMPUTED_VALUE"""),0.7651449491972315)</f>
        <v>0.7651449492</v>
      </c>
      <c r="V2752" s="82">
        <f>IFERROR(__xludf.DUMMYFUNCTION("""COMPUTED_VALUE"""),0.5719491098985532)</f>
        <v>0.5719491099</v>
      </c>
      <c r="W2752" s="82">
        <f>IFERROR(__xludf.DUMMYFUNCTION("""COMPUTED_VALUE"""),1.1674690746755987)</f>
        <v>1.167469075</v>
      </c>
      <c r="X2752" s="82">
        <f>IFERROR(__xludf.DUMMYFUNCTION("""COMPUTED_VALUE"""),2.433501119638098)</f>
        <v>2.43350112</v>
      </c>
      <c r="Y2752" s="82">
        <f>IFERROR(__xludf.DUMMYFUNCTION("""COMPUTED_VALUE"""),334.7546606118471)</f>
        <v>334.7546606</v>
      </c>
      <c r="Z2752" s="82">
        <f>IFERROR(__xludf.DUMMYFUNCTION("""COMPUTED_VALUE"""),0.789330367824139)</f>
        <v>0.7893303678</v>
      </c>
      <c r="AA2752" s="82">
        <f>IFERROR(__xludf.DUMMYFUNCTION("""COMPUTED_VALUE"""),0.519344053778967)</f>
        <v>0.5193440538</v>
      </c>
      <c r="AB2752" s="82">
        <f>IFERROR(__xludf.DUMMYFUNCTION("""COMPUTED_VALUE"""),1.2329980501560456)</f>
        <v>1.23299805</v>
      </c>
      <c r="AC2752" s="82">
        <f>IFERROR(__xludf.DUMMYFUNCTION("""COMPUTED_VALUE"""),2.3832643646717417)</f>
        <v>2.383264365</v>
      </c>
      <c r="AD2752" s="82">
        <f>IFERROR(__xludf.DUMMYFUNCTION("""COMPUTED_VALUE"""),0.8761464802640572)</f>
        <v>0.8761464803</v>
      </c>
      <c r="AE2752" s="82">
        <f>IFERROR(__xludf.DUMMYFUNCTION("""COMPUTED_VALUE"""),0.9315416555858151)</f>
        <v>0.9315416556</v>
      </c>
      <c r="AF2752" s="82">
        <f>IFERROR(__xludf.DUMMYFUNCTION("""COMPUTED_VALUE"""),0.7928553391266903)</f>
        <v>0.7928553391</v>
      </c>
      <c r="AG2752" s="82">
        <f>IFERROR(__xludf.DUMMYFUNCTION("""COMPUTED_VALUE"""),0.8348851521505668)</f>
        <v>0.8348851522</v>
      </c>
      <c r="AH2752" s="82">
        <f>IFERROR(__xludf.DUMMYFUNCTION("""COMPUTED_VALUE"""),0.9625947003889361)</f>
        <v>0.9625947004</v>
      </c>
      <c r="AI2752" s="82">
        <f>IFERROR(__xludf.DUMMYFUNCTION("""COMPUTED_VALUE"""),1.0239231448000208)</f>
        <v>1.023923145</v>
      </c>
      <c r="AJ2752" s="82">
        <f>IFERROR(__xludf.DUMMYFUNCTION("""COMPUTED_VALUE"""),1.2428761284441654)</f>
        <v>1.242876128</v>
      </c>
      <c r="AK2752" s="82">
        <f>IFERROR(__xludf.DUMMYFUNCTION("""COMPUTED_VALUE"""),1.062757379520558)</f>
        <v>1.06275738</v>
      </c>
      <c r="AL2752" s="82">
        <f>IFERROR(__xludf.DUMMYFUNCTION("""COMPUTED_VALUE"""),0.8145658097377089)</f>
        <v>0.8145658097</v>
      </c>
      <c r="AM2752" s="82">
        <f>IFERROR(__xludf.DUMMYFUNCTION("""COMPUTED_VALUE"""),1.003154036333987)</f>
        <v>1.003154036</v>
      </c>
      <c r="AN2752" s="82">
        <f>IFERROR(__xludf.DUMMYFUNCTION("""COMPUTED_VALUE"""),0.9059518317382286)</f>
        <v>0.9059518317</v>
      </c>
      <c r="AO2752" s="82">
        <f>IFERROR(__xludf.DUMMYFUNCTION("""COMPUTED_VALUE"""),0.9969095868502859)</f>
        <v>0.9969095869</v>
      </c>
      <c r="AP2752" s="82">
        <f>IFERROR(__xludf.DUMMYFUNCTION("""COMPUTED_VALUE"""),0.8345205167094623)</f>
        <v>0.8345205167</v>
      </c>
      <c r="AQ2752" s="82">
        <f>IFERROR(__xludf.DUMMYFUNCTION("""COMPUTED_VALUE"""),0.853500070522314)</f>
        <v>0.8535000705</v>
      </c>
      <c r="AR2752" s="82">
        <f>IFERROR(__xludf.DUMMYFUNCTION("""COMPUTED_VALUE"""),0.9739732312495255)</f>
        <v>0.9739732312</v>
      </c>
      <c r="AS2752" s="82">
        <f>IFERROR(__xludf.DUMMYFUNCTION("""COMPUTED_VALUE"""),66.0)</f>
        <v>66</v>
      </c>
      <c r="AT2752" s="82">
        <f>IFERROR(__xludf.DUMMYFUNCTION("""COMPUTED_VALUE"""),0.3534765601740342)</f>
        <v>0.3534765602</v>
      </c>
      <c r="AU2752" s="82">
        <f>IFERROR(__xludf.DUMMYFUNCTION("""COMPUTED_VALUE"""),1.697121227690697)</f>
        <v>1.697121228</v>
      </c>
      <c r="AV2752" s="82">
        <f>IFERROR(__xludf.DUMMYFUNCTION("""COMPUTED_VALUE"""),41.60663757729736)</f>
        <v>41.60663758</v>
      </c>
      <c r="AW2752" s="82">
        <f t="shared" si="1"/>
        <v>-2.713442473</v>
      </c>
      <c r="AX2752" s="83">
        <f t="array" ref="AX2752">IFERROR(DGET('SBV Import'!A:G,"SBV",{"RSC ID","Tier";B2752,A2752}))</f>
        <v>47.72453194</v>
      </c>
      <c r="AY2752" s="82">
        <f t="shared" si="2"/>
        <v>-2.156386045</v>
      </c>
      <c r="AZ2752" s="82">
        <v>0.5570564286057964</v>
      </c>
      <c r="BA2752" s="84">
        <v>2700.0</v>
      </c>
      <c r="BB2752" s="84" t="b">
        <f>IFERROR(__xludf.DUMMYFUNCTION("iferror(if(A2752="""",,E2752&gt;=FILTER(Constants!$F$2:$F$10,Constants!$A$2:$A$10=A2752)))"),TRUE)</f>
        <v>1</v>
      </c>
    </row>
    <row r="2753">
      <c r="A2753" s="89" t="str">
        <f>IFERROR(__xludf.DUMMYFUNCTION("""COMPUTED_VALUE"""),"Prospect")</f>
        <v>Prospect</v>
      </c>
      <c r="B2753" s="87" t="str">
        <f>IFERROR(__xludf.DUMMYFUNCTION("""COMPUTED_VALUE"""),"RSC003127")</f>
        <v>RSC003127</v>
      </c>
      <c r="C2753" s="73" t="str">
        <f>IFERROR(__xludf.DUMMYFUNCTION("""COMPUTED_VALUE"""),"Lim")</f>
        <v>Lim</v>
      </c>
      <c r="D2753" s="73" t="str">
        <f>IFERROR(__xludf.DUMMYFUNCTION("""COMPUTED_VALUE"""),"Skeletons")</f>
        <v>Skeletons</v>
      </c>
      <c r="E2753" s="82">
        <f>IFERROR(__xludf.DUMMYFUNCTION("""COMPUTED_VALUE"""),26.0)</f>
        <v>26</v>
      </c>
      <c r="F2753" s="82">
        <f>IFERROR(__xludf.DUMMYFUNCTION("""COMPUTED_VALUE"""),10.0)</f>
        <v>10</v>
      </c>
      <c r="G2753" s="86">
        <f>IFERROR(__xludf.DUMMYFUNCTION("""COMPUTED_VALUE"""),16.0)</f>
        <v>16</v>
      </c>
      <c r="H2753" s="86">
        <f>IFERROR(__xludf.DUMMYFUNCTION("""COMPUTED_VALUE"""),0.38461538461538464)</f>
        <v>0.3846153846</v>
      </c>
      <c r="I2753" s="86">
        <f>IFERROR(__xludf.DUMMYFUNCTION("""COMPUTED_VALUE"""),0.25)</f>
        <v>0.25</v>
      </c>
      <c r="J2753" s="82">
        <f>IFERROR(__xludf.DUMMYFUNCTION("""COMPUTED_VALUE"""),319.5)</f>
        <v>319.5</v>
      </c>
      <c r="K2753" s="82">
        <f>IFERROR(__xludf.DUMMYFUNCTION("""COMPUTED_VALUE"""),0.5384615384615384)</f>
        <v>0.5384615385</v>
      </c>
      <c r="L2753" s="82">
        <f>IFERROR(__xludf.DUMMYFUNCTION("""COMPUTED_VALUE"""),0.5769230769230769)</f>
        <v>0.5769230769</v>
      </c>
      <c r="M2753" s="82">
        <f>IFERROR(__xludf.DUMMYFUNCTION("""COMPUTED_VALUE"""),1.3846153846153846)</f>
        <v>1.384615385</v>
      </c>
      <c r="N2753" s="82">
        <f>IFERROR(__xludf.DUMMYFUNCTION("""COMPUTED_VALUE"""),2.1538461538461537)</f>
        <v>2.153846154</v>
      </c>
      <c r="O2753" s="82">
        <f>IFERROR(__xludf.DUMMYFUNCTION("""COMPUTED_VALUE"""),338.6923076923077)</f>
        <v>338.6923077</v>
      </c>
      <c r="P2753" s="82">
        <f>IFERROR(__xludf.DUMMYFUNCTION("""COMPUTED_VALUE"""),0.8846153846153845)</f>
        <v>0.8846153846</v>
      </c>
      <c r="Q2753" s="82">
        <f>IFERROR(__xludf.DUMMYFUNCTION("""COMPUTED_VALUE"""),0.6025641025641025)</f>
        <v>0.6025641026</v>
      </c>
      <c r="R2753" s="82">
        <f>IFERROR(__xludf.DUMMYFUNCTION("""COMPUTED_VALUE"""),1.0384615384615385)</f>
        <v>1.038461538</v>
      </c>
      <c r="S2753" s="82">
        <f>IFERROR(__xludf.DUMMYFUNCTION("""COMPUTED_VALUE"""),2.7564102564102564)</f>
        <v>2.756410256</v>
      </c>
      <c r="T2753" s="82">
        <f>IFERROR(__xludf.DUMMYFUNCTION("""COMPUTED_VALUE"""),333.572902722427)</f>
        <v>333.5729027</v>
      </c>
      <c r="U2753" s="82">
        <f>IFERROR(__xludf.DUMMYFUNCTION("""COMPUTED_VALUE"""),0.7880822652129785)</f>
        <v>0.7880822652</v>
      </c>
      <c r="V2753" s="82">
        <f>IFERROR(__xludf.DUMMYFUNCTION("""COMPUTED_VALUE"""),0.5210199696559845)</f>
        <v>0.5210199697</v>
      </c>
      <c r="W2753" s="82">
        <f>IFERROR(__xludf.DUMMYFUNCTION("""COMPUTED_VALUE"""),1.1855804404193753)</f>
        <v>1.18558044</v>
      </c>
      <c r="X2753" s="82">
        <f>IFERROR(__xludf.DUMMYFUNCTION("""COMPUTED_VALUE"""),2.433925387789964)</f>
        <v>2.433925388</v>
      </c>
      <c r="Y2753" s="82">
        <f>IFERROR(__xludf.DUMMYFUNCTION("""COMPUTED_VALUE"""),334.62760554382385)</f>
        <v>334.6276055</v>
      </c>
      <c r="Z2753" s="82">
        <f>IFERROR(__xludf.DUMMYFUNCTION("""COMPUTED_VALUE"""),0.8127617975365713)</f>
        <v>0.8127617975</v>
      </c>
      <c r="AA2753" s="82">
        <f>IFERROR(__xludf.DUMMYFUNCTION("""COMPUTED_VALUE"""),0.5259145996803063)</f>
        <v>0.5259145997</v>
      </c>
      <c r="AB2753" s="82">
        <f>IFERROR(__xludf.DUMMYFUNCTION("""COMPUTED_VALUE"""),1.1810289645409293)</f>
        <v>1.181028965</v>
      </c>
      <c r="AC2753" s="82">
        <f>IFERROR(__xludf.DUMMYFUNCTION("""COMPUTED_VALUE"""),2.4278761219640206)</f>
        <v>2.427876122</v>
      </c>
      <c r="AD2753" s="82">
        <f>IFERROR(__xludf.DUMMYFUNCTION("""COMPUTED_VALUE"""),0.9547927149667194)</f>
        <v>0.954792715</v>
      </c>
      <c r="AE2753" s="82">
        <f>IFERROR(__xludf.DUMMYFUNCTION("""COMPUTED_VALUE"""),0.6625084250927894)</f>
        <v>0.6625084251</v>
      </c>
      <c r="AF2753" s="82">
        <f>IFERROR(__xludf.DUMMYFUNCTION("""COMPUTED_VALUE"""),1.096990038446884)</f>
        <v>1.096990038</v>
      </c>
      <c r="AG2753" s="82">
        <f>IFERROR(__xludf.DUMMYFUNCTION("""COMPUTED_VALUE"""),1.172380547968686)</f>
        <v>1.172380548</v>
      </c>
      <c r="AH2753" s="82">
        <f>IFERROR(__xludf.DUMMYFUNCTION("""COMPUTED_VALUE"""),0.8871318163069245)</f>
        <v>0.8871318163</v>
      </c>
      <c r="AI2753" s="82">
        <f>IFERROR(__xludf.DUMMYFUNCTION("""COMPUTED_VALUE"""),1.0153471847626083)</f>
        <v>1.015347185</v>
      </c>
      <c r="AJ2753" s="82">
        <f>IFERROR(__xludf.DUMMYFUNCTION("""COMPUTED_VALUE"""),1.1224911708631307)</f>
        <v>1.122491171</v>
      </c>
      <c r="AK2753" s="82">
        <f>IFERROR(__xludf.DUMMYFUNCTION("""COMPUTED_VALUE"""),1.1565086516011265)</f>
        <v>1.156508652</v>
      </c>
      <c r="AL2753" s="82">
        <f>IFERROR(__xludf.DUMMYFUNCTION("""COMPUTED_VALUE"""),0.8759098101299677)</f>
        <v>0.8759098101</v>
      </c>
      <c r="AM2753" s="82">
        <f>IFERROR(__xludf.DUMMYFUNCTION("""COMPUTED_VALUE"""),1.1324957906425852)</f>
        <v>1.132495791</v>
      </c>
      <c r="AN2753" s="82">
        <f>IFERROR(__xludf.DUMMYFUNCTION("""COMPUTED_VALUE"""),0.9868987914332508)</f>
        <v>0.9868987914</v>
      </c>
      <c r="AO2753" s="82">
        <f>IFERROR(__xludf.DUMMYFUNCTION("""COMPUTED_VALUE"""),0.7300445589857477)</f>
        <v>0.730044559</v>
      </c>
      <c r="AP2753" s="82">
        <f>IFERROR(__xludf.DUMMYFUNCTION("""COMPUTED_VALUE"""),1.1692457789061146)</f>
        <v>1.169245779</v>
      </c>
      <c r="AQ2753" s="82">
        <f>IFERROR(__xludf.DUMMYFUNCTION("""COMPUTED_VALUE"""),1.148004490460783)</f>
        <v>1.14800449</v>
      </c>
      <c r="AR2753" s="82">
        <f>IFERROR(__xludf.DUMMYFUNCTION("""COMPUTED_VALUE"""),0.9144206273664184)</f>
        <v>0.9144206274</v>
      </c>
      <c r="AS2753" s="82">
        <f>IFERROR(__xludf.DUMMYFUNCTION("""COMPUTED_VALUE"""),54.0)</f>
        <v>54</v>
      </c>
      <c r="AT2753" s="82">
        <f>IFERROR(__xludf.DUMMYFUNCTION("""COMPUTED_VALUE"""),0.40542697312318876)</f>
        <v>0.4054269731</v>
      </c>
      <c r="AU2753" s="82">
        <f>IFERROR(__xludf.DUMMYFUNCTION("""COMPUTED_VALUE"""),1.5881830930018297)</f>
        <v>1.588183093</v>
      </c>
      <c r="AV2753" s="82">
        <f>IFERROR(__xludf.DUMMYFUNCTION("""COMPUTED_VALUE"""),38.14107641812264)</f>
        <v>38.14107642</v>
      </c>
      <c r="AW2753" s="82">
        <f t="shared" si="1"/>
        <v>-3.148389625</v>
      </c>
      <c r="AX2753" s="83">
        <f t="array" ref="AX2753">IFERROR(DGET('SBV Import'!A:G,"SBV",{"RSC ID","Tier";B2753,A2753}))</f>
        <v>46.46307863</v>
      </c>
      <c r="AY2753" s="82">
        <f t="shared" si="2"/>
        <v>-2.253538283</v>
      </c>
      <c r="AZ2753" s="82">
        <v>0.8948513423406506</v>
      </c>
      <c r="BA2753" s="84">
        <v>2700.0</v>
      </c>
      <c r="BB2753" s="84" t="b">
        <f>IFERROR(__xludf.DUMMYFUNCTION("iferror(if(A2753="""",,E2753&gt;=FILTER(Constants!$F$2:$F$10,Constants!$A$2:$A$10=A2753)))"),TRUE)</f>
        <v>1</v>
      </c>
    </row>
    <row r="2754">
      <c r="A2754" s="89" t="str">
        <f>IFERROR(__xludf.DUMMYFUNCTION("""COMPUTED_VALUE"""),"Prospect")</f>
        <v>Prospect</v>
      </c>
      <c r="B2754" s="87" t="str">
        <f>IFERROR(__xludf.DUMMYFUNCTION("""COMPUTED_VALUE"""),"RSC007851")</f>
        <v>RSC007851</v>
      </c>
      <c r="C2754" s="73" t="str">
        <f>IFERROR(__xludf.DUMMYFUNCTION("""COMPUTED_VALUE"""),"Carridripdrip")</f>
        <v>Carridripdrip</v>
      </c>
      <c r="D2754" s="73" t="str">
        <f>IFERROR(__xludf.DUMMYFUNCTION("""COMPUTED_VALUE"""),"Undead")</f>
        <v>Undead</v>
      </c>
      <c r="E2754" s="82">
        <f>IFERROR(__xludf.DUMMYFUNCTION("""COMPUTED_VALUE"""),29.0)</f>
        <v>29</v>
      </c>
      <c r="F2754" s="82">
        <f>IFERROR(__xludf.DUMMYFUNCTION("""COMPUTED_VALUE"""),12.0)</f>
        <v>12</v>
      </c>
      <c r="G2754" s="86">
        <f>IFERROR(__xludf.DUMMYFUNCTION("""COMPUTED_VALUE"""),17.0)</f>
        <v>17</v>
      </c>
      <c r="H2754" s="86">
        <f>IFERROR(__xludf.DUMMYFUNCTION("""COMPUTED_VALUE"""),0.41379310344827586)</f>
        <v>0.4137931034</v>
      </c>
      <c r="I2754" s="86">
        <f>IFERROR(__xludf.DUMMYFUNCTION("""COMPUTED_VALUE"""),0.2982456140350877)</f>
        <v>0.298245614</v>
      </c>
      <c r="J2754" s="82">
        <f>IFERROR(__xludf.DUMMYFUNCTION("""COMPUTED_VALUE"""),328.3448275862069)</f>
        <v>328.3448276</v>
      </c>
      <c r="K2754" s="82">
        <f>IFERROR(__xludf.DUMMYFUNCTION("""COMPUTED_VALUE"""),0.5862068965517241)</f>
        <v>0.5862068966</v>
      </c>
      <c r="L2754" s="82">
        <f>IFERROR(__xludf.DUMMYFUNCTION("""COMPUTED_VALUE"""),0.4482758620689655)</f>
        <v>0.4482758621</v>
      </c>
      <c r="M2754" s="82">
        <f>IFERROR(__xludf.DUMMYFUNCTION("""COMPUTED_VALUE"""),1.3103448275862069)</f>
        <v>1.310344828</v>
      </c>
      <c r="N2754" s="82">
        <f>IFERROR(__xludf.DUMMYFUNCTION("""COMPUTED_VALUE"""),1.9655172413793103)</f>
        <v>1.965517241</v>
      </c>
      <c r="O2754" s="82">
        <f>IFERROR(__xludf.DUMMYFUNCTION("""COMPUTED_VALUE"""),348.5977011494253)</f>
        <v>348.5977011</v>
      </c>
      <c r="P2754" s="82">
        <f>IFERROR(__xludf.DUMMYFUNCTION("""COMPUTED_VALUE"""),0.9080459770114939)</f>
        <v>0.908045977</v>
      </c>
      <c r="Q2754" s="82">
        <f>IFERROR(__xludf.DUMMYFUNCTION("""COMPUTED_VALUE"""),0.5977011494252874)</f>
        <v>0.5977011494</v>
      </c>
      <c r="R2754" s="82">
        <f>IFERROR(__xludf.DUMMYFUNCTION("""COMPUTED_VALUE"""),1.0689655172413792)</f>
        <v>1.068965517</v>
      </c>
      <c r="S2754" s="82">
        <f>IFERROR(__xludf.DUMMYFUNCTION("""COMPUTED_VALUE"""),2.6436781609195408)</f>
        <v>2.643678161</v>
      </c>
      <c r="T2754" s="82">
        <f>IFERROR(__xludf.DUMMYFUNCTION("""COMPUTED_VALUE"""),339.73510787418627)</f>
        <v>339.7351079</v>
      </c>
      <c r="U2754" s="82">
        <f>IFERROR(__xludf.DUMMYFUNCTION("""COMPUTED_VALUE"""),0.8430447400617652)</f>
        <v>0.8430447401</v>
      </c>
      <c r="V2754" s="82">
        <f>IFERROR(__xludf.DUMMYFUNCTION("""COMPUTED_VALUE"""),0.5175634174860584)</f>
        <v>0.5175634175</v>
      </c>
      <c r="W2754" s="82">
        <f>IFERROR(__xludf.DUMMYFUNCTION("""COMPUTED_VALUE"""),1.18147326118686)</f>
        <v>1.181473261</v>
      </c>
      <c r="X2754" s="82">
        <f>IFERROR(__xludf.DUMMYFUNCTION("""COMPUTED_VALUE"""),2.6205652520237486)</f>
        <v>2.620565252</v>
      </c>
      <c r="Y2754" s="82">
        <f>IFERROR(__xludf.DUMMYFUNCTION("""COMPUTED_VALUE"""),329.9198403203053)</f>
        <v>329.9198403</v>
      </c>
      <c r="Z2754" s="82">
        <f>IFERROR(__xludf.DUMMYFUNCTION("""COMPUTED_VALUE"""),0.7293102920566038)</f>
        <v>0.7293102921</v>
      </c>
      <c r="AA2754" s="82">
        <f>IFERROR(__xludf.DUMMYFUNCTION("""COMPUTED_VALUE"""),0.5012393021889722)</f>
        <v>0.5012393022</v>
      </c>
      <c r="AB2754" s="82">
        <f>IFERROR(__xludf.DUMMYFUNCTION("""COMPUTED_VALUE"""),1.277039199301041)</f>
        <v>1.277039199</v>
      </c>
      <c r="AC2754" s="82">
        <f>IFERROR(__xludf.DUMMYFUNCTION("""COMPUTED_VALUE"""),2.3138968741065056)</f>
        <v>2.313896874</v>
      </c>
      <c r="AD2754" s="82">
        <f>IFERROR(__xludf.DUMMYFUNCTION("""COMPUTED_VALUE"""),0.9952260745138296)</f>
        <v>0.9952260745</v>
      </c>
      <c r="AE2754" s="82">
        <f>IFERROR(__xludf.DUMMYFUNCTION("""COMPUTED_VALUE"""),0.8037825640697621)</f>
        <v>0.8037825641</v>
      </c>
      <c r="AF2754" s="82">
        <f>IFERROR(__xludf.DUMMYFUNCTION("""COMPUTED_VALUE"""),0.8943350214384448)</f>
        <v>0.8943350214</v>
      </c>
      <c r="AG2754" s="82">
        <f>IFERROR(__xludf.DUMMYFUNCTION("""COMPUTED_VALUE"""),1.0260803492198163)</f>
        <v>1.026080349</v>
      </c>
      <c r="AH2754" s="82">
        <f>IFERROR(__xludf.DUMMYFUNCTION("""COMPUTED_VALUE"""),0.8494402941523833)</f>
        <v>0.8494402942</v>
      </c>
      <c r="AI2754" s="82">
        <f>IFERROR(__xludf.DUMMYFUNCTION("""COMPUTED_VALUE"""),1.0260867748720308)</f>
        <v>1.026086775</v>
      </c>
      <c r="AJ2754" s="82">
        <f>IFERROR(__xludf.DUMMYFUNCTION("""COMPUTED_VALUE"""),1.0771029506037442)</f>
        <v>1.077102951</v>
      </c>
      <c r="AK2754" s="82">
        <f>IFERROR(__xludf.DUMMYFUNCTION("""COMPUTED_VALUE"""),1.154836546076767)</f>
        <v>1.154836546</v>
      </c>
      <c r="AL2754" s="82">
        <f>IFERROR(__xludf.DUMMYFUNCTION("""COMPUTED_VALUE"""),0.9047733472762134)</f>
        <v>0.9047733473</v>
      </c>
      <c r="AM2754" s="82">
        <f>IFERROR(__xludf.DUMMYFUNCTION("""COMPUTED_VALUE"""),1.0088198181205155)</f>
        <v>1.008819818</v>
      </c>
      <c r="AN2754" s="82">
        <f>IFERROR(__xludf.DUMMYFUNCTION("""COMPUTED_VALUE"""),1.0142194476312572)</f>
        <v>1.014219448</v>
      </c>
      <c r="AO2754" s="82">
        <f>IFERROR(__xludf.DUMMYFUNCTION("""COMPUTED_VALUE"""),0.7947775740682278)</f>
        <v>0.7947775741</v>
      </c>
      <c r="AP2754" s="82">
        <f>IFERROR(__xludf.DUMMYFUNCTION("""COMPUTED_VALUE"""),0.9085174098167053)</f>
        <v>0.9085174098</v>
      </c>
      <c r="AQ2754" s="82">
        <f>IFERROR(__xludf.DUMMYFUNCTION("""COMPUTED_VALUE"""),1.086425705531852)</f>
        <v>1.086425706</v>
      </c>
      <c r="AR2754" s="82">
        <f>IFERROR(__xludf.DUMMYFUNCTION("""COMPUTED_VALUE"""),0.834465129160734)</f>
        <v>0.8344651292</v>
      </c>
      <c r="AS2754" s="82">
        <f>IFERROR(__xludf.DUMMYFUNCTION("""COMPUTED_VALUE"""),58.0)</f>
        <v>58</v>
      </c>
      <c r="AT2754" s="82">
        <f>IFERROR(__xludf.DUMMYFUNCTION("""COMPUTED_VALUE"""),0.3816623423381927)</f>
        <v>0.3816623423</v>
      </c>
      <c r="AU2754" s="82">
        <f>IFERROR(__xludf.DUMMYFUNCTION("""COMPUTED_VALUE"""),1.555924850080062)</f>
        <v>1.55592485</v>
      </c>
      <c r="AV2754" s="82">
        <f>IFERROR(__xludf.DUMMYFUNCTION("""COMPUTED_VALUE"""),37.11487091118802)</f>
        <v>37.11487091</v>
      </c>
      <c r="AW2754" s="82">
        <f t="shared" si="1"/>
        <v>-3.298860652</v>
      </c>
      <c r="AX2754" s="83">
        <f t="array" ref="AX2754">IFERROR(DGET('SBV Import'!A:G,"SBV",{"RSC ID","Tier";B2754,A2754}))</f>
        <v>46.95802931</v>
      </c>
      <c r="AY2754" s="82">
        <f t="shared" si="2"/>
        <v>-2.21446328</v>
      </c>
      <c r="AZ2754" s="82">
        <v>1.0843973721641893</v>
      </c>
      <c r="BA2754" s="84">
        <v>2700.0</v>
      </c>
      <c r="BB2754" s="84" t="b">
        <f>IFERROR(__xludf.DUMMYFUNCTION("iferror(if(A2754="""",,E2754&gt;=FILTER(Constants!$F$2:$F$10,Constants!$A$2:$A$10=A2754)))"),TRUE)</f>
        <v>1</v>
      </c>
    </row>
    <row r="2755">
      <c r="A2755" s="89" t="str">
        <f>IFERROR(__xludf.DUMMYFUNCTION("""COMPUTED_VALUE"""),"Prospect")</f>
        <v>Prospect</v>
      </c>
      <c r="B2755" s="87" t="str">
        <f>IFERROR(__xludf.DUMMYFUNCTION("""COMPUTED_VALUE"""),"RSC000989")</f>
        <v>RSC000989</v>
      </c>
      <c r="C2755" s="73" t="str">
        <f>IFERROR(__xludf.DUMMYFUNCTION("""COMPUTED_VALUE"""),"Piky Life88")</f>
        <v>Piky Life88</v>
      </c>
      <c r="D2755" s="73" t="str">
        <f>IFERROR(__xludf.DUMMYFUNCTION("""COMPUTED_VALUE"""),"Devoured")</f>
        <v>Devoured</v>
      </c>
      <c r="E2755" s="82">
        <f>IFERROR(__xludf.DUMMYFUNCTION("""COMPUTED_VALUE"""),1.0)</f>
        <v>1</v>
      </c>
      <c r="F2755" s="82">
        <f>IFERROR(__xludf.DUMMYFUNCTION("""COMPUTED_VALUE"""),0.0)</f>
        <v>0</v>
      </c>
      <c r="G2755" s="86">
        <f>IFERROR(__xludf.DUMMYFUNCTION("""COMPUTED_VALUE"""),1.0)</f>
        <v>1</v>
      </c>
      <c r="H2755" s="86">
        <f>IFERROR(__xludf.DUMMYFUNCTION("""COMPUTED_VALUE"""),0.0)</f>
        <v>0</v>
      </c>
      <c r="I2755" s="86">
        <f>IFERROR(__xludf.DUMMYFUNCTION("""COMPUTED_VALUE"""),0.25)</f>
        <v>0.25</v>
      </c>
      <c r="J2755" s="82">
        <f>IFERROR(__xludf.DUMMYFUNCTION("""COMPUTED_VALUE"""),454.0)</f>
        <v>454</v>
      </c>
      <c r="K2755" s="82">
        <f>IFERROR(__xludf.DUMMYFUNCTION("""COMPUTED_VALUE"""),1.0)</f>
        <v>1</v>
      </c>
      <c r="L2755" s="82">
        <f>IFERROR(__xludf.DUMMYFUNCTION("""COMPUTED_VALUE"""),0.0)</f>
        <v>0</v>
      </c>
      <c r="M2755" s="82">
        <f>IFERROR(__xludf.DUMMYFUNCTION("""COMPUTED_VALUE"""),3.0)</f>
        <v>3</v>
      </c>
      <c r="N2755" s="82">
        <f>IFERROR(__xludf.DUMMYFUNCTION("""COMPUTED_VALUE"""),4.0)</f>
        <v>4</v>
      </c>
      <c r="O2755" s="82">
        <f>IFERROR(__xludf.DUMMYFUNCTION("""COMPUTED_VALUE"""),507.0)</f>
        <v>507</v>
      </c>
      <c r="P2755" s="82">
        <f>IFERROR(__xludf.DUMMYFUNCTION("""COMPUTED_VALUE"""),1.6666666666666667)</f>
        <v>1.666666667</v>
      </c>
      <c r="Q2755" s="82">
        <f>IFERROR(__xludf.DUMMYFUNCTION("""COMPUTED_VALUE"""),1.3333333333333333)</f>
        <v>1.333333333</v>
      </c>
      <c r="R2755" s="82">
        <f>IFERROR(__xludf.DUMMYFUNCTION("""COMPUTED_VALUE"""),1.3333333333333333)</f>
        <v>1.333333333</v>
      </c>
      <c r="S2755" s="82">
        <f>IFERROR(__xludf.DUMMYFUNCTION("""COMPUTED_VALUE"""),4.0)</f>
        <v>4</v>
      </c>
      <c r="T2755" s="82">
        <f>IFERROR(__xludf.DUMMYFUNCTION("""COMPUTED_VALUE"""),340.1752867016025)</f>
        <v>340.1752867</v>
      </c>
      <c r="U2755" s="82">
        <f>IFERROR(__xludf.DUMMYFUNCTION("""COMPUTED_VALUE"""),0.7693172324751272)</f>
        <v>0.7693172325</v>
      </c>
      <c r="V2755" s="82">
        <f>IFERROR(__xludf.DUMMYFUNCTION("""COMPUTED_VALUE"""),0.5625730994152046)</f>
        <v>0.5625730994</v>
      </c>
      <c r="W2755" s="82">
        <f>IFERROR(__xludf.DUMMYFUNCTION("""COMPUTED_VALUE"""),1.2519936204146729)</f>
        <v>1.25199362</v>
      </c>
      <c r="X2755" s="82">
        <f>IFERROR(__xludf.DUMMYFUNCTION("""COMPUTED_VALUE"""),2.5989215462899673)</f>
        <v>2.598921546</v>
      </c>
      <c r="Y2755" s="82">
        <f>IFERROR(__xludf.DUMMYFUNCTION("""COMPUTED_VALUE"""),339.8574820890611)</f>
        <v>339.8574821</v>
      </c>
      <c r="Z2755" s="82">
        <f>IFERROR(__xludf.DUMMYFUNCTION("""COMPUTED_VALUE"""),0.7710538973696869)</f>
        <v>0.7710538974</v>
      </c>
      <c r="AA2755" s="82">
        <f>IFERROR(__xludf.DUMMYFUNCTION("""COMPUTED_VALUE"""),0.45842383737120573)</f>
        <v>0.4584238374</v>
      </c>
      <c r="AB2755" s="82">
        <f>IFERROR(__xludf.DUMMYFUNCTION("""COMPUTED_VALUE"""),1.4155844155844157)</f>
        <v>1.415584416</v>
      </c>
      <c r="AC2755" s="82">
        <f>IFERROR(__xludf.DUMMYFUNCTION("""COMPUTED_VALUE"""),2.4401002506265668)</f>
        <v>2.440100251</v>
      </c>
      <c r="AD2755" s="82">
        <f>IFERROR(__xludf.DUMMYFUNCTION("""COMPUTED_VALUE"""),1.3358540680326332)</f>
        <v>1.335854068</v>
      </c>
      <c r="AE2755" s="82">
        <f>IFERROR(__xludf.DUMMYFUNCTION("""COMPUTED_VALUE"""),1.2969261985592992)</f>
        <v>1.296926199</v>
      </c>
      <c r="AF2755" s="82">
        <f>IFERROR(__xludf.DUMMYFUNCTION("""COMPUTED_VALUE"""),0.0)</f>
        <v>0</v>
      </c>
      <c r="AG2755" s="82">
        <f>IFERROR(__xludf.DUMMYFUNCTION("""COMPUTED_VALUE"""),2.1192660550458715)</f>
        <v>2.119266055</v>
      </c>
      <c r="AH2755" s="82">
        <f>IFERROR(__xludf.DUMMYFUNCTION("""COMPUTED_VALUE"""),1.639276910435497)</f>
        <v>1.63927691</v>
      </c>
      <c r="AI2755" s="82">
        <f>IFERROR(__xludf.DUMMYFUNCTION("""COMPUTED_VALUE"""),1.4904080920044438)</f>
        <v>1.490408092</v>
      </c>
      <c r="AJ2755" s="82">
        <f>IFERROR(__xludf.DUMMYFUNCTION("""COMPUTED_VALUE"""),2.166423155899542)</f>
        <v>2.166423156</v>
      </c>
      <c r="AK2755" s="82">
        <f>IFERROR(__xludf.DUMMYFUNCTION("""COMPUTED_VALUE"""),2.3700623700623704)</f>
        <v>2.37006237</v>
      </c>
      <c r="AL2755" s="82">
        <f>IFERROR(__xludf.DUMMYFUNCTION("""COMPUTED_VALUE"""),1.064968152866242)</f>
        <v>1.064968153</v>
      </c>
      <c r="AM2755" s="82">
        <f>IFERROR(__xludf.DUMMYFUNCTION("""COMPUTED_VALUE"""),1.5390999415546465)</f>
        <v>1.539099942</v>
      </c>
      <c r="AN2755" s="82">
        <f>IFERROR(__xludf.DUMMYFUNCTION("""COMPUTED_VALUE"""),1.4023538382181404)</f>
        <v>1.402353838</v>
      </c>
      <c r="AO2755" s="82">
        <f>IFERROR(__xludf.DUMMYFUNCTION("""COMPUTED_VALUE"""),1.3557970381163886)</f>
        <v>1.355797038</v>
      </c>
      <c r="AP2755" s="82">
        <f>IFERROR(__xludf.DUMMYFUNCTION("""COMPUTED_VALUE"""),0.0)</f>
        <v>0</v>
      </c>
      <c r="AQ2755" s="82">
        <f>IFERROR(__xludf.DUMMYFUNCTION("""COMPUTED_VALUE"""),2.4873430626650297)</f>
        <v>2.487343063</v>
      </c>
      <c r="AR2755" s="82">
        <f>IFERROR(__xludf.DUMMYFUNCTION("""COMPUTED_VALUE"""),1.6982097365376343)</f>
        <v>1.698209737</v>
      </c>
      <c r="AS2755" s="82">
        <f>IFERROR(__xludf.DUMMYFUNCTION("""COMPUTED_VALUE"""),4.0)</f>
        <v>4</v>
      </c>
      <c r="AT2755" s="82">
        <f>IFERROR(__xludf.DUMMYFUNCTION("""COMPUTED_VALUE"""),0.3967011143046406)</f>
        <v>0.3967011143</v>
      </c>
      <c r="AU2755" s="82">
        <f>IFERROR(__xludf.DUMMYFUNCTION("""COMPUTED_VALUE"""),1.4969345995137089)</f>
        <v>1.4969346</v>
      </c>
      <c r="AV2755" s="82">
        <f>IFERROR(__xludf.DUMMYFUNCTION("""COMPUTED_VALUE"""),35.23826157033036)</f>
        <v>35.23826157</v>
      </c>
      <c r="AW2755" s="82">
        <f t="shared" si="1"/>
        <v>-3.604409543</v>
      </c>
      <c r="AX2755" s="83">
        <f t="array" ref="AX2755">IFERROR(DGET('SBV Import'!A:G,"SBV",{"RSC ID","Tier";B2755,A2755}))</f>
        <v>23.72290926</v>
      </c>
      <c r="AY2755" s="82">
        <f t="shared" si="2"/>
        <v>-6.820812902</v>
      </c>
      <c r="AZ2755" s="82">
        <v>3.2164033587286127</v>
      </c>
      <c r="BA2755" s="84">
        <v>2700.0</v>
      </c>
      <c r="BB2755" s="84" t="b">
        <f>IFERROR(__xludf.DUMMYFUNCTION("iferror(if(A2755="""",,E2755&gt;=FILTER(Constants!$F$2:$F$10,Constants!$A$2:$A$10=A2755)))"),TRUE)</f>
        <v>1</v>
      </c>
    </row>
    <row r="2756">
      <c r="A2756" s="89" t="str">
        <f>IFERROR(__xludf.DUMMYFUNCTION("""COMPUTED_VALUE"""),"Prospect")</f>
        <v>Prospect</v>
      </c>
      <c r="B2756" s="87" t="str">
        <f>IFERROR(__xludf.DUMMYFUNCTION("""COMPUTED_VALUE"""),"RSC007502")</f>
        <v>RSC007502</v>
      </c>
      <c r="C2756" s="73" t="str">
        <f>IFERROR(__xludf.DUMMYFUNCTION("""COMPUTED_VALUE"""),"Cr1m5on_RL")</f>
        <v>Cr1m5on_RL</v>
      </c>
      <c r="D2756" s="73"/>
      <c r="E2756" s="82">
        <f>IFERROR(__xludf.DUMMYFUNCTION("""COMPUTED_VALUE"""),22.0)</f>
        <v>22</v>
      </c>
      <c r="F2756" s="82">
        <f>IFERROR(__xludf.DUMMYFUNCTION("""COMPUTED_VALUE"""),7.0)</f>
        <v>7</v>
      </c>
      <c r="G2756" s="86">
        <f>IFERROR(__xludf.DUMMYFUNCTION("""COMPUTED_VALUE"""),15.0)</f>
        <v>15</v>
      </c>
      <c r="H2756" s="86">
        <f>IFERROR(__xludf.DUMMYFUNCTION("""COMPUTED_VALUE"""),0.3181818181818182)</f>
        <v>0.3181818182</v>
      </c>
      <c r="I2756" s="86">
        <f>IFERROR(__xludf.DUMMYFUNCTION("""COMPUTED_VALUE"""),0.196078431372549)</f>
        <v>0.1960784314</v>
      </c>
      <c r="J2756" s="82">
        <f>IFERROR(__xludf.DUMMYFUNCTION("""COMPUTED_VALUE"""),334.8636363636364)</f>
        <v>334.8636364</v>
      </c>
      <c r="K2756" s="82">
        <f>IFERROR(__xludf.DUMMYFUNCTION("""COMPUTED_VALUE"""),0.45454545454545453)</f>
        <v>0.4545454545</v>
      </c>
      <c r="L2756" s="82">
        <f>IFERROR(__xludf.DUMMYFUNCTION("""COMPUTED_VALUE"""),0.45454545454545453)</f>
        <v>0.4545454545</v>
      </c>
      <c r="M2756" s="82">
        <f>IFERROR(__xludf.DUMMYFUNCTION("""COMPUTED_VALUE"""),1.6363636363636365)</f>
        <v>1.636363636</v>
      </c>
      <c r="N2756" s="82">
        <f>IFERROR(__xludf.DUMMYFUNCTION("""COMPUTED_VALUE"""),2.3181818181818183)</f>
        <v>2.318181818</v>
      </c>
      <c r="O2756" s="82">
        <f>IFERROR(__xludf.DUMMYFUNCTION("""COMPUTED_VALUE"""),362.98484848484844)</f>
        <v>362.9848485</v>
      </c>
      <c r="P2756" s="82">
        <f>IFERROR(__xludf.DUMMYFUNCTION("""COMPUTED_VALUE"""),0.8484848484848484)</f>
        <v>0.8484848485</v>
      </c>
      <c r="Q2756" s="82">
        <f>IFERROR(__xludf.DUMMYFUNCTION("""COMPUTED_VALUE"""),0.6212121212121212)</f>
        <v>0.6212121212</v>
      </c>
      <c r="R2756" s="82">
        <f>IFERROR(__xludf.DUMMYFUNCTION("""COMPUTED_VALUE"""),1.3484848484848486)</f>
        <v>1.348484848</v>
      </c>
      <c r="S2756" s="82">
        <f>IFERROR(__xludf.DUMMYFUNCTION("""COMPUTED_VALUE"""),2.8030303030303028)</f>
        <v>2.803030303</v>
      </c>
      <c r="T2756" s="82">
        <f>IFERROR(__xludf.DUMMYFUNCTION("""COMPUTED_VALUE"""),340.1623080751647)</f>
        <v>340.1623081</v>
      </c>
      <c r="U2756" s="82">
        <f>IFERROR(__xludf.DUMMYFUNCTION("""COMPUTED_VALUE"""),0.8231161168568968)</f>
        <v>0.8231161169</v>
      </c>
      <c r="V2756" s="82">
        <f>IFERROR(__xludf.DUMMYFUNCTION("""COMPUTED_VALUE"""),0.5579219903386647)</f>
        <v>0.5579219903</v>
      </c>
      <c r="W2756" s="82">
        <f>IFERROR(__xludf.DUMMYFUNCTION("""COMPUTED_VALUE"""),1.1622851567956907)</f>
        <v>1.162285157</v>
      </c>
      <c r="X2756" s="82">
        <f>IFERROR(__xludf.DUMMYFUNCTION("""COMPUTED_VALUE"""),2.549854942571958)</f>
        <v>2.549854943</v>
      </c>
      <c r="Y2756" s="82">
        <f>IFERROR(__xludf.DUMMYFUNCTION("""COMPUTED_VALUE"""),334.19162646827357)</f>
        <v>334.1916265</v>
      </c>
      <c r="Z2756" s="82">
        <f>IFERROR(__xludf.DUMMYFUNCTION("""COMPUTED_VALUE"""),0.7398666066081858)</f>
        <v>0.7398666066</v>
      </c>
      <c r="AA2756" s="82">
        <f>IFERROR(__xludf.DUMMYFUNCTION("""COMPUTED_VALUE"""),0.5109558767525605)</f>
        <v>0.5109558768</v>
      </c>
      <c r="AB2756" s="82">
        <f>IFERROR(__xludf.DUMMYFUNCTION("""COMPUTED_VALUE"""),1.2604181894684154)</f>
        <v>1.260418189</v>
      </c>
      <c r="AC2756" s="82">
        <f>IFERROR(__xludf.DUMMYFUNCTION("""COMPUTED_VALUE"""),2.327989636284861)</f>
        <v>2.327989636</v>
      </c>
      <c r="AD2756" s="82">
        <f>IFERROR(__xludf.DUMMYFUNCTION("""COMPUTED_VALUE"""),1.0020108519847268)</f>
        <v>1.002010852</v>
      </c>
      <c r="AE2756" s="82">
        <f>IFERROR(__xludf.DUMMYFUNCTION("""COMPUTED_VALUE"""),0.6143613598527633)</f>
        <v>0.6143613599</v>
      </c>
      <c r="AF2756" s="82">
        <f>IFERROR(__xludf.DUMMYFUNCTION("""COMPUTED_VALUE"""),0.8895982514857663)</f>
        <v>0.8895982515</v>
      </c>
      <c r="AG2756" s="82">
        <f>IFERROR(__xludf.DUMMYFUNCTION("""COMPUTED_VALUE"""),1.2982704074222993)</f>
        <v>1.298270407</v>
      </c>
      <c r="AH2756" s="82">
        <f>IFERROR(__xludf.DUMMYFUNCTION("""COMPUTED_VALUE"""),0.995787000959895)</f>
        <v>0.995787001</v>
      </c>
      <c r="AI2756" s="82">
        <f>IFERROR(__xludf.DUMMYFUNCTION("""COMPUTED_VALUE"""),1.0670930901745903)</f>
        <v>1.06709309</v>
      </c>
      <c r="AJ2756" s="82">
        <f>IFERROR(__xludf.DUMMYFUNCTION("""COMPUTED_VALUE"""),1.0308203558506706)</f>
        <v>1.030820356</v>
      </c>
      <c r="AK2756" s="82">
        <f>IFERROR(__xludf.DUMMYFUNCTION("""COMPUTED_VALUE"""),1.1134390326415324)</f>
        <v>1.113439033</v>
      </c>
      <c r="AL2756" s="82">
        <f>IFERROR(__xludf.DUMMYFUNCTION("""COMPUTED_VALUE"""),1.1602013848326969)</f>
        <v>1.160201385</v>
      </c>
      <c r="AM2756" s="82">
        <f>IFERROR(__xludf.DUMMYFUNCTION("""COMPUTED_VALUE"""),1.0992901032256268)</f>
        <v>1.099290103</v>
      </c>
      <c r="AN2756" s="82">
        <f>IFERROR(__xludf.DUMMYFUNCTION("""COMPUTED_VALUE"""),1.034355298974073)</f>
        <v>1.034355299</v>
      </c>
      <c r="AO2756" s="82">
        <f>IFERROR(__xludf.DUMMYFUNCTION("""COMPUTED_VALUE"""),0.6162713809619949)</f>
        <v>0.616271381</v>
      </c>
      <c r="AP2756" s="82">
        <f>IFERROR(__xludf.DUMMYFUNCTION("""COMPUTED_VALUE"""),0.9212239470169389)</f>
        <v>0.921223947</v>
      </c>
      <c r="AQ2756" s="82">
        <f>IFERROR(__xludf.DUMMYFUNCTION("""COMPUTED_VALUE"""),1.3567325796354708)</f>
        <v>1.35673258</v>
      </c>
      <c r="AR2756" s="82">
        <f>IFERROR(__xludf.DUMMYFUNCTION("""COMPUTED_VALUE"""),0.9841897336752199)</f>
        <v>0.9841897337</v>
      </c>
      <c r="AS2756" s="82">
        <f>IFERROR(__xludf.DUMMYFUNCTION("""COMPUTED_VALUE"""),33.0)</f>
        <v>33</v>
      </c>
      <c r="AT2756" s="82">
        <f>IFERROR(__xludf.DUMMYFUNCTION("""COMPUTED_VALUE"""),0.31220763917021954)</f>
        <v>0.3122076392</v>
      </c>
      <c r="AU2756" s="82">
        <f>IFERROR(__xludf.DUMMYFUNCTION("""COMPUTED_VALUE"""),1.4944837332474945)</f>
        <v>1.494483733</v>
      </c>
      <c r="AV2756" s="82">
        <f>IFERROR(__xludf.DUMMYFUNCTION("""COMPUTED_VALUE"""),35.160294135301456)</f>
        <v>35.16029414</v>
      </c>
      <c r="AW2756" s="82">
        <f t="shared" si="1"/>
        <v>-3.618026477</v>
      </c>
      <c r="AX2756" s="83">
        <f t="array" ref="AX2756">IFERROR(DGET('SBV Import'!A:G,"SBV",{"RSC ID","Tier";B2756,A2756}))</f>
        <v>40.96854519</v>
      </c>
      <c r="AY2756" s="82">
        <f t="shared" si="2"/>
        <v>-2.785878323</v>
      </c>
      <c r="AZ2756" s="82">
        <v>0.8321481547458243</v>
      </c>
      <c r="BA2756" s="84">
        <v>2700.0</v>
      </c>
      <c r="BB2756" s="84" t="b">
        <f>IFERROR(__xludf.DUMMYFUNCTION("iferror(if(A2756="""",,E2756&gt;=FILTER(Constants!$F$2:$F$10,Constants!$A$2:$A$10=A2756)))"),TRUE)</f>
        <v>1</v>
      </c>
    </row>
    <row r="2757">
      <c r="A2757" s="89" t="str">
        <f>IFERROR(__xludf.DUMMYFUNCTION("""COMPUTED_VALUE"""),"Prospect")</f>
        <v>Prospect</v>
      </c>
      <c r="B2757" s="87" t="str">
        <f>IFERROR(__xludf.DUMMYFUNCTION("""COMPUTED_VALUE"""),"RSC007102")</f>
        <v>RSC007102</v>
      </c>
      <c r="C2757" s="73" t="str">
        <f>IFERROR(__xludf.DUMMYFUNCTION("""COMPUTED_VALUE"""),"tepochtli_13")</f>
        <v>tepochtli_13</v>
      </c>
      <c r="D2757" s="73"/>
      <c r="E2757" s="82">
        <f>IFERROR(__xludf.DUMMYFUNCTION("""COMPUTED_VALUE"""),29.0)</f>
        <v>29</v>
      </c>
      <c r="F2757" s="82">
        <f>IFERROR(__xludf.DUMMYFUNCTION("""COMPUTED_VALUE"""),14.0)</f>
        <v>14</v>
      </c>
      <c r="G2757" s="86">
        <f>IFERROR(__xludf.DUMMYFUNCTION("""COMPUTED_VALUE"""),15.0)</f>
        <v>15</v>
      </c>
      <c r="H2757" s="86">
        <f>IFERROR(__xludf.DUMMYFUNCTION("""COMPUTED_VALUE"""),0.4827586206896552)</f>
        <v>0.4827586207</v>
      </c>
      <c r="I2757" s="86">
        <f>IFERROR(__xludf.DUMMYFUNCTION("""COMPUTED_VALUE"""),0.25)</f>
        <v>0.25</v>
      </c>
      <c r="J2757" s="82">
        <f>IFERROR(__xludf.DUMMYFUNCTION("""COMPUTED_VALUE"""),274.9655172413793)</f>
        <v>274.9655172</v>
      </c>
      <c r="K2757" s="82">
        <f>IFERROR(__xludf.DUMMYFUNCTION("""COMPUTED_VALUE"""),0.5517241379310345)</f>
        <v>0.5517241379</v>
      </c>
      <c r="L2757" s="82">
        <f>IFERROR(__xludf.DUMMYFUNCTION("""COMPUTED_VALUE"""),0.4827586206896552)</f>
        <v>0.4827586207</v>
      </c>
      <c r="M2757" s="82">
        <f>IFERROR(__xludf.DUMMYFUNCTION("""COMPUTED_VALUE"""),1.0689655172413792)</f>
        <v>1.068965517</v>
      </c>
      <c r="N2757" s="82">
        <f>IFERROR(__xludf.DUMMYFUNCTION("""COMPUTED_VALUE"""),2.206896551724138)</f>
        <v>2.206896552</v>
      </c>
      <c r="O2757" s="82">
        <f>IFERROR(__xludf.DUMMYFUNCTION("""COMPUTED_VALUE"""),354.39080459770116)</f>
        <v>354.3908046</v>
      </c>
      <c r="P2757" s="82">
        <f>IFERROR(__xludf.DUMMYFUNCTION("""COMPUTED_VALUE"""),0.8160919540229886)</f>
        <v>0.816091954</v>
      </c>
      <c r="Q2757" s="82">
        <f>IFERROR(__xludf.DUMMYFUNCTION("""COMPUTED_VALUE"""),0.5862068965517241)</f>
        <v>0.5862068966</v>
      </c>
      <c r="R2757" s="82">
        <f>IFERROR(__xludf.DUMMYFUNCTION("""COMPUTED_VALUE"""),1.2758620689655173)</f>
        <v>1.275862069</v>
      </c>
      <c r="S2757" s="82">
        <f>IFERROR(__xludf.DUMMYFUNCTION("""COMPUTED_VALUE"""),2.781609195402298)</f>
        <v>2.781609195</v>
      </c>
      <c r="T2757" s="82">
        <f>IFERROR(__xludf.DUMMYFUNCTION("""COMPUTED_VALUE"""),344.3595600622334)</f>
        <v>344.3595601</v>
      </c>
      <c r="U2757" s="82">
        <f>IFERROR(__xludf.DUMMYFUNCTION("""COMPUTED_VALUE"""),0.8094378235371564)</f>
        <v>0.8094378235</v>
      </c>
      <c r="V2757" s="82">
        <f>IFERROR(__xludf.DUMMYFUNCTION("""COMPUTED_VALUE"""),0.527181589426129)</f>
        <v>0.5271815894</v>
      </c>
      <c r="W2757" s="82">
        <f>IFERROR(__xludf.DUMMYFUNCTION("""COMPUTED_VALUE"""),1.2738676832511546)</f>
        <v>1.273867683</v>
      </c>
      <c r="X2757" s="82">
        <f>IFERROR(__xludf.DUMMYFUNCTION("""COMPUTED_VALUE"""),2.5608575439110544)</f>
        <v>2.560857544</v>
      </c>
      <c r="Y2757" s="82">
        <f>IFERROR(__xludf.DUMMYFUNCTION("""COMPUTED_VALUE"""),336.0252340559915)</f>
        <v>336.0252341</v>
      </c>
      <c r="Z2757" s="82">
        <f>IFERROR(__xludf.DUMMYFUNCTION("""COMPUTED_VALUE"""),0.7987986698266445)</f>
        <v>0.7987986698</v>
      </c>
      <c r="AA2757" s="82">
        <f>IFERROR(__xludf.DUMMYFUNCTION("""COMPUTED_VALUE"""),0.517716721268979)</f>
        <v>0.5177167213</v>
      </c>
      <c r="AB2757" s="82">
        <f>IFERROR(__xludf.DUMMYFUNCTION("""COMPUTED_VALUE"""),1.2213996582126854)</f>
        <v>1.221399658</v>
      </c>
      <c r="AC2757" s="82">
        <f>IFERROR(__xludf.DUMMYFUNCTION("""COMPUTED_VALUE"""),2.496896534721308)</f>
        <v>2.496896535</v>
      </c>
      <c r="AD2757" s="82">
        <f>IFERROR(__xludf.DUMMYFUNCTION("""COMPUTED_VALUE"""),0.8182882991328029)</f>
        <v>0.8182882991</v>
      </c>
      <c r="AE2757" s="82">
        <f>IFERROR(__xludf.DUMMYFUNCTION("""COMPUTED_VALUE"""),0.6906923593785775)</f>
        <v>0.6906923594</v>
      </c>
      <c r="AF2757" s="82">
        <f>IFERROR(__xludf.DUMMYFUNCTION("""COMPUTED_VALUE"""),0.9324763927005529)</f>
        <v>0.9324763927</v>
      </c>
      <c r="AG2757" s="82">
        <f>IFERROR(__xludf.DUMMYFUNCTION("""COMPUTED_VALUE"""),0.8751971642153822)</f>
        <v>0.8751971642</v>
      </c>
      <c r="AH2757" s="82">
        <f>IFERROR(__xludf.DUMMYFUNCTION("""COMPUTED_VALUE"""),0.8838558270378878)</f>
        <v>0.883855827</v>
      </c>
      <c r="AI2757" s="82">
        <f>IFERROR(__xludf.DUMMYFUNCTION("""COMPUTED_VALUE"""),1.0291301467967229)</f>
        <v>1.029130147</v>
      </c>
      <c r="AJ2757" s="82">
        <f>IFERROR(__xludf.DUMMYFUNCTION("""COMPUTED_VALUE"""),1.0082206814314092)</f>
        <v>1.008220681</v>
      </c>
      <c r="AK2757" s="82">
        <f>IFERROR(__xludf.DUMMYFUNCTION("""COMPUTED_VALUE"""),1.1119639006928295)</f>
        <v>1.111963901</v>
      </c>
      <c r="AL2757" s="82">
        <f>IFERROR(__xludf.DUMMYFUNCTION("""COMPUTED_VALUE"""),1.0015656144987308)</f>
        <v>1.001565614</v>
      </c>
      <c r="AM2757" s="82">
        <f>IFERROR(__xludf.DUMMYFUNCTION("""COMPUTED_VALUE"""),1.0862022380027052)</f>
        <v>1.086202238</v>
      </c>
      <c r="AN2757" s="82">
        <f>IFERROR(__xludf.DUMMYFUNCTION("""COMPUTED_VALUE"""),0.8493368909274989)</f>
        <v>0.8493368909</v>
      </c>
      <c r="AO2757" s="82">
        <f>IFERROR(__xludf.DUMMYFUNCTION("""COMPUTED_VALUE"""),0.7480259520642144)</f>
        <v>0.7480259521</v>
      </c>
      <c r="AP2757" s="82">
        <f>IFERROR(__xludf.DUMMYFUNCTION("""COMPUTED_VALUE"""),0.9784033644179904)</f>
        <v>0.9784033644</v>
      </c>
      <c r="AQ2757" s="82">
        <f>IFERROR(__xludf.DUMMYFUNCTION("""COMPUTED_VALUE"""),0.8862946545128266)</f>
        <v>0.8862946545</v>
      </c>
      <c r="AR2757" s="82">
        <f>IFERROR(__xludf.DUMMYFUNCTION("""COMPUTED_VALUE"""),0.9369433029173154)</f>
        <v>0.9369433029</v>
      </c>
      <c r="AS2757" s="82">
        <f>IFERROR(__xludf.DUMMYFUNCTION("""COMPUTED_VALUE"""),72.0)</f>
        <v>72</v>
      </c>
      <c r="AT2757" s="82">
        <f>IFERROR(__xludf.DUMMYFUNCTION("""COMPUTED_VALUE"""),0.5055270904680857)</f>
        <v>0.5055270905</v>
      </c>
      <c r="AU2757" s="82">
        <f>IFERROR(__xludf.DUMMYFUNCTION("""COMPUTED_VALUE"""),1.4813727520893987)</f>
        <v>1.481372752</v>
      </c>
      <c r="AV2757" s="82">
        <f>IFERROR(__xludf.DUMMYFUNCTION("""COMPUTED_VALUE"""),34.74320504900547)</f>
        <v>34.74320505</v>
      </c>
      <c r="AW2757" s="82">
        <f t="shared" si="1"/>
        <v>-3.692204705</v>
      </c>
      <c r="AX2757" s="83">
        <f t="array" ref="AX2757">IFERROR(DGET('SBV Import'!A:G,"SBV",{"RSC ID","Tier";B2757,A2757}))</f>
        <v>20.99843806</v>
      </c>
      <c r="AY2757" s="82">
        <f t="shared" si="2"/>
        <v>-8.129309025</v>
      </c>
      <c r="AZ2757" s="82">
        <v>4.437104320137135</v>
      </c>
      <c r="BA2757" s="84">
        <v>2700.0</v>
      </c>
      <c r="BB2757" s="84" t="b">
        <f>IFERROR(__xludf.DUMMYFUNCTION("iferror(if(A2757="""",,E2757&gt;=FILTER(Constants!$F$2:$F$10,Constants!$A$2:$A$10=A2757)))"),TRUE)</f>
        <v>1</v>
      </c>
    </row>
    <row r="2758">
      <c r="A2758" s="89" t="str">
        <f>IFERROR(__xludf.DUMMYFUNCTION("""COMPUTED_VALUE"""),"Prospect")</f>
        <v>Prospect</v>
      </c>
      <c r="B2758" s="87" t="str">
        <f>IFERROR(__xludf.DUMMYFUNCTION("""COMPUTED_VALUE"""),"RSC000253")</f>
        <v>RSC000253</v>
      </c>
      <c r="C2758" s="73" t="str">
        <f>IFERROR(__xludf.DUMMYFUNCTION("""COMPUTED_VALUE"""),"musah")</f>
        <v>musah</v>
      </c>
      <c r="D2758" s="73" t="str">
        <f>IFERROR(__xludf.DUMMYFUNCTION("""COMPUTED_VALUE"""),"Khans")</f>
        <v>Khans</v>
      </c>
      <c r="E2758" s="82">
        <f>IFERROR(__xludf.DUMMYFUNCTION("""COMPUTED_VALUE"""),29.0)</f>
        <v>29</v>
      </c>
      <c r="F2758" s="82">
        <f>IFERROR(__xludf.DUMMYFUNCTION("""COMPUTED_VALUE"""),13.0)</f>
        <v>13</v>
      </c>
      <c r="G2758" s="86">
        <f>IFERROR(__xludf.DUMMYFUNCTION("""COMPUTED_VALUE"""),16.0)</f>
        <v>16</v>
      </c>
      <c r="H2758" s="86">
        <f>IFERROR(__xludf.DUMMYFUNCTION("""COMPUTED_VALUE"""),0.4482758620689655)</f>
        <v>0.4482758621</v>
      </c>
      <c r="I2758" s="86">
        <f>IFERROR(__xludf.DUMMYFUNCTION("""COMPUTED_VALUE"""),0.2537313432835821)</f>
        <v>0.2537313433</v>
      </c>
      <c r="J2758" s="82">
        <f>IFERROR(__xludf.DUMMYFUNCTION("""COMPUTED_VALUE"""),274.41379310344826)</f>
        <v>274.4137931</v>
      </c>
      <c r="K2758" s="82">
        <f>IFERROR(__xludf.DUMMYFUNCTION("""COMPUTED_VALUE"""),0.5862068965517241)</f>
        <v>0.5862068966</v>
      </c>
      <c r="L2758" s="82">
        <f>IFERROR(__xludf.DUMMYFUNCTION("""COMPUTED_VALUE"""),0.27586206896551724)</f>
        <v>0.275862069</v>
      </c>
      <c r="M2758" s="82">
        <f>IFERROR(__xludf.DUMMYFUNCTION("""COMPUTED_VALUE"""),1.0)</f>
        <v>1</v>
      </c>
      <c r="N2758" s="82">
        <f>IFERROR(__xludf.DUMMYFUNCTION("""COMPUTED_VALUE"""),2.310344827586207)</f>
        <v>2.310344828</v>
      </c>
      <c r="O2758" s="82">
        <f>IFERROR(__xludf.DUMMYFUNCTION("""COMPUTED_VALUE"""),357.60919540229884)</f>
        <v>357.6091954</v>
      </c>
      <c r="P2758" s="82">
        <f>IFERROR(__xludf.DUMMYFUNCTION("""COMPUTED_VALUE"""),0.8390804597701148)</f>
        <v>0.8390804598</v>
      </c>
      <c r="Q2758" s="82">
        <f>IFERROR(__xludf.DUMMYFUNCTION("""COMPUTED_VALUE"""),0.574712643678161)</f>
        <v>0.5747126437</v>
      </c>
      <c r="R2758" s="82">
        <f>IFERROR(__xludf.DUMMYFUNCTION("""COMPUTED_VALUE"""),1.344827586206897)</f>
        <v>1.344827586</v>
      </c>
      <c r="S2758" s="82">
        <f>IFERROR(__xludf.DUMMYFUNCTION("""COMPUTED_VALUE"""),2.816091954022988)</f>
        <v>2.816091954</v>
      </c>
      <c r="T2758" s="82">
        <f>IFERROR(__xludf.DUMMYFUNCTION("""COMPUTED_VALUE"""),339.6794032405513)</f>
        <v>339.6794032</v>
      </c>
      <c r="U2758" s="82">
        <f>IFERROR(__xludf.DUMMYFUNCTION("""COMPUTED_VALUE"""),0.8247211162970193)</f>
        <v>0.8247211163</v>
      </c>
      <c r="V2758" s="82">
        <f>IFERROR(__xludf.DUMMYFUNCTION("""COMPUTED_VALUE"""),0.5802453779082097)</f>
        <v>0.5802453779</v>
      </c>
      <c r="W2758" s="82">
        <f>IFERROR(__xludf.DUMMYFUNCTION("""COMPUTED_VALUE"""),1.1433814145018664)</f>
        <v>1.143381415</v>
      </c>
      <c r="X2758" s="82">
        <f>IFERROR(__xludf.DUMMYFUNCTION("""COMPUTED_VALUE"""),2.6314084089094743)</f>
        <v>2.631408409</v>
      </c>
      <c r="Y2758" s="82">
        <f>IFERROR(__xludf.DUMMYFUNCTION("""COMPUTED_VALUE"""),332.7648613057385)</f>
        <v>332.7648613</v>
      </c>
      <c r="Z2758" s="82">
        <f>IFERROR(__xludf.DUMMYFUNCTION("""COMPUTED_VALUE"""),0.7418457713883084)</f>
        <v>0.7418457714</v>
      </c>
      <c r="AA2758" s="82">
        <f>IFERROR(__xludf.DUMMYFUNCTION("""COMPUTED_VALUE"""),0.49606351144769706)</f>
        <v>0.4960635114</v>
      </c>
      <c r="AB2758" s="82">
        <f>IFERROR(__xludf.DUMMYFUNCTION("""COMPUTED_VALUE"""),1.2981679456180157)</f>
        <v>1.298167946</v>
      </c>
      <c r="AC2758" s="82">
        <f>IFERROR(__xludf.DUMMYFUNCTION("""COMPUTED_VALUE"""),2.3022751077967922)</f>
        <v>2.302275108</v>
      </c>
      <c r="AD2758" s="82">
        <f>IFERROR(__xludf.DUMMYFUNCTION("""COMPUTED_VALUE"""),0.8246477468404384)</f>
        <v>0.8246477468</v>
      </c>
      <c r="AE2758" s="82">
        <f>IFERROR(__xludf.DUMMYFUNCTION("""COMPUTED_VALUE"""),0.7902004960609024)</f>
        <v>0.7902004961</v>
      </c>
      <c r="AF2758" s="82">
        <f>IFERROR(__xludf.DUMMYFUNCTION("""COMPUTED_VALUE"""),0.5561023187544062)</f>
        <v>0.5561023188</v>
      </c>
      <c r="AG2758" s="82">
        <f>IFERROR(__xludf.DUMMYFUNCTION("""COMPUTED_VALUE"""),0.7703163549643282)</f>
        <v>0.770316355</v>
      </c>
      <c r="AH2758" s="82">
        <f>IFERROR(__xludf.DUMMYFUNCTION("""COMPUTED_VALUE"""),1.0035051066495424)</f>
        <v>1.003505107</v>
      </c>
      <c r="AI2758" s="82">
        <f>IFERROR(__xludf.DUMMYFUNCTION("""COMPUTED_VALUE"""),1.0527844549616396)</f>
        <v>1.052784455</v>
      </c>
      <c r="AJ2758" s="82">
        <f>IFERROR(__xludf.DUMMYFUNCTION("""COMPUTED_VALUE"""),1.017411150496023)</f>
        <v>1.01741115</v>
      </c>
      <c r="AK2758" s="82">
        <f>IFERROR(__xludf.DUMMYFUNCTION("""COMPUTED_VALUE"""),0.990464837048777)</f>
        <v>0.990464837</v>
      </c>
      <c r="AL2758" s="82">
        <f>IFERROR(__xludf.DUMMYFUNCTION("""COMPUTED_VALUE"""),1.1761845777358504)</f>
        <v>1.176184578</v>
      </c>
      <c r="AM2758" s="82">
        <f>IFERROR(__xludf.DUMMYFUNCTION("""COMPUTED_VALUE"""),1.0701842954093361)</f>
        <v>1.070184295</v>
      </c>
      <c r="AN2758" s="82">
        <f>IFERROR(__xludf.DUMMYFUNCTION("""COMPUTED_VALUE"""),0.8476326784551086)</f>
        <v>0.8476326785</v>
      </c>
      <c r="AO2758" s="82">
        <f>IFERROR(__xludf.DUMMYFUNCTION("""COMPUTED_VALUE"""),0.7947775740682278)</f>
        <v>0.7947775741</v>
      </c>
      <c r="AP2758" s="82">
        <f>IFERROR(__xludf.DUMMYFUNCTION("""COMPUTED_VALUE"""),0.5590876368102802)</f>
        <v>0.5590876368</v>
      </c>
      <c r="AQ2758" s="82">
        <f>IFERROR(__xludf.DUMMYFUNCTION("""COMPUTED_VALUE"""),0.8291143542216766)</f>
        <v>0.8291143542</v>
      </c>
      <c r="AR2758" s="82">
        <f>IFERROR(__xludf.DUMMYFUNCTION("""COMPUTED_VALUE"""),0.9808625202415646)</f>
        <v>0.9808625202</v>
      </c>
      <c r="AS2758" s="82">
        <f>IFERROR(__xludf.DUMMYFUNCTION("""COMPUTED_VALUE"""),55.0)</f>
        <v>55</v>
      </c>
      <c r="AT2758" s="82">
        <f>IFERROR(__xludf.DUMMYFUNCTION("""COMPUTED_VALUE"""),0.39327846942774686)</f>
        <v>0.3932784694</v>
      </c>
      <c r="AU2758" s="82">
        <f>IFERROR(__xludf.DUMMYFUNCTION("""COMPUTED_VALUE"""),1.403838190408355)</f>
        <v>1.40383819</v>
      </c>
      <c r="AV2758" s="82">
        <f>IFERROR(__xludf.DUMMYFUNCTION("""COMPUTED_VALUE"""),32.27666047099443)</f>
        <v>32.27666047</v>
      </c>
      <c r="AW2758" s="82">
        <f t="shared" si="1"/>
        <v>-4.180901812</v>
      </c>
      <c r="AX2758" s="83">
        <f t="array" ref="AX2758">IFERROR(DGET('SBV Import'!A:G,"SBV",{"RSC ID","Tier";B2758,A2758}))</f>
        <v>21.01746225</v>
      </c>
      <c r="AY2758" s="82">
        <f t="shared" si="2"/>
        <v>-8.119080724</v>
      </c>
      <c r="AZ2758" s="82">
        <v>3.938178911415629</v>
      </c>
      <c r="BA2758" s="84">
        <v>2700.0</v>
      </c>
      <c r="BB2758" s="84" t="b">
        <f>IFERROR(__xludf.DUMMYFUNCTION("iferror(if(A2758="""",,E2758&gt;=FILTER(Constants!$F$2:$F$10,Constants!$A$2:$A$10=A2758)))"),TRUE)</f>
        <v>1</v>
      </c>
    </row>
    <row r="2759">
      <c r="A2759" s="89" t="str">
        <f>IFERROR(__xludf.DUMMYFUNCTION("""COMPUTED_VALUE"""),"Prospect")</f>
        <v>Prospect</v>
      </c>
      <c r="B2759" s="87" t="str">
        <f>IFERROR(__xludf.DUMMYFUNCTION("""COMPUTED_VALUE"""),"RSC006369")</f>
        <v>RSC006369</v>
      </c>
      <c r="C2759" s="73" t="str">
        <f>IFERROR(__xludf.DUMMYFUNCTION("""COMPUTED_VALUE"""),"nate")</f>
        <v>nate</v>
      </c>
      <c r="D2759" s="73" t="str">
        <f>IFERROR(__xludf.DUMMYFUNCTION("""COMPUTED_VALUE"""),"Emus")</f>
        <v>Emus</v>
      </c>
      <c r="E2759" s="82">
        <f>IFERROR(__xludf.DUMMYFUNCTION("""COMPUTED_VALUE"""),19.0)</f>
        <v>19</v>
      </c>
      <c r="F2759" s="82">
        <f>IFERROR(__xludf.DUMMYFUNCTION("""COMPUTED_VALUE"""),9.0)</f>
        <v>9</v>
      </c>
      <c r="G2759" s="86">
        <f>IFERROR(__xludf.DUMMYFUNCTION("""COMPUTED_VALUE"""),10.0)</f>
        <v>10</v>
      </c>
      <c r="H2759" s="86">
        <f>IFERROR(__xludf.DUMMYFUNCTION("""COMPUTED_VALUE"""),0.47368421052631576)</f>
        <v>0.4736842105</v>
      </c>
      <c r="I2759" s="86">
        <f>IFERROR(__xludf.DUMMYFUNCTION("""COMPUTED_VALUE"""),0.34375000000000006)</f>
        <v>0.34375</v>
      </c>
      <c r="J2759" s="82">
        <f>IFERROR(__xludf.DUMMYFUNCTION("""COMPUTED_VALUE"""),284.1578947368421)</f>
        <v>284.1578947</v>
      </c>
      <c r="K2759" s="82">
        <f>IFERROR(__xludf.DUMMYFUNCTION("""COMPUTED_VALUE"""),0.5789473684210527)</f>
        <v>0.5789473684</v>
      </c>
      <c r="L2759" s="82">
        <f>IFERROR(__xludf.DUMMYFUNCTION("""COMPUTED_VALUE"""),0.42105263157894735)</f>
        <v>0.4210526316</v>
      </c>
      <c r="M2759" s="82">
        <f>IFERROR(__xludf.DUMMYFUNCTION("""COMPUTED_VALUE"""),1.2105263157894737)</f>
        <v>1.210526316</v>
      </c>
      <c r="N2759" s="82">
        <f>IFERROR(__xludf.DUMMYFUNCTION("""COMPUTED_VALUE"""),1.6842105263157894)</f>
        <v>1.684210526</v>
      </c>
      <c r="O2759" s="82">
        <f>IFERROR(__xludf.DUMMYFUNCTION("""COMPUTED_VALUE"""),340.45614035087726)</f>
        <v>340.4561404</v>
      </c>
      <c r="P2759" s="82">
        <f>IFERROR(__xludf.DUMMYFUNCTION("""COMPUTED_VALUE"""),0.8245614035087719)</f>
        <v>0.8245614035</v>
      </c>
      <c r="Q2759" s="82">
        <f>IFERROR(__xludf.DUMMYFUNCTION("""COMPUTED_VALUE"""),0.47368421052631576)</f>
        <v>0.4736842105</v>
      </c>
      <c r="R2759" s="82">
        <f>IFERROR(__xludf.DUMMYFUNCTION("""COMPUTED_VALUE"""),1.3333333333333335)</f>
        <v>1.333333333</v>
      </c>
      <c r="S2759" s="82">
        <f>IFERROR(__xludf.DUMMYFUNCTION("""COMPUTED_VALUE"""),2.596491228070175)</f>
        <v>2.596491228</v>
      </c>
      <c r="T2759" s="82">
        <f>IFERROR(__xludf.DUMMYFUNCTION("""COMPUTED_VALUE"""),345.6064627434172)</f>
        <v>345.6064627</v>
      </c>
      <c r="U2759" s="82">
        <f>IFERROR(__xludf.DUMMYFUNCTION("""COMPUTED_VALUE"""),0.8253241021664786)</f>
        <v>0.8253241022</v>
      </c>
      <c r="V2759" s="82">
        <f>IFERROR(__xludf.DUMMYFUNCTION("""COMPUTED_VALUE"""),0.5294333844897965)</f>
        <v>0.5294333845</v>
      </c>
      <c r="W2759" s="82">
        <f>IFERROR(__xludf.DUMMYFUNCTION("""COMPUTED_VALUE"""),1.288190039003773)</f>
        <v>1.288190039</v>
      </c>
      <c r="X2759" s="82">
        <f>IFERROR(__xludf.DUMMYFUNCTION("""COMPUTED_VALUE"""),2.5350944707276977)</f>
        <v>2.535094471</v>
      </c>
      <c r="Y2759" s="82">
        <f>IFERROR(__xludf.DUMMYFUNCTION("""COMPUTED_VALUE"""),335.1494942985453)</f>
        <v>335.1494943</v>
      </c>
      <c r="Z2759" s="82">
        <f>IFERROR(__xludf.DUMMYFUNCTION("""COMPUTED_VALUE"""),0.7531938283492914)</f>
        <v>0.7531938283</v>
      </c>
      <c r="AA2759" s="82">
        <f>IFERROR(__xludf.DUMMYFUNCTION("""COMPUTED_VALUE"""),0.5301975230241485)</f>
        <v>0.530197523</v>
      </c>
      <c r="AB2759" s="82">
        <f>IFERROR(__xludf.DUMMYFUNCTION("""COMPUTED_VALUE"""),1.2440040301727804)</f>
        <v>1.24400403</v>
      </c>
      <c r="AC2759" s="82">
        <f>IFERROR(__xludf.DUMMYFUNCTION("""COMPUTED_VALUE"""),2.4436539120849154)</f>
        <v>2.443653912</v>
      </c>
      <c r="AD2759" s="82">
        <f>IFERROR(__xludf.DUMMYFUNCTION("""COMPUTED_VALUE"""),0.8478541652929341)</f>
        <v>0.8478541653</v>
      </c>
      <c r="AE2759" s="82">
        <f>IFERROR(__xludf.DUMMYFUNCTION("""COMPUTED_VALUE"""),0.7686565484609461)</f>
        <v>0.7686565485</v>
      </c>
      <c r="AF2759" s="82">
        <f>IFERROR(__xludf.DUMMYFUNCTION("""COMPUTED_VALUE"""),0.7941429623762501)</f>
        <v>0.7941429624</v>
      </c>
      <c r="AG2759" s="82">
        <f>IFERROR(__xludf.DUMMYFUNCTION("""COMPUTED_VALUE"""),0.9730887412168134)</f>
        <v>0.9730887412</v>
      </c>
      <c r="AH2759" s="82">
        <f>IFERROR(__xludf.DUMMYFUNCTION("""COMPUTED_VALUE"""),0.6892181081726209)</f>
        <v>0.6892181082</v>
      </c>
      <c r="AI2759" s="82">
        <f>IFERROR(__xludf.DUMMYFUNCTION("""COMPUTED_VALUE"""),0.9850977254543889)</f>
        <v>0.9850977255</v>
      </c>
      <c r="AJ2759" s="82">
        <f>IFERROR(__xludf.DUMMYFUNCTION("""COMPUTED_VALUE"""),0.9990758798201766)</f>
        <v>0.9990758798</v>
      </c>
      <c r="AK2759" s="82">
        <f>IFERROR(__xludf.DUMMYFUNCTION("""COMPUTED_VALUE"""),0.8947003048982168)</f>
        <v>0.8947003049</v>
      </c>
      <c r="AL2759" s="82">
        <f>IFERROR(__xludf.DUMMYFUNCTION("""COMPUTED_VALUE"""),1.0350439709691222)</f>
        <v>1.035043971</v>
      </c>
      <c r="AM2759" s="82">
        <f>IFERROR(__xludf.DUMMYFUNCTION("""COMPUTED_VALUE"""),1.0242187255944168)</f>
        <v>1.024218726</v>
      </c>
      <c r="AN2759" s="82">
        <f>IFERROR(__xludf.DUMMYFUNCTION("""COMPUTED_VALUE"""),0.8777310888638695)</f>
        <v>0.8777310889</v>
      </c>
      <c r="AO2759" s="82">
        <f>IFERROR(__xludf.DUMMYFUNCTION("""COMPUTED_VALUE"""),0.7849351273305408)</f>
        <v>0.7849351273</v>
      </c>
      <c r="AP2759" s="82">
        <f>IFERROR(__xludf.DUMMYFUNCTION("""COMPUTED_VALUE"""),0.8533442877630592)</f>
        <v>0.8533442878</v>
      </c>
      <c r="AQ2759" s="82">
        <f>IFERROR(__xludf.DUMMYFUNCTION("""COMPUTED_VALUE"""),1.0036647445841347)</f>
        <v>1.003664745</v>
      </c>
      <c r="AR2759" s="82">
        <f>IFERROR(__xludf.DUMMYFUNCTION("""COMPUTED_VALUE"""),0.7150356785421618)</f>
        <v>0.7150356785</v>
      </c>
      <c r="AS2759" s="82">
        <f>IFERROR(__xludf.DUMMYFUNCTION("""COMPUTED_VALUE"""),41.0)</f>
        <v>41</v>
      </c>
      <c r="AT2759" s="82">
        <f>IFERROR(__xludf.DUMMYFUNCTION("""COMPUTED_VALUE"""),0.4471853895325621)</f>
        <v>0.4471853895</v>
      </c>
      <c r="AU2759" s="82">
        <f>IFERROR(__xludf.DUMMYFUNCTION("""COMPUTED_VALUE"""),1.3899538846184698)</f>
        <v>1.389953885</v>
      </c>
      <c r="AV2759" s="82">
        <f>IFERROR(__xludf.DUMMYFUNCTION("""COMPUTED_VALUE"""),31.834970230887468)</f>
        <v>31.83497023</v>
      </c>
      <c r="AW2759" s="82">
        <f t="shared" si="1"/>
        <v>-4.27834668</v>
      </c>
      <c r="AX2759" s="83">
        <f t="array" ref="AX2759">IFERROR(DGET('SBV Import'!A:G,"SBV",{"RSC ID","Tier";B2759,A2759}))</f>
        <v>21.27049256</v>
      </c>
      <c r="AY2759" s="82">
        <f t="shared" si="2"/>
        <v>-7.984617053</v>
      </c>
      <c r="AZ2759" s="82">
        <v>3.7062703723808443</v>
      </c>
      <c r="BA2759" s="84">
        <v>2700.0</v>
      </c>
      <c r="BB2759" s="84" t="b">
        <f>IFERROR(__xludf.DUMMYFUNCTION("iferror(if(A2759="""",,E2759&gt;=FILTER(Constants!$F$2:$F$10,Constants!$A$2:$A$10=A2759)))"),TRUE)</f>
        <v>1</v>
      </c>
    </row>
    <row r="2760">
      <c r="A2760" s="89" t="str">
        <f>IFERROR(__xludf.DUMMYFUNCTION("""COMPUTED_VALUE"""),"Prospect")</f>
        <v>Prospect</v>
      </c>
      <c r="B2760" s="87" t="str">
        <f>IFERROR(__xludf.DUMMYFUNCTION("""COMPUTED_VALUE"""),"RSC001619")</f>
        <v>RSC001619</v>
      </c>
      <c r="C2760" s="73" t="str">
        <f>IFERROR(__xludf.DUMMYFUNCTION("""COMPUTED_VALUE"""),"Rob")</f>
        <v>Rob</v>
      </c>
      <c r="D2760" s="73" t="str">
        <f>IFERROR(__xludf.DUMMYFUNCTION("""COMPUTED_VALUE"""),"Gloom")</f>
        <v>Gloom</v>
      </c>
      <c r="E2760" s="82">
        <f>IFERROR(__xludf.DUMMYFUNCTION("""COMPUTED_VALUE"""),23.0)</f>
        <v>23</v>
      </c>
      <c r="F2760" s="82">
        <f>IFERROR(__xludf.DUMMYFUNCTION("""COMPUTED_VALUE"""),8.0)</f>
        <v>8</v>
      </c>
      <c r="G2760" s="86">
        <f>IFERROR(__xludf.DUMMYFUNCTION("""COMPUTED_VALUE"""),15.0)</f>
        <v>15</v>
      </c>
      <c r="H2760" s="86">
        <f>IFERROR(__xludf.DUMMYFUNCTION("""COMPUTED_VALUE"""),0.34782608695652173)</f>
        <v>0.347826087</v>
      </c>
      <c r="I2760" s="86">
        <f>IFERROR(__xludf.DUMMYFUNCTION("""COMPUTED_VALUE"""),0.37209302325581395)</f>
        <v>0.3720930233</v>
      </c>
      <c r="J2760" s="82">
        <f>IFERROR(__xludf.DUMMYFUNCTION("""COMPUTED_VALUE"""),310.7391304347826)</f>
        <v>310.7391304</v>
      </c>
      <c r="K2760" s="82">
        <f>IFERROR(__xludf.DUMMYFUNCTION("""COMPUTED_VALUE"""),0.6956521739130435)</f>
        <v>0.6956521739</v>
      </c>
      <c r="L2760" s="82">
        <f>IFERROR(__xludf.DUMMYFUNCTION("""COMPUTED_VALUE"""),0.21739130434782608)</f>
        <v>0.2173913043</v>
      </c>
      <c r="M2760" s="82">
        <f>IFERROR(__xludf.DUMMYFUNCTION("""COMPUTED_VALUE"""),1.565217391304348)</f>
        <v>1.565217391</v>
      </c>
      <c r="N2760" s="82">
        <f>IFERROR(__xludf.DUMMYFUNCTION("""COMPUTED_VALUE"""),1.8695652173913044)</f>
        <v>1.869565217</v>
      </c>
      <c r="O2760" s="82">
        <f>IFERROR(__xludf.DUMMYFUNCTION("""COMPUTED_VALUE"""),347.0289855072464)</f>
        <v>347.0289855</v>
      </c>
      <c r="P2760" s="82">
        <f>IFERROR(__xludf.DUMMYFUNCTION("""COMPUTED_VALUE"""),0.9130434782608695)</f>
        <v>0.9130434783</v>
      </c>
      <c r="Q2760" s="82">
        <f>IFERROR(__xludf.DUMMYFUNCTION("""COMPUTED_VALUE"""),0.5942028985507247)</f>
        <v>0.5942028986</v>
      </c>
      <c r="R2760" s="82">
        <f>IFERROR(__xludf.DUMMYFUNCTION("""COMPUTED_VALUE"""),0.9565217391304346)</f>
        <v>0.9565217391</v>
      </c>
      <c r="S2760" s="82">
        <f>IFERROR(__xludf.DUMMYFUNCTION("""COMPUTED_VALUE"""),3.1739130434782608)</f>
        <v>3.173913043</v>
      </c>
      <c r="T2760" s="82">
        <f>IFERROR(__xludf.DUMMYFUNCTION("""COMPUTED_VALUE"""),351.29228961694497)</f>
        <v>351.2922896</v>
      </c>
      <c r="U2760" s="82">
        <f>IFERROR(__xludf.DUMMYFUNCTION("""COMPUTED_VALUE"""),0.8998418146446113)</f>
        <v>0.8998418146</v>
      </c>
      <c r="V2760" s="82">
        <f>IFERROR(__xludf.DUMMYFUNCTION("""COMPUTED_VALUE"""),0.5715428225544107)</f>
        <v>0.5715428226</v>
      </c>
      <c r="W2760" s="82">
        <f>IFERROR(__xludf.DUMMYFUNCTION("""COMPUTED_VALUE"""),1.172924468267773)</f>
        <v>1.172924468</v>
      </c>
      <c r="X2760" s="82">
        <f>IFERROR(__xludf.DUMMYFUNCTION("""COMPUTED_VALUE"""),2.7012040286145105)</f>
        <v>2.701204029</v>
      </c>
      <c r="Y2760" s="82">
        <f>IFERROR(__xludf.DUMMYFUNCTION("""COMPUTED_VALUE"""),330.3584722209922)</f>
        <v>330.3584722</v>
      </c>
      <c r="Z2760" s="82">
        <f>IFERROR(__xludf.DUMMYFUNCTION("""COMPUTED_VALUE"""),0.7289439937747939)</f>
        <v>0.7289439938</v>
      </c>
      <c r="AA2760" s="82">
        <f>IFERROR(__xludf.DUMMYFUNCTION("""COMPUTED_VALUE"""),0.49342127197339)</f>
        <v>0.493421272</v>
      </c>
      <c r="AB2760" s="82">
        <f>IFERROR(__xludf.DUMMYFUNCTION("""COMPUTED_VALUE"""),1.2602327607119574)</f>
        <v>1.260232761</v>
      </c>
      <c r="AC2760" s="82">
        <f>IFERROR(__xludf.DUMMYFUNCTION("""COMPUTED_VALUE"""),2.3391983005415256)</f>
        <v>2.339198301</v>
      </c>
      <c r="AD2760" s="82">
        <f>IFERROR(__xludf.DUMMYFUNCTION("""COMPUTED_VALUE"""),0.9406119611393369)</f>
        <v>0.9406119611</v>
      </c>
      <c r="AE2760" s="82">
        <f>IFERROR(__xludf.DUMMYFUNCTION("""COMPUTED_VALUE"""),0.9543286999466849)</f>
        <v>0.9543286999</v>
      </c>
      <c r="AF2760" s="82">
        <f>IFERROR(__xludf.DUMMYFUNCTION("""COMPUTED_VALUE"""),0.44057951429291015)</f>
        <v>0.4405795143</v>
      </c>
      <c r="AG2760" s="82">
        <f>IFERROR(__xludf.DUMMYFUNCTION("""COMPUTED_VALUE"""),1.2420065880687723)</f>
        <v>1.242006588</v>
      </c>
      <c r="AH2760" s="82">
        <f>IFERROR(__xludf.DUMMYFUNCTION("""COMPUTED_VALUE"""),0.7992333172260339)</f>
        <v>0.7992333172</v>
      </c>
      <c r="AI2760" s="82">
        <f>IFERROR(__xludf.DUMMYFUNCTION("""COMPUTED_VALUE"""),0.9878639405540401)</f>
        <v>0.9878639406</v>
      </c>
      <c r="AJ2760" s="82">
        <f>IFERROR(__xludf.DUMMYFUNCTION("""COMPUTED_VALUE"""),1.0146710937427064)</f>
        <v>1.014671094</v>
      </c>
      <c r="AK2760" s="82">
        <f>IFERROR(__xludf.DUMMYFUNCTION("""COMPUTED_VALUE"""),1.0396472059521957)</f>
        <v>1.039647206</v>
      </c>
      <c r="AL2760" s="82">
        <f>IFERROR(__xludf.DUMMYFUNCTION("""COMPUTED_VALUE"""),0.8155015646856343)</f>
        <v>0.8155015647</v>
      </c>
      <c r="AM2760" s="82">
        <f>IFERROR(__xludf.DUMMYFUNCTION("""COMPUTED_VALUE"""),1.1749993742998415)</f>
        <v>1.174999374</v>
      </c>
      <c r="AN2760" s="82">
        <f>IFERROR(__xludf.DUMMYFUNCTION("""COMPUTED_VALUE"""),0.9598374719158255)</f>
        <v>0.9598374719</v>
      </c>
      <c r="AO2760" s="82">
        <f>IFERROR(__xludf.DUMMYFUNCTION("""COMPUTED_VALUE"""),0.9431631569505312)</f>
        <v>0.943163157</v>
      </c>
      <c r="AP2760" s="82">
        <f>IFERROR(__xludf.DUMMYFUNCTION("""COMPUTED_VALUE"""),0.44058536596462294)</f>
        <v>0.440585366</v>
      </c>
      <c r="AQ2760" s="82">
        <f>IFERROR(__xludf.DUMMYFUNCTION("""COMPUTED_VALUE"""),1.2977442066078417)</f>
        <v>1.297744207</v>
      </c>
      <c r="AR2760" s="82">
        <f>IFERROR(__xludf.DUMMYFUNCTION("""COMPUTED_VALUE"""),0.793728463816503)</f>
        <v>0.7937284638</v>
      </c>
      <c r="AS2760" s="82">
        <f>IFERROR(__xludf.DUMMYFUNCTION("""COMPUTED_VALUE"""),37.0)</f>
        <v>37</v>
      </c>
      <c r="AT2760" s="82">
        <f>IFERROR(__xludf.DUMMYFUNCTION("""COMPUTED_VALUE"""),0.3075772433539399)</f>
        <v>0.3075772434</v>
      </c>
      <c r="AU2760" s="82">
        <f>IFERROR(__xludf.DUMMYFUNCTION("""COMPUTED_VALUE"""),1.3762821952753483)</f>
        <v>1.376282195</v>
      </c>
      <c r="AV2760" s="82">
        <f>IFERROR(__xludf.DUMMYFUNCTION("""COMPUTED_VALUE"""),31.40004378659737)</f>
        <v>31.40004379</v>
      </c>
      <c r="AW2760" s="82">
        <f t="shared" si="1"/>
        <v>-4.377540693</v>
      </c>
      <c r="AX2760" s="83">
        <f t="array" ref="AX2760">IFERROR(DGET('SBV Import'!A:G,"SBV",{"RSC ID","Tier";B2760,A2760}))</f>
        <v>22.88424352</v>
      </c>
      <c r="AY2760" s="82">
        <f t="shared" si="2"/>
        <v>-7.192034024</v>
      </c>
      <c r="AZ2760" s="82">
        <v>2.8144933312248783</v>
      </c>
      <c r="BA2760" s="84">
        <v>2700.0</v>
      </c>
      <c r="BB2760" s="84" t="b">
        <f>IFERROR(__xludf.DUMMYFUNCTION("iferror(if(A2760="""",,E2760&gt;=FILTER(Constants!$F$2:$F$10,Constants!$A$2:$A$10=A2760)))"),TRUE)</f>
        <v>1</v>
      </c>
    </row>
    <row r="2761">
      <c r="A2761" s="89" t="str">
        <f>IFERROR(__xludf.DUMMYFUNCTION("""COMPUTED_VALUE"""),"Prospect")</f>
        <v>Prospect</v>
      </c>
      <c r="B2761" s="87" t="str">
        <f>IFERROR(__xludf.DUMMYFUNCTION("""COMPUTED_VALUE"""),"RSC006793")</f>
        <v>RSC006793</v>
      </c>
      <c r="C2761" s="73" t="str">
        <f>IFERROR(__xludf.DUMMYFUNCTION("""COMPUTED_VALUE"""),"Yogibear8003")</f>
        <v>Yogibear8003</v>
      </c>
      <c r="D2761" s="73"/>
      <c r="E2761" s="82">
        <f>IFERROR(__xludf.DUMMYFUNCTION("""COMPUTED_VALUE"""),5.0)</f>
        <v>5</v>
      </c>
      <c r="F2761" s="82">
        <f>IFERROR(__xludf.DUMMYFUNCTION("""COMPUTED_VALUE"""),0.0)</f>
        <v>0</v>
      </c>
      <c r="G2761" s="86">
        <f>IFERROR(__xludf.DUMMYFUNCTION("""COMPUTED_VALUE"""),5.0)</f>
        <v>5</v>
      </c>
      <c r="H2761" s="86">
        <f>IFERROR(__xludf.DUMMYFUNCTION("""COMPUTED_VALUE"""),0.0)</f>
        <v>0</v>
      </c>
      <c r="I2761" s="86">
        <f>IFERROR(__xludf.DUMMYFUNCTION("""COMPUTED_VALUE"""),0.22222222222222224)</f>
        <v>0.2222222222</v>
      </c>
      <c r="J2761" s="82">
        <f>IFERROR(__xludf.DUMMYFUNCTION("""COMPUTED_VALUE"""),320.2)</f>
        <v>320.2</v>
      </c>
      <c r="K2761" s="82">
        <f>IFERROR(__xludf.DUMMYFUNCTION("""COMPUTED_VALUE"""),0.4)</f>
        <v>0.4</v>
      </c>
      <c r="L2761" s="82">
        <f>IFERROR(__xludf.DUMMYFUNCTION("""COMPUTED_VALUE"""),0.6)</f>
        <v>0.6</v>
      </c>
      <c r="M2761" s="82">
        <f>IFERROR(__xludf.DUMMYFUNCTION("""COMPUTED_VALUE"""),1.4)</f>
        <v>1.4</v>
      </c>
      <c r="N2761" s="82">
        <f>IFERROR(__xludf.DUMMYFUNCTION("""COMPUTED_VALUE"""),1.8)</f>
        <v>1.8</v>
      </c>
      <c r="O2761" s="82">
        <f>IFERROR(__xludf.DUMMYFUNCTION("""COMPUTED_VALUE"""),372.5333333333333)</f>
        <v>372.5333333</v>
      </c>
      <c r="P2761" s="82">
        <f>IFERROR(__xludf.DUMMYFUNCTION("""COMPUTED_VALUE"""),1.0666666666666667)</f>
        <v>1.066666667</v>
      </c>
      <c r="Q2761" s="82">
        <f>IFERROR(__xludf.DUMMYFUNCTION("""COMPUTED_VALUE"""),0.6666666666666667)</f>
        <v>0.6666666667</v>
      </c>
      <c r="R2761" s="82">
        <f>IFERROR(__xludf.DUMMYFUNCTION("""COMPUTED_VALUE"""),1.3333333333333335)</f>
        <v>1.333333333</v>
      </c>
      <c r="S2761" s="82">
        <f>IFERROR(__xludf.DUMMYFUNCTION("""COMPUTED_VALUE"""),2.4666666666666663)</f>
        <v>2.466666667</v>
      </c>
      <c r="T2761" s="82">
        <f>IFERROR(__xludf.DUMMYFUNCTION("""COMPUTED_VALUE"""),346.5768062965407)</f>
        <v>346.5768063</v>
      </c>
      <c r="U2761" s="82">
        <f>IFERROR(__xludf.DUMMYFUNCTION("""COMPUTED_VALUE"""),0.9327631337715075)</f>
        <v>0.9327631338</v>
      </c>
      <c r="V2761" s="82">
        <f>IFERROR(__xludf.DUMMYFUNCTION("""COMPUTED_VALUE"""),0.5357198785700973)</f>
        <v>0.5357198786</v>
      </c>
      <c r="W2761" s="82">
        <f>IFERROR(__xludf.DUMMYFUNCTION("""COMPUTED_VALUE"""),1.205279825035827)</f>
        <v>1.205279825</v>
      </c>
      <c r="X2761" s="82">
        <f>IFERROR(__xludf.DUMMYFUNCTION("""COMPUTED_VALUE"""),2.5384230345558825)</f>
        <v>2.538423035</v>
      </c>
      <c r="Y2761" s="82">
        <f>IFERROR(__xludf.DUMMYFUNCTION("""COMPUTED_VALUE"""),322.0914928063325)</f>
        <v>322.0914928</v>
      </c>
      <c r="Z2761" s="82">
        <f>IFERROR(__xludf.DUMMYFUNCTION("""COMPUTED_VALUE"""),0.6710638344735848)</f>
        <v>0.6710638345</v>
      </c>
      <c r="AA2761" s="82">
        <f>IFERROR(__xludf.DUMMYFUNCTION("""COMPUTED_VALUE"""),0.4943097481057771)</f>
        <v>0.4943097481</v>
      </c>
      <c r="AB2761" s="82">
        <f>IFERROR(__xludf.DUMMYFUNCTION("""COMPUTED_VALUE"""),1.1736948768131221)</f>
        <v>1.173694877</v>
      </c>
      <c r="AC2761" s="82">
        <f>IFERROR(__xludf.DUMMYFUNCTION("""COMPUTED_VALUE"""),2.3933222287408555)</f>
        <v>2.393322229</v>
      </c>
      <c r="AD2761" s="82">
        <f>IFERROR(__xludf.DUMMYFUNCTION("""COMPUTED_VALUE"""),0.9941274673545326)</f>
        <v>0.9941274674</v>
      </c>
      <c r="AE2761" s="82">
        <f>IFERROR(__xludf.DUMMYFUNCTION("""COMPUTED_VALUE"""),0.5960684803015492)</f>
        <v>0.5960684803</v>
      </c>
      <c r="AF2761" s="82">
        <f>IFERROR(__xludf.DUMMYFUNCTION("""COMPUTED_VALUE"""),1.2138138126938298)</f>
        <v>1.213813813</v>
      </c>
      <c r="AG2761" s="82">
        <f>IFERROR(__xludf.DUMMYFUNCTION("""COMPUTED_VALUE"""),1.1928142719693497)</f>
        <v>1.192814272</v>
      </c>
      <c r="AH2761" s="82">
        <f>IFERROR(__xludf.DUMMYFUNCTION("""COMPUTED_VALUE"""),0.7520926260510242)</f>
        <v>0.7520926261</v>
      </c>
      <c r="AI2761" s="82">
        <f>IFERROR(__xludf.DUMMYFUNCTION("""COMPUTED_VALUE"""),1.0748940106932126)</f>
        <v>1.074894011</v>
      </c>
      <c r="AJ2761" s="82">
        <f>IFERROR(__xludf.DUMMYFUNCTION("""COMPUTED_VALUE"""),1.1435557732151542)</f>
        <v>1.143555773</v>
      </c>
      <c r="AK2761" s="82">
        <f>IFERROR(__xludf.DUMMYFUNCTION("""COMPUTED_VALUE"""),1.2444314525831721)</f>
        <v>1.244431453</v>
      </c>
      <c r="AL2761" s="82">
        <f>IFERROR(__xludf.DUMMYFUNCTION("""COMPUTED_VALUE"""),1.1062437996866827)</f>
        <v>1.1062438</v>
      </c>
      <c r="AM2761" s="82">
        <f>IFERROR(__xludf.DUMMYFUNCTION("""COMPUTED_VALUE"""),0.971731911146256)</f>
        <v>0.9717319111</v>
      </c>
      <c r="AN2761" s="82">
        <f>IFERROR(__xludf.DUMMYFUNCTION("""COMPUTED_VALUE"""),0.9890610110075958)</f>
        <v>0.989061011</v>
      </c>
      <c r="AO2761" s="82">
        <f>IFERROR(__xludf.DUMMYFUNCTION("""COMPUTED_VALUE"""),0.5423188152465555)</f>
        <v>0.5423188152</v>
      </c>
      <c r="AP2761" s="82">
        <f>IFERROR(__xludf.DUMMYFUNCTION("""COMPUTED_VALUE"""),1.2160156100623594)</f>
        <v>1.21601561</v>
      </c>
      <c r="AQ2761" s="82">
        <f>IFERROR(__xludf.DUMMYFUNCTION("""COMPUTED_VALUE"""),1.160760095910347)</f>
        <v>1.160760096</v>
      </c>
      <c r="AR2761" s="82">
        <f>IFERROR(__xludf.DUMMYFUNCTION("""COMPUTED_VALUE"""),0.7641943814419354)</f>
        <v>0.7641943814</v>
      </c>
      <c r="AS2761" s="82">
        <f>IFERROR(__xludf.DUMMYFUNCTION("""COMPUTED_VALUE"""),6.0)</f>
        <v>6</v>
      </c>
      <c r="AT2761" s="82">
        <f>IFERROR(__xludf.DUMMYFUNCTION("""COMPUTED_VALUE"""),0.18233636921178786)</f>
        <v>0.1823363692</v>
      </c>
      <c r="AU2761" s="82">
        <f>IFERROR(__xludf.DUMMYFUNCTION("""COMPUTED_VALUE"""),1.369772879240105)</f>
        <v>1.369772879</v>
      </c>
      <c r="AV2761" s="82">
        <f>IFERROR(__xludf.DUMMYFUNCTION("""COMPUTED_VALUE"""),31.192968157030545)</f>
        <v>31.19296816</v>
      </c>
      <c r="AW2761" s="82">
        <f t="shared" si="1"/>
        <v>-4.425934921</v>
      </c>
      <c r="AX2761" s="83">
        <f t="array" ref="AX2761">IFERROR(DGET('SBV Import'!A:G,"SBV",{"RSC ID","Tier";B2761,A2761}))</f>
        <v>52.48754649</v>
      </c>
      <c r="AY2761" s="82">
        <f t="shared" si="2"/>
        <v>2.172166311</v>
      </c>
      <c r="AZ2761" s="82">
        <v>6.598101231848986</v>
      </c>
      <c r="BA2761" s="84">
        <v>2700.0</v>
      </c>
      <c r="BB2761" s="84" t="b">
        <f>IFERROR(__xludf.DUMMYFUNCTION("iferror(if(A2761="""",,E2761&gt;=FILTER(Constants!$F$2:$F$10,Constants!$A$2:$A$10=A2761)))"),TRUE)</f>
        <v>1</v>
      </c>
    </row>
    <row r="2762">
      <c r="A2762" s="89" t="str">
        <f>IFERROR(__xludf.DUMMYFUNCTION("""COMPUTED_VALUE"""),"Prospect")</f>
        <v>Prospect</v>
      </c>
      <c r="B2762" s="87" t="str">
        <f>IFERROR(__xludf.DUMMYFUNCTION("""COMPUTED_VALUE"""),"RSC002796")</f>
        <v>RSC002796</v>
      </c>
      <c r="C2762" s="73" t="str">
        <f>IFERROR(__xludf.DUMMYFUNCTION("""COMPUTED_VALUE"""),"Carno")</f>
        <v>Carno</v>
      </c>
      <c r="D2762" s="73" t="str">
        <f>IFERROR(__xludf.DUMMYFUNCTION("""COMPUTED_VALUE"""),"Undead")</f>
        <v>Undead</v>
      </c>
      <c r="E2762" s="82">
        <f>IFERROR(__xludf.DUMMYFUNCTION("""COMPUTED_VALUE"""),32.0)</f>
        <v>32</v>
      </c>
      <c r="F2762" s="82">
        <f>IFERROR(__xludf.DUMMYFUNCTION("""COMPUTED_VALUE"""),11.0)</f>
        <v>11</v>
      </c>
      <c r="G2762" s="86">
        <f>IFERROR(__xludf.DUMMYFUNCTION("""COMPUTED_VALUE"""),21.0)</f>
        <v>21</v>
      </c>
      <c r="H2762" s="86">
        <f>IFERROR(__xludf.DUMMYFUNCTION("""COMPUTED_VALUE"""),0.34375)</f>
        <v>0.34375</v>
      </c>
      <c r="I2762" s="86">
        <f>IFERROR(__xludf.DUMMYFUNCTION("""COMPUTED_VALUE"""),0.3225806451612903)</f>
        <v>0.3225806452</v>
      </c>
      <c r="J2762" s="82">
        <f>IFERROR(__xludf.DUMMYFUNCTION("""COMPUTED_VALUE"""),284.0625)</f>
        <v>284.0625</v>
      </c>
      <c r="K2762" s="82">
        <f>IFERROR(__xludf.DUMMYFUNCTION("""COMPUTED_VALUE"""),0.625)</f>
        <v>0.625</v>
      </c>
      <c r="L2762" s="82">
        <f>IFERROR(__xludf.DUMMYFUNCTION("""COMPUTED_VALUE"""),0.34375)</f>
        <v>0.34375</v>
      </c>
      <c r="M2762" s="82">
        <f>IFERROR(__xludf.DUMMYFUNCTION("""COMPUTED_VALUE"""),1.125)</f>
        <v>1.125</v>
      </c>
      <c r="N2762" s="82">
        <f>IFERROR(__xludf.DUMMYFUNCTION("""COMPUTED_VALUE"""),1.9375)</f>
        <v>1.9375</v>
      </c>
      <c r="O2762" s="82">
        <f>IFERROR(__xludf.DUMMYFUNCTION("""COMPUTED_VALUE"""),344.1979166666667)</f>
        <v>344.1979167</v>
      </c>
      <c r="P2762" s="82">
        <f>IFERROR(__xludf.DUMMYFUNCTION("""COMPUTED_VALUE"""),0.9270833333333333)</f>
        <v>0.9270833333</v>
      </c>
      <c r="Q2762" s="82">
        <f>IFERROR(__xludf.DUMMYFUNCTION("""COMPUTED_VALUE"""),0.6145833333333333)</f>
        <v>0.6145833333</v>
      </c>
      <c r="R2762" s="82">
        <f>IFERROR(__xludf.DUMMYFUNCTION("""COMPUTED_VALUE"""),0.9687499999999999)</f>
        <v>0.96875</v>
      </c>
      <c r="S2762" s="82">
        <f>IFERROR(__xludf.DUMMYFUNCTION("""COMPUTED_VALUE"""),2.59375)</f>
        <v>2.59375</v>
      </c>
      <c r="T2762" s="82">
        <f>IFERROR(__xludf.DUMMYFUNCTION("""COMPUTED_VALUE"""),336.59924861413344)</f>
        <v>336.5992486</v>
      </c>
      <c r="U2762" s="82">
        <f>IFERROR(__xludf.DUMMYFUNCTION("""COMPUTED_VALUE"""),0.8268417244399462)</f>
        <v>0.8268417244</v>
      </c>
      <c r="V2762" s="82">
        <f>IFERROR(__xludf.DUMMYFUNCTION("""COMPUTED_VALUE"""),0.508287891305788)</f>
        <v>0.5082878913</v>
      </c>
      <c r="W2762" s="82">
        <f>IFERROR(__xludf.DUMMYFUNCTION("""COMPUTED_VALUE"""),1.1674675022634076)</f>
        <v>1.167467502</v>
      </c>
      <c r="X2762" s="82">
        <f>IFERROR(__xludf.DUMMYFUNCTION("""COMPUTED_VALUE"""),2.591197965929616)</f>
        <v>2.591197966</v>
      </c>
      <c r="Y2762" s="82">
        <f>IFERROR(__xludf.DUMMYFUNCTION("""COMPUTED_VALUE"""),330.16371244386323)</f>
        <v>330.1637124</v>
      </c>
      <c r="Z2762" s="82">
        <f>IFERROR(__xludf.DUMMYFUNCTION("""COMPUTED_VALUE"""),0.7432531394600838)</f>
        <v>0.7432531395</v>
      </c>
      <c r="AA2762" s="82">
        <f>IFERROR(__xludf.DUMMYFUNCTION("""COMPUTED_VALUE"""),0.5059003571669629)</f>
        <v>0.5059003572</v>
      </c>
      <c r="AB2762" s="82">
        <f>IFERROR(__xludf.DUMMYFUNCTION("""COMPUTED_VALUE"""),1.250221824564239)</f>
        <v>1.250221825</v>
      </c>
      <c r="AC2762" s="82">
        <f>IFERROR(__xludf.DUMMYFUNCTION("""COMPUTED_VALUE"""),2.3379132371133187)</f>
        <v>2.337913237</v>
      </c>
      <c r="AD2762" s="82">
        <f>IFERROR(__xludf.DUMMYFUNCTION("""COMPUTED_VALUE"""),0.8603686271194879)</f>
        <v>0.8603686271</v>
      </c>
      <c r="AE2762" s="82">
        <f>IFERROR(__xludf.DUMMYFUNCTION("""COMPUTED_VALUE"""),0.8408978944293656)</f>
        <v>0.8408978944</v>
      </c>
      <c r="AF2762" s="82">
        <f>IFERROR(__xludf.DUMMYFUNCTION("""COMPUTED_VALUE"""),0.6794816313730171)</f>
        <v>0.6794816314</v>
      </c>
      <c r="AG2762" s="82">
        <f>IFERROR(__xludf.DUMMYFUNCTION("""COMPUTED_VALUE"""),0.8998403146514543)</f>
        <v>0.8998403147</v>
      </c>
      <c r="AH2762" s="82">
        <f>IFERROR(__xludf.DUMMYFUNCTION("""COMPUTED_VALUE"""),0.8287304974551924)</f>
        <v>0.8287304975</v>
      </c>
      <c r="AI2762" s="82">
        <f>IFERROR(__xludf.DUMMYFUNCTION("""COMPUTED_VALUE"""),1.0225748217912516)</f>
        <v>1.022574822</v>
      </c>
      <c r="AJ2762" s="82">
        <f>IFERROR(__xludf.DUMMYFUNCTION("""COMPUTED_VALUE"""),1.1212343377582752)</f>
        <v>1.121234338</v>
      </c>
      <c r="AK2762" s="82">
        <f>IFERROR(__xludf.DUMMYFUNCTION("""COMPUTED_VALUE"""),1.2091244821010254)</f>
        <v>1.209124482</v>
      </c>
      <c r="AL2762" s="82">
        <f>IFERROR(__xludf.DUMMYFUNCTION("""COMPUTED_VALUE"""),0.8297875513638302)</f>
        <v>0.8297875514</v>
      </c>
      <c r="AM2762" s="82">
        <f>IFERROR(__xludf.DUMMYFUNCTION("""COMPUTED_VALUE"""),1.0009848857956587)</f>
        <v>1.000984886</v>
      </c>
      <c r="AN2762" s="82">
        <f>IFERROR(__xludf.DUMMYFUNCTION("""COMPUTED_VALUE"""),0.8774364254820275)</f>
        <v>0.8774364255</v>
      </c>
      <c r="AO2762" s="82">
        <f>IFERROR(__xludf.DUMMYFUNCTION("""COMPUTED_VALUE"""),0.847373148822743)</f>
        <v>0.8473731488</v>
      </c>
      <c r="AP2762" s="82">
        <f>IFERROR(__xludf.DUMMYFUNCTION("""COMPUTED_VALUE"""),0.6966756099315601)</f>
        <v>0.6966756099</v>
      </c>
      <c r="AQ2762" s="82">
        <f>IFERROR(__xludf.DUMMYFUNCTION("""COMPUTED_VALUE"""),0.9327536484993861)</f>
        <v>0.9327536485</v>
      </c>
      <c r="AR2762" s="82">
        <f>IFERROR(__xludf.DUMMYFUNCTION("""COMPUTED_VALUE"""),0.8225703411354166)</f>
        <v>0.8225703411</v>
      </c>
      <c r="AS2762" s="82">
        <f>IFERROR(__xludf.DUMMYFUNCTION("""COMPUTED_VALUE"""),58.0)</f>
        <v>58</v>
      </c>
      <c r="AT2762" s="82">
        <f>IFERROR(__xludf.DUMMYFUNCTION("""COMPUTED_VALUE"""),0.3400083116573916)</f>
        <v>0.3400083117</v>
      </c>
      <c r="AU2762" s="82">
        <f>IFERROR(__xludf.DUMMYFUNCTION("""COMPUTED_VALUE"""),1.3398993428152628)</f>
        <v>1.339899343</v>
      </c>
      <c r="AV2762" s="82">
        <f>IFERROR(__xludf.DUMMYFUNCTION("""COMPUTED_VALUE"""),30.24262539765793)</f>
        <v>30.2426254</v>
      </c>
      <c r="AW2762" s="82">
        <f t="shared" si="1"/>
        <v>-4.658144423</v>
      </c>
      <c r="AX2762" s="83">
        <f t="array" ref="AX2762">IFERROR(DGET('SBV Import'!A:G,"SBV",{"RSC ID","Tier";B2762,A2762}))</f>
        <v>34.94050931</v>
      </c>
      <c r="AY2762" s="82">
        <f t="shared" si="2"/>
        <v>-3.656832137</v>
      </c>
      <c r="AZ2762" s="82">
        <v>1.0013122860288264</v>
      </c>
      <c r="BA2762" s="84">
        <v>2700.0</v>
      </c>
      <c r="BB2762" s="84" t="b">
        <f>IFERROR(__xludf.DUMMYFUNCTION("iferror(if(A2762="""",,E2762&gt;=FILTER(Constants!$F$2:$F$10,Constants!$A$2:$A$10=A2762)))"),TRUE)</f>
        <v>1</v>
      </c>
    </row>
    <row r="2763">
      <c r="A2763" s="89" t="str">
        <f>IFERROR(__xludf.DUMMYFUNCTION("""COMPUTED_VALUE"""),"Prospect")</f>
        <v>Prospect</v>
      </c>
      <c r="B2763" s="87" t="str">
        <f>IFERROR(__xludf.DUMMYFUNCTION("""COMPUTED_VALUE"""),"RSC005136")</f>
        <v>RSC005136</v>
      </c>
      <c r="C2763" s="73" t="str">
        <f>IFERROR(__xludf.DUMMYFUNCTION("""COMPUTED_VALUE"""),"tdogplayz")</f>
        <v>tdogplayz</v>
      </c>
      <c r="D2763" s="73" t="str">
        <f>IFERROR(__xludf.DUMMYFUNCTION("""COMPUTED_VALUE"""),"Principales")</f>
        <v>Principales</v>
      </c>
      <c r="E2763" s="82">
        <f>IFERROR(__xludf.DUMMYFUNCTION("""COMPUTED_VALUE"""),31.0)</f>
        <v>31</v>
      </c>
      <c r="F2763" s="82">
        <f>IFERROR(__xludf.DUMMYFUNCTION("""COMPUTED_VALUE"""),11.0)</f>
        <v>11</v>
      </c>
      <c r="G2763" s="86">
        <f>IFERROR(__xludf.DUMMYFUNCTION("""COMPUTED_VALUE"""),20.0)</f>
        <v>20</v>
      </c>
      <c r="H2763" s="86">
        <f>IFERROR(__xludf.DUMMYFUNCTION("""COMPUTED_VALUE"""),0.3548387096774194)</f>
        <v>0.3548387097</v>
      </c>
      <c r="I2763" s="86">
        <f>IFERROR(__xludf.DUMMYFUNCTION("""COMPUTED_VALUE"""),0.31481481481481477)</f>
        <v>0.3148148148</v>
      </c>
      <c r="J2763" s="82">
        <f>IFERROR(__xludf.DUMMYFUNCTION("""COMPUTED_VALUE"""),306.80645161290323)</f>
        <v>306.8064516</v>
      </c>
      <c r="K2763" s="82">
        <f>IFERROR(__xludf.DUMMYFUNCTION("""COMPUTED_VALUE"""),0.5483870967741935)</f>
        <v>0.5483870968</v>
      </c>
      <c r="L2763" s="82">
        <f>IFERROR(__xludf.DUMMYFUNCTION("""COMPUTED_VALUE"""),0.45161290322580644)</f>
        <v>0.4516129032</v>
      </c>
      <c r="M2763" s="82">
        <f>IFERROR(__xludf.DUMMYFUNCTION("""COMPUTED_VALUE"""),1.064516129032258)</f>
        <v>1.064516129</v>
      </c>
      <c r="N2763" s="82">
        <f>IFERROR(__xludf.DUMMYFUNCTION("""COMPUTED_VALUE"""),1.7419354838709677)</f>
        <v>1.741935484</v>
      </c>
      <c r="O2763" s="82">
        <f>IFERROR(__xludf.DUMMYFUNCTION("""COMPUTED_VALUE"""),339.2258064516129)</f>
        <v>339.2258065</v>
      </c>
      <c r="P2763" s="82">
        <f>IFERROR(__xludf.DUMMYFUNCTION("""COMPUTED_VALUE"""),0.903225806451613)</f>
        <v>0.9032258065</v>
      </c>
      <c r="Q2763" s="82">
        <f>IFERROR(__xludf.DUMMYFUNCTION("""COMPUTED_VALUE"""),0.6021505376344084)</f>
        <v>0.6021505376</v>
      </c>
      <c r="R2763" s="82">
        <f>IFERROR(__xludf.DUMMYFUNCTION("""COMPUTED_VALUE"""),1.032258064516129)</f>
        <v>1.032258065</v>
      </c>
      <c r="S2763" s="82">
        <f>IFERROR(__xludf.DUMMYFUNCTION("""COMPUTED_VALUE"""),2.462365591397849)</f>
        <v>2.462365591</v>
      </c>
      <c r="T2763" s="82">
        <f>IFERROR(__xludf.DUMMYFUNCTION("""COMPUTED_VALUE"""),329.4551293092649)</f>
        <v>329.4551293</v>
      </c>
      <c r="U2763" s="82">
        <f>IFERROR(__xludf.DUMMYFUNCTION("""COMPUTED_VALUE"""),0.752892462422137)</f>
        <v>0.7528924624</v>
      </c>
      <c r="V2763" s="82">
        <f>IFERROR(__xludf.DUMMYFUNCTION("""COMPUTED_VALUE"""),0.5641596629165105)</f>
        <v>0.5641596629</v>
      </c>
      <c r="W2763" s="82">
        <f>IFERROR(__xludf.DUMMYFUNCTION("""COMPUTED_VALUE"""),1.155610323044001)</f>
        <v>1.155610323</v>
      </c>
      <c r="X2763" s="82">
        <f>IFERROR(__xludf.DUMMYFUNCTION("""COMPUTED_VALUE"""),2.4504633391329924)</f>
        <v>2.450463339</v>
      </c>
      <c r="Y2763" s="82">
        <f>IFERROR(__xludf.DUMMYFUNCTION("""COMPUTED_VALUE"""),336.4004014810794)</f>
        <v>336.4004015</v>
      </c>
      <c r="Z2763" s="82">
        <f>IFERROR(__xludf.DUMMYFUNCTION("""COMPUTED_VALUE"""),0.8008479044804652)</f>
        <v>0.8008479045</v>
      </c>
      <c r="AA2763" s="82">
        <f>IFERROR(__xludf.DUMMYFUNCTION("""COMPUTED_VALUE"""),0.5178003939545089)</f>
        <v>0.517800394</v>
      </c>
      <c r="AB2763" s="82">
        <f>IFERROR(__xludf.DUMMYFUNCTION("""COMPUTED_VALUE"""),1.2511503406086688)</f>
        <v>1.251150341</v>
      </c>
      <c r="AC2763" s="82">
        <f>IFERROR(__xludf.DUMMYFUNCTION("""COMPUTED_VALUE"""),2.376922252306036)</f>
        <v>2.376922252</v>
      </c>
      <c r="AD2763" s="82">
        <f>IFERROR(__xludf.DUMMYFUNCTION("""COMPUTED_VALUE"""),0.9120276024110492)</f>
        <v>0.9120276024</v>
      </c>
      <c r="AE2763" s="82">
        <f>IFERROR(__xludf.DUMMYFUNCTION("""COMPUTED_VALUE"""),0.6847581091317823)</f>
        <v>0.6847581091</v>
      </c>
      <c r="AF2763" s="82">
        <f>IFERROR(__xludf.DUMMYFUNCTION("""COMPUTED_VALUE"""),0.8721756655625152)</f>
        <v>0.8721756656</v>
      </c>
      <c r="AG2763" s="82">
        <f>IFERROR(__xludf.DUMMYFUNCTION("""COMPUTED_VALUE"""),0.8508299078705317)</f>
        <v>0.8508299079</v>
      </c>
      <c r="AH2763" s="82">
        <f>IFERROR(__xludf.DUMMYFUNCTION("""COMPUTED_VALUE"""),0.7328533704377506)</f>
        <v>0.7328533704</v>
      </c>
      <c r="AI2763" s="82">
        <f>IFERROR(__xludf.DUMMYFUNCTION("""COMPUTED_VALUE"""),1.0296570800486038)</f>
        <v>1.02965708</v>
      </c>
      <c r="AJ2763" s="82">
        <f>IFERROR(__xludf.DUMMYFUNCTION("""COMPUTED_VALUE"""),1.1996743911419132)</f>
        <v>1.199674391</v>
      </c>
      <c r="AK2763" s="82">
        <f>IFERROR(__xludf.DUMMYFUNCTION("""COMPUTED_VALUE"""),1.0673406434651818)</f>
        <v>1.067340643</v>
      </c>
      <c r="AL2763" s="82">
        <f>IFERROR(__xludf.DUMMYFUNCTION("""COMPUTED_VALUE"""),0.8932579122320845)</f>
        <v>0.8932579122</v>
      </c>
      <c r="AM2763" s="82">
        <f>IFERROR(__xludf.DUMMYFUNCTION("""COMPUTED_VALUE"""),1.0048571435755769)</f>
        <v>1.004857144</v>
      </c>
      <c r="AN2763" s="82">
        <f>IFERROR(__xludf.DUMMYFUNCTION("""COMPUTED_VALUE"""),0.9476898788754251)</f>
        <v>0.9476898789</v>
      </c>
      <c r="AO2763" s="82">
        <f>IFERROR(__xludf.DUMMYFUNCTION("""COMPUTED_VALUE"""),0.743501601547697)</f>
        <v>0.7435016015</v>
      </c>
      <c r="AP2763" s="82">
        <f>IFERROR(__xludf.DUMMYFUNCTION("""COMPUTED_VALUE"""),0.9152805667136038)</f>
        <v>0.9152805667</v>
      </c>
      <c r="AQ2763" s="82">
        <f>IFERROR(__xludf.DUMMYFUNCTION("""COMPUTED_VALUE"""),0.8826056028811395)</f>
        <v>0.8826056029</v>
      </c>
      <c r="AR2763" s="82">
        <f>IFERROR(__xludf.DUMMYFUNCTION("""COMPUTED_VALUE"""),0.7395429497825181)</f>
        <v>0.7395429498</v>
      </c>
      <c r="AS2763" s="82">
        <f>IFERROR(__xludf.DUMMYFUNCTION("""COMPUTED_VALUE"""),59.0)</f>
        <v>59</v>
      </c>
      <c r="AT2763" s="82">
        <f>IFERROR(__xludf.DUMMYFUNCTION("""COMPUTED_VALUE"""),0.36635832360279674)</f>
        <v>0.3663583236</v>
      </c>
      <c r="AU2763" s="82">
        <f>IFERROR(__xludf.DUMMYFUNCTION("""COMPUTED_VALUE"""),1.3089237297045746)</f>
        <v>1.30892373</v>
      </c>
      <c r="AV2763" s="82">
        <f>IFERROR(__xludf.DUMMYFUNCTION("""COMPUTED_VALUE"""),29.257223160097908)</f>
        <v>29.25722316</v>
      </c>
      <c r="AW2763" s="82">
        <f t="shared" si="1"/>
        <v>-4.917603596</v>
      </c>
      <c r="AX2763" s="83">
        <f t="array" ref="AX2763">IFERROR(DGET('SBV Import'!A:G,"SBV",{"RSC ID","Tier";B2763,A2763}))</f>
        <v>43.46797094</v>
      </c>
      <c r="AY2763" s="82">
        <f t="shared" si="2"/>
        <v>-2.519286104</v>
      </c>
      <c r="AZ2763" s="82">
        <v>2.398317492500459</v>
      </c>
      <c r="BA2763" s="84">
        <v>2700.0</v>
      </c>
      <c r="BB2763" s="84" t="b">
        <f>IFERROR(__xludf.DUMMYFUNCTION("iferror(if(A2763="""",,E2763&gt;=FILTER(Constants!$F$2:$F$10,Constants!$A$2:$A$10=A2763)))"),TRUE)</f>
        <v>1</v>
      </c>
    </row>
    <row r="2764">
      <c r="A2764" s="89" t="str">
        <f>IFERROR(__xludf.DUMMYFUNCTION("""COMPUTED_VALUE"""),"Prospect")</f>
        <v>Prospect</v>
      </c>
      <c r="B2764" s="87" t="str">
        <f>IFERROR(__xludf.DUMMYFUNCTION("""COMPUTED_VALUE"""),"RSC007834")</f>
        <v>RSC007834</v>
      </c>
      <c r="C2764" s="73" t="str">
        <f>IFERROR(__xludf.DUMMYFUNCTION("""COMPUTED_VALUE"""),"Kyyrbes")</f>
        <v>Kyyrbes</v>
      </c>
      <c r="D2764" s="73" t="str">
        <f>IFERROR(__xludf.DUMMYFUNCTION("""COMPUTED_VALUE"""),"Gloom")</f>
        <v>Gloom</v>
      </c>
      <c r="E2764" s="82">
        <f>IFERROR(__xludf.DUMMYFUNCTION("""COMPUTED_VALUE"""),29.0)</f>
        <v>29</v>
      </c>
      <c r="F2764" s="82">
        <f>IFERROR(__xludf.DUMMYFUNCTION("""COMPUTED_VALUE"""),10.0)</f>
        <v>10</v>
      </c>
      <c r="G2764" s="86">
        <f>IFERROR(__xludf.DUMMYFUNCTION("""COMPUTED_VALUE"""),19.0)</f>
        <v>19</v>
      </c>
      <c r="H2764" s="86">
        <f>IFERROR(__xludf.DUMMYFUNCTION("""COMPUTED_VALUE"""),0.3448275862068966)</f>
        <v>0.3448275862</v>
      </c>
      <c r="I2764" s="86">
        <f>IFERROR(__xludf.DUMMYFUNCTION("""COMPUTED_VALUE"""),0.19230769230769232)</f>
        <v>0.1923076923</v>
      </c>
      <c r="J2764" s="82">
        <f>IFERROR(__xludf.DUMMYFUNCTION("""COMPUTED_VALUE"""),298.13793103448273)</f>
        <v>298.137931</v>
      </c>
      <c r="K2764" s="82">
        <f>IFERROR(__xludf.DUMMYFUNCTION("""COMPUTED_VALUE"""),0.3448275862068966)</f>
        <v>0.3448275862</v>
      </c>
      <c r="L2764" s="82">
        <f>IFERROR(__xludf.DUMMYFUNCTION("""COMPUTED_VALUE"""),0.4482758620689655)</f>
        <v>0.4482758621</v>
      </c>
      <c r="M2764" s="82">
        <f>IFERROR(__xludf.DUMMYFUNCTION("""COMPUTED_VALUE"""),1.3793103448275863)</f>
        <v>1.379310345</v>
      </c>
      <c r="N2764" s="82">
        <f>IFERROR(__xludf.DUMMYFUNCTION("""COMPUTED_VALUE"""),1.793103448275862)</f>
        <v>1.793103448</v>
      </c>
      <c r="O2764" s="82">
        <f>IFERROR(__xludf.DUMMYFUNCTION("""COMPUTED_VALUE"""),339.0)</f>
        <v>339</v>
      </c>
      <c r="P2764" s="82">
        <f>IFERROR(__xludf.DUMMYFUNCTION("""COMPUTED_VALUE"""),0.9310344827586206)</f>
        <v>0.9310344828</v>
      </c>
      <c r="Q2764" s="82">
        <f>IFERROR(__xludf.DUMMYFUNCTION("""COMPUTED_VALUE"""),0.5747126436781611)</f>
        <v>0.5747126437</v>
      </c>
      <c r="R2764" s="82">
        <f>IFERROR(__xludf.DUMMYFUNCTION("""COMPUTED_VALUE"""),0.9540229885057472)</f>
        <v>0.9540229885</v>
      </c>
      <c r="S2764" s="82">
        <f>IFERROR(__xludf.DUMMYFUNCTION("""COMPUTED_VALUE"""),3.0)</f>
        <v>3</v>
      </c>
      <c r="T2764" s="82">
        <f>IFERROR(__xludf.DUMMYFUNCTION("""COMPUTED_VALUE"""),349.7473674925522)</f>
        <v>349.7473675</v>
      </c>
      <c r="U2764" s="82">
        <f>IFERROR(__xludf.DUMMYFUNCTION("""COMPUTED_VALUE"""),0.8994050196774235)</f>
        <v>0.8994050197</v>
      </c>
      <c r="V2764" s="82">
        <f>IFERROR(__xludf.DUMMYFUNCTION("""COMPUTED_VALUE"""),0.5730815090430116)</f>
        <v>0.573081509</v>
      </c>
      <c r="W2764" s="82">
        <f>IFERROR(__xludf.DUMMYFUNCTION("""COMPUTED_VALUE"""),1.177655666504107)</f>
        <v>1.177655667</v>
      </c>
      <c r="X2764" s="82">
        <f>IFERROR(__xludf.DUMMYFUNCTION("""COMPUTED_VALUE"""),2.6674051088376434)</f>
        <v>2.667405109</v>
      </c>
      <c r="Y2764" s="82">
        <f>IFERROR(__xludf.DUMMYFUNCTION("""COMPUTED_VALUE"""),329.65459679213745)</f>
        <v>329.6545968</v>
      </c>
      <c r="Z2764" s="82">
        <f>IFERROR(__xludf.DUMMYFUNCTION("""COMPUTED_VALUE"""),0.7171379566275083)</f>
        <v>0.7171379566</v>
      </c>
      <c r="AA2764" s="82">
        <f>IFERROR(__xludf.DUMMYFUNCTION("""COMPUTED_VALUE"""),0.49446795890993955)</f>
        <v>0.4944679589</v>
      </c>
      <c r="AB2764" s="82">
        <f>IFERROR(__xludf.DUMMYFUNCTION("""COMPUTED_VALUE"""),1.268465494849898)</f>
        <v>1.268465495</v>
      </c>
      <c r="AC2764" s="82">
        <f>IFERROR(__xludf.DUMMYFUNCTION("""COMPUTED_VALUE"""),2.338966936170724)</f>
        <v>2.338966936</v>
      </c>
      <c r="AD2764" s="82">
        <f>IFERROR(__xludf.DUMMYFUNCTION("""COMPUTED_VALUE"""),0.9043948846327556)</f>
        <v>0.9043948846</v>
      </c>
      <c r="AE2764" s="82">
        <f>IFERROR(__xludf.DUMMYFUNCTION("""COMPUTED_VALUE"""),0.4808385653278215)</f>
        <v>0.4808385653</v>
      </c>
      <c r="AF2764" s="82">
        <f>IFERROR(__xludf.DUMMYFUNCTION("""COMPUTED_VALUE"""),0.9065822243714131)</f>
        <v>0.9065822244</v>
      </c>
      <c r="AG2764" s="82">
        <f>IFERROR(__xludf.DUMMYFUNCTION("""COMPUTED_VALUE"""),1.0873849942530798)</f>
        <v>1.087384994</v>
      </c>
      <c r="AH2764" s="82">
        <f>IFERROR(__xludf.DUMMYFUNCTION("""COMPUTED_VALUE"""),0.766621973379183)</f>
        <v>0.7666219734</v>
      </c>
      <c r="AI2764" s="82">
        <f>IFERROR(__xludf.DUMMYFUNCTION("""COMPUTED_VALUE"""),0.9692710553631799)</f>
        <v>0.9692710554</v>
      </c>
      <c r="AJ2764" s="82">
        <f>IFERROR(__xludf.DUMMYFUNCTION("""COMPUTED_VALUE"""),1.0351670964573236)</f>
        <v>1.035167096</v>
      </c>
      <c r="AK2764" s="82">
        <f>IFERROR(__xludf.DUMMYFUNCTION("""COMPUTED_VALUE"""),1.0028462524255466)</f>
        <v>1.002846252</v>
      </c>
      <c r="AL2764" s="82">
        <f>IFERROR(__xludf.DUMMYFUNCTION("""COMPUTED_VALUE"""),0.8101035095749018)</f>
        <v>0.8101035096</v>
      </c>
      <c r="AM2764" s="82">
        <f>IFERROR(__xludf.DUMMYFUNCTION("""COMPUTED_VALUE"""),1.124688555952901)</f>
        <v>1.124688556</v>
      </c>
      <c r="AN2764" s="82">
        <f>IFERROR(__xludf.DUMMYFUNCTION("""COMPUTED_VALUE"""),0.92091381476789)</f>
        <v>0.9209138148</v>
      </c>
      <c r="AO2764" s="82">
        <f>IFERROR(__xludf.DUMMYFUNCTION("""COMPUTED_VALUE"""),0.46751622004013405)</f>
        <v>0.46751622</v>
      </c>
      <c r="AP2764" s="82">
        <f>IFERROR(__xludf.DUMMYFUNCTION("""COMPUTED_VALUE"""),0.9085174098167053)</f>
        <v>0.9085174098</v>
      </c>
      <c r="AQ2764" s="82">
        <f>IFERROR(__xludf.DUMMYFUNCTION("""COMPUTED_VALUE"""),1.1436060058230022)</f>
        <v>1.143606006</v>
      </c>
      <c r="AR2764" s="82">
        <f>IFERROR(__xludf.DUMMYFUNCTION("""COMPUTED_VALUE"""),0.7612664336203189)</f>
        <v>0.7612664336</v>
      </c>
      <c r="AS2764" s="82">
        <f>IFERROR(__xludf.DUMMYFUNCTION("""COMPUTED_VALUE"""),48.0)</f>
        <v>48</v>
      </c>
      <c r="AT2764" s="82">
        <f>IFERROR(__xludf.DUMMYFUNCTION("""COMPUTED_VALUE"""),0.3093750010264921)</f>
        <v>0.309375001</v>
      </c>
      <c r="AU2764" s="82">
        <f>IFERROR(__xludf.DUMMYFUNCTION("""COMPUTED_VALUE"""),1.1327795160607095)</f>
        <v>1.132779516</v>
      </c>
      <c r="AV2764" s="82">
        <f>IFERROR(__xludf.DUMMYFUNCTION("""COMPUTED_VALUE"""),23.653689127125933)</f>
        <v>23.65368913</v>
      </c>
      <c r="AW2764" s="82">
        <f t="shared" si="1"/>
        <v>-6.850476772</v>
      </c>
      <c r="AX2764" s="83">
        <f t="array" ref="AX2764">IFERROR(DGET('SBV Import'!A:G,"SBV",{"RSC ID","Tier";B2764,A2764}))</f>
        <v>31.46362505</v>
      </c>
      <c r="AY2764" s="82">
        <f t="shared" si="2"/>
        <v>-4.362834158</v>
      </c>
      <c r="AZ2764" s="82">
        <v>2.487642613726522</v>
      </c>
      <c r="BA2764" s="84">
        <v>2700.0</v>
      </c>
      <c r="BB2764" s="84" t="b">
        <f>IFERROR(__xludf.DUMMYFUNCTION("iferror(if(A2764="""",,E2764&gt;=FILTER(Constants!$F$2:$F$10,Constants!$A$2:$A$10=A2764)))"),TRUE)</f>
        <v>1</v>
      </c>
    </row>
    <row r="2765">
      <c r="A2765" s="89" t="str">
        <f>IFERROR(__xludf.DUMMYFUNCTION("""COMPUTED_VALUE"""),"Prospect")</f>
        <v>Prospect</v>
      </c>
      <c r="B2765" s="87" t="str">
        <f>IFERROR(__xludf.DUMMYFUNCTION("""COMPUTED_VALUE"""),"RSC004012")</f>
        <v>RSC004012</v>
      </c>
      <c r="C2765" s="73" t="str">
        <f>IFERROR(__xludf.DUMMYFUNCTION("""COMPUTED_VALUE"""),"kgfan3")</f>
        <v>kgfan3</v>
      </c>
      <c r="D2765" s="73" t="str">
        <f>IFERROR(__xludf.DUMMYFUNCTION("""COMPUTED_VALUE"""),"Undead")</f>
        <v>Undead</v>
      </c>
      <c r="E2765" s="82">
        <f>IFERROR(__xludf.DUMMYFUNCTION("""COMPUTED_VALUE"""),25.0)</f>
        <v>25</v>
      </c>
      <c r="F2765" s="82">
        <f>IFERROR(__xludf.DUMMYFUNCTION("""COMPUTED_VALUE"""),7.0)</f>
        <v>7</v>
      </c>
      <c r="G2765" s="86">
        <f>IFERROR(__xludf.DUMMYFUNCTION("""COMPUTED_VALUE"""),18.0)</f>
        <v>18</v>
      </c>
      <c r="H2765" s="86">
        <f>IFERROR(__xludf.DUMMYFUNCTION("""COMPUTED_VALUE"""),0.28)</f>
        <v>0.28</v>
      </c>
      <c r="I2765" s="86">
        <f>IFERROR(__xludf.DUMMYFUNCTION("""COMPUTED_VALUE"""),0.33333333333333337)</f>
        <v>0.3333333333</v>
      </c>
      <c r="J2765" s="82">
        <f>IFERROR(__xludf.DUMMYFUNCTION("""COMPUTED_VALUE"""),244.08)</f>
        <v>244.08</v>
      </c>
      <c r="K2765" s="82">
        <f>IFERROR(__xludf.DUMMYFUNCTION("""COMPUTED_VALUE"""),0.56)</f>
        <v>0.56</v>
      </c>
      <c r="L2765" s="82">
        <f>IFERROR(__xludf.DUMMYFUNCTION("""COMPUTED_VALUE"""),0.4)</f>
        <v>0.4</v>
      </c>
      <c r="M2765" s="82">
        <f>IFERROR(__xludf.DUMMYFUNCTION("""COMPUTED_VALUE"""),0.68)</f>
        <v>0.68</v>
      </c>
      <c r="N2765" s="82">
        <f>IFERROR(__xludf.DUMMYFUNCTION("""COMPUTED_VALUE"""),1.68)</f>
        <v>1.68</v>
      </c>
      <c r="O2765" s="82">
        <f>IFERROR(__xludf.DUMMYFUNCTION("""COMPUTED_VALUE"""),344.4666666666667)</f>
        <v>344.4666667</v>
      </c>
      <c r="P2765" s="82">
        <f>IFERROR(__xludf.DUMMYFUNCTION("""COMPUTED_VALUE"""),0.9866666666666665)</f>
        <v>0.9866666667</v>
      </c>
      <c r="Q2765" s="82">
        <f>IFERROR(__xludf.DUMMYFUNCTION("""COMPUTED_VALUE"""),0.6533333333333334)</f>
        <v>0.6533333333</v>
      </c>
      <c r="R2765" s="82">
        <f>IFERROR(__xludf.DUMMYFUNCTION("""COMPUTED_VALUE"""),0.9599999999999999)</f>
        <v>0.96</v>
      </c>
      <c r="S2765" s="82">
        <f>IFERROR(__xludf.DUMMYFUNCTION("""COMPUTED_VALUE"""),2.7200000000000006)</f>
        <v>2.72</v>
      </c>
      <c r="T2765" s="82">
        <f>IFERROR(__xludf.DUMMYFUNCTION("""COMPUTED_VALUE"""),335.18841557999747)</f>
        <v>335.1884156</v>
      </c>
      <c r="U2765" s="82">
        <f>IFERROR(__xludf.DUMMYFUNCTION("""COMPUTED_VALUE"""),0.8418243051533304)</f>
        <v>0.8418243052</v>
      </c>
      <c r="V2765" s="82">
        <f>IFERROR(__xludf.DUMMYFUNCTION("""COMPUTED_VALUE"""),0.5208624812286581)</f>
        <v>0.5208624812</v>
      </c>
      <c r="W2765" s="82">
        <f>IFERROR(__xludf.DUMMYFUNCTION("""COMPUTED_VALUE"""),1.119504522014075)</f>
        <v>1.119504522</v>
      </c>
      <c r="X2765" s="82">
        <f>IFERROR(__xludf.DUMMYFUNCTION("""COMPUTED_VALUE"""),2.5984165984881495)</f>
        <v>2.598416598</v>
      </c>
      <c r="Y2765" s="82">
        <f>IFERROR(__xludf.DUMMYFUNCTION("""COMPUTED_VALUE"""),327.8797997252539)</f>
        <v>327.8797997</v>
      </c>
      <c r="Z2765" s="82">
        <f>IFERROR(__xludf.DUMMYFUNCTION("""COMPUTED_VALUE"""),0.7457562516807928)</f>
        <v>0.7457562517</v>
      </c>
      <c r="AA2765" s="82">
        <f>IFERROR(__xludf.DUMMYFUNCTION("""COMPUTED_VALUE"""),0.5003586009811015)</f>
        <v>0.500358601</v>
      </c>
      <c r="AB2765" s="82">
        <f>IFERROR(__xludf.DUMMYFUNCTION("""COMPUTED_VALUE"""),1.2363991696246976)</f>
        <v>1.23639917</v>
      </c>
      <c r="AC2765" s="82">
        <f>IFERROR(__xludf.DUMMYFUNCTION("""COMPUTED_VALUE"""),2.288905807615503)</f>
        <v>2.288905808</v>
      </c>
      <c r="AD2765" s="82">
        <f>IFERROR(__xludf.DUMMYFUNCTION("""COMPUTED_VALUE"""),0.7444191444685713)</f>
        <v>0.7444191445</v>
      </c>
      <c r="AE2765" s="82">
        <f>IFERROR(__xludf.DUMMYFUNCTION("""COMPUTED_VALUE"""),0.7509155957296589)</f>
        <v>0.7509155957</v>
      </c>
      <c r="AF2765" s="82">
        <f>IFERROR(__xludf.DUMMYFUNCTION("""COMPUTED_VALUE"""),0.7994266496382421)</f>
        <v>0.7994266496</v>
      </c>
      <c r="AG2765" s="82">
        <f>IFERROR(__xludf.DUMMYFUNCTION("""COMPUTED_VALUE"""),0.5499841933785918)</f>
        <v>0.5499841934</v>
      </c>
      <c r="AH2765" s="82">
        <f>IFERROR(__xludf.DUMMYFUNCTION("""COMPUTED_VALUE"""),0.7339751572172214)</f>
        <v>0.7339751572</v>
      </c>
      <c r="AI2765" s="82">
        <f>IFERROR(__xludf.DUMMYFUNCTION("""COMPUTED_VALUE"""),1.027680703316117)</f>
        <v>1.027680703</v>
      </c>
      <c r="AJ2765" s="82">
        <f>IFERROR(__xludf.DUMMYFUNCTION("""COMPUTED_VALUE"""),1.1720577092234874)</f>
        <v>1.172057709</v>
      </c>
      <c r="AK2765" s="82">
        <f>IFERROR(__xludf.DUMMYFUNCTION("""COMPUTED_VALUE"""),1.2543298027383178)</f>
        <v>1.254329803</v>
      </c>
      <c r="AL2765" s="82">
        <f>IFERROR(__xludf.DUMMYFUNCTION("""COMPUTED_VALUE"""),0.8575222173045678)</f>
        <v>0.8575222173</v>
      </c>
      <c r="AM2765" s="82">
        <f>IFERROR(__xludf.DUMMYFUNCTION("""COMPUTED_VALUE"""),1.046791342690234)</f>
        <v>1.046791343</v>
      </c>
      <c r="AN2765" s="82">
        <f>IFERROR(__xludf.DUMMYFUNCTION("""COMPUTED_VALUE"""),0.7539350767230919)</f>
        <v>0.7539350767</v>
      </c>
      <c r="AO2765" s="82">
        <f>IFERROR(__xludf.DUMMYFUNCTION("""COMPUTED_VALUE"""),0.7592463413451778)</f>
        <v>0.7592463413</v>
      </c>
      <c r="AP2765" s="82">
        <f>IFERROR(__xludf.DUMMYFUNCTION("""COMPUTED_VALUE"""),0.8106770733749062)</f>
        <v>0.8106770734</v>
      </c>
      <c r="AQ2765" s="82">
        <f>IFERROR(__xludf.DUMMYFUNCTION("""COMPUTED_VALUE"""),0.5637977608707401)</f>
        <v>0.5637977609</v>
      </c>
      <c r="AR2765" s="82">
        <f>IFERROR(__xludf.DUMMYFUNCTION("""COMPUTED_VALUE"""),0.7132480893458064)</f>
        <v>0.7132480893</v>
      </c>
      <c r="AS2765" s="82">
        <f>IFERROR(__xludf.DUMMYFUNCTION("""COMPUTED_VALUE"""),40.0)</f>
        <v>40</v>
      </c>
      <c r="AT2765" s="82">
        <f>IFERROR(__xludf.DUMMYFUNCTION("""COMPUTED_VALUE"""),0.2787063911035385)</f>
        <v>0.2787063911</v>
      </c>
      <c r="AU2765" s="82">
        <f>IFERROR(__xludf.DUMMYFUNCTION("""COMPUTED_VALUE"""),1.1106340892981377)</f>
        <v>1.110634089</v>
      </c>
      <c r="AV2765" s="82">
        <f>IFERROR(__xludf.DUMMYFUNCTION("""COMPUTED_VALUE"""),22.94919449757395)</f>
        <v>22.9491945</v>
      </c>
      <c r="AW2765" s="82">
        <f t="shared" si="1"/>
        <v>-7.162343543</v>
      </c>
      <c r="AX2765" s="83">
        <f t="array" ref="AX2765">IFERROR(DGET('SBV Import'!A:G,"SBV",{"RSC ID","Tier";B2765,A2765}))</f>
        <v>26.32954089</v>
      </c>
      <c r="AY2765" s="82">
        <f t="shared" si="2"/>
        <v>-5.818497628</v>
      </c>
      <c r="AZ2765" s="82">
        <v>1.343845914664235</v>
      </c>
      <c r="BA2765" s="84">
        <v>2700.0</v>
      </c>
      <c r="BB2765" s="84" t="b">
        <f>IFERROR(__xludf.DUMMYFUNCTION("iferror(if(A2765="""",,E2765&gt;=FILTER(Constants!$F$2:$F$10,Constants!$A$2:$A$10=A2765)))"),TRUE)</f>
        <v>1</v>
      </c>
    </row>
    <row r="2766">
      <c r="A2766" s="89" t="str">
        <f>IFERROR(__xludf.DUMMYFUNCTION("""COMPUTED_VALUE"""),"Prospect")</f>
        <v>Prospect</v>
      </c>
      <c r="B2766" s="87" t="str">
        <f>IFERROR(__xludf.DUMMYFUNCTION("""COMPUTED_VALUE"""),"RSC005561")</f>
        <v>RSC005561</v>
      </c>
      <c r="C2766" s="73" t="str">
        <f>IFERROR(__xludf.DUMMYFUNCTION("""COMPUTED_VALUE"""),"Angelofthebronx")</f>
        <v>Angelofthebronx</v>
      </c>
      <c r="D2766" s="73" t="str">
        <f>IFERROR(__xludf.DUMMYFUNCTION("""COMPUTED_VALUE"""),"Earth")</f>
        <v>Earth</v>
      </c>
      <c r="E2766" s="82">
        <f>IFERROR(__xludf.DUMMYFUNCTION("""COMPUTED_VALUE"""),11.0)</f>
        <v>11</v>
      </c>
      <c r="F2766" s="82">
        <f>IFERROR(__xludf.DUMMYFUNCTION("""COMPUTED_VALUE"""),3.0)</f>
        <v>3</v>
      </c>
      <c r="G2766" s="86">
        <f>IFERROR(__xludf.DUMMYFUNCTION("""COMPUTED_VALUE"""),8.0)</f>
        <v>8</v>
      </c>
      <c r="H2766" s="86">
        <f>IFERROR(__xludf.DUMMYFUNCTION("""COMPUTED_VALUE"""),0.2727272727272727)</f>
        <v>0.2727272727</v>
      </c>
      <c r="I2766" s="86">
        <f>IFERROR(__xludf.DUMMYFUNCTION("""COMPUTED_VALUE"""),0.3)</f>
        <v>0.3</v>
      </c>
      <c r="J2766" s="82">
        <f>IFERROR(__xludf.DUMMYFUNCTION("""COMPUTED_VALUE"""),232.63636363636363)</f>
        <v>232.6363636</v>
      </c>
      <c r="K2766" s="82">
        <f>IFERROR(__xludf.DUMMYFUNCTION("""COMPUTED_VALUE"""),0.5454545454545454)</f>
        <v>0.5454545455</v>
      </c>
      <c r="L2766" s="82">
        <f>IFERROR(__xludf.DUMMYFUNCTION("""COMPUTED_VALUE"""),0.45454545454545453)</f>
        <v>0.4545454545</v>
      </c>
      <c r="M2766" s="82">
        <f>IFERROR(__xludf.DUMMYFUNCTION("""COMPUTED_VALUE"""),0.45454545454545453)</f>
        <v>0.4545454545</v>
      </c>
      <c r="N2766" s="82">
        <f>IFERROR(__xludf.DUMMYFUNCTION("""COMPUTED_VALUE"""),1.8181818181818181)</f>
        <v>1.818181818</v>
      </c>
      <c r="O2766" s="82">
        <f>IFERROR(__xludf.DUMMYFUNCTION("""COMPUTED_VALUE"""),373.7575757575758)</f>
        <v>373.7575758</v>
      </c>
      <c r="P2766" s="82">
        <f>IFERROR(__xludf.DUMMYFUNCTION("""COMPUTED_VALUE"""),0.9999999999999999)</f>
        <v>1</v>
      </c>
      <c r="Q2766" s="82">
        <f>IFERROR(__xludf.DUMMYFUNCTION("""COMPUTED_VALUE"""),0.6969696969696971)</f>
        <v>0.696969697</v>
      </c>
      <c r="R2766" s="82">
        <f>IFERROR(__xludf.DUMMYFUNCTION("""COMPUTED_VALUE"""),1.303030303030303)</f>
        <v>1.303030303</v>
      </c>
      <c r="S2766" s="82">
        <f>IFERROR(__xludf.DUMMYFUNCTION("""COMPUTED_VALUE"""),2.484848484848485)</f>
        <v>2.484848485</v>
      </c>
      <c r="T2766" s="82">
        <f>IFERROR(__xludf.DUMMYFUNCTION("""COMPUTED_VALUE"""),343.07620813967145)</f>
        <v>343.0762081</v>
      </c>
      <c r="U2766" s="82">
        <f>IFERROR(__xludf.DUMMYFUNCTION("""COMPUTED_VALUE"""),0.8582104533946346)</f>
        <v>0.8582104534</v>
      </c>
      <c r="V2766" s="82">
        <f>IFERROR(__xludf.DUMMYFUNCTION("""COMPUTED_VALUE"""),0.5182609348336155)</f>
        <v>0.5182609348</v>
      </c>
      <c r="W2766" s="82">
        <f>IFERROR(__xludf.DUMMYFUNCTION("""COMPUTED_VALUE"""),1.213979635110786)</f>
        <v>1.213979635</v>
      </c>
      <c r="X2766" s="82">
        <f>IFERROR(__xludf.DUMMYFUNCTION("""COMPUTED_VALUE"""),2.417030603065015)</f>
        <v>2.417030603</v>
      </c>
      <c r="Y2766" s="82">
        <f>IFERROR(__xludf.DUMMYFUNCTION("""COMPUTED_VALUE"""),328.42882823343274)</f>
        <v>328.4288282</v>
      </c>
      <c r="Z2766" s="82">
        <f>IFERROR(__xludf.DUMMYFUNCTION("""COMPUTED_VALUE"""),0.7663225256484076)</f>
        <v>0.7663225256</v>
      </c>
      <c r="AA2766" s="82">
        <f>IFERROR(__xludf.DUMMYFUNCTION("""COMPUTED_VALUE"""),0.5284768485482728)</f>
        <v>0.5284768485</v>
      </c>
      <c r="AB2766" s="82">
        <f>IFERROR(__xludf.DUMMYFUNCTION("""COMPUTED_VALUE"""),1.0967747186347365)</f>
        <v>1.096774719</v>
      </c>
      <c r="AC2766" s="82">
        <f>IFERROR(__xludf.DUMMYFUNCTION("""COMPUTED_VALUE"""),2.459017710629801)</f>
        <v>2.459017711</v>
      </c>
      <c r="AD2766" s="82">
        <f>IFERROR(__xludf.DUMMYFUNCTION("""COMPUTED_VALUE"""),0.7083311318548929)</f>
        <v>0.7083311319</v>
      </c>
      <c r="AE2766" s="82">
        <f>IFERROR(__xludf.DUMMYFUNCTION("""COMPUTED_VALUE"""),0.7117819549843202)</f>
        <v>0.711781955</v>
      </c>
      <c r="AF2766" s="82">
        <f>IFERROR(__xludf.DUMMYFUNCTION("""COMPUTED_VALUE"""),0.8601047629505285)</f>
        <v>0.860104763</v>
      </c>
      <c r="AG2766" s="82">
        <f>IFERROR(__xludf.DUMMYFUNCTION("""COMPUTED_VALUE"""),0.4144383042593031)</f>
        <v>0.4144383043</v>
      </c>
      <c r="AH2766" s="82">
        <f>IFERROR(__xludf.DUMMYFUNCTION("""COMPUTED_VALUE"""),0.7393935433332635)</f>
        <v>0.7393935433</v>
      </c>
      <c r="AI2766" s="82">
        <f>IFERROR(__xludf.DUMMYFUNCTION("""COMPUTED_VALUE"""),1.0894301816621847)</f>
        <v>1.089430182</v>
      </c>
      <c r="AJ2766" s="82">
        <f>IFERROR(__xludf.DUMMYFUNCTION("""COMPUTED_VALUE"""),1.1652153571941701)</f>
        <v>1.165215357</v>
      </c>
      <c r="AK2766" s="82">
        <f>IFERROR(__xludf.DUMMYFUNCTION("""COMPUTED_VALUE"""),1.3448239103598558)</f>
        <v>1.34482391</v>
      </c>
      <c r="AL2766" s="82">
        <f>IFERROR(__xludf.DUMMYFUNCTION("""COMPUTED_VALUE"""),1.0733543342441574)</f>
        <v>1.073354334</v>
      </c>
      <c r="AM2766" s="82">
        <f>IFERROR(__xludf.DUMMYFUNCTION("""COMPUTED_VALUE"""),1.028058346343431)</f>
        <v>1.028058346</v>
      </c>
      <c r="AN2766" s="82">
        <f>IFERROR(__xludf.DUMMYFUNCTION("""COMPUTED_VALUE"""),0.7185869987986025)</f>
        <v>0.7185869988</v>
      </c>
      <c r="AO2766" s="82">
        <f>IFERROR(__xludf.DUMMYFUNCTION("""COMPUTED_VALUE"""),0.7395256571543938)</f>
        <v>0.7395256572</v>
      </c>
      <c r="AP2766" s="82">
        <f>IFERROR(__xludf.DUMMYFUNCTION("""COMPUTED_VALUE"""),0.9212239470169389)</f>
        <v>0.921223947</v>
      </c>
      <c r="AQ2766" s="82">
        <f>IFERROR(__xludf.DUMMYFUNCTION("""COMPUTED_VALUE"""),0.376870161009853)</f>
        <v>0.376870161</v>
      </c>
      <c r="AR2766" s="82">
        <f>IFERROR(__xludf.DUMMYFUNCTION("""COMPUTED_VALUE"""),0.7719135166080155)</f>
        <v>0.7719135166</v>
      </c>
      <c r="AS2766" s="82">
        <f>IFERROR(__xludf.DUMMYFUNCTION("""COMPUTED_VALUE"""),22.0)</f>
        <v>22</v>
      </c>
      <c r="AT2766" s="82">
        <f>IFERROR(__xludf.DUMMYFUNCTION("""COMPUTED_VALUE"""),0.34445266793706497)</f>
        <v>0.3444526679</v>
      </c>
      <c r="AU2766" s="82">
        <f>IFERROR(__xludf.DUMMYFUNCTION("""COMPUTED_VALUE"""),1.104109441554992)</f>
        <v>1.104109442</v>
      </c>
      <c r="AV2766" s="82">
        <f>IFERROR(__xludf.DUMMYFUNCTION("""COMPUTED_VALUE"""),22.7416311327291)</f>
        <v>22.74163113</v>
      </c>
      <c r="AW2766" s="82">
        <f t="shared" si="1"/>
        <v>-7.257797034</v>
      </c>
      <c r="AX2766" s="83">
        <f t="array" ref="AX2766">IFERROR(DGET('SBV Import'!A:G,"SBV",{"RSC ID","Tier";B2766,A2766}))</f>
        <v>16.63682569</v>
      </c>
      <c r="AY2766" s="82">
        <f t="shared" si="2"/>
        <v>-10.98712668</v>
      </c>
      <c r="AZ2766" s="82">
        <v>3.729329645405704</v>
      </c>
      <c r="BA2766" s="84">
        <v>2700.0</v>
      </c>
      <c r="BB2766" s="84" t="b">
        <f>IFERROR(__xludf.DUMMYFUNCTION("iferror(if(A2766="""",,E2766&gt;=FILTER(Constants!$F$2:$F$10,Constants!$A$2:$A$10=A2766)))"),TRUE)</f>
        <v>1</v>
      </c>
    </row>
    <row r="2767">
      <c r="A2767" s="89" t="str">
        <f>IFERROR(__xludf.DUMMYFUNCTION("""COMPUTED_VALUE"""),"Prospect")</f>
        <v>Prospect</v>
      </c>
      <c r="B2767" s="87" t="str">
        <f>IFERROR(__xludf.DUMMYFUNCTION("""COMPUTED_VALUE"""),"RSC001820")</f>
        <v>RSC001820</v>
      </c>
      <c r="C2767" s="73" t="str">
        <f>IFERROR(__xludf.DUMMYFUNCTION("""COMPUTED_VALUE"""),"YourEvilTwin")</f>
        <v>YourEvilTwin</v>
      </c>
      <c r="D2767" s="73" t="str">
        <f>IFERROR(__xludf.DUMMYFUNCTION("""COMPUTED_VALUE"""),"Tic Tacs")</f>
        <v>Tic Tacs</v>
      </c>
      <c r="E2767" s="82">
        <f>IFERROR(__xludf.DUMMYFUNCTION("""COMPUTED_VALUE"""),27.0)</f>
        <v>27</v>
      </c>
      <c r="F2767" s="82">
        <f>IFERROR(__xludf.DUMMYFUNCTION("""COMPUTED_VALUE"""),13.0)</f>
        <v>13</v>
      </c>
      <c r="G2767" s="86">
        <f>IFERROR(__xludf.DUMMYFUNCTION("""COMPUTED_VALUE"""),14.0)</f>
        <v>14</v>
      </c>
      <c r="H2767" s="86">
        <f>IFERROR(__xludf.DUMMYFUNCTION("""COMPUTED_VALUE"""),0.48148148148148145)</f>
        <v>0.4814814815</v>
      </c>
      <c r="I2767" s="86">
        <f>IFERROR(__xludf.DUMMYFUNCTION("""COMPUTED_VALUE"""),0.27906976744186046)</f>
        <v>0.2790697674</v>
      </c>
      <c r="J2767" s="82">
        <f>IFERROR(__xludf.DUMMYFUNCTION("""COMPUTED_VALUE"""),279.51851851851853)</f>
        <v>279.5185185</v>
      </c>
      <c r="K2767" s="82">
        <f>IFERROR(__xludf.DUMMYFUNCTION("""COMPUTED_VALUE"""),0.4444444444444444)</f>
        <v>0.4444444444</v>
      </c>
      <c r="L2767" s="82">
        <f>IFERROR(__xludf.DUMMYFUNCTION("""COMPUTED_VALUE"""),0.48148148148148145)</f>
        <v>0.4814814815</v>
      </c>
      <c r="M2767" s="82">
        <f>IFERROR(__xludf.DUMMYFUNCTION("""COMPUTED_VALUE"""),1.1851851851851851)</f>
        <v>1.185185185</v>
      </c>
      <c r="N2767" s="82">
        <f>IFERROR(__xludf.DUMMYFUNCTION("""COMPUTED_VALUE"""),1.5925925925925926)</f>
        <v>1.592592593</v>
      </c>
      <c r="O2767" s="82">
        <f>IFERROR(__xludf.DUMMYFUNCTION("""COMPUTED_VALUE"""),338.61728395061726)</f>
        <v>338.617284</v>
      </c>
      <c r="P2767" s="82">
        <f>IFERROR(__xludf.DUMMYFUNCTION("""COMPUTED_VALUE"""),0.8888888888888891)</f>
        <v>0.8888888889</v>
      </c>
      <c r="Q2767" s="82">
        <f>IFERROR(__xludf.DUMMYFUNCTION("""COMPUTED_VALUE"""),0.5679012345679013)</f>
        <v>0.5679012346</v>
      </c>
      <c r="R2767" s="82">
        <f>IFERROR(__xludf.DUMMYFUNCTION("""COMPUTED_VALUE"""),1.0370370370370368)</f>
        <v>1.037037037</v>
      </c>
      <c r="S2767" s="82">
        <f>IFERROR(__xludf.DUMMYFUNCTION("""COMPUTED_VALUE"""),2.716049382716049)</f>
        <v>2.716049383</v>
      </c>
      <c r="T2767" s="82">
        <f>IFERROR(__xludf.DUMMYFUNCTION("""COMPUTED_VALUE"""),329.70387298646483)</f>
        <v>329.703873</v>
      </c>
      <c r="U2767" s="82">
        <f>IFERROR(__xludf.DUMMYFUNCTION("""COMPUTED_VALUE"""),0.7658575345436923)</f>
        <v>0.7658575345</v>
      </c>
      <c r="V2767" s="82">
        <f>IFERROR(__xludf.DUMMYFUNCTION("""COMPUTED_VALUE"""),0.5194727408252235)</f>
        <v>0.5194727408</v>
      </c>
      <c r="W2767" s="82">
        <f>IFERROR(__xludf.DUMMYFUNCTION("""COMPUTED_VALUE"""),1.1815952061477653)</f>
        <v>1.181595206</v>
      </c>
      <c r="X2767" s="82">
        <f>IFERROR(__xludf.DUMMYFUNCTION("""COMPUTED_VALUE"""),2.3611433994894777)</f>
        <v>2.361143399</v>
      </c>
      <c r="Y2767" s="82">
        <f>IFERROR(__xludf.DUMMYFUNCTION("""COMPUTED_VALUE"""),334.2015306732185)</f>
        <v>334.2015307</v>
      </c>
      <c r="Z2767" s="82">
        <f>IFERROR(__xludf.DUMMYFUNCTION("""COMPUTED_VALUE"""),0.7803342776712406)</f>
        <v>0.7803342777</v>
      </c>
      <c r="AA2767" s="82">
        <f>IFERROR(__xludf.DUMMYFUNCTION("""COMPUTED_VALUE"""),0.5236454044818452)</f>
        <v>0.5236454045</v>
      </c>
      <c r="AB2767" s="82">
        <f>IFERROR(__xludf.DUMMYFUNCTION("""COMPUTED_VALUE"""),1.200906341693134)</f>
        <v>1.200906342</v>
      </c>
      <c r="AC2767" s="82">
        <f>IFERROR(__xludf.DUMMYFUNCTION("""COMPUTED_VALUE"""),2.4150604677857803)</f>
        <v>2.415060468</v>
      </c>
      <c r="AD2767" s="82">
        <f>IFERROR(__xludf.DUMMYFUNCTION("""COMPUTED_VALUE"""),0.8363771343460157)</f>
        <v>0.8363771343</v>
      </c>
      <c r="AE2767" s="82">
        <f>IFERROR(__xludf.DUMMYFUNCTION("""COMPUTED_VALUE"""),0.5695564800393037)</f>
        <v>0.56955648</v>
      </c>
      <c r="AF2767" s="82">
        <f>IFERROR(__xludf.DUMMYFUNCTION("""COMPUTED_VALUE"""),0.9194800094883187)</f>
        <v>0.9194800095</v>
      </c>
      <c r="AG2767" s="82">
        <f>IFERROR(__xludf.DUMMYFUNCTION("""COMPUTED_VALUE"""),0.9869089237335661)</f>
        <v>0.9869089237</v>
      </c>
      <c r="AH2767" s="82">
        <f>IFERROR(__xludf.DUMMYFUNCTION("""COMPUTED_VALUE"""),0.6594421190839757)</f>
        <v>0.6594421191</v>
      </c>
      <c r="AI2767" s="82">
        <f>IFERROR(__xludf.DUMMYFUNCTION("""COMPUTED_VALUE"""),1.027034595873608)</f>
        <v>1.027034596</v>
      </c>
      <c r="AJ2767" s="82">
        <f>IFERROR(__xludf.DUMMYFUNCTION("""COMPUTED_VALUE"""),1.160645222898408)</f>
        <v>1.160645223</v>
      </c>
      <c r="AK2767" s="82">
        <f>IFERROR(__xludf.DUMMYFUNCTION("""COMPUTED_VALUE"""),1.0932262464162128)</f>
        <v>1.093226246</v>
      </c>
      <c r="AL2767" s="82">
        <f>IFERROR(__xludf.DUMMYFUNCTION("""COMPUTED_VALUE"""),0.8776584668263704)</f>
        <v>0.8776584668</v>
      </c>
      <c r="AM2767" s="82">
        <f>IFERROR(__xludf.DUMMYFUNCTION("""COMPUTED_VALUE"""),1.1503110667921772)</f>
        <v>1.150311067</v>
      </c>
      <c r="AN2767" s="82">
        <f>IFERROR(__xludf.DUMMYFUNCTION("""COMPUTED_VALUE"""),0.8634005887609973)</f>
        <v>0.8634005888</v>
      </c>
      <c r="AO2767" s="82">
        <f>IFERROR(__xludf.DUMMYFUNCTION("""COMPUTED_VALUE"""),0.6025764613850616)</f>
        <v>0.6025764614</v>
      </c>
      <c r="AP2767" s="82">
        <f>IFERROR(__xludf.DUMMYFUNCTION("""COMPUTED_VALUE"""),0.9758149957290537)</f>
        <v>0.9758149957</v>
      </c>
      <c r="AQ2767" s="82">
        <f>IFERROR(__xludf.DUMMYFUNCTION("""COMPUTED_VALUE"""),0.9826540494479129)</f>
        <v>0.9826540494</v>
      </c>
      <c r="AR2767" s="82">
        <f>IFERROR(__xludf.DUMMYFUNCTION("""COMPUTED_VALUE"""),0.6761390617696136)</f>
        <v>0.6761390618</v>
      </c>
      <c r="AS2767" s="82">
        <f>IFERROR(__xludf.DUMMYFUNCTION("""COMPUTED_VALUE"""),67.0)</f>
        <v>67</v>
      </c>
      <c r="AT2767" s="82">
        <f>IFERROR(__xludf.DUMMYFUNCTION("""COMPUTED_VALUE"""),0.47123418836158226)</f>
        <v>0.4712341884</v>
      </c>
      <c r="AU2767" s="82">
        <f>IFERROR(__xludf.DUMMYFUNCTION("""COMPUTED_VALUE"""),1.0667794969899673)</f>
        <v>1.066779497</v>
      </c>
      <c r="AV2767" s="82">
        <f>IFERROR(__xludf.DUMMYFUNCTION("""COMPUTED_VALUE"""),21.554083665277236)</f>
        <v>21.55408367</v>
      </c>
      <c r="AW2767" s="82">
        <f t="shared" si="1"/>
        <v>-7.837337729</v>
      </c>
      <c r="AX2767" s="83">
        <f t="array" ref="AX2767">IFERROR(DGET('SBV Import'!A:G,"SBV",{"RSC ID","Tier";B2767,A2767}))</f>
        <v>20.92859249</v>
      </c>
      <c r="AY2767" s="82">
        <f t="shared" si="2"/>
        <v>-8.167005124</v>
      </c>
      <c r="AZ2767" s="82">
        <v>0.32966739553419266</v>
      </c>
      <c r="BA2767" s="84">
        <v>2700.0</v>
      </c>
      <c r="BB2767" s="84" t="b">
        <f>IFERROR(__xludf.DUMMYFUNCTION("iferror(if(A2767="""",,E2767&gt;=FILTER(Constants!$F$2:$F$10,Constants!$A$2:$A$10=A2767)))"),TRUE)</f>
        <v>1</v>
      </c>
    </row>
    <row r="2768">
      <c r="A2768" s="89" t="str">
        <f>IFERROR(__xludf.DUMMYFUNCTION("""COMPUTED_VALUE"""),"Prospect")</f>
        <v>Prospect</v>
      </c>
      <c r="B2768" s="87" t="str">
        <f>IFERROR(__xludf.DUMMYFUNCTION("""COMPUTED_VALUE"""),"RSC005909")</f>
        <v>RSC005909</v>
      </c>
      <c r="C2768" s="73" t="str">
        <f>IFERROR(__xludf.DUMMYFUNCTION("""COMPUTED_VALUE"""),"YadiCraft")</f>
        <v>YadiCraft</v>
      </c>
      <c r="D2768" s="73"/>
      <c r="E2768" s="82">
        <f>IFERROR(__xludf.DUMMYFUNCTION("""COMPUTED_VALUE"""),4.0)</f>
        <v>4</v>
      </c>
      <c r="F2768" s="82">
        <f>IFERROR(__xludf.DUMMYFUNCTION("""COMPUTED_VALUE"""),2.0)</f>
        <v>2</v>
      </c>
      <c r="G2768" s="86">
        <f>IFERROR(__xludf.DUMMYFUNCTION("""COMPUTED_VALUE"""),2.0)</f>
        <v>2</v>
      </c>
      <c r="H2768" s="86">
        <f>IFERROR(__xludf.DUMMYFUNCTION("""COMPUTED_VALUE"""),0.5)</f>
        <v>0.5</v>
      </c>
      <c r="I2768" s="86">
        <f>IFERROR(__xludf.DUMMYFUNCTION("""COMPUTED_VALUE"""),0.25)</f>
        <v>0.25</v>
      </c>
      <c r="J2768" s="82">
        <f>IFERROR(__xludf.DUMMYFUNCTION("""COMPUTED_VALUE"""),305.5)</f>
        <v>305.5</v>
      </c>
      <c r="K2768" s="82">
        <f>IFERROR(__xludf.DUMMYFUNCTION("""COMPUTED_VALUE"""),0.5)</f>
        <v>0.5</v>
      </c>
      <c r="L2768" s="82">
        <f>IFERROR(__xludf.DUMMYFUNCTION("""COMPUTED_VALUE"""),0.25)</f>
        <v>0.25</v>
      </c>
      <c r="M2768" s="82">
        <f>IFERROR(__xludf.DUMMYFUNCTION("""COMPUTED_VALUE"""),1.75)</f>
        <v>1.75</v>
      </c>
      <c r="N2768" s="82">
        <f>IFERROR(__xludf.DUMMYFUNCTION("""COMPUTED_VALUE"""),2.0)</f>
        <v>2</v>
      </c>
      <c r="O2768" s="82">
        <f>IFERROR(__xludf.DUMMYFUNCTION("""COMPUTED_VALUE"""),286.5)</f>
        <v>286.5</v>
      </c>
      <c r="P2768" s="82">
        <f>IFERROR(__xludf.DUMMYFUNCTION("""COMPUTED_VALUE"""),0.6666666666666667)</f>
        <v>0.6666666667</v>
      </c>
      <c r="Q2768" s="82">
        <f>IFERROR(__xludf.DUMMYFUNCTION("""COMPUTED_VALUE"""),0.5)</f>
        <v>0.5</v>
      </c>
      <c r="R2768" s="82">
        <f>IFERROR(__xludf.DUMMYFUNCTION("""COMPUTED_VALUE"""),1.0)</f>
        <v>1</v>
      </c>
      <c r="S2768" s="82">
        <f>IFERROR(__xludf.DUMMYFUNCTION("""COMPUTED_VALUE"""),2.166666666666667)</f>
        <v>2.166666667</v>
      </c>
      <c r="T2768" s="82">
        <f>IFERROR(__xludf.DUMMYFUNCTION("""COMPUTED_VALUE"""),292.6103213166145)</f>
        <v>292.6103213</v>
      </c>
      <c r="U2768" s="82">
        <f>IFERROR(__xludf.DUMMYFUNCTION("""COMPUTED_VALUE"""),0.6043416927899687)</f>
        <v>0.6043416928</v>
      </c>
      <c r="V2768" s="82">
        <f>IFERROR(__xludf.DUMMYFUNCTION("""COMPUTED_VALUE"""),0.3980995297805643)</f>
        <v>0.3980995298</v>
      </c>
      <c r="W2768" s="82">
        <f>IFERROR(__xludf.DUMMYFUNCTION("""COMPUTED_VALUE"""),1.0992058516196448)</f>
        <v>1.099205852</v>
      </c>
      <c r="X2768" s="82">
        <f>IFERROR(__xludf.DUMMYFUNCTION("""COMPUTED_VALUE"""),1.9179754440961339)</f>
        <v>1.917975444</v>
      </c>
      <c r="Y2768" s="82">
        <f>IFERROR(__xludf.DUMMYFUNCTION("""COMPUTED_VALUE"""),345.3427311912226)</f>
        <v>345.3427312</v>
      </c>
      <c r="Z2768" s="82">
        <f>IFERROR(__xludf.DUMMYFUNCTION("""COMPUTED_VALUE"""),0.9278208812260534)</f>
        <v>0.9278208812</v>
      </c>
      <c r="AA2768" s="82">
        <f>IFERROR(__xludf.DUMMYFUNCTION("""COMPUTED_VALUE"""),0.6116200801114594)</f>
        <v>0.6116200801</v>
      </c>
      <c r="AB2768" s="82">
        <f>IFERROR(__xludf.DUMMYFUNCTION("""COMPUTED_VALUE"""),1.0101475966562172)</f>
        <v>1.010147597</v>
      </c>
      <c r="AC2768" s="82">
        <f>IFERROR(__xludf.DUMMYFUNCTION("""COMPUTED_VALUE"""),2.6391932253570185)</f>
        <v>2.639193225</v>
      </c>
      <c r="AD2768" s="82">
        <f>IFERROR(__xludf.DUMMYFUNCTION("""COMPUTED_VALUE"""),0.8846284354855556)</f>
        <v>0.8846284355</v>
      </c>
      <c r="AE2768" s="82">
        <f>IFERROR(__xludf.DUMMYFUNCTION("""COMPUTED_VALUE"""),0.5388971191716264)</f>
        <v>0.5388971192</v>
      </c>
      <c r="AF2768" s="82">
        <f>IFERROR(__xludf.DUMMYFUNCTION("""COMPUTED_VALUE"""),0.4087504778365696)</f>
        <v>0.4087504778</v>
      </c>
      <c r="AG2768" s="82">
        <f>IFERROR(__xludf.DUMMYFUNCTION("""COMPUTED_VALUE"""),1.7324200995902346)</f>
        <v>1.7324201</v>
      </c>
      <c r="AH2768" s="82">
        <f>IFERROR(__xludf.DUMMYFUNCTION("""COMPUTED_VALUE"""),0.7578073408131945)</f>
        <v>0.7578073408</v>
      </c>
      <c r="AI2768" s="82">
        <f>IFERROR(__xludf.DUMMYFUNCTION("""COMPUTED_VALUE"""),0.9791178886338636)</f>
        <v>0.9791178886</v>
      </c>
      <c r="AJ2768" s="82">
        <f>IFERROR(__xludf.DUMMYFUNCTION("""COMPUTED_VALUE"""),1.1031287012302133)</f>
        <v>1.103128701</v>
      </c>
      <c r="AK2768" s="82">
        <f>IFERROR(__xludf.DUMMYFUNCTION("""COMPUTED_VALUE"""),1.2559673212264382)</f>
        <v>1.255967321</v>
      </c>
      <c r="AL2768" s="82">
        <f>IFERROR(__xludf.DUMMYFUNCTION("""COMPUTED_VALUE"""),0.9097477042416867)</f>
        <v>0.9097477042</v>
      </c>
      <c r="AM2768" s="82">
        <f>IFERROR(__xludf.DUMMYFUNCTION("""COMPUTED_VALUE"""),1.1296634028011403)</f>
        <v>1.129663403</v>
      </c>
      <c r="AN2768" s="82">
        <f>IFERROR(__xludf.DUMMYFUNCTION("""COMPUTED_VALUE"""),0.9436543999463477)</f>
        <v>0.9436543999</v>
      </c>
      <c r="AO2768" s="82">
        <f>IFERROR(__xludf.DUMMYFUNCTION("""COMPUTED_VALUE"""),0.6778985190581943)</f>
        <v>0.6778985191</v>
      </c>
      <c r="AP2768" s="82">
        <f>IFERROR(__xludf.DUMMYFUNCTION("""COMPUTED_VALUE"""),0.5066731708593164)</f>
        <v>0.5066731709</v>
      </c>
      <c r="AQ2768" s="82">
        <f>IFERROR(__xludf.DUMMYFUNCTION("""COMPUTED_VALUE"""),1.450950119887934)</f>
        <v>1.45095012</v>
      </c>
      <c r="AR2768" s="82">
        <f>IFERROR(__xludf.DUMMYFUNCTION("""COMPUTED_VALUE"""),0.8491048682688171)</f>
        <v>0.8491048683</v>
      </c>
      <c r="AS2768" s="82">
        <f>IFERROR(__xludf.DUMMYFUNCTION("""COMPUTED_VALUE"""),8.0)</f>
        <v>8</v>
      </c>
      <c r="AT2768" s="82">
        <f>IFERROR(__xludf.DUMMYFUNCTION("""COMPUTED_VALUE"""),0.5)</f>
        <v>0.5</v>
      </c>
      <c r="AU2768" s="82">
        <f>IFERROR(__xludf.DUMMYFUNCTION("""COMPUTED_VALUE"""),0.9284905876288383)</f>
        <v>0.9284905876</v>
      </c>
      <c r="AV2768" s="82">
        <f>IFERROR(__xludf.DUMMYFUNCTION("""COMPUTED_VALUE"""),17.154809945424034)</f>
        <v>17.15480995</v>
      </c>
      <c r="AW2768" s="82">
        <f t="shared" si="1"/>
        <v>-10.58699831</v>
      </c>
      <c r="AX2768" s="83">
        <f t="array" ref="AX2768">IFERROR(DGET('SBV Import'!A:G,"SBV",{"RSC ID","Tier";B2768,A2768}))</f>
        <v>47.14087597</v>
      </c>
      <c r="AY2768" s="82">
        <f t="shared" si="2"/>
        <v>-2.200344712</v>
      </c>
      <c r="AZ2768" s="82">
        <v>8.38665359758226</v>
      </c>
      <c r="BA2768" s="84">
        <v>2700.0</v>
      </c>
      <c r="BB2768" s="84" t="b">
        <f>IFERROR(__xludf.DUMMYFUNCTION("iferror(if(A2768="""",,E2768&gt;=FILTER(Constants!$F$2:$F$10,Constants!$A$2:$A$10=A2768)))"),TRUE)</f>
        <v>1</v>
      </c>
    </row>
    <row r="2769">
      <c r="A2769" s="89" t="str">
        <f>IFERROR(__xludf.DUMMYFUNCTION("""COMPUTED_VALUE"""),"Prospect")</f>
        <v>Prospect</v>
      </c>
      <c r="B2769" s="87" t="str">
        <f>IFERROR(__xludf.DUMMYFUNCTION("""COMPUTED_VALUE"""),"RSC006416")</f>
        <v>RSC006416</v>
      </c>
      <c r="C2769" s="73" t="str">
        <f>IFERROR(__xludf.DUMMYFUNCTION("""COMPUTED_VALUE"""),"StaRazor")</f>
        <v>StaRazor</v>
      </c>
      <c r="D2769" s="73"/>
      <c r="E2769" s="82">
        <f>IFERROR(__xludf.DUMMYFUNCTION("""COMPUTED_VALUE"""),15.0)</f>
        <v>15</v>
      </c>
      <c r="F2769" s="82">
        <f>IFERROR(__xludf.DUMMYFUNCTION("""COMPUTED_VALUE"""),4.0)</f>
        <v>4</v>
      </c>
      <c r="G2769" s="86">
        <f>IFERROR(__xludf.DUMMYFUNCTION("""COMPUTED_VALUE"""),11.0)</f>
        <v>11</v>
      </c>
      <c r="H2769" s="86">
        <f>IFERROR(__xludf.DUMMYFUNCTION("""COMPUTED_VALUE"""),0.26666666666666666)</f>
        <v>0.2666666667</v>
      </c>
      <c r="I2769" s="86">
        <f>IFERROR(__xludf.DUMMYFUNCTION("""COMPUTED_VALUE"""),0.35294117647058826)</f>
        <v>0.3529411765</v>
      </c>
      <c r="J2769" s="82">
        <f>IFERROR(__xludf.DUMMYFUNCTION("""COMPUTED_VALUE"""),273.26666666666665)</f>
        <v>273.2666667</v>
      </c>
      <c r="K2769" s="82">
        <f>IFERROR(__xludf.DUMMYFUNCTION("""COMPUTED_VALUE"""),0.4)</f>
        <v>0.4</v>
      </c>
      <c r="L2769" s="82">
        <f>IFERROR(__xludf.DUMMYFUNCTION("""COMPUTED_VALUE"""),0.4)</f>
        <v>0.4</v>
      </c>
      <c r="M2769" s="82">
        <f>IFERROR(__xludf.DUMMYFUNCTION("""COMPUTED_VALUE"""),1.2666666666666666)</f>
        <v>1.266666667</v>
      </c>
      <c r="N2769" s="82">
        <f>IFERROR(__xludf.DUMMYFUNCTION("""COMPUTED_VALUE"""),1.1333333333333333)</f>
        <v>1.133333333</v>
      </c>
      <c r="O2769" s="82">
        <f>IFERROR(__xludf.DUMMYFUNCTION("""COMPUTED_VALUE"""),342.3777777777778)</f>
        <v>342.3777778</v>
      </c>
      <c r="P2769" s="82">
        <f>IFERROR(__xludf.DUMMYFUNCTION("""COMPUTED_VALUE"""),1.0000000000000002)</f>
        <v>1</v>
      </c>
      <c r="Q2769" s="82">
        <f>IFERROR(__xludf.DUMMYFUNCTION("""COMPUTED_VALUE"""),0.6222222222222222)</f>
        <v>0.6222222222</v>
      </c>
      <c r="R2769" s="82">
        <f>IFERROR(__xludf.DUMMYFUNCTION("""COMPUTED_VALUE"""),0.8666666666666666)</f>
        <v>0.8666666667</v>
      </c>
      <c r="S2769" s="82">
        <f>IFERROR(__xludf.DUMMYFUNCTION("""COMPUTED_VALUE"""),2.555555555555555)</f>
        <v>2.555555556</v>
      </c>
      <c r="T2769" s="82">
        <f>IFERROR(__xludf.DUMMYFUNCTION("""COMPUTED_VALUE"""),333.5681301282212)</f>
        <v>333.5681301</v>
      </c>
      <c r="U2769" s="82">
        <f>IFERROR(__xludf.DUMMYFUNCTION("""COMPUTED_VALUE"""),0.739777040829103)</f>
        <v>0.7397770408</v>
      </c>
      <c r="V2769" s="82">
        <f>IFERROR(__xludf.DUMMYFUNCTION("""COMPUTED_VALUE"""),0.6264739357838299)</f>
        <v>0.6264739358</v>
      </c>
      <c r="W2769" s="82">
        <f>IFERROR(__xludf.DUMMYFUNCTION("""COMPUTED_VALUE"""),1.190115851010149)</f>
        <v>1.190115851</v>
      </c>
      <c r="X2769" s="82">
        <f>IFERROR(__xludf.DUMMYFUNCTION("""COMPUTED_VALUE"""),2.4005409727961)</f>
        <v>2.400540973</v>
      </c>
      <c r="Y2769" s="82">
        <f>IFERROR(__xludf.DUMMYFUNCTION("""COMPUTED_VALUE"""),338.5766308957002)</f>
        <v>338.5766309</v>
      </c>
      <c r="Z2769" s="82">
        <f>IFERROR(__xludf.DUMMYFUNCTION("""COMPUTED_VALUE"""),0.797894667524147)</f>
        <v>0.7978946675</v>
      </c>
      <c r="AA2769" s="82">
        <f>IFERROR(__xludf.DUMMYFUNCTION("""COMPUTED_VALUE"""),0.5312182006203493)</f>
        <v>0.5312182006</v>
      </c>
      <c r="AB2769" s="82">
        <f>IFERROR(__xludf.DUMMYFUNCTION("""COMPUTED_VALUE"""),1.275831668961261)</f>
        <v>1.275831669</v>
      </c>
      <c r="AC2769" s="82">
        <f>IFERROR(__xludf.DUMMYFUNCTION("""COMPUTED_VALUE"""),2.3556047453354947)</f>
        <v>2.355604745</v>
      </c>
      <c r="AD2769" s="82">
        <f>IFERROR(__xludf.DUMMYFUNCTION("""COMPUTED_VALUE"""),0.8071043354166032)</f>
        <v>0.8071043354</v>
      </c>
      <c r="AE2769" s="82">
        <f>IFERROR(__xludf.DUMMYFUNCTION("""COMPUTED_VALUE"""),0.5013193047663709)</f>
        <v>0.5013193048</v>
      </c>
      <c r="AF2769" s="82">
        <f>IFERROR(__xludf.DUMMYFUNCTION("""COMPUTED_VALUE"""),0.7529862484622807)</f>
        <v>0.7529862485</v>
      </c>
      <c r="AG2769" s="82">
        <f>IFERROR(__xludf.DUMMYFUNCTION("""COMPUTED_VALUE"""),0.9928164486604599)</f>
        <v>0.9928164487</v>
      </c>
      <c r="AH2769" s="82">
        <f>IFERROR(__xludf.DUMMYFUNCTION("""COMPUTED_VALUE"""),0.4811220284631917)</f>
        <v>0.4811220285</v>
      </c>
      <c r="AI2769" s="82">
        <f>IFERROR(__xludf.DUMMYFUNCTION("""COMPUTED_VALUE"""),1.0264103397592876)</f>
        <v>1.02641034</v>
      </c>
      <c r="AJ2769" s="82">
        <f>IFERROR(__xludf.DUMMYFUNCTION("""COMPUTED_VALUE"""),1.3517586310589649)</f>
        <v>1.351758631</v>
      </c>
      <c r="AK2769" s="82">
        <f>IFERROR(__xludf.DUMMYFUNCTION("""COMPUTED_VALUE"""),0.9932132634436132)</f>
        <v>0.9932132634</v>
      </c>
      <c r="AL2769" s="82">
        <f>IFERROR(__xludf.DUMMYFUNCTION("""COMPUTED_VALUE"""),0.7282204215085913)</f>
        <v>0.7282204215</v>
      </c>
      <c r="AM2769" s="82">
        <f>IFERROR(__xludf.DUMMYFUNCTION("""COMPUTED_VALUE"""),1.064574853966728)</f>
        <v>1.064574854</v>
      </c>
      <c r="AN2769" s="82">
        <f>IFERROR(__xludf.DUMMYFUNCTION("""COMPUTED_VALUE"""),0.8440893366895972)</f>
        <v>0.8440893367</v>
      </c>
      <c r="AO2769" s="82">
        <f>IFERROR(__xludf.DUMMYFUNCTION("""COMPUTED_VALUE"""),0.5423188152465555)</f>
        <v>0.5423188152</v>
      </c>
      <c r="AP2769" s="82">
        <f>IFERROR(__xludf.DUMMYFUNCTION("""COMPUTED_VALUE"""),0.8106770733749062)</f>
        <v>0.8106770734</v>
      </c>
      <c r="AQ2769" s="82">
        <f>IFERROR(__xludf.DUMMYFUNCTION("""COMPUTED_VALUE"""),1.050211515347457)</f>
        <v>1.050211515</v>
      </c>
      <c r="AR2769" s="82">
        <f>IFERROR(__xludf.DUMMYFUNCTION("""COMPUTED_VALUE"""),0.4811594253523297)</f>
        <v>0.4811594254</v>
      </c>
      <c r="AS2769" s="82">
        <f>IFERROR(__xludf.DUMMYFUNCTION("""COMPUTED_VALUE"""),25.0)</f>
        <v>25</v>
      </c>
      <c r="AT2769" s="82">
        <f>IFERROR(__xludf.DUMMYFUNCTION("""COMPUTED_VALUE"""),0.28606226303263577)</f>
        <v>0.286062263</v>
      </c>
      <c r="AU2769" s="82">
        <f>IFERROR(__xludf.DUMMYFUNCTION("""COMPUTED_VALUE"""),0.6977224424265023)</f>
        <v>0.6977224424</v>
      </c>
      <c r="AV2769" s="82">
        <f>IFERROR(__xludf.DUMMYFUNCTION("""COMPUTED_VALUE"""),9.813568762324024)</f>
        <v>9.813568762</v>
      </c>
      <c r="AW2769" s="82">
        <f t="shared" si="1"/>
        <v>-18.52639221</v>
      </c>
      <c r="AX2769" s="83">
        <f t="array" ref="AX2769">IFERROR(DGET('SBV Import'!A:G,"SBV",{"RSC ID","Tier";B2769,A2769}))</f>
        <v>31.48087124</v>
      </c>
      <c r="AY2769" s="82">
        <f t="shared" si="2"/>
        <v>-4.358857322</v>
      </c>
      <c r="AZ2769" s="82">
        <v>14.167534883553579</v>
      </c>
      <c r="BA2769" s="84">
        <v>2700.0</v>
      </c>
      <c r="BB2769" s="84" t="b">
        <f>IFERROR(__xludf.DUMMYFUNCTION("iferror(if(A2769="""",,E2769&gt;=FILTER(Constants!$F$2:$F$10,Constants!$A$2:$A$10=A2769)))"),TRUE)</f>
        <v>1</v>
      </c>
    </row>
    <row r="2770">
      <c r="A2770" s="89" t="str">
        <f>IFERROR(__xludf.DUMMYFUNCTION("""COMPUTED_VALUE"""),"Prospect")</f>
        <v>Prospect</v>
      </c>
      <c r="B2770" s="87" t="str">
        <f>IFERROR(__xludf.DUMMYFUNCTION("""COMPUTED_VALUE"""),"RSC004879")</f>
        <v>RSC004879</v>
      </c>
      <c r="C2770" s="73" t="str">
        <f>IFERROR(__xludf.DUMMYFUNCTION("""COMPUTED_VALUE"""),"DefNotMongo.")</f>
        <v>DefNotMongo.</v>
      </c>
      <c r="D2770" s="73" t="str">
        <f>IFERROR(__xludf.DUMMYFUNCTION("""COMPUTED_VALUE"""),"Khans")</f>
        <v>Khans</v>
      </c>
      <c r="E2770" s="82">
        <f>IFERROR(__xludf.DUMMYFUNCTION("""COMPUTED_VALUE"""),8.0)</f>
        <v>8</v>
      </c>
      <c r="F2770" s="82">
        <f>IFERROR(__xludf.DUMMYFUNCTION("""COMPUTED_VALUE"""),2.0)</f>
        <v>2</v>
      </c>
      <c r="G2770" s="86">
        <f>IFERROR(__xludf.DUMMYFUNCTION("""COMPUTED_VALUE"""),6.0)</f>
        <v>6</v>
      </c>
      <c r="H2770" s="86">
        <f>IFERROR(__xludf.DUMMYFUNCTION("""COMPUTED_VALUE"""),0.25)</f>
        <v>0.25</v>
      </c>
      <c r="I2770" s="86">
        <f>IFERROR(__xludf.DUMMYFUNCTION("""COMPUTED_VALUE"""),0.16666666666666666)</f>
        <v>0.1666666667</v>
      </c>
      <c r="J2770" s="82">
        <f>IFERROR(__xludf.DUMMYFUNCTION("""COMPUTED_VALUE"""),284.625)</f>
        <v>284.625</v>
      </c>
      <c r="K2770" s="82">
        <f>IFERROR(__xludf.DUMMYFUNCTION("""COMPUTED_VALUE"""),0.125)</f>
        <v>0.125</v>
      </c>
      <c r="L2770" s="82">
        <f>IFERROR(__xludf.DUMMYFUNCTION("""COMPUTED_VALUE"""),0.75)</f>
        <v>0.75</v>
      </c>
      <c r="M2770" s="82">
        <f>IFERROR(__xludf.DUMMYFUNCTION("""COMPUTED_VALUE"""),1.875)</f>
        <v>1.875</v>
      </c>
      <c r="N2770" s="82">
        <f>IFERROR(__xludf.DUMMYFUNCTION("""COMPUTED_VALUE"""),0.75)</f>
        <v>0.75</v>
      </c>
      <c r="O2770" s="82">
        <f>IFERROR(__xludf.DUMMYFUNCTION("""COMPUTED_VALUE"""),350.0)</f>
        <v>350</v>
      </c>
      <c r="P2770" s="82">
        <f>IFERROR(__xludf.DUMMYFUNCTION("""COMPUTED_VALUE"""),1.0416666666666667)</f>
        <v>1.041666667</v>
      </c>
      <c r="Q2770" s="82">
        <f>IFERROR(__xludf.DUMMYFUNCTION("""COMPUTED_VALUE"""),0.6666666666666665)</f>
        <v>0.6666666667</v>
      </c>
      <c r="R2770" s="82">
        <f>IFERROR(__xludf.DUMMYFUNCTION("""COMPUTED_VALUE"""),1.0)</f>
        <v>1</v>
      </c>
      <c r="S2770" s="82">
        <f>IFERROR(__xludf.DUMMYFUNCTION("""COMPUTED_VALUE"""),3.041666666666667)</f>
        <v>3.041666667</v>
      </c>
      <c r="T2770" s="82">
        <f>IFERROR(__xludf.DUMMYFUNCTION("""COMPUTED_VALUE"""),331.9756216931217)</f>
        <v>331.9756217</v>
      </c>
      <c r="U2770" s="82">
        <f>IFERROR(__xludf.DUMMYFUNCTION("""COMPUTED_VALUE"""),0.8252906352906353)</f>
        <v>0.8252906353</v>
      </c>
      <c r="V2770" s="82">
        <f>IFERROR(__xludf.DUMMYFUNCTION("""COMPUTED_VALUE"""),0.49903864653864655)</f>
        <v>0.4990386465</v>
      </c>
      <c r="W2770" s="82">
        <f>IFERROR(__xludf.DUMMYFUNCTION("""COMPUTED_VALUE"""),1.0814983164983165)</f>
        <v>1.081498316</v>
      </c>
      <c r="X2770" s="82">
        <f>IFERROR(__xludf.DUMMYFUNCTION("""COMPUTED_VALUE"""),2.5328062215562217)</f>
        <v>2.532806222</v>
      </c>
      <c r="Y2770" s="82">
        <f>IFERROR(__xludf.DUMMYFUNCTION("""COMPUTED_VALUE"""),327.35955897497564)</f>
        <v>327.359559</v>
      </c>
      <c r="Z2770" s="82">
        <f>IFERROR(__xludf.DUMMYFUNCTION("""COMPUTED_VALUE"""),0.7291125386958719)</f>
        <v>0.7291125387</v>
      </c>
      <c r="AA2770" s="82">
        <f>IFERROR(__xludf.DUMMYFUNCTION("""COMPUTED_VALUE"""),0.48139709056375724)</f>
        <v>0.4813970906</v>
      </c>
      <c r="AB2770" s="82">
        <f>IFERROR(__xludf.DUMMYFUNCTION("""COMPUTED_VALUE"""),1.2883635500302166)</f>
        <v>1.28836355</v>
      </c>
      <c r="AC2770" s="82">
        <f>IFERROR(__xludf.DUMMYFUNCTION("""COMPUTED_VALUE"""),2.17802680344347)</f>
        <v>2.178026803</v>
      </c>
      <c r="AD2770" s="82">
        <f>IFERROR(__xludf.DUMMYFUNCTION("""COMPUTED_VALUE"""),0.8694568165084728)</f>
        <v>0.8694568165</v>
      </c>
      <c r="AE2770" s="82">
        <f>IFERROR(__xludf.DUMMYFUNCTION("""COMPUTED_VALUE"""),0.17144129796969534)</f>
        <v>0.171441298</v>
      </c>
      <c r="AF2770" s="82">
        <f>IFERROR(__xludf.DUMMYFUNCTION("""COMPUTED_VALUE"""),1.5579653776504667)</f>
        <v>1.557965378</v>
      </c>
      <c r="AG2770" s="82">
        <f>IFERROR(__xludf.DUMMYFUNCTION("""COMPUTED_VALUE"""),1.4553345598422314)</f>
        <v>1.45533456</v>
      </c>
      <c r="AH2770" s="82">
        <f>IFERROR(__xludf.DUMMYFUNCTION("""COMPUTED_VALUE"""),0.34434837937450846)</f>
        <v>0.3443483794</v>
      </c>
      <c r="AI2770" s="82">
        <f>IFERROR(__xludf.DUMMYFUNCTION("""COMPUTED_VALUE"""),1.0542942828601434)</f>
        <v>1.054294283</v>
      </c>
      <c r="AJ2770" s="82">
        <f>IFERROR(__xludf.DUMMYFUNCTION("""COMPUTED_VALUE"""),1.2621816147227118)</f>
        <v>1.262181615</v>
      </c>
      <c r="AK2770" s="82">
        <f>IFERROR(__xludf.DUMMYFUNCTION("""COMPUTED_VALUE"""),1.3359018811282355)</f>
        <v>1.335901881</v>
      </c>
      <c r="AL2770" s="82">
        <f>IFERROR(__xludf.DUMMYFUNCTION("""COMPUTED_VALUE"""),0.9246431406734017)</f>
        <v>0.9246431407</v>
      </c>
      <c r="AM2770" s="82">
        <f>IFERROR(__xludf.DUMMYFUNCTION("""COMPUTED_VALUE"""),1.2009077681425577)</f>
        <v>1.200907768</v>
      </c>
      <c r="AN2770" s="82">
        <f>IFERROR(__xludf.DUMMYFUNCTION("""COMPUTED_VALUE"""),0.8791739233542691)</f>
        <v>0.8791739234</v>
      </c>
      <c r="AO2770" s="82">
        <f>IFERROR(__xludf.DUMMYFUNCTION("""COMPUTED_VALUE"""),0.16947462976454858)</f>
        <v>0.1694746298</v>
      </c>
      <c r="AP2770" s="82">
        <f>IFERROR(__xludf.DUMMYFUNCTION("""COMPUTED_VALUE"""),1.5200195125779492)</f>
        <v>1.520019513</v>
      </c>
      <c r="AQ2770" s="82">
        <f>IFERROR(__xludf.DUMMYFUNCTION("""COMPUTED_VALUE"""),1.5545894141656436)</f>
        <v>1.554589414</v>
      </c>
      <c r="AR2770" s="82">
        <f>IFERROR(__xludf.DUMMYFUNCTION("""COMPUTED_VALUE"""),0.3184143256008064)</f>
        <v>0.3184143256</v>
      </c>
      <c r="AS2770" s="82">
        <f>IFERROR(__xludf.DUMMYFUNCTION("""COMPUTED_VALUE"""),18.0)</f>
        <v>18</v>
      </c>
      <c r="AT2770" s="82">
        <f>IFERROR(__xludf.DUMMYFUNCTION("""COMPUTED_VALUE"""),0.36997977956386313)</f>
        <v>0.3699797796</v>
      </c>
      <c r="AU2770" s="82">
        <f>IFERROR(__xludf.DUMMYFUNCTION("""COMPUTED_VALUE"""),0.582510386361337)</f>
        <v>0.5825103864</v>
      </c>
      <c r="AV2770" s="82">
        <f>IFERROR(__xludf.DUMMYFUNCTION("""COMPUTED_VALUE"""),6.148420394321903)</f>
        <v>6.148420394</v>
      </c>
      <c r="AW2770" s="82">
        <f t="shared" si="1"/>
        <v>-25.18267476</v>
      </c>
      <c r="AX2770" s="83">
        <f t="array" ref="AX2770">IFERROR(DGET('SBV Import'!A:G,"SBV",{"RSC ID","Tier";B2770,A2770}))</f>
        <v>25.14974372</v>
      </c>
      <c r="AY2770" s="82">
        <f t="shared" si="2"/>
        <v>-6.245747489</v>
      </c>
      <c r="AZ2770" s="82">
        <v>18.93692727071937</v>
      </c>
      <c r="BA2770" s="84">
        <v>2700.0</v>
      </c>
      <c r="BB2770" s="84" t="b">
        <f>IFERROR(__xludf.DUMMYFUNCTION("iferror(if(A2770="""",,E2770&gt;=FILTER(Constants!$F$2:$F$10,Constants!$A$2:$A$10=A2770)))"),TRUE)</f>
        <v>1</v>
      </c>
    </row>
    <row r="2771">
      <c r="A2771" s="89" t="str">
        <f>IFERROR(__xludf.DUMMYFUNCTION("""COMPUTED_VALUE"""),"Prospect")</f>
        <v>Prospect</v>
      </c>
      <c r="B2771" s="87" t="str">
        <f>IFERROR(__xludf.DUMMYFUNCTION("""COMPUTED_VALUE"""),"RSC007929")</f>
        <v>RSC007929</v>
      </c>
      <c r="C2771" s="73" t="str">
        <f>IFERROR(__xludf.DUMMYFUNCTION("""COMPUTED_VALUE"""),"Leaux Mane")</f>
        <v>Leaux Mane</v>
      </c>
      <c r="D2771" s="73" t="str">
        <f>IFERROR(__xludf.DUMMYFUNCTION("""COMPUTED_VALUE"""),"Blacktips")</f>
        <v>Blacktips</v>
      </c>
      <c r="E2771" s="82">
        <f>IFERROR(__xludf.DUMMYFUNCTION("""COMPUTED_VALUE"""),4.0)</f>
        <v>4</v>
      </c>
      <c r="F2771" s="82">
        <f>IFERROR(__xludf.DUMMYFUNCTION("""COMPUTED_VALUE"""),0.0)</f>
        <v>0</v>
      </c>
      <c r="G2771" s="86">
        <f>IFERROR(__xludf.DUMMYFUNCTION("""COMPUTED_VALUE"""),4.0)</f>
        <v>4</v>
      </c>
      <c r="H2771" s="86">
        <f>IFERROR(__xludf.DUMMYFUNCTION("""COMPUTED_VALUE"""),0.0)</f>
        <v>0</v>
      </c>
      <c r="I2771" s="86">
        <f>IFERROR(__xludf.DUMMYFUNCTION("""COMPUTED_VALUE"""),0.4)</f>
        <v>0.4</v>
      </c>
      <c r="J2771" s="82">
        <f>IFERROR(__xludf.DUMMYFUNCTION("""COMPUTED_VALUE"""),281.75)</f>
        <v>281.75</v>
      </c>
      <c r="K2771" s="82">
        <f>IFERROR(__xludf.DUMMYFUNCTION("""COMPUTED_VALUE"""),0.5)</f>
        <v>0.5</v>
      </c>
      <c r="L2771" s="82">
        <f>IFERROR(__xludf.DUMMYFUNCTION("""COMPUTED_VALUE"""),0.25)</f>
        <v>0.25</v>
      </c>
      <c r="M2771" s="82">
        <f>IFERROR(__xludf.DUMMYFUNCTION("""COMPUTED_VALUE"""),1.5)</f>
        <v>1.5</v>
      </c>
      <c r="N2771" s="82">
        <f>IFERROR(__xludf.DUMMYFUNCTION("""COMPUTED_VALUE"""),1.25)</f>
        <v>1.25</v>
      </c>
      <c r="O2771" s="82">
        <f>IFERROR(__xludf.DUMMYFUNCTION("""COMPUTED_VALUE"""),367.9166666666667)</f>
        <v>367.9166667</v>
      </c>
      <c r="P2771" s="82">
        <f>IFERROR(__xludf.DUMMYFUNCTION("""COMPUTED_VALUE"""),1.0833333333333333)</f>
        <v>1.083333333</v>
      </c>
      <c r="Q2771" s="82">
        <f>IFERROR(__xludf.DUMMYFUNCTION("""COMPUTED_VALUE"""),0.9166666666666666)</f>
        <v>0.9166666667</v>
      </c>
      <c r="R2771" s="82">
        <f>IFERROR(__xludf.DUMMYFUNCTION("""COMPUTED_VALUE"""),0.5833333333333334)</f>
        <v>0.5833333333</v>
      </c>
      <c r="S2771" s="82">
        <f>IFERROR(__xludf.DUMMYFUNCTION("""COMPUTED_VALUE"""),3.25)</f>
        <v>3.25</v>
      </c>
      <c r="T2771" s="82">
        <f>IFERROR(__xludf.DUMMYFUNCTION("""COMPUTED_VALUE"""),348.71406024531024)</f>
        <v>348.7140602</v>
      </c>
      <c r="U2771" s="82">
        <f>IFERROR(__xludf.DUMMYFUNCTION("""COMPUTED_VALUE"""),0.8121392496392495)</f>
        <v>0.8121392496</v>
      </c>
      <c r="V2771" s="82">
        <f>IFERROR(__xludf.DUMMYFUNCTION("""COMPUTED_VALUE"""),0.5985299422799423)</f>
        <v>0.5985299423</v>
      </c>
      <c r="W2771" s="82">
        <f>IFERROR(__xludf.DUMMYFUNCTION("""COMPUTED_VALUE"""),1.324179292929293)</f>
        <v>1.324179293</v>
      </c>
      <c r="X2771" s="82">
        <f>IFERROR(__xludf.DUMMYFUNCTION("""COMPUTED_VALUE"""),2.495986652236652)</f>
        <v>2.495986652</v>
      </c>
      <c r="Y2771" s="82">
        <f>IFERROR(__xludf.DUMMYFUNCTION("""COMPUTED_VALUE"""),338.59771825396825)</f>
        <v>338.5977183</v>
      </c>
      <c r="Z2771" s="82">
        <f>IFERROR(__xludf.DUMMYFUNCTION("""COMPUTED_VALUE"""),0.720448532948533)</f>
        <v>0.7204485329</v>
      </c>
      <c r="AA2771" s="82">
        <f>IFERROR(__xludf.DUMMYFUNCTION("""COMPUTED_VALUE"""),0.510431697931698)</f>
        <v>0.5104316979</v>
      </c>
      <c r="AB2771" s="82">
        <f>IFERROR(__xludf.DUMMYFUNCTION("""COMPUTED_VALUE"""),1.3095388407888406)</f>
        <v>1.309538841</v>
      </c>
      <c r="AC2771" s="82">
        <f>IFERROR(__xludf.DUMMYFUNCTION("""COMPUTED_VALUE"""),2.4131794131794138)</f>
        <v>2.413179413</v>
      </c>
      <c r="AD2771" s="82">
        <f>IFERROR(__xludf.DUMMYFUNCTION("""COMPUTED_VALUE"""),0.8321083835203842)</f>
        <v>0.8321083835</v>
      </c>
      <c r="AE2771" s="82">
        <f>IFERROR(__xludf.DUMMYFUNCTION("""COMPUTED_VALUE"""),0.6940121009805967)</f>
        <v>0.694012101</v>
      </c>
      <c r="AF2771" s="82">
        <f>IFERROR(__xludf.DUMMYFUNCTION("""COMPUTED_VALUE"""),0.48978149478767885)</f>
        <v>0.4897814948</v>
      </c>
      <c r="AG2771" s="82">
        <f>IFERROR(__xludf.DUMMYFUNCTION("""COMPUTED_VALUE"""),1.1454413975964464)</f>
        <v>1.145441398</v>
      </c>
      <c r="AH2771" s="82">
        <f>IFERROR(__xludf.DUMMYFUNCTION("""COMPUTED_VALUE"""),0.5179888379509666)</f>
        <v>0.517988838</v>
      </c>
      <c r="AI2771" s="82">
        <f>IFERROR(__xludf.DUMMYFUNCTION("""COMPUTED_VALUE"""),1.055066911864259)</f>
        <v>1.055066912</v>
      </c>
      <c r="AJ2771" s="82">
        <f>IFERROR(__xludf.DUMMYFUNCTION("""COMPUTED_VALUE"""),1.3339255968906163)</f>
        <v>1.333925597</v>
      </c>
      <c r="AK2771" s="82">
        <f>IFERROR(__xludf.DUMMYFUNCTION("""COMPUTED_VALUE"""),1.5315301740375198)</f>
        <v>1.531530174</v>
      </c>
      <c r="AL2771" s="82">
        <f>IFERROR(__xludf.DUMMYFUNCTION("""COMPUTED_VALUE"""),0.4405244338498212)</f>
        <v>0.4405244338</v>
      </c>
      <c r="AM2771" s="82">
        <f>IFERROR(__xludf.DUMMYFUNCTION("""COMPUTED_VALUE"""),1.3020902964716086)</f>
        <v>1.302090296</v>
      </c>
      <c r="AN2771" s="82">
        <f>IFERROR(__xludf.DUMMYFUNCTION("""COMPUTED_VALUE"""),0.870293378673923)</f>
        <v>0.8702933787</v>
      </c>
      <c r="AO2771" s="82">
        <f>IFERROR(__xludf.DUMMYFUNCTION("""COMPUTED_VALUE"""),0.6778985190581943)</f>
        <v>0.6778985191</v>
      </c>
      <c r="AP2771" s="82">
        <f>IFERROR(__xludf.DUMMYFUNCTION("""COMPUTED_VALUE"""),0.5066731708593164)</f>
        <v>0.5066731709</v>
      </c>
      <c r="AQ2771" s="82">
        <f>IFERROR(__xludf.DUMMYFUNCTION("""COMPUTED_VALUE"""),1.2436715313325148)</f>
        <v>1.243671531</v>
      </c>
      <c r="AR2771" s="82">
        <f>IFERROR(__xludf.DUMMYFUNCTION("""COMPUTED_VALUE"""),0.5306905426680107)</f>
        <v>0.5306905427</v>
      </c>
      <c r="AS2771" s="82">
        <f>IFERROR(__xludf.DUMMYFUNCTION("""COMPUTED_VALUE"""),7.0)</f>
        <v>7</v>
      </c>
      <c r="AT2771" s="82">
        <f>IFERROR(__xludf.DUMMYFUNCTION("""COMPUTED_VALUE"""),0.2724004993386534)</f>
        <v>0.2724004993</v>
      </c>
      <c r="AU2771" s="82">
        <f>IFERROR(__xludf.DUMMYFUNCTION("""COMPUTED_VALUE"""),0.5180589133042675)</f>
        <v>0.5180589133</v>
      </c>
      <c r="AV2771" s="82">
        <f>IFERROR(__xludf.DUMMYFUNCTION("""COMPUTED_VALUE"""),4.098077579878598)</f>
        <v>4.09807758</v>
      </c>
      <c r="AW2771" s="82">
        <f t="shared" si="1"/>
        <v>-30.1448681</v>
      </c>
      <c r="AX2771" s="83">
        <f t="array" ref="AX2771">IFERROR(DGET('SBV Import'!A:G,"SBV",{"RSC ID","Tier";B2771,A2771}))</f>
        <v>20.09165684</v>
      </c>
      <c r="AY2771" s="82">
        <f t="shared" si="2"/>
        <v>-8.636833367</v>
      </c>
      <c r="AZ2771" s="82">
        <v>21.508034737057347</v>
      </c>
      <c r="BA2771" s="84">
        <v>2700.0</v>
      </c>
      <c r="BB2771" s="84" t="b">
        <f>IFERROR(__xludf.DUMMYFUNCTION("iferror(if(A2771="""",,E2771&gt;=FILTER(Constants!$F$2:$F$10,Constants!$A$2:$A$10=A2771)))"),TRUE)</f>
        <v>1</v>
      </c>
    </row>
    <row r="2772">
      <c r="A2772" s="89" t="str">
        <f>IFERROR(__xludf.DUMMYFUNCTION("""COMPUTED_VALUE"""),"Prospect")</f>
        <v>Prospect</v>
      </c>
      <c r="B2772" s="87" t="str">
        <f>IFERROR(__xludf.DUMMYFUNCTION("""COMPUTED_VALUE"""),"RSC005252")</f>
        <v>RSC005252</v>
      </c>
      <c r="C2772" s="73" t="str">
        <f>IFERROR(__xludf.DUMMYFUNCTION("""COMPUTED_VALUE"""),"MysticMax07")</f>
        <v>MysticMax07</v>
      </c>
      <c r="D2772" s="73"/>
      <c r="E2772" s="82">
        <f>IFERROR(__xludf.DUMMYFUNCTION("""COMPUTED_VALUE"""),2.0)</f>
        <v>2</v>
      </c>
      <c r="F2772" s="82">
        <f>IFERROR(__xludf.DUMMYFUNCTION("""COMPUTED_VALUE"""),0.0)</f>
        <v>0</v>
      </c>
      <c r="G2772" s="86">
        <f>IFERROR(__xludf.DUMMYFUNCTION("""COMPUTED_VALUE"""),2.0)</f>
        <v>2</v>
      </c>
      <c r="H2772" s="86">
        <f>IFERROR(__xludf.DUMMYFUNCTION("""COMPUTED_VALUE"""),0.0)</f>
        <v>0</v>
      </c>
      <c r="I2772" s="86">
        <f>IFERROR(__xludf.DUMMYFUNCTION("""COMPUTED_VALUE"""),0.0)</f>
        <v>0</v>
      </c>
      <c r="J2772" s="82">
        <f>IFERROR(__xludf.DUMMYFUNCTION("""COMPUTED_VALUE"""),151.0)</f>
        <v>151</v>
      </c>
      <c r="K2772" s="82">
        <f>IFERROR(__xludf.DUMMYFUNCTION("""COMPUTED_VALUE"""),0.0)</f>
        <v>0</v>
      </c>
      <c r="L2772" s="82">
        <f>IFERROR(__xludf.DUMMYFUNCTION("""COMPUTED_VALUE"""),0.0)</f>
        <v>0</v>
      </c>
      <c r="M2772" s="82">
        <f>IFERROR(__xludf.DUMMYFUNCTION("""COMPUTED_VALUE"""),0.5)</f>
        <v>0.5</v>
      </c>
      <c r="N2772" s="82">
        <f>IFERROR(__xludf.DUMMYFUNCTION("""COMPUTED_VALUE"""),1.0)</f>
        <v>1</v>
      </c>
      <c r="O2772" s="82">
        <f>IFERROR(__xludf.DUMMYFUNCTION("""COMPUTED_VALUE"""),347.33333333333337)</f>
        <v>347.3333333</v>
      </c>
      <c r="P2772" s="82">
        <f>IFERROR(__xludf.DUMMYFUNCTION("""COMPUTED_VALUE"""),0.8333333333333333)</f>
        <v>0.8333333333</v>
      </c>
      <c r="Q2772" s="82">
        <f>IFERROR(__xludf.DUMMYFUNCTION("""COMPUTED_VALUE"""),0.6666666666666666)</f>
        <v>0.6666666667</v>
      </c>
      <c r="R2772" s="82">
        <f>IFERROR(__xludf.DUMMYFUNCTION("""COMPUTED_VALUE"""),1.1666666666666665)</f>
        <v>1.166666667</v>
      </c>
      <c r="S2772" s="82">
        <f>IFERROR(__xludf.DUMMYFUNCTION("""COMPUTED_VALUE"""),2.0)</f>
        <v>2</v>
      </c>
      <c r="T2772" s="82">
        <f>IFERROR(__xludf.DUMMYFUNCTION("""COMPUTED_VALUE"""),366.0266203703704)</f>
        <v>366.0266204</v>
      </c>
      <c r="U2772" s="82">
        <f>IFERROR(__xludf.DUMMYFUNCTION("""COMPUTED_VALUE"""),0.9664351851851851)</f>
        <v>0.9664351852</v>
      </c>
      <c r="V2772" s="82">
        <f>IFERROR(__xludf.DUMMYFUNCTION("""COMPUTED_VALUE"""),0.6412037037037037)</f>
        <v>0.6412037037</v>
      </c>
      <c r="W2772" s="82">
        <f>IFERROR(__xludf.DUMMYFUNCTION("""COMPUTED_VALUE"""),1.1261574074074074)</f>
        <v>1.126157407</v>
      </c>
      <c r="X2772" s="82">
        <f>IFERROR(__xludf.DUMMYFUNCTION("""COMPUTED_VALUE"""),2.5555555555555554)</f>
        <v>2.555555556</v>
      </c>
      <c r="Y2772" s="82">
        <f>IFERROR(__xludf.DUMMYFUNCTION("""COMPUTED_VALUE"""),310.48032407407413)</f>
        <v>310.4803241</v>
      </c>
      <c r="Z2772" s="82">
        <f>IFERROR(__xludf.DUMMYFUNCTION("""COMPUTED_VALUE"""),0.6300154320987655)</f>
        <v>0.6300154321</v>
      </c>
      <c r="AA2772" s="82">
        <f>IFERROR(__xludf.DUMMYFUNCTION("""COMPUTED_VALUE"""),0.4537037037037037)</f>
        <v>0.4537037037</v>
      </c>
      <c r="AB2772" s="82">
        <f>IFERROR(__xludf.DUMMYFUNCTION("""COMPUTED_VALUE"""),1.1620370370370368)</f>
        <v>1.162037037</v>
      </c>
      <c r="AC2772" s="82">
        <f>IFERROR(__xludf.DUMMYFUNCTION("""COMPUTED_VALUE"""),2.1504629629629632)</f>
        <v>2.150462963</v>
      </c>
      <c r="AD2772" s="82">
        <f>IFERROR(__xludf.DUMMYFUNCTION("""COMPUTED_VALUE"""),0.4863432182065571)</f>
        <v>0.4863432182</v>
      </c>
      <c r="AE2772" s="82">
        <f>IFERROR(__xludf.DUMMYFUNCTION("""COMPUTED_VALUE"""),0.0)</f>
        <v>0</v>
      </c>
      <c r="AF2772" s="82">
        <f>IFERROR(__xludf.DUMMYFUNCTION("""COMPUTED_VALUE"""),0.0)</f>
        <v>0</v>
      </c>
      <c r="AG2772" s="82">
        <f>IFERROR(__xludf.DUMMYFUNCTION("""COMPUTED_VALUE"""),0.4302788844621515)</f>
        <v>0.4302788845</v>
      </c>
      <c r="AH2772" s="82">
        <f>IFERROR(__xludf.DUMMYFUNCTION("""COMPUTED_VALUE"""),0.46501614639397193)</f>
        <v>0.4650161464</v>
      </c>
      <c r="AI2772" s="82">
        <f>IFERROR(__xludf.DUMMYFUNCTION("""COMPUTED_VALUE"""),0.9489291598023065)</f>
        <v>0.9489291598</v>
      </c>
      <c r="AJ2772" s="82">
        <f>IFERROR(__xludf.DUMMYFUNCTION("""COMPUTED_VALUE"""),0.8622754491017964)</f>
        <v>0.8622754491</v>
      </c>
      <c r="AK2772" s="82">
        <f>IFERROR(__xludf.DUMMYFUNCTION("""COMPUTED_VALUE"""),1.03971119133574)</f>
        <v>1.039711191</v>
      </c>
      <c r="AL2772" s="82">
        <f>IFERROR(__xludf.DUMMYFUNCTION("""COMPUTED_VALUE"""),1.0359712230215825)</f>
        <v>1.035971223</v>
      </c>
      <c r="AM2772" s="82">
        <f>IFERROR(__xludf.DUMMYFUNCTION("""COMPUTED_VALUE"""),0.782608695652174)</f>
        <v>0.7826086957</v>
      </c>
      <c r="AN2772" s="82">
        <f>IFERROR(__xludf.DUMMYFUNCTION("""COMPUTED_VALUE"""),0.466421651037311)</f>
        <v>0.466421651</v>
      </c>
      <c r="AO2772" s="82">
        <f>IFERROR(__xludf.DUMMYFUNCTION("""COMPUTED_VALUE"""),0.0)</f>
        <v>0</v>
      </c>
      <c r="AP2772" s="82">
        <f>IFERROR(__xludf.DUMMYFUNCTION("""COMPUTED_VALUE"""),0.0)</f>
        <v>0</v>
      </c>
      <c r="AQ2772" s="82">
        <f>IFERROR(__xludf.DUMMYFUNCTION("""COMPUTED_VALUE"""),0.4145571771108383)</f>
        <v>0.4145571771</v>
      </c>
      <c r="AR2772" s="82">
        <f>IFERROR(__xludf.DUMMYFUNCTION("""COMPUTED_VALUE"""),0.4245524341344086)</f>
        <v>0.4245524341</v>
      </c>
      <c r="AS2772" s="82">
        <f>IFERROR(__xludf.DUMMYFUNCTION("""COMPUTED_VALUE"""),2.0)</f>
        <v>2</v>
      </c>
      <c r="AT2772" s="82">
        <f>IFERROR(__xludf.DUMMYFUNCTION("""COMPUTED_VALUE"""),0.212027641721307)</f>
        <v>0.2120276417</v>
      </c>
      <c r="AU2772" s="82">
        <f>IFERROR(__xludf.DUMMYFUNCTION("""COMPUTED_VALUE"""),-0.38681031281772404)</f>
        <v>-0.3868103128</v>
      </c>
      <c r="AV2772" s="82">
        <f>IFERROR(__xludf.DUMMYFUNCTION("""COMPUTED_VALUE"""),-24.6877984876444)</f>
        <v>-24.68779849</v>
      </c>
      <c r="AW2772" s="82">
        <f t="shared" si="1"/>
        <v>-711.0901042</v>
      </c>
      <c r="AX2772" s="83">
        <f t="array" ref="AX2772">IFERROR(DGET('SBV Import'!A:G,"SBV",{"RSC ID","Tier";B2772,A2772}))</f>
        <v>-7.801763444</v>
      </c>
      <c r="AY2772" s="82">
        <f t="shared" si="2"/>
        <v>-96.27513224</v>
      </c>
      <c r="AZ2772" s="82">
        <v>614.8149719387251</v>
      </c>
      <c r="BA2772" s="84">
        <v>2700.0</v>
      </c>
      <c r="BB2772" s="84" t="b">
        <f>IFERROR(__xludf.DUMMYFUNCTION("iferror(if(A2772="""",,E2772&gt;=FILTER(Constants!$F$2:$F$10,Constants!$A$2:$A$10=A2772)))"),TRUE)</f>
        <v>1</v>
      </c>
    </row>
    <row r="2773">
      <c r="A2773" s="89" t="str">
        <f>IFERROR(__xludf.DUMMYFUNCTION("""COMPUTED_VALUE"""),"Prospect")</f>
        <v>Prospect</v>
      </c>
      <c r="B2773" s="87" t="str">
        <f>IFERROR(__xludf.DUMMYFUNCTION("""COMPUTED_VALUE"""),"RSC008002")</f>
        <v>RSC008002</v>
      </c>
      <c r="C2773" s="73" t="str">
        <f>IFERROR(__xludf.DUMMYFUNCTION("""COMPUTED_VALUE"""),"majorpilots")</f>
        <v>majorpilots</v>
      </c>
      <c r="D2773" s="73"/>
      <c r="E2773" s="82">
        <f>IFERROR(__xludf.DUMMYFUNCTION("""COMPUTED_VALUE"""),4.0)</f>
        <v>4</v>
      </c>
      <c r="F2773" s="82">
        <f>IFERROR(__xludf.DUMMYFUNCTION("""COMPUTED_VALUE"""),1.0)</f>
        <v>1</v>
      </c>
      <c r="G2773" s="86">
        <f>IFERROR(__xludf.DUMMYFUNCTION("""COMPUTED_VALUE"""),3.0)</f>
        <v>3</v>
      </c>
      <c r="H2773" s="86">
        <f>IFERROR(__xludf.DUMMYFUNCTION("""COMPUTED_VALUE"""),0.25)</f>
        <v>0.25</v>
      </c>
      <c r="I2773" s="86">
        <f>IFERROR(__xludf.DUMMYFUNCTION("""COMPUTED_VALUE"""),0.0)</f>
        <v>0</v>
      </c>
      <c r="J2773" s="82">
        <f>IFERROR(__xludf.DUMMYFUNCTION("""COMPUTED_VALUE"""),104.5)</f>
        <v>104.5</v>
      </c>
      <c r="K2773" s="82">
        <f>IFERROR(__xludf.DUMMYFUNCTION("""COMPUTED_VALUE"""),0.0)</f>
        <v>0</v>
      </c>
      <c r="L2773" s="82">
        <f>IFERROR(__xludf.DUMMYFUNCTION("""COMPUTED_VALUE"""),0.25)</f>
        <v>0.25</v>
      </c>
      <c r="M2773" s="82">
        <f>IFERROR(__xludf.DUMMYFUNCTION("""COMPUTED_VALUE"""),0.25)</f>
        <v>0.25</v>
      </c>
      <c r="N2773" s="82">
        <f>IFERROR(__xludf.DUMMYFUNCTION("""COMPUTED_VALUE"""),0.5)</f>
        <v>0.5</v>
      </c>
      <c r="O2773" s="82">
        <f>IFERROR(__xludf.DUMMYFUNCTION("""COMPUTED_VALUE"""),398.50000000000006)</f>
        <v>398.5</v>
      </c>
      <c r="P2773" s="82">
        <f>IFERROR(__xludf.DUMMYFUNCTION("""COMPUTED_VALUE"""),1.0833333333333333)</f>
        <v>1.083333333</v>
      </c>
      <c r="Q2773" s="82">
        <f>IFERROR(__xludf.DUMMYFUNCTION("""COMPUTED_VALUE"""),0.8333333333333333)</f>
        <v>0.8333333333</v>
      </c>
      <c r="R2773" s="82">
        <f>IFERROR(__xludf.DUMMYFUNCTION("""COMPUTED_VALUE"""),0.9166666666666665)</f>
        <v>0.9166666667</v>
      </c>
      <c r="S2773" s="82">
        <f>IFERROR(__xludf.DUMMYFUNCTION("""COMPUTED_VALUE"""),4.25)</f>
        <v>4.25</v>
      </c>
      <c r="T2773" s="82">
        <f>IFERROR(__xludf.DUMMYFUNCTION("""COMPUTED_VALUE"""),345.0904761904762)</f>
        <v>345.0904762</v>
      </c>
      <c r="U2773" s="82">
        <f>IFERROR(__xludf.DUMMYFUNCTION("""COMPUTED_VALUE"""),0.8916305916305918)</f>
        <v>0.8916305916</v>
      </c>
      <c r="V2773" s="82">
        <f>IFERROR(__xludf.DUMMYFUNCTION("""COMPUTED_VALUE"""),0.5978354978354977)</f>
        <v>0.5978354978</v>
      </c>
      <c r="W2773" s="82">
        <f>IFERROR(__xludf.DUMMYFUNCTION("""COMPUTED_VALUE"""),0.9585858585858587)</f>
        <v>0.9585858586</v>
      </c>
      <c r="X2773" s="82">
        <f>IFERROR(__xludf.DUMMYFUNCTION("""COMPUTED_VALUE"""),2.9267316017316016)</f>
        <v>2.926731602</v>
      </c>
      <c r="Y2773" s="82">
        <f>IFERROR(__xludf.DUMMYFUNCTION("""COMPUTED_VALUE"""),322.3869769119769)</f>
        <v>322.3869769</v>
      </c>
      <c r="Z2773" s="82">
        <f>IFERROR(__xludf.DUMMYFUNCTION("""COMPUTED_VALUE"""),0.6922919672919673)</f>
        <v>0.6922919673</v>
      </c>
      <c r="AA2773" s="82">
        <f>IFERROR(__xludf.DUMMYFUNCTION("""COMPUTED_VALUE"""),0.4175324675324675)</f>
        <v>0.4175324675</v>
      </c>
      <c r="AB2773" s="82">
        <f>IFERROR(__xludf.DUMMYFUNCTION("""COMPUTED_VALUE"""),1.3813852813852812)</f>
        <v>1.381385281</v>
      </c>
      <c r="AC2773" s="82">
        <f>IFERROR(__xludf.DUMMYFUNCTION("""COMPUTED_VALUE"""),1.9980399230399224)</f>
        <v>1.998039923</v>
      </c>
      <c r="AD2773" s="82">
        <f>IFERROR(__xludf.DUMMYFUNCTION("""COMPUTED_VALUE"""),0.32414460720766713)</f>
        <v>0.3241446072</v>
      </c>
      <c r="AE2773" s="82">
        <f>IFERROR(__xludf.DUMMYFUNCTION("""COMPUTED_VALUE"""),0.0)</f>
        <v>0</v>
      </c>
      <c r="AF2773" s="82">
        <f>IFERROR(__xludf.DUMMYFUNCTION("""COMPUTED_VALUE"""),0.5987558320373251)</f>
        <v>0.598755832</v>
      </c>
      <c r="AG2773" s="82">
        <f>IFERROR(__xludf.DUMMYFUNCTION("""COMPUTED_VALUE"""),0.1809777499216547)</f>
        <v>0.1809777499</v>
      </c>
      <c r="AH2773" s="82">
        <f>IFERROR(__xludf.DUMMYFUNCTION("""COMPUTED_VALUE"""),0.2502452499744219)</f>
        <v>0.25024525</v>
      </c>
      <c r="AI2773" s="82">
        <f>IFERROR(__xludf.DUMMYFUNCTION("""COMPUTED_VALUE"""),1.1547696256330295)</f>
        <v>1.154769626</v>
      </c>
      <c r="AJ2773" s="82">
        <f>IFERROR(__xludf.DUMMYFUNCTION("""COMPUTED_VALUE"""),1.2150024275772775)</f>
        <v>1.215002428</v>
      </c>
      <c r="AK2773" s="82">
        <f>IFERROR(__xludf.DUMMYFUNCTION("""COMPUTED_VALUE"""),1.3939174511223753)</f>
        <v>1.393917451</v>
      </c>
      <c r="AL2773" s="82">
        <f>IFERROR(__xludf.DUMMYFUNCTION("""COMPUTED_VALUE"""),0.9562697576396204)</f>
        <v>0.9562697576</v>
      </c>
      <c r="AM2773" s="82">
        <f>IFERROR(__xludf.DUMMYFUNCTION("""COMPUTED_VALUE"""),1.4521317901120439)</f>
        <v>1.45213179</v>
      </c>
      <c r="AN2773" s="82">
        <f>IFERROR(__xludf.DUMMYFUNCTION("""COMPUTED_VALUE"""),0.32278849359866885)</f>
        <v>0.3227884936</v>
      </c>
      <c r="AO2773" s="82">
        <f>IFERROR(__xludf.DUMMYFUNCTION("""COMPUTED_VALUE"""),0.0)</f>
        <v>0</v>
      </c>
      <c r="AP2773" s="82">
        <f>IFERROR(__xludf.DUMMYFUNCTION("""COMPUTED_VALUE"""),0.5066731708593164)</f>
        <v>0.5066731709</v>
      </c>
      <c r="AQ2773" s="82">
        <f>IFERROR(__xludf.DUMMYFUNCTION("""COMPUTED_VALUE"""),0.20727858855541914)</f>
        <v>0.2072785886</v>
      </c>
      <c r="AR2773" s="82">
        <f>IFERROR(__xludf.DUMMYFUNCTION("""COMPUTED_VALUE"""),0.2122762170672043)</f>
        <v>0.2122762171</v>
      </c>
      <c r="AS2773" s="82">
        <f>IFERROR(__xludf.DUMMYFUNCTION("""COMPUTED_VALUE"""),7.0)</f>
        <v>7</v>
      </c>
      <c r="AT2773" s="82">
        <f>IFERROR(__xludf.DUMMYFUNCTION("""COMPUTED_VALUE"""),0.2724004993386534)</f>
        <v>0.2724004993</v>
      </c>
      <c r="AU2773" s="82">
        <f>IFERROR(__xludf.DUMMYFUNCTION("""COMPUTED_VALUE"""),-0.7597072327530349)</f>
        <v>-0.7597072328</v>
      </c>
      <c r="AV2773" s="82">
        <f>IFERROR(__xludf.DUMMYFUNCTION("""COMPUTED_VALUE"""),-36.550467935717506)</f>
        <v>-36.55046794</v>
      </c>
      <c r="AW2773" s="82">
        <f t="shared" si="1"/>
        <v>-3730.369855</v>
      </c>
      <c r="AX2773" s="83">
        <f t="array" ref="AX2773">IFERROR(DGET('SBV Import'!A:G,"SBV",{"RSC ID","Tier";B2773,A2773}))</f>
        <v>-43.49416766</v>
      </c>
      <c r="AY2773" s="82">
        <f t="shared" si="2"/>
        <v>-10858.28651</v>
      </c>
      <c r="AZ2773" s="82">
        <v>7127.916657773852</v>
      </c>
      <c r="BA2773" s="84">
        <v>2700.0</v>
      </c>
      <c r="BB2773" s="84" t="b">
        <f>IFERROR(__xludf.DUMMYFUNCTION("iferror(if(A2773="""",,E2773&gt;=FILTER(Constants!$F$2:$F$10,Constants!$A$2:$A$10=A2773)))"),TRUE)</f>
        <v>1</v>
      </c>
    </row>
    <row r="2774">
      <c r="A2774" s="89"/>
      <c r="B2774" s="87"/>
      <c r="C2774" s="73"/>
      <c r="D2774" s="73"/>
      <c r="E2774" s="82"/>
      <c r="F2774" s="82"/>
      <c r="G2774" s="86"/>
      <c r="H2774" s="86"/>
      <c r="I2774" s="86"/>
      <c r="J2774" s="82"/>
      <c r="K2774" s="82"/>
      <c r="L2774" s="82"/>
      <c r="M2774" s="82"/>
      <c r="N2774" s="82"/>
      <c r="O2774" s="82"/>
      <c r="P2774" s="82"/>
      <c r="Q2774" s="82"/>
      <c r="R2774" s="82"/>
      <c r="S2774" s="82"/>
      <c r="T2774" s="82"/>
      <c r="U2774" s="82"/>
      <c r="V2774" s="82"/>
      <c r="W2774" s="82"/>
      <c r="X2774" s="82"/>
      <c r="Y2774" s="82"/>
      <c r="Z2774" s="82"/>
      <c r="AA2774" s="82"/>
      <c r="AB2774" s="82"/>
      <c r="AC2774" s="82"/>
      <c r="AD2774" s="82"/>
      <c r="AE2774" s="82"/>
      <c r="AF2774" s="82"/>
      <c r="AG2774" s="82"/>
      <c r="AH2774" s="82"/>
      <c r="AI2774" s="82"/>
      <c r="AJ2774" s="82"/>
      <c r="AK2774" s="82"/>
      <c r="AL2774" s="82"/>
      <c r="AM2774" s="82"/>
      <c r="AN2774" s="82">
        <f>IFERROR(__xludf.DUMMYFUNCTION("""COMPUTED_VALUE"""),0.0)</f>
        <v>0</v>
      </c>
      <c r="AO2774" s="82">
        <f>IFERROR(__xludf.DUMMYFUNCTION("""COMPUTED_VALUE"""),0.0)</f>
        <v>0</v>
      </c>
      <c r="AP2774" s="82">
        <f>IFERROR(__xludf.DUMMYFUNCTION("""COMPUTED_VALUE"""),0.0)</f>
        <v>0</v>
      </c>
      <c r="AQ2774" s="82">
        <f>IFERROR(__xludf.DUMMYFUNCTION("""COMPUTED_VALUE"""),0.0)</f>
        <v>0</v>
      </c>
      <c r="AR2774" s="82">
        <f>IFERROR(__xludf.DUMMYFUNCTION("""COMPUTED_VALUE"""),0.0)</f>
        <v>0</v>
      </c>
      <c r="AS2774" s="82"/>
      <c r="AT2774" s="82">
        <f>IFERROR(__xludf.DUMMYFUNCTION("""COMPUTED_VALUE"""),0.0)</f>
        <v>0</v>
      </c>
      <c r="AU2774" s="82"/>
      <c r="AV2774" s="82"/>
      <c r="AW2774" s="82" t="str">
        <f t="shared" si="1"/>
        <v/>
      </c>
      <c r="AX2774" s="83" t="str">
        <f t="array" ref="AX2774">IFERROR(DGET('SBV Import'!A:G,"SBV",{"RSC ID","Tier";B2774,A2774}))</f>
        <v/>
      </c>
      <c r="AY2774" s="82" t="str">
        <f t="shared" si="2"/>
        <v/>
      </c>
      <c r="AZ2774" s="82"/>
      <c r="BA2774" s="84" t="s">
        <v>152</v>
      </c>
      <c r="BB2774" s="84" t="str">
        <f>IFERROR(__xludf.DUMMYFUNCTION("iferror(if(A2774="""",,E2774&gt;=FILTER(Constants!$F$2:$F$10,Constants!$A$2:$A$10=A2774)))"),"")</f>
        <v/>
      </c>
    </row>
    <row r="2775">
      <c r="A2775" s="89"/>
      <c r="B2775" s="87"/>
      <c r="C2775" s="73"/>
      <c r="D2775" s="73"/>
      <c r="E2775" s="82"/>
      <c r="F2775" s="82"/>
      <c r="G2775" s="86"/>
      <c r="H2775" s="86"/>
      <c r="I2775" s="86"/>
      <c r="J2775" s="82"/>
      <c r="K2775" s="82"/>
      <c r="L2775" s="82"/>
      <c r="M2775" s="82"/>
      <c r="N2775" s="82"/>
      <c r="O2775" s="82"/>
      <c r="P2775" s="82"/>
      <c r="Q2775" s="82"/>
      <c r="R2775" s="82"/>
      <c r="S2775" s="82"/>
      <c r="T2775" s="82"/>
      <c r="U2775" s="82"/>
      <c r="V2775" s="82"/>
      <c r="W2775" s="82"/>
      <c r="X2775" s="82"/>
      <c r="Y2775" s="82"/>
      <c r="Z2775" s="82"/>
      <c r="AA2775" s="82"/>
      <c r="AB2775" s="82"/>
      <c r="AC2775" s="82"/>
      <c r="AD2775" s="82"/>
      <c r="AE2775" s="82"/>
      <c r="AF2775" s="82"/>
      <c r="AG2775" s="82"/>
      <c r="AH2775" s="82"/>
      <c r="AI2775" s="82"/>
      <c r="AJ2775" s="82"/>
      <c r="AK2775" s="82"/>
      <c r="AL2775" s="82"/>
      <c r="AM2775" s="82"/>
      <c r="AN2775" s="82">
        <f>IFERROR(__xludf.DUMMYFUNCTION("""COMPUTED_VALUE"""),0.0)</f>
        <v>0</v>
      </c>
      <c r="AO2775" s="82">
        <f>IFERROR(__xludf.DUMMYFUNCTION("""COMPUTED_VALUE"""),0.0)</f>
        <v>0</v>
      </c>
      <c r="AP2775" s="82">
        <f>IFERROR(__xludf.DUMMYFUNCTION("""COMPUTED_VALUE"""),0.0)</f>
        <v>0</v>
      </c>
      <c r="AQ2775" s="82">
        <f>IFERROR(__xludf.DUMMYFUNCTION("""COMPUTED_VALUE"""),0.0)</f>
        <v>0</v>
      </c>
      <c r="AR2775" s="82">
        <f>IFERROR(__xludf.DUMMYFUNCTION("""COMPUTED_VALUE"""),0.0)</f>
        <v>0</v>
      </c>
      <c r="AS2775" s="82"/>
      <c r="AT2775" s="82">
        <f>IFERROR(__xludf.DUMMYFUNCTION("""COMPUTED_VALUE"""),0.0)</f>
        <v>0</v>
      </c>
      <c r="AU2775" s="82"/>
      <c r="AV2775" s="82"/>
      <c r="AW2775" s="82" t="str">
        <f t="shared" si="1"/>
        <v/>
      </c>
      <c r="AX2775" s="83" t="str">
        <f t="array" ref="AX2775">IFERROR(DGET('SBV Import'!A:G,"SBV",{"RSC ID","Tier";B2775,A2775}))</f>
        <v/>
      </c>
      <c r="AY2775" s="82" t="str">
        <f t="shared" si="2"/>
        <v/>
      </c>
      <c r="AZ2775" s="82"/>
      <c r="BA2775" s="84" t="s">
        <v>152</v>
      </c>
      <c r="BB2775" s="84" t="str">
        <f>IFERROR(__xludf.DUMMYFUNCTION("iferror(if(A2775="""",,E2775&gt;=FILTER(Constants!$F$2:$F$10,Constants!$A$2:$A$10=A2775)))"),"")</f>
        <v/>
      </c>
    </row>
    <row r="2776">
      <c r="A2776" s="89"/>
      <c r="B2776" s="87"/>
      <c r="C2776" s="73"/>
      <c r="D2776" s="73"/>
      <c r="E2776" s="82"/>
      <c r="F2776" s="82"/>
      <c r="G2776" s="86"/>
      <c r="H2776" s="86"/>
      <c r="I2776" s="86"/>
      <c r="J2776" s="82"/>
      <c r="K2776" s="82"/>
      <c r="L2776" s="82"/>
      <c r="M2776" s="82"/>
      <c r="N2776" s="82"/>
      <c r="O2776" s="82"/>
      <c r="P2776" s="82"/>
      <c r="Q2776" s="82"/>
      <c r="R2776" s="82"/>
      <c r="S2776" s="82"/>
      <c r="T2776" s="82"/>
      <c r="U2776" s="82"/>
      <c r="V2776" s="82"/>
      <c r="W2776" s="82"/>
      <c r="X2776" s="82"/>
      <c r="Y2776" s="82"/>
      <c r="Z2776" s="82"/>
      <c r="AA2776" s="82"/>
      <c r="AB2776" s="82"/>
      <c r="AC2776" s="82"/>
      <c r="AD2776" s="82"/>
      <c r="AE2776" s="82"/>
      <c r="AF2776" s="82"/>
      <c r="AG2776" s="82"/>
      <c r="AH2776" s="82"/>
      <c r="AI2776" s="82"/>
      <c r="AJ2776" s="82"/>
      <c r="AK2776" s="82"/>
      <c r="AL2776" s="82"/>
      <c r="AM2776" s="82"/>
      <c r="AN2776" s="82">
        <f>IFERROR(__xludf.DUMMYFUNCTION("""COMPUTED_VALUE"""),0.0)</f>
        <v>0</v>
      </c>
      <c r="AO2776" s="82">
        <f>IFERROR(__xludf.DUMMYFUNCTION("""COMPUTED_VALUE"""),0.0)</f>
        <v>0</v>
      </c>
      <c r="AP2776" s="82">
        <f>IFERROR(__xludf.DUMMYFUNCTION("""COMPUTED_VALUE"""),0.0)</f>
        <v>0</v>
      </c>
      <c r="AQ2776" s="82">
        <f>IFERROR(__xludf.DUMMYFUNCTION("""COMPUTED_VALUE"""),0.0)</f>
        <v>0</v>
      </c>
      <c r="AR2776" s="82">
        <f>IFERROR(__xludf.DUMMYFUNCTION("""COMPUTED_VALUE"""),0.0)</f>
        <v>0</v>
      </c>
      <c r="AS2776" s="82"/>
      <c r="AT2776" s="82">
        <f>IFERROR(__xludf.DUMMYFUNCTION("""COMPUTED_VALUE"""),0.0)</f>
        <v>0</v>
      </c>
      <c r="AU2776" s="82"/>
      <c r="AV2776" s="82"/>
      <c r="AW2776" s="82" t="str">
        <f t="shared" si="1"/>
        <v/>
      </c>
      <c r="AX2776" s="83" t="str">
        <f t="array" ref="AX2776">IFERROR(DGET('SBV Import'!A:G,"SBV",{"RSC ID","Tier";B2776,A2776}))</f>
        <v/>
      </c>
      <c r="AY2776" s="82" t="str">
        <f t="shared" si="2"/>
        <v/>
      </c>
      <c r="AZ2776" s="82"/>
      <c r="BA2776" s="84" t="s">
        <v>152</v>
      </c>
      <c r="BB2776" s="84" t="str">
        <f>IFERROR(__xludf.DUMMYFUNCTION("iferror(if(A2776="""",,E2776&gt;=FILTER(Constants!$F$2:$F$10,Constants!$A$2:$A$10=A2776)))"),"")</f>
        <v/>
      </c>
    </row>
    <row r="2777">
      <c r="A2777" s="89"/>
      <c r="B2777" s="87"/>
      <c r="C2777" s="73"/>
      <c r="D2777" s="73"/>
      <c r="E2777" s="82"/>
      <c r="F2777" s="82"/>
      <c r="G2777" s="86"/>
      <c r="H2777" s="86"/>
      <c r="I2777" s="86"/>
      <c r="J2777" s="82"/>
      <c r="K2777" s="82"/>
      <c r="L2777" s="82"/>
      <c r="M2777" s="82"/>
      <c r="N2777" s="82"/>
      <c r="O2777" s="82"/>
      <c r="P2777" s="82"/>
      <c r="Q2777" s="82"/>
      <c r="R2777" s="82"/>
      <c r="S2777" s="82"/>
      <c r="T2777" s="82"/>
      <c r="U2777" s="82"/>
      <c r="V2777" s="82"/>
      <c r="W2777" s="82"/>
      <c r="X2777" s="82"/>
      <c r="Y2777" s="82"/>
      <c r="Z2777" s="82"/>
      <c r="AA2777" s="82"/>
      <c r="AB2777" s="82"/>
      <c r="AC2777" s="82"/>
      <c r="AD2777" s="82"/>
      <c r="AE2777" s="82"/>
      <c r="AF2777" s="82"/>
      <c r="AG2777" s="82"/>
      <c r="AH2777" s="82"/>
      <c r="AI2777" s="82"/>
      <c r="AJ2777" s="82"/>
      <c r="AK2777" s="82"/>
      <c r="AL2777" s="82"/>
      <c r="AM2777" s="82"/>
      <c r="AN2777" s="82">
        <f>IFERROR(__xludf.DUMMYFUNCTION("""COMPUTED_VALUE"""),0.0)</f>
        <v>0</v>
      </c>
      <c r="AO2777" s="82">
        <f>IFERROR(__xludf.DUMMYFUNCTION("""COMPUTED_VALUE"""),0.0)</f>
        <v>0</v>
      </c>
      <c r="AP2777" s="82">
        <f>IFERROR(__xludf.DUMMYFUNCTION("""COMPUTED_VALUE"""),0.0)</f>
        <v>0</v>
      </c>
      <c r="AQ2777" s="82">
        <f>IFERROR(__xludf.DUMMYFUNCTION("""COMPUTED_VALUE"""),0.0)</f>
        <v>0</v>
      </c>
      <c r="AR2777" s="82">
        <f>IFERROR(__xludf.DUMMYFUNCTION("""COMPUTED_VALUE"""),0.0)</f>
        <v>0</v>
      </c>
      <c r="AS2777" s="82"/>
      <c r="AT2777" s="82">
        <f>IFERROR(__xludf.DUMMYFUNCTION("""COMPUTED_VALUE"""),0.0)</f>
        <v>0</v>
      </c>
      <c r="AU2777" s="82"/>
      <c r="AV2777" s="82"/>
      <c r="AW2777" s="82" t="str">
        <f t="shared" si="1"/>
        <v/>
      </c>
      <c r="AX2777" s="83" t="str">
        <f t="array" ref="AX2777">IFERROR(DGET('SBV Import'!A:G,"SBV",{"RSC ID","Tier";B2777,A2777}))</f>
        <v/>
      </c>
      <c r="AY2777" s="82" t="str">
        <f t="shared" si="2"/>
        <v/>
      </c>
      <c r="AZ2777" s="82"/>
      <c r="BA2777" s="84" t="s">
        <v>152</v>
      </c>
      <c r="BB2777" s="84" t="str">
        <f>IFERROR(__xludf.DUMMYFUNCTION("iferror(if(A2777="""",,E2777&gt;=FILTER(Constants!$F$2:$F$10,Constants!$A$2:$A$10=A2777)))"),"")</f>
        <v/>
      </c>
    </row>
    <row r="2778">
      <c r="A2778" s="89"/>
      <c r="B2778" s="87"/>
      <c r="C2778" s="73"/>
      <c r="D2778" s="73"/>
      <c r="E2778" s="82"/>
      <c r="F2778" s="82"/>
      <c r="G2778" s="86"/>
      <c r="H2778" s="86"/>
      <c r="I2778" s="86"/>
      <c r="J2778" s="82"/>
      <c r="K2778" s="82"/>
      <c r="L2778" s="82"/>
      <c r="M2778" s="82"/>
      <c r="N2778" s="82"/>
      <c r="O2778" s="82"/>
      <c r="P2778" s="82"/>
      <c r="Q2778" s="82"/>
      <c r="R2778" s="82"/>
      <c r="S2778" s="82"/>
      <c r="T2778" s="82"/>
      <c r="U2778" s="82"/>
      <c r="V2778" s="82"/>
      <c r="W2778" s="82"/>
      <c r="X2778" s="82"/>
      <c r="Y2778" s="82"/>
      <c r="Z2778" s="82"/>
      <c r="AA2778" s="82"/>
      <c r="AB2778" s="82"/>
      <c r="AC2778" s="82"/>
      <c r="AD2778" s="82"/>
      <c r="AE2778" s="82"/>
      <c r="AF2778" s="82"/>
      <c r="AG2778" s="82"/>
      <c r="AH2778" s="82"/>
      <c r="AI2778" s="82"/>
      <c r="AJ2778" s="82"/>
      <c r="AK2778" s="82"/>
      <c r="AL2778" s="82"/>
      <c r="AM2778" s="82"/>
      <c r="AN2778" s="82">
        <f>IFERROR(__xludf.DUMMYFUNCTION("""COMPUTED_VALUE"""),0.0)</f>
        <v>0</v>
      </c>
      <c r="AO2778" s="82">
        <f>IFERROR(__xludf.DUMMYFUNCTION("""COMPUTED_VALUE"""),0.0)</f>
        <v>0</v>
      </c>
      <c r="AP2778" s="82">
        <f>IFERROR(__xludf.DUMMYFUNCTION("""COMPUTED_VALUE"""),0.0)</f>
        <v>0</v>
      </c>
      <c r="AQ2778" s="82">
        <f>IFERROR(__xludf.DUMMYFUNCTION("""COMPUTED_VALUE"""),0.0)</f>
        <v>0</v>
      </c>
      <c r="AR2778" s="82">
        <f>IFERROR(__xludf.DUMMYFUNCTION("""COMPUTED_VALUE"""),0.0)</f>
        <v>0</v>
      </c>
      <c r="AS2778" s="82"/>
      <c r="AT2778" s="82">
        <f>IFERROR(__xludf.DUMMYFUNCTION("""COMPUTED_VALUE"""),0.0)</f>
        <v>0</v>
      </c>
      <c r="AU2778" s="82"/>
      <c r="AV2778" s="82"/>
      <c r="AW2778" s="82" t="str">
        <f t="shared" si="1"/>
        <v/>
      </c>
      <c r="AX2778" s="83" t="str">
        <f t="array" ref="AX2778">IFERROR(DGET('SBV Import'!A:G,"SBV",{"RSC ID","Tier";B2778,A2778}))</f>
        <v/>
      </c>
      <c r="AY2778" s="82" t="str">
        <f t="shared" si="2"/>
        <v/>
      </c>
      <c r="AZ2778" s="82"/>
      <c r="BA2778" s="84" t="s">
        <v>152</v>
      </c>
      <c r="BB2778" s="84" t="str">
        <f>IFERROR(__xludf.DUMMYFUNCTION("iferror(if(A2778="""",,E2778&gt;=FILTER(Constants!$F$2:$F$10,Constants!$A$2:$A$10=A2778)))"),"")</f>
        <v/>
      </c>
    </row>
    <row r="2779">
      <c r="A2779" s="89"/>
      <c r="B2779" s="87"/>
      <c r="C2779" s="73"/>
      <c r="D2779" s="73"/>
      <c r="E2779" s="82"/>
      <c r="F2779" s="82"/>
      <c r="G2779" s="86"/>
      <c r="H2779" s="86"/>
      <c r="I2779" s="86"/>
      <c r="J2779" s="82"/>
      <c r="K2779" s="82"/>
      <c r="L2779" s="82"/>
      <c r="M2779" s="82"/>
      <c r="N2779" s="82"/>
      <c r="O2779" s="82"/>
      <c r="P2779" s="82"/>
      <c r="Q2779" s="82"/>
      <c r="R2779" s="82"/>
      <c r="S2779" s="82"/>
      <c r="T2779" s="82"/>
      <c r="U2779" s="82"/>
      <c r="V2779" s="82"/>
      <c r="W2779" s="82"/>
      <c r="X2779" s="82"/>
      <c r="Y2779" s="82"/>
      <c r="Z2779" s="82"/>
      <c r="AA2779" s="82"/>
      <c r="AB2779" s="82"/>
      <c r="AC2779" s="82"/>
      <c r="AD2779" s="82"/>
      <c r="AE2779" s="82"/>
      <c r="AF2779" s="82"/>
      <c r="AG2779" s="82"/>
      <c r="AH2779" s="82"/>
      <c r="AI2779" s="82"/>
      <c r="AJ2779" s="82"/>
      <c r="AK2779" s="82"/>
      <c r="AL2779" s="82"/>
      <c r="AM2779" s="82"/>
      <c r="AN2779" s="82">
        <f>IFERROR(__xludf.DUMMYFUNCTION("""COMPUTED_VALUE"""),0.0)</f>
        <v>0</v>
      </c>
      <c r="AO2779" s="82">
        <f>IFERROR(__xludf.DUMMYFUNCTION("""COMPUTED_VALUE"""),0.0)</f>
        <v>0</v>
      </c>
      <c r="AP2779" s="82">
        <f>IFERROR(__xludf.DUMMYFUNCTION("""COMPUTED_VALUE"""),0.0)</f>
        <v>0</v>
      </c>
      <c r="AQ2779" s="82">
        <f>IFERROR(__xludf.DUMMYFUNCTION("""COMPUTED_VALUE"""),0.0)</f>
        <v>0</v>
      </c>
      <c r="AR2779" s="82">
        <f>IFERROR(__xludf.DUMMYFUNCTION("""COMPUTED_VALUE"""),0.0)</f>
        <v>0</v>
      </c>
      <c r="AS2779" s="82"/>
      <c r="AT2779" s="82">
        <f>IFERROR(__xludf.DUMMYFUNCTION("""COMPUTED_VALUE"""),0.0)</f>
        <v>0</v>
      </c>
      <c r="AU2779" s="82"/>
      <c r="AV2779" s="82"/>
      <c r="AW2779" s="82" t="str">
        <f t="shared" si="1"/>
        <v/>
      </c>
      <c r="AX2779" s="83" t="str">
        <f t="array" ref="AX2779">IFERROR(DGET('SBV Import'!A:G,"SBV",{"RSC ID","Tier";B2779,A2779}))</f>
        <v/>
      </c>
      <c r="AY2779" s="82" t="str">
        <f t="shared" si="2"/>
        <v/>
      </c>
      <c r="AZ2779" s="82"/>
      <c r="BA2779" s="84" t="s">
        <v>152</v>
      </c>
      <c r="BB2779" s="84" t="str">
        <f>IFERROR(__xludf.DUMMYFUNCTION("iferror(if(A2779="""",,E2779&gt;=FILTER(Constants!$F$2:$F$10,Constants!$A$2:$A$10=A2779)))"),"")</f>
        <v/>
      </c>
    </row>
    <row r="2780">
      <c r="A2780" s="89"/>
      <c r="B2780" s="87"/>
      <c r="C2780" s="73"/>
      <c r="D2780" s="73"/>
      <c r="E2780" s="82"/>
      <c r="F2780" s="82"/>
      <c r="G2780" s="86"/>
      <c r="H2780" s="86"/>
      <c r="I2780" s="86"/>
      <c r="J2780" s="82"/>
      <c r="K2780" s="82"/>
      <c r="L2780" s="82"/>
      <c r="M2780" s="82"/>
      <c r="N2780" s="82"/>
      <c r="O2780" s="82"/>
      <c r="P2780" s="82"/>
      <c r="Q2780" s="82"/>
      <c r="R2780" s="82"/>
      <c r="S2780" s="82"/>
      <c r="T2780" s="82"/>
      <c r="U2780" s="82"/>
      <c r="V2780" s="82"/>
      <c r="W2780" s="82"/>
      <c r="X2780" s="82"/>
      <c r="Y2780" s="82"/>
      <c r="Z2780" s="82"/>
      <c r="AA2780" s="82"/>
      <c r="AB2780" s="82"/>
      <c r="AC2780" s="82"/>
      <c r="AD2780" s="82"/>
      <c r="AE2780" s="82"/>
      <c r="AF2780" s="82"/>
      <c r="AG2780" s="82"/>
      <c r="AH2780" s="82"/>
      <c r="AI2780" s="82"/>
      <c r="AJ2780" s="82"/>
      <c r="AK2780" s="82"/>
      <c r="AL2780" s="82"/>
      <c r="AM2780" s="82"/>
      <c r="AN2780" s="82">
        <f>IFERROR(__xludf.DUMMYFUNCTION("""COMPUTED_VALUE"""),0.0)</f>
        <v>0</v>
      </c>
      <c r="AO2780" s="82">
        <f>IFERROR(__xludf.DUMMYFUNCTION("""COMPUTED_VALUE"""),0.0)</f>
        <v>0</v>
      </c>
      <c r="AP2780" s="82">
        <f>IFERROR(__xludf.DUMMYFUNCTION("""COMPUTED_VALUE"""),0.0)</f>
        <v>0</v>
      </c>
      <c r="AQ2780" s="82">
        <f>IFERROR(__xludf.DUMMYFUNCTION("""COMPUTED_VALUE"""),0.0)</f>
        <v>0</v>
      </c>
      <c r="AR2780" s="82">
        <f>IFERROR(__xludf.DUMMYFUNCTION("""COMPUTED_VALUE"""),0.0)</f>
        <v>0</v>
      </c>
      <c r="AS2780" s="82"/>
      <c r="AT2780" s="82">
        <f>IFERROR(__xludf.DUMMYFUNCTION("""COMPUTED_VALUE"""),0.0)</f>
        <v>0</v>
      </c>
      <c r="AU2780" s="82"/>
      <c r="AV2780" s="82"/>
      <c r="AW2780" s="82" t="str">
        <f t="shared" si="1"/>
        <v/>
      </c>
      <c r="AX2780" s="83" t="str">
        <f t="array" ref="AX2780">IFERROR(DGET('SBV Import'!A:G,"SBV",{"RSC ID","Tier";B2780,A2780}))</f>
        <v/>
      </c>
      <c r="AY2780" s="82" t="str">
        <f t="shared" si="2"/>
        <v/>
      </c>
      <c r="AZ2780" s="82"/>
      <c r="BA2780" s="84" t="s">
        <v>152</v>
      </c>
      <c r="BB2780" s="84" t="str">
        <f>IFERROR(__xludf.DUMMYFUNCTION("iferror(if(A2780="""",,E2780&gt;=FILTER(Constants!$F$2:$F$10,Constants!$A$2:$A$10=A2780)))"),"")</f>
        <v/>
      </c>
    </row>
    <row r="2781">
      <c r="A2781" s="89"/>
      <c r="B2781" s="87"/>
      <c r="C2781" s="73"/>
      <c r="D2781" s="73"/>
      <c r="E2781" s="82"/>
      <c r="F2781" s="82"/>
      <c r="G2781" s="86"/>
      <c r="H2781" s="86"/>
      <c r="I2781" s="86"/>
      <c r="J2781" s="82"/>
      <c r="K2781" s="82"/>
      <c r="L2781" s="82"/>
      <c r="M2781" s="82"/>
      <c r="N2781" s="82"/>
      <c r="O2781" s="82"/>
      <c r="P2781" s="82"/>
      <c r="Q2781" s="82"/>
      <c r="R2781" s="82"/>
      <c r="S2781" s="82"/>
      <c r="T2781" s="82"/>
      <c r="U2781" s="82"/>
      <c r="V2781" s="82"/>
      <c r="W2781" s="82"/>
      <c r="X2781" s="82"/>
      <c r="Y2781" s="82"/>
      <c r="Z2781" s="82"/>
      <c r="AA2781" s="82"/>
      <c r="AB2781" s="82"/>
      <c r="AC2781" s="82"/>
      <c r="AD2781" s="82"/>
      <c r="AE2781" s="82"/>
      <c r="AF2781" s="82"/>
      <c r="AG2781" s="82"/>
      <c r="AH2781" s="82"/>
      <c r="AI2781" s="82"/>
      <c r="AJ2781" s="82"/>
      <c r="AK2781" s="82"/>
      <c r="AL2781" s="82"/>
      <c r="AM2781" s="82"/>
      <c r="AN2781" s="82">
        <f>IFERROR(__xludf.DUMMYFUNCTION("""COMPUTED_VALUE"""),0.0)</f>
        <v>0</v>
      </c>
      <c r="AO2781" s="82">
        <f>IFERROR(__xludf.DUMMYFUNCTION("""COMPUTED_VALUE"""),0.0)</f>
        <v>0</v>
      </c>
      <c r="AP2781" s="82">
        <f>IFERROR(__xludf.DUMMYFUNCTION("""COMPUTED_VALUE"""),0.0)</f>
        <v>0</v>
      </c>
      <c r="AQ2781" s="82">
        <f>IFERROR(__xludf.DUMMYFUNCTION("""COMPUTED_VALUE"""),0.0)</f>
        <v>0</v>
      </c>
      <c r="AR2781" s="82">
        <f>IFERROR(__xludf.DUMMYFUNCTION("""COMPUTED_VALUE"""),0.0)</f>
        <v>0</v>
      </c>
      <c r="AS2781" s="82"/>
      <c r="AT2781" s="82">
        <f>IFERROR(__xludf.DUMMYFUNCTION("""COMPUTED_VALUE"""),0.0)</f>
        <v>0</v>
      </c>
      <c r="AU2781" s="82"/>
      <c r="AV2781" s="82"/>
      <c r="AW2781" s="82" t="str">
        <f t="shared" si="1"/>
        <v/>
      </c>
      <c r="AX2781" s="83" t="str">
        <f t="array" ref="AX2781">IFERROR(DGET('SBV Import'!A:G,"SBV",{"RSC ID","Tier";B2781,A2781}))</f>
        <v/>
      </c>
      <c r="AY2781" s="82" t="str">
        <f t="shared" si="2"/>
        <v/>
      </c>
      <c r="AZ2781" s="82"/>
      <c r="BA2781" s="84" t="s">
        <v>152</v>
      </c>
      <c r="BB2781" s="84" t="str">
        <f>IFERROR(__xludf.DUMMYFUNCTION("iferror(if(A2781="""",,E2781&gt;=FILTER(Constants!$F$2:$F$10,Constants!$A$2:$A$10=A2781)))"),"")</f>
        <v/>
      </c>
    </row>
    <row r="2782">
      <c r="A2782" s="89"/>
      <c r="B2782" s="87"/>
      <c r="C2782" s="73"/>
      <c r="D2782" s="73"/>
      <c r="E2782" s="82"/>
      <c r="F2782" s="82"/>
      <c r="G2782" s="86"/>
      <c r="H2782" s="86"/>
      <c r="I2782" s="86"/>
      <c r="J2782" s="82"/>
      <c r="K2782" s="82"/>
      <c r="L2782" s="82"/>
      <c r="M2782" s="82"/>
      <c r="N2782" s="82"/>
      <c r="O2782" s="82"/>
      <c r="P2782" s="82"/>
      <c r="Q2782" s="82"/>
      <c r="R2782" s="82"/>
      <c r="S2782" s="82"/>
      <c r="T2782" s="82"/>
      <c r="U2782" s="82"/>
      <c r="V2782" s="82"/>
      <c r="W2782" s="82"/>
      <c r="X2782" s="82"/>
      <c r="Y2782" s="82"/>
      <c r="Z2782" s="82"/>
      <c r="AA2782" s="82"/>
      <c r="AB2782" s="82"/>
      <c r="AC2782" s="82"/>
      <c r="AD2782" s="82"/>
      <c r="AE2782" s="82"/>
      <c r="AF2782" s="82"/>
      <c r="AG2782" s="82"/>
      <c r="AH2782" s="82"/>
      <c r="AI2782" s="82"/>
      <c r="AJ2782" s="82"/>
      <c r="AK2782" s="82"/>
      <c r="AL2782" s="82"/>
      <c r="AM2782" s="82"/>
      <c r="AN2782" s="82">
        <f>IFERROR(__xludf.DUMMYFUNCTION("""COMPUTED_VALUE"""),0.0)</f>
        <v>0</v>
      </c>
      <c r="AO2782" s="82">
        <f>IFERROR(__xludf.DUMMYFUNCTION("""COMPUTED_VALUE"""),0.0)</f>
        <v>0</v>
      </c>
      <c r="AP2782" s="82">
        <f>IFERROR(__xludf.DUMMYFUNCTION("""COMPUTED_VALUE"""),0.0)</f>
        <v>0</v>
      </c>
      <c r="AQ2782" s="82">
        <f>IFERROR(__xludf.DUMMYFUNCTION("""COMPUTED_VALUE"""),0.0)</f>
        <v>0</v>
      </c>
      <c r="AR2782" s="82">
        <f>IFERROR(__xludf.DUMMYFUNCTION("""COMPUTED_VALUE"""),0.0)</f>
        <v>0</v>
      </c>
      <c r="AS2782" s="82"/>
      <c r="AT2782" s="82">
        <f>IFERROR(__xludf.DUMMYFUNCTION("""COMPUTED_VALUE"""),0.0)</f>
        <v>0</v>
      </c>
      <c r="AU2782" s="82"/>
      <c r="AV2782" s="82"/>
      <c r="AW2782" s="82" t="str">
        <f t="shared" si="1"/>
        <v/>
      </c>
      <c r="AX2782" s="83" t="str">
        <f t="array" ref="AX2782">IFERROR(DGET('SBV Import'!A:G,"SBV",{"RSC ID","Tier";B2782,A2782}))</f>
        <v/>
      </c>
      <c r="AY2782" s="82" t="str">
        <f t="shared" si="2"/>
        <v/>
      </c>
      <c r="AZ2782" s="82"/>
      <c r="BA2782" s="84" t="s">
        <v>152</v>
      </c>
      <c r="BB2782" s="84" t="str">
        <f>IFERROR(__xludf.DUMMYFUNCTION("iferror(if(A2782="""",,E2782&gt;=FILTER(Constants!$F$2:$F$10,Constants!$A$2:$A$10=A2782)))"),"")</f>
        <v/>
      </c>
    </row>
    <row r="2783">
      <c r="A2783" s="89"/>
      <c r="B2783" s="87"/>
      <c r="C2783" s="73"/>
      <c r="D2783" s="73"/>
      <c r="E2783" s="82"/>
      <c r="F2783" s="82"/>
      <c r="G2783" s="86"/>
      <c r="H2783" s="86"/>
      <c r="I2783" s="86"/>
      <c r="J2783" s="82"/>
      <c r="K2783" s="82"/>
      <c r="L2783" s="82"/>
      <c r="M2783" s="82"/>
      <c r="N2783" s="82"/>
      <c r="O2783" s="82"/>
      <c r="P2783" s="82"/>
      <c r="Q2783" s="82"/>
      <c r="R2783" s="82"/>
      <c r="S2783" s="82"/>
      <c r="T2783" s="82"/>
      <c r="U2783" s="82"/>
      <c r="V2783" s="82"/>
      <c r="W2783" s="82"/>
      <c r="X2783" s="82"/>
      <c r="Y2783" s="82"/>
      <c r="Z2783" s="82"/>
      <c r="AA2783" s="82"/>
      <c r="AB2783" s="82"/>
      <c r="AC2783" s="82"/>
      <c r="AD2783" s="82"/>
      <c r="AE2783" s="82"/>
      <c r="AF2783" s="82"/>
      <c r="AG2783" s="82"/>
      <c r="AH2783" s="82"/>
      <c r="AI2783" s="82"/>
      <c r="AJ2783" s="82"/>
      <c r="AK2783" s="82"/>
      <c r="AL2783" s="82"/>
      <c r="AM2783" s="82"/>
      <c r="AN2783" s="82">
        <f>IFERROR(__xludf.DUMMYFUNCTION("""COMPUTED_VALUE"""),0.0)</f>
        <v>0</v>
      </c>
      <c r="AO2783" s="82">
        <f>IFERROR(__xludf.DUMMYFUNCTION("""COMPUTED_VALUE"""),0.0)</f>
        <v>0</v>
      </c>
      <c r="AP2783" s="82">
        <f>IFERROR(__xludf.DUMMYFUNCTION("""COMPUTED_VALUE"""),0.0)</f>
        <v>0</v>
      </c>
      <c r="AQ2783" s="82">
        <f>IFERROR(__xludf.DUMMYFUNCTION("""COMPUTED_VALUE"""),0.0)</f>
        <v>0</v>
      </c>
      <c r="AR2783" s="82">
        <f>IFERROR(__xludf.DUMMYFUNCTION("""COMPUTED_VALUE"""),0.0)</f>
        <v>0</v>
      </c>
      <c r="AS2783" s="82"/>
      <c r="AT2783" s="82">
        <f>IFERROR(__xludf.DUMMYFUNCTION("""COMPUTED_VALUE"""),0.0)</f>
        <v>0</v>
      </c>
      <c r="AU2783" s="82"/>
      <c r="AV2783" s="82"/>
      <c r="AW2783" s="82" t="str">
        <f t="shared" si="1"/>
        <v/>
      </c>
      <c r="AX2783" s="83" t="str">
        <f t="array" ref="AX2783">IFERROR(DGET('SBV Import'!A:G,"SBV",{"RSC ID","Tier";B2783,A2783}))</f>
        <v/>
      </c>
      <c r="AY2783" s="82" t="str">
        <f t="shared" si="2"/>
        <v/>
      </c>
      <c r="AZ2783" s="82"/>
      <c r="BA2783" s="84" t="s">
        <v>152</v>
      </c>
      <c r="BB2783" s="84" t="str">
        <f>IFERROR(__xludf.DUMMYFUNCTION("iferror(if(A2783="""",,E2783&gt;=FILTER(Constants!$F$2:$F$10,Constants!$A$2:$A$10=A2783)))"),"")</f>
        <v/>
      </c>
    </row>
    <row r="2784">
      <c r="A2784" s="89"/>
      <c r="B2784" s="87"/>
      <c r="C2784" s="73"/>
      <c r="D2784" s="73"/>
      <c r="E2784" s="82"/>
      <c r="F2784" s="82"/>
      <c r="G2784" s="86"/>
      <c r="H2784" s="86"/>
      <c r="I2784" s="86"/>
      <c r="J2784" s="82"/>
      <c r="K2784" s="82"/>
      <c r="L2784" s="82"/>
      <c r="M2784" s="82"/>
      <c r="N2784" s="82"/>
      <c r="O2784" s="82"/>
      <c r="P2784" s="82"/>
      <c r="Q2784" s="82"/>
      <c r="R2784" s="82"/>
      <c r="S2784" s="82"/>
      <c r="T2784" s="82"/>
      <c r="U2784" s="82"/>
      <c r="V2784" s="82"/>
      <c r="W2784" s="82"/>
      <c r="X2784" s="82"/>
      <c r="Y2784" s="82"/>
      <c r="Z2784" s="82"/>
      <c r="AA2784" s="82"/>
      <c r="AB2784" s="82"/>
      <c r="AC2784" s="82"/>
      <c r="AD2784" s="82"/>
      <c r="AE2784" s="82"/>
      <c r="AF2784" s="82"/>
      <c r="AG2784" s="82"/>
      <c r="AH2784" s="82"/>
      <c r="AI2784" s="82"/>
      <c r="AJ2784" s="82"/>
      <c r="AK2784" s="82"/>
      <c r="AL2784" s="82"/>
      <c r="AM2784" s="82"/>
      <c r="AN2784" s="82">
        <f>IFERROR(__xludf.DUMMYFUNCTION("""COMPUTED_VALUE"""),0.0)</f>
        <v>0</v>
      </c>
      <c r="AO2784" s="82">
        <f>IFERROR(__xludf.DUMMYFUNCTION("""COMPUTED_VALUE"""),0.0)</f>
        <v>0</v>
      </c>
      <c r="AP2784" s="82">
        <f>IFERROR(__xludf.DUMMYFUNCTION("""COMPUTED_VALUE"""),0.0)</f>
        <v>0</v>
      </c>
      <c r="AQ2784" s="82">
        <f>IFERROR(__xludf.DUMMYFUNCTION("""COMPUTED_VALUE"""),0.0)</f>
        <v>0</v>
      </c>
      <c r="AR2784" s="82">
        <f>IFERROR(__xludf.DUMMYFUNCTION("""COMPUTED_VALUE"""),0.0)</f>
        <v>0</v>
      </c>
      <c r="AS2784" s="82"/>
      <c r="AT2784" s="82">
        <f>IFERROR(__xludf.DUMMYFUNCTION("""COMPUTED_VALUE"""),0.0)</f>
        <v>0</v>
      </c>
      <c r="AU2784" s="82"/>
      <c r="AV2784" s="82"/>
      <c r="AW2784" s="82" t="str">
        <f t="shared" si="1"/>
        <v/>
      </c>
      <c r="AX2784" s="83" t="str">
        <f t="array" ref="AX2784">IFERROR(DGET('SBV Import'!A:G,"SBV",{"RSC ID","Tier";B2784,A2784}))</f>
        <v/>
      </c>
      <c r="AY2784" s="82" t="str">
        <f t="shared" si="2"/>
        <v/>
      </c>
      <c r="AZ2784" s="82"/>
      <c r="BA2784" s="84" t="s">
        <v>152</v>
      </c>
      <c r="BB2784" s="84" t="str">
        <f>IFERROR(__xludf.DUMMYFUNCTION("iferror(if(A2784="""",,E2784&gt;=FILTER(Constants!$F$2:$F$10,Constants!$A$2:$A$10=A2784)))"),"")</f>
        <v/>
      </c>
    </row>
    <row r="2785">
      <c r="A2785" s="89"/>
      <c r="B2785" s="87"/>
      <c r="C2785" s="73"/>
      <c r="D2785" s="73"/>
      <c r="E2785" s="82"/>
      <c r="F2785" s="82"/>
      <c r="G2785" s="86"/>
      <c r="H2785" s="86"/>
      <c r="I2785" s="86"/>
      <c r="J2785" s="82"/>
      <c r="K2785" s="82"/>
      <c r="L2785" s="82"/>
      <c r="M2785" s="82"/>
      <c r="N2785" s="82"/>
      <c r="O2785" s="82"/>
      <c r="P2785" s="82"/>
      <c r="Q2785" s="82"/>
      <c r="R2785" s="82"/>
      <c r="S2785" s="82"/>
      <c r="T2785" s="82"/>
      <c r="U2785" s="82"/>
      <c r="V2785" s="82"/>
      <c r="W2785" s="82"/>
      <c r="X2785" s="82"/>
      <c r="Y2785" s="82"/>
      <c r="Z2785" s="82"/>
      <c r="AA2785" s="82"/>
      <c r="AB2785" s="82"/>
      <c r="AC2785" s="82"/>
      <c r="AD2785" s="82"/>
      <c r="AE2785" s="82"/>
      <c r="AF2785" s="82"/>
      <c r="AG2785" s="82"/>
      <c r="AH2785" s="82"/>
      <c r="AI2785" s="82"/>
      <c r="AJ2785" s="82"/>
      <c r="AK2785" s="82"/>
      <c r="AL2785" s="82"/>
      <c r="AM2785" s="82"/>
      <c r="AN2785" s="82">
        <f>IFERROR(__xludf.DUMMYFUNCTION("""COMPUTED_VALUE"""),0.0)</f>
        <v>0</v>
      </c>
      <c r="AO2785" s="82">
        <f>IFERROR(__xludf.DUMMYFUNCTION("""COMPUTED_VALUE"""),0.0)</f>
        <v>0</v>
      </c>
      <c r="AP2785" s="82">
        <f>IFERROR(__xludf.DUMMYFUNCTION("""COMPUTED_VALUE"""),0.0)</f>
        <v>0</v>
      </c>
      <c r="AQ2785" s="82">
        <f>IFERROR(__xludf.DUMMYFUNCTION("""COMPUTED_VALUE"""),0.0)</f>
        <v>0</v>
      </c>
      <c r="AR2785" s="82">
        <f>IFERROR(__xludf.DUMMYFUNCTION("""COMPUTED_VALUE"""),0.0)</f>
        <v>0</v>
      </c>
      <c r="AS2785" s="82"/>
      <c r="AT2785" s="82">
        <f>IFERROR(__xludf.DUMMYFUNCTION("""COMPUTED_VALUE"""),0.0)</f>
        <v>0</v>
      </c>
      <c r="AU2785" s="82"/>
      <c r="AV2785" s="82"/>
      <c r="AW2785" s="82" t="str">
        <f t="shared" si="1"/>
        <v/>
      </c>
      <c r="AX2785" s="83" t="str">
        <f t="array" ref="AX2785">IFERROR(DGET('SBV Import'!A:G,"SBV",{"RSC ID","Tier";B2785,A2785}))</f>
        <v/>
      </c>
      <c r="AY2785" s="82" t="str">
        <f t="shared" si="2"/>
        <v/>
      </c>
      <c r="AZ2785" s="82"/>
      <c r="BA2785" s="84" t="s">
        <v>152</v>
      </c>
      <c r="BB2785" s="84" t="str">
        <f>IFERROR(__xludf.DUMMYFUNCTION("iferror(if(A2785="""",,E2785&gt;=FILTER(Constants!$F$2:$F$10,Constants!$A$2:$A$10=A2785)))"),"")</f>
        <v/>
      </c>
    </row>
    <row r="2786">
      <c r="A2786" s="89"/>
      <c r="B2786" s="87"/>
      <c r="C2786" s="73"/>
      <c r="D2786" s="73"/>
      <c r="E2786" s="82"/>
      <c r="F2786" s="82"/>
      <c r="G2786" s="86"/>
      <c r="H2786" s="86"/>
      <c r="I2786" s="86"/>
      <c r="J2786" s="82"/>
      <c r="K2786" s="82"/>
      <c r="L2786" s="82"/>
      <c r="M2786" s="82"/>
      <c r="N2786" s="82"/>
      <c r="O2786" s="82"/>
      <c r="P2786" s="82"/>
      <c r="Q2786" s="82"/>
      <c r="R2786" s="82"/>
      <c r="S2786" s="82"/>
      <c r="T2786" s="82"/>
      <c r="U2786" s="82"/>
      <c r="V2786" s="82"/>
      <c r="W2786" s="82"/>
      <c r="X2786" s="82"/>
      <c r="Y2786" s="82"/>
      <c r="Z2786" s="82"/>
      <c r="AA2786" s="82"/>
      <c r="AB2786" s="82"/>
      <c r="AC2786" s="82"/>
      <c r="AD2786" s="82"/>
      <c r="AE2786" s="82"/>
      <c r="AF2786" s="82"/>
      <c r="AG2786" s="82"/>
      <c r="AH2786" s="82"/>
      <c r="AI2786" s="82"/>
      <c r="AJ2786" s="82"/>
      <c r="AK2786" s="82"/>
      <c r="AL2786" s="82"/>
      <c r="AM2786" s="82"/>
      <c r="AN2786" s="82">
        <f>IFERROR(__xludf.DUMMYFUNCTION("""COMPUTED_VALUE"""),0.0)</f>
        <v>0</v>
      </c>
      <c r="AO2786" s="82">
        <f>IFERROR(__xludf.DUMMYFUNCTION("""COMPUTED_VALUE"""),0.0)</f>
        <v>0</v>
      </c>
      <c r="AP2786" s="82">
        <f>IFERROR(__xludf.DUMMYFUNCTION("""COMPUTED_VALUE"""),0.0)</f>
        <v>0</v>
      </c>
      <c r="AQ2786" s="82">
        <f>IFERROR(__xludf.DUMMYFUNCTION("""COMPUTED_VALUE"""),0.0)</f>
        <v>0</v>
      </c>
      <c r="AR2786" s="82">
        <f>IFERROR(__xludf.DUMMYFUNCTION("""COMPUTED_VALUE"""),0.0)</f>
        <v>0</v>
      </c>
      <c r="AS2786" s="82"/>
      <c r="AT2786" s="82">
        <f>IFERROR(__xludf.DUMMYFUNCTION("""COMPUTED_VALUE"""),0.0)</f>
        <v>0</v>
      </c>
      <c r="AU2786" s="82"/>
      <c r="AV2786" s="82"/>
      <c r="AW2786" s="82" t="str">
        <f t="shared" si="1"/>
        <v/>
      </c>
      <c r="AX2786" s="83" t="str">
        <f t="array" ref="AX2786">IFERROR(DGET('SBV Import'!A:G,"SBV",{"RSC ID","Tier";B2786,A2786}))</f>
        <v/>
      </c>
      <c r="AY2786" s="82" t="str">
        <f t="shared" si="2"/>
        <v/>
      </c>
      <c r="AZ2786" s="82"/>
      <c r="BA2786" s="84" t="s">
        <v>152</v>
      </c>
      <c r="BB2786" s="84" t="str">
        <f>IFERROR(__xludf.DUMMYFUNCTION("iferror(if(A2786="""",,E2786&gt;=FILTER(Constants!$F$2:$F$10,Constants!$A$2:$A$10=A2786)))"),"")</f>
        <v/>
      </c>
    </row>
    <row r="2787">
      <c r="A2787" s="89"/>
      <c r="B2787" s="87"/>
      <c r="C2787" s="73"/>
      <c r="D2787" s="73"/>
      <c r="E2787" s="82"/>
      <c r="F2787" s="82"/>
      <c r="G2787" s="86"/>
      <c r="H2787" s="86"/>
      <c r="I2787" s="86"/>
      <c r="J2787" s="82"/>
      <c r="K2787" s="82"/>
      <c r="L2787" s="82"/>
      <c r="M2787" s="82"/>
      <c r="N2787" s="82"/>
      <c r="O2787" s="82"/>
      <c r="P2787" s="82"/>
      <c r="Q2787" s="82"/>
      <c r="R2787" s="82"/>
      <c r="S2787" s="82"/>
      <c r="T2787" s="82"/>
      <c r="U2787" s="82"/>
      <c r="V2787" s="82"/>
      <c r="W2787" s="82"/>
      <c r="X2787" s="82"/>
      <c r="Y2787" s="82"/>
      <c r="Z2787" s="82"/>
      <c r="AA2787" s="82"/>
      <c r="AB2787" s="82"/>
      <c r="AC2787" s="82"/>
      <c r="AD2787" s="82"/>
      <c r="AE2787" s="82"/>
      <c r="AF2787" s="82"/>
      <c r="AG2787" s="82"/>
      <c r="AH2787" s="82"/>
      <c r="AI2787" s="82"/>
      <c r="AJ2787" s="82"/>
      <c r="AK2787" s="82"/>
      <c r="AL2787" s="82"/>
      <c r="AM2787" s="82"/>
      <c r="AN2787" s="82">
        <f>IFERROR(__xludf.DUMMYFUNCTION("""COMPUTED_VALUE"""),0.0)</f>
        <v>0</v>
      </c>
      <c r="AO2787" s="82">
        <f>IFERROR(__xludf.DUMMYFUNCTION("""COMPUTED_VALUE"""),0.0)</f>
        <v>0</v>
      </c>
      <c r="AP2787" s="82">
        <f>IFERROR(__xludf.DUMMYFUNCTION("""COMPUTED_VALUE"""),0.0)</f>
        <v>0</v>
      </c>
      <c r="AQ2787" s="82">
        <f>IFERROR(__xludf.DUMMYFUNCTION("""COMPUTED_VALUE"""),0.0)</f>
        <v>0</v>
      </c>
      <c r="AR2787" s="82">
        <f>IFERROR(__xludf.DUMMYFUNCTION("""COMPUTED_VALUE"""),0.0)</f>
        <v>0</v>
      </c>
      <c r="AS2787" s="82"/>
      <c r="AT2787" s="82">
        <f>IFERROR(__xludf.DUMMYFUNCTION("""COMPUTED_VALUE"""),0.0)</f>
        <v>0</v>
      </c>
      <c r="AU2787" s="82"/>
      <c r="AV2787" s="82"/>
      <c r="AW2787" s="82" t="str">
        <f t="shared" si="1"/>
        <v/>
      </c>
      <c r="AX2787" s="83" t="str">
        <f t="array" ref="AX2787">IFERROR(DGET('SBV Import'!A:G,"SBV",{"RSC ID","Tier";B2787,A2787}))</f>
        <v/>
      </c>
      <c r="AY2787" s="82" t="str">
        <f t="shared" si="2"/>
        <v/>
      </c>
      <c r="AZ2787" s="82"/>
      <c r="BA2787" s="84" t="s">
        <v>152</v>
      </c>
      <c r="BB2787" s="84" t="str">
        <f>IFERROR(__xludf.DUMMYFUNCTION("iferror(if(A2787="""",,E2787&gt;=FILTER(Constants!$F$2:$F$10,Constants!$A$2:$A$10=A2787)))"),"")</f>
        <v/>
      </c>
    </row>
    <row r="2788">
      <c r="A2788" s="89"/>
      <c r="B2788" s="87"/>
      <c r="C2788" s="73"/>
      <c r="D2788" s="73"/>
      <c r="E2788" s="82"/>
      <c r="F2788" s="82"/>
      <c r="G2788" s="86"/>
      <c r="H2788" s="86"/>
      <c r="I2788" s="86"/>
      <c r="J2788" s="82"/>
      <c r="K2788" s="82"/>
      <c r="L2788" s="82"/>
      <c r="M2788" s="82"/>
      <c r="N2788" s="82"/>
      <c r="O2788" s="82"/>
      <c r="P2788" s="82"/>
      <c r="Q2788" s="82"/>
      <c r="R2788" s="82"/>
      <c r="S2788" s="82"/>
      <c r="T2788" s="82"/>
      <c r="U2788" s="82"/>
      <c r="V2788" s="82"/>
      <c r="W2788" s="82"/>
      <c r="X2788" s="82"/>
      <c r="Y2788" s="82"/>
      <c r="Z2788" s="82"/>
      <c r="AA2788" s="82"/>
      <c r="AB2788" s="82"/>
      <c r="AC2788" s="82"/>
      <c r="AD2788" s="82"/>
      <c r="AE2788" s="82"/>
      <c r="AF2788" s="82"/>
      <c r="AG2788" s="82"/>
      <c r="AH2788" s="82"/>
      <c r="AI2788" s="82"/>
      <c r="AJ2788" s="82"/>
      <c r="AK2788" s="82"/>
      <c r="AL2788" s="82"/>
      <c r="AM2788" s="82"/>
      <c r="AN2788" s="82">
        <f>IFERROR(__xludf.DUMMYFUNCTION("""COMPUTED_VALUE"""),0.0)</f>
        <v>0</v>
      </c>
      <c r="AO2788" s="82">
        <f>IFERROR(__xludf.DUMMYFUNCTION("""COMPUTED_VALUE"""),0.0)</f>
        <v>0</v>
      </c>
      <c r="AP2788" s="82">
        <f>IFERROR(__xludf.DUMMYFUNCTION("""COMPUTED_VALUE"""),0.0)</f>
        <v>0</v>
      </c>
      <c r="AQ2788" s="82">
        <f>IFERROR(__xludf.DUMMYFUNCTION("""COMPUTED_VALUE"""),0.0)</f>
        <v>0</v>
      </c>
      <c r="AR2788" s="82">
        <f>IFERROR(__xludf.DUMMYFUNCTION("""COMPUTED_VALUE"""),0.0)</f>
        <v>0</v>
      </c>
      <c r="AS2788" s="82"/>
      <c r="AT2788" s="82">
        <f>IFERROR(__xludf.DUMMYFUNCTION("""COMPUTED_VALUE"""),0.0)</f>
        <v>0</v>
      </c>
      <c r="AU2788" s="82"/>
      <c r="AV2788" s="82"/>
      <c r="AW2788" s="82" t="str">
        <f t="shared" si="1"/>
        <v/>
      </c>
      <c r="AX2788" s="83" t="str">
        <f t="array" ref="AX2788">IFERROR(DGET('SBV Import'!A:G,"SBV",{"RSC ID","Tier";B2788,A2788}))</f>
        <v/>
      </c>
      <c r="AY2788" s="82" t="str">
        <f t="shared" si="2"/>
        <v/>
      </c>
      <c r="AZ2788" s="82"/>
      <c r="BA2788" s="84" t="s">
        <v>152</v>
      </c>
      <c r="BB2788" s="84" t="str">
        <f>IFERROR(__xludf.DUMMYFUNCTION("iferror(if(A2788="""",,E2788&gt;=FILTER(Constants!$F$2:$F$10,Constants!$A$2:$A$10=A2788)))"),"")</f>
        <v/>
      </c>
    </row>
    <row r="2789">
      <c r="A2789" s="89"/>
      <c r="B2789" s="87"/>
      <c r="C2789" s="73"/>
      <c r="D2789" s="73"/>
      <c r="E2789" s="82"/>
      <c r="F2789" s="82"/>
      <c r="G2789" s="86"/>
      <c r="H2789" s="86"/>
      <c r="I2789" s="86"/>
      <c r="J2789" s="82"/>
      <c r="K2789" s="82"/>
      <c r="L2789" s="82"/>
      <c r="M2789" s="82"/>
      <c r="N2789" s="82"/>
      <c r="O2789" s="82"/>
      <c r="P2789" s="82"/>
      <c r="Q2789" s="82"/>
      <c r="R2789" s="82"/>
      <c r="S2789" s="82"/>
      <c r="T2789" s="82"/>
      <c r="U2789" s="82"/>
      <c r="V2789" s="82"/>
      <c r="W2789" s="82"/>
      <c r="X2789" s="82"/>
      <c r="Y2789" s="82"/>
      <c r="Z2789" s="82"/>
      <c r="AA2789" s="82"/>
      <c r="AB2789" s="82"/>
      <c r="AC2789" s="82"/>
      <c r="AD2789" s="82"/>
      <c r="AE2789" s="82"/>
      <c r="AF2789" s="82"/>
      <c r="AG2789" s="82"/>
      <c r="AH2789" s="82"/>
      <c r="AI2789" s="82"/>
      <c r="AJ2789" s="82"/>
      <c r="AK2789" s="82"/>
      <c r="AL2789" s="82"/>
      <c r="AM2789" s="82"/>
      <c r="AN2789" s="82">
        <f>IFERROR(__xludf.DUMMYFUNCTION("""COMPUTED_VALUE"""),0.0)</f>
        <v>0</v>
      </c>
      <c r="AO2789" s="82">
        <f>IFERROR(__xludf.DUMMYFUNCTION("""COMPUTED_VALUE"""),0.0)</f>
        <v>0</v>
      </c>
      <c r="AP2789" s="82">
        <f>IFERROR(__xludf.DUMMYFUNCTION("""COMPUTED_VALUE"""),0.0)</f>
        <v>0</v>
      </c>
      <c r="AQ2789" s="82">
        <f>IFERROR(__xludf.DUMMYFUNCTION("""COMPUTED_VALUE"""),0.0)</f>
        <v>0</v>
      </c>
      <c r="AR2789" s="82">
        <f>IFERROR(__xludf.DUMMYFUNCTION("""COMPUTED_VALUE"""),0.0)</f>
        <v>0</v>
      </c>
      <c r="AS2789" s="82"/>
      <c r="AT2789" s="82">
        <f>IFERROR(__xludf.DUMMYFUNCTION("""COMPUTED_VALUE"""),0.0)</f>
        <v>0</v>
      </c>
      <c r="AU2789" s="82"/>
      <c r="AV2789" s="82"/>
      <c r="AW2789" s="82" t="str">
        <f t="shared" si="1"/>
        <v/>
      </c>
      <c r="AX2789" s="83" t="str">
        <f t="array" ref="AX2789">IFERROR(DGET('SBV Import'!A:G,"SBV",{"RSC ID","Tier";B2789,A2789}))</f>
        <v/>
      </c>
      <c r="AY2789" s="82" t="str">
        <f t="shared" si="2"/>
        <v/>
      </c>
      <c r="AZ2789" s="82"/>
      <c r="BA2789" s="84" t="s">
        <v>152</v>
      </c>
      <c r="BB2789" s="84" t="str">
        <f>IFERROR(__xludf.DUMMYFUNCTION("iferror(if(A2789="""",,E2789&gt;=FILTER(Constants!$F$2:$F$10,Constants!$A$2:$A$10=A2789)))"),"")</f>
        <v/>
      </c>
    </row>
    <row r="2790">
      <c r="A2790" s="89"/>
      <c r="B2790" s="87"/>
      <c r="C2790" s="73"/>
      <c r="D2790" s="73"/>
      <c r="E2790" s="82"/>
      <c r="F2790" s="82"/>
      <c r="G2790" s="86"/>
      <c r="H2790" s="86"/>
      <c r="I2790" s="86"/>
      <c r="J2790" s="82"/>
      <c r="K2790" s="82"/>
      <c r="L2790" s="82"/>
      <c r="M2790" s="82"/>
      <c r="N2790" s="82"/>
      <c r="O2790" s="82"/>
      <c r="P2790" s="82"/>
      <c r="Q2790" s="82"/>
      <c r="R2790" s="82"/>
      <c r="S2790" s="82"/>
      <c r="T2790" s="82"/>
      <c r="U2790" s="82"/>
      <c r="V2790" s="82"/>
      <c r="W2790" s="82"/>
      <c r="X2790" s="82"/>
      <c r="Y2790" s="82"/>
      <c r="Z2790" s="82"/>
      <c r="AA2790" s="82"/>
      <c r="AB2790" s="82"/>
      <c r="AC2790" s="82"/>
      <c r="AD2790" s="82"/>
      <c r="AE2790" s="82"/>
      <c r="AF2790" s="82"/>
      <c r="AG2790" s="82"/>
      <c r="AH2790" s="82"/>
      <c r="AI2790" s="82"/>
      <c r="AJ2790" s="82"/>
      <c r="AK2790" s="82"/>
      <c r="AL2790" s="82"/>
      <c r="AM2790" s="82"/>
      <c r="AN2790" s="82">
        <f>IFERROR(__xludf.DUMMYFUNCTION("""COMPUTED_VALUE"""),0.0)</f>
        <v>0</v>
      </c>
      <c r="AO2790" s="82">
        <f>IFERROR(__xludf.DUMMYFUNCTION("""COMPUTED_VALUE"""),0.0)</f>
        <v>0</v>
      </c>
      <c r="AP2790" s="82">
        <f>IFERROR(__xludf.DUMMYFUNCTION("""COMPUTED_VALUE"""),0.0)</f>
        <v>0</v>
      </c>
      <c r="AQ2790" s="82">
        <f>IFERROR(__xludf.DUMMYFUNCTION("""COMPUTED_VALUE"""),0.0)</f>
        <v>0</v>
      </c>
      <c r="AR2790" s="82">
        <f>IFERROR(__xludf.DUMMYFUNCTION("""COMPUTED_VALUE"""),0.0)</f>
        <v>0</v>
      </c>
      <c r="AS2790" s="82"/>
      <c r="AT2790" s="82">
        <f>IFERROR(__xludf.DUMMYFUNCTION("""COMPUTED_VALUE"""),0.0)</f>
        <v>0</v>
      </c>
      <c r="AU2790" s="82"/>
      <c r="AV2790" s="82"/>
      <c r="AW2790" s="82" t="str">
        <f t="shared" si="1"/>
        <v/>
      </c>
      <c r="AX2790" s="83" t="str">
        <f t="array" ref="AX2790">IFERROR(DGET('SBV Import'!A:G,"SBV",{"RSC ID","Tier";B2790,A2790}))</f>
        <v/>
      </c>
      <c r="AY2790" s="82" t="str">
        <f t="shared" si="2"/>
        <v/>
      </c>
      <c r="AZ2790" s="82"/>
      <c r="BA2790" s="84" t="s">
        <v>152</v>
      </c>
      <c r="BB2790" s="84" t="str">
        <f>IFERROR(__xludf.DUMMYFUNCTION("iferror(if(A2790="""",,E2790&gt;=FILTER(Constants!$F$2:$F$10,Constants!$A$2:$A$10=A2790)))"),"")</f>
        <v/>
      </c>
    </row>
    <row r="2791">
      <c r="A2791" s="89"/>
      <c r="B2791" s="87"/>
      <c r="C2791" s="73"/>
      <c r="D2791" s="73"/>
      <c r="E2791" s="82"/>
      <c r="F2791" s="82"/>
      <c r="G2791" s="86"/>
      <c r="H2791" s="86"/>
      <c r="I2791" s="86"/>
      <c r="J2791" s="82"/>
      <c r="K2791" s="82"/>
      <c r="L2791" s="82"/>
      <c r="M2791" s="82"/>
      <c r="N2791" s="82"/>
      <c r="O2791" s="82"/>
      <c r="P2791" s="82"/>
      <c r="Q2791" s="82"/>
      <c r="R2791" s="82"/>
      <c r="S2791" s="82"/>
      <c r="T2791" s="82"/>
      <c r="U2791" s="82"/>
      <c r="V2791" s="82"/>
      <c r="W2791" s="82"/>
      <c r="X2791" s="82"/>
      <c r="Y2791" s="82"/>
      <c r="Z2791" s="82"/>
      <c r="AA2791" s="82"/>
      <c r="AB2791" s="82"/>
      <c r="AC2791" s="82"/>
      <c r="AD2791" s="82"/>
      <c r="AE2791" s="82"/>
      <c r="AF2791" s="82"/>
      <c r="AG2791" s="82"/>
      <c r="AH2791" s="82"/>
      <c r="AI2791" s="82"/>
      <c r="AJ2791" s="82"/>
      <c r="AK2791" s="82"/>
      <c r="AL2791" s="82"/>
      <c r="AM2791" s="82"/>
      <c r="AN2791" s="82">
        <f>IFERROR(__xludf.DUMMYFUNCTION("""COMPUTED_VALUE"""),0.0)</f>
        <v>0</v>
      </c>
      <c r="AO2791" s="82">
        <f>IFERROR(__xludf.DUMMYFUNCTION("""COMPUTED_VALUE"""),0.0)</f>
        <v>0</v>
      </c>
      <c r="AP2791" s="82">
        <f>IFERROR(__xludf.DUMMYFUNCTION("""COMPUTED_VALUE"""),0.0)</f>
        <v>0</v>
      </c>
      <c r="AQ2791" s="82">
        <f>IFERROR(__xludf.DUMMYFUNCTION("""COMPUTED_VALUE"""),0.0)</f>
        <v>0</v>
      </c>
      <c r="AR2791" s="82">
        <f>IFERROR(__xludf.DUMMYFUNCTION("""COMPUTED_VALUE"""),0.0)</f>
        <v>0</v>
      </c>
      <c r="AS2791" s="82"/>
      <c r="AT2791" s="82">
        <f>IFERROR(__xludf.DUMMYFUNCTION("""COMPUTED_VALUE"""),0.0)</f>
        <v>0</v>
      </c>
      <c r="AU2791" s="82"/>
      <c r="AV2791" s="82"/>
      <c r="AW2791" s="82" t="str">
        <f t="shared" si="1"/>
        <v/>
      </c>
      <c r="AX2791" s="83" t="str">
        <f t="array" ref="AX2791">IFERROR(DGET('SBV Import'!A:G,"SBV",{"RSC ID","Tier";B2791,A2791}))</f>
        <v/>
      </c>
      <c r="AY2791" s="82" t="str">
        <f t="shared" si="2"/>
        <v/>
      </c>
      <c r="AZ2791" s="82"/>
      <c r="BA2791" s="84" t="s">
        <v>152</v>
      </c>
      <c r="BB2791" s="84" t="str">
        <f>IFERROR(__xludf.DUMMYFUNCTION("iferror(if(A2791="""",,E2791&gt;=FILTER(Constants!$F$2:$F$10,Constants!$A$2:$A$10=A2791)))"),"")</f>
        <v/>
      </c>
    </row>
    <row r="2792">
      <c r="A2792" s="89"/>
      <c r="B2792" s="87"/>
      <c r="C2792" s="73"/>
      <c r="D2792" s="73"/>
      <c r="E2792" s="82"/>
      <c r="F2792" s="82"/>
      <c r="G2792" s="86"/>
      <c r="H2792" s="86"/>
      <c r="I2792" s="86"/>
      <c r="J2792" s="82"/>
      <c r="K2792" s="82"/>
      <c r="L2792" s="82"/>
      <c r="M2792" s="82"/>
      <c r="N2792" s="82"/>
      <c r="O2792" s="82"/>
      <c r="P2792" s="82"/>
      <c r="Q2792" s="82"/>
      <c r="R2792" s="82"/>
      <c r="S2792" s="82"/>
      <c r="T2792" s="82"/>
      <c r="U2792" s="82"/>
      <c r="V2792" s="82"/>
      <c r="W2792" s="82"/>
      <c r="X2792" s="82"/>
      <c r="Y2792" s="82"/>
      <c r="Z2792" s="82"/>
      <c r="AA2792" s="82"/>
      <c r="AB2792" s="82"/>
      <c r="AC2792" s="82"/>
      <c r="AD2792" s="82"/>
      <c r="AE2792" s="82"/>
      <c r="AF2792" s="82"/>
      <c r="AG2792" s="82"/>
      <c r="AH2792" s="82"/>
      <c r="AI2792" s="82"/>
      <c r="AJ2792" s="82"/>
      <c r="AK2792" s="82"/>
      <c r="AL2792" s="82"/>
      <c r="AM2792" s="82"/>
      <c r="AN2792" s="82">
        <f>IFERROR(__xludf.DUMMYFUNCTION("""COMPUTED_VALUE"""),0.0)</f>
        <v>0</v>
      </c>
      <c r="AO2792" s="82">
        <f>IFERROR(__xludf.DUMMYFUNCTION("""COMPUTED_VALUE"""),0.0)</f>
        <v>0</v>
      </c>
      <c r="AP2792" s="82">
        <f>IFERROR(__xludf.DUMMYFUNCTION("""COMPUTED_VALUE"""),0.0)</f>
        <v>0</v>
      </c>
      <c r="AQ2792" s="82">
        <f>IFERROR(__xludf.DUMMYFUNCTION("""COMPUTED_VALUE"""),0.0)</f>
        <v>0</v>
      </c>
      <c r="AR2792" s="82">
        <f>IFERROR(__xludf.DUMMYFUNCTION("""COMPUTED_VALUE"""),0.0)</f>
        <v>0</v>
      </c>
      <c r="AS2792" s="82"/>
      <c r="AT2792" s="82">
        <f>IFERROR(__xludf.DUMMYFUNCTION("""COMPUTED_VALUE"""),0.0)</f>
        <v>0</v>
      </c>
      <c r="AU2792" s="82"/>
      <c r="AV2792" s="82"/>
      <c r="AW2792" s="82" t="str">
        <f t="shared" si="1"/>
        <v/>
      </c>
      <c r="AX2792" s="83" t="str">
        <f t="array" ref="AX2792">IFERROR(DGET('SBV Import'!A:G,"SBV",{"RSC ID","Tier";B2792,A2792}))</f>
        <v/>
      </c>
      <c r="AY2792" s="82" t="str">
        <f t="shared" si="2"/>
        <v/>
      </c>
      <c r="AZ2792" s="82"/>
      <c r="BA2792" s="84" t="s">
        <v>152</v>
      </c>
      <c r="BB2792" s="84" t="str">
        <f>IFERROR(__xludf.DUMMYFUNCTION("iferror(if(A2792="""",,E2792&gt;=FILTER(Constants!$F$2:$F$10,Constants!$A$2:$A$10=A2792)))"),"")</f>
        <v/>
      </c>
    </row>
    <row r="2793">
      <c r="A2793" s="89"/>
      <c r="B2793" s="87"/>
      <c r="C2793" s="73"/>
      <c r="D2793" s="73"/>
      <c r="E2793" s="82"/>
      <c r="F2793" s="82"/>
      <c r="G2793" s="86"/>
      <c r="H2793" s="86"/>
      <c r="I2793" s="86"/>
      <c r="J2793" s="82"/>
      <c r="K2793" s="82"/>
      <c r="L2793" s="82"/>
      <c r="M2793" s="82"/>
      <c r="N2793" s="82"/>
      <c r="O2793" s="82"/>
      <c r="P2793" s="82"/>
      <c r="Q2793" s="82"/>
      <c r="R2793" s="82"/>
      <c r="S2793" s="82"/>
      <c r="T2793" s="82"/>
      <c r="U2793" s="82"/>
      <c r="V2793" s="82"/>
      <c r="W2793" s="82"/>
      <c r="X2793" s="82"/>
      <c r="Y2793" s="82"/>
      <c r="Z2793" s="82"/>
      <c r="AA2793" s="82"/>
      <c r="AB2793" s="82"/>
      <c r="AC2793" s="82"/>
      <c r="AD2793" s="82"/>
      <c r="AE2793" s="82"/>
      <c r="AF2793" s="82"/>
      <c r="AG2793" s="82"/>
      <c r="AH2793" s="82"/>
      <c r="AI2793" s="82"/>
      <c r="AJ2793" s="82"/>
      <c r="AK2793" s="82"/>
      <c r="AL2793" s="82"/>
      <c r="AM2793" s="82"/>
      <c r="AN2793" s="82">
        <f>IFERROR(__xludf.DUMMYFUNCTION("""COMPUTED_VALUE"""),0.0)</f>
        <v>0</v>
      </c>
      <c r="AO2793" s="82">
        <f>IFERROR(__xludf.DUMMYFUNCTION("""COMPUTED_VALUE"""),0.0)</f>
        <v>0</v>
      </c>
      <c r="AP2793" s="82">
        <f>IFERROR(__xludf.DUMMYFUNCTION("""COMPUTED_VALUE"""),0.0)</f>
        <v>0</v>
      </c>
      <c r="AQ2793" s="82">
        <f>IFERROR(__xludf.DUMMYFUNCTION("""COMPUTED_VALUE"""),0.0)</f>
        <v>0</v>
      </c>
      <c r="AR2793" s="82">
        <f>IFERROR(__xludf.DUMMYFUNCTION("""COMPUTED_VALUE"""),0.0)</f>
        <v>0</v>
      </c>
      <c r="AS2793" s="82"/>
      <c r="AT2793" s="82">
        <f>IFERROR(__xludf.DUMMYFUNCTION("""COMPUTED_VALUE"""),0.0)</f>
        <v>0</v>
      </c>
      <c r="AU2793" s="82"/>
      <c r="AV2793" s="82"/>
      <c r="AW2793" s="82" t="str">
        <f t="shared" si="1"/>
        <v/>
      </c>
      <c r="AX2793" s="83" t="str">
        <f t="array" ref="AX2793">IFERROR(DGET('SBV Import'!A:G,"SBV",{"RSC ID","Tier";B2793,A2793}))</f>
        <v/>
      </c>
      <c r="AY2793" s="82" t="str">
        <f t="shared" si="2"/>
        <v/>
      </c>
      <c r="AZ2793" s="82"/>
      <c r="BA2793" s="84" t="s">
        <v>152</v>
      </c>
      <c r="BB2793" s="84" t="str">
        <f>IFERROR(__xludf.DUMMYFUNCTION("iferror(if(A2793="""",,E2793&gt;=FILTER(Constants!$F$2:$F$10,Constants!$A$2:$A$10=A2793)))"),"")</f>
        <v/>
      </c>
    </row>
    <row r="2794">
      <c r="A2794" s="89"/>
      <c r="B2794" s="87"/>
      <c r="C2794" s="73"/>
      <c r="D2794" s="73"/>
      <c r="E2794" s="82"/>
      <c r="F2794" s="82"/>
      <c r="G2794" s="86"/>
      <c r="H2794" s="86"/>
      <c r="I2794" s="86"/>
      <c r="J2794" s="82"/>
      <c r="K2794" s="82"/>
      <c r="L2794" s="82"/>
      <c r="M2794" s="82"/>
      <c r="N2794" s="82"/>
      <c r="O2794" s="82"/>
      <c r="P2794" s="82"/>
      <c r="Q2794" s="82"/>
      <c r="R2794" s="82"/>
      <c r="S2794" s="82"/>
      <c r="T2794" s="82"/>
      <c r="U2794" s="82"/>
      <c r="V2794" s="82"/>
      <c r="W2794" s="82"/>
      <c r="X2794" s="82"/>
      <c r="Y2794" s="82"/>
      <c r="Z2794" s="82"/>
      <c r="AA2794" s="82"/>
      <c r="AB2794" s="82"/>
      <c r="AC2794" s="82"/>
      <c r="AD2794" s="82"/>
      <c r="AE2794" s="82"/>
      <c r="AF2794" s="82"/>
      <c r="AG2794" s="82"/>
      <c r="AH2794" s="82"/>
      <c r="AI2794" s="82"/>
      <c r="AJ2794" s="82"/>
      <c r="AK2794" s="82"/>
      <c r="AL2794" s="82"/>
      <c r="AM2794" s="82"/>
      <c r="AN2794" s="82">
        <f>IFERROR(__xludf.DUMMYFUNCTION("""COMPUTED_VALUE"""),0.0)</f>
        <v>0</v>
      </c>
      <c r="AO2794" s="82">
        <f>IFERROR(__xludf.DUMMYFUNCTION("""COMPUTED_VALUE"""),0.0)</f>
        <v>0</v>
      </c>
      <c r="AP2794" s="82">
        <f>IFERROR(__xludf.DUMMYFUNCTION("""COMPUTED_VALUE"""),0.0)</f>
        <v>0</v>
      </c>
      <c r="AQ2794" s="82">
        <f>IFERROR(__xludf.DUMMYFUNCTION("""COMPUTED_VALUE"""),0.0)</f>
        <v>0</v>
      </c>
      <c r="AR2794" s="82">
        <f>IFERROR(__xludf.DUMMYFUNCTION("""COMPUTED_VALUE"""),0.0)</f>
        <v>0</v>
      </c>
      <c r="AS2794" s="82"/>
      <c r="AT2794" s="82">
        <f>IFERROR(__xludf.DUMMYFUNCTION("""COMPUTED_VALUE"""),0.0)</f>
        <v>0</v>
      </c>
      <c r="AU2794" s="82"/>
      <c r="AV2794" s="82"/>
      <c r="AW2794" s="82" t="str">
        <f t="shared" si="1"/>
        <v/>
      </c>
      <c r="AX2794" s="83" t="str">
        <f t="array" ref="AX2794">IFERROR(DGET('SBV Import'!A:G,"SBV",{"RSC ID","Tier";B2794,A2794}))</f>
        <v/>
      </c>
      <c r="AY2794" s="82" t="str">
        <f t="shared" si="2"/>
        <v/>
      </c>
      <c r="AZ2794" s="82"/>
      <c r="BA2794" s="84" t="s">
        <v>152</v>
      </c>
      <c r="BB2794" s="84" t="str">
        <f>IFERROR(__xludf.DUMMYFUNCTION("iferror(if(A2794="""",,E2794&gt;=FILTER(Constants!$F$2:$F$10,Constants!$A$2:$A$10=A2794)))"),"")</f>
        <v/>
      </c>
    </row>
    <row r="2795">
      <c r="A2795" s="89"/>
      <c r="B2795" s="87"/>
      <c r="C2795" s="73"/>
      <c r="D2795" s="73"/>
      <c r="E2795" s="82"/>
      <c r="F2795" s="82"/>
      <c r="G2795" s="86"/>
      <c r="H2795" s="86"/>
      <c r="I2795" s="86"/>
      <c r="J2795" s="82"/>
      <c r="K2795" s="82"/>
      <c r="L2795" s="82"/>
      <c r="M2795" s="82"/>
      <c r="N2795" s="82"/>
      <c r="O2795" s="82"/>
      <c r="P2795" s="82"/>
      <c r="Q2795" s="82"/>
      <c r="R2795" s="82"/>
      <c r="S2795" s="82"/>
      <c r="T2795" s="82"/>
      <c r="U2795" s="82"/>
      <c r="V2795" s="82"/>
      <c r="W2795" s="82"/>
      <c r="X2795" s="82"/>
      <c r="Y2795" s="82"/>
      <c r="Z2795" s="82"/>
      <c r="AA2795" s="82"/>
      <c r="AB2795" s="82"/>
      <c r="AC2795" s="82"/>
      <c r="AD2795" s="82"/>
      <c r="AE2795" s="82"/>
      <c r="AF2795" s="82"/>
      <c r="AG2795" s="82"/>
      <c r="AH2795" s="82"/>
      <c r="AI2795" s="82"/>
      <c r="AJ2795" s="82"/>
      <c r="AK2795" s="82"/>
      <c r="AL2795" s="82"/>
      <c r="AM2795" s="82"/>
      <c r="AN2795" s="82">
        <f>IFERROR(__xludf.DUMMYFUNCTION("""COMPUTED_VALUE"""),0.0)</f>
        <v>0</v>
      </c>
      <c r="AO2795" s="82">
        <f>IFERROR(__xludf.DUMMYFUNCTION("""COMPUTED_VALUE"""),0.0)</f>
        <v>0</v>
      </c>
      <c r="AP2795" s="82">
        <f>IFERROR(__xludf.DUMMYFUNCTION("""COMPUTED_VALUE"""),0.0)</f>
        <v>0</v>
      </c>
      <c r="AQ2795" s="82">
        <f>IFERROR(__xludf.DUMMYFUNCTION("""COMPUTED_VALUE"""),0.0)</f>
        <v>0</v>
      </c>
      <c r="AR2795" s="82">
        <f>IFERROR(__xludf.DUMMYFUNCTION("""COMPUTED_VALUE"""),0.0)</f>
        <v>0</v>
      </c>
      <c r="AS2795" s="82"/>
      <c r="AT2795" s="82">
        <f>IFERROR(__xludf.DUMMYFUNCTION("""COMPUTED_VALUE"""),0.0)</f>
        <v>0</v>
      </c>
      <c r="AU2795" s="82"/>
      <c r="AV2795" s="82"/>
      <c r="AW2795" s="82" t="str">
        <f t="shared" si="1"/>
        <v/>
      </c>
      <c r="AX2795" s="83" t="str">
        <f t="array" ref="AX2795">IFERROR(DGET('SBV Import'!A:G,"SBV",{"RSC ID","Tier";B2795,A2795}))</f>
        <v/>
      </c>
      <c r="AY2795" s="82" t="str">
        <f t="shared" si="2"/>
        <v/>
      </c>
      <c r="AZ2795" s="82"/>
      <c r="BA2795" s="84" t="s">
        <v>152</v>
      </c>
      <c r="BB2795" s="84" t="str">
        <f>IFERROR(__xludf.DUMMYFUNCTION("iferror(if(A2795="""",,E2795&gt;=FILTER(Constants!$F$2:$F$10,Constants!$A$2:$A$10=A2795)))"),"")</f>
        <v/>
      </c>
    </row>
    <row r="2796">
      <c r="A2796" s="89"/>
      <c r="B2796" s="87"/>
      <c r="C2796" s="73"/>
      <c r="D2796" s="73"/>
      <c r="E2796" s="82"/>
      <c r="F2796" s="82"/>
      <c r="G2796" s="86"/>
      <c r="H2796" s="86"/>
      <c r="I2796" s="86"/>
      <c r="J2796" s="82"/>
      <c r="K2796" s="82"/>
      <c r="L2796" s="82"/>
      <c r="M2796" s="82"/>
      <c r="N2796" s="82"/>
      <c r="O2796" s="82"/>
      <c r="P2796" s="82"/>
      <c r="Q2796" s="82"/>
      <c r="R2796" s="82"/>
      <c r="S2796" s="82"/>
      <c r="T2796" s="82"/>
      <c r="U2796" s="82"/>
      <c r="V2796" s="82"/>
      <c r="W2796" s="82"/>
      <c r="X2796" s="82"/>
      <c r="Y2796" s="82"/>
      <c r="Z2796" s="82"/>
      <c r="AA2796" s="82"/>
      <c r="AB2796" s="82"/>
      <c r="AC2796" s="82"/>
      <c r="AD2796" s="82"/>
      <c r="AE2796" s="82"/>
      <c r="AF2796" s="82"/>
      <c r="AG2796" s="82"/>
      <c r="AH2796" s="82"/>
      <c r="AI2796" s="82"/>
      <c r="AJ2796" s="82"/>
      <c r="AK2796" s="82"/>
      <c r="AL2796" s="82"/>
      <c r="AM2796" s="82"/>
      <c r="AN2796" s="82">
        <f>IFERROR(__xludf.DUMMYFUNCTION("""COMPUTED_VALUE"""),0.0)</f>
        <v>0</v>
      </c>
      <c r="AO2796" s="82">
        <f>IFERROR(__xludf.DUMMYFUNCTION("""COMPUTED_VALUE"""),0.0)</f>
        <v>0</v>
      </c>
      <c r="AP2796" s="82">
        <f>IFERROR(__xludf.DUMMYFUNCTION("""COMPUTED_VALUE"""),0.0)</f>
        <v>0</v>
      </c>
      <c r="AQ2796" s="82">
        <f>IFERROR(__xludf.DUMMYFUNCTION("""COMPUTED_VALUE"""),0.0)</f>
        <v>0</v>
      </c>
      <c r="AR2796" s="82">
        <f>IFERROR(__xludf.DUMMYFUNCTION("""COMPUTED_VALUE"""),0.0)</f>
        <v>0</v>
      </c>
      <c r="AS2796" s="82"/>
      <c r="AT2796" s="82">
        <f>IFERROR(__xludf.DUMMYFUNCTION("""COMPUTED_VALUE"""),0.0)</f>
        <v>0</v>
      </c>
      <c r="AU2796" s="82"/>
      <c r="AV2796" s="82"/>
      <c r="AW2796" s="82" t="str">
        <f t="shared" si="1"/>
        <v/>
      </c>
      <c r="AX2796" s="83" t="str">
        <f t="array" ref="AX2796">IFERROR(DGET('SBV Import'!A:G,"SBV",{"RSC ID","Tier";B2796,A2796}))</f>
        <v/>
      </c>
      <c r="AY2796" s="82" t="str">
        <f t="shared" si="2"/>
        <v/>
      </c>
      <c r="AZ2796" s="82"/>
      <c r="BA2796" s="84" t="s">
        <v>152</v>
      </c>
      <c r="BB2796" s="84" t="str">
        <f>IFERROR(__xludf.DUMMYFUNCTION("iferror(if(A2796="""",,E2796&gt;=FILTER(Constants!$F$2:$F$10,Constants!$A$2:$A$10=A2796)))"),"")</f>
        <v/>
      </c>
    </row>
    <row r="2797">
      <c r="A2797" s="89"/>
      <c r="B2797" s="87"/>
      <c r="C2797" s="73"/>
      <c r="D2797" s="73"/>
      <c r="E2797" s="82"/>
      <c r="F2797" s="82"/>
      <c r="G2797" s="86"/>
      <c r="H2797" s="86"/>
      <c r="I2797" s="86"/>
      <c r="J2797" s="82"/>
      <c r="K2797" s="82"/>
      <c r="L2797" s="82"/>
      <c r="M2797" s="82"/>
      <c r="N2797" s="82"/>
      <c r="O2797" s="82"/>
      <c r="P2797" s="82"/>
      <c r="Q2797" s="82"/>
      <c r="R2797" s="82"/>
      <c r="S2797" s="82"/>
      <c r="T2797" s="82"/>
      <c r="U2797" s="82"/>
      <c r="V2797" s="82"/>
      <c r="W2797" s="82"/>
      <c r="X2797" s="82"/>
      <c r="Y2797" s="82"/>
      <c r="Z2797" s="82"/>
      <c r="AA2797" s="82"/>
      <c r="AB2797" s="82"/>
      <c r="AC2797" s="82"/>
      <c r="AD2797" s="82"/>
      <c r="AE2797" s="82"/>
      <c r="AF2797" s="82"/>
      <c r="AG2797" s="82"/>
      <c r="AH2797" s="82"/>
      <c r="AI2797" s="82"/>
      <c r="AJ2797" s="82"/>
      <c r="AK2797" s="82"/>
      <c r="AL2797" s="82"/>
      <c r="AM2797" s="82"/>
      <c r="AN2797" s="82">
        <f>IFERROR(__xludf.DUMMYFUNCTION("""COMPUTED_VALUE"""),0.0)</f>
        <v>0</v>
      </c>
      <c r="AO2797" s="82">
        <f>IFERROR(__xludf.DUMMYFUNCTION("""COMPUTED_VALUE"""),0.0)</f>
        <v>0</v>
      </c>
      <c r="AP2797" s="82">
        <f>IFERROR(__xludf.DUMMYFUNCTION("""COMPUTED_VALUE"""),0.0)</f>
        <v>0</v>
      </c>
      <c r="AQ2797" s="82">
        <f>IFERROR(__xludf.DUMMYFUNCTION("""COMPUTED_VALUE"""),0.0)</f>
        <v>0</v>
      </c>
      <c r="AR2797" s="82">
        <f>IFERROR(__xludf.DUMMYFUNCTION("""COMPUTED_VALUE"""),0.0)</f>
        <v>0</v>
      </c>
      <c r="AS2797" s="82"/>
      <c r="AT2797" s="82">
        <f>IFERROR(__xludf.DUMMYFUNCTION("""COMPUTED_VALUE"""),0.0)</f>
        <v>0</v>
      </c>
      <c r="AU2797" s="82"/>
      <c r="AV2797" s="82"/>
      <c r="AW2797" s="82" t="str">
        <f t="shared" si="1"/>
        <v/>
      </c>
      <c r="AX2797" s="83" t="str">
        <f t="array" ref="AX2797">IFERROR(DGET('SBV Import'!A:G,"SBV",{"RSC ID","Tier";B2797,A2797}))</f>
        <v/>
      </c>
      <c r="AY2797" s="82" t="str">
        <f t="shared" si="2"/>
        <v/>
      </c>
      <c r="AZ2797" s="82"/>
      <c r="BA2797" s="84" t="s">
        <v>152</v>
      </c>
      <c r="BB2797" s="84" t="str">
        <f>IFERROR(__xludf.DUMMYFUNCTION("iferror(if(A2797="""",,E2797&gt;=FILTER(Constants!$F$2:$F$10,Constants!$A$2:$A$10=A2797)))"),"")</f>
        <v/>
      </c>
    </row>
    <row r="2798">
      <c r="A2798" s="89"/>
      <c r="B2798" s="87"/>
      <c r="C2798" s="73"/>
      <c r="D2798" s="73"/>
      <c r="E2798" s="82"/>
      <c r="F2798" s="82"/>
      <c r="G2798" s="86"/>
      <c r="H2798" s="86"/>
      <c r="I2798" s="86"/>
      <c r="J2798" s="82"/>
      <c r="K2798" s="82"/>
      <c r="L2798" s="82"/>
      <c r="M2798" s="82"/>
      <c r="N2798" s="82"/>
      <c r="O2798" s="82"/>
      <c r="P2798" s="82"/>
      <c r="Q2798" s="82"/>
      <c r="R2798" s="82"/>
      <c r="S2798" s="82"/>
      <c r="T2798" s="82"/>
      <c r="U2798" s="82"/>
      <c r="V2798" s="82"/>
      <c r="W2798" s="82"/>
      <c r="X2798" s="82"/>
      <c r="Y2798" s="82"/>
      <c r="Z2798" s="82"/>
      <c r="AA2798" s="82"/>
      <c r="AB2798" s="82"/>
      <c r="AC2798" s="82"/>
      <c r="AD2798" s="82"/>
      <c r="AE2798" s="82"/>
      <c r="AF2798" s="82"/>
      <c r="AG2798" s="82"/>
      <c r="AH2798" s="82"/>
      <c r="AI2798" s="82"/>
      <c r="AJ2798" s="82"/>
      <c r="AK2798" s="82"/>
      <c r="AL2798" s="82"/>
      <c r="AM2798" s="82"/>
      <c r="AN2798" s="82">
        <f>IFERROR(__xludf.DUMMYFUNCTION("""COMPUTED_VALUE"""),0.0)</f>
        <v>0</v>
      </c>
      <c r="AO2798" s="82">
        <f>IFERROR(__xludf.DUMMYFUNCTION("""COMPUTED_VALUE"""),0.0)</f>
        <v>0</v>
      </c>
      <c r="AP2798" s="82">
        <f>IFERROR(__xludf.DUMMYFUNCTION("""COMPUTED_VALUE"""),0.0)</f>
        <v>0</v>
      </c>
      <c r="AQ2798" s="82">
        <f>IFERROR(__xludf.DUMMYFUNCTION("""COMPUTED_VALUE"""),0.0)</f>
        <v>0</v>
      </c>
      <c r="AR2798" s="82">
        <f>IFERROR(__xludf.DUMMYFUNCTION("""COMPUTED_VALUE"""),0.0)</f>
        <v>0</v>
      </c>
      <c r="AS2798" s="82"/>
      <c r="AT2798" s="82">
        <f>IFERROR(__xludf.DUMMYFUNCTION("""COMPUTED_VALUE"""),0.0)</f>
        <v>0</v>
      </c>
      <c r="AU2798" s="82"/>
      <c r="AV2798" s="82"/>
      <c r="AW2798" s="82" t="str">
        <f t="shared" si="1"/>
        <v/>
      </c>
      <c r="AX2798" s="83" t="str">
        <f t="array" ref="AX2798">IFERROR(DGET('SBV Import'!A:G,"SBV",{"RSC ID","Tier";B2798,A2798}))</f>
        <v/>
      </c>
      <c r="AY2798" s="82" t="str">
        <f t="shared" si="2"/>
        <v/>
      </c>
      <c r="AZ2798" s="82"/>
      <c r="BA2798" s="84" t="s">
        <v>152</v>
      </c>
      <c r="BB2798" s="84" t="str">
        <f>IFERROR(__xludf.DUMMYFUNCTION("iferror(if(A2798="""",,E2798&gt;=FILTER(Constants!$F$2:$F$10,Constants!$A$2:$A$10=A2798)))"),"")</f>
        <v/>
      </c>
    </row>
    <row r="2799">
      <c r="A2799" s="89"/>
      <c r="B2799" s="87"/>
      <c r="C2799" s="73"/>
      <c r="D2799" s="73"/>
      <c r="E2799" s="82"/>
      <c r="F2799" s="82"/>
      <c r="G2799" s="86"/>
      <c r="H2799" s="86"/>
      <c r="I2799" s="86"/>
      <c r="J2799" s="82"/>
      <c r="K2799" s="82"/>
      <c r="L2799" s="82"/>
      <c r="M2799" s="82"/>
      <c r="N2799" s="82"/>
      <c r="O2799" s="82"/>
      <c r="P2799" s="82"/>
      <c r="Q2799" s="82"/>
      <c r="R2799" s="82"/>
      <c r="S2799" s="82"/>
      <c r="T2799" s="82"/>
      <c r="U2799" s="82"/>
      <c r="V2799" s="82"/>
      <c r="W2799" s="82"/>
      <c r="X2799" s="82"/>
      <c r="Y2799" s="82"/>
      <c r="Z2799" s="82"/>
      <c r="AA2799" s="82"/>
      <c r="AB2799" s="82"/>
      <c r="AC2799" s="82"/>
      <c r="AD2799" s="82"/>
      <c r="AE2799" s="82"/>
      <c r="AF2799" s="82"/>
      <c r="AG2799" s="82"/>
      <c r="AH2799" s="82"/>
      <c r="AI2799" s="82"/>
      <c r="AJ2799" s="82"/>
      <c r="AK2799" s="82"/>
      <c r="AL2799" s="82"/>
      <c r="AM2799" s="82"/>
      <c r="AN2799" s="82"/>
      <c r="AO2799" s="82"/>
      <c r="AP2799" s="82"/>
      <c r="AQ2799" s="82"/>
      <c r="AR2799" s="82"/>
      <c r="AS2799" s="82"/>
      <c r="AT2799" s="82"/>
      <c r="AU2799" s="82"/>
      <c r="AV2799" s="82"/>
      <c r="AW2799" s="82" t="str">
        <f t="shared" si="1"/>
        <v/>
      </c>
      <c r="AX2799" s="83" t="str">
        <f t="array" ref="AX2799">IFERROR(DGET('SBV Import'!A:G,"SBV",{"RSC ID","Tier";B2799,A2799}))</f>
        <v/>
      </c>
      <c r="AY2799" s="82" t="str">
        <f t="shared" si="2"/>
        <v/>
      </c>
      <c r="AZ2799" s="82"/>
      <c r="BA2799" s="84" t="s">
        <v>152</v>
      </c>
      <c r="BB2799" s="84" t="str">
        <f>IFERROR(__xludf.DUMMYFUNCTION("iferror(if(A2799="""",,E2799&gt;=FILTER(Constants!$F$2:$F$10,Constants!$A$2:$A$10=A2799)))"),"")</f>
        <v/>
      </c>
    </row>
    <row r="2800">
      <c r="A2800" s="89"/>
      <c r="B2800" s="87"/>
      <c r="C2800" s="73"/>
      <c r="D2800" s="73"/>
      <c r="E2800" s="82"/>
      <c r="F2800" s="82"/>
      <c r="G2800" s="86"/>
      <c r="H2800" s="86"/>
      <c r="I2800" s="86"/>
      <c r="J2800" s="82"/>
      <c r="K2800" s="82"/>
      <c r="L2800" s="82"/>
      <c r="M2800" s="82"/>
      <c r="N2800" s="82"/>
      <c r="O2800" s="82"/>
      <c r="P2800" s="82"/>
      <c r="Q2800" s="82"/>
      <c r="R2800" s="82"/>
      <c r="S2800" s="82"/>
      <c r="T2800" s="82"/>
      <c r="U2800" s="82"/>
      <c r="V2800" s="82"/>
      <c r="W2800" s="82"/>
      <c r="X2800" s="82"/>
      <c r="Y2800" s="82"/>
      <c r="Z2800" s="82"/>
      <c r="AA2800" s="82"/>
      <c r="AB2800" s="82"/>
      <c r="AC2800" s="82"/>
      <c r="AD2800" s="82"/>
      <c r="AE2800" s="82"/>
      <c r="AF2800" s="82"/>
      <c r="AG2800" s="82"/>
      <c r="AH2800" s="82"/>
      <c r="AI2800" s="82"/>
      <c r="AJ2800" s="82"/>
      <c r="AK2800" s="82"/>
      <c r="AL2800" s="82"/>
      <c r="AM2800" s="82"/>
      <c r="AN2800" s="82"/>
      <c r="AO2800" s="82"/>
      <c r="AP2800" s="82"/>
      <c r="AQ2800" s="82"/>
      <c r="AR2800" s="82"/>
      <c r="AS2800" s="82"/>
      <c r="AT2800" s="82"/>
      <c r="AU2800" s="82"/>
      <c r="AV2800" s="82"/>
      <c r="AW2800" s="82" t="str">
        <f t="shared" si="1"/>
        <v/>
      </c>
      <c r="AX2800" s="83" t="str">
        <f t="array" ref="AX2800">IFERROR(DGET('SBV Import'!A:G,"SBV",{"RSC ID","Tier";B2800,A2800}))</f>
        <v/>
      </c>
      <c r="AY2800" s="82" t="str">
        <f t="shared" si="2"/>
        <v/>
      </c>
      <c r="AZ2800" s="82"/>
      <c r="BA2800" s="84" t="s">
        <v>152</v>
      </c>
      <c r="BB2800" s="84" t="str">
        <f>IFERROR(__xludf.DUMMYFUNCTION("iferror(if(A2800="""",,E2800&gt;=FILTER(Constants!$F$2:$F$10,Constants!$A$2:$A$10=A2800)))"),"")</f>
        <v/>
      </c>
    </row>
    <row r="2801">
      <c r="A2801" s="89"/>
      <c r="B2801" s="87"/>
      <c r="C2801" s="73"/>
      <c r="D2801" s="73"/>
      <c r="E2801" s="82"/>
      <c r="F2801" s="82"/>
      <c r="G2801" s="86"/>
      <c r="H2801" s="86"/>
      <c r="I2801" s="86"/>
      <c r="J2801" s="82"/>
      <c r="K2801" s="82"/>
      <c r="L2801" s="82"/>
      <c r="M2801" s="82"/>
      <c r="N2801" s="82"/>
      <c r="O2801" s="82"/>
      <c r="P2801" s="82"/>
      <c r="Q2801" s="82"/>
      <c r="R2801" s="82"/>
      <c r="S2801" s="82"/>
      <c r="T2801" s="82"/>
      <c r="U2801" s="82"/>
      <c r="V2801" s="82"/>
      <c r="W2801" s="82"/>
      <c r="X2801" s="82"/>
      <c r="Y2801" s="82"/>
      <c r="Z2801" s="82"/>
      <c r="AA2801" s="82"/>
      <c r="AB2801" s="82"/>
      <c r="AC2801" s="82"/>
      <c r="AD2801" s="82"/>
      <c r="AE2801" s="82"/>
      <c r="AF2801" s="82"/>
      <c r="AG2801" s="82"/>
      <c r="AH2801" s="82"/>
      <c r="AI2801" s="82"/>
      <c r="AJ2801" s="82"/>
      <c r="AK2801" s="82"/>
      <c r="AL2801" s="82"/>
      <c r="AM2801" s="82"/>
      <c r="AN2801" s="82"/>
      <c r="AO2801" s="82"/>
      <c r="AP2801" s="82"/>
      <c r="AQ2801" s="82"/>
      <c r="AR2801" s="82"/>
      <c r="AS2801" s="82"/>
      <c r="AT2801" s="82"/>
      <c r="AU2801" s="82"/>
      <c r="AV2801" s="82"/>
      <c r="AW2801" s="82" t="str">
        <f t="shared" si="1"/>
        <v/>
      </c>
      <c r="AX2801" s="83" t="str">
        <f t="array" ref="AX2801">IFERROR(DGET('SBV Import'!A:G,"SBV",{"RSC ID","Tier";B2801,A2801}))</f>
        <v/>
      </c>
      <c r="AY2801" s="82" t="str">
        <f t="shared" si="2"/>
        <v/>
      </c>
      <c r="AZ2801" s="82"/>
      <c r="BA2801" s="84" t="s">
        <v>152</v>
      </c>
      <c r="BB2801" s="84" t="str">
        <f>IFERROR(__xludf.DUMMYFUNCTION("iferror(if(A2801="""",,E2801&gt;=FILTER(Constants!$F$2:$F$10,Constants!$A$2:$A$10=A2801)))"),"")</f>
        <v/>
      </c>
    </row>
    <row r="2802">
      <c r="A2802" s="89"/>
      <c r="B2802" s="87"/>
      <c r="C2802" s="73"/>
      <c r="D2802" s="73"/>
      <c r="E2802" s="82"/>
      <c r="F2802" s="82"/>
      <c r="G2802" s="86"/>
      <c r="H2802" s="86"/>
      <c r="I2802" s="86"/>
      <c r="J2802" s="82"/>
      <c r="K2802" s="82"/>
      <c r="L2802" s="82"/>
      <c r="M2802" s="82"/>
      <c r="N2802" s="82"/>
      <c r="O2802" s="82"/>
      <c r="P2802" s="82"/>
      <c r="Q2802" s="82"/>
      <c r="R2802" s="82"/>
      <c r="S2802" s="82"/>
      <c r="T2802" s="82"/>
      <c r="U2802" s="82"/>
      <c r="V2802" s="82"/>
      <c r="W2802" s="82"/>
      <c r="X2802" s="82"/>
      <c r="Y2802" s="82"/>
      <c r="Z2802" s="82"/>
      <c r="AA2802" s="82"/>
      <c r="AB2802" s="82"/>
      <c r="AC2802" s="82"/>
      <c r="AD2802" s="82"/>
      <c r="AE2802" s="82"/>
      <c r="AF2802" s="82"/>
      <c r="AG2802" s="82"/>
      <c r="AH2802" s="82"/>
      <c r="AI2802" s="82"/>
      <c r="AJ2802" s="82"/>
      <c r="AK2802" s="82"/>
      <c r="AL2802" s="82"/>
      <c r="AM2802" s="82"/>
      <c r="AN2802" s="82"/>
      <c r="AO2802" s="82"/>
      <c r="AP2802" s="82"/>
      <c r="AQ2802" s="82"/>
      <c r="AR2802" s="82"/>
      <c r="AS2802" s="82"/>
      <c r="AT2802" s="82"/>
      <c r="AU2802" s="82"/>
      <c r="AV2802" s="82"/>
      <c r="AW2802" s="82" t="str">
        <f t="shared" si="1"/>
        <v/>
      </c>
      <c r="AX2802" s="83" t="str">
        <f t="array" ref="AX2802">IFERROR(DGET('SBV Import'!A:G,"SBV",{"RSC ID","Tier";B2802,A2802}))</f>
        <v/>
      </c>
      <c r="AY2802" s="82" t="str">
        <f t="shared" si="2"/>
        <v/>
      </c>
      <c r="AZ2802" s="82"/>
      <c r="BA2802" s="84" t="s">
        <v>152</v>
      </c>
      <c r="BB2802" s="84" t="str">
        <f>IFERROR(__xludf.DUMMYFUNCTION("iferror(if(A2802="""",,E2802&gt;=FILTER(Constants!$F$2:$F$10,Constants!$A$2:$A$10=A2802)))"),"")</f>
        <v/>
      </c>
    </row>
    <row r="2803">
      <c r="A2803" s="89"/>
      <c r="B2803" s="87"/>
      <c r="C2803" s="73"/>
      <c r="D2803" s="73"/>
      <c r="E2803" s="82"/>
      <c r="F2803" s="82"/>
      <c r="G2803" s="86"/>
      <c r="H2803" s="86"/>
      <c r="I2803" s="86"/>
      <c r="J2803" s="82"/>
      <c r="K2803" s="82"/>
      <c r="L2803" s="82"/>
      <c r="M2803" s="82"/>
      <c r="N2803" s="82"/>
      <c r="O2803" s="82"/>
      <c r="P2803" s="82"/>
      <c r="Q2803" s="82"/>
      <c r="R2803" s="82"/>
      <c r="S2803" s="82"/>
      <c r="T2803" s="82"/>
      <c r="U2803" s="82"/>
      <c r="V2803" s="82"/>
      <c r="W2803" s="82"/>
      <c r="X2803" s="82"/>
      <c r="Y2803" s="82"/>
      <c r="Z2803" s="82"/>
      <c r="AA2803" s="82"/>
      <c r="AB2803" s="82"/>
      <c r="AC2803" s="82"/>
      <c r="AD2803" s="82"/>
      <c r="AE2803" s="82"/>
      <c r="AF2803" s="82"/>
      <c r="AG2803" s="82"/>
      <c r="AH2803" s="82"/>
      <c r="AI2803" s="82"/>
      <c r="AJ2803" s="82"/>
      <c r="AK2803" s="82"/>
      <c r="AL2803" s="82"/>
      <c r="AM2803" s="82"/>
      <c r="AN2803" s="82"/>
      <c r="AO2803" s="82"/>
      <c r="AP2803" s="82"/>
      <c r="AQ2803" s="82"/>
      <c r="AR2803" s="82"/>
      <c r="AS2803" s="82"/>
      <c r="AT2803" s="82"/>
      <c r="AU2803" s="82"/>
      <c r="AV2803" s="82"/>
      <c r="AW2803" s="82" t="str">
        <f t="shared" si="1"/>
        <v/>
      </c>
      <c r="AX2803" s="83" t="str">
        <f t="array" ref="AX2803">IFERROR(DGET('SBV Import'!A:G,"SBV",{"RSC ID","Tier";B2803,A2803}))</f>
        <v/>
      </c>
      <c r="AY2803" s="82" t="str">
        <f t="shared" si="2"/>
        <v/>
      </c>
      <c r="AZ2803" s="82"/>
      <c r="BA2803" s="84" t="s">
        <v>152</v>
      </c>
      <c r="BB2803" s="84" t="str">
        <f>IFERROR(__xludf.DUMMYFUNCTION("iferror(if(A2803="""",,E2803&gt;=FILTER(Constants!$F$2:$F$10,Constants!$A$2:$A$10=A2803)))"),"")</f>
        <v/>
      </c>
    </row>
    <row r="2804">
      <c r="A2804" s="89"/>
      <c r="B2804" s="87"/>
      <c r="C2804" s="73"/>
      <c r="D2804" s="73"/>
      <c r="E2804" s="82"/>
      <c r="F2804" s="82"/>
      <c r="G2804" s="86"/>
      <c r="H2804" s="86"/>
      <c r="I2804" s="86"/>
      <c r="J2804" s="82"/>
      <c r="K2804" s="82"/>
      <c r="L2804" s="82"/>
      <c r="M2804" s="82"/>
      <c r="N2804" s="82"/>
      <c r="O2804" s="82"/>
      <c r="P2804" s="82"/>
      <c r="Q2804" s="82"/>
      <c r="R2804" s="82"/>
      <c r="S2804" s="82"/>
      <c r="T2804" s="82"/>
      <c r="U2804" s="82"/>
      <c r="V2804" s="82"/>
      <c r="W2804" s="82"/>
      <c r="X2804" s="82"/>
      <c r="Y2804" s="82"/>
      <c r="Z2804" s="82"/>
      <c r="AA2804" s="82"/>
      <c r="AB2804" s="82"/>
      <c r="AC2804" s="82"/>
      <c r="AD2804" s="82"/>
      <c r="AE2804" s="82"/>
      <c r="AF2804" s="82"/>
      <c r="AG2804" s="82"/>
      <c r="AH2804" s="82"/>
      <c r="AI2804" s="82"/>
      <c r="AJ2804" s="82"/>
      <c r="AK2804" s="82"/>
      <c r="AL2804" s="82"/>
      <c r="AM2804" s="82"/>
      <c r="AN2804" s="82"/>
      <c r="AO2804" s="82"/>
      <c r="AP2804" s="82"/>
      <c r="AQ2804" s="82"/>
      <c r="AR2804" s="82"/>
      <c r="AS2804" s="82"/>
      <c r="AT2804" s="82"/>
      <c r="AU2804" s="82"/>
      <c r="AV2804" s="82"/>
      <c r="AW2804" s="82" t="str">
        <f t="shared" si="1"/>
        <v/>
      </c>
      <c r="AX2804" s="83" t="str">
        <f t="array" ref="AX2804">IFERROR(DGET('SBV Import'!A:G,"SBV",{"RSC ID","Tier";B2804,A2804}))</f>
        <v/>
      </c>
      <c r="AY2804" s="82" t="str">
        <f t="shared" si="2"/>
        <v/>
      </c>
      <c r="AZ2804" s="82"/>
      <c r="BA2804" s="84" t="s">
        <v>152</v>
      </c>
      <c r="BB2804" s="84" t="str">
        <f>IFERROR(__xludf.DUMMYFUNCTION("iferror(if(A2804="""",,E2804&gt;=FILTER(Constants!$F$2:$F$10,Constants!$A$2:$A$10=A2804)))"),"")</f>
        <v/>
      </c>
    </row>
    <row r="2805">
      <c r="A2805" s="89"/>
      <c r="B2805" s="87"/>
      <c r="C2805" s="73"/>
      <c r="D2805" s="73"/>
      <c r="E2805" s="82"/>
      <c r="F2805" s="82"/>
      <c r="G2805" s="86"/>
      <c r="H2805" s="86"/>
      <c r="I2805" s="86"/>
      <c r="J2805" s="82"/>
      <c r="K2805" s="82"/>
      <c r="L2805" s="82"/>
      <c r="M2805" s="82"/>
      <c r="N2805" s="82"/>
      <c r="O2805" s="82"/>
      <c r="P2805" s="82"/>
      <c r="Q2805" s="82"/>
      <c r="R2805" s="82"/>
      <c r="S2805" s="82"/>
      <c r="T2805" s="82"/>
      <c r="U2805" s="82"/>
      <c r="V2805" s="82"/>
      <c r="W2805" s="82"/>
      <c r="X2805" s="82"/>
      <c r="Y2805" s="82"/>
      <c r="Z2805" s="82"/>
      <c r="AA2805" s="82"/>
      <c r="AB2805" s="82"/>
      <c r="AC2805" s="82"/>
      <c r="AD2805" s="82"/>
      <c r="AE2805" s="82"/>
      <c r="AF2805" s="82"/>
      <c r="AG2805" s="82"/>
      <c r="AH2805" s="82"/>
      <c r="AI2805" s="82"/>
      <c r="AJ2805" s="82"/>
      <c r="AK2805" s="82"/>
      <c r="AL2805" s="82"/>
      <c r="AM2805" s="82"/>
      <c r="AN2805" s="82"/>
      <c r="AO2805" s="82"/>
      <c r="AP2805" s="82"/>
      <c r="AQ2805" s="82"/>
      <c r="AR2805" s="82"/>
      <c r="AS2805" s="82"/>
      <c r="AT2805" s="82"/>
      <c r="AU2805" s="82"/>
      <c r="AV2805" s="82"/>
      <c r="AW2805" s="82" t="str">
        <f t="shared" si="1"/>
        <v/>
      </c>
      <c r="AX2805" s="83" t="str">
        <f t="array" ref="AX2805">IFERROR(DGET('SBV Import'!A:G,"SBV",{"RSC ID","Tier";B2805,A2805}))</f>
        <v/>
      </c>
      <c r="AY2805" s="82" t="str">
        <f t="shared" si="2"/>
        <v/>
      </c>
      <c r="AZ2805" s="82"/>
      <c r="BA2805" s="84" t="s">
        <v>152</v>
      </c>
      <c r="BB2805" s="84" t="str">
        <f>IFERROR(__xludf.DUMMYFUNCTION("iferror(if(A2805="""",,E2805&gt;=FILTER(Constants!$F$2:$F$10,Constants!$A$2:$A$10=A2805)))"),"")</f>
        <v/>
      </c>
    </row>
    <row r="2806">
      <c r="A2806" s="89"/>
      <c r="B2806" s="87"/>
      <c r="C2806" s="73"/>
      <c r="D2806" s="73"/>
      <c r="E2806" s="82"/>
      <c r="F2806" s="82"/>
      <c r="G2806" s="86"/>
      <c r="H2806" s="86"/>
      <c r="I2806" s="86"/>
      <c r="J2806" s="82"/>
      <c r="K2806" s="82"/>
      <c r="L2806" s="82"/>
      <c r="M2806" s="82"/>
      <c r="N2806" s="82"/>
      <c r="O2806" s="82"/>
      <c r="P2806" s="82"/>
      <c r="Q2806" s="82"/>
      <c r="R2806" s="82"/>
      <c r="S2806" s="82"/>
      <c r="T2806" s="82"/>
      <c r="U2806" s="82"/>
      <c r="V2806" s="82"/>
      <c r="W2806" s="82"/>
      <c r="X2806" s="82"/>
      <c r="Y2806" s="82"/>
      <c r="Z2806" s="82"/>
      <c r="AA2806" s="82"/>
      <c r="AB2806" s="82"/>
      <c r="AC2806" s="82"/>
      <c r="AD2806" s="82"/>
      <c r="AE2806" s="82"/>
      <c r="AF2806" s="82"/>
      <c r="AG2806" s="82"/>
      <c r="AH2806" s="82"/>
      <c r="AI2806" s="82"/>
      <c r="AJ2806" s="82"/>
      <c r="AK2806" s="82"/>
      <c r="AL2806" s="82"/>
      <c r="AM2806" s="82"/>
      <c r="AN2806" s="82"/>
      <c r="AO2806" s="82"/>
      <c r="AP2806" s="82"/>
      <c r="AQ2806" s="82"/>
      <c r="AR2806" s="82"/>
      <c r="AS2806" s="82"/>
      <c r="AT2806" s="82"/>
      <c r="AU2806" s="82"/>
      <c r="AV2806" s="82"/>
      <c r="AW2806" s="82" t="str">
        <f t="shared" si="1"/>
        <v/>
      </c>
      <c r="AX2806" s="83" t="str">
        <f t="array" ref="AX2806">IFERROR(DGET('SBV Import'!A:G,"SBV",{"RSC ID","Tier";B2806,A2806}))</f>
        <v/>
      </c>
      <c r="AY2806" s="82" t="str">
        <f t="shared" si="2"/>
        <v/>
      </c>
      <c r="AZ2806" s="82"/>
      <c r="BA2806" s="84" t="s">
        <v>152</v>
      </c>
      <c r="BB2806" s="84" t="str">
        <f>IFERROR(__xludf.DUMMYFUNCTION("iferror(if(A2806="""",,E2806&gt;=FILTER(Constants!$F$2:$F$10,Constants!$A$2:$A$10=A2806)))"),"")</f>
        <v/>
      </c>
    </row>
    <row r="2807">
      <c r="A2807" s="89"/>
      <c r="B2807" s="87"/>
      <c r="C2807" s="73"/>
      <c r="D2807" s="73"/>
      <c r="E2807" s="82"/>
      <c r="F2807" s="82"/>
      <c r="G2807" s="86"/>
      <c r="H2807" s="86"/>
      <c r="I2807" s="86"/>
      <c r="J2807" s="82"/>
      <c r="K2807" s="82"/>
      <c r="L2807" s="82"/>
      <c r="M2807" s="82"/>
      <c r="N2807" s="82"/>
      <c r="O2807" s="82"/>
      <c r="P2807" s="82"/>
      <c r="Q2807" s="82"/>
      <c r="R2807" s="82"/>
      <c r="S2807" s="82"/>
      <c r="T2807" s="82"/>
      <c r="U2807" s="82"/>
      <c r="V2807" s="82"/>
      <c r="W2807" s="82"/>
      <c r="X2807" s="82"/>
      <c r="Y2807" s="82"/>
      <c r="Z2807" s="82"/>
      <c r="AA2807" s="82"/>
      <c r="AB2807" s="82"/>
      <c r="AC2807" s="82"/>
      <c r="AD2807" s="82"/>
      <c r="AE2807" s="82"/>
      <c r="AF2807" s="82"/>
      <c r="AG2807" s="82"/>
      <c r="AH2807" s="82"/>
      <c r="AI2807" s="82"/>
      <c r="AJ2807" s="82"/>
      <c r="AK2807" s="82"/>
      <c r="AL2807" s="82"/>
      <c r="AM2807" s="82"/>
      <c r="AN2807" s="82"/>
      <c r="AO2807" s="82"/>
      <c r="AP2807" s="82"/>
      <c r="AQ2807" s="82"/>
      <c r="AR2807" s="82"/>
      <c r="AS2807" s="82"/>
      <c r="AT2807" s="82"/>
      <c r="AU2807" s="82"/>
      <c r="AV2807" s="82"/>
      <c r="AW2807" s="82" t="str">
        <f t="shared" si="1"/>
        <v/>
      </c>
      <c r="AX2807" s="83" t="str">
        <f t="array" ref="AX2807">IFERROR(DGET('SBV Import'!A:G,"SBV",{"RSC ID","Tier";B2807,A2807}))</f>
        <v/>
      </c>
      <c r="AY2807" s="82" t="str">
        <f t="shared" si="2"/>
        <v/>
      </c>
      <c r="AZ2807" s="82"/>
      <c r="BA2807" s="84" t="s">
        <v>152</v>
      </c>
      <c r="BB2807" s="84" t="str">
        <f>IFERROR(__xludf.DUMMYFUNCTION("iferror(if(A2807="""",,E2807&gt;=FILTER(Constants!$F$2:$F$10,Constants!$A$2:$A$10=A2807)))"),"")</f>
        <v/>
      </c>
    </row>
    <row r="2808">
      <c r="A2808" s="89"/>
      <c r="B2808" s="87"/>
      <c r="C2808" s="73"/>
      <c r="D2808" s="73"/>
      <c r="E2808" s="82"/>
      <c r="F2808" s="82"/>
      <c r="G2808" s="86"/>
      <c r="H2808" s="86"/>
      <c r="I2808" s="86"/>
      <c r="J2808" s="82"/>
      <c r="K2808" s="82"/>
      <c r="L2808" s="82"/>
      <c r="M2808" s="82"/>
      <c r="N2808" s="82"/>
      <c r="O2808" s="82"/>
      <c r="P2808" s="82"/>
      <c r="Q2808" s="82"/>
      <c r="R2808" s="82"/>
      <c r="S2808" s="82"/>
      <c r="T2808" s="82"/>
      <c r="U2808" s="82"/>
      <c r="V2808" s="82"/>
      <c r="W2808" s="82"/>
      <c r="X2808" s="82"/>
      <c r="Y2808" s="82"/>
      <c r="Z2808" s="82"/>
      <c r="AA2808" s="82"/>
      <c r="AB2808" s="82"/>
      <c r="AC2808" s="82"/>
      <c r="AD2808" s="82"/>
      <c r="AE2808" s="82"/>
      <c r="AF2808" s="82"/>
      <c r="AG2808" s="82"/>
      <c r="AH2808" s="82"/>
      <c r="AI2808" s="82"/>
      <c r="AJ2808" s="82"/>
      <c r="AK2808" s="82"/>
      <c r="AL2808" s="82"/>
      <c r="AM2808" s="82"/>
      <c r="AN2808" s="82"/>
      <c r="AO2808" s="82"/>
      <c r="AP2808" s="82"/>
      <c r="AQ2808" s="82"/>
      <c r="AR2808" s="82"/>
      <c r="AS2808" s="82"/>
      <c r="AT2808" s="82"/>
      <c r="AU2808" s="82"/>
      <c r="AV2808" s="82"/>
      <c r="AW2808" s="82" t="str">
        <f t="shared" si="1"/>
        <v/>
      </c>
      <c r="AX2808" s="83" t="str">
        <f t="array" ref="AX2808">IFERROR(DGET('SBV Import'!A:G,"SBV",{"RSC ID","Tier";B2808,A2808}))</f>
        <v/>
      </c>
      <c r="AY2808" s="82" t="str">
        <f t="shared" si="2"/>
        <v/>
      </c>
      <c r="AZ2808" s="82"/>
      <c r="BA2808" s="84" t="s">
        <v>152</v>
      </c>
      <c r="BB2808" s="84" t="str">
        <f>IFERROR(__xludf.DUMMYFUNCTION("iferror(if(A2808="""",,E2808&gt;=FILTER(Constants!$F$2:$F$10,Constants!$A$2:$A$10=A2808)))"),"")</f>
        <v/>
      </c>
    </row>
    <row r="2809">
      <c r="A2809" s="89"/>
      <c r="B2809" s="87"/>
      <c r="C2809" s="73"/>
      <c r="D2809" s="73"/>
      <c r="E2809" s="82"/>
      <c r="F2809" s="82"/>
      <c r="G2809" s="86"/>
      <c r="H2809" s="86"/>
      <c r="I2809" s="86"/>
      <c r="J2809" s="82"/>
      <c r="K2809" s="82"/>
      <c r="L2809" s="82"/>
      <c r="M2809" s="82"/>
      <c r="N2809" s="82"/>
      <c r="O2809" s="82"/>
      <c r="P2809" s="82"/>
      <c r="Q2809" s="82"/>
      <c r="R2809" s="82"/>
      <c r="S2809" s="82"/>
      <c r="T2809" s="82"/>
      <c r="U2809" s="82"/>
      <c r="V2809" s="82"/>
      <c r="W2809" s="82"/>
      <c r="X2809" s="82"/>
      <c r="Y2809" s="82"/>
      <c r="Z2809" s="82"/>
      <c r="AA2809" s="82"/>
      <c r="AB2809" s="82"/>
      <c r="AC2809" s="82"/>
      <c r="AD2809" s="82"/>
      <c r="AE2809" s="82"/>
      <c r="AF2809" s="82"/>
      <c r="AG2809" s="82"/>
      <c r="AH2809" s="82"/>
      <c r="AI2809" s="82"/>
      <c r="AJ2809" s="82"/>
      <c r="AK2809" s="82"/>
      <c r="AL2809" s="82"/>
      <c r="AM2809" s="82"/>
      <c r="AN2809" s="82"/>
      <c r="AO2809" s="82"/>
      <c r="AP2809" s="82"/>
      <c r="AQ2809" s="82"/>
      <c r="AR2809" s="82"/>
      <c r="AS2809" s="82"/>
      <c r="AT2809" s="82"/>
      <c r="AU2809" s="82"/>
      <c r="AV2809" s="82"/>
      <c r="AW2809" s="82" t="str">
        <f t="shared" si="1"/>
        <v/>
      </c>
      <c r="AX2809" s="83" t="str">
        <f t="array" ref="AX2809">IFERROR(DGET('SBV Import'!A:G,"SBV",{"RSC ID","Tier";B2809,A2809}))</f>
        <v/>
      </c>
      <c r="AY2809" s="82" t="str">
        <f t="shared" si="2"/>
        <v/>
      </c>
      <c r="AZ2809" s="82"/>
      <c r="BA2809" s="84" t="s">
        <v>152</v>
      </c>
      <c r="BB2809" s="84" t="str">
        <f>IFERROR(__xludf.DUMMYFUNCTION("iferror(if(A2809="""",,E2809&gt;=FILTER(Constants!$F$2:$F$10,Constants!$A$2:$A$10=A2809)))"),"")</f>
        <v/>
      </c>
    </row>
    <row r="2810">
      <c r="A2810" s="89"/>
      <c r="B2810" s="87"/>
      <c r="C2810" s="73"/>
      <c r="D2810" s="73"/>
      <c r="E2810" s="82"/>
      <c r="F2810" s="82"/>
      <c r="G2810" s="86"/>
      <c r="H2810" s="86"/>
      <c r="I2810" s="86"/>
      <c r="J2810" s="82"/>
      <c r="K2810" s="82"/>
      <c r="L2810" s="82"/>
      <c r="M2810" s="82"/>
      <c r="N2810" s="82"/>
      <c r="O2810" s="82"/>
      <c r="P2810" s="82"/>
      <c r="Q2810" s="82"/>
      <c r="R2810" s="82"/>
      <c r="S2810" s="82"/>
      <c r="T2810" s="82"/>
      <c r="U2810" s="82"/>
      <c r="V2810" s="82"/>
      <c r="W2810" s="82"/>
      <c r="X2810" s="82"/>
      <c r="Y2810" s="82"/>
      <c r="Z2810" s="82"/>
      <c r="AA2810" s="82"/>
      <c r="AB2810" s="82"/>
      <c r="AC2810" s="82"/>
      <c r="AD2810" s="82"/>
      <c r="AE2810" s="82"/>
      <c r="AF2810" s="82"/>
      <c r="AG2810" s="82"/>
      <c r="AH2810" s="82"/>
      <c r="AI2810" s="82"/>
      <c r="AJ2810" s="82"/>
      <c r="AK2810" s="82"/>
      <c r="AL2810" s="82"/>
      <c r="AM2810" s="82"/>
      <c r="AN2810" s="82"/>
      <c r="AO2810" s="82"/>
      <c r="AP2810" s="82"/>
      <c r="AQ2810" s="82"/>
      <c r="AR2810" s="82"/>
      <c r="AS2810" s="82"/>
      <c r="AT2810" s="82"/>
      <c r="AU2810" s="82"/>
      <c r="AV2810" s="82"/>
      <c r="AW2810" s="82" t="str">
        <f t="shared" si="1"/>
        <v/>
      </c>
      <c r="AX2810" s="83" t="str">
        <f t="array" ref="AX2810">IFERROR(DGET('SBV Import'!A:G,"SBV",{"RSC ID","Tier";B2810,A2810}))</f>
        <v/>
      </c>
      <c r="AY2810" s="82" t="str">
        <f t="shared" si="2"/>
        <v/>
      </c>
      <c r="AZ2810" s="82"/>
      <c r="BA2810" s="84" t="s">
        <v>152</v>
      </c>
      <c r="BB2810" s="84" t="str">
        <f>IFERROR(__xludf.DUMMYFUNCTION("iferror(if(A2810="""",,E2810&gt;=FILTER(Constants!$F$2:$F$10,Constants!$A$2:$A$10=A2810)))"),"")</f>
        <v/>
      </c>
    </row>
    <row r="2811">
      <c r="A2811" s="89"/>
      <c r="B2811" s="87"/>
      <c r="C2811" s="73"/>
      <c r="D2811" s="73"/>
      <c r="E2811" s="82"/>
      <c r="F2811" s="82"/>
      <c r="G2811" s="86"/>
      <c r="H2811" s="86"/>
      <c r="I2811" s="86"/>
      <c r="J2811" s="82"/>
      <c r="K2811" s="82"/>
      <c r="L2811" s="82"/>
      <c r="M2811" s="82"/>
      <c r="N2811" s="82"/>
      <c r="O2811" s="82"/>
      <c r="P2811" s="82"/>
      <c r="Q2811" s="82"/>
      <c r="R2811" s="82"/>
      <c r="S2811" s="82"/>
      <c r="T2811" s="82"/>
      <c r="U2811" s="82"/>
      <c r="V2811" s="82"/>
      <c r="W2811" s="82"/>
      <c r="X2811" s="82"/>
      <c r="Y2811" s="82"/>
      <c r="Z2811" s="82"/>
      <c r="AA2811" s="82"/>
      <c r="AB2811" s="82"/>
      <c r="AC2811" s="82"/>
      <c r="AD2811" s="82"/>
      <c r="AE2811" s="82"/>
      <c r="AF2811" s="82"/>
      <c r="AG2811" s="82"/>
      <c r="AH2811" s="82"/>
      <c r="AI2811" s="82"/>
      <c r="AJ2811" s="82"/>
      <c r="AK2811" s="82"/>
      <c r="AL2811" s="82"/>
      <c r="AM2811" s="82"/>
      <c r="AN2811" s="82"/>
      <c r="AO2811" s="82"/>
      <c r="AP2811" s="82"/>
      <c r="AQ2811" s="82"/>
      <c r="AR2811" s="82"/>
      <c r="AS2811" s="82"/>
      <c r="AT2811" s="82"/>
      <c r="AU2811" s="82"/>
      <c r="AV2811" s="82"/>
      <c r="AW2811" s="82" t="str">
        <f t="shared" si="1"/>
        <v/>
      </c>
      <c r="AX2811" s="83" t="str">
        <f t="array" ref="AX2811">IFERROR(DGET('SBV Import'!A:G,"SBV",{"RSC ID","Tier";B2811,A2811}))</f>
        <v/>
      </c>
      <c r="AY2811" s="82" t="str">
        <f t="shared" si="2"/>
        <v/>
      </c>
      <c r="AZ2811" s="82"/>
      <c r="BA2811" s="84" t="s">
        <v>152</v>
      </c>
      <c r="BB2811" s="84" t="str">
        <f>IFERROR(__xludf.DUMMYFUNCTION("iferror(if(A2811="""",,E2811&gt;=FILTER(Constants!$F$2:$F$10,Constants!$A$2:$A$10=A2811)))"),"")</f>
        <v/>
      </c>
    </row>
    <row r="2812">
      <c r="A2812" s="89"/>
      <c r="B2812" s="87"/>
      <c r="C2812" s="73"/>
      <c r="D2812" s="73"/>
      <c r="E2812" s="82"/>
      <c r="F2812" s="82"/>
      <c r="G2812" s="86"/>
      <c r="H2812" s="86"/>
      <c r="I2812" s="86"/>
      <c r="J2812" s="82"/>
      <c r="K2812" s="82"/>
      <c r="L2812" s="82"/>
      <c r="M2812" s="82"/>
      <c r="N2812" s="82"/>
      <c r="O2812" s="82"/>
      <c r="P2812" s="82"/>
      <c r="Q2812" s="82"/>
      <c r="R2812" s="82"/>
      <c r="S2812" s="82"/>
      <c r="T2812" s="82"/>
      <c r="U2812" s="82"/>
      <c r="V2812" s="82"/>
      <c r="W2812" s="82"/>
      <c r="X2812" s="82"/>
      <c r="Y2812" s="82"/>
      <c r="Z2812" s="82"/>
      <c r="AA2812" s="82"/>
      <c r="AB2812" s="82"/>
      <c r="AC2812" s="82"/>
      <c r="AD2812" s="82"/>
      <c r="AE2812" s="82"/>
      <c r="AF2812" s="82"/>
      <c r="AG2812" s="82"/>
      <c r="AH2812" s="82"/>
      <c r="AI2812" s="82"/>
      <c r="AJ2812" s="82"/>
      <c r="AK2812" s="82"/>
      <c r="AL2812" s="82"/>
      <c r="AM2812" s="82"/>
      <c r="AN2812" s="82"/>
      <c r="AO2812" s="82"/>
      <c r="AP2812" s="82"/>
      <c r="AQ2812" s="82"/>
      <c r="AR2812" s="82"/>
      <c r="AS2812" s="82"/>
      <c r="AT2812" s="82"/>
      <c r="AU2812" s="82"/>
      <c r="AV2812" s="82"/>
      <c r="AW2812" s="82" t="str">
        <f t="shared" si="1"/>
        <v/>
      </c>
      <c r="AX2812" s="83" t="str">
        <f t="array" ref="AX2812">IFERROR(DGET('SBV Import'!A:G,"SBV",{"RSC ID","Tier";B2812,A2812}))</f>
        <v/>
      </c>
      <c r="AY2812" s="82" t="str">
        <f t="shared" si="2"/>
        <v/>
      </c>
      <c r="AZ2812" s="82"/>
      <c r="BA2812" s="84" t="s">
        <v>152</v>
      </c>
      <c r="BB2812" s="84" t="str">
        <f>IFERROR(__xludf.DUMMYFUNCTION("iferror(if(A2812="""",,E2812&gt;=FILTER(Constants!$F$2:$F$10,Constants!$A$2:$A$10=A2812)))"),"")</f>
        <v/>
      </c>
    </row>
    <row r="2813">
      <c r="A2813" s="89"/>
      <c r="B2813" s="87"/>
      <c r="C2813" s="73"/>
      <c r="D2813" s="73"/>
      <c r="E2813" s="82"/>
      <c r="F2813" s="82"/>
      <c r="G2813" s="86"/>
      <c r="H2813" s="86"/>
      <c r="I2813" s="86"/>
      <c r="J2813" s="82"/>
      <c r="K2813" s="82"/>
      <c r="L2813" s="82"/>
      <c r="M2813" s="82"/>
      <c r="N2813" s="82"/>
      <c r="O2813" s="82"/>
      <c r="P2813" s="82"/>
      <c r="Q2813" s="82"/>
      <c r="R2813" s="82"/>
      <c r="S2813" s="82"/>
      <c r="T2813" s="82"/>
      <c r="U2813" s="82"/>
      <c r="V2813" s="82"/>
      <c r="W2813" s="82"/>
      <c r="X2813" s="82"/>
      <c r="Y2813" s="82"/>
      <c r="Z2813" s="82"/>
      <c r="AA2813" s="82"/>
      <c r="AB2813" s="82"/>
      <c r="AC2813" s="82"/>
      <c r="AD2813" s="82"/>
      <c r="AE2813" s="82"/>
      <c r="AF2813" s="82"/>
      <c r="AG2813" s="82"/>
      <c r="AH2813" s="82"/>
      <c r="AI2813" s="82"/>
      <c r="AJ2813" s="82"/>
      <c r="AK2813" s="82"/>
      <c r="AL2813" s="82"/>
      <c r="AM2813" s="82"/>
      <c r="AN2813" s="82"/>
      <c r="AO2813" s="82"/>
      <c r="AP2813" s="82"/>
      <c r="AQ2813" s="82"/>
      <c r="AR2813" s="82"/>
      <c r="AS2813" s="82"/>
      <c r="AT2813" s="82"/>
      <c r="AU2813" s="82"/>
      <c r="AV2813" s="82"/>
      <c r="AW2813" s="82" t="str">
        <f t="shared" si="1"/>
        <v/>
      </c>
      <c r="AX2813" s="83" t="str">
        <f t="array" ref="AX2813">IFERROR(DGET('SBV Import'!A:G,"SBV",{"RSC ID","Tier";B2813,A2813}))</f>
        <v/>
      </c>
      <c r="AY2813" s="82" t="str">
        <f t="shared" si="2"/>
        <v/>
      </c>
      <c r="AZ2813" s="82"/>
      <c r="BA2813" s="84" t="s">
        <v>152</v>
      </c>
      <c r="BB2813" s="84" t="str">
        <f>IFERROR(__xludf.DUMMYFUNCTION("iferror(if(A2813="""",,E2813&gt;=FILTER(Constants!$F$2:$F$10,Constants!$A$2:$A$10=A2813)))"),"")</f>
        <v/>
      </c>
    </row>
    <row r="2814">
      <c r="A2814" s="89"/>
      <c r="B2814" s="87"/>
      <c r="C2814" s="73"/>
      <c r="D2814" s="73"/>
      <c r="E2814" s="82"/>
      <c r="F2814" s="82"/>
      <c r="G2814" s="86"/>
      <c r="H2814" s="86"/>
      <c r="I2814" s="86"/>
      <c r="J2814" s="82"/>
      <c r="K2814" s="82"/>
      <c r="L2814" s="82"/>
      <c r="M2814" s="82"/>
      <c r="N2814" s="82"/>
      <c r="O2814" s="82"/>
      <c r="P2814" s="82"/>
      <c r="Q2814" s="82"/>
      <c r="R2814" s="82"/>
      <c r="S2814" s="82"/>
      <c r="T2814" s="82"/>
      <c r="U2814" s="82"/>
      <c r="V2814" s="82"/>
      <c r="W2814" s="82"/>
      <c r="X2814" s="82"/>
      <c r="Y2814" s="82"/>
      <c r="Z2814" s="82"/>
      <c r="AA2814" s="82"/>
      <c r="AB2814" s="82"/>
      <c r="AC2814" s="82"/>
      <c r="AD2814" s="82"/>
      <c r="AE2814" s="82"/>
      <c r="AF2814" s="82"/>
      <c r="AG2814" s="82"/>
      <c r="AH2814" s="82"/>
      <c r="AI2814" s="82"/>
      <c r="AJ2814" s="82"/>
      <c r="AK2814" s="82"/>
      <c r="AL2814" s="82"/>
      <c r="AM2814" s="82"/>
      <c r="AN2814" s="82"/>
      <c r="AO2814" s="82"/>
      <c r="AP2814" s="82"/>
      <c r="AQ2814" s="82"/>
      <c r="AR2814" s="82"/>
      <c r="AS2814" s="82"/>
      <c r="AT2814" s="82"/>
      <c r="AU2814" s="82"/>
      <c r="AV2814" s="82"/>
      <c r="AW2814" s="82" t="str">
        <f t="shared" si="1"/>
        <v/>
      </c>
      <c r="AX2814" s="83" t="str">
        <f t="array" ref="AX2814">IFERROR(DGET('SBV Import'!A:G,"SBV",{"RSC ID","Tier";B2814,A2814}))</f>
        <v/>
      </c>
      <c r="AY2814" s="82" t="str">
        <f t="shared" si="2"/>
        <v/>
      </c>
      <c r="AZ2814" s="82"/>
      <c r="BA2814" s="84" t="s">
        <v>152</v>
      </c>
      <c r="BB2814" s="84" t="str">
        <f>IFERROR(__xludf.DUMMYFUNCTION("iferror(if(A2814="""",,E2814&gt;=FILTER(Constants!$F$2:$F$10,Constants!$A$2:$A$10=A2814)))"),"")</f>
        <v/>
      </c>
    </row>
    <row r="2815">
      <c r="A2815" s="89"/>
      <c r="B2815" s="87"/>
      <c r="C2815" s="73"/>
      <c r="D2815" s="73"/>
      <c r="E2815" s="82"/>
      <c r="F2815" s="82"/>
      <c r="G2815" s="86"/>
      <c r="H2815" s="86"/>
      <c r="I2815" s="86"/>
      <c r="J2815" s="82"/>
      <c r="K2815" s="82"/>
      <c r="L2815" s="82"/>
      <c r="M2815" s="82"/>
      <c r="N2815" s="82"/>
      <c r="O2815" s="82"/>
      <c r="P2815" s="82"/>
      <c r="Q2815" s="82"/>
      <c r="R2815" s="82"/>
      <c r="S2815" s="82"/>
      <c r="T2815" s="82"/>
      <c r="U2815" s="82"/>
      <c r="V2815" s="82"/>
      <c r="W2815" s="82"/>
      <c r="X2815" s="82"/>
      <c r="Y2815" s="82"/>
      <c r="Z2815" s="82"/>
      <c r="AA2815" s="82"/>
      <c r="AB2815" s="82"/>
      <c r="AC2815" s="82"/>
      <c r="AD2815" s="82"/>
      <c r="AE2815" s="82"/>
      <c r="AF2815" s="82"/>
      <c r="AG2815" s="82"/>
      <c r="AH2815" s="82"/>
      <c r="AI2815" s="82"/>
      <c r="AJ2815" s="82"/>
      <c r="AK2815" s="82"/>
      <c r="AL2815" s="82"/>
      <c r="AM2815" s="82"/>
      <c r="AN2815" s="82"/>
      <c r="AO2815" s="82"/>
      <c r="AP2815" s="82"/>
      <c r="AQ2815" s="82"/>
      <c r="AR2815" s="82"/>
      <c r="AS2815" s="82"/>
      <c r="AT2815" s="82"/>
      <c r="AU2815" s="82"/>
      <c r="AV2815" s="82"/>
      <c r="AW2815" s="82" t="str">
        <f t="shared" si="1"/>
        <v/>
      </c>
      <c r="AX2815" s="83" t="str">
        <f t="array" ref="AX2815">IFERROR(DGET('SBV Import'!A:G,"SBV",{"RSC ID","Tier";B2815,A2815}))</f>
        <v/>
      </c>
      <c r="AY2815" s="82" t="str">
        <f t="shared" si="2"/>
        <v/>
      </c>
      <c r="AZ2815" s="82"/>
      <c r="BA2815" s="84" t="s">
        <v>152</v>
      </c>
      <c r="BB2815" s="84" t="str">
        <f>IFERROR(__xludf.DUMMYFUNCTION("iferror(if(A2815="""",,E2815&gt;=FILTER(Constants!$F$2:$F$10,Constants!$A$2:$A$10=A2815)))"),"")</f>
        <v/>
      </c>
    </row>
    <row r="2816">
      <c r="A2816" s="89"/>
      <c r="B2816" s="87"/>
      <c r="C2816" s="73"/>
      <c r="D2816" s="73"/>
      <c r="E2816" s="82"/>
      <c r="F2816" s="82"/>
      <c r="G2816" s="86"/>
      <c r="H2816" s="86"/>
      <c r="I2816" s="86"/>
      <c r="J2816" s="82"/>
      <c r="K2816" s="82"/>
      <c r="L2816" s="82"/>
      <c r="M2816" s="82"/>
      <c r="N2816" s="82"/>
      <c r="O2816" s="82"/>
      <c r="P2816" s="82"/>
      <c r="Q2816" s="82"/>
      <c r="R2816" s="82"/>
      <c r="S2816" s="82"/>
      <c r="T2816" s="82"/>
      <c r="U2816" s="82"/>
      <c r="V2816" s="82"/>
      <c r="W2816" s="82"/>
      <c r="X2816" s="82"/>
      <c r="Y2816" s="82"/>
      <c r="Z2816" s="82"/>
      <c r="AA2816" s="82"/>
      <c r="AB2816" s="82"/>
      <c r="AC2816" s="82"/>
      <c r="AD2816" s="82"/>
      <c r="AE2816" s="82"/>
      <c r="AF2816" s="82"/>
      <c r="AG2816" s="82"/>
      <c r="AH2816" s="82"/>
      <c r="AI2816" s="82"/>
      <c r="AJ2816" s="82"/>
      <c r="AK2816" s="82"/>
      <c r="AL2816" s="82"/>
      <c r="AM2816" s="82"/>
      <c r="AN2816" s="82"/>
      <c r="AO2816" s="82"/>
      <c r="AP2816" s="82"/>
      <c r="AQ2816" s="82"/>
      <c r="AR2816" s="82"/>
      <c r="AS2816" s="82"/>
      <c r="AT2816" s="82"/>
      <c r="AU2816" s="82"/>
      <c r="AV2816" s="82"/>
      <c r="AW2816" s="82" t="str">
        <f t="shared" si="1"/>
        <v/>
      </c>
      <c r="AX2816" s="83" t="str">
        <f t="array" ref="AX2816">IFERROR(DGET('SBV Import'!A:G,"SBV",{"RSC ID","Tier";B2816,A2816}))</f>
        <v/>
      </c>
      <c r="AY2816" s="82" t="str">
        <f t="shared" si="2"/>
        <v/>
      </c>
      <c r="AZ2816" s="82"/>
      <c r="BA2816" s="84" t="s">
        <v>152</v>
      </c>
      <c r="BB2816" s="84" t="str">
        <f>IFERROR(__xludf.DUMMYFUNCTION("iferror(if(A2816="""",,E2816&gt;=FILTER(Constants!$F$2:$F$10,Constants!$A$2:$A$10=A2816)))"),"")</f>
        <v/>
      </c>
    </row>
    <row r="2817">
      <c r="A2817" s="89"/>
      <c r="B2817" s="87"/>
      <c r="C2817" s="73"/>
      <c r="D2817" s="73"/>
      <c r="E2817" s="82"/>
      <c r="F2817" s="82"/>
      <c r="G2817" s="86"/>
      <c r="H2817" s="86"/>
      <c r="I2817" s="86"/>
      <c r="J2817" s="82"/>
      <c r="K2817" s="82"/>
      <c r="L2817" s="82"/>
      <c r="M2817" s="82"/>
      <c r="N2817" s="82"/>
      <c r="O2817" s="82"/>
      <c r="P2817" s="82"/>
      <c r="Q2817" s="82"/>
      <c r="R2817" s="82"/>
      <c r="S2817" s="82"/>
      <c r="T2817" s="82"/>
      <c r="U2817" s="82"/>
      <c r="V2817" s="82"/>
      <c r="W2817" s="82"/>
      <c r="X2817" s="82"/>
      <c r="Y2817" s="82"/>
      <c r="Z2817" s="82"/>
      <c r="AA2817" s="82"/>
      <c r="AB2817" s="82"/>
      <c r="AC2817" s="82"/>
      <c r="AD2817" s="82"/>
      <c r="AE2817" s="82"/>
      <c r="AF2817" s="82"/>
      <c r="AG2817" s="82"/>
      <c r="AH2817" s="82"/>
      <c r="AI2817" s="82"/>
      <c r="AJ2817" s="82"/>
      <c r="AK2817" s="82"/>
      <c r="AL2817" s="82"/>
      <c r="AM2817" s="82"/>
      <c r="AN2817" s="82"/>
      <c r="AO2817" s="82"/>
      <c r="AP2817" s="82"/>
      <c r="AQ2817" s="82"/>
      <c r="AR2817" s="82"/>
      <c r="AS2817" s="82"/>
      <c r="AT2817" s="82"/>
      <c r="AU2817" s="82"/>
      <c r="AV2817" s="82"/>
      <c r="AW2817" s="82" t="str">
        <f t="shared" si="1"/>
        <v/>
      </c>
      <c r="AX2817" s="83" t="str">
        <f t="array" ref="AX2817">IFERROR(DGET('SBV Import'!A:G,"SBV",{"RSC ID","Tier";B2817,A2817}))</f>
        <v/>
      </c>
      <c r="AY2817" s="82" t="str">
        <f t="shared" si="2"/>
        <v/>
      </c>
      <c r="AZ2817" s="82"/>
      <c r="BA2817" s="84" t="s">
        <v>152</v>
      </c>
      <c r="BB2817" s="84" t="str">
        <f>IFERROR(__xludf.DUMMYFUNCTION("iferror(if(A2817="""",,E2817&gt;=FILTER(Constants!$F$2:$F$10,Constants!$A$2:$A$10=A2817)))"),"")</f>
        <v/>
      </c>
    </row>
    <row r="2818">
      <c r="A2818" s="89"/>
      <c r="B2818" s="87"/>
      <c r="C2818" s="73"/>
      <c r="D2818" s="73"/>
      <c r="E2818" s="82"/>
      <c r="F2818" s="82"/>
      <c r="G2818" s="86"/>
      <c r="H2818" s="86"/>
      <c r="I2818" s="86"/>
      <c r="J2818" s="82"/>
      <c r="K2818" s="82"/>
      <c r="L2818" s="82"/>
      <c r="M2818" s="82"/>
      <c r="N2818" s="82"/>
      <c r="O2818" s="82"/>
      <c r="P2818" s="82"/>
      <c r="Q2818" s="82"/>
      <c r="R2818" s="82"/>
      <c r="S2818" s="82"/>
      <c r="T2818" s="82"/>
      <c r="U2818" s="82"/>
      <c r="V2818" s="82"/>
      <c r="W2818" s="82"/>
      <c r="X2818" s="82"/>
      <c r="Y2818" s="82"/>
      <c r="Z2818" s="82"/>
      <c r="AA2818" s="82"/>
      <c r="AB2818" s="82"/>
      <c r="AC2818" s="82"/>
      <c r="AD2818" s="82"/>
      <c r="AE2818" s="82"/>
      <c r="AF2818" s="82"/>
      <c r="AG2818" s="82"/>
      <c r="AH2818" s="82"/>
      <c r="AI2818" s="82"/>
      <c r="AJ2818" s="82"/>
      <c r="AK2818" s="82"/>
      <c r="AL2818" s="82"/>
      <c r="AM2818" s="82"/>
      <c r="AN2818" s="82"/>
      <c r="AO2818" s="82"/>
      <c r="AP2818" s="82"/>
      <c r="AQ2818" s="82"/>
      <c r="AR2818" s="82"/>
      <c r="AS2818" s="82"/>
      <c r="AT2818" s="82"/>
      <c r="AU2818" s="82"/>
      <c r="AV2818" s="82"/>
      <c r="AW2818" s="82" t="str">
        <f t="shared" si="1"/>
        <v/>
      </c>
      <c r="AX2818" s="83" t="str">
        <f t="array" ref="AX2818">IFERROR(DGET('SBV Import'!A:G,"SBV",{"RSC ID","Tier";B2818,A2818}))</f>
        <v/>
      </c>
      <c r="AY2818" s="82" t="str">
        <f t="shared" si="2"/>
        <v/>
      </c>
      <c r="AZ2818" s="82"/>
      <c r="BA2818" s="84" t="s">
        <v>152</v>
      </c>
      <c r="BB2818" s="84" t="str">
        <f>IFERROR(__xludf.DUMMYFUNCTION("iferror(if(A2818="""",,E2818&gt;=FILTER(Constants!$F$2:$F$10,Constants!$A$2:$A$10=A2818)))"),"")</f>
        <v/>
      </c>
    </row>
    <row r="2819">
      <c r="A2819" s="89"/>
      <c r="B2819" s="87"/>
      <c r="C2819" s="73"/>
      <c r="D2819" s="73"/>
      <c r="E2819" s="82"/>
      <c r="F2819" s="82"/>
      <c r="G2819" s="86"/>
      <c r="H2819" s="86"/>
      <c r="I2819" s="86"/>
      <c r="J2819" s="82"/>
      <c r="K2819" s="82"/>
      <c r="L2819" s="82"/>
      <c r="M2819" s="82"/>
      <c r="N2819" s="82"/>
      <c r="O2819" s="82"/>
      <c r="P2819" s="82"/>
      <c r="Q2819" s="82"/>
      <c r="R2819" s="82"/>
      <c r="S2819" s="82"/>
      <c r="T2819" s="82"/>
      <c r="U2819" s="82"/>
      <c r="V2819" s="82"/>
      <c r="W2819" s="82"/>
      <c r="X2819" s="82"/>
      <c r="Y2819" s="82"/>
      <c r="Z2819" s="82"/>
      <c r="AA2819" s="82"/>
      <c r="AB2819" s="82"/>
      <c r="AC2819" s="82"/>
      <c r="AD2819" s="82"/>
      <c r="AE2819" s="82"/>
      <c r="AF2819" s="82"/>
      <c r="AG2819" s="82"/>
      <c r="AH2819" s="82"/>
      <c r="AI2819" s="82"/>
      <c r="AJ2819" s="82"/>
      <c r="AK2819" s="82"/>
      <c r="AL2819" s="82"/>
      <c r="AM2819" s="82"/>
      <c r="AN2819" s="82"/>
      <c r="AO2819" s="82"/>
      <c r="AP2819" s="82"/>
      <c r="AQ2819" s="82"/>
      <c r="AR2819" s="82"/>
      <c r="AS2819" s="82"/>
      <c r="AT2819" s="82"/>
      <c r="AU2819" s="82"/>
      <c r="AV2819" s="82"/>
      <c r="AW2819" s="82" t="str">
        <f t="shared" si="1"/>
        <v/>
      </c>
      <c r="AX2819" s="83" t="str">
        <f t="array" ref="AX2819">IFERROR(DGET('SBV Import'!A:G,"SBV",{"RSC ID","Tier";B2819,A2819}))</f>
        <v/>
      </c>
      <c r="AY2819" s="82" t="str">
        <f t="shared" si="2"/>
        <v/>
      </c>
      <c r="AZ2819" s="82"/>
      <c r="BA2819" s="84" t="s">
        <v>152</v>
      </c>
      <c r="BB2819" s="84" t="str">
        <f>IFERROR(__xludf.DUMMYFUNCTION("iferror(if(A2819="""",,E2819&gt;=FILTER(Constants!$F$2:$F$10,Constants!$A$2:$A$10=A2819)))"),"")</f>
        <v/>
      </c>
    </row>
    <row r="2820">
      <c r="A2820" s="89"/>
      <c r="B2820" s="87"/>
      <c r="C2820" s="73"/>
      <c r="D2820" s="73"/>
      <c r="E2820" s="82"/>
      <c r="F2820" s="82"/>
      <c r="G2820" s="86"/>
      <c r="H2820" s="86"/>
      <c r="I2820" s="86"/>
      <c r="J2820" s="82"/>
      <c r="K2820" s="82"/>
      <c r="L2820" s="82"/>
      <c r="M2820" s="82"/>
      <c r="N2820" s="82"/>
      <c r="O2820" s="82"/>
      <c r="P2820" s="82"/>
      <c r="Q2820" s="82"/>
      <c r="R2820" s="82"/>
      <c r="S2820" s="82"/>
      <c r="T2820" s="82"/>
      <c r="U2820" s="82"/>
      <c r="V2820" s="82"/>
      <c r="W2820" s="82"/>
      <c r="X2820" s="82"/>
      <c r="Y2820" s="82"/>
      <c r="Z2820" s="82"/>
      <c r="AA2820" s="82"/>
      <c r="AB2820" s="82"/>
      <c r="AC2820" s="82"/>
      <c r="AD2820" s="82"/>
      <c r="AE2820" s="82"/>
      <c r="AF2820" s="82"/>
      <c r="AG2820" s="82"/>
      <c r="AH2820" s="82"/>
      <c r="AI2820" s="82"/>
      <c r="AJ2820" s="82"/>
      <c r="AK2820" s="82"/>
      <c r="AL2820" s="82"/>
      <c r="AM2820" s="82"/>
      <c r="AN2820" s="82"/>
      <c r="AO2820" s="82"/>
      <c r="AP2820" s="82"/>
      <c r="AQ2820" s="82"/>
      <c r="AR2820" s="82"/>
      <c r="AS2820" s="82"/>
      <c r="AT2820" s="82"/>
      <c r="AU2820" s="82"/>
      <c r="AV2820" s="82"/>
      <c r="AW2820" s="82" t="str">
        <f t="shared" si="1"/>
        <v/>
      </c>
      <c r="AX2820" s="83" t="str">
        <f t="array" ref="AX2820">IFERROR(DGET('SBV Import'!A:G,"SBV",{"RSC ID","Tier";B2820,A2820}))</f>
        <v/>
      </c>
      <c r="AY2820" s="82" t="str">
        <f t="shared" si="2"/>
        <v/>
      </c>
      <c r="AZ2820" s="82"/>
      <c r="BA2820" s="84" t="s">
        <v>152</v>
      </c>
      <c r="BB2820" s="84" t="str">
        <f>IFERROR(__xludf.DUMMYFUNCTION("iferror(if(A2820="""",,E2820&gt;=FILTER(Constants!$F$2:$F$10,Constants!$A$2:$A$10=A2820)))"),"")</f>
        <v/>
      </c>
    </row>
    <row r="2821">
      <c r="A2821" s="89"/>
      <c r="B2821" s="87"/>
      <c r="C2821" s="73"/>
      <c r="D2821" s="73"/>
      <c r="E2821" s="82"/>
      <c r="F2821" s="82"/>
      <c r="G2821" s="86"/>
      <c r="H2821" s="86"/>
      <c r="I2821" s="86"/>
      <c r="J2821" s="82"/>
      <c r="K2821" s="82"/>
      <c r="L2821" s="82"/>
      <c r="M2821" s="82"/>
      <c r="N2821" s="82"/>
      <c r="O2821" s="82"/>
      <c r="P2821" s="82"/>
      <c r="Q2821" s="82"/>
      <c r="R2821" s="82"/>
      <c r="S2821" s="82"/>
      <c r="T2821" s="82"/>
      <c r="U2821" s="82"/>
      <c r="V2821" s="82"/>
      <c r="W2821" s="82"/>
      <c r="X2821" s="82"/>
      <c r="Y2821" s="82"/>
      <c r="Z2821" s="82"/>
      <c r="AA2821" s="82"/>
      <c r="AB2821" s="82"/>
      <c r="AC2821" s="82"/>
      <c r="AD2821" s="82"/>
      <c r="AE2821" s="82"/>
      <c r="AF2821" s="82"/>
      <c r="AG2821" s="82"/>
      <c r="AH2821" s="82"/>
      <c r="AI2821" s="82"/>
      <c r="AJ2821" s="82"/>
      <c r="AK2821" s="82"/>
      <c r="AL2821" s="82"/>
      <c r="AM2821" s="82"/>
      <c r="AN2821" s="82"/>
      <c r="AO2821" s="82"/>
      <c r="AP2821" s="82"/>
      <c r="AQ2821" s="82"/>
      <c r="AR2821" s="82"/>
      <c r="AS2821" s="82"/>
      <c r="AT2821" s="82"/>
      <c r="AU2821" s="82"/>
      <c r="AV2821" s="82"/>
      <c r="AW2821" s="82" t="str">
        <f t="shared" si="1"/>
        <v/>
      </c>
      <c r="AX2821" s="83" t="str">
        <f t="array" ref="AX2821">IFERROR(DGET('SBV Import'!A:G,"SBV",{"RSC ID","Tier";B2821,A2821}))</f>
        <v/>
      </c>
      <c r="AY2821" s="82" t="str">
        <f t="shared" si="2"/>
        <v/>
      </c>
      <c r="AZ2821" s="82"/>
      <c r="BA2821" s="84" t="s">
        <v>152</v>
      </c>
      <c r="BB2821" s="84" t="str">
        <f>IFERROR(__xludf.DUMMYFUNCTION("iferror(if(A2821="""",,E2821&gt;=FILTER(Constants!$F$2:$F$10,Constants!$A$2:$A$10=A2821)))"),"")</f>
        <v/>
      </c>
    </row>
    <row r="2822">
      <c r="A2822" s="89"/>
      <c r="B2822" s="87"/>
      <c r="C2822" s="73"/>
      <c r="D2822" s="73"/>
      <c r="E2822" s="82"/>
      <c r="F2822" s="82"/>
      <c r="G2822" s="86"/>
      <c r="H2822" s="86"/>
      <c r="I2822" s="86"/>
      <c r="J2822" s="82"/>
      <c r="K2822" s="82"/>
      <c r="L2822" s="82"/>
      <c r="M2822" s="82"/>
      <c r="N2822" s="82"/>
      <c r="O2822" s="82"/>
      <c r="P2822" s="82"/>
      <c r="Q2822" s="82"/>
      <c r="R2822" s="82"/>
      <c r="S2822" s="82"/>
      <c r="T2822" s="82"/>
      <c r="U2822" s="82"/>
      <c r="V2822" s="82"/>
      <c r="W2822" s="82"/>
      <c r="X2822" s="82"/>
      <c r="Y2822" s="82"/>
      <c r="Z2822" s="82"/>
      <c r="AA2822" s="82"/>
      <c r="AB2822" s="82"/>
      <c r="AC2822" s="82"/>
      <c r="AD2822" s="82"/>
      <c r="AE2822" s="82"/>
      <c r="AF2822" s="82"/>
      <c r="AG2822" s="82"/>
      <c r="AH2822" s="82"/>
      <c r="AI2822" s="82"/>
      <c r="AJ2822" s="82"/>
      <c r="AK2822" s="82"/>
      <c r="AL2822" s="82"/>
      <c r="AM2822" s="82"/>
      <c r="AN2822" s="82"/>
      <c r="AO2822" s="82"/>
      <c r="AP2822" s="82"/>
      <c r="AQ2822" s="82"/>
      <c r="AR2822" s="82"/>
      <c r="AS2822" s="82"/>
      <c r="AT2822" s="82"/>
      <c r="AU2822" s="82"/>
      <c r="AV2822" s="82"/>
      <c r="AW2822" s="82" t="str">
        <f t="shared" si="1"/>
        <v/>
      </c>
      <c r="AX2822" s="83" t="str">
        <f t="array" ref="AX2822">IFERROR(DGET('SBV Import'!A:G,"SBV",{"RSC ID","Tier";B2822,A2822}))</f>
        <v/>
      </c>
      <c r="AY2822" s="82" t="str">
        <f t="shared" si="2"/>
        <v/>
      </c>
      <c r="AZ2822" s="82"/>
      <c r="BA2822" s="84" t="s">
        <v>152</v>
      </c>
      <c r="BB2822" s="84" t="str">
        <f>IFERROR(__xludf.DUMMYFUNCTION("iferror(if(A2822="""",,E2822&gt;=FILTER(Constants!$F$2:$F$10,Constants!$A$2:$A$10=A2822)))"),"")</f>
        <v/>
      </c>
    </row>
    <row r="2823">
      <c r="A2823" s="89"/>
      <c r="B2823" s="87"/>
      <c r="C2823" s="73"/>
      <c r="D2823" s="73"/>
      <c r="E2823" s="82"/>
      <c r="F2823" s="82"/>
      <c r="G2823" s="86"/>
      <c r="H2823" s="86"/>
      <c r="I2823" s="86"/>
      <c r="J2823" s="82"/>
      <c r="K2823" s="82"/>
      <c r="L2823" s="82"/>
      <c r="M2823" s="82"/>
      <c r="N2823" s="82"/>
      <c r="O2823" s="82"/>
      <c r="P2823" s="82"/>
      <c r="Q2823" s="82"/>
      <c r="R2823" s="82"/>
      <c r="S2823" s="82"/>
      <c r="T2823" s="82"/>
      <c r="U2823" s="82"/>
      <c r="V2823" s="82"/>
      <c r="W2823" s="82"/>
      <c r="X2823" s="82"/>
      <c r="Y2823" s="82"/>
      <c r="Z2823" s="82"/>
      <c r="AA2823" s="82"/>
      <c r="AB2823" s="82"/>
      <c r="AC2823" s="82"/>
      <c r="AD2823" s="82"/>
      <c r="AE2823" s="82"/>
      <c r="AF2823" s="82"/>
      <c r="AG2823" s="82"/>
      <c r="AH2823" s="82"/>
      <c r="AI2823" s="82"/>
      <c r="AJ2823" s="82"/>
      <c r="AK2823" s="82"/>
      <c r="AL2823" s="82"/>
      <c r="AM2823" s="82"/>
      <c r="AN2823" s="82"/>
      <c r="AO2823" s="82"/>
      <c r="AP2823" s="82"/>
      <c r="AQ2823" s="82"/>
      <c r="AR2823" s="82"/>
      <c r="AS2823" s="82"/>
      <c r="AT2823" s="82"/>
      <c r="AU2823" s="82"/>
      <c r="AV2823" s="82"/>
      <c r="AW2823" s="82" t="str">
        <f t="shared" si="1"/>
        <v/>
      </c>
      <c r="AX2823" s="83" t="str">
        <f t="array" ref="AX2823">IFERROR(DGET('SBV Import'!A:G,"SBV",{"RSC ID","Tier";B2823,A2823}))</f>
        <v/>
      </c>
      <c r="AY2823" s="82" t="str">
        <f t="shared" si="2"/>
        <v/>
      </c>
      <c r="AZ2823" s="82"/>
      <c r="BA2823" s="84" t="s">
        <v>152</v>
      </c>
      <c r="BB2823" s="84" t="str">
        <f>IFERROR(__xludf.DUMMYFUNCTION("iferror(if(A2823="""",,E2823&gt;=FILTER(Constants!$F$2:$F$10,Constants!$A$2:$A$10=A2823)))"),"")</f>
        <v/>
      </c>
    </row>
    <row r="2824">
      <c r="A2824" s="89"/>
      <c r="B2824" s="87"/>
      <c r="C2824" s="73"/>
      <c r="D2824" s="73"/>
      <c r="E2824" s="82"/>
      <c r="F2824" s="82"/>
      <c r="G2824" s="86"/>
      <c r="H2824" s="86"/>
      <c r="I2824" s="86"/>
      <c r="J2824" s="82"/>
      <c r="K2824" s="82"/>
      <c r="L2824" s="82"/>
      <c r="M2824" s="82"/>
      <c r="N2824" s="82"/>
      <c r="O2824" s="82"/>
      <c r="P2824" s="82"/>
      <c r="Q2824" s="82"/>
      <c r="R2824" s="82"/>
      <c r="S2824" s="82"/>
      <c r="T2824" s="82"/>
      <c r="U2824" s="82"/>
      <c r="V2824" s="82"/>
      <c r="W2824" s="82"/>
      <c r="X2824" s="82"/>
      <c r="Y2824" s="82"/>
      <c r="Z2824" s="82"/>
      <c r="AA2824" s="82"/>
      <c r="AB2824" s="82"/>
      <c r="AC2824" s="82"/>
      <c r="AD2824" s="82"/>
      <c r="AE2824" s="82"/>
      <c r="AF2824" s="82"/>
      <c r="AG2824" s="82"/>
      <c r="AH2824" s="82"/>
      <c r="AI2824" s="82"/>
      <c r="AJ2824" s="82"/>
      <c r="AK2824" s="82"/>
      <c r="AL2824" s="82"/>
      <c r="AM2824" s="82"/>
      <c r="AN2824" s="82"/>
      <c r="AO2824" s="82"/>
      <c r="AP2824" s="82"/>
      <c r="AQ2824" s="82"/>
      <c r="AR2824" s="82"/>
      <c r="AS2824" s="82"/>
      <c r="AT2824" s="82"/>
      <c r="AU2824" s="82"/>
      <c r="AV2824" s="82"/>
      <c r="AW2824" s="82" t="str">
        <f t="shared" si="1"/>
        <v/>
      </c>
      <c r="AX2824" s="83" t="str">
        <f t="array" ref="AX2824">IFERROR(DGET('SBV Import'!A:G,"SBV",{"RSC ID","Tier";B2824,A2824}))</f>
        <v/>
      </c>
      <c r="AY2824" s="82" t="str">
        <f t="shared" si="2"/>
        <v/>
      </c>
      <c r="AZ2824" s="82"/>
      <c r="BA2824" s="84" t="s">
        <v>152</v>
      </c>
      <c r="BB2824" s="84" t="str">
        <f>IFERROR(__xludf.DUMMYFUNCTION("iferror(if(A2824="""",,E2824&gt;=FILTER(Constants!$F$2:$F$10,Constants!$A$2:$A$10=A2824)))"),"")</f>
        <v/>
      </c>
    </row>
    <row r="2825">
      <c r="A2825" s="89"/>
      <c r="B2825" s="87"/>
      <c r="C2825" s="73"/>
      <c r="D2825" s="73"/>
      <c r="E2825" s="82"/>
      <c r="F2825" s="82"/>
      <c r="G2825" s="86"/>
      <c r="H2825" s="86"/>
      <c r="I2825" s="86"/>
      <c r="J2825" s="82"/>
      <c r="K2825" s="82"/>
      <c r="L2825" s="82"/>
      <c r="M2825" s="82"/>
      <c r="N2825" s="82"/>
      <c r="O2825" s="82"/>
      <c r="P2825" s="82"/>
      <c r="Q2825" s="82"/>
      <c r="R2825" s="82"/>
      <c r="S2825" s="82"/>
      <c r="T2825" s="82"/>
      <c r="U2825" s="82"/>
      <c r="V2825" s="82"/>
      <c r="W2825" s="82"/>
      <c r="X2825" s="82"/>
      <c r="Y2825" s="82"/>
      <c r="Z2825" s="82"/>
      <c r="AA2825" s="82"/>
      <c r="AB2825" s="82"/>
      <c r="AC2825" s="82"/>
      <c r="AD2825" s="82"/>
      <c r="AE2825" s="82"/>
      <c r="AF2825" s="82"/>
      <c r="AG2825" s="82"/>
      <c r="AH2825" s="82"/>
      <c r="AI2825" s="82"/>
      <c r="AJ2825" s="82"/>
      <c r="AK2825" s="82"/>
      <c r="AL2825" s="82"/>
      <c r="AM2825" s="82"/>
      <c r="AN2825" s="82"/>
      <c r="AO2825" s="82"/>
      <c r="AP2825" s="82"/>
      <c r="AQ2825" s="82"/>
      <c r="AR2825" s="82"/>
      <c r="AS2825" s="82"/>
      <c r="AT2825" s="82"/>
      <c r="AU2825" s="82"/>
      <c r="AV2825" s="82"/>
      <c r="AW2825" s="82" t="str">
        <f t="shared" si="1"/>
        <v/>
      </c>
      <c r="AX2825" s="83" t="str">
        <f t="array" ref="AX2825">IFERROR(DGET('SBV Import'!A:G,"SBV",{"RSC ID","Tier";B2825,A2825}))</f>
        <v/>
      </c>
      <c r="AY2825" s="82" t="str">
        <f t="shared" si="2"/>
        <v/>
      </c>
      <c r="AZ2825" s="82"/>
      <c r="BA2825" s="84" t="s">
        <v>152</v>
      </c>
      <c r="BB2825" s="84" t="str">
        <f>IFERROR(__xludf.DUMMYFUNCTION("iferror(if(A2825="""",,E2825&gt;=FILTER(Constants!$F$2:$F$10,Constants!$A$2:$A$10=A2825)))"),"")</f>
        <v/>
      </c>
    </row>
    <row r="2826">
      <c r="A2826" s="89"/>
      <c r="B2826" s="87"/>
      <c r="C2826" s="73"/>
      <c r="D2826" s="73"/>
      <c r="E2826" s="82"/>
      <c r="F2826" s="82"/>
      <c r="G2826" s="86"/>
      <c r="H2826" s="86"/>
      <c r="I2826" s="86"/>
      <c r="J2826" s="82"/>
      <c r="K2826" s="82"/>
      <c r="L2826" s="82"/>
      <c r="M2826" s="82"/>
      <c r="N2826" s="82"/>
      <c r="O2826" s="82"/>
      <c r="P2826" s="82"/>
      <c r="Q2826" s="82"/>
      <c r="R2826" s="82"/>
      <c r="S2826" s="82"/>
      <c r="T2826" s="82"/>
      <c r="U2826" s="82"/>
      <c r="V2826" s="82"/>
      <c r="W2826" s="82"/>
      <c r="X2826" s="82"/>
      <c r="Y2826" s="82"/>
      <c r="Z2826" s="82"/>
      <c r="AA2826" s="82"/>
      <c r="AB2826" s="82"/>
      <c r="AC2826" s="82"/>
      <c r="AD2826" s="82"/>
      <c r="AE2826" s="82"/>
      <c r="AF2826" s="82"/>
      <c r="AG2826" s="82"/>
      <c r="AH2826" s="82"/>
      <c r="AI2826" s="82"/>
      <c r="AJ2826" s="82"/>
      <c r="AK2826" s="82"/>
      <c r="AL2826" s="82"/>
      <c r="AM2826" s="82"/>
      <c r="AN2826" s="82"/>
      <c r="AO2826" s="82"/>
      <c r="AP2826" s="82"/>
      <c r="AQ2826" s="82"/>
      <c r="AR2826" s="82"/>
      <c r="AS2826" s="82"/>
      <c r="AT2826" s="82"/>
      <c r="AU2826" s="82"/>
      <c r="AV2826" s="82"/>
      <c r="AW2826" s="82" t="str">
        <f t="shared" si="1"/>
        <v/>
      </c>
      <c r="AX2826" s="83" t="str">
        <f t="array" ref="AX2826">IFERROR(DGET('SBV Import'!A:G,"SBV",{"RSC ID","Tier";B2826,A2826}))</f>
        <v/>
      </c>
      <c r="AY2826" s="82" t="str">
        <f t="shared" si="2"/>
        <v/>
      </c>
      <c r="AZ2826" s="82"/>
      <c r="BA2826" s="84" t="s">
        <v>152</v>
      </c>
      <c r="BB2826" s="84" t="str">
        <f>IFERROR(__xludf.DUMMYFUNCTION("iferror(if(A2826="""",,E2826&gt;=FILTER(Constants!$F$2:$F$10,Constants!$A$2:$A$10=A2826)))"),"")</f>
        <v/>
      </c>
    </row>
    <row r="2827">
      <c r="A2827" s="89"/>
      <c r="B2827" s="87"/>
      <c r="C2827" s="73"/>
      <c r="D2827" s="73"/>
      <c r="E2827" s="82"/>
      <c r="F2827" s="82"/>
      <c r="G2827" s="86"/>
      <c r="H2827" s="86"/>
      <c r="I2827" s="86"/>
      <c r="J2827" s="82"/>
      <c r="K2827" s="82"/>
      <c r="L2827" s="82"/>
      <c r="M2827" s="82"/>
      <c r="N2827" s="82"/>
      <c r="O2827" s="82"/>
      <c r="P2827" s="82"/>
      <c r="Q2827" s="82"/>
      <c r="R2827" s="82"/>
      <c r="S2827" s="82"/>
      <c r="T2827" s="82"/>
      <c r="U2827" s="82"/>
      <c r="V2827" s="82"/>
      <c r="W2827" s="82"/>
      <c r="X2827" s="82"/>
      <c r="Y2827" s="82"/>
      <c r="Z2827" s="82"/>
      <c r="AA2827" s="82"/>
      <c r="AB2827" s="82"/>
      <c r="AC2827" s="82"/>
      <c r="AD2827" s="82"/>
      <c r="AE2827" s="82"/>
      <c r="AF2827" s="82"/>
      <c r="AG2827" s="82"/>
      <c r="AH2827" s="82"/>
      <c r="AI2827" s="82"/>
      <c r="AJ2827" s="82"/>
      <c r="AK2827" s="82"/>
      <c r="AL2827" s="82"/>
      <c r="AM2827" s="82"/>
      <c r="AN2827" s="82"/>
      <c r="AO2827" s="82"/>
      <c r="AP2827" s="82"/>
      <c r="AQ2827" s="82"/>
      <c r="AR2827" s="82"/>
      <c r="AS2827" s="82"/>
      <c r="AT2827" s="82"/>
      <c r="AU2827" s="82"/>
      <c r="AV2827" s="82"/>
      <c r="AW2827" s="82" t="str">
        <f t="shared" si="1"/>
        <v/>
      </c>
      <c r="AX2827" s="83" t="str">
        <f t="array" ref="AX2827">IFERROR(DGET('SBV Import'!A:G,"SBV",{"RSC ID","Tier";B2827,A2827}))</f>
        <v/>
      </c>
      <c r="AY2827" s="82" t="str">
        <f t="shared" si="2"/>
        <v/>
      </c>
      <c r="AZ2827" s="82"/>
      <c r="BA2827" s="84" t="s">
        <v>152</v>
      </c>
      <c r="BB2827" s="84" t="str">
        <f>IFERROR(__xludf.DUMMYFUNCTION("iferror(if(A2827="""",,E2827&gt;=FILTER(Constants!$F$2:$F$10,Constants!$A$2:$A$10=A2827)))"),"")</f>
        <v/>
      </c>
    </row>
    <row r="2828">
      <c r="A2828" s="89"/>
      <c r="B2828" s="87"/>
      <c r="C2828" s="73"/>
      <c r="D2828" s="73"/>
      <c r="E2828" s="82"/>
      <c r="F2828" s="82"/>
      <c r="G2828" s="86"/>
      <c r="H2828" s="86"/>
      <c r="I2828" s="86"/>
      <c r="J2828" s="82"/>
      <c r="K2828" s="82"/>
      <c r="L2828" s="82"/>
      <c r="M2828" s="82"/>
      <c r="N2828" s="82"/>
      <c r="O2828" s="82"/>
      <c r="P2828" s="82"/>
      <c r="Q2828" s="82"/>
      <c r="R2828" s="82"/>
      <c r="S2828" s="82"/>
      <c r="T2828" s="82"/>
      <c r="U2828" s="82"/>
      <c r="V2828" s="82"/>
      <c r="W2828" s="82"/>
      <c r="X2828" s="82"/>
      <c r="Y2828" s="82"/>
      <c r="Z2828" s="82"/>
      <c r="AA2828" s="82"/>
      <c r="AB2828" s="82"/>
      <c r="AC2828" s="82"/>
      <c r="AD2828" s="82"/>
      <c r="AE2828" s="82"/>
      <c r="AF2828" s="82"/>
      <c r="AG2828" s="82"/>
      <c r="AH2828" s="82"/>
      <c r="AI2828" s="82"/>
      <c r="AJ2828" s="82"/>
      <c r="AK2828" s="82"/>
      <c r="AL2828" s="82"/>
      <c r="AM2828" s="82"/>
      <c r="AN2828" s="82"/>
      <c r="AO2828" s="82"/>
      <c r="AP2828" s="82"/>
      <c r="AQ2828" s="82"/>
      <c r="AR2828" s="82"/>
      <c r="AS2828" s="82"/>
      <c r="AT2828" s="82"/>
      <c r="AU2828" s="82"/>
      <c r="AV2828" s="82"/>
      <c r="AW2828" s="82" t="str">
        <f t="shared" si="1"/>
        <v/>
      </c>
      <c r="AX2828" s="83" t="str">
        <f t="array" ref="AX2828">IFERROR(DGET('SBV Import'!A:G,"SBV",{"RSC ID","Tier";B2828,A2828}))</f>
        <v/>
      </c>
      <c r="AY2828" s="82" t="str">
        <f t="shared" si="2"/>
        <v/>
      </c>
      <c r="AZ2828" s="82"/>
      <c r="BA2828" s="84" t="s">
        <v>152</v>
      </c>
      <c r="BB2828" s="84" t="str">
        <f>IFERROR(__xludf.DUMMYFUNCTION("iferror(if(A2828="""",,E2828&gt;=FILTER(Constants!$F$2:$F$10,Constants!$A$2:$A$10=A2828)))"),"")</f>
        <v/>
      </c>
    </row>
    <row r="2829">
      <c r="A2829" s="89"/>
      <c r="B2829" s="87"/>
      <c r="C2829" s="73"/>
      <c r="D2829" s="73"/>
      <c r="E2829" s="82"/>
      <c r="F2829" s="82"/>
      <c r="G2829" s="86"/>
      <c r="H2829" s="86"/>
      <c r="I2829" s="86"/>
      <c r="J2829" s="82"/>
      <c r="K2829" s="82"/>
      <c r="L2829" s="82"/>
      <c r="M2829" s="82"/>
      <c r="N2829" s="82"/>
      <c r="O2829" s="82"/>
      <c r="P2829" s="82"/>
      <c r="Q2829" s="82"/>
      <c r="R2829" s="82"/>
      <c r="S2829" s="82"/>
      <c r="T2829" s="82"/>
      <c r="U2829" s="82"/>
      <c r="V2829" s="82"/>
      <c r="W2829" s="82"/>
      <c r="X2829" s="82"/>
      <c r="Y2829" s="82"/>
      <c r="Z2829" s="82"/>
      <c r="AA2829" s="82"/>
      <c r="AB2829" s="82"/>
      <c r="AC2829" s="82"/>
      <c r="AD2829" s="82"/>
      <c r="AE2829" s="82"/>
      <c r="AF2829" s="82"/>
      <c r="AG2829" s="82"/>
      <c r="AH2829" s="82"/>
      <c r="AI2829" s="82"/>
      <c r="AJ2829" s="82"/>
      <c r="AK2829" s="82"/>
      <c r="AL2829" s="82"/>
      <c r="AM2829" s="82"/>
      <c r="AN2829" s="82"/>
      <c r="AO2829" s="82"/>
      <c r="AP2829" s="82"/>
      <c r="AQ2829" s="82"/>
      <c r="AR2829" s="82"/>
      <c r="AS2829" s="82"/>
      <c r="AT2829" s="82"/>
      <c r="AU2829" s="82"/>
      <c r="AV2829" s="82"/>
      <c r="AW2829" s="82" t="str">
        <f t="shared" si="1"/>
        <v/>
      </c>
      <c r="AX2829" s="83" t="str">
        <f t="array" ref="AX2829">IFERROR(DGET('SBV Import'!A:G,"SBV",{"RSC ID","Tier";B2829,A2829}))</f>
        <v/>
      </c>
      <c r="AY2829" s="82" t="str">
        <f t="shared" si="2"/>
        <v/>
      </c>
      <c r="AZ2829" s="82"/>
      <c r="BA2829" s="84" t="s">
        <v>152</v>
      </c>
      <c r="BB2829" s="84" t="str">
        <f>IFERROR(__xludf.DUMMYFUNCTION("iferror(if(A2829="""",,E2829&gt;=FILTER(Constants!$F$2:$F$10,Constants!$A$2:$A$10=A2829)))"),"")</f>
        <v/>
      </c>
    </row>
    <row r="2830">
      <c r="A2830" s="89"/>
      <c r="B2830" s="87"/>
      <c r="C2830" s="73"/>
      <c r="D2830" s="73"/>
      <c r="E2830" s="82"/>
      <c r="F2830" s="82"/>
      <c r="G2830" s="86"/>
      <c r="H2830" s="86"/>
      <c r="I2830" s="86"/>
      <c r="J2830" s="82"/>
      <c r="K2830" s="82"/>
      <c r="L2830" s="82"/>
      <c r="M2830" s="82"/>
      <c r="N2830" s="82"/>
      <c r="O2830" s="82"/>
      <c r="P2830" s="82"/>
      <c r="Q2830" s="82"/>
      <c r="R2830" s="82"/>
      <c r="S2830" s="82"/>
      <c r="T2830" s="82"/>
      <c r="U2830" s="82"/>
      <c r="V2830" s="82"/>
      <c r="W2830" s="82"/>
      <c r="X2830" s="82"/>
      <c r="Y2830" s="82"/>
      <c r="Z2830" s="82"/>
      <c r="AA2830" s="82"/>
      <c r="AB2830" s="82"/>
      <c r="AC2830" s="82"/>
      <c r="AD2830" s="82"/>
      <c r="AE2830" s="82"/>
      <c r="AF2830" s="82"/>
      <c r="AG2830" s="82"/>
      <c r="AH2830" s="82"/>
      <c r="AI2830" s="82"/>
      <c r="AJ2830" s="82"/>
      <c r="AK2830" s="82"/>
      <c r="AL2830" s="82"/>
      <c r="AM2830" s="82"/>
      <c r="AN2830" s="82"/>
      <c r="AO2830" s="82"/>
      <c r="AP2830" s="82"/>
      <c r="AQ2830" s="82"/>
      <c r="AR2830" s="82"/>
      <c r="AS2830" s="82"/>
      <c r="AT2830" s="82"/>
      <c r="AU2830" s="82"/>
      <c r="AV2830" s="82"/>
      <c r="AW2830" s="82" t="str">
        <f t="shared" si="1"/>
        <v/>
      </c>
      <c r="AX2830" s="83" t="str">
        <f t="array" ref="AX2830">IFERROR(DGET('SBV Import'!A:G,"SBV",{"RSC ID","Tier";B2830,A2830}))</f>
        <v/>
      </c>
      <c r="AY2830" s="82" t="str">
        <f t="shared" si="2"/>
        <v/>
      </c>
      <c r="AZ2830" s="82"/>
      <c r="BA2830" s="84" t="s">
        <v>152</v>
      </c>
      <c r="BB2830" s="84" t="str">
        <f>IFERROR(__xludf.DUMMYFUNCTION("iferror(if(A2830="""",,E2830&gt;=FILTER(Constants!$F$2:$F$10,Constants!$A$2:$A$10=A2830)))"),"")</f>
        <v/>
      </c>
    </row>
    <row r="2831">
      <c r="A2831" s="89"/>
      <c r="B2831" s="87"/>
      <c r="C2831" s="73"/>
      <c r="D2831" s="73"/>
      <c r="E2831" s="82"/>
      <c r="F2831" s="82"/>
      <c r="G2831" s="86"/>
      <c r="H2831" s="86"/>
      <c r="I2831" s="86"/>
      <c r="J2831" s="82"/>
      <c r="K2831" s="82"/>
      <c r="L2831" s="82"/>
      <c r="M2831" s="82"/>
      <c r="N2831" s="82"/>
      <c r="O2831" s="82"/>
      <c r="P2831" s="82"/>
      <c r="Q2831" s="82"/>
      <c r="R2831" s="82"/>
      <c r="S2831" s="82"/>
      <c r="T2831" s="82"/>
      <c r="U2831" s="82"/>
      <c r="V2831" s="82"/>
      <c r="W2831" s="82"/>
      <c r="X2831" s="82"/>
      <c r="Y2831" s="82"/>
      <c r="Z2831" s="82"/>
      <c r="AA2831" s="82"/>
      <c r="AB2831" s="82"/>
      <c r="AC2831" s="82"/>
      <c r="AD2831" s="82"/>
      <c r="AE2831" s="82"/>
      <c r="AF2831" s="82"/>
      <c r="AG2831" s="82"/>
      <c r="AH2831" s="82"/>
      <c r="AI2831" s="82"/>
      <c r="AJ2831" s="82"/>
      <c r="AK2831" s="82"/>
      <c r="AL2831" s="82"/>
      <c r="AM2831" s="82"/>
      <c r="AN2831" s="82"/>
      <c r="AO2831" s="82"/>
      <c r="AP2831" s="82"/>
      <c r="AQ2831" s="82"/>
      <c r="AR2831" s="82"/>
      <c r="AS2831" s="82"/>
      <c r="AT2831" s="82"/>
      <c r="AU2831" s="82"/>
      <c r="AV2831" s="82"/>
      <c r="AW2831" s="82" t="str">
        <f t="shared" si="1"/>
        <v/>
      </c>
      <c r="AX2831" s="83" t="str">
        <f t="array" ref="AX2831">IFERROR(DGET('SBV Import'!A:G,"SBV",{"RSC ID","Tier";B2831,A2831}))</f>
        <v/>
      </c>
      <c r="AY2831" s="82" t="str">
        <f t="shared" si="2"/>
        <v/>
      </c>
      <c r="AZ2831" s="82"/>
      <c r="BA2831" s="84" t="s">
        <v>152</v>
      </c>
      <c r="BB2831" s="84" t="str">
        <f>IFERROR(__xludf.DUMMYFUNCTION("iferror(if(A2831="""",,E2831&gt;=FILTER(Constants!$F$2:$F$10,Constants!$A$2:$A$10=A2831)))"),"")</f>
        <v/>
      </c>
    </row>
    <row r="2832">
      <c r="A2832" s="89"/>
      <c r="B2832" s="87"/>
      <c r="C2832" s="73"/>
      <c r="D2832" s="73"/>
      <c r="E2832" s="82"/>
      <c r="F2832" s="82"/>
      <c r="G2832" s="86"/>
      <c r="H2832" s="86"/>
      <c r="I2832" s="86"/>
      <c r="J2832" s="82"/>
      <c r="K2832" s="82"/>
      <c r="L2832" s="82"/>
      <c r="M2832" s="82"/>
      <c r="N2832" s="82"/>
      <c r="O2832" s="82"/>
      <c r="P2832" s="82"/>
      <c r="Q2832" s="82"/>
      <c r="R2832" s="82"/>
      <c r="S2832" s="82"/>
      <c r="T2832" s="82"/>
      <c r="U2832" s="82"/>
      <c r="V2832" s="82"/>
      <c r="W2832" s="82"/>
      <c r="X2832" s="82"/>
      <c r="Y2832" s="82"/>
      <c r="Z2832" s="82"/>
      <c r="AA2832" s="82"/>
      <c r="AB2832" s="82"/>
      <c r="AC2832" s="82"/>
      <c r="AD2832" s="82"/>
      <c r="AE2832" s="82"/>
      <c r="AF2832" s="82"/>
      <c r="AG2832" s="82"/>
      <c r="AH2832" s="82"/>
      <c r="AI2832" s="82"/>
      <c r="AJ2832" s="82"/>
      <c r="AK2832" s="82"/>
      <c r="AL2832" s="82"/>
      <c r="AM2832" s="82"/>
      <c r="AN2832" s="82"/>
      <c r="AO2832" s="82"/>
      <c r="AP2832" s="82"/>
      <c r="AQ2832" s="82"/>
      <c r="AR2832" s="82"/>
      <c r="AS2832" s="82"/>
      <c r="AT2832" s="82"/>
      <c r="AU2832" s="82"/>
      <c r="AV2832" s="82"/>
      <c r="AW2832" s="82" t="str">
        <f t="shared" si="1"/>
        <v/>
      </c>
      <c r="AX2832" s="83" t="str">
        <f t="array" ref="AX2832">IFERROR(DGET('SBV Import'!A:G,"SBV",{"RSC ID","Tier";B2832,A2832}))</f>
        <v/>
      </c>
      <c r="AY2832" s="82" t="str">
        <f t="shared" si="2"/>
        <v/>
      </c>
      <c r="AZ2832" s="82"/>
      <c r="BA2832" s="84" t="s">
        <v>152</v>
      </c>
      <c r="BB2832" s="84" t="str">
        <f>IFERROR(__xludf.DUMMYFUNCTION("iferror(if(A2832="""",,E2832&gt;=FILTER(Constants!$F$2:$F$10,Constants!$A$2:$A$10=A2832)))"),"")</f>
        <v/>
      </c>
    </row>
    <row r="2833">
      <c r="A2833" s="89"/>
      <c r="B2833" s="87"/>
      <c r="C2833" s="73"/>
      <c r="D2833" s="73"/>
      <c r="E2833" s="82"/>
      <c r="F2833" s="82"/>
      <c r="G2833" s="86"/>
      <c r="H2833" s="86"/>
      <c r="I2833" s="86"/>
      <c r="J2833" s="82"/>
      <c r="K2833" s="82"/>
      <c r="L2833" s="82"/>
      <c r="M2833" s="82"/>
      <c r="N2833" s="82"/>
      <c r="O2833" s="82"/>
      <c r="P2833" s="82"/>
      <c r="Q2833" s="82"/>
      <c r="R2833" s="82"/>
      <c r="S2833" s="82"/>
      <c r="T2833" s="82"/>
      <c r="U2833" s="82"/>
      <c r="V2833" s="82"/>
      <c r="W2833" s="82"/>
      <c r="X2833" s="82"/>
      <c r="Y2833" s="82"/>
      <c r="Z2833" s="82"/>
      <c r="AA2833" s="82"/>
      <c r="AB2833" s="82"/>
      <c r="AC2833" s="82"/>
      <c r="AD2833" s="82"/>
      <c r="AE2833" s="82"/>
      <c r="AF2833" s="82"/>
      <c r="AG2833" s="82"/>
      <c r="AH2833" s="82"/>
      <c r="AI2833" s="82"/>
      <c r="AJ2833" s="82"/>
      <c r="AK2833" s="82"/>
      <c r="AL2833" s="82"/>
      <c r="AM2833" s="82"/>
      <c r="AN2833" s="82"/>
      <c r="AO2833" s="82"/>
      <c r="AP2833" s="82"/>
      <c r="AQ2833" s="82"/>
      <c r="AR2833" s="82"/>
      <c r="AS2833" s="82"/>
      <c r="AT2833" s="82"/>
      <c r="AU2833" s="82"/>
      <c r="AV2833" s="82"/>
      <c r="AW2833" s="82" t="str">
        <f t="shared" si="1"/>
        <v/>
      </c>
      <c r="AX2833" s="83" t="str">
        <f t="array" ref="AX2833">IFERROR(DGET('SBV Import'!A:G,"SBV",{"RSC ID","Tier";B2833,A2833}))</f>
        <v/>
      </c>
      <c r="AY2833" s="82" t="str">
        <f t="shared" si="2"/>
        <v/>
      </c>
      <c r="AZ2833" s="82"/>
      <c r="BA2833" s="84" t="s">
        <v>152</v>
      </c>
      <c r="BB2833" s="84" t="str">
        <f>IFERROR(__xludf.DUMMYFUNCTION("iferror(if(A2833="""",,E2833&gt;=FILTER(Constants!$F$2:$F$10,Constants!$A$2:$A$10=A2833)))"),"")</f>
        <v/>
      </c>
    </row>
    <row r="2834">
      <c r="A2834" s="89"/>
      <c r="B2834" s="87"/>
      <c r="C2834" s="73"/>
      <c r="D2834" s="73"/>
      <c r="E2834" s="82"/>
      <c r="F2834" s="82"/>
      <c r="G2834" s="86"/>
      <c r="H2834" s="86"/>
      <c r="I2834" s="86"/>
      <c r="J2834" s="82"/>
      <c r="K2834" s="82"/>
      <c r="L2834" s="82"/>
      <c r="M2834" s="82"/>
      <c r="N2834" s="82"/>
      <c r="O2834" s="82"/>
      <c r="P2834" s="82"/>
      <c r="Q2834" s="82"/>
      <c r="R2834" s="82"/>
      <c r="S2834" s="82"/>
      <c r="T2834" s="82"/>
      <c r="U2834" s="82"/>
      <c r="V2834" s="82"/>
      <c r="W2834" s="82"/>
      <c r="X2834" s="82"/>
      <c r="Y2834" s="82"/>
      <c r="Z2834" s="82"/>
      <c r="AA2834" s="82"/>
      <c r="AB2834" s="82"/>
      <c r="AC2834" s="82"/>
      <c r="AD2834" s="82"/>
      <c r="AE2834" s="82"/>
      <c r="AF2834" s="82"/>
      <c r="AG2834" s="82"/>
      <c r="AH2834" s="82"/>
      <c r="AI2834" s="82"/>
      <c r="AJ2834" s="82"/>
      <c r="AK2834" s="82"/>
      <c r="AL2834" s="82"/>
      <c r="AM2834" s="82"/>
      <c r="AN2834" s="82"/>
      <c r="AO2834" s="82"/>
      <c r="AP2834" s="82"/>
      <c r="AQ2834" s="82"/>
      <c r="AR2834" s="82"/>
      <c r="AS2834" s="82"/>
      <c r="AT2834" s="82"/>
      <c r="AU2834" s="82"/>
      <c r="AV2834" s="82"/>
      <c r="AW2834" s="82" t="str">
        <f t="shared" si="1"/>
        <v/>
      </c>
      <c r="AX2834" s="83" t="str">
        <f t="array" ref="AX2834">IFERROR(DGET('SBV Import'!A:G,"SBV",{"RSC ID","Tier";B2834,A2834}))</f>
        <v/>
      </c>
      <c r="AY2834" s="82" t="str">
        <f t="shared" si="2"/>
        <v/>
      </c>
      <c r="AZ2834" s="82"/>
      <c r="BA2834" s="84" t="s">
        <v>152</v>
      </c>
      <c r="BB2834" s="84" t="str">
        <f>IFERROR(__xludf.DUMMYFUNCTION("iferror(if(A2834="""",,E2834&gt;=FILTER(Constants!$F$2:$F$10,Constants!$A$2:$A$10=A2834)))"),"")</f>
        <v/>
      </c>
    </row>
    <row r="2835">
      <c r="A2835" s="89"/>
      <c r="B2835" s="87"/>
      <c r="C2835" s="73"/>
      <c r="D2835" s="73"/>
      <c r="E2835" s="82"/>
      <c r="F2835" s="82"/>
      <c r="G2835" s="86"/>
      <c r="H2835" s="86"/>
      <c r="I2835" s="86"/>
      <c r="J2835" s="82"/>
      <c r="K2835" s="82"/>
      <c r="L2835" s="82"/>
      <c r="M2835" s="82"/>
      <c r="N2835" s="82"/>
      <c r="O2835" s="82"/>
      <c r="P2835" s="82"/>
      <c r="Q2835" s="82"/>
      <c r="R2835" s="82"/>
      <c r="S2835" s="82"/>
      <c r="T2835" s="82"/>
      <c r="U2835" s="82"/>
      <c r="V2835" s="82"/>
      <c r="W2835" s="82"/>
      <c r="X2835" s="82"/>
      <c r="Y2835" s="82"/>
      <c r="Z2835" s="82"/>
      <c r="AA2835" s="82"/>
      <c r="AB2835" s="82"/>
      <c r="AC2835" s="82"/>
      <c r="AD2835" s="82"/>
      <c r="AE2835" s="82"/>
      <c r="AF2835" s="82"/>
      <c r="AG2835" s="82"/>
      <c r="AH2835" s="82"/>
      <c r="AI2835" s="82"/>
      <c r="AJ2835" s="82"/>
      <c r="AK2835" s="82"/>
      <c r="AL2835" s="82"/>
      <c r="AM2835" s="82"/>
      <c r="AN2835" s="82"/>
      <c r="AO2835" s="82"/>
      <c r="AP2835" s="82"/>
      <c r="AQ2835" s="82"/>
      <c r="AR2835" s="82"/>
      <c r="AS2835" s="82"/>
      <c r="AT2835" s="82"/>
      <c r="AU2835" s="82"/>
      <c r="AV2835" s="82"/>
      <c r="AW2835" s="82" t="str">
        <f t="shared" si="1"/>
        <v/>
      </c>
      <c r="AX2835" s="83" t="str">
        <f t="array" ref="AX2835">IFERROR(DGET('SBV Import'!A:G,"SBV",{"RSC ID","Tier";B2835,A2835}))</f>
        <v/>
      </c>
      <c r="AY2835" s="82" t="str">
        <f t="shared" si="2"/>
        <v/>
      </c>
      <c r="AZ2835" s="82"/>
      <c r="BA2835" s="84" t="s">
        <v>152</v>
      </c>
      <c r="BB2835" s="84" t="str">
        <f>IFERROR(__xludf.DUMMYFUNCTION("iferror(if(A2835="""",,E2835&gt;=FILTER(Constants!$F$2:$F$10,Constants!$A$2:$A$10=A2835)))"),"")</f>
        <v/>
      </c>
    </row>
    <row r="2836">
      <c r="A2836" s="89"/>
      <c r="B2836" s="87"/>
      <c r="C2836" s="73"/>
      <c r="D2836" s="73"/>
      <c r="E2836" s="82"/>
      <c r="F2836" s="82"/>
      <c r="G2836" s="86"/>
      <c r="H2836" s="86"/>
      <c r="I2836" s="86"/>
      <c r="J2836" s="82"/>
      <c r="K2836" s="82"/>
      <c r="L2836" s="82"/>
      <c r="M2836" s="82"/>
      <c r="N2836" s="82"/>
      <c r="O2836" s="82"/>
      <c r="P2836" s="82"/>
      <c r="Q2836" s="82"/>
      <c r="R2836" s="82"/>
      <c r="S2836" s="82"/>
      <c r="T2836" s="82"/>
      <c r="U2836" s="82"/>
      <c r="V2836" s="82"/>
      <c r="W2836" s="82"/>
      <c r="X2836" s="82"/>
      <c r="Y2836" s="82"/>
      <c r="Z2836" s="82"/>
      <c r="AA2836" s="82"/>
      <c r="AB2836" s="82"/>
      <c r="AC2836" s="82"/>
      <c r="AD2836" s="82"/>
      <c r="AE2836" s="82"/>
      <c r="AF2836" s="82"/>
      <c r="AG2836" s="82"/>
      <c r="AH2836" s="82"/>
      <c r="AI2836" s="82"/>
      <c r="AJ2836" s="82"/>
      <c r="AK2836" s="82"/>
      <c r="AL2836" s="82"/>
      <c r="AM2836" s="82"/>
      <c r="AN2836" s="82"/>
      <c r="AO2836" s="82"/>
      <c r="AP2836" s="82"/>
      <c r="AQ2836" s="82"/>
      <c r="AR2836" s="82"/>
      <c r="AS2836" s="82"/>
      <c r="AT2836" s="82"/>
      <c r="AU2836" s="82"/>
      <c r="AV2836" s="82"/>
      <c r="AW2836" s="82" t="str">
        <f t="shared" si="1"/>
        <v/>
      </c>
      <c r="AX2836" s="83" t="str">
        <f t="array" ref="AX2836">IFERROR(DGET('SBV Import'!A:G,"SBV",{"RSC ID","Tier";B2836,A2836}))</f>
        <v/>
      </c>
      <c r="AY2836" s="82" t="str">
        <f t="shared" si="2"/>
        <v/>
      </c>
      <c r="AZ2836" s="82"/>
      <c r="BA2836" s="84" t="s">
        <v>152</v>
      </c>
      <c r="BB2836" s="84" t="str">
        <f>IFERROR(__xludf.DUMMYFUNCTION("iferror(if(A2836="""",,E2836&gt;=FILTER(Constants!$F$2:$F$10,Constants!$A$2:$A$10=A2836)))"),"")</f>
        <v/>
      </c>
    </row>
    <row r="2837">
      <c r="A2837" s="89"/>
      <c r="B2837" s="87"/>
      <c r="C2837" s="73"/>
      <c r="D2837" s="73"/>
      <c r="E2837" s="82"/>
      <c r="F2837" s="82"/>
      <c r="G2837" s="86"/>
      <c r="H2837" s="86"/>
      <c r="I2837" s="86"/>
      <c r="J2837" s="82"/>
      <c r="K2837" s="82"/>
      <c r="L2837" s="82"/>
      <c r="M2837" s="82"/>
      <c r="N2837" s="82"/>
      <c r="O2837" s="82"/>
      <c r="P2837" s="82"/>
      <c r="Q2837" s="82"/>
      <c r="R2837" s="82"/>
      <c r="S2837" s="82"/>
      <c r="T2837" s="82"/>
      <c r="U2837" s="82"/>
      <c r="V2837" s="82"/>
      <c r="W2837" s="82"/>
      <c r="X2837" s="82"/>
      <c r="Y2837" s="82"/>
      <c r="Z2837" s="82"/>
      <c r="AA2837" s="82"/>
      <c r="AB2837" s="82"/>
      <c r="AC2837" s="82"/>
      <c r="AD2837" s="82"/>
      <c r="AE2837" s="82"/>
      <c r="AF2837" s="82"/>
      <c r="AG2837" s="82"/>
      <c r="AH2837" s="82"/>
      <c r="AI2837" s="82"/>
      <c r="AJ2837" s="82"/>
      <c r="AK2837" s="82"/>
      <c r="AL2837" s="82"/>
      <c r="AM2837" s="82"/>
      <c r="AN2837" s="82"/>
      <c r="AO2837" s="82"/>
      <c r="AP2837" s="82"/>
      <c r="AQ2837" s="82"/>
      <c r="AR2837" s="82"/>
      <c r="AS2837" s="82"/>
      <c r="AT2837" s="82"/>
      <c r="AU2837" s="82"/>
      <c r="AV2837" s="82"/>
      <c r="AW2837" s="82" t="str">
        <f t="shared" si="1"/>
        <v/>
      </c>
      <c r="AX2837" s="83" t="str">
        <f t="array" ref="AX2837">IFERROR(DGET('SBV Import'!A:G,"SBV",{"RSC ID","Tier";B2837,A2837}))</f>
        <v/>
      </c>
      <c r="AY2837" s="82" t="str">
        <f t="shared" si="2"/>
        <v/>
      </c>
      <c r="AZ2837" s="82"/>
      <c r="BA2837" s="84" t="s">
        <v>152</v>
      </c>
      <c r="BB2837" s="84" t="str">
        <f>IFERROR(__xludf.DUMMYFUNCTION("iferror(if(A2837="""",,E2837&gt;=FILTER(Constants!$F$2:$F$10,Constants!$A$2:$A$10=A2837)))"),"")</f>
        <v/>
      </c>
    </row>
    <row r="2838">
      <c r="A2838" s="89"/>
      <c r="B2838" s="87"/>
      <c r="C2838" s="73"/>
      <c r="D2838" s="73"/>
      <c r="E2838" s="82"/>
      <c r="F2838" s="82"/>
      <c r="G2838" s="86"/>
      <c r="H2838" s="86"/>
      <c r="I2838" s="86"/>
      <c r="J2838" s="82"/>
      <c r="K2838" s="82"/>
      <c r="L2838" s="82"/>
      <c r="M2838" s="82"/>
      <c r="N2838" s="82"/>
      <c r="O2838" s="82"/>
      <c r="P2838" s="82"/>
      <c r="Q2838" s="82"/>
      <c r="R2838" s="82"/>
      <c r="S2838" s="82"/>
      <c r="T2838" s="82"/>
      <c r="U2838" s="82"/>
      <c r="V2838" s="82"/>
      <c r="W2838" s="82"/>
      <c r="X2838" s="82"/>
      <c r="Y2838" s="82"/>
      <c r="Z2838" s="82"/>
      <c r="AA2838" s="82"/>
      <c r="AB2838" s="82"/>
      <c r="AC2838" s="82"/>
      <c r="AD2838" s="82"/>
      <c r="AE2838" s="82"/>
      <c r="AF2838" s="82"/>
      <c r="AG2838" s="82"/>
      <c r="AH2838" s="82"/>
      <c r="AI2838" s="82"/>
      <c r="AJ2838" s="82"/>
      <c r="AK2838" s="82"/>
      <c r="AL2838" s="82"/>
      <c r="AM2838" s="82"/>
      <c r="AN2838" s="82"/>
      <c r="AO2838" s="82"/>
      <c r="AP2838" s="82"/>
      <c r="AQ2838" s="82"/>
      <c r="AR2838" s="82"/>
      <c r="AS2838" s="82"/>
      <c r="AT2838" s="82"/>
      <c r="AU2838" s="82"/>
      <c r="AV2838" s="82"/>
      <c r="AW2838" s="82" t="str">
        <f t="shared" si="1"/>
        <v/>
      </c>
      <c r="AX2838" s="83" t="str">
        <f t="array" ref="AX2838">IFERROR(DGET('SBV Import'!A:G,"SBV",{"RSC ID","Tier";B2838,A2838}))</f>
        <v/>
      </c>
      <c r="AY2838" s="82" t="str">
        <f t="shared" si="2"/>
        <v/>
      </c>
      <c r="AZ2838" s="82"/>
      <c r="BA2838" s="84" t="s">
        <v>152</v>
      </c>
      <c r="BB2838" s="84" t="str">
        <f>IFERROR(__xludf.DUMMYFUNCTION("iferror(if(A2838="""",,E2838&gt;=FILTER(Constants!$F$2:$F$10,Constants!$A$2:$A$10=A2838)))"),"")</f>
        <v/>
      </c>
    </row>
    <row r="2839">
      <c r="A2839" s="89"/>
      <c r="B2839" s="87"/>
      <c r="C2839" s="73"/>
      <c r="D2839" s="73"/>
      <c r="E2839" s="82"/>
      <c r="F2839" s="82"/>
      <c r="G2839" s="86"/>
      <c r="H2839" s="86"/>
      <c r="I2839" s="86"/>
      <c r="J2839" s="82"/>
      <c r="K2839" s="82"/>
      <c r="L2839" s="82"/>
      <c r="M2839" s="82"/>
      <c r="N2839" s="82"/>
      <c r="O2839" s="82"/>
      <c r="P2839" s="82"/>
      <c r="Q2839" s="82"/>
      <c r="R2839" s="82"/>
      <c r="S2839" s="82"/>
      <c r="T2839" s="82"/>
      <c r="U2839" s="82"/>
      <c r="V2839" s="82"/>
      <c r="W2839" s="82"/>
      <c r="X2839" s="82"/>
      <c r="Y2839" s="82"/>
      <c r="Z2839" s="82"/>
      <c r="AA2839" s="82"/>
      <c r="AB2839" s="82"/>
      <c r="AC2839" s="82"/>
      <c r="AD2839" s="82"/>
      <c r="AE2839" s="82"/>
      <c r="AF2839" s="82"/>
      <c r="AG2839" s="82"/>
      <c r="AH2839" s="82"/>
      <c r="AI2839" s="82"/>
      <c r="AJ2839" s="82"/>
      <c r="AK2839" s="82"/>
      <c r="AL2839" s="82"/>
      <c r="AM2839" s="82"/>
      <c r="AN2839" s="82"/>
      <c r="AO2839" s="82"/>
      <c r="AP2839" s="82"/>
      <c r="AQ2839" s="82"/>
      <c r="AR2839" s="82"/>
      <c r="AS2839" s="82"/>
      <c r="AT2839" s="82"/>
      <c r="AU2839" s="82"/>
      <c r="AV2839" s="82"/>
      <c r="AW2839" s="82" t="str">
        <f t="shared" si="1"/>
        <v/>
      </c>
      <c r="AX2839" s="83" t="str">
        <f t="array" ref="AX2839">IFERROR(DGET('SBV Import'!A:G,"SBV",{"RSC ID","Tier";B2839,A2839}))</f>
        <v/>
      </c>
      <c r="AY2839" s="82" t="str">
        <f t="shared" si="2"/>
        <v/>
      </c>
      <c r="AZ2839" s="82"/>
      <c r="BA2839" s="84" t="s">
        <v>152</v>
      </c>
      <c r="BB2839" s="84" t="str">
        <f>IFERROR(__xludf.DUMMYFUNCTION("iferror(if(A2839="""",,E2839&gt;=FILTER(Constants!$F$2:$F$10,Constants!$A$2:$A$10=A2839)))"),"")</f>
        <v/>
      </c>
    </row>
    <row r="2840">
      <c r="A2840" s="89"/>
      <c r="B2840" s="87"/>
      <c r="C2840" s="73"/>
      <c r="D2840" s="73"/>
      <c r="E2840" s="82"/>
      <c r="F2840" s="82"/>
      <c r="G2840" s="86"/>
      <c r="H2840" s="86"/>
      <c r="I2840" s="86"/>
      <c r="J2840" s="82"/>
      <c r="K2840" s="82"/>
      <c r="L2840" s="82"/>
      <c r="M2840" s="82"/>
      <c r="N2840" s="82"/>
      <c r="O2840" s="82"/>
      <c r="P2840" s="82"/>
      <c r="Q2840" s="82"/>
      <c r="R2840" s="82"/>
      <c r="S2840" s="82"/>
      <c r="T2840" s="82"/>
      <c r="U2840" s="82"/>
      <c r="V2840" s="82"/>
      <c r="W2840" s="82"/>
      <c r="X2840" s="82"/>
      <c r="Y2840" s="82"/>
      <c r="Z2840" s="82"/>
      <c r="AA2840" s="82"/>
      <c r="AB2840" s="82"/>
      <c r="AC2840" s="82"/>
      <c r="AD2840" s="82"/>
      <c r="AE2840" s="82"/>
      <c r="AF2840" s="82"/>
      <c r="AG2840" s="82"/>
      <c r="AH2840" s="82"/>
      <c r="AI2840" s="82"/>
      <c r="AJ2840" s="82"/>
      <c r="AK2840" s="82"/>
      <c r="AL2840" s="82"/>
      <c r="AM2840" s="82"/>
      <c r="AN2840" s="82"/>
      <c r="AO2840" s="82"/>
      <c r="AP2840" s="82"/>
      <c r="AQ2840" s="82"/>
      <c r="AR2840" s="82"/>
      <c r="AS2840" s="82"/>
      <c r="AT2840" s="82"/>
      <c r="AU2840" s="82"/>
      <c r="AV2840" s="82"/>
      <c r="AW2840" s="82" t="str">
        <f t="shared" si="1"/>
        <v/>
      </c>
      <c r="AX2840" s="83" t="str">
        <f t="array" ref="AX2840">IFERROR(DGET('SBV Import'!A:G,"SBV",{"RSC ID","Tier";B2840,A2840}))</f>
        <v/>
      </c>
      <c r="AY2840" s="82" t="str">
        <f t="shared" si="2"/>
        <v/>
      </c>
      <c r="AZ2840" s="82"/>
      <c r="BA2840" s="84" t="s">
        <v>152</v>
      </c>
      <c r="BB2840" s="84" t="str">
        <f>IFERROR(__xludf.DUMMYFUNCTION("iferror(if(A2840="""",,E2840&gt;=FILTER(Constants!$F$2:$F$10,Constants!$A$2:$A$10=A2840)))"),"")</f>
        <v/>
      </c>
    </row>
    <row r="2841">
      <c r="A2841" s="89"/>
      <c r="B2841" s="87"/>
      <c r="C2841" s="73"/>
      <c r="D2841" s="73"/>
      <c r="E2841" s="82"/>
      <c r="F2841" s="82"/>
      <c r="G2841" s="86"/>
      <c r="H2841" s="86"/>
      <c r="I2841" s="86"/>
      <c r="J2841" s="82"/>
      <c r="K2841" s="82"/>
      <c r="L2841" s="82"/>
      <c r="M2841" s="82"/>
      <c r="N2841" s="82"/>
      <c r="O2841" s="82"/>
      <c r="P2841" s="82"/>
      <c r="Q2841" s="82"/>
      <c r="R2841" s="82"/>
      <c r="S2841" s="82"/>
      <c r="T2841" s="82"/>
      <c r="U2841" s="82"/>
      <c r="V2841" s="82"/>
      <c r="W2841" s="82"/>
      <c r="X2841" s="82"/>
      <c r="Y2841" s="82"/>
      <c r="Z2841" s="82"/>
      <c r="AA2841" s="82"/>
      <c r="AB2841" s="82"/>
      <c r="AC2841" s="82"/>
      <c r="AD2841" s="82"/>
      <c r="AE2841" s="82"/>
      <c r="AF2841" s="82"/>
      <c r="AG2841" s="82"/>
      <c r="AH2841" s="82"/>
      <c r="AI2841" s="82"/>
      <c r="AJ2841" s="82"/>
      <c r="AK2841" s="82"/>
      <c r="AL2841" s="82"/>
      <c r="AM2841" s="82"/>
      <c r="AN2841" s="82"/>
      <c r="AO2841" s="82"/>
      <c r="AP2841" s="82"/>
      <c r="AQ2841" s="82"/>
      <c r="AR2841" s="82"/>
      <c r="AS2841" s="82"/>
      <c r="AT2841" s="82"/>
      <c r="AU2841" s="82"/>
      <c r="AV2841" s="82"/>
      <c r="AW2841" s="82" t="str">
        <f t="shared" si="1"/>
        <v/>
      </c>
      <c r="AX2841" s="83" t="str">
        <f t="array" ref="AX2841">IFERROR(DGET('SBV Import'!A:G,"SBV",{"RSC ID","Tier";B2841,A2841}))</f>
        <v/>
      </c>
      <c r="AY2841" s="82" t="str">
        <f t="shared" si="2"/>
        <v/>
      </c>
      <c r="AZ2841" s="82"/>
      <c r="BA2841" s="84" t="s">
        <v>152</v>
      </c>
      <c r="BB2841" s="84" t="str">
        <f>IFERROR(__xludf.DUMMYFUNCTION("iferror(if(A2841="""",,E2841&gt;=FILTER(Constants!$F$2:$F$10,Constants!$A$2:$A$10=A2841)))"),"")</f>
        <v/>
      </c>
    </row>
    <row r="2842">
      <c r="A2842" s="89"/>
      <c r="B2842" s="87"/>
      <c r="C2842" s="73"/>
      <c r="D2842" s="73"/>
      <c r="E2842" s="82"/>
      <c r="F2842" s="82"/>
      <c r="G2842" s="86"/>
      <c r="H2842" s="86"/>
      <c r="I2842" s="86"/>
      <c r="J2842" s="82"/>
      <c r="K2842" s="82"/>
      <c r="L2842" s="82"/>
      <c r="M2842" s="82"/>
      <c r="N2842" s="82"/>
      <c r="O2842" s="82"/>
      <c r="P2842" s="82"/>
      <c r="Q2842" s="82"/>
      <c r="R2842" s="82"/>
      <c r="S2842" s="82"/>
      <c r="T2842" s="82"/>
      <c r="U2842" s="82"/>
      <c r="V2842" s="82"/>
      <c r="W2842" s="82"/>
      <c r="X2842" s="82"/>
      <c r="Y2842" s="82"/>
      <c r="Z2842" s="82"/>
      <c r="AA2842" s="82"/>
      <c r="AB2842" s="82"/>
      <c r="AC2842" s="82"/>
      <c r="AD2842" s="82"/>
      <c r="AE2842" s="82"/>
      <c r="AF2842" s="82"/>
      <c r="AG2842" s="82"/>
      <c r="AH2842" s="82"/>
      <c r="AI2842" s="82"/>
      <c r="AJ2842" s="82"/>
      <c r="AK2842" s="82"/>
      <c r="AL2842" s="82"/>
      <c r="AM2842" s="82"/>
      <c r="AN2842" s="82"/>
      <c r="AO2842" s="82"/>
      <c r="AP2842" s="82"/>
      <c r="AQ2842" s="82"/>
      <c r="AR2842" s="82"/>
      <c r="AS2842" s="82"/>
      <c r="AT2842" s="82"/>
      <c r="AU2842" s="82"/>
      <c r="AV2842" s="82"/>
      <c r="AW2842" s="82" t="str">
        <f t="shared" si="1"/>
        <v/>
      </c>
      <c r="AX2842" s="83" t="str">
        <f t="array" ref="AX2842">IFERROR(DGET('SBV Import'!A:G,"SBV",{"RSC ID","Tier";B2842,A2842}))</f>
        <v/>
      </c>
      <c r="AY2842" s="82" t="str">
        <f t="shared" si="2"/>
        <v/>
      </c>
      <c r="AZ2842" s="82"/>
      <c r="BA2842" s="84" t="s">
        <v>152</v>
      </c>
      <c r="BB2842" s="84" t="str">
        <f>IFERROR(__xludf.DUMMYFUNCTION("iferror(if(A2842="""",,E2842&gt;=FILTER(Constants!$F$2:$F$10,Constants!$A$2:$A$10=A2842)))"),"")</f>
        <v/>
      </c>
    </row>
    <row r="2843">
      <c r="A2843" s="89"/>
      <c r="B2843" s="87"/>
      <c r="C2843" s="73"/>
      <c r="D2843" s="73"/>
      <c r="E2843" s="82"/>
      <c r="F2843" s="82"/>
      <c r="G2843" s="86"/>
      <c r="H2843" s="86"/>
      <c r="I2843" s="86"/>
      <c r="J2843" s="82"/>
      <c r="K2843" s="82"/>
      <c r="L2843" s="82"/>
      <c r="M2843" s="82"/>
      <c r="N2843" s="82"/>
      <c r="O2843" s="82"/>
      <c r="P2843" s="82"/>
      <c r="Q2843" s="82"/>
      <c r="R2843" s="82"/>
      <c r="S2843" s="82"/>
      <c r="T2843" s="82"/>
      <c r="U2843" s="82"/>
      <c r="V2843" s="82"/>
      <c r="W2843" s="82"/>
      <c r="X2843" s="82"/>
      <c r="Y2843" s="82"/>
      <c r="Z2843" s="82"/>
      <c r="AA2843" s="82"/>
      <c r="AB2843" s="82"/>
      <c r="AC2843" s="82"/>
      <c r="AD2843" s="82"/>
      <c r="AE2843" s="82"/>
      <c r="AF2843" s="82"/>
      <c r="AG2843" s="82"/>
      <c r="AH2843" s="82"/>
      <c r="AI2843" s="82"/>
      <c r="AJ2843" s="82"/>
      <c r="AK2843" s="82"/>
      <c r="AL2843" s="82"/>
      <c r="AM2843" s="82"/>
      <c r="AN2843" s="82"/>
      <c r="AO2843" s="82"/>
      <c r="AP2843" s="82"/>
      <c r="AQ2843" s="82"/>
      <c r="AR2843" s="82"/>
      <c r="AS2843" s="82"/>
      <c r="AT2843" s="82"/>
      <c r="AU2843" s="82"/>
      <c r="AV2843" s="82"/>
      <c r="AW2843" s="82" t="str">
        <f t="shared" si="1"/>
        <v/>
      </c>
      <c r="AX2843" s="83" t="str">
        <f t="array" ref="AX2843">IFERROR(DGET('SBV Import'!A:G,"SBV",{"RSC ID","Tier";B2843,A2843}))</f>
        <v/>
      </c>
      <c r="AY2843" s="82" t="str">
        <f t="shared" si="2"/>
        <v/>
      </c>
      <c r="AZ2843" s="82"/>
      <c r="BA2843" s="84" t="s">
        <v>152</v>
      </c>
      <c r="BB2843" s="84" t="str">
        <f>IFERROR(__xludf.DUMMYFUNCTION("iferror(if(A2843="""",,E2843&gt;=FILTER(Constants!$F$2:$F$10,Constants!$A$2:$A$10=A2843)))"),"")</f>
        <v/>
      </c>
    </row>
    <row r="2844">
      <c r="A2844" s="89"/>
      <c r="B2844" s="87"/>
      <c r="C2844" s="73"/>
      <c r="D2844" s="73"/>
      <c r="E2844" s="82"/>
      <c r="F2844" s="82"/>
      <c r="G2844" s="86"/>
      <c r="H2844" s="86"/>
      <c r="I2844" s="86"/>
      <c r="J2844" s="82"/>
      <c r="K2844" s="82"/>
      <c r="L2844" s="82"/>
      <c r="M2844" s="82"/>
      <c r="N2844" s="82"/>
      <c r="O2844" s="82"/>
      <c r="P2844" s="82"/>
      <c r="Q2844" s="82"/>
      <c r="R2844" s="82"/>
      <c r="S2844" s="82"/>
      <c r="T2844" s="82"/>
      <c r="U2844" s="82"/>
      <c r="V2844" s="82"/>
      <c r="W2844" s="82"/>
      <c r="X2844" s="82"/>
      <c r="Y2844" s="82"/>
      <c r="Z2844" s="82"/>
      <c r="AA2844" s="82"/>
      <c r="AB2844" s="82"/>
      <c r="AC2844" s="82"/>
      <c r="AD2844" s="82"/>
      <c r="AE2844" s="82"/>
      <c r="AF2844" s="82"/>
      <c r="AG2844" s="82"/>
      <c r="AH2844" s="82"/>
      <c r="AI2844" s="82"/>
      <c r="AJ2844" s="82"/>
      <c r="AK2844" s="82"/>
      <c r="AL2844" s="82"/>
      <c r="AM2844" s="82"/>
      <c r="AN2844" s="82"/>
      <c r="AO2844" s="82"/>
      <c r="AP2844" s="82"/>
      <c r="AQ2844" s="82"/>
      <c r="AR2844" s="82"/>
      <c r="AS2844" s="82"/>
      <c r="AT2844" s="82"/>
      <c r="AU2844" s="82"/>
      <c r="AV2844" s="82"/>
      <c r="AW2844" s="82" t="str">
        <f t="shared" si="1"/>
        <v/>
      </c>
      <c r="AX2844" s="83" t="str">
        <f t="array" ref="AX2844">IFERROR(DGET('SBV Import'!A:G,"SBV",{"RSC ID","Tier";B2844,A2844}))</f>
        <v/>
      </c>
      <c r="AY2844" s="82" t="str">
        <f t="shared" si="2"/>
        <v/>
      </c>
      <c r="AZ2844" s="82"/>
      <c r="BA2844" s="84" t="s">
        <v>152</v>
      </c>
      <c r="BB2844" s="84" t="str">
        <f>IFERROR(__xludf.DUMMYFUNCTION("iferror(if(A2844="""",,E2844&gt;=FILTER(Constants!$F$2:$F$10,Constants!$A$2:$A$10=A2844)))"),"")</f>
        <v/>
      </c>
    </row>
    <row r="2845">
      <c r="A2845" s="89"/>
      <c r="B2845" s="87"/>
      <c r="C2845" s="73"/>
      <c r="D2845" s="73"/>
      <c r="E2845" s="82"/>
      <c r="F2845" s="82"/>
      <c r="G2845" s="86"/>
      <c r="H2845" s="86"/>
      <c r="I2845" s="86"/>
      <c r="J2845" s="82"/>
      <c r="K2845" s="82"/>
      <c r="L2845" s="82"/>
      <c r="M2845" s="82"/>
      <c r="N2845" s="82"/>
      <c r="O2845" s="82"/>
      <c r="P2845" s="82"/>
      <c r="Q2845" s="82"/>
      <c r="R2845" s="82"/>
      <c r="S2845" s="82"/>
      <c r="T2845" s="82"/>
      <c r="U2845" s="82"/>
      <c r="V2845" s="82"/>
      <c r="W2845" s="82"/>
      <c r="X2845" s="82"/>
      <c r="Y2845" s="82"/>
      <c r="Z2845" s="82"/>
      <c r="AA2845" s="82"/>
      <c r="AB2845" s="82"/>
      <c r="AC2845" s="82"/>
      <c r="AD2845" s="82"/>
      <c r="AE2845" s="82"/>
      <c r="AF2845" s="82"/>
      <c r="AG2845" s="82"/>
      <c r="AH2845" s="82"/>
      <c r="AI2845" s="82"/>
      <c r="AJ2845" s="82"/>
      <c r="AK2845" s="82"/>
      <c r="AL2845" s="82"/>
      <c r="AM2845" s="82"/>
      <c r="AN2845" s="82"/>
      <c r="AO2845" s="82"/>
      <c r="AP2845" s="82"/>
      <c r="AQ2845" s="82"/>
      <c r="AR2845" s="82"/>
      <c r="AS2845" s="82"/>
      <c r="AT2845" s="82"/>
      <c r="AU2845" s="82"/>
      <c r="AV2845" s="82"/>
      <c r="AW2845" s="82" t="str">
        <f t="shared" si="1"/>
        <v/>
      </c>
      <c r="AX2845" s="83" t="str">
        <f t="array" ref="AX2845">IFERROR(DGET('SBV Import'!A:G,"SBV",{"RSC ID","Tier";B2845,A2845}))</f>
        <v/>
      </c>
      <c r="AY2845" s="82" t="str">
        <f t="shared" si="2"/>
        <v/>
      </c>
      <c r="AZ2845" s="82"/>
      <c r="BA2845" s="84" t="s">
        <v>152</v>
      </c>
      <c r="BB2845" s="84" t="str">
        <f>IFERROR(__xludf.DUMMYFUNCTION("iferror(if(A2845="""",,E2845&gt;=FILTER(Constants!$F$2:$F$10,Constants!$A$2:$A$10=A2845)))"),"")</f>
        <v/>
      </c>
    </row>
    <row r="2846">
      <c r="A2846" s="89"/>
      <c r="B2846" s="87"/>
      <c r="C2846" s="73"/>
      <c r="D2846" s="73"/>
      <c r="E2846" s="82"/>
      <c r="F2846" s="82"/>
      <c r="G2846" s="86"/>
      <c r="H2846" s="86"/>
      <c r="I2846" s="86"/>
      <c r="J2846" s="82"/>
      <c r="K2846" s="82"/>
      <c r="L2846" s="82"/>
      <c r="M2846" s="82"/>
      <c r="N2846" s="82"/>
      <c r="O2846" s="82"/>
      <c r="P2846" s="82"/>
      <c r="Q2846" s="82"/>
      <c r="R2846" s="82"/>
      <c r="S2846" s="82"/>
      <c r="T2846" s="82"/>
      <c r="U2846" s="82"/>
      <c r="V2846" s="82"/>
      <c r="W2846" s="82"/>
      <c r="X2846" s="82"/>
      <c r="Y2846" s="82"/>
      <c r="Z2846" s="82"/>
      <c r="AA2846" s="82"/>
      <c r="AB2846" s="82"/>
      <c r="AC2846" s="82"/>
      <c r="AD2846" s="82"/>
      <c r="AE2846" s="82"/>
      <c r="AF2846" s="82"/>
      <c r="AG2846" s="82"/>
      <c r="AH2846" s="82"/>
      <c r="AI2846" s="82"/>
      <c r="AJ2846" s="82"/>
      <c r="AK2846" s="82"/>
      <c r="AL2846" s="82"/>
      <c r="AM2846" s="82"/>
      <c r="AN2846" s="82"/>
      <c r="AO2846" s="82"/>
      <c r="AP2846" s="82"/>
      <c r="AQ2846" s="82"/>
      <c r="AR2846" s="82"/>
      <c r="AS2846" s="82"/>
      <c r="AT2846" s="82"/>
      <c r="AU2846" s="82"/>
      <c r="AV2846" s="82"/>
      <c r="AW2846" s="82" t="str">
        <f t="shared" si="1"/>
        <v/>
      </c>
      <c r="AX2846" s="83" t="str">
        <f t="array" ref="AX2846">IFERROR(DGET('SBV Import'!A:G,"SBV",{"RSC ID","Tier";B2846,A2846}))</f>
        <v/>
      </c>
      <c r="AY2846" s="82" t="str">
        <f t="shared" si="2"/>
        <v/>
      </c>
      <c r="AZ2846" s="82"/>
      <c r="BA2846" s="84" t="s">
        <v>152</v>
      </c>
      <c r="BB2846" s="84" t="str">
        <f>IFERROR(__xludf.DUMMYFUNCTION("iferror(if(A2846="""",,E2846&gt;=FILTER(Constants!$F$2:$F$10,Constants!$A$2:$A$10=A2846)))"),"")</f>
        <v/>
      </c>
    </row>
    <row r="2847">
      <c r="A2847" s="89"/>
      <c r="B2847" s="87"/>
      <c r="C2847" s="73"/>
      <c r="D2847" s="73"/>
      <c r="E2847" s="82"/>
      <c r="F2847" s="82"/>
      <c r="G2847" s="86"/>
      <c r="H2847" s="86"/>
      <c r="I2847" s="86"/>
      <c r="J2847" s="82"/>
      <c r="K2847" s="82"/>
      <c r="L2847" s="82"/>
      <c r="M2847" s="82"/>
      <c r="N2847" s="82"/>
      <c r="O2847" s="82"/>
      <c r="P2847" s="82"/>
      <c r="Q2847" s="82"/>
      <c r="R2847" s="82"/>
      <c r="S2847" s="82"/>
      <c r="T2847" s="82"/>
      <c r="U2847" s="82"/>
      <c r="V2847" s="82"/>
      <c r="W2847" s="82"/>
      <c r="X2847" s="82"/>
      <c r="Y2847" s="82"/>
      <c r="Z2847" s="82"/>
      <c r="AA2847" s="82"/>
      <c r="AB2847" s="82"/>
      <c r="AC2847" s="82"/>
      <c r="AD2847" s="82"/>
      <c r="AE2847" s="82"/>
      <c r="AF2847" s="82"/>
      <c r="AG2847" s="82"/>
      <c r="AH2847" s="82"/>
      <c r="AI2847" s="82"/>
      <c r="AJ2847" s="82"/>
      <c r="AK2847" s="82"/>
      <c r="AL2847" s="82"/>
      <c r="AM2847" s="82"/>
      <c r="AN2847" s="82"/>
      <c r="AO2847" s="82"/>
      <c r="AP2847" s="82"/>
      <c r="AQ2847" s="82"/>
      <c r="AR2847" s="82"/>
      <c r="AS2847" s="82"/>
      <c r="AT2847" s="82"/>
      <c r="AU2847" s="82"/>
      <c r="AV2847" s="82"/>
      <c r="AW2847" s="82" t="str">
        <f t="shared" si="1"/>
        <v/>
      </c>
      <c r="AX2847" s="83" t="str">
        <f t="array" ref="AX2847">IFERROR(DGET('SBV Import'!A:G,"SBV",{"RSC ID","Tier";B2847,A2847}))</f>
        <v/>
      </c>
      <c r="AY2847" s="82" t="str">
        <f t="shared" si="2"/>
        <v/>
      </c>
      <c r="AZ2847" s="82"/>
      <c r="BA2847" s="84" t="s">
        <v>152</v>
      </c>
      <c r="BB2847" s="84" t="str">
        <f>IFERROR(__xludf.DUMMYFUNCTION("iferror(if(A2847="""",,E2847&gt;=FILTER(Constants!$F$2:$F$10,Constants!$A$2:$A$10=A2847)))"),"")</f>
        <v/>
      </c>
    </row>
    <row r="2848">
      <c r="A2848" s="89"/>
      <c r="B2848" s="87"/>
      <c r="C2848" s="73"/>
      <c r="D2848" s="73"/>
      <c r="E2848" s="82"/>
      <c r="F2848" s="82"/>
      <c r="G2848" s="86"/>
      <c r="H2848" s="86"/>
      <c r="I2848" s="86"/>
      <c r="J2848" s="82"/>
      <c r="K2848" s="82"/>
      <c r="L2848" s="82"/>
      <c r="M2848" s="82"/>
      <c r="N2848" s="82"/>
      <c r="O2848" s="82"/>
      <c r="P2848" s="82"/>
      <c r="Q2848" s="82"/>
      <c r="R2848" s="82"/>
      <c r="S2848" s="82"/>
      <c r="T2848" s="82"/>
      <c r="U2848" s="82"/>
      <c r="V2848" s="82"/>
      <c r="W2848" s="82"/>
      <c r="X2848" s="82"/>
      <c r="Y2848" s="82"/>
      <c r="Z2848" s="82"/>
      <c r="AA2848" s="82"/>
      <c r="AB2848" s="82"/>
      <c r="AC2848" s="82"/>
      <c r="AD2848" s="82"/>
      <c r="AE2848" s="82"/>
      <c r="AF2848" s="82"/>
      <c r="AG2848" s="82"/>
      <c r="AH2848" s="82"/>
      <c r="AI2848" s="82"/>
      <c r="AJ2848" s="82"/>
      <c r="AK2848" s="82"/>
      <c r="AL2848" s="82"/>
      <c r="AM2848" s="82"/>
      <c r="AN2848" s="82"/>
      <c r="AO2848" s="82"/>
      <c r="AP2848" s="82"/>
      <c r="AQ2848" s="82"/>
      <c r="AR2848" s="82"/>
      <c r="AS2848" s="82"/>
      <c r="AT2848" s="82"/>
      <c r="AU2848" s="82"/>
      <c r="AV2848" s="82"/>
      <c r="AW2848" s="82" t="str">
        <f t="shared" si="1"/>
        <v/>
      </c>
      <c r="AX2848" s="83" t="str">
        <f t="array" ref="AX2848">IFERROR(DGET('SBV Import'!A:G,"SBV",{"RSC ID","Tier";B2848,A2848}))</f>
        <v/>
      </c>
      <c r="AY2848" s="82" t="str">
        <f t="shared" si="2"/>
        <v/>
      </c>
      <c r="AZ2848" s="82"/>
      <c r="BA2848" s="84" t="s">
        <v>152</v>
      </c>
      <c r="BB2848" s="84" t="str">
        <f>IFERROR(__xludf.DUMMYFUNCTION("iferror(if(A2848="""",,E2848&gt;=FILTER(Constants!$F$2:$F$10,Constants!$A$2:$A$10=A2848)))"),"")</f>
        <v/>
      </c>
    </row>
    <row r="2849">
      <c r="A2849" s="89"/>
      <c r="B2849" s="87"/>
      <c r="C2849" s="73"/>
      <c r="D2849" s="73"/>
      <c r="E2849" s="82"/>
      <c r="F2849" s="82"/>
      <c r="G2849" s="86"/>
      <c r="H2849" s="86"/>
      <c r="I2849" s="86"/>
      <c r="J2849" s="82"/>
      <c r="K2849" s="82"/>
      <c r="L2849" s="82"/>
      <c r="M2849" s="82"/>
      <c r="N2849" s="82"/>
      <c r="O2849" s="82"/>
      <c r="P2849" s="82"/>
      <c r="Q2849" s="82"/>
      <c r="R2849" s="82"/>
      <c r="S2849" s="82"/>
      <c r="T2849" s="82"/>
      <c r="U2849" s="82"/>
      <c r="V2849" s="82"/>
      <c r="W2849" s="82"/>
      <c r="X2849" s="82"/>
      <c r="Y2849" s="82"/>
      <c r="Z2849" s="82"/>
      <c r="AA2849" s="82"/>
      <c r="AB2849" s="82"/>
      <c r="AC2849" s="82"/>
      <c r="AD2849" s="82"/>
      <c r="AE2849" s="82"/>
      <c r="AF2849" s="82"/>
      <c r="AG2849" s="82"/>
      <c r="AH2849" s="82"/>
      <c r="AI2849" s="82"/>
      <c r="AJ2849" s="82"/>
      <c r="AK2849" s="82"/>
      <c r="AL2849" s="82"/>
      <c r="AM2849" s="82"/>
      <c r="AN2849" s="82"/>
      <c r="AO2849" s="82"/>
      <c r="AP2849" s="82"/>
      <c r="AQ2849" s="82"/>
      <c r="AR2849" s="82"/>
      <c r="AS2849" s="82"/>
      <c r="AT2849" s="82"/>
      <c r="AU2849" s="82"/>
      <c r="AV2849" s="82"/>
      <c r="AW2849" s="82" t="str">
        <f t="shared" si="1"/>
        <v/>
      </c>
      <c r="AX2849" s="83" t="str">
        <f t="array" ref="AX2849">IFERROR(DGET('SBV Import'!A:G,"SBV",{"RSC ID","Tier";B2849,A2849}))</f>
        <v/>
      </c>
      <c r="AY2849" s="82" t="str">
        <f t="shared" si="2"/>
        <v/>
      </c>
      <c r="AZ2849" s="82"/>
      <c r="BA2849" s="84" t="s">
        <v>152</v>
      </c>
      <c r="BB2849" s="84" t="str">
        <f>IFERROR(__xludf.DUMMYFUNCTION("iferror(if(A2849="""",,E2849&gt;=FILTER(Constants!$F$2:$F$10,Constants!$A$2:$A$10=A2849)))"),"")</f>
        <v/>
      </c>
    </row>
    <row r="2850">
      <c r="A2850" s="89"/>
      <c r="B2850" s="87"/>
      <c r="C2850" s="73"/>
      <c r="D2850" s="73"/>
      <c r="E2850" s="82"/>
      <c r="F2850" s="82"/>
      <c r="G2850" s="86"/>
      <c r="H2850" s="86"/>
      <c r="I2850" s="86"/>
      <c r="J2850" s="82"/>
      <c r="K2850" s="82"/>
      <c r="L2850" s="82"/>
      <c r="M2850" s="82"/>
      <c r="N2850" s="82"/>
      <c r="O2850" s="82"/>
      <c r="P2850" s="82"/>
      <c r="Q2850" s="82"/>
      <c r="R2850" s="82"/>
      <c r="S2850" s="82"/>
      <c r="T2850" s="82"/>
      <c r="U2850" s="82"/>
      <c r="V2850" s="82"/>
      <c r="W2850" s="82"/>
      <c r="X2850" s="82"/>
      <c r="Y2850" s="82"/>
      <c r="Z2850" s="82"/>
      <c r="AA2850" s="82"/>
      <c r="AB2850" s="82"/>
      <c r="AC2850" s="82"/>
      <c r="AD2850" s="82"/>
      <c r="AE2850" s="82"/>
      <c r="AF2850" s="82"/>
      <c r="AG2850" s="82"/>
      <c r="AH2850" s="82"/>
      <c r="AI2850" s="82"/>
      <c r="AJ2850" s="82"/>
      <c r="AK2850" s="82"/>
      <c r="AL2850" s="82"/>
      <c r="AM2850" s="82"/>
      <c r="AN2850" s="82"/>
      <c r="AO2850" s="82"/>
      <c r="AP2850" s="82"/>
      <c r="AQ2850" s="82"/>
      <c r="AR2850" s="82"/>
      <c r="AS2850" s="82"/>
      <c r="AT2850" s="82"/>
      <c r="AU2850" s="82"/>
      <c r="AV2850" s="82"/>
      <c r="AW2850" s="82" t="str">
        <f t="shared" si="1"/>
        <v/>
      </c>
      <c r="AX2850" s="83" t="str">
        <f t="array" ref="AX2850">IFERROR(DGET('SBV Import'!A:G,"SBV",{"RSC ID","Tier";B2850,A2850}))</f>
        <v/>
      </c>
      <c r="AY2850" s="82" t="str">
        <f t="shared" si="2"/>
        <v/>
      </c>
      <c r="AZ2850" s="82"/>
      <c r="BA2850" s="84" t="s">
        <v>152</v>
      </c>
      <c r="BB2850" s="84" t="str">
        <f>IFERROR(__xludf.DUMMYFUNCTION("iferror(if(A2850="""",,E2850&gt;=FILTER(Constants!$F$2:$F$10,Constants!$A$2:$A$10=A2850)))"),"")</f>
        <v/>
      </c>
    </row>
    <row r="2851">
      <c r="A2851" s="89"/>
      <c r="B2851" s="87"/>
      <c r="C2851" s="73"/>
      <c r="D2851" s="73"/>
      <c r="E2851" s="82"/>
      <c r="F2851" s="82"/>
      <c r="G2851" s="86"/>
      <c r="H2851" s="86"/>
      <c r="I2851" s="86"/>
      <c r="J2851" s="82"/>
      <c r="K2851" s="82"/>
      <c r="L2851" s="82"/>
      <c r="M2851" s="82"/>
      <c r="N2851" s="82"/>
      <c r="O2851" s="82"/>
      <c r="P2851" s="82"/>
      <c r="Q2851" s="82"/>
      <c r="R2851" s="82"/>
      <c r="S2851" s="82"/>
      <c r="T2851" s="82"/>
      <c r="U2851" s="82"/>
      <c r="V2851" s="82"/>
      <c r="W2851" s="82"/>
      <c r="X2851" s="82"/>
      <c r="Y2851" s="82"/>
      <c r="Z2851" s="82"/>
      <c r="AA2851" s="82"/>
      <c r="AB2851" s="82"/>
      <c r="AC2851" s="82"/>
      <c r="AD2851" s="82"/>
      <c r="AE2851" s="82"/>
      <c r="AF2851" s="82"/>
      <c r="AG2851" s="82"/>
      <c r="AH2851" s="82"/>
      <c r="AI2851" s="82"/>
      <c r="AJ2851" s="82"/>
      <c r="AK2851" s="82"/>
      <c r="AL2851" s="82"/>
      <c r="AM2851" s="82"/>
      <c r="AN2851" s="82"/>
      <c r="AO2851" s="82"/>
      <c r="AP2851" s="82"/>
      <c r="AQ2851" s="82"/>
      <c r="AR2851" s="82"/>
      <c r="AS2851" s="82"/>
      <c r="AT2851" s="82"/>
      <c r="AU2851" s="82"/>
      <c r="AV2851" s="82"/>
      <c r="AW2851" s="82" t="str">
        <f t="shared" si="1"/>
        <v/>
      </c>
      <c r="AX2851" s="83" t="str">
        <f t="array" ref="AX2851">IFERROR(DGET('SBV Import'!A:G,"SBV",{"RSC ID","Tier";B2851,A2851}))</f>
        <v/>
      </c>
      <c r="AY2851" s="82" t="str">
        <f t="shared" si="2"/>
        <v/>
      </c>
      <c r="AZ2851" s="82"/>
      <c r="BA2851" s="84" t="s">
        <v>152</v>
      </c>
      <c r="BB2851" s="84" t="str">
        <f>IFERROR(__xludf.DUMMYFUNCTION("iferror(if(A2851="""",,E2851&gt;=FILTER(Constants!$F$2:$F$10,Constants!$A$2:$A$10=A2851)))"),"")</f>
        <v/>
      </c>
    </row>
    <row r="2852">
      <c r="A2852" s="89"/>
      <c r="B2852" s="87"/>
      <c r="C2852" s="73"/>
      <c r="D2852" s="73"/>
      <c r="E2852" s="82"/>
      <c r="F2852" s="82"/>
      <c r="G2852" s="86"/>
      <c r="H2852" s="86"/>
      <c r="I2852" s="86"/>
      <c r="J2852" s="82"/>
      <c r="K2852" s="82"/>
      <c r="L2852" s="82"/>
      <c r="M2852" s="82"/>
      <c r="N2852" s="82"/>
      <c r="O2852" s="82"/>
      <c r="P2852" s="82"/>
      <c r="Q2852" s="82"/>
      <c r="R2852" s="82"/>
      <c r="S2852" s="82"/>
      <c r="T2852" s="82"/>
      <c r="U2852" s="82"/>
      <c r="V2852" s="82"/>
      <c r="W2852" s="82"/>
      <c r="X2852" s="82"/>
      <c r="Y2852" s="82"/>
      <c r="Z2852" s="82"/>
      <c r="AA2852" s="82"/>
      <c r="AB2852" s="82"/>
      <c r="AC2852" s="82"/>
      <c r="AD2852" s="82"/>
      <c r="AE2852" s="82"/>
      <c r="AF2852" s="82"/>
      <c r="AG2852" s="82"/>
      <c r="AH2852" s="82"/>
      <c r="AI2852" s="82"/>
      <c r="AJ2852" s="82"/>
      <c r="AK2852" s="82"/>
      <c r="AL2852" s="82"/>
      <c r="AM2852" s="82"/>
      <c r="AN2852" s="82"/>
      <c r="AO2852" s="82"/>
      <c r="AP2852" s="82"/>
      <c r="AQ2852" s="82"/>
      <c r="AR2852" s="82"/>
      <c r="AS2852" s="82"/>
      <c r="AT2852" s="82"/>
      <c r="AU2852" s="82"/>
      <c r="AV2852" s="82"/>
      <c r="AW2852" s="82" t="str">
        <f t="shared" si="1"/>
        <v/>
      </c>
      <c r="AX2852" s="83" t="str">
        <f t="array" ref="AX2852">IFERROR(DGET('SBV Import'!A:G,"SBV",{"RSC ID","Tier";B2852,A2852}))</f>
        <v/>
      </c>
      <c r="AY2852" s="82" t="str">
        <f t="shared" si="2"/>
        <v/>
      </c>
      <c r="AZ2852" s="82"/>
      <c r="BA2852" s="84" t="s">
        <v>152</v>
      </c>
      <c r="BB2852" s="84" t="str">
        <f>IFERROR(__xludf.DUMMYFUNCTION("iferror(if(A2852="""",,E2852&gt;=FILTER(Constants!$F$2:$F$10,Constants!$A$2:$A$10=A2852)))"),"")</f>
        <v/>
      </c>
    </row>
    <row r="2853">
      <c r="A2853" s="89"/>
      <c r="B2853" s="87"/>
      <c r="C2853" s="73"/>
      <c r="D2853" s="73"/>
      <c r="E2853" s="82"/>
      <c r="F2853" s="82"/>
      <c r="G2853" s="86"/>
      <c r="H2853" s="86"/>
      <c r="I2853" s="86"/>
      <c r="J2853" s="82"/>
      <c r="K2853" s="82"/>
      <c r="L2853" s="82"/>
      <c r="M2853" s="82"/>
      <c r="N2853" s="82"/>
      <c r="O2853" s="82"/>
      <c r="P2853" s="82"/>
      <c r="Q2853" s="82"/>
      <c r="R2853" s="82"/>
      <c r="S2853" s="82"/>
      <c r="T2853" s="82"/>
      <c r="U2853" s="82"/>
      <c r="V2853" s="82"/>
      <c r="W2853" s="82"/>
      <c r="X2853" s="82"/>
      <c r="Y2853" s="82"/>
      <c r="Z2853" s="82"/>
      <c r="AA2853" s="82"/>
      <c r="AB2853" s="82"/>
      <c r="AC2853" s="82"/>
      <c r="AD2853" s="82"/>
      <c r="AE2853" s="82"/>
      <c r="AF2853" s="82"/>
      <c r="AG2853" s="82"/>
      <c r="AH2853" s="82"/>
      <c r="AI2853" s="82"/>
      <c r="AJ2853" s="82"/>
      <c r="AK2853" s="82"/>
      <c r="AL2853" s="82"/>
      <c r="AM2853" s="82"/>
      <c r="AN2853" s="82"/>
      <c r="AO2853" s="82"/>
      <c r="AP2853" s="82"/>
      <c r="AQ2853" s="82"/>
      <c r="AR2853" s="82"/>
      <c r="AS2853" s="82"/>
      <c r="AT2853" s="82"/>
      <c r="AU2853" s="82"/>
      <c r="AV2853" s="82"/>
      <c r="AW2853" s="82" t="str">
        <f t="shared" si="1"/>
        <v/>
      </c>
      <c r="AX2853" s="83" t="str">
        <f t="array" ref="AX2853">IFERROR(DGET('SBV Import'!A:G,"SBV",{"RSC ID","Tier";B2853,A2853}))</f>
        <v/>
      </c>
      <c r="AY2853" s="82" t="str">
        <f t="shared" si="2"/>
        <v/>
      </c>
      <c r="AZ2853" s="82"/>
      <c r="BA2853" s="84" t="s">
        <v>152</v>
      </c>
      <c r="BB2853" s="84" t="str">
        <f>IFERROR(__xludf.DUMMYFUNCTION("iferror(if(A2853="""",,E2853&gt;=FILTER(Constants!$F$2:$F$10,Constants!$A$2:$A$10=A2853)))"),"")</f>
        <v/>
      </c>
    </row>
    <row r="2854">
      <c r="A2854" s="89"/>
      <c r="B2854" s="87"/>
      <c r="C2854" s="73"/>
      <c r="D2854" s="73"/>
      <c r="E2854" s="82"/>
      <c r="F2854" s="82"/>
      <c r="G2854" s="86"/>
      <c r="H2854" s="86"/>
      <c r="I2854" s="86"/>
      <c r="J2854" s="82"/>
      <c r="K2854" s="82"/>
      <c r="L2854" s="82"/>
      <c r="M2854" s="82"/>
      <c r="N2854" s="82"/>
      <c r="O2854" s="82"/>
      <c r="P2854" s="82"/>
      <c r="Q2854" s="82"/>
      <c r="R2854" s="82"/>
      <c r="S2854" s="82"/>
      <c r="T2854" s="82"/>
      <c r="U2854" s="82"/>
      <c r="V2854" s="82"/>
      <c r="W2854" s="82"/>
      <c r="X2854" s="82"/>
      <c r="Y2854" s="82"/>
      <c r="Z2854" s="82"/>
      <c r="AA2854" s="82"/>
      <c r="AB2854" s="82"/>
      <c r="AC2854" s="82"/>
      <c r="AD2854" s="82"/>
      <c r="AE2854" s="82"/>
      <c r="AF2854" s="82"/>
      <c r="AG2854" s="82"/>
      <c r="AH2854" s="82"/>
      <c r="AI2854" s="82"/>
      <c r="AJ2854" s="82"/>
      <c r="AK2854" s="82"/>
      <c r="AL2854" s="82"/>
      <c r="AM2854" s="82"/>
      <c r="AN2854" s="82"/>
      <c r="AO2854" s="82"/>
      <c r="AP2854" s="82"/>
      <c r="AQ2854" s="82"/>
      <c r="AR2854" s="82"/>
      <c r="AS2854" s="82"/>
      <c r="AT2854" s="82"/>
      <c r="AU2854" s="82"/>
      <c r="AV2854" s="82"/>
      <c r="AW2854" s="82" t="str">
        <f t="shared" si="1"/>
        <v/>
      </c>
      <c r="AX2854" s="83" t="str">
        <f t="array" ref="AX2854">IFERROR(DGET('SBV Import'!A:G,"SBV",{"RSC ID","Tier";B2854,A2854}))</f>
        <v/>
      </c>
      <c r="AY2854" s="82" t="str">
        <f t="shared" si="2"/>
        <v/>
      </c>
      <c r="AZ2854" s="82"/>
      <c r="BA2854" s="84" t="s">
        <v>152</v>
      </c>
      <c r="BB2854" s="84" t="str">
        <f>IFERROR(__xludf.DUMMYFUNCTION("iferror(if(A2854="""",,E2854&gt;=FILTER(Constants!$F$2:$F$10,Constants!$A$2:$A$10=A2854)))"),"")</f>
        <v/>
      </c>
    </row>
    <row r="2855">
      <c r="A2855" s="89"/>
      <c r="B2855" s="87"/>
      <c r="C2855" s="73"/>
      <c r="D2855" s="73"/>
      <c r="E2855" s="82"/>
      <c r="F2855" s="82"/>
      <c r="G2855" s="86"/>
      <c r="H2855" s="86"/>
      <c r="I2855" s="86"/>
      <c r="J2855" s="82"/>
      <c r="K2855" s="82"/>
      <c r="L2855" s="82"/>
      <c r="M2855" s="82"/>
      <c r="N2855" s="82"/>
      <c r="O2855" s="82"/>
      <c r="P2855" s="82"/>
      <c r="Q2855" s="82"/>
      <c r="R2855" s="82"/>
      <c r="S2855" s="82"/>
      <c r="T2855" s="82"/>
      <c r="U2855" s="82"/>
      <c r="V2855" s="82"/>
      <c r="W2855" s="82"/>
      <c r="X2855" s="82"/>
      <c r="Y2855" s="82"/>
      <c r="Z2855" s="82"/>
      <c r="AA2855" s="82"/>
      <c r="AB2855" s="82"/>
      <c r="AC2855" s="82"/>
      <c r="AD2855" s="82"/>
      <c r="AE2855" s="82"/>
      <c r="AF2855" s="82"/>
      <c r="AG2855" s="82"/>
      <c r="AH2855" s="82"/>
      <c r="AI2855" s="82"/>
      <c r="AJ2855" s="82"/>
      <c r="AK2855" s="82"/>
      <c r="AL2855" s="82"/>
      <c r="AM2855" s="82"/>
      <c r="AN2855" s="82"/>
      <c r="AO2855" s="82"/>
      <c r="AP2855" s="82"/>
      <c r="AQ2855" s="82"/>
      <c r="AR2855" s="82"/>
      <c r="AS2855" s="82"/>
      <c r="AT2855" s="82"/>
      <c r="AU2855" s="82"/>
      <c r="AV2855" s="82"/>
      <c r="AW2855" s="82" t="str">
        <f t="shared" si="1"/>
        <v/>
      </c>
      <c r="AX2855" s="83" t="str">
        <f t="array" ref="AX2855">IFERROR(DGET('SBV Import'!A:G,"SBV",{"RSC ID","Tier";B2855,A2855}))</f>
        <v/>
      </c>
      <c r="AY2855" s="82" t="str">
        <f t="shared" si="2"/>
        <v/>
      </c>
      <c r="AZ2855" s="82"/>
      <c r="BA2855" s="84" t="s">
        <v>152</v>
      </c>
      <c r="BB2855" s="84" t="str">
        <f>IFERROR(__xludf.DUMMYFUNCTION("iferror(if(A2855="""",,E2855&gt;=FILTER(Constants!$F$2:$F$10,Constants!$A$2:$A$10=A2855)))"),"")</f>
        <v/>
      </c>
    </row>
    <row r="2856">
      <c r="A2856" s="89"/>
      <c r="B2856" s="87"/>
      <c r="C2856" s="73"/>
      <c r="D2856" s="73"/>
      <c r="E2856" s="82"/>
      <c r="F2856" s="82"/>
      <c r="G2856" s="86"/>
      <c r="H2856" s="86"/>
      <c r="I2856" s="86"/>
      <c r="J2856" s="82"/>
      <c r="K2856" s="82"/>
      <c r="L2856" s="82"/>
      <c r="M2856" s="82"/>
      <c r="N2856" s="82"/>
      <c r="O2856" s="82"/>
      <c r="P2856" s="82"/>
      <c r="Q2856" s="82"/>
      <c r="R2856" s="82"/>
      <c r="S2856" s="82"/>
      <c r="T2856" s="82"/>
      <c r="U2856" s="82"/>
      <c r="V2856" s="82"/>
      <c r="W2856" s="82"/>
      <c r="X2856" s="82"/>
      <c r="Y2856" s="82"/>
      <c r="Z2856" s="82"/>
      <c r="AA2856" s="82"/>
      <c r="AB2856" s="82"/>
      <c r="AC2856" s="82"/>
      <c r="AD2856" s="82"/>
      <c r="AE2856" s="82"/>
      <c r="AF2856" s="82"/>
      <c r="AG2856" s="82"/>
      <c r="AH2856" s="82"/>
      <c r="AI2856" s="82"/>
      <c r="AJ2856" s="82"/>
      <c r="AK2856" s="82"/>
      <c r="AL2856" s="82"/>
      <c r="AM2856" s="82"/>
      <c r="AN2856" s="82"/>
      <c r="AO2856" s="82"/>
      <c r="AP2856" s="82"/>
      <c r="AQ2856" s="82"/>
      <c r="AR2856" s="82"/>
      <c r="AS2856" s="82"/>
      <c r="AT2856" s="82"/>
      <c r="AU2856" s="82"/>
      <c r="AV2856" s="82"/>
      <c r="AW2856" s="82" t="str">
        <f t="shared" si="1"/>
        <v/>
      </c>
      <c r="AX2856" s="83" t="str">
        <f t="array" ref="AX2856">IFERROR(DGET('SBV Import'!A:G,"SBV",{"RSC ID","Tier";B2856,A2856}))</f>
        <v/>
      </c>
      <c r="AY2856" s="82" t="str">
        <f t="shared" si="2"/>
        <v/>
      </c>
      <c r="AZ2856" s="82"/>
      <c r="BA2856" s="84" t="s">
        <v>152</v>
      </c>
      <c r="BB2856" s="84" t="str">
        <f>IFERROR(__xludf.DUMMYFUNCTION("iferror(if(A2856="""",,E2856&gt;=FILTER(Constants!$F$2:$F$10,Constants!$A$2:$A$10=A2856)))"),"")</f>
        <v/>
      </c>
    </row>
    <row r="2857">
      <c r="A2857" s="89"/>
      <c r="B2857" s="87"/>
      <c r="C2857" s="73"/>
      <c r="D2857" s="73"/>
      <c r="E2857" s="82"/>
      <c r="F2857" s="82"/>
      <c r="G2857" s="86"/>
      <c r="H2857" s="86"/>
      <c r="I2857" s="86"/>
      <c r="J2857" s="82"/>
      <c r="K2857" s="82"/>
      <c r="L2857" s="82"/>
      <c r="M2857" s="82"/>
      <c r="N2857" s="82"/>
      <c r="O2857" s="82"/>
      <c r="P2857" s="82"/>
      <c r="Q2857" s="82"/>
      <c r="R2857" s="82"/>
      <c r="S2857" s="82"/>
      <c r="T2857" s="82"/>
      <c r="U2857" s="82"/>
      <c r="V2857" s="82"/>
      <c r="W2857" s="82"/>
      <c r="X2857" s="82"/>
      <c r="Y2857" s="82"/>
      <c r="Z2857" s="82"/>
      <c r="AA2857" s="82"/>
      <c r="AB2857" s="82"/>
      <c r="AC2857" s="82"/>
      <c r="AD2857" s="82"/>
      <c r="AE2857" s="82"/>
      <c r="AF2857" s="82"/>
      <c r="AG2857" s="82"/>
      <c r="AH2857" s="82"/>
      <c r="AI2857" s="82"/>
      <c r="AJ2857" s="82"/>
      <c r="AK2857" s="82"/>
      <c r="AL2857" s="82"/>
      <c r="AM2857" s="82"/>
      <c r="AN2857" s="82"/>
      <c r="AO2857" s="82"/>
      <c r="AP2857" s="82"/>
      <c r="AQ2857" s="82"/>
      <c r="AR2857" s="82"/>
      <c r="AS2857" s="82"/>
      <c r="AT2857" s="82"/>
      <c r="AU2857" s="82"/>
      <c r="AV2857" s="82"/>
      <c r="AW2857" s="82" t="str">
        <f t="shared" si="1"/>
        <v/>
      </c>
      <c r="AX2857" s="83" t="str">
        <f t="array" ref="AX2857">IFERROR(DGET('SBV Import'!A:G,"SBV",{"RSC ID","Tier";B2857,A2857}))</f>
        <v/>
      </c>
      <c r="AY2857" s="82" t="str">
        <f t="shared" si="2"/>
        <v/>
      </c>
      <c r="AZ2857" s="82"/>
      <c r="BA2857" s="84" t="s">
        <v>152</v>
      </c>
      <c r="BB2857" s="84" t="str">
        <f>IFERROR(__xludf.DUMMYFUNCTION("iferror(if(A2857="""",,E2857&gt;=FILTER(Constants!$F$2:$F$10,Constants!$A$2:$A$10=A2857)))"),"")</f>
        <v/>
      </c>
    </row>
    <row r="2858">
      <c r="A2858" s="89"/>
      <c r="B2858" s="87"/>
      <c r="C2858" s="73"/>
      <c r="D2858" s="73"/>
      <c r="E2858" s="82"/>
      <c r="F2858" s="82"/>
      <c r="G2858" s="86"/>
      <c r="H2858" s="86"/>
      <c r="I2858" s="86"/>
      <c r="J2858" s="82"/>
      <c r="K2858" s="82"/>
      <c r="L2858" s="82"/>
      <c r="M2858" s="82"/>
      <c r="N2858" s="82"/>
      <c r="O2858" s="82"/>
      <c r="P2858" s="82"/>
      <c r="Q2858" s="82"/>
      <c r="R2858" s="82"/>
      <c r="S2858" s="82"/>
      <c r="T2858" s="82"/>
      <c r="U2858" s="82"/>
      <c r="V2858" s="82"/>
      <c r="W2858" s="82"/>
      <c r="X2858" s="82"/>
      <c r="Y2858" s="82"/>
      <c r="Z2858" s="82"/>
      <c r="AA2858" s="82"/>
      <c r="AB2858" s="82"/>
      <c r="AC2858" s="82"/>
      <c r="AD2858" s="82"/>
      <c r="AE2858" s="82"/>
      <c r="AF2858" s="82"/>
      <c r="AG2858" s="82"/>
      <c r="AH2858" s="82"/>
      <c r="AI2858" s="82"/>
      <c r="AJ2858" s="82"/>
      <c r="AK2858" s="82"/>
      <c r="AL2858" s="82"/>
      <c r="AM2858" s="82"/>
      <c r="AN2858" s="82"/>
      <c r="AO2858" s="82"/>
      <c r="AP2858" s="82"/>
      <c r="AQ2858" s="82"/>
      <c r="AR2858" s="82"/>
      <c r="AS2858" s="82"/>
      <c r="AT2858" s="82"/>
      <c r="AU2858" s="82"/>
      <c r="AV2858" s="82"/>
      <c r="AW2858" s="82" t="str">
        <f t="shared" si="1"/>
        <v/>
      </c>
      <c r="AX2858" s="83" t="str">
        <f t="array" ref="AX2858">IFERROR(DGET('SBV Import'!A:G,"SBV",{"RSC ID","Tier";B2858,A2858}))</f>
        <v/>
      </c>
      <c r="AY2858" s="82" t="str">
        <f t="shared" si="2"/>
        <v/>
      </c>
      <c r="AZ2858" s="82"/>
      <c r="BA2858" s="84" t="s">
        <v>152</v>
      </c>
      <c r="BB2858" s="84" t="str">
        <f>IFERROR(__xludf.DUMMYFUNCTION("iferror(if(A2858="""",,E2858&gt;=FILTER(Constants!$F$2:$F$10,Constants!$A$2:$A$10=A2858)))"),"")</f>
        <v/>
      </c>
    </row>
    <row r="2859">
      <c r="A2859" s="89"/>
      <c r="B2859" s="87"/>
      <c r="C2859" s="73"/>
      <c r="D2859" s="73"/>
      <c r="E2859" s="82"/>
      <c r="F2859" s="82"/>
      <c r="G2859" s="86"/>
      <c r="H2859" s="86"/>
      <c r="I2859" s="86"/>
      <c r="J2859" s="82"/>
      <c r="K2859" s="82"/>
      <c r="L2859" s="82"/>
      <c r="M2859" s="82"/>
      <c r="N2859" s="82"/>
      <c r="O2859" s="82"/>
      <c r="P2859" s="82"/>
      <c r="Q2859" s="82"/>
      <c r="R2859" s="82"/>
      <c r="S2859" s="82"/>
      <c r="T2859" s="82"/>
      <c r="U2859" s="82"/>
      <c r="V2859" s="82"/>
      <c r="W2859" s="82"/>
      <c r="X2859" s="82"/>
      <c r="Y2859" s="82"/>
      <c r="Z2859" s="82"/>
      <c r="AA2859" s="82"/>
      <c r="AB2859" s="82"/>
      <c r="AC2859" s="82"/>
      <c r="AD2859" s="82"/>
      <c r="AE2859" s="82"/>
      <c r="AF2859" s="82"/>
      <c r="AG2859" s="82"/>
      <c r="AH2859" s="82"/>
      <c r="AI2859" s="82"/>
      <c r="AJ2859" s="82"/>
      <c r="AK2859" s="82"/>
      <c r="AL2859" s="82"/>
      <c r="AM2859" s="82"/>
      <c r="AN2859" s="82"/>
      <c r="AO2859" s="82"/>
      <c r="AP2859" s="82"/>
      <c r="AQ2859" s="82"/>
      <c r="AR2859" s="82"/>
      <c r="AS2859" s="82"/>
      <c r="AT2859" s="82"/>
      <c r="AU2859" s="82"/>
      <c r="AV2859" s="82"/>
      <c r="AW2859" s="82" t="str">
        <f t="shared" si="1"/>
        <v/>
      </c>
      <c r="AX2859" s="83" t="str">
        <f t="array" ref="AX2859">IFERROR(DGET('SBV Import'!A:G,"SBV",{"RSC ID","Tier";B2859,A2859}))</f>
        <v/>
      </c>
      <c r="AY2859" s="82" t="str">
        <f t="shared" si="2"/>
        <v/>
      </c>
      <c r="AZ2859" s="82"/>
      <c r="BA2859" s="84" t="s">
        <v>152</v>
      </c>
      <c r="BB2859" s="84" t="str">
        <f>IFERROR(__xludf.DUMMYFUNCTION("iferror(if(A2859="""",,E2859&gt;=FILTER(Constants!$F$2:$F$10,Constants!$A$2:$A$10=A2859)))"),"")</f>
        <v/>
      </c>
    </row>
    <row r="2860">
      <c r="A2860" s="89"/>
      <c r="B2860" s="87"/>
      <c r="C2860" s="73"/>
      <c r="D2860" s="73"/>
      <c r="E2860" s="82"/>
      <c r="F2860" s="82"/>
      <c r="G2860" s="86"/>
      <c r="H2860" s="86"/>
      <c r="I2860" s="86"/>
      <c r="J2860" s="82"/>
      <c r="K2860" s="82"/>
      <c r="L2860" s="82"/>
      <c r="M2860" s="82"/>
      <c r="N2860" s="82"/>
      <c r="O2860" s="82"/>
      <c r="P2860" s="82"/>
      <c r="Q2860" s="82"/>
      <c r="R2860" s="82"/>
      <c r="S2860" s="82"/>
      <c r="T2860" s="82"/>
      <c r="U2860" s="82"/>
      <c r="V2860" s="82"/>
      <c r="W2860" s="82"/>
      <c r="X2860" s="82"/>
      <c r="Y2860" s="82"/>
      <c r="Z2860" s="82"/>
      <c r="AA2860" s="82"/>
      <c r="AB2860" s="82"/>
      <c r="AC2860" s="82"/>
      <c r="AD2860" s="82"/>
      <c r="AE2860" s="82"/>
      <c r="AF2860" s="82"/>
      <c r="AG2860" s="82"/>
      <c r="AH2860" s="82"/>
      <c r="AI2860" s="82"/>
      <c r="AJ2860" s="82"/>
      <c r="AK2860" s="82"/>
      <c r="AL2860" s="82"/>
      <c r="AM2860" s="82"/>
      <c r="AN2860" s="82"/>
      <c r="AO2860" s="82"/>
      <c r="AP2860" s="82"/>
      <c r="AQ2860" s="82"/>
      <c r="AR2860" s="82"/>
      <c r="AS2860" s="82"/>
      <c r="AT2860" s="82"/>
      <c r="AU2860" s="82"/>
      <c r="AV2860" s="82"/>
      <c r="AW2860" s="82" t="str">
        <f t="shared" si="1"/>
        <v/>
      </c>
      <c r="AX2860" s="83" t="str">
        <f t="array" ref="AX2860">IFERROR(DGET('SBV Import'!A:G,"SBV",{"RSC ID","Tier";B2860,A2860}))</f>
        <v/>
      </c>
      <c r="AY2860" s="82" t="str">
        <f t="shared" si="2"/>
        <v/>
      </c>
      <c r="AZ2860" s="82"/>
      <c r="BA2860" s="84" t="s">
        <v>152</v>
      </c>
      <c r="BB2860" s="84" t="str">
        <f>IFERROR(__xludf.DUMMYFUNCTION("iferror(if(A2860="""",,E2860&gt;=FILTER(Constants!$F$2:$F$10,Constants!$A$2:$A$10=A2860)))"),"")</f>
        <v/>
      </c>
    </row>
    <row r="2861">
      <c r="A2861" s="89"/>
      <c r="B2861" s="87"/>
      <c r="C2861" s="73"/>
      <c r="D2861" s="73"/>
      <c r="E2861" s="82"/>
      <c r="F2861" s="82"/>
      <c r="G2861" s="86"/>
      <c r="H2861" s="86"/>
      <c r="I2861" s="86"/>
      <c r="J2861" s="82"/>
      <c r="K2861" s="82"/>
      <c r="L2861" s="82"/>
      <c r="M2861" s="82"/>
      <c r="N2861" s="82"/>
      <c r="O2861" s="82"/>
      <c r="P2861" s="82"/>
      <c r="Q2861" s="82"/>
      <c r="R2861" s="82"/>
      <c r="S2861" s="82"/>
      <c r="T2861" s="82"/>
      <c r="U2861" s="82"/>
      <c r="V2861" s="82"/>
      <c r="W2861" s="82"/>
      <c r="X2861" s="82"/>
      <c r="Y2861" s="82"/>
      <c r="Z2861" s="82"/>
      <c r="AA2861" s="82"/>
      <c r="AB2861" s="82"/>
      <c r="AC2861" s="82"/>
      <c r="AD2861" s="82"/>
      <c r="AE2861" s="82"/>
      <c r="AF2861" s="82"/>
      <c r="AG2861" s="82"/>
      <c r="AH2861" s="82"/>
      <c r="AI2861" s="82"/>
      <c r="AJ2861" s="82"/>
      <c r="AK2861" s="82"/>
      <c r="AL2861" s="82"/>
      <c r="AM2861" s="82"/>
      <c r="AN2861" s="82"/>
      <c r="AO2861" s="82"/>
      <c r="AP2861" s="82"/>
      <c r="AQ2861" s="82"/>
      <c r="AR2861" s="82"/>
      <c r="AS2861" s="82"/>
      <c r="AT2861" s="82"/>
      <c r="AU2861" s="82"/>
      <c r="AV2861" s="82"/>
      <c r="AW2861" s="82" t="str">
        <f t="shared" si="1"/>
        <v/>
      </c>
      <c r="AX2861" s="83" t="str">
        <f t="array" ref="AX2861">IFERROR(DGET('SBV Import'!A:G,"SBV",{"RSC ID","Tier";B2861,A2861}))</f>
        <v/>
      </c>
      <c r="AY2861" s="82" t="str">
        <f t="shared" si="2"/>
        <v/>
      </c>
      <c r="AZ2861" s="82"/>
      <c r="BA2861" s="84" t="s">
        <v>152</v>
      </c>
      <c r="BB2861" s="84" t="str">
        <f>IFERROR(__xludf.DUMMYFUNCTION("iferror(if(A2861="""",,E2861&gt;=FILTER(Constants!$F$2:$F$10,Constants!$A$2:$A$10=A2861)))"),"")</f>
        <v/>
      </c>
    </row>
    <row r="2862">
      <c r="A2862" s="89"/>
      <c r="B2862" s="87"/>
      <c r="C2862" s="73"/>
      <c r="D2862" s="73"/>
      <c r="E2862" s="82"/>
      <c r="F2862" s="82"/>
      <c r="G2862" s="86"/>
      <c r="H2862" s="86"/>
      <c r="I2862" s="86"/>
      <c r="J2862" s="82"/>
      <c r="K2862" s="82"/>
      <c r="L2862" s="82"/>
      <c r="M2862" s="82"/>
      <c r="N2862" s="82"/>
      <c r="O2862" s="82"/>
      <c r="P2862" s="82"/>
      <c r="Q2862" s="82"/>
      <c r="R2862" s="82"/>
      <c r="S2862" s="82"/>
      <c r="T2862" s="82"/>
      <c r="U2862" s="82"/>
      <c r="V2862" s="82"/>
      <c r="W2862" s="82"/>
      <c r="X2862" s="82"/>
      <c r="Y2862" s="82"/>
      <c r="Z2862" s="82"/>
      <c r="AA2862" s="82"/>
      <c r="AB2862" s="82"/>
      <c r="AC2862" s="82"/>
      <c r="AD2862" s="82"/>
      <c r="AE2862" s="82"/>
      <c r="AF2862" s="82"/>
      <c r="AG2862" s="82"/>
      <c r="AH2862" s="82"/>
      <c r="AI2862" s="82"/>
      <c r="AJ2862" s="82"/>
      <c r="AK2862" s="82"/>
      <c r="AL2862" s="82"/>
      <c r="AM2862" s="82"/>
      <c r="AN2862" s="82"/>
      <c r="AO2862" s="82"/>
      <c r="AP2862" s="82"/>
      <c r="AQ2862" s="82"/>
      <c r="AR2862" s="82"/>
      <c r="AS2862" s="82"/>
      <c r="AT2862" s="82"/>
      <c r="AU2862" s="82"/>
      <c r="AV2862" s="82"/>
      <c r="AW2862" s="82" t="str">
        <f t="shared" si="1"/>
        <v/>
      </c>
      <c r="AX2862" s="83" t="str">
        <f t="array" ref="AX2862">IFERROR(DGET('SBV Import'!A:G,"SBV",{"RSC ID","Tier";B2862,A2862}))</f>
        <v/>
      </c>
      <c r="AY2862" s="82" t="str">
        <f t="shared" si="2"/>
        <v/>
      </c>
      <c r="AZ2862" s="82"/>
      <c r="BA2862" s="84" t="s">
        <v>152</v>
      </c>
      <c r="BB2862" s="84" t="str">
        <f>IFERROR(__xludf.DUMMYFUNCTION("iferror(if(A2862="""",,E2862&gt;=FILTER(Constants!$F$2:$F$10,Constants!$A$2:$A$10=A2862)))"),"")</f>
        <v/>
      </c>
    </row>
    <row r="2863">
      <c r="A2863" s="89"/>
      <c r="B2863" s="87"/>
      <c r="C2863" s="73"/>
      <c r="D2863" s="73"/>
      <c r="E2863" s="82"/>
      <c r="F2863" s="82"/>
      <c r="G2863" s="86"/>
      <c r="H2863" s="86"/>
      <c r="I2863" s="86"/>
      <c r="J2863" s="82"/>
      <c r="K2863" s="82"/>
      <c r="L2863" s="82"/>
      <c r="M2863" s="82"/>
      <c r="N2863" s="82"/>
      <c r="O2863" s="82"/>
      <c r="P2863" s="82"/>
      <c r="Q2863" s="82"/>
      <c r="R2863" s="82"/>
      <c r="S2863" s="82"/>
      <c r="T2863" s="82"/>
      <c r="U2863" s="82"/>
      <c r="V2863" s="82"/>
      <c r="W2863" s="82"/>
      <c r="X2863" s="82"/>
      <c r="Y2863" s="82"/>
      <c r="Z2863" s="82"/>
      <c r="AA2863" s="82"/>
      <c r="AB2863" s="82"/>
      <c r="AC2863" s="82"/>
      <c r="AD2863" s="82"/>
      <c r="AE2863" s="82"/>
      <c r="AF2863" s="82"/>
      <c r="AG2863" s="82"/>
      <c r="AH2863" s="82"/>
      <c r="AI2863" s="82"/>
      <c r="AJ2863" s="82"/>
      <c r="AK2863" s="82"/>
      <c r="AL2863" s="82"/>
      <c r="AM2863" s="82"/>
      <c r="AN2863" s="82"/>
      <c r="AO2863" s="82"/>
      <c r="AP2863" s="82"/>
      <c r="AQ2863" s="82"/>
      <c r="AR2863" s="82"/>
      <c r="AS2863" s="82"/>
      <c r="AT2863" s="82"/>
      <c r="AU2863" s="82"/>
      <c r="AV2863" s="82"/>
      <c r="AW2863" s="82" t="str">
        <f t="shared" si="1"/>
        <v/>
      </c>
      <c r="AX2863" s="83" t="str">
        <f t="array" ref="AX2863">IFERROR(DGET('SBV Import'!A:G,"SBV",{"RSC ID","Tier";B2863,A2863}))</f>
        <v/>
      </c>
      <c r="AY2863" s="82" t="str">
        <f t="shared" si="2"/>
        <v/>
      </c>
      <c r="AZ2863" s="82"/>
      <c r="BA2863" s="84" t="s">
        <v>152</v>
      </c>
      <c r="BB2863" s="84" t="str">
        <f>IFERROR(__xludf.DUMMYFUNCTION("iferror(if(A2863="""",,E2863&gt;=FILTER(Constants!$F$2:$F$10,Constants!$A$2:$A$10=A2863)))"),"")</f>
        <v/>
      </c>
    </row>
    <row r="2864">
      <c r="A2864" s="89"/>
      <c r="B2864" s="87"/>
      <c r="C2864" s="73"/>
      <c r="D2864" s="73"/>
      <c r="E2864" s="82"/>
      <c r="F2864" s="82"/>
      <c r="G2864" s="86"/>
      <c r="H2864" s="86"/>
      <c r="I2864" s="86"/>
      <c r="J2864" s="82"/>
      <c r="K2864" s="82"/>
      <c r="L2864" s="82"/>
      <c r="M2864" s="82"/>
      <c r="N2864" s="82"/>
      <c r="O2864" s="82"/>
      <c r="P2864" s="82"/>
      <c r="Q2864" s="82"/>
      <c r="R2864" s="82"/>
      <c r="S2864" s="82"/>
      <c r="T2864" s="82"/>
      <c r="U2864" s="82"/>
      <c r="V2864" s="82"/>
      <c r="W2864" s="82"/>
      <c r="X2864" s="82"/>
      <c r="Y2864" s="82"/>
      <c r="Z2864" s="82"/>
      <c r="AA2864" s="82"/>
      <c r="AB2864" s="82"/>
      <c r="AC2864" s="82"/>
      <c r="AD2864" s="82"/>
      <c r="AE2864" s="82"/>
      <c r="AF2864" s="82"/>
      <c r="AG2864" s="82"/>
      <c r="AH2864" s="82"/>
      <c r="AI2864" s="82"/>
      <c r="AJ2864" s="82"/>
      <c r="AK2864" s="82"/>
      <c r="AL2864" s="82"/>
      <c r="AM2864" s="82"/>
      <c r="AN2864" s="82"/>
      <c r="AO2864" s="82"/>
      <c r="AP2864" s="82"/>
      <c r="AQ2864" s="82"/>
      <c r="AR2864" s="82"/>
      <c r="AS2864" s="82"/>
      <c r="AT2864" s="82"/>
      <c r="AU2864" s="82"/>
      <c r="AV2864" s="82"/>
      <c r="AW2864" s="82" t="str">
        <f t="shared" si="1"/>
        <v/>
      </c>
      <c r="AX2864" s="83" t="str">
        <f t="array" ref="AX2864">IFERROR(DGET('SBV Import'!A:G,"SBV",{"RSC ID","Tier";B2864,A2864}))</f>
        <v/>
      </c>
      <c r="AY2864" s="82" t="str">
        <f t="shared" si="2"/>
        <v/>
      </c>
      <c r="AZ2864" s="82"/>
      <c r="BA2864" s="84" t="s">
        <v>152</v>
      </c>
      <c r="BB2864" s="84" t="str">
        <f>IFERROR(__xludf.DUMMYFUNCTION("iferror(if(A2864="""",,E2864&gt;=FILTER(Constants!$F$2:$F$10,Constants!$A$2:$A$10=A2864)))"),"")</f>
        <v/>
      </c>
    </row>
    <row r="2865">
      <c r="A2865" s="89"/>
      <c r="B2865" s="87"/>
      <c r="C2865" s="73"/>
      <c r="D2865" s="73"/>
      <c r="E2865" s="82"/>
      <c r="F2865" s="82"/>
      <c r="G2865" s="86"/>
      <c r="H2865" s="86"/>
      <c r="I2865" s="86"/>
      <c r="J2865" s="82"/>
      <c r="K2865" s="82"/>
      <c r="L2865" s="82"/>
      <c r="M2865" s="82"/>
      <c r="N2865" s="82"/>
      <c r="O2865" s="82"/>
      <c r="P2865" s="82"/>
      <c r="Q2865" s="82"/>
      <c r="R2865" s="82"/>
      <c r="S2865" s="82"/>
      <c r="T2865" s="82"/>
      <c r="U2865" s="82"/>
      <c r="V2865" s="82"/>
      <c r="W2865" s="82"/>
      <c r="X2865" s="82"/>
      <c r="Y2865" s="82"/>
      <c r="Z2865" s="82"/>
      <c r="AA2865" s="82"/>
      <c r="AB2865" s="82"/>
      <c r="AC2865" s="82"/>
      <c r="AD2865" s="82"/>
      <c r="AE2865" s="82"/>
      <c r="AF2865" s="82"/>
      <c r="AG2865" s="82"/>
      <c r="AH2865" s="82"/>
      <c r="AI2865" s="82"/>
      <c r="AJ2865" s="82"/>
      <c r="AK2865" s="82"/>
      <c r="AL2865" s="82"/>
      <c r="AM2865" s="82"/>
      <c r="AN2865" s="82"/>
      <c r="AO2865" s="82"/>
      <c r="AP2865" s="82"/>
      <c r="AQ2865" s="82"/>
      <c r="AR2865" s="82"/>
      <c r="AS2865" s="82"/>
      <c r="AT2865" s="82"/>
      <c r="AU2865" s="82"/>
      <c r="AV2865" s="82"/>
      <c r="AW2865" s="82" t="str">
        <f t="shared" si="1"/>
        <v/>
      </c>
      <c r="AX2865" s="83" t="str">
        <f t="array" ref="AX2865">IFERROR(DGET('SBV Import'!A:G,"SBV",{"RSC ID","Tier";B2865,A2865}))</f>
        <v/>
      </c>
      <c r="AY2865" s="82" t="str">
        <f t="shared" si="2"/>
        <v/>
      </c>
      <c r="AZ2865" s="82"/>
      <c r="BA2865" s="84" t="s">
        <v>152</v>
      </c>
      <c r="BB2865" s="84" t="str">
        <f>IFERROR(__xludf.DUMMYFUNCTION("iferror(if(A2865="""",,E2865&gt;=FILTER(Constants!$F$2:$F$10,Constants!$A$2:$A$10=A2865)))"),"")</f>
        <v/>
      </c>
    </row>
    <row r="2866">
      <c r="A2866" s="89"/>
      <c r="B2866" s="87"/>
      <c r="C2866" s="73"/>
      <c r="D2866" s="73"/>
      <c r="E2866" s="82"/>
      <c r="F2866" s="82"/>
      <c r="G2866" s="86"/>
      <c r="H2866" s="86"/>
      <c r="I2866" s="86"/>
      <c r="J2866" s="82"/>
      <c r="K2866" s="82"/>
      <c r="L2866" s="82"/>
      <c r="M2866" s="82"/>
      <c r="N2866" s="82"/>
      <c r="O2866" s="82"/>
      <c r="P2866" s="82"/>
      <c r="Q2866" s="82"/>
      <c r="R2866" s="82"/>
      <c r="S2866" s="82"/>
      <c r="T2866" s="82"/>
      <c r="U2866" s="82"/>
      <c r="V2866" s="82"/>
      <c r="W2866" s="82"/>
      <c r="X2866" s="82"/>
      <c r="Y2866" s="82"/>
      <c r="Z2866" s="82"/>
      <c r="AA2866" s="82"/>
      <c r="AB2866" s="82"/>
      <c r="AC2866" s="82"/>
      <c r="AD2866" s="82"/>
      <c r="AE2866" s="82"/>
      <c r="AF2866" s="82"/>
      <c r="AG2866" s="82"/>
      <c r="AH2866" s="82"/>
      <c r="AI2866" s="82"/>
      <c r="AJ2866" s="82"/>
      <c r="AK2866" s="82"/>
      <c r="AL2866" s="82"/>
      <c r="AM2866" s="82"/>
      <c r="AN2866" s="82"/>
      <c r="AO2866" s="82"/>
      <c r="AP2866" s="82"/>
      <c r="AQ2866" s="82"/>
      <c r="AR2866" s="82"/>
      <c r="AS2866" s="82"/>
      <c r="AT2866" s="82"/>
      <c r="AU2866" s="82"/>
      <c r="AV2866" s="82"/>
      <c r="AW2866" s="82" t="str">
        <f t="shared" si="1"/>
        <v/>
      </c>
      <c r="AX2866" s="83" t="str">
        <f t="array" ref="AX2866">IFERROR(DGET('SBV Import'!A:G,"SBV",{"RSC ID","Tier";B2866,A2866}))</f>
        <v/>
      </c>
      <c r="AY2866" s="82" t="str">
        <f t="shared" si="2"/>
        <v/>
      </c>
      <c r="AZ2866" s="82"/>
      <c r="BA2866" s="84" t="s">
        <v>152</v>
      </c>
      <c r="BB2866" s="84" t="str">
        <f>IFERROR(__xludf.DUMMYFUNCTION("iferror(if(A2866="""",,E2866&gt;=FILTER(Constants!$F$2:$F$10,Constants!$A$2:$A$10=A2866)))"),"")</f>
        <v/>
      </c>
    </row>
    <row r="2867">
      <c r="A2867" s="89"/>
      <c r="B2867" s="87"/>
      <c r="C2867" s="73"/>
      <c r="D2867" s="73"/>
      <c r="E2867" s="82"/>
      <c r="F2867" s="82"/>
      <c r="G2867" s="86"/>
      <c r="H2867" s="86"/>
      <c r="I2867" s="86"/>
      <c r="J2867" s="82"/>
      <c r="K2867" s="82"/>
      <c r="L2867" s="82"/>
      <c r="M2867" s="82"/>
      <c r="N2867" s="82"/>
      <c r="O2867" s="82"/>
      <c r="P2867" s="82"/>
      <c r="Q2867" s="82"/>
      <c r="R2867" s="82"/>
      <c r="S2867" s="82"/>
      <c r="T2867" s="82"/>
      <c r="U2867" s="82"/>
      <c r="V2867" s="82"/>
      <c r="W2867" s="82"/>
      <c r="X2867" s="82"/>
      <c r="Y2867" s="82"/>
      <c r="Z2867" s="82"/>
      <c r="AA2867" s="82"/>
      <c r="AB2867" s="82"/>
      <c r="AC2867" s="82"/>
      <c r="AD2867" s="82"/>
      <c r="AE2867" s="82"/>
      <c r="AF2867" s="82"/>
      <c r="AG2867" s="82"/>
      <c r="AH2867" s="82"/>
      <c r="AI2867" s="82"/>
      <c r="AJ2867" s="82"/>
      <c r="AK2867" s="82"/>
      <c r="AL2867" s="82"/>
      <c r="AM2867" s="82"/>
      <c r="AN2867" s="82"/>
      <c r="AO2867" s="82"/>
      <c r="AP2867" s="82"/>
      <c r="AQ2867" s="82"/>
      <c r="AR2867" s="82"/>
      <c r="AS2867" s="82"/>
      <c r="AT2867" s="82"/>
      <c r="AU2867" s="82"/>
      <c r="AV2867" s="82"/>
      <c r="AW2867" s="82" t="str">
        <f t="shared" si="1"/>
        <v/>
      </c>
      <c r="AX2867" s="83" t="str">
        <f t="array" ref="AX2867">IFERROR(DGET('SBV Import'!A:G,"SBV",{"RSC ID","Tier";B2867,A2867}))</f>
        <v/>
      </c>
      <c r="AY2867" s="82" t="str">
        <f t="shared" si="2"/>
        <v/>
      </c>
      <c r="AZ2867" s="82"/>
      <c r="BA2867" s="84" t="s">
        <v>152</v>
      </c>
      <c r="BB2867" s="84" t="str">
        <f>IFERROR(__xludf.DUMMYFUNCTION("iferror(if(A2867="""",,E2867&gt;=FILTER(Constants!$F$2:$F$10,Constants!$A$2:$A$10=A2867)))"),"")</f>
        <v/>
      </c>
    </row>
    <row r="2868">
      <c r="A2868" s="89"/>
      <c r="B2868" s="87"/>
      <c r="C2868" s="73"/>
      <c r="D2868" s="73"/>
      <c r="E2868" s="82"/>
      <c r="F2868" s="82"/>
      <c r="G2868" s="86"/>
      <c r="H2868" s="86"/>
      <c r="I2868" s="86"/>
      <c r="J2868" s="82"/>
      <c r="K2868" s="82"/>
      <c r="L2868" s="82"/>
      <c r="M2868" s="82"/>
      <c r="N2868" s="82"/>
      <c r="O2868" s="82"/>
      <c r="P2868" s="82"/>
      <c r="Q2868" s="82"/>
      <c r="R2868" s="82"/>
      <c r="S2868" s="82"/>
      <c r="T2868" s="82"/>
      <c r="U2868" s="82"/>
      <c r="V2868" s="82"/>
      <c r="W2868" s="82"/>
      <c r="X2868" s="82"/>
      <c r="Y2868" s="82"/>
      <c r="Z2868" s="82"/>
      <c r="AA2868" s="82"/>
      <c r="AB2868" s="82"/>
      <c r="AC2868" s="82"/>
      <c r="AD2868" s="82"/>
      <c r="AE2868" s="82"/>
      <c r="AF2868" s="82"/>
      <c r="AG2868" s="82"/>
      <c r="AH2868" s="82"/>
      <c r="AI2868" s="82"/>
      <c r="AJ2868" s="82"/>
      <c r="AK2868" s="82"/>
      <c r="AL2868" s="82"/>
      <c r="AM2868" s="82"/>
      <c r="AN2868" s="82"/>
      <c r="AO2868" s="82"/>
      <c r="AP2868" s="82"/>
      <c r="AQ2868" s="82"/>
      <c r="AR2868" s="82"/>
      <c r="AS2868" s="82"/>
      <c r="AT2868" s="82"/>
      <c r="AU2868" s="82"/>
      <c r="AV2868" s="82"/>
      <c r="AW2868" s="82" t="str">
        <f t="shared" si="1"/>
        <v/>
      </c>
      <c r="AX2868" s="83" t="str">
        <f t="array" ref="AX2868">IFERROR(DGET('SBV Import'!A:G,"SBV",{"RSC ID","Tier";B2868,A2868}))</f>
        <v/>
      </c>
      <c r="AY2868" s="82" t="str">
        <f t="shared" si="2"/>
        <v/>
      </c>
      <c r="AZ2868" s="82"/>
      <c r="BA2868" s="84" t="s">
        <v>152</v>
      </c>
      <c r="BB2868" s="84" t="str">
        <f>IFERROR(__xludf.DUMMYFUNCTION("iferror(if(A2868="""",,E2868&gt;=FILTER(Constants!$F$2:$F$10,Constants!$A$2:$A$10=A2868)))"),"")</f>
        <v/>
      </c>
    </row>
    <row r="2869">
      <c r="A2869" s="89"/>
      <c r="B2869" s="87"/>
      <c r="C2869" s="73"/>
      <c r="D2869" s="73"/>
      <c r="E2869" s="82"/>
      <c r="F2869" s="82"/>
      <c r="G2869" s="86"/>
      <c r="H2869" s="86"/>
      <c r="I2869" s="86"/>
      <c r="J2869" s="82"/>
      <c r="K2869" s="82"/>
      <c r="L2869" s="82"/>
      <c r="M2869" s="82"/>
      <c r="N2869" s="82"/>
      <c r="O2869" s="82"/>
      <c r="P2869" s="82"/>
      <c r="Q2869" s="82"/>
      <c r="R2869" s="82"/>
      <c r="S2869" s="82"/>
      <c r="T2869" s="82"/>
      <c r="U2869" s="82"/>
      <c r="V2869" s="82"/>
      <c r="W2869" s="82"/>
      <c r="X2869" s="82"/>
      <c r="Y2869" s="82"/>
      <c r="Z2869" s="82"/>
      <c r="AA2869" s="82"/>
      <c r="AB2869" s="82"/>
      <c r="AC2869" s="82"/>
      <c r="AD2869" s="82"/>
      <c r="AE2869" s="82"/>
      <c r="AF2869" s="82"/>
      <c r="AG2869" s="82"/>
      <c r="AH2869" s="82"/>
      <c r="AI2869" s="82"/>
      <c r="AJ2869" s="82"/>
      <c r="AK2869" s="82"/>
      <c r="AL2869" s="82"/>
      <c r="AM2869" s="82"/>
      <c r="AN2869" s="82"/>
      <c r="AO2869" s="82"/>
      <c r="AP2869" s="82"/>
      <c r="AQ2869" s="82"/>
      <c r="AR2869" s="82"/>
      <c r="AS2869" s="82"/>
      <c r="AT2869" s="82"/>
      <c r="AU2869" s="82"/>
      <c r="AV2869" s="82"/>
      <c r="AW2869" s="82" t="str">
        <f t="shared" si="1"/>
        <v/>
      </c>
      <c r="AX2869" s="83" t="str">
        <f t="array" ref="AX2869">IFERROR(DGET('SBV Import'!A:G,"SBV",{"RSC ID","Tier";B2869,A2869}))</f>
        <v/>
      </c>
      <c r="AY2869" s="82" t="str">
        <f t="shared" si="2"/>
        <v/>
      </c>
      <c r="AZ2869" s="82"/>
      <c r="BA2869" s="84" t="s">
        <v>152</v>
      </c>
      <c r="BB2869" s="84" t="str">
        <f>IFERROR(__xludf.DUMMYFUNCTION("iferror(if(A2869="""",,E2869&gt;=FILTER(Constants!$F$2:$F$10,Constants!$A$2:$A$10=A2869)))"),"")</f>
        <v/>
      </c>
    </row>
    <row r="2870">
      <c r="A2870" s="89"/>
      <c r="B2870" s="87"/>
      <c r="C2870" s="73"/>
      <c r="D2870" s="73"/>
      <c r="E2870" s="82"/>
      <c r="F2870" s="82"/>
      <c r="G2870" s="86"/>
      <c r="H2870" s="86"/>
      <c r="I2870" s="86"/>
      <c r="J2870" s="82"/>
      <c r="K2870" s="82"/>
      <c r="L2870" s="82"/>
      <c r="M2870" s="82"/>
      <c r="N2870" s="82"/>
      <c r="O2870" s="82"/>
      <c r="P2870" s="82"/>
      <c r="Q2870" s="82"/>
      <c r="R2870" s="82"/>
      <c r="S2870" s="82"/>
      <c r="T2870" s="82"/>
      <c r="U2870" s="82"/>
      <c r="V2870" s="82"/>
      <c r="W2870" s="82"/>
      <c r="X2870" s="82"/>
      <c r="Y2870" s="82"/>
      <c r="Z2870" s="82"/>
      <c r="AA2870" s="82"/>
      <c r="AB2870" s="82"/>
      <c r="AC2870" s="82"/>
      <c r="AD2870" s="82"/>
      <c r="AE2870" s="82"/>
      <c r="AF2870" s="82"/>
      <c r="AG2870" s="82"/>
      <c r="AH2870" s="82"/>
      <c r="AI2870" s="82"/>
      <c r="AJ2870" s="82"/>
      <c r="AK2870" s="82"/>
      <c r="AL2870" s="82"/>
      <c r="AM2870" s="82"/>
      <c r="AN2870" s="82"/>
      <c r="AO2870" s="82"/>
      <c r="AP2870" s="82"/>
      <c r="AQ2870" s="82"/>
      <c r="AR2870" s="82"/>
      <c r="AS2870" s="82"/>
      <c r="AT2870" s="82"/>
      <c r="AU2870" s="82"/>
      <c r="AV2870" s="82"/>
      <c r="AW2870" s="82" t="str">
        <f t="shared" si="1"/>
        <v/>
      </c>
      <c r="AX2870" s="83" t="str">
        <f t="array" ref="AX2870">IFERROR(DGET('SBV Import'!A:G,"SBV",{"RSC ID","Tier";B2870,A2870}))</f>
        <v/>
      </c>
      <c r="AY2870" s="82" t="str">
        <f t="shared" si="2"/>
        <v/>
      </c>
      <c r="AZ2870" s="82"/>
      <c r="BA2870" s="84" t="s">
        <v>152</v>
      </c>
      <c r="BB2870" s="84" t="str">
        <f>IFERROR(__xludf.DUMMYFUNCTION("iferror(if(A2870="""",,E2870&gt;=FILTER(Constants!$F$2:$F$10,Constants!$A$2:$A$10=A2870)))"),"")</f>
        <v/>
      </c>
    </row>
    <row r="2871">
      <c r="A2871" s="89"/>
      <c r="B2871" s="87"/>
      <c r="C2871" s="73"/>
      <c r="D2871" s="73"/>
      <c r="E2871" s="82"/>
      <c r="F2871" s="82"/>
      <c r="G2871" s="86"/>
      <c r="H2871" s="86"/>
      <c r="I2871" s="86"/>
      <c r="J2871" s="82"/>
      <c r="K2871" s="82"/>
      <c r="L2871" s="82"/>
      <c r="M2871" s="82"/>
      <c r="N2871" s="82"/>
      <c r="O2871" s="82"/>
      <c r="P2871" s="82"/>
      <c r="Q2871" s="82"/>
      <c r="R2871" s="82"/>
      <c r="S2871" s="82"/>
      <c r="T2871" s="82"/>
      <c r="U2871" s="82"/>
      <c r="V2871" s="82"/>
      <c r="W2871" s="82"/>
      <c r="X2871" s="82"/>
      <c r="Y2871" s="82"/>
      <c r="Z2871" s="82"/>
      <c r="AA2871" s="82"/>
      <c r="AB2871" s="82"/>
      <c r="AC2871" s="82"/>
      <c r="AD2871" s="82"/>
      <c r="AE2871" s="82"/>
      <c r="AF2871" s="82"/>
      <c r="AG2871" s="82"/>
      <c r="AH2871" s="82"/>
      <c r="AI2871" s="82"/>
      <c r="AJ2871" s="82"/>
      <c r="AK2871" s="82"/>
      <c r="AL2871" s="82"/>
      <c r="AM2871" s="82"/>
      <c r="AN2871" s="82"/>
      <c r="AO2871" s="82"/>
      <c r="AP2871" s="82"/>
      <c r="AQ2871" s="82"/>
      <c r="AR2871" s="82"/>
      <c r="AS2871" s="82"/>
      <c r="AT2871" s="82"/>
      <c r="AU2871" s="82"/>
      <c r="AV2871" s="82"/>
      <c r="AW2871" s="82" t="str">
        <f t="shared" si="1"/>
        <v/>
      </c>
      <c r="AX2871" s="83" t="str">
        <f t="array" ref="AX2871">IFERROR(DGET('SBV Import'!A:G,"SBV",{"RSC ID","Tier";B2871,A2871}))</f>
        <v/>
      </c>
      <c r="AY2871" s="82" t="str">
        <f t="shared" si="2"/>
        <v/>
      </c>
      <c r="AZ2871" s="82"/>
      <c r="BA2871" s="84" t="s">
        <v>152</v>
      </c>
      <c r="BB2871" s="84" t="str">
        <f>IFERROR(__xludf.DUMMYFUNCTION("iferror(if(A2871="""",,E2871&gt;=FILTER(Constants!$F$2:$F$10,Constants!$A$2:$A$10=A2871)))"),"")</f>
        <v/>
      </c>
    </row>
    <row r="2872">
      <c r="A2872" s="89"/>
      <c r="B2872" s="87"/>
      <c r="C2872" s="73"/>
      <c r="D2872" s="73"/>
      <c r="E2872" s="82"/>
      <c r="F2872" s="82"/>
      <c r="G2872" s="86"/>
      <c r="H2872" s="86"/>
      <c r="I2872" s="86"/>
      <c r="J2872" s="82"/>
      <c r="K2872" s="82"/>
      <c r="L2872" s="82"/>
      <c r="M2872" s="82"/>
      <c r="N2872" s="82"/>
      <c r="O2872" s="82"/>
      <c r="P2872" s="82"/>
      <c r="Q2872" s="82"/>
      <c r="R2872" s="82"/>
      <c r="S2872" s="82"/>
      <c r="T2872" s="82"/>
      <c r="U2872" s="82"/>
      <c r="V2872" s="82"/>
      <c r="W2872" s="82"/>
      <c r="X2872" s="82"/>
      <c r="Y2872" s="82"/>
      <c r="Z2872" s="82"/>
      <c r="AA2872" s="82"/>
      <c r="AB2872" s="82"/>
      <c r="AC2872" s="82"/>
      <c r="AD2872" s="82"/>
      <c r="AE2872" s="82"/>
      <c r="AF2872" s="82"/>
      <c r="AG2872" s="82"/>
      <c r="AH2872" s="82"/>
      <c r="AI2872" s="82"/>
      <c r="AJ2872" s="82"/>
      <c r="AK2872" s="82"/>
      <c r="AL2872" s="82"/>
      <c r="AM2872" s="82"/>
      <c r="AN2872" s="82"/>
      <c r="AO2872" s="82"/>
      <c r="AP2872" s="82"/>
      <c r="AQ2872" s="82"/>
      <c r="AR2872" s="82"/>
      <c r="AS2872" s="82"/>
      <c r="AT2872" s="82"/>
      <c r="AU2872" s="82"/>
      <c r="AV2872" s="82"/>
      <c r="AW2872" s="82" t="str">
        <f t="shared" si="1"/>
        <v/>
      </c>
      <c r="AX2872" s="83" t="str">
        <f t="array" ref="AX2872">IFERROR(DGET('SBV Import'!A:G,"SBV",{"RSC ID","Tier";B2872,A2872}))</f>
        <v/>
      </c>
      <c r="AY2872" s="82" t="str">
        <f t="shared" si="2"/>
        <v/>
      </c>
      <c r="AZ2872" s="82"/>
      <c r="BA2872" s="84" t="s">
        <v>152</v>
      </c>
      <c r="BB2872" s="84" t="str">
        <f>IFERROR(__xludf.DUMMYFUNCTION("iferror(if(A2872="""",,E2872&gt;=FILTER(Constants!$F$2:$F$10,Constants!$A$2:$A$10=A2872)))"),"")</f>
        <v/>
      </c>
    </row>
    <row r="2873">
      <c r="A2873" s="89"/>
      <c r="B2873" s="87"/>
      <c r="C2873" s="73"/>
      <c r="D2873" s="73"/>
      <c r="E2873" s="82"/>
      <c r="F2873" s="82"/>
      <c r="G2873" s="86"/>
      <c r="H2873" s="86"/>
      <c r="I2873" s="86"/>
      <c r="J2873" s="82"/>
      <c r="K2873" s="82"/>
      <c r="L2873" s="82"/>
      <c r="M2873" s="82"/>
      <c r="N2873" s="82"/>
      <c r="O2873" s="82"/>
      <c r="P2873" s="82"/>
      <c r="Q2873" s="82"/>
      <c r="R2873" s="82"/>
      <c r="S2873" s="82"/>
      <c r="T2873" s="82"/>
      <c r="U2873" s="82"/>
      <c r="V2873" s="82"/>
      <c r="W2873" s="82"/>
      <c r="X2873" s="82"/>
      <c r="Y2873" s="82"/>
      <c r="Z2873" s="82"/>
      <c r="AA2873" s="82"/>
      <c r="AB2873" s="82"/>
      <c r="AC2873" s="82"/>
      <c r="AD2873" s="82"/>
      <c r="AE2873" s="82"/>
      <c r="AF2873" s="82"/>
      <c r="AG2873" s="82"/>
      <c r="AH2873" s="82"/>
      <c r="AI2873" s="82"/>
      <c r="AJ2873" s="82"/>
      <c r="AK2873" s="82"/>
      <c r="AL2873" s="82"/>
      <c r="AM2873" s="82"/>
      <c r="AN2873" s="82"/>
      <c r="AO2873" s="82"/>
      <c r="AP2873" s="82"/>
      <c r="AQ2873" s="82"/>
      <c r="AR2873" s="82"/>
      <c r="AS2873" s="82"/>
      <c r="AT2873" s="82"/>
      <c r="AU2873" s="82"/>
      <c r="AV2873" s="82"/>
      <c r="AW2873" s="82" t="str">
        <f t="shared" si="1"/>
        <v/>
      </c>
      <c r="AX2873" s="83" t="str">
        <f t="array" ref="AX2873">IFERROR(DGET('SBV Import'!A:G,"SBV",{"RSC ID","Tier";B2873,A2873}))</f>
        <v/>
      </c>
      <c r="AY2873" s="82" t="str">
        <f t="shared" si="2"/>
        <v/>
      </c>
      <c r="AZ2873" s="82"/>
      <c r="BA2873" s="84" t="s">
        <v>152</v>
      </c>
      <c r="BB2873" s="84" t="str">
        <f>IFERROR(__xludf.DUMMYFUNCTION("iferror(if(A2873="""",,E2873&gt;=FILTER(Constants!$F$2:$F$10,Constants!$A$2:$A$10=A2873)))"),"")</f>
        <v/>
      </c>
    </row>
    <row r="2874">
      <c r="A2874" s="89"/>
      <c r="B2874" s="87"/>
      <c r="C2874" s="73"/>
      <c r="D2874" s="73"/>
      <c r="E2874" s="82"/>
      <c r="F2874" s="82"/>
      <c r="G2874" s="86"/>
      <c r="H2874" s="86"/>
      <c r="I2874" s="86"/>
      <c r="J2874" s="82"/>
      <c r="K2874" s="82"/>
      <c r="L2874" s="82"/>
      <c r="M2874" s="82"/>
      <c r="N2874" s="82"/>
      <c r="O2874" s="82"/>
      <c r="P2874" s="82"/>
      <c r="Q2874" s="82"/>
      <c r="R2874" s="82"/>
      <c r="S2874" s="82"/>
      <c r="T2874" s="82"/>
      <c r="U2874" s="82"/>
      <c r="V2874" s="82"/>
      <c r="W2874" s="82"/>
      <c r="X2874" s="82"/>
      <c r="Y2874" s="82"/>
      <c r="Z2874" s="82"/>
      <c r="AA2874" s="82"/>
      <c r="AB2874" s="82"/>
      <c r="AC2874" s="82"/>
      <c r="AD2874" s="82"/>
      <c r="AE2874" s="82"/>
      <c r="AF2874" s="82"/>
      <c r="AG2874" s="82"/>
      <c r="AH2874" s="82"/>
      <c r="AI2874" s="82"/>
      <c r="AJ2874" s="82"/>
      <c r="AK2874" s="82"/>
      <c r="AL2874" s="82"/>
      <c r="AM2874" s="82"/>
      <c r="AN2874" s="82"/>
      <c r="AO2874" s="82"/>
      <c r="AP2874" s="82"/>
      <c r="AQ2874" s="82"/>
      <c r="AR2874" s="82"/>
      <c r="AS2874" s="82"/>
      <c r="AT2874" s="82"/>
      <c r="AU2874" s="82"/>
      <c r="AV2874" s="82"/>
      <c r="AW2874" s="82" t="str">
        <f t="shared" si="1"/>
        <v/>
      </c>
      <c r="AX2874" s="83" t="str">
        <f t="array" ref="AX2874">IFERROR(DGET('SBV Import'!A:G,"SBV",{"RSC ID","Tier";B2874,A2874}))</f>
        <v/>
      </c>
      <c r="AY2874" s="82" t="str">
        <f t="shared" si="2"/>
        <v/>
      </c>
      <c r="AZ2874" s="82"/>
      <c r="BA2874" s="84" t="s">
        <v>152</v>
      </c>
      <c r="BB2874" s="84" t="str">
        <f>IFERROR(__xludf.DUMMYFUNCTION("iferror(if(A2874="""",,E2874&gt;=FILTER(Constants!$F$2:$F$10,Constants!$A$2:$A$10=A2874)))"),"")</f>
        <v/>
      </c>
    </row>
    <row r="2875">
      <c r="A2875" s="89"/>
      <c r="B2875" s="87"/>
      <c r="C2875" s="73"/>
      <c r="D2875" s="73"/>
      <c r="E2875" s="82"/>
      <c r="F2875" s="82"/>
      <c r="G2875" s="86"/>
      <c r="H2875" s="86"/>
      <c r="I2875" s="86"/>
      <c r="J2875" s="82"/>
      <c r="K2875" s="82"/>
      <c r="L2875" s="82"/>
      <c r="M2875" s="82"/>
      <c r="N2875" s="82"/>
      <c r="O2875" s="82"/>
      <c r="P2875" s="82"/>
      <c r="Q2875" s="82"/>
      <c r="R2875" s="82"/>
      <c r="S2875" s="82"/>
      <c r="T2875" s="82"/>
      <c r="U2875" s="82"/>
      <c r="V2875" s="82"/>
      <c r="W2875" s="82"/>
      <c r="X2875" s="82"/>
      <c r="Y2875" s="82"/>
      <c r="Z2875" s="82"/>
      <c r="AA2875" s="82"/>
      <c r="AB2875" s="82"/>
      <c r="AC2875" s="82"/>
      <c r="AD2875" s="82"/>
      <c r="AE2875" s="82"/>
      <c r="AF2875" s="82"/>
      <c r="AG2875" s="82"/>
      <c r="AH2875" s="82"/>
      <c r="AI2875" s="82"/>
      <c r="AJ2875" s="82"/>
      <c r="AK2875" s="82"/>
      <c r="AL2875" s="82"/>
      <c r="AM2875" s="82"/>
      <c r="AN2875" s="82"/>
      <c r="AO2875" s="82"/>
      <c r="AP2875" s="82"/>
      <c r="AQ2875" s="82"/>
      <c r="AR2875" s="82"/>
      <c r="AS2875" s="82"/>
      <c r="AT2875" s="82"/>
      <c r="AU2875" s="82"/>
      <c r="AV2875" s="82"/>
      <c r="AW2875" s="82" t="str">
        <f t="shared" si="1"/>
        <v/>
      </c>
      <c r="AX2875" s="83" t="str">
        <f t="array" ref="AX2875">IFERROR(DGET('SBV Import'!A:G,"SBV",{"RSC ID","Tier";B2875,A2875}))</f>
        <v/>
      </c>
      <c r="AY2875" s="82" t="str">
        <f t="shared" si="2"/>
        <v/>
      </c>
      <c r="AZ2875" s="82"/>
      <c r="BA2875" s="84" t="s">
        <v>152</v>
      </c>
      <c r="BB2875" s="84" t="str">
        <f>IFERROR(__xludf.DUMMYFUNCTION("iferror(if(A2875="""",,E2875&gt;=FILTER(Constants!$F$2:$F$10,Constants!$A$2:$A$10=A2875)))"),"")</f>
        <v/>
      </c>
    </row>
    <row r="2876">
      <c r="A2876" s="89"/>
      <c r="B2876" s="87"/>
      <c r="C2876" s="73"/>
      <c r="D2876" s="73"/>
      <c r="E2876" s="82"/>
      <c r="F2876" s="82"/>
      <c r="G2876" s="86"/>
      <c r="H2876" s="86"/>
      <c r="I2876" s="86"/>
      <c r="J2876" s="82"/>
      <c r="K2876" s="82"/>
      <c r="L2876" s="82"/>
      <c r="M2876" s="82"/>
      <c r="N2876" s="82"/>
      <c r="O2876" s="82"/>
      <c r="P2876" s="82"/>
      <c r="Q2876" s="82"/>
      <c r="R2876" s="82"/>
      <c r="S2876" s="82"/>
      <c r="T2876" s="82"/>
      <c r="U2876" s="82"/>
      <c r="V2876" s="82"/>
      <c r="W2876" s="82"/>
      <c r="X2876" s="82"/>
      <c r="Y2876" s="82"/>
      <c r="Z2876" s="82"/>
      <c r="AA2876" s="82"/>
      <c r="AB2876" s="82"/>
      <c r="AC2876" s="82"/>
      <c r="AD2876" s="82"/>
      <c r="AE2876" s="82"/>
      <c r="AF2876" s="82"/>
      <c r="AG2876" s="82"/>
      <c r="AH2876" s="82"/>
      <c r="AI2876" s="82"/>
      <c r="AJ2876" s="82"/>
      <c r="AK2876" s="82"/>
      <c r="AL2876" s="82"/>
      <c r="AM2876" s="82"/>
      <c r="AN2876" s="82"/>
      <c r="AO2876" s="82"/>
      <c r="AP2876" s="82"/>
      <c r="AQ2876" s="82"/>
      <c r="AR2876" s="82"/>
      <c r="AS2876" s="82"/>
      <c r="AT2876" s="82"/>
      <c r="AU2876" s="82"/>
      <c r="AV2876" s="82"/>
      <c r="AW2876" s="82" t="str">
        <f t="shared" si="1"/>
        <v/>
      </c>
      <c r="AX2876" s="83" t="str">
        <f t="array" ref="AX2876">IFERROR(DGET('SBV Import'!A:G,"SBV",{"RSC ID","Tier";B2876,A2876}))</f>
        <v/>
      </c>
      <c r="AY2876" s="82" t="str">
        <f t="shared" si="2"/>
        <v/>
      </c>
      <c r="AZ2876" s="82"/>
      <c r="BA2876" s="84" t="s">
        <v>152</v>
      </c>
      <c r="BB2876" s="84" t="str">
        <f>IFERROR(__xludf.DUMMYFUNCTION("iferror(if(A2876="""",,E2876&gt;=FILTER(Constants!$F$2:$F$10,Constants!$A$2:$A$10=A2876)))"),"")</f>
        <v/>
      </c>
    </row>
    <row r="2877">
      <c r="A2877" s="89"/>
      <c r="B2877" s="87"/>
      <c r="C2877" s="73"/>
      <c r="D2877" s="73"/>
      <c r="E2877" s="82"/>
      <c r="F2877" s="82"/>
      <c r="G2877" s="86"/>
      <c r="H2877" s="86"/>
      <c r="I2877" s="86"/>
      <c r="J2877" s="82"/>
      <c r="K2877" s="82"/>
      <c r="L2877" s="82"/>
      <c r="M2877" s="82"/>
      <c r="N2877" s="82"/>
      <c r="O2877" s="82"/>
      <c r="P2877" s="82"/>
      <c r="Q2877" s="82"/>
      <c r="R2877" s="82"/>
      <c r="S2877" s="82"/>
      <c r="T2877" s="82"/>
      <c r="U2877" s="82"/>
      <c r="V2877" s="82"/>
      <c r="W2877" s="82"/>
      <c r="X2877" s="82"/>
      <c r="Y2877" s="82"/>
      <c r="Z2877" s="82"/>
      <c r="AA2877" s="82"/>
      <c r="AB2877" s="82"/>
      <c r="AC2877" s="82"/>
      <c r="AD2877" s="82"/>
      <c r="AE2877" s="82"/>
      <c r="AF2877" s="82"/>
      <c r="AG2877" s="82"/>
      <c r="AH2877" s="82"/>
      <c r="AI2877" s="82"/>
      <c r="AJ2877" s="82"/>
      <c r="AK2877" s="82"/>
      <c r="AL2877" s="82"/>
      <c r="AM2877" s="82"/>
      <c r="AN2877" s="82"/>
      <c r="AO2877" s="82"/>
      <c r="AP2877" s="82"/>
      <c r="AQ2877" s="82"/>
      <c r="AR2877" s="82"/>
      <c r="AS2877" s="82"/>
      <c r="AT2877" s="82"/>
      <c r="AU2877" s="82"/>
      <c r="AV2877" s="82"/>
      <c r="AW2877" s="82" t="str">
        <f t="shared" si="1"/>
        <v/>
      </c>
      <c r="AX2877" s="83" t="str">
        <f t="array" ref="AX2877">IFERROR(DGET('SBV Import'!A:G,"SBV",{"RSC ID","Tier";B2877,A2877}))</f>
        <v/>
      </c>
      <c r="AY2877" s="82" t="str">
        <f t="shared" si="2"/>
        <v/>
      </c>
      <c r="AZ2877" s="82"/>
      <c r="BA2877" s="84" t="s">
        <v>152</v>
      </c>
      <c r="BB2877" s="84" t="str">
        <f>IFERROR(__xludf.DUMMYFUNCTION("iferror(if(A2877="""",,E2877&gt;=FILTER(Constants!$F$2:$F$10,Constants!$A$2:$A$10=A2877)))"),"")</f>
        <v/>
      </c>
    </row>
    <row r="2878">
      <c r="A2878" s="89"/>
      <c r="B2878" s="87"/>
      <c r="C2878" s="73"/>
      <c r="D2878" s="73"/>
      <c r="E2878" s="82"/>
      <c r="F2878" s="82"/>
      <c r="G2878" s="86"/>
      <c r="H2878" s="86"/>
      <c r="I2878" s="86"/>
      <c r="J2878" s="82"/>
      <c r="K2878" s="82"/>
      <c r="L2878" s="82"/>
      <c r="M2878" s="82"/>
      <c r="N2878" s="82"/>
      <c r="O2878" s="82"/>
      <c r="P2878" s="82"/>
      <c r="Q2878" s="82"/>
      <c r="R2878" s="82"/>
      <c r="S2878" s="82"/>
      <c r="T2878" s="82"/>
      <c r="U2878" s="82"/>
      <c r="V2878" s="82"/>
      <c r="W2878" s="82"/>
      <c r="X2878" s="82"/>
      <c r="Y2878" s="82"/>
      <c r="Z2878" s="82"/>
      <c r="AA2878" s="82"/>
      <c r="AB2878" s="82"/>
      <c r="AC2878" s="82"/>
      <c r="AD2878" s="82"/>
      <c r="AE2878" s="82"/>
      <c r="AF2878" s="82"/>
      <c r="AG2878" s="82"/>
      <c r="AH2878" s="82"/>
      <c r="AI2878" s="82"/>
      <c r="AJ2878" s="82"/>
      <c r="AK2878" s="82"/>
      <c r="AL2878" s="82"/>
      <c r="AM2878" s="82"/>
      <c r="AN2878" s="82"/>
      <c r="AO2878" s="82"/>
      <c r="AP2878" s="82"/>
      <c r="AQ2878" s="82"/>
      <c r="AR2878" s="82"/>
      <c r="AS2878" s="82"/>
      <c r="AT2878" s="82"/>
      <c r="AU2878" s="82"/>
      <c r="AV2878" s="82"/>
      <c r="AW2878" s="82" t="str">
        <f t="shared" si="1"/>
        <v/>
      </c>
      <c r="AX2878" s="83" t="str">
        <f t="array" ref="AX2878">IFERROR(DGET('SBV Import'!A:G,"SBV",{"RSC ID","Tier";B2878,A2878}))</f>
        <v/>
      </c>
      <c r="AY2878" s="82" t="str">
        <f t="shared" si="2"/>
        <v/>
      </c>
      <c r="AZ2878" s="82"/>
      <c r="BA2878" s="84" t="s">
        <v>152</v>
      </c>
      <c r="BB2878" s="84" t="str">
        <f>IFERROR(__xludf.DUMMYFUNCTION("iferror(if(A2878="""",,E2878&gt;=FILTER(Constants!$F$2:$F$10,Constants!$A$2:$A$10=A2878)))"),"")</f>
        <v/>
      </c>
    </row>
    <row r="2879">
      <c r="A2879" s="89"/>
      <c r="B2879" s="87"/>
      <c r="C2879" s="73"/>
      <c r="D2879" s="73"/>
      <c r="E2879" s="82"/>
      <c r="F2879" s="82"/>
      <c r="G2879" s="86"/>
      <c r="H2879" s="86"/>
      <c r="I2879" s="86"/>
      <c r="J2879" s="82"/>
      <c r="K2879" s="82"/>
      <c r="L2879" s="82"/>
      <c r="M2879" s="82"/>
      <c r="N2879" s="82"/>
      <c r="O2879" s="82"/>
      <c r="P2879" s="82"/>
      <c r="Q2879" s="82"/>
      <c r="R2879" s="82"/>
      <c r="S2879" s="82"/>
      <c r="T2879" s="82"/>
      <c r="U2879" s="82"/>
      <c r="V2879" s="82"/>
      <c r="W2879" s="82"/>
      <c r="X2879" s="82"/>
      <c r="Y2879" s="82"/>
      <c r="Z2879" s="82"/>
      <c r="AA2879" s="82"/>
      <c r="AB2879" s="82"/>
      <c r="AC2879" s="82"/>
      <c r="AD2879" s="82"/>
      <c r="AE2879" s="82"/>
      <c r="AF2879" s="82"/>
      <c r="AG2879" s="82"/>
      <c r="AH2879" s="82"/>
      <c r="AI2879" s="82"/>
      <c r="AJ2879" s="82"/>
      <c r="AK2879" s="82"/>
      <c r="AL2879" s="82"/>
      <c r="AM2879" s="82"/>
      <c r="AN2879" s="82"/>
      <c r="AO2879" s="82"/>
      <c r="AP2879" s="82"/>
      <c r="AQ2879" s="82"/>
      <c r="AR2879" s="82"/>
      <c r="AS2879" s="82"/>
      <c r="AT2879" s="82"/>
      <c r="AU2879" s="82"/>
      <c r="AV2879" s="82"/>
      <c r="AW2879" s="82" t="str">
        <f t="shared" si="1"/>
        <v/>
      </c>
      <c r="AX2879" s="83" t="str">
        <f t="array" ref="AX2879">IFERROR(DGET('SBV Import'!A:G,"SBV",{"RSC ID","Tier";B2879,A2879}))</f>
        <v/>
      </c>
      <c r="AY2879" s="82" t="str">
        <f t="shared" si="2"/>
        <v/>
      </c>
      <c r="AZ2879" s="82"/>
      <c r="BA2879" s="84" t="s">
        <v>152</v>
      </c>
      <c r="BB2879" s="84" t="str">
        <f>IFERROR(__xludf.DUMMYFUNCTION("iferror(if(A2879="""",,E2879&gt;=FILTER(Constants!$F$2:$F$10,Constants!$A$2:$A$10=A2879)))"),"")</f>
        <v/>
      </c>
    </row>
    <row r="2880">
      <c r="A2880" s="89"/>
      <c r="B2880" s="87"/>
      <c r="C2880" s="73"/>
      <c r="D2880" s="73"/>
      <c r="E2880" s="82"/>
      <c r="F2880" s="82"/>
      <c r="G2880" s="86"/>
      <c r="H2880" s="86"/>
      <c r="I2880" s="86"/>
      <c r="J2880" s="82"/>
      <c r="K2880" s="82"/>
      <c r="L2880" s="82"/>
      <c r="M2880" s="82"/>
      <c r="N2880" s="82"/>
      <c r="O2880" s="82"/>
      <c r="P2880" s="82"/>
      <c r="Q2880" s="82"/>
      <c r="R2880" s="82"/>
      <c r="S2880" s="82"/>
      <c r="T2880" s="82"/>
      <c r="U2880" s="82"/>
      <c r="V2880" s="82"/>
      <c r="W2880" s="82"/>
      <c r="X2880" s="82"/>
      <c r="Y2880" s="82"/>
      <c r="Z2880" s="82"/>
      <c r="AA2880" s="82"/>
      <c r="AB2880" s="82"/>
      <c r="AC2880" s="82"/>
      <c r="AD2880" s="82"/>
      <c r="AE2880" s="82"/>
      <c r="AF2880" s="82"/>
      <c r="AG2880" s="82"/>
      <c r="AH2880" s="82"/>
      <c r="AI2880" s="82"/>
      <c r="AJ2880" s="82"/>
      <c r="AK2880" s="82"/>
      <c r="AL2880" s="82"/>
      <c r="AM2880" s="82"/>
      <c r="AN2880" s="82"/>
      <c r="AO2880" s="82"/>
      <c r="AP2880" s="82"/>
      <c r="AQ2880" s="82"/>
      <c r="AR2880" s="82"/>
      <c r="AS2880" s="82"/>
      <c r="AT2880" s="82"/>
      <c r="AU2880" s="82"/>
      <c r="AV2880" s="82"/>
      <c r="AW2880" s="82" t="str">
        <f t="shared" si="1"/>
        <v/>
      </c>
      <c r="AX2880" s="83" t="str">
        <f t="array" ref="AX2880">IFERROR(DGET('SBV Import'!A:G,"SBV",{"RSC ID","Tier";B2880,A2880}))</f>
        <v/>
      </c>
      <c r="AY2880" s="82" t="str">
        <f t="shared" si="2"/>
        <v/>
      </c>
      <c r="AZ2880" s="82"/>
      <c r="BA2880" s="84" t="s">
        <v>152</v>
      </c>
      <c r="BB2880" s="84" t="str">
        <f>IFERROR(__xludf.DUMMYFUNCTION("iferror(if(A2880="""",,E2880&gt;=FILTER(Constants!$F$2:$F$10,Constants!$A$2:$A$10=A2880)))"),"")</f>
        <v/>
      </c>
    </row>
    <row r="2881">
      <c r="A2881" s="89"/>
      <c r="B2881" s="87"/>
      <c r="C2881" s="73"/>
      <c r="D2881" s="73"/>
      <c r="E2881" s="82"/>
      <c r="F2881" s="82"/>
      <c r="G2881" s="86"/>
      <c r="H2881" s="86"/>
      <c r="I2881" s="86"/>
      <c r="J2881" s="82"/>
      <c r="K2881" s="82"/>
      <c r="L2881" s="82"/>
      <c r="M2881" s="82"/>
      <c r="N2881" s="82"/>
      <c r="O2881" s="82"/>
      <c r="P2881" s="82"/>
      <c r="Q2881" s="82"/>
      <c r="R2881" s="82"/>
      <c r="S2881" s="82"/>
      <c r="T2881" s="82"/>
      <c r="U2881" s="82"/>
      <c r="V2881" s="82"/>
      <c r="W2881" s="82"/>
      <c r="X2881" s="82"/>
      <c r="Y2881" s="82"/>
      <c r="Z2881" s="82"/>
      <c r="AA2881" s="82"/>
      <c r="AB2881" s="82"/>
      <c r="AC2881" s="82"/>
      <c r="AD2881" s="82"/>
      <c r="AE2881" s="82"/>
      <c r="AF2881" s="82"/>
      <c r="AG2881" s="82"/>
      <c r="AH2881" s="82"/>
      <c r="AI2881" s="82"/>
      <c r="AJ2881" s="82"/>
      <c r="AK2881" s="82"/>
      <c r="AL2881" s="82"/>
      <c r="AM2881" s="82"/>
      <c r="AN2881" s="82"/>
      <c r="AO2881" s="82"/>
      <c r="AP2881" s="82"/>
      <c r="AQ2881" s="82"/>
      <c r="AR2881" s="82"/>
      <c r="AS2881" s="82"/>
      <c r="AT2881" s="82"/>
      <c r="AU2881" s="82"/>
      <c r="AV2881" s="82"/>
      <c r="AW2881" s="82" t="str">
        <f t="shared" si="1"/>
        <v/>
      </c>
      <c r="AX2881" s="83" t="str">
        <f t="array" ref="AX2881">IFERROR(DGET('SBV Import'!A:G,"SBV",{"RSC ID","Tier";B2881,A2881}))</f>
        <v/>
      </c>
      <c r="AY2881" s="82" t="str">
        <f t="shared" si="2"/>
        <v/>
      </c>
      <c r="AZ2881" s="82"/>
      <c r="BA2881" s="84" t="s">
        <v>152</v>
      </c>
      <c r="BB2881" s="84" t="str">
        <f>IFERROR(__xludf.DUMMYFUNCTION("iferror(if(A2881="""",,E2881&gt;=FILTER(Constants!$F$2:$F$10,Constants!$A$2:$A$10=A2881)))"),"")</f>
        <v/>
      </c>
    </row>
    <row r="2882">
      <c r="A2882" s="89"/>
      <c r="B2882" s="87"/>
      <c r="C2882" s="73"/>
      <c r="D2882" s="73"/>
      <c r="E2882" s="82"/>
      <c r="F2882" s="82"/>
      <c r="G2882" s="86"/>
      <c r="H2882" s="86"/>
      <c r="I2882" s="86"/>
      <c r="J2882" s="82"/>
      <c r="K2882" s="82"/>
      <c r="L2882" s="82"/>
      <c r="M2882" s="82"/>
      <c r="N2882" s="82"/>
      <c r="O2882" s="82"/>
      <c r="P2882" s="82"/>
      <c r="Q2882" s="82"/>
      <c r="R2882" s="82"/>
      <c r="S2882" s="82"/>
      <c r="T2882" s="82"/>
      <c r="U2882" s="82"/>
      <c r="V2882" s="82"/>
      <c r="W2882" s="82"/>
      <c r="X2882" s="82"/>
      <c r="Y2882" s="82"/>
      <c r="Z2882" s="82"/>
      <c r="AA2882" s="82"/>
      <c r="AB2882" s="82"/>
      <c r="AC2882" s="82"/>
      <c r="AD2882" s="82"/>
      <c r="AE2882" s="82"/>
      <c r="AF2882" s="82"/>
      <c r="AG2882" s="82"/>
      <c r="AH2882" s="82"/>
      <c r="AI2882" s="82"/>
      <c r="AJ2882" s="82"/>
      <c r="AK2882" s="82"/>
      <c r="AL2882" s="82"/>
      <c r="AM2882" s="82"/>
      <c r="AN2882" s="82"/>
      <c r="AO2882" s="82"/>
      <c r="AP2882" s="82"/>
      <c r="AQ2882" s="82"/>
      <c r="AR2882" s="82"/>
      <c r="AS2882" s="82"/>
      <c r="AT2882" s="82"/>
      <c r="AU2882" s="82"/>
      <c r="AV2882" s="82"/>
      <c r="AW2882" s="82" t="str">
        <f t="shared" si="1"/>
        <v/>
      </c>
      <c r="AX2882" s="83" t="str">
        <f t="array" ref="AX2882">IFERROR(DGET('SBV Import'!A:G,"SBV",{"RSC ID","Tier";B2882,A2882}))</f>
        <v/>
      </c>
      <c r="AY2882" s="82" t="str">
        <f t="shared" si="2"/>
        <v/>
      </c>
      <c r="AZ2882" s="82"/>
      <c r="BA2882" s="84" t="s">
        <v>152</v>
      </c>
      <c r="BB2882" s="84" t="str">
        <f>IFERROR(__xludf.DUMMYFUNCTION("iferror(if(A2882="""",,E2882&gt;=FILTER(Constants!$F$2:$F$10,Constants!$A$2:$A$10=A2882)))"),"")</f>
        <v/>
      </c>
    </row>
    <row r="2883">
      <c r="A2883" s="89"/>
      <c r="B2883" s="87"/>
      <c r="C2883" s="73"/>
      <c r="D2883" s="73"/>
      <c r="E2883" s="82"/>
      <c r="F2883" s="82"/>
      <c r="G2883" s="86"/>
      <c r="H2883" s="86"/>
      <c r="I2883" s="86"/>
      <c r="J2883" s="82"/>
      <c r="K2883" s="82"/>
      <c r="L2883" s="82"/>
      <c r="M2883" s="82"/>
      <c r="N2883" s="82"/>
      <c r="O2883" s="82"/>
      <c r="P2883" s="82"/>
      <c r="Q2883" s="82"/>
      <c r="R2883" s="82"/>
      <c r="S2883" s="82"/>
      <c r="T2883" s="82"/>
      <c r="U2883" s="82"/>
      <c r="V2883" s="82"/>
      <c r="W2883" s="82"/>
      <c r="X2883" s="82"/>
      <c r="Y2883" s="82"/>
      <c r="Z2883" s="82"/>
      <c r="AA2883" s="82"/>
      <c r="AB2883" s="82"/>
      <c r="AC2883" s="82"/>
      <c r="AD2883" s="82"/>
      <c r="AE2883" s="82"/>
      <c r="AF2883" s="82"/>
      <c r="AG2883" s="82"/>
      <c r="AH2883" s="82"/>
      <c r="AI2883" s="82"/>
      <c r="AJ2883" s="82"/>
      <c r="AK2883" s="82"/>
      <c r="AL2883" s="82"/>
      <c r="AM2883" s="82"/>
      <c r="AN2883" s="82"/>
      <c r="AO2883" s="82"/>
      <c r="AP2883" s="82"/>
      <c r="AQ2883" s="82"/>
      <c r="AR2883" s="82"/>
      <c r="AS2883" s="82"/>
      <c r="AT2883" s="82"/>
      <c r="AU2883" s="82"/>
      <c r="AV2883" s="82"/>
      <c r="AW2883" s="82" t="str">
        <f t="shared" si="1"/>
        <v/>
      </c>
      <c r="AX2883" s="83" t="str">
        <f t="array" ref="AX2883">IFERROR(DGET('SBV Import'!A:G,"SBV",{"RSC ID","Tier";B2883,A2883}))</f>
        <v/>
      </c>
      <c r="AY2883" s="82" t="str">
        <f t="shared" si="2"/>
        <v/>
      </c>
      <c r="AZ2883" s="82"/>
      <c r="BA2883" s="84" t="s">
        <v>152</v>
      </c>
      <c r="BB2883" s="84" t="str">
        <f>IFERROR(__xludf.DUMMYFUNCTION("iferror(if(A2883="""",,E2883&gt;=FILTER(Constants!$F$2:$F$10,Constants!$A$2:$A$10=A2883)))"),"")</f>
        <v/>
      </c>
    </row>
    <row r="2884">
      <c r="A2884" s="89"/>
      <c r="B2884" s="87"/>
      <c r="C2884" s="73"/>
      <c r="D2884" s="73"/>
      <c r="E2884" s="82"/>
      <c r="F2884" s="82"/>
      <c r="G2884" s="86"/>
      <c r="H2884" s="86"/>
      <c r="I2884" s="86"/>
      <c r="J2884" s="82"/>
      <c r="K2884" s="82"/>
      <c r="L2884" s="82"/>
      <c r="M2884" s="82"/>
      <c r="N2884" s="82"/>
      <c r="O2884" s="82"/>
      <c r="P2884" s="82"/>
      <c r="Q2884" s="82"/>
      <c r="R2884" s="82"/>
      <c r="S2884" s="82"/>
      <c r="T2884" s="82"/>
      <c r="U2884" s="82"/>
      <c r="V2884" s="82"/>
      <c r="W2884" s="82"/>
      <c r="X2884" s="82"/>
      <c r="Y2884" s="82"/>
      <c r="Z2884" s="82"/>
      <c r="AA2884" s="82"/>
      <c r="AB2884" s="82"/>
      <c r="AC2884" s="82"/>
      <c r="AD2884" s="82"/>
      <c r="AE2884" s="82"/>
      <c r="AF2884" s="82"/>
      <c r="AG2884" s="82"/>
      <c r="AH2884" s="82"/>
      <c r="AI2884" s="82"/>
      <c r="AJ2884" s="82"/>
      <c r="AK2884" s="82"/>
      <c r="AL2884" s="82"/>
      <c r="AM2884" s="82"/>
      <c r="AN2884" s="82"/>
      <c r="AO2884" s="82"/>
      <c r="AP2884" s="82"/>
      <c r="AQ2884" s="82"/>
      <c r="AR2884" s="82"/>
      <c r="AS2884" s="82"/>
      <c r="AT2884" s="82"/>
      <c r="AU2884" s="82"/>
      <c r="AV2884" s="82"/>
      <c r="AW2884" s="82" t="str">
        <f t="shared" si="1"/>
        <v/>
      </c>
      <c r="AX2884" s="83" t="str">
        <f t="array" ref="AX2884">IFERROR(DGET('SBV Import'!A:G,"SBV",{"RSC ID","Tier";B2884,A2884}))</f>
        <v/>
      </c>
      <c r="AY2884" s="82" t="str">
        <f t="shared" si="2"/>
        <v/>
      </c>
      <c r="AZ2884" s="82"/>
      <c r="BA2884" s="84" t="s">
        <v>152</v>
      </c>
      <c r="BB2884" s="84" t="str">
        <f>IFERROR(__xludf.DUMMYFUNCTION("iferror(if(A2884="""",,E2884&gt;=FILTER(Constants!$F$2:$F$10,Constants!$A$2:$A$10=A2884)))"),"")</f>
        <v/>
      </c>
    </row>
    <row r="2885">
      <c r="A2885" s="89"/>
      <c r="B2885" s="87"/>
      <c r="C2885" s="73"/>
      <c r="D2885" s="73"/>
      <c r="E2885" s="82"/>
      <c r="F2885" s="82"/>
      <c r="G2885" s="86"/>
      <c r="H2885" s="86"/>
      <c r="I2885" s="86"/>
      <c r="J2885" s="82"/>
      <c r="K2885" s="82"/>
      <c r="L2885" s="82"/>
      <c r="M2885" s="82"/>
      <c r="N2885" s="82"/>
      <c r="O2885" s="82"/>
      <c r="P2885" s="82"/>
      <c r="Q2885" s="82"/>
      <c r="R2885" s="82"/>
      <c r="S2885" s="82"/>
      <c r="T2885" s="82"/>
      <c r="U2885" s="82"/>
      <c r="V2885" s="82"/>
      <c r="W2885" s="82"/>
      <c r="X2885" s="82"/>
      <c r="Y2885" s="82"/>
      <c r="Z2885" s="82"/>
      <c r="AA2885" s="82"/>
      <c r="AB2885" s="82"/>
      <c r="AC2885" s="82"/>
      <c r="AD2885" s="82"/>
      <c r="AE2885" s="82"/>
      <c r="AF2885" s="82"/>
      <c r="AG2885" s="82"/>
      <c r="AH2885" s="82"/>
      <c r="AI2885" s="82"/>
      <c r="AJ2885" s="82"/>
      <c r="AK2885" s="82"/>
      <c r="AL2885" s="82"/>
      <c r="AM2885" s="82"/>
      <c r="AN2885" s="82"/>
      <c r="AO2885" s="82"/>
      <c r="AP2885" s="82"/>
      <c r="AQ2885" s="82"/>
      <c r="AR2885" s="82"/>
      <c r="AS2885" s="82"/>
      <c r="AT2885" s="82"/>
      <c r="AU2885" s="82"/>
      <c r="AV2885" s="82"/>
      <c r="AW2885" s="82" t="str">
        <f t="shared" si="1"/>
        <v/>
      </c>
      <c r="AX2885" s="83" t="str">
        <f t="array" ref="AX2885">IFERROR(DGET('SBV Import'!A:G,"SBV",{"RSC ID","Tier";B2885,A2885}))</f>
        <v/>
      </c>
      <c r="AY2885" s="82" t="str">
        <f t="shared" si="2"/>
        <v/>
      </c>
      <c r="AZ2885" s="82"/>
      <c r="BA2885" s="84" t="s">
        <v>152</v>
      </c>
      <c r="BB2885" s="84" t="str">
        <f>IFERROR(__xludf.DUMMYFUNCTION("iferror(if(A2885="""",,E2885&gt;=FILTER(Constants!$F$2:$F$10,Constants!$A$2:$A$10=A2885)))"),"")</f>
        <v/>
      </c>
    </row>
    <row r="2886">
      <c r="A2886" s="89"/>
      <c r="B2886" s="87"/>
      <c r="C2886" s="73"/>
      <c r="D2886" s="73"/>
      <c r="E2886" s="82"/>
      <c r="F2886" s="82"/>
      <c r="G2886" s="86"/>
      <c r="H2886" s="86"/>
      <c r="I2886" s="86"/>
      <c r="J2886" s="82"/>
      <c r="K2886" s="82"/>
      <c r="L2886" s="82"/>
      <c r="M2886" s="82"/>
      <c r="N2886" s="82"/>
      <c r="O2886" s="82"/>
      <c r="P2886" s="82"/>
      <c r="Q2886" s="82"/>
      <c r="R2886" s="82"/>
      <c r="S2886" s="82"/>
      <c r="T2886" s="82"/>
      <c r="U2886" s="82"/>
      <c r="V2886" s="82"/>
      <c r="W2886" s="82"/>
      <c r="X2886" s="82"/>
      <c r="Y2886" s="82"/>
      <c r="Z2886" s="82"/>
      <c r="AA2886" s="82"/>
      <c r="AB2886" s="82"/>
      <c r="AC2886" s="82"/>
      <c r="AD2886" s="82"/>
      <c r="AE2886" s="82"/>
      <c r="AF2886" s="82"/>
      <c r="AG2886" s="82"/>
      <c r="AH2886" s="82"/>
      <c r="AI2886" s="82"/>
      <c r="AJ2886" s="82"/>
      <c r="AK2886" s="82"/>
      <c r="AL2886" s="82"/>
      <c r="AM2886" s="82"/>
      <c r="AN2886" s="82"/>
      <c r="AO2886" s="82"/>
      <c r="AP2886" s="82"/>
      <c r="AQ2886" s="82"/>
      <c r="AR2886" s="82"/>
      <c r="AS2886" s="82"/>
      <c r="AT2886" s="82"/>
      <c r="AU2886" s="82"/>
      <c r="AV2886" s="82"/>
      <c r="AW2886" s="82" t="str">
        <f t="shared" si="1"/>
        <v/>
      </c>
      <c r="AX2886" s="83" t="str">
        <f t="array" ref="AX2886">IFERROR(DGET('SBV Import'!A:G,"SBV",{"RSC ID","Tier";B2886,A2886}))</f>
        <v/>
      </c>
      <c r="AY2886" s="82" t="str">
        <f t="shared" si="2"/>
        <v/>
      </c>
      <c r="AZ2886" s="82"/>
      <c r="BA2886" s="84" t="s">
        <v>152</v>
      </c>
      <c r="BB2886" s="84" t="str">
        <f>IFERROR(__xludf.DUMMYFUNCTION("iferror(if(A2886="""",,E2886&gt;=FILTER(Constants!$F$2:$F$10,Constants!$A$2:$A$10=A2886)))"),"")</f>
        <v/>
      </c>
    </row>
    <row r="2887">
      <c r="A2887" s="89"/>
      <c r="B2887" s="87"/>
      <c r="C2887" s="73"/>
      <c r="D2887" s="73"/>
      <c r="E2887" s="82"/>
      <c r="F2887" s="82"/>
      <c r="G2887" s="86"/>
      <c r="H2887" s="86"/>
      <c r="I2887" s="86"/>
      <c r="J2887" s="82"/>
      <c r="K2887" s="82"/>
      <c r="L2887" s="82"/>
      <c r="M2887" s="82"/>
      <c r="N2887" s="82"/>
      <c r="O2887" s="82"/>
      <c r="P2887" s="82"/>
      <c r="Q2887" s="82"/>
      <c r="R2887" s="82"/>
      <c r="S2887" s="82"/>
      <c r="T2887" s="82"/>
      <c r="U2887" s="82"/>
      <c r="V2887" s="82"/>
      <c r="W2887" s="82"/>
      <c r="X2887" s="82"/>
      <c r="Y2887" s="82"/>
      <c r="Z2887" s="82"/>
      <c r="AA2887" s="82"/>
      <c r="AB2887" s="82"/>
      <c r="AC2887" s="82"/>
      <c r="AD2887" s="82"/>
      <c r="AE2887" s="82"/>
      <c r="AF2887" s="82"/>
      <c r="AG2887" s="82"/>
      <c r="AH2887" s="82"/>
      <c r="AI2887" s="82"/>
      <c r="AJ2887" s="82"/>
      <c r="AK2887" s="82"/>
      <c r="AL2887" s="82"/>
      <c r="AM2887" s="82"/>
      <c r="AN2887" s="82"/>
      <c r="AO2887" s="82"/>
      <c r="AP2887" s="82"/>
      <c r="AQ2887" s="82"/>
      <c r="AR2887" s="82"/>
      <c r="AS2887" s="82"/>
      <c r="AT2887" s="82"/>
      <c r="AU2887" s="82"/>
      <c r="AV2887" s="82"/>
      <c r="AW2887" s="82" t="str">
        <f t="shared" si="1"/>
        <v/>
      </c>
      <c r="AX2887" s="83" t="str">
        <f t="array" ref="AX2887">IFERROR(DGET('SBV Import'!A:G,"SBV",{"RSC ID","Tier";B2887,A2887}))</f>
        <v/>
      </c>
      <c r="AY2887" s="82" t="str">
        <f t="shared" si="2"/>
        <v/>
      </c>
      <c r="AZ2887" s="82"/>
      <c r="BA2887" s="84" t="s">
        <v>152</v>
      </c>
      <c r="BB2887" s="84" t="str">
        <f>IFERROR(__xludf.DUMMYFUNCTION("iferror(if(A2887="""",,E2887&gt;=FILTER(Constants!$F$2:$F$10,Constants!$A$2:$A$10=A2887)))"),"")</f>
        <v/>
      </c>
    </row>
    <row r="2888">
      <c r="A2888" s="89"/>
      <c r="B2888" s="87"/>
      <c r="C2888" s="73"/>
      <c r="D2888" s="73"/>
      <c r="E2888" s="82"/>
      <c r="F2888" s="82"/>
      <c r="G2888" s="86"/>
      <c r="H2888" s="86"/>
      <c r="I2888" s="86"/>
      <c r="J2888" s="82"/>
      <c r="K2888" s="82"/>
      <c r="L2888" s="82"/>
      <c r="M2888" s="82"/>
      <c r="N2888" s="82"/>
      <c r="O2888" s="82"/>
      <c r="P2888" s="82"/>
      <c r="Q2888" s="82"/>
      <c r="R2888" s="82"/>
      <c r="S2888" s="82"/>
      <c r="T2888" s="82"/>
      <c r="U2888" s="82"/>
      <c r="V2888" s="82"/>
      <c r="W2888" s="82"/>
      <c r="X2888" s="82"/>
      <c r="Y2888" s="82"/>
      <c r="Z2888" s="82"/>
      <c r="AA2888" s="82"/>
      <c r="AB2888" s="82"/>
      <c r="AC2888" s="82"/>
      <c r="AD2888" s="82"/>
      <c r="AE2888" s="82"/>
      <c r="AF2888" s="82"/>
      <c r="AG2888" s="82"/>
      <c r="AH2888" s="82"/>
      <c r="AI2888" s="82"/>
      <c r="AJ2888" s="82"/>
      <c r="AK2888" s="82"/>
      <c r="AL2888" s="82"/>
      <c r="AM2888" s="82"/>
      <c r="AN2888" s="82"/>
      <c r="AO2888" s="82"/>
      <c r="AP2888" s="82"/>
      <c r="AQ2888" s="82"/>
      <c r="AR2888" s="82"/>
      <c r="AS2888" s="82"/>
      <c r="AT2888" s="82"/>
      <c r="AU2888" s="82"/>
      <c r="AV2888" s="82"/>
      <c r="AW2888" s="82" t="str">
        <f t="shared" si="1"/>
        <v/>
      </c>
      <c r="AX2888" s="83" t="str">
        <f t="array" ref="AX2888">IFERROR(DGET('SBV Import'!A:G,"SBV",{"RSC ID","Tier";B2888,A2888}))</f>
        <v/>
      </c>
      <c r="AY2888" s="82" t="str">
        <f t="shared" si="2"/>
        <v/>
      </c>
      <c r="AZ2888" s="82"/>
      <c r="BA2888" s="84" t="s">
        <v>152</v>
      </c>
      <c r="BB2888" s="84" t="str">
        <f>IFERROR(__xludf.DUMMYFUNCTION("iferror(if(A2888="""",,E2888&gt;=FILTER(Constants!$F$2:$F$10,Constants!$A$2:$A$10=A2888)))"),"")</f>
        <v/>
      </c>
    </row>
    <row r="2889">
      <c r="A2889" s="89"/>
      <c r="B2889" s="87"/>
      <c r="C2889" s="73"/>
      <c r="D2889" s="73"/>
      <c r="E2889" s="82"/>
      <c r="F2889" s="82"/>
      <c r="G2889" s="86"/>
      <c r="H2889" s="86"/>
      <c r="I2889" s="86"/>
      <c r="J2889" s="82"/>
      <c r="K2889" s="82"/>
      <c r="L2889" s="82"/>
      <c r="M2889" s="82"/>
      <c r="N2889" s="82"/>
      <c r="O2889" s="82"/>
      <c r="P2889" s="82"/>
      <c r="Q2889" s="82"/>
      <c r="R2889" s="82"/>
      <c r="S2889" s="82"/>
      <c r="T2889" s="82"/>
      <c r="U2889" s="82"/>
      <c r="V2889" s="82"/>
      <c r="W2889" s="82"/>
      <c r="X2889" s="82"/>
      <c r="Y2889" s="82"/>
      <c r="Z2889" s="82"/>
      <c r="AA2889" s="82"/>
      <c r="AB2889" s="82"/>
      <c r="AC2889" s="82"/>
      <c r="AD2889" s="82"/>
      <c r="AE2889" s="82"/>
      <c r="AF2889" s="82"/>
      <c r="AG2889" s="82"/>
      <c r="AH2889" s="82"/>
      <c r="AI2889" s="82"/>
      <c r="AJ2889" s="82"/>
      <c r="AK2889" s="82"/>
      <c r="AL2889" s="82"/>
      <c r="AM2889" s="82"/>
      <c r="AN2889" s="82"/>
      <c r="AO2889" s="82"/>
      <c r="AP2889" s="82"/>
      <c r="AQ2889" s="82"/>
      <c r="AR2889" s="82"/>
      <c r="AS2889" s="82"/>
      <c r="AT2889" s="82"/>
      <c r="AU2889" s="82"/>
      <c r="AV2889" s="82"/>
      <c r="AW2889" s="82" t="str">
        <f t="shared" si="1"/>
        <v/>
      </c>
      <c r="AX2889" s="83" t="str">
        <f t="array" ref="AX2889">IFERROR(DGET('SBV Import'!A:G,"SBV",{"RSC ID","Tier";B2889,A2889}))</f>
        <v/>
      </c>
      <c r="AY2889" s="82" t="str">
        <f t="shared" si="2"/>
        <v/>
      </c>
      <c r="AZ2889" s="82"/>
      <c r="BA2889" s="84" t="s">
        <v>152</v>
      </c>
      <c r="BB2889" s="84" t="str">
        <f>IFERROR(__xludf.DUMMYFUNCTION("iferror(if(A2889="""",,E2889&gt;=FILTER(Constants!$F$2:$F$10,Constants!$A$2:$A$10=A2889)))"),"")</f>
        <v/>
      </c>
    </row>
    <row r="2890">
      <c r="A2890" s="89"/>
      <c r="B2890" s="87"/>
      <c r="C2890" s="73"/>
      <c r="D2890" s="73"/>
      <c r="E2890" s="82"/>
      <c r="F2890" s="82"/>
      <c r="G2890" s="86"/>
      <c r="H2890" s="86"/>
      <c r="I2890" s="86"/>
      <c r="J2890" s="82"/>
      <c r="K2890" s="82"/>
      <c r="L2890" s="82"/>
      <c r="M2890" s="82"/>
      <c r="N2890" s="82"/>
      <c r="O2890" s="82"/>
      <c r="P2890" s="82"/>
      <c r="Q2890" s="82"/>
      <c r="R2890" s="82"/>
      <c r="S2890" s="82"/>
      <c r="T2890" s="82"/>
      <c r="U2890" s="82"/>
      <c r="V2890" s="82"/>
      <c r="W2890" s="82"/>
      <c r="X2890" s="82"/>
      <c r="Y2890" s="82"/>
      <c r="Z2890" s="82"/>
      <c r="AA2890" s="82"/>
      <c r="AB2890" s="82"/>
      <c r="AC2890" s="82"/>
      <c r="AD2890" s="82"/>
      <c r="AE2890" s="82"/>
      <c r="AF2890" s="82"/>
      <c r="AG2890" s="82"/>
      <c r="AH2890" s="82"/>
      <c r="AI2890" s="82"/>
      <c r="AJ2890" s="82"/>
      <c r="AK2890" s="82"/>
      <c r="AL2890" s="82"/>
      <c r="AM2890" s="82"/>
      <c r="AN2890" s="82"/>
      <c r="AO2890" s="82"/>
      <c r="AP2890" s="82"/>
      <c r="AQ2890" s="82"/>
      <c r="AR2890" s="82"/>
      <c r="AS2890" s="82"/>
      <c r="AT2890" s="82"/>
      <c r="AU2890" s="82"/>
      <c r="AV2890" s="82"/>
      <c r="AW2890" s="82" t="str">
        <f t="shared" si="1"/>
        <v/>
      </c>
      <c r="AX2890" s="83" t="str">
        <f t="array" ref="AX2890">IFERROR(DGET('SBV Import'!A:G,"SBV",{"RSC ID","Tier";B2890,A2890}))</f>
        <v/>
      </c>
      <c r="AY2890" s="82" t="str">
        <f t="shared" si="2"/>
        <v/>
      </c>
      <c r="AZ2890" s="82"/>
      <c r="BA2890" s="84" t="s">
        <v>152</v>
      </c>
      <c r="BB2890" s="84" t="str">
        <f>IFERROR(__xludf.DUMMYFUNCTION("iferror(if(A2890="""",,E2890&gt;=FILTER(Constants!$F$2:$F$10,Constants!$A$2:$A$10=A2890)))"),"")</f>
        <v/>
      </c>
    </row>
    <row r="2891">
      <c r="A2891" s="89"/>
      <c r="B2891" s="87"/>
      <c r="C2891" s="73"/>
      <c r="D2891" s="73"/>
      <c r="E2891" s="82"/>
      <c r="F2891" s="82"/>
      <c r="G2891" s="86"/>
      <c r="H2891" s="86"/>
      <c r="I2891" s="86"/>
      <c r="J2891" s="82"/>
      <c r="K2891" s="82"/>
      <c r="L2891" s="82"/>
      <c r="M2891" s="82"/>
      <c r="N2891" s="82"/>
      <c r="O2891" s="82"/>
      <c r="P2891" s="82"/>
      <c r="Q2891" s="82"/>
      <c r="R2891" s="82"/>
      <c r="S2891" s="82"/>
      <c r="T2891" s="82"/>
      <c r="U2891" s="82"/>
      <c r="V2891" s="82"/>
      <c r="W2891" s="82"/>
      <c r="X2891" s="82"/>
      <c r="Y2891" s="82"/>
      <c r="Z2891" s="82"/>
      <c r="AA2891" s="82"/>
      <c r="AB2891" s="82"/>
      <c r="AC2891" s="82"/>
      <c r="AD2891" s="82"/>
      <c r="AE2891" s="82"/>
      <c r="AF2891" s="82"/>
      <c r="AG2891" s="82"/>
      <c r="AH2891" s="82"/>
      <c r="AI2891" s="82"/>
      <c r="AJ2891" s="82"/>
      <c r="AK2891" s="82"/>
      <c r="AL2891" s="82"/>
      <c r="AM2891" s="82"/>
      <c r="AN2891" s="82"/>
      <c r="AO2891" s="82"/>
      <c r="AP2891" s="82"/>
      <c r="AQ2891" s="82"/>
      <c r="AR2891" s="82"/>
      <c r="AS2891" s="82"/>
      <c r="AT2891" s="82"/>
      <c r="AU2891" s="82"/>
      <c r="AV2891" s="82"/>
      <c r="AW2891" s="82" t="str">
        <f t="shared" si="1"/>
        <v/>
      </c>
      <c r="AX2891" s="83" t="str">
        <f t="array" ref="AX2891">IFERROR(DGET('SBV Import'!A:G,"SBV",{"RSC ID","Tier";B2891,A2891}))</f>
        <v/>
      </c>
      <c r="AY2891" s="82" t="str">
        <f t="shared" si="2"/>
        <v/>
      </c>
      <c r="AZ2891" s="82"/>
      <c r="BA2891" s="84" t="s">
        <v>152</v>
      </c>
      <c r="BB2891" s="84" t="str">
        <f>IFERROR(__xludf.DUMMYFUNCTION("iferror(if(A2891="""",,E2891&gt;=FILTER(Constants!$F$2:$F$10,Constants!$A$2:$A$10=A2891)))"),"")</f>
        <v/>
      </c>
    </row>
    <row r="2892">
      <c r="A2892" s="89"/>
      <c r="B2892" s="87"/>
      <c r="C2892" s="73"/>
      <c r="D2892" s="73"/>
      <c r="E2892" s="82"/>
      <c r="F2892" s="82"/>
      <c r="G2892" s="86"/>
      <c r="H2892" s="86"/>
      <c r="I2892" s="86"/>
      <c r="J2892" s="82"/>
      <c r="K2892" s="82"/>
      <c r="L2892" s="82"/>
      <c r="M2892" s="82"/>
      <c r="N2892" s="82"/>
      <c r="O2892" s="82"/>
      <c r="P2892" s="82"/>
      <c r="Q2892" s="82"/>
      <c r="R2892" s="82"/>
      <c r="S2892" s="82"/>
      <c r="T2892" s="82"/>
      <c r="U2892" s="82"/>
      <c r="V2892" s="82"/>
      <c r="W2892" s="82"/>
      <c r="X2892" s="82"/>
      <c r="Y2892" s="82"/>
      <c r="Z2892" s="82"/>
      <c r="AA2892" s="82"/>
      <c r="AB2892" s="82"/>
      <c r="AC2892" s="82"/>
      <c r="AD2892" s="82"/>
      <c r="AE2892" s="82"/>
      <c r="AF2892" s="82"/>
      <c r="AG2892" s="82"/>
      <c r="AH2892" s="82"/>
      <c r="AI2892" s="82"/>
      <c r="AJ2892" s="82"/>
      <c r="AK2892" s="82"/>
      <c r="AL2892" s="82"/>
      <c r="AM2892" s="82"/>
      <c r="AN2892" s="82"/>
      <c r="AO2892" s="82"/>
      <c r="AP2892" s="82"/>
      <c r="AQ2892" s="82"/>
      <c r="AR2892" s="82"/>
      <c r="AS2892" s="82"/>
      <c r="AT2892" s="82"/>
      <c r="AU2892" s="82"/>
      <c r="AV2892" s="82"/>
      <c r="AW2892" s="82" t="str">
        <f t="shared" si="1"/>
        <v/>
      </c>
      <c r="AX2892" s="83" t="str">
        <f t="array" ref="AX2892">IFERROR(DGET('SBV Import'!A:G,"SBV",{"RSC ID","Tier";B2892,A2892}))</f>
        <v/>
      </c>
      <c r="AY2892" s="82" t="str">
        <f t="shared" si="2"/>
        <v/>
      </c>
      <c r="AZ2892" s="82"/>
      <c r="BA2892" s="84" t="s">
        <v>152</v>
      </c>
      <c r="BB2892" s="84" t="str">
        <f>IFERROR(__xludf.DUMMYFUNCTION("iferror(if(A2892="""",,E2892&gt;=FILTER(Constants!$F$2:$F$10,Constants!$A$2:$A$10=A2892)))"),"")</f>
        <v/>
      </c>
    </row>
    <row r="2893">
      <c r="A2893" s="89"/>
      <c r="B2893" s="87"/>
      <c r="C2893" s="73"/>
      <c r="D2893" s="73"/>
      <c r="E2893" s="82"/>
      <c r="F2893" s="82"/>
      <c r="G2893" s="86"/>
      <c r="H2893" s="86"/>
      <c r="I2893" s="86"/>
      <c r="J2893" s="82"/>
      <c r="K2893" s="82"/>
      <c r="L2893" s="82"/>
      <c r="M2893" s="82"/>
      <c r="N2893" s="82"/>
      <c r="O2893" s="82"/>
      <c r="P2893" s="82"/>
      <c r="Q2893" s="82"/>
      <c r="R2893" s="82"/>
      <c r="S2893" s="82"/>
      <c r="T2893" s="82"/>
      <c r="U2893" s="82"/>
      <c r="V2893" s="82"/>
      <c r="W2893" s="82"/>
      <c r="X2893" s="82"/>
      <c r="Y2893" s="82"/>
      <c r="Z2893" s="82"/>
      <c r="AA2893" s="82"/>
      <c r="AB2893" s="82"/>
      <c r="AC2893" s="82"/>
      <c r="AD2893" s="82"/>
      <c r="AE2893" s="82"/>
      <c r="AF2893" s="82"/>
      <c r="AG2893" s="82"/>
      <c r="AH2893" s="82"/>
      <c r="AI2893" s="82"/>
      <c r="AJ2893" s="82"/>
      <c r="AK2893" s="82"/>
      <c r="AL2893" s="82"/>
      <c r="AM2893" s="82"/>
      <c r="AN2893" s="82"/>
      <c r="AO2893" s="82"/>
      <c r="AP2893" s="82"/>
      <c r="AQ2893" s="82"/>
      <c r="AR2893" s="82"/>
      <c r="AS2893" s="82"/>
      <c r="AT2893" s="82"/>
      <c r="AU2893" s="82"/>
      <c r="AV2893" s="82"/>
      <c r="AW2893" s="82" t="str">
        <f t="shared" si="1"/>
        <v/>
      </c>
      <c r="AX2893" s="83" t="str">
        <f t="array" ref="AX2893">IFERROR(DGET('SBV Import'!A:G,"SBV",{"RSC ID","Tier";B2893,A2893}))</f>
        <v/>
      </c>
      <c r="AY2893" s="82" t="str">
        <f t="shared" si="2"/>
        <v/>
      </c>
      <c r="AZ2893" s="82"/>
      <c r="BA2893" s="84" t="s">
        <v>152</v>
      </c>
      <c r="BB2893" s="84" t="str">
        <f>IFERROR(__xludf.DUMMYFUNCTION("iferror(if(A2893="""",,E2893&gt;=FILTER(Constants!$F$2:$F$10,Constants!$A$2:$A$10=A2893)))"),"")</f>
        <v/>
      </c>
    </row>
    <row r="2894">
      <c r="A2894" s="89"/>
      <c r="B2894" s="87"/>
      <c r="C2894" s="73"/>
      <c r="D2894" s="73"/>
      <c r="E2894" s="82"/>
      <c r="F2894" s="82"/>
      <c r="G2894" s="86"/>
      <c r="H2894" s="86"/>
      <c r="I2894" s="86"/>
      <c r="J2894" s="82"/>
      <c r="K2894" s="82"/>
      <c r="L2894" s="82"/>
      <c r="M2894" s="82"/>
      <c r="N2894" s="82"/>
      <c r="O2894" s="82"/>
      <c r="P2894" s="82"/>
      <c r="Q2894" s="82"/>
      <c r="R2894" s="82"/>
      <c r="S2894" s="82"/>
      <c r="T2894" s="82"/>
      <c r="U2894" s="82"/>
      <c r="V2894" s="82"/>
      <c r="W2894" s="82"/>
      <c r="X2894" s="82"/>
      <c r="Y2894" s="82"/>
      <c r="Z2894" s="82"/>
      <c r="AA2894" s="82"/>
      <c r="AB2894" s="82"/>
      <c r="AC2894" s="82"/>
      <c r="AD2894" s="82"/>
      <c r="AE2894" s="82"/>
      <c r="AF2894" s="82"/>
      <c r="AG2894" s="82"/>
      <c r="AH2894" s="82"/>
      <c r="AI2894" s="82"/>
      <c r="AJ2894" s="82"/>
      <c r="AK2894" s="82"/>
      <c r="AL2894" s="82"/>
      <c r="AM2894" s="82"/>
      <c r="AN2894" s="82"/>
      <c r="AO2894" s="82"/>
      <c r="AP2894" s="82"/>
      <c r="AQ2894" s="82"/>
      <c r="AR2894" s="82"/>
      <c r="AS2894" s="82"/>
      <c r="AT2894" s="82"/>
      <c r="AU2894" s="82"/>
      <c r="AV2894" s="82"/>
      <c r="AW2894" s="82" t="str">
        <f t="shared" si="1"/>
        <v/>
      </c>
      <c r="AX2894" s="83" t="str">
        <f t="array" ref="AX2894">IFERROR(DGET('SBV Import'!A:G,"SBV",{"RSC ID","Tier";B2894,A2894}))</f>
        <v/>
      </c>
      <c r="AY2894" s="82" t="str">
        <f t="shared" si="2"/>
        <v/>
      </c>
      <c r="AZ2894" s="82"/>
      <c r="BA2894" s="84" t="s">
        <v>152</v>
      </c>
      <c r="BB2894" s="84" t="str">
        <f>IFERROR(__xludf.DUMMYFUNCTION("iferror(if(A2894="""",,E2894&gt;=FILTER(Constants!$F$2:$F$10,Constants!$A$2:$A$10=A2894)))"),"")</f>
        <v/>
      </c>
    </row>
    <row r="2895">
      <c r="A2895" s="89"/>
      <c r="B2895" s="87"/>
      <c r="C2895" s="73"/>
      <c r="D2895" s="73"/>
      <c r="E2895" s="82"/>
      <c r="F2895" s="82"/>
      <c r="G2895" s="86"/>
      <c r="H2895" s="86"/>
      <c r="I2895" s="86"/>
      <c r="J2895" s="82"/>
      <c r="K2895" s="82"/>
      <c r="L2895" s="82"/>
      <c r="M2895" s="82"/>
      <c r="N2895" s="82"/>
      <c r="O2895" s="82"/>
      <c r="P2895" s="82"/>
      <c r="Q2895" s="82"/>
      <c r="R2895" s="82"/>
      <c r="S2895" s="82"/>
      <c r="T2895" s="82"/>
      <c r="U2895" s="82"/>
      <c r="V2895" s="82"/>
      <c r="W2895" s="82"/>
      <c r="X2895" s="82"/>
      <c r="Y2895" s="82"/>
      <c r="Z2895" s="82"/>
      <c r="AA2895" s="82"/>
      <c r="AB2895" s="82"/>
      <c r="AC2895" s="82"/>
      <c r="AD2895" s="82"/>
      <c r="AE2895" s="82"/>
      <c r="AF2895" s="82"/>
      <c r="AG2895" s="82"/>
      <c r="AH2895" s="82"/>
      <c r="AI2895" s="82"/>
      <c r="AJ2895" s="82"/>
      <c r="AK2895" s="82"/>
      <c r="AL2895" s="82"/>
      <c r="AM2895" s="82"/>
      <c r="AN2895" s="82"/>
      <c r="AO2895" s="82"/>
      <c r="AP2895" s="82"/>
      <c r="AQ2895" s="82"/>
      <c r="AR2895" s="82"/>
      <c r="AS2895" s="82"/>
      <c r="AT2895" s="82"/>
      <c r="AU2895" s="82"/>
      <c r="AV2895" s="82"/>
      <c r="AW2895" s="82" t="str">
        <f t="shared" si="1"/>
        <v/>
      </c>
      <c r="AX2895" s="83" t="str">
        <f t="array" ref="AX2895">IFERROR(DGET('SBV Import'!A:G,"SBV",{"RSC ID","Tier";B2895,A2895}))</f>
        <v/>
      </c>
      <c r="AY2895" s="82" t="str">
        <f t="shared" si="2"/>
        <v/>
      </c>
      <c r="AZ2895" s="82"/>
      <c r="BA2895" s="84" t="s">
        <v>152</v>
      </c>
      <c r="BB2895" s="84" t="str">
        <f>IFERROR(__xludf.DUMMYFUNCTION("iferror(if(A2895="""",,E2895&gt;=FILTER(Constants!$F$2:$F$10,Constants!$A$2:$A$10=A2895)))"),"")</f>
        <v/>
      </c>
    </row>
    <row r="2896">
      <c r="A2896" s="89"/>
      <c r="B2896" s="87"/>
      <c r="C2896" s="73"/>
      <c r="D2896" s="73"/>
      <c r="E2896" s="82"/>
      <c r="F2896" s="82"/>
      <c r="G2896" s="86"/>
      <c r="H2896" s="86"/>
      <c r="I2896" s="86"/>
      <c r="J2896" s="82"/>
      <c r="K2896" s="82"/>
      <c r="L2896" s="82"/>
      <c r="M2896" s="82"/>
      <c r="N2896" s="82"/>
      <c r="O2896" s="82"/>
      <c r="P2896" s="82"/>
      <c r="Q2896" s="82"/>
      <c r="R2896" s="82"/>
      <c r="S2896" s="82"/>
      <c r="T2896" s="82"/>
      <c r="U2896" s="82"/>
      <c r="V2896" s="82"/>
      <c r="W2896" s="82"/>
      <c r="X2896" s="82"/>
      <c r="Y2896" s="82"/>
      <c r="Z2896" s="82"/>
      <c r="AA2896" s="82"/>
      <c r="AB2896" s="82"/>
      <c r="AC2896" s="82"/>
      <c r="AD2896" s="82"/>
      <c r="AE2896" s="82"/>
      <c r="AF2896" s="82"/>
      <c r="AG2896" s="82"/>
      <c r="AH2896" s="82"/>
      <c r="AI2896" s="82"/>
      <c r="AJ2896" s="82"/>
      <c r="AK2896" s="82"/>
      <c r="AL2896" s="82"/>
      <c r="AM2896" s="82"/>
      <c r="AN2896" s="82"/>
      <c r="AO2896" s="82"/>
      <c r="AP2896" s="82"/>
      <c r="AQ2896" s="82"/>
      <c r="AR2896" s="82"/>
      <c r="AS2896" s="82"/>
      <c r="AT2896" s="82"/>
      <c r="AU2896" s="82"/>
      <c r="AV2896" s="82"/>
      <c r="AW2896" s="82" t="str">
        <f t="shared" si="1"/>
        <v/>
      </c>
      <c r="AX2896" s="83" t="str">
        <f t="array" ref="AX2896">IFERROR(DGET('SBV Import'!A:G,"SBV",{"RSC ID","Tier";B2896,A2896}))</f>
        <v/>
      </c>
      <c r="AY2896" s="82" t="str">
        <f t="shared" si="2"/>
        <v/>
      </c>
      <c r="AZ2896" s="82"/>
      <c r="BA2896" s="84" t="s">
        <v>152</v>
      </c>
      <c r="BB2896" s="84" t="str">
        <f>IFERROR(__xludf.DUMMYFUNCTION("iferror(if(A2896="""",,E2896&gt;=FILTER(Constants!$F$2:$F$10,Constants!$A$2:$A$10=A2896)))"),"")</f>
        <v/>
      </c>
    </row>
    <row r="2897">
      <c r="A2897" s="89"/>
      <c r="B2897" s="87"/>
      <c r="C2897" s="73"/>
      <c r="D2897" s="73"/>
      <c r="E2897" s="82"/>
      <c r="F2897" s="82"/>
      <c r="G2897" s="86"/>
      <c r="H2897" s="86"/>
      <c r="I2897" s="86"/>
      <c r="J2897" s="82"/>
      <c r="K2897" s="82"/>
      <c r="L2897" s="82"/>
      <c r="M2897" s="82"/>
      <c r="N2897" s="82"/>
      <c r="O2897" s="82"/>
      <c r="P2897" s="82"/>
      <c r="Q2897" s="82"/>
      <c r="R2897" s="82"/>
      <c r="S2897" s="82"/>
      <c r="T2897" s="82"/>
      <c r="U2897" s="82"/>
      <c r="V2897" s="82"/>
      <c r="W2897" s="82"/>
      <c r="X2897" s="82"/>
      <c r="Y2897" s="82"/>
      <c r="Z2897" s="82"/>
      <c r="AA2897" s="82"/>
      <c r="AB2897" s="82"/>
      <c r="AC2897" s="82"/>
      <c r="AD2897" s="82"/>
      <c r="AE2897" s="82"/>
      <c r="AF2897" s="82"/>
      <c r="AG2897" s="82"/>
      <c r="AH2897" s="82"/>
      <c r="AI2897" s="82"/>
      <c r="AJ2897" s="82"/>
      <c r="AK2897" s="82"/>
      <c r="AL2897" s="82"/>
      <c r="AM2897" s="82"/>
      <c r="AN2897" s="82"/>
      <c r="AO2897" s="82"/>
      <c r="AP2897" s="82"/>
      <c r="AQ2897" s="82"/>
      <c r="AR2897" s="82"/>
      <c r="AS2897" s="82"/>
      <c r="AT2897" s="82"/>
      <c r="AU2897" s="82"/>
      <c r="AV2897" s="82"/>
      <c r="AW2897" s="82" t="str">
        <f t="shared" si="1"/>
        <v/>
      </c>
      <c r="AX2897" s="83" t="str">
        <f t="array" ref="AX2897">IFERROR(DGET('SBV Import'!A:G,"SBV",{"RSC ID","Tier";B2897,A2897}))</f>
        <v/>
      </c>
      <c r="AY2897" s="82" t="str">
        <f t="shared" si="2"/>
        <v/>
      </c>
      <c r="AZ2897" s="82"/>
      <c r="BA2897" s="84" t="s">
        <v>152</v>
      </c>
      <c r="BB2897" s="84" t="str">
        <f>IFERROR(__xludf.DUMMYFUNCTION("iferror(if(A2897="""",,E2897&gt;=FILTER(Constants!$F$2:$F$10,Constants!$A$2:$A$10=A2897)))"),"")</f>
        <v/>
      </c>
    </row>
    <row r="2898">
      <c r="A2898" s="89"/>
      <c r="B2898" s="87"/>
      <c r="C2898" s="73"/>
      <c r="D2898" s="73"/>
      <c r="E2898" s="82"/>
      <c r="F2898" s="82"/>
      <c r="G2898" s="86"/>
      <c r="H2898" s="86"/>
      <c r="I2898" s="86"/>
      <c r="J2898" s="82"/>
      <c r="K2898" s="82"/>
      <c r="L2898" s="82"/>
      <c r="M2898" s="82"/>
      <c r="N2898" s="82"/>
      <c r="O2898" s="82"/>
      <c r="P2898" s="82"/>
      <c r="Q2898" s="82"/>
      <c r="R2898" s="82"/>
      <c r="S2898" s="82"/>
      <c r="T2898" s="82"/>
      <c r="U2898" s="82"/>
      <c r="V2898" s="82"/>
      <c r="W2898" s="82"/>
      <c r="X2898" s="82"/>
      <c r="Y2898" s="82"/>
      <c r="Z2898" s="82"/>
      <c r="AA2898" s="82"/>
      <c r="AB2898" s="82"/>
      <c r="AC2898" s="82"/>
      <c r="AD2898" s="82"/>
      <c r="AE2898" s="82"/>
      <c r="AF2898" s="82"/>
      <c r="AG2898" s="82"/>
      <c r="AH2898" s="82"/>
      <c r="AI2898" s="82"/>
      <c r="AJ2898" s="82"/>
      <c r="AK2898" s="82"/>
      <c r="AL2898" s="82"/>
      <c r="AM2898" s="82"/>
      <c r="AN2898" s="82"/>
      <c r="AO2898" s="82"/>
      <c r="AP2898" s="82"/>
      <c r="AQ2898" s="82"/>
      <c r="AR2898" s="82"/>
      <c r="AS2898" s="82"/>
      <c r="AT2898" s="82"/>
      <c r="AU2898" s="82"/>
      <c r="AV2898" s="82"/>
      <c r="AW2898" s="82" t="str">
        <f t="shared" si="1"/>
        <v/>
      </c>
      <c r="AX2898" s="83" t="str">
        <f t="array" ref="AX2898">IFERROR(DGET('SBV Import'!A:G,"SBV",{"RSC ID","Tier";B2898,A2898}))</f>
        <v/>
      </c>
      <c r="AY2898" s="82" t="str">
        <f t="shared" si="2"/>
        <v/>
      </c>
      <c r="AZ2898" s="82"/>
      <c r="BA2898" s="84" t="s">
        <v>152</v>
      </c>
      <c r="BB2898" s="84" t="str">
        <f>IFERROR(__xludf.DUMMYFUNCTION("iferror(if(A2898="""",,E2898&gt;=FILTER(Constants!$F$2:$F$10,Constants!$A$2:$A$10=A2898)))"),"")</f>
        <v/>
      </c>
    </row>
    <row r="2899">
      <c r="A2899" s="89"/>
      <c r="B2899" s="87"/>
      <c r="C2899" s="73"/>
      <c r="D2899" s="73"/>
      <c r="E2899" s="82"/>
      <c r="F2899" s="82"/>
      <c r="G2899" s="86"/>
      <c r="H2899" s="86"/>
      <c r="I2899" s="86"/>
      <c r="J2899" s="82"/>
      <c r="K2899" s="82"/>
      <c r="L2899" s="82"/>
      <c r="M2899" s="82"/>
      <c r="N2899" s="82"/>
      <c r="O2899" s="82"/>
      <c r="P2899" s="82"/>
      <c r="Q2899" s="82"/>
      <c r="R2899" s="82"/>
      <c r="S2899" s="82"/>
      <c r="T2899" s="82"/>
      <c r="U2899" s="82"/>
      <c r="V2899" s="82"/>
      <c r="W2899" s="82"/>
      <c r="X2899" s="82"/>
      <c r="Y2899" s="82"/>
      <c r="Z2899" s="82"/>
      <c r="AA2899" s="82"/>
      <c r="AB2899" s="82"/>
      <c r="AC2899" s="82"/>
      <c r="AD2899" s="82"/>
      <c r="AE2899" s="82"/>
      <c r="AF2899" s="82"/>
      <c r="AG2899" s="82"/>
      <c r="AH2899" s="82"/>
      <c r="AI2899" s="82"/>
      <c r="AJ2899" s="82"/>
      <c r="AK2899" s="82"/>
      <c r="AL2899" s="82"/>
      <c r="AM2899" s="82"/>
      <c r="AN2899" s="82"/>
      <c r="AO2899" s="82"/>
      <c r="AP2899" s="82"/>
      <c r="AQ2899" s="82"/>
      <c r="AR2899" s="82"/>
      <c r="AS2899" s="82"/>
      <c r="AT2899" s="82"/>
      <c r="AU2899" s="82"/>
      <c r="AV2899" s="82"/>
      <c r="AW2899" s="82" t="str">
        <f t="shared" si="1"/>
        <v/>
      </c>
      <c r="AX2899" s="83" t="str">
        <f t="array" ref="AX2899">IFERROR(DGET('SBV Import'!A:G,"SBV",{"RSC ID","Tier";B2899,A2899}))</f>
        <v/>
      </c>
      <c r="AY2899" s="82" t="str">
        <f t="shared" si="2"/>
        <v/>
      </c>
      <c r="AZ2899" s="82"/>
      <c r="BA2899" s="84" t="s">
        <v>152</v>
      </c>
      <c r="BB2899" s="84" t="str">
        <f>IFERROR(__xludf.DUMMYFUNCTION("iferror(if(A2899="""",,E2899&gt;=FILTER(Constants!$F$2:$F$10,Constants!$A$2:$A$10=A2899)))"),"")</f>
        <v/>
      </c>
    </row>
    <row r="2900">
      <c r="A2900" s="89"/>
      <c r="B2900" s="87"/>
      <c r="C2900" s="73"/>
      <c r="D2900" s="73"/>
      <c r="E2900" s="82"/>
      <c r="F2900" s="82"/>
      <c r="G2900" s="86"/>
      <c r="H2900" s="86"/>
      <c r="I2900" s="86"/>
      <c r="J2900" s="82"/>
      <c r="K2900" s="82"/>
      <c r="L2900" s="82"/>
      <c r="M2900" s="82"/>
      <c r="N2900" s="82"/>
      <c r="O2900" s="82"/>
      <c r="P2900" s="82"/>
      <c r="Q2900" s="82"/>
      <c r="R2900" s="82"/>
      <c r="S2900" s="82"/>
      <c r="T2900" s="82"/>
      <c r="U2900" s="82"/>
      <c r="V2900" s="82"/>
      <c r="W2900" s="82"/>
      <c r="X2900" s="82"/>
      <c r="Y2900" s="82"/>
      <c r="Z2900" s="82"/>
      <c r="AA2900" s="82"/>
      <c r="AB2900" s="82"/>
      <c r="AC2900" s="82"/>
      <c r="AD2900" s="82"/>
      <c r="AE2900" s="82"/>
      <c r="AF2900" s="82"/>
      <c r="AG2900" s="82"/>
      <c r="AH2900" s="82"/>
      <c r="AI2900" s="82"/>
      <c r="AJ2900" s="82"/>
      <c r="AK2900" s="82"/>
      <c r="AL2900" s="82"/>
      <c r="AM2900" s="82"/>
      <c r="AN2900" s="82"/>
      <c r="AO2900" s="82"/>
      <c r="AP2900" s="82"/>
      <c r="AQ2900" s="82"/>
      <c r="AR2900" s="82"/>
      <c r="AS2900" s="82"/>
      <c r="AT2900" s="82"/>
      <c r="AU2900" s="82"/>
      <c r="AV2900" s="82"/>
      <c r="AW2900" s="82" t="str">
        <f t="shared" si="1"/>
        <v/>
      </c>
      <c r="AX2900" s="83" t="str">
        <f t="array" ref="AX2900">IFERROR(DGET('SBV Import'!A:G,"SBV",{"RSC ID","Tier";B2900,A2900}))</f>
        <v/>
      </c>
      <c r="AY2900" s="82" t="str">
        <f t="shared" si="2"/>
        <v/>
      </c>
      <c r="AZ2900" s="82"/>
      <c r="BA2900" s="84" t="s">
        <v>152</v>
      </c>
      <c r="BB2900" s="84" t="str">
        <f>IFERROR(__xludf.DUMMYFUNCTION("iferror(if(A2900="""",,E2900&gt;=FILTER(Constants!$F$2:$F$10,Constants!$A$2:$A$10=A2900)))"),"")</f>
        <v/>
      </c>
    </row>
    <row r="2901">
      <c r="A2901" s="89"/>
      <c r="B2901" s="87"/>
      <c r="C2901" s="73"/>
      <c r="D2901" s="73"/>
      <c r="E2901" s="82"/>
      <c r="F2901" s="82"/>
      <c r="G2901" s="86"/>
      <c r="H2901" s="86"/>
      <c r="I2901" s="86"/>
      <c r="J2901" s="82"/>
      <c r="K2901" s="82"/>
      <c r="L2901" s="82"/>
      <c r="M2901" s="82"/>
      <c r="N2901" s="82"/>
      <c r="O2901" s="82"/>
      <c r="P2901" s="82"/>
      <c r="Q2901" s="82"/>
      <c r="R2901" s="82"/>
      <c r="S2901" s="82"/>
      <c r="T2901" s="82"/>
      <c r="U2901" s="82"/>
      <c r="V2901" s="82"/>
      <c r="W2901" s="82"/>
      <c r="X2901" s="82"/>
      <c r="Y2901" s="82"/>
      <c r="Z2901" s="82"/>
      <c r="AA2901" s="82"/>
      <c r="AB2901" s="82"/>
      <c r="AC2901" s="82"/>
      <c r="AD2901" s="82"/>
      <c r="AE2901" s="82"/>
      <c r="AF2901" s="82"/>
      <c r="AG2901" s="82"/>
      <c r="AH2901" s="82"/>
      <c r="AI2901" s="82"/>
      <c r="AJ2901" s="82"/>
      <c r="AK2901" s="82"/>
      <c r="AL2901" s="82"/>
      <c r="AM2901" s="82"/>
      <c r="AN2901" s="82"/>
      <c r="AO2901" s="82"/>
      <c r="AP2901" s="82"/>
      <c r="AQ2901" s="82"/>
      <c r="AR2901" s="82"/>
      <c r="AS2901" s="82"/>
      <c r="AT2901" s="82"/>
      <c r="AU2901" s="82"/>
      <c r="AV2901" s="82"/>
      <c r="AW2901" s="82" t="str">
        <f t="shared" si="1"/>
        <v/>
      </c>
      <c r="AX2901" s="83" t="str">
        <f t="array" ref="AX2901">IFERROR(DGET('SBV Import'!A:G,"SBV",{"RSC ID","Tier";B2901,A2901}))</f>
        <v/>
      </c>
      <c r="AY2901" s="82" t="str">
        <f t="shared" si="2"/>
        <v/>
      </c>
      <c r="AZ2901" s="82"/>
      <c r="BA2901" s="84" t="s">
        <v>152</v>
      </c>
      <c r="BB2901" s="84" t="str">
        <f>IFERROR(__xludf.DUMMYFUNCTION("iferror(if(A2901="""",,E2901&gt;=FILTER(Constants!$F$2:$F$10,Constants!$A$2:$A$10=A2901)))"),"")</f>
        <v/>
      </c>
    </row>
    <row r="2902">
      <c r="A2902" s="89"/>
      <c r="B2902" s="87"/>
      <c r="C2902" s="73"/>
      <c r="D2902" s="73"/>
      <c r="E2902" s="82"/>
      <c r="F2902" s="82"/>
      <c r="G2902" s="86"/>
      <c r="H2902" s="86"/>
      <c r="I2902" s="86"/>
      <c r="J2902" s="82"/>
      <c r="K2902" s="82"/>
      <c r="L2902" s="82"/>
      <c r="M2902" s="82"/>
      <c r="N2902" s="82"/>
      <c r="O2902" s="82"/>
      <c r="P2902" s="82"/>
      <c r="Q2902" s="82"/>
      <c r="R2902" s="82"/>
      <c r="S2902" s="82"/>
      <c r="T2902" s="82"/>
      <c r="U2902" s="82"/>
      <c r="V2902" s="82"/>
      <c r="W2902" s="82"/>
      <c r="X2902" s="82"/>
      <c r="Y2902" s="82"/>
      <c r="Z2902" s="82"/>
      <c r="AA2902" s="82"/>
      <c r="AB2902" s="82"/>
      <c r="AC2902" s="82"/>
      <c r="AD2902" s="82"/>
      <c r="AE2902" s="82"/>
      <c r="AF2902" s="82"/>
      <c r="AG2902" s="82"/>
      <c r="AH2902" s="82"/>
      <c r="AI2902" s="82"/>
      <c r="AJ2902" s="82"/>
      <c r="AK2902" s="82"/>
      <c r="AL2902" s="82"/>
      <c r="AM2902" s="82"/>
      <c r="AN2902" s="82"/>
      <c r="AO2902" s="82"/>
      <c r="AP2902" s="82"/>
      <c r="AQ2902" s="82"/>
      <c r="AR2902" s="82"/>
      <c r="AS2902" s="82"/>
      <c r="AT2902" s="82"/>
      <c r="AU2902" s="82"/>
      <c r="AV2902" s="82"/>
      <c r="AW2902" s="82" t="str">
        <f t="shared" si="1"/>
        <v/>
      </c>
      <c r="AX2902" s="83" t="str">
        <f t="array" ref="AX2902">IFERROR(DGET('SBV Import'!A:G,"SBV",{"RSC ID","Tier";B2902,A2902}))</f>
        <v/>
      </c>
      <c r="AY2902" s="82" t="str">
        <f t="shared" si="2"/>
        <v/>
      </c>
      <c r="AZ2902" s="82"/>
      <c r="BA2902" s="84" t="s">
        <v>152</v>
      </c>
      <c r="BB2902" s="84" t="str">
        <f>IFERROR(__xludf.DUMMYFUNCTION("iferror(if(A2902="""",,E2902&gt;=FILTER(Constants!$F$2:$F$10,Constants!$A$2:$A$10=A2902)))"),"")</f>
        <v/>
      </c>
    </row>
    <row r="2903">
      <c r="A2903" s="89"/>
      <c r="B2903" s="87"/>
      <c r="C2903" s="73"/>
      <c r="D2903" s="73"/>
      <c r="E2903" s="82"/>
      <c r="F2903" s="82"/>
      <c r="G2903" s="86"/>
      <c r="H2903" s="86"/>
      <c r="I2903" s="86"/>
      <c r="J2903" s="82"/>
      <c r="K2903" s="82"/>
      <c r="L2903" s="82"/>
      <c r="M2903" s="82"/>
      <c r="N2903" s="82"/>
      <c r="O2903" s="82"/>
      <c r="P2903" s="82"/>
      <c r="Q2903" s="82"/>
      <c r="R2903" s="82"/>
      <c r="S2903" s="82"/>
      <c r="T2903" s="82"/>
      <c r="U2903" s="82"/>
      <c r="V2903" s="82"/>
      <c r="W2903" s="82"/>
      <c r="X2903" s="82"/>
      <c r="Y2903" s="82"/>
      <c r="Z2903" s="82"/>
      <c r="AA2903" s="82"/>
      <c r="AB2903" s="82"/>
      <c r="AC2903" s="82"/>
      <c r="AD2903" s="82"/>
      <c r="AE2903" s="82"/>
      <c r="AF2903" s="82"/>
      <c r="AG2903" s="82"/>
      <c r="AH2903" s="82"/>
      <c r="AI2903" s="82"/>
      <c r="AJ2903" s="82"/>
      <c r="AK2903" s="82"/>
      <c r="AL2903" s="82"/>
      <c r="AM2903" s="82"/>
      <c r="AN2903" s="82"/>
      <c r="AO2903" s="82"/>
      <c r="AP2903" s="82"/>
      <c r="AQ2903" s="82"/>
      <c r="AR2903" s="82"/>
      <c r="AS2903" s="82"/>
      <c r="AT2903" s="82"/>
      <c r="AU2903" s="82"/>
      <c r="AV2903" s="82"/>
      <c r="AW2903" s="82" t="str">
        <f t="shared" si="1"/>
        <v/>
      </c>
      <c r="AX2903" s="83" t="str">
        <f t="array" ref="AX2903">IFERROR(DGET('SBV Import'!A:G,"SBV",{"RSC ID","Tier";B2903,A2903}))</f>
        <v/>
      </c>
      <c r="AY2903" s="82" t="str">
        <f t="shared" si="2"/>
        <v/>
      </c>
      <c r="AZ2903" s="82"/>
      <c r="BA2903" s="84" t="s">
        <v>152</v>
      </c>
      <c r="BB2903" s="84" t="str">
        <f>IFERROR(__xludf.DUMMYFUNCTION("iferror(if(A2903="""",,E2903&gt;=FILTER(Constants!$F$2:$F$10,Constants!$A$2:$A$10=A2903)))"),"")</f>
        <v/>
      </c>
    </row>
    <row r="2904">
      <c r="A2904" s="89"/>
      <c r="B2904" s="87"/>
      <c r="C2904" s="73"/>
      <c r="D2904" s="73"/>
      <c r="E2904" s="82"/>
      <c r="F2904" s="82"/>
      <c r="G2904" s="86"/>
      <c r="H2904" s="86"/>
      <c r="I2904" s="86"/>
      <c r="J2904" s="82"/>
      <c r="K2904" s="82"/>
      <c r="L2904" s="82"/>
      <c r="M2904" s="82"/>
      <c r="N2904" s="82"/>
      <c r="O2904" s="82"/>
      <c r="P2904" s="82"/>
      <c r="Q2904" s="82"/>
      <c r="R2904" s="82"/>
      <c r="S2904" s="82"/>
      <c r="T2904" s="82"/>
      <c r="U2904" s="82"/>
      <c r="V2904" s="82"/>
      <c r="W2904" s="82"/>
      <c r="X2904" s="82"/>
      <c r="Y2904" s="82"/>
      <c r="Z2904" s="82"/>
      <c r="AA2904" s="82"/>
      <c r="AB2904" s="82"/>
      <c r="AC2904" s="82"/>
      <c r="AD2904" s="82"/>
      <c r="AE2904" s="82"/>
      <c r="AF2904" s="82"/>
      <c r="AG2904" s="82"/>
      <c r="AH2904" s="82"/>
      <c r="AI2904" s="82"/>
      <c r="AJ2904" s="82"/>
      <c r="AK2904" s="82"/>
      <c r="AL2904" s="82"/>
      <c r="AM2904" s="82"/>
      <c r="AN2904" s="82"/>
      <c r="AO2904" s="82"/>
      <c r="AP2904" s="82"/>
      <c r="AQ2904" s="82"/>
      <c r="AR2904" s="82"/>
      <c r="AS2904" s="82"/>
      <c r="AT2904" s="82"/>
      <c r="AU2904" s="82"/>
      <c r="AV2904" s="82"/>
      <c r="AW2904" s="82" t="str">
        <f t="shared" si="1"/>
        <v/>
      </c>
      <c r="AX2904" s="83" t="str">
        <f t="array" ref="AX2904">IFERROR(DGET('SBV Import'!A:G,"SBV",{"RSC ID","Tier";B2904,A2904}))</f>
        <v/>
      </c>
      <c r="AY2904" s="82" t="str">
        <f t="shared" si="2"/>
        <v/>
      </c>
      <c r="AZ2904" s="82"/>
      <c r="BA2904" s="84" t="s">
        <v>152</v>
      </c>
      <c r="BB2904" s="84" t="str">
        <f>IFERROR(__xludf.DUMMYFUNCTION("iferror(if(A2904="""",,E2904&gt;=FILTER(Constants!$F$2:$F$10,Constants!$A$2:$A$10=A2904)))"),"")</f>
        <v/>
      </c>
    </row>
    <row r="2905">
      <c r="A2905" s="89"/>
      <c r="B2905" s="87"/>
      <c r="C2905" s="73"/>
      <c r="D2905" s="73"/>
      <c r="E2905" s="82"/>
      <c r="F2905" s="82"/>
      <c r="G2905" s="86"/>
      <c r="H2905" s="86"/>
      <c r="I2905" s="86"/>
      <c r="J2905" s="82"/>
      <c r="K2905" s="82"/>
      <c r="L2905" s="82"/>
      <c r="M2905" s="82"/>
      <c r="N2905" s="82"/>
      <c r="O2905" s="82"/>
      <c r="P2905" s="82"/>
      <c r="Q2905" s="82"/>
      <c r="R2905" s="82"/>
      <c r="S2905" s="82"/>
      <c r="T2905" s="82"/>
      <c r="U2905" s="82"/>
      <c r="V2905" s="82"/>
      <c r="W2905" s="82"/>
      <c r="X2905" s="82"/>
      <c r="Y2905" s="82"/>
      <c r="Z2905" s="82"/>
      <c r="AA2905" s="82"/>
      <c r="AB2905" s="82"/>
      <c r="AC2905" s="82"/>
      <c r="AD2905" s="82"/>
      <c r="AE2905" s="82"/>
      <c r="AF2905" s="82"/>
      <c r="AG2905" s="82"/>
      <c r="AH2905" s="82"/>
      <c r="AI2905" s="82"/>
      <c r="AJ2905" s="82"/>
      <c r="AK2905" s="82"/>
      <c r="AL2905" s="82"/>
      <c r="AM2905" s="82"/>
      <c r="AN2905" s="82"/>
      <c r="AO2905" s="82"/>
      <c r="AP2905" s="82"/>
      <c r="AQ2905" s="82"/>
      <c r="AR2905" s="82"/>
      <c r="AS2905" s="82"/>
      <c r="AT2905" s="82"/>
      <c r="AU2905" s="82"/>
      <c r="AV2905" s="82"/>
      <c r="AW2905" s="82" t="str">
        <f t="shared" si="1"/>
        <v/>
      </c>
      <c r="AX2905" s="83" t="str">
        <f t="array" ref="AX2905">IFERROR(DGET('SBV Import'!A:G,"SBV",{"RSC ID","Tier";B2905,A2905}))</f>
        <v/>
      </c>
      <c r="AY2905" s="82" t="str">
        <f t="shared" si="2"/>
        <v/>
      </c>
      <c r="AZ2905" s="82"/>
      <c r="BA2905" s="84" t="s">
        <v>152</v>
      </c>
      <c r="BB2905" s="84" t="str">
        <f>IFERROR(__xludf.DUMMYFUNCTION("iferror(if(A2905="""",,E2905&gt;=FILTER(Constants!$F$2:$F$10,Constants!$A$2:$A$10=A2905)))"),"")</f>
        <v/>
      </c>
    </row>
    <row r="2906">
      <c r="A2906" s="89"/>
      <c r="B2906" s="87"/>
      <c r="C2906" s="73"/>
      <c r="D2906" s="73"/>
      <c r="E2906" s="82"/>
      <c r="F2906" s="82"/>
      <c r="G2906" s="86"/>
      <c r="H2906" s="86"/>
      <c r="I2906" s="86"/>
      <c r="J2906" s="82"/>
      <c r="K2906" s="82"/>
      <c r="L2906" s="82"/>
      <c r="M2906" s="82"/>
      <c r="N2906" s="82"/>
      <c r="O2906" s="82"/>
      <c r="P2906" s="82"/>
      <c r="Q2906" s="82"/>
      <c r="R2906" s="82"/>
      <c r="S2906" s="82"/>
      <c r="T2906" s="82"/>
      <c r="U2906" s="82"/>
      <c r="V2906" s="82"/>
      <c r="W2906" s="82"/>
      <c r="X2906" s="82"/>
      <c r="Y2906" s="82"/>
      <c r="Z2906" s="82"/>
      <c r="AA2906" s="82"/>
      <c r="AB2906" s="82"/>
      <c r="AC2906" s="82"/>
      <c r="AD2906" s="82"/>
      <c r="AE2906" s="82"/>
      <c r="AF2906" s="82"/>
      <c r="AG2906" s="82"/>
      <c r="AH2906" s="82"/>
      <c r="AI2906" s="82"/>
      <c r="AJ2906" s="82"/>
      <c r="AK2906" s="82"/>
      <c r="AL2906" s="82"/>
      <c r="AM2906" s="82"/>
      <c r="AN2906" s="82"/>
      <c r="AO2906" s="82"/>
      <c r="AP2906" s="82"/>
      <c r="AQ2906" s="82"/>
      <c r="AR2906" s="82"/>
      <c r="AS2906" s="82"/>
      <c r="AT2906" s="82"/>
      <c r="AU2906" s="82"/>
      <c r="AV2906" s="82"/>
      <c r="AW2906" s="82" t="str">
        <f t="shared" si="1"/>
        <v/>
      </c>
      <c r="AX2906" s="83" t="str">
        <f t="array" ref="AX2906">IFERROR(DGET('SBV Import'!A:G,"SBV",{"RSC ID","Tier";B2906,A2906}))</f>
        <v/>
      </c>
      <c r="AY2906" s="82" t="str">
        <f t="shared" si="2"/>
        <v/>
      </c>
      <c r="AZ2906" s="82"/>
      <c r="BA2906" s="84" t="s">
        <v>152</v>
      </c>
      <c r="BB2906" s="84" t="str">
        <f>IFERROR(__xludf.DUMMYFUNCTION("iferror(if(A2906="""",,E2906&gt;=FILTER(Constants!$F$2:$F$10,Constants!$A$2:$A$10=A2906)))"),"")</f>
        <v/>
      </c>
    </row>
    <row r="2907">
      <c r="A2907" s="89"/>
      <c r="B2907" s="87"/>
      <c r="C2907" s="73"/>
      <c r="D2907" s="73"/>
      <c r="E2907" s="82"/>
      <c r="F2907" s="82"/>
      <c r="G2907" s="86"/>
      <c r="H2907" s="86"/>
      <c r="I2907" s="86"/>
      <c r="J2907" s="82"/>
      <c r="K2907" s="82"/>
      <c r="L2907" s="82"/>
      <c r="M2907" s="82"/>
      <c r="N2907" s="82"/>
      <c r="O2907" s="82"/>
      <c r="P2907" s="82"/>
      <c r="Q2907" s="82"/>
      <c r="R2907" s="82"/>
      <c r="S2907" s="82"/>
      <c r="T2907" s="82"/>
      <c r="U2907" s="82"/>
      <c r="V2907" s="82"/>
      <c r="W2907" s="82"/>
      <c r="X2907" s="82"/>
      <c r="Y2907" s="82"/>
      <c r="Z2907" s="82"/>
      <c r="AA2907" s="82"/>
      <c r="AB2907" s="82"/>
      <c r="AC2907" s="82"/>
      <c r="AD2907" s="82"/>
      <c r="AE2907" s="82"/>
      <c r="AF2907" s="82"/>
      <c r="AG2907" s="82"/>
      <c r="AH2907" s="82"/>
      <c r="AI2907" s="82"/>
      <c r="AJ2907" s="82"/>
      <c r="AK2907" s="82"/>
      <c r="AL2907" s="82"/>
      <c r="AM2907" s="82"/>
      <c r="AN2907" s="82"/>
      <c r="AO2907" s="82"/>
      <c r="AP2907" s="82"/>
      <c r="AQ2907" s="82"/>
      <c r="AR2907" s="82"/>
      <c r="AS2907" s="82"/>
      <c r="AT2907" s="82"/>
      <c r="AU2907" s="82"/>
      <c r="AV2907" s="82"/>
      <c r="AW2907" s="82" t="str">
        <f t="shared" si="1"/>
        <v/>
      </c>
      <c r="AX2907" s="83" t="str">
        <f t="array" ref="AX2907">IFERROR(DGET('SBV Import'!A:G,"SBV",{"RSC ID","Tier";B2907,A2907}))</f>
        <v/>
      </c>
      <c r="AY2907" s="82" t="str">
        <f t="shared" si="2"/>
        <v/>
      </c>
      <c r="AZ2907" s="82"/>
      <c r="BA2907" s="84" t="s">
        <v>152</v>
      </c>
      <c r="BB2907" s="84" t="str">
        <f>IFERROR(__xludf.DUMMYFUNCTION("iferror(if(A2907="""",,E2907&gt;=FILTER(Constants!$F$2:$F$10,Constants!$A$2:$A$10=A2907)))"),"")</f>
        <v/>
      </c>
    </row>
    <row r="2908">
      <c r="A2908" s="89"/>
      <c r="B2908" s="87"/>
      <c r="C2908" s="73"/>
      <c r="D2908" s="73"/>
      <c r="E2908" s="82"/>
      <c r="F2908" s="82"/>
      <c r="G2908" s="86"/>
      <c r="H2908" s="86"/>
      <c r="I2908" s="86"/>
      <c r="J2908" s="82"/>
      <c r="K2908" s="82"/>
      <c r="L2908" s="82"/>
      <c r="M2908" s="82"/>
      <c r="N2908" s="82"/>
      <c r="O2908" s="82"/>
      <c r="P2908" s="82"/>
      <c r="Q2908" s="82"/>
      <c r="R2908" s="82"/>
      <c r="S2908" s="82"/>
      <c r="T2908" s="82"/>
      <c r="U2908" s="82"/>
      <c r="V2908" s="82"/>
      <c r="W2908" s="82"/>
      <c r="X2908" s="82"/>
      <c r="Y2908" s="82"/>
      <c r="Z2908" s="82"/>
      <c r="AA2908" s="82"/>
      <c r="AB2908" s="82"/>
      <c r="AC2908" s="82"/>
      <c r="AD2908" s="82"/>
      <c r="AE2908" s="82"/>
      <c r="AF2908" s="82"/>
      <c r="AG2908" s="82"/>
      <c r="AH2908" s="82"/>
      <c r="AI2908" s="82"/>
      <c r="AJ2908" s="82"/>
      <c r="AK2908" s="82"/>
      <c r="AL2908" s="82"/>
      <c r="AM2908" s="82"/>
      <c r="AN2908" s="82"/>
      <c r="AO2908" s="82"/>
      <c r="AP2908" s="82"/>
      <c r="AQ2908" s="82"/>
      <c r="AR2908" s="82"/>
      <c r="AS2908" s="82"/>
      <c r="AT2908" s="82"/>
      <c r="AU2908" s="82"/>
      <c r="AV2908" s="82"/>
      <c r="AW2908" s="82" t="str">
        <f t="shared" si="1"/>
        <v/>
      </c>
      <c r="AX2908" s="83" t="str">
        <f t="array" ref="AX2908">IFERROR(DGET('SBV Import'!A:G,"SBV",{"RSC ID","Tier";B2908,A2908}))</f>
        <v/>
      </c>
      <c r="AY2908" s="82" t="str">
        <f t="shared" si="2"/>
        <v/>
      </c>
      <c r="AZ2908" s="82"/>
      <c r="BA2908" s="84" t="s">
        <v>152</v>
      </c>
      <c r="BB2908" s="84" t="str">
        <f>IFERROR(__xludf.DUMMYFUNCTION("iferror(if(A2908="""",,E2908&gt;=FILTER(Constants!$F$2:$F$10,Constants!$A$2:$A$10=A2908)))"),"")</f>
        <v/>
      </c>
    </row>
    <row r="2909">
      <c r="A2909" s="89"/>
      <c r="B2909" s="87"/>
      <c r="C2909" s="73"/>
      <c r="D2909" s="73"/>
      <c r="E2909" s="82"/>
      <c r="F2909" s="82"/>
      <c r="G2909" s="86"/>
      <c r="H2909" s="86"/>
      <c r="I2909" s="86"/>
      <c r="J2909" s="82"/>
      <c r="K2909" s="82"/>
      <c r="L2909" s="82"/>
      <c r="M2909" s="82"/>
      <c r="N2909" s="82"/>
      <c r="O2909" s="82"/>
      <c r="P2909" s="82"/>
      <c r="Q2909" s="82"/>
      <c r="R2909" s="82"/>
      <c r="S2909" s="82"/>
      <c r="T2909" s="82"/>
      <c r="U2909" s="82"/>
      <c r="V2909" s="82"/>
      <c r="W2909" s="82"/>
      <c r="X2909" s="82"/>
      <c r="Y2909" s="82"/>
      <c r="Z2909" s="82"/>
      <c r="AA2909" s="82"/>
      <c r="AB2909" s="82"/>
      <c r="AC2909" s="82"/>
      <c r="AD2909" s="82"/>
      <c r="AE2909" s="82"/>
      <c r="AF2909" s="82"/>
      <c r="AG2909" s="82"/>
      <c r="AH2909" s="82"/>
      <c r="AI2909" s="82"/>
      <c r="AJ2909" s="82"/>
      <c r="AK2909" s="82"/>
      <c r="AL2909" s="82"/>
      <c r="AM2909" s="82"/>
      <c r="AN2909" s="82"/>
      <c r="AO2909" s="82"/>
      <c r="AP2909" s="82"/>
      <c r="AQ2909" s="82"/>
      <c r="AR2909" s="82"/>
      <c r="AS2909" s="82"/>
      <c r="AT2909" s="82"/>
      <c r="AU2909" s="82"/>
      <c r="AV2909" s="82"/>
      <c r="AW2909" s="82" t="str">
        <f t="shared" si="1"/>
        <v/>
      </c>
      <c r="AX2909" s="83" t="str">
        <f t="array" ref="AX2909">IFERROR(DGET('SBV Import'!A:G,"SBV",{"RSC ID","Tier";B2909,A2909}))</f>
        <v/>
      </c>
      <c r="AY2909" s="82" t="str">
        <f t="shared" si="2"/>
        <v/>
      </c>
      <c r="AZ2909" s="82"/>
      <c r="BA2909" s="84" t="s">
        <v>152</v>
      </c>
      <c r="BB2909" s="84" t="str">
        <f>IFERROR(__xludf.DUMMYFUNCTION("iferror(if(A2909="""",,E2909&gt;=FILTER(Constants!$F$2:$F$10,Constants!$A$2:$A$10=A2909)))"),"")</f>
        <v/>
      </c>
    </row>
    <row r="2910">
      <c r="A2910" s="89"/>
      <c r="B2910" s="87"/>
      <c r="C2910" s="73"/>
      <c r="D2910" s="73"/>
      <c r="E2910" s="82"/>
      <c r="F2910" s="82"/>
      <c r="G2910" s="86"/>
      <c r="H2910" s="86"/>
      <c r="I2910" s="86"/>
      <c r="J2910" s="82"/>
      <c r="K2910" s="82"/>
      <c r="L2910" s="82"/>
      <c r="M2910" s="82"/>
      <c r="N2910" s="82"/>
      <c r="O2910" s="82"/>
      <c r="P2910" s="82"/>
      <c r="Q2910" s="82"/>
      <c r="R2910" s="82"/>
      <c r="S2910" s="82"/>
      <c r="T2910" s="82"/>
      <c r="U2910" s="82"/>
      <c r="V2910" s="82"/>
      <c r="W2910" s="82"/>
      <c r="X2910" s="82"/>
      <c r="Y2910" s="82"/>
      <c r="Z2910" s="82"/>
      <c r="AA2910" s="82"/>
      <c r="AB2910" s="82"/>
      <c r="AC2910" s="82"/>
      <c r="AD2910" s="82"/>
      <c r="AE2910" s="82"/>
      <c r="AF2910" s="82"/>
      <c r="AG2910" s="82"/>
      <c r="AH2910" s="82"/>
      <c r="AI2910" s="82"/>
      <c r="AJ2910" s="82"/>
      <c r="AK2910" s="82"/>
      <c r="AL2910" s="82"/>
      <c r="AM2910" s="82"/>
      <c r="AN2910" s="82"/>
      <c r="AO2910" s="82"/>
      <c r="AP2910" s="82"/>
      <c r="AQ2910" s="82"/>
      <c r="AR2910" s="82"/>
      <c r="AS2910" s="82"/>
      <c r="AT2910" s="82"/>
      <c r="AU2910" s="82"/>
      <c r="AV2910" s="82"/>
      <c r="AW2910" s="82" t="str">
        <f t="shared" si="1"/>
        <v/>
      </c>
      <c r="AX2910" s="83" t="str">
        <f t="array" ref="AX2910">IFERROR(DGET('SBV Import'!A:G,"SBV",{"RSC ID","Tier";B2910,A2910}))</f>
        <v/>
      </c>
      <c r="AY2910" s="82" t="str">
        <f t="shared" si="2"/>
        <v/>
      </c>
      <c r="AZ2910" s="82"/>
      <c r="BA2910" s="84" t="s">
        <v>152</v>
      </c>
      <c r="BB2910" s="84" t="str">
        <f>IFERROR(__xludf.DUMMYFUNCTION("iferror(if(A2910="""",,E2910&gt;=FILTER(Constants!$F$2:$F$10,Constants!$A$2:$A$10=A2910)))"),"")</f>
        <v/>
      </c>
    </row>
    <row r="2911">
      <c r="A2911" s="89"/>
      <c r="B2911" s="87"/>
      <c r="C2911" s="73"/>
      <c r="D2911" s="73"/>
      <c r="E2911" s="82"/>
      <c r="F2911" s="82"/>
      <c r="G2911" s="86"/>
      <c r="H2911" s="86"/>
      <c r="I2911" s="86"/>
      <c r="J2911" s="82"/>
      <c r="K2911" s="82"/>
      <c r="L2911" s="82"/>
      <c r="M2911" s="82"/>
      <c r="N2911" s="82"/>
      <c r="O2911" s="82"/>
      <c r="P2911" s="82"/>
      <c r="Q2911" s="82"/>
      <c r="R2911" s="82"/>
      <c r="S2911" s="82"/>
      <c r="T2911" s="82"/>
      <c r="U2911" s="82"/>
      <c r="V2911" s="82"/>
      <c r="W2911" s="82"/>
      <c r="X2911" s="82"/>
      <c r="Y2911" s="82"/>
      <c r="Z2911" s="82"/>
      <c r="AA2911" s="82"/>
      <c r="AB2911" s="82"/>
      <c r="AC2911" s="82"/>
      <c r="AD2911" s="82"/>
      <c r="AE2911" s="82"/>
      <c r="AF2911" s="82"/>
      <c r="AG2911" s="82"/>
      <c r="AH2911" s="82"/>
      <c r="AI2911" s="82"/>
      <c r="AJ2911" s="82"/>
      <c r="AK2911" s="82"/>
      <c r="AL2911" s="82"/>
      <c r="AM2911" s="82"/>
      <c r="AN2911" s="82"/>
      <c r="AO2911" s="82"/>
      <c r="AP2911" s="82"/>
      <c r="AQ2911" s="82"/>
      <c r="AR2911" s="82"/>
      <c r="AS2911" s="82"/>
      <c r="AT2911" s="82"/>
      <c r="AU2911" s="82"/>
      <c r="AV2911" s="82"/>
      <c r="AW2911" s="82" t="str">
        <f t="shared" si="1"/>
        <v/>
      </c>
      <c r="AX2911" s="83" t="str">
        <f t="array" ref="AX2911">IFERROR(DGET('SBV Import'!A:G,"SBV",{"RSC ID","Tier";B2911,A2911}))</f>
        <v/>
      </c>
      <c r="AY2911" s="82" t="str">
        <f t="shared" si="2"/>
        <v/>
      </c>
      <c r="AZ2911" s="82"/>
      <c r="BA2911" s="84" t="s">
        <v>152</v>
      </c>
      <c r="BB2911" s="84" t="str">
        <f>IFERROR(__xludf.DUMMYFUNCTION("iferror(if(A2911="""",,E2911&gt;=FILTER(Constants!$F$2:$F$10,Constants!$A$2:$A$10=A2911)))"),"")</f>
        <v/>
      </c>
    </row>
    <row r="2912">
      <c r="A2912" s="89"/>
      <c r="B2912" s="87"/>
      <c r="C2912" s="73"/>
      <c r="D2912" s="73"/>
      <c r="E2912" s="82"/>
      <c r="F2912" s="82"/>
      <c r="G2912" s="86"/>
      <c r="H2912" s="86"/>
      <c r="I2912" s="86"/>
      <c r="J2912" s="82"/>
      <c r="K2912" s="82"/>
      <c r="L2912" s="82"/>
      <c r="M2912" s="82"/>
      <c r="N2912" s="82"/>
      <c r="O2912" s="82"/>
      <c r="P2912" s="82"/>
      <c r="Q2912" s="82"/>
      <c r="R2912" s="82"/>
      <c r="S2912" s="82"/>
      <c r="T2912" s="82"/>
      <c r="U2912" s="82"/>
      <c r="V2912" s="82"/>
      <c r="W2912" s="82"/>
      <c r="X2912" s="82"/>
      <c r="Y2912" s="82"/>
      <c r="Z2912" s="82"/>
      <c r="AA2912" s="82"/>
      <c r="AB2912" s="82"/>
      <c r="AC2912" s="82"/>
      <c r="AD2912" s="82"/>
      <c r="AE2912" s="82"/>
      <c r="AF2912" s="82"/>
      <c r="AG2912" s="82"/>
      <c r="AH2912" s="82"/>
      <c r="AI2912" s="82"/>
      <c r="AJ2912" s="82"/>
      <c r="AK2912" s="82"/>
      <c r="AL2912" s="82"/>
      <c r="AM2912" s="82"/>
      <c r="AN2912" s="82"/>
      <c r="AO2912" s="82"/>
      <c r="AP2912" s="82"/>
      <c r="AQ2912" s="82"/>
      <c r="AR2912" s="82"/>
      <c r="AS2912" s="82"/>
      <c r="AT2912" s="82"/>
      <c r="AU2912" s="82"/>
      <c r="AV2912" s="82"/>
      <c r="AW2912" s="82" t="str">
        <f t="shared" si="1"/>
        <v/>
      </c>
      <c r="AX2912" s="83" t="str">
        <f t="array" ref="AX2912">IFERROR(DGET('SBV Import'!A:G,"SBV",{"RSC ID","Tier";B2912,A2912}))</f>
        <v/>
      </c>
      <c r="AY2912" s="82" t="str">
        <f t="shared" si="2"/>
        <v/>
      </c>
      <c r="AZ2912" s="82"/>
      <c r="BA2912" s="84" t="s">
        <v>152</v>
      </c>
      <c r="BB2912" s="84" t="str">
        <f>IFERROR(__xludf.DUMMYFUNCTION("iferror(if(A2912="""",,E2912&gt;=FILTER(Constants!$F$2:$F$10,Constants!$A$2:$A$10=A2912)))"),"")</f>
        <v/>
      </c>
    </row>
    <row r="2913">
      <c r="A2913" s="89"/>
      <c r="B2913" s="87"/>
      <c r="C2913" s="73"/>
      <c r="D2913" s="73"/>
      <c r="E2913" s="82"/>
      <c r="F2913" s="82"/>
      <c r="G2913" s="86"/>
      <c r="H2913" s="86"/>
      <c r="I2913" s="86"/>
      <c r="J2913" s="82"/>
      <c r="K2913" s="82"/>
      <c r="L2913" s="82"/>
      <c r="M2913" s="82"/>
      <c r="N2913" s="82"/>
      <c r="O2913" s="82"/>
      <c r="P2913" s="82"/>
      <c r="Q2913" s="82"/>
      <c r="R2913" s="82"/>
      <c r="S2913" s="82"/>
      <c r="T2913" s="82"/>
      <c r="U2913" s="82"/>
      <c r="V2913" s="82"/>
      <c r="W2913" s="82"/>
      <c r="X2913" s="82"/>
      <c r="Y2913" s="82"/>
      <c r="Z2913" s="82"/>
      <c r="AA2913" s="82"/>
      <c r="AB2913" s="82"/>
      <c r="AC2913" s="82"/>
      <c r="AD2913" s="82"/>
      <c r="AE2913" s="82"/>
      <c r="AF2913" s="82"/>
      <c r="AG2913" s="82"/>
      <c r="AH2913" s="82"/>
      <c r="AI2913" s="82"/>
      <c r="AJ2913" s="82"/>
      <c r="AK2913" s="82"/>
      <c r="AL2913" s="82"/>
      <c r="AM2913" s="82"/>
      <c r="AN2913" s="82"/>
      <c r="AO2913" s="82"/>
      <c r="AP2913" s="82"/>
      <c r="AQ2913" s="82"/>
      <c r="AR2913" s="82"/>
      <c r="AS2913" s="82"/>
      <c r="AT2913" s="82"/>
      <c r="AU2913" s="82"/>
      <c r="AV2913" s="82"/>
      <c r="AW2913" s="82" t="str">
        <f t="shared" si="1"/>
        <v/>
      </c>
      <c r="AX2913" s="83" t="str">
        <f t="array" ref="AX2913">IFERROR(DGET('SBV Import'!A:G,"SBV",{"RSC ID","Tier";B2913,A2913}))</f>
        <v/>
      </c>
      <c r="AY2913" s="82" t="str">
        <f t="shared" si="2"/>
        <v/>
      </c>
      <c r="AZ2913" s="82"/>
      <c r="BA2913" s="84" t="s">
        <v>152</v>
      </c>
      <c r="BB2913" s="84" t="str">
        <f>IFERROR(__xludf.DUMMYFUNCTION("iferror(if(A2913="""",,E2913&gt;=FILTER(Constants!$F$2:$F$10,Constants!$A$2:$A$10=A2913)))"),"")</f>
        <v/>
      </c>
    </row>
    <row r="2914">
      <c r="A2914" s="89"/>
      <c r="B2914" s="87"/>
      <c r="C2914" s="73"/>
      <c r="D2914" s="73"/>
      <c r="E2914" s="82"/>
      <c r="F2914" s="82"/>
      <c r="G2914" s="86"/>
      <c r="H2914" s="86"/>
      <c r="I2914" s="86"/>
      <c r="J2914" s="82"/>
      <c r="K2914" s="82"/>
      <c r="L2914" s="82"/>
      <c r="M2914" s="82"/>
      <c r="N2914" s="82"/>
      <c r="O2914" s="82"/>
      <c r="P2914" s="82"/>
      <c r="Q2914" s="82"/>
      <c r="R2914" s="82"/>
      <c r="S2914" s="82"/>
      <c r="T2914" s="82"/>
      <c r="U2914" s="82"/>
      <c r="V2914" s="82"/>
      <c r="W2914" s="82"/>
      <c r="X2914" s="82"/>
      <c r="Y2914" s="82"/>
      <c r="Z2914" s="82"/>
      <c r="AA2914" s="82"/>
      <c r="AB2914" s="82"/>
      <c r="AC2914" s="82"/>
      <c r="AD2914" s="82"/>
      <c r="AE2914" s="82"/>
      <c r="AF2914" s="82"/>
      <c r="AG2914" s="82"/>
      <c r="AH2914" s="82"/>
      <c r="AI2914" s="82"/>
      <c r="AJ2914" s="82"/>
      <c r="AK2914" s="82"/>
      <c r="AL2914" s="82"/>
      <c r="AM2914" s="82"/>
      <c r="AN2914" s="82"/>
      <c r="AO2914" s="82"/>
      <c r="AP2914" s="82"/>
      <c r="AQ2914" s="82"/>
      <c r="AR2914" s="82"/>
      <c r="AS2914" s="82"/>
      <c r="AT2914" s="82"/>
      <c r="AU2914" s="82"/>
      <c r="AV2914" s="82"/>
      <c r="AW2914" s="82" t="str">
        <f t="shared" si="1"/>
        <v/>
      </c>
      <c r="AX2914" s="83" t="str">
        <f t="array" ref="AX2914">IFERROR(DGET('SBV Import'!A:G,"SBV",{"RSC ID","Tier";B2914,A2914}))</f>
        <v/>
      </c>
      <c r="AY2914" s="82" t="str">
        <f t="shared" si="2"/>
        <v/>
      </c>
      <c r="AZ2914" s="82"/>
      <c r="BA2914" s="84" t="s">
        <v>152</v>
      </c>
      <c r="BB2914" s="84" t="str">
        <f>IFERROR(__xludf.DUMMYFUNCTION("iferror(if(A2914="""",,E2914&gt;=FILTER(Constants!$F$2:$F$10,Constants!$A$2:$A$10=A2914)))"),"")</f>
        <v/>
      </c>
    </row>
    <row r="2915">
      <c r="A2915" s="89"/>
      <c r="B2915" s="87"/>
      <c r="C2915" s="73"/>
      <c r="D2915" s="73"/>
      <c r="E2915" s="82"/>
      <c r="F2915" s="82"/>
      <c r="G2915" s="86"/>
      <c r="H2915" s="86"/>
      <c r="I2915" s="86"/>
      <c r="J2915" s="82"/>
      <c r="K2915" s="82"/>
      <c r="L2915" s="82"/>
      <c r="M2915" s="82"/>
      <c r="N2915" s="82"/>
      <c r="O2915" s="82"/>
      <c r="P2915" s="82"/>
      <c r="Q2915" s="82"/>
      <c r="R2915" s="82"/>
      <c r="S2915" s="82"/>
      <c r="T2915" s="82"/>
      <c r="U2915" s="82"/>
      <c r="V2915" s="82"/>
      <c r="W2915" s="82"/>
      <c r="X2915" s="82"/>
      <c r="Y2915" s="82"/>
      <c r="Z2915" s="82"/>
      <c r="AA2915" s="82"/>
      <c r="AB2915" s="82"/>
      <c r="AC2915" s="82"/>
      <c r="AD2915" s="82"/>
      <c r="AE2915" s="82"/>
      <c r="AF2915" s="82"/>
      <c r="AG2915" s="82"/>
      <c r="AH2915" s="82"/>
      <c r="AI2915" s="82"/>
      <c r="AJ2915" s="82"/>
      <c r="AK2915" s="82"/>
      <c r="AL2915" s="82"/>
      <c r="AM2915" s="82"/>
      <c r="AN2915" s="82"/>
      <c r="AO2915" s="82"/>
      <c r="AP2915" s="82"/>
      <c r="AQ2915" s="82"/>
      <c r="AR2915" s="82"/>
      <c r="AS2915" s="82"/>
      <c r="AT2915" s="82"/>
      <c r="AU2915" s="82"/>
      <c r="AV2915" s="82"/>
      <c r="AW2915" s="82" t="str">
        <f t="shared" si="1"/>
        <v/>
      </c>
      <c r="AX2915" s="83" t="str">
        <f t="array" ref="AX2915">IFERROR(DGET('SBV Import'!A:G,"SBV",{"RSC ID","Tier";B2915,A2915}))</f>
        <v/>
      </c>
      <c r="AY2915" s="82" t="str">
        <f t="shared" si="2"/>
        <v/>
      </c>
      <c r="AZ2915" s="82"/>
      <c r="BA2915" s="84" t="s">
        <v>152</v>
      </c>
      <c r="BB2915" s="84" t="str">
        <f>IFERROR(__xludf.DUMMYFUNCTION("iferror(if(A2915="""",,E2915&gt;=FILTER(Constants!$F$2:$F$10,Constants!$A$2:$A$10=A2915)))"),"")</f>
        <v/>
      </c>
    </row>
    <row r="2916">
      <c r="A2916" s="89"/>
      <c r="B2916" s="87"/>
      <c r="C2916" s="73"/>
      <c r="D2916" s="73"/>
      <c r="E2916" s="82"/>
      <c r="F2916" s="82"/>
      <c r="G2916" s="86"/>
      <c r="H2916" s="86"/>
      <c r="I2916" s="86"/>
      <c r="J2916" s="82"/>
      <c r="K2916" s="82"/>
      <c r="L2916" s="82"/>
      <c r="M2916" s="82"/>
      <c r="N2916" s="82"/>
      <c r="O2916" s="82"/>
      <c r="P2916" s="82"/>
      <c r="Q2916" s="82"/>
      <c r="R2916" s="82"/>
      <c r="S2916" s="82"/>
      <c r="T2916" s="82"/>
      <c r="U2916" s="82"/>
      <c r="V2916" s="82"/>
      <c r="W2916" s="82"/>
      <c r="X2916" s="82"/>
      <c r="Y2916" s="82"/>
      <c r="Z2916" s="82"/>
      <c r="AA2916" s="82"/>
      <c r="AB2916" s="82"/>
      <c r="AC2916" s="82"/>
      <c r="AD2916" s="82"/>
      <c r="AE2916" s="82"/>
      <c r="AF2916" s="82"/>
      <c r="AG2916" s="82"/>
      <c r="AH2916" s="82"/>
      <c r="AI2916" s="82"/>
      <c r="AJ2916" s="82"/>
      <c r="AK2916" s="82"/>
      <c r="AL2916" s="82"/>
      <c r="AM2916" s="82"/>
      <c r="AN2916" s="82"/>
      <c r="AO2916" s="82"/>
      <c r="AP2916" s="82"/>
      <c r="AQ2916" s="82"/>
      <c r="AR2916" s="82"/>
      <c r="AS2916" s="82"/>
      <c r="AT2916" s="82"/>
      <c r="AU2916" s="82"/>
      <c r="AV2916" s="82"/>
      <c r="AW2916" s="82" t="str">
        <f t="shared" si="1"/>
        <v/>
      </c>
      <c r="AX2916" s="83" t="str">
        <f t="array" ref="AX2916">IFERROR(DGET('SBV Import'!A:G,"SBV",{"RSC ID","Tier";B2916,A2916}))</f>
        <v/>
      </c>
      <c r="AY2916" s="82" t="str">
        <f t="shared" si="2"/>
        <v/>
      </c>
      <c r="AZ2916" s="82"/>
      <c r="BA2916" s="84" t="s">
        <v>152</v>
      </c>
      <c r="BB2916" s="84" t="str">
        <f>IFERROR(__xludf.DUMMYFUNCTION("iferror(if(A2916="""",,E2916&gt;=FILTER(Constants!$F$2:$F$10,Constants!$A$2:$A$10=A2916)))"),"")</f>
        <v/>
      </c>
    </row>
    <row r="2917">
      <c r="A2917" s="89"/>
      <c r="B2917" s="87"/>
      <c r="C2917" s="73"/>
      <c r="D2917" s="73"/>
      <c r="E2917" s="82"/>
      <c r="F2917" s="82"/>
      <c r="G2917" s="86"/>
      <c r="H2917" s="86"/>
      <c r="I2917" s="86"/>
      <c r="J2917" s="82"/>
      <c r="K2917" s="82"/>
      <c r="L2917" s="82"/>
      <c r="M2917" s="82"/>
      <c r="N2917" s="82"/>
      <c r="O2917" s="82"/>
      <c r="P2917" s="82"/>
      <c r="Q2917" s="82"/>
      <c r="R2917" s="82"/>
      <c r="S2917" s="82"/>
      <c r="T2917" s="82"/>
      <c r="U2917" s="82"/>
      <c r="V2917" s="82"/>
      <c r="W2917" s="82"/>
      <c r="X2917" s="82"/>
      <c r="Y2917" s="82"/>
      <c r="Z2917" s="82"/>
      <c r="AA2917" s="82"/>
      <c r="AB2917" s="82"/>
      <c r="AC2917" s="82"/>
      <c r="AD2917" s="82"/>
      <c r="AE2917" s="82"/>
      <c r="AF2917" s="82"/>
      <c r="AG2917" s="82"/>
      <c r="AH2917" s="82"/>
      <c r="AI2917" s="82"/>
      <c r="AJ2917" s="82"/>
      <c r="AK2917" s="82"/>
      <c r="AL2917" s="82"/>
      <c r="AM2917" s="82"/>
      <c r="AN2917" s="82"/>
      <c r="AO2917" s="82"/>
      <c r="AP2917" s="82"/>
      <c r="AQ2917" s="82"/>
      <c r="AR2917" s="82"/>
      <c r="AS2917" s="82"/>
      <c r="AT2917" s="82"/>
      <c r="AU2917" s="82"/>
      <c r="AV2917" s="82"/>
      <c r="AW2917" s="82" t="str">
        <f t="shared" si="1"/>
        <v/>
      </c>
      <c r="AX2917" s="83" t="str">
        <f t="array" ref="AX2917">IFERROR(DGET('SBV Import'!A:G,"SBV",{"RSC ID","Tier";B2917,A2917}))</f>
        <v/>
      </c>
      <c r="AY2917" s="82" t="str">
        <f t="shared" si="2"/>
        <v/>
      </c>
      <c r="AZ2917" s="82"/>
      <c r="BA2917" s="84" t="s">
        <v>152</v>
      </c>
      <c r="BB2917" s="84" t="str">
        <f>IFERROR(__xludf.DUMMYFUNCTION("iferror(if(A2917="""",,E2917&gt;=FILTER(Constants!$F$2:$F$10,Constants!$A$2:$A$10=A2917)))"),"")</f>
        <v/>
      </c>
    </row>
    <row r="2918">
      <c r="A2918" s="89"/>
      <c r="B2918" s="87"/>
      <c r="C2918" s="73"/>
      <c r="D2918" s="73"/>
      <c r="E2918" s="82"/>
      <c r="F2918" s="82"/>
      <c r="G2918" s="86"/>
      <c r="H2918" s="86"/>
      <c r="I2918" s="86"/>
      <c r="J2918" s="82"/>
      <c r="K2918" s="82"/>
      <c r="L2918" s="82"/>
      <c r="M2918" s="82"/>
      <c r="N2918" s="82"/>
      <c r="O2918" s="82"/>
      <c r="P2918" s="82"/>
      <c r="Q2918" s="82"/>
      <c r="R2918" s="82"/>
      <c r="S2918" s="82"/>
      <c r="T2918" s="82"/>
      <c r="U2918" s="82"/>
      <c r="V2918" s="82"/>
      <c r="W2918" s="82"/>
      <c r="X2918" s="82"/>
      <c r="Y2918" s="82"/>
      <c r="Z2918" s="82"/>
      <c r="AA2918" s="82"/>
      <c r="AB2918" s="82"/>
      <c r="AC2918" s="82"/>
      <c r="AD2918" s="82"/>
      <c r="AE2918" s="82"/>
      <c r="AF2918" s="82"/>
      <c r="AG2918" s="82"/>
      <c r="AH2918" s="82"/>
      <c r="AI2918" s="82"/>
      <c r="AJ2918" s="82"/>
      <c r="AK2918" s="82"/>
      <c r="AL2918" s="82"/>
      <c r="AM2918" s="82"/>
      <c r="AN2918" s="82"/>
      <c r="AO2918" s="82"/>
      <c r="AP2918" s="82"/>
      <c r="AQ2918" s="82"/>
      <c r="AR2918" s="82"/>
      <c r="AS2918" s="82"/>
      <c r="AT2918" s="82"/>
      <c r="AU2918" s="82"/>
      <c r="AV2918" s="82"/>
      <c r="AW2918" s="82" t="str">
        <f t="shared" si="1"/>
        <v/>
      </c>
      <c r="AX2918" s="83" t="str">
        <f t="array" ref="AX2918">IFERROR(DGET('SBV Import'!A:G,"SBV",{"RSC ID","Tier";B2918,A2918}))</f>
        <v/>
      </c>
      <c r="AY2918" s="82" t="str">
        <f t="shared" si="2"/>
        <v/>
      </c>
      <c r="AZ2918" s="82"/>
      <c r="BA2918" s="84" t="s">
        <v>152</v>
      </c>
      <c r="BB2918" s="84" t="str">
        <f>IFERROR(__xludf.DUMMYFUNCTION("iferror(if(A2918="""",,E2918&gt;=FILTER(Constants!$F$2:$F$10,Constants!$A$2:$A$10=A2918)))"),"")</f>
        <v/>
      </c>
    </row>
    <row r="2919">
      <c r="A2919" s="89"/>
      <c r="B2919" s="87"/>
      <c r="C2919" s="73"/>
      <c r="D2919" s="73"/>
      <c r="E2919" s="82"/>
      <c r="F2919" s="82"/>
      <c r="G2919" s="86"/>
      <c r="H2919" s="86"/>
      <c r="I2919" s="86"/>
      <c r="J2919" s="82"/>
      <c r="K2919" s="82"/>
      <c r="L2919" s="82"/>
      <c r="M2919" s="82"/>
      <c r="N2919" s="82"/>
      <c r="O2919" s="82"/>
      <c r="P2919" s="82"/>
      <c r="Q2919" s="82"/>
      <c r="R2919" s="82"/>
      <c r="S2919" s="82"/>
      <c r="T2919" s="82"/>
      <c r="U2919" s="82"/>
      <c r="V2919" s="82"/>
      <c r="W2919" s="82"/>
      <c r="X2919" s="82"/>
      <c r="Y2919" s="82"/>
      <c r="Z2919" s="82"/>
      <c r="AA2919" s="82"/>
      <c r="AB2919" s="82"/>
      <c r="AC2919" s="82"/>
      <c r="AD2919" s="82"/>
      <c r="AE2919" s="82"/>
      <c r="AF2919" s="82"/>
      <c r="AG2919" s="82"/>
      <c r="AH2919" s="82"/>
      <c r="AI2919" s="82"/>
      <c r="AJ2919" s="82"/>
      <c r="AK2919" s="82"/>
      <c r="AL2919" s="82"/>
      <c r="AM2919" s="82"/>
      <c r="AN2919" s="82"/>
      <c r="AO2919" s="82"/>
      <c r="AP2919" s="82"/>
      <c r="AQ2919" s="82"/>
      <c r="AR2919" s="82"/>
      <c r="AS2919" s="82"/>
      <c r="AT2919" s="82"/>
      <c r="AU2919" s="82"/>
      <c r="AV2919" s="82"/>
      <c r="AW2919" s="82" t="str">
        <f t="shared" si="1"/>
        <v/>
      </c>
      <c r="AX2919" s="83" t="str">
        <f t="array" ref="AX2919">IFERROR(DGET('SBV Import'!A:G,"SBV",{"RSC ID","Tier";B2919,A2919}))</f>
        <v/>
      </c>
      <c r="AY2919" s="82" t="str">
        <f t="shared" si="2"/>
        <v/>
      </c>
      <c r="AZ2919" s="82"/>
      <c r="BA2919" s="84" t="s">
        <v>152</v>
      </c>
      <c r="BB2919" s="84" t="str">
        <f>IFERROR(__xludf.DUMMYFUNCTION("iferror(if(A2919="""",,E2919&gt;=FILTER(Constants!$F$2:$F$10,Constants!$A$2:$A$10=A2919)))"),"")</f>
        <v/>
      </c>
    </row>
    <row r="2920">
      <c r="A2920" s="89"/>
      <c r="B2920" s="87"/>
      <c r="C2920" s="73"/>
      <c r="D2920" s="73"/>
      <c r="E2920" s="82"/>
      <c r="F2920" s="82"/>
      <c r="G2920" s="86"/>
      <c r="H2920" s="86"/>
      <c r="I2920" s="86"/>
      <c r="J2920" s="82"/>
      <c r="K2920" s="82"/>
      <c r="L2920" s="82"/>
      <c r="M2920" s="82"/>
      <c r="N2920" s="82"/>
      <c r="O2920" s="82"/>
      <c r="P2920" s="82"/>
      <c r="Q2920" s="82"/>
      <c r="R2920" s="82"/>
      <c r="S2920" s="82"/>
      <c r="T2920" s="82"/>
      <c r="U2920" s="82"/>
      <c r="V2920" s="82"/>
      <c r="W2920" s="82"/>
      <c r="X2920" s="82"/>
      <c r="Y2920" s="82"/>
      <c r="Z2920" s="82"/>
      <c r="AA2920" s="82"/>
      <c r="AB2920" s="82"/>
      <c r="AC2920" s="82"/>
      <c r="AD2920" s="82"/>
      <c r="AE2920" s="82"/>
      <c r="AF2920" s="82"/>
      <c r="AG2920" s="82"/>
      <c r="AH2920" s="82"/>
      <c r="AI2920" s="82"/>
      <c r="AJ2920" s="82"/>
      <c r="AK2920" s="82"/>
      <c r="AL2920" s="82"/>
      <c r="AM2920" s="82"/>
      <c r="AN2920" s="82"/>
      <c r="AO2920" s="82"/>
      <c r="AP2920" s="82"/>
      <c r="AQ2920" s="82"/>
      <c r="AR2920" s="82"/>
      <c r="AS2920" s="82"/>
      <c r="AT2920" s="82"/>
      <c r="AU2920" s="82"/>
      <c r="AV2920" s="82"/>
      <c r="AW2920" s="82" t="str">
        <f t="shared" si="1"/>
        <v/>
      </c>
      <c r="AX2920" s="83" t="str">
        <f t="array" ref="AX2920">IFERROR(DGET('SBV Import'!A:G,"SBV",{"RSC ID","Tier";B2920,A2920}))</f>
        <v/>
      </c>
      <c r="AY2920" s="82" t="str">
        <f t="shared" si="2"/>
        <v/>
      </c>
      <c r="AZ2920" s="82"/>
      <c r="BA2920" s="84" t="s">
        <v>152</v>
      </c>
      <c r="BB2920" s="84" t="str">
        <f>IFERROR(__xludf.DUMMYFUNCTION("iferror(if(A2920="""",,E2920&gt;=FILTER(Constants!$F$2:$F$10,Constants!$A$2:$A$10=A2920)))"),"")</f>
        <v/>
      </c>
    </row>
    <row r="2921">
      <c r="A2921" s="89"/>
      <c r="B2921" s="87"/>
      <c r="C2921" s="73"/>
      <c r="D2921" s="73"/>
      <c r="E2921" s="82"/>
      <c r="F2921" s="82"/>
      <c r="G2921" s="86"/>
      <c r="H2921" s="86"/>
      <c r="I2921" s="86"/>
      <c r="J2921" s="82"/>
      <c r="K2921" s="82"/>
      <c r="L2921" s="82"/>
      <c r="M2921" s="82"/>
      <c r="N2921" s="82"/>
      <c r="O2921" s="82"/>
      <c r="P2921" s="82"/>
      <c r="Q2921" s="82"/>
      <c r="R2921" s="82"/>
      <c r="S2921" s="82"/>
      <c r="T2921" s="82"/>
      <c r="U2921" s="82"/>
      <c r="V2921" s="82"/>
      <c r="W2921" s="82"/>
      <c r="X2921" s="82"/>
      <c r="Y2921" s="82"/>
      <c r="Z2921" s="82"/>
      <c r="AA2921" s="82"/>
      <c r="AB2921" s="82"/>
      <c r="AC2921" s="82"/>
      <c r="AD2921" s="82"/>
      <c r="AE2921" s="82"/>
      <c r="AF2921" s="82"/>
      <c r="AG2921" s="82"/>
      <c r="AH2921" s="82"/>
      <c r="AI2921" s="82"/>
      <c r="AJ2921" s="82"/>
      <c r="AK2921" s="82"/>
      <c r="AL2921" s="82"/>
      <c r="AM2921" s="82"/>
      <c r="AN2921" s="82"/>
      <c r="AO2921" s="82"/>
      <c r="AP2921" s="82"/>
      <c r="AQ2921" s="82"/>
      <c r="AR2921" s="82"/>
      <c r="AS2921" s="82"/>
      <c r="AT2921" s="82"/>
      <c r="AU2921" s="82"/>
      <c r="AV2921" s="82"/>
      <c r="AW2921" s="82" t="str">
        <f t="shared" si="1"/>
        <v/>
      </c>
      <c r="AX2921" s="83" t="str">
        <f t="array" ref="AX2921">IFERROR(DGET('SBV Import'!A:G,"SBV",{"RSC ID","Tier";B2921,A2921}))</f>
        <v/>
      </c>
      <c r="AY2921" s="82" t="str">
        <f t="shared" si="2"/>
        <v/>
      </c>
      <c r="AZ2921" s="82"/>
      <c r="BA2921" s="84" t="s">
        <v>152</v>
      </c>
      <c r="BB2921" s="84" t="str">
        <f>IFERROR(__xludf.DUMMYFUNCTION("iferror(if(A2921="""",,E2921&gt;=FILTER(Constants!$F$2:$F$10,Constants!$A$2:$A$10=A2921)))"),"")</f>
        <v/>
      </c>
    </row>
    <row r="2922">
      <c r="A2922" s="89"/>
      <c r="B2922" s="87"/>
      <c r="C2922" s="73"/>
      <c r="D2922" s="73"/>
      <c r="E2922" s="82"/>
      <c r="F2922" s="82"/>
      <c r="G2922" s="86"/>
      <c r="H2922" s="86"/>
      <c r="I2922" s="86"/>
      <c r="J2922" s="82"/>
      <c r="K2922" s="82"/>
      <c r="L2922" s="82"/>
      <c r="M2922" s="82"/>
      <c r="N2922" s="82"/>
      <c r="O2922" s="82"/>
      <c r="P2922" s="82"/>
      <c r="Q2922" s="82"/>
      <c r="R2922" s="82"/>
      <c r="S2922" s="82"/>
      <c r="T2922" s="82"/>
      <c r="U2922" s="82"/>
      <c r="V2922" s="82"/>
      <c r="W2922" s="82"/>
      <c r="X2922" s="82"/>
      <c r="Y2922" s="82"/>
      <c r="Z2922" s="82"/>
      <c r="AA2922" s="82"/>
      <c r="AB2922" s="82"/>
      <c r="AC2922" s="82"/>
      <c r="AD2922" s="82"/>
      <c r="AE2922" s="82"/>
      <c r="AF2922" s="82"/>
      <c r="AG2922" s="82"/>
      <c r="AH2922" s="82"/>
      <c r="AI2922" s="82"/>
      <c r="AJ2922" s="82"/>
      <c r="AK2922" s="82"/>
      <c r="AL2922" s="82"/>
      <c r="AM2922" s="82"/>
      <c r="AN2922" s="82"/>
      <c r="AO2922" s="82"/>
      <c r="AP2922" s="82"/>
      <c r="AQ2922" s="82"/>
      <c r="AR2922" s="82"/>
      <c r="AS2922" s="82"/>
      <c r="AT2922" s="82"/>
      <c r="AU2922" s="82"/>
      <c r="AV2922" s="82"/>
      <c r="AW2922" s="82" t="str">
        <f t="shared" si="1"/>
        <v/>
      </c>
      <c r="AX2922" s="83" t="str">
        <f t="array" ref="AX2922">IFERROR(DGET('SBV Import'!A:G,"SBV",{"RSC ID","Tier";B2922,A2922}))</f>
        <v/>
      </c>
      <c r="AY2922" s="82" t="str">
        <f t="shared" si="2"/>
        <v/>
      </c>
      <c r="AZ2922" s="82"/>
      <c r="BA2922" s="84" t="s">
        <v>152</v>
      </c>
      <c r="BB2922" s="84" t="str">
        <f>IFERROR(__xludf.DUMMYFUNCTION("iferror(if(A2922="""",,E2922&gt;=FILTER(Constants!$F$2:$F$10,Constants!$A$2:$A$10=A2922)))"),"")</f>
        <v/>
      </c>
    </row>
    <row r="2923">
      <c r="A2923" s="89"/>
      <c r="B2923" s="87"/>
      <c r="C2923" s="73"/>
      <c r="D2923" s="73"/>
      <c r="E2923" s="82"/>
      <c r="F2923" s="82"/>
      <c r="G2923" s="86"/>
      <c r="H2923" s="86"/>
      <c r="I2923" s="86"/>
      <c r="J2923" s="82"/>
      <c r="K2923" s="82"/>
      <c r="L2923" s="82"/>
      <c r="M2923" s="82"/>
      <c r="N2923" s="82"/>
      <c r="O2923" s="82"/>
      <c r="P2923" s="82"/>
      <c r="Q2923" s="82"/>
      <c r="R2923" s="82"/>
      <c r="S2923" s="82"/>
      <c r="T2923" s="82"/>
      <c r="U2923" s="82"/>
      <c r="V2923" s="82"/>
      <c r="W2923" s="82"/>
      <c r="X2923" s="82"/>
      <c r="Y2923" s="82"/>
      <c r="Z2923" s="82"/>
      <c r="AA2923" s="82"/>
      <c r="AB2923" s="82"/>
      <c r="AC2923" s="82"/>
      <c r="AD2923" s="82"/>
      <c r="AE2923" s="82"/>
      <c r="AF2923" s="82"/>
      <c r="AG2923" s="82"/>
      <c r="AH2923" s="82"/>
      <c r="AI2923" s="82"/>
      <c r="AJ2923" s="82"/>
      <c r="AK2923" s="82"/>
      <c r="AL2923" s="82"/>
      <c r="AM2923" s="82"/>
      <c r="AN2923" s="82"/>
      <c r="AO2923" s="82"/>
      <c r="AP2923" s="82"/>
      <c r="AQ2923" s="82"/>
      <c r="AR2923" s="82"/>
      <c r="AS2923" s="82"/>
      <c r="AT2923" s="82"/>
      <c r="AU2923" s="82"/>
      <c r="AV2923" s="82"/>
      <c r="AW2923" s="82" t="str">
        <f t="shared" si="1"/>
        <v/>
      </c>
      <c r="AX2923" s="83" t="str">
        <f t="array" ref="AX2923">IFERROR(DGET('SBV Import'!A:G,"SBV",{"RSC ID","Tier";B2923,A2923}))</f>
        <v/>
      </c>
      <c r="AY2923" s="82" t="str">
        <f t="shared" si="2"/>
        <v/>
      </c>
      <c r="AZ2923" s="82"/>
      <c r="BA2923" s="84" t="s">
        <v>152</v>
      </c>
      <c r="BB2923" s="84" t="str">
        <f>IFERROR(__xludf.DUMMYFUNCTION("iferror(if(A2923="""",,E2923&gt;=FILTER(Constants!$F$2:$F$10,Constants!$A$2:$A$10=A2923)))"),"")</f>
        <v/>
      </c>
    </row>
    <row r="2924">
      <c r="A2924" s="89"/>
      <c r="B2924" s="87"/>
      <c r="C2924" s="73"/>
      <c r="D2924" s="73"/>
      <c r="E2924" s="82"/>
      <c r="F2924" s="82"/>
      <c r="G2924" s="86"/>
      <c r="H2924" s="86"/>
      <c r="I2924" s="86"/>
      <c r="J2924" s="82"/>
      <c r="K2924" s="82"/>
      <c r="L2924" s="82"/>
      <c r="M2924" s="82"/>
      <c r="N2924" s="82"/>
      <c r="O2924" s="82"/>
      <c r="P2924" s="82"/>
      <c r="Q2924" s="82"/>
      <c r="R2924" s="82"/>
      <c r="S2924" s="82"/>
      <c r="T2924" s="82"/>
      <c r="U2924" s="82"/>
      <c r="V2924" s="82"/>
      <c r="W2924" s="82"/>
      <c r="X2924" s="82"/>
      <c r="Y2924" s="82"/>
      <c r="Z2924" s="82"/>
      <c r="AA2924" s="82"/>
      <c r="AB2924" s="82"/>
      <c r="AC2924" s="82"/>
      <c r="AD2924" s="82"/>
      <c r="AE2924" s="82"/>
      <c r="AF2924" s="82"/>
      <c r="AG2924" s="82"/>
      <c r="AH2924" s="82"/>
      <c r="AI2924" s="82"/>
      <c r="AJ2924" s="82"/>
      <c r="AK2924" s="82"/>
      <c r="AL2924" s="82"/>
      <c r="AM2924" s="82"/>
      <c r="AN2924" s="82"/>
      <c r="AO2924" s="82"/>
      <c r="AP2924" s="82"/>
      <c r="AQ2924" s="82"/>
      <c r="AR2924" s="82"/>
      <c r="AS2924" s="82"/>
      <c r="AT2924" s="82"/>
      <c r="AU2924" s="82"/>
      <c r="AV2924" s="82"/>
      <c r="AW2924" s="82" t="str">
        <f t="shared" si="1"/>
        <v/>
      </c>
      <c r="AX2924" s="83" t="str">
        <f t="array" ref="AX2924">IFERROR(DGET('SBV Import'!A:G,"SBV",{"RSC ID","Tier";B2924,A2924}))</f>
        <v/>
      </c>
      <c r="AY2924" s="82" t="str">
        <f t="shared" si="2"/>
        <v/>
      </c>
      <c r="AZ2924" s="82"/>
      <c r="BA2924" s="84" t="s">
        <v>152</v>
      </c>
      <c r="BB2924" s="84" t="str">
        <f>IFERROR(__xludf.DUMMYFUNCTION("iferror(if(A2924="""",,E2924&gt;=FILTER(Constants!$F$2:$F$10,Constants!$A$2:$A$10=A2924)))"),"")</f>
        <v/>
      </c>
    </row>
    <row r="2925">
      <c r="A2925" s="89"/>
      <c r="B2925" s="87"/>
      <c r="C2925" s="73"/>
      <c r="D2925" s="73"/>
      <c r="E2925" s="82"/>
      <c r="F2925" s="82"/>
      <c r="G2925" s="86"/>
      <c r="H2925" s="86"/>
      <c r="I2925" s="86"/>
      <c r="J2925" s="82"/>
      <c r="K2925" s="82"/>
      <c r="L2925" s="82"/>
      <c r="M2925" s="82"/>
      <c r="N2925" s="82"/>
      <c r="O2925" s="82"/>
      <c r="P2925" s="82"/>
      <c r="Q2925" s="82"/>
      <c r="R2925" s="82"/>
      <c r="S2925" s="82"/>
      <c r="T2925" s="82"/>
      <c r="U2925" s="82"/>
      <c r="V2925" s="82"/>
      <c r="W2925" s="82"/>
      <c r="X2925" s="82"/>
      <c r="Y2925" s="82"/>
      <c r="Z2925" s="82"/>
      <c r="AA2925" s="82"/>
      <c r="AB2925" s="82"/>
      <c r="AC2925" s="82"/>
      <c r="AD2925" s="82"/>
      <c r="AE2925" s="82"/>
      <c r="AF2925" s="82"/>
      <c r="AG2925" s="82"/>
      <c r="AH2925" s="82"/>
      <c r="AI2925" s="82"/>
      <c r="AJ2925" s="82"/>
      <c r="AK2925" s="82"/>
      <c r="AL2925" s="82"/>
      <c r="AM2925" s="82"/>
      <c r="AN2925" s="82"/>
      <c r="AO2925" s="82"/>
      <c r="AP2925" s="82"/>
      <c r="AQ2925" s="82"/>
      <c r="AR2925" s="82"/>
      <c r="AS2925" s="82"/>
      <c r="AT2925" s="82"/>
      <c r="AU2925" s="82"/>
      <c r="AV2925" s="82"/>
      <c r="AW2925" s="82" t="str">
        <f t="shared" si="1"/>
        <v/>
      </c>
      <c r="AX2925" s="83" t="str">
        <f t="array" ref="AX2925">IFERROR(DGET('SBV Import'!A:G,"SBV",{"RSC ID","Tier";B2925,A2925}))</f>
        <v/>
      </c>
      <c r="AY2925" s="82" t="str">
        <f t="shared" si="2"/>
        <v/>
      </c>
      <c r="AZ2925" s="82"/>
      <c r="BA2925" s="84" t="s">
        <v>152</v>
      </c>
      <c r="BB2925" s="84" t="str">
        <f>IFERROR(__xludf.DUMMYFUNCTION("iferror(if(A2925="""",,E2925&gt;=FILTER(Constants!$F$2:$F$10,Constants!$A$2:$A$10=A2925)))"),"")</f>
        <v/>
      </c>
    </row>
    <row r="2926">
      <c r="A2926" s="89"/>
      <c r="B2926" s="87"/>
      <c r="C2926" s="73"/>
      <c r="D2926" s="73"/>
      <c r="E2926" s="82"/>
      <c r="F2926" s="82"/>
      <c r="G2926" s="86"/>
      <c r="H2926" s="86"/>
      <c r="I2926" s="86"/>
      <c r="J2926" s="82"/>
      <c r="K2926" s="82"/>
      <c r="L2926" s="82"/>
      <c r="M2926" s="82"/>
      <c r="N2926" s="82"/>
      <c r="O2926" s="82"/>
      <c r="P2926" s="82"/>
      <c r="Q2926" s="82"/>
      <c r="R2926" s="82"/>
      <c r="S2926" s="82"/>
      <c r="T2926" s="82"/>
      <c r="U2926" s="82"/>
      <c r="V2926" s="82"/>
      <c r="W2926" s="82"/>
      <c r="X2926" s="82"/>
      <c r="Y2926" s="82"/>
      <c r="Z2926" s="82"/>
      <c r="AA2926" s="82"/>
      <c r="AB2926" s="82"/>
      <c r="AC2926" s="82"/>
      <c r="AD2926" s="82"/>
      <c r="AE2926" s="82"/>
      <c r="AF2926" s="82"/>
      <c r="AG2926" s="82"/>
      <c r="AH2926" s="82"/>
      <c r="AI2926" s="82"/>
      <c r="AJ2926" s="82"/>
      <c r="AK2926" s="82"/>
      <c r="AL2926" s="82"/>
      <c r="AM2926" s="82"/>
      <c r="AN2926" s="82"/>
      <c r="AO2926" s="82"/>
      <c r="AP2926" s="82"/>
      <c r="AQ2926" s="82"/>
      <c r="AR2926" s="82"/>
      <c r="AS2926" s="82"/>
      <c r="AT2926" s="82"/>
      <c r="AU2926" s="82"/>
      <c r="AV2926" s="82"/>
      <c r="AW2926" s="82" t="str">
        <f t="shared" si="1"/>
        <v/>
      </c>
      <c r="AX2926" s="83" t="str">
        <f t="array" ref="AX2926">IFERROR(DGET('SBV Import'!A:G,"SBV",{"RSC ID","Tier";B2926,A2926}))</f>
        <v/>
      </c>
      <c r="AY2926" s="82" t="str">
        <f t="shared" si="2"/>
        <v/>
      </c>
      <c r="AZ2926" s="82"/>
      <c r="BA2926" s="84" t="s">
        <v>152</v>
      </c>
      <c r="BB2926" s="84" t="str">
        <f>IFERROR(__xludf.DUMMYFUNCTION("iferror(if(A2926="""",,E2926&gt;=FILTER(Constants!$F$2:$F$10,Constants!$A$2:$A$10=A2926)))"),"")</f>
        <v/>
      </c>
    </row>
    <row r="2927">
      <c r="A2927" s="89"/>
      <c r="B2927" s="87"/>
      <c r="C2927" s="73"/>
      <c r="D2927" s="73"/>
      <c r="E2927" s="82"/>
      <c r="F2927" s="82"/>
      <c r="G2927" s="86"/>
      <c r="H2927" s="86"/>
      <c r="I2927" s="86"/>
      <c r="J2927" s="82"/>
      <c r="K2927" s="82"/>
      <c r="L2927" s="82"/>
      <c r="M2927" s="82"/>
      <c r="N2927" s="82"/>
      <c r="O2927" s="82"/>
      <c r="P2927" s="82"/>
      <c r="Q2927" s="82"/>
      <c r="R2927" s="82"/>
      <c r="S2927" s="82"/>
      <c r="T2927" s="82"/>
      <c r="U2927" s="82"/>
      <c r="V2927" s="82"/>
      <c r="W2927" s="82"/>
      <c r="X2927" s="82"/>
      <c r="Y2927" s="82"/>
      <c r="Z2927" s="82"/>
      <c r="AA2927" s="82"/>
      <c r="AB2927" s="82"/>
      <c r="AC2927" s="82"/>
      <c r="AD2927" s="82"/>
      <c r="AE2927" s="82"/>
      <c r="AF2927" s="82"/>
      <c r="AG2927" s="82"/>
      <c r="AH2927" s="82"/>
      <c r="AI2927" s="82"/>
      <c r="AJ2927" s="82"/>
      <c r="AK2927" s="82"/>
      <c r="AL2927" s="82"/>
      <c r="AM2927" s="82"/>
      <c r="AN2927" s="82"/>
      <c r="AO2927" s="82"/>
      <c r="AP2927" s="82"/>
      <c r="AQ2927" s="82"/>
      <c r="AR2927" s="82"/>
      <c r="AS2927" s="82"/>
      <c r="AT2927" s="82"/>
      <c r="AU2927" s="82"/>
      <c r="AV2927" s="82"/>
      <c r="AW2927" s="82" t="str">
        <f t="shared" si="1"/>
        <v/>
      </c>
      <c r="AX2927" s="83" t="str">
        <f t="array" ref="AX2927">IFERROR(DGET('SBV Import'!A:G,"SBV",{"RSC ID","Tier";B2927,A2927}))</f>
        <v/>
      </c>
      <c r="AY2927" s="82" t="str">
        <f t="shared" si="2"/>
        <v/>
      </c>
      <c r="AZ2927" s="82"/>
      <c r="BA2927" s="84" t="s">
        <v>152</v>
      </c>
      <c r="BB2927" s="84" t="str">
        <f>IFERROR(__xludf.DUMMYFUNCTION("iferror(if(A2927="""",,E2927&gt;=FILTER(Constants!$F$2:$F$10,Constants!$A$2:$A$10=A2927)))"),"")</f>
        <v/>
      </c>
    </row>
    <row r="2928">
      <c r="A2928" s="89"/>
      <c r="B2928" s="87"/>
      <c r="C2928" s="73"/>
      <c r="D2928" s="73"/>
      <c r="E2928" s="82"/>
      <c r="F2928" s="82"/>
      <c r="G2928" s="86"/>
      <c r="H2928" s="86"/>
      <c r="I2928" s="86"/>
      <c r="J2928" s="82"/>
      <c r="K2928" s="82"/>
      <c r="L2928" s="82"/>
      <c r="M2928" s="82"/>
      <c r="N2928" s="82"/>
      <c r="O2928" s="82"/>
      <c r="P2928" s="82"/>
      <c r="Q2928" s="82"/>
      <c r="R2928" s="82"/>
      <c r="S2928" s="82"/>
      <c r="T2928" s="82"/>
      <c r="U2928" s="82"/>
      <c r="V2928" s="82"/>
      <c r="W2928" s="82"/>
      <c r="X2928" s="82"/>
      <c r="Y2928" s="82"/>
      <c r="Z2928" s="82"/>
      <c r="AA2928" s="82"/>
      <c r="AB2928" s="82"/>
      <c r="AC2928" s="82"/>
      <c r="AD2928" s="82"/>
      <c r="AE2928" s="82"/>
      <c r="AF2928" s="82"/>
      <c r="AG2928" s="82"/>
      <c r="AH2928" s="82"/>
      <c r="AI2928" s="82"/>
      <c r="AJ2928" s="82"/>
      <c r="AK2928" s="82"/>
      <c r="AL2928" s="82"/>
      <c r="AM2928" s="82"/>
      <c r="AN2928" s="82"/>
      <c r="AO2928" s="82"/>
      <c r="AP2928" s="82"/>
      <c r="AQ2928" s="82"/>
      <c r="AR2928" s="82"/>
      <c r="AS2928" s="82"/>
      <c r="AT2928" s="82"/>
      <c r="AU2928" s="82"/>
      <c r="AV2928" s="82"/>
      <c r="AW2928" s="82" t="str">
        <f t="shared" si="1"/>
        <v/>
      </c>
      <c r="AX2928" s="83" t="str">
        <f t="array" ref="AX2928">IFERROR(DGET('SBV Import'!A:G,"SBV",{"RSC ID","Tier";B2928,A2928}))</f>
        <v/>
      </c>
      <c r="AY2928" s="82" t="str">
        <f t="shared" si="2"/>
        <v/>
      </c>
      <c r="AZ2928" s="82"/>
      <c r="BA2928" s="84" t="s">
        <v>152</v>
      </c>
      <c r="BB2928" s="84" t="str">
        <f>IFERROR(__xludf.DUMMYFUNCTION("iferror(if(A2928="""",,E2928&gt;=FILTER(Constants!$F$2:$F$10,Constants!$A$2:$A$10=A2928)))"),"")</f>
        <v/>
      </c>
    </row>
    <row r="2929">
      <c r="A2929" s="89"/>
      <c r="B2929" s="87"/>
      <c r="C2929" s="73"/>
      <c r="D2929" s="73"/>
      <c r="E2929" s="82"/>
      <c r="F2929" s="82"/>
      <c r="G2929" s="86"/>
      <c r="H2929" s="86"/>
      <c r="I2929" s="86"/>
      <c r="J2929" s="82"/>
      <c r="K2929" s="82"/>
      <c r="L2929" s="82"/>
      <c r="M2929" s="82"/>
      <c r="N2929" s="82"/>
      <c r="O2929" s="82"/>
      <c r="P2929" s="82"/>
      <c r="Q2929" s="82"/>
      <c r="R2929" s="82"/>
      <c r="S2929" s="82"/>
      <c r="T2929" s="82"/>
      <c r="U2929" s="82"/>
      <c r="V2929" s="82"/>
      <c r="W2929" s="82"/>
      <c r="X2929" s="82"/>
      <c r="Y2929" s="82"/>
      <c r="Z2929" s="82"/>
      <c r="AA2929" s="82"/>
      <c r="AB2929" s="82"/>
      <c r="AC2929" s="82"/>
      <c r="AD2929" s="82"/>
      <c r="AE2929" s="82"/>
      <c r="AF2929" s="82"/>
      <c r="AG2929" s="82"/>
      <c r="AH2929" s="82"/>
      <c r="AI2929" s="82"/>
      <c r="AJ2929" s="82"/>
      <c r="AK2929" s="82"/>
      <c r="AL2929" s="82"/>
      <c r="AM2929" s="82"/>
      <c r="AN2929" s="82"/>
      <c r="AO2929" s="82"/>
      <c r="AP2929" s="82"/>
      <c r="AQ2929" s="82"/>
      <c r="AR2929" s="82"/>
      <c r="AS2929" s="82"/>
      <c r="AT2929" s="82"/>
      <c r="AU2929" s="82"/>
      <c r="AV2929" s="82"/>
      <c r="AW2929" s="82" t="str">
        <f t="shared" si="1"/>
        <v/>
      </c>
      <c r="AX2929" s="83" t="str">
        <f t="array" ref="AX2929">IFERROR(DGET('SBV Import'!A:G,"SBV",{"RSC ID","Tier";B2929,A2929}))</f>
        <v/>
      </c>
      <c r="AY2929" s="82" t="str">
        <f t="shared" si="2"/>
        <v/>
      </c>
      <c r="AZ2929" s="82"/>
      <c r="BA2929" s="84" t="s">
        <v>152</v>
      </c>
      <c r="BB2929" s="84" t="str">
        <f>IFERROR(__xludf.DUMMYFUNCTION("iferror(if(A2929="""",,E2929&gt;=FILTER(Constants!$F$2:$F$10,Constants!$A$2:$A$10=A2929)))"),"")</f>
        <v/>
      </c>
    </row>
    <row r="2930">
      <c r="A2930" s="89"/>
      <c r="B2930" s="87"/>
      <c r="C2930" s="73"/>
      <c r="D2930" s="73"/>
      <c r="E2930" s="82"/>
      <c r="F2930" s="82"/>
      <c r="G2930" s="86"/>
      <c r="H2930" s="86"/>
      <c r="I2930" s="86"/>
      <c r="J2930" s="82"/>
      <c r="K2930" s="82"/>
      <c r="L2930" s="82"/>
      <c r="M2930" s="82"/>
      <c r="N2930" s="82"/>
      <c r="O2930" s="82"/>
      <c r="P2930" s="82"/>
      <c r="Q2930" s="82"/>
      <c r="R2930" s="82"/>
      <c r="S2930" s="82"/>
      <c r="T2930" s="82"/>
      <c r="U2930" s="82"/>
      <c r="V2930" s="82"/>
      <c r="W2930" s="82"/>
      <c r="X2930" s="82"/>
      <c r="Y2930" s="82"/>
      <c r="Z2930" s="82"/>
      <c r="AA2930" s="82"/>
      <c r="AB2930" s="82"/>
      <c r="AC2930" s="82"/>
      <c r="AD2930" s="82"/>
      <c r="AE2930" s="82"/>
      <c r="AF2930" s="82"/>
      <c r="AG2930" s="82"/>
      <c r="AH2930" s="82"/>
      <c r="AI2930" s="82"/>
      <c r="AJ2930" s="82"/>
      <c r="AK2930" s="82"/>
      <c r="AL2930" s="82"/>
      <c r="AM2930" s="82"/>
      <c r="AN2930" s="82"/>
      <c r="AO2930" s="82"/>
      <c r="AP2930" s="82"/>
      <c r="AQ2930" s="82"/>
      <c r="AR2930" s="82"/>
      <c r="AS2930" s="82"/>
      <c r="AT2930" s="82"/>
      <c r="AU2930" s="82"/>
      <c r="AV2930" s="82"/>
      <c r="AW2930" s="82" t="str">
        <f t="shared" si="1"/>
        <v/>
      </c>
      <c r="AX2930" s="83" t="str">
        <f t="array" ref="AX2930">IFERROR(DGET('SBV Import'!A:G,"SBV",{"RSC ID","Tier";B2930,A2930}))</f>
        <v/>
      </c>
      <c r="AY2930" s="82" t="str">
        <f t="shared" si="2"/>
        <v/>
      </c>
      <c r="AZ2930" s="82"/>
      <c r="BA2930" s="84" t="s">
        <v>152</v>
      </c>
      <c r="BB2930" s="84" t="str">
        <f>IFERROR(__xludf.DUMMYFUNCTION("iferror(if(A2930="""",,E2930&gt;=FILTER(Constants!$F$2:$F$10,Constants!$A$2:$A$10=A2930)))"),"")</f>
        <v/>
      </c>
    </row>
    <row r="2931">
      <c r="A2931" s="89"/>
      <c r="B2931" s="87"/>
      <c r="C2931" s="73"/>
      <c r="D2931" s="73"/>
      <c r="E2931" s="82"/>
      <c r="F2931" s="82"/>
      <c r="G2931" s="86"/>
      <c r="H2931" s="86"/>
      <c r="I2931" s="86"/>
      <c r="J2931" s="82"/>
      <c r="K2931" s="82"/>
      <c r="L2931" s="82"/>
      <c r="M2931" s="82"/>
      <c r="N2931" s="82"/>
      <c r="O2931" s="82"/>
      <c r="P2931" s="82"/>
      <c r="Q2931" s="82"/>
      <c r="R2931" s="82"/>
      <c r="S2931" s="82"/>
      <c r="T2931" s="82"/>
      <c r="U2931" s="82"/>
      <c r="V2931" s="82"/>
      <c r="W2931" s="82"/>
      <c r="X2931" s="82"/>
      <c r="Y2931" s="82"/>
      <c r="Z2931" s="82"/>
      <c r="AA2931" s="82"/>
      <c r="AB2931" s="82"/>
      <c r="AC2931" s="82"/>
      <c r="AD2931" s="82"/>
      <c r="AE2931" s="82"/>
      <c r="AF2931" s="82"/>
      <c r="AG2931" s="82"/>
      <c r="AH2931" s="82"/>
      <c r="AI2931" s="82"/>
      <c r="AJ2931" s="82"/>
      <c r="AK2931" s="82"/>
      <c r="AL2931" s="82"/>
      <c r="AM2931" s="82"/>
      <c r="AN2931" s="82"/>
      <c r="AO2931" s="82"/>
      <c r="AP2931" s="82"/>
      <c r="AQ2931" s="82"/>
      <c r="AR2931" s="82"/>
      <c r="AS2931" s="82"/>
      <c r="AT2931" s="82"/>
      <c r="AU2931" s="82"/>
      <c r="AV2931" s="82"/>
      <c r="AW2931" s="82" t="str">
        <f t="shared" si="1"/>
        <v/>
      </c>
      <c r="AX2931" s="83" t="str">
        <f t="array" ref="AX2931">IFERROR(DGET('SBV Import'!A:G,"SBV",{"RSC ID","Tier";B2931,A2931}))</f>
        <v/>
      </c>
      <c r="AY2931" s="82" t="str">
        <f t="shared" si="2"/>
        <v/>
      </c>
      <c r="AZ2931" s="82"/>
      <c r="BA2931" s="84" t="s">
        <v>152</v>
      </c>
      <c r="BB2931" s="84" t="str">
        <f>IFERROR(__xludf.DUMMYFUNCTION("iferror(if(A2931="""",,E2931&gt;=FILTER(Constants!$F$2:$F$10,Constants!$A$2:$A$10=A2931)))"),"")</f>
        <v/>
      </c>
    </row>
    <row r="2932">
      <c r="A2932" s="89"/>
      <c r="B2932" s="87"/>
      <c r="C2932" s="73"/>
      <c r="D2932" s="73"/>
      <c r="E2932" s="82"/>
      <c r="F2932" s="82"/>
      <c r="G2932" s="86"/>
      <c r="H2932" s="86"/>
      <c r="I2932" s="86"/>
      <c r="J2932" s="82"/>
      <c r="K2932" s="82"/>
      <c r="L2932" s="82"/>
      <c r="M2932" s="82"/>
      <c r="N2932" s="82"/>
      <c r="O2932" s="82"/>
      <c r="P2932" s="82"/>
      <c r="Q2932" s="82"/>
      <c r="R2932" s="82"/>
      <c r="S2932" s="82"/>
      <c r="T2932" s="82"/>
      <c r="U2932" s="82"/>
      <c r="V2932" s="82"/>
      <c r="W2932" s="82"/>
      <c r="X2932" s="82"/>
      <c r="Y2932" s="82"/>
      <c r="Z2932" s="82"/>
      <c r="AA2932" s="82"/>
      <c r="AB2932" s="82"/>
      <c r="AC2932" s="82"/>
      <c r="AD2932" s="82"/>
      <c r="AE2932" s="82"/>
      <c r="AF2932" s="82"/>
      <c r="AG2932" s="82"/>
      <c r="AH2932" s="82"/>
      <c r="AI2932" s="82"/>
      <c r="AJ2932" s="82"/>
      <c r="AK2932" s="82"/>
      <c r="AL2932" s="82"/>
      <c r="AM2932" s="82"/>
      <c r="AN2932" s="82"/>
      <c r="AO2932" s="82"/>
      <c r="AP2932" s="82"/>
      <c r="AQ2932" s="82"/>
      <c r="AR2932" s="82"/>
      <c r="AS2932" s="82"/>
      <c r="AT2932" s="82"/>
      <c r="AU2932" s="82"/>
      <c r="AV2932" s="82"/>
      <c r="AW2932" s="82" t="str">
        <f t="shared" si="1"/>
        <v/>
      </c>
      <c r="AX2932" s="83" t="str">
        <f t="array" ref="AX2932">IFERROR(DGET('SBV Import'!A:G,"SBV",{"RSC ID","Tier";B2932,A2932}))</f>
        <v/>
      </c>
      <c r="AY2932" s="82" t="str">
        <f t="shared" si="2"/>
        <v/>
      </c>
      <c r="AZ2932" s="82"/>
      <c r="BA2932" s="84" t="s">
        <v>152</v>
      </c>
      <c r="BB2932" s="84" t="str">
        <f>IFERROR(__xludf.DUMMYFUNCTION("iferror(if(A2932="""",,E2932&gt;=FILTER(Constants!$F$2:$F$10,Constants!$A$2:$A$10=A2932)))"),"")</f>
        <v/>
      </c>
    </row>
    <row r="2933">
      <c r="A2933" s="89"/>
      <c r="B2933" s="87"/>
      <c r="C2933" s="73"/>
      <c r="D2933" s="73"/>
      <c r="E2933" s="82"/>
      <c r="F2933" s="82"/>
      <c r="G2933" s="86"/>
      <c r="H2933" s="86"/>
      <c r="I2933" s="86"/>
      <c r="J2933" s="82"/>
      <c r="K2933" s="82"/>
      <c r="L2933" s="82"/>
      <c r="M2933" s="82"/>
      <c r="N2933" s="82"/>
      <c r="O2933" s="82"/>
      <c r="P2933" s="82"/>
      <c r="Q2933" s="82"/>
      <c r="R2933" s="82"/>
      <c r="S2933" s="82"/>
      <c r="T2933" s="82"/>
      <c r="U2933" s="82"/>
      <c r="V2933" s="82"/>
      <c r="W2933" s="82"/>
      <c r="X2933" s="82"/>
      <c r="Y2933" s="82"/>
      <c r="Z2933" s="82"/>
      <c r="AA2933" s="82"/>
      <c r="AB2933" s="82"/>
      <c r="AC2933" s="82"/>
      <c r="AD2933" s="82"/>
      <c r="AE2933" s="82"/>
      <c r="AF2933" s="82"/>
      <c r="AG2933" s="82"/>
      <c r="AH2933" s="82"/>
      <c r="AI2933" s="82"/>
      <c r="AJ2933" s="82"/>
      <c r="AK2933" s="82"/>
      <c r="AL2933" s="82"/>
      <c r="AM2933" s="82"/>
      <c r="AN2933" s="82"/>
      <c r="AO2933" s="82"/>
      <c r="AP2933" s="82"/>
      <c r="AQ2933" s="82"/>
      <c r="AR2933" s="82"/>
      <c r="AS2933" s="82"/>
      <c r="AT2933" s="82"/>
      <c r="AU2933" s="82"/>
      <c r="AV2933" s="82"/>
      <c r="AW2933" s="82" t="str">
        <f t="shared" si="1"/>
        <v/>
      </c>
      <c r="AX2933" s="83" t="str">
        <f t="array" ref="AX2933">IFERROR(DGET('SBV Import'!A:G,"SBV",{"RSC ID","Tier";B2933,A2933}))</f>
        <v/>
      </c>
      <c r="AY2933" s="82" t="str">
        <f t="shared" si="2"/>
        <v/>
      </c>
      <c r="AZ2933" s="82"/>
      <c r="BA2933" s="84" t="s">
        <v>152</v>
      </c>
      <c r="BB2933" s="84" t="str">
        <f>IFERROR(__xludf.DUMMYFUNCTION("iferror(if(A2933="""",,E2933&gt;=FILTER(Constants!$F$2:$F$10,Constants!$A$2:$A$10=A2933)))"),"")</f>
        <v/>
      </c>
    </row>
    <row r="2934">
      <c r="A2934" s="89"/>
      <c r="B2934" s="87"/>
      <c r="C2934" s="73"/>
      <c r="D2934" s="73"/>
      <c r="E2934" s="82"/>
      <c r="F2934" s="82"/>
      <c r="G2934" s="86"/>
      <c r="H2934" s="86"/>
      <c r="I2934" s="86"/>
      <c r="J2934" s="82"/>
      <c r="K2934" s="82"/>
      <c r="L2934" s="82"/>
      <c r="M2934" s="82"/>
      <c r="N2934" s="82"/>
      <c r="O2934" s="82"/>
      <c r="P2934" s="82"/>
      <c r="Q2934" s="82"/>
      <c r="R2934" s="82"/>
      <c r="S2934" s="82"/>
      <c r="T2934" s="82"/>
      <c r="U2934" s="82"/>
      <c r="V2934" s="82"/>
      <c r="W2934" s="82"/>
      <c r="X2934" s="82"/>
      <c r="Y2934" s="82"/>
      <c r="Z2934" s="82"/>
      <c r="AA2934" s="82"/>
      <c r="AB2934" s="82"/>
      <c r="AC2934" s="82"/>
      <c r="AD2934" s="82"/>
      <c r="AE2934" s="82"/>
      <c r="AF2934" s="82"/>
      <c r="AG2934" s="82"/>
      <c r="AH2934" s="82"/>
      <c r="AI2934" s="82"/>
      <c r="AJ2934" s="82"/>
      <c r="AK2934" s="82"/>
      <c r="AL2934" s="82"/>
      <c r="AM2934" s="82"/>
      <c r="AN2934" s="82"/>
      <c r="AO2934" s="82"/>
      <c r="AP2934" s="82"/>
      <c r="AQ2934" s="82"/>
      <c r="AR2934" s="82"/>
      <c r="AS2934" s="82"/>
      <c r="AT2934" s="82"/>
      <c r="AU2934" s="82"/>
      <c r="AV2934" s="82"/>
      <c r="AW2934" s="82" t="str">
        <f t="shared" si="1"/>
        <v/>
      </c>
      <c r="AX2934" s="83" t="str">
        <f t="array" ref="AX2934">IFERROR(DGET('SBV Import'!A:G,"SBV",{"RSC ID","Tier";B2934,A2934}))</f>
        <v/>
      </c>
      <c r="AY2934" s="82" t="str">
        <f t="shared" si="2"/>
        <v/>
      </c>
      <c r="AZ2934" s="82"/>
      <c r="BA2934" s="84" t="s">
        <v>152</v>
      </c>
      <c r="BB2934" s="84" t="str">
        <f>IFERROR(__xludf.DUMMYFUNCTION("iferror(if(A2934="""",,E2934&gt;=FILTER(Constants!$F$2:$F$10,Constants!$A$2:$A$10=A2934)))"),"")</f>
        <v/>
      </c>
    </row>
    <row r="2935">
      <c r="A2935" s="89"/>
      <c r="B2935" s="87"/>
      <c r="C2935" s="73"/>
      <c r="D2935" s="73"/>
      <c r="E2935" s="82"/>
      <c r="F2935" s="82"/>
      <c r="G2935" s="86"/>
      <c r="H2935" s="86"/>
      <c r="I2935" s="86"/>
      <c r="J2935" s="82"/>
      <c r="K2935" s="82"/>
      <c r="L2935" s="82"/>
      <c r="M2935" s="82"/>
      <c r="N2935" s="82"/>
      <c r="O2935" s="82"/>
      <c r="P2935" s="82"/>
      <c r="Q2935" s="82"/>
      <c r="R2935" s="82"/>
      <c r="S2935" s="82"/>
      <c r="T2935" s="82"/>
      <c r="U2935" s="82"/>
      <c r="V2935" s="82"/>
      <c r="W2935" s="82"/>
      <c r="X2935" s="82"/>
      <c r="Y2935" s="82"/>
      <c r="Z2935" s="82"/>
      <c r="AA2935" s="82"/>
      <c r="AB2935" s="82"/>
      <c r="AC2935" s="82"/>
      <c r="AD2935" s="82"/>
      <c r="AE2935" s="82"/>
      <c r="AF2935" s="82"/>
      <c r="AG2935" s="82"/>
      <c r="AH2935" s="82"/>
      <c r="AI2935" s="82"/>
      <c r="AJ2935" s="82"/>
      <c r="AK2935" s="82"/>
      <c r="AL2935" s="82"/>
      <c r="AM2935" s="82"/>
      <c r="AN2935" s="82"/>
      <c r="AO2935" s="82"/>
      <c r="AP2935" s="82"/>
      <c r="AQ2935" s="82"/>
      <c r="AR2935" s="82"/>
      <c r="AS2935" s="82"/>
      <c r="AT2935" s="82"/>
      <c r="AU2935" s="82"/>
      <c r="AV2935" s="82"/>
      <c r="AW2935" s="82" t="str">
        <f t="shared" si="1"/>
        <v/>
      </c>
      <c r="AX2935" s="83" t="str">
        <f t="array" ref="AX2935">IFERROR(DGET('SBV Import'!A:G,"SBV",{"RSC ID","Tier";B2935,A2935}))</f>
        <v/>
      </c>
      <c r="AY2935" s="82" t="str">
        <f t="shared" si="2"/>
        <v/>
      </c>
      <c r="AZ2935" s="82"/>
      <c r="BA2935" s="84" t="s">
        <v>152</v>
      </c>
      <c r="BB2935" s="84" t="str">
        <f>IFERROR(__xludf.DUMMYFUNCTION("iferror(if(A2935="""",,E2935&gt;=FILTER(Constants!$F$2:$F$10,Constants!$A$2:$A$10=A2935)))"),"")</f>
        <v/>
      </c>
    </row>
    <row r="2936">
      <c r="A2936" s="89"/>
      <c r="B2936" s="87"/>
      <c r="C2936" s="73"/>
      <c r="D2936" s="73"/>
      <c r="E2936" s="82"/>
      <c r="F2936" s="82"/>
      <c r="G2936" s="86"/>
      <c r="H2936" s="86"/>
      <c r="I2936" s="86"/>
      <c r="J2936" s="82"/>
      <c r="K2936" s="82"/>
      <c r="L2936" s="82"/>
      <c r="M2936" s="82"/>
      <c r="N2936" s="82"/>
      <c r="O2936" s="82"/>
      <c r="P2936" s="82"/>
      <c r="Q2936" s="82"/>
      <c r="R2936" s="82"/>
      <c r="S2936" s="82"/>
      <c r="T2936" s="82"/>
      <c r="U2936" s="82"/>
      <c r="V2936" s="82"/>
      <c r="W2936" s="82"/>
      <c r="X2936" s="82"/>
      <c r="Y2936" s="82"/>
      <c r="Z2936" s="82"/>
      <c r="AA2936" s="82"/>
      <c r="AB2936" s="82"/>
      <c r="AC2936" s="82"/>
      <c r="AD2936" s="82"/>
      <c r="AE2936" s="82"/>
      <c r="AF2936" s="82"/>
      <c r="AG2936" s="82"/>
      <c r="AH2936" s="82"/>
      <c r="AI2936" s="82"/>
      <c r="AJ2936" s="82"/>
      <c r="AK2936" s="82"/>
      <c r="AL2936" s="82"/>
      <c r="AM2936" s="82"/>
      <c r="AN2936" s="82"/>
      <c r="AO2936" s="82"/>
      <c r="AP2936" s="82"/>
      <c r="AQ2936" s="82"/>
      <c r="AR2936" s="82"/>
      <c r="AS2936" s="82"/>
      <c r="AT2936" s="82"/>
      <c r="AU2936" s="82"/>
      <c r="AV2936" s="82"/>
      <c r="AW2936" s="82" t="str">
        <f t="shared" si="1"/>
        <v/>
      </c>
      <c r="AX2936" s="83" t="str">
        <f t="array" ref="AX2936">IFERROR(DGET('SBV Import'!A:G,"SBV",{"RSC ID","Tier";B2936,A2936}))</f>
        <v/>
      </c>
      <c r="AY2936" s="82" t="str">
        <f t="shared" si="2"/>
        <v/>
      </c>
      <c r="AZ2936" s="82"/>
      <c r="BA2936" s="84" t="s">
        <v>152</v>
      </c>
      <c r="BB2936" s="84" t="str">
        <f>IFERROR(__xludf.DUMMYFUNCTION("iferror(if(A2936="""",,E2936&gt;=FILTER(Constants!$F$2:$F$10,Constants!$A$2:$A$10=A2936)))"),"")</f>
        <v/>
      </c>
    </row>
    <row r="2937">
      <c r="A2937" s="89"/>
      <c r="B2937" s="87"/>
      <c r="C2937" s="73"/>
      <c r="D2937" s="73"/>
      <c r="E2937" s="82"/>
      <c r="F2937" s="82"/>
      <c r="G2937" s="86"/>
      <c r="H2937" s="86"/>
      <c r="I2937" s="86"/>
      <c r="J2937" s="82"/>
      <c r="K2937" s="82"/>
      <c r="L2937" s="82"/>
      <c r="M2937" s="82"/>
      <c r="N2937" s="82"/>
      <c r="O2937" s="82"/>
      <c r="P2937" s="82"/>
      <c r="Q2937" s="82"/>
      <c r="R2937" s="82"/>
      <c r="S2937" s="82"/>
      <c r="T2937" s="82"/>
      <c r="U2937" s="82"/>
      <c r="V2937" s="82"/>
      <c r="W2937" s="82"/>
      <c r="X2937" s="82"/>
      <c r="Y2937" s="82"/>
      <c r="Z2937" s="82"/>
      <c r="AA2937" s="82"/>
      <c r="AB2937" s="82"/>
      <c r="AC2937" s="82"/>
      <c r="AD2937" s="82"/>
      <c r="AE2937" s="82"/>
      <c r="AF2937" s="82"/>
      <c r="AG2937" s="82"/>
      <c r="AH2937" s="82"/>
      <c r="AI2937" s="82"/>
      <c r="AJ2937" s="82"/>
      <c r="AK2937" s="82"/>
      <c r="AL2937" s="82"/>
      <c r="AM2937" s="82"/>
      <c r="AN2937" s="82"/>
      <c r="AO2937" s="82"/>
      <c r="AP2937" s="82"/>
      <c r="AQ2937" s="82"/>
      <c r="AR2937" s="82"/>
      <c r="AS2937" s="82"/>
      <c r="AT2937" s="82"/>
      <c r="AU2937" s="82"/>
      <c r="AV2937" s="82"/>
      <c r="AW2937" s="82" t="str">
        <f t="shared" si="1"/>
        <v/>
      </c>
      <c r="AX2937" s="83" t="str">
        <f t="array" ref="AX2937">IFERROR(DGET('SBV Import'!A:G,"SBV",{"RSC ID","Tier";B2937,A2937}))</f>
        <v/>
      </c>
      <c r="AY2937" s="82" t="str">
        <f t="shared" si="2"/>
        <v/>
      </c>
      <c r="AZ2937" s="82"/>
      <c r="BA2937" s="84" t="s">
        <v>152</v>
      </c>
      <c r="BB2937" s="84" t="str">
        <f>IFERROR(__xludf.DUMMYFUNCTION("iferror(if(A2937="""",,E2937&gt;=FILTER(Constants!$F$2:$F$10,Constants!$A$2:$A$10=A2937)))"),"")</f>
        <v/>
      </c>
    </row>
    <row r="2938">
      <c r="A2938" s="89"/>
      <c r="B2938" s="87"/>
      <c r="C2938" s="73"/>
      <c r="D2938" s="73"/>
      <c r="E2938" s="82"/>
      <c r="F2938" s="82"/>
      <c r="G2938" s="86"/>
      <c r="H2938" s="86"/>
      <c r="I2938" s="86"/>
      <c r="J2938" s="82"/>
      <c r="K2938" s="82"/>
      <c r="L2938" s="82"/>
      <c r="M2938" s="82"/>
      <c r="N2938" s="82"/>
      <c r="O2938" s="82"/>
      <c r="P2938" s="82"/>
      <c r="Q2938" s="82"/>
      <c r="R2938" s="82"/>
      <c r="S2938" s="82"/>
      <c r="T2938" s="82"/>
      <c r="U2938" s="82"/>
      <c r="V2938" s="82"/>
      <c r="W2938" s="82"/>
      <c r="X2938" s="82"/>
      <c r="Y2938" s="82"/>
      <c r="Z2938" s="82"/>
      <c r="AA2938" s="82"/>
      <c r="AB2938" s="82"/>
      <c r="AC2938" s="82"/>
      <c r="AD2938" s="82"/>
      <c r="AE2938" s="82"/>
      <c r="AF2938" s="82"/>
      <c r="AG2938" s="82"/>
      <c r="AH2938" s="82"/>
      <c r="AI2938" s="82"/>
      <c r="AJ2938" s="82"/>
      <c r="AK2938" s="82"/>
      <c r="AL2938" s="82"/>
      <c r="AM2938" s="82"/>
      <c r="AN2938" s="82"/>
      <c r="AO2938" s="82"/>
      <c r="AP2938" s="82"/>
      <c r="AQ2938" s="82"/>
      <c r="AR2938" s="82"/>
      <c r="AS2938" s="82"/>
      <c r="AT2938" s="82"/>
      <c r="AU2938" s="82"/>
      <c r="AV2938" s="82"/>
      <c r="AW2938" s="82" t="str">
        <f t="shared" si="1"/>
        <v/>
      </c>
      <c r="AX2938" s="83" t="str">
        <f t="array" ref="AX2938">IFERROR(DGET('SBV Import'!A:G,"SBV",{"RSC ID","Tier";B2938,A2938}))</f>
        <v/>
      </c>
      <c r="AY2938" s="82" t="str">
        <f t="shared" si="2"/>
        <v/>
      </c>
      <c r="AZ2938" s="82"/>
      <c r="BA2938" s="84" t="s">
        <v>152</v>
      </c>
      <c r="BB2938" s="84" t="str">
        <f>IFERROR(__xludf.DUMMYFUNCTION("iferror(if(A2938="""",,E2938&gt;=FILTER(Constants!$F$2:$F$10,Constants!$A$2:$A$10=A2938)))"),"")</f>
        <v/>
      </c>
    </row>
    <row r="2939">
      <c r="A2939" s="89"/>
      <c r="B2939" s="87"/>
      <c r="C2939" s="73"/>
      <c r="D2939" s="73"/>
      <c r="E2939" s="82"/>
      <c r="F2939" s="82"/>
      <c r="G2939" s="86"/>
      <c r="H2939" s="86"/>
      <c r="I2939" s="86"/>
      <c r="J2939" s="82"/>
      <c r="K2939" s="82"/>
      <c r="L2939" s="82"/>
      <c r="M2939" s="82"/>
      <c r="N2939" s="82"/>
      <c r="O2939" s="82"/>
      <c r="P2939" s="82"/>
      <c r="Q2939" s="82"/>
      <c r="R2939" s="82"/>
      <c r="S2939" s="82"/>
      <c r="T2939" s="82"/>
      <c r="U2939" s="82"/>
      <c r="V2939" s="82"/>
      <c r="W2939" s="82"/>
      <c r="X2939" s="82"/>
      <c r="Y2939" s="82"/>
      <c r="Z2939" s="82"/>
      <c r="AA2939" s="82"/>
      <c r="AB2939" s="82"/>
      <c r="AC2939" s="82"/>
      <c r="AD2939" s="82"/>
      <c r="AE2939" s="82"/>
      <c r="AF2939" s="82"/>
      <c r="AG2939" s="82"/>
      <c r="AH2939" s="82"/>
      <c r="AI2939" s="82"/>
      <c r="AJ2939" s="82"/>
      <c r="AK2939" s="82"/>
      <c r="AL2939" s="82"/>
      <c r="AM2939" s="82"/>
      <c r="AN2939" s="82"/>
      <c r="AO2939" s="82"/>
      <c r="AP2939" s="82"/>
      <c r="AQ2939" s="82"/>
      <c r="AR2939" s="82"/>
      <c r="AS2939" s="82"/>
      <c r="AT2939" s="82"/>
      <c r="AU2939" s="82"/>
      <c r="AV2939" s="82"/>
      <c r="AW2939" s="82" t="str">
        <f t="shared" si="1"/>
        <v/>
      </c>
      <c r="AX2939" s="83" t="str">
        <f t="array" ref="AX2939">IFERROR(DGET('SBV Import'!A:G,"SBV",{"RSC ID","Tier";B2939,A2939}))</f>
        <v/>
      </c>
      <c r="AY2939" s="82" t="str">
        <f t="shared" si="2"/>
        <v/>
      </c>
      <c r="AZ2939" s="82"/>
      <c r="BA2939" s="84" t="s">
        <v>152</v>
      </c>
      <c r="BB2939" s="84" t="str">
        <f>IFERROR(__xludf.DUMMYFUNCTION("iferror(if(A2939="""",,E2939&gt;=FILTER(Constants!$F$2:$F$10,Constants!$A$2:$A$10=A2939)))"),"")</f>
        <v/>
      </c>
    </row>
    <row r="2940">
      <c r="A2940" s="89"/>
      <c r="B2940" s="87"/>
      <c r="C2940" s="73"/>
      <c r="D2940" s="73"/>
      <c r="E2940" s="82"/>
      <c r="F2940" s="82"/>
      <c r="G2940" s="86"/>
      <c r="H2940" s="86"/>
      <c r="I2940" s="86"/>
      <c r="J2940" s="82"/>
      <c r="K2940" s="82"/>
      <c r="L2940" s="82"/>
      <c r="M2940" s="82"/>
      <c r="N2940" s="82"/>
      <c r="O2940" s="82"/>
      <c r="P2940" s="82"/>
      <c r="Q2940" s="82"/>
      <c r="R2940" s="82"/>
      <c r="S2940" s="82"/>
      <c r="T2940" s="82"/>
      <c r="U2940" s="82"/>
      <c r="V2940" s="82"/>
      <c r="W2940" s="82"/>
      <c r="X2940" s="82"/>
      <c r="Y2940" s="82"/>
      <c r="Z2940" s="82"/>
      <c r="AA2940" s="82"/>
      <c r="AB2940" s="82"/>
      <c r="AC2940" s="82"/>
      <c r="AD2940" s="82"/>
      <c r="AE2940" s="82"/>
      <c r="AF2940" s="82"/>
      <c r="AG2940" s="82"/>
      <c r="AH2940" s="82"/>
      <c r="AI2940" s="82"/>
      <c r="AJ2940" s="82"/>
      <c r="AK2940" s="82"/>
      <c r="AL2940" s="82"/>
      <c r="AM2940" s="82"/>
      <c r="AN2940" s="82"/>
      <c r="AO2940" s="82"/>
      <c r="AP2940" s="82"/>
      <c r="AQ2940" s="82"/>
      <c r="AR2940" s="82"/>
      <c r="AS2940" s="82"/>
      <c r="AT2940" s="82"/>
      <c r="AU2940" s="82"/>
      <c r="AV2940" s="82"/>
      <c r="AW2940" s="82" t="str">
        <f t="shared" si="1"/>
        <v/>
      </c>
      <c r="AX2940" s="83" t="str">
        <f t="array" ref="AX2940">IFERROR(DGET('SBV Import'!A:G,"SBV",{"RSC ID","Tier";B2940,A2940}))</f>
        <v/>
      </c>
      <c r="AY2940" s="82" t="str">
        <f t="shared" si="2"/>
        <v/>
      </c>
      <c r="AZ2940" s="82"/>
      <c r="BA2940" s="84" t="s">
        <v>152</v>
      </c>
      <c r="BB2940" s="84" t="str">
        <f>IFERROR(__xludf.DUMMYFUNCTION("iferror(if(A2940="""",,E2940&gt;=FILTER(Constants!$F$2:$F$10,Constants!$A$2:$A$10=A2940)))"),"")</f>
        <v/>
      </c>
    </row>
    <row r="2941">
      <c r="A2941" s="89"/>
      <c r="B2941" s="87"/>
      <c r="C2941" s="73"/>
      <c r="D2941" s="73"/>
      <c r="E2941" s="82"/>
      <c r="F2941" s="82"/>
      <c r="G2941" s="86"/>
      <c r="H2941" s="86"/>
      <c r="I2941" s="86"/>
      <c r="J2941" s="82"/>
      <c r="K2941" s="82"/>
      <c r="L2941" s="82"/>
      <c r="M2941" s="82"/>
      <c r="N2941" s="82"/>
      <c r="O2941" s="82"/>
      <c r="P2941" s="82"/>
      <c r="Q2941" s="82"/>
      <c r="R2941" s="82"/>
      <c r="S2941" s="82"/>
      <c r="T2941" s="82"/>
      <c r="U2941" s="82"/>
      <c r="V2941" s="82"/>
      <c r="W2941" s="82"/>
      <c r="X2941" s="82"/>
      <c r="Y2941" s="82"/>
      <c r="Z2941" s="82"/>
      <c r="AA2941" s="82"/>
      <c r="AB2941" s="82"/>
      <c r="AC2941" s="82"/>
      <c r="AD2941" s="82"/>
      <c r="AE2941" s="82"/>
      <c r="AF2941" s="82"/>
      <c r="AG2941" s="82"/>
      <c r="AH2941" s="82"/>
      <c r="AI2941" s="82"/>
      <c r="AJ2941" s="82"/>
      <c r="AK2941" s="82"/>
      <c r="AL2941" s="82"/>
      <c r="AM2941" s="82"/>
      <c r="AN2941" s="82"/>
      <c r="AO2941" s="82"/>
      <c r="AP2941" s="82"/>
      <c r="AQ2941" s="82"/>
      <c r="AR2941" s="82"/>
      <c r="AS2941" s="82"/>
      <c r="AT2941" s="82"/>
      <c r="AU2941" s="82"/>
      <c r="AV2941" s="82"/>
      <c r="AW2941" s="82" t="str">
        <f t="shared" si="1"/>
        <v/>
      </c>
      <c r="AX2941" s="83" t="str">
        <f t="array" ref="AX2941">IFERROR(DGET('SBV Import'!A:G,"SBV",{"RSC ID","Tier";B2941,A2941}))</f>
        <v/>
      </c>
      <c r="AY2941" s="82" t="str">
        <f t="shared" si="2"/>
        <v/>
      </c>
      <c r="AZ2941" s="82"/>
      <c r="BA2941" s="84" t="s">
        <v>152</v>
      </c>
      <c r="BB2941" s="84" t="str">
        <f>IFERROR(__xludf.DUMMYFUNCTION("iferror(if(A2941="""",,E2941&gt;=FILTER(Constants!$F$2:$F$10,Constants!$A$2:$A$10=A2941)))"),"")</f>
        <v/>
      </c>
    </row>
    <row r="2942">
      <c r="A2942" s="89"/>
      <c r="B2942" s="87"/>
      <c r="C2942" s="73"/>
      <c r="D2942" s="73"/>
      <c r="E2942" s="82"/>
      <c r="F2942" s="82"/>
      <c r="G2942" s="86"/>
      <c r="H2942" s="86"/>
      <c r="I2942" s="86"/>
      <c r="J2942" s="82"/>
      <c r="K2942" s="82"/>
      <c r="L2942" s="82"/>
      <c r="M2942" s="82"/>
      <c r="N2942" s="82"/>
      <c r="O2942" s="82"/>
      <c r="P2942" s="82"/>
      <c r="Q2942" s="82"/>
      <c r="R2942" s="82"/>
      <c r="S2942" s="82"/>
      <c r="T2942" s="82"/>
      <c r="U2942" s="82"/>
      <c r="V2942" s="82"/>
      <c r="W2942" s="82"/>
      <c r="X2942" s="82"/>
      <c r="Y2942" s="82"/>
      <c r="Z2942" s="82"/>
      <c r="AA2942" s="82"/>
      <c r="AB2942" s="82"/>
      <c r="AC2942" s="82"/>
      <c r="AD2942" s="82"/>
      <c r="AE2942" s="82"/>
      <c r="AF2942" s="82"/>
      <c r="AG2942" s="82"/>
      <c r="AH2942" s="82"/>
      <c r="AI2942" s="82"/>
      <c r="AJ2942" s="82"/>
      <c r="AK2942" s="82"/>
      <c r="AL2942" s="82"/>
      <c r="AM2942" s="82"/>
      <c r="AN2942" s="82"/>
      <c r="AO2942" s="82"/>
      <c r="AP2942" s="82"/>
      <c r="AQ2942" s="82"/>
      <c r="AR2942" s="82"/>
      <c r="AS2942" s="82"/>
      <c r="AT2942" s="82"/>
      <c r="AU2942" s="82"/>
      <c r="AV2942" s="82"/>
      <c r="AW2942" s="82" t="str">
        <f t="shared" si="1"/>
        <v/>
      </c>
      <c r="AX2942" s="83" t="str">
        <f t="array" ref="AX2942">IFERROR(DGET('SBV Import'!A:G,"SBV",{"RSC ID","Tier";B2942,A2942}))</f>
        <v/>
      </c>
      <c r="AY2942" s="82" t="str">
        <f t="shared" si="2"/>
        <v/>
      </c>
      <c r="AZ2942" s="82"/>
      <c r="BA2942" s="84" t="s">
        <v>152</v>
      </c>
      <c r="BB2942" s="84" t="str">
        <f>IFERROR(__xludf.DUMMYFUNCTION("iferror(if(A2942="""",,E2942&gt;=FILTER(Constants!$F$2:$F$10,Constants!$A$2:$A$10=A2942)))"),"")</f>
        <v/>
      </c>
    </row>
    <row r="2943">
      <c r="A2943" s="89"/>
      <c r="B2943" s="87"/>
      <c r="C2943" s="73"/>
      <c r="D2943" s="73"/>
      <c r="E2943" s="82"/>
      <c r="F2943" s="82"/>
      <c r="G2943" s="86"/>
      <c r="H2943" s="86"/>
      <c r="I2943" s="86"/>
      <c r="J2943" s="82"/>
      <c r="K2943" s="82"/>
      <c r="L2943" s="82"/>
      <c r="M2943" s="82"/>
      <c r="N2943" s="82"/>
      <c r="O2943" s="82"/>
      <c r="P2943" s="82"/>
      <c r="Q2943" s="82"/>
      <c r="R2943" s="82"/>
      <c r="S2943" s="82"/>
      <c r="T2943" s="82"/>
      <c r="U2943" s="82"/>
      <c r="V2943" s="82"/>
      <c r="W2943" s="82"/>
      <c r="X2943" s="82"/>
      <c r="Y2943" s="82"/>
      <c r="Z2943" s="82"/>
      <c r="AA2943" s="82"/>
      <c r="AB2943" s="82"/>
      <c r="AC2943" s="82"/>
      <c r="AD2943" s="82"/>
      <c r="AE2943" s="82"/>
      <c r="AF2943" s="82"/>
      <c r="AG2943" s="82"/>
      <c r="AH2943" s="82"/>
      <c r="AI2943" s="82"/>
      <c r="AJ2943" s="82"/>
      <c r="AK2943" s="82"/>
      <c r="AL2943" s="82"/>
      <c r="AM2943" s="82"/>
      <c r="AN2943" s="82"/>
      <c r="AO2943" s="82"/>
      <c r="AP2943" s="82"/>
      <c r="AQ2943" s="82"/>
      <c r="AR2943" s="82"/>
      <c r="AS2943" s="82"/>
      <c r="AT2943" s="82"/>
      <c r="AU2943" s="82"/>
      <c r="AV2943" s="82"/>
      <c r="AW2943" s="82" t="str">
        <f t="shared" si="1"/>
        <v/>
      </c>
      <c r="AX2943" s="83" t="str">
        <f t="array" ref="AX2943">IFERROR(DGET('SBV Import'!A:G,"SBV",{"RSC ID","Tier";B2943,A2943}))</f>
        <v/>
      </c>
      <c r="AY2943" s="82" t="str">
        <f t="shared" si="2"/>
        <v/>
      </c>
      <c r="AZ2943" s="82"/>
      <c r="BA2943" s="84" t="s">
        <v>152</v>
      </c>
      <c r="BB2943" s="84" t="str">
        <f>IFERROR(__xludf.DUMMYFUNCTION("iferror(if(A2943="""",,E2943&gt;=FILTER(Constants!$F$2:$F$10,Constants!$A$2:$A$10=A2943)))"),"")</f>
        <v/>
      </c>
    </row>
    <row r="2944">
      <c r="A2944" s="89"/>
      <c r="B2944" s="87"/>
      <c r="C2944" s="73"/>
      <c r="D2944" s="73"/>
      <c r="E2944" s="82"/>
      <c r="F2944" s="82"/>
      <c r="G2944" s="86"/>
      <c r="H2944" s="86"/>
      <c r="I2944" s="86"/>
      <c r="J2944" s="82"/>
      <c r="K2944" s="82"/>
      <c r="L2944" s="82"/>
      <c r="M2944" s="82"/>
      <c r="N2944" s="82"/>
      <c r="O2944" s="82"/>
      <c r="P2944" s="82"/>
      <c r="Q2944" s="82"/>
      <c r="R2944" s="82"/>
      <c r="S2944" s="82"/>
      <c r="T2944" s="82"/>
      <c r="U2944" s="82"/>
      <c r="V2944" s="82"/>
      <c r="W2944" s="82"/>
      <c r="X2944" s="82"/>
      <c r="Y2944" s="82"/>
      <c r="Z2944" s="82"/>
      <c r="AA2944" s="82"/>
      <c r="AB2944" s="82"/>
      <c r="AC2944" s="82"/>
      <c r="AD2944" s="82"/>
      <c r="AE2944" s="82"/>
      <c r="AF2944" s="82"/>
      <c r="AG2944" s="82"/>
      <c r="AH2944" s="82"/>
      <c r="AI2944" s="82"/>
      <c r="AJ2944" s="82"/>
      <c r="AK2944" s="82"/>
      <c r="AL2944" s="82"/>
      <c r="AM2944" s="82"/>
      <c r="AN2944" s="82"/>
      <c r="AO2944" s="82"/>
      <c r="AP2944" s="82"/>
      <c r="AQ2944" s="82"/>
      <c r="AR2944" s="82"/>
      <c r="AS2944" s="82"/>
      <c r="AT2944" s="82"/>
      <c r="AU2944" s="82"/>
      <c r="AV2944" s="82"/>
      <c r="AW2944" s="82" t="str">
        <f t="shared" si="1"/>
        <v/>
      </c>
      <c r="AX2944" s="83" t="str">
        <f t="array" ref="AX2944">IFERROR(DGET('SBV Import'!A:G,"SBV",{"RSC ID","Tier";B2944,A2944}))</f>
        <v/>
      </c>
      <c r="AY2944" s="82" t="str">
        <f t="shared" si="2"/>
        <v/>
      </c>
      <c r="AZ2944" s="82"/>
      <c r="BA2944" s="84" t="s">
        <v>152</v>
      </c>
      <c r="BB2944" s="84" t="str">
        <f>IFERROR(__xludf.DUMMYFUNCTION("iferror(if(A2944="""",,E2944&gt;=FILTER(Constants!$F$2:$F$10,Constants!$A$2:$A$10=A2944)))"),"")</f>
        <v/>
      </c>
    </row>
    <row r="2945">
      <c r="A2945" s="89"/>
      <c r="B2945" s="87"/>
      <c r="C2945" s="73"/>
      <c r="D2945" s="73"/>
      <c r="E2945" s="82"/>
      <c r="F2945" s="82"/>
      <c r="G2945" s="86"/>
      <c r="H2945" s="86"/>
      <c r="I2945" s="86"/>
      <c r="J2945" s="82"/>
      <c r="K2945" s="82"/>
      <c r="L2945" s="82"/>
      <c r="M2945" s="82"/>
      <c r="N2945" s="82"/>
      <c r="O2945" s="82"/>
      <c r="P2945" s="82"/>
      <c r="Q2945" s="82"/>
      <c r="R2945" s="82"/>
      <c r="S2945" s="82"/>
      <c r="T2945" s="82"/>
      <c r="U2945" s="82"/>
      <c r="V2945" s="82"/>
      <c r="W2945" s="82"/>
      <c r="X2945" s="82"/>
      <c r="Y2945" s="82"/>
      <c r="Z2945" s="82"/>
      <c r="AA2945" s="82"/>
      <c r="AB2945" s="82"/>
      <c r="AC2945" s="82"/>
      <c r="AD2945" s="82"/>
      <c r="AE2945" s="82"/>
      <c r="AF2945" s="82"/>
      <c r="AG2945" s="82"/>
      <c r="AH2945" s="82"/>
      <c r="AI2945" s="82"/>
      <c r="AJ2945" s="82"/>
      <c r="AK2945" s="82"/>
      <c r="AL2945" s="82"/>
      <c r="AM2945" s="82"/>
      <c r="AN2945" s="82"/>
      <c r="AO2945" s="82"/>
      <c r="AP2945" s="82"/>
      <c r="AQ2945" s="82"/>
      <c r="AR2945" s="82"/>
      <c r="AS2945" s="82"/>
      <c r="AT2945" s="82"/>
      <c r="AU2945" s="82"/>
      <c r="AV2945" s="82"/>
      <c r="AW2945" s="82" t="str">
        <f t="shared" si="1"/>
        <v/>
      </c>
      <c r="AX2945" s="83" t="str">
        <f t="array" ref="AX2945">IFERROR(DGET('SBV Import'!A:G,"SBV",{"RSC ID","Tier";B2945,A2945}))</f>
        <v/>
      </c>
      <c r="AY2945" s="82" t="str">
        <f t="shared" si="2"/>
        <v/>
      </c>
      <c r="AZ2945" s="82"/>
      <c r="BA2945" s="84" t="s">
        <v>152</v>
      </c>
      <c r="BB2945" s="84" t="str">
        <f>IFERROR(__xludf.DUMMYFUNCTION("iferror(if(A2945="""",,E2945&gt;=FILTER(Constants!$F$2:$F$10,Constants!$A$2:$A$10=A2945)))"),"")</f>
        <v/>
      </c>
    </row>
    <row r="2946">
      <c r="A2946" s="89"/>
      <c r="B2946" s="87"/>
      <c r="C2946" s="73"/>
      <c r="D2946" s="73"/>
      <c r="E2946" s="82"/>
      <c r="F2946" s="82"/>
      <c r="G2946" s="86"/>
      <c r="H2946" s="86"/>
      <c r="I2946" s="86"/>
      <c r="J2946" s="82"/>
      <c r="K2946" s="82"/>
      <c r="L2946" s="82"/>
      <c r="M2946" s="82"/>
      <c r="N2946" s="82"/>
      <c r="O2946" s="82"/>
      <c r="P2946" s="82"/>
      <c r="Q2946" s="82"/>
      <c r="R2946" s="82"/>
      <c r="S2946" s="82"/>
      <c r="T2946" s="82"/>
      <c r="U2946" s="82"/>
      <c r="V2946" s="82"/>
      <c r="W2946" s="82"/>
      <c r="X2946" s="82"/>
      <c r="Y2946" s="82"/>
      <c r="Z2946" s="82"/>
      <c r="AA2946" s="82"/>
      <c r="AB2946" s="82"/>
      <c r="AC2946" s="82"/>
      <c r="AD2946" s="82"/>
      <c r="AE2946" s="82"/>
      <c r="AF2946" s="82"/>
      <c r="AG2946" s="82"/>
      <c r="AH2946" s="82"/>
      <c r="AI2946" s="82"/>
      <c r="AJ2946" s="82"/>
      <c r="AK2946" s="82"/>
      <c r="AL2946" s="82"/>
      <c r="AM2946" s="82"/>
      <c r="AN2946" s="82"/>
      <c r="AO2946" s="82"/>
      <c r="AP2946" s="82"/>
      <c r="AQ2946" s="82"/>
      <c r="AR2946" s="82"/>
      <c r="AS2946" s="82"/>
      <c r="AT2946" s="82"/>
      <c r="AU2946" s="82"/>
      <c r="AV2946" s="82"/>
      <c r="AW2946" s="82" t="str">
        <f t="shared" si="1"/>
        <v/>
      </c>
      <c r="AX2946" s="83" t="str">
        <f t="array" ref="AX2946">IFERROR(DGET('SBV Import'!A:G,"SBV",{"RSC ID","Tier";B2946,A2946}))</f>
        <v/>
      </c>
      <c r="AY2946" s="82" t="str">
        <f t="shared" si="2"/>
        <v/>
      </c>
      <c r="AZ2946" s="82"/>
      <c r="BA2946" s="84" t="s">
        <v>152</v>
      </c>
      <c r="BB2946" s="84" t="str">
        <f>IFERROR(__xludf.DUMMYFUNCTION("iferror(if(A2946="""",,E2946&gt;=FILTER(Constants!$F$2:$F$10,Constants!$A$2:$A$10=A2946)))"),"")</f>
        <v/>
      </c>
    </row>
    <row r="2947">
      <c r="A2947" s="89"/>
      <c r="B2947" s="87"/>
      <c r="C2947" s="73"/>
      <c r="D2947" s="73"/>
      <c r="E2947" s="82"/>
      <c r="F2947" s="82"/>
      <c r="G2947" s="86"/>
      <c r="H2947" s="86"/>
      <c r="I2947" s="86"/>
      <c r="J2947" s="82"/>
      <c r="K2947" s="82"/>
      <c r="L2947" s="82"/>
      <c r="M2947" s="82"/>
      <c r="N2947" s="82"/>
      <c r="O2947" s="82"/>
      <c r="P2947" s="82"/>
      <c r="Q2947" s="82"/>
      <c r="R2947" s="82"/>
      <c r="S2947" s="82"/>
      <c r="T2947" s="82"/>
      <c r="U2947" s="82"/>
      <c r="V2947" s="82"/>
      <c r="W2947" s="82"/>
      <c r="X2947" s="82"/>
      <c r="Y2947" s="82"/>
      <c r="Z2947" s="82"/>
      <c r="AA2947" s="82"/>
      <c r="AB2947" s="82"/>
      <c r="AC2947" s="82"/>
      <c r="AD2947" s="82"/>
      <c r="AE2947" s="82"/>
      <c r="AF2947" s="82"/>
      <c r="AG2947" s="82"/>
      <c r="AH2947" s="82"/>
      <c r="AI2947" s="82"/>
      <c r="AJ2947" s="82"/>
      <c r="AK2947" s="82"/>
      <c r="AL2947" s="82"/>
      <c r="AM2947" s="82"/>
      <c r="AN2947" s="82"/>
      <c r="AO2947" s="82"/>
      <c r="AP2947" s="82"/>
      <c r="AQ2947" s="82"/>
      <c r="AR2947" s="82"/>
      <c r="AS2947" s="82"/>
      <c r="AT2947" s="82"/>
      <c r="AU2947" s="82"/>
      <c r="AV2947" s="82"/>
      <c r="AW2947" s="82" t="str">
        <f t="shared" si="1"/>
        <v/>
      </c>
      <c r="AX2947" s="83" t="str">
        <f t="array" ref="AX2947">IFERROR(DGET('SBV Import'!A:G,"SBV",{"RSC ID","Tier";B2947,A2947}))</f>
        <v/>
      </c>
      <c r="AY2947" s="82" t="str">
        <f t="shared" si="2"/>
        <v/>
      </c>
      <c r="AZ2947" s="82"/>
      <c r="BA2947" s="84" t="s">
        <v>152</v>
      </c>
      <c r="BB2947" s="84" t="str">
        <f>IFERROR(__xludf.DUMMYFUNCTION("iferror(if(A2947="""",,E2947&gt;=FILTER(Constants!$F$2:$F$10,Constants!$A$2:$A$10=A2947)))"),"")</f>
        <v/>
      </c>
    </row>
    <row r="2948">
      <c r="A2948" s="89"/>
      <c r="B2948" s="87"/>
      <c r="C2948" s="73"/>
      <c r="D2948" s="73"/>
      <c r="E2948" s="82"/>
      <c r="F2948" s="82"/>
      <c r="G2948" s="86"/>
      <c r="H2948" s="86"/>
      <c r="I2948" s="86"/>
      <c r="J2948" s="82"/>
      <c r="K2948" s="82"/>
      <c r="L2948" s="82"/>
      <c r="M2948" s="82"/>
      <c r="N2948" s="82"/>
      <c r="O2948" s="82"/>
      <c r="P2948" s="82"/>
      <c r="Q2948" s="82"/>
      <c r="R2948" s="82"/>
      <c r="S2948" s="82"/>
      <c r="T2948" s="82"/>
      <c r="U2948" s="82"/>
      <c r="V2948" s="82"/>
      <c r="W2948" s="82"/>
      <c r="X2948" s="82"/>
      <c r="Y2948" s="82"/>
      <c r="Z2948" s="82"/>
      <c r="AA2948" s="82"/>
      <c r="AB2948" s="82"/>
      <c r="AC2948" s="82"/>
      <c r="AD2948" s="82"/>
      <c r="AE2948" s="82"/>
      <c r="AF2948" s="82"/>
      <c r="AG2948" s="82"/>
      <c r="AH2948" s="82"/>
      <c r="AI2948" s="82"/>
      <c r="AJ2948" s="82"/>
      <c r="AK2948" s="82"/>
      <c r="AL2948" s="82"/>
      <c r="AM2948" s="82"/>
      <c r="AN2948" s="82"/>
      <c r="AO2948" s="82"/>
      <c r="AP2948" s="82"/>
      <c r="AQ2948" s="82"/>
      <c r="AR2948" s="82"/>
      <c r="AS2948" s="82"/>
      <c r="AT2948" s="82"/>
      <c r="AU2948" s="82"/>
      <c r="AV2948" s="82"/>
      <c r="AW2948" s="82" t="str">
        <f t="shared" si="1"/>
        <v/>
      </c>
      <c r="AX2948" s="83" t="str">
        <f t="array" ref="AX2948">IFERROR(DGET('SBV Import'!A:G,"SBV",{"RSC ID","Tier";B2948,A2948}))</f>
        <v/>
      </c>
      <c r="AY2948" s="82" t="str">
        <f t="shared" si="2"/>
        <v/>
      </c>
      <c r="AZ2948" s="82"/>
      <c r="BA2948" s="84" t="s">
        <v>152</v>
      </c>
      <c r="BB2948" s="84" t="str">
        <f>IFERROR(__xludf.DUMMYFUNCTION("iferror(if(A2948="""",,E2948&gt;=FILTER(Constants!$F$2:$F$10,Constants!$A$2:$A$10=A2948)))"),"")</f>
        <v/>
      </c>
    </row>
    <row r="2949">
      <c r="A2949" s="89"/>
      <c r="B2949" s="87"/>
      <c r="C2949" s="73"/>
      <c r="D2949" s="73"/>
      <c r="E2949" s="82"/>
      <c r="F2949" s="82"/>
      <c r="G2949" s="86"/>
      <c r="H2949" s="86"/>
      <c r="I2949" s="86"/>
      <c r="J2949" s="82"/>
      <c r="K2949" s="82"/>
      <c r="L2949" s="82"/>
      <c r="M2949" s="82"/>
      <c r="N2949" s="82"/>
      <c r="O2949" s="82"/>
      <c r="P2949" s="82"/>
      <c r="Q2949" s="82"/>
      <c r="R2949" s="82"/>
      <c r="S2949" s="82"/>
      <c r="T2949" s="82"/>
      <c r="U2949" s="82"/>
      <c r="V2949" s="82"/>
      <c r="W2949" s="82"/>
      <c r="X2949" s="82"/>
      <c r="Y2949" s="82"/>
      <c r="Z2949" s="82"/>
      <c r="AA2949" s="82"/>
      <c r="AB2949" s="82"/>
      <c r="AC2949" s="82"/>
      <c r="AD2949" s="82"/>
      <c r="AE2949" s="82"/>
      <c r="AF2949" s="82"/>
      <c r="AG2949" s="82"/>
      <c r="AH2949" s="82"/>
      <c r="AI2949" s="82"/>
      <c r="AJ2949" s="82"/>
      <c r="AK2949" s="82"/>
      <c r="AL2949" s="82"/>
      <c r="AM2949" s="82"/>
      <c r="AN2949" s="82"/>
      <c r="AO2949" s="82"/>
      <c r="AP2949" s="82"/>
      <c r="AQ2949" s="82"/>
      <c r="AR2949" s="82"/>
      <c r="AS2949" s="82"/>
      <c r="AT2949" s="82"/>
      <c r="AU2949" s="82"/>
      <c r="AV2949" s="82"/>
      <c r="AW2949" s="82" t="str">
        <f t="shared" si="1"/>
        <v/>
      </c>
      <c r="AX2949" s="83" t="str">
        <f t="array" ref="AX2949">IFERROR(DGET('SBV Import'!A:G,"SBV",{"RSC ID","Tier";B2949,A2949}))</f>
        <v/>
      </c>
      <c r="AY2949" s="82" t="str">
        <f t="shared" si="2"/>
        <v/>
      </c>
      <c r="AZ2949" s="82"/>
      <c r="BA2949" s="84" t="s">
        <v>152</v>
      </c>
      <c r="BB2949" s="84" t="str">
        <f>IFERROR(__xludf.DUMMYFUNCTION("iferror(if(A2949="""",,E2949&gt;=FILTER(Constants!$F$2:$F$10,Constants!$A$2:$A$10=A2949)))"),"")</f>
        <v/>
      </c>
    </row>
    <row r="2950">
      <c r="A2950" s="89"/>
      <c r="B2950" s="87"/>
      <c r="C2950" s="73"/>
      <c r="D2950" s="73"/>
      <c r="E2950" s="82"/>
      <c r="F2950" s="82"/>
      <c r="G2950" s="86"/>
      <c r="H2950" s="86"/>
      <c r="I2950" s="86"/>
      <c r="J2950" s="82"/>
      <c r="K2950" s="82"/>
      <c r="L2950" s="82"/>
      <c r="M2950" s="82"/>
      <c r="N2950" s="82"/>
      <c r="O2950" s="82"/>
      <c r="P2950" s="82"/>
      <c r="Q2950" s="82"/>
      <c r="R2950" s="82"/>
      <c r="S2950" s="82"/>
      <c r="T2950" s="82"/>
      <c r="U2950" s="82"/>
      <c r="V2950" s="82"/>
      <c r="W2950" s="82"/>
      <c r="X2950" s="82"/>
      <c r="Y2950" s="82"/>
      <c r="Z2950" s="82"/>
      <c r="AA2950" s="82"/>
      <c r="AB2950" s="82"/>
      <c r="AC2950" s="82"/>
      <c r="AD2950" s="82"/>
      <c r="AE2950" s="82"/>
      <c r="AF2950" s="82"/>
      <c r="AG2950" s="82"/>
      <c r="AH2950" s="82"/>
      <c r="AI2950" s="82"/>
      <c r="AJ2950" s="82"/>
      <c r="AK2950" s="82"/>
      <c r="AL2950" s="82"/>
      <c r="AM2950" s="82"/>
      <c r="AN2950" s="82"/>
      <c r="AO2950" s="82"/>
      <c r="AP2950" s="82"/>
      <c r="AQ2950" s="82"/>
      <c r="AR2950" s="82"/>
      <c r="AS2950" s="82"/>
      <c r="AT2950" s="82"/>
      <c r="AU2950" s="82"/>
      <c r="AV2950" s="82"/>
      <c r="AW2950" s="82" t="str">
        <f t="shared" si="1"/>
        <v/>
      </c>
      <c r="AX2950" s="83" t="str">
        <f t="array" ref="AX2950">IFERROR(DGET('SBV Import'!A:G,"SBV",{"RSC ID","Tier";B2950,A2950}))</f>
        <v/>
      </c>
      <c r="AY2950" s="82" t="str">
        <f t="shared" si="2"/>
        <v/>
      </c>
      <c r="AZ2950" s="82"/>
      <c r="BA2950" s="84" t="s">
        <v>152</v>
      </c>
      <c r="BB2950" s="84" t="str">
        <f>IFERROR(__xludf.DUMMYFUNCTION("iferror(if(A2950="""",,E2950&gt;=FILTER(Constants!$F$2:$F$10,Constants!$A$2:$A$10=A2950)))"),"")</f>
        <v/>
      </c>
    </row>
    <row r="2951">
      <c r="A2951" s="89"/>
      <c r="B2951" s="87"/>
      <c r="C2951" s="73"/>
      <c r="D2951" s="73"/>
      <c r="E2951" s="82"/>
      <c r="F2951" s="82"/>
      <c r="G2951" s="86"/>
      <c r="H2951" s="86"/>
      <c r="I2951" s="86"/>
      <c r="J2951" s="82"/>
      <c r="K2951" s="82"/>
      <c r="L2951" s="82"/>
      <c r="M2951" s="82"/>
      <c r="N2951" s="82"/>
      <c r="O2951" s="82"/>
      <c r="P2951" s="82"/>
      <c r="Q2951" s="82"/>
      <c r="R2951" s="82"/>
      <c r="S2951" s="82"/>
      <c r="T2951" s="82"/>
      <c r="U2951" s="82"/>
      <c r="V2951" s="82"/>
      <c r="W2951" s="82"/>
      <c r="X2951" s="82"/>
      <c r="Y2951" s="82"/>
      <c r="Z2951" s="82"/>
      <c r="AA2951" s="82"/>
      <c r="AB2951" s="82"/>
      <c r="AC2951" s="82"/>
      <c r="AD2951" s="82"/>
      <c r="AE2951" s="82"/>
      <c r="AF2951" s="82"/>
      <c r="AG2951" s="82"/>
      <c r="AH2951" s="82"/>
      <c r="AI2951" s="82"/>
      <c r="AJ2951" s="82"/>
      <c r="AK2951" s="82"/>
      <c r="AL2951" s="82"/>
      <c r="AM2951" s="82"/>
      <c r="AN2951" s="82"/>
      <c r="AO2951" s="82"/>
      <c r="AP2951" s="82"/>
      <c r="AQ2951" s="82"/>
      <c r="AR2951" s="82"/>
      <c r="AS2951" s="82"/>
      <c r="AT2951" s="82"/>
      <c r="AU2951" s="82"/>
      <c r="AV2951" s="82"/>
      <c r="AW2951" s="82" t="str">
        <f t="shared" si="1"/>
        <v/>
      </c>
      <c r="AX2951" s="83" t="str">
        <f t="array" ref="AX2951">IFERROR(DGET('SBV Import'!A:G,"SBV",{"RSC ID","Tier";B2951,A2951}))</f>
        <v/>
      </c>
      <c r="AY2951" s="82" t="str">
        <f t="shared" si="2"/>
        <v/>
      </c>
      <c r="AZ2951" s="82"/>
      <c r="BA2951" s="84" t="s">
        <v>152</v>
      </c>
      <c r="BB2951" s="84" t="str">
        <f>IFERROR(__xludf.DUMMYFUNCTION("iferror(if(A2951="""",,E2951&gt;=FILTER(Constants!$F$2:$F$10,Constants!$A$2:$A$10=A2951)))"),"")</f>
        <v/>
      </c>
    </row>
    <row r="2952">
      <c r="A2952" s="89"/>
      <c r="B2952" s="87"/>
      <c r="C2952" s="73"/>
      <c r="D2952" s="73"/>
      <c r="E2952" s="82"/>
      <c r="F2952" s="82"/>
      <c r="G2952" s="86"/>
      <c r="H2952" s="86"/>
      <c r="I2952" s="86"/>
      <c r="J2952" s="82"/>
      <c r="K2952" s="82"/>
      <c r="L2952" s="82"/>
      <c r="M2952" s="82"/>
      <c r="N2952" s="82"/>
      <c r="O2952" s="82"/>
      <c r="P2952" s="82"/>
      <c r="Q2952" s="82"/>
      <c r="R2952" s="82"/>
      <c r="S2952" s="82"/>
      <c r="T2952" s="82"/>
      <c r="U2952" s="82"/>
      <c r="V2952" s="82"/>
      <c r="W2952" s="82"/>
      <c r="X2952" s="82"/>
      <c r="Y2952" s="82"/>
      <c r="Z2952" s="82"/>
      <c r="AA2952" s="82"/>
      <c r="AB2952" s="82"/>
      <c r="AC2952" s="82"/>
      <c r="AD2952" s="82"/>
      <c r="AE2952" s="82"/>
      <c r="AF2952" s="82"/>
      <c r="AG2952" s="82"/>
      <c r="AH2952" s="82"/>
      <c r="AI2952" s="82"/>
      <c r="AJ2952" s="82"/>
      <c r="AK2952" s="82"/>
      <c r="AL2952" s="82"/>
      <c r="AM2952" s="82"/>
      <c r="AN2952" s="82"/>
      <c r="AO2952" s="82"/>
      <c r="AP2952" s="82"/>
      <c r="AQ2952" s="82"/>
      <c r="AR2952" s="82"/>
      <c r="AS2952" s="82"/>
      <c r="AT2952" s="82"/>
      <c r="AU2952" s="82"/>
      <c r="AV2952" s="82"/>
      <c r="AW2952" s="82" t="str">
        <f t="shared" si="1"/>
        <v/>
      </c>
      <c r="AX2952" s="83" t="str">
        <f t="array" ref="AX2952">IFERROR(DGET('SBV Import'!A:G,"SBV",{"RSC ID","Tier";B2952,A2952}))</f>
        <v/>
      </c>
      <c r="AY2952" s="82" t="str">
        <f t="shared" si="2"/>
        <v/>
      </c>
      <c r="AZ2952" s="82"/>
      <c r="BA2952" s="84" t="s">
        <v>152</v>
      </c>
      <c r="BB2952" s="84" t="str">
        <f>IFERROR(__xludf.DUMMYFUNCTION("iferror(if(A2952="""",,E2952&gt;=FILTER(Constants!$F$2:$F$10,Constants!$A$2:$A$10=A2952)))"),"")</f>
        <v/>
      </c>
    </row>
    <row r="2953">
      <c r="A2953" s="89"/>
      <c r="B2953" s="87"/>
      <c r="C2953" s="73"/>
      <c r="D2953" s="73"/>
      <c r="E2953" s="82"/>
      <c r="F2953" s="82"/>
      <c r="G2953" s="86"/>
      <c r="H2953" s="86"/>
      <c r="I2953" s="86"/>
      <c r="J2953" s="82"/>
      <c r="K2953" s="82"/>
      <c r="L2953" s="82"/>
      <c r="M2953" s="82"/>
      <c r="N2953" s="82"/>
      <c r="O2953" s="82"/>
      <c r="P2953" s="82"/>
      <c r="Q2953" s="82"/>
      <c r="R2953" s="82"/>
      <c r="S2953" s="82"/>
      <c r="T2953" s="82"/>
      <c r="U2953" s="82"/>
      <c r="V2953" s="82"/>
      <c r="W2953" s="82"/>
      <c r="X2953" s="82"/>
      <c r="Y2953" s="82"/>
      <c r="Z2953" s="82"/>
      <c r="AA2953" s="82"/>
      <c r="AB2953" s="82"/>
      <c r="AC2953" s="82"/>
      <c r="AD2953" s="82"/>
      <c r="AE2953" s="82"/>
      <c r="AF2953" s="82"/>
      <c r="AG2953" s="82"/>
      <c r="AH2953" s="82"/>
      <c r="AI2953" s="82"/>
      <c r="AJ2953" s="82"/>
      <c r="AK2953" s="82"/>
      <c r="AL2953" s="82"/>
      <c r="AM2953" s="82"/>
      <c r="AN2953" s="82"/>
      <c r="AO2953" s="82"/>
      <c r="AP2953" s="82"/>
      <c r="AQ2953" s="82"/>
      <c r="AR2953" s="82"/>
      <c r="AS2953" s="82"/>
      <c r="AT2953" s="82"/>
      <c r="AU2953" s="82"/>
      <c r="AV2953" s="82"/>
      <c r="AW2953" s="82" t="str">
        <f t="shared" si="1"/>
        <v/>
      </c>
      <c r="AX2953" s="83" t="str">
        <f t="array" ref="AX2953">IFERROR(DGET('SBV Import'!A:G,"SBV",{"RSC ID","Tier";B2953,A2953}))</f>
        <v/>
      </c>
      <c r="AY2953" s="82" t="str">
        <f t="shared" si="2"/>
        <v/>
      </c>
      <c r="AZ2953" s="82"/>
      <c r="BA2953" s="84" t="s">
        <v>152</v>
      </c>
      <c r="BB2953" s="84" t="str">
        <f>IFERROR(__xludf.DUMMYFUNCTION("iferror(if(A2953="""",,E2953&gt;=FILTER(Constants!$F$2:$F$10,Constants!$A$2:$A$10=A2953)))"),"")</f>
        <v/>
      </c>
    </row>
    <row r="2954">
      <c r="A2954" s="89"/>
      <c r="B2954" s="87"/>
      <c r="C2954" s="73"/>
      <c r="D2954" s="73"/>
      <c r="E2954" s="82"/>
      <c r="F2954" s="82"/>
      <c r="G2954" s="86"/>
      <c r="H2954" s="86"/>
      <c r="I2954" s="86"/>
      <c r="J2954" s="82"/>
      <c r="K2954" s="82"/>
      <c r="L2954" s="82"/>
      <c r="M2954" s="82"/>
      <c r="N2954" s="82"/>
      <c r="O2954" s="82"/>
      <c r="P2954" s="82"/>
      <c r="Q2954" s="82"/>
      <c r="R2954" s="82"/>
      <c r="S2954" s="82"/>
      <c r="T2954" s="82"/>
      <c r="U2954" s="82"/>
      <c r="V2954" s="82"/>
      <c r="W2954" s="82"/>
      <c r="X2954" s="82"/>
      <c r="Y2954" s="82"/>
      <c r="Z2954" s="82"/>
      <c r="AA2954" s="82"/>
      <c r="AB2954" s="82"/>
      <c r="AC2954" s="82"/>
      <c r="AD2954" s="82"/>
      <c r="AE2954" s="82"/>
      <c r="AF2954" s="82"/>
      <c r="AG2954" s="82"/>
      <c r="AH2954" s="82"/>
      <c r="AI2954" s="82"/>
      <c r="AJ2954" s="82"/>
      <c r="AK2954" s="82"/>
      <c r="AL2954" s="82"/>
      <c r="AM2954" s="82"/>
      <c r="AN2954" s="82"/>
      <c r="AO2954" s="82"/>
      <c r="AP2954" s="82"/>
      <c r="AQ2954" s="82"/>
      <c r="AR2954" s="82"/>
      <c r="AS2954" s="82"/>
      <c r="AT2954" s="82"/>
      <c r="AU2954" s="82"/>
      <c r="AV2954" s="82"/>
      <c r="AW2954" s="82" t="str">
        <f t="shared" si="1"/>
        <v/>
      </c>
      <c r="AX2954" s="83" t="str">
        <f t="array" ref="AX2954">IFERROR(DGET('SBV Import'!A:G,"SBV",{"RSC ID","Tier";B2954,A2954}))</f>
        <v/>
      </c>
      <c r="AY2954" s="82" t="str">
        <f t="shared" si="2"/>
        <v/>
      </c>
      <c r="AZ2954" s="82"/>
      <c r="BA2954" s="84" t="s">
        <v>152</v>
      </c>
      <c r="BB2954" s="84" t="str">
        <f>IFERROR(__xludf.DUMMYFUNCTION("iferror(if(A2954="""",,E2954&gt;=FILTER(Constants!$F$2:$F$10,Constants!$A$2:$A$10=A2954)))"),"")</f>
        <v/>
      </c>
    </row>
    <row r="2955">
      <c r="A2955" s="89"/>
      <c r="B2955" s="87"/>
      <c r="C2955" s="73"/>
      <c r="D2955" s="73"/>
      <c r="E2955" s="82"/>
      <c r="F2955" s="82"/>
      <c r="G2955" s="86"/>
      <c r="H2955" s="86"/>
      <c r="I2955" s="86"/>
      <c r="J2955" s="82"/>
      <c r="K2955" s="82"/>
      <c r="L2955" s="82"/>
      <c r="M2955" s="82"/>
      <c r="N2955" s="82"/>
      <c r="O2955" s="82"/>
      <c r="P2955" s="82"/>
      <c r="Q2955" s="82"/>
      <c r="R2955" s="82"/>
      <c r="S2955" s="82"/>
      <c r="T2955" s="82"/>
      <c r="U2955" s="82"/>
      <c r="V2955" s="82"/>
      <c r="W2955" s="82"/>
      <c r="X2955" s="82"/>
      <c r="Y2955" s="82"/>
      <c r="Z2955" s="82"/>
      <c r="AA2955" s="82"/>
      <c r="AB2955" s="82"/>
      <c r="AC2955" s="82"/>
      <c r="AD2955" s="82"/>
      <c r="AE2955" s="82"/>
      <c r="AF2955" s="82"/>
      <c r="AG2955" s="82"/>
      <c r="AH2955" s="82"/>
      <c r="AI2955" s="82"/>
      <c r="AJ2955" s="82"/>
      <c r="AK2955" s="82"/>
      <c r="AL2955" s="82"/>
      <c r="AM2955" s="82"/>
      <c r="AN2955" s="82"/>
      <c r="AO2955" s="82"/>
      <c r="AP2955" s="82"/>
      <c r="AQ2955" s="82"/>
      <c r="AR2955" s="82"/>
      <c r="AS2955" s="82"/>
      <c r="AT2955" s="82"/>
      <c r="AU2955" s="82"/>
      <c r="AV2955" s="82"/>
      <c r="AW2955" s="82" t="str">
        <f t="shared" si="1"/>
        <v/>
      </c>
      <c r="AX2955" s="83" t="str">
        <f t="array" ref="AX2955">IFERROR(DGET('SBV Import'!A:G,"SBV",{"RSC ID","Tier";B2955,A2955}))</f>
        <v/>
      </c>
      <c r="AY2955" s="82" t="str">
        <f t="shared" si="2"/>
        <v/>
      </c>
      <c r="AZ2955" s="82"/>
      <c r="BA2955" s="84" t="s">
        <v>152</v>
      </c>
      <c r="BB2955" s="84" t="str">
        <f>IFERROR(__xludf.DUMMYFUNCTION("iferror(if(A2955="""",,E2955&gt;=FILTER(Constants!$F$2:$F$10,Constants!$A$2:$A$10=A2955)))"),"")</f>
        <v/>
      </c>
    </row>
    <row r="2956">
      <c r="A2956" s="89"/>
      <c r="B2956" s="87"/>
      <c r="C2956" s="73"/>
      <c r="D2956" s="73"/>
      <c r="E2956" s="82"/>
      <c r="F2956" s="82"/>
      <c r="G2956" s="86"/>
      <c r="H2956" s="86"/>
      <c r="I2956" s="86"/>
      <c r="J2956" s="82"/>
      <c r="K2956" s="82"/>
      <c r="L2956" s="82"/>
      <c r="M2956" s="82"/>
      <c r="N2956" s="82"/>
      <c r="O2956" s="82"/>
      <c r="P2956" s="82"/>
      <c r="Q2956" s="82"/>
      <c r="R2956" s="82"/>
      <c r="S2956" s="82"/>
      <c r="T2956" s="82"/>
      <c r="U2956" s="82"/>
      <c r="V2956" s="82"/>
      <c r="W2956" s="82"/>
      <c r="X2956" s="82"/>
      <c r="Y2956" s="82"/>
      <c r="Z2956" s="82"/>
      <c r="AA2956" s="82"/>
      <c r="AB2956" s="82"/>
      <c r="AC2956" s="82"/>
      <c r="AD2956" s="82"/>
      <c r="AE2956" s="82"/>
      <c r="AF2956" s="82"/>
      <c r="AG2956" s="82"/>
      <c r="AH2956" s="82"/>
      <c r="AI2956" s="82"/>
      <c r="AJ2956" s="82"/>
      <c r="AK2956" s="82"/>
      <c r="AL2956" s="82"/>
      <c r="AM2956" s="82"/>
      <c r="AN2956" s="82"/>
      <c r="AO2956" s="82"/>
      <c r="AP2956" s="82"/>
      <c r="AQ2956" s="82"/>
      <c r="AR2956" s="82"/>
      <c r="AS2956" s="82"/>
      <c r="AT2956" s="82"/>
      <c r="AU2956" s="82"/>
      <c r="AV2956" s="82"/>
      <c r="AW2956" s="82" t="str">
        <f t="shared" si="1"/>
        <v/>
      </c>
      <c r="AX2956" s="83" t="str">
        <f t="array" ref="AX2956">IFERROR(DGET('SBV Import'!A:G,"SBV",{"RSC ID","Tier";B2956,A2956}))</f>
        <v/>
      </c>
      <c r="AY2956" s="82" t="str">
        <f t="shared" si="2"/>
        <v/>
      </c>
      <c r="AZ2956" s="82"/>
      <c r="BA2956" s="84" t="s">
        <v>152</v>
      </c>
      <c r="BB2956" s="84" t="str">
        <f>IFERROR(__xludf.DUMMYFUNCTION("iferror(if(A2956="""",,E2956&gt;=FILTER(Constants!$F$2:$F$10,Constants!$A$2:$A$10=A2956)))"),"")</f>
        <v/>
      </c>
    </row>
    <row r="2957">
      <c r="A2957" s="89"/>
      <c r="B2957" s="87"/>
      <c r="C2957" s="73"/>
      <c r="D2957" s="73"/>
      <c r="E2957" s="82"/>
      <c r="F2957" s="82"/>
      <c r="G2957" s="86"/>
      <c r="H2957" s="86"/>
      <c r="I2957" s="86"/>
      <c r="J2957" s="82"/>
      <c r="K2957" s="82"/>
      <c r="L2957" s="82"/>
      <c r="M2957" s="82"/>
      <c r="N2957" s="82"/>
      <c r="O2957" s="82"/>
      <c r="P2957" s="82"/>
      <c r="Q2957" s="82"/>
      <c r="R2957" s="82"/>
      <c r="S2957" s="82"/>
      <c r="T2957" s="82"/>
      <c r="U2957" s="82"/>
      <c r="V2957" s="82"/>
      <c r="W2957" s="82"/>
      <c r="X2957" s="82"/>
      <c r="Y2957" s="82"/>
      <c r="Z2957" s="82"/>
      <c r="AA2957" s="82"/>
      <c r="AB2957" s="82"/>
      <c r="AC2957" s="82"/>
      <c r="AD2957" s="82"/>
      <c r="AE2957" s="82"/>
      <c r="AF2957" s="82"/>
      <c r="AG2957" s="82"/>
      <c r="AH2957" s="82"/>
      <c r="AI2957" s="82"/>
      <c r="AJ2957" s="82"/>
      <c r="AK2957" s="82"/>
      <c r="AL2957" s="82"/>
      <c r="AM2957" s="82"/>
      <c r="AN2957" s="82"/>
      <c r="AO2957" s="82"/>
      <c r="AP2957" s="82"/>
      <c r="AQ2957" s="82"/>
      <c r="AR2957" s="82"/>
      <c r="AS2957" s="82"/>
      <c r="AT2957" s="82"/>
      <c r="AU2957" s="82"/>
      <c r="AV2957" s="82"/>
      <c r="AW2957" s="82" t="str">
        <f t="shared" si="1"/>
        <v/>
      </c>
      <c r="AX2957" s="83" t="str">
        <f t="array" ref="AX2957">IFERROR(DGET('SBV Import'!A:G,"SBV",{"RSC ID","Tier";B2957,A2957}))</f>
        <v/>
      </c>
      <c r="AY2957" s="82" t="str">
        <f t="shared" si="2"/>
        <v/>
      </c>
      <c r="AZ2957" s="82"/>
      <c r="BA2957" s="84" t="s">
        <v>152</v>
      </c>
      <c r="BB2957" s="84" t="str">
        <f>IFERROR(__xludf.DUMMYFUNCTION("iferror(if(A2957="""",,E2957&gt;=FILTER(Constants!$F$2:$F$10,Constants!$A$2:$A$10=A2957)))"),"")</f>
        <v/>
      </c>
    </row>
    <row r="2958">
      <c r="A2958" s="89"/>
      <c r="B2958" s="87"/>
      <c r="C2958" s="73"/>
      <c r="D2958" s="73"/>
      <c r="E2958" s="82"/>
      <c r="F2958" s="82"/>
      <c r="G2958" s="86"/>
      <c r="H2958" s="86"/>
      <c r="I2958" s="86"/>
      <c r="J2958" s="82"/>
      <c r="K2958" s="82"/>
      <c r="L2958" s="82"/>
      <c r="M2958" s="82"/>
      <c r="N2958" s="82"/>
      <c r="O2958" s="82"/>
      <c r="P2958" s="82"/>
      <c r="Q2958" s="82"/>
      <c r="R2958" s="82"/>
      <c r="S2958" s="82"/>
      <c r="T2958" s="82"/>
      <c r="U2958" s="82"/>
      <c r="V2958" s="82"/>
      <c r="W2958" s="82"/>
      <c r="X2958" s="82"/>
      <c r="Y2958" s="82"/>
      <c r="Z2958" s="82"/>
      <c r="AA2958" s="82"/>
      <c r="AB2958" s="82"/>
      <c r="AC2958" s="82"/>
      <c r="AD2958" s="82"/>
      <c r="AE2958" s="82"/>
      <c r="AF2958" s="82"/>
      <c r="AG2958" s="82"/>
      <c r="AH2958" s="82"/>
      <c r="AI2958" s="82"/>
      <c r="AJ2958" s="82"/>
      <c r="AK2958" s="82"/>
      <c r="AL2958" s="82"/>
      <c r="AM2958" s="82"/>
      <c r="AN2958" s="82"/>
      <c r="AO2958" s="82"/>
      <c r="AP2958" s="82"/>
      <c r="AQ2958" s="82"/>
      <c r="AR2958" s="82"/>
      <c r="AS2958" s="82"/>
      <c r="AT2958" s="82"/>
      <c r="AU2958" s="82"/>
      <c r="AV2958" s="82"/>
      <c r="AW2958" s="82" t="str">
        <f t="shared" si="1"/>
        <v/>
      </c>
      <c r="AX2958" s="83" t="str">
        <f t="array" ref="AX2958">IFERROR(DGET('SBV Import'!A:G,"SBV",{"RSC ID","Tier";B2958,A2958}))</f>
        <v/>
      </c>
      <c r="AY2958" s="82" t="str">
        <f t="shared" si="2"/>
        <v/>
      </c>
      <c r="AZ2958" s="82"/>
      <c r="BA2958" s="84" t="s">
        <v>152</v>
      </c>
      <c r="BB2958" s="84" t="str">
        <f>IFERROR(__xludf.DUMMYFUNCTION("iferror(if(A2958="""",,E2958&gt;=FILTER(Constants!$F$2:$F$10,Constants!$A$2:$A$10=A2958)))"),"")</f>
        <v/>
      </c>
    </row>
    <row r="2959">
      <c r="A2959" s="89"/>
      <c r="B2959" s="87"/>
      <c r="C2959" s="73"/>
      <c r="D2959" s="73"/>
      <c r="E2959" s="82"/>
      <c r="F2959" s="82"/>
      <c r="G2959" s="86"/>
      <c r="H2959" s="86"/>
      <c r="I2959" s="86"/>
      <c r="J2959" s="82"/>
      <c r="K2959" s="82"/>
      <c r="L2959" s="82"/>
      <c r="M2959" s="82"/>
      <c r="N2959" s="82"/>
      <c r="O2959" s="82"/>
      <c r="P2959" s="82"/>
      <c r="Q2959" s="82"/>
      <c r="R2959" s="82"/>
      <c r="S2959" s="82"/>
      <c r="T2959" s="82"/>
      <c r="U2959" s="82"/>
      <c r="V2959" s="82"/>
      <c r="W2959" s="82"/>
      <c r="X2959" s="82"/>
      <c r="Y2959" s="82"/>
      <c r="Z2959" s="82"/>
      <c r="AA2959" s="82"/>
      <c r="AB2959" s="82"/>
      <c r="AC2959" s="82"/>
      <c r="AD2959" s="82"/>
      <c r="AE2959" s="82"/>
      <c r="AF2959" s="82"/>
      <c r="AG2959" s="82"/>
      <c r="AH2959" s="82"/>
      <c r="AI2959" s="82"/>
      <c r="AJ2959" s="82"/>
      <c r="AK2959" s="82"/>
      <c r="AL2959" s="82"/>
      <c r="AM2959" s="82"/>
      <c r="AN2959" s="82"/>
      <c r="AO2959" s="82"/>
      <c r="AP2959" s="82"/>
      <c r="AQ2959" s="82"/>
      <c r="AR2959" s="82"/>
      <c r="AS2959" s="82"/>
      <c r="AT2959" s="82"/>
      <c r="AU2959" s="82"/>
      <c r="AV2959" s="82"/>
      <c r="AW2959" s="82" t="str">
        <f t="shared" si="1"/>
        <v/>
      </c>
      <c r="AX2959" s="83" t="str">
        <f t="array" ref="AX2959">IFERROR(DGET('SBV Import'!A:G,"SBV",{"RSC ID","Tier";B2959,A2959}))</f>
        <v/>
      </c>
      <c r="AY2959" s="82" t="str">
        <f t="shared" si="2"/>
        <v/>
      </c>
      <c r="AZ2959" s="82"/>
      <c r="BA2959" s="84" t="s">
        <v>152</v>
      </c>
      <c r="BB2959" s="84" t="str">
        <f>IFERROR(__xludf.DUMMYFUNCTION("iferror(if(A2959="""",,E2959&gt;=FILTER(Constants!$F$2:$F$10,Constants!$A$2:$A$10=A2959)))"),"")</f>
        <v/>
      </c>
    </row>
    <row r="2960">
      <c r="A2960" s="89"/>
      <c r="B2960" s="87"/>
      <c r="C2960" s="73"/>
      <c r="D2960" s="73"/>
      <c r="E2960" s="82"/>
      <c r="F2960" s="82"/>
      <c r="G2960" s="86"/>
      <c r="H2960" s="86"/>
      <c r="I2960" s="86"/>
      <c r="J2960" s="82"/>
      <c r="K2960" s="82"/>
      <c r="L2960" s="82"/>
      <c r="M2960" s="82"/>
      <c r="N2960" s="82"/>
      <c r="O2960" s="82"/>
      <c r="P2960" s="82"/>
      <c r="Q2960" s="82"/>
      <c r="R2960" s="82"/>
      <c r="S2960" s="82"/>
      <c r="T2960" s="82"/>
      <c r="U2960" s="82"/>
      <c r="V2960" s="82"/>
      <c r="W2960" s="82"/>
      <c r="X2960" s="82"/>
      <c r="Y2960" s="82"/>
      <c r="Z2960" s="82"/>
      <c r="AA2960" s="82"/>
      <c r="AB2960" s="82"/>
      <c r="AC2960" s="82"/>
      <c r="AD2960" s="82"/>
      <c r="AE2960" s="82"/>
      <c r="AF2960" s="82"/>
      <c r="AG2960" s="82"/>
      <c r="AH2960" s="82"/>
      <c r="AI2960" s="82"/>
      <c r="AJ2960" s="82"/>
      <c r="AK2960" s="82"/>
      <c r="AL2960" s="82"/>
      <c r="AM2960" s="82"/>
      <c r="AN2960" s="82"/>
      <c r="AO2960" s="82"/>
      <c r="AP2960" s="82"/>
      <c r="AQ2960" s="82"/>
      <c r="AR2960" s="82"/>
      <c r="AS2960" s="82"/>
      <c r="AT2960" s="82"/>
      <c r="AU2960" s="82"/>
      <c r="AV2960" s="82"/>
      <c r="AW2960" s="82" t="str">
        <f t="shared" si="1"/>
        <v/>
      </c>
      <c r="AX2960" s="83" t="str">
        <f t="array" ref="AX2960">IFERROR(DGET('SBV Import'!A:G,"SBV",{"RSC ID","Tier";B2960,A2960}))</f>
        <v/>
      </c>
      <c r="AY2960" s="82" t="str">
        <f t="shared" si="2"/>
        <v/>
      </c>
      <c r="AZ2960" s="82"/>
      <c r="BA2960" s="84" t="s">
        <v>152</v>
      </c>
      <c r="BB2960" s="84" t="str">
        <f>IFERROR(__xludf.DUMMYFUNCTION("iferror(if(A2960="""",,E2960&gt;=FILTER(Constants!$F$2:$F$10,Constants!$A$2:$A$10=A2960)))"),"")</f>
        <v/>
      </c>
    </row>
    <row r="2961">
      <c r="A2961" s="89"/>
      <c r="B2961" s="87"/>
      <c r="C2961" s="73"/>
      <c r="D2961" s="73"/>
      <c r="E2961" s="82"/>
      <c r="F2961" s="82"/>
      <c r="G2961" s="86"/>
      <c r="H2961" s="86"/>
      <c r="I2961" s="86"/>
      <c r="J2961" s="82"/>
      <c r="K2961" s="82"/>
      <c r="L2961" s="82"/>
      <c r="M2961" s="82"/>
      <c r="N2961" s="82"/>
      <c r="O2961" s="82"/>
      <c r="P2961" s="82"/>
      <c r="Q2961" s="82"/>
      <c r="R2961" s="82"/>
      <c r="S2961" s="82"/>
      <c r="T2961" s="82"/>
      <c r="U2961" s="82"/>
      <c r="V2961" s="82"/>
      <c r="W2961" s="82"/>
      <c r="X2961" s="82"/>
      <c r="Y2961" s="82"/>
      <c r="Z2961" s="82"/>
      <c r="AA2961" s="82"/>
      <c r="AB2961" s="82"/>
      <c r="AC2961" s="82"/>
      <c r="AD2961" s="82"/>
      <c r="AE2961" s="82"/>
      <c r="AF2961" s="82"/>
      <c r="AG2961" s="82"/>
      <c r="AH2961" s="82"/>
      <c r="AI2961" s="82"/>
      <c r="AJ2961" s="82"/>
      <c r="AK2961" s="82"/>
      <c r="AL2961" s="82"/>
      <c r="AM2961" s="82"/>
      <c r="AN2961" s="82"/>
      <c r="AO2961" s="82"/>
      <c r="AP2961" s="82"/>
      <c r="AQ2961" s="82"/>
      <c r="AR2961" s="82"/>
      <c r="AS2961" s="82"/>
      <c r="AT2961" s="82"/>
      <c r="AU2961" s="82"/>
      <c r="AV2961" s="82"/>
      <c r="AW2961" s="82" t="str">
        <f t="shared" si="1"/>
        <v/>
      </c>
      <c r="AX2961" s="83" t="str">
        <f t="array" ref="AX2961">IFERROR(DGET('SBV Import'!A:G,"SBV",{"RSC ID","Tier";B2961,A2961}))</f>
        <v/>
      </c>
      <c r="AY2961" s="82" t="str">
        <f t="shared" si="2"/>
        <v/>
      </c>
      <c r="AZ2961" s="82"/>
      <c r="BA2961" s="84" t="s">
        <v>152</v>
      </c>
      <c r="BB2961" s="84" t="str">
        <f>IFERROR(__xludf.DUMMYFUNCTION("iferror(if(A2961="""",,E2961&gt;=FILTER(Constants!$F$2:$F$10,Constants!$A$2:$A$10=A2961)))"),"")</f>
        <v/>
      </c>
    </row>
    <row r="2962">
      <c r="A2962" s="89"/>
      <c r="B2962" s="87"/>
      <c r="C2962" s="73"/>
      <c r="D2962" s="73"/>
      <c r="E2962" s="82"/>
      <c r="F2962" s="82"/>
      <c r="G2962" s="86"/>
      <c r="H2962" s="86"/>
      <c r="I2962" s="86"/>
      <c r="J2962" s="82"/>
      <c r="K2962" s="82"/>
      <c r="L2962" s="82"/>
      <c r="M2962" s="82"/>
      <c r="N2962" s="82"/>
      <c r="O2962" s="82"/>
      <c r="P2962" s="82"/>
      <c r="Q2962" s="82"/>
      <c r="R2962" s="82"/>
      <c r="S2962" s="82"/>
      <c r="T2962" s="82"/>
      <c r="U2962" s="82"/>
      <c r="V2962" s="82"/>
      <c r="W2962" s="82"/>
      <c r="X2962" s="82"/>
      <c r="Y2962" s="82"/>
      <c r="Z2962" s="82"/>
      <c r="AA2962" s="82"/>
      <c r="AB2962" s="82"/>
      <c r="AC2962" s="82"/>
      <c r="AD2962" s="82"/>
      <c r="AE2962" s="82"/>
      <c r="AF2962" s="82"/>
      <c r="AG2962" s="82"/>
      <c r="AH2962" s="82"/>
      <c r="AI2962" s="82"/>
      <c r="AJ2962" s="82"/>
      <c r="AK2962" s="82"/>
      <c r="AL2962" s="82"/>
      <c r="AM2962" s="82"/>
      <c r="AN2962" s="82"/>
      <c r="AO2962" s="82"/>
      <c r="AP2962" s="82"/>
      <c r="AQ2962" s="82"/>
      <c r="AR2962" s="82"/>
      <c r="AS2962" s="82"/>
      <c r="AT2962" s="82"/>
      <c r="AU2962" s="82"/>
      <c r="AV2962" s="82"/>
      <c r="AW2962" s="82" t="str">
        <f t="shared" si="1"/>
        <v/>
      </c>
      <c r="AX2962" s="83" t="str">
        <f t="array" ref="AX2962">IFERROR(DGET('SBV Import'!A:G,"SBV",{"RSC ID","Tier";B2962,A2962}))</f>
        <v/>
      </c>
      <c r="AY2962" s="82" t="str">
        <f t="shared" si="2"/>
        <v/>
      </c>
      <c r="AZ2962" s="82"/>
      <c r="BA2962" s="84" t="s">
        <v>152</v>
      </c>
      <c r="BB2962" s="84" t="str">
        <f>IFERROR(__xludf.DUMMYFUNCTION("iferror(if(A2962="""",,E2962&gt;=FILTER(Constants!$F$2:$F$10,Constants!$A$2:$A$10=A2962)))"),"")</f>
        <v/>
      </c>
    </row>
    <row r="2963">
      <c r="A2963" s="89"/>
      <c r="B2963" s="87"/>
      <c r="C2963" s="73"/>
      <c r="D2963" s="73"/>
      <c r="E2963" s="82"/>
      <c r="F2963" s="82"/>
      <c r="G2963" s="86"/>
      <c r="H2963" s="86"/>
      <c r="I2963" s="86"/>
      <c r="J2963" s="82"/>
      <c r="K2963" s="82"/>
      <c r="L2963" s="82"/>
      <c r="M2963" s="82"/>
      <c r="N2963" s="82"/>
      <c r="O2963" s="82"/>
      <c r="P2963" s="82"/>
      <c r="Q2963" s="82"/>
      <c r="R2963" s="82"/>
      <c r="S2963" s="82"/>
      <c r="T2963" s="82"/>
      <c r="U2963" s="82"/>
      <c r="V2963" s="82"/>
      <c r="W2963" s="82"/>
      <c r="X2963" s="82"/>
      <c r="Y2963" s="82"/>
      <c r="Z2963" s="82"/>
      <c r="AA2963" s="82"/>
      <c r="AB2963" s="82"/>
      <c r="AC2963" s="82"/>
      <c r="AD2963" s="82"/>
      <c r="AE2963" s="82"/>
      <c r="AF2963" s="82"/>
      <c r="AG2963" s="82"/>
      <c r="AH2963" s="82"/>
      <c r="AI2963" s="82"/>
      <c r="AJ2963" s="82"/>
      <c r="AK2963" s="82"/>
      <c r="AL2963" s="82"/>
      <c r="AM2963" s="82"/>
      <c r="AN2963" s="82"/>
      <c r="AO2963" s="82"/>
      <c r="AP2963" s="82"/>
      <c r="AQ2963" s="82"/>
      <c r="AR2963" s="82"/>
      <c r="AS2963" s="82"/>
      <c r="AT2963" s="82"/>
      <c r="AU2963" s="82"/>
      <c r="AV2963" s="82"/>
      <c r="AW2963" s="82" t="str">
        <f t="shared" si="1"/>
        <v/>
      </c>
      <c r="AX2963" s="83" t="str">
        <f t="array" ref="AX2963">IFERROR(DGET('SBV Import'!A:G,"SBV",{"RSC ID","Tier";B2963,A2963}))</f>
        <v/>
      </c>
      <c r="AY2963" s="82" t="str">
        <f t="shared" si="2"/>
        <v/>
      </c>
      <c r="AZ2963" s="82"/>
      <c r="BA2963" s="84" t="s">
        <v>152</v>
      </c>
      <c r="BB2963" s="84" t="str">
        <f>IFERROR(__xludf.DUMMYFUNCTION("iferror(if(A2963="""",,E2963&gt;=FILTER(Constants!$F$2:$F$10,Constants!$A$2:$A$10=A2963)))"),"")</f>
        <v/>
      </c>
    </row>
    <row r="2964">
      <c r="A2964" s="89"/>
      <c r="B2964" s="87"/>
      <c r="C2964" s="73"/>
      <c r="D2964" s="73"/>
      <c r="E2964" s="82"/>
      <c r="F2964" s="82"/>
      <c r="G2964" s="86"/>
      <c r="H2964" s="86"/>
      <c r="I2964" s="86"/>
      <c r="J2964" s="82"/>
      <c r="K2964" s="82"/>
      <c r="L2964" s="82"/>
      <c r="M2964" s="82"/>
      <c r="N2964" s="82"/>
      <c r="O2964" s="82"/>
      <c r="P2964" s="82"/>
      <c r="Q2964" s="82"/>
      <c r="R2964" s="82"/>
      <c r="S2964" s="82"/>
      <c r="T2964" s="82"/>
      <c r="U2964" s="82"/>
      <c r="V2964" s="82"/>
      <c r="W2964" s="82"/>
      <c r="X2964" s="82"/>
      <c r="Y2964" s="82"/>
      <c r="Z2964" s="82"/>
      <c r="AA2964" s="82"/>
      <c r="AB2964" s="82"/>
      <c r="AC2964" s="82"/>
      <c r="AD2964" s="82"/>
      <c r="AE2964" s="82"/>
      <c r="AF2964" s="82"/>
      <c r="AG2964" s="82"/>
      <c r="AH2964" s="82"/>
      <c r="AI2964" s="82"/>
      <c r="AJ2964" s="82"/>
      <c r="AK2964" s="82"/>
      <c r="AL2964" s="82"/>
      <c r="AM2964" s="82"/>
      <c r="AN2964" s="82"/>
      <c r="AO2964" s="82"/>
      <c r="AP2964" s="82"/>
      <c r="AQ2964" s="82"/>
      <c r="AR2964" s="82"/>
      <c r="AS2964" s="82"/>
      <c r="AT2964" s="82"/>
      <c r="AU2964" s="82"/>
      <c r="AV2964" s="82"/>
      <c r="AW2964" s="82" t="str">
        <f t="shared" si="1"/>
        <v/>
      </c>
      <c r="AX2964" s="83" t="str">
        <f t="array" ref="AX2964">IFERROR(DGET('SBV Import'!A:G,"SBV",{"RSC ID","Tier";B2964,A2964}))</f>
        <v/>
      </c>
      <c r="AY2964" s="82" t="str">
        <f t="shared" si="2"/>
        <v/>
      </c>
      <c r="AZ2964" s="82"/>
      <c r="BA2964" s="84" t="s">
        <v>152</v>
      </c>
      <c r="BB2964" s="84" t="str">
        <f>IFERROR(__xludf.DUMMYFUNCTION("iferror(if(A2964="""",,E2964&gt;=FILTER(Constants!$F$2:$F$10,Constants!$A$2:$A$10=A2964)))"),"")</f>
        <v/>
      </c>
    </row>
    <row r="2965">
      <c r="A2965" s="89"/>
      <c r="B2965" s="87"/>
      <c r="C2965" s="73"/>
      <c r="D2965" s="73"/>
      <c r="E2965" s="82"/>
      <c r="F2965" s="82"/>
      <c r="G2965" s="86"/>
      <c r="H2965" s="86"/>
      <c r="I2965" s="86"/>
      <c r="J2965" s="82"/>
      <c r="K2965" s="82"/>
      <c r="L2965" s="82"/>
      <c r="M2965" s="82"/>
      <c r="N2965" s="82"/>
      <c r="O2965" s="82"/>
      <c r="P2965" s="82"/>
      <c r="Q2965" s="82"/>
      <c r="R2965" s="82"/>
      <c r="S2965" s="82"/>
      <c r="T2965" s="82"/>
      <c r="U2965" s="82"/>
      <c r="V2965" s="82"/>
      <c r="W2965" s="82"/>
      <c r="X2965" s="82"/>
      <c r="Y2965" s="82"/>
      <c r="Z2965" s="82"/>
      <c r="AA2965" s="82"/>
      <c r="AB2965" s="82"/>
      <c r="AC2965" s="82"/>
      <c r="AD2965" s="82"/>
      <c r="AE2965" s="82"/>
      <c r="AF2965" s="82"/>
      <c r="AG2965" s="82"/>
      <c r="AH2965" s="82"/>
      <c r="AI2965" s="82"/>
      <c r="AJ2965" s="82"/>
      <c r="AK2965" s="82"/>
      <c r="AL2965" s="82"/>
      <c r="AM2965" s="82"/>
      <c r="AN2965" s="82"/>
      <c r="AO2965" s="82"/>
      <c r="AP2965" s="82"/>
      <c r="AQ2965" s="82"/>
      <c r="AR2965" s="82"/>
      <c r="AS2965" s="82"/>
      <c r="AT2965" s="82"/>
      <c r="AU2965" s="82"/>
      <c r="AV2965" s="82"/>
      <c r="AW2965" s="82" t="str">
        <f t="shared" si="1"/>
        <v/>
      </c>
      <c r="AX2965" s="83" t="str">
        <f t="array" ref="AX2965">IFERROR(DGET('SBV Import'!A:G,"SBV",{"RSC ID","Tier";B2965,A2965}))</f>
        <v/>
      </c>
      <c r="AY2965" s="82" t="str">
        <f t="shared" si="2"/>
        <v/>
      </c>
      <c r="AZ2965" s="82"/>
      <c r="BA2965" s="84" t="s">
        <v>152</v>
      </c>
      <c r="BB2965" s="84" t="str">
        <f>IFERROR(__xludf.DUMMYFUNCTION("iferror(if(A2965="""",,E2965&gt;=FILTER(Constants!$F$2:$F$10,Constants!$A$2:$A$10=A2965)))"),"")</f>
        <v/>
      </c>
    </row>
    <row r="2966">
      <c r="A2966" s="89"/>
      <c r="B2966" s="87"/>
      <c r="C2966" s="73"/>
      <c r="D2966" s="73"/>
      <c r="E2966" s="82"/>
      <c r="F2966" s="82"/>
      <c r="G2966" s="86"/>
      <c r="H2966" s="86"/>
      <c r="I2966" s="86"/>
      <c r="J2966" s="82"/>
      <c r="K2966" s="82"/>
      <c r="L2966" s="82"/>
      <c r="M2966" s="82"/>
      <c r="N2966" s="82"/>
      <c r="O2966" s="82"/>
      <c r="P2966" s="82"/>
      <c r="Q2966" s="82"/>
      <c r="R2966" s="82"/>
      <c r="S2966" s="82"/>
      <c r="T2966" s="82"/>
      <c r="U2966" s="82"/>
      <c r="V2966" s="82"/>
      <c r="W2966" s="82"/>
      <c r="X2966" s="82"/>
      <c r="Y2966" s="82"/>
      <c r="Z2966" s="82"/>
      <c r="AA2966" s="82"/>
      <c r="AB2966" s="82"/>
      <c r="AC2966" s="82"/>
      <c r="AD2966" s="82"/>
      <c r="AE2966" s="82"/>
      <c r="AF2966" s="82"/>
      <c r="AG2966" s="82"/>
      <c r="AH2966" s="82"/>
      <c r="AI2966" s="82"/>
      <c r="AJ2966" s="82"/>
      <c r="AK2966" s="82"/>
      <c r="AL2966" s="82"/>
      <c r="AM2966" s="82"/>
      <c r="AN2966" s="82"/>
      <c r="AO2966" s="82"/>
      <c r="AP2966" s="82"/>
      <c r="AQ2966" s="82"/>
      <c r="AR2966" s="82"/>
      <c r="AS2966" s="82"/>
      <c r="AT2966" s="82"/>
      <c r="AU2966" s="82"/>
      <c r="AV2966" s="82"/>
      <c r="AW2966" s="82" t="str">
        <f t="shared" si="1"/>
        <v/>
      </c>
      <c r="AX2966" s="83" t="str">
        <f t="array" ref="AX2966">IFERROR(DGET('SBV Import'!A:G,"SBV",{"RSC ID","Tier";B2966,A2966}))</f>
        <v/>
      </c>
      <c r="AY2966" s="82" t="str">
        <f t="shared" si="2"/>
        <v/>
      </c>
      <c r="AZ2966" s="82"/>
      <c r="BA2966" s="84" t="s">
        <v>152</v>
      </c>
      <c r="BB2966" s="84" t="str">
        <f>IFERROR(__xludf.DUMMYFUNCTION("iferror(if(A2966="""",,E2966&gt;=FILTER(Constants!$F$2:$F$10,Constants!$A$2:$A$10=A2966)))"),"")</f>
        <v/>
      </c>
    </row>
    <row r="2967">
      <c r="A2967" s="89"/>
      <c r="B2967" s="87"/>
      <c r="C2967" s="73"/>
      <c r="D2967" s="73"/>
      <c r="E2967" s="82"/>
      <c r="F2967" s="82"/>
      <c r="G2967" s="86"/>
      <c r="H2967" s="86"/>
      <c r="I2967" s="86"/>
      <c r="J2967" s="82"/>
      <c r="K2967" s="82"/>
      <c r="L2967" s="82"/>
      <c r="M2967" s="82"/>
      <c r="N2967" s="82"/>
      <c r="O2967" s="82"/>
      <c r="P2967" s="82"/>
      <c r="Q2967" s="82"/>
      <c r="R2967" s="82"/>
      <c r="S2967" s="82"/>
      <c r="T2967" s="82"/>
      <c r="U2967" s="82"/>
      <c r="V2967" s="82"/>
      <c r="W2967" s="82"/>
      <c r="X2967" s="82"/>
      <c r="Y2967" s="82"/>
      <c r="Z2967" s="82"/>
      <c r="AA2967" s="82"/>
      <c r="AB2967" s="82"/>
      <c r="AC2967" s="82"/>
      <c r="AD2967" s="82"/>
      <c r="AE2967" s="82"/>
      <c r="AF2967" s="82"/>
      <c r="AG2967" s="82"/>
      <c r="AH2967" s="82"/>
      <c r="AI2967" s="82"/>
      <c r="AJ2967" s="82"/>
      <c r="AK2967" s="82"/>
      <c r="AL2967" s="82"/>
      <c r="AM2967" s="82"/>
      <c r="AN2967" s="82"/>
      <c r="AO2967" s="82"/>
      <c r="AP2967" s="82"/>
      <c r="AQ2967" s="82"/>
      <c r="AR2967" s="82"/>
      <c r="AS2967" s="82"/>
      <c r="AT2967" s="82"/>
      <c r="AU2967" s="82"/>
      <c r="AV2967" s="82"/>
      <c r="AW2967" s="82" t="str">
        <f t="shared" si="1"/>
        <v/>
      </c>
      <c r="AX2967" s="83" t="str">
        <f t="array" ref="AX2967">IFERROR(DGET('SBV Import'!A:G,"SBV",{"RSC ID","Tier";B2967,A2967}))</f>
        <v/>
      </c>
      <c r="AY2967" s="82" t="str">
        <f t="shared" si="2"/>
        <v/>
      </c>
      <c r="AZ2967" s="82"/>
      <c r="BA2967" s="84" t="s">
        <v>152</v>
      </c>
      <c r="BB2967" s="84" t="str">
        <f>IFERROR(__xludf.DUMMYFUNCTION("iferror(if(A2967="""",,E2967&gt;=FILTER(Constants!$F$2:$F$10,Constants!$A$2:$A$10=A2967)))"),"")</f>
        <v/>
      </c>
    </row>
    <row r="2968">
      <c r="A2968" s="89"/>
      <c r="B2968" s="87"/>
      <c r="C2968" s="73"/>
      <c r="D2968" s="73"/>
      <c r="E2968" s="82"/>
      <c r="F2968" s="82"/>
      <c r="G2968" s="86"/>
      <c r="H2968" s="86"/>
      <c r="I2968" s="86"/>
      <c r="J2968" s="82"/>
      <c r="K2968" s="82"/>
      <c r="L2968" s="82"/>
      <c r="M2968" s="82"/>
      <c r="N2968" s="82"/>
      <c r="O2968" s="82"/>
      <c r="P2968" s="82"/>
      <c r="Q2968" s="82"/>
      <c r="R2968" s="82"/>
      <c r="S2968" s="82"/>
      <c r="T2968" s="82"/>
      <c r="U2968" s="82"/>
      <c r="V2968" s="82"/>
      <c r="W2968" s="82"/>
      <c r="X2968" s="82"/>
      <c r="Y2968" s="82"/>
      <c r="Z2968" s="82"/>
      <c r="AA2968" s="82"/>
      <c r="AB2968" s="82"/>
      <c r="AC2968" s="82"/>
      <c r="AD2968" s="82"/>
      <c r="AE2968" s="82"/>
      <c r="AF2968" s="82"/>
      <c r="AG2968" s="82"/>
      <c r="AH2968" s="82"/>
      <c r="AI2968" s="82"/>
      <c r="AJ2968" s="82"/>
      <c r="AK2968" s="82"/>
      <c r="AL2968" s="82"/>
      <c r="AM2968" s="82"/>
      <c r="AN2968" s="82"/>
      <c r="AO2968" s="82"/>
      <c r="AP2968" s="82"/>
      <c r="AQ2968" s="82"/>
      <c r="AR2968" s="82"/>
      <c r="AS2968" s="82"/>
      <c r="AT2968" s="82"/>
      <c r="AU2968" s="82"/>
      <c r="AV2968" s="82"/>
      <c r="AW2968" s="82" t="str">
        <f t="shared" si="1"/>
        <v/>
      </c>
      <c r="AX2968" s="83" t="str">
        <f t="array" ref="AX2968">IFERROR(DGET('SBV Import'!A:G,"SBV",{"RSC ID","Tier";B2968,A2968}))</f>
        <v/>
      </c>
      <c r="AY2968" s="82" t="str">
        <f t="shared" si="2"/>
        <v/>
      </c>
      <c r="AZ2968" s="82"/>
      <c r="BA2968" s="84" t="s">
        <v>152</v>
      </c>
      <c r="BB2968" s="84" t="str">
        <f>IFERROR(__xludf.DUMMYFUNCTION("iferror(if(A2968="""",,E2968&gt;=FILTER(Constants!$F$2:$F$10,Constants!$A$2:$A$10=A2968)))"),"")</f>
        <v/>
      </c>
    </row>
    <row r="2969">
      <c r="A2969" s="89"/>
      <c r="B2969" s="87"/>
      <c r="C2969" s="73"/>
      <c r="D2969" s="73"/>
      <c r="E2969" s="82"/>
      <c r="F2969" s="82"/>
      <c r="G2969" s="86"/>
      <c r="H2969" s="86"/>
      <c r="I2969" s="86"/>
      <c r="J2969" s="82"/>
      <c r="K2969" s="82"/>
      <c r="L2969" s="82"/>
      <c r="M2969" s="82"/>
      <c r="N2969" s="82"/>
      <c r="O2969" s="82"/>
      <c r="P2969" s="82"/>
      <c r="Q2969" s="82"/>
      <c r="R2969" s="82"/>
      <c r="S2969" s="82"/>
      <c r="T2969" s="82"/>
      <c r="U2969" s="82"/>
      <c r="V2969" s="82"/>
      <c r="W2969" s="82"/>
      <c r="X2969" s="82"/>
      <c r="Y2969" s="82"/>
      <c r="Z2969" s="82"/>
      <c r="AA2969" s="82"/>
      <c r="AB2969" s="82"/>
      <c r="AC2969" s="82"/>
      <c r="AD2969" s="82"/>
      <c r="AE2969" s="82"/>
      <c r="AF2969" s="82"/>
      <c r="AG2969" s="82"/>
      <c r="AH2969" s="82"/>
      <c r="AI2969" s="82"/>
      <c r="AJ2969" s="82"/>
      <c r="AK2969" s="82"/>
      <c r="AL2969" s="82"/>
      <c r="AM2969" s="82"/>
      <c r="AN2969" s="82"/>
      <c r="AO2969" s="82"/>
      <c r="AP2969" s="82"/>
      <c r="AQ2969" s="82"/>
      <c r="AR2969" s="82"/>
      <c r="AS2969" s="82"/>
      <c r="AT2969" s="82"/>
      <c r="AU2969" s="82"/>
      <c r="AV2969" s="82"/>
      <c r="AW2969" s="82" t="str">
        <f t="shared" si="1"/>
        <v/>
      </c>
      <c r="AX2969" s="83" t="str">
        <f t="array" ref="AX2969">IFERROR(DGET('SBV Import'!A:G,"SBV",{"RSC ID","Tier";B2969,A2969}))</f>
        <v/>
      </c>
      <c r="AY2969" s="82" t="str">
        <f t="shared" si="2"/>
        <v/>
      </c>
      <c r="AZ2969" s="82"/>
      <c r="BA2969" s="84" t="s">
        <v>152</v>
      </c>
      <c r="BB2969" s="84" t="str">
        <f>IFERROR(__xludf.DUMMYFUNCTION("iferror(if(A2969="""",,E2969&gt;=FILTER(Constants!$F$2:$F$10,Constants!$A$2:$A$10=A2969)))"),"")</f>
        <v/>
      </c>
    </row>
    <row r="2970">
      <c r="A2970" s="89"/>
      <c r="B2970" s="87"/>
      <c r="C2970" s="73"/>
      <c r="D2970" s="73"/>
      <c r="E2970" s="82"/>
      <c r="F2970" s="82"/>
      <c r="G2970" s="86"/>
      <c r="H2970" s="86"/>
      <c r="I2970" s="86"/>
      <c r="J2970" s="82"/>
      <c r="K2970" s="82"/>
      <c r="L2970" s="82"/>
      <c r="M2970" s="82"/>
      <c r="N2970" s="82"/>
      <c r="O2970" s="82"/>
      <c r="P2970" s="82"/>
      <c r="Q2970" s="82"/>
      <c r="R2970" s="82"/>
      <c r="S2970" s="82"/>
      <c r="T2970" s="82"/>
      <c r="U2970" s="82"/>
      <c r="V2970" s="82"/>
      <c r="W2970" s="82"/>
      <c r="X2970" s="82"/>
      <c r="Y2970" s="82"/>
      <c r="Z2970" s="82"/>
      <c r="AA2970" s="82"/>
      <c r="AB2970" s="82"/>
      <c r="AC2970" s="82"/>
      <c r="AD2970" s="82"/>
      <c r="AE2970" s="82"/>
      <c r="AF2970" s="82"/>
      <c r="AG2970" s="82"/>
      <c r="AH2970" s="82"/>
      <c r="AI2970" s="82"/>
      <c r="AJ2970" s="82"/>
      <c r="AK2970" s="82"/>
      <c r="AL2970" s="82"/>
      <c r="AM2970" s="82"/>
      <c r="AN2970" s="82"/>
      <c r="AO2970" s="82"/>
      <c r="AP2970" s="82"/>
      <c r="AQ2970" s="82"/>
      <c r="AR2970" s="82"/>
      <c r="AS2970" s="82"/>
      <c r="AT2970" s="82"/>
      <c r="AU2970" s="82"/>
      <c r="AV2970" s="82"/>
      <c r="AW2970" s="82" t="str">
        <f t="shared" si="1"/>
        <v/>
      </c>
      <c r="AX2970" s="83" t="str">
        <f t="array" ref="AX2970">IFERROR(DGET('SBV Import'!A:G,"SBV",{"RSC ID","Tier";B2970,A2970}))</f>
        <v/>
      </c>
      <c r="AY2970" s="82" t="str">
        <f t="shared" si="2"/>
        <v/>
      </c>
      <c r="AZ2970" s="82"/>
      <c r="BA2970" s="84" t="s">
        <v>152</v>
      </c>
      <c r="BB2970" s="84" t="str">
        <f>IFERROR(__xludf.DUMMYFUNCTION("iferror(if(A2970="""",,E2970&gt;=FILTER(Constants!$F$2:$F$10,Constants!$A$2:$A$10=A2970)))"),"")</f>
        <v/>
      </c>
    </row>
    <row r="2971">
      <c r="A2971" s="89"/>
      <c r="B2971" s="87"/>
      <c r="C2971" s="73"/>
      <c r="D2971" s="73"/>
      <c r="E2971" s="82"/>
      <c r="F2971" s="82"/>
      <c r="G2971" s="86"/>
      <c r="H2971" s="86"/>
      <c r="I2971" s="86"/>
      <c r="J2971" s="82"/>
      <c r="K2971" s="82"/>
      <c r="L2971" s="82"/>
      <c r="M2971" s="82"/>
      <c r="N2971" s="82"/>
      <c r="O2971" s="82"/>
      <c r="P2971" s="82"/>
      <c r="Q2971" s="82"/>
      <c r="R2971" s="82"/>
      <c r="S2971" s="82"/>
      <c r="T2971" s="82"/>
      <c r="U2971" s="82"/>
      <c r="V2971" s="82"/>
      <c r="W2971" s="82"/>
      <c r="X2971" s="82"/>
      <c r="Y2971" s="82"/>
      <c r="Z2971" s="82"/>
      <c r="AA2971" s="82"/>
      <c r="AB2971" s="82"/>
      <c r="AC2971" s="82"/>
      <c r="AD2971" s="82"/>
      <c r="AE2971" s="82"/>
      <c r="AF2971" s="82"/>
      <c r="AG2971" s="82"/>
      <c r="AH2971" s="82"/>
      <c r="AI2971" s="82"/>
      <c r="AJ2971" s="82"/>
      <c r="AK2971" s="82"/>
      <c r="AL2971" s="82"/>
      <c r="AM2971" s="82"/>
      <c r="AN2971" s="82"/>
      <c r="AO2971" s="82"/>
      <c r="AP2971" s="82"/>
      <c r="AQ2971" s="82"/>
      <c r="AR2971" s="82"/>
      <c r="AS2971" s="82"/>
      <c r="AT2971" s="82"/>
      <c r="AU2971" s="82"/>
      <c r="AV2971" s="82"/>
      <c r="AW2971" s="82" t="str">
        <f t="shared" si="1"/>
        <v/>
      </c>
      <c r="AX2971" s="83" t="str">
        <f t="array" ref="AX2971">IFERROR(DGET('SBV Import'!A:G,"SBV",{"RSC ID","Tier";B2971,A2971}))</f>
        <v/>
      </c>
      <c r="AY2971" s="82" t="str">
        <f t="shared" si="2"/>
        <v/>
      </c>
      <c r="AZ2971" s="82"/>
      <c r="BA2971" s="84" t="s">
        <v>152</v>
      </c>
      <c r="BB2971" s="84" t="str">
        <f>IFERROR(__xludf.DUMMYFUNCTION("iferror(if(A2971="""",,E2971&gt;=FILTER(Constants!$F$2:$F$10,Constants!$A$2:$A$10=A2971)))"),"")</f>
        <v/>
      </c>
    </row>
    <row r="2972">
      <c r="A2972" s="89"/>
      <c r="B2972" s="87"/>
      <c r="C2972" s="73"/>
      <c r="D2972" s="73"/>
      <c r="E2972" s="82"/>
      <c r="F2972" s="82"/>
      <c r="G2972" s="86"/>
      <c r="H2972" s="86"/>
      <c r="I2972" s="86"/>
      <c r="J2972" s="82"/>
      <c r="K2972" s="82"/>
      <c r="L2972" s="82"/>
      <c r="M2972" s="82"/>
      <c r="N2972" s="82"/>
      <c r="O2972" s="82"/>
      <c r="P2972" s="82"/>
      <c r="Q2972" s="82"/>
      <c r="R2972" s="82"/>
      <c r="S2972" s="82"/>
      <c r="T2972" s="82"/>
      <c r="U2972" s="82"/>
      <c r="V2972" s="82"/>
      <c r="W2972" s="82"/>
      <c r="X2972" s="82"/>
      <c r="Y2972" s="82"/>
      <c r="Z2972" s="82"/>
      <c r="AA2972" s="82"/>
      <c r="AB2972" s="82"/>
      <c r="AC2972" s="82"/>
      <c r="AD2972" s="82"/>
      <c r="AE2972" s="82"/>
      <c r="AF2972" s="82"/>
      <c r="AG2972" s="82"/>
      <c r="AH2972" s="82"/>
      <c r="AI2972" s="82"/>
      <c r="AJ2972" s="82"/>
      <c r="AK2972" s="82"/>
      <c r="AL2972" s="82"/>
      <c r="AM2972" s="82"/>
      <c r="AN2972" s="82"/>
      <c r="AO2972" s="82"/>
      <c r="AP2972" s="82"/>
      <c r="AQ2972" s="82"/>
      <c r="AR2972" s="82"/>
      <c r="AS2972" s="82"/>
      <c r="AT2972" s="82"/>
      <c r="AU2972" s="82"/>
      <c r="AV2972" s="82"/>
      <c r="AW2972" s="82" t="str">
        <f t="shared" si="1"/>
        <v/>
      </c>
      <c r="AX2972" s="83" t="str">
        <f t="array" ref="AX2972">IFERROR(DGET('SBV Import'!A:G,"SBV",{"RSC ID","Tier";B2972,A2972}))</f>
        <v/>
      </c>
      <c r="AY2972" s="82" t="str">
        <f t="shared" si="2"/>
        <v/>
      </c>
      <c r="AZ2972" s="82"/>
      <c r="BA2972" s="84" t="s">
        <v>152</v>
      </c>
      <c r="BB2972" s="84" t="str">
        <f>IFERROR(__xludf.DUMMYFUNCTION("iferror(if(A2972="""",,E2972&gt;=FILTER(Constants!$F$2:$F$10,Constants!$A$2:$A$10=A2972)))"),"")</f>
        <v/>
      </c>
    </row>
    <row r="2973">
      <c r="A2973" s="89"/>
      <c r="B2973" s="87"/>
      <c r="C2973" s="73"/>
      <c r="D2973" s="73"/>
      <c r="E2973" s="82"/>
      <c r="F2973" s="82"/>
      <c r="G2973" s="86"/>
      <c r="H2973" s="86"/>
      <c r="I2973" s="86"/>
      <c r="J2973" s="82"/>
      <c r="K2973" s="82"/>
      <c r="L2973" s="82"/>
      <c r="M2973" s="82"/>
      <c r="N2973" s="82"/>
      <c r="O2973" s="82"/>
      <c r="P2973" s="82"/>
      <c r="Q2973" s="82"/>
      <c r="R2973" s="82"/>
      <c r="S2973" s="82"/>
      <c r="T2973" s="82"/>
      <c r="U2973" s="82"/>
      <c r="V2973" s="82"/>
      <c r="W2973" s="82"/>
      <c r="X2973" s="82"/>
      <c r="Y2973" s="82"/>
      <c r="Z2973" s="82"/>
      <c r="AA2973" s="82"/>
      <c r="AB2973" s="82"/>
      <c r="AC2973" s="82"/>
      <c r="AD2973" s="82"/>
      <c r="AE2973" s="82"/>
      <c r="AF2973" s="82"/>
      <c r="AG2973" s="82"/>
      <c r="AH2973" s="82"/>
      <c r="AI2973" s="82"/>
      <c r="AJ2973" s="82"/>
      <c r="AK2973" s="82"/>
      <c r="AL2973" s="82"/>
      <c r="AM2973" s="82"/>
      <c r="AN2973" s="82"/>
      <c r="AO2973" s="82"/>
      <c r="AP2973" s="82"/>
      <c r="AQ2973" s="82"/>
      <c r="AR2973" s="82"/>
      <c r="AS2973" s="82"/>
      <c r="AT2973" s="82"/>
      <c r="AU2973" s="82"/>
      <c r="AV2973" s="82"/>
      <c r="AW2973" s="82" t="str">
        <f t="shared" si="1"/>
        <v/>
      </c>
      <c r="AX2973" s="83" t="str">
        <f t="array" ref="AX2973">IFERROR(DGET('SBV Import'!A:G,"SBV",{"RSC ID","Tier";B2973,A2973}))</f>
        <v/>
      </c>
      <c r="AY2973" s="82" t="str">
        <f t="shared" si="2"/>
        <v/>
      </c>
      <c r="AZ2973" s="82"/>
      <c r="BA2973" s="84" t="s">
        <v>152</v>
      </c>
      <c r="BB2973" s="84" t="str">
        <f>IFERROR(__xludf.DUMMYFUNCTION("iferror(if(A2973="""",,E2973&gt;=FILTER(Constants!$F$2:$F$10,Constants!$A$2:$A$10=A2973)))"),"")</f>
        <v/>
      </c>
    </row>
    <row r="2974">
      <c r="A2974" s="89"/>
      <c r="B2974" s="87"/>
      <c r="C2974" s="73"/>
      <c r="D2974" s="73"/>
      <c r="E2974" s="82"/>
      <c r="F2974" s="82"/>
      <c r="G2974" s="86"/>
      <c r="H2974" s="86"/>
      <c r="I2974" s="86"/>
      <c r="J2974" s="82"/>
      <c r="K2974" s="82"/>
      <c r="L2974" s="82"/>
      <c r="M2974" s="82"/>
      <c r="N2974" s="82"/>
      <c r="O2974" s="82"/>
      <c r="P2974" s="82"/>
      <c r="Q2974" s="82"/>
      <c r="R2974" s="82"/>
      <c r="S2974" s="82"/>
      <c r="T2974" s="82"/>
      <c r="U2974" s="82"/>
      <c r="V2974" s="82"/>
      <c r="W2974" s="82"/>
      <c r="X2974" s="82"/>
      <c r="Y2974" s="82"/>
      <c r="Z2974" s="82"/>
      <c r="AA2974" s="82"/>
      <c r="AB2974" s="82"/>
      <c r="AC2974" s="82"/>
      <c r="AD2974" s="82"/>
      <c r="AE2974" s="82"/>
      <c r="AF2974" s="82"/>
      <c r="AG2974" s="82"/>
      <c r="AH2974" s="82"/>
      <c r="AI2974" s="82"/>
      <c r="AJ2974" s="82"/>
      <c r="AK2974" s="82"/>
      <c r="AL2974" s="82"/>
      <c r="AM2974" s="82"/>
      <c r="AN2974" s="82"/>
      <c r="AO2974" s="82"/>
      <c r="AP2974" s="82"/>
      <c r="AQ2974" s="82"/>
      <c r="AR2974" s="82"/>
      <c r="AS2974" s="82"/>
      <c r="AT2974" s="82"/>
      <c r="AU2974" s="82"/>
      <c r="AV2974" s="82"/>
      <c r="AW2974" s="82" t="str">
        <f t="shared" si="1"/>
        <v/>
      </c>
      <c r="AX2974" s="83" t="str">
        <f t="array" ref="AX2974">IFERROR(DGET('SBV Import'!A:G,"SBV",{"RSC ID","Tier";B2974,A2974}))</f>
        <v/>
      </c>
      <c r="AY2974" s="82" t="str">
        <f t="shared" si="2"/>
        <v/>
      </c>
      <c r="AZ2974" s="82"/>
      <c r="BA2974" s="84" t="s">
        <v>152</v>
      </c>
      <c r="BB2974" s="84" t="str">
        <f>IFERROR(__xludf.DUMMYFUNCTION("iferror(if(A2974="""",,E2974&gt;=FILTER(Constants!$F$2:$F$10,Constants!$A$2:$A$10=A2974)))"),"")</f>
        <v/>
      </c>
    </row>
    <row r="2975">
      <c r="A2975" s="89"/>
      <c r="B2975" s="87"/>
      <c r="C2975" s="73"/>
      <c r="D2975" s="73"/>
      <c r="E2975" s="82"/>
      <c r="F2975" s="82"/>
      <c r="G2975" s="86"/>
      <c r="H2975" s="86"/>
      <c r="I2975" s="86"/>
      <c r="J2975" s="82"/>
      <c r="K2975" s="82"/>
      <c r="L2975" s="82"/>
      <c r="M2975" s="82"/>
      <c r="N2975" s="82"/>
      <c r="O2975" s="82"/>
      <c r="P2975" s="82"/>
      <c r="Q2975" s="82"/>
      <c r="R2975" s="82"/>
      <c r="S2975" s="82"/>
      <c r="T2975" s="82"/>
      <c r="U2975" s="82"/>
      <c r="V2975" s="82"/>
      <c r="W2975" s="82"/>
      <c r="X2975" s="82"/>
      <c r="Y2975" s="82"/>
      <c r="Z2975" s="82"/>
      <c r="AA2975" s="82"/>
      <c r="AB2975" s="82"/>
      <c r="AC2975" s="82"/>
      <c r="AD2975" s="82"/>
      <c r="AE2975" s="82"/>
      <c r="AF2975" s="82"/>
      <c r="AG2975" s="82"/>
      <c r="AH2975" s="82"/>
      <c r="AI2975" s="82"/>
      <c r="AJ2975" s="82"/>
      <c r="AK2975" s="82"/>
      <c r="AL2975" s="82"/>
      <c r="AM2975" s="82"/>
      <c r="AN2975" s="82"/>
      <c r="AO2975" s="82"/>
      <c r="AP2975" s="82"/>
      <c r="AQ2975" s="82"/>
      <c r="AR2975" s="82"/>
      <c r="AS2975" s="82"/>
      <c r="AT2975" s="82"/>
      <c r="AU2975" s="82"/>
      <c r="AV2975" s="82"/>
      <c r="AW2975" s="82" t="str">
        <f t="shared" si="1"/>
        <v/>
      </c>
      <c r="AX2975" s="83" t="str">
        <f t="array" ref="AX2975">IFERROR(DGET('SBV Import'!A:G,"SBV",{"RSC ID","Tier";B2975,A2975}))</f>
        <v/>
      </c>
      <c r="AY2975" s="82" t="str">
        <f t="shared" si="2"/>
        <v/>
      </c>
      <c r="AZ2975" s="82"/>
      <c r="BA2975" s="84" t="s">
        <v>152</v>
      </c>
      <c r="BB2975" s="84" t="str">
        <f>IFERROR(__xludf.DUMMYFUNCTION("iferror(if(A2975="""",,E2975&gt;=FILTER(Constants!$F$2:$F$10,Constants!$A$2:$A$10=A2975)))"),"")</f>
        <v/>
      </c>
    </row>
    <row r="2976">
      <c r="A2976" s="89"/>
      <c r="B2976" s="87"/>
      <c r="C2976" s="73"/>
      <c r="D2976" s="73"/>
      <c r="E2976" s="82"/>
      <c r="F2976" s="82"/>
      <c r="G2976" s="86"/>
      <c r="H2976" s="86"/>
      <c r="I2976" s="86"/>
      <c r="J2976" s="82"/>
      <c r="K2976" s="82"/>
      <c r="L2976" s="82"/>
      <c r="M2976" s="82"/>
      <c r="N2976" s="82"/>
      <c r="O2976" s="82"/>
      <c r="P2976" s="82"/>
      <c r="Q2976" s="82"/>
      <c r="R2976" s="82"/>
      <c r="S2976" s="82"/>
      <c r="T2976" s="82"/>
      <c r="U2976" s="82"/>
      <c r="V2976" s="82"/>
      <c r="W2976" s="82"/>
      <c r="X2976" s="82"/>
      <c r="Y2976" s="82"/>
      <c r="Z2976" s="82"/>
      <c r="AA2976" s="82"/>
      <c r="AB2976" s="82"/>
      <c r="AC2976" s="82"/>
      <c r="AD2976" s="82"/>
      <c r="AE2976" s="82"/>
      <c r="AF2976" s="82"/>
      <c r="AG2976" s="82"/>
      <c r="AH2976" s="82"/>
      <c r="AI2976" s="82"/>
      <c r="AJ2976" s="82"/>
      <c r="AK2976" s="82"/>
      <c r="AL2976" s="82"/>
      <c r="AM2976" s="82"/>
      <c r="AN2976" s="82"/>
      <c r="AO2976" s="82"/>
      <c r="AP2976" s="82"/>
      <c r="AQ2976" s="82"/>
      <c r="AR2976" s="82"/>
      <c r="AS2976" s="82"/>
      <c r="AT2976" s="82"/>
      <c r="AU2976" s="82"/>
      <c r="AV2976" s="82"/>
      <c r="AW2976" s="82" t="str">
        <f t="shared" si="1"/>
        <v/>
      </c>
      <c r="AX2976" s="83" t="str">
        <f t="array" ref="AX2976">IFERROR(DGET('SBV Import'!A:G,"SBV",{"RSC ID","Tier";B2976,A2976}))</f>
        <v/>
      </c>
      <c r="AY2976" s="82" t="str">
        <f t="shared" si="2"/>
        <v/>
      </c>
      <c r="AZ2976" s="82"/>
      <c r="BA2976" s="84" t="s">
        <v>152</v>
      </c>
      <c r="BB2976" s="84" t="str">
        <f>IFERROR(__xludf.DUMMYFUNCTION("iferror(if(A2976="""",,E2976&gt;=FILTER(Constants!$F$2:$F$10,Constants!$A$2:$A$10=A2976)))"),"")</f>
        <v/>
      </c>
    </row>
    <row r="2977">
      <c r="A2977" s="89"/>
      <c r="B2977" s="87"/>
      <c r="C2977" s="73"/>
      <c r="D2977" s="73"/>
      <c r="E2977" s="82"/>
      <c r="F2977" s="82"/>
      <c r="G2977" s="86"/>
      <c r="H2977" s="86"/>
      <c r="I2977" s="86"/>
      <c r="J2977" s="82"/>
      <c r="K2977" s="82"/>
      <c r="L2977" s="82"/>
      <c r="M2977" s="82"/>
      <c r="N2977" s="82"/>
      <c r="O2977" s="82"/>
      <c r="P2977" s="82"/>
      <c r="Q2977" s="82"/>
      <c r="R2977" s="82"/>
      <c r="S2977" s="82"/>
      <c r="T2977" s="82"/>
      <c r="U2977" s="82"/>
      <c r="V2977" s="82"/>
      <c r="W2977" s="82"/>
      <c r="X2977" s="82"/>
      <c r="Y2977" s="82"/>
      <c r="Z2977" s="82"/>
      <c r="AA2977" s="82"/>
      <c r="AB2977" s="82"/>
      <c r="AC2977" s="82"/>
      <c r="AD2977" s="82"/>
      <c r="AE2977" s="82"/>
      <c r="AF2977" s="82"/>
      <c r="AG2977" s="82"/>
      <c r="AH2977" s="82"/>
      <c r="AI2977" s="82"/>
      <c r="AJ2977" s="82"/>
      <c r="AK2977" s="82"/>
      <c r="AL2977" s="82"/>
      <c r="AM2977" s="82"/>
      <c r="AN2977" s="82"/>
      <c r="AO2977" s="82"/>
      <c r="AP2977" s="82"/>
      <c r="AQ2977" s="82"/>
      <c r="AR2977" s="82"/>
      <c r="AS2977" s="82"/>
      <c r="AT2977" s="82"/>
      <c r="AU2977" s="82"/>
      <c r="AV2977" s="82"/>
      <c r="AW2977" s="82" t="str">
        <f t="shared" si="1"/>
        <v/>
      </c>
      <c r="AX2977" s="83" t="str">
        <f t="array" ref="AX2977">IFERROR(DGET('SBV Import'!A:G,"SBV",{"RSC ID","Tier";B2977,A2977}))</f>
        <v/>
      </c>
      <c r="AY2977" s="82" t="str">
        <f t="shared" si="2"/>
        <v/>
      </c>
      <c r="AZ2977" s="82"/>
      <c r="BA2977" s="84" t="s">
        <v>152</v>
      </c>
      <c r="BB2977" s="84" t="str">
        <f>IFERROR(__xludf.DUMMYFUNCTION("iferror(if(A2977="""",,E2977&gt;=FILTER(Constants!$F$2:$F$10,Constants!$A$2:$A$10=A2977)))"),"")</f>
        <v/>
      </c>
    </row>
    <row r="2978">
      <c r="A2978" s="89"/>
      <c r="B2978" s="87"/>
      <c r="C2978" s="73"/>
      <c r="D2978" s="73"/>
      <c r="E2978" s="82"/>
      <c r="F2978" s="82"/>
      <c r="G2978" s="86"/>
      <c r="H2978" s="86"/>
      <c r="I2978" s="86"/>
      <c r="J2978" s="82"/>
      <c r="K2978" s="82"/>
      <c r="L2978" s="82"/>
      <c r="M2978" s="82"/>
      <c r="N2978" s="82"/>
      <c r="O2978" s="82"/>
      <c r="P2978" s="82"/>
      <c r="Q2978" s="82"/>
      <c r="R2978" s="82"/>
      <c r="S2978" s="82"/>
      <c r="T2978" s="82"/>
      <c r="U2978" s="82"/>
      <c r="V2978" s="82"/>
      <c r="W2978" s="82"/>
      <c r="X2978" s="82"/>
      <c r="Y2978" s="82"/>
      <c r="Z2978" s="82"/>
      <c r="AA2978" s="82"/>
      <c r="AB2978" s="82"/>
      <c r="AC2978" s="82"/>
      <c r="AD2978" s="82"/>
      <c r="AE2978" s="82"/>
      <c r="AF2978" s="82"/>
      <c r="AG2978" s="82"/>
      <c r="AH2978" s="82"/>
      <c r="AI2978" s="82"/>
      <c r="AJ2978" s="82"/>
      <c r="AK2978" s="82"/>
      <c r="AL2978" s="82"/>
      <c r="AM2978" s="82"/>
      <c r="AN2978" s="82"/>
      <c r="AO2978" s="82"/>
      <c r="AP2978" s="82"/>
      <c r="AQ2978" s="82"/>
      <c r="AR2978" s="82"/>
      <c r="AS2978" s="82"/>
      <c r="AT2978" s="82"/>
      <c r="AU2978" s="82"/>
      <c r="AV2978" s="82"/>
      <c r="AW2978" s="82" t="str">
        <f t="shared" si="1"/>
        <v/>
      </c>
      <c r="AX2978" s="83" t="str">
        <f t="array" ref="AX2978">IFERROR(DGET('SBV Import'!A:G,"SBV",{"RSC ID","Tier";B2978,A2978}))</f>
        <v/>
      </c>
      <c r="AY2978" s="82" t="str">
        <f t="shared" si="2"/>
        <v/>
      </c>
      <c r="AZ2978" s="82"/>
      <c r="BA2978" s="84" t="s">
        <v>152</v>
      </c>
      <c r="BB2978" s="84" t="str">
        <f>IFERROR(__xludf.DUMMYFUNCTION("iferror(if(A2978="""",,E2978&gt;=FILTER(Constants!$F$2:$F$10,Constants!$A$2:$A$10=A2978)))"),"")</f>
        <v/>
      </c>
    </row>
    <row r="2979">
      <c r="A2979" s="89"/>
      <c r="B2979" s="87"/>
      <c r="C2979" s="73"/>
      <c r="D2979" s="73"/>
      <c r="E2979" s="82"/>
      <c r="F2979" s="82"/>
      <c r="G2979" s="86"/>
      <c r="H2979" s="86"/>
      <c r="I2979" s="86"/>
      <c r="J2979" s="82"/>
      <c r="K2979" s="82"/>
      <c r="L2979" s="82"/>
      <c r="M2979" s="82"/>
      <c r="N2979" s="82"/>
      <c r="O2979" s="82"/>
      <c r="P2979" s="82"/>
      <c r="Q2979" s="82"/>
      <c r="R2979" s="82"/>
      <c r="S2979" s="82"/>
      <c r="T2979" s="82"/>
      <c r="U2979" s="82"/>
      <c r="V2979" s="82"/>
      <c r="W2979" s="82"/>
      <c r="X2979" s="82"/>
      <c r="Y2979" s="82"/>
      <c r="Z2979" s="82"/>
      <c r="AA2979" s="82"/>
      <c r="AB2979" s="82"/>
      <c r="AC2979" s="82"/>
      <c r="AD2979" s="82"/>
      <c r="AE2979" s="82"/>
      <c r="AF2979" s="82"/>
      <c r="AG2979" s="82"/>
      <c r="AH2979" s="82"/>
      <c r="AI2979" s="82"/>
      <c r="AJ2979" s="82"/>
      <c r="AK2979" s="82"/>
      <c r="AL2979" s="82"/>
      <c r="AM2979" s="82"/>
      <c r="AN2979" s="82"/>
      <c r="AO2979" s="82"/>
      <c r="AP2979" s="82"/>
      <c r="AQ2979" s="82"/>
      <c r="AR2979" s="82"/>
      <c r="AS2979" s="82"/>
      <c r="AT2979" s="82"/>
      <c r="AU2979" s="82"/>
      <c r="AV2979" s="82"/>
      <c r="AW2979" s="82" t="str">
        <f t="shared" si="1"/>
        <v/>
      </c>
      <c r="AX2979" s="83" t="str">
        <f t="array" ref="AX2979">IFERROR(DGET('SBV Import'!A:G,"SBV",{"RSC ID","Tier";B2979,A2979}))</f>
        <v/>
      </c>
      <c r="AY2979" s="82" t="str">
        <f t="shared" si="2"/>
        <v/>
      </c>
      <c r="AZ2979" s="82"/>
      <c r="BA2979" s="84" t="s">
        <v>152</v>
      </c>
      <c r="BB2979" s="84" t="str">
        <f>IFERROR(__xludf.DUMMYFUNCTION("iferror(if(A2979="""",,E2979&gt;=FILTER(Constants!$F$2:$F$10,Constants!$A$2:$A$10=A2979)))"),"")</f>
        <v/>
      </c>
    </row>
    <row r="2980">
      <c r="A2980" s="89"/>
      <c r="B2980" s="87"/>
      <c r="C2980" s="73"/>
      <c r="D2980" s="73"/>
      <c r="E2980" s="82"/>
      <c r="F2980" s="82"/>
      <c r="G2980" s="86"/>
      <c r="H2980" s="86"/>
      <c r="I2980" s="86"/>
      <c r="J2980" s="82"/>
      <c r="K2980" s="82"/>
      <c r="L2980" s="82"/>
      <c r="M2980" s="82"/>
      <c r="N2980" s="82"/>
      <c r="O2980" s="82"/>
      <c r="P2980" s="82"/>
      <c r="Q2980" s="82"/>
      <c r="R2980" s="82"/>
      <c r="S2980" s="82"/>
      <c r="T2980" s="82"/>
      <c r="U2980" s="82"/>
      <c r="V2980" s="82"/>
      <c r="W2980" s="82"/>
      <c r="X2980" s="82"/>
      <c r="Y2980" s="82"/>
      <c r="Z2980" s="82"/>
      <c r="AA2980" s="82"/>
      <c r="AB2980" s="82"/>
      <c r="AC2980" s="82"/>
      <c r="AD2980" s="82"/>
      <c r="AE2980" s="82"/>
      <c r="AF2980" s="82"/>
      <c r="AG2980" s="82"/>
      <c r="AH2980" s="82"/>
      <c r="AI2980" s="82"/>
      <c r="AJ2980" s="82"/>
      <c r="AK2980" s="82"/>
      <c r="AL2980" s="82"/>
      <c r="AM2980" s="82"/>
      <c r="AN2980" s="82"/>
      <c r="AO2980" s="82"/>
      <c r="AP2980" s="82"/>
      <c r="AQ2980" s="82"/>
      <c r="AR2980" s="82"/>
      <c r="AS2980" s="82"/>
      <c r="AT2980" s="82"/>
      <c r="AU2980" s="82"/>
      <c r="AV2980" s="82"/>
      <c r="AW2980" s="82" t="str">
        <f t="shared" si="1"/>
        <v/>
      </c>
      <c r="AX2980" s="83" t="str">
        <f t="array" ref="AX2980">IFERROR(DGET('SBV Import'!A:G,"SBV",{"RSC ID","Tier";B2980,A2980}))</f>
        <v/>
      </c>
      <c r="AY2980" s="82" t="str">
        <f t="shared" si="2"/>
        <v/>
      </c>
      <c r="AZ2980" s="82"/>
      <c r="BA2980" s="84" t="s">
        <v>152</v>
      </c>
      <c r="BB2980" s="84" t="str">
        <f>IFERROR(__xludf.DUMMYFUNCTION("iferror(if(A2980="""",,E2980&gt;=FILTER(Constants!$F$2:$F$10,Constants!$A$2:$A$10=A2980)))"),"")</f>
        <v/>
      </c>
    </row>
    <row r="2981">
      <c r="A2981" s="89"/>
      <c r="B2981" s="87"/>
      <c r="C2981" s="73"/>
      <c r="D2981" s="73"/>
      <c r="E2981" s="82"/>
      <c r="F2981" s="82"/>
      <c r="G2981" s="86"/>
      <c r="H2981" s="86"/>
      <c r="I2981" s="86"/>
      <c r="J2981" s="82"/>
      <c r="K2981" s="82"/>
      <c r="L2981" s="82"/>
      <c r="M2981" s="82"/>
      <c r="N2981" s="82"/>
      <c r="O2981" s="82"/>
      <c r="P2981" s="82"/>
      <c r="Q2981" s="82"/>
      <c r="R2981" s="82"/>
      <c r="S2981" s="82"/>
      <c r="T2981" s="82"/>
      <c r="U2981" s="82"/>
      <c r="V2981" s="82"/>
      <c r="W2981" s="82"/>
      <c r="X2981" s="82"/>
      <c r="Y2981" s="82"/>
      <c r="Z2981" s="82"/>
      <c r="AA2981" s="82"/>
      <c r="AB2981" s="82"/>
      <c r="AC2981" s="82"/>
      <c r="AD2981" s="82"/>
      <c r="AE2981" s="82"/>
      <c r="AF2981" s="82"/>
      <c r="AG2981" s="82"/>
      <c r="AH2981" s="82"/>
      <c r="AI2981" s="82"/>
      <c r="AJ2981" s="82"/>
      <c r="AK2981" s="82"/>
      <c r="AL2981" s="82"/>
      <c r="AM2981" s="82"/>
      <c r="AN2981" s="82"/>
      <c r="AO2981" s="82"/>
      <c r="AP2981" s="82"/>
      <c r="AQ2981" s="82"/>
      <c r="AR2981" s="82"/>
      <c r="AS2981" s="82"/>
      <c r="AT2981" s="82"/>
      <c r="AU2981" s="82"/>
      <c r="AV2981" s="82"/>
      <c r="AW2981" s="82" t="str">
        <f t="shared" si="1"/>
        <v/>
      </c>
      <c r="AX2981" s="83" t="str">
        <f t="array" ref="AX2981">IFERROR(DGET('SBV Import'!A:G,"SBV",{"RSC ID","Tier";B2981,A2981}))</f>
        <v/>
      </c>
      <c r="AY2981" s="82" t="str">
        <f t="shared" si="2"/>
        <v/>
      </c>
      <c r="AZ2981" s="82"/>
      <c r="BA2981" s="84" t="s">
        <v>152</v>
      </c>
      <c r="BB2981" s="84" t="str">
        <f>IFERROR(__xludf.DUMMYFUNCTION("iferror(if(A2981="""",,E2981&gt;=FILTER(Constants!$F$2:$F$10,Constants!$A$2:$A$10=A2981)))"),"")</f>
        <v/>
      </c>
    </row>
    <row r="2982">
      <c r="A2982" s="89"/>
      <c r="B2982" s="87"/>
      <c r="C2982" s="73"/>
      <c r="D2982" s="73"/>
      <c r="E2982" s="82"/>
      <c r="F2982" s="82"/>
      <c r="G2982" s="86"/>
      <c r="H2982" s="86"/>
      <c r="I2982" s="86"/>
      <c r="J2982" s="82"/>
      <c r="K2982" s="82"/>
      <c r="L2982" s="82"/>
      <c r="M2982" s="82"/>
      <c r="N2982" s="82"/>
      <c r="O2982" s="82"/>
      <c r="P2982" s="82"/>
      <c r="Q2982" s="82"/>
      <c r="R2982" s="82"/>
      <c r="S2982" s="82"/>
      <c r="T2982" s="82"/>
      <c r="U2982" s="82"/>
      <c r="V2982" s="82"/>
      <c r="W2982" s="82"/>
      <c r="X2982" s="82"/>
      <c r="Y2982" s="82"/>
      <c r="Z2982" s="82"/>
      <c r="AA2982" s="82"/>
      <c r="AB2982" s="82"/>
      <c r="AC2982" s="82"/>
      <c r="AD2982" s="82"/>
      <c r="AE2982" s="82"/>
      <c r="AF2982" s="82"/>
      <c r="AG2982" s="82"/>
      <c r="AH2982" s="82"/>
      <c r="AI2982" s="82"/>
      <c r="AJ2982" s="82"/>
      <c r="AK2982" s="82"/>
      <c r="AL2982" s="82"/>
      <c r="AM2982" s="82"/>
      <c r="AN2982" s="82"/>
      <c r="AO2982" s="82"/>
      <c r="AP2982" s="82"/>
      <c r="AQ2982" s="82"/>
      <c r="AR2982" s="82"/>
      <c r="AS2982" s="82"/>
      <c r="AT2982" s="82"/>
      <c r="AU2982" s="82"/>
      <c r="AV2982" s="82"/>
      <c r="AW2982" s="82" t="str">
        <f t="shared" si="1"/>
        <v/>
      </c>
      <c r="AX2982" s="83" t="str">
        <f t="array" ref="AX2982">IFERROR(DGET('SBV Import'!A:G,"SBV",{"RSC ID","Tier";B2982,A2982}))</f>
        <v/>
      </c>
      <c r="AY2982" s="82" t="str">
        <f t="shared" si="2"/>
        <v/>
      </c>
      <c r="AZ2982" s="82"/>
      <c r="BA2982" s="84" t="s">
        <v>152</v>
      </c>
      <c r="BB2982" s="84" t="str">
        <f>IFERROR(__xludf.DUMMYFUNCTION("iferror(if(A2982="""",,E2982&gt;=FILTER(Constants!$F$2:$F$10,Constants!$A$2:$A$10=A2982)))"),"")</f>
        <v/>
      </c>
    </row>
    <row r="2983">
      <c r="A2983" s="89"/>
      <c r="B2983" s="87"/>
      <c r="C2983" s="73"/>
      <c r="D2983" s="73"/>
      <c r="E2983" s="82"/>
      <c r="F2983" s="82"/>
      <c r="G2983" s="86"/>
      <c r="H2983" s="86"/>
      <c r="I2983" s="86"/>
      <c r="J2983" s="82"/>
      <c r="K2983" s="82"/>
      <c r="L2983" s="82"/>
      <c r="M2983" s="82"/>
      <c r="N2983" s="82"/>
      <c r="O2983" s="82"/>
      <c r="P2983" s="82"/>
      <c r="Q2983" s="82"/>
      <c r="R2983" s="82"/>
      <c r="S2983" s="82"/>
      <c r="T2983" s="82"/>
      <c r="U2983" s="82"/>
      <c r="V2983" s="82"/>
      <c r="W2983" s="82"/>
      <c r="X2983" s="82"/>
      <c r="Y2983" s="82"/>
      <c r="Z2983" s="82"/>
      <c r="AA2983" s="82"/>
      <c r="AB2983" s="82"/>
      <c r="AC2983" s="82"/>
      <c r="AD2983" s="82"/>
      <c r="AE2983" s="82"/>
      <c r="AF2983" s="82"/>
      <c r="AG2983" s="82"/>
      <c r="AH2983" s="82"/>
      <c r="AI2983" s="82"/>
      <c r="AJ2983" s="82"/>
      <c r="AK2983" s="82"/>
      <c r="AL2983" s="82"/>
      <c r="AM2983" s="82"/>
      <c r="AN2983" s="82"/>
      <c r="AO2983" s="82"/>
      <c r="AP2983" s="82"/>
      <c r="AQ2983" s="82"/>
      <c r="AR2983" s="82"/>
      <c r="AS2983" s="82"/>
      <c r="AT2983" s="82"/>
      <c r="AU2983" s="82"/>
      <c r="AV2983" s="82"/>
      <c r="AW2983" s="82" t="str">
        <f t="shared" si="1"/>
        <v/>
      </c>
      <c r="AX2983" s="83" t="str">
        <f t="array" ref="AX2983">IFERROR(DGET('SBV Import'!A:G,"SBV",{"RSC ID","Tier";B2983,A2983}))</f>
        <v/>
      </c>
      <c r="AY2983" s="82" t="str">
        <f t="shared" si="2"/>
        <v/>
      </c>
      <c r="AZ2983" s="82"/>
      <c r="BA2983" s="84" t="s">
        <v>152</v>
      </c>
      <c r="BB2983" s="84" t="str">
        <f>IFERROR(__xludf.DUMMYFUNCTION("iferror(if(A2983="""",,E2983&gt;=FILTER(Constants!$F$2:$F$10,Constants!$A$2:$A$10=A2983)))"),"")</f>
        <v/>
      </c>
    </row>
    <row r="2984">
      <c r="A2984" s="89"/>
      <c r="B2984" s="87"/>
      <c r="C2984" s="73"/>
      <c r="D2984" s="73"/>
      <c r="E2984" s="82"/>
      <c r="F2984" s="82"/>
      <c r="G2984" s="86"/>
      <c r="H2984" s="86"/>
      <c r="I2984" s="86"/>
      <c r="J2984" s="82"/>
      <c r="K2984" s="82"/>
      <c r="L2984" s="82"/>
      <c r="M2984" s="82"/>
      <c r="N2984" s="82"/>
      <c r="O2984" s="82"/>
      <c r="P2984" s="82"/>
      <c r="Q2984" s="82"/>
      <c r="R2984" s="82"/>
      <c r="S2984" s="82"/>
      <c r="T2984" s="82"/>
      <c r="U2984" s="82"/>
      <c r="V2984" s="82"/>
      <c r="W2984" s="82"/>
      <c r="X2984" s="82"/>
      <c r="Y2984" s="82"/>
      <c r="Z2984" s="82"/>
      <c r="AA2984" s="82"/>
      <c r="AB2984" s="82"/>
      <c r="AC2984" s="82"/>
      <c r="AD2984" s="82"/>
      <c r="AE2984" s="82"/>
      <c r="AF2984" s="82"/>
      <c r="AG2984" s="82"/>
      <c r="AH2984" s="82"/>
      <c r="AI2984" s="82"/>
      <c r="AJ2984" s="82"/>
      <c r="AK2984" s="82"/>
      <c r="AL2984" s="82"/>
      <c r="AM2984" s="82"/>
      <c r="AN2984" s="82"/>
      <c r="AO2984" s="82"/>
      <c r="AP2984" s="82"/>
      <c r="AQ2984" s="82"/>
      <c r="AR2984" s="82"/>
      <c r="AS2984" s="82"/>
      <c r="AT2984" s="82"/>
      <c r="AU2984" s="82"/>
      <c r="AV2984" s="82"/>
      <c r="AW2984" s="82" t="str">
        <f t="shared" si="1"/>
        <v/>
      </c>
      <c r="AX2984" s="83" t="str">
        <f t="array" ref="AX2984">IFERROR(DGET('SBV Import'!A:G,"SBV",{"RSC ID","Tier";B2984,A2984}))</f>
        <v/>
      </c>
      <c r="AY2984" s="82" t="str">
        <f t="shared" si="2"/>
        <v/>
      </c>
      <c r="AZ2984" s="82"/>
      <c r="BA2984" s="84" t="s">
        <v>152</v>
      </c>
      <c r="BB2984" s="84" t="str">
        <f>IFERROR(__xludf.DUMMYFUNCTION("iferror(if(A2984="""",,E2984&gt;=FILTER(Constants!$F$2:$F$10,Constants!$A$2:$A$10=A2984)))"),"")</f>
        <v/>
      </c>
    </row>
    <row r="2985">
      <c r="A2985" s="89"/>
      <c r="B2985" s="87"/>
      <c r="C2985" s="73"/>
      <c r="D2985" s="73"/>
      <c r="E2985" s="82"/>
      <c r="F2985" s="82"/>
      <c r="G2985" s="86"/>
      <c r="H2985" s="86"/>
      <c r="I2985" s="86"/>
      <c r="J2985" s="82"/>
      <c r="K2985" s="82"/>
      <c r="L2985" s="82"/>
      <c r="M2985" s="82"/>
      <c r="N2985" s="82"/>
      <c r="O2985" s="82"/>
      <c r="P2985" s="82"/>
      <c r="Q2985" s="82"/>
      <c r="R2985" s="82"/>
      <c r="S2985" s="82"/>
      <c r="T2985" s="82"/>
      <c r="U2985" s="82"/>
      <c r="V2985" s="82"/>
      <c r="W2985" s="82"/>
      <c r="X2985" s="82"/>
      <c r="Y2985" s="82"/>
      <c r="Z2985" s="82"/>
      <c r="AA2985" s="82"/>
      <c r="AB2985" s="82"/>
      <c r="AC2985" s="82"/>
      <c r="AD2985" s="82"/>
      <c r="AE2985" s="82"/>
      <c r="AF2985" s="82"/>
      <c r="AG2985" s="82"/>
      <c r="AH2985" s="82"/>
      <c r="AI2985" s="82"/>
      <c r="AJ2985" s="82"/>
      <c r="AK2985" s="82"/>
      <c r="AL2985" s="82"/>
      <c r="AM2985" s="82"/>
      <c r="AN2985" s="82"/>
      <c r="AO2985" s="82"/>
      <c r="AP2985" s="82"/>
      <c r="AQ2985" s="82"/>
      <c r="AR2985" s="82"/>
      <c r="AS2985" s="82"/>
      <c r="AT2985" s="82"/>
      <c r="AU2985" s="82"/>
      <c r="AV2985" s="82"/>
      <c r="AW2985" s="82" t="str">
        <f t="shared" si="1"/>
        <v/>
      </c>
      <c r="AX2985" s="83" t="str">
        <f t="array" ref="AX2985">IFERROR(DGET('SBV Import'!A:G,"SBV",{"RSC ID","Tier";B2985,A2985}))</f>
        <v/>
      </c>
      <c r="AY2985" s="82" t="str">
        <f t="shared" si="2"/>
        <v/>
      </c>
      <c r="AZ2985" s="82"/>
      <c r="BA2985" s="84" t="s">
        <v>152</v>
      </c>
      <c r="BB2985" s="84" t="str">
        <f>IFERROR(__xludf.DUMMYFUNCTION("iferror(if(A2985="""",,E2985&gt;=FILTER(Constants!$F$2:$F$10,Constants!$A$2:$A$10=A2985)))"),"")</f>
        <v/>
      </c>
    </row>
    <row r="2986">
      <c r="A2986" s="89"/>
      <c r="B2986" s="87"/>
      <c r="C2986" s="73"/>
      <c r="D2986" s="73"/>
      <c r="E2986" s="82"/>
      <c r="F2986" s="82"/>
      <c r="G2986" s="86"/>
      <c r="H2986" s="86"/>
      <c r="I2986" s="86"/>
      <c r="J2986" s="82"/>
      <c r="K2986" s="82"/>
      <c r="L2986" s="82"/>
      <c r="M2986" s="82"/>
      <c r="N2986" s="82"/>
      <c r="O2986" s="82"/>
      <c r="P2986" s="82"/>
      <c r="Q2986" s="82"/>
      <c r="R2986" s="82"/>
      <c r="S2986" s="82"/>
      <c r="T2986" s="82"/>
      <c r="U2986" s="82"/>
      <c r="V2986" s="82"/>
      <c r="W2986" s="82"/>
      <c r="X2986" s="82"/>
      <c r="Y2986" s="82"/>
      <c r="Z2986" s="82"/>
      <c r="AA2986" s="82"/>
      <c r="AB2986" s="82"/>
      <c r="AC2986" s="82"/>
      <c r="AD2986" s="82"/>
      <c r="AE2986" s="82"/>
      <c r="AF2986" s="82"/>
      <c r="AG2986" s="82"/>
      <c r="AH2986" s="82"/>
      <c r="AI2986" s="82"/>
      <c r="AJ2986" s="82"/>
      <c r="AK2986" s="82"/>
      <c r="AL2986" s="82"/>
      <c r="AM2986" s="82"/>
      <c r="AN2986" s="82"/>
      <c r="AO2986" s="82"/>
      <c r="AP2986" s="82"/>
      <c r="AQ2986" s="82"/>
      <c r="AR2986" s="82"/>
      <c r="AS2986" s="82"/>
      <c r="AT2986" s="82"/>
      <c r="AU2986" s="82"/>
      <c r="AV2986" s="82"/>
      <c r="AW2986" s="82" t="str">
        <f t="shared" si="1"/>
        <v/>
      </c>
      <c r="AX2986" s="83" t="str">
        <f t="array" ref="AX2986">IFERROR(DGET('SBV Import'!A:G,"SBV",{"RSC ID","Tier";B2986,A2986}))</f>
        <v/>
      </c>
      <c r="AY2986" s="82" t="str">
        <f t="shared" si="2"/>
        <v/>
      </c>
      <c r="AZ2986" s="82"/>
      <c r="BA2986" s="84" t="s">
        <v>152</v>
      </c>
      <c r="BB2986" s="84" t="str">
        <f>IFERROR(__xludf.DUMMYFUNCTION("iferror(if(A2986="""",,E2986&gt;=FILTER(Constants!$F$2:$F$10,Constants!$A$2:$A$10=A2986)))"),"")</f>
        <v/>
      </c>
    </row>
    <row r="2987">
      <c r="A2987" s="89"/>
      <c r="B2987" s="87"/>
      <c r="C2987" s="73"/>
      <c r="D2987" s="73"/>
      <c r="E2987" s="82"/>
      <c r="F2987" s="82"/>
      <c r="G2987" s="86"/>
      <c r="H2987" s="86"/>
      <c r="I2987" s="86"/>
      <c r="J2987" s="82"/>
      <c r="K2987" s="82"/>
      <c r="L2987" s="82"/>
      <c r="M2987" s="82"/>
      <c r="N2987" s="82"/>
      <c r="O2987" s="82"/>
      <c r="P2987" s="82"/>
      <c r="Q2987" s="82"/>
      <c r="R2987" s="82"/>
      <c r="S2987" s="82"/>
      <c r="T2987" s="82"/>
      <c r="U2987" s="82"/>
      <c r="V2987" s="82"/>
      <c r="W2987" s="82"/>
      <c r="X2987" s="82"/>
      <c r="Y2987" s="82"/>
      <c r="Z2987" s="82"/>
      <c r="AA2987" s="82"/>
      <c r="AB2987" s="82"/>
      <c r="AC2987" s="82"/>
      <c r="AD2987" s="82"/>
      <c r="AE2987" s="82"/>
      <c r="AF2987" s="82"/>
      <c r="AG2987" s="82"/>
      <c r="AH2987" s="82"/>
      <c r="AI2987" s="82"/>
      <c r="AJ2987" s="82"/>
      <c r="AK2987" s="82"/>
      <c r="AL2987" s="82"/>
      <c r="AM2987" s="82"/>
      <c r="AN2987" s="82"/>
      <c r="AO2987" s="82"/>
      <c r="AP2987" s="82"/>
      <c r="AQ2987" s="82"/>
      <c r="AR2987" s="82"/>
      <c r="AS2987" s="82"/>
      <c r="AT2987" s="82"/>
      <c r="AU2987" s="82"/>
      <c r="AV2987" s="82"/>
      <c r="AW2987" s="82" t="str">
        <f t="shared" si="1"/>
        <v/>
      </c>
      <c r="AX2987" s="83" t="str">
        <f t="array" ref="AX2987">IFERROR(DGET('SBV Import'!A:G,"SBV",{"RSC ID","Tier";B2987,A2987}))</f>
        <v/>
      </c>
      <c r="AY2987" s="82" t="str">
        <f t="shared" si="2"/>
        <v/>
      </c>
      <c r="AZ2987" s="82"/>
      <c r="BA2987" s="84" t="s">
        <v>152</v>
      </c>
      <c r="BB2987" s="84" t="str">
        <f>IFERROR(__xludf.DUMMYFUNCTION("iferror(if(A2987="""",,E2987&gt;=FILTER(Constants!$F$2:$F$10,Constants!$A$2:$A$10=A2987)))"),"")</f>
        <v/>
      </c>
    </row>
    <row r="2988">
      <c r="A2988" s="89"/>
      <c r="B2988" s="87"/>
      <c r="C2988" s="73"/>
      <c r="D2988" s="73"/>
      <c r="E2988" s="82"/>
      <c r="F2988" s="82"/>
      <c r="G2988" s="86"/>
      <c r="H2988" s="86"/>
      <c r="I2988" s="86"/>
      <c r="J2988" s="82"/>
      <c r="K2988" s="82"/>
      <c r="L2988" s="82"/>
      <c r="M2988" s="82"/>
      <c r="N2988" s="82"/>
      <c r="O2988" s="82"/>
      <c r="P2988" s="82"/>
      <c r="Q2988" s="82"/>
      <c r="R2988" s="82"/>
      <c r="S2988" s="82"/>
      <c r="T2988" s="82"/>
      <c r="U2988" s="82"/>
      <c r="V2988" s="82"/>
      <c r="W2988" s="82"/>
      <c r="X2988" s="82"/>
      <c r="Y2988" s="82"/>
      <c r="Z2988" s="82"/>
      <c r="AA2988" s="82"/>
      <c r="AB2988" s="82"/>
      <c r="AC2988" s="82"/>
      <c r="AD2988" s="82"/>
      <c r="AE2988" s="82"/>
      <c r="AF2988" s="82"/>
      <c r="AG2988" s="82"/>
      <c r="AH2988" s="82"/>
      <c r="AI2988" s="82"/>
      <c r="AJ2988" s="82"/>
      <c r="AK2988" s="82"/>
      <c r="AL2988" s="82"/>
      <c r="AM2988" s="82"/>
      <c r="AN2988" s="82"/>
      <c r="AO2988" s="82"/>
      <c r="AP2988" s="82"/>
      <c r="AQ2988" s="82"/>
      <c r="AR2988" s="82"/>
      <c r="AS2988" s="82"/>
      <c r="AT2988" s="82"/>
      <c r="AU2988" s="82"/>
      <c r="AV2988" s="82"/>
      <c r="AW2988" s="82" t="str">
        <f t="shared" si="1"/>
        <v/>
      </c>
      <c r="AX2988" s="83" t="str">
        <f t="array" ref="AX2988">IFERROR(DGET('SBV Import'!A:G,"SBV",{"RSC ID","Tier";B2988,A2988}))</f>
        <v/>
      </c>
      <c r="AY2988" s="82" t="str">
        <f t="shared" si="2"/>
        <v/>
      </c>
      <c r="AZ2988" s="82"/>
      <c r="BA2988" s="84" t="s">
        <v>152</v>
      </c>
      <c r="BB2988" s="84" t="str">
        <f>IFERROR(__xludf.DUMMYFUNCTION("iferror(if(A2988="""",,E2988&gt;=FILTER(Constants!$F$2:$F$10,Constants!$A$2:$A$10=A2988)))"),"")</f>
        <v/>
      </c>
    </row>
    <row r="2989">
      <c r="A2989" s="89"/>
      <c r="B2989" s="87"/>
      <c r="C2989" s="73"/>
      <c r="D2989" s="73"/>
      <c r="E2989" s="82"/>
      <c r="F2989" s="82"/>
      <c r="G2989" s="86"/>
      <c r="H2989" s="86"/>
      <c r="I2989" s="86"/>
      <c r="J2989" s="82"/>
      <c r="K2989" s="82"/>
      <c r="L2989" s="82"/>
      <c r="M2989" s="82"/>
      <c r="N2989" s="82"/>
      <c r="O2989" s="82"/>
      <c r="P2989" s="82"/>
      <c r="Q2989" s="82"/>
      <c r="R2989" s="82"/>
      <c r="S2989" s="82"/>
      <c r="T2989" s="82"/>
      <c r="U2989" s="82"/>
      <c r="V2989" s="82"/>
      <c r="W2989" s="82"/>
      <c r="X2989" s="82"/>
      <c r="Y2989" s="82"/>
      <c r="Z2989" s="82"/>
      <c r="AA2989" s="82"/>
      <c r="AB2989" s="82"/>
      <c r="AC2989" s="82"/>
      <c r="AD2989" s="82"/>
      <c r="AE2989" s="82"/>
      <c r="AF2989" s="82"/>
      <c r="AG2989" s="82"/>
      <c r="AH2989" s="82"/>
      <c r="AI2989" s="82"/>
      <c r="AJ2989" s="82"/>
      <c r="AK2989" s="82"/>
      <c r="AL2989" s="82"/>
      <c r="AM2989" s="82"/>
      <c r="AN2989" s="82"/>
      <c r="AO2989" s="82"/>
      <c r="AP2989" s="82"/>
      <c r="AQ2989" s="82"/>
      <c r="AR2989" s="82"/>
      <c r="AS2989" s="82"/>
      <c r="AT2989" s="82"/>
      <c r="AU2989" s="82"/>
      <c r="AV2989" s="82"/>
      <c r="AW2989" s="82" t="str">
        <f t="shared" si="1"/>
        <v/>
      </c>
      <c r="AX2989" s="83" t="str">
        <f t="array" ref="AX2989">IFERROR(DGET('SBV Import'!A:G,"SBV",{"RSC ID","Tier";B2989,A2989}))</f>
        <v/>
      </c>
      <c r="AY2989" s="82" t="str">
        <f t="shared" si="2"/>
        <v/>
      </c>
      <c r="AZ2989" s="82"/>
      <c r="BA2989" s="84" t="s">
        <v>152</v>
      </c>
      <c r="BB2989" s="84" t="str">
        <f>IFERROR(__xludf.DUMMYFUNCTION("iferror(if(A2989="""",,E2989&gt;=FILTER(Constants!$F$2:$F$10,Constants!$A$2:$A$10=A2989)))"),"")</f>
        <v/>
      </c>
    </row>
    <row r="2990">
      <c r="A2990" s="89"/>
      <c r="B2990" s="87"/>
      <c r="C2990" s="73"/>
      <c r="D2990" s="73"/>
      <c r="E2990" s="82"/>
      <c r="F2990" s="82"/>
      <c r="G2990" s="86"/>
      <c r="H2990" s="86"/>
      <c r="I2990" s="86"/>
      <c r="J2990" s="82"/>
      <c r="K2990" s="82"/>
      <c r="L2990" s="82"/>
      <c r="M2990" s="82"/>
      <c r="N2990" s="82"/>
      <c r="O2990" s="82"/>
      <c r="P2990" s="82"/>
      <c r="Q2990" s="82"/>
      <c r="R2990" s="82"/>
      <c r="S2990" s="82"/>
      <c r="T2990" s="82"/>
      <c r="U2990" s="82"/>
      <c r="V2990" s="82"/>
      <c r="W2990" s="82"/>
      <c r="X2990" s="82"/>
      <c r="Y2990" s="82"/>
      <c r="Z2990" s="82"/>
      <c r="AA2990" s="82"/>
      <c r="AB2990" s="82"/>
      <c r="AC2990" s="82"/>
      <c r="AD2990" s="82"/>
      <c r="AE2990" s="82"/>
      <c r="AF2990" s="82"/>
      <c r="AG2990" s="82"/>
      <c r="AH2990" s="82"/>
      <c r="AI2990" s="82"/>
      <c r="AJ2990" s="82"/>
      <c r="AK2990" s="82"/>
      <c r="AL2990" s="82"/>
      <c r="AM2990" s="82"/>
      <c r="AN2990" s="82"/>
      <c r="AO2990" s="82"/>
      <c r="AP2990" s="82"/>
      <c r="AQ2990" s="82"/>
      <c r="AR2990" s="82"/>
      <c r="AS2990" s="82"/>
      <c r="AT2990" s="82"/>
      <c r="AU2990" s="82"/>
      <c r="AV2990" s="82"/>
      <c r="AW2990" s="82" t="str">
        <f t="shared" si="1"/>
        <v/>
      </c>
      <c r="AX2990" s="83" t="str">
        <f t="array" ref="AX2990">IFERROR(DGET('SBV Import'!A:G,"SBV",{"RSC ID","Tier";B2990,A2990}))</f>
        <v/>
      </c>
      <c r="AY2990" s="82" t="str">
        <f t="shared" si="2"/>
        <v/>
      </c>
      <c r="AZ2990" s="82"/>
      <c r="BA2990" s="84" t="s">
        <v>152</v>
      </c>
      <c r="BB2990" s="84" t="str">
        <f>IFERROR(__xludf.DUMMYFUNCTION("iferror(if(A2990="""",,E2990&gt;=FILTER(Constants!$F$2:$F$10,Constants!$A$2:$A$10=A2990)))"),"")</f>
        <v/>
      </c>
    </row>
    <row r="2991">
      <c r="A2991" s="89"/>
      <c r="B2991" s="87"/>
      <c r="C2991" s="73"/>
      <c r="D2991" s="73"/>
      <c r="E2991" s="82"/>
      <c r="F2991" s="82"/>
      <c r="G2991" s="86"/>
      <c r="H2991" s="86"/>
      <c r="I2991" s="86"/>
      <c r="J2991" s="82"/>
      <c r="K2991" s="82"/>
      <c r="L2991" s="82"/>
      <c r="M2991" s="82"/>
      <c r="N2991" s="82"/>
      <c r="O2991" s="82"/>
      <c r="P2991" s="82"/>
      <c r="Q2991" s="82"/>
      <c r="R2991" s="82"/>
      <c r="S2991" s="82"/>
      <c r="T2991" s="82"/>
      <c r="U2991" s="82"/>
      <c r="V2991" s="82"/>
      <c r="W2991" s="82"/>
      <c r="X2991" s="82"/>
      <c r="Y2991" s="82"/>
      <c r="Z2991" s="82"/>
      <c r="AA2991" s="82"/>
      <c r="AB2991" s="82"/>
      <c r="AC2991" s="82"/>
      <c r="AD2991" s="82"/>
      <c r="AE2991" s="82"/>
      <c r="AF2991" s="82"/>
      <c r="AG2991" s="82"/>
      <c r="AH2991" s="82"/>
      <c r="AI2991" s="82"/>
      <c r="AJ2991" s="82"/>
      <c r="AK2991" s="82"/>
      <c r="AL2991" s="82"/>
      <c r="AM2991" s="82"/>
      <c r="AN2991" s="82"/>
      <c r="AO2991" s="82"/>
      <c r="AP2991" s="82"/>
      <c r="AQ2991" s="82"/>
      <c r="AR2991" s="82"/>
      <c r="AS2991" s="82"/>
      <c r="AT2991" s="82"/>
      <c r="AU2991" s="82"/>
      <c r="AV2991" s="82"/>
      <c r="AW2991" s="82" t="str">
        <f t="shared" si="1"/>
        <v/>
      </c>
      <c r="AX2991" s="83" t="str">
        <f t="array" ref="AX2991">IFERROR(DGET('SBV Import'!A:G,"SBV",{"RSC ID","Tier";B2991,A2991}))</f>
        <v/>
      </c>
      <c r="AY2991" s="82" t="str">
        <f t="shared" si="2"/>
        <v/>
      </c>
      <c r="AZ2991" s="82"/>
      <c r="BA2991" s="84" t="s">
        <v>152</v>
      </c>
      <c r="BB2991" s="84" t="str">
        <f>IFERROR(__xludf.DUMMYFUNCTION("iferror(if(A2991="""",,E2991&gt;=FILTER(Constants!$F$2:$F$10,Constants!$A$2:$A$10=A2991)))"),"")</f>
        <v/>
      </c>
    </row>
    <row r="2992">
      <c r="A2992" s="89"/>
      <c r="B2992" s="87"/>
      <c r="C2992" s="73"/>
      <c r="D2992" s="73"/>
      <c r="E2992" s="82"/>
      <c r="F2992" s="82"/>
      <c r="G2992" s="86"/>
      <c r="H2992" s="86"/>
      <c r="I2992" s="86"/>
      <c r="J2992" s="82"/>
      <c r="K2992" s="82"/>
      <c r="L2992" s="82"/>
      <c r="M2992" s="82"/>
      <c r="N2992" s="82"/>
      <c r="O2992" s="82"/>
      <c r="P2992" s="82"/>
      <c r="Q2992" s="82"/>
      <c r="R2992" s="82"/>
      <c r="S2992" s="82"/>
      <c r="T2992" s="82"/>
      <c r="U2992" s="82"/>
      <c r="V2992" s="82"/>
      <c r="W2992" s="82"/>
      <c r="X2992" s="82"/>
      <c r="Y2992" s="82"/>
      <c r="Z2992" s="82"/>
      <c r="AA2992" s="82"/>
      <c r="AB2992" s="82"/>
      <c r="AC2992" s="82"/>
      <c r="AD2992" s="82"/>
      <c r="AE2992" s="82"/>
      <c r="AF2992" s="82"/>
      <c r="AG2992" s="82"/>
      <c r="AH2992" s="82"/>
      <c r="AI2992" s="82"/>
      <c r="AJ2992" s="82"/>
      <c r="AK2992" s="82"/>
      <c r="AL2992" s="82"/>
      <c r="AM2992" s="82"/>
      <c r="AN2992" s="82"/>
      <c r="AO2992" s="82"/>
      <c r="AP2992" s="82"/>
      <c r="AQ2992" s="82"/>
      <c r="AR2992" s="82"/>
      <c r="AS2992" s="82"/>
      <c r="AT2992" s="82"/>
      <c r="AU2992" s="82"/>
      <c r="AV2992" s="82"/>
      <c r="AW2992" s="82" t="str">
        <f t="shared" si="1"/>
        <v/>
      </c>
      <c r="AX2992" s="83" t="str">
        <f t="array" ref="AX2992">IFERROR(DGET('SBV Import'!A:G,"SBV",{"RSC ID","Tier";B2992,A2992}))</f>
        <v/>
      </c>
      <c r="AY2992" s="82" t="str">
        <f t="shared" si="2"/>
        <v/>
      </c>
      <c r="AZ2992" s="82"/>
      <c r="BA2992" s="84" t="s">
        <v>152</v>
      </c>
      <c r="BB2992" s="84" t="str">
        <f>IFERROR(__xludf.DUMMYFUNCTION("iferror(if(A2992="""",,E2992&gt;=FILTER(Constants!$F$2:$F$10,Constants!$A$2:$A$10=A2992)))"),"")</f>
        <v/>
      </c>
    </row>
    <row r="2993">
      <c r="A2993" s="89"/>
      <c r="B2993" s="87"/>
      <c r="C2993" s="73"/>
      <c r="D2993" s="73"/>
      <c r="E2993" s="82"/>
      <c r="F2993" s="82"/>
      <c r="G2993" s="86"/>
      <c r="H2993" s="86"/>
      <c r="I2993" s="86"/>
      <c r="J2993" s="82"/>
      <c r="K2993" s="82"/>
      <c r="L2993" s="82"/>
      <c r="M2993" s="82"/>
      <c r="N2993" s="82"/>
      <c r="O2993" s="82"/>
      <c r="P2993" s="82"/>
      <c r="Q2993" s="82"/>
      <c r="R2993" s="82"/>
      <c r="S2993" s="82"/>
      <c r="T2993" s="82"/>
      <c r="U2993" s="82"/>
      <c r="V2993" s="82"/>
      <c r="W2993" s="82"/>
      <c r="X2993" s="82"/>
      <c r="Y2993" s="82"/>
      <c r="Z2993" s="82"/>
      <c r="AA2993" s="82"/>
      <c r="AB2993" s="82"/>
      <c r="AC2993" s="82"/>
      <c r="AD2993" s="82"/>
      <c r="AE2993" s="82"/>
      <c r="AF2993" s="82"/>
      <c r="AG2993" s="82"/>
      <c r="AH2993" s="82"/>
      <c r="AI2993" s="82"/>
      <c r="AJ2993" s="82"/>
      <c r="AK2993" s="82"/>
      <c r="AL2993" s="82"/>
      <c r="AM2993" s="82"/>
      <c r="AN2993" s="82"/>
      <c r="AO2993" s="82"/>
      <c r="AP2993" s="82"/>
      <c r="AQ2993" s="82"/>
      <c r="AR2993" s="82"/>
      <c r="AS2993" s="82"/>
      <c r="AT2993" s="82"/>
      <c r="AU2993" s="82"/>
      <c r="AV2993" s="82"/>
      <c r="AW2993" s="82" t="str">
        <f t="shared" si="1"/>
        <v/>
      </c>
      <c r="AX2993" s="83" t="str">
        <f t="array" ref="AX2993">IFERROR(DGET('SBV Import'!A:G,"SBV",{"RSC ID","Tier";B2993,A2993}))</f>
        <v/>
      </c>
      <c r="AY2993" s="82" t="str">
        <f t="shared" si="2"/>
        <v/>
      </c>
      <c r="AZ2993" s="82"/>
      <c r="BA2993" s="84" t="s">
        <v>152</v>
      </c>
      <c r="BB2993" s="84" t="str">
        <f>IFERROR(__xludf.DUMMYFUNCTION("iferror(if(A2993="""",,E2993&gt;=FILTER(Constants!$F$2:$F$10,Constants!$A$2:$A$10=A2993)))"),"")</f>
        <v/>
      </c>
    </row>
    <row r="2994">
      <c r="A2994" s="89"/>
      <c r="B2994" s="87"/>
      <c r="C2994" s="73"/>
      <c r="D2994" s="73"/>
      <c r="E2994" s="82"/>
      <c r="F2994" s="82"/>
      <c r="G2994" s="86"/>
      <c r="H2994" s="86"/>
      <c r="I2994" s="86"/>
      <c r="J2994" s="82"/>
      <c r="K2994" s="82"/>
      <c r="L2994" s="82"/>
      <c r="M2994" s="82"/>
      <c r="N2994" s="82"/>
      <c r="O2994" s="82"/>
      <c r="P2994" s="82"/>
      <c r="Q2994" s="82"/>
      <c r="R2994" s="82"/>
      <c r="S2994" s="82"/>
      <c r="T2994" s="82"/>
      <c r="U2994" s="82"/>
      <c r="V2994" s="82"/>
      <c r="W2994" s="82"/>
      <c r="X2994" s="82"/>
      <c r="Y2994" s="82"/>
      <c r="Z2994" s="82"/>
      <c r="AA2994" s="82"/>
      <c r="AB2994" s="82"/>
      <c r="AC2994" s="82"/>
      <c r="AD2994" s="82"/>
      <c r="AE2994" s="82"/>
      <c r="AF2994" s="82"/>
      <c r="AG2994" s="82"/>
      <c r="AH2994" s="82"/>
      <c r="AI2994" s="82"/>
      <c r="AJ2994" s="82"/>
      <c r="AK2994" s="82"/>
      <c r="AL2994" s="82"/>
      <c r="AM2994" s="82"/>
      <c r="AN2994" s="82"/>
      <c r="AO2994" s="82"/>
      <c r="AP2994" s="82"/>
      <c r="AQ2994" s="82"/>
      <c r="AR2994" s="82"/>
      <c r="AS2994" s="82"/>
      <c r="AT2994" s="82"/>
      <c r="AU2994" s="82"/>
      <c r="AV2994" s="82"/>
      <c r="AW2994" s="82" t="str">
        <f t="shared" si="1"/>
        <v/>
      </c>
      <c r="AX2994" s="83" t="str">
        <f t="array" ref="AX2994">IFERROR(DGET('SBV Import'!A:G,"SBV",{"RSC ID","Tier";B2994,A2994}))</f>
        <v/>
      </c>
      <c r="AY2994" s="82" t="str">
        <f t="shared" si="2"/>
        <v/>
      </c>
      <c r="AZ2994" s="82"/>
      <c r="BA2994" s="84" t="s">
        <v>152</v>
      </c>
      <c r="BB2994" s="84" t="str">
        <f>IFERROR(__xludf.DUMMYFUNCTION("iferror(if(A2994="""",,E2994&gt;=FILTER(Constants!$F$2:$F$10,Constants!$A$2:$A$10=A2994)))"),"")</f>
        <v/>
      </c>
    </row>
    <row r="2995">
      <c r="A2995" s="89"/>
      <c r="B2995" s="87"/>
      <c r="C2995" s="73"/>
      <c r="D2995" s="73"/>
      <c r="E2995" s="82"/>
      <c r="F2995" s="82"/>
      <c r="G2995" s="86"/>
      <c r="H2995" s="86"/>
      <c r="I2995" s="86"/>
      <c r="J2995" s="82"/>
      <c r="K2995" s="82"/>
      <c r="L2995" s="82"/>
      <c r="M2995" s="82"/>
      <c r="N2995" s="82"/>
      <c r="O2995" s="82"/>
      <c r="P2995" s="82"/>
      <c r="Q2995" s="82"/>
      <c r="R2995" s="82"/>
      <c r="S2995" s="82"/>
      <c r="T2995" s="82"/>
      <c r="U2995" s="82"/>
      <c r="V2995" s="82"/>
      <c r="W2995" s="82"/>
      <c r="X2995" s="82"/>
      <c r="Y2995" s="82"/>
      <c r="Z2995" s="82"/>
      <c r="AA2995" s="82"/>
      <c r="AB2995" s="82"/>
      <c r="AC2995" s="82"/>
      <c r="AD2995" s="82"/>
      <c r="AE2995" s="82"/>
      <c r="AF2995" s="82"/>
      <c r="AG2995" s="82"/>
      <c r="AH2995" s="82"/>
      <c r="AI2995" s="82"/>
      <c r="AJ2995" s="82"/>
      <c r="AK2995" s="82"/>
      <c r="AL2995" s="82"/>
      <c r="AM2995" s="82"/>
      <c r="AN2995" s="82"/>
      <c r="AO2995" s="82"/>
      <c r="AP2995" s="82"/>
      <c r="AQ2995" s="82"/>
      <c r="AR2995" s="82"/>
      <c r="AS2995" s="82"/>
      <c r="AT2995" s="82"/>
      <c r="AU2995" s="82"/>
      <c r="AV2995" s="82"/>
      <c r="AW2995" s="82" t="str">
        <f t="shared" si="1"/>
        <v/>
      </c>
      <c r="AX2995" s="83" t="str">
        <f t="array" ref="AX2995">IFERROR(DGET('SBV Import'!A:G,"SBV",{"RSC ID","Tier";B2995,A2995}))</f>
        <v/>
      </c>
      <c r="AY2995" s="82" t="str">
        <f t="shared" si="2"/>
        <v/>
      </c>
      <c r="AZ2995" s="82"/>
      <c r="BA2995" s="84" t="s">
        <v>152</v>
      </c>
      <c r="BB2995" s="84" t="str">
        <f>IFERROR(__xludf.DUMMYFUNCTION("iferror(if(A2995="""",,E2995&gt;=FILTER(Constants!$F$2:$F$10,Constants!$A$2:$A$10=A2995)))"),"")</f>
        <v/>
      </c>
    </row>
    <row r="2996">
      <c r="A2996" s="87"/>
      <c r="B2996" s="87"/>
      <c r="C2996" s="73"/>
      <c r="D2996" s="73"/>
      <c r="E2996" s="82"/>
      <c r="F2996" s="82"/>
      <c r="G2996" s="86"/>
      <c r="H2996" s="86"/>
      <c r="I2996" s="86"/>
      <c r="J2996" s="82"/>
      <c r="K2996" s="82"/>
      <c r="L2996" s="82"/>
      <c r="M2996" s="82"/>
      <c r="N2996" s="82"/>
      <c r="O2996" s="82"/>
      <c r="P2996" s="82"/>
      <c r="Q2996" s="82"/>
      <c r="R2996" s="82"/>
      <c r="S2996" s="82"/>
      <c r="T2996" s="82"/>
      <c r="U2996" s="82"/>
      <c r="V2996" s="82"/>
      <c r="W2996" s="82"/>
      <c r="X2996" s="82"/>
      <c r="Y2996" s="82"/>
      <c r="Z2996" s="82"/>
      <c r="AA2996" s="82"/>
      <c r="AB2996" s="82"/>
      <c r="AC2996" s="82"/>
      <c r="AD2996" s="82"/>
      <c r="AE2996" s="82"/>
      <c r="AF2996" s="82"/>
      <c r="AG2996" s="82"/>
      <c r="AH2996" s="82"/>
      <c r="AI2996" s="82"/>
      <c r="AJ2996" s="82"/>
      <c r="AK2996" s="82"/>
      <c r="AL2996" s="82"/>
      <c r="AM2996" s="82"/>
      <c r="AN2996" s="82"/>
      <c r="AO2996" s="82"/>
      <c r="AP2996" s="82"/>
      <c r="AQ2996" s="82"/>
      <c r="AR2996" s="82"/>
      <c r="AS2996" s="82"/>
      <c r="AT2996" s="82"/>
      <c r="AU2996" s="82"/>
      <c r="AV2996" s="82"/>
      <c r="AW2996" s="82" t="str">
        <f t="shared" si="1"/>
        <v/>
      </c>
      <c r="AX2996" s="83" t="str">
        <f t="array" ref="AX2996">IFERROR(DGET('SBV Import'!A:G,"SBV",{"RSC ID","Tier";B2996,A2996}))</f>
        <v/>
      </c>
      <c r="AY2996" s="82" t="str">
        <f t="shared" si="2"/>
        <v/>
      </c>
      <c r="AZ2996" s="82"/>
      <c r="BA2996" s="84" t="s">
        <v>152</v>
      </c>
      <c r="BB2996" s="84" t="str">
        <f>IFERROR(__xludf.DUMMYFUNCTION("iferror(if(A2996="""",,E2996&gt;=FILTER(Constants!$F$2:$F$10,Constants!$A$2:$A$10=A2996)))"),"")</f>
        <v/>
      </c>
    </row>
    <row r="2997">
      <c r="A2997" s="87"/>
      <c r="B2997" s="87"/>
      <c r="C2997" s="73"/>
      <c r="D2997" s="73"/>
      <c r="E2997" s="82"/>
      <c r="F2997" s="82"/>
      <c r="G2997" s="86"/>
      <c r="H2997" s="86"/>
      <c r="I2997" s="86"/>
      <c r="J2997" s="82"/>
      <c r="K2997" s="82"/>
      <c r="L2997" s="82"/>
      <c r="M2997" s="82"/>
      <c r="N2997" s="82"/>
      <c r="O2997" s="82"/>
      <c r="P2997" s="82"/>
      <c r="Q2997" s="82"/>
      <c r="R2997" s="82"/>
      <c r="S2997" s="82"/>
      <c r="T2997" s="82"/>
      <c r="U2997" s="82"/>
      <c r="V2997" s="82"/>
      <c r="W2997" s="82"/>
      <c r="X2997" s="82"/>
      <c r="Y2997" s="82"/>
      <c r="Z2997" s="82"/>
      <c r="AA2997" s="82"/>
      <c r="AB2997" s="82"/>
      <c r="AC2997" s="82"/>
      <c r="AD2997" s="82"/>
      <c r="AE2997" s="82"/>
      <c r="AF2997" s="82"/>
      <c r="AG2997" s="82"/>
      <c r="AH2997" s="82"/>
      <c r="AI2997" s="82"/>
      <c r="AJ2997" s="82"/>
      <c r="AK2997" s="82"/>
      <c r="AL2997" s="82"/>
      <c r="AM2997" s="82"/>
      <c r="AN2997" s="82"/>
      <c r="AO2997" s="82"/>
      <c r="AP2997" s="82"/>
      <c r="AQ2997" s="82"/>
      <c r="AR2997" s="82"/>
      <c r="AS2997" s="82"/>
      <c r="AT2997" s="82"/>
      <c r="AU2997" s="82"/>
      <c r="AV2997" s="82"/>
      <c r="AW2997" s="82" t="str">
        <f t="shared" si="1"/>
        <v/>
      </c>
      <c r="AX2997" s="83" t="str">
        <f t="array" ref="AX2997">IFERROR(DGET('SBV Import'!A:G,"SBV",{"RSC ID","Tier";B2997,A2997}))</f>
        <v/>
      </c>
      <c r="AY2997" s="82" t="str">
        <f t="shared" si="2"/>
        <v/>
      </c>
      <c r="AZ2997" s="82"/>
      <c r="BA2997" s="84" t="s">
        <v>152</v>
      </c>
      <c r="BB2997" s="84" t="str">
        <f>IFERROR(__xludf.DUMMYFUNCTION("iferror(if(A2997="""",,E2997&gt;=FILTER(Constants!$F$2:$F$10,Constants!$A$2:$A$10=A2997)))"),"")</f>
        <v/>
      </c>
    </row>
    <row r="2998">
      <c r="A2998" s="87"/>
      <c r="B2998" s="87"/>
      <c r="C2998" s="73"/>
      <c r="D2998" s="73"/>
      <c r="E2998" s="82"/>
      <c r="F2998" s="82"/>
      <c r="G2998" s="86"/>
      <c r="H2998" s="86"/>
      <c r="I2998" s="86"/>
      <c r="J2998" s="82"/>
      <c r="K2998" s="82"/>
      <c r="L2998" s="82"/>
      <c r="M2998" s="82"/>
      <c r="N2998" s="82"/>
      <c r="O2998" s="82"/>
      <c r="P2998" s="82"/>
      <c r="Q2998" s="82"/>
      <c r="R2998" s="82"/>
      <c r="S2998" s="82"/>
      <c r="T2998" s="82"/>
      <c r="U2998" s="82"/>
      <c r="V2998" s="82"/>
      <c r="W2998" s="82"/>
      <c r="X2998" s="82"/>
      <c r="Y2998" s="82"/>
      <c r="Z2998" s="82"/>
      <c r="AA2998" s="82"/>
      <c r="AB2998" s="82"/>
      <c r="AC2998" s="82"/>
      <c r="AD2998" s="82"/>
      <c r="AE2998" s="82"/>
      <c r="AF2998" s="82"/>
      <c r="AG2998" s="82"/>
      <c r="AH2998" s="82"/>
      <c r="AI2998" s="82"/>
      <c r="AJ2998" s="82"/>
      <c r="AK2998" s="82"/>
      <c r="AL2998" s="82"/>
      <c r="AM2998" s="82"/>
      <c r="AN2998" s="82"/>
      <c r="AO2998" s="82"/>
      <c r="AP2998" s="82"/>
      <c r="AQ2998" s="82"/>
      <c r="AR2998" s="82"/>
      <c r="AS2998" s="82"/>
      <c r="AT2998" s="82"/>
      <c r="AU2998" s="82"/>
      <c r="AV2998" s="82"/>
      <c r="AW2998" s="82" t="str">
        <f t="shared" si="1"/>
        <v/>
      </c>
      <c r="AX2998" s="83" t="str">
        <f t="array" ref="AX2998">IFERROR(DGET('SBV Import'!A:G,"SBV",{"RSC ID","Tier";B2998,A2998}))</f>
        <v/>
      </c>
      <c r="AY2998" s="82" t="str">
        <f t="shared" si="2"/>
        <v/>
      </c>
      <c r="AZ2998" s="82"/>
      <c r="BA2998" s="84" t="s">
        <v>152</v>
      </c>
      <c r="BB2998" s="84" t="str">
        <f>IFERROR(__xludf.DUMMYFUNCTION("iferror(if(A2998="""",,E2998&gt;=FILTER(Constants!$F$2:$F$10,Constants!$A$2:$A$10=A2998)))"),"")</f>
        <v/>
      </c>
    </row>
    <row r="2999">
      <c r="A2999" s="87"/>
      <c r="B2999" s="87"/>
      <c r="C2999" s="73"/>
      <c r="D2999" s="73"/>
      <c r="E2999" s="82"/>
      <c r="F2999" s="82"/>
      <c r="G2999" s="86"/>
      <c r="H2999" s="86"/>
      <c r="I2999" s="86"/>
      <c r="J2999" s="82"/>
      <c r="K2999" s="82"/>
      <c r="L2999" s="82"/>
      <c r="M2999" s="82"/>
      <c r="N2999" s="82"/>
      <c r="O2999" s="82"/>
      <c r="P2999" s="82"/>
      <c r="Q2999" s="82"/>
      <c r="R2999" s="82"/>
      <c r="S2999" s="82"/>
      <c r="T2999" s="82"/>
      <c r="U2999" s="82"/>
      <c r="V2999" s="82"/>
      <c r="W2999" s="82"/>
      <c r="X2999" s="82"/>
      <c r="Y2999" s="82"/>
      <c r="Z2999" s="82"/>
      <c r="AA2999" s="82"/>
      <c r="AB2999" s="82"/>
      <c r="AC2999" s="82"/>
      <c r="AD2999" s="82"/>
      <c r="AE2999" s="82"/>
      <c r="AF2999" s="82"/>
      <c r="AG2999" s="82"/>
      <c r="AH2999" s="82"/>
      <c r="AI2999" s="82"/>
      <c r="AJ2999" s="82"/>
      <c r="AK2999" s="82"/>
      <c r="AL2999" s="82"/>
      <c r="AM2999" s="82"/>
      <c r="AN2999" s="82"/>
      <c r="AO2999" s="82"/>
      <c r="AP2999" s="82"/>
      <c r="AQ2999" s="82"/>
      <c r="AR2999" s="82"/>
      <c r="AS2999" s="82"/>
      <c r="AT2999" s="82"/>
      <c r="AU2999" s="82"/>
      <c r="AV2999" s="82"/>
      <c r="AW2999" s="82" t="str">
        <f t="shared" si="1"/>
        <v/>
      </c>
      <c r="AX2999" s="83" t="str">
        <f t="array" ref="AX2999">IFERROR(DGET('SBV Import'!A:G,"SBV",{"RSC ID","Tier";B2999,A2999}))</f>
        <v/>
      </c>
      <c r="AY2999" s="82" t="str">
        <f t="shared" si="2"/>
        <v/>
      </c>
      <c r="AZ2999" s="82"/>
      <c r="BA2999" s="84" t="s">
        <v>152</v>
      </c>
      <c r="BB2999" s="84" t="str">
        <f>IFERROR(__xludf.DUMMYFUNCTION("iferror(if(A2999="""",,E2999&gt;=FILTER(Constants!$F$2:$F$10,Constants!$A$2:$A$10=A2999)))"),"")</f>
        <v/>
      </c>
    </row>
    <row r="3000">
      <c r="A3000" s="87"/>
      <c r="B3000" s="87"/>
      <c r="C3000" s="73"/>
      <c r="D3000" s="73"/>
      <c r="E3000" s="82"/>
      <c r="F3000" s="82"/>
      <c r="G3000" s="86"/>
      <c r="H3000" s="86"/>
      <c r="I3000" s="86"/>
      <c r="J3000" s="82"/>
      <c r="K3000" s="82"/>
      <c r="L3000" s="82"/>
      <c r="M3000" s="82"/>
      <c r="N3000" s="82"/>
      <c r="O3000" s="82"/>
      <c r="P3000" s="82"/>
      <c r="Q3000" s="82"/>
      <c r="R3000" s="82"/>
      <c r="S3000" s="82"/>
      <c r="T3000" s="82"/>
      <c r="U3000" s="82"/>
      <c r="V3000" s="82"/>
      <c r="W3000" s="82"/>
      <c r="X3000" s="82"/>
      <c r="Y3000" s="82"/>
      <c r="Z3000" s="82"/>
      <c r="AA3000" s="82"/>
      <c r="AB3000" s="82"/>
      <c r="AC3000" s="82"/>
      <c r="AD3000" s="82"/>
      <c r="AE3000" s="82"/>
      <c r="AF3000" s="82"/>
      <c r="AG3000" s="82"/>
      <c r="AH3000" s="82"/>
      <c r="AI3000" s="82"/>
      <c r="AJ3000" s="82"/>
      <c r="AK3000" s="82"/>
      <c r="AL3000" s="82"/>
      <c r="AM3000" s="82"/>
      <c r="AN3000" s="82"/>
      <c r="AO3000" s="82"/>
      <c r="AP3000" s="82"/>
      <c r="AQ3000" s="82"/>
      <c r="AR3000" s="82"/>
      <c r="AS3000" s="82"/>
      <c r="AT3000" s="82"/>
      <c r="AU3000" s="82"/>
      <c r="AV3000" s="82"/>
      <c r="AW3000" s="82" t="str">
        <f t="shared" si="1"/>
        <v/>
      </c>
      <c r="AX3000" s="83" t="str">
        <f t="array" ref="AX3000">IFERROR(DGET('SBV Import'!A:G,"SBV",{"RSC ID","Tier";B3000,A3000}))</f>
        <v/>
      </c>
      <c r="AY3000" s="82" t="str">
        <f t="shared" si="2"/>
        <v/>
      </c>
      <c r="AZ3000" s="82"/>
      <c r="BA3000" s="84" t="s">
        <v>152</v>
      </c>
      <c r="BB3000" s="84" t="str">
        <f>IFERROR(__xludf.DUMMYFUNCTION("iferror(if(A3000="""",,E3000&gt;=FILTER(Constants!$F$2:$F$10,Constants!$A$2:$A$10=A3000)))"),"")</f>
        <v/>
      </c>
    </row>
    <row r="3001">
      <c r="A3001" s="87"/>
      <c r="B3001" s="87"/>
      <c r="C3001" s="73"/>
      <c r="D3001" s="73"/>
      <c r="E3001" s="82"/>
      <c r="F3001" s="82"/>
      <c r="G3001" s="86"/>
      <c r="H3001" s="86"/>
      <c r="I3001" s="86"/>
      <c r="J3001" s="82"/>
      <c r="K3001" s="82"/>
      <c r="L3001" s="82"/>
      <c r="M3001" s="82"/>
      <c r="N3001" s="82"/>
      <c r="O3001" s="82"/>
      <c r="P3001" s="82"/>
      <c r="Q3001" s="82"/>
      <c r="R3001" s="82"/>
      <c r="S3001" s="82"/>
      <c r="T3001" s="82"/>
      <c r="U3001" s="82"/>
      <c r="V3001" s="82"/>
      <c r="W3001" s="82"/>
      <c r="X3001" s="82"/>
      <c r="Y3001" s="82"/>
      <c r="Z3001" s="82"/>
      <c r="AA3001" s="82"/>
      <c r="AB3001" s="82"/>
      <c r="AC3001" s="82"/>
      <c r="AD3001" s="82"/>
      <c r="AE3001" s="82"/>
      <c r="AF3001" s="82"/>
      <c r="AG3001" s="82"/>
      <c r="AH3001" s="82"/>
      <c r="AI3001" s="82"/>
      <c r="AJ3001" s="82"/>
      <c r="AK3001" s="82"/>
      <c r="AL3001" s="82"/>
      <c r="AM3001" s="82"/>
      <c r="AN3001" s="82"/>
      <c r="AO3001" s="82"/>
      <c r="AP3001" s="82"/>
      <c r="AQ3001" s="82"/>
      <c r="AR3001" s="82"/>
      <c r="AS3001" s="82"/>
      <c r="AT3001" s="82"/>
      <c r="AU3001" s="82"/>
      <c r="AV3001" s="82"/>
      <c r="AW3001" s="82" t="str">
        <f t="shared" si="1"/>
        <v/>
      </c>
      <c r="AX3001" s="83" t="str">
        <f t="array" ref="AX3001">IFERROR(DGET('SBV Import'!A:G,"SBV",{"RSC ID","Tier";B3001,A3001}))</f>
        <v/>
      </c>
      <c r="AY3001" s="82" t="str">
        <f t="shared" si="2"/>
        <v/>
      </c>
      <c r="AZ3001" s="82"/>
      <c r="BA3001" s="84" t="s">
        <v>152</v>
      </c>
      <c r="BB3001" s="84" t="str">
        <f>IFERROR(__xludf.DUMMYFUNCTION("iferror(if(A3001="""",,E3001&gt;=FILTER(Constants!$F$2:$F$10,Constants!$A$2:$A$10=A3001)))"),"")</f>
        <v/>
      </c>
    </row>
    <row r="3002">
      <c r="A3002" s="87"/>
      <c r="B3002" s="87"/>
      <c r="C3002" s="73"/>
      <c r="D3002" s="73"/>
      <c r="E3002" s="82"/>
      <c r="F3002" s="82"/>
      <c r="G3002" s="86"/>
      <c r="H3002" s="86"/>
      <c r="I3002" s="86"/>
      <c r="J3002" s="82"/>
      <c r="K3002" s="82"/>
      <c r="L3002" s="82"/>
      <c r="M3002" s="82"/>
      <c r="N3002" s="82"/>
      <c r="O3002" s="82"/>
      <c r="P3002" s="82"/>
      <c r="Q3002" s="82"/>
      <c r="R3002" s="82"/>
      <c r="S3002" s="82"/>
      <c r="T3002" s="82"/>
      <c r="U3002" s="82"/>
      <c r="V3002" s="82"/>
      <c r="W3002" s="82"/>
      <c r="X3002" s="82"/>
      <c r="Y3002" s="82"/>
      <c r="Z3002" s="82"/>
      <c r="AA3002" s="82"/>
      <c r="AB3002" s="82"/>
      <c r="AC3002" s="82"/>
      <c r="AD3002" s="82"/>
      <c r="AE3002" s="82"/>
      <c r="AF3002" s="82"/>
      <c r="AG3002" s="82"/>
      <c r="AH3002" s="82"/>
      <c r="AI3002" s="82"/>
      <c r="AJ3002" s="82"/>
      <c r="AK3002" s="82"/>
      <c r="AL3002" s="82"/>
      <c r="AM3002" s="82"/>
      <c r="AN3002" s="82"/>
      <c r="AO3002" s="82"/>
      <c r="AP3002" s="82"/>
      <c r="AQ3002" s="82"/>
      <c r="AR3002" s="82"/>
      <c r="AS3002" s="82"/>
      <c r="AT3002" s="82"/>
      <c r="AU3002" s="82"/>
      <c r="AV3002" s="82"/>
      <c r="AW3002" s="82" t="str">
        <f t="shared" si="1"/>
        <v/>
      </c>
      <c r="AX3002" s="83" t="str">
        <f t="array" ref="AX3002">IFERROR(DGET('SBV Import'!A:G,"SBV",{"RSC ID","Tier";B3002,A3002}))</f>
        <v/>
      </c>
      <c r="AY3002" s="82" t="str">
        <f t="shared" si="2"/>
        <v/>
      </c>
      <c r="AZ3002" s="82"/>
      <c r="BA3002" s="84" t="s">
        <v>152</v>
      </c>
      <c r="BB3002" s="84" t="str">
        <f>IFERROR(__xludf.DUMMYFUNCTION("iferror(if(A3002="""",,E3002&gt;=FILTER(Constants!$F$2:$F$10,Constants!$A$2:$A$10=A3002)))"),"")</f>
        <v/>
      </c>
    </row>
    <row r="3003">
      <c r="A3003" s="87"/>
      <c r="B3003" s="87"/>
      <c r="C3003" s="73"/>
      <c r="D3003" s="73"/>
      <c r="E3003" s="82"/>
      <c r="F3003" s="82"/>
      <c r="G3003" s="86"/>
      <c r="H3003" s="86"/>
      <c r="I3003" s="86"/>
      <c r="J3003" s="82"/>
      <c r="K3003" s="82"/>
      <c r="L3003" s="82"/>
      <c r="M3003" s="82"/>
      <c r="N3003" s="82"/>
      <c r="O3003" s="82"/>
      <c r="P3003" s="82"/>
      <c r="Q3003" s="82"/>
      <c r="R3003" s="82"/>
      <c r="S3003" s="82"/>
      <c r="T3003" s="82"/>
      <c r="U3003" s="82"/>
      <c r="V3003" s="82"/>
      <c r="W3003" s="82"/>
      <c r="X3003" s="82"/>
      <c r="Y3003" s="82"/>
      <c r="Z3003" s="82"/>
      <c r="AA3003" s="82"/>
      <c r="AB3003" s="82"/>
      <c r="AC3003" s="82"/>
      <c r="AD3003" s="82"/>
      <c r="AE3003" s="82"/>
      <c r="AF3003" s="82"/>
      <c r="AG3003" s="82"/>
      <c r="AH3003" s="82"/>
      <c r="AI3003" s="82"/>
      <c r="AJ3003" s="82"/>
      <c r="AK3003" s="82"/>
      <c r="AL3003" s="82"/>
      <c r="AM3003" s="82"/>
      <c r="AN3003" s="82"/>
      <c r="AO3003" s="82"/>
      <c r="AP3003" s="82"/>
      <c r="AQ3003" s="82"/>
      <c r="AR3003" s="82"/>
      <c r="AS3003" s="82"/>
      <c r="AT3003" s="82"/>
      <c r="AU3003" s="82"/>
      <c r="AV3003" s="82"/>
      <c r="AW3003" s="82" t="str">
        <f t="shared" si="1"/>
        <v/>
      </c>
      <c r="AX3003" s="83" t="str">
        <f t="array" ref="AX3003">IFERROR(DGET('SBV Import'!A:G,"SBV",{"RSC ID","Tier";B3003,A3003}))</f>
        <v/>
      </c>
      <c r="AY3003" s="82" t="str">
        <f t="shared" si="2"/>
        <v/>
      </c>
      <c r="AZ3003" s="82"/>
      <c r="BA3003" s="84" t="s">
        <v>152</v>
      </c>
      <c r="BB3003" s="84" t="str">
        <f>IFERROR(__xludf.DUMMYFUNCTION("iferror(if(A3003="""",,E3003&gt;=FILTER(Constants!$F$2:$F$10,Constants!$A$2:$A$10=A3003)))"),"")</f>
        <v/>
      </c>
    </row>
    <row r="3004">
      <c r="A3004" s="87"/>
      <c r="B3004" s="87"/>
      <c r="C3004" s="73"/>
      <c r="D3004" s="73"/>
      <c r="E3004" s="82"/>
      <c r="F3004" s="82"/>
      <c r="G3004" s="86"/>
      <c r="H3004" s="86"/>
      <c r="I3004" s="86"/>
      <c r="J3004" s="82"/>
      <c r="K3004" s="82"/>
      <c r="L3004" s="82"/>
      <c r="M3004" s="82"/>
      <c r="N3004" s="82"/>
      <c r="O3004" s="82"/>
      <c r="P3004" s="82"/>
      <c r="Q3004" s="82"/>
      <c r="R3004" s="82"/>
      <c r="S3004" s="82"/>
      <c r="T3004" s="82"/>
      <c r="U3004" s="82"/>
      <c r="V3004" s="82"/>
      <c r="W3004" s="82"/>
      <c r="X3004" s="82"/>
      <c r="Y3004" s="82"/>
      <c r="Z3004" s="82"/>
      <c r="AA3004" s="82"/>
      <c r="AB3004" s="82"/>
      <c r="AC3004" s="82"/>
      <c r="AD3004" s="82"/>
      <c r="AE3004" s="82"/>
      <c r="AF3004" s="82"/>
      <c r="AG3004" s="82"/>
      <c r="AH3004" s="82"/>
      <c r="AI3004" s="82"/>
      <c r="AJ3004" s="82"/>
      <c r="AK3004" s="82"/>
      <c r="AL3004" s="82"/>
      <c r="AM3004" s="82"/>
      <c r="AN3004" s="82"/>
      <c r="AO3004" s="82"/>
      <c r="AP3004" s="82"/>
      <c r="AQ3004" s="82"/>
      <c r="AR3004" s="82"/>
      <c r="AS3004" s="82"/>
      <c r="AT3004" s="82"/>
      <c r="AU3004" s="82"/>
      <c r="AV3004" s="82"/>
      <c r="AW3004" s="82" t="str">
        <f t="shared" si="1"/>
        <v/>
      </c>
      <c r="AX3004" s="83" t="str">
        <f t="array" ref="AX3004">IFERROR(DGET('SBV Import'!A:G,"SBV",{"RSC ID","Tier";B3004,A3004}))</f>
        <v/>
      </c>
      <c r="AY3004" s="82" t="str">
        <f t="shared" si="2"/>
        <v/>
      </c>
      <c r="AZ3004" s="82"/>
      <c r="BA3004" s="84" t="s">
        <v>152</v>
      </c>
      <c r="BB3004" s="84" t="str">
        <f>IFERROR(__xludf.DUMMYFUNCTION("iferror(if(A3004="""",,E3004&gt;=FILTER(Constants!$F$2:$F$10,Constants!$A$2:$A$10=A3004)))"),"")</f>
        <v/>
      </c>
    </row>
    <row r="3005">
      <c r="A3005" s="87"/>
      <c r="B3005" s="87"/>
      <c r="C3005" s="73"/>
      <c r="D3005" s="73"/>
      <c r="E3005" s="82"/>
      <c r="F3005" s="82"/>
      <c r="G3005" s="86"/>
      <c r="H3005" s="86"/>
      <c r="I3005" s="86"/>
      <c r="J3005" s="82"/>
      <c r="K3005" s="82"/>
      <c r="L3005" s="82"/>
      <c r="M3005" s="82"/>
      <c r="N3005" s="82"/>
      <c r="O3005" s="82"/>
      <c r="P3005" s="82"/>
      <c r="Q3005" s="82"/>
      <c r="R3005" s="82"/>
      <c r="S3005" s="82"/>
      <c r="T3005" s="82"/>
      <c r="U3005" s="82"/>
      <c r="V3005" s="82"/>
      <c r="W3005" s="82"/>
      <c r="X3005" s="82"/>
      <c r="Y3005" s="82"/>
      <c r="Z3005" s="82"/>
      <c r="AA3005" s="82"/>
      <c r="AB3005" s="82"/>
      <c r="AC3005" s="82"/>
      <c r="AD3005" s="82"/>
      <c r="AE3005" s="82"/>
      <c r="AF3005" s="82"/>
      <c r="AG3005" s="82"/>
      <c r="AH3005" s="82"/>
      <c r="AI3005" s="82"/>
      <c r="AJ3005" s="82"/>
      <c r="AK3005" s="82"/>
      <c r="AL3005" s="82"/>
      <c r="AM3005" s="82"/>
      <c r="AN3005" s="82"/>
      <c r="AO3005" s="82"/>
      <c r="AP3005" s="82"/>
      <c r="AQ3005" s="82"/>
      <c r="AR3005" s="82"/>
      <c r="AS3005" s="82"/>
      <c r="AT3005" s="82"/>
      <c r="AU3005" s="82"/>
      <c r="AV3005" s="82"/>
      <c r="AW3005" s="82" t="str">
        <f t="shared" si="1"/>
        <v/>
      </c>
      <c r="AX3005" s="83" t="str">
        <f t="array" ref="AX3005">IFERROR(DGET('SBV Import'!A:G,"SBV",{"RSC ID","Tier";B3005,A3005}))</f>
        <v/>
      </c>
      <c r="AY3005" s="82" t="str">
        <f t="shared" si="2"/>
        <v/>
      </c>
      <c r="AZ3005" s="82"/>
      <c r="BA3005" s="84" t="s">
        <v>152</v>
      </c>
      <c r="BB3005" s="84" t="str">
        <f>IFERROR(__xludf.DUMMYFUNCTION("iferror(if(A3005="""",,E3005&gt;=FILTER(Constants!$F$2:$F$10,Constants!$A$2:$A$10=A3005)))"),"")</f>
        <v/>
      </c>
    </row>
    <row r="3006">
      <c r="A3006" s="87"/>
      <c r="B3006" s="87"/>
      <c r="C3006" s="73"/>
      <c r="D3006" s="73"/>
      <c r="E3006" s="82"/>
      <c r="F3006" s="82"/>
      <c r="G3006" s="86"/>
      <c r="H3006" s="86"/>
      <c r="I3006" s="86"/>
      <c r="J3006" s="82"/>
      <c r="K3006" s="82"/>
      <c r="L3006" s="82"/>
      <c r="M3006" s="82"/>
      <c r="N3006" s="82"/>
      <c r="O3006" s="82"/>
      <c r="P3006" s="82"/>
      <c r="Q3006" s="82"/>
      <c r="R3006" s="82"/>
      <c r="S3006" s="82"/>
      <c r="T3006" s="82"/>
      <c r="U3006" s="82"/>
      <c r="V3006" s="82"/>
      <c r="W3006" s="82"/>
      <c r="X3006" s="82"/>
      <c r="Y3006" s="82"/>
      <c r="Z3006" s="82"/>
      <c r="AA3006" s="82"/>
      <c r="AB3006" s="82"/>
      <c r="AC3006" s="82"/>
      <c r="AD3006" s="82"/>
      <c r="AE3006" s="82"/>
      <c r="AF3006" s="82"/>
      <c r="AG3006" s="82"/>
      <c r="AH3006" s="82"/>
      <c r="AI3006" s="82"/>
      <c r="AJ3006" s="82"/>
      <c r="AK3006" s="82"/>
      <c r="AL3006" s="82"/>
      <c r="AM3006" s="82"/>
      <c r="AN3006" s="82"/>
      <c r="AO3006" s="82"/>
      <c r="AP3006" s="82"/>
      <c r="AQ3006" s="82"/>
      <c r="AR3006" s="82"/>
      <c r="AS3006" s="82"/>
      <c r="AT3006" s="82"/>
      <c r="AU3006" s="82"/>
      <c r="AV3006" s="82"/>
      <c r="AW3006" s="82" t="str">
        <f t="shared" si="1"/>
        <v/>
      </c>
      <c r="AX3006" s="83" t="str">
        <f t="array" ref="AX3006">IFERROR(DGET('SBV Import'!A:G,"SBV",{"RSC ID","Tier";B3006,A3006}))</f>
        <v/>
      </c>
      <c r="AY3006" s="82" t="str">
        <f t="shared" si="2"/>
        <v/>
      </c>
      <c r="AZ3006" s="82"/>
      <c r="BA3006" s="84" t="s">
        <v>152</v>
      </c>
      <c r="BB3006" s="84" t="str">
        <f>IFERROR(__xludf.DUMMYFUNCTION("iferror(if(A3006="""",,E3006&gt;=FILTER(Constants!$F$2:$F$10,Constants!$A$2:$A$10=A3006)))"),"")</f>
        <v/>
      </c>
    </row>
    <row r="3007">
      <c r="A3007" s="87"/>
      <c r="B3007" s="87"/>
      <c r="C3007" s="73"/>
      <c r="D3007" s="73"/>
      <c r="E3007" s="82"/>
      <c r="F3007" s="82"/>
      <c r="G3007" s="86"/>
      <c r="H3007" s="86"/>
      <c r="I3007" s="86"/>
      <c r="J3007" s="82"/>
      <c r="K3007" s="82"/>
      <c r="L3007" s="82"/>
      <c r="M3007" s="82"/>
      <c r="N3007" s="82"/>
      <c r="O3007" s="82"/>
      <c r="P3007" s="82"/>
      <c r="Q3007" s="82"/>
      <c r="R3007" s="82"/>
      <c r="S3007" s="82"/>
      <c r="T3007" s="82"/>
      <c r="U3007" s="82"/>
      <c r="V3007" s="82"/>
      <c r="W3007" s="82"/>
      <c r="X3007" s="82"/>
      <c r="Y3007" s="82"/>
      <c r="Z3007" s="82"/>
      <c r="AA3007" s="82"/>
      <c r="AB3007" s="82"/>
      <c r="AC3007" s="82"/>
      <c r="AD3007" s="82"/>
      <c r="AE3007" s="82"/>
      <c r="AF3007" s="82"/>
      <c r="AG3007" s="82"/>
      <c r="AH3007" s="82"/>
      <c r="AI3007" s="82"/>
      <c r="AJ3007" s="82"/>
      <c r="AK3007" s="82"/>
      <c r="AL3007" s="82"/>
      <c r="AM3007" s="82"/>
      <c r="AN3007" s="82"/>
      <c r="AO3007" s="82"/>
      <c r="AP3007" s="82"/>
      <c r="AQ3007" s="82"/>
      <c r="AR3007" s="82"/>
      <c r="AS3007" s="82"/>
      <c r="AT3007" s="82"/>
      <c r="AU3007" s="82"/>
      <c r="AV3007" s="82"/>
      <c r="AW3007" s="82" t="str">
        <f t="shared" si="1"/>
        <v/>
      </c>
      <c r="AX3007" s="83" t="str">
        <f t="array" ref="AX3007">IFERROR(DGET('SBV Import'!A:G,"SBV",{"RSC ID","Tier";B3007,A3007}))</f>
        <v/>
      </c>
      <c r="AY3007" s="82" t="str">
        <f t="shared" si="2"/>
        <v/>
      </c>
      <c r="AZ3007" s="82"/>
      <c r="BA3007" s="84" t="s">
        <v>152</v>
      </c>
      <c r="BB3007" s="84" t="str">
        <f>IFERROR(__xludf.DUMMYFUNCTION("iferror(if(A3007="""",,E3007&gt;=FILTER(Constants!$F$2:$F$10,Constants!$A$2:$A$10=A3007)))"),"")</f>
        <v/>
      </c>
    </row>
    <row r="3008">
      <c r="A3008" s="87"/>
      <c r="B3008" s="87"/>
      <c r="C3008" s="73"/>
      <c r="D3008" s="73"/>
      <c r="E3008" s="82"/>
      <c r="F3008" s="82"/>
      <c r="G3008" s="86"/>
      <c r="H3008" s="86"/>
      <c r="I3008" s="86"/>
      <c r="J3008" s="82"/>
      <c r="K3008" s="82"/>
      <c r="L3008" s="82"/>
      <c r="M3008" s="82"/>
      <c r="N3008" s="82"/>
      <c r="O3008" s="82"/>
      <c r="P3008" s="82"/>
      <c r="Q3008" s="82"/>
      <c r="R3008" s="82"/>
      <c r="S3008" s="82"/>
      <c r="T3008" s="82"/>
      <c r="U3008" s="82"/>
      <c r="V3008" s="82"/>
      <c r="W3008" s="82"/>
      <c r="X3008" s="82"/>
      <c r="Y3008" s="82"/>
      <c r="Z3008" s="82"/>
      <c r="AA3008" s="82"/>
      <c r="AB3008" s="82"/>
      <c r="AC3008" s="82"/>
      <c r="AD3008" s="82"/>
      <c r="AE3008" s="82"/>
      <c r="AF3008" s="82"/>
      <c r="AG3008" s="82"/>
      <c r="AH3008" s="82"/>
      <c r="AI3008" s="82"/>
      <c r="AJ3008" s="82"/>
      <c r="AK3008" s="82"/>
      <c r="AL3008" s="82"/>
      <c r="AM3008" s="82"/>
      <c r="AN3008" s="82"/>
      <c r="AO3008" s="82"/>
      <c r="AP3008" s="82"/>
      <c r="AQ3008" s="82"/>
      <c r="AR3008" s="82"/>
      <c r="AS3008" s="82"/>
      <c r="AT3008" s="82"/>
      <c r="AU3008" s="82"/>
      <c r="AV3008" s="82"/>
      <c r="AW3008" s="82" t="str">
        <f t="shared" si="1"/>
        <v/>
      </c>
      <c r="AX3008" s="83" t="str">
        <f t="array" ref="AX3008">IFERROR(DGET('SBV Import'!A:G,"SBV",{"RSC ID","Tier";B3008,A3008}))</f>
        <v/>
      </c>
      <c r="AY3008" s="82" t="str">
        <f t="shared" si="2"/>
        <v/>
      </c>
      <c r="AZ3008" s="82"/>
      <c r="BA3008" s="84" t="s">
        <v>152</v>
      </c>
      <c r="BB3008" s="84" t="str">
        <f>IFERROR(__xludf.DUMMYFUNCTION("iferror(if(A3008="""",,E3008&gt;=FILTER(Constants!$F$2:$F$10,Constants!$A$2:$A$10=A3008)))"),"")</f>
        <v/>
      </c>
    </row>
    <row r="3009">
      <c r="A3009" s="87"/>
      <c r="B3009" s="87"/>
      <c r="C3009" s="73"/>
      <c r="D3009" s="73"/>
      <c r="E3009" s="82"/>
      <c r="F3009" s="82"/>
      <c r="G3009" s="86"/>
      <c r="H3009" s="86"/>
      <c r="I3009" s="86"/>
      <c r="J3009" s="82"/>
      <c r="K3009" s="82"/>
      <c r="L3009" s="82"/>
      <c r="M3009" s="82"/>
      <c r="N3009" s="82"/>
      <c r="O3009" s="82"/>
      <c r="P3009" s="82"/>
      <c r="Q3009" s="82"/>
      <c r="R3009" s="82"/>
      <c r="S3009" s="82"/>
      <c r="T3009" s="82"/>
      <c r="U3009" s="82"/>
      <c r="V3009" s="82"/>
      <c r="W3009" s="82"/>
      <c r="X3009" s="82"/>
      <c r="Y3009" s="82"/>
      <c r="Z3009" s="82"/>
      <c r="AA3009" s="82"/>
      <c r="AB3009" s="82"/>
      <c r="AC3009" s="82"/>
      <c r="AD3009" s="82"/>
      <c r="AE3009" s="82"/>
      <c r="AF3009" s="82"/>
      <c r="AG3009" s="82"/>
      <c r="AH3009" s="82"/>
      <c r="AI3009" s="82"/>
      <c r="AJ3009" s="82"/>
      <c r="AK3009" s="82"/>
      <c r="AL3009" s="82"/>
      <c r="AM3009" s="82"/>
      <c r="AN3009" s="82"/>
      <c r="AO3009" s="82"/>
      <c r="AP3009" s="82"/>
      <c r="AQ3009" s="82"/>
      <c r="AR3009" s="82"/>
      <c r="AS3009" s="82"/>
      <c r="AT3009" s="82"/>
      <c r="AU3009" s="82"/>
      <c r="AV3009" s="82"/>
      <c r="AW3009" s="82" t="str">
        <f t="shared" si="1"/>
        <v/>
      </c>
      <c r="AX3009" s="83" t="str">
        <f t="array" ref="AX3009">IFERROR(DGET('SBV Import'!A:G,"SBV",{"RSC ID","Tier";B3009,A3009}))</f>
        <v/>
      </c>
      <c r="AY3009" s="82" t="str">
        <f t="shared" si="2"/>
        <v/>
      </c>
      <c r="AZ3009" s="82"/>
      <c r="BA3009" s="84" t="s">
        <v>152</v>
      </c>
      <c r="BB3009" s="84" t="str">
        <f>IFERROR(__xludf.DUMMYFUNCTION("iferror(if(A3009="""",,E3009&gt;=FILTER(Constants!$F$2:$F$10,Constants!$A$2:$A$10=A3009)))"),"")</f>
        <v/>
      </c>
    </row>
    <row r="3010">
      <c r="A3010" s="87"/>
      <c r="B3010" s="87"/>
      <c r="C3010" s="73"/>
      <c r="D3010" s="73"/>
      <c r="E3010" s="82"/>
      <c r="F3010" s="82"/>
      <c r="G3010" s="86"/>
      <c r="H3010" s="86"/>
      <c r="I3010" s="86"/>
      <c r="J3010" s="82"/>
      <c r="K3010" s="82"/>
      <c r="L3010" s="82"/>
      <c r="M3010" s="82"/>
      <c r="N3010" s="82"/>
      <c r="O3010" s="82"/>
      <c r="P3010" s="82"/>
      <c r="Q3010" s="82"/>
      <c r="R3010" s="82"/>
      <c r="S3010" s="82"/>
      <c r="T3010" s="82"/>
      <c r="U3010" s="82"/>
      <c r="V3010" s="82"/>
      <c r="W3010" s="82"/>
      <c r="X3010" s="82"/>
      <c r="Y3010" s="82"/>
      <c r="Z3010" s="82"/>
      <c r="AA3010" s="82"/>
      <c r="AB3010" s="82"/>
      <c r="AC3010" s="82"/>
      <c r="AD3010" s="82"/>
      <c r="AE3010" s="82"/>
      <c r="AF3010" s="82"/>
      <c r="AG3010" s="82"/>
      <c r="AH3010" s="82"/>
      <c r="AI3010" s="82"/>
      <c r="AJ3010" s="82"/>
      <c r="AK3010" s="82"/>
      <c r="AL3010" s="82"/>
      <c r="AM3010" s="82"/>
      <c r="AN3010" s="82"/>
      <c r="AO3010" s="82"/>
      <c r="AP3010" s="82"/>
      <c r="AQ3010" s="82"/>
      <c r="AR3010" s="82"/>
      <c r="AS3010" s="82"/>
      <c r="AT3010" s="82"/>
      <c r="AU3010" s="82"/>
      <c r="AV3010" s="82"/>
      <c r="AW3010" s="82" t="str">
        <f t="shared" si="1"/>
        <v/>
      </c>
      <c r="AX3010" s="83" t="str">
        <f t="array" ref="AX3010">IFERROR(DGET('SBV Import'!A:G,"SBV",{"RSC ID","Tier";B3010,A3010}))</f>
        <v/>
      </c>
      <c r="AY3010" s="82" t="str">
        <f t="shared" si="2"/>
        <v/>
      </c>
      <c r="AZ3010" s="82"/>
      <c r="BA3010" s="84" t="s">
        <v>152</v>
      </c>
      <c r="BB3010" s="84" t="str">
        <f>IFERROR(__xludf.DUMMYFUNCTION("iferror(if(A3010="""",,E3010&gt;=FILTER(Constants!$F$2:$F$10,Constants!$A$2:$A$10=A3010)))"),"")</f>
        <v/>
      </c>
    </row>
    <row r="3011">
      <c r="A3011" s="87"/>
      <c r="B3011" s="87"/>
      <c r="C3011" s="73"/>
      <c r="D3011" s="73"/>
      <c r="E3011" s="82"/>
      <c r="F3011" s="82"/>
      <c r="G3011" s="86"/>
      <c r="H3011" s="86"/>
      <c r="I3011" s="86"/>
      <c r="J3011" s="82"/>
      <c r="K3011" s="82"/>
      <c r="L3011" s="82"/>
      <c r="M3011" s="82"/>
      <c r="N3011" s="82"/>
      <c r="O3011" s="82"/>
      <c r="P3011" s="82"/>
      <c r="Q3011" s="82"/>
      <c r="R3011" s="82"/>
      <c r="S3011" s="82"/>
      <c r="T3011" s="82"/>
      <c r="U3011" s="82"/>
      <c r="V3011" s="82"/>
      <c r="W3011" s="82"/>
      <c r="X3011" s="82"/>
      <c r="Y3011" s="82"/>
      <c r="Z3011" s="82"/>
      <c r="AA3011" s="82"/>
      <c r="AB3011" s="82"/>
      <c r="AC3011" s="82"/>
      <c r="AD3011" s="82"/>
      <c r="AE3011" s="82"/>
      <c r="AF3011" s="82"/>
      <c r="AG3011" s="82"/>
      <c r="AH3011" s="82"/>
      <c r="AI3011" s="82"/>
      <c r="AJ3011" s="82"/>
      <c r="AK3011" s="82"/>
      <c r="AL3011" s="82"/>
      <c r="AM3011" s="82"/>
      <c r="AN3011" s="82"/>
      <c r="AO3011" s="82"/>
      <c r="AP3011" s="82"/>
      <c r="AQ3011" s="82"/>
      <c r="AR3011" s="82"/>
      <c r="AS3011" s="82"/>
      <c r="AT3011" s="82"/>
      <c r="AU3011" s="82"/>
      <c r="AV3011" s="82"/>
      <c r="AW3011" s="82" t="str">
        <f t="shared" si="1"/>
        <v/>
      </c>
      <c r="AX3011" s="83" t="str">
        <f t="array" ref="AX3011">IFERROR(DGET('SBV Import'!A:G,"SBV",{"RSC ID","Tier";B3011,A3011}))</f>
        <v/>
      </c>
      <c r="AY3011" s="82" t="str">
        <f t="shared" si="2"/>
        <v/>
      </c>
      <c r="AZ3011" s="82"/>
      <c r="BA3011" s="84" t="s">
        <v>152</v>
      </c>
      <c r="BB3011" s="84" t="str">
        <f>IFERROR(__xludf.DUMMYFUNCTION("iferror(if(A3011="""",,E3011&gt;=FILTER(Constants!$F$2:$F$10,Constants!$A$2:$A$10=A3011)))"),"")</f>
        <v/>
      </c>
    </row>
    <row r="3012">
      <c r="A3012" s="87"/>
      <c r="B3012" s="87"/>
      <c r="C3012" s="73"/>
      <c r="D3012" s="73"/>
      <c r="E3012" s="82"/>
      <c r="F3012" s="82"/>
      <c r="G3012" s="86"/>
      <c r="H3012" s="86"/>
      <c r="I3012" s="86"/>
      <c r="J3012" s="82"/>
      <c r="K3012" s="82"/>
      <c r="L3012" s="82"/>
      <c r="M3012" s="82"/>
      <c r="N3012" s="82"/>
      <c r="O3012" s="82"/>
      <c r="P3012" s="82"/>
      <c r="Q3012" s="82"/>
      <c r="R3012" s="82"/>
      <c r="S3012" s="82"/>
      <c r="T3012" s="82"/>
      <c r="U3012" s="82"/>
      <c r="V3012" s="82"/>
      <c r="W3012" s="82"/>
      <c r="X3012" s="82"/>
      <c r="Y3012" s="82"/>
      <c r="Z3012" s="82"/>
      <c r="AA3012" s="82"/>
      <c r="AB3012" s="82"/>
      <c r="AC3012" s="82"/>
      <c r="AD3012" s="82"/>
      <c r="AE3012" s="82"/>
      <c r="AF3012" s="82"/>
      <c r="AG3012" s="82"/>
      <c r="AH3012" s="82"/>
      <c r="AI3012" s="82"/>
      <c r="AJ3012" s="82"/>
      <c r="AK3012" s="82"/>
      <c r="AL3012" s="82"/>
      <c r="AM3012" s="82"/>
      <c r="AN3012" s="82"/>
      <c r="AO3012" s="82"/>
      <c r="AP3012" s="82"/>
      <c r="AQ3012" s="82"/>
      <c r="AR3012" s="82"/>
      <c r="AS3012" s="82"/>
      <c r="AT3012" s="82"/>
      <c r="AU3012" s="82"/>
      <c r="AV3012" s="82"/>
      <c r="AW3012" s="82" t="str">
        <f t="shared" si="1"/>
        <v/>
      </c>
      <c r="AX3012" s="83" t="str">
        <f t="array" ref="AX3012">IFERROR(DGET('SBV Import'!A:G,"SBV",{"RSC ID","Tier";B3012,A3012}))</f>
        <v/>
      </c>
      <c r="AY3012" s="82" t="str">
        <f t="shared" si="2"/>
        <v/>
      </c>
      <c r="AZ3012" s="82"/>
      <c r="BA3012" s="84" t="s">
        <v>152</v>
      </c>
      <c r="BB3012" s="84" t="str">
        <f>IFERROR(__xludf.DUMMYFUNCTION("iferror(if(A3012="""",,E3012&gt;=FILTER(Constants!$F$2:$F$10,Constants!$A$2:$A$10=A3012)))"),"")</f>
        <v/>
      </c>
    </row>
    <row r="3013">
      <c r="A3013" s="87"/>
      <c r="B3013" s="87"/>
      <c r="C3013" s="73"/>
      <c r="D3013" s="73"/>
      <c r="E3013" s="82"/>
      <c r="F3013" s="82"/>
      <c r="G3013" s="86"/>
      <c r="H3013" s="86"/>
      <c r="I3013" s="86"/>
      <c r="J3013" s="82"/>
      <c r="K3013" s="82"/>
      <c r="L3013" s="82"/>
      <c r="M3013" s="82"/>
      <c r="N3013" s="82"/>
      <c r="O3013" s="82"/>
      <c r="P3013" s="82"/>
      <c r="Q3013" s="82"/>
      <c r="R3013" s="82"/>
      <c r="S3013" s="82"/>
      <c r="T3013" s="82"/>
      <c r="U3013" s="82"/>
      <c r="V3013" s="82"/>
      <c r="W3013" s="82"/>
      <c r="X3013" s="82"/>
      <c r="Y3013" s="82"/>
      <c r="Z3013" s="82"/>
      <c r="AA3013" s="82"/>
      <c r="AB3013" s="82"/>
      <c r="AC3013" s="82"/>
      <c r="AD3013" s="82"/>
      <c r="AE3013" s="82"/>
      <c r="AF3013" s="82"/>
      <c r="AG3013" s="82"/>
      <c r="AH3013" s="82"/>
      <c r="AI3013" s="82"/>
      <c r="AJ3013" s="82"/>
      <c r="AK3013" s="82"/>
      <c r="AL3013" s="82"/>
      <c r="AM3013" s="82"/>
      <c r="AN3013" s="82"/>
      <c r="AO3013" s="82"/>
      <c r="AP3013" s="82"/>
      <c r="AQ3013" s="82"/>
      <c r="AR3013" s="82"/>
      <c r="AS3013" s="82"/>
      <c r="AT3013" s="82"/>
      <c r="AU3013" s="82"/>
      <c r="AV3013" s="82"/>
      <c r="AW3013" s="82" t="str">
        <f t="shared" si="1"/>
        <v/>
      </c>
      <c r="AX3013" s="83" t="str">
        <f t="array" ref="AX3013">IFERROR(DGET('SBV Import'!A:G,"SBV",{"RSC ID","Tier";B3013,A3013}))</f>
        <v/>
      </c>
      <c r="AY3013" s="82" t="str">
        <f t="shared" si="2"/>
        <v/>
      </c>
      <c r="AZ3013" s="82"/>
      <c r="BA3013" s="84" t="s">
        <v>152</v>
      </c>
      <c r="BB3013" s="84" t="str">
        <f>IFERROR(__xludf.DUMMYFUNCTION("iferror(if(A3013="""",,E3013&gt;=FILTER(Constants!$F$2:$F$10,Constants!$A$2:$A$10=A3013)))"),"")</f>
        <v/>
      </c>
    </row>
    <row r="3014">
      <c r="A3014" s="87"/>
      <c r="B3014" s="87"/>
      <c r="C3014" s="73"/>
      <c r="D3014" s="73"/>
      <c r="E3014" s="82"/>
      <c r="F3014" s="82"/>
      <c r="G3014" s="86"/>
      <c r="H3014" s="86"/>
      <c r="I3014" s="86"/>
      <c r="J3014" s="82"/>
      <c r="K3014" s="82"/>
      <c r="L3014" s="82"/>
      <c r="M3014" s="82"/>
      <c r="N3014" s="82"/>
      <c r="O3014" s="82"/>
      <c r="P3014" s="82"/>
      <c r="Q3014" s="82"/>
      <c r="R3014" s="82"/>
      <c r="S3014" s="82"/>
      <c r="T3014" s="82"/>
      <c r="U3014" s="82"/>
      <c r="V3014" s="82"/>
      <c r="W3014" s="82"/>
      <c r="X3014" s="82"/>
      <c r="Y3014" s="82"/>
      <c r="Z3014" s="82"/>
      <c r="AA3014" s="82"/>
      <c r="AB3014" s="82"/>
      <c r="AC3014" s="82"/>
      <c r="AD3014" s="82"/>
      <c r="AE3014" s="82"/>
      <c r="AF3014" s="82"/>
      <c r="AG3014" s="82"/>
      <c r="AH3014" s="82"/>
      <c r="AI3014" s="82"/>
      <c r="AJ3014" s="82"/>
      <c r="AK3014" s="82"/>
      <c r="AL3014" s="82"/>
      <c r="AM3014" s="82"/>
      <c r="AN3014" s="82"/>
      <c r="AO3014" s="82"/>
      <c r="AP3014" s="82"/>
      <c r="AQ3014" s="82"/>
      <c r="AR3014" s="82"/>
      <c r="AS3014" s="82"/>
      <c r="AT3014" s="82"/>
      <c r="AU3014" s="82"/>
      <c r="AV3014" s="82"/>
      <c r="AW3014" s="82" t="str">
        <f t="shared" si="1"/>
        <v/>
      </c>
      <c r="AX3014" s="83" t="str">
        <f t="array" ref="AX3014">IFERROR(DGET('SBV Import'!A:G,"SBV",{"RSC ID","Tier";B3014,A3014}))</f>
        <v/>
      </c>
      <c r="AY3014" s="82" t="str">
        <f t="shared" si="2"/>
        <v/>
      </c>
      <c r="AZ3014" s="82"/>
      <c r="BA3014" s="84" t="s">
        <v>152</v>
      </c>
      <c r="BB3014" s="84" t="str">
        <f>IFERROR(__xludf.DUMMYFUNCTION("iferror(if(A3014="""",,E3014&gt;=FILTER(Constants!$F$2:$F$10,Constants!$A$2:$A$10=A3014)))"),"")</f>
        <v/>
      </c>
    </row>
    <row r="3015">
      <c r="A3015" s="87"/>
      <c r="B3015" s="87"/>
      <c r="C3015" s="73"/>
      <c r="D3015" s="73"/>
      <c r="E3015" s="82"/>
      <c r="F3015" s="82"/>
      <c r="G3015" s="86"/>
      <c r="H3015" s="86"/>
      <c r="I3015" s="86"/>
      <c r="J3015" s="82"/>
      <c r="K3015" s="82"/>
      <c r="L3015" s="82"/>
      <c r="M3015" s="82"/>
      <c r="N3015" s="82"/>
      <c r="O3015" s="82"/>
      <c r="P3015" s="82"/>
      <c r="Q3015" s="82"/>
      <c r="R3015" s="82"/>
      <c r="S3015" s="82"/>
      <c r="T3015" s="82"/>
      <c r="U3015" s="82"/>
      <c r="V3015" s="82"/>
      <c r="W3015" s="82"/>
      <c r="X3015" s="82"/>
      <c r="Y3015" s="82"/>
      <c r="Z3015" s="82"/>
      <c r="AA3015" s="82"/>
      <c r="AB3015" s="82"/>
      <c r="AC3015" s="82"/>
      <c r="AD3015" s="82"/>
      <c r="AE3015" s="82"/>
      <c r="AF3015" s="82"/>
      <c r="AG3015" s="82"/>
      <c r="AH3015" s="82"/>
      <c r="AI3015" s="82"/>
      <c r="AJ3015" s="82"/>
      <c r="AK3015" s="82"/>
      <c r="AL3015" s="82"/>
      <c r="AM3015" s="82"/>
      <c r="AN3015" s="82"/>
      <c r="AO3015" s="82"/>
      <c r="AP3015" s="82"/>
      <c r="AQ3015" s="82"/>
      <c r="AR3015" s="82"/>
      <c r="AS3015" s="82"/>
      <c r="AT3015" s="82"/>
      <c r="AU3015" s="82"/>
      <c r="AV3015" s="82"/>
      <c r="AW3015" s="82" t="str">
        <f t="shared" si="1"/>
        <v/>
      </c>
      <c r="AX3015" s="83" t="str">
        <f t="array" ref="AX3015">IFERROR(DGET('SBV Import'!A:G,"SBV",{"RSC ID","Tier";B3015,A3015}))</f>
        <v/>
      </c>
      <c r="AY3015" s="82" t="str">
        <f t="shared" si="2"/>
        <v/>
      </c>
      <c r="AZ3015" s="82"/>
      <c r="BA3015" s="84" t="s">
        <v>152</v>
      </c>
      <c r="BB3015" s="84" t="str">
        <f>IFERROR(__xludf.DUMMYFUNCTION("iferror(if(A3015="""",,E3015&gt;=FILTER(Constants!$F$2:$F$10,Constants!$A$2:$A$10=A3015)))"),"")</f>
        <v/>
      </c>
    </row>
    <row r="3016">
      <c r="A3016" s="87"/>
      <c r="B3016" s="87"/>
      <c r="C3016" s="73"/>
      <c r="D3016" s="73"/>
      <c r="E3016" s="82"/>
      <c r="F3016" s="82"/>
      <c r="G3016" s="86"/>
      <c r="H3016" s="86"/>
      <c r="I3016" s="86"/>
      <c r="J3016" s="82"/>
      <c r="K3016" s="82"/>
      <c r="L3016" s="82"/>
      <c r="M3016" s="82"/>
      <c r="N3016" s="82"/>
      <c r="O3016" s="82"/>
      <c r="P3016" s="82"/>
      <c r="Q3016" s="82"/>
      <c r="R3016" s="82"/>
      <c r="S3016" s="82"/>
      <c r="T3016" s="82"/>
      <c r="U3016" s="82"/>
      <c r="V3016" s="82"/>
      <c r="W3016" s="82"/>
      <c r="X3016" s="82"/>
      <c r="Y3016" s="82"/>
      <c r="Z3016" s="82"/>
      <c r="AA3016" s="82"/>
      <c r="AB3016" s="82"/>
      <c r="AC3016" s="82"/>
      <c r="AD3016" s="82"/>
      <c r="AE3016" s="82"/>
      <c r="AF3016" s="82"/>
      <c r="AG3016" s="82"/>
      <c r="AH3016" s="82"/>
      <c r="AI3016" s="82"/>
      <c r="AJ3016" s="82"/>
      <c r="AK3016" s="82"/>
      <c r="AL3016" s="82"/>
      <c r="AM3016" s="82"/>
      <c r="AN3016" s="82"/>
      <c r="AO3016" s="82"/>
      <c r="AP3016" s="82"/>
      <c r="AQ3016" s="82"/>
      <c r="AR3016" s="82"/>
      <c r="AS3016" s="82"/>
      <c r="AT3016" s="82"/>
      <c r="AU3016" s="82"/>
      <c r="AV3016" s="82"/>
      <c r="AW3016" s="82" t="str">
        <f t="shared" si="1"/>
        <v/>
      </c>
      <c r="AX3016" s="83" t="str">
        <f t="array" ref="AX3016">IFERROR(DGET('SBV Import'!A:G,"SBV",{"RSC ID","Tier";B3016,A3016}))</f>
        <v/>
      </c>
      <c r="AY3016" s="82" t="str">
        <f t="shared" si="2"/>
        <v/>
      </c>
      <c r="AZ3016" s="82"/>
      <c r="BA3016" s="84" t="s">
        <v>152</v>
      </c>
      <c r="BB3016" s="84" t="str">
        <f>IFERROR(__xludf.DUMMYFUNCTION("iferror(if(A3016="""",,E3016&gt;=FILTER(Constants!$F$2:$F$10,Constants!$A$2:$A$10=A3016)))"),"")</f>
        <v/>
      </c>
    </row>
    <row r="3017">
      <c r="A3017" s="87"/>
      <c r="B3017" s="87"/>
      <c r="C3017" s="73"/>
      <c r="D3017" s="73"/>
      <c r="E3017" s="82"/>
      <c r="F3017" s="82"/>
      <c r="G3017" s="86"/>
      <c r="H3017" s="86"/>
      <c r="I3017" s="86"/>
      <c r="J3017" s="82"/>
      <c r="K3017" s="82"/>
      <c r="L3017" s="82"/>
      <c r="M3017" s="82"/>
      <c r="N3017" s="82"/>
      <c r="O3017" s="82"/>
      <c r="P3017" s="82"/>
      <c r="Q3017" s="82"/>
      <c r="R3017" s="82"/>
      <c r="S3017" s="82"/>
      <c r="T3017" s="82"/>
      <c r="U3017" s="82"/>
      <c r="V3017" s="82"/>
      <c r="W3017" s="82"/>
      <c r="X3017" s="82"/>
      <c r="Y3017" s="82"/>
      <c r="Z3017" s="82"/>
      <c r="AA3017" s="82"/>
      <c r="AB3017" s="82"/>
      <c r="AC3017" s="82"/>
      <c r="AD3017" s="82"/>
      <c r="AE3017" s="82"/>
      <c r="AF3017" s="82"/>
      <c r="AG3017" s="82"/>
      <c r="AH3017" s="82"/>
      <c r="AI3017" s="82"/>
      <c r="AJ3017" s="82"/>
      <c r="AK3017" s="82"/>
      <c r="AL3017" s="82"/>
      <c r="AM3017" s="82"/>
      <c r="AN3017" s="82"/>
      <c r="AO3017" s="82"/>
      <c r="AP3017" s="82"/>
      <c r="AQ3017" s="82"/>
      <c r="AR3017" s="82"/>
      <c r="AS3017" s="82"/>
      <c r="AT3017" s="82"/>
      <c r="AU3017" s="82"/>
      <c r="AV3017" s="82"/>
      <c r="AW3017" s="82" t="str">
        <f t="shared" si="1"/>
        <v/>
      </c>
      <c r="AX3017" s="83" t="str">
        <f t="array" ref="AX3017">IFERROR(DGET('SBV Import'!A:G,"SBV",{"RSC ID","Tier";B3017,A3017}))</f>
        <v/>
      </c>
      <c r="AY3017" s="82" t="str">
        <f t="shared" si="2"/>
        <v/>
      </c>
      <c r="AZ3017" s="82"/>
      <c r="BA3017" s="84" t="s">
        <v>152</v>
      </c>
      <c r="BB3017" s="84" t="str">
        <f>IFERROR(__xludf.DUMMYFUNCTION("iferror(if(A3017="""",,E3017&gt;=FILTER(Constants!$F$2:$F$10,Constants!$A$2:$A$10=A3017)))"),"")</f>
        <v/>
      </c>
    </row>
    <row r="3018">
      <c r="A3018" s="87"/>
      <c r="B3018" s="87"/>
      <c r="C3018" s="73"/>
      <c r="D3018" s="73"/>
      <c r="E3018" s="82"/>
      <c r="F3018" s="82"/>
      <c r="G3018" s="86"/>
      <c r="H3018" s="86"/>
      <c r="I3018" s="86"/>
      <c r="J3018" s="82"/>
      <c r="K3018" s="82"/>
      <c r="L3018" s="82"/>
      <c r="M3018" s="82"/>
      <c r="N3018" s="82"/>
      <c r="O3018" s="82"/>
      <c r="P3018" s="82"/>
      <c r="Q3018" s="82"/>
      <c r="R3018" s="82"/>
      <c r="S3018" s="82"/>
      <c r="T3018" s="82"/>
      <c r="U3018" s="82"/>
      <c r="V3018" s="82"/>
      <c r="W3018" s="82"/>
      <c r="X3018" s="82"/>
      <c r="Y3018" s="82"/>
      <c r="Z3018" s="82"/>
      <c r="AA3018" s="82"/>
      <c r="AB3018" s="82"/>
      <c r="AC3018" s="82"/>
      <c r="AD3018" s="82"/>
      <c r="AE3018" s="82"/>
      <c r="AF3018" s="82"/>
      <c r="AG3018" s="82"/>
      <c r="AH3018" s="82"/>
      <c r="AI3018" s="82"/>
      <c r="AJ3018" s="82"/>
      <c r="AK3018" s="82"/>
      <c r="AL3018" s="82"/>
      <c r="AM3018" s="82"/>
      <c r="AN3018" s="82"/>
      <c r="AO3018" s="82"/>
      <c r="AP3018" s="82"/>
      <c r="AQ3018" s="82"/>
      <c r="AR3018" s="82"/>
      <c r="AS3018" s="82"/>
      <c r="AT3018" s="82"/>
      <c r="AU3018" s="82"/>
      <c r="AV3018" s="82"/>
      <c r="AW3018" s="82" t="str">
        <f t="shared" si="1"/>
        <v/>
      </c>
      <c r="AX3018" s="83" t="str">
        <f t="array" ref="AX3018">IFERROR(DGET('SBV Import'!A:G,"SBV",{"RSC ID","Tier";B3018,A3018}))</f>
        <v/>
      </c>
      <c r="AY3018" s="82" t="str">
        <f t="shared" si="2"/>
        <v/>
      </c>
      <c r="AZ3018" s="82"/>
      <c r="BA3018" s="84" t="s">
        <v>152</v>
      </c>
      <c r="BB3018" s="84" t="str">
        <f>IFERROR(__xludf.DUMMYFUNCTION("iferror(if(A3018="""",,E3018&gt;=FILTER(Constants!$F$2:$F$10,Constants!$A$2:$A$10=A3018)))"),"")</f>
        <v/>
      </c>
    </row>
    <row r="3019">
      <c r="A3019" s="87"/>
      <c r="B3019" s="87"/>
      <c r="C3019" s="73"/>
      <c r="D3019" s="73"/>
      <c r="E3019" s="82"/>
      <c r="F3019" s="82"/>
      <c r="G3019" s="86"/>
      <c r="H3019" s="86"/>
      <c r="I3019" s="86"/>
      <c r="J3019" s="82"/>
      <c r="K3019" s="82"/>
      <c r="L3019" s="82"/>
      <c r="M3019" s="82"/>
      <c r="N3019" s="82"/>
      <c r="O3019" s="82"/>
      <c r="P3019" s="82"/>
      <c r="Q3019" s="82"/>
      <c r="R3019" s="82"/>
      <c r="S3019" s="82"/>
      <c r="T3019" s="82"/>
      <c r="U3019" s="82"/>
      <c r="V3019" s="82"/>
      <c r="W3019" s="82"/>
      <c r="X3019" s="82"/>
      <c r="Y3019" s="82"/>
      <c r="Z3019" s="82"/>
      <c r="AA3019" s="82"/>
      <c r="AB3019" s="82"/>
      <c r="AC3019" s="82"/>
      <c r="AD3019" s="82"/>
      <c r="AE3019" s="82"/>
      <c r="AF3019" s="82"/>
      <c r="AG3019" s="82"/>
      <c r="AH3019" s="82"/>
      <c r="AI3019" s="82"/>
      <c r="AJ3019" s="82"/>
      <c r="AK3019" s="82"/>
      <c r="AL3019" s="82"/>
      <c r="AM3019" s="82"/>
      <c r="AN3019" s="82"/>
      <c r="AO3019" s="82"/>
      <c r="AP3019" s="82"/>
      <c r="AQ3019" s="82"/>
      <c r="AR3019" s="82"/>
      <c r="AS3019" s="82"/>
      <c r="AT3019" s="82"/>
      <c r="AU3019" s="82"/>
      <c r="AV3019" s="82"/>
      <c r="AW3019" s="82" t="str">
        <f t="shared" si="1"/>
        <v/>
      </c>
      <c r="AX3019" s="83" t="str">
        <f t="array" ref="AX3019">IFERROR(DGET('SBV Import'!A:G,"SBV",{"RSC ID","Tier";B3019,A3019}))</f>
        <v/>
      </c>
      <c r="AY3019" s="82" t="str">
        <f t="shared" si="2"/>
        <v/>
      </c>
      <c r="AZ3019" s="82"/>
      <c r="BA3019" s="84" t="s">
        <v>152</v>
      </c>
      <c r="BB3019" s="84" t="str">
        <f>IFERROR(__xludf.DUMMYFUNCTION("iferror(if(A3019="""",,E3019&gt;=FILTER(Constants!$F$2:$F$10,Constants!$A$2:$A$10=A3019)))"),"")</f>
        <v/>
      </c>
    </row>
    <row r="3020">
      <c r="A3020" s="87"/>
      <c r="B3020" s="87"/>
      <c r="C3020" s="73"/>
      <c r="D3020" s="73"/>
      <c r="E3020" s="82"/>
      <c r="F3020" s="82"/>
      <c r="G3020" s="86"/>
      <c r="H3020" s="86"/>
      <c r="I3020" s="86"/>
      <c r="J3020" s="82"/>
      <c r="K3020" s="82"/>
      <c r="L3020" s="82"/>
      <c r="M3020" s="82"/>
      <c r="N3020" s="82"/>
      <c r="O3020" s="82"/>
      <c r="P3020" s="82"/>
      <c r="Q3020" s="82"/>
      <c r="R3020" s="82"/>
      <c r="S3020" s="82"/>
      <c r="T3020" s="82"/>
      <c r="U3020" s="82"/>
      <c r="V3020" s="82"/>
      <c r="W3020" s="82"/>
      <c r="X3020" s="82"/>
      <c r="Y3020" s="82"/>
      <c r="Z3020" s="82"/>
      <c r="AA3020" s="82"/>
      <c r="AB3020" s="82"/>
      <c r="AC3020" s="82"/>
      <c r="AD3020" s="82"/>
      <c r="AE3020" s="82"/>
      <c r="AF3020" s="82"/>
      <c r="AG3020" s="82"/>
      <c r="AH3020" s="82"/>
      <c r="AI3020" s="82"/>
      <c r="AJ3020" s="82"/>
      <c r="AK3020" s="82"/>
      <c r="AL3020" s="82"/>
      <c r="AM3020" s="82"/>
      <c r="AN3020" s="82"/>
      <c r="AO3020" s="82"/>
      <c r="AP3020" s="82"/>
      <c r="AQ3020" s="82"/>
      <c r="AR3020" s="82"/>
      <c r="AS3020" s="82"/>
      <c r="AT3020" s="82"/>
      <c r="AU3020" s="82"/>
      <c r="AV3020" s="82"/>
      <c r="AW3020" s="82" t="str">
        <f t="shared" si="1"/>
        <v/>
      </c>
      <c r="AX3020" s="83" t="str">
        <f t="array" ref="AX3020">IFERROR(DGET('SBV Import'!A:G,"SBV",{"RSC ID","Tier";B3020,A3020}))</f>
        <v/>
      </c>
      <c r="AY3020" s="82" t="str">
        <f t="shared" si="2"/>
        <v/>
      </c>
      <c r="AZ3020" s="82"/>
      <c r="BA3020" s="84" t="s">
        <v>152</v>
      </c>
      <c r="BB3020" s="84" t="str">
        <f>IFERROR(__xludf.DUMMYFUNCTION("iferror(if(A3020="""",,E3020&gt;=FILTER(Constants!$F$2:$F$10,Constants!$A$2:$A$10=A3020)))"),"")</f>
        <v/>
      </c>
    </row>
    <row r="3021">
      <c r="A3021" s="87"/>
      <c r="B3021" s="87"/>
      <c r="C3021" s="73"/>
      <c r="D3021" s="73"/>
      <c r="E3021" s="82"/>
      <c r="F3021" s="82"/>
      <c r="G3021" s="86"/>
      <c r="H3021" s="86"/>
      <c r="I3021" s="86"/>
      <c r="J3021" s="82"/>
      <c r="K3021" s="82"/>
      <c r="L3021" s="82"/>
      <c r="M3021" s="82"/>
      <c r="N3021" s="82"/>
      <c r="O3021" s="82"/>
      <c r="P3021" s="82"/>
      <c r="Q3021" s="82"/>
      <c r="R3021" s="82"/>
      <c r="S3021" s="82"/>
      <c r="T3021" s="82"/>
      <c r="U3021" s="82"/>
      <c r="V3021" s="82"/>
      <c r="W3021" s="82"/>
      <c r="X3021" s="82"/>
      <c r="Y3021" s="82"/>
      <c r="Z3021" s="82"/>
      <c r="AA3021" s="82"/>
      <c r="AB3021" s="82"/>
      <c r="AC3021" s="82"/>
      <c r="AD3021" s="82"/>
      <c r="AE3021" s="82"/>
      <c r="AF3021" s="82"/>
      <c r="AG3021" s="82"/>
      <c r="AH3021" s="82"/>
      <c r="AI3021" s="82"/>
      <c r="AJ3021" s="82"/>
      <c r="AK3021" s="82"/>
      <c r="AL3021" s="82"/>
      <c r="AM3021" s="82"/>
      <c r="AN3021" s="82"/>
      <c r="AO3021" s="82"/>
      <c r="AP3021" s="82"/>
      <c r="AQ3021" s="82"/>
      <c r="AR3021" s="82"/>
      <c r="AS3021" s="82"/>
      <c r="AT3021" s="82"/>
      <c r="AU3021" s="82"/>
      <c r="AV3021" s="82"/>
      <c r="AW3021" s="82" t="str">
        <f t="shared" si="1"/>
        <v/>
      </c>
      <c r="AX3021" s="83" t="str">
        <f t="array" ref="AX3021">IFERROR(DGET('SBV Import'!A:G,"SBV",{"RSC ID","Tier";B3021,A3021}))</f>
        <v/>
      </c>
      <c r="AY3021" s="82" t="str">
        <f t="shared" si="2"/>
        <v/>
      </c>
      <c r="AZ3021" s="82"/>
      <c r="BA3021" s="84" t="s">
        <v>152</v>
      </c>
      <c r="BB3021" s="84" t="str">
        <f>IFERROR(__xludf.DUMMYFUNCTION("iferror(if(A3021="""",,E3021&gt;=FILTER(Constants!$F$2:$F$10,Constants!$A$2:$A$10=A3021)))"),"")</f>
        <v/>
      </c>
    </row>
    <row r="3022">
      <c r="A3022" s="87"/>
      <c r="B3022" s="87"/>
      <c r="C3022" s="73"/>
      <c r="D3022" s="73"/>
      <c r="E3022" s="82"/>
      <c r="F3022" s="82"/>
      <c r="G3022" s="86"/>
      <c r="H3022" s="86"/>
      <c r="I3022" s="86"/>
      <c r="J3022" s="82"/>
      <c r="K3022" s="82"/>
      <c r="L3022" s="82"/>
      <c r="M3022" s="82"/>
      <c r="N3022" s="82"/>
      <c r="O3022" s="82"/>
      <c r="P3022" s="82"/>
      <c r="Q3022" s="82"/>
      <c r="R3022" s="82"/>
      <c r="S3022" s="82"/>
      <c r="T3022" s="82"/>
      <c r="U3022" s="82"/>
      <c r="V3022" s="82"/>
      <c r="W3022" s="82"/>
      <c r="X3022" s="82"/>
      <c r="Y3022" s="82"/>
      <c r="Z3022" s="82"/>
      <c r="AA3022" s="82"/>
      <c r="AB3022" s="82"/>
      <c r="AC3022" s="82"/>
      <c r="AD3022" s="82"/>
      <c r="AE3022" s="82"/>
      <c r="AF3022" s="82"/>
      <c r="AG3022" s="82"/>
      <c r="AH3022" s="82"/>
      <c r="AI3022" s="82"/>
      <c r="AJ3022" s="82"/>
      <c r="AK3022" s="82"/>
      <c r="AL3022" s="82"/>
      <c r="AM3022" s="82"/>
      <c r="AN3022" s="82"/>
      <c r="AO3022" s="82"/>
      <c r="AP3022" s="82"/>
      <c r="AQ3022" s="82"/>
      <c r="AR3022" s="82"/>
      <c r="AS3022" s="82"/>
      <c r="AT3022" s="82"/>
      <c r="AU3022" s="82"/>
      <c r="AV3022" s="82"/>
      <c r="AW3022" s="82" t="str">
        <f t="shared" si="1"/>
        <v/>
      </c>
      <c r="AX3022" s="83" t="str">
        <f t="array" ref="AX3022">IFERROR(DGET('SBV Import'!A:G,"SBV",{"RSC ID","Tier";B3022,A3022}))</f>
        <v/>
      </c>
      <c r="AY3022" s="82" t="str">
        <f t="shared" si="2"/>
        <v/>
      </c>
      <c r="AZ3022" s="82"/>
      <c r="BA3022" s="84" t="s">
        <v>152</v>
      </c>
      <c r="BB3022" s="84" t="str">
        <f>IFERROR(__xludf.DUMMYFUNCTION("iferror(if(A3022="""",,E3022&gt;=FILTER(Constants!$F$2:$F$10,Constants!$A$2:$A$10=A3022)))"),"")</f>
        <v/>
      </c>
    </row>
    <row r="3023">
      <c r="A3023" s="87"/>
      <c r="B3023" s="87"/>
      <c r="C3023" s="73"/>
      <c r="D3023" s="73"/>
      <c r="E3023" s="82"/>
      <c r="F3023" s="82"/>
      <c r="G3023" s="86"/>
      <c r="H3023" s="86"/>
      <c r="I3023" s="86"/>
      <c r="J3023" s="82"/>
      <c r="K3023" s="82"/>
      <c r="L3023" s="82"/>
      <c r="M3023" s="82"/>
      <c r="N3023" s="82"/>
      <c r="O3023" s="82"/>
      <c r="P3023" s="82"/>
      <c r="Q3023" s="82"/>
      <c r="R3023" s="82"/>
      <c r="S3023" s="82"/>
      <c r="T3023" s="82"/>
      <c r="U3023" s="82"/>
      <c r="V3023" s="82"/>
      <c r="W3023" s="82"/>
      <c r="X3023" s="82"/>
      <c r="Y3023" s="82"/>
      <c r="Z3023" s="82"/>
      <c r="AA3023" s="82"/>
      <c r="AB3023" s="82"/>
      <c r="AC3023" s="82"/>
      <c r="AD3023" s="82"/>
      <c r="AE3023" s="82"/>
      <c r="AF3023" s="82"/>
      <c r="AG3023" s="82"/>
      <c r="AH3023" s="82"/>
      <c r="AI3023" s="82"/>
      <c r="AJ3023" s="82"/>
      <c r="AK3023" s="82"/>
      <c r="AL3023" s="82"/>
      <c r="AM3023" s="82"/>
      <c r="AN3023" s="82"/>
      <c r="AO3023" s="82"/>
      <c r="AP3023" s="82"/>
      <c r="AQ3023" s="82"/>
      <c r="AR3023" s="82"/>
      <c r="AS3023" s="82"/>
      <c r="AT3023" s="82"/>
      <c r="AU3023" s="82"/>
      <c r="AV3023" s="82"/>
      <c r="AW3023" s="82" t="str">
        <f t="shared" si="1"/>
        <v/>
      </c>
      <c r="AX3023" s="83" t="str">
        <f t="array" ref="AX3023">IFERROR(DGET('SBV Import'!A:G,"SBV",{"RSC ID","Tier";B3023,A3023}))</f>
        <v/>
      </c>
      <c r="AY3023" s="82" t="str">
        <f t="shared" si="2"/>
        <v/>
      </c>
      <c r="AZ3023" s="82"/>
      <c r="BA3023" s="84" t="s">
        <v>152</v>
      </c>
      <c r="BB3023" s="84" t="str">
        <f>IFERROR(__xludf.DUMMYFUNCTION("iferror(if(A3023="""",,E3023&gt;=FILTER(Constants!$F$2:$F$10,Constants!$A$2:$A$10=A3023)))"),"")</f>
        <v/>
      </c>
    </row>
    <row r="3024">
      <c r="A3024" s="87"/>
      <c r="B3024" s="87"/>
      <c r="C3024" s="73"/>
      <c r="D3024" s="73"/>
      <c r="E3024" s="82"/>
      <c r="F3024" s="82"/>
      <c r="G3024" s="86"/>
      <c r="H3024" s="86"/>
      <c r="I3024" s="86"/>
      <c r="J3024" s="82"/>
      <c r="K3024" s="82"/>
      <c r="L3024" s="82"/>
      <c r="M3024" s="82"/>
      <c r="N3024" s="82"/>
      <c r="O3024" s="82"/>
      <c r="P3024" s="82"/>
      <c r="Q3024" s="82"/>
      <c r="R3024" s="82"/>
      <c r="S3024" s="82"/>
      <c r="T3024" s="82"/>
      <c r="U3024" s="82"/>
      <c r="V3024" s="82"/>
      <c r="W3024" s="82"/>
      <c r="X3024" s="82"/>
      <c r="Y3024" s="82"/>
      <c r="Z3024" s="82"/>
      <c r="AA3024" s="82"/>
      <c r="AB3024" s="82"/>
      <c r="AC3024" s="82"/>
      <c r="AD3024" s="82"/>
      <c r="AE3024" s="82"/>
      <c r="AF3024" s="82"/>
      <c r="AG3024" s="82"/>
      <c r="AH3024" s="82"/>
      <c r="AI3024" s="82"/>
      <c r="AJ3024" s="82"/>
      <c r="AK3024" s="82"/>
      <c r="AL3024" s="82"/>
      <c r="AM3024" s="82"/>
      <c r="AN3024" s="82"/>
      <c r="AO3024" s="82"/>
      <c r="AP3024" s="82"/>
      <c r="AQ3024" s="82"/>
      <c r="AR3024" s="82"/>
      <c r="AS3024" s="82"/>
      <c r="AT3024" s="82"/>
      <c r="AU3024" s="82"/>
      <c r="AV3024" s="82"/>
      <c r="AW3024" s="82" t="str">
        <f t="shared" si="1"/>
        <v/>
      </c>
      <c r="AX3024" s="83" t="str">
        <f t="array" ref="AX3024">IFERROR(DGET('SBV Import'!A:G,"SBV",{"RSC ID","Tier";B3024,A3024}))</f>
        <v/>
      </c>
      <c r="AY3024" s="82" t="str">
        <f t="shared" si="2"/>
        <v/>
      </c>
      <c r="AZ3024" s="82"/>
      <c r="BA3024" s="84" t="s">
        <v>152</v>
      </c>
      <c r="BB3024" s="84" t="str">
        <f>IFERROR(__xludf.DUMMYFUNCTION("iferror(if(A3024="""",,E3024&gt;=FILTER(Constants!$F$2:$F$10,Constants!$A$2:$A$10=A3024)))"),"")</f>
        <v/>
      </c>
    </row>
    <row r="3025">
      <c r="A3025" s="87"/>
      <c r="B3025" s="87"/>
      <c r="C3025" s="73"/>
      <c r="D3025" s="73"/>
      <c r="E3025" s="82"/>
      <c r="F3025" s="82"/>
      <c r="G3025" s="86"/>
      <c r="H3025" s="86"/>
      <c r="I3025" s="86"/>
      <c r="J3025" s="82"/>
      <c r="K3025" s="82"/>
      <c r="L3025" s="82"/>
      <c r="M3025" s="82"/>
      <c r="N3025" s="82"/>
      <c r="O3025" s="82"/>
      <c r="P3025" s="82"/>
      <c r="Q3025" s="82"/>
      <c r="R3025" s="82"/>
      <c r="S3025" s="82"/>
      <c r="T3025" s="82"/>
      <c r="U3025" s="82"/>
      <c r="V3025" s="82"/>
      <c r="W3025" s="82"/>
      <c r="X3025" s="82"/>
      <c r="Y3025" s="82"/>
      <c r="Z3025" s="82"/>
      <c r="AA3025" s="82"/>
      <c r="AB3025" s="82"/>
      <c r="AC3025" s="82"/>
      <c r="AD3025" s="82"/>
      <c r="AE3025" s="82"/>
      <c r="AF3025" s="82"/>
      <c r="AG3025" s="82"/>
      <c r="AH3025" s="82"/>
      <c r="AI3025" s="82"/>
      <c r="AJ3025" s="82"/>
      <c r="AK3025" s="82"/>
      <c r="AL3025" s="82"/>
      <c r="AM3025" s="82"/>
      <c r="AN3025" s="82"/>
      <c r="AO3025" s="82"/>
      <c r="AP3025" s="82"/>
      <c r="AQ3025" s="82"/>
      <c r="AR3025" s="82"/>
      <c r="AS3025" s="82"/>
      <c r="AT3025" s="82"/>
      <c r="AU3025" s="82"/>
      <c r="AV3025" s="82"/>
      <c r="AW3025" s="82" t="str">
        <f t="shared" si="1"/>
        <v/>
      </c>
      <c r="AX3025" s="83" t="str">
        <f t="array" ref="AX3025">IFERROR(DGET('SBV Import'!A:G,"SBV",{"RSC ID","Tier";B3025,A3025}))</f>
        <v/>
      </c>
      <c r="AY3025" s="82" t="str">
        <f t="shared" si="2"/>
        <v/>
      </c>
      <c r="AZ3025" s="82"/>
      <c r="BA3025" s="84" t="s">
        <v>152</v>
      </c>
      <c r="BB3025" s="84" t="str">
        <f>IFERROR(__xludf.DUMMYFUNCTION("iferror(if(A3025="""",,E3025&gt;=FILTER(Constants!$F$2:$F$10,Constants!$A$2:$A$10=A3025)))"),"")</f>
        <v/>
      </c>
    </row>
    <row r="3026">
      <c r="A3026" s="87"/>
      <c r="B3026" s="87"/>
      <c r="C3026" s="73"/>
      <c r="D3026" s="73"/>
      <c r="E3026" s="82"/>
      <c r="F3026" s="82"/>
      <c r="G3026" s="86"/>
      <c r="H3026" s="86"/>
      <c r="I3026" s="86"/>
      <c r="J3026" s="82"/>
      <c r="K3026" s="82"/>
      <c r="L3026" s="82"/>
      <c r="M3026" s="82"/>
      <c r="N3026" s="82"/>
      <c r="O3026" s="82"/>
      <c r="P3026" s="82"/>
      <c r="Q3026" s="82"/>
      <c r="R3026" s="82"/>
      <c r="S3026" s="82"/>
      <c r="T3026" s="82"/>
      <c r="U3026" s="82"/>
      <c r="V3026" s="82"/>
      <c r="W3026" s="82"/>
      <c r="X3026" s="82"/>
      <c r="Y3026" s="82"/>
      <c r="Z3026" s="82"/>
      <c r="AA3026" s="82"/>
      <c r="AB3026" s="82"/>
      <c r="AC3026" s="82"/>
      <c r="AD3026" s="82"/>
      <c r="AE3026" s="82"/>
      <c r="AF3026" s="82"/>
      <c r="AG3026" s="82"/>
      <c r="AH3026" s="82"/>
      <c r="AI3026" s="82"/>
      <c r="AJ3026" s="82"/>
      <c r="AK3026" s="82"/>
      <c r="AL3026" s="82"/>
      <c r="AM3026" s="82"/>
      <c r="AN3026" s="82"/>
      <c r="AO3026" s="82"/>
      <c r="AP3026" s="82"/>
      <c r="AQ3026" s="82"/>
      <c r="AR3026" s="82"/>
      <c r="AS3026" s="82"/>
      <c r="AT3026" s="82"/>
      <c r="AU3026" s="82"/>
      <c r="AV3026" s="82"/>
      <c r="AW3026" s="82" t="str">
        <f t="shared" si="1"/>
        <v/>
      </c>
      <c r="AX3026" s="83" t="str">
        <f t="array" ref="AX3026">IFERROR(DGET('SBV Import'!A:G,"SBV",{"RSC ID","Tier";B3026,A3026}))</f>
        <v/>
      </c>
      <c r="AY3026" s="82" t="str">
        <f t="shared" si="2"/>
        <v/>
      </c>
      <c r="AZ3026" s="82"/>
      <c r="BA3026" s="84" t="s">
        <v>152</v>
      </c>
      <c r="BB3026" s="84" t="str">
        <f>IFERROR(__xludf.DUMMYFUNCTION("iferror(if(A3026="""",,E3026&gt;=FILTER(Constants!$F$2:$F$10,Constants!$A$2:$A$10=A3026)))"),"")</f>
        <v/>
      </c>
    </row>
    <row r="3027">
      <c r="A3027" s="87"/>
      <c r="B3027" s="87"/>
      <c r="C3027" s="73"/>
      <c r="D3027" s="73"/>
      <c r="E3027" s="82"/>
      <c r="F3027" s="82"/>
      <c r="G3027" s="86"/>
      <c r="H3027" s="86"/>
      <c r="I3027" s="86"/>
      <c r="J3027" s="82"/>
      <c r="K3027" s="82"/>
      <c r="L3027" s="82"/>
      <c r="M3027" s="82"/>
      <c r="N3027" s="82"/>
      <c r="O3027" s="82"/>
      <c r="P3027" s="82"/>
      <c r="Q3027" s="82"/>
      <c r="R3027" s="82"/>
      <c r="S3027" s="82"/>
      <c r="T3027" s="82"/>
      <c r="U3027" s="82"/>
      <c r="V3027" s="82"/>
      <c r="W3027" s="82"/>
      <c r="X3027" s="82"/>
      <c r="Y3027" s="82"/>
      <c r="Z3027" s="82"/>
      <c r="AA3027" s="82"/>
      <c r="AB3027" s="82"/>
      <c r="AC3027" s="82"/>
      <c r="AD3027" s="82"/>
      <c r="AE3027" s="82"/>
      <c r="AF3027" s="82"/>
      <c r="AG3027" s="82"/>
      <c r="AH3027" s="82"/>
      <c r="AI3027" s="82"/>
      <c r="AJ3027" s="82"/>
      <c r="AK3027" s="82"/>
      <c r="AL3027" s="82"/>
      <c r="AM3027" s="82"/>
      <c r="AN3027" s="82"/>
      <c r="AO3027" s="82"/>
      <c r="AP3027" s="82"/>
      <c r="AQ3027" s="82"/>
      <c r="AR3027" s="82"/>
      <c r="AS3027" s="82"/>
      <c r="AT3027" s="82"/>
      <c r="AU3027" s="82"/>
      <c r="AV3027" s="82"/>
      <c r="AW3027" s="82" t="str">
        <f t="shared" si="1"/>
        <v/>
      </c>
      <c r="AX3027" s="83" t="str">
        <f t="array" ref="AX3027">IFERROR(DGET('SBV Import'!A:G,"SBV",{"RSC ID","Tier";B3027,A3027}))</f>
        <v/>
      </c>
      <c r="AY3027" s="82" t="str">
        <f t="shared" si="2"/>
        <v/>
      </c>
      <c r="AZ3027" s="82"/>
      <c r="BA3027" s="84" t="s">
        <v>152</v>
      </c>
      <c r="BB3027" s="84" t="str">
        <f>IFERROR(__xludf.DUMMYFUNCTION("iferror(if(A3027="""",,E3027&gt;=FILTER(Constants!$F$2:$F$10,Constants!$A$2:$A$10=A3027)))"),"")</f>
        <v/>
      </c>
    </row>
    <row r="3028">
      <c r="A3028" s="87"/>
      <c r="B3028" s="87"/>
      <c r="C3028" s="73"/>
      <c r="D3028" s="73"/>
      <c r="E3028" s="82"/>
      <c r="F3028" s="82"/>
      <c r="G3028" s="86"/>
      <c r="H3028" s="86"/>
      <c r="I3028" s="86"/>
      <c r="J3028" s="82"/>
      <c r="K3028" s="82"/>
      <c r="L3028" s="82"/>
      <c r="M3028" s="82"/>
      <c r="N3028" s="82"/>
      <c r="O3028" s="82"/>
      <c r="P3028" s="82"/>
      <c r="Q3028" s="82"/>
      <c r="R3028" s="82"/>
      <c r="S3028" s="82"/>
      <c r="T3028" s="82"/>
      <c r="U3028" s="82"/>
      <c r="V3028" s="82"/>
      <c r="W3028" s="82"/>
      <c r="X3028" s="82"/>
      <c r="Y3028" s="82"/>
      <c r="Z3028" s="82"/>
      <c r="AA3028" s="82"/>
      <c r="AB3028" s="82"/>
      <c r="AC3028" s="82"/>
      <c r="AD3028" s="82"/>
      <c r="AE3028" s="82"/>
      <c r="AF3028" s="82"/>
      <c r="AG3028" s="82"/>
      <c r="AH3028" s="82"/>
      <c r="AI3028" s="82"/>
      <c r="AJ3028" s="82"/>
      <c r="AK3028" s="82"/>
      <c r="AL3028" s="82"/>
      <c r="AM3028" s="82"/>
      <c r="AN3028" s="82"/>
      <c r="AO3028" s="82"/>
      <c r="AP3028" s="82"/>
      <c r="AQ3028" s="82"/>
      <c r="AR3028" s="82"/>
      <c r="AS3028" s="82"/>
      <c r="AT3028" s="82"/>
      <c r="AU3028" s="82"/>
      <c r="AV3028" s="82"/>
      <c r="AW3028" s="82" t="str">
        <f t="shared" si="1"/>
        <v/>
      </c>
      <c r="AX3028" s="83" t="str">
        <f t="array" ref="AX3028">IFERROR(DGET('SBV Import'!A:G,"SBV",{"RSC ID","Tier";B3028,A3028}))</f>
        <v/>
      </c>
      <c r="AY3028" s="82" t="str">
        <f t="shared" si="2"/>
        <v/>
      </c>
      <c r="AZ3028" s="82"/>
      <c r="BA3028" s="84" t="s">
        <v>152</v>
      </c>
      <c r="BB3028" s="84" t="str">
        <f>IFERROR(__xludf.DUMMYFUNCTION("iferror(if(A3028="""",,E3028&gt;=FILTER(Constants!$F$2:$F$10,Constants!$A$2:$A$10=A3028)))"),"")</f>
        <v/>
      </c>
    </row>
    <row r="3029">
      <c r="A3029" s="87"/>
      <c r="B3029" s="87"/>
      <c r="C3029" s="73"/>
      <c r="D3029" s="73"/>
      <c r="E3029" s="82"/>
      <c r="F3029" s="82"/>
      <c r="G3029" s="86"/>
      <c r="H3029" s="86"/>
      <c r="I3029" s="86"/>
      <c r="J3029" s="82"/>
      <c r="K3029" s="82"/>
      <c r="L3029" s="82"/>
      <c r="M3029" s="82"/>
      <c r="N3029" s="82"/>
      <c r="O3029" s="82"/>
      <c r="P3029" s="82"/>
      <c r="Q3029" s="82"/>
      <c r="R3029" s="82"/>
      <c r="S3029" s="82"/>
      <c r="T3029" s="82"/>
      <c r="U3029" s="82"/>
      <c r="V3029" s="82"/>
      <c r="W3029" s="82"/>
      <c r="X3029" s="82"/>
      <c r="Y3029" s="82"/>
      <c r="Z3029" s="82"/>
      <c r="AA3029" s="82"/>
      <c r="AB3029" s="82"/>
      <c r="AC3029" s="82"/>
      <c r="AD3029" s="82"/>
      <c r="AE3029" s="82"/>
      <c r="AF3029" s="82"/>
      <c r="AG3029" s="82"/>
      <c r="AH3029" s="82"/>
      <c r="AI3029" s="82"/>
      <c r="AJ3029" s="82"/>
      <c r="AK3029" s="82"/>
      <c r="AL3029" s="82"/>
      <c r="AM3029" s="82"/>
      <c r="AN3029" s="82"/>
      <c r="AO3029" s="82"/>
      <c r="AP3029" s="82"/>
      <c r="AQ3029" s="82"/>
      <c r="AR3029" s="82"/>
      <c r="AS3029" s="82"/>
      <c r="AT3029" s="82"/>
      <c r="AU3029" s="82"/>
      <c r="AV3029" s="82"/>
      <c r="AW3029" s="82" t="str">
        <f t="shared" si="1"/>
        <v/>
      </c>
      <c r="AX3029" s="83" t="str">
        <f t="array" ref="AX3029">IFERROR(DGET('SBV Import'!A:G,"SBV",{"RSC ID","Tier";B3029,A3029}))</f>
        <v/>
      </c>
      <c r="AY3029" s="82" t="str">
        <f t="shared" si="2"/>
        <v/>
      </c>
      <c r="AZ3029" s="82"/>
      <c r="BA3029" s="84" t="s">
        <v>152</v>
      </c>
      <c r="BB3029" s="84" t="str">
        <f>IFERROR(__xludf.DUMMYFUNCTION("iferror(if(A3029="""",,E3029&gt;=FILTER(Constants!$F$2:$F$10,Constants!$A$2:$A$10=A3029)))"),"")</f>
        <v/>
      </c>
    </row>
    <row r="3030">
      <c r="A3030" s="87"/>
      <c r="B3030" s="87"/>
      <c r="C3030" s="73"/>
      <c r="D3030" s="73"/>
      <c r="E3030" s="82"/>
      <c r="F3030" s="82"/>
      <c r="G3030" s="86"/>
      <c r="H3030" s="86"/>
      <c r="I3030" s="86"/>
      <c r="J3030" s="82"/>
      <c r="K3030" s="82"/>
      <c r="L3030" s="82"/>
      <c r="M3030" s="82"/>
      <c r="N3030" s="82"/>
      <c r="O3030" s="82"/>
      <c r="P3030" s="82"/>
      <c r="Q3030" s="82"/>
      <c r="R3030" s="82"/>
      <c r="S3030" s="82"/>
      <c r="T3030" s="82"/>
      <c r="U3030" s="82"/>
      <c r="V3030" s="82"/>
      <c r="W3030" s="82"/>
      <c r="X3030" s="82"/>
      <c r="Y3030" s="82"/>
      <c r="Z3030" s="82"/>
      <c r="AA3030" s="82"/>
      <c r="AB3030" s="82"/>
      <c r="AC3030" s="82"/>
      <c r="AD3030" s="82"/>
      <c r="AE3030" s="82"/>
      <c r="AF3030" s="82"/>
      <c r="AG3030" s="82"/>
      <c r="AH3030" s="82"/>
      <c r="AI3030" s="82"/>
      <c r="AJ3030" s="82"/>
      <c r="AK3030" s="82"/>
      <c r="AL3030" s="82"/>
      <c r="AM3030" s="82"/>
      <c r="AN3030" s="82"/>
      <c r="AO3030" s="82"/>
      <c r="AP3030" s="82"/>
      <c r="AQ3030" s="82"/>
      <c r="AR3030" s="82"/>
      <c r="AS3030" s="82"/>
      <c r="AT3030" s="82"/>
      <c r="AU3030" s="82"/>
      <c r="AV3030" s="82"/>
      <c r="AW3030" s="82" t="str">
        <f t="shared" si="1"/>
        <v/>
      </c>
      <c r="AX3030" s="83" t="str">
        <f t="array" ref="AX3030">IFERROR(DGET('SBV Import'!A:G,"SBV",{"RSC ID","Tier";B3030,A3030}))</f>
        <v/>
      </c>
      <c r="AY3030" s="82" t="str">
        <f t="shared" si="2"/>
        <v/>
      </c>
      <c r="AZ3030" s="82"/>
      <c r="BA3030" s="84" t="s">
        <v>152</v>
      </c>
      <c r="BB3030" s="84" t="str">
        <f>IFERROR(__xludf.DUMMYFUNCTION("iferror(if(A3030="""",,E3030&gt;=FILTER(Constants!$F$2:$F$10,Constants!$A$2:$A$10=A3030)))"),"")</f>
        <v/>
      </c>
    </row>
    <row r="3031">
      <c r="A3031" s="87"/>
      <c r="B3031" s="87"/>
      <c r="C3031" s="73"/>
      <c r="D3031" s="73"/>
      <c r="E3031" s="82"/>
      <c r="F3031" s="82"/>
      <c r="G3031" s="86"/>
      <c r="H3031" s="86"/>
      <c r="I3031" s="86"/>
      <c r="J3031" s="82"/>
      <c r="K3031" s="82"/>
      <c r="L3031" s="82"/>
      <c r="M3031" s="82"/>
      <c r="N3031" s="82"/>
      <c r="O3031" s="82"/>
      <c r="P3031" s="82"/>
      <c r="Q3031" s="82"/>
      <c r="R3031" s="82"/>
      <c r="S3031" s="82"/>
      <c r="T3031" s="82"/>
      <c r="U3031" s="82"/>
      <c r="V3031" s="82"/>
      <c r="W3031" s="82"/>
      <c r="X3031" s="82"/>
      <c r="Y3031" s="82"/>
      <c r="Z3031" s="82"/>
      <c r="AA3031" s="82"/>
      <c r="AB3031" s="82"/>
      <c r="AC3031" s="82"/>
      <c r="AD3031" s="82"/>
      <c r="AE3031" s="82"/>
      <c r="AF3031" s="82"/>
      <c r="AG3031" s="82"/>
      <c r="AH3031" s="82"/>
      <c r="AI3031" s="82"/>
      <c r="AJ3031" s="82"/>
      <c r="AK3031" s="82"/>
      <c r="AL3031" s="82"/>
      <c r="AM3031" s="82"/>
      <c r="AN3031" s="82"/>
      <c r="AO3031" s="82"/>
      <c r="AP3031" s="82"/>
      <c r="AQ3031" s="82"/>
      <c r="AR3031" s="82"/>
      <c r="AS3031" s="82"/>
      <c r="AT3031" s="82"/>
      <c r="AU3031" s="82"/>
      <c r="AV3031" s="82"/>
      <c r="AW3031" s="82" t="str">
        <f t="shared" si="1"/>
        <v/>
      </c>
      <c r="AX3031" s="83" t="str">
        <f t="array" ref="AX3031">IFERROR(DGET('SBV Import'!A:G,"SBV",{"RSC ID","Tier";B3031,A3031}))</f>
        <v/>
      </c>
      <c r="AY3031" s="82" t="str">
        <f t="shared" si="2"/>
        <v/>
      </c>
      <c r="AZ3031" s="82"/>
      <c r="BA3031" s="84" t="s">
        <v>152</v>
      </c>
      <c r="BB3031" s="84" t="str">
        <f>IFERROR(__xludf.DUMMYFUNCTION("iferror(if(A3031="""",,E3031&gt;=FILTER(Constants!$F$2:$F$10,Constants!$A$2:$A$10=A3031)))"),"")</f>
        <v/>
      </c>
    </row>
    <row r="3032">
      <c r="A3032" s="87"/>
      <c r="B3032" s="87"/>
      <c r="C3032" s="73"/>
      <c r="D3032" s="73"/>
      <c r="E3032" s="82"/>
      <c r="F3032" s="82"/>
      <c r="G3032" s="86"/>
      <c r="H3032" s="86"/>
      <c r="I3032" s="86"/>
      <c r="J3032" s="82"/>
      <c r="K3032" s="82"/>
      <c r="L3032" s="82"/>
      <c r="M3032" s="82"/>
      <c r="N3032" s="82"/>
      <c r="O3032" s="82"/>
      <c r="P3032" s="82"/>
      <c r="Q3032" s="82"/>
      <c r="R3032" s="82"/>
      <c r="S3032" s="82"/>
      <c r="T3032" s="82"/>
      <c r="U3032" s="82"/>
      <c r="V3032" s="82"/>
      <c r="W3032" s="82"/>
      <c r="X3032" s="82"/>
      <c r="Y3032" s="82"/>
      <c r="Z3032" s="82"/>
      <c r="AA3032" s="82"/>
      <c r="AB3032" s="82"/>
      <c r="AC3032" s="82"/>
      <c r="AD3032" s="82"/>
      <c r="AE3032" s="82"/>
      <c r="AF3032" s="82"/>
      <c r="AG3032" s="82"/>
      <c r="AH3032" s="82"/>
      <c r="AI3032" s="82"/>
      <c r="AJ3032" s="82"/>
      <c r="AK3032" s="82"/>
      <c r="AL3032" s="82"/>
      <c r="AM3032" s="82"/>
      <c r="AN3032" s="82"/>
      <c r="AO3032" s="82"/>
      <c r="AP3032" s="82"/>
      <c r="AQ3032" s="82"/>
      <c r="AR3032" s="82"/>
      <c r="AS3032" s="82"/>
      <c r="AT3032" s="82"/>
      <c r="AU3032" s="82"/>
      <c r="AV3032" s="82"/>
      <c r="AW3032" s="82" t="str">
        <f t="shared" si="1"/>
        <v/>
      </c>
      <c r="AX3032" s="83" t="str">
        <f t="array" ref="AX3032">IFERROR(DGET('SBV Import'!A:G,"SBV",{"RSC ID","Tier";B3032,A3032}))</f>
        <v/>
      </c>
      <c r="AY3032" s="82" t="str">
        <f t="shared" si="2"/>
        <v/>
      </c>
      <c r="AZ3032" s="82"/>
      <c r="BA3032" s="84" t="s">
        <v>152</v>
      </c>
      <c r="BB3032" s="84" t="str">
        <f>IFERROR(__xludf.DUMMYFUNCTION("iferror(if(A3032="""",,E3032&gt;=FILTER(Constants!$F$2:$F$10,Constants!$A$2:$A$10=A3032)))"),"")</f>
        <v/>
      </c>
    </row>
    <row r="3033">
      <c r="A3033" s="87"/>
      <c r="B3033" s="87"/>
      <c r="C3033" s="73"/>
      <c r="D3033" s="73"/>
      <c r="E3033" s="82"/>
      <c r="F3033" s="82"/>
      <c r="G3033" s="86"/>
      <c r="H3033" s="86"/>
      <c r="I3033" s="86"/>
      <c r="J3033" s="82"/>
      <c r="K3033" s="82"/>
      <c r="L3033" s="82"/>
      <c r="M3033" s="82"/>
      <c r="N3033" s="82"/>
      <c r="O3033" s="82"/>
      <c r="P3033" s="82"/>
      <c r="Q3033" s="82"/>
      <c r="R3033" s="82"/>
      <c r="S3033" s="82"/>
      <c r="T3033" s="82"/>
      <c r="U3033" s="82"/>
      <c r="V3033" s="82"/>
      <c r="W3033" s="82"/>
      <c r="X3033" s="82"/>
      <c r="Y3033" s="82"/>
      <c r="Z3033" s="82"/>
      <c r="AA3033" s="82"/>
      <c r="AB3033" s="82"/>
      <c r="AC3033" s="82"/>
      <c r="AD3033" s="82"/>
      <c r="AE3033" s="82"/>
      <c r="AF3033" s="82"/>
      <c r="AG3033" s="82"/>
      <c r="AH3033" s="82"/>
      <c r="AI3033" s="82"/>
      <c r="AJ3033" s="82"/>
      <c r="AK3033" s="82"/>
      <c r="AL3033" s="82"/>
      <c r="AM3033" s="82"/>
      <c r="AN3033" s="82"/>
      <c r="AO3033" s="82"/>
      <c r="AP3033" s="82"/>
      <c r="AQ3033" s="82"/>
      <c r="AR3033" s="82"/>
      <c r="AS3033" s="82"/>
      <c r="AT3033" s="82"/>
      <c r="AU3033" s="82"/>
      <c r="AV3033" s="82"/>
      <c r="AW3033" s="82" t="str">
        <f t="shared" si="1"/>
        <v/>
      </c>
      <c r="AX3033" s="83" t="str">
        <f t="array" ref="AX3033">IFERROR(DGET('SBV Import'!A:G,"SBV",{"RSC ID","Tier";B3033,A3033}))</f>
        <v/>
      </c>
      <c r="AY3033" s="82" t="str">
        <f t="shared" si="2"/>
        <v/>
      </c>
      <c r="AZ3033" s="82"/>
      <c r="BA3033" s="84" t="s">
        <v>152</v>
      </c>
      <c r="BB3033" s="84" t="str">
        <f>IFERROR(__xludf.DUMMYFUNCTION("iferror(if(A3033="""",,E3033&gt;=FILTER(Constants!$F$2:$F$10,Constants!$A$2:$A$10=A3033)))"),"")</f>
        <v/>
      </c>
    </row>
    <row r="3034">
      <c r="A3034" s="87"/>
      <c r="B3034" s="87"/>
      <c r="C3034" s="73"/>
      <c r="D3034" s="73"/>
      <c r="E3034" s="82"/>
      <c r="F3034" s="82"/>
      <c r="G3034" s="86"/>
      <c r="H3034" s="86"/>
      <c r="I3034" s="86"/>
      <c r="J3034" s="82"/>
      <c r="K3034" s="82"/>
      <c r="L3034" s="82"/>
      <c r="M3034" s="82"/>
      <c r="N3034" s="82"/>
      <c r="O3034" s="82"/>
      <c r="P3034" s="82"/>
      <c r="Q3034" s="82"/>
      <c r="R3034" s="82"/>
      <c r="S3034" s="82"/>
      <c r="T3034" s="82"/>
      <c r="U3034" s="82"/>
      <c r="V3034" s="82"/>
      <c r="W3034" s="82"/>
      <c r="X3034" s="82"/>
      <c r="Y3034" s="82"/>
      <c r="Z3034" s="82"/>
      <c r="AA3034" s="82"/>
      <c r="AB3034" s="82"/>
      <c r="AC3034" s="82"/>
      <c r="AD3034" s="82"/>
      <c r="AE3034" s="82"/>
      <c r="AF3034" s="82"/>
      <c r="AG3034" s="82"/>
      <c r="AH3034" s="82"/>
      <c r="AI3034" s="82"/>
      <c r="AJ3034" s="82"/>
      <c r="AK3034" s="82"/>
      <c r="AL3034" s="82"/>
      <c r="AM3034" s="82"/>
      <c r="AN3034" s="82"/>
      <c r="AO3034" s="82"/>
      <c r="AP3034" s="82"/>
      <c r="AQ3034" s="82"/>
      <c r="AR3034" s="82"/>
      <c r="AS3034" s="82"/>
      <c r="AT3034" s="82"/>
      <c r="AU3034" s="82"/>
      <c r="AV3034" s="82"/>
      <c r="AW3034" s="82" t="str">
        <f t="shared" si="1"/>
        <v/>
      </c>
      <c r="AX3034" s="83" t="str">
        <f t="array" ref="AX3034">IFERROR(DGET('SBV Import'!A:G,"SBV",{"RSC ID","Tier";B3034,A3034}))</f>
        <v/>
      </c>
      <c r="AY3034" s="82" t="str">
        <f t="shared" si="2"/>
        <v/>
      </c>
      <c r="AZ3034" s="82"/>
      <c r="BA3034" s="84" t="s">
        <v>152</v>
      </c>
      <c r="BB3034" s="84" t="str">
        <f>IFERROR(__xludf.DUMMYFUNCTION("iferror(if(A3034="""",,E3034&gt;=FILTER(Constants!$F$2:$F$10,Constants!$A$2:$A$10=A3034)))"),"")</f>
        <v/>
      </c>
    </row>
    <row r="3035">
      <c r="A3035" s="87"/>
      <c r="B3035" s="87"/>
      <c r="C3035" s="73"/>
      <c r="D3035" s="73"/>
      <c r="E3035" s="82"/>
      <c r="F3035" s="82"/>
      <c r="G3035" s="86"/>
      <c r="H3035" s="86"/>
      <c r="I3035" s="86"/>
      <c r="J3035" s="82"/>
      <c r="K3035" s="82"/>
      <c r="L3035" s="82"/>
      <c r="M3035" s="82"/>
      <c r="N3035" s="82"/>
      <c r="O3035" s="82"/>
      <c r="P3035" s="82"/>
      <c r="Q3035" s="82"/>
      <c r="R3035" s="82"/>
      <c r="S3035" s="82"/>
      <c r="T3035" s="82"/>
      <c r="U3035" s="82"/>
      <c r="V3035" s="82"/>
      <c r="W3035" s="82"/>
      <c r="X3035" s="82"/>
      <c r="Y3035" s="82"/>
      <c r="Z3035" s="82"/>
      <c r="AA3035" s="82"/>
      <c r="AB3035" s="82"/>
      <c r="AC3035" s="82"/>
      <c r="AD3035" s="82"/>
      <c r="AE3035" s="82"/>
      <c r="AF3035" s="82"/>
      <c r="AG3035" s="82"/>
      <c r="AH3035" s="82"/>
      <c r="AI3035" s="82"/>
      <c r="AJ3035" s="82"/>
      <c r="AK3035" s="82"/>
      <c r="AL3035" s="82"/>
      <c r="AM3035" s="82"/>
      <c r="AN3035" s="82"/>
      <c r="AO3035" s="82"/>
      <c r="AP3035" s="82"/>
      <c r="AQ3035" s="82"/>
      <c r="AR3035" s="82"/>
      <c r="AS3035" s="82"/>
      <c r="AT3035" s="82"/>
      <c r="AU3035" s="82"/>
      <c r="AV3035" s="82"/>
      <c r="AW3035" s="82" t="str">
        <f t="shared" si="1"/>
        <v/>
      </c>
      <c r="AX3035" s="83" t="str">
        <f t="array" ref="AX3035">IFERROR(DGET('SBV Import'!A:G,"SBV",{"RSC ID","Tier";B3035,A3035}))</f>
        <v/>
      </c>
      <c r="AY3035" s="82" t="str">
        <f t="shared" si="2"/>
        <v/>
      </c>
      <c r="AZ3035" s="82"/>
      <c r="BA3035" s="84" t="s">
        <v>152</v>
      </c>
      <c r="BB3035" s="84" t="str">
        <f>IFERROR(__xludf.DUMMYFUNCTION("iferror(if(A3035="""",,E3035&gt;=FILTER(Constants!$F$2:$F$10,Constants!$A$2:$A$10=A3035)))"),"")</f>
        <v/>
      </c>
    </row>
    <row r="3036">
      <c r="A3036" s="87"/>
      <c r="B3036" s="87"/>
      <c r="C3036" s="73"/>
      <c r="D3036" s="73"/>
      <c r="E3036" s="82"/>
      <c r="F3036" s="82"/>
      <c r="G3036" s="86"/>
      <c r="H3036" s="86"/>
      <c r="I3036" s="86"/>
      <c r="J3036" s="82"/>
      <c r="K3036" s="82"/>
      <c r="L3036" s="82"/>
      <c r="M3036" s="82"/>
      <c r="N3036" s="82"/>
      <c r="O3036" s="82"/>
      <c r="P3036" s="82"/>
      <c r="Q3036" s="82"/>
      <c r="R3036" s="82"/>
      <c r="S3036" s="82"/>
      <c r="T3036" s="82"/>
      <c r="U3036" s="82"/>
      <c r="V3036" s="82"/>
      <c r="W3036" s="82"/>
      <c r="X3036" s="82"/>
      <c r="Y3036" s="82"/>
      <c r="Z3036" s="82"/>
      <c r="AA3036" s="82"/>
      <c r="AB3036" s="82"/>
      <c r="AC3036" s="82"/>
      <c r="AD3036" s="82"/>
      <c r="AE3036" s="82"/>
      <c r="AF3036" s="82"/>
      <c r="AG3036" s="82"/>
      <c r="AH3036" s="82"/>
      <c r="AI3036" s="82"/>
      <c r="AJ3036" s="82"/>
      <c r="AK3036" s="82"/>
      <c r="AL3036" s="82"/>
      <c r="AM3036" s="82"/>
      <c r="AN3036" s="82"/>
      <c r="AO3036" s="82"/>
      <c r="AP3036" s="82"/>
      <c r="AQ3036" s="82"/>
      <c r="AR3036" s="82"/>
      <c r="AS3036" s="82"/>
      <c r="AT3036" s="82"/>
      <c r="AU3036" s="82"/>
      <c r="AV3036" s="82"/>
      <c r="AW3036" s="82" t="str">
        <f t="shared" si="1"/>
        <v/>
      </c>
      <c r="AX3036" s="83" t="str">
        <f t="array" ref="AX3036">IFERROR(DGET('SBV Import'!A:G,"SBV",{"RSC ID","Tier";B3036,A3036}))</f>
        <v/>
      </c>
      <c r="AY3036" s="82" t="str">
        <f t="shared" si="2"/>
        <v/>
      </c>
      <c r="AZ3036" s="82"/>
      <c r="BA3036" s="84" t="s">
        <v>152</v>
      </c>
      <c r="BB3036" s="84" t="str">
        <f>IFERROR(__xludf.DUMMYFUNCTION("iferror(if(A3036="""",,E3036&gt;=FILTER(Constants!$F$2:$F$10,Constants!$A$2:$A$10=A3036)))"),"")</f>
        <v/>
      </c>
    </row>
    <row r="3037">
      <c r="A3037" s="87"/>
      <c r="B3037" s="87"/>
      <c r="C3037" s="73"/>
      <c r="D3037" s="73"/>
      <c r="E3037" s="82"/>
      <c r="F3037" s="82"/>
      <c r="G3037" s="86"/>
      <c r="H3037" s="86"/>
      <c r="I3037" s="86"/>
      <c r="J3037" s="82"/>
      <c r="K3037" s="82"/>
      <c r="L3037" s="82"/>
      <c r="M3037" s="82"/>
      <c r="N3037" s="82"/>
      <c r="O3037" s="82"/>
      <c r="P3037" s="82"/>
      <c r="Q3037" s="82"/>
      <c r="R3037" s="82"/>
      <c r="S3037" s="82"/>
      <c r="T3037" s="82"/>
      <c r="U3037" s="82"/>
      <c r="V3037" s="82"/>
      <c r="W3037" s="82"/>
      <c r="X3037" s="82"/>
      <c r="Y3037" s="82"/>
      <c r="Z3037" s="82"/>
      <c r="AA3037" s="82"/>
      <c r="AB3037" s="82"/>
      <c r="AC3037" s="82"/>
      <c r="AD3037" s="82"/>
      <c r="AE3037" s="82"/>
      <c r="AF3037" s="82"/>
      <c r="AG3037" s="82"/>
      <c r="AH3037" s="82"/>
      <c r="AI3037" s="82"/>
      <c r="AJ3037" s="82"/>
      <c r="AK3037" s="82"/>
      <c r="AL3037" s="82"/>
      <c r="AM3037" s="82"/>
      <c r="AN3037" s="82"/>
      <c r="AO3037" s="82"/>
      <c r="AP3037" s="82"/>
      <c r="AQ3037" s="82"/>
      <c r="AR3037" s="82"/>
      <c r="AS3037" s="82"/>
      <c r="AT3037" s="82"/>
      <c r="AU3037" s="82"/>
      <c r="AV3037" s="82"/>
      <c r="AW3037" s="82" t="str">
        <f t="shared" si="1"/>
        <v/>
      </c>
      <c r="AX3037" s="83" t="str">
        <f t="array" ref="AX3037">IFERROR(DGET('SBV Import'!A:G,"SBV",{"RSC ID","Tier";B3037,A3037}))</f>
        <v/>
      </c>
      <c r="AY3037" s="82" t="str">
        <f t="shared" si="2"/>
        <v/>
      </c>
      <c r="AZ3037" s="82"/>
      <c r="BA3037" s="84" t="s">
        <v>152</v>
      </c>
      <c r="BB3037" s="84" t="str">
        <f>IFERROR(__xludf.DUMMYFUNCTION("iferror(if(A3037="""",,E3037&gt;=FILTER(Constants!$F$2:$F$10,Constants!$A$2:$A$10=A3037)))"),"")</f>
        <v/>
      </c>
    </row>
    <row r="3038">
      <c r="A3038" s="87"/>
      <c r="B3038" s="87"/>
      <c r="C3038" s="73"/>
      <c r="D3038" s="73"/>
      <c r="E3038" s="82"/>
      <c r="F3038" s="82"/>
      <c r="G3038" s="86"/>
      <c r="H3038" s="86"/>
      <c r="I3038" s="86"/>
      <c r="J3038" s="82"/>
      <c r="K3038" s="82"/>
      <c r="L3038" s="82"/>
      <c r="M3038" s="82"/>
      <c r="N3038" s="82"/>
      <c r="O3038" s="82"/>
      <c r="P3038" s="82"/>
      <c r="Q3038" s="82"/>
      <c r="R3038" s="82"/>
      <c r="S3038" s="82"/>
      <c r="T3038" s="82"/>
      <c r="U3038" s="82"/>
      <c r="V3038" s="82"/>
      <c r="W3038" s="82"/>
      <c r="X3038" s="82"/>
      <c r="Y3038" s="82"/>
      <c r="Z3038" s="82"/>
      <c r="AA3038" s="82"/>
      <c r="AB3038" s="82"/>
      <c r="AC3038" s="82"/>
      <c r="AD3038" s="82"/>
      <c r="AE3038" s="82"/>
      <c r="AF3038" s="82"/>
      <c r="AG3038" s="82"/>
      <c r="AH3038" s="82"/>
      <c r="AI3038" s="82"/>
      <c r="AJ3038" s="82"/>
      <c r="AK3038" s="82"/>
      <c r="AL3038" s="82"/>
      <c r="AM3038" s="82"/>
      <c r="AN3038" s="82"/>
      <c r="AO3038" s="82"/>
      <c r="AP3038" s="82"/>
      <c r="AQ3038" s="82"/>
      <c r="AR3038" s="82"/>
      <c r="AS3038" s="82"/>
      <c r="AT3038" s="82"/>
      <c r="AU3038" s="82"/>
      <c r="AV3038" s="82"/>
      <c r="AW3038" s="82" t="str">
        <f t="shared" si="1"/>
        <v/>
      </c>
      <c r="AX3038" s="83" t="str">
        <f t="array" ref="AX3038">IFERROR(DGET('SBV Import'!A:G,"SBV",{"RSC ID","Tier";B3038,A3038}))</f>
        <v/>
      </c>
      <c r="AY3038" s="82" t="str">
        <f t="shared" si="2"/>
        <v/>
      </c>
      <c r="AZ3038" s="82"/>
      <c r="BA3038" s="84" t="s">
        <v>152</v>
      </c>
      <c r="BB3038" s="84" t="str">
        <f>IFERROR(__xludf.DUMMYFUNCTION("iferror(if(A3038="""",,E3038&gt;=FILTER(Constants!$F$2:$F$10,Constants!$A$2:$A$10=A3038)))"),"")</f>
        <v/>
      </c>
    </row>
    <row r="3039">
      <c r="A3039" s="87"/>
      <c r="B3039" s="87"/>
      <c r="C3039" s="73"/>
      <c r="D3039" s="73"/>
      <c r="E3039" s="82"/>
      <c r="F3039" s="82"/>
      <c r="G3039" s="86"/>
      <c r="H3039" s="86"/>
      <c r="I3039" s="86"/>
      <c r="J3039" s="82"/>
      <c r="K3039" s="82"/>
      <c r="L3039" s="82"/>
      <c r="M3039" s="82"/>
      <c r="N3039" s="82"/>
      <c r="O3039" s="82"/>
      <c r="P3039" s="82"/>
      <c r="Q3039" s="82"/>
      <c r="R3039" s="82"/>
      <c r="S3039" s="82"/>
      <c r="T3039" s="82"/>
      <c r="U3039" s="82"/>
      <c r="V3039" s="82"/>
      <c r="W3039" s="82"/>
      <c r="X3039" s="82"/>
      <c r="Y3039" s="82"/>
      <c r="Z3039" s="82"/>
      <c r="AA3039" s="82"/>
      <c r="AB3039" s="82"/>
      <c r="AC3039" s="82"/>
      <c r="AD3039" s="82"/>
      <c r="AE3039" s="82"/>
      <c r="AF3039" s="82"/>
      <c r="AG3039" s="82"/>
      <c r="AH3039" s="82"/>
      <c r="AI3039" s="82"/>
      <c r="AJ3039" s="82"/>
      <c r="AK3039" s="82"/>
      <c r="AL3039" s="82"/>
      <c r="AM3039" s="82"/>
      <c r="AN3039" s="82"/>
      <c r="AO3039" s="82"/>
      <c r="AP3039" s="82"/>
      <c r="AQ3039" s="82"/>
      <c r="AR3039" s="82"/>
      <c r="AS3039" s="82"/>
      <c r="AT3039" s="82"/>
      <c r="AU3039" s="82"/>
      <c r="AV3039" s="82"/>
      <c r="AW3039" s="82" t="str">
        <f t="shared" si="1"/>
        <v/>
      </c>
      <c r="AX3039" s="83" t="str">
        <f t="array" ref="AX3039">IFERROR(DGET('SBV Import'!A:G,"SBV",{"RSC ID","Tier";B3039,A3039}))</f>
        <v/>
      </c>
      <c r="AY3039" s="82" t="str">
        <f t="shared" si="2"/>
        <v/>
      </c>
      <c r="AZ3039" s="82"/>
      <c r="BA3039" s="84" t="s">
        <v>152</v>
      </c>
      <c r="BB3039" s="84" t="str">
        <f>IFERROR(__xludf.DUMMYFUNCTION("iferror(if(A3039="""",,E3039&gt;=FILTER(Constants!$F$2:$F$10,Constants!$A$2:$A$10=A3039)))"),"")</f>
        <v/>
      </c>
    </row>
    <row r="3040">
      <c r="A3040" s="87"/>
      <c r="B3040" s="87"/>
      <c r="C3040" s="73"/>
      <c r="D3040" s="73"/>
      <c r="E3040" s="82"/>
      <c r="F3040" s="82"/>
      <c r="G3040" s="86"/>
      <c r="H3040" s="86"/>
      <c r="I3040" s="86"/>
      <c r="J3040" s="82"/>
      <c r="K3040" s="82"/>
      <c r="L3040" s="82"/>
      <c r="M3040" s="82"/>
      <c r="N3040" s="82"/>
      <c r="O3040" s="82"/>
      <c r="P3040" s="82"/>
      <c r="Q3040" s="82"/>
      <c r="R3040" s="82"/>
      <c r="S3040" s="82"/>
      <c r="T3040" s="82"/>
      <c r="U3040" s="82"/>
      <c r="V3040" s="82"/>
      <c r="W3040" s="82"/>
      <c r="X3040" s="82"/>
      <c r="Y3040" s="82"/>
      <c r="Z3040" s="82"/>
      <c r="AA3040" s="82"/>
      <c r="AB3040" s="82"/>
      <c r="AC3040" s="82"/>
      <c r="AD3040" s="82"/>
      <c r="AE3040" s="82"/>
      <c r="AF3040" s="82"/>
      <c r="AG3040" s="82"/>
      <c r="AH3040" s="82"/>
      <c r="AI3040" s="82"/>
      <c r="AJ3040" s="82"/>
      <c r="AK3040" s="82"/>
      <c r="AL3040" s="82"/>
      <c r="AM3040" s="82"/>
      <c r="AN3040" s="82"/>
      <c r="AO3040" s="82"/>
      <c r="AP3040" s="82"/>
      <c r="AQ3040" s="82"/>
      <c r="AR3040" s="82"/>
      <c r="AS3040" s="82"/>
      <c r="AT3040" s="82"/>
      <c r="AU3040" s="82"/>
      <c r="AV3040" s="82"/>
      <c r="AW3040" s="82" t="str">
        <f t="shared" si="1"/>
        <v/>
      </c>
      <c r="AX3040" s="83" t="str">
        <f t="array" ref="AX3040">IFERROR(DGET('SBV Import'!A:G,"SBV",{"RSC ID","Tier";B3040,A3040}))</f>
        <v/>
      </c>
      <c r="AY3040" s="82" t="str">
        <f t="shared" si="2"/>
        <v/>
      </c>
      <c r="AZ3040" s="82"/>
      <c r="BA3040" s="84" t="s">
        <v>152</v>
      </c>
      <c r="BB3040" s="84" t="str">
        <f>IFERROR(__xludf.DUMMYFUNCTION("iferror(if(A3040="""",,E3040&gt;=FILTER(Constants!$F$2:$F$10,Constants!$A$2:$A$10=A3040)))"),"")</f>
        <v/>
      </c>
    </row>
    <row r="3041">
      <c r="A3041" s="87"/>
      <c r="B3041" s="87"/>
      <c r="C3041" s="73"/>
      <c r="D3041" s="73"/>
      <c r="E3041" s="82"/>
      <c r="F3041" s="82"/>
      <c r="G3041" s="86"/>
      <c r="H3041" s="86"/>
      <c r="I3041" s="86"/>
      <c r="J3041" s="82"/>
      <c r="K3041" s="82"/>
      <c r="L3041" s="82"/>
      <c r="M3041" s="82"/>
      <c r="N3041" s="82"/>
      <c r="O3041" s="82"/>
      <c r="P3041" s="82"/>
      <c r="Q3041" s="82"/>
      <c r="R3041" s="82"/>
      <c r="S3041" s="82"/>
      <c r="T3041" s="82"/>
      <c r="U3041" s="82"/>
      <c r="V3041" s="82"/>
      <c r="W3041" s="82"/>
      <c r="X3041" s="82"/>
      <c r="Y3041" s="82"/>
      <c r="Z3041" s="82"/>
      <c r="AA3041" s="82"/>
      <c r="AB3041" s="82"/>
      <c r="AC3041" s="82"/>
      <c r="AD3041" s="82"/>
      <c r="AE3041" s="82"/>
      <c r="AF3041" s="82"/>
      <c r="AG3041" s="82"/>
      <c r="AH3041" s="82"/>
      <c r="AI3041" s="82"/>
      <c r="AJ3041" s="82"/>
      <c r="AK3041" s="82"/>
      <c r="AL3041" s="82"/>
      <c r="AM3041" s="82"/>
      <c r="AN3041" s="82"/>
      <c r="AO3041" s="82"/>
      <c r="AP3041" s="82"/>
      <c r="AQ3041" s="82"/>
      <c r="AR3041" s="82"/>
      <c r="AS3041" s="82"/>
      <c r="AT3041" s="82"/>
      <c r="AU3041" s="82"/>
      <c r="AV3041" s="82"/>
      <c r="AW3041" s="82" t="str">
        <f t="shared" si="1"/>
        <v/>
      </c>
      <c r="AX3041" s="83" t="str">
        <f t="array" ref="AX3041">IFERROR(DGET('SBV Import'!A:G,"SBV",{"RSC ID","Tier";B3041,A3041}))</f>
        <v/>
      </c>
      <c r="AY3041" s="82" t="str">
        <f t="shared" si="2"/>
        <v/>
      </c>
      <c r="AZ3041" s="82"/>
      <c r="BA3041" s="84" t="s">
        <v>152</v>
      </c>
      <c r="BB3041" s="84" t="str">
        <f>IFERROR(__xludf.DUMMYFUNCTION("iferror(if(A3041="""",,E3041&gt;=FILTER(Constants!$F$2:$F$10,Constants!$A$2:$A$10=A3041)))"),"")</f>
        <v/>
      </c>
    </row>
    <row r="3042">
      <c r="A3042" s="87"/>
      <c r="B3042" s="87"/>
      <c r="C3042" s="73"/>
      <c r="D3042" s="73"/>
      <c r="E3042" s="82"/>
      <c r="F3042" s="82"/>
      <c r="G3042" s="86"/>
      <c r="H3042" s="86"/>
      <c r="I3042" s="86"/>
      <c r="J3042" s="82"/>
      <c r="K3042" s="82"/>
      <c r="L3042" s="82"/>
      <c r="M3042" s="82"/>
      <c r="N3042" s="82"/>
      <c r="O3042" s="82"/>
      <c r="P3042" s="82"/>
      <c r="Q3042" s="82"/>
      <c r="R3042" s="82"/>
      <c r="S3042" s="82"/>
      <c r="T3042" s="82"/>
      <c r="U3042" s="82"/>
      <c r="V3042" s="82"/>
      <c r="W3042" s="82"/>
      <c r="X3042" s="82"/>
      <c r="Y3042" s="82"/>
      <c r="Z3042" s="82"/>
      <c r="AA3042" s="82"/>
      <c r="AB3042" s="82"/>
      <c r="AC3042" s="82"/>
      <c r="AD3042" s="82"/>
      <c r="AE3042" s="82"/>
      <c r="AF3042" s="82"/>
      <c r="AG3042" s="82"/>
      <c r="AH3042" s="82"/>
      <c r="AI3042" s="82"/>
      <c r="AJ3042" s="82"/>
      <c r="AK3042" s="82"/>
      <c r="AL3042" s="82"/>
      <c r="AM3042" s="82"/>
      <c r="AN3042" s="82"/>
      <c r="AO3042" s="82"/>
      <c r="AP3042" s="82"/>
      <c r="AQ3042" s="82"/>
      <c r="AR3042" s="82"/>
      <c r="AS3042" s="82"/>
      <c r="AT3042" s="82"/>
      <c r="AU3042" s="82"/>
      <c r="AV3042" s="82"/>
      <c r="AW3042" s="82" t="str">
        <f t="shared" si="1"/>
        <v/>
      </c>
      <c r="AX3042" s="83" t="str">
        <f t="array" ref="AX3042">IFERROR(DGET('SBV Import'!A:G,"SBV",{"RSC ID","Tier";B3042,A3042}))</f>
        <v/>
      </c>
      <c r="AY3042" s="82" t="str">
        <f t="shared" si="2"/>
        <v/>
      </c>
      <c r="AZ3042" s="82"/>
      <c r="BA3042" s="84" t="s">
        <v>152</v>
      </c>
      <c r="BB3042" s="84" t="str">
        <f>IFERROR(__xludf.DUMMYFUNCTION("iferror(if(A3042="""",,E3042&gt;=FILTER(Constants!$F$2:$F$10,Constants!$A$2:$A$10=A3042)))"),"")</f>
        <v/>
      </c>
    </row>
    <row r="3043">
      <c r="A3043" s="87"/>
      <c r="B3043" s="87"/>
      <c r="C3043" s="73"/>
      <c r="D3043" s="73"/>
      <c r="E3043" s="82"/>
      <c r="F3043" s="82"/>
      <c r="G3043" s="86"/>
      <c r="H3043" s="86"/>
      <c r="I3043" s="86"/>
      <c r="J3043" s="82"/>
      <c r="K3043" s="82"/>
      <c r="L3043" s="82"/>
      <c r="M3043" s="82"/>
      <c r="N3043" s="82"/>
      <c r="O3043" s="82"/>
      <c r="P3043" s="82"/>
      <c r="Q3043" s="82"/>
      <c r="R3043" s="82"/>
      <c r="S3043" s="82"/>
      <c r="T3043" s="82"/>
      <c r="U3043" s="82"/>
      <c r="V3043" s="82"/>
      <c r="W3043" s="82"/>
      <c r="X3043" s="82"/>
      <c r="Y3043" s="82"/>
      <c r="Z3043" s="82"/>
      <c r="AA3043" s="82"/>
      <c r="AB3043" s="82"/>
      <c r="AC3043" s="82"/>
      <c r="AD3043" s="82"/>
      <c r="AE3043" s="82"/>
      <c r="AF3043" s="82"/>
      <c r="AG3043" s="82"/>
      <c r="AH3043" s="82"/>
      <c r="AI3043" s="82"/>
      <c r="AJ3043" s="82"/>
      <c r="AK3043" s="82"/>
      <c r="AL3043" s="82"/>
      <c r="AM3043" s="82"/>
      <c r="AN3043" s="82"/>
      <c r="AO3043" s="82"/>
      <c r="AP3043" s="82"/>
      <c r="AQ3043" s="82"/>
      <c r="AR3043" s="82"/>
      <c r="AS3043" s="82"/>
      <c r="AT3043" s="82"/>
      <c r="AU3043" s="82"/>
      <c r="AV3043" s="82"/>
      <c r="AW3043" s="82" t="str">
        <f t="shared" si="1"/>
        <v/>
      </c>
      <c r="AX3043" s="83" t="str">
        <f t="array" ref="AX3043">IFERROR(DGET('SBV Import'!A:G,"SBV",{"RSC ID","Tier";B3043,A3043}))</f>
        <v/>
      </c>
      <c r="AY3043" s="82" t="str">
        <f t="shared" si="2"/>
        <v/>
      </c>
      <c r="AZ3043" s="82"/>
      <c r="BA3043" s="84" t="s">
        <v>152</v>
      </c>
      <c r="BB3043" s="84" t="str">
        <f>IFERROR(__xludf.DUMMYFUNCTION("iferror(if(A3043="""",,E3043&gt;=FILTER(Constants!$F$2:$F$10,Constants!$A$2:$A$10=A3043)))"),"")</f>
        <v/>
      </c>
    </row>
    <row r="3044">
      <c r="A3044" s="87"/>
      <c r="B3044" s="87"/>
      <c r="C3044" s="73"/>
      <c r="D3044" s="73"/>
      <c r="E3044" s="82"/>
      <c r="F3044" s="82"/>
      <c r="G3044" s="86"/>
      <c r="H3044" s="86"/>
      <c r="I3044" s="86"/>
      <c r="J3044" s="82"/>
      <c r="K3044" s="82"/>
      <c r="L3044" s="82"/>
      <c r="M3044" s="82"/>
      <c r="N3044" s="82"/>
      <c r="O3044" s="82"/>
      <c r="P3044" s="82"/>
      <c r="Q3044" s="82"/>
      <c r="R3044" s="82"/>
      <c r="S3044" s="82"/>
      <c r="T3044" s="82"/>
      <c r="U3044" s="82"/>
      <c r="V3044" s="82"/>
      <c r="W3044" s="82"/>
      <c r="X3044" s="82"/>
      <c r="Y3044" s="82"/>
      <c r="Z3044" s="82"/>
      <c r="AA3044" s="82"/>
      <c r="AB3044" s="82"/>
      <c r="AC3044" s="82"/>
      <c r="AD3044" s="82"/>
      <c r="AE3044" s="82"/>
      <c r="AF3044" s="82"/>
      <c r="AG3044" s="82"/>
      <c r="AH3044" s="82"/>
      <c r="AI3044" s="82"/>
      <c r="AJ3044" s="82"/>
      <c r="AK3044" s="82"/>
      <c r="AL3044" s="82"/>
      <c r="AM3044" s="82"/>
      <c r="AN3044" s="82"/>
      <c r="AO3044" s="82"/>
      <c r="AP3044" s="82"/>
      <c r="AQ3044" s="82"/>
      <c r="AR3044" s="82"/>
      <c r="AS3044" s="82"/>
      <c r="AT3044" s="82"/>
      <c r="AU3044" s="82"/>
      <c r="AV3044" s="82"/>
      <c r="AW3044" s="82" t="str">
        <f t="shared" si="1"/>
        <v/>
      </c>
      <c r="AX3044" s="83" t="str">
        <f t="array" ref="AX3044">IFERROR(DGET('SBV Import'!A:G,"SBV",{"RSC ID","Tier";B3044,A3044}))</f>
        <v/>
      </c>
      <c r="AY3044" s="82" t="str">
        <f t="shared" si="2"/>
        <v/>
      </c>
      <c r="AZ3044" s="82"/>
      <c r="BA3044" s="84" t="s">
        <v>152</v>
      </c>
      <c r="BB3044" s="84" t="str">
        <f>IFERROR(__xludf.DUMMYFUNCTION("iferror(if(A3044="""",,E3044&gt;=FILTER(Constants!$F$2:$F$10,Constants!$A$2:$A$10=A3044)))"),"")</f>
        <v/>
      </c>
    </row>
    <row r="3045">
      <c r="A3045" s="87"/>
      <c r="B3045" s="87"/>
      <c r="C3045" s="73"/>
      <c r="D3045" s="73"/>
      <c r="E3045" s="82"/>
      <c r="F3045" s="82"/>
      <c r="G3045" s="86"/>
      <c r="H3045" s="86"/>
      <c r="I3045" s="86"/>
      <c r="J3045" s="82"/>
      <c r="K3045" s="82"/>
      <c r="L3045" s="82"/>
      <c r="M3045" s="82"/>
      <c r="N3045" s="82"/>
      <c r="O3045" s="82"/>
      <c r="P3045" s="82"/>
      <c r="Q3045" s="82"/>
      <c r="R3045" s="82"/>
      <c r="S3045" s="82"/>
      <c r="T3045" s="82"/>
      <c r="U3045" s="82"/>
      <c r="V3045" s="82"/>
      <c r="W3045" s="82"/>
      <c r="X3045" s="82"/>
      <c r="Y3045" s="82"/>
      <c r="Z3045" s="82"/>
      <c r="AA3045" s="82"/>
      <c r="AB3045" s="82"/>
      <c r="AC3045" s="82"/>
      <c r="AD3045" s="82"/>
      <c r="AE3045" s="82"/>
      <c r="AF3045" s="82"/>
      <c r="AG3045" s="82"/>
      <c r="AH3045" s="82"/>
      <c r="AI3045" s="82"/>
      <c r="AJ3045" s="82"/>
      <c r="AK3045" s="82"/>
      <c r="AL3045" s="82"/>
      <c r="AM3045" s="82"/>
      <c r="AN3045" s="82"/>
      <c r="AO3045" s="82"/>
      <c r="AP3045" s="82"/>
      <c r="AQ3045" s="82"/>
      <c r="AR3045" s="82"/>
      <c r="AS3045" s="82"/>
      <c r="AT3045" s="82"/>
      <c r="AU3045" s="82"/>
      <c r="AV3045" s="82"/>
      <c r="AW3045" s="82" t="str">
        <f t="shared" si="1"/>
        <v/>
      </c>
      <c r="AX3045" s="83" t="str">
        <f t="array" ref="AX3045">IFERROR(DGET('SBV Import'!A:G,"SBV",{"RSC ID","Tier";B3045,A3045}))</f>
        <v/>
      </c>
      <c r="AY3045" s="82" t="str">
        <f t="shared" si="2"/>
        <v/>
      </c>
      <c r="AZ3045" s="82"/>
      <c r="BA3045" s="84" t="s">
        <v>152</v>
      </c>
      <c r="BB3045" s="84" t="str">
        <f>IFERROR(__xludf.DUMMYFUNCTION("iferror(if(A3045="""",,E3045&gt;=FILTER(Constants!$F$2:$F$10,Constants!$A$2:$A$10=A3045)))"),"")</f>
        <v/>
      </c>
    </row>
    <row r="3046">
      <c r="A3046" s="87"/>
      <c r="B3046" s="87"/>
      <c r="C3046" s="73"/>
      <c r="D3046" s="73"/>
      <c r="E3046" s="82"/>
      <c r="F3046" s="82"/>
      <c r="G3046" s="86"/>
      <c r="H3046" s="86"/>
      <c r="I3046" s="86"/>
      <c r="J3046" s="82"/>
      <c r="K3046" s="82"/>
      <c r="L3046" s="82"/>
      <c r="M3046" s="82"/>
      <c r="N3046" s="82"/>
      <c r="O3046" s="82"/>
      <c r="P3046" s="82"/>
      <c r="Q3046" s="82"/>
      <c r="R3046" s="82"/>
      <c r="S3046" s="82"/>
      <c r="T3046" s="82"/>
      <c r="U3046" s="82"/>
      <c r="V3046" s="82"/>
      <c r="W3046" s="82"/>
      <c r="X3046" s="82"/>
      <c r="Y3046" s="82"/>
      <c r="Z3046" s="82"/>
      <c r="AA3046" s="82"/>
      <c r="AB3046" s="82"/>
      <c r="AC3046" s="82"/>
      <c r="AD3046" s="82"/>
      <c r="AE3046" s="82"/>
      <c r="AF3046" s="82"/>
      <c r="AG3046" s="82"/>
      <c r="AH3046" s="82"/>
      <c r="AI3046" s="82"/>
      <c r="AJ3046" s="82"/>
      <c r="AK3046" s="82"/>
      <c r="AL3046" s="82"/>
      <c r="AM3046" s="82"/>
      <c r="AN3046" s="82"/>
      <c r="AO3046" s="82"/>
      <c r="AP3046" s="82"/>
      <c r="AQ3046" s="82"/>
      <c r="AR3046" s="82"/>
      <c r="AS3046" s="82"/>
      <c r="AT3046" s="82"/>
      <c r="AU3046" s="82"/>
      <c r="AV3046" s="82"/>
      <c r="AW3046" s="82" t="str">
        <f t="shared" si="1"/>
        <v/>
      </c>
      <c r="AX3046" s="83" t="str">
        <f t="array" ref="AX3046">IFERROR(DGET('SBV Import'!A:G,"SBV",{"RSC ID","Tier";B3046,A3046}))</f>
        <v/>
      </c>
      <c r="AY3046" s="82" t="str">
        <f t="shared" si="2"/>
        <v/>
      </c>
      <c r="AZ3046" s="82"/>
      <c r="BA3046" s="84" t="s">
        <v>152</v>
      </c>
      <c r="BB3046" s="84" t="str">
        <f>IFERROR(__xludf.DUMMYFUNCTION("iferror(if(A3046="""",,E3046&gt;=FILTER(Constants!$F$2:$F$10,Constants!$A$2:$A$10=A3046)))"),"")</f>
        <v/>
      </c>
    </row>
    <row r="3047">
      <c r="A3047" s="87"/>
      <c r="B3047" s="87"/>
      <c r="C3047" s="73"/>
      <c r="D3047" s="73"/>
      <c r="E3047" s="82"/>
      <c r="F3047" s="82"/>
      <c r="G3047" s="86"/>
      <c r="H3047" s="86"/>
      <c r="I3047" s="86"/>
      <c r="J3047" s="82"/>
      <c r="K3047" s="82"/>
      <c r="L3047" s="82"/>
      <c r="M3047" s="82"/>
      <c r="N3047" s="82"/>
      <c r="O3047" s="82"/>
      <c r="P3047" s="82"/>
      <c r="Q3047" s="82"/>
      <c r="R3047" s="82"/>
      <c r="S3047" s="82"/>
      <c r="T3047" s="82"/>
      <c r="U3047" s="82"/>
      <c r="V3047" s="82"/>
      <c r="W3047" s="82"/>
      <c r="X3047" s="82"/>
      <c r="Y3047" s="82"/>
      <c r="Z3047" s="82"/>
      <c r="AA3047" s="82"/>
      <c r="AB3047" s="82"/>
      <c r="AC3047" s="82"/>
      <c r="AD3047" s="82"/>
      <c r="AE3047" s="82"/>
      <c r="AF3047" s="82"/>
      <c r="AG3047" s="82"/>
      <c r="AH3047" s="82"/>
      <c r="AI3047" s="82"/>
      <c r="AJ3047" s="82"/>
      <c r="AK3047" s="82"/>
      <c r="AL3047" s="82"/>
      <c r="AM3047" s="82"/>
      <c r="AN3047" s="82"/>
      <c r="AO3047" s="82"/>
      <c r="AP3047" s="82"/>
      <c r="AQ3047" s="82"/>
      <c r="AR3047" s="82"/>
      <c r="AS3047" s="82"/>
      <c r="AT3047" s="82"/>
      <c r="AU3047" s="82"/>
      <c r="AV3047" s="82"/>
      <c r="AW3047" s="82" t="str">
        <f t="shared" si="1"/>
        <v/>
      </c>
      <c r="AX3047" s="83" t="str">
        <f t="array" ref="AX3047">IFERROR(DGET('SBV Import'!A:G,"SBV",{"RSC ID","Tier";B3047,A3047}))</f>
        <v/>
      </c>
      <c r="AY3047" s="82" t="str">
        <f t="shared" si="2"/>
        <v/>
      </c>
      <c r="AZ3047" s="82"/>
      <c r="BA3047" s="84" t="s">
        <v>152</v>
      </c>
      <c r="BB3047" s="84" t="str">
        <f>IFERROR(__xludf.DUMMYFUNCTION("iferror(if(A3047="""",,E3047&gt;=FILTER(Constants!$F$2:$F$10,Constants!$A$2:$A$10=A3047)))"),"")</f>
        <v/>
      </c>
    </row>
    <row r="3048">
      <c r="A3048" s="87"/>
      <c r="B3048" s="87"/>
      <c r="C3048" s="73"/>
      <c r="D3048" s="73"/>
      <c r="E3048" s="82"/>
      <c r="F3048" s="82"/>
      <c r="G3048" s="86"/>
      <c r="H3048" s="86"/>
      <c r="I3048" s="86"/>
      <c r="J3048" s="82"/>
      <c r="K3048" s="82"/>
      <c r="L3048" s="82"/>
      <c r="M3048" s="82"/>
      <c r="N3048" s="82"/>
      <c r="O3048" s="82"/>
      <c r="P3048" s="82"/>
      <c r="Q3048" s="82"/>
      <c r="R3048" s="82"/>
      <c r="S3048" s="82"/>
      <c r="T3048" s="82"/>
      <c r="U3048" s="82"/>
      <c r="V3048" s="82"/>
      <c r="W3048" s="82"/>
      <c r="X3048" s="82"/>
      <c r="Y3048" s="82"/>
      <c r="Z3048" s="82"/>
      <c r="AA3048" s="82"/>
      <c r="AB3048" s="82"/>
      <c r="AC3048" s="82"/>
      <c r="AD3048" s="82"/>
      <c r="AE3048" s="82"/>
      <c r="AF3048" s="82"/>
      <c r="AG3048" s="82"/>
      <c r="AH3048" s="82"/>
      <c r="AI3048" s="82"/>
      <c r="AJ3048" s="82"/>
      <c r="AK3048" s="82"/>
      <c r="AL3048" s="82"/>
      <c r="AM3048" s="82"/>
      <c r="AN3048" s="82"/>
      <c r="AO3048" s="82"/>
      <c r="AP3048" s="82"/>
      <c r="AQ3048" s="82"/>
      <c r="AR3048" s="82"/>
      <c r="AS3048" s="82"/>
      <c r="AT3048" s="82"/>
      <c r="AU3048" s="82"/>
      <c r="AV3048" s="82"/>
      <c r="AW3048" s="82" t="str">
        <f t="shared" si="1"/>
        <v/>
      </c>
      <c r="AX3048" s="83" t="str">
        <f t="array" ref="AX3048">IFERROR(DGET('SBV Import'!A:G,"SBV",{"RSC ID","Tier";B3048,A3048}))</f>
        <v/>
      </c>
      <c r="AY3048" s="82" t="str">
        <f t="shared" si="2"/>
        <v/>
      </c>
      <c r="AZ3048" s="82"/>
      <c r="BA3048" s="84" t="s">
        <v>152</v>
      </c>
      <c r="BB3048" s="84" t="str">
        <f>IFERROR(__xludf.DUMMYFUNCTION("iferror(if(A3048="""",,E3048&gt;=FILTER(Constants!$F$2:$F$10,Constants!$A$2:$A$10=A3048)))"),"")</f>
        <v/>
      </c>
    </row>
    <row r="3049">
      <c r="A3049" s="87"/>
      <c r="B3049" s="87"/>
      <c r="C3049" s="73"/>
      <c r="D3049" s="73"/>
      <c r="E3049" s="82"/>
      <c r="F3049" s="82"/>
      <c r="G3049" s="86"/>
      <c r="H3049" s="86"/>
      <c r="I3049" s="86"/>
      <c r="J3049" s="82"/>
      <c r="K3049" s="82"/>
      <c r="L3049" s="82"/>
      <c r="M3049" s="82"/>
      <c r="N3049" s="82"/>
      <c r="O3049" s="82"/>
      <c r="P3049" s="82"/>
      <c r="Q3049" s="82"/>
      <c r="R3049" s="82"/>
      <c r="S3049" s="82"/>
      <c r="T3049" s="82"/>
      <c r="U3049" s="82"/>
      <c r="V3049" s="82"/>
      <c r="W3049" s="82"/>
      <c r="X3049" s="82"/>
      <c r="Y3049" s="82"/>
      <c r="Z3049" s="82"/>
      <c r="AA3049" s="82"/>
      <c r="AB3049" s="82"/>
      <c r="AC3049" s="82"/>
      <c r="AD3049" s="82"/>
      <c r="AE3049" s="82"/>
      <c r="AF3049" s="82"/>
      <c r="AG3049" s="82"/>
      <c r="AH3049" s="82"/>
      <c r="AI3049" s="82"/>
      <c r="AJ3049" s="82"/>
      <c r="AK3049" s="82"/>
      <c r="AL3049" s="82"/>
      <c r="AM3049" s="82"/>
      <c r="AN3049" s="82"/>
      <c r="AO3049" s="82"/>
      <c r="AP3049" s="82"/>
      <c r="AQ3049" s="82"/>
      <c r="AR3049" s="82"/>
      <c r="AS3049" s="82"/>
      <c r="AT3049" s="82"/>
      <c r="AU3049" s="82"/>
      <c r="AV3049" s="82"/>
      <c r="AW3049" s="82" t="str">
        <f t="shared" si="1"/>
        <v/>
      </c>
      <c r="AX3049" s="83" t="str">
        <f t="array" ref="AX3049">IFERROR(DGET('SBV Import'!A:G,"SBV",{"RSC ID","Tier";B3049,A3049}))</f>
        <v/>
      </c>
      <c r="AY3049" s="82" t="str">
        <f t="shared" si="2"/>
        <v/>
      </c>
      <c r="AZ3049" s="82"/>
      <c r="BA3049" s="84" t="s">
        <v>152</v>
      </c>
      <c r="BB3049" s="84" t="str">
        <f>IFERROR(__xludf.DUMMYFUNCTION("iferror(if(A3049="""",,E3049&gt;=FILTER(Constants!$F$2:$F$10,Constants!$A$2:$A$10=A3049)))"),"")</f>
        <v/>
      </c>
    </row>
    <row r="3050">
      <c r="A3050" s="87"/>
      <c r="B3050" s="87"/>
      <c r="C3050" s="73"/>
      <c r="D3050" s="73"/>
      <c r="E3050" s="82"/>
      <c r="F3050" s="82"/>
      <c r="G3050" s="86"/>
      <c r="H3050" s="86"/>
      <c r="I3050" s="86"/>
      <c r="J3050" s="82"/>
      <c r="K3050" s="82"/>
      <c r="L3050" s="82"/>
      <c r="M3050" s="82"/>
      <c r="N3050" s="82"/>
      <c r="O3050" s="82"/>
      <c r="P3050" s="82"/>
      <c r="Q3050" s="82"/>
      <c r="R3050" s="82"/>
      <c r="S3050" s="82"/>
      <c r="T3050" s="82"/>
      <c r="U3050" s="82"/>
      <c r="V3050" s="82"/>
      <c r="W3050" s="82"/>
      <c r="X3050" s="82"/>
      <c r="Y3050" s="82"/>
      <c r="Z3050" s="82"/>
      <c r="AA3050" s="82"/>
      <c r="AB3050" s="82"/>
      <c r="AC3050" s="82"/>
      <c r="AD3050" s="82"/>
      <c r="AE3050" s="82"/>
      <c r="AF3050" s="82"/>
      <c r="AG3050" s="82"/>
      <c r="AH3050" s="82"/>
      <c r="AI3050" s="82"/>
      <c r="AJ3050" s="82"/>
      <c r="AK3050" s="82"/>
      <c r="AL3050" s="82"/>
      <c r="AM3050" s="82"/>
      <c r="AN3050" s="82"/>
      <c r="AO3050" s="82"/>
      <c r="AP3050" s="82"/>
      <c r="AQ3050" s="82"/>
      <c r="AR3050" s="82"/>
      <c r="AS3050" s="82"/>
      <c r="AT3050" s="82"/>
      <c r="AU3050" s="82"/>
      <c r="AV3050" s="82"/>
      <c r="AW3050" s="82" t="str">
        <f t="shared" si="1"/>
        <v/>
      </c>
      <c r="AX3050" s="83" t="str">
        <f t="array" ref="AX3050">IFERROR(DGET('SBV Import'!A:G,"SBV",{"RSC ID","Tier";B3050,A3050}))</f>
        <v/>
      </c>
      <c r="AY3050" s="82" t="str">
        <f t="shared" si="2"/>
        <v/>
      </c>
      <c r="AZ3050" s="82"/>
      <c r="BA3050" s="84" t="s">
        <v>152</v>
      </c>
      <c r="BB3050" s="84" t="str">
        <f>IFERROR(__xludf.DUMMYFUNCTION("iferror(if(A3050="""",,E3050&gt;=FILTER(Constants!$F$2:$F$10,Constants!$A$2:$A$10=A3050)))"),"")</f>
        <v/>
      </c>
    </row>
    <row r="3051">
      <c r="A3051" s="87"/>
      <c r="B3051" s="87"/>
      <c r="C3051" s="73"/>
      <c r="D3051" s="73"/>
      <c r="E3051" s="82"/>
      <c r="F3051" s="82"/>
      <c r="G3051" s="86"/>
      <c r="H3051" s="86"/>
      <c r="I3051" s="86"/>
      <c r="J3051" s="82"/>
      <c r="K3051" s="82"/>
      <c r="L3051" s="82"/>
      <c r="M3051" s="82"/>
      <c r="N3051" s="82"/>
      <c r="O3051" s="82"/>
      <c r="P3051" s="82"/>
      <c r="Q3051" s="82"/>
      <c r="R3051" s="82"/>
      <c r="S3051" s="82"/>
      <c r="T3051" s="82"/>
      <c r="U3051" s="82"/>
      <c r="V3051" s="82"/>
      <c r="W3051" s="82"/>
      <c r="X3051" s="82"/>
      <c r="Y3051" s="82"/>
      <c r="Z3051" s="82"/>
      <c r="AA3051" s="82"/>
      <c r="AB3051" s="82"/>
      <c r="AC3051" s="82"/>
      <c r="AD3051" s="82"/>
      <c r="AE3051" s="82"/>
      <c r="AF3051" s="82"/>
      <c r="AG3051" s="82"/>
      <c r="AH3051" s="82"/>
      <c r="AI3051" s="82"/>
      <c r="AJ3051" s="82"/>
      <c r="AK3051" s="82"/>
      <c r="AL3051" s="82"/>
      <c r="AM3051" s="82"/>
      <c r="AN3051" s="82"/>
      <c r="AO3051" s="82"/>
      <c r="AP3051" s="82"/>
      <c r="AQ3051" s="82"/>
      <c r="AR3051" s="82"/>
      <c r="AS3051" s="82"/>
      <c r="AT3051" s="82"/>
      <c r="AU3051" s="82"/>
      <c r="AV3051" s="82"/>
      <c r="AW3051" s="82" t="str">
        <f t="shared" si="1"/>
        <v/>
      </c>
      <c r="AX3051" s="83" t="str">
        <f t="array" ref="AX3051">IFERROR(DGET('SBV Import'!A:G,"SBV",{"RSC ID","Tier";B3051,A3051}))</f>
        <v/>
      </c>
      <c r="AY3051" s="82" t="str">
        <f t="shared" si="2"/>
        <v/>
      </c>
      <c r="AZ3051" s="82"/>
      <c r="BA3051" s="84" t="s">
        <v>152</v>
      </c>
      <c r="BB3051" s="84" t="str">
        <f>IFERROR(__xludf.DUMMYFUNCTION("iferror(if(A3051="""",,E3051&gt;=FILTER(Constants!$F$2:$F$10,Constants!$A$2:$A$10=A3051)))"),"")</f>
        <v/>
      </c>
    </row>
    <row r="3052">
      <c r="A3052" s="87"/>
      <c r="B3052" s="87"/>
      <c r="C3052" s="73"/>
      <c r="D3052" s="73"/>
      <c r="E3052" s="82"/>
      <c r="F3052" s="82"/>
      <c r="G3052" s="86"/>
      <c r="H3052" s="86"/>
      <c r="I3052" s="86"/>
      <c r="J3052" s="82"/>
      <c r="K3052" s="82"/>
      <c r="L3052" s="82"/>
      <c r="M3052" s="82"/>
      <c r="N3052" s="82"/>
      <c r="O3052" s="82"/>
      <c r="P3052" s="82"/>
      <c r="Q3052" s="82"/>
      <c r="R3052" s="82"/>
      <c r="S3052" s="82"/>
      <c r="T3052" s="82"/>
      <c r="U3052" s="82"/>
      <c r="V3052" s="82"/>
      <c r="W3052" s="82"/>
      <c r="X3052" s="82"/>
      <c r="Y3052" s="82"/>
      <c r="Z3052" s="82"/>
      <c r="AA3052" s="82"/>
      <c r="AB3052" s="82"/>
      <c r="AC3052" s="82"/>
      <c r="AD3052" s="82"/>
      <c r="AE3052" s="82"/>
      <c r="AF3052" s="82"/>
      <c r="AG3052" s="82"/>
      <c r="AH3052" s="82"/>
      <c r="AI3052" s="82"/>
      <c r="AJ3052" s="82"/>
      <c r="AK3052" s="82"/>
      <c r="AL3052" s="82"/>
      <c r="AM3052" s="82"/>
      <c r="AN3052" s="82"/>
      <c r="AO3052" s="82"/>
      <c r="AP3052" s="82"/>
      <c r="AQ3052" s="82"/>
      <c r="AR3052" s="82"/>
      <c r="AS3052" s="82"/>
      <c r="AT3052" s="82"/>
      <c r="AU3052" s="82"/>
      <c r="AV3052" s="82"/>
      <c r="AW3052" s="82" t="str">
        <f t="shared" si="1"/>
        <v/>
      </c>
      <c r="AX3052" s="83" t="str">
        <f t="array" ref="AX3052">IFERROR(DGET('SBV Import'!A:G,"SBV",{"RSC ID","Tier";B3052,A3052}))</f>
        <v/>
      </c>
      <c r="AY3052" s="82" t="str">
        <f t="shared" si="2"/>
        <v/>
      </c>
      <c r="AZ3052" s="82"/>
      <c r="BA3052" s="84" t="s">
        <v>152</v>
      </c>
      <c r="BB3052" s="84" t="str">
        <f>IFERROR(__xludf.DUMMYFUNCTION("iferror(if(A3052="""",,E3052&gt;=FILTER(Constants!$F$2:$F$10,Constants!$A$2:$A$10=A3052)))"),"")</f>
        <v/>
      </c>
    </row>
    <row r="3053">
      <c r="A3053" s="87"/>
      <c r="B3053" s="87"/>
      <c r="C3053" s="73"/>
      <c r="D3053" s="73"/>
      <c r="E3053" s="82"/>
      <c r="F3053" s="82"/>
      <c r="G3053" s="86"/>
      <c r="H3053" s="86"/>
      <c r="I3053" s="86"/>
      <c r="J3053" s="82"/>
      <c r="K3053" s="82"/>
      <c r="L3053" s="82"/>
      <c r="M3053" s="82"/>
      <c r="N3053" s="82"/>
      <c r="O3053" s="82"/>
      <c r="P3053" s="82"/>
      <c r="Q3053" s="82"/>
      <c r="R3053" s="82"/>
      <c r="S3053" s="82"/>
      <c r="T3053" s="82"/>
      <c r="U3053" s="82"/>
      <c r="V3053" s="82"/>
      <c r="W3053" s="82"/>
      <c r="X3053" s="82"/>
      <c r="Y3053" s="82"/>
      <c r="Z3053" s="82"/>
      <c r="AA3053" s="82"/>
      <c r="AB3053" s="82"/>
      <c r="AC3053" s="82"/>
      <c r="AD3053" s="82"/>
      <c r="AE3053" s="82"/>
      <c r="AF3053" s="82"/>
      <c r="AG3053" s="82"/>
      <c r="AH3053" s="82"/>
      <c r="AI3053" s="82"/>
      <c r="AJ3053" s="82"/>
      <c r="AK3053" s="82"/>
      <c r="AL3053" s="82"/>
      <c r="AM3053" s="82"/>
      <c r="AN3053" s="82"/>
      <c r="AO3053" s="82"/>
      <c r="AP3053" s="82"/>
      <c r="AQ3053" s="82"/>
      <c r="AR3053" s="82"/>
      <c r="AS3053" s="82"/>
      <c r="AT3053" s="82"/>
      <c r="AU3053" s="82"/>
      <c r="AV3053" s="82"/>
      <c r="AW3053" s="82" t="str">
        <f t="shared" si="1"/>
        <v/>
      </c>
      <c r="AX3053" s="83" t="str">
        <f t="array" ref="AX3053">IFERROR(DGET('SBV Import'!A:G,"SBV",{"RSC ID","Tier";B3053,A3053}))</f>
        <v/>
      </c>
      <c r="AY3053" s="82" t="str">
        <f t="shared" si="2"/>
        <v/>
      </c>
      <c r="AZ3053" s="82"/>
      <c r="BA3053" s="84" t="s">
        <v>152</v>
      </c>
      <c r="BB3053" s="84" t="str">
        <f>IFERROR(__xludf.DUMMYFUNCTION("iferror(if(A3053="""",,E3053&gt;=FILTER(Constants!$F$2:$F$10,Constants!$A$2:$A$10=A3053)))"),"")</f>
        <v/>
      </c>
    </row>
    <row r="3054">
      <c r="A3054" s="87"/>
      <c r="B3054" s="87"/>
      <c r="C3054" s="73"/>
      <c r="D3054" s="73"/>
      <c r="E3054" s="82"/>
      <c r="F3054" s="82"/>
      <c r="G3054" s="86"/>
      <c r="H3054" s="86"/>
      <c r="I3054" s="86"/>
      <c r="J3054" s="82"/>
      <c r="K3054" s="82"/>
      <c r="L3054" s="82"/>
      <c r="M3054" s="82"/>
      <c r="N3054" s="82"/>
      <c r="O3054" s="82"/>
      <c r="P3054" s="82"/>
      <c r="Q3054" s="82"/>
      <c r="R3054" s="82"/>
      <c r="S3054" s="82"/>
      <c r="T3054" s="82"/>
      <c r="U3054" s="82"/>
      <c r="V3054" s="82"/>
      <c r="W3054" s="82"/>
      <c r="X3054" s="82"/>
      <c r="Y3054" s="82"/>
      <c r="Z3054" s="82"/>
      <c r="AA3054" s="82"/>
      <c r="AB3054" s="82"/>
      <c r="AC3054" s="82"/>
      <c r="AD3054" s="82"/>
      <c r="AE3054" s="82"/>
      <c r="AF3054" s="82"/>
      <c r="AG3054" s="82"/>
      <c r="AH3054" s="82"/>
      <c r="AI3054" s="82"/>
      <c r="AJ3054" s="82"/>
      <c r="AK3054" s="82"/>
      <c r="AL3054" s="82"/>
      <c r="AM3054" s="82"/>
      <c r="AN3054" s="82"/>
      <c r="AO3054" s="82"/>
      <c r="AP3054" s="82"/>
      <c r="AQ3054" s="82"/>
      <c r="AR3054" s="82"/>
      <c r="AS3054" s="82"/>
      <c r="AT3054" s="82"/>
      <c r="AU3054" s="82"/>
      <c r="AV3054" s="82"/>
      <c r="AW3054" s="82" t="str">
        <f t="shared" si="1"/>
        <v/>
      </c>
      <c r="AX3054" s="83" t="str">
        <f t="array" ref="AX3054">IFERROR(DGET('SBV Import'!A:G,"SBV",{"RSC ID","Tier";B3054,A3054}))</f>
        <v/>
      </c>
      <c r="AY3054" s="82" t="str">
        <f t="shared" si="2"/>
        <v/>
      </c>
      <c r="AZ3054" s="82"/>
      <c r="BA3054" s="84" t="s">
        <v>152</v>
      </c>
      <c r="BB3054" s="84" t="str">
        <f>IFERROR(__xludf.DUMMYFUNCTION("iferror(if(A3054="""",,E3054&gt;=FILTER(Constants!$F$2:$F$10,Constants!$A$2:$A$10=A3054)))"),"")</f>
        <v/>
      </c>
    </row>
    <row r="3055">
      <c r="A3055" s="87"/>
      <c r="B3055" s="87"/>
      <c r="C3055" s="73"/>
      <c r="D3055" s="73"/>
      <c r="E3055" s="82"/>
      <c r="F3055" s="82"/>
      <c r="G3055" s="86"/>
      <c r="H3055" s="86"/>
      <c r="I3055" s="86"/>
      <c r="J3055" s="82"/>
      <c r="K3055" s="82"/>
      <c r="L3055" s="82"/>
      <c r="M3055" s="82"/>
      <c r="N3055" s="82"/>
      <c r="O3055" s="82"/>
      <c r="P3055" s="82"/>
      <c r="Q3055" s="82"/>
      <c r="R3055" s="82"/>
      <c r="S3055" s="82"/>
      <c r="T3055" s="82"/>
      <c r="U3055" s="82"/>
      <c r="V3055" s="82"/>
      <c r="W3055" s="82"/>
      <c r="X3055" s="82"/>
      <c r="Y3055" s="82"/>
      <c r="Z3055" s="82"/>
      <c r="AA3055" s="82"/>
      <c r="AB3055" s="82"/>
      <c r="AC3055" s="82"/>
      <c r="AD3055" s="82"/>
      <c r="AE3055" s="82"/>
      <c r="AF3055" s="82"/>
      <c r="AG3055" s="82"/>
      <c r="AH3055" s="82"/>
      <c r="AI3055" s="82"/>
      <c r="AJ3055" s="82"/>
      <c r="AK3055" s="82"/>
      <c r="AL3055" s="82"/>
      <c r="AM3055" s="82"/>
      <c r="AN3055" s="82"/>
      <c r="AO3055" s="82"/>
      <c r="AP3055" s="82"/>
      <c r="AQ3055" s="82"/>
      <c r="AR3055" s="82"/>
      <c r="AS3055" s="82"/>
      <c r="AT3055" s="82"/>
      <c r="AU3055" s="82"/>
      <c r="AV3055" s="82"/>
      <c r="AW3055" s="82" t="str">
        <f t="shared" si="1"/>
        <v/>
      </c>
      <c r="AX3055" s="83" t="str">
        <f t="array" ref="AX3055">IFERROR(DGET('SBV Import'!A:G,"SBV",{"RSC ID","Tier";B3055,A3055}))</f>
        <v/>
      </c>
      <c r="AY3055" s="82" t="str">
        <f t="shared" si="2"/>
        <v/>
      </c>
      <c r="AZ3055" s="82"/>
      <c r="BA3055" s="84" t="s">
        <v>152</v>
      </c>
      <c r="BB3055" s="84" t="str">
        <f>IFERROR(__xludf.DUMMYFUNCTION("iferror(if(A3055="""",,E3055&gt;=FILTER(Constants!$F$2:$F$10,Constants!$A$2:$A$10=A3055)))"),"")</f>
        <v/>
      </c>
    </row>
    <row r="3056">
      <c r="A3056" s="87"/>
      <c r="B3056" s="87"/>
      <c r="C3056" s="73"/>
      <c r="D3056" s="73"/>
      <c r="E3056" s="82"/>
      <c r="F3056" s="82"/>
      <c r="G3056" s="86"/>
      <c r="H3056" s="86"/>
      <c r="I3056" s="86"/>
      <c r="J3056" s="82"/>
      <c r="K3056" s="82"/>
      <c r="L3056" s="82"/>
      <c r="M3056" s="82"/>
      <c r="N3056" s="82"/>
      <c r="O3056" s="82"/>
      <c r="P3056" s="82"/>
      <c r="Q3056" s="82"/>
      <c r="R3056" s="82"/>
      <c r="S3056" s="82"/>
      <c r="T3056" s="82"/>
      <c r="U3056" s="82"/>
      <c r="V3056" s="82"/>
      <c r="W3056" s="82"/>
      <c r="X3056" s="82"/>
      <c r="Y3056" s="82"/>
      <c r="Z3056" s="82"/>
      <c r="AA3056" s="82"/>
      <c r="AB3056" s="82"/>
      <c r="AC3056" s="82"/>
      <c r="AD3056" s="82"/>
      <c r="AE3056" s="82"/>
      <c r="AF3056" s="82"/>
      <c r="AG3056" s="82"/>
      <c r="AH3056" s="82"/>
      <c r="AI3056" s="82"/>
      <c r="AJ3056" s="82"/>
      <c r="AK3056" s="82"/>
      <c r="AL3056" s="82"/>
      <c r="AM3056" s="82"/>
      <c r="AN3056" s="82"/>
      <c r="AO3056" s="82"/>
      <c r="AP3056" s="82"/>
      <c r="AQ3056" s="82"/>
      <c r="AR3056" s="82"/>
      <c r="AS3056" s="82"/>
      <c r="AT3056" s="82"/>
      <c r="AU3056" s="82"/>
      <c r="AV3056" s="82"/>
      <c r="AW3056" s="82" t="str">
        <f t="shared" si="1"/>
        <v/>
      </c>
      <c r="AX3056" s="83" t="str">
        <f t="array" ref="AX3056">IFERROR(DGET('SBV Import'!A:G,"SBV",{"RSC ID","Tier";B3056,A3056}))</f>
        <v/>
      </c>
      <c r="AY3056" s="82" t="str">
        <f t="shared" si="2"/>
        <v/>
      </c>
      <c r="AZ3056" s="82"/>
      <c r="BA3056" s="84" t="s">
        <v>152</v>
      </c>
      <c r="BB3056" s="84" t="str">
        <f>IFERROR(__xludf.DUMMYFUNCTION("iferror(if(A3056="""",,E3056&gt;=FILTER(Constants!$F$2:$F$10,Constants!$A$2:$A$10=A3056)))"),"")</f>
        <v/>
      </c>
    </row>
    <row r="3057">
      <c r="A3057" s="87"/>
      <c r="B3057" s="87"/>
      <c r="C3057" s="73"/>
      <c r="D3057" s="73"/>
      <c r="E3057" s="82"/>
      <c r="F3057" s="82"/>
      <c r="G3057" s="86"/>
      <c r="H3057" s="86"/>
      <c r="I3057" s="86"/>
      <c r="J3057" s="82"/>
      <c r="K3057" s="82"/>
      <c r="L3057" s="82"/>
      <c r="M3057" s="82"/>
      <c r="N3057" s="82"/>
      <c r="O3057" s="82"/>
      <c r="P3057" s="82"/>
      <c r="Q3057" s="82"/>
      <c r="R3057" s="82"/>
      <c r="S3057" s="82"/>
      <c r="T3057" s="82"/>
      <c r="U3057" s="82"/>
      <c r="V3057" s="82"/>
      <c r="W3057" s="82"/>
      <c r="X3057" s="82"/>
      <c r="Y3057" s="82"/>
      <c r="Z3057" s="82"/>
      <c r="AA3057" s="82"/>
      <c r="AB3057" s="82"/>
      <c r="AC3057" s="82"/>
      <c r="AD3057" s="82"/>
      <c r="AE3057" s="82"/>
      <c r="AF3057" s="82"/>
      <c r="AG3057" s="82"/>
      <c r="AH3057" s="82"/>
      <c r="AI3057" s="82"/>
      <c r="AJ3057" s="82"/>
      <c r="AK3057" s="82"/>
      <c r="AL3057" s="82"/>
      <c r="AM3057" s="82"/>
      <c r="AN3057" s="82"/>
      <c r="AO3057" s="82"/>
      <c r="AP3057" s="82"/>
      <c r="AQ3057" s="82"/>
      <c r="AR3057" s="82"/>
      <c r="AS3057" s="82"/>
      <c r="AT3057" s="82"/>
      <c r="AU3057" s="82"/>
      <c r="AV3057" s="82"/>
      <c r="AW3057" s="82" t="str">
        <f t="shared" si="1"/>
        <v/>
      </c>
      <c r="AX3057" s="83" t="str">
        <f t="array" ref="AX3057">IFERROR(DGET('SBV Import'!A:G,"SBV",{"RSC ID","Tier";B3057,A3057}))</f>
        <v/>
      </c>
      <c r="AY3057" s="82" t="str">
        <f t="shared" si="2"/>
        <v/>
      </c>
      <c r="AZ3057" s="82"/>
      <c r="BA3057" s="84" t="s">
        <v>152</v>
      </c>
      <c r="BB3057" s="84" t="str">
        <f>IFERROR(__xludf.DUMMYFUNCTION("iferror(if(A3057="""",,E3057&gt;=FILTER(Constants!$F$2:$F$10,Constants!$A$2:$A$10=A3057)))"),"")</f>
        <v/>
      </c>
    </row>
    <row r="3058">
      <c r="A3058" s="87"/>
      <c r="B3058" s="87"/>
      <c r="C3058" s="73"/>
      <c r="D3058" s="73"/>
      <c r="E3058" s="82"/>
      <c r="F3058" s="82"/>
      <c r="G3058" s="86"/>
      <c r="H3058" s="86"/>
      <c r="I3058" s="86"/>
      <c r="J3058" s="82"/>
      <c r="K3058" s="82"/>
      <c r="L3058" s="82"/>
      <c r="M3058" s="82"/>
      <c r="N3058" s="82"/>
      <c r="O3058" s="82"/>
      <c r="P3058" s="82"/>
      <c r="Q3058" s="82"/>
      <c r="R3058" s="82"/>
      <c r="S3058" s="82"/>
      <c r="T3058" s="82"/>
      <c r="U3058" s="82"/>
      <c r="V3058" s="82"/>
      <c r="W3058" s="82"/>
      <c r="X3058" s="82"/>
      <c r="Y3058" s="82"/>
      <c r="Z3058" s="82"/>
      <c r="AA3058" s="82"/>
      <c r="AB3058" s="82"/>
      <c r="AC3058" s="82"/>
      <c r="AD3058" s="82"/>
      <c r="AE3058" s="82"/>
      <c r="AF3058" s="82"/>
      <c r="AG3058" s="82"/>
      <c r="AH3058" s="82"/>
      <c r="AI3058" s="82"/>
      <c r="AJ3058" s="82"/>
      <c r="AK3058" s="82"/>
      <c r="AL3058" s="82"/>
      <c r="AM3058" s="82"/>
      <c r="AN3058" s="82"/>
      <c r="AO3058" s="82"/>
      <c r="AP3058" s="82"/>
      <c r="AQ3058" s="82"/>
      <c r="AR3058" s="82"/>
      <c r="AS3058" s="82"/>
      <c r="AT3058" s="82"/>
      <c r="AU3058" s="82"/>
      <c r="AV3058" s="82"/>
      <c r="AW3058" s="82" t="str">
        <f t="shared" si="1"/>
        <v/>
      </c>
      <c r="AX3058" s="83" t="str">
        <f t="array" ref="AX3058">IFERROR(DGET('SBV Import'!A:G,"SBV",{"RSC ID","Tier";B3058,A3058}))</f>
        <v/>
      </c>
      <c r="AY3058" s="82" t="str">
        <f t="shared" si="2"/>
        <v/>
      </c>
      <c r="AZ3058" s="82"/>
      <c r="BA3058" s="84" t="s">
        <v>152</v>
      </c>
      <c r="BB3058" s="84" t="str">
        <f>IFERROR(__xludf.DUMMYFUNCTION("iferror(if(A3058="""",,E3058&gt;=FILTER(Constants!$F$2:$F$10,Constants!$A$2:$A$10=A3058)))"),"")</f>
        <v/>
      </c>
    </row>
    <row r="3059">
      <c r="A3059" s="87"/>
      <c r="B3059" s="87"/>
      <c r="C3059" s="73"/>
      <c r="D3059" s="73"/>
      <c r="E3059" s="82"/>
      <c r="F3059" s="82"/>
      <c r="G3059" s="86"/>
      <c r="H3059" s="86"/>
      <c r="I3059" s="86"/>
      <c r="J3059" s="82"/>
      <c r="K3059" s="82"/>
      <c r="L3059" s="82"/>
      <c r="M3059" s="82"/>
      <c r="N3059" s="82"/>
      <c r="O3059" s="82"/>
      <c r="P3059" s="82"/>
      <c r="Q3059" s="82"/>
      <c r="R3059" s="82"/>
      <c r="S3059" s="82"/>
      <c r="T3059" s="82"/>
      <c r="U3059" s="82"/>
      <c r="V3059" s="82"/>
      <c r="W3059" s="82"/>
      <c r="X3059" s="82"/>
      <c r="Y3059" s="82"/>
      <c r="Z3059" s="82"/>
      <c r="AA3059" s="82"/>
      <c r="AB3059" s="82"/>
      <c r="AC3059" s="82"/>
      <c r="AD3059" s="82"/>
      <c r="AE3059" s="82"/>
      <c r="AF3059" s="82"/>
      <c r="AG3059" s="82"/>
      <c r="AH3059" s="82"/>
      <c r="AI3059" s="82"/>
      <c r="AJ3059" s="82"/>
      <c r="AK3059" s="82"/>
      <c r="AL3059" s="82"/>
      <c r="AM3059" s="82"/>
      <c r="AN3059" s="82"/>
      <c r="AO3059" s="82"/>
      <c r="AP3059" s="82"/>
      <c r="AQ3059" s="82"/>
      <c r="AR3059" s="82"/>
      <c r="AS3059" s="82"/>
      <c r="AT3059" s="82"/>
      <c r="AU3059" s="82"/>
      <c r="AV3059" s="82"/>
      <c r="AW3059" s="82" t="str">
        <f t="shared" si="1"/>
        <v/>
      </c>
      <c r="AX3059" s="83" t="str">
        <f t="array" ref="AX3059">IFERROR(DGET('SBV Import'!A:G,"SBV",{"RSC ID","Tier";B3059,A3059}))</f>
        <v/>
      </c>
      <c r="AY3059" s="82" t="str">
        <f t="shared" si="2"/>
        <v/>
      </c>
      <c r="AZ3059" s="82"/>
      <c r="BA3059" s="84" t="s">
        <v>152</v>
      </c>
      <c r="BB3059" s="84" t="str">
        <f>IFERROR(__xludf.DUMMYFUNCTION("iferror(if(A3059="""",,E3059&gt;=FILTER(Constants!$F$2:$F$10,Constants!$A$2:$A$10=A3059)))"),"")</f>
        <v/>
      </c>
    </row>
    <row r="3060">
      <c r="A3060" s="87"/>
      <c r="B3060" s="87"/>
      <c r="C3060" s="73"/>
      <c r="D3060" s="73"/>
      <c r="E3060" s="82"/>
      <c r="F3060" s="82"/>
      <c r="G3060" s="86"/>
      <c r="H3060" s="86"/>
      <c r="I3060" s="86"/>
      <c r="J3060" s="82"/>
      <c r="K3060" s="82"/>
      <c r="L3060" s="82"/>
      <c r="M3060" s="82"/>
      <c r="N3060" s="82"/>
      <c r="O3060" s="82"/>
      <c r="P3060" s="82"/>
      <c r="Q3060" s="82"/>
      <c r="R3060" s="82"/>
      <c r="S3060" s="82"/>
      <c r="T3060" s="82"/>
      <c r="U3060" s="82"/>
      <c r="V3060" s="82"/>
      <c r="W3060" s="82"/>
      <c r="X3060" s="82"/>
      <c r="Y3060" s="82"/>
      <c r="Z3060" s="82"/>
      <c r="AA3060" s="82"/>
      <c r="AB3060" s="82"/>
      <c r="AC3060" s="82"/>
      <c r="AD3060" s="82"/>
      <c r="AE3060" s="82"/>
      <c r="AF3060" s="82"/>
      <c r="AG3060" s="82"/>
      <c r="AH3060" s="82"/>
      <c r="AI3060" s="82"/>
      <c r="AJ3060" s="82"/>
      <c r="AK3060" s="82"/>
      <c r="AL3060" s="82"/>
      <c r="AM3060" s="82"/>
      <c r="AN3060" s="82"/>
      <c r="AO3060" s="82"/>
      <c r="AP3060" s="82"/>
      <c r="AQ3060" s="82"/>
      <c r="AR3060" s="82"/>
      <c r="AS3060" s="82"/>
      <c r="AT3060" s="82"/>
      <c r="AU3060" s="82"/>
      <c r="AV3060" s="82"/>
      <c r="AW3060" s="82" t="str">
        <f t="shared" si="1"/>
        <v/>
      </c>
      <c r="AX3060" s="83" t="str">
        <f t="array" ref="AX3060">IFERROR(DGET('SBV Import'!A:G,"SBV",{"RSC ID","Tier";B3060,A3060}))</f>
        <v/>
      </c>
      <c r="AY3060" s="82" t="str">
        <f t="shared" si="2"/>
        <v/>
      </c>
      <c r="AZ3060" s="82"/>
      <c r="BA3060" s="84" t="s">
        <v>152</v>
      </c>
      <c r="BB3060" s="84" t="str">
        <f>IFERROR(__xludf.DUMMYFUNCTION("iferror(if(A3060="""",,E3060&gt;=FILTER(Constants!$F$2:$F$10,Constants!$A$2:$A$10=A3060)))"),"")</f>
        <v/>
      </c>
    </row>
    <row r="3061">
      <c r="A3061" s="87"/>
      <c r="B3061" s="87"/>
      <c r="C3061" s="73"/>
      <c r="D3061" s="73"/>
      <c r="E3061" s="82"/>
      <c r="F3061" s="82"/>
      <c r="G3061" s="86"/>
      <c r="H3061" s="86"/>
      <c r="I3061" s="86"/>
      <c r="J3061" s="82"/>
      <c r="K3061" s="82"/>
      <c r="L3061" s="82"/>
      <c r="M3061" s="82"/>
      <c r="N3061" s="82"/>
      <c r="O3061" s="82"/>
      <c r="P3061" s="82"/>
      <c r="Q3061" s="82"/>
      <c r="R3061" s="82"/>
      <c r="S3061" s="82"/>
      <c r="T3061" s="82"/>
      <c r="U3061" s="82"/>
      <c r="V3061" s="82"/>
      <c r="W3061" s="82"/>
      <c r="X3061" s="82"/>
      <c r="Y3061" s="82"/>
      <c r="Z3061" s="82"/>
      <c r="AA3061" s="82"/>
      <c r="AB3061" s="82"/>
      <c r="AC3061" s="82"/>
      <c r="AD3061" s="82"/>
      <c r="AE3061" s="82"/>
      <c r="AF3061" s="82"/>
      <c r="AG3061" s="82"/>
      <c r="AH3061" s="82"/>
      <c r="AI3061" s="82"/>
      <c r="AJ3061" s="82"/>
      <c r="AK3061" s="82"/>
      <c r="AL3061" s="82"/>
      <c r="AM3061" s="82"/>
      <c r="AN3061" s="82"/>
      <c r="AO3061" s="82"/>
      <c r="AP3061" s="82"/>
      <c r="AQ3061" s="82"/>
      <c r="AR3061" s="82"/>
      <c r="AS3061" s="82"/>
      <c r="AT3061" s="82"/>
      <c r="AU3061" s="82"/>
      <c r="AV3061" s="82"/>
      <c r="AW3061" s="82" t="str">
        <f t="shared" si="1"/>
        <v/>
      </c>
      <c r="AX3061" s="83" t="str">
        <f t="array" ref="AX3061">IFERROR(DGET('SBV Import'!A:G,"SBV",{"RSC ID","Tier";B3061,A3061}))</f>
        <v/>
      </c>
      <c r="AY3061" s="82" t="str">
        <f t="shared" si="2"/>
        <v/>
      </c>
      <c r="AZ3061" s="82"/>
      <c r="BA3061" s="84" t="s">
        <v>152</v>
      </c>
      <c r="BB3061" s="84" t="str">
        <f>IFERROR(__xludf.DUMMYFUNCTION("iferror(if(A3061="""",,E3061&gt;=FILTER(Constants!$F$2:$F$10,Constants!$A$2:$A$10=A3061)))"),"")</f>
        <v/>
      </c>
    </row>
    <row r="3062">
      <c r="A3062" s="87"/>
      <c r="B3062" s="87"/>
      <c r="C3062" s="73"/>
      <c r="D3062" s="73"/>
      <c r="E3062" s="82"/>
      <c r="F3062" s="82"/>
      <c r="G3062" s="86"/>
      <c r="H3062" s="86"/>
      <c r="I3062" s="86"/>
      <c r="J3062" s="82"/>
      <c r="K3062" s="82"/>
      <c r="L3062" s="82"/>
      <c r="M3062" s="82"/>
      <c r="N3062" s="82"/>
      <c r="O3062" s="82"/>
      <c r="P3062" s="82"/>
      <c r="Q3062" s="82"/>
      <c r="R3062" s="82"/>
      <c r="S3062" s="82"/>
      <c r="T3062" s="82"/>
      <c r="U3062" s="82"/>
      <c r="V3062" s="82"/>
      <c r="W3062" s="82"/>
      <c r="X3062" s="82"/>
      <c r="Y3062" s="82"/>
      <c r="Z3062" s="82"/>
      <c r="AA3062" s="82"/>
      <c r="AB3062" s="82"/>
      <c r="AC3062" s="82"/>
      <c r="AD3062" s="82"/>
      <c r="AE3062" s="82"/>
      <c r="AF3062" s="82"/>
      <c r="AG3062" s="82"/>
      <c r="AH3062" s="82"/>
      <c r="AI3062" s="82"/>
      <c r="AJ3062" s="82"/>
      <c r="AK3062" s="82"/>
      <c r="AL3062" s="82"/>
      <c r="AM3062" s="82"/>
      <c r="AN3062" s="82"/>
      <c r="AO3062" s="82"/>
      <c r="AP3062" s="82"/>
      <c r="AQ3062" s="82"/>
      <c r="AR3062" s="82"/>
      <c r="AS3062" s="82"/>
      <c r="AT3062" s="82"/>
      <c r="AU3062" s="82"/>
      <c r="AV3062" s="82"/>
      <c r="AW3062" s="82" t="str">
        <f t="shared" si="1"/>
        <v/>
      </c>
      <c r="AX3062" s="83" t="str">
        <f t="array" ref="AX3062">IFERROR(DGET('SBV Import'!A:G,"SBV",{"RSC ID","Tier";B3062,A3062}))</f>
        <v/>
      </c>
      <c r="AY3062" s="82" t="str">
        <f t="shared" si="2"/>
        <v/>
      </c>
      <c r="AZ3062" s="82"/>
      <c r="BA3062" s="84" t="s">
        <v>152</v>
      </c>
      <c r="BB3062" s="84" t="str">
        <f>IFERROR(__xludf.DUMMYFUNCTION("iferror(if(A3062="""",,E3062&gt;=FILTER(Constants!$F$2:$F$10,Constants!$A$2:$A$10=A3062)))"),"")</f>
        <v/>
      </c>
    </row>
    <row r="3063">
      <c r="A3063" s="87"/>
      <c r="B3063" s="87"/>
      <c r="C3063" s="73"/>
      <c r="D3063" s="73"/>
      <c r="E3063" s="82"/>
      <c r="F3063" s="82"/>
      <c r="G3063" s="86"/>
      <c r="H3063" s="86"/>
      <c r="I3063" s="86"/>
      <c r="J3063" s="82"/>
      <c r="K3063" s="82"/>
      <c r="L3063" s="82"/>
      <c r="M3063" s="82"/>
      <c r="N3063" s="82"/>
      <c r="O3063" s="82"/>
      <c r="P3063" s="82"/>
      <c r="Q3063" s="82"/>
      <c r="R3063" s="82"/>
      <c r="S3063" s="82"/>
      <c r="T3063" s="82"/>
      <c r="U3063" s="82"/>
      <c r="V3063" s="82"/>
      <c r="W3063" s="82"/>
      <c r="X3063" s="82"/>
      <c r="Y3063" s="82"/>
      <c r="Z3063" s="82"/>
      <c r="AA3063" s="82"/>
      <c r="AB3063" s="82"/>
      <c r="AC3063" s="82"/>
      <c r="AD3063" s="82"/>
      <c r="AE3063" s="82"/>
      <c r="AF3063" s="82"/>
      <c r="AG3063" s="82"/>
      <c r="AH3063" s="82"/>
      <c r="AI3063" s="82"/>
      <c r="AJ3063" s="82"/>
      <c r="AK3063" s="82"/>
      <c r="AL3063" s="82"/>
      <c r="AM3063" s="82"/>
      <c r="AN3063" s="82"/>
      <c r="AO3063" s="82"/>
      <c r="AP3063" s="82"/>
      <c r="AQ3063" s="82"/>
      <c r="AR3063" s="82"/>
      <c r="AS3063" s="82"/>
      <c r="AT3063" s="82"/>
      <c r="AU3063" s="82"/>
      <c r="AV3063" s="82"/>
      <c r="AW3063" s="82" t="str">
        <f t="shared" si="1"/>
        <v/>
      </c>
      <c r="AX3063" s="83" t="str">
        <f t="array" ref="AX3063">IFERROR(DGET('SBV Import'!A:G,"SBV",{"RSC ID","Tier";B3063,A3063}))</f>
        <v/>
      </c>
      <c r="AY3063" s="82" t="str">
        <f t="shared" si="2"/>
        <v/>
      </c>
      <c r="AZ3063" s="82"/>
      <c r="BA3063" s="84" t="s">
        <v>152</v>
      </c>
      <c r="BB3063" s="84" t="str">
        <f>IFERROR(__xludf.DUMMYFUNCTION("iferror(if(A3063="""",,E3063&gt;=FILTER(Constants!$F$2:$F$10,Constants!$A$2:$A$10=A3063)))"),"")</f>
        <v/>
      </c>
    </row>
    <row r="3064">
      <c r="A3064" s="87"/>
      <c r="B3064" s="87"/>
      <c r="C3064" s="73"/>
      <c r="D3064" s="73"/>
      <c r="E3064" s="82"/>
      <c r="F3064" s="82"/>
      <c r="G3064" s="86"/>
      <c r="H3064" s="86"/>
      <c r="I3064" s="86"/>
      <c r="J3064" s="82"/>
      <c r="K3064" s="82"/>
      <c r="L3064" s="82"/>
      <c r="M3064" s="82"/>
      <c r="N3064" s="82"/>
      <c r="O3064" s="82"/>
      <c r="P3064" s="82"/>
      <c r="Q3064" s="82"/>
      <c r="R3064" s="82"/>
      <c r="S3064" s="82"/>
      <c r="T3064" s="82"/>
      <c r="U3064" s="82"/>
      <c r="V3064" s="82"/>
      <c r="W3064" s="82"/>
      <c r="X3064" s="82"/>
      <c r="Y3064" s="82"/>
      <c r="Z3064" s="82"/>
      <c r="AA3064" s="82"/>
      <c r="AB3064" s="82"/>
      <c r="AC3064" s="82"/>
      <c r="AD3064" s="82"/>
      <c r="AE3064" s="82"/>
      <c r="AF3064" s="82"/>
      <c r="AG3064" s="82"/>
      <c r="AH3064" s="82"/>
      <c r="AI3064" s="82"/>
      <c r="AJ3064" s="82"/>
      <c r="AK3064" s="82"/>
      <c r="AL3064" s="82"/>
      <c r="AM3064" s="82"/>
      <c r="AN3064" s="82"/>
      <c r="AO3064" s="82"/>
      <c r="AP3064" s="82"/>
      <c r="AQ3064" s="82"/>
      <c r="AR3064" s="82"/>
      <c r="AS3064" s="82"/>
      <c r="AT3064" s="82"/>
      <c r="AU3064" s="82"/>
      <c r="AV3064" s="82"/>
      <c r="AW3064" s="82" t="str">
        <f t="shared" si="1"/>
        <v/>
      </c>
      <c r="AX3064" s="83" t="str">
        <f t="array" ref="AX3064">IFERROR(DGET('SBV Import'!A:G,"SBV",{"RSC ID","Tier";B3064,A3064}))</f>
        <v/>
      </c>
      <c r="AY3064" s="82" t="str">
        <f t="shared" si="2"/>
        <v/>
      </c>
      <c r="AZ3064" s="82"/>
      <c r="BA3064" s="84" t="s">
        <v>152</v>
      </c>
      <c r="BB3064" s="84" t="str">
        <f>IFERROR(__xludf.DUMMYFUNCTION("iferror(if(A3064="""",,E3064&gt;=FILTER(Constants!$F$2:$F$10,Constants!$A$2:$A$10=A3064)))"),"")</f>
        <v/>
      </c>
    </row>
    <row r="3065">
      <c r="A3065" s="87"/>
      <c r="B3065" s="87"/>
      <c r="C3065" s="73"/>
      <c r="D3065" s="73"/>
      <c r="E3065" s="82"/>
      <c r="F3065" s="82"/>
      <c r="G3065" s="86"/>
      <c r="H3065" s="86"/>
      <c r="I3065" s="86"/>
      <c r="J3065" s="82"/>
      <c r="K3065" s="82"/>
      <c r="L3065" s="82"/>
      <c r="M3065" s="82"/>
      <c r="N3065" s="82"/>
      <c r="O3065" s="82"/>
      <c r="P3065" s="82"/>
      <c r="Q3065" s="82"/>
      <c r="R3065" s="82"/>
      <c r="S3065" s="82"/>
      <c r="T3065" s="82"/>
      <c r="U3065" s="82"/>
      <c r="V3065" s="82"/>
      <c r="W3065" s="82"/>
      <c r="X3065" s="82"/>
      <c r="Y3065" s="82"/>
      <c r="Z3065" s="82"/>
      <c r="AA3065" s="82"/>
      <c r="AB3065" s="82"/>
      <c r="AC3065" s="82"/>
      <c r="AD3065" s="82"/>
      <c r="AE3065" s="82"/>
      <c r="AF3065" s="82"/>
      <c r="AG3065" s="82"/>
      <c r="AH3065" s="82"/>
      <c r="AI3065" s="82"/>
      <c r="AJ3065" s="82"/>
      <c r="AK3065" s="82"/>
      <c r="AL3065" s="82"/>
      <c r="AM3065" s="82"/>
      <c r="AN3065" s="82"/>
      <c r="AO3065" s="82"/>
      <c r="AP3065" s="82"/>
      <c r="AQ3065" s="82"/>
      <c r="AR3065" s="82"/>
      <c r="AS3065" s="82"/>
      <c r="AT3065" s="82"/>
      <c r="AU3065" s="82"/>
      <c r="AV3065" s="82"/>
      <c r="AW3065" s="82" t="str">
        <f t="shared" si="1"/>
        <v/>
      </c>
      <c r="AX3065" s="83" t="str">
        <f t="array" ref="AX3065">IFERROR(DGET('SBV Import'!A:G,"SBV",{"RSC ID","Tier";B3065,A3065}))</f>
        <v/>
      </c>
      <c r="AY3065" s="82" t="str">
        <f t="shared" si="2"/>
        <v/>
      </c>
      <c r="AZ3065" s="82"/>
      <c r="BA3065" s="84" t="s">
        <v>152</v>
      </c>
      <c r="BB3065" s="84" t="str">
        <f>IFERROR(__xludf.DUMMYFUNCTION("iferror(if(A3065="""",,E3065&gt;=FILTER(Constants!$F$2:$F$10,Constants!$A$2:$A$10=A3065)))"),"")</f>
        <v/>
      </c>
    </row>
    <row r="3066">
      <c r="A3066" s="87"/>
      <c r="B3066" s="87"/>
      <c r="C3066" s="73"/>
      <c r="D3066" s="73"/>
      <c r="E3066" s="82"/>
      <c r="F3066" s="82"/>
      <c r="G3066" s="86"/>
      <c r="H3066" s="86"/>
      <c r="I3066" s="86"/>
      <c r="J3066" s="82"/>
      <c r="K3066" s="82"/>
      <c r="L3066" s="82"/>
      <c r="M3066" s="82"/>
      <c r="N3066" s="82"/>
      <c r="O3066" s="82"/>
      <c r="P3066" s="82"/>
      <c r="Q3066" s="82"/>
      <c r="R3066" s="82"/>
      <c r="S3066" s="82"/>
      <c r="T3066" s="82"/>
      <c r="U3066" s="82"/>
      <c r="V3066" s="82"/>
      <c r="W3066" s="82"/>
      <c r="X3066" s="82"/>
      <c r="Y3066" s="82"/>
      <c r="Z3066" s="82"/>
      <c r="AA3066" s="82"/>
      <c r="AB3066" s="82"/>
      <c r="AC3066" s="82"/>
      <c r="AD3066" s="82"/>
      <c r="AE3066" s="82"/>
      <c r="AF3066" s="82"/>
      <c r="AG3066" s="82"/>
      <c r="AH3066" s="82"/>
      <c r="AI3066" s="82"/>
      <c r="AJ3066" s="82"/>
      <c r="AK3066" s="82"/>
      <c r="AL3066" s="82"/>
      <c r="AM3066" s="82"/>
      <c r="AN3066" s="82"/>
      <c r="AO3066" s="82"/>
      <c r="AP3066" s="82"/>
      <c r="AQ3066" s="82"/>
      <c r="AR3066" s="82"/>
      <c r="AS3066" s="82"/>
      <c r="AT3066" s="82"/>
      <c r="AU3066" s="82"/>
      <c r="AV3066" s="82"/>
      <c r="AW3066" s="82" t="str">
        <f t="shared" si="1"/>
        <v/>
      </c>
      <c r="AX3066" s="83" t="str">
        <f t="array" ref="AX3066">IFERROR(DGET('SBV Import'!A:G,"SBV",{"RSC ID","Tier";B3066,A3066}))</f>
        <v/>
      </c>
      <c r="AY3066" s="82" t="str">
        <f t="shared" si="2"/>
        <v/>
      </c>
      <c r="AZ3066" s="82"/>
      <c r="BA3066" s="84" t="s">
        <v>152</v>
      </c>
      <c r="BB3066" s="84" t="str">
        <f>IFERROR(__xludf.DUMMYFUNCTION("iferror(if(A3066="""",,E3066&gt;=FILTER(Constants!$F$2:$F$10,Constants!$A$2:$A$10=A3066)))"),"")</f>
        <v/>
      </c>
    </row>
    <row r="3067">
      <c r="A3067" s="87"/>
      <c r="B3067" s="87"/>
      <c r="C3067" s="73"/>
      <c r="D3067" s="73"/>
      <c r="E3067" s="82"/>
      <c r="F3067" s="82"/>
      <c r="G3067" s="86"/>
      <c r="H3067" s="86"/>
      <c r="I3067" s="86"/>
      <c r="J3067" s="82"/>
      <c r="K3067" s="82"/>
      <c r="L3067" s="82"/>
      <c r="M3067" s="82"/>
      <c r="N3067" s="82"/>
      <c r="O3067" s="82"/>
      <c r="P3067" s="82"/>
      <c r="Q3067" s="82"/>
      <c r="R3067" s="82"/>
      <c r="S3067" s="82"/>
      <c r="T3067" s="82"/>
      <c r="U3067" s="82"/>
      <c r="V3067" s="82"/>
      <c r="W3067" s="82"/>
      <c r="X3067" s="82"/>
      <c r="Y3067" s="82"/>
      <c r="Z3067" s="82"/>
      <c r="AA3067" s="82"/>
      <c r="AB3067" s="82"/>
      <c r="AC3067" s="82"/>
      <c r="AD3067" s="82"/>
      <c r="AE3067" s="82"/>
      <c r="AF3067" s="82"/>
      <c r="AG3067" s="82"/>
      <c r="AH3067" s="82"/>
      <c r="AI3067" s="82"/>
      <c r="AJ3067" s="82"/>
      <c r="AK3067" s="82"/>
      <c r="AL3067" s="82"/>
      <c r="AM3067" s="82"/>
      <c r="AN3067" s="82"/>
      <c r="AO3067" s="82"/>
      <c r="AP3067" s="82"/>
      <c r="AQ3067" s="82"/>
      <c r="AR3067" s="82"/>
      <c r="AS3067" s="82"/>
      <c r="AT3067" s="82"/>
      <c r="AU3067" s="82"/>
      <c r="AV3067" s="82"/>
      <c r="AW3067" s="82" t="str">
        <f t="shared" si="1"/>
        <v/>
      </c>
      <c r="AX3067" s="83" t="str">
        <f t="array" ref="AX3067">IFERROR(DGET('SBV Import'!A:G,"SBV",{"RSC ID","Tier";B3067,A3067}))</f>
        <v/>
      </c>
      <c r="AY3067" s="82" t="str">
        <f t="shared" si="2"/>
        <v/>
      </c>
      <c r="AZ3067" s="82"/>
      <c r="BA3067" s="84" t="s">
        <v>152</v>
      </c>
      <c r="BB3067" s="84" t="str">
        <f>IFERROR(__xludf.DUMMYFUNCTION("iferror(if(A3067="""",,E3067&gt;=FILTER(Constants!$F$2:$F$10,Constants!$A$2:$A$10=A3067)))"),"")</f>
        <v/>
      </c>
    </row>
    <row r="3068">
      <c r="A3068" s="87"/>
      <c r="B3068" s="87"/>
      <c r="C3068" s="73"/>
      <c r="D3068" s="73"/>
      <c r="E3068" s="82"/>
      <c r="F3068" s="82"/>
      <c r="G3068" s="86"/>
      <c r="H3068" s="86"/>
      <c r="I3068" s="86"/>
      <c r="J3068" s="82"/>
      <c r="K3068" s="82"/>
      <c r="L3068" s="82"/>
      <c r="M3068" s="82"/>
      <c r="N3068" s="82"/>
      <c r="O3068" s="82"/>
      <c r="P3068" s="82"/>
      <c r="Q3068" s="82"/>
      <c r="R3068" s="82"/>
      <c r="S3068" s="82"/>
      <c r="T3068" s="82"/>
      <c r="U3068" s="82"/>
      <c r="V3068" s="82"/>
      <c r="W3068" s="82"/>
      <c r="X3068" s="82"/>
      <c r="Y3068" s="82"/>
      <c r="Z3068" s="82"/>
      <c r="AA3068" s="82"/>
      <c r="AB3068" s="82"/>
      <c r="AC3068" s="82"/>
      <c r="AD3068" s="82"/>
      <c r="AE3068" s="82"/>
      <c r="AF3068" s="82"/>
      <c r="AG3068" s="82"/>
      <c r="AH3068" s="82"/>
      <c r="AI3068" s="82"/>
      <c r="AJ3068" s="82"/>
      <c r="AK3068" s="82"/>
      <c r="AL3068" s="82"/>
      <c r="AM3068" s="82"/>
      <c r="AN3068" s="82"/>
      <c r="AO3068" s="82"/>
      <c r="AP3068" s="82"/>
      <c r="AQ3068" s="82"/>
      <c r="AR3068" s="82"/>
      <c r="AS3068" s="82"/>
      <c r="AT3068" s="82"/>
      <c r="AU3068" s="82"/>
      <c r="AV3068" s="82"/>
      <c r="AW3068" s="82" t="str">
        <f t="shared" si="1"/>
        <v/>
      </c>
      <c r="AX3068" s="83" t="str">
        <f t="array" ref="AX3068">IFERROR(DGET('SBV Import'!A:G,"SBV",{"RSC ID","Tier";B3068,A3068}))</f>
        <v/>
      </c>
      <c r="AY3068" s="82" t="str">
        <f t="shared" si="2"/>
        <v/>
      </c>
      <c r="AZ3068" s="82"/>
      <c r="BA3068" s="84" t="s">
        <v>152</v>
      </c>
      <c r="BB3068" s="84" t="str">
        <f>IFERROR(__xludf.DUMMYFUNCTION("iferror(if(A3068="""",,E3068&gt;=FILTER(Constants!$F$2:$F$10,Constants!$A$2:$A$10=A3068)))"),"")</f>
        <v/>
      </c>
    </row>
    <row r="3069">
      <c r="A3069" s="87"/>
      <c r="B3069" s="87"/>
      <c r="C3069" s="73"/>
      <c r="D3069" s="73"/>
      <c r="E3069" s="82"/>
      <c r="F3069" s="82"/>
      <c r="G3069" s="86"/>
      <c r="H3069" s="86"/>
      <c r="I3069" s="86"/>
      <c r="J3069" s="82"/>
      <c r="K3069" s="82"/>
      <c r="L3069" s="82"/>
      <c r="M3069" s="82"/>
      <c r="N3069" s="82"/>
      <c r="O3069" s="82"/>
      <c r="P3069" s="82"/>
      <c r="Q3069" s="82"/>
      <c r="R3069" s="82"/>
      <c r="S3069" s="82"/>
      <c r="T3069" s="82"/>
      <c r="U3069" s="82"/>
      <c r="V3069" s="82"/>
      <c r="W3069" s="82"/>
      <c r="X3069" s="82"/>
      <c r="Y3069" s="82"/>
      <c r="Z3069" s="82"/>
      <c r="AA3069" s="82"/>
      <c r="AB3069" s="82"/>
      <c r="AC3069" s="82"/>
      <c r="AD3069" s="82"/>
      <c r="AE3069" s="82"/>
      <c r="AF3069" s="82"/>
      <c r="AG3069" s="82"/>
      <c r="AH3069" s="82"/>
      <c r="AI3069" s="82"/>
      <c r="AJ3069" s="82"/>
      <c r="AK3069" s="82"/>
      <c r="AL3069" s="82"/>
      <c r="AM3069" s="82"/>
      <c r="AN3069" s="82"/>
      <c r="AO3069" s="82"/>
      <c r="AP3069" s="82"/>
      <c r="AQ3069" s="82"/>
      <c r="AR3069" s="82"/>
      <c r="AS3069" s="82"/>
      <c r="AT3069" s="82"/>
      <c r="AU3069" s="82"/>
      <c r="AV3069" s="82"/>
      <c r="AW3069" s="82" t="str">
        <f t="shared" si="1"/>
        <v/>
      </c>
      <c r="AX3069" s="83" t="str">
        <f t="array" ref="AX3069">IFERROR(DGET('SBV Import'!A:G,"SBV",{"RSC ID","Tier";B3069,A3069}))</f>
        <v/>
      </c>
      <c r="AY3069" s="82" t="str">
        <f t="shared" si="2"/>
        <v/>
      </c>
      <c r="AZ3069" s="82"/>
      <c r="BA3069" s="84" t="s">
        <v>152</v>
      </c>
      <c r="BB3069" s="84" t="str">
        <f>IFERROR(__xludf.DUMMYFUNCTION("iferror(if(A3069="""",,E3069&gt;=FILTER(Constants!$F$2:$F$10,Constants!$A$2:$A$10=A3069)))"),"")</f>
        <v/>
      </c>
    </row>
    <row r="3070">
      <c r="A3070" s="87"/>
      <c r="B3070" s="87"/>
      <c r="C3070" s="73"/>
      <c r="D3070" s="73"/>
      <c r="E3070" s="82"/>
      <c r="F3070" s="82"/>
      <c r="G3070" s="86"/>
      <c r="H3070" s="86"/>
      <c r="I3070" s="86"/>
      <c r="J3070" s="82"/>
      <c r="K3070" s="82"/>
      <c r="L3070" s="82"/>
      <c r="M3070" s="82"/>
      <c r="N3070" s="82"/>
      <c r="O3070" s="82"/>
      <c r="P3070" s="82"/>
      <c r="Q3070" s="82"/>
      <c r="R3070" s="82"/>
      <c r="S3070" s="82"/>
      <c r="T3070" s="82"/>
      <c r="U3070" s="82"/>
      <c r="V3070" s="82"/>
      <c r="W3070" s="82"/>
      <c r="X3070" s="82"/>
      <c r="Y3070" s="82"/>
      <c r="Z3070" s="82"/>
      <c r="AA3070" s="82"/>
      <c r="AB3070" s="82"/>
      <c r="AC3070" s="82"/>
      <c r="AD3070" s="82"/>
      <c r="AE3070" s="82"/>
      <c r="AF3070" s="82"/>
      <c r="AG3070" s="82"/>
      <c r="AH3070" s="82"/>
      <c r="AI3070" s="82"/>
      <c r="AJ3070" s="82"/>
      <c r="AK3070" s="82"/>
      <c r="AL3070" s="82"/>
      <c r="AM3070" s="82"/>
      <c r="AN3070" s="82"/>
      <c r="AO3070" s="82"/>
      <c r="AP3070" s="82"/>
      <c r="AQ3070" s="82"/>
      <c r="AR3070" s="82"/>
      <c r="AS3070" s="82"/>
      <c r="AT3070" s="82"/>
      <c r="AU3070" s="82"/>
      <c r="AV3070" s="82"/>
      <c r="AW3070" s="82" t="str">
        <f t="shared" si="1"/>
        <v/>
      </c>
      <c r="AX3070" s="83" t="str">
        <f t="array" ref="AX3070">IFERROR(DGET('SBV Import'!A:G,"SBV",{"RSC ID","Tier";B3070,A3070}))</f>
        <v/>
      </c>
      <c r="AY3070" s="82" t="str">
        <f t="shared" si="2"/>
        <v/>
      </c>
      <c r="AZ3070" s="82"/>
      <c r="BA3070" s="84" t="s">
        <v>152</v>
      </c>
      <c r="BB3070" s="84" t="str">
        <f>IFERROR(__xludf.DUMMYFUNCTION("iferror(if(A3070="""",,E3070&gt;=FILTER(Constants!$F$2:$F$10,Constants!$A$2:$A$10=A3070)))"),"")</f>
        <v/>
      </c>
    </row>
    <row r="3071">
      <c r="A3071" s="87"/>
      <c r="B3071" s="87"/>
      <c r="C3071" s="73"/>
      <c r="D3071" s="73"/>
      <c r="E3071" s="82"/>
      <c r="F3071" s="82"/>
      <c r="G3071" s="86"/>
      <c r="H3071" s="86"/>
      <c r="I3071" s="86"/>
      <c r="J3071" s="82"/>
      <c r="K3071" s="82"/>
      <c r="L3071" s="82"/>
      <c r="M3071" s="82"/>
      <c r="N3071" s="82"/>
      <c r="O3071" s="82"/>
      <c r="P3071" s="82"/>
      <c r="Q3071" s="82"/>
      <c r="R3071" s="82"/>
      <c r="S3071" s="82"/>
      <c r="T3071" s="82"/>
      <c r="U3071" s="82"/>
      <c r="V3071" s="82"/>
      <c r="W3071" s="82"/>
      <c r="X3071" s="82"/>
      <c r="Y3071" s="82"/>
      <c r="Z3071" s="82"/>
      <c r="AA3071" s="82"/>
      <c r="AB3071" s="82"/>
      <c r="AC3071" s="82"/>
      <c r="AD3071" s="82"/>
      <c r="AE3071" s="82"/>
      <c r="AF3071" s="82"/>
      <c r="AG3071" s="82"/>
      <c r="AH3071" s="82"/>
      <c r="AI3071" s="82"/>
      <c r="AJ3071" s="82"/>
      <c r="AK3071" s="82"/>
      <c r="AL3071" s="82"/>
      <c r="AM3071" s="82"/>
      <c r="AN3071" s="82"/>
      <c r="AO3071" s="82"/>
      <c r="AP3071" s="82"/>
      <c r="AQ3071" s="82"/>
      <c r="AR3071" s="82"/>
      <c r="AS3071" s="82"/>
      <c r="AT3071" s="82"/>
      <c r="AU3071" s="82"/>
      <c r="AV3071" s="82"/>
      <c r="AW3071" s="82" t="str">
        <f t="shared" si="1"/>
        <v/>
      </c>
      <c r="AX3071" s="83" t="str">
        <f t="array" ref="AX3071">IFERROR(DGET('SBV Import'!A:G,"SBV",{"RSC ID","Tier";B3071,A3071}))</f>
        <v/>
      </c>
      <c r="AY3071" s="82" t="str">
        <f t="shared" si="2"/>
        <v/>
      </c>
      <c r="AZ3071" s="82"/>
      <c r="BA3071" s="84" t="s">
        <v>152</v>
      </c>
      <c r="BB3071" s="84" t="str">
        <f>IFERROR(__xludf.DUMMYFUNCTION("iferror(if(A3071="""",,E3071&gt;=FILTER(Constants!$F$2:$F$10,Constants!$A$2:$A$10=A3071)))"),"")</f>
        <v/>
      </c>
    </row>
    <row r="3072">
      <c r="A3072" s="87"/>
      <c r="B3072" s="87"/>
      <c r="C3072" s="73"/>
      <c r="D3072" s="73"/>
      <c r="E3072" s="82"/>
      <c r="F3072" s="82"/>
      <c r="G3072" s="86"/>
      <c r="H3072" s="86"/>
      <c r="I3072" s="86"/>
      <c r="J3072" s="82"/>
      <c r="K3072" s="82"/>
      <c r="L3072" s="82"/>
      <c r="M3072" s="82"/>
      <c r="N3072" s="82"/>
      <c r="O3072" s="82"/>
      <c r="P3072" s="82"/>
      <c r="Q3072" s="82"/>
      <c r="R3072" s="82"/>
      <c r="S3072" s="82"/>
      <c r="T3072" s="82"/>
      <c r="U3072" s="82"/>
      <c r="V3072" s="82"/>
      <c r="W3072" s="82"/>
      <c r="X3072" s="82"/>
      <c r="Y3072" s="82"/>
      <c r="Z3072" s="82"/>
      <c r="AA3072" s="82"/>
      <c r="AB3072" s="82"/>
      <c r="AC3072" s="82"/>
      <c r="AD3072" s="82"/>
      <c r="AE3072" s="82"/>
      <c r="AF3072" s="82"/>
      <c r="AG3072" s="82"/>
      <c r="AH3072" s="82"/>
      <c r="AI3072" s="82"/>
      <c r="AJ3072" s="82"/>
      <c r="AK3072" s="82"/>
      <c r="AL3072" s="82"/>
      <c r="AM3072" s="82"/>
      <c r="AN3072" s="82"/>
      <c r="AO3072" s="82"/>
      <c r="AP3072" s="82"/>
      <c r="AQ3072" s="82"/>
      <c r="AR3072" s="82"/>
      <c r="AS3072" s="82"/>
      <c r="AT3072" s="82"/>
      <c r="AU3072" s="82"/>
      <c r="AV3072" s="82"/>
      <c r="AW3072" s="82" t="str">
        <f t="shared" si="1"/>
        <v/>
      </c>
      <c r="AX3072" s="83" t="str">
        <f t="array" ref="AX3072">IFERROR(DGET('SBV Import'!A:G,"SBV",{"RSC ID","Tier";B3072,A3072}))</f>
        <v/>
      </c>
      <c r="AY3072" s="82" t="str">
        <f t="shared" si="2"/>
        <v/>
      </c>
      <c r="AZ3072" s="82"/>
      <c r="BA3072" s="84" t="s">
        <v>152</v>
      </c>
      <c r="BB3072" s="84" t="str">
        <f>IFERROR(__xludf.DUMMYFUNCTION("iferror(if(A3072="""",,E3072&gt;=FILTER(Constants!$F$2:$F$10,Constants!$A$2:$A$10=A3072)))"),"")</f>
        <v/>
      </c>
    </row>
    <row r="3073">
      <c r="A3073" s="87"/>
      <c r="B3073" s="87"/>
      <c r="C3073" s="73"/>
      <c r="D3073" s="73"/>
      <c r="E3073" s="82"/>
      <c r="F3073" s="82"/>
      <c r="G3073" s="86"/>
      <c r="H3073" s="86"/>
      <c r="I3073" s="86"/>
      <c r="J3073" s="82"/>
      <c r="K3073" s="82"/>
      <c r="L3073" s="82"/>
      <c r="M3073" s="82"/>
      <c r="N3073" s="82"/>
      <c r="O3073" s="82"/>
      <c r="P3073" s="82"/>
      <c r="Q3073" s="82"/>
      <c r="R3073" s="82"/>
      <c r="S3073" s="82"/>
      <c r="T3073" s="82"/>
      <c r="U3073" s="82"/>
      <c r="V3073" s="82"/>
      <c r="W3073" s="82"/>
      <c r="X3073" s="82"/>
      <c r="Y3073" s="82"/>
      <c r="Z3073" s="82"/>
      <c r="AA3073" s="82"/>
      <c r="AB3073" s="82"/>
      <c r="AC3073" s="82"/>
      <c r="AD3073" s="82"/>
      <c r="AE3073" s="82"/>
      <c r="AF3073" s="82"/>
      <c r="AG3073" s="82"/>
      <c r="AH3073" s="82"/>
      <c r="AI3073" s="82"/>
      <c r="AJ3073" s="82"/>
      <c r="AK3073" s="82"/>
      <c r="AL3073" s="82"/>
      <c r="AM3073" s="82"/>
      <c r="AN3073" s="82"/>
      <c r="AO3073" s="82"/>
      <c r="AP3073" s="82"/>
      <c r="AQ3073" s="82"/>
      <c r="AR3073" s="82"/>
      <c r="AS3073" s="82"/>
      <c r="AT3073" s="82"/>
      <c r="AU3073" s="82"/>
      <c r="AV3073" s="82"/>
      <c r="AW3073" s="82" t="str">
        <f t="shared" si="1"/>
        <v/>
      </c>
      <c r="AX3073" s="83" t="str">
        <f t="array" ref="AX3073">IFERROR(DGET('SBV Import'!A:G,"SBV",{"RSC ID","Tier";B3073,A3073}))</f>
        <v/>
      </c>
      <c r="AY3073" s="82" t="str">
        <f t="shared" si="2"/>
        <v/>
      </c>
      <c r="AZ3073" s="82"/>
      <c r="BA3073" s="84" t="s">
        <v>152</v>
      </c>
      <c r="BB3073" s="84" t="str">
        <f>IFERROR(__xludf.DUMMYFUNCTION("iferror(if(A3073="""",,E3073&gt;=FILTER(Constants!$F$2:$F$10,Constants!$A$2:$A$10=A3073)))"),"")</f>
        <v/>
      </c>
    </row>
    <row r="3074">
      <c r="A3074" s="87"/>
      <c r="B3074" s="87"/>
      <c r="C3074" s="73"/>
      <c r="D3074" s="73"/>
      <c r="E3074" s="82"/>
      <c r="F3074" s="82"/>
      <c r="G3074" s="86"/>
      <c r="H3074" s="86"/>
      <c r="I3074" s="86"/>
      <c r="J3074" s="82"/>
      <c r="K3074" s="82"/>
      <c r="L3074" s="82"/>
      <c r="M3074" s="82"/>
      <c r="N3074" s="82"/>
      <c r="O3074" s="82"/>
      <c r="P3074" s="82"/>
      <c r="Q3074" s="82"/>
      <c r="R3074" s="82"/>
      <c r="S3074" s="82"/>
      <c r="T3074" s="82"/>
      <c r="U3074" s="82"/>
      <c r="V3074" s="82"/>
      <c r="W3074" s="82"/>
      <c r="X3074" s="82"/>
      <c r="Y3074" s="82"/>
      <c r="Z3074" s="82"/>
      <c r="AA3074" s="82"/>
      <c r="AB3074" s="82"/>
      <c r="AC3074" s="82"/>
      <c r="AD3074" s="82"/>
      <c r="AE3074" s="82"/>
      <c r="AF3074" s="82"/>
      <c r="AG3074" s="82"/>
      <c r="AH3074" s="82"/>
      <c r="AI3074" s="82"/>
      <c r="AJ3074" s="82"/>
      <c r="AK3074" s="82"/>
      <c r="AL3074" s="82"/>
      <c r="AM3074" s="82"/>
      <c r="AN3074" s="82"/>
      <c r="AO3074" s="82"/>
      <c r="AP3074" s="82"/>
      <c r="AQ3074" s="82"/>
      <c r="AR3074" s="82"/>
      <c r="AS3074" s="82"/>
      <c r="AT3074" s="82"/>
      <c r="AU3074" s="82"/>
      <c r="AV3074" s="82"/>
      <c r="AW3074" s="82" t="str">
        <f t="shared" si="1"/>
        <v/>
      </c>
      <c r="AX3074" s="83" t="str">
        <f t="array" ref="AX3074">IFERROR(DGET('SBV Import'!A:G,"SBV",{"RSC ID","Tier";B3074,A3074}))</f>
        <v/>
      </c>
      <c r="AY3074" s="82" t="str">
        <f t="shared" si="2"/>
        <v/>
      </c>
      <c r="AZ3074" s="82"/>
      <c r="BA3074" s="84" t="s">
        <v>152</v>
      </c>
      <c r="BB3074" s="84" t="str">
        <f>IFERROR(__xludf.DUMMYFUNCTION("iferror(if(A3074="""",,E3074&gt;=FILTER(Constants!$F$2:$F$10,Constants!$A$2:$A$10=A3074)))"),"")</f>
        <v/>
      </c>
    </row>
    <row r="3075">
      <c r="A3075" s="87"/>
      <c r="B3075" s="87"/>
      <c r="C3075" s="73"/>
      <c r="D3075" s="73"/>
      <c r="E3075" s="82"/>
      <c r="F3075" s="82"/>
      <c r="G3075" s="86"/>
      <c r="H3075" s="86"/>
      <c r="I3075" s="86"/>
      <c r="J3075" s="82"/>
      <c r="K3075" s="82"/>
      <c r="L3075" s="82"/>
      <c r="M3075" s="82"/>
      <c r="N3075" s="82"/>
      <c r="O3075" s="82"/>
      <c r="P3075" s="82"/>
      <c r="Q3075" s="82"/>
      <c r="R3075" s="82"/>
      <c r="S3075" s="82"/>
      <c r="T3075" s="82"/>
      <c r="U3075" s="82"/>
      <c r="V3075" s="82"/>
      <c r="W3075" s="82"/>
      <c r="X3075" s="82"/>
      <c r="Y3075" s="82"/>
      <c r="Z3075" s="82"/>
      <c r="AA3075" s="82"/>
      <c r="AB3075" s="82"/>
      <c r="AC3075" s="82"/>
      <c r="AD3075" s="82"/>
      <c r="AE3075" s="82"/>
      <c r="AF3075" s="82"/>
      <c r="AG3075" s="82"/>
      <c r="AH3075" s="82"/>
      <c r="AI3075" s="82"/>
      <c r="AJ3075" s="82"/>
      <c r="AK3075" s="82"/>
      <c r="AL3075" s="82"/>
      <c r="AM3075" s="82"/>
      <c r="AN3075" s="82"/>
      <c r="AO3075" s="82"/>
      <c r="AP3075" s="82"/>
      <c r="AQ3075" s="82"/>
      <c r="AR3075" s="82"/>
      <c r="AS3075" s="82"/>
      <c r="AT3075" s="82"/>
      <c r="AU3075" s="82"/>
      <c r="AV3075" s="82"/>
      <c r="AW3075" s="82" t="str">
        <f t="shared" si="1"/>
        <v/>
      </c>
      <c r="AX3075" s="83" t="str">
        <f t="array" ref="AX3075">IFERROR(DGET('SBV Import'!A:G,"SBV",{"RSC ID","Tier";B3075,A3075}))</f>
        <v/>
      </c>
      <c r="AY3075" s="82" t="str">
        <f t="shared" si="2"/>
        <v/>
      </c>
      <c r="AZ3075" s="82"/>
      <c r="BA3075" s="84" t="s">
        <v>152</v>
      </c>
      <c r="BB3075" s="84" t="str">
        <f>IFERROR(__xludf.DUMMYFUNCTION("iferror(if(A3075="""",,E3075&gt;=FILTER(Constants!$F$2:$F$10,Constants!$A$2:$A$10=A3075)))"),"")</f>
        <v/>
      </c>
    </row>
    <row r="3076">
      <c r="A3076" s="87"/>
      <c r="B3076" s="87"/>
      <c r="C3076" s="73"/>
      <c r="D3076" s="73"/>
      <c r="E3076" s="82"/>
      <c r="F3076" s="82"/>
      <c r="G3076" s="86"/>
      <c r="H3076" s="86"/>
      <c r="I3076" s="86"/>
      <c r="J3076" s="82"/>
      <c r="K3076" s="82"/>
      <c r="L3076" s="82"/>
      <c r="M3076" s="82"/>
      <c r="N3076" s="82"/>
      <c r="O3076" s="82"/>
      <c r="P3076" s="82"/>
      <c r="Q3076" s="82"/>
      <c r="R3076" s="82"/>
      <c r="S3076" s="82"/>
      <c r="T3076" s="82"/>
      <c r="U3076" s="82"/>
      <c r="V3076" s="82"/>
      <c r="W3076" s="82"/>
      <c r="X3076" s="82"/>
      <c r="Y3076" s="82"/>
      <c r="Z3076" s="82"/>
      <c r="AA3076" s="82"/>
      <c r="AB3076" s="82"/>
      <c r="AC3076" s="82"/>
      <c r="AD3076" s="82"/>
      <c r="AE3076" s="82"/>
      <c r="AF3076" s="82"/>
      <c r="AG3076" s="82"/>
      <c r="AH3076" s="82"/>
      <c r="AI3076" s="82"/>
      <c r="AJ3076" s="82"/>
      <c r="AK3076" s="82"/>
      <c r="AL3076" s="82"/>
      <c r="AM3076" s="82"/>
      <c r="AN3076" s="82"/>
      <c r="AO3076" s="82"/>
      <c r="AP3076" s="82"/>
      <c r="AQ3076" s="82"/>
      <c r="AR3076" s="82"/>
      <c r="AS3076" s="82"/>
      <c r="AT3076" s="82"/>
      <c r="AU3076" s="82"/>
      <c r="AV3076" s="82"/>
      <c r="AW3076" s="82" t="str">
        <f t="shared" si="1"/>
        <v/>
      </c>
      <c r="AX3076" s="83" t="str">
        <f t="array" ref="AX3076">IFERROR(DGET('SBV Import'!A:G,"SBV",{"RSC ID","Tier";B3076,A3076}))</f>
        <v/>
      </c>
      <c r="AY3076" s="82" t="str">
        <f t="shared" si="2"/>
        <v/>
      </c>
      <c r="AZ3076" s="82"/>
      <c r="BA3076" s="84" t="s">
        <v>152</v>
      </c>
      <c r="BB3076" s="84" t="str">
        <f>IFERROR(__xludf.DUMMYFUNCTION("iferror(if(A3076="""",,E3076&gt;=FILTER(Constants!$F$2:$F$10,Constants!$A$2:$A$10=A3076)))"),"")</f>
        <v/>
      </c>
    </row>
    <row r="3077">
      <c r="A3077" s="87"/>
      <c r="B3077" s="87"/>
      <c r="C3077" s="73"/>
      <c r="D3077" s="73"/>
      <c r="E3077" s="82"/>
      <c r="F3077" s="82"/>
      <c r="G3077" s="86"/>
      <c r="H3077" s="86"/>
      <c r="I3077" s="86"/>
      <c r="J3077" s="82"/>
      <c r="K3077" s="82"/>
      <c r="L3077" s="82"/>
      <c r="M3077" s="82"/>
      <c r="N3077" s="82"/>
      <c r="O3077" s="82"/>
      <c r="P3077" s="82"/>
      <c r="Q3077" s="82"/>
      <c r="R3077" s="82"/>
      <c r="S3077" s="82"/>
      <c r="T3077" s="82"/>
      <c r="U3077" s="82"/>
      <c r="V3077" s="82"/>
      <c r="W3077" s="82"/>
      <c r="X3077" s="82"/>
      <c r="Y3077" s="82"/>
      <c r="Z3077" s="82"/>
      <c r="AA3077" s="82"/>
      <c r="AB3077" s="82"/>
      <c r="AC3077" s="82"/>
      <c r="AD3077" s="82"/>
      <c r="AE3077" s="82"/>
      <c r="AF3077" s="82"/>
      <c r="AG3077" s="82"/>
      <c r="AH3077" s="82"/>
      <c r="AI3077" s="82"/>
      <c r="AJ3077" s="82"/>
      <c r="AK3077" s="82"/>
      <c r="AL3077" s="82"/>
      <c r="AM3077" s="82"/>
      <c r="AN3077" s="82"/>
      <c r="AO3077" s="82"/>
      <c r="AP3077" s="82"/>
      <c r="AQ3077" s="82"/>
      <c r="AR3077" s="82"/>
      <c r="AS3077" s="82"/>
      <c r="AT3077" s="82"/>
      <c r="AU3077" s="82"/>
      <c r="AV3077" s="82"/>
      <c r="AW3077" s="82" t="str">
        <f t="shared" si="1"/>
        <v/>
      </c>
      <c r="AX3077" s="83" t="str">
        <f t="array" ref="AX3077">IFERROR(DGET('SBV Import'!A:G,"SBV",{"RSC ID","Tier";B3077,A3077}))</f>
        <v/>
      </c>
      <c r="AY3077" s="82" t="str">
        <f t="shared" si="2"/>
        <v/>
      </c>
      <c r="AZ3077" s="82"/>
      <c r="BA3077" s="84" t="s">
        <v>152</v>
      </c>
      <c r="BB3077" s="84" t="str">
        <f>IFERROR(__xludf.DUMMYFUNCTION("iferror(if(A3077="""",,E3077&gt;=FILTER(Constants!$F$2:$F$10,Constants!$A$2:$A$10=A3077)))"),"")</f>
        <v/>
      </c>
    </row>
    <row r="3078">
      <c r="A3078" s="87"/>
      <c r="B3078" s="87"/>
      <c r="C3078" s="73"/>
      <c r="D3078" s="73"/>
      <c r="E3078" s="82"/>
      <c r="F3078" s="82"/>
      <c r="G3078" s="86"/>
      <c r="H3078" s="86"/>
      <c r="I3078" s="86"/>
      <c r="J3078" s="82"/>
      <c r="K3078" s="82"/>
      <c r="L3078" s="82"/>
      <c r="M3078" s="82"/>
      <c r="N3078" s="82"/>
      <c r="O3078" s="82"/>
      <c r="P3078" s="82"/>
      <c r="Q3078" s="82"/>
      <c r="R3078" s="82"/>
      <c r="S3078" s="82"/>
      <c r="T3078" s="82"/>
      <c r="U3078" s="82"/>
      <c r="V3078" s="82"/>
      <c r="W3078" s="82"/>
      <c r="X3078" s="82"/>
      <c r="Y3078" s="82"/>
      <c r="Z3078" s="82"/>
      <c r="AA3078" s="82"/>
      <c r="AB3078" s="82"/>
      <c r="AC3078" s="82"/>
      <c r="AD3078" s="82"/>
      <c r="AE3078" s="82"/>
      <c r="AF3078" s="82"/>
      <c r="AG3078" s="82"/>
      <c r="AH3078" s="82"/>
      <c r="AI3078" s="82"/>
      <c r="AJ3078" s="82"/>
      <c r="AK3078" s="82"/>
      <c r="AL3078" s="82"/>
      <c r="AM3078" s="82"/>
      <c r="AN3078" s="82"/>
      <c r="AO3078" s="82"/>
      <c r="AP3078" s="82"/>
      <c r="AQ3078" s="82"/>
      <c r="AR3078" s="82"/>
      <c r="AS3078" s="82"/>
      <c r="AT3078" s="82"/>
      <c r="AU3078" s="82"/>
      <c r="AV3078" s="82"/>
      <c r="AW3078" s="82" t="str">
        <f t="shared" si="1"/>
        <v/>
      </c>
      <c r="AX3078" s="83" t="str">
        <f t="array" ref="AX3078">IFERROR(DGET('SBV Import'!A:G,"SBV",{"RSC ID","Tier";B3078,A3078}))</f>
        <v/>
      </c>
      <c r="AY3078" s="82" t="str">
        <f t="shared" si="2"/>
        <v/>
      </c>
      <c r="AZ3078" s="82"/>
      <c r="BA3078" s="84" t="s">
        <v>152</v>
      </c>
      <c r="BB3078" s="84" t="str">
        <f>IFERROR(__xludf.DUMMYFUNCTION("iferror(if(A3078="""",,E3078&gt;=FILTER(Constants!$F$2:$F$10,Constants!$A$2:$A$10=A3078)))"),"")</f>
        <v/>
      </c>
    </row>
    <row r="3079">
      <c r="A3079" s="87"/>
      <c r="B3079" s="87"/>
      <c r="C3079" s="73"/>
      <c r="D3079" s="73"/>
      <c r="E3079" s="82"/>
      <c r="F3079" s="82"/>
      <c r="G3079" s="86"/>
      <c r="H3079" s="86"/>
      <c r="I3079" s="86"/>
      <c r="J3079" s="82"/>
      <c r="K3079" s="82"/>
      <c r="L3079" s="82"/>
      <c r="M3079" s="82"/>
      <c r="N3079" s="82"/>
      <c r="O3079" s="82"/>
      <c r="P3079" s="82"/>
      <c r="Q3079" s="82"/>
      <c r="R3079" s="82"/>
      <c r="S3079" s="82"/>
      <c r="T3079" s="82"/>
      <c r="U3079" s="82"/>
      <c r="V3079" s="82"/>
      <c r="W3079" s="82"/>
      <c r="X3079" s="82"/>
      <c r="Y3079" s="82"/>
      <c r="Z3079" s="82"/>
      <c r="AA3079" s="82"/>
      <c r="AB3079" s="82"/>
      <c r="AC3079" s="82"/>
      <c r="AD3079" s="82"/>
      <c r="AE3079" s="82"/>
      <c r="AF3079" s="82"/>
      <c r="AG3079" s="82"/>
      <c r="AH3079" s="82"/>
      <c r="AI3079" s="82"/>
      <c r="AJ3079" s="82"/>
      <c r="AK3079" s="82"/>
      <c r="AL3079" s="82"/>
      <c r="AM3079" s="82"/>
      <c r="AN3079" s="82"/>
      <c r="AO3079" s="82"/>
      <c r="AP3079" s="82"/>
      <c r="AQ3079" s="82"/>
      <c r="AR3079" s="82"/>
      <c r="AS3079" s="82"/>
      <c r="AT3079" s="82"/>
      <c r="AU3079" s="82"/>
      <c r="AV3079" s="82"/>
      <c r="AW3079" s="82" t="str">
        <f t="shared" si="1"/>
        <v/>
      </c>
      <c r="AX3079" s="83" t="str">
        <f t="array" ref="AX3079">IFERROR(DGET('SBV Import'!A:G,"SBV",{"RSC ID","Tier";B3079,A3079}))</f>
        <v/>
      </c>
      <c r="AY3079" s="82" t="str">
        <f t="shared" si="2"/>
        <v/>
      </c>
      <c r="AZ3079" s="82"/>
      <c r="BA3079" s="84" t="s">
        <v>152</v>
      </c>
      <c r="BB3079" s="84" t="str">
        <f>IFERROR(__xludf.DUMMYFUNCTION("iferror(if(A3079="""",,E3079&gt;=FILTER(Constants!$F$2:$F$10,Constants!$A$2:$A$10=A3079)))"),"")</f>
        <v/>
      </c>
    </row>
    <row r="3080">
      <c r="A3080" s="87"/>
      <c r="B3080" s="87"/>
      <c r="C3080" s="73"/>
      <c r="D3080" s="73"/>
      <c r="E3080" s="82"/>
      <c r="F3080" s="82"/>
      <c r="G3080" s="86"/>
      <c r="H3080" s="86"/>
      <c r="I3080" s="86"/>
      <c r="J3080" s="82"/>
      <c r="K3080" s="82"/>
      <c r="L3080" s="82"/>
      <c r="M3080" s="82"/>
      <c r="N3080" s="82"/>
      <c r="O3080" s="82"/>
      <c r="P3080" s="82"/>
      <c r="Q3080" s="82"/>
      <c r="R3080" s="82"/>
      <c r="S3080" s="82"/>
      <c r="T3080" s="82"/>
      <c r="U3080" s="82"/>
      <c r="V3080" s="82"/>
      <c r="W3080" s="82"/>
      <c r="X3080" s="82"/>
      <c r="Y3080" s="82"/>
      <c r="Z3080" s="82"/>
      <c r="AA3080" s="82"/>
      <c r="AB3080" s="82"/>
      <c r="AC3080" s="82"/>
      <c r="AD3080" s="82"/>
      <c r="AE3080" s="82"/>
      <c r="AF3080" s="82"/>
      <c r="AG3080" s="82"/>
      <c r="AH3080" s="82"/>
      <c r="AI3080" s="82"/>
      <c r="AJ3080" s="82"/>
      <c r="AK3080" s="82"/>
      <c r="AL3080" s="82"/>
      <c r="AM3080" s="82"/>
      <c r="AN3080" s="82"/>
      <c r="AO3080" s="82"/>
      <c r="AP3080" s="82"/>
      <c r="AQ3080" s="82"/>
      <c r="AR3080" s="82"/>
      <c r="AS3080" s="82"/>
      <c r="AT3080" s="82"/>
      <c r="AU3080" s="82"/>
      <c r="AV3080" s="82"/>
      <c r="AW3080" s="82" t="str">
        <f t="shared" si="1"/>
        <v/>
      </c>
      <c r="AX3080" s="83" t="str">
        <f t="array" ref="AX3080">IFERROR(DGET('SBV Import'!A:G,"SBV",{"RSC ID","Tier";B3080,A3080}))</f>
        <v/>
      </c>
      <c r="AY3080" s="82" t="str">
        <f t="shared" si="2"/>
        <v/>
      </c>
      <c r="AZ3080" s="82"/>
      <c r="BA3080" s="84" t="s">
        <v>152</v>
      </c>
      <c r="BB3080" s="84" t="str">
        <f>IFERROR(__xludf.DUMMYFUNCTION("iferror(if(A3080="""",,E3080&gt;=FILTER(Constants!$F$2:$F$10,Constants!$A$2:$A$10=A3080)))"),"")</f>
        <v/>
      </c>
    </row>
    <row r="3081">
      <c r="A3081" s="87"/>
      <c r="B3081" s="87"/>
      <c r="C3081" s="73"/>
      <c r="D3081" s="73"/>
      <c r="E3081" s="82"/>
      <c r="F3081" s="82"/>
      <c r="G3081" s="86"/>
      <c r="H3081" s="86"/>
      <c r="I3081" s="86"/>
      <c r="J3081" s="82"/>
      <c r="K3081" s="82"/>
      <c r="L3081" s="82"/>
      <c r="M3081" s="82"/>
      <c r="N3081" s="82"/>
      <c r="O3081" s="82"/>
      <c r="P3081" s="82"/>
      <c r="Q3081" s="82"/>
      <c r="R3081" s="82"/>
      <c r="S3081" s="82"/>
      <c r="T3081" s="82"/>
      <c r="U3081" s="82"/>
      <c r="V3081" s="82"/>
      <c r="W3081" s="82"/>
      <c r="X3081" s="82"/>
      <c r="Y3081" s="82"/>
      <c r="Z3081" s="82"/>
      <c r="AA3081" s="82"/>
      <c r="AB3081" s="82"/>
      <c r="AC3081" s="82"/>
      <c r="AD3081" s="82"/>
      <c r="AE3081" s="82"/>
      <c r="AF3081" s="82"/>
      <c r="AG3081" s="82"/>
      <c r="AH3081" s="82"/>
      <c r="AI3081" s="82"/>
      <c r="AJ3081" s="82"/>
      <c r="AK3081" s="82"/>
      <c r="AL3081" s="82"/>
      <c r="AM3081" s="82"/>
      <c r="AN3081" s="82"/>
      <c r="AO3081" s="82"/>
      <c r="AP3081" s="82"/>
      <c r="AQ3081" s="82"/>
      <c r="AR3081" s="82"/>
      <c r="AS3081" s="82"/>
      <c r="AT3081" s="82"/>
      <c r="AU3081" s="82"/>
      <c r="AV3081" s="82"/>
      <c r="AW3081" s="82" t="str">
        <f t="shared" si="1"/>
        <v/>
      </c>
      <c r="AX3081" s="83" t="str">
        <f t="array" ref="AX3081">IFERROR(DGET('SBV Import'!A:G,"SBV",{"RSC ID","Tier";B3081,A3081}))</f>
        <v/>
      </c>
      <c r="AY3081" s="82" t="str">
        <f t="shared" si="2"/>
        <v/>
      </c>
      <c r="AZ3081" s="82"/>
      <c r="BA3081" s="84" t="s">
        <v>152</v>
      </c>
      <c r="BB3081" s="84" t="str">
        <f>IFERROR(__xludf.DUMMYFUNCTION("iferror(if(A3081="""",,E3081&gt;=FILTER(Constants!$F$2:$F$10,Constants!$A$2:$A$10=A3081)))"),"")</f>
        <v/>
      </c>
    </row>
    <row r="3082">
      <c r="A3082" s="87"/>
      <c r="B3082" s="87"/>
      <c r="C3082" s="73"/>
      <c r="D3082" s="73"/>
      <c r="E3082" s="82"/>
      <c r="F3082" s="82"/>
      <c r="G3082" s="86"/>
      <c r="H3082" s="86"/>
      <c r="I3082" s="86"/>
      <c r="J3082" s="82"/>
      <c r="K3082" s="82"/>
      <c r="L3082" s="82"/>
      <c r="M3082" s="82"/>
      <c r="N3082" s="82"/>
      <c r="O3082" s="82"/>
      <c r="P3082" s="82"/>
      <c r="Q3082" s="82"/>
      <c r="R3082" s="82"/>
      <c r="S3082" s="82"/>
      <c r="T3082" s="82"/>
      <c r="U3082" s="82"/>
      <c r="V3082" s="82"/>
      <c r="W3082" s="82"/>
      <c r="X3082" s="82"/>
      <c r="Y3082" s="82"/>
      <c r="Z3082" s="82"/>
      <c r="AA3082" s="82"/>
      <c r="AB3082" s="82"/>
      <c r="AC3082" s="82"/>
      <c r="AD3082" s="82"/>
      <c r="AE3082" s="82"/>
      <c r="AF3082" s="82"/>
      <c r="AG3082" s="82"/>
      <c r="AH3082" s="82"/>
      <c r="AI3082" s="82"/>
      <c r="AJ3082" s="82"/>
      <c r="AK3082" s="82"/>
      <c r="AL3082" s="82"/>
      <c r="AM3082" s="82"/>
      <c r="AN3082" s="82"/>
      <c r="AO3082" s="82"/>
      <c r="AP3082" s="82"/>
      <c r="AQ3082" s="82"/>
      <c r="AR3082" s="82"/>
      <c r="AS3082" s="82"/>
      <c r="AT3082" s="82"/>
      <c r="AU3082" s="82"/>
      <c r="AV3082" s="82"/>
      <c r="AW3082" s="82" t="str">
        <f t="shared" si="1"/>
        <v/>
      </c>
      <c r="AX3082" s="83" t="str">
        <f t="array" ref="AX3082">IFERROR(DGET('SBV Import'!A:G,"SBV",{"RSC ID","Tier";B3082,A3082}))</f>
        <v/>
      </c>
      <c r="AY3082" s="82" t="str">
        <f t="shared" si="2"/>
        <v/>
      </c>
      <c r="AZ3082" s="82"/>
      <c r="BA3082" s="84" t="s">
        <v>152</v>
      </c>
      <c r="BB3082" s="84" t="str">
        <f>IFERROR(__xludf.DUMMYFUNCTION("iferror(if(A3082="""",,E3082&gt;=FILTER(Constants!$F$2:$F$10,Constants!$A$2:$A$10=A3082)))"),"")</f>
        <v/>
      </c>
    </row>
    <row r="3083">
      <c r="A3083" s="87"/>
      <c r="B3083" s="87"/>
      <c r="C3083" s="73"/>
      <c r="D3083" s="73"/>
      <c r="E3083" s="82"/>
      <c r="F3083" s="82"/>
      <c r="G3083" s="86"/>
      <c r="H3083" s="86"/>
      <c r="I3083" s="86"/>
      <c r="J3083" s="82"/>
      <c r="K3083" s="82"/>
      <c r="L3083" s="82"/>
      <c r="M3083" s="82"/>
      <c r="N3083" s="82"/>
      <c r="O3083" s="82"/>
      <c r="P3083" s="82"/>
      <c r="Q3083" s="82"/>
      <c r="R3083" s="82"/>
      <c r="S3083" s="82"/>
      <c r="T3083" s="82"/>
      <c r="U3083" s="82"/>
      <c r="V3083" s="82"/>
      <c r="W3083" s="82"/>
      <c r="X3083" s="82"/>
      <c r="Y3083" s="82"/>
      <c r="Z3083" s="82"/>
      <c r="AA3083" s="82"/>
      <c r="AB3083" s="82"/>
      <c r="AC3083" s="82"/>
      <c r="AD3083" s="82"/>
      <c r="AE3083" s="82"/>
      <c r="AF3083" s="82"/>
      <c r="AG3083" s="82"/>
      <c r="AH3083" s="82"/>
      <c r="AI3083" s="82"/>
      <c r="AJ3083" s="82"/>
      <c r="AK3083" s="82"/>
      <c r="AL3083" s="82"/>
      <c r="AM3083" s="82"/>
      <c r="AN3083" s="82"/>
      <c r="AO3083" s="82"/>
      <c r="AP3083" s="82"/>
      <c r="AQ3083" s="82"/>
      <c r="AR3083" s="82"/>
      <c r="AS3083" s="82"/>
      <c r="AT3083" s="82"/>
      <c r="AU3083" s="82"/>
      <c r="AV3083" s="82"/>
      <c r="AW3083" s="82" t="str">
        <f t="shared" si="1"/>
        <v/>
      </c>
      <c r="AX3083" s="83" t="str">
        <f t="array" ref="AX3083">IFERROR(DGET('SBV Import'!A:G,"SBV",{"RSC ID","Tier";B3083,A3083}))</f>
        <v/>
      </c>
      <c r="AY3083" s="82" t="str">
        <f t="shared" si="2"/>
        <v/>
      </c>
      <c r="AZ3083" s="82"/>
      <c r="BA3083" s="84" t="s">
        <v>152</v>
      </c>
      <c r="BB3083" s="84" t="str">
        <f>IFERROR(__xludf.DUMMYFUNCTION("iferror(if(A3083="""",,E3083&gt;=FILTER(Constants!$F$2:$F$10,Constants!$A$2:$A$10=A3083)))"),"")</f>
        <v/>
      </c>
    </row>
    <row r="3084">
      <c r="A3084" s="87"/>
      <c r="B3084" s="87"/>
      <c r="C3084" s="73"/>
      <c r="D3084" s="73"/>
      <c r="E3084" s="82"/>
      <c r="F3084" s="82"/>
      <c r="G3084" s="86"/>
      <c r="H3084" s="86"/>
      <c r="I3084" s="86"/>
      <c r="J3084" s="82"/>
      <c r="K3084" s="82"/>
      <c r="L3084" s="82"/>
      <c r="M3084" s="82"/>
      <c r="N3084" s="82"/>
      <c r="O3084" s="82"/>
      <c r="P3084" s="82"/>
      <c r="Q3084" s="82"/>
      <c r="R3084" s="82"/>
      <c r="S3084" s="82"/>
      <c r="T3084" s="82"/>
      <c r="U3084" s="82"/>
      <c r="V3084" s="82"/>
      <c r="W3084" s="82"/>
      <c r="X3084" s="82"/>
      <c r="Y3084" s="82"/>
      <c r="Z3084" s="82"/>
      <c r="AA3084" s="82"/>
      <c r="AB3084" s="82"/>
      <c r="AC3084" s="82"/>
      <c r="AD3084" s="82"/>
      <c r="AE3084" s="82"/>
      <c r="AF3084" s="82"/>
      <c r="AG3084" s="82"/>
      <c r="AH3084" s="82"/>
      <c r="AI3084" s="82"/>
      <c r="AJ3084" s="82"/>
      <c r="AK3084" s="82"/>
      <c r="AL3084" s="82"/>
      <c r="AM3084" s="82"/>
      <c r="AN3084" s="82"/>
      <c r="AO3084" s="82"/>
      <c r="AP3084" s="82"/>
      <c r="AQ3084" s="82"/>
      <c r="AR3084" s="82"/>
      <c r="AS3084" s="82"/>
      <c r="AT3084" s="82"/>
      <c r="AU3084" s="82"/>
      <c r="AV3084" s="82"/>
      <c r="AW3084" s="82" t="str">
        <f t="shared" si="1"/>
        <v/>
      </c>
      <c r="AX3084" s="83" t="str">
        <f t="array" ref="AX3084">IFERROR(DGET('SBV Import'!A:G,"SBV",{"RSC ID","Tier";B3084,A3084}))</f>
        <v/>
      </c>
      <c r="AY3084" s="82" t="str">
        <f t="shared" si="2"/>
        <v/>
      </c>
      <c r="AZ3084" s="82"/>
      <c r="BA3084" s="84" t="s">
        <v>152</v>
      </c>
      <c r="BB3084" s="84" t="str">
        <f>IFERROR(__xludf.DUMMYFUNCTION("iferror(if(A3084="""",,E3084&gt;=FILTER(Constants!$F$2:$F$10,Constants!$A$2:$A$10=A3084)))"),"")</f>
        <v/>
      </c>
    </row>
    <row r="3085">
      <c r="A3085" s="87"/>
      <c r="B3085" s="87"/>
      <c r="C3085" s="73"/>
      <c r="D3085" s="73"/>
      <c r="E3085" s="82"/>
      <c r="F3085" s="82"/>
      <c r="G3085" s="86"/>
      <c r="H3085" s="86"/>
      <c r="I3085" s="86"/>
      <c r="J3085" s="82"/>
      <c r="K3085" s="82"/>
      <c r="L3085" s="82"/>
      <c r="M3085" s="82"/>
      <c r="N3085" s="82"/>
      <c r="O3085" s="82"/>
      <c r="P3085" s="82"/>
      <c r="Q3085" s="82"/>
      <c r="R3085" s="82"/>
      <c r="S3085" s="82"/>
      <c r="T3085" s="82"/>
      <c r="U3085" s="82"/>
      <c r="V3085" s="82"/>
      <c r="W3085" s="82"/>
      <c r="X3085" s="82"/>
      <c r="Y3085" s="82"/>
      <c r="Z3085" s="82"/>
      <c r="AA3085" s="82"/>
      <c r="AB3085" s="82"/>
      <c r="AC3085" s="82"/>
      <c r="AD3085" s="82"/>
      <c r="AE3085" s="82"/>
      <c r="AF3085" s="82"/>
      <c r="AG3085" s="82"/>
      <c r="AH3085" s="82"/>
      <c r="AI3085" s="82"/>
      <c r="AJ3085" s="82"/>
      <c r="AK3085" s="82"/>
      <c r="AL3085" s="82"/>
      <c r="AM3085" s="82"/>
      <c r="AN3085" s="82"/>
      <c r="AO3085" s="82"/>
      <c r="AP3085" s="82"/>
      <c r="AQ3085" s="82"/>
      <c r="AR3085" s="82"/>
      <c r="AS3085" s="82"/>
      <c r="AT3085" s="82"/>
      <c r="AU3085" s="82"/>
      <c r="AV3085" s="82"/>
      <c r="AW3085" s="82" t="str">
        <f t="shared" si="1"/>
        <v/>
      </c>
      <c r="AX3085" s="83" t="str">
        <f t="array" ref="AX3085">IFERROR(DGET('SBV Import'!A:G,"SBV",{"RSC ID","Tier";B3085,A3085}))</f>
        <v/>
      </c>
      <c r="AY3085" s="82" t="str">
        <f t="shared" si="2"/>
        <v/>
      </c>
      <c r="AZ3085" s="82"/>
      <c r="BA3085" s="84" t="s">
        <v>152</v>
      </c>
      <c r="BB3085" s="84" t="str">
        <f>IFERROR(__xludf.DUMMYFUNCTION("iferror(if(A3085="""",,E3085&gt;=FILTER(Constants!$F$2:$F$10,Constants!$A$2:$A$10=A3085)))"),"")</f>
        <v/>
      </c>
    </row>
    <row r="3086">
      <c r="A3086" s="87"/>
      <c r="B3086" s="87"/>
      <c r="C3086" s="73"/>
      <c r="D3086" s="73"/>
      <c r="E3086" s="82"/>
      <c r="F3086" s="82"/>
      <c r="G3086" s="86"/>
      <c r="H3086" s="86"/>
      <c r="I3086" s="86"/>
      <c r="J3086" s="82"/>
      <c r="K3086" s="82"/>
      <c r="L3086" s="82"/>
      <c r="M3086" s="82"/>
      <c r="N3086" s="82"/>
      <c r="O3086" s="82"/>
      <c r="P3086" s="82"/>
      <c r="Q3086" s="82"/>
      <c r="R3086" s="82"/>
      <c r="S3086" s="82"/>
      <c r="T3086" s="82"/>
      <c r="U3086" s="82"/>
      <c r="V3086" s="82"/>
      <c r="W3086" s="82"/>
      <c r="X3086" s="82"/>
      <c r="Y3086" s="82"/>
      <c r="Z3086" s="82"/>
      <c r="AA3086" s="82"/>
      <c r="AB3086" s="82"/>
      <c r="AC3086" s="82"/>
      <c r="AD3086" s="82"/>
      <c r="AE3086" s="82"/>
      <c r="AF3086" s="82"/>
      <c r="AG3086" s="82"/>
      <c r="AH3086" s="82"/>
      <c r="AI3086" s="82"/>
      <c r="AJ3086" s="82"/>
      <c r="AK3086" s="82"/>
      <c r="AL3086" s="82"/>
      <c r="AM3086" s="82"/>
      <c r="AN3086" s="82"/>
      <c r="AO3086" s="82"/>
      <c r="AP3086" s="82"/>
      <c r="AQ3086" s="82"/>
      <c r="AR3086" s="82"/>
      <c r="AS3086" s="82"/>
      <c r="AT3086" s="82"/>
      <c r="AU3086" s="82"/>
      <c r="AV3086" s="82"/>
      <c r="AW3086" s="82" t="str">
        <f t="shared" si="1"/>
        <v/>
      </c>
      <c r="AX3086" s="83" t="str">
        <f t="array" ref="AX3086">IFERROR(DGET('SBV Import'!A:G,"SBV",{"RSC ID","Tier";B3086,A3086}))</f>
        <v/>
      </c>
      <c r="AY3086" s="82" t="str">
        <f t="shared" si="2"/>
        <v/>
      </c>
      <c r="AZ3086" s="82"/>
      <c r="BA3086" s="84" t="s">
        <v>152</v>
      </c>
      <c r="BB3086" s="84" t="str">
        <f>IFERROR(__xludf.DUMMYFUNCTION("iferror(if(A3086="""",,E3086&gt;=FILTER(Constants!$F$2:$F$10,Constants!$A$2:$A$10=A3086)))"),"")</f>
        <v/>
      </c>
    </row>
    <row r="3087">
      <c r="A3087" s="87"/>
      <c r="B3087" s="87"/>
      <c r="C3087" s="73"/>
      <c r="D3087" s="73"/>
      <c r="E3087" s="82"/>
      <c r="F3087" s="82"/>
      <c r="G3087" s="86"/>
      <c r="H3087" s="86"/>
      <c r="I3087" s="86"/>
      <c r="J3087" s="82"/>
      <c r="K3087" s="82"/>
      <c r="L3087" s="82"/>
      <c r="M3087" s="82"/>
      <c r="N3087" s="82"/>
      <c r="O3087" s="82"/>
      <c r="P3087" s="82"/>
      <c r="Q3087" s="82"/>
      <c r="R3087" s="82"/>
      <c r="S3087" s="82"/>
      <c r="T3087" s="82"/>
      <c r="U3087" s="82"/>
      <c r="V3087" s="82"/>
      <c r="W3087" s="82"/>
      <c r="X3087" s="82"/>
      <c r="Y3087" s="82"/>
      <c r="Z3087" s="82"/>
      <c r="AA3087" s="82"/>
      <c r="AB3087" s="82"/>
      <c r="AC3087" s="82"/>
      <c r="AD3087" s="82"/>
      <c r="AE3087" s="82"/>
      <c r="AF3087" s="82"/>
      <c r="AG3087" s="82"/>
      <c r="AH3087" s="82"/>
      <c r="AI3087" s="82"/>
      <c r="AJ3087" s="82"/>
      <c r="AK3087" s="82"/>
      <c r="AL3087" s="82"/>
      <c r="AM3087" s="82"/>
      <c r="AN3087" s="82"/>
      <c r="AO3087" s="82"/>
      <c r="AP3087" s="82"/>
      <c r="AQ3087" s="82"/>
      <c r="AR3087" s="82"/>
      <c r="AS3087" s="82"/>
      <c r="AT3087" s="82"/>
      <c r="AU3087" s="82"/>
      <c r="AV3087" s="82"/>
      <c r="AW3087" s="82" t="str">
        <f t="shared" si="1"/>
        <v/>
      </c>
      <c r="AX3087" s="83" t="str">
        <f t="array" ref="AX3087">IFERROR(DGET('SBV Import'!A:G,"SBV",{"RSC ID","Tier";B3087,A3087}))</f>
        <v/>
      </c>
      <c r="AY3087" s="82" t="str">
        <f t="shared" si="2"/>
        <v/>
      </c>
      <c r="AZ3087" s="82"/>
      <c r="BA3087" s="84" t="s">
        <v>152</v>
      </c>
      <c r="BB3087" s="84" t="str">
        <f>IFERROR(__xludf.DUMMYFUNCTION("iferror(if(A3087="""",,E3087&gt;=FILTER(Constants!$F$2:$F$10,Constants!$A$2:$A$10=A3087)))"),"")</f>
        <v/>
      </c>
    </row>
    <row r="3088">
      <c r="A3088" s="87"/>
      <c r="B3088" s="87"/>
      <c r="C3088" s="73"/>
      <c r="D3088" s="73"/>
      <c r="E3088" s="82"/>
      <c r="F3088" s="82"/>
      <c r="G3088" s="86"/>
      <c r="H3088" s="86"/>
      <c r="I3088" s="86"/>
      <c r="J3088" s="82"/>
      <c r="K3088" s="82"/>
      <c r="L3088" s="82"/>
      <c r="M3088" s="82"/>
      <c r="N3088" s="82"/>
      <c r="O3088" s="82"/>
      <c r="P3088" s="82"/>
      <c r="Q3088" s="82"/>
      <c r="R3088" s="82"/>
      <c r="S3088" s="82"/>
      <c r="T3088" s="82"/>
      <c r="U3088" s="82"/>
      <c r="V3088" s="82"/>
      <c r="W3088" s="82"/>
      <c r="X3088" s="82"/>
      <c r="Y3088" s="82"/>
      <c r="Z3088" s="82"/>
      <c r="AA3088" s="82"/>
      <c r="AB3088" s="82"/>
      <c r="AC3088" s="82"/>
      <c r="AD3088" s="82"/>
      <c r="AE3088" s="82"/>
      <c r="AF3088" s="82"/>
      <c r="AG3088" s="82"/>
      <c r="AH3088" s="82"/>
      <c r="AI3088" s="82"/>
      <c r="AJ3088" s="82"/>
      <c r="AK3088" s="82"/>
      <c r="AL3088" s="82"/>
      <c r="AM3088" s="82"/>
      <c r="AN3088" s="82"/>
      <c r="AO3088" s="82"/>
      <c r="AP3088" s="82"/>
      <c r="AQ3088" s="82"/>
      <c r="AR3088" s="82"/>
      <c r="AS3088" s="82"/>
      <c r="AT3088" s="82"/>
      <c r="AU3088" s="82"/>
      <c r="AV3088" s="82"/>
      <c r="AW3088" s="82" t="str">
        <f t="shared" si="1"/>
        <v/>
      </c>
      <c r="AX3088" s="83" t="str">
        <f t="array" ref="AX3088">IFERROR(DGET('SBV Import'!A:G,"SBV",{"RSC ID","Tier";B3088,A3088}))</f>
        <v/>
      </c>
      <c r="AY3088" s="82" t="str">
        <f t="shared" si="2"/>
        <v/>
      </c>
      <c r="AZ3088" s="82"/>
      <c r="BA3088" s="84" t="s">
        <v>152</v>
      </c>
      <c r="BB3088" s="84" t="str">
        <f>IFERROR(__xludf.DUMMYFUNCTION("iferror(if(A3088="""",,E3088&gt;=FILTER(Constants!$F$2:$F$10,Constants!$A$2:$A$10=A3088)))"),"")</f>
        <v/>
      </c>
    </row>
    <row r="3089">
      <c r="A3089" s="87"/>
      <c r="B3089" s="87"/>
      <c r="C3089" s="73"/>
      <c r="D3089" s="73"/>
      <c r="E3089" s="82"/>
      <c r="F3089" s="82"/>
      <c r="G3089" s="86"/>
      <c r="H3089" s="86"/>
      <c r="I3089" s="86"/>
      <c r="J3089" s="82"/>
      <c r="K3089" s="82"/>
      <c r="L3089" s="82"/>
      <c r="M3089" s="82"/>
      <c r="N3089" s="82"/>
      <c r="O3089" s="82"/>
      <c r="P3089" s="82"/>
      <c r="Q3089" s="82"/>
      <c r="R3089" s="82"/>
      <c r="S3089" s="82"/>
      <c r="T3089" s="82"/>
      <c r="U3089" s="82"/>
      <c r="V3089" s="82"/>
      <c r="W3089" s="82"/>
      <c r="X3089" s="82"/>
      <c r="Y3089" s="82"/>
      <c r="Z3089" s="82"/>
      <c r="AA3089" s="82"/>
      <c r="AB3089" s="82"/>
      <c r="AC3089" s="82"/>
      <c r="AD3089" s="82"/>
      <c r="AE3089" s="82"/>
      <c r="AF3089" s="82"/>
      <c r="AG3089" s="82"/>
      <c r="AH3089" s="82"/>
      <c r="AI3089" s="82"/>
      <c r="AJ3089" s="82"/>
      <c r="AK3089" s="82"/>
      <c r="AL3089" s="82"/>
      <c r="AM3089" s="82"/>
      <c r="AN3089" s="82"/>
      <c r="AO3089" s="82"/>
      <c r="AP3089" s="82"/>
      <c r="AQ3089" s="82"/>
      <c r="AR3089" s="82"/>
      <c r="AS3089" s="82"/>
      <c r="AT3089" s="82"/>
      <c r="AU3089" s="82"/>
      <c r="AV3089" s="82"/>
      <c r="AW3089" s="82" t="str">
        <f t="shared" si="1"/>
        <v/>
      </c>
      <c r="AX3089" s="83" t="str">
        <f t="array" ref="AX3089">IFERROR(DGET('SBV Import'!A:G,"SBV",{"RSC ID","Tier";B3089,A3089}))</f>
        <v/>
      </c>
      <c r="AY3089" s="82" t="str">
        <f t="shared" si="2"/>
        <v/>
      </c>
      <c r="AZ3089" s="82"/>
      <c r="BA3089" s="84" t="s">
        <v>152</v>
      </c>
      <c r="BB3089" s="84" t="str">
        <f>IFERROR(__xludf.DUMMYFUNCTION("iferror(if(A3089="""",,E3089&gt;=FILTER(Constants!$F$2:$F$10,Constants!$A$2:$A$10=A3089)))"),"")</f>
        <v/>
      </c>
    </row>
    <row r="3090">
      <c r="A3090" s="87"/>
      <c r="B3090" s="87"/>
      <c r="C3090" s="73"/>
      <c r="D3090" s="73"/>
      <c r="E3090" s="82"/>
      <c r="F3090" s="82"/>
      <c r="G3090" s="86"/>
      <c r="H3090" s="86"/>
      <c r="I3090" s="86"/>
      <c r="J3090" s="82"/>
      <c r="K3090" s="82"/>
      <c r="L3090" s="82"/>
      <c r="M3090" s="82"/>
      <c r="N3090" s="82"/>
      <c r="O3090" s="82"/>
      <c r="P3090" s="82"/>
      <c r="Q3090" s="82"/>
      <c r="R3090" s="82"/>
      <c r="S3090" s="82"/>
      <c r="T3090" s="82"/>
      <c r="U3090" s="82"/>
      <c r="V3090" s="82"/>
      <c r="W3090" s="82"/>
      <c r="X3090" s="82"/>
      <c r="Y3090" s="82"/>
      <c r="Z3090" s="82"/>
      <c r="AA3090" s="82"/>
      <c r="AB3090" s="82"/>
      <c r="AC3090" s="82"/>
      <c r="AD3090" s="82"/>
      <c r="AE3090" s="82"/>
      <c r="AF3090" s="82"/>
      <c r="AG3090" s="82"/>
      <c r="AH3090" s="82"/>
      <c r="AI3090" s="82"/>
      <c r="AJ3090" s="82"/>
      <c r="AK3090" s="82"/>
      <c r="AL3090" s="82"/>
      <c r="AM3090" s="82"/>
      <c r="AN3090" s="82"/>
      <c r="AO3090" s="82"/>
      <c r="AP3090" s="82"/>
      <c r="AQ3090" s="82"/>
      <c r="AR3090" s="82"/>
      <c r="AS3090" s="82"/>
      <c r="AT3090" s="82"/>
      <c r="AU3090" s="82"/>
      <c r="AV3090" s="82"/>
      <c r="AW3090" s="82" t="str">
        <f t="shared" si="1"/>
        <v/>
      </c>
      <c r="AX3090" s="83" t="str">
        <f t="array" ref="AX3090">IFERROR(DGET('SBV Import'!A:G,"SBV",{"RSC ID","Tier";B3090,A3090}))</f>
        <v/>
      </c>
      <c r="AY3090" s="82" t="str">
        <f t="shared" si="2"/>
        <v/>
      </c>
      <c r="AZ3090" s="82"/>
      <c r="BA3090" s="84" t="s">
        <v>152</v>
      </c>
      <c r="BB3090" s="84" t="str">
        <f>IFERROR(__xludf.DUMMYFUNCTION("iferror(if(A3090="""",,E3090&gt;=FILTER(Constants!$F$2:$F$10,Constants!$A$2:$A$10=A3090)))"),"")</f>
        <v/>
      </c>
    </row>
    <row r="3091">
      <c r="A3091" s="87"/>
      <c r="B3091" s="87"/>
      <c r="C3091" s="73"/>
      <c r="D3091" s="73"/>
      <c r="E3091" s="82"/>
      <c r="F3091" s="82"/>
      <c r="G3091" s="86"/>
      <c r="H3091" s="86"/>
      <c r="I3091" s="86"/>
      <c r="J3091" s="82"/>
      <c r="K3091" s="82"/>
      <c r="L3091" s="82"/>
      <c r="M3091" s="82"/>
      <c r="N3091" s="82"/>
      <c r="O3091" s="82"/>
      <c r="P3091" s="82"/>
      <c r="Q3091" s="82"/>
      <c r="R3091" s="82"/>
      <c r="S3091" s="82"/>
      <c r="T3091" s="82"/>
      <c r="U3091" s="82"/>
      <c r="V3091" s="82"/>
      <c r="W3091" s="82"/>
      <c r="X3091" s="82"/>
      <c r="Y3091" s="82"/>
      <c r="Z3091" s="82"/>
      <c r="AA3091" s="82"/>
      <c r="AB3091" s="82"/>
      <c r="AC3091" s="82"/>
      <c r="AD3091" s="82"/>
      <c r="AE3091" s="82"/>
      <c r="AF3091" s="82"/>
      <c r="AG3091" s="82"/>
      <c r="AH3091" s="82"/>
      <c r="AI3091" s="82"/>
      <c r="AJ3091" s="82"/>
      <c r="AK3091" s="82"/>
      <c r="AL3091" s="82"/>
      <c r="AM3091" s="82"/>
      <c r="AN3091" s="82"/>
      <c r="AO3091" s="82"/>
      <c r="AP3091" s="82"/>
      <c r="AQ3091" s="82"/>
      <c r="AR3091" s="82"/>
      <c r="AS3091" s="82"/>
      <c r="AT3091" s="82"/>
      <c r="AU3091" s="82"/>
      <c r="AV3091" s="82"/>
      <c r="AW3091" s="82" t="str">
        <f t="shared" si="1"/>
        <v/>
      </c>
      <c r="AX3091" s="83" t="str">
        <f t="array" ref="AX3091">IFERROR(DGET('SBV Import'!A:G,"SBV",{"RSC ID","Tier";B3091,A3091}))</f>
        <v/>
      </c>
      <c r="AY3091" s="82" t="str">
        <f t="shared" si="2"/>
        <v/>
      </c>
      <c r="AZ3091" s="82"/>
      <c r="BA3091" s="84" t="s">
        <v>152</v>
      </c>
      <c r="BB3091" s="84" t="str">
        <f>IFERROR(__xludf.DUMMYFUNCTION("iferror(if(A3091="""",,E3091&gt;=FILTER(Constants!$F$2:$F$10,Constants!$A$2:$A$10=A3091)))"),"")</f>
        <v/>
      </c>
    </row>
    <row r="3092">
      <c r="A3092" s="87"/>
      <c r="B3092" s="87"/>
      <c r="C3092" s="73"/>
      <c r="D3092" s="73"/>
      <c r="E3092" s="82"/>
      <c r="F3092" s="82"/>
      <c r="G3092" s="86"/>
      <c r="H3092" s="86"/>
      <c r="I3092" s="86"/>
      <c r="J3092" s="82"/>
      <c r="K3092" s="82"/>
      <c r="L3092" s="82"/>
      <c r="M3092" s="82"/>
      <c r="N3092" s="82"/>
      <c r="O3092" s="82"/>
      <c r="P3092" s="82"/>
      <c r="Q3092" s="82"/>
      <c r="R3092" s="82"/>
      <c r="S3092" s="82"/>
      <c r="T3092" s="82"/>
      <c r="U3092" s="82"/>
      <c r="V3092" s="82"/>
      <c r="W3092" s="82"/>
      <c r="X3092" s="82"/>
      <c r="Y3092" s="82"/>
      <c r="Z3092" s="82"/>
      <c r="AA3092" s="82"/>
      <c r="AB3092" s="82"/>
      <c r="AC3092" s="82"/>
      <c r="AD3092" s="82"/>
      <c r="AE3092" s="82"/>
      <c r="AF3092" s="82"/>
      <c r="AG3092" s="82"/>
      <c r="AH3092" s="82"/>
      <c r="AI3092" s="82"/>
      <c r="AJ3092" s="82"/>
      <c r="AK3092" s="82"/>
      <c r="AL3092" s="82"/>
      <c r="AM3092" s="82"/>
      <c r="AN3092" s="82"/>
      <c r="AO3092" s="82"/>
      <c r="AP3092" s="82"/>
      <c r="AQ3092" s="82"/>
      <c r="AR3092" s="82"/>
      <c r="AS3092" s="82"/>
      <c r="AT3092" s="82"/>
      <c r="AU3092" s="82"/>
      <c r="AV3092" s="82"/>
      <c r="AW3092" s="82" t="str">
        <f t="shared" si="1"/>
        <v/>
      </c>
      <c r="AX3092" s="83" t="str">
        <f t="array" ref="AX3092">IFERROR(DGET('SBV Import'!A:G,"SBV",{"RSC ID","Tier";B3092,A3092}))</f>
        <v/>
      </c>
      <c r="AY3092" s="82" t="str">
        <f t="shared" si="2"/>
        <v/>
      </c>
      <c r="AZ3092" s="82"/>
      <c r="BA3092" s="84" t="s">
        <v>152</v>
      </c>
      <c r="BB3092" s="84" t="str">
        <f>IFERROR(__xludf.DUMMYFUNCTION("iferror(if(A3092="""",,E3092&gt;=FILTER(Constants!$F$2:$F$10,Constants!$A$2:$A$10=A3092)))"),"")</f>
        <v/>
      </c>
    </row>
    <row r="3093">
      <c r="A3093" s="87"/>
      <c r="B3093" s="87"/>
      <c r="C3093" s="73"/>
      <c r="D3093" s="73"/>
      <c r="E3093" s="82"/>
      <c r="F3093" s="82"/>
      <c r="G3093" s="86"/>
      <c r="H3093" s="86"/>
      <c r="I3093" s="86"/>
      <c r="J3093" s="82"/>
      <c r="K3093" s="82"/>
      <c r="L3093" s="82"/>
      <c r="M3093" s="82"/>
      <c r="N3093" s="82"/>
      <c r="O3093" s="82"/>
      <c r="P3093" s="82"/>
      <c r="Q3093" s="82"/>
      <c r="R3093" s="82"/>
      <c r="S3093" s="82"/>
      <c r="T3093" s="82"/>
      <c r="U3093" s="82"/>
      <c r="V3093" s="82"/>
      <c r="W3093" s="82"/>
      <c r="X3093" s="82"/>
      <c r="Y3093" s="82"/>
      <c r="Z3093" s="82"/>
      <c r="AA3093" s="82"/>
      <c r="AB3093" s="82"/>
      <c r="AC3093" s="82"/>
      <c r="AD3093" s="82"/>
      <c r="AE3093" s="82"/>
      <c r="AF3093" s="82"/>
      <c r="AG3093" s="82"/>
      <c r="AH3093" s="82"/>
      <c r="AI3093" s="82"/>
      <c r="AJ3093" s="82"/>
      <c r="AK3093" s="82"/>
      <c r="AL3093" s="82"/>
      <c r="AM3093" s="82"/>
      <c r="AN3093" s="82"/>
      <c r="AO3093" s="82"/>
      <c r="AP3093" s="82"/>
      <c r="AQ3093" s="82"/>
      <c r="AR3093" s="82"/>
      <c r="AS3093" s="82"/>
      <c r="AT3093" s="82"/>
      <c r="AU3093" s="82"/>
      <c r="AV3093" s="82"/>
      <c r="AW3093" s="82" t="str">
        <f t="shared" si="1"/>
        <v/>
      </c>
      <c r="AX3093" s="83" t="str">
        <f t="array" ref="AX3093">IFERROR(DGET('SBV Import'!A:G,"SBV",{"RSC ID","Tier";B3093,A3093}))</f>
        <v/>
      </c>
      <c r="AY3093" s="82" t="str">
        <f t="shared" si="2"/>
        <v/>
      </c>
      <c r="AZ3093" s="82"/>
      <c r="BA3093" s="84" t="s">
        <v>152</v>
      </c>
      <c r="BB3093" s="84" t="str">
        <f>IFERROR(__xludf.DUMMYFUNCTION("iferror(if(A3093="""",,E3093&gt;=FILTER(Constants!$F$2:$F$10,Constants!$A$2:$A$10=A3093)))"),"")</f>
        <v/>
      </c>
    </row>
    <row r="3094">
      <c r="A3094" s="87"/>
      <c r="B3094" s="87"/>
      <c r="C3094" s="73"/>
      <c r="D3094" s="73"/>
      <c r="E3094" s="82"/>
      <c r="F3094" s="82"/>
      <c r="G3094" s="86"/>
      <c r="H3094" s="86"/>
      <c r="I3094" s="86"/>
      <c r="J3094" s="82"/>
      <c r="K3094" s="82"/>
      <c r="L3094" s="82"/>
      <c r="M3094" s="82"/>
      <c r="N3094" s="82"/>
      <c r="O3094" s="82"/>
      <c r="P3094" s="82"/>
      <c r="Q3094" s="82"/>
      <c r="R3094" s="82"/>
      <c r="S3094" s="82"/>
      <c r="T3094" s="82"/>
      <c r="U3094" s="82"/>
      <c r="V3094" s="82"/>
      <c r="W3094" s="82"/>
      <c r="X3094" s="82"/>
      <c r="Y3094" s="82"/>
      <c r="Z3094" s="82"/>
      <c r="AA3094" s="82"/>
      <c r="AB3094" s="82"/>
      <c r="AC3094" s="82"/>
      <c r="AD3094" s="82"/>
      <c r="AE3094" s="82"/>
      <c r="AF3094" s="82"/>
      <c r="AG3094" s="82"/>
      <c r="AH3094" s="82"/>
      <c r="AI3094" s="82"/>
      <c r="AJ3094" s="82"/>
      <c r="AK3094" s="82"/>
      <c r="AL3094" s="82"/>
      <c r="AM3094" s="82"/>
      <c r="AN3094" s="82"/>
      <c r="AO3094" s="82"/>
      <c r="AP3094" s="82"/>
      <c r="AQ3094" s="82"/>
      <c r="AR3094" s="82"/>
      <c r="AS3094" s="82"/>
      <c r="AT3094" s="82"/>
      <c r="AU3094" s="82"/>
      <c r="AV3094" s="82"/>
      <c r="AW3094" s="82" t="str">
        <f t="shared" si="1"/>
        <v/>
      </c>
      <c r="AX3094" s="83" t="str">
        <f t="array" ref="AX3094">IFERROR(DGET('SBV Import'!A:G,"SBV",{"RSC ID","Tier";B3094,A3094}))</f>
        <v/>
      </c>
      <c r="AY3094" s="82" t="str">
        <f t="shared" si="2"/>
        <v/>
      </c>
      <c r="AZ3094" s="82"/>
      <c r="BA3094" s="84" t="s">
        <v>152</v>
      </c>
      <c r="BB3094" s="84" t="str">
        <f>IFERROR(__xludf.DUMMYFUNCTION("iferror(if(A3094="""",,E3094&gt;=FILTER(Constants!$F$2:$F$10,Constants!$A$2:$A$10=A3094)))"),"")</f>
        <v/>
      </c>
    </row>
    <row r="3095">
      <c r="A3095" s="87"/>
      <c r="B3095" s="87"/>
      <c r="C3095" s="73"/>
      <c r="D3095" s="73"/>
      <c r="E3095" s="82"/>
      <c r="F3095" s="82"/>
      <c r="G3095" s="86"/>
      <c r="H3095" s="86"/>
      <c r="I3095" s="86"/>
      <c r="J3095" s="82"/>
      <c r="K3095" s="82"/>
      <c r="L3095" s="82"/>
      <c r="M3095" s="82"/>
      <c r="N3095" s="82"/>
      <c r="O3095" s="82"/>
      <c r="P3095" s="82"/>
      <c r="Q3095" s="82"/>
      <c r="R3095" s="82"/>
      <c r="S3095" s="82"/>
      <c r="T3095" s="82"/>
      <c r="U3095" s="82"/>
      <c r="V3095" s="82"/>
      <c r="W3095" s="82"/>
      <c r="X3095" s="82"/>
      <c r="Y3095" s="82"/>
      <c r="Z3095" s="82"/>
      <c r="AA3095" s="82"/>
      <c r="AB3095" s="82"/>
      <c r="AC3095" s="82"/>
      <c r="AD3095" s="82"/>
      <c r="AE3095" s="82"/>
      <c r="AF3095" s="82"/>
      <c r="AG3095" s="82"/>
      <c r="AH3095" s="82"/>
      <c r="AI3095" s="82"/>
      <c r="AJ3095" s="82"/>
      <c r="AK3095" s="82"/>
      <c r="AL3095" s="82"/>
      <c r="AM3095" s="82"/>
      <c r="AN3095" s="82"/>
      <c r="AO3095" s="82"/>
      <c r="AP3095" s="82"/>
      <c r="AQ3095" s="82"/>
      <c r="AR3095" s="82"/>
      <c r="AS3095" s="82"/>
      <c r="AT3095" s="82"/>
      <c r="AU3095" s="82"/>
      <c r="AV3095" s="82"/>
      <c r="AW3095" s="82" t="str">
        <f t="shared" si="1"/>
        <v/>
      </c>
      <c r="AX3095" s="83" t="str">
        <f t="array" ref="AX3095">IFERROR(DGET('SBV Import'!A:G,"SBV",{"RSC ID","Tier";B3095,A3095}))</f>
        <v/>
      </c>
      <c r="AY3095" s="82" t="str">
        <f t="shared" si="2"/>
        <v/>
      </c>
      <c r="AZ3095" s="82"/>
      <c r="BA3095" s="84" t="s">
        <v>152</v>
      </c>
      <c r="BB3095" s="84" t="str">
        <f>IFERROR(__xludf.DUMMYFUNCTION("iferror(if(A3095="""",,E3095&gt;=FILTER(Constants!$F$2:$F$10,Constants!$A$2:$A$10=A3095)))"),"")</f>
        <v/>
      </c>
    </row>
    <row r="3096">
      <c r="A3096" s="87"/>
      <c r="B3096" s="87"/>
      <c r="C3096" s="73"/>
      <c r="D3096" s="73"/>
      <c r="E3096" s="82"/>
      <c r="F3096" s="82"/>
      <c r="G3096" s="86"/>
      <c r="H3096" s="86"/>
      <c r="I3096" s="86"/>
      <c r="J3096" s="82"/>
      <c r="K3096" s="82"/>
      <c r="L3096" s="82"/>
      <c r="M3096" s="82"/>
      <c r="N3096" s="82"/>
      <c r="O3096" s="82"/>
      <c r="P3096" s="82"/>
      <c r="Q3096" s="82"/>
      <c r="R3096" s="82"/>
      <c r="S3096" s="82"/>
      <c r="T3096" s="82"/>
      <c r="U3096" s="82"/>
      <c r="V3096" s="82"/>
      <c r="W3096" s="82"/>
      <c r="X3096" s="82"/>
      <c r="Y3096" s="82"/>
      <c r="Z3096" s="82"/>
      <c r="AA3096" s="82"/>
      <c r="AB3096" s="82"/>
      <c r="AC3096" s="82"/>
      <c r="AD3096" s="82"/>
      <c r="AE3096" s="82"/>
      <c r="AF3096" s="82"/>
      <c r="AG3096" s="82"/>
      <c r="AH3096" s="82"/>
      <c r="AI3096" s="82"/>
      <c r="AJ3096" s="82"/>
      <c r="AK3096" s="82"/>
      <c r="AL3096" s="82"/>
      <c r="AM3096" s="82"/>
      <c r="AN3096" s="82"/>
      <c r="AO3096" s="82"/>
      <c r="AP3096" s="82"/>
      <c r="AQ3096" s="82"/>
      <c r="AR3096" s="82"/>
      <c r="AS3096" s="82"/>
      <c r="AT3096" s="82"/>
      <c r="AU3096" s="82"/>
      <c r="AV3096" s="82"/>
      <c r="AW3096" s="82" t="str">
        <f t="shared" si="1"/>
        <v/>
      </c>
      <c r="AX3096" s="83" t="str">
        <f t="array" ref="AX3096">IFERROR(DGET('SBV Import'!A:G,"SBV",{"RSC ID","Tier";B3096,A3096}))</f>
        <v/>
      </c>
      <c r="AY3096" s="82" t="str">
        <f t="shared" si="2"/>
        <v/>
      </c>
      <c r="AZ3096" s="82"/>
      <c r="BA3096" s="84" t="s">
        <v>152</v>
      </c>
      <c r="BB3096" s="84" t="str">
        <f>IFERROR(__xludf.DUMMYFUNCTION("iferror(if(A3096="""",,E3096&gt;=FILTER(Constants!$F$2:$F$10,Constants!$A$2:$A$10=A3096)))"),"")</f>
        <v/>
      </c>
    </row>
    <row r="3097">
      <c r="A3097" s="87"/>
      <c r="B3097" s="87"/>
      <c r="C3097" s="73"/>
      <c r="D3097" s="73"/>
      <c r="E3097" s="82"/>
      <c r="F3097" s="82"/>
      <c r="G3097" s="86"/>
      <c r="H3097" s="86"/>
      <c r="I3097" s="86"/>
      <c r="J3097" s="82"/>
      <c r="K3097" s="82"/>
      <c r="L3097" s="82"/>
      <c r="M3097" s="82"/>
      <c r="N3097" s="82"/>
      <c r="O3097" s="82"/>
      <c r="P3097" s="82"/>
      <c r="Q3097" s="82"/>
      <c r="R3097" s="82"/>
      <c r="S3097" s="82"/>
      <c r="T3097" s="82"/>
      <c r="U3097" s="82"/>
      <c r="V3097" s="82"/>
      <c r="W3097" s="82"/>
      <c r="X3097" s="82"/>
      <c r="Y3097" s="82"/>
      <c r="Z3097" s="82"/>
      <c r="AA3097" s="82"/>
      <c r="AB3097" s="82"/>
      <c r="AC3097" s="82"/>
      <c r="AD3097" s="82"/>
      <c r="AE3097" s="82"/>
      <c r="AF3097" s="82"/>
      <c r="AG3097" s="82"/>
      <c r="AH3097" s="82"/>
      <c r="AI3097" s="82"/>
      <c r="AJ3097" s="82"/>
      <c r="AK3097" s="82"/>
      <c r="AL3097" s="82"/>
      <c r="AM3097" s="82"/>
      <c r="AN3097" s="82"/>
      <c r="AO3097" s="82"/>
      <c r="AP3097" s="82"/>
      <c r="AQ3097" s="82"/>
      <c r="AR3097" s="82"/>
      <c r="AS3097" s="82"/>
      <c r="AT3097" s="82"/>
      <c r="AU3097" s="82"/>
      <c r="AV3097" s="82"/>
      <c r="AW3097" s="82" t="str">
        <f t="shared" si="1"/>
        <v/>
      </c>
      <c r="AX3097" s="83" t="str">
        <f t="array" ref="AX3097">IFERROR(DGET('SBV Import'!A:G,"SBV",{"RSC ID","Tier";B3097,A3097}))</f>
        <v/>
      </c>
      <c r="AY3097" s="82" t="str">
        <f t="shared" si="2"/>
        <v/>
      </c>
      <c r="AZ3097" s="82"/>
      <c r="BA3097" s="84" t="s">
        <v>152</v>
      </c>
      <c r="BB3097" s="84" t="str">
        <f>IFERROR(__xludf.DUMMYFUNCTION("iferror(if(A3097="""",,E3097&gt;=FILTER(Constants!$F$2:$F$10,Constants!$A$2:$A$10=A3097)))"),"")</f>
        <v/>
      </c>
    </row>
    <row r="3098">
      <c r="A3098" s="87"/>
      <c r="B3098" s="87"/>
      <c r="C3098" s="73"/>
      <c r="D3098" s="73"/>
      <c r="E3098" s="82"/>
      <c r="F3098" s="82"/>
      <c r="G3098" s="86"/>
      <c r="H3098" s="86"/>
      <c r="I3098" s="86"/>
      <c r="J3098" s="82"/>
      <c r="K3098" s="82"/>
      <c r="L3098" s="82"/>
      <c r="M3098" s="82"/>
      <c r="N3098" s="82"/>
      <c r="O3098" s="82"/>
      <c r="P3098" s="82"/>
      <c r="Q3098" s="82"/>
      <c r="R3098" s="82"/>
      <c r="S3098" s="82"/>
      <c r="T3098" s="82"/>
      <c r="U3098" s="82"/>
      <c r="V3098" s="82"/>
      <c r="W3098" s="82"/>
      <c r="X3098" s="82"/>
      <c r="Y3098" s="82"/>
      <c r="Z3098" s="82"/>
      <c r="AA3098" s="82"/>
      <c r="AB3098" s="82"/>
      <c r="AC3098" s="82"/>
      <c r="AD3098" s="82"/>
      <c r="AE3098" s="82"/>
      <c r="AF3098" s="82"/>
      <c r="AG3098" s="82"/>
      <c r="AH3098" s="82"/>
      <c r="AI3098" s="82"/>
      <c r="AJ3098" s="82"/>
      <c r="AK3098" s="82"/>
      <c r="AL3098" s="82"/>
      <c r="AM3098" s="82"/>
      <c r="AN3098" s="82"/>
      <c r="AO3098" s="82"/>
      <c r="AP3098" s="82"/>
      <c r="AQ3098" s="82"/>
      <c r="AR3098" s="82"/>
      <c r="AS3098" s="82"/>
      <c r="AT3098" s="82"/>
      <c r="AU3098" s="82"/>
      <c r="AV3098" s="82"/>
      <c r="AW3098" s="82" t="str">
        <f t="shared" si="1"/>
        <v/>
      </c>
      <c r="AX3098" s="83" t="str">
        <f t="array" ref="AX3098">IFERROR(DGET('SBV Import'!A:G,"SBV",{"RSC ID","Tier";B3098,A3098}))</f>
        <v/>
      </c>
      <c r="AY3098" s="82" t="str">
        <f t="shared" si="2"/>
        <v/>
      </c>
      <c r="AZ3098" s="82"/>
      <c r="BA3098" s="84" t="s">
        <v>152</v>
      </c>
      <c r="BB3098" s="84" t="str">
        <f>IFERROR(__xludf.DUMMYFUNCTION("iferror(if(A3098="""",,E3098&gt;=FILTER(Constants!$F$2:$F$10,Constants!$A$2:$A$10=A3098)))"),"")</f>
        <v/>
      </c>
    </row>
    <row r="3099">
      <c r="A3099" s="87"/>
      <c r="B3099" s="87"/>
      <c r="C3099" s="73"/>
      <c r="D3099" s="73"/>
      <c r="E3099" s="82"/>
      <c r="F3099" s="82"/>
      <c r="G3099" s="86"/>
      <c r="H3099" s="86"/>
      <c r="I3099" s="86"/>
      <c r="J3099" s="82"/>
      <c r="K3099" s="82"/>
      <c r="L3099" s="82"/>
      <c r="M3099" s="82"/>
      <c r="N3099" s="82"/>
      <c r="O3099" s="82"/>
      <c r="P3099" s="82"/>
      <c r="Q3099" s="82"/>
      <c r="R3099" s="82"/>
      <c r="S3099" s="82"/>
      <c r="T3099" s="82"/>
      <c r="U3099" s="82"/>
      <c r="V3099" s="82"/>
      <c r="W3099" s="82"/>
      <c r="X3099" s="82"/>
      <c r="Y3099" s="82"/>
      <c r="Z3099" s="82"/>
      <c r="AA3099" s="82"/>
      <c r="AB3099" s="82"/>
      <c r="AC3099" s="82"/>
      <c r="AD3099" s="82"/>
      <c r="AE3099" s="82"/>
      <c r="AF3099" s="82"/>
      <c r="AG3099" s="82"/>
      <c r="AH3099" s="82"/>
      <c r="AI3099" s="82"/>
      <c r="AJ3099" s="82"/>
      <c r="AK3099" s="82"/>
      <c r="AL3099" s="82"/>
      <c r="AM3099" s="82"/>
      <c r="AN3099" s="82"/>
      <c r="AO3099" s="82"/>
      <c r="AP3099" s="82"/>
      <c r="AQ3099" s="82"/>
      <c r="AR3099" s="82"/>
      <c r="AS3099" s="82"/>
      <c r="AT3099" s="82"/>
      <c r="AU3099" s="82"/>
      <c r="AV3099" s="82"/>
      <c r="AW3099" s="82" t="str">
        <f t="shared" si="1"/>
        <v/>
      </c>
      <c r="AX3099" s="83" t="str">
        <f t="array" ref="AX3099">IFERROR(DGET('SBV Import'!A:G,"SBV",{"RSC ID","Tier";B3099,A3099}))</f>
        <v/>
      </c>
      <c r="AY3099" s="82" t="str">
        <f t="shared" si="2"/>
        <v/>
      </c>
      <c r="AZ3099" s="82"/>
      <c r="BA3099" s="84" t="s">
        <v>152</v>
      </c>
      <c r="BB3099" s="84" t="str">
        <f>IFERROR(__xludf.DUMMYFUNCTION("iferror(if(A3099="""",,E3099&gt;=FILTER(Constants!$F$2:$F$10,Constants!$A$2:$A$10=A3099)))"),"")</f>
        <v/>
      </c>
    </row>
    <row r="3100">
      <c r="A3100" s="87"/>
      <c r="B3100" s="87"/>
      <c r="C3100" s="73"/>
      <c r="D3100" s="73"/>
      <c r="E3100" s="82"/>
      <c r="F3100" s="82"/>
      <c r="G3100" s="86"/>
      <c r="H3100" s="86"/>
      <c r="I3100" s="86"/>
      <c r="J3100" s="82"/>
      <c r="K3100" s="82"/>
      <c r="L3100" s="82"/>
      <c r="M3100" s="82"/>
      <c r="N3100" s="82"/>
      <c r="O3100" s="82"/>
      <c r="P3100" s="82"/>
      <c r="Q3100" s="82"/>
      <c r="R3100" s="82"/>
      <c r="S3100" s="82"/>
      <c r="T3100" s="82"/>
      <c r="U3100" s="82"/>
      <c r="V3100" s="82"/>
      <c r="W3100" s="82"/>
      <c r="X3100" s="82"/>
      <c r="Y3100" s="82"/>
      <c r="Z3100" s="82"/>
      <c r="AA3100" s="82"/>
      <c r="AB3100" s="82"/>
      <c r="AC3100" s="82"/>
      <c r="AD3100" s="82"/>
      <c r="AE3100" s="82"/>
      <c r="AF3100" s="82"/>
      <c r="AG3100" s="82"/>
      <c r="AH3100" s="82"/>
      <c r="AI3100" s="82"/>
      <c r="AJ3100" s="82"/>
      <c r="AK3100" s="82"/>
      <c r="AL3100" s="82"/>
      <c r="AM3100" s="82"/>
      <c r="AN3100" s="82"/>
      <c r="AO3100" s="82"/>
      <c r="AP3100" s="82"/>
      <c r="AQ3100" s="82"/>
      <c r="AR3100" s="82"/>
      <c r="AS3100" s="82"/>
      <c r="AT3100" s="82"/>
      <c r="AU3100" s="82"/>
      <c r="AV3100" s="82"/>
      <c r="AW3100" s="82" t="str">
        <f t="shared" si="1"/>
        <v/>
      </c>
      <c r="AX3100" s="83" t="str">
        <f t="array" ref="AX3100">IFERROR(DGET('SBV Import'!A:G,"SBV",{"RSC ID","Tier";B3100,A3100}))</f>
        <v/>
      </c>
      <c r="AY3100" s="82" t="str">
        <f t="shared" si="2"/>
        <v/>
      </c>
      <c r="AZ3100" s="82"/>
      <c r="BA3100" s="84" t="s">
        <v>152</v>
      </c>
      <c r="BB3100" s="84" t="str">
        <f>IFERROR(__xludf.DUMMYFUNCTION("iferror(if(A3100="""",,E3100&gt;=FILTER(Constants!$F$2:$F$10,Constants!$A$2:$A$10=A3100)))"),"")</f>
        <v/>
      </c>
    </row>
    <row r="3101">
      <c r="A3101" s="87"/>
      <c r="B3101" s="87"/>
      <c r="C3101" s="73"/>
      <c r="D3101" s="73"/>
      <c r="E3101" s="82"/>
      <c r="F3101" s="82"/>
      <c r="G3101" s="86"/>
      <c r="H3101" s="86"/>
      <c r="I3101" s="86"/>
      <c r="J3101" s="82"/>
      <c r="K3101" s="82"/>
      <c r="L3101" s="82"/>
      <c r="M3101" s="82"/>
      <c r="N3101" s="82"/>
      <c r="O3101" s="82"/>
      <c r="P3101" s="82"/>
      <c r="Q3101" s="82"/>
      <c r="R3101" s="82"/>
      <c r="S3101" s="82"/>
      <c r="T3101" s="82"/>
      <c r="U3101" s="82"/>
      <c r="V3101" s="82"/>
      <c r="W3101" s="82"/>
      <c r="X3101" s="82"/>
      <c r="Y3101" s="82"/>
      <c r="Z3101" s="82"/>
      <c r="AA3101" s="82"/>
      <c r="AB3101" s="82"/>
      <c r="AC3101" s="82"/>
      <c r="AD3101" s="82"/>
      <c r="AE3101" s="82"/>
      <c r="AF3101" s="82"/>
      <c r="AG3101" s="82"/>
      <c r="AH3101" s="82"/>
      <c r="AI3101" s="82"/>
      <c r="AJ3101" s="82"/>
      <c r="AK3101" s="82"/>
      <c r="AL3101" s="82"/>
      <c r="AM3101" s="82"/>
      <c r="AN3101" s="82"/>
      <c r="AO3101" s="82"/>
      <c r="AP3101" s="82"/>
      <c r="AQ3101" s="82"/>
      <c r="AR3101" s="82"/>
      <c r="AS3101" s="82"/>
      <c r="AT3101" s="82"/>
      <c r="AU3101" s="82"/>
      <c r="AV3101" s="82"/>
      <c r="AW3101" s="82" t="str">
        <f t="shared" si="1"/>
        <v/>
      </c>
      <c r="AX3101" s="83" t="str">
        <f t="array" ref="AX3101">IFERROR(DGET('SBV Import'!A:G,"SBV",{"RSC ID","Tier";B3101,A3101}))</f>
        <v/>
      </c>
      <c r="AY3101" s="82" t="str">
        <f t="shared" si="2"/>
        <v/>
      </c>
      <c r="AZ3101" s="82"/>
      <c r="BA3101" s="84" t="s">
        <v>152</v>
      </c>
      <c r="BB3101" s="84" t="str">
        <f>IFERROR(__xludf.DUMMYFUNCTION("iferror(if(A3101="""",,E3101&gt;=FILTER(Constants!$F$2:$F$10,Constants!$A$2:$A$10=A3101)))"),"")</f>
        <v/>
      </c>
    </row>
    <row r="3102">
      <c r="A3102" s="87"/>
      <c r="B3102" s="87"/>
      <c r="C3102" s="73"/>
      <c r="D3102" s="73"/>
      <c r="E3102" s="82"/>
      <c r="F3102" s="82"/>
      <c r="G3102" s="86"/>
      <c r="H3102" s="86"/>
      <c r="I3102" s="86"/>
      <c r="J3102" s="82"/>
      <c r="K3102" s="82"/>
      <c r="L3102" s="82"/>
      <c r="M3102" s="82"/>
      <c r="N3102" s="82"/>
      <c r="O3102" s="82"/>
      <c r="P3102" s="82"/>
      <c r="Q3102" s="82"/>
      <c r="R3102" s="82"/>
      <c r="S3102" s="82"/>
      <c r="T3102" s="82"/>
      <c r="U3102" s="82"/>
      <c r="V3102" s="82"/>
      <c r="W3102" s="82"/>
      <c r="X3102" s="82"/>
      <c r="Y3102" s="82"/>
      <c r="Z3102" s="82"/>
      <c r="AA3102" s="82"/>
      <c r="AB3102" s="82"/>
      <c r="AC3102" s="82"/>
      <c r="AD3102" s="82"/>
      <c r="AE3102" s="82"/>
      <c r="AF3102" s="82"/>
      <c r="AG3102" s="82"/>
      <c r="AH3102" s="82"/>
      <c r="AI3102" s="82"/>
      <c r="AJ3102" s="82"/>
      <c r="AK3102" s="82"/>
      <c r="AL3102" s="82"/>
      <c r="AM3102" s="82"/>
      <c r="AN3102" s="82"/>
      <c r="AO3102" s="82"/>
      <c r="AP3102" s="82"/>
      <c r="AQ3102" s="82"/>
      <c r="AR3102" s="82"/>
      <c r="AS3102" s="82"/>
      <c r="AT3102" s="82"/>
      <c r="AU3102" s="82"/>
      <c r="AV3102" s="82"/>
      <c r="AW3102" s="82" t="str">
        <f t="shared" si="1"/>
        <v/>
      </c>
      <c r="AX3102" s="83" t="str">
        <f t="array" ref="AX3102">IFERROR(DGET('SBV Import'!A:G,"SBV",{"RSC ID","Tier";B3102,A3102}))</f>
        <v/>
      </c>
      <c r="AY3102" s="82" t="str">
        <f t="shared" si="2"/>
        <v/>
      </c>
      <c r="AZ3102" s="82"/>
      <c r="BA3102" s="84" t="s">
        <v>152</v>
      </c>
      <c r="BB3102" s="84" t="str">
        <f>IFERROR(__xludf.DUMMYFUNCTION("iferror(if(A3102="""",,E3102&gt;=FILTER(Constants!$F$2:$F$10,Constants!$A$2:$A$10=A3102)))"),"")</f>
        <v/>
      </c>
    </row>
    <row r="3103">
      <c r="A3103" s="87"/>
      <c r="B3103" s="87"/>
      <c r="C3103" s="73"/>
      <c r="D3103" s="73"/>
      <c r="E3103" s="82"/>
      <c r="F3103" s="82"/>
      <c r="G3103" s="86"/>
      <c r="H3103" s="86"/>
      <c r="I3103" s="86"/>
      <c r="J3103" s="82"/>
      <c r="K3103" s="82"/>
      <c r="L3103" s="82"/>
      <c r="M3103" s="82"/>
      <c r="N3103" s="82"/>
      <c r="O3103" s="82"/>
      <c r="P3103" s="82"/>
      <c r="Q3103" s="82"/>
      <c r="R3103" s="82"/>
      <c r="S3103" s="82"/>
      <c r="T3103" s="82"/>
      <c r="U3103" s="82"/>
      <c r="V3103" s="82"/>
      <c r="W3103" s="82"/>
      <c r="X3103" s="82"/>
      <c r="Y3103" s="82"/>
      <c r="Z3103" s="82"/>
      <c r="AA3103" s="82"/>
      <c r="AB3103" s="82"/>
      <c r="AC3103" s="82"/>
      <c r="AD3103" s="82"/>
      <c r="AE3103" s="82"/>
      <c r="AF3103" s="82"/>
      <c r="AG3103" s="82"/>
      <c r="AH3103" s="82"/>
      <c r="AI3103" s="82"/>
      <c r="AJ3103" s="82"/>
      <c r="AK3103" s="82"/>
      <c r="AL3103" s="82"/>
      <c r="AM3103" s="82"/>
      <c r="AN3103" s="82"/>
      <c r="AO3103" s="82"/>
      <c r="AP3103" s="82"/>
      <c r="AQ3103" s="82"/>
      <c r="AR3103" s="82"/>
      <c r="AS3103" s="82"/>
      <c r="AT3103" s="82"/>
      <c r="AU3103" s="82"/>
      <c r="AV3103" s="82"/>
      <c r="AW3103" s="82" t="str">
        <f t="shared" si="1"/>
        <v/>
      </c>
      <c r="AX3103" s="83" t="str">
        <f t="array" ref="AX3103">IFERROR(DGET('SBV Import'!A:G,"SBV",{"RSC ID","Tier";B3103,A3103}))</f>
        <v/>
      </c>
      <c r="AY3103" s="82" t="str">
        <f t="shared" si="2"/>
        <v/>
      </c>
      <c r="AZ3103" s="82"/>
      <c r="BA3103" s="84" t="s">
        <v>152</v>
      </c>
      <c r="BB3103" s="84" t="str">
        <f>IFERROR(__xludf.DUMMYFUNCTION("iferror(if(A3103="""",,E3103&gt;=FILTER(Constants!$F$2:$F$10,Constants!$A$2:$A$10=A3103)))"),"")</f>
        <v/>
      </c>
    </row>
    <row r="3104">
      <c r="A3104" s="87"/>
      <c r="B3104" s="87"/>
      <c r="C3104" s="73"/>
      <c r="D3104" s="73"/>
      <c r="E3104" s="82"/>
      <c r="F3104" s="82"/>
      <c r="G3104" s="86"/>
      <c r="H3104" s="86"/>
      <c r="I3104" s="86"/>
      <c r="J3104" s="82"/>
      <c r="K3104" s="82"/>
      <c r="L3104" s="82"/>
      <c r="M3104" s="82"/>
      <c r="N3104" s="82"/>
      <c r="O3104" s="82"/>
      <c r="P3104" s="82"/>
      <c r="Q3104" s="82"/>
      <c r="R3104" s="82"/>
      <c r="S3104" s="82"/>
      <c r="T3104" s="82"/>
      <c r="U3104" s="82"/>
      <c r="V3104" s="82"/>
      <c r="W3104" s="82"/>
      <c r="X3104" s="82"/>
      <c r="Y3104" s="82"/>
      <c r="Z3104" s="82"/>
      <c r="AA3104" s="82"/>
      <c r="AB3104" s="82"/>
      <c r="AC3104" s="82"/>
      <c r="AD3104" s="82"/>
      <c r="AE3104" s="82"/>
      <c r="AF3104" s="82"/>
      <c r="AG3104" s="82"/>
      <c r="AH3104" s="82"/>
      <c r="AI3104" s="82"/>
      <c r="AJ3104" s="82"/>
      <c r="AK3104" s="82"/>
      <c r="AL3104" s="82"/>
      <c r="AM3104" s="82"/>
      <c r="AN3104" s="82"/>
      <c r="AO3104" s="82"/>
      <c r="AP3104" s="82"/>
      <c r="AQ3104" s="82"/>
      <c r="AR3104" s="82"/>
      <c r="AS3104" s="82"/>
      <c r="AT3104" s="82"/>
      <c r="AU3104" s="82"/>
      <c r="AV3104" s="82"/>
      <c r="AW3104" s="82" t="str">
        <f t="shared" si="1"/>
        <v/>
      </c>
      <c r="AX3104" s="83" t="str">
        <f t="array" ref="AX3104">IFERROR(DGET('SBV Import'!A:G,"SBV",{"RSC ID","Tier";B3104,A3104}))</f>
        <v/>
      </c>
      <c r="AY3104" s="82" t="str">
        <f t="shared" si="2"/>
        <v/>
      </c>
      <c r="AZ3104" s="82"/>
      <c r="BA3104" s="84" t="s">
        <v>152</v>
      </c>
      <c r="BB3104" s="84" t="str">
        <f>IFERROR(__xludf.DUMMYFUNCTION("iferror(if(A3104="""",,E3104&gt;=FILTER(Constants!$F$2:$F$10,Constants!$A$2:$A$10=A3104)))"),"")</f>
        <v/>
      </c>
    </row>
    <row r="3105">
      <c r="A3105" s="87"/>
      <c r="B3105" s="87"/>
      <c r="C3105" s="73"/>
      <c r="D3105" s="73"/>
      <c r="E3105" s="82"/>
      <c r="F3105" s="82"/>
      <c r="G3105" s="86"/>
      <c r="H3105" s="86"/>
      <c r="I3105" s="86"/>
      <c r="J3105" s="82"/>
      <c r="K3105" s="82"/>
      <c r="L3105" s="82"/>
      <c r="M3105" s="82"/>
      <c r="N3105" s="82"/>
      <c r="O3105" s="82"/>
      <c r="P3105" s="82"/>
      <c r="Q3105" s="82"/>
      <c r="R3105" s="82"/>
      <c r="S3105" s="82"/>
      <c r="T3105" s="82"/>
      <c r="U3105" s="82"/>
      <c r="V3105" s="82"/>
      <c r="W3105" s="82"/>
      <c r="X3105" s="82"/>
      <c r="Y3105" s="82"/>
      <c r="Z3105" s="82"/>
      <c r="AA3105" s="82"/>
      <c r="AB3105" s="82"/>
      <c r="AC3105" s="82"/>
      <c r="AD3105" s="82"/>
      <c r="AE3105" s="82"/>
      <c r="AF3105" s="82"/>
      <c r="AG3105" s="82"/>
      <c r="AH3105" s="82"/>
      <c r="AI3105" s="82"/>
      <c r="AJ3105" s="82"/>
      <c r="AK3105" s="82"/>
      <c r="AL3105" s="82"/>
      <c r="AM3105" s="82"/>
      <c r="AN3105" s="82"/>
      <c r="AO3105" s="82"/>
      <c r="AP3105" s="82"/>
      <c r="AQ3105" s="82"/>
      <c r="AR3105" s="82"/>
      <c r="AS3105" s="82"/>
      <c r="AT3105" s="82"/>
      <c r="AU3105" s="82"/>
      <c r="AV3105" s="82"/>
      <c r="AW3105" s="82" t="str">
        <f t="shared" si="1"/>
        <v/>
      </c>
      <c r="AX3105" s="83" t="str">
        <f t="array" ref="AX3105">IFERROR(DGET('SBV Import'!A:G,"SBV",{"RSC ID","Tier";B3105,A3105}))</f>
        <v/>
      </c>
      <c r="AY3105" s="82" t="str">
        <f t="shared" si="2"/>
        <v/>
      </c>
      <c r="AZ3105" s="82"/>
      <c r="BA3105" s="84" t="s">
        <v>152</v>
      </c>
      <c r="BB3105" s="84" t="str">
        <f>IFERROR(__xludf.DUMMYFUNCTION("iferror(if(A3105="""",,E3105&gt;=FILTER(Constants!$F$2:$F$10,Constants!$A$2:$A$10=A3105)))"),"")</f>
        <v/>
      </c>
    </row>
    <row r="3106">
      <c r="A3106" s="87"/>
      <c r="B3106" s="87"/>
      <c r="C3106" s="73"/>
      <c r="D3106" s="73"/>
      <c r="E3106" s="82"/>
      <c r="F3106" s="82"/>
      <c r="G3106" s="86"/>
      <c r="H3106" s="86"/>
      <c r="I3106" s="86"/>
      <c r="J3106" s="82"/>
      <c r="K3106" s="82"/>
      <c r="L3106" s="82"/>
      <c r="M3106" s="82"/>
      <c r="N3106" s="82"/>
      <c r="O3106" s="82"/>
      <c r="P3106" s="82"/>
      <c r="Q3106" s="82"/>
      <c r="R3106" s="82"/>
      <c r="S3106" s="82"/>
      <c r="T3106" s="82"/>
      <c r="U3106" s="82"/>
      <c r="V3106" s="82"/>
      <c r="W3106" s="82"/>
      <c r="X3106" s="82"/>
      <c r="Y3106" s="82"/>
      <c r="Z3106" s="82"/>
      <c r="AA3106" s="82"/>
      <c r="AB3106" s="82"/>
      <c r="AC3106" s="82"/>
      <c r="AD3106" s="82"/>
      <c r="AE3106" s="82"/>
      <c r="AF3106" s="82"/>
      <c r="AG3106" s="82"/>
      <c r="AH3106" s="82"/>
      <c r="AI3106" s="82"/>
      <c r="AJ3106" s="82"/>
      <c r="AK3106" s="82"/>
      <c r="AL3106" s="82"/>
      <c r="AM3106" s="82"/>
      <c r="AN3106" s="82"/>
      <c r="AO3106" s="82"/>
      <c r="AP3106" s="82"/>
      <c r="AQ3106" s="82"/>
      <c r="AR3106" s="82"/>
      <c r="AS3106" s="82"/>
      <c r="AT3106" s="82"/>
      <c r="AU3106" s="82"/>
      <c r="AV3106" s="82"/>
      <c r="AW3106" s="82" t="str">
        <f t="shared" si="1"/>
        <v/>
      </c>
      <c r="AX3106" s="83" t="str">
        <f t="array" ref="AX3106">IFERROR(DGET('SBV Import'!A:G,"SBV",{"RSC ID","Tier";B3106,A3106}))</f>
        <v/>
      </c>
      <c r="AY3106" s="82" t="str">
        <f t="shared" si="2"/>
        <v/>
      </c>
      <c r="AZ3106" s="82"/>
      <c r="BA3106" s="84" t="s">
        <v>152</v>
      </c>
      <c r="BB3106" s="84" t="str">
        <f>IFERROR(__xludf.DUMMYFUNCTION("iferror(if(A3106="""",,E3106&gt;=FILTER(Constants!$F$2:$F$10,Constants!$A$2:$A$10=A3106)))"),"")</f>
        <v/>
      </c>
    </row>
    <row r="3107">
      <c r="A3107" s="87"/>
      <c r="B3107" s="87"/>
      <c r="C3107" s="73"/>
      <c r="D3107" s="73"/>
      <c r="E3107" s="82"/>
      <c r="F3107" s="82"/>
      <c r="G3107" s="86"/>
      <c r="H3107" s="86"/>
      <c r="I3107" s="86"/>
      <c r="J3107" s="82"/>
      <c r="K3107" s="82"/>
      <c r="L3107" s="82"/>
      <c r="M3107" s="82"/>
      <c r="N3107" s="82"/>
      <c r="O3107" s="82"/>
      <c r="P3107" s="82"/>
      <c r="Q3107" s="82"/>
      <c r="R3107" s="82"/>
      <c r="S3107" s="82"/>
      <c r="T3107" s="82"/>
      <c r="U3107" s="82"/>
      <c r="V3107" s="82"/>
      <c r="W3107" s="82"/>
      <c r="X3107" s="82"/>
      <c r="Y3107" s="82"/>
      <c r="Z3107" s="82"/>
      <c r="AA3107" s="82"/>
      <c r="AB3107" s="82"/>
      <c r="AC3107" s="82"/>
      <c r="AD3107" s="82"/>
      <c r="AE3107" s="82"/>
      <c r="AF3107" s="82"/>
      <c r="AG3107" s="82"/>
      <c r="AH3107" s="82"/>
      <c r="AI3107" s="82"/>
      <c r="AJ3107" s="82"/>
      <c r="AK3107" s="82"/>
      <c r="AL3107" s="82"/>
      <c r="AM3107" s="82"/>
      <c r="AN3107" s="82"/>
      <c r="AO3107" s="82"/>
      <c r="AP3107" s="82"/>
      <c r="AQ3107" s="82"/>
      <c r="AR3107" s="82"/>
      <c r="AS3107" s="82"/>
      <c r="AT3107" s="82"/>
      <c r="AU3107" s="82"/>
      <c r="AV3107" s="82"/>
      <c r="AW3107" s="82" t="str">
        <f t="shared" si="1"/>
        <v/>
      </c>
      <c r="AX3107" s="83" t="str">
        <f t="array" ref="AX3107">IFERROR(DGET('SBV Import'!A:G,"SBV",{"RSC ID","Tier";B3107,A3107}))</f>
        <v/>
      </c>
      <c r="AY3107" s="82" t="str">
        <f t="shared" si="2"/>
        <v/>
      </c>
      <c r="AZ3107" s="82"/>
      <c r="BA3107" s="84" t="s">
        <v>152</v>
      </c>
      <c r="BB3107" s="84" t="str">
        <f>IFERROR(__xludf.DUMMYFUNCTION("iferror(if(A3107="""",,E3107&gt;=FILTER(Constants!$F$2:$F$10,Constants!$A$2:$A$10=A3107)))"),"")</f>
        <v/>
      </c>
    </row>
    <row r="3108">
      <c r="A3108" s="87"/>
      <c r="B3108" s="87"/>
      <c r="C3108" s="73"/>
      <c r="D3108" s="73"/>
      <c r="E3108" s="82"/>
      <c r="F3108" s="82"/>
      <c r="G3108" s="86"/>
      <c r="H3108" s="86"/>
      <c r="I3108" s="86"/>
      <c r="J3108" s="82"/>
      <c r="K3108" s="82"/>
      <c r="L3108" s="82"/>
      <c r="M3108" s="82"/>
      <c r="N3108" s="82"/>
      <c r="O3108" s="82"/>
      <c r="P3108" s="82"/>
      <c r="Q3108" s="82"/>
      <c r="R3108" s="82"/>
      <c r="S3108" s="82"/>
      <c r="T3108" s="82"/>
      <c r="U3108" s="82"/>
      <c r="V3108" s="82"/>
      <c r="W3108" s="82"/>
      <c r="X3108" s="82"/>
      <c r="Y3108" s="82"/>
      <c r="Z3108" s="82"/>
      <c r="AA3108" s="82"/>
      <c r="AB3108" s="82"/>
      <c r="AC3108" s="82"/>
      <c r="AD3108" s="82"/>
      <c r="AE3108" s="82"/>
      <c r="AF3108" s="82"/>
      <c r="AG3108" s="82"/>
      <c r="AH3108" s="82"/>
      <c r="AI3108" s="82"/>
      <c r="AJ3108" s="82"/>
      <c r="AK3108" s="82"/>
      <c r="AL3108" s="82"/>
      <c r="AM3108" s="82"/>
      <c r="AN3108" s="82"/>
      <c r="AO3108" s="82"/>
      <c r="AP3108" s="82"/>
      <c r="AQ3108" s="82"/>
      <c r="AR3108" s="82"/>
      <c r="AS3108" s="82"/>
      <c r="AT3108" s="82"/>
      <c r="AU3108" s="82"/>
      <c r="AV3108" s="82"/>
      <c r="AW3108" s="82" t="str">
        <f t="shared" si="1"/>
        <v/>
      </c>
      <c r="AX3108" s="83" t="str">
        <f t="array" ref="AX3108">IFERROR(DGET('SBV Import'!A:G,"SBV",{"RSC ID","Tier";B3108,A3108}))</f>
        <v/>
      </c>
      <c r="AY3108" s="82" t="str">
        <f t="shared" si="2"/>
        <v/>
      </c>
      <c r="AZ3108" s="82"/>
      <c r="BA3108" s="84" t="s">
        <v>152</v>
      </c>
      <c r="BB3108" s="84" t="str">
        <f>IFERROR(__xludf.DUMMYFUNCTION("iferror(if(A3108="""",,E3108&gt;=FILTER(Constants!$F$2:$F$10,Constants!$A$2:$A$10=A3108)))"),"")</f>
        <v/>
      </c>
    </row>
    <row r="3109">
      <c r="A3109" s="89"/>
      <c r="B3109" s="87"/>
      <c r="C3109" s="73"/>
      <c r="D3109" s="73"/>
      <c r="E3109" s="82"/>
      <c r="F3109" s="82"/>
      <c r="G3109" s="86"/>
      <c r="H3109" s="86"/>
      <c r="I3109" s="86"/>
      <c r="J3109" s="82"/>
      <c r="K3109" s="82"/>
      <c r="L3109" s="82"/>
      <c r="M3109" s="82"/>
      <c r="N3109" s="82"/>
      <c r="O3109" s="82"/>
      <c r="P3109" s="82"/>
      <c r="Q3109" s="82"/>
      <c r="R3109" s="82"/>
      <c r="S3109" s="82"/>
      <c r="T3109" s="82"/>
      <c r="U3109" s="82"/>
      <c r="V3109" s="82"/>
      <c r="W3109" s="82"/>
      <c r="X3109" s="82"/>
      <c r="Y3109" s="82"/>
      <c r="Z3109" s="82"/>
      <c r="AA3109" s="82"/>
      <c r="AB3109" s="82"/>
      <c r="AC3109" s="82"/>
      <c r="AD3109" s="82"/>
      <c r="AE3109" s="82"/>
      <c r="AF3109" s="82"/>
      <c r="AG3109" s="82"/>
      <c r="AH3109" s="82"/>
      <c r="AI3109" s="82"/>
      <c r="AJ3109" s="82"/>
      <c r="AK3109" s="82"/>
      <c r="AL3109" s="82"/>
      <c r="AM3109" s="82"/>
      <c r="AN3109" s="82"/>
      <c r="AO3109" s="82"/>
      <c r="AP3109" s="82"/>
      <c r="AQ3109" s="82"/>
      <c r="AR3109" s="82"/>
      <c r="AS3109" s="82"/>
      <c r="AT3109" s="82"/>
      <c r="AU3109" s="82"/>
      <c r="AV3109" s="82"/>
      <c r="AW3109" s="82" t="str">
        <f t="shared" si="1"/>
        <v/>
      </c>
      <c r="AX3109" s="83" t="str">
        <f t="array" ref="AX3109">IFERROR(DGET('SBV Import'!A:G,"SBV",{"RSC ID","Tier";B3109,A3109}))</f>
        <v/>
      </c>
      <c r="AY3109" s="82" t="str">
        <f t="shared" si="2"/>
        <v/>
      </c>
      <c r="AZ3109" s="82"/>
      <c r="BA3109" s="84" t="s">
        <v>152</v>
      </c>
      <c r="BB3109" s="84" t="str">
        <f>IFERROR(__xludf.DUMMYFUNCTION("iferror(if(A3109="""",,E3109&gt;=FILTER(Constants!$F$2:$F$10,Constants!$A$2:$A$10=A3109)))"),"")</f>
        <v/>
      </c>
    </row>
    <row r="3110">
      <c r="A3110" s="89"/>
      <c r="B3110" s="87"/>
      <c r="C3110" s="73"/>
      <c r="D3110" s="73"/>
      <c r="E3110" s="82"/>
      <c r="F3110" s="82"/>
      <c r="G3110" s="86"/>
      <c r="H3110" s="86"/>
      <c r="I3110" s="86"/>
      <c r="J3110" s="82"/>
      <c r="K3110" s="82"/>
      <c r="L3110" s="82"/>
      <c r="M3110" s="82"/>
      <c r="N3110" s="82"/>
      <c r="O3110" s="82"/>
      <c r="P3110" s="82"/>
      <c r="Q3110" s="82"/>
      <c r="R3110" s="82"/>
      <c r="S3110" s="82"/>
      <c r="T3110" s="82"/>
      <c r="U3110" s="82"/>
      <c r="V3110" s="82"/>
      <c r="W3110" s="82"/>
      <c r="X3110" s="82"/>
      <c r="Y3110" s="82"/>
      <c r="Z3110" s="82"/>
      <c r="AA3110" s="82"/>
      <c r="AB3110" s="82"/>
      <c r="AC3110" s="82"/>
      <c r="AD3110" s="82"/>
      <c r="AE3110" s="82"/>
      <c r="AF3110" s="82"/>
      <c r="AG3110" s="82"/>
      <c r="AH3110" s="82"/>
      <c r="AI3110" s="82"/>
      <c r="AJ3110" s="82"/>
      <c r="AK3110" s="82"/>
      <c r="AL3110" s="82"/>
      <c r="AM3110" s="82"/>
      <c r="AN3110" s="82"/>
      <c r="AO3110" s="82"/>
      <c r="AP3110" s="82"/>
      <c r="AQ3110" s="82"/>
      <c r="AR3110" s="82"/>
      <c r="AS3110" s="82"/>
      <c r="AT3110" s="82"/>
      <c r="AU3110" s="82"/>
      <c r="AV3110" s="82"/>
      <c r="AW3110" s="82" t="str">
        <f t="shared" si="1"/>
        <v/>
      </c>
      <c r="AX3110" s="83" t="str">
        <f t="array" ref="AX3110">IFERROR(DGET('SBV Import'!A:G,"SBV",{"RSC ID","Tier";B3110,A3110}))</f>
        <v/>
      </c>
      <c r="AY3110" s="82" t="str">
        <f t="shared" si="2"/>
        <v/>
      </c>
      <c r="AZ3110" s="82"/>
      <c r="BA3110" s="84" t="s">
        <v>152</v>
      </c>
      <c r="BB3110" s="84" t="str">
        <f>IFERROR(__xludf.DUMMYFUNCTION("iferror(if(A3110="""",,E3110&gt;=FILTER(Constants!$F$2:$F$10,Constants!$A$2:$A$10=A3110)))"),"")</f>
        <v/>
      </c>
    </row>
    <row r="3111">
      <c r="A3111" s="89"/>
      <c r="B3111" s="87"/>
      <c r="C3111" s="73"/>
      <c r="D3111" s="73"/>
      <c r="E3111" s="82"/>
      <c r="F3111" s="82"/>
      <c r="G3111" s="86"/>
      <c r="H3111" s="86"/>
      <c r="I3111" s="86"/>
      <c r="J3111" s="82"/>
      <c r="K3111" s="82"/>
      <c r="L3111" s="82"/>
      <c r="M3111" s="82"/>
      <c r="N3111" s="82"/>
      <c r="O3111" s="82"/>
      <c r="P3111" s="82"/>
      <c r="Q3111" s="82"/>
      <c r="R3111" s="82"/>
      <c r="S3111" s="82"/>
      <c r="T3111" s="82"/>
      <c r="U3111" s="82"/>
      <c r="V3111" s="82"/>
      <c r="W3111" s="82"/>
      <c r="X3111" s="82"/>
      <c r="Y3111" s="82"/>
      <c r="Z3111" s="82"/>
      <c r="AA3111" s="82"/>
      <c r="AB3111" s="82"/>
      <c r="AC3111" s="82"/>
      <c r="AD3111" s="82"/>
      <c r="AE3111" s="82"/>
      <c r="AF3111" s="82"/>
      <c r="AG3111" s="82"/>
      <c r="AH3111" s="82"/>
      <c r="AI3111" s="82"/>
      <c r="AJ3111" s="82"/>
      <c r="AK3111" s="82"/>
      <c r="AL3111" s="82"/>
      <c r="AM3111" s="82"/>
      <c r="AN3111" s="82"/>
      <c r="AO3111" s="82"/>
      <c r="AP3111" s="82"/>
      <c r="AQ3111" s="82"/>
      <c r="AR3111" s="82"/>
      <c r="AS3111" s="82"/>
      <c r="AT3111" s="82"/>
      <c r="AU3111" s="82"/>
      <c r="AV3111" s="82"/>
      <c r="AW3111" s="82" t="str">
        <f t="shared" si="1"/>
        <v/>
      </c>
      <c r="AX3111" s="83" t="str">
        <f t="array" ref="AX3111">IFERROR(DGET('SBV Import'!A:G,"SBV",{"RSC ID","Tier";B3111,A3111}))</f>
        <v/>
      </c>
      <c r="AY3111" s="82" t="str">
        <f t="shared" si="2"/>
        <v/>
      </c>
      <c r="AZ3111" s="82"/>
      <c r="BA3111" s="84" t="s">
        <v>152</v>
      </c>
      <c r="BB3111" s="84" t="str">
        <f>IFERROR(__xludf.DUMMYFUNCTION("iferror(if(A3111="""",,E3111&gt;=FILTER(Constants!$F$2:$F$10,Constants!$A$2:$A$10=A3111)))"),"")</f>
        <v/>
      </c>
    </row>
    <row r="3112">
      <c r="A3112" s="89"/>
      <c r="B3112" s="87"/>
      <c r="C3112" s="73"/>
      <c r="D3112" s="73"/>
      <c r="E3112" s="82"/>
      <c r="F3112" s="82"/>
      <c r="G3112" s="86"/>
      <c r="H3112" s="86"/>
      <c r="I3112" s="86"/>
      <c r="J3112" s="82"/>
      <c r="K3112" s="82"/>
      <c r="L3112" s="82"/>
      <c r="M3112" s="82"/>
      <c r="N3112" s="82"/>
      <c r="O3112" s="82"/>
      <c r="P3112" s="82"/>
      <c r="Q3112" s="82"/>
      <c r="R3112" s="82"/>
      <c r="S3112" s="82"/>
      <c r="T3112" s="82"/>
      <c r="U3112" s="82"/>
      <c r="V3112" s="82"/>
      <c r="W3112" s="82"/>
      <c r="X3112" s="82"/>
      <c r="Y3112" s="82"/>
      <c r="Z3112" s="82"/>
      <c r="AA3112" s="82"/>
      <c r="AB3112" s="82"/>
      <c r="AC3112" s="82"/>
      <c r="AD3112" s="82"/>
      <c r="AE3112" s="82"/>
      <c r="AF3112" s="82"/>
      <c r="AG3112" s="82"/>
      <c r="AH3112" s="82"/>
      <c r="AI3112" s="82"/>
      <c r="AJ3112" s="82"/>
      <c r="AK3112" s="82"/>
      <c r="AL3112" s="82"/>
      <c r="AM3112" s="82"/>
      <c r="AN3112" s="82"/>
      <c r="AO3112" s="82"/>
      <c r="AP3112" s="82"/>
      <c r="AQ3112" s="82"/>
      <c r="AR3112" s="82"/>
      <c r="AS3112" s="82"/>
      <c r="AT3112" s="82"/>
      <c r="AU3112" s="82"/>
      <c r="AV3112" s="82"/>
      <c r="AW3112" s="82" t="str">
        <f t="shared" si="1"/>
        <v/>
      </c>
      <c r="AX3112" s="83" t="str">
        <f t="array" ref="AX3112">IFERROR(DGET('SBV Import'!A:G,"SBV",{"RSC ID","Tier";B3112,A3112}))</f>
        <v/>
      </c>
      <c r="AY3112" s="82" t="str">
        <f t="shared" si="2"/>
        <v/>
      </c>
      <c r="AZ3112" s="82"/>
      <c r="BA3112" s="84" t="s">
        <v>152</v>
      </c>
      <c r="BB3112" s="84" t="str">
        <f>IFERROR(__xludf.DUMMYFUNCTION("iferror(if(A3112="""",,E3112&gt;=FILTER(Constants!$F$2:$F$10,Constants!$A$2:$A$10=A3112)))"),"")</f>
        <v/>
      </c>
    </row>
    <row r="3113">
      <c r="A3113" s="89"/>
      <c r="B3113" s="87"/>
      <c r="C3113" s="73"/>
      <c r="D3113" s="73"/>
      <c r="E3113" s="82"/>
      <c r="F3113" s="82"/>
      <c r="G3113" s="86"/>
      <c r="H3113" s="86"/>
      <c r="I3113" s="86"/>
      <c r="J3113" s="82"/>
      <c r="K3113" s="82"/>
      <c r="L3113" s="82"/>
      <c r="M3113" s="82"/>
      <c r="N3113" s="82"/>
      <c r="O3113" s="82"/>
      <c r="P3113" s="82"/>
      <c r="Q3113" s="82"/>
      <c r="R3113" s="82"/>
      <c r="S3113" s="82"/>
      <c r="T3113" s="82"/>
      <c r="U3113" s="82"/>
      <c r="V3113" s="82"/>
      <c r="W3113" s="82"/>
      <c r="X3113" s="82"/>
      <c r="Y3113" s="82"/>
      <c r="Z3113" s="82"/>
      <c r="AA3113" s="82"/>
      <c r="AB3113" s="82"/>
      <c r="AC3113" s="82"/>
      <c r="AD3113" s="82"/>
      <c r="AE3113" s="82"/>
      <c r="AF3113" s="82"/>
      <c r="AG3113" s="82"/>
      <c r="AH3113" s="82"/>
      <c r="AI3113" s="82"/>
      <c r="AJ3113" s="82"/>
      <c r="AK3113" s="82"/>
      <c r="AL3113" s="82"/>
      <c r="AM3113" s="82"/>
      <c r="AN3113" s="82"/>
      <c r="AO3113" s="82"/>
      <c r="AP3113" s="82"/>
      <c r="AQ3113" s="82"/>
      <c r="AR3113" s="82"/>
      <c r="AS3113" s="82"/>
      <c r="AT3113" s="82"/>
      <c r="AU3113" s="82"/>
      <c r="AV3113" s="82"/>
      <c r="AW3113" s="82" t="str">
        <f t="shared" si="1"/>
        <v/>
      </c>
      <c r="AX3113" s="83" t="str">
        <f t="array" ref="AX3113">IFERROR(DGET('SBV Import'!A:G,"SBV",{"RSC ID","Tier";B3113,A3113}))</f>
        <v/>
      </c>
      <c r="AY3113" s="82" t="str">
        <f t="shared" si="2"/>
        <v/>
      </c>
      <c r="AZ3113" s="82"/>
      <c r="BA3113" s="84" t="s">
        <v>152</v>
      </c>
      <c r="BB3113" s="84" t="str">
        <f>IFERROR(__xludf.DUMMYFUNCTION("iferror(if(A3113="""",,E3113&gt;=FILTER(Constants!$F$2:$F$10,Constants!$A$2:$A$10=A3113)))"),"")</f>
        <v/>
      </c>
    </row>
    <row r="3114">
      <c r="A3114" s="89"/>
      <c r="B3114" s="87"/>
      <c r="C3114" s="73"/>
      <c r="D3114" s="73"/>
      <c r="E3114" s="82"/>
      <c r="F3114" s="82"/>
      <c r="G3114" s="86"/>
      <c r="H3114" s="86"/>
      <c r="I3114" s="86"/>
      <c r="J3114" s="82"/>
      <c r="K3114" s="82"/>
      <c r="L3114" s="82"/>
      <c r="M3114" s="82"/>
      <c r="N3114" s="82"/>
      <c r="O3114" s="82"/>
      <c r="P3114" s="82"/>
      <c r="Q3114" s="82"/>
      <c r="R3114" s="82"/>
      <c r="S3114" s="82"/>
      <c r="T3114" s="82"/>
      <c r="U3114" s="82"/>
      <c r="V3114" s="82"/>
      <c r="W3114" s="82"/>
      <c r="X3114" s="82"/>
      <c r="Y3114" s="82"/>
      <c r="Z3114" s="82"/>
      <c r="AA3114" s="82"/>
      <c r="AB3114" s="82"/>
      <c r="AC3114" s="82"/>
      <c r="AD3114" s="82"/>
      <c r="AE3114" s="82"/>
      <c r="AF3114" s="82"/>
      <c r="AG3114" s="82"/>
      <c r="AH3114" s="82"/>
      <c r="AI3114" s="82"/>
      <c r="AJ3114" s="82"/>
      <c r="AK3114" s="82"/>
      <c r="AL3114" s="82"/>
      <c r="AM3114" s="82"/>
      <c r="AN3114" s="82"/>
      <c r="AO3114" s="82"/>
      <c r="AP3114" s="82"/>
      <c r="AQ3114" s="82"/>
      <c r="AR3114" s="82"/>
      <c r="AS3114" s="82"/>
      <c r="AT3114" s="82"/>
      <c r="AU3114" s="82"/>
      <c r="AV3114" s="82"/>
      <c r="AW3114" s="82" t="str">
        <f t="shared" si="1"/>
        <v/>
      </c>
      <c r="AX3114" s="83" t="str">
        <f t="array" ref="AX3114">IFERROR(DGET('SBV Import'!A:G,"SBV",{"RSC ID","Tier";B3114,A3114}))</f>
        <v/>
      </c>
      <c r="AY3114" s="82" t="str">
        <f t="shared" si="2"/>
        <v/>
      </c>
      <c r="AZ3114" s="82"/>
      <c r="BA3114" s="84" t="s">
        <v>152</v>
      </c>
      <c r="BB3114" s="84" t="str">
        <f>IFERROR(__xludf.DUMMYFUNCTION("iferror(if(A3114="""",,E3114&gt;=FILTER(Constants!$F$2:$F$10,Constants!$A$2:$A$10=A3114)))"),"")</f>
        <v/>
      </c>
    </row>
    <row r="3115">
      <c r="A3115" s="89"/>
      <c r="B3115" s="87"/>
      <c r="C3115" s="73"/>
      <c r="D3115" s="73"/>
      <c r="E3115" s="82"/>
      <c r="F3115" s="82"/>
      <c r="G3115" s="86"/>
      <c r="H3115" s="86"/>
      <c r="I3115" s="86"/>
      <c r="J3115" s="82"/>
      <c r="K3115" s="82"/>
      <c r="L3115" s="82"/>
      <c r="M3115" s="82"/>
      <c r="N3115" s="82"/>
      <c r="O3115" s="82"/>
      <c r="P3115" s="82"/>
      <c r="Q3115" s="82"/>
      <c r="R3115" s="82"/>
      <c r="S3115" s="82"/>
      <c r="T3115" s="82"/>
      <c r="U3115" s="82"/>
      <c r="V3115" s="82"/>
      <c r="W3115" s="82"/>
      <c r="X3115" s="82"/>
      <c r="Y3115" s="82"/>
      <c r="Z3115" s="82"/>
      <c r="AA3115" s="82"/>
      <c r="AB3115" s="82"/>
      <c r="AC3115" s="82"/>
      <c r="AD3115" s="82"/>
      <c r="AE3115" s="82"/>
      <c r="AF3115" s="82"/>
      <c r="AG3115" s="82"/>
      <c r="AH3115" s="82"/>
      <c r="AI3115" s="82"/>
      <c r="AJ3115" s="82"/>
      <c r="AK3115" s="82"/>
      <c r="AL3115" s="82"/>
      <c r="AM3115" s="82"/>
      <c r="AN3115" s="82"/>
      <c r="AO3115" s="82"/>
      <c r="AP3115" s="82"/>
      <c r="AQ3115" s="82"/>
      <c r="AR3115" s="82"/>
      <c r="AS3115" s="82"/>
      <c r="AT3115" s="82"/>
      <c r="AU3115" s="82"/>
      <c r="AV3115" s="82"/>
      <c r="AW3115" s="82" t="str">
        <f t="shared" si="1"/>
        <v/>
      </c>
      <c r="AX3115" s="83" t="str">
        <f t="array" ref="AX3115">IFERROR(DGET('SBV Import'!A:G,"SBV",{"RSC ID","Tier";B3115,A3115}))</f>
        <v/>
      </c>
      <c r="AY3115" s="82" t="str">
        <f t="shared" si="2"/>
        <v/>
      </c>
      <c r="AZ3115" s="82"/>
      <c r="BA3115" s="84" t="s">
        <v>152</v>
      </c>
      <c r="BB3115" s="84" t="str">
        <f>IFERROR(__xludf.DUMMYFUNCTION("iferror(if(A3115="""",,E3115&gt;=FILTER(Constants!$F$2:$F$10,Constants!$A$2:$A$10=A3115)))"),"")</f>
        <v/>
      </c>
    </row>
    <row r="3116">
      <c r="A3116" s="89"/>
      <c r="B3116" s="87"/>
      <c r="C3116" s="73"/>
      <c r="D3116" s="73"/>
      <c r="E3116" s="82"/>
      <c r="F3116" s="82"/>
      <c r="G3116" s="86"/>
      <c r="H3116" s="86"/>
      <c r="I3116" s="86"/>
      <c r="J3116" s="82"/>
      <c r="K3116" s="82"/>
      <c r="L3116" s="82"/>
      <c r="M3116" s="82"/>
      <c r="N3116" s="82"/>
      <c r="O3116" s="82"/>
      <c r="P3116" s="82"/>
      <c r="Q3116" s="82"/>
      <c r="R3116" s="82"/>
      <c r="S3116" s="82"/>
      <c r="T3116" s="82"/>
      <c r="U3116" s="82"/>
      <c r="V3116" s="82"/>
      <c r="W3116" s="82"/>
      <c r="X3116" s="82"/>
      <c r="Y3116" s="82"/>
      <c r="Z3116" s="82"/>
      <c r="AA3116" s="82"/>
      <c r="AB3116" s="82"/>
      <c r="AC3116" s="82"/>
      <c r="AD3116" s="82"/>
      <c r="AE3116" s="82"/>
      <c r="AF3116" s="82"/>
      <c r="AG3116" s="82"/>
      <c r="AH3116" s="82"/>
      <c r="AI3116" s="82"/>
      <c r="AJ3116" s="82"/>
      <c r="AK3116" s="82"/>
      <c r="AL3116" s="82"/>
      <c r="AM3116" s="82"/>
      <c r="AN3116" s="82"/>
      <c r="AO3116" s="82"/>
      <c r="AP3116" s="82"/>
      <c r="AQ3116" s="82"/>
      <c r="AR3116" s="82"/>
      <c r="AS3116" s="82"/>
      <c r="AT3116" s="82"/>
      <c r="AU3116" s="82"/>
      <c r="AV3116" s="82"/>
      <c r="AW3116" s="82" t="str">
        <f t="shared" si="1"/>
        <v/>
      </c>
      <c r="AX3116" s="83" t="str">
        <f t="array" ref="AX3116">IFERROR(DGET('SBV Import'!A:G,"SBV",{"RSC ID","Tier";B3116,A3116}))</f>
        <v/>
      </c>
      <c r="AY3116" s="82" t="str">
        <f t="shared" si="2"/>
        <v/>
      </c>
      <c r="AZ3116" s="82"/>
      <c r="BA3116" s="84" t="s">
        <v>152</v>
      </c>
      <c r="BB3116" s="84" t="str">
        <f>IFERROR(__xludf.DUMMYFUNCTION("iferror(if(A3116="""",,E3116&gt;=FILTER(Constants!$F$2:$F$10,Constants!$A$2:$A$10=A3116)))"),"")</f>
        <v/>
      </c>
    </row>
    <row r="3117">
      <c r="A3117" s="89"/>
      <c r="B3117" s="87"/>
      <c r="C3117" s="73"/>
      <c r="D3117" s="73"/>
      <c r="E3117" s="82"/>
      <c r="F3117" s="82"/>
      <c r="G3117" s="86"/>
      <c r="H3117" s="86"/>
      <c r="I3117" s="86"/>
      <c r="J3117" s="82"/>
      <c r="K3117" s="82"/>
      <c r="L3117" s="82"/>
      <c r="M3117" s="82"/>
      <c r="N3117" s="82"/>
      <c r="O3117" s="82"/>
      <c r="P3117" s="82"/>
      <c r="Q3117" s="82"/>
      <c r="R3117" s="82"/>
      <c r="S3117" s="82"/>
      <c r="T3117" s="82"/>
      <c r="U3117" s="82"/>
      <c r="V3117" s="82"/>
      <c r="W3117" s="82"/>
      <c r="X3117" s="82"/>
      <c r="Y3117" s="82"/>
      <c r="Z3117" s="82"/>
      <c r="AA3117" s="82"/>
      <c r="AB3117" s="82"/>
      <c r="AC3117" s="82"/>
      <c r="AD3117" s="82"/>
      <c r="AE3117" s="82"/>
      <c r="AF3117" s="82"/>
      <c r="AG3117" s="82"/>
      <c r="AH3117" s="82"/>
      <c r="AI3117" s="82"/>
      <c r="AJ3117" s="82"/>
      <c r="AK3117" s="82"/>
      <c r="AL3117" s="82"/>
      <c r="AM3117" s="82"/>
      <c r="AN3117" s="82"/>
      <c r="AO3117" s="82"/>
      <c r="AP3117" s="82"/>
      <c r="AQ3117" s="82"/>
      <c r="AR3117" s="82"/>
      <c r="AS3117" s="82"/>
      <c r="AT3117" s="82"/>
      <c r="AU3117" s="82"/>
      <c r="AV3117" s="82"/>
      <c r="AW3117" s="82" t="str">
        <f t="shared" si="1"/>
        <v/>
      </c>
      <c r="AX3117" s="83" t="str">
        <f t="array" ref="AX3117">IFERROR(DGET('SBV Import'!A:G,"SBV",{"RSC ID","Tier";B3117,A3117}))</f>
        <v/>
      </c>
      <c r="AY3117" s="82" t="str">
        <f t="shared" si="2"/>
        <v/>
      </c>
      <c r="AZ3117" s="82"/>
      <c r="BA3117" s="84" t="s">
        <v>152</v>
      </c>
      <c r="BB3117" s="84" t="str">
        <f>IFERROR(__xludf.DUMMYFUNCTION("iferror(if(A3117="""",,E3117&gt;=FILTER(Constants!$F$2:$F$10,Constants!$A$2:$A$10=A3117)))"),"")</f>
        <v/>
      </c>
    </row>
    <row r="3118">
      <c r="A3118" s="89"/>
      <c r="B3118" s="87"/>
      <c r="C3118" s="73"/>
      <c r="D3118" s="73"/>
      <c r="E3118" s="82"/>
      <c r="F3118" s="82"/>
      <c r="G3118" s="86"/>
      <c r="H3118" s="86"/>
      <c r="I3118" s="86"/>
      <c r="J3118" s="82"/>
      <c r="K3118" s="82"/>
      <c r="L3118" s="82"/>
      <c r="M3118" s="82"/>
      <c r="N3118" s="82"/>
      <c r="O3118" s="82"/>
      <c r="P3118" s="82"/>
      <c r="Q3118" s="82"/>
      <c r="R3118" s="82"/>
      <c r="S3118" s="82"/>
      <c r="T3118" s="82"/>
      <c r="U3118" s="82"/>
      <c r="V3118" s="82"/>
      <c r="W3118" s="82"/>
      <c r="X3118" s="82"/>
      <c r="Y3118" s="82"/>
      <c r="Z3118" s="82"/>
      <c r="AA3118" s="82"/>
      <c r="AB3118" s="82"/>
      <c r="AC3118" s="82"/>
      <c r="AD3118" s="82"/>
      <c r="AE3118" s="82"/>
      <c r="AF3118" s="82"/>
      <c r="AG3118" s="82"/>
      <c r="AH3118" s="82"/>
      <c r="AI3118" s="82"/>
      <c r="AJ3118" s="82"/>
      <c r="AK3118" s="82"/>
      <c r="AL3118" s="82"/>
      <c r="AM3118" s="82"/>
      <c r="AN3118" s="82"/>
      <c r="AO3118" s="82"/>
      <c r="AP3118" s="82"/>
      <c r="AQ3118" s="82"/>
      <c r="AR3118" s="82"/>
      <c r="AS3118" s="82"/>
      <c r="AT3118" s="82"/>
      <c r="AU3118" s="82"/>
      <c r="AV3118" s="82"/>
      <c r="AW3118" s="82" t="str">
        <f t="shared" si="1"/>
        <v/>
      </c>
      <c r="AX3118" s="83" t="str">
        <f t="array" ref="AX3118">IFERROR(DGET('SBV Import'!A:G,"SBV",{"RSC ID","Tier";B3118,A3118}))</f>
        <v/>
      </c>
      <c r="AY3118" s="82" t="str">
        <f t="shared" si="2"/>
        <v/>
      </c>
      <c r="AZ3118" s="82"/>
      <c r="BA3118" s="84" t="s">
        <v>152</v>
      </c>
      <c r="BB3118" s="84" t="str">
        <f>IFERROR(__xludf.DUMMYFUNCTION("iferror(if(A3118="""",,E3118&gt;=FILTER(Constants!$F$2:$F$10,Constants!$A$2:$A$10=A3118)))"),"")</f>
        <v/>
      </c>
    </row>
    <row r="3119">
      <c r="A3119" s="89"/>
      <c r="B3119" s="87"/>
      <c r="C3119" s="73"/>
      <c r="D3119" s="73"/>
      <c r="E3119" s="82"/>
      <c r="F3119" s="82"/>
      <c r="G3119" s="86"/>
      <c r="H3119" s="86"/>
      <c r="I3119" s="86"/>
      <c r="J3119" s="82"/>
      <c r="K3119" s="82"/>
      <c r="L3119" s="82"/>
      <c r="M3119" s="82"/>
      <c r="N3119" s="82"/>
      <c r="O3119" s="82"/>
      <c r="P3119" s="82"/>
      <c r="Q3119" s="82"/>
      <c r="R3119" s="82"/>
      <c r="S3119" s="82"/>
      <c r="T3119" s="82"/>
      <c r="U3119" s="82"/>
      <c r="V3119" s="82"/>
      <c r="W3119" s="82"/>
      <c r="X3119" s="82"/>
      <c r="Y3119" s="82"/>
      <c r="Z3119" s="82"/>
      <c r="AA3119" s="82"/>
      <c r="AB3119" s="82"/>
      <c r="AC3119" s="82"/>
      <c r="AD3119" s="82"/>
      <c r="AE3119" s="82"/>
      <c r="AF3119" s="82"/>
      <c r="AG3119" s="82"/>
      <c r="AH3119" s="82"/>
      <c r="AI3119" s="82"/>
      <c r="AJ3119" s="82"/>
      <c r="AK3119" s="82"/>
      <c r="AL3119" s="82"/>
      <c r="AM3119" s="82"/>
      <c r="AN3119" s="82"/>
      <c r="AO3119" s="82"/>
      <c r="AP3119" s="82"/>
      <c r="AQ3119" s="82"/>
      <c r="AR3119" s="82"/>
      <c r="AS3119" s="82"/>
      <c r="AT3119" s="82"/>
      <c r="AU3119" s="82"/>
      <c r="AV3119" s="82"/>
      <c r="AW3119" s="82" t="str">
        <f t="shared" si="1"/>
        <v/>
      </c>
      <c r="AX3119" s="83" t="str">
        <f t="array" ref="AX3119">IFERROR(DGET('SBV Import'!A:G,"SBV",{"RSC ID","Tier";B3119,A3119}))</f>
        <v/>
      </c>
      <c r="AY3119" s="82" t="str">
        <f t="shared" si="2"/>
        <v/>
      </c>
      <c r="AZ3119" s="82"/>
      <c r="BA3119" s="84" t="s">
        <v>152</v>
      </c>
      <c r="BB3119" s="84" t="str">
        <f>IFERROR(__xludf.DUMMYFUNCTION("iferror(if(A3119="""",,E3119&gt;=FILTER(Constants!$F$2:$F$10,Constants!$A$2:$A$10=A3119)))"),"")</f>
        <v/>
      </c>
    </row>
    <row r="3120">
      <c r="A3120" s="89"/>
      <c r="B3120" s="87"/>
      <c r="C3120" s="73"/>
      <c r="D3120" s="73"/>
      <c r="E3120" s="82"/>
      <c r="F3120" s="82"/>
      <c r="G3120" s="86"/>
      <c r="H3120" s="86"/>
      <c r="I3120" s="86"/>
      <c r="J3120" s="82"/>
      <c r="K3120" s="82"/>
      <c r="L3120" s="82"/>
      <c r="M3120" s="82"/>
      <c r="N3120" s="82"/>
      <c r="O3120" s="82"/>
      <c r="P3120" s="82"/>
      <c r="Q3120" s="82"/>
      <c r="R3120" s="82"/>
      <c r="S3120" s="82"/>
      <c r="T3120" s="82"/>
      <c r="U3120" s="82"/>
      <c r="V3120" s="82"/>
      <c r="W3120" s="82"/>
      <c r="X3120" s="82"/>
      <c r="Y3120" s="82"/>
      <c r="Z3120" s="82"/>
      <c r="AA3120" s="82"/>
      <c r="AB3120" s="82"/>
      <c r="AC3120" s="82"/>
      <c r="AD3120" s="82"/>
      <c r="AE3120" s="82"/>
      <c r="AF3120" s="82"/>
      <c r="AG3120" s="82"/>
      <c r="AH3120" s="82"/>
      <c r="AI3120" s="82"/>
      <c r="AJ3120" s="82"/>
      <c r="AK3120" s="82"/>
      <c r="AL3120" s="82"/>
      <c r="AM3120" s="82"/>
      <c r="AN3120" s="82"/>
      <c r="AO3120" s="82"/>
      <c r="AP3120" s="82"/>
      <c r="AQ3120" s="82"/>
      <c r="AR3120" s="82"/>
      <c r="AS3120" s="82"/>
      <c r="AT3120" s="82"/>
      <c r="AU3120" s="82"/>
      <c r="AV3120" s="82"/>
      <c r="AW3120" s="82" t="str">
        <f t="shared" si="1"/>
        <v/>
      </c>
      <c r="AX3120" s="83" t="str">
        <f t="array" ref="AX3120">IFERROR(DGET('SBV Import'!A:G,"SBV",{"RSC ID","Tier";B3120,A3120}))</f>
        <v/>
      </c>
      <c r="AY3120" s="82" t="str">
        <f t="shared" si="2"/>
        <v/>
      </c>
      <c r="AZ3120" s="82"/>
      <c r="BA3120" s="84" t="s">
        <v>152</v>
      </c>
      <c r="BB3120" s="84" t="str">
        <f>IFERROR(__xludf.DUMMYFUNCTION("iferror(if(A3120="""",,E3120&gt;=FILTER(Constants!$F$2:$F$10,Constants!$A$2:$A$10=A3120)))"),"")</f>
        <v/>
      </c>
    </row>
    <row r="3121">
      <c r="A3121" s="89"/>
      <c r="B3121" s="87"/>
      <c r="C3121" s="73"/>
      <c r="D3121" s="73"/>
      <c r="E3121" s="82"/>
      <c r="F3121" s="82"/>
      <c r="G3121" s="86"/>
      <c r="H3121" s="86"/>
      <c r="I3121" s="86"/>
      <c r="J3121" s="82"/>
      <c r="K3121" s="82"/>
      <c r="L3121" s="82"/>
      <c r="M3121" s="82"/>
      <c r="N3121" s="82"/>
      <c r="O3121" s="82"/>
      <c r="P3121" s="82"/>
      <c r="Q3121" s="82"/>
      <c r="R3121" s="82"/>
      <c r="S3121" s="82"/>
      <c r="T3121" s="82"/>
      <c r="U3121" s="82"/>
      <c r="V3121" s="82"/>
      <c r="W3121" s="82"/>
      <c r="X3121" s="82"/>
      <c r="Y3121" s="82"/>
      <c r="Z3121" s="82"/>
      <c r="AA3121" s="82"/>
      <c r="AB3121" s="82"/>
      <c r="AC3121" s="82"/>
      <c r="AD3121" s="82"/>
      <c r="AE3121" s="82"/>
      <c r="AF3121" s="82"/>
      <c r="AG3121" s="82"/>
      <c r="AH3121" s="82"/>
      <c r="AI3121" s="82"/>
      <c r="AJ3121" s="82"/>
      <c r="AK3121" s="82"/>
      <c r="AL3121" s="82"/>
      <c r="AM3121" s="82"/>
      <c r="AN3121" s="82"/>
      <c r="AO3121" s="82"/>
      <c r="AP3121" s="82"/>
      <c r="AQ3121" s="82"/>
      <c r="AR3121" s="82"/>
      <c r="AS3121" s="82"/>
      <c r="AT3121" s="82"/>
      <c r="AU3121" s="82"/>
      <c r="AV3121" s="82"/>
      <c r="AW3121" s="82" t="str">
        <f t="shared" si="1"/>
        <v/>
      </c>
      <c r="AX3121" s="83" t="str">
        <f t="array" ref="AX3121">IFERROR(DGET('SBV Import'!A:G,"SBV",{"RSC ID","Tier";B3121,A3121}))</f>
        <v/>
      </c>
      <c r="AY3121" s="82" t="str">
        <f t="shared" si="2"/>
        <v/>
      </c>
      <c r="AZ3121" s="82"/>
      <c r="BA3121" s="84" t="s">
        <v>152</v>
      </c>
      <c r="BB3121" s="84" t="str">
        <f>IFERROR(__xludf.DUMMYFUNCTION("iferror(if(A3121="""",,E3121&gt;=FILTER(Constants!$F$2:$F$10,Constants!$A$2:$A$10=A3121)))"),"")</f>
        <v/>
      </c>
    </row>
    <row r="3122">
      <c r="A3122" s="89"/>
      <c r="B3122" s="87"/>
      <c r="C3122" s="73"/>
      <c r="D3122" s="73"/>
      <c r="E3122" s="82"/>
      <c r="F3122" s="82"/>
      <c r="G3122" s="86"/>
      <c r="H3122" s="86"/>
      <c r="I3122" s="86"/>
      <c r="J3122" s="82"/>
      <c r="K3122" s="82"/>
      <c r="L3122" s="82"/>
      <c r="M3122" s="82"/>
      <c r="N3122" s="82"/>
      <c r="O3122" s="82"/>
      <c r="P3122" s="82"/>
      <c r="Q3122" s="82"/>
      <c r="R3122" s="82"/>
      <c r="S3122" s="82"/>
      <c r="T3122" s="82"/>
      <c r="U3122" s="82"/>
      <c r="V3122" s="82"/>
      <c r="W3122" s="82"/>
      <c r="X3122" s="82"/>
      <c r="Y3122" s="82"/>
      <c r="Z3122" s="82"/>
      <c r="AA3122" s="82"/>
      <c r="AB3122" s="82"/>
      <c r="AC3122" s="82"/>
      <c r="AD3122" s="82"/>
      <c r="AE3122" s="82"/>
      <c r="AF3122" s="82"/>
      <c r="AG3122" s="82"/>
      <c r="AH3122" s="82"/>
      <c r="AI3122" s="82"/>
      <c r="AJ3122" s="82"/>
      <c r="AK3122" s="82"/>
      <c r="AL3122" s="82"/>
      <c r="AM3122" s="82"/>
      <c r="AN3122" s="82"/>
      <c r="AO3122" s="82"/>
      <c r="AP3122" s="82"/>
      <c r="AQ3122" s="82"/>
      <c r="AR3122" s="82"/>
      <c r="AS3122" s="82"/>
      <c r="AT3122" s="82"/>
      <c r="AU3122" s="82"/>
      <c r="AV3122" s="82"/>
      <c r="AW3122" s="82" t="str">
        <f t="shared" si="1"/>
        <v/>
      </c>
      <c r="AX3122" s="83" t="str">
        <f t="array" ref="AX3122">IFERROR(DGET('SBV Import'!A:G,"SBV",{"RSC ID","Tier";B3122,A3122}))</f>
        <v/>
      </c>
      <c r="AY3122" s="82" t="str">
        <f t="shared" si="2"/>
        <v/>
      </c>
      <c r="AZ3122" s="82"/>
      <c r="BA3122" s="84" t="s">
        <v>152</v>
      </c>
      <c r="BB3122" s="84" t="str">
        <f>IFERROR(__xludf.DUMMYFUNCTION("iferror(if(A3122="""",,E3122&gt;=FILTER(Constants!$F$2:$F$10,Constants!$A$2:$A$10=A3122)))"),"")</f>
        <v/>
      </c>
    </row>
    <row r="3123">
      <c r="A3123" s="89"/>
      <c r="B3123" s="87"/>
      <c r="C3123" s="73"/>
      <c r="D3123" s="73"/>
      <c r="E3123" s="82"/>
      <c r="F3123" s="82"/>
      <c r="G3123" s="86"/>
      <c r="H3123" s="86"/>
      <c r="I3123" s="86"/>
      <c r="J3123" s="82"/>
      <c r="K3123" s="82"/>
      <c r="L3123" s="82"/>
      <c r="M3123" s="82"/>
      <c r="N3123" s="82"/>
      <c r="O3123" s="82"/>
      <c r="P3123" s="82"/>
      <c r="Q3123" s="82"/>
      <c r="R3123" s="82"/>
      <c r="S3123" s="82"/>
      <c r="T3123" s="82"/>
      <c r="U3123" s="82"/>
      <c r="V3123" s="82"/>
      <c r="W3123" s="82"/>
      <c r="X3123" s="82"/>
      <c r="Y3123" s="82"/>
      <c r="Z3123" s="82"/>
      <c r="AA3123" s="82"/>
      <c r="AB3123" s="82"/>
      <c r="AC3123" s="82"/>
      <c r="AD3123" s="82"/>
      <c r="AE3123" s="82"/>
      <c r="AF3123" s="82"/>
      <c r="AG3123" s="82"/>
      <c r="AH3123" s="82"/>
      <c r="AI3123" s="82"/>
      <c r="AJ3123" s="82"/>
      <c r="AK3123" s="82"/>
      <c r="AL3123" s="82"/>
      <c r="AM3123" s="82"/>
      <c r="AN3123" s="82"/>
      <c r="AO3123" s="82"/>
      <c r="AP3123" s="82"/>
      <c r="AQ3123" s="82"/>
      <c r="AR3123" s="82"/>
      <c r="AS3123" s="82"/>
      <c r="AT3123" s="82"/>
      <c r="AU3123" s="82"/>
      <c r="AV3123" s="82"/>
      <c r="AW3123" s="82" t="str">
        <f t="shared" si="1"/>
        <v/>
      </c>
      <c r="AX3123" s="83" t="str">
        <f t="array" ref="AX3123">IFERROR(DGET('SBV Import'!A:G,"SBV",{"RSC ID","Tier";B3123,A3123}))</f>
        <v/>
      </c>
      <c r="AY3123" s="82" t="str">
        <f t="shared" si="2"/>
        <v/>
      </c>
      <c r="AZ3123" s="82"/>
      <c r="BA3123" s="84" t="s">
        <v>152</v>
      </c>
      <c r="BB3123" s="84" t="str">
        <f>IFERROR(__xludf.DUMMYFUNCTION("iferror(if(A3123="""",,E3123&gt;=FILTER(Constants!$F$2:$F$10,Constants!$A$2:$A$10=A3123)))"),"")</f>
        <v/>
      </c>
    </row>
    <row r="3124">
      <c r="A3124" s="89"/>
      <c r="B3124" s="87"/>
      <c r="C3124" s="73"/>
      <c r="D3124" s="73"/>
      <c r="E3124" s="82"/>
      <c r="F3124" s="82"/>
      <c r="G3124" s="86"/>
      <c r="H3124" s="86"/>
      <c r="I3124" s="86"/>
      <c r="J3124" s="82"/>
      <c r="K3124" s="82"/>
      <c r="L3124" s="82"/>
      <c r="M3124" s="82"/>
      <c r="N3124" s="82"/>
      <c r="O3124" s="82"/>
      <c r="P3124" s="82"/>
      <c r="Q3124" s="82"/>
      <c r="R3124" s="82"/>
      <c r="S3124" s="82"/>
      <c r="T3124" s="82"/>
      <c r="U3124" s="82"/>
      <c r="V3124" s="82"/>
      <c r="W3124" s="82"/>
      <c r="X3124" s="82"/>
      <c r="Y3124" s="82"/>
      <c r="Z3124" s="82"/>
      <c r="AA3124" s="82"/>
      <c r="AB3124" s="82"/>
      <c r="AC3124" s="82"/>
      <c r="AD3124" s="82"/>
      <c r="AE3124" s="82"/>
      <c r="AF3124" s="82"/>
      <c r="AG3124" s="82"/>
      <c r="AH3124" s="82"/>
      <c r="AI3124" s="82"/>
      <c r="AJ3124" s="82"/>
      <c r="AK3124" s="82"/>
      <c r="AL3124" s="82"/>
      <c r="AM3124" s="82"/>
      <c r="AN3124" s="82"/>
      <c r="AO3124" s="82"/>
      <c r="AP3124" s="82"/>
      <c r="AQ3124" s="82"/>
      <c r="AR3124" s="82"/>
      <c r="AS3124" s="82"/>
      <c r="AT3124" s="82"/>
      <c r="AU3124" s="82"/>
      <c r="AV3124" s="82"/>
      <c r="AW3124" s="82" t="str">
        <f t="shared" si="1"/>
        <v/>
      </c>
      <c r="AX3124" s="83" t="str">
        <f t="array" ref="AX3124">IFERROR(DGET('SBV Import'!A:G,"SBV",{"RSC ID","Tier";B3124,A3124}))</f>
        <v/>
      </c>
      <c r="AY3124" s="82" t="str">
        <f t="shared" si="2"/>
        <v/>
      </c>
      <c r="AZ3124" s="82"/>
      <c r="BA3124" s="84" t="s">
        <v>152</v>
      </c>
      <c r="BB3124" s="84" t="str">
        <f>IFERROR(__xludf.DUMMYFUNCTION("iferror(if(A3124="""",,E3124&gt;=FILTER(Constants!$F$2:$F$10,Constants!$A$2:$A$10=A3124)))"),"")</f>
        <v/>
      </c>
    </row>
    <row r="3125">
      <c r="A3125" s="89"/>
      <c r="B3125" s="87"/>
      <c r="C3125" s="73"/>
      <c r="D3125" s="73"/>
      <c r="E3125" s="82"/>
      <c r="F3125" s="82"/>
      <c r="G3125" s="86"/>
      <c r="H3125" s="86"/>
      <c r="I3125" s="86"/>
      <c r="J3125" s="82"/>
      <c r="K3125" s="82"/>
      <c r="L3125" s="82"/>
      <c r="M3125" s="82"/>
      <c r="N3125" s="82"/>
      <c r="O3125" s="82"/>
      <c r="P3125" s="82"/>
      <c r="Q3125" s="82"/>
      <c r="R3125" s="82"/>
      <c r="S3125" s="82"/>
      <c r="T3125" s="82"/>
      <c r="U3125" s="82"/>
      <c r="V3125" s="82"/>
      <c r="W3125" s="82"/>
      <c r="X3125" s="82"/>
      <c r="Y3125" s="82"/>
      <c r="Z3125" s="82"/>
      <c r="AA3125" s="82"/>
      <c r="AB3125" s="82"/>
      <c r="AC3125" s="82"/>
      <c r="AD3125" s="82"/>
      <c r="AE3125" s="82"/>
      <c r="AF3125" s="82"/>
      <c r="AG3125" s="82"/>
      <c r="AH3125" s="82"/>
      <c r="AI3125" s="82"/>
      <c r="AJ3125" s="82"/>
      <c r="AK3125" s="82"/>
      <c r="AL3125" s="82"/>
      <c r="AM3125" s="82"/>
      <c r="AN3125" s="82"/>
      <c r="AO3125" s="82"/>
      <c r="AP3125" s="82"/>
      <c r="AQ3125" s="82"/>
      <c r="AR3125" s="82"/>
      <c r="AS3125" s="82"/>
      <c r="AT3125" s="82"/>
      <c r="AU3125" s="82"/>
      <c r="AV3125" s="82"/>
      <c r="AW3125" s="82" t="str">
        <f t="shared" si="1"/>
        <v/>
      </c>
      <c r="AX3125" s="83" t="str">
        <f t="array" ref="AX3125">IFERROR(DGET('SBV Import'!A:G,"SBV",{"RSC ID","Tier";B3125,A3125}))</f>
        <v/>
      </c>
      <c r="AY3125" s="82" t="str">
        <f t="shared" si="2"/>
        <v/>
      </c>
      <c r="AZ3125" s="82"/>
      <c r="BA3125" s="84" t="s">
        <v>152</v>
      </c>
      <c r="BB3125" s="84" t="str">
        <f>IFERROR(__xludf.DUMMYFUNCTION("iferror(if(A3125="""",,E3125&gt;=FILTER(Constants!$F$2:$F$10,Constants!$A$2:$A$10=A3125)))"),"")</f>
        <v/>
      </c>
    </row>
    <row r="3126">
      <c r="A3126" s="89"/>
      <c r="B3126" s="87"/>
      <c r="C3126" s="73"/>
      <c r="D3126" s="73"/>
      <c r="E3126" s="82"/>
      <c r="F3126" s="82"/>
      <c r="G3126" s="86"/>
      <c r="H3126" s="86"/>
      <c r="I3126" s="86"/>
      <c r="J3126" s="82"/>
      <c r="K3126" s="82"/>
      <c r="L3126" s="82"/>
      <c r="M3126" s="82"/>
      <c r="N3126" s="82"/>
      <c r="O3126" s="82"/>
      <c r="P3126" s="82"/>
      <c r="Q3126" s="82"/>
      <c r="R3126" s="82"/>
      <c r="S3126" s="82"/>
      <c r="T3126" s="82"/>
      <c r="U3126" s="82"/>
      <c r="V3126" s="82"/>
      <c r="W3126" s="82"/>
      <c r="X3126" s="82"/>
      <c r="Y3126" s="82"/>
      <c r="Z3126" s="82"/>
      <c r="AA3126" s="82"/>
      <c r="AB3126" s="82"/>
      <c r="AC3126" s="82"/>
      <c r="AD3126" s="82"/>
      <c r="AE3126" s="82"/>
      <c r="AF3126" s="82"/>
      <c r="AG3126" s="82"/>
      <c r="AH3126" s="82"/>
      <c r="AI3126" s="82"/>
      <c r="AJ3126" s="82"/>
      <c r="AK3126" s="82"/>
      <c r="AL3126" s="82"/>
      <c r="AM3126" s="82"/>
      <c r="AN3126" s="82"/>
      <c r="AO3126" s="82"/>
      <c r="AP3126" s="82"/>
      <c r="AQ3126" s="82"/>
      <c r="AR3126" s="82"/>
      <c r="AS3126" s="82"/>
      <c r="AT3126" s="82"/>
      <c r="AU3126" s="82"/>
      <c r="AV3126" s="82"/>
      <c r="AW3126" s="82" t="str">
        <f t="shared" si="1"/>
        <v/>
      </c>
      <c r="AX3126" s="83" t="str">
        <f t="array" ref="AX3126">IFERROR(DGET('SBV Import'!A:G,"SBV",{"RSC ID","Tier";B3126,A3126}))</f>
        <v/>
      </c>
      <c r="AY3126" s="82" t="str">
        <f t="shared" si="2"/>
        <v/>
      </c>
      <c r="AZ3126" s="82"/>
      <c r="BA3126" s="84" t="s">
        <v>152</v>
      </c>
      <c r="BB3126" s="84" t="str">
        <f>IFERROR(__xludf.DUMMYFUNCTION("iferror(if(A3126="""",,E3126&gt;=FILTER(Constants!$F$2:$F$10,Constants!$A$2:$A$10=A3126)))"),"")</f>
        <v/>
      </c>
    </row>
    <row r="3127">
      <c r="A3127" s="89"/>
      <c r="B3127" s="87"/>
      <c r="C3127" s="73"/>
      <c r="D3127" s="73"/>
      <c r="E3127" s="82"/>
      <c r="F3127" s="82"/>
      <c r="G3127" s="86"/>
      <c r="H3127" s="86"/>
      <c r="I3127" s="86"/>
      <c r="J3127" s="82"/>
      <c r="K3127" s="82"/>
      <c r="L3127" s="82"/>
      <c r="M3127" s="82"/>
      <c r="N3127" s="82"/>
      <c r="O3127" s="82"/>
      <c r="P3127" s="82"/>
      <c r="Q3127" s="82"/>
      <c r="R3127" s="82"/>
      <c r="S3127" s="82"/>
      <c r="T3127" s="82"/>
      <c r="U3127" s="82"/>
      <c r="V3127" s="82"/>
      <c r="W3127" s="82"/>
      <c r="X3127" s="82"/>
      <c r="Y3127" s="82"/>
      <c r="Z3127" s="82"/>
      <c r="AA3127" s="82"/>
      <c r="AB3127" s="82"/>
      <c r="AC3127" s="82"/>
      <c r="AD3127" s="82"/>
      <c r="AE3127" s="82"/>
      <c r="AF3127" s="82"/>
      <c r="AG3127" s="82"/>
      <c r="AH3127" s="82"/>
      <c r="AI3127" s="82"/>
      <c r="AJ3127" s="82"/>
      <c r="AK3127" s="82"/>
      <c r="AL3127" s="82"/>
      <c r="AM3127" s="82"/>
      <c r="AN3127" s="82"/>
      <c r="AO3127" s="82"/>
      <c r="AP3127" s="82"/>
      <c r="AQ3127" s="82"/>
      <c r="AR3127" s="82"/>
      <c r="AS3127" s="82"/>
      <c r="AT3127" s="82"/>
      <c r="AU3127" s="82"/>
      <c r="AV3127" s="82"/>
      <c r="AW3127" s="82" t="str">
        <f t="shared" si="1"/>
        <v/>
      </c>
      <c r="AX3127" s="83" t="str">
        <f t="array" ref="AX3127">IFERROR(DGET('SBV Import'!A:G,"SBV",{"RSC ID","Tier";B3127,A3127}))</f>
        <v/>
      </c>
      <c r="AY3127" s="82" t="str">
        <f t="shared" si="2"/>
        <v/>
      </c>
      <c r="AZ3127" s="82"/>
      <c r="BA3127" s="84" t="s">
        <v>152</v>
      </c>
      <c r="BB3127" s="84" t="str">
        <f>IFERROR(__xludf.DUMMYFUNCTION("iferror(if(A3127="""",,E3127&gt;=FILTER(Constants!$F$2:$F$10,Constants!$A$2:$A$10=A3127)))"),"")</f>
        <v/>
      </c>
    </row>
    <row r="3128">
      <c r="A3128" s="89"/>
      <c r="B3128" s="87"/>
      <c r="C3128" s="73"/>
      <c r="D3128" s="73"/>
      <c r="E3128" s="82"/>
      <c r="F3128" s="82"/>
      <c r="G3128" s="86"/>
      <c r="H3128" s="86"/>
      <c r="I3128" s="86"/>
      <c r="J3128" s="82"/>
      <c r="K3128" s="82"/>
      <c r="L3128" s="82"/>
      <c r="M3128" s="82"/>
      <c r="N3128" s="82"/>
      <c r="O3128" s="82"/>
      <c r="P3128" s="82"/>
      <c r="Q3128" s="82"/>
      <c r="R3128" s="82"/>
      <c r="S3128" s="82"/>
      <c r="T3128" s="82"/>
      <c r="U3128" s="82"/>
      <c r="V3128" s="82"/>
      <c r="W3128" s="82"/>
      <c r="X3128" s="82"/>
      <c r="Y3128" s="82"/>
      <c r="Z3128" s="82"/>
      <c r="AA3128" s="82"/>
      <c r="AB3128" s="82"/>
      <c r="AC3128" s="82"/>
      <c r="AD3128" s="82"/>
      <c r="AE3128" s="82"/>
      <c r="AF3128" s="82"/>
      <c r="AG3128" s="82"/>
      <c r="AH3128" s="82"/>
      <c r="AI3128" s="82"/>
      <c r="AJ3128" s="82"/>
      <c r="AK3128" s="82"/>
      <c r="AL3128" s="82"/>
      <c r="AM3128" s="82"/>
      <c r="AN3128" s="82"/>
      <c r="AO3128" s="82"/>
      <c r="AP3128" s="82"/>
      <c r="AQ3128" s="82"/>
      <c r="AR3128" s="82"/>
      <c r="AS3128" s="82"/>
      <c r="AT3128" s="82"/>
      <c r="AU3128" s="82"/>
      <c r="AV3128" s="82"/>
      <c r="AW3128" s="82" t="str">
        <f t="shared" si="1"/>
        <v/>
      </c>
      <c r="AX3128" s="83" t="str">
        <f t="array" ref="AX3128">IFERROR(DGET('SBV Import'!A:G,"SBV",{"RSC ID","Tier";B3128,A3128}))</f>
        <v/>
      </c>
      <c r="AY3128" s="82" t="str">
        <f t="shared" si="2"/>
        <v/>
      </c>
      <c r="AZ3128" s="82"/>
      <c r="BA3128" s="84" t="s">
        <v>152</v>
      </c>
      <c r="BB3128" s="84" t="str">
        <f>IFERROR(__xludf.DUMMYFUNCTION("iferror(if(A3128="""",,E3128&gt;=FILTER(Constants!$F$2:$F$10,Constants!$A$2:$A$10=A3128)))"),"")</f>
        <v/>
      </c>
    </row>
    <row r="3129">
      <c r="A3129" s="89"/>
      <c r="B3129" s="87"/>
      <c r="C3129" s="73"/>
      <c r="D3129" s="73"/>
      <c r="E3129" s="82"/>
      <c r="F3129" s="82"/>
      <c r="G3129" s="86"/>
      <c r="H3129" s="86"/>
      <c r="I3129" s="86"/>
      <c r="J3129" s="82"/>
      <c r="K3129" s="82"/>
      <c r="L3129" s="82"/>
      <c r="M3129" s="82"/>
      <c r="N3129" s="82"/>
      <c r="O3129" s="82"/>
      <c r="P3129" s="82"/>
      <c r="Q3129" s="82"/>
      <c r="R3129" s="82"/>
      <c r="S3129" s="82"/>
      <c r="T3129" s="82"/>
      <c r="U3129" s="82"/>
      <c r="V3129" s="82"/>
      <c r="W3129" s="82"/>
      <c r="X3129" s="82"/>
      <c r="Y3129" s="82"/>
      <c r="Z3129" s="82"/>
      <c r="AA3129" s="82"/>
      <c r="AB3129" s="82"/>
      <c r="AC3129" s="82"/>
      <c r="AD3129" s="82"/>
      <c r="AE3129" s="82"/>
      <c r="AF3129" s="82"/>
      <c r="AG3129" s="82"/>
      <c r="AH3129" s="82"/>
      <c r="AI3129" s="82"/>
      <c r="AJ3129" s="82"/>
      <c r="AK3129" s="82"/>
      <c r="AL3129" s="82"/>
      <c r="AM3129" s="82"/>
      <c r="AN3129" s="82"/>
      <c r="AO3129" s="82"/>
      <c r="AP3129" s="82"/>
      <c r="AQ3129" s="82"/>
      <c r="AR3129" s="82"/>
      <c r="AS3129" s="82"/>
      <c r="AT3129" s="82"/>
      <c r="AU3129" s="82"/>
      <c r="AV3129" s="82"/>
      <c r="AW3129" s="82" t="str">
        <f t="shared" si="1"/>
        <v/>
      </c>
      <c r="AX3129" s="83" t="str">
        <f t="array" ref="AX3129">IFERROR(DGET('SBV Import'!A:G,"SBV",{"RSC ID","Tier";B3129,A3129}))</f>
        <v/>
      </c>
      <c r="AY3129" s="82" t="str">
        <f t="shared" si="2"/>
        <v/>
      </c>
      <c r="AZ3129" s="82"/>
      <c r="BA3129" s="84" t="s">
        <v>152</v>
      </c>
      <c r="BB3129" s="84" t="str">
        <f>IFERROR(__xludf.DUMMYFUNCTION("iferror(if(A3129="""",,E3129&gt;=FILTER(Constants!$F$2:$F$10,Constants!$A$2:$A$10=A3129)))"),"")</f>
        <v/>
      </c>
    </row>
    <row r="3130">
      <c r="A3130" s="89"/>
      <c r="B3130" s="87"/>
      <c r="C3130" s="73"/>
      <c r="D3130" s="73"/>
      <c r="E3130" s="82"/>
      <c r="F3130" s="82"/>
      <c r="G3130" s="86"/>
      <c r="H3130" s="86"/>
      <c r="I3130" s="86"/>
      <c r="J3130" s="82"/>
      <c r="K3130" s="82"/>
      <c r="L3130" s="82"/>
      <c r="M3130" s="82"/>
      <c r="N3130" s="82"/>
      <c r="O3130" s="82"/>
      <c r="P3130" s="82"/>
      <c r="Q3130" s="82"/>
      <c r="R3130" s="82"/>
      <c r="S3130" s="82"/>
      <c r="T3130" s="82"/>
      <c r="U3130" s="82"/>
      <c r="V3130" s="82"/>
      <c r="W3130" s="82"/>
      <c r="X3130" s="82"/>
      <c r="Y3130" s="82"/>
      <c r="Z3130" s="82"/>
      <c r="AA3130" s="82"/>
      <c r="AB3130" s="82"/>
      <c r="AC3130" s="82"/>
      <c r="AD3130" s="82"/>
      <c r="AE3130" s="82"/>
      <c r="AF3130" s="82"/>
      <c r="AG3130" s="82"/>
      <c r="AH3130" s="82"/>
      <c r="AI3130" s="82"/>
      <c r="AJ3130" s="82"/>
      <c r="AK3130" s="82"/>
      <c r="AL3130" s="82"/>
      <c r="AM3130" s="82"/>
      <c r="AN3130" s="82"/>
      <c r="AO3130" s="82"/>
      <c r="AP3130" s="82"/>
      <c r="AQ3130" s="82"/>
      <c r="AR3130" s="82"/>
      <c r="AS3130" s="82"/>
      <c r="AT3130" s="82"/>
      <c r="AU3130" s="82"/>
      <c r="AV3130" s="82"/>
      <c r="AW3130" s="82" t="str">
        <f t="shared" si="1"/>
        <v/>
      </c>
      <c r="AX3130" s="83" t="str">
        <f t="array" ref="AX3130">IFERROR(DGET('SBV Import'!A:G,"SBV",{"RSC ID","Tier";B3130,A3130}))</f>
        <v/>
      </c>
      <c r="AY3130" s="82" t="str">
        <f t="shared" si="2"/>
        <v/>
      </c>
      <c r="AZ3130" s="82"/>
      <c r="BA3130" s="84" t="s">
        <v>152</v>
      </c>
      <c r="BB3130" s="84" t="str">
        <f>IFERROR(__xludf.DUMMYFUNCTION("iferror(if(A3130="""",,E3130&gt;=FILTER(Constants!$F$2:$F$10,Constants!$A$2:$A$10=A3130)))"),"")</f>
        <v/>
      </c>
    </row>
    <row r="3131">
      <c r="A3131" s="89"/>
      <c r="B3131" s="87"/>
      <c r="C3131" s="73"/>
      <c r="D3131" s="73"/>
      <c r="E3131" s="82"/>
      <c r="F3131" s="82"/>
      <c r="G3131" s="86"/>
      <c r="H3131" s="86"/>
      <c r="I3131" s="86"/>
      <c r="J3131" s="82"/>
      <c r="K3131" s="82"/>
      <c r="L3131" s="82"/>
      <c r="M3131" s="82"/>
      <c r="N3131" s="82"/>
      <c r="O3131" s="82"/>
      <c r="P3131" s="82"/>
      <c r="Q3131" s="82"/>
      <c r="R3131" s="82"/>
      <c r="S3131" s="82"/>
      <c r="T3131" s="82"/>
      <c r="U3131" s="82"/>
      <c r="V3131" s="82"/>
      <c r="W3131" s="82"/>
      <c r="X3131" s="82"/>
      <c r="Y3131" s="82"/>
      <c r="Z3131" s="82"/>
      <c r="AA3131" s="82"/>
      <c r="AB3131" s="82"/>
      <c r="AC3131" s="82"/>
      <c r="AD3131" s="82"/>
      <c r="AE3131" s="82"/>
      <c r="AF3131" s="82"/>
      <c r="AG3131" s="82"/>
      <c r="AH3131" s="82"/>
      <c r="AI3131" s="82"/>
      <c r="AJ3131" s="82"/>
      <c r="AK3131" s="82"/>
      <c r="AL3131" s="82"/>
      <c r="AM3131" s="82"/>
      <c r="AN3131" s="82"/>
      <c r="AO3131" s="82"/>
      <c r="AP3131" s="82"/>
      <c r="AQ3131" s="82"/>
      <c r="AR3131" s="82"/>
      <c r="AS3131" s="82"/>
      <c r="AT3131" s="82"/>
      <c r="AU3131" s="82"/>
      <c r="AV3131" s="82"/>
      <c r="AW3131" s="82" t="str">
        <f t="shared" si="1"/>
        <v/>
      </c>
      <c r="AX3131" s="83" t="str">
        <f t="array" ref="AX3131">IFERROR(DGET('SBV Import'!A:G,"SBV",{"RSC ID","Tier";B3131,A3131}))</f>
        <v/>
      </c>
      <c r="AY3131" s="82" t="str">
        <f t="shared" si="2"/>
        <v/>
      </c>
      <c r="AZ3131" s="82"/>
      <c r="BA3131" s="84" t="s">
        <v>152</v>
      </c>
      <c r="BB3131" s="84" t="str">
        <f>IFERROR(__xludf.DUMMYFUNCTION("iferror(if(A3131="""",,E3131&gt;=FILTER(Constants!$F$2:$F$10,Constants!$A$2:$A$10=A3131)))"),"")</f>
        <v/>
      </c>
    </row>
    <row r="3132">
      <c r="A3132" s="89"/>
      <c r="B3132" s="87"/>
      <c r="C3132" s="73"/>
      <c r="D3132" s="73"/>
      <c r="E3132" s="82"/>
      <c r="F3132" s="82"/>
      <c r="G3132" s="86"/>
      <c r="H3132" s="86"/>
      <c r="I3132" s="86"/>
      <c r="J3132" s="82"/>
      <c r="K3132" s="82"/>
      <c r="L3132" s="82"/>
      <c r="M3132" s="82"/>
      <c r="N3132" s="82"/>
      <c r="O3132" s="82"/>
      <c r="P3132" s="82"/>
      <c r="Q3132" s="82"/>
      <c r="R3132" s="82"/>
      <c r="S3132" s="82"/>
      <c r="T3132" s="82"/>
      <c r="U3132" s="82"/>
      <c r="V3132" s="82"/>
      <c r="W3132" s="82"/>
      <c r="X3132" s="82"/>
      <c r="Y3132" s="82"/>
      <c r="Z3132" s="82"/>
      <c r="AA3132" s="82"/>
      <c r="AB3132" s="82"/>
      <c r="AC3132" s="82"/>
      <c r="AD3132" s="82"/>
      <c r="AE3132" s="82"/>
      <c r="AF3132" s="82"/>
      <c r="AG3132" s="82"/>
      <c r="AH3132" s="82"/>
      <c r="AI3132" s="82"/>
      <c r="AJ3132" s="82"/>
      <c r="AK3132" s="82"/>
      <c r="AL3132" s="82"/>
      <c r="AM3132" s="82"/>
      <c r="AN3132" s="82"/>
      <c r="AO3132" s="82"/>
      <c r="AP3132" s="82"/>
      <c r="AQ3132" s="82"/>
      <c r="AR3132" s="82"/>
      <c r="AS3132" s="82"/>
      <c r="AT3132" s="82"/>
      <c r="AU3132" s="82"/>
      <c r="AV3132" s="82"/>
      <c r="AW3132" s="82" t="str">
        <f t="shared" si="1"/>
        <v/>
      </c>
      <c r="AX3132" s="83" t="str">
        <f t="array" ref="AX3132">IFERROR(DGET('SBV Import'!A:G,"SBV",{"RSC ID","Tier";B3132,A3132}))</f>
        <v/>
      </c>
      <c r="AY3132" s="82" t="str">
        <f t="shared" si="2"/>
        <v/>
      </c>
      <c r="AZ3132" s="82"/>
      <c r="BA3132" s="84" t="s">
        <v>152</v>
      </c>
      <c r="BB3132" s="84" t="str">
        <f>IFERROR(__xludf.DUMMYFUNCTION("iferror(if(A3132="""",,E3132&gt;=FILTER(Constants!$F$2:$F$10,Constants!$A$2:$A$10=A3132)))"),"")</f>
        <v/>
      </c>
    </row>
    <row r="3133">
      <c r="A3133" s="89"/>
      <c r="B3133" s="87"/>
      <c r="C3133" s="73"/>
      <c r="D3133" s="73"/>
      <c r="E3133" s="82"/>
      <c r="F3133" s="82"/>
      <c r="G3133" s="86"/>
      <c r="H3133" s="86"/>
      <c r="I3133" s="86"/>
      <c r="J3133" s="82"/>
      <c r="K3133" s="82"/>
      <c r="L3133" s="82"/>
      <c r="M3133" s="82"/>
      <c r="N3133" s="82"/>
      <c r="O3133" s="82"/>
      <c r="P3133" s="82"/>
      <c r="Q3133" s="82"/>
      <c r="R3133" s="82"/>
      <c r="S3133" s="82"/>
      <c r="T3133" s="82"/>
      <c r="U3133" s="82"/>
      <c r="V3133" s="82"/>
      <c r="W3133" s="82"/>
      <c r="X3133" s="82"/>
      <c r="Y3133" s="82"/>
      <c r="Z3133" s="82"/>
      <c r="AA3133" s="82"/>
      <c r="AB3133" s="82"/>
      <c r="AC3133" s="82"/>
      <c r="AD3133" s="82"/>
      <c r="AE3133" s="82"/>
      <c r="AF3133" s="82"/>
      <c r="AG3133" s="82"/>
      <c r="AH3133" s="82"/>
      <c r="AI3133" s="82"/>
      <c r="AJ3133" s="82"/>
      <c r="AK3133" s="82"/>
      <c r="AL3133" s="82"/>
      <c r="AM3133" s="82"/>
      <c r="AN3133" s="82"/>
      <c r="AO3133" s="82"/>
      <c r="AP3133" s="82"/>
      <c r="AQ3133" s="82"/>
      <c r="AR3133" s="82"/>
      <c r="AS3133" s="82"/>
      <c r="AT3133" s="82"/>
      <c r="AU3133" s="82"/>
      <c r="AV3133" s="82"/>
      <c r="AW3133" s="82" t="str">
        <f t="shared" si="1"/>
        <v/>
      </c>
      <c r="AX3133" s="83" t="str">
        <f t="array" ref="AX3133">IFERROR(DGET('SBV Import'!A:G,"SBV",{"RSC ID","Tier";B3133,A3133}))</f>
        <v/>
      </c>
      <c r="AY3133" s="82" t="str">
        <f t="shared" si="2"/>
        <v/>
      </c>
      <c r="AZ3133" s="82"/>
      <c r="BA3133" s="84" t="s">
        <v>152</v>
      </c>
      <c r="BB3133" s="84" t="str">
        <f>IFERROR(__xludf.DUMMYFUNCTION("iferror(if(A3133="""",,E3133&gt;=FILTER(Constants!$F$2:$F$10,Constants!$A$2:$A$10=A3133)))"),"")</f>
        <v/>
      </c>
    </row>
    <row r="3134">
      <c r="A3134" s="89"/>
      <c r="B3134" s="87"/>
      <c r="C3134" s="73"/>
      <c r="D3134" s="73"/>
      <c r="E3134" s="82"/>
      <c r="F3134" s="82"/>
      <c r="G3134" s="86"/>
      <c r="H3134" s="86"/>
      <c r="I3134" s="86"/>
      <c r="J3134" s="82"/>
      <c r="K3134" s="82"/>
      <c r="L3134" s="82"/>
      <c r="M3134" s="82"/>
      <c r="N3134" s="82"/>
      <c r="O3134" s="82"/>
      <c r="P3134" s="82"/>
      <c r="Q3134" s="82"/>
      <c r="R3134" s="82"/>
      <c r="S3134" s="82"/>
      <c r="T3134" s="82"/>
      <c r="U3134" s="82"/>
      <c r="V3134" s="82"/>
      <c r="W3134" s="82"/>
      <c r="X3134" s="82"/>
      <c r="Y3134" s="82"/>
      <c r="Z3134" s="82"/>
      <c r="AA3134" s="82"/>
      <c r="AB3134" s="82"/>
      <c r="AC3134" s="82"/>
      <c r="AD3134" s="82"/>
      <c r="AE3134" s="82"/>
      <c r="AF3134" s="82"/>
      <c r="AG3134" s="82"/>
      <c r="AH3134" s="82"/>
      <c r="AI3134" s="82"/>
      <c r="AJ3134" s="82"/>
      <c r="AK3134" s="82"/>
      <c r="AL3134" s="82"/>
      <c r="AM3134" s="82"/>
      <c r="AN3134" s="82"/>
      <c r="AO3134" s="82"/>
      <c r="AP3134" s="82"/>
      <c r="AQ3134" s="82"/>
      <c r="AR3134" s="82"/>
      <c r="AS3134" s="82"/>
      <c r="AT3134" s="82"/>
      <c r="AU3134" s="82"/>
      <c r="AV3134" s="82"/>
      <c r="AW3134" s="82" t="str">
        <f t="shared" si="1"/>
        <v/>
      </c>
      <c r="AX3134" s="83" t="str">
        <f t="array" ref="AX3134">IFERROR(DGET('SBV Import'!A:G,"SBV",{"RSC ID","Tier";B3134,A3134}))</f>
        <v/>
      </c>
      <c r="AY3134" s="82" t="str">
        <f t="shared" si="2"/>
        <v/>
      </c>
      <c r="AZ3134" s="82"/>
      <c r="BA3134" s="84" t="s">
        <v>152</v>
      </c>
      <c r="BB3134" s="84" t="str">
        <f>IFERROR(__xludf.DUMMYFUNCTION("iferror(if(A3134="""",,E3134&gt;=FILTER(Constants!$F$2:$F$10,Constants!$A$2:$A$10=A3134)))"),"")</f>
        <v/>
      </c>
    </row>
    <row r="3135">
      <c r="A3135" s="89"/>
      <c r="B3135" s="87"/>
      <c r="C3135" s="73"/>
      <c r="D3135" s="73"/>
      <c r="E3135" s="82"/>
      <c r="F3135" s="82"/>
      <c r="G3135" s="86"/>
      <c r="H3135" s="86"/>
      <c r="I3135" s="86"/>
      <c r="J3135" s="82"/>
      <c r="K3135" s="82"/>
      <c r="L3135" s="82"/>
      <c r="M3135" s="82"/>
      <c r="N3135" s="82"/>
      <c r="O3135" s="82"/>
      <c r="P3135" s="82"/>
      <c r="Q3135" s="82"/>
      <c r="R3135" s="82"/>
      <c r="S3135" s="82"/>
      <c r="T3135" s="82"/>
      <c r="U3135" s="82"/>
      <c r="V3135" s="82"/>
      <c r="W3135" s="82"/>
      <c r="X3135" s="82"/>
      <c r="Y3135" s="82"/>
      <c r="Z3135" s="82"/>
      <c r="AA3135" s="82"/>
      <c r="AB3135" s="82"/>
      <c r="AC3135" s="82"/>
      <c r="AD3135" s="82"/>
      <c r="AE3135" s="82"/>
      <c r="AF3135" s="82"/>
      <c r="AG3135" s="82"/>
      <c r="AH3135" s="82"/>
      <c r="AI3135" s="82"/>
      <c r="AJ3135" s="82"/>
      <c r="AK3135" s="82"/>
      <c r="AL3135" s="82"/>
      <c r="AM3135" s="82"/>
      <c r="AN3135" s="82"/>
      <c r="AO3135" s="82"/>
      <c r="AP3135" s="82"/>
      <c r="AQ3135" s="82"/>
      <c r="AR3135" s="82"/>
      <c r="AS3135" s="82"/>
      <c r="AT3135" s="82"/>
      <c r="AU3135" s="82"/>
      <c r="AV3135" s="82"/>
      <c r="AW3135" s="82" t="str">
        <f t="shared" si="1"/>
        <v/>
      </c>
      <c r="AX3135" s="83" t="str">
        <f t="array" ref="AX3135">IFERROR(DGET('SBV Import'!A:G,"SBV",{"RSC ID","Tier";B3135,A3135}))</f>
        <v/>
      </c>
      <c r="AY3135" s="82" t="str">
        <f t="shared" si="2"/>
        <v/>
      </c>
      <c r="AZ3135" s="82"/>
      <c r="BA3135" s="84" t="s">
        <v>152</v>
      </c>
      <c r="BB3135" s="84" t="str">
        <f>IFERROR(__xludf.DUMMYFUNCTION("iferror(if(A3135="""",,E3135&gt;=FILTER(Constants!$F$2:$F$10,Constants!$A$2:$A$10=A3135)))"),"")</f>
        <v/>
      </c>
    </row>
    <row r="3136">
      <c r="A3136" s="89"/>
      <c r="B3136" s="87"/>
      <c r="C3136" s="73"/>
      <c r="D3136" s="73"/>
      <c r="E3136" s="82"/>
      <c r="F3136" s="82"/>
      <c r="G3136" s="86"/>
      <c r="H3136" s="86"/>
      <c r="I3136" s="86"/>
      <c r="J3136" s="82"/>
      <c r="K3136" s="82"/>
      <c r="L3136" s="82"/>
      <c r="M3136" s="82"/>
      <c r="N3136" s="82"/>
      <c r="O3136" s="82"/>
      <c r="P3136" s="82"/>
      <c r="Q3136" s="82"/>
      <c r="R3136" s="82"/>
      <c r="S3136" s="82"/>
      <c r="T3136" s="82"/>
      <c r="U3136" s="82"/>
      <c r="V3136" s="82"/>
      <c r="W3136" s="82"/>
      <c r="X3136" s="82"/>
      <c r="Y3136" s="82"/>
      <c r="Z3136" s="82"/>
      <c r="AA3136" s="82"/>
      <c r="AB3136" s="82"/>
      <c r="AC3136" s="82"/>
      <c r="AD3136" s="82"/>
      <c r="AE3136" s="82"/>
      <c r="AF3136" s="82"/>
      <c r="AG3136" s="82"/>
      <c r="AH3136" s="82"/>
      <c r="AI3136" s="82"/>
      <c r="AJ3136" s="82"/>
      <c r="AK3136" s="82"/>
      <c r="AL3136" s="82"/>
      <c r="AM3136" s="82"/>
      <c r="AN3136" s="82"/>
      <c r="AO3136" s="82"/>
      <c r="AP3136" s="82"/>
      <c r="AQ3136" s="82"/>
      <c r="AR3136" s="82"/>
      <c r="AS3136" s="82"/>
      <c r="AT3136" s="82"/>
      <c r="AU3136" s="82"/>
      <c r="AV3136" s="82"/>
      <c r="AW3136" s="82" t="str">
        <f t="shared" si="1"/>
        <v/>
      </c>
      <c r="AX3136" s="83" t="str">
        <f t="array" ref="AX3136">IFERROR(DGET('SBV Import'!A:G,"SBV",{"RSC ID","Tier";B3136,A3136}))</f>
        <v/>
      </c>
      <c r="AY3136" s="82" t="str">
        <f t="shared" si="2"/>
        <v/>
      </c>
      <c r="AZ3136" s="82"/>
      <c r="BA3136" s="84" t="s">
        <v>152</v>
      </c>
      <c r="BB3136" s="84" t="str">
        <f>IFERROR(__xludf.DUMMYFUNCTION("iferror(if(A3136="""",,E3136&gt;=FILTER(Constants!$F$2:$F$10,Constants!$A$2:$A$10=A3136)))"),"")</f>
        <v/>
      </c>
    </row>
    <row r="3137">
      <c r="A3137" s="89"/>
      <c r="B3137" s="87"/>
      <c r="C3137" s="73"/>
      <c r="D3137" s="73"/>
      <c r="E3137" s="82"/>
      <c r="F3137" s="82"/>
      <c r="G3137" s="86"/>
      <c r="H3137" s="86"/>
      <c r="I3137" s="86"/>
      <c r="J3137" s="82"/>
      <c r="K3137" s="82"/>
      <c r="L3137" s="82"/>
      <c r="M3137" s="82"/>
      <c r="N3137" s="82"/>
      <c r="O3137" s="82"/>
      <c r="P3137" s="82"/>
      <c r="Q3137" s="82"/>
      <c r="R3137" s="82"/>
      <c r="S3137" s="82"/>
      <c r="T3137" s="82"/>
      <c r="U3137" s="82"/>
      <c r="V3137" s="82"/>
      <c r="W3137" s="82"/>
      <c r="X3137" s="82"/>
      <c r="Y3137" s="82"/>
      <c r="Z3137" s="82"/>
      <c r="AA3137" s="82"/>
      <c r="AB3137" s="82"/>
      <c r="AC3137" s="82"/>
      <c r="AD3137" s="82"/>
      <c r="AE3137" s="82"/>
      <c r="AF3137" s="82"/>
      <c r="AG3137" s="82"/>
      <c r="AH3137" s="82"/>
      <c r="AI3137" s="82"/>
      <c r="AJ3137" s="82"/>
      <c r="AK3137" s="82"/>
      <c r="AL3137" s="82"/>
      <c r="AM3137" s="82"/>
      <c r="AN3137" s="82"/>
      <c r="AO3137" s="82"/>
      <c r="AP3137" s="82"/>
      <c r="AQ3137" s="82"/>
      <c r="AR3137" s="82"/>
      <c r="AS3137" s="82"/>
      <c r="AT3137" s="82"/>
      <c r="AU3137" s="82"/>
      <c r="AV3137" s="82"/>
      <c r="AW3137" s="82" t="str">
        <f t="shared" si="1"/>
        <v/>
      </c>
      <c r="AX3137" s="83" t="str">
        <f t="array" ref="AX3137">IFERROR(DGET('SBV Import'!A:G,"SBV",{"RSC ID","Tier";B3137,A3137}))</f>
        <v/>
      </c>
      <c r="AY3137" s="82" t="str">
        <f t="shared" si="2"/>
        <v/>
      </c>
      <c r="AZ3137" s="82"/>
      <c r="BA3137" s="84" t="s">
        <v>152</v>
      </c>
      <c r="BB3137" s="84" t="str">
        <f>IFERROR(__xludf.DUMMYFUNCTION("iferror(if(A3137="""",,E3137&gt;=FILTER(Constants!$F$2:$F$10,Constants!$A$2:$A$10=A3137)))"),"")</f>
        <v/>
      </c>
    </row>
    <row r="3138">
      <c r="A3138" s="89"/>
      <c r="B3138" s="87"/>
      <c r="C3138" s="73"/>
      <c r="D3138" s="73"/>
      <c r="E3138" s="82"/>
      <c r="F3138" s="82"/>
      <c r="G3138" s="86"/>
      <c r="H3138" s="86"/>
      <c r="I3138" s="86"/>
      <c r="J3138" s="82"/>
      <c r="K3138" s="82"/>
      <c r="L3138" s="82"/>
      <c r="M3138" s="82"/>
      <c r="N3138" s="82"/>
      <c r="O3138" s="82"/>
      <c r="P3138" s="82"/>
      <c r="Q3138" s="82"/>
      <c r="R3138" s="82"/>
      <c r="S3138" s="82"/>
      <c r="T3138" s="82"/>
      <c r="U3138" s="82"/>
      <c r="V3138" s="82"/>
      <c r="W3138" s="82"/>
      <c r="X3138" s="82"/>
      <c r="Y3138" s="82"/>
      <c r="Z3138" s="82"/>
      <c r="AA3138" s="82"/>
      <c r="AB3138" s="82"/>
      <c r="AC3138" s="82"/>
      <c r="AD3138" s="82"/>
      <c r="AE3138" s="82"/>
      <c r="AF3138" s="82"/>
      <c r="AG3138" s="82"/>
      <c r="AH3138" s="82"/>
      <c r="AI3138" s="82"/>
      <c r="AJ3138" s="82"/>
      <c r="AK3138" s="82"/>
      <c r="AL3138" s="82"/>
      <c r="AM3138" s="82"/>
      <c r="AN3138" s="82"/>
      <c r="AO3138" s="82"/>
      <c r="AP3138" s="82"/>
      <c r="AQ3138" s="82"/>
      <c r="AR3138" s="82"/>
      <c r="AS3138" s="82"/>
      <c r="AT3138" s="82"/>
      <c r="AU3138" s="82"/>
      <c r="AV3138" s="82"/>
      <c r="AW3138" s="82" t="str">
        <f t="shared" si="1"/>
        <v/>
      </c>
      <c r="AX3138" s="83" t="str">
        <f t="array" ref="AX3138">IFERROR(DGET('SBV Import'!A:G,"SBV",{"RSC ID","Tier";B3138,A3138}))</f>
        <v/>
      </c>
      <c r="AY3138" s="82" t="str">
        <f t="shared" si="2"/>
        <v/>
      </c>
      <c r="AZ3138" s="82"/>
      <c r="BA3138" s="84" t="s">
        <v>152</v>
      </c>
      <c r="BB3138" s="84" t="str">
        <f>IFERROR(__xludf.DUMMYFUNCTION("iferror(if(A3138="""",,E3138&gt;=FILTER(Constants!$F$2:$F$10,Constants!$A$2:$A$10=A3138)))"),"")</f>
        <v/>
      </c>
    </row>
    <row r="3139">
      <c r="A3139" s="89"/>
      <c r="B3139" s="87"/>
      <c r="C3139" s="73"/>
      <c r="D3139" s="73"/>
      <c r="E3139" s="82"/>
      <c r="F3139" s="82"/>
      <c r="G3139" s="86"/>
      <c r="H3139" s="86"/>
      <c r="I3139" s="86"/>
      <c r="J3139" s="82"/>
      <c r="K3139" s="82"/>
      <c r="L3139" s="82"/>
      <c r="M3139" s="82"/>
      <c r="N3139" s="82"/>
      <c r="O3139" s="82"/>
      <c r="P3139" s="82"/>
      <c r="Q3139" s="82"/>
      <c r="R3139" s="82"/>
      <c r="S3139" s="82"/>
      <c r="T3139" s="82"/>
      <c r="U3139" s="82"/>
      <c r="V3139" s="82"/>
      <c r="W3139" s="82"/>
      <c r="X3139" s="82"/>
      <c r="Y3139" s="82"/>
      <c r="Z3139" s="82"/>
      <c r="AA3139" s="82"/>
      <c r="AB3139" s="82"/>
      <c r="AC3139" s="82"/>
      <c r="AD3139" s="82"/>
      <c r="AE3139" s="82"/>
      <c r="AF3139" s="82"/>
      <c r="AG3139" s="82"/>
      <c r="AH3139" s="82"/>
      <c r="AI3139" s="82"/>
      <c r="AJ3139" s="82"/>
      <c r="AK3139" s="82"/>
      <c r="AL3139" s="82"/>
      <c r="AM3139" s="82"/>
      <c r="AN3139" s="82"/>
      <c r="AO3139" s="82"/>
      <c r="AP3139" s="82"/>
      <c r="AQ3139" s="82"/>
      <c r="AR3139" s="82"/>
      <c r="AS3139" s="82"/>
      <c r="AT3139" s="82"/>
      <c r="AU3139" s="82"/>
      <c r="AV3139" s="82"/>
      <c r="AW3139" s="82" t="str">
        <f t="shared" si="1"/>
        <v/>
      </c>
      <c r="AX3139" s="83" t="str">
        <f t="array" ref="AX3139">IFERROR(DGET('SBV Import'!A:G,"SBV",{"RSC ID","Tier";B3139,A3139}))</f>
        <v/>
      </c>
      <c r="AY3139" s="82" t="str">
        <f t="shared" si="2"/>
        <v/>
      </c>
      <c r="AZ3139" s="82"/>
      <c r="BA3139" s="84" t="s">
        <v>152</v>
      </c>
      <c r="BB3139" s="84" t="str">
        <f>IFERROR(__xludf.DUMMYFUNCTION("iferror(if(A3139="""",,E3139&gt;=FILTER(Constants!$F$2:$F$10,Constants!$A$2:$A$10=A3139)))"),"")</f>
        <v/>
      </c>
    </row>
    <row r="3140">
      <c r="A3140" s="89"/>
      <c r="B3140" s="87"/>
      <c r="C3140" s="73"/>
      <c r="D3140" s="73"/>
      <c r="E3140" s="82"/>
      <c r="F3140" s="82"/>
      <c r="G3140" s="86"/>
      <c r="H3140" s="86"/>
      <c r="I3140" s="86"/>
      <c r="J3140" s="82"/>
      <c r="K3140" s="82"/>
      <c r="L3140" s="82"/>
      <c r="M3140" s="82"/>
      <c r="N3140" s="82"/>
      <c r="O3140" s="82"/>
      <c r="P3140" s="82"/>
      <c r="Q3140" s="82"/>
      <c r="R3140" s="82"/>
      <c r="S3140" s="82"/>
      <c r="T3140" s="82"/>
      <c r="U3140" s="82"/>
      <c r="V3140" s="82"/>
      <c r="W3140" s="82"/>
      <c r="X3140" s="82"/>
      <c r="Y3140" s="82"/>
      <c r="Z3140" s="82"/>
      <c r="AA3140" s="82"/>
      <c r="AB3140" s="82"/>
      <c r="AC3140" s="82"/>
      <c r="AD3140" s="82"/>
      <c r="AE3140" s="82"/>
      <c r="AF3140" s="82"/>
      <c r="AG3140" s="82"/>
      <c r="AH3140" s="82"/>
      <c r="AI3140" s="82"/>
      <c r="AJ3140" s="82"/>
      <c r="AK3140" s="82"/>
      <c r="AL3140" s="82"/>
      <c r="AM3140" s="82"/>
      <c r="AN3140" s="82"/>
      <c r="AO3140" s="82"/>
      <c r="AP3140" s="82"/>
      <c r="AQ3140" s="82"/>
      <c r="AR3140" s="82"/>
      <c r="AS3140" s="82"/>
      <c r="AT3140" s="82"/>
      <c r="AU3140" s="82"/>
      <c r="AV3140" s="82"/>
      <c r="AW3140" s="82" t="str">
        <f t="shared" si="1"/>
        <v/>
      </c>
      <c r="AX3140" s="83" t="str">
        <f t="array" ref="AX3140">IFERROR(DGET('SBV Import'!A:G,"SBV",{"RSC ID","Tier";B3140,A3140}))</f>
        <v/>
      </c>
      <c r="AY3140" s="82" t="str">
        <f t="shared" si="2"/>
        <v/>
      </c>
      <c r="AZ3140" s="82"/>
      <c r="BA3140" s="84" t="s">
        <v>152</v>
      </c>
      <c r="BB3140" s="84" t="str">
        <f>IFERROR(__xludf.DUMMYFUNCTION("iferror(if(A3140="""",,E3140&gt;=FILTER(Constants!$F$2:$F$10,Constants!$A$2:$A$10=A3140)))"),"")</f>
        <v/>
      </c>
    </row>
    <row r="3141">
      <c r="A3141" s="89"/>
      <c r="B3141" s="87"/>
      <c r="C3141" s="73"/>
      <c r="D3141" s="73"/>
      <c r="E3141" s="82"/>
      <c r="F3141" s="82"/>
      <c r="G3141" s="86"/>
      <c r="H3141" s="86"/>
      <c r="I3141" s="86"/>
      <c r="J3141" s="82"/>
      <c r="K3141" s="82"/>
      <c r="L3141" s="82"/>
      <c r="M3141" s="82"/>
      <c r="N3141" s="82"/>
      <c r="O3141" s="82"/>
      <c r="P3141" s="82"/>
      <c r="Q3141" s="82"/>
      <c r="R3141" s="82"/>
      <c r="S3141" s="82"/>
      <c r="T3141" s="82"/>
      <c r="U3141" s="82"/>
      <c r="V3141" s="82"/>
      <c r="W3141" s="82"/>
      <c r="X3141" s="82"/>
      <c r="Y3141" s="82"/>
      <c r="Z3141" s="82"/>
      <c r="AA3141" s="82"/>
      <c r="AB3141" s="82"/>
      <c r="AC3141" s="82"/>
      <c r="AD3141" s="82"/>
      <c r="AE3141" s="82"/>
      <c r="AF3141" s="82"/>
      <c r="AG3141" s="82"/>
      <c r="AH3141" s="82"/>
      <c r="AI3141" s="82"/>
      <c r="AJ3141" s="82"/>
      <c r="AK3141" s="82"/>
      <c r="AL3141" s="82"/>
      <c r="AM3141" s="82"/>
      <c r="AN3141" s="82"/>
      <c r="AO3141" s="82"/>
      <c r="AP3141" s="82"/>
      <c r="AQ3141" s="82"/>
      <c r="AR3141" s="82"/>
      <c r="AS3141" s="82"/>
      <c r="AT3141" s="82"/>
      <c r="AU3141" s="82"/>
      <c r="AV3141" s="82"/>
      <c r="AW3141" s="82" t="str">
        <f t="shared" si="1"/>
        <v/>
      </c>
      <c r="AX3141" s="83" t="str">
        <f t="array" ref="AX3141">IFERROR(DGET('SBV Import'!A:G,"SBV",{"RSC ID","Tier";B3141,A3141}))</f>
        <v/>
      </c>
      <c r="AY3141" s="82" t="str">
        <f t="shared" si="2"/>
        <v/>
      </c>
      <c r="AZ3141" s="82"/>
      <c r="BA3141" s="84" t="s">
        <v>152</v>
      </c>
      <c r="BB3141" s="84" t="str">
        <f>IFERROR(__xludf.DUMMYFUNCTION("iferror(if(A3141="""",,E3141&gt;=FILTER(Constants!$F$2:$F$10,Constants!$A$2:$A$10=A3141)))"),"")</f>
        <v/>
      </c>
    </row>
    <row r="3142">
      <c r="A3142" s="89"/>
      <c r="B3142" s="87"/>
      <c r="C3142" s="73"/>
      <c r="D3142" s="73"/>
      <c r="E3142" s="82"/>
      <c r="F3142" s="82"/>
      <c r="G3142" s="86"/>
      <c r="H3142" s="86"/>
      <c r="I3142" s="86"/>
      <c r="J3142" s="82"/>
      <c r="K3142" s="82"/>
      <c r="L3142" s="82"/>
      <c r="M3142" s="82"/>
      <c r="N3142" s="82"/>
      <c r="O3142" s="82"/>
      <c r="P3142" s="82"/>
      <c r="Q3142" s="82"/>
      <c r="R3142" s="82"/>
      <c r="S3142" s="82"/>
      <c r="T3142" s="82"/>
      <c r="U3142" s="82"/>
      <c r="V3142" s="82"/>
      <c r="W3142" s="82"/>
      <c r="X3142" s="82"/>
      <c r="Y3142" s="82"/>
      <c r="Z3142" s="82"/>
      <c r="AA3142" s="82"/>
      <c r="AB3142" s="82"/>
      <c r="AC3142" s="82"/>
      <c r="AD3142" s="82"/>
      <c r="AE3142" s="82"/>
      <c r="AF3142" s="82"/>
      <c r="AG3142" s="82"/>
      <c r="AH3142" s="82"/>
      <c r="AI3142" s="82"/>
      <c r="AJ3142" s="82"/>
      <c r="AK3142" s="82"/>
      <c r="AL3142" s="82"/>
      <c r="AM3142" s="82"/>
      <c r="AN3142" s="82"/>
      <c r="AO3142" s="82"/>
      <c r="AP3142" s="82"/>
      <c r="AQ3142" s="82"/>
      <c r="AR3142" s="82"/>
      <c r="AS3142" s="82"/>
      <c r="AT3142" s="82"/>
      <c r="AU3142" s="82"/>
      <c r="AV3142" s="82"/>
      <c r="AW3142" s="82" t="str">
        <f t="shared" si="1"/>
        <v/>
      </c>
      <c r="AX3142" s="83" t="str">
        <f t="array" ref="AX3142">IFERROR(DGET('SBV Import'!A:G,"SBV",{"RSC ID","Tier";B3142,A3142}))</f>
        <v/>
      </c>
      <c r="AY3142" s="82" t="str">
        <f t="shared" si="2"/>
        <v/>
      </c>
      <c r="AZ3142" s="82"/>
      <c r="BA3142" s="84" t="s">
        <v>152</v>
      </c>
      <c r="BB3142" s="84" t="str">
        <f>IFERROR(__xludf.DUMMYFUNCTION("iferror(if(A3142="""",,E3142&gt;=FILTER(Constants!$F$2:$F$10,Constants!$A$2:$A$10=A3142)))"),"")</f>
        <v/>
      </c>
    </row>
    <row r="3143">
      <c r="A3143" s="89"/>
      <c r="B3143" s="87"/>
      <c r="C3143" s="73"/>
      <c r="D3143" s="73"/>
      <c r="E3143" s="82"/>
      <c r="F3143" s="82"/>
      <c r="G3143" s="86"/>
      <c r="H3143" s="86"/>
      <c r="I3143" s="86"/>
      <c r="J3143" s="82"/>
      <c r="K3143" s="82"/>
      <c r="L3143" s="82"/>
      <c r="M3143" s="82"/>
      <c r="N3143" s="82"/>
      <c r="O3143" s="82"/>
      <c r="P3143" s="82"/>
      <c r="Q3143" s="82"/>
      <c r="R3143" s="82"/>
      <c r="S3143" s="82"/>
      <c r="T3143" s="82"/>
      <c r="U3143" s="82"/>
      <c r="V3143" s="82"/>
      <c r="W3143" s="82"/>
      <c r="X3143" s="82"/>
      <c r="Y3143" s="82"/>
      <c r="Z3143" s="82"/>
      <c r="AA3143" s="82"/>
      <c r="AB3143" s="82"/>
      <c r="AC3143" s="82"/>
      <c r="AD3143" s="82"/>
      <c r="AE3143" s="82"/>
      <c r="AF3143" s="82"/>
      <c r="AG3143" s="82"/>
      <c r="AH3143" s="82"/>
      <c r="AI3143" s="82"/>
      <c r="AJ3143" s="82"/>
      <c r="AK3143" s="82"/>
      <c r="AL3143" s="82"/>
      <c r="AM3143" s="82"/>
      <c r="AN3143" s="82"/>
      <c r="AO3143" s="82"/>
      <c r="AP3143" s="82"/>
      <c r="AQ3143" s="82"/>
      <c r="AR3143" s="82"/>
      <c r="AS3143" s="82"/>
      <c r="AT3143" s="82"/>
      <c r="AU3143" s="82"/>
      <c r="AV3143" s="82"/>
      <c r="AW3143" s="82" t="str">
        <f t="shared" si="1"/>
        <v/>
      </c>
      <c r="AX3143" s="83" t="str">
        <f t="array" ref="AX3143">IFERROR(DGET('SBV Import'!A:G,"SBV",{"RSC ID","Tier";B3143,A3143}))</f>
        <v/>
      </c>
      <c r="AY3143" s="82" t="str">
        <f t="shared" si="2"/>
        <v/>
      </c>
      <c r="AZ3143" s="82"/>
      <c r="BA3143" s="84" t="s">
        <v>152</v>
      </c>
      <c r="BB3143" s="84" t="str">
        <f>IFERROR(__xludf.DUMMYFUNCTION("iferror(if(A3143="""",,E3143&gt;=FILTER(Constants!$F$2:$F$10,Constants!$A$2:$A$10=A3143)))"),"")</f>
        <v/>
      </c>
    </row>
    <row r="3144">
      <c r="A3144" s="89"/>
      <c r="B3144" s="87"/>
      <c r="C3144" s="73"/>
      <c r="D3144" s="73"/>
      <c r="E3144" s="82"/>
      <c r="F3144" s="82"/>
      <c r="G3144" s="86"/>
      <c r="H3144" s="86"/>
      <c r="I3144" s="86"/>
      <c r="J3144" s="82"/>
      <c r="K3144" s="82"/>
      <c r="L3144" s="82"/>
      <c r="M3144" s="82"/>
      <c r="N3144" s="82"/>
      <c r="O3144" s="82"/>
      <c r="P3144" s="82"/>
      <c r="Q3144" s="82"/>
      <c r="R3144" s="82"/>
      <c r="S3144" s="82"/>
      <c r="T3144" s="82"/>
      <c r="U3144" s="82"/>
      <c r="V3144" s="82"/>
      <c r="W3144" s="82"/>
      <c r="X3144" s="82"/>
      <c r="Y3144" s="82"/>
      <c r="Z3144" s="82"/>
      <c r="AA3144" s="82"/>
      <c r="AB3144" s="82"/>
      <c r="AC3144" s="82"/>
      <c r="AD3144" s="82"/>
      <c r="AE3144" s="82"/>
      <c r="AF3144" s="82"/>
      <c r="AG3144" s="82"/>
      <c r="AH3144" s="82"/>
      <c r="AI3144" s="82"/>
      <c r="AJ3144" s="82"/>
      <c r="AK3144" s="82"/>
      <c r="AL3144" s="82"/>
      <c r="AM3144" s="82"/>
      <c r="AN3144" s="82"/>
      <c r="AO3144" s="82"/>
      <c r="AP3144" s="82"/>
      <c r="AQ3144" s="82"/>
      <c r="AR3144" s="82"/>
      <c r="AS3144" s="82"/>
      <c r="AT3144" s="82"/>
      <c r="AU3144" s="82"/>
      <c r="AV3144" s="82"/>
      <c r="AW3144" s="82" t="str">
        <f t="shared" si="1"/>
        <v/>
      </c>
      <c r="AX3144" s="83" t="str">
        <f t="array" ref="AX3144">IFERROR(DGET('SBV Import'!A:G,"SBV",{"RSC ID","Tier";B3144,A3144}))</f>
        <v/>
      </c>
      <c r="AY3144" s="82" t="str">
        <f t="shared" si="2"/>
        <v/>
      </c>
      <c r="AZ3144" s="82"/>
      <c r="BA3144" s="84" t="s">
        <v>152</v>
      </c>
      <c r="BB3144" s="84" t="str">
        <f>IFERROR(__xludf.DUMMYFUNCTION("iferror(if(A3144="""",,E3144&gt;=FILTER(Constants!$F$2:$F$10,Constants!$A$2:$A$10=A3144)))"),"")</f>
        <v/>
      </c>
    </row>
    <row r="3145">
      <c r="A3145" s="89"/>
      <c r="B3145" s="87"/>
      <c r="C3145" s="73"/>
      <c r="D3145" s="73"/>
      <c r="E3145" s="82"/>
      <c r="F3145" s="82"/>
      <c r="G3145" s="86"/>
      <c r="H3145" s="86"/>
      <c r="I3145" s="86"/>
      <c r="J3145" s="82"/>
      <c r="K3145" s="82"/>
      <c r="L3145" s="82"/>
      <c r="M3145" s="82"/>
      <c r="N3145" s="82"/>
      <c r="O3145" s="82"/>
      <c r="P3145" s="82"/>
      <c r="Q3145" s="82"/>
      <c r="R3145" s="82"/>
      <c r="S3145" s="82"/>
      <c r="T3145" s="82"/>
      <c r="U3145" s="82"/>
      <c r="V3145" s="82"/>
      <c r="W3145" s="82"/>
      <c r="X3145" s="82"/>
      <c r="Y3145" s="82"/>
      <c r="Z3145" s="82"/>
      <c r="AA3145" s="82"/>
      <c r="AB3145" s="82"/>
      <c r="AC3145" s="82"/>
      <c r="AD3145" s="82"/>
      <c r="AE3145" s="82"/>
      <c r="AF3145" s="82"/>
      <c r="AG3145" s="82"/>
      <c r="AH3145" s="82"/>
      <c r="AI3145" s="82"/>
      <c r="AJ3145" s="82"/>
      <c r="AK3145" s="82"/>
      <c r="AL3145" s="82"/>
      <c r="AM3145" s="82"/>
      <c r="AN3145" s="82"/>
      <c r="AO3145" s="82"/>
      <c r="AP3145" s="82"/>
      <c r="AQ3145" s="82"/>
      <c r="AR3145" s="82"/>
      <c r="AS3145" s="82"/>
      <c r="AT3145" s="82"/>
      <c r="AU3145" s="82"/>
      <c r="AV3145" s="82"/>
      <c r="AW3145" s="82" t="str">
        <f t="shared" si="1"/>
        <v/>
      </c>
      <c r="AX3145" s="83" t="str">
        <f t="array" ref="AX3145">IFERROR(DGET('SBV Import'!A:G,"SBV",{"RSC ID","Tier";B3145,A3145}))</f>
        <v/>
      </c>
      <c r="AY3145" s="82" t="str">
        <f t="shared" si="2"/>
        <v/>
      </c>
      <c r="AZ3145" s="82"/>
      <c r="BA3145" s="84" t="s">
        <v>152</v>
      </c>
      <c r="BB3145" s="84" t="str">
        <f>IFERROR(__xludf.DUMMYFUNCTION("iferror(if(A3145="""",,E3145&gt;=FILTER(Constants!$F$2:$F$10,Constants!$A$2:$A$10=A3145)))"),"")</f>
        <v/>
      </c>
    </row>
    <row r="3146">
      <c r="A3146" s="89"/>
      <c r="B3146" s="87"/>
      <c r="C3146" s="73"/>
      <c r="D3146" s="73"/>
      <c r="E3146" s="82"/>
      <c r="F3146" s="82"/>
      <c r="G3146" s="86"/>
      <c r="H3146" s="86"/>
      <c r="I3146" s="86"/>
      <c r="J3146" s="82"/>
      <c r="K3146" s="82"/>
      <c r="L3146" s="82"/>
      <c r="M3146" s="82"/>
      <c r="N3146" s="82"/>
      <c r="O3146" s="82"/>
      <c r="P3146" s="82"/>
      <c r="Q3146" s="82"/>
      <c r="R3146" s="82"/>
      <c r="S3146" s="82"/>
      <c r="T3146" s="82"/>
      <c r="U3146" s="82"/>
      <c r="V3146" s="82"/>
      <c r="W3146" s="82"/>
      <c r="X3146" s="82"/>
      <c r="Y3146" s="82"/>
      <c r="Z3146" s="82"/>
      <c r="AA3146" s="82"/>
      <c r="AB3146" s="82"/>
      <c r="AC3146" s="82"/>
      <c r="AD3146" s="82"/>
      <c r="AE3146" s="82"/>
      <c r="AF3146" s="82"/>
      <c r="AG3146" s="82"/>
      <c r="AH3146" s="82"/>
      <c r="AI3146" s="82"/>
      <c r="AJ3146" s="82"/>
      <c r="AK3146" s="82"/>
      <c r="AL3146" s="82"/>
      <c r="AM3146" s="82"/>
      <c r="AN3146" s="82"/>
      <c r="AO3146" s="82"/>
      <c r="AP3146" s="82"/>
      <c r="AQ3146" s="82"/>
      <c r="AR3146" s="82"/>
      <c r="AS3146" s="82"/>
      <c r="AT3146" s="82"/>
      <c r="AU3146" s="82"/>
      <c r="AV3146" s="82"/>
      <c r="AW3146" s="82" t="str">
        <f t="shared" si="1"/>
        <v/>
      </c>
      <c r="AX3146" s="83" t="str">
        <f t="array" ref="AX3146">IFERROR(DGET('SBV Import'!A:G,"SBV",{"RSC ID","Tier";B3146,A3146}))</f>
        <v/>
      </c>
      <c r="AY3146" s="82" t="str">
        <f t="shared" si="2"/>
        <v/>
      </c>
      <c r="AZ3146" s="82"/>
      <c r="BA3146" s="84" t="s">
        <v>152</v>
      </c>
      <c r="BB3146" s="84" t="str">
        <f>IFERROR(__xludf.DUMMYFUNCTION("iferror(if(A3146="""",,E3146&gt;=FILTER(Constants!$F$2:$F$10,Constants!$A$2:$A$10=A3146)))"),"")</f>
        <v/>
      </c>
    </row>
    <row r="3147">
      <c r="A3147" s="89"/>
      <c r="B3147" s="87"/>
      <c r="C3147" s="73"/>
      <c r="D3147" s="73"/>
      <c r="E3147" s="82"/>
      <c r="F3147" s="82"/>
      <c r="G3147" s="86"/>
      <c r="H3147" s="86"/>
      <c r="I3147" s="86"/>
      <c r="J3147" s="82"/>
      <c r="K3147" s="82"/>
      <c r="L3147" s="82"/>
      <c r="M3147" s="82"/>
      <c r="N3147" s="82"/>
      <c r="O3147" s="82"/>
      <c r="P3147" s="82"/>
      <c r="Q3147" s="82"/>
      <c r="R3147" s="82"/>
      <c r="S3147" s="82"/>
      <c r="T3147" s="82"/>
      <c r="U3147" s="82"/>
      <c r="V3147" s="82"/>
      <c r="W3147" s="82"/>
      <c r="X3147" s="82"/>
      <c r="Y3147" s="82"/>
      <c r="Z3147" s="82"/>
      <c r="AA3147" s="82"/>
      <c r="AB3147" s="82"/>
      <c r="AC3147" s="82"/>
      <c r="AD3147" s="82"/>
      <c r="AE3147" s="82"/>
      <c r="AF3147" s="82"/>
      <c r="AG3147" s="82"/>
      <c r="AH3147" s="82"/>
      <c r="AI3147" s="82"/>
      <c r="AJ3147" s="82"/>
      <c r="AK3147" s="82"/>
      <c r="AL3147" s="82"/>
      <c r="AM3147" s="82"/>
      <c r="AN3147" s="82"/>
      <c r="AO3147" s="82"/>
      <c r="AP3147" s="82"/>
      <c r="AQ3147" s="82"/>
      <c r="AR3147" s="82"/>
      <c r="AS3147" s="82"/>
      <c r="AT3147" s="82"/>
      <c r="AU3147" s="82"/>
      <c r="AV3147" s="82"/>
      <c r="AW3147" s="82" t="str">
        <f t="shared" si="1"/>
        <v/>
      </c>
      <c r="AX3147" s="83" t="str">
        <f t="array" ref="AX3147">IFERROR(DGET('SBV Import'!A:G,"SBV",{"RSC ID","Tier";B3147,A3147}))</f>
        <v/>
      </c>
      <c r="AY3147" s="82" t="str">
        <f t="shared" si="2"/>
        <v/>
      </c>
      <c r="AZ3147" s="82"/>
      <c r="BA3147" s="84" t="s">
        <v>152</v>
      </c>
      <c r="BB3147" s="84" t="str">
        <f>IFERROR(__xludf.DUMMYFUNCTION("iferror(if(A3147="""",,E3147&gt;=FILTER(Constants!$F$2:$F$10,Constants!$A$2:$A$10=A3147)))"),"")</f>
        <v/>
      </c>
    </row>
    <row r="3148">
      <c r="A3148" s="89"/>
      <c r="B3148" s="87"/>
      <c r="C3148" s="73"/>
      <c r="D3148" s="73"/>
      <c r="E3148" s="82"/>
      <c r="F3148" s="82"/>
      <c r="G3148" s="86"/>
      <c r="H3148" s="86"/>
      <c r="I3148" s="86"/>
      <c r="J3148" s="82"/>
      <c r="K3148" s="82"/>
      <c r="L3148" s="82"/>
      <c r="M3148" s="82"/>
      <c r="N3148" s="82"/>
      <c r="O3148" s="82"/>
      <c r="P3148" s="82"/>
      <c r="Q3148" s="82"/>
      <c r="R3148" s="82"/>
      <c r="S3148" s="82"/>
      <c r="T3148" s="82"/>
      <c r="U3148" s="82"/>
      <c r="V3148" s="82"/>
      <c r="W3148" s="82"/>
      <c r="X3148" s="82"/>
      <c r="Y3148" s="82"/>
      <c r="Z3148" s="82"/>
      <c r="AA3148" s="82"/>
      <c r="AB3148" s="82"/>
      <c r="AC3148" s="82"/>
      <c r="AD3148" s="82"/>
      <c r="AE3148" s="82"/>
      <c r="AF3148" s="82"/>
      <c r="AG3148" s="82"/>
      <c r="AH3148" s="82"/>
      <c r="AI3148" s="82"/>
      <c r="AJ3148" s="82"/>
      <c r="AK3148" s="82"/>
      <c r="AL3148" s="82"/>
      <c r="AM3148" s="82"/>
      <c r="AN3148" s="82"/>
      <c r="AO3148" s="82"/>
      <c r="AP3148" s="82"/>
      <c r="AQ3148" s="82"/>
      <c r="AR3148" s="82"/>
      <c r="AS3148" s="82"/>
      <c r="AT3148" s="82"/>
      <c r="AU3148" s="82"/>
      <c r="AV3148" s="82"/>
      <c r="AW3148" s="82" t="str">
        <f t="shared" si="1"/>
        <v/>
      </c>
      <c r="AX3148" s="83" t="str">
        <f t="array" ref="AX3148">IFERROR(DGET('SBV Import'!A:G,"SBV",{"RSC ID","Tier";B3148,A3148}))</f>
        <v/>
      </c>
      <c r="AY3148" s="82" t="str">
        <f t="shared" si="2"/>
        <v/>
      </c>
      <c r="AZ3148" s="82"/>
      <c r="BA3148" s="84" t="s">
        <v>152</v>
      </c>
      <c r="BB3148" s="84" t="str">
        <f>IFERROR(__xludf.DUMMYFUNCTION("iferror(if(A3148="""",,E3148&gt;=FILTER(Constants!$F$2:$F$10,Constants!$A$2:$A$10=A3148)))"),"")</f>
        <v/>
      </c>
    </row>
    <row r="3149">
      <c r="A3149" s="89"/>
      <c r="B3149" s="87"/>
      <c r="C3149" s="73"/>
      <c r="D3149" s="73"/>
      <c r="E3149" s="82"/>
      <c r="F3149" s="82"/>
      <c r="G3149" s="86"/>
      <c r="H3149" s="86"/>
      <c r="I3149" s="86"/>
      <c r="J3149" s="82"/>
      <c r="K3149" s="82"/>
      <c r="L3149" s="82"/>
      <c r="M3149" s="82"/>
      <c r="N3149" s="82"/>
      <c r="O3149" s="82"/>
      <c r="P3149" s="82"/>
      <c r="Q3149" s="82"/>
      <c r="R3149" s="82"/>
      <c r="S3149" s="82"/>
      <c r="T3149" s="82"/>
      <c r="U3149" s="82"/>
      <c r="V3149" s="82"/>
      <c r="W3149" s="82"/>
      <c r="X3149" s="82"/>
      <c r="Y3149" s="82"/>
      <c r="Z3149" s="82"/>
      <c r="AA3149" s="82"/>
      <c r="AB3149" s="82"/>
      <c r="AC3149" s="82"/>
      <c r="AD3149" s="82"/>
      <c r="AE3149" s="82"/>
      <c r="AF3149" s="82"/>
      <c r="AG3149" s="82"/>
      <c r="AH3149" s="82"/>
      <c r="AI3149" s="82"/>
      <c r="AJ3149" s="82"/>
      <c r="AK3149" s="82"/>
      <c r="AL3149" s="82"/>
      <c r="AM3149" s="82"/>
      <c r="AN3149" s="82"/>
      <c r="AO3149" s="82"/>
      <c r="AP3149" s="82"/>
      <c r="AQ3149" s="82"/>
      <c r="AR3149" s="82"/>
      <c r="AS3149" s="82"/>
      <c r="AT3149" s="82"/>
      <c r="AU3149" s="82"/>
      <c r="AV3149" s="82"/>
      <c r="AW3149" s="82" t="str">
        <f t="shared" si="1"/>
        <v/>
      </c>
      <c r="AX3149" s="83" t="str">
        <f t="array" ref="AX3149">IFERROR(DGET('SBV Import'!A:G,"SBV",{"RSC ID","Tier";B3149,A3149}))</f>
        <v/>
      </c>
      <c r="AY3149" s="82" t="str">
        <f t="shared" si="2"/>
        <v/>
      </c>
      <c r="AZ3149" s="82"/>
      <c r="BA3149" s="84" t="s">
        <v>152</v>
      </c>
      <c r="BB3149" s="84" t="str">
        <f>IFERROR(__xludf.DUMMYFUNCTION("iferror(if(A3149="""",,E3149&gt;=FILTER(Constants!$F$2:$F$10,Constants!$A$2:$A$10=A3149)))"),"")</f>
        <v/>
      </c>
    </row>
    <row r="3150">
      <c r="A3150" s="89"/>
      <c r="B3150" s="87"/>
      <c r="C3150" s="73"/>
      <c r="D3150" s="73"/>
      <c r="E3150" s="82"/>
      <c r="F3150" s="82"/>
      <c r="G3150" s="86"/>
      <c r="H3150" s="86"/>
      <c r="I3150" s="86"/>
      <c r="J3150" s="82"/>
      <c r="K3150" s="82"/>
      <c r="L3150" s="82"/>
      <c r="M3150" s="82"/>
      <c r="N3150" s="82"/>
      <c r="O3150" s="82"/>
      <c r="P3150" s="82"/>
      <c r="Q3150" s="82"/>
      <c r="R3150" s="82"/>
      <c r="S3150" s="82"/>
      <c r="T3150" s="82"/>
      <c r="U3150" s="82"/>
      <c r="V3150" s="82"/>
      <c r="W3150" s="82"/>
      <c r="X3150" s="82"/>
      <c r="Y3150" s="82"/>
      <c r="Z3150" s="82"/>
      <c r="AA3150" s="82"/>
      <c r="AB3150" s="82"/>
      <c r="AC3150" s="82"/>
      <c r="AD3150" s="82"/>
      <c r="AE3150" s="82"/>
      <c r="AF3150" s="82"/>
      <c r="AG3150" s="82"/>
      <c r="AH3150" s="82"/>
      <c r="AI3150" s="82"/>
      <c r="AJ3150" s="82"/>
      <c r="AK3150" s="82"/>
      <c r="AL3150" s="82"/>
      <c r="AM3150" s="82"/>
      <c r="AN3150" s="82"/>
      <c r="AO3150" s="82"/>
      <c r="AP3150" s="82"/>
      <c r="AQ3150" s="82"/>
      <c r="AR3150" s="82"/>
      <c r="AS3150" s="82"/>
      <c r="AT3150" s="82"/>
      <c r="AU3150" s="82"/>
      <c r="AV3150" s="82"/>
      <c r="AW3150" s="82" t="str">
        <f t="shared" si="1"/>
        <v/>
      </c>
      <c r="AX3150" s="83" t="str">
        <f t="array" ref="AX3150">IFERROR(DGET('SBV Import'!A:G,"SBV",{"RSC ID","Tier";B3150,A3150}))</f>
        <v/>
      </c>
      <c r="AY3150" s="82" t="str">
        <f t="shared" si="2"/>
        <v/>
      </c>
      <c r="AZ3150" s="82"/>
      <c r="BA3150" s="84" t="s">
        <v>152</v>
      </c>
      <c r="BB3150" s="84" t="str">
        <f>IFERROR(__xludf.DUMMYFUNCTION("iferror(if(A3150="""",,E3150&gt;=FILTER(Constants!$F$2:$F$10,Constants!$A$2:$A$10=A3150)))"),"")</f>
        <v/>
      </c>
    </row>
    <row r="3151">
      <c r="A3151" s="89"/>
      <c r="B3151" s="87"/>
      <c r="C3151" s="73"/>
      <c r="D3151" s="73"/>
      <c r="E3151" s="82"/>
      <c r="F3151" s="82"/>
      <c r="G3151" s="86"/>
      <c r="H3151" s="86"/>
      <c r="I3151" s="86"/>
      <c r="J3151" s="82"/>
      <c r="K3151" s="82"/>
      <c r="L3151" s="82"/>
      <c r="M3151" s="82"/>
      <c r="N3151" s="82"/>
      <c r="O3151" s="82"/>
      <c r="P3151" s="82"/>
      <c r="Q3151" s="82"/>
      <c r="R3151" s="82"/>
      <c r="S3151" s="82"/>
      <c r="T3151" s="82"/>
      <c r="U3151" s="82"/>
      <c r="V3151" s="82"/>
      <c r="W3151" s="82"/>
      <c r="X3151" s="82"/>
      <c r="Y3151" s="82"/>
      <c r="Z3151" s="82"/>
      <c r="AA3151" s="82"/>
      <c r="AB3151" s="82"/>
      <c r="AC3151" s="82"/>
      <c r="AD3151" s="82"/>
      <c r="AE3151" s="82"/>
      <c r="AF3151" s="82"/>
      <c r="AG3151" s="82"/>
      <c r="AH3151" s="82"/>
      <c r="AI3151" s="82"/>
      <c r="AJ3151" s="82"/>
      <c r="AK3151" s="82"/>
      <c r="AL3151" s="82"/>
      <c r="AM3151" s="82"/>
      <c r="AN3151" s="82"/>
      <c r="AO3151" s="82"/>
      <c r="AP3151" s="82"/>
      <c r="AQ3151" s="82"/>
      <c r="AR3151" s="82"/>
      <c r="AS3151" s="82"/>
      <c r="AT3151" s="82"/>
      <c r="AU3151" s="82"/>
      <c r="AV3151" s="82"/>
      <c r="AW3151" s="82" t="str">
        <f t="shared" si="1"/>
        <v/>
      </c>
      <c r="AX3151" s="83" t="str">
        <f t="array" ref="AX3151">IFERROR(DGET('SBV Import'!A:G,"SBV",{"RSC ID","Tier";B3151,A3151}))</f>
        <v/>
      </c>
      <c r="AY3151" s="82" t="str">
        <f t="shared" si="2"/>
        <v/>
      </c>
      <c r="AZ3151" s="82"/>
      <c r="BA3151" s="84" t="s">
        <v>152</v>
      </c>
      <c r="BB3151" s="84" t="str">
        <f>IFERROR(__xludf.DUMMYFUNCTION("iferror(if(A3151="""",,E3151&gt;=FILTER(Constants!$F$2:$F$10,Constants!$A$2:$A$10=A3151)))"),"")</f>
        <v/>
      </c>
    </row>
    <row r="3152">
      <c r="A3152" s="89"/>
      <c r="B3152" s="87"/>
      <c r="C3152" s="73"/>
      <c r="D3152" s="73"/>
      <c r="E3152" s="82"/>
      <c r="F3152" s="82"/>
      <c r="G3152" s="86"/>
      <c r="H3152" s="86"/>
      <c r="I3152" s="86"/>
      <c r="J3152" s="82"/>
      <c r="K3152" s="82"/>
      <c r="L3152" s="82"/>
      <c r="M3152" s="82"/>
      <c r="N3152" s="82"/>
      <c r="O3152" s="82"/>
      <c r="P3152" s="82"/>
      <c r="Q3152" s="82"/>
      <c r="R3152" s="82"/>
      <c r="S3152" s="82"/>
      <c r="T3152" s="82"/>
      <c r="U3152" s="82"/>
      <c r="V3152" s="82"/>
      <c r="W3152" s="82"/>
      <c r="X3152" s="82"/>
      <c r="Y3152" s="82"/>
      <c r="Z3152" s="82"/>
      <c r="AA3152" s="82"/>
      <c r="AB3152" s="82"/>
      <c r="AC3152" s="82"/>
      <c r="AD3152" s="82"/>
      <c r="AE3152" s="82"/>
      <c r="AF3152" s="82"/>
      <c r="AG3152" s="82"/>
      <c r="AH3152" s="82"/>
      <c r="AI3152" s="82"/>
      <c r="AJ3152" s="82"/>
      <c r="AK3152" s="82"/>
      <c r="AL3152" s="82"/>
      <c r="AM3152" s="82"/>
      <c r="AN3152" s="82"/>
      <c r="AO3152" s="82"/>
      <c r="AP3152" s="82"/>
      <c r="AQ3152" s="82"/>
      <c r="AR3152" s="82"/>
      <c r="AS3152" s="82"/>
      <c r="AT3152" s="82"/>
      <c r="AU3152" s="82"/>
      <c r="AV3152" s="82"/>
      <c r="AW3152" s="82" t="str">
        <f t="shared" si="1"/>
        <v/>
      </c>
      <c r="AX3152" s="83" t="str">
        <f t="array" ref="AX3152">IFERROR(DGET('SBV Import'!A:G,"SBV",{"RSC ID","Tier";B3152,A3152}))</f>
        <v/>
      </c>
      <c r="AY3152" s="82" t="str">
        <f t="shared" si="2"/>
        <v/>
      </c>
      <c r="AZ3152" s="82"/>
      <c r="BA3152" s="84" t="s">
        <v>152</v>
      </c>
      <c r="BB3152" s="84" t="str">
        <f>IFERROR(__xludf.DUMMYFUNCTION("iferror(if(A3152="""",,E3152&gt;=FILTER(Constants!$F$2:$F$10,Constants!$A$2:$A$10=A3152)))"),"")</f>
        <v/>
      </c>
    </row>
    <row r="3153">
      <c r="A3153" s="89"/>
      <c r="B3153" s="87"/>
      <c r="C3153" s="73"/>
      <c r="D3153" s="73"/>
      <c r="E3153" s="82"/>
      <c r="F3153" s="82"/>
      <c r="G3153" s="86"/>
      <c r="H3153" s="86"/>
      <c r="I3153" s="86"/>
      <c r="J3153" s="82"/>
      <c r="K3153" s="82"/>
      <c r="L3153" s="82"/>
      <c r="M3153" s="82"/>
      <c r="N3153" s="82"/>
      <c r="O3153" s="82"/>
      <c r="P3153" s="82"/>
      <c r="Q3153" s="82"/>
      <c r="R3153" s="82"/>
      <c r="S3153" s="82"/>
      <c r="T3153" s="82"/>
      <c r="U3153" s="82"/>
      <c r="V3153" s="82"/>
      <c r="W3153" s="82"/>
      <c r="X3153" s="82"/>
      <c r="Y3153" s="82"/>
      <c r="Z3153" s="82"/>
      <c r="AA3153" s="82"/>
      <c r="AB3153" s="82"/>
      <c r="AC3153" s="82"/>
      <c r="AD3153" s="82"/>
      <c r="AE3153" s="82"/>
      <c r="AF3153" s="82"/>
      <c r="AG3153" s="82"/>
      <c r="AH3153" s="82"/>
      <c r="AI3153" s="82"/>
      <c r="AJ3153" s="82"/>
      <c r="AK3153" s="82"/>
      <c r="AL3153" s="82"/>
      <c r="AM3153" s="82"/>
      <c r="AN3153" s="82"/>
      <c r="AO3153" s="82"/>
      <c r="AP3153" s="82"/>
      <c r="AQ3153" s="82"/>
      <c r="AR3153" s="82"/>
      <c r="AS3153" s="82"/>
      <c r="AT3153" s="82"/>
      <c r="AU3153" s="82"/>
      <c r="AV3153" s="82"/>
      <c r="AW3153" s="82" t="str">
        <f t="shared" si="1"/>
        <v/>
      </c>
      <c r="AX3153" s="83" t="str">
        <f t="array" ref="AX3153">IFERROR(DGET('SBV Import'!A:G,"SBV",{"RSC ID","Tier";B3153,A3153}))</f>
        <v/>
      </c>
      <c r="AY3153" s="82" t="str">
        <f t="shared" si="2"/>
        <v/>
      </c>
      <c r="AZ3153" s="82"/>
      <c r="BA3153" s="84" t="s">
        <v>152</v>
      </c>
      <c r="BB3153" s="84" t="str">
        <f>IFERROR(__xludf.DUMMYFUNCTION("iferror(if(A3153="""",,E3153&gt;=FILTER(Constants!$F$2:$F$10,Constants!$A$2:$A$10=A3153)))"),"")</f>
        <v/>
      </c>
    </row>
    <row r="3154">
      <c r="A3154" s="89"/>
      <c r="B3154" s="87"/>
      <c r="C3154" s="73"/>
      <c r="D3154" s="73"/>
      <c r="E3154" s="82"/>
      <c r="F3154" s="82"/>
      <c r="G3154" s="86"/>
      <c r="H3154" s="86"/>
      <c r="I3154" s="86"/>
      <c r="J3154" s="82"/>
      <c r="K3154" s="82"/>
      <c r="L3154" s="82"/>
      <c r="M3154" s="82"/>
      <c r="N3154" s="82"/>
      <c r="O3154" s="82"/>
      <c r="P3154" s="82"/>
      <c r="Q3154" s="82"/>
      <c r="R3154" s="82"/>
      <c r="S3154" s="82"/>
      <c r="T3154" s="82"/>
      <c r="U3154" s="82"/>
      <c r="V3154" s="82"/>
      <c r="W3154" s="82"/>
      <c r="X3154" s="82"/>
      <c r="Y3154" s="82"/>
      <c r="Z3154" s="82"/>
      <c r="AA3154" s="82"/>
      <c r="AB3154" s="82"/>
      <c r="AC3154" s="82"/>
      <c r="AD3154" s="82"/>
      <c r="AE3154" s="82"/>
      <c r="AF3154" s="82"/>
      <c r="AG3154" s="82"/>
      <c r="AH3154" s="82"/>
      <c r="AI3154" s="82"/>
      <c r="AJ3154" s="82"/>
      <c r="AK3154" s="82"/>
      <c r="AL3154" s="82"/>
      <c r="AM3154" s="82"/>
      <c r="AN3154" s="82"/>
      <c r="AO3154" s="82"/>
      <c r="AP3154" s="82"/>
      <c r="AQ3154" s="82"/>
      <c r="AR3154" s="82"/>
      <c r="AS3154" s="82"/>
      <c r="AT3154" s="82"/>
      <c r="AU3154" s="82"/>
      <c r="AV3154" s="82"/>
      <c r="AW3154" s="82" t="str">
        <f t="shared" si="1"/>
        <v/>
      </c>
      <c r="AX3154" s="83" t="str">
        <f t="array" ref="AX3154">IFERROR(DGET('SBV Import'!A:G,"SBV",{"RSC ID","Tier";B3154,A3154}))</f>
        <v/>
      </c>
      <c r="AY3154" s="82" t="str">
        <f t="shared" si="2"/>
        <v/>
      </c>
      <c r="AZ3154" s="82"/>
      <c r="BA3154" s="84" t="s">
        <v>152</v>
      </c>
      <c r="BB3154" s="84" t="str">
        <f>IFERROR(__xludf.DUMMYFUNCTION("iferror(if(A3154="""",,E3154&gt;=FILTER(Constants!$F$2:$F$10,Constants!$A$2:$A$10=A3154)))"),"")</f>
        <v/>
      </c>
    </row>
    <row r="3155">
      <c r="A3155" s="89"/>
      <c r="B3155" s="87"/>
      <c r="C3155" s="73"/>
      <c r="D3155" s="73"/>
      <c r="E3155" s="82"/>
      <c r="F3155" s="82"/>
      <c r="G3155" s="86"/>
      <c r="H3155" s="86"/>
      <c r="I3155" s="86"/>
      <c r="J3155" s="82"/>
      <c r="K3155" s="82"/>
      <c r="L3155" s="82"/>
      <c r="M3155" s="82"/>
      <c r="N3155" s="82"/>
      <c r="O3155" s="82"/>
      <c r="P3155" s="82"/>
      <c r="Q3155" s="82"/>
      <c r="R3155" s="82"/>
      <c r="S3155" s="82"/>
      <c r="T3155" s="82"/>
      <c r="U3155" s="82"/>
      <c r="V3155" s="82"/>
      <c r="W3155" s="82"/>
      <c r="X3155" s="82"/>
      <c r="Y3155" s="82"/>
      <c r="Z3155" s="82"/>
      <c r="AA3155" s="82"/>
      <c r="AB3155" s="82"/>
      <c r="AC3155" s="82"/>
      <c r="AD3155" s="82"/>
      <c r="AE3155" s="82"/>
      <c r="AF3155" s="82"/>
      <c r="AG3155" s="82"/>
      <c r="AH3155" s="82"/>
      <c r="AI3155" s="82"/>
      <c r="AJ3155" s="82"/>
      <c r="AK3155" s="82"/>
      <c r="AL3155" s="82"/>
      <c r="AM3155" s="82"/>
      <c r="AN3155" s="82"/>
      <c r="AO3155" s="82"/>
      <c r="AP3155" s="82"/>
      <c r="AQ3155" s="82"/>
      <c r="AR3155" s="82"/>
      <c r="AS3155" s="82"/>
      <c r="AT3155" s="82"/>
      <c r="AU3155" s="82"/>
      <c r="AV3155" s="82"/>
      <c r="AW3155" s="82" t="str">
        <f t="shared" si="1"/>
        <v/>
      </c>
      <c r="AX3155" s="83" t="str">
        <f t="array" ref="AX3155">IFERROR(DGET('SBV Import'!A:G,"SBV",{"RSC ID","Tier";B3155,A3155}))</f>
        <v/>
      </c>
      <c r="AY3155" s="82" t="str">
        <f t="shared" si="2"/>
        <v/>
      </c>
      <c r="AZ3155" s="82"/>
      <c r="BA3155" s="84" t="s">
        <v>152</v>
      </c>
      <c r="BB3155" s="84" t="str">
        <f>IFERROR(__xludf.DUMMYFUNCTION("iferror(if(A3155="""",,E3155&gt;=FILTER(Constants!$F$2:$F$10,Constants!$A$2:$A$10=A3155)))"),"")</f>
        <v/>
      </c>
    </row>
    <row r="3156">
      <c r="A3156" s="89"/>
      <c r="B3156" s="87"/>
      <c r="C3156" s="73"/>
      <c r="D3156" s="73"/>
      <c r="E3156" s="82"/>
      <c r="F3156" s="82"/>
      <c r="G3156" s="86"/>
      <c r="H3156" s="86"/>
      <c r="I3156" s="86"/>
      <c r="J3156" s="82"/>
      <c r="K3156" s="82"/>
      <c r="L3156" s="82"/>
      <c r="M3156" s="82"/>
      <c r="N3156" s="82"/>
      <c r="O3156" s="82"/>
      <c r="P3156" s="82"/>
      <c r="Q3156" s="82"/>
      <c r="R3156" s="82"/>
      <c r="S3156" s="82"/>
      <c r="T3156" s="82"/>
      <c r="U3156" s="82"/>
      <c r="V3156" s="82"/>
      <c r="W3156" s="82"/>
      <c r="X3156" s="82"/>
      <c r="Y3156" s="82"/>
      <c r="Z3156" s="82"/>
      <c r="AA3156" s="82"/>
      <c r="AB3156" s="82"/>
      <c r="AC3156" s="82"/>
      <c r="AD3156" s="82"/>
      <c r="AE3156" s="82"/>
      <c r="AF3156" s="82"/>
      <c r="AG3156" s="82"/>
      <c r="AH3156" s="82"/>
      <c r="AI3156" s="82"/>
      <c r="AJ3156" s="82"/>
      <c r="AK3156" s="82"/>
      <c r="AL3156" s="82"/>
      <c r="AM3156" s="82"/>
      <c r="AN3156" s="82"/>
      <c r="AO3156" s="82"/>
      <c r="AP3156" s="82"/>
      <c r="AQ3156" s="82"/>
      <c r="AR3156" s="82"/>
      <c r="AS3156" s="82"/>
      <c r="AT3156" s="82"/>
      <c r="AU3156" s="82"/>
      <c r="AV3156" s="82"/>
      <c r="AW3156" s="82" t="str">
        <f t="shared" si="1"/>
        <v/>
      </c>
      <c r="AX3156" s="83" t="str">
        <f t="array" ref="AX3156">IFERROR(DGET('SBV Import'!A:G,"SBV",{"RSC ID","Tier";B3156,A3156}))</f>
        <v/>
      </c>
      <c r="AY3156" s="82" t="str">
        <f t="shared" si="2"/>
        <v/>
      </c>
      <c r="AZ3156" s="82"/>
      <c r="BA3156" s="84" t="s">
        <v>152</v>
      </c>
      <c r="BB3156" s="84" t="str">
        <f>IFERROR(__xludf.DUMMYFUNCTION("iferror(if(A3156="""",,E3156&gt;=FILTER(Constants!$F$2:$F$10,Constants!$A$2:$A$10=A3156)))"),"")</f>
        <v/>
      </c>
    </row>
    <row r="3157">
      <c r="A3157" s="89"/>
      <c r="B3157" s="87"/>
      <c r="C3157" s="73"/>
      <c r="D3157" s="73"/>
      <c r="E3157" s="82"/>
      <c r="F3157" s="82"/>
      <c r="G3157" s="86"/>
      <c r="H3157" s="86"/>
      <c r="I3157" s="86"/>
      <c r="J3157" s="82"/>
      <c r="K3157" s="82"/>
      <c r="L3157" s="82"/>
      <c r="M3157" s="82"/>
      <c r="N3157" s="82"/>
      <c r="O3157" s="82"/>
      <c r="P3157" s="82"/>
      <c r="Q3157" s="82"/>
      <c r="R3157" s="82"/>
      <c r="S3157" s="82"/>
      <c r="T3157" s="82"/>
      <c r="U3157" s="82"/>
      <c r="V3157" s="82"/>
      <c r="W3157" s="82"/>
      <c r="X3157" s="82"/>
      <c r="Y3157" s="82"/>
      <c r="Z3157" s="82"/>
      <c r="AA3157" s="82"/>
      <c r="AB3157" s="82"/>
      <c r="AC3157" s="82"/>
      <c r="AD3157" s="82"/>
      <c r="AE3157" s="82"/>
      <c r="AF3157" s="82"/>
      <c r="AG3157" s="82"/>
      <c r="AH3157" s="82"/>
      <c r="AI3157" s="82"/>
      <c r="AJ3157" s="82"/>
      <c r="AK3157" s="82"/>
      <c r="AL3157" s="82"/>
      <c r="AM3157" s="82"/>
      <c r="AN3157" s="82"/>
      <c r="AO3157" s="82"/>
      <c r="AP3157" s="82"/>
      <c r="AQ3157" s="82"/>
      <c r="AR3157" s="82"/>
      <c r="AS3157" s="82"/>
      <c r="AT3157" s="82"/>
      <c r="AU3157" s="82"/>
      <c r="AV3157" s="82"/>
      <c r="AW3157" s="82" t="str">
        <f t="shared" si="1"/>
        <v/>
      </c>
      <c r="AX3157" s="83" t="str">
        <f t="array" ref="AX3157">IFERROR(DGET('SBV Import'!A:G,"SBV",{"RSC ID","Tier";B3157,A3157}))</f>
        <v/>
      </c>
      <c r="AY3157" s="82" t="str">
        <f t="shared" si="2"/>
        <v/>
      </c>
      <c r="AZ3157" s="82"/>
      <c r="BA3157" s="84" t="s">
        <v>152</v>
      </c>
      <c r="BB3157" s="84" t="str">
        <f>IFERROR(__xludf.DUMMYFUNCTION("iferror(if(A3157="""",,E3157&gt;=FILTER(Constants!$F$2:$F$10,Constants!$A$2:$A$10=A3157)))"),"")</f>
        <v/>
      </c>
    </row>
    <row r="3158">
      <c r="A3158" s="89"/>
      <c r="B3158" s="87"/>
      <c r="C3158" s="73"/>
      <c r="D3158" s="73"/>
      <c r="E3158" s="82"/>
      <c r="F3158" s="82"/>
      <c r="G3158" s="86"/>
      <c r="H3158" s="86"/>
      <c r="I3158" s="86"/>
      <c r="J3158" s="82"/>
      <c r="K3158" s="82"/>
      <c r="L3158" s="82"/>
      <c r="M3158" s="82"/>
      <c r="N3158" s="82"/>
      <c r="O3158" s="82"/>
      <c r="P3158" s="82"/>
      <c r="Q3158" s="82"/>
      <c r="R3158" s="82"/>
      <c r="S3158" s="82"/>
      <c r="T3158" s="82"/>
      <c r="U3158" s="82"/>
      <c r="V3158" s="82"/>
      <c r="W3158" s="82"/>
      <c r="X3158" s="82"/>
      <c r="Y3158" s="82"/>
      <c r="Z3158" s="82"/>
      <c r="AA3158" s="82"/>
      <c r="AB3158" s="82"/>
      <c r="AC3158" s="82"/>
      <c r="AD3158" s="82"/>
      <c r="AE3158" s="82"/>
      <c r="AF3158" s="82"/>
      <c r="AG3158" s="82"/>
      <c r="AH3158" s="82"/>
      <c r="AI3158" s="82"/>
      <c r="AJ3158" s="82"/>
      <c r="AK3158" s="82"/>
      <c r="AL3158" s="82"/>
      <c r="AM3158" s="82"/>
      <c r="AN3158" s="82"/>
      <c r="AO3158" s="82"/>
      <c r="AP3158" s="82"/>
      <c r="AQ3158" s="82"/>
      <c r="AR3158" s="82"/>
      <c r="AS3158" s="82"/>
      <c r="AT3158" s="82"/>
      <c r="AU3158" s="82"/>
      <c r="AV3158" s="82"/>
      <c r="AW3158" s="82" t="str">
        <f t="shared" si="1"/>
        <v/>
      </c>
      <c r="AX3158" s="83" t="str">
        <f t="array" ref="AX3158">IFERROR(DGET('SBV Import'!A:G,"SBV",{"RSC ID","Tier";B3158,A3158}))</f>
        <v/>
      </c>
      <c r="AY3158" s="82" t="str">
        <f t="shared" si="2"/>
        <v/>
      </c>
      <c r="AZ3158" s="82"/>
      <c r="BA3158" s="84" t="s">
        <v>152</v>
      </c>
      <c r="BB3158" s="84" t="str">
        <f>IFERROR(__xludf.DUMMYFUNCTION("iferror(if(A3158="""",,E3158&gt;=FILTER(Constants!$F$2:$F$10,Constants!$A$2:$A$10=A3158)))"),"")</f>
        <v/>
      </c>
    </row>
    <row r="3159">
      <c r="A3159" s="89"/>
      <c r="B3159" s="87"/>
      <c r="C3159" s="73"/>
      <c r="D3159" s="73"/>
      <c r="E3159" s="82"/>
      <c r="F3159" s="82"/>
      <c r="G3159" s="86"/>
      <c r="H3159" s="86"/>
      <c r="I3159" s="86"/>
      <c r="J3159" s="82"/>
      <c r="K3159" s="82"/>
      <c r="L3159" s="82"/>
      <c r="M3159" s="82"/>
      <c r="N3159" s="82"/>
      <c r="O3159" s="82"/>
      <c r="P3159" s="82"/>
      <c r="Q3159" s="82"/>
      <c r="R3159" s="82"/>
      <c r="S3159" s="82"/>
      <c r="T3159" s="82"/>
      <c r="U3159" s="82"/>
      <c r="V3159" s="82"/>
      <c r="W3159" s="82"/>
      <c r="X3159" s="82"/>
      <c r="Y3159" s="82"/>
      <c r="Z3159" s="82"/>
      <c r="AA3159" s="82"/>
      <c r="AB3159" s="82"/>
      <c r="AC3159" s="82"/>
      <c r="AD3159" s="82"/>
      <c r="AE3159" s="82"/>
      <c r="AF3159" s="82"/>
      <c r="AG3159" s="82"/>
      <c r="AH3159" s="82"/>
      <c r="AI3159" s="82"/>
      <c r="AJ3159" s="82"/>
      <c r="AK3159" s="82"/>
      <c r="AL3159" s="82"/>
      <c r="AM3159" s="82"/>
      <c r="AN3159" s="82"/>
      <c r="AO3159" s="82"/>
      <c r="AP3159" s="82"/>
      <c r="AQ3159" s="82"/>
      <c r="AR3159" s="82"/>
      <c r="AS3159" s="82"/>
      <c r="AT3159" s="82"/>
      <c r="AU3159" s="82"/>
      <c r="AV3159" s="82"/>
      <c r="AW3159" s="82" t="str">
        <f t="shared" si="1"/>
        <v/>
      </c>
      <c r="AX3159" s="83" t="str">
        <f t="array" ref="AX3159">IFERROR(DGET('SBV Import'!A:G,"SBV",{"RSC ID","Tier";B3159,A3159}))</f>
        <v/>
      </c>
      <c r="AY3159" s="82" t="str">
        <f t="shared" si="2"/>
        <v/>
      </c>
      <c r="AZ3159" s="82"/>
      <c r="BA3159" s="84" t="s">
        <v>152</v>
      </c>
      <c r="BB3159" s="84" t="str">
        <f>IFERROR(__xludf.DUMMYFUNCTION("iferror(if(A3159="""",,E3159&gt;=FILTER(Constants!$F$2:$F$10,Constants!$A$2:$A$10=A3159)))"),"")</f>
        <v/>
      </c>
    </row>
    <row r="3160">
      <c r="A3160" s="89"/>
      <c r="B3160" s="87"/>
      <c r="C3160" s="73"/>
      <c r="D3160" s="73"/>
      <c r="E3160" s="82"/>
      <c r="F3160" s="82"/>
      <c r="G3160" s="86"/>
      <c r="H3160" s="86"/>
      <c r="I3160" s="86"/>
      <c r="J3160" s="82"/>
      <c r="K3160" s="82"/>
      <c r="L3160" s="82"/>
      <c r="M3160" s="82"/>
      <c r="N3160" s="82"/>
      <c r="O3160" s="82"/>
      <c r="P3160" s="82"/>
      <c r="Q3160" s="82"/>
      <c r="R3160" s="82"/>
      <c r="S3160" s="82"/>
      <c r="T3160" s="82"/>
      <c r="U3160" s="82"/>
      <c r="V3160" s="82"/>
      <c r="W3160" s="82"/>
      <c r="X3160" s="82"/>
      <c r="Y3160" s="82"/>
      <c r="Z3160" s="82"/>
      <c r="AA3160" s="82"/>
      <c r="AB3160" s="82"/>
      <c r="AC3160" s="82"/>
      <c r="AD3160" s="82"/>
      <c r="AE3160" s="82"/>
      <c r="AF3160" s="82"/>
      <c r="AG3160" s="82"/>
      <c r="AH3160" s="82"/>
      <c r="AI3160" s="82"/>
      <c r="AJ3160" s="82"/>
      <c r="AK3160" s="82"/>
      <c r="AL3160" s="82"/>
      <c r="AM3160" s="82"/>
      <c r="AN3160" s="82"/>
      <c r="AO3160" s="82"/>
      <c r="AP3160" s="82"/>
      <c r="AQ3160" s="82"/>
      <c r="AR3160" s="82"/>
      <c r="AS3160" s="82"/>
      <c r="AT3160" s="82"/>
      <c r="AU3160" s="82"/>
      <c r="AV3160" s="82"/>
      <c r="AW3160" s="82" t="str">
        <f t="shared" si="1"/>
        <v/>
      </c>
      <c r="AX3160" s="83" t="str">
        <f t="array" ref="AX3160">IFERROR(DGET('SBV Import'!A:G,"SBV",{"RSC ID","Tier";B3160,A3160}))</f>
        <v/>
      </c>
      <c r="AY3160" s="82" t="str">
        <f t="shared" si="2"/>
        <v/>
      </c>
      <c r="AZ3160" s="82"/>
      <c r="BA3160" s="84" t="s">
        <v>152</v>
      </c>
      <c r="BB3160" s="84" t="str">
        <f>IFERROR(__xludf.DUMMYFUNCTION("iferror(if(A3160="""",,E3160&gt;=FILTER(Constants!$F$2:$F$10,Constants!$A$2:$A$10=A3160)))"),"")</f>
        <v/>
      </c>
    </row>
    <row r="3161">
      <c r="A3161" s="89"/>
      <c r="B3161" s="87"/>
      <c r="C3161" s="73"/>
      <c r="D3161" s="73"/>
      <c r="E3161" s="82"/>
      <c r="F3161" s="82"/>
      <c r="G3161" s="86"/>
      <c r="H3161" s="86"/>
      <c r="I3161" s="86"/>
      <c r="J3161" s="82"/>
      <c r="K3161" s="82"/>
      <c r="L3161" s="82"/>
      <c r="M3161" s="82"/>
      <c r="N3161" s="82"/>
      <c r="O3161" s="82"/>
      <c r="P3161" s="82"/>
      <c r="Q3161" s="82"/>
      <c r="R3161" s="82"/>
      <c r="S3161" s="82"/>
      <c r="T3161" s="82"/>
      <c r="U3161" s="82"/>
      <c r="V3161" s="82"/>
      <c r="W3161" s="82"/>
      <c r="X3161" s="82"/>
      <c r="Y3161" s="82"/>
      <c r="Z3161" s="82"/>
      <c r="AA3161" s="82"/>
      <c r="AB3161" s="82"/>
      <c r="AC3161" s="82"/>
      <c r="AD3161" s="82"/>
      <c r="AE3161" s="82"/>
      <c r="AF3161" s="82"/>
      <c r="AG3161" s="82"/>
      <c r="AH3161" s="82"/>
      <c r="AI3161" s="82"/>
      <c r="AJ3161" s="82"/>
      <c r="AK3161" s="82"/>
      <c r="AL3161" s="82"/>
      <c r="AM3161" s="82"/>
      <c r="AN3161" s="82"/>
      <c r="AO3161" s="82"/>
      <c r="AP3161" s="82"/>
      <c r="AQ3161" s="82"/>
      <c r="AR3161" s="82"/>
      <c r="AS3161" s="82"/>
      <c r="AT3161" s="82"/>
      <c r="AU3161" s="82"/>
      <c r="AV3161" s="82"/>
      <c r="AW3161" s="82" t="str">
        <f t="shared" si="1"/>
        <v/>
      </c>
      <c r="AX3161" s="83" t="str">
        <f t="array" ref="AX3161">IFERROR(DGET('SBV Import'!A:G,"SBV",{"RSC ID","Tier";B3161,A3161}))</f>
        <v/>
      </c>
      <c r="AY3161" s="82" t="str">
        <f t="shared" si="2"/>
        <v/>
      </c>
      <c r="AZ3161" s="82"/>
      <c r="BA3161" s="84" t="s">
        <v>152</v>
      </c>
      <c r="BB3161" s="84" t="str">
        <f>IFERROR(__xludf.DUMMYFUNCTION("iferror(if(A3161="""",,E3161&gt;=FILTER(Constants!$F$2:$F$10,Constants!$A$2:$A$10=A3161)))"),"")</f>
        <v/>
      </c>
    </row>
    <row r="3162">
      <c r="A3162" s="89"/>
      <c r="B3162" s="87"/>
      <c r="C3162" s="73"/>
      <c r="D3162" s="73"/>
      <c r="E3162" s="82"/>
      <c r="F3162" s="82"/>
      <c r="G3162" s="86"/>
      <c r="H3162" s="86"/>
      <c r="I3162" s="86"/>
      <c r="J3162" s="82"/>
      <c r="K3162" s="82"/>
      <c r="L3162" s="82"/>
      <c r="M3162" s="82"/>
      <c r="N3162" s="82"/>
      <c r="O3162" s="82"/>
      <c r="P3162" s="82"/>
      <c r="Q3162" s="82"/>
      <c r="R3162" s="82"/>
      <c r="S3162" s="82"/>
      <c r="T3162" s="82"/>
      <c r="U3162" s="82"/>
      <c r="V3162" s="82"/>
      <c r="W3162" s="82"/>
      <c r="X3162" s="82"/>
      <c r="Y3162" s="82"/>
      <c r="Z3162" s="82"/>
      <c r="AA3162" s="82"/>
      <c r="AB3162" s="82"/>
      <c r="AC3162" s="82"/>
      <c r="AD3162" s="82"/>
      <c r="AE3162" s="82"/>
      <c r="AF3162" s="82"/>
      <c r="AG3162" s="82"/>
      <c r="AH3162" s="82"/>
      <c r="AI3162" s="82"/>
      <c r="AJ3162" s="82"/>
      <c r="AK3162" s="82"/>
      <c r="AL3162" s="82"/>
      <c r="AM3162" s="82"/>
      <c r="AN3162" s="82"/>
      <c r="AO3162" s="82"/>
      <c r="AP3162" s="82"/>
      <c r="AQ3162" s="82"/>
      <c r="AR3162" s="82"/>
      <c r="AS3162" s="82"/>
      <c r="AT3162" s="82"/>
      <c r="AU3162" s="82"/>
      <c r="AV3162" s="82"/>
      <c r="AW3162" s="82" t="str">
        <f t="shared" si="1"/>
        <v/>
      </c>
      <c r="AX3162" s="83" t="str">
        <f t="array" ref="AX3162">IFERROR(DGET('SBV Import'!A:G,"SBV",{"RSC ID","Tier";B3162,A3162}))</f>
        <v/>
      </c>
      <c r="AY3162" s="82" t="str">
        <f t="shared" si="2"/>
        <v/>
      </c>
      <c r="AZ3162" s="82"/>
      <c r="BA3162" s="84" t="s">
        <v>152</v>
      </c>
      <c r="BB3162" s="84" t="str">
        <f>IFERROR(__xludf.DUMMYFUNCTION("iferror(if(A3162="""",,E3162&gt;=FILTER(Constants!$F$2:$F$10,Constants!$A$2:$A$10=A3162)))"),"")</f>
        <v/>
      </c>
    </row>
    <row r="3163">
      <c r="A3163" s="89"/>
      <c r="B3163" s="87"/>
      <c r="C3163" s="73"/>
      <c r="D3163" s="73"/>
      <c r="E3163" s="82"/>
      <c r="F3163" s="82"/>
      <c r="G3163" s="86"/>
      <c r="H3163" s="86"/>
      <c r="I3163" s="86"/>
      <c r="J3163" s="82"/>
      <c r="K3163" s="82"/>
      <c r="L3163" s="82"/>
      <c r="M3163" s="82"/>
      <c r="N3163" s="82"/>
      <c r="O3163" s="82"/>
      <c r="P3163" s="82"/>
      <c r="Q3163" s="82"/>
      <c r="R3163" s="82"/>
      <c r="S3163" s="82"/>
      <c r="T3163" s="82"/>
      <c r="U3163" s="82"/>
      <c r="V3163" s="82"/>
      <c r="W3163" s="82"/>
      <c r="X3163" s="82"/>
      <c r="Y3163" s="82"/>
      <c r="Z3163" s="82"/>
      <c r="AA3163" s="82"/>
      <c r="AB3163" s="82"/>
      <c r="AC3163" s="82"/>
      <c r="AD3163" s="82"/>
      <c r="AE3163" s="82"/>
      <c r="AF3163" s="82"/>
      <c r="AG3163" s="82"/>
      <c r="AH3163" s="82"/>
      <c r="AI3163" s="82"/>
      <c r="AJ3163" s="82"/>
      <c r="AK3163" s="82"/>
      <c r="AL3163" s="82"/>
      <c r="AM3163" s="82"/>
      <c r="AN3163" s="82"/>
      <c r="AO3163" s="82"/>
      <c r="AP3163" s="82"/>
      <c r="AQ3163" s="82"/>
      <c r="AR3163" s="82"/>
      <c r="AS3163" s="82"/>
      <c r="AT3163" s="82"/>
      <c r="AU3163" s="82"/>
      <c r="AV3163" s="82"/>
      <c r="AW3163" s="82" t="str">
        <f t="shared" si="1"/>
        <v/>
      </c>
      <c r="AX3163" s="83" t="str">
        <f t="array" ref="AX3163">IFERROR(DGET('SBV Import'!A:G,"SBV",{"RSC ID","Tier";B3163,A3163}))</f>
        <v/>
      </c>
      <c r="AY3163" s="82" t="str">
        <f t="shared" si="2"/>
        <v/>
      </c>
      <c r="AZ3163" s="82"/>
      <c r="BA3163" s="84" t="s">
        <v>152</v>
      </c>
      <c r="BB3163" s="84" t="str">
        <f>IFERROR(__xludf.DUMMYFUNCTION("iferror(if(A3163="""",,E3163&gt;=FILTER(Constants!$F$2:$F$10,Constants!$A$2:$A$10=A3163)))"),"")</f>
        <v/>
      </c>
    </row>
    <row r="3164">
      <c r="A3164" s="89"/>
      <c r="B3164" s="87"/>
      <c r="C3164" s="73"/>
      <c r="D3164" s="73"/>
      <c r="E3164" s="82"/>
      <c r="F3164" s="82"/>
      <c r="G3164" s="86"/>
      <c r="H3164" s="86"/>
      <c r="I3164" s="86"/>
      <c r="J3164" s="82"/>
      <c r="K3164" s="82"/>
      <c r="L3164" s="82"/>
      <c r="M3164" s="82"/>
      <c r="N3164" s="82"/>
      <c r="O3164" s="82"/>
      <c r="P3164" s="82"/>
      <c r="Q3164" s="82"/>
      <c r="R3164" s="82"/>
      <c r="S3164" s="82"/>
      <c r="T3164" s="82"/>
      <c r="U3164" s="82"/>
      <c r="V3164" s="82"/>
      <c r="W3164" s="82"/>
      <c r="X3164" s="82"/>
      <c r="Y3164" s="82"/>
      <c r="Z3164" s="82"/>
      <c r="AA3164" s="82"/>
      <c r="AB3164" s="82"/>
      <c r="AC3164" s="82"/>
      <c r="AD3164" s="82"/>
      <c r="AE3164" s="82"/>
      <c r="AF3164" s="82"/>
      <c r="AG3164" s="82"/>
      <c r="AH3164" s="82"/>
      <c r="AI3164" s="82"/>
      <c r="AJ3164" s="82"/>
      <c r="AK3164" s="82"/>
      <c r="AL3164" s="82"/>
      <c r="AM3164" s="82"/>
      <c r="AN3164" s="82"/>
      <c r="AO3164" s="82"/>
      <c r="AP3164" s="82"/>
      <c r="AQ3164" s="82"/>
      <c r="AR3164" s="82"/>
      <c r="AS3164" s="82"/>
      <c r="AT3164" s="82"/>
      <c r="AU3164" s="82"/>
      <c r="AV3164" s="82"/>
      <c r="AW3164" s="82" t="str">
        <f t="shared" si="1"/>
        <v/>
      </c>
      <c r="AX3164" s="83" t="str">
        <f t="array" ref="AX3164">IFERROR(DGET('SBV Import'!A:G,"SBV",{"RSC ID","Tier";B3164,A3164}))</f>
        <v/>
      </c>
      <c r="AY3164" s="82" t="str">
        <f t="shared" si="2"/>
        <v/>
      </c>
      <c r="AZ3164" s="82"/>
      <c r="BA3164" s="84" t="s">
        <v>152</v>
      </c>
      <c r="BB3164" s="84" t="str">
        <f>IFERROR(__xludf.DUMMYFUNCTION("iferror(if(A3164="""",,E3164&gt;=FILTER(Constants!$F$2:$F$10,Constants!$A$2:$A$10=A3164)))"),"")</f>
        <v/>
      </c>
    </row>
    <row r="3165">
      <c r="A3165" s="89"/>
      <c r="B3165" s="87"/>
      <c r="C3165" s="73"/>
      <c r="D3165" s="73"/>
      <c r="E3165" s="82"/>
      <c r="F3165" s="82"/>
      <c r="G3165" s="86"/>
      <c r="H3165" s="86"/>
      <c r="I3165" s="86"/>
      <c r="J3165" s="82"/>
      <c r="K3165" s="82"/>
      <c r="L3165" s="82"/>
      <c r="M3165" s="82"/>
      <c r="N3165" s="82"/>
      <c r="O3165" s="82"/>
      <c r="P3165" s="82"/>
      <c r="Q3165" s="82"/>
      <c r="R3165" s="82"/>
      <c r="S3165" s="82"/>
      <c r="T3165" s="82"/>
      <c r="U3165" s="82"/>
      <c r="V3165" s="82"/>
      <c r="W3165" s="82"/>
      <c r="X3165" s="82"/>
      <c r="Y3165" s="82"/>
      <c r="Z3165" s="82"/>
      <c r="AA3165" s="82"/>
      <c r="AB3165" s="82"/>
      <c r="AC3165" s="82"/>
      <c r="AD3165" s="82"/>
      <c r="AE3165" s="82"/>
      <c r="AF3165" s="82"/>
      <c r="AG3165" s="82"/>
      <c r="AH3165" s="82"/>
      <c r="AI3165" s="82"/>
      <c r="AJ3165" s="82"/>
      <c r="AK3165" s="82"/>
      <c r="AL3165" s="82"/>
      <c r="AM3165" s="82"/>
      <c r="AN3165" s="82"/>
      <c r="AO3165" s="82"/>
      <c r="AP3165" s="82"/>
      <c r="AQ3165" s="82"/>
      <c r="AR3165" s="82"/>
      <c r="AS3165" s="82"/>
      <c r="AT3165" s="82"/>
      <c r="AU3165" s="82"/>
      <c r="AV3165" s="82"/>
      <c r="AW3165" s="82" t="str">
        <f t="shared" si="1"/>
        <v/>
      </c>
      <c r="AX3165" s="83" t="str">
        <f t="array" ref="AX3165">IFERROR(DGET('SBV Import'!A:G,"SBV",{"RSC ID","Tier";B3165,A3165}))</f>
        <v/>
      </c>
      <c r="AY3165" s="82" t="str">
        <f t="shared" si="2"/>
        <v/>
      </c>
      <c r="AZ3165" s="82"/>
      <c r="BA3165" s="84" t="s">
        <v>152</v>
      </c>
      <c r="BB3165" s="84" t="str">
        <f>IFERROR(__xludf.DUMMYFUNCTION("iferror(if(A3165="""",,E3165&gt;=FILTER(Constants!$F$2:$F$10,Constants!$A$2:$A$10=A3165)))"),"")</f>
        <v/>
      </c>
    </row>
    <row r="3166">
      <c r="A3166" s="89"/>
      <c r="B3166" s="87"/>
      <c r="C3166" s="73"/>
      <c r="D3166" s="73"/>
      <c r="E3166" s="82"/>
      <c r="F3166" s="82"/>
      <c r="G3166" s="86"/>
      <c r="H3166" s="86"/>
      <c r="I3166" s="86"/>
      <c r="J3166" s="82"/>
      <c r="K3166" s="82"/>
      <c r="L3166" s="82"/>
      <c r="M3166" s="82"/>
      <c r="N3166" s="82"/>
      <c r="O3166" s="82"/>
      <c r="P3166" s="82"/>
      <c r="Q3166" s="82"/>
      <c r="R3166" s="82"/>
      <c r="S3166" s="82"/>
      <c r="T3166" s="82"/>
      <c r="U3166" s="82"/>
      <c r="V3166" s="82"/>
      <c r="W3166" s="82"/>
      <c r="X3166" s="82"/>
      <c r="Y3166" s="82"/>
      <c r="Z3166" s="82"/>
      <c r="AA3166" s="82"/>
      <c r="AB3166" s="82"/>
      <c r="AC3166" s="82"/>
      <c r="AD3166" s="82"/>
      <c r="AE3166" s="82"/>
      <c r="AF3166" s="82"/>
      <c r="AG3166" s="82"/>
      <c r="AH3166" s="82"/>
      <c r="AI3166" s="82"/>
      <c r="AJ3166" s="82"/>
      <c r="AK3166" s="82"/>
      <c r="AL3166" s="82"/>
      <c r="AM3166" s="82"/>
      <c r="AN3166" s="82"/>
      <c r="AO3166" s="82"/>
      <c r="AP3166" s="82"/>
      <c r="AQ3166" s="82"/>
      <c r="AR3166" s="82"/>
      <c r="AS3166" s="82"/>
      <c r="AT3166" s="82"/>
      <c r="AU3166" s="82"/>
      <c r="AV3166" s="82"/>
      <c r="AW3166" s="82" t="str">
        <f t="shared" si="1"/>
        <v/>
      </c>
      <c r="AX3166" s="83" t="str">
        <f t="array" ref="AX3166">IFERROR(DGET('SBV Import'!A:G,"SBV",{"RSC ID","Tier";B3166,A3166}))</f>
        <v/>
      </c>
      <c r="AY3166" s="82" t="str">
        <f t="shared" si="2"/>
        <v/>
      </c>
      <c r="AZ3166" s="82"/>
      <c r="BA3166" s="84" t="s">
        <v>152</v>
      </c>
      <c r="BB3166" s="84" t="str">
        <f>IFERROR(__xludf.DUMMYFUNCTION("iferror(if(A3166="""",,E3166&gt;=FILTER(Constants!$F$2:$F$10,Constants!$A$2:$A$10=A3166)))"),"")</f>
        <v/>
      </c>
    </row>
    <row r="3167">
      <c r="A3167" s="89"/>
      <c r="B3167" s="87"/>
      <c r="C3167" s="73"/>
      <c r="D3167" s="73"/>
      <c r="E3167" s="82"/>
      <c r="F3167" s="82"/>
      <c r="G3167" s="86"/>
      <c r="H3167" s="86"/>
      <c r="I3167" s="86"/>
      <c r="J3167" s="82"/>
      <c r="K3167" s="82"/>
      <c r="L3167" s="82"/>
      <c r="M3167" s="82"/>
      <c r="N3167" s="82"/>
      <c r="O3167" s="82"/>
      <c r="P3167" s="82"/>
      <c r="Q3167" s="82"/>
      <c r="R3167" s="82"/>
      <c r="S3167" s="82"/>
      <c r="T3167" s="82"/>
      <c r="U3167" s="82"/>
      <c r="V3167" s="82"/>
      <c r="W3167" s="82"/>
      <c r="X3167" s="82"/>
      <c r="Y3167" s="82"/>
      <c r="Z3167" s="82"/>
      <c r="AA3167" s="82"/>
      <c r="AB3167" s="82"/>
      <c r="AC3167" s="82"/>
      <c r="AD3167" s="82"/>
      <c r="AE3167" s="82"/>
      <c r="AF3167" s="82"/>
      <c r="AG3167" s="82"/>
      <c r="AH3167" s="82"/>
      <c r="AI3167" s="82"/>
      <c r="AJ3167" s="82"/>
      <c r="AK3167" s="82"/>
      <c r="AL3167" s="82"/>
      <c r="AM3167" s="82"/>
      <c r="AN3167" s="82"/>
      <c r="AO3167" s="82"/>
      <c r="AP3167" s="82"/>
      <c r="AQ3167" s="82"/>
      <c r="AR3167" s="82"/>
      <c r="AS3167" s="82"/>
      <c r="AT3167" s="82"/>
      <c r="AU3167" s="82"/>
      <c r="AV3167" s="82"/>
      <c r="AW3167" s="82" t="str">
        <f t="shared" si="1"/>
        <v/>
      </c>
      <c r="AX3167" s="83" t="str">
        <f t="array" ref="AX3167">IFERROR(DGET('SBV Import'!A:G,"SBV",{"RSC ID","Tier";B3167,A3167}))</f>
        <v/>
      </c>
      <c r="AY3167" s="82" t="str">
        <f t="shared" si="2"/>
        <v/>
      </c>
      <c r="AZ3167" s="82"/>
      <c r="BA3167" s="84" t="s">
        <v>152</v>
      </c>
      <c r="BB3167" s="84" t="str">
        <f>IFERROR(__xludf.DUMMYFUNCTION("iferror(if(A3167="""",,E3167&gt;=FILTER(Constants!$F$2:$F$10,Constants!$A$2:$A$10=A3167)))"),"")</f>
        <v/>
      </c>
    </row>
    <row r="3168">
      <c r="A3168" s="89"/>
      <c r="B3168" s="87"/>
      <c r="C3168" s="73"/>
      <c r="D3168" s="73"/>
      <c r="E3168" s="82"/>
      <c r="F3168" s="82"/>
      <c r="G3168" s="86"/>
      <c r="H3168" s="86"/>
      <c r="I3168" s="86"/>
      <c r="J3168" s="82"/>
      <c r="K3168" s="82"/>
      <c r="L3168" s="82"/>
      <c r="M3168" s="82"/>
      <c r="N3168" s="82"/>
      <c r="O3168" s="82"/>
      <c r="P3168" s="82"/>
      <c r="Q3168" s="82"/>
      <c r="R3168" s="82"/>
      <c r="S3168" s="82"/>
      <c r="T3168" s="82"/>
      <c r="U3168" s="82"/>
      <c r="V3168" s="82"/>
      <c r="W3168" s="82"/>
      <c r="X3168" s="82"/>
      <c r="Y3168" s="82"/>
      <c r="Z3168" s="82"/>
      <c r="AA3168" s="82"/>
      <c r="AB3168" s="82"/>
      <c r="AC3168" s="82"/>
      <c r="AD3168" s="82"/>
      <c r="AE3168" s="82"/>
      <c r="AF3168" s="82"/>
      <c r="AG3168" s="82"/>
      <c r="AH3168" s="82"/>
      <c r="AI3168" s="82"/>
      <c r="AJ3168" s="82"/>
      <c r="AK3168" s="82"/>
      <c r="AL3168" s="82"/>
      <c r="AM3168" s="82"/>
      <c r="AN3168" s="82"/>
      <c r="AO3168" s="82"/>
      <c r="AP3168" s="82"/>
      <c r="AQ3168" s="82"/>
      <c r="AR3168" s="82"/>
      <c r="AS3168" s="82"/>
      <c r="AT3168" s="82"/>
      <c r="AU3168" s="82"/>
      <c r="AV3168" s="82"/>
      <c r="AW3168" s="82" t="str">
        <f t="shared" si="1"/>
        <v/>
      </c>
      <c r="AX3168" s="83" t="str">
        <f t="array" ref="AX3168">IFERROR(DGET('SBV Import'!A:G,"SBV",{"RSC ID","Tier";B3168,A3168}))</f>
        <v/>
      </c>
      <c r="AY3168" s="82" t="str">
        <f t="shared" si="2"/>
        <v/>
      </c>
      <c r="AZ3168" s="82"/>
      <c r="BA3168" s="84" t="s">
        <v>152</v>
      </c>
      <c r="BB3168" s="84" t="str">
        <f>IFERROR(__xludf.DUMMYFUNCTION("iferror(if(A3168="""",,E3168&gt;=FILTER(Constants!$F$2:$F$10,Constants!$A$2:$A$10=A3168)))"),"")</f>
        <v/>
      </c>
    </row>
    <row r="3169">
      <c r="A3169" s="89"/>
      <c r="B3169" s="87"/>
      <c r="C3169" s="73"/>
      <c r="D3169" s="73"/>
      <c r="E3169" s="82"/>
      <c r="F3169" s="82"/>
      <c r="G3169" s="86"/>
      <c r="H3169" s="86"/>
      <c r="I3169" s="86"/>
      <c r="J3169" s="82"/>
      <c r="K3169" s="82"/>
      <c r="L3169" s="82"/>
      <c r="M3169" s="82"/>
      <c r="N3169" s="82"/>
      <c r="O3169" s="82"/>
      <c r="P3169" s="82"/>
      <c r="Q3169" s="82"/>
      <c r="R3169" s="82"/>
      <c r="S3169" s="82"/>
      <c r="T3169" s="82"/>
      <c r="U3169" s="82"/>
      <c r="V3169" s="82"/>
      <c r="W3169" s="82"/>
      <c r="X3169" s="82"/>
      <c r="Y3169" s="82"/>
      <c r="Z3169" s="82"/>
      <c r="AA3169" s="82"/>
      <c r="AB3169" s="82"/>
      <c r="AC3169" s="82"/>
      <c r="AD3169" s="82"/>
      <c r="AE3169" s="82"/>
      <c r="AF3169" s="82"/>
      <c r="AG3169" s="82"/>
      <c r="AH3169" s="82"/>
      <c r="AI3169" s="82"/>
      <c r="AJ3169" s="82"/>
      <c r="AK3169" s="82"/>
      <c r="AL3169" s="82"/>
      <c r="AM3169" s="82"/>
      <c r="AN3169" s="82"/>
      <c r="AO3169" s="82"/>
      <c r="AP3169" s="82"/>
      <c r="AQ3169" s="82"/>
      <c r="AR3169" s="82"/>
      <c r="AS3169" s="82"/>
      <c r="AT3169" s="82"/>
      <c r="AU3169" s="82"/>
      <c r="AV3169" s="82"/>
      <c r="AW3169" s="82" t="str">
        <f t="shared" si="1"/>
        <v/>
      </c>
      <c r="AX3169" s="83" t="str">
        <f t="array" ref="AX3169">IFERROR(DGET('SBV Import'!A:G,"SBV",{"RSC ID","Tier";B3169,A3169}))</f>
        <v/>
      </c>
      <c r="AY3169" s="82" t="str">
        <f t="shared" si="2"/>
        <v/>
      </c>
      <c r="AZ3169" s="82"/>
      <c r="BA3169" s="84" t="s">
        <v>152</v>
      </c>
      <c r="BB3169" s="84" t="str">
        <f>IFERROR(__xludf.DUMMYFUNCTION("iferror(if(A3169="""",,E3169&gt;=FILTER(Constants!$F$2:$F$10,Constants!$A$2:$A$10=A3169)))"),"")</f>
        <v/>
      </c>
    </row>
    <row r="3170">
      <c r="A3170" s="89"/>
      <c r="B3170" s="87"/>
      <c r="C3170" s="73"/>
      <c r="D3170" s="73"/>
      <c r="E3170" s="82"/>
      <c r="F3170" s="82"/>
      <c r="G3170" s="86"/>
      <c r="H3170" s="86"/>
      <c r="I3170" s="86"/>
      <c r="J3170" s="82"/>
      <c r="K3170" s="82"/>
      <c r="L3170" s="82"/>
      <c r="M3170" s="82"/>
      <c r="N3170" s="82"/>
      <c r="O3170" s="82"/>
      <c r="P3170" s="82"/>
      <c r="Q3170" s="82"/>
      <c r="R3170" s="82"/>
      <c r="S3170" s="82"/>
      <c r="T3170" s="82"/>
      <c r="U3170" s="82"/>
      <c r="V3170" s="82"/>
      <c r="W3170" s="82"/>
      <c r="X3170" s="82"/>
      <c r="Y3170" s="82"/>
      <c r="Z3170" s="82"/>
      <c r="AA3170" s="82"/>
      <c r="AB3170" s="82"/>
      <c r="AC3170" s="82"/>
      <c r="AD3170" s="82"/>
      <c r="AE3170" s="82"/>
      <c r="AF3170" s="82"/>
      <c r="AG3170" s="82"/>
      <c r="AH3170" s="82"/>
      <c r="AI3170" s="82"/>
      <c r="AJ3170" s="82"/>
      <c r="AK3170" s="82"/>
      <c r="AL3170" s="82"/>
      <c r="AM3170" s="82"/>
      <c r="AN3170" s="82"/>
      <c r="AO3170" s="82"/>
      <c r="AP3170" s="82"/>
      <c r="AQ3170" s="82"/>
      <c r="AR3170" s="82"/>
      <c r="AS3170" s="82"/>
      <c r="AT3170" s="82"/>
      <c r="AU3170" s="82"/>
      <c r="AV3170" s="82"/>
      <c r="AW3170" s="82" t="str">
        <f t="shared" si="1"/>
        <v/>
      </c>
      <c r="AX3170" s="83" t="str">
        <f t="array" ref="AX3170">IFERROR(DGET('SBV Import'!A:G,"SBV",{"RSC ID","Tier";B3170,A3170}))</f>
        <v/>
      </c>
      <c r="AY3170" s="82" t="str">
        <f t="shared" si="2"/>
        <v/>
      </c>
      <c r="AZ3170" s="82"/>
      <c r="BA3170" s="84" t="s">
        <v>152</v>
      </c>
      <c r="BB3170" s="84" t="str">
        <f>IFERROR(__xludf.DUMMYFUNCTION("iferror(if(A3170="""",,E3170&gt;=FILTER(Constants!$F$2:$F$10,Constants!$A$2:$A$10=A3170)))"),"")</f>
        <v/>
      </c>
    </row>
    <row r="3171">
      <c r="A3171" s="89"/>
      <c r="B3171" s="87"/>
      <c r="C3171" s="73"/>
      <c r="D3171" s="73"/>
      <c r="E3171" s="82"/>
      <c r="F3171" s="82"/>
      <c r="G3171" s="86"/>
      <c r="H3171" s="86"/>
      <c r="I3171" s="86"/>
      <c r="J3171" s="82"/>
      <c r="K3171" s="82"/>
      <c r="L3171" s="82"/>
      <c r="M3171" s="82"/>
      <c r="N3171" s="82"/>
      <c r="O3171" s="82"/>
      <c r="P3171" s="82"/>
      <c r="Q3171" s="82"/>
      <c r="R3171" s="82"/>
      <c r="S3171" s="82"/>
      <c r="T3171" s="82"/>
      <c r="U3171" s="82"/>
      <c r="V3171" s="82"/>
      <c r="W3171" s="82"/>
      <c r="X3171" s="82"/>
      <c r="Y3171" s="82"/>
      <c r="Z3171" s="82"/>
      <c r="AA3171" s="82"/>
      <c r="AB3171" s="82"/>
      <c r="AC3171" s="82"/>
      <c r="AD3171" s="82"/>
      <c r="AE3171" s="82"/>
      <c r="AF3171" s="82"/>
      <c r="AG3171" s="82"/>
      <c r="AH3171" s="82"/>
      <c r="AI3171" s="82"/>
      <c r="AJ3171" s="82"/>
      <c r="AK3171" s="82"/>
      <c r="AL3171" s="82"/>
      <c r="AM3171" s="82"/>
      <c r="AN3171" s="82"/>
      <c r="AO3171" s="82"/>
      <c r="AP3171" s="82"/>
      <c r="AQ3171" s="82"/>
      <c r="AR3171" s="82"/>
      <c r="AS3171" s="82"/>
      <c r="AT3171" s="82"/>
      <c r="AU3171" s="82"/>
      <c r="AV3171" s="82"/>
      <c r="AW3171" s="82" t="str">
        <f t="shared" si="1"/>
        <v/>
      </c>
      <c r="AX3171" s="83" t="str">
        <f t="array" ref="AX3171">IFERROR(DGET('SBV Import'!A:G,"SBV",{"RSC ID","Tier";B3171,A3171}))</f>
        <v/>
      </c>
      <c r="AY3171" s="82" t="str">
        <f t="shared" si="2"/>
        <v/>
      </c>
      <c r="AZ3171" s="82"/>
      <c r="BA3171" s="84" t="s">
        <v>152</v>
      </c>
      <c r="BB3171" s="84" t="str">
        <f>IFERROR(__xludf.DUMMYFUNCTION("iferror(if(A3171="""",,E3171&gt;=FILTER(Constants!$F$2:$F$10,Constants!$A$2:$A$10=A3171)))"),"")</f>
        <v/>
      </c>
    </row>
    <row r="3172">
      <c r="A3172" s="89"/>
      <c r="B3172" s="87"/>
      <c r="C3172" s="73"/>
      <c r="D3172" s="73"/>
      <c r="E3172" s="82"/>
      <c r="F3172" s="82"/>
      <c r="G3172" s="86"/>
      <c r="H3172" s="86"/>
      <c r="I3172" s="86"/>
      <c r="J3172" s="82"/>
      <c r="K3172" s="82"/>
      <c r="L3172" s="82"/>
      <c r="M3172" s="82"/>
      <c r="N3172" s="82"/>
      <c r="O3172" s="82"/>
      <c r="P3172" s="82"/>
      <c r="Q3172" s="82"/>
      <c r="R3172" s="82"/>
      <c r="S3172" s="82"/>
      <c r="T3172" s="82"/>
      <c r="U3172" s="82"/>
      <c r="V3172" s="82"/>
      <c r="W3172" s="82"/>
      <c r="X3172" s="82"/>
      <c r="Y3172" s="82"/>
      <c r="Z3172" s="82"/>
      <c r="AA3172" s="82"/>
      <c r="AB3172" s="82"/>
      <c r="AC3172" s="82"/>
      <c r="AD3172" s="82"/>
      <c r="AE3172" s="82"/>
      <c r="AF3172" s="82"/>
      <c r="AG3172" s="82"/>
      <c r="AH3172" s="82"/>
      <c r="AI3172" s="82"/>
      <c r="AJ3172" s="82"/>
      <c r="AK3172" s="82"/>
      <c r="AL3172" s="82"/>
      <c r="AM3172" s="82"/>
      <c r="AN3172" s="82"/>
      <c r="AO3172" s="82"/>
      <c r="AP3172" s="82"/>
      <c r="AQ3172" s="82"/>
      <c r="AR3172" s="82"/>
      <c r="AS3172" s="82"/>
      <c r="AT3172" s="82"/>
      <c r="AU3172" s="82"/>
      <c r="AV3172" s="82"/>
      <c r="AW3172" s="82" t="str">
        <f t="shared" si="1"/>
        <v/>
      </c>
      <c r="AX3172" s="83" t="str">
        <f t="array" ref="AX3172">IFERROR(DGET('SBV Import'!A:G,"SBV",{"RSC ID","Tier";B3172,A3172}))</f>
        <v/>
      </c>
      <c r="AY3172" s="82" t="str">
        <f t="shared" si="2"/>
        <v/>
      </c>
      <c r="AZ3172" s="82"/>
      <c r="BA3172" s="84" t="s">
        <v>152</v>
      </c>
      <c r="BB3172" s="84" t="str">
        <f>IFERROR(__xludf.DUMMYFUNCTION("iferror(if(A3172="""",,E3172&gt;=FILTER(Constants!$F$2:$F$10,Constants!$A$2:$A$10=A3172)))"),"")</f>
        <v/>
      </c>
    </row>
    <row r="3173">
      <c r="A3173" s="89"/>
      <c r="B3173" s="87"/>
      <c r="C3173" s="73"/>
      <c r="D3173" s="73"/>
      <c r="E3173" s="82"/>
      <c r="F3173" s="82"/>
      <c r="G3173" s="86"/>
      <c r="H3173" s="86"/>
      <c r="I3173" s="86"/>
      <c r="J3173" s="82"/>
      <c r="K3173" s="82"/>
      <c r="L3173" s="82"/>
      <c r="M3173" s="82"/>
      <c r="N3173" s="82"/>
      <c r="O3173" s="82"/>
      <c r="P3173" s="82"/>
      <c r="Q3173" s="82"/>
      <c r="R3173" s="82"/>
      <c r="S3173" s="82"/>
      <c r="T3173" s="82"/>
      <c r="U3173" s="82"/>
      <c r="V3173" s="82"/>
      <c r="W3173" s="82"/>
      <c r="X3173" s="82"/>
      <c r="Y3173" s="82"/>
      <c r="Z3173" s="82"/>
      <c r="AA3173" s="82"/>
      <c r="AB3173" s="82"/>
      <c r="AC3173" s="82"/>
      <c r="AD3173" s="82"/>
      <c r="AE3173" s="82"/>
      <c r="AF3173" s="82"/>
      <c r="AG3173" s="82"/>
      <c r="AH3173" s="82"/>
      <c r="AI3173" s="82"/>
      <c r="AJ3173" s="82"/>
      <c r="AK3173" s="82"/>
      <c r="AL3173" s="82"/>
      <c r="AM3173" s="82"/>
      <c r="AN3173" s="82"/>
      <c r="AO3173" s="82"/>
      <c r="AP3173" s="82"/>
      <c r="AQ3173" s="82"/>
      <c r="AR3173" s="82"/>
      <c r="AS3173" s="82"/>
      <c r="AT3173" s="82"/>
      <c r="AU3173" s="82"/>
      <c r="AV3173" s="82"/>
      <c r="AW3173" s="82" t="str">
        <f t="shared" si="1"/>
        <v/>
      </c>
      <c r="AX3173" s="83" t="str">
        <f t="array" ref="AX3173">IFERROR(DGET('SBV Import'!A:G,"SBV",{"RSC ID","Tier";B3173,A3173}))</f>
        <v/>
      </c>
      <c r="AY3173" s="82" t="str">
        <f t="shared" si="2"/>
        <v/>
      </c>
      <c r="AZ3173" s="82"/>
      <c r="BA3173" s="84" t="s">
        <v>152</v>
      </c>
      <c r="BB3173" s="84" t="str">
        <f>IFERROR(__xludf.DUMMYFUNCTION("iferror(if(A3173="""",,E3173&gt;=FILTER(Constants!$F$2:$F$10,Constants!$A$2:$A$10=A3173)))"),"")</f>
        <v/>
      </c>
    </row>
    <row r="3174">
      <c r="A3174" s="89"/>
      <c r="B3174" s="87"/>
      <c r="C3174" s="73"/>
      <c r="D3174" s="73"/>
      <c r="E3174" s="82"/>
      <c r="F3174" s="82"/>
      <c r="G3174" s="86"/>
      <c r="H3174" s="86"/>
      <c r="I3174" s="86"/>
      <c r="J3174" s="82"/>
      <c r="K3174" s="82"/>
      <c r="L3174" s="82"/>
      <c r="M3174" s="82"/>
      <c r="N3174" s="82"/>
      <c r="O3174" s="82"/>
      <c r="P3174" s="82"/>
      <c r="Q3174" s="82"/>
      <c r="R3174" s="82"/>
      <c r="S3174" s="82"/>
      <c r="T3174" s="82"/>
      <c r="U3174" s="82"/>
      <c r="V3174" s="82"/>
      <c r="W3174" s="82"/>
      <c r="X3174" s="82"/>
      <c r="Y3174" s="82"/>
      <c r="Z3174" s="82"/>
      <c r="AA3174" s="82"/>
      <c r="AB3174" s="82"/>
      <c r="AC3174" s="82"/>
      <c r="AD3174" s="82"/>
      <c r="AE3174" s="82"/>
      <c r="AF3174" s="82"/>
      <c r="AG3174" s="82"/>
      <c r="AH3174" s="82"/>
      <c r="AI3174" s="82"/>
      <c r="AJ3174" s="82"/>
      <c r="AK3174" s="82"/>
      <c r="AL3174" s="82"/>
      <c r="AM3174" s="82"/>
      <c r="AN3174" s="82"/>
      <c r="AO3174" s="82"/>
      <c r="AP3174" s="82"/>
      <c r="AQ3174" s="82"/>
      <c r="AR3174" s="82"/>
      <c r="AS3174" s="82"/>
      <c r="AT3174" s="82"/>
      <c r="AU3174" s="82"/>
      <c r="AV3174" s="82"/>
      <c r="AW3174" s="82" t="str">
        <f t="shared" si="1"/>
        <v/>
      </c>
      <c r="AX3174" s="83" t="str">
        <f t="array" ref="AX3174">IFERROR(DGET('SBV Import'!A:G,"SBV",{"RSC ID","Tier";B3174,A3174}))</f>
        <v/>
      </c>
      <c r="AY3174" s="82" t="str">
        <f t="shared" si="2"/>
        <v/>
      </c>
      <c r="AZ3174" s="82"/>
      <c r="BA3174" s="84" t="s">
        <v>152</v>
      </c>
      <c r="BB3174" s="84" t="str">
        <f>IFERROR(__xludf.DUMMYFUNCTION("iferror(if(A3174="""",,E3174&gt;=FILTER(Constants!$F$2:$F$10,Constants!$A$2:$A$10=A3174)))"),"")</f>
        <v/>
      </c>
    </row>
    <row r="3175">
      <c r="A3175" s="89"/>
      <c r="B3175" s="87"/>
      <c r="C3175" s="73"/>
      <c r="D3175" s="73"/>
      <c r="E3175" s="82"/>
      <c r="F3175" s="82"/>
      <c r="G3175" s="86"/>
      <c r="H3175" s="86"/>
      <c r="I3175" s="86"/>
      <c r="J3175" s="82"/>
      <c r="K3175" s="82"/>
      <c r="L3175" s="82"/>
      <c r="M3175" s="82"/>
      <c r="N3175" s="82"/>
      <c r="O3175" s="82"/>
      <c r="P3175" s="82"/>
      <c r="Q3175" s="82"/>
      <c r="R3175" s="82"/>
      <c r="S3175" s="82"/>
      <c r="T3175" s="82"/>
      <c r="U3175" s="82"/>
      <c r="V3175" s="82"/>
      <c r="W3175" s="82"/>
      <c r="X3175" s="82"/>
      <c r="Y3175" s="82"/>
      <c r="Z3175" s="82"/>
      <c r="AA3175" s="82"/>
      <c r="AB3175" s="82"/>
      <c r="AC3175" s="82"/>
      <c r="AD3175" s="82"/>
      <c r="AE3175" s="82"/>
      <c r="AF3175" s="82"/>
      <c r="AG3175" s="82"/>
      <c r="AH3175" s="82"/>
      <c r="AI3175" s="82"/>
      <c r="AJ3175" s="82"/>
      <c r="AK3175" s="82"/>
      <c r="AL3175" s="82"/>
      <c r="AM3175" s="82"/>
      <c r="AN3175" s="82"/>
      <c r="AO3175" s="82"/>
      <c r="AP3175" s="82"/>
      <c r="AQ3175" s="82"/>
      <c r="AR3175" s="82"/>
      <c r="AS3175" s="82"/>
      <c r="AT3175" s="82"/>
      <c r="AU3175" s="82"/>
      <c r="AV3175" s="82"/>
      <c r="AW3175" s="82" t="str">
        <f t="shared" si="1"/>
        <v/>
      </c>
      <c r="AX3175" s="83" t="str">
        <f t="array" ref="AX3175">IFERROR(DGET('SBV Import'!A:G,"SBV",{"RSC ID","Tier";B3175,A3175}))</f>
        <v/>
      </c>
      <c r="AY3175" s="82" t="str">
        <f t="shared" si="2"/>
        <v/>
      </c>
      <c r="AZ3175" s="82"/>
      <c r="BA3175" s="84" t="s">
        <v>152</v>
      </c>
      <c r="BB3175" s="84" t="str">
        <f>IFERROR(__xludf.DUMMYFUNCTION("iferror(if(A3175="""",,E3175&gt;=FILTER(Constants!$F$2:$F$10,Constants!$A$2:$A$10=A3175)))"),"")</f>
        <v/>
      </c>
    </row>
    <row r="3176">
      <c r="A3176" s="89"/>
      <c r="B3176" s="87"/>
      <c r="C3176" s="73"/>
      <c r="D3176" s="73"/>
      <c r="E3176" s="82"/>
      <c r="F3176" s="82"/>
      <c r="G3176" s="86"/>
      <c r="H3176" s="86"/>
      <c r="I3176" s="86"/>
      <c r="J3176" s="82"/>
      <c r="K3176" s="82"/>
      <c r="L3176" s="82"/>
      <c r="M3176" s="82"/>
      <c r="N3176" s="82"/>
      <c r="O3176" s="82"/>
      <c r="P3176" s="82"/>
      <c r="Q3176" s="82"/>
      <c r="R3176" s="82"/>
      <c r="S3176" s="82"/>
      <c r="T3176" s="82"/>
      <c r="U3176" s="82"/>
      <c r="V3176" s="82"/>
      <c r="W3176" s="82"/>
      <c r="X3176" s="82"/>
      <c r="Y3176" s="82"/>
      <c r="Z3176" s="82"/>
      <c r="AA3176" s="82"/>
      <c r="AB3176" s="82"/>
      <c r="AC3176" s="82"/>
      <c r="AD3176" s="82"/>
      <c r="AE3176" s="82"/>
      <c r="AF3176" s="82"/>
      <c r="AG3176" s="82"/>
      <c r="AH3176" s="82"/>
      <c r="AI3176" s="82"/>
      <c r="AJ3176" s="82"/>
      <c r="AK3176" s="82"/>
      <c r="AL3176" s="82"/>
      <c r="AM3176" s="82"/>
      <c r="AN3176" s="82"/>
      <c r="AO3176" s="82"/>
      <c r="AP3176" s="82"/>
      <c r="AQ3176" s="82"/>
      <c r="AR3176" s="82"/>
      <c r="AS3176" s="82"/>
      <c r="AT3176" s="82"/>
      <c r="AU3176" s="82"/>
      <c r="AV3176" s="82"/>
      <c r="AW3176" s="82" t="str">
        <f t="shared" si="1"/>
        <v/>
      </c>
      <c r="AX3176" s="83" t="str">
        <f t="array" ref="AX3176">IFERROR(DGET('SBV Import'!A:G,"SBV",{"RSC ID","Tier";B3176,A3176}))</f>
        <v/>
      </c>
      <c r="AY3176" s="82" t="str">
        <f t="shared" si="2"/>
        <v/>
      </c>
      <c r="AZ3176" s="82"/>
      <c r="BA3176" s="84" t="s">
        <v>152</v>
      </c>
      <c r="BB3176" s="84" t="str">
        <f>IFERROR(__xludf.DUMMYFUNCTION("iferror(if(A3176="""",,E3176&gt;=FILTER(Constants!$F$2:$F$10,Constants!$A$2:$A$10=A3176)))"),"")</f>
        <v/>
      </c>
    </row>
    <row r="3177">
      <c r="A3177" s="89"/>
      <c r="B3177" s="87"/>
      <c r="C3177" s="73"/>
      <c r="D3177" s="73"/>
      <c r="E3177" s="82"/>
      <c r="F3177" s="82"/>
      <c r="G3177" s="86"/>
      <c r="H3177" s="86"/>
      <c r="I3177" s="86"/>
      <c r="J3177" s="82"/>
      <c r="K3177" s="82"/>
      <c r="L3177" s="82"/>
      <c r="M3177" s="82"/>
      <c r="N3177" s="82"/>
      <c r="O3177" s="82"/>
      <c r="P3177" s="82"/>
      <c r="Q3177" s="82"/>
      <c r="R3177" s="82"/>
      <c r="S3177" s="82"/>
      <c r="T3177" s="82"/>
      <c r="U3177" s="82"/>
      <c r="V3177" s="82"/>
      <c r="W3177" s="82"/>
      <c r="X3177" s="82"/>
      <c r="Y3177" s="82"/>
      <c r="Z3177" s="82"/>
      <c r="AA3177" s="82"/>
      <c r="AB3177" s="82"/>
      <c r="AC3177" s="82"/>
      <c r="AD3177" s="82"/>
      <c r="AE3177" s="82"/>
      <c r="AF3177" s="82"/>
      <c r="AG3177" s="82"/>
      <c r="AH3177" s="82"/>
      <c r="AI3177" s="82"/>
      <c r="AJ3177" s="82"/>
      <c r="AK3177" s="82"/>
      <c r="AL3177" s="82"/>
      <c r="AM3177" s="82"/>
      <c r="AN3177" s="82"/>
      <c r="AO3177" s="82"/>
      <c r="AP3177" s="82"/>
      <c r="AQ3177" s="82"/>
      <c r="AR3177" s="82"/>
      <c r="AS3177" s="82"/>
      <c r="AT3177" s="82"/>
      <c r="AU3177" s="82"/>
      <c r="AV3177" s="82"/>
      <c r="AW3177" s="82" t="str">
        <f t="shared" si="1"/>
        <v/>
      </c>
      <c r="AX3177" s="83" t="str">
        <f t="array" ref="AX3177">IFERROR(DGET('SBV Import'!A:G,"SBV",{"RSC ID","Tier";B3177,A3177}))</f>
        <v/>
      </c>
      <c r="AY3177" s="82" t="str">
        <f t="shared" si="2"/>
        <v/>
      </c>
      <c r="AZ3177" s="82"/>
      <c r="BA3177" s="84" t="s">
        <v>152</v>
      </c>
      <c r="BB3177" s="84" t="str">
        <f>IFERROR(__xludf.DUMMYFUNCTION("iferror(if(A3177="""",,E3177&gt;=FILTER(Constants!$F$2:$F$10,Constants!$A$2:$A$10=A3177)))"),"")</f>
        <v/>
      </c>
    </row>
    <row r="3178">
      <c r="A3178" s="89"/>
      <c r="B3178" s="87"/>
      <c r="C3178" s="73"/>
      <c r="D3178" s="73"/>
      <c r="E3178" s="82"/>
      <c r="F3178" s="82"/>
      <c r="G3178" s="86"/>
      <c r="H3178" s="86"/>
      <c r="I3178" s="86"/>
      <c r="J3178" s="82"/>
      <c r="K3178" s="82"/>
      <c r="L3178" s="82"/>
      <c r="M3178" s="82"/>
      <c r="N3178" s="82"/>
      <c r="O3178" s="82"/>
      <c r="P3178" s="82"/>
      <c r="Q3178" s="82"/>
      <c r="R3178" s="82"/>
      <c r="S3178" s="82"/>
      <c r="T3178" s="82"/>
      <c r="U3178" s="82"/>
      <c r="V3178" s="82"/>
      <c r="W3178" s="82"/>
      <c r="X3178" s="82"/>
      <c r="Y3178" s="82"/>
      <c r="Z3178" s="82"/>
      <c r="AA3178" s="82"/>
      <c r="AB3178" s="82"/>
      <c r="AC3178" s="82"/>
      <c r="AD3178" s="82"/>
      <c r="AE3178" s="82"/>
      <c r="AF3178" s="82"/>
      <c r="AG3178" s="82"/>
      <c r="AH3178" s="82"/>
      <c r="AI3178" s="82"/>
      <c r="AJ3178" s="82"/>
      <c r="AK3178" s="82"/>
      <c r="AL3178" s="82"/>
      <c r="AM3178" s="82"/>
      <c r="AN3178" s="82"/>
      <c r="AO3178" s="82"/>
      <c r="AP3178" s="82"/>
      <c r="AQ3178" s="82"/>
      <c r="AR3178" s="82"/>
      <c r="AS3178" s="82"/>
      <c r="AT3178" s="82"/>
      <c r="AU3178" s="82"/>
      <c r="AV3178" s="82"/>
      <c r="AW3178" s="82" t="str">
        <f t="shared" si="1"/>
        <v/>
      </c>
      <c r="AX3178" s="83" t="str">
        <f t="array" ref="AX3178">IFERROR(DGET('SBV Import'!A:G,"SBV",{"RSC ID","Tier";B3178,A3178}))</f>
        <v/>
      </c>
      <c r="AY3178" s="82" t="str">
        <f t="shared" si="2"/>
        <v/>
      </c>
      <c r="AZ3178" s="82"/>
      <c r="BA3178" s="84" t="s">
        <v>152</v>
      </c>
      <c r="BB3178" s="84" t="str">
        <f>IFERROR(__xludf.DUMMYFUNCTION("iferror(if(A3178="""",,E3178&gt;=FILTER(Constants!$F$2:$F$10,Constants!$A$2:$A$10=A3178)))"),"")</f>
        <v/>
      </c>
    </row>
    <row r="3179">
      <c r="A3179" s="89"/>
      <c r="B3179" s="87"/>
      <c r="C3179" s="73"/>
      <c r="D3179" s="73"/>
      <c r="E3179" s="82"/>
      <c r="F3179" s="82"/>
      <c r="G3179" s="86"/>
      <c r="H3179" s="86"/>
      <c r="I3179" s="86"/>
      <c r="J3179" s="82"/>
      <c r="K3179" s="82"/>
      <c r="L3179" s="82"/>
      <c r="M3179" s="82"/>
      <c r="N3179" s="82"/>
      <c r="O3179" s="82"/>
      <c r="P3179" s="82"/>
      <c r="Q3179" s="82"/>
      <c r="R3179" s="82"/>
      <c r="S3179" s="82"/>
      <c r="T3179" s="82"/>
      <c r="U3179" s="82"/>
      <c r="V3179" s="82"/>
      <c r="W3179" s="82"/>
      <c r="X3179" s="82"/>
      <c r="Y3179" s="82"/>
      <c r="Z3179" s="82"/>
      <c r="AA3179" s="82"/>
      <c r="AB3179" s="82"/>
      <c r="AC3179" s="82"/>
      <c r="AD3179" s="82"/>
      <c r="AE3179" s="82"/>
      <c r="AF3179" s="82"/>
      <c r="AG3179" s="82"/>
      <c r="AH3179" s="82"/>
      <c r="AI3179" s="82"/>
      <c r="AJ3179" s="82"/>
      <c r="AK3179" s="82"/>
      <c r="AL3179" s="82"/>
      <c r="AM3179" s="82"/>
      <c r="AN3179" s="82"/>
      <c r="AO3179" s="82"/>
      <c r="AP3179" s="82"/>
      <c r="AQ3179" s="82"/>
      <c r="AR3179" s="82"/>
      <c r="AS3179" s="82"/>
      <c r="AT3179" s="82"/>
      <c r="AU3179" s="82"/>
      <c r="AV3179" s="82"/>
      <c r="AW3179" s="82" t="str">
        <f t="shared" si="1"/>
        <v/>
      </c>
      <c r="AX3179" s="83" t="str">
        <f t="array" ref="AX3179">IFERROR(DGET('SBV Import'!A:G,"SBV",{"RSC ID","Tier";B3179,A3179}))</f>
        <v/>
      </c>
      <c r="AY3179" s="82" t="str">
        <f t="shared" si="2"/>
        <v/>
      </c>
      <c r="AZ3179" s="82"/>
      <c r="BA3179" s="84" t="s">
        <v>152</v>
      </c>
      <c r="BB3179" s="84" t="str">
        <f>IFERROR(__xludf.DUMMYFUNCTION("iferror(if(A3179="""",,E3179&gt;=FILTER(Constants!$F$2:$F$10,Constants!$A$2:$A$10=A3179)))"),"")</f>
        <v/>
      </c>
    </row>
    <row r="3180">
      <c r="A3180" s="89"/>
      <c r="B3180" s="87"/>
      <c r="C3180" s="73"/>
      <c r="D3180" s="73"/>
      <c r="E3180" s="82"/>
      <c r="F3180" s="82"/>
      <c r="G3180" s="86"/>
      <c r="H3180" s="86"/>
      <c r="I3180" s="86"/>
      <c r="J3180" s="82"/>
      <c r="K3180" s="82"/>
      <c r="L3180" s="82"/>
      <c r="M3180" s="82"/>
      <c r="N3180" s="82"/>
      <c r="O3180" s="82"/>
      <c r="P3180" s="82"/>
      <c r="Q3180" s="82"/>
      <c r="R3180" s="82"/>
      <c r="S3180" s="82"/>
      <c r="T3180" s="82"/>
      <c r="U3180" s="82"/>
      <c r="V3180" s="82"/>
      <c r="W3180" s="82"/>
      <c r="X3180" s="82"/>
      <c r="Y3180" s="82"/>
      <c r="Z3180" s="82"/>
      <c r="AA3180" s="82"/>
      <c r="AB3180" s="82"/>
      <c r="AC3180" s="82"/>
      <c r="AD3180" s="82"/>
      <c r="AE3180" s="82"/>
      <c r="AF3180" s="82"/>
      <c r="AG3180" s="82"/>
      <c r="AH3180" s="82"/>
      <c r="AI3180" s="82"/>
      <c r="AJ3180" s="82"/>
      <c r="AK3180" s="82"/>
      <c r="AL3180" s="82"/>
      <c r="AM3180" s="82"/>
      <c r="AN3180" s="82"/>
      <c r="AO3180" s="82"/>
      <c r="AP3180" s="82"/>
      <c r="AQ3180" s="82"/>
      <c r="AR3180" s="82"/>
      <c r="AS3180" s="82"/>
      <c r="AT3180" s="82"/>
      <c r="AU3180" s="82"/>
      <c r="AV3180" s="82"/>
      <c r="AW3180" s="82" t="str">
        <f t="shared" si="1"/>
        <v/>
      </c>
      <c r="AX3180" s="83" t="str">
        <f t="array" ref="AX3180">IFERROR(DGET('SBV Import'!A:G,"SBV",{"RSC ID","Tier";B3180,A3180}))</f>
        <v/>
      </c>
      <c r="AY3180" s="82" t="str">
        <f t="shared" si="2"/>
        <v/>
      </c>
      <c r="AZ3180" s="82"/>
      <c r="BA3180" s="84" t="s">
        <v>152</v>
      </c>
      <c r="BB3180" s="84" t="str">
        <f>IFERROR(__xludf.DUMMYFUNCTION("iferror(if(A3180="""",,E3180&gt;=FILTER(Constants!$F$2:$F$10,Constants!$A$2:$A$10=A3180)))"),"")</f>
        <v/>
      </c>
    </row>
    <row r="3181">
      <c r="A3181" s="89"/>
      <c r="B3181" s="87"/>
      <c r="C3181" s="73"/>
      <c r="D3181" s="73"/>
      <c r="E3181" s="82"/>
      <c r="F3181" s="82"/>
      <c r="G3181" s="86"/>
      <c r="H3181" s="86"/>
      <c r="I3181" s="86"/>
      <c r="J3181" s="82"/>
      <c r="K3181" s="82"/>
      <c r="L3181" s="82"/>
      <c r="M3181" s="82"/>
      <c r="N3181" s="82"/>
      <c r="O3181" s="82"/>
      <c r="P3181" s="82"/>
      <c r="Q3181" s="82"/>
      <c r="R3181" s="82"/>
      <c r="S3181" s="82"/>
      <c r="T3181" s="82"/>
      <c r="U3181" s="82"/>
      <c r="V3181" s="82"/>
      <c r="W3181" s="82"/>
      <c r="X3181" s="82"/>
      <c r="Y3181" s="82"/>
      <c r="Z3181" s="82"/>
      <c r="AA3181" s="82"/>
      <c r="AB3181" s="82"/>
      <c r="AC3181" s="82"/>
      <c r="AD3181" s="82"/>
      <c r="AE3181" s="82"/>
      <c r="AF3181" s="82"/>
      <c r="AG3181" s="82"/>
      <c r="AH3181" s="82"/>
      <c r="AI3181" s="82"/>
      <c r="AJ3181" s="82"/>
      <c r="AK3181" s="82"/>
      <c r="AL3181" s="82"/>
      <c r="AM3181" s="82"/>
      <c r="AN3181" s="82"/>
      <c r="AO3181" s="82"/>
      <c r="AP3181" s="82"/>
      <c r="AQ3181" s="82"/>
      <c r="AR3181" s="82"/>
      <c r="AS3181" s="82"/>
      <c r="AT3181" s="82"/>
      <c r="AU3181" s="82"/>
      <c r="AV3181" s="82"/>
      <c r="AW3181" s="82" t="str">
        <f t="shared" si="1"/>
        <v/>
      </c>
      <c r="AX3181" s="83" t="str">
        <f t="array" ref="AX3181">IFERROR(DGET('SBV Import'!A:G,"SBV",{"RSC ID","Tier";B3181,A3181}))</f>
        <v/>
      </c>
      <c r="AY3181" s="82" t="str">
        <f t="shared" si="2"/>
        <v/>
      </c>
      <c r="AZ3181" s="82"/>
      <c r="BA3181" s="84" t="s">
        <v>152</v>
      </c>
      <c r="BB3181" s="84" t="str">
        <f>IFERROR(__xludf.DUMMYFUNCTION("iferror(if(A3181="""",,E3181&gt;=FILTER(Constants!$F$2:$F$10,Constants!$A$2:$A$10=A3181)))"),"")</f>
        <v/>
      </c>
    </row>
    <row r="3182">
      <c r="A3182" s="89"/>
      <c r="B3182" s="87"/>
      <c r="C3182" s="73"/>
      <c r="D3182" s="73"/>
      <c r="E3182" s="82"/>
      <c r="F3182" s="82"/>
      <c r="G3182" s="86"/>
      <c r="H3182" s="86"/>
      <c r="I3182" s="86"/>
      <c r="J3182" s="82"/>
      <c r="K3182" s="82"/>
      <c r="L3182" s="82"/>
      <c r="M3182" s="82"/>
      <c r="N3182" s="82"/>
      <c r="O3182" s="82"/>
      <c r="P3182" s="82"/>
      <c r="Q3182" s="82"/>
      <c r="R3182" s="82"/>
      <c r="S3182" s="82"/>
      <c r="T3182" s="82"/>
      <c r="U3182" s="82"/>
      <c r="V3182" s="82"/>
      <c r="W3182" s="82"/>
      <c r="X3182" s="82"/>
      <c r="Y3182" s="82"/>
      <c r="Z3182" s="82"/>
      <c r="AA3182" s="82"/>
      <c r="AB3182" s="82"/>
      <c r="AC3182" s="82"/>
      <c r="AD3182" s="82"/>
      <c r="AE3182" s="82"/>
      <c r="AF3182" s="82"/>
      <c r="AG3182" s="82"/>
      <c r="AH3182" s="82"/>
      <c r="AI3182" s="82"/>
      <c r="AJ3182" s="82"/>
      <c r="AK3182" s="82"/>
      <c r="AL3182" s="82"/>
      <c r="AM3182" s="82"/>
      <c r="AN3182" s="82"/>
      <c r="AO3182" s="82"/>
      <c r="AP3182" s="82"/>
      <c r="AQ3182" s="82"/>
      <c r="AR3182" s="82"/>
      <c r="AS3182" s="82"/>
      <c r="AT3182" s="82"/>
      <c r="AU3182" s="82"/>
      <c r="AV3182" s="82"/>
      <c r="AW3182" s="82" t="str">
        <f t="shared" si="1"/>
        <v/>
      </c>
      <c r="AX3182" s="83" t="str">
        <f t="array" ref="AX3182">IFERROR(DGET('SBV Import'!A:G,"SBV",{"RSC ID","Tier";B3182,A3182}))</f>
        <v/>
      </c>
      <c r="AY3182" s="82" t="str">
        <f t="shared" si="2"/>
        <v/>
      </c>
      <c r="AZ3182" s="82"/>
      <c r="BA3182" s="84" t="s">
        <v>152</v>
      </c>
      <c r="BB3182" s="84" t="str">
        <f>IFERROR(__xludf.DUMMYFUNCTION("iferror(if(A3182="""",,E3182&gt;=FILTER(Constants!$F$2:$F$10,Constants!$A$2:$A$10=A3182)))"),"")</f>
        <v/>
      </c>
    </row>
    <row r="3183">
      <c r="A3183" s="89"/>
      <c r="B3183" s="87"/>
      <c r="C3183" s="73"/>
      <c r="D3183" s="73"/>
      <c r="E3183" s="82"/>
      <c r="F3183" s="82"/>
      <c r="G3183" s="86"/>
      <c r="H3183" s="86"/>
      <c r="I3183" s="86"/>
      <c r="J3183" s="82"/>
      <c r="K3183" s="82"/>
      <c r="L3183" s="82"/>
      <c r="M3183" s="82"/>
      <c r="N3183" s="82"/>
      <c r="O3183" s="82"/>
      <c r="P3183" s="82"/>
      <c r="Q3183" s="82"/>
      <c r="R3183" s="82"/>
      <c r="S3183" s="82"/>
      <c r="T3183" s="82"/>
      <c r="U3183" s="82"/>
      <c r="V3183" s="82"/>
      <c r="W3183" s="82"/>
      <c r="X3183" s="82"/>
      <c r="Y3183" s="82"/>
      <c r="Z3183" s="82"/>
      <c r="AA3183" s="82"/>
      <c r="AB3183" s="82"/>
      <c r="AC3183" s="82"/>
      <c r="AD3183" s="82"/>
      <c r="AE3183" s="82"/>
      <c r="AF3183" s="82"/>
      <c r="AG3183" s="82"/>
      <c r="AH3183" s="82"/>
      <c r="AI3183" s="82"/>
      <c r="AJ3183" s="82"/>
      <c r="AK3183" s="82"/>
      <c r="AL3183" s="82"/>
      <c r="AM3183" s="82"/>
      <c r="AN3183" s="82"/>
      <c r="AO3183" s="82"/>
      <c r="AP3183" s="82"/>
      <c r="AQ3183" s="82"/>
      <c r="AR3183" s="82"/>
      <c r="AS3183" s="82"/>
      <c r="AT3183" s="82"/>
      <c r="AU3183" s="82"/>
      <c r="AV3183" s="82"/>
      <c r="AW3183" s="82" t="str">
        <f t="shared" si="1"/>
        <v/>
      </c>
      <c r="AX3183" s="83" t="str">
        <f t="array" ref="AX3183">IFERROR(DGET('SBV Import'!A:G,"SBV",{"RSC ID","Tier";B3183,A3183}))</f>
        <v/>
      </c>
      <c r="AY3183" s="82" t="str">
        <f t="shared" si="2"/>
        <v/>
      </c>
      <c r="AZ3183" s="82"/>
      <c r="BA3183" s="84" t="s">
        <v>152</v>
      </c>
      <c r="BB3183" s="84" t="str">
        <f>IFERROR(__xludf.DUMMYFUNCTION("iferror(if(A3183="""",,E3183&gt;=FILTER(Constants!$F$2:$F$10,Constants!$A$2:$A$10=A3183)))"),"")</f>
        <v/>
      </c>
    </row>
    <row r="3184">
      <c r="A3184" s="89"/>
      <c r="B3184" s="87"/>
      <c r="C3184" s="73"/>
      <c r="D3184" s="73"/>
      <c r="E3184" s="82"/>
      <c r="F3184" s="82"/>
      <c r="G3184" s="86"/>
      <c r="H3184" s="86"/>
      <c r="I3184" s="86"/>
      <c r="J3184" s="82"/>
      <c r="K3184" s="82"/>
      <c r="L3184" s="82"/>
      <c r="M3184" s="82"/>
      <c r="N3184" s="82"/>
      <c r="O3184" s="82"/>
      <c r="P3184" s="82"/>
      <c r="Q3184" s="82"/>
      <c r="R3184" s="82"/>
      <c r="S3184" s="82"/>
      <c r="T3184" s="82"/>
      <c r="U3184" s="82"/>
      <c r="V3184" s="82"/>
      <c r="W3184" s="82"/>
      <c r="X3184" s="82"/>
      <c r="Y3184" s="82"/>
      <c r="Z3184" s="82"/>
      <c r="AA3184" s="82"/>
      <c r="AB3184" s="82"/>
      <c r="AC3184" s="82"/>
      <c r="AD3184" s="82"/>
      <c r="AE3184" s="82"/>
      <c r="AF3184" s="82"/>
      <c r="AG3184" s="82"/>
      <c r="AH3184" s="82"/>
      <c r="AI3184" s="82"/>
      <c r="AJ3184" s="82"/>
      <c r="AK3184" s="82"/>
      <c r="AL3184" s="82"/>
      <c r="AM3184" s="82"/>
      <c r="AN3184" s="82"/>
      <c r="AO3184" s="82"/>
      <c r="AP3184" s="82"/>
      <c r="AQ3184" s="82"/>
      <c r="AR3184" s="82"/>
      <c r="AS3184" s="82"/>
      <c r="AT3184" s="82"/>
      <c r="AU3184" s="82"/>
      <c r="AV3184" s="82"/>
      <c r="AW3184" s="82" t="str">
        <f t="shared" si="1"/>
        <v/>
      </c>
      <c r="AX3184" s="83" t="str">
        <f t="array" ref="AX3184">IFERROR(DGET('SBV Import'!A:G,"SBV",{"RSC ID","Tier";B3184,A3184}))</f>
        <v/>
      </c>
      <c r="AY3184" s="82" t="str">
        <f t="shared" si="2"/>
        <v/>
      </c>
      <c r="AZ3184" s="82"/>
      <c r="BA3184" s="84" t="s">
        <v>152</v>
      </c>
      <c r="BB3184" s="84" t="str">
        <f>IFERROR(__xludf.DUMMYFUNCTION("iferror(if(A3184="""",,E3184&gt;=FILTER(Constants!$F$2:$F$10,Constants!$A$2:$A$10=A3184)))"),"")</f>
        <v/>
      </c>
    </row>
    <row r="3185">
      <c r="A3185" s="89"/>
      <c r="B3185" s="87"/>
      <c r="C3185" s="73"/>
      <c r="D3185" s="73"/>
      <c r="E3185" s="82"/>
      <c r="F3185" s="82"/>
      <c r="G3185" s="86"/>
      <c r="H3185" s="86"/>
      <c r="I3185" s="86"/>
      <c r="J3185" s="82"/>
      <c r="K3185" s="82"/>
      <c r="L3185" s="82"/>
      <c r="M3185" s="82"/>
      <c r="N3185" s="82"/>
      <c r="O3185" s="82"/>
      <c r="P3185" s="82"/>
      <c r="Q3185" s="82"/>
      <c r="R3185" s="82"/>
      <c r="S3185" s="82"/>
      <c r="T3185" s="82"/>
      <c r="U3185" s="82"/>
      <c r="V3185" s="82"/>
      <c r="W3185" s="82"/>
      <c r="X3185" s="82"/>
      <c r="Y3185" s="82"/>
      <c r="Z3185" s="82"/>
      <c r="AA3185" s="82"/>
      <c r="AB3185" s="82"/>
      <c r="AC3185" s="82"/>
      <c r="AD3185" s="82"/>
      <c r="AE3185" s="82"/>
      <c r="AF3185" s="82"/>
      <c r="AG3185" s="82"/>
      <c r="AH3185" s="82"/>
      <c r="AI3185" s="82"/>
      <c r="AJ3185" s="82"/>
      <c r="AK3185" s="82"/>
      <c r="AL3185" s="82"/>
      <c r="AM3185" s="82"/>
      <c r="AN3185" s="82"/>
      <c r="AO3185" s="82"/>
      <c r="AP3185" s="82"/>
      <c r="AQ3185" s="82"/>
      <c r="AR3185" s="82"/>
      <c r="AS3185" s="82"/>
      <c r="AT3185" s="82"/>
      <c r="AU3185" s="82"/>
      <c r="AV3185" s="82"/>
      <c r="AW3185" s="82" t="str">
        <f t="shared" si="1"/>
        <v/>
      </c>
      <c r="AX3185" s="83" t="str">
        <f t="array" ref="AX3185">IFERROR(DGET('SBV Import'!A:G,"SBV",{"RSC ID","Tier";B3185,A3185}))</f>
        <v/>
      </c>
      <c r="AY3185" s="82" t="str">
        <f t="shared" si="2"/>
        <v/>
      </c>
      <c r="AZ3185" s="82"/>
      <c r="BA3185" s="84" t="s">
        <v>152</v>
      </c>
      <c r="BB3185" s="84" t="str">
        <f>IFERROR(__xludf.DUMMYFUNCTION("iferror(if(A3185="""",,E3185&gt;=FILTER(Constants!$F$2:$F$10,Constants!$A$2:$A$10=A3185)))"),"")</f>
        <v/>
      </c>
    </row>
    <row r="3186">
      <c r="A3186" s="89"/>
      <c r="B3186" s="87"/>
      <c r="C3186" s="73"/>
      <c r="D3186" s="73"/>
      <c r="E3186" s="82"/>
      <c r="F3186" s="82"/>
      <c r="G3186" s="86"/>
      <c r="H3186" s="86"/>
      <c r="I3186" s="86"/>
      <c r="J3186" s="82"/>
      <c r="K3186" s="82"/>
      <c r="L3186" s="82"/>
      <c r="M3186" s="82"/>
      <c r="N3186" s="82"/>
      <c r="O3186" s="82"/>
      <c r="P3186" s="82"/>
      <c r="Q3186" s="82"/>
      <c r="R3186" s="82"/>
      <c r="S3186" s="82"/>
      <c r="T3186" s="82"/>
      <c r="U3186" s="82"/>
      <c r="V3186" s="82"/>
      <c r="W3186" s="82"/>
      <c r="X3186" s="82"/>
      <c r="Y3186" s="82"/>
      <c r="Z3186" s="82"/>
      <c r="AA3186" s="82"/>
      <c r="AB3186" s="82"/>
      <c r="AC3186" s="82"/>
      <c r="AD3186" s="82"/>
      <c r="AE3186" s="82"/>
      <c r="AF3186" s="82"/>
      <c r="AG3186" s="82"/>
      <c r="AH3186" s="82"/>
      <c r="AI3186" s="82"/>
      <c r="AJ3186" s="82"/>
      <c r="AK3186" s="82"/>
      <c r="AL3186" s="82"/>
      <c r="AM3186" s="82"/>
      <c r="AN3186" s="82"/>
      <c r="AO3186" s="82"/>
      <c r="AP3186" s="82"/>
      <c r="AQ3186" s="82"/>
      <c r="AR3186" s="82"/>
      <c r="AS3186" s="82"/>
      <c r="AT3186" s="82"/>
      <c r="AU3186" s="82"/>
      <c r="AV3186" s="82"/>
      <c r="AW3186" s="82" t="str">
        <f t="shared" si="1"/>
        <v/>
      </c>
      <c r="AX3186" s="83" t="str">
        <f t="array" ref="AX3186">IFERROR(DGET('SBV Import'!A:G,"SBV",{"RSC ID","Tier";B3186,A3186}))</f>
        <v/>
      </c>
      <c r="AY3186" s="82" t="str">
        <f t="shared" si="2"/>
        <v/>
      </c>
      <c r="AZ3186" s="82"/>
      <c r="BA3186" s="84" t="s">
        <v>152</v>
      </c>
      <c r="BB3186" s="84" t="str">
        <f>IFERROR(__xludf.DUMMYFUNCTION("iferror(if(A3186="""",,E3186&gt;=FILTER(Constants!$F$2:$F$10,Constants!$A$2:$A$10=A3186)))"),"")</f>
        <v/>
      </c>
    </row>
    <row r="3187">
      <c r="A3187" s="89"/>
      <c r="B3187" s="87"/>
      <c r="C3187" s="73"/>
      <c r="D3187" s="73"/>
      <c r="E3187" s="82"/>
      <c r="F3187" s="82"/>
      <c r="G3187" s="86"/>
      <c r="H3187" s="86"/>
      <c r="I3187" s="86"/>
      <c r="J3187" s="82"/>
      <c r="K3187" s="82"/>
      <c r="L3187" s="82"/>
      <c r="M3187" s="82"/>
      <c r="N3187" s="82"/>
      <c r="O3187" s="82"/>
      <c r="P3187" s="82"/>
      <c r="Q3187" s="82"/>
      <c r="R3187" s="82"/>
      <c r="S3187" s="82"/>
      <c r="T3187" s="82"/>
      <c r="U3187" s="82"/>
      <c r="V3187" s="82"/>
      <c r="W3187" s="82"/>
      <c r="X3187" s="82"/>
      <c r="Y3187" s="82"/>
      <c r="Z3187" s="82"/>
      <c r="AA3187" s="82"/>
      <c r="AB3187" s="82"/>
      <c r="AC3187" s="82"/>
      <c r="AD3187" s="82"/>
      <c r="AE3187" s="82"/>
      <c r="AF3187" s="82"/>
      <c r="AG3187" s="82"/>
      <c r="AH3187" s="82"/>
      <c r="AI3187" s="82"/>
      <c r="AJ3187" s="82"/>
      <c r="AK3187" s="82"/>
      <c r="AL3187" s="82"/>
      <c r="AM3187" s="82"/>
      <c r="AN3187" s="82"/>
      <c r="AO3187" s="82"/>
      <c r="AP3187" s="82"/>
      <c r="AQ3187" s="82"/>
      <c r="AR3187" s="82"/>
      <c r="AS3187" s="82"/>
      <c r="AT3187" s="82"/>
      <c r="AU3187" s="82"/>
      <c r="AV3187" s="82"/>
      <c r="AW3187" s="82" t="str">
        <f t="shared" si="1"/>
        <v/>
      </c>
      <c r="AX3187" s="83" t="str">
        <f t="array" ref="AX3187">IFERROR(DGET('SBV Import'!A:G,"SBV",{"RSC ID","Tier";B3187,A3187}))</f>
        <v/>
      </c>
      <c r="AY3187" s="82" t="str">
        <f t="shared" si="2"/>
        <v/>
      </c>
      <c r="AZ3187" s="82"/>
      <c r="BA3187" s="84" t="s">
        <v>152</v>
      </c>
      <c r="BB3187" s="84" t="str">
        <f>IFERROR(__xludf.DUMMYFUNCTION("iferror(if(A3187="""",,E3187&gt;=FILTER(Constants!$F$2:$F$10,Constants!$A$2:$A$10=A3187)))"),"")</f>
        <v/>
      </c>
    </row>
    <row r="3188">
      <c r="A3188" s="89"/>
      <c r="B3188" s="87"/>
      <c r="C3188" s="73"/>
      <c r="D3188" s="73"/>
      <c r="E3188" s="82"/>
      <c r="F3188" s="82"/>
      <c r="G3188" s="86"/>
      <c r="H3188" s="86"/>
      <c r="I3188" s="86"/>
      <c r="J3188" s="82"/>
      <c r="K3188" s="82"/>
      <c r="L3188" s="82"/>
      <c r="M3188" s="82"/>
      <c r="N3188" s="82"/>
      <c r="O3188" s="82"/>
      <c r="P3188" s="82"/>
      <c r="Q3188" s="82"/>
      <c r="R3188" s="82"/>
      <c r="S3188" s="82"/>
      <c r="T3188" s="82"/>
      <c r="U3188" s="82"/>
      <c r="V3188" s="82"/>
      <c r="W3188" s="82"/>
      <c r="X3188" s="82"/>
      <c r="Y3188" s="82"/>
      <c r="Z3188" s="82"/>
      <c r="AA3188" s="82"/>
      <c r="AB3188" s="82"/>
      <c r="AC3188" s="82"/>
      <c r="AD3188" s="82"/>
      <c r="AE3188" s="82"/>
      <c r="AF3188" s="82"/>
      <c r="AG3188" s="82"/>
      <c r="AH3188" s="82"/>
      <c r="AI3188" s="82"/>
      <c r="AJ3188" s="82"/>
      <c r="AK3188" s="82"/>
      <c r="AL3188" s="82"/>
      <c r="AM3188" s="82"/>
      <c r="AN3188" s="82"/>
      <c r="AO3188" s="82"/>
      <c r="AP3188" s="82"/>
      <c r="AQ3188" s="82"/>
      <c r="AR3188" s="82"/>
      <c r="AS3188" s="82"/>
      <c r="AT3188" s="82"/>
      <c r="AU3188" s="82"/>
      <c r="AV3188" s="82"/>
      <c r="AW3188" s="82" t="str">
        <f t="shared" si="1"/>
        <v/>
      </c>
      <c r="AX3188" s="83" t="str">
        <f t="array" ref="AX3188">IFERROR(DGET('SBV Import'!A:G,"SBV",{"RSC ID","Tier";B3188,A3188}))</f>
        <v/>
      </c>
      <c r="AY3188" s="82" t="str">
        <f t="shared" si="2"/>
        <v/>
      </c>
      <c r="AZ3188" s="82"/>
      <c r="BA3188" s="84" t="s">
        <v>152</v>
      </c>
      <c r="BB3188" s="84" t="str">
        <f>IFERROR(__xludf.DUMMYFUNCTION("iferror(if(A3188="""",,E3188&gt;=FILTER(Constants!$F$2:$F$10,Constants!$A$2:$A$10=A3188)))"),"")</f>
        <v/>
      </c>
    </row>
    <row r="3189">
      <c r="A3189" s="89"/>
      <c r="B3189" s="87"/>
      <c r="C3189" s="73"/>
      <c r="D3189" s="73"/>
      <c r="E3189" s="82"/>
      <c r="F3189" s="82"/>
      <c r="G3189" s="86"/>
      <c r="H3189" s="86"/>
      <c r="I3189" s="86"/>
      <c r="J3189" s="82"/>
      <c r="K3189" s="82"/>
      <c r="L3189" s="82"/>
      <c r="M3189" s="82"/>
      <c r="N3189" s="82"/>
      <c r="O3189" s="82"/>
      <c r="P3189" s="82"/>
      <c r="Q3189" s="82"/>
      <c r="R3189" s="82"/>
      <c r="S3189" s="82"/>
      <c r="T3189" s="82"/>
      <c r="U3189" s="82"/>
      <c r="V3189" s="82"/>
      <c r="W3189" s="82"/>
      <c r="X3189" s="82"/>
      <c r="Y3189" s="82"/>
      <c r="Z3189" s="82"/>
      <c r="AA3189" s="82"/>
      <c r="AB3189" s="82"/>
      <c r="AC3189" s="82"/>
      <c r="AD3189" s="82"/>
      <c r="AE3189" s="82"/>
      <c r="AF3189" s="82"/>
      <c r="AG3189" s="82"/>
      <c r="AH3189" s="82"/>
      <c r="AI3189" s="82"/>
      <c r="AJ3189" s="82"/>
      <c r="AK3189" s="82"/>
      <c r="AL3189" s="82"/>
      <c r="AM3189" s="82"/>
      <c r="AN3189" s="82"/>
      <c r="AO3189" s="82"/>
      <c r="AP3189" s="82"/>
      <c r="AQ3189" s="82"/>
      <c r="AR3189" s="82"/>
      <c r="AS3189" s="82"/>
      <c r="AT3189" s="82"/>
      <c r="AU3189" s="82"/>
      <c r="AV3189" s="82"/>
      <c r="AW3189" s="82" t="str">
        <f t="shared" si="1"/>
        <v/>
      </c>
      <c r="AX3189" s="83" t="str">
        <f t="array" ref="AX3189">IFERROR(DGET('SBV Import'!A:G,"SBV",{"RSC ID","Tier";B3189,A3189}))</f>
        <v/>
      </c>
      <c r="AY3189" s="82" t="str">
        <f t="shared" si="2"/>
        <v/>
      </c>
      <c r="AZ3189" s="82"/>
      <c r="BA3189" s="84" t="s">
        <v>152</v>
      </c>
      <c r="BB3189" s="84" t="str">
        <f>IFERROR(__xludf.DUMMYFUNCTION("iferror(if(A3189="""",,E3189&gt;=FILTER(Constants!$F$2:$F$10,Constants!$A$2:$A$10=A3189)))"),"")</f>
        <v/>
      </c>
    </row>
    <row r="3190">
      <c r="A3190" s="89"/>
      <c r="B3190" s="87"/>
      <c r="C3190" s="73"/>
      <c r="D3190" s="73"/>
      <c r="E3190" s="82"/>
      <c r="F3190" s="82"/>
      <c r="G3190" s="86"/>
      <c r="H3190" s="86"/>
      <c r="I3190" s="86"/>
      <c r="J3190" s="82"/>
      <c r="K3190" s="82"/>
      <c r="L3190" s="82"/>
      <c r="M3190" s="82"/>
      <c r="N3190" s="82"/>
      <c r="O3190" s="82"/>
      <c r="P3190" s="82"/>
      <c r="Q3190" s="82"/>
      <c r="R3190" s="82"/>
      <c r="S3190" s="82"/>
      <c r="T3190" s="82"/>
      <c r="U3190" s="82"/>
      <c r="V3190" s="82"/>
      <c r="W3190" s="82"/>
      <c r="X3190" s="82"/>
      <c r="Y3190" s="82"/>
      <c r="Z3190" s="82"/>
      <c r="AA3190" s="82"/>
      <c r="AB3190" s="82"/>
      <c r="AC3190" s="82"/>
      <c r="AD3190" s="82"/>
      <c r="AE3190" s="82"/>
      <c r="AF3190" s="82"/>
      <c r="AG3190" s="82"/>
      <c r="AH3190" s="82"/>
      <c r="AI3190" s="82"/>
      <c r="AJ3190" s="82"/>
      <c r="AK3190" s="82"/>
      <c r="AL3190" s="82"/>
      <c r="AM3190" s="82"/>
      <c r="AN3190" s="82"/>
      <c r="AO3190" s="82"/>
      <c r="AP3190" s="82"/>
      <c r="AQ3190" s="82"/>
      <c r="AR3190" s="82"/>
      <c r="AS3190" s="82"/>
      <c r="AT3190" s="82"/>
      <c r="AU3190" s="82"/>
      <c r="AV3190" s="82"/>
      <c r="AW3190" s="82" t="str">
        <f t="shared" si="1"/>
        <v/>
      </c>
      <c r="AX3190" s="83" t="str">
        <f t="array" ref="AX3190">IFERROR(DGET('SBV Import'!A:G,"SBV",{"RSC ID","Tier";B3190,A3190}))</f>
        <v/>
      </c>
      <c r="AY3190" s="82" t="str">
        <f t="shared" si="2"/>
        <v/>
      </c>
      <c r="AZ3190" s="82"/>
      <c r="BA3190" s="84" t="s">
        <v>152</v>
      </c>
      <c r="BB3190" s="84" t="str">
        <f>IFERROR(__xludf.DUMMYFUNCTION("iferror(if(A3190="""",,E3190&gt;=FILTER(Constants!$F$2:$F$10,Constants!$A$2:$A$10=A3190)))"),"")</f>
        <v/>
      </c>
    </row>
    <row r="3191">
      <c r="A3191" s="89"/>
      <c r="B3191" s="87"/>
      <c r="C3191" s="73"/>
      <c r="D3191" s="73"/>
      <c r="E3191" s="82"/>
      <c r="F3191" s="82"/>
      <c r="G3191" s="86"/>
      <c r="H3191" s="86"/>
      <c r="I3191" s="86"/>
      <c r="J3191" s="82"/>
      <c r="K3191" s="82"/>
      <c r="L3191" s="82"/>
      <c r="M3191" s="82"/>
      <c r="N3191" s="82"/>
      <c r="O3191" s="82"/>
      <c r="P3191" s="82"/>
      <c r="Q3191" s="82"/>
      <c r="R3191" s="82"/>
      <c r="S3191" s="82"/>
      <c r="T3191" s="82"/>
      <c r="U3191" s="82"/>
      <c r="V3191" s="82"/>
      <c r="W3191" s="82"/>
      <c r="X3191" s="82"/>
      <c r="Y3191" s="82"/>
      <c r="Z3191" s="82"/>
      <c r="AA3191" s="82"/>
      <c r="AB3191" s="82"/>
      <c r="AC3191" s="82"/>
      <c r="AD3191" s="82"/>
      <c r="AE3191" s="82"/>
      <c r="AF3191" s="82"/>
      <c r="AG3191" s="82"/>
      <c r="AH3191" s="82"/>
      <c r="AI3191" s="82"/>
      <c r="AJ3191" s="82"/>
      <c r="AK3191" s="82"/>
      <c r="AL3191" s="82"/>
      <c r="AM3191" s="82"/>
      <c r="AN3191" s="82"/>
      <c r="AO3191" s="82"/>
      <c r="AP3191" s="82"/>
      <c r="AQ3191" s="82"/>
      <c r="AR3191" s="82"/>
      <c r="AS3191" s="82"/>
      <c r="AT3191" s="82"/>
      <c r="AU3191" s="82"/>
      <c r="AV3191" s="82"/>
      <c r="AW3191" s="82" t="str">
        <f t="shared" si="1"/>
        <v/>
      </c>
      <c r="AX3191" s="83" t="str">
        <f t="array" ref="AX3191">IFERROR(DGET('SBV Import'!A:G,"SBV",{"RSC ID","Tier";B3191,A3191}))</f>
        <v/>
      </c>
      <c r="AY3191" s="82" t="str">
        <f t="shared" si="2"/>
        <v/>
      </c>
      <c r="AZ3191" s="82"/>
      <c r="BA3191" s="84" t="s">
        <v>152</v>
      </c>
      <c r="BB3191" s="84" t="str">
        <f>IFERROR(__xludf.DUMMYFUNCTION("iferror(if(A3191="""",,E3191&gt;=FILTER(Constants!$F$2:$F$10,Constants!$A$2:$A$10=A3191)))"),"")</f>
        <v/>
      </c>
    </row>
    <row r="3192">
      <c r="A3192" s="89"/>
      <c r="B3192" s="87"/>
      <c r="C3192" s="73"/>
      <c r="D3192" s="73"/>
      <c r="E3192" s="82"/>
      <c r="F3192" s="82"/>
      <c r="G3192" s="86"/>
      <c r="H3192" s="86"/>
      <c r="I3192" s="86"/>
      <c r="J3192" s="82"/>
      <c r="K3192" s="82"/>
      <c r="L3192" s="82"/>
      <c r="M3192" s="82"/>
      <c r="N3192" s="82"/>
      <c r="O3192" s="82"/>
      <c r="P3192" s="82"/>
      <c r="Q3192" s="82"/>
      <c r="R3192" s="82"/>
      <c r="S3192" s="82"/>
      <c r="T3192" s="82"/>
      <c r="U3192" s="82"/>
      <c r="V3192" s="82"/>
      <c r="W3192" s="82"/>
      <c r="X3192" s="82"/>
      <c r="Y3192" s="82"/>
      <c r="Z3192" s="82"/>
      <c r="AA3192" s="82"/>
      <c r="AB3192" s="82"/>
      <c r="AC3192" s="82"/>
      <c r="AD3192" s="82"/>
      <c r="AE3192" s="82"/>
      <c r="AF3192" s="82"/>
      <c r="AG3192" s="82"/>
      <c r="AH3192" s="82"/>
      <c r="AI3192" s="82"/>
      <c r="AJ3192" s="82"/>
      <c r="AK3192" s="82"/>
      <c r="AL3192" s="82"/>
      <c r="AM3192" s="82"/>
      <c r="AN3192" s="82"/>
      <c r="AO3192" s="82"/>
      <c r="AP3192" s="82"/>
      <c r="AQ3192" s="82"/>
      <c r="AR3192" s="82"/>
      <c r="AS3192" s="82"/>
      <c r="AT3192" s="82"/>
      <c r="AU3192" s="82"/>
      <c r="AV3192" s="82"/>
      <c r="AW3192" s="82" t="str">
        <f t="shared" si="1"/>
        <v/>
      </c>
      <c r="AX3192" s="83" t="str">
        <f t="array" ref="AX3192">IFERROR(DGET('SBV Import'!A:G,"SBV",{"RSC ID","Tier";B3192,A3192}))</f>
        <v/>
      </c>
      <c r="AY3192" s="82" t="str">
        <f t="shared" si="2"/>
        <v/>
      </c>
      <c r="AZ3192" s="82"/>
      <c r="BA3192" s="84" t="s">
        <v>152</v>
      </c>
      <c r="BB3192" s="84" t="str">
        <f>IFERROR(__xludf.DUMMYFUNCTION("iferror(if(A3192="""",,E3192&gt;=FILTER(Constants!$F$2:$F$10,Constants!$A$2:$A$10=A3192)))"),"")</f>
        <v/>
      </c>
    </row>
    <row r="3193">
      <c r="A3193" s="89"/>
      <c r="B3193" s="87"/>
      <c r="C3193" s="73"/>
      <c r="D3193" s="73"/>
      <c r="E3193" s="82"/>
      <c r="F3193" s="82"/>
      <c r="G3193" s="86"/>
      <c r="H3193" s="86"/>
      <c r="I3193" s="86"/>
      <c r="J3193" s="82"/>
      <c r="K3193" s="82"/>
      <c r="L3193" s="82"/>
      <c r="M3193" s="82"/>
      <c r="N3193" s="82"/>
      <c r="O3193" s="82"/>
      <c r="P3193" s="82"/>
      <c r="Q3193" s="82"/>
      <c r="R3193" s="82"/>
      <c r="S3193" s="82"/>
      <c r="T3193" s="82"/>
      <c r="U3193" s="82"/>
      <c r="V3193" s="82"/>
      <c r="W3193" s="82"/>
      <c r="X3193" s="82"/>
      <c r="Y3193" s="82"/>
      <c r="Z3193" s="82"/>
      <c r="AA3193" s="82"/>
      <c r="AB3193" s="82"/>
      <c r="AC3193" s="82"/>
      <c r="AD3193" s="82"/>
      <c r="AE3193" s="82"/>
      <c r="AF3193" s="82"/>
      <c r="AG3193" s="82"/>
      <c r="AH3193" s="82"/>
      <c r="AI3193" s="82"/>
      <c r="AJ3193" s="82"/>
      <c r="AK3193" s="82"/>
      <c r="AL3193" s="82"/>
      <c r="AM3193" s="82"/>
      <c r="AN3193" s="82"/>
      <c r="AO3193" s="82"/>
      <c r="AP3193" s="82"/>
      <c r="AQ3193" s="82"/>
      <c r="AR3193" s="82"/>
      <c r="AS3193" s="82"/>
      <c r="AT3193" s="82"/>
      <c r="AU3193" s="82"/>
      <c r="AV3193" s="82"/>
      <c r="AW3193" s="82" t="str">
        <f t="shared" si="1"/>
        <v/>
      </c>
      <c r="AX3193" s="83" t="str">
        <f t="array" ref="AX3193">IFERROR(DGET('SBV Import'!A:G,"SBV",{"RSC ID","Tier";B3193,A3193}))</f>
        <v/>
      </c>
      <c r="AY3193" s="82" t="str">
        <f t="shared" si="2"/>
        <v/>
      </c>
      <c r="AZ3193" s="82"/>
      <c r="BA3193" s="84" t="s">
        <v>152</v>
      </c>
      <c r="BB3193" s="84" t="str">
        <f>IFERROR(__xludf.DUMMYFUNCTION("iferror(if(A3193="""",,E3193&gt;=FILTER(Constants!$F$2:$F$10,Constants!$A$2:$A$10=A3193)))"),"")</f>
        <v/>
      </c>
    </row>
    <row r="3194">
      <c r="A3194" s="89"/>
      <c r="B3194" s="87"/>
      <c r="C3194" s="73"/>
      <c r="D3194" s="73"/>
      <c r="E3194" s="82"/>
      <c r="F3194" s="82"/>
      <c r="G3194" s="86"/>
      <c r="H3194" s="86"/>
      <c r="I3194" s="86"/>
      <c r="J3194" s="82"/>
      <c r="K3194" s="82"/>
      <c r="L3194" s="82"/>
      <c r="M3194" s="82"/>
      <c r="N3194" s="82"/>
      <c r="O3194" s="82"/>
      <c r="P3194" s="82"/>
      <c r="Q3194" s="82"/>
      <c r="R3194" s="82"/>
      <c r="S3194" s="82"/>
      <c r="T3194" s="82"/>
      <c r="U3194" s="82"/>
      <c r="V3194" s="82"/>
      <c r="W3194" s="82"/>
      <c r="X3194" s="82"/>
      <c r="Y3194" s="82"/>
      <c r="Z3194" s="82"/>
      <c r="AA3194" s="82"/>
      <c r="AB3194" s="82"/>
      <c r="AC3194" s="82"/>
      <c r="AD3194" s="82"/>
      <c r="AE3194" s="82"/>
      <c r="AF3194" s="82"/>
      <c r="AG3194" s="82"/>
      <c r="AH3194" s="82"/>
      <c r="AI3194" s="82"/>
      <c r="AJ3194" s="82"/>
      <c r="AK3194" s="82"/>
      <c r="AL3194" s="82"/>
      <c r="AM3194" s="82"/>
      <c r="AN3194" s="82"/>
      <c r="AO3194" s="82"/>
      <c r="AP3194" s="82"/>
      <c r="AQ3194" s="82"/>
      <c r="AR3194" s="82"/>
      <c r="AS3194" s="82"/>
      <c r="AT3194" s="82"/>
      <c r="AU3194" s="82"/>
      <c r="AV3194" s="82"/>
      <c r="AW3194" s="82" t="str">
        <f t="shared" si="1"/>
        <v/>
      </c>
      <c r="AX3194" s="83" t="str">
        <f t="array" ref="AX3194">IFERROR(DGET('SBV Import'!A:G,"SBV",{"RSC ID","Tier";B3194,A3194}))</f>
        <v/>
      </c>
      <c r="AY3194" s="82" t="str">
        <f t="shared" si="2"/>
        <v/>
      </c>
      <c r="AZ3194" s="82"/>
      <c r="BA3194" s="84" t="s">
        <v>152</v>
      </c>
      <c r="BB3194" s="84" t="str">
        <f>IFERROR(__xludf.DUMMYFUNCTION("iferror(if(A3194="""",,E3194&gt;=FILTER(Constants!$F$2:$F$10,Constants!$A$2:$A$10=A3194)))"),"")</f>
        <v/>
      </c>
    </row>
    <row r="3195">
      <c r="A3195" s="89"/>
      <c r="B3195" s="87"/>
      <c r="C3195" s="73"/>
      <c r="D3195" s="73"/>
      <c r="E3195" s="82"/>
      <c r="F3195" s="82"/>
      <c r="G3195" s="86"/>
      <c r="H3195" s="86"/>
      <c r="I3195" s="86"/>
      <c r="J3195" s="82"/>
      <c r="K3195" s="82"/>
      <c r="L3195" s="82"/>
      <c r="M3195" s="82"/>
      <c r="N3195" s="82"/>
      <c r="O3195" s="82"/>
      <c r="P3195" s="82"/>
      <c r="Q3195" s="82"/>
      <c r="R3195" s="82"/>
      <c r="S3195" s="82"/>
      <c r="T3195" s="82"/>
      <c r="U3195" s="82"/>
      <c r="V3195" s="82"/>
      <c r="W3195" s="82"/>
      <c r="X3195" s="82"/>
      <c r="Y3195" s="82"/>
      <c r="Z3195" s="82"/>
      <c r="AA3195" s="82"/>
      <c r="AB3195" s="82"/>
      <c r="AC3195" s="82"/>
      <c r="AD3195" s="82"/>
      <c r="AE3195" s="82"/>
      <c r="AF3195" s="82"/>
      <c r="AG3195" s="82"/>
      <c r="AH3195" s="82"/>
      <c r="AI3195" s="82"/>
      <c r="AJ3195" s="82"/>
      <c r="AK3195" s="82"/>
      <c r="AL3195" s="82"/>
      <c r="AM3195" s="82"/>
      <c r="AN3195" s="82"/>
      <c r="AO3195" s="82"/>
      <c r="AP3195" s="82"/>
      <c r="AQ3195" s="82"/>
      <c r="AR3195" s="82"/>
      <c r="AS3195" s="82"/>
      <c r="AT3195" s="82"/>
      <c r="AU3195" s="82"/>
      <c r="AV3195" s="82"/>
      <c r="AW3195" s="82" t="str">
        <f t="shared" si="1"/>
        <v/>
      </c>
      <c r="AX3195" s="83" t="str">
        <f t="array" ref="AX3195">IFERROR(DGET('SBV Import'!A:G,"SBV",{"RSC ID","Tier";B3195,A3195}))</f>
        <v/>
      </c>
      <c r="AY3195" s="82" t="str">
        <f t="shared" si="2"/>
        <v/>
      </c>
      <c r="AZ3195" s="82"/>
      <c r="BA3195" s="84" t="s">
        <v>152</v>
      </c>
      <c r="BB3195" s="84" t="str">
        <f>IFERROR(__xludf.DUMMYFUNCTION("iferror(if(A3195="""",,E3195&gt;=FILTER(Constants!$F$2:$F$10,Constants!$A$2:$A$10=A3195)))"),"")</f>
        <v/>
      </c>
    </row>
    <row r="3196">
      <c r="A3196" s="89"/>
      <c r="B3196" s="87"/>
      <c r="C3196" s="73"/>
      <c r="D3196" s="73"/>
      <c r="E3196" s="82"/>
      <c r="F3196" s="82"/>
      <c r="G3196" s="86"/>
      <c r="H3196" s="86"/>
      <c r="I3196" s="86"/>
      <c r="J3196" s="82"/>
      <c r="K3196" s="82"/>
      <c r="L3196" s="82"/>
      <c r="M3196" s="82"/>
      <c r="N3196" s="82"/>
      <c r="O3196" s="82"/>
      <c r="P3196" s="82"/>
      <c r="Q3196" s="82"/>
      <c r="R3196" s="82"/>
      <c r="S3196" s="82"/>
      <c r="T3196" s="82"/>
      <c r="U3196" s="82"/>
      <c r="V3196" s="82"/>
      <c r="W3196" s="82"/>
      <c r="X3196" s="82"/>
      <c r="Y3196" s="82"/>
      <c r="Z3196" s="82"/>
      <c r="AA3196" s="82"/>
      <c r="AB3196" s="82"/>
      <c r="AC3196" s="82"/>
      <c r="AD3196" s="82"/>
      <c r="AE3196" s="82"/>
      <c r="AF3196" s="82"/>
      <c r="AG3196" s="82"/>
      <c r="AH3196" s="82"/>
      <c r="AI3196" s="82"/>
      <c r="AJ3196" s="82"/>
      <c r="AK3196" s="82"/>
      <c r="AL3196" s="82"/>
      <c r="AM3196" s="82"/>
      <c r="AN3196" s="82"/>
      <c r="AO3196" s="82"/>
      <c r="AP3196" s="82"/>
      <c r="AQ3196" s="82"/>
      <c r="AR3196" s="82"/>
      <c r="AS3196" s="82"/>
      <c r="AT3196" s="82"/>
      <c r="AU3196" s="82"/>
      <c r="AV3196" s="82"/>
      <c r="AW3196" s="82" t="str">
        <f t="shared" si="1"/>
        <v/>
      </c>
      <c r="AX3196" s="83" t="str">
        <f t="array" ref="AX3196">IFERROR(DGET('SBV Import'!A:G,"SBV",{"RSC ID","Tier";B3196,A3196}))</f>
        <v/>
      </c>
      <c r="AY3196" s="82" t="str">
        <f t="shared" si="2"/>
        <v/>
      </c>
      <c r="AZ3196" s="82"/>
      <c r="BA3196" s="84" t="s">
        <v>152</v>
      </c>
      <c r="BB3196" s="84" t="str">
        <f>IFERROR(__xludf.DUMMYFUNCTION("iferror(if(A3196="""",,E3196&gt;=FILTER(Constants!$F$2:$F$10,Constants!$A$2:$A$10=A3196)))"),"")</f>
        <v/>
      </c>
    </row>
    <row r="3197">
      <c r="A3197" s="89"/>
      <c r="B3197" s="87"/>
      <c r="C3197" s="73"/>
      <c r="D3197" s="73"/>
      <c r="E3197" s="82"/>
      <c r="F3197" s="82"/>
      <c r="G3197" s="86"/>
      <c r="H3197" s="86"/>
      <c r="I3197" s="86"/>
      <c r="J3197" s="82"/>
      <c r="K3197" s="82"/>
      <c r="L3197" s="82"/>
      <c r="M3197" s="82"/>
      <c r="N3197" s="82"/>
      <c r="O3197" s="82"/>
      <c r="P3197" s="82"/>
      <c r="Q3197" s="82"/>
      <c r="R3197" s="82"/>
      <c r="S3197" s="82"/>
      <c r="T3197" s="82"/>
      <c r="U3197" s="82"/>
      <c r="V3197" s="82"/>
      <c r="W3197" s="82"/>
      <c r="X3197" s="82"/>
      <c r="Y3197" s="82"/>
      <c r="Z3197" s="82"/>
      <c r="AA3197" s="82"/>
      <c r="AB3197" s="82"/>
      <c r="AC3197" s="82"/>
      <c r="AD3197" s="82"/>
      <c r="AE3197" s="82"/>
      <c r="AF3197" s="82"/>
      <c r="AG3197" s="82"/>
      <c r="AH3197" s="82"/>
      <c r="AI3197" s="82"/>
      <c r="AJ3197" s="82"/>
      <c r="AK3197" s="82"/>
      <c r="AL3197" s="82"/>
      <c r="AM3197" s="82"/>
      <c r="AN3197" s="82"/>
      <c r="AO3197" s="82"/>
      <c r="AP3197" s="82"/>
      <c r="AQ3197" s="82"/>
      <c r="AR3197" s="82"/>
      <c r="AS3197" s="82"/>
      <c r="AT3197" s="82"/>
      <c r="AU3197" s="82"/>
      <c r="AV3197" s="82"/>
      <c r="AW3197" s="82" t="str">
        <f t="shared" si="1"/>
        <v/>
      </c>
      <c r="AX3197" s="83" t="str">
        <f t="array" ref="AX3197">IFERROR(DGET('SBV Import'!A:G,"SBV",{"RSC ID","Tier";B3197,A3197}))</f>
        <v/>
      </c>
      <c r="AY3197" s="82" t="str">
        <f t="shared" si="2"/>
        <v/>
      </c>
      <c r="AZ3197" s="82"/>
      <c r="BA3197" s="84" t="s">
        <v>152</v>
      </c>
      <c r="BB3197" s="84" t="str">
        <f>IFERROR(__xludf.DUMMYFUNCTION("iferror(if(A3197="""",,E3197&gt;=FILTER(Constants!$F$2:$F$10,Constants!$A$2:$A$10=A3197)))"),"")</f>
        <v/>
      </c>
    </row>
    <row r="3198">
      <c r="A3198" s="89"/>
      <c r="B3198" s="87"/>
      <c r="C3198" s="73"/>
      <c r="D3198" s="73"/>
      <c r="E3198" s="82"/>
      <c r="F3198" s="82"/>
      <c r="G3198" s="86"/>
      <c r="H3198" s="86"/>
      <c r="I3198" s="86"/>
      <c r="J3198" s="82"/>
      <c r="K3198" s="82"/>
      <c r="L3198" s="82"/>
      <c r="M3198" s="82"/>
      <c r="N3198" s="82"/>
      <c r="O3198" s="82"/>
      <c r="P3198" s="82"/>
      <c r="Q3198" s="82"/>
      <c r="R3198" s="82"/>
      <c r="S3198" s="82"/>
      <c r="T3198" s="82"/>
      <c r="U3198" s="82"/>
      <c r="V3198" s="82"/>
      <c r="W3198" s="82"/>
      <c r="X3198" s="82"/>
      <c r="Y3198" s="82"/>
      <c r="Z3198" s="82"/>
      <c r="AA3198" s="82"/>
      <c r="AB3198" s="82"/>
      <c r="AC3198" s="82"/>
      <c r="AD3198" s="82"/>
      <c r="AE3198" s="82"/>
      <c r="AF3198" s="82"/>
      <c r="AG3198" s="82"/>
      <c r="AH3198" s="82"/>
      <c r="AI3198" s="82"/>
      <c r="AJ3198" s="82"/>
      <c r="AK3198" s="82"/>
      <c r="AL3198" s="82"/>
      <c r="AM3198" s="82"/>
      <c r="AN3198" s="82"/>
      <c r="AO3198" s="82"/>
      <c r="AP3198" s="82"/>
      <c r="AQ3198" s="82"/>
      <c r="AR3198" s="82"/>
      <c r="AS3198" s="82"/>
      <c r="AT3198" s="82"/>
      <c r="AU3198" s="82"/>
      <c r="AV3198" s="82"/>
      <c r="AW3198" s="82" t="str">
        <f t="shared" si="1"/>
        <v/>
      </c>
      <c r="AX3198" s="83" t="str">
        <f t="array" ref="AX3198">IFERROR(DGET('SBV Import'!A:G,"SBV",{"RSC ID","Tier";B3198,A3198}))</f>
        <v/>
      </c>
      <c r="AY3198" s="82" t="str">
        <f t="shared" si="2"/>
        <v/>
      </c>
      <c r="AZ3198" s="82"/>
      <c r="BA3198" s="84" t="s">
        <v>152</v>
      </c>
      <c r="BB3198" s="84" t="str">
        <f>IFERROR(__xludf.DUMMYFUNCTION("iferror(if(A3198="""",,E3198&gt;=FILTER(Constants!$F$2:$F$10,Constants!$A$2:$A$10=A3198)))"),"")</f>
        <v/>
      </c>
    </row>
    <row r="3199">
      <c r="A3199" s="89"/>
      <c r="B3199" s="87"/>
      <c r="C3199" s="73"/>
      <c r="D3199" s="73"/>
      <c r="E3199" s="82"/>
      <c r="F3199" s="82"/>
      <c r="G3199" s="86"/>
      <c r="H3199" s="86"/>
      <c r="I3199" s="86"/>
      <c r="J3199" s="82"/>
      <c r="K3199" s="82"/>
      <c r="L3199" s="82"/>
      <c r="M3199" s="82"/>
      <c r="N3199" s="82"/>
      <c r="O3199" s="82"/>
      <c r="P3199" s="82"/>
      <c r="Q3199" s="82"/>
      <c r="R3199" s="82"/>
      <c r="S3199" s="82"/>
      <c r="T3199" s="82"/>
      <c r="U3199" s="82"/>
      <c r="V3199" s="82"/>
      <c r="W3199" s="82"/>
      <c r="X3199" s="82"/>
      <c r="Y3199" s="82"/>
      <c r="Z3199" s="82"/>
      <c r="AA3199" s="82"/>
      <c r="AB3199" s="82"/>
      <c r="AC3199" s="82"/>
      <c r="AD3199" s="82"/>
      <c r="AE3199" s="82"/>
      <c r="AF3199" s="82"/>
      <c r="AG3199" s="82"/>
      <c r="AH3199" s="82"/>
      <c r="AI3199" s="82"/>
      <c r="AJ3199" s="82"/>
      <c r="AK3199" s="82"/>
      <c r="AL3199" s="82"/>
      <c r="AM3199" s="82"/>
      <c r="AN3199" s="82"/>
      <c r="AO3199" s="82"/>
      <c r="AP3199" s="82"/>
      <c r="AQ3199" s="82"/>
      <c r="AR3199" s="82"/>
      <c r="AS3199" s="82"/>
      <c r="AT3199" s="82"/>
      <c r="AU3199" s="82"/>
      <c r="AV3199" s="82"/>
      <c r="AW3199" s="82" t="str">
        <f t="shared" si="1"/>
        <v/>
      </c>
      <c r="AX3199" s="83" t="str">
        <f t="array" ref="AX3199">IFERROR(DGET('SBV Import'!A:G,"SBV",{"RSC ID","Tier";B3199,A3199}))</f>
        <v/>
      </c>
      <c r="AY3199" s="82" t="str">
        <f t="shared" si="2"/>
        <v/>
      </c>
      <c r="AZ3199" s="82"/>
      <c r="BA3199" s="84" t="s">
        <v>152</v>
      </c>
      <c r="BB3199" s="84" t="str">
        <f>IFERROR(__xludf.DUMMYFUNCTION("iferror(if(A3199="""",,E3199&gt;=FILTER(Constants!$F$2:$F$10,Constants!$A$2:$A$10=A3199)))"),"")</f>
        <v/>
      </c>
    </row>
    <row r="3200">
      <c r="A3200" s="90" t="str">
        <f>IFERROR(__xludf.DUMMYFUNCTION("QUERY(IMPORTRANGE(Constants!$B9, ""'Player Stats'!A2:AV""), ""Select * order by Col48 desc"")"),"Contender")</f>
        <v>Contender</v>
      </c>
      <c r="B3200" s="87" t="str">
        <f>IFERROR(__xludf.DUMMYFUNCTION("""COMPUTED_VALUE"""),"RSC006439")</f>
        <v>RSC006439</v>
      </c>
      <c r="C3200" s="73" t="str">
        <f>IFERROR(__xludf.DUMMYFUNCTION("""COMPUTED_VALUE"""),"sel_en_ium")</f>
        <v>sel_en_ium</v>
      </c>
      <c r="D3200" s="73"/>
      <c r="E3200" s="82">
        <f>IFERROR(__xludf.DUMMYFUNCTION("""COMPUTED_VALUE"""),1.0)</f>
        <v>1</v>
      </c>
      <c r="F3200" s="82">
        <f>IFERROR(__xludf.DUMMYFUNCTION("""COMPUTED_VALUE"""),1.0)</f>
        <v>1</v>
      </c>
      <c r="G3200" s="86">
        <f>IFERROR(__xludf.DUMMYFUNCTION("""COMPUTED_VALUE"""),0.0)</f>
        <v>0</v>
      </c>
      <c r="H3200" s="86">
        <f>IFERROR(__xludf.DUMMYFUNCTION("""COMPUTED_VALUE"""),1.0)</f>
        <v>1</v>
      </c>
      <c r="I3200" s="86">
        <f>IFERROR(__xludf.DUMMYFUNCTION("""COMPUTED_VALUE"""),0.3333333333333333)</f>
        <v>0.3333333333</v>
      </c>
      <c r="J3200" s="82">
        <f>IFERROR(__xludf.DUMMYFUNCTION("""COMPUTED_VALUE"""),378.0)</f>
        <v>378</v>
      </c>
      <c r="K3200" s="82">
        <f>IFERROR(__xludf.DUMMYFUNCTION("""COMPUTED_VALUE"""),1.0)</f>
        <v>1</v>
      </c>
      <c r="L3200" s="82">
        <f>IFERROR(__xludf.DUMMYFUNCTION("""COMPUTED_VALUE"""),2.0)</f>
        <v>2</v>
      </c>
      <c r="M3200" s="82">
        <f>IFERROR(__xludf.DUMMYFUNCTION("""COMPUTED_VALUE"""),1.0)</f>
        <v>1</v>
      </c>
      <c r="N3200" s="82">
        <f>IFERROR(__xludf.DUMMYFUNCTION("""COMPUTED_VALUE"""),3.0)</f>
        <v>3</v>
      </c>
      <c r="O3200" s="82">
        <f>IFERROR(__xludf.DUMMYFUNCTION("""COMPUTED_VALUE"""),167.33333333333334)</f>
        <v>167.3333333</v>
      </c>
      <c r="P3200" s="82">
        <f>IFERROR(__xludf.DUMMYFUNCTION("""COMPUTED_VALUE"""),0.3333333333333333)</f>
        <v>0.3333333333</v>
      </c>
      <c r="Q3200" s="82">
        <f>IFERROR(__xludf.DUMMYFUNCTION("""COMPUTED_VALUE"""),0.0)</f>
        <v>0</v>
      </c>
      <c r="R3200" s="82">
        <f>IFERROR(__xludf.DUMMYFUNCTION("""COMPUTED_VALUE"""),0.6666666666666666)</f>
        <v>0.6666666667</v>
      </c>
      <c r="S3200" s="82">
        <f>IFERROR(__xludf.DUMMYFUNCTION("""COMPUTED_VALUE"""),1.3333333333333333)</f>
        <v>1.333333333</v>
      </c>
      <c r="T3200" s="82">
        <f>IFERROR(__xludf.DUMMYFUNCTION("""COMPUTED_VALUE"""),332.0986590038314)</f>
        <v>332.098659</v>
      </c>
      <c r="U3200" s="82">
        <f>IFERROR(__xludf.DUMMYFUNCTION("""COMPUTED_VALUE"""),0.8199233716475095)</f>
        <v>0.8199233716</v>
      </c>
      <c r="V3200" s="82">
        <f>IFERROR(__xludf.DUMMYFUNCTION("""COMPUTED_VALUE"""),0.603448275862069)</f>
        <v>0.6034482759</v>
      </c>
      <c r="W3200" s="82">
        <f>IFERROR(__xludf.DUMMYFUNCTION("""COMPUTED_VALUE"""),0.9592911877394635)</f>
        <v>0.9592911877</v>
      </c>
      <c r="X3200" s="82">
        <f>IFERROR(__xludf.DUMMYFUNCTION("""COMPUTED_VALUE"""),2.1920498084291187)</f>
        <v>2.192049808</v>
      </c>
      <c r="Y3200" s="82">
        <f>IFERROR(__xludf.DUMMYFUNCTION("""COMPUTED_VALUE"""),336.86685823754783)</f>
        <v>336.8668582</v>
      </c>
      <c r="Z3200" s="82">
        <f>IFERROR(__xludf.DUMMYFUNCTION("""COMPUTED_VALUE"""),0.8903256704980843)</f>
        <v>0.8903256705</v>
      </c>
      <c r="AA3200" s="82">
        <f>IFERROR(__xludf.DUMMYFUNCTION("""COMPUTED_VALUE"""),0.6152618135376756)</f>
        <v>0.6152618135</v>
      </c>
      <c r="AB3200" s="82">
        <f>IFERROR(__xludf.DUMMYFUNCTION("""COMPUTED_VALUE"""),0.9776500638569604)</f>
        <v>0.9776500639</v>
      </c>
      <c r="AC3200" s="82">
        <f>IFERROR(__xludf.DUMMYFUNCTION("""COMPUTED_VALUE"""),2.1645913154533845)</f>
        <v>2.164591315</v>
      </c>
      <c r="AD3200" s="82">
        <f>IFERROR(__xludf.DUMMYFUNCTION("""COMPUTED_VALUE"""),1.1221050416703395)</f>
        <v>1.122105042</v>
      </c>
      <c r="AE3200" s="82">
        <f>IFERROR(__xludf.DUMMYFUNCTION("""COMPUTED_VALUE"""),1.1231845077998923)</f>
        <v>1.123184508</v>
      </c>
      <c r="AF3200" s="82">
        <f>IFERROR(__xludf.DUMMYFUNCTION("""COMPUTED_VALUE"""),3.250648676699533)</f>
        <v>3.250648677</v>
      </c>
      <c r="AG3200" s="82">
        <f>IFERROR(__xludf.DUMMYFUNCTION("""COMPUTED_VALUE"""),1.022860875244938)</f>
        <v>1.022860875</v>
      </c>
      <c r="AH3200" s="82">
        <f>IFERROR(__xludf.DUMMYFUNCTION("""COMPUTED_VALUE"""),1.3859429161442585)</f>
        <v>1.385942916</v>
      </c>
      <c r="AI3200" s="82">
        <f>IFERROR(__xludf.DUMMYFUNCTION("""COMPUTED_VALUE"""),0.503866332478635)</f>
        <v>0.5038663325</v>
      </c>
      <c r="AJ3200" s="82">
        <f>IFERROR(__xludf.DUMMYFUNCTION("""COMPUTED_VALUE"""),0.40654205607476634)</f>
        <v>0.4065420561</v>
      </c>
      <c r="AK3200" s="82">
        <f>IFERROR(__xludf.DUMMYFUNCTION("""COMPUTED_VALUE"""),0.0)</f>
        <v>0</v>
      </c>
      <c r="AL3200" s="82">
        <f>IFERROR(__xludf.DUMMYFUNCTION("""COMPUTED_VALUE"""),0.6949575636545182)</f>
        <v>0.6949575637</v>
      </c>
      <c r="AM3200" s="82">
        <f>IFERROR(__xludf.DUMMYFUNCTION("""COMPUTED_VALUE"""),0.6082586847279877)</f>
        <v>0.6082586847</v>
      </c>
      <c r="AN3200" s="82">
        <f>IFERROR(__xludf.DUMMYFUNCTION("""COMPUTED_VALUE"""),1.2126687851699853)</f>
        <v>1.212668785</v>
      </c>
      <c r="AO3200" s="82">
        <f>IFERROR(__xludf.DUMMYFUNCTION("""COMPUTED_VALUE"""),1.3346122900182997)</f>
        <v>1.33461229</v>
      </c>
      <c r="AP3200" s="82">
        <f>IFERROR(__xludf.DUMMYFUNCTION("""COMPUTED_VALUE"""),3.9014970559173854)</f>
        <v>3.901497056</v>
      </c>
      <c r="AQ3200" s="82">
        <f>IFERROR(__xludf.DUMMYFUNCTION("""COMPUTED_VALUE"""),0.9544994516245786)</f>
        <v>0.9544994516</v>
      </c>
      <c r="AR3200" s="82">
        <f>IFERROR(__xludf.DUMMYFUNCTION("""COMPUTED_VALUE"""),1.3951118983718962)</f>
        <v>1.395111898</v>
      </c>
      <c r="AS3200" s="82">
        <f>IFERROR(__xludf.DUMMYFUNCTION("""COMPUTED_VALUE"""),5.0)</f>
        <v>5</v>
      </c>
      <c r="AT3200" s="82">
        <f>IFERROR(__xludf.DUMMYFUNCTION("""COMPUTED_VALUE"""),0.9365266199526395)</f>
        <v>0.93652662</v>
      </c>
      <c r="AU3200" s="82">
        <f>IFERROR(__xludf.DUMMYFUNCTION("""COMPUTED_VALUE"""),8.232994140631321)</f>
        <v>8.232994141</v>
      </c>
      <c r="AV3200" s="82">
        <f>IFERROR(__xludf.DUMMYFUNCTION("""COMPUTED_VALUE"""),137.02038164764957)</f>
        <v>137.0203816</v>
      </c>
      <c r="AW3200" s="82">
        <f t="shared" si="1"/>
        <v>4000.879082</v>
      </c>
      <c r="AX3200" s="83">
        <f t="array" ref="AX3200">IFERROR(DGET('SBV Import'!A:G,"SBV",{"RSC ID","Tier";B3200,A3200}))</f>
        <v>102.2515069</v>
      </c>
      <c r="AY3200" s="82">
        <f t="shared" si="2"/>
        <v>54.626323</v>
      </c>
      <c r="AZ3200" s="82">
        <v>3946.2527592258375</v>
      </c>
      <c r="BA3200" s="84">
        <v>3200.0</v>
      </c>
      <c r="BB3200" s="84" t="b">
        <f>IFERROR(__xludf.DUMMYFUNCTION("iferror(if(A3200="""",,E3200&gt;=FILTER(Constants!$F$2:$F$10,Constants!$A$2:$A$10=A3200)))"),TRUE)</f>
        <v>1</v>
      </c>
    </row>
    <row r="3201">
      <c r="A3201" s="89" t="str">
        <f>IFERROR(__xludf.DUMMYFUNCTION("""COMPUTED_VALUE"""),"Contender")</f>
        <v>Contender</v>
      </c>
      <c r="B3201" s="87" t="str">
        <f>IFERROR(__xludf.DUMMYFUNCTION("""COMPUTED_VALUE"""),"RSC007284")</f>
        <v>RSC007284</v>
      </c>
      <c r="C3201" s="73" t="str">
        <f>IFERROR(__xludf.DUMMYFUNCTION("""COMPUTED_VALUE"""),"7aco104")</f>
        <v>7aco104</v>
      </c>
      <c r="D3201" s="73" t="str">
        <f>IFERROR(__xludf.DUMMYFUNCTION("""COMPUTED_VALUE"""),"Cheese Pizza")</f>
        <v>Cheese Pizza</v>
      </c>
      <c r="E3201" s="82">
        <f>IFERROR(__xludf.DUMMYFUNCTION("""COMPUTED_VALUE"""),35.0)</f>
        <v>35</v>
      </c>
      <c r="F3201" s="82">
        <f>IFERROR(__xludf.DUMMYFUNCTION("""COMPUTED_VALUE"""),25.0)</f>
        <v>25</v>
      </c>
      <c r="G3201" s="86">
        <f>IFERROR(__xludf.DUMMYFUNCTION("""COMPUTED_VALUE"""),10.0)</f>
        <v>10</v>
      </c>
      <c r="H3201" s="86">
        <f>IFERROR(__xludf.DUMMYFUNCTION("""COMPUTED_VALUE"""),0.7142857142857143)</f>
        <v>0.7142857143</v>
      </c>
      <c r="I3201" s="86">
        <f>IFERROR(__xludf.DUMMYFUNCTION("""COMPUTED_VALUE"""),0.4495412844036697)</f>
        <v>0.4495412844</v>
      </c>
      <c r="J3201" s="82">
        <f>IFERROR(__xludf.DUMMYFUNCTION("""COMPUTED_VALUE"""),421.2)</f>
        <v>421.2</v>
      </c>
      <c r="K3201" s="82">
        <f>IFERROR(__xludf.DUMMYFUNCTION("""COMPUTED_VALUE"""),1.4)</f>
        <v>1.4</v>
      </c>
      <c r="L3201" s="82">
        <f>IFERROR(__xludf.DUMMYFUNCTION("""COMPUTED_VALUE"""),0.7428571428571429)</f>
        <v>0.7428571429</v>
      </c>
      <c r="M3201" s="82">
        <f>IFERROR(__xludf.DUMMYFUNCTION("""COMPUTED_VALUE"""),1.2)</f>
        <v>1.2</v>
      </c>
      <c r="N3201" s="82">
        <f>IFERROR(__xludf.DUMMYFUNCTION("""COMPUTED_VALUE"""),3.1142857142857143)</f>
        <v>3.114285714</v>
      </c>
      <c r="O3201" s="82">
        <f>IFERROR(__xludf.DUMMYFUNCTION("""COMPUTED_VALUE"""),306.3142857142857)</f>
        <v>306.3142857</v>
      </c>
      <c r="P3201" s="82">
        <f>IFERROR(__xludf.DUMMYFUNCTION("""COMPUTED_VALUE"""),0.6095238095238094)</f>
        <v>0.6095238095</v>
      </c>
      <c r="Q3201" s="82">
        <f>IFERROR(__xludf.DUMMYFUNCTION("""COMPUTED_VALUE"""),0.3809523809523811)</f>
        <v>0.380952381</v>
      </c>
      <c r="R3201" s="82">
        <f>IFERROR(__xludf.DUMMYFUNCTION("""COMPUTED_VALUE"""),1.2476190476190478)</f>
        <v>1.247619048</v>
      </c>
      <c r="S3201" s="82">
        <f>IFERROR(__xludf.DUMMYFUNCTION("""COMPUTED_VALUE"""),2.0000000000000004)</f>
        <v>2</v>
      </c>
      <c r="T3201" s="82">
        <f>IFERROR(__xludf.DUMMYFUNCTION("""COMPUTED_VALUE"""),325.54878677131535)</f>
        <v>325.5487868</v>
      </c>
      <c r="U3201" s="82">
        <f>IFERROR(__xludf.DUMMYFUNCTION("""COMPUTED_VALUE"""),0.7856479577429777)</f>
        <v>0.7856479577</v>
      </c>
      <c r="V3201" s="82">
        <f>IFERROR(__xludf.DUMMYFUNCTION("""COMPUTED_VALUE"""),0.5405530043060564)</f>
        <v>0.5405530043</v>
      </c>
      <c r="W3201" s="82">
        <f>IFERROR(__xludf.DUMMYFUNCTION("""COMPUTED_VALUE"""),1.0731094605293774)</f>
        <v>1.073109461</v>
      </c>
      <c r="X3201" s="82">
        <f>IFERROR(__xludf.DUMMYFUNCTION("""COMPUTED_VALUE"""),2.242640440299134)</f>
        <v>2.24264044</v>
      </c>
      <c r="Y3201" s="82">
        <f>IFERROR(__xludf.DUMMYFUNCTION("""COMPUTED_VALUE"""),325.47037830330055)</f>
        <v>325.4703783</v>
      </c>
      <c r="Z3201" s="82">
        <f>IFERROR(__xludf.DUMMYFUNCTION("""COMPUTED_VALUE"""),0.7996734045879141)</f>
        <v>0.7996734046</v>
      </c>
      <c r="AA3201" s="82">
        <f>IFERROR(__xludf.DUMMYFUNCTION("""COMPUTED_VALUE"""),0.5390681063655498)</f>
        <v>0.5390681064</v>
      </c>
      <c r="AB3201" s="82">
        <f>IFERROR(__xludf.DUMMYFUNCTION("""COMPUTED_VALUE"""),1.0529608490872542)</f>
        <v>1.052960849</v>
      </c>
      <c r="AC3201" s="82">
        <f>IFERROR(__xludf.DUMMYFUNCTION("""COMPUTED_VALUE"""),2.2764213335279395)</f>
        <v>2.276421334</v>
      </c>
      <c r="AD3201" s="82">
        <f>IFERROR(__xludf.DUMMYFUNCTION("""COMPUTED_VALUE"""),1.2941269869035226)</f>
        <v>1.294126987</v>
      </c>
      <c r="AE3201" s="82">
        <f>IFERROR(__xludf.DUMMYFUNCTION("""COMPUTED_VALUE"""),1.7507147192439703)</f>
        <v>1.750714719</v>
      </c>
      <c r="AF3201" s="82">
        <f>IFERROR(__xludf.DUMMYFUNCTION("""COMPUTED_VALUE"""),1.3780394983215736)</f>
        <v>1.378039498</v>
      </c>
      <c r="AG3201" s="82">
        <f>IFERROR(__xludf.DUMMYFUNCTION("""COMPUTED_VALUE"""),1.13964351195033)</f>
        <v>1.139643512</v>
      </c>
      <c r="AH3201" s="82">
        <f>IFERROR(__xludf.DUMMYFUNCTION("""COMPUTED_VALUE"""),1.3680620842975821)</f>
        <v>1.368062084</v>
      </c>
      <c r="AI3201" s="82">
        <f>IFERROR(__xludf.DUMMYFUNCTION("""COMPUTED_VALUE"""),0.9409166864119168)</f>
        <v>0.9409166864</v>
      </c>
      <c r="AJ3201" s="82">
        <f>IFERROR(__xludf.DUMMYFUNCTION("""COMPUTED_VALUE"""),0.7758230687378853)</f>
        <v>0.7758230687</v>
      </c>
      <c r="AK3201" s="82">
        <f>IFERROR(__xludf.DUMMYFUNCTION("""COMPUTED_VALUE"""),0.704745654760415)</f>
        <v>0.7047456548</v>
      </c>
      <c r="AL3201" s="82">
        <f>IFERROR(__xludf.DUMMYFUNCTION("""COMPUTED_VALUE"""),1.1626204907406024)</f>
        <v>1.162620491</v>
      </c>
      <c r="AM3201" s="82">
        <f>IFERROR(__xludf.DUMMYFUNCTION("""COMPUTED_VALUE"""),0.8918059105958293)</f>
        <v>0.8918059106</v>
      </c>
      <c r="AN3201" s="82">
        <f>IFERROR(__xludf.DUMMYFUNCTION("""COMPUTED_VALUE"""),1.3512595034751265)</f>
        <v>1.351259503</v>
      </c>
      <c r="AO3201" s="82">
        <f>IFERROR(__xludf.DUMMYFUNCTION("""COMPUTED_VALUE"""),1.8684572060256195)</f>
        <v>1.868457206</v>
      </c>
      <c r="AP3201" s="82">
        <f>IFERROR(__xludf.DUMMYFUNCTION("""COMPUTED_VALUE"""),1.449127477912172)</f>
        <v>1.449127478</v>
      </c>
      <c r="AQ3201" s="82">
        <f>IFERROR(__xludf.DUMMYFUNCTION("""COMPUTED_VALUE"""),1.1453993419494943)</f>
        <v>1.145399342</v>
      </c>
      <c r="AR3201" s="82">
        <f>IFERROR(__xludf.DUMMYFUNCTION("""COMPUTED_VALUE"""),1.4482590183098734)</f>
        <v>1.448259018</v>
      </c>
      <c r="AS3201" s="82">
        <f>IFERROR(__xludf.DUMMYFUNCTION("""COMPUTED_VALUE"""),110.0)</f>
        <v>110</v>
      </c>
      <c r="AT3201" s="82">
        <f>IFERROR(__xludf.DUMMYFUNCTION("""COMPUTED_VALUE"""),0.7022753859311203)</f>
        <v>0.7022753859</v>
      </c>
      <c r="AU3201" s="82">
        <f>IFERROR(__xludf.DUMMYFUNCTION("""COMPUTED_VALUE"""),5.8402632112832364)</f>
        <v>5.840263211</v>
      </c>
      <c r="AV3201" s="82">
        <f>IFERROR(__xludf.DUMMYFUNCTION("""COMPUTED_VALUE"""),95.76416989930809)</f>
        <v>95.7641699</v>
      </c>
      <c r="AW3201" s="82">
        <f t="shared" si="1"/>
        <v>29.77731259</v>
      </c>
      <c r="AX3201" s="83">
        <f t="array" ref="AX3201">IFERROR(DGET('SBV Import'!A:G,"SBV",{"RSC ID","Tier";B3201,A3201}))</f>
        <v>81.16429048</v>
      </c>
      <c r="AY3201" s="82">
        <f t="shared" si="2"/>
        <v>9.409346463</v>
      </c>
      <c r="AZ3201" s="82">
        <v>20.36796612977327</v>
      </c>
      <c r="BA3201" s="84">
        <v>3200.0</v>
      </c>
      <c r="BB3201" s="84" t="b">
        <f>IFERROR(__xludf.DUMMYFUNCTION("iferror(if(A3201="""",,E3201&gt;=FILTER(Constants!$F$2:$F$10,Constants!$A$2:$A$10=A3201)))"),TRUE)</f>
        <v>1</v>
      </c>
    </row>
    <row r="3202">
      <c r="A3202" s="89" t="str">
        <f>IFERROR(__xludf.DUMMYFUNCTION("""COMPUTED_VALUE"""),"Contender")</f>
        <v>Contender</v>
      </c>
      <c r="B3202" s="87" t="str">
        <f>IFERROR(__xludf.DUMMYFUNCTION("""COMPUTED_VALUE"""),"RSC007537")</f>
        <v>RSC007537</v>
      </c>
      <c r="C3202" s="73" t="str">
        <f>IFERROR(__xludf.DUMMYFUNCTION("""COMPUTED_VALUE"""),"yoshawatt")</f>
        <v>yoshawatt</v>
      </c>
      <c r="D3202" s="73" t="str">
        <f>IFERROR(__xludf.DUMMYFUNCTION("""COMPUTED_VALUE"""),"Rheas")</f>
        <v>Rheas</v>
      </c>
      <c r="E3202" s="82">
        <f>IFERROR(__xludf.DUMMYFUNCTION("""COMPUTED_VALUE"""),28.0)</f>
        <v>28</v>
      </c>
      <c r="F3202" s="82">
        <f>IFERROR(__xludf.DUMMYFUNCTION("""COMPUTED_VALUE"""),23.0)</f>
        <v>23</v>
      </c>
      <c r="G3202" s="86">
        <f>IFERROR(__xludf.DUMMYFUNCTION("""COMPUTED_VALUE"""),5.0)</f>
        <v>5</v>
      </c>
      <c r="H3202" s="86">
        <f>IFERROR(__xludf.DUMMYFUNCTION("""COMPUTED_VALUE"""),0.8214285714285714)</f>
        <v>0.8214285714</v>
      </c>
      <c r="I3202" s="86">
        <f>IFERROR(__xludf.DUMMYFUNCTION("""COMPUTED_VALUE"""),0.36363636363636365)</f>
        <v>0.3636363636</v>
      </c>
      <c r="J3202" s="82">
        <f>IFERROR(__xludf.DUMMYFUNCTION("""COMPUTED_VALUE"""),369.75)</f>
        <v>369.75</v>
      </c>
      <c r="K3202" s="82">
        <f>IFERROR(__xludf.DUMMYFUNCTION("""COMPUTED_VALUE"""),1.1428571428571428)</f>
        <v>1.142857143</v>
      </c>
      <c r="L3202" s="82">
        <f>IFERROR(__xludf.DUMMYFUNCTION("""COMPUTED_VALUE"""),0.7142857142857143)</f>
        <v>0.7142857143</v>
      </c>
      <c r="M3202" s="82">
        <f>IFERROR(__xludf.DUMMYFUNCTION("""COMPUTED_VALUE"""),0.8214285714285714)</f>
        <v>0.8214285714</v>
      </c>
      <c r="N3202" s="82">
        <f>IFERROR(__xludf.DUMMYFUNCTION("""COMPUTED_VALUE"""),3.142857142857143)</f>
        <v>3.142857143</v>
      </c>
      <c r="O3202" s="82">
        <f>IFERROR(__xludf.DUMMYFUNCTION("""COMPUTED_VALUE"""),270.11904761904765)</f>
        <v>270.1190476</v>
      </c>
      <c r="P3202" s="82">
        <f>IFERROR(__xludf.DUMMYFUNCTION("""COMPUTED_VALUE"""),0.47619047619047616)</f>
        <v>0.4761904762</v>
      </c>
      <c r="Q3202" s="82">
        <f>IFERROR(__xludf.DUMMYFUNCTION("""COMPUTED_VALUE"""),0.33333333333333337)</f>
        <v>0.3333333333</v>
      </c>
      <c r="R3202" s="82">
        <f>IFERROR(__xludf.DUMMYFUNCTION("""COMPUTED_VALUE"""),1.0595238095238098)</f>
        <v>1.05952381</v>
      </c>
      <c r="S3202" s="82">
        <f>IFERROR(__xludf.DUMMYFUNCTION("""COMPUTED_VALUE"""),1.8452380952380951)</f>
        <v>1.845238095</v>
      </c>
      <c r="T3202" s="82">
        <f>IFERROR(__xludf.DUMMYFUNCTION("""COMPUTED_VALUE"""),327.22141537590954)</f>
        <v>327.2214154</v>
      </c>
      <c r="U3202" s="82">
        <f>IFERROR(__xludf.DUMMYFUNCTION("""COMPUTED_VALUE"""),0.8035082992768003)</f>
        <v>0.8035082993</v>
      </c>
      <c r="V3202" s="82">
        <f>IFERROR(__xludf.DUMMYFUNCTION("""COMPUTED_VALUE"""),0.5185046224628993)</f>
        <v>0.5185046225</v>
      </c>
      <c r="W3202" s="82">
        <f>IFERROR(__xludf.DUMMYFUNCTION("""COMPUTED_VALUE"""),1.0977427119399028)</f>
        <v>1.097742712</v>
      </c>
      <c r="X3202" s="82">
        <f>IFERROR(__xludf.DUMMYFUNCTION("""COMPUTED_VALUE"""),2.3042527216363564)</f>
        <v>2.304252722</v>
      </c>
      <c r="Y3202" s="82">
        <f>IFERROR(__xludf.DUMMYFUNCTION("""COMPUTED_VALUE"""),330.3937690907579)</f>
        <v>330.3937691</v>
      </c>
      <c r="Z3202" s="82">
        <f>IFERROR(__xludf.DUMMYFUNCTION("""COMPUTED_VALUE"""),0.8149983315321238)</f>
        <v>0.8149983315</v>
      </c>
      <c r="AA3202" s="82">
        <f>IFERROR(__xludf.DUMMYFUNCTION("""COMPUTED_VALUE"""),0.53821393458462)</f>
        <v>0.5382139346</v>
      </c>
      <c r="AB3202" s="82">
        <f>IFERROR(__xludf.DUMMYFUNCTION("""COMPUTED_VALUE"""),1.110731377534081)</f>
        <v>1.110731378</v>
      </c>
      <c r="AC3202" s="82">
        <f>IFERROR(__xludf.DUMMYFUNCTION("""COMPUTED_VALUE"""),2.3350364020140533)</f>
        <v>2.335036402</v>
      </c>
      <c r="AD3202" s="82">
        <f>IFERROR(__xludf.DUMMYFUNCTION("""COMPUTED_VALUE"""),1.1191191680689083)</f>
        <v>1.119119168</v>
      </c>
      <c r="AE3202" s="82">
        <f>IFERROR(__xludf.DUMMYFUNCTION("""COMPUTED_VALUE"""),1.4022815736428245)</f>
        <v>1.402281574</v>
      </c>
      <c r="AF3202" s="82">
        <f>IFERROR(__xludf.DUMMYFUNCTION("""COMPUTED_VALUE"""),1.3271408790948196)</f>
        <v>1.327140879</v>
      </c>
      <c r="AG3202" s="82">
        <f>IFERROR(__xludf.DUMMYFUNCTION("""COMPUTED_VALUE"""),0.7395384591117011)</f>
        <v>0.7395384591</v>
      </c>
      <c r="AH3202" s="82">
        <f>IFERROR(__xludf.DUMMYFUNCTION("""COMPUTED_VALUE"""),1.3459563800145964)</f>
        <v>1.34595638</v>
      </c>
      <c r="AI3202" s="82">
        <f>IFERROR(__xludf.DUMMYFUNCTION("""COMPUTED_VALUE"""),0.825493182677964)</f>
        <v>0.8254931827</v>
      </c>
      <c r="AJ3202" s="82">
        <f>IFERROR(__xludf.DUMMYFUNCTION("""COMPUTED_VALUE"""),0.5926391508576484)</f>
        <v>0.5926391509</v>
      </c>
      <c r="AK3202" s="82">
        <f>IFERROR(__xludf.DUMMYFUNCTION("""COMPUTED_VALUE"""),0.6428743715919031)</f>
        <v>0.6428743716</v>
      </c>
      <c r="AL3202" s="82">
        <f>IFERROR(__xludf.DUMMYFUNCTION("""COMPUTED_VALUE"""),0.9651840982405125)</f>
        <v>0.9651840982</v>
      </c>
      <c r="AM3202" s="82">
        <f>IFERROR(__xludf.DUMMYFUNCTION("""COMPUTED_VALUE"""),0.8007967519846114)</f>
        <v>0.800796752</v>
      </c>
      <c r="AN3202" s="82">
        <f>IFERROR(__xludf.DUMMYFUNCTION("""COMPUTED_VALUE"""),1.1862018077158785)</f>
        <v>1.186201808</v>
      </c>
      <c r="AO3202" s="82">
        <f>IFERROR(__xludf.DUMMYFUNCTION("""COMPUTED_VALUE"""),1.5252711885923425)</f>
        <v>1.525271189</v>
      </c>
      <c r="AP3202" s="82">
        <f>IFERROR(__xludf.DUMMYFUNCTION("""COMPUTED_VALUE"""),1.3933918056847805)</f>
        <v>1.393391806</v>
      </c>
      <c r="AQ3202" s="82">
        <f>IFERROR(__xludf.DUMMYFUNCTION("""COMPUTED_VALUE"""),0.7840531209773324)</f>
        <v>0.784053121</v>
      </c>
      <c r="AR3202" s="82">
        <f>IFERROR(__xludf.DUMMYFUNCTION("""COMPUTED_VALUE"""),1.4615457982943676)</f>
        <v>1.461545798</v>
      </c>
      <c r="AS3202" s="82">
        <f>IFERROR(__xludf.DUMMYFUNCTION("""COMPUTED_VALUE"""),79.0)</f>
        <v>79</v>
      </c>
      <c r="AT3202" s="82">
        <f>IFERROR(__xludf.DUMMYFUNCTION("""COMPUTED_VALUE"""),0.7370916591148846)</f>
        <v>0.7370916591</v>
      </c>
      <c r="AU3202" s="82">
        <f>IFERROR(__xludf.DUMMYFUNCTION("""COMPUTED_VALUE"""),5.337744797618289)</f>
        <v>5.337744798</v>
      </c>
      <c r="AV3202" s="82">
        <f>IFERROR(__xludf.DUMMYFUNCTION("""COMPUTED_VALUE"""),87.09959093336046)</f>
        <v>87.09959093</v>
      </c>
      <c r="AW3202" s="82">
        <f t="shared" si="1"/>
        <v>14.51239146</v>
      </c>
      <c r="AX3202" s="83">
        <f t="array" ref="AX3202">IFERROR(DGET('SBV Import'!A:G,"SBV",{"RSC ID","Tier";B3202,A3202}))</f>
        <v>81.14585136</v>
      </c>
      <c r="AY3202" s="82">
        <f t="shared" si="2"/>
        <v>9.397377898</v>
      </c>
      <c r="AZ3202" s="82">
        <v>5.1150135619266255</v>
      </c>
      <c r="BA3202" s="84">
        <v>3200.0</v>
      </c>
      <c r="BB3202" s="84" t="b">
        <f>IFERROR(__xludf.DUMMYFUNCTION("iferror(if(A3202="""",,E3202&gt;=FILTER(Constants!$F$2:$F$10,Constants!$A$2:$A$10=A3202)))"),TRUE)</f>
        <v>1</v>
      </c>
    </row>
    <row r="3203">
      <c r="A3203" s="89" t="str">
        <f>IFERROR(__xludf.DUMMYFUNCTION("""COMPUTED_VALUE"""),"Contender")</f>
        <v>Contender</v>
      </c>
      <c r="B3203" s="87" t="str">
        <f>IFERROR(__xludf.DUMMYFUNCTION("""COMPUTED_VALUE"""),"RSC006640")</f>
        <v>RSC006640</v>
      </c>
      <c r="C3203" s="73" t="str">
        <f>IFERROR(__xludf.DUMMYFUNCTION("""COMPUTED_VALUE"""),"VeryBadKittyCat")</f>
        <v>VeryBadKittyCat</v>
      </c>
      <c r="D3203" s="73" t="str">
        <f>IFERROR(__xludf.DUMMYFUNCTION("""COMPUTED_VALUE"""),"Cheese Pizza")</f>
        <v>Cheese Pizza</v>
      </c>
      <c r="E3203" s="82">
        <f>IFERROR(__xludf.DUMMYFUNCTION("""COMPUTED_VALUE"""),24.0)</f>
        <v>24</v>
      </c>
      <c r="F3203" s="82">
        <f>IFERROR(__xludf.DUMMYFUNCTION("""COMPUTED_VALUE"""),18.0)</f>
        <v>18</v>
      </c>
      <c r="G3203" s="86">
        <f>IFERROR(__xludf.DUMMYFUNCTION("""COMPUTED_VALUE"""),6.0)</f>
        <v>6</v>
      </c>
      <c r="H3203" s="86">
        <f>IFERROR(__xludf.DUMMYFUNCTION("""COMPUTED_VALUE"""),0.75)</f>
        <v>0.75</v>
      </c>
      <c r="I3203" s="86">
        <f>IFERROR(__xludf.DUMMYFUNCTION("""COMPUTED_VALUE"""),0.3066666666666667)</f>
        <v>0.3066666667</v>
      </c>
      <c r="J3203" s="82">
        <f>IFERROR(__xludf.DUMMYFUNCTION("""COMPUTED_VALUE"""),371.5)</f>
        <v>371.5</v>
      </c>
      <c r="K3203" s="82">
        <f>IFERROR(__xludf.DUMMYFUNCTION("""COMPUTED_VALUE"""),0.9583333333333334)</f>
        <v>0.9583333333</v>
      </c>
      <c r="L3203" s="82">
        <f>IFERROR(__xludf.DUMMYFUNCTION("""COMPUTED_VALUE"""),0.7916666666666666)</f>
        <v>0.7916666667</v>
      </c>
      <c r="M3203" s="82">
        <f>IFERROR(__xludf.DUMMYFUNCTION("""COMPUTED_VALUE"""),1.0)</f>
        <v>1</v>
      </c>
      <c r="N3203" s="82">
        <f>IFERROR(__xludf.DUMMYFUNCTION("""COMPUTED_VALUE"""),3.125)</f>
        <v>3.125</v>
      </c>
      <c r="O3203" s="82">
        <f>IFERROR(__xludf.DUMMYFUNCTION("""COMPUTED_VALUE"""),304.5833333333333)</f>
        <v>304.5833333</v>
      </c>
      <c r="P3203" s="82">
        <f>IFERROR(__xludf.DUMMYFUNCTION("""COMPUTED_VALUE"""),0.5555555555555557)</f>
        <v>0.5555555556</v>
      </c>
      <c r="Q3203" s="82">
        <f>IFERROR(__xludf.DUMMYFUNCTION("""COMPUTED_VALUE"""),0.31944444444444436)</f>
        <v>0.3194444444</v>
      </c>
      <c r="R3203" s="82">
        <f>IFERROR(__xludf.DUMMYFUNCTION("""COMPUTED_VALUE"""),1.4027777777777777)</f>
        <v>1.402777778</v>
      </c>
      <c r="S3203" s="82">
        <f>IFERROR(__xludf.DUMMYFUNCTION("""COMPUTED_VALUE"""),1.986111111111111)</f>
        <v>1.986111111</v>
      </c>
      <c r="T3203" s="82">
        <f>IFERROR(__xludf.DUMMYFUNCTION("""COMPUTED_VALUE"""),327.01421972233203)</f>
        <v>327.0142197</v>
      </c>
      <c r="U3203" s="82">
        <f>IFERROR(__xludf.DUMMYFUNCTION("""COMPUTED_VALUE"""),0.8012497329171332)</f>
        <v>0.8012497329</v>
      </c>
      <c r="V3203" s="82">
        <f>IFERROR(__xludf.DUMMYFUNCTION("""COMPUTED_VALUE"""),0.5594062439997639)</f>
        <v>0.559406244</v>
      </c>
      <c r="W3203" s="82">
        <f>IFERROR(__xludf.DUMMYFUNCTION("""COMPUTED_VALUE"""),1.056406350477736)</f>
        <v>1.05640635</v>
      </c>
      <c r="X3203" s="82">
        <f>IFERROR(__xludf.DUMMYFUNCTION("""COMPUTED_VALUE"""),2.2793403916348383)</f>
        <v>2.279340392</v>
      </c>
      <c r="Y3203" s="82">
        <f>IFERROR(__xludf.DUMMYFUNCTION("""COMPUTED_VALUE"""),321.27004398523866)</f>
        <v>321.270044</v>
      </c>
      <c r="Z3203" s="82">
        <f>IFERROR(__xludf.DUMMYFUNCTION("""COMPUTED_VALUE"""),0.7745878370939089)</f>
        <v>0.7745878371</v>
      </c>
      <c r="AA3203" s="82">
        <f>IFERROR(__xludf.DUMMYFUNCTION("""COMPUTED_VALUE"""),0.5113537658961606)</f>
        <v>0.5113537659</v>
      </c>
      <c r="AB3203" s="82">
        <f>IFERROR(__xludf.DUMMYFUNCTION("""COMPUTED_VALUE"""),1.060535692923397)</f>
        <v>1.060535693</v>
      </c>
      <c r="AC3203" s="82">
        <f>IFERROR(__xludf.DUMMYFUNCTION("""COMPUTED_VALUE"""),2.2499064107425832)</f>
        <v>2.249906411</v>
      </c>
      <c r="AD3203" s="82">
        <f>IFERROR(__xludf.DUMMYFUNCTION("""COMPUTED_VALUE"""),1.1563480845947445)</f>
        <v>1.156348085</v>
      </c>
      <c r="AE3203" s="82">
        <f>IFERROR(__xludf.DUMMYFUNCTION("""COMPUTED_VALUE"""),1.237217120435042)</f>
        <v>1.23721712</v>
      </c>
      <c r="AF3203" s="82">
        <f>IFERROR(__xludf.DUMMYFUNCTION("""COMPUTED_VALUE"""),1.5481780314636981)</f>
        <v>1.548178031</v>
      </c>
      <c r="AG3203" s="82">
        <f>IFERROR(__xludf.DUMMYFUNCTION("""COMPUTED_VALUE"""),0.9429197024415757)</f>
        <v>0.9429197024</v>
      </c>
      <c r="AH3203" s="82">
        <f>IFERROR(__xludf.DUMMYFUNCTION("""COMPUTED_VALUE"""),1.3889466624385463)</f>
        <v>1.388946662</v>
      </c>
      <c r="AI3203" s="82">
        <f>IFERROR(__xludf.DUMMYFUNCTION("""COMPUTED_VALUE"""),0.9314069999523421)</f>
        <v>0.931407</v>
      </c>
      <c r="AJ3203" s="82">
        <f>IFERROR(__xludf.DUMMYFUNCTION("""COMPUTED_VALUE"""),0.6933612988960738)</f>
        <v>0.6933612989</v>
      </c>
      <c r="AK3203" s="82">
        <f>IFERROR(__xludf.DUMMYFUNCTION("""COMPUTED_VALUE"""),0.571041971502519)</f>
        <v>0.5710419715</v>
      </c>
      <c r="AL3203" s="82">
        <f>IFERROR(__xludf.DUMMYFUNCTION("""COMPUTED_VALUE"""),1.3278770779287754)</f>
        <v>1.327877078</v>
      </c>
      <c r="AM3203" s="82">
        <f>IFERROR(__xludf.DUMMYFUNCTION("""COMPUTED_VALUE"""),0.8713534487433836)</f>
        <v>0.8713534487</v>
      </c>
      <c r="AN3203" s="82">
        <f>IFERROR(__xludf.DUMMYFUNCTION("""COMPUTED_VALUE"""),1.1918160150546284)</f>
        <v>1.191816015</v>
      </c>
      <c r="AO3203" s="82">
        <f>IFERROR(__xludf.DUMMYFUNCTION("""COMPUTED_VALUE"""),1.2790034446008707)</f>
        <v>1.279003445</v>
      </c>
      <c r="AP3203" s="82">
        <f>IFERROR(__xludf.DUMMYFUNCTION("""COMPUTED_VALUE"""),1.544342584633965)</f>
        <v>1.544342585</v>
      </c>
      <c r="AQ3203" s="82">
        <f>IFERROR(__xludf.DUMMYFUNCTION("""COMPUTED_VALUE"""),0.9544994516245786)</f>
        <v>0.9544994516</v>
      </c>
      <c r="AR3203" s="82">
        <f>IFERROR(__xludf.DUMMYFUNCTION("""COMPUTED_VALUE"""),1.4532415608040585)</f>
        <v>1.453241561</v>
      </c>
      <c r="AS3203" s="82">
        <f>IFERROR(__xludf.DUMMYFUNCTION("""COMPUTED_VALUE"""),78.0)</f>
        <v>78</v>
      </c>
      <c r="AT3203" s="82">
        <f>IFERROR(__xludf.DUMMYFUNCTION("""COMPUTED_VALUE"""),0.7416978474667394)</f>
        <v>0.7416978475</v>
      </c>
      <c r="AU3203" s="82">
        <f>IFERROR(__xludf.DUMMYFUNCTION("""COMPUTED_VALUE"""),5.288937543207137)</f>
        <v>5.288937543</v>
      </c>
      <c r="AV3203" s="82">
        <f>IFERROR(__xludf.DUMMYFUNCTION("""COMPUTED_VALUE"""),86.25804105487484)</f>
        <v>86.25804105</v>
      </c>
      <c r="AW3203" s="82">
        <f t="shared" si="1"/>
        <v>13.60832616</v>
      </c>
      <c r="AX3203" s="83">
        <f t="array" ref="AX3203">IFERROR(DGET('SBV Import'!A:G,"SBV",{"RSC ID","Tier";B3203,A3203}))</f>
        <v>63.12822613</v>
      </c>
      <c r="AY3203" s="82">
        <f t="shared" si="2"/>
        <v>3.336149677</v>
      </c>
      <c r="AZ3203" s="82">
        <v>10.272176481280413</v>
      </c>
      <c r="BA3203" s="84">
        <v>3200.0</v>
      </c>
      <c r="BB3203" s="84" t="b">
        <f>IFERROR(__xludf.DUMMYFUNCTION("iferror(if(A3203="""",,E3203&gt;=FILTER(Constants!$F$2:$F$10,Constants!$A$2:$A$10=A3203)))"),TRUE)</f>
        <v>1</v>
      </c>
    </row>
    <row r="3204">
      <c r="A3204" s="89" t="str">
        <f>IFERROR(__xludf.DUMMYFUNCTION("""COMPUTED_VALUE"""),"Contender")</f>
        <v>Contender</v>
      </c>
      <c r="B3204" s="87" t="str">
        <f>IFERROR(__xludf.DUMMYFUNCTION("""COMPUTED_VALUE"""),"RSC007885")</f>
        <v>RSC007885</v>
      </c>
      <c r="C3204" s="73" t="str">
        <f>IFERROR(__xludf.DUMMYFUNCTION("""COMPUTED_VALUE"""),"Larkspur")</f>
        <v>Larkspur</v>
      </c>
      <c r="D3204" s="73" t="str">
        <f>IFERROR(__xludf.DUMMYFUNCTION("""COMPUTED_VALUE"""),"Rheas")</f>
        <v>Rheas</v>
      </c>
      <c r="E3204" s="82">
        <f>IFERROR(__xludf.DUMMYFUNCTION("""COMPUTED_VALUE"""),36.0)</f>
        <v>36</v>
      </c>
      <c r="F3204" s="82">
        <f>IFERROR(__xludf.DUMMYFUNCTION("""COMPUTED_VALUE"""),28.0)</f>
        <v>28</v>
      </c>
      <c r="G3204" s="86">
        <f>IFERROR(__xludf.DUMMYFUNCTION("""COMPUTED_VALUE"""),8.0)</f>
        <v>8</v>
      </c>
      <c r="H3204" s="86">
        <f>IFERROR(__xludf.DUMMYFUNCTION("""COMPUTED_VALUE"""),0.7777777777777778)</f>
        <v>0.7777777778</v>
      </c>
      <c r="I3204" s="86">
        <f>IFERROR(__xludf.DUMMYFUNCTION("""COMPUTED_VALUE"""),0.3877551020408163)</f>
        <v>0.387755102</v>
      </c>
      <c r="J3204" s="82">
        <f>IFERROR(__xludf.DUMMYFUNCTION("""COMPUTED_VALUE"""),378.52777777777777)</f>
        <v>378.5277778</v>
      </c>
      <c r="K3204" s="82">
        <f>IFERROR(__xludf.DUMMYFUNCTION("""COMPUTED_VALUE"""),1.0555555555555556)</f>
        <v>1.055555556</v>
      </c>
      <c r="L3204" s="82">
        <f>IFERROR(__xludf.DUMMYFUNCTION("""COMPUTED_VALUE"""),0.7222222222222222)</f>
        <v>0.7222222222</v>
      </c>
      <c r="M3204" s="82">
        <f>IFERROR(__xludf.DUMMYFUNCTION("""COMPUTED_VALUE"""),1.2222222222222223)</f>
        <v>1.222222222</v>
      </c>
      <c r="N3204" s="82">
        <f>IFERROR(__xludf.DUMMYFUNCTION("""COMPUTED_VALUE"""),2.7222222222222223)</f>
        <v>2.722222222</v>
      </c>
      <c r="O3204" s="82">
        <f>IFERROR(__xludf.DUMMYFUNCTION("""COMPUTED_VALUE"""),272.50000000000006)</f>
        <v>272.5</v>
      </c>
      <c r="P3204" s="82">
        <f>IFERROR(__xludf.DUMMYFUNCTION("""COMPUTED_VALUE"""),0.48148148148148145)</f>
        <v>0.4814814815</v>
      </c>
      <c r="Q3204" s="82">
        <f>IFERROR(__xludf.DUMMYFUNCTION("""COMPUTED_VALUE"""),0.3148148148148148)</f>
        <v>0.3148148148</v>
      </c>
      <c r="R3204" s="82">
        <f>IFERROR(__xludf.DUMMYFUNCTION("""COMPUTED_VALUE"""),1.0740740740740737)</f>
        <v>1.074074074</v>
      </c>
      <c r="S3204" s="82">
        <f>IFERROR(__xludf.DUMMYFUNCTION("""COMPUTED_VALUE"""),1.8333333333333333)</f>
        <v>1.833333333</v>
      </c>
      <c r="T3204" s="82">
        <f>IFERROR(__xludf.DUMMYFUNCTION("""COMPUTED_VALUE"""),321.7841828640536)</f>
        <v>321.7841829</v>
      </c>
      <c r="U3204" s="82">
        <f>IFERROR(__xludf.DUMMYFUNCTION("""COMPUTED_VALUE"""),0.779156023319923)</f>
        <v>0.7791560233</v>
      </c>
      <c r="V3204" s="82">
        <f>IFERROR(__xludf.DUMMYFUNCTION("""COMPUTED_VALUE"""),0.4974215370061881)</f>
        <v>0.497421537</v>
      </c>
      <c r="W3204" s="82">
        <f>IFERROR(__xludf.DUMMYFUNCTION("""COMPUTED_VALUE"""),1.0821675327931262)</f>
        <v>1.082167533</v>
      </c>
      <c r="X3204" s="82">
        <f>IFERROR(__xludf.DUMMYFUNCTION("""COMPUTED_VALUE"""),2.246810488910887)</f>
        <v>2.246810489</v>
      </c>
      <c r="Y3204" s="82">
        <f>IFERROR(__xludf.DUMMYFUNCTION("""COMPUTED_VALUE"""),330.2647125060126)</f>
        <v>330.2647125</v>
      </c>
      <c r="Z3204" s="82">
        <f>IFERROR(__xludf.DUMMYFUNCTION("""COMPUTED_VALUE"""),0.8247339107788938)</f>
        <v>0.8247339108</v>
      </c>
      <c r="AA3204" s="82">
        <f>IFERROR(__xludf.DUMMYFUNCTION("""COMPUTED_VALUE"""),0.5383366220402378)</f>
        <v>0.538336622</v>
      </c>
      <c r="AB3204" s="82">
        <f>IFERROR(__xludf.DUMMYFUNCTION("""COMPUTED_VALUE"""),1.095254004858268)</f>
        <v>1.095254005</v>
      </c>
      <c r="AC3204" s="82">
        <f>IFERROR(__xludf.DUMMYFUNCTION("""COMPUTED_VALUE"""),2.327791784295009)</f>
        <v>2.327791784</v>
      </c>
      <c r="AD3204" s="82">
        <f>IFERROR(__xludf.DUMMYFUNCTION("""COMPUTED_VALUE"""),1.1461344898325658)</f>
        <v>1.14613449</v>
      </c>
      <c r="AE3204" s="82">
        <f>IFERROR(__xludf.DUMMYFUNCTION("""COMPUTED_VALUE"""),1.279874080306301)</f>
        <v>1.27987408</v>
      </c>
      <c r="AF3204" s="82">
        <f>IFERROR(__xludf.DUMMYFUNCTION("""COMPUTED_VALUE"""),1.3415810714958938)</f>
        <v>1.341581071</v>
      </c>
      <c r="AG3204" s="82">
        <f>IFERROR(__xludf.DUMMYFUNCTION("""COMPUTED_VALUE"""),1.1159258188518424)</f>
        <v>1.115925819</v>
      </c>
      <c r="AH3204" s="82">
        <f>IFERROR(__xludf.DUMMYFUNCTION("""COMPUTED_VALUE"""),1.1694440373010724)</f>
        <v>1.169444037</v>
      </c>
      <c r="AI3204" s="82">
        <f>IFERROR(__xludf.DUMMYFUNCTION("""COMPUTED_VALUE"""),0.8468408781768028)</f>
        <v>0.8468408782</v>
      </c>
      <c r="AJ3204" s="82">
        <f>IFERROR(__xludf.DUMMYFUNCTION("""COMPUTED_VALUE"""),0.6179525885328159)</f>
        <v>0.6179525885</v>
      </c>
      <c r="AK3204" s="82">
        <f>IFERROR(__xludf.DUMMYFUNCTION("""COMPUTED_VALUE"""),0.6328934141243233)</f>
        <v>0.6328934141</v>
      </c>
      <c r="AL3204" s="82">
        <f>IFERROR(__xludf.DUMMYFUNCTION("""COMPUTED_VALUE"""),0.9925210667722004)</f>
        <v>0.9925210668</v>
      </c>
      <c r="AM3204" s="82">
        <f>IFERROR(__xludf.DUMMYFUNCTION("""COMPUTED_VALUE"""),0.8159715037746769)</f>
        <v>0.8159715038</v>
      </c>
      <c r="AN3204" s="82">
        <f>IFERROR(__xludf.DUMMYFUNCTION("""COMPUTED_VALUE"""),1.2143619588118306)</f>
        <v>1.214361959</v>
      </c>
      <c r="AO3204" s="82">
        <f>IFERROR(__xludf.DUMMYFUNCTION("""COMPUTED_VALUE"""),1.4087574172415387)</f>
        <v>1.408757417</v>
      </c>
      <c r="AP3204" s="82">
        <f>IFERROR(__xludf.DUMMYFUNCTION("""COMPUTED_VALUE"""),1.408873936859056)</f>
        <v>1.408873937</v>
      </c>
      <c r="AQ3204" s="82">
        <f>IFERROR(__xludf.DUMMYFUNCTION("""COMPUTED_VALUE"""),1.166610440874485)</f>
        <v>1.166610441</v>
      </c>
      <c r="AR3204" s="82">
        <f>IFERROR(__xludf.DUMMYFUNCTION("""COMPUTED_VALUE"""),1.265934870744869)</f>
        <v>1.265934871</v>
      </c>
      <c r="AS3204" s="82">
        <f>IFERROR(__xludf.DUMMYFUNCTION("""COMPUTED_VALUE"""),97.0)</f>
        <v>97</v>
      </c>
      <c r="AT3204" s="82">
        <f>IFERROR(__xludf.DUMMYFUNCTION("""COMPUTED_VALUE"""),0.7185455136541756)</f>
        <v>0.7185455137</v>
      </c>
      <c r="AU3204" s="82">
        <f>IFERROR(__xludf.DUMMYFUNCTION("""COMPUTED_VALUE"""),5.013844077029006)</f>
        <v>5.013844077</v>
      </c>
      <c r="AV3204" s="82">
        <f>IFERROR(__xludf.DUMMYFUNCTION("""COMPUTED_VALUE"""),81.51479385059251)</f>
        <v>81.51479385</v>
      </c>
      <c r="AW3204" s="82">
        <f t="shared" si="1"/>
        <v>9.640599832</v>
      </c>
      <c r="AX3204" s="83">
        <f t="array" ref="AX3204">IFERROR(DGET('SBV Import'!A:G,"SBV",{"RSC ID","Tier";B3204,A3204}))</f>
        <v>83.84132708</v>
      </c>
      <c r="AY3204" s="82">
        <f t="shared" si="2"/>
        <v>11.37351821</v>
      </c>
      <c r="AZ3204" s="82">
        <v>1.7329183828858117</v>
      </c>
      <c r="BA3204" s="84">
        <v>3200.0</v>
      </c>
      <c r="BB3204" s="84" t="b">
        <f>IFERROR(__xludf.DUMMYFUNCTION("iferror(if(A3204="""",,E3204&gt;=FILTER(Constants!$F$2:$F$10,Constants!$A$2:$A$10=A3204)))"),TRUE)</f>
        <v>1</v>
      </c>
    </row>
    <row r="3205">
      <c r="A3205" s="89" t="str">
        <f>IFERROR(__xludf.DUMMYFUNCTION("""COMPUTED_VALUE"""),"Contender")</f>
        <v>Contender</v>
      </c>
      <c r="B3205" s="87" t="str">
        <f>IFERROR(__xludf.DUMMYFUNCTION("""COMPUTED_VALUE"""),"RSC007515")</f>
        <v>RSC007515</v>
      </c>
      <c r="C3205" s="73" t="str">
        <f>IFERROR(__xludf.DUMMYFUNCTION("""COMPUTED_VALUE"""),"superstrikzz")</f>
        <v>superstrikzz</v>
      </c>
      <c r="D3205" s="73" t="str">
        <f>IFERROR(__xludf.DUMMYFUNCTION("""COMPUTED_VALUE"""),"Clover")</f>
        <v>Clover</v>
      </c>
      <c r="E3205" s="82">
        <f>IFERROR(__xludf.DUMMYFUNCTION("""COMPUTED_VALUE"""),35.0)</f>
        <v>35</v>
      </c>
      <c r="F3205" s="82">
        <f>IFERROR(__xludf.DUMMYFUNCTION("""COMPUTED_VALUE"""),20.0)</f>
        <v>20</v>
      </c>
      <c r="G3205" s="86">
        <f>IFERROR(__xludf.DUMMYFUNCTION("""COMPUTED_VALUE"""),15.0)</f>
        <v>15</v>
      </c>
      <c r="H3205" s="86">
        <f>IFERROR(__xludf.DUMMYFUNCTION("""COMPUTED_VALUE"""),0.5714285714285714)</f>
        <v>0.5714285714</v>
      </c>
      <c r="I3205" s="86">
        <f>IFERROR(__xludf.DUMMYFUNCTION("""COMPUTED_VALUE"""),0.3469387755102041)</f>
        <v>0.3469387755</v>
      </c>
      <c r="J3205" s="82">
        <f>IFERROR(__xludf.DUMMYFUNCTION("""COMPUTED_VALUE"""),377.65714285714284)</f>
        <v>377.6571429</v>
      </c>
      <c r="K3205" s="82">
        <f>IFERROR(__xludf.DUMMYFUNCTION("""COMPUTED_VALUE"""),0.9714285714285714)</f>
        <v>0.9714285714</v>
      </c>
      <c r="L3205" s="82">
        <f>IFERROR(__xludf.DUMMYFUNCTION("""COMPUTED_VALUE"""),0.7142857142857143)</f>
        <v>0.7142857143</v>
      </c>
      <c r="M3205" s="82">
        <f>IFERROR(__xludf.DUMMYFUNCTION("""COMPUTED_VALUE"""),1.0)</f>
        <v>1</v>
      </c>
      <c r="N3205" s="82">
        <f>IFERROR(__xludf.DUMMYFUNCTION("""COMPUTED_VALUE"""),2.8)</f>
        <v>2.8</v>
      </c>
      <c r="O3205" s="82">
        <f>IFERROR(__xludf.DUMMYFUNCTION("""COMPUTED_VALUE"""),312.2857142857143)</f>
        <v>312.2857143</v>
      </c>
      <c r="P3205" s="82">
        <f>IFERROR(__xludf.DUMMYFUNCTION("""COMPUTED_VALUE"""),0.6666666666666666)</f>
        <v>0.6666666667</v>
      </c>
      <c r="Q3205" s="82">
        <f>IFERROR(__xludf.DUMMYFUNCTION("""COMPUTED_VALUE"""),0.4380952380952382)</f>
        <v>0.4380952381</v>
      </c>
      <c r="R3205" s="82">
        <f>IFERROR(__xludf.DUMMYFUNCTION("""COMPUTED_VALUE"""),1.1523809523809525)</f>
        <v>1.152380952</v>
      </c>
      <c r="S3205" s="82">
        <f>IFERROR(__xludf.DUMMYFUNCTION("""COMPUTED_VALUE"""),2.257142857142857)</f>
        <v>2.257142857</v>
      </c>
      <c r="T3205" s="82">
        <f>IFERROR(__xludf.DUMMYFUNCTION("""COMPUTED_VALUE"""),318.6070831078885)</f>
        <v>318.6070831</v>
      </c>
      <c r="U3205" s="82">
        <f>IFERROR(__xludf.DUMMYFUNCTION("""COMPUTED_VALUE"""),0.7410504320369856)</f>
        <v>0.741050432</v>
      </c>
      <c r="V3205" s="82">
        <f>IFERROR(__xludf.DUMMYFUNCTION("""COMPUTED_VALUE"""),0.5108004991725933)</f>
        <v>0.5108004992</v>
      </c>
      <c r="W3205" s="82">
        <f>IFERROR(__xludf.DUMMYFUNCTION("""COMPUTED_VALUE"""),1.0893027242275122)</f>
        <v>1.089302724</v>
      </c>
      <c r="X3205" s="82">
        <f>IFERROR(__xludf.DUMMYFUNCTION("""COMPUTED_VALUE"""),2.1818374090437707)</f>
        <v>2.181837409</v>
      </c>
      <c r="Y3205" s="82">
        <f>IFERROR(__xludf.DUMMYFUNCTION("""COMPUTED_VALUE"""),326.88940974090303)</f>
        <v>326.8894097</v>
      </c>
      <c r="Z3205" s="82">
        <f>IFERROR(__xludf.DUMMYFUNCTION("""COMPUTED_VALUE"""),0.808456839517047)</f>
        <v>0.8084568395</v>
      </c>
      <c r="AA3205" s="82">
        <f>IFERROR(__xludf.DUMMYFUNCTION("""COMPUTED_VALUE"""),0.5259404132187464)</f>
        <v>0.5259404132</v>
      </c>
      <c r="AB3205" s="82">
        <f>IFERROR(__xludf.DUMMYFUNCTION("""COMPUTED_VALUE"""),1.0766026370463648)</f>
        <v>1.076602637</v>
      </c>
      <c r="AC3205" s="82">
        <f>IFERROR(__xludf.DUMMYFUNCTION("""COMPUTED_VALUE"""),2.273185905040323)</f>
        <v>2.273185905</v>
      </c>
      <c r="AD3205" s="82">
        <f>IFERROR(__xludf.DUMMYFUNCTION("""COMPUTED_VALUE"""),1.1553055302601543)</f>
        <v>1.15530553</v>
      </c>
      <c r="AE3205" s="82">
        <f>IFERROR(__xludf.DUMMYFUNCTION("""COMPUTED_VALUE"""),1.2015837134965421)</f>
        <v>1.201583713</v>
      </c>
      <c r="AF3205" s="82">
        <f>IFERROR(__xludf.DUMMYFUNCTION("""COMPUTED_VALUE"""),1.3581114824668024)</f>
        <v>1.358111482</v>
      </c>
      <c r="AG3205" s="82">
        <f>IFERROR(__xludf.DUMMYFUNCTION("""COMPUTED_VALUE"""),0.9288478084574245)</f>
        <v>0.9288478085</v>
      </c>
      <c r="AH3205" s="82">
        <f>IFERROR(__xludf.DUMMYFUNCTION("""COMPUTED_VALUE"""),1.231751434755765)</f>
        <v>1.231751435</v>
      </c>
      <c r="AI3205" s="82">
        <f>IFERROR(__xludf.DUMMYFUNCTION("""COMPUTED_VALUE"""),0.9801593587923039)</f>
        <v>0.9801593588</v>
      </c>
      <c r="AJ3205" s="82">
        <f>IFERROR(__xludf.DUMMYFUNCTION("""COMPUTED_VALUE"""),0.8996238823235629)</f>
        <v>0.8996238823</v>
      </c>
      <c r="AK3205" s="82">
        <f>IFERROR(__xludf.DUMMYFUNCTION("""COMPUTED_VALUE"""),0.8576640759061027)</f>
        <v>0.8576640759</v>
      </c>
      <c r="AL3205" s="82">
        <f>IFERROR(__xludf.DUMMYFUNCTION("""COMPUTED_VALUE"""),1.0579069773264111)</f>
        <v>1.057906977</v>
      </c>
      <c r="AM3205" s="82">
        <f>IFERROR(__xludf.DUMMYFUNCTION("""COMPUTED_VALUE"""),1.0345146928854292)</f>
        <v>1.034514693</v>
      </c>
      <c r="AN3205" s="82">
        <f>IFERROR(__xludf.DUMMYFUNCTION("""COMPUTED_VALUE"""),1.2115688588342302)</f>
        <v>1.211568859</v>
      </c>
      <c r="AO3205" s="82">
        <f>IFERROR(__xludf.DUMMYFUNCTION("""COMPUTED_VALUE"""),1.296480510303491)</f>
        <v>1.29648051</v>
      </c>
      <c r="AP3205" s="82">
        <f>IFERROR(__xludf.DUMMYFUNCTION("""COMPUTED_VALUE"""),1.3933918056847805)</f>
        <v>1.393391806</v>
      </c>
      <c r="AQ3205" s="82">
        <f>IFERROR(__xludf.DUMMYFUNCTION("""COMPUTED_VALUE"""),0.9544994516245786)</f>
        <v>0.9544994516</v>
      </c>
      <c r="AR3205" s="82">
        <f>IFERROR(__xludf.DUMMYFUNCTION("""COMPUTED_VALUE"""),1.3021044384804366)</f>
        <v>1.302104438</v>
      </c>
      <c r="AS3205" s="82">
        <f>IFERROR(__xludf.DUMMYFUNCTION("""COMPUTED_VALUE"""),92.0)</f>
        <v>92</v>
      </c>
      <c r="AT3205" s="82">
        <f>IFERROR(__xludf.DUMMYFUNCTION("""COMPUTED_VALUE"""),0.6044975631766126)</f>
        <v>0.6044975632</v>
      </c>
      <c r="AU3205" s="82">
        <f>IFERROR(__xludf.DUMMYFUNCTION("""COMPUTED_VALUE"""),4.652398476862137)</f>
        <v>4.652398477</v>
      </c>
      <c r="AV3205" s="82">
        <f>IFERROR(__xludf.DUMMYFUNCTION("""COMPUTED_VALUE"""),75.28263626317269)</f>
        <v>75.28263626</v>
      </c>
      <c r="AW3205" s="82">
        <f t="shared" si="1"/>
        <v>6.412923155</v>
      </c>
      <c r="AX3205" s="83">
        <f t="array" ref="AX3205">IFERROR(DGET('SBV Import'!A:G,"SBV",{"RSC ID","Tier";B3205,A3205}))</f>
        <v>70.22610516</v>
      </c>
      <c r="AY3205" s="82">
        <f t="shared" si="2"/>
        <v>4.779089924</v>
      </c>
      <c r="AZ3205" s="82">
        <v>1.633833231696146</v>
      </c>
      <c r="BA3205" s="84">
        <v>3200.0</v>
      </c>
      <c r="BB3205" s="84" t="b">
        <f>IFERROR(__xludf.DUMMYFUNCTION("iferror(if(A3205="""",,E3205&gt;=FILTER(Constants!$F$2:$F$10,Constants!$A$2:$A$10=A3205)))"),TRUE)</f>
        <v>1</v>
      </c>
    </row>
    <row r="3206">
      <c r="A3206" s="89" t="str">
        <f>IFERROR(__xludf.DUMMYFUNCTION("""COMPUTED_VALUE"""),"Contender")</f>
        <v>Contender</v>
      </c>
      <c r="B3206" s="87" t="str">
        <f>IFERROR(__xludf.DUMMYFUNCTION("""COMPUTED_VALUE"""),"RSC003223")</f>
        <v>RSC003223</v>
      </c>
      <c r="C3206" s="73" t="str">
        <f>IFERROR(__xludf.DUMMYFUNCTION("""COMPUTED_VALUE"""),"AZoroARK")</f>
        <v>AZoroARK</v>
      </c>
      <c r="D3206" s="73" t="str">
        <f>IFERROR(__xludf.DUMMYFUNCTION("""COMPUTED_VALUE"""),"Cheese Pizza")</f>
        <v>Cheese Pizza</v>
      </c>
      <c r="E3206" s="82">
        <f>IFERROR(__xludf.DUMMYFUNCTION("""COMPUTED_VALUE"""),33.0)</f>
        <v>33</v>
      </c>
      <c r="F3206" s="82">
        <f>IFERROR(__xludf.DUMMYFUNCTION("""COMPUTED_VALUE"""),24.0)</f>
        <v>24</v>
      </c>
      <c r="G3206" s="86">
        <f>IFERROR(__xludf.DUMMYFUNCTION("""COMPUTED_VALUE"""),9.0)</f>
        <v>9</v>
      </c>
      <c r="H3206" s="86">
        <f>IFERROR(__xludf.DUMMYFUNCTION("""COMPUTED_VALUE"""),0.7272727272727273)</f>
        <v>0.7272727273</v>
      </c>
      <c r="I3206" s="86">
        <f>IFERROR(__xludf.DUMMYFUNCTION("""COMPUTED_VALUE"""),0.3111111111111111)</f>
        <v>0.3111111111</v>
      </c>
      <c r="J3206" s="82">
        <f>IFERROR(__xludf.DUMMYFUNCTION("""COMPUTED_VALUE"""),343.57575757575756)</f>
        <v>343.5757576</v>
      </c>
      <c r="K3206" s="82">
        <f>IFERROR(__xludf.DUMMYFUNCTION("""COMPUTED_VALUE"""),0.8484848484848485)</f>
        <v>0.8484848485</v>
      </c>
      <c r="L3206" s="82">
        <f>IFERROR(__xludf.DUMMYFUNCTION("""COMPUTED_VALUE"""),0.7272727272727273)</f>
        <v>0.7272727273</v>
      </c>
      <c r="M3206" s="82">
        <f>IFERROR(__xludf.DUMMYFUNCTION("""COMPUTED_VALUE"""),1.0303030303030303)</f>
        <v>1.03030303</v>
      </c>
      <c r="N3206" s="82">
        <f>IFERROR(__xludf.DUMMYFUNCTION("""COMPUTED_VALUE"""),2.727272727272727)</f>
        <v>2.727272727</v>
      </c>
      <c r="O3206" s="82">
        <f>IFERROR(__xludf.DUMMYFUNCTION("""COMPUTED_VALUE"""),305.8686868686869)</f>
        <v>305.8686869</v>
      </c>
      <c r="P3206" s="82">
        <f>IFERROR(__xludf.DUMMYFUNCTION("""COMPUTED_VALUE"""),0.606060606060606)</f>
        <v>0.6060606061</v>
      </c>
      <c r="Q3206" s="82">
        <f>IFERROR(__xludf.DUMMYFUNCTION("""COMPUTED_VALUE"""),0.37373737373737387)</f>
        <v>0.3737373737</v>
      </c>
      <c r="R3206" s="82">
        <f>IFERROR(__xludf.DUMMYFUNCTION("""COMPUTED_VALUE"""),1.2525252525252526)</f>
        <v>1.252525253</v>
      </c>
      <c r="S3206" s="82">
        <f>IFERROR(__xludf.DUMMYFUNCTION("""COMPUTED_VALUE"""),1.9898989898989905)</f>
        <v>1.98989899</v>
      </c>
      <c r="T3206" s="82">
        <f>IFERROR(__xludf.DUMMYFUNCTION("""COMPUTED_VALUE"""),324.2101049370292)</f>
        <v>324.2101049</v>
      </c>
      <c r="U3206" s="82">
        <f>IFERROR(__xludf.DUMMYFUNCTION("""COMPUTED_VALUE"""),0.7787495976382551)</f>
        <v>0.7787495976</v>
      </c>
      <c r="V3206" s="82">
        <f>IFERROR(__xludf.DUMMYFUNCTION("""COMPUTED_VALUE"""),0.5314988172975089)</f>
        <v>0.5314988173</v>
      </c>
      <c r="W3206" s="82">
        <f>IFERROR(__xludf.DUMMYFUNCTION("""COMPUTED_VALUE"""),1.0726180986695257)</f>
        <v>1.072618099</v>
      </c>
      <c r="X3206" s="82">
        <f>IFERROR(__xludf.DUMMYFUNCTION("""COMPUTED_VALUE"""),2.2237079545580847)</f>
        <v>2.223707955</v>
      </c>
      <c r="Y3206" s="82">
        <f>IFERROR(__xludf.DUMMYFUNCTION("""COMPUTED_VALUE"""),328.77414662118537)</f>
        <v>328.7741466</v>
      </c>
      <c r="Z3206" s="82">
        <f>IFERROR(__xludf.DUMMYFUNCTION("""COMPUTED_VALUE"""),0.8193639417480175)</f>
        <v>0.8193639417</v>
      </c>
      <c r="AA3206" s="82">
        <f>IFERROR(__xludf.DUMMYFUNCTION("""COMPUTED_VALUE"""),0.5528088595384713)</f>
        <v>0.5528088595</v>
      </c>
      <c r="AB3206" s="82">
        <f>IFERROR(__xludf.DUMMYFUNCTION("""COMPUTED_VALUE"""),1.0516759152443247)</f>
        <v>1.051675915</v>
      </c>
      <c r="AC3206" s="82">
        <f>IFERROR(__xludf.DUMMYFUNCTION("""COMPUTED_VALUE"""),2.303483585263318)</f>
        <v>2.303483585</v>
      </c>
      <c r="AD3206" s="82">
        <f>IFERROR(__xludf.DUMMYFUNCTION("""COMPUTED_VALUE"""),1.0450206048945407)</f>
        <v>1.045020605</v>
      </c>
      <c r="AE3206" s="82">
        <f>IFERROR(__xludf.DUMMYFUNCTION("""COMPUTED_VALUE"""),1.035540869268307)</f>
        <v>1.035540869</v>
      </c>
      <c r="AF3206" s="82">
        <f>IFERROR(__xludf.DUMMYFUNCTION("""COMPUTED_VALUE"""),1.3155952816673602)</f>
        <v>1.315595282</v>
      </c>
      <c r="AG3206" s="82">
        <f>IFERROR(__xludf.DUMMYFUNCTION("""COMPUTED_VALUE"""),0.9796773087302955)</f>
        <v>0.9796773087</v>
      </c>
      <c r="AH3206" s="82">
        <f>IFERROR(__xludf.DUMMYFUNCTION("""COMPUTED_VALUE"""),1.183977495963343)</f>
        <v>1.183977496</v>
      </c>
      <c r="AI3206" s="82">
        <f>IFERROR(__xludf.DUMMYFUNCTION("""COMPUTED_VALUE"""),0.943427370741869)</f>
        <v>0.9434273707</v>
      </c>
      <c r="AJ3206" s="82">
        <f>IFERROR(__xludf.DUMMYFUNCTION("""COMPUTED_VALUE"""),0.7782483713617703)</f>
        <v>0.7782483714</v>
      </c>
      <c r="AK3206" s="82">
        <f>IFERROR(__xludf.DUMMYFUNCTION("""COMPUTED_VALUE"""),0.7031763036420318)</f>
        <v>0.7031763036</v>
      </c>
      <c r="AL3206" s="82">
        <f>IFERROR(__xludf.DUMMYFUNCTION("""COMPUTED_VALUE"""),1.1677271286759785)</f>
        <v>1.167727129</v>
      </c>
      <c r="AM3206" s="82">
        <f>IFERROR(__xludf.DUMMYFUNCTION("""COMPUTED_VALUE"""),0.8948562628559923)</f>
        <v>0.8948562629</v>
      </c>
      <c r="AN3206" s="82">
        <f>IFERROR(__xludf.DUMMYFUNCTION("""COMPUTED_VALUE"""),1.1022317369133632)</f>
        <v>1.102231737</v>
      </c>
      <c r="AO3206" s="82">
        <f>IFERROR(__xludf.DUMMYFUNCTION("""COMPUTED_VALUE"""),1.1323983066821937)</f>
        <v>1.132398307</v>
      </c>
      <c r="AP3206" s="82">
        <f>IFERROR(__xludf.DUMMYFUNCTION("""COMPUTED_VALUE"""),1.4187262021517766)</f>
        <v>1.418726202</v>
      </c>
      <c r="AQ3206" s="82">
        <f>IFERROR(__xludf.DUMMYFUNCTION("""COMPUTED_VALUE"""),0.983423677431384)</f>
        <v>0.9834236774</v>
      </c>
      <c r="AR3206" s="82">
        <f>IFERROR(__xludf.DUMMYFUNCTION("""COMPUTED_VALUE"""),1.268283543974451)</f>
        <v>1.268283544</v>
      </c>
      <c r="AS3206" s="82">
        <f>IFERROR(__xludf.DUMMYFUNCTION("""COMPUTED_VALUE"""),107.0)</f>
        <v>107</v>
      </c>
      <c r="AT3206" s="82">
        <f>IFERROR(__xludf.DUMMYFUNCTION("""COMPUTED_VALUE"""),0.7153054516355195)</f>
        <v>0.7153054516</v>
      </c>
      <c r="AU3206" s="82">
        <f>IFERROR(__xludf.DUMMYFUNCTION("""COMPUTED_VALUE"""),4.434863214504032)</f>
        <v>4.434863215</v>
      </c>
      <c r="AV3206" s="82">
        <f>IFERROR(__xludf.DUMMYFUNCTION("""COMPUTED_VALUE"""),71.5318255320128)</f>
        <v>71.53182553</v>
      </c>
      <c r="AW3206" s="82">
        <f t="shared" si="1"/>
        <v>5.140229431</v>
      </c>
      <c r="AX3206" s="83">
        <f t="array" ref="AX3206">IFERROR(DGET('SBV Import'!A:G,"SBV",{"RSC ID","Tier";B3206,A3206}))</f>
        <v>55.02766957</v>
      </c>
      <c r="AY3206" s="82">
        <f t="shared" si="2"/>
        <v>2.379210237</v>
      </c>
      <c r="AZ3206" s="82">
        <v>2.7610191943901166</v>
      </c>
      <c r="BA3206" s="84">
        <v>3200.0</v>
      </c>
      <c r="BB3206" s="84" t="b">
        <f>IFERROR(__xludf.DUMMYFUNCTION("iferror(if(A3206="""",,E3206&gt;=FILTER(Constants!$F$2:$F$10,Constants!$A$2:$A$10=A3206)))"),TRUE)</f>
        <v>1</v>
      </c>
    </row>
    <row r="3207">
      <c r="A3207" s="89" t="str">
        <f>IFERROR(__xludf.DUMMYFUNCTION("""COMPUTED_VALUE"""),"Contender")</f>
        <v>Contender</v>
      </c>
      <c r="B3207" s="87" t="str">
        <f>IFERROR(__xludf.DUMMYFUNCTION("""COMPUTED_VALUE"""),"RSC004708")</f>
        <v>RSC004708</v>
      </c>
      <c r="C3207" s="73" t="str">
        <f>IFERROR(__xludf.DUMMYFUNCTION("""COMPUTED_VALUE"""),"loganskito")</f>
        <v>loganskito</v>
      </c>
      <c r="D3207" s="73"/>
      <c r="E3207" s="82">
        <f>IFERROR(__xludf.DUMMYFUNCTION("""COMPUTED_VALUE"""),14.0)</f>
        <v>14</v>
      </c>
      <c r="F3207" s="82">
        <f>IFERROR(__xludf.DUMMYFUNCTION("""COMPUTED_VALUE"""),5.0)</f>
        <v>5</v>
      </c>
      <c r="G3207" s="86">
        <f>IFERROR(__xludf.DUMMYFUNCTION("""COMPUTED_VALUE"""),9.0)</f>
        <v>9</v>
      </c>
      <c r="H3207" s="86">
        <f>IFERROR(__xludf.DUMMYFUNCTION("""COMPUTED_VALUE"""),0.35714285714285715)</f>
        <v>0.3571428571</v>
      </c>
      <c r="I3207" s="86">
        <f>IFERROR(__xludf.DUMMYFUNCTION("""COMPUTED_VALUE"""),0.30952380952380953)</f>
        <v>0.3095238095</v>
      </c>
      <c r="J3207" s="82">
        <f>IFERROR(__xludf.DUMMYFUNCTION("""COMPUTED_VALUE"""),354.0)</f>
        <v>354</v>
      </c>
      <c r="K3207" s="82">
        <f>IFERROR(__xludf.DUMMYFUNCTION("""COMPUTED_VALUE"""),0.9285714285714286)</f>
        <v>0.9285714286</v>
      </c>
      <c r="L3207" s="82">
        <f>IFERROR(__xludf.DUMMYFUNCTION("""COMPUTED_VALUE"""),0.5714285714285714)</f>
        <v>0.5714285714</v>
      </c>
      <c r="M3207" s="82">
        <f>IFERROR(__xludf.DUMMYFUNCTION("""COMPUTED_VALUE"""),1.3571428571428572)</f>
        <v>1.357142857</v>
      </c>
      <c r="N3207" s="82">
        <f>IFERROR(__xludf.DUMMYFUNCTION("""COMPUTED_VALUE"""),3.0)</f>
        <v>3</v>
      </c>
      <c r="O3207" s="82">
        <f>IFERROR(__xludf.DUMMYFUNCTION("""COMPUTED_VALUE"""),362.4047619047619)</f>
        <v>362.4047619</v>
      </c>
      <c r="P3207" s="82">
        <f>IFERROR(__xludf.DUMMYFUNCTION("""COMPUTED_VALUE"""),0.9047619047619048)</f>
        <v>0.9047619048</v>
      </c>
      <c r="Q3207" s="82">
        <f>IFERROR(__xludf.DUMMYFUNCTION("""COMPUTED_VALUE"""),0.5952380952380952)</f>
        <v>0.5952380952</v>
      </c>
      <c r="R3207" s="82">
        <f>IFERROR(__xludf.DUMMYFUNCTION("""COMPUTED_VALUE"""),1.2142857142857142)</f>
        <v>1.214285714</v>
      </c>
      <c r="S3207" s="82">
        <f>IFERROR(__xludf.DUMMYFUNCTION("""COMPUTED_VALUE"""),2.880952380952381)</f>
        <v>2.880952381</v>
      </c>
      <c r="T3207" s="82">
        <f>IFERROR(__xludf.DUMMYFUNCTION("""COMPUTED_VALUE"""),341.69072862359377)</f>
        <v>341.6907286</v>
      </c>
      <c r="U3207" s="82">
        <f>IFERROR(__xludf.DUMMYFUNCTION("""COMPUTED_VALUE"""),0.899009015992611)</f>
        <v>0.899009016</v>
      </c>
      <c r="V3207" s="82">
        <f>IFERROR(__xludf.DUMMYFUNCTION("""COMPUTED_VALUE"""),0.6029779487105714)</f>
        <v>0.6029779487</v>
      </c>
      <c r="W3207" s="82">
        <f>IFERROR(__xludf.DUMMYFUNCTION("""COMPUTED_VALUE"""),1.0369137756178075)</f>
        <v>1.036913776</v>
      </c>
      <c r="X3207" s="82">
        <f>IFERROR(__xludf.DUMMYFUNCTION("""COMPUTED_VALUE"""),2.5119286525286713)</f>
        <v>2.511928653</v>
      </c>
      <c r="Y3207" s="82">
        <f>IFERROR(__xludf.DUMMYFUNCTION("""COMPUTED_VALUE"""),310.76037172341915)</f>
        <v>310.7603717</v>
      </c>
      <c r="Z3207" s="82">
        <f>IFERROR(__xludf.DUMMYFUNCTION("""COMPUTED_VALUE"""),0.7043139395668873)</f>
        <v>0.7043139396</v>
      </c>
      <c r="AA3207" s="82">
        <f>IFERROR(__xludf.DUMMYFUNCTION("""COMPUTED_VALUE"""),0.4521329336303716)</f>
        <v>0.4521329336</v>
      </c>
      <c r="AB3207" s="82">
        <f>IFERROR(__xludf.DUMMYFUNCTION("""COMPUTED_VALUE"""),1.0875519361405377)</f>
        <v>1.087551936</v>
      </c>
      <c r="AC3207" s="82">
        <f>IFERROR(__xludf.DUMMYFUNCTION("""COMPUTED_VALUE"""),2.0797647053910278)</f>
        <v>2.079764705</v>
      </c>
      <c r="AD3207" s="82">
        <f>IFERROR(__xludf.DUMMYFUNCTION("""COMPUTED_VALUE"""),1.1391413842015374)</f>
        <v>1.139141384</v>
      </c>
      <c r="AE3207" s="82">
        <f>IFERROR(__xludf.DUMMYFUNCTION("""COMPUTED_VALUE"""),1.318405580815917)</f>
        <v>1.318405581</v>
      </c>
      <c r="AF3207" s="82">
        <f>IFERROR(__xludf.DUMMYFUNCTION("""COMPUTED_VALUE"""),1.2638508034358906)</f>
        <v>1.263850803</v>
      </c>
      <c r="AG3207" s="82">
        <f>IFERROR(__xludf.DUMMYFUNCTION("""COMPUTED_VALUE"""),1.2478878590010454)</f>
        <v>1.247887859</v>
      </c>
      <c r="AH3207" s="82">
        <f>IFERROR(__xludf.DUMMYFUNCTION("""COMPUTED_VALUE"""),1.4424708680859906)</f>
        <v>1.442470868</v>
      </c>
      <c r="AI3207" s="82">
        <f>IFERROR(__xludf.DUMMYFUNCTION("""COMPUTED_VALUE"""),1.0606221695408853)</f>
        <v>1.06062217</v>
      </c>
      <c r="AJ3207" s="82">
        <f>IFERROR(__xludf.DUMMYFUNCTION("""COMPUTED_VALUE"""),1.0063991446881564)</f>
        <v>1.006399145</v>
      </c>
      <c r="AK3207" s="82">
        <f>IFERROR(__xludf.DUMMYFUNCTION("""COMPUTED_VALUE"""),0.9871639526967324)</f>
        <v>0.9871639527</v>
      </c>
      <c r="AL3207" s="82">
        <f>IFERROR(__xludf.DUMMYFUNCTION("""COMPUTED_VALUE"""),1.1710575583415566)</f>
        <v>1.171057558</v>
      </c>
      <c r="AM3207" s="82">
        <f>IFERROR(__xludf.DUMMYFUNCTION("""COMPUTED_VALUE"""),1.1469085230793583)</f>
        <v>1.146908523</v>
      </c>
      <c r="AN3207" s="82">
        <f>IFERROR(__xludf.DUMMYFUNCTION("""COMPUTED_VALUE"""),1.135673941667129)</f>
        <v>1.135673942</v>
      </c>
      <c r="AO3207" s="82">
        <f>IFERROR(__xludf.DUMMYFUNCTION("""COMPUTED_VALUE"""),1.2392828407312784)</f>
        <v>1.239282841</v>
      </c>
      <c r="AP3207" s="82">
        <f>IFERROR(__xludf.DUMMYFUNCTION("""COMPUTED_VALUE"""),1.1147134445478244)</f>
        <v>1.114713445</v>
      </c>
      <c r="AQ3207" s="82">
        <f>IFERROR(__xludf.DUMMYFUNCTION("""COMPUTED_VALUE"""),1.295392112919071)</f>
        <v>1.295392113</v>
      </c>
      <c r="AR3207" s="82">
        <f>IFERROR(__xludf.DUMMYFUNCTION("""COMPUTED_VALUE"""),1.3951118983718962)</f>
        <v>1.395111898</v>
      </c>
      <c r="AS3207" s="82">
        <f>IFERROR(__xludf.DUMMYFUNCTION("""COMPUTED_VALUE"""),36.0)</f>
        <v>36</v>
      </c>
      <c r="AT3207" s="82">
        <f>IFERROR(__xludf.DUMMYFUNCTION("""COMPUTED_VALUE"""),0.4782163920949985)</f>
        <v>0.4782163921</v>
      </c>
      <c r="AU3207" s="82">
        <f>IFERROR(__xludf.DUMMYFUNCTION("""COMPUTED_VALUE"""),4.4179616161170605)</f>
        <v>4.417961616</v>
      </c>
      <c r="AV3207" s="82">
        <f>IFERROR(__xludf.DUMMYFUNCTION("""COMPUTED_VALUE"""),71.24040290969215)</f>
        <v>71.24040291</v>
      </c>
      <c r="AW3207" s="82">
        <f t="shared" si="1"/>
        <v>5.056397174</v>
      </c>
      <c r="AX3207" s="83">
        <f t="array" ref="AX3207">IFERROR(DGET('SBV Import'!A:G,"SBV",{"RSC ID","Tier";B3207,A3207}))</f>
        <v>48.71246131</v>
      </c>
      <c r="AY3207" s="82">
        <f t="shared" si="2"/>
        <v>-2.085666958</v>
      </c>
      <c r="AZ3207" s="82">
        <v>7.142064131972738</v>
      </c>
      <c r="BA3207" s="84">
        <v>3200.0</v>
      </c>
      <c r="BB3207" s="84" t="b">
        <f>IFERROR(__xludf.DUMMYFUNCTION("iferror(if(A3207="""",,E3207&gt;=FILTER(Constants!$F$2:$F$10,Constants!$A$2:$A$10=A3207)))"),TRUE)</f>
        <v>1</v>
      </c>
    </row>
    <row r="3208">
      <c r="A3208" s="89" t="str">
        <f>IFERROR(__xludf.DUMMYFUNCTION("""COMPUTED_VALUE"""),"Contender")</f>
        <v>Contender</v>
      </c>
      <c r="B3208" s="87" t="str">
        <f>IFERROR(__xludf.DUMMYFUNCTION("""COMPUTED_VALUE"""),"RSC007153")</f>
        <v>RSC007153</v>
      </c>
      <c r="C3208" s="73" t="str">
        <f>IFERROR(__xludf.DUMMYFUNCTION("""COMPUTED_VALUE"""),"Washyman111670")</f>
        <v>Washyman111670</v>
      </c>
      <c r="D3208" s="73" t="str">
        <f>IFERROR(__xludf.DUMMYFUNCTION("""COMPUTED_VALUE"""),"Ice")</f>
        <v>Ice</v>
      </c>
      <c r="E3208" s="82">
        <f>IFERROR(__xludf.DUMMYFUNCTION("""COMPUTED_VALUE"""),32.0)</f>
        <v>32</v>
      </c>
      <c r="F3208" s="82">
        <f>IFERROR(__xludf.DUMMYFUNCTION("""COMPUTED_VALUE"""),18.0)</f>
        <v>18</v>
      </c>
      <c r="G3208" s="86">
        <f>IFERROR(__xludf.DUMMYFUNCTION("""COMPUTED_VALUE"""),14.0)</f>
        <v>14</v>
      </c>
      <c r="H3208" s="86">
        <f>IFERROR(__xludf.DUMMYFUNCTION("""COMPUTED_VALUE"""),0.5625)</f>
        <v>0.5625</v>
      </c>
      <c r="I3208" s="86">
        <f>IFERROR(__xludf.DUMMYFUNCTION("""COMPUTED_VALUE"""),0.4367816091954023)</f>
        <v>0.4367816092</v>
      </c>
      <c r="J3208" s="82">
        <f>IFERROR(__xludf.DUMMYFUNCTION("""COMPUTED_VALUE"""),404.65625)</f>
        <v>404.65625</v>
      </c>
      <c r="K3208" s="82">
        <f>IFERROR(__xludf.DUMMYFUNCTION("""COMPUTED_VALUE"""),1.1875)</f>
        <v>1.1875</v>
      </c>
      <c r="L3208" s="82">
        <f>IFERROR(__xludf.DUMMYFUNCTION("""COMPUTED_VALUE"""),0.5)</f>
        <v>0.5</v>
      </c>
      <c r="M3208" s="82">
        <f>IFERROR(__xludf.DUMMYFUNCTION("""COMPUTED_VALUE"""),1.46875)</f>
        <v>1.46875</v>
      </c>
      <c r="N3208" s="82">
        <f>IFERROR(__xludf.DUMMYFUNCTION("""COMPUTED_VALUE"""),2.71875)</f>
        <v>2.71875</v>
      </c>
      <c r="O3208" s="82">
        <f>IFERROR(__xludf.DUMMYFUNCTION("""COMPUTED_VALUE"""),318.73958333333337)</f>
        <v>318.7395833</v>
      </c>
      <c r="P3208" s="82">
        <f>IFERROR(__xludf.DUMMYFUNCTION("""COMPUTED_VALUE"""),0.71875)</f>
        <v>0.71875</v>
      </c>
      <c r="Q3208" s="82">
        <f>IFERROR(__xludf.DUMMYFUNCTION("""COMPUTED_VALUE"""),0.5416666666666666)</f>
        <v>0.5416666667</v>
      </c>
      <c r="R3208" s="82">
        <f>IFERROR(__xludf.DUMMYFUNCTION("""COMPUTED_VALUE"""),1.0520833333333335)</f>
        <v>1.052083333</v>
      </c>
      <c r="S3208" s="82">
        <f>IFERROR(__xludf.DUMMYFUNCTION("""COMPUTED_VALUE"""),2.3958333333333326)</f>
        <v>2.395833333</v>
      </c>
      <c r="T3208" s="82">
        <f>IFERROR(__xludf.DUMMYFUNCTION("""COMPUTED_VALUE"""),307.677098748083)</f>
        <v>307.6770987</v>
      </c>
      <c r="U3208" s="82">
        <f>IFERROR(__xludf.DUMMYFUNCTION("""COMPUTED_VALUE"""),0.7289508959057623)</f>
        <v>0.7289508959</v>
      </c>
      <c r="V3208" s="82">
        <f>IFERROR(__xludf.DUMMYFUNCTION("""COMPUTED_VALUE"""),0.470055782867236)</f>
        <v>0.4700557829</v>
      </c>
      <c r="W3208" s="82">
        <f>IFERROR(__xludf.DUMMYFUNCTION("""COMPUTED_VALUE"""),1.0231423712534395)</f>
        <v>1.023142371</v>
      </c>
      <c r="X3208" s="82">
        <f>IFERROR(__xludf.DUMMYFUNCTION("""COMPUTED_VALUE"""),2.1213990925283346)</f>
        <v>2.121399093</v>
      </c>
      <c r="Y3208" s="82">
        <f>IFERROR(__xludf.DUMMYFUNCTION("""COMPUTED_VALUE"""),325.2817088861314)</f>
        <v>325.2817089</v>
      </c>
      <c r="Z3208" s="82">
        <f>IFERROR(__xludf.DUMMYFUNCTION("""COMPUTED_VALUE"""),0.8067797706146383)</f>
        <v>0.8067797706</v>
      </c>
      <c r="AA3208" s="82">
        <f>IFERROR(__xludf.DUMMYFUNCTION("""COMPUTED_VALUE"""),0.522641891963532)</f>
        <v>0.522641892</v>
      </c>
      <c r="AB3208" s="82">
        <f>IFERROR(__xludf.DUMMYFUNCTION("""COMPUTED_VALUE"""),1.0565500960990124)</f>
        <v>1.056550096</v>
      </c>
      <c r="AC3208" s="82">
        <f>IFERROR(__xludf.DUMMYFUNCTION("""COMPUTED_VALUE"""),2.2598212883774913)</f>
        <v>2.259821288</v>
      </c>
      <c r="AD3208" s="82">
        <f>IFERROR(__xludf.DUMMYFUNCTION("""COMPUTED_VALUE"""),1.2440178434430649)</f>
        <v>1.244017843</v>
      </c>
      <c r="AE3208" s="82">
        <f>IFERROR(__xludf.DUMMYFUNCTION("""COMPUTED_VALUE"""),1.4719010605525138)</f>
        <v>1.471901061</v>
      </c>
      <c r="AF3208" s="82">
        <f>IFERROR(__xludf.DUMMYFUNCTION("""COMPUTED_VALUE"""),0.9566780001532831)</f>
        <v>0.9566780002</v>
      </c>
      <c r="AG3208" s="82">
        <f>IFERROR(__xludf.DUMMYFUNCTION("""COMPUTED_VALUE"""),1.3901375859250873)</f>
        <v>1.390137586</v>
      </c>
      <c r="AH3208" s="82">
        <f>IFERROR(__xludf.DUMMYFUNCTION("""COMPUTED_VALUE"""),1.2030818604917253)</f>
        <v>1.20308186</v>
      </c>
      <c r="AI3208" s="82">
        <f>IFERROR(__xludf.DUMMYFUNCTION("""COMPUTED_VALUE"""),1.0359548521169202)</f>
        <v>1.035954852</v>
      </c>
      <c r="AJ3208" s="82">
        <f>IFERROR(__xludf.DUMMYFUNCTION("""COMPUTED_VALUE"""),0.9860060588949724)</f>
        <v>0.9860060589</v>
      </c>
      <c r="AK3208" s="82">
        <f>IFERROR(__xludf.DUMMYFUNCTION("""COMPUTED_VALUE"""),1.1523455011288664)</f>
        <v>1.152345501</v>
      </c>
      <c r="AL3208" s="82">
        <f>IFERROR(__xludf.DUMMYFUNCTION("""COMPUTED_VALUE"""),1.0282863488924212)</f>
        <v>1.028286349</v>
      </c>
      <c r="AM3208" s="82">
        <f>IFERROR(__xludf.DUMMYFUNCTION("""COMPUTED_VALUE"""),1.1293647394172874)</f>
        <v>1.129364739</v>
      </c>
      <c r="AN3208" s="82">
        <f>IFERROR(__xludf.DUMMYFUNCTION("""COMPUTED_VALUE"""),1.298185193383444)</f>
        <v>1.298185193</v>
      </c>
      <c r="AO3208" s="82">
        <f>IFERROR(__xludf.DUMMYFUNCTION("""COMPUTED_VALUE"""),1.5848520943967308)</f>
        <v>1.584852094</v>
      </c>
      <c r="AP3208" s="82">
        <f>IFERROR(__xludf.DUMMYFUNCTION("""COMPUTED_VALUE"""),0.9753742639793463)</f>
        <v>0.975374264</v>
      </c>
      <c r="AQ3208" s="82">
        <f>IFERROR(__xludf.DUMMYFUNCTION("""COMPUTED_VALUE"""),1.4019210695735997)</f>
        <v>1.40192107</v>
      </c>
      <c r="AR3208" s="82">
        <f>IFERROR(__xludf.DUMMYFUNCTION("""COMPUTED_VALUE"""),1.264320157899531)</f>
        <v>1.264320158</v>
      </c>
      <c r="AS3208" s="82">
        <f>IFERROR(__xludf.DUMMYFUNCTION("""COMPUTED_VALUE"""),82.0)</f>
        <v>82</v>
      </c>
      <c r="AT3208" s="82">
        <f>IFERROR(__xludf.DUMMYFUNCTION("""COMPUTED_VALUE"""),0.5669552871030954)</f>
        <v>0.5669552871</v>
      </c>
      <c r="AU3208" s="82">
        <f>IFERROR(__xludf.DUMMYFUNCTION("""COMPUTED_VALUE"""),4.356738894435728)</f>
        <v>4.356738894</v>
      </c>
      <c r="AV3208" s="82">
        <f>IFERROR(__xludf.DUMMYFUNCTION("""COMPUTED_VALUE"""),70.18478167852305)</f>
        <v>70.18478168</v>
      </c>
      <c r="AW3208" s="82">
        <f t="shared" si="1"/>
        <v>4.768249979</v>
      </c>
      <c r="AX3208" s="83">
        <f t="array" ref="AX3208">IFERROR(DGET('SBV Import'!A:G,"SBV",{"RSC ID","Tier";B3208,A3208}))</f>
        <v>73.34723587</v>
      </c>
      <c r="AY3208" s="82">
        <f t="shared" si="2"/>
        <v>5.708399063</v>
      </c>
      <c r="AZ3208" s="82">
        <v>0.9401490849299146</v>
      </c>
      <c r="BA3208" s="84">
        <v>3200.0</v>
      </c>
      <c r="BB3208" s="84" t="b">
        <f>IFERROR(__xludf.DUMMYFUNCTION("iferror(if(A3208="""",,E3208&gt;=FILTER(Constants!$F$2:$F$10,Constants!$A$2:$A$10=A3208)))"),TRUE)</f>
        <v>1</v>
      </c>
    </row>
    <row r="3209">
      <c r="A3209" s="89" t="str">
        <f>IFERROR(__xludf.DUMMYFUNCTION("""COMPUTED_VALUE"""),"Contender")</f>
        <v>Contender</v>
      </c>
      <c r="B3209" s="87" t="str">
        <f>IFERROR(__xludf.DUMMYFUNCTION("""COMPUTED_VALUE"""),"RSC007894")</f>
        <v>RSC007894</v>
      </c>
      <c r="C3209" s="73" t="str">
        <f>IFERROR(__xludf.DUMMYFUNCTION("""COMPUTED_VALUE"""),"BlackCoop03")</f>
        <v>BlackCoop03</v>
      </c>
      <c r="D3209" s="73" t="str">
        <f>IFERROR(__xludf.DUMMYFUNCTION("""COMPUTED_VALUE"""),"Clover")</f>
        <v>Clover</v>
      </c>
      <c r="E3209" s="82">
        <f>IFERROR(__xludf.DUMMYFUNCTION("""COMPUTED_VALUE"""),20.0)</f>
        <v>20</v>
      </c>
      <c r="F3209" s="82">
        <f>IFERROR(__xludf.DUMMYFUNCTION("""COMPUTED_VALUE"""),10.0)</f>
        <v>10</v>
      </c>
      <c r="G3209" s="86">
        <f>IFERROR(__xludf.DUMMYFUNCTION("""COMPUTED_VALUE"""),10.0)</f>
        <v>10</v>
      </c>
      <c r="H3209" s="86">
        <f>IFERROR(__xludf.DUMMYFUNCTION("""COMPUTED_VALUE"""),0.5)</f>
        <v>0.5</v>
      </c>
      <c r="I3209" s="86">
        <f>IFERROR(__xludf.DUMMYFUNCTION("""COMPUTED_VALUE"""),0.3333333333333333)</f>
        <v>0.3333333333</v>
      </c>
      <c r="J3209" s="82">
        <f>IFERROR(__xludf.DUMMYFUNCTION("""COMPUTED_VALUE"""),362.15)</f>
        <v>362.15</v>
      </c>
      <c r="K3209" s="82">
        <f>IFERROR(__xludf.DUMMYFUNCTION("""COMPUTED_VALUE"""),0.75)</f>
        <v>0.75</v>
      </c>
      <c r="L3209" s="82">
        <f>IFERROR(__xludf.DUMMYFUNCTION("""COMPUTED_VALUE"""),0.75)</f>
        <v>0.75</v>
      </c>
      <c r="M3209" s="82">
        <f>IFERROR(__xludf.DUMMYFUNCTION("""COMPUTED_VALUE"""),1.35)</f>
        <v>1.35</v>
      </c>
      <c r="N3209" s="82">
        <f>IFERROR(__xludf.DUMMYFUNCTION("""COMPUTED_VALUE"""),2.25)</f>
        <v>2.25</v>
      </c>
      <c r="O3209" s="82">
        <f>IFERROR(__xludf.DUMMYFUNCTION("""COMPUTED_VALUE"""),323.1833333333333)</f>
        <v>323.1833333</v>
      </c>
      <c r="P3209" s="82">
        <f>IFERROR(__xludf.DUMMYFUNCTION("""COMPUTED_VALUE"""),0.6666666666666666)</f>
        <v>0.6666666667</v>
      </c>
      <c r="Q3209" s="82">
        <f>IFERROR(__xludf.DUMMYFUNCTION("""COMPUTED_VALUE"""),0.5000000000000001)</f>
        <v>0.5</v>
      </c>
      <c r="R3209" s="82">
        <f>IFERROR(__xludf.DUMMYFUNCTION("""COMPUTED_VALUE"""),1.1)</f>
        <v>1.1</v>
      </c>
      <c r="S3209" s="82">
        <f>IFERROR(__xludf.DUMMYFUNCTION("""COMPUTED_VALUE"""),2.416666666666667)</f>
        <v>2.416666667</v>
      </c>
      <c r="T3209" s="82">
        <f>IFERROR(__xludf.DUMMYFUNCTION("""COMPUTED_VALUE"""),331.9462443749595)</f>
        <v>331.9462444</v>
      </c>
      <c r="U3209" s="82">
        <f>IFERROR(__xludf.DUMMYFUNCTION("""COMPUTED_VALUE"""),0.8196435555524495)</f>
        <v>0.8196435556</v>
      </c>
      <c r="V3209" s="82">
        <f>IFERROR(__xludf.DUMMYFUNCTION("""COMPUTED_VALUE"""),0.5736793291939534)</f>
        <v>0.5736793292</v>
      </c>
      <c r="W3209" s="82">
        <f>IFERROR(__xludf.DUMMYFUNCTION("""COMPUTED_VALUE"""),1.0702532072364364)</f>
        <v>1.070253207</v>
      </c>
      <c r="X3209" s="82">
        <f>IFERROR(__xludf.DUMMYFUNCTION("""COMPUTED_VALUE"""),2.34090180752017)</f>
        <v>2.340901808</v>
      </c>
      <c r="Y3209" s="82">
        <f>IFERROR(__xludf.DUMMYFUNCTION("""COMPUTED_VALUE"""),321.52719434360563)</f>
        <v>321.5271943</v>
      </c>
      <c r="Z3209" s="82">
        <f>IFERROR(__xludf.DUMMYFUNCTION("""COMPUTED_VALUE"""),0.7687642671454)</f>
        <v>0.7687642671</v>
      </c>
      <c r="AA3209" s="82">
        <f>IFERROR(__xludf.DUMMYFUNCTION("""COMPUTED_VALUE"""),0.5036480886005957)</f>
        <v>0.5036480886</v>
      </c>
      <c r="AB3209" s="82">
        <f>IFERROR(__xludf.DUMMYFUNCTION("""COMPUTED_VALUE"""),1.1077481339899893)</f>
        <v>1.107748134</v>
      </c>
      <c r="AC3209" s="82">
        <f>IFERROR(__xludf.DUMMYFUNCTION("""COMPUTED_VALUE"""),2.2056052956191596)</f>
        <v>2.205605296</v>
      </c>
      <c r="AD3209" s="82">
        <f>IFERROR(__xludf.DUMMYFUNCTION("""COMPUTED_VALUE"""),1.1263432965268314)</f>
        <v>1.126343297</v>
      </c>
      <c r="AE3209" s="82">
        <f>IFERROR(__xludf.DUMMYFUNCTION("""COMPUTED_VALUE"""),0.9755916502010739)</f>
        <v>0.9755916502</v>
      </c>
      <c r="AF3209" s="82">
        <f>IFERROR(__xludf.DUMMYFUNCTION("""COMPUTED_VALUE"""),1.489135007111616)</f>
        <v>1.489135007</v>
      </c>
      <c r="AG3209" s="82">
        <f>IFERROR(__xludf.DUMMYFUNCTION("""COMPUTED_VALUE"""),1.2186885796299614)</f>
        <v>1.21868858</v>
      </c>
      <c r="AH3209" s="82">
        <f>IFERROR(__xludf.DUMMYFUNCTION("""COMPUTED_VALUE"""),1.0201281273984146)</f>
        <v>1.020128127</v>
      </c>
      <c r="AI3209" s="82">
        <f>IFERROR(__xludf.DUMMYFUNCTION("""COMPUTED_VALUE"""),0.9736014153191387)</f>
        <v>0.9736014153</v>
      </c>
      <c r="AJ3209" s="82">
        <f>IFERROR(__xludf.DUMMYFUNCTION("""COMPUTED_VALUE"""),0.813361688932362)</f>
        <v>0.8133616889</v>
      </c>
      <c r="AK3209" s="82">
        <f>IFERROR(__xludf.DUMMYFUNCTION("""COMPUTED_VALUE"""),0.8715670489688443)</f>
        <v>0.871567049</v>
      </c>
      <c r="AL3209" s="82">
        <f>IFERROR(__xludf.DUMMYFUNCTION("""COMPUTED_VALUE"""),1.027794163626358)</f>
        <v>1.027794164</v>
      </c>
      <c r="AM3209" s="82">
        <f>IFERROR(__xludf.DUMMYFUNCTION("""COMPUTED_VALUE"""),1.0323656715984846)</f>
        <v>1.032365672</v>
      </c>
      <c r="AN3209" s="82">
        <f>IFERROR(__xludf.DUMMYFUNCTION("""COMPUTED_VALUE"""),1.1618201072733074)</f>
        <v>1.161820107</v>
      </c>
      <c r="AO3209" s="82">
        <f>IFERROR(__xludf.DUMMYFUNCTION("""COMPUTED_VALUE"""),1.0009592175137247)</f>
        <v>1.000959218</v>
      </c>
      <c r="AP3209" s="82">
        <f>IFERROR(__xludf.DUMMYFUNCTION("""COMPUTED_VALUE"""),1.4630613959690195)</f>
        <v>1.463061396</v>
      </c>
      <c r="AQ3209" s="82">
        <f>IFERROR(__xludf.DUMMYFUNCTION("""COMPUTED_VALUE"""),1.2885742596931813)</f>
        <v>1.28857426</v>
      </c>
      <c r="AR3209" s="82">
        <f>IFERROR(__xludf.DUMMYFUNCTION("""COMPUTED_VALUE"""),1.0463339237789222)</f>
        <v>1.046333924</v>
      </c>
      <c r="AS3209" s="82">
        <f>IFERROR(__xludf.DUMMYFUNCTION("""COMPUTED_VALUE"""),49.0)</f>
        <v>49</v>
      </c>
      <c r="AT3209" s="82">
        <f>IFERROR(__xludf.DUMMYFUNCTION("""COMPUTED_VALUE"""),0.5772497300471773)</f>
        <v>0.57724973</v>
      </c>
      <c r="AU3209" s="82">
        <f>IFERROR(__xludf.DUMMYFUNCTION("""COMPUTED_VALUE"""),4.179815817290709)</f>
        <v>4.179815817</v>
      </c>
      <c r="AV3209" s="82">
        <f>IFERROR(__xludf.DUMMYFUNCTION("""COMPUTED_VALUE"""),67.1342188909004)</f>
        <v>67.13421889</v>
      </c>
      <c r="AW3209" s="82">
        <f t="shared" si="1"/>
        <v>4.055879844</v>
      </c>
      <c r="AX3209" s="83">
        <f t="array" ref="AX3209">IFERROR(DGET('SBV Import'!A:G,"SBV",{"RSC ID","Tier";B3209,A3209}))</f>
        <v>58.16734395</v>
      </c>
      <c r="AY3209" s="82">
        <f t="shared" si="2"/>
        <v>2.688535134</v>
      </c>
      <c r="AZ3209" s="82">
        <v>1.3673447107221657</v>
      </c>
      <c r="BA3209" s="84">
        <v>3200.0</v>
      </c>
      <c r="BB3209" s="84" t="b">
        <f>IFERROR(__xludf.DUMMYFUNCTION("iferror(if(A3209="""",,E3209&gt;=FILTER(Constants!$F$2:$F$10,Constants!$A$2:$A$10=A3209)))"),TRUE)</f>
        <v>1</v>
      </c>
    </row>
    <row r="3210">
      <c r="A3210" s="89" t="str">
        <f>IFERROR(__xludf.DUMMYFUNCTION("""COMPUTED_VALUE"""),"Contender")</f>
        <v>Contender</v>
      </c>
      <c r="B3210" s="87" t="str">
        <f>IFERROR(__xludf.DUMMYFUNCTION("""COMPUTED_VALUE"""),"RSC007630")</f>
        <v>RSC007630</v>
      </c>
      <c r="C3210" s="73" t="str">
        <f>IFERROR(__xludf.DUMMYFUNCTION("""COMPUTED_VALUE"""),"Grey")</f>
        <v>Grey</v>
      </c>
      <c r="D3210" s="73" t="str">
        <f>IFERROR(__xludf.DUMMYFUNCTION("""COMPUTED_VALUE"""),"Rad Lads")</f>
        <v>Rad Lads</v>
      </c>
      <c r="E3210" s="82">
        <f>IFERROR(__xludf.DUMMYFUNCTION("""COMPUTED_VALUE"""),19.0)</f>
        <v>19</v>
      </c>
      <c r="F3210" s="82">
        <f>IFERROR(__xludf.DUMMYFUNCTION("""COMPUTED_VALUE"""),10.0)</f>
        <v>10</v>
      </c>
      <c r="G3210" s="86">
        <f>IFERROR(__xludf.DUMMYFUNCTION("""COMPUTED_VALUE"""),9.0)</f>
        <v>9</v>
      </c>
      <c r="H3210" s="86">
        <f>IFERROR(__xludf.DUMMYFUNCTION("""COMPUTED_VALUE"""),0.5263157894736842)</f>
        <v>0.5263157895</v>
      </c>
      <c r="I3210" s="86">
        <f>IFERROR(__xludf.DUMMYFUNCTION("""COMPUTED_VALUE"""),0.39215686274509803)</f>
        <v>0.3921568627</v>
      </c>
      <c r="J3210" s="82">
        <f>IFERROR(__xludf.DUMMYFUNCTION("""COMPUTED_VALUE"""),336.57894736842104)</f>
        <v>336.5789474</v>
      </c>
      <c r="K3210" s="82">
        <f>IFERROR(__xludf.DUMMYFUNCTION("""COMPUTED_VALUE"""),1.0526315789473684)</f>
        <v>1.052631579</v>
      </c>
      <c r="L3210" s="82">
        <f>IFERROR(__xludf.DUMMYFUNCTION("""COMPUTED_VALUE"""),0.5789473684210527)</f>
        <v>0.5789473684</v>
      </c>
      <c r="M3210" s="82">
        <f>IFERROR(__xludf.DUMMYFUNCTION("""COMPUTED_VALUE"""),0.8947368421052632)</f>
        <v>0.8947368421</v>
      </c>
      <c r="N3210" s="82">
        <f>IFERROR(__xludf.DUMMYFUNCTION("""COMPUTED_VALUE"""),2.6842105263157894)</f>
        <v>2.684210526</v>
      </c>
      <c r="O3210" s="82">
        <f>IFERROR(__xludf.DUMMYFUNCTION("""COMPUTED_VALUE"""),331.280701754386)</f>
        <v>331.2807018</v>
      </c>
      <c r="P3210" s="82">
        <f>IFERROR(__xludf.DUMMYFUNCTION("""COMPUTED_VALUE"""),0.8596491228070177)</f>
        <v>0.8596491228</v>
      </c>
      <c r="Q3210" s="82">
        <f>IFERROR(__xludf.DUMMYFUNCTION("""COMPUTED_VALUE"""),0.5087719298245613)</f>
        <v>0.5087719298</v>
      </c>
      <c r="R3210" s="82">
        <f>IFERROR(__xludf.DUMMYFUNCTION("""COMPUTED_VALUE"""),0.9473684210526315)</f>
        <v>0.9473684211</v>
      </c>
      <c r="S3210" s="82">
        <f>IFERROR(__xludf.DUMMYFUNCTION("""COMPUTED_VALUE"""),2.12280701754386)</f>
        <v>2.122807018</v>
      </c>
      <c r="T3210" s="82">
        <f>IFERROR(__xludf.DUMMYFUNCTION("""COMPUTED_VALUE"""),319.1906513442698)</f>
        <v>319.1906513</v>
      </c>
      <c r="U3210" s="82">
        <f>IFERROR(__xludf.DUMMYFUNCTION("""COMPUTED_VALUE"""),0.7581992525877974)</f>
        <v>0.7581992526</v>
      </c>
      <c r="V3210" s="82">
        <f>IFERROR(__xludf.DUMMYFUNCTION("""COMPUTED_VALUE"""),0.5340463458110515)</f>
        <v>0.5340463458</v>
      </c>
      <c r="W3210" s="82">
        <f>IFERROR(__xludf.DUMMYFUNCTION("""COMPUTED_VALUE"""),1.084738891569387)</f>
        <v>1.084738892</v>
      </c>
      <c r="X3210" s="82">
        <f>IFERROR(__xludf.DUMMYFUNCTION("""COMPUTED_VALUE"""),2.2268737518931023)</f>
        <v>2.226873752</v>
      </c>
      <c r="Y3210" s="82">
        <f>IFERROR(__xludf.DUMMYFUNCTION("""COMPUTED_VALUE"""),327.33656455272177)</f>
        <v>327.3365646</v>
      </c>
      <c r="Z3210" s="82">
        <f>IFERROR(__xludf.DUMMYFUNCTION("""COMPUTED_VALUE"""),0.8028151651410166)</f>
        <v>0.8028151651</v>
      </c>
      <c r="AA3210" s="82">
        <f>IFERROR(__xludf.DUMMYFUNCTION("""COMPUTED_VALUE"""),0.5289364230540704)</f>
        <v>0.5289364231</v>
      </c>
      <c r="AB3210" s="82">
        <f>IFERROR(__xludf.DUMMYFUNCTION("""COMPUTED_VALUE"""),1.0832044181308884)</f>
        <v>1.083204418</v>
      </c>
      <c r="AC3210" s="82">
        <f>IFERROR(__xludf.DUMMYFUNCTION("""COMPUTED_VALUE"""),2.3592665747851513)</f>
        <v>2.359266575</v>
      </c>
      <c r="AD3210" s="82">
        <f>IFERROR(__xludf.DUMMYFUNCTION("""COMPUTED_VALUE"""),1.0282351066656064)</f>
        <v>1.028235107</v>
      </c>
      <c r="AE3210" s="82">
        <f>IFERROR(__xludf.DUMMYFUNCTION("""COMPUTED_VALUE"""),1.311175504217675)</f>
        <v>1.311175504</v>
      </c>
      <c r="AF3210" s="82">
        <f>IFERROR(__xludf.DUMMYFUNCTION("""COMPUTED_VALUE"""),1.0945500124158964)</f>
        <v>1.094550012</v>
      </c>
      <c r="AG3210" s="82">
        <f>IFERROR(__xludf.DUMMYFUNCTION("""COMPUTED_VALUE"""),0.8260092251554574)</f>
        <v>0.8260092252</v>
      </c>
      <c r="AH3210" s="82">
        <f>IFERROR(__xludf.DUMMYFUNCTION("""COMPUTED_VALUE"""),1.1377309181605428)</f>
        <v>1.137730918</v>
      </c>
      <c r="AI3210" s="82">
        <f>IFERROR(__xludf.DUMMYFUNCTION("""COMPUTED_VALUE"""),1.0378772071149296)</f>
        <v>1.037877207</v>
      </c>
      <c r="AJ3210" s="82">
        <f>IFERROR(__xludf.DUMMYFUNCTION("""COMPUTED_VALUE"""),1.1338037064438713)</f>
        <v>1.133803706</v>
      </c>
      <c r="AK3210" s="82">
        <f>IFERROR(__xludf.DUMMYFUNCTION("""COMPUTED_VALUE"""),0.9526737404258312)</f>
        <v>0.9526737404</v>
      </c>
      <c r="AL3210" s="82">
        <f>IFERROR(__xludf.DUMMYFUNCTION("""COMPUTED_VALUE"""),0.8733607953172864)</f>
        <v>0.8733607953</v>
      </c>
      <c r="AM3210" s="82">
        <f>IFERROR(__xludf.DUMMYFUNCTION("""COMPUTED_VALUE"""),0.9532677888628516)</f>
        <v>0.9532677889</v>
      </c>
      <c r="AN3210" s="82">
        <f>IFERROR(__xludf.DUMMYFUNCTION("""COMPUTED_VALUE"""),1.0797851407911523)</f>
        <v>1.079785141</v>
      </c>
      <c r="AO3210" s="82">
        <f>IFERROR(__xludf.DUMMYFUNCTION("""COMPUTED_VALUE"""),1.4048550421245258)</f>
        <v>1.404855042</v>
      </c>
      <c r="AP3210" s="82">
        <f>IFERROR(__xludf.DUMMYFUNCTION("""COMPUTED_VALUE"""),1.1293807267129274)</f>
        <v>1.129380727</v>
      </c>
      <c r="AQ3210" s="82">
        <f>IFERROR(__xludf.DUMMYFUNCTION("""COMPUTED_VALUE"""),0.8540258251377809)</f>
        <v>0.8540258251</v>
      </c>
      <c r="AR3210" s="82">
        <f>IFERROR(__xludf.DUMMYFUNCTION("""COMPUTED_VALUE"""),1.2482580143327493)</f>
        <v>1.248258014</v>
      </c>
      <c r="AS3210" s="82">
        <f>IFERROR(__xludf.DUMMYFUNCTION("""COMPUTED_VALUE"""),55.0)</f>
        <v>55</v>
      </c>
      <c r="AT3210" s="82">
        <f>IFERROR(__xludf.DUMMYFUNCTION("""COMPUTED_VALUE"""),0.5469005692495142)</f>
        <v>0.5469005692</v>
      </c>
      <c r="AU3210" s="82">
        <f>IFERROR(__xludf.DUMMYFUNCTION("""COMPUTED_VALUE"""),4.090786144506623)</f>
        <v>4.090786145</v>
      </c>
      <c r="AV3210" s="82">
        <f>IFERROR(__xludf.DUMMYFUNCTION("""COMPUTED_VALUE"""),65.59914155010364)</f>
        <v>65.59914155</v>
      </c>
      <c r="AW3210" s="82">
        <f t="shared" si="1"/>
        <v>3.754809892</v>
      </c>
      <c r="AX3210" s="83">
        <f t="array" ref="AX3210">IFERROR(DGET('SBV Import'!A:G,"SBV",{"RSC ID","Tier";B3210,A3210}))</f>
        <v>59.07058281</v>
      </c>
      <c r="AY3210" s="82">
        <f t="shared" si="2"/>
        <v>2.790424306</v>
      </c>
      <c r="AZ3210" s="82">
        <v>0.9643855851745124</v>
      </c>
      <c r="BA3210" s="84">
        <v>3200.0</v>
      </c>
      <c r="BB3210" s="84" t="b">
        <f>IFERROR(__xludf.DUMMYFUNCTION("iferror(if(A3210="""",,E3210&gt;=FILTER(Constants!$F$2:$F$10,Constants!$A$2:$A$10=A3210)))"),TRUE)</f>
        <v>1</v>
      </c>
    </row>
    <row r="3211">
      <c r="A3211" s="89" t="str">
        <f>IFERROR(__xludf.DUMMYFUNCTION("""COMPUTED_VALUE"""),"Contender")</f>
        <v>Contender</v>
      </c>
      <c r="B3211" s="87" t="str">
        <f>IFERROR(__xludf.DUMMYFUNCTION("""COMPUTED_VALUE"""),"RSC006251")</f>
        <v>RSC006251</v>
      </c>
      <c r="C3211" s="73" t="str">
        <f>IFERROR(__xludf.DUMMYFUNCTION("""COMPUTED_VALUE"""),"MiniTechniks")</f>
        <v>MiniTechniks</v>
      </c>
      <c r="D3211" s="73" t="str">
        <f>IFERROR(__xludf.DUMMYFUNCTION("""COMPUTED_VALUE"""),"Rad Lads")</f>
        <v>Rad Lads</v>
      </c>
      <c r="E3211" s="82">
        <f>IFERROR(__xludf.DUMMYFUNCTION("""COMPUTED_VALUE"""),29.0)</f>
        <v>29</v>
      </c>
      <c r="F3211" s="82">
        <f>IFERROR(__xludf.DUMMYFUNCTION("""COMPUTED_VALUE"""),11.0)</f>
        <v>11</v>
      </c>
      <c r="G3211" s="86">
        <f>IFERROR(__xludf.DUMMYFUNCTION("""COMPUTED_VALUE"""),18.0)</f>
        <v>18</v>
      </c>
      <c r="H3211" s="86">
        <f>IFERROR(__xludf.DUMMYFUNCTION("""COMPUTED_VALUE"""),0.3793103448275862)</f>
        <v>0.3793103448</v>
      </c>
      <c r="I3211" s="86">
        <f>IFERROR(__xludf.DUMMYFUNCTION("""COMPUTED_VALUE"""),0.3333333333333333)</f>
        <v>0.3333333333</v>
      </c>
      <c r="J3211" s="82">
        <f>IFERROR(__xludf.DUMMYFUNCTION("""COMPUTED_VALUE"""),349.44827586206895)</f>
        <v>349.4482759</v>
      </c>
      <c r="K3211" s="82">
        <f>IFERROR(__xludf.DUMMYFUNCTION("""COMPUTED_VALUE"""),0.9310344827586207)</f>
        <v>0.9310344828</v>
      </c>
      <c r="L3211" s="82">
        <f>IFERROR(__xludf.DUMMYFUNCTION("""COMPUTED_VALUE"""),0.5862068965517241)</f>
        <v>0.5862068966</v>
      </c>
      <c r="M3211" s="82">
        <f>IFERROR(__xludf.DUMMYFUNCTION("""COMPUTED_VALUE"""),0.8620689655172413)</f>
        <v>0.8620689655</v>
      </c>
      <c r="N3211" s="82">
        <f>IFERROR(__xludf.DUMMYFUNCTION("""COMPUTED_VALUE"""),2.793103448275862)</f>
        <v>2.793103448</v>
      </c>
      <c r="O3211" s="82">
        <f>IFERROR(__xludf.DUMMYFUNCTION("""COMPUTED_VALUE"""),338.2643678160919)</f>
        <v>338.2643678</v>
      </c>
      <c r="P3211" s="82">
        <f>IFERROR(__xludf.DUMMYFUNCTION("""COMPUTED_VALUE"""),0.8735632183908046)</f>
        <v>0.8735632184</v>
      </c>
      <c r="Q3211" s="82">
        <f>IFERROR(__xludf.DUMMYFUNCTION("""COMPUTED_VALUE"""),0.5632183908045978)</f>
        <v>0.5632183908</v>
      </c>
      <c r="R3211" s="82">
        <f>IFERROR(__xludf.DUMMYFUNCTION("""COMPUTED_VALUE"""),1.0574712643678161)</f>
        <v>1.057471264</v>
      </c>
      <c r="S3211" s="82">
        <f>IFERROR(__xludf.DUMMYFUNCTION("""COMPUTED_VALUE"""),2.1149425287356323)</f>
        <v>2.114942529</v>
      </c>
      <c r="T3211" s="82">
        <f>IFERROR(__xludf.DUMMYFUNCTION("""COMPUTED_VALUE"""),327.01794617876584)</f>
        <v>327.0179462</v>
      </c>
      <c r="U3211" s="82">
        <f>IFERROR(__xludf.DUMMYFUNCTION("""COMPUTED_VALUE"""),0.7863932777256406)</f>
        <v>0.7863932777</v>
      </c>
      <c r="V3211" s="82">
        <f>IFERROR(__xludf.DUMMYFUNCTION("""COMPUTED_VALUE"""),0.5257016237631955)</f>
        <v>0.5257016238</v>
      </c>
      <c r="W3211" s="82">
        <f>IFERROR(__xludf.DUMMYFUNCTION("""COMPUTED_VALUE"""),1.1205283457209616)</f>
        <v>1.120528346</v>
      </c>
      <c r="X3211" s="82">
        <f>IFERROR(__xludf.DUMMYFUNCTION("""COMPUTED_VALUE"""),2.2886886622523446)</f>
        <v>2.288688662</v>
      </c>
      <c r="Y3211" s="82">
        <f>IFERROR(__xludf.DUMMYFUNCTION("""COMPUTED_VALUE"""),325.09217103740224)</f>
        <v>325.092171</v>
      </c>
      <c r="Z3211" s="82">
        <f>IFERROR(__xludf.DUMMYFUNCTION("""COMPUTED_VALUE"""),0.7867501218413175)</f>
        <v>0.7867501218</v>
      </c>
      <c r="AA3211" s="82">
        <f>IFERROR(__xludf.DUMMYFUNCTION("""COMPUTED_VALUE"""),0.5078375727233936)</f>
        <v>0.5078375727</v>
      </c>
      <c r="AB3211" s="82">
        <f>IFERROR(__xludf.DUMMYFUNCTION("""COMPUTED_VALUE"""),1.090349417253412)</f>
        <v>1.090349417</v>
      </c>
      <c r="AC3211" s="82">
        <f>IFERROR(__xludf.DUMMYFUNCTION("""COMPUTED_VALUE"""),2.3030270939132094)</f>
        <v>2.303027094</v>
      </c>
      <c r="AD3211" s="82">
        <f>IFERROR(__xludf.DUMMYFUNCTION("""COMPUTED_VALUE"""),1.0749206132739029)</f>
        <v>1.074920613</v>
      </c>
      <c r="AE3211" s="82">
        <f>IFERROR(__xludf.DUMMYFUNCTION("""COMPUTED_VALUE"""),1.1833928675849692)</f>
        <v>1.183392868</v>
      </c>
      <c r="AF3211" s="82">
        <f>IFERROR(__xludf.DUMMYFUNCTION("""COMPUTED_VALUE"""),1.154319664470782)</f>
        <v>1.154319664</v>
      </c>
      <c r="AG3211" s="82">
        <f>IFERROR(__xludf.DUMMYFUNCTION("""COMPUTED_VALUE"""),0.7906355081005053)</f>
        <v>0.7906355081</v>
      </c>
      <c r="AH3211" s="82">
        <f>IFERROR(__xludf.DUMMYFUNCTION("""COMPUTED_VALUE"""),1.212796608280424)</f>
        <v>1.212796608</v>
      </c>
      <c r="AI3211" s="82">
        <f>IFERROR(__xludf.DUMMYFUNCTION("""COMPUTED_VALUE"""),1.0343908393063486)</f>
        <v>1.034390839</v>
      </c>
      <c r="AJ3211" s="82">
        <f>IFERROR(__xludf.DUMMYFUNCTION("""COMPUTED_VALUE"""),1.110847769346747)</f>
        <v>1.110847769</v>
      </c>
      <c r="AK3211" s="82">
        <f>IFERROR(__xludf.DUMMYFUNCTION("""COMPUTED_VALUE"""),1.071365134413779)</f>
        <v>1.071365134</v>
      </c>
      <c r="AL3211" s="82">
        <f>IFERROR(__xludf.DUMMYFUNCTION("""COMPUTED_VALUE"""),0.9437255812457169)</f>
        <v>0.9437255812</v>
      </c>
      <c r="AM3211" s="82">
        <f>IFERROR(__xludf.DUMMYFUNCTION("""COMPUTED_VALUE"""),0.924084854186447)</f>
        <v>0.9240848542</v>
      </c>
      <c r="AN3211" s="82">
        <f>IFERROR(__xludf.DUMMYFUNCTION("""COMPUTED_VALUE"""),1.121071471347622)</f>
        <v>1.121071471</v>
      </c>
      <c r="AO3211" s="82">
        <f>IFERROR(__xludf.DUMMYFUNCTION("""COMPUTED_VALUE"""),1.242570063120486)</f>
        <v>1.242570063</v>
      </c>
      <c r="AP3211" s="82">
        <f>IFERROR(__xludf.DUMMYFUNCTION("""COMPUTED_VALUE"""),1.1435422405275095)</f>
        <v>1.143542241</v>
      </c>
      <c r="AQ3211" s="82">
        <f>IFERROR(__xludf.DUMMYFUNCTION("""COMPUTED_VALUE"""),0.8228443548487746)</f>
        <v>0.8228443548</v>
      </c>
      <c r="AR3211" s="82">
        <f>IFERROR(__xludf.DUMMYFUNCTION("""COMPUTED_VALUE"""),1.2988972846910758)</f>
        <v>1.298897285</v>
      </c>
      <c r="AS3211" s="82">
        <f>IFERROR(__xludf.DUMMYFUNCTION("""COMPUTED_VALUE"""),72.0)</f>
        <v>72</v>
      </c>
      <c r="AT3211" s="82">
        <f>IFERROR(__xludf.DUMMYFUNCTION("""COMPUTED_VALUE"""),0.4784344061210306)</f>
        <v>0.4784344061</v>
      </c>
      <c r="AU3211" s="82">
        <f>IFERROR(__xludf.DUMMYFUNCTION("""COMPUTED_VALUE"""),4.069243366358037)</f>
        <v>4.069243366</v>
      </c>
      <c r="AV3211" s="82">
        <f>IFERROR(__xludf.DUMMYFUNCTION("""COMPUTED_VALUE"""),65.22769426113172)</f>
        <v>65.22769426</v>
      </c>
      <c r="AW3211" s="82">
        <f t="shared" si="1"/>
        <v>3.686955317</v>
      </c>
      <c r="AX3211" s="83">
        <f t="array" ref="AX3211">IFERROR(DGET('SBV Import'!A:G,"SBV",{"RSC ID","Tier";B3211,A3211}))</f>
        <v>64.9354134</v>
      </c>
      <c r="AY3211" s="82">
        <f t="shared" si="2"/>
        <v>3.634848128</v>
      </c>
      <c r="AZ3211" s="82">
        <v>0.05210718899836708</v>
      </c>
      <c r="BA3211" s="84">
        <v>3200.0</v>
      </c>
      <c r="BB3211" s="84" t="b">
        <f>IFERROR(__xludf.DUMMYFUNCTION("iferror(if(A3211="""",,E3211&gt;=FILTER(Constants!$F$2:$F$10,Constants!$A$2:$A$10=A3211)))"),TRUE)</f>
        <v>1</v>
      </c>
    </row>
    <row r="3212">
      <c r="A3212" s="89" t="str">
        <f>IFERROR(__xludf.DUMMYFUNCTION("""COMPUTED_VALUE"""),"Contender")</f>
        <v>Contender</v>
      </c>
      <c r="B3212" s="87" t="str">
        <f>IFERROR(__xludf.DUMMYFUNCTION("""COMPUTED_VALUE"""),"RSC006381")</f>
        <v>RSC006381</v>
      </c>
      <c r="C3212" s="73" t="str">
        <f>IFERROR(__xludf.DUMMYFUNCTION("""COMPUTED_VALUE"""),"YERP_YERP02")</f>
        <v>YERP_YERP02</v>
      </c>
      <c r="D3212" s="73" t="str">
        <f>IFERROR(__xludf.DUMMYFUNCTION("""COMPUTED_VALUE"""),"Rad Lads")</f>
        <v>Rad Lads</v>
      </c>
      <c r="E3212" s="82">
        <f>IFERROR(__xludf.DUMMYFUNCTION("""COMPUTED_VALUE"""),29.0)</f>
        <v>29</v>
      </c>
      <c r="F3212" s="82">
        <f>IFERROR(__xludf.DUMMYFUNCTION("""COMPUTED_VALUE"""),14.0)</f>
        <v>14</v>
      </c>
      <c r="G3212" s="86">
        <f>IFERROR(__xludf.DUMMYFUNCTION("""COMPUTED_VALUE"""),15.0)</f>
        <v>15</v>
      </c>
      <c r="H3212" s="86">
        <f>IFERROR(__xludf.DUMMYFUNCTION("""COMPUTED_VALUE"""),0.4827586206896552)</f>
        <v>0.4827586207</v>
      </c>
      <c r="I3212" s="86">
        <f>IFERROR(__xludf.DUMMYFUNCTION("""COMPUTED_VALUE"""),0.38461538461538464)</f>
        <v>0.3846153846</v>
      </c>
      <c r="J3212" s="82">
        <f>IFERROR(__xludf.DUMMYFUNCTION("""COMPUTED_VALUE"""),327.9310344827586)</f>
        <v>327.9310345</v>
      </c>
      <c r="K3212" s="82">
        <f>IFERROR(__xludf.DUMMYFUNCTION("""COMPUTED_VALUE"""),0.8620689655172413)</f>
        <v>0.8620689655</v>
      </c>
      <c r="L3212" s="82">
        <f>IFERROR(__xludf.DUMMYFUNCTION("""COMPUTED_VALUE"""),0.7241379310344828)</f>
        <v>0.724137931</v>
      </c>
      <c r="M3212" s="82">
        <f>IFERROR(__xludf.DUMMYFUNCTION("""COMPUTED_VALUE"""),0.7241379310344828)</f>
        <v>0.724137931</v>
      </c>
      <c r="N3212" s="82">
        <f>IFERROR(__xludf.DUMMYFUNCTION("""COMPUTED_VALUE"""),2.2413793103448274)</f>
        <v>2.24137931</v>
      </c>
      <c r="O3212" s="82">
        <f>IFERROR(__xludf.DUMMYFUNCTION("""COMPUTED_VALUE"""),326.919540229885)</f>
        <v>326.9195402</v>
      </c>
      <c r="P3212" s="82">
        <f>IFERROR(__xludf.DUMMYFUNCTION("""COMPUTED_VALUE"""),0.8390804597701149)</f>
        <v>0.8390804598</v>
      </c>
      <c r="Q3212" s="82">
        <f>IFERROR(__xludf.DUMMYFUNCTION("""COMPUTED_VALUE"""),0.6436781609195401)</f>
        <v>0.6436781609</v>
      </c>
      <c r="R3212" s="82">
        <f>IFERROR(__xludf.DUMMYFUNCTION("""COMPUTED_VALUE"""),0.9310344827586207)</f>
        <v>0.9310344828</v>
      </c>
      <c r="S3212" s="82">
        <f>IFERROR(__xludf.DUMMYFUNCTION("""COMPUTED_VALUE"""),2.1149425287356323)</f>
        <v>2.114942529</v>
      </c>
      <c r="T3212" s="82">
        <f>IFERROR(__xludf.DUMMYFUNCTION("""COMPUTED_VALUE"""),324.74662058217393)</f>
        <v>324.7466206</v>
      </c>
      <c r="U3212" s="82">
        <f>IFERROR(__xludf.DUMMYFUNCTION("""COMPUTED_VALUE"""),0.7810052552230137)</f>
        <v>0.7810052552</v>
      </c>
      <c r="V3212" s="82">
        <f>IFERROR(__xludf.DUMMYFUNCTION("""COMPUTED_VALUE"""),0.5283659078676418)</f>
        <v>0.5283659079</v>
      </c>
      <c r="W3212" s="82">
        <f>IFERROR(__xludf.DUMMYFUNCTION("""COMPUTED_VALUE"""),1.09957231701899)</f>
        <v>1.099572317</v>
      </c>
      <c r="X3212" s="82">
        <f>IFERROR(__xludf.DUMMYFUNCTION("""COMPUTED_VALUE"""),2.2877996467715445)</f>
        <v>2.287799647</v>
      </c>
      <c r="Y3212" s="82">
        <f>IFERROR(__xludf.DUMMYFUNCTION("""COMPUTED_VALUE"""),325.4035452047982)</f>
        <v>325.4035452</v>
      </c>
      <c r="Z3212" s="82">
        <f>IFERROR(__xludf.DUMMYFUNCTION("""COMPUTED_VALUE"""),0.7944007674356751)</f>
        <v>0.7944007674</v>
      </c>
      <c r="AA3212" s="82">
        <f>IFERROR(__xludf.DUMMYFUNCTION("""COMPUTED_VALUE"""),0.5077869359587609)</f>
        <v>0.507786936</v>
      </c>
      <c r="AB3212" s="82">
        <f>IFERROR(__xludf.DUMMYFUNCTION("""COMPUTED_VALUE"""),1.092953655570125)</f>
        <v>1.092953656</v>
      </c>
      <c r="AC3212" s="82">
        <f>IFERROR(__xludf.DUMMYFUNCTION("""COMPUTED_VALUE"""),2.289046114896734)</f>
        <v>2.289046115</v>
      </c>
      <c r="AD3212" s="82">
        <f>IFERROR(__xludf.DUMMYFUNCTION("""COMPUTED_VALUE"""),1.0077672456714315)</f>
        <v>1.007767246</v>
      </c>
      <c r="AE3212" s="82">
        <f>IFERROR(__xludf.DUMMYFUNCTION("""COMPUTED_VALUE"""),1.085181435939443)</f>
        <v>1.085181436</v>
      </c>
      <c r="AF3212" s="82">
        <f>IFERROR(__xludf.DUMMYFUNCTION("""COMPUTED_VALUE"""),1.4260664852813236)</f>
        <v>1.426066485</v>
      </c>
      <c r="AG3212" s="82">
        <f>IFERROR(__xludf.DUMMYFUNCTION("""COMPUTED_VALUE"""),0.6625513601093596)</f>
        <v>0.6625513601</v>
      </c>
      <c r="AH3212" s="82">
        <f>IFERROR(__xludf.DUMMYFUNCTION("""COMPUTED_VALUE"""),0.9791761274525232)</f>
        <v>0.9791761275</v>
      </c>
      <c r="AI3212" s="82">
        <f>IFERROR(__xludf.DUMMYFUNCTION("""COMPUTED_VALUE"""),1.006691123201885)</f>
        <v>1.006691123</v>
      </c>
      <c r="AJ3212" s="82">
        <f>IFERROR(__xludf.DUMMYFUNCTION("""COMPUTED_VALUE"""),1.0743595566850803)</f>
        <v>1.074359557</v>
      </c>
      <c r="AK3212" s="82">
        <f>IFERROR(__xludf.DUMMYFUNCTION("""COMPUTED_VALUE"""),1.2182431745402933)</f>
        <v>1.218243175</v>
      </c>
      <c r="AL3212" s="82">
        <f>IFERROR(__xludf.DUMMYFUNCTION("""COMPUTED_VALUE"""),0.8467241929868824)</f>
        <v>0.846724193</v>
      </c>
      <c r="AM3212" s="82">
        <f>IFERROR(__xludf.DUMMYFUNCTION("""COMPUTED_VALUE"""),0.9244439440840715)</f>
        <v>0.9244439441</v>
      </c>
      <c r="AN3212" s="82">
        <f>IFERROR(__xludf.DUMMYFUNCTION("""COMPUTED_VALUE"""),1.0520416116554059)</f>
        <v>1.052041612</v>
      </c>
      <c r="AO3212" s="82">
        <f>IFERROR(__xludf.DUMMYFUNCTION("""COMPUTED_VALUE"""),1.150527836222672)</f>
        <v>1.150527836</v>
      </c>
      <c r="AP3212" s="82">
        <f>IFERROR(__xludf.DUMMYFUNCTION("""COMPUTED_VALUE"""),1.4126110030045707)</f>
        <v>1.412611003</v>
      </c>
      <c r="AQ3212" s="82">
        <f>IFERROR(__xludf.DUMMYFUNCTION("""COMPUTED_VALUE"""),0.6911892580729707)</f>
        <v>0.6911892581</v>
      </c>
      <c r="AR3212" s="82">
        <f>IFERROR(__xludf.DUMMYFUNCTION("""COMPUTED_VALUE"""),1.0423249815422213)</f>
        <v>1.042324982</v>
      </c>
      <c r="AS3212" s="82">
        <f>IFERROR(__xludf.DUMMYFUNCTION("""COMPUTED_VALUE"""),77.0)</f>
        <v>77</v>
      </c>
      <c r="AT3212" s="82">
        <f>IFERROR(__xludf.DUMMYFUNCTION("""COMPUTED_VALUE"""),0.5213602959737075)</f>
        <v>0.521360296</v>
      </c>
      <c r="AU3212" s="82">
        <f>IFERROR(__xludf.DUMMYFUNCTION("""COMPUTED_VALUE"""),3.8869253099940915)</f>
        <v>3.88692531</v>
      </c>
      <c r="AV3212" s="82">
        <f>IFERROR(__xludf.DUMMYFUNCTION("""COMPUTED_VALUE"""),62.08410956189169)</f>
        <v>62.08410956</v>
      </c>
      <c r="AW3212" s="82">
        <f t="shared" si="1"/>
        <v>3.180474263</v>
      </c>
      <c r="AX3212" s="83">
        <f t="array" ref="AX3212">IFERROR(DGET('SBV Import'!A:G,"SBV",{"RSC ID","Tier";B3212,A3212}))</f>
        <v>57.0049746</v>
      </c>
      <c r="AY3212" s="82">
        <f t="shared" si="2"/>
        <v>2.566323928</v>
      </c>
      <c r="AZ3212" s="82">
        <v>0.6141503351681634</v>
      </c>
      <c r="BA3212" s="84">
        <v>3200.0</v>
      </c>
      <c r="BB3212" s="84" t="b">
        <f>IFERROR(__xludf.DUMMYFUNCTION("iferror(if(A3212="""",,E3212&gt;=FILTER(Constants!$F$2:$F$10,Constants!$A$2:$A$10=A3212)))"),TRUE)</f>
        <v>1</v>
      </c>
    </row>
    <row r="3213">
      <c r="A3213" s="89" t="str">
        <f>IFERROR(__xludf.DUMMYFUNCTION("""COMPUTED_VALUE"""),"Contender")</f>
        <v>Contender</v>
      </c>
      <c r="B3213" s="87" t="str">
        <f>IFERROR(__xludf.DUMMYFUNCTION("""COMPUTED_VALUE"""),"RSC007520")</f>
        <v>RSC007520</v>
      </c>
      <c r="C3213" s="73" t="str">
        <f>IFERROR(__xludf.DUMMYFUNCTION("""COMPUTED_VALUE"""),"Blitzzzzz.")</f>
        <v>Blitzzzzz.</v>
      </c>
      <c r="D3213" s="73" t="str">
        <f>IFERROR(__xludf.DUMMYFUNCTION("""COMPUTED_VALUE"""),"Devoured")</f>
        <v>Devoured</v>
      </c>
      <c r="E3213" s="82">
        <f>IFERROR(__xludf.DUMMYFUNCTION("""COMPUTED_VALUE"""),34.0)</f>
        <v>34</v>
      </c>
      <c r="F3213" s="82">
        <f>IFERROR(__xludf.DUMMYFUNCTION("""COMPUTED_VALUE"""),15.0)</f>
        <v>15</v>
      </c>
      <c r="G3213" s="86">
        <f>IFERROR(__xludf.DUMMYFUNCTION("""COMPUTED_VALUE"""),19.0)</f>
        <v>19</v>
      </c>
      <c r="H3213" s="86">
        <f>IFERROR(__xludf.DUMMYFUNCTION("""COMPUTED_VALUE"""),0.4411764705882353)</f>
        <v>0.4411764706</v>
      </c>
      <c r="I3213" s="86">
        <f>IFERROR(__xludf.DUMMYFUNCTION("""COMPUTED_VALUE"""),0.39999999999999997)</f>
        <v>0.4</v>
      </c>
      <c r="J3213" s="82">
        <f>IFERROR(__xludf.DUMMYFUNCTION("""COMPUTED_VALUE"""),327.8529411764706)</f>
        <v>327.8529412</v>
      </c>
      <c r="K3213" s="82">
        <f>IFERROR(__xludf.DUMMYFUNCTION("""COMPUTED_VALUE"""),0.7647058823529411)</f>
        <v>0.7647058824</v>
      </c>
      <c r="L3213" s="82">
        <f>IFERROR(__xludf.DUMMYFUNCTION("""COMPUTED_VALUE"""),0.7647058823529411)</f>
        <v>0.7647058824</v>
      </c>
      <c r="M3213" s="82">
        <f>IFERROR(__xludf.DUMMYFUNCTION("""COMPUTED_VALUE"""),1.0)</f>
        <v>1</v>
      </c>
      <c r="N3213" s="82">
        <f>IFERROR(__xludf.DUMMYFUNCTION("""COMPUTED_VALUE"""),1.911764705882353)</f>
        <v>1.911764706</v>
      </c>
      <c r="O3213" s="82">
        <f>IFERROR(__xludf.DUMMYFUNCTION("""COMPUTED_VALUE"""),343.2941176470588)</f>
        <v>343.2941176</v>
      </c>
      <c r="P3213" s="82">
        <f>IFERROR(__xludf.DUMMYFUNCTION("""COMPUTED_VALUE"""),0.9019607843137253)</f>
        <v>0.9019607843</v>
      </c>
      <c r="Q3213" s="82">
        <f>IFERROR(__xludf.DUMMYFUNCTION("""COMPUTED_VALUE"""),0.5686274509803924)</f>
        <v>0.568627451</v>
      </c>
      <c r="R3213" s="82">
        <f>IFERROR(__xludf.DUMMYFUNCTION("""COMPUTED_VALUE"""),1.1666666666666663)</f>
        <v>1.166666667</v>
      </c>
      <c r="S3213" s="82">
        <f>IFERROR(__xludf.DUMMYFUNCTION("""COMPUTED_VALUE"""),2.3725490196078427)</f>
        <v>2.37254902</v>
      </c>
      <c r="T3213" s="82">
        <f>IFERROR(__xludf.DUMMYFUNCTION("""COMPUTED_VALUE"""),329.3709158247151)</f>
        <v>329.3709158</v>
      </c>
      <c r="U3213" s="82">
        <f>IFERROR(__xludf.DUMMYFUNCTION("""COMPUTED_VALUE"""),0.8177123445763271)</f>
        <v>0.8177123446</v>
      </c>
      <c r="V3213" s="82">
        <f>IFERROR(__xludf.DUMMYFUNCTION("""COMPUTED_VALUE"""),0.5165567850756989)</f>
        <v>0.5165567851</v>
      </c>
      <c r="W3213" s="82">
        <f>IFERROR(__xludf.DUMMYFUNCTION("""COMPUTED_VALUE"""),1.081008320815211)</f>
        <v>1.081008321</v>
      </c>
      <c r="X3213" s="82">
        <f>IFERROR(__xludf.DUMMYFUNCTION("""COMPUTED_VALUE"""),2.3041896954019676)</f>
        <v>2.304189695</v>
      </c>
      <c r="Y3213" s="82">
        <f>IFERROR(__xludf.DUMMYFUNCTION("""COMPUTED_VALUE"""),312.4303172203347)</f>
        <v>312.4303172</v>
      </c>
      <c r="Z3213" s="82">
        <f>IFERROR(__xludf.DUMMYFUNCTION("""COMPUTED_VALUE"""),0.7198300093757962)</f>
        <v>0.7198300094</v>
      </c>
      <c r="AA3213" s="82">
        <f>IFERROR(__xludf.DUMMYFUNCTION("""COMPUTED_VALUE"""),0.4683596258595421)</f>
        <v>0.4683596259</v>
      </c>
      <c r="AB3213" s="82">
        <f>IFERROR(__xludf.DUMMYFUNCTION("""COMPUTED_VALUE"""),1.05824802837074)</f>
        <v>1.058248028</v>
      </c>
      <c r="AC3213" s="82">
        <f>IFERROR(__xludf.DUMMYFUNCTION("""COMPUTED_VALUE"""),2.169677431678126)</f>
        <v>2.169677432</v>
      </c>
      <c r="AD3213" s="82">
        <f>IFERROR(__xludf.DUMMYFUNCTION("""COMPUTED_VALUE"""),1.0493634039530788)</f>
        <v>1.049363404</v>
      </c>
      <c r="AE3213" s="82">
        <f>IFERROR(__xludf.DUMMYFUNCTION("""COMPUTED_VALUE"""),1.0623423202598337)</f>
        <v>1.06234232</v>
      </c>
      <c r="AF3213" s="82">
        <f>IFERROR(__xludf.DUMMYFUNCTION("""COMPUTED_VALUE"""),1.632732285473025)</f>
        <v>1.632732285</v>
      </c>
      <c r="AG3213" s="82">
        <f>IFERROR(__xludf.DUMMYFUNCTION("""COMPUTED_VALUE"""),0.9449580563259657)</f>
        <v>0.9449580563</v>
      </c>
      <c r="AH3213" s="82">
        <f>IFERROR(__xludf.DUMMYFUNCTION("""COMPUTED_VALUE"""),0.8811285391873704)</f>
        <v>0.8811285392</v>
      </c>
      <c r="AI3213" s="82">
        <f>IFERROR(__xludf.DUMMYFUNCTION("""COMPUTED_VALUE"""),1.0422721046498027)</f>
        <v>1.042272105</v>
      </c>
      <c r="AJ3213" s="82">
        <f>IFERROR(__xludf.DUMMYFUNCTION("""COMPUTED_VALUE"""),1.1030294336342066)</f>
        <v>1.103029434</v>
      </c>
      <c r="AK3213" s="82">
        <f>IFERROR(__xludf.DUMMYFUNCTION("""COMPUTED_VALUE"""),1.1008033722702195)</f>
        <v>1.100803372</v>
      </c>
      <c r="AL3213" s="82">
        <f>IFERROR(__xludf.DUMMYFUNCTION("""COMPUTED_VALUE"""),1.0792393029748915)</f>
        <v>1.079239303</v>
      </c>
      <c r="AM3213" s="82">
        <f>IFERROR(__xludf.DUMMYFUNCTION("""COMPUTED_VALUE"""),1.0296674029669897)</f>
        <v>1.029667403</v>
      </c>
      <c r="AN3213" s="82">
        <f>IFERROR(__xludf.DUMMYFUNCTION("""COMPUTED_VALUE"""),1.051791079076395)</f>
        <v>1.051791079</v>
      </c>
      <c r="AO3213" s="82">
        <f>IFERROR(__xludf.DUMMYFUNCTION("""COMPUTED_VALUE"""),1.0205858688375233)</f>
        <v>1.020585869</v>
      </c>
      <c r="AP3213" s="82">
        <f>IFERROR(__xludf.DUMMYFUNCTION("""COMPUTED_VALUE"""),1.4917488743213532)</f>
        <v>1.491748874</v>
      </c>
      <c r="AQ3213" s="82">
        <f>IFERROR(__xludf.DUMMYFUNCTION("""COMPUTED_VALUE"""),0.9544994516245786)</f>
        <v>0.9544994516</v>
      </c>
      <c r="AR3213" s="82">
        <f>IFERROR(__xludf.DUMMYFUNCTION("""COMPUTED_VALUE"""),0.8890418960213065)</f>
        <v>0.889041896</v>
      </c>
      <c r="AS3213" s="82">
        <f>IFERROR(__xludf.DUMMYFUNCTION("""COMPUTED_VALUE"""),78.0)</f>
        <v>78</v>
      </c>
      <c r="AT3213" s="82">
        <f>IFERROR(__xludf.DUMMYFUNCTION("""COMPUTED_VALUE"""),0.4348725867149809)</f>
        <v>0.4348725867</v>
      </c>
      <c r="AU3213" s="82">
        <f>IFERROR(__xludf.DUMMYFUNCTION("""COMPUTED_VALUE"""),3.825520196567904)</f>
        <v>3.825520197</v>
      </c>
      <c r="AV3213" s="82">
        <f>IFERROR(__xludf.DUMMYFUNCTION("""COMPUTED_VALUE"""),61.02534347546344)</f>
        <v>61.02534348</v>
      </c>
      <c r="AW3213" s="82">
        <f t="shared" si="1"/>
        <v>3.033966542</v>
      </c>
      <c r="AX3213" s="83">
        <f t="array" ref="AX3213">IFERROR(DGET('SBV Import'!A:G,"SBV",{"RSC ID","Tier";B3213,A3213}))</f>
        <v>51.07357817</v>
      </c>
      <c r="AY3213" s="82">
        <f t="shared" si="2"/>
        <v>2.070936041</v>
      </c>
      <c r="AZ3213" s="82">
        <v>0.963030500730671</v>
      </c>
      <c r="BA3213" s="84">
        <v>3200.0</v>
      </c>
      <c r="BB3213" s="84" t="b">
        <f>IFERROR(__xludf.DUMMYFUNCTION("iferror(if(A3213="""",,E3213&gt;=FILTER(Constants!$F$2:$F$10,Constants!$A$2:$A$10=A3213)))"),TRUE)</f>
        <v>1</v>
      </c>
    </row>
    <row r="3214">
      <c r="A3214" s="89" t="str">
        <f>IFERROR(__xludf.DUMMYFUNCTION("""COMPUTED_VALUE"""),"Contender")</f>
        <v>Contender</v>
      </c>
      <c r="B3214" s="87" t="str">
        <f>IFERROR(__xludf.DUMMYFUNCTION("""COMPUTED_VALUE"""),"RSC007513")</f>
        <v>RSC007513</v>
      </c>
      <c r="C3214" s="73" t="str">
        <f>IFERROR(__xludf.DUMMYFUNCTION("""COMPUTED_VALUE"""),"Russ")</f>
        <v>Russ</v>
      </c>
      <c r="D3214" s="73" t="str">
        <f>IFERROR(__xludf.DUMMYFUNCTION("""COMPUTED_VALUE"""),"Toothpaste")</f>
        <v>Toothpaste</v>
      </c>
      <c r="E3214" s="82">
        <f>IFERROR(__xludf.DUMMYFUNCTION("""COMPUTED_VALUE"""),5.0)</f>
        <v>5</v>
      </c>
      <c r="F3214" s="82">
        <f>IFERROR(__xludf.DUMMYFUNCTION("""COMPUTED_VALUE"""),2.0)</f>
        <v>2</v>
      </c>
      <c r="G3214" s="86">
        <f>IFERROR(__xludf.DUMMYFUNCTION("""COMPUTED_VALUE"""),3.0)</f>
        <v>3</v>
      </c>
      <c r="H3214" s="86">
        <f>IFERROR(__xludf.DUMMYFUNCTION("""COMPUTED_VALUE"""),0.4)</f>
        <v>0.4</v>
      </c>
      <c r="I3214" s="86">
        <f>IFERROR(__xludf.DUMMYFUNCTION("""COMPUTED_VALUE"""),0.25)</f>
        <v>0.25</v>
      </c>
      <c r="J3214" s="82">
        <f>IFERROR(__xludf.DUMMYFUNCTION("""COMPUTED_VALUE"""),313.4)</f>
        <v>313.4</v>
      </c>
      <c r="K3214" s="82">
        <f>IFERROR(__xludf.DUMMYFUNCTION("""COMPUTED_VALUE"""),0.6)</f>
        <v>0.6</v>
      </c>
      <c r="L3214" s="82">
        <f>IFERROR(__xludf.DUMMYFUNCTION("""COMPUTED_VALUE"""),0.8)</f>
        <v>0.8</v>
      </c>
      <c r="M3214" s="82">
        <f>IFERROR(__xludf.DUMMYFUNCTION("""COMPUTED_VALUE"""),1.0)</f>
        <v>1</v>
      </c>
      <c r="N3214" s="82">
        <f>IFERROR(__xludf.DUMMYFUNCTION("""COMPUTED_VALUE"""),2.4)</f>
        <v>2.4</v>
      </c>
      <c r="O3214" s="82">
        <f>IFERROR(__xludf.DUMMYFUNCTION("""COMPUTED_VALUE"""),335.19999999999993)</f>
        <v>335.2</v>
      </c>
      <c r="P3214" s="82">
        <f>IFERROR(__xludf.DUMMYFUNCTION("""COMPUTED_VALUE"""),0.7333333333333333)</f>
        <v>0.7333333333</v>
      </c>
      <c r="Q3214" s="82">
        <f>IFERROR(__xludf.DUMMYFUNCTION("""COMPUTED_VALUE"""),0.3333333333333333)</f>
        <v>0.3333333333</v>
      </c>
      <c r="R3214" s="82">
        <f>IFERROR(__xludf.DUMMYFUNCTION("""COMPUTED_VALUE"""),1.2)</f>
        <v>1.2</v>
      </c>
      <c r="S3214" s="82">
        <f>IFERROR(__xludf.DUMMYFUNCTION("""COMPUTED_VALUE"""),1.8)</f>
        <v>1.8</v>
      </c>
      <c r="T3214" s="82">
        <f>IFERROR(__xludf.DUMMYFUNCTION("""COMPUTED_VALUE"""),302.1565173894206)</f>
        <v>302.1565174</v>
      </c>
      <c r="U3214" s="82">
        <f>IFERROR(__xludf.DUMMYFUNCTION("""COMPUTED_VALUE"""),0.6287210209145695)</f>
        <v>0.6287210209</v>
      </c>
      <c r="V3214" s="82">
        <f>IFERROR(__xludf.DUMMYFUNCTION("""COMPUTED_VALUE"""),0.35987730907085747)</f>
        <v>0.3598773091</v>
      </c>
      <c r="W3214" s="82">
        <f>IFERROR(__xludf.DUMMYFUNCTION("""COMPUTED_VALUE"""),1.170539111426208)</f>
        <v>1.170539111</v>
      </c>
      <c r="X3214" s="82">
        <f>IFERROR(__xludf.DUMMYFUNCTION("""COMPUTED_VALUE"""),1.9614224467288985)</f>
        <v>1.961422447</v>
      </c>
      <c r="Y3214" s="82">
        <f>IFERROR(__xludf.DUMMYFUNCTION("""COMPUTED_VALUE"""),324.426434643612)</f>
        <v>324.4264346</v>
      </c>
      <c r="Z3214" s="82">
        <f>IFERROR(__xludf.DUMMYFUNCTION("""COMPUTED_VALUE"""),0.7994345123216091)</f>
        <v>0.7994345123</v>
      </c>
      <c r="AA3214" s="82">
        <f>IFERROR(__xludf.DUMMYFUNCTION("""COMPUTED_VALUE"""),0.508345379232476)</f>
        <v>0.5083453792</v>
      </c>
      <c r="AB3214" s="82">
        <f>IFERROR(__xludf.DUMMYFUNCTION("""COMPUTED_VALUE"""),1.0248871361613296)</f>
        <v>1.024887136</v>
      </c>
      <c r="AC3214" s="82">
        <f>IFERROR(__xludf.DUMMYFUNCTION("""COMPUTED_VALUE"""),2.448141452335001)</f>
        <v>2.448141452</v>
      </c>
      <c r="AD3214" s="82">
        <f>IFERROR(__xludf.DUMMYFUNCTION("""COMPUTED_VALUE"""),0.9660125271366226)</f>
        <v>0.9660125271</v>
      </c>
      <c r="AE3214" s="82">
        <f>IFERROR(__xludf.DUMMYFUNCTION("""COMPUTED_VALUE"""),0.7505305197014344)</f>
        <v>0.7505305197</v>
      </c>
      <c r="AF3214" s="82">
        <f>IFERROR(__xludf.DUMMYFUNCTION("""COMPUTED_VALUE"""),1.5737331992824997)</f>
        <v>1.573733199</v>
      </c>
      <c r="AG3214" s="82">
        <f>IFERROR(__xludf.DUMMYFUNCTION("""COMPUTED_VALUE"""),0.9757171933540474)</f>
        <v>0.9757171934</v>
      </c>
      <c r="AH3214" s="82">
        <f>IFERROR(__xludf.DUMMYFUNCTION("""COMPUTED_VALUE"""),0.9803355103157603)</f>
        <v>0.9803355103</v>
      </c>
      <c r="AI3214" s="82">
        <f>IFERROR(__xludf.DUMMYFUNCTION("""COMPUTED_VALUE"""),1.10935882798779)</f>
        <v>1.109358828</v>
      </c>
      <c r="AJ3214" s="82">
        <f>IFERROR(__xludf.DUMMYFUNCTION("""COMPUTED_VALUE"""),1.1663890802737746)</f>
        <v>1.16638908</v>
      </c>
      <c r="AK3214" s="82">
        <f>IFERROR(__xludf.DUMMYFUNCTION("""COMPUTED_VALUE"""),0.9262415965984179)</f>
        <v>0.9262415966</v>
      </c>
      <c r="AL3214" s="82">
        <f>IFERROR(__xludf.DUMMYFUNCTION("""COMPUTED_VALUE"""),1.025168649459219)</f>
        <v>1.025168649</v>
      </c>
      <c r="AM3214" s="82">
        <f>IFERROR(__xludf.DUMMYFUNCTION("""COMPUTED_VALUE"""),0.9177013360899863)</f>
        <v>0.9177013361</v>
      </c>
      <c r="AN3214" s="82">
        <f>IFERROR(__xludf.DUMMYFUNCTION("""COMPUTED_VALUE"""),1.0054243314081306)</f>
        <v>1.005424331</v>
      </c>
      <c r="AO3214" s="82">
        <f>IFERROR(__xludf.DUMMYFUNCTION("""COMPUTED_VALUE"""),0.8007673740109797)</f>
        <v>0.800767374</v>
      </c>
      <c r="AP3214" s="82">
        <f>IFERROR(__xludf.DUMMYFUNCTION("""COMPUTED_VALUE"""),1.5605988223669542)</f>
        <v>1.560598822</v>
      </c>
      <c r="AQ3214" s="82">
        <f>IFERROR(__xludf.DUMMYFUNCTION("""COMPUTED_VALUE"""),0.9544994516245786)</f>
        <v>0.9544994516</v>
      </c>
      <c r="AR3214" s="82">
        <f>IFERROR(__xludf.DUMMYFUNCTION("""COMPUTED_VALUE"""),1.116089518697517)</f>
        <v>1.116089519</v>
      </c>
      <c r="AS3214" s="82">
        <f>IFERROR(__xludf.DUMMYFUNCTION("""COMPUTED_VALUE"""),10.0)</f>
        <v>10</v>
      </c>
      <c r="AT3214" s="82">
        <f>IFERROR(__xludf.DUMMYFUNCTION("""COMPUTED_VALUE"""),0.46409098458579207)</f>
        <v>0.4640909846</v>
      </c>
      <c r="AU3214" s="82">
        <f>IFERROR(__xludf.DUMMYFUNCTION("""COMPUTED_VALUE"""),3.6936293433026868)</f>
        <v>3.693629343</v>
      </c>
      <c r="AV3214" s="82">
        <f>IFERROR(__xludf.DUMMYFUNCTION("""COMPUTED_VALUE"""),58.75124031441065)</f>
        <v>58.75124031</v>
      </c>
      <c r="AW3214" s="82">
        <f t="shared" si="1"/>
        <v>2.753677498</v>
      </c>
      <c r="AX3214" s="83">
        <f t="array" ref="AX3214">IFERROR(DGET('SBV Import'!A:G,"SBV",{"RSC ID","Tier";B3214,A3214}))</f>
        <v>68.97738418</v>
      </c>
      <c r="AY3214" s="82">
        <f t="shared" si="2"/>
        <v>4.46632437</v>
      </c>
      <c r="AZ3214" s="82">
        <v>1.7126468719941026</v>
      </c>
      <c r="BA3214" s="84">
        <v>3200.0</v>
      </c>
      <c r="BB3214" s="84" t="b">
        <f>IFERROR(__xludf.DUMMYFUNCTION("iferror(if(A3214="""",,E3214&gt;=FILTER(Constants!$F$2:$F$10,Constants!$A$2:$A$10=A3214)))"),TRUE)</f>
        <v>1</v>
      </c>
    </row>
    <row r="3215">
      <c r="A3215" s="89" t="str">
        <f>IFERROR(__xludf.DUMMYFUNCTION("""COMPUTED_VALUE"""),"Contender")</f>
        <v>Contender</v>
      </c>
      <c r="B3215" s="87" t="str">
        <f>IFERROR(__xludf.DUMMYFUNCTION("""COMPUTED_VALUE"""),"RSC007465")</f>
        <v>RSC007465</v>
      </c>
      <c r="C3215" s="73" t="str">
        <f>IFERROR(__xludf.DUMMYFUNCTION("""COMPUTED_VALUE"""),"xReaperDenTTV")</f>
        <v>xReaperDenTTV</v>
      </c>
      <c r="D3215" s="73"/>
      <c r="E3215" s="82">
        <f>IFERROR(__xludf.DUMMYFUNCTION("""COMPUTED_VALUE"""),26.0)</f>
        <v>26</v>
      </c>
      <c r="F3215" s="82">
        <f>IFERROR(__xludf.DUMMYFUNCTION("""COMPUTED_VALUE"""),11.0)</f>
        <v>11</v>
      </c>
      <c r="G3215" s="86">
        <f>IFERROR(__xludf.DUMMYFUNCTION("""COMPUTED_VALUE"""),15.0)</f>
        <v>15</v>
      </c>
      <c r="H3215" s="86">
        <f>IFERROR(__xludf.DUMMYFUNCTION("""COMPUTED_VALUE"""),0.4230769230769231)</f>
        <v>0.4230769231</v>
      </c>
      <c r="I3215" s="86">
        <f>IFERROR(__xludf.DUMMYFUNCTION("""COMPUTED_VALUE"""),0.34920634920634924)</f>
        <v>0.3492063492</v>
      </c>
      <c r="J3215" s="82">
        <f>IFERROR(__xludf.DUMMYFUNCTION("""COMPUTED_VALUE"""),344.38461538461536)</f>
        <v>344.3846154</v>
      </c>
      <c r="K3215" s="82">
        <f>IFERROR(__xludf.DUMMYFUNCTION("""COMPUTED_VALUE"""),0.8461538461538461)</f>
        <v>0.8461538462</v>
      </c>
      <c r="L3215" s="82">
        <f>IFERROR(__xludf.DUMMYFUNCTION("""COMPUTED_VALUE"""),0.5)</f>
        <v>0.5</v>
      </c>
      <c r="M3215" s="82">
        <f>IFERROR(__xludf.DUMMYFUNCTION("""COMPUTED_VALUE"""),1.1153846153846154)</f>
        <v>1.115384615</v>
      </c>
      <c r="N3215" s="82">
        <f>IFERROR(__xludf.DUMMYFUNCTION("""COMPUTED_VALUE"""),2.423076923076923)</f>
        <v>2.423076923</v>
      </c>
      <c r="O3215" s="82">
        <f>IFERROR(__xludf.DUMMYFUNCTION("""COMPUTED_VALUE"""),323.03846153846155)</f>
        <v>323.0384615</v>
      </c>
      <c r="P3215" s="82">
        <f>IFERROR(__xludf.DUMMYFUNCTION("""COMPUTED_VALUE"""),0.8333333333333333)</f>
        <v>0.8333333333</v>
      </c>
      <c r="Q3215" s="82">
        <f>IFERROR(__xludf.DUMMYFUNCTION("""COMPUTED_VALUE"""),0.48717948717948717)</f>
        <v>0.4871794872</v>
      </c>
      <c r="R3215" s="82">
        <f>IFERROR(__xludf.DUMMYFUNCTION("""COMPUTED_VALUE"""),1.0384615384615383)</f>
        <v>1.038461538</v>
      </c>
      <c r="S3215" s="82">
        <f>IFERROR(__xludf.DUMMYFUNCTION("""COMPUTED_VALUE"""),2.294871794871795)</f>
        <v>2.294871795</v>
      </c>
      <c r="T3215" s="82">
        <f>IFERROR(__xludf.DUMMYFUNCTION("""COMPUTED_VALUE"""),323.27863602814983)</f>
        <v>323.278636</v>
      </c>
      <c r="U3215" s="82">
        <f>IFERROR(__xludf.DUMMYFUNCTION("""COMPUTED_VALUE"""),0.825250982439311)</f>
        <v>0.8252509824</v>
      </c>
      <c r="V3215" s="82">
        <f>IFERROR(__xludf.DUMMYFUNCTION("""COMPUTED_VALUE"""),0.5228229076814401)</f>
        <v>0.5228229077</v>
      </c>
      <c r="W3215" s="82">
        <f>IFERROR(__xludf.DUMMYFUNCTION("""COMPUTED_VALUE"""),1.0237246396397592)</f>
        <v>1.02372464</v>
      </c>
      <c r="X3215" s="82">
        <f>IFERROR(__xludf.DUMMYFUNCTION("""COMPUTED_VALUE"""),2.266866984899699)</f>
        <v>2.266866985</v>
      </c>
      <c r="Y3215" s="82">
        <f>IFERROR(__xludf.DUMMYFUNCTION("""COMPUTED_VALUE"""),321.04565513516286)</f>
        <v>321.0456551</v>
      </c>
      <c r="Z3215" s="82">
        <f>IFERROR(__xludf.DUMMYFUNCTION("""COMPUTED_VALUE"""),0.7673965142606463)</f>
        <v>0.7673965143</v>
      </c>
      <c r="AA3215" s="82">
        <f>IFERROR(__xludf.DUMMYFUNCTION("""COMPUTED_VALUE"""),0.5144065442694972)</f>
        <v>0.5144065443</v>
      </c>
      <c r="AB3215" s="82">
        <f>IFERROR(__xludf.DUMMYFUNCTION("""COMPUTED_VALUE"""),1.0659949622917497)</f>
        <v>1.065994962</v>
      </c>
      <c r="AC3215" s="82">
        <f>IFERROR(__xludf.DUMMYFUNCTION("""COMPUTED_VALUE"""),2.211957153542771)</f>
        <v>2.211957154</v>
      </c>
      <c r="AD3215" s="82">
        <f>IFERROR(__xludf.DUMMYFUNCTION("""COMPUTED_VALUE"""),1.072696701781018)</f>
        <v>1.072696702</v>
      </c>
      <c r="AE3215" s="82">
        <f>IFERROR(__xludf.DUMMYFUNCTION("""COMPUTED_VALUE"""),1.1026292541465075)</f>
        <v>1.102629254</v>
      </c>
      <c r="AF3215" s="82">
        <f>IFERROR(__xludf.DUMMYFUNCTION("""COMPUTED_VALUE"""),0.9719938549966238)</f>
        <v>0.971993855</v>
      </c>
      <c r="AG3215" s="82">
        <f>IFERROR(__xludf.DUMMYFUNCTION("""COMPUTED_VALUE"""),1.0463319760786527)</f>
        <v>1.046331976</v>
      </c>
      <c r="AH3215" s="82">
        <f>IFERROR(__xludf.DUMMYFUNCTION("""COMPUTED_VALUE"""),1.0954447825519644)</f>
        <v>1.095444783</v>
      </c>
      <c r="AI3215" s="82">
        <f>IFERROR(__xludf.DUMMYFUNCTION("""COMPUTED_VALUE"""),0.9992570666201791)</f>
        <v>0.9992570666</v>
      </c>
      <c r="AJ3215" s="82">
        <f>IFERROR(__xludf.DUMMYFUNCTION("""COMPUTED_VALUE"""),1.0097938094785808)</f>
        <v>1.009793809</v>
      </c>
      <c r="AK3215" s="82">
        <f>IFERROR(__xludf.DUMMYFUNCTION("""COMPUTED_VALUE"""),0.9318250597319451)</f>
        <v>0.9318250597</v>
      </c>
      <c r="AL3215" s="82">
        <f>IFERROR(__xludf.DUMMYFUNCTION("""COMPUTED_VALUE"""),1.0143953737666849)</f>
        <v>1.014395374</v>
      </c>
      <c r="AM3215" s="82">
        <f>IFERROR(__xludf.DUMMYFUNCTION("""COMPUTED_VALUE"""),1.0123539714322212)</f>
        <v>1.012353971</v>
      </c>
      <c r="AN3215" s="82">
        <f>IFERROR(__xludf.DUMMYFUNCTION("""COMPUTED_VALUE"""),1.1048266485970746)</f>
        <v>1.104826649</v>
      </c>
      <c r="AO3215" s="82">
        <f>IFERROR(__xludf.DUMMYFUNCTION("""COMPUTED_VALUE"""),1.1292873223231767)</f>
        <v>1.129287322</v>
      </c>
      <c r="AP3215" s="82">
        <f>IFERROR(__xludf.DUMMYFUNCTION("""COMPUTED_VALUE"""),0.9753742639793463)</f>
        <v>0.975374264</v>
      </c>
      <c r="AQ3215" s="82">
        <f>IFERROR(__xludf.DUMMYFUNCTION("""COMPUTED_VALUE"""),1.064634003735107)</f>
        <v>1.064634004</v>
      </c>
      <c r="AR3215" s="82">
        <f>IFERROR(__xludf.DUMMYFUNCTION("""COMPUTED_VALUE"""),1.126821148684993)</f>
        <v>1.126821149</v>
      </c>
      <c r="AS3215" s="82">
        <f>IFERROR(__xludf.DUMMYFUNCTION("""COMPUTED_VALUE"""),52.0)</f>
        <v>52</v>
      </c>
      <c r="AT3215" s="82">
        <f>IFERROR(__xludf.DUMMYFUNCTION("""COMPUTED_VALUE"""),0.41493464975825695)</f>
        <v>0.4149346498</v>
      </c>
      <c r="AU3215" s="82">
        <f>IFERROR(__xludf.DUMMYFUNCTION("""COMPUTED_VALUE"""),3.6426932755047874)</f>
        <v>3.642693276</v>
      </c>
      <c r="AV3215" s="82">
        <f>IFERROR(__xludf.DUMMYFUNCTION("""COMPUTED_VALUE"""),57.872984772626616)</f>
        <v>57.87298477</v>
      </c>
      <c r="AW3215" s="82">
        <f t="shared" si="1"/>
        <v>2.656667472</v>
      </c>
      <c r="AX3215" s="83">
        <f t="array" ref="AX3215">IFERROR(DGET('SBV Import'!A:G,"SBV",{"RSC ID","Tier";B3215,A3215}))</f>
        <v>61.77696303</v>
      </c>
      <c r="AY3215" s="82">
        <f t="shared" si="2"/>
        <v>3.136838316</v>
      </c>
      <c r="AZ3215" s="82">
        <v>0.48017084438072466</v>
      </c>
      <c r="BA3215" s="84">
        <v>3200.0</v>
      </c>
      <c r="BB3215" s="84" t="b">
        <f>IFERROR(__xludf.DUMMYFUNCTION("iferror(if(A3215="""",,E3215&gt;=FILTER(Constants!$F$2:$F$10,Constants!$A$2:$A$10=A3215)))"),TRUE)</f>
        <v>1</v>
      </c>
    </row>
    <row r="3216">
      <c r="A3216" s="89" t="str">
        <f>IFERROR(__xludf.DUMMYFUNCTION("""COMPUTED_VALUE"""),"Contender")</f>
        <v>Contender</v>
      </c>
      <c r="B3216" s="87" t="str">
        <f>IFERROR(__xludf.DUMMYFUNCTION("""COMPUTED_VALUE"""),"RSC007918")</f>
        <v>RSC007918</v>
      </c>
      <c r="C3216" s="73" t="str">
        <f>IFERROR(__xludf.DUMMYFUNCTION("""COMPUTED_VALUE"""),"TheBLKBoy")</f>
        <v>TheBLKBoy</v>
      </c>
      <c r="D3216" s="73" t="str">
        <f>IFERROR(__xludf.DUMMYFUNCTION("""COMPUTED_VALUE"""),"Clover")</f>
        <v>Clover</v>
      </c>
      <c r="E3216" s="82">
        <f>IFERROR(__xludf.DUMMYFUNCTION("""COMPUTED_VALUE"""),25.0)</f>
        <v>25</v>
      </c>
      <c r="F3216" s="82">
        <f>IFERROR(__xludf.DUMMYFUNCTION("""COMPUTED_VALUE"""),14.0)</f>
        <v>14</v>
      </c>
      <c r="G3216" s="86">
        <f>IFERROR(__xludf.DUMMYFUNCTION("""COMPUTED_VALUE"""),11.0)</f>
        <v>11</v>
      </c>
      <c r="H3216" s="86">
        <f>IFERROR(__xludf.DUMMYFUNCTION("""COMPUTED_VALUE"""),0.56)</f>
        <v>0.56</v>
      </c>
      <c r="I3216" s="86">
        <f>IFERROR(__xludf.DUMMYFUNCTION("""COMPUTED_VALUE"""),0.4150943396226415)</f>
        <v>0.4150943396</v>
      </c>
      <c r="J3216" s="82">
        <f>IFERROR(__xludf.DUMMYFUNCTION("""COMPUTED_VALUE"""),341.6)</f>
        <v>341.6</v>
      </c>
      <c r="K3216" s="82">
        <f>IFERROR(__xludf.DUMMYFUNCTION("""COMPUTED_VALUE"""),0.88)</f>
        <v>0.88</v>
      </c>
      <c r="L3216" s="82">
        <f>IFERROR(__xludf.DUMMYFUNCTION("""COMPUTED_VALUE"""),0.6)</f>
        <v>0.6</v>
      </c>
      <c r="M3216" s="82">
        <f>IFERROR(__xludf.DUMMYFUNCTION("""COMPUTED_VALUE"""),1.4)</f>
        <v>1.4</v>
      </c>
      <c r="N3216" s="82">
        <f>IFERROR(__xludf.DUMMYFUNCTION("""COMPUTED_VALUE"""),2.12)</f>
        <v>2.12</v>
      </c>
      <c r="O3216" s="82">
        <f>IFERROR(__xludf.DUMMYFUNCTION("""COMPUTED_VALUE"""),314.5999999999999)</f>
        <v>314.6</v>
      </c>
      <c r="P3216" s="82">
        <f>IFERROR(__xludf.DUMMYFUNCTION("""COMPUTED_VALUE"""),0.72)</f>
        <v>0.72</v>
      </c>
      <c r="Q3216" s="82">
        <f>IFERROR(__xludf.DUMMYFUNCTION("""COMPUTED_VALUE"""),0.4666666666666666)</f>
        <v>0.4666666667</v>
      </c>
      <c r="R3216" s="82">
        <f>IFERROR(__xludf.DUMMYFUNCTION("""COMPUTED_VALUE"""),1.12)</f>
        <v>1.12</v>
      </c>
      <c r="S3216" s="82">
        <f>IFERROR(__xludf.DUMMYFUNCTION("""COMPUTED_VALUE"""),2.333333333333333)</f>
        <v>2.333333333</v>
      </c>
      <c r="T3216" s="82">
        <f>IFERROR(__xludf.DUMMYFUNCTION("""COMPUTED_VALUE"""),315.32118103158115)</f>
        <v>315.321181</v>
      </c>
      <c r="U3216" s="82">
        <f>IFERROR(__xludf.DUMMYFUNCTION("""COMPUTED_VALUE"""),0.7186505257812263)</f>
        <v>0.7186505258</v>
      </c>
      <c r="V3216" s="82">
        <f>IFERROR(__xludf.DUMMYFUNCTION("""COMPUTED_VALUE"""),0.4833298062708519)</f>
        <v>0.4833298063</v>
      </c>
      <c r="W3216" s="82">
        <f>IFERROR(__xludf.DUMMYFUNCTION("""COMPUTED_VALUE"""),1.0934912225026243)</f>
        <v>1.093491223</v>
      </c>
      <c r="X3216" s="82">
        <f>IFERROR(__xludf.DUMMYFUNCTION("""COMPUTED_VALUE"""),2.1510512580671097)</f>
        <v>2.151051258</v>
      </c>
      <c r="Y3216" s="82">
        <f>IFERROR(__xludf.DUMMYFUNCTION("""COMPUTED_VALUE"""),328.2231173624196)</f>
        <v>328.2231174</v>
      </c>
      <c r="Z3216" s="82">
        <f>IFERROR(__xludf.DUMMYFUNCTION("""COMPUTED_VALUE"""),0.8197020129892766)</f>
        <v>0.819702013</v>
      </c>
      <c r="AA3216" s="82">
        <f>IFERROR(__xludf.DUMMYFUNCTION("""COMPUTED_VALUE"""),0.5280080074418227)</f>
        <v>0.5280080074</v>
      </c>
      <c r="AB3216" s="82">
        <f>IFERROR(__xludf.DUMMYFUNCTION("""COMPUTED_VALUE"""),1.0620931430556013)</f>
        <v>1.062093143</v>
      </c>
      <c r="AC3216" s="82">
        <f>IFERROR(__xludf.DUMMYFUNCTION("""COMPUTED_VALUE"""),2.2692001051928754)</f>
        <v>2.269200105</v>
      </c>
      <c r="AD3216" s="82">
        <f>IFERROR(__xludf.DUMMYFUNCTION("""COMPUTED_VALUE"""),1.0407554554507805)</f>
        <v>1.040755455</v>
      </c>
      <c r="AE3216" s="82">
        <f>IFERROR(__xludf.DUMMYFUNCTION("""COMPUTED_VALUE"""),1.0735608624295427)</f>
        <v>1.073560862</v>
      </c>
      <c r="AF3216" s="82">
        <f>IFERROR(__xludf.DUMMYFUNCTION("""COMPUTED_VALUE"""),1.1363464029778174)</f>
        <v>1.136346403</v>
      </c>
      <c r="AG3216" s="82">
        <f>IFERROR(__xludf.DUMMYFUNCTION("""COMPUTED_VALUE"""),1.3181518110287893)</f>
        <v>1.318151811</v>
      </c>
      <c r="AH3216" s="82">
        <f>IFERROR(__xludf.DUMMYFUNCTION("""COMPUTED_VALUE"""),0.9342499126227594)</f>
        <v>0.9342499126</v>
      </c>
      <c r="AI3216" s="82">
        <f>IFERROR(__xludf.DUMMYFUNCTION("""COMPUTED_VALUE"""),0.9977128684180939)</f>
        <v>0.9977128684</v>
      </c>
      <c r="AJ3216" s="82">
        <f>IFERROR(__xludf.DUMMYFUNCTION("""COMPUTED_VALUE"""),1.0018777892318476)</f>
        <v>1.001877789</v>
      </c>
      <c r="AK3216" s="82">
        <f>IFERROR(__xludf.DUMMYFUNCTION("""COMPUTED_VALUE"""),0.9655242871679064)</f>
        <v>0.9655242872</v>
      </c>
      <c r="AL3216" s="82">
        <f>IFERROR(__xludf.DUMMYFUNCTION("""COMPUTED_VALUE"""),1.0242423322216583)</f>
        <v>1.024242332</v>
      </c>
      <c r="AM3216" s="82">
        <f>IFERROR(__xludf.DUMMYFUNCTION("""COMPUTED_VALUE"""),1.0847409258996543)</f>
        <v>1.084740926</v>
      </c>
      <c r="AN3216" s="82">
        <f>IFERROR(__xludf.DUMMYFUNCTION("""COMPUTED_VALUE"""),1.095893272523987)</f>
        <v>1.095893273</v>
      </c>
      <c r="AO3216" s="82">
        <f>IFERROR(__xludf.DUMMYFUNCTION("""COMPUTED_VALUE"""),1.1744588152161037)</f>
        <v>1.174458815</v>
      </c>
      <c r="AP3216" s="82">
        <f>IFERROR(__xludf.DUMMYFUNCTION("""COMPUTED_VALUE"""),1.1704491167752156)</f>
        <v>1.170449117</v>
      </c>
      <c r="AQ3216" s="82">
        <f>IFERROR(__xludf.DUMMYFUNCTION("""COMPUTED_VALUE"""),1.33629923227441)</f>
        <v>1.336299232</v>
      </c>
      <c r="AR3216" s="82">
        <f>IFERROR(__xludf.DUMMYFUNCTION("""COMPUTED_VALUE"""),0.9858790748494735)</f>
        <v>0.9858790748</v>
      </c>
      <c r="AS3216" s="82">
        <f>IFERROR(__xludf.DUMMYFUNCTION("""COMPUTED_VALUE"""),67.0)</f>
        <v>67</v>
      </c>
      <c r="AT3216" s="82">
        <f>IFERROR(__xludf.DUMMYFUNCTION("""COMPUTED_VALUE"""),0.5839890044147312)</f>
        <v>0.5839890044</v>
      </c>
      <c r="AU3216" s="82">
        <f>IFERROR(__xludf.DUMMYFUNCTION("""COMPUTED_VALUE"""),3.6401540504823267)</f>
        <v>3.64015405</v>
      </c>
      <c r="AV3216" s="82">
        <f>IFERROR(__xludf.DUMMYFUNCTION("""COMPUTED_VALUE"""),57.82920266410852)</f>
        <v>57.82920266</v>
      </c>
      <c r="AW3216" s="82">
        <f t="shared" si="1"/>
        <v>2.651981943</v>
      </c>
      <c r="AX3216" s="83">
        <f t="array" ref="AX3216">IFERROR(DGET('SBV Import'!A:G,"SBV",{"RSC ID","Tier";B3216,A3216}))</f>
        <v>53.15181148</v>
      </c>
      <c r="AY3216" s="82">
        <f t="shared" si="2"/>
        <v>2.223026049</v>
      </c>
      <c r="AZ3216" s="82">
        <v>0.42895589378614396</v>
      </c>
      <c r="BA3216" s="84">
        <v>3200.0</v>
      </c>
      <c r="BB3216" s="84" t="b">
        <f>IFERROR(__xludf.DUMMYFUNCTION("iferror(if(A3216="""",,E3216&gt;=FILTER(Constants!$F$2:$F$10,Constants!$A$2:$A$10=A3216)))"),TRUE)</f>
        <v>1</v>
      </c>
    </row>
    <row r="3217">
      <c r="A3217" s="89" t="str">
        <f>IFERROR(__xludf.DUMMYFUNCTION("""COMPUTED_VALUE"""),"Contender")</f>
        <v>Contender</v>
      </c>
      <c r="B3217" s="87" t="str">
        <f>IFERROR(__xludf.DUMMYFUNCTION("""COMPUTED_VALUE"""),"RSC004509")</f>
        <v>RSC004509</v>
      </c>
      <c r="C3217" s="73" t="str">
        <f>IFERROR(__xludf.DUMMYFUNCTION("""COMPUTED_VALUE"""),"tazlien")</f>
        <v>tazlien</v>
      </c>
      <c r="D3217" s="73" t="str">
        <f>IFERROR(__xludf.DUMMYFUNCTION("""COMPUTED_VALUE"""),"Zebras")</f>
        <v>Zebras</v>
      </c>
      <c r="E3217" s="82">
        <f>IFERROR(__xludf.DUMMYFUNCTION("""COMPUTED_VALUE"""),24.0)</f>
        <v>24</v>
      </c>
      <c r="F3217" s="82">
        <f>IFERROR(__xludf.DUMMYFUNCTION("""COMPUTED_VALUE"""),9.0)</f>
        <v>9</v>
      </c>
      <c r="G3217" s="86">
        <f>IFERROR(__xludf.DUMMYFUNCTION("""COMPUTED_VALUE"""),15.0)</f>
        <v>15</v>
      </c>
      <c r="H3217" s="86">
        <f>IFERROR(__xludf.DUMMYFUNCTION("""COMPUTED_VALUE"""),0.375)</f>
        <v>0.375</v>
      </c>
      <c r="I3217" s="86">
        <f>IFERROR(__xludf.DUMMYFUNCTION("""COMPUTED_VALUE"""),0.3958333333333333)</f>
        <v>0.3958333333</v>
      </c>
      <c r="J3217" s="82">
        <f>IFERROR(__xludf.DUMMYFUNCTION("""COMPUTED_VALUE"""),345.5833333333333)</f>
        <v>345.5833333</v>
      </c>
      <c r="K3217" s="82">
        <f>IFERROR(__xludf.DUMMYFUNCTION("""COMPUTED_VALUE"""),0.7916666666666666)</f>
        <v>0.7916666667</v>
      </c>
      <c r="L3217" s="82">
        <f>IFERROR(__xludf.DUMMYFUNCTION("""COMPUTED_VALUE"""),0.625)</f>
        <v>0.625</v>
      </c>
      <c r="M3217" s="82">
        <f>IFERROR(__xludf.DUMMYFUNCTION("""COMPUTED_VALUE"""),1.25)</f>
        <v>1.25</v>
      </c>
      <c r="N3217" s="82">
        <f>IFERROR(__xludf.DUMMYFUNCTION("""COMPUTED_VALUE"""),2.0)</f>
        <v>2</v>
      </c>
      <c r="O3217" s="82">
        <f>IFERROR(__xludf.DUMMYFUNCTION("""COMPUTED_VALUE"""),355.2638888888889)</f>
        <v>355.2638889</v>
      </c>
      <c r="P3217" s="82">
        <f>IFERROR(__xludf.DUMMYFUNCTION("""COMPUTED_VALUE"""),0.9166666666666669)</f>
        <v>0.9166666667</v>
      </c>
      <c r="Q3217" s="82">
        <f>IFERROR(__xludf.DUMMYFUNCTION("""COMPUTED_VALUE"""),0.6666666666666666)</f>
        <v>0.6666666667</v>
      </c>
      <c r="R3217" s="82">
        <f>IFERROR(__xludf.DUMMYFUNCTION("""COMPUTED_VALUE"""),1.1111111111111114)</f>
        <v>1.111111111</v>
      </c>
      <c r="S3217" s="82">
        <f>IFERROR(__xludf.DUMMYFUNCTION("""COMPUTED_VALUE"""),2.6388888888888884)</f>
        <v>2.638888889</v>
      </c>
      <c r="T3217" s="82">
        <f>IFERROR(__xludf.DUMMYFUNCTION("""COMPUTED_VALUE"""),339.0207099886033)</f>
        <v>339.02071</v>
      </c>
      <c r="U3217" s="82">
        <f>IFERROR(__xludf.DUMMYFUNCTION("""COMPUTED_VALUE"""),0.8573975537253822)</f>
        <v>0.8573975537</v>
      </c>
      <c r="V3217" s="82">
        <f>IFERROR(__xludf.DUMMYFUNCTION("""COMPUTED_VALUE"""),0.5586308100692993)</f>
        <v>0.5586308101</v>
      </c>
      <c r="W3217" s="82">
        <f>IFERROR(__xludf.DUMMYFUNCTION("""COMPUTED_VALUE"""),1.09928192040394)</f>
        <v>1.09928192</v>
      </c>
      <c r="X3217" s="82">
        <f>IFERROR(__xludf.DUMMYFUNCTION("""COMPUTED_VALUE"""),2.4452322180400246)</f>
        <v>2.445232218</v>
      </c>
      <c r="Y3217" s="82">
        <f>IFERROR(__xludf.DUMMYFUNCTION("""COMPUTED_VALUE"""),318.23363536203834)</f>
        <v>318.2336354</v>
      </c>
      <c r="Z3217" s="82">
        <f>IFERROR(__xludf.DUMMYFUNCTION("""COMPUTED_VALUE"""),0.7347664820523692)</f>
        <v>0.7347664821</v>
      </c>
      <c r="AA3217" s="82">
        <f>IFERROR(__xludf.DUMMYFUNCTION("""COMPUTED_VALUE"""),0.47295299927060985)</f>
        <v>0.4729529993</v>
      </c>
      <c r="AB3217" s="82">
        <f>IFERROR(__xludf.DUMMYFUNCTION("""COMPUTED_VALUE"""),1.1229720767150713)</f>
        <v>1.122972077</v>
      </c>
      <c r="AC3217" s="82">
        <f>IFERROR(__xludf.DUMMYFUNCTION("""COMPUTED_VALUE"""),2.178876408330637)</f>
        <v>2.178876408</v>
      </c>
      <c r="AD3217" s="82">
        <f>IFERROR(__xludf.DUMMYFUNCTION("""COMPUTED_VALUE"""),1.0859421975938546)</f>
        <v>1.085942198</v>
      </c>
      <c r="AE3217" s="82">
        <f>IFERROR(__xludf.DUMMYFUNCTION("""COMPUTED_VALUE"""),1.0774398206833855)</f>
        <v>1.077439821</v>
      </c>
      <c r="AF3217" s="82">
        <f>IFERROR(__xludf.DUMMYFUNCTION("""COMPUTED_VALUE"""),1.3214843778639267)</f>
        <v>1.321484378</v>
      </c>
      <c r="AG3217" s="82">
        <f>IFERROR(__xludf.DUMMYFUNCTION("""COMPUTED_VALUE"""),1.1131176152273634)</f>
        <v>1.113117615</v>
      </c>
      <c r="AH3217" s="82">
        <f>IFERROR(__xludf.DUMMYFUNCTION("""COMPUTED_VALUE"""),0.9179042888129278)</f>
        <v>0.9179042888</v>
      </c>
      <c r="AI3217" s="82">
        <f>IFERROR(__xludf.DUMMYFUNCTION("""COMPUTED_VALUE"""),1.04791205499166)</f>
        <v>1.047912055</v>
      </c>
      <c r="AJ3217" s="82">
        <f>IFERROR(__xludf.DUMMYFUNCTION("""COMPUTED_VALUE"""),1.069126757691063)</f>
        <v>1.069126758</v>
      </c>
      <c r="AK3217" s="82">
        <f>IFERROR(__xludf.DUMMYFUNCTION("""COMPUTED_VALUE"""),1.1933940173904216)</f>
        <v>1.193394017</v>
      </c>
      <c r="AL3217" s="82">
        <f>IFERROR(__xludf.DUMMYFUNCTION("""COMPUTED_VALUE"""),1.0107608344025387)</f>
        <v>1.010760834</v>
      </c>
      <c r="AM3217" s="82">
        <f>IFERROR(__xludf.DUMMYFUNCTION("""COMPUTED_VALUE"""),1.0791976604185631)</f>
        <v>1.07919766</v>
      </c>
      <c r="AN3217" s="82">
        <f>IFERROR(__xludf.DUMMYFUNCTION("""COMPUTED_VALUE"""),1.108672277799808)</f>
        <v>1.108672278</v>
      </c>
      <c r="AO3217" s="82">
        <f>IFERROR(__xludf.DUMMYFUNCTION("""COMPUTED_VALUE"""),1.0565680629311538)</f>
        <v>1.056568063</v>
      </c>
      <c r="AP3217" s="82">
        <f>IFERROR(__xludf.DUMMYFUNCTION("""COMPUTED_VALUE"""),1.219217829974183)</f>
        <v>1.21921783</v>
      </c>
      <c r="AQ3217" s="82">
        <f>IFERROR(__xludf.DUMMYFUNCTION("""COMPUTED_VALUE"""),1.1931243145307233)</f>
        <v>1.193124315</v>
      </c>
      <c r="AR3217" s="82">
        <f>IFERROR(__xludf.DUMMYFUNCTION("""COMPUTED_VALUE"""),0.9300745989145975)</f>
        <v>0.9300745989</v>
      </c>
      <c r="AS3217" s="82">
        <f>IFERROR(__xludf.DUMMYFUNCTION("""COMPUTED_VALUE"""),60.0)</f>
        <v>60</v>
      </c>
      <c r="AT3217" s="82">
        <f>IFERROR(__xludf.DUMMYFUNCTION("""COMPUTED_VALUE"""),0.4617250571853034)</f>
        <v>0.4617250572</v>
      </c>
      <c r="AU3217" s="82">
        <f>IFERROR(__xludf.DUMMYFUNCTION("""COMPUTED_VALUE"""),3.571869966446652)</f>
        <v>3.571869966</v>
      </c>
      <c r="AV3217" s="82">
        <f>IFERROR(__xludf.DUMMYFUNCTION("""COMPUTED_VALUE"""),56.65182722441172)</f>
        <v>56.65182722</v>
      </c>
      <c r="AW3217" s="82">
        <f t="shared" si="1"/>
        <v>2.531059517</v>
      </c>
      <c r="AX3217" s="83">
        <f t="array" ref="AX3217">IFERROR(DGET('SBV Import'!A:G,"SBV",{"RSC ID","Tier";B3217,A3217}))</f>
        <v>42.50831487</v>
      </c>
      <c r="AY3217" s="82">
        <f t="shared" si="2"/>
        <v>-2.616325551</v>
      </c>
      <c r="AZ3217" s="82">
        <v>5.147385067789669</v>
      </c>
      <c r="BA3217" s="84">
        <v>3200.0</v>
      </c>
      <c r="BB3217" s="84" t="b">
        <f>IFERROR(__xludf.DUMMYFUNCTION("iferror(if(A3217="""",,E3217&gt;=FILTER(Constants!$F$2:$F$10,Constants!$A$2:$A$10=A3217)))"),TRUE)</f>
        <v>1</v>
      </c>
    </row>
    <row r="3218">
      <c r="A3218" s="89" t="str">
        <f>IFERROR(__xludf.DUMMYFUNCTION("""COMPUTED_VALUE"""),"Contender")</f>
        <v>Contender</v>
      </c>
      <c r="B3218" s="87" t="str">
        <f>IFERROR(__xludf.DUMMYFUNCTION("""COMPUTED_VALUE"""),"RSC005759")</f>
        <v>RSC005759</v>
      </c>
      <c r="C3218" s="73" t="str">
        <f>IFERROR(__xludf.DUMMYFUNCTION("""COMPUTED_VALUE"""),"XerNaut")</f>
        <v>XerNaut</v>
      </c>
      <c r="D3218" s="73" t="str">
        <f>IFERROR(__xludf.DUMMYFUNCTION("""COMPUTED_VALUE"""),"Devoured")</f>
        <v>Devoured</v>
      </c>
      <c r="E3218" s="82">
        <f>IFERROR(__xludf.DUMMYFUNCTION("""COMPUTED_VALUE"""),33.0)</f>
        <v>33</v>
      </c>
      <c r="F3218" s="82">
        <f>IFERROR(__xludf.DUMMYFUNCTION("""COMPUTED_VALUE"""),15.0)</f>
        <v>15</v>
      </c>
      <c r="G3218" s="86">
        <f>IFERROR(__xludf.DUMMYFUNCTION("""COMPUTED_VALUE"""),18.0)</f>
        <v>18</v>
      </c>
      <c r="H3218" s="86">
        <f>IFERROR(__xludf.DUMMYFUNCTION("""COMPUTED_VALUE"""),0.45454545454545453)</f>
        <v>0.4545454545</v>
      </c>
      <c r="I3218" s="86">
        <f>IFERROR(__xludf.DUMMYFUNCTION("""COMPUTED_VALUE"""),0.3225806451612903)</f>
        <v>0.3225806452</v>
      </c>
      <c r="J3218" s="82">
        <f>IFERROR(__xludf.DUMMYFUNCTION("""COMPUTED_VALUE"""),330.8787878787879)</f>
        <v>330.8787879</v>
      </c>
      <c r="K3218" s="82">
        <f>IFERROR(__xludf.DUMMYFUNCTION("""COMPUTED_VALUE"""),0.9090909090909091)</f>
        <v>0.9090909091</v>
      </c>
      <c r="L3218" s="82">
        <f>IFERROR(__xludf.DUMMYFUNCTION("""COMPUTED_VALUE"""),0.3333333333333333)</f>
        <v>0.3333333333</v>
      </c>
      <c r="M3218" s="82">
        <f>IFERROR(__xludf.DUMMYFUNCTION("""COMPUTED_VALUE"""),1.121212121212121)</f>
        <v>1.121212121</v>
      </c>
      <c r="N3218" s="82">
        <f>IFERROR(__xludf.DUMMYFUNCTION("""COMPUTED_VALUE"""),2.8181818181818183)</f>
        <v>2.818181818</v>
      </c>
      <c r="O3218" s="82">
        <f>IFERROR(__xludf.DUMMYFUNCTION("""COMPUTED_VALUE"""),343.73737373737373)</f>
        <v>343.7373737</v>
      </c>
      <c r="P3218" s="82">
        <f>IFERROR(__xludf.DUMMYFUNCTION("""COMPUTED_VALUE"""),0.9292929292929291)</f>
        <v>0.9292929293</v>
      </c>
      <c r="Q3218" s="82">
        <f>IFERROR(__xludf.DUMMYFUNCTION("""COMPUTED_VALUE"""),0.6060606060606063)</f>
        <v>0.6060606061</v>
      </c>
      <c r="R3218" s="82">
        <f>IFERROR(__xludf.DUMMYFUNCTION("""COMPUTED_VALUE"""),1.121212121212121)</f>
        <v>1.121212121</v>
      </c>
      <c r="S3218" s="82">
        <f>IFERROR(__xludf.DUMMYFUNCTION("""COMPUTED_VALUE"""),2.383838383838383)</f>
        <v>2.383838384</v>
      </c>
      <c r="T3218" s="82">
        <f>IFERROR(__xludf.DUMMYFUNCTION("""COMPUTED_VALUE"""),331.0771466322754)</f>
        <v>331.0771466</v>
      </c>
      <c r="U3218" s="82">
        <f>IFERROR(__xludf.DUMMYFUNCTION("""COMPUTED_VALUE"""),0.827737642024419)</f>
        <v>0.827737642</v>
      </c>
      <c r="V3218" s="82">
        <f>IFERROR(__xludf.DUMMYFUNCTION("""COMPUTED_VALUE"""),0.5211029182133142)</f>
        <v>0.5211029182</v>
      </c>
      <c r="W3218" s="82">
        <f>IFERROR(__xludf.DUMMYFUNCTION("""COMPUTED_VALUE"""),1.0814181000716339)</f>
        <v>1.0814181</v>
      </c>
      <c r="X3218" s="82">
        <f>IFERROR(__xludf.DUMMYFUNCTION("""COMPUTED_VALUE"""),2.323173230485073)</f>
        <v>2.32317323</v>
      </c>
      <c r="Y3218" s="82">
        <f>IFERROR(__xludf.DUMMYFUNCTION("""COMPUTED_VALUE"""),313.71293202834886)</f>
        <v>313.712932</v>
      </c>
      <c r="Z3218" s="82">
        <f>IFERROR(__xludf.DUMMYFUNCTION("""COMPUTED_VALUE"""),0.7254187247598681)</f>
        <v>0.7254187248</v>
      </c>
      <c r="AA3218" s="82">
        <f>IFERROR(__xludf.DUMMYFUNCTION("""COMPUTED_VALUE"""),0.4751076411310249)</f>
        <v>0.4751076411</v>
      </c>
      <c r="AB3218" s="82">
        <f>IFERROR(__xludf.DUMMYFUNCTION("""COMPUTED_VALUE"""),1.0600323169316228)</f>
        <v>1.060032317</v>
      </c>
      <c r="AC3218" s="82">
        <f>IFERROR(__xludf.DUMMYFUNCTION("""COMPUTED_VALUE"""),2.178656683467559)</f>
        <v>2.178656683</v>
      </c>
      <c r="AD3218" s="82">
        <f>IFERROR(__xludf.DUMMYFUNCTION("""COMPUTED_VALUE"""),1.054718355853076)</f>
        <v>1.054718356</v>
      </c>
      <c r="AE3218" s="82">
        <f>IFERROR(__xludf.DUMMYFUNCTION("""COMPUTED_VALUE"""),1.2531947109468964)</f>
        <v>1.253194711</v>
      </c>
      <c r="AF3218" s="82">
        <f>IFERROR(__xludf.DUMMYFUNCTION("""COMPUTED_VALUE"""),0.7015953953925292)</f>
        <v>0.7015953954</v>
      </c>
      <c r="AG3218" s="82">
        <f>IFERROR(__xludf.DUMMYFUNCTION("""COMPUTED_VALUE"""),1.0577150368939598)</f>
        <v>1.057715037</v>
      </c>
      <c r="AH3218" s="82">
        <f>IFERROR(__xludf.DUMMYFUNCTION("""COMPUTED_VALUE"""),1.2935410335952466)</f>
        <v>1.293541034</v>
      </c>
      <c r="AI3218" s="82">
        <f>IFERROR(__xludf.DUMMYFUNCTION("""COMPUTED_VALUE"""),1.0382395077216247)</f>
        <v>1.038239508</v>
      </c>
      <c r="AJ3218" s="82">
        <f>IFERROR(__xludf.DUMMYFUNCTION("""COMPUTED_VALUE"""),1.1226901884274993)</f>
        <v>1.122690188</v>
      </c>
      <c r="AK3218" s="82">
        <f>IFERROR(__xludf.DUMMYFUNCTION("""COMPUTED_VALUE"""),1.1630343735908892)</f>
        <v>1.163034374</v>
      </c>
      <c r="AL3218" s="82">
        <f>IFERROR(__xludf.DUMMYFUNCTION("""COMPUTED_VALUE"""),1.0367979980526045)</f>
        <v>1.036797998</v>
      </c>
      <c r="AM3218" s="82">
        <f>IFERROR(__xludf.DUMMYFUNCTION("""COMPUTED_VALUE"""),1.0261130562961263)</f>
        <v>1.026113056</v>
      </c>
      <c r="AN3218" s="82">
        <f>IFERROR(__xludf.DUMMYFUNCTION("""COMPUTED_VALUE"""),1.0614983537975846)</f>
        <v>1.061498354</v>
      </c>
      <c r="AO3218" s="82">
        <f>IFERROR(__xludf.DUMMYFUNCTION("""COMPUTED_VALUE"""),1.213283900016636)</f>
        <v>1.2132839</v>
      </c>
      <c r="AP3218" s="82">
        <f>IFERROR(__xludf.DUMMYFUNCTION("""COMPUTED_VALUE"""),0.6502495093195642)</f>
        <v>0.6502495093</v>
      </c>
      <c r="AQ3218" s="82">
        <f>IFERROR(__xludf.DUMMYFUNCTION("""COMPUTED_VALUE"""),1.0701963548518)</f>
        <v>1.070196355</v>
      </c>
      <c r="AR3218" s="82">
        <f>IFERROR(__xludf.DUMMYFUNCTION("""COMPUTED_VALUE"""),1.3105596621069329)</f>
        <v>1.310559662</v>
      </c>
      <c r="AS3218" s="82">
        <f>IFERROR(__xludf.DUMMYFUNCTION("""COMPUTED_VALUE"""),79.0)</f>
        <v>79</v>
      </c>
      <c r="AT3218" s="82">
        <f>IFERROR(__xludf.DUMMYFUNCTION("""COMPUTED_VALUE"""),0.4392340320692428)</f>
        <v>0.4392340321</v>
      </c>
      <c r="AU3218" s="82">
        <f>IFERROR(__xludf.DUMMYFUNCTION("""COMPUTED_VALUE"""),3.454149427899113)</f>
        <v>3.454149428</v>
      </c>
      <c r="AV3218" s="82">
        <f>IFERROR(__xludf.DUMMYFUNCTION("""COMPUTED_VALUE"""),54.62205304216829)</f>
        <v>54.62205304</v>
      </c>
      <c r="AW3218" s="82">
        <f t="shared" si="1"/>
        <v>2.343782518</v>
      </c>
      <c r="AX3218" s="83">
        <f t="array" ref="AX3218">IFERROR(DGET('SBV Import'!A:G,"SBV",{"RSC ID","Tier";B3218,A3218}))</f>
        <v>51.98205043</v>
      </c>
      <c r="AY3218" s="82">
        <f t="shared" si="2"/>
        <v>2.134908476</v>
      </c>
      <c r="AZ3218" s="82">
        <v>0.20887404242060859</v>
      </c>
      <c r="BA3218" s="84">
        <v>3200.0</v>
      </c>
      <c r="BB3218" s="84" t="b">
        <f>IFERROR(__xludf.DUMMYFUNCTION("iferror(if(A3218="""",,E3218&gt;=FILTER(Constants!$F$2:$F$10,Constants!$A$2:$A$10=A3218)))"),TRUE)</f>
        <v>1</v>
      </c>
    </row>
    <row r="3219">
      <c r="A3219" s="89" t="str">
        <f>IFERROR(__xludf.DUMMYFUNCTION("""COMPUTED_VALUE"""),"Contender")</f>
        <v>Contender</v>
      </c>
      <c r="B3219" s="87" t="str">
        <f>IFERROR(__xludf.DUMMYFUNCTION("""COMPUTED_VALUE"""),"RSC001262")</f>
        <v>RSC001262</v>
      </c>
      <c r="C3219" s="73" t="str">
        <f>IFERROR(__xludf.DUMMYFUNCTION("""COMPUTED_VALUE"""),"droogin01")</f>
        <v>droogin01</v>
      </c>
      <c r="D3219" s="73" t="str">
        <f>IFERROR(__xludf.DUMMYFUNCTION("""COMPUTED_VALUE"""),"Zebras")</f>
        <v>Zebras</v>
      </c>
      <c r="E3219" s="82">
        <f>IFERROR(__xludf.DUMMYFUNCTION("""COMPUTED_VALUE"""),31.0)</f>
        <v>31</v>
      </c>
      <c r="F3219" s="82">
        <f>IFERROR(__xludf.DUMMYFUNCTION("""COMPUTED_VALUE"""),11.0)</f>
        <v>11</v>
      </c>
      <c r="G3219" s="86">
        <f>IFERROR(__xludf.DUMMYFUNCTION("""COMPUTED_VALUE"""),20.0)</f>
        <v>20</v>
      </c>
      <c r="H3219" s="86">
        <f>IFERROR(__xludf.DUMMYFUNCTION("""COMPUTED_VALUE"""),0.3548387096774194)</f>
        <v>0.3548387097</v>
      </c>
      <c r="I3219" s="86">
        <f>IFERROR(__xludf.DUMMYFUNCTION("""COMPUTED_VALUE"""),0.25675675675675674)</f>
        <v>0.2567567568</v>
      </c>
      <c r="J3219" s="82">
        <f>IFERROR(__xludf.DUMMYFUNCTION("""COMPUTED_VALUE"""),334.19354838709677)</f>
        <v>334.1935484</v>
      </c>
      <c r="K3219" s="82">
        <f>IFERROR(__xludf.DUMMYFUNCTION("""COMPUTED_VALUE"""),0.6129032258064516)</f>
        <v>0.6129032258</v>
      </c>
      <c r="L3219" s="82">
        <f>IFERROR(__xludf.DUMMYFUNCTION("""COMPUTED_VALUE"""),0.6129032258064516)</f>
        <v>0.6129032258</v>
      </c>
      <c r="M3219" s="82">
        <f>IFERROR(__xludf.DUMMYFUNCTION("""COMPUTED_VALUE"""),1.2258064516129032)</f>
        <v>1.225806452</v>
      </c>
      <c r="N3219" s="82">
        <f>IFERROR(__xludf.DUMMYFUNCTION("""COMPUTED_VALUE"""),2.3870967741935485)</f>
        <v>2.387096774</v>
      </c>
      <c r="O3219" s="82">
        <f>IFERROR(__xludf.DUMMYFUNCTION("""COMPUTED_VALUE"""),337.6451612903225)</f>
        <v>337.6451613</v>
      </c>
      <c r="P3219" s="82">
        <f>IFERROR(__xludf.DUMMYFUNCTION("""COMPUTED_VALUE"""),0.8924731182795701)</f>
        <v>0.8924731183</v>
      </c>
      <c r="Q3219" s="82">
        <f>IFERROR(__xludf.DUMMYFUNCTION("""COMPUTED_VALUE"""),0.5591397849462365)</f>
        <v>0.5591397849</v>
      </c>
      <c r="R3219" s="82">
        <f>IFERROR(__xludf.DUMMYFUNCTION("""COMPUTED_VALUE"""),1.118279569892473)</f>
        <v>1.11827957</v>
      </c>
      <c r="S3219" s="82">
        <f>IFERROR(__xludf.DUMMYFUNCTION("""COMPUTED_VALUE"""),2.279569892473119)</f>
        <v>2.279569892</v>
      </c>
      <c r="T3219" s="82">
        <f>IFERROR(__xludf.DUMMYFUNCTION("""COMPUTED_VALUE"""),327.5628802081192)</f>
        <v>327.5628802</v>
      </c>
      <c r="U3219" s="82">
        <f>IFERROR(__xludf.DUMMYFUNCTION("""COMPUTED_VALUE"""),0.8389286877814978)</f>
        <v>0.8389286878</v>
      </c>
      <c r="V3219" s="82">
        <f>IFERROR(__xludf.DUMMYFUNCTION("""COMPUTED_VALUE"""),0.5222335386499274)</f>
        <v>0.5222335386</v>
      </c>
      <c r="W3219" s="82">
        <f>IFERROR(__xludf.DUMMYFUNCTION("""COMPUTED_VALUE"""),1.061360474561826)</f>
        <v>1.061360475</v>
      </c>
      <c r="X3219" s="82">
        <f>IFERROR(__xludf.DUMMYFUNCTION("""COMPUTED_VALUE"""),2.286171754081168)</f>
        <v>2.286171754</v>
      </c>
      <c r="Y3219" s="82">
        <f>IFERROR(__xludf.DUMMYFUNCTION("""COMPUTED_VALUE"""),319.88657579023686)</f>
        <v>319.8865758</v>
      </c>
      <c r="Z3219" s="82">
        <f>IFERROR(__xludf.DUMMYFUNCTION("""COMPUTED_VALUE"""),0.75126930278214)</f>
        <v>0.7512693028</v>
      </c>
      <c r="AA3219" s="82">
        <f>IFERROR(__xludf.DUMMYFUNCTION("""COMPUTED_VALUE"""),0.5045174113556192)</f>
        <v>0.5045174114</v>
      </c>
      <c r="AB3219" s="82">
        <f>IFERROR(__xludf.DUMMYFUNCTION("""COMPUTED_VALUE"""),1.0746877143820464)</f>
        <v>1.074687714</v>
      </c>
      <c r="AC3219" s="82">
        <f>IFERROR(__xludf.DUMMYFUNCTION("""COMPUTED_VALUE"""),2.228881879126068)</f>
        <v>2.228881879</v>
      </c>
      <c r="AD3219" s="82">
        <f>IFERROR(__xludf.DUMMYFUNCTION("""COMPUTED_VALUE"""),1.0447251422211652)</f>
        <v>1.044725142</v>
      </c>
      <c r="AE3219" s="82">
        <f>IFERROR(__xludf.DUMMYFUNCTION("""COMPUTED_VALUE"""),0.8158235981913758)</f>
        <v>0.8158235982</v>
      </c>
      <c r="AF3219" s="82">
        <f>IFERROR(__xludf.DUMMYFUNCTION("""COMPUTED_VALUE"""),1.2148306718683977)</f>
        <v>1.214830672</v>
      </c>
      <c r="AG3219" s="82">
        <f>IFERROR(__xludf.DUMMYFUNCTION("""COMPUTED_VALUE"""),1.1406164183404213)</f>
        <v>1.140616418</v>
      </c>
      <c r="AH3219" s="82">
        <f>IFERROR(__xludf.DUMMYFUNCTION("""COMPUTED_VALUE"""),1.0709839747674363)</f>
        <v>1.070983975</v>
      </c>
      <c r="AI3219" s="82">
        <f>IFERROR(__xludf.DUMMYFUNCTION("""COMPUTED_VALUE"""),1.0307796813723138)</f>
        <v>1.030779681</v>
      </c>
      <c r="AJ3219" s="82">
        <f>IFERROR(__xludf.DUMMYFUNCTION("""COMPUTED_VALUE"""),1.0638247699451877)</f>
        <v>1.06382477</v>
      </c>
      <c r="AK3219" s="82">
        <f>IFERROR(__xludf.DUMMYFUNCTION("""COMPUTED_VALUE"""),1.0706700040593309)</f>
        <v>1.070670004</v>
      </c>
      <c r="AL3219" s="82">
        <f>IFERROR(__xludf.DUMMYFUNCTION("""COMPUTED_VALUE"""),1.0536284294496134)</f>
        <v>1.053628429</v>
      </c>
      <c r="AM3219" s="82">
        <f>IFERROR(__xludf.DUMMYFUNCTION("""COMPUTED_VALUE"""),0.9971122635050215)</f>
        <v>0.9971122635</v>
      </c>
      <c r="AN3219" s="82">
        <f>IFERROR(__xludf.DUMMYFUNCTION("""COMPUTED_VALUE"""),1.0721324982386966)</f>
        <v>1.072132498</v>
      </c>
      <c r="AO3219" s="82">
        <f>IFERROR(__xludf.DUMMYFUNCTION("""COMPUTED_VALUE"""),0.8179881777531515)</f>
        <v>0.8179881778</v>
      </c>
      <c r="AP3219" s="82">
        <f>IFERROR(__xludf.DUMMYFUNCTION("""COMPUTED_VALUE"""),1.1956200655230698)</f>
        <v>1.195620066</v>
      </c>
      <c r="AQ3219" s="82">
        <f>IFERROR(__xludf.DUMMYFUNCTION("""COMPUTED_VALUE"""),1.1700315858623866)</f>
        <v>1.170031586</v>
      </c>
      <c r="AR3219" s="82">
        <f>IFERROR(__xludf.DUMMYFUNCTION("""COMPUTED_VALUE"""),1.1100890374141972)</f>
        <v>1.110089037</v>
      </c>
      <c r="AS3219" s="82">
        <f>IFERROR(__xludf.DUMMYFUNCTION("""COMPUTED_VALUE"""),58.0)</f>
        <v>58</v>
      </c>
      <c r="AT3219" s="82">
        <f>IFERROR(__xludf.DUMMYFUNCTION("""COMPUTED_VALUE"""),0.36503724141469296)</f>
        <v>0.3650372414</v>
      </c>
      <c r="AU3219" s="82">
        <f>IFERROR(__xludf.DUMMYFUNCTION("""COMPUTED_VALUE"""),3.435626899655957)</f>
        <v>3.4356269</v>
      </c>
      <c r="AV3219" s="82">
        <f>IFERROR(__xludf.DUMMYFUNCTION("""COMPUTED_VALUE"""),54.30268184253136)</f>
        <v>54.30268184</v>
      </c>
      <c r="AW3219" s="82">
        <f t="shared" si="1"/>
        <v>2.316549024</v>
      </c>
      <c r="AX3219" s="83">
        <f t="array" ref="AX3219">IFERROR(DGET('SBV Import'!A:G,"SBV",{"RSC ID","Tier";B3219,A3219}))</f>
        <v>61.06535488</v>
      </c>
      <c r="AY3219" s="82">
        <f t="shared" si="2"/>
        <v>3.039306675</v>
      </c>
      <c r="AZ3219" s="82">
        <v>0.7227576513026297</v>
      </c>
      <c r="BA3219" s="84">
        <v>3200.0</v>
      </c>
      <c r="BB3219" s="84" t="b">
        <f>IFERROR(__xludf.DUMMYFUNCTION("iferror(if(A3219="""",,E3219&gt;=FILTER(Constants!$F$2:$F$10,Constants!$A$2:$A$10=A3219)))"),TRUE)</f>
        <v>1</v>
      </c>
    </row>
    <row r="3220">
      <c r="A3220" s="89" t="str">
        <f>IFERROR(__xludf.DUMMYFUNCTION("""COMPUTED_VALUE"""),"Contender")</f>
        <v>Contender</v>
      </c>
      <c r="B3220" s="87" t="str">
        <f>IFERROR(__xludf.DUMMYFUNCTION("""COMPUTED_VALUE"""),"RSC007203")</f>
        <v>RSC007203</v>
      </c>
      <c r="C3220" s="73" t="str">
        <f>IFERROR(__xludf.DUMMYFUNCTION("""COMPUTED_VALUE"""),"CoachJimmy_TECT")</f>
        <v>CoachJimmy_TECT</v>
      </c>
      <c r="D3220" s="73" t="str">
        <f>IFERROR(__xludf.DUMMYFUNCTION("""COMPUTED_VALUE"""),"Celestial Cider")</f>
        <v>Celestial Cider</v>
      </c>
      <c r="E3220" s="82">
        <f>IFERROR(__xludf.DUMMYFUNCTION("""COMPUTED_VALUE"""),27.0)</f>
        <v>27</v>
      </c>
      <c r="F3220" s="82">
        <f>IFERROR(__xludf.DUMMYFUNCTION("""COMPUTED_VALUE"""),13.0)</f>
        <v>13</v>
      </c>
      <c r="G3220" s="86">
        <f>IFERROR(__xludf.DUMMYFUNCTION("""COMPUTED_VALUE"""),14.0)</f>
        <v>14</v>
      </c>
      <c r="H3220" s="86">
        <f>IFERROR(__xludf.DUMMYFUNCTION("""COMPUTED_VALUE"""),0.48148148148148145)</f>
        <v>0.4814814815</v>
      </c>
      <c r="I3220" s="86">
        <f>IFERROR(__xludf.DUMMYFUNCTION("""COMPUTED_VALUE"""),0.29577464788732394)</f>
        <v>0.2957746479</v>
      </c>
      <c r="J3220" s="82">
        <f>IFERROR(__xludf.DUMMYFUNCTION("""COMPUTED_VALUE"""),359.7037037037037)</f>
        <v>359.7037037</v>
      </c>
      <c r="K3220" s="82">
        <f>IFERROR(__xludf.DUMMYFUNCTION("""COMPUTED_VALUE"""),0.7777777777777778)</f>
        <v>0.7777777778</v>
      </c>
      <c r="L3220" s="82">
        <f>IFERROR(__xludf.DUMMYFUNCTION("""COMPUTED_VALUE"""),0.48148148148148145)</f>
        <v>0.4814814815</v>
      </c>
      <c r="M3220" s="82">
        <f>IFERROR(__xludf.DUMMYFUNCTION("""COMPUTED_VALUE"""),1.4444444444444444)</f>
        <v>1.444444444</v>
      </c>
      <c r="N3220" s="82">
        <f>IFERROR(__xludf.DUMMYFUNCTION("""COMPUTED_VALUE"""),2.6296296296296298)</f>
        <v>2.62962963</v>
      </c>
      <c r="O3220" s="82">
        <f>IFERROR(__xludf.DUMMYFUNCTION("""COMPUTED_VALUE"""),323.0617283950618)</f>
        <v>323.0617284</v>
      </c>
      <c r="P3220" s="82">
        <f>IFERROR(__xludf.DUMMYFUNCTION("""COMPUTED_VALUE"""),0.8765432098765431)</f>
        <v>0.8765432099</v>
      </c>
      <c r="Q3220" s="82">
        <f>IFERROR(__xludf.DUMMYFUNCTION("""COMPUTED_VALUE"""),0.5925925925925926)</f>
        <v>0.5925925926</v>
      </c>
      <c r="R3220" s="82">
        <f>IFERROR(__xludf.DUMMYFUNCTION("""COMPUTED_VALUE"""),0.9382716049382714)</f>
        <v>0.9382716049</v>
      </c>
      <c r="S3220" s="82">
        <f>IFERROR(__xludf.DUMMYFUNCTION("""COMPUTED_VALUE"""),2.246913580246914)</f>
        <v>2.24691358</v>
      </c>
      <c r="T3220" s="82">
        <f>IFERROR(__xludf.DUMMYFUNCTION("""COMPUTED_VALUE"""),306.46715740652195)</f>
        <v>306.4671574</v>
      </c>
      <c r="U3220" s="82">
        <f>IFERROR(__xludf.DUMMYFUNCTION("""COMPUTED_VALUE"""),0.7183409976183536)</f>
        <v>0.7183409976</v>
      </c>
      <c r="V3220" s="82">
        <f>IFERROR(__xludf.DUMMYFUNCTION("""COMPUTED_VALUE"""),0.443750757913735)</f>
        <v>0.4437507579</v>
      </c>
      <c r="W3220" s="82">
        <f>IFERROR(__xludf.DUMMYFUNCTION("""COMPUTED_VALUE"""),1.0214057757529715)</f>
        <v>1.021405776</v>
      </c>
      <c r="X3220" s="82">
        <f>IFERROR(__xludf.DUMMYFUNCTION("""COMPUTED_VALUE"""),2.144419050068165)</f>
        <v>2.14441905</v>
      </c>
      <c r="Y3220" s="82">
        <f>IFERROR(__xludf.DUMMYFUNCTION("""COMPUTED_VALUE"""),328.6084496621458)</f>
        <v>328.6084497</v>
      </c>
      <c r="Z3220" s="82">
        <f>IFERROR(__xludf.DUMMYFUNCTION("""COMPUTED_VALUE"""),0.8481501400790356)</f>
        <v>0.8481501401</v>
      </c>
      <c r="AA3220" s="82">
        <f>IFERROR(__xludf.DUMMYFUNCTION("""COMPUTED_VALUE"""),0.528979782578068)</f>
        <v>0.5289797826</v>
      </c>
      <c r="AB3220" s="82">
        <f>IFERROR(__xludf.DUMMYFUNCTION("""COMPUTED_VALUE"""),1.0593171435698143)</f>
        <v>1.059317144</v>
      </c>
      <c r="AC3220" s="82">
        <f>IFERROR(__xludf.DUMMYFUNCTION("""COMPUTED_VALUE"""),2.2837245388733542)</f>
        <v>2.283724539</v>
      </c>
      <c r="AD3220" s="82">
        <f>IFERROR(__xludf.DUMMYFUNCTION("""COMPUTED_VALUE"""),1.094627067786991)</f>
        <v>1.094627068</v>
      </c>
      <c r="AE3220" s="82">
        <f>IFERROR(__xludf.DUMMYFUNCTION("""COMPUTED_VALUE"""),0.9170284139849343)</f>
        <v>0.917028414</v>
      </c>
      <c r="AF3220" s="82">
        <f>IFERROR(__xludf.DUMMYFUNCTION("""COMPUTED_VALUE"""),0.9102077193478059)</f>
        <v>0.9102077193</v>
      </c>
      <c r="AG3220" s="82">
        <f>IFERROR(__xludf.DUMMYFUNCTION("""COMPUTED_VALUE"""),1.3635618503980609)</f>
        <v>1.36356185</v>
      </c>
      <c r="AH3220" s="82">
        <f>IFERROR(__xludf.DUMMYFUNCTION("""COMPUTED_VALUE"""),1.1514653299328839)</f>
        <v>1.15146533</v>
      </c>
      <c r="AI3220" s="82">
        <f>IFERROR(__xludf.DUMMYFUNCTION("""COMPUTED_VALUE"""),1.0541479587208344)</f>
        <v>1.054147959</v>
      </c>
      <c r="AJ3220" s="82">
        <f>IFERROR(__xludf.DUMMYFUNCTION("""COMPUTED_VALUE"""),1.2202327484895141)</f>
        <v>1.220232748</v>
      </c>
      <c r="AK3220" s="82">
        <f>IFERROR(__xludf.DUMMYFUNCTION("""COMPUTED_VALUE"""),1.335417646109784)</f>
        <v>1.335417646</v>
      </c>
      <c r="AL3220" s="82">
        <f>IFERROR(__xludf.DUMMYFUNCTION("""COMPUTED_VALUE"""),0.9186080862393653)</f>
        <v>0.9186080862</v>
      </c>
      <c r="AM3220" s="82">
        <f>IFERROR(__xludf.DUMMYFUNCTION("""COMPUTED_VALUE"""),1.0477959427638412)</f>
        <v>1.047795943</v>
      </c>
      <c r="AN3220" s="82">
        <f>IFERROR(__xludf.DUMMYFUNCTION("""COMPUTED_VALUE"""),1.1539720989193512)</f>
        <v>1.153972099</v>
      </c>
      <c r="AO3220" s="82">
        <f>IFERROR(__xludf.DUMMYFUNCTION("""COMPUTED_VALUE"""),1.0380317811253443)</f>
        <v>1.038031781</v>
      </c>
      <c r="AP3220" s="82">
        <f>IFERROR(__xludf.DUMMYFUNCTION("""COMPUTED_VALUE"""),0.9392492912393705)</f>
        <v>0.9392492912</v>
      </c>
      <c r="AQ3220" s="82">
        <f>IFERROR(__xludf.DUMMYFUNCTION("""COMPUTED_VALUE"""),1.3787214301243913)</f>
        <v>1.37872143</v>
      </c>
      <c r="AR3220" s="82">
        <f>IFERROR(__xludf.DUMMYFUNCTION("""COMPUTED_VALUE"""),1.2228758615358597)</f>
        <v>1.222875862</v>
      </c>
      <c r="AS3220" s="82">
        <f>IFERROR(__xludf.DUMMYFUNCTION("""COMPUTED_VALUE"""),65.0)</f>
        <v>65</v>
      </c>
      <c r="AT3220" s="82">
        <f>IFERROR(__xludf.DUMMYFUNCTION("""COMPUTED_VALUE"""),0.4649509895205337)</f>
        <v>0.4649509895</v>
      </c>
      <c r="AU3220" s="82">
        <f>IFERROR(__xludf.DUMMYFUNCTION("""COMPUTED_VALUE"""),3.2993463347683187)</f>
        <v>3.299346335</v>
      </c>
      <c r="AV3220" s="82">
        <f>IFERROR(__xludf.DUMMYFUNCTION("""COMPUTED_VALUE"""),51.95288990678711)</f>
        <v>51.95288991</v>
      </c>
      <c r="AW3220" s="82">
        <f t="shared" si="1"/>
        <v>2.132796207</v>
      </c>
      <c r="AX3220" s="83">
        <f t="array" ref="AX3220">IFERROR(DGET('SBV Import'!A:G,"SBV",{"RSC ID","Tier";B3220,A3220}))</f>
        <v>67.84502491</v>
      </c>
      <c r="AY3220" s="82">
        <f t="shared" si="2"/>
        <v>4.207423952</v>
      </c>
      <c r="AZ3220" s="82">
        <v>2.074627744419781</v>
      </c>
      <c r="BA3220" s="84">
        <v>3200.0</v>
      </c>
      <c r="BB3220" s="84" t="b">
        <f>IFERROR(__xludf.DUMMYFUNCTION("iferror(if(A3220="""",,E3220&gt;=FILTER(Constants!$F$2:$F$10,Constants!$A$2:$A$10=A3220)))"),TRUE)</f>
        <v>1</v>
      </c>
    </row>
    <row r="3221">
      <c r="A3221" s="89" t="str">
        <f>IFERROR(__xludf.DUMMYFUNCTION("""COMPUTED_VALUE"""),"Contender")</f>
        <v>Contender</v>
      </c>
      <c r="B3221" s="87" t="str">
        <f>IFERROR(__xludf.DUMMYFUNCTION("""COMPUTED_VALUE"""),"RSC005974")</f>
        <v>RSC005974</v>
      </c>
      <c r="C3221" s="73" t="str">
        <f>IFERROR(__xludf.DUMMYFUNCTION("""COMPUTED_VALUE"""),"Angry-Hermit")</f>
        <v>Angry-Hermit</v>
      </c>
      <c r="D3221" s="73" t="str">
        <f>IFERROR(__xludf.DUMMYFUNCTION("""COMPUTED_VALUE"""),"Devoured")</f>
        <v>Devoured</v>
      </c>
      <c r="E3221" s="82">
        <f>IFERROR(__xludf.DUMMYFUNCTION("""COMPUTED_VALUE"""),28.0)</f>
        <v>28</v>
      </c>
      <c r="F3221" s="82">
        <f>IFERROR(__xludf.DUMMYFUNCTION("""COMPUTED_VALUE"""),11.0)</f>
        <v>11</v>
      </c>
      <c r="G3221" s="86">
        <f>IFERROR(__xludf.DUMMYFUNCTION("""COMPUTED_VALUE"""),17.0)</f>
        <v>17</v>
      </c>
      <c r="H3221" s="86">
        <f>IFERROR(__xludf.DUMMYFUNCTION("""COMPUTED_VALUE"""),0.39285714285714285)</f>
        <v>0.3928571429</v>
      </c>
      <c r="I3221" s="86">
        <f>IFERROR(__xludf.DUMMYFUNCTION("""COMPUTED_VALUE"""),0.30769230769230765)</f>
        <v>0.3076923077</v>
      </c>
      <c r="J3221" s="82">
        <f>IFERROR(__xludf.DUMMYFUNCTION("""COMPUTED_VALUE"""),279.5)</f>
        <v>279.5</v>
      </c>
      <c r="K3221" s="82">
        <f>IFERROR(__xludf.DUMMYFUNCTION("""COMPUTED_VALUE"""),0.5714285714285714)</f>
        <v>0.5714285714</v>
      </c>
      <c r="L3221" s="82">
        <f>IFERROR(__xludf.DUMMYFUNCTION("""COMPUTED_VALUE"""),0.7142857142857143)</f>
        <v>0.7142857143</v>
      </c>
      <c r="M3221" s="82">
        <f>IFERROR(__xludf.DUMMYFUNCTION("""COMPUTED_VALUE"""),0.7142857142857143)</f>
        <v>0.7142857143</v>
      </c>
      <c r="N3221" s="82">
        <f>IFERROR(__xludf.DUMMYFUNCTION("""COMPUTED_VALUE"""),1.8571428571428572)</f>
        <v>1.857142857</v>
      </c>
      <c r="O3221" s="82">
        <f>IFERROR(__xludf.DUMMYFUNCTION("""COMPUTED_VALUE"""),333.1666666666667)</f>
        <v>333.1666667</v>
      </c>
      <c r="P3221" s="82">
        <f>IFERROR(__xludf.DUMMYFUNCTION("""COMPUTED_VALUE"""),0.8214285714285715)</f>
        <v>0.8214285714</v>
      </c>
      <c r="Q3221" s="82">
        <f>IFERROR(__xludf.DUMMYFUNCTION("""COMPUTED_VALUE"""),0.5238095238095238)</f>
        <v>0.5238095238</v>
      </c>
      <c r="R3221" s="82">
        <f>IFERROR(__xludf.DUMMYFUNCTION("""COMPUTED_VALUE"""),1.2142857142857142)</f>
        <v>1.214285714</v>
      </c>
      <c r="S3221" s="82">
        <f>IFERROR(__xludf.DUMMYFUNCTION("""COMPUTED_VALUE"""),2.3690476190476195)</f>
        <v>2.369047619</v>
      </c>
      <c r="T3221" s="82">
        <f>IFERROR(__xludf.DUMMYFUNCTION("""COMPUTED_VALUE"""),331.1746771213595)</f>
        <v>331.1746771</v>
      </c>
      <c r="U3221" s="82">
        <f>IFERROR(__xludf.DUMMYFUNCTION("""COMPUTED_VALUE"""),0.8261242296702077)</f>
        <v>0.8261242297</v>
      </c>
      <c r="V3221" s="82">
        <f>IFERROR(__xludf.DUMMYFUNCTION("""COMPUTED_VALUE"""),0.5183037408342048)</f>
        <v>0.5183037408</v>
      </c>
      <c r="W3221" s="82">
        <f>IFERROR(__xludf.DUMMYFUNCTION("""COMPUTED_VALUE"""),1.0876131458695486)</f>
        <v>1.087613146</v>
      </c>
      <c r="X3221" s="82">
        <f>IFERROR(__xludf.DUMMYFUNCTION("""COMPUTED_VALUE"""),2.313429017209743)</f>
        <v>2.313429017</v>
      </c>
      <c r="Y3221" s="82">
        <f>IFERROR(__xludf.DUMMYFUNCTION("""COMPUTED_VALUE"""),311.83155216751254)</f>
        <v>311.8315522</v>
      </c>
      <c r="Z3221" s="82">
        <f>IFERROR(__xludf.DUMMYFUNCTION("""COMPUTED_VALUE"""),0.7118117541211516)</f>
        <v>0.7118117541</v>
      </c>
      <c r="AA3221" s="82">
        <f>IFERROR(__xludf.DUMMYFUNCTION("""COMPUTED_VALUE"""),0.4653291939208302)</f>
        <v>0.4653291939</v>
      </c>
      <c r="AB3221" s="82">
        <f>IFERROR(__xludf.DUMMYFUNCTION("""COMPUTED_VALUE"""),1.0613416117635353)</f>
        <v>1.061341612</v>
      </c>
      <c r="AC3221" s="82">
        <f>IFERROR(__xludf.DUMMYFUNCTION("""COMPUTED_VALUE"""),2.1735850836411252)</f>
        <v>2.173585084</v>
      </c>
      <c r="AD3221" s="82">
        <f>IFERROR(__xludf.DUMMYFUNCTION("""COMPUTED_VALUE"""),0.8963172522383355)</f>
        <v>0.8963172522</v>
      </c>
      <c r="AE3221" s="82">
        <f>IFERROR(__xludf.DUMMYFUNCTION("""COMPUTED_VALUE"""),0.8027804656500702)</f>
        <v>0.8027804657</v>
      </c>
      <c r="AF3221" s="82">
        <f>IFERROR(__xludf.DUMMYFUNCTION("""COMPUTED_VALUE"""),1.5350116081632326)</f>
        <v>1.535011608</v>
      </c>
      <c r="AG3221" s="82">
        <f>IFERROR(__xludf.DUMMYFUNCTION("""COMPUTED_VALUE"""),0.6730026471861876)</f>
        <v>0.6730026472</v>
      </c>
      <c r="AH3221" s="82">
        <f>IFERROR(__xludf.DUMMYFUNCTION("""COMPUTED_VALUE"""),0.8544146125772204)</f>
        <v>0.8544146126</v>
      </c>
      <c r="AI3221" s="82">
        <f>IFERROR(__xludf.DUMMYFUNCTION("""COMPUTED_VALUE"""),1.0060149210761584)</f>
        <v>1.006014921</v>
      </c>
      <c r="AJ3221" s="82">
        <f>IFERROR(__xludf.DUMMYFUNCTION("""COMPUTED_VALUE"""),0.9943160385896069)</f>
        <v>0.9943160386</v>
      </c>
      <c r="AK3221" s="82">
        <f>IFERROR(__xludf.DUMMYFUNCTION("""COMPUTED_VALUE"""),1.0106226958085571)</f>
        <v>1.010622696</v>
      </c>
      <c r="AL3221" s="82">
        <f>IFERROR(__xludf.DUMMYFUNCTION("""COMPUTED_VALUE"""),1.1164684050548972)</f>
        <v>1.116468405</v>
      </c>
      <c r="AM3221" s="82">
        <f>IFERROR(__xludf.DUMMYFUNCTION("""COMPUTED_VALUE"""),1.0240416288652585)</f>
        <v>1.024041629</v>
      </c>
      <c r="AN3221" s="82">
        <f>IFERROR(__xludf.DUMMYFUNCTION("""COMPUTED_VALUE"""),0.8966691149603463)</f>
        <v>0.896669115</v>
      </c>
      <c r="AO3221" s="82">
        <f>IFERROR(__xludf.DUMMYFUNCTION("""COMPUTED_VALUE"""),0.7626355942961712)</f>
        <v>0.7626355943</v>
      </c>
      <c r="AP3221" s="82">
        <f>IFERROR(__xludf.DUMMYFUNCTION("""COMPUTED_VALUE"""),1.3933918056847805)</f>
        <v>1.393391806</v>
      </c>
      <c r="AQ3221" s="82">
        <f>IFERROR(__xludf.DUMMYFUNCTION("""COMPUTED_VALUE"""),0.6817853225889847)</f>
        <v>0.6817853226</v>
      </c>
      <c r="AR3221" s="82">
        <f>IFERROR(__xludf.DUMMYFUNCTION("""COMPUTED_VALUE"""),0.8636406989921263)</f>
        <v>0.863640699</v>
      </c>
      <c r="AS3221" s="82">
        <f>IFERROR(__xludf.DUMMYFUNCTION("""COMPUTED_VALUE"""),63.0)</f>
        <v>63</v>
      </c>
      <c r="AT3221" s="82">
        <f>IFERROR(__xludf.DUMMYFUNCTION("""COMPUTED_VALUE"""),0.46456858257646)</f>
        <v>0.4645685826</v>
      </c>
      <c r="AU3221" s="82">
        <f>IFERROR(__xludf.DUMMYFUNCTION("""COMPUTED_VALUE"""),3.286756317162293)</f>
        <v>3.286756317</v>
      </c>
      <c r="AV3221" s="82">
        <f>IFERROR(__xludf.DUMMYFUNCTION("""COMPUTED_VALUE"""),51.73580890286032)</f>
        <v>51.7358089</v>
      </c>
      <c r="AW3221" s="82">
        <f t="shared" si="1"/>
        <v>2.117196402</v>
      </c>
      <c r="AX3221" s="83">
        <f t="array" ref="AX3221">IFERROR(DGET('SBV Import'!A:G,"SBV",{"RSC ID","Tier";B3221,A3221}))</f>
        <v>34.48263633</v>
      </c>
      <c r="AY3221" s="82">
        <f t="shared" si="2"/>
        <v>-3.73971146</v>
      </c>
      <c r="AZ3221" s="82">
        <v>5.856907861698353</v>
      </c>
      <c r="BA3221" s="84">
        <v>3200.0</v>
      </c>
      <c r="BB3221" s="84" t="b">
        <f>IFERROR(__xludf.DUMMYFUNCTION("iferror(if(A3221="""",,E3221&gt;=FILTER(Constants!$F$2:$F$10,Constants!$A$2:$A$10=A3221)))"),TRUE)</f>
        <v>1</v>
      </c>
    </row>
    <row r="3222">
      <c r="A3222" s="89" t="str">
        <f>IFERROR(__xludf.DUMMYFUNCTION("""COMPUTED_VALUE"""),"Contender")</f>
        <v>Contender</v>
      </c>
      <c r="B3222" s="87" t="str">
        <f>IFERROR(__xludf.DUMMYFUNCTION("""COMPUTED_VALUE"""),"RSC007165")</f>
        <v>RSC007165</v>
      </c>
      <c r="C3222" s="73" t="str">
        <f>IFERROR(__xludf.DUMMYFUNCTION("""COMPUTED_VALUE"""),"BRG")</f>
        <v>BRG</v>
      </c>
      <c r="D3222" s="73" t="str">
        <f>IFERROR(__xludf.DUMMYFUNCTION("""COMPUTED_VALUE"""),"Rheas")</f>
        <v>Rheas</v>
      </c>
      <c r="E3222" s="82">
        <f>IFERROR(__xludf.DUMMYFUNCTION("""COMPUTED_VALUE"""),30.0)</f>
        <v>30</v>
      </c>
      <c r="F3222" s="82">
        <f>IFERROR(__xludf.DUMMYFUNCTION("""COMPUTED_VALUE"""),22.0)</f>
        <v>22</v>
      </c>
      <c r="G3222" s="86">
        <f>IFERROR(__xludf.DUMMYFUNCTION("""COMPUTED_VALUE"""),8.0)</f>
        <v>8</v>
      </c>
      <c r="H3222" s="86">
        <f>IFERROR(__xludf.DUMMYFUNCTION("""COMPUTED_VALUE"""),0.7333333333333333)</f>
        <v>0.7333333333</v>
      </c>
      <c r="I3222" s="86">
        <f>IFERROR(__xludf.DUMMYFUNCTION("""COMPUTED_VALUE"""),0.2777777777777778)</f>
        <v>0.2777777778</v>
      </c>
      <c r="J3222" s="82">
        <f>IFERROR(__xludf.DUMMYFUNCTION("""COMPUTED_VALUE"""),294.6333333333333)</f>
        <v>294.6333333</v>
      </c>
      <c r="K3222" s="82">
        <f>IFERROR(__xludf.DUMMYFUNCTION("""COMPUTED_VALUE"""),0.5)</f>
        <v>0.5</v>
      </c>
      <c r="L3222" s="82">
        <f>IFERROR(__xludf.DUMMYFUNCTION("""COMPUTED_VALUE"""),0.6333333333333333)</f>
        <v>0.6333333333</v>
      </c>
      <c r="M3222" s="82">
        <f>IFERROR(__xludf.DUMMYFUNCTION("""COMPUTED_VALUE"""),1.2)</f>
        <v>1.2</v>
      </c>
      <c r="N3222" s="82">
        <f>IFERROR(__xludf.DUMMYFUNCTION("""COMPUTED_VALUE"""),1.8)</f>
        <v>1.8</v>
      </c>
      <c r="O3222" s="82">
        <f>IFERROR(__xludf.DUMMYFUNCTION("""COMPUTED_VALUE"""),270.2555555555556)</f>
        <v>270.2555556</v>
      </c>
      <c r="P3222" s="82">
        <f>IFERROR(__xludf.DUMMYFUNCTION("""COMPUTED_VALUE"""),0.4666666666666667)</f>
        <v>0.4666666667</v>
      </c>
      <c r="Q3222" s="82">
        <f>IFERROR(__xludf.DUMMYFUNCTION("""COMPUTED_VALUE"""),0.2888888888888889)</f>
        <v>0.2888888889</v>
      </c>
      <c r="R3222" s="82">
        <f>IFERROR(__xludf.DUMMYFUNCTION("""COMPUTED_VALUE"""),1.088888888888889)</f>
        <v>1.088888889</v>
      </c>
      <c r="S3222" s="82">
        <f>IFERROR(__xludf.DUMMYFUNCTION("""COMPUTED_VALUE"""),1.811111111111111)</f>
        <v>1.811111111</v>
      </c>
      <c r="T3222" s="82">
        <f>IFERROR(__xludf.DUMMYFUNCTION("""COMPUTED_VALUE"""),322.3237010194605)</f>
        <v>322.323701</v>
      </c>
      <c r="U3222" s="82">
        <f>IFERROR(__xludf.DUMMYFUNCTION("""COMPUTED_VALUE"""),0.7882916751356032)</f>
        <v>0.7882916751</v>
      </c>
      <c r="V3222" s="82">
        <f>IFERROR(__xludf.DUMMYFUNCTION("""COMPUTED_VALUE"""),0.4885230898719197)</f>
        <v>0.4885230899</v>
      </c>
      <c r="W3222" s="82">
        <f>IFERROR(__xludf.DUMMYFUNCTION("""COMPUTED_VALUE"""),1.084042103663783)</f>
        <v>1.084042104</v>
      </c>
      <c r="X3222" s="82">
        <f>IFERROR(__xludf.DUMMYFUNCTION("""COMPUTED_VALUE"""),2.246429768544174)</f>
        <v>2.246429769</v>
      </c>
      <c r="Y3222" s="82">
        <f>IFERROR(__xludf.DUMMYFUNCTION("""COMPUTED_VALUE"""),328.08215000755314)</f>
        <v>328.08215</v>
      </c>
      <c r="Z3222" s="82">
        <f>IFERROR(__xludf.DUMMYFUNCTION("""COMPUTED_VALUE"""),0.8123335033800193)</f>
        <v>0.8123335034</v>
      </c>
      <c r="AA3222" s="82">
        <f>IFERROR(__xludf.DUMMYFUNCTION("""COMPUTED_VALUE"""),0.5317266499635254)</f>
        <v>0.53172665</v>
      </c>
      <c r="AB3222" s="82">
        <f>IFERROR(__xludf.DUMMYFUNCTION("""COMPUTED_VALUE"""),1.0868694494698339)</f>
        <v>1.086869449</v>
      </c>
      <c r="AC3222" s="82">
        <f>IFERROR(__xludf.DUMMYFUNCTION("""COMPUTED_VALUE"""),2.3107686822727413)</f>
        <v>2.310768682</v>
      </c>
      <c r="AD3222" s="82">
        <f>IFERROR(__xludf.DUMMYFUNCTION("""COMPUTED_VALUE"""),0.8980474351516846)</f>
        <v>0.8980474352</v>
      </c>
      <c r="AE3222" s="82">
        <f>IFERROR(__xludf.DUMMYFUNCTION("""COMPUTED_VALUE"""),0.6155107451798575)</f>
        <v>0.6155107452</v>
      </c>
      <c r="AF3222" s="82">
        <f>IFERROR(__xludf.DUMMYFUNCTION("""COMPUTED_VALUE"""),1.1910881904767756)</f>
        <v>1.19108819</v>
      </c>
      <c r="AG3222" s="82">
        <f>IFERROR(__xludf.DUMMYFUNCTION("""COMPUTED_VALUE"""),1.1040884446474692)</f>
        <v>1.104088445</v>
      </c>
      <c r="AH3222" s="82">
        <f>IFERROR(__xludf.DUMMYFUNCTION("""COMPUTED_VALUE"""),0.7789615697187059)</f>
        <v>0.7789615697</v>
      </c>
      <c r="AI3222" s="82">
        <f>IFERROR(__xludf.DUMMYFUNCTION("""COMPUTED_VALUE"""),0.8384600781784853)</f>
        <v>0.8384600782</v>
      </c>
      <c r="AJ3222" s="82">
        <f>IFERROR(__xludf.DUMMYFUNCTION("""COMPUTED_VALUE"""),0.591997456507948)</f>
        <v>0.5919974565</v>
      </c>
      <c r="AK3222" s="82">
        <f>IFERROR(__xludf.DUMMYFUNCTION("""COMPUTED_VALUE"""),0.5913515550813154)</f>
        <v>0.5913515551</v>
      </c>
      <c r="AL3222" s="82">
        <f>IFERROR(__xludf.DUMMYFUNCTION("""COMPUTED_VALUE"""),1.0044710304228268)</f>
        <v>1.00447103</v>
      </c>
      <c r="AM3222" s="82">
        <f>IFERROR(__xludf.DUMMYFUNCTION("""COMPUTED_VALUE"""),0.8062175530574558)</f>
        <v>0.8062175531</v>
      </c>
      <c r="AN3222" s="82">
        <f>IFERROR(__xludf.DUMMYFUNCTION("""COMPUTED_VALUE"""),0.9452186412802028)</f>
        <v>0.9452186413</v>
      </c>
      <c r="AO3222" s="82">
        <f>IFERROR(__xludf.DUMMYFUNCTION("""COMPUTED_VALUE"""),0.6673061450091499)</f>
        <v>0.667306145</v>
      </c>
      <c r="AP3222" s="82">
        <f>IFERROR(__xludf.DUMMYFUNCTION("""COMPUTED_VALUE"""),1.235474067707172)</f>
        <v>1.235474068</v>
      </c>
      <c r="AQ3222" s="82">
        <f>IFERROR(__xludf.DUMMYFUNCTION("""COMPUTED_VALUE"""),1.1453993419494943)</f>
        <v>1.145399342</v>
      </c>
      <c r="AR3222" s="82">
        <f>IFERROR(__xludf.DUMMYFUNCTION("""COMPUTED_VALUE"""),0.8370671390231378)</f>
        <v>0.837067139</v>
      </c>
      <c r="AS3222" s="82">
        <f>IFERROR(__xludf.DUMMYFUNCTION("""COMPUTED_VALUE"""),74.0)</f>
        <v>74</v>
      </c>
      <c r="AT3222" s="82">
        <f>IFERROR(__xludf.DUMMYFUNCTION("""COMPUTED_VALUE"""),0.6974106852590306)</f>
        <v>0.6974106853</v>
      </c>
      <c r="AU3222" s="82">
        <f>IFERROR(__xludf.DUMMYFUNCTION("""COMPUTED_VALUE"""),3.2464000950646485)</f>
        <v>3.246400095</v>
      </c>
      <c r="AV3222" s="82">
        <f>IFERROR(__xludf.DUMMYFUNCTION("""COMPUTED_VALUE"""),51.03997435506303)</f>
        <v>51.03997436</v>
      </c>
      <c r="AW3222" s="82">
        <f t="shared" si="1"/>
        <v>2.068640831</v>
      </c>
      <c r="AX3222" s="83">
        <f t="array" ref="AX3222">IFERROR(DGET('SBV Import'!A:G,"SBV",{"RSC ID","Tier";B3222,A3222}))</f>
        <v>47.49132104</v>
      </c>
      <c r="AY3222" s="82">
        <f t="shared" si="2"/>
        <v>-2.173750675</v>
      </c>
      <c r="AZ3222" s="82">
        <v>4.242391506529021</v>
      </c>
      <c r="BA3222" s="84">
        <v>3200.0</v>
      </c>
      <c r="BB3222" s="84" t="b">
        <f>IFERROR(__xludf.DUMMYFUNCTION("iferror(if(A3222="""",,E3222&gt;=FILTER(Constants!$F$2:$F$10,Constants!$A$2:$A$10=A3222)))"),TRUE)</f>
        <v>1</v>
      </c>
    </row>
    <row r="3223">
      <c r="A3223" s="89" t="str">
        <f>IFERROR(__xludf.DUMMYFUNCTION("""COMPUTED_VALUE"""),"Contender")</f>
        <v>Contender</v>
      </c>
      <c r="B3223" s="87" t="str">
        <f>IFERROR(__xludf.DUMMYFUNCTION("""COMPUTED_VALUE"""),"RSC006817")</f>
        <v>RSC006817</v>
      </c>
      <c r="C3223" s="73" t="str">
        <f>IFERROR(__xludf.DUMMYFUNCTION("""COMPUTED_VALUE"""),"Froz3nSlack5r")</f>
        <v>Froz3nSlack5r</v>
      </c>
      <c r="D3223" s="73" t="str">
        <f>IFERROR(__xludf.DUMMYFUNCTION("""COMPUTED_VALUE"""),"Celestial Cider")</f>
        <v>Celestial Cider</v>
      </c>
      <c r="E3223" s="82">
        <f>IFERROR(__xludf.DUMMYFUNCTION("""COMPUTED_VALUE"""),35.0)</f>
        <v>35</v>
      </c>
      <c r="F3223" s="82">
        <f>IFERROR(__xludf.DUMMYFUNCTION("""COMPUTED_VALUE"""),16.0)</f>
        <v>16</v>
      </c>
      <c r="G3223" s="86">
        <f>IFERROR(__xludf.DUMMYFUNCTION("""COMPUTED_VALUE"""),19.0)</f>
        <v>19</v>
      </c>
      <c r="H3223" s="86">
        <f>IFERROR(__xludf.DUMMYFUNCTION("""COMPUTED_VALUE"""),0.45714285714285713)</f>
        <v>0.4571428571</v>
      </c>
      <c r="I3223" s="86">
        <f>IFERROR(__xludf.DUMMYFUNCTION("""COMPUTED_VALUE"""),0.3908045977011494)</f>
        <v>0.3908045977</v>
      </c>
      <c r="J3223" s="82">
        <f>IFERROR(__xludf.DUMMYFUNCTION("""COMPUTED_VALUE"""),305.8)</f>
        <v>305.8</v>
      </c>
      <c r="K3223" s="82">
        <f>IFERROR(__xludf.DUMMYFUNCTION("""COMPUTED_VALUE"""),0.9714285714285714)</f>
        <v>0.9714285714</v>
      </c>
      <c r="L3223" s="82">
        <f>IFERROR(__xludf.DUMMYFUNCTION("""COMPUTED_VALUE"""),0.34285714285714286)</f>
        <v>0.3428571429</v>
      </c>
      <c r="M3223" s="82">
        <f>IFERROR(__xludf.DUMMYFUNCTION("""COMPUTED_VALUE"""),0.6)</f>
        <v>0.6</v>
      </c>
      <c r="N3223" s="82">
        <f>IFERROR(__xludf.DUMMYFUNCTION("""COMPUTED_VALUE"""),2.4857142857142858)</f>
        <v>2.485714286</v>
      </c>
      <c r="O3223" s="82">
        <f>IFERROR(__xludf.DUMMYFUNCTION("""COMPUTED_VALUE"""),331.11428571428576)</f>
        <v>331.1142857</v>
      </c>
      <c r="P3223" s="82">
        <f>IFERROR(__xludf.DUMMYFUNCTION("""COMPUTED_VALUE"""),0.857142857142857)</f>
        <v>0.8571428571</v>
      </c>
      <c r="Q3223" s="82">
        <f>IFERROR(__xludf.DUMMYFUNCTION("""COMPUTED_VALUE"""),0.580952380952381)</f>
        <v>0.580952381</v>
      </c>
      <c r="R3223" s="82">
        <f>IFERROR(__xludf.DUMMYFUNCTION("""COMPUTED_VALUE"""),1.0952380952380953)</f>
        <v>1.095238095</v>
      </c>
      <c r="S3223" s="82">
        <f>IFERROR(__xludf.DUMMYFUNCTION("""COMPUTED_VALUE"""),2.047619047619048)</f>
        <v>2.047619048</v>
      </c>
      <c r="T3223" s="82">
        <f>IFERROR(__xludf.DUMMYFUNCTION("""COMPUTED_VALUE"""),312.7810719811022)</f>
        <v>312.781072</v>
      </c>
      <c r="U3223" s="82">
        <f>IFERROR(__xludf.DUMMYFUNCTION("""COMPUTED_VALUE"""),0.7370319474758349)</f>
        <v>0.7370319475</v>
      </c>
      <c r="V3223" s="82">
        <f>IFERROR(__xludf.DUMMYFUNCTION("""COMPUTED_VALUE"""),0.4630241742033556)</f>
        <v>0.4630241742</v>
      </c>
      <c r="W3223" s="82">
        <f>IFERROR(__xludf.DUMMYFUNCTION("""COMPUTED_VALUE"""),1.054026962152132)</f>
        <v>1.054026962</v>
      </c>
      <c r="X3223" s="82">
        <f>IFERROR(__xludf.DUMMYFUNCTION("""COMPUTED_VALUE"""),2.191129142523491)</f>
        <v>2.191129143</v>
      </c>
      <c r="Y3223" s="82">
        <f>IFERROR(__xludf.DUMMYFUNCTION("""COMPUTED_VALUE"""),326.8105851938614)</f>
        <v>326.8105852</v>
      </c>
      <c r="Z3223" s="82">
        <f>IFERROR(__xludf.DUMMYFUNCTION("""COMPUTED_VALUE"""),0.829831912466886)</f>
        <v>0.8298319125</v>
      </c>
      <c r="AA3223" s="82">
        <f>IFERROR(__xludf.DUMMYFUNCTION("""COMPUTED_VALUE"""),0.5222201882900356)</f>
        <v>0.5222201883</v>
      </c>
      <c r="AB3223" s="82">
        <f>IFERROR(__xludf.DUMMYFUNCTION("""COMPUTED_VALUE"""),1.0687517301036091)</f>
        <v>1.06875173</v>
      </c>
      <c r="AC3223" s="82">
        <f>IFERROR(__xludf.DUMMYFUNCTION("""COMPUTED_VALUE"""),2.2732748875423043)</f>
        <v>2.273274888</v>
      </c>
      <c r="AD3223" s="82">
        <f>IFERROR(__xludf.DUMMYFUNCTION("""COMPUTED_VALUE"""),0.9357102060161299)</f>
        <v>0.935710206</v>
      </c>
      <c r="AE3223" s="82">
        <f>IFERROR(__xludf.DUMMYFUNCTION("""COMPUTED_VALUE"""),1.1706329400381257)</f>
        <v>1.17063294</v>
      </c>
      <c r="AF3223" s="82">
        <f>IFERROR(__xludf.DUMMYFUNCTION("""COMPUTED_VALUE"""),0.6565375114658026)</f>
        <v>0.6565375115</v>
      </c>
      <c r="AG3223" s="82">
        <f>IFERROR(__xludf.DUMMYFUNCTION("""COMPUTED_VALUE"""),0.5614025999675655)</f>
        <v>0.5614026</v>
      </c>
      <c r="AH3223" s="82">
        <f>IFERROR(__xludf.DUMMYFUNCTION("""COMPUTED_VALUE"""),1.0934508181725682)</f>
        <v>1.093450818</v>
      </c>
      <c r="AI3223" s="82">
        <f>IFERROR(__xludf.DUMMYFUNCTION("""COMPUTED_VALUE"""),1.058613565127404)</f>
        <v>1.058613565</v>
      </c>
      <c r="AJ3223" s="82">
        <f>IFERROR(__xludf.DUMMYFUNCTION("""COMPUTED_VALUE"""),1.1629656761533531)</f>
        <v>1.162965676</v>
      </c>
      <c r="AK3223" s="82">
        <f>IFERROR(__xludf.DUMMYFUNCTION("""COMPUTED_VALUE"""),1.2546912522481655)</f>
        <v>1.254691252</v>
      </c>
      <c r="AL3223" s="82">
        <f>IFERROR(__xludf.DUMMYFUNCTION("""COMPUTED_VALUE"""),1.03909874658407)</f>
        <v>1.039098747</v>
      </c>
      <c r="AM3223" s="82">
        <f>IFERROR(__xludf.DUMMYFUNCTION("""COMPUTED_VALUE"""),0.9345040453712534)</f>
        <v>0.9345040454</v>
      </c>
      <c r="AN3223" s="82">
        <f>IFERROR(__xludf.DUMMYFUNCTION("""COMPUTED_VALUE"""),0.9810426309655597)</f>
        <v>0.981042631</v>
      </c>
      <c r="AO3223" s="82">
        <f>IFERROR(__xludf.DUMMYFUNCTION("""COMPUTED_VALUE"""),1.296480510303491)</f>
        <v>1.29648051</v>
      </c>
      <c r="AP3223" s="82">
        <f>IFERROR(__xludf.DUMMYFUNCTION("""COMPUTED_VALUE"""),0.6688280667286947)</f>
        <v>0.6688280667</v>
      </c>
      <c r="AQ3223" s="82">
        <f>IFERROR(__xludf.DUMMYFUNCTION("""COMPUTED_VALUE"""),0.5726996709747472)</f>
        <v>0.572699671</v>
      </c>
      <c r="AR3223" s="82">
        <f>IFERROR(__xludf.DUMMYFUNCTION("""COMPUTED_VALUE"""),1.1559498586509998)</f>
        <v>1.155949859</v>
      </c>
      <c r="AS3223" s="82">
        <f>IFERROR(__xludf.DUMMYFUNCTION("""COMPUTED_VALUE"""),82.0)</f>
        <v>82</v>
      </c>
      <c r="AT3223" s="82">
        <f>IFERROR(__xludf.DUMMYFUNCTION("""COMPUTED_VALUE"""),0.46331293708188087)</f>
        <v>0.4633129371</v>
      </c>
      <c r="AU3223" s="82">
        <f>IFERROR(__xludf.DUMMYFUNCTION("""COMPUTED_VALUE"""),3.0895727244484394)</f>
        <v>3.089572724</v>
      </c>
      <c r="AV3223" s="82">
        <f>IFERROR(__xludf.DUMMYFUNCTION("""COMPUTED_VALUE"""),48.33590799694529)</f>
        <v>48.335908</v>
      </c>
      <c r="AW3223" s="82">
        <f t="shared" si="1"/>
        <v>-2.112090634</v>
      </c>
      <c r="AX3223" s="83">
        <f t="array" ref="AX3223">IFERROR(DGET('SBV Import'!A:G,"SBV",{"RSC ID","Tier";B3223,A3223}))</f>
        <v>48.2659156</v>
      </c>
      <c r="AY3223" s="82">
        <f t="shared" si="2"/>
        <v>-2.117073351</v>
      </c>
      <c r="AZ3223" s="82">
        <v>0.004982716732255366</v>
      </c>
      <c r="BA3223" s="84">
        <v>3200.0</v>
      </c>
      <c r="BB3223" s="84" t="b">
        <f>IFERROR(__xludf.DUMMYFUNCTION("iferror(if(A3223="""",,E3223&gt;=FILTER(Constants!$F$2:$F$10,Constants!$A$2:$A$10=A3223)))"),TRUE)</f>
        <v>1</v>
      </c>
    </row>
    <row r="3224">
      <c r="A3224" s="89" t="str">
        <f>IFERROR(__xludf.DUMMYFUNCTION("""COMPUTED_VALUE"""),"Contender")</f>
        <v>Contender</v>
      </c>
      <c r="B3224" s="87" t="str">
        <f>IFERROR(__xludf.DUMMYFUNCTION("""COMPUTED_VALUE"""),"RSC005550")</f>
        <v>RSC005550</v>
      </c>
      <c r="C3224" s="73" t="str">
        <f>IFERROR(__xludf.DUMMYFUNCTION("""COMPUTED_VALUE"""),"Shraggaholic")</f>
        <v>Shraggaholic</v>
      </c>
      <c r="D3224" s="73" t="str">
        <f>IFERROR(__xludf.DUMMYFUNCTION("""COMPUTED_VALUE"""),"Ice")</f>
        <v>Ice</v>
      </c>
      <c r="E3224" s="82">
        <f>IFERROR(__xludf.DUMMYFUNCTION("""COMPUTED_VALUE"""),34.0)</f>
        <v>34</v>
      </c>
      <c r="F3224" s="82">
        <f>IFERROR(__xludf.DUMMYFUNCTION("""COMPUTED_VALUE"""),20.0)</f>
        <v>20</v>
      </c>
      <c r="G3224" s="86">
        <f>IFERROR(__xludf.DUMMYFUNCTION("""COMPUTED_VALUE"""),14.0)</f>
        <v>14</v>
      </c>
      <c r="H3224" s="86">
        <f>IFERROR(__xludf.DUMMYFUNCTION("""COMPUTED_VALUE"""),0.5882352941176471)</f>
        <v>0.5882352941</v>
      </c>
      <c r="I3224" s="86">
        <f>IFERROR(__xludf.DUMMYFUNCTION("""COMPUTED_VALUE"""),0.31506849315068497)</f>
        <v>0.3150684932</v>
      </c>
      <c r="J3224" s="82">
        <f>IFERROR(__xludf.DUMMYFUNCTION("""COMPUTED_VALUE"""),318.1470588235294)</f>
        <v>318.1470588</v>
      </c>
      <c r="K3224" s="82">
        <f>IFERROR(__xludf.DUMMYFUNCTION("""COMPUTED_VALUE"""),0.6764705882352942)</f>
        <v>0.6764705882</v>
      </c>
      <c r="L3224" s="82">
        <f>IFERROR(__xludf.DUMMYFUNCTION("""COMPUTED_VALUE"""),0.5)</f>
        <v>0.5</v>
      </c>
      <c r="M3224" s="82">
        <f>IFERROR(__xludf.DUMMYFUNCTION("""COMPUTED_VALUE"""),1.2647058823529411)</f>
        <v>1.264705882</v>
      </c>
      <c r="N3224" s="82">
        <f>IFERROR(__xludf.DUMMYFUNCTION("""COMPUTED_VALUE"""),2.1470588235294117)</f>
        <v>2.147058824</v>
      </c>
      <c r="O3224" s="82">
        <f>IFERROR(__xludf.DUMMYFUNCTION("""COMPUTED_VALUE"""),320.82352941176475)</f>
        <v>320.8235294</v>
      </c>
      <c r="P3224" s="82">
        <f>IFERROR(__xludf.DUMMYFUNCTION("""COMPUTED_VALUE"""),0.7352941176470589)</f>
        <v>0.7352941176</v>
      </c>
      <c r="Q3224" s="82">
        <f>IFERROR(__xludf.DUMMYFUNCTION("""COMPUTED_VALUE"""),0.5490196078431372)</f>
        <v>0.5490196078</v>
      </c>
      <c r="R3224" s="82">
        <f>IFERROR(__xludf.DUMMYFUNCTION("""COMPUTED_VALUE"""),1.0098039215686274)</f>
        <v>1.009803922</v>
      </c>
      <c r="S3224" s="82">
        <f>IFERROR(__xludf.DUMMYFUNCTION("""COMPUTED_VALUE"""),2.4705882352941178)</f>
        <v>2.470588235</v>
      </c>
      <c r="T3224" s="82">
        <f>IFERROR(__xludf.DUMMYFUNCTION("""COMPUTED_VALUE"""),309.5667579429293)</f>
        <v>309.5667579</v>
      </c>
      <c r="U3224" s="82">
        <f>IFERROR(__xludf.DUMMYFUNCTION("""COMPUTED_VALUE"""),0.740093995870029)</f>
        <v>0.7400939959</v>
      </c>
      <c r="V3224" s="82">
        <f>IFERROR(__xludf.DUMMYFUNCTION("""COMPUTED_VALUE"""),0.47797764108170543)</f>
        <v>0.4779776411</v>
      </c>
      <c r="W3224" s="82">
        <f>IFERROR(__xludf.DUMMYFUNCTION("""COMPUTED_VALUE"""),1.0174218765039922)</f>
        <v>1.017421877</v>
      </c>
      <c r="X3224" s="82">
        <f>IFERROR(__xludf.DUMMYFUNCTION("""COMPUTED_VALUE"""),2.1470098883299906)</f>
        <v>2.147009888</v>
      </c>
      <c r="Y3224" s="82">
        <f>IFERROR(__xludf.DUMMYFUNCTION("""COMPUTED_VALUE"""),324.00240004416787)</f>
        <v>324.0024</v>
      </c>
      <c r="Z3224" s="82">
        <f>IFERROR(__xludf.DUMMYFUNCTION("""COMPUTED_VALUE"""),0.7982333048688188)</f>
        <v>0.7982333049</v>
      </c>
      <c r="AA3224" s="82">
        <f>IFERROR(__xludf.DUMMYFUNCTION("""COMPUTED_VALUE"""),0.517603508983486)</f>
        <v>0.517603509</v>
      </c>
      <c r="AB3224" s="82">
        <f>IFERROR(__xludf.DUMMYFUNCTION("""COMPUTED_VALUE"""),1.055610768346071)</f>
        <v>1.055610768</v>
      </c>
      <c r="AC3224" s="82">
        <f>IFERROR(__xludf.DUMMYFUNCTION("""COMPUTED_VALUE"""),2.243620792774896)</f>
        <v>2.243620793</v>
      </c>
      <c r="AD3224" s="82">
        <f>IFERROR(__xludf.DUMMYFUNCTION("""COMPUTED_VALUE"""),0.9819280930640011)</f>
        <v>0.9819280931</v>
      </c>
      <c r="AE3224" s="82">
        <f>IFERROR(__xludf.DUMMYFUNCTION("""COMPUTED_VALUE"""),0.847459739037655)</f>
        <v>0.847459739</v>
      </c>
      <c r="AF3224" s="82">
        <f>IFERROR(__xludf.DUMMYFUNCTION("""COMPUTED_VALUE"""),0.965990360038213)</f>
        <v>0.96599036</v>
      </c>
      <c r="AG3224" s="82">
        <f>IFERROR(__xludf.DUMMYFUNCTION("""COMPUTED_VALUE"""),1.1980797470780638)</f>
        <v>1.198079747</v>
      </c>
      <c r="AH3224" s="82">
        <f>IFERROR(__xludf.DUMMYFUNCTION("""COMPUTED_VALUE"""),0.9569615464625566)</f>
        <v>0.9569615465</v>
      </c>
      <c r="AI3224" s="82">
        <f>IFERROR(__xludf.DUMMYFUNCTION("""COMPUTED_VALUE"""),1.0363629853012535)</f>
        <v>1.036362985</v>
      </c>
      <c r="AJ3224" s="82">
        <f>IFERROR(__xludf.DUMMYFUNCTION("""COMPUTED_VALUE"""),0.9935145018744173)</f>
        <v>0.9935145019</v>
      </c>
      <c r="AK3224" s="82">
        <f>IFERROR(__xludf.DUMMYFUNCTION("""COMPUTED_VALUE"""),1.1486303137541278)</f>
        <v>1.148630314</v>
      </c>
      <c r="AL3224" s="82">
        <f>IFERROR(__xludf.DUMMYFUNCTION("""COMPUTED_VALUE"""),0.9925124915128215)</f>
        <v>0.9925124915</v>
      </c>
      <c r="AM3224" s="82">
        <f>IFERROR(__xludf.DUMMYFUNCTION("""COMPUTED_VALUE"""),1.1507111582126044)</f>
        <v>1.150711158</v>
      </c>
      <c r="AN3224" s="82">
        <f>IFERROR(__xludf.DUMMYFUNCTION("""COMPUTED_VALUE"""),1.0206534585421514)</f>
        <v>1.020653459</v>
      </c>
      <c r="AO3224" s="82">
        <f>IFERROR(__xludf.DUMMYFUNCTION("""COMPUTED_VALUE"""),0.9028259608947322)</f>
        <v>0.9028259609</v>
      </c>
      <c r="AP3224" s="82">
        <f>IFERROR(__xludf.DUMMYFUNCTION("""COMPUTED_VALUE"""),0.9753742639793463)</f>
        <v>0.975374264</v>
      </c>
      <c r="AQ3224" s="82">
        <f>IFERROR(__xludf.DUMMYFUNCTION("""COMPUTED_VALUE"""),1.2071610711722611)</f>
        <v>1.207161071</v>
      </c>
      <c r="AR3224" s="82">
        <f>IFERROR(__xludf.DUMMYFUNCTION("""COMPUTED_VALUE"""),0.9984624370700826)</f>
        <v>0.9984624371</v>
      </c>
      <c r="AS3224" s="82">
        <f>IFERROR(__xludf.DUMMYFUNCTION("""COMPUTED_VALUE"""),88.0)</f>
        <v>88</v>
      </c>
      <c r="AT3224" s="82">
        <f>IFERROR(__xludf.DUMMYFUNCTION("""COMPUTED_VALUE"""),0.5623371627426441)</f>
        <v>0.5623371627</v>
      </c>
      <c r="AU3224" s="82">
        <f>IFERROR(__xludf.DUMMYFUNCTION("""COMPUTED_VALUE"""),2.975058424694159)</f>
        <v>2.975058425</v>
      </c>
      <c r="AV3224" s="82">
        <f>IFERROR(__xludf.DUMMYFUNCTION("""COMPUTED_VALUE"""),46.361416782355256)</f>
        <v>46.36141678</v>
      </c>
      <c r="AW3224" s="82">
        <f t="shared" si="1"/>
        <v>-2.261722173</v>
      </c>
      <c r="AX3224" s="83">
        <f t="array" ref="AX3224">IFERROR(DGET('SBV Import'!A:G,"SBV",{"RSC ID","Tier";B3224,A3224}))</f>
        <v>42.69154575</v>
      </c>
      <c r="AY3224" s="82">
        <f t="shared" si="2"/>
        <v>-2.597307889</v>
      </c>
      <c r="AZ3224" s="82">
        <v>0.33558571604107046</v>
      </c>
      <c r="BA3224" s="84">
        <v>3200.0</v>
      </c>
      <c r="BB3224" s="84" t="b">
        <f>IFERROR(__xludf.DUMMYFUNCTION("iferror(if(A3224="""",,E3224&gt;=FILTER(Constants!$F$2:$F$10,Constants!$A$2:$A$10=A3224)))"),TRUE)</f>
        <v>1</v>
      </c>
    </row>
    <row r="3225">
      <c r="A3225" s="89" t="str">
        <f>IFERROR(__xludf.DUMMYFUNCTION("""COMPUTED_VALUE"""),"Contender")</f>
        <v>Contender</v>
      </c>
      <c r="B3225" s="87" t="str">
        <f>IFERROR(__xludf.DUMMYFUNCTION("""COMPUTED_VALUE"""),"RSC006880")</f>
        <v>RSC006880</v>
      </c>
      <c r="C3225" s="73" t="str">
        <f>IFERROR(__xludf.DUMMYFUNCTION("""COMPUTED_VALUE"""),"Kenjicat17")</f>
        <v>Kenjicat17</v>
      </c>
      <c r="D3225" s="73" t="str">
        <f>IFERROR(__xludf.DUMMYFUNCTION("""COMPUTED_VALUE"""),"Ice")</f>
        <v>Ice</v>
      </c>
      <c r="E3225" s="82">
        <f>IFERROR(__xludf.DUMMYFUNCTION("""COMPUTED_VALUE"""),35.0)</f>
        <v>35</v>
      </c>
      <c r="F3225" s="82">
        <f>IFERROR(__xludf.DUMMYFUNCTION("""COMPUTED_VALUE"""),21.0)</f>
        <v>21</v>
      </c>
      <c r="G3225" s="86">
        <f>IFERROR(__xludf.DUMMYFUNCTION("""COMPUTED_VALUE"""),14.0)</f>
        <v>14</v>
      </c>
      <c r="H3225" s="86">
        <f>IFERROR(__xludf.DUMMYFUNCTION("""COMPUTED_VALUE"""),0.6)</f>
        <v>0.6</v>
      </c>
      <c r="I3225" s="86">
        <f>IFERROR(__xludf.DUMMYFUNCTION("""COMPUTED_VALUE"""),0.4)</f>
        <v>0.4</v>
      </c>
      <c r="J3225" s="82">
        <f>IFERROR(__xludf.DUMMYFUNCTION("""COMPUTED_VALUE"""),312.8)</f>
        <v>312.8</v>
      </c>
      <c r="K3225" s="82">
        <f>IFERROR(__xludf.DUMMYFUNCTION("""COMPUTED_VALUE"""),0.8)</f>
        <v>0.8</v>
      </c>
      <c r="L3225" s="82">
        <f>IFERROR(__xludf.DUMMYFUNCTION("""COMPUTED_VALUE"""),0.42857142857142855)</f>
        <v>0.4285714286</v>
      </c>
      <c r="M3225" s="82">
        <f>IFERROR(__xludf.DUMMYFUNCTION("""COMPUTED_VALUE"""),1.0)</f>
        <v>1</v>
      </c>
      <c r="N3225" s="82">
        <f>IFERROR(__xludf.DUMMYFUNCTION("""COMPUTED_VALUE"""),2.0)</f>
        <v>2</v>
      </c>
      <c r="O3225" s="82">
        <f>IFERROR(__xludf.DUMMYFUNCTION("""COMPUTED_VALUE"""),318.5238095238096)</f>
        <v>318.5238095</v>
      </c>
      <c r="P3225" s="82">
        <f>IFERROR(__xludf.DUMMYFUNCTION("""COMPUTED_VALUE"""),0.7238095238095238)</f>
        <v>0.7238095238</v>
      </c>
      <c r="Q3225" s="82">
        <f>IFERROR(__xludf.DUMMYFUNCTION("""COMPUTED_VALUE"""),0.5428571428571427)</f>
        <v>0.5428571429</v>
      </c>
      <c r="R3225" s="82">
        <f>IFERROR(__xludf.DUMMYFUNCTION("""COMPUTED_VALUE"""),1.0190476190476192)</f>
        <v>1.019047619</v>
      </c>
      <c r="S3225" s="82">
        <f>IFERROR(__xludf.DUMMYFUNCTION("""COMPUTED_VALUE"""),2.4190476190476193)</f>
        <v>2.419047619</v>
      </c>
      <c r="T3225" s="82">
        <f>IFERROR(__xludf.DUMMYFUNCTION("""COMPUTED_VALUE"""),311.0566004172146)</f>
        <v>311.0566004</v>
      </c>
      <c r="U3225" s="82">
        <f>IFERROR(__xludf.DUMMYFUNCTION("""COMPUTED_VALUE"""),0.7449622733210083)</f>
        <v>0.7449622733</v>
      </c>
      <c r="V3225" s="82">
        <f>IFERROR(__xludf.DUMMYFUNCTION("""COMPUTED_VALUE"""),0.48258638144256716)</f>
        <v>0.4825863814</v>
      </c>
      <c r="W3225" s="82">
        <f>IFERROR(__xludf.DUMMYFUNCTION("""COMPUTED_VALUE"""),1.0286063183078664)</f>
        <v>1.028606318</v>
      </c>
      <c r="X3225" s="82">
        <f>IFERROR(__xludf.DUMMYFUNCTION("""COMPUTED_VALUE"""),2.151659403834711)</f>
        <v>2.151659404</v>
      </c>
      <c r="Y3225" s="82">
        <f>IFERROR(__xludf.DUMMYFUNCTION("""COMPUTED_VALUE"""),323.20492441325365)</f>
        <v>323.2049244</v>
      </c>
      <c r="Z3225" s="82">
        <f>IFERROR(__xludf.DUMMYFUNCTION("""COMPUTED_VALUE"""),0.7892761695442392)</f>
        <v>0.7892761695</v>
      </c>
      <c r="AA3225" s="82">
        <f>IFERROR(__xludf.DUMMYFUNCTION("""COMPUTED_VALUE"""),0.5125247492378676)</f>
        <v>0.5125247492</v>
      </c>
      <c r="AB3225" s="82">
        <f>IFERROR(__xludf.DUMMYFUNCTION("""COMPUTED_VALUE"""),1.0620765749022507)</f>
        <v>1.062076575</v>
      </c>
      <c r="AC3225" s="82">
        <f>IFERROR(__xludf.DUMMYFUNCTION("""COMPUTED_VALUE"""),2.2442398646341077)</f>
        <v>2.244239865</v>
      </c>
      <c r="AD3225" s="82">
        <f>IFERROR(__xludf.DUMMYFUNCTION("""COMPUTED_VALUE"""),0.9678070362568184)</f>
        <v>0.9678070363</v>
      </c>
      <c r="AE3225" s="82">
        <f>IFERROR(__xludf.DUMMYFUNCTION("""COMPUTED_VALUE"""),1.0135869178236476)</f>
        <v>1.013586918</v>
      </c>
      <c r="AF3225" s="82">
        <f>IFERROR(__xludf.DUMMYFUNCTION("""COMPUTED_VALUE"""),0.8361965528664148)</f>
        <v>0.8361965529</v>
      </c>
      <c r="AG3225" s="82">
        <f>IFERROR(__xludf.DUMMYFUNCTION("""COMPUTED_VALUE"""),0.9415516956411886)</f>
        <v>0.9415516956</v>
      </c>
      <c r="AH3225" s="82">
        <f>IFERROR(__xludf.DUMMYFUNCTION("""COMPUTED_VALUE"""),0.8911703385707714)</f>
        <v>0.8911703386</v>
      </c>
      <c r="AI3225" s="82">
        <f>IFERROR(__xludf.DUMMYFUNCTION("""COMPUTED_VALUE"""),1.0240059497100507)</f>
        <v>1.02400595</v>
      </c>
      <c r="AJ3225" s="82">
        <f>IFERROR(__xludf.DUMMYFUNCTION("""COMPUTED_VALUE"""),0.9716056097482809)</f>
        <v>0.9716056097</v>
      </c>
      <c r="AK3225" s="82">
        <f>IFERROR(__xludf.DUMMYFUNCTION("""COMPUTED_VALUE"""),1.1248911360374731)</f>
        <v>1.124891136</v>
      </c>
      <c r="AL3225" s="82">
        <f>IFERROR(__xludf.DUMMYFUNCTION("""COMPUTED_VALUE"""),0.9907071353829792)</f>
        <v>0.9907071354</v>
      </c>
      <c r="AM3225" s="82">
        <f>IFERROR(__xludf.DUMMYFUNCTION("""COMPUTED_VALUE"""),1.124270697646833)</f>
        <v>1.124270698</v>
      </c>
      <c r="AN3225" s="82">
        <f>IFERROR(__xludf.DUMMYFUNCTION("""COMPUTED_VALUE"""),1.0034994603205594)</f>
        <v>1.00349946</v>
      </c>
      <c r="AO3225" s="82">
        <f>IFERROR(__xludf.DUMMYFUNCTION("""COMPUTED_VALUE"""),1.0676898320146397)</f>
        <v>1.067689832</v>
      </c>
      <c r="AP3225" s="82">
        <f>IFERROR(__xludf.DUMMYFUNCTION("""COMPUTED_VALUE"""),0.8360350834108683)</f>
        <v>0.8360350834</v>
      </c>
      <c r="AQ3225" s="82">
        <f>IFERROR(__xludf.DUMMYFUNCTION("""COMPUTED_VALUE"""),0.9544994516245786)</f>
        <v>0.9544994516</v>
      </c>
      <c r="AR3225" s="82">
        <f>IFERROR(__xludf.DUMMYFUNCTION("""COMPUTED_VALUE"""),0.9300745989145975)</f>
        <v>0.9300745989</v>
      </c>
      <c r="AS3225" s="82">
        <f>IFERROR(__xludf.DUMMYFUNCTION("""COMPUTED_VALUE"""),90.0)</f>
        <v>90</v>
      </c>
      <c r="AT3225" s="82">
        <f>IFERROR(__xludf.DUMMYFUNCTION("""COMPUTED_VALUE"""),0.5656943985970159)</f>
        <v>0.5656943986</v>
      </c>
      <c r="AU3225" s="82">
        <f>IFERROR(__xludf.DUMMYFUNCTION("""COMPUTED_VALUE"""),2.9355797756498676)</f>
        <v>2.935579776</v>
      </c>
      <c r="AV3225" s="82">
        <f>IFERROR(__xludf.DUMMYFUNCTION("""COMPUTED_VALUE"""),45.68071362240843)</f>
        <v>45.68071362</v>
      </c>
      <c r="AW3225" s="82">
        <f t="shared" si="1"/>
        <v>-2.317950822</v>
      </c>
      <c r="AX3225" s="83">
        <f t="array" ref="AX3225">IFERROR(DGET('SBV Import'!A:G,"SBV",{"RSC ID","Tier";B3225,A3225}))</f>
        <v>38.62989852</v>
      </c>
      <c r="AY3225" s="82">
        <f t="shared" si="2"/>
        <v>-3.080476479</v>
      </c>
      <c r="AZ3225" s="82">
        <v>0.7625256563254728</v>
      </c>
      <c r="BA3225" s="84">
        <v>3200.0</v>
      </c>
      <c r="BB3225" s="84" t="b">
        <f>IFERROR(__xludf.DUMMYFUNCTION("iferror(if(A3225="""",,E3225&gt;=FILTER(Constants!$F$2:$F$10,Constants!$A$2:$A$10=A3225)))"),TRUE)</f>
        <v>1</v>
      </c>
    </row>
    <row r="3226">
      <c r="A3226" s="89" t="str">
        <f>IFERROR(__xludf.DUMMYFUNCTION("""COMPUTED_VALUE"""),"Contender")</f>
        <v>Contender</v>
      </c>
      <c r="B3226" s="87" t="str">
        <f>IFERROR(__xludf.DUMMYFUNCTION("""COMPUTED_VALUE"""),"RSC006784")</f>
        <v>RSC006784</v>
      </c>
      <c r="C3226" s="73" t="str">
        <f>IFERROR(__xludf.DUMMYFUNCTION("""COMPUTED_VALUE"""),"KittyMeowMeow360")</f>
        <v>KittyMeowMeow360</v>
      </c>
      <c r="D3226" s="73" t="str">
        <f>IFERROR(__xludf.DUMMYFUNCTION("""COMPUTED_VALUE"""),"Legionaries")</f>
        <v>Legionaries</v>
      </c>
      <c r="E3226" s="82">
        <f>IFERROR(__xludf.DUMMYFUNCTION("""COMPUTED_VALUE"""),35.0)</f>
        <v>35</v>
      </c>
      <c r="F3226" s="82">
        <f>IFERROR(__xludf.DUMMYFUNCTION("""COMPUTED_VALUE"""),16.0)</f>
        <v>16</v>
      </c>
      <c r="G3226" s="86">
        <f>IFERROR(__xludf.DUMMYFUNCTION("""COMPUTED_VALUE"""),19.0)</f>
        <v>19</v>
      </c>
      <c r="H3226" s="86">
        <f>IFERROR(__xludf.DUMMYFUNCTION("""COMPUTED_VALUE"""),0.45714285714285713)</f>
        <v>0.4571428571</v>
      </c>
      <c r="I3226" s="86">
        <f>IFERROR(__xludf.DUMMYFUNCTION("""COMPUTED_VALUE"""),0.3098591549295775)</f>
        <v>0.3098591549</v>
      </c>
      <c r="J3226" s="82">
        <f>IFERROR(__xludf.DUMMYFUNCTION("""COMPUTED_VALUE"""),320.25714285714287)</f>
        <v>320.2571429</v>
      </c>
      <c r="K3226" s="82">
        <f>IFERROR(__xludf.DUMMYFUNCTION("""COMPUTED_VALUE"""),0.6285714285714286)</f>
        <v>0.6285714286</v>
      </c>
      <c r="L3226" s="82">
        <f>IFERROR(__xludf.DUMMYFUNCTION("""COMPUTED_VALUE"""),0.42857142857142855)</f>
        <v>0.4285714286</v>
      </c>
      <c r="M3226" s="82">
        <f>IFERROR(__xludf.DUMMYFUNCTION("""COMPUTED_VALUE"""),1.3142857142857143)</f>
        <v>1.314285714</v>
      </c>
      <c r="N3226" s="82">
        <f>IFERROR(__xludf.DUMMYFUNCTION("""COMPUTED_VALUE"""),2.0285714285714285)</f>
        <v>2.028571429</v>
      </c>
      <c r="O3226" s="82">
        <f>IFERROR(__xludf.DUMMYFUNCTION("""COMPUTED_VALUE"""),327.6761904761905)</f>
        <v>327.6761905</v>
      </c>
      <c r="P3226" s="82">
        <f>IFERROR(__xludf.DUMMYFUNCTION("""COMPUTED_VALUE"""),0.8190476190476189)</f>
        <v>0.819047619</v>
      </c>
      <c r="Q3226" s="82">
        <f>IFERROR(__xludf.DUMMYFUNCTION("""COMPUTED_VALUE"""),0.5238095238095237)</f>
        <v>0.5238095238</v>
      </c>
      <c r="R3226" s="82">
        <f>IFERROR(__xludf.DUMMYFUNCTION("""COMPUTED_VALUE"""),0.9904761904761904)</f>
        <v>0.9904761905</v>
      </c>
      <c r="S3226" s="82">
        <f>IFERROR(__xludf.DUMMYFUNCTION("""COMPUTED_VALUE"""),2.5428571428571427)</f>
        <v>2.542857143</v>
      </c>
      <c r="T3226" s="82">
        <f>IFERROR(__xludf.DUMMYFUNCTION("""COMPUTED_VALUE"""),328.33420810580276)</f>
        <v>328.3342081</v>
      </c>
      <c r="U3226" s="82">
        <f>IFERROR(__xludf.DUMMYFUNCTION("""COMPUTED_VALUE"""),0.8140900888211792)</f>
        <v>0.8140900888</v>
      </c>
      <c r="V3226" s="82">
        <f>IFERROR(__xludf.DUMMYFUNCTION("""COMPUTED_VALUE"""),0.5361790468187118)</f>
        <v>0.5361790468</v>
      </c>
      <c r="W3226" s="82">
        <f>IFERROR(__xludf.DUMMYFUNCTION("""COMPUTED_VALUE"""),1.051984346248827)</f>
        <v>1.051984346</v>
      </c>
      <c r="X3226" s="82">
        <f>IFERROR(__xludf.DUMMYFUNCTION("""COMPUTED_VALUE"""),2.3693886615005404)</f>
        <v>2.369388662</v>
      </c>
      <c r="Y3226" s="82">
        <f>IFERROR(__xludf.DUMMYFUNCTION("""COMPUTED_VALUE"""),320.9510544978292)</f>
        <v>320.9510545</v>
      </c>
      <c r="Z3226" s="82">
        <f>IFERROR(__xludf.DUMMYFUNCTION("""COMPUTED_VALUE"""),0.7780607691026123)</f>
        <v>0.7780607691</v>
      </c>
      <c r="AA3226" s="82">
        <f>IFERROR(__xludf.DUMMYFUNCTION("""COMPUTED_VALUE"""),0.49595053822874013)</f>
        <v>0.4959505382</v>
      </c>
      <c r="AB3226" s="82">
        <f>IFERROR(__xludf.DUMMYFUNCTION("""COMPUTED_VALUE"""),1.0751153581408108)</f>
        <v>1.075115358</v>
      </c>
      <c r="AC3226" s="82">
        <f>IFERROR(__xludf.DUMMYFUNCTION("""COMPUTED_VALUE"""),2.1916103440627643)</f>
        <v>2.191610344</v>
      </c>
      <c r="AD3226" s="82">
        <f>IFERROR(__xludf.DUMMYFUNCTION("""COMPUTED_VALUE"""),0.9978379518279756)</f>
        <v>0.9978379518</v>
      </c>
      <c r="AE3226" s="82">
        <f>IFERROR(__xludf.DUMMYFUNCTION("""COMPUTED_VALUE"""),0.8078693252924196)</f>
        <v>0.8078693253</v>
      </c>
      <c r="AF3226" s="82">
        <f>IFERROR(__xludf.DUMMYFUNCTION("""COMPUTED_VALUE"""),0.8641414728614827)</f>
        <v>0.8641414729</v>
      </c>
      <c r="AG3226" s="82">
        <f>IFERROR(__xludf.DUMMYFUNCTION("""COMPUTED_VALUE"""),1.2224601800484918)</f>
        <v>1.22246018</v>
      </c>
      <c r="AH3226" s="82">
        <f>IFERROR(__xludf.DUMMYFUNCTION("""COMPUTED_VALUE"""),0.9256077085358625)</f>
        <v>0.9256077085</v>
      </c>
      <c r="AI3226" s="82">
        <f>IFERROR(__xludf.DUMMYFUNCTION("""COMPUTED_VALUE"""),0.9979958907315555)</f>
        <v>0.9979958907</v>
      </c>
      <c r="AJ3226" s="82">
        <f>IFERROR(__xludf.DUMMYFUNCTION("""COMPUTED_VALUE"""),1.0060896580053178)</f>
        <v>1.006089658</v>
      </c>
      <c r="AK3226" s="82">
        <f>IFERROR(__xludf.DUMMYFUNCTION("""COMPUTED_VALUE"""),0.9769302379819211)</f>
        <v>0.976930238</v>
      </c>
      <c r="AL3226" s="82">
        <f>IFERROR(__xludf.DUMMYFUNCTION("""COMPUTED_VALUE"""),0.9415313013050406)</f>
        <v>0.9415313013</v>
      </c>
      <c r="AM3226" s="82">
        <f>IFERROR(__xludf.DUMMYFUNCTION("""COMPUTED_VALUE"""),1.0732123370788582)</f>
        <v>1.073212337</v>
      </c>
      <c r="AN3226" s="82">
        <f>IFERROR(__xludf.DUMMYFUNCTION("""COMPUTED_VALUE"""),1.0274228581232325)</f>
        <v>1.027422858</v>
      </c>
      <c r="AO3226" s="82">
        <f>IFERROR(__xludf.DUMMYFUNCTION("""COMPUTED_VALUE"""),0.8388991537257884)</f>
        <v>0.8388991537</v>
      </c>
      <c r="AP3226" s="82">
        <f>IFERROR(__xludf.DUMMYFUNCTION("""COMPUTED_VALUE"""),0.8360350834108683)</f>
        <v>0.8360350834</v>
      </c>
      <c r="AQ3226" s="82">
        <f>IFERROR(__xludf.DUMMYFUNCTION("""COMPUTED_VALUE"""),1.2544849935637319)</f>
        <v>1.254484994</v>
      </c>
      <c r="AR3226" s="82">
        <f>IFERROR(__xludf.DUMMYFUNCTION("""COMPUTED_VALUE"""),0.9433613788990918)</f>
        <v>0.9433613789</v>
      </c>
      <c r="AS3226" s="82">
        <f>IFERROR(__xludf.DUMMYFUNCTION("""COMPUTED_VALUE"""),70.0)</f>
        <v>70</v>
      </c>
      <c r="AT3226" s="82">
        <f>IFERROR(__xludf.DUMMYFUNCTION("""COMPUTED_VALUE"""),0.421624736318254)</f>
        <v>0.4216247363</v>
      </c>
      <c r="AU3226" s="82">
        <f>IFERROR(__xludf.DUMMYFUNCTION("""COMPUTED_VALUE"""),2.825799087689537)</f>
        <v>2.825799088</v>
      </c>
      <c r="AV3226" s="82">
        <f>IFERROR(__xludf.DUMMYFUNCTION("""COMPUTED_VALUE"""),43.7878408163533)</f>
        <v>43.78784082</v>
      </c>
      <c r="AW3226" s="82">
        <f t="shared" si="1"/>
        <v>-2.488310797</v>
      </c>
      <c r="AX3226" s="83">
        <f t="array" ref="AX3226">IFERROR(DGET('SBV Import'!A:G,"SBV",{"RSC ID","Tier";B3226,A3226}))</f>
        <v>43.40555204</v>
      </c>
      <c r="AY3226" s="82">
        <f t="shared" si="2"/>
        <v>-2.525408608</v>
      </c>
      <c r="AZ3226" s="82">
        <v>0.03709781039055127</v>
      </c>
      <c r="BA3226" s="84">
        <v>3200.0</v>
      </c>
      <c r="BB3226" s="84" t="b">
        <f>IFERROR(__xludf.DUMMYFUNCTION("iferror(if(A3226="""",,E3226&gt;=FILTER(Constants!$F$2:$F$10,Constants!$A$2:$A$10=A3226)))"),TRUE)</f>
        <v>1</v>
      </c>
    </row>
    <row r="3227">
      <c r="A3227" s="89" t="str">
        <f>IFERROR(__xludf.DUMMYFUNCTION("""COMPUTED_VALUE"""),"Contender")</f>
        <v>Contender</v>
      </c>
      <c r="B3227" s="87" t="str">
        <f>IFERROR(__xludf.DUMMYFUNCTION("""COMPUTED_VALUE"""),"RSC003153")</f>
        <v>RSC003153</v>
      </c>
      <c r="C3227" s="73" t="str">
        <f>IFERROR(__xludf.DUMMYFUNCTION("""COMPUTED_VALUE"""),"Theman")</f>
        <v>Theman</v>
      </c>
      <c r="D3227" s="73" t="str">
        <f>IFERROR(__xludf.DUMMYFUNCTION("""COMPUTED_VALUE"""),"Clover")</f>
        <v>Clover</v>
      </c>
      <c r="E3227" s="82">
        <f>IFERROR(__xludf.DUMMYFUNCTION("""COMPUTED_VALUE"""),26.0)</f>
        <v>26</v>
      </c>
      <c r="F3227" s="82">
        <f>IFERROR(__xludf.DUMMYFUNCTION("""COMPUTED_VALUE"""),14.0)</f>
        <v>14</v>
      </c>
      <c r="G3227" s="86">
        <f>IFERROR(__xludf.DUMMYFUNCTION("""COMPUTED_VALUE"""),12.0)</f>
        <v>12</v>
      </c>
      <c r="H3227" s="86">
        <f>IFERROR(__xludf.DUMMYFUNCTION("""COMPUTED_VALUE"""),0.5384615384615384)</f>
        <v>0.5384615385</v>
      </c>
      <c r="I3227" s="86">
        <f>IFERROR(__xludf.DUMMYFUNCTION("""COMPUTED_VALUE"""),0.4074074074074074)</f>
        <v>0.4074074074</v>
      </c>
      <c r="J3227" s="82">
        <f>IFERROR(__xludf.DUMMYFUNCTION("""COMPUTED_VALUE"""),323.53846153846155)</f>
        <v>323.5384615</v>
      </c>
      <c r="K3227" s="82">
        <f>IFERROR(__xludf.DUMMYFUNCTION("""COMPUTED_VALUE"""),0.8461538461538461)</f>
        <v>0.8461538462</v>
      </c>
      <c r="L3227" s="82">
        <f>IFERROR(__xludf.DUMMYFUNCTION("""COMPUTED_VALUE"""),0.2692307692307692)</f>
        <v>0.2692307692</v>
      </c>
      <c r="M3227" s="82">
        <f>IFERROR(__xludf.DUMMYFUNCTION("""COMPUTED_VALUE"""),1.2307692307692308)</f>
        <v>1.230769231</v>
      </c>
      <c r="N3227" s="82">
        <f>IFERROR(__xludf.DUMMYFUNCTION("""COMPUTED_VALUE"""),2.076923076923077)</f>
        <v>2.076923077</v>
      </c>
      <c r="O3227" s="82">
        <f>IFERROR(__xludf.DUMMYFUNCTION("""COMPUTED_VALUE"""),326.4615384615384)</f>
        <v>326.4615385</v>
      </c>
      <c r="P3227" s="82">
        <f>IFERROR(__xludf.DUMMYFUNCTION("""COMPUTED_VALUE"""),0.6923076923076923)</f>
        <v>0.6923076923</v>
      </c>
      <c r="Q3227" s="82">
        <f>IFERROR(__xludf.DUMMYFUNCTION("""COMPUTED_VALUE"""),0.4358974358974359)</f>
        <v>0.4358974359</v>
      </c>
      <c r="R3227" s="82">
        <f>IFERROR(__xludf.DUMMYFUNCTION("""COMPUTED_VALUE"""),1.205128205128205)</f>
        <v>1.205128205</v>
      </c>
      <c r="S3227" s="82">
        <f>IFERROR(__xludf.DUMMYFUNCTION("""COMPUTED_VALUE"""),2.3974358974358974)</f>
        <v>2.397435897</v>
      </c>
      <c r="T3227" s="82">
        <f>IFERROR(__xludf.DUMMYFUNCTION("""COMPUTED_VALUE"""),319.2951350402153)</f>
        <v>319.295135</v>
      </c>
      <c r="U3227" s="82">
        <f>IFERROR(__xludf.DUMMYFUNCTION("""COMPUTED_VALUE"""),0.7486486524030123)</f>
        <v>0.7486486524</v>
      </c>
      <c r="V3227" s="82">
        <f>IFERROR(__xludf.DUMMYFUNCTION("""COMPUTED_VALUE"""),0.5287960827279276)</f>
        <v>0.5287960827</v>
      </c>
      <c r="W3227" s="82">
        <f>IFERROR(__xludf.DUMMYFUNCTION("""COMPUTED_VALUE"""),1.0868384543302065)</f>
        <v>1.086838454</v>
      </c>
      <c r="X3227" s="82">
        <f>IFERROR(__xludf.DUMMYFUNCTION("""COMPUTED_VALUE"""),2.192249173852319)</f>
        <v>2.192249174</v>
      </c>
      <c r="Y3227" s="82">
        <f>IFERROR(__xludf.DUMMYFUNCTION("""COMPUTED_VALUE"""),327.61210287628546)</f>
        <v>327.6121029</v>
      </c>
      <c r="Z3227" s="82">
        <f>IFERROR(__xludf.DUMMYFUNCTION("""COMPUTED_VALUE"""),0.8046466219316332)</f>
        <v>0.8046466219</v>
      </c>
      <c r="AA3227" s="82">
        <f>IFERROR(__xludf.DUMMYFUNCTION("""COMPUTED_VALUE"""),0.5243844974455658)</f>
        <v>0.5243844974</v>
      </c>
      <c r="AB3227" s="82">
        <f>IFERROR(__xludf.DUMMYFUNCTION("""COMPUTED_VALUE"""),1.0980112155943837)</f>
        <v>1.098011216</v>
      </c>
      <c r="AC3227" s="82">
        <f>IFERROR(__xludf.DUMMYFUNCTION("""COMPUTED_VALUE"""),2.277046584920152)</f>
        <v>2.277046585</v>
      </c>
      <c r="AD3227" s="82">
        <f>IFERROR(__xludf.DUMMYFUNCTION("""COMPUTED_VALUE"""),0.9875656567566974)</f>
        <v>0.9875656568</v>
      </c>
      <c r="AE3227" s="82">
        <f>IFERROR(__xludf.DUMMYFUNCTION("""COMPUTED_VALUE"""),1.0515844136927721)</f>
        <v>1.051584414</v>
      </c>
      <c r="AF3227" s="82">
        <f>IFERROR(__xludf.DUMMYFUNCTION("""COMPUTED_VALUE"""),0.513422442010153)</f>
        <v>0.513422442</v>
      </c>
      <c r="AG3227" s="82">
        <f>IFERROR(__xludf.DUMMYFUNCTION("""COMPUTED_VALUE"""),1.1209077041193805)</f>
        <v>1.120907704</v>
      </c>
      <c r="AH3227" s="82">
        <f>IFERROR(__xludf.DUMMYFUNCTION("""COMPUTED_VALUE"""),0.9121126860897786)</f>
        <v>0.9121126861</v>
      </c>
      <c r="AI3227" s="82">
        <f>IFERROR(__xludf.DUMMYFUNCTION("""COMPUTED_VALUE"""),1.0224444491470892)</f>
        <v>1.022444449</v>
      </c>
      <c r="AJ3227" s="82">
        <f>IFERROR(__xludf.DUMMYFUNCTION("""COMPUTED_VALUE"""),0.9247431222717402)</f>
        <v>0.9247431223</v>
      </c>
      <c r="AK3227" s="82">
        <f>IFERROR(__xludf.DUMMYFUNCTION("""COMPUTED_VALUE"""),0.824320470849083)</f>
        <v>0.8243204708</v>
      </c>
      <c r="AL3227" s="82">
        <f>IFERROR(__xludf.DUMMYFUNCTION("""COMPUTED_VALUE"""),1.108838392979845)</f>
        <v>1.108838393</v>
      </c>
      <c r="AM3227" s="82">
        <f>IFERROR(__xludf.DUMMYFUNCTION("""COMPUTED_VALUE"""),1.0935964424258466)</f>
        <v>1.093596442</v>
      </c>
      <c r="AN3227" s="82">
        <f>IFERROR(__xludf.DUMMYFUNCTION("""COMPUTED_VALUE"""),1.0379497172211962)</f>
        <v>1.037949717</v>
      </c>
      <c r="AO3227" s="82">
        <f>IFERROR(__xludf.DUMMYFUNCTION("""COMPUTED_VALUE"""),1.1292873223231767)</f>
        <v>1.129287322</v>
      </c>
      <c r="AP3227" s="82">
        <f>IFERROR(__xludf.DUMMYFUNCTION("""COMPUTED_VALUE"""),0.5252015267581096)</f>
        <v>0.5252015268</v>
      </c>
      <c r="AQ3227" s="82">
        <f>IFERROR(__xludf.DUMMYFUNCTION("""COMPUTED_VALUE"""),1.1747685558456353)</f>
        <v>1.174768556</v>
      </c>
      <c r="AR3227" s="82">
        <f>IFERROR(__xludf.DUMMYFUNCTION("""COMPUTED_VALUE"""),0.9658466988728514)</f>
        <v>0.9658466989</v>
      </c>
      <c r="AS3227" s="82">
        <f>IFERROR(__xludf.DUMMYFUNCTION("""COMPUTED_VALUE"""),69.0)</f>
        <v>69</v>
      </c>
      <c r="AT3227" s="82">
        <f>IFERROR(__xludf.DUMMYFUNCTION("""COMPUTED_VALUE"""),0.5945730268768114)</f>
        <v>0.5945730269</v>
      </c>
      <c r="AU3227" s="82">
        <f>IFERROR(__xludf.DUMMYFUNCTION("""COMPUTED_VALUE"""),2.817336830985511)</f>
        <v>2.817336831</v>
      </c>
      <c r="AV3227" s="82">
        <f>IFERROR(__xludf.DUMMYFUNCTION("""COMPUTED_VALUE"""),43.641931951228536)</f>
        <v>43.64193195</v>
      </c>
      <c r="AW3227" s="82">
        <f t="shared" si="1"/>
        <v>-2.502357699</v>
      </c>
      <c r="AX3227" s="83">
        <f t="array" ref="AX3227">IFERROR(DGET('SBV Import'!A:G,"SBV",{"RSC ID","Tier";B3227,A3227}))</f>
        <v>35.86113584</v>
      </c>
      <c r="AY3227" s="82">
        <f t="shared" si="2"/>
        <v>-3.498358969</v>
      </c>
      <c r="AZ3227" s="82">
        <v>0.9960012705304617</v>
      </c>
      <c r="BA3227" s="84">
        <v>3200.0</v>
      </c>
      <c r="BB3227" s="84" t="b">
        <f>IFERROR(__xludf.DUMMYFUNCTION("iferror(if(A3227="""",,E3227&gt;=FILTER(Constants!$F$2:$F$10,Constants!$A$2:$A$10=A3227)))"),TRUE)</f>
        <v>1</v>
      </c>
    </row>
    <row r="3228">
      <c r="A3228" s="89" t="str">
        <f>IFERROR(__xludf.DUMMYFUNCTION("""COMPUTED_VALUE"""),"Contender")</f>
        <v>Contender</v>
      </c>
      <c r="B3228" s="87" t="str">
        <f>IFERROR(__xludf.DUMMYFUNCTION("""COMPUTED_VALUE"""),"RSC000963")</f>
        <v>RSC000963</v>
      </c>
      <c r="C3228" s="73" t="str">
        <f>IFERROR(__xludf.DUMMYFUNCTION("""COMPUTED_VALUE"""),"Sup3rm4n")</f>
        <v>Sup3rm4n</v>
      </c>
      <c r="D3228" s="73" t="str">
        <f>IFERROR(__xludf.DUMMYFUNCTION("""COMPUTED_VALUE"""),"Rheas")</f>
        <v>Rheas</v>
      </c>
      <c r="E3228" s="82">
        <f>IFERROR(__xludf.DUMMYFUNCTION("""COMPUTED_VALUE"""),14.0)</f>
        <v>14</v>
      </c>
      <c r="F3228" s="82">
        <f>IFERROR(__xludf.DUMMYFUNCTION("""COMPUTED_VALUE"""),11.0)</f>
        <v>11</v>
      </c>
      <c r="G3228" s="86">
        <f>IFERROR(__xludf.DUMMYFUNCTION("""COMPUTED_VALUE"""),3.0)</f>
        <v>3</v>
      </c>
      <c r="H3228" s="86">
        <f>IFERROR(__xludf.DUMMYFUNCTION("""COMPUTED_VALUE"""),0.7857142857142857)</f>
        <v>0.7857142857</v>
      </c>
      <c r="I3228" s="86">
        <f>IFERROR(__xludf.DUMMYFUNCTION("""COMPUTED_VALUE"""),0.4799999999999999)</f>
        <v>0.48</v>
      </c>
      <c r="J3228" s="82">
        <f>IFERROR(__xludf.DUMMYFUNCTION("""COMPUTED_VALUE"""),296.2142857142857)</f>
        <v>296.2142857</v>
      </c>
      <c r="K3228" s="82">
        <f>IFERROR(__xludf.DUMMYFUNCTION("""COMPUTED_VALUE"""),0.8571428571428571)</f>
        <v>0.8571428571</v>
      </c>
      <c r="L3228" s="82">
        <f>IFERROR(__xludf.DUMMYFUNCTION("""COMPUTED_VALUE"""),0.2857142857142857)</f>
        <v>0.2857142857</v>
      </c>
      <c r="M3228" s="82">
        <f>IFERROR(__xludf.DUMMYFUNCTION("""COMPUTED_VALUE"""),0.9285714285714286)</f>
        <v>0.9285714286</v>
      </c>
      <c r="N3228" s="82">
        <f>IFERROR(__xludf.DUMMYFUNCTION("""COMPUTED_VALUE"""),1.7857142857142858)</f>
        <v>1.785714286</v>
      </c>
      <c r="O3228" s="82">
        <f>IFERROR(__xludf.DUMMYFUNCTION("""COMPUTED_VALUE"""),282.07142857142856)</f>
        <v>282.0714286</v>
      </c>
      <c r="P3228" s="82">
        <f>IFERROR(__xludf.DUMMYFUNCTION("""COMPUTED_VALUE"""),0.5238095238095238)</f>
        <v>0.5238095238</v>
      </c>
      <c r="Q3228" s="82">
        <f>IFERROR(__xludf.DUMMYFUNCTION("""COMPUTED_VALUE"""),0.33333333333333337)</f>
        <v>0.3333333333</v>
      </c>
      <c r="R3228" s="82">
        <f>IFERROR(__xludf.DUMMYFUNCTION("""COMPUTED_VALUE"""),1.0714285714285716)</f>
        <v>1.071428571</v>
      </c>
      <c r="S3228" s="82">
        <f>IFERROR(__xludf.DUMMYFUNCTION("""COMPUTED_VALUE"""),1.8571428571428572)</f>
        <v>1.857142857</v>
      </c>
      <c r="T3228" s="82">
        <f>IFERROR(__xludf.DUMMYFUNCTION("""COMPUTED_VALUE"""),309.7536075073269)</f>
        <v>309.7536075</v>
      </c>
      <c r="U3228" s="82">
        <f>IFERROR(__xludf.DUMMYFUNCTION("""COMPUTED_VALUE"""),0.7108750746582814)</f>
        <v>0.7108750747</v>
      </c>
      <c r="V3228" s="82">
        <f>IFERROR(__xludf.DUMMYFUNCTION("""COMPUTED_VALUE"""),0.4743234670947691)</f>
        <v>0.4743234671</v>
      </c>
      <c r="W3228" s="82">
        <f>IFERROR(__xludf.DUMMYFUNCTION("""COMPUTED_VALUE"""),1.0470002369195917)</f>
        <v>1.047000237</v>
      </c>
      <c r="X3228" s="82">
        <f>IFERROR(__xludf.DUMMYFUNCTION("""COMPUTED_VALUE"""),2.1327418528171895)</f>
        <v>2.132741853</v>
      </c>
      <c r="Y3228" s="82">
        <f>IFERROR(__xludf.DUMMYFUNCTION("""COMPUTED_VALUE"""),334.6835189760786)</f>
        <v>334.683519</v>
      </c>
      <c r="Z3228" s="82">
        <f>IFERROR(__xludf.DUMMYFUNCTION("""COMPUTED_VALUE"""),0.8707773708414503)</f>
        <v>0.8707773708</v>
      </c>
      <c r="AA3228" s="82">
        <f>IFERROR(__xludf.DUMMYFUNCTION("""COMPUTED_VALUE"""),0.5527462228301435)</f>
        <v>0.5527462228</v>
      </c>
      <c r="AB3228" s="82">
        <f>IFERROR(__xludf.DUMMYFUNCTION("""COMPUTED_VALUE"""),1.0822661639104292)</f>
        <v>1.082266164</v>
      </c>
      <c r="AC3228" s="82">
        <f>IFERROR(__xludf.DUMMYFUNCTION("""COMPUTED_VALUE"""),2.3497806246189197)</f>
        <v>2.349780625</v>
      </c>
      <c r="AD3228" s="82">
        <f>IFERROR(__xludf.DUMMYFUNCTION("""COMPUTED_VALUE"""),0.8850578798158794)</f>
        <v>0.8850578798</v>
      </c>
      <c r="AE3228" s="82">
        <f>IFERROR(__xludf.DUMMYFUNCTION("""COMPUTED_VALUE"""),0.9843421359406505)</f>
        <v>0.9843421359</v>
      </c>
      <c r="AF3228" s="82">
        <f>IFERROR(__xludf.DUMMYFUNCTION("""COMPUTED_VALUE"""),0.5168995714731178)</f>
        <v>0.5168995715</v>
      </c>
      <c r="AG3228" s="82">
        <f>IFERROR(__xludf.DUMMYFUNCTION("""COMPUTED_VALUE"""),0.8579880435477416)</f>
        <v>0.8579880435</v>
      </c>
      <c r="AH3228" s="82">
        <f>IFERROR(__xludf.DUMMYFUNCTION("""COMPUTED_VALUE"""),0.7599493616574898)</f>
        <v>0.7599493617</v>
      </c>
      <c r="AI3228" s="82">
        <f>IFERROR(__xludf.DUMMYFUNCTION("""COMPUTED_VALUE"""),0.9106316173081421)</f>
        <v>0.9106316173</v>
      </c>
      <c r="AJ3228" s="82">
        <f>IFERROR(__xludf.DUMMYFUNCTION("""COMPUTED_VALUE"""),0.7368517232951511)</f>
        <v>0.7368517233</v>
      </c>
      <c r="AK3228" s="82">
        <f>IFERROR(__xludf.DUMMYFUNCTION("""COMPUTED_VALUE"""),0.7027553061521493)</f>
        <v>0.7027553062</v>
      </c>
      <c r="AL3228" s="82">
        <f>IFERROR(__xludf.DUMMYFUNCTION("""COMPUTED_VALUE"""),1.0233317373268713)</f>
        <v>1.023331737</v>
      </c>
      <c r="AM3228" s="82">
        <f>IFERROR(__xludf.DUMMYFUNCTION("""COMPUTED_VALUE"""),0.8707771429016189)</f>
        <v>0.8707771429</v>
      </c>
      <c r="AN3228" s="82">
        <f>IFERROR(__xludf.DUMMYFUNCTION("""COMPUTED_VALUE"""),0.950290523828407)</f>
        <v>0.9502905238</v>
      </c>
      <c r="AO3228" s="82">
        <f>IFERROR(__xludf.DUMMYFUNCTION("""COMPUTED_VALUE"""),1.1439533914442568)</f>
        <v>1.143953391</v>
      </c>
      <c r="AP3228" s="82">
        <f>IFERROR(__xludf.DUMMYFUNCTION("""COMPUTED_VALUE"""),0.5573567222739122)</f>
        <v>0.5573567223</v>
      </c>
      <c r="AQ3228" s="82">
        <f>IFERROR(__xludf.DUMMYFUNCTION("""COMPUTED_VALUE"""),0.8863209193656801)</f>
        <v>0.8863209194</v>
      </c>
      <c r="AR3228" s="82">
        <f>IFERROR(__xludf.DUMMYFUNCTION("""COMPUTED_VALUE"""),0.8304237490308907)</f>
        <v>0.830423749</v>
      </c>
      <c r="AS3228" s="82">
        <f>IFERROR(__xludf.DUMMYFUNCTION("""COMPUTED_VALUE"""),41.0)</f>
        <v>41</v>
      </c>
      <c r="AT3228" s="82">
        <f>IFERROR(__xludf.DUMMYFUNCTION("""COMPUTED_VALUE"""),0.7228390184748954)</f>
        <v>0.7228390185</v>
      </c>
      <c r="AU3228" s="82">
        <f>IFERROR(__xludf.DUMMYFUNCTION("""COMPUTED_VALUE"""),2.758771353492561)</f>
        <v>2.758771353</v>
      </c>
      <c r="AV3228" s="82">
        <f>IFERROR(__xludf.DUMMYFUNCTION("""COMPUTED_VALUE"""),42.63212775178594)</f>
        <v>42.63212775</v>
      </c>
      <c r="AW3228" s="82">
        <f t="shared" si="1"/>
        <v>-2.603449065</v>
      </c>
      <c r="AX3228" s="83">
        <f t="array" ref="AX3228">IFERROR(DGET('SBV Import'!A:G,"SBV",{"RSC ID","Tier";B3228,A3228}))</f>
        <v>39.77896909</v>
      </c>
      <c r="AY3228" s="82">
        <f t="shared" si="2"/>
        <v>-2.929732523</v>
      </c>
      <c r="AZ3228" s="82">
        <v>0.32628345735646835</v>
      </c>
      <c r="BA3228" s="84">
        <v>3200.0</v>
      </c>
      <c r="BB3228" s="84" t="b">
        <f>IFERROR(__xludf.DUMMYFUNCTION("iferror(if(A3228="""",,E3228&gt;=FILTER(Constants!$F$2:$F$10,Constants!$A$2:$A$10=A3228)))"),TRUE)</f>
        <v>1</v>
      </c>
    </row>
    <row r="3229">
      <c r="A3229" s="89" t="str">
        <f>IFERROR(__xludf.DUMMYFUNCTION("""COMPUTED_VALUE"""),"Contender")</f>
        <v>Contender</v>
      </c>
      <c r="B3229" s="87" t="str">
        <f>IFERROR(__xludf.DUMMYFUNCTION("""COMPUTED_VALUE"""),"RSC000989")</f>
        <v>RSC000989</v>
      </c>
      <c r="C3229" s="73" t="str">
        <f>IFERROR(__xludf.DUMMYFUNCTION("""COMPUTED_VALUE"""),"Piky Life88")</f>
        <v>Piky Life88</v>
      </c>
      <c r="D3229" s="73" t="str">
        <f>IFERROR(__xludf.DUMMYFUNCTION("""COMPUTED_VALUE"""),"Devoured")</f>
        <v>Devoured</v>
      </c>
      <c r="E3229" s="82">
        <f>IFERROR(__xludf.DUMMYFUNCTION("""COMPUTED_VALUE"""),8.0)</f>
        <v>8</v>
      </c>
      <c r="F3229" s="82">
        <f>IFERROR(__xludf.DUMMYFUNCTION("""COMPUTED_VALUE"""),4.0)</f>
        <v>4</v>
      </c>
      <c r="G3229" s="86">
        <f>IFERROR(__xludf.DUMMYFUNCTION("""COMPUTED_VALUE"""),4.0)</f>
        <v>4</v>
      </c>
      <c r="H3229" s="86">
        <f>IFERROR(__xludf.DUMMYFUNCTION("""COMPUTED_VALUE"""),0.5)</f>
        <v>0.5</v>
      </c>
      <c r="I3229" s="86">
        <f>IFERROR(__xludf.DUMMYFUNCTION("""COMPUTED_VALUE"""),0.25)</f>
        <v>0.25</v>
      </c>
      <c r="J3229" s="82">
        <f>IFERROR(__xludf.DUMMYFUNCTION("""COMPUTED_VALUE"""),260.875)</f>
        <v>260.875</v>
      </c>
      <c r="K3229" s="82">
        <f>IFERROR(__xludf.DUMMYFUNCTION("""COMPUTED_VALUE"""),0.625)</f>
        <v>0.625</v>
      </c>
      <c r="L3229" s="82">
        <f>IFERROR(__xludf.DUMMYFUNCTION("""COMPUTED_VALUE"""),0.375)</f>
        <v>0.375</v>
      </c>
      <c r="M3229" s="82">
        <f>IFERROR(__xludf.DUMMYFUNCTION("""COMPUTED_VALUE"""),0.875)</f>
        <v>0.875</v>
      </c>
      <c r="N3229" s="82">
        <f>IFERROR(__xludf.DUMMYFUNCTION("""COMPUTED_VALUE"""),2.5)</f>
        <v>2.5</v>
      </c>
      <c r="O3229" s="82">
        <f>IFERROR(__xludf.DUMMYFUNCTION("""COMPUTED_VALUE"""),323.2916666666667)</f>
        <v>323.2916667</v>
      </c>
      <c r="P3229" s="82">
        <f>IFERROR(__xludf.DUMMYFUNCTION("""COMPUTED_VALUE"""),1.0)</f>
        <v>1</v>
      </c>
      <c r="Q3229" s="82">
        <f>IFERROR(__xludf.DUMMYFUNCTION("""COMPUTED_VALUE"""),0.5416666666666666)</f>
        <v>0.5416666667</v>
      </c>
      <c r="R3229" s="82">
        <f>IFERROR(__xludf.DUMMYFUNCTION("""COMPUTED_VALUE"""),0.8333333333333333)</f>
        <v>0.8333333333</v>
      </c>
      <c r="S3229" s="82">
        <f>IFERROR(__xludf.DUMMYFUNCTION("""COMPUTED_VALUE"""),2.25)</f>
        <v>2.25</v>
      </c>
      <c r="T3229" s="82">
        <f>IFERROR(__xludf.DUMMYFUNCTION("""COMPUTED_VALUE"""),325.9084666560165)</f>
        <v>325.9084667</v>
      </c>
      <c r="U3229" s="82">
        <f>IFERROR(__xludf.DUMMYFUNCTION("""COMPUTED_VALUE"""),0.765744497193)</f>
        <v>0.7657444972</v>
      </c>
      <c r="V3229" s="82">
        <f>IFERROR(__xludf.DUMMYFUNCTION("""COMPUTED_VALUE"""),0.504803277568704)</f>
        <v>0.5048032776</v>
      </c>
      <c r="W3229" s="82">
        <f>IFERROR(__xludf.DUMMYFUNCTION("""COMPUTED_VALUE"""),1.1351013238206977)</f>
        <v>1.135101324</v>
      </c>
      <c r="X3229" s="82">
        <f>IFERROR(__xludf.DUMMYFUNCTION("""COMPUTED_VALUE"""),2.2605524745554235)</f>
        <v>2.260552475</v>
      </c>
      <c r="Y3229" s="82">
        <f>IFERROR(__xludf.DUMMYFUNCTION("""COMPUTED_VALUE"""),307.0100810302489)</f>
        <v>307.010081</v>
      </c>
      <c r="Z3229" s="82">
        <f>IFERROR(__xludf.DUMMYFUNCTION("""COMPUTED_VALUE"""),0.6926874659727806)</f>
        <v>0.692687466</v>
      </c>
      <c r="AA3229" s="82">
        <f>IFERROR(__xludf.DUMMYFUNCTION("""COMPUTED_VALUE"""),0.43979264347156055)</f>
        <v>0.4397926435</v>
      </c>
      <c r="AB3229" s="82">
        <f>IFERROR(__xludf.DUMMYFUNCTION("""COMPUTED_VALUE"""),1.0370250047503524)</f>
        <v>1.037025005</v>
      </c>
      <c r="AC3229" s="82">
        <f>IFERROR(__xludf.DUMMYFUNCTION("""COMPUTED_VALUE"""),2.2260858847746325)</f>
        <v>2.226085885</v>
      </c>
      <c r="AD3229" s="82">
        <f>IFERROR(__xludf.DUMMYFUNCTION("""COMPUTED_VALUE"""),0.8497277976168368)</f>
        <v>0.8497277976</v>
      </c>
      <c r="AE3229" s="82">
        <f>IFERROR(__xludf.DUMMYFUNCTION("""COMPUTED_VALUE"""),0.9022828197450877)</f>
        <v>0.9022828197</v>
      </c>
      <c r="AF3229" s="82">
        <f>IFERROR(__xludf.DUMMYFUNCTION("""COMPUTED_VALUE"""),0.8526745628118939)</f>
        <v>0.8526745628</v>
      </c>
      <c r="AG3229" s="82">
        <f>IFERROR(__xludf.DUMMYFUNCTION("""COMPUTED_VALUE"""),0.8437597897754091)</f>
        <v>0.8437597898</v>
      </c>
      <c r="AH3229" s="82">
        <f>IFERROR(__xludf.DUMMYFUNCTION("""COMPUTED_VALUE"""),1.123047415689938)</f>
        <v>1.123047416</v>
      </c>
      <c r="AI3229" s="82">
        <f>IFERROR(__xludf.DUMMYFUNCTION("""COMPUTED_VALUE"""),0.9919707517383654)</f>
        <v>0.9919707517</v>
      </c>
      <c r="AJ3229" s="82">
        <f>IFERROR(__xludf.DUMMYFUNCTION("""COMPUTED_VALUE"""),1.305918623856539)</f>
        <v>1.305918624</v>
      </c>
      <c r="AK3229" s="82">
        <f>IFERROR(__xludf.DUMMYFUNCTION("""COMPUTED_VALUE"""),1.0730252570377685)</f>
        <v>1.073025257</v>
      </c>
      <c r="AL3229" s="82">
        <f>IFERROR(__xludf.DUMMYFUNCTION("""COMPUTED_VALUE"""),0.7341488516006416)</f>
        <v>0.7341488516</v>
      </c>
      <c r="AM3229" s="82">
        <f>IFERROR(__xludf.DUMMYFUNCTION("""COMPUTED_VALUE"""),0.9953319046232276)</f>
        <v>0.9953319046</v>
      </c>
      <c r="AN3229" s="82">
        <f>IFERROR(__xludf.DUMMYFUNCTION("""COMPUTED_VALUE"""),0.8369179082836506)</f>
        <v>0.8369179083</v>
      </c>
      <c r="AO3229" s="82">
        <f>IFERROR(__xludf.DUMMYFUNCTION("""COMPUTED_VALUE"""),0.8341326812614374)</f>
        <v>0.8341326813</v>
      </c>
      <c r="AP3229" s="82">
        <f>IFERROR(__xludf.DUMMYFUNCTION("""COMPUTED_VALUE"""),0.7315306979845098)</f>
        <v>0.731530698</v>
      </c>
      <c r="AQ3229" s="82">
        <f>IFERROR(__xludf.DUMMYFUNCTION("""COMPUTED_VALUE"""),0.8351870201715063)</f>
        <v>0.8351870202</v>
      </c>
      <c r="AR3229" s="82">
        <f>IFERROR(__xludf.DUMMYFUNCTION("""COMPUTED_VALUE"""),1.1625932486432469)</f>
        <v>1.162593249</v>
      </c>
      <c r="AS3229" s="82">
        <f>IFERROR(__xludf.DUMMYFUNCTION("""COMPUTED_VALUE"""),15.0)</f>
        <v>15</v>
      </c>
      <c r="AT3229" s="82">
        <f>IFERROR(__xludf.DUMMYFUNCTION("""COMPUTED_VALUE"""),0.32288554788827534)</f>
        <v>0.3228855479</v>
      </c>
      <c r="AU3229" s="82">
        <f>IFERROR(__xludf.DUMMYFUNCTION("""COMPUTED_VALUE"""),2.7102059801444316)</f>
        <v>2.71020598</v>
      </c>
      <c r="AV3229" s="82">
        <f>IFERROR(__xludf.DUMMYFUNCTION("""COMPUTED_VALUE"""),41.794748461907496)</f>
        <v>41.79474846</v>
      </c>
      <c r="AW3229" s="82">
        <f t="shared" si="1"/>
        <v>-2.692685763</v>
      </c>
      <c r="AX3229" s="83">
        <f t="array" ref="AX3229">IFERROR(DGET('SBV Import'!A:G,"SBV",{"RSC ID","Tier";B3229,A3229}))</f>
        <v>41.25996181</v>
      </c>
      <c r="AY3229" s="82">
        <f t="shared" si="2"/>
        <v>-2.752403051</v>
      </c>
      <c r="AZ3229" s="82">
        <v>0.059717288134897295</v>
      </c>
      <c r="BA3229" s="84">
        <v>3200.0</v>
      </c>
      <c r="BB3229" s="84" t="b">
        <f>IFERROR(__xludf.DUMMYFUNCTION("iferror(if(A3229="""",,E3229&gt;=FILTER(Constants!$F$2:$F$10,Constants!$A$2:$A$10=A3229)))"),TRUE)</f>
        <v>1</v>
      </c>
    </row>
    <row r="3230">
      <c r="A3230" s="89" t="str">
        <f>IFERROR(__xludf.DUMMYFUNCTION("""COMPUTED_VALUE"""),"Contender")</f>
        <v>Contender</v>
      </c>
      <c r="B3230" s="87" t="str">
        <f>IFERROR(__xludf.DUMMYFUNCTION("""COMPUTED_VALUE"""),"RSC006900")</f>
        <v>RSC006900</v>
      </c>
      <c r="C3230" s="73" t="str">
        <f>IFERROR(__xludf.DUMMYFUNCTION("""COMPUTED_VALUE"""),"VeloxcityX")</f>
        <v>VeloxcityX</v>
      </c>
      <c r="D3230" s="73" t="str">
        <f>IFERROR(__xludf.DUMMYFUNCTION("""COMPUTED_VALUE"""),"Rad Lads")</f>
        <v>Rad Lads</v>
      </c>
      <c r="E3230" s="82">
        <f>IFERROR(__xludf.DUMMYFUNCTION("""COMPUTED_VALUE"""),24.0)</f>
        <v>24</v>
      </c>
      <c r="F3230" s="82">
        <f>IFERROR(__xludf.DUMMYFUNCTION("""COMPUTED_VALUE"""),8.0)</f>
        <v>8</v>
      </c>
      <c r="G3230" s="86">
        <f>IFERROR(__xludf.DUMMYFUNCTION("""COMPUTED_VALUE"""),16.0)</f>
        <v>16</v>
      </c>
      <c r="H3230" s="86">
        <f>IFERROR(__xludf.DUMMYFUNCTION("""COMPUTED_VALUE"""),0.3333333333333333)</f>
        <v>0.3333333333</v>
      </c>
      <c r="I3230" s="86">
        <f>IFERROR(__xludf.DUMMYFUNCTION("""COMPUTED_VALUE"""),0.4324324324324324)</f>
        <v>0.4324324324</v>
      </c>
      <c r="J3230" s="82">
        <f>IFERROR(__xludf.DUMMYFUNCTION("""COMPUTED_VALUE"""),318.9166666666667)</f>
        <v>318.9166667</v>
      </c>
      <c r="K3230" s="82">
        <f>IFERROR(__xludf.DUMMYFUNCTION("""COMPUTED_VALUE"""),0.6666666666666666)</f>
        <v>0.6666666667</v>
      </c>
      <c r="L3230" s="82">
        <f>IFERROR(__xludf.DUMMYFUNCTION("""COMPUTED_VALUE"""),0.5)</f>
        <v>0.5</v>
      </c>
      <c r="M3230" s="82">
        <f>IFERROR(__xludf.DUMMYFUNCTION("""COMPUTED_VALUE"""),1.2916666666666667)</f>
        <v>1.291666667</v>
      </c>
      <c r="N3230" s="82">
        <f>IFERROR(__xludf.DUMMYFUNCTION("""COMPUTED_VALUE"""),1.5416666666666667)</f>
        <v>1.541666667</v>
      </c>
      <c r="O3230" s="82">
        <f>IFERROR(__xludf.DUMMYFUNCTION("""COMPUTED_VALUE"""),345.4166666666666)</f>
        <v>345.4166667</v>
      </c>
      <c r="P3230" s="82">
        <f>IFERROR(__xludf.DUMMYFUNCTION("""COMPUTED_VALUE"""),0.9583333333333334)</f>
        <v>0.9583333333</v>
      </c>
      <c r="Q3230" s="82">
        <f>IFERROR(__xludf.DUMMYFUNCTION("""COMPUTED_VALUE"""),0.638888888888889)</f>
        <v>0.6388888889</v>
      </c>
      <c r="R3230" s="82">
        <f>IFERROR(__xludf.DUMMYFUNCTION("""COMPUTED_VALUE"""),0.9444444444444445)</f>
        <v>0.9444444444</v>
      </c>
      <c r="S3230" s="82">
        <f>IFERROR(__xludf.DUMMYFUNCTION("""COMPUTED_VALUE"""),2.263888888888889)</f>
        <v>2.263888889</v>
      </c>
      <c r="T3230" s="82">
        <f>IFERROR(__xludf.DUMMYFUNCTION("""COMPUTED_VALUE"""),321.73307035931117)</f>
        <v>321.7330704</v>
      </c>
      <c r="U3230" s="82">
        <f>IFERROR(__xludf.DUMMYFUNCTION("""COMPUTED_VALUE"""),0.7836510051767407)</f>
        <v>0.7836510052</v>
      </c>
      <c r="V3230" s="82">
        <f>IFERROR(__xludf.DUMMYFUNCTION("""COMPUTED_VALUE"""),0.543921227193286)</f>
        <v>0.5439212272</v>
      </c>
      <c r="W3230" s="82">
        <f>IFERROR(__xludf.DUMMYFUNCTION("""COMPUTED_VALUE"""),1.0463395077825226)</f>
        <v>1.046339508</v>
      </c>
      <c r="X3230" s="82">
        <f>IFERROR(__xludf.DUMMYFUNCTION("""COMPUTED_VALUE"""),2.2684833987499435)</f>
        <v>2.268483399</v>
      </c>
      <c r="Y3230" s="82">
        <f>IFERROR(__xludf.DUMMYFUNCTION("""COMPUTED_VALUE"""),320.9257540395562)</f>
        <v>320.925754</v>
      </c>
      <c r="Z3230" s="82">
        <f>IFERROR(__xludf.DUMMYFUNCTION("""COMPUTED_VALUE"""),0.7754622881430479)</f>
        <v>0.7754622881</v>
      </c>
      <c r="AA3230" s="82">
        <f>IFERROR(__xludf.DUMMYFUNCTION("""COMPUTED_VALUE"""),0.4794920380091951)</f>
        <v>0.479492038</v>
      </c>
      <c r="AB3230" s="82">
        <f>IFERROR(__xludf.DUMMYFUNCTION("""COMPUTED_VALUE"""),1.0930457463515064)</f>
        <v>1.093045746</v>
      </c>
      <c r="AC3230" s="82">
        <f>IFERROR(__xludf.DUMMYFUNCTION("""COMPUTED_VALUE"""),2.2316950694095308)</f>
        <v>2.231695069</v>
      </c>
      <c r="AD3230" s="82">
        <f>IFERROR(__xludf.DUMMYFUNCTION("""COMPUTED_VALUE"""),0.9937397128538277)</f>
        <v>0.9937397129</v>
      </c>
      <c r="AE3230" s="82">
        <f>IFERROR(__xludf.DUMMYFUNCTION("""COMPUTED_VALUE"""),0.8597022406635564)</f>
        <v>0.8597022407</v>
      </c>
      <c r="AF3230" s="82">
        <f>IFERROR(__xludf.DUMMYFUNCTION("""COMPUTED_VALUE"""),1.0427701825372366)</f>
        <v>1.042770183</v>
      </c>
      <c r="AG3230" s="82">
        <f>IFERROR(__xludf.DUMMYFUNCTION("""COMPUTED_VALUE"""),1.1817132731892879)</f>
        <v>1.181713273</v>
      </c>
      <c r="AH3230" s="82">
        <f>IFERROR(__xludf.DUMMYFUNCTION("""COMPUTED_VALUE"""),0.690805248350782)</f>
        <v>0.6908052484</v>
      </c>
      <c r="AI3230" s="82">
        <f>IFERROR(__xludf.DUMMYFUNCTION("""COMPUTED_VALUE"""),1.073612564231913)</f>
        <v>1.073612564</v>
      </c>
      <c r="AJ3230" s="82">
        <f>IFERROR(__xludf.DUMMYFUNCTION("""COMPUTED_VALUE"""),1.222908318885134)</f>
        <v>1.222908319</v>
      </c>
      <c r="AK3230" s="82">
        <f>IFERROR(__xludf.DUMMYFUNCTION("""COMPUTED_VALUE"""),1.174598189862253)</f>
        <v>1.17459819</v>
      </c>
      <c r="AL3230" s="82">
        <f>IFERROR(__xludf.DUMMYFUNCTION("""COMPUTED_VALUE"""),0.9026175896253584)</f>
        <v>0.9026175896</v>
      </c>
      <c r="AM3230" s="82">
        <f>IFERROR(__xludf.DUMMYFUNCTION("""COMPUTED_VALUE"""),0.9979746336854012)</f>
        <v>0.9979746337</v>
      </c>
      <c r="AN3230" s="82">
        <f>IFERROR(__xludf.DUMMYFUNCTION("""COMPUTED_VALUE"""),1.0231224516855235)</f>
        <v>1.023122452</v>
      </c>
      <c r="AO3230" s="82">
        <f>IFERROR(__xludf.DUMMYFUNCTION("""COMPUTED_VALUE"""),0.8897415266788664)</f>
        <v>0.8897415267</v>
      </c>
      <c r="AP3230" s="82">
        <f>IFERROR(__xludf.DUMMYFUNCTION("""COMPUTED_VALUE"""),0.9753742639793463)</f>
        <v>0.975374264</v>
      </c>
      <c r="AQ3230" s="82">
        <f>IFERROR(__xludf.DUMMYFUNCTION("""COMPUTED_VALUE"""),1.2328951250150808)</f>
        <v>1.232895125</v>
      </c>
      <c r="AR3230" s="82">
        <f>IFERROR(__xludf.DUMMYFUNCTION("""COMPUTED_VALUE"""),0.7169325033300022)</f>
        <v>0.7169325033</v>
      </c>
      <c r="AS3230" s="82">
        <f>IFERROR(__xludf.DUMMYFUNCTION("""COMPUTED_VALUE"""),51.0)</f>
        <v>51</v>
      </c>
      <c r="AT3230" s="82">
        <f>IFERROR(__xludf.DUMMYFUNCTION("""COMPUTED_VALUE"""),0.3823111415168781)</f>
        <v>0.3823111415</v>
      </c>
      <c r="AU3230" s="82">
        <f>IFERROR(__xludf.DUMMYFUNCTION("""COMPUTED_VALUE"""),2.6329919138896924)</f>
        <v>2.632991914</v>
      </c>
      <c r="AV3230" s="82">
        <f>IFERROR(__xludf.DUMMYFUNCTION("""COMPUTED_VALUE"""),40.46339948811214)</f>
        <v>40.46339949</v>
      </c>
      <c r="AW3230" s="82">
        <f t="shared" si="1"/>
        <v>-2.845521082</v>
      </c>
      <c r="AX3230" s="83">
        <f t="array" ref="AX3230">IFERROR(DGET('SBV Import'!A:G,"SBV",{"RSC ID","Tier";B3230,A3230}))</f>
        <v>47.39454503</v>
      </c>
      <c r="AY3230" s="82">
        <f t="shared" si="2"/>
        <v>-2.181034139</v>
      </c>
      <c r="AZ3230" s="82">
        <v>0.6644869437666507</v>
      </c>
      <c r="BA3230" s="84">
        <v>3200.0</v>
      </c>
      <c r="BB3230" s="84" t="b">
        <f>IFERROR(__xludf.DUMMYFUNCTION("iferror(if(A3230="""",,E3230&gt;=FILTER(Constants!$F$2:$F$10,Constants!$A$2:$A$10=A3230)))"),TRUE)</f>
        <v>1</v>
      </c>
    </row>
    <row r="3231">
      <c r="A3231" s="89" t="str">
        <f>IFERROR(__xludf.DUMMYFUNCTION("""COMPUTED_VALUE"""),"Contender")</f>
        <v>Contender</v>
      </c>
      <c r="B3231" s="87" t="str">
        <f>IFERROR(__xludf.DUMMYFUNCTION("""COMPUTED_VALUE"""),"RSC006779")</f>
        <v>RSC006779</v>
      </c>
      <c r="C3231" s="73" t="str">
        <f>IFERROR(__xludf.DUMMYFUNCTION("""COMPUTED_VALUE"""),"I am CANDYMAN")</f>
        <v>I am CANDYMAN</v>
      </c>
      <c r="D3231" s="73"/>
      <c r="E3231" s="82">
        <f>IFERROR(__xludf.DUMMYFUNCTION("""COMPUTED_VALUE"""),4.0)</f>
        <v>4</v>
      </c>
      <c r="F3231" s="82">
        <f>IFERROR(__xludf.DUMMYFUNCTION("""COMPUTED_VALUE"""),2.0)</f>
        <v>2</v>
      </c>
      <c r="G3231" s="86">
        <f>IFERROR(__xludf.DUMMYFUNCTION("""COMPUTED_VALUE"""),2.0)</f>
        <v>2</v>
      </c>
      <c r="H3231" s="86">
        <f>IFERROR(__xludf.DUMMYFUNCTION("""COMPUTED_VALUE"""),0.5)</f>
        <v>0.5</v>
      </c>
      <c r="I3231" s="86">
        <f>IFERROR(__xludf.DUMMYFUNCTION("""COMPUTED_VALUE"""),0.4444444444444444)</f>
        <v>0.4444444444</v>
      </c>
      <c r="J3231" s="82">
        <f>IFERROR(__xludf.DUMMYFUNCTION("""COMPUTED_VALUE"""),281.25)</f>
        <v>281.25</v>
      </c>
      <c r="K3231" s="82">
        <f>IFERROR(__xludf.DUMMYFUNCTION("""COMPUTED_VALUE"""),1.0)</f>
        <v>1</v>
      </c>
      <c r="L3231" s="82">
        <f>IFERROR(__xludf.DUMMYFUNCTION("""COMPUTED_VALUE"""),0.25)</f>
        <v>0.25</v>
      </c>
      <c r="M3231" s="82">
        <f>IFERROR(__xludf.DUMMYFUNCTION("""COMPUTED_VALUE"""),0.5)</f>
        <v>0.5</v>
      </c>
      <c r="N3231" s="82">
        <f>IFERROR(__xludf.DUMMYFUNCTION("""COMPUTED_VALUE"""),2.25)</f>
        <v>2.25</v>
      </c>
      <c r="O3231" s="82">
        <f>IFERROR(__xludf.DUMMYFUNCTION("""COMPUTED_VALUE"""),336.33333333333337)</f>
        <v>336.3333333</v>
      </c>
      <c r="P3231" s="82">
        <f>IFERROR(__xludf.DUMMYFUNCTION("""COMPUTED_VALUE"""),0.8333333333333334)</f>
        <v>0.8333333333</v>
      </c>
      <c r="Q3231" s="82">
        <f>IFERROR(__xludf.DUMMYFUNCTION("""COMPUTED_VALUE"""),0.5833333333333334)</f>
        <v>0.5833333333</v>
      </c>
      <c r="R3231" s="82">
        <f>IFERROR(__xludf.DUMMYFUNCTION("""COMPUTED_VALUE"""),1.0)</f>
        <v>1</v>
      </c>
      <c r="S3231" s="82">
        <f>IFERROR(__xludf.DUMMYFUNCTION("""COMPUTED_VALUE"""),2.5)</f>
        <v>2.5</v>
      </c>
      <c r="T3231" s="82">
        <f>IFERROR(__xludf.DUMMYFUNCTION("""COMPUTED_VALUE"""),307.50123456790124)</f>
        <v>307.5012346</v>
      </c>
      <c r="U3231" s="82">
        <f>IFERROR(__xludf.DUMMYFUNCTION("""COMPUTED_VALUE"""),0.7275132275132274)</f>
        <v>0.7275132275</v>
      </c>
      <c r="V3231" s="82">
        <f>IFERROR(__xludf.DUMMYFUNCTION("""COMPUTED_VALUE"""),0.45255731922398584)</f>
        <v>0.4525573192</v>
      </c>
      <c r="W3231" s="82">
        <f>IFERROR(__xludf.DUMMYFUNCTION("""COMPUTED_VALUE"""),0.9481481481481481)</f>
        <v>0.9481481481</v>
      </c>
      <c r="X3231" s="82">
        <f>IFERROR(__xludf.DUMMYFUNCTION("""COMPUTED_VALUE"""),2.2606701940035276)</f>
        <v>2.260670194</v>
      </c>
      <c r="Y3231" s="82">
        <f>IFERROR(__xludf.DUMMYFUNCTION("""COMPUTED_VALUE"""),323.3660787771899)</f>
        <v>323.3660788</v>
      </c>
      <c r="Z3231" s="82">
        <f>IFERROR(__xludf.DUMMYFUNCTION("""COMPUTED_VALUE"""),0.8556731334509111)</f>
        <v>0.8556731335</v>
      </c>
      <c r="AA3231" s="82">
        <f>IFERROR(__xludf.DUMMYFUNCTION("""COMPUTED_VALUE"""),0.5726631393298061)</f>
        <v>0.5726631393</v>
      </c>
      <c r="AB3231" s="82">
        <f>IFERROR(__xludf.DUMMYFUNCTION("""COMPUTED_VALUE"""),0.996355085243974)</f>
        <v>0.9963550852</v>
      </c>
      <c r="AC3231" s="82">
        <f>IFERROR(__xludf.DUMMYFUNCTION("""COMPUTED_VALUE"""),2.1648442092886544)</f>
        <v>2.164844209</v>
      </c>
      <c r="AD3231" s="82">
        <f>IFERROR(__xludf.DUMMYFUNCTION("""COMPUTED_VALUE"""),0.86975727653175)</f>
        <v>0.8697572765</v>
      </c>
      <c r="AE3231" s="82">
        <f>IFERROR(__xludf.DUMMYFUNCTION("""COMPUTED_VALUE"""),1.1686705599450362)</f>
        <v>1.16867056</v>
      </c>
      <c r="AF3231" s="82">
        <f>IFERROR(__xludf.DUMMYFUNCTION("""COMPUTED_VALUE"""),0.43655682168155213)</f>
        <v>0.4365568217</v>
      </c>
      <c r="AG3231" s="82">
        <f>IFERROR(__xludf.DUMMYFUNCTION("""COMPUTED_VALUE"""),0.5018291243804579)</f>
        <v>0.5018291244</v>
      </c>
      <c r="AH3231" s="82">
        <f>IFERROR(__xludf.DUMMYFUNCTION("""COMPUTED_VALUE"""),1.0393357592874208)</f>
        <v>1.039335759</v>
      </c>
      <c r="AI3231" s="82">
        <f>IFERROR(__xludf.DUMMYFUNCTION("""COMPUTED_VALUE"""),1.0937625463713887)</f>
        <v>1.093762546</v>
      </c>
      <c r="AJ3231" s="82">
        <f>IFERROR(__xludf.DUMMYFUNCTION("""COMPUTED_VALUE"""),1.1454545454545455)</f>
        <v>1.145454545</v>
      </c>
      <c r="AK3231" s="82">
        <f>IFERROR(__xludf.DUMMYFUNCTION("""COMPUTED_VALUE"""),1.288971161340608)</f>
        <v>1.288971161</v>
      </c>
      <c r="AL3231" s="82">
        <f>IFERROR(__xludf.DUMMYFUNCTION("""COMPUTED_VALUE"""),1.0546875)</f>
        <v>1.0546875</v>
      </c>
      <c r="AM3231" s="82">
        <f>IFERROR(__xludf.DUMMYFUNCTION("""COMPUTED_VALUE"""),1.1058667498829768)</f>
        <v>1.10586675</v>
      </c>
      <c r="AN3231" s="82">
        <f>IFERROR(__xludf.DUMMYFUNCTION("""COMPUTED_VALUE"""),0.9022833222990962)</f>
        <v>0.9022833223</v>
      </c>
      <c r="AO3231" s="82">
        <f>IFERROR(__xludf.DUMMYFUNCTION("""COMPUTED_VALUE"""),1.3346122900182997)</f>
        <v>1.33461229</v>
      </c>
      <c r="AP3231" s="82">
        <f>IFERROR(__xludf.DUMMYFUNCTION("""COMPUTED_VALUE"""),0.4876871319896732)</f>
        <v>0.487687132</v>
      </c>
      <c r="AQ3231" s="82">
        <f>IFERROR(__xludf.DUMMYFUNCTION("""COMPUTED_VALUE"""),0.4772497258122893)</f>
        <v>0.4772497258</v>
      </c>
      <c r="AR3231" s="82">
        <f>IFERROR(__xludf.DUMMYFUNCTION("""COMPUTED_VALUE"""),1.0463339237789222)</f>
        <v>1.046333924</v>
      </c>
      <c r="AS3231" s="82">
        <f>IFERROR(__xludf.DUMMYFUNCTION("""COMPUTED_VALUE"""),6.0)</f>
        <v>6</v>
      </c>
      <c r="AT3231" s="82">
        <f>IFERROR(__xludf.DUMMYFUNCTION("""COMPUTED_VALUE"""),0.31855114860921924)</f>
        <v>0.3185511486</v>
      </c>
      <c r="AU3231" s="82">
        <f>IFERROR(__xludf.DUMMYFUNCTION("""COMPUTED_VALUE"""),2.6178515051451283)</f>
        <v>2.617851505</v>
      </c>
      <c r="AV3231" s="82">
        <f>IFERROR(__xludf.DUMMYFUNCTION("""COMPUTED_VALUE"""),40.202343846016866)</f>
        <v>40.20234385</v>
      </c>
      <c r="AW3231" s="82">
        <f t="shared" si="1"/>
        <v>-2.877170067</v>
      </c>
      <c r="AX3231" s="83">
        <f t="array" ref="AX3231">IFERROR(DGET('SBV Import'!A:G,"SBV",{"RSC ID","Tier";B3231,A3231}))</f>
        <v>35.76339069</v>
      </c>
      <c r="AY3231" s="82">
        <f t="shared" si="2"/>
        <v>-3.514684973</v>
      </c>
      <c r="AZ3231" s="82">
        <v>0.6375149064771253</v>
      </c>
      <c r="BA3231" s="84">
        <v>3200.0</v>
      </c>
      <c r="BB3231" s="84" t="b">
        <f>IFERROR(__xludf.DUMMYFUNCTION("iferror(if(A3231="""",,E3231&gt;=FILTER(Constants!$F$2:$F$10,Constants!$A$2:$A$10=A3231)))"),TRUE)</f>
        <v>1</v>
      </c>
    </row>
    <row r="3232">
      <c r="A3232" s="89" t="str">
        <f>IFERROR(__xludf.DUMMYFUNCTION("""COMPUTED_VALUE"""),"Contender")</f>
        <v>Contender</v>
      </c>
      <c r="B3232" s="87" t="str">
        <f>IFERROR(__xludf.DUMMYFUNCTION("""COMPUTED_VALUE"""),"RSC005870")</f>
        <v>RSC005870</v>
      </c>
      <c r="C3232" s="73" t="str">
        <f>IFERROR(__xludf.DUMMYFUNCTION("""COMPUTED_VALUE"""),"Evil twin")</f>
        <v>Evil twin</v>
      </c>
      <c r="D3232" s="73" t="str">
        <f>IFERROR(__xludf.DUMMYFUNCTION("""COMPUTED_VALUE"""),"Toothpaste")</f>
        <v>Toothpaste</v>
      </c>
      <c r="E3232" s="82">
        <f>IFERROR(__xludf.DUMMYFUNCTION("""COMPUTED_VALUE"""),28.0)</f>
        <v>28</v>
      </c>
      <c r="F3232" s="82">
        <f>IFERROR(__xludf.DUMMYFUNCTION("""COMPUTED_VALUE"""),8.0)</f>
        <v>8</v>
      </c>
      <c r="G3232" s="86">
        <f>IFERROR(__xludf.DUMMYFUNCTION("""COMPUTED_VALUE"""),20.0)</f>
        <v>20</v>
      </c>
      <c r="H3232" s="86">
        <f>IFERROR(__xludf.DUMMYFUNCTION("""COMPUTED_VALUE"""),0.2857142857142857)</f>
        <v>0.2857142857</v>
      </c>
      <c r="I3232" s="86">
        <f>IFERROR(__xludf.DUMMYFUNCTION("""COMPUTED_VALUE"""),0.29310344827586204)</f>
        <v>0.2931034483</v>
      </c>
      <c r="J3232" s="82">
        <f>IFERROR(__xludf.DUMMYFUNCTION("""COMPUTED_VALUE"""),280.14285714285717)</f>
        <v>280.1428571</v>
      </c>
      <c r="K3232" s="82">
        <f>IFERROR(__xludf.DUMMYFUNCTION("""COMPUTED_VALUE"""),0.6071428571428571)</f>
        <v>0.6071428571</v>
      </c>
      <c r="L3232" s="82">
        <f>IFERROR(__xludf.DUMMYFUNCTION("""COMPUTED_VALUE"""),0.39285714285714285)</f>
        <v>0.3928571429</v>
      </c>
      <c r="M3232" s="82">
        <f>IFERROR(__xludf.DUMMYFUNCTION("""COMPUTED_VALUE"""),0.9642857142857143)</f>
        <v>0.9642857143</v>
      </c>
      <c r="N3232" s="82">
        <f>IFERROR(__xludf.DUMMYFUNCTION("""COMPUTED_VALUE"""),2.0714285714285716)</f>
        <v>2.071428571</v>
      </c>
      <c r="O3232" s="82">
        <f>IFERROR(__xludf.DUMMYFUNCTION("""COMPUTED_VALUE"""),328.23809523809524)</f>
        <v>328.2380952</v>
      </c>
      <c r="P3232" s="82">
        <f>IFERROR(__xludf.DUMMYFUNCTION("""COMPUTED_VALUE"""),0.8809523809523807)</f>
        <v>0.880952381</v>
      </c>
      <c r="Q3232" s="82">
        <f>IFERROR(__xludf.DUMMYFUNCTION("""COMPUTED_VALUE"""),0.511904761904762)</f>
        <v>0.5119047619</v>
      </c>
      <c r="R3232" s="82">
        <f>IFERROR(__xludf.DUMMYFUNCTION("""COMPUTED_VALUE"""),1.0357142857142858)</f>
        <v>1.035714286</v>
      </c>
      <c r="S3232" s="82">
        <f>IFERROR(__xludf.DUMMYFUNCTION("""COMPUTED_VALUE"""),2.0952380952380953)</f>
        <v>2.095238095</v>
      </c>
      <c r="T3232" s="82">
        <f>IFERROR(__xludf.DUMMYFUNCTION("""COMPUTED_VALUE"""),326.45658755020895)</f>
        <v>326.4565876</v>
      </c>
      <c r="U3232" s="82">
        <f>IFERROR(__xludf.DUMMYFUNCTION("""COMPUTED_VALUE"""),0.7843327323643455)</f>
        <v>0.7843327324</v>
      </c>
      <c r="V3232" s="82">
        <f>IFERROR(__xludf.DUMMYFUNCTION("""COMPUTED_VALUE"""),0.5207878925839944)</f>
        <v>0.5207878926</v>
      </c>
      <c r="W3232" s="82">
        <f>IFERROR(__xludf.DUMMYFUNCTION("""COMPUTED_VALUE"""),1.0889639681626986)</f>
        <v>1.088963968</v>
      </c>
      <c r="X3232" s="82">
        <f>IFERROR(__xludf.DUMMYFUNCTION("""COMPUTED_VALUE"""),2.2362774603436093)</f>
        <v>2.23627746</v>
      </c>
      <c r="Y3232" s="82">
        <f>IFERROR(__xludf.DUMMYFUNCTION("""COMPUTED_VALUE"""),321.4366807985883)</f>
        <v>321.4366808</v>
      </c>
      <c r="Z3232" s="82">
        <f>IFERROR(__xludf.DUMMYFUNCTION("""COMPUTED_VALUE"""),0.7848664249487156)</f>
        <v>0.7848664249</v>
      </c>
      <c r="AA3232" s="82">
        <f>IFERROR(__xludf.DUMMYFUNCTION("""COMPUTED_VALUE"""),0.5245860923841418)</f>
        <v>0.5245860924</v>
      </c>
      <c r="AB3232" s="82">
        <f>IFERROR(__xludf.DUMMYFUNCTION("""COMPUTED_VALUE"""),1.0518680732429917)</f>
        <v>1.051868073</v>
      </c>
      <c r="AC3232" s="82">
        <f>IFERROR(__xludf.DUMMYFUNCTION("""COMPUTED_VALUE"""),2.236875216219251)</f>
        <v>2.236875216</v>
      </c>
      <c r="AD3232" s="82">
        <f>IFERROR(__xludf.DUMMYFUNCTION("""COMPUTED_VALUE"""),0.8715335675034369)</f>
        <v>0.8715335675</v>
      </c>
      <c r="AE3232" s="82">
        <f>IFERROR(__xludf.DUMMYFUNCTION("""COMPUTED_VALUE"""),0.7735620200373953)</f>
        <v>0.77356202</v>
      </c>
      <c r="AF3232" s="82">
        <f>IFERROR(__xludf.DUMMYFUNCTION("""COMPUTED_VALUE"""),0.7488897409988197)</f>
        <v>0.748889741</v>
      </c>
      <c r="AG3232" s="82">
        <f>IFERROR(__xludf.DUMMYFUNCTION("""COMPUTED_VALUE"""),0.9167363653435605)</f>
        <v>0.9167363653</v>
      </c>
      <c r="AH3232" s="82">
        <f>IFERROR(__xludf.DUMMYFUNCTION("""COMPUTED_VALUE"""),0.9260367124678882)</f>
        <v>0.9260367125</v>
      </c>
      <c r="AI3232" s="82">
        <f>IFERROR(__xludf.DUMMYFUNCTION("""COMPUTED_VALUE"""),1.0054571044231488)</f>
        <v>1.005457104</v>
      </c>
      <c r="AJ3232" s="82">
        <f>IFERROR(__xludf.DUMMYFUNCTION("""COMPUTED_VALUE"""),1.123187066663377)</f>
        <v>1.123187067</v>
      </c>
      <c r="AK3232" s="82">
        <f>IFERROR(__xludf.DUMMYFUNCTION("""COMPUTED_VALUE"""),0.9829429009281361)</f>
        <v>0.9829429009</v>
      </c>
      <c r="AL3232" s="82">
        <f>IFERROR(__xludf.DUMMYFUNCTION("""COMPUTED_VALUE"""),0.9511006020352945)</f>
        <v>0.951100602</v>
      </c>
      <c r="AM3232" s="82">
        <f>IFERROR(__xludf.DUMMYFUNCTION("""COMPUTED_VALUE"""),0.9369311869360598)</f>
        <v>0.9369311869</v>
      </c>
      <c r="AN3232" s="82">
        <f>IFERROR(__xludf.DUMMYFUNCTION("""COMPUTED_VALUE"""),0.8987314768398872)</f>
        <v>0.8987314768</v>
      </c>
      <c r="AO3232" s="82">
        <f>IFERROR(__xludf.DUMMYFUNCTION("""COMPUTED_VALUE"""),0.8103003189396819)</f>
        <v>0.8103003189</v>
      </c>
      <c r="AP3232" s="82">
        <f>IFERROR(__xludf.DUMMYFUNCTION("""COMPUTED_VALUE"""),0.7663654931266293)</f>
        <v>0.7663654931</v>
      </c>
      <c r="AQ3232" s="82">
        <f>IFERROR(__xludf.DUMMYFUNCTION("""COMPUTED_VALUE"""),0.9204101854951294)</f>
        <v>0.9204101855</v>
      </c>
      <c r="AR3232" s="82">
        <f>IFERROR(__xludf.DUMMYFUNCTION("""COMPUTED_VALUE"""),0.9632915488758332)</f>
        <v>0.9632915489</v>
      </c>
      <c r="AS3232" s="82">
        <f>IFERROR(__xludf.DUMMYFUNCTION("""COMPUTED_VALUE"""),45.0)</f>
        <v>45</v>
      </c>
      <c r="AT3232" s="82">
        <f>IFERROR(__xludf.DUMMYFUNCTION("""COMPUTED_VALUE"""),0.32006956017144716)</f>
        <v>0.3200695602</v>
      </c>
      <c r="AU3232" s="82">
        <f>IFERROR(__xludf.DUMMYFUNCTION("""COMPUTED_VALUE"""),2.5261581475850727)</f>
        <v>2.526158148</v>
      </c>
      <c r="AV3232" s="82">
        <f>IFERROR(__xludf.DUMMYFUNCTION("""COMPUTED_VALUE"""),38.6213384228769)</f>
        <v>38.62133842</v>
      </c>
      <c r="AW3232" s="82">
        <f t="shared" si="1"/>
        <v>-3.081645707</v>
      </c>
      <c r="AX3232" s="83">
        <f t="array" ref="AX3232">IFERROR(DGET('SBV Import'!A:G,"SBV",{"RSC ID","Tier";B3232,A3232}))</f>
        <v>46.48554611</v>
      </c>
      <c r="AY3232" s="82">
        <f t="shared" si="2"/>
        <v>-2.251736974</v>
      </c>
      <c r="AZ3232" s="82">
        <v>0.8299087330551753</v>
      </c>
      <c r="BA3232" s="84">
        <v>3200.0</v>
      </c>
      <c r="BB3232" s="84" t="b">
        <f>IFERROR(__xludf.DUMMYFUNCTION("iferror(if(A3232="""",,E3232&gt;=FILTER(Constants!$F$2:$F$10,Constants!$A$2:$A$10=A3232)))"),TRUE)</f>
        <v>1</v>
      </c>
    </row>
    <row r="3233">
      <c r="A3233" s="89" t="str">
        <f>IFERROR(__xludf.DUMMYFUNCTION("""COMPUTED_VALUE"""),"Contender")</f>
        <v>Contender</v>
      </c>
      <c r="B3233" s="87" t="str">
        <f>IFERROR(__xludf.DUMMYFUNCTION("""COMPUTED_VALUE"""),"RSC007635")</f>
        <v>RSC007635</v>
      </c>
      <c r="C3233" s="73" t="str">
        <f>IFERROR(__xludf.DUMMYFUNCTION("""COMPUTED_VALUE"""),"MungsApprentice")</f>
        <v>MungsApprentice</v>
      </c>
      <c r="D3233" s="73" t="str">
        <f>IFERROR(__xludf.DUMMYFUNCTION("""COMPUTED_VALUE"""),"Ice")</f>
        <v>Ice</v>
      </c>
      <c r="E3233" s="82">
        <f>IFERROR(__xludf.DUMMYFUNCTION("""COMPUTED_VALUE"""),7.0)</f>
        <v>7</v>
      </c>
      <c r="F3233" s="82">
        <f>IFERROR(__xludf.DUMMYFUNCTION("""COMPUTED_VALUE"""),4.0)</f>
        <v>4</v>
      </c>
      <c r="G3233" s="86">
        <f>IFERROR(__xludf.DUMMYFUNCTION("""COMPUTED_VALUE"""),3.0)</f>
        <v>3</v>
      </c>
      <c r="H3233" s="86">
        <f>IFERROR(__xludf.DUMMYFUNCTION("""COMPUTED_VALUE"""),0.5714285714285714)</f>
        <v>0.5714285714</v>
      </c>
      <c r="I3233" s="86">
        <f>IFERROR(__xludf.DUMMYFUNCTION("""COMPUTED_VALUE"""),0.3)</f>
        <v>0.3</v>
      </c>
      <c r="J3233" s="82">
        <f>IFERROR(__xludf.DUMMYFUNCTION("""COMPUTED_VALUE"""),266.14285714285717)</f>
        <v>266.1428571</v>
      </c>
      <c r="K3233" s="82">
        <f>IFERROR(__xludf.DUMMYFUNCTION("""COMPUTED_VALUE"""),0.42857142857142855)</f>
        <v>0.4285714286</v>
      </c>
      <c r="L3233" s="82">
        <f>IFERROR(__xludf.DUMMYFUNCTION("""COMPUTED_VALUE"""),0.5714285714285714)</f>
        <v>0.5714285714</v>
      </c>
      <c r="M3233" s="82">
        <f>IFERROR(__xludf.DUMMYFUNCTION("""COMPUTED_VALUE"""),1.1428571428571428)</f>
        <v>1.142857143</v>
      </c>
      <c r="N3233" s="82">
        <f>IFERROR(__xludf.DUMMYFUNCTION("""COMPUTED_VALUE"""),1.4285714285714286)</f>
        <v>1.428571429</v>
      </c>
      <c r="O3233" s="82">
        <f>IFERROR(__xludf.DUMMYFUNCTION("""COMPUTED_VALUE"""),341.57142857142856)</f>
        <v>341.5714286</v>
      </c>
      <c r="P3233" s="82">
        <f>IFERROR(__xludf.DUMMYFUNCTION("""COMPUTED_VALUE"""),0.9523809523809524)</f>
        <v>0.9523809524</v>
      </c>
      <c r="Q3233" s="82">
        <f>IFERROR(__xludf.DUMMYFUNCTION("""COMPUTED_VALUE"""),0.857142857142857)</f>
        <v>0.8571428571</v>
      </c>
      <c r="R3233" s="82">
        <f>IFERROR(__xludf.DUMMYFUNCTION("""COMPUTED_VALUE"""),0.9047619047619049)</f>
        <v>0.9047619048</v>
      </c>
      <c r="S3233" s="82">
        <f>IFERROR(__xludf.DUMMYFUNCTION("""COMPUTED_VALUE"""),2.380952380952381)</f>
        <v>2.380952381</v>
      </c>
      <c r="T3233" s="82">
        <f>IFERROR(__xludf.DUMMYFUNCTION("""COMPUTED_VALUE"""),345.28333670285963)</f>
        <v>345.2833367</v>
      </c>
      <c r="U3233" s="82">
        <f>IFERROR(__xludf.DUMMYFUNCTION("""COMPUTED_VALUE"""),0.9290670901612047)</f>
        <v>0.9290670902</v>
      </c>
      <c r="V3233" s="82">
        <f>IFERROR(__xludf.DUMMYFUNCTION("""COMPUTED_VALUE"""),0.6253305783510607)</f>
        <v>0.6253305784</v>
      </c>
      <c r="W3233" s="82">
        <f>IFERROR(__xludf.DUMMYFUNCTION("""COMPUTED_VALUE"""),1.0214980484231198)</f>
        <v>1.021498048</v>
      </c>
      <c r="X3233" s="82">
        <f>IFERROR(__xludf.DUMMYFUNCTION("""COMPUTED_VALUE"""),2.493106341319979)</f>
        <v>2.493106341</v>
      </c>
      <c r="Y3233" s="82">
        <f>IFERROR(__xludf.DUMMYFUNCTION("""COMPUTED_VALUE"""),313.67329041002876)</f>
        <v>313.6732904</v>
      </c>
      <c r="Z3233" s="82">
        <f>IFERROR(__xludf.DUMMYFUNCTION("""COMPUTED_VALUE"""),0.6949628062652)</f>
        <v>0.6949628063</v>
      </c>
      <c r="AA3233" s="82">
        <f>IFERROR(__xludf.DUMMYFUNCTION("""COMPUTED_VALUE"""),0.46704872570398454)</f>
        <v>0.4670487257</v>
      </c>
      <c r="AB3233" s="82">
        <f>IFERROR(__xludf.DUMMYFUNCTION("""COMPUTED_VALUE"""),1.0829807446288304)</f>
        <v>1.082980745</v>
      </c>
      <c r="AC3233" s="82">
        <f>IFERROR(__xludf.DUMMYFUNCTION("""COMPUTED_VALUE"""),2.1217277738537788)</f>
        <v>2.121727774</v>
      </c>
      <c r="AD3233" s="82">
        <f>IFERROR(__xludf.DUMMYFUNCTION("""COMPUTED_VALUE"""),0.8484715316211956)</f>
        <v>0.8484715316</v>
      </c>
      <c r="AE3233" s="82">
        <f>IFERROR(__xludf.DUMMYFUNCTION("""COMPUTED_VALUE"""),0.6166825399975209)</f>
        <v>0.61668254</v>
      </c>
      <c r="AF3233" s="82">
        <f>IFERROR(__xludf.DUMMYFUNCTION("""COMPUTED_VALUE"""),1.223488128711313)</f>
        <v>1.223488129</v>
      </c>
      <c r="AG3233" s="82">
        <f>IFERROR(__xludf.DUMMYFUNCTION("""COMPUTED_VALUE"""),1.0552885160011167)</f>
        <v>1.055288516</v>
      </c>
      <c r="AH3233" s="82">
        <f>IFERROR(__xludf.DUMMYFUNCTION("""COMPUTED_VALUE"""),0.6733057115883709)</f>
        <v>0.6733057116</v>
      </c>
      <c r="AI3233" s="82">
        <f>IFERROR(__xludf.DUMMYFUNCTION("""COMPUTED_VALUE"""),0.9892496748702778)</f>
        <v>0.9892496749</v>
      </c>
      <c r="AJ3233" s="82">
        <f>IFERROR(__xludf.DUMMYFUNCTION("""COMPUTED_VALUE"""),1.0250938414099917)</f>
        <v>1.025093841</v>
      </c>
      <c r="AK3233" s="82">
        <f>IFERROR(__xludf.DUMMYFUNCTION("""COMPUTED_VALUE"""),1.3707035715462117)</f>
        <v>1.370703572</v>
      </c>
      <c r="AL3233" s="82">
        <f>IFERROR(__xludf.DUMMYFUNCTION("""COMPUTED_VALUE"""),0.8857206395632182)</f>
        <v>0.8857206396</v>
      </c>
      <c r="AM3233" s="82">
        <f>IFERROR(__xludf.DUMMYFUNCTION("""COMPUTED_VALUE"""),0.9550143696204239)</f>
        <v>0.9550143696</v>
      </c>
      <c r="AN3233" s="82">
        <f>IFERROR(__xludf.DUMMYFUNCTION("""COMPUTED_VALUE"""),0.8538178181298878)</f>
        <v>0.8538178181</v>
      </c>
      <c r="AO3233" s="82">
        <f>IFERROR(__xludf.DUMMYFUNCTION("""COMPUTED_VALUE"""),0.5719766957221284)</f>
        <v>0.5719766957</v>
      </c>
      <c r="AP3233" s="82">
        <f>IFERROR(__xludf.DUMMYFUNCTION("""COMPUTED_VALUE"""),1.1147134445478244)</f>
        <v>1.114713445</v>
      </c>
      <c r="AQ3233" s="82">
        <f>IFERROR(__xludf.DUMMYFUNCTION("""COMPUTED_VALUE"""),1.0908565161423756)</f>
        <v>1.090856516</v>
      </c>
      <c r="AR3233" s="82">
        <f>IFERROR(__xludf.DUMMYFUNCTION("""COMPUTED_VALUE"""),0.6643389992247125)</f>
        <v>0.6643389992</v>
      </c>
      <c r="AS3233" s="82">
        <f>IFERROR(__xludf.DUMMYFUNCTION("""COMPUTED_VALUE"""),16.0)</f>
        <v>16</v>
      </c>
      <c r="AT3233" s="82">
        <f>IFERROR(__xludf.DUMMYFUNCTION("""COMPUTED_VALUE"""),0.41167964248460837)</f>
        <v>0.4116796425</v>
      </c>
      <c r="AU3233" s="82">
        <f>IFERROR(__xludf.DUMMYFUNCTION("""COMPUTED_VALUE"""),2.3224429977820353)</f>
        <v>2.322442998</v>
      </c>
      <c r="AV3233" s="82">
        <f>IFERROR(__xludf.DUMMYFUNCTION("""COMPUTED_VALUE"""),35.10881837579034)</f>
        <v>35.10881838</v>
      </c>
      <c r="AW3233" s="82">
        <f t="shared" si="1"/>
        <v>-3.627059277</v>
      </c>
      <c r="AX3233" s="83">
        <f t="array" ref="AX3233">IFERROR(DGET('SBV Import'!A:G,"SBV",{"RSC ID","Tier";B3233,A3233}))</f>
        <v>32.00463546</v>
      </c>
      <c r="AY3233" s="82">
        <f t="shared" si="2"/>
        <v>-4.240529934</v>
      </c>
      <c r="AZ3233" s="82">
        <v>0.61347065712043</v>
      </c>
      <c r="BA3233" s="84">
        <v>3200.0</v>
      </c>
      <c r="BB3233" s="84" t="b">
        <f>IFERROR(__xludf.DUMMYFUNCTION("iferror(if(A3233="""",,E3233&gt;=FILTER(Constants!$F$2:$F$10,Constants!$A$2:$A$10=A3233)))"),TRUE)</f>
        <v>1</v>
      </c>
    </row>
    <row r="3234">
      <c r="A3234" s="89" t="str">
        <f>IFERROR(__xludf.DUMMYFUNCTION("""COMPUTED_VALUE"""),"Contender")</f>
        <v>Contender</v>
      </c>
      <c r="B3234" s="87" t="str">
        <f>IFERROR(__xludf.DUMMYFUNCTION("""COMPUTED_VALUE"""),"RSC000086")</f>
        <v>RSC000086</v>
      </c>
      <c r="C3234" s="73" t="str">
        <f>IFERROR(__xludf.DUMMYFUNCTION("""COMPUTED_VALUE"""),"Stale Popcorn")</f>
        <v>Stale Popcorn</v>
      </c>
      <c r="D3234" s="73" t="str">
        <f>IFERROR(__xludf.DUMMYFUNCTION("""COMPUTED_VALUE"""),"Toothpaste")</f>
        <v>Toothpaste</v>
      </c>
      <c r="E3234" s="82">
        <f>IFERROR(__xludf.DUMMYFUNCTION("""COMPUTED_VALUE"""),32.0)</f>
        <v>32</v>
      </c>
      <c r="F3234" s="82">
        <f>IFERROR(__xludf.DUMMYFUNCTION("""COMPUTED_VALUE"""),9.0)</f>
        <v>9</v>
      </c>
      <c r="G3234" s="86">
        <f>IFERROR(__xludf.DUMMYFUNCTION("""COMPUTED_VALUE"""),23.0)</f>
        <v>23</v>
      </c>
      <c r="H3234" s="86">
        <f>IFERROR(__xludf.DUMMYFUNCTION("""COMPUTED_VALUE"""),0.28125)</f>
        <v>0.28125</v>
      </c>
      <c r="I3234" s="86">
        <f>IFERROR(__xludf.DUMMYFUNCTION("""COMPUTED_VALUE"""),0.2727272727272727)</f>
        <v>0.2727272727</v>
      </c>
      <c r="J3234" s="82">
        <f>IFERROR(__xludf.DUMMYFUNCTION("""COMPUTED_VALUE"""),291.875)</f>
        <v>291.875</v>
      </c>
      <c r="K3234" s="82">
        <f>IFERROR(__xludf.DUMMYFUNCTION("""COMPUTED_VALUE"""),0.5625)</f>
        <v>0.5625</v>
      </c>
      <c r="L3234" s="82">
        <f>IFERROR(__xludf.DUMMYFUNCTION("""COMPUTED_VALUE"""),0.25)</f>
        <v>0.25</v>
      </c>
      <c r="M3234" s="82">
        <f>IFERROR(__xludf.DUMMYFUNCTION("""COMPUTED_VALUE"""),1.125)</f>
        <v>1.125</v>
      </c>
      <c r="N3234" s="82">
        <f>IFERROR(__xludf.DUMMYFUNCTION("""COMPUTED_VALUE"""),2.0625)</f>
        <v>2.0625</v>
      </c>
      <c r="O3234" s="82">
        <f>IFERROR(__xludf.DUMMYFUNCTION("""COMPUTED_VALUE"""),323.01041666666674)</f>
        <v>323.0104167</v>
      </c>
      <c r="P3234" s="82">
        <f>IFERROR(__xludf.DUMMYFUNCTION("""COMPUTED_VALUE"""),0.8749999999999999)</f>
        <v>0.875</v>
      </c>
      <c r="Q3234" s="82">
        <f>IFERROR(__xludf.DUMMYFUNCTION("""COMPUTED_VALUE"""),0.4791666666666667)</f>
        <v>0.4791666667</v>
      </c>
      <c r="R3234" s="82">
        <f>IFERROR(__xludf.DUMMYFUNCTION("""COMPUTED_VALUE"""),0.8958333333333333)</f>
        <v>0.8958333333</v>
      </c>
      <c r="S3234" s="82">
        <f>IFERROR(__xludf.DUMMYFUNCTION("""COMPUTED_VALUE"""),2.3125)</f>
        <v>2.3125</v>
      </c>
      <c r="T3234" s="82">
        <f>IFERROR(__xludf.DUMMYFUNCTION("""COMPUTED_VALUE"""),326.0006337764254)</f>
        <v>326.0006338</v>
      </c>
      <c r="U3234" s="82">
        <f>IFERROR(__xludf.DUMMYFUNCTION("""COMPUTED_VALUE"""),0.7951800637628208)</f>
        <v>0.7951800638</v>
      </c>
      <c r="V3234" s="82">
        <f>IFERROR(__xludf.DUMMYFUNCTION("""COMPUTED_VALUE"""),0.5176533356942863)</f>
        <v>0.5176533357</v>
      </c>
      <c r="W3234" s="82">
        <f>IFERROR(__xludf.DUMMYFUNCTION("""COMPUTED_VALUE"""),1.0823930474673273)</f>
        <v>1.082393047</v>
      </c>
      <c r="X3234" s="82">
        <f>IFERROR(__xludf.DUMMYFUNCTION("""COMPUTED_VALUE"""),2.198699546518313)</f>
        <v>2.198699547</v>
      </c>
      <c r="Y3234" s="82">
        <f>IFERROR(__xludf.DUMMYFUNCTION("""COMPUTED_VALUE"""),320.31520398906014)</f>
        <v>320.315204</v>
      </c>
      <c r="Z3234" s="82">
        <f>IFERROR(__xludf.DUMMYFUNCTION("""COMPUTED_VALUE"""),0.7760745592296829)</f>
        <v>0.7760745592</v>
      </c>
      <c r="AA3234" s="82">
        <f>IFERROR(__xludf.DUMMYFUNCTION("""COMPUTED_VALUE"""),0.5187386736124436)</f>
        <v>0.5187386736</v>
      </c>
      <c r="AB3234" s="82">
        <f>IFERROR(__xludf.DUMMYFUNCTION("""COMPUTED_VALUE"""),1.034942182912875)</f>
        <v>1.034942183</v>
      </c>
      <c r="AC3234" s="82">
        <f>IFERROR(__xludf.DUMMYFUNCTION("""COMPUTED_VALUE"""),2.242822573810665)</f>
        <v>2.242822574</v>
      </c>
      <c r="AD3234" s="82">
        <f>IFERROR(__xludf.DUMMYFUNCTION("""COMPUTED_VALUE"""),0.9112118199983056)</f>
        <v>0.91121182</v>
      </c>
      <c r="AE3234" s="82">
        <f>IFERROR(__xludf.DUMMYFUNCTION("""COMPUTED_VALUE"""),0.7248014940192434)</f>
        <v>0.724801494</v>
      </c>
      <c r="AF3234" s="82">
        <f>IFERROR(__xludf.DUMMYFUNCTION("""COMPUTED_VALUE"""),0.4819382334828157)</f>
        <v>0.4819382335</v>
      </c>
      <c r="AG3234" s="82">
        <f>IFERROR(__xludf.DUMMYFUNCTION("""COMPUTED_VALUE"""),1.0870172446094086)</f>
        <v>1.087017245</v>
      </c>
      <c r="AH3234" s="82">
        <f>IFERROR(__xludf.DUMMYFUNCTION("""COMPUTED_VALUE"""),0.9196001610130541)</f>
        <v>0.919600161</v>
      </c>
      <c r="AI3234" s="82">
        <f>IFERROR(__xludf.DUMMYFUNCTION("""COMPUTED_VALUE"""),0.990827572710152)</f>
        <v>0.9908275727</v>
      </c>
      <c r="AJ3234" s="82">
        <f>IFERROR(__xludf.DUMMYFUNCTION("""COMPUTED_VALUE"""),1.1003796999882873)</f>
        <v>1.1003797</v>
      </c>
      <c r="AK3234" s="82">
        <f>IFERROR(__xludf.DUMMYFUNCTION("""COMPUTED_VALUE"""),0.9256516545459896)</f>
        <v>0.9256516545</v>
      </c>
      <c r="AL3234" s="82">
        <f>IFERROR(__xludf.DUMMYFUNCTION("""COMPUTED_VALUE"""),0.8276414334233558)</f>
        <v>0.8276414334</v>
      </c>
      <c r="AM3234" s="82">
        <f>IFERROR(__xludf.DUMMYFUNCTION("""COMPUTED_VALUE"""),1.051758073840463)</f>
        <v>1.051758074</v>
      </c>
      <c r="AN3234" s="82">
        <f>IFERROR(__xludf.DUMMYFUNCTION("""COMPUTED_VALUE"""),0.9363695811415066)</f>
        <v>0.9363695811</v>
      </c>
      <c r="AO3234" s="82">
        <f>IFERROR(__xludf.DUMMYFUNCTION("""COMPUTED_VALUE"""),0.7507194131352936)</f>
        <v>0.7507194131</v>
      </c>
      <c r="AP3234" s="82">
        <f>IFERROR(__xludf.DUMMYFUNCTION("""COMPUTED_VALUE"""),0.4876871319896732)</f>
        <v>0.487687132</v>
      </c>
      <c r="AQ3234" s="82">
        <f>IFERROR(__xludf.DUMMYFUNCTION("""COMPUTED_VALUE"""),1.0738118830776509)</f>
        <v>1.073811883</v>
      </c>
      <c r="AR3234" s="82">
        <f>IFERROR(__xludf.DUMMYFUNCTION("""COMPUTED_VALUE"""),0.9591394301306787)</f>
        <v>0.9591394301</v>
      </c>
      <c r="AS3234" s="82">
        <f>IFERROR(__xludf.DUMMYFUNCTION("""COMPUTED_VALUE"""),43.0)</f>
        <v>43</v>
      </c>
      <c r="AT3234" s="82">
        <f>IFERROR(__xludf.DUMMYFUNCTION("""COMPUTED_VALUE"""),0.27000831593783425)</f>
        <v>0.2700083159</v>
      </c>
      <c r="AU3234" s="82">
        <f>IFERROR(__xludf.DUMMYFUNCTION("""COMPUTED_VALUE"""),2.177097811536996)</f>
        <v>2.177097812</v>
      </c>
      <c r="AV3234" s="82">
        <f>IFERROR(__xludf.DUMMYFUNCTION("""COMPUTED_VALUE"""),32.60273141599949)</f>
        <v>32.60273142</v>
      </c>
      <c r="AW3234" s="82">
        <f t="shared" si="1"/>
        <v>-4.111020115</v>
      </c>
      <c r="AX3234" s="83">
        <f t="array" ref="AX3234">IFERROR(DGET('SBV Import'!A:G,"SBV",{"RSC ID","Tier";B3234,A3234}))</f>
        <v>46.09169754</v>
      </c>
      <c r="AY3234" s="82">
        <f t="shared" si="2"/>
        <v>-2.283701349</v>
      </c>
      <c r="AZ3234" s="82">
        <v>1.8273187658751406</v>
      </c>
      <c r="BA3234" s="84">
        <v>3200.0</v>
      </c>
      <c r="BB3234" s="84" t="b">
        <f>IFERROR(__xludf.DUMMYFUNCTION("iferror(if(A3234="""",,E3234&gt;=FILTER(Constants!$F$2:$F$10,Constants!$A$2:$A$10=A3234)))"),TRUE)</f>
        <v>1</v>
      </c>
    </row>
    <row r="3235">
      <c r="A3235" s="89" t="str">
        <f>IFERROR(__xludf.DUMMYFUNCTION("""COMPUTED_VALUE"""),"Contender")</f>
        <v>Contender</v>
      </c>
      <c r="B3235" s="87" t="str">
        <f>IFERROR(__xludf.DUMMYFUNCTION("""COMPUTED_VALUE"""),"RSC005937")</f>
        <v>RSC005937</v>
      </c>
      <c r="C3235" s="73" t="str">
        <f>IFERROR(__xludf.DUMMYFUNCTION("""COMPUTED_VALUE"""),"SlashFabo420")</f>
        <v>SlashFabo420</v>
      </c>
      <c r="D3235" s="73" t="str">
        <f>IFERROR(__xludf.DUMMYFUNCTION("""COMPUTED_VALUE"""),"Celestial Cider")</f>
        <v>Celestial Cider</v>
      </c>
      <c r="E3235" s="82">
        <f>IFERROR(__xludf.DUMMYFUNCTION("""COMPUTED_VALUE"""),30.0)</f>
        <v>30</v>
      </c>
      <c r="F3235" s="82">
        <f>IFERROR(__xludf.DUMMYFUNCTION("""COMPUTED_VALUE"""),14.0)</f>
        <v>14</v>
      </c>
      <c r="G3235" s="86">
        <f>IFERROR(__xludf.DUMMYFUNCTION("""COMPUTED_VALUE"""),16.0)</f>
        <v>16</v>
      </c>
      <c r="H3235" s="86">
        <f>IFERROR(__xludf.DUMMYFUNCTION("""COMPUTED_VALUE"""),0.4666666666666667)</f>
        <v>0.4666666667</v>
      </c>
      <c r="I3235" s="86">
        <f>IFERROR(__xludf.DUMMYFUNCTION("""COMPUTED_VALUE"""),0.26)</f>
        <v>0.26</v>
      </c>
      <c r="J3235" s="82">
        <f>IFERROR(__xludf.DUMMYFUNCTION("""COMPUTED_VALUE"""),257.0)</f>
        <v>257</v>
      </c>
      <c r="K3235" s="82">
        <f>IFERROR(__xludf.DUMMYFUNCTION("""COMPUTED_VALUE"""),0.43333333333333335)</f>
        <v>0.4333333333</v>
      </c>
      <c r="L3235" s="82">
        <f>IFERROR(__xludf.DUMMYFUNCTION("""COMPUTED_VALUE"""),0.5333333333333333)</f>
        <v>0.5333333333</v>
      </c>
      <c r="M3235" s="82">
        <f>IFERROR(__xludf.DUMMYFUNCTION("""COMPUTED_VALUE"""),0.8)</f>
        <v>0.8</v>
      </c>
      <c r="N3235" s="82">
        <f>IFERROR(__xludf.DUMMYFUNCTION("""COMPUTED_VALUE"""),1.6666666666666667)</f>
        <v>1.666666667</v>
      </c>
      <c r="O3235" s="82">
        <f>IFERROR(__xludf.DUMMYFUNCTION("""COMPUTED_VALUE"""),315.9222222222222)</f>
        <v>315.9222222</v>
      </c>
      <c r="P3235" s="82">
        <f>IFERROR(__xludf.DUMMYFUNCTION("""COMPUTED_VALUE"""),0.8333333333333333)</f>
        <v>0.8333333333</v>
      </c>
      <c r="Q3235" s="82">
        <f>IFERROR(__xludf.DUMMYFUNCTION("""COMPUTED_VALUE"""),0.5444444444444445)</f>
        <v>0.5444444444</v>
      </c>
      <c r="R3235" s="82">
        <f>IFERROR(__xludf.DUMMYFUNCTION("""COMPUTED_VALUE"""),0.9555555555555555)</f>
        <v>0.9555555556</v>
      </c>
      <c r="S3235" s="82">
        <f>IFERROR(__xludf.DUMMYFUNCTION("""COMPUTED_VALUE"""),2.2000000000000006)</f>
        <v>2.2</v>
      </c>
      <c r="T3235" s="82">
        <f>IFERROR(__xludf.DUMMYFUNCTION("""COMPUTED_VALUE"""),313.86314695941286)</f>
        <v>313.863147</v>
      </c>
      <c r="U3235" s="82">
        <f>IFERROR(__xludf.DUMMYFUNCTION("""COMPUTED_VALUE"""),0.7672317556568118)</f>
        <v>0.7672317557</v>
      </c>
      <c r="V3235" s="82">
        <f>IFERROR(__xludf.DUMMYFUNCTION("""COMPUTED_VALUE"""),0.4617553516216376)</f>
        <v>0.4617553516</v>
      </c>
      <c r="W3235" s="82">
        <f>IFERROR(__xludf.DUMMYFUNCTION("""COMPUTED_VALUE"""),1.031655972275434)</f>
        <v>1.031655972</v>
      </c>
      <c r="X3235" s="82">
        <f>IFERROR(__xludf.DUMMYFUNCTION("""COMPUTED_VALUE"""),2.181127866672866)</f>
        <v>2.181127867</v>
      </c>
      <c r="Y3235" s="82">
        <f>IFERROR(__xludf.DUMMYFUNCTION("""COMPUTED_VALUE"""),326.2865863802927)</f>
        <v>326.2865864</v>
      </c>
      <c r="Z3235" s="82">
        <f>IFERROR(__xludf.DUMMYFUNCTION("""COMPUTED_VALUE"""),0.82986158561147)</f>
        <v>0.8298615856</v>
      </c>
      <c r="AA3235" s="82">
        <f>IFERROR(__xludf.DUMMYFUNCTION("""COMPUTED_VALUE"""),0.5289322674163961)</f>
        <v>0.5289322674</v>
      </c>
      <c r="AB3235" s="82">
        <f>IFERROR(__xludf.DUMMYFUNCTION("""COMPUTED_VALUE"""),1.0396372875154767)</f>
        <v>1.039637288</v>
      </c>
      <c r="AC3235" s="82">
        <f>IFERROR(__xludf.DUMMYFUNCTION("""COMPUTED_VALUE"""),2.2629235724366685)</f>
        <v>2.262923572</v>
      </c>
      <c r="AD3235" s="82">
        <f>IFERROR(__xludf.DUMMYFUNCTION("""COMPUTED_VALUE"""),0.7876511347005298)</f>
        <v>0.7876511347</v>
      </c>
      <c r="AE3235" s="82">
        <f>IFERROR(__xludf.DUMMYFUNCTION("""COMPUTED_VALUE"""),0.5221754336466107)</f>
        <v>0.5221754336</v>
      </c>
      <c r="AF3235" s="82">
        <f>IFERROR(__xludf.DUMMYFUNCTION("""COMPUTED_VALUE"""),1.0083206606744461)</f>
        <v>1.008320661</v>
      </c>
      <c r="AG3235" s="82">
        <f>IFERROR(__xludf.DUMMYFUNCTION("""COMPUTED_VALUE"""),0.769499141293632)</f>
        <v>0.7694991413</v>
      </c>
      <c r="AH3235" s="82">
        <f>IFERROR(__xludf.DUMMYFUNCTION("""COMPUTED_VALUE"""),0.7365103651609564)</f>
        <v>0.7365103652</v>
      </c>
      <c r="AI3235" s="82">
        <f>IFERROR(__xludf.DUMMYFUNCTION("""COMPUTED_VALUE"""),1.0065604238113233)</f>
        <v>1.006560424</v>
      </c>
      <c r="AJ3235" s="82">
        <f>IFERROR(__xludf.DUMMYFUNCTION("""COMPUTED_VALUE"""),1.0861559459565555)</f>
        <v>1.086155946</v>
      </c>
      <c r="AK3235" s="82">
        <f>IFERROR(__xludf.DUMMYFUNCTION("""COMPUTED_VALUE"""),1.1790755484098046)</f>
        <v>1.179075548</v>
      </c>
      <c r="AL3235" s="82">
        <f>IFERROR(__xludf.DUMMYFUNCTION("""COMPUTED_VALUE"""),0.9262346957076879)</f>
        <v>0.9262346957</v>
      </c>
      <c r="AM3235" s="82">
        <f>IFERROR(__xludf.DUMMYFUNCTION("""COMPUTED_VALUE"""),1.008652465366885)</f>
        <v>1.008652465</v>
      </c>
      <c r="AN3235" s="82">
        <f>IFERROR(__xludf.DUMMYFUNCTION("""COMPUTED_VALUE"""),0.8244864491764187)</f>
        <v>0.8244864492</v>
      </c>
      <c r="AO3235" s="82">
        <f>IFERROR(__xludf.DUMMYFUNCTION("""COMPUTED_VALUE"""),0.5783319923412632)</f>
        <v>0.5783319923</v>
      </c>
      <c r="AP3235" s="82">
        <f>IFERROR(__xludf.DUMMYFUNCTION("""COMPUTED_VALUE"""),1.0403992149113028)</f>
        <v>1.040399215</v>
      </c>
      <c r="AQ3235" s="82">
        <f>IFERROR(__xludf.DUMMYFUNCTION("""COMPUTED_VALUE"""),0.7635995612996629)</f>
        <v>0.7635995613</v>
      </c>
      <c r="AR3235" s="82">
        <f>IFERROR(__xludf.DUMMYFUNCTION("""COMPUTED_VALUE"""),0.7750621657621646)</f>
        <v>0.7750621658</v>
      </c>
      <c r="AS3235" s="82">
        <f>IFERROR(__xludf.DUMMYFUNCTION("""COMPUTED_VALUE"""),65.0)</f>
        <v>65</v>
      </c>
      <c r="AT3235" s="82">
        <f>IFERROR(__xludf.DUMMYFUNCTION("""COMPUTED_VALUE"""),0.4445632182061791)</f>
        <v>0.4445632182</v>
      </c>
      <c r="AU3235" s="82">
        <f>IFERROR(__xludf.DUMMYFUNCTION("""COMPUTED_VALUE"""),2.1756921504961904)</f>
        <v>2.17569215</v>
      </c>
      <c r="AV3235" s="82">
        <f>IFERROR(__xludf.DUMMYFUNCTION("""COMPUTED_VALUE"""),32.57849457062981)</f>
        <v>32.57849457</v>
      </c>
      <c r="AW3235" s="82">
        <f t="shared" si="1"/>
        <v>-4.116155634</v>
      </c>
      <c r="AX3235" s="83">
        <f t="array" ref="AX3235">IFERROR(DGET('SBV Import'!A:G,"SBV",{"RSC ID","Tier";B3235,A3235}))</f>
        <v>29.49171459</v>
      </c>
      <c r="AY3235" s="82">
        <f t="shared" si="2"/>
        <v>-4.854048453</v>
      </c>
      <c r="AZ3235" s="82">
        <v>0.7378928185292644</v>
      </c>
      <c r="BA3235" s="84">
        <v>3200.0</v>
      </c>
      <c r="BB3235" s="84" t="b">
        <f>IFERROR(__xludf.DUMMYFUNCTION("iferror(if(A3235="""",,E3235&gt;=FILTER(Constants!$F$2:$F$10,Constants!$A$2:$A$10=A3235)))"),TRUE)</f>
        <v>1</v>
      </c>
    </row>
    <row r="3236">
      <c r="A3236" s="89" t="str">
        <f>IFERROR(__xludf.DUMMYFUNCTION("""COMPUTED_VALUE"""),"Contender")</f>
        <v>Contender</v>
      </c>
      <c r="B3236" s="87" t="str">
        <f>IFERROR(__xludf.DUMMYFUNCTION("""COMPUTED_VALUE"""),"RSC007538")</f>
        <v>RSC007538</v>
      </c>
      <c r="C3236" s="73" t="str">
        <f>IFERROR(__xludf.DUMMYFUNCTION("""COMPUTED_VALUE"""),"FattyMcChef04")</f>
        <v>FattyMcChef04</v>
      </c>
      <c r="D3236" s="73" t="str">
        <f>IFERROR(__xludf.DUMMYFUNCTION("""COMPUTED_VALUE"""),"Cheese Pizza")</f>
        <v>Cheese Pizza</v>
      </c>
      <c r="E3236" s="82">
        <f>IFERROR(__xludf.DUMMYFUNCTION("""COMPUTED_VALUE"""),11.0)</f>
        <v>11</v>
      </c>
      <c r="F3236" s="82">
        <f>IFERROR(__xludf.DUMMYFUNCTION("""COMPUTED_VALUE"""),6.0)</f>
        <v>6</v>
      </c>
      <c r="G3236" s="86">
        <f>IFERROR(__xludf.DUMMYFUNCTION("""COMPUTED_VALUE"""),5.0)</f>
        <v>5</v>
      </c>
      <c r="H3236" s="86">
        <f>IFERROR(__xludf.DUMMYFUNCTION("""COMPUTED_VALUE"""),0.5454545454545454)</f>
        <v>0.5454545455</v>
      </c>
      <c r="I3236" s="86">
        <f>IFERROR(__xludf.DUMMYFUNCTION("""COMPUTED_VALUE"""),0.4444444444444444)</f>
        <v>0.4444444444</v>
      </c>
      <c r="J3236" s="82">
        <f>IFERROR(__xludf.DUMMYFUNCTION("""COMPUTED_VALUE"""),252.9090909090909)</f>
        <v>252.9090909</v>
      </c>
      <c r="K3236" s="82">
        <f>IFERROR(__xludf.DUMMYFUNCTION("""COMPUTED_VALUE"""),0.7272727272727273)</f>
        <v>0.7272727273</v>
      </c>
      <c r="L3236" s="82">
        <f>IFERROR(__xludf.DUMMYFUNCTION("""COMPUTED_VALUE"""),0.2727272727272727)</f>
        <v>0.2727272727</v>
      </c>
      <c r="M3236" s="82">
        <f>IFERROR(__xludf.DUMMYFUNCTION("""COMPUTED_VALUE"""),0.7272727272727273)</f>
        <v>0.7272727273</v>
      </c>
      <c r="N3236" s="82">
        <f>IFERROR(__xludf.DUMMYFUNCTION("""COMPUTED_VALUE"""),1.6363636363636365)</f>
        <v>1.636363636</v>
      </c>
      <c r="O3236" s="82">
        <f>IFERROR(__xludf.DUMMYFUNCTION("""COMPUTED_VALUE"""),322.48484848484844)</f>
        <v>322.4848485</v>
      </c>
      <c r="P3236" s="82">
        <f>IFERROR(__xludf.DUMMYFUNCTION("""COMPUTED_VALUE"""),0.7575757575757577)</f>
        <v>0.7575757576</v>
      </c>
      <c r="Q3236" s="82">
        <f>IFERROR(__xludf.DUMMYFUNCTION("""COMPUTED_VALUE"""),0.5757575757575757)</f>
        <v>0.5757575758</v>
      </c>
      <c r="R3236" s="82">
        <f>IFERROR(__xludf.DUMMYFUNCTION("""COMPUTED_VALUE"""),0.9090909090909093)</f>
        <v>0.9090909091</v>
      </c>
      <c r="S3236" s="82">
        <f>IFERROR(__xludf.DUMMYFUNCTION("""COMPUTED_VALUE"""),2.151515151515152)</f>
        <v>2.151515152</v>
      </c>
      <c r="T3236" s="82">
        <f>IFERROR(__xludf.DUMMYFUNCTION("""COMPUTED_VALUE"""),330.11649419141355)</f>
        <v>330.1164942</v>
      </c>
      <c r="U3236" s="82">
        <f>IFERROR(__xludf.DUMMYFUNCTION("""COMPUTED_VALUE"""),0.7921997413466694)</f>
        <v>0.7921997413</v>
      </c>
      <c r="V3236" s="82">
        <f>IFERROR(__xludf.DUMMYFUNCTION("""COMPUTED_VALUE"""),0.5350371130126415)</f>
        <v>0.535037113</v>
      </c>
      <c r="W3236" s="82">
        <f>IFERROR(__xludf.DUMMYFUNCTION("""COMPUTED_VALUE"""),1.1228092075001221)</f>
        <v>1.122809208</v>
      </c>
      <c r="X3236" s="82">
        <f>IFERROR(__xludf.DUMMYFUNCTION("""COMPUTED_VALUE"""),2.2565923636447254)</f>
        <v>2.256592364</v>
      </c>
      <c r="Y3236" s="82">
        <f>IFERROR(__xludf.DUMMYFUNCTION("""COMPUTED_VALUE"""),320.4776360929566)</f>
        <v>320.4776361</v>
      </c>
      <c r="Z3236" s="82">
        <f>IFERROR(__xludf.DUMMYFUNCTION("""COMPUTED_VALUE"""),0.7696015044276457)</f>
        <v>0.7696015044</v>
      </c>
      <c r="AA3236" s="82">
        <f>IFERROR(__xludf.DUMMYFUNCTION("""COMPUTED_VALUE"""),0.5402740165935654)</f>
        <v>0.5402740166</v>
      </c>
      <c r="AB3236" s="82">
        <f>IFERROR(__xludf.DUMMYFUNCTION("""COMPUTED_VALUE"""),1.0409840395029546)</f>
        <v>1.04098404</v>
      </c>
      <c r="AC3236" s="82">
        <f>IFERROR(__xludf.DUMMYFUNCTION("""COMPUTED_VALUE"""),2.2422504437807387)</f>
        <v>2.242250444</v>
      </c>
      <c r="AD3236" s="82">
        <f>IFERROR(__xludf.DUMMYFUNCTION("""COMPUTED_VALUE"""),0.7891629943118185)</f>
        <v>0.7891629943</v>
      </c>
      <c r="AE3236" s="82">
        <f>IFERROR(__xludf.DUMMYFUNCTION("""COMPUTED_VALUE"""),0.9449990977000513)</f>
        <v>0.9449990977</v>
      </c>
      <c r="AF3236" s="82">
        <f>IFERROR(__xludf.DUMMYFUNCTION("""COMPUTED_VALUE"""),0.5047943531447646)</f>
        <v>0.5047943531</v>
      </c>
      <c r="AG3236" s="82">
        <f>IFERROR(__xludf.DUMMYFUNCTION("""COMPUTED_VALUE"""),0.698639652169867)</f>
        <v>0.6986396522</v>
      </c>
      <c r="AH3236" s="82">
        <f>IFERROR(__xludf.DUMMYFUNCTION("""COMPUTED_VALUE"""),0.7297862916706598)</f>
        <v>0.7297862917</v>
      </c>
      <c r="AI3236" s="82">
        <f>IFERROR(__xludf.DUMMYFUNCTION("""COMPUTED_VALUE"""),0.9768819618502915)</f>
        <v>0.9768819619</v>
      </c>
      <c r="AJ3236" s="82">
        <f>IFERROR(__xludf.DUMMYFUNCTION("""COMPUTED_VALUE"""),0.9562938714016064)</f>
        <v>0.9562938714</v>
      </c>
      <c r="AK3236" s="82">
        <f>IFERROR(__xludf.DUMMYFUNCTION("""COMPUTED_VALUE"""),1.076107734874033)</f>
        <v>1.076107735</v>
      </c>
      <c r="AL3236" s="82">
        <f>IFERROR(__xludf.DUMMYFUNCTION("""COMPUTED_VALUE"""),0.8096575117289554)</f>
        <v>0.8096575117</v>
      </c>
      <c r="AM3236" s="82">
        <f>IFERROR(__xludf.DUMMYFUNCTION("""COMPUTED_VALUE"""),0.953435448146311)</f>
        <v>0.9534354481</v>
      </c>
      <c r="AN3236" s="82">
        <f>IFERROR(__xludf.DUMMYFUNCTION("""COMPUTED_VALUE"""),0.8113623281247954)</f>
        <v>0.8113623281</v>
      </c>
      <c r="AO3236" s="82">
        <f>IFERROR(__xludf.DUMMYFUNCTION("""COMPUTED_VALUE"""),0.9706271200133089)</f>
        <v>0.97062712</v>
      </c>
      <c r="AP3236" s="82">
        <f>IFERROR(__xludf.DUMMYFUNCTION("""COMPUTED_VALUE"""),0.5320223258069161)</f>
        <v>0.5320223258</v>
      </c>
      <c r="AQ3236" s="82">
        <f>IFERROR(__xludf.DUMMYFUNCTION("""COMPUTED_VALUE"""),0.6941814193633299)</f>
        <v>0.6941814194</v>
      </c>
      <c r="AR3236" s="82">
        <f>IFERROR(__xludf.DUMMYFUNCTION("""COMPUTED_VALUE"""),0.7609701263846708)</f>
        <v>0.7609701264</v>
      </c>
      <c r="AS3236" s="82">
        <f>IFERROR(__xludf.DUMMYFUNCTION("""COMPUTED_VALUE"""),27.0)</f>
        <v>27</v>
      </c>
      <c r="AT3236" s="82">
        <f>IFERROR(__xludf.DUMMYFUNCTION("""COMPUTED_VALUE"""),0.530012474141499)</f>
        <v>0.5300124741</v>
      </c>
      <c r="AU3236" s="82">
        <f>IFERROR(__xludf.DUMMYFUNCTION("""COMPUTED_VALUE"""),2.1329972887430912)</f>
        <v>2.132997289</v>
      </c>
      <c r="AV3236" s="82">
        <f>IFERROR(__xludf.DUMMYFUNCTION("""COMPUTED_VALUE"""),31.84233646967195)</f>
        <v>31.84233647</v>
      </c>
      <c r="AW3236" s="82">
        <f t="shared" si="1"/>
        <v>-4.276694704</v>
      </c>
      <c r="AX3236" s="83">
        <f t="array" ref="AX3236">IFERROR(DGET('SBV Import'!A:G,"SBV",{"RSC ID","Tier";B3236,A3236}))</f>
        <v>19.07099517</v>
      </c>
      <c r="AY3236" s="82">
        <f t="shared" si="2"/>
        <v>-9.258075574</v>
      </c>
      <c r="AZ3236" s="82">
        <v>4.981380870311573</v>
      </c>
      <c r="BA3236" s="84">
        <v>3200.0</v>
      </c>
      <c r="BB3236" s="84" t="b">
        <f>IFERROR(__xludf.DUMMYFUNCTION("iferror(if(A3236="""",,E3236&gt;=FILTER(Constants!$F$2:$F$10,Constants!$A$2:$A$10=A3236)))"),TRUE)</f>
        <v>1</v>
      </c>
    </row>
    <row r="3237">
      <c r="A3237" s="89" t="str">
        <f>IFERROR(__xludf.DUMMYFUNCTION("""COMPUTED_VALUE"""),"Contender")</f>
        <v>Contender</v>
      </c>
      <c r="B3237" s="87" t="str">
        <f>IFERROR(__xludf.DUMMYFUNCTION("""COMPUTED_VALUE"""),"RSC006919")</f>
        <v>RSC006919</v>
      </c>
      <c r="C3237" s="73" t="str">
        <f>IFERROR(__xludf.DUMMYFUNCTION("""COMPUTED_VALUE"""),"rinny_b0y")</f>
        <v>rinny_b0y</v>
      </c>
      <c r="D3237" s="73" t="str">
        <f>IFERROR(__xludf.DUMMYFUNCTION("""COMPUTED_VALUE"""),"Zebras")</f>
        <v>Zebras</v>
      </c>
      <c r="E3237" s="82">
        <f>IFERROR(__xludf.DUMMYFUNCTION("""COMPUTED_VALUE"""),30.0)</f>
        <v>30</v>
      </c>
      <c r="F3237" s="82">
        <f>IFERROR(__xludf.DUMMYFUNCTION("""COMPUTED_VALUE"""),12.0)</f>
        <v>12</v>
      </c>
      <c r="G3237" s="86">
        <f>IFERROR(__xludf.DUMMYFUNCTION("""COMPUTED_VALUE"""),18.0)</f>
        <v>18</v>
      </c>
      <c r="H3237" s="86">
        <f>IFERROR(__xludf.DUMMYFUNCTION("""COMPUTED_VALUE"""),0.4)</f>
        <v>0.4</v>
      </c>
      <c r="I3237" s="86">
        <f>IFERROR(__xludf.DUMMYFUNCTION("""COMPUTED_VALUE"""),0.29508196721311475)</f>
        <v>0.2950819672</v>
      </c>
      <c r="J3237" s="82">
        <f>IFERROR(__xludf.DUMMYFUNCTION("""COMPUTED_VALUE"""),275.93333333333334)</f>
        <v>275.9333333</v>
      </c>
      <c r="K3237" s="82">
        <f>IFERROR(__xludf.DUMMYFUNCTION("""COMPUTED_VALUE"""),0.6)</f>
        <v>0.6</v>
      </c>
      <c r="L3237" s="82">
        <f>IFERROR(__xludf.DUMMYFUNCTION("""COMPUTED_VALUE"""),0.23333333333333334)</f>
        <v>0.2333333333</v>
      </c>
      <c r="M3237" s="82">
        <f>IFERROR(__xludf.DUMMYFUNCTION("""COMPUTED_VALUE"""),1.1)</f>
        <v>1.1</v>
      </c>
      <c r="N3237" s="82">
        <f>IFERROR(__xludf.DUMMYFUNCTION("""COMPUTED_VALUE"""),2.033333333333333)</f>
        <v>2.033333333</v>
      </c>
      <c r="O3237" s="82">
        <f>IFERROR(__xludf.DUMMYFUNCTION("""COMPUTED_VALUE"""),356.9444444444444)</f>
        <v>356.9444444</v>
      </c>
      <c r="P3237" s="82">
        <f>IFERROR(__xludf.DUMMYFUNCTION("""COMPUTED_VALUE"""),0.9555555555555557)</f>
        <v>0.9555555556</v>
      </c>
      <c r="Q3237" s="82">
        <f>IFERROR(__xludf.DUMMYFUNCTION("""COMPUTED_VALUE"""),0.6555555555555554)</f>
        <v>0.6555555556</v>
      </c>
      <c r="R3237" s="82">
        <f>IFERROR(__xludf.DUMMYFUNCTION("""COMPUTED_VALUE"""),1.1666666666666667)</f>
        <v>1.166666667</v>
      </c>
      <c r="S3237" s="82">
        <f>IFERROR(__xludf.DUMMYFUNCTION("""COMPUTED_VALUE"""),2.4222222222222225)</f>
        <v>2.422222222</v>
      </c>
      <c r="T3237" s="82">
        <f>IFERROR(__xludf.DUMMYFUNCTION("""COMPUTED_VALUE"""),334.17980412305934)</f>
        <v>334.1798041</v>
      </c>
      <c r="U3237" s="82">
        <f>IFERROR(__xludf.DUMMYFUNCTION("""COMPUTED_VALUE"""),0.8600995794078957)</f>
        <v>0.8600995794</v>
      </c>
      <c r="V3237" s="82">
        <f>IFERROR(__xludf.DUMMYFUNCTION("""COMPUTED_VALUE"""),0.5405414374188321)</f>
        <v>0.5405414374</v>
      </c>
      <c r="W3237" s="82">
        <f>IFERROR(__xludf.DUMMYFUNCTION("""COMPUTED_VALUE"""),1.0917704121811629)</f>
        <v>1.091770412</v>
      </c>
      <c r="X3237" s="82">
        <f>IFERROR(__xludf.DUMMYFUNCTION("""COMPUTED_VALUE"""),2.319670231975055)</f>
        <v>2.319670232</v>
      </c>
      <c r="Y3237" s="82">
        <f>IFERROR(__xludf.DUMMYFUNCTION("""COMPUTED_VALUE"""),319.4539375468213)</f>
        <v>319.4539375</v>
      </c>
      <c r="Z3237" s="82">
        <f>IFERROR(__xludf.DUMMYFUNCTION("""COMPUTED_VALUE"""),0.7385373710908606)</f>
        <v>0.7385373711</v>
      </c>
      <c r="AA3237" s="82">
        <f>IFERROR(__xludf.DUMMYFUNCTION("""COMPUTED_VALUE"""),0.5003194682595178)</f>
        <v>0.5003194683</v>
      </c>
      <c r="AB3237" s="82">
        <f>IFERROR(__xludf.DUMMYFUNCTION("""COMPUTED_VALUE"""),1.082310238456997)</f>
        <v>1.082310238</v>
      </c>
      <c r="AC3237" s="82">
        <f>IFERROR(__xludf.DUMMYFUNCTION("""COMPUTED_VALUE"""),2.2479820180098145)</f>
        <v>2.247982018</v>
      </c>
      <c r="AD3237" s="82">
        <f>IFERROR(__xludf.DUMMYFUNCTION("""COMPUTED_VALUE"""),0.8637656353598419)</f>
        <v>0.8637656354</v>
      </c>
      <c r="AE3237" s="82">
        <f>IFERROR(__xludf.DUMMYFUNCTION("""COMPUTED_VALUE"""),0.8124165729267928)</f>
        <v>0.8124165729</v>
      </c>
      <c r="AF3237" s="82">
        <f>IFERROR(__xludf.DUMMYFUNCTION("""COMPUTED_VALUE"""),0.46636868668141124)</f>
        <v>0.4663686867</v>
      </c>
      <c r="AG3237" s="82">
        <f>IFERROR(__xludf.DUMMYFUNCTION("""COMPUTED_VALUE"""),1.0163444462728384)</f>
        <v>1.016344446</v>
      </c>
      <c r="AH3237" s="82">
        <f>IFERROR(__xludf.DUMMYFUNCTION("""COMPUTED_VALUE"""),0.904514945868422)</f>
        <v>0.9045149459</v>
      </c>
      <c r="AI3237" s="82">
        <f>IFERROR(__xludf.DUMMYFUNCTION("""COMPUTED_VALUE"""),1.068120933822207)</f>
        <v>1.068120934</v>
      </c>
      <c r="AJ3237" s="82">
        <f>IFERROR(__xludf.DUMMYFUNCTION("""COMPUTED_VALUE"""),1.110982470440659)</f>
        <v>1.11098247</v>
      </c>
      <c r="AK3237" s="82">
        <f>IFERROR(__xludf.DUMMYFUNCTION("""COMPUTED_VALUE"""),1.2127757655101028)</f>
        <v>1.212775766</v>
      </c>
      <c r="AL3237" s="82">
        <f>IFERROR(__xludf.DUMMYFUNCTION("""COMPUTED_VALUE"""),1.0686007366107995)</f>
        <v>1.068600737</v>
      </c>
      <c r="AM3237" s="82">
        <f>IFERROR(__xludf.DUMMYFUNCTION("""COMPUTED_VALUE"""),1.044209728104262)</f>
        <v>1.044209728</v>
      </c>
      <c r="AN3237" s="82">
        <f>IFERROR(__xludf.DUMMYFUNCTION("""COMPUTED_VALUE"""),0.8852268257175607)</f>
        <v>0.8852268257</v>
      </c>
      <c r="AO3237" s="82">
        <f>IFERROR(__xludf.DUMMYFUNCTION("""COMPUTED_VALUE"""),0.8007673740109797)</f>
        <v>0.800767374</v>
      </c>
      <c r="AP3237" s="82">
        <f>IFERROR(__xludf.DUMMYFUNCTION("""COMPUTED_VALUE"""),0.455174656523695)</f>
        <v>0.4551746565</v>
      </c>
      <c r="AQ3237" s="82">
        <f>IFERROR(__xludf.DUMMYFUNCTION("""COMPUTED_VALUE"""),1.0499493967870366)</f>
        <v>1.049949397</v>
      </c>
      <c r="AR3237" s="82">
        <f>IFERROR(__xludf.DUMMYFUNCTION("""COMPUTED_VALUE"""),0.9455758422298407)</f>
        <v>0.9455758422</v>
      </c>
      <c r="AS3237" s="82">
        <f>IFERROR(__xludf.DUMMYFUNCTION("""COMPUTED_VALUE"""),64.0)</f>
        <v>64</v>
      </c>
      <c r="AT3237" s="82">
        <f>IFERROR(__xludf.DUMMYFUNCTION("""COMPUTED_VALUE"""),0.3848692075732533)</f>
        <v>0.3848692076</v>
      </c>
      <c r="AU3237" s="82">
        <f>IFERROR(__xludf.DUMMYFUNCTION("""COMPUTED_VALUE"""),2.0143772104576287)</f>
        <v>2.01437721</v>
      </c>
      <c r="AV3237" s="82">
        <f>IFERROR(__xludf.DUMMYFUNCTION("""COMPUTED_VALUE"""),29.797052143162556)</f>
        <v>29.79705214</v>
      </c>
      <c r="AW3237" s="82">
        <f t="shared" si="1"/>
        <v>-4.773011038</v>
      </c>
      <c r="AX3237" s="83">
        <f t="array" ref="AX3237">IFERROR(DGET('SBV Import'!A:G,"SBV",{"RSC ID","Tier";B3237,A3237}))</f>
        <v>26.03557744</v>
      </c>
      <c r="AY3237" s="82">
        <f t="shared" si="2"/>
        <v>-5.921155089</v>
      </c>
      <c r="AZ3237" s="82">
        <v>1.1481440513206902</v>
      </c>
      <c r="BA3237" s="84">
        <v>3200.0</v>
      </c>
      <c r="BB3237" s="84" t="b">
        <f>IFERROR(__xludf.DUMMYFUNCTION("iferror(if(A3237="""",,E3237&gt;=FILTER(Constants!$F$2:$F$10,Constants!$A$2:$A$10=A3237)))"),TRUE)</f>
        <v>1</v>
      </c>
    </row>
    <row r="3238">
      <c r="A3238" s="89" t="str">
        <f>IFERROR(__xludf.DUMMYFUNCTION("""COMPUTED_VALUE"""),"Contender")</f>
        <v>Contender</v>
      </c>
      <c r="B3238" s="87" t="str">
        <f>IFERROR(__xludf.DUMMYFUNCTION("""COMPUTED_VALUE"""),"RSC005714")</f>
        <v>RSC005714</v>
      </c>
      <c r="C3238" s="73" t="str">
        <f>IFERROR(__xludf.DUMMYFUNCTION("""COMPUTED_VALUE"""),"T_i_m_o_g")</f>
        <v>T_i_m_o_g</v>
      </c>
      <c r="D3238" s="73" t="str">
        <f>IFERROR(__xludf.DUMMYFUNCTION("""COMPUTED_VALUE"""),"Legionaries")</f>
        <v>Legionaries</v>
      </c>
      <c r="E3238" s="82">
        <f>IFERROR(__xludf.DUMMYFUNCTION("""COMPUTED_VALUE"""),16.0)</f>
        <v>16</v>
      </c>
      <c r="F3238" s="82">
        <f>IFERROR(__xludf.DUMMYFUNCTION("""COMPUTED_VALUE"""),8.0)</f>
        <v>8</v>
      </c>
      <c r="G3238" s="86">
        <f>IFERROR(__xludf.DUMMYFUNCTION("""COMPUTED_VALUE"""),8.0)</f>
        <v>8</v>
      </c>
      <c r="H3238" s="86">
        <f>IFERROR(__xludf.DUMMYFUNCTION("""COMPUTED_VALUE"""),0.5)</f>
        <v>0.5</v>
      </c>
      <c r="I3238" s="86">
        <f>IFERROR(__xludf.DUMMYFUNCTION("""COMPUTED_VALUE"""),0.2962962962962963)</f>
        <v>0.2962962963</v>
      </c>
      <c r="J3238" s="82">
        <f>IFERROR(__xludf.DUMMYFUNCTION("""COMPUTED_VALUE"""),285.75)</f>
        <v>285.75</v>
      </c>
      <c r="K3238" s="82">
        <f>IFERROR(__xludf.DUMMYFUNCTION("""COMPUTED_VALUE"""),0.5)</f>
        <v>0.5</v>
      </c>
      <c r="L3238" s="82">
        <f>IFERROR(__xludf.DUMMYFUNCTION("""COMPUTED_VALUE"""),0.25)</f>
        <v>0.25</v>
      </c>
      <c r="M3238" s="82">
        <f>IFERROR(__xludf.DUMMYFUNCTION("""COMPUTED_VALUE"""),1.1875)</f>
        <v>1.1875</v>
      </c>
      <c r="N3238" s="82">
        <f>IFERROR(__xludf.DUMMYFUNCTION("""COMPUTED_VALUE"""),1.6875)</f>
        <v>1.6875</v>
      </c>
      <c r="O3238" s="82">
        <f>IFERROR(__xludf.DUMMYFUNCTION("""COMPUTED_VALUE"""),301.31249999999994)</f>
        <v>301.3125</v>
      </c>
      <c r="P3238" s="82">
        <f>IFERROR(__xludf.DUMMYFUNCTION("""COMPUTED_VALUE"""),0.6875)</f>
        <v>0.6875</v>
      </c>
      <c r="Q3238" s="82">
        <f>IFERROR(__xludf.DUMMYFUNCTION("""COMPUTED_VALUE"""),0.3958333333333333)</f>
        <v>0.3958333333</v>
      </c>
      <c r="R3238" s="82">
        <f>IFERROR(__xludf.DUMMYFUNCTION("""COMPUTED_VALUE"""),0.9791666666666666)</f>
        <v>0.9791666667</v>
      </c>
      <c r="S3238" s="82">
        <f>IFERROR(__xludf.DUMMYFUNCTION("""COMPUTED_VALUE"""),2.3333333333333335)</f>
        <v>2.333333333</v>
      </c>
      <c r="T3238" s="82">
        <f>IFERROR(__xludf.DUMMYFUNCTION("""COMPUTED_VALUE"""),321.07698811605076)</f>
        <v>321.0769881</v>
      </c>
      <c r="U3238" s="82">
        <f>IFERROR(__xludf.DUMMYFUNCTION("""COMPUTED_VALUE"""),0.7675000122426595)</f>
        <v>0.7675000122</v>
      </c>
      <c r="V3238" s="82">
        <f>IFERROR(__xludf.DUMMYFUNCTION("""COMPUTED_VALUE"""),0.49711605796164626)</f>
        <v>0.497116058</v>
      </c>
      <c r="W3238" s="82">
        <f>IFERROR(__xludf.DUMMYFUNCTION("""COMPUTED_VALUE"""),1.0900684181015063)</f>
        <v>1.090068418</v>
      </c>
      <c r="X3238" s="82">
        <f>IFERROR(__xludf.DUMMYFUNCTION("""COMPUTED_VALUE"""),2.248335714530567)</f>
        <v>2.248335715</v>
      </c>
      <c r="Y3238" s="82">
        <f>IFERROR(__xludf.DUMMYFUNCTION("""COMPUTED_VALUE"""),327.4798824541471)</f>
        <v>327.4798825</v>
      </c>
      <c r="Z3238" s="82">
        <f>IFERROR(__xludf.DUMMYFUNCTION("""COMPUTED_VALUE"""),0.8162269735982972)</f>
        <v>0.8162269736</v>
      </c>
      <c r="AA3238" s="82">
        <f>IFERROR(__xludf.DUMMYFUNCTION("""COMPUTED_VALUE"""),0.5108847851494911)</f>
        <v>0.5108847851</v>
      </c>
      <c r="AB3238" s="82">
        <f>IFERROR(__xludf.DUMMYFUNCTION("""COMPUTED_VALUE"""),1.0684824183169772)</f>
        <v>1.068482418</v>
      </c>
      <c r="AC3238" s="82">
        <f>IFERROR(__xludf.DUMMYFUNCTION("""COMPUTED_VALUE"""),2.3052060072280653)</f>
        <v>2.305206007</v>
      </c>
      <c r="AD3238" s="82">
        <f>IFERROR(__xludf.DUMMYFUNCTION("""COMPUTED_VALUE"""),0.8725726840335298)</f>
        <v>0.872572684</v>
      </c>
      <c r="AE3238" s="82">
        <f>IFERROR(__xludf.DUMMYFUNCTION("""COMPUTED_VALUE"""),0.6125747079832147)</f>
        <v>0.612574708</v>
      </c>
      <c r="AF3238" s="82">
        <f>IFERROR(__xludf.DUMMYFUNCTION("""COMPUTED_VALUE"""),0.48934712339661274)</f>
        <v>0.4893471234</v>
      </c>
      <c r="AG3238" s="82">
        <f>IFERROR(__xludf.DUMMYFUNCTION("""COMPUTED_VALUE"""),1.1113893683627416)</f>
        <v>1.111389368</v>
      </c>
      <c r="AH3238" s="82">
        <f>IFERROR(__xludf.DUMMYFUNCTION("""COMPUTED_VALUE"""),0.7320386961984207)</f>
        <v>0.7320386962</v>
      </c>
      <c r="AI3238" s="82">
        <f>IFERROR(__xludf.DUMMYFUNCTION("""COMPUTED_VALUE"""),0.938443149625824)</f>
        <v>0.9384431496</v>
      </c>
      <c r="AJ3238" s="82">
        <f>IFERROR(__xludf.DUMMYFUNCTION("""COMPUTED_VALUE"""),0.8957654580240372)</f>
        <v>0.895765458</v>
      </c>
      <c r="AK3238" s="82">
        <f>IFERROR(__xludf.DUMMYFUNCTION("""COMPUTED_VALUE"""),0.7962593985726223)</f>
        <v>0.7962593986</v>
      </c>
      <c r="AL3238" s="82">
        <f>IFERROR(__xludf.DUMMYFUNCTION("""COMPUTED_VALUE"""),0.8982616599167332)</f>
        <v>0.8982616599</v>
      </c>
      <c r="AM3238" s="82">
        <f>IFERROR(__xludf.DUMMYFUNCTION("""COMPUTED_VALUE"""),1.037804682927662)</f>
        <v>1.037804683</v>
      </c>
      <c r="AN3238" s="82">
        <f>IFERROR(__xludf.DUMMYFUNCTION("""COMPUTED_VALUE"""),0.9167198554558817)</f>
        <v>0.9167198555</v>
      </c>
      <c r="AO3238" s="82">
        <f>IFERROR(__xludf.DUMMYFUNCTION("""COMPUTED_VALUE"""),0.6673061450091499)</f>
        <v>0.667306145</v>
      </c>
      <c r="AP3238" s="82">
        <f>IFERROR(__xludf.DUMMYFUNCTION("""COMPUTED_VALUE"""),0.4876871319896732)</f>
        <v>0.487687132</v>
      </c>
      <c r="AQ3238" s="82">
        <f>IFERROR(__xludf.DUMMYFUNCTION("""COMPUTED_VALUE"""),1.1334680988041872)</f>
        <v>1.133468099</v>
      </c>
      <c r="AR3238" s="82">
        <f>IFERROR(__xludf.DUMMYFUNCTION("""COMPUTED_VALUE"""),0.7847504428341917)</f>
        <v>0.7847504428</v>
      </c>
      <c r="AS3238" s="82">
        <f>IFERROR(__xludf.DUMMYFUNCTION("""COMPUTED_VALUE"""),30.0)</f>
        <v>30</v>
      </c>
      <c r="AT3238" s="82">
        <f>IFERROR(__xludf.DUMMYFUNCTION("""COMPUTED_VALUE"""),0.4647477827835407)</f>
        <v>0.4647477828</v>
      </c>
      <c r="AU3238" s="82">
        <f>IFERROR(__xludf.DUMMYFUNCTION("""COMPUTED_VALUE"""),1.9773923278632481)</f>
        <v>1.977392328</v>
      </c>
      <c r="AV3238" s="82">
        <f>IFERROR(__xludf.DUMMYFUNCTION("""COMPUTED_VALUE"""),29.15934728087073)</f>
        <v>29.15934728</v>
      </c>
      <c r="AW3238" s="82">
        <f t="shared" si="1"/>
        <v>-4.944477127</v>
      </c>
      <c r="AX3238" s="83">
        <f t="array" ref="AX3238">IFERROR(DGET('SBV Import'!A:G,"SBV",{"RSC ID","Tier";B3238,A3238}))</f>
        <v>30.29437822</v>
      </c>
      <c r="AY3238" s="82">
        <f t="shared" si="2"/>
        <v>-4.645057417</v>
      </c>
      <c r="AZ3238" s="82">
        <v>0.2994197101741145</v>
      </c>
      <c r="BA3238" s="84">
        <v>3200.0</v>
      </c>
      <c r="BB3238" s="84" t="b">
        <f>IFERROR(__xludf.DUMMYFUNCTION("iferror(if(A3238="""",,E3238&gt;=FILTER(Constants!$F$2:$F$10,Constants!$A$2:$A$10=A3238)))"),TRUE)</f>
        <v>1</v>
      </c>
    </row>
    <row r="3239">
      <c r="A3239" s="89" t="str">
        <f>IFERROR(__xludf.DUMMYFUNCTION("""COMPUTED_VALUE"""),"Contender")</f>
        <v>Contender</v>
      </c>
      <c r="B3239" s="87" t="str">
        <f>IFERROR(__xludf.DUMMYFUNCTION("""COMPUTED_VALUE"""),"RSC006441")</f>
        <v>RSC006441</v>
      </c>
      <c r="C3239" s="73" t="str">
        <f>IFERROR(__xludf.DUMMYFUNCTION("""COMPUTED_VALUE"""),"tvitchyramrod420")</f>
        <v>tvitchyramrod420</v>
      </c>
      <c r="D3239" s="73" t="str">
        <f>IFERROR(__xludf.DUMMYFUNCTION("""COMPUTED_VALUE"""),"Legionaries")</f>
        <v>Legionaries</v>
      </c>
      <c r="E3239" s="82">
        <f>IFERROR(__xludf.DUMMYFUNCTION("""COMPUTED_VALUE"""),24.0)</f>
        <v>24</v>
      </c>
      <c r="F3239" s="82">
        <f>IFERROR(__xludf.DUMMYFUNCTION("""COMPUTED_VALUE"""),12.0)</f>
        <v>12</v>
      </c>
      <c r="G3239" s="86">
        <f>IFERROR(__xludf.DUMMYFUNCTION("""COMPUTED_VALUE"""),12.0)</f>
        <v>12</v>
      </c>
      <c r="H3239" s="86">
        <f>IFERROR(__xludf.DUMMYFUNCTION("""COMPUTED_VALUE"""),0.5)</f>
        <v>0.5</v>
      </c>
      <c r="I3239" s="86">
        <f>IFERROR(__xludf.DUMMYFUNCTION("""COMPUTED_VALUE"""),0.3111111111111111)</f>
        <v>0.3111111111</v>
      </c>
      <c r="J3239" s="82">
        <f>IFERROR(__xludf.DUMMYFUNCTION("""COMPUTED_VALUE"""),279.4166666666667)</f>
        <v>279.4166667</v>
      </c>
      <c r="K3239" s="82">
        <f>IFERROR(__xludf.DUMMYFUNCTION("""COMPUTED_VALUE"""),0.5833333333333334)</f>
        <v>0.5833333333</v>
      </c>
      <c r="L3239" s="82">
        <f>IFERROR(__xludf.DUMMYFUNCTION("""COMPUTED_VALUE"""),0.20833333333333334)</f>
        <v>0.2083333333</v>
      </c>
      <c r="M3239" s="82">
        <f>IFERROR(__xludf.DUMMYFUNCTION("""COMPUTED_VALUE"""),1.0833333333333333)</f>
        <v>1.083333333</v>
      </c>
      <c r="N3239" s="82">
        <f>IFERROR(__xludf.DUMMYFUNCTION("""COMPUTED_VALUE"""),1.875)</f>
        <v>1.875</v>
      </c>
      <c r="O3239" s="82">
        <f>IFERROR(__xludf.DUMMYFUNCTION("""COMPUTED_VALUE"""),314.5833333333333)</f>
        <v>314.5833333</v>
      </c>
      <c r="P3239" s="82">
        <f>IFERROR(__xludf.DUMMYFUNCTION("""COMPUTED_VALUE"""),0.8055555555555557)</f>
        <v>0.8055555556</v>
      </c>
      <c r="Q3239" s="82">
        <f>IFERROR(__xludf.DUMMYFUNCTION("""COMPUTED_VALUE"""),0.513888888888889)</f>
        <v>0.5138888889</v>
      </c>
      <c r="R3239" s="82">
        <f>IFERROR(__xludf.DUMMYFUNCTION("""COMPUTED_VALUE"""),0.8749999999999999)</f>
        <v>0.875</v>
      </c>
      <c r="S3239" s="82">
        <f>IFERROR(__xludf.DUMMYFUNCTION("""COMPUTED_VALUE"""),2.527777777777778)</f>
        <v>2.527777778</v>
      </c>
      <c r="T3239" s="82">
        <f>IFERROR(__xludf.DUMMYFUNCTION("""COMPUTED_VALUE"""),325.14709752476546)</f>
        <v>325.1470975</v>
      </c>
      <c r="U3239" s="82">
        <f>IFERROR(__xludf.DUMMYFUNCTION("""COMPUTED_VALUE"""),0.7913951672971353)</f>
        <v>0.7913951673</v>
      </c>
      <c r="V3239" s="82">
        <f>IFERROR(__xludf.DUMMYFUNCTION("""COMPUTED_VALUE"""),0.5192584908294594)</f>
        <v>0.5192584908</v>
      </c>
      <c r="W3239" s="82">
        <f>IFERROR(__xludf.DUMMYFUNCTION("""COMPUTED_VALUE"""),1.053465660825583)</f>
        <v>1.053465661</v>
      </c>
      <c r="X3239" s="82">
        <f>IFERROR(__xludf.DUMMYFUNCTION("""COMPUTED_VALUE"""),2.346341891936193)</f>
        <v>2.346341892</v>
      </c>
      <c r="Y3239" s="82">
        <f>IFERROR(__xludf.DUMMYFUNCTION("""COMPUTED_VALUE"""),326.08225460446454)</f>
        <v>326.0822546</v>
      </c>
      <c r="Z3239" s="82">
        <f>IFERROR(__xludf.DUMMYFUNCTION("""COMPUTED_VALUE"""),0.8087467782946239)</f>
        <v>0.8087467783</v>
      </c>
      <c r="AA3239" s="82">
        <f>IFERROR(__xludf.DUMMYFUNCTION("""COMPUTED_VALUE"""),0.5131827802966554)</f>
        <v>0.5131827803</v>
      </c>
      <c r="AB3239" s="82">
        <f>IFERROR(__xludf.DUMMYFUNCTION("""COMPUTED_VALUE"""),1.0826618001514696)</f>
        <v>1.0826618</v>
      </c>
      <c r="AC3239" s="82">
        <f>IFERROR(__xludf.DUMMYFUNCTION("""COMPUTED_VALUE"""),2.2371344552389223)</f>
        <v>2.237134455</v>
      </c>
      <c r="AD3239" s="82">
        <f>IFERROR(__xludf.DUMMYFUNCTION("""COMPUTED_VALUE"""),0.8568901334591087)</f>
        <v>0.8568901335</v>
      </c>
      <c r="AE3239" s="82">
        <f>IFERROR(__xludf.DUMMYFUNCTION("""COMPUTED_VALUE"""),0.7212805651768877)</f>
        <v>0.7212805652</v>
      </c>
      <c r="AF3239" s="82">
        <f>IFERROR(__xludf.DUMMYFUNCTION("""COMPUTED_VALUE"""),0.40596321882215564)</f>
        <v>0.4059632188</v>
      </c>
      <c r="AG3239" s="82">
        <f>IFERROR(__xludf.DUMMYFUNCTION("""COMPUTED_VALUE"""),1.0006202612688189)</f>
        <v>1.000620261</v>
      </c>
      <c r="AH3239" s="82">
        <f>IFERROR(__xludf.DUMMYFUNCTION("""COMPUTED_VALUE"""),0.8381257530628632)</f>
        <v>0.8381257531</v>
      </c>
      <c r="AI3239" s="82">
        <f>IFERROR(__xludf.DUMMYFUNCTION("""COMPUTED_VALUE"""),0.9675108150377153)</f>
        <v>0.967510815</v>
      </c>
      <c r="AJ3239" s="82">
        <f>IFERROR(__xludf.DUMMYFUNCTION("""COMPUTED_VALUE"""),1.0178929425444718)</f>
        <v>1.017892943</v>
      </c>
      <c r="AK3239" s="82">
        <f>IFERROR(__xludf.DUMMYFUNCTION("""COMPUTED_VALUE"""),0.9896590965089601)</f>
        <v>0.9896590965</v>
      </c>
      <c r="AL3239" s="82">
        <f>IFERROR(__xludf.DUMMYFUNCTION("""COMPUTED_VALUE"""),0.8305918574643215)</f>
        <v>0.8305918575</v>
      </c>
      <c r="AM3239" s="82">
        <f>IFERROR(__xludf.DUMMYFUNCTION("""COMPUTED_VALUE"""),1.0773271305708414)</f>
        <v>1.077327131</v>
      </c>
      <c r="AN3239" s="82">
        <f>IFERROR(__xludf.DUMMYFUNCTION("""COMPUTED_VALUE"""),0.8964017717537393)</f>
        <v>0.8964017718</v>
      </c>
      <c r="AO3239" s="82">
        <f>IFERROR(__xludf.DUMMYFUNCTION("""COMPUTED_VALUE"""),0.7785238358440082)</f>
        <v>0.7785238358</v>
      </c>
      <c r="AP3239" s="82">
        <f>IFERROR(__xludf.DUMMYFUNCTION("""COMPUTED_VALUE"""),0.4064059433247277)</f>
        <v>0.4064059433</v>
      </c>
      <c r="AQ3239" s="82">
        <f>IFERROR(__xludf.DUMMYFUNCTION("""COMPUTED_VALUE"""),1.0340410725932934)</f>
        <v>1.034041073</v>
      </c>
      <c r="AR3239" s="82">
        <f>IFERROR(__xludf.DUMMYFUNCTION("""COMPUTED_VALUE"""),0.8719449364824352)</f>
        <v>0.8719449365</v>
      </c>
      <c r="AS3239" s="82">
        <f>IFERROR(__xludf.DUMMYFUNCTION("""COMPUTED_VALUE"""),43.0)</f>
        <v>43</v>
      </c>
      <c r="AT3239" s="82">
        <f>IFERROR(__xludf.DUMMYFUNCTION("""COMPUTED_VALUE"""),0.38888411169548337)</f>
        <v>0.3888841117</v>
      </c>
      <c r="AU3239" s="82">
        <f>IFERROR(__xludf.DUMMYFUNCTION("""COMPUTED_VALUE"""),1.9539387705264182)</f>
        <v>1.953938771</v>
      </c>
      <c r="AV3239" s="82">
        <f>IFERROR(__xludf.DUMMYFUNCTION("""COMPUTED_VALUE"""),28.754953742143936)</f>
        <v>28.75495374</v>
      </c>
      <c r="AW3239" s="82">
        <f t="shared" si="1"/>
        <v>-5.057717909</v>
      </c>
      <c r="AX3239" s="83">
        <f t="array" ref="AX3239">IFERROR(DGET('SBV Import'!A:G,"SBV",{"RSC ID","Tier";B3239,A3239}))</f>
        <v>29.4173243</v>
      </c>
      <c r="AY3239" s="82">
        <f t="shared" si="2"/>
        <v>-4.874085102</v>
      </c>
      <c r="AZ3239" s="82">
        <v>0.18363280620028366</v>
      </c>
      <c r="BA3239" s="84">
        <v>3200.0</v>
      </c>
      <c r="BB3239" s="84" t="b">
        <f>IFERROR(__xludf.DUMMYFUNCTION("iferror(if(A3239="""",,E3239&gt;=FILTER(Constants!$F$2:$F$10,Constants!$A$2:$A$10=A3239)))"),TRUE)</f>
        <v>1</v>
      </c>
    </row>
    <row r="3240">
      <c r="A3240" s="89" t="str">
        <f>IFERROR(__xludf.DUMMYFUNCTION("""COMPUTED_VALUE"""),"Contender")</f>
        <v>Contender</v>
      </c>
      <c r="B3240" s="87" t="str">
        <f>IFERROR(__xludf.DUMMYFUNCTION("""COMPUTED_VALUE"""),"RSC007271")</f>
        <v>RSC007271</v>
      </c>
      <c r="C3240" s="73" t="str">
        <f>IFERROR(__xludf.DUMMYFUNCTION("""COMPUTED_VALUE"""),"Darth. -.-")</f>
        <v>Darth. -.-</v>
      </c>
      <c r="D3240" s="73" t="str">
        <f>IFERROR(__xludf.DUMMYFUNCTION("""COMPUTED_VALUE"""),"Toothpaste")</f>
        <v>Toothpaste</v>
      </c>
      <c r="E3240" s="82">
        <f>IFERROR(__xludf.DUMMYFUNCTION("""COMPUTED_VALUE"""),28.0)</f>
        <v>28</v>
      </c>
      <c r="F3240" s="82">
        <f>IFERROR(__xludf.DUMMYFUNCTION("""COMPUTED_VALUE"""),6.0)</f>
        <v>6</v>
      </c>
      <c r="G3240" s="86">
        <f>IFERROR(__xludf.DUMMYFUNCTION("""COMPUTED_VALUE"""),22.0)</f>
        <v>22</v>
      </c>
      <c r="H3240" s="86">
        <f>IFERROR(__xludf.DUMMYFUNCTION("""COMPUTED_VALUE"""),0.21428571428571427)</f>
        <v>0.2142857143</v>
      </c>
      <c r="I3240" s="86">
        <f>IFERROR(__xludf.DUMMYFUNCTION("""COMPUTED_VALUE"""),0.32692307692307687)</f>
        <v>0.3269230769</v>
      </c>
      <c r="J3240" s="82">
        <f>IFERROR(__xludf.DUMMYFUNCTION("""COMPUTED_VALUE"""),292.82142857142856)</f>
        <v>292.8214286</v>
      </c>
      <c r="K3240" s="82">
        <f>IFERROR(__xludf.DUMMYFUNCTION("""COMPUTED_VALUE"""),0.6071428571428571)</f>
        <v>0.6071428571</v>
      </c>
      <c r="L3240" s="82">
        <f>IFERROR(__xludf.DUMMYFUNCTION("""COMPUTED_VALUE"""),0.21428571428571427)</f>
        <v>0.2142857143</v>
      </c>
      <c r="M3240" s="82">
        <f>IFERROR(__xludf.DUMMYFUNCTION("""COMPUTED_VALUE"""),0.9642857142857143)</f>
        <v>0.9642857143</v>
      </c>
      <c r="N3240" s="82">
        <f>IFERROR(__xludf.DUMMYFUNCTION("""COMPUTED_VALUE"""),1.8571428571428572)</f>
        <v>1.857142857</v>
      </c>
      <c r="O3240" s="82">
        <f>IFERROR(__xludf.DUMMYFUNCTION("""COMPUTED_VALUE"""),350.8214285714285)</f>
        <v>350.8214286</v>
      </c>
      <c r="P3240" s="82">
        <f>IFERROR(__xludf.DUMMYFUNCTION("""COMPUTED_VALUE"""),1.0238095238095235)</f>
        <v>1.023809524</v>
      </c>
      <c r="Q3240" s="82">
        <f>IFERROR(__xludf.DUMMYFUNCTION("""COMPUTED_VALUE"""),0.5595238095238096)</f>
        <v>0.5595238095</v>
      </c>
      <c r="R3240" s="82">
        <f>IFERROR(__xludf.DUMMYFUNCTION("""COMPUTED_VALUE"""),1.0595238095238095)</f>
        <v>1.05952381</v>
      </c>
      <c r="S3240" s="82">
        <f>IFERROR(__xludf.DUMMYFUNCTION("""COMPUTED_VALUE"""),2.2142857142857144)</f>
        <v>2.214285714</v>
      </c>
      <c r="T3240" s="82">
        <f>IFERROR(__xludf.DUMMYFUNCTION("""COMPUTED_VALUE"""),321.7932898060647)</f>
        <v>321.7932898</v>
      </c>
      <c r="U3240" s="82">
        <f>IFERROR(__xludf.DUMMYFUNCTION("""COMPUTED_VALUE"""),0.7692739321567921)</f>
        <v>0.7692739322</v>
      </c>
      <c r="V3240" s="82">
        <f>IFERROR(__xludf.DUMMYFUNCTION("""COMPUTED_VALUE"""),0.5043394772193189)</f>
        <v>0.5043394772</v>
      </c>
      <c r="W3240" s="82">
        <f>IFERROR(__xludf.DUMMYFUNCTION("""COMPUTED_VALUE"""),1.0634423906944555)</f>
        <v>1.063442391</v>
      </c>
      <c r="X3240" s="82">
        <f>IFERROR(__xludf.DUMMYFUNCTION("""COMPUTED_VALUE"""),2.2056218721021805)</f>
        <v>2.205621872</v>
      </c>
      <c r="Y3240" s="82">
        <f>IFERROR(__xludf.DUMMYFUNCTION("""COMPUTED_VALUE"""),317.75980478823016)</f>
        <v>317.7598048</v>
      </c>
      <c r="Z3240" s="82">
        <f>IFERROR(__xludf.DUMMYFUNCTION("""COMPUTED_VALUE"""),0.7730837515718508)</f>
        <v>0.7730837516</v>
      </c>
      <c r="AA3240" s="82">
        <f>IFERROR(__xludf.DUMMYFUNCTION("""COMPUTED_VALUE"""),0.516192740526267)</f>
        <v>0.5161927405</v>
      </c>
      <c r="AB3240" s="82">
        <f>IFERROR(__xludf.DUMMYFUNCTION("""COMPUTED_VALUE"""),1.0311071363910114)</f>
        <v>1.031107136</v>
      </c>
      <c r="AC3240" s="82">
        <f>IFERROR(__xludf.DUMMYFUNCTION("""COMPUTED_VALUE"""),2.2212661143923014)</f>
        <v>2.221266114</v>
      </c>
      <c r="AD3240" s="82">
        <f>IFERROR(__xludf.DUMMYFUNCTION("""COMPUTED_VALUE"""),0.9215181535203243)</f>
        <v>0.9215181535</v>
      </c>
      <c r="AE3240" s="82">
        <f>IFERROR(__xludf.DUMMYFUNCTION("""COMPUTED_VALUE"""),0.7853519827682329)</f>
        <v>0.7853519828</v>
      </c>
      <c r="AF3240" s="82">
        <f>IFERROR(__xludf.DUMMYFUNCTION("""COMPUTED_VALUE"""),0.41512733028218585)</f>
        <v>0.4151273303</v>
      </c>
      <c r="AG3240" s="82">
        <f>IFERROR(__xludf.DUMMYFUNCTION("""COMPUTED_VALUE"""),0.9351944916808748)</f>
        <v>0.9351944917</v>
      </c>
      <c r="AH3240" s="82">
        <f>IFERROR(__xludf.DUMMYFUNCTION("""COMPUTED_VALUE"""),0.8360740053205818)</f>
        <v>0.8360740053</v>
      </c>
      <c r="AI3240" s="82">
        <f>IFERROR(__xludf.DUMMYFUNCTION("""COMPUTED_VALUE"""),1.0902074085598807)</f>
        <v>1.090207409</v>
      </c>
      <c r="AJ3240" s="82">
        <f>IFERROR(__xludf.DUMMYFUNCTION("""COMPUTED_VALUE"""),1.3308777030037884)</f>
        <v>1.330877703</v>
      </c>
      <c r="AK3240" s="82">
        <f>IFERROR(__xludf.DUMMYFUNCTION("""COMPUTED_VALUE"""),1.1094190219031637)</f>
        <v>1.109419022</v>
      </c>
      <c r="AL3240" s="82">
        <f>IFERROR(__xludf.DUMMYFUNCTION("""COMPUTED_VALUE"""),0.9963151918665881)</f>
        <v>0.9963151919</v>
      </c>
      <c r="AM3240" s="82">
        <f>IFERROR(__xludf.DUMMYFUNCTION("""COMPUTED_VALUE"""),1.0039280723015664)</f>
        <v>1.003928072</v>
      </c>
      <c r="AN3240" s="82">
        <f>IFERROR(__xludf.DUMMYFUNCTION("""COMPUTED_VALUE"""),0.9394058361308304)</f>
        <v>0.9394058361</v>
      </c>
      <c r="AO3240" s="82">
        <f>IFERROR(__xludf.DUMMYFUNCTION("""COMPUTED_VALUE"""),0.8103003189396819)</f>
        <v>0.8103003189</v>
      </c>
      <c r="AP3240" s="82">
        <f>IFERROR(__xludf.DUMMYFUNCTION("""COMPUTED_VALUE"""),0.41801754170543415)</f>
        <v>0.4180175417</v>
      </c>
      <c r="AQ3240" s="82">
        <f>IFERROR(__xludf.DUMMYFUNCTION("""COMPUTED_VALUE"""),0.9204101854951294)</f>
        <v>0.9204101855</v>
      </c>
      <c r="AR3240" s="82">
        <f>IFERROR(__xludf.DUMMYFUNCTION("""COMPUTED_VALUE"""),0.8636406989921263)</f>
        <v>0.863640699</v>
      </c>
      <c r="AS3240" s="82">
        <f>IFERROR(__xludf.DUMMYFUNCTION("""COMPUTED_VALUE"""),45.0)</f>
        <v>45</v>
      </c>
      <c r="AT3240" s="82">
        <f>IFERROR(__xludf.DUMMYFUNCTION("""COMPUTED_VALUE"""),0.26726881538953084)</f>
        <v>0.2672688154</v>
      </c>
      <c r="AU3240" s="82">
        <f>IFERROR(__xludf.DUMMYFUNCTION("""COMPUTED_VALUE"""),1.882803661885334)</f>
        <v>1.882803662</v>
      </c>
      <c r="AV3240" s="82">
        <f>IFERROR(__xludf.DUMMYFUNCTION("""COMPUTED_VALUE"""),27.5284200484296)</f>
        <v>27.52842005</v>
      </c>
      <c r="AW3240" s="82">
        <f t="shared" si="1"/>
        <v>-5.424088714</v>
      </c>
      <c r="AX3240" s="83">
        <f t="array" ref="AX3240">IFERROR(DGET('SBV Import'!A:G,"SBV",{"RSC ID","Tier";B3240,A3240}))</f>
        <v>39.56117649</v>
      </c>
      <c r="AY3240" s="82">
        <f t="shared" si="2"/>
        <v>-2.957381137</v>
      </c>
      <c r="AZ3240" s="82">
        <v>2.4667075771734033</v>
      </c>
      <c r="BA3240" s="84">
        <v>3200.0</v>
      </c>
      <c r="BB3240" s="84" t="b">
        <f>IFERROR(__xludf.DUMMYFUNCTION("iferror(if(A3240="""",,E3240&gt;=FILTER(Constants!$F$2:$F$10,Constants!$A$2:$A$10=A3240)))"),TRUE)</f>
        <v>1</v>
      </c>
    </row>
    <row r="3241">
      <c r="A3241" s="89" t="str">
        <f>IFERROR(__xludf.DUMMYFUNCTION("""COMPUTED_VALUE"""),"Contender")</f>
        <v>Contender</v>
      </c>
      <c r="B3241" s="87" t="str">
        <f>IFERROR(__xludf.DUMMYFUNCTION("""COMPUTED_VALUE"""),"RSC007119")</f>
        <v>RSC007119</v>
      </c>
      <c r="C3241" s="73" t="str">
        <f>IFERROR(__xludf.DUMMYFUNCTION("""COMPUTED_VALUE"""),"EvilSuperman_")</f>
        <v>EvilSuperman_</v>
      </c>
      <c r="D3241" s="73" t="str">
        <f>IFERROR(__xludf.DUMMYFUNCTION("""COMPUTED_VALUE"""),"Celestial Cider")</f>
        <v>Celestial Cider</v>
      </c>
      <c r="E3241" s="82">
        <f>IFERROR(__xludf.DUMMYFUNCTION("""COMPUTED_VALUE"""),15.0)</f>
        <v>15</v>
      </c>
      <c r="F3241" s="82">
        <f>IFERROR(__xludf.DUMMYFUNCTION("""COMPUTED_VALUE"""),7.0)</f>
        <v>7</v>
      </c>
      <c r="G3241" s="86">
        <f>IFERROR(__xludf.DUMMYFUNCTION("""COMPUTED_VALUE"""),8.0)</f>
        <v>8</v>
      </c>
      <c r="H3241" s="86">
        <f>IFERROR(__xludf.DUMMYFUNCTION("""COMPUTED_VALUE"""),0.4666666666666667)</f>
        <v>0.4666666667</v>
      </c>
      <c r="I3241" s="86">
        <f>IFERROR(__xludf.DUMMYFUNCTION("""COMPUTED_VALUE"""),0.411764705882353)</f>
        <v>0.4117647059</v>
      </c>
      <c r="J3241" s="82">
        <f>IFERROR(__xludf.DUMMYFUNCTION("""COMPUTED_VALUE"""),221.2)</f>
        <v>221.2</v>
      </c>
      <c r="K3241" s="82">
        <f>IFERROR(__xludf.DUMMYFUNCTION("""COMPUTED_VALUE"""),0.4666666666666667)</f>
        <v>0.4666666667</v>
      </c>
      <c r="L3241" s="82">
        <f>IFERROR(__xludf.DUMMYFUNCTION("""COMPUTED_VALUE"""),0.4)</f>
        <v>0.4</v>
      </c>
      <c r="M3241" s="82">
        <f>IFERROR(__xludf.DUMMYFUNCTION("""COMPUTED_VALUE"""),0.6666666666666666)</f>
        <v>0.6666666667</v>
      </c>
      <c r="N3241" s="82">
        <f>IFERROR(__xludf.DUMMYFUNCTION("""COMPUTED_VALUE"""),1.1333333333333333)</f>
        <v>1.133333333</v>
      </c>
      <c r="O3241" s="82">
        <f>IFERROR(__xludf.DUMMYFUNCTION("""COMPUTED_VALUE"""),315.5777777777777)</f>
        <v>315.5777778</v>
      </c>
      <c r="P3241" s="82">
        <f>IFERROR(__xludf.DUMMYFUNCTION("""COMPUTED_VALUE"""),0.8000000000000002)</f>
        <v>0.8</v>
      </c>
      <c r="Q3241" s="82">
        <f>IFERROR(__xludf.DUMMYFUNCTION("""COMPUTED_VALUE"""),0.4666666666666667)</f>
        <v>0.4666666667</v>
      </c>
      <c r="R3241" s="82">
        <f>IFERROR(__xludf.DUMMYFUNCTION("""COMPUTED_VALUE"""),0.9777777777777777)</f>
        <v>0.9777777778</v>
      </c>
      <c r="S3241" s="82">
        <f>IFERROR(__xludf.DUMMYFUNCTION("""COMPUTED_VALUE"""),2.2222222222222223)</f>
        <v>2.222222222</v>
      </c>
      <c r="T3241" s="82">
        <f>IFERROR(__xludf.DUMMYFUNCTION("""COMPUTED_VALUE"""),332.32357419965837)</f>
        <v>332.3235742</v>
      </c>
      <c r="U3241" s="82">
        <f>IFERROR(__xludf.DUMMYFUNCTION("""COMPUTED_VALUE"""),0.8285426505429838)</f>
        <v>0.8285426505</v>
      </c>
      <c r="V3241" s="82">
        <f>IFERROR(__xludf.DUMMYFUNCTION("""COMPUTED_VALUE"""),0.547474429563105)</f>
        <v>0.5474744296</v>
      </c>
      <c r="W3241" s="82">
        <f>IFERROR(__xludf.DUMMYFUNCTION("""COMPUTED_VALUE"""),1.0951958809754436)</f>
        <v>1.095195881</v>
      </c>
      <c r="X3241" s="82">
        <f>IFERROR(__xludf.DUMMYFUNCTION("""COMPUTED_VALUE"""),2.290782810521605)</f>
        <v>2.290782811</v>
      </c>
      <c r="Y3241" s="82">
        <f>IFERROR(__xludf.DUMMYFUNCTION("""COMPUTED_VALUE"""),323.50031870355144)</f>
        <v>323.5003187</v>
      </c>
      <c r="Z3241" s="82">
        <f>IFERROR(__xludf.DUMMYFUNCTION("""COMPUTED_VALUE"""),0.7768971141793517)</f>
        <v>0.7768971142</v>
      </c>
      <c r="AA3241" s="82">
        <f>IFERROR(__xludf.DUMMYFUNCTION("""COMPUTED_VALUE"""),0.5127985345443588)</f>
        <v>0.5127985345</v>
      </c>
      <c r="AB3241" s="82">
        <f>IFERROR(__xludf.DUMMYFUNCTION("""COMPUTED_VALUE"""),1.068579891857091)</f>
        <v>1.068579892</v>
      </c>
      <c r="AC3241" s="82">
        <f>IFERROR(__xludf.DUMMYFUNCTION("""COMPUTED_VALUE"""),2.222215189822975)</f>
        <v>2.22221519</v>
      </c>
      <c r="AD3241" s="82">
        <f>IFERROR(__xludf.DUMMYFUNCTION("""COMPUTED_VALUE"""),0.6837705782995002)</f>
        <v>0.6837705783</v>
      </c>
      <c r="AE3241" s="82">
        <f>IFERROR(__xludf.DUMMYFUNCTION("""COMPUTED_VALUE"""),0.6006801391708267)</f>
        <v>0.6006801392</v>
      </c>
      <c r="AF3241" s="82">
        <f>IFERROR(__xludf.DUMMYFUNCTION("""COMPUTED_VALUE"""),0.780033430390778)</f>
        <v>0.7800334304</v>
      </c>
      <c r="AG3241" s="82">
        <f>IFERROR(__xludf.DUMMYFUNCTION("""COMPUTED_VALUE"""),0.6238809767494903)</f>
        <v>0.6238809767</v>
      </c>
      <c r="AH3241" s="82">
        <f>IFERROR(__xludf.DUMMYFUNCTION("""COMPUTED_VALUE"""),0.5100016139407347)</f>
        <v>0.5100016139</v>
      </c>
      <c r="AI3241" s="82">
        <f>IFERROR(__xludf.DUMMYFUNCTION("""COMPUTED_VALUE"""),0.9496099653411291)</f>
        <v>0.9496099653</v>
      </c>
      <c r="AJ3241" s="82">
        <f>IFERROR(__xludf.DUMMYFUNCTION("""COMPUTED_VALUE"""),0.9655507769886339)</f>
        <v>0.965550777</v>
      </c>
      <c r="AK3241" s="82">
        <f>IFERROR(__xludf.DUMMYFUNCTION("""COMPUTED_VALUE"""),0.8523990189625396)</f>
        <v>0.852399019</v>
      </c>
      <c r="AL3241" s="82">
        <f>IFERROR(__xludf.DUMMYFUNCTION("""COMPUTED_VALUE"""),0.8927880343257988)</f>
        <v>0.8927880343</v>
      </c>
      <c r="AM3241" s="82">
        <f>IFERROR(__xludf.DUMMYFUNCTION("""COMPUTED_VALUE"""),0.9700711093236414)</f>
        <v>0.9700711093</v>
      </c>
      <c r="AN3241" s="82">
        <f>IFERROR(__xludf.DUMMYFUNCTION("""COMPUTED_VALUE"""),0.7096358076179914)</f>
        <v>0.7096358076</v>
      </c>
      <c r="AO3241" s="82">
        <f>IFERROR(__xludf.DUMMYFUNCTION("""COMPUTED_VALUE"""),0.6228190686752065)</f>
        <v>0.6228190687</v>
      </c>
      <c r="AP3241" s="82">
        <f>IFERROR(__xludf.DUMMYFUNCTION("""COMPUTED_VALUE"""),0.7802994111834771)</f>
        <v>0.7802994112</v>
      </c>
      <c r="AQ3241" s="82">
        <f>IFERROR(__xludf.DUMMYFUNCTION("""COMPUTED_VALUE"""),0.636332967749719)</f>
        <v>0.6363329677</v>
      </c>
      <c r="AR3241" s="82">
        <f>IFERROR(__xludf.DUMMYFUNCTION("""COMPUTED_VALUE"""),0.5270422727182719)</f>
        <v>0.5270422727</v>
      </c>
      <c r="AS3241" s="82">
        <f>IFERROR(__xludf.DUMMYFUNCTION("""COMPUTED_VALUE"""),24.0)</f>
        <v>24</v>
      </c>
      <c r="AT3241" s="82">
        <f>IFERROR(__xludf.DUMMYFUNCTION("""COMPUTED_VALUE"""),0.3535219407449015)</f>
        <v>0.3535219407</v>
      </c>
      <c r="AU3241" s="82">
        <f>IFERROR(__xludf.DUMMYFUNCTION("""COMPUTED_VALUE"""),1.7402914747838647)</f>
        <v>1.740291475</v>
      </c>
      <c r="AV3241" s="82">
        <f>IFERROR(__xludf.DUMMYFUNCTION("""COMPUTED_VALUE"""),25.071180542030362)</f>
        <v>25.07118054</v>
      </c>
      <c r="AW3241" s="82">
        <f t="shared" si="1"/>
        <v>-6.27568406</v>
      </c>
      <c r="AX3241" s="83">
        <f t="array" ref="AX3241">IFERROR(DGET('SBV Import'!A:G,"SBV",{"RSC ID","Tier";B3241,A3241}))</f>
        <v>12.39756558</v>
      </c>
      <c r="AY3241" s="82">
        <f t="shared" si="2"/>
        <v>-15.08792917</v>
      </c>
      <c r="AZ3241" s="82">
        <v>8.812245113869551</v>
      </c>
      <c r="BA3241" s="84">
        <v>3200.0</v>
      </c>
      <c r="BB3241" s="84" t="b">
        <f>IFERROR(__xludf.DUMMYFUNCTION("iferror(if(A3241="""",,E3241&gt;=FILTER(Constants!$F$2:$F$10,Constants!$A$2:$A$10=A3241)))"),TRUE)</f>
        <v>1</v>
      </c>
    </row>
    <row r="3242">
      <c r="A3242" s="89" t="str">
        <f>IFERROR(__xludf.DUMMYFUNCTION("""COMPUTED_VALUE"""),"Contender")</f>
        <v>Contender</v>
      </c>
      <c r="B3242" s="87" t="str">
        <f>IFERROR(__xludf.DUMMYFUNCTION("""COMPUTED_VALUE"""),"RSC006024")</f>
        <v>RSC006024</v>
      </c>
      <c r="C3242" s="73" t="str">
        <f>IFERROR(__xludf.DUMMYFUNCTION("""COMPUTED_VALUE"""),"DrizzyDaDizzy")</f>
        <v>DrizzyDaDizzy</v>
      </c>
      <c r="D3242" s="73"/>
      <c r="E3242" s="82">
        <f>IFERROR(__xludf.DUMMYFUNCTION("""COMPUTED_VALUE"""),7.0)</f>
        <v>7</v>
      </c>
      <c r="F3242" s="82">
        <f>IFERROR(__xludf.DUMMYFUNCTION("""COMPUTED_VALUE"""),2.0)</f>
        <v>2</v>
      </c>
      <c r="G3242" s="86">
        <f>IFERROR(__xludf.DUMMYFUNCTION("""COMPUTED_VALUE"""),5.0)</f>
        <v>5</v>
      </c>
      <c r="H3242" s="86">
        <f>IFERROR(__xludf.DUMMYFUNCTION("""COMPUTED_VALUE"""),0.2857142857142857)</f>
        <v>0.2857142857</v>
      </c>
      <c r="I3242" s="86">
        <f>IFERROR(__xludf.DUMMYFUNCTION("""COMPUTED_VALUE"""),0.6)</f>
        <v>0.6</v>
      </c>
      <c r="J3242" s="82">
        <f>IFERROR(__xludf.DUMMYFUNCTION("""COMPUTED_VALUE"""),287.14285714285717)</f>
        <v>287.1428571</v>
      </c>
      <c r="K3242" s="82">
        <f>IFERROR(__xludf.DUMMYFUNCTION("""COMPUTED_VALUE"""),0.8571428571428571)</f>
        <v>0.8571428571</v>
      </c>
      <c r="L3242" s="82">
        <f>IFERROR(__xludf.DUMMYFUNCTION("""COMPUTED_VALUE"""),0.0)</f>
        <v>0</v>
      </c>
      <c r="M3242" s="82">
        <f>IFERROR(__xludf.DUMMYFUNCTION("""COMPUTED_VALUE"""),1.1428571428571428)</f>
        <v>1.142857143</v>
      </c>
      <c r="N3242" s="82">
        <f>IFERROR(__xludf.DUMMYFUNCTION("""COMPUTED_VALUE"""),1.4285714285714286)</f>
        <v>1.428571429</v>
      </c>
      <c r="O3242" s="82">
        <f>IFERROR(__xludf.DUMMYFUNCTION("""COMPUTED_VALUE"""),341.85714285714283)</f>
        <v>341.8571429</v>
      </c>
      <c r="P3242" s="82">
        <f>IFERROR(__xludf.DUMMYFUNCTION("""COMPUTED_VALUE"""),1.0)</f>
        <v>1</v>
      </c>
      <c r="Q3242" s="82">
        <f>IFERROR(__xludf.DUMMYFUNCTION("""COMPUTED_VALUE"""),0.7619047619047619)</f>
        <v>0.7619047619</v>
      </c>
      <c r="R3242" s="82">
        <f>IFERROR(__xludf.DUMMYFUNCTION("""COMPUTED_VALUE"""),1.0)</f>
        <v>1</v>
      </c>
      <c r="S3242" s="82">
        <f>IFERROR(__xludf.DUMMYFUNCTION("""COMPUTED_VALUE"""),2.4761904761904767)</f>
        <v>2.476190476</v>
      </c>
      <c r="T3242" s="82">
        <f>IFERROR(__xludf.DUMMYFUNCTION("""COMPUTED_VALUE"""),326.4536878996613)</f>
        <v>326.4536879</v>
      </c>
      <c r="U3242" s="82">
        <f>IFERROR(__xludf.DUMMYFUNCTION("""COMPUTED_VALUE"""),0.8071993327245429)</f>
        <v>0.8071993327</v>
      </c>
      <c r="V3242" s="82">
        <f>IFERROR(__xludf.DUMMYFUNCTION("""COMPUTED_VALUE"""),0.5127497722735818)</f>
        <v>0.5127497723</v>
      </c>
      <c r="W3242" s="82">
        <f>IFERROR(__xludf.DUMMYFUNCTION("""COMPUTED_VALUE"""),1.1066065315014897)</f>
        <v>1.106606532</v>
      </c>
      <c r="X3242" s="82">
        <f>IFERROR(__xludf.DUMMYFUNCTION("""COMPUTED_VALUE"""),2.2561456491428484)</f>
        <v>2.256145649</v>
      </c>
      <c r="Y3242" s="82">
        <f>IFERROR(__xludf.DUMMYFUNCTION("""COMPUTED_VALUE"""),303.04581751741534)</f>
        <v>303.0458175</v>
      </c>
      <c r="Z3242" s="82">
        <f>IFERROR(__xludf.DUMMYFUNCTION("""COMPUTED_VALUE"""),0.6734367203671593)</f>
        <v>0.6734367204</v>
      </c>
      <c r="AA3242" s="82">
        <f>IFERROR(__xludf.DUMMYFUNCTION("""COMPUTED_VALUE"""),0.45367550153964714)</f>
        <v>0.4536755015</v>
      </c>
      <c r="AB3242" s="82">
        <f>IFERROR(__xludf.DUMMYFUNCTION("""COMPUTED_VALUE"""),1.0398542512921598)</f>
        <v>1.039854251</v>
      </c>
      <c r="AC3242" s="82">
        <f>IFERROR(__xludf.DUMMYFUNCTION("""COMPUTED_VALUE"""),2.114597258656549)</f>
        <v>2.114597259</v>
      </c>
      <c r="AD3242" s="82">
        <f>IFERROR(__xludf.DUMMYFUNCTION("""COMPUTED_VALUE"""),0.9475229174755257)</f>
        <v>0.9475229175</v>
      </c>
      <c r="AE3242" s="82">
        <f>IFERROR(__xludf.DUMMYFUNCTION("""COMPUTED_VALUE"""),1.2727890107856619)</f>
        <v>1.272789011</v>
      </c>
      <c r="AF3242" s="82">
        <f>IFERROR(__xludf.DUMMYFUNCTION("""COMPUTED_VALUE"""),0.0)</f>
        <v>0</v>
      </c>
      <c r="AG3242" s="82">
        <f>IFERROR(__xludf.DUMMYFUNCTION("""COMPUTED_VALUE"""),1.099055123770459)</f>
        <v>1.099055124</v>
      </c>
      <c r="AH3242" s="82">
        <f>IFERROR(__xludf.DUMMYFUNCTION("""COMPUTED_VALUE"""),0.6755761281365853)</f>
        <v>0.6755761281</v>
      </c>
      <c r="AI3242" s="82">
        <f>IFERROR(__xludf.DUMMYFUNCTION("""COMPUTED_VALUE"""),1.0471841964983895)</f>
        <v>1.047184196</v>
      </c>
      <c r="AJ3242" s="82">
        <f>IFERROR(__xludf.DUMMYFUNCTION("""COMPUTED_VALUE"""),1.2388513709800728)</f>
        <v>1.238851371</v>
      </c>
      <c r="AK3242" s="82">
        <f>IFERROR(__xludf.DUMMYFUNCTION("""COMPUTED_VALUE"""),1.4859192594594492)</f>
        <v>1.485919259</v>
      </c>
      <c r="AL3242" s="82">
        <f>IFERROR(__xludf.DUMMYFUNCTION("""COMPUTED_VALUE"""),0.9036635620098487)</f>
        <v>0.903663562</v>
      </c>
      <c r="AM3242" s="82">
        <f>IFERROR(__xludf.DUMMYFUNCTION("""COMPUTED_VALUE"""),1.0975313039436205)</f>
        <v>1.097531304</v>
      </c>
      <c r="AN3242" s="82">
        <f>IFERROR(__xludf.DUMMYFUNCTION("""COMPUTED_VALUE"""),0.9211883061948869)</f>
        <v>0.9211883062</v>
      </c>
      <c r="AO3242" s="82">
        <f>IFERROR(__xludf.DUMMYFUNCTION("""COMPUTED_VALUE"""),1.1439533914442568)</f>
        <v>1.143953391</v>
      </c>
      <c r="AP3242" s="82">
        <f>IFERROR(__xludf.DUMMYFUNCTION("""COMPUTED_VALUE"""),0.0)</f>
        <v>0</v>
      </c>
      <c r="AQ3242" s="82">
        <f>IFERROR(__xludf.DUMMYFUNCTION("""COMPUTED_VALUE"""),1.0908565161423756)</f>
        <v>1.090856516</v>
      </c>
      <c r="AR3242" s="82">
        <f>IFERROR(__xludf.DUMMYFUNCTION("""COMPUTED_VALUE"""),0.6643389992247125)</f>
        <v>0.6643389992</v>
      </c>
      <c r="AS3242" s="82">
        <f>IFERROR(__xludf.DUMMYFUNCTION("""COMPUTED_VALUE"""),16.0)</f>
        <v>16</v>
      </c>
      <c r="AT3242" s="82">
        <f>IFERROR(__xludf.DUMMYFUNCTION("""COMPUTED_VALUE"""),0.3920926190615662)</f>
        <v>0.3920926191</v>
      </c>
      <c r="AU3242" s="82">
        <f>IFERROR(__xludf.DUMMYFUNCTION("""COMPUTED_VALUE"""),1.5294957917104766)</f>
        <v>1.529495792</v>
      </c>
      <c r="AV3242" s="82">
        <f>IFERROR(__xludf.DUMMYFUNCTION("""COMPUTED_VALUE"""),21.436575735512715)</f>
        <v>21.43657574</v>
      </c>
      <c r="AW3242" s="82">
        <f t="shared" si="1"/>
        <v>-7.897930691</v>
      </c>
      <c r="AX3242" s="83">
        <f t="array" ref="AX3242">IFERROR(DGET('SBV Import'!A:G,"SBV",{"RSC ID","Tier";B3242,A3242}))</f>
        <v>25.24537916</v>
      </c>
      <c r="AY3242" s="82">
        <f t="shared" si="2"/>
        <v>-6.209564398</v>
      </c>
      <c r="AZ3242" s="82">
        <v>1.6883662924390945</v>
      </c>
      <c r="BA3242" s="84">
        <v>3200.0</v>
      </c>
      <c r="BB3242" s="84" t="b">
        <f>IFERROR(__xludf.DUMMYFUNCTION("iferror(if(A3242="""",,E3242&gt;=FILTER(Constants!$F$2:$F$10,Constants!$A$2:$A$10=A3242)))"),TRUE)</f>
        <v>1</v>
      </c>
    </row>
    <row r="3243">
      <c r="A3243" s="89" t="str">
        <f>IFERROR(__xludf.DUMMYFUNCTION("""COMPUTED_VALUE"""),"Contender")</f>
        <v>Contender</v>
      </c>
      <c r="B3243" s="87" t="str">
        <f>IFERROR(__xludf.DUMMYFUNCTION("""COMPUTED_VALUE"""),"RSC000323")</f>
        <v>RSC000323</v>
      </c>
      <c r="C3243" s="73" t="str">
        <f>IFERROR(__xludf.DUMMYFUNCTION("""COMPUTED_VALUE"""),"Styk75")</f>
        <v>Styk75</v>
      </c>
      <c r="D3243" s="73" t="str">
        <f>IFERROR(__xludf.DUMMYFUNCTION("""COMPUTED_VALUE"""),"Legionaries")</f>
        <v>Legionaries</v>
      </c>
      <c r="E3243" s="82">
        <f>IFERROR(__xludf.DUMMYFUNCTION("""COMPUTED_VALUE"""),13.0)</f>
        <v>13</v>
      </c>
      <c r="F3243" s="82">
        <f>IFERROR(__xludf.DUMMYFUNCTION("""COMPUTED_VALUE"""),3.0)</f>
        <v>3</v>
      </c>
      <c r="G3243" s="86">
        <f>IFERROR(__xludf.DUMMYFUNCTION("""COMPUTED_VALUE"""),10.0)</f>
        <v>10</v>
      </c>
      <c r="H3243" s="86">
        <f>IFERROR(__xludf.DUMMYFUNCTION("""COMPUTED_VALUE"""),0.23076923076923078)</f>
        <v>0.2307692308</v>
      </c>
      <c r="I3243" s="86">
        <f>IFERROR(__xludf.DUMMYFUNCTION("""COMPUTED_VALUE"""),0.35294117647058826)</f>
        <v>0.3529411765</v>
      </c>
      <c r="J3243" s="82">
        <f>IFERROR(__xludf.DUMMYFUNCTION("""COMPUTED_VALUE"""),221.92307692307693)</f>
        <v>221.9230769</v>
      </c>
      <c r="K3243" s="82">
        <f>IFERROR(__xludf.DUMMYFUNCTION("""COMPUTED_VALUE"""),0.46153846153846156)</f>
        <v>0.4615384615</v>
      </c>
      <c r="L3243" s="82">
        <f>IFERROR(__xludf.DUMMYFUNCTION("""COMPUTED_VALUE"""),0.3076923076923077)</f>
        <v>0.3076923077</v>
      </c>
      <c r="M3243" s="82">
        <f>IFERROR(__xludf.DUMMYFUNCTION("""COMPUTED_VALUE"""),1.0)</f>
        <v>1</v>
      </c>
      <c r="N3243" s="82">
        <f>IFERROR(__xludf.DUMMYFUNCTION("""COMPUTED_VALUE"""),1.3076923076923077)</f>
        <v>1.307692308</v>
      </c>
      <c r="O3243" s="82">
        <f>IFERROR(__xludf.DUMMYFUNCTION("""COMPUTED_VALUE"""),353.2820512820512)</f>
        <v>353.2820513</v>
      </c>
      <c r="P3243" s="82">
        <f>IFERROR(__xludf.DUMMYFUNCTION("""COMPUTED_VALUE"""),0.9999999999999998)</f>
        <v>1</v>
      </c>
      <c r="Q3243" s="82">
        <f>IFERROR(__xludf.DUMMYFUNCTION("""COMPUTED_VALUE"""),0.6923076923076922)</f>
        <v>0.6923076923</v>
      </c>
      <c r="R3243" s="82">
        <f>IFERROR(__xludf.DUMMYFUNCTION("""COMPUTED_VALUE"""),1.0512820512820513)</f>
        <v>1.051282051</v>
      </c>
      <c r="S3243" s="82">
        <f>IFERROR(__xludf.DUMMYFUNCTION("""COMPUTED_VALUE"""),2.3333333333333335)</f>
        <v>2.333333333</v>
      </c>
      <c r="T3243" s="82">
        <f>IFERROR(__xludf.DUMMYFUNCTION("""COMPUTED_VALUE"""),322.6883541295193)</f>
        <v>322.6883541</v>
      </c>
      <c r="U3243" s="82">
        <f>IFERROR(__xludf.DUMMYFUNCTION("""COMPUTED_VALUE"""),0.7704193800949748)</f>
        <v>0.7704193801</v>
      </c>
      <c r="V3243" s="82">
        <f>IFERROR(__xludf.DUMMYFUNCTION("""COMPUTED_VALUE"""),0.49432140469458613)</f>
        <v>0.4943214047</v>
      </c>
      <c r="W3243" s="82">
        <f>IFERROR(__xludf.DUMMYFUNCTION("""COMPUTED_VALUE"""),1.1042582016919704)</f>
        <v>1.104258202</v>
      </c>
      <c r="X3243" s="82">
        <f>IFERROR(__xludf.DUMMYFUNCTION("""COMPUTED_VALUE"""),2.2350406453971017)</f>
        <v>2.235040645</v>
      </c>
      <c r="Y3243" s="82">
        <f>IFERROR(__xludf.DUMMYFUNCTION("""COMPUTED_VALUE"""),326.88792466874753)</f>
        <v>326.8879247</v>
      </c>
      <c r="Z3243" s="82">
        <f>IFERROR(__xludf.DUMMYFUNCTION("""COMPUTED_VALUE"""),0.8233220568543677)</f>
        <v>0.8233220569</v>
      </c>
      <c r="AA3243" s="82">
        <f>IFERROR(__xludf.DUMMYFUNCTION("""COMPUTED_VALUE"""),0.5465316260638111)</f>
        <v>0.5465316261</v>
      </c>
      <c r="AB3243" s="82">
        <f>IFERROR(__xludf.DUMMYFUNCTION("""COMPUTED_VALUE"""),1.0733998495236716)</f>
        <v>1.07339985</v>
      </c>
      <c r="AC3243" s="82">
        <f>IFERROR(__xludf.DUMMYFUNCTION("""COMPUTED_VALUE"""),2.294721738723628)</f>
        <v>2.294721739</v>
      </c>
      <c r="AD3243" s="82">
        <f>IFERROR(__xludf.DUMMYFUNCTION("""COMPUTED_VALUE"""),0.6788965274503886)</f>
        <v>0.6788965275</v>
      </c>
      <c r="AE3243" s="82">
        <f>IFERROR(__xludf.DUMMYFUNCTION("""COMPUTED_VALUE"""),0.5605807079939561)</f>
        <v>0.560580708</v>
      </c>
      <c r="AF3243" s="82">
        <f>IFERROR(__xludf.DUMMYFUNCTION("""COMPUTED_VALUE"""),0.5629908554576174)</f>
        <v>0.5629908555</v>
      </c>
      <c r="AG3243" s="82">
        <f>IFERROR(__xludf.DUMMYFUNCTION("""COMPUTED_VALUE"""),0.9316192846903758)</f>
        <v>0.9316192847</v>
      </c>
      <c r="AH3243" s="82">
        <f>IFERROR(__xludf.DUMMYFUNCTION("""COMPUTED_VALUE"""),0.5698696646416368)</f>
        <v>0.5698696646</v>
      </c>
      <c r="AI3243" s="82">
        <f>IFERROR(__xludf.DUMMYFUNCTION("""COMPUTED_VALUE"""),1.0948088047213886)</f>
        <v>1.094808805</v>
      </c>
      <c r="AJ3243" s="82">
        <f>IFERROR(__xludf.DUMMYFUNCTION("""COMPUTED_VALUE"""),1.2979943467630877)</f>
        <v>1.297994347</v>
      </c>
      <c r="AK3243" s="82">
        <f>IFERROR(__xludf.DUMMYFUNCTION("""COMPUTED_VALUE"""),1.4005213728008215)</f>
        <v>1.400521373</v>
      </c>
      <c r="AL3243" s="82">
        <f>IFERROR(__xludf.DUMMYFUNCTION("""COMPUTED_VALUE"""),0.9520255766914406)</f>
        <v>0.9520255767</v>
      </c>
      <c r="AM3243" s="82">
        <f>IFERROR(__xludf.DUMMYFUNCTION("""COMPUTED_VALUE"""),1.0439780315130547)</f>
        <v>1.043978032</v>
      </c>
      <c r="AN3243" s="82">
        <f>IFERROR(__xludf.DUMMYFUNCTION("""COMPUTED_VALUE"""),0.7119555240568596)</f>
        <v>0.7119555241</v>
      </c>
      <c r="AO3243" s="82">
        <f>IFERROR(__xludf.DUMMYFUNCTION("""COMPUTED_VALUE"""),0.6159749030853692)</f>
        <v>0.6159749031</v>
      </c>
      <c r="AP3243" s="82">
        <f>IFERROR(__xludf.DUMMYFUNCTION("""COMPUTED_VALUE"""),0.6002303162949824)</f>
        <v>0.6002303163</v>
      </c>
      <c r="AQ3243" s="82">
        <f>IFERROR(__xludf.DUMMYFUNCTION("""COMPUTED_VALUE"""),0.9544994516245786)</f>
        <v>0.9544994516</v>
      </c>
      <c r="AR3243" s="82">
        <f>IFERROR(__xludf.DUMMYFUNCTION("""COMPUTED_VALUE"""),0.6081256992903138)</f>
        <v>0.6081256993</v>
      </c>
      <c r="AS3243" s="82">
        <f>IFERROR(__xludf.DUMMYFUNCTION("""COMPUTED_VALUE"""),22.0)</f>
        <v>22</v>
      </c>
      <c r="AT3243" s="82">
        <f>IFERROR(__xludf.DUMMYFUNCTION("""COMPUTED_VALUE"""),0.29064936145291087)</f>
        <v>0.2906493615</v>
      </c>
      <c r="AU3243" s="82">
        <f>IFERROR(__xludf.DUMMYFUNCTION("""COMPUTED_VALUE"""),1.1479620263794306)</f>
        <v>1.147962026</v>
      </c>
      <c r="AV3243" s="82">
        <f>IFERROR(__xludf.DUMMYFUNCTION("""COMPUTED_VALUE"""),14.858051749145261)</f>
        <v>14.85805175</v>
      </c>
      <c r="AW3243" s="82">
        <f t="shared" si="1"/>
        <v>-12.5140953</v>
      </c>
      <c r="AX3243" s="83">
        <f t="array" ref="AX3243">IFERROR(DGET('SBV Import'!A:G,"SBV",{"RSC ID","Tier";B3243,A3243}))</f>
        <v>11.53543171</v>
      </c>
      <c r="AY3243" s="82">
        <f t="shared" si="2"/>
        <v>-16.14124273</v>
      </c>
      <c r="AZ3243" s="82">
        <v>3.6271474279213667</v>
      </c>
      <c r="BA3243" s="84">
        <v>3200.0</v>
      </c>
      <c r="BB3243" s="84" t="b">
        <f>IFERROR(__xludf.DUMMYFUNCTION("iferror(if(A3243="""",,E3243&gt;=FILTER(Constants!$F$2:$F$10,Constants!$A$2:$A$10=A3243)))"),TRUE)</f>
        <v>1</v>
      </c>
    </row>
    <row r="3244">
      <c r="A3244" s="89" t="str">
        <f>IFERROR(__xludf.DUMMYFUNCTION("""COMPUTED_VALUE"""),"Contender")</f>
        <v>Contender</v>
      </c>
      <c r="B3244" s="87" t="str">
        <f>IFERROR(__xludf.DUMMYFUNCTION("""COMPUTED_VALUE"""),"RSC005527")</f>
        <v>RSC005527</v>
      </c>
      <c r="C3244" s="73" t="str">
        <f>IFERROR(__xludf.DUMMYFUNCTION("""COMPUTED_VALUE"""),"Colossus4203316")</f>
        <v>Colossus4203316</v>
      </c>
      <c r="D3244" s="73" t="str">
        <f>IFERROR(__xludf.DUMMYFUNCTION("""COMPUTED_VALUE"""),"Zebras")</f>
        <v>Zebras</v>
      </c>
      <c r="E3244" s="82">
        <f>IFERROR(__xludf.DUMMYFUNCTION("""COMPUTED_VALUE"""),13.0)</f>
        <v>13</v>
      </c>
      <c r="F3244" s="82">
        <f>IFERROR(__xludf.DUMMYFUNCTION("""COMPUTED_VALUE"""),3.0)</f>
        <v>3</v>
      </c>
      <c r="G3244" s="86">
        <f>IFERROR(__xludf.DUMMYFUNCTION("""COMPUTED_VALUE"""),10.0)</f>
        <v>10</v>
      </c>
      <c r="H3244" s="86">
        <f>IFERROR(__xludf.DUMMYFUNCTION("""COMPUTED_VALUE"""),0.23076923076923078)</f>
        <v>0.2307692308</v>
      </c>
      <c r="I3244" s="86">
        <f>IFERROR(__xludf.DUMMYFUNCTION("""COMPUTED_VALUE"""),0.3125)</f>
        <v>0.3125</v>
      </c>
      <c r="J3244" s="82">
        <f>IFERROR(__xludf.DUMMYFUNCTION("""COMPUTED_VALUE"""),223.15384615384616)</f>
        <v>223.1538462</v>
      </c>
      <c r="K3244" s="82">
        <f>IFERROR(__xludf.DUMMYFUNCTION("""COMPUTED_VALUE"""),0.38461538461538464)</f>
        <v>0.3846153846</v>
      </c>
      <c r="L3244" s="82">
        <f>IFERROR(__xludf.DUMMYFUNCTION("""COMPUTED_VALUE"""),0.3076923076923077)</f>
        <v>0.3076923077</v>
      </c>
      <c r="M3244" s="82">
        <f>IFERROR(__xludf.DUMMYFUNCTION("""COMPUTED_VALUE"""),0.8461538461538461)</f>
        <v>0.8461538462</v>
      </c>
      <c r="N3244" s="82">
        <f>IFERROR(__xludf.DUMMYFUNCTION("""COMPUTED_VALUE"""),1.2307692307692308)</f>
        <v>1.230769231</v>
      </c>
      <c r="O3244" s="82">
        <f>IFERROR(__xludf.DUMMYFUNCTION("""COMPUTED_VALUE"""),387.7435897435898)</f>
        <v>387.7435897</v>
      </c>
      <c r="P3244" s="82">
        <f>IFERROR(__xludf.DUMMYFUNCTION("""COMPUTED_VALUE"""),1.128205128205128)</f>
        <v>1.128205128</v>
      </c>
      <c r="Q3244" s="82">
        <f>IFERROR(__xludf.DUMMYFUNCTION("""COMPUTED_VALUE"""),0.7692307692307693)</f>
        <v>0.7692307692</v>
      </c>
      <c r="R3244" s="82">
        <f>IFERROR(__xludf.DUMMYFUNCTION("""COMPUTED_VALUE"""),1.0769230769230769)</f>
        <v>1.076923077</v>
      </c>
      <c r="S3244" s="82">
        <f>IFERROR(__xludf.DUMMYFUNCTION("""COMPUTED_VALUE"""),2.8205128205128207)</f>
        <v>2.820512821</v>
      </c>
      <c r="T3244" s="82">
        <f>IFERROR(__xludf.DUMMYFUNCTION("""COMPUTED_VALUE"""),335.2524401343991)</f>
        <v>335.2524401</v>
      </c>
      <c r="U3244" s="82">
        <f>IFERROR(__xludf.DUMMYFUNCTION("""COMPUTED_VALUE"""),0.8596688726748015)</f>
        <v>0.8596688727</v>
      </c>
      <c r="V3244" s="82">
        <f>IFERROR(__xludf.DUMMYFUNCTION("""COMPUTED_VALUE"""),0.5109446722841948)</f>
        <v>0.5109446723</v>
      </c>
      <c r="W3244" s="82">
        <f>IFERROR(__xludf.DUMMYFUNCTION("""COMPUTED_VALUE"""),1.1194036849404299)</f>
        <v>1.119403685</v>
      </c>
      <c r="X3244" s="82">
        <f>IFERROR(__xludf.DUMMYFUNCTION("""COMPUTED_VALUE"""),2.294179501231304)</f>
        <v>2.294179501</v>
      </c>
      <c r="Y3244" s="82">
        <f>IFERROR(__xludf.DUMMYFUNCTION("""COMPUTED_VALUE"""),321.0981755190732)</f>
        <v>321.0981755</v>
      </c>
      <c r="Z3244" s="82">
        <f>IFERROR(__xludf.DUMMYFUNCTION("""COMPUTED_VALUE"""),0.7488871358083924)</f>
        <v>0.7488871358</v>
      </c>
      <c r="AA3244" s="82">
        <f>IFERROR(__xludf.DUMMYFUNCTION("""COMPUTED_VALUE"""),0.5071546733116402)</f>
        <v>0.5071546733</v>
      </c>
      <c r="AB3244" s="82">
        <f>IFERROR(__xludf.DUMMYFUNCTION("""COMPUTED_VALUE"""),1.0786512748225445)</f>
        <v>1.078651275</v>
      </c>
      <c r="AC3244" s="82">
        <f>IFERROR(__xludf.DUMMYFUNCTION("""COMPUTED_VALUE"""),2.2898067330480085)</f>
        <v>2.289806733</v>
      </c>
      <c r="AD3244" s="82">
        <f>IFERROR(__xludf.DUMMYFUNCTION("""COMPUTED_VALUE"""),0.6949707695881655)</f>
        <v>0.6949707696</v>
      </c>
      <c r="AE3244" s="82">
        <f>IFERROR(__xludf.DUMMYFUNCTION("""COMPUTED_VALUE"""),0.513582576365407)</f>
        <v>0.5135825764</v>
      </c>
      <c r="AF3244" s="82">
        <f>IFERROR(__xludf.DUMMYFUNCTION("""COMPUTED_VALUE"""),0.6067030905643152)</f>
        <v>0.6067030906</v>
      </c>
      <c r="AG3244" s="82">
        <f>IFERROR(__xludf.DUMMYFUNCTION("""COMPUTED_VALUE"""),0.7844554267949594)</f>
        <v>0.7844554268</v>
      </c>
      <c r="AH3244" s="82">
        <f>IFERROR(__xludf.DUMMYFUNCTION("""COMPUTED_VALUE"""),0.5374991753696736)</f>
        <v>0.5374991754</v>
      </c>
      <c r="AI3244" s="82">
        <f>IFERROR(__xludf.DUMMYFUNCTION("""COMPUTED_VALUE"""),1.1565720135792228)</f>
        <v>1.156572014</v>
      </c>
      <c r="AJ3244" s="82">
        <f>IFERROR(__xludf.DUMMYFUNCTION("""COMPUTED_VALUE"""),1.3123717329613134)</f>
        <v>1.312371733</v>
      </c>
      <c r="AK3244" s="82">
        <f>IFERROR(__xludf.DUMMYFUNCTION("""COMPUTED_VALUE"""),1.5055069774813348)</f>
        <v>1.505506977</v>
      </c>
      <c r="AL3244" s="82">
        <f>IFERROR(__xludf.DUMMYFUNCTION("""COMPUTED_VALUE"""),0.9620506805642562)</f>
        <v>0.9620506806</v>
      </c>
      <c r="AM3244" s="82">
        <f>IFERROR(__xludf.DUMMYFUNCTION("""COMPUTED_VALUE"""),1.2294211586316717)</f>
        <v>1.229421159</v>
      </c>
      <c r="AN3244" s="82">
        <f>IFERROR(__xludf.DUMMYFUNCTION("""COMPUTED_VALUE"""),0.7159039775698265)</f>
        <v>0.7159039776</v>
      </c>
      <c r="AO3244" s="82">
        <f>IFERROR(__xludf.DUMMYFUNCTION("""COMPUTED_VALUE"""),0.5133124192378076)</f>
        <v>0.5133124192</v>
      </c>
      <c r="AP3244" s="82">
        <f>IFERROR(__xludf.DUMMYFUNCTION("""COMPUTED_VALUE"""),0.6002303162949824)</f>
        <v>0.6002303163</v>
      </c>
      <c r="AQ3244" s="82">
        <f>IFERROR(__xludf.DUMMYFUNCTION("""COMPUTED_VALUE"""),0.8076533821438742)</f>
        <v>0.8076533821</v>
      </c>
      <c r="AR3244" s="82">
        <f>IFERROR(__xludf.DUMMYFUNCTION("""COMPUTED_VALUE"""),0.5723535993320601)</f>
        <v>0.5723535993</v>
      </c>
      <c r="AS3244" s="82">
        <f>IFERROR(__xludf.DUMMYFUNCTION("""COMPUTED_VALUE"""),22.0)</f>
        <v>22</v>
      </c>
      <c r="AT3244" s="82">
        <f>IFERROR(__xludf.DUMMYFUNCTION("""COMPUTED_VALUE"""),0.24881822207255677)</f>
        <v>0.2488182221</v>
      </c>
      <c r="AU3244" s="82">
        <f>IFERROR(__xludf.DUMMYFUNCTION("""COMPUTED_VALUE"""),0.9345294772321062)</f>
        <v>0.9345294772</v>
      </c>
      <c r="AV3244" s="82">
        <f>IFERROR(__xludf.DUMMYFUNCTION("""COMPUTED_VALUE"""),11.177981276695853)</f>
        <v>11.17798128</v>
      </c>
      <c r="AW3244" s="82">
        <f t="shared" si="1"/>
        <v>-16.60417592</v>
      </c>
      <c r="AX3244" s="83">
        <f t="array" ref="AX3244">IFERROR(DGET('SBV Import'!A:G,"SBV",{"RSC ID","Tier";B3244,A3244}))</f>
        <v>-1.141460416</v>
      </c>
      <c r="AY3244" s="82">
        <f t="shared" si="2"/>
        <v>-49.03163779</v>
      </c>
      <c r="AZ3244" s="82">
        <v>32.42746187410046</v>
      </c>
      <c r="BA3244" s="84">
        <v>3200.0</v>
      </c>
      <c r="BB3244" s="84" t="b">
        <f>IFERROR(__xludf.DUMMYFUNCTION("iferror(if(A3244="""",,E3244&gt;=FILTER(Constants!$F$2:$F$10,Constants!$A$2:$A$10=A3244)))"),TRUE)</f>
        <v>1</v>
      </c>
    </row>
    <row r="3245">
      <c r="A3245" s="89" t="str">
        <f>IFERROR(__xludf.DUMMYFUNCTION("""COMPUTED_VALUE"""),"Contender")</f>
        <v>Contender</v>
      </c>
      <c r="B3245" s="87" t="str">
        <f>IFERROR(__xludf.DUMMYFUNCTION("""COMPUTED_VALUE"""),"RSC007910")</f>
        <v>RSC007910</v>
      </c>
      <c r="C3245" s="73" t="str">
        <f>IFERROR(__xludf.DUMMYFUNCTION("""COMPUTED_VALUE"""),"TTVCAPTAINDRC")</f>
        <v>TTVCAPTAINDRC</v>
      </c>
      <c r="D3245" s="73"/>
      <c r="E3245" s="82">
        <f>IFERROR(__xludf.DUMMYFUNCTION("""COMPUTED_VALUE"""),3.0)</f>
        <v>3</v>
      </c>
      <c r="F3245" s="82">
        <f>IFERROR(__xludf.DUMMYFUNCTION("""COMPUTED_VALUE"""),0.0)</f>
        <v>0</v>
      </c>
      <c r="G3245" s="86">
        <f>IFERROR(__xludf.DUMMYFUNCTION("""COMPUTED_VALUE"""),3.0)</f>
        <v>3</v>
      </c>
      <c r="H3245" s="86">
        <f>IFERROR(__xludf.DUMMYFUNCTION("""COMPUTED_VALUE"""),0.0)</f>
        <v>0</v>
      </c>
      <c r="I3245" s="86">
        <f>IFERROR(__xludf.DUMMYFUNCTION("""COMPUTED_VALUE"""),0.5)</f>
        <v>0.5</v>
      </c>
      <c r="J3245" s="82">
        <f>IFERROR(__xludf.DUMMYFUNCTION("""COMPUTED_VALUE"""),225.66666666666666)</f>
        <v>225.6666667</v>
      </c>
      <c r="K3245" s="82">
        <f>IFERROR(__xludf.DUMMYFUNCTION("""COMPUTED_VALUE"""),0.3333333333333333)</f>
        <v>0.3333333333</v>
      </c>
      <c r="L3245" s="82">
        <f>IFERROR(__xludf.DUMMYFUNCTION("""COMPUTED_VALUE"""),0.3333333333333333)</f>
        <v>0.3333333333</v>
      </c>
      <c r="M3245" s="82">
        <f>IFERROR(__xludf.DUMMYFUNCTION("""COMPUTED_VALUE"""),1.3333333333333333)</f>
        <v>1.333333333</v>
      </c>
      <c r="N3245" s="82">
        <f>IFERROR(__xludf.DUMMYFUNCTION("""COMPUTED_VALUE"""),0.6666666666666666)</f>
        <v>0.6666666667</v>
      </c>
      <c r="O3245" s="82">
        <f>IFERROR(__xludf.DUMMYFUNCTION("""COMPUTED_VALUE"""),338.4444444444444)</f>
        <v>338.4444444</v>
      </c>
      <c r="P3245" s="82">
        <f>IFERROR(__xludf.DUMMYFUNCTION("""COMPUTED_VALUE"""),1.111111111111111)</f>
        <v>1.111111111</v>
      </c>
      <c r="Q3245" s="82">
        <f>IFERROR(__xludf.DUMMYFUNCTION("""COMPUTED_VALUE"""),0.5555555555555555)</f>
        <v>0.5555555556</v>
      </c>
      <c r="R3245" s="82">
        <f>IFERROR(__xludf.DUMMYFUNCTION("""COMPUTED_VALUE"""),1.0)</f>
        <v>1</v>
      </c>
      <c r="S3245" s="82">
        <f>IFERROR(__xludf.DUMMYFUNCTION("""COMPUTED_VALUE"""),2.111111111111111)</f>
        <v>2.111111111</v>
      </c>
      <c r="T3245" s="82">
        <f>IFERROR(__xludf.DUMMYFUNCTION("""COMPUTED_VALUE"""),323.7785714285714)</f>
        <v>323.7785714</v>
      </c>
      <c r="U3245" s="82">
        <f>IFERROR(__xludf.DUMMYFUNCTION("""COMPUTED_VALUE"""),0.8116971916971917)</f>
        <v>0.8116971917</v>
      </c>
      <c r="V3245" s="82">
        <f>IFERROR(__xludf.DUMMYFUNCTION("""COMPUTED_VALUE"""),0.48449328449328455)</f>
        <v>0.4844932845</v>
      </c>
      <c r="W3245" s="82">
        <f>IFERROR(__xludf.DUMMYFUNCTION("""COMPUTED_VALUE"""),1.0862026862026861)</f>
        <v>1.086202686</v>
      </c>
      <c r="X3245" s="82">
        <f>IFERROR(__xludf.DUMMYFUNCTION("""COMPUTED_VALUE"""),2.220964590964591)</f>
        <v>2.220964591</v>
      </c>
      <c r="Y3245" s="82">
        <f>IFERROR(__xludf.DUMMYFUNCTION("""COMPUTED_VALUE"""),325.3235856735857)</f>
        <v>325.3235857</v>
      </c>
      <c r="Z3245" s="82">
        <f>IFERROR(__xludf.DUMMYFUNCTION("""COMPUTED_VALUE"""),0.7603011803011802)</f>
        <v>0.7603011803</v>
      </c>
      <c r="AA3245" s="82">
        <f>IFERROR(__xludf.DUMMYFUNCTION("""COMPUTED_VALUE"""),0.49997964997965)</f>
        <v>0.49997965</v>
      </c>
      <c r="AB3245" s="82">
        <f>IFERROR(__xludf.DUMMYFUNCTION("""COMPUTED_VALUE"""),1.124139194139194)</f>
        <v>1.124139194</v>
      </c>
      <c r="AC3245" s="82">
        <f>IFERROR(__xludf.DUMMYFUNCTION("""COMPUTED_VALUE"""),2.2817053317053317)</f>
        <v>2.281705332</v>
      </c>
      <c r="AD3245" s="82">
        <f>IFERROR(__xludf.DUMMYFUNCTION("""COMPUTED_VALUE"""),0.6936683247217431)</f>
        <v>0.6936683247</v>
      </c>
      <c r="AE3245" s="82">
        <f>IFERROR(__xludf.DUMMYFUNCTION("""COMPUTED_VALUE"""),0.43842274873398074)</f>
        <v>0.4384227487</v>
      </c>
      <c r="AF3245" s="82">
        <f>IFERROR(__xludf.DUMMYFUNCTION("""COMPUTED_VALUE"""),0.6666938011315071)</f>
        <v>0.6666938011</v>
      </c>
      <c r="AG3245" s="82">
        <f>IFERROR(__xludf.DUMMYFUNCTION("""COMPUTED_VALUE"""),1.1860927368112353)</f>
        <v>1.186092737</v>
      </c>
      <c r="AH3245" s="82">
        <f>IFERROR(__xludf.DUMMYFUNCTION("""COMPUTED_VALUE"""),0.29217912471125457)</f>
        <v>0.2921791247</v>
      </c>
      <c r="AI3245" s="82">
        <f>IFERROR(__xludf.DUMMYFUNCTION("""COMPUTED_VALUE"""),1.0452959964310313)</f>
        <v>1.045295996</v>
      </c>
      <c r="AJ3245" s="82">
        <f>IFERROR(__xludf.DUMMYFUNCTION("""COMPUTED_VALUE"""),1.368873913174283)</f>
        <v>1.368873913</v>
      </c>
      <c r="AK3245" s="82">
        <f>IFERROR(__xludf.DUMMYFUNCTION("""COMPUTED_VALUE"""),1.1466733870967738)</f>
        <v>1.146673387</v>
      </c>
      <c r="AL3245" s="82">
        <f>IFERROR(__xludf.DUMMYFUNCTION("""COMPUTED_VALUE"""),0.9206384892086331)</f>
        <v>0.9206384892</v>
      </c>
      <c r="AM3245" s="82">
        <f>IFERROR(__xludf.DUMMYFUNCTION("""COMPUTED_VALUE"""),0.9505379418022287)</f>
        <v>0.9505379418</v>
      </c>
      <c r="AN3245" s="82">
        <f>IFERROR(__xludf.DUMMYFUNCTION("""COMPUTED_VALUE"""),0.7239654034921341)</f>
        <v>0.7239654035</v>
      </c>
      <c r="AO3245" s="82">
        <f>IFERROR(__xludf.DUMMYFUNCTION("""COMPUTED_VALUE"""),0.4448707633394332)</f>
        <v>0.4448707633</v>
      </c>
      <c r="AP3245" s="82">
        <f>IFERROR(__xludf.DUMMYFUNCTION("""COMPUTED_VALUE"""),0.6502495093195642)</f>
        <v>0.6502495093</v>
      </c>
      <c r="AQ3245" s="82">
        <f>IFERROR(__xludf.DUMMYFUNCTION("""COMPUTED_VALUE"""),1.272665935499438)</f>
        <v>1.272665935</v>
      </c>
      <c r="AR3245" s="82">
        <f>IFERROR(__xludf.DUMMYFUNCTION("""COMPUTED_VALUE"""),0.3100248663048658)</f>
        <v>0.3100248663</v>
      </c>
      <c r="AS3245" s="82">
        <f>IFERROR(__xludf.DUMMYFUNCTION("""COMPUTED_VALUE"""),3.0)</f>
        <v>3</v>
      </c>
      <c r="AT3245" s="82">
        <f>IFERROR(__xludf.DUMMYFUNCTION("""COMPUTED_VALUE"""),0.13776982850528816)</f>
        <v>0.1377698285</v>
      </c>
      <c r="AU3245" s="82">
        <f>IFERROR(__xludf.DUMMYFUNCTION("""COMPUTED_VALUE"""),0.8556523764957877)</f>
        <v>0.8556523765</v>
      </c>
      <c r="AV3245" s="82">
        <f>IFERROR(__xludf.DUMMYFUNCTION("""COMPUTED_VALUE"""),9.817957744522325)</f>
        <v>9.817957745</v>
      </c>
      <c r="AW3245" s="82">
        <f t="shared" si="1"/>
        <v>-18.51978936</v>
      </c>
      <c r="AX3245" s="83">
        <f t="array" ref="AX3245">IFERROR(DGET('SBV Import'!A:G,"SBV",{"RSC ID","Tier";B3245,A3245}))</f>
        <v>18.36015953</v>
      </c>
      <c r="AY3245" s="82">
        <f t="shared" si="2"/>
        <v>-9.724854124</v>
      </c>
      <c r="AZ3245" s="82">
        <v>8.794935234932343</v>
      </c>
      <c r="BA3245" s="84">
        <v>3200.0</v>
      </c>
      <c r="BB3245" s="84" t="b">
        <f>IFERROR(__xludf.DUMMYFUNCTION("iferror(if(A3245="""",,E3245&gt;=FILTER(Constants!$F$2:$F$10,Constants!$A$2:$A$10=A3245)))"),TRUE)</f>
        <v>1</v>
      </c>
    </row>
    <row r="3246">
      <c r="A3246" s="89" t="str">
        <f>IFERROR(__xludf.DUMMYFUNCTION("""COMPUTED_VALUE"""),"Contender")</f>
        <v>Contender</v>
      </c>
      <c r="B3246" s="87" t="str">
        <f>IFERROR(__xludf.DUMMYFUNCTION("""COMPUTED_VALUE"""),"RSC001765")</f>
        <v>RSC001765</v>
      </c>
      <c r="C3246" s="73" t="str">
        <f>IFERROR(__xludf.DUMMYFUNCTION("""COMPUTED_VALUE"""),"Trios")</f>
        <v>Trios</v>
      </c>
      <c r="D3246" s="73"/>
      <c r="E3246" s="82">
        <f>IFERROR(__xludf.DUMMYFUNCTION("""COMPUTED_VALUE"""),4.0)</f>
        <v>4</v>
      </c>
      <c r="F3246" s="82">
        <f>IFERROR(__xludf.DUMMYFUNCTION("""COMPUTED_VALUE"""),1.0)</f>
        <v>1</v>
      </c>
      <c r="G3246" s="86">
        <f>IFERROR(__xludf.DUMMYFUNCTION("""COMPUTED_VALUE"""),3.0)</f>
        <v>3</v>
      </c>
      <c r="H3246" s="86">
        <f>IFERROR(__xludf.DUMMYFUNCTION("""COMPUTED_VALUE"""),0.25)</f>
        <v>0.25</v>
      </c>
      <c r="I3246" s="86">
        <f>IFERROR(__xludf.DUMMYFUNCTION("""COMPUTED_VALUE"""),0.16666666666666666)</f>
        <v>0.1666666667</v>
      </c>
      <c r="J3246" s="82">
        <f>IFERROR(__xludf.DUMMYFUNCTION("""COMPUTED_VALUE"""),204.75)</f>
        <v>204.75</v>
      </c>
      <c r="K3246" s="82">
        <f>IFERROR(__xludf.DUMMYFUNCTION("""COMPUTED_VALUE"""),0.25)</f>
        <v>0.25</v>
      </c>
      <c r="L3246" s="82">
        <f>IFERROR(__xludf.DUMMYFUNCTION("""COMPUTED_VALUE"""),0.25)</f>
        <v>0.25</v>
      </c>
      <c r="M3246" s="82">
        <f>IFERROR(__xludf.DUMMYFUNCTION("""COMPUTED_VALUE"""),0.75)</f>
        <v>0.75</v>
      </c>
      <c r="N3246" s="82">
        <f>IFERROR(__xludf.DUMMYFUNCTION("""COMPUTED_VALUE"""),1.5)</f>
        <v>1.5</v>
      </c>
      <c r="O3246" s="82">
        <f>IFERROR(__xludf.DUMMYFUNCTION("""COMPUTED_VALUE"""),376.25)</f>
        <v>376.25</v>
      </c>
      <c r="P3246" s="82">
        <f>IFERROR(__xludf.DUMMYFUNCTION("""COMPUTED_VALUE"""),1.5)</f>
        <v>1.5</v>
      </c>
      <c r="Q3246" s="82">
        <f>IFERROR(__xludf.DUMMYFUNCTION("""COMPUTED_VALUE"""),0.9166666666666666)</f>
        <v>0.9166666667</v>
      </c>
      <c r="R3246" s="82">
        <f>IFERROR(__xludf.DUMMYFUNCTION("""COMPUTED_VALUE"""),0.6666666666666666)</f>
        <v>0.6666666667</v>
      </c>
      <c r="S3246" s="82">
        <f>IFERROR(__xludf.DUMMYFUNCTION("""COMPUTED_VALUE"""),2.7499999999999996)</f>
        <v>2.75</v>
      </c>
      <c r="T3246" s="82">
        <f>IFERROR(__xludf.DUMMYFUNCTION("""COMPUTED_VALUE"""),307.50123456790124)</f>
        <v>307.5012346</v>
      </c>
      <c r="U3246" s="82">
        <f>IFERROR(__xludf.DUMMYFUNCTION("""COMPUTED_VALUE"""),0.7275132275132276)</f>
        <v>0.7275132275</v>
      </c>
      <c r="V3246" s="82">
        <f>IFERROR(__xludf.DUMMYFUNCTION("""COMPUTED_VALUE"""),0.45255731922398584)</f>
        <v>0.4525573192</v>
      </c>
      <c r="W3246" s="82">
        <f>IFERROR(__xludf.DUMMYFUNCTION("""COMPUTED_VALUE"""),0.9481481481481482)</f>
        <v>0.9481481481</v>
      </c>
      <c r="X3246" s="82">
        <f>IFERROR(__xludf.DUMMYFUNCTION("""COMPUTED_VALUE"""),2.2606701940035276)</f>
        <v>2.260670194</v>
      </c>
      <c r="Y3246" s="82">
        <f>IFERROR(__xludf.DUMMYFUNCTION("""COMPUTED_VALUE"""),323.3660787771899)</f>
        <v>323.3660788</v>
      </c>
      <c r="Z3246" s="82">
        <f>IFERROR(__xludf.DUMMYFUNCTION("""COMPUTED_VALUE"""),0.8556731334509111)</f>
        <v>0.8556731335</v>
      </c>
      <c r="AA3246" s="82">
        <f>IFERROR(__xludf.DUMMYFUNCTION("""COMPUTED_VALUE"""),0.5726631393298061)</f>
        <v>0.5726631393</v>
      </c>
      <c r="AB3246" s="82">
        <f>IFERROR(__xludf.DUMMYFUNCTION("""COMPUTED_VALUE"""),0.996355085243974)</f>
        <v>0.9963550852</v>
      </c>
      <c r="AC3246" s="82">
        <f>IFERROR(__xludf.DUMMYFUNCTION("""COMPUTED_VALUE"""),2.1648442092886544)</f>
        <v>2.164844209</v>
      </c>
      <c r="AD3246" s="82">
        <f>IFERROR(__xludf.DUMMYFUNCTION("""COMPUTED_VALUE"""),0.633183297315114)</f>
        <v>0.6331832973</v>
      </c>
      <c r="AE3246" s="82">
        <f>IFERROR(__xludf.DUMMYFUNCTION("""COMPUTED_VALUE"""),0.29216763998625905)</f>
        <v>0.29216764</v>
      </c>
      <c r="AF3246" s="82">
        <f>IFERROR(__xludf.DUMMYFUNCTION("""COMPUTED_VALUE"""),0.43655682168155213)</f>
        <v>0.4365568217</v>
      </c>
      <c r="AG3246" s="82">
        <f>IFERROR(__xludf.DUMMYFUNCTION("""COMPUTED_VALUE"""),0.7527436865706869)</f>
        <v>0.7527436866</v>
      </c>
      <c r="AH3246" s="82">
        <f>IFERROR(__xludf.DUMMYFUNCTION("""COMPUTED_VALUE"""),0.692890506191614)</f>
        <v>0.6928905062</v>
      </c>
      <c r="AI3246" s="82">
        <f>IFERROR(__xludf.DUMMYFUNCTION("""COMPUTED_VALUE"""),1.2235723233069424)</f>
        <v>1.223572323</v>
      </c>
      <c r="AJ3246" s="82">
        <f>IFERROR(__xludf.DUMMYFUNCTION("""COMPUTED_VALUE"""),2.0618181818181816)</f>
        <v>2.061818182</v>
      </c>
      <c r="AK3246" s="82">
        <f>IFERROR(__xludf.DUMMYFUNCTION("""COMPUTED_VALUE"""),2.0255261106780984)</f>
        <v>2.025526111</v>
      </c>
      <c r="AL3246" s="82">
        <f>IFERROR(__xludf.DUMMYFUNCTION("""COMPUTED_VALUE"""),0.7031249999999999)</f>
        <v>0.703125</v>
      </c>
      <c r="AM3246" s="82">
        <f>IFERROR(__xludf.DUMMYFUNCTION("""COMPUTED_VALUE"""),1.2164534248712744)</f>
        <v>1.216453425</v>
      </c>
      <c r="AN3246" s="82">
        <f>IFERROR(__xludf.DUMMYFUNCTION("""COMPUTED_VALUE"""),0.656862258633742)</f>
        <v>0.6568622586</v>
      </c>
      <c r="AO3246" s="82">
        <f>IFERROR(__xludf.DUMMYFUNCTION("""COMPUTED_VALUE"""),0.33365307250457493)</f>
        <v>0.3336530725</v>
      </c>
      <c r="AP3246" s="82">
        <f>IFERROR(__xludf.DUMMYFUNCTION("""COMPUTED_VALUE"""),0.4876871319896732)</f>
        <v>0.487687132</v>
      </c>
      <c r="AQ3246" s="82">
        <f>IFERROR(__xludf.DUMMYFUNCTION("""COMPUTED_VALUE"""),0.715874588718434)</f>
        <v>0.7158745887</v>
      </c>
      <c r="AR3246" s="82">
        <f>IFERROR(__xludf.DUMMYFUNCTION("""COMPUTED_VALUE"""),0.6975559491859481)</f>
        <v>0.6975559492</v>
      </c>
      <c r="AS3246" s="82">
        <f>IFERROR(__xludf.DUMMYFUNCTION("""COMPUTED_VALUE"""),10.0)</f>
        <v>10</v>
      </c>
      <c r="AT3246" s="82">
        <f>IFERROR(__xludf.DUMMYFUNCTION("""COMPUTED_VALUE"""),0.26357777693216294)</f>
        <v>0.2635777769</v>
      </c>
      <c r="AU3246" s="82">
        <f>IFERROR(__xludf.DUMMYFUNCTION("""COMPUTED_VALUE"""),0.11332600123641218)</f>
        <v>0.1133260012</v>
      </c>
      <c r="AV3246" s="82">
        <f>IFERROR(__xludf.DUMMYFUNCTION("""COMPUTED_VALUE"""),-2.981464768239576)</f>
        <v>-2.981464768</v>
      </c>
      <c r="AW3246" s="82">
        <f t="shared" si="1"/>
        <v>-58.7050503</v>
      </c>
      <c r="AX3246" s="83">
        <f t="array" ref="AX3246">IFERROR(DGET('SBV Import'!A:G,"SBV",{"RSC ID","Tier";B3246,A3246}))</f>
        <v>-0.9567060664</v>
      </c>
      <c r="AY3246" s="82">
        <f t="shared" si="2"/>
        <v>-48.16594438</v>
      </c>
      <c r="AZ3246" s="82">
        <v>10.539105916730819</v>
      </c>
      <c r="BA3246" s="84">
        <v>3200.0</v>
      </c>
      <c r="BB3246" s="84" t="b">
        <f>IFERROR(__xludf.DUMMYFUNCTION("iferror(if(A3246="""",,E3246&gt;=FILTER(Constants!$F$2:$F$10,Constants!$A$2:$A$10=A3246)))"),TRUE)</f>
        <v>1</v>
      </c>
    </row>
    <row r="3247">
      <c r="A3247" s="89"/>
      <c r="B3247" s="87"/>
      <c r="C3247" s="73"/>
      <c r="D3247" s="73"/>
      <c r="E3247" s="82"/>
      <c r="F3247" s="82"/>
      <c r="G3247" s="86"/>
      <c r="H3247" s="86"/>
      <c r="I3247" s="86"/>
      <c r="J3247" s="82"/>
      <c r="K3247" s="82"/>
      <c r="L3247" s="82"/>
      <c r="M3247" s="82"/>
      <c r="N3247" s="82"/>
      <c r="O3247" s="82"/>
      <c r="P3247" s="82"/>
      <c r="Q3247" s="82"/>
      <c r="R3247" s="82"/>
      <c r="S3247" s="82"/>
      <c r="T3247" s="82"/>
      <c r="U3247" s="82"/>
      <c r="V3247" s="82"/>
      <c r="W3247" s="82"/>
      <c r="X3247" s="82"/>
      <c r="Y3247" s="82"/>
      <c r="Z3247" s="82"/>
      <c r="AA3247" s="82"/>
      <c r="AB3247" s="82"/>
      <c r="AC3247" s="82"/>
      <c r="AD3247" s="82"/>
      <c r="AE3247" s="82"/>
      <c r="AF3247" s="82"/>
      <c r="AG3247" s="82"/>
      <c r="AH3247" s="82"/>
      <c r="AI3247" s="82"/>
      <c r="AJ3247" s="82"/>
      <c r="AK3247" s="82"/>
      <c r="AL3247" s="82"/>
      <c r="AM3247" s="82"/>
      <c r="AN3247" s="82">
        <f>IFERROR(__xludf.DUMMYFUNCTION("""COMPUTED_VALUE"""),0.0)</f>
        <v>0</v>
      </c>
      <c r="AO3247" s="82">
        <f>IFERROR(__xludf.DUMMYFUNCTION("""COMPUTED_VALUE"""),0.0)</f>
        <v>0</v>
      </c>
      <c r="AP3247" s="82">
        <f>IFERROR(__xludf.DUMMYFUNCTION("""COMPUTED_VALUE"""),0.0)</f>
        <v>0</v>
      </c>
      <c r="AQ3247" s="82">
        <f>IFERROR(__xludf.DUMMYFUNCTION("""COMPUTED_VALUE"""),0.0)</f>
        <v>0</v>
      </c>
      <c r="AR3247" s="82">
        <f>IFERROR(__xludf.DUMMYFUNCTION("""COMPUTED_VALUE"""),0.0)</f>
        <v>0</v>
      </c>
      <c r="AS3247" s="82"/>
      <c r="AT3247" s="82">
        <f>IFERROR(__xludf.DUMMYFUNCTION("""COMPUTED_VALUE"""),0.0)</f>
        <v>0</v>
      </c>
      <c r="AU3247" s="82"/>
      <c r="AV3247" s="82"/>
      <c r="AW3247" s="82" t="str">
        <f t="shared" si="1"/>
        <v/>
      </c>
      <c r="AX3247" s="83" t="str">
        <f t="array" ref="AX3247">IFERROR(DGET('SBV Import'!A:G,"SBV",{"RSC ID","Tier";B3247,A3247}))</f>
        <v/>
      </c>
      <c r="AY3247" s="82" t="str">
        <f t="shared" si="2"/>
        <v/>
      </c>
      <c r="AZ3247" s="82"/>
      <c r="BA3247" s="84" t="s">
        <v>152</v>
      </c>
      <c r="BB3247" s="84" t="str">
        <f>IFERROR(__xludf.DUMMYFUNCTION("iferror(if(A3247="""",,E3247&gt;=FILTER(Constants!$F$2:$F$10,Constants!$A$2:$A$10=A3247)))"),"")</f>
        <v/>
      </c>
    </row>
    <row r="3248">
      <c r="A3248" s="89"/>
      <c r="B3248" s="87"/>
      <c r="C3248" s="73"/>
      <c r="D3248" s="73"/>
      <c r="E3248" s="82"/>
      <c r="F3248" s="82"/>
      <c r="G3248" s="86"/>
      <c r="H3248" s="86"/>
      <c r="I3248" s="86"/>
      <c r="J3248" s="82"/>
      <c r="K3248" s="82"/>
      <c r="L3248" s="82"/>
      <c r="M3248" s="82"/>
      <c r="N3248" s="82"/>
      <c r="O3248" s="82"/>
      <c r="P3248" s="82"/>
      <c r="Q3248" s="82"/>
      <c r="R3248" s="82"/>
      <c r="S3248" s="82"/>
      <c r="T3248" s="82"/>
      <c r="U3248" s="82"/>
      <c r="V3248" s="82"/>
      <c r="W3248" s="82"/>
      <c r="X3248" s="82"/>
      <c r="Y3248" s="82"/>
      <c r="Z3248" s="82"/>
      <c r="AA3248" s="82"/>
      <c r="AB3248" s="82"/>
      <c r="AC3248" s="82"/>
      <c r="AD3248" s="82"/>
      <c r="AE3248" s="82"/>
      <c r="AF3248" s="82"/>
      <c r="AG3248" s="82"/>
      <c r="AH3248" s="82"/>
      <c r="AI3248" s="82"/>
      <c r="AJ3248" s="82"/>
      <c r="AK3248" s="82"/>
      <c r="AL3248" s="82"/>
      <c r="AM3248" s="82"/>
      <c r="AN3248" s="82">
        <f>IFERROR(__xludf.DUMMYFUNCTION("""COMPUTED_VALUE"""),0.0)</f>
        <v>0</v>
      </c>
      <c r="AO3248" s="82">
        <f>IFERROR(__xludf.DUMMYFUNCTION("""COMPUTED_VALUE"""),0.0)</f>
        <v>0</v>
      </c>
      <c r="AP3248" s="82">
        <f>IFERROR(__xludf.DUMMYFUNCTION("""COMPUTED_VALUE"""),0.0)</f>
        <v>0</v>
      </c>
      <c r="AQ3248" s="82">
        <f>IFERROR(__xludf.DUMMYFUNCTION("""COMPUTED_VALUE"""),0.0)</f>
        <v>0</v>
      </c>
      <c r="AR3248" s="82">
        <f>IFERROR(__xludf.DUMMYFUNCTION("""COMPUTED_VALUE"""),0.0)</f>
        <v>0</v>
      </c>
      <c r="AS3248" s="82"/>
      <c r="AT3248" s="82">
        <f>IFERROR(__xludf.DUMMYFUNCTION("""COMPUTED_VALUE"""),0.0)</f>
        <v>0</v>
      </c>
      <c r="AU3248" s="82"/>
      <c r="AV3248" s="82"/>
      <c r="AW3248" s="82" t="str">
        <f t="shared" si="1"/>
        <v/>
      </c>
      <c r="AX3248" s="83" t="str">
        <f t="array" ref="AX3248">IFERROR(DGET('SBV Import'!A:G,"SBV",{"RSC ID","Tier";B3248,A3248}))</f>
        <v/>
      </c>
      <c r="AY3248" s="82" t="str">
        <f t="shared" si="2"/>
        <v/>
      </c>
      <c r="AZ3248" s="82"/>
      <c r="BA3248" s="84" t="s">
        <v>152</v>
      </c>
      <c r="BB3248" s="84" t="str">
        <f>IFERROR(__xludf.DUMMYFUNCTION("iferror(if(A3248="""",,E3248&gt;=FILTER(Constants!$F$2:$F$10,Constants!$A$2:$A$10=A3248)))"),"")</f>
        <v/>
      </c>
    </row>
    <row r="3249">
      <c r="A3249" s="89"/>
      <c r="B3249" s="87"/>
      <c r="C3249" s="73"/>
      <c r="D3249" s="73"/>
      <c r="E3249" s="82"/>
      <c r="F3249" s="82"/>
      <c r="G3249" s="86"/>
      <c r="H3249" s="86"/>
      <c r="I3249" s="86"/>
      <c r="J3249" s="82"/>
      <c r="K3249" s="82"/>
      <c r="L3249" s="82"/>
      <c r="M3249" s="82"/>
      <c r="N3249" s="82"/>
      <c r="O3249" s="82"/>
      <c r="P3249" s="82"/>
      <c r="Q3249" s="82"/>
      <c r="R3249" s="82"/>
      <c r="S3249" s="82"/>
      <c r="T3249" s="82"/>
      <c r="U3249" s="82"/>
      <c r="V3249" s="82"/>
      <c r="W3249" s="82"/>
      <c r="X3249" s="82"/>
      <c r="Y3249" s="82"/>
      <c r="Z3249" s="82"/>
      <c r="AA3249" s="82"/>
      <c r="AB3249" s="82"/>
      <c r="AC3249" s="82"/>
      <c r="AD3249" s="82"/>
      <c r="AE3249" s="82"/>
      <c r="AF3249" s="82"/>
      <c r="AG3249" s="82"/>
      <c r="AH3249" s="82"/>
      <c r="AI3249" s="82"/>
      <c r="AJ3249" s="82"/>
      <c r="AK3249" s="82"/>
      <c r="AL3249" s="82"/>
      <c r="AM3249" s="82"/>
      <c r="AN3249" s="82">
        <f>IFERROR(__xludf.DUMMYFUNCTION("""COMPUTED_VALUE"""),0.0)</f>
        <v>0</v>
      </c>
      <c r="AO3249" s="82">
        <f>IFERROR(__xludf.DUMMYFUNCTION("""COMPUTED_VALUE"""),0.0)</f>
        <v>0</v>
      </c>
      <c r="AP3249" s="82">
        <f>IFERROR(__xludf.DUMMYFUNCTION("""COMPUTED_VALUE"""),0.0)</f>
        <v>0</v>
      </c>
      <c r="AQ3249" s="82">
        <f>IFERROR(__xludf.DUMMYFUNCTION("""COMPUTED_VALUE"""),0.0)</f>
        <v>0</v>
      </c>
      <c r="AR3249" s="82">
        <f>IFERROR(__xludf.DUMMYFUNCTION("""COMPUTED_VALUE"""),0.0)</f>
        <v>0</v>
      </c>
      <c r="AS3249" s="82"/>
      <c r="AT3249" s="82">
        <f>IFERROR(__xludf.DUMMYFUNCTION("""COMPUTED_VALUE"""),0.0)</f>
        <v>0</v>
      </c>
      <c r="AU3249" s="82"/>
      <c r="AV3249" s="82"/>
      <c r="AW3249" s="82" t="str">
        <f t="shared" si="1"/>
        <v/>
      </c>
      <c r="AX3249" s="83" t="str">
        <f t="array" ref="AX3249">IFERROR(DGET('SBV Import'!A:G,"SBV",{"RSC ID","Tier";B3249,A3249}))</f>
        <v/>
      </c>
      <c r="AY3249" s="82" t="str">
        <f t="shared" si="2"/>
        <v/>
      </c>
      <c r="AZ3249" s="82"/>
      <c r="BA3249" s="84" t="s">
        <v>152</v>
      </c>
      <c r="BB3249" s="84" t="str">
        <f>IFERROR(__xludf.DUMMYFUNCTION("iferror(if(A3249="""",,E3249&gt;=FILTER(Constants!$F$2:$F$10,Constants!$A$2:$A$10=A3249)))"),"")</f>
        <v/>
      </c>
    </row>
    <row r="3250">
      <c r="A3250" s="89"/>
      <c r="B3250" s="87"/>
      <c r="C3250" s="73"/>
      <c r="D3250" s="73"/>
      <c r="E3250" s="82"/>
      <c r="F3250" s="82"/>
      <c r="G3250" s="86"/>
      <c r="H3250" s="86"/>
      <c r="I3250" s="86"/>
      <c r="J3250" s="82"/>
      <c r="K3250" s="82"/>
      <c r="L3250" s="82"/>
      <c r="M3250" s="82"/>
      <c r="N3250" s="82"/>
      <c r="O3250" s="82"/>
      <c r="P3250" s="82"/>
      <c r="Q3250" s="82"/>
      <c r="R3250" s="82"/>
      <c r="S3250" s="82"/>
      <c r="T3250" s="82"/>
      <c r="U3250" s="82"/>
      <c r="V3250" s="82"/>
      <c r="W3250" s="82"/>
      <c r="X3250" s="82"/>
      <c r="Y3250" s="82"/>
      <c r="Z3250" s="82"/>
      <c r="AA3250" s="82"/>
      <c r="AB3250" s="82"/>
      <c r="AC3250" s="82"/>
      <c r="AD3250" s="82"/>
      <c r="AE3250" s="82"/>
      <c r="AF3250" s="82"/>
      <c r="AG3250" s="82"/>
      <c r="AH3250" s="82"/>
      <c r="AI3250" s="82"/>
      <c r="AJ3250" s="82"/>
      <c r="AK3250" s="82"/>
      <c r="AL3250" s="82"/>
      <c r="AM3250" s="82"/>
      <c r="AN3250" s="82">
        <f>IFERROR(__xludf.DUMMYFUNCTION("""COMPUTED_VALUE"""),0.0)</f>
        <v>0</v>
      </c>
      <c r="AO3250" s="82">
        <f>IFERROR(__xludf.DUMMYFUNCTION("""COMPUTED_VALUE"""),0.0)</f>
        <v>0</v>
      </c>
      <c r="AP3250" s="82">
        <f>IFERROR(__xludf.DUMMYFUNCTION("""COMPUTED_VALUE"""),0.0)</f>
        <v>0</v>
      </c>
      <c r="AQ3250" s="82">
        <f>IFERROR(__xludf.DUMMYFUNCTION("""COMPUTED_VALUE"""),0.0)</f>
        <v>0</v>
      </c>
      <c r="AR3250" s="82">
        <f>IFERROR(__xludf.DUMMYFUNCTION("""COMPUTED_VALUE"""),0.0)</f>
        <v>0</v>
      </c>
      <c r="AS3250" s="82"/>
      <c r="AT3250" s="82">
        <f>IFERROR(__xludf.DUMMYFUNCTION("""COMPUTED_VALUE"""),0.0)</f>
        <v>0</v>
      </c>
      <c r="AU3250" s="82"/>
      <c r="AV3250" s="82"/>
      <c r="AW3250" s="82" t="str">
        <f t="shared" si="1"/>
        <v/>
      </c>
      <c r="AX3250" s="83" t="str">
        <f t="array" ref="AX3250">IFERROR(DGET('SBV Import'!A:G,"SBV",{"RSC ID","Tier";B3250,A3250}))</f>
        <v/>
      </c>
      <c r="AY3250" s="82" t="str">
        <f t="shared" si="2"/>
        <v/>
      </c>
      <c r="AZ3250" s="82"/>
      <c r="BA3250" s="84" t="s">
        <v>152</v>
      </c>
      <c r="BB3250" s="84" t="str">
        <f>IFERROR(__xludf.DUMMYFUNCTION("iferror(if(A3250="""",,E3250&gt;=FILTER(Constants!$F$2:$F$10,Constants!$A$2:$A$10=A3250)))"),"")</f>
        <v/>
      </c>
    </row>
    <row r="3251">
      <c r="A3251" s="89"/>
      <c r="B3251" s="87"/>
      <c r="C3251" s="73"/>
      <c r="D3251" s="73"/>
      <c r="E3251" s="82"/>
      <c r="F3251" s="82"/>
      <c r="G3251" s="86"/>
      <c r="H3251" s="86"/>
      <c r="I3251" s="86"/>
      <c r="J3251" s="82"/>
      <c r="K3251" s="82"/>
      <c r="L3251" s="82"/>
      <c r="M3251" s="82"/>
      <c r="N3251" s="82"/>
      <c r="O3251" s="82"/>
      <c r="P3251" s="82"/>
      <c r="Q3251" s="82"/>
      <c r="R3251" s="82"/>
      <c r="S3251" s="82"/>
      <c r="T3251" s="82"/>
      <c r="U3251" s="82"/>
      <c r="V3251" s="82"/>
      <c r="W3251" s="82"/>
      <c r="X3251" s="82"/>
      <c r="Y3251" s="82"/>
      <c r="Z3251" s="82"/>
      <c r="AA3251" s="82"/>
      <c r="AB3251" s="82"/>
      <c r="AC3251" s="82"/>
      <c r="AD3251" s="82"/>
      <c r="AE3251" s="82"/>
      <c r="AF3251" s="82"/>
      <c r="AG3251" s="82"/>
      <c r="AH3251" s="82"/>
      <c r="AI3251" s="82"/>
      <c r="AJ3251" s="82"/>
      <c r="AK3251" s="82"/>
      <c r="AL3251" s="82"/>
      <c r="AM3251" s="82"/>
      <c r="AN3251" s="82">
        <f>IFERROR(__xludf.DUMMYFUNCTION("""COMPUTED_VALUE"""),0.0)</f>
        <v>0</v>
      </c>
      <c r="AO3251" s="82">
        <f>IFERROR(__xludf.DUMMYFUNCTION("""COMPUTED_VALUE"""),0.0)</f>
        <v>0</v>
      </c>
      <c r="AP3251" s="82">
        <f>IFERROR(__xludf.DUMMYFUNCTION("""COMPUTED_VALUE"""),0.0)</f>
        <v>0</v>
      </c>
      <c r="AQ3251" s="82">
        <f>IFERROR(__xludf.DUMMYFUNCTION("""COMPUTED_VALUE"""),0.0)</f>
        <v>0</v>
      </c>
      <c r="AR3251" s="82">
        <f>IFERROR(__xludf.DUMMYFUNCTION("""COMPUTED_VALUE"""),0.0)</f>
        <v>0</v>
      </c>
      <c r="AS3251" s="82"/>
      <c r="AT3251" s="82">
        <f>IFERROR(__xludf.DUMMYFUNCTION("""COMPUTED_VALUE"""),0.0)</f>
        <v>0</v>
      </c>
      <c r="AU3251" s="82"/>
      <c r="AV3251" s="82"/>
      <c r="AW3251" s="82" t="str">
        <f t="shared" si="1"/>
        <v/>
      </c>
      <c r="AX3251" s="83" t="str">
        <f t="array" ref="AX3251">IFERROR(DGET('SBV Import'!A:G,"SBV",{"RSC ID","Tier";B3251,A3251}))</f>
        <v/>
      </c>
      <c r="AY3251" s="82" t="str">
        <f t="shared" si="2"/>
        <v/>
      </c>
      <c r="AZ3251" s="82"/>
      <c r="BA3251" s="84" t="s">
        <v>152</v>
      </c>
      <c r="BB3251" s="84" t="str">
        <f>IFERROR(__xludf.DUMMYFUNCTION("iferror(if(A3251="""",,E3251&gt;=FILTER(Constants!$F$2:$F$10,Constants!$A$2:$A$10=A3251)))"),"")</f>
        <v/>
      </c>
    </row>
    <row r="3252">
      <c r="A3252" s="89"/>
      <c r="B3252" s="87"/>
      <c r="C3252" s="73"/>
      <c r="D3252" s="73"/>
      <c r="E3252" s="82"/>
      <c r="F3252" s="82"/>
      <c r="G3252" s="86"/>
      <c r="H3252" s="86"/>
      <c r="I3252" s="86"/>
      <c r="J3252" s="82"/>
      <c r="K3252" s="82"/>
      <c r="L3252" s="82"/>
      <c r="M3252" s="82"/>
      <c r="N3252" s="82"/>
      <c r="O3252" s="82"/>
      <c r="P3252" s="82"/>
      <c r="Q3252" s="82"/>
      <c r="R3252" s="82"/>
      <c r="S3252" s="82"/>
      <c r="T3252" s="82"/>
      <c r="U3252" s="82"/>
      <c r="V3252" s="82"/>
      <c r="W3252" s="82"/>
      <c r="X3252" s="82"/>
      <c r="Y3252" s="82"/>
      <c r="Z3252" s="82"/>
      <c r="AA3252" s="82"/>
      <c r="AB3252" s="82"/>
      <c r="AC3252" s="82"/>
      <c r="AD3252" s="82"/>
      <c r="AE3252" s="82"/>
      <c r="AF3252" s="82"/>
      <c r="AG3252" s="82"/>
      <c r="AH3252" s="82"/>
      <c r="AI3252" s="82"/>
      <c r="AJ3252" s="82"/>
      <c r="AK3252" s="82"/>
      <c r="AL3252" s="82"/>
      <c r="AM3252" s="82"/>
      <c r="AN3252" s="82">
        <f>IFERROR(__xludf.DUMMYFUNCTION("""COMPUTED_VALUE"""),0.0)</f>
        <v>0</v>
      </c>
      <c r="AO3252" s="82">
        <f>IFERROR(__xludf.DUMMYFUNCTION("""COMPUTED_VALUE"""),0.0)</f>
        <v>0</v>
      </c>
      <c r="AP3252" s="82">
        <f>IFERROR(__xludf.DUMMYFUNCTION("""COMPUTED_VALUE"""),0.0)</f>
        <v>0</v>
      </c>
      <c r="AQ3252" s="82">
        <f>IFERROR(__xludf.DUMMYFUNCTION("""COMPUTED_VALUE"""),0.0)</f>
        <v>0</v>
      </c>
      <c r="AR3252" s="82">
        <f>IFERROR(__xludf.DUMMYFUNCTION("""COMPUTED_VALUE"""),0.0)</f>
        <v>0</v>
      </c>
      <c r="AS3252" s="82"/>
      <c r="AT3252" s="82">
        <f>IFERROR(__xludf.DUMMYFUNCTION("""COMPUTED_VALUE"""),0.0)</f>
        <v>0</v>
      </c>
      <c r="AU3252" s="82"/>
      <c r="AV3252" s="82"/>
      <c r="AW3252" s="82" t="str">
        <f t="shared" si="1"/>
        <v/>
      </c>
      <c r="AX3252" s="83" t="str">
        <f t="array" ref="AX3252">IFERROR(DGET('SBV Import'!A:G,"SBV",{"RSC ID","Tier";B3252,A3252}))</f>
        <v/>
      </c>
      <c r="AY3252" s="82" t="str">
        <f t="shared" si="2"/>
        <v/>
      </c>
      <c r="AZ3252" s="82"/>
      <c r="BA3252" s="84" t="s">
        <v>152</v>
      </c>
      <c r="BB3252" s="84" t="str">
        <f>IFERROR(__xludf.DUMMYFUNCTION("iferror(if(A3252="""",,E3252&gt;=FILTER(Constants!$F$2:$F$10,Constants!$A$2:$A$10=A3252)))"),"")</f>
        <v/>
      </c>
    </row>
    <row r="3253">
      <c r="A3253" s="89"/>
      <c r="B3253" s="87"/>
      <c r="C3253" s="73"/>
      <c r="D3253" s="73"/>
      <c r="E3253" s="82"/>
      <c r="F3253" s="82"/>
      <c r="G3253" s="86"/>
      <c r="H3253" s="86"/>
      <c r="I3253" s="86"/>
      <c r="J3253" s="82"/>
      <c r="K3253" s="82"/>
      <c r="L3253" s="82"/>
      <c r="M3253" s="82"/>
      <c r="N3253" s="82"/>
      <c r="O3253" s="82"/>
      <c r="P3253" s="82"/>
      <c r="Q3253" s="82"/>
      <c r="R3253" s="82"/>
      <c r="S3253" s="82"/>
      <c r="T3253" s="82"/>
      <c r="U3253" s="82"/>
      <c r="V3253" s="82"/>
      <c r="W3253" s="82"/>
      <c r="X3253" s="82"/>
      <c r="Y3253" s="82"/>
      <c r="Z3253" s="82"/>
      <c r="AA3253" s="82"/>
      <c r="AB3253" s="82"/>
      <c r="AC3253" s="82"/>
      <c r="AD3253" s="82"/>
      <c r="AE3253" s="82"/>
      <c r="AF3253" s="82"/>
      <c r="AG3253" s="82"/>
      <c r="AH3253" s="82"/>
      <c r="AI3253" s="82"/>
      <c r="AJ3253" s="82"/>
      <c r="AK3253" s="82"/>
      <c r="AL3253" s="82"/>
      <c r="AM3253" s="82"/>
      <c r="AN3253" s="82">
        <f>IFERROR(__xludf.DUMMYFUNCTION("""COMPUTED_VALUE"""),0.0)</f>
        <v>0</v>
      </c>
      <c r="AO3253" s="82">
        <f>IFERROR(__xludf.DUMMYFUNCTION("""COMPUTED_VALUE"""),0.0)</f>
        <v>0</v>
      </c>
      <c r="AP3253" s="82">
        <f>IFERROR(__xludf.DUMMYFUNCTION("""COMPUTED_VALUE"""),0.0)</f>
        <v>0</v>
      </c>
      <c r="AQ3253" s="82">
        <f>IFERROR(__xludf.DUMMYFUNCTION("""COMPUTED_VALUE"""),0.0)</f>
        <v>0</v>
      </c>
      <c r="AR3253" s="82">
        <f>IFERROR(__xludf.DUMMYFUNCTION("""COMPUTED_VALUE"""),0.0)</f>
        <v>0</v>
      </c>
      <c r="AS3253" s="82"/>
      <c r="AT3253" s="82">
        <f>IFERROR(__xludf.DUMMYFUNCTION("""COMPUTED_VALUE"""),0.0)</f>
        <v>0</v>
      </c>
      <c r="AU3253" s="82"/>
      <c r="AV3253" s="82"/>
      <c r="AW3253" s="82" t="str">
        <f t="shared" si="1"/>
        <v/>
      </c>
      <c r="AX3253" s="83" t="str">
        <f t="array" ref="AX3253">IFERROR(DGET('SBV Import'!A:G,"SBV",{"RSC ID","Tier";B3253,A3253}))</f>
        <v/>
      </c>
      <c r="AY3253" s="82" t="str">
        <f t="shared" si="2"/>
        <v/>
      </c>
      <c r="AZ3253" s="82"/>
      <c r="BA3253" s="84" t="s">
        <v>152</v>
      </c>
      <c r="BB3253" s="84" t="str">
        <f>IFERROR(__xludf.DUMMYFUNCTION("iferror(if(A3253="""",,E3253&gt;=FILTER(Constants!$F$2:$F$10,Constants!$A$2:$A$10=A3253)))"),"")</f>
        <v/>
      </c>
    </row>
    <row r="3254">
      <c r="A3254" s="89"/>
      <c r="B3254" s="87"/>
      <c r="C3254" s="73"/>
      <c r="D3254" s="73"/>
      <c r="E3254" s="82"/>
      <c r="F3254" s="82"/>
      <c r="G3254" s="86"/>
      <c r="H3254" s="86"/>
      <c r="I3254" s="86"/>
      <c r="J3254" s="82"/>
      <c r="K3254" s="82"/>
      <c r="L3254" s="82"/>
      <c r="M3254" s="82"/>
      <c r="N3254" s="82"/>
      <c r="O3254" s="82"/>
      <c r="P3254" s="82"/>
      <c r="Q3254" s="82"/>
      <c r="R3254" s="82"/>
      <c r="S3254" s="82"/>
      <c r="T3254" s="82"/>
      <c r="U3254" s="82"/>
      <c r="V3254" s="82"/>
      <c r="W3254" s="82"/>
      <c r="X3254" s="82"/>
      <c r="Y3254" s="82"/>
      <c r="Z3254" s="82"/>
      <c r="AA3254" s="82"/>
      <c r="AB3254" s="82"/>
      <c r="AC3254" s="82"/>
      <c r="AD3254" s="82"/>
      <c r="AE3254" s="82"/>
      <c r="AF3254" s="82"/>
      <c r="AG3254" s="82"/>
      <c r="AH3254" s="82"/>
      <c r="AI3254" s="82"/>
      <c r="AJ3254" s="82"/>
      <c r="AK3254" s="82"/>
      <c r="AL3254" s="82"/>
      <c r="AM3254" s="82"/>
      <c r="AN3254" s="82">
        <f>IFERROR(__xludf.DUMMYFUNCTION("""COMPUTED_VALUE"""),0.0)</f>
        <v>0</v>
      </c>
      <c r="AO3254" s="82">
        <f>IFERROR(__xludf.DUMMYFUNCTION("""COMPUTED_VALUE"""),0.0)</f>
        <v>0</v>
      </c>
      <c r="AP3254" s="82">
        <f>IFERROR(__xludf.DUMMYFUNCTION("""COMPUTED_VALUE"""),0.0)</f>
        <v>0</v>
      </c>
      <c r="AQ3254" s="82">
        <f>IFERROR(__xludf.DUMMYFUNCTION("""COMPUTED_VALUE"""),0.0)</f>
        <v>0</v>
      </c>
      <c r="AR3254" s="82">
        <f>IFERROR(__xludf.DUMMYFUNCTION("""COMPUTED_VALUE"""),0.0)</f>
        <v>0</v>
      </c>
      <c r="AS3254" s="82"/>
      <c r="AT3254" s="82">
        <f>IFERROR(__xludf.DUMMYFUNCTION("""COMPUTED_VALUE"""),0.0)</f>
        <v>0</v>
      </c>
      <c r="AU3254" s="82"/>
      <c r="AV3254" s="82"/>
      <c r="AW3254" s="82" t="str">
        <f t="shared" si="1"/>
        <v/>
      </c>
      <c r="AX3254" s="83" t="str">
        <f t="array" ref="AX3254">IFERROR(DGET('SBV Import'!A:G,"SBV",{"RSC ID","Tier";B3254,A3254}))</f>
        <v/>
      </c>
      <c r="AY3254" s="82" t="str">
        <f t="shared" si="2"/>
        <v/>
      </c>
      <c r="AZ3254" s="82"/>
      <c r="BA3254" s="84" t="s">
        <v>152</v>
      </c>
      <c r="BB3254" s="84" t="str">
        <f>IFERROR(__xludf.DUMMYFUNCTION("iferror(if(A3254="""",,E3254&gt;=FILTER(Constants!$F$2:$F$10,Constants!$A$2:$A$10=A3254)))"),"")</f>
        <v/>
      </c>
    </row>
    <row r="3255">
      <c r="A3255" s="89"/>
      <c r="B3255" s="87"/>
      <c r="C3255" s="73"/>
      <c r="D3255" s="73"/>
      <c r="E3255" s="82"/>
      <c r="F3255" s="82"/>
      <c r="G3255" s="86"/>
      <c r="H3255" s="86"/>
      <c r="I3255" s="86"/>
      <c r="J3255" s="82"/>
      <c r="K3255" s="82"/>
      <c r="L3255" s="82"/>
      <c r="M3255" s="82"/>
      <c r="N3255" s="82"/>
      <c r="O3255" s="82"/>
      <c r="P3255" s="82"/>
      <c r="Q3255" s="82"/>
      <c r="R3255" s="82"/>
      <c r="S3255" s="82"/>
      <c r="T3255" s="82"/>
      <c r="U3255" s="82"/>
      <c r="V3255" s="82"/>
      <c r="W3255" s="82"/>
      <c r="X3255" s="82"/>
      <c r="Y3255" s="82"/>
      <c r="Z3255" s="82"/>
      <c r="AA3255" s="82"/>
      <c r="AB3255" s="82"/>
      <c r="AC3255" s="82"/>
      <c r="AD3255" s="82"/>
      <c r="AE3255" s="82"/>
      <c r="AF3255" s="82"/>
      <c r="AG3255" s="82"/>
      <c r="AH3255" s="82"/>
      <c r="AI3255" s="82"/>
      <c r="AJ3255" s="82"/>
      <c r="AK3255" s="82"/>
      <c r="AL3255" s="82"/>
      <c r="AM3255" s="82"/>
      <c r="AN3255" s="82">
        <f>IFERROR(__xludf.DUMMYFUNCTION("""COMPUTED_VALUE"""),0.0)</f>
        <v>0</v>
      </c>
      <c r="AO3255" s="82">
        <f>IFERROR(__xludf.DUMMYFUNCTION("""COMPUTED_VALUE"""),0.0)</f>
        <v>0</v>
      </c>
      <c r="AP3255" s="82">
        <f>IFERROR(__xludf.DUMMYFUNCTION("""COMPUTED_VALUE"""),0.0)</f>
        <v>0</v>
      </c>
      <c r="AQ3255" s="82">
        <f>IFERROR(__xludf.DUMMYFUNCTION("""COMPUTED_VALUE"""),0.0)</f>
        <v>0</v>
      </c>
      <c r="AR3255" s="82">
        <f>IFERROR(__xludf.DUMMYFUNCTION("""COMPUTED_VALUE"""),0.0)</f>
        <v>0</v>
      </c>
      <c r="AS3255" s="82"/>
      <c r="AT3255" s="82">
        <f>IFERROR(__xludf.DUMMYFUNCTION("""COMPUTED_VALUE"""),0.0)</f>
        <v>0</v>
      </c>
      <c r="AU3255" s="82"/>
      <c r="AV3255" s="82"/>
      <c r="AW3255" s="82" t="str">
        <f t="shared" si="1"/>
        <v/>
      </c>
      <c r="AX3255" s="83" t="str">
        <f t="array" ref="AX3255">IFERROR(DGET('SBV Import'!A:G,"SBV",{"RSC ID","Tier";B3255,A3255}))</f>
        <v/>
      </c>
      <c r="AY3255" s="82" t="str">
        <f t="shared" si="2"/>
        <v/>
      </c>
      <c r="AZ3255" s="82"/>
      <c r="BA3255" s="84" t="s">
        <v>152</v>
      </c>
      <c r="BB3255" s="84" t="str">
        <f>IFERROR(__xludf.DUMMYFUNCTION("iferror(if(A3255="""",,E3255&gt;=FILTER(Constants!$F$2:$F$10,Constants!$A$2:$A$10=A3255)))"),"")</f>
        <v/>
      </c>
    </row>
    <row r="3256">
      <c r="A3256" s="89"/>
      <c r="B3256" s="87"/>
      <c r="C3256" s="73"/>
      <c r="D3256" s="73"/>
      <c r="E3256" s="82"/>
      <c r="F3256" s="82"/>
      <c r="G3256" s="86"/>
      <c r="H3256" s="86"/>
      <c r="I3256" s="86"/>
      <c r="J3256" s="82"/>
      <c r="K3256" s="82"/>
      <c r="L3256" s="82"/>
      <c r="M3256" s="82"/>
      <c r="N3256" s="82"/>
      <c r="O3256" s="82"/>
      <c r="P3256" s="82"/>
      <c r="Q3256" s="82"/>
      <c r="R3256" s="82"/>
      <c r="S3256" s="82"/>
      <c r="T3256" s="82"/>
      <c r="U3256" s="82"/>
      <c r="V3256" s="82"/>
      <c r="W3256" s="82"/>
      <c r="X3256" s="82"/>
      <c r="Y3256" s="82"/>
      <c r="Z3256" s="82"/>
      <c r="AA3256" s="82"/>
      <c r="AB3256" s="82"/>
      <c r="AC3256" s="82"/>
      <c r="AD3256" s="82"/>
      <c r="AE3256" s="82"/>
      <c r="AF3256" s="82"/>
      <c r="AG3256" s="82"/>
      <c r="AH3256" s="82"/>
      <c r="AI3256" s="82"/>
      <c r="AJ3256" s="82"/>
      <c r="AK3256" s="82"/>
      <c r="AL3256" s="82"/>
      <c r="AM3256" s="82"/>
      <c r="AN3256" s="82">
        <f>IFERROR(__xludf.DUMMYFUNCTION("""COMPUTED_VALUE"""),0.0)</f>
        <v>0</v>
      </c>
      <c r="AO3256" s="82">
        <f>IFERROR(__xludf.DUMMYFUNCTION("""COMPUTED_VALUE"""),0.0)</f>
        <v>0</v>
      </c>
      <c r="AP3256" s="82">
        <f>IFERROR(__xludf.DUMMYFUNCTION("""COMPUTED_VALUE"""),0.0)</f>
        <v>0</v>
      </c>
      <c r="AQ3256" s="82">
        <f>IFERROR(__xludf.DUMMYFUNCTION("""COMPUTED_VALUE"""),0.0)</f>
        <v>0</v>
      </c>
      <c r="AR3256" s="82">
        <f>IFERROR(__xludf.DUMMYFUNCTION("""COMPUTED_VALUE"""),0.0)</f>
        <v>0</v>
      </c>
      <c r="AS3256" s="82"/>
      <c r="AT3256" s="82">
        <f>IFERROR(__xludf.DUMMYFUNCTION("""COMPUTED_VALUE"""),0.0)</f>
        <v>0</v>
      </c>
      <c r="AU3256" s="82"/>
      <c r="AV3256" s="82"/>
      <c r="AW3256" s="82" t="str">
        <f t="shared" si="1"/>
        <v/>
      </c>
      <c r="AX3256" s="83" t="str">
        <f t="array" ref="AX3256">IFERROR(DGET('SBV Import'!A:G,"SBV",{"RSC ID","Tier";B3256,A3256}))</f>
        <v/>
      </c>
      <c r="AY3256" s="82" t="str">
        <f t="shared" si="2"/>
        <v/>
      </c>
      <c r="AZ3256" s="82"/>
      <c r="BA3256" s="84" t="s">
        <v>152</v>
      </c>
      <c r="BB3256" s="84" t="str">
        <f>IFERROR(__xludf.DUMMYFUNCTION("iferror(if(A3256="""",,E3256&gt;=FILTER(Constants!$F$2:$F$10,Constants!$A$2:$A$10=A3256)))"),"")</f>
        <v/>
      </c>
    </row>
    <row r="3257">
      <c r="A3257" s="89"/>
      <c r="B3257" s="87"/>
      <c r="C3257" s="73"/>
      <c r="D3257" s="73"/>
      <c r="E3257" s="82"/>
      <c r="F3257" s="82"/>
      <c r="G3257" s="86"/>
      <c r="H3257" s="86"/>
      <c r="I3257" s="86"/>
      <c r="J3257" s="82"/>
      <c r="K3257" s="82"/>
      <c r="L3257" s="82"/>
      <c r="M3257" s="82"/>
      <c r="N3257" s="82"/>
      <c r="O3257" s="82"/>
      <c r="P3257" s="82"/>
      <c r="Q3257" s="82"/>
      <c r="R3257" s="82"/>
      <c r="S3257" s="82"/>
      <c r="T3257" s="82"/>
      <c r="U3257" s="82"/>
      <c r="V3257" s="82"/>
      <c r="W3257" s="82"/>
      <c r="X3257" s="82"/>
      <c r="Y3257" s="82"/>
      <c r="Z3257" s="82"/>
      <c r="AA3257" s="82"/>
      <c r="AB3257" s="82"/>
      <c r="AC3257" s="82"/>
      <c r="AD3257" s="82"/>
      <c r="AE3257" s="82"/>
      <c r="AF3257" s="82"/>
      <c r="AG3257" s="82"/>
      <c r="AH3257" s="82"/>
      <c r="AI3257" s="82"/>
      <c r="AJ3257" s="82"/>
      <c r="AK3257" s="82"/>
      <c r="AL3257" s="82"/>
      <c r="AM3257" s="82"/>
      <c r="AN3257" s="82">
        <f>IFERROR(__xludf.DUMMYFUNCTION("""COMPUTED_VALUE"""),0.0)</f>
        <v>0</v>
      </c>
      <c r="AO3257" s="82">
        <f>IFERROR(__xludf.DUMMYFUNCTION("""COMPUTED_VALUE"""),0.0)</f>
        <v>0</v>
      </c>
      <c r="AP3257" s="82">
        <f>IFERROR(__xludf.DUMMYFUNCTION("""COMPUTED_VALUE"""),0.0)</f>
        <v>0</v>
      </c>
      <c r="AQ3257" s="82">
        <f>IFERROR(__xludf.DUMMYFUNCTION("""COMPUTED_VALUE"""),0.0)</f>
        <v>0</v>
      </c>
      <c r="AR3257" s="82">
        <f>IFERROR(__xludf.DUMMYFUNCTION("""COMPUTED_VALUE"""),0.0)</f>
        <v>0</v>
      </c>
      <c r="AS3257" s="82"/>
      <c r="AT3257" s="82">
        <f>IFERROR(__xludf.DUMMYFUNCTION("""COMPUTED_VALUE"""),0.0)</f>
        <v>0</v>
      </c>
      <c r="AU3257" s="82"/>
      <c r="AV3257" s="82"/>
      <c r="AW3257" s="82" t="str">
        <f t="shared" si="1"/>
        <v/>
      </c>
      <c r="AX3257" s="83" t="str">
        <f t="array" ref="AX3257">IFERROR(DGET('SBV Import'!A:G,"SBV",{"RSC ID","Tier";B3257,A3257}))</f>
        <v/>
      </c>
      <c r="AY3257" s="82" t="str">
        <f t="shared" si="2"/>
        <v/>
      </c>
      <c r="AZ3257" s="82"/>
      <c r="BA3257" s="84" t="s">
        <v>152</v>
      </c>
      <c r="BB3257" s="84" t="str">
        <f>IFERROR(__xludf.DUMMYFUNCTION("iferror(if(A3257="""",,E3257&gt;=FILTER(Constants!$F$2:$F$10,Constants!$A$2:$A$10=A3257)))"),"")</f>
        <v/>
      </c>
    </row>
    <row r="3258">
      <c r="A3258" s="89"/>
      <c r="B3258" s="87"/>
      <c r="C3258" s="73"/>
      <c r="D3258" s="73"/>
      <c r="E3258" s="82"/>
      <c r="F3258" s="82"/>
      <c r="G3258" s="86"/>
      <c r="H3258" s="86"/>
      <c r="I3258" s="86"/>
      <c r="J3258" s="82"/>
      <c r="K3258" s="82"/>
      <c r="L3258" s="82"/>
      <c r="M3258" s="82"/>
      <c r="N3258" s="82"/>
      <c r="O3258" s="82"/>
      <c r="P3258" s="82"/>
      <c r="Q3258" s="82"/>
      <c r="R3258" s="82"/>
      <c r="S3258" s="82"/>
      <c r="T3258" s="82"/>
      <c r="U3258" s="82"/>
      <c r="V3258" s="82"/>
      <c r="W3258" s="82"/>
      <c r="X3258" s="82"/>
      <c r="Y3258" s="82"/>
      <c r="Z3258" s="82"/>
      <c r="AA3258" s="82"/>
      <c r="AB3258" s="82"/>
      <c r="AC3258" s="82"/>
      <c r="AD3258" s="82"/>
      <c r="AE3258" s="82"/>
      <c r="AF3258" s="82"/>
      <c r="AG3258" s="82"/>
      <c r="AH3258" s="82"/>
      <c r="AI3258" s="82"/>
      <c r="AJ3258" s="82"/>
      <c r="AK3258" s="82"/>
      <c r="AL3258" s="82"/>
      <c r="AM3258" s="82"/>
      <c r="AN3258" s="82">
        <f>IFERROR(__xludf.DUMMYFUNCTION("""COMPUTED_VALUE"""),0.0)</f>
        <v>0</v>
      </c>
      <c r="AO3258" s="82">
        <f>IFERROR(__xludf.DUMMYFUNCTION("""COMPUTED_VALUE"""),0.0)</f>
        <v>0</v>
      </c>
      <c r="AP3258" s="82">
        <f>IFERROR(__xludf.DUMMYFUNCTION("""COMPUTED_VALUE"""),0.0)</f>
        <v>0</v>
      </c>
      <c r="AQ3258" s="82">
        <f>IFERROR(__xludf.DUMMYFUNCTION("""COMPUTED_VALUE"""),0.0)</f>
        <v>0</v>
      </c>
      <c r="AR3258" s="82">
        <f>IFERROR(__xludf.DUMMYFUNCTION("""COMPUTED_VALUE"""),0.0)</f>
        <v>0</v>
      </c>
      <c r="AS3258" s="82"/>
      <c r="AT3258" s="82">
        <f>IFERROR(__xludf.DUMMYFUNCTION("""COMPUTED_VALUE"""),0.0)</f>
        <v>0</v>
      </c>
      <c r="AU3258" s="82"/>
      <c r="AV3258" s="82"/>
      <c r="AW3258" s="82" t="str">
        <f t="shared" si="1"/>
        <v/>
      </c>
      <c r="AX3258" s="83" t="str">
        <f t="array" ref="AX3258">IFERROR(DGET('SBV Import'!A:G,"SBV",{"RSC ID","Tier";B3258,A3258}))</f>
        <v/>
      </c>
      <c r="AY3258" s="82" t="str">
        <f t="shared" si="2"/>
        <v/>
      </c>
      <c r="AZ3258" s="82"/>
      <c r="BA3258" s="84" t="s">
        <v>152</v>
      </c>
      <c r="BB3258" s="84" t="str">
        <f>IFERROR(__xludf.DUMMYFUNCTION("iferror(if(A3258="""",,E3258&gt;=FILTER(Constants!$F$2:$F$10,Constants!$A$2:$A$10=A3258)))"),"")</f>
        <v/>
      </c>
    </row>
    <row r="3259">
      <c r="A3259" s="89"/>
      <c r="B3259" s="87"/>
      <c r="C3259" s="73"/>
      <c r="D3259" s="73"/>
      <c r="E3259" s="82"/>
      <c r="F3259" s="82"/>
      <c r="G3259" s="86"/>
      <c r="H3259" s="86"/>
      <c r="I3259" s="86"/>
      <c r="J3259" s="82"/>
      <c r="K3259" s="82"/>
      <c r="L3259" s="82"/>
      <c r="M3259" s="82"/>
      <c r="N3259" s="82"/>
      <c r="O3259" s="82"/>
      <c r="P3259" s="82"/>
      <c r="Q3259" s="82"/>
      <c r="R3259" s="82"/>
      <c r="S3259" s="82"/>
      <c r="T3259" s="82"/>
      <c r="U3259" s="82"/>
      <c r="V3259" s="82"/>
      <c r="W3259" s="82"/>
      <c r="X3259" s="82"/>
      <c r="Y3259" s="82"/>
      <c r="Z3259" s="82"/>
      <c r="AA3259" s="82"/>
      <c r="AB3259" s="82"/>
      <c r="AC3259" s="82"/>
      <c r="AD3259" s="82"/>
      <c r="AE3259" s="82"/>
      <c r="AF3259" s="82"/>
      <c r="AG3259" s="82"/>
      <c r="AH3259" s="82"/>
      <c r="AI3259" s="82"/>
      <c r="AJ3259" s="82"/>
      <c r="AK3259" s="82"/>
      <c r="AL3259" s="82"/>
      <c r="AM3259" s="82"/>
      <c r="AN3259" s="82">
        <f>IFERROR(__xludf.DUMMYFUNCTION("""COMPUTED_VALUE"""),0.0)</f>
        <v>0</v>
      </c>
      <c r="AO3259" s="82">
        <f>IFERROR(__xludf.DUMMYFUNCTION("""COMPUTED_VALUE"""),0.0)</f>
        <v>0</v>
      </c>
      <c r="AP3259" s="82">
        <f>IFERROR(__xludf.DUMMYFUNCTION("""COMPUTED_VALUE"""),0.0)</f>
        <v>0</v>
      </c>
      <c r="AQ3259" s="82">
        <f>IFERROR(__xludf.DUMMYFUNCTION("""COMPUTED_VALUE"""),0.0)</f>
        <v>0</v>
      </c>
      <c r="AR3259" s="82">
        <f>IFERROR(__xludf.DUMMYFUNCTION("""COMPUTED_VALUE"""),0.0)</f>
        <v>0</v>
      </c>
      <c r="AS3259" s="82"/>
      <c r="AT3259" s="82">
        <f>IFERROR(__xludf.DUMMYFUNCTION("""COMPUTED_VALUE"""),0.0)</f>
        <v>0</v>
      </c>
      <c r="AU3259" s="82"/>
      <c r="AV3259" s="82"/>
      <c r="AW3259" s="82" t="str">
        <f t="shared" si="1"/>
        <v/>
      </c>
      <c r="AX3259" s="83" t="str">
        <f t="array" ref="AX3259">IFERROR(DGET('SBV Import'!A:G,"SBV",{"RSC ID","Tier";B3259,A3259}))</f>
        <v/>
      </c>
      <c r="AY3259" s="82" t="str">
        <f t="shared" si="2"/>
        <v/>
      </c>
      <c r="AZ3259" s="82"/>
      <c r="BA3259" s="84" t="s">
        <v>152</v>
      </c>
      <c r="BB3259" s="84" t="str">
        <f>IFERROR(__xludf.DUMMYFUNCTION("iferror(if(A3259="""",,E3259&gt;=FILTER(Constants!$F$2:$F$10,Constants!$A$2:$A$10=A3259)))"),"")</f>
        <v/>
      </c>
    </row>
    <row r="3260">
      <c r="A3260" s="89"/>
      <c r="B3260" s="87"/>
      <c r="C3260" s="73"/>
      <c r="D3260" s="73"/>
      <c r="E3260" s="82"/>
      <c r="F3260" s="82"/>
      <c r="G3260" s="86"/>
      <c r="H3260" s="86"/>
      <c r="I3260" s="86"/>
      <c r="J3260" s="82"/>
      <c r="K3260" s="82"/>
      <c r="L3260" s="82"/>
      <c r="M3260" s="82"/>
      <c r="N3260" s="82"/>
      <c r="O3260" s="82"/>
      <c r="P3260" s="82"/>
      <c r="Q3260" s="82"/>
      <c r="R3260" s="82"/>
      <c r="S3260" s="82"/>
      <c r="T3260" s="82"/>
      <c r="U3260" s="82"/>
      <c r="V3260" s="82"/>
      <c r="W3260" s="82"/>
      <c r="X3260" s="82"/>
      <c r="Y3260" s="82"/>
      <c r="Z3260" s="82"/>
      <c r="AA3260" s="82"/>
      <c r="AB3260" s="82"/>
      <c r="AC3260" s="82"/>
      <c r="AD3260" s="82"/>
      <c r="AE3260" s="82"/>
      <c r="AF3260" s="82"/>
      <c r="AG3260" s="82"/>
      <c r="AH3260" s="82"/>
      <c r="AI3260" s="82"/>
      <c r="AJ3260" s="82"/>
      <c r="AK3260" s="82"/>
      <c r="AL3260" s="82"/>
      <c r="AM3260" s="82"/>
      <c r="AN3260" s="82">
        <f>IFERROR(__xludf.DUMMYFUNCTION("""COMPUTED_VALUE"""),0.0)</f>
        <v>0</v>
      </c>
      <c r="AO3260" s="82">
        <f>IFERROR(__xludf.DUMMYFUNCTION("""COMPUTED_VALUE"""),0.0)</f>
        <v>0</v>
      </c>
      <c r="AP3260" s="82">
        <f>IFERROR(__xludf.DUMMYFUNCTION("""COMPUTED_VALUE"""),0.0)</f>
        <v>0</v>
      </c>
      <c r="AQ3260" s="82">
        <f>IFERROR(__xludf.DUMMYFUNCTION("""COMPUTED_VALUE"""),0.0)</f>
        <v>0</v>
      </c>
      <c r="AR3260" s="82">
        <f>IFERROR(__xludf.DUMMYFUNCTION("""COMPUTED_VALUE"""),0.0)</f>
        <v>0</v>
      </c>
      <c r="AS3260" s="82"/>
      <c r="AT3260" s="82">
        <f>IFERROR(__xludf.DUMMYFUNCTION("""COMPUTED_VALUE"""),0.0)</f>
        <v>0</v>
      </c>
      <c r="AU3260" s="82"/>
      <c r="AV3260" s="82"/>
      <c r="AW3260" s="82" t="str">
        <f t="shared" si="1"/>
        <v/>
      </c>
      <c r="AX3260" s="83" t="str">
        <f t="array" ref="AX3260">IFERROR(DGET('SBV Import'!A:G,"SBV",{"RSC ID","Tier";B3260,A3260}))</f>
        <v/>
      </c>
      <c r="AY3260" s="82" t="str">
        <f t="shared" si="2"/>
        <v/>
      </c>
      <c r="AZ3260" s="82"/>
      <c r="BA3260" s="84" t="s">
        <v>152</v>
      </c>
      <c r="BB3260" s="84" t="str">
        <f>IFERROR(__xludf.DUMMYFUNCTION("iferror(if(A3260="""",,E3260&gt;=FILTER(Constants!$F$2:$F$10,Constants!$A$2:$A$10=A3260)))"),"")</f>
        <v/>
      </c>
    </row>
    <row r="3261">
      <c r="A3261" s="89"/>
      <c r="B3261" s="87"/>
      <c r="C3261" s="73"/>
      <c r="D3261" s="73"/>
      <c r="E3261" s="82"/>
      <c r="F3261" s="82"/>
      <c r="G3261" s="86"/>
      <c r="H3261" s="86"/>
      <c r="I3261" s="86"/>
      <c r="J3261" s="82"/>
      <c r="K3261" s="82"/>
      <c r="L3261" s="82"/>
      <c r="M3261" s="82"/>
      <c r="N3261" s="82"/>
      <c r="O3261" s="82"/>
      <c r="P3261" s="82"/>
      <c r="Q3261" s="82"/>
      <c r="R3261" s="82"/>
      <c r="S3261" s="82"/>
      <c r="T3261" s="82"/>
      <c r="U3261" s="82"/>
      <c r="V3261" s="82"/>
      <c r="W3261" s="82"/>
      <c r="X3261" s="82"/>
      <c r="Y3261" s="82"/>
      <c r="Z3261" s="82"/>
      <c r="AA3261" s="82"/>
      <c r="AB3261" s="82"/>
      <c r="AC3261" s="82"/>
      <c r="AD3261" s="82"/>
      <c r="AE3261" s="82"/>
      <c r="AF3261" s="82"/>
      <c r="AG3261" s="82"/>
      <c r="AH3261" s="82"/>
      <c r="AI3261" s="82"/>
      <c r="AJ3261" s="82"/>
      <c r="AK3261" s="82"/>
      <c r="AL3261" s="82"/>
      <c r="AM3261" s="82"/>
      <c r="AN3261" s="82">
        <f>IFERROR(__xludf.DUMMYFUNCTION("""COMPUTED_VALUE"""),0.0)</f>
        <v>0</v>
      </c>
      <c r="AO3261" s="82">
        <f>IFERROR(__xludf.DUMMYFUNCTION("""COMPUTED_VALUE"""),0.0)</f>
        <v>0</v>
      </c>
      <c r="AP3261" s="82">
        <f>IFERROR(__xludf.DUMMYFUNCTION("""COMPUTED_VALUE"""),0.0)</f>
        <v>0</v>
      </c>
      <c r="AQ3261" s="82">
        <f>IFERROR(__xludf.DUMMYFUNCTION("""COMPUTED_VALUE"""),0.0)</f>
        <v>0</v>
      </c>
      <c r="AR3261" s="82">
        <f>IFERROR(__xludf.DUMMYFUNCTION("""COMPUTED_VALUE"""),0.0)</f>
        <v>0</v>
      </c>
      <c r="AS3261" s="82"/>
      <c r="AT3261" s="82">
        <f>IFERROR(__xludf.DUMMYFUNCTION("""COMPUTED_VALUE"""),0.0)</f>
        <v>0</v>
      </c>
      <c r="AU3261" s="82"/>
      <c r="AV3261" s="82"/>
      <c r="AW3261" s="82" t="str">
        <f t="shared" si="1"/>
        <v/>
      </c>
      <c r="AX3261" s="83" t="str">
        <f t="array" ref="AX3261">IFERROR(DGET('SBV Import'!A:G,"SBV",{"RSC ID","Tier";B3261,A3261}))</f>
        <v/>
      </c>
      <c r="AY3261" s="82" t="str">
        <f t="shared" si="2"/>
        <v/>
      </c>
      <c r="AZ3261" s="82"/>
      <c r="BA3261" s="84" t="s">
        <v>152</v>
      </c>
      <c r="BB3261" s="84" t="str">
        <f>IFERROR(__xludf.DUMMYFUNCTION("iferror(if(A3261="""",,E3261&gt;=FILTER(Constants!$F$2:$F$10,Constants!$A$2:$A$10=A3261)))"),"")</f>
        <v/>
      </c>
    </row>
    <row r="3262">
      <c r="A3262" s="89"/>
      <c r="B3262" s="87"/>
      <c r="C3262" s="73"/>
      <c r="D3262" s="73"/>
      <c r="E3262" s="82"/>
      <c r="F3262" s="82"/>
      <c r="G3262" s="86"/>
      <c r="H3262" s="86"/>
      <c r="I3262" s="86"/>
      <c r="J3262" s="82"/>
      <c r="K3262" s="82"/>
      <c r="L3262" s="82"/>
      <c r="M3262" s="82"/>
      <c r="N3262" s="82"/>
      <c r="O3262" s="82"/>
      <c r="P3262" s="82"/>
      <c r="Q3262" s="82"/>
      <c r="R3262" s="82"/>
      <c r="S3262" s="82"/>
      <c r="T3262" s="82"/>
      <c r="U3262" s="82"/>
      <c r="V3262" s="82"/>
      <c r="W3262" s="82"/>
      <c r="X3262" s="82"/>
      <c r="Y3262" s="82"/>
      <c r="Z3262" s="82"/>
      <c r="AA3262" s="82"/>
      <c r="AB3262" s="82"/>
      <c r="AC3262" s="82"/>
      <c r="AD3262" s="82"/>
      <c r="AE3262" s="82"/>
      <c r="AF3262" s="82"/>
      <c r="AG3262" s="82"/>
      <c r="AH3262" s="82"/>
      <c r="AI3262" s="82"/>
      <c r="AJ3262" s="82"/>
      <c r="AK3262" s="82"/>
      <c r="AL3262" s="82"/>
      <c r="AM3262" s="82"/>
      <c r="AN3262" s="82">
        <f>IFERROR(__xludf.DUMMYFUNCTION("""COMPUTED_VALUE"""),0.0)</f>
        <v>0</v>
      </c>
      <c r="AO3262" s="82">
        <f>IFERROR(__xludf.DUMMYFUNCTION("""COMPUTED_VALUE"""),0.0)</f>
        <v>0</v>
      </c>
      <c r="AP3262" s="82">
        <f>IFERROR(__xludf.DUMMYFUNCTION("""COMPUTED_VALUE"""),0.0)</f>
        <v>0</v>
      </c>
      <c r="AQ3262" s="82">
        <f>IFERROR(__xludf.DUMMYFUNCTION("""COMPUTED_VALUE"""),0.0)</f>
        <v>0</v>
      </c>
      <c r="AR3262" s="82">
        <f>IFERROR(__xludf.DUMMYFUNCTION("""COMPUTED_VALUE"""),0.0)</f>
        <v>0</v>
      </c>
      <c r="AS3262" s="82"/>
      <c r="AT3262" s="82">
        <f>IFERROR(__xludf.DUMMYFUNCTION("""COMPUTED_VALUE"""),0.0)</f>
        <v>0</v>
      </c>
      <c r="AU3262" s="82"/>
      <c r="AV3262" s="82"/>
      <c r="AW3262" s="82" t="str">
        <f t="shared" si="1"/>
        <v/>
      </c>
      <c r="AX3262" s="83" t="str">
        <f t="array" ref="AX3262">IFERROR(DGET('SBV Import'!A:G,"SBV",{"RSC ID","Tier";B3262,A3262}))</f>
        <v/>
      </c>
      <c r="AY3262" s="82" t="str">
        <f t="shared" si="2"/>
        <v/>
      </c>
      <c r="AZ3262" s="82"/>
      <c r="BA3262" s="84" t="s">
        <v>152</v>
      </c>
      <c r="BB3262" s="84" t="str">
        <f>IFERROR(__xludf.DUMMYFUNCTION("iferror(if(A3262="""",,E3262&gt;=FILTER(Constants!$F$2:$F$10,Constants!$A$2:$A$10=A3262)))"),"")</f>
        <v/>
      </c>
    </row>
    <row r="3263">
      <c r="A3263" s="89"/>
      <c r="B3263" s="87"/>
      <c r="C3263" s="73"/>
      <c r="D3263" s="73"/>
      <c r="E3263" s="82"/>
      <c r="F3263" s="82"/>
      <c r="G3263" s="86"/>
      <c r="H3263" s="86"/>
      <c r="I3263" s="86"/>
      <c r="J3263" s="82"/>
      <c r="K3263" s="82"/>
      <c r="L3263" s="82"/>
      <c r="M3263" s="82"/>
      <c r="N3263" s="82"/>
      <c r="O3263" s="82"/>
      <c r="P3263" s="82"/>
      <c r="Q3263" s="82"/>
      <c r="R3263" s="82"/>
      <c r="S3263" s="82"/>
      <c r="T3263" s="82"/>
      <c r="U3263" s="82"/>
      <c r="V3263" s="82"/>
      <c r="W3263" s="82"/>
      <c r="X3263" s="82"/>
      <c r="Y3263" s="82"/>
      <c r="Z3263" s="82"/>
      <c r="AA3263" s="82"/>
      <c r="AB3263" s="82"/>
      <c r="AC3263" s="82"/>
      <c r="AD3263" s="82"/>
      <c r="AE3263" s="82"/>
      <c r="AF3263" s="82"/>
      <c r="AG3263" s="82"/>
      <c r="AH3263" s="82"/>
      <c r="AI3263" s="82"/>
      <c r="AJ3263" s="82"/>
      <c r="AK3263" s="82"/>
      <c r="AL3263" s="82"/>
      <c r="AM3263" s="82"/>
      <c r="AN3263" s="82">
        <f>IFERROR(__xludf.DUMMYFUNCTION("""COMPUTED_VALUE"""),0.0)</f>
        <v>0</v>
      </c>
      <c r="AO3263" s="82">
        <f>IFERROR(__xludf.DUMMYFUNCTION("""COMPUTED_VALUE"""),0.0)</f>
        <v>0</v>
      </c>
      <c r="AP3263" s="82">
        <f>IFERROR(__xludf.DUMMYFUNCTION("""COMPUTED_VALUE"""),0.0)</f>
        <v>0</v>
      </c>
      <c r="AQ3263" s="82">
        <f>IFERROR(__xludf.DUMMYFUNCTION("""COMPUTED_VALUE"""),0.0)</f>
        <v>0</v>
      </c>
      <c r="AR3263" s="82">
        <f>IFERROR(__xludf.DUMMYFUNCTION("""COMPUTED_VALUE"""),0.0)</f>
        <v>0</v>
      </c>
      <c r="AS3263" s="82"/>
      <c r="AT3263" s="82">
        <f>IFERROR(__xludf.DUMMYFUNCTION("""COMPUTED_VALUE"""),0.0)</f>
        <v>0</v>
      </c>
      <c r="AU3263" s="82"/>
      <c r="AV3263" s="82"/>
      <c r="AW3263" s="82" t="str">
        <f t="shared" si="1"/>
        <v/>
      </c>
      <c r="AX3263" s="83" t="str">
        <f t="array" ref="AX3263">IFERROR(DGET('SBV Import'!A:G,"SBV",{"RSC ID","Tier";B3263,A3263}))</f>
        <v/>
      </c>
      <c r="AY3263" s="82" t="str">
        <f t="shared" si="2"/>
        <v/>
      </c>
      <c r="AZ3263" s="82"/>
      <c r="BA3263" s="84" t="s">
        <v>152</v>
      </c>
      <c r="BB3263" s="84" t="str">
        <f>IFERROR(__xludf.DUMMYFUNCTION("iferror(if(A3263="""",,E3263&gt;=FILTER(Constants!$F$2:$F$10,Constants!$A$2:$A$10=A3263)))"),"")</f>
        <v/>
      </c>
    </row>
    <row r="3264">
      <c r="A3264" s="89"/>
      <c r="B3264" s="87"/>
      <c r="C3264" s="73"/>
      <c r="D3264" s="73"/>
      <c r="E3264" s="82"/>
      <c r="F3264" s="82"/>
      <c r="G3264" s="86"/>
      <c r="H3264" s="86"/>
      <c r="I3264" s="86"/>
      <c r="J3264" s="82"/>
      <c r="K3264" s="82"/>
      <c r="L3264" s="82"/>
      <c r="M3264" s="82"/>
      <c r="N3264" s="82"/>
      <c r="O3264" s="82"/>
      <c r="P3264" s="82"/>
      <c r="Q3264" s="82"/>
      <c r="R3264" s="82"/>
      <c r="S3264" s="82"/>
      <c r="T3264" s="82"/>
      <c r="U3264" s="82"/>
      <c r="V3264" s="82"/>
      <c r="W3264" s="82"/>
      <c r="X3264" s="82"/>
      <c r="Y3264" s="82"/>
      <c r="Z3264" s="82"/>
      <c r="AA3264" s="82"/>
      <c r="AB3264" s="82"/>
      <c r="AC3264" s="82"/>
      <c r="AD3264" s="82"/>
      <c r="AE3264" s="82"/>
      <c r="AF3264" s="82"/>
      <c r="AG3264" s="82"/>
      <c r="AH3264" s="82"/>
      <c r="AI3264" s="82"/>
      <c r="AJ3264" s="82"/>
      <c r="AK3264" s="82"/>
      <c r="AL3264" s="82"/>
      <c r="AM3264" s="82"/>
      <c r="AN3264" s="82">
        <f>IFERROR(__xludf.DUMMYFUNCTION("""COMPUTED_VALUE"""),0.0)</f>
        <v>0</v>
      </c>
      <c r="AO3264" s="82">
        <f>IFERROR(__xludf.DUMMYFUNCTION("""COMPUTED_VALUE"""),0.0)</f>
        <v>0</v>
      </c>
      <c r="AP3264" s="82">
        <f>IFERROR(__xludf.DUMMYFUNCTION("""COMPUTED_VALUE"""),0.0)</f>
        <v>0</v>
      </c>
      <c r="AQ3264" s="82">
        <f>IFERROR(__xludf.DUMMYFUNCTION("""COMPUTED_VALUE"""),0.0)</f>
        <v>0</v>
      </c>
      <c r="AR3264" s="82">
        <f>IFERROR(__xludf.DUMMYFUNCTION("""COMPUTED_VALUE"""),0.0)</f>
        <v>0</v>
      </c>
      <c r="AS3264" s="82"/>
      <c r="AT3264" s="82">
        <f>IFERROR(__xludf.DUMMYFUNCTION("""COMPUTED_VALUE"""),0.0)</f>
        <v>0</v>
      </c>
      <c r="AU3264" s="82"/>
      <c r="AV3264" s="82"/>
      <c r="AW3264" s="82" t="str">
        <f t="shared" si="1"/>
        <v/>
      </c>
      <c r="AX3264" s="83" t="str">
        <f t="array" ref="AX3264">IFERROR(DGET('SBV Import'!A:G,"SBV",{"RSC ID","Tier";B3264,A3264}))</f>
        <v/>
      </c>
      <c r="AY3264" s="82" t="str">
        <f t="shared" si="2"/>
        <v/>
      </c>
      <c r="AZ3264" s="82"/>
      <c r="BA3264" s="84" t="s">
        <v>152</v>
      </c>
      <c r="BB3264" s="84" t="str">
        <f>IFERROR(__xludf.DUMMYFUNCTION("iferror(if(A3264="""",,E3264&gt;=FILTER(Constants!$F$2:$F$10,Constants!$A$2:$A$10=A3264)))"),"")</f>
        <v/>
      </c>
    </row>
    <row r="3265">
      <c r="A3265" s="89"/>
      <c r="B3265" s="87"/>
      <c r="C3265" s="73"/>
      <c r="D3265" s="73"/>
      <c r="E3265" s="82"/>
      <c r="F3265" s="82"/>
      <c r="G3265" s="86"/>
      <c r="H3265" s="86"/>
      <c r="I3265" s="86"/>
      <c r="J3265" s="82"/>
      <c r="K3265" s="82"/>
      <c r="L3265" s="82"/>
      <c r="M3265" s="82"/>
      <c r="N3265" s="82"/>
      <c r="O3265" s="82"/>
      <c r="P3265" s="82"/>
      <c r="Q3265" s="82"/>
      <c r="R3265" s="82"/>
      <c r="S3265" s="82"/>
      <c r="T3265" s="82"/>
      <c r="U3265" s="82"/>
      <c r="V3265" s="82"/>
      <c r="W3265" s="82"/>
      <c r="X3265" s="82"/>
      <c r="Y3265" s="82"/>
      <c r="Z3265" s="82"/>
      <c r="AA3265" s="82"/>
      <c r="AB3265" s="82"/>
      <c r="AC3265" s="82"/>
      <c r="AD3265" s="82"/>
      <c r="AE3265" s="82"/>
      <c r="AF3265" s="82"/>
      <c r="AG3265" s="82"/>
      <c r="AH3265" s="82"/>
      <c r="AI3265" s="82"/>
      <c r="AJ3265" s="82"/>
      <c r="AK3265" s="82"/>
      <c r="AL3265" s="82"/>
      <c r="AM3265" s="82"/>
      <c r="AN3265" s="82">
        <f>IFERROR(__xludf.DUMMYFUNCTION("""COMPUTED_VALUE"""),0.0)</f>
        <v>0</v>
      </c>
      <c r="AO3265" s="82">
        <f>IFERROR(__xludf.DUMMYFUNCTION("""COMPUTED_VALUE"""),0.0)</f>
        <v>0</v>
      </c>
      <c r="AP3265" s="82">
        <f>IFERROR(__xludf.DUMMYFUNCTION("""COMPUTED_VALUE"""),0.0)</f>
        <v>0</v>
      </c>
      <c r="AQ3265" s="82">
        <f>IFERROR(__xludf.DUMMYFUNCTION("""COMPUTED_VALUE"""),0.0)</f>
        <v>0</v>
      </c>
      <c r="AR3265" s="82">
        <f>IFERROR(__xludf.DUMMYFUNCTION("""COMPUTED_VALUE"""),0.0)</f>
        <v>0</v>
      </c>
      <c r="AS3265" s="82"/>
      <c r="AT3265" s="82">
        <f>IFERROR(__xludf.DUMMYFUNCTION("""COMPUTED_VALUE"""),0.0)</f>
        <v>0</v>
      </c>
      <c r="AU3265" s="82"/>
      <c r="AV3265" s="82"/>
      <c r="AW3265" s="82" t="str">
        <f t="shared" si="1"/>
        <v/>
      </c>
      <c r="AX3265" s="83" t="str">
        <f t="array" ref="AX3265">IFERROR(DGET('SBV Import'!A:G,"SBV",{"RSC ID","Tier";B3265,A3265}))</f>
        <v/>
      </c>
      <c r="AY3265" s="82" t="str">
        <f t="shared" si="2"/>
        <v/>
      </c>
      <c r="AZ3265" s="82"/>
      <c r="BA3265" s="84" t="s">
        <v>152</v>
      </c>
      <c r="BB3265" s="84" t="str">
        <f>IFERROR(__xludf.DUMMYFUNCTION("iferror(if(A3265="""",,E3265&gt;=FILTER(Constants!$F$2:$F$10,Constants!$A$2:$A$10=A3265)))"),"")</f>
        <v/>
      </c>
    </row>
    <row r="3266">
      <c r="A3266" s="89"/>
      <c r="B3266" s="87"/>
      <c r="C3266" s="73"/>
      <c r="D3266" s="73"/>
      <c r="E3266" s="82"/>
      <c r="F3266" s="82"/>
      <c r="G3266" s="86"/>
      <c r="H3266" s="86"/>
      <c r="I3266" s="86"/>
      <c r="J3266" s="82"/>
      <c r="K3266" s="82"/>
      <c r="L3266" s="82"/>
      <c r="M3266" s="82"/>
      <c r="N3266" s="82"/>
      <c r="O3266" s="82"/>
      <c r="P3266" s="82"/>
      <c r="Q3266" s="82"/>
      <c r="R3266" s="82"/>
      <c r="S3266" s="82"/>
      <c r="T3266" s="82"/>
      <c r="U3266" s="82"/>
      <c r="V3266" s="82"/>
      <c r="W3266" s="82"/>
      <c r="X3266" s="82"/>
      <c r="Y3266" s="82"/>
      <c r="Z3266" s="82"/>
      <c r="AA3266" s="82"/>
      <c r="AB3266" s="82"/>
      <c r="AC3266" s="82"/>
      <c r="AD3266" s="82"/>
      <c r="AE3266" s="82"/>
      <c r="AF3266" s="82"/>
      <c r="AG3266" s="82"/>
      <c r="AH3266" s="82"/>
      <c r="AI3266" s="82"/>
      <c r="AJ3266" s="82"/>
      <c r="AK3266" s="82"/>
      <c r="AL3266" s="82"/>
      <c r="AM3266" s="82"/>
      <c r="AN3266" s="82">
        <f>IFERROR(__xludf.DUMMYFUNCTION("""COMPUTED_VALUE"""),0.0)</f>
        <v>0</v>
      </c>
      <c r="AO3266" s="82">
        <f>IFERROR(__xludf.DUMMYFUNCTION("""COMPUTED_VALUE"""),0.0)</f>
        <v>0</v>
      </c>
      <c r="AP3266" s="82">
        <f>IFERROR(__xludf.DUMMYFUNCTION("""COMPUTED_VALUE"""),0.0)</f>
        <v>0</v>
      </c>
      <c r="AQ3266" s="82">
        <f>IFERROR(__xludf.DUMMYFUNCTION("""COMPUTED_VALUE"""),0.0)</f>
        <v>0</v>
      </c>
      <c r="AR3266" s="82">
        <f>IFERROR(__xludf.DUMMYFUNCTION("""COMPUTED_VALUE"""),0.0)</f>
        <v>0</v>
      </c>
      <c r="AS3266" s="82"/>
      <c r="AT3266" s="82">
        <f>IFERROR(__xludf.DUMMYFUNCTION("""COMPUTED_VALUE"""),0.0)</f>
        <v>0</v>
      </c>
      <c r="AU3266" s="82"/>
      <c r="AV3266" s="82"/>
      <c r="AW3266" s="82" t="str">
        <f t="shared" si="1"/>
        <v/>
      </c>
      <c r="AX3266" s="83" t="str">
        <f t="array" ref="AX3266">IFERROR(DGET('SBV Import'!A:G,"SBV",{"RSC ID","Tier";B3266,A3266}))</f>
        <v/>
      </c>
      <c r="AY3266" s="82" t="str">
        <f t="shared" si="2"/>
        <v/>
      </c>
      <c r="AZ3266" s="82"/>
      <c r="BA3266" s="84" t="s">
        <v>152</v>
      </c>
      <c r="BB3266" s="84" t="str">
        <f>IFERROR(__xludf.DUMMYFUNCTION("iferror(if(A3266="""",,E3266&gt;=FILTER(Constants!$F$2:$F$10,Constants!$A$2:$A$10=A3266)))"),"")</f>
        <v/>
      </c>
    </row>
    <row r="3267">
      <c r="A3267" s="89"/>
      <c r="B3267" s="87"/>
      <c r="C3267" s="73"/>
      <c r="D3267" s="73"/>
      <c r="E3267" s="82"/>
      <c r="F3267" s="82"/>
      <c r="G3267" s="86"/>
      <c r="H3267" s="86"/>
      <c r="I3267" s="86"/>
      <c r="J3267" s="82"/>
      <c r="K3267" s="82"/>
      <c r="L3267" s="82"/>
      <c r="M3267" s="82"/>
      <c r="N3267" s="82"/>
      <c r="O3267" s="82"/>
      <c r="P3267" s="82"/>
      <c r="Q3267" s="82"/>
      <c r="R3267" s="82"/>
      <c r="S3267" s="82"/>
      <c r="T3267" s="82"/>
      <c r="U3267" s="82"/>
      <c r="V3267" s="82"/>
      <c r="W3267" s="82"/>
      <c r="X3267" s="82"/>
      <c r="Y3267" s="82"/>
      <c r="Z3267" s="82"/>
      <c r="AA3267" s="82"/>
      <c r="AB3267" s="82"/>
      <c r="AC3267" s="82"/>
      <c r="AD3267" s="82"/>
      <c r="AE3267" s="82"/>
      <c r="AF3267" s="82"/>
      <c r="AG3267" s="82"/>
      <c r="AH3267" s="82"/>
      <c r="AI3267" s="82"/>
      <c r="AJ3267" s="82"/>
      <c r="AK3267" s="82"/>
      <c r="AL3267" s="82"/>
      <c r="AM3267" s="82"/>
      <c r="AN3267" s="82">
        <f>IFERROR(__xludf.DUMMYFUNCTION("""COMPUTED_VALUE"""),0.0)</f>
        <v>0</v>
      </c>
      <c r="AO3267" s="82">
        <f>IFERROR(__xludf.DUMMYFUNCTION("""COMPUTED_VALUE"""),0.0)</f>
        <v>0</v>
      </c>
      <c r="AP3267" s="82">
        <f>IFERROR(__xludf.DUMMYFUNCTION("""COMPUTED_VALUE"""),0.0)</f>
        <v>0</v>
      </c>
      <c r="AQ3267" s="82">
        <f>IFERROR(__xludf.DUMMYFUNCTION("""COMPUTED_VALUE"""),0.0)</f>
        <v>0</v>
      </c>
      <c r="AR3267" s="82">
        <f>IFERROR(__xludf.DUMMYFUNCTION("""COMPUTED_VALUE"""),0.0)</f>
        <v>0</v>
      </c>
      <c r="AS3267" s="82"/>
      <c r="AT3267" s="82">
        <f>IFERROR(__xludf.DUMMYFUNCTION("""COMPUTED_VALUE"""),0.0)</f>
        <v>0</v>
      </c>
      <c r="AU3267" s="82"/>
      <c r="AV3267" s="82"/>
      <c r="AW3267" s="82" t="str">
        <f t="shared" si="1"/>
        <v/>
      </c>
      <c r="AX3267" s="83" t="str">
        <f t="array" ref="AX3267">IFERROR(DGET('SBV Import'!A:G,"SBV",{"RSC ID","Tier";B3267,A3267}))</f>
        <v/>
      </c>
      <c r="AY3267" s="82" t="str">
        <f t="shared" si="2"/>
        <v/>
      </c>
      <c r="AZ3267" s="82"/>
      <c r="BA3267" s="84" t="s">
        <v>152</v>
      </c>
      <c r="BB3267" s="84" t="str">
        <f>IFERROR(__xludf.DUMMYFUNCTION("iferror(if(A3267="""",,E3267&gt;=FILTER(Constants!$F$2:$F$10,Constants!$A$2:$A$10=A3267)))"),"")</f>
        <v/>
      </c>
    </row>
    <row r="3268">
      <c r="A3268" s="89"/>
      <c r="B3268" s="87"/>
      <c r="C3268" s="73"/>
      <c r="D3268" s="73"/>
      <c r="E3268" s="82"/>
      <c r="F3268" s="82"/>
      <c r="G3268" s="86"/>
      <c r="H3268" s="86"/>
      <c r="I3268" s="86"/>
      <c r="J3268" s="82"/>
      <c r="K3268" s="82"/>
      <c r="L3268" s="82"/>
      <c r="M3268" s="82"/>
      <c r="N3268" s="82"/>
      <c r="O3268" s="82"/>
      <c r="P3268" s="82"/>
      <c r="Q3268" s="82"/>
      <c r="R3268" s="82"/>
      <c r="S3268" s="82"/>
      <c r="T3268" s="82"/>
      <c r="U3268" s="82"/>
      <c r="V3268" s="82"/>
      <c r="W3268" s="82"/>
      <c r="X3268" s="82"/>
      <c r="Y3268" s="82"/>
      <c r="Z3268" s="82"/>
      <c r="AA3268" s="82"/>
      <c r="AB3268" s="82"/>
      <c r="AC3268" s="82"/>
      <c r="AD3268" s="82"/>
      <c r="AE3268" s="82"/>
      <c r="AF3268" s="82"/>
      <c r="AG3268" s="82"/>
      <c r="AH3268" s="82"/>
      <c r="AI3268" s="82"/>
      <c r="AJ3268" s="82"/>
      <c r="AK3268" s="82"/>
      <c r="AL3268" s="82"/>
      <c r="AM3268" s="82"/>
      <c r="AN3268" s="82">
        <f>IFERROR(__xludf.DUMMYFUNCTION("""COMPUTED_VALUE"""),0.0)</f>
        <v>0</v>
      </c>
      <c r="AO3268" s="82">
        <f>IFERROR(__xludf.DUMMYFUNCTION("""COMPUTED_VALUE"""),0.0)</f>
        <v>0</v>
      </c>
      <c r="AP3268" s="82">
        <f>IFERROR(__xludf.DUMMYFUNCTION("""COMPUTED_VALUE"""),0.0)</f>
        <v>0</v>
      </c>
      <c r="AQ3268" s="82">
        <f>IFERROR(__xludf.DUMMYFUNCTION("""COMPUTED_VALUE"""),0.0)</f>
        <v>0</v>
      </c>
      <c r="AR3268" s="82">
        <f>IFERROR(__xludf.DUMMYFUNCTION("""COMPUTED_VALUE"""),0.0)</f>
        <v>0</v>
      </c>
      <c r="AS3268" s="82"/>
      <c r="AT3268" s="82">
        <f>IFERROR(__xludf.DUMMYFUNCTION("""COMPUTED_VALUE"""),0.0)</f>
        <v>0</v>
      </c>
      <c r="AU3268" s="82"/>
      <c r="AV3268" s="82"/>
      <c r="AW3268" s="82" t="str">
        <f t="shared" si="1"/>
        <v/>
      </c>
      <c r="AX3268" s="83" t="str">
        <f t="array" ref="AX3268">IFERROR(DGET('SBV Import'!A:G,"SBV",{"RSC ID","Tier";B3268,A3268}))</f>
        <v/>
      </c>
      <c r="AY3268" s="82" t="str">
        <f t="shared" si="2"/>
        <v/>
      </c>
      <c r="AZ3268" s="82"/>
      <c r="BA3268" s="84" t="s">
        <v>152</v>
      </c>
      <c r="BB3268" s="84" t="str">
        <f>IFERROR(__xludf.DUMMYFUNCTION("iferror(if(A3268="""",,E3268&gt;=FILTER(Constants!$F$2:$F$10,Constants!$A$2:$A$10=A3268)))"),"")</f>
        <v/>
      </c>
    </row>
    <row r="3269">
      <c r="A3269" s="89"/>
      <c r="B3269" s="87"/>
      <c r="C3269" s="73"/>
      <c r="D3269" s="73"/>
      <c r="E3269" s="82"/>
      <c r="F3269" s="82"/>
      <c r="G3269" s="86"/>
      <c r="H3269" s="86"/>
      <c r="I3269" s="86"/>
      <c r="J3269" s="82"/>
      <c r="K3269" s="82"/>
      <c r="L3269" s="82"/>
      <c r="M3269" s="82"/>
      <c r="N3269" s="82"/>
      <c r="O3269" s="82"/>
      <c r="P3269" s="82"/>
      <c r="Q3269" s="82"/>
      <c r="R3269" s="82"/>
      <c r="S3269" s="82"/>
      <c r="T3269" s="82"/>
      <c r="U3269" s="82"/>
      <c r="V3269" s="82"/>
      <c r="W3269" s="82"/>
      <c r="X3269" s="82"/>
      <c r="Y3269" s="82"/>
      <c r="Z3269" s="82"/>
      <c r="AA3269" s="82"/>
      <c r="AB3269" s="82"/>
      <c r="AC3269" s="82"/>
      <c r="AD3269" s="82"/>
      <c r="AE3269" s="82"/>
      <c r="AF3269" s="82"/>
      <c r="AG3269" s="82"/>
      <c r="AH3269" s="82"/>
      <c r="AI3269" s="82"/>
      <c r="AJ3269" s="82"/>
      <c r="AK3269" s="82"/>
      <c r="AL3269" s="82"/>
      <c r="AM3269" s="82"/>
      <c r="AN3269" s="82">
        <f>IFERROR(__xludf.DUMMYFUNCTION("""COMPUTED_VALUE"""),0.0)</f>
        <v>0</v>
      </c>
      <c r="AO3269" s="82">
        <f>IFERROR(__xludf.DUMMYFUNCTION("""COMPUTED_VALUE"""),0.0)</f>
        <v>0</v>
      </c>
      <c r="AP3269" s="82">
        <f>IFERROR(__xludf.DUMMYFUNCTION("""COMPUTED_VALUE"""),0.0)</f>
        <v>0</v>
      </c>
      <c r="AQ3269" s="82">
        <f>IFERROR(__xludf.DUMMYFUNCTION("""COMPUTED_VALUE"""),0.0)</f>
        <v>0</v>
      </c>
      <c r="AR3269" s="82">
        <f>IFERROR(__xludf.DUMMYFUNCTION("""COMPUTED_VALUE"""),0.0)</f>
        <v>0</v>
      </c>
      <c r="AS3269" s="82"/>
      <c r="AT3269" s="82">
        <f>IFERROR(__xludf.DUMMYFUNCTION("""COMPUTED_VALUE"""),0.0)</f>
        <v>0</v>
      </c>
      <c r="AU3269" s="82"/>
      <c r="AV3269" s="82"/>
      <c r="AW3269" s="82" t="str">
        <f t="shared" si="1"/>
        <v/>
      </c>
      <c r="AX3269" s="83" t="str">
        <f t="array" ref="AX3269">IFERROR(DGET('SBV Import'!A:G,"SBV",{"RSC ID","Tier";B3269,A3269}))</f>
        <v/>
      </c>
      <c r="AY3269" s="82" t="str">
        <f t="shared" si="2"/>
        <v/>
      </c>
      <c r="AZ3269" s="82"/>
      <c r="BA3269" s="84" t="s">
        <v>152</v>
      </c>
      <c r="BB3269" s="84" t="str">
        <f>IFERROR(__xludf.DUMMYFUNCTION("iferror(if(A3269="""",,E3269&gt;=FILTER(Constants!$F$2:$F$10,Constants!$A$2:$A$10=A3269)))"),"")</f>
        <v/>
      </c>
    </row>
    <row r="3270">
      <c r="A3270" s="89"/>
      <c r="B3270" s="87"/>
      <c r="C3270" s="73"/>
      <c r="D3270" s="73"/>
      <c r="E3270" s="82"/>
      <c r="F3270" s="82"/>
      <c r="G3270" s="86"/>
      <c r="H3270" s="86"/>
      <c r="I3270" s="86"/>
      <c r="J3270" s="82"/>
      <c r="K3270" s="82"/>
      <c r="L3270" s="82"/>
      <c r="M3270" s="82"/>
      <c r="N3270" s="82"/>
      <c r="O3270" s="82"/>
      <c r="P3270" s="82"/>
      <c r="Q3270" s="82"/>
      <c r="R3270" s="82"/>
      <c r="S3270" s="82"/>
      <c r="T3270" s="82"/>
      <c r="U3270" s="82"/>
      <c r="V3270" s="82"/>
      <c r="W3270" s="82"/>
      <c r="X3270" s="82"/>
      <c r="Y3270" s="82"/>
      <c r="Z3270" s="82"/>
      <c r="AA3270" s="82"/>
      <c r="AB3270" s="82"/>
      <c r="AC3270" s="82"/>
      <c r="AD3270" s="82"/>
      <c r="AE3270" s="82"/>
      <c r="AF3270" s="82"/>
      <c r="AG3270" s="82"/>
      <c r="AH3270" s="82"/>
      <c r="AI3270" s="82"/>
      <c r="AJ3270" s="82"/>
      <c r="AK3270" s="82"/>
      <c r="AL3270" s="82"/>
      <c r="AM3270" s="82"/>
      <c r="AN3270" s="82">
        <f>IFERROR(__xludf.DUMMYFUNCTION("""COMPUTED_VALUE"""),0.0)</f>
        <v>0</v>
      </c>
      <c r="AO3270" s="82">
        <f>IFERROR(__xludf.DUMMYFUNCTION("""COMPUTED_VALUE"""),0.0)</f>
        <v>0</v>
      </c>
      <c r="AP3270" s="82">
        <f>IFERROR(__xludf.DUMMYFUNCTION("""COMPUTED_VALUE"""),0.0)</f>
        <v>0</v>
      </c>
      <c r="AQ3270" s="82">
        <f>IFERROR(__xludf.DUMMYFUNCTION("""COMPUTED_VALUE"""),0.0)</f>
        <v>0</v>
      </c>
      <c r="AR3270" s="82">
        <f>IFERROR(__xludf.DUMMYFUNCTION("""COMPUTED_VALUE"""),0.0)</f>
        <v>0</v>
      </c>
      <c r="AS3270" s="82"/>
      <c r="AT3270" s="82">
        <f>IFERROR(__xludf.DUMMYFUNCTION("""COMPUTED_VALUE"""),0.0)</f>
        <v>0</v>
      </c>
      <c r="AU3270" s="82"/>
      <c r="AV3270" s="82"/>
      <c r="AW3270" s="82" t="str">
        <f t="shared" si="1"/>
        <v/>
      </c>
      <c r="AX3270" s="83" t="str">
        <f t="array" ref="AX3270">IFERROR(DGET('SBV Import'!A:G,"SBV",{"RSC ID","Tier";B3270,A3270}))</f>
        <v/>
      </c>
      <c r="AY3270" s="82" t="str">
        <f t="shared" si="2"/>
        <v/>
      </c>
      <c r="AZ3270" s="82"/>
      <c r="BA3270" s="84" t="s">
        <v>152</v>
      </c>
      <c r="BB3270" s="84" t="str">
        <f>IFERROR(__xludf.DUMMYFUNCTION("iferror(if(A3270="""",,E3270&gt;=FILTER(Constants!$F$2:$F$10,Constants!$A$2:$A$10=A3270)))"),"")</f>
        <v/>
      </c>
    </row>
    <row r="3271">
      <c r="A3271" s="89"/>
      <c r="B3271" s="87"/>
      <c r="C3271" s="73"/>
      <c r="D3271" s="73"/>
      <c r="E3271" s="82"/>
      <c r="F3271" s="82"/>
      <c r="G3271" s="86"/>
      <c r="H3271" s="86"/>
      <c r="I3271" s="86"/>
      <c r="J3271" s="82"/>
      <c r="K3271" s="82"/>
      <c r="L3271" s="82"/>
      <c r="M3271" s="82"/>
      <c r="N3271" s="82"/>
      <c r="O3271" s="82"/>
      <c r="P3271" s="82"/>
      <c r="Q3271" s="82"/>
      <c r="R3271" s="82"/>
      <c r="S3271" s="82"/>
      <c r="T3271" s="82"/>
      <c r="U3271" s="82"/>
      <c r="V3271" s="82"/>
      <c r="W3271" s="82"/>
      <c r="X3271" s="82"/>
      <c r="Y3271" s="82"/>
      <c r="Z3271" s="82"/>
      <c r="AA3271" s="82"/>
      <c r="AB3271" s="82"/>
      <c r="AC3271" s="82"/>
      <c r="AD3271" s="82"/>
      <c r="AE3271" s="82"/>
      <c r="AF3271" s="82"/>
      <c r="AG3271" s="82"/>
      <c r="AH3271" s="82"/>
      <c r="AI3271" s="82"/>
      <c r="AJ3271" s="82"/>
      <c r="AK3271" s="82"/>
      <c r="AL3271" s="82"/>
      <c r="AM3271" s="82"/>
      <c r="AN3271" s="82">
        <f>IFERROR(__xludf.DUMMYFUNCTION("""COMPUTED_VALUE"""),0.0)</f>
        <v>0</v>
      </c>
      <c r="AO3271" s="82">
        <f>IFERROR(__xludf.DUMMYFUNCTION("""COMPUTED_VALUE"""),0.0)</f>
        <v>0</v>
      </c>
      <c r="AP3271" s="82">
        <f>IFERROR(__xludf.DUMMYFUNCTION("""COMPUTED_VALUE"""),0.0)</f>
        <v>0</v>
      </c>
      <c r="AQ3271" s="82">
        <f>IFERROR(__xludf.DUMMYFUNCTION("""COMPUTED_VALUE"""),0.0)</f>
        <v>0</v>
      </c>
      <c r="AR3271" s="82">
        <f>IFERROR(__xludf.DUMMYFUNCTION("""COMPUTED_VALUE"""),0.0)</f>
        <v>0</v>
      </c>
      <c r="AS3271" s="82"/>
      <c r="AT3271" s="82">
        <f>IFERROR(__xludf.DUMMYFUNCTION("""COMPUTED_VALUE"""),0.0)</f>
        <v>0</v>
      </c>
      <c r="AU3271" s="82"/>
      <c r="AV3271" s="82"/>
      <c r="AW3271" s="82" t="str">
        <f t="shared" si="1"/>
        <v/>
      </c>
      <c r="AX3271" s="83" t="str">
        <f t="array" ref="AX3271">IFERROR(DGET('SBV Import'!A:G,"SBV",{"RSC ID","Tier";B3271,A3271}))</f>
        <v/>
      </c>
      <c r="AY3271" s="82" t="str">
        <f t="shared" si="2"/>
        <v/>
      </c>
      <c r="AZ3271" s="82"/>
      <c r="BA3271" s="84" t="s">
        <v>152</v>
      </c>
      <c r="BB3271" s="84" t="str">
        <f>IFERROR(__xludf.DUMMYFUNCTION("iferror(if(A3271="""",,E3271&gt;=FILTER(Constants!$F$2:$F$10,Constants!$A$2:$A$10=A3271)))"),"")</f>
        <v/>
      </c>
    </row>
    <row r="3272">
      <c r="A3272" s="89"/>
      <c r="B3272" s="87"/>
      <c r="C3272" s="73"/>
      <c r="D3272" s="73"/>
      <c r="E3272" s="82"/>
      <c r="F3272" s="82"/>
      <c r="G3272" s="86"/>
      <c r="H3272" s="86"/>
      <c r="I3272" s="86"/>
      <c r="J3272" s="82"/>
      <c r="K3272" s="82"/>
      <c r="L3272" s="82"/>
      <c r="M3272" s="82"/>
      <c r="N3272" s="82"/>
      <c r="O3272" s="82"/>
      <c r="P3272" s="82"/>
      <c r="Q3272" s="82"/>
      <c r="R3272" s="82"/>
      <c r="S3272" s="82"/>
      <c r="T3272" s="82"/>
      <c r="U3272" s="82"/>
      <c r="V3272" s="82"/>
      <c r="W3272" s="82"/>
      <c r="X3272" s="82"/>
      <c r="Y3272" s="82"/>
      <c r="Z3272" s="82"/>
      <c r="AA3272" s="82"/>
      <c r="AB3272" s="82"/>
      <c r="AC3272" s="82"/>
      <c r="AD3272" s="82"/>
      <c r="AE3272" s="82"/>
      <c r="AF3272" s="82"/>
      <c r="AG3272" s="82"/>
      <c r="AH3272" s="82"/>
      <c r="AI3272" s="82"/>
      <c r="AJ3272" s="82"/>
      <c r="AK3272" s="82"/>
      <c r="AL3272" s="82"/>
      <c r="AM3272" s="82"/>
      <c r="AN3272" s="82">
        <f>IFERROR(__xludf.DUMMYFUNCTION("""COMPUTED_VALUE"""),0.0)</f>
        <v>0</v>
      </c>
      <c r="AO3272" s="82">
        <f>IFERROR(__xludf.DUMMYFUNCTION("""COMPUTED_VALUE"""),0.0)</f>
        <v>0</v>
      </c>
      <c r="AP3272" s="82">
        <f>IFERROR(__xludf.DUMMYFUNCTION("""COMPUTED_VALUE"""),0.0)</f>
        <v>0</v>
      </c>
      <c r="AQ3272" s="82">
        <f>IFERROR(__xludf.DUMMYFUNCTION("""COMPUTED_VALUE"""),0.0)</f>
        <v>0</v>
      </c>
      <c r="AR3272" s="82">
        <f>IFERROR(__xludf.DUMMYFUNCTION("""COMPUTED_VALUE"""),0.0)</f>
        <v>0</v>
      </c>
      <c r="AS3272" s="82"/>
      <c r="AT3272" s="82">
        <f>IFERROR(__xludf.DUMMYFUNCTION("""COMPUTED_VALUE"""),0.0)</f>
        <v>0</v>
      </c>
      <c r="AU3272" s="82"/>
      <c r="AV3272" s="82"/>
      <c r="AW3272" s="82" t="str">
        <f t="shared" si="1"/>
        <v/>
      </c>
      <c r="AX3272" s="83" t="str">
        <f t="array" ref="AX3272">IFERROR(DGET('SBV Import'!A:G,"SBV",{"RSC ID","Tier";B3272,A3272}))</f>
        <v/>
      </c>
      <c r="AY3272" s="82" t="str">
        <f t="shared" si="2"/>
        <v/>
      </c>
      <c r="AZ3272" s="82"/>
      <c r="BA3272" s="84" t="s">
        <v>152</v>
      </c>
      <c r="BB3272" s="84" t="str">
        <f>IFERROR(__xludf.DUMMYFUNCTION("iferror(if(A3272="""",,E3272&gt;=FILTER(Constants!$F$2:$F$10,Constants!$A$2:$A$10=A3272)))"),"")</f>
        <v/>
      </c>
    </row>
    <row r="3273">
      <c r="A3273" s="89"/>
      <c r="B3273" s="87"/>
      <c r="C3273" s="73"/>
      <c r="D3273" s="73"/>
      <c r="E3273" s="82"/>
      <c r="F3273" s="82"/>
      <c r="G3273" s="86"/>
      <c r="H3273" s="86"/>
      <c r="I3273" s="86"/>
      <c r="J3273" s="82"/>
      <c r="K3273" s="82"/>
      <c r="L3273" s="82"/>
      <c r="M3273" s="82"/>
      <c r="N3273" s="82"/>
      <c r="O3273" s="82"/>
      <c r="P3273" s="82"/>
      <c r="Q3273" s="82"/>
      <c r="R3273" s="82"/>
      <c r="S3273" s="82"/>
      <c r="T3273" s="82"/>
      <c r="U3273" s="82"/>
      <c r="V3273" s="82"/>
      <c r="W3273" s="82"/>
      <c r="X3273" s="82"/>
      <c r="Y3273" s="82"/>
      <c r="Z3273" s="82"/>
      <c r="AA3273" s="82"/>
      <c r="AB3273" s="82"/>
      <c r="AC3273" s="82"/>
      <c r="AD3273" s="82"/>
      <c r="AE3273" s="82"/>
      <c r="AF3273" s="82"/>
      <c r="AG3273" s="82"/>
      <c r="AH3273" s="82"/>
      <c r="AI3273" s="82"/>
      <c r="AJ3273" s="82"/>
      <c r="AK3273" s="82"/>
      <c r="AL3273" s="82"/>
      <c r="AM3273" s="82"/>
      <c r="AN3273" s="82">
        <f>IFERROR(__xludf.DUMMYFUNCTION("""COMPUTED_VALUE"""),0.0)</f>
        <v>0</v>
      </c>
      <c r="AO3273" s="82">
        <f>IFERROR(__xludf.DUMMYFUNCTION("""COMPUTED_VALUE"""),0.0)</f>
        <v>0</v>
      </c>
      <c r="AP3273" s="82">
        <f>IFERROR(__xludf.DUMMYFUNCTION("""COMPUTED_VALUE"""),0.0)</f>
        <v>0</v>
      </c>
      <c r="AQ3273" s="82">
        <f>IFERROR(__xludf.DUMMYFUNCTION("""COMPUTED_VALUE"""),0.0)</f>
        <v>0</v>
      </c>
      <c r="AR3273" s="82">
        <f>IFERROR(__xludf.DUMMYFUNCTION("""COMPUTED_VALUE"""),0.0)</f>
        <v>0</v>
      </c>
      <c r="AS3273" s="82"/>
      <c r="AT3273" s="82">
        <f>IFERROR(__xludf.DUMMYFUNCTION("""COMPUTED_VALUE"""),0.0)</f>
        <v>0</v>
      </c>
      <c r="AU3273" s="82"/>
      <c r="AV3273" s="82"/>
      <c r="AW3273" s="82" t="str">
        <f t="shared" si="1"/>
        <v/>
      </c>
      <c r="AX3273" s="83" t="str">
        <f t="array" ref="AX3273">IFERROR(DGET('SBV Import'!A:G,"SBV",{"RSC ID","Tier";B3273,A3273}))</f>
        <v/>
      </c>
      <c r="AY3273" s="82" t="str">
        <f t="shared" si="2"/>
        <v/>
      </c>
      <c r="AZ3273" s="82"/>
      <c r="BA3273" s="84" t="s">
        <v>152</v>
      </c>
      <c r="BB3273" s="84" t="str">
        <f>IFERROR(__xludf.DUMMYFUNCTION("iferror(if(A3273="""",,E3273&gt;=FILTER(Constants!$F$2:$F$10,Constants!$A$2:$A$10=A3273)))"),"")</f>
        <v/>
      </c>
    </row>
    <row r="3274">
      <c r="A3274" s="89"/>
      <c r="B3274" s="87"/>
      <c r="C3274" s="73"/>
      <c r="D3274" s="73"/>
      <c r="E3274" s="82"/>
      <c r="F3274" s="82"/>
      <c r="G3274" s="86"/>
      <c r="H3274" s="86"/>
      <c r="I3274" s="86"/>
      <c r="J3274" s="82"/>
      <c r="K3274" s="82"/>
      <c r="L3274" s="82"/>
      <c r="M3274" s="82"/>
      <c r="N3274" s="82"/>
      <c r="O3274" s="82"/>
      <c r="P3274" s="82"/>
      <c r="Q3274" s="82"/>
      <c r="R3274" s="82"/>
      <c r="S3274" s="82"/>
      <c r="T3274" s="82"/>
      <c r="U3274" s="82"/>
      <c r="V3274" s="82"/>
      <c r="W3274" s="82"/>
      <c r="X3274" s="82"/>
      <c r="Y3274" s="82"/>
      <c r="Z3274" s="82"/>
      <c r="AA3274" s="82"/>
      <c r="AB3274" s="82"/>
      <c r="AC3274" s="82"/>
      <c r="AD3274" s="82"/>
      <c r="AE3274" s="82"/>
      <c r="AF3274" s="82"/>
      <c r="AG3274" s="82"/>
      <c r="AH3274" s="82"/>
      <c r="AI3274" s="82"/>
      <c r="AJ3274" s="82"/>
      <c r="AK3274" s="82"/>
      <c r="AL3274" s="82"/>
      <c r="AM3274" s="82"/>
      <c r="AN3274" s="82">
        <f>IFERROR(__xludf.DUMMYFUNCTION("""COMPUTED_VALUE"""),0.0)</f>
        <v>0</v>
      </c>
      <c r="AO3274" s="82">
        <f>IFERROR(__xludf.DUMMYFUNCTION("""COMPUTED_VALUE"""),0.0)</f>
        <v>0</v>
      </c>
      <c r="AP3274" s="82">
        <f>IFERROR(__xludf.DUMMYFUNCTION("""COMPUTED_VALUE"""),0.0)</f>
        <v>0</v>
      </c>
      <c r="AQ3274" s="82">
        <f>IFERROR(__xludf.DUMMYFUNCTION("""COMPUTED_VALUE"""),0.0)</f>
        <v>0</v>
      </c>
      <c r="AR3274" s="82">
        <f>IFERROR(__xludf.DUMMYFUNCTION("""COMPUTED_VALUE"""),0.0)</f>
        <v>0</v>
      </c>
      <c r="AS3274" s="82"/>
      <c r="AT3274" s="82">
        <f>IFERROR(__xludf.DUMMYFUNCTION("""COMPUTED_VALUE"""),0.0)</f>
        <v>0</v>
      </c>
      <c r="AU3274" s="82"/>
      <c r="AV3274" s="82"/>
      <c r="AW3274" s="82" t="str">
        <f t="shared" si="1"/>
        <v/>
      </c>
      <c r="AX3274" s="83" t="str">
        <f t="array" ref="AX3274">IFERROR(DGET('SBV Import'!A:G,"SBV",{"RSC ID","Tier";B3274,A3274}))</f>
        <v/>
      </c>
      <c r="AY3274" s="82" t="str">
        <f t="shared" si="2"/>
        <v/>
      </c>
      <c r="AZ3274" s="82"/>
      <c r="BA3274" s="84" t="s">
        <v>152</v>
      </c>
      <c r="BB3274" s="84" t="str">
        <f>IFERROR(__xludf.DUMMYFUNCTION("iferror(if(A3274="""",,E3274&gt;=FILTER(Constants!$F$2:$F$10,Constants!$A$2:$A$10=A3274)))"),"")</f>
        <v/>
      </c>
    </row>
    <row r="3275">
      <c r="A3275" s="89"/>
      <c r="B3275" s="87"/>
      <c r="C3275" s="73"/>
      <c r="D3275" s="73"/>
      <c r="E3275" s="82"/>
      <c r="F3275" s="82"/>
      <c r="G3275" s="86"/>
      <c r="H3275" s="86"/>
      <c r="I3275" s="86"/>
      <c r="J3275" s="82"/>
      <c r="K3275" s="82"/>
      <c r="L3275" s="82"/>
      <c r="M3275" s="82"/>
      <c r="N3275" s="82"/>
      <c r="O3275" s="82"/>
      <c r="P3275" s="82"/>
      <c r="Q3275" s="82"/>
      <c r="R3275" s="82"/>
      <c r="S3275" s="82"/>
      <c r="T3275" s="82"/>
      <c r="U3275" s="82"/>
      <c r="V3275" s="82"/>
      <c r="W3275" s="82"/>
      <c r="X3275" s="82"/>
      <c r="Y3275" s="82"/>
      <c r="Z3275" s="82"/>
      <c r="AA3275" s="82"/>
      <c r="AB3275" s="82"/>
      <c r="AC3275" s="82"/>
      <c r="AD3275" s="82"/>
      <c r="AE3275" s="82"/>
      <c r="AF3275" s="82"/>
      <c r="AG3275" s="82"/>
      <c r="AH3275" s="82"/>
      <c r="AI3275" s="82"/>
      <c r="AJ3275" s="82"/>
      <c r="AK3275" s="82"/>
      <c r="AL3275" s="82"/>
      <c r="AM3275" s="82"/>
      <c r="AN3275" s="82">
        <f>IFERROR(__xludf.DUMMYFUNCTION("""COMPUTED_VALUE"""),0.0)</f>
        <v>0</v>
      </c>
      <c r="AO3275" s="82">
        <f>IFERROR(__xludf.DUMMYFUNCTION("""COMPUTED_VALUE"""),0.0)</f>
        <v>0</v>
      </c>
      <c r="AP3275" s="82">
        <f>IFERROR(__xludf.DUMMYFUNCTION("""COMPUTED_VALUE"""),0.0)</f>
        <v>0</v>
      </c>
      <c r="AQ3275" s="82">
        <f>IFERROR(__xludf.DUMMYFUNCTION("""COMPUTED_VALUE"""),0.0)</f>
        <v>0</v>
      </c>
      <c r="AR3275" s="82">
        <f>IFERROR(__xludf.DUMMYFUNCTION("""COMPUTED_VALUE"""),0.0)</f>
        <v>0</v>
      </c>
      <c r="AS3275" s="82"/>
      <c r="AT3275" s="82">
        <f>IFERROR(__xludf.DUMMYFUNCTION("""COMPUTED_VALUE"""),0.0)</f>
        <v>0</v>
      </c>
      <c r="AU3275" s="82"/>
      <c r="AV3275" s="82"/>
      <c r="AW3275" s="82" t="str">
        <f t="shared" si="1"/>
        <v/>
      </c>
      <c r="AX3275" s="83" t="str">
        <f t="array" ref="AX3275">IFERROR(DGET('SBV Import'!A:G,"SBV",{"RSC ID","Tier";B3275,A3275}))</f>
        <v/>
      </c>
      <c r="AY3275" s="82" t="str">
        <f t="shared" si="2"/>
        <v/>
      </c>
      <c r="AZ3275" s="82"/>
      <c r="BA3275" s="84" t="s">
        <v>152</v>
      </c>
      <c r="BB3275" s="84" t="str">
        <f>IFERROR(__xludf.DUMMYFUNCTION("iferror(if(A3275="""",,E3275&gt;=FILTER(Constants!$F$2:$F$10,Constants!$A$2:$A$10=A3275)))"),"")</f>
        <v/>
      </c>
    </row>
    <row r="3276">
      <c r="A3276" s="89"/>
      <c r="B3276" s="87"/>
      <c r="C3276" s="73"/>
      <c r="D3276" s="73"/>
      <c r="E3276" s="82"/>
      <c r="F3276" s="82"/>
      <c r="G3276" s="86"/>
      <c r="H3276" s="86"/>
      <c r="I3276" s="86"/>
      <c r="J3276" s="82"/>
      <c r="K3276" s="82"/>
      <c r="L3276" s="82"/>
      <c r="M3276" s="82"/>
      <c r="N3276" s="82"/>
      <c r="O3276" s="82"/>
      <c r="P3276" s="82"/>
      <c r="Q3276" s="82"/>
      <c r="R3276" s="82"/>
      <c r="S3276" s="82"/>
      <c r="T3276" s="82"/>
      <c r="U3276" s="82"/>
      <c r="V3276" s="82"/>
      <c r="W3276" s="82"/>
      <c r="X3276" s="82"/>
      <c r="Y3276" s="82"/>
      <c r="Z3276" s="82"/>
      <c r="AA3276" s="82"/>
      <c r="AB3276" s="82"/>
      <c r="AC3276" s="82"/>
      <c r="AD3276" s="82"/>
      <c r="AE3276" s="82"/>
      <c r="AF3276" s="82"/>
      <c r="AG3276" s="82"/>
      <c r="AH3276" s="82"/>
      <c r="AI3276" s="82"/>
      <c r="AJ3276" s="82"/>
      <c r="AK3276" s="82"/>
      <c r="AL3276" s="82"/>
      <c r="AM3276" s="82"/>
      <c r="AN3276" s="82">
        <f>IFERROR(__xludf.DUMMYFUNCTION("""COMPUTED_VALUE"""),0.0)</f>
        <v>0</v>
      </c>
      <c r="AO3276" s="82">
        <f>IFERROR(__xludf.DUMMYFUNCTION("""COMPUTED_VALUE"""),0.0)</f>
        <v>0</v>
      </c>
      <c r="AP3276" s="82">
        <f>IFERROR(__xludf.DUMMYFUNCTION("""COMPUTED_VALUE"""),0.0)</f>
        <v>0</v>
      </c>
      <c r="AQ3276" s="82">
        <f>IFERROR(__xludf.DUMMYFUNCTION("""COMPUTED_VALUE"""),0.0)</f>
        <v>0</v>
      </c>
      <c r="AR3276" s="82">
        <f>IFERROR(__xludf.DUMMYFUNCTION("""COMPUTED_VALUE"""),0.0)</f>
        <v>0</v>
      </c>
      <c r="AS3276" s="82"/>
      <c r="AT3276" s="82">
        <f>IFERROR(__xludf.DUMMYFUNCTION("""COMPUTED_VALUE"""),0.0)</f>
        <v>0</v>
      </c>
      <c r="AU3276" s="82"/>
      <c r="AV3276" s="82"/>
      <c r="AW3276" s="82" t="str">
        <f t="shared" si="1"/>
        <v/>
      </c>
      <c r="AX3276" s="83" t="str">
        <f t="array" ref="AX3276">IFERROR(DGET('SBV Import'!A:G,"SBV",{"RSC ID","Tier";B3276,A3276}))</f>
        <v/>
      </c>
      <c r="AY3276" s="82" t="str">
        <f t="shared" si="2"/>
        <v/>
      </c>
      <c r="AZ3276" s="82"/>
      <c r="BA3276" s="84" t="s">
        <v>152</v>
      </c>
      <c r="BB3276" s="84" t="str">
        <f>IFERROR(__xludf.DUMMYFUNCTION("iferror(if(A3276="""",,E3276&gt;=FILTER(Constants!$F$2:$F$10,Constants!$A$2:$A$10=A3276)))"),"")</f>
        <v/>
      </c>
    </row>
    <row r="3277">
      <c r="A3277" s="89"/>
      <c r="B3277" s="87"/>
      <c r="C3277" s="73"/>
      <c r="D3277" s="73"/>
      <c r="E3277" s="82"/>
      <c r="F3277" s="82"/>
      <c r="G3277" s="86"/>
      <c r="H3277" s="86"/>
      <c r="I3277" s="86"/>
      <c r="J3277" s="82"/>
      <c r="K3277" s="82"/>
      <c r="L3277" s="82"/>
      <c r="M3277" s="82"/>
      <c r="N3277" s="82"/>
      <c r="O3277" s="82"/>
      <c r="P3277" s="82"/>
      <c r="Q3277" s="82"/>
      <c r="R3277" s="82"/>
      <c r="S3277" s="82"/>
      <c r="T3277" s="82"/>
      <c r="U3277" s="82"/>
      <c r="V3277" s="82"/>
      <c r="W3277" s="82"/>
      <c r="X3277" s="82"/>
      <c r="Y3277" s="82"/>
      <c r="Z3277" s="82"/>
      <c r="AA3277" s="82"/>
      <c r="AB3277" s="82"/>
      <c r="AC3277" s="82"/>
      <c r="AD3277" s="82"/>
      <c r="AE3277" s="82"/>
      <c r="AF3277" s="82"/>
      <c r="AG3277" s="82"/>
      <c r="AH3277" s="82"/>
      <c r="AI3277" s="82"/>
      <c r="AJ3277" s="82"/>
      <c r="AK3277" s="82"/>
      <c r="AL3277" s="82"/>
      <c r="AM3277" s="82"/>
      <c r="AN3277" s="82">
        <f>IFERROR(__xludf.DUMMYFUNCTION("""COMPUTED_VALUE"""),0.0)</f>
        <v>0</v>
      </c>
      <c r="AO3277" s="82">
        <f>IFERROR(__xludf.DUMMYFUNCTION("""COMPUTED_VALUE"""),0.0)</f>
        <v>0</v>
      </c>
      <c r="AP3277" s="82">
        <f>IFERROR(__xludf.DUMMYFUNCTION("""COMPUTED_VALUE"""),0.0)</f>
        <v>0</v>
      </c>
      <c r="AQ3277" s="82">
        <f>IFERROR(__xludf.DUMMYFUNCTION("""COMPUTED_VALUE"""),0.0)</f>
        <v>0</v>
      </c>
      <c r="AR3277" s="82">
        <f>IFERROR(__xludf.DUMMYFUNCTION("""COMPUTED_VALUE"""),0.0)</f>
        <v>0</v>
      </c>
      <c r="AS3277" s="82"/>
      <c r="AT3277" s="82">
        <f>IFERROR(__xludf.DUMMYFUNCTION("""COMPUTED_VALUE"""),0.0)</f>
        <v>0</v>
      </c>
      <c r="AU3277" s="82"/>
      <c r="AV3277" s="82"/>
      <c r="AW3277" s="82" t="str">
        <f t="shared" si="1"/>
        <v/>
      </c>
      <c r="AX3277" s="83" t="str">
        <f t="array" ref="AX3277">IFERROR(DGET('SBV Import'!A:G,"SBV",{"RSC ID","Tier";B3277,A3277}))</f>
        <v/>
      </c>
      <c r="AY3277" s="82" t="str">
        <f t="shared" si="2"/>
        <v/>
      </c>
      <c r="AZ3277" s="82"/>
      <c r="BA3277" s="84" t="s">
        <v>152</v>
      </c>
      <c r="BB3277" s="84" t="str">
        <f>IFERROR(__xludf.DUMMYFUNCTION("iferror(if(A3277="""",,E3277&gt;=FILTER(Constants!$F$2:$F$10,Constants!$A$2:$A$10=A3277)))"),"")</f>
        <v/>
      </c>
    </row>
    <row r="3278">
      <c r="A3278" s="89"/>
      <c r="B3278" s="87"/>
      <c r="C3278" s="73"/>
      <c r="D3278" s="73"/>
      <c r="E3278" s="82"/>
      <c r="F3278" s="82"/>
      <c r="G3278" s="86"/>
      <c r="H3278" s="86"/>
      <c r="I3278" s="86"/>
      <c r="J3278" s="82"/>
      <c r="K3278" s="82"/>
      <c r="L3278" s="82"/>
      <c r="M3278" s="82"/>
      <c r="N3278" s="82"/>
      <c r="O3278" s="82"/>
      <c r="P3278" s="82"/>
      <c r="Q3278" s="82"/>
      <c r="R3278" s="82"/>
      <c r="S3278" s="82"/>
      <c r="T3278" s="82"/>
      <c r="U3278" s="82"/>
      <c r="V3278" s="82"/>
      <c r="W3278" s="82"/>
      <c r="X3278" s="82"/>
      <c r="Y3278" s="82"/>
      <c r="Z3278" s="82"/>
      <c r="AA3278" s="82"/>
      <c r="AB3278" s="82"/>
      <c r="AC3278" s="82"/>
      <c r="AD3278" s="82"/>
      <c r="AE3278" s="82"/>
      <c r="AF3278" s="82"/>
      <c r="AG3278" s="82"/>
      <c r="AH3278" s="82"/>
      <c r="AI3278" s="82"/>
      <c r="AJ3278" s="82"/>
      <c r="AK3278" s="82"/>
      <c r="AL3278" s="82"/>
      <c r="AM3278" s="82"/>
      <c r="AN3278" s="82">
        <f>IFERROR(__xludf.DUMMYFUNCTION("""COMPUTED_VALUE"""),0.0)</f>
        <v>0</v>
      </c>
      <c r="AO3278" s="82">
        <f>IFERROR(__xludf.DUMMYFUNCTION("""COMPUTED_VALUE"""),0.0)</f>
        <v>0</v>
      </c>
      <c r="AP3278" s="82">
        <f>IFERROR(__xludf.DUMMYFUNCTION("""COMPUTED_VALUE"""),0.0)</f>
        <v>0</v>
      </c>
      <c r="AQ3278" s="82">
        <f>IFERROR(__xludf.DUMMYFUNCTION("""COMPUTED_VALUE"""),0.0)</f>
        <v>0</v>
      </c>
      <c r="AR3278" s="82">
        <f>IFERROR(__xludf.DUMMYFUNCTION("""COMPUTED_VALUE"""),0.0)</f>
        <v>0</v>
      </c>
      <c r="AS3278" s="82"/>
      <c r="AT3278" s="82">
        <f>IFERROR(__xludf.DUMMYFUNCTION("""COMPUTED_VALUE"""),0.0)</f>
        <v>0</v>
      </c>
      <c r="AU3278" s="82"/>
      <c r="AV3278" s="82"/>
      <c r="AW3278" s="82" t="str">
        <f t="shared" si="1"/>
        <v/>
      </c>
      <c r="AX3278" s="83" t="str">
        <f t="array" ref="AX3278">IFERROR(DGET('SBV Import'!A:G,"SBV",{"RSC ID","Tier";B3278,A3278}))</f>
        <v/>
      </c>
      <c r="AY3278" s="82" t="str">
        <f t="shared" si="2"/>
        <v/>
      </c>
      <c r="AZ3278" s="82"/>
      <c r="BA3278" s="84" t="s">
        <v>152</v>
      </c>
      <c r="BB3278" s="84" t="str">
        <f>IFERROR(__xludf.DUMMYFUNCTION("iferror(if(A3278="""",,E3278&gt;=FILTER(Constants!$F$2:$F$10,Constants!$A$2:$A$10=A3278)))"),"")</f>
        <v/>
      </c>
    </row>
    <row r="3279">
      <c r="A3279" s="89"/>
      <c r="B3279" s="87"/>
      <c r="C3279" s="73"/>
      <c r="D3279" s="73"/>
      <c r="E3279" s="82"/>
      <c r="F3279" s="82"/>
      <c r="G3279" s="86"/>
      <c r="H3279" s="86"/>
      <c r="I3279" s="86"/>
      <c r="J3279" s="82"/>
      <c r="K3279" s="82"/>
      <c r="L3279" s="82"/>
      <c r="M3279" s="82"/>
      <c r="N3279" s="82"/>
      <c r="O3279" s="82"/>
      <c r="P3279" s="82"/>
      <c r="Q3279" s="82"/>
      <c r="R3279" s="82"/>
      <c r="S3279" s="82"/>
      <c r="T3279" s="82"/>
      <c r="U3279" s="82"/>
      <c r="V3279" s="82"/>
      <c r="W3279" s="82"/>
      <c r="X3279" s="82"/>
      <c r="Y3279" s="82"/>
      <c r="Z3279" s="82"/>
      <c r="AA3279" s="82"/>
      <c r="AB3279" s="82"/>
      <c r="AC3279" s="82"/>
      <c r="AD3279" s="82"/>
      <c r="AE3279" s="82"/>
      <c r="AF3279" s="82"/>
      <c r="AG3279" s="82"/>
      <c r="AH3279" s="82"/>
      <c r="AI3279" s="82"/>
      <c r="AJ3279" s="82"/>
      <c r="AK3279" s="82"/>
      <c r="AL3279" s="82"/>
      <c r="AM3279" s="82"/>
      <c r="AN3279" s="82">
        <f>IFERROR(__xludf.DUMMYFUNCTION("""COMPUTED_VALUE"""),0.0)</f>
        <v>0</v>
      </c>
      <c r="AO3279" s="82">
        <f>IFERROR(__xludf.DUMMYFUNCTION("""COMPUTED_VALUE"""),0.0)</f>
        <v>0</v>
      </c>
      <c r="AP3279" s="82">
        <f>IFERROR(__xludf.DUMMYFUNCTION("""COMPUTED_VALUE"""),0.0)</f>
        <v>0</v>
      </c>
      <c r="AQ3279" s="82">
        <f>IFERROR(__xludf.DUMMYFUNCTION("""COMPUTED_VALUE"""),0.0)</f>
        <v>0</v>
      </c>
      <c r="AR3279" s="82">
        <f>IFERROR(__xludf.DUMMYFUNCTION("""COMPUTED_VALUE"""),0.0)</f>
        <v>0</v>
      </c>
      <c r="AS3279" s="82"/>
      <c r="AT3279" s="82">
        <f>IFERROR(__xludf.DUMMYFUNCTION("""COMPUTED_VALUE"""),0.0)</f>
        <v>0</v>
      </c>
      <c r="AU3279" s="82"/>
      <c r="AV3279" s="82"/>
      <c r="AW3279" s="82" t="str">
        <f t="shared" si="1"/>
        <v/>
      </c>
      <c r="AX3279" s="83" t="str">
        <f t="array" ref="AX3279">IFERROR(DGET('SBV Import'!A:G,"SBV",{"RSC ID","Tier";B3279,A3279}))</f>
        <v/>
      </c>
      <c r="AY3279" s="82" t="str">
        <f t="shared" si="2"/>
        <v/>
      </c>
      <c r="AZ3279" s="82"/>
      <c r="BA3279" s="84" t="s">
        <v>152</v>
      </c>
      <c r="BB3279" s="84" t="str">
        <f>IFERROR(__xludf.DUMMYFUNCTION("iferror(if(A3279="""",,E3279&gt;=FILTER(Constants!$F$2:$F$10,Constants!$A$2:$A$10=A3279)))"),"")</f>
        <v/>
      </c>
    </row>
    <row r="3280">
      <c r="A3280" s="89"/>
      <c r="B3280" s="87"/>
      <c r="C3280" s="73"/>
      <c r="D3280" s="73"/>
      <c r="E3280" s="82"/>
      <c r="F3280" s="82"/>
      <c r="G3280" s="86"/>
      <c r="H3280" s="86"/>
      <c r="I3280" s="86"/>
      <c r="J3280" s="82"/>
      <c r="K3280" s="82"/>
      <c r="L3280" s="82"/>
      <c r="M3280" s="82"/>
      <c r="N3280" s="82"/>
      <c r="O3280" s="82"/>
      <c r="P3280" s="82"/>
      <c r="Q3280" s="82"/>
      <c r="R3280" s="82"/>
      <c r="S3280" s="82"/>
      <c r="T3280" s="82"/>
      <c r="U3280" s="82"/>
      <c r="V3280" s="82"/>
      <c r="W3280" s="82"/>
      <c r="X3280" s="82"/>
      <c r="Y3280" s="82"/>
      <c r="Z3280" s="82"/>
      <c r="AA3280" s="82"/>
      <c r="AB3280" s="82"/>
      <c r="AC3280" s="82"/>
      <c r="AD3280" s="82"/>
      <c r="AE3280" s="82"/>
      <c r="AF3280" s="82"/>
      <c r="AG3280" s="82"/>
      <c r="AH3280" s="82"/>
      <c r="AI3280" s="82"/>
      <c r="AJ3280" s="82"/>
      <c r="AK3280" s="82"/>
      <c r="AL3280" s="82"/>
      <c r="AM3280" s="82"/>
      <c r="AN3280" s="82">
        <f>IFERROR(__xludf.DUMMYFUNCTION("""COMPUTED_VALUE"""),0.0)</f>
        <v>0</v>
      </c>
      <c r="AO3280" s="82">
        <f>IFERROR(__xludf.DUMMYFUNCTION("""COMPUTED_VALUE"""),0.0)</f>
        <v>0</v>
      </c>
      <c r="AP3280" s="82">
        <f>IFERROR(__xludf.DUMMYFUNCTION("""COMPUTED_VALUE"""),0.0)</f>
        <v>0</v>
      </c>
      <c r="AQ3280" s="82">
        <f>IFERROR(__xludf.DUMMYFUNCTION("""COMPUTED_VALUE"""),0.0)</f>
        <v>0</v>
      </c>
      <c r="AR3280" s="82">
        <f>IFERROR(__xludf.DUMMYFUNCTION("""COMPUTED_VALUE"""),0.0)</f>
        <v>0</v>
      </c>
      <c r="AS3280" s="82"/>
      <c r="AT3280" s="82">
        <f>IFERROR(__xludf.DUMMYFUNCTION("""COMPUTED_VALUE"""),0.0)</f>
        <v>0</v>
      </c>
      <c r="AU3280" s="82"/>
      <c r="AV3280" s="82"/>
      <c r="AW3280" s="82" t="str">
        <f t="shared" si="1"/>
        <v/>
      </c>
      <c r="AX3280" s="83" t="str">
        <f t="array" ref="AX3280">IFERROR(DGET('SBV Import'!A:G,"SBV",{"RSC ID","Tier";B3280,A3280}))</f>
        <v/>
      </c>
      <c r="AY3280" s="82" t="str">
        <f t="shared" si="2"/>
        <v/>
      </c>
      <c r="AZ3280" s="82"/>
      <c r="BA3280" s="84" t="s">
        <v>152</v>
      </c>
      <c r="BB3280" s="84" t="str">
        <f>IFERROR(__xludf.DUMMYFUNCTION("iferror(if(A3280="""",,E3280&gt;=FILTER(Constants!$F$2:$F$10,Constants!$A$2:$A$10=A3280)))"),"")</f>
        <v/>
      </c>
    </row>
    <row r="3281">
      <c r="A3281" s="89"/>
      <c r="B3281" s="87"/>
      <c r="C3281" s="73"/>
      <c r="D3281" s="73"/>
      <c r="E3281" s="82"/>
      <c r="F3281" s="82"/>
      <c r="G3281" s="86"/>
      <c r="H3281" s="86"/>
      <c r="I3281" s="86"/>
      <c r="J3281" s="82"/>
      <c r="K3281" s="82"/>
      <c r="L3281" s="82"/>
      <c r="M3281" s="82"/>
      <c r="N3281" s="82"/>
      <c r="O3281" s="82"/>
      <c r="P3281" s="82"/>
      <c r="Q3281" s="82"/>
      <c r="R3281" s="82"/>
      <c r="S3281" s="82"/>
      <c r="T3281" s="82"/>
      <c r="U3281" s="82"/>
      <c r="V3281" s="82"/>
      <c r="W3281" s="82"/>
      <c r="X3281" s="82"/>
      <c r="Y3281" s="82"/>
      <c r="Z3281" s="82"/>
      <c r="AA3281" s="82"/>
      <c r="AB3281" s="82"/>
      <c r="AC3281" s="82"/>
      <c r="AD3281" s="82"/>
      <c r="AE3281" s="82"/>
      <c r="AF3281" s="82"/>
      <c r="AG3281" s="82"/>
      <c r="AH3281" s="82"/>
      <c r="AI3281" s="82"/>
      <c r="AJ3281" s="82"/>
      <c r="AK3281" s="82"/>
      <c r="AL3281" s="82"/>
      <c r="AM3281" s="82"/>
      <c r="AN3281" s="82">
        <f>IFERROR(__xludf.DUMMYFUNCTION("""COMPUTED_VALUE"""),0.0)</f>
        <v>0</v>
      </c>
      <c r="AO3281" s="82">
        <f>IFERROR(__xludf.DUMMYFUNCTION("""COMPUTED_VALUE"""),0.0)</f>
        <v>0</v>
      </c>
      <c r="AP3281" s="82">
        <f>IFERROR(__xludf.DUMMYFUNCTION("""COMPUTED_VALUE"""),0.0)</f>
        <v>0</v>
      </c>
      <c r="AQ3281" s="82">
        <f>IFERROR(__xludf.DUMMYFUNCTION("""COMPUTED_VALUE"""),0.0)</f>
        <v>0</v>
      </c>
      <c r="AR3281" s="82">
        <f>IFERROR(__xludf.DUMMYFUNCTION("""COMPUTED_VALUE"""),0.0)</f>
        <v>0</v>
      </c>
      <c r="AS3281" s="82"/>
      <c r="AT3281" s="82">
        <f>IFERROR(__xludf.DUMMYFUNCTION("""COMPUTED_VALUE"""),0.0)</f>
        <v>0</v>
      </c>
      <c r="AU3281" s="82"/>
      <c r="AV3281" s="82"/>
      <c r="AW3281" s="82" t="str">
        <f t="shared" si="1"/>
        <v/>
      </c>
      <c r="AX3281" s="83" t="str">
        <f t="array" ref="AX3281">IFERROR(DGET('SBV Import'!A:G,"SBV",{"RSC ID","Tier";B3281,A3281}))</f>
        <v/>
      </c>
      <c r="AY3281" s="82" t="str">
        <f t="shared" si="2"/>
        <v/>
      </c>
      <c r="AZ3281" s="82"/>
      <c r="BA3281" s="84" t="s">
        <v>152</v>
      </c>
      <c r="BB3281" s="84" t="str">
        <f>IFERROR(__xludf.DUMMYFUNCTION("iferror(if(A3281="""",,E3281&gt;=FILTER(Constants!$F$2:$F$10,Constants!$A$2:$A$10=A3281)))"),"")</f>
        <v/>
      </c>
    </row>
    <row r="3282">
      <c r="A3282" s="89"/>
      <c r="B3282" s="87"/>
      <c r="C3282" s="73"/>
      <c r="D3282" s="73"/>
      <c r="E3282" s="82"/>
      <c r="F3282" s="82"/>
      <c r="G3282" s="86"/>
      <c r="H3282" s="86"/>
      <c r="I3282" s="86"/>
      <c r="J3282" s="82"/>
      <c r="K3282" s="82"/>
      <c r="L3282" s="82"/>
      <c r="M3282" s="82"/>
      <c r="N3282" s="82"/>
      <c r="O3282" s="82"/>
      <c r="P3282" s="82"/>
      <c r="Q3282" s="82"/>
      <c r="R3282" s="82"/>
      <c r="S3282" s="82"/>
      <c r="T3282" s="82"/>
      <c r="U3282" s="82"/>
      <c r="V3282" s="82"/>
      <c r="W3282" s="82"/>
      <c r="X3282" s="82"/>
      <c r="Y3282" s="82"/>
      <c r="Z3282" s="82"/>
      <c r="AA3282" s="82"/>
      <c r="AB3282" s="82"/>
      <c r="AC3282" s="82"/>
      <c r="AD3282" s="82"/>
      <c r="AE3282" s="82"/>
      <c r="AF3282" s="82"/>
      <c r="AG3282" s="82"/>
      <c r="AH3282" s="82"/>
      <c r="AI3282" s="82"/>
      <c r="AJ3282" s="82"/>
      <c r="AK3282" s="82"/>
      <c r="AL3282" s="82"/>
      <c r="AM3282" s="82"/>
      <c r="AN3282" s="82">
        <f>IFERROR(__xludf.DUMMYFUNCTION("""COMPUTED_VALUE"""),0.0)</f>
        <v>0</v>
      </c>
      <c r="AO3282" s="82">
        <f>IFERROR(__xludf.DUMMYFUNCTION("""COMPUTED_VALUE"""),0.0)</f>
        <v>0</v>
      </c>
      <c r="AP3282" s="82">
        <f>IFERROR(__xludf.DUMMYFUNCTION("""COMPUTED_VALUE"""),0.0)</f>
        <v>0</v>
      </c>
      <c r="AQ3282" s="82">
        <f>IFERROR(__xludf.DUMMYFUNCTION("""COMPUTED_VALUE"""),0.0)</f>
        <v>0</v>
      </c>
      <c r="AR3282" s="82">
        <f>IFERROR(__xludf.DUMMYFUNCTION("""COMPUTED_VALUE"""),0.0)</f>
        <v>0</v>
      </c>
      <c r="AS3282" s="82"/>
      <c r="AT3282" s="82">
        <f>IFERROR(__xludf.DUMMYFUNCTION("""COMPUTED_VALUE"""),0.0)</f>
        <v>0</v>
      </c>
      <c r="AU3282" s="82"/>
      <c r="AV3282" s="82"/>
      <c r="AW3282" s="82" t="str">
        <f t="shared" si="1"/>
        <v/>
      </c>
      <c r="AX3282" s="83" t="str">
        <f t="array" ref="AX3282">IFERROR(DGET('SBV Import'!A:G,"SBV",{"RSC ID","Tier";B3282,A3282}))</f>
        <v/>
      </c>
      <c r="AY3282" s="82" t="str">
        <f t="shared" si="2"/>
        <v/>
      </c>
      <c r="AZ3282" s="82"/>
      <c r="BA3282" s="84" t="s">
        <v>152</v>
      </c>
      <c r="BB3282" s="84" t="str">
        <f>IFERROR(__xludf.DUMMYFUNCTION("iferror(if(A3282="""",,E3282&gt;=FILTER(Constants!$F$2:$F$10,Constants!$A$2:$A$10=A3282)))"),"")</f>
        <v/>
      </c>
    </row>
    <row r="3283">
      <c r="A3283" s="89"/>
      <c r="B3283" s="87"/>
      <c r="C3283" s="73"/>
      <c r="D3283" s="73"/>
      <c r="E3283" s="82"/>
      <c r="F3283" s="82"/>
      <c r="G3283" s="86"/>
      <c r="H3283" s="86"/>
      <c r="I3283" s="86"/>
      <c r="J3283" s="82"/>
      <c r="K3283" s="82"/>
      <c r="L3283" s="82"/>
      <c r="M3283" s="82"/>
      <c r="N3283" s="82"/>
      <c r="O3283" s="82"/>
      <c r="P3283" s="82"/>
      <c r="Q3283" s="82"/>
      <c r="R3283" s="82"/>
      <c r="S3283" s="82"/>
      <c r="T3283" s="82"/>
      <c r="U3283" s="82"/>
      <c r="V3283" s="82"/>
      <c r="W3283" s="82"/>
      <c r="X3283" s="82"/>
      <c r="Y3283" s="82"/>
      <c r="Z3283" s="82"/>
      <c r="AA3283" s="82"/>
      <c r="AB3283" s="82"/>
      <c r="AC3283" s="82"/>
      <c r="AD3283" s="82"/>
      <c r="AE3283" s="82"/>
      <c r="AF3283" s="82"/>
      <c r="AG3283" s="82"/>
      <c r="AH3283" s="82"/>
      <c r="AI3283" s="82"/>
      <c r="AJ3283" s="82"/>
      <c r="AK3283" s="82"/>
      <c r="AL3283" s="82"/>
      <c r="AM3283" s="82"/>
      <c r="AN3283" s="82">
        <f>IFERROR(__xludf.DUMMYFUNCTION("""COMPUTED_VALUE"""),0.0)</f>
        <v>0</v>
      </c>
      <c r="AO3283" s="82">
        <f>IFERROR(__xludf.DUMMYFUNCTION("""COMPUTED_VALUE"""),0.0)</f>
        <v>0</v>
      </c>
      <c r="AP3283" s="82">
        <f>IFERROR(__xludf.DUMMYFUNCTION("""COMPUTED_VALUE"""),0.0)</f>
        <v>0</v>
      </c>
      <c r="AQ3283" s="82">
        <f>IFERROR(__xludf.DUMMYFUNCTION("""COMPUTED_VALUE"""),0.0)</f>
        <v>0</v>
      </c>
      <c r="AR3283" s="82">
        <f>IFERROR(__xludf.DUMMYFUNCTION("""COMPUTED_VALUE"""),0.0)</f>
        <v>0</v>
      </c>
      <c r="AS3283" s="82"/>
      <c r="AT3283" s="82">
        <f>IFERROR(__xludf.DUMMYFUNCTION("""COMPUTED_VALUE"""),0.0)</f>
        <v>0</v>
      </c>
      <c r="AU3283" s="82"/>
      <c r="AV3283" s="82"/>
      <c r="AW3283" s="82" t="str">
        <f t="shared" si="1"/>
        <v/>
      </c>
      <c r="AX3283" s="83" t="str">
        <f t="array" ref="AX3283">IFERROR(DGET('SBV Import'!A:G,"SBV",{"RSC ID","Tier";B3283,A3283}))</f>
        <v/>
      </c>
      <c r="AY3283" s="82" t="str">
        <f t="shared" si="2"/>
        <v/>
      </c>
      <c r="AZ3283" s="82"/>
      <c r="BA3283" s="84" t="s">
        <v>152</v>
      </c>
      <c r="BB3283" s="84" t="str">
        <f>IFERROR(__xludf.DUMMYFUNCTION("iferror(if(A3283="""",,E3283&gt;=FILTER(Constants!$F$2:$F$10,Constants!$A$2:$A$10=A3283)))"),"")</f>
        <v/>
      </c>
    </row>
    <row r="3284">
      <c r="A3284" s="89"/>
      <c r="B3284" s="87"/>
      <c r="C3284" s="73"/>
      <c r="D3284" s="73"/>
      <c r="E3284" s="82"/>
      <c r="F3284" s="82"/>
      <c r="G3284" s="86"/>
      <c r="H3284" s="86"/>
      <c r="I3284" s="86"/>
      <c r="J3284" s="82"/>
      <c r="K3284" s="82"/>
      <c r="L3284" s="82"/>
      <c r="M3284" s="82"/>
      <c r="N3284" s="82"/>
      <c r="O3284" s="82"/>
      <c r="P3284" s="82"/>
      <c r="Q3284" s="82"/>
      <c r="R3284" s="82"/>
      <c r="S3284" s="82"/>
      <c r="T3284" s="82"/>
      <c r="U3284" s="82"/>
      <c r="V3284" s="82"/>
      <c r="W3284" s="82"/>
      <c r="X3284" s="82"/>
      <c r="Y3284" s="82"/>
      <c r="Z3284" s="82"/>
      <c r="AA3284" s="82"/>
      <c r="AB3284" s="82"/>
      <c r="AC3284" s="82"/>
      <c r="AD3284" s="82"/>
      <c r="AE3284" s="82"/>
      <c r="AF3284" s="82"/>
      <c r="AG3284" s="82"/>
      <c r="AH3284" s="82"/>
      <c r="AI3284" s="82"/>
      <c r="AJ3284" s="82"/>
      <c r="AK3284" s="82"/>
      <c r="AL3284" s="82"/>
      <c r="AM3284" s="82"/>
      <c r="AN3284" s="82">
        <f>IFERROR(__xludf.DUMMYFUNCTION("""COMPUTED_VALUE"""),0.0)</f>
        <v>0</v>
      </c>
      <c r="AO3284" s="82">
        <f>IFERROR(__xludf.DUMMYFUNCTION("""COMPUTED_VALUE"""),0.0)</f>
        <v>0</v>
      </c>
      <c r="AP3284" s="82">
        <f>IFERROR(__xludf.DUMMYFUNCTION("""COMPUTED_VALUE"""),0.0)</f>
        <v>0</v>
      </c>
      <c r="AQ3284" s="82">
        <f>IFERROR(__xludf.DUMMYFUNCTION("""COMPUTED_VALUE"""),0.0)</f>
        <v>0</v>
      </c>
      <c r="AR3284" s="82">
        <f>IFERROR(__xludf.DUMMYFUNCTION("""COMPUTED_VALUE"""),0.0)</f>
        <v>0</v>
      </c>
      <c r="AS3284" s="82"/>
      <c r="AT3284" s="82">
        <f>IFERROR(__xludf.DUMMYFUNCTION("""COMPUTED_VALUE"""),0.0)</f>
        <v>0</v>
      </c>
      <c r="AU3284" s="82"/>
      <c r="AV3284" s="82"/>
      <c r="AW3284" s="82" t="str">
        <f t="shared" si="1"/>
        <v/>
      </c>
      <c r="AX3284" s="83" t="str">
        <f t="array" ref="AX3284">IFERROR(DGET('SBV Import'!A:G,"SBV",{"RSC ID","Tier";B3284,A3284}))</f>
        <v/>
      </c>
      <c r="AY3284" s="82" t="str">
        <f t="shared" si="2"/>
        <v/>
      </c>
      <c r="AZ3284" s="82"/>
      <c r="BA3284" s="84" t="s">
        <v>152</v>
      </c>
      <c r="BB3284" s="84" t="str">
        <f>IFERROR(__xludf.DUMMYFUNCTION("iferror(if(A3284="""",,E3284&gt;=FILTER(Constants!$F$2:$F$10,Constants!$A$2:$A$10=A3284)))"),"")</f>
        <v/>
      </c>
    </row>
    <row r="3285">
      <c r="A3285" s="89"/>
      <c r="B3285" s="87"/>
      <c r="C3285" s="73"/>
      <c r="D3285" s="73"/>
      <c r="E3285" s="82"/>
      <c r="F3285" s="82"/>
      <c r="G3285" s="86"/>
      <c r="H3285" s="86"/>
      <c r="I3285" s="86"/>
      <c r="J3285" s="82"/>
      <c r="K3285" s="82"/>
      <c r="L3285" s="82"/>
      <c r="M3285" s="82"/>
      <c r="N3285" s="82"/>
      <c r="O3285" s="82"/>
      <c r="P3285" s="82"/>
      <c r="Q3285" s="82"/>
      <c r="R3285" s="82"/>
      <c r="S3285" s="82"/>
      <c r="T3285" s="82"/>
      <c r="U3285" s="82"/>
      <c r="V3285" s="82"/>
      <c r="W3285" s="82"/>
      <c r="X3285" s="82"/>
      <c r="Y3285" s="82"/>
      <c r="Z3285" s="82"/>
      <c r="AA3285" s="82"/>
      <c r="AB3285" s="82"/>
      <c r="AC3285" s="82"/>
      <c r="AD3285" s="82"/>
      <c r="AE3285" s="82"/>
      <c r="AF3285" s="82"/>
      <c r="AG3285" s="82"/>
      <c r="AH3285" s="82"/>
      <c r="AI3285" s="82"/>
      <c r="AJ3285" s="82"/>
      <c r="AK3285" s="82"/>
      <c r="AL3285" s="82"/>
      <c r="AM3285" s="82"/>
      <c r="AN3285" s="82">
        <f>IFERROR(__xludf.DUMMYFUNCTION("""COMPUTED_VALUE"""),0.0)</f>
        <v>0</v>
      </c>
      <c r="AO3285" s="82">
        <f>IFERROR(__xludf.DUMMYFUNCTION("""COMPUTED_VALUE"""),0.0)</f>
        <v>0</v>
      </c>
      <c r="AP3285" s="82">
        <f>IFERROR(__xludf.DUMMYFUNCTION("""COMPUTED_VALUE"""),0.0)</f>
        <v>0</v>
      </c>
      <c r="AQ3285" s="82">
        <f>IFERROR(__xludf.DUMMYFUNCTION("""COMPUTED_VALUE"""),0.0)</f>
        <v>0</v>
      </c>
      <c r="AR3285" s="82">
        <f>IFERROR(__xludf.DUMMYFUNCTION("""COMPUTED_VALUE"""),0.0)</f>
        <v>0</v>
      </c>
      <c r="AS3285" s="82"/>
      <c r="AT3285" s="82">
        <f>IFERROR(__xludf.DUMMYFUNCTION("""COMPUTED_VALUE"""),0.0)</f>
        <v>0</v>
      </c>
      <c r="AU3285" s="82"/>
      <c r="AV3285" s="82"/>
      <c r="AW3285" s="82" t="str">
        <f t="shared" si="1"/>
        <v/>
      </c>
      <c r="AX3285" s="83" t="str">
        <f t="array" ref="AX3285">IFERROR(DGET('SBV Import'!A:G,"SBV",{"RSC ID","Tier";B3285,A3285}))</f>
        <v/>
      </c>
      <c r="AY3285" s="82" t="str">
        <f t="shared" si="2"/>
        <v/>
      </c>
      <c r="AZ3285" s="82"/>
      <c r="BA3285" s="84" t="s">
        <v>152</v>
      </c>
      <c r="BB3285" s="84" t="str">
        <f>IFERROR(__xludf.DUMMYFUNCTION("iferror(if(A3285="""",,E3285&gt;=FILTER(Constants!$F$2:$F$10,Constants!$A$2:$A$10=A3285)))"),"")</f>
        <v/>
      </c>
    </row>
    <row r="3286">
      <c r="A3286" s="89"/>
      <c r="B3286" s="87"/>
      <c r="C3286" s="73"/>
      <c r="D3286" s="73"/>
      <c r="E3286" s="82"/>
      <c r="F3286" s="82"/>
      <c r="G3286" s="86"/>
      <c r="H3286" s="86"/>
      <c r="I3286" s="86"/>
      <c r="J3286" s="82"/>
      <c r="K3286" s="82"/>
      <c r="L3286" s="82"/>
      <c r="M3286" s="82"/>
      <c r="N3286" s="82"/>
      <c r="O3286" s="82"/>
      <c r="P3286" s="82"/>
      <c r="Q3286" s="82"/>
      <c r="R3286" s="82"/>
      <c r="S3286" s="82"/>
      <c r="T3286" s="82"/>
      <c r="U3286" s="82"/>
      <c r="V3286" s="82"/>
      <c r="W3286" s="82"/>
      <c r="X3286" s="82"/>
      <c r="Y3286" s="82"/>
      <c r="Z3286" s="82"/>
      <c r="AA3286" s="82"/>
      <c r="AB3286" s="82"/>
      <c r="AC3286" s="82"/>
      <c r="AD3286" s="82"/>
      <c r="AE3286" s="82"/>
      <c r="AF3286" s="82"/>
      <c r="AG3286" s="82"/>
      <c r="AH3286" s="82"/>
      <c r="AI3286" s="82"/>
      <c r="AJ3286" s="82"/>
      <c r="AK3286" s="82"/>
      <c r="AL3286" s="82"/>
      <c r="AM3286" s="82"/>
      <c r="AN3286" s="82">
        <f>IFERROR(__xludf.DUMMYFUNCTION("""COMPUTED_VALUE"""),0.0)</f>
        <v>0</v>
      </c>
      <c r="AO3286" s="82">
        <f>IFERROR(__xludf.DUMMYFUNCTION("""COMPUTED_VALUE"""),0.0)</f>
        <v>0</v>
      </c>
      <c r="AP3286" s="82">
        <f>IFERROR(__xludf.DUMMYFUNCTION("""COMPUTED_VALUE"""),0.0)</f>
        <v>0</v>
      </c>
      <c r="AQ3286" s="82">
        <f>IFERROR(__xludf.DUMMYFUNCTION("""COMPUTED_VALUE"""),0.0)</f>
        <v>0</v>
      </c>
      <c r="AR3286" s="82">
        <f>IFERROR(__xludf.DUMMYFUNCTION("""COMPUTED_VALUE"""),0.0)</f>
        <v>0</v>
      </c>
      <c r="AS3286" s="82"/>
      <c r="AT3286" s="82">
        <f>IFERROR(__xludf.DUMMYFUNCTION("""COMPUTED_VALUE"""),0.0)</f>
        <v>0</v>
      </c>
      <c r="AU3286" s="82"/>
      <c r="AV3286" s="82"/>
      <c r="AW3286" s="82" t="str">
        <f t="shared" si="1"/>
        <v/>
      </c>
      <c r="AX3286" s="83" t="str">
        <f t="array" ref="AX3286">IFERROR(DGET('SBV Import'!A:G,"SBV",{"RSC ID","Tier";B3286,A3286}))</f>
        <v/>
      </c>
      <c r="AY3286" s="82" t="str">
        <f t="shared" si="2"/>
        <v/>
      </c>
      <c r="AZ3286" s="82"/>
      <c r="BA3286" s="84" t="s">
        <v>152</v>
      </c>
      <c r="BB3286" s="84" t="str">
        <f>IFERROR(__xludf.DUMMYFUNCTION("iferror(if(A3286="""",,E3286&gt;=FILTER(Constants!$F$2:$F$10,Constants!$A$2:$A$10=A3286)))"),"")</f>
        <v/>
      </c>
    </row>
    <row r="3287">
      <c r="A3287" s="89"/>
      <c r="B3287" s="87"/>
      <c r="C3287" s="73"/>
      <c r="D3287" s="73"/>
      <c r="E3287" s="82"/>
      <c r="F3287" s="82"/>
      <c r="G3287" s="86"/>
      <c r="H3287" s="86"/>
      <c r="I3287" s="86"/>
      <c r="J3287" s="82"/>
      <c r="K3287" s="82"/>
      <c r="L3287" s="82"/>
      <c r="M3287" s="82"/>
      <c r="N3287" s="82"/>
      <c r="O3287" s="82"/>
      <c r="P3287" s="82"/>
      <c r="Q3287" s="82"/>
      <c r="R3287" s="82"/>
      <c r="S3287" s="82"/>
      <c r="T3287" s="82"/>
      <c r="U3287" s="82"/>
      <c r="V3287" s="82"/>
      <c r="W3287" s="82"/>
      <c r="X3287" s="82"/>
      <c r="Y3287" s="82"/>
      <c r="Z3287" s="82"/>
      <c r="AA3287" s="82"/>
      <c r="AB3287" s="82"/>
      <c r="AC3287" s="82"/>
      <c r="AD3287" s="82"/>
      <c r="AE3287" s="82"/>
      <c r="AF3287" s="82"/>
      <c r="AG3287" s="82"/>
      <c r="AH3287" s="82"/>
      <c r="AI3287" s="82"/>
      <c r="AJ3287" s="82"/>
      <c r="AK3287" s="82"/>
      <c r="AL3287" s="82"/>
      <c r="AM3287" s="82"/>
      <c r="AN3287" s="82">
        <f>IFERROR(__xludf.DUMMYFUNCTION("""COMPUTED_VALUE"""),0.0)</f>
        <v>0</v>
      </c>
      <c r="AO3287" s="82">
        <f>IFERROR(__xludf.DUMMYFUNCTION("""COMPUTED_VALUE"""),0.0)</f>
        <v>0</v>
      </c>
      <c r="AP3287" s="82">
        <f>IFERROR(__xludf.DUMMYFUNCTION("""COMPUTED_VALUE"""),0.0)</f>
        <v>0</v>
      </c>
      <c r="AQ3287" s="82">
        <f>IFERROR(__xludf.DUMMYFUNCTION("""COMPUTED_VALUE"""),0.0)</f>
        <v>0</v>
      </c>
      <c r="AR3287" s="82">
        <f>IFERROR(__xludf.DUMMYFUNCTION("""COMPUTED_VALUE"""),0.0)</f>
        <v>0</v>
      </c>
      <c r="AS3287" s="82"/>
      <c r="AT3287" s="82">
        <f>IFERROR(__xludf.DUMMYFUNCTION("""COMPUTED_VALUE"""),0.0)</f>
        <v>0</v>
      </c>
      <c r="AU3287" s="82"/>
      <c r="AV3287" s="82"/>
      <c r="AW3287" s="82" t="str">
        <f t="shared" si="1"/>
        <v/>
      </c>
      <c r="AX3287" s="83" t="str">
        <f t="array" ref="AX3287">IFERROR(DGET('SBV Import'!A:G,"SBV",{"RSC ID","Tier";B3287,A3287}))</f>
        <v/>
      </c>
      <c r="AY3287" s="82" t="str">
        <f t="shared" si="2"/>
        <v/>
      </c>
      <c r="AZ3287" s="82"/>
      <c r="BA3287" s="84" t="s">
        <v>152</v>
      </c>
      <c r="BB3287" s="84" t="str">
        <f>IFERROR(__xludf.DUMMYFUNCTION("iferror(if(A3287="""",,E3287&gt;=FILTER(Constants!$F$2:$F$10,Constants!$A$2:$A$10=A3287)))"),"")</f>
        <v/>
      </c>
    </row>
    <row r="3288">
      <c r="A3288" s="89"/>
      <c r="B3288" s="87"/>
      <c r="C3288" s="73"/>
      <c r="D3288" s="73"/>
      <c r="E3288" s="82"/>
      <c r="F3288" s="82"/>
      <c r="G3288" s="86"/>
      <c r="H3288" s="86"/>
      <c r="I3288" s="86"/>
      <c r="J3288" s="82"/>
      <c r="K3288" s="82"/>
      <c r="L3288" s="82"/>
      <c r="M3288" s="82"/>
      <c r="N3288" s="82"/>
      <c r="O3288" s="82"/>
      <c r="P3288" s="82"/>
      <c r="Q3288" s="82"/>
      <c r="R3288" s="82"/>
      <c r="S3288" s="82"/>
      <c r="T3288" s="82"/>
      <c r="U3288" s="82"/>
      <c r="V3288" s="82"/>
      <c r="W3288" s="82"/>
      <c r="X3288" s="82"/>
      <c r="Y3288" s="82"/>
      <c r="Z3288" s="82"/>
      <c r="AA3288" s="82"/>
      <c r="AB3288" s="82"/>
      <c r="AC3288" s="82"/>
      <c r="AD3288" s="82"/>
      <c r="AE3288" s="82"/>
      <c r="AF3288" s="82"/>
      <c r="AG3288" s="82"/>
      <c r="AH3288" s="82"/>
      <c r="AI3288" s="82"/>
      <c r="AJ3288" s="82"/>
      <c r="AK3288" s="82"/>
      <c r="AL3288" s="82"/>
      <c r="AM3288" s="82"/>
      <c r="AN3288" s="82">
        <f>IFERROR(__xludf.DUMMYFUNCTION("""COMPUTED_VALUE"""),0.0)</f>
        <v>0</v>
      </c>
      <c r="AO3288" s="82">
        <f>IFERROR(__xludf.DUMMYFUNCTION("""COMPUTED_VALUE"""),0.0)</f>
        <v>0</v>
      </c>
      <c r="AP3288" s="82">
        <f>IFERROR(__xludf.DUMMYFUNCTION("""COMPUTED_VALUE"""),0.0)</f>
        <v>0</v>
      </c>
      <c r="AQ3288" s="82">
        <f>IFERROR(__xludf.DUMMYFUNCTION("""COMPUTED_VALUE"""),0.0)</f>
        <v>0</v>
      </c>
      <c r="AR3288" s="82">
        <f>IFERROR(__xludf.DUMMYFUNCTION("""COMPUTED_VALUE"""),0.0)</f>
        <v>0</v>
      </c>
      <c r="AS3288" s="82"/>
      <c r="AT3288" s="82">
        <f>IFERROR(__xludf.DUMMYFUNCTION("""COMPUTED_VALUE"""),0.0)</f>
        <v>0</v>
      </c>
      <c r="AU3288" s="82"/>
      <c r="AV3288" s="82"/>
      <c r="AW3288" s="82" t="str">
        <f t="shared" si="1"/>
        <v/>
      </c>
      <c r="AX3288" s="83" t="str">
        <f t="array" ref="AX3288">IFERROR(DGET('SBV Import'!A:G,"SBV",{"RSC ID","Tier";B3288,A3288}))</f>
        <v/>
      </c>
      <c r="AY3288" s="82" t="str">
        <f t="shared" si="2"/>
        <v/>
      </c>
      <c r="AZ3288" s="82"/>
      <c r="BA3288" s="84" t="s">
        <v>152</v>
      </c>
      <c r="BB3288" s="84" t="str">
        <f>IFERROR(__xludf.DUMMYFUNCTION("iferror(if(A3288="""",,E3288&gt;=FILTER(Constants!$F$2:$F$10,Constants!$A$2:$A$10=A3288)))"),"")</f>
        <v/>
      </c>
    </row>
    <row r="3289">
      <c r="A3289" s="89"/>
      <c r="B3289" s="87"/>
      <c r="C3289" s="73"/>
      <c r="D3289" s="73"/>
      <c r="E3289" s="82"/>
      <c r="F3289" s="82"/>
      <c r="G3289" s="86"/>
      <c r="H3289" s="86"/>
      <c r="I3289" s="86"/>
      <c r="J3289" s="82"/>
      <c r="K3289" s="82"/>
      <c r="L3289" s="82"/>
      <c r="M3289" s="82"/>
      <c r="N3289" s="82"/>
      <c r="O3289" s="82"/>
      <c r="P3289" s="82"/>
      <c r="Q3289" s="82"/>
      <c r="R3289" s="82"/>
      <c r="S3289" s="82"/>
      <c r="T3289" s="82"/>
      <c r="U3289" s="82"/>
      <c r="V3289" s="82"/>
      <c r="W3289" s="82"/>
      <c r="X3289" s="82"/>
      <c r="Y3289" s="82"/>
      <c r="Z3289" s="82"/>
      <c r="AA3289" s="82"/>
      <c r="AB3289" s="82"/>
      <c r="AC3289" s="82"/>
      <c r="AD3289" s="82"/>
      <c r="AE3289" s="82"/>
      <c r="AF3289" s="82"/>
      <c r="AG3289" s="82"/>
      <c r="AH3289" s="82"/>
      <c r="AI3289" s="82"/>
      <c r="AJ3289" s="82"/>
      <c r="AK3289" s="82"/>
      <c r="AL3289" s="82"/>
      <c r="AM3289" s="82"/>
      <c r="AN3289" s="82">
        <f>IFERROR(__xludf.DUMMYFUNCTION("""COMPUTED_VALUE"""),0.0)</f>
        <v>0</v>
      </c>
      <c r="AO3289" s="82">
        <f>IFERROR(__xludf.DUMMYFUNCTION("""COMPUTED_VALUE"""),0.0)</f>
        <v>0</v>
      </c>
      <c r="AP3289" s="82">
        <f>IFERROR(__xludf.DUMMYFUNCTION("""COMPUTED_VALUE"""),0.0)</f>
        <v>0</v>
      </c>
      <c r="AQ3289" s="82">
        <f>IFERROR(__xludf.DUMMYFUNCTION("""COMPUTED_VALUE"""),0.0)</f>
        <v>0</v>
      </c>
      <c r="AR3289" s="82">
        <f>IFERROR(__xludf.DUMMYFUNCTION("""COMPUTED_VALUE"""),0.0)</f>
        <v>0</v>
      </c>
      <c r="AS3289" s="82"/>
      <c r="AT3289" s="82">
        <f>IFERROR(__xludf.DUMMYFUNCTION("""COMPUTED_VALUE"""),0.0)</f>
        <v>0</v>
      </c>
      <c r="AU3289" s="82"/>
      <c r="AV3289" s="82"/>
      <c r="AW3289" s="82" t="str">
        <f t="shared" si="1"/>
        <v/>
      </c>
      <c r="AX3289" s="83" t="str">
        <f t="array" ref="AX3289">IFERROR(DGET('SBV Import'!A:G,"SBV",{"RSC ID","Tier";B3289,A3289}))</f>
        <v/>
      </c>
      <c r="AY3289" s="82" t="str">
        <f t="shared" si="2"/>
        <v/>
      </c>
      <c r="AZ3289" s="82"/>
      <c r="BA3289" s="84" t="s">
        <v>152</v>
      </c>
      <c r="BB3289" s="84" t="str">
        <f>IFERROR(__xludf.DUMMYFUNCTION("iferror(if(A3289="""",,E3289&gt;=FILTER(Constants!$F$2:$F$10,Constants!$A$2:$A$10=A3289)))"),"")</f>
        <v/>
      </c>
    </row>
    <row r="3290">
      <c r="A3290" s="89"/>
      <c r="B3290" s="87"/>
      <c r="C3290" s="73"/>
      <c r="D3290" s="73"/>
      <c r="E3290" s="82"/>
      <c r="F3290" s="82"/>
      <c r="G3290" s="86"/>
      <c r="H3290" s="86"/>
      <c r="I3290" s="86"/>
      <c r="J3290" s="82"/>
      <c r="K3290" s="82"/>
      <c r="L3290" s="82"/>
      <c r="M3290" s="82"/>
      <c r="N3290" s="82"/>
      <c r="O3290" s="82"/>
      <c r="P3290" s="82"/>
      <c r="Q3290" s="82"/>
      <c r="R3290" s="82"/>
      <c r="S3290" s="82"/>
      <c r="T3290" s="82"/>
      <c r="U3290" s="82"/>
      <c r="V3290" s="82"/>
      <c r="W3290" s="82"/>
      <c r="X3290" s="82"/>
      <c r="Y3290" s="82"/>
      <c r="Z3290" s="82"/>
      <c r="AA3290" s="82"/>
      <c r="AB3290" s="82"/>
      <c r="AC3290" s="82"/>
      <c r="AD3290" s="82"/>
      <c r="AE3290" s="82"/>
      <c r="AF3290" s="82"/>
      <c r="AG3290" s="82"/>
      <c r="AH3290" s="82"/>
      <c r="AI3290" s="82"/>
      <c r="AJ3290" s="82"/>
      <c r="AK3290" s="82"/>
      <c r="AL3290" s="82"/>
      <c r="AM3290" s="82"/>
      <c r="AN3290" s="82">
        <f>IFERROR(__xludf.DUMMYFUNCTION("""COMPUTED_VALUE"""),0.0)</f>
        <v>0</v>
      </c>
      <c r="AO3290" s="82">
        <f>IFERROR(__xludf.DUMMYFUNCTION("""COMPUTED_VALUE"""),0.0)</f>
        <v>0</v>
      </c>
      <c r="AP3290" s="82">
        <f>IFERROR(__xludf.DUMMYFUNCTION("""COMPUTED_VALUE"""),0.0)</f>
        <v>0</v>
      </c>
      <c r="AQ3290" s="82">
        <f>IFERROR(__xludf.DUMMYFUNCTION("""COMPUTED_VALUE"""),0.0)</f>
        <v>0</v>
      </c>
      <c r="AR3290" s="82">
        <f>IFERROR(__xludf.DUMMYFUNCTION("""COMPUTED_VALUE"""),0.0)</f>
        <v>0</v>
      </c>
      <c r="AS3290" s="82"/>
      <c r="AT3290" s="82">
        <f>IFERROR(__xludf.DUMMYFUNCTION("""COMPUTED_VALUE"""),0.0)</f>
        <v>0</v>
      </c>
      <c r="AU3290" s="82"/>
      <c r="AV3290" s="82"/>
      <c r="AW3290" s="82" t="str">
        <f t="shared" si="1"/>
        <v/>
      </c>
      <c r="AX3290" s="83" t="str">
        <f t="array" ref="AX3290">IFERROR(DGET('SBV Import'!A:G,"SBV",{"RSC ID","Tier";B3290,A3290}))</f>
        <v/>
      </c>
      <c r="AY3290" s="82" t="str">
        <f t="shared" si="2"/>
        <v/>
      </c>
      <c r="AZ3290" s="82"/>
      <c r="BA3290" s="84" t="s">
        <v>152</v>
      </c>
      <c r="BB3290" s="84" t="str">
        <f>IFERROR(__xludf.DUMMYFUNCTION("iferror(if(A3290="""",,E3290&gt;=FILTER(Constants!$F$2:$F$10,Constants!$A$2:$A$10=A3290)))"),"")</f>
        <v/>
      </c>
    </row>
    <row r="3291">
      <c r="A3291" s="89"/>
      <c r="B3291" s="87"/>
      <c r="C3291" s="73"/>
      <c r="D3291" s="73"/>
      <c r="E3291" s="82"/>
      <c r="F3291" s="82"/>
      <c r="G3291" s="86"/>
      <c r="H3291" s="86"/>
      <c r="I3291" s="86"/>
      <c r="J3291" s="82"/>
      <c r="K3291" s="82"/>
      <c r="L3291" s="82"/>
      <c r="M3291" s="82"/>
      <c r="N3291" s="82"/>
      <c r="O3291" s="82"/>
      <c r="P3291" s="82"/>
      <c r="Q3291" s="82"/>
      <c r="R3291" s="82"/>
      <c r="S3291" s="82"/>
      <c r="T3291" s="82"/>
      <c r="U3291" s="82"/>
      <c r="V3291" s="82"/>
      <c r="W3291" s="82"/>
      <c r="X3291" s="82"/>
      <c r="Y3291" s="82"/>
      <c r="Z3291" s="82"/>
      <c r="AA3291" s="82"/>
      <c r="AB3291" s="82"/>
      <c r="AC3291" s="82"/>
      <c r="AD3291" s="82"/>
      <c r="AE3291" s="82"/>
      <c r="AF3291" s="82"/>
      <c r="AG3291" s="82"/>
      <c r="AH3291" s="82"/>
      <c r="AI3291" s="82"/>
      <c r="AJ3291" s="82"/>
      <c r="AK3291" s="82"/>
      <c r="AL3291" s="82"/>
      <c r="AM3291" s="82"/>
      <c r="AN3291" s="82">
        <f>IFERROR(__xludf.DUMMYFUNCTION("""COMPUTED_VALUE"""),0.0)</f>
        <v>0</v>
      </c>
      <c r="AO3291" s="82">
        <f>IFERROR(__xludf.DUMMYFUNCTION("""COMPUTED_VALUE"""),0.0)</f>
        <v>0</v>
      </c>
      <c r="AP3291" s="82">
        <f>IFERROR(__xludf.DUMMYFUNCTION("""COMPUTED_VALUE"""),0.0)</f>
        <v>0</v>
      </c>
      <c r="AQ3291" s="82">
        <f>IFERROR(__xludf.DUMMYFUNCTION("""COMPUTED_VALUE"""),0.0)</f>
        <v>0</v>
      </c>
      <c r="AR3291" s="82">
        <f>IFERROR(__xludf.DUMMYFUNCTION("""COMPUTED_VALUE"""),0.0)</f>
        <v>0</v>
      </c>
      <c r="AS3291" s="82"/>
      <c r="AT3291" s="82">
        <f>IFERROR(__xludf.DUMMYFUNCTION("""COMPUTED_VALUE"""),0.0)</f>
        <v>0</v>
      </c>
      <c r="AU3291" s="82"/>
      <c r="AV3291" s="82"/>
      <c r="AW3291" s="82" t="str">
        <f t="shared" si="1"/>
        <v/>
      </c>
      <c r="AX3291" s="83" t="str">
        <f t="array" ref="AX3291">IFERROR(DGET('SBV Import'!A:G,"SBV",{"RSC ID","Tier";B3291,A3291}))</f>
        <v/>
      </c>
      <c r="AY3291" s="82" t="str">
        <f t="shared" si="2"/>
        <v/>
      </c>
      <c r="AZ3291" s="82"/>
      <c r="BA3291" s="84" t="s">
        <v>152</v>
      </c>
      <c r="BB3291" s="84" t="str">
        <f>IFERROR(__xludf.DUMMYFUNCTION("iferror(if(A3291="""",,E3291&gt;=FILTER(Constants!$F$2:$F$10,Constants!$A$2:$A$10=A3291)))"),"")</f>
        <v/>
      </c>
    </row>
    <row r="3292">
      <c r="A3292" s="89"/>
      <c r="B3292" s="87"/>
      <c r="C3292" s="73"/>
      <c r="D3292" s="73"/>
      <c r="E3292" s="82"/>
      <c r="F3292" s="82"/>
      <c r="G3292" s="86"/>
      <c r="H3292" s="86"/>
      <c r="I3292" s="86"/>
      <c r="J3292" s="82"/>
      <c r="K3292" s="82"/>
      <c r="L3292" s="82"/>
      <c r="M3292" s="82"/>
      <c r="N3292" s="82"/>
      <c r="O3292" s="82"/>
      <c r="P3292" s="82"/>
      <c r="Q3292" s="82"/>
      <c r="R3292" s="82"/>
      <c r="S3292" s="82"/>
      <c r="T3292" s="82"/>
      <c r="U3292" s="82"/>
      <c r="V3292" s="82"/>
      <c r="W3292" s="82"/>
      <c r="X3292" s="82"/>
      <c r="Y3292" s="82"/>
      <c r="Z3292" s="82"/>
      <c r="AA3292" s="82"/>
      <c r="AB3292" s="82"/>
      <c r="AC3292" s="82"/>
      <c r="AD3292" s="82"/>
      <c r="AE3292" s="82"/>
      <c r="AF3292" s="82"/>
      <c r="AG3292" s="82"/>
      <c r="AH3292" s="82"/>
      <c r="AI3292" s="82"/>
      <c r="AJ3292" s="82"/>
      <c r="AK3292" s="82"/>
      <c r="AL3292" s="82"/>
      <c r="AM3292" s="82"/>
      <c r="AN3292" s="82">
        <f>IFERROR(__xludf.DUMMYFUNCTION("""COMPUTED_VALUE"""),0.0)</f>
        <v>0</v>
      </c>
      <c r="AO3292" s="82">
        <f>IFERROR(__xludf.DUMMYFUNCTION("""COMPUTED_VALUE"""),0.0)</f>
        <v>0</v>
      </c>
      <c r="AP3292" s="82">
        <f>IFERROR(__xludf.DUMMYFUNCTION("""COMPUTED_VALUE"""),0.0)</f>
        <v>0</v>
      </c>
      <c r="AQ3292" s="82">
        <f>IFERROR(__xludf.DUMMYFUNCTION("""COMPUTED_VALUE"""),0.0)</f>
        <v>0</v>
      </c>
      <c r="AR3292" s="82">
        <f>IFERROR(__xludf.DUMMYFUNCTION("""COMPUTED_VALUE"""),0.0)</f>
        <v>0</v>
      </c>
      <c r="AS3292" s="82"/>
      <c r="AT3292" s="82">
        <f>IFERROR(__xludf.DUMMYFUNCTION("""COMPUTED_VALUE"""),0.0)</f>
        <v>0</v>
      </c>
      <c r="AU3292" s="82"/>
      <c r="AV3292" s="82"/>
      <c r="AW3292" s="82" t="str">
        <f t="shared" si="1"/>
        <v/>
      </c>
      <c r="AX3292" s="83" t="str">
        <f t="array" ref="AX3292">IFERROR(DGET('SBV Import'!A:G,"SBV",{"RSC ID","Tier";B3292,A3292}))</f>
        <v/>
      </c>
      <c r="AY3292" s="82" t="str">
        <f t="shared" si="2"/>
        <v/>
      </c>
      <c r="AZ3292" s="82"/>
      <c r="BA3292" s="84" t="s">
        <v>152</v>
      </c>
      <c r="BB3292" s="84" t="str">
        <f>IFERROR(__xludf.DUMMYFUNCTION("iferror(if(A3292="""",,E3292&gt;=FILTER(Constants!$F$2:$F$10,Constants!$A$2:$A$10=A3292)))"),"")</f>
        <v/>
      </c>
    </row>
    <row r="3293">
      <c r="A3293" s="89"/>
      <c r="B3293" s="87"/>
      <c r="C3293" s="73"/>
      <c r="D3293" s="73"/>
      <c r="E3293" s="82"/>
      <c r="F3293" s="82"/>
      <c r="G3293" s="86"/>
      <c r="H3293" s="86"/>
      <c r="I3293" s="86"/>
      <c r="J3293" s="82"/>
      <c r="K3293" s="82"/>
      <c r="L3293" s="82"/>
      <c r="M3293" s="82"/>
      <c r="N3293" s="82"/>
      <c r="O3293" s="82"/>
      <c r="P3293" s="82"/>
      <c r="Q3293" s="82"/>
      <c r="R3293" s="82"/>
      <c r="S3293" s="82"/>
      <c r="T3293" s="82"/>
      <c r="U3293" s="82"/>
      <c r="V3293" s="82"/>
      <c r="W3293" s="82"/>
      <c r="X3293" s="82"/>
      <c r="Y3293" s="82"/>
      <c r="Z3293" s="82"/>
      <c r="AA3293" s="82"/>
      <c r="AB3293" s="82"/>
      <c r="AC3293" s="82"/>
      <c r="AD3293" s="82"/>
      <c r="AE3293" s="82"/>
      <c r="AF3293" s="82"/>
      <c r="AG3293" s="82"/>
      <c r="AH3293" s="82"/>
      <c r="AI3293" s="82"/>
      <c r="AJ3293" s="82"/>
      <c r="AK3293" s="82"/>
      <c r="AL3293" s="82"/>
      <c r="AM3293" s="82"/>
      <c r="AN3293" s="82">
        <f>IFERROR(__xludf.DUMMYFUNCTION("""COMPUTED_VALUE"""),0.0)</f>
        <v>0</v>
      </c>
      <c r="AO3293" s="82">
        <f>IFERROR(__xludf.DUMMYFUNCTION("""COMPUTED_VALUE"""),0.0)</f>
        <v>0</v>
      </c>
      <c r="AP3293" s="82">
        <f>IFERROR(__xludf.DUMMYFUNCTION("""COMPUTED_VALUE"""),0.0)</f>
        <v>0</v>
      </c>
      <c r="AQ3293" s="82">
        <f>IFERROR(__xludf.DUMMYFUNCTION("""COMPUTED_VALUE"""),0.0)</f>
        <v>0</v>
      </c>
      <c r="AR3293" s="82">
        <f>IFERROR(__xludf.DUMMYFUNCTION("""COMPUTED_VALUE"""),0.0)</f>
        <v>0</v>
      </c>
      <c r="AS3293" s="82"/>
      <c r="AT3293" s="82">
        <f>IFERROR(__xludf.DUMMYFUNCTION("""COMPUTED_VALUE"""),0.0)</f>
        <v>0</v>
      </c>
      <c r="AU3293" s="82"/>
      <c r="AV3293" s="82"/>
      <c r="AW3293" s="82" t="str">
        <f t="shared" si="1"/>
        <v/>
      </c>
      <c r="AX3293" s="83" t="str">
        <f t="array" ref="AX3293">IFERROR(DGET('SBV Import'!A:G,"SBV",{"RSC ID","Tier";B3293,A3293}))</f>
        <v/>
      </c>
      <c r="AY3293" s="82" t="str">
        <f t="shared" si="2"/>
        <v/>
      </c>
      <c r="AZ3293" s="82"/>
      <c r="BA3293" s="84" t="s">
        <v>152</v>
      </c>
      <c r="BB3293" s="84" t="str">
        <f>IFERROR(__xludf.DUMMYFUNCTION("iferror(if(A3293="""",,E3293&gt;=FILTER(Constants!$F$2:$F$10,Constants!$A$2:$A$10=A3293)))"),"")</f>
        <v/>
      </c>
    </row>
    <row r="3294">
      <c r="A3294" s="89"/>
      <c r="B3294" s="87"/>
      <c r="C3294" s="73"/>
      <c r="D3294" s="73"/>
      <c r="E3294" s="82"/>
      <c r="F3294" s="82"/>
      <c r="G3294" s="86"/>
      <c r="H3294" s="86"/>
      <c r="I3294" s="86"/>
      <c r="J3294" s="82"/>
      <c r="K3294" s="82"/>
      <c r="L3294" s="82"/>
      <c r="M3294" s="82"/>
      <c r="N3294" s="82"/>
      <c r="O3294" s="82"/>
      <c r="P3294" s="82"/>
      <c r="Q3294" s="82"/>
      <c r="R3294" s="82"/>
      <c r="S3294" s="82"/>
      <c r="T3294" s="82"/>
      <c r="U3294" s="82"/>
      <c r="V3294" s="82"/>
      <c r="W3294" s="82"/>
      <c r="X3294" s="82"/>
      <c r="Y3294" s="82"/>
      <c r="Z3294" s="82"/>
      <c r="AA3294" s="82"/>
      <c r="AB3294" s="82"/>
      <c r="AC3294" s="82"/>
      <c r="AD3294" s="82"/>
      <c r="AE3294" s="82"/>
      <c r="AF3294" s="82"/>
      <c r="AG3294" s="82"/>
      <c r="AH3294" s="82"/>
      <c r="AI3294" s="82"/>
      <c r="AJ3294" s="82"/>
      <c r="AK3294" s="82"/>
      <c r="AL3294" s="82"/>
      <c r="AM3294" s="82"/>
      <c r="AN3294" s="82">
        <f>IFERROR(__xludf.DUMMYFUNCTION("""COMPUTED_VALUE"""),0.0)</f>
        <v>0</v>
      </c>
      <c r="AO3294" s="82">
        <f>IFERROR(__xludf.DUMMYFUNCTION("""COMPUTED_VALUE"""),0.0)</f>
        <v>0</v>
      </c>
      <c r="AP3294" s="82">
        <f>IFERROR(__xludf.DUMMYFUNCTION("""COMPUTED_VALUE"""),0.0)</f>
        <v>0</v>
      </c>
      <c r="AQ3294" s="82">
        <f>IFERROR(__xludf.DUMMYFUNCTION("""COMPUTED_VALUE"""),0.0)</f>
        <v>0</v>
      </c>
      <c r="AR3294" s="82">
        <f>IFERROR(__xludf.DUMMYFUNCTION("""COMPUTED_VALUE"""),0.0)</f>
        <v>0</v>
      </c>
      <c r="AS3294" s="82"/>
      <c r="AT3294" s="82">
        <f>IFERROR(__xludf.DUMMYFUNCTION("""COMPUTED_VALUE"""),0.0)</f>
        <v>0</v>
      </c>
      <c r="AU3294" s="82"/>
      <c r="AV3294" s="82"/>
      <c r="AW3294" s="82" t="str">
        <f t="shared" si="1"/>
        <v/>
      </c>
      <c r="AX3294" s="83" t="str">
        <f t="array" ref="AX3294">IFERROR(DGET('SBV Import'!A:G,"SBV",{"RSC ID","Tier";B3294,A3294}))</f>
        <v/>
      </c>
      <c r="AY3294" s="82" t="str">
        <f t="shared" si="2"/>
        <v/>
      </c>
      <c r="AZ3294" s="82"/>
      <c r="BA3294" s="84" t="s">
        <v>152</v>
      </c>
      <c r="BB3294" s="84" t="str">
        <f>IFERROR(__xludf.DUMMYFUNCTION("iferror(if(A3294="""",,E3294&gt;=FILTER(Constants!$F$2:$F$10,Constants!$A$2:$A$10=A3294)))"),"")</f>
        <v/>
      </c>
    </row>
    <row r="3295">
      <c r="A3295" s="89"/>
      <c r="B3295" s="87"/>
      <c r="C3295" s="73"/>
      <c r="D3295" s="73"/>
      <c r="E3295" s="82"/>
      <c r="F3295" s="82"/>
      <c r="G3295" s="86"/>
      <c r="H3295" s="86"/>
      <c r="I3295" s="86"/>
      <c r="J3295" s="82"/>
      <c r="K3295" s="82"/>
      <c r="L3295" s="82"/>
      <c r="M3295" s="82"/>
      <c r="N3295" s="82"/>
      <c r="O3295" s="82"/>
      <c r="P3295" s="82"/>
      <c r="Q3295" s="82"/>
      <c r="R3295" s="82"/>
      <c r="S3295" s="82"/>
      <c r="T3295" s="82"/>
      <c r="U3295" s="82"/>
      <c r="V3295" s="82"/>
      <c r="W3295" s="82"/>
      <c r="X3295" s="82"/>
      <c r="Y3295" s="82"/>
      <c r="Z3295" s="82"/>
      <c r="AA3295" s="82"/>
      <c r="AB3295" s="82"/>
      <c r="AC3295" s="82"/>
      <c r="AD3295" s="82"/>
      <c r="AE3295" s="82"/>
      <c r="AF3295" s="82"/>
      <c r="AG3295" s="82"/>
      <c r="AH3295" s="82"/>
      <c r="AI3295" s="82"/>
      <c r="AJ3295" s="82"/>
      <c r="AK3295" s="82"/>
      <c r="AL3295" s="82"/>
      <c r="AM3295" s="82"/>
      <c r="AN3295" s="82">
        <f>IFERROR(__xludf.DUMMYFUNCTION("""COMPUTED_VALUE"""),0.0)</f>
        <v>0</v>
      </c>
      <c r="AO3295" s="82">
        <f>IFERROR(__xludf.DUMMYFUNCTION("""COMPUTED_VALUE"""),0.0)</f>
        <v>0</v>
      </c>
      <c r="AP3295" s="82">
        <f>IFERROR(__xludf.DUMMYFUNCTION("""COMPUTED_VALUE"""),0.0)</f>
        <v>0</v>
      </c>
      <c r="AQ3295" s="82">
        <f>IFERROR(__xludf.DUMMYFUNCTION("""COMPUTED_VALUE"""),0.0)</f>
        <v>0</v>
      </c>
      <c r="AR3295" s="82">
        <f>IFERROR(__xludf.DUMMYFUNCTION("""COMPUTED_VALUE"""),0.0)</f>
        <v>0</v>
      </c>
      <c r="AS3295" s="82"/>
      <c r="AT3295" s="82">
        <f>IFERROR(__xludf.DUMMYFUNCTION("""COMPUTED_VALUE"""),0.0)</f>
        <v>0</v>
      </c>
      <c r="AU3295" s="82"/>
      <c r="AV3295" s="82"/>
      <c r="AW3295" s="82" t="str">
        <f t="shared" si="1"/>
        <v/>
      </c>
      <c r="AX3295" s="83" t="str">
        <f t="array" ref="AX3295">IFERROR(DGET('SBV Import'!A:G,"SBV",{"RSC ID","Tier";B3295,A3295}))</f>
        <v/>
      </c>
      <c r="AY3295" s="82" t="str">
        <f t="shared" si="2"/>
        <v/>
      </c>
      <c r="AZ3295" s="82"/>
      <c r="BA3295" s="84" t="s">
        <v>152</v>
      </c>
      <c r="BB3295" s="84" t="str">
        <f>IFERROR(__xludf.DUMMYFUNCTION("iferror(if(A3295="""",,E3295&gt;=FILTER(Constants!$F$2:$F$10,Constants!$A$2:$A$10=A3295)))"),"")</f>
        <v/>
      </c>
    </row>
    <row r="3296">
      <c r="A3296" s="89"/>
      <c r="B3296" s="87"/>
      <c r="C3296" s="73"/>
      <c r="D3296" s="73"/>
      <c r="E3296" s="82"/>
      <c r="F3296" s="82"/>
      <c r="G3296" s="86"/>
      <c r="H3296" s="86"/>
      <c r="I3296" s="86"/>
      <c r="J3296" s="82"/>
      <c r="K3296" s="82"/>
      <c r="L3296" s="82"/>
      <c r="M3296" s="82"/>
      <c r="N3296" s="82"/>
      <c r="O3296" s="82"/>
      <c r="P3296" s="82"/>
      <c r="Q3296" s="82"/>
      <c r="R3296" s="82"/>
      <c r="S3296" s="82"/>
      <c r="T3296" s="82"/>
      <c r="U3296" s="82"/>
      <c r="V3296" s="82"/>
      <c r="W3296" s="82"/>
      <c r="X3296" s="82"/>
      <c r="Y3296" s="82"/>
      <c r="Z3296" s="82"/>
      <c r="AA3296" s="82"/>
      <c r="AB3296" s="82"/>
      <c r="AC3296" s="82"/>
      <c r="AD3296" s="82"/>
      <c r="AE3296" s="82"/>
      <c r="AF3296" s="82"/>
      <c r="AG3296" s="82"/>
      <c r="AH3296" s="82"/>
      <c r="AI3296" s="82"/>
      <c r="AJ3296" s="82"/>
      <c r="AK3296" s="82"/>
      <c r="AL3296" s="82"/>
      <c r="AM3296" s="82"/>
      <c r="AN3296" s="82">
        <f>IFERROR(__xludf.DUMMYFUNCTION("""COMPUTED_VALUE"""),0.0)</f>
        <v>0</v>
      </c>
      <c r="AO3296" s="82">
        <f>IFERROR(__xludf.DUMMYFUNCTION("""COMPUTED_VALUE"""),0.0)</f>
        <v>0</v>
      </c>
      <c r="AP3296" s="82">
        <f>IFERROR(__xludf.DUMMYFUNCTION("""COMPUTED_VALUE"""),0.0)</f>
        <v>0</v>
      </c>
      <c r="AQ3296" s="82">
        <f>IFERROR(__xludf.DUMMYFUNCTION("""COMPUTED_VALUE"""),0.0)</f>
        <v>0</v>
      </c>
      <c r="AR3296" s="82">
        <f>IFERROR(__xludf.DUMMYFUNCTION("""COMPUTED_VALUE"""),0.0)</f>
        <v>0</v>
      </c>
      <c r="AS3296" s="82"/>
      <c r="AT3296" s="82">
        <f>IFERROR(__xludf.DUMMYFUNCTION("""COMPUTED_VALUE"""),0.0)</f>
        <v>0</v>
      </c>
      <c r="AU3296" s="82"/>
      <c r="AV3296" s="82"/>
      <c r="AW3296" s="82" t="str">
        <f t="shared" si="1"/>
        <v/>
      </c>
      <c r="AX3296" s="83" t="str">
        <f t="array" ref="AX3296">IFERROR(DGET('SBV Import'!A:G,"SBV",{"RSC ID","Tier";B3296,A3296}))</f>
        <v/>
      </c>
      <c r="AY3296" s="82" t="str">
        <f t="shared" si="2"/>
        <v/>
      </c>
      <c r="AZ3296" s="82"/>
      <c r="BA3296" s="84" t="s">
        <v>152</v>
      </c>
      <c r="BB3296" s="84" t="str">
        <f>IFERROR(__xludf.DUMMYFUNCTION("iferror(if(A3296="""",,E3296&gt;=FILTER(Constants!$F$2:$F$10,Constants!$A$2:$A$10=A3296)))"),"")</f>
        <v/>
      </c>
    </row>
    <row r="3297">
      <c r="A3297" s="89"/>
      <c r="B3297" s="87"/>
      <c r="C3297" s="73"/>
      <c r="D3297" s="73"/>
      <c r="E3297" s="82"/>
      <c r="F3297" s="82"/>
      <c r="G3297" s="86"/>
      <c r="H3297" s="86"/>
      <c r="I3297" s="86"/>
      <c r="J3297" s="82"/>
      <c r="K3297" s="82"/>
      <c r="L3297" s="82"/>
      <c r="M3297" s="82"/>
      <c r="N3297" s="82"/>
      <c r="O3297" s="82"/>
      <c r="P3297" s="82"/>
      <c r="Q3297" s="82"/>
      <c r="R3297" s="82"/>
      <c r="S3297" s="82"/>
      <c r="T3297" s="82"/>
      <c r="U3297" s="82"/>
      <c r="V3297" s="82"/>
      <c r="W3297" s="82"/>
      <c r="X3297" s="82"/>
      <c r="Y3297" s="82"/>
      <c r="Z3297" s="82"/>
      <c r="AA3297" s="82"/>
      <c r="AB3297" s="82"/>
      <c r="AC3297" s="82"/>
      <c r="AD3297" s="82"/>
      <c r="AE3297" s="82"/>
      <c r="AF3297" s="82"/>
      <c r="AG3297" s="82"/>
      <c r="AH3297" s="82"/>
      <c r="AI3297" s="82"/>
      <c r="AJ3297" s="82"/>
      <c r="AK3297" s="82"/>
      <c r="AL3297" s="82"/>
      <c r="AM3297" s="82"/>
      <c r="AN3297" s="82">
        <f>IFERROR(__xludf.DUMMYFUNCTION("""COMPUTED_VALUE"""),0.0)</f>
        <v>0</v>
      </c>
      <c r="AO3297" s="82">
        <f>IFERROR(__xludf.DUMMYFUNCTION("""COMPUTED_VALUE"""),0.0)</f>
        <v>0</v>
      </c>
      <c r="AP3297" s="82">
        <f>IFERROR(__xludf.DUMMYFUNCTION("""COMPUTED_VALUE"""),0.0)</f>
        <v>0</v>
      </c>
      <c r="AQ3297" s="82">
        <f>IFERROR(__xludf.DUMMYFUNCTION("""COMPUTED_VALUE"""),0.0)</f>
        <v>0</v>
      </c>
      <c r="AR3297" s="82">
        <f>IFERROR(__xludf.DUMMYFUNCTION("""COMPUTED_VALUE"""),0.0)</f>
        <v>0</v>
      </c>
      <c r="AS3297" s="82"/>
      <c r="AT3297" s="82">
        <f>IFERROR(__xludf.DUMMYFUNCTION("""COMPUTED_VALUE"""),0.0)</f>
        <v>0</v>
      </c>
      <c r="AU3297" s="82"/>
      <c r="AV3297" s="82"/>
      <c r="AW3297" s="82" t="str">
        <f t="shared" si="1"/>
        <v/>
      </c>
      <c r="AX3297" s="83" t="str">
        <f t="array" ref="AX3297">IFERROR(DGET('SBV Import'!A:G,"SBV",{"RSC ID","Tier";B3297,A3297}))</f>
        <v/>
      </c>
      <c r="AY3297" s="82" t="str">
        <f t="shared" si="2"/>
        <v/>
      </c>
      <c r="AZ3297" s="82"/>
      <c r="BA3297" s="84" t="s">
        <v>152</v>
      </c>
      <c r="BB3297" s="84" t="str">
        <f>IFERROR(__xludf.DUMMYFUNCTION("iferror(if(A3297="""",,E3297&gt;=FILTER(Constants!$F$2:$F$10,Constants!$A$2:$A$10=A3297)))"),"")</f>
        <v/>
      </c>
    </row>
    <row r="3298">
      <c r="A3298" s="89"/>
      <c r="B3298" s="87"/>
      <c r="C3298" s="73"/>
      <c r="D3298" s="73"/>
      <c r="E3298" s="82"/>
      <c r="F3298" s="82"/>
      <c r="G3298" s="86"/>
      <c r="H3298" s="86"/>
      <c r="I3298" s="86"/>
      <c r="J3298" s="82"/>
      <c r="K3298" s="82"/>
      <c r="L3298" s="82"/>
      <c r="M3298" s="82"/>
      <c r="N3298" s="82"/>
      <c r="O3298" s="82"/>
      <c r="P3298" s="82"/>
      <c r="Q3298" s="82"/>
      <c r="R3298" s="82"/>
      <c r="S3298" s="82"/>
      <c r="T3298" s="82"/>
      <c r="U3298" s="82"/>
      <c r="V3298" s="82"/>
      <c r="W3298" s="82"/>
      <c r="X3298" s="82"/>
      <c r="Y3298" s="82"/>
      <c r="Z3298" s="82"/>
      <c r="AA3298" s="82"/>
      <c r="AB3298" s="82"/>
      <c r="AC3298" s="82"/>
      <c r="AD3298" s="82"/>
      <c r="AE3298" s="82"/>
      <c r="AF3298" s="82"/>
      <c r="AG3298" s="82"/>
      <c r="AH3298" s="82"/>
      <c r="AI3298" s="82"/>
      <c r="AJ3298" s="82"/>
      <c r="AK3298" s="82"/>
      <c r="AL3298" s="82"/>
      <c r="AM3298" s="82"/>
      <c r="AN3298" s="82">
        <f>IFERROR(__xludf.DUMMYFUNCTION("""COMPUTED_VALUE"""),0.0)</f>
        <v>0</v>
      </c>
      <c r="AO3298" s="82">
        <f>IFERROR(__xludf.DUMMYFUNCTION("""COMPUTED_VALUE"""),0.0)</f>
        <v>0</v>
      </c>
      <c r="AP3298" s="82">
        <f>IFERROR(__xludf.DUMMYFUNCTION("""COMPUTED_VALUE"""),0.0)</f>
        <v>0</v>
      </c>
      <c r="AQ3298" s="82">
        <f>IFERROR(__xludf.DUMMYFUNCTION("""COMPUTED_VALUE"""),0.0)</f>
        <v>0</v>
      </c>
      <c r="AR3298" s="82">
        <f>IFERROR(__xludf.DUMMYFUNCTION("""COMPUTED_VALUE"""),0.0)</f>
        <v>0</v>
      </c>
      <c r="AS3298" s="82"/>
      <c r="AT3298" s="82">
        <f>IFERROR(__xludf.DUMMYFUNCTION("""COMPUTED_VALUE"""),0.0)</f>
        <v>0</v>
      </c>
      <c r="AU3298" s="82"/>
      <c r="AV3298" s="82"/>
      <c r="AW3298" s="82" t="str">
        <f t="shared" si="1"/>
        <v/>
      </c>
      <c r="AX3298" s="83" t="str">
        <f t="array" ref="AX3298">IFERROR(DGET('SBV Import'!A:G,"SBV",{"RSC ID","Tier";B3298,A3298}))</f>
        <v/>
      </c>
      <c r="AY3298" s="82" t="str">
        <f t="shared" si="2"/>
        <v/>
      </c>
      <c r="AZ3298" s="82"/>
      <c r="BA3298" s="84" t="s">
        <v>152</v>
      </c>
      <c r="BB3298" s="84" t="str">
        <f>IFERROR(__xludf.DUMMYFUNCTION("iferror(if(A3298="""",,E3298&gt;=FILTER(Constants!$F$2:$F$10,Constants!$A$2:$A$10=A3298)))"),"")</f>
        <v/>
      </c>
    </row>
    <row r="3299">
      <c r="A3299" s="89"/>
      <c r="B3299" s="87"/>
      <c r="C3299" s="73"/>
      <c r="D3299" s="73"/>
      <c r="E3299" s="82"/>
      <c r="F3299" s="82"/>
      <c r="G3299" s="86"/>
      <c r="H3299" s="86"/>
      <c r="I3299" s="86"/>
      <c r="J3299" s="82"/>
      <c r="K3299" s="82"/>
      <c r="L3299" s="82"/>
      <c r="M3299" s="82"/>
      <c r="N3299" s="82"/>
      <c r="O3299" s="82"/>
      <c r="P3299" s="82"/>
      <c r="Q3299" s="82"/>
      <c r="R3299" s="82"/>
      <c r="S3299" s="82"/>
      <c r="T3299" s="82"/>
      <c r="U3299" s="82"/>
      <c r="V3299" s="82"/>
      <c r="W3299" s="82"/>
      <c r="X3299" s="82"/>
      <c r="Y3299" s="82"/>
      <c r="Z3299" s="82"/>
      <c r="AA3299" s="82"/>
      <c r="AB3299" s="82"/>
      <c r="AC3299" s="82"/>
      <c r="AD3299" s="82"/>
      <c r="AE3299" s="82"/>
      <c r="AF3299" s="82"/>
      <c r="AG3299" s="82"/>
      <c r="AH3299" s="82"/>
      <c r="AI3299" s="82"/>
      <c r="AJ3299" s="82"/>
      <c r="AK3299" s="82"/>
      <c r="AL3299" s="82"/>
      <c r="AM3299" s="82"/>
      <c r="AN3299" s="82">
        <f>IFERROR(__xludf.DUMMYFUNCTION("""COMPUTED_VALUE"""),0.0)</f>
        <v>0</v>
      </c>
      <c r="AO3299" s="82">
        <f>IFERROR(__xludf.DUMMYFUNCTION("""COMPUTED_VALUE"""),0.0)</f>
        <v>0</v>
      </c>
      <c r="AP3299" s="82">
        <f>IFERROR(__xludf.DUMMYFUNCTION("""COMPUTED_VALUE"""),0.0)</f>
        <v>0</v>
      </c>
      <c r="AQ3299" s="82">
        <f>IFERROR(__xludf.DUMMYFUNCTION("""COMPUTED_VALUE"""),0.0)</f>
        <v>0</v>
      </c>
      <c r="AR3299" s="82">
        <f>IFERROR(__xludf.DUMMYFUNCTION("""COMPUTED_VALUE"""),0.0)</f>
        <v>0</v>
      </c>
      <c r="AS3299" s="82"/>
      <c r="AT3299" s="82">
        <f>IFERROR(__xludf.DUMMYFUNCTION("""COMPUTED_VALUE"""),0.0)</f>
        <v>0</v>
      </c>
      <c r="AU3299" s="82"/>
      <c r="AV3299" s="82"/>
      <c r="AW3299" s="82" t="str">
        <f t="shared" si="1"/>
        <v/>
      </c>
      <c r="AX3299" s="83" t="str">
        <f t="array" ref="AX3299">IFERROR(DGET('SBV Import'!A:G,"SBV",{"RSC ID","Tier";B3299,A3299}))</f>
        <v/>
      </c>
      <c r="AY3299" s="82" t="str">
        <f t="shared" si="2"/>
        <v/>
      </c>
      <c r="AZ3299" s="82"/>
      <c r="BA3299" s="84" t="s">
        <v>152</v>
      </c>
      <c r="BB3299" s="84" t="str">
        <f>IFERROR(__xludf.DUMMYFUNCTION("iferror(if(A3299="""",,E3299&gt;=FILTER(Constants!$F$2:$F$10,Constants!$A$2:$A$10=A3299)))"),"")</f>
        <v/>
      </c>
    </row>
    <row r="3300">
      <c r="A3300" s="89"/>
      <c r="B3300" s="87"/>
      <c r="C3300" s="73"/>
      <c r="D3300" s="73"/>
      <c r="E3300" s="82"/>
      <c r="F3300" s="82"/>
      <c r="G3300" s="86"/>
      <c r="H3300" s="86"/>
      <c r="I3300" s="86"/>
      <c r="J3300" s="82"/>
      <c r="K3300" s="82"/>
      <c r="L3300" s="82"/>
      <c r="M3300" s="82"/>
      <c r="N3300" s="82"/>
      <c r="O3300" s="82"/>
      <c r="P3300" s="82"/>
      <c r="Q3300" s="82"/>
      <c r="R3300" s="82"/>
      <c r="S3300" s="82"/>
      <c r="T3300" s="82"/>
      <c r="U3300" s="82"/>
      <c r="V3300" s="82"/>
      <c r="W3300" s="82"/>
      <c r="X3300" s="82"/>
      <c r="Y3300" s="82"/>
      <c r="Z3300" s="82"/>
      <c r="AA3300" s="82"/>
      <c r="AB3300" s="82"/>
      <c r="AC3300" s="82"/>
      <c r="AD3300" s="82"/>
      <c r="AE3300" s="82"/>
      <c r="AF3300" s="82"/>
      <c r="AG3300" s="82"/>
      <c r="AH3300" s="82"/>
      <c r="AI3300" s="82"/>
      <c r="AJ3300" s="82"/>
      <c r="AK3300" s="82"/>
      <c r="AL3300" s="82"/>
      <c r="AM3300" s="82"/>
      <c r="AN3300" s="82">
        <f>IFERROR(__xludf.DUMMYFUNCTION("""COMPUTED_VALUE"""),0.0)</f>
        <v>0</v>
      </c>
      <c r="AO3300" s="82">
        <f>IFERROR(__xludf.DUMMYFUNCTION("""COMPUTED_VALUE"""),0.0)</f>
        <v>0</v>
      </c>
      <c r="AP3300" s="82">
        <f>IFERROR(__xludf.DUMMYFUNCTION("""COMPUTED_VALUE"""),0.0)</f>
        <v>0</v>
      </c>
      <c r="AQ3300" s="82">
        <f>IFERROR(__xludf.DUMMYFUNCTION("""COMPUTED_VALUE"""),0.0)</f>
        <v>0</v>
      </c>
      <c r="AR3300" s="82">
        <f>IFERROR(__xludf.DUMMYFUNCTION("""COMPUTED_VALUE"""),0.0)</f>
        <v>0</v>
      </c>
      <c r="AS3300" s="82"/>
      <c r="AT3300" s="82">
        <f>IFERROR(__xludf.DUMMYFUNCTION("""COMPUTED_VALUE"""),0.0)</f>
        <v>0</v>
      </c>
      <c r="AU3300" s="82"/>
      <c r="AV3300" s="82"/>
      <c r="AW3300" s="82" t="str">
        <f t="shared" si="1"/>
        <v/>
      </c>
      <c r="AX3300" s="83" t="str">
        <f t="array" ref="AX3300">IFERROR(DGET('SBV Import'!A:G,"SBV",{"RSC ID","Tier";B3300,A3300}))</f>
        <v/>
      </c>
      <c r="AY3300" s="82" t="str">
        <f t="shared" si="2"/>
        <v/>
      </c>
      <c r="AZ3300" s="82"/>
      <c r="BA3300" s="84" t="s">
        <v>152</v>
      </c>
      <c r="BB3300" s="84" t="str">
        <f>IFERROR(__xludf.DUMMYFUNCTION("iferror(if(A3300="""",,E3300&gt;=FILTER(Constants!$F$2:$F$10,Constants!$A$2:$A$10=A3300)))"),"")</f>
        <v/>
      </c>
    </row>
    <row r="3301">
      <c r="A3301" s="89"/>
      <c r="B3301" s="87"/>
      <c r="C3301" s="73"/>
      <c r="D3301" s="73"/>
      <c r="E3301" s="82"/>
      <c r="F3301" s="82"/>
      <c r="G3301" s="86"/>
      <c r="H3301" s="86"/>
      <c r="I3301" s="86"/>
      <c r="J3301" s="82"/>
      <c r="K3301" s="82"/>
      <c r="L3301" s="82"/>
      <c r="M3301" s="82"/>
      <c r="N3301" s="82"/>
      <c r="O3301" s="82"/>
      <c r="P3301" s="82"/>
      <c r="Q3301" s="82"/>
      <c r="R3301" s="82"/>
      <c r="S3301" s="82"/>
      <c r="T3301" s="82"/>
      <c r="U3301" s="82"/>
      <c r="V3301" s="82"/>
      <c r="W3301" s="82"/>
      <c r="X3301" s="82"/>
      <c r="Y3301" s="82"/>
      <c r="Z3301" s="82"/>
      <c r="AA3301" s="82"/>
      <c r="AB3301" s="82"/>
      <c r="AC3301" s="82"/>
      <c r="AD3301" s="82"/>
      <c r="AE3301" s="82"/>
      <c r="AF3301" s="82"/>
      <c r="AG3301" s="82"/>
      <c r="AH3301" s="82"/>
      <c r="AI3301" s="82"/>
      <c r="AJ3301" s="82"/>
      <c r="AK3301" s="82"/>
      <c r="AL3301" s="82"/>
      <c r="AM3301" s="82"/>
      <c r="AN3301" s="82">
        <f>IFERROR(__xludf.DUMMYFUNCTION("""COMPUTED_VALUE"""),0.0)</f>
        <v>0</v>
      </c>
      <c r="AO3301" s="82">
        <f>IFERROR(__xludf.DUMMYFUNCTION("""COMPUTED_VALUE"""),0.0)</f>
        <v>0</v>
      </c>
      <c r="AP3301" s="82">
        <f>IFERROR(__xludf.DUMMYFUNCTION("""COMPUTED_VALUE"""),0.0)</f>
        <v>0</v>
      </c>
      <c r="AQ3301" s="82">
        <f>IFERROR(__xludf.DUMMYFUNCTION("""COMPUTED_VALUE"""),0.0)</f>
        <v>0</v>
      </c>
      <c r="AR3301" s="82">
        <f>IFERROR(__xludf.DUMMYFUNCTION("""COMPUTED_VALUE"""),0.0)</f>
        <v>0</v>
      </c>
      <c r="AS3301" s="82"/>
      <c r="AT3301" s="82">
        <f>IFERROR(__xludf.DUMMYFUNCTION("""COMPUTED_VALUE"""),0.0)</f>
        <v>0</v>
      </c>
      <c r="AU3301" s="82"/>
      <c r="AV3301" s="82"/>
      <c r="AW3301" s="82" t="str">
        <f t="shared" si="1"/>
        <v/>
      </c>
      <c r="AX3301" s="83" t="str">
        <f t="array" ref="AX3301">IFERROR(DGET('SBV Import'!A:G,"SBV",{"RSC ID","Tier";B3301,A3301}))</f>
        <v/>
      </c>
      <c r="AY3301" s="82" t="str">
        <f t="shared" si="2"/>
        <v/>
      </c>
      <c r="AZ3301" s="82"/>
      <c r="BA3301" s="84" t="s">
        <v>152</v>
      </c>
      <c r="BB3301" s="84" t="str">
        <f>IFERROR(__xludf.DUMMYFUNCTION("iferror(if(A3301="""",,E3301&gt;=FILTER(Constants!$F$2:$F$10,Constants!$A$2:$A$10=A3301)))"),"")</f>
        <v/>
      </c>
    </row>
    <row r="3302">
      <c r="A3302" s="89"/>
      <c r="B3302" s="87"/>
      <c r="C3302" s="73"/>
      <c r="D3302" s="73"/>
      <c r="E3302" s="82"/>
      <c r="F3302" s="82"/>
      <c r="G3302" s="86"/>
      <c r="H3302" s="86"/>
      <c r="I3302" s="86"/>
      <c r="J3302" s="82"/>
      <c r="K3302" s="82"/>
      <c r="L3302" s="82"/>
      <c r="M3302" s="82"/>
      <c r="N3302" s="82"/>
      <c r="O3302" s="82"/>
      <c r="P3302" s="82"/>
      <c r="Q3302" s="82"/>
      <c r="R3302" s="82"/>
      <c r="S3302" s="82"/>
      <c r="T3302" s="82"/>
      <c r="U3302" s="82"/>
      <c r="V3302" s="82"/>
      <c r="W3302" s="82"/>
      <c r="X3302" s="82"/>
      <c r="Y3302" s="82"/>
      <c r="Z3302" s="82"/>
      <c r="AA3302" s="82"/>
      <c r="AB3302" s="82"/>
      <c r="AC3302" s="82"/>
      <c r="AD3302" s="82"/>
      <c r="AE3302" s="82"/>
      <c r="AF3302" s="82"/>
      <c r="AG3302" s="82"/>
      <c r="AH3302" s="82"/>
      <c r="AI3302" s="82"/>
      <c r="AJ3302" s="82"/>
      <c r="AK3302" s="82"/>
      <c r="AL3302" s="82"/>
      <c r="AM3302" s="82"/>
      <c r="AN3302" s="82">
        <f>IFERROR(__xludf.DUMMYFUNCTION("""COMPUTED_VALUE"""),0.0)</f>
        <v>0</v>
      </c>
      <c r="AO3302" s="82">
        <f>IFERROR(__xludf.DUMMYFUNCTION("""COMPUTED_VALUE"""),0.0)</f>
        <v>0</v>
      </c>
      <c r="AP3302" s="82">
        <f>IFERROR(__xludf.DUMMYFUNCTION("""COMPUTED_VALUE"""),0.0)</f>
        <v>0</v>
      </c>
      <c r="AQ3302" s="82">
        <f>IFERROR(__xludf.DUMMYFUNCTION("""COMPUTED_VALUE"""),0.0)</f>
        <v>0</v>
      </c>
      <c r="AR3302" s="82">
        <f>IFERROR(__xludf.DUMMYFUNCTION("""COMPUTED_VALUE"""),0.0)</f>
        <v>0</v>
      </c>
      <c r="AS3302" s="82"/>
      <c r="AT3302" s="82">
        <f>IFERROR(__xludf.DUMMYFUNCTION("""COMPUTED_VALUE"""),0.0)</f>
        <v>0</v>
      </c>
      <c r="AU3302" s="82"/>
      <c r="AV3302" s="82"/>
      <c r="AW3302" s="82" t="str">
        <f t="shared" si="1"/>
        <v/>
      </c>
      <c r="AX3302" s="83" t="str">
        <f t="array" ref="AX3302">IFERROR(DGET('SBV Import'!A:G,"SBV",{"RSC ID","Tier";B3302,A3302}))</f>
        <v/>
      </c>
      <c r="AY3302" s="82" t="str">
        <f t="shared" si="2"/>
        <v/>
      </c>
      <c r="AZ3302" s="82"/>
      <c r="BA3302" s="84" t="s">
        <v>152</v>
      </c>
      <c r="BB3302" s="84" t="str">
        <f>IFERROR(__xludf.DUMMYFUNCTION("iferror(if(A3302="""",,E3302&gt;=FILTER(Constants!$F$2:$F$10,Constants!$A$2:$A$10=A3302)))"),"")</f>
        <v/>
      </c>
    </row>
    <row r="3303">
      <c r="A3303" s="89"/>
      <c r="B3303" s="87"/>
      <c r="C3303" s="73"/>
      <c r="D3303" s="73"/>
      <c r="E3303" s="82"/>
      <c r="F3303" s="82"/>
      <c r="G3303" s="86"/>
      <c r="H3303" s="86"/>
      <c r="I3303" s="86"/>
      <c r="J3303" s="82"/>
      <c r="K3303" s="82"/>
      <c r="L3303" s="82"/>
      <c r="M3303" s="82"/>
      <c r="N3303" s="82"/>
      <c r="O3303" s="82"/>
      <c r="P3303" s="82"/>
      <c r="Q3303" s="82"/>
      <c r="R3303" s="82"/>
      <c r="S3303" s="82"/>
      <c r="T3303" s="82"/>
      <c r="U3303" s="82"/>
      <c r="V3303" s="82"/>
      <c r="W3303" s="82"/>
      <c r="X3303" s="82"/>
      <c r="Y3303" s="82"/>
      <c r="Z3303" s="82"/>
      <c r="AA3303" s="82"/>
      <c r="AB3303" s="82"/>
      <c r="AC3303" s="82"/>
      <c r="AD3303" s="82"/>
      <c r="AE3303" s="82"/>
      <c r="AF3303" s="82"/>
      <c r="AG3303" s="82"/>
      <c r="AH3303" s="82"/>
      <c r="AI3303" s="82"/>
      <c r="AJ3303" s="82"/>
      <c r="AK3303" s="82"/>
      <c r="AL3303" s="82"/>
      <c r="AM3303" s="82"/>
      <c r="AN3303" s="82">
        <f>IFERROR(__xludf.DUMMYFUNCTION("""COMPUTED_VALUE"""),0.0)</f>
        <v>0</v>
      </c>
      <c r="AO3303" s="82">
        <f>IFERROR(__xludf.DUMMYFUNCTION("""COMPUTED_VALUE"""),0.0)</f>
        <v>0</v>
      </c>
      <c r="AP3303" s="82">
        <f>IFERROR(__xludf.DUMMYFUNCTION("""COMPUTED_VALUE"""),0.0)</f>
        <v>0</v>
      </c>
      <c r="AQ3303" s="82">
        <f>IFERROR(__xludf.DUMMYFUNCTION("""COMPUTED_VALUE"""),0.0)</f>
        <v>0</v>
      </c>
      <c r="AR3303" s="82">
        <f>IFERROR(__xludf.DUMMYFUNCTION("""COMPUTED_VALUE"""),0.0)</f>
        <v>0</v>
      </c>
      <c r="AS3303" s="82"/>
      <c r="AT3303" s="82">
        <f>IFERROR(__xludf.DUMMYFUNCTION("""COMPUTED_VALUE"""),0.0)</f>
        <v>0</v>
      </c>
      <c r="AU3303" s="82"/>
      <c r="AV3303" s="82"/>
      <c r="AW3303" s="82" t="str">
        <f t="shared" si="1"/>
        <v/>
      </c>
      <c r="AX3303" s="83" t="str">
        <f t="array" ref="AX3303">IFERROR(DGET('SBV Import'!A:G,"SBV",{"RSC ID","Tier";B3303,A3303}))</f>
        <v/>
      </c>
      <c r="AY3303" s="82" t="str">
        <f t="shared" si="2"/>
        <v/>
      </c>
      <c r="AZ3303" s="82"/>
      <c r="BA3303" s="84" t="s">
        <v>152</v>
      </c>
      <c r="BB3303" s="84" t="str">
        <f>IFERROR(__xludf.DUMMYFUNCTION("iferror(if(A3303="""",,E3303&gt;=FILTER(Constants!$F$2:$F$10,Constants!$A$2:$A$10=A3303)))"),"")</f>
        <v/>
      </c>
    </row>
    <row r="3304">
      <c r="A3304" s="89"/>
      <c r="B3304" s="87"/>
      <c r="C3304" s="73"/>
      <c r="D3304" s="73"/>
      <c r="E3304" s="82"/>
      <c r="F3304" s="82"/>
      <c r="G3304" s="86"/>
      <c r="H3304" s="86"/>
      <c r="I3304" s="86"/>
      <c r="J3304" s="82"/>
      <c r="K3304" s="82"/>
      <c r="L3304" s="82"/>
      <c r="M3304" s="82"/>
      <c r="N3304" s="82"/>
      <c r="O3304" s="82"/>
      <c r="P3304" s="82"/>
      <c r="Q3304" s="82"/>
      <c r="R3304" s="82"/>
      <c r="S3304" s="82"/>
      <c r="T3304" s="82"/>
      <c r="U3304" s="82"/>
      <c r="V3304" s="82"/>
      <c r="W3304" s="82"/>
      <c r="X3304" s="82"/>
      <c r="Y3304" s="82"/>
      <c r="Z3304" s="82"/>
      <c r="AA3304" s="82"/>
      <c r="AB3304" s="82"/>
      <c r="AC3304" s="82"/>
      <c r="AD3304" s="82"/>
      <c r="AE3304" s="82"/>
      <c r="AF3304" s="82"/>
      <c r="AG3304" s="82"/>
      <c r="AH3304" s="82"/>
      <c r="AI3304" s="82"/>
      <c r="AJ3304" s="82"/>
      <c r="AK3304" s="82"/>
      <c r="AL3304" s="82"/>
      <c r="AM3304" s="82"/>
      <c r="AN3304" s="82">
        <f>IFERROR(__xludf.DUMMYFUNCTION("""COMPUTED_VALUE"""),0.0)</f>
        <v>0</v>
      </c>
      <c r="AO3304" s="82">
        <f>IFERROR(__xludf.DUMMYFUNCTION("""COMPUTED_VALUE"""),0.0)</f>
        <v>0</v>
      </c>
      <c r="AP3304" s="82">
        <f>IFERROR(__xludf.DUMMYFUNCTION("""COMPUTED_VALUE"""),0.0)</f>
        <v>0</v>
      </c>
      <c r="AQ3304" s="82">
        <f>IFERROR(__xludf.DUMMYFUNCTION("""COMPUTED_VALUE"""),0.0)</f>
        <v>0</v>
      </c>
      <c r="AR3304" s="82">
        <f>IFERROR(__xludf.DUMMYFUNCTION("""COMPUTED_VALUE"""),0.0)</f>
        <v>0</v>
      </c>
      <c r="AS3304" s="82"/>
      <c r="AT3304" s="82">
        <f>IFERROR(__xludf.DUMMYFUNCTION("""COMPUTED_VALUE"""),0.0)</f>
        <v>0</v>
      </c>
      <c r="AU3304" s="82"/>
      <c r="AV3304" s="82"/>
      <c r="AW3304" s="82" t="str">
        <f t="shared" si="1"/>
        <v/>
      </c>
      <c r="AX3304" s="83" t="str">
        <f t="array" ref="AX3304">IFERROR(DGET('SBV Import'!A:G,"SBV",{"RSC ID","Tier";B3304,A3304}))</f>
        <v/>
      </c>
      <c r="AY3304" s="82" t="str">
        <f t="shared" si="2"/>
        <v/>
      </c>
      <c r="AZ3304" s="82"/>
      <c r="BA3304" s="84" t="s">
        <v>152</v>
      </c>
      <c r="BB3304" s="84" t="str">
        <f>IFERROR(__xludf.DUMMYFUNCTION("iferror(if(A3304="""",,E3304&gt;=FILTER(Constants!$F$2:$F$10,Constants!$A$2:$A$10=A3304)))"),"")</f>
        <v/>
      </c>
    </row>
    <row r="3305">
      <c r="A3305" s="89"/>
      <c r="B3305" s="87"/>
      <c r="C3305" s="73"/>
      <c r="D3305" s="73"/>
      <c r="E3305" s="82"/>
      <c r="F3305" s="82"/>
      <c r="G3305" s="86"/>
      <c r="H3305" s="86"/>
      <c r="I3305" s="86"/>
      <c r="J3305" s="82"/>
      <c r="K3305" s="82"/>
      <c r="L3305" s="82"/>
      <c r="M3305" s="82"/>
      <c r="N3305" s="82"/>
      <c r="O3305" s="82"/>
      <c r="P3305" s="82"/>
      <c r="Q3305" s="82"/>
      <c r="R3305" s="82"/>
      <c r="S3305" s="82"/>
      <c r="T3305" s="82"/>
      <c r="U3305" s="82"/>
      <c r="V3305" s="82"/>
      <c r="W3305" s="82"/>
      <c r="X3305" s="82"/>
      <c r="Y3305" s="82"/>
      <c r="Z3305" s="82"/>
      <c r="AA3305" s="82"/>
      <c r="AB3305" s="82"/>
      <c r="AC3305" s="82"/>
      <c r="AD3305" s="82"/>
      <c r="AE3305" s="82"/>
      <c r="AF3305" s="82"/>
      <c r="AG3305" s="82"/>
      <c r="AH3305" s="82"/>
      <c r="AI3305" s="82"/>
      <c r="AJ3305" s="82"/>
      <c r="AK3305" s="82"/>
      <c r="AL3305" s="82"/>
      <c r="AM3305" s="82"/>
      <c r="AN3305" s="82">
        <f>IFERROR(__xludf.DUMMYFUNCTION("""COMPUTED_VALUE"""),0.0)</f>
        <v>0</v>
      </c>
      <c r="AO3305" s="82">
        <f>IFERROR(__xludf.DUMMYFUNCTION("""COMPUTED_VALUE"""),0.0)</f>
        <v>0</v>
      </c>
      <c r="AP3305" s="82">
        <f>IFERROR(__xludf.DUMMYFUNCTION("""COMPUTED_VALUE"""),0.0)</f>
        <v>0</v>
      </c>
      <c r="AQ3305" s="82">
        <f>IFERROR(__xludf.DUMMYFUNCTION("""COMPUTED_VALUE"""),0.0)</f>
        <v>0</v>
      </c>
      <c r="AR3305" s="82">
        <f>IFERROR(__xludf.DUMMYFUNCTION("""COMPUTED_VALUE"""),0.0)</f>
        <v>0</v>
      </c>
      <c r="AS3305" s="82"/>
      <c r="AT3305" s="82">
        <f>IFERROR(__xludf.DUMMYFUNCTION("""COMPUTED_VALUE"""),0.0)</f>
        <v>0</v>
      </c>
      <c r="AU3305" s="82"/>
      <c r="AV3305" s="82"/>
      <c r="AW3305" s="82" t="str">
        <f t="shared" si="1"/>
        <v/>
      </c>
      <c r="AX3305" s="83" t="str">
        <f t="array" ref="AX3305">IFERROR(DGET('SBV Import'!A:G,"SBV",{"RSC ID","Tier";B3305,A3305}))</f>
        <v/>
      </c>
      <c r="AY3305" s="82" t="str">
        <f t="shared" si="2"/>
        <v/>
      </c>
      <c r="AZ3305" s="82"/>
      <c r="BA3305" s="84" t="s">
        <v>152</v>
      </c>
      <c r="BB3305" s="84" t="str">
        <f>IFERROR(__xludf.DUMMYFUNCTION("iferror(if(A3305="""",,E3305&gt;=FILTER(Constants!$F$2:$F$10,Constants!$A$2:$A$10=A3305)))"),"")</f>
        <v/>
      </c>
    </row>
    <row r="3306">
      <c r="A3306" s="89"/>
      <c r="B3306" s="87"/>
      <c r="C3306" s="73"/>
      <c r="D3306" s="73"/>
      <c r="E3306" s="82"/>
      <c r="F3306" s="82"/>
      <c r="G3306" s="86"/>
      <c r="H3306" s="86"/>
      <c r="I3306" s="86"/>
      <c r="J3306" s="82"/>
      <c r="K3306" s="82"/>
      <c r="L3306" s="82"/>
      <c r="M3306" s="82"/>
      <c r="N3306" s="82"/>
      <c r="O3306" s="82"/>
      <c r="P3306" s="82"/>
      <c r="Q3306" s="82"/>
      <c r="R3306" s="82"/>
      <c r="S3306" s="82"/>
      <c r="T3306" s="82"/>
      <c r="U3306" s="82"/>
      <c r="V3306" s="82"/>
      <c r="W3306" s="82"/>
      <c r="X3306" s="82"/>
      <c r="Y3306" s="82"/>
      <c r="Z3306" s="82"/>
      <c r="AA3306" s="82"/>
      <c r="AB3306" s="82"/>
      <c r="AC3306" s="82"/>
      <c r="AD3306" s="82"/>
      <c r="AE3306" s="82"/>
      <c r="AF3306" s="82"/>
      <c r="AG3306" s="82"/>
      <c r="AH3306" s="82"/>
      <c r="AI3306" s="82"/>
      <c r="AJ3306" s="82"/>
      <c r="AK3306" s="82"/>
      <c r="AL3306" s="82"/>
      <c r="AM3306" s="82"/>
      <c r="AN3306" s="82">
        <f>IFERROR(__xludf.DUMMYFUNCTION("""COMPUTED_VALUE"""),0.0)</f>
        <v>0</v>
      </c>
      <c r="AO3306" s="82">
        <f>IFERROR(__xludf.DUMMYFUNCTION("""COMPUTED_VALUE"""),0.0)</f>
        <v>0</v>
      </c>
      <c r="AP3306" s="82">
        <f>IFERROR(__xludf.DUMMYFUNCTION("""COMPUTED_VALUE"""),0.0)</f>
        <v>0</v>
      </c>
      <c r="AQ3306" s="82">
        <f>IFERROR(__xludf.DUMMYFUNCTION("""COMPUTED_VALUE"""),0.0)</f>
        <v>0</v>
      </c>
      <c r="AR3306" s="82">
        <f>IFERROR(__xludf.DUMMYFUNCTION("""COMPUTED_VALUE"""),0.0)</f>
        <v>0</v>
      </c>
      <c r="AS3306" s="82"/>
      <c r="AT3306" s="82">
        <f>IFERROR(__xludf.DUMMYFUNCTION("""COMPUTED_VALUE"""),0.0)</f>
        <v>0</v>
      </c>
      <c r="AU3306" s="82"/>
      <c r="AV3306" s="82"/>
      <c r="AW3306" s="82" t="str">
        <f t="shared" si="1"/>
        <v/>
      </c>
      <c r="AX3306" s="83" t="str">
        <f t="array" ref="AX3306">IFERROR(DGET('SBV Import'!A:G,"SBV",{"RSC ID","Tier";B3306,A3306}))</f>
        <v/>
      </c>
      <c r="AY3306" s="82" t="str">
        <f t="shared" si="2"/>
        <v/>
      </c>
      <c r="AZ3306" s="82"/>
      <c r="BA3306" s="84" t="s">
        <v>152</v>
      </c>
      <c r="BB3306" s="84" t="str">
        <f>IFERROR(__xludf.DUMMYFUNCTION("iferror(if(A3306="""",,E3306&gt;=FILTER(Constants!$F$2:$F$10,Constants!$A$2:$A$10=A3306)))"),"")</f>
        <v/>
      </c>
    </row>
    <row r="3307">
      <c r="A3307" s="89"/>
      <c r="B3307" s="87"/>
      <c r="C3307" s="73"/>
      <c r="D3307" s="73"/>
      <c r="E3307" s="82"/>
      <c r="F3307" s="82"/>
      <c r="G3307" s="86"/>
      <c r="H3307" s="86"/>
      <c r="I3307" s="86"/>
      <c r="J3307" s="82"/>
      <c r="K3307" s="82"/>
      <c r="L3307" s="82"/>
      <c r="M3307" s="82"/>
      <c r="N3307" s="82"/>
      <c r="O3307" s="82"/>
      <c r="P3307" s="82"/>
      <c r="Q3307" s="82"/>
      <c r="R3307" s="82"/>
      <c r="S3307" s="82"/>
      <c r="T3307" s="82"/>
      <c r="U3307" s="82"/>
      <c r="V3307" s="82"/>
      <c r="W3307" s="82"/>
      <c r="X3307" s="82"/>
      <c r="Y3307" s="82"/>
      <c r="Z3307" s="82"/>
      <c r="AA3307" s="82"/>
      <c r="AB3307" s="82"/>
      <c r="AC3307" s="82"/>
      <c r="AD3307" s="82"/>
      <c r="AE3307" s="82"/>
      <c r="AF3307" s="82"/>
      <c r="AG3307" s="82"/>
      <c r="AH3307" s="82"/>
      <c r="AI3307" s="82"/>
      <c r="AJ3307" s="82"/>
      <c r="AK3307" s="82"/>
      <c r="AL3307" s="82"/>
      <c r="AM3307" s="82"/>
      <c r="AN3307" s="82">
        <f>IFERROR(__xludf.DUMMYFUNCTION("""COMPUTED_VALUE"""),0.0)</f>
        <v>0</v>
      </c>
      <c r="AO3307" s="82">
        <f>IFERROR(__xludf.DUMMYFUNCTION("""COMPUTED_VALUE"""),0.0)</f>
        <v>0</v>
      </c>
      <c r="AP3307" s="82">
        <f>IFERROR(__xludf.DUMMYFUNCTION("""COMPUTED_VALUE"""),0.0)</f>
        <v>0</v>
      </c>
      <c r="AQ3307" s="82">
        <f>IFERROR(__xludf.DUMMYFUNCTION("""COMPUTED_VALUE"""),0.0)</f>
        <v>0</v>
      </c>
      <c r="AR3307" s="82">
        <f>IFERROR(__xludf.DUMMYFUNCTION("""COMPUTED_VALUE"""),0.0)</f>
        <v>0</v>
      </c>
      <c r="AS3307" s="82"/>
      <c r="AT3307" s="82">
        <f>IFERROR(__xludf.DUMMYFUNCTION("""COMPUTED_VALUE"""),0.0)</f>
        <v>0</v>
      </c>
      <c r="AU3307" s="82"/>
      <c r="AV3307" s="82"/>
      <c r="AW3307" s="82" t="str">
        <f t="shared" si="1"/>
        <v/>
      </c>
      <c r="AX3307" s="83" t="str">
        <f t="array" ref="AX3307">IFERROR(DGET('SBV Import'!A:G,"SBV",{"RSC ID","Tier";B3307,A3307}))</f>
        <v/>
      </c>
      <c r="AY3307" s="82" t="str">
        <f t="shared" si="2"/>
        <v/>
      </c>
      <c r="AZ3307" s="82"/>
      <c r="BA3307" s="84" t="s">
        <v>152</v>
      </c>
      <c r="BB3307" s="84" t="str">
        <f>IFERROR(__xludf.DUMMYFUNCTION("iferror(if(A3307="""",,E3307&gt;=FILTER(Constants!$F$2:$F$10,Constants!$A$2:$A$10=A3307)))"),"")</f>
        <v/>
      </c>
    </row>
    <row r="3308">
      <c r="A3308" s="89"/>
      <c r="B3308" s="87"/>
      <c r="C3308" s="73"/>
      <c r="D3308" s="73"/>
      <c r="E3308" s="82"/>
      <c r="F3308" s="82"/>
      <c r="G3308" s="86"/>
      <c r="H3308" s="86"/>
      <c r="I3308" s="86"/>
      <c r="J3308" s="82"/>
      <c r="K3308" s="82"/>
      <c r="L3308" s="82"/>
      <c r="M3308" s="82"/>
      <c r="N3308" s="82"/>
      <c r="O3308" s="82"/>
      <c r="P3308" s="82"/>
      <c r="Q3308" s="82"/>
      <c r="R3308" s="82"/>
      <c r="S3308" s="82"/>
      <c r="T3308" s="82"/>
      <c r="U3308" s="82"/>
      <c r="V3308" s="82"/>
      <c r="W3308" s="82"/>
      <c r="X3308" s="82"/>
      <c r="Y3308" s="82"/>
      <c r="Z3308" s="82"/>
      <c r="AA3308" s="82"/>
      <c r="AB3308" s="82"/>
      <c r="AC3308" s="82"/>
      <c r="AD3308" s="82"/>
      <c r="AE3308" s="82"/>
      <c r="AF3308" s="82"/>
      <c r="AG3308" s="82"/>
      <c r="AH3308" s="82"/>
      <c r="AI3308" s="82"/>
      <c r="AJ3308" s="82"/>
      <c r="AK3308" s="82"/>
      <c r="AL3308" s="82"/>
      <c r="AM3308" s="82"/>
      <c r="AN3308" s="82">
        <f>IFERROR(__xludf.DUMMYFUNCTION("""COMPUTED_VALUE"""),0.0)</f>
        <v>0</v>
      </c>
      <c r="AO3308" s="82">
        <f>IFERROR(__xludf.DUMMYFUNCTION("""COMPUTED_VALUE"""),0.0)</f>
        <v>0</v>
      </c>
      <c r="AP3308" s="82">
        <f>IFERROR(__xludf.DUMMYFUNCTION("""COMPUTED_VALUE"""),0.0)</f>
        <v>0</v>
      </c>
      <c r="AQ3308" s="82">
        <f>IFERROR(__xludf.DUMMYFUNCTION("""COMPUTED_VALUE"""),0.0)</f>
        <v>0</v>
      </c>
      <c r="AR3308" s="82">
        <f>IFERROR(__xludf.DUMMYFUNCTION("""COMPUTED_VALUE"""),0.0)</f>
        <v>0</v>
      </c>
      <c r="AS3308" s="82"/>
      <c r="AT3308" s="82">
        <f>IFERROR(__xludf.DUMMYFUNCTION("""COMPUTED_VALUE"""),0.0)</f>
        <v>0</v>
      </c>
      <c r="AU3308" s="82"/>
      <c r="AV3308" s="82"/>
      <c r="AW3308" s="82" t="str">
        <f t="shared" si="1"/>
        <v/>
      </c>
      <c r="AX3308" s="83" t="str">
        <f t="array" ref="AX3308">IFERROR(DGET('SBV Import'!A:G,"SBV",{"RSC ID","Tier";B3308,A3308}))</f>
        <v/>
      </c>
      <c r="AY3308" s="82" t="str">
        <f t="shared" si="2"/>
        <v/>
      </c>
      <c r="AZ3308" s="82"/>
      <c r="BA3308" s="84" t="s">
        <v>152</v>
      </c>
      <c r="BB3308" s="84" t="str">
        <f>IFERROR(__xludf.DUMMYFUNCTION("iferror(if(A3308="""",,E3308&gt;=FILTER(Constants!$F$2:$F$10,Constants!$A$2:$A$10=A3308)))"),"")</f>
        <v/>
      </c>
    </row>
    <row r="3309">
      <c r="A3309" s="89"/>
      <c r="B3309" s="87"/>
      <c r="C3309" s="73"/>
      <c r="D3309" s="73"/>
      <c r="E3309" s="82"/>
      <c r="F3309" s="82"/>
      <c r="G3309" s="86"/>
      <c r="H3309" s="86"/>
      <c r="I3309" s="86"/>
      <c r="J3309" s="82"/>
      <c r="K3309" s="82"/>
      <c r="L3309" s="82"/>
      <c r="M3309" s="82"/>
      <c r="N3309" s="82"/>
      <c r="O3309" s="82"/>
      <c r="P3309" s="82"/>
      <c r="Q3309" s="82"/>
      <c r="R3309" s="82"/>
      <c r="S3309" s="82"/>
      <c r="T3309" s="82"/>
      <c r="U3309" s="82"/>
      <c r="V3309" s="82"/>
      <c r="W3309" s="82"/>
      <c r="X3309" s="82"/>
      <c r="Y3309" s="82"/>
      <c r="Z3309" s="82"/>
      <c r="AA3309" s="82"/>
      <c r="AB3309" s="82"/>
      <c r="AC3309" s="82"/>
      <c r="AD3309" s="82"/>
      <c r="AE3309" s="82"/>
      <c r="AF3309" s="82"/>
      <c r="AG3309" s="82"/>
      <c r="AH3309" s="82"/>
      <c r="AI3309" s="82"/>
      <c r="AJ3309" s="82"/>
      <c r="AK3309" s="82"/>
      <c r="AL3309" s="82"/>
      <c r="AM3309" s="82"/>
      <c r="AN3309" s="82">
        <f>IFERROR(__xludf.DUMMYFUNCTION("""COMPUTED_VALUE"""),0.0)</f>
        <v>0</v>
      </c>
      <c r="AO3309" s="82">
        <f>IFERROR(__xludf.DUMMYFUNCTION("""COMPUTED_VALUE"""),0.0)</f>
        <v>0</v>
      </c>
      <c r="AP3309" s="82">
        <f>IFERROR(__xludf.DUMMYFUNCTION("""COMPUTED_VALUE"""),0.0)</f>
        <v>0</v>
      </c>
      <c r="AQ3309" s="82">
        <f>IFERROR(__xludf.DUMMYFUNCTION("""COMPUTED_VALUE"""),0.0)</f>
        <v>0</v>
      </c>
      <c r="AR3309" s="82">
        <f>IFERROR(__xludf.DUMMYFUNCTION("""COMPUTED_VALUE"""),0.0)</f>
        <v>0</v>
      </c>
      <c r="AS3309" s="82"/>
      <c r="AT3309" s="82">
        <f>IFERROR(__xludf.DUMMYFUNCTION("""COMPUTED_VALUE"""),0.0)</f>
        <v>0</v>
      </c>
      <c r="AU3309" s="82"/>
      <c r="AV3309" s="82"/>
      <c r="AW3309" s="82" t="str">
        <f t="shared" si="1"/>
        <v/>
      </c>
      <c r="AX3309" s="83" t="str">
        <f t="array" ref="AX3309">IFERROR(DGET('SBV Import'!A:G,"SBV",{"RSC ID","Tier";B3309,A3309}))</f>
        <v/>
      </c>
      <c r="AY3309" s="82" t="str">
        <f t="shared" si="2"/>
        <v/>
      </c>
      <c r="AZ3309" s="82"/>
      <c r="BA3309" s="84" t="s">
        <v>152</v>
      </c>
      <c r="BB3309" s="84" t="str">
        <f>IFERROR(__xludf.DUMMYFUNCTION("iferror(if(A3309="""",,E3309&gt;=FILTER(Constants!$F$2:$F$10,Constants!$A$2:$A$10=A3309)))"),"")</f>
        <v/>
      </c>
    </row>
    <row r="3310">
      <c r="A3310" s="89"/>
      <c r="B3310" s="87"/>
      <c r="C3310" s="73"/>
      <c r="D3310" s="73"/>
      <c r="E3310" s="82"/>
      <c r="F3310" s="82"/>
      <c r="G3310" s="86"/>
      <c r="H3310" s="86"/>
      <c r="I3310" s="86"/>
      <c r="J3310" s="82"/>
      <c r="K3310" s="82"/>
      <c r="L3310" s="82"/>
      <c r="M3310" s="82"/>
      <c r="N3310" s="82"/>
      <c r="O3310" s="82"/>
      <c r="P3310" s="82"/>
      <c r="Q3310" s="82"/>
      <c r="R3310" s="82"/>
      <c r="S3310" s="82"/>
      <c r="T3310" s="82"/>
      <c r="U3310" s="82"/>
      <c r="V3310" s="82"/>
      <c r="W3310" s="82"/>
      <c r="X3310" s="82"/>
      <c r="Y3310" s="82"/>
      <c r="Z3310" s="82"/>
      <c r="AA3310" s="82"/>
      <c r="AB3310" s="82"/>
      <c r="AC3310" s="82"/>
      <c r="AD3310" s="82"/>
      <c r="AE3310" s="82"/>
      <c r="AF3310" s="82"/>
      <c r="AG3310" s="82"/>
      <c r="AH3310" s="82"/>
      <c r="AI3310" s="82"/>
      <c r="AJ3310" s="82"/>
      <c r="AK3310" s="82"/>
      <c r="AL3310" s="82"/>
      <c r="AM3310" s="82"/>
      <c r="AN3310" s="82">
        <f>IFERROR(__xludf.DUMMYFUNCTION("""COMPUTED_VALUE"""),0.0)</f>
        <v>0</v>
      </c>
      <c r="AO3310" s="82">
        <f>IFERROR(__xludf.DUMMYFUNCTION("""COMPUTED_VALUE"""),0.0)</f>
        <v>0</v>
      </c>
      <c r="AP3310" s="82">
        <f>IFERROR(__xludf.DUMMYFUNCTION("""COMPUTED_VALUE"""),0.0)</f>
        <v>0</v>
      </c>
      <c r="AQ3310" s="82">
        <f>IFERROR(__xludf.DUMMYFUNCTION("""COMPUTED_VALUE"""),0.0)</f>
        <v>0</v>
      </c>
      <c r="AR3310" s="82">
        <f>IFERROR(__xludf.DUMMYFUNCTION("""COMPUTED_VALUE"""),0.0)</f>
        <v>0</v>
      </c>
      <c r="AS3310" s="82"/>
      <c r="AT3310" s="82">
        <f>IFERROR(__xludf.DUMMYFUNCTION("""COMPUTED_VALUE"""),0.0)</f>
        <v>0</v>
      </c>
      <c r="AU3310" s="82"/>
      <c r="AV3310" s="82"/>
      <c r="AW3310" s="82" t="str">
        <f t="shared" si="1"/>
        <v/>
      </c>
      <c r="AX3310" s="83" t="str">
        <f t="array" ref="AX3310">IFERROR(DGET('SBV Import'!A:G,"SBV",{"RSC ID","Tier";B3310,A3310}))</f>
        <v/>
      </c>
      <c r="AY3310" s="82" t="str">
        <f t="shared" si="2"/>
        <v/>
      </c>
      <c r="AZ3310" s="82"/>
      <c r="BA3310" s="84" t="s">
        <v>152</v>
      </c>
      <c r="BB3310" s="84" t="str">
        <f>IFERROR(__xludf.DUMMYFUNCTION("iferror(if(A3310="""",,E3310&gt;=FILTER(Constants!$F$2:$F$10,Constants!$A$2:$A$10=A3310)))"),"")</f>
        <v/>
      </c>
    </row>
    <row r="3311">
      <c r="A3311" s="89"/>
      <c r="B3311" s="87"/>
      <c r="C3311" s="73"/>
      <c r="D3311" s="73"/>
      <c r="E3311" s="82"/>
      <c r="F3311" s="82"/>
      <c r="G3311" s="86"/>
      <c r="H3311" s="86"/>
      <c r="I3311" s="86"/>
      <c r="J3311" s="82"/>
      <c r="K3311" s="82"/>
      <c r="L3311" s="82"/>
      <c r="M3311" s="82"/>
      <c r="N3311" s="82"/>
      <c r="O3311" s="82"/>
      <c r="P3311" s="82"/>
      <c r="Q3311" s="82"/>
      <c r="R3311" s="82"/>
      <c r="S3311" s="82"/>
      <c r="T3311" s="82"/>
      <c r="U3311" s="82"/>
      <c r="V3311" s="82"/>
      <c r="W3311" s="82"/>
      <c r="X3311" s="82"/>
      <c r="Y3311" s="82"/>
      <c r="Z3311" s="82"/>
      <c r="AA3311" s="82"/>
      <c r="AB3311" s="82"/>
      <c r="AC3311" s="82"/>
      <c r="AD3311" s="82"/>
      <c r="AE3311" s="82"/>
      <c r="AF3311" s="82"/>
      <c r="AG3311" s="82"/>
      <c r="AH3311" s="82"/>
      <c r="AI3311" s="82"/>
      <c r="AJ3311" s="82"/>
      <c r="AK3311" s="82"/>
      <c r="AL3311" s="82"/>
      <c r="AM3311" s="82"/>
      <c r="AN3311" s="82">
        <f>IFERROR(__xludf.DUMMYFUNCTION("""COMPUTED_VALUE"""),0.0)</f>
        <v>0</v>
      </c>
      <c r="AO3311" s="82">
        <f>IFERROR(__xludf.DUMMYFUNCTION("""COMPUTED_VALUE"""),0.0)</f>
        <v>0</v>
      </c>
      <c r="AP3311" s="82">
        <f>IFERROR(__xludf.DUMMYFUNCTION("""COMPUTED_VALUE"""),0.0)</f>
        <v>0</v>
      </c>
      <c r="AQ3311" s="82">
        <f>IFERROR(__xludf.DUMMYFUNCTION("""COMPUTED_VALUE"""),0.0)</f>
        <v>0</v>
      </c>
      <c r="AR3311" s="82">
        <f>IFERROR(__xludf.DUMMYFUNCTION("""COMPUTED_VALUE"""),0.0)</f>
        <v>0</v>
      </c>
      <c r="AS3311" s="82"/>
      <c r="AT3311" s="82">
        <f>IFERROR(__xludf.DUMMYFUNCTION("""COMPUTED_VALUE"""),0.0)</f>
        <v>0</v>
      </c>
      <c r="AU3311" s="82"/>
      <c r="AV3311" s="82"/>
      <c r="AW3311" s="82" t="str">
        <f t="shared" si="1"/>
        <v/>
      </c>
      <c r="AX3311" s="83" t="str">
        <f t="array" ref="AX3311">IFERROR(DGET('SBV Import'!A:G,"SBV",{"RSC ID","Tier";B3311,A3311}))</f>
        <v/>
      </c>
      <c r="AY3311" s="82" t="str">
        <f t="shared" si="2"/>
        <v/>
      </c>
      <c r="AZ3311" s="82"/>
      <c r="BA3311" s="84" t="s">
        <v>152</v>
      </c>
      <c r="BB3311" s="84" t="str">
        <f>IFERROR(__xludf.DUMMYFUNCTION("iferror(if(A3311="""",,E3311&gt;=FILTER(Constants!$F$2:$F$10,Constants!$A$2:$A$10=A3311)))"),"")</f>
        <v/>
      </c>
    </row>
    <row r="3312">
      <c r="A3312" s="89"/>
      <c r="B3312" s="87"/>
      <c r="C3312" s="73"/>
      <c r="D3312" s="73"/>
      <c r="E3312" s="82"/>
      <c r="F3312" s="82"/>
      <c r="G3312" s="86"/>
      <c r="H3312" s="86"/>
      <c r="I3312" s="86"/>
      <c r="J3312" s="82"/>
      <c r="K3312" s="82"/>
      <c r="L3312" s="82"/>
      <c r="M3312" s="82"/>
      <c r="N3312" s="82"/>
      <c r="O3312" s="82"/>
      <c r="P3312" s="82"/>
      <c r="Q3312" s="82"/>
      <c r="R3312" s="82"/>
      <c r="S3312" s="82"/>
      <c r="T3312" s="82"/>
      <c r="U3312" s="82"/>
      <c r="V3312" s="82"/>
      <c r="W3312" s="82"/>
      <c r="X3312" s="82"/>
      <c r="Y3312" s="82"/>
      <c r="Z3312" s="82"/>
      <c r="AA3312" s="82"/>
      <c r="AB3312" s="82"/>
      <c r="AC3312" s="82"/>
      <c r="AD3312" s="82"/>
      <c r="AE3312" s="82"/>
      <c r="AF3312" s="82"/>
      <c r="AG3312" s="82"/>
      <c r="AH3312" s="82"/>
      <c r="AI3312" s="82"/>
      <c r="AJ3312" s="82"/>
      <c r="AK3312" s="82"/>
      <c r="AL3312" s="82"/>
      <c r="AM3312" s="82"/>
      <c r="AN3312" s="82">
        <f>IFERROR(__xludf.DUMMYFUNCTION("""COMPUTED_VALUE"""),0.0)</f>
        <v>0</v>
      </c>
      <c r="AO3312" s="82">
        <f>IFERROR(__xludf.DUMMYFUNCTION("""COMPUTED_VALUE"""),0.0)</f>
        <v>0</v>
      </c>
      <c r="AP3312" s="82">
        <f>IFERROR(__xludf.DUMMYFUNCTION("""COMPUTED_VALUE"""),0.0)</f>
        <v>0</v>
      </c>
      <c r="AQ3312" s="82">
        <f>IFERROR(__xludf.DUMMYFUNCTION("""COMPUTED_VALUE"""),0.0)</f>
        <v>0</v>
      </c>
      <c r="AR3312" s="82">
        <f>IFERROR(__xludf.DUMMYFUNCTION("""COMPUTED_VALUE"""),0.0)</f>
        <v>0</v>
      </c>
      <c r="AS3312" s="82"/>
      <c r="AT3312" s="82">
        <f>IFERROR(__xludf.DUMMYFUNCTION("""COMPUTED_VALUE"""),0.0)</f>
        <v>0</v>
      </c>
      <c r="AU3312" s="82"/>
      <c r="AV3312" s="82"/>
      <c r="AW3312" s="82" t="str">
        <f t="shared" si="1"/>
        <v/>
      </c>
      <c r="AX3312" s="83" t="str">
        <f t="array" ref="AX3312">IFERROR(DGET('SBV Import'!A:G,"SBV",{"RSC ID","Tier";B3312,A3312}))</f>
        <v/>
      </c>
      <c r="AY3312" s="82" t="str">
        <f t="shared" si="2"/>
        <v/>
      </c>
      <c r="AZ3312" s="82"/>
      <c r="BA3312" s="84" t="s">
        <v>152</v>
      </c>
      <c r="BB3312" s="84" t="str">
        <f>IFERROR(__xludf.DUMMYFUNCTION("iferror(if(A3312="""",,E3312&gt;=FILTER(Constants!$F$2:$F$10,Constants!$A$2:$A$10=A3312)))"),"")</f>
        <v/>
      </c>
    </row>
    <row r="3313">
      <c r="A3313" s="89"/>
      <c r="B3313" s="87"/>
      <c r="C3313" s="73"/>
      <c r="D3313" s="73"/>
      <c r="E3313" s="82"/>
      <c r="F3313" s="82"/>
      <c r="G3313" s="86"/>
      <c r="H3313" s="86"/>
      <c r="I3313" s="86"/>
      <c r="J3313" s="82"/>
      <c r="K3313" s="82"/>
      <c r="L3313" s="82"/>
      <c r="M3313" s="82"/>
      <c r="N3313" s="82"/>
      <c r="O3313" s="82"/>
      <c r="P3313" s="82"/>
      <c r="Q3313" s="82"/>
      <c r="R3313" s="82"/>
      <c r="S3313" s="82"/>
      <c r="T3313" s="82"/>
      <c r="U3313" s="82"/>
      <c r="V3313" s="82"/>
      <c r="W3313" s="82"/>
      <c r="X3313" s="82"/>
      <c r="Y3313" s="82"/>
      <c r="Z3313" s="82"/>
      <c r="AA3313" s="82"/>
      <c r="AB3313" s="82"/>
      <c r="AC3313" s="82"/>
      <c r="AD3313" s="82"/>
      <c r="AE3313" s="82"/>
      <c r="AF3313" s="82"/>
      <c r="AG3313" s="82"/>
      <c r="AH3313" s="82"/>
      <c r="AI3313" s="82"/>
      <c r="AJ3313" s="82"/>
      <c r="AK3313" s="82"/>
      <c r="AL3313" s="82"/>
      <c r="AM3313" s="82"/>
      <c r="AN3313" s="82">
        <f>IFERROR(__xludf.DUMMYFUNCTION("""COMPUTED_VALUE"""),0.0)</f>
        <v>0</v>
      </c>
      <c r="AO3313" s="82">
        <f>IFERROR(__xludf.DUMMYFUNCTION("""COMPUTED_VALUE"""),0.0)</f>
        <v>0</v>
      </c>
      <c r="AP3313" s="82">
        <f>IFERROR(__xludf.DUMMYFUNCTION("""COMPUTED_VALUE"""),0.0)</f>
        <v>0</v>
      </c>
      <c r="AQ3313" s="82">
        <f>IFERROR(__xludf.DUMMYFUNCTION("""COMPUTED_VALUE"""),0.0)</f>
        <v>0</v>
      </c>
      <c r="AR3313" s="82">
        <f>IFERROR(__xludf.DUMMYFUNCTION("""COMPUTED_VALUE"""),0.0)</f>
        <v>0</v>
      </c>
      <c r="AS3313" s="82"/>
      <c r="AT3313" s="82">
        <f>IFERROR(__xludf.DUMMYFUNCTION("""COMPUTED_VALUE"""),0.0)</f>
        <v>0</v>
      </c>
      <c r="AU3313" s="82"/>
      <c r="AV3313" s="82"/>
      <c r="AW3313" s="82" t="str">
        <f t="shared" si="1"/>
        <v/>
      </c>
      <c r="AX3313" s="83" t="str">
        <f t="array" ref="AX3313">IFERROR(DGET('SBV Import'!A:G,"SBV",{"RSC ID","Tier";B3313,A3313}))</f>
        <v/>
      </c>
      <c r="AY3313" s="82" t="str">
        <f t="shared" si="2"/>
        <v/>
      </c>
      <c r="AZ3313" s="82"/>
      <c r="BA3313" s="84" t="s">
        <v>152</v>
      </c>
      <c r="BB3313" s="84" t="str">
        <f>IFERROR(__xludf.DUMMYFUNCTION("iferror(if(A3313="""",,E3313&gt;=FILTER(Constants!$F$2:$F$10,Constants!$A$2:$A$10=A3313)))"),"")</f>
        <v/>
      </c>
    </row>
    <row r="3314">
      <c r="A3314" s="89"/>
      <c r="B3314" s="87"/>
      <c r="C3314" s="73"/>
      <c r="D3314" s="73"/>
      <c r="E3314" s="82"/>
      <c r="F3314" s="82"/>
      <c r="G3314" s="86"/>
      <c r="H3314" s="86"/>
      <c r="I3314" s="86"/>
      <c r="J3314" s="82"/>
      <c r="K3314" s="82"/>
      <c r="L3314" s="82"/>
      <c r="M3314" s="82"/>
      <c r="N3314" s="82"/>
      <c r="O3314" s="82"/>
      <c r="P3314" s="82"/>
      <c r="Q3314" s="82"/>
      <c r="R3314" s="82"/>
      <c r="S3314" s="82"/>
      <c r="T3314" s="82"/>
      <c r="U3314" s="82"/>
      <c r="V3314" s="82"/>
      <c r="W3314" s="82"/>
      <c r="X3314" s="82"/>
      <c r="Y3314" s="82"/>
      <c r="Z3314" s="82"/>
      <c r="AA3314" s="82"/>
      <c r="AB3314" s="82"/>
      <c r="AC3314" s="82"/>
      <c r="AD3314" s="82"/>
      <c r="AE3314" s="82"/>
      <c r="AF3314" s="82"/>
      <c r="AG3314" s="82"/>
      <c r="AH3314" s="82"/>
      <c r="AI3314" s="82"/>
      <c r="AJ3314" s="82"/>
      <c r="AK3314" s="82"/>
      <c r="AL3314" s="82"/>
      <c r="AM3314" s="82"/>
      <c r="AN3314" s="82">
        <f>IFERROR(__xludf.DUMMYFUNCTION("""COMPUTED_VALUE"""),0.0)</f>
        <v>0</v>
      </c>
      <c r="AO3314" s="82">
        <f>IFERROR(__xludf.DUMMYFUNCTION("""COMPUTED_VALUE"""),0.0)</f>
        <v>0</v>
      </c>
      <c r="AP3314" s="82">
        <f>IFERROR(__xludf.DUMMYFUNCTION("""COMPUTED_VALUE"""),0.0)</f>
        <v>0</v>
      </c>
      <c r="AQ3314" s="82">
        <f>IFERROR(__xludf.DUMMYFUNCTION("""COMPUTED_VALUE"""),0.0)</f>
        <v>0</v>
      </c>
      <c r="AR3314" s="82">
        <f>IFERROR(__xludf.DUMMYFUNCTION("""COMPUTED_VALUE"""),0.0)</f>
        <v>0</v>
      </c>
      <c r="AS3314" s="82"/>
      <c r="AT3314" s="82">
        <f>IFERROR(__xludf.DUMMYFUNCTION("""COMPUTED_VALUE"""),0.0)</f>
        <v>0</v>
      </c>
      <c r="AU3314" s="82"/>
      <c r="AV3314" s="82"/>
      <c r="AW3314" s="82" t="str">
        <f t="shared" si="1"/>
        <v/>
      </c>
      <c r="AX3314" s="83" t="str">
        <f t="array" ref="AX3314">IFERROR(DGET('SBV Import'!A:G,"SBV",{"RSC ID","Tier";B3314,A3314}))</f>
        <v/>
      </c>
      <c r="AY3314" s="82" t="str">
        <f t="shared" si="2"/>
        <v/>
      </c>
      <c r="AZ3314" s="82"/>
      <c r="BA3314" s="84" t="s">
        <v>152</v>
      </c>
      <c r="BB3314" s="84" t="str">
        <f>IFERROR(__xludf.DUMMYFUNCTION("iferror(if(A3314="""",,E3314&gt;=FILTER(Constants!$F$2:$F$10,Constants!$A$2:$A$10=A3314)))"),"")</f>
        <v/>
      </c>
    </row>
    <row r="3315">
      <c r="A3315" s="89"/>
      <c r="B3315" s="87"/>
      <c r="C3315" s="73"/>
      <c r="D3315" s="73"/>
      <c r="E3315" s="82"/>
      <c r="F3315" s="82"/>
      <c r="G3315" s="86"/>
      <c r="H3315" s="86"/>
      <c r="I3315" s="86"/>
      <c r="J3315" s="82"/>
      <c r="K3315" s="82"/>
      <c r="L3315" s="82"/>
      <c r="M3315" s="82"/>
      <c r="N3315" s="82"/>
      <c r="O3315" s="82"/>
      <c r="P3315" s="82"/>
      <c r="Q3315" s="82"/>
      <c r="R3315" s="82"/>
      <c r="S3315" s="82"/>
      <c r="T3315" s="82"/>
      <c r="U3315" s="82"/>
      <c r="V3315" s="82"/>
      <c r="W3315" s="82"/>
      <c r="X3315" s="82"/>
      <c r="Y3315" s="82"/>
      <c r="Z3315" s="82"/>
      <c r="AA3315" s="82"/>
      <c r="AB3315" s="82"/>
      <c r="AC3315" s="82"/>
      <c r="AD3315" s="82"/>
      <c r="AE3315" s="82"/>
      <c r="AF3315" s="82"/>
      <c r="AG3315" s="82"/>
      <c r="AH3315" s="82"/>
      <c r="AI3315" s="82"/>
      <c r="AJ3315" s="82"/>
      <c r="AK3315" s="82"/>
      <c r="AL3315" s="82"/>
      <c r="AM3315" s="82"/>
      <c r="AN3315" s="82">
        <f>IFERROR(__xludf.DUMMYFUNCTION("""COMPUTED_VALUE"""),0.0)</f>
        <v>0</v>
      </c>
      <c r="AO3315" s="82">
        <f>IFERROR(__xludf.DUMMYFUNCTION("""COMPUTED_VALUE"""),0.0)</f>
        <v>0</v>
      </c>
      <c r="AP3315" s="82">
        <f>IFERROR(__xludf.DUMMYFUNCTION("""COMPUTED_VALUE"""),0.0)</f>
        <v>0</v>
      </c>
      <c r="AQ3315" s="82">
        <f>IFERROR(__xludf.DUMMYFUNCTION("""COMPUTED_VALUE"""),0.0)</f>
        <v>0</v>
      </c>
      <c r="AR3315" s="82">
        <f>IFERROR(__xludf.DUMMYFUNCTION("""COMPUTED_VALUE"""),0.0)</f>
        <v>0</v>
      </c>
      <c r="AS3315" s="82"/>
      <c r="AT3315" s="82">
        <f>IFERROR(__xludf.DUMMYFUNCTION("""COMPUTED_VALUE"""),0.0)</f>
        <v>0</v>
      </c>
      <c r="AU3315" s="82"/>
      <c r="AV3315" s="82"/>
      <c r="AW3315" s="82" t="str">
        <f t="shared" si="1"/>
        <v/>
      </c>
      <c r="AX3315" s="83" t="str">
        <f t="array" ref="AX3315">IFERROR(DGET('SBV Import'!A:G,"SBV",{"RSC ID","Tier";B3315,A3315}))</f>
        <v/>
      </c>
      <c r="AY3315" s="82" t="str">
        <f t="shared" si="2"/>
        <v/>
      </c>
      <c r="AZ3315" s="82"/>
      <c r="BA3315" s="84" t="s">
        <v>152</v>
      </c>
      <c r="BB3315" s="84" t="str">
        <f>IFERROR(__xludf.DUMMYFUNCTION("iferror(if(A3315="""",,E3315&gt;=FILTER(Constants!$F$2:$F$10,Constants!$A$2:$A$10=A3315)))"),"")</f>
        <v/>
      </c>
    </row>
    <row r="3316">
      <c r="A3316" s="89"/>
      <c r="B3316" s="87"/>
      <c r="C3316" s="73"/>
      <c r="D3316" s="73"/>
      <c r="E3316" s="82"/>
      <c r="F3316" s="82"/>
      <c r="G3316" s="86"/>
      <c r="H3316" s="86"/>
      <c r="I3316" s="86"/>
      <c r="J3316" s="82"/>
      <c r="K3316" s="82"/>
      <c r="L3316" s="82"/>
      <c r="M3316" s="82"/>
      <c r="N3316" s="82"/>
      <c r="O3316" s="82"/>
      <c r="P3316" s="82"/>
      <c r="Q3316" s="82"/>
      <c r="R3316" s="82"/>
      <c r="S3316" s="82"/>
      <c r="T3316" s="82"/>
      <c r="U3316" s="82"/>
      <c r="V3316" s="82"/>
      <c r="W3316" s="82"/>
      <c r="X3316" s="82"/>
      <c r="Y3316" s="82"/>
      <c r="Z3316" s="82"/>
      <c r="AA3316" s="82"/>
      <c r="AB3316" s="82"/>
      <c r="AC3316" s="82"/>
      <c r="AD3316" s="82"/>
      <c r="AE3316" s="82"/>
      <c r="AF3316" s="82"/>
      <c r="AG3316" s="82"/>
      <c r="AH3316" s="82"/>
      <c r="AI3316" s="82"/>
      <c r="AJ3316" s="82"/>
      <c r="AK3316" s="82"/>
      <c r="AL3316" s="82"/>
      <c r="AM3316" s="82"/>
      <c r="AN3316" s="82">
        <f>IFERROR(__xludf.DUMMYFUNCTION("""COMPUTED_VALUE"""),0.0)</f>
        <v>0</v>
      </c>
      <c r="AO3316" s="82">
        <f>IFERROR(__xludf.DUMMYFUNCTION("""COMPUTED_VALUE"""),0.0)</f>
        <v>0</v>
      </c>
      <c r="AP3316" s="82">
        <f>IFERROR(__xludf.DUMMYFUNCTION("""COMPUTED_VALUE"""),0.0)</f>
        <v>0</v>
      </c>
      <c r="AQ3316" s="82">
        <f>IFERROR(__xludf.DUMMYFUNCTION("""COMPUTED_VALUE"""),0.0)</f>
        <v>0</v>
      </c>
      <c r="AR3316" s="82">
        <f>IFERROR(__xludf.DUMMYFUNCTION("""COMPUTED_VALUE"""),0.0)</f>
        <v>0</v>
      </c>
      <c r="AS3316" s="82"/>
      <c r="AT3316" s="82">
        <f>IFERROR(__xludf.DUMMYFUNCTION("""COMPUTED_VALUE"""),0.0)</f>
        <v>0</v>
      </c>
      <c r="AU3316" s="82"/>
      <c r="AV3316" s="82"/>
      <c r="AW3316" s="82" t="str">
        <f t="shared" si="1"/>
        <v/>
      </c>
      <c r="AX3316" s="83" t="str">
        <f t="array" ref="AX3316">IFERROR(DGET('SBV Import'!A:G,"SBV",{"RSC ID","Tier";B3316,A3316}))</f>
        <v/>
      </c>
      <c r="AY3316" s="82" t="str">
        <f t="shared" si="2"/>
        <v/>
      </c>
      <c r="AZ3316" s="82"/>
      <c r="BA3316" s="84" t="s">
        <v>152</v>
      </c>
      <c r="BB3316" s="84" t="str">
        <f>IFERROR(__xludf.DUMMYFUNCTION("iferror(if(A3316="""",,E3316&gt;=FILTER(Constants!$F$2:$F$10,Constants!$A$2:$A$10=A3316)))"),"")</f>
        <v/>
      </c>
    </row>
    <row r="3317">
      <c r="A3317" s="89"/>
      <c r="B3317" s="87"/>
      <c r="C3317" s="73"/>
      <c r="D3317" s="73"/>
      <c r="E3317" s="82"/>
      <c r="F3317" s="82"/>
      <c r="G3317" s="86"/>
      <c r="H3317" s="86"/>
      <c r="I3317" s="86"/>
      <c r="J3317" s="82"/>
      <c r="K3317" s="82"/>
      <c r="L3317" s="82"/>
      <c r="M3317" s="82"/>
      <c r="N3317" s="82"/>
      <c r="O3317" s="82"/>
      <c r="P3317" s="82"/>
      <c r="Q3317" s="82"/>
      <c r="R3317" s="82"/>
      <c r="S3317" s="82"/>
      <c r="T3317" s="82"/>
      <c r="U3317" s="82"/>
      <c r="V3317" s="82"/>
      <c r="W3317" s="82"/>
      <c r="X3317" s="82"/>
      <c r="Y3317" s="82"/>
      <c r="Z3317" s="82"/>
      <c r="AA3317" s="82"/>
      <c r="AB3317" s="82"/>
      <c r="AC3317" s="82"/>
      <c r="AD3317" s="82"/>
      <c r="AE3317" s="82"/>
      <c r="AF3317" s="82"/>
      <c r="AG3317" s="82"/>
      <c r="AH3317" s="82"/>
      <c r="AI3317" s="82"/>
      <c r="AJ3317" s="82"/>
      <c r="AK3317" s="82"/>
      <c r="AL3317" s="82"/>
      <c r="AM3317" s="82"/>
      <c r="AN3317" s="82">
        <f>IFERROR(__xludf.DUMMYFUNCTION("""COMPUTED_VALUE"""),0.0)</f>
        <v>0</v>
      </c>
      <c r="AO3317" s="82">
        <f>IFERROR(__xludf.DUMMYFUNCTION("""COMPUTED_VALUE"""),0.0)</f>
        <v>0</v>
      </c>
      <c r="AP3317" s="82">
        <f>IFERROR(__xludf.DUMMYFUNCTION("""COMPUTED_VALUE"""),0.0)</f>
        <v>0</v>
      </c>
      <c r="AQ3317" s="82">
        <f>IFERROR(__xludf.DUMMYFUNCTION("""COMPUTED_VALUE"""),0.0)</f>
        <v>0</v>
      </c>
      <c r="AR3317" s="82">
        <f>IFERROR(__xludf.DUMMYFUNCTION("""COMPUTED_VALUE"""),0.0)</f>
        <v>0</v>
      </c>
      <c r="AS3317" s="82"/>
      <c r="AT3317" s="82">
        <f>IFERROR(__xludf.DUMMYFUNCTION("""COMPUTED_VALUE"""),0.0)</f>
        <v>0</v>
      </c>
      <c r="AU3317" s="82"/>
      <c r="AV3317" s="82"/>
      <c r="AW3317" s="82" t="str">
        <f t="shared" si="1"/>
        <v/>
      </c>
      <c r="AX3317" s="83" t="str">
        <f t="array" ref="AX3317">IFERROR(DGET('SBV Import'!A:G,"SBV",{"RSC ID","Tier";B3317,A3317}))</f>
        <v/>
      </c>
      <c r="AY3317" s="82" t="str">
        <f t="shared" si="2"/>
        <v/>
      </c>
      <c r="AZ3317" s="82"/>
      <c r="BA3317" s="84" t="s">
        <v>152</v>
      </c>
      <c r="BB3317" s="84" t="str">
        <f>IFERROR(__xludf.DUMMYFUNCTION("iferror(if(A3317="""",,E3317&gt;=FILTER(Constants!$F$2:$F$10,Constants!$A$2:$A$10=A3317)))"),"")</f>
        <v/>
      </c>
    </row>
    <row r="3318">
      <c r="A3318" s="89"/>
      <c r="B3318" s="87"/>
      <c r="C3318" s="73"/>
      <c r="D3318" s="73"/>
      <c r="E3318" s="82"/>
      <c r="F3318" s="82"/>
      <c r="G3318" s="86"/>
      <c r="H3318" s="86"/>
      <c r="I3318" s="86"/>
      <c r="J3318" s="82"/>
      <c r="K3318" s="82"/>
      <c r="L3318" s="82"/>
      <c r="M3318" s="82"/>
      <c r="N3318" s="82"/>
      <c r="O3318" s="82"/>
      <c r="P3318" s="82"/>
      <c r="Q3318" s="82"/>
      <c r="R3318" s="82"/>
      <c r="S3318" s="82"/>
      <c r="T3318" s="82"/>
      <c r="U3318" s="82"/>
      <c r="V3318" s="82"/>
      <c r="W3318" s="82"/>
      <c r="X3318" s="82"/>
      <c r="Y3318" s="82"/>
      <c r="Z3318" s="82"/>
      <c r="AA3318" s="82"/>
      <c r="AB3318" s="82"/>
      <c r="AC3318" s="82"/>
      <c r="AD3318" s="82"/>
      <c r="AE3318" s="82"/>
      <c r="AF3318" s="82"/>
      <c r="AG3318" s="82"/>
      <c r="AH3318" s="82"/>
      <c r="AI3318" s="82"/>
      <c r="AJ3318" s="82"/>
      <c r="AK3318" s="82"/>
      <c r="AL3318" s="82"/>
      <c r="AM3318" s="82"/>
      <c r="AN3318" s="82">
        <f>IFERROR(__xludf.DUMMYFUNCTION("""COMPUTED_VALUE"""),0.0)</f>
        <v>0</v>
      </c>
      <c r="AO3318" s="82">
        <f>IFERROR(__xludf.DUMMYFUNCTION("""COMPUTED_VALUE"""),0.0)</f>
        <v>0</v>
      </c>
      <c r="AP3318" s="82">
        <f>IFERROR(__xludf.DUMMYFUNCTION("""COMPUTED_VALUE"""),0.0)</f>
        <v>0</v>
      </c>
      <c r="AQ3318" s="82">
        <f>IFERROR(__xludf.DUMMYFUNCTION("""COMPUTED_VALUE"""),0.0)</f>
        <v>0</v>
      </c>
      <c r="AR3318" s="82">
        <f>IFERROR(__xludf.DUMMYFUNCTION("""COMPUTED_VALUE"""),0.0)</f>
        <v>0</v>
      </c>
      <c r="AS3318" s="82"/>
      <c r="AT3318" s="82">
        <f>IFERROR(__xludf.DUMMYFUNCTION("""COMPUTED_VALUE"""),0.0)</f>
        <v>0</v>
      </c>
      <c r="AU3318" s="82"/>
      <c r="AV3318" s="82"/>
      <c r="AW3318" s="82" t="str">
        <f t="shared" si="1"/>
        <v/>
      </c>
      <c r="AX3318" s="83" t="str">
        <f t="array" ref="AX3318">IFERROR(DGET('SBV Import'!A:G,"SBV",{"RSC ID","Tier";B3318,A3318}))</f>
        <v/>
      </c>
      <c r="AY3318" s="82" t="str">
        <f t="shared" si="2"/>
        <v/>
      </c>
      <c r="AZ3318" s="82"/>
      <c r="BA3318" s="84" t="s">
        <v>152</v>
      </c>
      <c r="BB3318" s="84" t="str">
        <f>IFERROR(__xludf.DUMMYFUNCTION("iferror(if(A3318="""",,E3318&gt;=FILTER(Constants!$F$2:$F$10,Constants!$A$2:$A$10=A3318)))"),"")</f>
        <v/>
      </c>
    </row>
    <row r="3319">
      <c r="A3319" s="89"/>
      <c r="B3319" s="87"/>
      <c r="C3319" s="73"/>
      <c r="D3319" s="73"/>
      <c r="E3319" s="82"/>
      <c r="F3319" s="82"/>
      <c r="G3319" s="86"/>
      <c r="H3319" s="86"/>
      <c r="I3319" s="86"/>
      <c r="J3319" s="82"/>
      <c r="K3319" s="82"/>
      <c r="L3319" s="82"/>
      <c r="M3319" s="82"/>
      <c r="N3319" s="82"/>
      <c r="O3319" s="82"/>
      <c r="P3319" s="82"/>
      <c r="Q3319" s="82"/>
      <c r="R3319" s="82"/>
      <c r="S3319" s="82"/>
      <c r="T3319" s="82"/>
      <c r="U3319" s="82"/>
      <c r="V3319" s="82"/>
      <c r="W3319" s="82"/>
      <c r="X3319" s="82"/>
      <c r="Y3319" s="82"/>
      <c r="Z3319" s="82"/>
      <c r="AA3319" s="82"/>
      <c r="AB3319" s="82"/>
      <c r="AC3319" s="82"/>
      <c r="AD3319" s="82"/>
      <c r="AE3319" s="82"/>
      <c r="AF3319" s="82"/>
      <c r="AG3319" s="82"/>
      <c r="AH3319" s="82"/>
      <c r="AI3319" s="82"/>
      <c r="AJ3319" s="82"/>
      <c r="AK3319" s="82"/>
      <c r="AL3319" s="82"/>
      <c r="AM3319" s="82"/>
      <c r="AN3319" s="82">
        <f>IFERROR(__xludf.DUMMYFUNCTION("""COMPUTED_VALUE"""),0.0)</f>
        <v>0</v>
      </c>
      <c r="AO3319" s="82">
        <f>IFERROR(__xludf.DUMMYFUNCTION("""COMPUTED_VALUE"""),0.0)</f>
        <v>0</v>
      </c>
      <c r="AP3319" s="82">
        <f>IFERROR(__xludf.DUMMYFUNCTION("""COMPUTED_VALUE"""),0.0)</f>
        <v>0</v>
      </c>
      <c r="AQ3319" s="82">
        <f>IFERROR(__xludf.DUMMYFUNCTION("""COMPUTED_VALUE"""),0.0)</f>
        <v>0</v>
      </c>
      <c r="AR3319" s="82">
        <f>IFERROR(__xludf.DUMMYFUNCTION("""COMPUTED_VALUE"""),0.0)</f>
        <v>0</v>
      </c>
      <c r="AS3319" s="82"/>
      <c r="AT3319" s="82">
        <f>IFERROR(__xludf.DUMMYFUNCTION("""COMPUTED_VALUE"""),0.0)</f>
        <v>0</v>
      </c>
      <c r="AU3319" s="82"/>
      <c r="AV3319" s="82"/>
      <c r="AW3319" s="82" t="str">
        <f t="shared" si="1"/>
        <v/>
      </c>
      <c r="AX3319" s="83" t="str">
        <f t="array" ref="AX3319">IFERROR(DGET('SBV Import'!A:G,"SBV",{"RSC ID","Tier";B3319,A3319}))</f>
        <v/>
      </c>
      <c r="AY3319" s="82" t="str">
        <f t="shared" si="2"/>
        <v/>
      </c>
      <c r="AZ3319" s="82"/>
      <c r="BA3319" s="84" t="s">
        <v>152</v>
      </c>
      <c r="BB3319" s="84" t="str">
        <f>IFERROR(__xludf.DUMMYFUNCTION("iferror(if(A3319="""",,E3319&gt;=FILTER(Constants!$F$2:$F$10,Constants!$A$2:$A$10=A3319)))"),"")</f>
        <v/>
      </c>
    </row>
    <row r="3320">
      <c r="A3320" s="89"/>
      <c r="B3320" s="87"/>
      <c r="C3320" s="73"/>
      <c r="D3320" s="73"/>
      <c r="E3320" s="82"/>
      <c r="F3320" s="82"/>
      <c r="G3320" s="86"/>
      <c r="H3320" s="86"/>
      <c r="I3320" s="86"/>
      <c r="J3320" s="82"/>
      <c r="K3320" s="82"/>
      <c r="L3320" s="82"/>
      <c r="M3320" s="82"/>
      <c r="N3320" s="82"/>
      <c r="O3320" s="82"/>
      <c r="P3320" s="82"/>
      <c r="Q3320" s="82"/>
      <c r="R3320" s="82"/>
      <c r="S3320" s="82"/>
      <c r="T3320" s="82"/>
      <c r="U3320" s="82"/>
      <c r="V3320" s="82"/>
      <c r="W3320" s="82"/>
      <c r="X3320" s="82"/>
      <c r="Y3320" s="82"/>
      <c r="Z3320" s="82"/>
      <c r="AA3320" s="82"/>
      <c r="AB3320" s="82"/>
      <c r="AC3320" s="82"/>
      <c r="AD3320" s="82"/>
      <c r="AE3320" s="82"/>
      <c r="AF3320" s="82"/>
      <c r="AG3320" s="82"/>
      <c r="AH3320" s="82"/>
      <c r="AI3320" s="82"/>
      <c r="AJ3320" s="82"/>
      <c r="AK3320" s="82"/>
      <c r="AL3320" s="82"/>
      <c r="AM3320" s="82"/>
      <c r="AN3320" s="82">
        <f>IFERROR(__xludf.DUMMYFUNCTION("""COMPUTED_VALUE"""),0.0)</f>
        <v>0</v>
      </c>
      <c r="AO3320" s="82">
        <f>IFERROR(__xludf.DUMMYFUNCTION("""COMPUTED_VALUE"""),0.0)</f>
        <v>0</v>
      </c>
      <c r="AP3320" s="82">
        <f>IFERROR(__xludf.DUMMYFUNCTION("""COMPUTED_VALUE"""),0.0)</f>
        <v>0</v>
      </c>
      <c r="AQ3320" s="82">
        <f>IFERROR(__xludf.DUMMYFUNCTION("""COMPUTED_VALUE"""),0.0)</f>
        <v>0</v>
      </c>
      <c r="AR3320" s="82">
        <f>IFERROR(__xludf.DUMMYFUNCTION("""COMPUTED_VALUE"""),0.0)</f>
        <v>0</v>
      </c>
      <c r="AS3320" s="82"/>
      <c r="AT3320" s="82">
        <f>IFERROR(__xludf.DUMMYFUNCTION("""COMPUTED_VALUE"""),0.0)</f>
        <v>0</v>
      </c>
      <c r="AU3320" s="82"/>
      <c r="AV3320" s="82"/>
      <c r="AW3320" s="82" t="str">
        <f t="shared" si="1"/>
        <v/>
      </c>
      <c r="AX3320" s="83" t="str">
        <f t="array" ref="AX3320">IFERROR(DGET('SBV Import'!A:G,"SBV",{"RSC ID","Tier";B3320,A3320}))</f>
        <v/>
      </c>
      <c r="AY3320" s="82" t="str">
        <f t="shared" si="2"/>
        <v/>
      </c>
      <c r="AZ3320" s="82"/>
      <c r="BA3320" s="84" t="s">
        <v>152</v>
      </c>
      <c r="BB3320" s="84" t="str">
        <f>IFERROR(__xludf.DUMMYFUNCTION("iferror(if(A3320="""",,E3320&gt;=FILTER(Constants!$F$2:$F$10,Constants!$A$2:$A$10=A3320)))"),"")</f>
        <v/>
      </c>
    </row>
    <row r="3321">
      <c r="A3321" s="89"/>
      <c r="B3321" s="87"/>
      <c r="C3321" s="73"/>
      <c r="D3321" s="73"/>
      <c r="E3321" s="82"/>
      <c r="F3321" s="82"/>
      <c r="G3321" s="86"/>
      <c r="H3321" s="86"/>
      <c r="I3321" s="86"/>
      <c r="J3321" s="82"/>
      <c r="K3321" s="82"/>
      <c r="L3321" s="82"/>
      <c r="M3321" s="82"/>
      <c r="N3321" s="82"/>
      <c r="O3321" s="82"/>
      <c r="P3321" s="82"/>
      <c r="Q3321" s="82"/>
      <c r="R3321" s="82"/>
      <c r="S3321" s="82"/>
      <c r="T3321" s="82"/>
      <c r="U3321" s="82"/>
      <c r="V3321" s="82"/>
      <c r="W3321" s="82"/>
      <c r="X3321" s="82"/>
      <c r="Y3321" s="82"/>
      <c r="Z3321" s="82"/>
      <c r="AA3321" s="82"/>
      <c r="AB3321" s="82"/>
      <c r="AC3321" s="82"/>
      <c r="AD3321" s="82"/>
      <c r="AE3321" s="82"/>
      <c r="AF3321" s="82"/>
      <c r="AG3321" s="82"/>
      <c r="AH3321" s="82"/>
      <c r="AI3321" s="82"/>
      <c r="AJ3321" s="82"/>
      <c r="AK3321" s="82"/>
      <c r="AL3321" s="82"/>
      <c r="AM3321" s="82"/>
      <c r="AN3321" s="82">
        <f>IFERROR(__xludf.DUMMYFUNCTION("""COMPUTED_VALUE"""),0.0)</f>
        <v>0</v>
      </c>
      <c r="AO3321" s="82">
        <f>IFERROR(__xludf.DUMMYFUNCTION("""COMPUTED_VALUE"""),0.0)</f>
        <v>0</v>
      </c>
      <c r="AP3321" s="82">
        <f>IFERROR(__xludf.DUMMYFUNCTION("""COMPUTED_VALUE"""),0.0)</f>
        <v>0</v>
      </c>
      <c r="AQ3321" s="82">
        <f>IFERROR(__xludf.DUMMYFUNCTION("""COMPUTED_VALUE"""),0.0)</f>
        <v>0</v>
      </c>
      <c r="AR3321" s="82">
        <f>IFERROR(__xludf.DUMMYFUNCTION("""COMPUTED_VALUE"""),0.0)</f>
        <v>0</v>
      </c>
      <c r="AS3321" s="82"/>
      <c r="AT3321" s="82">
        <f>IFERROR(__xludf.DUMMYFUNCTION("""COMPUTED_VALUE"""),0.0)</f>
        <v>0</v>
      </c>
      <c r="AU3321" s="82"/>
      <c r="AV3321" s="82"/>
      <c r="AW3321" s="82" t="str">
        <f t="shared" si="1"/>
        <v/>
      </c>
      <c r="AX3321" s="83" t="str">
        <f t="array" ref="AX3321">IFERROR(DGET('SBV Import'!A:G,"SBV",{"RSC ID","Tier";B3321,A3321}))</f>
        <v/>
      </c>
      <c r="AY3321" s="82" t="str">
        <f t="shared" si="2"/>
        <v/>
      </c>
      <c r="AZ3321" s="82"/>
      <c r="BA3321" s="84" t="s">
        <v>152</v>
      </c>
      <c r="BB3321" s="84" t="str">
        <f>IFERROR(__xludf.DUMMYFUNCTION("iferror(if(A3321="""",,E3321&gt;=FILTER(Constants!$F$2:$F$10,Constants!$A$2:$A$10=A3321)))"),"")</f>
        <v/>
      </c>
    </row>
    <row r="3322">
      <c r="A3322" s="89"/>
      <c r="B3322" s="87"/>
      <c r="C3322" s="73"/>
      <c r="D3322" s="73"/>
      <c r="E3322" s="82"/>
      <c r="F3322" s="82"/>
      <c r="G3322" s="86"/>
      <c r="H3322" s="86"/>
      <c r="I3322" s="86"/>
      <c r="J3322" s="82"/>
      <c r="K3322" s="82"/>
      <c r="L3322" s="82"/>
      <c r="M3322" s="82"/>
      <c r="N3322" s="82"/>
      <c r="O3322" s="82"/>
      <c r="P3322" s="82"/>
      <c r="Q3322" s="82"/>
      <c r="R3322" s="82"/>
      <c r="S3322" s="82"/>
      <c r="T3322" s="82"/>
      <c r="U3322" s="82"/>
      <c r="V3322" s="82"/>
      <c r="W3322" s="82"/>
      <c r="X3322" s="82"/>
      <c r="Y3322" s="82"/>
      <c r="Z3322" s="82"/>
      <c r="AA3322" s="82"/>
      <c r="AB3322" s="82"/>
      <c r="AC3322" s="82"/>
      <c r="AD3322" s="82"/>
      <c r="AE3322" s="82"/>
      <c r="AF3322" s="82"/>
      <c r="AG3322" s="82"/>
      <c r="AH3322" s="82"/>
      <c r="AI3322" s="82"/>
      <c r="AJ3322" s="82"/>
      <c r="AK3322" s="82"/>
      <c r="AL3322" s="82"/>
      <c r="AM3322" s="82"/>
      <c r="AN3322" s="82">
        <f>IFERROR(__xludf.DUMMYFUNCTION("""COMPUTED_VALUE"""),0.0)</f>
        <v>0</v>
      </c>
      <c r="AO3322" s="82">
        <f>IFERROR(__xludf.DUMMYFUNCTION("""COMPUTED_VALUE"""),0.0)</f>
        <v>0</v>
      </c>
      <c r="AP3322" s="82">
        <f>IFERROR(__xludf.DUMMYFUNCTION("""COMPUTED_VALUE"""),0.0)</f>
        <v>0</v>
      </c>
      <c r="AQ3322" s="82">
        <f>IFERROR(__xludf.DUMMYFUNCTION("""COMPUTED_VALUE"""),0.0)</f>
        <v>0</v>
      </c>
      <c r="AR3322" s="82">
        <f>IFERROR(__xludf.DUMMYFUNCTION("""COMPUTED_VALUE"""),0.0)</f>
        <v>0</v>
      </c>
      <c r="AS3322" s="82"/>
      <c r="AT3322" s="82">
        <f>IFERROR(__xludf.DUMMYFUNCTION("""COMPUTED_VALUE"""),0.0)</f>
        <v>0</v>
      </c>
      <c r="AU3322" s="82"/>
      <c r="AV3322" s="82"/>
      <c r="AW3322" s="82" t="str">
        <f t="shared" si="1"/>
        <v/>
      </c>
      <c r="AX3322" s="83" t="str">
        <f t="array" ref="AX3322">IFERROR(DGET('SBV Import'!A:G,"SBV",{"RSC ID","Tier";B3322,A3322}))</f>
        <v/>
      </c>
      <c r="AY3322" s="82" t="str">
        <f t="shared" si="2"/>
        <v/>
      </c>
      <c r="AZ3322" s="82"/>
      <c r="BA3322" s="84" t="s">
        <v>152</v>
      </c>
      <c r="BB3322" s="84" t="str">
        <f>IFERROR(__xludf.DUMMYFUNCTION("iferror(if(A3322="""",,E3322&gt;=FILTER(Constants!$F$2:$F$10,Constants!$A$2:$A$10=A3322)))"),"")</f>
        <v/>
      </c>
    </row>
    <row r="3323">
      <c r="A3323" s="89"/>
      <c r="B3323" s="87"/>
      <c r="C3323" s="73"/>
      <c r="D3323" s="73"/>
      <c r="E3323" s="82"/>
      <c r="F3323" s="82"/>
      <c r="G3323" s="86"/>
      <c r="H3323" s="86"/>
      <c r="I3323" s="86"/>
      <c r="J3323" s="82"/>
      <c r="K3323" s="82"/>
      <c r="L3323" s="82"/>
      <c r="M3323" s="82"/>
      <c r="N3323" s="82"/>
      <c r="O3323" s="82"/>
      <c r="P3323" s="82"/>
      <c r="Q3323" s="82"/>
      <c r="R3323" s="82"/>
      <c r="S3323" s="82"/>
      <c r="T3323" s="82"/>
      <c r="U3323" s="82"/>
      <c r="V3323" s="82"/>
      <c r="W3323" s="82"/>
      <c r="X3323" s="82"/>
      <c r="Y3323" s="82"/>
      <c r="Z3323" s="82"/>
      <c r="AA3323" s="82"/>
      <c r="AB3323" s="82"/>
      <c r="AC3323" s="82"/>
      <c r="AD3323" s="82"/>
      <c r="AE3323" s="82"/>
      <c r="AF3323" s="82"/>
      <c r="AG3323" s="82"/>
      <c r="AH3323" s="82"/>
      <c r="AI3323" s="82"/>
      <c r="AJ3323" s="82"/>
      <c r="AK3323" s="82"/>
      <c r="AL3323" s="82"/>
      <c r="AM3323" s="82"/>
      <c r="AN3323" s="82">
        <f>IFERROR(__xludf.DUMMYFUNCTION("""COMPUTED_VALUE"""),0.0)</f>
        <v>0</v>
      </c>
      <c r="AO3323" s="82">
        <f>IFERROR(__xludf.DUMMYFUNCTION("""COMPUTED_VALUE"""),0.0)</f>
        <v>0</v>
      </c>
      <c r="AP3323" s="82">
        <f>IFERROR(__xludf.DUMMYFUNCTION("""COMPUTED_VALUE"""),0.0)</f>
        <v>0</v>
      </c>
      <c r="AQ3323" s="82">
        <f>IFERROR(__xludf.DUMMYFUNCTION("""COMPUTED_VALUE"""),0.0)</f>
        <v>0</v>
      </c>
      <c r="AR3323" s="82">
        <f>IFERROR(__xludf.DUMMYFUNCTION("""COMPUTED_VALUE"""),0.0)</f>
        <v>0</v>
      </c>
      <c r="AS3323" s="82"/>
      <c r="AT3323" s="82">
        <f>IFERROR(__xludf.DUMMYFUNCTION("""COMPUTED_VALUE"""),0.0)</f>
        <v>0</v>
      </c>
      <c r="AU3323" s="82"/>
      <c r="AV3323" s="82"/>
      <c r="AW3323" s="82" t="str">
        <f t="shared" si="1"/>
        <v/>
      </c>
      <c r="AX3323" s="83" t="str">
        <f t="array" ref="AX3323">IFERROR(DGET('SBV Import'!A:G,"SBV",{"RSC ID","Tier";B3323,A3323}))</f>
        <v/>
      </c>
      <c r="AY3323" s="82" t="str">
        <f t="shared" si="2"/>
        <v/>
      </c>
      <c r="AZ3323" s="82"/>
      <c r="BA3323" s="84" t="s">
        <v>152</v>
      </c>
      <c r="BB3323" s="84" t="str">
        <f>IFERROR(__xludf.DUMMYFUNCTION("iferror(if(A3323="""",,E3323&gt;=FILTER(Constants!$F$2:$F$10,Constants!$A$2:$A$10=A3323)))"),"")</f>
        <v/>
      </c>
    </row>
    <row r="3324">
      <c r="A3324" s="89"/>
      <c r="B3324" s="87"/>
      <c r="C3324" s="73"/>
      <c r="D3324" s="73"/>
      <c r="E3324" s="82"/>
      <c r="F3324" s="82"/>
      <c r="G3324" s="86"/>
      <c r="H3324" s="86"/>
      <c r="I3324" s="86"/>
      <c r="J3324" s="82"/>
      <c r="K3324" s="82"/>
      <c r="L3324" s="82"/>
      <c r="M3324" s="82"/>
      <c r="N3324" s="82"/>
      <c r="O3324" s="82"/>
      <c r="P3324" s="82"/>
      <c r="Q3324" s="82"/>
      <c r="R3324" s="82"/>
      <c r="S3324" s="82"/>
      <c r="T3324" s="82"/>
      <c r="U3324" s="82"/>
      <c r="V3324" s="82"/>
      <c r="W3324" s="82"/>
      <c r="X3324" s="82"/>
      <c r="Y3324" s="82"/>
      <c r="Z3324" s="82"/>
      <c r="AA3324" s="82"/>
      <c r="AB3324" s="82"/>
      <c r="AC3324" s="82"/>
      <c r="AD3324" s="82"/>
      <c r="AE3324" s="82"/>
      <c r="AF3324" s="82"/>
      <c r="AG3324" s="82"/>
      <c r="AH3324" s="82"/>
      <c r="AI3324" s="82"/>
      <c r="AJ3324" s="82"/>
      <c r="AK3324" s="82"/>
      <c r="AL3324" s="82"/>
      <c r="AM3324" s="82"/>
      <c r="AN3324" s="82">
        <f>IFERROR(__xludf.DUMMYFUNCTION("""COMPUTED_VALUE"""),0.0)</f>
        <v>0</v>
      </c>
      <c r="AO3324" s="82">
        <f>IFERROR(__xludf.DUMMYFUNCTION("""COMPUTED_VALUE"""),0.0)</f>
        <v>0</v>
      </c>
      <c r="AP3324" s="82">
        <f>IFERROR(__xludf.DUMMYFUNCTION("""COMPUTED_VALUE"""),0.0)</f>
        <v>0</v>
      </c>
      <c r="AQ3324" s="82">
        <f>IFERROR(__xludf.DUMMYFUNCTION("""COMPUTED_VALUE"""),0.0)</f>
        <v>0</v>
      </c>
      <c r="AR3324" s="82">
        <f>IFERROR(__xludf.DUMMYFUNCTION("""COMPUTED_VALUE"""),0.0)</f>
        <v>0</v>
      </c>
      <c r="AS3324" s="82"/>
      <c r="AT3324" s="82">
        <f>IFERROR(__xludf.DUMMYFUNCTION("""COMPUTED_VALUE"""),0.0)</f>
        <v>0</v>
      </c>
      <c r="AU3324" s="82"/>
      <c r="AV3324" s="82"/>
      <c r="AW3324" s="82" t="str">
        <f t="shared" si="1"/>
        <v/>
      </c>
      <c r="AX3324" s="83" t="str">
        <f t="array" ref="AX3324">IFERROR(DGET('SBV Import'!A:G,"SBV",{"RSC ID","Tier";B3324,A3324}))</f>
        <v/>
      </c>
      <c r="AY3324" s="82" t="str">
        <f t="shared" si="2"/>
        <v/>
      </c>
      <c r="AZ3324" s="82"/>
      <c r="BA3324" s="84" t="s">
        <v>152</v>
      </c>
      <c r="BB3324" s="84" t="str">
        <f>IFERROR(__xludf.DUMMYFUNCTION("iferror(if(A3324="""",,E3324&gt;=FILTER(Constants!$F$2:$F$10,Constants!$A$2:$A$10=A3324)))"),"")</f>
        <v/>
      </c>
    </row>
    <row r="3325">
      <c r="A3325" s="89"/>
      <c r="B3325" s="87"/>
      <c r="C3325" s="73"/>
      <c r="D3325" s="73"/>
      <c r="E3325" s="82"/>
      <c r="F3325" s="82"/>
      <c r="G3325" s="86"/>
      <c r="H3325" s="86"/>
      <c r="I3325" s="86"/>
      <c r="J3325" s="82"/>
      <c r="K3325" s="82"/>
      <c r="L3325" s="82"/>
      <c r="M3325" s="82"/>
      <c r="N3325" s="82"/>
      <c r="O3325" s="82"/>
      <c r="P3325" s="82"/>
      <c r="Q3325" s="82"/>
      <c r="R3325" s="82"/>
      <c r="S3325" s="82"/>
      <c r="T3325" s="82"/>
      <c r="U3325" s="82"/>
      <c r="V3325" s="82"/>
      <c r="W3325" s="82"/>
      <c r="X3325" s="82"/>
      <c r="Y3325" s="82"/>
      <c r="Z3325" s="82"/>
      <c r="AA3325" s="82"/>
      <c r="AB3325" s="82"/>
      <c r="AC3325" s="82"/>
      <c r="AD3325" s="82"/>
      <c r="AE3325" s="82"/>
      <c r="AF3325" s="82"/>
      <c r="AG3325" s="82"/>
      <c r="AH3325" s="82"/>
      <c r="AI3325" s="82"/>
      <c r="AJ3325" s="82"/>
      <c r="AK3325" s="82"/>
      <c r="AL3325" s="82"/>
      <c r="AM3325" s="82"/>
      <c r="AN3325" s="82">
        <f>IFERROR(__xludf.DUMMYFUNCTION("""COMPUTED_VALUE"""),0.0)</f>
        <v>0</v>
      </c>
      <c r="AO3325" s="82">
        <f>IFERROR(__xludf.DUMMYFUNCTION("""COMPUTED_VALUE"""),0.0)</f>
        <v>0</v>
      </c>
      <c r="AP3325" s="82">
        <f>IFERROR(__xludf.DUMMYFUNCTION("""COMPUTED_VALUE"""),0.0)</f>
        <v>0</v>
      </c>
      <c r="AQ3325" s="82">
        <f>IFERROR(__xludf.DUMMYFUNCTION("""COMPUTED_VALUE"""),0.0)</f>
        <v>0</v>
      </c>
      <c r="AR3325" s="82">
        <f>IFERROR(__xludf.DUMMYFUNCTION("""COMPUTED_VALUE"""),0.0)</f>
        <v>0</v>
      </c>
      <c r="AS3325" s="82"/>
      <c r="AT3325" s="82">
        <f>IFERROR(__xludf.DUMMYFUNCTION("""COMPUTED_VALUE"""),0.0)</f>
        <v>0</v>
      </c>
      <c r="AU3325" s="82"/>
      <c r="AV3325" s="82"/>
      <c r="AW3325" s="82" t="str">
        <f t="shared" si="1"/>
        <v/>
      </c>
      <c r="AX3325" s="83" t="str">
        <f t="array" ref="AX3325">IFERROR(DGET('SBV Import'!A:G,"SBV",{"RSC ID","Tier";B3325,A3325}))</f>
        <v/>
      </c>
      <c r="AY3325" s="82" t="str">
        <f t="shared" si="2"/>
        <v/>
      </c>
      <c r="AZ3325" s="82"/>
      <c r="BA3325" s="84" t="s">
        <v>152</v>
      </c>
      <c r="BB3325" s="84" t="str">
        <f>IFERROR(__xludf.DUMMYFUNCTION("iferror(if(A3325="""",,E3325&gt;=FILTER(Constants!$F$2:$F$10,Constants!$A$2:$A$10=A3325)))"),"")</f>
        <v/>
      </c>
    </row>
    <row r="3326">
      <c r="A3326" s="89"/>
      <c r="B3326" s="87"/>
      <c r="C3326" s="73"/>
      <c r="D3326" s="73"/>
      <c r="E3326" s="82"/>
      <c r="F3326" s="82"/>
      <c r="G3326" s="86"/>
      <c r="H3326" s="86"/>
      <c r="I3326" s="86"/>
      <c r="J3326" s="82"/>
      <c r="K3326" s="82"/>
      <c r="L3326" s="82"/>
      <c r="M3326" s="82"/>
      <c r="N3326" s="82"/>
      <c r="O3326" s="82"/>
      <c r="P3326" s="82"/>
      <c r="Q3326" s="82"/>
      <c r="R3326" s="82"/>
      <c r="S3326" s="82"/>
      <c r="T3326" s="82"/>
      <c r="U3326" s="82"/>
      <c r="V3326" s="82"/>
      <c r="W3326" s="82"/>
      <c r="X3326" s="82"/>
      <c r="Y3326" s="82"/>
      <c r="Z3326" s="82"/>
      <c r="AA3326" s="82"/>
      <c r="AB3326" s="82"/>
      <c r="AC3326" s="82"/>
      <c r="AD3326" s="82"/>
      <c r="AE3326" s="82"/>
      <c r="AF3326" s="82"/>
      <c r="AG3326" s="82"/>
      <c r="AH3326" s="82"/>
      <c r="AI3326" s="82"/>
      <c r="AJ3326" s="82"/>
      <c r="AK3326" s="82"/>
      <c r="AL3326" s="82"/>
      <c r="AM3326" s="82"/>
      <c r="AN3326" s="82">
        <f>IFERROR(__xludf.DUMMYFUNCTION("""COMPUTED_VALUE"""),0.0)</f>
        <v>0</v>
      </c>
      <c r="AO3326" s="82">
        <f>IFERROR(__xludf.DUMMYFUNCTION("""COMPUTED_VALUE"""),0.0)</f>
        <v>0</v>
      </c>
      <c r="AP3326" s="82">
        <f>IFERROR(__xludf.DUMMYFUNCTION("""COMPUTED_VALUE"""),0.0)</f>
        <v>0</v>
      </c>
      <c r="AQ3326" s="82">
        <f>IFERROR(__xludf.DUMMYFUNCTION("""COMPUTED_VALUE"""),0.0)</f>
        <v>0</v>
      </c>
      <c r="AR3326" s="82">
        <f>IFERROR(__xludf.DUMMYFUNCTION("""COMPUTED_VALUE"""),0.0)</f>
        <v>0</v>
      </c>
      <c r="AS3326" s="82"/>
      <c r="AT3326" s="82">
        <f>IFERROR(__xludf.DUMMYFUNCTION("""COMPUTED_VALUE"""),0.0)</f>
        <v>0</v>
      </c>
      <c r="AU3326" s="82"/>
      <c r="AV3326" s="82"/>
      <c r="AW3326" s="82" t="str">
        <f t="shared" si="1"/>
        <v/>
      </c>
      <c r="AX3326" s="83" t="str">
        <f t="array" ref="AX3326">IFERROR(DGET('SBV Import'!A:G,"SBV",{"RSC ID","Tier";B3326,A3326}))</f>
        <v/>
      </c>
      <c r="AY3326" s="82" t="str">
        <f t="shared" si="2"/>
        <v/>
      </c>
      <c r="AZ3326" s="82"/>
      <c r="BA3326" s="84" t="s">
        <v>152</v>
      </c>
      <c r="BB3326" s="84" t="str">
        <f>IFERROR(__xludf.DUMMYFUNCTION("iferror(if(A3326="""",,E3326&gt;=FILTER(Constants!$F$2:$F$10,Constants!$A$2:$A$10=A3326)))"),"")</f>
        <v/>
      </c>
    </row>
    <row r="3327">
      <c r="A3327" s="89"/>
      <c r="B3327" s="87"/>
      <c r="C3327" s="73"/>
      <c r="D3327" s="73"/>
      <c r="E3327" s="82"/>
      <c r="F3327" s="82"/>
      <c r="G3327" s="86"/>
      <c r="H3327" s="86"/>
      <c r="I3327" s="86"/>
      <c r="J3327" s="82"/>
      <c r="K3327" s="82"/>
      <c r="L3327" s="82"/>
      <c r="M3327" s="82"/>
      <c r="N3327" s="82"/>
      <c r="O3327" s="82"/>
      <c r="P3327" s="82"/>
      <c r="Q3327" s="82"/>
      <c r="R3327" s="82"/>
      <c r="S3327" s="82"/>
      <c r="T3327" s="82"/>
      <c r="U3327" s="82"/>
      <c r="V3327" s="82"/>
      <c r="W3327" s="82"/>
      <c r="X3327" s="82"/>
      <c r="Y3327" s="82"/>
      <c r="Z3327" s="82"/>
      <c r="AA3327" s="82"/>
      <c r="AB3327" s="82"/>
      <c r="AC3327" s="82"/>
      <c r="AD3327" s="82"/>
      <c r="AE3327" s="82"/>
      <c r="AF3327" s="82"/>
      <c r="AG3327" s="82"/>
      <c r="AH3327" s="82"/>
      <c r="AI3327" s="82"/>
      <c r="AJ3327" s="82"/>
      <c r="AK3327" s="82"/>
      <c r="AL3327" s="82"/>
      <c r="AM3327" s="82"/>
      <c r="AN3327" s="82">
        <f>IFERROR(__xludf.DUMMYFUNCTION("""COMPUTED_VALUE"""),0.0)</f>
        <v>0</v>
      </c>
      <c r="AO3327" s="82">
        <f>IFERROR(__xludf.DUMMYFUNCTION("""COMPUTED_VALUE"""),0.0)</f>
        <v>0</v>
      </c>
      <c r="AP3327" s="82">
        <f>IFERROR(__xludf.DUMMYFUNCTION("""COMPUTED_VALUE"""),0.0)</f>
        <v>0</v>
      </c>
      <c r="AQ3327" s="82">
        <f>IFERROR(__xludf.DUMMYFUNCTION("""COMPUTED_VALUE"""),0.0)</f>
        <v>0</v>
      </c>
      <c r="AR3327" s="82">
        <f>IFERROR(__xludf.DUMMYFUNCTION("""COMPUTED_VALUE"""),0.0)</f>
        <v>0</v>
      </c>
      <c r="AS3327" s="82"/>
      <c r="AT3327" s="82">
        <f>IFERROR(__xludf.DUMMYFUNCTION("""COMPUTED_VALUE"""),0.0)</f>
        <v>0</v>
      </c>
      <c r="AU3327" s="82"/>
      <c r="AV3327" s="82"/>
      <c r="AW3327" s="82" t="str">
        <f t="shared" si="1"/>
        <v/>
      </c>
      <c r="AX3327" s="83" t="str">
        <f t="array" ref="AX3327">IFERROR(DGET('SBV Import'!A:G,"SBV",{"RSC ID","Tier";B3327,A3327}))</f>
        <v/>
      </c>
      <c r="AY3327" s="82" t="str">
        <f t="shared" si="2"/>
        <v/>
      </c>
      <c r="AZ3327" s="82"/>
      <c r="BA3327" s="84" t="s">
        <v>152</v>
      </c>
      <c r="BB3327" s="84" t="str">
        <f>IFERROR(__xludf.DUMMYFUNCTION("iferror(if(A3327="""",,E3327&gt;=FILTER(Constants!$F$2:$F$10,Constants!$A$2:$A$10=A3327)))"),"")</f>
        <v/>
      </c>
    </row>
    <row r="3328">
      <c r="A3328" s="89"/>
      <c r="B3328" s="87"/>
      <c r="C3328" s="73"/>
      <c r="D3328" s="73"/>
      <c r="E3328" s="82"/>
      <c r="F3328" s="82"/>
      <c r="G3328" s="86"/>
      <c r="H3328" s="86"/>
      <c r="I3328" s="86"/>
      <c r="J3328" s="82"/>
      <c r="K3328" s="82"/>
      <c r="L3328" s="82"/>
      <c r="M3328" s="82"/>
      <c r="N3328" s="82"/>
      <c r="O3328" s="82"/>
      <c r="P3328" s="82"/>
      <c r="Q3328" s="82"/>
      <c r="R3328" s="82"/>
      <c r="S3328" s="82"/>
      <c r="T3328" s="82"/>
      <c r="U3328" s="82"/>
      <c r="V3328" s="82"/>
      <c r="W3328" s="82"/>
      <c r="X3328" s="82"/>
      <c r="Y3328" s="82"/>
      <c r="Z3328" s="82"/>
      <c r="AA3328" s="82"/>
      <c r="AB3328" s="82"/>
      <c r="AC3328" s="82"/>
      <c r="AD3328" s="82"/>
      <c r="AE3328" s="82"/>
      <c r="AF3328" s="82"/>
      <c r="AG3328" s="82"/>
      <c r="AH3328" s="82"/>
      <c r="AI3328" s="82"/>
      <c r="AJ3328" s="82"/>
      <c r="AK3328" s="82"/>
      <c r="AL3328" s="82"/>
      <c r="AM3328" s="82"/>
      <c r="AN3328" s="82">
        <f>IFERROR(__xludf.DUMMYFUNCTION("""COMPUTED_VALUE"""),0.0)</f>
        <v>0</v>
      </c>
      <c r="AO3328" s="82">
        <f>IFERROR(__xludf.DUMMYFUNCTION("""COMPUTED_VALUE"""),0.0)</f>
        <v>0</v>
      </c>
      <c r="AP3328" s="82">
        <f>IFERROR(__xludf.DUMMYFUNCTION("""COMPUTED_VALUE"""),0.0)</f>
        <v>0</v>
      </c>
      <c r="AQ3328" s="82">
        <f>IFERROR(__xludf.DUMMYFUNCTION("""COMPUTED_VALUE"""),0.0)</f>
        <v>0</v>
      </c>
      <c r="AR3328" s="82">
        <f>IFERROR(__xludf.DUMMYFUNCTION("""COMPUTED_VALUE"""),0.0)</f>
        <v>0</v>
      </c>
      <c r="AS3328" s="82"/>
      <c r="AT3328" s="82">
        <f>IFERROR(__xludf.DUMMYFUNCTION("""COMPUTED_VALUE"""),0.0)</f>
        <v>0</v>
      </c>
      <c r="AU3328" s="82"/>
      <c r="AV3328" s="82"/>
      <c r="AW3328" s="82" t="str">
        <f t="shared" si="1"/>
        <v/>
      </c>
      <c r="AX3328" s="83" t="str">
        <f t="array" ref="AX3328">IFERROR(DGET('SBV Import'!A:G,"SBV",{"RSC ID","Tier";B3328,A3328}))</f>
        <v/>
      </c>
      <c r="AY3328" s="82" t="str">
        <f t="shared" si="2"/>
        <v/>
      </c>
      <c r="AZ3328" s="82"/>
      <c r="BA3328" s="84" t="s">
        <v>152</v>
      </c>
      <c r="BB3328" s="84" t="str">
        <f>IFERROR(__xludf.DUMMYFUNCTION("iferror(if(A3328="""",,E3328&gt;=FILTER(Constants!$F$2:$F$10,Constants!$A$2:$A$10=A3328)))"),"")</f>
        <v/>
      </c>
    </row>
    <row r="3329">
      <c r="A3329" s="89"/>
      <c r="B3329" s="87"/>
      <c r="C3329" s="73"/>
      <c r="D3329" s="73"/>
      <c r="E3329" s="82"/>
      <c r="F3329" s="82"/>
      <c r="G3329" s="86"/>
      <c r="H3329" s="86"/>
      <c r="I3329" s="86"/>
      <c r="J3329" s="82"/>
      <c r="K3329" s="82"/>
      <c r="L3329" s="82"/>
      <c r="M3329" s="82"/>
      <c r="N3329" s="82"/>
      <c r="O3329" s="82"/>
      <c r="P3329" s="82"/>
      <c r="Q3329" s="82"/>
      <c r="R3329" s="82"/>
      <c r="S3329" s="82"/>
      <c r="T3329" s="82"/>
      <c r="U3329" s="82"/>
      <c r="V3329" s="82"/>
      <c r="W3329" s="82"/>
      <c r="X3329" s="82"/>
      <c r="Y3329" s="82"/>
      <c r="Z3329" s="82"/>
      <c r="AA3329" s="82"/>
      <c r="AB3329" s="82"/>
      <c r="AC3329" s="82"/>
      <c r="AD3329" s="82"/>
      <c r="AE3329" s="82"/>
      <c r="AF3329" s="82"/>
      <c r="AG3329" s="82"/>
      <c r="AH3329" s="82"/>
      <c r="AI3329" s="82"/>
      <c r="AJ3329" s="82"/>
      <c r="AK3329" s="82"/>
      <c r="AL3329" s="82"/>
      <c r="AM3329" s="82"/>
      <c r="AN3329" s="82">
        <f>IFERROR(__xludf.DUMMYFUNCTION("""COMPUTED_VALUE"""),0.0)</f>
        <v>0</v>
      </c>
      <c r="AO3329" s="82">
        <f>IFERROR(__xludf.DUMMYFUNCTION("""COMPUTED_VALUE"""),0.0)</f>
        <v>0</v>
      </c>
      <c r="AP3329" s="82">
        <f>IFERROR(__xludf.DUMMYFUNCTION("""COMPUTED_VALUE"""),0.0)</f>
        <v>0</v>
      </c>
      <c r="AQ3329" s="82">
        <f>IFERROR(__xludf.DUMMYFUNCTION("""COMPUTED_VALUE"""),0.0)</f>
        <v>0</v>
      </c>
      <c r="AR3329" s="82">
        <f>IFERROR(__xludf.DUMMYFUNCTION("""COMPUTED_VALUE"""),0.0)</f>
        <v>0</v>
      </c>
      <c r="AS3329" s="82"/>
      <c r="AT3329" s="82">
        <f>IFERROR(__xludf.DUMMYFUNCTION("""COMPUTED_VALUE"""),0.0)</f>
        <v>0</v>
      </c>
      <c r="AU3329" s="82"/>
      <c r="AV3329" s="82"/>
      <c r="AW3329" s="82" t="str">
        <f t="shared" si="1"/>
        <v/>
      </c>
      <c r="AX3329" s="83" t="str">
        <f t="array" ref="AX3329">IFERROR(DGET('SBV Import'!A:G,"SBV",{"RSC ID","Tier";B3329,A3329}))</f>
        <v/>
      </c>
      <c r="AY3329" s="82" t="str">
        <f t="shared" si="2"/>
        <v/>
      </c>
      <c r="AZ3329" s="82"/>
      <c r="BA3329" s="84" t="s">
        <v>152</v>
      </c>
      <c r="BB3329" s="84" t="str">
        <f>IFERROR(__xludf.DUMMYFUNCTION("iferror(if(A3329="""",,E3329&gt;=FILTER(Constants!$F$2:$F$10,Constants!$A$2:$A$10=A3329)))"),"")</f>
        <v/>
      </c>
    </row>
    <row r="3330">
      <c r="A3330" s="89"/>
      <c r="B3330" s="87"/>
      <c r="C3330" s="73"/>
      <c r="D3330" s="73"/>
      <c r="E3330" s="82"/>
      <c r="F3330" s="82"/>
      <c r="G3330" s="86"/>
      <c r="H3330" s="86"/>
      <c r="I3330" s="86"/>
      <c r="J3330" s="82"/>
      <c r="K3330" s="82"/>
      <c r="L3330" s="82"/>
      <c r="M3330" s="82"/>
      <c r="N3330" s="82"/>
      <c r="O3330" s="82"/>
      <c r="P3330" s="82"/>
      <c r="Q3330" s="82"/>
      <c r="R3330" s="82"/>
      <c r="S3330" s="82"/>
      <c r="T3330" s="82"/>
      <c r="U3330" s="82"/>
      <c r="V3330" s="82"/>
      <c r="W3330" s="82"/>
      <c r="X3330" s="82"/>
      <c r="Y3330" s="82"/>
      <c r="Z3330" s="82"/>
      <c r="AA3330" s="82"/>
      <c r="AB3330" s="82"/>
      <c r="AC3330" s="82"/>
      <c r="AD3330" s="82"/>
      <c r="AE3330" s="82"/>
      <c r="AF3330" s="82"/>
      <c r="AG3330" s="82"/>
      <c r="AH3330" s="82"/>
      <c r="AI3330" s="82"/>
      <c r="AJ3330" s="82"/>
      <c r="AK3330" s="82"/>
      <c r="AL3330" s="82"/>
      <c r="AM3330" s="82"/>
      <c r="AN3330" s="82">
        <f>IFERROR(__xludf.DUMMYFUNCTION("""COMPUTED_VALUE"""),0.0)</f>
        <v>0</v>
      </c>
      <c r="AO3330" s="82">
        <f>IFERROR(__xludf.DUMMYFUNCTION("""COMPUTED_VALUE"""),0.0)</f>
        <v>0</v>
      </c>
      <c r="AP3330" s="82">
        <f>IFERROR(__xludf.DUMMYFUNCTION("""COMPUTED_VALUE"""),0.0)</f>
        <v>0</v>
      </c>
      <c r="AQ3330" s="82">
        <f>IFERROR(__xludf.DUMMYFUNCTION("""COMPUTED_VALUE"""),0.0)</f>
        <v>0</v>
      </c>
      <c r="AR3330" s="82">
        <f>IFERROR(__xludf.DUMMYFUNCTION("""COMPUTED_VALUE"""),0.0)</f>
        <v>0</v>
      </c>
      <c r="AS3330" s="82"/>
      <c r="AT3330" s="82">
        <f>IFERROR(__xludf.DUMMYFUNCTION("""COMPUTED_VALUE"""),0.0)</f>
        <v>0</v>
      </c>
      <c r="AU3330" s="82"/>
      <c r="AV3330" s="82"/>
      <c r="AW3330" s="82" t="str">
        <f t="shared" si="1"/>
        <v/>
      </c>
      <c r="AX3330" s="83" t="str">
        <f t="array" ref="AX3330">IFERROR(DGET('SBV Import'!A:G,"SBV",{"RSC ID","Tier";B3330,A3330}))</f>
        <v/>
      </c>
      <c r="AY3330" s="82" t="str">
        <f t="shared" si="2"/>
        <v/>
      </c>
      <c r="AZ3330" s="82"/>
      <c r="BA3330" s="84" t="s">
        <v>152</v>
      </c>
      <c r="BB3330" s="84" t="str">
        <f>IFERROR(__xludf.DUMMYFUNCTION("iferror(if(A3330="""",,E3330&gt;=FILTER(Constants!$F$2:$F$10,Constants!$A$2:$A$10=A3330)))"),"")</f>
        <v/>
      </c>
    </row>
    <row r="3331">
      <c r="A3331" s="89"/>
      <c r="B3331" s="87"/>
      <c r="C3331" s="73"/>
      <c r="D3331" s="73"/>
      <c r="E3331" s="82"/>
      <c r="F3331" s="82"/>
      <c r="G3331" s="86"/>
      <c r="H3331" s="86"/>
      <c r="I3331" s="86"/>
      <c r="J3331" s="82"/>
      <c r="K3331" s="82"/>
      <c r="L3331" s="82"/>
      <c r="M3331" s="82"/>
      <c r="N3331" s="82"/>
      <c r="O3331" s="82"/>
      <c r="P3331" s="82"/>
      <c r="Q3331" s="82"/>
      <c r="R3331" s="82"/>
      <c r="S3331" s="82"/>
      <c r="T3331" s="82"/>
      <c r="U3331" s="82"/>
      <c r="V3331" s="82"/>
      <c r="W3331" s="82"/>
      <c r="X3331" s="82"/>
      <c r="Y3331" s="82"/>
      <c r="Z3331" s="82"/>
      <c r="AA3331" s="82"/>
      <c r="AB3331" s="82"/>
      <c r="AC3331" s="82"/>
      <c r="AD3331" s="82"/>
      <c r="AE3331" s="82"/>
      <c r="AF3331" s="82"/>
      <c r="AG3331" s="82"/>
      <c r="AH3331" s="82"/>
      <c r="AI3331" s="82"/>
      <c r="AJ3331" s="82"/>
      <c r="AK3331" s="82"/>
      <c r="AL3331" s="82"/>
      <c r="AM3331" s="82"/>
      <c r="AN3331" s="82">
        <f>IFERROR(__xludf.DUMMYFUNCTION("""COMPUTED_VALUE"""),0.0)</f>
        <v>0</v>
      </c>
      <c r="AO3331" s="82">
        <f>IFERROR(__xludf.DUMMYFUNCTION("""COMPUTED_VALUE"""),0.0)</f>
        <v>0</v>
      </c>
      <c r="AP3331" s="82">
        <f>IFERROR(__xludf.DUMMYFUNCTION("""COMPUTED_VALUE"""),0.0)</f>
        <v>0</v>
      </c>
      <c r="AQ3331" s="82">
        <f>IFERROR(__xludf.DUMMYFUNCTION("""COMPUTED_VALUE"""),0.0)</f>
        <v>0</v>
      </c>
      <c r="AR3331" s="82">
        <f>IFERROR(__xludf.DUMMYFUNCTION("""COMPUTED_VALUE"""),0.0)</f>
        <v>0</v>
      </c>
      <c r="AS3331" s="82"/>
      <c r="AT3331" s="82">
        <f>IFERROR(__xludf.DUMMYFUNCTION("""COMPUTED_VALUE"""),0.0)</f>
        <v>0</v>
      </c>
      <c r="AU3331" s="82"/>
      <c r="AV3331" s="82"/>
      <c r="AW3331" s="82" t="str">
        <f t="shared" si="1"/>
        <v/>
      </c>
      <c r="AX3331" s="83" t="str">
        <f t="array" ref="AX3331">IFERROR(DGET('SBV Import'!A:G,"SBV",{"RSC ID","Tier";B3331,A3331}))</f>
        <v/>
      </c>
      <c r="AY3331" s="82" t="str">
        <f t="shared" si="2"/>
        <v/>
      </c>
      <c r="AZ3331" s="82"/>
      <c r="BA3331" s="84" t="s">
        <v>152</v>
      </c>
      <c r="BB3331" s="84" t="str">
        <f>IFERROR(__xludf.DUMMYFUNCTION("iferror(if(A3331="""",,E3331&gt;=FILTER(Constants!$F$2:$F$10,Constants!$A$2:$A$10=A3331)))"),"")</f>
        <v/>
      </c>
    </row>
    <row r="3332">
      <c r="A3332" s="89"/>
      <c r="B3332" s="87"/>
      <c r="C3332" s="73"/>
      <c r="D3332" s="73"/>
      <c r="E3332" s="82"/>
      <c r="F3332" s="82"/>
      <c r="G3332" s="86"/>
      <c r="H3332" s="86"/>
      <c r="I3332" s="86"/>
      <c r="J3332" s="82"/>
      <c r="K3332" s="82"/>
      <c r="L3332" s="82"/>
      <c r="M3332" s="82"/>
      <c r="N3332" s="82"/>
      <c r="O3332" s="82"/>
      <c r="P3332" s="82"/>
      <c r="Q3332" s="82"/>
      <c r="R3332" s="82"/>
      <c r="S3332" s="82"/>
      <c r="T3332" s="82"/>
      <c r="U3332" s="82"/>
      <c r="V3332" s="82"/>
      <c r="W3332" s="82"/>
      <c r="X3332" s="82"/>
      <c r="Y3332" s="82"/>
      <c r="Z3332" s="82"/>
      <c r="AA3332" s="82"/>
      <c r="AB3332" s="82"/>
      <c r="AC3332" s="82"/>
      <c r="AD3332" s="82"/>
      <c r="AE3332" s="82"/>
      <c r="AF3332" s="82"/>
      <c r="AG3332" s="82"/>
      <c r="AH3332" s="82"/>
      <c r="AI3332" s="82"/>
      <c r="AJ3332" s="82"/>
      <c r="AK3332" s="82"/>
      <c r="AL3332" s="82"/>
      <c r="AM3332" s="82"/>
      <c r="AN3332" s="82">
        <f>IFERROR(__xludf.DUMMYFUNCTION("""COMPUTED_VALUE"""),0.0)</f>
        <v>0</v>
      </c>
      <c r="AO3332" s="82">
        <f>IFERROR(__xludf.DUMMYFUNCTION("""COMPUTED_VALUE"""),0.0)</f>
        <v>0</v>
      </c>
      <c r="AP3332" s="82">
        <f>IFERROR(__xludf.DUMMYFUNCTION("""COMPUTED_VALUE"""),0.0)</f>
        <v>0</v>
      </c>
      <c r="AQ3332" s="82">
        <f>IFERROR(__xludf.DUMMYFUNCTION("""COMPUTED_VALUE"""),0.0)</f>
        <v>0</v>
      </c>
      <c r="AR3332" s="82">
        <f>IFERROR(__xludf.DUMMYFUNCTION("""COMPUTED_VALUE"""),0.0)</f>
        <v>0</v>
      </c>
      <c r="AS3332" s="82"/>
      <c r="AT3332" s="82">
        <f>IFERROR(__xludf.DUMMYFUNCTION("""COMPUTED_VALUE"""),0.0)</f>
        <v>0</v>
      </c>
      <c r="AU3332" s="82"/>
      <c r="AV3332" s="82"/>
      <c r="AW3332" s="82" t="str">
        <f t="shared" si="1"/>
        <v/>
      </c>
      <c r="AX3332" s="83" t="str">
        <f t="array" ref="AX3332">IFERROR(DGET('SBV Import'!A:G,"SBV",{"RSC ID","Tier";B3332,A3332}))</f>
        <v/>
      </c>
      <c r="AY3332" s="82" t="str">
        <f t="shared" si="2"/>
        <v/>
      </c>
      <c r="AZ3332" s="82"/>
      <c r="BA3332" s="84" t="s">
        <v>152</v>
      </c>
      <c r="BB3332" s="84" t="str">
        <f>IFERROR(__xludf.DUMMYFUNCTION("iferror(if(A3332="""",,E3332&gt;=FILTER(Constants!$F$2:$F$10,Constants!$A$2:$A$10=A3332)))"),"")</f>
        <v/>
      </c>
    </row>
    <row r="3333">
      <c r="A3333" s="89"/>
      <c r="B3333" s="87"/>
      <c r="C3333" s="73"/>
      <c r="D3333" s="73"/>
      <c r="E3333" s="82"/>
      <c r="F3333" s="82"/>
      <c r="G3333" s="86"/>
      <c r="H3333" s="86"/>
      <c r="I3333" s="86"/>
      <c r="J3333" s="82"/>
      <c r="K3333" s="82"/>
      <c r="L3333" s="82"/>
      <c r="M3333" s="82"/>
      <c r="N3333" s="82"/>
      <c r="O3333" s="82"/>
      <c r="P3333" s="82"/>
      <c r="Q3333" s="82"/>
      <c r="R3333" s="82"/>
      <c r="S3333" s="82"/>
      <c r="T3333" s="82"/>
      <c r="U3333" s="82"/>
      <c r="V3333" s="82"/>
      <c r="W3333" s="82"/>
      <c r="X3333" s="82"/>
      <c r="Y3333" s="82"/>
      <c r="Z3333" s="82"/>
      <c r="AA3333" s="82"/>
      <c r="AB3333" s="82"/>
      <c r="AC3333" s="82"/>
      <c r="AD3333" s="82"/>
      <c r="AE3333" s="82"/>
      <c r="AF3333" s="82"/>
      <c r="AG3333" s="82"/>
      <c r="AH3333" s="82"/>
      <c r="AI3333" s="82"/>
      <c r="AJ3333" s="82"/>
      <c r="AK3333" s="82"/>
      <c r="AL3333" s="82"/>
      <c r="AM3333" s="82"/>
      <c r="AN3333" s="82">
        <f>IFERROR(__xludf.DUMMYFUNCTION("""COMPUTED_VALUE"""),0.0)</f>
        <v>0</v>
      </c>
      <c r="AO3333" s="82">
        <f>IFERROR(__xludf.DUMMYFUNCTION("""COMPUTED_VALUE"""),0.0)</f>
        <v>0</v>
      </c>
      <c r="AP3333" s="82">
        <f>IFERROR(__xludf.DUMMYFUNCTION("""COMPUTED_VALUE"""),0.0)</f>
        <v>0</v>
      </c>
      <c r="AQ3333" s="82">
        <f>IFERROR(__xludf.DUMMYFUNCTION("""COMPUTED_VALUE"""),0.0)</f>
        <v>0</v>
      </c>
      <c r="AR3333" s="82">
        <f>IFERROR(__xludf.DUMMYFUNCTION("""COMPUTED_VALUE"""),0.0)</f>
        <v>0</v>
      </c>
      <c r="AS3333" s="82"/>
      <c r="AT3333" s="82">
        <f>IFERROR(__xludf.DUMMYFUNCTION("""COMPUTED_VALUE"""),0.0)</f>
        <v>0</v>
      </c>
      <c r="AU3333" s="82"/>
      <c r="AV3333" s="82"/>
      <c r="AW3333" s="82" t="str">
        <f t="shared" si="1"/>
        <v/>
      </c>
      <c r="AX3333" s="83" t="str">
        <f t="array" ref="AX3333">IFERROR(DGET('SBV Import'!A:G,"SBV",{"RSC ID","Tier";B3333,A3333}))</f>
        <v/>
      </c>
      <c r="AY3333" s="82" t="str">
        <f t="shared" si="2"/>
        <v/>
      </c>
      <c r="AZ3333" s="82"/>
      <c r="BA3333" s="84" t="s">
        <v>152</v>
      </c>
      <c r="BB3333" s="84" t="str">
        <f>IFERROR(__xludf.DUMMYFUNCTION("iferror(if(A3333="""",,E3333&gt;=FILTER(Constants!$F$2:$F$10,Constants!$A$2:$A$10=A3333)))"),"")</f>
        <v/>
      </c>
    </row>
    <row r="3334">
      <c r="A3334" s="89"/>
      <c r="B3334" s="87"/>
      <c r="C3334" s="73"/>
      <c r="D3334" s="73"/>
      <c r="E3334" s="82"/>
      <c r="F3334" s="82"/>
      <c r="G3334" s="86"/>
      <c r="H3334" s="86"/>
      <c r="I3334" s="86"/>
      <c r="J3334" s="82"/>
      <c r="K3334" s="82"/>
      <c r="L3334" s="82"/>
      <c r="M3334" s="82"/>
      <c r="N3334" s="82"/>
      <c r="O3334" s="82"/>
      <c r="P3334" s="82"/>
      <c r="Q3334" s="82"/>
      <c r="R3334" s="82"/>
      <c r="S3334" s="82"/>
      <c r="T3334" s="82"/>
      <c r="U3334" s="82"/>
      <c r="V3334" s="82"/>
      <c r="W3334" s="82"/>
      <c r="X3334" s="82"/>
      <c r="Y3334" s="82"/>
      <c r="Z3334" s="82"/>
      <c r="AA3334" s="82"/>
      <c r="AB3334" s="82"/>
      <c r="AC3334" s="82"/>
      <c r="AD3334" s="82"/>
      <c r="AE3334" s="82"/>
      <c r="AF3334" s="82"/>
      <c r="AG3334" s="82"/>
      <c r="AH3334" s="82"/>
      <c r="AI3334" s="82"/>
      <c r="AJ3334" s="82"/>
      <c r="AK3334" s="82"/>
      <c r="AL3334" s="82"/>
      <c r="AM3334" s="82"/>
      <c r="AN3334" s="82">
        <f>IFERROR(__xludf.DUMMYFUNCTION("""COMPUTED_VALUE"""),0.0)</f>
        <v>0</v>
      </c>
      <c r="AO3334" s="82">
        <f>IFERROR(__xludf.DUMMYFUNCTION("""COMPUTED_VALUE"""),0.0)</f>
        <v>0</v>
      </c>
      <c r="AP3334" s="82">
        <f>IFERROR(__xludf.DUMMYFUNCTION("""COMPUTED_VALUE"""),0.0)</f>
        <v>0</v>
      </c>
      <c r="AQ3334" s="82">
        <f>IFERROR(__xludf.DUMMYFUNCTION("""COMPUTED_VALUE"""),0.0)</f>
        <v>0</v>
      </c>
      <c r="AR3334" s="82">
        <f>IFERROR(__xludf.DUMMYFUNCTION("""COMPUTED_VALUE"""),0.0)</f>
        <v>0</v>
      </c>
      <c r="AS3334" s="82"/>
      <c r="AT3334" s="82">
        <f>IFERROR(__xludf.DUMMYFUNCTION("""COMPUTED_VALUE"""),0.0)</f>
        <v>0</v>
      </c>
      <c r="AU3334" s="82"/>
      <c r="AV3334" s="82"/>
      <c r="AW3334" s="82" t="str">
        <f t="shared" si="1"/>
        <v/>
      </c>
      <c r="AX3334" s="83" t="str">
        <f t="array" ref="AX3334">IFERROR(DGET('SBV Import'!A:G,"SBV",{"RSC ID","Tier";B3334,A3334}))</f>
        <v/>
      </c>
      <c r="AY3334" s="82" t="str">
        <f t="shared" si="2"/>
        <v/>
      </c>
      <c r="AZ3334" s="82"/>
      <c r="BA3334" s="84" t="s">
        <v>152</v>
      </c>
      <c r="BB3334" s="84" t="str">
        <f>IFERROR(__xludf.DUMMYFUNCTION("iferror(if(A3334="""",,E3334&gt;=FILTER(Constants!$F$2:$F$10,Constants!$A$2:$A$10=A3334)))"),"")</f>
        <v/>
      </c>
    </row>
    <row r="3335">
      <c r="A3335" s="89"/>
      <c r="B3335" s="87"/>
      <c r="C3335" s="73"/>
      <c r="D3335" s="73"/>
      <c r="E3335" s="82"/>
      <c r="F3335" s="82"/>
      <c r="G3335" s="86"/>
      <c r="H3335" s="86"/>
      <c r="I3335" s="86"/>
      <c r="J3335" s="82"/>
      <c r="K3335" s="82"/>
      <c r="L3335" s="82"/>
      <c r="M3335" s="82"/>
      <c r="N3335" s="82"/>
      <c r="O3335" s="82"/>
      <c r="P3335" s="82"/>
      <c r="Q3335" s="82"/>
      <c r="R3335" s="82"/>
      <c r="S3335" s="82"/>
      <c r="T3335" s="82"/>
      <c r="U3335" s="82"/>
      <c r="V3335" s="82"/>
      <c r="W3335" s="82"/>
      <c r="X3335" s="82"/>
      <c r="Y3335" s="82"/>
      <c r="Z3335" s="82"/>
      <c r="AA3335" s="82"/>
      <c r="AB3335" s="82"/>
      <c r="AC3335" s="82"/>
      <c r="AD3335" s="82"/>
      <c r="AE3335" s="82"/>
      <c r="AF3335" s="82"/>
      <c r="AG3335" s="82"/>
      <c r="AH3335" s="82"/>
      <c r="AI3335" s="82"/>
      <c r="AJ3335" s="82"/>
      <c r="AK3335" s="82"/>
      <c r="AL3335" s="82"/>
      <c r="AM3335" s="82"/>
      <c r="AN3335" s="82">
        <f>IFERROR(__xludf.DUMMYFUNCTION("""COMPUTED_VALUE"""),0.0)</f>
        <v>0</v>
      </c>
      <c r="AO3335" s="82">
        <f>IFERROR(__xludf.DUMMYFUNCTION("""COMPUTED_VALUE"""),0.0)</f>
        <v>0</v>
      </c>
      <c r="AP3335" s="82">
        <f>IFERROR(__xludf.DUMMYFUNCTION("""COMPUTED_VALUE"""),0.0)</f>
        <v>0</v>
      </c>
      <c r="AQ3335" s="82">
        <f>IFERROR(__xludf.DUMMYFUNCTION("""COMPUTED_VALUE"""),0.0)</f>
        <v>0</v>
      </c>
      <c r="AR3335" s="82">
        <f>IFERROR(__xludf.DUMMYFUNCTION("""COMPUTED_VALUE"""),0.0)</f>
        <v>0</v>
      </c>
      <c r="AS3335" s="82"/>
      <c r="AT3335" s="82">
        <f>IFERROR(__xludf.DUMMYFUNCTION("""COMPUTED_VALUE"""),0.0)</f>
        <v>0</v>
      </c>
      <c r="AU3335" s="82"/>
      <c r="AV3335" s="82"/>
      <c r="AW3335" s="82" t="str">
        <f t="shared" si="1"/>
        <v/>
      </c>
      <c r="AX3335" s="83" t="str">
        <f t="array" ref="AX3335">IFERROR(DGET('SBV Import'!A:G,"SBV",{"RSC ID","Tier";B3335,A3335}))</f>
        <v/>
      </c>
      <c r="AY3335" s="82" t="str">
        <f t="shared" si="2"/>
        <v/>
      </c>
      <c r="AZ3335" s="82"/>
      <c r="BA3335" s="84" t="s">
        <v>152</v>
      </c>
      <c r="BB3335" s="84" t="str">
        <f>IFERROR(__xludf.DUMMYFUNCTION("iferror(if(A3335="""",,E3335&gt;=FILTER(Constants!$F$2:$F$10,Constants!$A$2:$A$10=A3335)))"),"")</f>
        <v/>
      </c>
    </row>
    <row r="3336">
      <c r="A3336" s="89"/>
      <c r="B3336" s="87"/>
      <c r="C3336" s="73"/>
      <c r="D3336" s="73"/>
      <c r="E3336" s="82"/>
      <c r="F3336" s="82"/>
      <c r="G3336" s="86"/>
      <c r="H3336" s="86"/>
      <c r="I3336" s="86"/>
      <c r="J3336" s="82"/>
      <c r="K3336" s="82"/>
      <c r="L3336" s="82"/>
      <c r="M3336" s="82"/>
      <c r="N3336" s="82"/>
      <c r="O3336" s="82"/>
      <c r="P3336" s="82"/>
      <c r="Q3336" s="82"/>
      <c r="R3336" s="82"/>
      <c r="S3336" s="82"/>
      <c r="T3336" s="82"/>
      <c r="U3336" s="82"/>
      <c r="V3336" s="82"/>
      <c r="W3336" s="82"/>
      <c r="X3336" s="82"/>
      <c r="Y3336" s="82"/>
      <c r="Z3336" s="82"/>
      <c r="AA3336" s="82"/>
      <c r="AB3336" s="82"/>
      <c r="AC3336" s="82"/>
      <c r="AD3336" s="82"/>
      <c r="AE3336" s="82"/>
      <c r="AF3336" s="82"/>
      <c r="AG3336" s="82"/>
      <c r="AH3336" s="82"/>
      <c r="AI3336" s="82"/>
      <c r="AJ3336" s="82"/>
      <c r="AK3336" s="82"/>
      <c r="AL3336" s="82"/>
      <c r="AM3336" s="82"/>
      <c r="AN3336" s="82">
        <f>IFERROR(__xludf.DUMMYFUNCTION("""COMPUTED_VALUE"""),0.0)</f>
        <v>0</v>
      </c>
      <c r="AO3336" s="82">
        <f>IFERROR(__xludf.DUMMYFUNCTION("""COMPUTED_VALUE"""),0.0)</f>
        <v>0</v>
      </c>
      <c r="AP3336" s="82">
        <f>IFERROR(__xludf.DUMMYFUNCTION("""COMPUTED_VALUE"""),0.0)</f>
        <v>0</v>
      </c>
      <c r="AQ3336" s="82">
        <f>IFERROR(__xludf.DUMMYFUNCTION("""COMPUTED_VALUE"""),0.0)</f>
        <v>0</v>
      </c>
      <c r="AR3336" s="82">
        <f>IFERROR(__xludf.DUMMYFUNCTION("""COMPUTED_VALUE"""),0.0)</f>
        <v>0</v>
      </c>
      <c r="AS3336" s="82"/>
      <c r="AT3336" s="82">
        <f>IFERROR(__xludf.DUMMYFUNCTION("""COMPUTED_VALUE"""),0.0)</f>
        <v>0</v>
      </c>
      <c r="AU3336" s="82"/>
      <c r="AV3336" s="82"/>
      <c r="AW3336" s="82" t="str">
        <f t="shared" si="1"/>
        <v/>
      </c>
      <c r="AX3336" s="83" t="str">
        <f t="array" ref="AX3336">IFERROR(DGET('SBV Import'!A:G,"SBV",{"RSC ID","Tier";B3336,A3336}))</f>
        <v/>
      </c>
      <c r="AY3336" s="82" t="str">
        <f t="shared" si="2"/>
        <v/>
      </c>
      <c r="AZ3336" s="82"/>
      <c r="BA3336" s="84" t="s">
        <v>152</v>
      </c>
      <c r="BB3336" s="84" t="str">
        <f>IFERROR(__xludf.DUMMYFUNCTION("iferror(if(A3336="""",,E3336&gt;=FILTER(Constants!$F$2:$F$10,Constants!$A$2:$A$10=A3336)))"),"")</f>
        <v/>
      </c>
    </row>
    <row r="3337">
      <c r="A3337" s="89"/>
      <c r="B3337" s="87"/>
      <c r="C3337" s="73"/>
      <c r="D3337" s="73"/>
      <c r="E3337" s="82"/>
      <c r="F3337" s="82"/>
      <c r="G3337" s="86"/>
      <c r="H3337" s="86"/>
      <c r="I3337" s="86"/>
      <c r="J3337" s="82"/>
      <c r="K3337" s="82"/>
      <c r="L3337" s="82"/>
      <c r="M3337" s="82"/>
      <c r="N3337" s="82"/>
      <c r="O3337" s="82"/>
      <c r="P3337" s="82"/>
      <c r="Q3337" s="82"/>
      <c r="R3337" s="82"/>
      <c r="S3337" s="82"/>
      <c r="T3337" s="82"/>
      <c r="U3337" s="82"/>
      <c r="V3337" s="82"/>
      <c r="W3337" s="82"/>
      <c r="X3337" s="82"/>
      <c r="Y3337" s="82"/>
      <c r="Z3337" s="82"/>
      <c r="AA3337" s="82"/>
      <c r="AB3337" s="82"/>
      <c r="AC3337" s="82"/>
      <c r="AD3337" s="82"/>
      <c r="AE3337" s="82"/>
      <c r="AF3337" s="82"/>
      <c r="AG3337" s="82"/>
      <c r="AH3337" s="82"/>
      <c r="AI3337" s="82"/>
      <c r="AJ3337" s="82"/>
      <c r="AK3337" s="82"/>
      <c r="AL3337" s="82"/>
      <c r="AM3337" s="82"/>
      <c r="AN3337" s="82">
        <f>IFERROR(__xludf.DUMMYFUNCTION("""COMPUTED_VALUE"""),0.0)</f>
        <v>0</v>
      </c>
      <c r="AO3337" s="82">
        <f>IFERROR(__xludf.DUMMYFUNCTION("""COMPUTED_VALUE"""),0.0)</f>
        <v>0</v>
      </c>
      <c r="AP3337" s="82">
        <f>IFERROR(__xludf.DUMMYFUNCTION("""COMPUTED_VALUE"""),0.0)</f>
        <v>0</v>
      </c>
      <c r="AQ3337" s="82">
        <f>IFERROR(__xludf.DUMMYFUNCTION("""COMPUTED_VALUE"""),0.0)</f>
        <v>0</v>
      </c>
      <c r="AR3337" s="82">
        <f>IFERROR(__xludf.DUMMYFUNCTION("""COMPUTED_VALUE"""),0.0)</f>
        <v>0</v>
      </c>
      <c r="AS3337" s="82"/>
      <c r="AT3337" s="82">
        <f>IFERROR(__xludf.DUMMYFUNCTION("""COMPUTED_VALUE"""),0.0)</f>
        <v>0</v>
      </c>
      <c r="AU3337" s="82"/>
      <c r="AV3337" s="82"/>
      <c r="AW3337" s="82" t="str">
        <f t="shared" si="1"/>
        <v/>
      </c>
      <c r="AX3337" s="83" t="str">
        <f t="array" ref="AX3337">IFERROR(DGET('SBV Import'!A:G,"SBV",{"RSC ID","Tier";B3337,A3337}))</f>
        <v/>
      </c>
      <c r="AY3337" s="82" t="str">
        <f t="shared" si="2"/>
        <v/>
      </c>
      <c r="AZ3337" s="82"/>
      <c r="BA3337" s="84" t="s">
        <v>152</v>
      </c>
      <c r="BB3337" s="84" t="str">
        <f>IFERROR(__xludf.DUMMYFUNCTION("iferror(if(A3337="""",,E3337&gt;=FILTER(Constants!$F$2:$F$10,Constants!$A$2:$A$10=A3337)))"),"")</f>
        <v/>
      </c>
    </row>
    <row r="3338">
      <c r="A3338" s="89"/>
      <c r="B3338" s="87"/>
      <c r="C3338" s="73"/>
      <c r="D3338" s="73"/>
      <c r="E3338" s="82"/>
      <c r="F3338" s="82"/>
      <c r="G3338" s="86"/>
      <c r="H3338" s="86"/>
      <c r="I3338" s="86"/>
      <c r="J3338" s="82"/>
      <c r="K3338" s="82"/>
      <c r="L3338" s="82"/>
      <c r="M3338" s="82"/>
      <c r="N3338" s="82"/>
      <c r="O3338" s="82"/>
      <c r="P3338" s="82"/>
      <c r="Q3338" s="82"/>
      <c r="R3338" s="82"/>
      <c r="S3338" s="82"/>
      <c r="T3338" s="82"/>
      <c r="U3338" s="82"/>
      <c r="V3338" s="82"/>
      <c r="W3338" s="82"/>
      <c r="X3338" s="82"/>
      <c r="Y3338" s="82"/>
      <c r="Z3338" s="82"/>
      <c r="AA3338" s="82"/>
      <c r="AB3338" s="82"/>
      <c r="AC3338" s="82"/>
      <c r="AD3338" s="82"/>
      <c r="AE3338" s="82"/>
      <c r="AF3338" s="82"/>
      <c r="AG3338" s="82"/>
      <c r="AH3338" s="82"/>
      <c r="AI3338" s="82"/>
      <c r="AJ3338" s="82"/>
      <c r="AK3338" s="82"/>
      <c r="AL3338" s="82"/>
      <c r="AM3338" s="82"/>
      <c r="AN3338" s="82">
        <f>IFERROR(__xludf.DUMMYFUNCTION("""COMPUTED_VALUE"""),0.0)</f>
        <v>0</v>
      </c>
      <c r="AO3338" s="82">
        <f>IFERROR(__xludf.DUMMYFUNCTION("""COMPUTED_VALUE"""),0.0)</f>
        <v>0</v>
      </c>
      <c r="AP3338" s="82">
        <f>IFERROR(__xludf.DUMMYFUNCTION("""COMPUTED_VALUE"""),0.0)</f>
        <v>0</v>
      </c>
      <c r="AQ3338" s="82">
        <f>IFERROR(__xludf.DUMMYFUNCTION("""COMPUTED_VALUE"""),0.0)</f>
        <v>0</v>
      </c>
      <c r="AR3338" s="82">
        <f>IFERROR(__xludf.DUMMYFUNCTION("""COMPUTED_VALUE"""),0.0)</f>
        <v>0</v>
      </c>
      <c r="AS3338" s="82"/>
      <c r="AT3338" s="82">
        <f>IFERROR(__xludf.DUMMYFUNCTION("""COMPUTED_VALUE"""),0.0)</f>
        <v>0</v>
      </c>
      <c r="AU3338" s="82"/>
      <c r="AV3338" s="82"/>
      <c r="AW3338" s="82" t="str">
        <f t="shared" si="1"/>
        <v/>
      </c>
      <c r="AX3338" s="83" t="str">
        <f t="array" ref="AX3338">IFERROR(DGET('SBV Import'!A:G,"SBV",{"RSC ID","Tier";B3338,A3338}))</f>
        <v/>
      </c>
      <c r="AY3338" s="82" t="str">
        <f t="shared" si="2"/>
        <v/>
      </c>
      <c r="AZ3338" s="82"/>
      <c r="BA3338" s="84" t="s">
        <v>152</v>
      </c>
      <c r="BB3338" s="84" t="str">
        <f>IFERROR(__xludf.DUMMYFUNCTION("iferror(if(A3338="""",,E3338&gt;=FILTER(Constants!$F$2:$F$10,Constants!$A$2:$A$10=A3338)))"),"")</f>
        <v/>
      </c>
    </row>
    <row r="3339">
      <c r="A3339" s="89"/>
      <c r="B3339" s="87"/>
      <c r="C3339" s="73"/>
      <c r="D3339" s="73"/>
      <c r="E3339" s="82"/>
      <c r="F3339" s="82"/>
      <c r="G3339" s="86"/>
      <c r="H3339" s="86"/>
      <c r="I3339" s="86"/>
      <c r="J3339" s="82"/>
      <c r="K3339" s="82"/>
      <c r="L3339" s="82"/>
      <c r="M3339" s="82"/>
      <c r="N3339" s="82"/>
      <c r="O3339" s="82"/>
      <c r="P3339" s="82"/>
      <c r="Q3339" s="82"/>
      <c r="R3339" s="82"/>
      <c r="S3339" s="82"/>
      <c r="T3339" s="82"/>
      <c r="U3339" s="82"/>
      <c r="V3339" s="82"/>
      <c r="W3339" s="82"/>
      <c r="X3339" s="82"/>
      <c r="Y3339" s="82"/>
      <c r="Z3339" s="82"/>
      <c r="AA3339" s="82"/>
      <c r="AB3339" s="82"/>
      <c r="AC3339" s="82"/>
      <c r="AD3339" s="82"/>
      <c r="AE3339" s="82"/>
      <c r="AF3339" s="82"/>
      <c r="AG3339" s="82"/>
      <c r="AH3339" s="82"/>
      <c r="AI3339" s="82"/>
      <c r="AJ3339" s="82"/>
      <c r="AK3339" s="82"/>
      <c r="AL3339" s="82"/>
      <c r="AM3339" s="82"/>
      <c r="AN3339" s="82">
        <f>IFERROR(__xludf.DUMMYFUNCTION("""COMPUTED_VALUE"""),0.0)</f>
        <v>0</v>
      </c>
      <c r="AO3339" s="82">
        <f>IFERROR(__xludf.DUMMYFUNCTION("""COMPUTED_VALUE"""),0.0)</f>
        <v>0</v>
      </c>
      <c r="AP3339" s="82">
        <f>IFERROR(__xludf.DUMMYFUNCTION("""COMPUTED_VALUE"""),0.0)</f>
        <v>0</v>
      </c>
      <c r="AQ3339" s="82">
        <f>IFERROR(__xludf.DUMMYFUNCTION("""COMPUTED_VALUE"""),0.0)</f>
        <v>0</v>
      </c>
      <c r="AR3339" s="82">
        <f>IFERROR(__xludf.DUMMYFUNCTION("""COMPUTED_VALUE"""),0.0)</f>
        <v>0</v>
      </c>
      <c r="AS3339" s="82"/>
      <c r="AT3339" s="82">
        <f>IFERROR(__xludf.DUMMYFUNCTION("""COMPUTED_VALUE"""),0.0)</f>
        <v>0</v>
      </c>
      <c r="AU3339" s="82"/>
      <c r="AV3339" s="82"/>
      <c r="AW3339" s="82" t="str">
        <f t="shared" si="1"/>
        <v/>
      </c>
      <c r="AX3339" s="83" t="str">
        <f t="array" ref="AX3339">IFERROR(DGET('SBV Import'!A:G,"SBV",{"RSC ID","Tier";B3339,A3339}))</f>
        <v/>
      </c>
      <c r="AY3339" s="82" t="str">
        <f t="shared" si="2"/>
        <v/>
      </c>
      <c r="AZ3339" s="82"/>
      <c r="BA3339" s="84" t="s">
        <v>152</v>
      </c>
      <c r="BB3339" s="84" t="str">
        <f>IFERROR(__xludf.DUMMYFUNCTION("iferror(if(A3339="""",,E3339&gt;=FILTER(Constants!$F$2:$F$10,Constants!$A$2:$A$10=A3339)))"),"")</f>
        <v/>
      </c>
    </row>
    <row r="3340">
      <c r="A3340" s="89"/>
      <c r="B3340" s="87"/>
      <c r="C3340" s="73"/>
      <c r="D3340" s="73"/>
      <c r="E3340" s="82"/>
      <c r="F3340" s="82"/>
      <c r="G3340" s="86"/>
      <c r="H3340" s="86"/>
      <c r="I3340" s="86"/>
      <c r="J3340" s="82"/>
      <c r="K3340" s="82"/>
      <c r="L3340" s="82"/>
      <c r="M3340" s="82"/>
      <c r="N3340" s="82"/>
      <c r="O3340" s="82"/>
      <c r="P3340" s="82"/>
      <c r="Q3340" s="82"/>
      <c r="R3340" s="82"/>
      <c r="S3340" s="82"/>
      <c r="T3340" s="82"/>
      <c r="U3340" s="82"/>
      <c r="V3340" s="82"/>
      <c r="W3340" s="82"/>
      <c r="X3340" s="82"/>
      <c r="Y3340" s="82"/>
      <c r="Z3340" s="82"/>
      <c r="AA3340" s="82"/>
      <c r="AB3340" s="82"/>
      <c r="AC3340" s="82"/>
      <c r="AD3340" s="82"/>
      <c r="AE3340" s="82"/>
      <c r="AF3340" s="82"/>
      <c r="AG3340" s="82"/>
      <c r="AH3340" s="82"/>
      <c r="AI3340" s="82"/>
      <c r="AJ3340" s="82"/>
      <c r="AK3340" s="82"/>
      <c r="AL3340" s="82"/>
      <c r="AM3340" s="82"/>
      <c r="AN3340" s="82">
        <f>IFERROR(__xludf.DUMMYFUNCTION("""COMPUTED_VALUE"""),0.0)</f>
        <v>0</v>
      </c>
      <c r="AO3340" s="82">
        <f>IFERROR(__xludf.DUMMYFUNCTION("""COMPUTED_VALUE"""),0.0)</f>
        <v>0</v>
      </c>
      <c r="AP3340" s="82">
        <f>IFERROR(__xludf.DUMMYFUNCTION("""COMPUTED_VALUE"""),0.0)</f>
        <v>0</v>
      </c>
      <c r="AQ3340" s="82">
        <f>IFERROR(__xludf.DUMMYFUNCTION("""COMPUTED_VALUE"""),0.0)</f>
        <v>0</v>
      </c>
      <c r="AR3340" s="82">
        <f>IFERROR(__xludf.DUMMYFUNCTION("""COMPUTED_VALUE"""),0.0)</f>
        <v>0</v>
      </c>
      <c r="AS3340" s="82"/>
      <c r="AT3340" s="82">
        <f>IFERROR(__xludf.DUMMYFUNCTION("""COMPUTED_VALUE"""),0.0)</f>
        <v>0</v>
      </c>
      <c r="AU3340" s="82"/>
      <c r="AV3340" s="82"/>
      <c r="AW3340" s="82" t="str">
        <f t="shared" si="1"/>
        <v/>
      </c>
      <c r="AX3340" s="83" t="str">
        <f t="array" ref="AX3340">IFERROR(DGET('SBV Import'!A:G,"SBV",{"RSC ID","Tier";B3340,A3340}))</f>
        <v/>
      </c>
      <c r="AY3340" s="82" t="str">
        <f t="shared" si="2"/>
        <v/>
      </c>
      <c r="AZ3340" s="82"/>
      <c r="BA3340" s="84" t="s">
        <v>152</v>
      </c>
      <c r="BB3340" s="84" t="str">
        <f>IFERROR(__xludf.DUMMYFUNCTION("iferror(if(A3340="""",,E3340&gt;=FILTER(Constants!$F$2:$F$10,Constants!$A$2:$A$10=A3340)))"),"")</f>
        <v/>
      </c>
    </row>
    <row r="3341">
      <c r="A3341" s="89"/>
      <c r="B3341" s="87"/>
      <c r="C3341" s="73"/>
      <c r="D3341" s="73"/>
      <c r="E3341" s="82"/>
      <c r="F3341" s="82"/>
      <c r="G3341" s="86"/>
      <c r="H3341" s="86"/>
      <c r="I3341" s="86"/>
      <c r="J3341" s="82"/>
      <c r="K3341" s="82"/>
      <c r="L3341" s="82"/>
      <c r="M3341" s="82"/>
      <c r="N3341" s="82"/>
      <c r="O3341" s="82"/>
      <c r="P3341" s="82"/>
      <c r="Q3341" s="82"/>
      <c r="R3341" s="82"/>
      <c r="S3341" s="82"/>
      <c r="T3341" s="82"/>
      <c r="U3341" s="82"/>
      <c r="V3341" s="82"/>
      <c r="W3341" s="82"/>
      <c r="X3341" s="82"/>
      <c r="Y3341" s="82"/>
      <c r="Z3341" s="82"/>
      <c r="AA3341" s="82"/>
      <c r="AB3341" s="82"/>
      <c r="AC3341" s="82"/>
      <c r="AD3341" s="82"/>
      <c r="AE3341" s="82"/>
      <c r="AF3341" s="82"/>
      <c r="AG3341" s="82"/>
      <c r="AH3341" s="82"/>
      <c r="AI3341" s="82"/>
      <c r="AJ3341" s="82"/>
      <c r="AK3341" s="82"/>
      <c r="AL3341" s="82"/>
      <c r="AM3341" s="82"/>
      <c r="AN3341" s="82">
        <f>IFERROR(__xludf.DUMMYFUNCTION("""COMPUTED_VALUE"""),0.0)</f>
        <v>0</v>
      </c>
      <c r="AO3341" s="82">
        <f>IFERROR(__xludf.DUMMYFUNCTION("""COMPUTED_VALUE"""),0.0)</f>
        <v>0</v>
      </c>
      <c r="AP3341" s="82">
        <f>IFERROR(__xludf.DUMMYFUNCTION("""COMPUTED_VALUE"""),0.0)</f>
        <v>0</v>
      </c>
      <c r="AQ3341" s="82">
        <f>IFERROR(__xludf.DUMMYFUNCTION("""COMPUTED_VALUE"""),0.0)</f>
        <v>0</v>
      </c>
      <c r="AR3341" s="82">
        <f>IFERROR(__xludf.DUMMYFUNCTION("""COMPUTED_VALUE"""),0.0)</f>
        <v>0</v>
      </c>
      <c r="AS3341" s="82"/>
      <c r="AT3341" s="82">
        <f>IFERROR(__xludf.DUMMYFUNCTION("""COMPUTED_VALUE"""),0.0)</f>
        <v>0</v>
      </c>
      <c r="AU3341" s="82"/>
      <c r="AV3341" s="82"/>
      <c r="AW3341" s="82" t="str">
        <f t="shared" si="1"/>
        <v/>
      </c>
      <c r="AX3341" s="83" t="str">
        <f t="array" ref="AX3341">IFERROR(DGET('SBV Import'!A:G,"SBV",{"RSC ID","Tier";B3341,A3341}))</f>
        <v/>
      </c>
      <c r="AY3341" s="82" t="str">
        <f t="shared" si="2"/>
        <v/>
      </c>
      <c r="AZ3341" s="82"/>
      <c r="BA3341" s="84" t="s">
        <v>152</v>
      </c>
      <c r="BB3341" s="84" t="str">
        <f>IFERROR(__xludf.DUMMYFUNCTION("iferror(if(A3341="""",,E3341&gt;=FILTER(Constants!$F$2:$F$10,Constants!$A$2:$A$10=A3341)))"),"")</f>
        <v/>
      </c>
    </row>
    <row r="3342">
      <c r="A3342" s="89"/>
      <c r="B3342" s="87"/>
      <c r="C3342" s="73"/>
      <c r="D3342" s="73"/>
      <c r="E3342" s="82"/>
      <c r="F3342" s="82"/>
      <c r="G3342" s="86"/>
      <c r="H3342" s="86"/>
      <c r="I3342" s="86"/>
      <c r="J3342" s="82"/>
      <c r="K3342" s="82"/>
      <c r="L3342" s="82"/>
      <c r="M3342" s="82"/>
      <c r="N3342" s="82"/>
      <c r="O3342" s="82"/>
      <c r="P3342" s="82"/>
      <c r="Q3342" s="82"/>
      <c r="R3342" s="82"/>
      <c r="S3342" s="82"/>
      <c r="T3342" s="82"/>
      <c r="U3342" s="82"/>
      <c r="V3342" s="82"/>
      <c r="W3342" s="82"/>
      <c r="X3342" s="82"/>
      <c r="Y3342" s="82"/>
      <c r="Z3342" s="82"/>
      <c r="AA3342" s="82"/>
      <c r="AB3342" s="82"/>
      <c r="AC3342" s="82"/>
      <c r="AD3342" s="82"/>
      <c r="AE3342" s="82"/>
      <c r="AF3342" s="82"/>
      <c r="AG3342" s="82"/>
      <c r="AH3342" s="82"/>
      <c r="AI3342" s="82"/>
      <c r="AJ3342" s="82"/>
      <c r="AK3342" s="82"/>
      <c r="AL3342" s="82"/>
      <c r="AM3342" s="82"/>
      <c r="AN3342" s="82">
        <f>IFERROR(__xludf.DUMMYFUNCTION("""COMPUTED_VALUE"""),0.0)</f>
        <v>0</v>
      </c>
      <c r="AO3342" s="82">
        <f>IFERROR(__xludf.DUMMYFUNCTION("""COMPUTED_VALUE"""),0.0)</f>
        <v>0</v>
      </c>
      <c r="AP3342" s="82">
        <f>IFERROR(__xludf.DUMMYFUNCTION("""COMPUTED_VALUE"""),0.0)</f>
        <v>0</v>
      </c>
      <c r="AQ3342" s="82">
        <f>IFERROR(__xludf.DUMMYFUNCTION("""COMPUTED_VALUE"""),0.0)</f>
        <v>0</v>
      </c>
      <c r="AR3342" s="82">
        <f>IFERROR(__xludf.DUMMYFUNCTION("""COMPUTED_VALUE"""),0.0)</f>
        <v>0</v>
      </c>
      <c r="AS3342" s="82"/>
      <c r="AT3342" s="82">
        <f>IFERROR(__xludf.DUMMYFUNCTION("""COMPUTED_VALUE"""),0.0)</f>
        <v>0</v>
      </c>
      <c r="AU3342" s="82"/>
      <c r="AV3342" s="82"/>
      <c r="AW3342" s="82" t="str">
        <f t="shared" si="1"/>
        <v/>
      </c>
      <c r="AX3342" s="83" t="str">
        <f t="array" ref="AX3342">IFERROR(DGET('SBV Import'!A:G,"SBV",{"RSC ID","Tier";B3342,A3342}))</f>
        <v/>
      </c>
      <c r="AY3342" s="82" t="str">
        <f t="shared" si="2"/>
        <v/>
      </c>
      <c r="AZ3342" s="82"/>
      <c r="BA3342" s="84" t="s">
        <v>152</v>
      </c>
      <c r="BB3342" s="84" t="str">
        <f>IFERROR(__xludf.DUMMYFUNCTION("iferror(if(A3342="""",,E3342&gt;=FILTER(Constants!$F$2:$F$10,Constants!$A$2:$A$10=A3342)))"),"")</f>
        <v/>
      </c>
    </row>
    <row r="3343">
      <c r="A3343" s="89"/>
      <c r="B3343" s="87"/>
      <c r="C3343" s="73"/>
      <c r="D3343" s="73"/>
      <c r="E3343" s="82"/>
      <c r="F3343" s="82"/>
      <c r="G3343" s="86"/>
      <c r="H3343" s="86"/>
      <c r="I3343" s="86"/>
      <c r="J3343" s="82"/>
      <c r="K3343" s="82"/>
      <c r="L3343" s="82"/>
      <c r="M3343" s="82"/>
      <c r="N3343" s="82"/>
      <c r="O3343" s="82"/>
      <c r="P3343" s="82"/>
      <c r="Q3343" s="82"/>
      <c r="R3343" s="82"/>
      <c r="S3343" s="82"/>
      <c r="T3343" s="82"/>
      <c r="U3343" s="82"/>
      <c r="V3343" s="82"/>
      <c r="W3343" s="82"/>
      <c r="X3343" s="82"/>
      <c r="Y3343" s="82"/>
      <c r="Z3343" s="82"/>
      <c r="AA3343" s="82"/>
      <c r="AB3343" s="82"/>
      <c r="AC3343" s="82"/>
      <c r="AD3343" s="82"/>
      <c r="AE3343" s="82"/>
      <c r="AF3343" s="82"/>
      <c r="AG3343" s="82"/>
      <c r="AH3343" s="82"/>
      <c r="AI3343" s="82"/>
      <c r="AJ3343" s="82"/>
      <c r="AK3343" s="82"/>
      <c r="AL3343" s="82"/>
      <c r="AM3343" s="82"/>
      <c r="AN3343" s="82">
        <f>IFERROR(__xludf.DUMMYFUNCTION("""COMPUTED_VALUE"""),0.0)</f>
        <v>0</v>
      </c>
      <c r="AO3343" s="82">
        <f>IFERROR(__xludf.DUMMYFUNCTION("""COMPUTED_VALUE"""),0.0)</f>
        <v>0</v>
      </c>
      <c r="AP3343" s="82">
        <f>IFERROR(__xludf.DUMMYFUNCTION("""COMPUTED_VALUE"""),0.0)</f>
        <v>0</v>
      </c>
      <c r="AQ3343" s="82">
        <f>IFERROR(__xludf.DUMMYFUNCTION("""COMPUTED_VALUE"""),0.0)</f>
        <v>0</v>
      </c>
      <c r="AR3343" s="82">
        <f>IFERROR(__xludf.DUMMYFUNCTION("""COMPUTED_VALUE"""),0.0)</f>
        <v>0</v>
      </c>
      <c r="AS3343" s="82"/>
      <c r="AT3343" s="82">
        <f>IFERROR(__xludf.DUMMYFUNCTION("""COMPUTED_VALUE"""),0.0)</f>
        <v>0</v>
      </c>
      <c r="AU3343" s="82"/>
      <c r="AV3343" s="82"/>
      <c r="AW3343" s="82" t="str">
        <f t="shared" si="1"/>
        <v/>
      </c>
      <c r="AX3343" s="83" t="str">
        <f t="array" ref="AX3343">IFERROR(DGET('SBV Import'!A:G,"SBV",{"RSC ID","Tier";B3343,A3343}))</f>
        <v/>
      </c>
      <c r="AY3343" s="82" t="str">
        <f t="shared" si="2"/>
        <v/>
      </c>
      <c r="AZ3343" s="82"/>
      <c r="BA3343" s="84" t="s">
        <v>152</v>
      </c>
      <c r="BB3343" s="84" t="str">
        <f>IFERROR(__xludf.DUMMYFUNCTION("iferror(if(A3343="""",,E3343&gt;=FILTER(Constants!$F$2:$F$10,Constants!$A$2:$A$10=A3343)))"),"")</f>
        <v/>
      </c>
    </row>
    <row r="3344">
      <c r="A3344" s="89"/>
      <c r="B3344" s="87"/>
      <c r="C3344" s="73"/>
      <c r="D3344" s="73"/>
      <c r="E3344" s="82"/>
      <c r="F3344" s="82"/>
      <c r="G3344" s="86"/>
      <c r="H3344" s="86"/>
      <c r="I3344" s="86"/>
      <c r="J3344" s="82"/>
      <c r="K3344" s="82"/>
      <c r="L3344" s="82"/>
      <c r="M3344" s="82"/>
      <c r="N3344" s="82"/>
      <c r="O3344" s="82"/>
      <c r="P3344" s="82"/>
      <c r="Q3344" s="82"/>
      <c r="R3344" s="82"/>
      <c r="S3344" s="82"/>
      <c r="T3344" s="82"/>
      <c r="U3344" s="82"/>
      <c r="V3344" s="82"/>
      <c r="W3344" s="82"/>
      <c r="X3344" s="82"/>
      <c r="Y3344" s="82"/>
      <c r="Z3344" s="82"/>
      <c r="AA3344" s="82"/>
      <c r="AB3344" s="82"/>
      <c r="AC3344" s="82"/>
      <c r="AD3344" s="82"/>
      <c r="AE3344" s="82"/>
      <c r="AF3344" s="82"/>
      <c r="AG3344" s="82"/>
      <c r="AH3344" s="82"/>
      <c r="AI3344" s="82"/>
      <c r="AJ3344" s="82"/>
      <c r="AK3344" s="82"/>
      <c r="AL3344" s="82"/>
      <c r="AM3344" s="82"/>
      <c r="AN3344" s="82">
        <f>IFERROR(__xludf.DUMMYFUNCTION("""COMPUTED_VALUE"""),0.0)</f>
        <v>0</v>
      </c>
      <c r="AO3344" s="82">
        <f>IFERROR(__xludf.DUMMYFUNCTION("""COMPUTED_VALUE"""),0.0)</f>
        <v>0</v>
      </c>
      <c r="AP3344" s="82">
        <f>IFERROR(__xludf.DUMMYFUNCTION("""COMPUTED_VALUE"""),0.0)</f>
        <v>0</v>
      </c>
      <c r="AQ3344" s="82">
        <f>IFERROR(__xludf.DUMMYFUNCTION("""COMPUTED_VALUE"""),0.0)</f>
        <v>0</v>
      </c>
      <c r="AR3344" s="82">
        <f>IFERROR(__xludf.DUMMYFUNCTION("""COMPUTED_VALUE"""),0.0)</f>
        <v>0</v>
      </c>
      <c r="AS3344" s="82"/>
      <c r="AT3344" s="82">
        <f>IFERROR(__xludf.DUMMYFUNCTION("""COMPUTED_VALUE"""),0.0)</f>
        <v>0</v>
      </c>
      <c r="AU3344" s="82"/>
      <c r="AV3344" s="82"/>
      <c r="AW3344" s="82" t="str">
        <f t="shared" si="1"/>
        <v/>
      </c>
      <c r="AX3344" s="83" t="str">
        <f t="array" ref="AX3344">IFERROR(DGET('SBV Import'!A:G,"SBV",{"RSC ID","Tier";B3344,A3344}))</f>
        <v/>
      </c>
      <c r="AY3344" s="82" t="str">
        <f t="shared" si="2"/>
        <v/>
      </c>
      <c r="AZ3344" s="82"/>
      <c r="BA3344" s="84" t="s">
        <v>152</v>
      </c>
      <c r="BB3344" s="84" t="str">
        <f>IFERROR(__xludf.DUMMYFUNCTION("iferror(if(A3344="""",,E3344&gt;=FILTER(Constants!$F$2:$F$10,Constants!$A$2:$A$10=A3344)))"),"")</f>
        <v/>
      </c>
    </row>
    <row r="3345">
      <c r="A3345" s="89"/>
      <c r="B3345" s="87"/>
      <c r="C3345" s="73"/>
      <c r="D3345" s="73"/>
      <c r="E3345" s="82"/>
      <c r="F3345" s="82"/>
      <c r="G3345" s="86"/>
      <c r="H3345" s="86"/>
      <c r="I3345" s="86"/>
      <c r="J3345" s="82"/>
      <c r="K3345" s="82"/>
      <c r="L3345" s="82"/>
      <c r="M3345" s="82"/>
      <c r="N3345" s="82"/>
      <c r="O3345" s="82"/>
      <c r="P3345" s="82"/>
      <c r="Q3345" s="82"/>
      <c r="R3345" s="82"/>
      <c r="S3345" s="82"/>
      <c r="T3345" s="82"/>
      <c r="U3345" s="82"/>
      <c r="V3345" s="82"/>
      <c r="W3345" s="82"/>
      <c r="X3345" s="82"/>
      <c r="Y3345" s="82"/>
      <c r="Z3345" s="82"/>
      <c r="AA3345" s="82"/>
      <c r="AB3345" s="82"/>
      <c r="AC3345" s="82"/>
      <c r="AD3345" s="82"/>
      <c r="AE3345" s="82"/>
      <c r="AF3345" s="82"/>
      <c r="AG3345" s="82"/>
      <c r="AH3345" s="82"/>
      <c r="AI3345" s="82"/>
      <c r="AJ3345" s="82"/>
      <c r="AK3345" s="82"/>
      <c r="AL3345" s="82"/>
      <c r="AM3345" s="82"/>
      <c r="AN3345" s="82">
        <f>IFERROR(__xludf.DUMMYFUNCTION("""COMPUTED_VALUE"""),0.0)</f>
        <v>0</v>
      </c>
      <c r="AO3345" s="82">
        <f>IFERROR(__xludf.DUMMYFUNCTION("""COMPUTED_VALUE"""),0.0)</f>
        <v>0</v>
      </c>
      <c r="AP3345" s="82">
        <f>IFERROR(__xludf.DUMMYFUNCTION("""COMPUTED_VALUE"""),0.0)</f>
        <v>0</v>
      </c>
      <c r="AQ3345" s="82">
        <f>IFERROR(__xludf.DUMMYFUNCTION("""COMPUTED_VALUE"""),0.0)</f>
        <v>0</v>
      </c>
      <c r="AR3345" s="82">
        <f>IFERROR(__xludf.DUMMYFUNCTION("""COMPUTED_VALUE"""),0.0)</f>
        <v>0</v>
      </c>
      <c r="AS3345" s="82"/>
      <c r="AT3345" s="82">
        <f>IFERROR(__xludf.DUMMYFUNCTION("""COMPUTED_VALUE"""),0.0)</f>
        <v>0</v>
      </c>
      <c r="AU3345" s="82"/>
      <c r="AV3345" s="82"/>
      <c r="AW3345" s="82" t="str">
        <f t="shared" si="1"/>
        <v/>
      </c>
      <c r="AX3345" s="83" t="str">
        <f t="array" ref="AX3345">IFERROR(DGET('SBV Import'!A:G,"SBV",{"RSC ID","Tier";B3345,A3345}))</f>
        <v/>
      </c>
      <c r="AY3345" s="82" t="str">
        <f t="shared" si="2"/>
        <v/>
      </c>
      <c r="AZ3345" s="82"/>
      <c r="BA3345" s="84" t="s">
        <v>152</v>
      </c>
      <c r="BB3345" s="84" t="str">
        <f>IFERROR(__xludf.DUMMYFUNCTION("iferror(if(A3345="""",,E3345&gt;=FILTER(Constants!$F$2:$F$10,Constants!$A$2:$A$10=A3345)))"),"")</f>
        <v/>
      </c>
    </row>
    <row r="3346">
      <c r="A3346" s="89"/>
      <c r="B3346" s="87"/>
      <c r="C3346" s="73"/>
      <c r="D3346" s="73"/>
      <c r="E3346" s="82"/>
      <c r="F3346" s="82"/>
      <c r="G3346" s="86"/>
      <c r="H3346" s="86"/>
      <c r="I3346" s="86"/>
      <c r="J3346" s="82"/>
      <c r="K3346" s="82"/>
      <c r="L3346" s="82"/>
      <c r="M3346" s="82"/>
      <c r="N3346" s="82"/>
      <c r="O3346" s="82"/>
      <c r="P3346" s="82"/>
      <c r="Q3346" s="82"/>
      <c r="R3346" s="82"/>
      <c r="S3346" s="82"/>
      <c r="T3346" s="82"/>
      <c r="U3346" s="82"/>
      <c r="V3346" s="82"/>
      <c r="W3346" s="82"/>
      <c r="X3346" s="82"/>
      <c r="Y3346" s="82"/>
      <c r="Z3346" s="82"/>
      <c r="AA3346" s="82"/>
      <c r="AB3346" s="82"/>
      <c r="AC3346" s="82"/>
      <c r="AD3346" s="82"/>
      <c r="AE3346" s="82"/>
      <c r="AF3346" s="82"/>
      <c r="AG3346" s="82"/>
      <c r="AH3346" s="82"/>
      <c r="AI3346" s="82"/>
      <c r="AJ3346" s="82"/>
      <c r="AK3346" s="82"/>
      <c r="AL3346" s="82"/>
      <c r="AM3346" s="82"/>
      <c r="AN3346" s="82">
        <f>IFERROR(__xludf.DUMMYFUNCTION("""COMPUTED_VALUE"""),0.0)</f>
        <v>0</v>
      </c>
      <c r="AO3346" s="82">
        <f>IFERROR(__xludf.DUMMYFUNCTION("""COMPUTED_VALUE"""),0.0)</f>
        <v>0</v>
      </c>
      <c r="AP3346" s="82">
        <f>IFERROR(__xludf.DUMMYFUNCTION("""COMPUTED_VALUE"""),0.0)</f>
        <v>0</v>
      </c>
      <c r="AQ3346" s="82">
        <f>IFERROR(__xludf.DUMMYFUNCTION("""COMPUTED_VALUE"""),0.0)</f>
        <v>0</v>
      </c>
      <c r="AR3346" s="82">
        <f>IFERROR(__xludf.DUMMYFUNCTION("""COMPUTED_VALUE"""),0.0)</f>
        <v>0</v>
      </c>
      <c r="AS3346" s="82"/>
      <c r="AT3346" s="82">
        <f>IFERROR(__xludf.DUMMYFUNCTION("""COMPUTED_VALUE"""),0.0)</f>
        <v>0</v>
      </c>
      <c r="AU3346" s="82"/>
      <c r="AV3346" s="82"/>
      <c r="AW3346" s="82" t="str">
        <f t="shared" si="1"/>
        <v/>
      </c>
      <c r="AX3346" s="83" t="str">
        <f t="array" ref="AX3346">IFERROR(DGET('SBV Import'!A:G,"SBV",{"RSC ID","Tier";B3346,A3346}))</f>
        <v/>
      </c>
      <c r="AY3346" s="82" t="str">
        <f t="shared" si="2"/>
        <v/>
      </c>
      <c r="AZ3346" s="82"/>
      <c r="BA3346" s="84" t="s">
        <v>152</v>
      </c>
      <c r="BB3346" s="84" t="str">
        <f>IFERROR(__xludf.DUMMYFUNCTION("iferror(if(A3346="""",,E3346&gt;=FILTER(Constants!$F$2:$F$10,Constants!$A$2:$A$10=A3346)))"),"")</f>
        <v/>
      </c>
    </row>
    <row r="3347">
      <c r="A3347" s="89"/>
      <c r="B3347" s="87"/>
      <c r="C3347" s="73"/>
      <c r="D3347" s="73"/>
      <c r="E3347" s="82"/>
      <c r="F3347" s="82"/>
      <c r="G3347" s="86"/>
      <c r="H3347" s="86"/>
      <c r="I3347" s="86"/>
      <c r="J3347" s="82"/>
      <c r="K3347" s="82"/>
      <c r="L3347" s="82"/>
      <c r="M3347" s="82"/>
      <c r="N3347" s="82"/>
      <c r="O3347" s="82"/>
      <c r="P3347" s="82"/>
      <c r="Q3347" s="82"/>
      <c r="R3347" s="82"/>
      <c r="S3347" s="82"/>
      <c r="T3347" s="82"/>
      <c r="U3347" s="82"/>
      <c r="V3347" s="82"/>
      <c r="W3347" s="82"/>
      <c r="X3347" s="82"/>
      <c r="Y3347" s="82"/>
      <c r="Z3347" s="82"/>
      <c r="AA3347" s="82"/>
      <c r="AB3347" s="82"/>
      <c r="AC3347" s="82"/>
      <c r="AD3347" s="82"/>
      <c r="AE3347" s="82"/>
      <c r="AF3347" s="82"/>
      <c r="AG3347" s="82"/>
      <c r="AH3347" s="82"/>
      <c r="AI3347" s="82"/>
      <c r="AJ3347" s="82"/>
      <c r="AK3347" s="82"/>
      <c r="AL3347" s="82"/>
      <c r="AM3347" s="82"/>
      <c r="AN3347" s="82">
        <f>IFERROR(__xludf.DUMMYFUNCTION("""COMPUTED_VALUE"""),0.0)</f>
        <v>0</v>
      </c>
      <c r="AO3347" s="82">
        <f>IFERROR(__xludf.DUMMYFUNCTION("""COMPUTED_VALUE"""),0.0)</f>
        <v>0</v>
      </c>
      <c r="AP3347" s="82">
        <f>IFERROR(__xludf.DUMMYFUNCTION("""COMPUTED_VALUE"""),0.0)</f>
        <v>0</v>
      </c>
      <c r="AQ3347" s="82">
        <f>IFERROR(__xludf.DUMMYFUNCTION("""COMPUTED_VALUE"""),0.0)</f>
        <v>0</v>
      </c>
      <c r="AR3347" s="82">
        <f>IFERROR(__xludf.DUMMYFUNCTION("""COMPUTED_VALUE"""),0.0)</f>
        <v>0</v>
      </c>
      <c r="AS3347" s="82"/>
      <c r="AT3347" s="82">
        <f>IFERROR(__xludf.DUMMYFUNCTION("""COMPUTED_VALUE"""),0.0)</f>
        <v>0</v>
      </c>
      <c r="AU3347" s="82"/>
      <c r="AV3347" s="82"/>
      <c r="AW3347" s="82" t="str">
        <f t="shared" si="1"/>
        <v/>
      </c>
      <c r="AX3347" s="83" t="str">
        <f t="array" ref="AX3347">IFERROR(DGET('SBV Import'!A:G,"SBV",{"RSC ID","Tier";B3347,A3347}))</f>
        <v/>
      </c>
      <c r="AY3347" s="82" t="str">
        <f t="shared" si="2"/>
        <v/>
      </c>
      <c r="AZ3347" s="82"/>
      <c r="BA3347" s="84" t="s">
        <v>152</v>
      </c>
      <c r="BB3347" s="84" t="str">
        <f>IFERROR(__xludf.DUMMYFUNCTION("iferror(if(A3347="""",,E3347&gt;=FILTER(Constants!$F$2:$F$10,Constants!$A$2:$A$10=A3347)))"),"")</f>
        <v/>
      </c>
    </row>
    <row r="3348">
      <c r="A3348" s="89"/>
      <c r="B3348" s="87"/>
      <c r="C3348" s="73"/>
      <c r="D3348" s="73"/>
      <c r="E3348" s="82"/>
      <c r="F3348" s="82"/>
      <c r="G3348" s="86"/>
      <c r="H3348" s="86"/>
      <c r="I3348" s="86"/>
      <c r="J3348" s="82"/>
      <c r="K3348" s="82"/>
      <c r="L3348" s="82"/>
      <c r="M3348" s="82"/>
      <c r="N3348" s="82"/>
      <c r="O3348" s="82"/>
      <c r="P3348" s="82"/>
      <c r="Q3348" s="82"/>
      <c r="R3348" s="82"/>
      <c r="S3348" s="82"/>
      <c r="T3348" s="82"/>
      <c r="U3348" s="82"/>
      <c r="V3348" s="82"/>
      <c r="W3348" s="82"/>
      <c r="X3348" s="82"/>
      <c r="Y3348" s="82"/>
      <c r="Z3348" s="82"/>
      <c r="AA3348" s="82"/>
      <c r="AB3348" s="82"/>
      <c r="AC3348" s="82"/>
      <c r="AD3348" s="82"/>
      <c r="AE3348" s="82"/>
      <c r="AF3348" s="82"/>
      <c r="AG3348" s="82"/>
      <c r="AH3348" s="82"/>
      <c r="AI3348" s="82"/>
      <c r="AJ3348" s="82"/>
      <c r="AK3348" s="82"/>
      <c r="AL3348" s="82"/>
      <c r="AM3348" s="82"/>
      <c r="AN3348" s="82">
        <f>IFERROR(__xludf.DUMMYFUNCTION("""COMPUTED_VALUE"""),0.0)</f>
        <v>0</v>
      </c>
      <c r="AO3348" s="82">
        <f>IFERROR(__xludf.DUMMYFUNCTION("""COMPUTED_VALUE"""),0.0)</f>
        <v>0</v>
      </c>
      <c r="AP3348" s="82">
        <f>IFERROR(__xludf.DUMMYFUNCTION("""COMPUTED_VALUE"""),0.0)</f>
        <v>0</v>
      </c>
      <c r="AQ3348" s="82">
        <f>IFERROR(__xludf.DUMMYFUNCTION("""COMPUTED_VALUE"""),0.0)</f>
        <v>0</v>
      </c>
      <c r="AR3348" s="82">
        <f>IFERROR(__xludf.DUMMYFUNCTION("""COMPUTED_VALUE"""),0.0)</f>
        <v>0</v>
      </c>
      <c r="AS3348" s="82"/>
      <c r="AT3348" s="82">
        <f>IFERROR(__xludf.DUMMYFUNCTION("""COMPUTED_VALUE"""),0.0)</f>
        <v>0</v>
      </c>
      <c r="AU3348" s="82"/>
      <c r="AV3348" s="82"/>
      <c r="AW3348" s="82" t="str">
        <f t="shared" si="1"/>
        <v/>
      </c>
      <c r="AX3348" s="83" t="str">
        <f t="array" ref="AX3348">IFERROR(DGET('SBV Import'!A:G,"SBV",{"RSC ID","Tier";B3348,A3348}))</f>
        <v/>
      </c>
      <c r="AY3348" s="82" t="str">
        <f t="shared" si="2"/>
        <v/>
      </c>
      <c r="AZ3348" s="82"/>
      <c r="BA3348" s="84" t="s">
        <v>152</v>
      </c>
      <c r="BB3348" s="84" t="str">
        <f>IFERROR(__xludf.DUMMYFUNCTION("iferror(if(A3348="""",,E3348&gt;=FILTER(Constants!$F$2:$F$10,Constants!$A$2:$A$10=A3348)))"),"")</f>
        <v/>
      </c>
    </row>
    <row r="3349">
      <c r="A3349" s="89"/>
      <c r="B3349" s="87"/>
      <c r="C3349" s="73"/>
      <c r="D3349" s="73"/>
      <c r="E3349" s="82"/>
      <c r="F3349" s="82"/>
      <c r="G3349" s="86"/>
      <c r="H3349" s="86"/>
      <c r="I3349" s="86"/>
      <c r="J3349" s="82"/>
      <c r="K3349" s="82"/>
      <c r="L3349" s="82"/>
      <c r="M3349" s="82"/>
      <c r="N3349" s="82"/>
      <c r="O3349" s="82"/>
      <c r="P3349" s="82"/>
      <c r="Q3349" s="82"/>
      <c r="R3349" s="82"/>
      <c r="S3349" s="82"/>
      <c r="T3349" s="82"/>
      <c r="U3349" s="82"/>
      <c r="V3349" s="82"/>
      <c r="W3349" s="82"/>
      <c r="X3349" s="82"/>
      <c r="Y3349" s="82"/>
      <c r="Z3349" s="82"/>
      <c r="AA3349" s="82"/>
      <c r="AB3349" s="82"/>
      <c r="AC3349" s="82"/>
      <c r="AD3349" s="82"/>
      <c r="AE3349" s="82"/>
      <c r="AF3349" s="82"/>
      <c r="AG3349" s="82"/>
      <c r="AH3349" s="82"/>
      <c r="AI3349" s="82"/>
      <c r="AJ3349" s="82"/>
      <c r="AK3349" s="82"/>
      <c r="AL3349" s="82"/>
      <c r="AM3349" s="82"/>
      <c r="AN3349" s="82">
        <f>IFERROR(__xludf.DUMMYFUNCTION("""COMPUTED_VALUE"""),0.0)</f>
        <v>0</v>
      </c>
      <c r="AO3349" s="82">
        <f>IFERROR(__xludf.DUMMYFUNCTION("""COMPUTED_VALUE"""),0.0)</f>
        <v>0</v>
      </c>
      <c r="AP3349" s="82">
        <f>IFERROR(__xludf.DUMMYFUNCTION("""COMPUTED_VALUE"""),0.0)</f>
        <v>0</v>
      </c>
      <c r="AQ3349" s="82">
        <f>IFERROR(__xludf.DUMMYFUNCTION("""COMPUTED_VALUE"""),0.0)</f>
        <v>0</v>
      </c>
      <c r="AR3349" s="82">
        <f>IFERROR(__xludf.DUMMYFUNCTION("""COMPUTED_VALUE"""),0.0)</f>
        <v>0</v>
      </c>
      <c r="AS3349" s="82"/>
      <c r="AT3349" s="82">
        <f>IFERROR(__xludf.DUMMYFUNCTION("""COMPUTED_VALUE"""),0.0)</f>
        <v>0</v>
      </c>
      <c r="AU3349" s="82"/>
      <c r="AV3349" s="82"/>
      <c r="AW3349" s="82" t="str">
        <f t="shared" si="1"/>
        <v/>
      </c>
      <c r="AX3349" s="83" t="str">
        <f t="array" ref="AX3349">IFERROR(DGET('SBV Import'!A:G,"SBV",{"RSC ID","Tier";B3349,A3349}))</f>
        <v/>
      </c>
      <c r="AY3349" s="82" t="str">
        <f t="shared" si="2"/>
        <v/>
      </c>
      <c r="AZ3349" s="82"/>
      <c r="BA3349" s="84" t="s">
        <v>152</v>
      </c>
      <c r="BB3349" s="84" t="str">
        <f>IFERROR(__xludf.DUMMYFUNCTION("iferror(if(A3349="""",,E3349&gt;=FILTER(Constants!$F$2:$F$10,Constants!$A$2:$A$10=A3349)))"),"")</f>
        <v/>
      </c>
    </row>
    <row r="3350">
      <c r="A3350" s="89"/>
      <c r="B3350" s="87"/>
      <c r="C3350" s="73"/>
      <c r="D3350" s="73"/>
      <c r="E3350" s="82"/>
      <c r="F3350" s="82"/>
      <c r="G3350" s="86"/>
      <c r="H3350" s="86"/>
      <c r="I3350" s="86"/>
      <c r="J3350" s="82"/>
      <c r="K3350" s="82"/>
      <c r="L3350" s="82"/>
      <c r="M3350" s="82"/>
      <c r="N3350" s="82"/>
      <c r="O3350" s="82"/>
      <c r="P3350" s="82"/>
      <c r="Q3350" s="82"/>
      <c r="R3350" s="82"/>
      <c r="S3350" s="82"/>
      <c r="T3350" s="82"/>
      <c r="U3350" s="82"/>
      <c r="V3350" s="82"/>
      <c r="W3350" s="82"/>
      <c r="X3350" s="82"/>
      <c r="Y3350" s="82"/>
      <c r="Z3350" s="82"/>
      <c r="AA3350" s="82"/>
      <c r="AB3350" s="82"/>
      <c r="AC3350" s="82"/>
      <c r="AD3350" s="82"/>
      <c r="AE3350" s="82"/>
      <c r="AF3350" s="82"/>
      <c r="AG3350" s="82"/>
      <c r="AH3350" s="82"/>
      <c r="AI3350" s="82"/>
      <c r="AJ3350" s="82"/>
      <c r="AK3350" s="82"/>
      <c r="AL3350" s="82"/>
      <c r="AM3350" s="82"/>
      <c r="AN3350" s="82">
        <f>IFERROR(__xludf.DUMMYFUNCTION("""COMPUTED_VALUE"""),0.0)</f>
        <v>0</v>
      </c>
      <c r="AO3350" s="82">
        <f>IFERROR(__xludf.DUMMYFUNCTION("""COMPUTED_VALUE"""),0.0)</f>
        <v>0</v>
      </c>
      <c r="AP3350" s="82">
        <f>IFERROR(__xludf.DUMMYFUNCTION("""COMPUTED_VALUE"""),0.0)</f>
        <v>0</v>
      </c>
      <c r="AQ3350" s="82">
        <f>IFERROR(__xludf.DUMMYFUNCTION("""COMPUTED_VALUE"""),0.0)</f>
        <v>0</v>
      </c>
      <c r="AR3350" s="82">
        <f>IFERROR(__xludf.DUMMYFUNCTION("""COMPUTED_VALUE"""),0.0)</f>
        <v>0</v>
      </c>
      <c r="AS3350" s="82"/>
      <c r="AT3350" s="82">
        <f>IFERROR(__xludf.DUMMYFUNCTION("""COMPUTED_VALUE"""),0.0)</f>
        <v>0</v>
      </c>
      <c r="AU3350" s="82"/>
      <c r="AV3350" s="82"/>
      <c r="AW3350" s="82" t="str">
        <f t="shared" si="1"/>
        <v/>
      </c>
      <c r="AX3350" s="83" t="str">
        <f t="array" ref="AX3350">IFERROR(DGET('SBV Import'!A:G,"SBV",{"RSC ID","Tier";B3350,A3350}))</f>
        <v/>
      </c>
      <c r="AY3350" s="82" t="str">
        <f t="shared" si="2"/>
        <v/>
      </c>
      <c r="AZ3350" s="82"/>
      <c r="BA3350" s="84" t="s">
        <v>152</v>
      </c>
      <c r="BB3350" s="84" t="str">
        <f>IFERROR(__xludf.DUMMYFUNCTION("iferror(if(A3350="""",,E3350&gt;=FILTER(Constants!$F$2:$F$10,Constants!$A$2:$A$10=A3350)))"),"")</f>
        <v/>
      </c>
    </row>
    <row r="3351">
      <c r="A3351" s="89"/>
      <c r="B3351" s="87"/>
      <c r="C3351" s="73"/>
      <c r="D3351" s="73"/>
      <c r="E3351" s="82"/>
      <c r="F3351" s="82"/>
      <c r="G3351" s="86"/>
      <c r="H3351" s="86"/>
      <c r="I3351" s="86"/>
      <c r="J3351" s="82"/>
      <c r="K3351" s="82"/>
      <c r="L3351" s="82"/>
      <c r="M3351" s="82"/>
      <c r="N3351" s="82"/>
      <c r="O3351" s="82"/>
      <c r="P3351" s="82"/>
      <c r="Q3351" s="82"/>
      <c r="R3351" s="82"/>
      <c r="S3351" s="82"/>
      <c r="T3351" s="82"/>
      <c r="U3351" s="82"/>
      <c r="V3351" s="82"/>
      <c r="W3351" s="82"/>
      <c r="X3351" s="82"/>
      <c r="Y3351" s="82"/>
      <c r="Z3351" s="82"/>
      <c r="AA3351" s="82"/>
      <c r="AB3351" s="82"/>
      <c r="AC3351" s="82"/>
      <c r="AD3351" s="82"/>
      <c r="AE3351" s="82"/>
      <c r="AF3351" s="82"/>
      <c r="AG3351" s="82"/>
      <c r="AH3351" s="82"/>
      <c r="AI3351" s="82"/>
      <c r="AJ3351" s="82"/>
      <c r="AK3351" s="82"/>
      <c r="AL3351" s="82"/>
      <c r="AM3351" s="82"/>
      <c r="AN3351" s="82">
        <f>IFERROR(__xludf.DUMMYFUNCTION("""COMPUTED_VALUE"""),0.0)</f>
        <v>0</v>
      </c>
      <c r="AO3351" s="82">
        <f>IFERROR(__xludf.DUMMYFUNCTION("""COMPUTED_VALUE"""),0.0)</f>
        <v>0</v>
      </c>
      <c r="AP3351" s="82">
        <f>IFERROR(__xludf.DUMMYFUNCTION("""COMPUTED_VALUE"""),0.0)</f>
        <v>0</v>
      </c>
      <c r="AQ3351" s="82">
        <f>IFERROR(__xludf.DUMMYFUNCTION("""COMPUTED_VALUE"""),0.0)</f>
        <v>0</v>
      </c>
      <c r="AR3351" s="82">
        <f>IFERROR(__xludf.DUMMYFUNCTION("""COMPUTED_VALUE"""),0.0)</f>
        <v>0</v>
      </c>
      <c r="AS3351" s="82"/>
      <c r="AT3351" s="82">
        <f>IFERROR(__xludf.DUMMYFUNCTION("""COMPUTED_VALUE"""),0.0)</f>
        <v>0</v>
      </c>
      <c r="AU3351" s="82"/>
      <c r="AV3351" s="82"/>
      <c r="AW3351" s="82" t="str">
        <f t="shared" si="1"/>
        <v/>
      </c>
      <c r="AX3351" s="83" t="str">
        <f t="array" ref="AX3351">IFERROR(DGET('SBV Import'!A:G,"SBV",{"RSC ID","Tier";B3351,A3351}))</f>
        <v/>
      </c>
      <c r="AY3351" s="82" t="str">
        <f t="shared" si="2"/>
        <v/>
      </c>
      <c r="AZ3351" s="82"/>
      <c r="BA3351" s="84" t="s">
        <v>152</v>
      </c>
      <c r="BB3351" s="84" t="str">
        <f>IFERROR(__xludf.DUMMYFUNCTION("iferror(if(A3351="""",,E3351&gt;=FILTER(Constants!$F$2:$F$10,Constants!$A$2:$A$10=A3351)))"),"")</f>
        <v/>
      </c>
    </row>
    <row r="3352">
      <c r="A3352" s="89"/>
      <c r="B3352" s="87"/>
      <c r="C3352" s="73"/>
      <c r="D3352" s="73"/>
      <c r="E3352" s="82"/>
      <c r="F3352" s="82"/>
      <c r="G3352" s="86"/>
      <c r="H3352" s="86"/>
      <c r="I3352" s="86"/>
      <c r="J3352" s="82"/>
      <c r="K3352" s="82"/>
      <c r="L3352" s="82"/>
      <c r="M3352" s="82"/>
      <c r="N3352" s="82"/>
      <c r="O3352" s="82"/>
      <c r="P3352" s="82"/>
      <c r="Q3352" s="82"/>
      <c r="R3352" s="82"/>
      <c r="S3352" s="82"/>
      <c r="T3352" s="82"/>
      <c r="U3352" s="82"/>
      <c r="V3352" s="82"/>
      <c r="W3352" s="82"/>
      <c r="X3352" s="82"/>
      <c r="Y3352" s="82"/>
      <c r="Z3352" s="82"/>
      <c r="AA3352" s="82"/>
      <c r="AB3352" s="82"/>
      <c r="AC3352" s="82"/>
      <c r="AD3352" s="82"/>
      <c r="AE3352" s="82"/>
      <c r="AF3352" s="82"/>
      <c r="AG3352" s="82"/>
      <c r="AH3352" s="82"/>
      <c r="AI3352" s="82"/>
      <c r="AJ3352" s="82"/>
      <c r="AK3352" s="82"/>
      <c r="AL3352" s="82"/>
      <c r="AM3352" s="82"/>
      <c r="AN3352" s="82">
        <f>IFERROR(__xludf.DUMMYFUNCTION("""COMPUTED_VALUE"""),0.0)</f>
        <v>0</v>
      </c>
      <c r="AO3352" s="82">
        <f>IFERROR(__xludf.DUMMYFUNCTION("""COMPUTED_VALUE"""),0.0)</f>
        <v>0</v>
      </c>
      <c r="AP3352" s="82">
        <f>IFERROR(__xludf.DUMMYFUNCTION("""COMPUTED_VALUE"""),0.0)</f>
        <v>0</v>
      </c>
      <c r="AQ3352" s="82">
        <f>IFERROR(__xludf.DUMMYFUNCTION("""COMPUTED_VALUE"""),0.0)</f>
        <v>0</v>
      </c>
      <c r="AR3352" s="82">
        <f>IFERROR(__xludf.DUMMYFUNCTION("""COMPUTED_VALUE"""),0.0)</f>
        <v>0</v>
      </c>
      <c r="AS3352" s="82"/>
      <c r="AT3352" s="82">
        <f>IFERROR(__xludf.DUMMYFUNCTION("""COMPUTED_VALUE"""),0.0)</f>
        <v>0</v>
      </c>
      <c r="AU3352" s="82"/>
      <c r="AV3352" s="82"/>
      <c r="AW3352" s="82" t="str">
        <f t="shared" si="1"/>
        <v/>
      </c>
      <c r="AX3352" s="83" t="str">
        <f t="array" ref="AX3352">IFERROR(DGET('SBV Import'!A:G,"SBV",{"RSC ID","Tier";B3352,A3352}))</f>
        <v/>
      </c>
      <c r="AY3352" s="82" t="str">
        <f t="shared" si="2"/>
        <v/>
      </c>
      <c r="AZ3352" s="82"/>
      <c r="BA3352" s="84" t="s">
        <v>152</v>
      </c>
      <c r="BB3352" s="84" t="str">
        <f>IFERROR(__xludf.DUMMYFUNCTION("iferror(if(A3352="""",,E3352&gt;=FILTER(Constants!$F$2:$F$10,Constants!$A$2:$A$10=A3352)))"),"")</f>
        <v/>
      </c>
    </row>
    <row r="3353">
      <c r="A3353" s="89"/>
      <c r="B3353" s="87"/>
      <c r="C3353" s="73"/>
      <c r="D3353" s="73"/>
      <c r="E3353" s="82"/>
      <c r="F3353" s="82"/>
      <c r="G3353" s="86"/>
      <c r="H3353" s="86"/>
      <c r="I3353" s="86"/>
      <c r="J3353" s="82"/>
      <c r="K3353" s="82"/>
      <c r="L3353" s="82"/>
      <c r="M3353" s="82"/>
      <c r="N3353" s="82"/>
      <c r="O3353" s="82"/>
      <c r="P3353" s="82"/>
      <c r="Q3353" s="82"/>
      <c r="R3353" s="82"/>
      <c r="S3353" s="82"/>
      <c r="T3353" s="82"/>
      <c r="U3353" s="82"/>
      <c r="V3353" s="82"/>
      <c r="W3353" s="82"/>
      <c r="X3353" s="82"/>
      <c r="Y3353" s="82"/>
      <c r="Z3353" s="82"/>
      <c r="AA3353" s="82"/>
      <c r="AB3353" s="82"/>
      <c r="AC3353" s="82"/>
      <c r="AD3353" s="82"/>
      <c r="AE3353" s="82"/>
      <c r="AF3353" s="82"/>
      <c r="AG3353" s="82"/>
      <c r="AH3353" s="82"/>
      <c r="AI3353" s="82"/>
      <c r="AJ3353" s="82"/>
      <c r="AK3353" s="82"/>
      <c r="AL3353" s="82"/>
      <c r="AM3353" s="82"/>
      <c r="AN3353" s="82">
        <f>IFERROR(__xludf.DUMMYFUNCTION("""COMPUTED_VALUE"""),0.0)</f>
        <v>0</v>
      </c>
      <c r="AO3353" s="82">
        <f>IFERROR(__xludf.DUMMYFUNCTION("""COMPUTED_VALUE"""),0.0)</f>
        <v>0</v>
      </c>
      <c r="AP3353" s="82">
        <f>IFERROR(__xludf.DUMMYFUNCTION("""COMPUTED_VALUE"""),0.0)</f>
        <v>0</v>
      </c>
      <c r="AQ3353" s="82">
        <f>IFERROR(__xludf.DUMMYFUNCTION("""COMPUTED_VALUE"""),0.0)</f>
        <v>0</v>
      </c>
      <c r="AR3353" s="82">
        <f>IFERROR(__xludf.DUMMYFUNCTION("""COMPUTED_VALUE"""),0.0)</f>
        <v>0</v>
      </c>
      <c r="AS3353" s="82"/>
      <c r="AT3353" s="82">
        <f>IFERROR(__xludf.DUMMYFUNCTION("""COMPUTED_VALUE"""),0.0)</f>
        <v>0</v>
      </c>
      <c r="AU3353" s="82"/>
      <c r="AV3353" s="82"/>
      <c r="AW3353" s="82" t="str">
        <f t="shared" si="1"/>
        <v/>
      </c>
      <c r="AX3353" s="83" t="str">
        <f t="array" ref="AX3353">IFERROR(DGET('SBV Import'!A:G,"SBV",{"RSC ID","Tier";B3353,A3353}))</f>
        <v/>
      </c>
      <c r="AY3353" s="82" t="str">
        <f t="shared" si="2"/>
        <v/>
      </c>
      <c r="AZ3353" s="82"/>
      <c r="BA3353" s="84" t="s">
        <v>152</v>
      </c>
      <c r="BB3353" s="84" t="str">
        <f>IFERROR(__xludf.DUMMYFUNCTION("iferror(if(A3353="""",,E3353&gt;=FILTER(Constants!$F$2:$F$10,Constants!$A$2:$A$10=A3353)))"),"")</f>
        <v/>
      </c>
    </row>
    <row r="3354">
      <c r="A3354" s="89"/>
      <c r="B3354" s="87"/>
      <c r="C3354" s="73"/>
      <c r="D3354" s="73"/>
      <c r="E3354" s="82"/>
      <c r="F3354" s="82"/>
      <c r="G3354" s="86"/>
      <c r="H3354" s="86"/>
      <c r="I3354" s="86"/>
      <c r="J3354" s="82"/>
      <c r="K3354" s="82"/>
      <c r="L3354" s="82"/>
      <c r="M3354" s="82"/>
      <c r="N3354" s="82"/>
      <c r="O3354" s="82"/>
      <c r="P3354" s="82"/>
      <c r="Q3354" s="82"/>
      <c r="R3354" s="82"/>
      <c r="S3354" s="82"/>
      <c r="T3354" s="82"/>
      <c r="U3354" s="82"/>
      <c r="V3354" s="82"/>
      <c r="W3354" s="82"/>
      <c r="X3354" s="82"/>
      <c r="Y3354" s="82"/>
      <c r="Z3354" s="82"/>
      <c r="AA3354" s="82"/>
      <c r="AB3354" s="82"/>
      <c r="AC3354" s="82"/>
      <c r="AD3354" s="82"/>
      <c r="AE3354" s="82"/>
      <c r="AF3354" s="82"/>
      <c r="AG3354" s="82"/>
      <c r="AH3354" s="82"/>
      <c r="AI3354" s="82"/>
      <c r="AJ3354" s="82"/>
      <c r="AK3354" s="82"/>
      <c r="AL3354" s="82"/>
      <c r="AM3354" s="82"/>
      <c r="AN3354" s="82">
        <f>IFERROR(__xludf.DUMMYFUNCTION("""COMPUTED_VALUE"""),0.0)</f>
        <v>0</v>
      </c>
      <c r="AO3354" s="82">
        <f>IFERROR(__xludf.DUMMYFUNCTION("""COMPUTED_VALUE"""),0.0)</f>
        <v>0</v>
      </c>
      <c r="AP3354" s="82">
        <f>IFERROR(__xludf.DUMMYFUNCTION("""COMPUTED_VALUE"""),0.0)</f>
        <v>0</v>
      </c>
      <c r="AQ3354" s="82">
        <f>IFERROR(__xludf.DUMMYFUNCTION("""COMPUTED_VALUE"""),0.0)</f>
        <v>0</v>
      </c>
      <c r="AR3354" s="82">
        <f>IFERROR(__xludf.DUMMYFUNCTION("""COMPUTED_VALUE"""),0.0)</f>
        <v>0</v>
      </c>
      <c r="AS3354" s="82"/>
      <c r="AT3354" s="82">
        <f>IFERROR(__xludf.DUMMYFUNCTION("""COMPUTED_VALUE"""),0.0)</f>
        <v>0</v>
      </c>
      <c r="AU3354" s="82"/>
      <c r="AV3354" s="82"/>
      <c r="AW3354" s="82" t="str">
        <f t="shared" si="1"/>
        <v/>
      </c>
      <c r="AX3354" s="83" t="str">
        <f t="array" ref="AX3354">IFERROR(DGET('SBV Import'!A:G,"SBV",{"RSC ID","Tier";B3354,A3354}))</f>
        <v/>
      </c>
      <c r="AY3354" s="82" t="str">
        <f t="shared" si="2"/>
        <v/>
      </c>
      <c r="AZ3354" s="82"/>
      <c r="BA3354" s="84" t="s">
        <v>152</v>
      </c>
      <c r="BB3354" s="84" t="str">
        <f>IFERROR(__xludf.DUMMYFUNCTION("iferror(if(A3354="""",,E3354&gt;=FILTER(Constants!$F$2:$F$10,Constants!$A$2:$A$10=A3354)))"),"")</f>
        <v/>
      </c>
    </row>
    <row r="3355">
      <c r="A3355" s="89"/>
      <c r="B3355" s="87"/>
      <c r="C3355" s="73"/>
      <c r="D3355" s="73"/>
      <c r="E3355" s="82"/>
      <c r="F3355" s="82"/>
      <c r="G3355" s="86"/>
      <c r="H3355" s="86"/>
      <c r="I3355" s="86"/>
      <c r="J3355" s="82"/>
      <c r="K3355" s="82"/>
      <c r="L3355" s="82"/>
      <c r="M3355" s="82"/>
      <c r="N3355" s="82"/>
      <c r="O3355" s="82"/>
      <c r="P3355" s="82"/>
      <c r="Q3355" s="82"/>
      <c r="R3355" s="82"/>
      <c r="S3355" s="82"/>
      <c r="T3355" s="82"/>
      <c r="U3355" s="82"/>
      <c r="V3355" s="82"/>
      <c r="W3355" s="82"/>
      <c r="X3355" s="82"/>
      <c r="Y3355" s="82"/>
      <c r="Z3355" s="82"/>
      <c r="AA3355" s="82"/>
      <c r="AB3355" s="82"/>
      <c r="AC3355" s="82"/>
      <c r="AD3355" s="82"/>
      <c r="AE3355" s="82"/>
      <c r="AF3355" s="82"/>
      <c r="AG3355" s="82"/>
      <c r="AH3355" s="82"/>
      <c r="AI3355" s="82"/>
      <c r="AJ3355" s="82"/>
      <c r="AK3355" s="82"/>
      <c r="AL3355" s="82"/>
      <c r="AM3355" s="82"/>
      <c r="AN3355" s="82">
        <f>IFERROR(__xludf.DUMMYFUNCTION("""COMPUTED_VALUE"""),0.0)</f>
        <v>0</v>
      </c>
      <c r="AO3355" s="82">
        <f>IFERROR(__xludf.DUMMYFUNCTION("""COMPUTED_VALUE"""),0.0)</f>
        <v>0</v>
      </c>
      <c r="AP3355" s="82">
        <f>IFERROR(__xludf.DUMMYFUNCTION("""COMPUTED_VALUE"""),0.0)</f>
        <v>0</v>
      </c>
      <c r="AQ3355" s="82">
        <f>IFERROR(__xludf.DUMMYFUNCTION("""COMPUTED_VALUE"""),0.0)</f>
        <v>0</v>
      </c>
      <c r="AR3355" s="82">
        <f>IFERROR(__xludf.DUMMYFUNCTION("""COMPUTED_VALUE"""),0.0)</f>
        <v>0</v>
      </c>
      <c r="AS3355" s="82"/>
      <c r="AT3355" s="82">
        <f>IFERROR(__xludf.DUMMYFUNCTION("""COMPUTED_VALUE"""),0.0)</f>
        <v>0</v>
      </c>
      <c r="AU3355" s="82"/>
      <c r="AV3355" s="82"/>
      <c r="AW3355" s="82" t="str">
        <f t="shared" si="1"/>
        <v/>
      </c>
      <c r="AX3355" s="83" t="str">
        <f t="array" ref="AX3355">IFERROR(DGET('SBV Import'!A:G,"SBV",{"RSC ID","Tier";B3355,A3355}))</f>
        <v/>
      </c>
      <c r="AY3355" s="82" t="str">
        <f t="shared" si="2"/>
        <v/>
      </c>
      <c r="AZ3355" s="82"/>
      <c r="BA3355" s="84" t="s">
        <v>152</v>
      </c>
      <c r="BB3355" s="84" t="str">
        <f>IFERROR(__xludf.DUMMYFUNCTION("iferror(if(A3355="""",,E3355&gt;=FILTER(Constants!$F$2:$F$10,Constants!$A$2:$A$10=A3355)))"),"")</f>
        <v/>
      </c>
    </row>
    <row r="3356">
      <c r="A3356" s="89"/>
      <c r="B3356" s="87"/>
      <c r="C3356" s="73"/>
      <c r="D3356" s="73"/>
      <c r="E3356" s="82"/>
      <c r="F3356" s="82"/>
      <c r="G3356" s="86"/>
      <c r="H3356" s="86"/>
      <c r="I3356" s="86"/>
      <c r="J3356" s="82"/>
      <c r="K3356" s="82"/>
      <c r="L3356" s="82"/>
      <c r="M3356" s="82"/>
      <c r="N3356" s="82"/>
      <c r="O3356" s="82"/>
      <c r="P3356" s="82"/>
      <c r="Q3356" s="82"/>
      <c r="R3356" s="82"/>
      <c r="S3356" s="82"/>
      <c r="T3356" s="82"/>
      <c r="U3356" s="82"/>
      <c r="V3356" s="82"/>
      <c r="W3356" s="82"/>
      <c r="X3356" s="82"/>
      <c r="Y3356" s="82"/>
      <c r="Z3356" s="82"/>
      <c r="AA3356" s="82"/>
      <c r="AB3356" s="82"/>
      <c r="AC3356" s="82"/>
      <c r="AD3356" s="82"/>
      <c r="AE3356" s="82"/>
      <c r="AF3356" s="82"/>
      <c r="AG3356" s="82"/>
      <c r="AH3356" s="82"/>
      <c r="AI3356" s="82"/>
      <c r="AJ3356" s="82"/>
      <c r="AK3356" s="82"/>
      <c r="AL3356" s="82"/>
      <c r="AM3356" s="82"/>
      <c r="AN3356" s="82">
        <f>IFERROR(__xludf.DUMMYFUNCTION("""COMPUTED_VALUE"""),0.0)</f>
        <v>0</v>
      </c>
      <c r="AO3356" s="82">
        <f>IFERROR(__xludf.DUMMYFUNCTION("""COMPUTED_VALUE"""),0.0)</f>
        <v>0</v>
      </c>
      <c r="AP3356" s="82">
        <f>IFERROR(__xludf.DUMMYFUNCTION("""COMPUTED_VALUE"""),0.0)</f>
        <v>0</v>
      </c>
      <c r="AQ3356" s="82">
        <f>IFERROR(__xludf.DUMMYFUNCTION("""COMPUTED_VALUE"""),0.0)</f>
        <v>0</v>
      </c>
      <c r="AR3356" s="82">
        <f>IFERROR(__xludf.DUMMYFUNCTION("""COMPUTED_VALUE"""),0.0)</f>
        <v>0</v>
      </c>
      <c r="AS3356" s="82"/>
      <c r="AT3356" s="82">
        <f>IFERROR(__xludf.DUMMYFUNCTION("""COMPUTED_VALUE"""),0.0)</f>
        <v>0</v>
      </c>
      <c r="AU3356" s="82"/>
      <c r="AV3356" s="82"/>
      <c r="AW3356" s="82" t="str">
        <f t="shared" si="1"/>
        <v/>
      </c>
      <c r="AX3356" s="83" t="str">
        <f t="array" ref="AX3356">IFERROR(DGET('SBV Import'!A:G,"SBV",{"RSC ID","Tier";B3356,A3356}))</f>
        <v/>
      </c>
      <c r="AY3356" s="82" t="str">
        <f t="shared" si="2"/>
        <v/>
      </c>
      <c r="AZ3356" s="82"/>
      <c r="BA3356" s="84" t="s">
        <v>152</v>
      </c>
      <c r="BB3356" s="84" t="str">
        <f>IFERROR(__xludf.DUMMYFUNCTION("iferror(if(A3356="""",,E3356&gt;=FILTER(Constants!$F$2:$F$10,Constants!$A$2:$A$10=A3356)))"),"")</f>
        <v/>
      </c>
    </row>
    <row r="3357">
      <c r="A3357" s="89"/>
      <c r="B3357" s="87"/>
      <c r="C3357" s="73"/>
      <c r="D3357" s="73"/>
      <c r="E3357" s="82"/>
      <c r="F3357" s="82"/>
      <c r="G3357" s="86"/>
      <c r="H3357" s="86"/>
      <c r="I3357" s="86"/>
      <c r="J3357" s="82"/>
      <c r="K3357" s="82"/>
      <c r="L3357" s="82"/>
      <c r="M3357" s="82"/>
      <c r="N3357" s="82"/>
      <c r="O3357" s="82"/>
      <c r="P3357" s="82"/>
      <c r="Q3357" s="82"/>
      <c r="R3357" s="82"/>
      <c r="S3357" s="82"/>
      <c r="T3357" s="82"/>
      <c r="U3357" s="82"/>
      <c r="V3357" s="82"/>
      <c r="W3357" s="82"/>
      <c r="X3357" s="82"/>
      <c r="Y3357" s="82"/>
      <c r="Z3357" s="82"/>
      <c r="AA3357" s="82"/>
      <c r="AB3357" s="82"/>
      <c r="AC3357" s="82"/>
      <c r="AD3357" s="82"/>
      <c r="AE3357" s="82"/>
      <c r="AF3357" s="82"/>
      <c r="AG3357" s="82"/>
      <c r="AH3357" s="82"/>
      <c r="AI3357" s="82"/>
      <c r="AJ3357" s="82"/>
      <c r="AK3357" s="82"/>
      <c r="AL3357" s="82"/>
      <c r="AM3357" s="82"/>
      <c r="AN3357" s="82">
        <f>IFERROR(__xludf.DUMMYFUNCTION("""COMPUTED_VALUE"""),0.0)</f>
        <v>0</v>
      </c>
      <c r="AO3357" s="82">
        <f>IFERROR(__xludf.DUMMYFUNCTION("""COMPUTED_VALUE"""),0.0)</f>
        <v>0</v>
      </c>
      <c r="AP3357" s="82">
        <f>IFERROR(__xludf.DUMMYFUNCTION("""COMPUTED_VALUE"""),0.0)</f>
        <v>0</v>
      </c>
      <c r="AQ3357" s="82">
        <f>IFERROR(__xludf.DUMMYFUNCTION("""COMPUTED_VALUE"""),0.0)</f>
        <v>0</v>
      </c>
      <c r="AR3357" s="82">
        <f>IFERROR(__xludf.DUMMYFUNCTION("""COMPUTED_VALUE"""),0.0)</f>
        <v>0</v>
      </c>
      <c r="AS3357" s="82"/>
      <c r="AT3357" s="82">
        <f>IFERROR(__xludf.DUMMYFUNCTION("""COMPUTED_VALUE"""),0.0)</f>
        <v>0</v>
      </c>
      <c r="AU3357" s="82"/>
      <c r="AV3357" s="82"/>
      <c r="AW3357" s="82" t="str">
        <f t="shared" si="1"/>
        <v/>
      </c>
      <c r="AX3357" s="83" t="str">
        <f t="array" ref="AX3357">IFERROR(DGET('SBV Import'!A:G,"SBV",{"RSC ID","Tier";B3357,A3357}))</f>
        <v/>
      </c>
      <c r="AY3357" s="82" t="str">
        <f t="shared" si="2"/>
        <v/>
      </c>
      <c r="AZ3357" s="82"/>
      <c r="BA3357" s="84" t="s">
        <v>152</v>
      </c>
      <c r="BB3357" s="84" t="str">
        <f>IFERROR(__xludf.DUMMYFUNCTION("iferror(if(A3357="""",,E3357&gt;=FILTER(Constants!$F$2:$F$10,Constants!$A$2:$A$10=A3357)))"),"")</f>
        <v/>
      </c>
    </row>
    <row r="3358">
      <c r="A3358" s="89"/>
      <c r="B3358" s="87"/>
      <c r="C3358" s="73"/>
      <c r="D3358" s="73"/>
      <c r="E3358" s="82"/>
      <c r="F3358" s="82"/>
      <c r="G3358" s="86"/>
      <c r="H3358" s="86"/>
      <c r="I3358" s="86"/>
      <c r="J3358" s="82"/>
      <c r="K3358" s="82"/>
      <c r="L3358" s="82"/>
      <c r="M3358" s="82"/>
      <c r="N3358" s="82"/>
      <c r="O3358" s="82"/>
      <c r="P3358" s="82"/>
      <c r="Q3358" s="82"/>
      <c r="R3358" s="82"/>
      <c r="S3358" s="82"/>
      <c r="T3358" s="82"/>
      <c r="U3358" s="82"/>
      <c r="V3358" s="82"/>
      <c r="W3358" s="82"/>
      <c r="X3358" s="82"/>
      <c r="Y3358" s="82"/>
      <c r="Z3358" s="82"/>
      <c r="AA3358" s="82"/>
      <c r="AB3358" s="82"/>
      <c r="AC3358" s="82"/>
      <c r="AD3358" s="82"/>
      <c r="AE3358" s="82"/>
      <c r="AF3358" s="82"/>
      <c r="AG3358" s="82"/>
      <c r="AH3358" s="82"/>
      <c r="AI3358" s="82"/>
      <c r="AJ3358" s="82"/>
      <c r="AK3358" s="82"/>
      <c r="AL3358" s="82"/>
      <c r="AM3358" s="82"/>
      <c r="AN3358" s="82">
        <f>IFERROR(__xludf.DUMMYFUNCTION("""COMPUTED_VALUE"""),0.0)</f>
        <v>0</v>
      </c>
      <c r="AO3358" s="82">
        <f>IFERROR(__xludf.DUMMYFUNCTION("""COMPUTED_VALUE"""),0.0)</f>
        <v>0</v>
      </c>
      <c r="AP3358" s="82">
        <f>IFERROR(__xludf.DUMMYFUNCTION("""COMPUTED_VALUE"""),0.0)</f>
        <v>0</v>
      </c>
      <c r="AQ3358" s="82">
        <f>IFERROR(__xludf.DUMMYFUNCTION("""COMPUTED_VALUE"""),0.0)</f>
        <v>0</v>
      </c>
      <c r="AR3358" s="82">
        <f>IFERROR(__xludf.DUMMYFUNCTION("""COMPUTED_VALUE"""),0.0)</f>
        <v>0</v>
      </c>
      <c r="AS3358" s="82"/>
      <c r="AT3358" s="82">
        <f>IFERROR(__xludf.DUMMYFUNCTION("""COMPUTED_VALUE"""),0.0)</f>
        <v>0</v>
      </c>
      <c r="AU3358" s="82"/>
      <c r="AV3358" s="82"/>
      <c r="AW3358" s="82" t="str">
        <f t="shared" si="1"/>
        <v/>
      </c>
      <c r="AX3358" s="83" t="str">
        <f t="array" ref="AX3358">IFERROR(DGET('SBV Import'!A:G,"SBV",{"RSC ID","Tier";B3358,A3358}))</f>
        <v/>
      </c>
      <c r="AY3358" s="82" t="str">
        <f t="shared" si="2"/>
        <v/>
      </c>
      <c r="AZ3358" s="82"/>
      <c r="BA3358" s="84" t="s">
        <v>152</v>
      </c>
      <c r="BB3358" s="84" t="str">
        <f>IFERROR(__xludf.DUMMYFUNCTION("iferror(if(A3358="""",,E3358&gt;=FILTER(Constants!$F$2:$F$10,Constants!$A$2:$A$10=A3358)))"),"")</f>
        <v/>
      </c>
    </row>
    <row r="3359">
      <c r="A3359" s="89"/>
      <c r="B3359" s="87"/>
      <c r="C3359" s="73"/>
      <c r="D3359" s="73"/>
      <c r="E3359" s="82"/>
      <c r="F3359" s="82"/>
      <c r="G3359" s="86"/>
      <c r="H3359" s="86"/>
      <c r="I3359" s="86"/>
      <c r="J3359" s="82"/>
      <c r="K3359" s="82"/>
      <c r="L3359" s="82"/>
      <c r="M3359" s="82"/>
      <c r="N3359" s="82"/>
      <c r="O3359" s="82"/>
      <c r="P3359" s="82"/>
      <c r="Q3359" s="82"/>
      <c r="R3359" s="82"/>
      <c r="S3359" s="82"/>
      <c r="T3359" s="82"/>
      <c r="U3359" s="82"/>
      <c r="V3359" s="82"/>
      <c r="W3359" s="82"/>
      <c r="X3359" s="82"/>
      <c r="Y3359" s="82"/>
      <c r="Z3359" s="82"/>
      <c r="AA3359" s="82"/>
      <c r="AB3359" s="82"/>
      <c r="AC3359" s="82"/>
      <c r="AD3359" s="82"/>
      <c r="AE3359" s="82"/>
      <c r="AF3359" s="82"/>
      <c r="AG3359" s="82"/>
      <c r="AH3359" s="82"/>
      <c r="AI3359" s="82"/>
      <c r="AJ3359" s="82"/>
      <c r="AK3359" s="82"/>
      <c r="AL3359" s="82"/>
      <c r="AM3359" s="82"/>
      <c r="AN3359" s="82">
        <f>IFERROR(__xludf.DUMMYFUNCTION("""COMPUTED_VALUE"""),0.0)</f>
        <v>0</v>
      </c>
      <c r="AO3359" s="82">
        <f>IFERROR(__xludf.DUMMYFUNCTION("""COMPUTED_VALUE"""),0.0)</f>
        <v>0</v>
      </c>
      <c r="AP3359" s="82">
        <f>IFERROR(__xludf.DUMMYFUNCTION("""COMPUTED_VALUE"""),0.0)</f>
        <v>0</v>
      </c>
      <c r="AQ3359" s="82">
        <f>IFERROR(__xludf.DUMMYFUNCTION("""COMPUTED_VALUE"""),0.0)</f>
        <v>0</v>
      </c>
      <c r="AR3359" s="82">
        <f>IFERROR(__xludf.DUMMYFUNCTION("""COMPUTED_VALUE"""),0.0)</f>
        <v>0</v>
      </c>
      <c r="AS3359" s="82"/>
      <c r="AT3359" s="82">
        <f>IFERROR(__xludf.DUMMYFUNCTION("""COMPUTED_VALUE"""),0.0)</f>
        <v>0</v>
      </c>
      <c r="AU3359" s="82"/>
      <c r="AV3359" s="82"/>
      <c r="AW3359" s="82" t="str">
        <f t="shared" si="1"/>
        <v/>
      </c>
      <c r="AX3359" s="83" t="str">
        <f t="array" ref="AX3359">IFERROR(DGET('SBV Import'!A:G,"SBV",{"RSC ID","Tier";B3359,A3359}))</f>
        <v/>
      </c>
      <c r="AY3359" s="82" t="str">
        <f t="shared" si="2"/>
        <v/>
      </c>
      <c r="AZ3359" s="82"/>
      <c r="BA3359" s="84" t="s">
        <v>152</v>
      </c>
      <c r="BB3359" s="84" t="str">
        <f>IFERROR(__xludf.DUMMYFUNCTION("iferror(if(A3359="""",,E3359&gt;=FILTER(Constants!$F$2:$F$10,Constants!$A$2:$A$10=A3359)))"),"")</f>
        <v/>
      </c>
    </row>
    <row r="3360">
      <c r="A3360" s="89"/>
      <c r="B3360" s="87"/>
      <c r="C3360" s="73"/>
      <c r="D3360" s="73"/>
      <c r="E3360" s="82"/>
      <c r="F3360" s="82"/>
      <c r="G3360" s="86"/>
      <c r="H3360" s="86"/>
      <c r="I3360" s="86"/>
      <c r="J3360" s="82"/>
      <c r="K3360" s="82"/>
      <c r="L3360" s="82"/>
      <c r="M3360" s="82"/>
      <c r="N3360" s="82"/>
      <c r="O3360" s="82"/>
      <c r="P3360" s="82"/>
      <c r="Q3360" s="82"/>
      <c r="R3360" s="82"/>
      <c r="S3360" s="82"/>
      <c r="T3360" s="82"/>
      <c r="U3360" s="82"/>
      <c r="V3360" s="82"/>
      <c r="W3360" s="82"/>
      <c r="X3360" s="82"/>
      <c r="Y3360" s="82"/>
      <c r="Z3360" s="82"/>
      <c r="AA3360" s="82"/>
      <c r="AB3360" s="82"/>
      <c r="AC3360" s="82"/>
      <c r="AD3360" s="82"/>
      <c r="AE3360" s="82"/>
      <c r="AF3360" s="82"/>
      <c r="AG3360" s="82"/>
      <c r="AH3360" s="82"/>
      <c r="AI3360" s="82"/>
      <c r="AJ3360" s="82"/>
      <c r="AK3360" s="82"/>
      <c r="AL3360" s="82"/>
      <c r="AM3360" s="82"/>
      <c r="AN3360" s="82">
        <f>IFERROR(__xludf.DUMMYFUNCTION("""COMPUTED_VALUE"""),0.0)</f>
        <v>0</v>
      </c>
      <c r="AO3360" s="82">
        <f>IFERROR(__xludf.DUMMYFUNCTION("""COMPUTED_VALUE"""),0.0)</f>
        <v>0</v>
      </c>
      <c r="AP3360" s="82">
        <f>IFERROR(__xludf.DUMMYFUNCTION("""COMPUTED_VALUE"""),0.0)</f>
        <v>0</v>
      </c>
      <c r="AQ3360" s="82">
        <f>IFERROR(__xludf.DUMMYFUNCTION("""COMPUTED_VALUE"""),0.0)</f>
        <v>0</v>
      </c>
      <c r="AR3360" s="82">
        <f>IFERROR(__xludf.DUMMYFUNCTION("""COMPUTED_VALUE"""),0.0)</f>
        <v>0</v>
      </c>
      <c r="AS3360" s="82"/>
      <c r="AT3360" s="82">
        <f>IFERROR(__xludf.DUMMYFUNCTION("""COMPUTED_VALUE"""),0.0)</f>
        <v>0</v>
      </c>
      <c r="AU3360" s="82"/>
      <c r="AV3360" s="82"/>
      <c r="AW3360" s="82" t="str">
        <f t="shared" si="1"/>
        <v/>
      </c>
      <c r="AX3360" s="83" t="str">
        <f t="array" ref="AX3360">IFERROR(DGET('SBV Import'!A:G,"SBV",{"RSC ID","Tier";B3360,A3360}))</f>
        <v/>
      </c>
      <c r="AY3360" s="82" t="str">
        <f t="shared" si="2"/>
        <v/>
      </c>
      <c r="AZ3360" s="82"/>
      <c r="BA3360" s="84" t="s">
        <v>152</v>
      </c>
      <c r="BB3360" s="84" t="str">
        <f>IFERROR(__xludf.DUMMYFUNCTION("iferror(if(A3360="""",,E3360&gt;=FILTER(Constants!$F$2:$F$10,Constants!$A$2:$A$10=A3360)))"),"")</f>
        <v/>
      </c>
    </row>
    <row r="3361">
      <c r="A3361" s="89"/>
      <c r="B3361" s="87"/>
      <c r="C3361" s="73"/>
      <c r="D3361" s="73"/>
      <c r="E3361" s="82"/>
      <c r="F3361" s="82"/>
      <c r="G3361" s="86"/>
      <c r="H3361" s="86"/>
      <c r="I3361" s="86"/>
      <c r="J3361" s="82"/>
      <c r="K3361" s="82"/>
      <c r="L3361" s="82"/>
      <c r="M3361" s="82"/>
      <c r="N3361" s="82"/>
      <c r="O3361" s="82"/>
      <c r="P3361" s="82"/>
      <c r="Q3361" s="82"/>
      <c r="R3361" s="82"/>
      <c r="S3361" s="82"/>
      <c r="T3361" s="82"/>
      <c r="U3361" s="82"/>
      <c r="V3361" s="82"/>
      <c r="W3361" s="82"/>
      <c r="X3361" s="82"/>
      <c r="Y3361" s="82"/>
      <c r="Z3361" s="82"/>
      <c r="AA3361" s="82"/>
      <c r="AB3361" s="82"/>
      <c r="AC3361" s="82"/>
      <c r="AD3361" s="82"/>
      <c r="AE3361" s="82"/>
      <c r="AF3361" s="82"/>
      <c r="AG3361" s="82"/>
      <c r="AH3361" s="82"/>
      <c r="AI3361" s="82"/>
      <c r="AJ3361" s="82"/>
      <c r="AK3361" s="82"/>
      <c r="AL3361" s="82"/>
      <c r="AM3361" s="82"/>
      <c r="AN3361" s="82">
        <f>IFERROR(__xludf.DUMMYFUNCTION("""COMPUTED_VALUE"""),0.0)</f>
        <v>0</v>
      </c>
      <c r="AO3361" s="82">
        <f>IFERROR(__xludf.DUMMYFUNCTION("""COMPUTED_VALUE"""),0.0)</f>
        <v>0</v>
      </c>
      <c r="AP3361" s="82">
        <f>IFERROR(__xludf.DUMMYFUNCTION("""COMPUTED_VALUE"""),0.0)</f>
        <v>0</v>
      </c>
      <c r="AQ3361" s="82">
        <f>IFERROR(__xludf.DUMMYFUNCTION("""COMPUTED_VALUE"""),0.0)</f>
        <v>0</v>
      </c>
      <c r="AR3361" s="82">
        <f>IFERROR(__xludf.DUMMYFUNCTION("""COMPUTED_VALUE"""),0.0)</f>
        <v>0</v>
      </c>
      <c r="AS3361" s="82"/>
      <c r="AT3361" s="82">
        <f>IFERROR(__xludf.DUMMYFUNCTION("""COMPUTED_VALUE"""),0.0)</f>
        <v>0</v>
      </c>
      <c r="AU3361" s="82"/>
      <c r="AV3361" s="82"/>
      <c r="AW3361" s="82" t="str">
        <f t="shared" si="1"/>
        <v/>
      </c>
      <c r="AX3361" s="83" t="str">
        <f t="array" ref="AX3361">IFERROR(DGET('SBV Import'!A:G,"SBV",{"RSC ID","Tier";B3361,A3361}))</f>
        <v/>
      </c>
      <c r="AY3361" s="82" t="str">
        <f t="shared" si="2"/>
        <v/>
      </c>
      <c r="AZ3361" s="82"/>
      <c r="BA3361" s="84" t="s">
        <v>152</v>
      </c>
      <c r="BB3361" s="84" t="str">
        <f>IFERROR(__xludf.DUMMYFUNCTION("iferror(if(A3361="""",,E3361&gt;=FILTER(Constants!$F$2:$F$10,Constants!$A$2:$A$10=A3361)))"),"")</f>
        <v/>
      </c>
    </row>
    <row r="3362">
      <c r="A3362" s="89"/>
      <c r="B3362" s="87"/>
      <c r="C3362" s="73"/>
      <c r="D3362" s="73"/>
      <c r="E3362" s="82"/>
      <c r="F3362" s="82"/>
      <c r="G3362" s="86"/>
      <c r="H3362" s="86"/>
      <c r="I3362" s="86"/>
      <c r="J3362" s="82"/>
      <c r="K3362" s="82"/>
      <c r="L3362" s="82"/>
      <c r="M3362" s="82"/>
      <c r="N3362" s="82"/>
      <c r="O3362" s="82"/>
      <c r="P3362" s="82"/>
      <c r="Q3362" s="82"/>
      <c r="R3362" s="82"/>
      <c r="S3362" s="82"/>
      <c r="T3362" s="82"/>
      <c r="U3362" s="82"/>
      <c r="V3362" s="82"/>
      <c r="W3362" s="82"/>
      <c r="X3362" s="82"/>
      <c r="Y3362" s="82"/>
      <c r="Z3362" s="82"/>
      <c r="AA3362" s="82"/>
      <c r="AB3362" s="82"/>
      <c r="AC3362" s="82"/>
      <c r="AD3362" s="82"/>
      <c r="AE3362" s="82"/>
      <c r="AF3362" s="82"/>
      <c r="AG3362" s="82"/>
      <c r="AH3362" s="82"/>
      <c r="AI3362" s="82"/>
      <c r="AJ3362" s="82"/>
      <c r="AK3362" s="82"/>
      <c r="AL3362" s="82"/>
      <c r="AM3362" s="82"/>
      <c r="AN3362" s="82">
        <f>IFERROR(__xludf.DUMMYFUNCTION("""COMPUTED_VALUE"""),0.0)</f>
        <v>0</v>
      </c>
      <c r="AO3362" s="82">
        <f>IFERROR(__xludf.DUMMYFUNCTION("""COMPUTED_VALUE"""),0.0)</f>
        <v>0</v>
      </c>
      <c r="AP3362" s="82">
        <f>IFERROR(__xludf.DUMMYFUNCTION("""COMPUTED_VALUE"""),0.0)</f>
        <v>0</v>
      </c>
      <c r="AQ3362" s="82">
        <f>IFERROR(__xludf.DUMMYFUNCTION("""COMPUTED_VALUE"""),0.0)</f>
        <v>0</v>
      </c>
      <c r="AR3362" s="82">
        <f>IFERROR(__xludf.DUMMYFUNCTION("""COMPUTED_VALUE"""),0.0)</f>
        <v>0</v>
      </c>
      <c r="AS3362" s="82"/>
      <c r="AT3362" s="82">
        <f>IFERROR(__xludf.DUMMYFUNCTION("""COMPUTED_VALUE"""),0.0)</f>
        <v>0</v>
      </c>
      <c r="AU3362" s="82"/>
      <c r="AV3362" s="82"/>
      <c r="AW3362" s="82" t="str">
        <f t="shared" si="1"/>
        <v/>
      </c>
      <c r="AX3362" s="83" t="str">
        <f t="array" ref="AX3362">IFERROR(DGET('SBV Import'!A:G,"SBV",{"RSC ID","Tier";B3362,A3362}))</f>
        <v/>
      </c>
      <c r="AY3362" s="82" t="str">
        <f t="shared" si="2"/>
        <v/>
      </c>
      <c r="AZ3362" s="82"/>
      <c r="BA3362" s="84" t="s">
        <v>152</v>
      </c>
      <c r="BB3362" s="84" t="str">
        <f>IFERROR(__xludf.DUMMYFUNCTION("iferror(if(A3362="""",,E3362&gt;=FILTER(Constants!$F$2:$F$10,Constants!$A$2:$A$10=A3362)))"),"")</f>
        <v/>
      </c>
    </row>
    <row r="3363">
      <c r="A3363" s="89"/>
      <c r="B3363" s="87"/>
      <c r="C3363" s="73"/>
      <c r="D3363" s="73"/>
      <c r="E3363" s="82"/>
      <c r="F3363" s="82"/>
      <c r="G3363" s="86"/>
      <c r="H3363" s="86"/>
      <c r="I3363" s="86"/>
      <c r="J3363" s="82"/>
      <c r="K3363" s="82"/>
      <c r="L3363" s="82"/>
      <c r="M3363" s="82"/>
      <c r="N3363" s="82"/>
      <c r="O3363" s="82"/>
      <c r="P3363" s="82"/>
      <c r="Q3363" s="82"/>
      <c r="R3363" s="82"/>
      <c r="S3363" s="82"/>
      <c r="T3363" s="82"/>
      <c r="U3363" s="82"/>
      <c r="V3363" s="82"/>
      <c r="W3363" s="82"/>
      <c r="X3363" s="82"/>
      <c r="Y3363" s="82"/>
      <c r="Z3363" s="82"/>
      <c r="AA3363" s="82"/>
      <c r="AB3363" s="82"/>
      <c r="AC3363" s="82"/>
      <c r="AD3363" s="82"/>
      <c r="AE3363" s="82"/>
      <c r="AF3363" s="82"/>
      <c r="AG3363" s="82"/>
      <c r="AH3363" s="82"/>
      <c r="AI3363" s="82"/>
      <c r="AJ3363" s="82"/>
      <c r="AK3363" s="82"/>
      <c r="AL3363" s="82"/>
      <c r="AM3363" s="82"/>
      <c r="AN3363" s="82">
        <f>IFERROR(__xludf.DUMMYFUNCTION("""COMPUTED_VALUE"""),0.0)</f>
        <v>0</v>
      </c>
      <c r="AO3363" s="82">
        <f>IFERROR(__xludf.DUMMYFUNCTION("""COMPUTED_VALUE"""),0.0)</f>
        <v>0</v>
      </c>
      <c r="AP3363" s="82">
        <f>IFERROR(__xludf.DUMMYFUNCTION("""COMPUTED_VALUE"""),0.0)</f>
        <v>0</v>
      </c>
      <c r="AQ3363" s="82">
        <f>IFERROR(__xludf.DUMMYFUNCTION("""COMPUTED_VALUE"""),0.0)</f>
        <v>0</v>
      </c>
      <c r="AR3363" s="82">
        <f>IFERROR(__xludf.DUMMYFUNCTION("""COMPUTED_VALUE"""),0.0)</f>
        <v>0</v>
      </c>
      <c r="AS3363" s="82"/>
      <c r="AT3363" s="82">
        <f>IFERROR(__xludf.DUMMYFUNCTION("""COMPUTED_VALUE"""),0.0)</f>
        <v>0</v>
      </c>
      <c r="AU3363" s="82"/>
      <c r="AV3363" s="82"/>
      <c r="AW3363" s="82" t="str">
        <f t="shared" si="1"/>
        <v/>
      </c>
      <c r="AX3363" s="83" t="str">
        <f t="array" ref="AX3363">IFERROR(DGET('SBV Import'!A:G,"SBV",{"RSC ID","Tier";B3363,A3363}))</f>
        <v/>
      </c>
      <c r="AY3363" s="82" t="str">
        <f t="shared" si="2"/>
        <v/>
      </c>
      <c r="AZ3363" s="82"/>
      <c r="BA3363" s="84" t="s">
        <v>152</v>
      </c>
      <c r="BB3363" s="84" t="str">
        <f>IFERROR(__xludf.DUMMYFUNCTION("iferror(if(A3363="""",,E3363&gt;=FILTER(Constants!$F$2:$F$10,Constants!$A$2:$A$10=A3363)))"),"")</f>
        <v/>
      </c>
    </row>
    <row r="3364">
      <c r="A3364" s="89"/>
      <c r="B3364" s="87"/>
      <c r="C3364" s="73"/>
      <c r="D3364" s="73"/>
      <c r="E3364" s="82"/>
      <c r="F3364" s="82"/>
      <c r="G3364" s="86"/>
      <c r="H3364" s="86"/>
      <c r="I3364" s="86"/>
      <c r="J3364" s="82"/>
      <c r="K3364" s="82"/>
      <c r="L3364" s="82"/>
      <c r="M3364" s="82"/>
      <c r="N3364" s="82"/>
      <c r="O3364" s="82"/>
      <c r="P3364" s="82"/>
      <c r="Q3364" s="82"/>
      <c r="R3364" s="82"/>
      <c r="S3364" s="82"/>
      <c r="T3364" s="82"/>
      <c r="U3364" s="82"/>
      <c r="V3364" s="82"/>
      <c r="W3364" s="82"/>
      <c r="X3364" s="82"/>
      <c r="Y3364" s="82"/>
      <c r="Z3364" s="82"/>
      <c r="AA3364" s="82"/>
      <c r="AB3364" s="82"/>
      <c r="AC3364" s="82"/>
      <c r="AD3364" s="82"/>
      <c r="AE3364" s="82"/>
      <c r="AF3364" s="82"/>
      <c r="AG3364" s="82"/>
      <c r="AH3364" s="82"/>
      <c r="AI3364" s="82"/>
      <c r="AJ3364" s="82"/>
      <c r="AK3364" s="82"/>
      <c r="AL3364" s="82"/>
      <c r="AM3364" s="82"/>
      <c r="AN3364" s="82">
        <f>IFERROR(__xludf.DUMMYFUNCTION("""COMPUTED_VALUE"""),0.0)</f>
        <v>0</v>
      </c>
      <c r="AO3364" s="82">
        <f>IFERROR(__xludf.DUMMYFUNCTION("""COMPUTED_VALUE"""),0.0)</f>
        <v>0</v>
      </c>
      <c r="AP3364" s="82">
        <f>IFERROR(__xludf.DUMMYFUNCTION("""COMPUTED_VALUE"""),0.0)</f>
        <v>0</v>
      </c>
      <c r="AQ3364" s="82">
        <f>IFERROR(__xludf.DUMMYFUNCTION("""COMPUTED_VALUE"""),0.0)</f>
        <v>0</v>
      </c>
      <c r="AR3364" s="82">
        <f>IFERROR(__xludf.DUMMYFUNCTION("""COMPUTED_VALUE"""),0.0)</f>
        <v>0</v>
      </c>
      <c r="AS3364" s="82"/>
      <c r="AT3364" s="82">
        <f>IFERROR(__xludf.DUMMYFUNCTION("""COMPUTED_VALUE"""),0.0)</f>
        <v>0</v>
      </c>
      <c r="AU3364" s="82"/>
      <c r="AV3364" s="82"/>
      <c r="AW3364" s="82" t="str">
        <f t="shared" si="1"/>
        <v/>
      </c>
      <c r="AX3364" s="83" t="str">
        <f t="array" ref="AX3364">IFERROR(DGET('SBV Import'!A:G,"SBV",{"RSC ID","Tier";B3364,A3364}))</f>
        <v/>
      </c>
      <c r="AY3364" s="82" t="str">
        <f t="shared" si="2"/>
        <v/>
      </c>
      <c r="AZ3364" s="82"/>
      <c r="BA3364" s="84" t="s">
        <v>152</v>
      </c>
      <c r="BB3364" s="84" t="str">
        <f>IFERROR(__xludf.DUMMYFUNCTION("iferror(if(A3364="""",,E3364&gt;=FILTER(Constants!$F$2:$F$10,Constants!$A$2:$A$10=A3364)))"),"")</f>
        <v/>
      </c>
    </row>
    <row r="3365">
      <c r="A3365" s="89"/>
      <c r="B3365" s="87"/>
      <c r="C3365" s="73"/>
      <c r="D3365" s="73"/>
      <c r="E3365" s="82"/>
      <c r="F3365" s="82"/>
      <c r="G3365" s="86"/>
      <c r="H3365" s="86"/>
      <c r="I3365" s="86"/>
      <c r="J3365" s="82"/>
      <c r="K3365" s="82"/>
      <c r="L3365" s="82"/>
      <c r="M3365" s="82"/>
      <c r="N3365" s="82"/>
      <c r="O3365" s="82"/>
      <c r="P3365" s="82"/>
      <c r="Q3365" s="82"/>
      <c r="R3365" s="82"/>
      <c r="S3365" s="82"/>
      <c r="T3365" s="82"/>
      <c r="U3365" s="82"/>
      <c r="V3365" s="82"/>
      <c r="W3365" s="82"/>
      <c r="X3365" s="82"/>
      <c r="Y3365" s="82"/>
      <c r="Z3365" s="82"/>
      <c r="AA3365" s="82"/>
      <c r="AB3365" s="82"/>
      <c r="AC3365" s="82"/>
      <c r="AD3365" s="82"/>
      <c r="AE3365" s="82"/>
      <c r="AF3365" s="82"/>
      <c r="AG3365" s="82"/>
      <c r="AH3365" s="82"/>
      <c r="AI3365" s="82"/>
      <c r="AJ3365" s="82"/>
      <c r="AK3365" s="82"/>
      <c r="AL3365" s="82"/>
      <c r="AM3365" s="82"/>
      <c r="AN3365" s="82">
        <f>IFERROR(__xludf.DUMMYFUNCTION("""COMPUTED_VALUE"""),0.0)</f>
        <v>0</v>
      </c>
      <c r="AO3365" s="82">
        <f>IFERROR(__xludf.DUMMYFUNCTION("""COMPUTED_VALUE"""),0.0)</f>
        <v>0</v>
      </c>
      <c r="AP3365" s="82">
        <f>IFERROR(__xludf.DUMMYFUNCTION("""COMPUTED_VALUE"""),0.0)</f>
        <v>0</v>
      </c>
      <c r="AQ3365" s="82">
        <f>IFERROR(__xludf.DUMMYFUNCTION("""COMPUTED_VALUE"""),0.0)</f>
        <v>0</v>
      </c>
      <c r="AR3365" s="82">
        <f>IFERROR(__xludf.DUMMYFUNCTION("""COMPUTED_VALUE"""),0.0)</f>
        <v>0</v>
      </c>
      <c r="AS3365" s="82"/>
      <c r="AT3365" s="82">
        <f>IFERROR(__xludf.DUMMYFUNCTION("""COMPUTED_VALUE"""),0.0)</f>
        <v>0</v>
      </c>
      <c r="AU3365" s="82"/>
      <c r="AV3365" s="82"/>
      <c r="AW3365" s="82" t="str">
        <f t="shared" si="1"/>
        <v/>
      </c>
      <c r="AX3365" s="83" t="str">
        <f t="array" ref="AX3365">IFERROR(DGET('SBV Import'!A:G,"SBV",{"RSC ID","Tier";B3365,A3365}))</f>
        <v/>
      </c>
      <c r="AY3365" s="82" t="str">
        <f t="shared" si="2"/>
        <v/>
      </c>
      <c r="AZ3365" s="82"/>
      <c r="BA3365" s="84" t="s">
        <v>152</v>
      </c>
      <c r="BB3365" s="84" t="str">
        <f>IFERROR(__xludf.DUMMYFUNCTION("iferror(if(A3365="""",,E3365&gt;=FILTER(Constants!$F$2:$F$10,Constants!$A$2:$A$10=A3365)))"),"")</f>
        <v/>
      </c>
    </row>
    <row r="3366">
      <c r="A3366" s="89"/>
      <c r="B3366" s="87"/>
      <c r="C3366" s="73"/>
      <c r="D3366" s="73"/>
      <c r="E3366" s="82"/>
      <c r="F3366" s="82"/>
      <c r="G3366" s="86"/>
      <c r="H3366" s="86"/>
      <c r="I3366" s="86"/>
      <c r="J3366" s="82"/>
      <c r="K3366" s="82"/>
      <c r="L3366" s="82"/>
      <c r="M3366" s="82"/>
      <c r="N3366" s="82"/>
      <c r="O3366" s="82"/>
      <c r="P3366" s="82"/>
      <c r="Q3366" s="82"/>
      <c r="R3366" s="82"/>
      <c r="S3366" s="82"/>
      <c r="T3366" s="82"/>
      <c r="U3366" s="82"/>
      <c r="V3366" s="82"/>
      <c r="W3366" s="82"/>
      <c r="X3366" s="82"/>
      <c r="Y3366" s="82"/>
      <c r="Z3366" s="82"/>
      <c r="AA3366" s="82"/>
      <c r="AB3366" s="82"/>
      <c r="AC3366" s="82"/>
      <c r="AD3366" s="82"/>
      <c r="AE3366" s="82"/>
      <c r="AF3366" s="82"/>
      <c r="AG3366" s="82"/>
      <c r="AH3366" s="82"/>
      <c r="AI3366" s="82"/>
      <c r="AJ3366" s="82"/>
      <c r="AK3366" s="82"/>
      <c r="AL3366" s="82"/>
      <c r="AM3366" s="82"/>
      <c r="AN3366" s="82">
        <f>IFERROR(__xludf.DUMMYFUNCTION("""COMPUTED_VALUE"""),0.0)</f>
        <v>0</v>
      </c>
      <c r="AO3366" s="82">
        <f>IFERROR(__xludf.DUMMYFUNCTION("""COMPUTED_VALUE"""),0.0)</f>
        <v>0</v>
      </c>
      <c r="AP3366" s="82">
        <f>IFERROR(__xludf.DUMMYFUNCTION("""COMPUTED_VALUE"""),0.0)</f>
        <v>0</v>
      </c>
      <c r="AQ3366" s="82">
        <f>IFERROR(__xludf.DUMMYFUNCTION("""COMPUTED_VALUE"""),0.0)</f>
        <v>0</v>
      </c>
      <c r="AR3366" s="82">
        <f>IFERROR(__xludf.DUMMYFUNCTION("""COMPUTED_VALUE"""),0.0)</f>
        <v>0</v>
      </c>
      <c r="AS3366" s="82"/>
      <c r="AT3366" s="82">
        <f>IFERROR(__xludf.DUMMYFUNCTION("""COMPUTED_VALUE"""),0.0)</f>
        <v>0</v>
      </c>
      <c r="AU3366" s="82"/>
      <c r="AV3366" s="82"/>
      <c r="AW3366" s="82" t="str">
        <f t="shared" si="1"/>
        <v/>
      </c>
      <c r="AX3366" s="83" t="str">
        <f t="array" ref="AX3366">IFERROR(DGET('SBV Import'!A:G,"SBV",{"RSC ID","Tier";B3366,A3366}))</f>
        <v/>
      </c>
      <c r="AY3366" s="82" t="str">
        <f t="shared" si="2"/>
        <v/>
      </c>
      <c r="AZ3366" s="82"/>
      <c r="BA3366" s="84" t="s">
        <v>152</v>
      </c>
      <c r="BB3366" s="84" t="str">
        <f>IFERROR(__xludf.DUMMYFUNCTION("iferror(if(A3366="""",,E3366&gt;=FILTER(Constants!$F$2:$F$10,Constants!$A$2:$A$10=A3366)))"),"")</f>
        <v/>
      </c>
    </row>
    <row r="3367">
      <c r="A3367" s="89"/>
      <c r="B3367" s="87"/>
      <c r="C3367" s="73"/>
      <c r="D3367" s="73"/>
      <c r="E3367" s="82"/>
      <c r="F3367" s="82"/>
      <c r="G3367" s="86"/>
      <c r="H3367" s="86"/>
      <c r="I3367" s="86"/>
      <c r="J3367" s="82"/>
      <c r="K3367" s="82"/>
      <c r="L3367" s="82"/>
      <c r="M3367" s="82"/>
      <c r="N3367" s="82"/>
      <c r="O3367" s="82"/>
      <c r="P3367" s="82"/>
      <c r="Q3367" s="82"/>
      <c r="R3367" s="82"/>
      <c r="S3367" s="82"/>
      <c r="T3367" s="82"/>
      <c r="U3367" s="82"/>
      <c r="V3367" s="82"/>
      <c r="W3367" s="82"/>
      <c r="X3367" s="82"/>
      <c r="Y3367" s="82"/>
      <c r="Z3367" s="82"/>
      <c r="AA3367" s="82"/>
      <c r="AB3367" s="82"/>
      <c r="AC3367" s="82"/>
      <c r="AD3367" s="82"/>
      <c r="AE3367" s="82"/>
      <c r="AF3367" s="82"/>
      <c r="AG3367" s="82"/>
      <c r="AH3367" s="82"/>
      <c r="AI3367" s="82"/>
      <c r="AJ3367" s="82"/>
      <c r="AK3367" s="82"/>
      <c r="AL3367" s="82"/>
      <c r="AM3367" s="82"/>
      <c r="AN3367" s="82">
        <f>IFERROR(__xludf.DUMMYFUNCTION("""COMPUTED_VALUE"""),0.0)</f>
        <v>0</v>
      </c>
      <c r="AO3367" s="82">
        <f>IFERROR(__xludf.DUMMYFUNCTION("""COMPUTED_VALUE"""),0.0)</f>
        <v>0</v>
      </c>
      <c r="AP3367" s="82">
        <f>IFERROR(__xludf.DUMMYFUNCTION("""COMPUTED_VALUE"""),0.0)</f>
        <v>0</v>
      </c>
      <c r="AQ3367" s="82">
        <f>IFERROR(__xludf.DUMMYFUNCTION("""COMPUTED_VALUE"""),0.0)</f>
        <v>0</v>
      </c>
      <c r="AR3367" s="82">
        <f>IFERROR(__xludf.DUMMYFUNCTION("""COMPUTED_VALUE"""),0.0)</f>
        <v>0</v>
      </c>
      <c r="AS3367" s="82"/>
      <c r="AT3367" s="82">
        <f>IFERROR(__xludf.DUMMYFUNCTION("""COMPUTED_VALUE"""),0.0)</f>
        <v>0</v>
      </c>
      <c r="AU3367" s="82"/>
      <c r="AV3367" s="82"/>
      <c r="AW3367" s="82" t="str">
        <f t="shared" si="1"/>
        <v/>
      </c>
      <c r="AX3367" s="83" t="str">
        <f t="array" ref="AX3367">IFERROR(DGET('SBV Import'!A:G,"SBV",{"RSC ID","Tier";B3367,A3367}))</f>
        <v/>
      </c>
      <c r="AY3367" s="82" t="str">
        <f t="shared" si="2"/>
        <v/>
      </c>
      <c r="AZ3367" s="82"/>
      <c r="BA3367" s="84" t="s">
        <v>152</v>
      </c>
      <c r="BB3367" s="84" t="str">
        <f>IFERROR(__xludf.DUMMYFUNCTION("iferror(if(A3367="""",,E3367&gt;=FILTER(Constants!$F$2:$F$10,Constants!$A$2:$A$10=A3367)))"),"")</f>
        <v/>
      </c>
    </row>
    <row r="3368">
      <c r="A3368" s="89"/>
      <c r="B3368" s="87"/>
      <c r="C3368" s="73"/>
      <c r="D3368" s="73"/>
      <c r="E3368" s="82"/>
      <c r="F3368" s="82"/>
      <c r="G3368" s="86"/>
      <c r="H3368" s="86"/>
      <c r="I3368" s="86"/>
      <c r="J3368" s="82"/>
      <c r="K3368" s="82"/>
      <c r="L3368" s="82"/>
      <c r="M3368" s="82"/>
      <c r="N3368" s="82"/>
      <c r="O3368" s="82"/>
      <c r="P3368" s="82"/>
      <c r="Q3368" s="82"/>
      <c r="R3368" s="82"/>
      <c r="S3368" s="82"/>
      <c r="T3368" s="82"/>
      <c r="U3368" s="82"/>
      <c r="V3368" s="82"/>
      <c r="W3368" s="82"/>
      <c r="X3368" s="82"/>
      <c r="Y3368" s="82"/>
      <c r="Z3368" s="82"/>
      <c r="AA3368" s="82"/>
      <c r="AB3368" s="82"/>
      <c r="AC3368" s="82"/>
      <c r="AD3368" s="82"/>
      <c r="AE3368" s="82"/>
      <c r="AF3368" s="82"/>
      <c r="AG3368" s="82"/>
      <c r="AH3368" s="82"/>
      <c r="AI3368" s="82"/>
      <c r="AJ3368" s="82"/>
      <c r="AK3368" s="82"/>
      <c r="AL3368" s="82"/>
      <c r="AM3368" s="82"/>
      <c r="AN3368" s="82">
        <f>IFERROR(__xludf.DUMMYFUNCTION("""COMPUTED_VALUE"""),0.0)</f>
        <v>0</v>
      </c>
      <c r="AO3368" s="82">
        <f>IFERROR(__xludf.DUMMYFUNCTION("""COMPUTED_VALUE"""),0.0)</f>
        <v>0</v>
      </c>
      <c r="AP3368" s="82">
        <f>IFERROR(__xludf.DUMMYFUNCTION("""COMPUTED_VALUE"""),0.0)</f>
        <v>0</v>
      </c>
      <c r="AQ3368" s="82">
        <f>IFERROR(__xludf.DUMMYFUNCTION("""COMPUTED_VALUE"""),0.0)</f>
        <v>0</v>
      </c>
      <c r="AR3368" s="82">
        <f>IFERROR(__xludf.DUMMYFUNCTION("""COMPUTED_VALUE"""),0.0)</f>
        <v>0</v>
      </c>
      <c r="AS3368" s="82"/>
      <c r="AT3368" s="82">
        <f>IFERROR(__xludf.DUMMYFUNCTION("""COMPUTED_VALUE"""),0.0)</f>
        <v>0</v>
      </c>
      <c r="AU3368" s="82"/>
      <c r="AV3368" s="82"/>
      <c r="AW3368" s="82" t="str">
        <f t="shared" si="1"/>
        <v/>
      </c>
      <c r="AX3368" s="83" t="str">
        <f t="array" ref="AX3368">IFERROR(DGET('SBV Import'!A:G,"SBV",{"RSC ID","Tier";B3368,A3368}))</f>
        <v/>
      </c>
      <c r="AY3368" s="82" t="str">
        <f t="shared" si="2"/>
        <v/>
      </c>
      <c r="AZ3368" s="82"/>
      <c r="BA3368" s="84" t="s">
        <v>152</v>
      </c>
      <c r="BB3368" s="84" t="str">
        <f>IFERROR(__xludf.DUMMYFUNCTION("iferror(if(A3368="""",,E3368&gt;=FILTER(Constants!$F$2:$F$10,Constants!$A$2:$A$10=A3368)))"),"")</f>
        <v/>
      </c>
    </row>
    <row r="3369">
      <c r="A3369" s="89"/>
      <c r="B3369" s="87"/>
      <c r="C3369" s="73"/>
      <c r="D3369" s="73"/>
      <c r="E3369" s="82"/>
      <c r="F3369" s="82"/>
      <c r="G3369" s="86"/>
      <c r="H3369" s="86"/>
      <c r="I3369" s="86"/>
      <c r="J3369" s="82"/>
      <c r="K3369" s="82"/>
      <c r="L3369" s="82"/>
      <c r="M3369" s="82"/>
      <c r="N3369" s="82"/>
      <c r="O3369" s="82"/>
      <c r="P3369" s="82"/>
      <c r="Q3369" s="82"/>
      <c r="R3369" s="82"/>
      <c r="S3369" s="82"/>
      <c r="T3369" s="82"/>
      <c r="U3369" s="82"/>
      <c r="V3369" s="82"/>
      <c r="W3369" s="82"/>
      <c r="X3369" s="82"/>
      <c r="Y3369" s="82"/>
      <c r="Z3369" s="82"/>
      <c r="AA3369" s="82"/>
      <c r="AB3369" s="82"/>
      <c r="AC3369" s="82"/>
      <c r="AD3369" s="82"/>
      <c r="AE3369" s="82"/>
      <c r="AF3369" s="82"/>
      <c r="AG3369" s="82"/>
      <c r="AH3369" s="82"/>
      <c r="AI3369" s="82"/>
      <c r="AJ3369" s="82"/>
      <c r="AK3369" s="82"/>
      <c r="AL3369" s="82"/>
      <c r="AM3369" s="82"/>
      <c r="AN3369" s="82">
        <f>IFERROR(__xludf.DUMMYFUNCTION("""COMPUTED_VALUE"""),0.0)</f>
        <v>0</v>
      </c>
      <c r="AO3369" s="82">
        <f>IFERROR(__xludf.DUMMYFUNCTION("""COMPUTED_VALUE"""),0.0)</f>
        <v>0</v>
      </c>
      <c r="AP3369" s="82">
        <f>IFERROR(__xludf.DUMMYFUNCTION("""COMPUTED_VALUE"""),0.0)</f>
        <v>0</v>
      </c>
      <c r="AQ3369" s="82">
        <f>IFERROR(__xludf.DUMMYFUNCTION("""COMPUTED_VALUE"""),0.0)</f>
        <v>0</v>
      </c>
      <c r="AR3369" s="82">
        <f>IFERROR(__xludf.DUMMYFUNCTION("""COMPUTED_VALUE"""),0.0)</f>
        <v>0</v>
      </c>
      <c r="AS3369" s="82"/>
      <c r="AT3369" s="82">
        <f>IFERROR(__xludf.DUMMYFUNCTION("""COMPUTED_VALUE"""),0.0)</f>
        <v>0</v>
      </c>
      <c r="AU3369" s="82"/>
      <c r="AV3369" s="82"/>
      <c r="AW3369" s="82" t="str">
        <f t="shared" si="1"/>
        <v/>
      </c>
      <c r="AX3369" s="83" t="str">
        <f t="array" ref="AX3369">IFERROR(DGET('SBV Import'!A:G,"SBV",{"RSC ID","Tier";B3369,A3369}))</f>
        <v/>
      </c>
      <c r="AY3369" s="82" t="str">
        <f t="shared" si="2"/>
        <v/>
      </c>
      <c r="AZ3369" s="82"/>
      <c r="BA3369" s="84" t="s">
        <v>152</v>
      </c>
      <c r="BB3369" s="84" t="str">
        <f>IFERROR(__xludf.DUMMYFUNCTION("iferror(if(A3369="""",,E3369&gt;=FILTER(Constants!$F$2:$F$10,Constants!$A$2:$A$10=A3369)))"),"")</f>
        <v/>
      </c>
    </row>
    <row r="3370">
      <c r="A3370" s="89"/>
      <c r="B3370" s="87"/>
      <c r="C3370" s="73"/>
      <c r="D3370" s="73"/>
      <c r="E3370" s="82"/>
      <c r="F3370" s="82"/>
      <c r="G3370" s="86"/>
      <c r="H3370" s="86"/>
      <c r="I3370" s="86"/>
      <c r="J3370" s="82"/>
      <c r="K3370" s="82"/>
      <c r="L3370" s="82"/>
      <c r="M3370" s="82"/>
      <c r="N3370" s="82"/>
      <c r="O3370" s="82"/>
      <c r="P3370" s="82"/>
      <c r="Q3370" s="82"/>
      <c r="R3370" s="82"/>
      <c r="S3370" s="82"/>
      <c r="T3370" s="82"/>
      <c r="U3370" s="82"/>
      <c r="V3370" s="82"/>
      <c r="W3370" s="82"/>
      <c r="X3370" s="82"/>
      <c r="Y3370" s="82"/>
      <c r="Z3370" s="82"/>
      <c r="AA3370" s="82"/>
      <c r="AB3370" s="82"/>
      <c r="AC3370" s="82"/>
      <c r="AD3370" s="82"/>
      <c r="AE3370" s="82"/>
      <c r="AF3370" s="82"/>
      <c r="AG3370" s="82"/>
      <c r="AH3370" s="82"/>
      <c r="AI3370" s="82"/>
      <c r="AJ3370" s="82"/>
      <c r="AK3370" s="82"/>
      <c r="AL3370" s="82"/>
      <c r="AM3370" s="82"/>
      <c r="AN3370" s="82">
        <f>IFERROR(__xludf.DUMMYFUNCTION("""COMPUTED_VALUE"""),0.0)</f>
        <v>0</v>
      </c>
      <c r="AO3370" s="82">
        <f>IFERROR(__xludf.DUMMYFUNCTION("""COMPUTED_VALUE"""),0.0)</f>
        <v>0</v>
      </c>
      <c r="AP3370" s="82">
        <f>IFERROR(__xludf.DUMMYFUNCTION("""COMPUTED_VALUE"""),0.0)</f>
        <v>0</v>
      </c>
      <c r="AQ3370" s="82">
        <f>IFERROR(__xludf.DUMMYFUNCTION("""COMPUTED_VALUE"""),0.0)</f>
        <v>0</v>
      </c>
      <c r="AR3370" s="82">
        <f>IFERROR(__xludf.DUMMYFUNCTION("""COMPUTED_VALUE"""),0.0)</f>
        <v>0</v>
      </c>
      <c r="AS3370" s="82"/>
      <c r="AT3370" s="82">
        <f>IFERROR(__xludf.DUMMYFUNCTION("""COMPUTED_VALUE"""),0.0)</f>
        <v>0</v>
      </c>
      <c r="AU3370" s="82"/>
      <c r="AV3370" s="82"/>
      <c r="AW3370" s="82" t="str">
        <f t="shared" si="1"/>
        <v/>
      </c>
      <c r="AX3370" s="83" t="str">
        <f t="array" ref="AX3370">IFERROR(DGET('SBV Import'!A:G,"SBV",{"RSC ID","Tier";B3370,A3370}))</f>
        <v/>
      </c>
      <c r="AY3370" s="82" t="str">
        <f t="shared" si="2"/>
        <v/>
      </c>
      <c r="AZ3370" s="82"/>
      <c r="BA3370" s="84" t="s">
        <v>152</v>
      </c>
      <c r="BB3370" s="84" t="str">
        <f>IFERROR(__xludf.DUMMYFUNCTION("iferror(if(A3370="""",,E3370&gt;=FILTER(Constants!$F$2:$F$10,Constants!$A$2:$A$10=A3370)))"),"")</f>
        <v/>
      </c>
    </row>
    <row r="3371">
      <c r="A3371" s="89"/>
      <c r="B3371" s="87"/>
      <c r="C3371" s="73"/>
      <c r="D3371" s="73"/>
      <c r="E3371" s="82"/>
      <c r="F3371" s="82"/>
      <c r="G3371" s="86"/>
      <c r="H3371" s="86"/>
      <c r="I3371" s="86"/>
      <c r="J3371" s="82"/>
      <c r="K3371" s="82"/>
      <c r="L3371" s="82"/>
      <c r="M3371" s="82"/>
      <c r="N3371" s="82"/>
      <c r="O3371" s="82"/>
      <c r="P3371" s="82"/>
      <c r="Q3371" s="82"/>
      <c r="R3371" s="82"/>
      <c r="S3371" s="82"/>
      <c r="T3371" s="82"/>
      <c r="U3371" s="82"/>
      <c r="V3371" s="82"/>
      <c r="W3371" s="82"/>
      <c r="X3371" s="82"/>
      <c r="Y3371" s="82"/>
      <c r="Z3371" s="82"/>
      <c r="AA3371" s="82"/>
      <c r="AB3371" s="82"/>
      <c r="AC3371" s="82"/>
      <c r="AD3371" s="82"/>
      <c r="AE3371" s="82"/>
      <c r="AF3371" s="82"/>
      <c r="AG3371" s="82"/>
      <c r="AH3371" s="82"/>
      <c r="AI3371" s="82"/>
      <c r="AJ3371" s="82"/>
      <c r="AK3371" s="82"/>
      <c r="AL3371" s="82"/>
      <c r="AM3371" s="82"/>
      <c r="AN3371" s="82">
        <f>IFERROR(__xludf.DUMMYFUNCTION("""COMPUTED_VALUE"""),0.0)</f>
        <v>0</v>
      </c>
      <c r="AO3371" s="82">
        <f>IFERROR(__xludf.DUMMYFUNCTION("""COMPUTED_VALUE"""),0.0)</f>
        <v>0</v>
      </c>
      <c r="AP3371" s="82">
        <f>IFERROR(__xludf.DUMMYFUNCTION("""COMPUTED_VALUE"""),0.0)</f>
        <v>0</v>
      </c>
      <c r="AQ3371" s="82">
        <f>IFERROR(__xludf.DUMMYFUNCTION("""COMPUTED_VALUE"""),0.0)</f>
        <v>0</v>
      </c>
      <c r="AR3371" s="82">
        <f>IFERROR(__xludf.DUMMYFUNCTION("""COMPUTED_VALUE"""),0.0)</f>
        <v>0</v>
      </c>
      <c r="AS3371" s="82"/>
      <c r="AT3371" s="82">
        <f>IFERROR(__xludf.DUMMYFUNCTION("""COMPUTED_VALUE"""),0.0)</f>
        <v>0</v>
      </c>
      <c r="AU3371" s="82"/>
      <c r="AV3371" s="82"/>
      <c r="AW3371" s="82" t="str">
        <f t="shared" si="1"/>
        <v/>
      </c>
      <c r="AX3371" s="83" t="str">
        <f t="array" ref="AX3371">IFERROR(DGET('SBV Import'!A:G,"SBV",{"RSC ID","Tier";B3371,A3371}))</f>
        <v/>
      </c>
      <c r="AY3371" s="82" t="str">
        <f t="shared" si="2"/>
        <v/>
      </c>
      <c r="AZ3371" s="82"/>
      <c r="BA3371" s="84" t="s">
        <v>152</v>
      </c>
      <c r="BB3371" s="84" t="str">
        <f>IFERROR(__xludf.DUMMYFUNCTION("iferror(if(A3371="""",,E3371&gt;=FILTER(Constants!$F$2:$F$10,Constants!$A$2:$A$10=A3371)))"),"")</f>
        <v/>
      </c>
    </row>
    <row r="3372">
      <c r="A3372" s="89"/>
      <c r="B3372" s="87"/>
      <c r="C3372" s="73"/>
      <c r="D3372" s="73"/>
      <c r="E3372" s="82"/>
      <c r="F3372" s="82"/>
      <c r="G3372" s="86"/>
      <c r="H3372" s="86"/>
      <c r="I3372" s="86"/>
      <c r="J3372" s="82"/>
      <c r="K3372" s="82"/>
      <c r="L3372" s="82"/>
      <c r="M3372" s="82"/>
      <c r="N3372" s="82"/>
      <c r="O3372" s="82"/>
      <c r="P3372" s="82"/>
      <c r="Q3372" s="82"/>
      <c r="R3372" s="82"/>
      <c r="S3372" s="82"/>
      <c r="T3372" s="82"/>
      <c r="U3372" s="82"/>
      <c r="V3372" s="82"/>
      <c r="W3372" s="82"/>
      <c r="X3372" s="82"/>
      <c r="Y3372" s="82"/>
      <c r="Z3372" s="82"/>
      <c r="AA3372" s="82"/>
      <c r="AB3372" s="82"/>
      <c r="AC3372" s="82"/>
      <c r="AD3372" s="82"/>
      <c r="AE3372" s="82"/>
      <c r="AF3372" s="82"/>
      <c r="AG3372" s="82"/>
      <c r="AH3372" s="82"/>
      <c r="AI3372" s="82"/>
      <c r="AJ3372" s="82"/>
      <c r="AK3372" s="82"/>
      <c r="AL3372" s="82"/>
      <c r="AM3372" s="82"/>
      <c r="AN3372" s="82">
        <f>IFERROR(__xludf.DUMMYFUNCTION("""COMPUTED_VALUE"""),0.0)</f>
        <v>0</v>
      </c>
      <c r="AO3372" s="82">
        <f>IFERROR(__xludf.DUMMYFUNCTION("""COMPUTED_VALUE"""),0.0)</f>
        <v>0</v>
      </c>
      <c r="AP3372" s="82">
        <f>IFERROR(__xludf.DUMMYFUNCTION("""COMPUTED_VALUE"""),0.0)</f>
        <v>0</v>
      </c>
      <c r="AQ3372" s="82">
        <f>IFERROR(__xludf.DUMMYFUNCTION("""COMPUTED_VALUE"""),0.0)</f>
        <v>0</v>
      </c>
      <c r="AR3372" s="82">
        <f>IFERROR(__xludf.DUMMYFUNCTION("""COMPUTED_VALUE"""),0.0)</f>
        <v>0</v>
      </c>
      <c r="AS3372" s="82"/>
      <c r="AT3372" s="82">
        <f>IFERROR(__xludf.DUMMYFUNCTION("""COMPUTED_VALUE"""),0.0)</f>
        <v>0</v>
      </c>
      <c r="AU3372" s="82"/>
      <c r="AV3372" s="82"/>
      <c r="AW3372" s="82" t="str">
        <f t="shared" si="1"/>
        <v/>
      </c>
      <c r="AX3372" s="83" t="str">
        <f t="array" ref="AX3372">IFERROR(DGET('SBV Import'!A:G,"SBV",{"RSC ID","Tier";B3372,A3372}))</f>
        <v/>
      </c>
      <c r="AY3372" s="82" t="str">
        <f t="shared" si="2"/>
        <v/>
      </c>
      <c r="AZ3372" s="82"/>
      <c r="BA3372" s="84" t="s">
        <v>152</v>
      </c>
      <c r="BB3372" s="84" t="str">
        <f>IFERROR(__xludf.DUMMYFUNCTION("iferror(if(A3372="""",,E3372&gt;=FILTER(Constants!$F$2:$F$10,Constants!$A$2:$A$10=A3372)))"),"")</f>
        <v/>
      </c>
    </row>
    <row r="3373">
      <c r="A3373" s="89"/>
      <c r="B3373" s="87"/>
      <c r="C3373" s="73"/>
      <c r="D3373" s="73"/>
      <c r="E3373" s="82"/>
      <c r="F3373" s="82"/>
      <c r="G3373" s="86"/>
      <c r="H3373" s="86"/>
      <c r="I3373" s="86"/>
      <c r="J3373" s="82"/>
      <c r="K3373" s="82"/>
      <c r="L3373" s="82"/>
      <c r="M3373" s="82"/>
      <c r="N3373" s="82"/>
      <c r="O3373" s="82"/>
      <c r="P3373" s="82"/>
      <c r="Q3373" s="82"/>
      <c r="R3373" s="82"/>
      <c r="S3373" s="82"/>
      <c r="T3373" s="82"/>
      <c r="U3373" s="82"/>
      <c r="V3373" s="82"/>
      <c r="W3373" s="82"/>
      <c r="X3373" s="82"/>
      <c r="Y3373" s="82"/>
      <c r="Z3373" s="82"/>
      <c r="AA3373" s="82"/>
      <c r="AB3373" s="82"/>
      <c r="AC3373" s="82"/>
      <c r="AD3373" s="82"/>
      <c r="AE3373" s="82"/>
      <c r="AF3373" s="82"/>
      <c r="AG3373" s="82"/>
      <c r="AH3373" s="82"/>
      <c r="AI3373" s="82"/>
      <c r="AJ3373" s="82"/>
      <c r="AK3373" s="82"/>
      <c r="AL3373" s="82"/>
      <c r="AM3373" s="82"/>
      <c r="AN3373" s="82">
        <f>IFERROR(__xludf.DUMMYFUNCTION("""COMPUTED_VALUE"""),0.0)</f>
        <v>0</v>
      </c>
      <c r="AO3373" s="82">
        <f>IFERROR(__xludf.DUMMYFUNCTION("""COMPUTED_VALUE"""),0.0)</f>
        <v>0</v>
      </c>
      <c r="AP3373" s="82">
        <f>IFERROR(__xludf.DUMMYFUNCTION("""COMPUTED_VALUE"""),0.0)</f>
        <v>0</v>
      </c>
      <c r="AQ3373" s="82">
        <f>IFERROR(__xludf.DUMMYFUNCTION("""COMPUTED_VALUE"""),0.0)</f>
        <v>0</v>
      </c>
      <c r="AR3373" s="82">
        <f>IFERROR(__xludf.DUMMYFUNCTION("""COMPUTED_VALUE"""),0.0)</f>
        <v>0</v>
      </c>
      <c r="AS3373" s="82"/>
      <c r="AT3373" s="82">
        <f>IFERROR(__xludf.DUMMYFUNCTION("""COMPUTED_VALUE"""),0.0)</f>
        <v>0</v>
      </c>
      <c r="AU3373" s="82"/>
      <c r="AV3373" s="82"/>
      <c r="AW3373" s="82" t="str">
        <f t="shared" si="1"/>
        <v/>
      </c>
      <c r="AX3373" s="83" t="str">
        <f t="array" ref="AX3373">IFERROR(DGET('SBV Import'!A:G,"SBV",{"RSC ID","Tier";B3373,A3373}))</f>
        <v/>
      </c>
      <c r="AY3373" s="82" t="str">
        <f t="shared" si="2"/>
        <v/>
      </c>
      <c r="AZ3373" s="82"/>
      <c r="BA3373" s="84" t="s">
        <v>152</v>
      </c>
      <c r="BB3373" s="84" t="str">
        <f>IFERROR(__xludf.DUMMYFUNCTION("iferror(if(A3373="""",,E3373&gt;=FILTER(Constants!$F$2:$F$10,Constants!$A$2:$A$10=A3373)))"),"")</f>
        <v/>
      </c>
    </row>
    <row r="3374">
      <c r="A3374" s="89"/>
      <c r="B3374" s="87"/>
      <c r="C3374" s="73"/>
      <c r="D3374" s="73"/>
      <c r="E3374" s="82"/>
      <c r="F3374" s="82"/>
      <c r="G3374" s="86"/>
      <c r="H3374" s="86"/>
      <c r="I3374" s="86"/>
      <c r="J3374" s="82"/>
      <c r="K3374" s="82"/>
      <c r="L3374" s="82"/>
      <c r="M3374" s="82"/>
      <c r="N3374" s="82"/>
      <c r="O3374" s="82"/>
      <c r="P3374" s="82"/>
      <c r="Q3374" s="82"/>
      <c r="R3374" s="82"/>
      <c r="S3374" s="82"/>
      <c r="T3374" s="82"/>
      <c r="U3374" s="82"/>
      <c r="V3374" s="82"/>
      <c r="W3374" s="82"/>
      <c r="X3374" s="82"/>
      <c r="Y3374" s="82"/>
      <c r="Z3374" s="82"/>
      <c r="AA3374" s="82"/>
      <c r="AB3374" s="82"/>
      <c r="AC3374" s="82"/>
      <c r="AD3374" s="82"/>
      <c r="AE3374" s="82"/>
      <c r="AF3374" s="82"/>
      <c r="AG3374" s="82"/>
      <c r="AH3374" s="82"/>
      <c r="AI3374" s="82"/>
      <c r="AJ3374" s="82"/>
      <c r="AK3374" s="82"/>
      <c r="AL3374" s="82"/>
      <c r="AM3374" s="82"/>
      <c r="AN3374" s="82">
        <f>IFERROR(__xludf.DUMMYFUNCTION("""COMPUTED_VALUE"""),0.0)</f>
        <v>0</v>
      </c>
      <c r="AO3374" s="82">
        <f>IFERROR(__xludf.DUMMYFUNCTION("""COMPUTED_VALUE"""),0.0)</f>
        <v>0</v>
      </c>
      <c r="AP3374" s="82">
        <f>IFERROR(__xludf.DUMMYFUNCTION("""COMPUTED_VALUE"""),0.0)</f>
        <v>0</v>
      </c>
      <c r="AQ3374" s="82">
        <f>IFERROR(__xludf.DUMMYFUNCTION("""COMPUTED_VALUE"""),0.0)</f>
        <v>0</v>
      </c>
      <c r="AR3374" s="82">
        <f>IFERROR(__xludf.DUMMYFUNCTION("""COMPUTED_VALUE"""),0.0)</f>
        <v>0</v>
      </c>
      <c r="AS3374" s="82"/>
      <c r="AT3374" s="82">
        <f>IFERROR(__xludf.DUMMYFUNCTION("""COMPUTED_VALUE"""),0.0)</f>
        <v>0</v>
      </c>
      <c r="AU3374" s="82"/>
      <c r="AV3374" s="82"/>
      <c r="AW3374" s="82" t="str">
        <f t="shared" si="1"/>
        <v/>
      </c>
      <c r="AX3374" s="83" t="str">
        <f t="array" ref="AX3374">IFERROR(DGET('SBV Import'!A:G,"SBV",{"RSC ID","Tier";B3374,A3374}))</f>
        <v/>
      </c>
      <c r="AY3374" s="82" t="str">
        <f t="shared" si="2"/>
        <v/>
      </c>
      <c r="AZ3374" s="82"/>
      <c r="BA3374" s="84" t="s">
        <v>152</v>
      </c>
      <c r="BB3374" s="84" t="str">
        <f>IFERROR(__xludf.DUMMYFUNCTION("iferror(if(A3374="""",,E3374&gt;=FILTER(Constants!$F$2:$F$10,Constants!$A$2:$A$10=A3374)))"),"")</f>
        <v/>
      </c>
    </row>
    <row r="3375">
      <c r="A3375" s="89"/>
      <c r="B3375" s="87"/>
      <c r="C3375" s="73"/>
      <c r="D3375" s="73"/>
      <c r="E3375" s="82"/>
      <c r="F3375" s="82"/>
      <c r="G3375" s="86"/>
      <c r="H3375" s="86"/>
      <c r="I3375" s="86"/>
      <c r="J3375" s="82"/>
      <c r="K3375" s="82"/>
      <c r="L3375" s="82"/>
      <c r="M3375" s="82"/>
      <c r="N3375" s="82"/>
      <c r="O3375" s="82"/>
      <c r="P3375" s="82"/>
      <c r="Q3375" s="82"/>
      <c r="R3375" s="82"/>
      <c r="S3375" s="82"/>
      <c r="T3375" s="82"/>
      <c r="U3375" s="82"/>
      <c r="V3375" s="82"/>
      <c r="W3375" s="82"/>
      <c r="X3375" s="82"/>
      <c r="Y3375" s="82"/>
      <c r="Z3375" s="82"/>
      <c r="AA3375" s="82"/>
      <c r="AB3375" s="82"/>
      <c r="AC3375" s="82"/>
      <c r="AD3375" s="82"/>
      <c r="AE3375" s="82"/>
      <c r="AF3375" s="82"/>
      <c r="AG3375" s="82"/>
      <c r="AH3375" s="82"/>
      <c r="AI3375" s="82"/>
      <c r="AJ3375" s="82"/>
      <c r="AK3375" s="82"/>
      <c r="AL3375" s="82"/>
      <c r="AM3375" s="82"/>
      <c r="AN3375" s="82">
        <f>IFERROR(__xludf.DUMMYFUNCTION("""COMPUTED_VALUE"""),0.0)</f>
        <v>0</v>
      </c>
      <c r="AO3375" s="82">
        <f>IFERROR(__xludf.DUMMYFUNCTION("""COMPUTED_VALUE"""),0.0)</f>
        <v>0</v>
      </c>
      <c r="AP3375" s="82">
        <f>IFERROR(__xludf.DUMMYFUNCTION("""COMPUTED_VALUE"""),0.0)</f>
        <v>0</v>
      </c>
      <c r="AQ3375" s="82">
        <f>IFERROR(__xludf.DUMMYFUNCTION("""COMPUTED_VALUE"""),0.0)</f>
        <v>0</v>
      </c>
      <c r="AR3375" s="82">
        <f>IFERROR(__xludf.DUMMYFUNCTION("""COMPUTED_VALUE"""),0.0)</f>
        <v>0</v>
      </c>
      <c r="AS3375" s="82"/>
      <c r="AT3375" s="82">
        <f>IFERROR(__xludf.DUMMYFUNCTION("""COMPUTED_VALUE"""),0.0)</f>
        <v>0</v>
      </c>
      <c r="AU3375" s="82"/>
      <c r="AV3375" s="82"/>
      <c r="AW3375" s="82" t="str">
        <f t="shared" si="1"/>
        <v/>
      </c>
      <c r="AX3375" s="83" t="str">
        <f t="array" ref="AX3375">IFERROR(DGET('SBV Import'!A:G,"SBV",{"RSC ID","Tier";B3375,A3375}))</f>
        <v/>
      </c>
      <c r="AY3375" s="82" t="str">
        <f t="shared" si="2"/>
        <v/>
      </c>
      <c r="AZ3375" s="82"/>
      <c r="BA3375" s="84" t="s">
        <v>152</v>
      </c>
      <c r="BB3375" s="84" t="str">
        <f>IFERROR(__xludf.DUMMYFUNCTION("iferror(if(A3375="""",,E3375&gt;=FILTER(Constants!$F$2:$F$10,Constants!$A$2:$A$10=A3375)))"),"")</f>
        <v/>
      </c>
    </row>
    <row r="3376">
      <c r="A3376" s="89"/>
      <c r="B3376" s="87"/>
      <c r="C3376" s="73"/>
      <c r="D3376" s="73"/>
      <c r="E3376" s="82"/>
      <c r="F3376" s="82"/>
      <c r="G3376" s="86"/>
      <c r="H3376" s="86"/>
      <c r="I3376" s="86"/>
      <c r="J3376" s="82"/>
      <c r="K3376" s="82"/>
      <c r="L3376" s="82"/>
      <c r="M3376" s="82"/>
      <c r="N3376" s="82"/>
      <c r="O3376" s="82"/>
      <c r="P3376" s="82"/>
      <c r="Q3376" s="82"/>
      <c r="R3376" s="82"/>
      <c r="S3376" s="82"/>
      <c r="T3376" s="82"/>
      <c r="U3376" s="82"/>
      <c r="V3376" s="82"/>
      <c r="W3376" s="82"/>
      <c r="X3376" s="82"/>
      <c r="Y3376" s="82"/>
      <c r="Z3376" s="82"/>
      <c r="AA3376" s="82"/>
      <c r="AB3376" s="82"/>
      <c r="AC3376" s="82"/>
      <c r="AD3376" s="82"/>
      <c r="AE3376" s="82"/>
      <c r="AF3376" s="82"/>
      <c r="AG3376" s="82"/>
      <c r="AH3376" s="82"/>
      <c r="AI3376" s="82"/>
      <c r="AJ3376" s="82"/>
      <c r="AK3376" s="82"/>
      <c r="AL3376" s="82"/>
      <c r="AM3376" s="82"/>
      <c r="AN3376" s="82">
        <f>IFERROR(__xludf.DUMMYFUNCTION("""COMPUTED_VALUE"""),0.0)</f>
        <v>0</v>
      </c>
      <c r="AO3376" s="82">
        <f>IFERROR(__xludf.DUMMYFUNCTION("""COMPUTED_VALUE"""),0.0)</f>
        <v>0</v>
      </c>
      <c r="AP3376" s="82">
        <f>IFERROR(__xludf.DUMMYFUNCTION("""COMPUTED_VALUE"""),0.0)</f>
        <v>0</v>
      </c>
      <c r="AQ3376" s="82">
        <f>IFERROR(__xludf.DUMMYFUNCTION("""COMPUTED_VALUE"""),0.0)</f>
        <v>0</v>
      </c>
      <c r="AR3376" s="82">
        <f>IFERROR(__xludf.DUMMYFUNCTION("""COMPUTED_VALUE"""),0.0)</f>
        <v>0</v>
      </c>
      <c r="AS3376" s="82"/>
      <c r="AT3376" s="82">
        <f>IFERROR(__xludf.DUMMYFUNCTION("""COMPUTED_VALUE"""),0.0)</f>
        <v>0</v>
      </c>
      <c r="AU3376" s="82"/>
      <c r="AV3376" s="82"/>
      <c r="AW3376" s="82" t="str">
        <f t="shared" si="1"/>
        <v/>
      </c>
      <c r="AX3376" s="83" t="str">
        <f t="array" ref="AX3376">IFERROR(DGET('SBV Import'!A:G,"SBV",{"RSC ID","Tier";B3376,A3376}))</f>
        <v/>
      </c>
      <c r="AY3376" s="82" t="str">
        <f t="shared" si="2"/>
        <v/>
      </c>
      <c r="AZ3376" s="82"/>
      <c r="BA3376" s="84" t="s">
        <v>152</v>
      </c>
      <c r="BB3376" s="84" t="str">
        <f>IFERROR(__xludf.DUMMYFUNCTION("iferror(if(A3376="""",,E3376&gt;=FILTER(Constants!$F$2:$F$10,Constants!$A$2:$A$10=A3376)))"),"")</f>
        <v/>
      </c>
    </row>
    <row r="3377">
      <c r="A3377" s="89"/>
      <c r="B3377" s="87"/>
      <c r="C3377" s="73"/>
      <c r="D3377" s="73"/>
      <c r="E3377" s="82"/>
      <c r="F3377" s="82"/>
      <c r="G3377" s="86"/>
      <c r="H3377" s="86"/>
      <c r="I3377" s="86"/>
      <c r="J3377" s="82"/>
      <c r="K3377" s="82"/>
      <c r="L3377" s="82"/>
      <c r="M3377" s="82"/>
      <c r="N3377" s="82"/>
      <c r="O3377" s="82"/>
      <c r="P3377" s="82"/>
      <c r="Q3377" s="82"/>
      <c r="R3377" s="82"/>
      <c r="S3377" s="82"/>
      <c r="T3377" s="82"/>
      <c r="U3377" s="82"/>
      <c r="V3377" s="82"/>
      <c r="W3377" s="82"/>
      <c r="X3377" s="82"/>
      <c r="Y3377" s="82"/>
      <c r="Z3377" s="82"/>
      <c r="AA3377" s="82"/>
      <c r="AB3377" s="82"/>
      <c r="AC3377" s="82"/>
      <c r="AD3377" s="82"/>
      <c r="AE3377" s="82"/>
      <c r="AF3377" s="82"/>
      <c r="AG3377" s="82"/>
      <c r="AH3377" s="82"/>
      <c r="AI3377" s="82"/>
      <c r="AJ3377" s="82"/>
      <c r="AK3377" s="82"/>
      <c r="AL3377" s="82"/>
      <c r="AM3377" s="82"/>
      <c r="AN3377" s="82">
        <f>IFERROR(__xludf.DUMMYFUNCTION("""COMPUTED_VALUE"""),0.0)</f>
        <v>0</v>
      </c>
      <c r="AO3377" s="82">
        <f>IFERROR(__xludf.DUMMYFUNCTION("""COMPUTED_VALUE"""),0.0)</f>
        <v>0</v>
      </c>
      <c r="AP3377" s="82">
        <f>IFERROR(__xludf.DUMMYFUNCTION("""COMPUTED_VALUE"""),0.0)</f>
        <v>0</v>
      </c>
      <c r="AQ3377" s="82">
        <f>IFERROR(__xludf.DUMMYFUNCTION("""COMPUTED_VALUE"""),0.0)</f>
        <v>0</v>
      </c>
      <c r="AR3377" s="82">
        <f>IFERROR(__xludf.DUMMYFUNCTION("""COMPUTED_VALUE"""),0.0)</f>
        <v>0</v>
      </c>
      <c r="AS3377" s="82"/>
      <c r="AT3377" s="82">
        <f>IFERROR(__xludf.DUMMYFUNCTION("""COMPUTED_VALUE"""),0.0)</f>
        <v>0</v>
      </c>
      <c r="AU3377" s="82"/>
      <c r="AV3377" s="82"/>
      <c r="AW3377" s="82" t="str">
        <f t="shared" si="1"/>
        <v/>
      </c>
      <c r="AX3377" s="83" t="str">
        <f t="array" ref="AX3377">IFERROR(DGET('SBV Import'!A:G,"SBV",{"RSC ID","Tier";B3377,A3377}))</f>
        <v/>
      </c>
      <c r="AY3377" s="82" t="str">
        <f t="shared" si="2"/>
        <v/>
      </c>
      <c r="AZ3377" s="82"/>
      <c r="BA3377" s="84" t="s">
        <v>152</v>
      </c>
      <c r="BB3377" s="84" t="str">
        <f>IFERROR(__xludf.DUMMYFUNCTION("iferror(if(A3377="""",,E3377&gt;=FILTER(Constants!$F$2:$F$10,Constants!$A$2:$A$10=A3377)))"),"")</f>
        <v/>
      </c>
    </row>
    <row r="3378">
      <c r="A3378" s="89"/>
      <c r="B3378" s="87"/>
      <c r="C3378" s="73"/>
      <c r="D3378" s="73"/>
      <c r="E3378" s="82"/>
      <c r="F3378" s="82"/>
      <c r="G3378" s="86"/>
      <c r="H3378" s="86"/>
      <c r="I3378" s="86"/>
      <c r="J3378" s="82"/>
      <c r="K3378" s="82"/>
      <c r="L3378" s="82"/>
      <c r="M3378" s="82"/>
      <c r="N3378" s="82"/>
      <c r="O3378" s="82"/>
      <c r="P3378" s="82"/>
      <c r="Q3378" s="82"/>
      <c r="R3378" s="82"/>
      <c r="S3378" s="82"/>
      <c r="T3378" s="82"/>
      <c r="U3378" s="82"/>
      <c r="V3378" s="82"/>
      <c r="W3378" s="82"/>
      <c r="X3378" s="82"/>
      <c r="Y3378" s="82"/>
      <c r="Z3378" s="82"/>
      <c r="AA3378" s="82"/>
      <c r="AB3378" s="82"/>
      <c r="AC3378" s="82"/>
      <c r="AD3378" s="82"/>
      <c r="AE3378" s="82"/>
      <c r="AF3378" s="82"/>
      <c r="AG3378" s="82"/>
      <c r="AH3378" s="82"/>
      <c r="AI3378" s="82"/>
      <c r="AJ3378" s="82"/>
      <c r="AK3378" s="82"/>
      <c r="AL3378" s="82"/>
      <c r="AM3378" s="82"/>
      <c r="AN3378" s="82">
        <f>IFERROR(__xludf.DUMMYFUNCTION("""COMPUTED_VALUE"""),0.0)</f>
        <v>0</v>
      </c>
      <c r="AO3378" s="82">
        <f>IFERROR(__xludf.DUMMYFUNCTION("""COMPUTED_VALUE"""),0.0)</f>
        <v>0</v>
      </c>
      <c r="AP3378" s="82">
        <f>IFERROR(__xludf.DUMMYFUNCTION("""COMPUTED_VALUE"""),0.0)</f>
        <v>0</v>
      </c>
      <c r="AQ3378" s="82">
        <f>IFERROR(__xludf.DUMMYFUNCTION("""COMPUTED_VALUE"""),0.0)</f>
        <v>0</v>
      </c>
      <c r="AR3378" s="82">
        <f>IFERROR(__xludf.DUMMYFUNCTION("""COMPUTED_VALUE"""),0.0)</f>
        <v>0</v>
      </c>
      <c r="AS3378" s="82"/>
      <c r="AT3378" s="82">
        <f>IFERROR(__xludf.DUMMYFUNCTION("""COMPUTED_VALUE"""),0.0)</f>
        <v>0</v>
      </c>
      <c r="AU3378" s="82"/>
      <c r="AV3378" s="82"/>
      <c r="AW3378" s="82" t="str">
        <f t="shared" si="1"/>
        <v/>
      </c>
      <c r="AX3378" s="83" t="str">
        <f t="array" ref="AX3378">IFERROR(DGET('SBV Import'!A:G,"SBV",{"RSC ID","Tier";B3378,A3378}))</f>
        <v/>
      </c>
      <c r="AY3378" s="82" t="str">
        <f t="shared" si="2"/>
        <v/>
      </c>
      <c r="AZ3378" s="82"/>
      <c r="BA3378" s="84" t="s">
        <v>152</v>
      </c>
      <c r="BB3378" s="84" t="str">
        <f>IFERROR(__xludf.DUMMYFUNCTION("iferror(if(A3378="""",,E3378&gt;=FILTER(Constants!$F$2:$F$10,Constants!$A$2:$A$10=A3378)))"),"")</f>
        <v/>
      </c>
    </row>
    <row r="3379">
      <c r="A3379" s="89"/>
      <c r="B3379" s="87"/>
      <c r="C3379" s="73"/>
      <c r="D3379" s="73"/>
      <c r="E3379" s="82"/>
      <c r="F3379" s="82"/>
      <c r="G3379" s="86"/>
      <c r="H3379" s="86"/>
      <c r="I3379" s="86"/>
      <c r="J3379" s="82"/>
      <c r="K3379" s="82"/>
      <c r="L3379" s="82"/>
      <c r="M3379" s="82"/>
      <c r="N3379" s="82"/>
      <c r="O3379" s="82"/>
      <c r="P3379" s="82"/>
      <c r="Q3379" s="82"/>
      <c r="R3379" s="82"/>
      <c r="S3379" s="82"/>
      <c r="T3379" s="82"/>
      <c r="U3379" s="82"/>
      <c r="V3379" s="82"/>
      <c r="W3379" s="82"/>
      <c r="X3379" s="82"/>
      <c r="Y3379" s="82"/>
      <c r="Z3379" s="82"/>
      <c r="AA3379" s="82"/>
      <c r="AB3379" s="82"/>
      <c r="AC3379" s="82"/>
      <c r="AD3379" s="82"/>
      <c r="AE3379" s="82"/>
      <c r="AF3379" s="82"/>
      <c r="AG3379" s="82"/>
      <c r="AH3379" s="82"/>
      <c r="AI3379" s="82"/>
      <c r="AJ3379" s="82"/>
      <c r="AK3379" s="82"/>
      <c r="AL3379" s="82"/>
      <c r="AM3379" s="82"/>
      <c r="AN3379" s="82">
        <f>IFERROR(__xludf.DUMMYFUNCTION("""COMPUTED_VALUE"""),0.0)</f>
        <v>0</v>
      </c>
      <c r="AO3379" s="82">
        <f>IFERROR(__xludf.DUMMYFUNCTION("""COMPUTED_VALUE"""),0.0)</f>
        <v>0</v>
      </c>
      <c r="AP3379" s="82">
        <f>IFERROR(__xludf.DUMMYFUNCTION("""COMPUTED_VALUE"""),0.0)</f>
        <v>0</v>
      </c>
      <c r="AQ3379" s="82">
        <f>IFERROR(__xludf.DUMMYFUNCTION("""COMPUTED_VALUE"""),0.0)</f>
        <v>0</v>
      </c>
      <c r="AR3379" s="82">
        <f>IFERROR(__xludf.DUMMYFUNCTION("""COMPUTED_VALUE"""),0.0)</f>
        <v>0</v>
      </c>
      <c r="AS3379" s="82"/>
      <c r="AT3379" s="82">
        <f>IFERROR(__xludf.DUMMYFUNCTION("""COMPUTED_VALUE"""),0.0)</f>
        <v>0</v>
      </c>
      <c r="AU3379" s="82"/>
      <c r="AV3379" s="82"/>
      <c r="AW3379" s="82" t="str">
        <f t="shared" si="1"/>
        <v/>
      </c>
      <c r="AX3379" s="83" t="str">
        <f t="array" ref="AX3379">IFERROR(DGET('SBV Import'!A:G,"SBV",{"RSC ID","Tier";B3379,A3379}))</f>
        <v/>
      </c>
      <c r="AY3379" s="82" t="str">
        <f t="shared" si="2"/>
        <v/>
      </c>
      <c r="AZ3379" s="82"/>
      <c r="BA3379" s="84" t="s">
        <v>152</v>
      </c>
      <c r="BB3379" s="84" t="str">
        <f>IFERROR(__xludf.DUMMYFUNCTION("iferror(if(A3379="""",,E3379&gt;=FILTER(Constants!$F$2:$F$10,Constants!$A$2:$A$10=A3379)))"),"")</f>
        <v/>
      </c>
    </row>
    <row r="3380">
      <c r="A3380" s="89"/>
      <c r="B3380" s="87"/>
      <c r="C3380" s="73"/>
      <c r="D3380" s="73"/>
      <c r="E3380" s="82"/>
      <c r="F3380" s="82"/>
      <c r="G3380" s="86"/>
      <c r="H3380" s="86"/>
      <c r="I3380" s="86"/>
      <c r="J3380" s="82"/>
      <c r="K3380" s="82"/>
      <c r="L3380" s="82"/>
      <c r="M3380" s="82"/>
      <c r="N3380" s="82"/>
      <c r="O3380" s="82"/>
      <c r="P3380" s="82"/>
      <c r="Q3380" s="82"/>
      <c r="R3380" s="82"/>
      <c r="S3380" s="82"/>
      <c r="T3380" s="82"/>
      <c r="U3380" s="82"/>
      <c r="V3380" s="82"/>
      <c r="W3380" s="82"/>
      <c r="X3380" s="82"/>
      <c r="Y3380" s="82"/>
      <c r="Z3380" s="82"/>
      <c r="AA3380" s="82"/>
      <c r="AB3380" s="82"/>
      <c r="AC3380" s="82"/>
      <c r="AD3380" s="82"/>
      <c r="AE3380" s="82"/>
      <c r="AF3380" s="82"/>
      <c r="AG3380" s="82"/>
      <c r="AH3380" s="82"/>
      <c r="AI3380" s="82"/>
      <c r="AJ3380" s="82"/>
      <c r="AK3380" s="82"/>
      <c r="AL3380" s="82"/>
      <c r="AM3380" s="82"/>
      <c r="AN3380" s="82">
        <f>IFERROR(__xludf.DUMMYFUNCTION("""COMPUTED_VALUE"""),0.0)</f>
        <v>0</v>
      </c>
      <c r="AO3380" s="82">
        <f>IFERROR(__xludf.DUMMYFUNCTION("""COMPUTED_VALUE"""),0.0)</f>
        <v>0</v>
      </c>
      <c r="AP3380" s="82">
        <f>IFERROR(__xludf.DUMMYFUNCTION("""COMPUTED_VALUE"""),0.0)</f>
        <v>0</v>
      </c>
      <c r="AQ3380" s="82">
        <f>IFERROR(__xludf.DUMMYFUNCTION("""COMPUTED_VALUE"""),0.0)</f>
        <v>0</v>
      </c>
      <c r="AR3380" s="82">
        <f>IFERROR(__xludf.DUMMYFUNCTION("""COMPUTED_VALUE"""),0.0)</f>
        <v>0</v>
      </c>
      <c r="AS3380" s="82"/>
      <c r="AT3380" s="82">
        <f>IFERROR(__xludf.DUMMYFUNCTION("""COMPUTED_VALUE"""),0.0)</f>
        <v>0</v>
      </c>
      <c r="AU3380" s="82"/>
      <c r="AV3380" s="82"/>
      <c r="AW3380" s="82" t="str">
        <f t="shared" si="1"/>
        <v/>
      </c>
      <c r="AX3380" s="83" t="str">
        <f t="array" ref="AX3380">IFERROR(DGET('SBV Import'!A:G,"SBV",{"RSC ID","Tier";B3380,A3380}))</f>
        <v/>
      </c>
      <c r="AY3380" s="82" t="str">
        <f t="shared" si="2"/>
        <v/>
      </c>
      <c r="AZ3380" s="82"/>
      <c r="BA3380" s="84" t="s">
        <v>152</v>
      </c>
      <c r="BB3380" s="84" t="str">
        <f>IFERROR(__xludf.DUMMYFUNCTION("iferror(if(A3380="""",,E3380&gt;=FILTER(Constants!$F$2:$F$10,Constants!$A$2:$A$10=A3380)))"),"")</f>
        <v/>
      </c>
    </row>
    <row r="3381">
      <c r="A3381" s="89"/>
      <c r="B3381" s="87"/>
      <c r="C3381" s="73"/>
      <c r="D3381" s="73"/>
      <c r="E3381" s="82"/>
      <c r="F3381" s="82"/>
      <c r="G3381" s="86"/>
      <c r="H3381" s="86"/>
      <c r="I3381" s="86"/>
      <c r="J3381" s="82"/>
      <c r="K3381" s="82"/>
      <c r="L3381" s="82"/>
      <c r="M3381" s="82"/>
      <c r="N3381" s="82"/>
      <c r="O3381" s="82"/>
      <c r="P3381" s="82"/>
      <c r="Q3381" s="82"/>
      <c r="R3381" s="82"/>
      <c r="S3381" s="82"/>
      <c r="T3381" s="82"/>
      <c r="U3381" s="82"/>
      <c r="V3381" s="82"/>
      <c r="W3381" s="82"/>
      <c r="X3381" s="82"/>
      <c r="Y3381" s="82"/>
      <c r="Z3381" s="82"/>
      <c r="AA3381" s="82"/>
      <c r="AB3381" s="82"/>
      <c r="AC3381" s="82"/>
      <c r="AD3381" s="82"/>
      <c r="AE3381" s="82"/>
      <c r="AF3381" s="82"/>
      <c r="AG3381" s="82"/>
      <c r="AH3381" s="82"/>
      <c r="AI3381" s="82"/>
      <c r="AJ3381" s="82"/>
      <c r="AK3381" s="82"/>
      <c r="AL3381" s="82"/>
      <c r="AM3381" s="82"/>
      <c r="AN3381" s="82">
        <f>IFERROR(__xludf.DUMMYFUNCTION("""COMPUTED_VALUE"""),0.0)</f>
        <v>0</v>
      </c>
      <c r="AO3381" s="82">
        <f>IFERROR(__xludf.DUMMYFUNCTION("""COMPUTED_VALUE"""),0.0)</f>
        <v>0</v>
      </c>
      <c r="AP3381" s="82">
        <f>IFERROR(__xludf.DUMMYFUNCTION("""COMPUTED_VALUE"""),0.0)</f>
        <v>0</v>
      </c>
      <c r="AQ3381" s="82">
        <f>IFERROR(__xludf.DUMMYFUNCTION("""COMPUTED_VALUE"""),0.0)</f>
        <v>0</v>
      </c>
      <c r="AR3381" s="82">
        <f>IFERROR(__xludf.DUMMYFUNCTION("""COMPUTED_VALUE"""),0.0)</f>
        <v>0</v>
      </c>
      <c r="AS3381" s="82"/>
      <c r="AT3381" s="82">
        <f>IFERROR(__xludf.DUMMYFUNCTION("""COMPUTED_VALUE"""),0.0)</f>
        <v>0</v>
      </c>
      <c r="AU3381" s="82"/>
      <c r="AV3381" s="82"/>
      <c r="AW3381" s="82" t="str">
        <f t="shared" si="1"/>
        <v/>
      </c>
      <c r="AX3381" s="83" t="str">
        <f t="array" ref="AX3381">IFERROR(DGET('SBV Import'!A:G,"SBV",{"RSC ID","Tier";B3381,A3381}))</f>
        <v/>
      </c>
      <c r="AY3381" s="82" t="str">
        <f t="shared" si="2"/>
        <v/>
      </c>
      <c r="AZ3381" s="82"/>
      <c r="BA3381" s="84" t="s">
        <v>152</v>
      </c>
      <c r="BB3381" s="84" t="str">
        <f>IFERROR(__xludf.DUMMYFUNCTION("iferror(if(A3381="""",,E3381&gt;=FILTER(Constants!$F$2:$F$10,Constants!$A$2:$A$10=A3381)))"),"")</f>
        <v/>
      </c>
    </row>
    <row r="3382">
      <c r="A3382" s="89"/>
      <c r="B3382" s="87"/>
      <c r="C3382" s="73"/>
      <c r="D3382" s="73"/>
      <c r="E3382" s="82"/>
      <c r="F3382" s="82"/>
      <c r="G3382" s="86"/>
      <c r="H3382" s="86"/>
      <c r="I3382" s="86"/>
      <c r="J3382" s="82"/>
      <c r="K3382" s="82"/>
      <c r="L3382" s="82"/>
      <c r="M3382" s="82"/>
      <c r="N3382" s="82"/>
      <c r="O3382" s="82"/>
      <c r="P3382" s="82"/>
      <c r="Q3382" s="82"/>
      <c r="R3382" s="82"/>
      <c r="S3382" s="82"/>
      <c r="T3382" s="82"/>
      <c r="U3382" s="82"/>
      <c r="V3382" s="82"/>
      <c r="W3382" s="82"/>
      <c r="X3382" s="82"/>
      <c r="Y3382" s="82"/>
      <c r="Z3382" s="82"/>
      <c r="AA3382" s="82"/>
      <c r="AB3382" s="82"/>
      <c r="AC3382" s="82"/>
      <c r="AD3382" s="82"/>
      <c r="AE3382" s="82"/>
      <c r="AF3382" s="82"/>
      <c r="AG3382" s="82"/>
      <c r="AH3382" s="82"/>
      <c r="AI3382" s="82"/>
      <c r="AJ3382" s="82"/>
      <c r="AK3382" s="82"/>
      <c r="AL3382" s="82"/>
      <c r="AM3382" s="82"/>
      <c r="AN3382" s="82">
        <f>IFERROR(__xludf.DUMMYFUNCTION("""COMPUTED_VALUE"""),0.0)</f>
        <v>0</v>
      </c>
      <c r="AO3382" s="82">
        <f>IFERROR(__xludf.DUMMYFUNCTION("""COMPUTED_VALUE"""),0.0)</f>
        <v>0</v>
      </c>
      <c r="AP3382" s="82">
        <f>IFERROR(__xludf.DUMMYFUNCTION("""COMPUTED_VALUE"""),0.0)</f>
        <v>0</v>
      </c>
      <c r="AQ3382" s="82">
        <f>IFERROR(__xludf.DUMMYFUNCTION("""COMPUTED_VALUE"""),0.0)</f>
        <v>0</v>
      </c>
      <c r="AR3382" s="82">
        <f>IFERROR(__xludf.DUMMYFUNCTION("""COMPUTED_VALUE"""),0.0)</f>
        <v>0</v>
      </c>
      <c r="AS3382" s="82"/>
      <c r="AT3382" s="82">
        <f>IFERROR(__xludf.DUMMYFUNCTION("""COMPUTED_VALUE"""),0.0)</f>
        <v>0</v>
      </c>
      <c r="AU3382" s="82"/>
      <c r="AV3382" s="82"/>
      <c r="AW3382" s="82" t="str">
        <f t="shared" si="1"/>
        <v/>
      </c>
      <c r="AX3382" s="83" t="str">
        <f t="array" ref="AX3382">IFERROR(DGET('SBV Import'!A:G,"SBV",{"RSC ID","Tier";B3382,A3382}))</f>
        <v/>
      </c>
      <c r="AY3382" s="82" t="str">
        <f t="shared" si="2"/>
        <v/>
      </c>
      <c r="AZ3382" s="82"/>
      <c r="BA3382" s="84" t="s">
        <v>152</v>
      </c>
      <c r="BB3382" s="84" t="str">
        <f>IFERROR(__xludf.DUMMYFUNCTION("iferror(if(A3382="""",,E3382&gt;=FILTER(Constants!$F$2:$F$10,Constants!$A$2:$A$10=A3382)))"),"")</f>
        <v/>
      </c>
    </row>
    <row r="3383">
      <c r="A3383" s="89"/>
      <c r="B3383" s="87"/>
      <c r="C3383" s="73"/>
      <c r="D3383" s="73"/>
      <c r="E3383" s="82"/>
      <c r="F3383" s="82"/>
      <c r="G3383" s="86"/>
      <c r="H3383" s="86"/>
      <c r="I3383" s="86"/>
      <c r="J3383" s="82"/>
      <c r="K3383" s="82"/>
      <c r="L3383" s="82"/>
      <c r="M3383" s="82"/>
      <c r="N3383" s="82"/>
      <c r="O3383" s="82"/>
      <c r="P3383" s="82"/>
      <c r="Q3383" s="82"/>
      <c r="R3383" s="82"/>
      <c r="S3383" s="82"/>
      <c r="T3383" s="82"/>
      <c r="U3383" s="82"/>
      <c r="V3383" s="82"/>
      <c r="W3383" s="82"/>
      <c r="X3383" s="82"/>
      <c r="Y3383" s="82"/>
      <c r="Z3383" s="82"/>
      <c r="AA3383" s="82"/>
      <c r="AB3383" s="82"/>
      <c r="AC3383" s="82"/>
      <c r="AD3383" s="82"/>
      <c r="AE3383" s="82"/>
      <c r="AF3383" s="82"/>
      <c r="AG3383" s="82"/>
      <c r="AH3383" s="82"/>
      <c r="AI3383" s="82"/>
      <c r="AJ3383" s="82"/>
      <c r="AK3383" s="82"/>
      <c r="AL3383" s="82"/>
      <c r="AM3383" s="82"/>
      <c r="AN3383" s="82">
        <f>IFERROR(__xludf.DUMMYFUNCTION("""COMPUTED_VALUE"""),0.0)</f>
        <v>0</v>
      </c>
      <c r="AO3383" s="82">
        <f>IFERROR(__xludf.DUMMYFUNCTION("""COMPUTED_VALUE"""),0.0)</f>
        <v>0</v>
      </c>
      <c r="AP3383" s="82">
        <f>IFERROR(__xludf.DUMMYFUNCTION("""COMPUTED_VALUE"""),0.0)</f>
        <v>0</v>
      </c>
      <c r="AQ3383" s="82">
        <f>IFERROR(__xludf.DUMMYFUNCTION("""COMPUTED_VALUE"""),0.0)</f>
        <v>0</v>
      </c>
      <c r="AR3383" s="82">
        <f>IFERROR(__xludf.DUMMYFUNCTION("""COMPUTED_VALUE"""),0.0)</f>
        <v>0</v>
      </c>
      <c r="AS3383" s="82"/>
      <c r="AT3383" s="82">
        <f>IFERROR(__xludf.DUMMYFUNCTION("""COMPUTED_VALUE"""),0.0)</f>
        <v>0</v>
      </c>
      <c r="AU3383" s="82"/>
      <c r="AV3383" s="82"/>
      <c r="AW3383" s="82" t="str">
        <f t="shared" si="1"/>
        <v/>
      </c>
      <c r="AX3383" s="83" t="str">
        <f t="array" ref="AX3383">IFERROR(DGET('SBV Import'!A:G,"SBV",{"RSC ID","Tier";B3383,A3383}))</f>
        <v/>
      </c>
      <c r="AY3383" s="82" t="str">
        <f t="shared" si="2"/>
        <v/>
      </c>
      <c r="AZ3383" s="82"/>
      <c r="BA3383" s="84" t="s">
        <v>152</v>
      </c>
      <c r="BB3383" s="84" t="str">
        <f>IFERROR(__xludf.DUMMYFUNCTION("iferror(if(A3383="""",,E3383&gt;=FILTER(Constants!$F$2:$F$10,Constants!$A$2:$A$10=A3383)))"),"")</f>
        <v/>
      </c>
    </row>
    <row r="3384">
      <c r="A3384" s="89"/>
      <c r="B3384" s="87"/>
      <c r="C3384" s="73"/>
      <c r="D3384" s="73"/>
      <c r="E3384" s="82"/>
      <c r="F3384" s="82"/>
      <c r="G3384" s="86"/>
      <c r="H3384" s="86"/>
      <c r="I3384" s="86"/>
      <c r="J3384" s="82"/>
      <c r="K3384" s="82"/>
      <c r="L3384" s="82"/>
      <c r="M3384" s="82"/>
      <c r="N3384" s="82"/>
      <c r="O3384" s="82"/>
      <c r="P3384" s="82"/>
      <c r="Q3384" s="82"/>
      <c r="R3384" s="82"/>
      <c r="S3384" s="82"/>
      <c r="T3384" s="82"/>
      <c r="U3384" s="82"/>
      <c r="V3384" s="82"/>
      <c r="W3384" s="82"/>
      <c r="X3384" s="82"/>
      <c r="Y3384" s="82"/>
      <c r="Z3384" s="82"/>
      <c r="AA3384" s="82"/>
      <c r="AB3384" s="82"/>
      <c r="AC3384" s="82"/>
      <c r="AD3384" s="82"/>
      <c r="AE3384" s="82"/>
      <c r="AF3384" s="82"/>
      <c r="AG3384" s="82"/>
      <c r="AH3384" s="82"/>
      <c r="AI3384" s="82"/>
      <c r="AJ3384" s="82"/>
      <c r="AK3384" s="82"/>
      <c r="AL3384" s="82"/>
      <c r="AM3384" s="82"/>
      <c r="AN3384" s="82">
        <f>IFERROR(__xludf.DUMMYFUNCTION("""COMPUTED_VALUE"""),0.0)</f>
        <v>0</v>
      </c>
      <c r="AO3384" s="82">
        <f>IFERROR(__xludf.DUMMYFUNCTION("""COMPUTED_VALUE"""),0.0)</f>
        <v>0</v>
      </c>
      <c r="AP3384" s="82">
        <f>IFERROR(__xludf.DUMMYFUNCTION("""COMPUTED_VALUE"""),0.0)</f>
        <v>0</v>
      </c>
      <c r="AQ3384" s="82">
        <f>IFERROR(__xludf.DUMMYFUNCTION("""COMPUTED_VALUE"""),0.0)</f>
        <v>0</v>
      </c>
      <c r="AR3384" s="82">
        <f>IFERROR(__xludf.DUMMYFUNCTION("""COMPUTED_VALUE"""),0.0)</f>
        <v>0</v>
      </c>
      <c r="AS3384" s="82"/>
      <c r="AT3384" s="82">
        <f>IFERROR(__xludf.DUMMYFUNCTION("""COMPUTED_VALUE"""),0.0)</f>
        <v>0</v>
      </c>
      <c r="AU3384" s="82"/>
      <c r="AV3384" s="82"/>
      <c r="AW3384" s="82" t="str">
        <f t="shared" si="1"/>
        <v/>
      </c>
      <c r="AX3384" s="83" t="str">
        <f t="array" ref="AX3384">IFERROR(DGET('SBV Import'!A:G,"SBV",{"RSC ID","Tier";B3384,A3384}))</f>
        <v/>
      </c>
      <c r="AY3384" s="82" t="str">
        <f t="shared" si="2"/>
        <v/>
      </c>
      <c r="AZ3384" s="82"/>
      <c r="BA3384" s="84" t="s">
        <v>152</v>
      </c>
      <c r="BB3384" s="84" t="str">
        <f>IFERROR(__xludf.DUMMYFUNCTION("iferror(if(A3384="""",,E3384&gt;=FILTER(Constants!$F$2:$F$10,Constants!$A$2:$A$10=A3384)))"),"")</f>
        <v/>
      </c>
    </row>
    <row r="3385">
      <c r="A3385" s="89"/>
      <c r="B3385" s="87"/>
      <c r="C3385" s="73"/>
      <c r="D3385" s="73"/>
      <c r="E3385" s="82"/>
      <c r="F3385" s="82"/>
      <c r="G3385" s="86"/>
      <c r="H3385" s="86"/>
      <c r="I3385" s="86"/>
      <c r="J3385" s="82"/>
      <c r="K3385" s="82"/>
      <c r="L3385" s="82"/>
      <c r="M3385" s="82"/>
      <c r="N3385" s="82"/>
      <c r="O3385" s="82"/>
      <c r="P3385" s="82"/>
      <c r="Q3385" s="82"/>
      <c r="R3385" s="82"/>
      <c r="S3385" s="82"/>
      <c r="T3385" s="82"/>
      <c r="U3385" s="82"/>
      <c r="V3385" s="82"/>
      <c r="W3385" s="82"/>
      <c r="X3385" s="82"/>
      <c r="Y3385" s="82"/>
      <c r="Z3385" s="82"/>
      <c r="AA3385" s="82"/>
      <c r="AB3385" s="82"/>
      <c r="AC3385" s="82"/>
      <c r="AD3385" s="82"/>
      <c r="AE3385" s="82"/>
      <c r="AF3385" s="82"/>
      <c r="AG3385" s="82"/>
      <c r="AH3385" s="82"/>
      <c r="AI3385" s="82"/>
      <c r="AJ3385" s="82"/>
      <c r="AK3385" s="82"/>
      <c r="AL3385" s="82"/>
      <c r="AM3385" s="82"/>
      <c r="AN3385" s="82">
        <f>IFERROR(__xludf.DUMMYFUNCTION("""COMPUTED_VALUE"""),0.0)</f>
        <v>0</v>
      </c>
      <c r="AO3385" s="82">
        <f>IFERROR(__xludf.DUMMYFUNCTION("""COMPUTED_VALUE"""),0.0)</f>
        <v>0</v>
      </c>
      <c r="AP3385" s="82">
        <f>IFERROR(__xludf.DUMMYFUNCTION("""COMPUTED_VALUE"""),0.0)</f>
        <v>0</v>
      </c>
      <c r="AQ3385" s="82">
        <f>IFERROR(__xludf.DUMMYFUNCTION("""COMPUTED_VALUE"""),0.0)</f>
        <v>0</v>
      </c>
      <c r="AR3385" s="82">
        <f>IFERROR(__xludf.DUMMYFUNCTION("""COMPUTED_VALUE"""),0.0)</f>
        <v>0</v>
      </c>
      <c r="AS3385" s="82"/>
      <c r="AT3385" s="82">
        <f>IFERROR(__xludf.DUMMYFUNCTION("""COMPUTED_VALUE"""),0.0)</f>
        <v>0</v>
      </c>
      <c r="AU3385" s="82"/>
      <c r="AV3385" s="82"/>
      <c r="AW3385" s="82" t="str">
        <f t="shared" si="1"/>
        <v/>
      </c>
      <c r="AX3385" s="83" t="str">
        <f t="array" ref="AX3385">IFERROR(DGET('SBV Import'!A:G,"SBV",{"RSC ID","Tier";B3385,A3385}))</f>
        <v/>
      </c>
      <c r="AY3385" s="82" t="str">
        <f t="shared" si="2"/>
        <v/>
      </c>
      <c r="AZ3385" s="82"/>
      <c r="BA3385" s="84" t="s">
        <v>152</v>
      </c>
      <c r="BB3385" s="84" t="str">
        <f>IFERROR(__xludf.DUMMYFUNCTION("iferror(if(A3385="""",,E3385&gt;=FILTER(Constants!$F$2:$F$10,Constants!$A$2:$A$10=A3385)))"),"")</f>
        <v/>
      </c>
    </row>
    <row r="3386">
      <c r="A3386" s="89"/>
      <c r="B3386" s="87"/>
      <c r="C3386" s="73"/>
      <c r="D3386" s="73"/>
      <c r="E3386" s="82"/>
      <c r="F3386" s="82"/>
      <c r="G3386" s="86"/>
      <c r="H3386" s="86"/>
      <c r="I3386" s="86"/>
      <c r="J3386" s="82"/>
      <c r="K3386" s="82"/>
      <c r="L3386" s="82"/>
      <c r="M3386" s="82"/>
      <c r="N3386" s="82"/>
      <c r="O3386" s="82"/>
      <c r="P3386" s="82"/>
      <c r="Q3386" s="82"/>
      <c r="R3386" s="82"/>
      <c r="S3386" s="82"/>
      <c r="T3386" s="82"/>
      <c r="U3386" s="82"/>
      <c r="V3386" s="82"/>
      <c r="W3386" s="82"/>
      <c r="X3386" s="82"/>
      <c r="Y3386" s="82"/>
      <c r="Z3386" s="82"/>
      <c r="AA3386" s="82"/>
      <c r="AB3386" s="82"/>
      <c r="AC3386" s="82"/>
      <c r="AD3386" s="82"/>
      <c r="AE3386" s="82"/>
      <c r="AF3386" s="82"/>
      <c r="AG3386" s="82"/>
      <c r="AH3386" s="82"/>
      <c r="AI3386" s="82"/>
      <c r="AJ3386" s="82"/>
      <c r="AK3386" s="82"/>
      <c r="AL3386" s="82"/>
      <c r="AM3386" s="82"/>
      <c r="AN3386" s="82">
        <f>IFERROR(__xludf.DUMMYFUNCTION("""COMPUTED_VALUE"""),0.0)</f>
        <v>0</v>
      </c>
      <c r="AO3386" s="82">
        <f>IFERROR(__xludf.DUMMYFUNCTION("""COMPUTED_VALUE"""),0.0)</f>
        <v>0</v>
      </c>
      <c r="AP3386" s="82">
        <f>IFERROR(__xludf.DUMMYFUNCTION("""COMPUTED_VALUE"""),0.0)</f>
        <v>0</v>
      </c>
      <c r="AQ3386" s="82">
        <f>IFERROR(__xludf.DUMMYFUNCTION("""COMPUTED_VALUE"""),0.0)</f>
        <v>0</v>
      </c>
      <c r="AR3386" s="82">
        <f>IFERROR(__xludf.DUMMYFUNCTION("""COMPUTED_VALUE"""),0.0)</f>
        <v>0</v>
      </c>
      <c r="AS3386" s="82"/>
      <c r="AT3386" s="82">
        <f>IFERROR(__xludf.DUMMYFUNCTION("""COMPUTED_VALUE"""),0.0)</f>
        <v>0</v>
      </c>
      <c r="AU3386" s="82"/>
      <c r="AV3386" s="82"/>
      <c r="AW3386" s="82" t="str">
        <f t="shared" si="1"/>
        <v/>
      </c>
      <c r="AX3386" s="83" t="str">
        <f t="array" ref="AX3386">IFERROR(DGET('SBV Import'!A:G,"SBV",{"RSC ID","Tier";B3386,A3386}))</f>
        <v/>
      </c>
      <c r="AY3386" s="82" t="str">
        <f t="shared" si="2"/>
        <v/>
      </c>
      <c r="AZ3386" s="82"/>
      <c r="BA3386" s="84" t="s">
        <v>152</v>
      </c>
      <c r="BB3386" s="84" t="str">
        <f>IFERROR(__xludf.DUMMYFUNCTION("iferror(if(A3386="""",,E3386&gt;=FILTER(Constants!$F$2:$F$10,Constants!$A$2:$A$10=A3386)))"),"")</f>
        <v/>
      </c>
    </row>
    <row r="3387">
      <c r="A3387" s="89"/>
      <c r="B3387" s="87"/>
      <c r="C3387" s="73"/>
      <c r="D3387" s="73"/>
      <c r="E3387" s="82"/>
      <c r="F3387" s="82"/>
      <c r="G3387" s="86"/>
      <c r="H3387" s="86"/>
      <c r="I3387" s="86"/>
      <c r="J3387" s="82"/>
      <c r="K3387" s="82"/>
      <c r="L3387" s="82"/>
      <c r="M3387" s="82"/>
      <c r="N3387" s="82"/>
      <c r="O3387" s="82"/>
      <c r="P3387" s="82"/>
      <c r="Q3387" s="82"/>
      <c r="R3387" s="82"/>
      <c r="S3387" s="82"/>
      <c r="T3387" s="82"/>
      <c r="U3387" s="82"/>
      <c r="V3387" s="82"/>
      <c r="W3387" s="82"/>
      <c r="X3387" s="82"/>
      <c r="Y3387" s="82"/>
      <c r="Z3387" s="82"/>
      <c r="AA3387" s="82"/>
      <c r="AB3387" s="82"/>
      <c r="AC3387" s="82"/>
      <c r="AD3387" s="82"/>
      <c r="AE3387" s="82"/>
      <c r="AF3387" s="82"/>
      <c r="AG3387" s="82"/>
      <c r="AH3387" s="82"/>
      <c r="AI3387" s="82"/>
      <c r="AJ3387" s="82"/>
      <c r="AK3387" s="82"/>
      <c r="AL3387" s="82"/>
      <c r="AM3387" s="82"/>
      <c r="AN3387" s="82">
        <f>IFERROR(__xludf.DUMMYFUNCTION("""COMPUTED_VALUE"""),0.0)</f>
        <v>0</v>
      </c>
      <c r="AO3387" s="82">
        <f>IFERROR(__xludf.DUMMYFUNCTION("""COMPUTED_VALUE"""),0.0)</f>
        <v>0</v>
      </c>
      <c r="AP3387" s="82">
        <f>IFERROR(__xludf.DUMMYFUNCTION("""COMPUTED_VALUE"""),0.0)</f>
        <v>0</v>
      </c>
      <c r="AQ3387" s="82">
        <f>IFERROR(__xludf.DUMMYFUNCTION("""COMPUTED_VALUE"""),0.0)</f>
        <v>0</v>
      </c>
      <c r="AR3387" s="82">
        <f>IFERROR(__xludf.DUMMYFUNCTION("""COMPUTED_VALUE"""),0.0)</f>
        <v>0</v>
      </c>
      <c r="AS3387" s="82"/>
      <c r="AT3387" s="82">
        <f>IFERROR(__xludf.DUMMYFUNCTION("""COMPUTED_VALUE"""),0.0)</f>
        <v>0</v>
      </c>
      <c r="AU3387" s="82"/>
      <c r="AV3387" s="82"/>
      <c r="AW3387" s="82" t="str">
        <f t="shared" si="1"/>
        <v/>
      </c>
      <c r="AX3387" s="83" t="str">
        <f t="array" ref="AX3387">IFERROR(DGET('SBV Import'!A:G,"SBV",{"RSC ID","Tier";B3387,A3387}))</f>
        <v/>
      </c>
      <c r="AY3387" s="82" t="str">
        <f t="shared" si="2"/>
        <v/>
      </c>
      <c r="AZ3387" s="82"/>
      <c r="BA3387" s="84" t="s">
        <v>152</v>
      </c>
      <c r="BB3387" s="84" t="str">
        <f>IFERROR(__xludf.DUMMYFUNCTION("iferror(if(A3387="""",,E3387&gt;=FILTER(Constants!$F$2:$F$10,Constants!$A$2:$A$10=A3387)))"),"")</f>
        <v/>
      </c>
    </row>
    <row r="3388">
      <c r="A3388" s="89"/>
      <c r="B3388" s="87"/>
      <c r="C3388" s="73"/>
      <c r="D3388" s="73"/>
      <c r="E3388" s="82"/>
      <c r="F3388" s="82"/>
      <c r="G3388" s="86"/>
      <c r="H3388" s="86"/>
      <c r="I3388" s="86"/>
      <c r="J3388" s="82"/>
      <c r="K3388" s="82"/>
      <c r="L3388" s="82"/>
      <c r="M3388" s="82"/>
      <c r="N3388" s="82"/>
      <c r="O3388" s="82"/>
      <c r="P3388" s="82"/>
      <c r="Q3388" s="82"/>
      <c r="R3388" s="82"/>
      <c r="S3388" s="82"/>
      <c r="T3388" s="82"/>
      <c r="U3388" s="82"/>
      <c r="V3388" s="82"/>
      <c r="W3388" s="82"/>
      <c r="X3388" s="82"/>
      <c r="Y3388" s="82"/>
      <c r="Z3388" s="82"/>
      <c r="AA3388" s="82"/>
      <c r="AB3388" s="82"/>
      <c r="AC3388" s="82"/>
      <c r="AD3388" s="82"/>
      <c r="AE3388" s="82"/>
      <c r="AF3388" s="82"/>
      <c r="AG3388" s="82"/>
      <c r="AH3388" s="82"/>
      <c r="AI3388" s="82"/>
      <c r="AJ3388" s="82"/>
      <c r="AK3388" s="82"/>
      <c r="AL3388" s="82"/>
      <c r="AM3388" s="82"/>
      <c r="AN3388" s="82">
        <f>IFERROR(__xludf.DUMMYFUNCTION("""COMPUTED_VALUE"""),0.0)</f>
        <v>0</v>
      </c>
      <c r="AO3388" s="82">
        <f>IFERROR(__xludf.DUMMYFUNCTION("""COMPUTED_VALUE"""),0.0)</f>
        <v>0</v>
      </c>
      <c r="AP3388" s="82">
        <f>IFERROR(__xludf.DUMMYFUNCTION("""COMPUTED_VALUE"""),0.0)</f>
        <v>0</v>
      </c>
      <c r="AQ3388" s="82">
        <f>IFERROR(__xludf.DUMMYFUNCTION("""COMPUTED_VALUE"""),0.0)</f>
        <v>0</v>
      </c>
      <c r="AR3388" s="82">
        <f>IFERROR(__xludf.DUMMYFUNCTION("""COMPUTED_VALUE"""),0.0)</f>
        <v>0</v>
      </c>
      <c r="AS3388" s="82"/>
      <c r="AT3388" s="82">
        <f>IFERROR(__xludf.DUMMYFUNCTION("""COMPUTED_VALUE"""),0.0)</f>
        <v>0</v>
      </c>
      <c r="AU3388" s="82"/>
      <c r="AV3388" s="82"/>
      <c r="AW3388" s="82" t="str">
        <f t="shared" si="1"/>
        <v/>
      </c>
      <c r="AX3388" s="83" t="str">
        <f t="array" ref="AX3388">IFERROR(DGET('SBV Import'!A:G,"SBV",{"RSC ID","Tier";B3388,A3388}))</f>
        <v/>
      </c>
      <c r="AY3388" s="82" t="str">
        <f t="shared" si="2"/>
        <v/>
      </c>
      <c r="AZ3388" s="82"/>
      <c r="BA3388" s="84" t="s">
        <v>152</v>
      </c>
      <c r="BB3388" s="84" t="str">
        <f>IFERROR(__xludf.DUMMYFUNCTION("iferror(if(A3388="""",,E3388&gt;=FILTER(Constants!$F$2:$F$10,Constants!$A$2:$A$10=A3388)))"),"")</f>
        <v/>
      </c>
    </row>
    <row r="3389">
      <c r="A3389" s="89"/>
      <c r="B3389" s="87"/>
      <c r="C3389" s="73"/>
      <c r="D3389" s="73"/>
      <c r="E3389" s="82"/>
      <c r="F3389" s="82"/>
      <c r="G3389" s="86"/>
      <c r="H3389" s="86"/>
      <c r="I3389" s="86"/>
      <c r="J3389" s="82"/>
      <c r="K3389" s="82"/>
      <c r="L3389" s="82"/>
      <c r="M3389" s="82"/>
      <c r="N3389" s="82"/>
      <c r="O3389" s="82"/>
      <c r="P3389" s="82"/>
      <c r="Q3389" s="82"/>
      <c r="R3389" s="82"/>
      <c r="S3389" s="82"/>
      <c r="T3389" s="82"/>
      <c r="U3389" s="82"/>
      <c r="V3389" s="82"/>
      <c r="W3389" s="82"/>
      <c r="X3389" s="82"/>
      <c r="Y3389" s="82"/>
      <c r="Z3389" s="82"/>
      <c r="AA3389" s="82"/>
      <c r="AB3389" s="82"/>
      <c r="AC3389" s="82"/>
      <c r="AD3389" s="82"/>
      <c r="AE3389" s="82"/>
      <c r="AF3389" s="82"/>
      <c r="AG3389" s="82"/>
      <c r="AH3389" s="82"/>
      <c r="AI3389" s="82"/>
      <c r="AJ3389" s="82"/>
      <c r="AK3389" s="82"/>
      <c r="AL3389" s="82"/>
      <c r="AM3389" s="82"/>
      <c r="AN3389" s="82">
        <f>IFERROR(__xludf.DUMMYFUNCTION("""COMPUTED_VALUE"""),0.0)</f>
        <v>0</v>
      </c>
      <c r="AO3389" s="82">
        <f>IFERROR(__xludf.DUMMYFUNCTION("""COMPUTED_VALUE"""),0.0)</f>
        <v>0</v>
      </c>
      <c r="AP3389" s="82">
        <f>IFERROR(__xludf.DUMMYFUNCTION("""COMPUTED_VALUE"""),0.0)</f>
        <v>0</v>
      </c>
      <c r="AQ3389" s="82">
        <f>IFERROR(__xludf.DUMMYFUNCTION("""COMPUTED_VALUE"""),0.0)</f>
        <v>0</v>
      </c>
      <c r="AR3389" s="82">
        <f>IFERROR(__xludf.DUMMYFUNCTION("""COMPUTED_VALUE"""),0.0)</f>
        <v>0</v>
      </c>
      <c r="AS3389" s="82"/>
      <c r="AT3389" s="82">
        <f>IFERROR(__xludf.DUMMYFUNCTION("""COMPUTED_VALUE"""),0.0)</f>
        <v>0</v>
      </c>
      <c r="AU3389" s="82"/>
      <c r="AV3389" s="82"/>
      <c r="AW3389" s="82" t="str">
        <f t="shared" si="1"/>
        <v/>
      </c>
      <c r="AX3389" s="83" t="str">
        <f t="array" ref="AX3389">IFERROR(DGET('SBV Import'!A:G,"SBV",{"RSC ID","Tier";B3389,A3389}))</f>
        <v/>
      </c>
      <c r="AY3389" s="82" t="str">
        <f t="shared" si="2"/>
        <v/>
      </c>
      <c r="AZ3389" s="82"/>
      <c r="BA3389" s="84" t="s">
        <v>152</v>
      </c>
      <c r="BB3389" s="84" t="str">
        <f>IFERROR(__xludf.DUMMYFUNCTION("iferror(if(A3389="""",,E3389&gt;=FILTER(Constants!$F$2:$F$10,Constants!$A$2:$A$10=A3389)))"),"")</f>
        <v/>
      </c>
    </row>
    <row r="3390">
      <c r="A3390" s="89"/>
      <c r="B3390" s="87"/>
      <c r="C3390" s="73"/>
      <c r="D3390" s="73"/>
      <c r="E3390" s="82"/>
      <c r="F3390" s="82"/>
      <c r="G3390" s="86"/>
      <c r="H3390" s="86"/>
      <c r="I3390" s="86"/>
      <c r="J3390" s="82"/>
      <c r="K3390" s="82"/>
      <c r="L3390" s="82"/>
      <c r="M3390" s="82"/>
      <c r="N3390" s="82"/>
      <c r="O3390" s="82"/>
      <c r="P3390" s="82"/>
      <c r="Q3390" s="82"/>
      <c r="R3390" s="82"/>
      <c r="S3390" s="82"/>
      <c r="T3390" s="82"/>
      <c r="U3390" s="82"/>
      <c r="V3390" s="82"/>
      <c r="W3390" s="82"/>
      <c r="X3390" s="82"/>
      <c r="Y3390" s="82"/>
      <c r="Z3390" s="82"/>
      <c r="AA3390" s="82"/>
      <c r="AB3390" s="82"/>
      <c r="AC3390" s="82"/>
      <c r="AD3390" s="82"/>
      <c r="AE3390" s="82"/>
      <c r="AF3390" s="82"/>
      <c r="AG3390" s="82"/>
      <c r="AH3390" s="82"/>
      <c r="AI3390" s="82"/>
      <c r="AJ3390" s="82"/>
      <c r="AK3390" s="82"/>
      <c r="AL3390" s="82"/>
      <c r="AM3390" s="82"/>
      <c r="AN3390" s="82">
        <f>IFERROR(__xludf.DUMMYFUNCTION("""COMPUTED_VALUE"""),0.0)</f>
        <v>0</v>
      </c>
      <c r="AO3390" s="82">
        <f>IFERROR(__xludf.DUMMYFUNCTION("""COMPUTED_VALUE"""),0.0)</f>
        <v>0</v>
      </c>
      <c r="AP3390" s="82">
        <f>IFERROR(__xludf.DUMMYFUNCTION("""COMPUTED_VALUE"""),0.0)</f>
        <v>0</v>
      </c>
      <c r="AQ3390" s="82">
        <f>IFERROR(__xludf.DUMMYFUNCTION("""COMPUTED_VALUE"""),0.0)</f>
        <v>0</v>
      </c>
      <c r="AR3390" s="82">
        <f>IFERROR(__xludf.DUMMYFUNCTION("""COMPUTED_VALUE"""),0.0)</f>
        <v>0</v>
      </c>
      <c r="AS3390" s="82"/>
      <c r="AT3390" s="82">
        <f>IFERROR(__xludf.DUMMYFUNCTION("""COMPUTED_VALUE"""),0.0)</f>
        <v>0</v>
      </c>
      <c r="AU3390" s="82"/>
      <c r="AV3390" s="82"/>
      <c r="AW3390" s="82" t="str">
        <f t="shared" si="1"/>
        <v/>
      </c>
      <c r="AX3390" s="83" t="str">
        <f t="array" ref="AX3390">IFERROR(DGET('SBV Import'!A:G,"SBV",{"RSC ID","Tier";B3390,A3390}))</f>
        <v/>
      </c>
      <c r="AY3390" s="82" t="str">
        <f t="shared" si="2"/>
        <v/>
      </c>
      <c r="AZ3390" s="82"/>
      <c r="BA3390" s="84" t="s">
        <v>152</v>
      </c>
      <c r="BB3390" s="84" t="str">
        <f>IFERROR(__xludf.DUMMYFUNCTION("iferror(if(A3390="""",,E3390&gt;=FILTER(Constants!$F$2:$F$10,Constants!$A$2:$A$10=A3390)))"),"")</f>
        <v/>
      </c>
    </row>
    <row r="3391">
      <c r="A3391" s="89"/>
      <c r="B3391" s="87"/>
      <c r="C3391" s="73"/>
      <c r="D3391" s="73"/>
      <c r="E3391" s="82"/>
      <c r="F3391" s="82"/>
      <c r="G3391" s="86"/>
      <c r="H3391" s="86"/>
      <c r="I3391" s="86"/>
      <c r="J3391" s="82"/>
      <c r="K3391" s="82"/>
      <c r="L3391" s="82"/>
      <c r="M3391" s="82"/>
      <c r="N3391" s="82"/>
      <c r="O3391" s="82"/>
      <c r="P3391" s="82"/>
      <c r="Q3391" s="82"/>
      <c r="R3391" s="82"/>
      <c r="S3391" s="82"/>
      <c r="T3391" s="82"/>
      <c r="U3391" s="82"/>
      <c r="V3391" s="82"/>
      <c r="W3391" s="82"/>
      <c r="X3391" s="82"/>
      <c r="Y3391" s="82"/>
      <c r="Z3391" s="82"/>
      <c r="AA3391" s="82"/>
      <c r="AB3391" s="82"/>
      <c r="AC3391" s="82"/>
      <c r="AD3391" s="82"/>
      <c r="AE3391" s="82"/>
      <c r="AF3391" s="82"/>
      <c r="AG3391" s="82"/>
      <c r="AH3391" s="82"/>
      <c r="AI3391" s="82"/>
      <c r="AJ3391" s="82"/>
      <c r="AK3391" s="82"/>
      <c r="AL3391" s="82"/>
      <c r="AM3391" s="82"/>
      <c r="AN3391" s="82">
        <f>IFERROR(__xludf.DUMMYFUNCTION("""COMPUTED_VALUE"""),0.0)</f>
        <v>0</v>
      </c>
      <c r="AO3391" s="82">
        <f>IFERROR(__xludf.DUMMYFUNCTION("""COMPUTED_VALUE"""),0.0)</f>
        <v>0</v>
      </c>
      <c r="AP3391" s="82">
        <f>IFERROR(__xludf.DUMMYFUNCTION("""COMPUTED_VALUE"""),0.0)</f>
        <v>0</v>
      </c>
      <c r="AQ3391" s="82">
        <f>IFERROR(__xludf.DUMMYFUNCTION("""COMPUTED_VALUE"""),0.0)</f>
        <v>0</v>
      </c>
      <c r="AR3391" s="82">
        <f>IFERROR(__xludf.DUMMYFUNCTION("""COMPUTED_VALUE"""),0.0)</f>
        <v>0</v>
      </c>
      <c r="AS3391" s="82"/>
      <c r="AT3391" s="82">
        <f>IFERROR(__xludf.DUMMYFUNCTION("""COMPUTED_VALUE"""),0.0)</f>
        <v>0</v>
      </c>
      <c r="AU3391" s="82"/>
      <c r="AV3391" s="82"/>
      <c r="AW3391" s="82" t="str">
        <f t="shared" si="1"/>
        <v/>
      </c>
      <c r="AX3391" s="83" t="str">
        <f t="array" ref="AX3391">IFERROR(DGET('SBV Import'!A:G,"SBV",{"RSC ID","Tier";B3391,A3391}))</f>
        <v/>
      </c>
      <c r="AY3391" s="82" t="str">
        <f t="shared" si="2"/>
        <v/>
      </c>
      <c r="AZ3391" s="82"/>
      <c r="BA3391" s="84" t="s">
        <v>152</v>
      </c>
      <c r="BB3391" s="84" t="str">
        <f>IFERROR(__xludf.DUMMYFUNCTION("iferror(if(A3391="""",,E3391&gt;=FILTER(Constants!$F$2:$F$10,Constants!$A$2:$A$10=A3391)))"),"")</f>
        <v/>
      </c>
    </row>
    <row r="3392">
      <c r="A3392" s="89"/>
      <c r="B3392" s="87"/>
      <c r="C3392" s="73"/>
      <c r="D3392" s="73"/>
      <c r="E3392" s="82"/>
      <c r="F3392" s="82"/>
      <c r="G3392" s="86"/>
      <c r="H3392" s="86"/>
      <c r="I3392" s="86"/>
      <c r="J3392" s="82"/>
      <c r="K3392" s="82"/>
      <c r="L3392" s="82"/>
      <c r="M3392" s="82"/>
      <c r="N3392" s="82"/>
      <c r="O3392" s="82"/>
      <c r="P3392" s="82"/>
      <c r="Q3392" s="82"/>
      <c r="R3392" s="82"/>
      <c r="S3392" s="82"/>
      <c r="T3392" s="82"/>
      <c r="U3392" s="82"/>
      <c r="V3392" s="82"/>
      <c r="W3392" s="82"/>
      <c r="X3392" s="82"/>
      <c r="Y3392" s="82"/>
      <c r="Z3392" s="82"/>
      <c r="AA3392" s="82"/>
      <c r="AB3392" s="82"/>
      <c r="AC3392" s="82"/>
      <c r="AD3392" s="82"/>
      <c r="AE3392" s="82"/>
      <c r="AF3392" s="82"/>
      <c r="AG3392" s="82"/>
      <c r="AH3392" s="82"/>
      <c r="AI3392" s="82"/>
      <c r="AJ3392" s="82"/>
      <c r="AK3392" s="82"/>
      <c r="AL3392" s="82"/>
      <c r="AM3392" s="82"/>
      <c r="AN3392" s="82">
        <f>IFERROR(__xludf.DUMMYFUNCTION("""COMPUTED_VALUE"""),0.0)</f>
        <v>0</v>
      </c>
      <c r="AO3392" s="82">
        <f>IFERROR(__xludf.DUMMYFUNCTION("""COMPUTED_VALUE"""),0.0)</f>
        <v>0</v>
      </c>
      <c r="AP3392" s="82">
        <f>IFERROR(__xludf.DUMMYFUNCTION("""COMPUTED_VALUE"""),0.0)</f>
        <v>0</v>
      </c>
      <c r="AQ3392" s="82">
        <f>IFERROR(__xludf.DUMMYFUNCTION("""COMPUTED_VALUE"""),0.0)</f>
        <v>0</v>
      </c>
      <c r="AR3392" s="82">
        <f>IFERROR(__xludf.DUMMYFUNCTION("""COMPUTED_VALUE"""),0.0)</f>
        <v>0</v>
      </c>
      <c r="AS3392" s="82"/>
      <c r="AT3392" s="82">
        <f>IFERROR(__xludf.DUMMYFUNCTION("""COMPUTED_VALUE"""),0.0)</f>
        <v>0</v>
      </c>
      <c r="AU3392" s="82"/>
      <c r="AV3392" s="82"/>
      <c r="AW3392" s="82" t="str">
        <f t="shared" si="1"/>
        <v/>
      </c>
      <c r="AX3392" s="83" t="str">
        <f t="array" ref="AX3392">IFERROR(DGET('SBV Import'!A:G,"SBV",{"RSC ID","Tier";B3392,A3392}))</f>
        <v/>
      </c>
      <c r="AY3392" s="82" t="str">
        <f t="shared" si="2"/>
        <v/>
      </c>
      <c r="AZ3392" s="82"/>
      <c r="BA3392" s="84" t="s">
        <v>152</v>
      </c>
      <c r="BB3392" s="84" t="str">
        <f>IFERROR(__xludf.DUMMYFUNCTION("iferror(if(A3392="""",,E3392&gt;=FILTER(Constants!$F$2:$F$10,Constants!$A$2:$A$10=A3392)))"),"")</f>
        <v/>
      </c>
    </row>
    <row r="3393">
      <c r="A3393" s="89"/>
      <c r="B3393" s="87"/>
      <c r="C3393" s="73"/>
      <c r="D3393" s="73"/>
      <c r="E3393" s="82"/>
      <c r="F3393" s="82"/>
      <c r="G3393" s="86"/>
      <c r="H3393" s="86"/>
      <c r="I3393" s="86"/>
      <c r="J3393" s="82"/>
      <c r="K3393" s="82"/>
      <c r="L3393" s="82"/>
      <c r="M3393" s="82"/>
      <c r="N3393" s="82"/>
      <c r="O3393" s="82"/>
      <c r="P3393" s="82"/>
      <c r="Q3393" s="82"/>
      <c r="R3393" s="82"/>
      <c r="S3393" s="82"/>
      <c r="T3393" s="82"/>
      <c r="U3393" s="82"/>
      <c r="V3393" s="82"/>
      <c r="W3393" s="82"/>
      <c r="X3393" s="82"/>
      <c r="Y3393" s="82"/>
      <c r="Z3393" s="82"/>
      <c r="AA3393" s="82"/>
      <c r="AB3393" s="82"/>
      <c r="AC3393" s="82"/>
      <c r="AD3393" s="82"/>
      <c r="AE3393" s="82"/>
      <c r="AF3393" s="82"/>
      <c r="AG3393" s="82"/>
      <c r="AH3393" s="82"/>
      <c r="AI3393" s="82"/>
      <c r="AJ3393" s="82"/>
      <c r="AK3393" s="82"/>
      <c r="AL3393" s="82"/>
      <c r="AM3393" s="82"/>
      <c r="AN3393" s="82">
        <f>IFERROR(__xludf.DUMMYFUNCTION("""COMPUTED_VALUE"""),0.0)</f>
        <v>0</v>
      </c>
      <c r="AO3393" s="82">
        <f>IFERROR(__xludf.DUMMYFUNCTION("""COMPUTED_VALUE"""),0.0)</f>
        <v>0</v>
      </c>
      <c r="AP3393" s="82">
        <f>IFERROR(__xludf.DUMMYFUNCTION("""COMPUTED_VALUE"""),0.0)</f>
        <v>0</v>
      </c>
      <c r="AQ3393" s="82">
        <f>IFERROR(__xludf.DUMMYFUNCTION("""COMPUTED_VALUE"""),0.0)</f>
        <v>0</v>
      </c>
      <c r="AR3393" s="82">
        <f>IFERROR(__xludf.DUMMYFUNCTION("""COMPUTED_VALUE"""),0.0)</f>
        <v>0</v>
      </c>
      <c r="AS3393" s="82"/>
      <c r="AT3393" s="82">
        <f>IFERROR(__xludf.DUMMYFUNCTION("""COMPUTED_VALUE"""),0.0)</f>
        <v>0</v>
      </c>
      <c r="AU3393" s="82"/>
      <c r="AV3393" s="82"/>
      <c r="AW3393" s="82" t="str">
        <f t="shared" si="1"/>
        <v/>
      </c>
      <c r="AX3393" s="83" t="str">
        <f t="array" ref="AX3393">IFERROR(DGET('SBV Import'!A:G,"SBV",{"RSC ID","Tier";B3393,A3393}))</f>
        <v/>
      </c>
      <c r="AY3393" s="82" t="str">
        <f t="shared" si="2"/>
        <v/>
      </c>
      <c r="AZ3393" s="82"/>
      <c r="BA3393" s="84" t="s">
        <v>152</v>
      </c>
      <c r="BB3393" s="84" t="str">
        <f>IFERROR(__xludf.DUMMYFUNCTION("iferror(if(A3393="""",,E3393&gt;=FILTER(Constants!$F$2:$F$10,Constants!$A$2:$A$10=A3393)))"),"")</f>
        <v/>
      </c>
    </row>
    <row r="3394">
      <c r="A3394" s="89"/>
      <c r="B3394" s="87"/>
      <c r="C3394" s="73"/>
      <c r="D3394" s="73"/>
      <c r="E3394" s="82"/>
      <c r="F3394" s="82"/>
      <c r="G3394" s="86"/>
      <c r="H3394" s="86"/>
      <c r="I3394" s="86"/>
      <c r="J3394" s="82"/>
      <c r="K3394" s="82"/>
      <c r="L3394" s="82"/>
      <c r="M3394" s="82"/>
      <c r="N3394" s="82"/>
      <c r="O3394" s="82"/>
      <c r="P3394" s="82"/>
      <c r="Q3394" s="82"/>
      <c r="R3394" s="82"/>
      <c r="S3394" s="82"/>
      <c r="T3394" s="82"/>
      <c r="U3394" s="82"/>
      <c r="V3394" s="82"/>
      <c r="W3394" s="82"/>
      <c r="X3394" s="82"/>
      <c r="Y3394" s="82"/>
      <c r="Z3394" s="82"/>
      <c r="AA3394" s="82"/>
      <c r="AB3394" s="82"/>
      <c r="AC3394" s="82"/>
      <c r="AD3394" s="82"/>
      <c r="AE3394" s="82"/>
      <c r="AF3394" s="82"/>
      <c r="AG3394" s="82"/>
      <c r="AH3394" s="82"/>
      <c r="AI3394" s="82"/>
      <c r="AJ3394" s="82"/>
      <c r="AK3394" s="82"/>
      <c r="AL3394" s="82"/>
      <c r="AM3394" s="82"/>
      <c r="AN3394" s="82">
        <f>IFERROR(__xludf.DUMMYFUNCTION("""COMPUTED_VALUE"""),0.0)</f>
        <v>0</v>
      </c>
      <c r="AO3394" s="82">
        <f>IFERROR(__xludf.DUMMYFUNCTION("""COMPUTED_VALUE"""),0.0)</f>
        <v>0</v>
      </c>
      <c r="AP3394" s="82">
        <f>IFERROR(__xludf.DUMMYFUNCTION("""COMPUTED_VALUE"""),0.0)</f>
        <v>0</v>
      </c>
      <c r="AQ3394" s="82">
        <f>IFERROR(__xludf.DUMMYFUNCTION("""COMPUTED_VALUE"""),0.0)</f>
        <v>0</v>
      </c>
      <c r="AR3394" s="82">
        <f>IFERROR(__xludf.DUMMYFUNCTION("""COMPUTED_VALUE"""),0.0)</f>
        <v>0</v>
      </c>
      <c r="AS3394" s="82"/>
      <c r="AT3394" s="82">
        <f>IFERROR(__xludf.DUMMYFUNCTION("""COMPUTED_VALUE"""),0.0)</f>
        <v>0</v>
      </c>
      <c r="AU3394" s="82"/>
      <c r="AV3394" s="82"/>
      <c r="AW3394" s="82" t="str">
        <f t="shared" si="1"/>
        <v/>
      </c>
      <c r="AX3394" s="83" t="str">
        <f t="array" ref="AX3394">IFERROR(DGET('SBV Import'!A:G,"SBV",{"RSC ID","Tier";B3394,A3394}))</f>
        <v/>
      </c>
      <c r="AY3394" s="82" t="str">
        <f t="shared" si="2"/>
        <v/>
      </c>
      <c r="AZ3394" s="82"/>
      <c r="BA3394" s="84" t="s">
        <v>152</v>
      </c>
      <c r="BB3394" s="84" t="str">
        <f>IFERROR(__xludf.DUMMYFUNCTION("iferror(if(A3394="""",,E3394&gt;=FILTER(Constants!$F$2:$F$10,Constants!$A$2:$A$10=A3394)))"),"")</f>
        <v/>
      </c>
    </row>
    <row r="3395">
      <c r="A3395" s="89"/>
      <c r="B3395" s="87"/>
      <c r="C3395" s="73"/>
      <c r="D3395" s="73"/>
      <c r="E3395" s="82"/>
      <c r="F3395" s="82"/>
      <c r="G3395" s="86"/>
      <c r="H3395" s="86"/>
      <c r="I3395" s="86"/>
      <c r="J3395" s="82"/>
      <c r="K3395" s="82"/>
      <c r="L3395" s="82"/>
      <c r="M3395" s="82"/>
      <c r="N3395" s="82"/>
      <c r="O3395" s="82"/>
      <c r="P3395" s="82"/>
      <c r="Q3395" s="82"/>
      <c r="R3395" s="82"/>
      <c r="S3395" s="82"/>
      <c r="T3395" s="82"/>
      <c r="U3395" s="82"/>
      <c r="V3395" s="82"/>
      <c r="W3395" s="82"/>
      <c r="X3395" s="82"/>
      <c r="Y3395" s="82"/>
      <c r="Z3395" s="82"/>
      <c r="AA3395" s="82"/>
      <c r="AB3395" s="82"/>
      <c r="AC3395" s="82"/>
      <c r="AD3395" s="82"/>
      <c r="AE3395" s="82"/>
      <c r="AF3395" s="82"/>
      <c r="AG3395" s="82"/>
      <c r="AH3395" s="82"/>
      <c r="AI3395" s="82"/>
      <c r="AJ3395" s="82"/>
      <c r="AK3395" s="82"/>
      <c r="AL3395" s="82"/>
      <c r="AM3395" s="82"/>
      <c r="AN3395" s="82">
        <f>IFERROR(__xludf.DUMMYFUNCTION("""COMPUTED_VALUE"""),0.0)</f>
        <v>0</v>
      </c>
      <c r="AO3395" s="82">
        <f>IFERROR(__xludf.DUMMYFUNCTION("""COMPUTED_VALUE"""),0.0)</f>
        <v>0</v>
      </c>
      <c r="AP3395" s="82">
        <f>IFERROR(__xludf.DUMMYFUNCTION("""COMPUTED_VALUE"""),0.0)</f>
        <v>0</v>
      </c>
      <c r="AQ3395" s="82">
        <f>IFERROR(__xludf.DUMMYFUNCTION("""COMPUTED_VALUE"""),0.0)</f>
        <v>0</v>
      </c>
      <c r="AR3395" s="82">
        <f>IFERROR(__xludf.DUMMYFUNCTION("""COMPUTED_VALUE"""),0.0)</f>
        <v>0</v>
      </c>
      <c r="AS3395" s="82"/>
      <c r="AT3395" s="82">
        <f>IFERROR(__xludf.DUMMYFUNCTION("""COMPUTED_VALUE"""),0.0)</f>
        <v>0</v>
      </c>
      <c r="AU3395" s="82"/>
      <c r="AV3395" s="82"/>
      <c r="AW3395" s="82" t="str">
        <f t="shared" si="1"/>
        <v/>
      </c>
      <c r="AX3395" s="83" t="str">
        <f t="array" ref="AX3395">IFERROR(DGET('SBV Import'!A:G,"SBV",{"RSC ID","Tier";B3395,A3395}))</f>
        <v/>
      </c>
      <c r="AY3395" s="82" t="str">
        <f t="shared" si="2"/>
        <v/>
      </c>
      <c r="AZ3395" s="82"/>
      <c r="BA3395" s="84" t="s">
        <v>152</v>
      </c>
      <c r="BB3395" s="84" t="str">
        <f>IFERROR(__xludf.DUMMYFUNCTION("iferror(if(A3395="""",,E3395&gt;=FILTER(Constants!$F$2:$F$10,Constants!$A$2:$A$10=A3395)))"),"")</f>
        <v/>
      </c>
    </row>
    <row r="3396">
      <c r="A3396" s="89"/>
      <c r="B3396" s="87"/>
      <c r="C3396" s="73"/>
      <c r="D3396" s="73"/>
      <c r="E3396" s="82"/>
      <c r="F3396" s="82"/>
      <c r="G3396" s="86"/>
      <c r="H3396" s="86"/>
      <c r="I3396" s="86"/>
      <c r="J3396" s="82"/>
      <c r="K3396" s="82"/>
      <c r="L3396" s="82"/>
      <c r="M3396" s="82"/>
      <c r="N3396" s="82"/>
      <c r="O3396" s="82"/>
      <c r="P3396" s="82"/>
      <c r="Q3396" s="82"/>
      <c r="R3396" s="82"/>
      <c r="S3396" s="82"/>
      <c r="T3396" s="82"/>
      <c r="U3396" s="82"/>
      <c r="V3396" s="82"/>
      <c r="W3396" s="82"/>
      <c r="X3396" s="82"/>
      <c r="Y3396" s="82"/>
      <c r="Z3396" s="82"/>
      <c r="AA3396" s="82"/>
      <c r="AB3396" s="82"/>
      <c r="AC3396" s="82"/>
      <c r="AD3396" s="82"/>
      <c r="AE3396" s="82"/>
      <c r="AF3396" s="82"/>
      <c r="AG3396" s="82"/>
      <c r="AH3396" s="82"/>
      <c r="AI3396" s="82"/>
      <c r="AJ3396" s="82"/>
      <c r="AK3396" s="82"/>
      <c r="AL3396" s="82"/>
      <c r="AM3396" s="82"/>
      <c r="AN3396" s="82">
        <f>IFERROR(__xludf.DUMMYFUNCTION("""COMPUTED_VALUE"""),0.0)</f>
        <v>0</v>
      </c>
      <c r="AO3396" s="82">
        <f>IFERROR(__xludf.DUMMYFUNCTION("""COMPUTED_VALUE"""),0.0)</f>
        <v>0</v>
      </c>
      <c r="AP3396" s="82">
        <f>IFERROR(__xludf.DUMMYFUNCTION("""COMPUTED_VALUE"""),0.0)</f>
        <v>0</v>
      </c>
      <c r="AQ3396" s="82">
        <f>IFERROR(__xludf.DUMMYFUNCTION("""COMPUTED_VALUE"""),0.0)</f>
        <v>0</v>
      </c>
      <c r="AR3396" s="82">
        <f>IFERROR(__xludf.DUMMYFUNCTION("""COMPUTED_VALUE"""),0.0)</f>
        <v>0</v>
      </c>
      <c r="AS3396" s="82"/>
      <c r="AT3396" s="82">
        <f>IFERROR(__xludf.DUMMYFUNCTION("""COMPUTED_VALUE"""),0.0)</f>
        <v>0</v>
      </c>
      <c r="AU3396" s="82"/>
      <c r="AV3396" s="82"/>
      <c r="AW3396" s="82" t="str">
        <f t="shared" si="1"/>
        <v/>
      </c>
      <c r="AX3396" s="83" t="str">
        <f t="array" ref="AX3396">IFERROR(DGET('SBV Import'!A:G,"SBV",{"RSC ID","Tier";B3396,A3396}))</f>
        <v/>
      </c>
      <c r="AY3396" s="82" t="str">
        <f t="shared" si="2"/>
        <v/>
      </c>
      <c r="AZ3396" s="82"/>
      <c r="BA3396" s="84" t="s">
        <v>152</v>
      </c>
      <c r="BB3396" s="84" t="str">
        <f>IFERROR(__xludf.DUMMYFUNCTION("iferror(if(A3396="""",,E3396&gt;=FILTER(Constants!$F$2:$F$10,Constants!$A$2:$A$10=A3396)))"),"")</f>
        <v/>
      </c>
    </row>
    <row r="3397">
      <c r="A3397" s="89"/>
      <c r="B3397" s="87"/>
      <c r="C3397" s="73"/>
      <c r="D3397" s="73"/>
      <c r="E3397" s="82"/>
      <c r="F3397" s="82"/>
      <c r="G3397" s="86"/>
      <c r="H3397" s="86"/>
      <c r="I3397" s="86"/>
      <c r="J3397" s="82"/>
      <c r="K3397" s="82"/>
      <c r="L3397" s="82"/>
      <c r="M3397" s="82"/>
      <c r="N3397" s="82"/>
      <c r="O3397" s="82"/>
      <c r="P3397" s="82"/>
      <c r="Q3397" s="82"/>
      <c r="R3397" s="82"/>
      <c r="S3397" s="82"/>
      <c r="T3397" s="82"/>
      <c r="U3397" s="82"/>
      <c r="V3397" s="82"/>
      <c r="W3397" s="82"/>
      <c r="X3397" s="82"/>
      <c r="Y3397" s="82"/>
      <c r="Z3397" s="82"/>
      <c r="AA3397" s="82"/>
      <c r="AB3397" s="82"/>
      <c r="AC3397" s="82"/>
      <c r="AD3397" s="82"/>
      <c r="AE3397" s="82"/>
      <c r="AF3397" s="82"/>
      <c r="AG3397" s="82"/>
      <c r="AH3397" s="82"/>
      <c r="AI3397" s="82"/>
      <c r="AJ3397" s="82"/>
      <c r="AK3397" s="82"/>
      <c r="AL3397" s="82"/>
      <c r="AM3397" s="82"/>
      <c r="AN3397" s="82">
        <f>IFERROR(__xludf.DUMMYFUNCTION("""COMPUTED_VALUE"""),0.0)</f>
        <v>0</v>
      </c>
      <c r="AO3397" s="82">
        <f>IFERROR(__xludf.DUMMYFUNCTION("""COMPUTED_VALUE"""),0.0)</f>
        <v>0</v>
      </c>
      <c r="AP3397" s="82">
        <f>IFERROR(__xludf.DUMMYFUNCTION("""COMPUTED_VALUE"""),0.0)</f>
        <v>0</v>
      </c>
      <c r="AQ3397" s="82">
        <f>IFERROR(__xludf.DUMMYFUNCTION("""COMPUTED_VALUE"""),0.0)</f>
        <v>0</v>
      </c>
      <c r="AR3397" s="82">
        <f>IFERROR(__xludf.DUMMYFUNCTION("""COMPUTED_VALUE"""),0.0)</f>
        <v>0</v>
      </c>
      <c r="AS3397" s="82"/>
      <c r="AT3397" s="82">
        <f>IFERROR(__xludf.DUMMYFUNCTION("""COMPUTED_VALUE"""),0.0)</f>
        <v>0</v>
      </c>
      <c r="AU3397" s="82"/>
      <c r="AV3397" s="82"/>
      <c r="AW3397" s="82" t="str">
        <f t="shared" si="1"/>
        <v/>
      </c>
      <c r="AX3397" s="83" t="str">
        <f t="array" ref="AX3397">IFERROR(DGET('SBV Import'!A:G,"SBV",{"RSC ID","Tier";B3397,A3397}))</f>
        <v/>
      </c>
      <c r="AY3397" s="82" t="str">
        <f t="shared" si="2"/>
        <v/>
      </c>
      <c r="AZ3397" s="82"/>
      <c r="BA3397" s="84" t="s">
        <v>152</v>
      </c>
      <c r="BB3397" s="84" t="str">
        <f>IFERROR(__xludf.DUMMYFUNCTION("iferror(if(A3397="""",,E3397&gt;=FILTER(Constants!$F$2:$F$10,Constants!$A$2:$A$10=A3397)))"),"")</f>
        <v/>
      </c>
    </row>
    <row r="3398">
      <c r="A3398" s="89"/>
      <c r="B3398" s="87"/>
      <c r="C3398" s="73"/>
      <c r="D3398" s="73"/>
      <c r="E3398" s="82"/>
      <c r="F3398" s="82"/>
      <c r="G3398" s="86"/>
      <c r="H3398" s="86"/>
      <c r="I3398" s="86"/>
      <c r="J3398" s="82"/>
      <c r="K3398" s="82"/>
      <c r="L3398" s="82"/>
      <c r="M3398" s="82"/>
      <c r="N3398" s="82"/>
      <c r="O3398" s="82"/>
      <c r="P3398" s="82"/>
      <c r="Q3398" s="82"/>
      <c r="R3398" s="82"/>
      <c r="S3398" s="82"/>
      <c r="T3398" s="82"/>
      <c r="U3398" s="82"/>
      <c r="V3398" s="82"/>
      <c r="W3398" s="82"/>
      <c r="X3398" s="82"/>
      <c r="Y3398" s="82"/>
      <c r="Z3398" s="82"/>
      <c r="AA3398" s="82"/>
      <c r="AB3398" s="82"/>
      <c r="AC3398" s="82"/>
      <c r="AD3398" s="82"/>
      <c r="AE3398" s="82"/>
      <c r="AF3398" s="82"/>
      <c r="AG3398" s="82"/>
      <c r="AH3398" s="82"/>
      <c r="AI3398" s="82"/>
      <c r="AJ3398" s="82"/>
      <c r="AK3398" s="82"/>
      <c r="AL3398" s="82"/>
      <c r="AM3398" s="82"/>
      <c r="AN3398" s="82">
        <f>IFERROR(__xludf.DUMMYFUNCTION("""COMPUTED_VALUE"""),0.0)</f>
        <v>0</v>
      </c>
      <c r="AO3398" s="82">
        <f>IFERROR(__xludf.DUMMYFUNCTION("""COMPUTED_VALUE"""),0.0)</f>
        <v>0</v>
      </c>
      <c r="AP3398" s="82">
        <f>IFERROR(__xludf.DUMMYFUNCTION("""COMPUTED_VALUE"""),0.0)</f>
        <v>0</v>
      </c>
      <c r="AQ3398" s="82">
        <f>IFERROR(__xludf.DUMMYFUNCTION("""COMPUTED_VALUE"""),0.0)</f>
        <v>0</v>
      </c>
      <c r="AR3398" s="82">
        <f>IFERROR(__xludf.DUMMYFUNCTION("""COMPUTED_VALUE"""),0.0)</f>
        <v>0</v>
      </c>
      <c r="AS3398" s="82"/>
      <c r="AT3398" s="82">
        <f>IFERROR(__xludf.DUMMYFUNCTION("""COMPUTED_VALUE"""),0.0)</f>
        <v>0</v>
      </c>
      <c r="AU3398" s="82"/>
      <c r="AV3398" s="82"/>
      <c r="AW3398" s="82" t="str">
        <f t="shared" si="1"/>
        <v/>
      </c>
      <c r="AX3398" s="83" t="str">
        <f t="array" ref="AX3398">IFERROR(DGET('SBV Import'!A:G,"SBV",{"RSC ID","Tier";B3398,A3398}))</f>
        <v/>
      </c>
      <c r="AY3398" s="82" t="str">
        <f t="shared" si="2"/>
        <v/>
      </c>
      <c r="AZ3398" s="82"/>
      <c r="BA3398" s="84" t="s">
        <v>152</v>
      </c>
      <c r="BB3398" s="84" t="str">
        <f>IFERROR(__xludf.DUMMYFUNCTION("iferror(if(A3398="""",,E3398&gt;=FILTER(Constants!$F$2:$F$10,Constants!$A$2:$A$10=A3398)))"),"")</f>
        <v/>
      </c>
    </row>
    <row r="3399">
      <c r="A3399" s="89"/>
      <c r="B3399" s="87"/>
      <c r="C3399" s="73"/>
      <c r="D3399" s="73"/>
      <c r="E3399" s="82"/>
      <c r="F3399" s="82"/>
      <c r="G3399" s="86"/>
      <c r="H3399" s="86"/>
      <c r="I3399" s="86"/>
      <c r="J3399" s="82"/>
      <c r="K3399" s="82"/>
      <c r="L3399" s="82"/>
      <c r="M3399" s="82"/>
      <c r="N3399" s="82"/>
      <c r="O3399" s="82"/>
      <c r="P3399" s="82"/>
      <c r="Q3399" s="82"/>
      <c r="R3399" s="82"/>
      <c r="S3399" s="82"/>
      <c r="T3399" s="82"/>
      <c r="U3399" s="82"/>
      <c r="V3399" s="82"/>
      <c r="W3399" s="82"/>
      <c r="X3399" s="82"/>
      <c r="Y3399" s="82"/>
      <c r="Z3399" s="82"/>
      <c r="AA3399" s="82"/>
      <c r="AB3399" s="82"/>
      <c r="AC3399" s="82"/>
      <c r="AD3399" s="82"/>
      <c r="AE3399" s="82"/>
      <c r="AF3399" s="82"/>
      <c r="AG3399" s="82"/>
      <c r="AH3399" s="82"/>
      <c r="AI3399" s="82"/>
      <c r="AJ3399" s="82"/>
      <c r="AK3399" s="82"/>
      <c r="AL3399" s="82"/>
      <c r="AM3399" s="82"/>
      <c r="AN3399" s="82">
        <f>IFERROR(__xludf.DUMMYFUNCTION("""COMPUTED_VALUE"""),0.0)</f>
        <v>0</v>
      </c>
      <c r="AO3399" s="82">
        <f>IFERROR(__xludf.DUMMYFUNCTION("""COMPUTED_VALUE"""),0.0)</f>
        <v>0</v>
      </c>
      <c r="AP3399" s="82">
        <f>IFERROR(__xludf.DUMMYFUNCTION("""COMPUTED_VALUE"""),0.0)</f>
        <v>0</v>
      </c>
      <c r="AQ3399" s="82">
        <f>IFERROR(__xludf.DUMMYFUNCTION("""COMPUTED_VALUE"""),0.0)</f>
        <v>0</v>
      </c>
      <c r="AR3399" s="82">
        <f>IFERROR(__xludf.DUMMYFUNCTION("""COMPUTED_VALUE"""),0.0)</f>
        <v>0</v>
      </c>
      <c r="AS3399" s="82"/>
      <c r="AT3399" s="82">
        <f>IFERROR(__xludf.DUMMYFUNCTION("""COMPUTED_VALUE"""),0.0)</f>
        <v>0</v>
      </c>
      <c r="AU3399" s="82"/>
      <c r="AV3399" s="82"/>
      <c r="AW3399" s="82" t="str">
        <f t="shared" si="1"/>
        <v/>
      </c>
      <c r="AX3399" s="83" t="str">
        <f t="array" ref="AX3399">IFERROR(DGET('SBV Import'!A:G,"SBV",{"RSC ID","Tier";B3399,A3399}))</f>
        <v/>
      </c>
      <c r="AY3399" s="82" t="str">
        <f t="shared" si="2"/>
        <v/>
      </c>
      <c r="AZ3399" s="82"/>
      <c r="BA3399" s="84" t="s">
        <v>152</v>
      </c>
      <c r="BB3399" s="84" t="str">
        <f>IFERROR(__xludf.DUMMYFUNCTION("iferror(if(A3399="""",,E3399&gt;=FILTER(Constants!$F$2:$F$10,Constants!$A$2:$A$10=A3399)))"),"")</f>
        <v/>
      </c>
    </row>
    <row r="3400">
      <c r="A3400" s="89"/>
      <c r="B3400" s="87"/>
      <c r="C3400" s="73"/>
      <c r="D3400" s="73"/>
      <c r="E3400" s="82"/>
      <c r="F3400" s="82"/>
      <c r="G3400" s="86"/>
      <c r="H3400" s="86"/>
      <c r="I3400" s="86"/>
      <c r="J3400" s="82"/>
      <c r="K3400" s="82"/>
      <c r="L3400" s="82"/>
      <c r="M3400" s="82"/>
      <c r="N3400" s="82"/>
      <c r="O3400" s="82"/>
      <c r="P3400" s="82"/>
      <c r="Q3400" s="82"/>
      <c r="R3400" s="82"/>
      <c r="S3400" s="82"/>
      <c r="T3400" s="82"/>
      <c r="U3400" s="82"/>
      <c r="V3400" s="82"/>
      <c r="W3400" s="82"/>
      <c r="X3400" s="82"/>
      <c r="Y3400" s="82"/>
      <c r="Z3400" s="82"/>
      <c r="AA3400" s="82"/>
      <c r="AB3400" s="82"/>
      <c r="AC3400" s="82"/>
      <c r="AD3400" s="82"/>
      <c r="AE3400" s="82"/>
      <c r="AF3400" s="82"/>
      <c r="AG3400" s="82"/>
      <c r="AH3400" s="82"/>
      <c r="AI3400" s="82"/>
      <c r="AJ3400" s="82"/>
      <c r="AK3400" s="82"/>
      <c r="AL3400" s="82"/>
      <c r="AM3400" s="82"/>
      <c r="AN3400" s="82">
        <f>IFERROR(__xludf.DUMMYFUNCTION("""COMPUTED_VALUE"""),0.0)</f>
        <v>0</v>
      </c>
      <c r="AO3400" s="82">
        <f>IFERROR(__xludf.DUMMYFUNCTION("""COMPUTED_VALUE"""),0.0)</f>
        <v>0</v>
      </c>
      <c r="AP3400" s="82">
        <f>IFERROR(__xludf.DUMMYFUNCTION("""COMPUTED_VALUE"""),0.0)</f>
        <v>0</v>
      </c>
      <c r="AQ3400" s="82">
        <f>IFERROR(__xludf.DUMMYFUNCTION("""COMPUTED_VALUE"""),0.0)</f>
        <v>0</v>
      </c>
      <c r="AR3400" s="82">
        <f>IFERROR(__xludf.DUMMYFUNCTION("""COMPUTED_VALUE"""),0.0)</f>
        <v>0</v>
      </c>
      <c r="AS3400" s="82"/>
      <c r="AT3400" s="82">
        <f>IFERROR(__xludf.DUMMYFUNCTION("""COMPUTED_VALUE"""),0.0)</f>
        <v>0</v>
      </c>
      <c r="AU3400" s="82"/>
      <c r="AV3400" s="82"/>
      <c r="AW3400" s="82" t="str">
        <f t="shared" si="1"/>
        <v/>
      </c>
      <c r="AX3400" s="83" t="str">
        <f t="array" ref="AX3400">IFERROR(DGET('SBV Import'!A:G,"SBV",{"RSC ID","Tier";B3400,A3400}))</f>
        <v/>
      </c>
      <c r="AY3400" s="82" t="str">
        <f t="shared" si="2"/>
        <v/>
      </c>
      <c r="AZ3400" s="82"/>
      <c r="BA3400" s="84" t="s">
        <v>152</v>
      </c>
      <c r="BB3400" s="84" t="str">
        <f>IFERROR(__xludf.DUMMYFUNCTION("iferror(if(A3400="""",,E3400&gt;=FILTER(Constants!$F$2:$F$10,Constants!$A$2:$A$10=A3400)))"),"")</f>
        <v/>
      </c>
    </row>
    <row r="3401">
      <c r="A3401" s="89"/>
      <c r="B3401" s="87"/>
      <c r="C3401" s="73"/>
      <c r="D3401" s="73"/>
      <c r="E3401" s="82"/>
      <c r="F3401" s="82"/>
      <c r="G3401" s="86"/>
      <c r="H3401" s="86"/>
      <c r="I3401" s="86"/>
      <c r="J3401" s="82"/>
      <c r="K3401" s="82"/>
      <c r="L3401" s="82"/>
      <c r="M3401" s="82"/>
      <c r="N3401" s="82"/>
      <c r="O3401" s="82"/>
      <c r="P3401" s="82"/>
      <c r="Q3401" s="82"/>
      <c r="R3401" s="82"/>
      <c r="S3401" s="82"/>
      <c r="T3401" s="82"/>
      <c r="U3401" s="82"/>
      <c r="V3401" s="82"/>
      <c r="W3401" s="82"/>
      <c r="X3401" s="82"/>
      <c r="Y3401" s="82"/>
      <c r="Z3401" s="82"/>
      <c r="AA3401" s="82"/>
      <c r="AB3401" s="82"/>
      <c r="AC3401" s="82"/>
      <c r="AD3401" s="82"/>
      <c r="AE3401" s="82"/>
      <c r="AF3401" s="82"/>
      <c r="AG3401" s="82"/>
      <c r="AH3401" s="82"/>
      <c r="AI3401" s="82"/>
      <c r="AJ3401" s="82"/>
      <c r="AK3401" s="82"/>
      <c r="AL3401" s="82"/>
      <c r="AM3401" s="82"/>
      <c r="AN3401" s="82">
        <f>IFERROR(__xludf.DUMMYFUNCTION("""COMPUTED_VALUE"""),0.0)</f>
        <v>0</v>
      </c>
      <c r="AO3401" s="82">
        <f>IFERROR(__xludf.DUMMYFUNCTION("""COMPUTED_VALUE"""),0.0)</f>
        <v>0</v>
      </c>
      <c r="AP3401" s="82">
        <f>IFERROR(__xludf.DUMMYFUNCTION("""COMPUTED_VALUE"""),0.0)</f>
        <v>0</v>
      </c>
      <c r="AQ3401" s="82">
        <f>IFERROR(__xludf.DUMMYFUNCTION("""COMPUTED_VALUE"""),0.0)</f>
        <v>0</v>
      </c>
      <c r="AR3401" s="82">
        <f>IFERROR(__xludf.DUMMYFUNCTION("""COMPUTED_VALUE"""),0.0)</f>
        <v>0</v>
      </c>
      <c r="AS3401" s="82"/>
      <c r="AT3401" s="82">
        <f>IFERROR(__xludf.DUMMYFUNCTION("""COMPUTED_VALUE"""),0.0)</f>
        <v>0</v>
      </c>
      <c r="AU3401" s="82"/>
      <c r="AV3401" s="82"/>
      <c r="AW3401" s="82" t="str">
        <f t="shared" si="1"/>
        <v/>
      </c>
      <c r="AX3401" s="83" t="str">
        <f t="array" ref="AX3401">IFERROR(DGET('SBV Import'!A:G,"SBV",{"RSC ID","Tier";B3401,A3401}))</f>
        <v/>
      </c>
      <c r="AY3401" s="82" t="str">
        <f t="shared" si="2"/>
        <v/>
      </c>
      <c r="AZ3401" s="82"/>
      <c r="BA3401" s="84" t="s">
        <v>152</v>
      </c>
      <c r="BB3401" s="84" t="str">
        <f>IFERROR(__xludf.DUMMYFUNCTION("iferror(if(A3401="""",,E3401&gt;=FILTER(Constants!$F$2:$F$10,Constants!$A$2:$A$10=A3401)))"),"")</f>
        <v/>
      </c>
    </row>
    <row r="3402">
      <c r="A3402" s="89"/>
      <c r="B3402" s="87"/>
      <c r="C3402" s="73"/>
      <c r="D3402" s="73"/>
      <c r="E3402" s="82"/>
      <c r="F3402" s="82"/>
      <c r="G3402" s="86"/>
      <c r="H3402" s="86"/>
      <c r="I3402" s="86"/>
      <c r="J3402" s="82"/>
      <c r="K3402" s="82"/>
      <c r="L3402" s="82"/>
      <c r="M3402" s="82"/>
      <c r="N3402" s="82"/>
      <c r="O3402" s="82"/>
      <c r="P3402" s="82"/>
      <c r="Q3402" s="82"/>
      <c r="R3402" s="82"/>
      <c r="S3402" s="82"/>
      <c r="T3402" s="82"/>
      <c r="U3402" s="82"/>
      <c r="V3402" s="82"/>
      <c r="W3402" s="82"/>
      <c r="X3402" s="82"/>
      <c r="Y3402" s="82"/>
      <c r="Z3402" s="82"/>
      <c r="AA3402" s="82"/>
      <c r="AB3402" s="82"/>
      <c r="AC3402" s="82"/>
      <c r="AD3402" s="82"/>
      <c r="AE3402" s="82"/>
      <c r="AF3402" s="82"/>
      <c r="AG3402" s="82"/>
      <c r="AH3402" s="82"/>
      <c r="AI3402" s="82"/>
      <c r="AJ3402" s="82"/>
      <c r="AK3402" s="82"/>
      <c r="AL3402" s="82"/>
      <c r="AM3402" s="82"/>
      <c r="AN3402" s="82">
        <f>IFERROR(__xludf.DUMMYFUNCTION("""COMPUTED_VALUE"""),0.0)</f>
        <v>0</v>
      </c>
      <c r="AO3402" s="82">
        <f>IFERROR(__xludf.DUMMYFUNCTION("""COMPUTED_VALUE"""),0.0)</f>
        <v>0</v>
      </c>
      <c r="AP3402" s="82">
        <f>IFERROR(__xludf.DUMMYFUNCTION("""COMPUTED_VALUE"""),0.0)</f>
        <v>0</v>
      </c>
      <c r="AQ3402" s="82">
        <f>IFERROR(__xludf.DUMMYFUNCTION("""COMPUTED_VALUE"""),0.0)</f>
        <v>0</v>
      </c>
      <c r="AR3402" s="82">
        <f>IFERROR(__xludf.DUMMYFUNCTION("""COMPUTED_VALUE"""),0.0)</f>
        <v>0</v>
      </c>
      <c r="AS3402" s="82"/>
      <c r="AT3402" s="82">
        <f>IFERROR(__xludf.DUMMYFUNCTION("""COMPUTED_VALUE"""),0.0)</f>
        <v>0</v>
      </c>
      <c r="AU3402" s="82"/>
      <c r="AV3402" s="82"/>
      <c r="AW3402" s="82" t="str">
        <f t="shared" si="1"/>
        <v/>
      </c>
      <c r="AX3402" s="83" t="str">
        <f t="array" ref="AX3402">IFERROR(DGET('SBV Import'!A:G,"SBV",{"RSC ID","Tier";B3402,A3402}))</f>
        <v/>
      </c>
      <c r="AY3402" s="82" t="str">
        <f t="shared" si="2"/>
        <v/>
      </c>
      <c r="AZ3402" s="82"/>
      <c r="BA3402" s="84" t="s">
        <v>152</v>
      </c>
      <c r="BB3402" s="84" t="str">
        <f>IFERROR(__xludf.DUMMYFUNCTION("iferror(if(A3402="""",,E3402&gt;=FILTER(Constants!$F$2:$F$10,Constants!$A$2:$A$10=A3402)))"),"")</f>
        <v/>
      </c>
    </row>
    <row r="3403">
      <c r="A3403" s="89"/>
      <c r="B3403" s="87"/>
      <c r="C3403" s="73"/>
      <c r="D3403" s="73"/>
      <c r="E3403" s="82"/>
      <c r="F3403" s="82"/>
      <c r="G3403" s="86"/>
      <c r="H3403" s="86"/>
      <c r="I3403" s="86"/>
      <c r="J3403" s="82"/>
      <c r="K3403" s="82"/>
      <c r="L3403" s="82"/>
      <c r="M3403" s="82"/>
      <c r="N3403" s="82"/>
      <c r="O3403" s="82"/>
      <c r="P3403" s="82"/>
      <c r="Q3403" s="82"/>
      <c r="R3403" s="82"/>
      <c r="S3403" s="82"/>
      <c r="T3403" s="82"/>
      <c r="U3403" s="82"/>
      <c r="V3403" s="82"/>
      <c r="W3403" s="82"/>
      <c r="X3403" s="82"/>
      <c r="Y3403" s="82"/>
      <c r="Z3403" s="82"/>
      <c r="AA3403" s="82"/>
      <c r="AB3403" s="82"/>
      <c r="AC3403" s="82"/>
      <c r="AD3403" s="82"/>
      <c r="AE3403" s="82"/>
      <c r="AF3403" s="82"/>
      <c r="AG3403" s="82"/>
      <c r="AH3403" s="82"/>
      <c r="AI3403" s="82"/>
      <c r="AJ3403" s="82"/>
      <c r="AK3403" s="82"/>
      <c r="AL3403" s="82"/>
      <c r="AM3403" s="82"/>
      <c r="AN3403" s="82">
        <f>IFERROR(__xludf.DUMMYFUNCTION("""COMPUTED_VALUE"""),0.0)</f>
        <v>0</v>
      </c>
      <c r="AO3403" s="82">
        <f>IFERROR(__xludf.DUMMYFUNCTION("""COMPUTED_VALUE"""),0.0)</f>
        <v>0</v>
      </c>
      <c r="AP3403" s="82">
        <f>IFERROR(__xludf.DUMMYFUNCTION("""COMPUTED_VALUE"""),0.0)</f>
        <v>0</v>
      </c>
      <c r="AQ3403" s="82">
        <f>IFERROR(__xludf.DUMMYFUNCTION("""COMPUTED_VALUE"""),0.0)</f>
        <v>0</v>
      </c>
      <c r="AR3403" s="82">
        <f>IFERROR(__xludf.DUMMYFUNCTION("""COMPUTED_VALUE"""),0.0)</f>
        <v>0</v>
      </c>
      <c r="AS3403" s="82"/>
      <c r="AT3403" s="82">
        <f>IFERROR(__xludf.DUMMYFUNCTION("""COMPUTED_VALUE"""),0.0)</f>
        <v>0</v>
      </c>
      <c r="AU3403" s="82"/>
      <c r="AV3403" s="82"/>
      <c r="AW3403" s="82" t="str">
        <f t="shared" si="1"/>
        <v/>
      </c>
      <c r="AX3403" s="83" t="str">
        <f t="array" ref="AX3403">IFERROR(DGET('SBV Import'!A:G,"SBV",{"RSC ID","Tier";B3403,A3403}))</f>
        <v/>
      </c>
      <c r="AY3403" s="82" t="str">
        <f t="shared" si="2"/>
        <v/>
      </c>
      <c r="AZ3403" s="82"/>
      <c r="BA3403" s="84" t="s">
        <v>152</v>
      </c>
      <c r="BB3403" s="84" t="str">
        <f>IFERROR(__xludf.DUMMYFUNCTION("iferror(if(A3403="""",,E3403&gt;=FILTER(Constants!$F$2:$F$10,Constants!$A$2:$A$10=A3403)))"),"")</f>
        <v/>
      </c>
    </row>
    <row r="3404">
      <c r="A3404" s="89"/>
      <c r="B3404" s="87"/>
      <c r="C3404" s="73"/>
      <c r="D3404" s="73"/>
      <c r="E3404" s="82"/>
      <c r="F3404" s="82"/>
      <c r="G3404" s="86"/>
      <c r="H3404" s="86"/>
      <c r="I3404" s="86"/>
      <c r="J3404" s="82"/>
      <c r="K3404" s="82"/>
      <c r="L3404" s="82"/>
      <c r="M3404" s="82"/>
      <c r="N3404" s="82"/>
      <c r="O3404" s="82"/>
      <c r="P3404" s="82"/>
      <c r="Q3404" s="82"/>
      <c r="R3404" s="82"/>
      <c r="S3404" s="82"/>
      <c r="T3404" s="82"/>
      <c r="U3404" s="82"/>
      <c r="V3404" s="82"/>
      <c r="W3404" s="82"/>
      <c r="X3404" s="82"/>
      <c r="Y3404" s="82"/>
      <c r="Z3404" s="82"/>
      <c r="AA3404" s="82"/>
      <c r="AB3404" s="82"/>
      <c r="AC3404" s="82"/>
      <c r="AD3404" s="82"/>
      <c r="AE3404" s="82"/>
      <c r="AF3404" s="82"/>
      <c r="AG3404" s="82"/>
      <c r="AH3404" s="82"/>
      <c r="AI3404" s="82"/>
      <c r="AJ3404" s="82"/>
      <c r="AK3404" s="82"/>
      <c r="AL3404" s="82"/>
      <c r="AM3404" s="82"/>
      <c r="AN3404" s="82">
        <f>IFERROR(__xludf.DUMMYFUNCTION("""COMPUTED_VALUE"""),0.0)</f>
        <v>0</v>
      </c>
      <c r="AO3404" s="82">
        <f>IFERROR(__xludf.DUMMYFUNCTION("""COMPUTED_VALUE"""),0.0)</f>
        <v>0</v>
      </c>
      <c r="AP3404" s="82">
        <f>IFERROR(__xludf.DUMMYFUNCTION("""COMPUTED_VALUE"""),0.0)</f>
        <v>0</v>
      </c>
      <c r="AQ3404" s="82">
        <f>IFERROR(__xludf.DUMMYFUNCTION("""COMPUTED_VALUE"""),0.0)</f>
        <v>0</v>
      </c>
      <c r="AR3404" s="82">
        <f>IFERROR(__xludf.DUMMYFUNCTION("""COMPUTED_VALUE"""),0.0)</f>
        <v>0</v>
      </c>
      <c r="AS3404" s="82"/>
      <c r="AT3404" s="82">
        <f>IFERROR(__xludf.DUMMYFUNCTION("""COMPUTED_VALUE"""),0.0)</f>
        <v>0</v>
      </c>
      <c r="AU3404" s="82"/>
      <c r="AV3404" s="82"/>
      <c r="AW3404" s="82" t="str">
        <f t="shared" si="1"/>
        <v/>
      </c>
      <c r="AX3404" s="83" t="str">
        <f t="array" ref="AX3404">IFERROR(DGET('SBV Import'!A:G,"SBV",{"RSC ID","Tier";B3404,A3404}))</f>
        <v/>
      </c>
      <c r="AY3404" s="82" t="str">
        <f t="shared" si="2"/>
        <v/>
      </c>
      <c r="AZ3404" s="82"/>
      <c r="BA3404" s="84" t="s">
        <v>152</v>
      </c>
      <c r="BB3404" s="84" t="str">
        <f>IFERROR(__xludf.DUMMYFUNCTION("iferror(if(A3404="""",,E3404&gt;=FILTER(Constants!$F$2:$F$10,Constants!$A$2:$A$10=A3404)))"),"")</f>
        <v/>
      </c>
    </row>
    <row r="3405">
      <c r="A3405" s="89"/>
      <c r="B3405" s="87"/>
      <c r="C3405" s="73"/>
      <c r="D3405" s="73"/>
      <c r="E3405" s="82"/>
      <c r="F3405" s="82"/>
      <c r="G3405" s="86"/>
      <c r="H3405" s="86"/>
      <c r="I3405" s="86"/>
      <c r="J3405" s="82"/>
      <c r="K3405" s="82"/>
      <c r="L3405" s="82"/>
      <c r="M3405" s="82"/>
      <c r="N3405" s="82"/>
      <c r="O3405" s="82"/>
      <c r="P3405" s="82"/>
      <c r="Q3405" s="82"/>
      <c r="R3405" s="82"/>
      <c r="S3405" s="82"/>
      <c r="T3405" s="82"/>
      <c r="U3405" s="82"/>
      <c r="V3405" s="82"/>
      <c r="W3405" s="82"/>
      <c r="X3405" s="82"/>
      <c r="Y3405" s="82"/>
      <c r="Z3405" s="82"/>
      <c r="AA3405" s="82"/>
      <c r="AB3405" s="82"/>
      <c r="AC3405" s="82"/>
      <c r="AD3405" s="82"/>
      <c r="AE3405" s="82"/>
      <c r="AF3405" s="82"/>
      <c r="AG3405" s="82"/>
      <c r="AH3405" s="82"/>
      <c r="AI3405" s="82"/>
      <c r="AJ3405" s="82"/>
      <c r="AK3405" s="82"/>
      <c r="AL3405" s="82"/>
      <c r="AM3405" s="82"/>
      <c r="AN3405" s="82">
        <f>IFERROR(__xludf.DUMMYFUNCTION("""COMPUTED_VALUE"""),0.0)</f>
        <v>0</v>
      </c>
      <c r="AO3405" s="82">
        <f>IFERROR(__xludf.DUMMYFUNCTION("""COMPUTED_VALUE"""),0.0)</f>
        <v>0</v>
      </c>
      <c r="AP3405" s="82">
        <f>IFERROR(__xludf.DUMMYFUNCTION("""COMPUTED_VALUE"""),0.0)</f>
        <v>0</v>
      </c>
      <c r="AQ3405" s="82">
        <f>IFERROR(__xludf.DUMMYFUNCTION("""COMPUTED_VALUE"""),0.0)</f>
        <v>0</v>
      </c>
      <c r="AR3405" s="82">
        <f>IFERROR(__xludf.DUMMYFUNCTION("""COMPUTED_VALUE"""),0.0)</f>
        <v>0</v>
      </c>
      <c r="AS3405" s="82"/>
      <c r="AT3405" s="82">
        <f>IFERROR(__xludf.DUMMYFUNCTION("""COMPUTED_VALUE"""),0.0)</f>
        <v>0</v>
      </c>
      <c r="AU3405" s="82"/>
      <c r="AV3405" s="82"/>
      <c r="AW3405" s="82" t="str">
        <f t="shared" si="1"/>
        <v/>
      </c>
      <c r="AX3405" s="83" t="str">
        <f t="array" ref="AX3405">IFERROR(DGET('SBV Import'!A:G,"SBV",{"RSC ID","Tier";B3405,A3405}))</f>
        <v/>
      </c>
      <c r="AY3405" s="82" t="str">
        <f t="shared" si="2"/>
        <v/>
      </c>
      <c r="AZ3405" s="82"/>
      <c r="BA3405" s="84" t="s">
        <v>152</v>
      </c>
      <c r="BB3405" s="84" t="str">
        <f>IFERROR(__xludf.DUMMYFUNCTION("iferror(if(A3405="""",,E3405&gt;=FILTER(Constants!$F$2:$F$10,Constants!$A$2:$A$10=A3405)))"),"")</f>
        <v/>
      </c>
    </row>
    <row r="3406">
      <c r="A3406" s="89"/>
      <c r="B3406" s="87"/>
      <c r="C3406" s="73"/>
      <c r="D3406" s="73"/>
      <c r="E3406" s="82"/>
      <c r="F3406" s="82"/>
      <c r="G3406" s="86"/>
      <c r="H3406" s="86"/>
      <c r="I3406" s="86"/>
      <c r="J3406" s="82"/>
      <c r="K3406" s="82"/>
      <c r="L3406" s="82"/>
      <c r="M3406" s="82"/>
      <c r="N3406" s="82"/>
      <c r="O3406" s="82"/>
      <c r="P3406" s="82"/>
      <c r="Q3406" s="82"/>
      <c r="R3406" s="82"/>
      <c r="S3406" s="82"/>
      <c r="T3406" s="82"/>
      <c r="U3406" s="82"/>
      <c r="V3406" s="82"/>
      <c r="W3406" s="82"/>
      <c r="X3406" s="82"/>
      <c r="Y3406" s="82"/>
      <c r="Z3406" s="82"/>
      <c r="AA3406" s="82"/>
      <c r="AB3406" s="82"/>
      <c r="AC3406" s="82"/>
      <c r="AD3406" s="82"/>
      <c r="AE3406" s="82"/>
      <c r="AF3406" s="82"/>
      <c r="AG3406" s="82"/>
      <c r="AH3406" s="82"/>
      <c r="AI3406" s="82"/>
      <c r="AJ3406" s="82"/>
      <c r="AK3406" s="82"/>
      <c r="AL3406" s="82"/>
      <c r="AM3406" s="82"/>
      <c r="AN3406" s="82">
        <f>IFERROR(__xludf.DUMMYFUNCTION("""COMPUTED_VALUE"""),0.0)</f>
        <v>0</v>
      </c>
      <c r="AO3406" s="82">
        <f>IFERROR(__xludf.DUMMYFUNCTION("""COMPUTED_VALUE"""),0.0)</f>
        <v>0</v>
      </c>
      <c r="AP3406" s="82">
        <f>IFERROR(__xludf.DUMMYFUNCTION("""COMPUTED_VALUE"""),0.0)</f>
        <v>0</v>
      </c>
      <c r="AQ3406" s="82">
        <f>IFERROR(__xludf.DUMMYFUNCTION("""COMPUTED_VALUE"""),0.0)</f>
        <v>0</v>
      </c>
      <c r="AR3406" s="82">
        <f>IFERROR(__xludf.DUMMYFUNCTION("""COMPUTED_VALUE"""),0.0)</f>
        <v>0</v>
      </c>
      <c r="AS3406" s="82"/>
      <c r="AT3406" s="82">
        <f>IFERROR(__xludf.DUMMYFUNCTION("""COMPUTED_VALUE"""),0.0)</f>
        <v>0</v>
      </c>
      <c r="AU3406" s="82"/>
      <c r="AV3406" s="82"/>
      <c r="AW3406" s="82" t="str">
        <f t="shared" si="1"/>
        <v/>
      </c>
      <c r="AX3406" s="83" t="str">
        <f t="array" ref="AX3406">IFERROR(DGET('SBV Import'!A:G,"SBV",{"RSC ID","Tier";B3406,A3406}))</f>
        <v/>
      </c>
      <c r="AY3406" s="82" t="str">
        <f t="shared" si="2"/>
        <v/>
      </c>
      <c r="AZ3406" s="82"/>
      <c r="BA3406" s="84" t="s">
        <v>152</v>
      </c>
      <c r="BB3406" s="84" t="str">
        <f>IFERROR(__xludf.DUMMYFUNCTION("iferror(if(A3406="""",,E3406&gt;=FILTER(Constants!$F$2:$F$10,Constants!$A$2:$A$10=A3406)))"),"")</f>
        <v/>
      </c>
    </row>
    <row r="3407">
      <c r="A3407" s="89"/>
      <c r="B3407" s="87"/>
      <c r="C3407" s="73"/>
      <c r="D3407" s="73"/>
      <c r="E3407" s="82"/>
      <c r="F3407" s="82"/>
      <c r="G3407" s="86"/>
      <c r="H3407" s="86"/>
      <c r="I3407" s="86"/>
      <c r="J3407" s="82"/>
      <c r="K3407" s="82"/>
      <c r="L3407" s="82"/>
      <c r="M3407" s="82"/>
      <c r="N3407" s="82"/>
      <c r="O3407" s="82"/>
      <c r="P3407" s="82"/>
      <c r="Q3407" s="82"/>
      <c r="R3407" s="82"/>
      <c r="S3407" s="82"/>
      <c r="T3407" s="82"/>
      <c r="U3407" s="82"/>
      <c r="V3407" s="82"/>
      <c r="W3407" s="82"/>
      <c r="X3407" s="82"/>
      <c r="Y3407" s="82"/>
      <c r="Z3407" s="82"/>
      <c r="AA3407" s="82"/>
      <c r="AB3407" s="82"/>
      <c r="AC3407" s="82"/>
      <c r="AD3407" s="82"/>
      <c r="AE3407" s="82"/>
      <c r="AF3407" s="82"/>
      <c r="AG3407" s="82"/>
      <c r="AH3407" s="82"/>
      <c r="AI3407" s="82"/>
      <c r="AJ3407" s="82"/>
      <c r="AK3407" s="82"/>
      <c r="AL3407" s="82"/>
      <c r="AM3407" s="82"/>
      <c r="AN3407" s="82">
        <f>IFERROR(__xludf.DUMMYFUNCTION("""COMPUTED_VALUE"""),0.0)</f>
        <v>0</v>
      </c>
      <c r="AO3407" s="82">
        <f>IFERROR(__xludf.DUMMYFUNCTION("""COMPUTED_VALUE"""),0.0)</f>
        <v>0</v>
      </c>
      <c r="AP3407" s="82">
        <f>IFERROR(__xludf.DUMMYFUNCTION("""COMPUTED_VALUE"""),0.0)</f>
        <v>0</v>
      </c>
      <c r="AQ3407" s="82">
        <f>IFERROR(__xludf.DUMMYFUNCTION("""COMPUTED_VALUE"""),0.0)</f>
        <v>0</v>
      </c>
      <c r="AR3407" s="82">
        <f>IFERROR(__xludf.DUMMYFUNCTION("""COMPUTED_VALUE"""),0.0)</f>
        <v>0</v>
      </c>
      <c r="AS3407" s="82"/>
      <c r="AT3407" s="82">
        <f>IFERROR(__xludf.DUMMYFUNCTION("""COMPUTED_VALUE"""),0.0)</f>
        <v>0</v>
      </c>
      <c r="AU3407" s="82"/>
      <c r="AV3407" s="82"/>
      <c r="AW3407" s="82" t="str">
        <f t="shared" si="1"/>
        <v/>
      </c>
      <c r="AX3407" s="83" t="str">
        <f t="array" ref="AX3407">IFERROR(DGET('SBV Import'!A:G,"SBV",{"RSC ID","Tier";B3407,A3407}))</f>
        <v/>
      </c>
      <c r="AY3407" s="82" t="str">
        <f t="shared" si="2"/>
        <v/>
      </c>
      <c r="AZ3407" s="82"/>
      <c r="BA3407" s="84" t="s">
        <v>152</v>
      </c>
      <c r="BB3407" s="84" t="str">
        <f>IFERROR(__xludf.DUMMYFUNCTION("iferror(if(A3407="""",,E3407&gt;=FILTER(Constants!$F$2:$F$10,Constants!$A$2:$A$10=A3407)))"),"")</f>
        <v/>
      </c>
    </row>
    <row r="3408">
      <c r="A3408" s="89"/>
      <c r="B3408" s="87"/>
      <c r="C3408" s="73"/>
      <c r="D3408" s="73"/>
      <c r="E3408" s="82"/>
      <c r="F3408" s="82"/>
      <c r="G3408" s="86"/>
      <c r="H3408" s="86"/>
      <c r="I3408" s="86"/>
      <c r="J3408" s="82"/>
      <c r="K3408" s="82"/>
      <c r="L3408" s="82"/>
      <c r="M3408" s="82"/>
      <c r="N3408" s="82"/>
      <c r="O3408" s="82"/>
      <c r="P3408" s="82"/>
      <c r="Q3408" s="82"/>
      <c r="R3408" s="82"/>
      <c r="S3408" s="82"/>
      <c r="T3408" s="82"/>
      <c r="U3408" s="82"/>
      <c r="V3408" s="82"/>
      <c r="W3408" s="82"/>
      <c r="X3408" s="82"/>
      <c r="Y3408" s="82"/>
      <c r="Z3408" s="82"/>
      <c r="AA3408" s="82"/>
      <c r="AB3408" s="82"/>
      <c r="AC3408" s="82"/>
      <c r="AD3408" s="82"/>
      <c r="AE3408" s="82"/>
      <c r="AF3408" s="82"/>
      <c r="AG3408" s="82"/>
      <c r="AH3408" s="82"/>
      <c r="AI3408" s="82"/>
      <c r="AJ3408" s="82"/>
      <c r="AK3408" s="82"/>
      <c r="AL3408" s="82"/>
      <c r="AM3408" s="82"/>
      <c r="AN3408" s="82">
        <f>IFERROR(__xludf.DUMMYFUNCTION("""COMPUTED_VALUE"""),0.0)</f>
        <v>0</v>
      </c>
      <c r="AO3408" s="82">
        <f>IFERROR(__xludf.DUMMYFUNCTION("""COMPUTED_VALUE"""),0.0)</f>
        <v>0</v>
      </c>
      <c r="AP3408" s="82">
        <f>IFERROR(__xludf.DUMMYFUNCTION("""COMPUTED_VALUE"""),0.0)</f>
        <v>0</v>
      </c>
      <c r="AQ3408" s="82">
        <f>IFERROR(__xludf.DUMMYFUNCTION("""COMPUTED_VALUE"""),0.0)</f>
        <v>0</v>
      </c>
      <c r="AR3408" s="82">
        <f>IFERROR(__xludf.DUMMYFUNCTION("""COMPUTED_VALUE"""),0.0)</f>
        <v>0</v>
      </c>
      <c r="AS3408" s="82"/>
      <c r="AT3408" s="82">
        <f>IFERROR(__xludf.DUMMYFUNCTION("""COMPUTED_VALUE"""),0.0)</f>
        <v>0</v>
      </c>
      <c r="AU3408" s="82"/>
      <c r="AV3408" s="82"/>
      <c r="AW3408" s="82" t="str">
        <f t="shared" si="1"/>
        <v/>
      </c>
      <c r="AX3408" s="83" t="str">
        <f t="array" ref="AX3408">IFERROR(DGET('SBV Import'!A:G,"SBV",{"RSC ID","Tier";B3408,A3408}))</f>
        <v/>
      </c>
      <c r="AY3408" s="82" t="str">
        <f t="shared" si="2"/>
        <v/>
      </c>
      <c r="AZ3408" s="82"/>
      <c r="BA3408" s="84" t="s">
        <v>152</v>
      </c>
      <c r="BB3408" s="84" t="str">
        <f>IFERROR(__xludf.DUMMYFUNCTION("iferror(if(A3408="""",,E3408&gt;=FILTER(Constants!$F$2:$F$10,Constants!$A$2:$A$10=A3408)))"),"")</f>
        <v/>
      </c>
    </row>
    <row r="3409">
      <c r="A3409" s="89"/>
      <c r="B3409" s="87"/>
      <c r="C3409" s="73"/>
      <c r="D3409" s="73"/>
      <c r="E3409" s="82"/>
      <c r="F3409" s="82"/>
      <c r="G3409" s="86"/>
      <c r="H3409" s="86"/>
      <c r="I3409" s="86"/>
      <c r="J3409" s="82"/>
      <c r="K3409" s="82"/>
      <c r="L3409" s="82"/>
      <c r="M3409" s="82"/>
      <c r="N3409" s="82"/>
      <c r="O3409" s="82"/>
      <c r="P3409" s="82"/>
      <c r="Q3409" s="82"/>
      <c r="R3409" s="82"/>
      <c r="S3409" s="82"/>
      <c r="T3409" s="82"/>
      <c r="U3409" s="82"/>
      <c r="V3409" s="82"/>
      <c r="W3409" s="82"/>
      <c r="X3409" s="82"/>
      <c r="Y3409" s="82"/>
      <c r="Z3409" s="82"/>
      <c r="AA3409" s="82"/>
      <c r="AB3409" s="82"/>
      <c r="AC3409" s="82"/>
      <c r="AD3409" s="82"/>
      <c r="AE3409" s="82"/>
      <c r="AF3409" s="82"/>
      <c r="AG3409" s="82"/>
      <c r="AH3409" s="82"/>
      <c r="AI3409" s="82"/>
      <c r="AJ3409" s="82"/>
      <c r="AK3409" s="82"/>
      <c r="AL3409" s="82"/>
      <c r="AM3409" s="82"/>
      <c r="AN3409" s="82">
        <f>IFERROR(__xludf.DUMMYFUNCTION("""COMPUTED_VALUE"""),0.0)</f>
        <v>0</v>
      </c>
      <c r="AO3409" s="82">
        <f>IFERROR(__xludf.DUMMYFUNCTION("""COMPUTED_VALUE"""),0.0)</f>
        <v>0</v>
      </c>
      <c r="AP3409" s="82">
        <f>IFERROR(__xludf.DUMMYFUNCTION("""COMPUTED_VALUE"""),0.0)</f>
        <v>0</v>
      </c>
      <c r="AQ3409" s="82">
        <f>IFERROR(__xludf.DUMMYFUNCTION("""COMPUTED_VALUE"""),0.0)</f>
        <v>0</v>
      </c>
      <c r="AR3409" s="82">
        <f>IFERROR(__xludf.DUMMYFUNCTION("""COMPUTED_VALUE"""),0.0)</f>
        <v>0</v>
      </c>
      <c r="AS3409" s="82"/>
      <c r="AT3409" s="82">
        <f>IFERROR(__xludf.DUMMYFUNCTION("""COMPUTED_VALUE"""),0.0)</f>
        <v>0</v>
      </c>
      <c r="AU3409" s="82"/>
      <c r="AV3409" s="82"/>
      <c r="AW3409" s="82" t="str">
        <f t="shared" si="1"/>
        <v/>
      </c>
      <c r="AX3409" s="83" t="str">
        <f t="array" ref="AX3409">IFERROR(DGET('SBV Import'!A:G,"SBV",{"RSC ID","Tier";B3409,A3409}))</f>
        <v/>
      </c>
      <c r="AY3409" s="82" t="str">
        <f t="shared" si="2"/>
        <v/>
      </c>
      <c r="AZ3409" s="82"/>
      <c r="BA3409" s="84" t="s">
        <v>152</v>
      </c>
      <c r="BB3409" s="84" t="str">
        <f>IFERROR(__xludf.DUMMYFUNCTION("iferror(if(A3409="""",,E3409&gt;=FILTER(Constants!$F$2:$F$10,Constants!$A$2:$A$10=A3409)))"),"")</f>
        <v/>
      </c>
    </row>
    <row r="3410">
      <c r="A3410" s="89"/>
      <c r="B3410" s="87"/>
      <c r="C3410" s="73"/>
      <c r="D3410" s="73"/>
      <c r="E3410" s="82"/>
      <c r="F3410" s="82"/>
      <c r="G3410" s="86"/>
      <c r="H3410" s="86"/>
      <c r="I3410" s="86"/>
      <c r="J3410" s="82"/>
      <c r="K3410" s="82"/>
      <c r="L3410" s="82"/>
      <c r="M3410" s="82"/>
      <c r="N3410" s="82"/>
      <c r="O3410" s="82"/>
      <c r="P3410" s="82"/>
      <c r="Q3410" s="82"/>
      <c r="R3410" s="82"/>
      <c r="S3410" s="82"/>
      <c r="T3410" s="82"/>
      <c r="U3410" s="82"/>
      <c r="V3410" s="82"/>
      <c r="W3410" s="82"/>
      <c r="X3410" s="82"/>
      <c r="Y3410" s="82"/>
      <c r="Z3410" s="82"/>
      <c r="AA3410" s="82"/>
      <c r="AB3410" s="82"/>
      <c r="AC3410" s="82"/>
      <c r="AD3410" s="82"/>
      <c r="AE3410" s="82"/>
      <c r="AF3410" s="82"/>
      <c r="AG3410" s="82"/>
      <c r="AH3410" s="82"/>
      <c r="AI3410" s="82"/>
      <c r="AJ3410" s="82"/>
      <c r="AK3410" s="82"/>
      <c r="AL3410" s="82"/>
      <c r="AM3410" s="82"/>
      <c r="AN3410" s="82">
        <f>IFERROR(__xludf.DUMMYFUNCTION("""COMPUTED_VALUE"""),0.0)</f>
        <v>0</v>
      </c>
      <c r="AO3410" s="82">
        <f>IFERROR(__xludf.DUMMYFUNCTION("""COMPUTED_VALUE"""),0.0)</f>
        <v>0</v>
      </c>
      <c r="AP3410" s="82">
        <f>IFERROR(__xludf.DUMMYFUNCTION("""COMPUTED_VALUE"""),0.0)</f>
        <v>0</v>
      </c>
      <c r="AQ3410" s="82">
        <f>IFERROR(__xludf.DUMMYFUNCTION("""COMPUTED_VALUE"""),0.0)</f>
        <v>0</v>
      </c>
      <c r="AR3410" s="82">
        <f>IFERROR(__xludf.DUMMYFUNCTION("""COMPUTED_VALUE"""),0.0)</f>
        <v>0</v>
      </c>
      <c r="AS3410" s="82"/>
      <c r="AT3410" s="82">
        <f>IFERROR(__xludf.DUMMYFUNCTION("""COMPUTED_VALUE"""),0.0)</f>
        <v>0</v>
      </c>
      <c r="AU3410" s="82"/>
      <c r="AV3410" s="82"/>
      <c r="AW3410" s="82" t="str">
        <f t="shared" si="1"/>
        <v/>
      </c>
      <c r="AX3410" s="83" t="str">
        <f t="array" ref="AX3410">IFERROR(DGET('SBV Import'!A:G,"SBV",{"RSC ID","Tier";B3410,A3410}))</f>
        <v/>
      </c>
      <c r="AY3410" s="82" t="str">
        <f t="shared" si="2"/>
        <v/>
      </c>
      <c r="AZ3410" s="82"/>
      <c r="BA3410" s="84" t="s">
        <v>152</v>
      </c>
      <c r="BB3410" s="84" t="str">
        <f>IFERROR(__xludf.DUMMYFUNCTION("iferror(if(A3410="""",,E3410&gt;=FILTER(Constants!$F$2:$F$10,Constants!$A$2:$A$10=A3410)))"),"")</f>
        <v/>
      </c>
    </row>
    <row r="3411">
      <c r="A3411" s="89"/>
      <c r="B3411" s="87"/>
      <c r="C3411" s="73"/>
      <c r="D3411" s="73"/>
      <c r="E3411" s="82"/>
      <c r="F3411" s="82"/>
      <c r="G3411" s="86"/>
      <c r="H3411" s="86"/>
      <c r="I3411" s="86"/>
      <c r="J3411" s="82"/>
      <c r="K3411" s="82"/>
      <c r="L3411" s="82"/>
      <c r="M3411" s="82"/>
      <c r="N3411" s="82"/>
      <c r="O3411" s="82"/>
      <c r="P3411" s="82"/>
      <c r="Q3411" s="82"/>
      <c r="R3411" s="82"/>
      <c r="S3411" s="82"/>
      <c r="T3411" s="82"/>
      <c r="U3411" s="82"/>
      <c r="V3411" s="82"/>
      <c r="W3411" s="82"/>
      <c r="X3411" s="82"/>
      <c r="Y3411" s="82"/>
      <c r="Z3411" s="82"/>
      <c r="AA3411" s="82"/>
      <c r="AB3411" s="82"/>
      <c r="AC3411" s="82"/>
      <c r="AD3411" s="82"/>
      <c r="AE3411" s="82"/>
      <c r="AF3411" s="82"/>
      <c r="AG3411" s="82"/>
      <c r="AH3411" s="82"/>
      <c r="AI3411" s="82"/>
      <c r="AJ3411" s="82"/>
      <c r="AK3411" s="82"/>
      <c r="AL3411" s="82"/>
      <c r="AM3411" s="82"/>
      <c r="AN3411" s="82">
        <f>IFERROR(__xludf.DUMMYFUNCTION("""COMPUTED_VALUE"""),0.0)</f>
        <v>0</v>
      </c>
      <c r="AO3411" s="82">
        <f>IFERROR(__xludf.DUMMYFUNCTION("""COMPUTED_VALUE"""),0.0)</f>
        <v>0</v>
      </c>
      <c r="AP3411" s="82">
        <f>IFERROR(__xludf.DUMMYFUNCTION("""COMPUTED_VALUE"""),0.0)</f>
        <v>0</v>
      </c>
      <c r="AQ3411" s="82">
        <f>IFERROR(__xludf.DUMMYFUNCTION("""COMPUTED_VALUE"""),0.0)</f>
        <v>0</v>
      </c>
      <c r="AR3411" s="82">
        <f>IFERROR(__xludf.DUMMYFUNCTION("""COMPUTED_VALUE"""),0.0)</f>
        <v>0</v>
      </c>
      <c r="AS3411" s="82"/>
      <c r="AT3411" s="82">
        <f>IFERROR(__xludf.DUMMYFUNCTION("""COMPUTED_VALUE"""),0.0)</f>
        <v>0</v>
      </c>
      <c r="AU3411" s="82"/>
      <c r="AV3411" s="82"/>
      <c r="AW3411" s="82" t="str">
        <f t="shared" si="1"/>
        <v/>
      </c>
      <c r="AX3411" s="83" t="str">
        <f t="array" ref="AX3411">IFERROR(DGET('SBV Import'!A:G,"SBV",{"RSC ID","Tier";B3411,A3411}))</f>
        <v/>
      </c>
      <c r="AY3411" s="82" t="str">
        <f t="shared" si="2"/>
        <v/>
      </c>
      <c r="AZ3411" s="82"/>
      <c r="BA3411" s="84" t="s">
        <v>152</v>
      </c>
      <c r="BB3411" s="84" t="str">
        <f>IFERROR(__xludf.DUMMYFUNCTION("iferror(if(A3411="""",,E3411&gt;=FILTER(Constants!$F$2:$F$10,Constants!$A$2:$A$10=A3411)))"),"")</f>
        <v/>
      </c>
    </row>
    <row r="3412">
      <c r="A3412" s="89"/>
      <c r="B3412" s="87"/>
      <c r="C3412" s="73"/>
      <c r="D3412" s="73"/>
      <c r="E3412" s="82"/>
      <c r="F3412" s="82"/>
      <c r="G3412" s="86"/>
      <c r="H3412" s="86"/>
      <c r="I3412" s="86"/>
      <c r="J3412" s="82"/>
      <c r="K3412" s="82"/>
      <c r="L3412" s="82"/>
      <c r="M3412" s="82"/>
      <c r="N3412" s="82"/>
      <c r="O3412" s="82"/>
      <c r="P3412" s="82"/>
      <c r="Q3412" s="82"/>
      <c r="R3412" s="82"/>
      <c r="S3412" s="82"/>
      <c r="T3412" s="82"/>
      <c r="U3412" s="82"/>
      <c r="V3412" s="82"/>
      <c r="W3412" s="82"/>
      <c r="X3412" s="82"/>
      <c r="Y3412" s="82"/>
      <c r="Z3412" s="82"/>
      <c r="AA3412" s="82"/>
      <c r="AB3412" s="82"/>
      <c r="AC3412" s="82"/>
      <c r="AD3412" s="82"/>
      <c r="AE3412" s="82"/>
      <c r="AF3412" s="82"/>
      <c r="AG3412" s="82"/>
      <c r="AH3412" s="82"/>
      <c r="AI3412" s="82"/>
      <c r="AJ3412" s="82"/>
      <c r="AK3412" s="82"/>
      <c r="AL3412" s="82"/>
      <c r="AM3412" s="82"/>
      <c r="AN3412" s="82">
        <f>IFERROR(__xludf.DUMMYFUNCTION("""COMPUTED_VALUE"""),0.0)</f>
        <v>0</v>
      </c>
      <c r="AO3412" s="82">
        <f>IFERROR(__xludf.DUMMYFUNCTION("""COMPUTED_VALUE"""),0.0)</f>
        <v>0</v>
      </c>
      <c r="AP3412" s="82">
        <f>IFERROR(__xludf.DUMMYFUNCTION("""COMPUTED_VALUE"""),0.0)</f>
        <v>0</v>
      </c>
      <c r="AQ3412" s="82">
        <f>IFERROR(__xludf.DUMMYFUNCTION("""COMPUTED_VALUE"""),0.0)</f>
        <v>0</v>
      </c>
      <c r="AR3412" s="82">
        <f>IFERROR(__xludf.DUMMYFUNCTION("""COMPUTED_VALUE"""),0.0)</f>
        <v>0</v>
      </c>
      <c r="AS3412" s="82"/>
      <c r="AT3412" s="82">
        <f>IFERROR(__xludf.DUMMYFUNCTION("""COMPUTED_VALUE"""),0.0)</f>
        <v>0</v>
      </c>
      <c r="AU3412" s="82"/>
      <c r="AV3412" s="82"/>
      <c r="AW3412" s="82" t="str">
        <f t="shared" si="1"/>
        <v/>
      </c>
      <c r="AX3412" s="83" t="str">
        <f t="array" ref="AX3412">IFERROR(DGET('SBV Import'!A:G,"SBV",{"RSC ID","Tier";B3412,A3412}))</f>
        <v/>
      </c>
      <c r="AY3412" s="82" t="str">
        <f t="shared" si="2"/>
        <v/>
      </c>
      <c r="AZ3412" s="82"/>
      <c r="BA3412" s="84" t="s">
        <v>152</v>
      </c>
      <c r="BB3412" s="84" t="str">
        <f>IFERROR(__xludf.DUMMYFUNCTION("iferror(if(A3412="""",,E3412&gt;=FILTER(Constants!$F$2:$F$10,Constants!$A$2:$A$10=A3412)))"),"")</f>
        <v/>
      </c>
    </row>
    <row r="3413">
      <c r="A3413" s="89"/>
      <c r="B3413" s="87"/>
      <c r="C3413" s="73"/>
      <c r="D3413" s="73"/>
      <c r="E3413" s="82"/>
      <c r="F3413" s="82"/>
      <c r="G3413" s="86"/>
      <c r="H3413" s="86"/>
      <c r="I3413" s="86"/>
      <c r="J3413" s="82"/>
      <c r="K3413" s="82"/>
      <c r="L3413" s="82"/>
      <c r="M3413" s="82"/>
      <c r="N3413" s="82"/>
      <c r="O3413" s="82"/>
      <c r="P3413" s="82"/>
      <c r="Q3413" s="82"/>
      <c r="R3413" s="82"/>
      <c r="S3413" s="82"/>
      <c r="T3413" s="82"/>
      <c r="U3413" s="82"/>
      <c r="V3413" s="82"/>
      <c r="W3413" s="82"/>
      <c r="X3413" s="82"/>
      <c r="Y3413" s="82"/>
      <c r="Z3413" s="82"/>
      <c r="AA3413" s="82"/>
      <c r="AB3413" s="82"/>
      <c r="AC3413" s="82"/>
      <c r="AD3413" s="82"/>
      <c r="AE3413" s="82"/>
      <c r="AF3413" s="82"/>
      <c r="AG3413" s="82"/>
      <c r="AH3413" s="82"/>
      <c r="AI3413" s="82"/>
      <c r="AJ3413" s="82"/>
      <c r="AK3413" s="82"/>
      <c r="AL3413" s="82"/>
      <c r="AM3413" s="82"/>
      <c r="AN3413" s="82">
        <f>IFERROR(__xludf.DUMMYFUNCTION("""COMPUTED_VALUE"""),0.0)</f>
        <v>0</v>
      </c>
      <c r="AO3413" s="82">
        <f>IFERROR(__xludf.DUMMYFUNCTION("""COMPUTED_VALUE"""),0.0)</f>
        <v>0</v>
      </c>
      <c r="AP3413" s="82">
        <f>IFERROR(__xludf.DUMMYFUNCTION("""COMPUTED_VALUE"""),0.0)</f>
        <v>0</v>
      </c>
      <c r="AQ3413" s="82">
        <f>IFERROR(__xludf.DUMMYFUNCTION("""COMPUTED_VALUE"""),0.0)</f>
        <v>0</v>
      </c>
      <c r="AR3413" s="82">
        <f>IFERROR(__xludf.DUMMYFUNCTION("""COMPUTED_VALUE"""),0.0)</f>
        <v>0</v>
      </c>
      <c r="AS3413" s="82"/>
      <c r="AT3413" s="82">
        <f>IFERROR(__xludf.DUMMYFUNCTION("""COMPUTED_VALUE"""),0.0)</f>
        <v>0</v>
      </c>
      <c r="AU3413" s="82"/>
      <c r="AV3413" s="82"/>
      <c r="AW3413" s="82" t="str">
        <f t="shared" si="1"/>
        <v/>
      </c>
      <c r="AX3413" s="83" t="str">
        <f t="array" ref="AX3413">IFERROR(DGET('SBV Import'!A:G,"SBV",{"RSC ID","Tier";B3413,A3413}))</f>
        <v/>
      </c>
      <c r="AY3413" s="82" t="str">
        <f t="shared" si="2"/>
        <v/>
      </c>
      <c r="AZ3413" s="82"/>
      <c r="BA3413" s="84" t="s">
        <v>152</v>
      </c>
      <c r="BB3413" s="84" t="str">
        <f>IFERROR(__xludf.DUMMYFUNCTION("iferror(if(A3413="""",,E3413&gt;=FILTER(Constants!$F$2:$F$10,Constants!$A$2:$A$10=A3413)))"),"")</f>
        <v/>
      </c>
    </row>
    <row r="3414">
      <c r="A3414" s="89"/>
      <c r="B3414" s="87"/>
      <c r="C3414" s="73"/>
      <c r="D3414" s="73"/>
      <c r="E3414" s="82"/>
      <c r="F3414" s="82"/>
      <c r="G3414" s="86"/>
      <c r="H3414" s="86"/>
      <c r="I3414" s="86"/>
      <c r="J3414" s="82"/>
      <c r="K3414" s="82"/>
      <c r="L3414" s="82"/>
      <c r="M3414" s="82"/>
      <c r="N3414" s="82"/>
      <c r="O3414" s="82"/>
      <c r="P3414" s="82"/>
      <c r="Q3414" s="82"/>
      <c r="R3414" s="82"/>
      <c r="S3414" s="82"/>
      <c r="T3414" s="82"/>
      <c r="U3414" s="82"/>
      <c r="V3414" s="82"/>
      <c r="W3414" s="82"/>
      <c r="X3414" s="82"/>
      <c r="Y3414" s="82"/>
      <c r="Z3414" s="82"/>
      <c r="AA3414" s="82"/>
      <c r="AB3414" s="82"/>
      <c r="AC3414" s="82"/>
      <c r="AD3414" s="82"/>
      <c r="AE3414" s="82"/>
      <c r="AF3414" s="82"/>
      <c r="AG3414" s="82"/>
      <c r="AH3414" s="82"/>
      <c r="AI3414" s="82"/>
      <c r="AJ3414" s="82"/>
      <c r="AK3414" s="82"/>
      <c r="AL3414" s="82"/>
      <c r="AM3414" s="82"/>
      <c r="AN3414" s="82">
        <f>IFERROR(__xludf.DUMMYFUNCTION("""COMPUTED_VALUE"""),0.0)</f>
        <v>0</v>
      </c>
      <c r="AO3414" s="82">
        <f>IFERROR(__xludf.DUMMYFUNCTION("""COMPUTED_VALUE"""),0.0)</f>
        <v>0</v>
      </c>
      <c r="AP3414" s="82">
        <f>IFERROR(__xludf.DUMMYFUNCTION("""COMPUTED_VALUE"""),0.0)</f>
        <v>0</v>
      </c>
      <c r="AQ3414" s="82">
        <f>IFERROR(__xludf.DUMMYFUNCTION("""COMPUTED_VALUE"""),0.0)</f>
        <v>0</v>
      </c>
      <c r="AR3414" s="82">
        <f>IFERROR(__xludf.DUMMYFUNCTION("""COMPUTED_VALUE"""),0.0)</f>
        <v>0</v>
      </c>
      <c r="AS3414" s="82"/>
      <c r="AT3414" s="82">
        <f>IFERROR(__xludf.DUMMYFUNCTION("""COMPUTED_VALUE"""),0.0)</f>
        <v>0</v>
      </c>
      <c r="AU3414" s="82"/>
      <c r="AV3414" s="82"/>
      <c r="AW3414" s="82" t="str">
        <f t="shared" si="1"/>
        <v/>
      </c>
      <c r="AX3414" s="83" t="str">
        <f t="array" ref="AX3414">IFERROR(DGET('SBV Import'!A:G,"SBV",{"RSC ID","Tier";B3414,A3414}))</f>
        <v/>
      </c>
      <c r="AY3414" s="82" t="str">
        <f t="shared" si="2"/>
        <v/>
      </c>
      <c r="AZ3414" s="82"/>
      <c r="BA3414" s="84" t="s">
        <v>152</v>
      </c>
      <c r="BB3414" s="84" t="str">
        <f>IFERROR(__xludf.DUMMYFUNCTION("iferror(if(A3414="""",,E3414&gt;=FILTER(Constants!$F$2:$F$10,Constants!$A$2:$A$10=A3414)))"),"")</f>
        <v/>
      </c>
    </row>
    <row r="3415">
      <c r="A3415" s="89"/>
      <c r="B3415" s="87"/>
      <c r="C3415" s="73"/>
      <c r="D3415" s="73"/>
      <c r="E3415" s="82"/>
      <c r="F3415" s="82"/>
      <c r="G3415" s="86"/>
      <c r="H3415" s="86"/>
      <c r="I3415" s="86"/>
      <c r="J3415" s="82"/>
      <c r="K3415" s="82"/>
      <c r="L3415" s="82"/>
      <c r="M3415" s="82"/>
      <c r="N3415" s="82"/>
      <c r="O3415" s="82"/>
      <c r="P3415" s="82"/>
      <c r="Q3415" s="82"/>
      <c r="R3415" s="82"/>
      <c r="S3415" s="82"/>
      <c r="T3415" s="82"/>
      <c r="U3415" s="82"/>
      <c r="V3415" s="82"/>
      <c r="W3415" s="82"/>
      <c r="X3415" s="82"/>
      <c r="Y3415" s="82"/>
      <c r="Z3415" s="82"/>
      <c r="AA3415" s="82"/>
      <c r="AB3415" s="82"/>
      <c r="AC3415" s="82"/>
      <c r="AD3415" s="82"/>
      <c r="AE3415" s="82"/>
      <c r="AF3415" s="82"/>
      <c r="AG3415" s="82"/>
      <c r="AH3415" s="82"/>
      <c r="AI3415" s="82"/>
      <c r="AJ3415" s="82"/>
      <c r="AK3415" s="82"/>
      <c r="AL3415" s="82"/>
      <c r="AM3415" s="82"/>
      <c r="AN3415" s="82">
        <f>IFERROR(__xludf.DUMMYFUNCTION("""COMPUTED_VALUE"""),0.0)</f>
        <v>0</v>
      </c>
      <c r="AO3415" s="82">
        <f>IFERROR(__xludf.DUMMYFUNCTION("""COMPUTED_VALUE"""),0.0)</f>
        <v>0</v>
      </c>
      <c r="AP3415" s="82">
        <f>IFERROR(__xludf.DUMMYFUNCTION("""COMPUTED_VALUE"""),0.0)</f>
        <v>0</v>
      </c>
      <c r="AQ3415" s="82">
        <f>IFERROR(__xludf.DUMMYFUNCTION("""COMPUTED_VALUE"""),0.0)</f>
        <v>0</v>
      </c>
      <c r="AR3415" s="82">
        <f>IFERROR(__xludf.DUMMYFUNCTION("""COMPUTED_VALUE"""),0.0)</f>
        <v>0</v>
      </c>
      <c r="AS3415" s="82"/>
      <c r="AT3415" s="82">
        <f>IFERROR(__xludf.DUMMYFUNCTION("""COMPUTED_VALUE"""),0.0)</f>
        <v>0</v>
      </c>
      <c r="AU3415" s="82"/>
      <c r="AV3415" s="82"/>
      <c r="AW3415" s="82" t="str">
        <f t="shared" si="1"/>
        <v/>
      </c>
      <c r="AX3415" s="83" t="str">
        <f t="array" ref="AX3415">IFERROR(DGET('SBV Import'!A:G,"SBV",{"RSC ID","Tier";B3415,A3415}))</f>
        <v/>
      </c>
      <c r="AY3415" s="82" t="str">
        <f t="shared" si="2"/>
        <v/>
      </c>
      <c r="AZ3415" s="82"/>
      <c r="BA3415" s="84" t="s">
        <v>152</v>
      </c>
      <c r="BB3415" s="84" t="str">
        <f>IFERROR(__xludf.DUMMYFUNCTION("iferror(if(A3415="""",,E3415&gt;=FILTER(Constants!$F$2:$F$10,Constants!$A$2:$A$10=A3415)))"),"")</f>
        <v/>
      </c>
    </row>
    <row r="3416">
      <c r="A3416" s="89"/>
      <c r="B3416" s="87"/>
      <c r="C3416" s="73"/>
      <c r="D3416" s="73"/>
      <c r="E3416" s="82"/>
      <c r="F3416" s="82"/>
      <c r="G3416" s="86"/>
      <c r="H3416" s="86"/>
      <c r="I3416" s="86"/>
      <c r="J3416" s="82"/>
      <c r="K3416" s="82"/>
      <c r="L3416" s="82"/>
      <c r="M3416" s="82"/>
      <c r="N3416" s="82"/>
      <c r="O3416" s="82"/>
      <c r="P3416" s="82"/>
      <c r="Q3416" s="82"/>
      <c r="R3416" s="82"/>
      <c r="S3416" s="82"/>
      <c r="T3416" s="82"/>
      <c r="U3416" s="82"/>
      <c r="V3416" s="82"/>
      <c r="W3416" s="82"/>
      <c r="X3416" s="82"/>
      <c r="Y3416" s="82"/>
      <c r="Z3416" s="82"/>
      <c r="AA3416" s="82"/>
      <c r="AB3416" s="82"/>
      <c r="AC3416" s="82"/>
      <c r="AD3416" s="82"/>
      <c r="AE3416" s="82"/>
      <c r="AF3416" s="82"/>
      <c r="AG3416" s="82"/>
      <c r="AH3416" s="82"/>
      <c r="AI3416" s="82"/>
      <c r="AJ3416" s="82"/>
      <c r="AK3416" s="82"/>
      <c r="AL3416" s="82"/>
      <c r="AM3416" s="82"/>
      <c r="AN3416" s="82">
        <f>IFERROR(__xludf.DUMMYFUNCTION("""COMPUTED_VALUE"""),0.0)</f>
        <v>0</v>
      </c>
      <c r="AO3416" s="82">
        <f>IFERROR(__xludf.DUMMYFUNCTION("""COMPUTED_VALUE"""),0.0)</f>
        <v>0</v>
      </c>
      <c r="AP3416" s="82">
        <f>IFERROR(__xludf.DUMMYFUNCTION("""COMPUTED_VALUE"""),0.0)</f>
        <v>0</v>
      </c>
      <c r="AQ3416" s="82">
        <f>IFERROR(__xludf.DUMMYFUNCTION("""COMPUTED_VALUE"""),0.0)</f>
        <v>0</v>
      </c>
      <c r="AR3416" s="82">
        <f>IFERROR(__xludf.DUMMYFUNCTION("""COMPUTED_VALUE"""),0.0)</f>
        <v>0</v>
      </c>
      <c r="AS3416" s="82"/>
      <c r="AT3416" s="82">
        <f>IFERROR(__xludf.DUMMYFUNCTION("""COMPUTED_VALUE"""),0.0)</f>
        <v>0</v>
      </c>
      <c r="AU3416" s="82"/>
      <c r="AV3416" s="82"/>
      <c r="AW3416" s="82" t="str">
        <f t="shared" si="1"/>
        <v/>
      </c>
      <c r="AX3416" s="83" t="str">
        <f t="array" ref="AX3416">IFERROR(DGET('SBV Import'!A:G,"SBV",{"RSC ID","Tier";B3416,A3416}))</f>
        <v/>
      </c>
      <c r="AY3416" s="82" t="str">
        <f t="shared" si="2"/>
        <v/>
      </c>
      <c r="AZ3416" s="82"/>
      <c r="BA3416" s="84" t="s">
        <v>152</v>
      </c>
      <c r="BB3416" s="84" t="str">
        <f>IFERROR(__xludf.DUMMYFUNCTION("iferror(if(A3416="""",,E3416&gt;=FILTER(Constants!$F$2:$F$10,Constants!$A$2:$A$10=A3416)))"),"")</f>
        <v/>
      </c>
    </row>
    <row r="3417">
      <c r="A3417" s="89"/>
      <c r="B3417" s="87"/>
      <c r="C3417" s="73"/>
      <c r="D3417" s="73"/>
      <c r="E3417" s="82"/>
      <c r="F3417" s="82"/>
      <c r="G3417" s="86"/>
      <c r="H3417" s="86"/>
      <c r="I3417" s="86"/>
      <c r="J3417" s="82"/>
      <c r="K3417" s="82"/>
      <c r="L3417" s="82"/>
      <c r="M3417" s="82"/>
      <c r="N3417" s="82"/>
      <c r="O3417" s="82"/>
      <c r="P3417" s="82"/>
      <c r="Q3417" s="82"/>
      <c r="R3417" s="82"/>
      <c r="S3417" s="82"/>
      <c r="T3417" s="82"/>
      <c r="U3417" s="82"/>
      <c r="V3417" s="82"/>
      <c r="W3417" s="82"/>
      <c r="X3417" s="82"/>
      <c r="Y3417" s="82"/>
      <c r="Z3417" s="82"/>
      <c r="AA3417" s="82"/>
      <c r="AB3417" s="82"/>
      <c r="AC3417" s="82"/>
      <c r="AD3417" s="82"/>
      <c r="AE3417" s="82"/>
      <c r="AF3417" s="82"/>
      <c r="AG3417" s="82"/>
      <c r="AH3417" s="82"/>
      <c r="AI3417" s="82"/>
      <c r="AJ3417" s="82"/>
      <c r="AK3417" s="82"/>
      <c r="AL3417" s="82"/>
      <c r="AM3417" s="82"/>
      <c r="AN3417" s="82">
        <f>IFERROR(__xludf.DUMMYFUNCTION("""COMPUTED_VALUE"""),0.0)</f>
        <v>0</v>
      </c>
      <c r="AO3417" s="82">
        <f>IFERROR(__xludf.DUMMYFUNCTION("""COMPUTED_VALUE"""),0.0)</f>
        <v>0</v>
      </c>
      <c r="AP3417" s="82">
        <f>IFERROR(__xludf.DUMMYFUNCTION("""COMPUTED_VALUE"""),0.0)</f>
        <v>0</v>
      </c>
      <c r="AQ3417" s="82">
        <f>IFERROR(__xludf.DUMMYFUNCTION("""COMPUTED_VALUE"""),0.0)</f>
        <v>0</v>
      </c>
      <c r="AR3417" s="82">
        <f>IFERROR(__xludf.DUMMYFUNCTION("""COMPUTED_VALUE"""),0.0)</f>
        <v>0</v>
      </c>
      <c r="AS3417" s="82"/>
      <c r="AT3417" s="82">
        <f>IFERROR(__xludf.DUMMYFUNCTION("""COMPUTED_VALUE"""),0.0)</f>
        <v>0</v>
      </c>
      <c r="AU3417" s="82"/>
      <c r="AV3417" s="82"/>
      <c r="AW3417" s="82" t="str">
        <f t="shared" si="1"/>
        <v/>
      </c>
      <c r="AX3417" s="83" t="str">
        <f t="array" ref="AX3417">IFERROR(DGET('SBV Import'!A:G,"SBV",{"RSC ID","Tier";B3417,A3417}))</f>
        <v/>
      </c>
      <c r="AY3417" s="82" t="str">
        <f t="shared" si="2"/>
        <v/>
      </c>
      <c r="AZ3417" s="82"/>
      <c r="BA3417" s="84" t="s">
        <v>152</v>
      </c>
      <c r="BB3417" s="84" t="str">
        <f>IFERROR(__xludf.DUMMYFUNCTION("iferror(if(A3417="""",,E3417&gt;=FILTER(Constants!$F$2:$F$10,Constants!$A$2:$A$10=A3417)))"),"")</f>
        <v/>
      </c>
    </row>
    <row r="3418">
      <c r="A3418" s="89"/>
      <c r="B3418" s="87"/>
      <c r="C3418" s="73"/>
      <c r="D3418" s="73"/>
      <c r="E3418" s="82"/>
      <c r="F3418" s="82"/>
      <c r="G3418" s="86"/>
      <c r="H3418" s="86"/>
      <c r="I3418" s="86"/>
      <c r="J3418" s="82"/>
      <c r="K3418" s="82"/>
      <c r="L3418" s="82"/>
      <c r="M3418" s="82"/>
      <c r="N3418" s="82"/>
      <c r="O3418" s="82"/>
      <c r="P3418" s="82"/>
      <c r="Q3418" s="82"/>
      <c r="R3418" s="82"/>
      <c r="S3418" s="82"/>
      <c r="T3418" s="82"/>
      <c r="U3418" s="82"/>
      <c r="V3418" s="82"/>
      <c r="W3418" s="82"/>
      <c r="X3418" s="82"/>
      <c r="Y3418" s="82"/>
      <c r="Z3418" s="82"/>
      <c r="AA3418" s="82"/>
      <c r="AB3418" s="82"/>
      <c r="AC3418" s="82"/>
      <c r="AD3418" s="82"/>
      <c r="AE3418" s="82"/>
      <c r="AF3418" s="82"/>
      <c r="AG3418" s="82"/>
      <c r="AH3418" s="82"/>
      <c r="AI3418" s="82"/>
      <c r="AJ3418" s="82"/>
      <c r="AK3418" s="82"/>
      <c r="AL3418" s="82"/>
      <c r="AM3418" s="82"/>
      <c r="AN3418" s="82">
        <f>IFERROR(__xludf.DUMMYFUNCTION("""COMPUTED_VALUE"""),0.0)</f>
        <v>0</v>
      </c>
      <c r="AO3418" s="82">
        <f>IFERROR(__xludf.DUMMYFUNCTION("""COMPUTED_VALUE"""),0.0)</f>
        <v>0</v>
      </c>
      <c r="AP3418" s="82">
        <f>IFERROR(__xludf.DUMMYFUNCTION("""COMPUTED_VALUE"""),0.0)</f>
        <v>0</v>
      </c>
      <c r="AQ3418" s="82">
        <f>IFERROR(__xludf.DUMMYFUNCTION("""COMPUTED_VALUE"""),0.0)</f>
        <v>0</v>
      </c>
      <c r="AR3418" s="82">
        <f>IFERROR(__xludf.DUMMYFUNCTION("""COMPUTED_VALUE"""),0.0)</f>
        <v>0</v>
      </c>
      <c r="AS3418" s="82"/>
      <c r="AT3418" s="82">
        <f>IFERROR(__xludf.DUMMYFUNCTION("""COMPUTED_VALUE"""),0.0)</f>
        <v>0</v>
      </c>
      <c r="AU3418" s="82"/>
      <c r="AV3418" s="82"/>
      <c r="AW3418" s="82" t="str">
        <f t="shared" si="1"/>
        <v/>
      </c>
      <c r="AX3418" s="83" t="str">
        <f t="array" ref="AX3418">IFERROR(DGET('SBV Import'!A:G,"SBV",{"RSC ID","Tier";B3418,A3418}))</f>
        <v/>
      </c>
      <c r="AY3418" s="82" t="str">
        <f t="shared" si="2"/>
        <v/>
      </c>
      <c r="AZ3418" s="82"/>
      <c r="BA3418" s="84" t="s">
        <v>152</v>
      </c>
      <c r="BB3418" s="84" t="str">
        <f>IFERROR(__xludf.DUMMYFUNCTION("iferror(if(A3418="""",,E3418&gt;=FILTER(Constants!$F$2:$F$10,Constants!$A$2:$A$10=A3418)))"),"")</f>
        <v/>
      </c>
    </row>
    <row r="3419">
      <c r="A3419" s="89"/>
      <c r="B3419" s="87"/>
      <c r="C3419" s="73"/>
      <c r="D3419" s="73"/>
      <c r="E3419" s="82"/>
      <c r="F3419" s="82"/>
      <c r="G3419" s="86"/>
      <c r="H3419" s="86"/>
      <c r="I3419" s="86"/>
      <c r="J3419" s="82"/>
      <c r="K3419" s="82"/>
      <c r="L3419" s="82"/>
      <c r="M3419" s="82"/>
      <c r="N3419" s="82"/>
      <c r="O3419" s="82"/>
      <c r="P3419" s="82"/>
      <c r="Q3419" s="82"/>
      <c r="R3419" s="82"/>
      <c r="S3419" s="82"/>
      <c r="T3419" s="82"/>
      <c r="U3419" s="82"/>
      <c r="V3419" s="82"/>
      <c r="W3419" s="82"/>
      <c r="X3419" s="82"/>
      <c r="Y3419" s="82"/>
      <c r="Z3419" s="82"/>
      <c r="AA3419" s="82"/>
      <c r="AB3419" s="82"/>
      <c r="AC3419" s="82"/>
      <c r="AD3419" s="82"/>
      <c r="AE3419" s="82"/>
      <c r="AF3419" s="82"/>
      <c r="AG3419" s="82"/>
      <c r="AH3419" s="82"/>
      <c r="AI3419" s="82"/>
      <c r="AJ3419" s="82"/>
      <c r="AK3419" s="82"/>
      <c r="AL3419" s="82"/>
      <c r="AM3419" s="82"/>
      <c r="AN3419" s="82">
        <f>IFERROR(__xludf.DUMMYFUNCTION("""COMPUTED_VALUE"""),0.0)</f>
        <v>0</v>
      </c>
      <c r="AO3419" s="82">
        <f>IFERROR(__xludf.DUMMYFUNCTION("""COMPUTED_VALUE"""),0.0)</f>
        <v>0</v>
      </c>
      <c r="AP3419" s="82">
        <f>IFERROR(__xludf.DUMMYFUNCTION("""COMPUTED_VALUE"""),0.0)</f>
        <v>0</v>
      </c>
      <c r="AQ3419" s="82">
        <f>IFERROR(__xludf.DUMMYFUNCTION("""COMPUTED_VALUE"""),0.0)</f>
        <v>0</v>
      </c>
      <c r="AR3419" s="82">
        <f>IFERROR(__xludf.DUMMYFUNCTION("""COMPUTED_VALUE"""),0.0)</f>
        <v>0</v>
      </c>
      <c r="AS3419" s="82"/>
      <c r="AT3419" s="82">
        <f>IFERROR(__xludf.DUMMYFUNCTION("""COMPUTED_VALUE"""),0.0)</f>
        <v>0</v>
      </c>
      <c r="AU3419" s="82"/>
      <c r="AV3419" s="82"/>
      <c r="AW3419" s="82" t="str">
        <f t="shared" si="1"/>
        <v/>
      </c>
      <c r="AX3419" s="83" t="str">
        <f t="array" ref="AX3419">IFERROR(DGET('SBV Import'!A:G,"SBV",{"RSC ID","Tier";B3419,A3419}))</f>
        <v/>
      </c>
      <c r="AY3419" s="82" t="str">
        <f t="shared" si="2"/>
        <v/>
      </c>
      <c r="AZ3419" s="82"/>
      <c r="BA3419" s="84" t="s">
        <v>152</v>
      </c>
      <c r="BB3419" s="84" t="str">
        <f>IFERROR(__xludf.DUMMYFUNCTION("iferror(if(A3419="""",,E3419&gt;=FILTER(Constants!$F$2:$F$10,Constants!$A$2:$A$10=A3419)))"),"")</f>
        <v/>
      </c>
    </row>
    <row r="3420">
      <c r="A3420" s="89"/>
      <c r="B3420" s="87"/>
      <c r="C3420" s="73"/>
      <c r="D3420" s="73"/>
      <c r="E3420" s="82"/>
      <c r="F3420" s="82"/>
      <c r="G3420" s="86"/>
      <c r="H3420" s="86"/>
      <c r="I3420" s="86"/>
      <c r="J3420" s="82"/>
      <c r="K3420" s="82"/>
      <c r="L3420" s="82"/>
      <c r="M3420" s="82"/>
      <c r="N3420" s="82"/>
      <c r="O3420" s="82"/>
      <c r="P3420" s="82"/>
      <c r="Q3420" s="82"/>
      <c r="R3420" s="82"/>
      <c r="S3420" s="82"/>
      <c r="T3420" s="82"/>
      <c r="U3420" s="82"/>
      <c r="V3420" s="82"/>
      <c r="W3420" s="82"/>
      <c r="X3420" s="82"/>
      <c r="Y3420" s="82"/>
      <c r="Z3420" s="82"/>
      <c r="AA3420" s="82"/>
      <c r="AB3420" s="82"/>
      <c r="AC3420" s="82"/>
      <c r="AD3420" s="82"/>
      <c r="AE3420" s="82"/>
      <c r="AF3420" s="82"/>
      <c r="AG3420" s="82"/>
      <c r="AH3420" s="82"/>
      <c r="AI3420" s="82"/>
      <c r="AJ3420" s="82"/>
      <c r="AK3420" s="82"/>
      <c r="AL3420" s="82"/>
      <c r="AM3420" s="82"/>
      <c r="AN3420" s="82">
        <f>IFERROR(__xludf.DUMMYFUNCTION("""COMPUTED_VALUE"""),0.0)</f>
        <v>0</v>
      </c>
      <c r="AO3420" s="82">
        <f>IFERROR(__xludf.DUMMYFUNCTION("""COMPUTED_VALUE"""),0.0)</f>
        <v>0</v>
      </c>
      <c r="AP3420" s="82">
        <f>IFERROR(__xludf.DUMMYFUNCTION("""COMPUTED_VALUE"""),0.0)</f>
        <v>0</v>
      </c>
      <c r="AQ3420" s="82">
        <f>IFERROR(__xludf.DUMMYFUNCTION("""COMPUTED_VALUE"""),0.0)</f>
        <v>0</v>
      </c>
      <c r="AR3420" s="82">
        <f>IFERROR(__xludf.DUMMYFUNCTION("""COMPUTED_VALUE"""),0.0)</f>
        <v>0</v>
      </c>
      <c r="AS3420" s="82"/>
      <c r="AT3420" s="82">
        <f>IFERROR(__xludf.DUMMYFUNCTION("""COMPUTED_VALUE"""),0.0)</f>
        <v>0</v>
      </c>
      <c r="AU3420" s="82"/>
      <c r="AV3420" s="82"/>
      <c r="AW3420" s="82" t="str">
        <f t="shared" si="1"/>
        <v/>
      </c>
      <c r="AX3420" s="83" t="str">
        <f t="array" ref="AX3420">IFERROR(DGET('SBV Import'!A:G,"SBV",{"RSC ID","Tier";B3420,A3420}))</f>
        <v/>
      </c>
      <c r="AY3420" s="82" t="str">
        <f t="shared" si="2"/>
        <v/>
      </c>
      <c r="AZ3420" s="82"/>
      <c r="BA3420" s="84" t="s">
        <v>152</v>
      </c>
      <c r="BB3420" s="84" t="str">
        <f>IFERROR(__xludf.DUMMYFUNCTION("iferror(if(A3420="""",,E3420&gt;=FILTER(Constants!$F$2:$F$10,Constants!$A$2:$A$10=A3420)))"),"")</f>
        <v/>
      </c>
    </row>
    <row r="3421">
      <c r="A3421" s="89"/>
      <c r="B3421" s="87"/>
      <c r="C3421" s="73"/>
      <c r="D3421" s="73"/>
      <c r="E3421" s="82"/>
      <c r="F3421" s="82"/>
      <c r="G3421" s="86"/>
      <c r="H3421" s="86"/>
      <c r="I3421" s="86"/>
      <c r="J3421" s="82"/>
      <c r="K3421" s="82"/>
      <c r="L3421" s="82"/>
      <c r="M3421" s="82"/>
      <c r="N3421" s="82"/>
      <c r="O3421" s="82"/>
      <c r="P3421" s="82"/>
      <c r="Q3421" s="82"/>
      <c r="R3421" s="82"/>
      <c r="S3421" s="82"/>
      <c r="T3421" s="82"/>
      <c r="U3421" s="82"/>
      <c r="V3421" s="82"/>
      <c r="W3421" s="82"/>
      <c r="X3421" s="82"/>
      <c r="Y3421" s="82"/>
      <c r="Z3421" s="82"/>
      <c r="AA3421" s="82"/>
      <c r="AB3421" s="82"/>
      <c r="AC3421" s="82"/>
      <c r="AD3421" s="82"/>
      <c r="AE3421" s="82"/>
      <c r="AF3421" s="82"/>
      <c r="AG3421" s="82"/>
      <c r="AH3421" s="82"/>
      <c r="AI3421" s="82"/>
      <c r="AJ3421" s="82"/>
      <c r="AK3421" s="82"/>
      <c r="AL3421" s="82"/>
      <c r="AM3421" s="82"/>
      <c r="AN3421" s="82">
        <f>IFERROR(__xludf.DUMMYFUNCTION("""COMPUTED_VALUE"""),0.0)</f>
        <v>0</v>
      </c>
      <c r="AO3421" s="82">
        <f>IFERROR(__xludf.DUMMYFUNCTION("""COMPUTED_VALUE"""),0.0)</f>
        <v>0</v>
      </c>
      <c r="AP3421" s="82">
        <f>IFERROR(__xludf.DUMMYFUNCTION("""COMPUTED_VALUE"""),0.0)</f>
        <v>0</v>
      </c>
      <c r="AQ3421" s="82">
        <f>IFERROR(__xludf.DUMMYFUNCTION("""COMPUTED_VALUE"""),0.0)</f>
        <v>0</v>
      </c>
      <c r="AR3421" s="82">
        <f>IFERROR(__xludf.DUMMYFUNCTION("""COMPUTED_VALUE"""),0.0)</f>
        <v>0</v>
      </c>
      <c r="AS3421" s="82"/>
      <c r="AT3421" s="82">
        <f>IFERROR(__xludf.DUMMYFUNCTION("""COMPUTED_VALUE"""),0.0)</f>
        <v>0</v>
      </c>
      <c r="AU3421" s="82"/>
      <c r="AV3421" s="82"/>
      <c r="AW3421" s="82" t="str">
        <f t="shared" si="1"/>
        <v/>
      </c>
      <c r="AX3421" s="83" t="str">
        <f t="array" ref="AX3421">IFERROR(DGET('SBV Import'!A:G,"SBV",{"RSC ID","Tier";B3421,A3421}))</f>
        <v/>
      </c>
      <c r="AY3421" s="82" t="str">
        <f t="shared" si="2"/>
        <v/>
      </c>
      <c r="AZ3421" s="82"/>
      <c r="BA3421" s="84" t="s">
        <v>152</v>
      </c>
      <c r="BB3421" s="84" t="str">
        <f>IFERROR(__xludf.DUMMYFUNCTION("iferror(if(A3421="""",,E3421&gt;=FILTER(Constants!$F$2:$F$10,Constants!$A$2:$A$10=A3421)))"),"")</f>
        <v/>
      </c>
    </row>
    <row r="3422">
      <c r="A3422" s="89"/>
      <c r="B3422" s="87"/>
      <c r="C3422" s="73"/>
      <c r="D3422" s="73"/>
      <c r="E3422" s="82"/>
      <c r="F3422" s="82"/>
      <c r="G3422" s="86"/>
      <c r="H3422" s="86"/>
      <c r="I3422" s="86"/>
      <c r="J3422" s="82"/>
      <c r="K3422" s="82"/>
      <c r="L3422" s="82"/>
      <c r="M3422" s="82"/>
      <c r="N3422" s="82"/>
      <c r="O3422" s="82"/>
      <c r="P3422" s="82"/>
      <c r="Q3422" s="82"/>
      <c r="R3422" s="82"/>
      <c r="S3422" s="82"/>
      <c r="T3422" s="82"/>
      <c r="U3422" s="82"/>
      <c r="V3422" s="82"/>
      <c r="W3422" s="82"/>
      <c r="X3422" s="82"/>
      <c r="Y3422" s="82"/>
      <c r="Z3422" s="82"/>
      <c r="AA3422" s="82"/>
      <c r="AB3422" s="82"/>
      <c r="AC3422" s="82"/>
      <c r="AD3422" s="82"/>
      <c r="AE3422" s="82"/>
      <c r="AF3422" s="82"/>
      <c r="AG3422" s="82"/>
      <c r="AH3422" s="82"/>
      <c r="AI3422" s="82"/>
      <c r="AJ3422" s="82"/>
      <c r="AK3422" s="82"/>
      <c r="AL3422" s="82"/>
      <c r="AM3422" s="82"/>
      <c r="AN3422" s="82">
        <f>IFERROR(__xludf.DUMMYFUNCTION("""COMPUTED_VALUE"""),0.0)</f>
        <v>0</v>
      </c>
      <c r="AO3422" s="82">
        <f>IFERROR(__xludf.DUMMYFUNCTION("""COMPUTED_VALUE"""),0.0)</f>
        <v>0</v>
      </c>
      <c r="AP3422" s="82">
        <f>IFERROR(__xludf.DUMMYFUNCTION("""COMPUTED_VALUE"""),0.0)</f>
        <v>0</v>
      </c>
      <c r="AQ3422" s="82">
        <f>IFERROR(__xludf.DUMMYFUNCTION("""COMPUTED_VALUE"""),0.0)</f>
        <v>0</v>
      </c>
      <c r="AR3422" s="82">
        <f>IFERROR(__xludf.DUMMYFUNCTION("""COMPUTED_VALUE"""),0.0)</f>
        <v>0</v>
      </c>
      <c r="AS3422" s="82"/>
      <c r="AT3422" s="82">
        <f>IFERROR(__xludf.DUMMYFUNCTION("""COMPUTED_VALUE"""),0.0)</f>
        <v>0</v>
      </c>
      <c r="AU3422" s="82"/>
      <c r="AV3422" s="82"/>
      <c r="AW3422" s="82" t="str">
        <f t="shared" si="1"/>
        <v/>
      </c>
      <c r="AX3422" s="83" t="str">
        <f t="array" ref="AX3422">IFERROR(DGET('SBV Import'!A:G,"SBV",{"RSC ID","Tier";B3422,A3422}))</f>
        <v/>
      </c>
      <c r="AY3422" s="82" t="str">
        <f t="shared" si="2"/>
        <v/>
      </c>
      <c r="AZ3422" s="82"/>
      <c r="BA3422" s="84" t="s">
        <v>152</v>
      </c>
      <c r="BB3422" s="84" t="str">
        <f>IFERROR(__xludf.DUMMYFUNCTION("iferror(if(A3422="""",,E3422&gt;=FILTER(Constants!$F$2:$F$10,Constants!$A$2:$A$10=A3422)))"),"")</f>
        <v/>
      </c>
    </row>
    <row r="3423">
      <c r="A3423" s="89"/>
      <c r="B3423" s="87"/>
      <c r="C3423" s="73"/>
      <c r="D3423" s="73"/>
      <c r="E3423" s="82"/>
      <c r="F3423" s="82"/>
      <c r="G3423" s="86"/>
      <c r="H3423" s="86"/>
      <c r="I3423" s="86"/>
      <c r="J3423" s="82"/>
      <c r="K3423" s="82"/>
      <c r="L3423" s="82"/>
      <c r="M3423" s="82"/>
      <c r="N3423" s="82"/>
      <c r="O3423" s="82"/>
      <c r="P3423" s="82"/>
      <c r="Q3423" s="82"/>
      <c r="R3423" s="82"/>
      <c r="S3423" s="82"/>
      <c r="T3423" s="82"/>
      <c r="U3423" s="82"/>
      <c r="V3423" s="82"/>
      <c r="W3423" s="82"/>
      <c r="X3423" s="82"/>
      <c r="Y3423" s="82"/>
      <c r="Z3423" s="82"/>
      <c r="AA3423" s="82"/>
      <c r="AB3423" s="82"/>
      <c r="AC3423" s="82"/>
      <c r="AD3423" s="82"/>
      <c r="AE3423" s="82"/>
      <c r="AF3423" s="82"/>
      <c r="AG3423" s="82"/>
      <c r="AH3423" s="82"/>
      <c r="AI3423" s="82"/>
      <c r="AJ3423" s="82"/>
      <c r="AK3423" s="82"/>
      <c r="AL3423" s="82"/>
      <c r="AM3423" s="82"/>
      <c r="AN3423" s="82">
        <f>IFERROR(__xludf.DUMMYFUNCTION("""COMPUTED_VALUE"""),0.0)</f>
        <v>0</v>
      </c>
      <c r="AO3423" s="82">
        <f>IFERROR(__xludf.DUMMYFUNCTION("""COMPUTED_VALUE"""),0.0)</f>
        <v>0</v>
      </c>
      <c r="AP3423" s="82">
        <f>IFERROR(__xludf.DUMMYFUNCTION("""COMPUTED_VALUE"""),0.0)</f>
        <v>0</v>
      </c>
      <c r="AQ3423" s="82">
        <f>IFERROR(__xludf.DUMMYFUNCTION("""COMPUTED_VALUE"""),0.0)</f>
        <v>0</v>
      </c>
      <c r="AR3423" s="82">
        <f>IFERROR(__xludf.DUMMYFUNCTION("""COMPUTED_VALUE"""),0.0)</f>
        <v>0</v>
      </c>
      <c r="AS3423" s="82"/>
      <c r="AT3423" s="82">
        <f>IFERROR(__xludf.DUMMYFUNCTION("""COMPUTED_VALUE"""),0.0)</f>
        <v>0</v>
      </c>
      <c r="AU3423" s="82"/>
      <c r="AV3423" s="82"/>
      <c r="AW3423" s="82" t="str">
        <f t="shared" si="1"/>
        <v/>
      </c>
      <c r="AX3423" s="83" t="str">
        <f t="array" ref="AX3423">IFERROR(DGET('SBV Import'!A:G,"SBV",{"RSC ID","Tier";B3423,A3423}))</f>
        <v/>
      </c>
      <c r="AY3423" s="82" t="str">
        <f t="shared" si="2"/>
        <v/>
      </c>
      <c r="AZ3423" s="82"/>
      <c r="BA3423" s="84" t="s">
        <v>152</v>
      </c>
      <c r="BB3423" s="84" t="str">
        <f>IFERROR(__xludf.DUMMYFUNCTION("iferror(if(A3423="""",,E3423&gt;=FILTER(Constants!$F$2:$F$10,Constants!$A$2:$A$10=A3423)))"),"")</f>
        <v/>
      </c>
    </row>
    <row r="3424">
      <c r="A3424" s="89"/>
      <c r="B3424" s="87"/>
      <c r="C3424" s="73"/>
      <c r="D3424" s="73"/>
      <c r="E3424" s="82"/>
      <c r="F3424" s="82"/>
      <c r="G3424" s="86"/>
      <c r="H3424" s="86"/>
      <c r="I3424" s="86"/>
      <c r="J3424" s="82"/>
      <c r="K3424" s="82"/>
      <c r="L3424" s="82"/>
      <c r="M3424" s="82"/>
      <c r="N3424" s="82"/>
      <c r="O3424" s="82"/>
      <c r="P3424" s="82"/>
      <c r="Q3424" s="82"/>
      <c r="R3424" s="82"/>
      <c r="S3424" s="82"/>
      <c r="T3424" s="82"/>
      <c r="U3424" s="82"/>
      <c r="V3424" s="82"/>
      <c r="W3424" s="82"/>
      <c r="X3424" s="82"/>
      <c r="Y3424" s="82"/>
      <c r="Z3424" s="82"/>
      <c r="AA3424" s="82"/>
      <c r="AB3424" s="82"/>
      <c r="AC3424" s="82"/>
      <c r="AD3424" s="82"/>
      <c r="AE3424" s="82"/>
      <c r="AF3424" s="82"/>
      <c r="AG3424" s="82"/>
      <c r="AH3424" s="82"/>
      <c r="AI3424" s="82"/>
      <c r="AJ3424" s="82"/>
      <c r="AK3424" s="82"/>
      <c r="AL3424" s="82"/>
      <c r="AM3424" s="82"/>
      <c r="AN3424" s="82">
        <f>IFERROR(__xludf.DUMMYFUNCTION("""COMPUTED_VALUE"""),0.0)</f>
        <v>0</v>
      </c>
      <c r="AO3424" s="82">
        <f>IFERROR(__xludf.DUMMYFUNCTION("""COMPUTED_VALUE"""),0.0)</f>
        <v>0</v>
      </c>
      <c r="AP3424" s="82">
        <f>IFERROR(__xludf.DUMMYFUNCTION("""COMPUTED_VALUE"""),0.0)</f>
        <v>0</v>
      </c>
      <c r="AQ3424" s="82">
        <f>IFERROR(__xludf.DUMMYFUNCTION("""COMPUTED_VALUE"""),0.0)</f>
        <v>0</v>
      </c>
      <c r="AR3424" s="82">
        <f>IFERROR(__xludf.DUMMYFUNCTION("""COMPUTED_VALUE"""),0.0)</f>
        <v>0</v>
      </c>
      <c r="AS3424" s="82"/>
      <c r="AT3424" s="82">
        <f>IFERROR(__xludf.DUMMYFUNCTION("""COMPUTED_VALUE"""),0.0)</f>
        <v>0</v>
      </c>
      <c r="AU3424" s="82"/>
      <c r="AV3424" s="82"/>
      <c r="AW3424" s="82" t="str">
        <f t="shared" si="1"/>
        <v/>
      </c>
      <c r="AX3424" s="83" t="str">
        <f t="array" ref="AX3424">IFERROR(DGET('SBV Import'!A:G,"SBV",{"RSC ID","Tier";B3424,A3424}))</f>
        <v/>
      </c>
      <c r="AY3424" s="82" t="str">
        <f t="shared" si="2"/>
        <v/>
      </c>
      <c r="AZ3424" s="82"/>
      <c r="BA3424" s="84" t="s">
        <v>152</v>
      </c>
      <c r="BB3424" s="84" t="str">
        <f>IFERROR(__xludf.DUMMYFUNCTION("iferror(if(A3424="""",,E3424&gt;=FILTER(Constants!$F$2:$F$10,Constants!$A$2:$A$10=A3424)))"),"")</f>
        <v/>
      </c>
    </row>
    <row r="3425">
      <c r="A3425" s="89"/>
      <c r="B3425" s="87"/>
      <c r="C3425" s="73"/>
      <c r="D3425" s="73"/>
      <c r="E3425" s="82"/>
      <c r="F3425" s="82"/>
      <c r="G3425" s="86"/>
      <c r="H3425" s="86"/>
      <c r="I3425" s="86"/>
      <c r="J3425" s="82"/>
      <c r="K3425" s="82"/>
      <c r="L3425" s="82"/>
      <c r="M3425" s="82"/>
      <c r="N3425" s="82"/>
      <c r="O3425" s="82"/>
      <c r="P3425" s="82"/>
      <c r="Q3425" s="82"/>
      <c r="R3425" s="82"/>
      <c r="S3425" s="82"/>
      <c r="T3425" s="82"/>
      <c r="U3425" s="82"/>
      <c r="V3425" s="82"/>
      <c r="W3425" s="82"/>
      <c r="X3425" s="82"/>
      <c r="Y3425" s="82"/>
      <c r="Z3425" s="82"/>
      <c r="AA3425" s="82"/>
      <c r="AB3425" s="82"/>
      <c r="AC3425" s="82"/>
      <c r="AD3425" s="82"/>
      <c r="AE3425" s="82"/>
      <c r="AF3425" s="82"/>
      <c r="AG3425" s="82"/>
      <c r="AH3425" s="82"/>
      <c r="AI3425" s="82"/>
      <c r="AJ3425" s="82"/>
      <c r="AK3425" s="82"/>
      <c r="AL3425" s="82"/>
      <c r="AM3425" s="82"/>
      <c r="AN3425" s="82">
        <f>IFERROR(__xludf.DUMMYFUNCTION("""COMPUTED_VALUE"""),0.0)</f>
        <v>0</v>
      </c>
      <c r="AO3425" s="82">
        <f>IFERROR(__xludf.DUMMYFUNCTION("""COMPUTED_VALUE"""),0.0)</f>
        <v>0</v>
      </c>
      <c r="AP3425" s="82">
        <f>IFERROR(__xludf.DUMMYFUNCTION("""COMPUTED_VALUE"""),0.0)</f>
        <v>0</v>
      </c>
      <c r="AQ3425" s="82">
        <f>IFERROR(__xludf.DUMMYFUNCTION("""COMPUTED_VALUE"""),0.0)</f>
        <v>0</v>
      </c>
      <c r="AR3425" s="82">
        <f>IFERROR(__xludf.DUMMYFUNCTION("""COMPUTED_VALUE"""),0.0)</f>
        <v>0</v>
      </c>
      <c r="AS3425" s="82"/>
      <c r="AT3425" s="82">
        <f>IFERROR(__xludf.DUMMYFUNCTION("""COMPUTED_VALUE"""),0.0)</f>
        <v>0</v>
      </c>
      <c r="AU3425" s="82"/>
      <c r="AV3425" s="82"/>
      <c r="AW3425" s="82" t="str">
        <f t="shared" si="1"/>
        <v/>
      </c>
      <c r="AX3425" s="83" t="str">
        <f t="array" ref="AX3425">IFERROR(DGET('SBV Import'!A:G,"SBV",{"RSC ID","Tier";B3425,A3425}))</f>
        <v/>
      </c>
      <c r="AY3425" s="82" t="str">
        <f t="shared" si="2"/>
        <v/>
      </c>
      <c r="AZ3425" s="82"/>
      <c r="BA3425" s="84" t="s">
        <v>152</v>
      </c>
      <c r="BB3425" s="84" t="str">
        <f>IFERROR(__xludf.DUMMYFUNCTION("iferror(if(A3425="""",,E3425&gt;=FILTER(Constants!$F$2:$F$10,Constants!$A$2:$A$10=A3425)))"),"")</f>
        <v/>
      </c>
    </row>
    <row r="3426">
      <c r="A3426" s="89"/>
      <c r="B3426" s="87"/>
      <c r="C3426" s="73"/>
      <c r="D3426" s="73"/>
      <c r="E3426" s="82"/>
      <c r="F3426" s="82"/>
      <c r="G3426" s="86"/>
      <c r="H3426" s="86"/>
      <c r="I3426" s="86"/>
      <c r="J3426" s="82"/>
      <c r="K3426" s="82"/>
      <c r="L3426" s="82"/>
      <c r="M3426" s="82"/>
      <c r="N3426" s="82"/>
      <c r="O3426" s="82"/>
      <c r="P3426" s="82"/>
      <c r="Q3426" s="82"/>
      <c r="R3426" s="82"/>
      <c r="S3426" s="82"/>
      <c r="T3426" s="82"/>
      <c r="U3426" s="82"/>
      <c r="V3426" s="82"/>
      <c r="W3426" s="82"/>
      <c r="X3426" s="82"/>
      <c r="Y3426" s="82"/>
      <c r="Z3426" s="82"/>
      <c r="AA3426" s="82"/>
      <c r="AB3426" s="82"/>
      <c r="AC3426" s="82"/>
      <c r="AD3426" s="82"/>
      <c r="AE3426" s="82"/>
      <c r="AF3426" s="82"/>
      <c r="AG3426" s="82"/>
      <c r="AH3426" s="82"/>
      <c r="AI3426" s="82"/>
      <c r="AJ3426" s="82"/>
      <c r="AK3426" s="82"/>
      <c r="AL3426" s="82"/>
      <c r="AM3426" s="82"/>
      <c r="AN3426" s="82">
        <f>IFERROR(__xludf.DUMMYFUNCTION("""COMPUTED_VALUE"""),0.0)</f>
        <v>0</v>
      </c>
      <c r="AO3426" s="82">
        <f>IFERROR(__xludf.DUMMYFUNCTION("""COMPUTED_VALUE"""),0.0)</f>
        <v>0</v>
      </c>
      <c r="AP3426" s="82">
        <f>IFERROR(__xludf.DUMMYFUNCTION("""COMPUTED_VALUE"""),0.0)</f>
        <v>0</v>
      </c>
      <c r="AQ3426" s="82">
        <f>IFERROR(__xludf.DUMMYFUNCTION("""COMPUTED_VALUE"""),0.0)</f>
        <v>0</v>
      </c>
      <c r="AR3426" s="82">
        <f>IFERROR(__xludf.DUMMYFUNCTION("""COMPUTED_VALUE"""),0.0)</f>
        <v>0</v>
      </c>
      <c r="AS3426" s="82"/>
      <c r="AT3426" s="82">
        <f>IFERROR(__xludf.DUMMYFUNCTION("""COMPUTED_VALUE"""),0.0)</f>
        <v>0</v>
      </c>
      <c r="AU3426" s="82"/>
      <c r="AV3426" s="82"/>
      <c r="AW3426" s="82" t="str">
        <f t="shared" si="1"/>
        <v/>
      </c>
      <c r="AX3426" s="83" t="str">
        <f t="array" ref="AX3426">IFERROR(DGET('SBV Import'!A:G,"SBV",{"RSC ID","Tier";B3426,A3426}))</f>
        <v/>
      </c>
      <c r="AY3426" s="82" t="str">
        <f t="shared" si="2"/>
        <v/>
      </c>
      <c r="AZ3426" s="82"/>
      <c r="BA3426" s="84" t="s">
        <v>152</v>
      </c>
      <c r="BB3426" s="84" t="str">
        <f>IFERROR(__xludf.DUMMYFUNCTION("iferror(if(A3426="""",,E3426&gt;=FILTER(Constants!$F$2:$F$10,Constants!$A$2:$A$10=A3426)))"),"")</f>
        <v/>
      </c>
    </row>
    <row r="3427">
      <c r="A3427" s="89"/>
      <c r="B3427" s="87"/>
      <c r="C3427" s="73"/>
      <c r="D3427" s="73"/>
      <c r="E3427" s="82"/>
      <c r="F3427" s="82"/>
      <c r="G3427" s="86"/>
      <c r="H3427" s="86"/>
      <c r="I3427" s="86"/>
      <c r="J3427" s="82"/>
      <c r="K3427" s="82"/>
      <c r="L3427" s="82"/>
      <c r="M3427" s="82"/>
      <c r="N3427" s="82"/>
      <c r="O3427" s="82"/>
      <c r="P3427" s="82"/>
      <c r="Q3427" s="82"/>
      <c r="R3427" s="82"/>
      <c r="S3427" s="82"/>
      <c r="T3427" s="82"/>
      <c r="U3427" s="82"/>
      <c r="V3427" s="82"/>
      <c r="W3427" s="82"/>
      <c r="X3427" s="82"/>
      <c r="Y3427" s="82"/>
      <c r="Z3427" s="82"/>
      <c r="AA3427" s="82"/>
      <c r="AB3427" s="82"/>
      <c r="AC3427" s="82"/>
      <c r="AD3427" s="82"/>
      <c r="AE3427" s="82"/>
      <c r="AF3427" s="82"/>
      <c r="AG3427" s="82"/>
      <c r="AH3427" s="82"/>
      <c r="AI3427" s="82"/>
      <c r="AJ3427" s="82"/>
      <c r="AK3427" s="82"/>
      <c r="AL3427" s="82"/>
      <c r="AM3427" s="82"/>
      <c r="AN3427" s="82">
        <f>IFERROR(__xludf.DUMMYFUNCTION("""COMPUTED_VALUE"""),0.0)</f>
        <v>0</v>
      </c>
      <c r="AO3427" s="82">
        <f>IFERROR(__xludf.DUMMYFUNCTION("""COMPUTED_VALUE"""),0.0)</f>
        <v>0</v>
      </c>
      <c r="AP3427" s="82">
        <f>IFERROR(__xludf.DUMMYFUNCTION("""COMPUTED_VALUE"""),0.0)</f>
        <v>0</v>
      </c>
      <c r="AQ3427" s="82">
        <f>IFERROR(__xludf.DUMMYFUNCTION("""COMPUTED_VALUE"""),0.0)</f>
        <v>0</v>
      </c>
      <c r="AR3427" s="82">
        <f>IFERROR(__xludf.DUMMYFUNCTION("""COMPUTED_VALUE"""),0.0)</f>
        <v>0</v>
      </c>
      <c r="AS3427" s="82"/>
      <c r="AT3427" s="82">
        <f>IFERROR(__xludf.DUMMYFUNCTION("""COMPUTED_VALUE"""),0.0)</f>
        <v>0</v>
      </c>
      <c r="AU3427" s="82"/>
      <c r="AV3427" s="82"/>
      <c r="AW3427" s="82" t="str">
        <f t="shared" si="1"/>
        <v/>
      </c>
      <c r="AX3427" s="83" t="str">
        <f t="array" ref="AX3427">IFERROR(DGET('SBV Import'!A:G,"SBV",{"RSC ID","Tier";B3427,A3427}))</f>
        <v/>
      </c>
      <c r="AY3427" s="82" t="str">
        <f t="shared" si="2"/>
        <v/>
      </c>
      <c r="AZ3427" s="82"/>
      <c r="BA3427" s="84" t="s">
        <v>152</v>
      </c>
      <c r="BB3427" s="84" t="str">
        <f>IFERROR(__xludf.DUMMYFUNCTION("iferror(if(A3427="""",,E3427&gt;=FILTER(Constants!$F$2:$F$10,Constants!$A$2:$A$10=A3427)))"),"")</f>
        <v/>
      </c>
    </row>
    <row r="3428">
      <c r="A3428" s="89"/>
      <c r="B3428" s="87"/>
      <c r="C3428" s="73"/>
      <c r="D3428" s="73"/>
      <c r="E3428" s="82"/>
      <c r="F3428" s="82"/>
      <c r="G3428" s="86"/>
      <c r="H3428" s="86"/>
      <c r="I3428" s="86"/>
      <c r="J3428" s="82"/>
      <c r="K3428" s="82"/>
      <c r="L3428" s="82"/>
      <c r="M3428" s="82"/>
      <c r="N3428" s="82"/>
      <c r="O3428" s="82"/>
      <c r="P3428" s="82"/>
      <c r="Q3428" s="82"/>
      <c r="R3428" s="82"/>
      <c r="S3428" s="82"/>
      <c r="T3428" s="82"/>
      <c r="U3428" s="82"/>
      <c r="V3428" s="82"/>
      <c r="W3428" s="82"/>
      <c r="X3428" s="82"/>
      <c r="Y3428" s="82"/>
      <c r="Z3428" s="82"/>
      <c r="AA3428" s="82"/>
      <c r="AB3428" s="82"/>
      <c r="AC3428" s="82"/>
      <c r="AD3428" s="82"/>
      <c r="AE3428" s="82"/>
      <c r="AF3428" s="82"/>
      <c r="AG3428" s="82"/>
      <c r="AH3428" s="82"/>
      <c r="AI3428" s="82"/>
      <c r="AJ3428" s="82"/>
      <c r="AK3428" s="82"/>
      <c r="AL3428" s="82"/>
      <c r="AM3428" s="82"/>
      <c r="AN3428" s="82">
        <f>IFERROR(__xludf.DUMMYFUNCTION("""COMPUTED_VALUE"""),0.0)</f>
        <v>0</v>
      </c>
      <c r="AO3428" s="82">
        <f>IFERROR(__xludf.DUMMYFUNCTION("""COMPUTED_VALUE"""),0.0)</f>
        <v>0</v>
      </c>
      <c r="AP3428" s="82">
        <f>IFERROR(__xludf.DUMMYFUNCTION("""COMPUTED_VALUE"""),0.0)</f>
        <v>0</v>
      </c>
      <c r="AQ3428" s="82">
        <f>IFERROR(__xludf.DUMMYFUNCTION("""COMPUTED_VALUE"""),0.0)</f>
        <v>0</v>
      </c>
      <c r="AR3428" s="82">
        <f>IFERROR(__xludf.DUMMYFUNCTION("""COMPUTED_VALUE"""),0.0)</f>
        <v>0</v>
      </c>
      <c r="AS3428" s="82"/>
      <c r="AT3428" s="82">
        <f>IFERROR(__xludf.DUMMYFUNCTION("""COMPUTED_VALUE"""),0.0)</f>
        <v>0</v>
      </c>
      <c r="AU3428" s="82"/>
      <c r="AV3428" s="82"/>
      <c r="AW3428" s="82" t="str">
        <f t="shared" si="1"/>
        <v/>
      </c>
      <c r="AX3428" s="83" t="str">
        <f t="array" ref="AX3428">IFERROR(DGET('SBV Import'!A:G,"SBV",{"RSC ID","Tier";B3428,A3428}))</f>
        <v/>
      </c>
      <c r="AY3428" s="82" t="str">
        <f t="shared" si="2"/>
        <v/>
      </c>
      <c r="AZ3428" s="82"/>
      <c r="BA3428" s="84" t="s">
        <v>152</v>
      </c>
      <c r="BB3428" s="84" t="str">
        <f>IFERROR(__xludf.DUMMYFUNCTION("iferror(if(A3428="""",,E3428&gt;=FILTER(Constants!$F$2:$F$10,Constants!$A$2:$A$10=A3428)))"),"")</f>
        <v/>
      </c>
    </row>
    <row r="3429">
      <c r="A3429" s="89"/>
      <c r="B3429" s="87"/>
      <c r="C3429" s="73"/>
      <c r="D3429" s="73"/>
      <c r="E3429" s="82"/>
      <c r="F3429" s="82"/>
      <c r="G3429" s="86"/>
      <c r="H3429" s="86"/>
      <c r="I3429" s="86"/>
      <c r="J3429" s="82"/>
      <c r="K3429" s="82"/>
      <c r="L3429" s="82"/>
      <c r="M3429" s="82"/>
      <c r="N3429" s="82"/>
      <c r="O3429" s="82"/>
      <c r="P3429" s="82"/>
      <c r="Q3429" s="82"/>
      <c r="R3429" s="82"/>
      <c r="S3429" s="82"/>
      <c r="T3429" s="82"/>
      <c r="U3429" s="82"/>
      <c r="V3429" s="82"/>
      <c r="W3429" s="82"/>
      <c r="X3429" s="82"/>
      <c r="Y3429" s="82"/>
      <c r="Z3429" s="82"/>
      <c r="AA3429" s="82"/>
      <c r="AB3429" s="82"/>
      <c r="AC3429" s="82"/>
      <c r="AD3429" s="82"/>
      <c r="AE3429" s="82"/>
      <c r="AF3429" s="82"/>
      <c r="AG3429" s="82"/>
      <c r="AH3429" s="82"/>
      <c r="AI3429" s="82"/>
      <c r="AJ3429" s="82"/>
      <c r="AK3429" s="82"/>
      <c r="AL3429" s="82"/>
      <c r="AM3429" s="82"/>
      <c r="AN3429" s="82">
        <f>IFERROR(__xludf.DUMMYFUNCTION("""COMPUTED_VALUE"""),0.0)</f>
        <v>0</v>
      </c>
      <c r="AO3429" s="82">
        <f>IFERROR(__xludf.DUMMYFUNCTION("""COMPUTED_VALUE"""),0.0)</f>
        <v>0</v>
      </c>
      <c r="AP3429" s="82">
        <f>IFERROR(__xludf.DUMMYFUNCTION("""COMPUTED_VALUE"""),0.0)</f>
        <v>0</v>
      </c>
      <c r="AQ3429" s="82">
        <f>IFERROR(__xludf.DUMMYFUNCTION("""COMPUTED_VALUE"""),0.0)</f>
        <v>0</v>
      </c>
      <c r="AR3429" s="82">
        <f>IFERROR(__xludf.DUMMYFUNCTION("""COMPUTED_VALUE"""),0.0)</f>
        <v>0</v>
      </c>
      <c r="AS3429" s="82"/>
      <c r="AT3429" s="82">
        <f>IFERROR(__xludf.DUMMYFUNCTION("""COMPUTED_VALUE"""),0.0)</f>
        <v>0</v>
      </c>
      <c r="AU3429" s="82"/>
      <c r="AV3429" s="82"/>
      <c r="AW3429" s="82" t="str">
        <f t="shared" si="1"/>
        <v/>
      </c>
      <c r="AX3429" s="83" t="str">
        <f t="array" ref="AX3429">IFERROR(DGET('SBV Import'!A:G,"SBV",{"RSC ID","Tier";B3429,A3429}))</f>
        <v/>
      </c>
      <c r="AY3429" s="82" t="str">
        <f t="shared" si="2"/>
        <v/>
      </c>
      <c r="AZ3429" s="82"/>
      <c r="BA3429" s="84" t="s">
        <v>152</v>
      </c>
      <c r="BB3429" s="84" t="str">
        <f>IFERROR(__xludf.DUMMYFUNCTION("iferror(if(A3429="""",,E3429&gt;=FILTER(Constants!$F$2:$F$10,Constants!$A$2:$A$10=A3429)))"),"")</f>
        <v/>
      </c>
    </row>
    <row r="3430">
      <c r="A3430" s="89"/>
      <c r="B3430" s="87"/>
      <c r="C3430" s="73"/>
      <c r="D3430" s="73"/>
      <c r="E3430" s="82"/>
      <c r="F3430" s="82"/>
      <c r="G3430" s="86"/>
      <c r="H3430" s="86"/>
      <c r="I3430" s="86"/>
      <c r="J3430" s="82"/>
      <c r="K3430" s="82"/>
      <c r="L3430" s="82"/>
      <c r="M3430" s="82"/>
      <c r="N3430" s="82"/>
      <c r="O3430" s="82"/>
      <c r="P3430" s="82"/>
      <c r="Q3430" s="82"/>
      <c r="R3430" s="82"/>
      <c r="S3430" s="82"/>
      <c r="T3430" s="82"/>
      <c r="U3430" s="82"/>
      <c r="V3430" s="82"/>
      <c r="W3430" s="82"/>
      <c r="X3430" s="82"/>
      <c r="Y3430" s="82"/>
      <c r="Z3430" s="82"/>
      <c r="AA3430" s="82"/>
      <c r="AB3430" s="82"/>
      <c r="AC3430" s="82"/>
      <c r="AD3430" s="82"/>
      <c r="AE3430" s="82"/>
      <c r="AF3430" s="82"/>
      <c r="AG3430" s="82"/>
      <c r="AH3430" s="82"/>
      <c r="AI3430" s="82"/>
      <c r="AJ3430" s="82"/>
      <c r="AK3430" s="82"/>
      <c r="AL3430" s="82"/>
      <c r="AM3430" s="82"/>
      <c r="AN3430" s="82">
        <f>IFERROR(__xludf.DUMMYFUNCTION("""COMPUTED_VALUE"""),0.0)</f>
        <v>0</v>
      </c>
      <c r="AO3430" s="82">
        <f>IFERROR(__xludf.DUMMYFUNCTION("""COMPUTED_VALUE"""),0.0)</f>
        <v>0</v>
      </c>
      <c r="AP3430" s="82">
        <f>IFERROR(__xludf.DUMMYFUNCTION("""COMPUTED_VALUE"""),0.0)</f>
        <v>0</v>
      </c>
      <c r="AQ3430" s="82">
        <f>IFERROR(__xludf.DUMMYFUNCTION("""COMPUTED_VALUE"""),0.0)</f>
        <v>0</v>
      </c>
      <c r="AR3430" s="82">
        <f>IFERROR(__xludf.DUMMYFUNCTION("""COMPUTED_VALUE"""),0.0)</f>
        <v>0</v>
      </c>
      <c r="AS3430" s="82"/>
      <c r="AT3430" s="82">
        <f>IFERROR(__xludf.DUMMYFUNCTION("""COMPUTED_VALUE"""),0.0)</f>
        <v>0</v>
      </c>
      <c r="AU3430" s="82"/>
      <c r="AV3430" s="82"/>
      <c r="AW3430" s="82" t="str">
        <f t="shared" si="1"/>
        <v/>
      </c>
      <c r="AX3430" s="83" t="str">
        <f t="array" ref="AX3430">IFERROR(DGET('SBV Import'!A:G,"SBV",{"RSC ID","Tier";B3430,A3430}))</f>
        <v/>
      </c>
      <c r="AY3430" s="82" t="str">
        <f t="shared" si="2"/>
        <v/>
      </c>
      <c r="AZ3430" s="82"/>
      <c r="BA3430" s="84" t="s">
        <v>152</v>
      </c>
      <c r="BB3430" s="84" t="str">
        <f>IFERROR(__xludf.DUMMYFUNCTION("iferror(if(A3430="""",,E3430&gt;=FILTER(Constants!$F$2:$F$10,Constants!$A$2:$A$10=A3430)))"),"")</f>
        <v/>
      </c>
    </row>
    <row r="3431">
      <c r="A3431" s="89"/>
      <c r="B3431" s="87"/>
      <c r="C3431" s="73"/>
      <c r="D3431" s="73"/>
      <c r="E3431" s="82"/>
      <c r="F3431" s="82"/>
      <c r="G3431" s="86"/>
      <c r="H3431" s="86"/>
      <c r="I3431" s="86"/>
      <c r="J3431" s="82"/>
      <c r="K3431" s="82"/>
      <c r="L3431" s="82"/>
      <c r="M3431" s="82"/>
      <c r="N3431" s="82"/>
      <c r="O3431" s="82"/>
      <c r="P3431" s="82"/>
      <c r="Q3431" s="82"/>
      <c r="R3431" s="82"/>
      <c r="S3431" s="82"/>
      <c r="T3431" s="82"/>
      <c r="U3431" s="82"/>
      <c r="V3431" s="82"/>
      <c r="W3431" s="82"/>
      <c r="X3431" s="82"/>
      <c r="Y3431" s="82"/>
      <c r="Z3431" s="82"/>
      <c r="AA3431" s="82"/>
      <c r="AB3431" s="82"/>
      <c r="AC3431" s="82"/>
      <c r="AD3431" s="82"/>
      <c r="AE3431" s="82"/>
      <c r="AF3431" s="82"/>
      <c r="AG3431" s="82"/>
      <c r="AH3431" s="82"/>
      <c r="AI3431" s="82"/>
      <c r="AJ3431" s="82"/>
      <c r="AK3431" s="82"/>
      <c r="AL3431" s="82"/>
      <c r="AM3431" s="82"/>
      <c r="AN3431" s="82">
        <f>IFERROR(__xludf.DUMMYFUNCTION("""COMPUTED_VALUE"""),0.0)</f>
        <v>0</v>
      </c>
      <c r="AO3431" s="82">
        <f>IFERROR(__xludf.DUMMYFUNCTION("""COMPUTED_VALUE"""),0.0)</f>
        <v>0</v>
      </c>
      <c r="AP3431" s="82">
        <f>IFERROR(__xludf.DUMMYFUNCTION("""COMPUTED_VALUE"""),0.0)</f>
        <v>0</v>
      </c>
      <c r="AQ3431" s="82">
        <f>IFERROR(__xludf.DUMMYFUNCTION("""COMPUTED_VALUE"""),0.0)</f>
        <v>0</v>
      </c>
      <c r="AR3431" s="82">
        <f>IFERROR(__xludf.DUMMYFUNCTION("""COMPUTED_VALUE"""),0.0)</f>
        <v>0</v>
      </c>
      <c r="AS3431" s="82"/>
      <c r="AT3431" s="82">
        <f>IFERROR(__xludf.DUMMYFUNCTION("""COMPUTED_VALUE"""),0.0)</f>
        <v>0</v>
      </c>
      <c r="AU3431" s="82"/>
      <c r="AV3431" s="82"/>
      <c r="AW3431" s="82" t="str">
        <f t="shared" si="1"/>
        <v/>
      </c>
      <c r="AX3431" s="83" t="str">
        <f t="array" ref="AX3431">IFERROR(DGET('SBV Import'!A:G,"SBV",{"RSC ID","Tier";B3431,A3431}))</f>
        <v/>
      </c>
      <c r="AY3431" s="82" t="str">
        <f t="shared" si="2"/>
        <v/>
      </c>
      <c r="AZ3431" s="82"/>
      <c r="BA3431" s="84" t="s">
        <v>152</v>
      </c>
      <c r="BB3431" s="84" t="str">
        <f>IFERROR(__xludf.DUMMYFUNCTION("iferror(if(A3431="""",,E3431&gt;=FILTER(Constants!$F$2:$F$10,Constants!$A$2:$A$10=A3431)))"),"")</f>
        <v/>
      </c>
    </row>
    <row r="3432">
      <c r="A3432" s="89"/>
      <c r="B3432" s="87"/>
      <c r="C3432" s="73"/>
      <c r="D3432" s="73"/>
      <c r="E3432" s="82"/>
      <c r="F3432" s="82"/>
      <c r="G3432" s="86"/>
      <c r="H3432" s="86"/>
      <c r="I3432" s="86"/>
      <c r="J3432" s="82"/>
      <c r="K3432" s="82"/>
      <c r="L3432" s="82"/>
      <c r="M3432" s="82"/>
      <c r="N3432" s="82"/>
      <c r="O3432" s="82"/>
      <c r="P3432" s="82"/>
      <c r="Q3432" s="82"/>
      <c r="R3432" s="82"/>
      <c r="S3432" s="82"/>
      <c r="T3432" s="82"/>
      <c r="U3432" s="82"/>
      <c r="V3432" s="82"/>
      <c r="W3432" s="82"/>
      <c r="X3432" s="82"/>
      <c r="Y3432" s="82"/>
      <c r="Z3432" s="82"/>
      <c r="AA3432" s="82"/>
      <c r="AB3432" s="82"/>
      <c r="AC3432" s="82"/>
      <c r="AD3432" s="82"/>
      <c r="AE3432" s="82"/>
      <c r="AF3432" s="82"/>
      <c r="AG3432" s="82"/>
      <c r="AH3432" s="82"/>
      <c r="AI3432" s="82"/>
      <c r="AJ3432" s="82"/>
      <c r="AK3432" s="82"/>
      <c r="AL3432" s="82"/>
      <c r="AM3432" s="82"/>
      <c r="AN3432" s="82">
        <f>IFERROR(__xludf.DUMMYFUNCTION("""COMPUTED_VALUE"""),0.0)</f>
        <v>0</v>
      </c>
      <c r="AO3432" s="82">
        <f>IFERROR(__xludf.DUMMYFUNCTION("""COMPUTED_VALUE"""),0.0)</f>
        <v>0</v>
      </c>
      <c r="AP3432" s="82">
        <f>IFERROR(__xludf.DUMMYFUNCTION("""COMPUTED_VALUE"""),0.0)</f>
        <v>0</v>
      </c>
      <c r="AQ3432" s="82">
        <f>IFERROR(__xludf.DUMMYFUNCTION("""COMPUTED_VALUE"""),0.0)</f>
        <v>0</v>
      </c>
      <c r="AR3432" s="82">
        <f>IFERROR(__xludf.DUMMYFUNCTION("""COMPUTED_VALUE"""),0.0)</f>
        <v>0</v>
      </c>
      <c r="AS3432" s="82"/>
      <c r="AT3432" s="82">
        <f>IFERROR(__xludf.DUMMYFUNCTION("""COMPUTED_VALUE"""),0.0)</f>
        <v>0</v>
      </c>
      <c r="AU3432" s="82"/>
      <c r="AV3432" s="82"/>
      <c r="AW3432" s="82" t="str">
        <f t="shared" si="1"/>
        <v/>
      </c>
      <c r="AX3432" s="83" t="str">
        <f t="array" ref="AX3432">IFERROR(DGET('SBV Import'!A:G,"SBV",{"RSC ID","Tier";B3432,A3432}))</f>
        <v/>
      </c>
      <c r="AY3432" s="82" t="str">
        <f t="shared" si="2"/>
        <v/>
      </c>
      <c r="AZ3432" s="82"/>
      <c r="BA3432" s="84" t="s">
        <v>152</v>
      </c>
      <c r="BB3432" s="84" t="str">
        <f>IFERROR(__xludf.DUMMYFUNCTION("iferror(if(A3432="""",,E3432&gt;=FILTER(Constants!$F$2:$F$10,Constants!$A$2:$A$10=A3432)))"),"")</f>
        <v/>
      </c>
    </row>
    <row r="3433">
      <c r="A3433" s="89"/>
      <c r="B3433" s="87"/>
      <c r="C3433" s="73"/>
      <c r="D3433" s="73"/>
      <c r="E3433" s="82"/>
      <c r="F3433" s="82"/>
      <c r="G3433" s="86"/>
      <c r="H3433" s="86"/>
      <c r="I3433" s="86"/>
      <c r="J3433" s="82"/>
      <c r="K3433" s="82"/>
      <c r="L3433" s="82"/>
      <c r="M3433" s="82"/>
      <c r="N3433" s="82"/>
      <c r="O3433" s="82"/>
      <c r="P3433" s="82"/>
      <c r="Q3433" s="82"/>
      <c r="R3433" s="82"/>
      <c r="S3433" s="82"/>
      <c r="T3433" s="82"/>
      <c r="U3433" s="82"/>
      <c r="V3433" s="82"/>
      <c r="W3433" s="82"/>
      <c r="X3433" s="82"/>
      <c r="Y3433" s="82"/>
      <c r="Z3433" s="82"/>
      <c r="AA3433" s="82"/>
      <c r="AB3433" s="82"/>
      <c r="AC3433" s="82"/>
      <c r="AD3433" s="82"/>
      <c r="AE3433" s="82"/>
      <c r="AF3433" s="82"/>
      <c r="AG3433" s="82"/>
      <c r="AH3433" s="82"/>
      <c r="AI3433" s="82"/>
      <c r="AJ3433" s="82"/>
      <c r="AK3433" s="82"/>
      <c r="AL3433" s="82"/>
      <c r="AM3433" s="82"/>
      <c r="AN3433" s="82">
        <f>IFERROR(__xludf.DUMMYFUNCTION("""COMPUTED_VALUE"""),0.0)</f>
        <v>0</v>
      </c>
      <c r="AO3433" s="82">
        <f>IFERROR(__xludf.DUMMYFUNCTION("""COMPUTED_VALUE"""),0.0)</f>
        <v>0</v>
      </c>
      <c r="AP3433" s="82">
        <f>IFERROR(__xludf.DUMMYFUNCTION("""COMPUTED_VALUE"""),0.0)</f>
        <v>0</v>
      </c>
      <c r="AQ3433" s="82">
        <f>IFERROR(__xludf.DUMMYFUNCTION("""COMPUTED_VALUE"""),0.0)</f>
        <v>0</v>
      </c>
      <c r="AR3433" s="82">
        <f>IFERROR(__xludf.DUMMYFUNCTION("""COMPUTED_VALUE"""),0.0)</f>
        <v>0</v>
      </c>
      <c r="AS3433" s="82"/>
      <c r="AT3433" s="82">
        <f>IFERROR(__xludf.DUMMYFUNCTION("""COMPUTED_VALUE"""),0.0)</f>
        <v>0</v>
      </c>
      <c r="AU3433" s="82"/>
      <c r="AV3433" s="82"/>
      <c r="AW3433" s="82" t="str">
        <f t="shared" si="1"/>
        <v/>
      </c>
      <c r="AX3433" s="83" t="str">
        <f t="array" ref="AX3433">IFERROR(DGET('SBV Import'!A:G,"SBV",{"RSC ID","Tier";B3433,A3433}))</f>
        <v/>
      </c>
      <c r="AY3433" s="82" t="str">
        <f t="shared" si="2"/>
        <v/>
      </c>
      <c r="AZ3433" s="82"/>
      <c r="BA3433" s="84" t="s">
        <v>152</v>
      </c>
      <c r="BB3433" s="84" t="str">
        <f>IFERROR(__xludf.DUMMYFUNCTION("iferror(if(A3433="""",,E3433&gt;=FILTER(Constants!$F$2:$F$10,Constants!$A$2:$A$10=A3433)))"),"")</f>
        <v/>
      </c>
    </row>
    <row r="3434">
      <c r="A3434" s="89"/>
      <c r="B3434" s="87"/>
      <c r="C3434" s="73"/>
      <c r="D3434" s="73"/>
      <c r="E3434" s="82"/>
      <c r="F3434" s="82"/>
      <c r="G3434" s="86"/>
      <c r="H3434" s="86"/>
      <c r="I3434" s="86"/>
      <c r="J3434" s="82"/>
      <c r="K3434" s="82"/>
      <c r="L3434" s="82"/>
      <c r="M3434" s="82"/>
      <c r="N3434" s="82"/>
      <c r="O3434" s="82"/>
      <c r="P3434" s="82"/>
      <c r="Q3434" s="82"/>
      <c r="R3434" s="82"/>
      <c r="S3434" s="82"/>
      <c r="T3434" s="82"/>
      <c r="U3434" s="82"/>
      <c r="V3434" s="82"/>
      <c r="W3434" s="82"/>
      <c r="X3434" s="82"/>
      <c r="Y3434" s="82"/>
      <c r="Z3434" s="82"/>
      <c r="AA3434" s="82"/>
      <c r="AB3434" s="82"/>
      <c r="AC3434" s="82"/>
      <c r="AD3434" s="82"/>
      <c r="AE3434" s="82"/>
      <c r="AF3434" s="82"/>
      <c r="AG3434" s="82"/>
      <c r="AH3434" s="82"/>
      <c r="AI3434" s="82"/>
      <c r="AJ3434" s="82"/>
      <c r="AK3434" s="82"/>
      <c r="AL3434" s="82"/>
      <c r="AM3434" s="82"/>
      <c r="AN3434" s="82">
        <f>IFERROR(__xludf.DUMMYFUNCTION("""COMPUTED_VALUE"""),0.0)</f>
        <v>0</v>
      </c>
      <c r="AO3434" s="82">
        <f>IFERROR(__xludf.DUMMYFUNCTION("""COMPUTED_VALUE"""),0.0)</f>
        <v>0</v>
      </c>
      <c r="AP3434" s="82">
        <f>IFERROR(__xludf.DUMMYFUNCTION("""COMPUTED_VALUE"""),0.0)</f>
        <v>0</v>
      </c>
      <c r="AQ3434" s="82">
        <f>IFERROR(__xludf.DUMMYFUNCTION("""COMPUTED_VALUE"""),0.0)</f>
        <v>0</v>
      </c>
      <c r="AR3434" s="82">
        <f>IFERROR(__xludf.DUMMYFUNCTION("""COMPUTED_VALUE"""),0.0)</f>
        <v>0</v>
      </c>
      <c r="AS3434" s="82"/>
      <c r="AT3434" s="82">
        <f>IFERROR(__xludf.DUMMYFUNCTION("""COMPUTED_VALUE"""),0.0)</f>
        <v>0</v>
      </c>
      <c r="AU3434" s="82"/>
      <c r="AV3434" s="82"/>
      <c r="AW3434" s="82" t="str">
        <f t="shared" si="1"/>
        <v/>
      </c>
      <c r="AX3434" s="83" t="str">
        <f t="array" ref="AX3434">IFERROR(DGET('SBV Import'!A:G,"SBV",{"RSC ID","Tier";B3434,A3434}))</f>
        <v/>
      </c>
      <c r="AY3434" s="82" t="str">
        <f t="shared" si="2"/>
        <v/>
      </c>
      <c r="AZ3434" s="82"/>
      <c r="BA3434" s="84" t="s">
        <v>152</v>
      </c>
      <c r="BB3434" s="84" t="str">
        <f>IFERROR(__xludf.DUMMYFUNCTION("iferror(if(A3434="""",,E3434&gt;=FILTER(Constants!$F$2:$F$10,Constants!$A$2:$A$10=A3434)))"),"")</f>
        <v/>
      </c>
    </row>
    <row r="3435">
      <c r="A3435" s="89"/>
      <c r="B3435" s="87"/>
      <c r="C3435" s="73"/>
      <c r="D3435" s="73"/>
      <c r="E3435" s="82"/>
      <c r="F3435" s="82"/>
      <c r="G3435" s="86"/>
      <c r="H3435" s="86"/>
      <c r="I3435" s="86"/>
      <c r="J3435" s="82"/>
      <c r="K3435" s="82"/>
      <c r="L3435" s="82"/>
      <c r="M3435" s="82"/>
      <c r="N3435" s="82"/>
      <c r="O3435" s="82"/>
      <c r="P3435" s="82"/>
      <c r="Q3435" s="82"/>
      <c r="R3435" s="82"/>
      <c r="S3435" s="82"/>
      <c r="T3435" s="82"/>
      <c r="U3435" s="82"/>
      <c r="V3435" s="82"/>
      <c r="W3435" s="82"/>
      <c r="X3435" s="82"/>
      <c r="Y3435" s="82"/>
      <c r="Z3435" s="82"/>
      <c r="AA3435" s="82"/>
      <c r="AB3435" s="82"/>
      <c r="AC3435" s="82"/>
      <c r="AD3435" s="82"/>
      <c r="AE3435" s="82"/>
      <c r="AF3435" s="82"/>
      <c r="AG3435" s="82"/>
      <c r="AH3435" s="82"/>
      <c r="AI3435" s="82"/>
      <c r="AJ3435" s="82"/>
      <c r="AK3435" s="82"/>
      <c r="AL3435" s="82"/>
      <c r="AM3435" s="82"/>
      <c r="AN3435" s="82">
        <f>IFERROR(__xludf.DUMMYFUNCTION("""COMPUTED_VALUE"""),0.0)</f>
        <v>0</v>
      </c>
      <c r="AO3435" s="82">
        <f>IFERROR(__xludf.DUMMYFUNCTION("""COMPUTED_VALUE"""),0.0)</f>
        <v>0</v>
      </c>
      <c r="AP3435" s="82">
        <f>IFERROR(__xludf.DUMMYFUNCTION("""COMPUTED_VALUE"""),0.0)</f>
        <v>0</v>
      </c>
      <c r="AQ3435" s="82">
        <f>IFERROR(__xludf.DUMMYFUNCTION("""COMPUTED_VALUE"""),0.0)</f>
        <v>0</v>
      </c>
      <c r="AR3435" s="82">
        <f>IFERROR(__xludf.DUMMYFUNCTION("""COMPUTED_VALUE"""),0.0)</f>
        <v>0</v>
      </c>
      <c r="AS3435" s="82"/>
      <c r="AT3435" s="82">
        <f>IFERROR(__xludf.DUMMYFUNCTION("""COMPUTED_VALUE"""),0.0)</f>
        <v>0</v>
      </c>
      <c r="AU3435" s="82"/>
      <c r="AV3435" s="82"/>
      <c r="AW3435" s="82" t="str">
        <f t="shared" si="1"/>
        <v/>
      </c>
      <c r="AX3435" s="83" t="str">
        <f t="array" ref="AX3435">IFERROR(DGET('SBV Import'!A:G,"SBV",{"RSC ID","Tier";B3435,A3435}))</f>
        <v/>
      </c>
      <c r="AY3435" s="82" t="str">
        <f t="shared" si="2"/>
        <v/>
      </c>
      <c r="AZ3435" s="82"/>
      <c r="BA3435" s="84" t="s">
        <v>152</v>
      </c>
      <c r="BB3435" s="84" t="str">
        <f>IFERROR(__xludf.DUMMYFUNCTION("iferror(if(A3435="""",,E3435&gt;=FILTER(Constants!$F$2:$F$10,Constants!$A$2:$A$10=A3435)))"),"")</f>
        <v/>
      </c>
    </row>
    <row r="3436">
      <c r="A3436" s="89"/>
      <c r="B3436" s="87"/>
      <c r="C3436" s="73"/>
      <c r="D3436" s="73"/>
      <c r="E3436" s="82"/>
      <c r="F3436" s="82"/>
      <c r="G3436" s="86"/>
      <c r="H3436" s="86"/>
      <c r="I3436" s="86"/>
      <c r="J3436" s="82"/>
      <c r="K3436" s="82"/>
      <c r="L3436" s="82"/>
      <c r="M3436" s="82"/>
      <c r="N3436" s="82"/>
      <c r="O3436" s="82"/>
      <c r="P3436" s="82"/>
      <c r="Q3436" s="82"/>
      <c r="R3436" s="82"/>
      <c r="S3436" s="82"/>
      <c r="T3436" s="82"/>
      <c r="U3436" s="82"/>
      <c r="V3436" s="82"/>
      <c r="W3436" s="82"/>
      <c r="X3436" s="82"/>
      <c r="Y3436" s="82"/>
      <c r="Z3436" s="82"/>
      <c r="AA3436" s="82"/>
      <c r="AB3436" s="82"/>
      <c r="AC3436" s="82"/>
      <c r="AD3436" s="82"/>
      <c r="AE3436" s="82"/>
      <c r="AF3436" s="82"/>
      <c r="AG3436" s="82"/>
      <c r="AH3436" s="82"/>
      <c r="AI3436" s="82"/>
      <c r="AJ3436" s="82"/>
      <c r="AK3436" s="82"/>
      <c r="AL3436" s="82"/>
      <c r="AM3436" s="82"/>
      <c r="AN3436" s="82">
        <f>IFERROR(__xludf.DUMMYFUNCTION("""COMPUTED_VALUE"""),0.0)</f>
        <v>0</v>
      </c>
      <c r="AO3436" s="82">
        <f>IFERROR(__xludf.DUMMYFUNCTION("""COMPUTED_VALUE"""),0.0)</f>
        <v>0</v>
      </c>
      <c r="AP3436" s="82">
        <f>IFERROR(__xludf.DUMMYFUNCTION("""COMPUTED_VALUE"""),0.0)</f>
        <v>0</v>
      </c>
      <c r="AQ3436" s="82">
        <f>IFERROR(__xludf.DUMMYFUNCTION("""COMPUTED_VALUE"""),0.0)</f>
        <v>0</v>
      </c>
      <c r="AR3436" s="82">
        <f>IFERROR(__xludf.DUMMYFUNCTION("""COMPUTED_VALUE"""),0.0)</f>
        <v>0</v>
      </c>
      <c r="AS3436" s="82"/>
      <c r="AT3436" s="82">
        <f>IFERROR(__xludf.DUMMYFUNCTION("""COMPUTED_VALUE"""),0.0)</f>
        <v>0</v>
      </c>
      <c r="AU3436" s="82"/>
      <c r="AV3436" s="82"/>
      <c r="AW3436" s="82" t="str">
        <f t="shared" si="1"/>
        <v/>
      </c>
      <c r="AX3436" s="83" t="str">
        <f t="array" ref="AX3436">IFERROR(DGET('SBV Import'!A:G,"SBV",{"RSC ID","Tier";B3436,A3436}))</f>
        <v/>
      </c>
      <c r="AY3436" s="82" t="str">
        <f t="shared" si="2"/>
        <v/>
      </c>
      <c r="AZ3436" s="82"/>
      <c r="BA3436" s="84" t="s">
        <v>152</v>
      </c>
      <c r="BB3436" s="84" t="str">
        <f>IFERROR(__xludf.DUMMYFUNCTION("iferror(if(A3436="""",,E3436&gt;=FILTER(Constants!$F$2:$F$10,Constants!$A$2:$A$10=A3436)))"),"")</f>
        <v/>
      </c>
    </row>
    <row r="3437">
      <c r="A3437" s="89"/>
      <c r="B3437" s="87"/>
      <c r="C3437" s="73"/>
      <c r="D3437" s="73"/>
      <c r="E3437" s="82"/>
      <c r="F3437" s="82"/>
      <c r="G3437" s="86"/>
      <c r="H3437" s="86"/>
      <c r="I3437" s="86"/>
      <c r="J3437" s="82"/>
      <c r="K3437" s="82"/>
      <c r="L3437" s="82"/>
      <c r="M3437" s="82"/>
      <c r="N3437" s="82"/>
      <c r="O3437" s="82"/>
      <c r="P3437" s="82"/>
      <c r="Q3437" s="82"/>
      <c r="R3437" s="82"/>
      <c r="S3437" s="82"/>
      <c r="T3437" s="82"/>
      <c r="U3437" s="82"/>
      <c r="V3437" s="82"/>
      <c r="W3437" s="82"/>
      <c r="X3437" s="82"/>
      <c r="Y3437" s="82"/>
      <c r="Z3437" s="82"/>
      <c r="AA3437" s="82"/>
      <c r="AB3437" s="82"/>
      <c r="AC3437" s="82"/>
      <c r="AD3437" s="82"/>
      <c r="AE3437" s="82"/>
      <c r="AF3437" s="82"/>
      <c r="AG3437" s="82"/>
      <c r="AH3437" s="82"/>
      <c r="AI3437" s="82"/>
      <c r="AJ3437" s="82"/>
      <c r="AK3437" s="82"/>
      <c r="AL3437" s="82"/>
      <c r="AM3437" s="82"/>
      <c r="AN3437" s="82">
        <f>IFERROR(__xludf.DUMMYFUNCTION("""COMPUTED_VALUE"""),0.0)</f>
        <v>0</v>
      </c>
      <c r="AO3437" s="82">
        <f>IFERROR(__xludf.DUMMYFUNCTION("""COMPUTED_VALUE"""),0.0)</f>
        <v>0</v>
      </c>
      <c r="AP3437" s="82">
        <f>IFERROR(__xludf.DUMMYFUNCTION("""COMPUTED_VALUE"""),0.0)</f>
        <v>0</v>
      </c>
      <c r="AQ3437" s="82">
        <f>IFERROR(__xludf.DUMMYFUNCTION("""COMPUTED_VALUE"""),0.0)</f>
        <v>0</v>
      </c>
      <c r="AR3437" s="82">
        <f>IFERROR(__xludf.DUMMYFUNCTION("""COMPUTED_VALUE"""),0.0)</f>
        <v>0</v>
      </c>
      <c r="AS3437" s="82"/>
      <c r="AT3437" s="82">
        <f>IFERROR(__xludf.DUMMYFUNCTION("""COMPUTED_VALUE"""),0.0)</f>
        <v>0</v>
      </c>
      <c r="AU3437" s="82"/>
      <c r="AV3437" s="82"/>
      <c r="AW3437" s="82" t="str">
        <f t="shared" si="1"/>
        <v/>
      </c>
      <c r="AX3437" s="83" t="str">
        <f t="array" ref="AX3437">IFERROR(DGET('SBV Import'!A:G,"SBV",{"RSC ID","Tier";B3437,A3437}))</f>
        <v/>
      </c>
      <c r="AY3437" s="82" t="str">
        <f t="shared" si="2"/>
        <v/>
      </c>
      <c r="AZ3437" s="82"/>
      <c r="BA3437" s="84" t="s">
        <v>152</v>
      </c>
      <c r="BB3437" s="84" t="str">
        <f>IFERROR(__xludf.DUMMYFUNCTION("iferror(if(A3437="""",,E3437&gt;=FILTER(Constants!$F$2:$F$10,Constants!$A$2:$A$10=A3437)))"),"")</f>
        <v/>
      </c>
    </row>
    <row r="3438">
      <c r="A3438" s="89"/>
      <c r="B3438" s="87"/>
      <c r="C3438" s="73"/>
      <c r="D3438" s="73"/>
      <c r="E3438" s="82"/>
      <c r="F3438" s="82"/>
      <c r="G3438" s="86"/>
      <c r="H3438" s="86"/>
      <c r="I3438" s="86"/>
      <c r="J3438" s="82"/>
      <c r="K3438" s="82"/>
      <c r="L3438" s="82"/>
      <c r="M3438" s="82"/>
      <c r="N3438" s="82"/>
      <c r="O3438" s="82"/>
      <c r="P3438" s="82"/>
      <c r="Q3438" s="82"/>
      <c r="R3438" s="82"/>
      <c r="S3438" s="82"/>
      <c r="T3438" s="82"/>
      <c r="U3438" s="82"/>
      <c r="V3438" s="82"/>
      <c r="W3438" s="82"/>
      <c r="X3438" s="82"/>
      <c r="Y3438" s="82"/>
      <c r="Z3438" s="82"/>
      <c r="AA3438" s="82"/>
      <c r="AB3438" s="82"/>
      <c r="AC3438" s="82"/>
      <c r="AD3438" s="82"/>
      <c r="AE3438" s="82"/>
      <c r="AF3438" s="82"/>
      <c r="AG3438" s="82"/>
      <c r="AH3438" s="82"/>
      <c r="AI3438" s="82"/>
      <c r="AJ3438" s="82"/>
      <c r="AK3438" s="82"/>
      <c r="AL3438" s="82"/>
      <c r="AM3438" s="82"/>
      <c r="AN3438" s="82">
        <f>IFERROR(__xludf.DUMMYFUNCTION("""COMPUTED_VALUE"""),0.0)</f>
        <v>0</v>
      </c>
      <c r="AO3438" s="82">
        <f>IFERROR(__xludf.DUMMYFUNCTION("""COMPUTED_VALUE"""),0.0)</f>
        <v>0</v>
      </c>
      <c r="AP3438" s="82">
        <f>IFERROR(__xludf.DUMMYFUNCTION("""COMPUTED_VALUE"""),0.0)</f>
        <v>0</v>
      </c>
      <c r="AQ3438" s="82">
        <f>IFERROR(__xludf.DUMMYFUNCTION("""COMPUTED_VALUE"""),0.0)</f>
        <v>0</v>
      </c>
      <c r="AR3438" s="82">
        <f>IFERROR(__xludf.DUMMYFUNCTION("""COMPUTED_VALUE"""),0.0)</f>
        <v>0</v>
      </c>
      <c r="AS3438" s="82"/>
      <c r="AT3438" s="82">
        <f>IFERROR(__xludf.DUMMYFUNCTION("""COMPUTED_VALUE"""),0.0)</f>
        <v>0</v>
      </c>
      <c r="AU3438" s="82"/>
      <c r="AV3438" s="82"/>
      <c r="AW3438" s="82" t="str">
        <f t="shared" si="1"/>
        <v/>
      </c>
      <c r="AX3438" s="83" t="str">
        <f t="array" ref="AX3438">IFERROR(DGET('SBV Import'!A:G,"SBV",{"RSC ID","Tier";B3438,A3438}))</f>
        <v/>
      </c>
      <c r="AY3438" s="82" t="str">
        <f t="shared" si="2"/>
        <v/>
      </c>
      <c r="AZ3438" s="82"/>
      <c r="BA3438" s="84" t="s">
        <v>152</v>
      </c>
      <c r="BB3438" s="84" t="str">
        <f>IFERROR(__xludf.DUMMYFUNCTION("iferror(if(A3438="""",,E3438&gt;=FILTER(Constants!$F$2:$F$10,Constants!$A$2:$A$10=A3438)))"),"")</f>
        <v/>
      </c>
    </row>
    <row r="3439">
      <c r="A3439" s="89"/>
      <c r="B3439" s="87"/>
      <c r="C3439" s="73"/>
      <c r="D3439" s="73"/>
      <c r="E3439" s="82"/>
      <c r="F3439" s="82"/>
      <c r="G3439" s="86"/>
      <c r="H3439" s="86"/>
      <c r="I3439" s="86"/>
      <c r="J3439" s="82"/>
      <c r="K3439" s="82"/>
      <c r="L3439" s="82"/>
      <c r="M3439" s="82"/>
      <c r="N3439" s="82"/>
      <c r="O3439" s="82"/>
      <c r="P3439" s="82"/>
      <c r="Q3439" s="82"/>
      <c r="R3439" s="82"/>
      <c r="S3439" s="82"/>
      <c r="T3439" s="82"/>
      <c r="U3439" s="82"/>
      <c r="V3439" s="82"/>
      <c r="W3439" s="82"/>
      <c r="X3439" s="82"/>
      <c r="Y3439" s="82"/>
      <c r="Z3439" s="82"/>
      <c r="AA3439" s="82"/>
      <c r="AB3439" s="82"/>
      <c r="AC3439" s="82"/>
      <c r="AD3439" s="82"/>
      <c r="AE3439" s="82"/>
      <c r="AF3439" s="82"/>
      <c r="AG3439" s="82"/>
      <c r="AH3439" s="82"/>
      <c r="AI3439" s="82"/>
      <c r="AJ3439" s="82"/>
      <c r="AK3439" s="82"/>
      <c r="AL3439" s="82"/>
      <c r="AM3439" s="82"/>
      <c r="AN3439" s="82">
        <f>IFERROR(__xludf.DUMMYFUNCTION("""COMPUTED_VALUE"""),0.0)</f>
        <v>0</v>
      </c>
      <c r="AO3439" s="82">
        <f>IFERROR(__xludf.DUMMYFUNCTION("""COMPUTED_VALUE"""),0.0)</f>
        <v>0</v>
      </c>
      <c r="AP3439" s="82">
        <f>IFERROR(__xludf.DUMMYFUNCTION("""COMPUTED_VALUE"""),0.0)</f>
        <v>0</v>
      </c>
      <c r="AQ3439" s="82">
        <f>IFERROR(__xludf.DUMMYFUNCTION("""COMPUTED_VALUE"""),0.0)</f>
        <v>0</v>
      </c>
      <c r="AR3439" s="82">
        <f>IFERROR(__xludf.DUMMYFUNCTION("""COMPUTED_VALUE"""),0.0)</f>
        <v>0</v>
      </c>
      <c r="AS3439" s="82"/>
      <c r="AT3439" s="82">
        <f>IFERROR(__xludf.DUMMYFUNCTION("""COMPUTED_VALUE"""),0.0)</f>
        <v>0</v>
      </c>
      <c r="AU3439" s="82"/>
      <c r="AV3439" s="82"/>
      <c r="AW3439" s="82" t="str">
        <f t="shared" si="1"/>
        <v/>
      </c>
      <c r="AX3439" s="83" t="str">
        <f t="array" ref="AX3439">IFERROR(DGET('SBV Import'!A:G,"SBV",{"RSC ID","Tier";B3439,A3439}))</f>
        <v/>
      </c>
      <c r="AY3439" s="82" t="str">
        <f t="shared" si="2"/>
        <v/>
      </c>
      <c r="AZ3439" s="82"/>
      <c r="BA3439" s="84" t="s">
        <v>152</v>
      </c>
      <c r="BB3439" s="84" t="str">
        <f>IFERROR(__xludf.DUMMYFUNCTION("iferror(if(A3439="""",,E3439&gt;=FILTER(Constants!$F$2:$F$10,Constants!$A$2:$A$10=A3439)))"),"")</f>
        <v/>
      </c>
    </row>
    <row r="3440">
      <c r="A3440" s="89"/>
      <c r="B3440" s="87"/>
      <c r="C3440" s="73"/>
      <c r="D3440" s="73"/>
      <c r="E3440" s="82"/>
      <c r="F3440" s="82"/>
      <c r="G3440" s="86"/>
      <c r="H3440" s="86"/>
      <c r="I3440" s="86"/>
      <c r="J3440" s="82"/>
      <c r="K3440" s="82"/>
      <c r="L3440" s="82"/>
      <c r="M3440" s="82"/>
      <c r="N3440" s="82"/>
      <c r="O3440" s="82"/>
      <c r="P3440" s="82"/>
      <c r="Q3440" s="82"/>
      <c r="R3440" s="82"/>
      <c r="S3440" s="82"/>
      <c r="T3440" s="82"/>
      <c r="U3440" s="82"/>
      <c r="V3440" s="82"/>
      <c r="W3440" s="82"/>
      <c r="X3440" s="82"/>
      <c r="Y3440" s="82"/>
      <c r="Z3440" s="82"/>
      <c r="AA3440" s="82"/>
      <c r="AB3440" s="82"/>
      <c r="AC3440" s="82"/>
      <c r="AD3440" s="82"/>
      <c r="AE3440" s="82"/>
      <c r="AF3440" s="82"/>
      <c r="AG3440" s="82"/>
      <c r="AH3440" s="82"/>
      <c r="AI3440" s="82"/>
      <c r="AJ3440" s="82"/>
      <c r="AK3440" s="82"/>
      <c r="AL3440" s="82"/>
      <c r="AM3440" s="82"/>
      <c r="AN3440" s="82">
        <f>IFERROR(__xludf.DUMMYFUNCTION("""COMPUTED_VALUE"""),0.0)</f>
        <v>0</v>
      </c>
      <c r="AO3440" s="82">
        <f>IFERROR(__xludf.DUMMYFUNCTION("""COMPUTED_VALUE"""),0.0)</f>
        <v>0</v>
      </c>
      <c r="AP3440" s="82">
        <f>IFERROR(__xludf.DUMMYFUNCTION("""COMPUTED_VALUE"""),0.0)</f>
        <v>0</v>
      </c>
      <c r="AQ3440" s="82">
        <f>IFERROR(__xludf.DUMMYFUNCTION("""COMPUTED_VALUE"""),0.0)</f>
        <v>0</v>
      </c>
      <c r="AR3440" s="82">
        <f>IFERROR(__xludf.DUMMYFUNCTION("""COMPUTED_VALUE"""),0.0)</f>
        <v>0</v>
      </c>
      <c r="AS3440" s="82"/>
      <c r="AT3440" s="82">
        <f>IFERROR(__xludf.DUMMYFUNCTION("""COMPUTED_VALUE"""),0.0)</f>
        <v>0</v>
      </c>
      <c r="AU3440" s="82"/>
      <c r="AV3440" s="82"/>
      <c r="AW3440" s="82" t="str">
        <f t="shared" si="1"/>
        <v/>
      </c>
      <c r="AX3440" s="83" t="str">
        <f t="array" ref="AX3440">IFERROR(DGET('SBV Import'!A:G,"SBV",{"RSC ID","Tier";B3440,A3440}))</f>
        <v/>
      </c>
      <c r="AY3440" s="82" t="str">
        <f t="shared" si="2"/>
        <v/>
      </c>
      <c r="AZ3440" s="82"/>
      <c r="BA3440" s="84" t="s">
        <v>152</v>
      </c>
      <c r="BB3440" s="84" t="str">
        <f>IFERROR(__xludf.DUMMYFUNCTION("iferror(if(A3440="""",,E3440&gt;=FILTER(Constants!$F$2:$F$10,Constants!$A$2:$A$10=A3440)))"),"")</f>
        <v/>
      </c>
    </row>
    <row r="3441">
      <c r="A3441" s="89"/>
      <c r="B3441" s="87"/>
      <c r="C3441" s="73"/>
      <c r="D3441" s="73"/>
      <c r="E3441" s="82"/>
      <c r="F3441" s="82"/>
      <c r="G3441" s="86"/>
      <c r="H3441" s="86"/>
      <c r="I3441" s="86"/>
      <c r="J3441" s="82"/>
      <c r="K3441" s="82"/>
      <c r="L3441" s="82"/>
      <c r="M3441" s="82"/>
      <c r="N3441" s="82"/>
      <c r="O3441" s="82"/>
      <c r="P3441" s="82"/>
      <c r="Q3441" s="82"/>
      <c r="R3441" s="82"/>
      <c r="S3441" s="82"/>
      <c r="T3441" s="82"/>
      <c r="U3441" s="82"/>
      <c r="V3441" s="82"/>
      <c r="W3441" s="82"/>
      <c r="X3441" s="82"/>
      <c r="Y3441" s="82"/>
      <c r="Z3441" s="82"/>
      <c r="AA3441" s="82"/>
      <c r="AB3441" s="82"/>
      <c r="AC3441" s="82"/>
      <c r="AD3441" s="82"/>
      <c r="AE3441" s="82"/>
      <c r="AF3441" s="82"/>
      <c r="AG3441" s="82"/>
      <c r="AH3441" s="82"/>
      <c r="AI3441" s="82"/>
      <c r="AJ3441" s="82"/>
      <c r="AK3441" s="82"/>
      <c r="AL3441" s="82"/>
      <c r="AM3441" s="82"/>
      <c r="AN3441" s="82">
        <f>IFERROR(__xludf.DUMMYFUNCTION("""COMPUTED_VALUE"""),0.0)</f>
        <v>0</v>
      </c>
      <c r="AO3441" s="82">
        <f>IFERROR(__xludf.DUMMYFUNCTION("""COMPUTED_VALUE"""),0.0)</f>
        <v>0</v>
      </c>
      <c r="AP3441" s="82">
        <f>IFERROR(__xludf.DUMMYFUNCTION("""COMPUTED_VALUE"""),0.0)</f>
        <v>0</v>
      </c>
      <c r="AQ3441" s="82">
        <f>IFERROR(__xludf.DUMMYFUNCTION("""COMPUTED_VALUE"""),0.0)</f>
        <v>0</v>
      </c>
      <c r="AR3441" s="82">
        <f>IFERROR(__xludf.DUMMYFUNCTION("""COMPUTED_VALUE"""),0.0)</f>
        <v>0</v>
      </c>
      <c r="AS3441" s="82"/>
      <c r="AT3441" s="82">
        <f>IFERROR(__xludf.DUMMYFUNCTION("""COMPUTED_VALUE"""),0.0)</f>
        <v>0</v>
      </c>
      <c r="AU3441" s="82"/>
      <c r="AV3441" s="82"/>
      <c r="AW3441" s="82" t="str">
        <f t="shared" si="1"/>
        <v/>
      </c>
      <c r="AX3441" s="83" t="str">
        <f t="array" ref="AX3441">IFERROR(DGET('SBV Import'!A:G,"SBV",{"RSC ID","Tier";B3441,A3441}))</f>
        <v/>
      </c>
      <c r="AY3441" s="82" t="str">
        <f t="shared" si="2"/>
        <v/>
      </c>
      <c r="AZ3441" s="82"/>
      <c r="BA3441" s="84" t="s">
        <v>152</v>
      </c>
      <c r="BB3441" s="84" t="str">
        <f>IFERROR(__xludf.DUMMYFUNCTION("iferror(if(A3441="""",,E3441&gt;=FILTER(Constants!$F$2:$F$10,Constants!$A$2:$A$10=A3441)))"),"")</f>
        <v/>
      </c>
    </row>
    <row r="3442">
      <c r="A3442" s="89"/>
      <c r="B3442" s="87"/>
      <c r="C3442" s="73"/>
      <c r="D3442" s="73"/>
      <c r="E3442" s="82"/>
      <c r="F3442" s="82"/>
      <c r="G3442" s="86"/>
      <c r="H3442" s="86"/>
      <c r="I3442" s="86"/>
      <c r="J3442" s="82"/>
      <c r="K3442" s="82"/>
      <c r="L3442" s="82"/>
      <c r="M3442" s="82"/>
      <c r="N3442" s="82"/>
      <c r="O3442" s="82"/>
      <c r="P3442" s="82"/>
      <c r="Q3442" s="82"/>
      <c r="R3442" s="82"/>
      <c r="S3442" s="82"/>
      <c r="T3442" s="82"/>
      <c r="U3442" s="82"/>
      <c r="V3442" s="82"/>
      <c r="W3442" s="82"/>
      <c r="X3442" s="82"/>
      <c r="Y3442" s="82"/>
      <c r="Z3442" s="82"/>
      <c r="AA3442" s="82"/>
      <c r="AB3442" s="82"/>
      <c r="AC3442" s="82"/>
      <c r="AD3442" s="82"/>
      <c r="AE3442" s="82"/>
      <c r="AF3442" s="82"/>
      <c r="AG3442" s="82"/>
      <c r="AH3442" s="82"/>
      <c r="AI3442" s="82"/>
      <c r="AJ3442" s="82"/>
      <c r="AK3442" s="82"/>
      <c r="AL3442" s="82"/>
      <c r="AM3442" s="82"/>
      <c r="AN3442" s="82">
        <f>IFERROR(__xludf.DUMMYFUNCTION("""COMPUTED_VALUE"""),0.0)</f>
        <v>0</v>
      </c>
      <c r="AO3442" s="82">
        <f>IFERROR(__xludf.DUMMYFUNCTION("""COMPUTED_VALUE"""),0.0)</f>
        <v>0</v>
      </c>
      <c r="AP3442" s="82">
        <f>IFERROR(__xludf.DUMMYFUNCTION("""COMPUTED_VALUE"""),0.0)</f>
        <v>0</v>
      </c>
      <c r="AQ3442" s="82">
        <f>IFERROR(__xludf.DUMMYFUNCTION("""COMPUTED_VALUE"""),0.0)</f>
        <v>0</v>
      </c>
      <c r="AR3442" s="82">
        <f>IFERROR(__xludf.DUMMYFUNCTION("""COMPUTED_VALUE"""),0.0)</f>
        <v>0</v>
      </c>
      <c r="AS3442" s="82"/>
      <c r="AT3442" s="82">
        <f>IFERROR(__xludf.DUMMYFUNCTION("""COMPUTED_VALUE"""),0.0)</f>
        <v>0</v>
      </c>
      <c r="AU3442" s="82"/>
      <c r="AV3442" s="82"/>
      <c r="AW3442" s="82" t="str">
        <f t="shared" si="1"/>
        <v/>
      </c>
      <c r="AX3442" s="83" t="str">
        <f t="array" ref="AX3442">IFERROR(DGET('SBV Import'!A:G,"SBV",{"RSC ID","Tier";B3442,A3442}))</f>
        <v/>
      </c>
      <c r="AY3442" s="82" t="str">
        <f t="shared" si="2"/>
        <v/>
      </c>
      <c r="AZ3442" s="82"/>
      <c r="BA3442" s="84" t="s">
        <v>152</v>
      </c>
      <c r="BB3442" s="84" t="str">
        <f>IFERROR(__xludf.DUMMYFUNCTION("iferror(if(A3442="""",,E3442&gt;=FILTER(Constants!$F$2:$F$10,Constants!$A$2:$A$10=A3442)))"),"")</f>
        <v/>
      </c>
    </row>
    <row r="3443">
      <c r="A3443" s="89"/>
      <c r="B3443" s="87"/>
      <c r="C3443" s="73"/>
      <c r="D3443" s="73"/>
      <c r="E3443" s="82"/>
      <c r="F3443" s="82"/>
      <c r="G3443" s="86"/>
      <c r="H3443" s="86"/>
      <c r="I3443" s="86"/>
      <c r="J3443" s="82"/>
      <c r="K3443" s="82"/>
      <c r="L3443" s="82"/>
      <c r="M3443" s="82"/>
      <c r="N3443" s="82"/>
      <c r="O3443" s="82"/>
      <c r="P3443" s="82"/>
      <c r="Q3443" s="82"/>
      <c r="R3443" s="82"/>
      <c r="S3443" s="82"/>
      <c r="T3443" s="82"/>
      <c r="U3443" s="82"/>
      <c r="V3443" s="82"/>
      <c r="W3443" s="82"/>
      <c r="X3443" s="82"/>
      <c r="Y3443" s="82"/>
      <c r="Z3443" s="82"/>
      <c r="AA3443" s="82"/>
      <c r="AB3443" s="82"/>
      <c r="AC3443" s="82"/>
      <c r="AD3443" s="82"/>
      <c r="AE3443" s="82"/>
      <c r="AF3443" s="82"/>
      <c r="AG3443" s="82"/>
      <c r="AH3443" s="82"/>
      <c r="AI3443" s="82"/>
      <c r="AJ3443" s="82"/>
      <c r="AK3443" s="82"/>
      <c r="AL3443" s="82"/>
      <c r="AM3443" s="82"/>
      <c r="AN3443" s="82">
        <f>IFERROR(__xludf.DUMMYFUNCTION("""COMPUTED_VALUE"""),0.0)</f>
        <v>0</v>
      </c>
      <c r="AO3443" s="82">
        <f>IFERROR(__xludf.DUMMYFUNCTION("""COMPUTED_VALUE"""),0.0)</f>
        <v>0</v>
      </c>
      <c r="AP3443" s="82">
        <f>IFERROR(__xludf.DUMMYFUNCTION("""COMPUTED_VALUE"""),0.0)</f>
        <v>0</v>
      </c>
      <c r="AQ3443" s="82">
        <f>IFERROR(__xludf.DUMMYFUNCTION("""COMPUTED_VALUE"""),0.0)</f>
        <v>0</v>
      </c>
      <c r="AR3443" s="82">
        <f>IFERROR(__xludf.DUMMYFUNCTION("""COMPUTED_VALUE"""),0.0)</f>
        <v>0</v>
      </c>
      <c r="AS3443" s="82"/>
      <c r="AT3443" s="82">
        <f>IFERROR(__xludf.DUMMYFUNCTION("""COMPUTED_VALUE"""),0.0)</f>
        <v>0</v>
      </c>
      <c r="AU3443" s="82"/>
      <c r="AV3443" s="82"/>
      <c r="AW3443" s="82" t="str">
        <f t="shared" si="1"/>
        <v/>
      </c>
      <c r="AX3443" s="83" t="str">
        <f t="array" ref="AX3443">IFERROR(DGET('SBV Import'!A:G,"SBV",{"RSC ID","Tier";B3443,A3443}))</f>
        <v/>
      </c>
      <c r="AY3443" s="82" t="str">
        <f t="shared" si="2"/>
        <v/>
      </c>
      <c r="AZ3443" s="82"/>
      <c r="BA3443" s="84" t="s">
        <v>152</v>
      </c>
      <c r="BB3443" s="84" t="str">
        <f>IFERROR(__xludf.DUMMYFUNCTION("iferror(if(A3443="""",,E3443&gt;=FILTER(Constants!$F$2:$F$10,Constants!$A$2:$A$10=A3443)))"),"")</f>
        <v/>
      </c>
    </row>
    <row r="3444">
      <c r="A3444" s="89"/>
      <c r="B3444" s="87"/>
      <c r="C3444" s="73"/>
      <c r="D3444" s="73"/>
      <c r="E3444" s="82"/>
      <c r="F3444" s="82"/>
      <c r="G3444" s="86"/>
      <c r="H3444" s="86"/>
      <c r="I3444" s="86"/>
      <c r="J3444" s="82"/>
      <c r="K3444" s="82"/>
      <c r="L3444" s="82"/>
      <c r="M3444" s="82"/>
      <c r="N3444" s="82"/>
      <c r="O3444" s="82"/>
      <c r="P3444" s="82"/>
      <c r="Q3444" s="82"/>
      <c r="R3444" s="82"/>
      <c r="S3444" s="82"/>
      <c r="T3444" s="82"/>
      <c r="U3444" s="82"/>
      <c r="V3444" s="82"/>
      <c r="W3444" s="82"/>
      <c r="X3444" s="82"/>
      <c r="Y3444" s="82"/>
      <c r="Z3444" s="82"/>
      <c r="AA3444" s="82"/>
      <c r="AB3444" s="82"/>
      <c r="AC3444" s="82"/>
      <c r="AD3444" s="82"/>
      <c r="AE3444" s="82"/>
      <c r="AF3444" s="82"/>
      <c r="AG3444" s="82"/>
      <c r="AH3444" s="82"/>
      <c r="AI3444" s="82"/>
      <c r="AJ3444" s="82"/>
      <c r="AK3444" s="82"/>
      <c r="AL3444" s="82"/>
      <c r="AM3444" s="82"/>
      <c r="AN3444" s="82">
        <f>IFERROR(__xludf.DUMMYFUNCTION("""COMPUTED_VALUE"""),0.0)</f>
        <v>0</v>
      </c>
      <c r="AO3444" s="82">
        <f>IFERROR(__xludf.DUMMYFUNCTION("""COMPUTED_VALUE"""),0.0)</f>
        <v>0</v>
      </c>
      <c r="AP3444" s="82">
        <f>IFERROR(__xludf.DUMMYFUNCTION("""COMPUTED_VALUE"""),0.0)</f>
        <v>0</v>
      </c>
      <c r="AQ3444" s="82">
        <f>IFERROR(__xludf.DUMMYFUNCTION("""COMPUTED_VALUE"""),0.0)</f>
        <v>0</v>
      </c>
      <c r="AR3444" s="82">
        <f>IFERROR(__xludf.DUMMYFUNCTION("""COMPUTED_VALUE"""),0.0)</f>
        <v>0</v>
      </c>
      <c r="AS3444" s="82"/>
      <c r="AT3444" s="82">
        <f>IFERROR(__xludf.DUMMYFUNCTION("""COMPUTED_VALUE"""),0.0)</f>
        <v>0</v>
      </c>
      <c r="AU3444" s="82"/>
      <c r="AV3444" s="82"/>
      <c r="AW3444" s="82" t="str">
        <f t="shared" si="1"/>
        <v/>
      </c>
      <c r="AX3444" s="83" t="str">
        <f t="array" ref="AX3444">IFERROR(DGET('SBV Import'!A:G,"SBV",{"RSC ID","Tier";B3444,A3444}))</f>
        <v/>
      </c>
      <c r="AY3444" s="82" t="str">
        <f t="shared" si="2"/>
        <v/>
      </c>
      <c r="AZ3444" s="82"/>
      <c r="BA3444" s="84" t="s">
        <v>152</v>
      </c>
      <c r="BB3444" s="84" t="str">
        <f>IFERROR(__xludf.DUMMYFUNCTION("iferror(if(A3444="""",,E3444&gt;=FILTER(Constants!$F$2:$F$10,Constants!$A$2:$A$10=A3444)))"),"")</f>
        <v/>
      </c>
    </row>
    <row r="3445">
      <c r="A3445" s="89"/>
      <c r="B3445" s="87"/>
      <c r="C3445" s="73"/>
      <c r="D3445" s="73"/>
      <c r="E3445" s="82"/>
      <c r="F3445" s="82"/>
      <c r="G3445" s="86"/>
      <c r="H3445" s="86"/>
      <c r="I3445" s="86"/>
      <c r="J3445" s="82"/>
      <c r="K3445" s="82"/>
      <c r="L3445" s="82"/>
      <c r="M3445" s="82"/>
      <c r="N3445" s="82"/>
      <c r="O3445" s="82"/>
      <c r="P3445" s="82"/>
      <c r="Q3445" s="82"/>
      <c r="R3445" s="82"/>
      <c r="S3445" s="82"/>
      <c r="T3445" s="82"/>
      <c r="U3445" s="82"/>
      <c r="V3445" s="82"/>
      <c r="W3445" s="82"/>
      <c r="X3445" s="82"/>
      <c r="Y3445" s="82"/>
      <c r="Z3445" s="82"/>
      <c r="AA3445" s="82"/>
      <c r="AB3445" s="82"/>
      <c r="AC3445" s="82"/>
      <c r="AD3445" s="82"/>
      <c r="AE3445" s="82"/>
      <c r="AF3445" s="82"/>
      <c r="AG3445" s="82"/>
      <c r="AH3445" s="82"/>
      <c r="AI3445" s="82"/>
      <c r="AJ3445" s="82"/>
      <c r="AK3445" s="82"/>
      <c r="AL3445" s="82"/>
      <c r="AM3445" s="82"/>
      <c r="AN3445" s="82">
        <f>IFERROR(__xludf.DUMMYFUNCTION("""COMPUTED_VALUE"""),0.0)</f>
        <v>0</v>
      </c>
      <c r="AO3445" s="82">
        <f>IFERROR(__xludf.DUMMYFUNCTION("""COMPUTED_VALUE"""),0.0)</f>
        <v>0</v>
      </c>
      <c r="AP3445" s="82">
        <f>IFERROR(__xludf.DUMMYFUNCTION("""COMPUTED_VALUE"""),0.0)</f>
        <v>0</v>
      </c>
      <c r="AQ3445" s="82">
        <f>IFERROR(__xludf.DUMMYFUNCTION("""COMPUTED_VALUE"""),0.0)</f>
        <v>0</v>
      </c>
      <c r="AR3445" s="82">
        <f>IFERROR(__xludf.DUMMYFUNCTION("""COMPUTED_VALUE"""),0.0)</f>
        <v>0</v>
      </c>
      <c r="AS3445" s="82"/>
      <c r="AT3445" s="82">
        <f>IFERROR(__xludf.DUMMYFUNCTION("""COMPUTED_VALUE"""),0.0)</f>
        <v>0</v>
      </c>
      <c r="AU3445" s="82"/>
      <c r="AV3445" s="82"/>
      <c r="AW3445" s="82" t="str">
        <f t="shared" si="1"/>
        <v/>
      </c>
      <c r="AX3445" s="83" t="str">
        <f t="array" ref="AX3445">IFERROR(DGET('SBV Import'!A:G,"SBV",{"RSC ID","Tier";B3445,A3445}))</f>
        <v/>
      </c>
      <c r="AY3445" s="82" t="str">
        <f t="shared" si="2"/>
        <v/>
      </c>
      <c r="AZ3445" s="82"/>
      <c r="BA3445" s="84" t="s">
        <v>152</v>
      </c>
      <c r="BB3445" s="84" t="str">
        <f>IFERROR(__xludf.DUMMYFUNCTION("iferror(if(A3445="""",,E3445&gt;=FILTER(Constants!$F$2:$F$10,Constants!$A$2:$A$10=A3445)))"),"")</f>
        <v/>
      </c>
    </row>
    <row r="3446">
      <c r="A3446" s="89"/>
      <c r="B3446" s="87"/>
      <c r="C3446" s="73"/>
      <c r="D3446" s="73"/>
      <c r="E3446" s="82"/>
      <c r="F3446" s="82"/>
      <c r="G3446" s="86"/>
      <c r="H3446" s="86"/>
      <c r="I3446" s="86"/>
      <c r="J3446" s="82"/>
      <c r="K3446" s="82"/>
      <c r="L3446" s="82"/>
      <c r="M3446" s="82"/>
      <c r="N3446" s="82"/>
      <c r="O3446" s="82"/>
      <c r="P3446" s="82"/>
      <c r="Q3446" s="82"/>
      <c r="R3446" s="82"/>
      <c r="S3446" s="82"/>
      <c r="T3446" s="82"/>
      <c r="U3446" s="82"/>
      <c r="V3446" s="82"/>
      <c r="W3446" s="82"/>
      <c r="X3446" s="82"/>
      <c r="Y3446" s="82"/>
      <c r="Z3446" s="82"/>
      <c r="AA3446" s="82"/>
      <c r="AB3446" s="82"/>
      <c r="AC3446" s="82"/>
      <c r="AD3446" s="82"/>
      <c r="AE3446" s="82"/>
      <c r="AF3446" s="82"/>
      <c r="AG3446" s="82"/>
      <c r="AH3446" s="82"/>
      <c r="AI3446" s="82"/>
      <c r="AJ3446" s="82"/>
      <c r="AK3446" s="82"/>
      <c r="AL3446" s="82"/>
      <c r="AM3446" s="82"/>
      <c r="AN3446" s="82">
        <f>IFERROR(__xludf.DUMMYFUNCTION("""COMPUTED_VALUE"""),0.0)</f>
        <v>0</v>
      </c>
      <c r="AO3446" s="82">
        <f>IFERROR(__xludf.DUMMYFUNCTION("""COMPUTED_VALUE"""),0.0)</f>
        <v>0</v>
      </c>
      <c r="AP3446" s="82">
        <f>IFERROR(__xludf.DUMMYFUNCTION("""COMPUTED_VALUE"""),0.0)</f>
        <v>0</v>
      </c>
      <c r="AQ3446" s="82">
        <f>IFERROR(__xludf.DUMMYFUNCTION("""COMPUTED_VALUE"""),0.0)</f>
        <v>0</v>
      </c>
      <c r="AR3446" s="82">
        <f>IFERROR(__xludf.DUMMYFUNCTION("""COMPUTED_VALUE"""),0.0)</f>
        <v>0</v>
      </c>
      <c r="AS3446" s="82"/>
      <c r="AT3446" s="82">
        <f>IFERROR(__xludf.DUMMYFUNCTION("""COMPUTED_VALUE"""),0.0)</f>
        <v>0</v>
      </c>
      <c r="AU3446" s="82"/>
      <c r="AV3446" s="82"/>
      <c r="AW3446" s="82" t="str">
        <f t="shared" si="1"/>
        <v/>
      </c>
      <c r="AX3446" s="83" t="str">
        <f t="array" ref="AX3446">IFERROR(DGET('SBV Import'!A:G,"SBV",{"RSC ID","Tier";B3446,A3446}))</f>
        <v/>
      </c>
      <c r="AY3446" s="82" t="str">
        <f t="shared" si="2"/>
        <v/>
      </c>
      <c r="AZ3446" s="82"/>
      <c r="BA3446" s="84" t="s">
        <v>152</v>
      </c>
      <c r="BB3446" s="84" t="str">
        <f>IFERROR(__xludf.DUMMYFUNCTION("iferror(if(A3446="""",,E3446&gt;=FILTER(Constants!$F$2:$F$10,Constants!$A$2:$A$10=A3446)))"),"")</f>
        <v/>
      </c>
    </row>
    <row r="3447">
      <c r="A3447" s="89"/>
      <c r="B3447" s="87"/>
      <c r="C3447" s="73"/>
      <c r="D3447" s="73"/>
      <c r="E3447" s="82"/>
      <c r="F3447" s="82"/>
      <c r="G3447" s="86"/>
      <c r="H3447" s="86"/>
      <c r="I3447" s="86"/>
      <c r="J3447" s="82"/>
      <c r="K3447" s="82"/>
      <c r="L3447" s="82"/>
      <c r="M3447" s="82"/>
      <c r="N3447" s="82"/>
      <c r="O3447" s="82"/>
      <c r="P3447" s="82"/>
      <c r="Q3447" s="82"/>
      <c r="R3447" s="82"/>
      <c r="S3447" s="82"/>
      <c r="T3447" s="82"/>
      <c r="U3447" s="82"/>
      <c r="V3447" s="82"/>
      <c r="W3447" s="82"/>
      <c r="X3447" s="82"/>
      <c r="Y3447" s="82"/>
      <c r="Z3447" s="82"/>
      <c r="AA3447" s="82"/>
      <c r="AB3447" s="82"/>
      <c r="AC3447" s="82"/>
      <c r="AD3447" s="82"/>
      <c r="AE3447" s="82"/>
      <c r="AF3447" s="82"/>
      <c r="AG3447" s="82"/>
      <c r="AH3447" s="82"/>
      <c r="AI3447" s="82"/>
      <c r="AJ3447" s="82"/>
      <c r="AK3447" s="82"/>
      <c r="AL3447" s="82"/>
      <c r="AM3447" s="82"/>
      <c r="AN3447" s="82">
        <f>IFERROR(__xludf.DUMMYFUNCTION("""COMPUTED_VALUE"""),0.0)</f>
        <v>0</v>
      </c>
      <c r="AO3447" s="82">
        <f>IFERROR(__xludf.DUMMYFUNCTION("""COMPUTED_VALUE"""),0.0)</f>
        <v>0</v>
      </c>
      <c r="AP3447" s="82">
        <f>IFERROR(__xludf.DUMMYFUNCTION("""COMPUTED_VALUE"""),0.0)</f>
        <v>0</v>
      </c>
      <c r="AQ3447" s="82">
        <f>IFERROR(__xludf.DUMMYFUNCTION("""COMPUTED_VALUE"""),0.0)</f>
        <v>0</v>
      </c>
      <c r="AR3447" s="82">
        <f>IFERROR(__xludf.DUMMYFUNCTION("""COMPUTED_VALUE"""),0.0)</f>
        <v>0</v>
      </c>
      <c r="AS3447" s="82"/>
      <c r="AT3447" s="82">
        <f>IFERROR(__xludf.DUMMYFUNCTION("""COMPUTED_VALUE"""),0.0)</f>
        <v>0</v>
      </c>
      <c r="AU3447" s="82"/>
      <c r="AV3447" s="82"/>
      <c r="AW3447" s="82" t="str">
        <f t="shared" si="1"/>
        <v/>
      </c>
      <c r="AX3447" s="83" t="str">
        <f t="array" ref="AX3447">IFERROR(DGET('SBV Import'!A:G,"SBV",{"RSC ID","Tier";B3447,A3447}))</f>
        <v/>
      </c>
      <c r="AY3447" s="82" t="str">
        <f t="shared" si="2"/>
        <v/>
      </c>
      <c r="AZ3447" s="82"/>
      <c r="BA3447" s="84" t="s">
        <v>152</v>
      </c>
      <c r="BB3447" s="84" t="str">
        <f>IFERROR(__xludf.DUMMYFUNCTION("iferror(if(A3447="""",,E3447&gt;=FILTER(Constants!$F$2:$F$10,Constants!$A$2:$A$10=A3447)))"),"")</f>
        <v/>
      </c>
    </row>
    <row r="3448">
      <c r="A3448" s="89"/>
      <c r="B3448" s="87"/>
      <c r="C3448" s="73"/>
      <c r="D3448" s="73"/>
      <c r="E3448" s="82"/>
      <c r="F3448" s="82"/>
      <c r="G3448" s="86"/>
      <c r="H3448" s="86"/>
      <c r="I3448" s="86"/>
      <c r="J3448" s="82"/>
      <c r="K3448" s="82"/>
      <c r="L3448" s="82"/>
      <c r="M3448" s="82"/>
      <c r="N3448" s="82"/>
      <c r="O3448" s="82"/>
      <c r="P3448" s="82"/>
      <c r="Q3448" s="82"/>
      <c r="R3448" s="82"/>
      <c r="S3448" s="82"/>
      <c r="T3448" s="82"/>
      <c r="U3448" s="82"/>
      <c r="V3448" s="82"/>
      <c r="W3448" s="82"/>
      <c r="X3448" s="82"/>
      <c r="Y3448" s="82"/>
      <c r="Z3448" s="82"/>
      <c r="AA3448" s="82"/>
      <c r="AB3448" s="82"/>
      <c r="AC3448" s="82"/>
      <c r="AD3448" s="82"/>
      <c r="AE3448" s="82"/>
      <c r="AF3448" s="82"/>
      <c r="AG3448" s="82"/>
      <c r="AH3448" s="82"/>
      <c r="AI3448" s="82"/>
      <c r="AJ3448" s="82"/>
      <c r="AK3448" s="82"/>
      <c r="AL3448" s="82"/>
      <c r="AM3448" s="82"/>
      <c r="AN3448" s="82">
        <f>IFERROR(__xludf.DUMMYFUNCTION("""COMPUTED_VALUE"""),0.0)</f>
        <v>0</v>
      </c>
      <c r="AO3448" s="82">
        <f>IFERROR(__xludf.DUMMYFUNCTION("""COMPUTED_VALUE"""),0.0)</f>
        <v>0</v>
      </c>
      <c r="AP3448" s="82">
        <f>IFERROR(__xludf.DUMMYFUNCTION("""COMPUTED_VALUE"""),0.0)</f>
        <v>0</v>
      </c>
      <c r="AQ3448" s="82">
        <f>IFERROR(__xludf.DUMMYFUNCTION("""COMPUTED_VALUE"""),0.0)</f>
        <v>0</v>
      </c>
      <c r="AR3448" s="82">
        <f>IFERROR(__xludf.DUMMYFUNCTION("""COMPUTED_VALUE"""),0.0)</f>
        <v>0</v>
      </c>
      <c r="AS3448" s="82"/>
      <c r="AT3448" s="82">
        <f>IFERROR(__xludf.DUMMYFUNCTION("""COMPUTED_VALUE"""),0.0)</f>
        <v>0</v>
      </c>
      <c r="AU3448" s="82"/>
      <c r="AV3448" s="82"/>
      <c r="AW3448" s="82" t="str">
        <f t="shared" si="1"/>
        <v/>
      </c>
      <c r="AX3448" s="83" t="str">
        <f t="array" ref="AX3448">IFERROR(DGET('SBV Import'!A:G,"SBV",{"RSC ID","Tier";B3448,A3448}))</f>
        <v/>
      </c>
      <c r="AY3448" s="82" t="str">
        <f t="shared" si="2"/>
        <v/>
      </c>
      <c r="AZ3448" s="82"/>
      <c r="BA3448" s="84" t="s">
        <v>152</v>
      </c>
      <c r="BB3448" s="84" t="str">
        <f>IFERROR(__xludf.DUMMYFUNCTION("iferror(if(A3448="""",,E3448&gt;=FILTER(Constants!$F$2:$F$10,Constants!$A$2:$A$10=A3448)))"),"")</f>
        <v/>
      </c>
    </row>
    <row r="3449">
      <c r="A3449" s="89"/>
      <c r="B3449" s="87"/>
      <c r="C3449" s="73"/>
      <c r="D3449" s="73"/>
      <c r="E3449" s="82"/>
      <c r="F3449" s="82"/>
      <c r="G3449" s="86"/>
      <c r="H3449" s="86"/>
      <c r="I3449" s="86"/>
      <c r="J3449" s="82"/>
      <c r="K3449" s="82"/>
      <c r="L3449" s="82"/>
      <c r="M3449" s="82"/>
      <c r="N3449" s="82"/>
      <c r="O3449" s="82"/>
      <c r="P3449" s="82"/>
      <c r="Q3449" s="82"/>
      <c r="R3449" s="82"/>
      <c r="S3449" s="82"/>
      <c r="T3449" s="82"/>
      <c r="U3449" s="82"/>
      <c r="V3449" s="82"/>
      <c r="W3449" s="82"/>
      <c r="X3449" s="82"/>
      <c r="Y3449" s="82"/>
      <c r="Z3449" s="82"/>
      <c r="AA3449" s="82"/>
      <c r="AB3449" s="82"/>
      <c r="AC3449" s="82"/>
      <c r="AD3449" s="82"/>
      <c r="AE3449" s="82"/>
      <c r="AF3449" s="82"/>
      <c r="AG3449" s="82"/>
      <c r="AH3449" s="82"/>
      <c r="AI3449" s="82"/>
      <c r="AJ3449" s="82"/>
      <c r="AK3449" s="82"/>
      <c r="AL3449" s="82"/>
      <c r="AM3449" s="82"/>
      <c r="AN3449" s="82">
        <f>IFERROR(__xludf.DUMMYFUNCTION("""COMPUTED_VALUE"""),0.0)</f>
        <v>0</v>
      </c>
      <c r="AO3449" s="82">
        <f>IFERROR(__xludf.DUMMYFUNCTION("""COMPUTED_VALUE"""),0.0)</f>
        <v>0</v>
      </c>
      <c r="AP3449" s="82">
        <f>IFERROR(__xludf.DUMMYFUNCTION("""COMPUTED_VALUE"""),0.0)</f>
        <v>0</v>
      </c>
      <c r="AQ3449" s="82">
        <f>IFERROR(__xludf.DUMMYFUNCTION("""COMPUTED_VALUE"""),0.0)</f>
        <v>0</v>
      </c>
      <c r="AR3449" s="82">
        <f>IFERROR(__xludf.DUMMYFUNCTION("""COMPUTED_VALUE"""),0.0)</f>
        <v>0</v>
      </c>
      <c r="AS3449" s="82"/>
      <c r="AT3449" s="82">
        <f>IFERROR(__xludf.DUMMYFUNCTION("""COMPUTED_VALUE"""),0.0)</f>
        <v>0</v>
      </c>
      <c r="AU3449" s="82"/>
      <c r="AV3449" s="82"/>
      <c r="AW3449" s="82" t="str">
        <f t="shared" si="1"/>
        <v/>
      </c>
      <c r="AX3449" s="83" t="str">
        <f t="array" ref="AX3449">IFERROR(DGET('SBV Import'!A:G,"SBV",{"RSC ID","Tier";B3449,A3449}))</f>
        <v/>
      </c>
      <c r="AY3449" s="82" t="str">
        <f t="shared" si="2"/>
        <v/>
      </c>
      <c r="AZ3449" s="82"/>
      <c r="BA3449" s="84" t="s">
        <v>152</v>
      </c>
      <c r="BB3449" s="84" t="str">
        <f>IFERROR(__xludf.DUMMYFUNCTION("iferror(if(A3449="""",,E3449&gt;=FILTER(Constants!$F$2:$F$10,Constants!$A$2:$A$10=A3449)))"),"")</f>
        <v/>
      </c>
    </row>
    <row r="3450">
      <c r="A3450" s="89"/>
      <c r="B3450" s="87"/>
      <c r="C3450" s="73"/>
      <c r="D3450" s="73"/>
      <c r="E3450" s="82"/>
      <c r="F3450" s="82"/>
      <c r="G3450" s="86"/>
      <c r="H3450" s="86"/>
      <c r="I3450" s="86"/>
      <c r="J3450" s="82"/>
      <c r="K3450" s="82"/>
      <c r="L3450" s="82"/>
      <c r="M3450" s="82"/>
      <c r="N3450" s="82"/>
      <c r="O3450" s="82"/>
      <c r="P3450" s="82"/>
      <c r="Q3450" s="82"/>
      <c r="R3450" s="82"/>
      <c r="S3450" s="82"/>
      <c r="T3450" s="82"/>
      <c r="U3450" s="82"/>
      <c r="V3450" s="82"/>
      <c r="W3450" s="82"/>
      <c r="X3450" s="82"/>
      <c r="Y3450" s="82"/>
      <c r="Z3450" s="82"/>
      <c r="AA3450" s="82"/>
      <c r="AB3450" s="82"/>
      <c r="AC3450" s="82"/>
      <c r="AD3450" s="82"/>
      <c r="AE3450" s="82"/>
      <c r="AF3450" s="82"/>
      <c r="AG3450" s="82"/>
      <c r="AH3450" s="82"/>
      <c r="AI3450" s="82"/>
      <c r="AJ3450" s="82"/>
      <c r="AK3450" s="82"/>
      <c r="AL3450" s="82"/>
      <c r="AM3450" s="82"/>
      <c r="AN3450" s="82">
        <f>IFERROR(__xludf.DUMMYFUNCTION("""COMPUTED_VALUE"""),0.0)</f>
        <v>0</v>
      </c>
      <c r="AO3450" s="82">
        <f>IFERROR(__xludf.DUMMYFUNCTION("""COMPUTED_VALUE"""),0.0)</f>
        <v>0</v>
      </c>
      <c r="AP3450" s="82">
        <f>IFERROR(__xludf.DUMMYFUNCTION("""COMPUTED_VALUE"""),0.0)</f>
        <v>0</v>
      </c>
      <c r="AQ3450" s="82">
        <f>IFERROR(__xludf.DUMMYFUNCTION("""COMPUTED_VALUE"""),0.0)</f>
        <v>0</v>
      </c>
      <c r="AR3450" s="82">
        <f>IFERROR(__xludf.DUMMYFUNCTION("""COMPUTED_VALUE"""),0.0)</f>
        <v>0</v>
      </c>
      <c r="AS3450" s="82"/>
      <c r="AT3450" s="82">
        <f>IFERROR(__xludf.DUMMYFUNCTION("""COMPUTED_VALUE"""),0.0)</f>
        <v>0</v>
      </c>
      <c r="AU3450" s="82"/>
      <c r="AV3450" s="82"/>
      <c r="AW3450" s="82" t="str">
        <f t="shared" si="1"/>
        <v/>
      </c>
      <c r="AX3450" s="83" t="str">
        <f t="array" ref="AX3450">IFERROR(DGET('SBV Import'!A:G,"SBV",{"RSC ID","Tier";B3450,A3450}))</f>
        <v/>
      </c>
      <c r="AY3450" s="82" t="str">
        <f t="shared" si="2"/>
        <v/>
      </c>
      <c r="AZ3450" s="82"/>
      <c r="BA3450" s="84" t="s">
        <v>152</v>
      </c>
      <c r="BB3450" s="84" t="str">
        <f>IFERROR(__xludf.DUMMYFUNCTION("iferror(if(A3450="""",,E3450&gt;=FILTER(Constants!$F$2:$F$10,Constants!$A$2:$A$10=A3450)))"),"")</f>
        <v/>
      </c>
    </row>
    <row r="3451">
      <c r="A3451" s="89"/>
      <c r="B3451" s="87"/>
      <c r="C3451" s="73"/>
      <c r="D3451" s="73"/>
      <c r="E3451" s="82"/>
      <c r="F3451" s="82"/>
      <c r="G3451" s="86"/>
      <c r="H3451" s="86"/>
      <c r="I3451" s="86"/>
      <c r="J3451" s="82"/>
      <c r="K3451" s="82"/>
      <c r="L3451" s="82"/>
      <c r="M3451" s="82"/>
      <c r="N3451" s="82"/>
      <c r="O3451" s="82"/>
      <c r="P3451" s="82"/>
      <c r="Q3451" s="82"/>
      <c r="R3451" s="82"/>
      <c r="S3451" s="82"/>
      <c r="T3451" s="82"/>
      <c r="U3451" s="82"/>
      <c r="V3451" s="82"/>
      <c r="W3451" s="82"/>
      <c r="X3451" s="82"/>
      <c r="Y3451" s="82"/>
      <c r="Z3451" s="82"/>
      <c r="AA3451" s="82"/>
      <c r="AB3451" s="82"/>
      <c r="AC3451" s="82"/>
      <c r="AD3451" s="82"/>
      <c r="AE3451" s="82"/>
      <c r="AF3451" s="82"/>
      <c r="AG3451" s="82"/>
      <c r="AH3451" s="82"/>
      <c r="AI3451" s="82"/>
      <c r="AJ3451" s="82"/>
      <c r="AK3451" s="82"/>
      <c r="AL3451" s="82"/>
      <c r="AM3451" s="82"/>
      <c r="AN3451" s="82">
        <f>IFERROR(__xludf.DUMMYFUNCTION("""COMPUTED_VALUE"""),0.0)</f>
        <v>0</v>
      </c>
      <c r="AO3451" s="82">
        <f>IFERROR(__xludf.DUMMYFUNCTION("""COMPUTED_VALUE"""),0.0)</f>
        <v>0</v>
      </c>
      <c r="AP3451" s="82">
        <f>IFERROR(__xludf.DUMMYFUNCTION("""COMPUTED_VALUE"""),0.0)</f>
        <v>0</v>
      </c>
      <c r="AQ3451" s="82">
        <f>IFERROR(__xludf.DUMMYFUNCTION("""COMPUTED_VALUE"""),0.0)</f>
        <v>0</v>
      </c>
      <c r="AR3451" s="82">
        <f>IFERROR(__xludf.DUMMYFUNCTION("""COMPUTED_VALUE"""),0.0)</f>
        <v>0</v>
      </c>
      <c r="AS3451" s="82"/>
      <c r="AT3451" s="82">
        <f>IFERROR(__xludf.DUMMYFUNCTION("""COMPUTED_VALUE"""),0.0)</f>
        <v>0</v>
      </c>
      <c r="AU3451" s="82"/>
      <c r="AV3451" s="82"/>
      <c r="AW3451" s="82" t="str">
        <f t="shared" si="1"/>
        <v/>
      </c>
      <c r="AX3451" s="83" t="str">
        <f t="array" ref="AX3451">IFERROR(DGET('SBV Import'!A:G,"SBV",{"RSC ID","Tier";B3451,A3451}))</f>
        <v/>
      </c>
      <c r="AY3451" s="82" t="str">
        <f t="shared" si="2"/>
        <v/>
      </c>
      <c r="AZ3451" s="82"/>
      <c r="BA3451" s="84" t="s">
        <v>152</v>
      </c>
      <c r="BB3451" s="84" t="str">
        <f>IFERROR(__xludf.DUMMYFUNCTION("iferror(if(A3451="""",,E3451&gt;=FILTER(Constants!$F$2:$F$10,Constants!$A$2:$A$10=A3451)))"),"")</f>
        <v/>
      </c>
    </row>
    <row r="3452">
      <c r="A3452" s="89"/>
      <c r="B3452" s="87"/>
      <c r="C3452" s="73"/>
      <c r="D3452" s="73"/>
      <c r="E3452" s="82"/>
      <c r="F3452" s="82"/>
      <c r="G3452" s="86"/>
      <c r="H3452" s="86"/>
      <c r="I3452" s="86"/>
      <c r="J3452" s="82"/>
      <c r="K3452" s="82"/>
      <c r="L3452" s="82"/>
      <c r="M3452" s="82"/>
      <c r="N3452" s="82"/>
      <c r="O3452" s="82"/>
      <c r="P3452" s="82"/>
      <c r="Q3452" s="82"/>
      <c r="R3452" s="82"/>
      <c r="S3452" s="82"/>
      <c r="T3452" s="82"/>
      <c r="U3452" s="82"/>
      <c r="V3452" s="82"/>
      <c r="W3452" s="82"/>
      <c r="X3452" s="82"/>
      <c r="Y3452" s="82"/>
      <c r="Z3452" s="82"/>
      <c r="AA3452" s="82"/>
      <c r="AB3452" s="82"/>
      <c r="AC3452" s="82"/>
      <c r="AD3452" s="82"/>
      <c r="AE3452" s="82"/>
      <c r="AF3452" s="82"/>
      <c r="AG3452" s="82"/>
      <c r="AH3452" s="82"/>
      <c r="AI3452" s="82"/>
      <c r="AJ3452" s="82"/>
      <c r="AK3452" s="82"/>
      <c r="AL3452" s="82"/>
      <c r="AM3452" s="82"/>
      <c r="AN3452" s="82">
        <f>IFERROR(__xludf.DUMMYFUNCTION("""COMPUTED_VALUE"""),0.0)</f>
        <v>0</v>
      </c>
      <c r="AO3452" s="82">
        <f>IFERROR(__xludf.DUMMYFUNCTION("""COMPUTED_VALUE"""),0.0)</f>
        <v>0</v>
      </c>
      <c r="AP3452" s="82">
        <f>IFERROR(__xludf.DUMMYFUNCTION("""COMPUTED_VALUE"""),0.0)</f>
        <v>0</v>
      </c>
      <c r="AQ3452" s="82">
        <f>IFERROR(__xludf.DUMMYFUNCTION("""COMPUTED_VALUE"""),0.0)</f>
        <v>0</v>
      </c>
      <c r="AR3452" s="82">
        <f>IFERROR(__xludf.DUMMYFUNCTION("""COMPUTED_VALUE"""),0.0)</f>
        <v>0</v>
      </c>
      <c r="AS3452" s="82"/>
      <c r="AT3452" s="82">
        <f>IFERROR(__xludf.DUMMYFUNCTION("""COMPUTED_VALUE"""),0.0)</f>
        <v>0</v>
      </c>
      <c r="AU3452" s="82"/>
      <c r="AV3452" s="82"/>
      <c r="AW3452" s="82" t="str">
        <f t="shared" si="1"/>
        <v/>
      </c>
      <c r="AX3452" s="83" t="str">
        <f t="array" ref="AX3452">IFERROR(DGET('SBV Import'!A:G,"SBV",{"RSC ID","Tier";B3452,A3452}))</f>
        <v/>
      </c>
      <c r="AY3452" s="82" t="str">
        <f t="shared" si="2"/>
        <v/>
      </c>
      <c r="AZ3452" s="82"/>
      <c r="BA3452" s="84" t="s">
        <v>152</v>
      </c>
      <c r="BB3452" s="84" t="str">
        <f>IFERROR(__xludf.DUMMYFUNCTION("iferror(if(A3452="""",,E3452&gt;=FILTER(Constants!$F$2:$F$10,Constants!$A$2:$A$10=A3452)))"),"")</f>
        <v/>
      </c>
    </row>
    <row r="3453">
      <c r="A3453" s="89"/>
      <c r="B3453" s="87"/>
      <c r="C3453" s="73"/>
      <c r="D3453" s="73"/>
      <c r="E3453" s="82"/>
      <c r="F3453" s="82"/>
      <c r="G3453" s="86"/>
      <c r="H3453" s="86"/>
      <c r="I3453" s="86"/>
      <c r="J3453" s="82"/>
      <c r="K3453" s="82"/>
      <c r="L3453" s="82"/>
      <c r="M3453" s="82"/>
      <c r="N3453" s="82"/>
      <c r="O3453" s="82"/>
      <c r="P3453" s="82"/>
      <c r="Q3453" s="82"/>
      <c r="R3453" s="82"/>
      <c r="S3453" s="82"/>
      <c r="T3453" s="82"/>
      <c r="U3453" s="82"/>
      <c r="V3453" s="82"/>
      <c r="W3453" s="82"/>
      <c r="X3453" s="82"/>
      <c r="Y3453" s="82"/>
      <c r="Z3453" s="82"/>
      <c r="AA3453" s="82"/>
      <c r="AB3453" s="82"/>
      <c r="AC3453" s="82"/>
      <c r="AD3453" s="82"/>
      <c r="AE3453" s="82"/>
      <c r="AF3453" s="82"/>
      <c r="AG3453" s="82"/>
      <c r="AH3453" s="82"/>
      <c r="AI3453" s="82"/>
      <c r="AJ3453" s="82"/>
      <c r="AK3453" s="82"/>
      <c r="AL3453" s="82"/>
      <c r="AM3453" s="82"/>
      <c r="AN3453" s="82">
        <f>IFERROR(__xludf.DUMMYFUNCTION("""COMPUTED_VALUE"""),0.0)</f>
        <v>0</v>
      </c>
      <c r="AO3453" s="82">
        <f>IFERROR(__xludf.DUMMYFUNCTION("""COMPUTED_VALUE"""),0.0)</f>
        <v>0</v>
      </c>
      <c r="AP3453" s="82">
        <f>IFERROR(__xludf.DUMMYFUNCTION("""COMPUTED_VALUE"""),0.0)</f>
        <v>0</v>
      </c>
      <c r="AQ3453" s="82">
        <f>IFERROR(__xludf.DUMMYFUNCTION("""COMPUTED_VALUE"""),0.0)</f>
        <v>0</v>
      </c>
      <c r="AR3453" s="82">
        <f>IFERROR(__xludf.DUMMYFUNCTION("""COMPUTED_VALUE"""),0.0)</f>
        <v>0</v>
      </c>
      <c r="AS3453" s="82"/>
      <c r="AT3453" s="82">
        <f>IFERROR(__xludf.DUMMYFUNCTION("""COMPUTED_VALUE"""),0.0)</f>
        <v>0</v>
      </c>
      <c r="AU3453" s="82"/>
      <c r="AV3453" s="82"/>
      <c r="AW3453" s="82" t="str">
        <f t="shared" si="1"/>
        <v/>
      </c>
      <c r="AX3453" s="83" t="str">
        <f t="array" ref="AX3453">IFERROR(DGET('SBV Import'!A:G,"SBV",{"RSC ID","Tier";B3453,A3453}))</f>
        <v/>
      </c>
      <c r="AY3453" s="82" t="str">
        <f t="shared" si="2"/>
        <v/>
      </c>
      <c r="AZ3453" s="82"/>
      <c r="BA3453" s="84" t="s">
        <v>152</v>
      </c>
      <c r="BB3453" s="84" t="str">
        <f>IFERROR(__xludf.DUMMYFUNCTION("iferror(if(A3453="""",,E3453&gt;=FILTER(Constants!$F$2:$F$10,Constants!$A$2:$A$10=A3453)))"),"")</f>
        <v/>
      </c>
    </row>
    <row r="3454">
      <c r="A3454" s="89"/>
      <c r="B3454" s="87"/>
      <c r="C3454" s="73"/>
      <c r="D3454" s="73"/>
      <c r="E3454" s="82"/>
      <c r="F3454" s="82"/>
      <c r="G3454" s="86"/>
      <c r="H3454" s="86"/>
      <c r="I3454" s="86"/>
      <c r="J3454" s="82"/>
      <c r="K3454" s="82"/>
      <c r="L3454" s="82"/>
      <c r="M3454" s="82"/>
      <c r="N3454" s="82"/>
      <c r="O3454" s="82"/>
      <c r="P3454" s="82"/>
      <c r="Q3454" s="82"/>
      <c r="R3454" s="82"/>
      <c r="S3454" s="82"/>
      <c r="T3454" s="82"/>
      <c r="U3454" s="82"/>
      <c r="V3454" s="82"/>
      <c r="W3454" s="82"/>
      <c r="X3454" s="82"/>
      <c r="Y3454" s="82"/>
      <c r="Z3454" s="82"/>
      <c r="AA3454" s="82"/>
      <c r="AB3454" s="82"/>
      <c r="AC3454" s="82"/>
      <c r="AD3454" s="82"/>
      <c r="AE3454" s="82"/>
      <c r="AF3454" s="82"/>
      <c r="AG3454" s="82"/>
      <c r="AH3454" s="82"/>
      <c r="AI3454" s="82"/>
      <c r="AJ3454" s="82"/>
      <c r="AK3454" s="82"/>
      <c r="AL3454" s="82"/>
      <c r="AM3454" s="82"/>
      <c r="AN3454" s="82">
        <f>IFERROR(__xludf.DUMMYFUNCTION("""COMPUTED_VALUE"""),0.0)</f>
        <v>0</v>
      </c>
      <c r="AO3454" s="82">
        <f>IFERROR(__xludf.DUMMYFUNCTION("""COMPUTED_VALUE"""),0.0)</f>
        <v>0</v>
      </c>
      <c r="AP3454" s="82">
        <f>IFERROR(__xludf.DUMMYFUNCTION("""COMPUTED_VALUE"""),0.0)</f>
        <v>0</v>
      </c>
      <c r="AQ3454" s="82">
        <f>IFERROR(__xludf.DUMMYFUNCTION("""COMPUTED_VALUE"""),0.0)</f>
        <v>0</v>
      </c>
      <c r="AR3454" s="82">
        <f>IFERROR(__xludf.DUMMYFUNCTION("""COMPUTED_VALUE"""),0.0)</f>
        <v>0</v>
      </c>
      <c r="AS3454" s="82"/>
      <c r="AT3454" s="82">
        <f>IFERROR(__xludf.DUMMYFUNCTION("""COMPUTED_VALUE"""),0.0)</f>
        <v>0</v>
      </c>
      <c r="AU3454" s="82"/>
      <c r="AV3454" s="82"/>
      <c r="AW3454" s="82" t="str">
        <f t="shared" si="1"/>
        <v/>
      </c>
      <c r="AX3454" s="83" t="str">
        <f t="array" ref="AX3454">IFERROR(DGET('SBV Import'!A:G,"SBV",{"RSC ID","Tier";B3454,A3454}))</f>
        <v/>
      </c>
      <c r="AY3454" s="82" t="str">
        <f t="shared" si="2"/>
        <v/>
      </c>
      <c r="AZ3454" s="82"/>
      <c r="BA3454" s="84" t="s">
        <v>152</v>
      </c>
      <c r="BB3454" s="84" t="str">
        <f>IFERROR(__xludf.DUMMYFUNCTION("iferror(if(A3454="""",,E3454&gt;=FILTER(Constants!$F$2:$F$10,Constants!$A$2:$A$10=A3454)))"),"")</f>
        <v/>
      </c>
    </row>
    <row r="3455">
      <c r="A3455" s="89"/>
      <c r="B3455" s="87"/>
      <c r="C3455" s="73"/>
      <c r="D3455" s="73"/>
      <c r="E3455" s="82"/>
      <c r="F3455" s="82"/>
      <c r="G3455" s="86"/>
      <c r="H3455" s="86"/>
      <c r="I3455" s="86"/>
      <c r="J3455" s="82"/>
      <c r="K3455" s="82"/>
      <c r="L3455" s="82"/>
      <c r="M3455" s="82"/>
      <c r="N3455" s="82"/>
      <c r="O3455" s="82"/>
      <c r="P3455" s="82"/>
      <c r="Q3455" s="82"/>
      <c r="R3455" s="82"/>
      <c r="S3455" s="82"/>
      <c r="T3455" s="82"/>
      <c r="U3455" s="82"/>
      <c r="V3455" s="82"/>
      <c r="W3455" s="82"/>
      <c r="X3455" s="82"/>
      <c r="Y3455" s="82"/>
      <c r="Z3455" s="82"/>
      <c r="AA3455" s="82"/>
      <c r="AB3455" s="82"/>
      <c r="AC3455" s="82"/>
      <c r="AD3455" s="82"/>
      <c r="AE3455" s="82"/>
      <c r="AF3455" s="82"/>
      <c r="AG3455" s="82"/>
      <c r="AH3455" s="82"/>
      <c r="AI3455" s="82"/>
      <c r="AJ3455" s="82"/>
      <c r="AK3455" s="82"/>
      <c r="AL3455" s="82"/>
      <c r="AM3455" s="82"/>
      <c r="AN3455" s="82">
        <f>IFERROR(__xludf.DUMMYFUNCTION("""COMPUTED_VALUE"""),0.0)</f>
        <v>0</v>
      </c>
      <c r="AO3455" s="82">
        <f>IFERROR(__xludf.DUMMYFUNCTION("""COMPUTED_VALUE"""),0.0)</f>
        <v>0</v>
      </c>
      <c r="AP3455" s="82">
        <f>IFERROR(__xludf.DUMMYFUNCTION("""COMPUTED_VALUE"""),0.0)</f>
        <v>0</v>
      </c>
      <c r="AQ3455" s="82">
        <f>IFERROR(__xludf.DUMMYFUNCTION("""COMPUTED_VALUE"""),0.0)</f>
        <v>0</v>
      </c>
      <c r="AR3455" s="82">
        <f>IFERROR(__xludf.DUMMYFUNCTION("""COMPUTED_VALUE"""),0.0)</f>
        <v>0</v>
      </c>
      <c r="AS3455" s="82"/>
      <c r="AT3455" s="82">
        <f>IFERROR(__xludf.DUMMYFUNCTION("""COMPUTED_VALUE"""),0.0)</f>
        <v>0</v>
      </c>
      <c r="AU3455" s="82"/>
      <c r="AV3455" s="82"/>
      <c r="AW3455" s="82" t="str">
        <f t="shared" si="1"/>
        <v/>
      </c>
      <c r="AX3455" s="83" t="str">
        <f t="array" ref="AX3455">IFERROR(DGET('SBV Import'!A:G,"SBV",{"RSC ID","Tier";B3455,A3455}))</f>
        <v/>
      </c>
      <c r="AY3455" s="82" t="str">
        <f t="shared" si="2"/>
        <v/>
      </c>
      <c r="AZ3455" s="82"/>
      <c r="BA3455" s="84" t="s">
        <v>152</v>
      </c>
      <c r="BB3455" s="84" t="str">
        <f>IFERROR(__xludf.DUMMYFUNCTION("iferror(if(A3455="""",,E3455&gt;=FILTER(Constants!$F$2:$F$10,Constants!$A$2:$A$10=A3455)))"),"")</f>
        <v/>
      </c>
    </row>
    <row r="3456">
      <c r="A3456" s="89"/>
      <c r="B3456" s="87"/>
      <c r="C3456" s="73"/>
      <c r="D3456" s="73"/>
      <c r="E3456" s="82"/>
      <c r="F3456" s="82"/>
      <c r="G3456" s="86"/>
      <c r="H3456" s="86"/>
      <c r="I3456" s="86"/>
      <c r="J3456" s="82"/>
      <c r="K3456" s="82"/>
      <c r="L3456" s="82"/>
      <c r="M3456" s="82"/>
      <c r="N3456" s="82"/>
      <c r="O3456" s="82"/>
      <c r="P3456" s="82"/>
      <c r="Q3456" s="82"/>
      <c r="R3456" s="82"/>
      <c r="S3456" s="82"/>
      <c r="T3456" s="82"/>
      <c r="U3456" s="82"/>
      <c r="V3456" s="82"/>
      <c r="W3456" s="82"/>
      <c r="X3456" s="82"/>
      <c r="Y3456" s="82"/>
      <c r="Z3456" s="82"/>
      <c r="AA3456" s="82"/>
      <c r="AB3456" s="82"/>
      <c r="AC3456" s="82"/>
      <c r="AD3456" s="82"/>
      <c r="AE3456" s="82"/>
      <c r="AF3456" s="82"/>
      <c r="AG3456" s="82"/>
      <c r="AH3456" s="82"/>
      <c r="AI3456" s="82"/>
      <c r="AJ3456" s="82"/>
      <c r="AK3456" s="82"/>
      <c r="AL3456" s="82"/>
      <c r="AM3456" s="82"/>
      <c r="AN3456" s="82">
        <f>IFERROR(__xludf.DUMMYFUNCTION("""COMPUTED_VALUE"""),0.0)</f>
        <v>0</v>
      </c>
      <c r="AO3456" s="82">
        <f>IFERROR(__xludf.DUMMYFUNCTION("""COMPUTED_VALUE"""),0.0)</f>
        <v>0</v>
      </c>
      <c r="AP3456" s="82">
        <f>IFERROR(__xludf.DUMMYFUNCTION("""COMPUTED_VALUE"""),0.0)</f>
        <v>0</v>
      </c>
      <c r="AQ3456" s="82">
        <f>IFERROR(__xludf.DUMMYFUNCTION("""COMPUTED_VALUE"""),0.0)</f>
        <v>0</v>
      </c>
      <c r="AR3456" s="82">
        <f>IFERROR(__xludf.DUMMYFUNCTION("""COMPUTED_VALUE"""),0.0)</f>
        <v>0</v>
      </c>
      <c r="AS3456" s="82"/>
      <c r="AT3456" s="82">
        <f>IFERROR(__xludf.DUMMYFUNCTION("""COMPUTED_VALUE"""),0.0)</f>
        <v>0</v>
      </c>
      <c r="AU3456" s="82"/>
      <c r="AV3456" s="82"/>
      <c r="AW3456" s="82" t="str">
        <f t="shared" si="1"/>
        <v/>
      </c>
      <c r="AX3456" s="83" t="str">
        <f t="array" ref="AX3456">IFERROR(DGET('SBV Import'!A:G,"SBV",{"RSC ID","Tier";B3456,A3456}))</f>
        <v/>
      </c>
      <c r="AY3456" s="82" t="str">
        <f t="shared" si="2"/>
        <v/>
      </c>
      <c r="AZ3456" s="82"/>
      <c r="BA3456" s="84" t="s">
        <v>152</v>
      </c>
      <c r="BB3456" s="84" t="str">
        <f>IFERROR(__xludf.DUMMYFUNCTION("iferror(if(A3456="""",,E3456&gt;=FILTER(Constants!$F$2:$F$10,Constants!$A$2:$A$10=A3456)))"),"")</f>
        <v/>
      </c>
    </row>
    <row r="3457">
      <c r="A3457" s="89"/>
      <c r="B3457" s="87"/>
      <c r="C3457" s="73"/>
      <c r="D3457" s="73"/>
      <c r="E3457" s="82"/>
      <c r="F3457" s="82"/>
      <c r="G3457" s="86"/>
      <c r="H3457" s="86"/>
      <c r="I3457" s="86"/>
      <c r="J3457" s="82"/>
      <c r="K3457" s="82"/>
      <c r="L3457" s="82"/>
      <c r="M3457" s="82"/>
      <c r="N3457" s="82"/>
      <c r="O3457" s="82"/>
      <c r="P3457" s="82"/>
      <c r="Q3457" s="82"/>
      <c r="R3457" s="82"/>
      <c r="S3457" s="82"/>
      <c r="T3457" s="82"/>
      <c r="U3457" s="82"/>
      <c r="V3457" s="82"/>
      <c r="W3457" s="82"/>
      <c r="X3457" s="82"/>
      <c r="Y3457" s="82"/>
      <c r="Z3457" s="82"/>
      <c r="AA3457" s="82"/>
      <c r="AB3457" s="82"/>
      <c r="AC3457" s="82"/>
      <c r="AD3457" s="82"/>
      <c r="AE3457" s="82"/>
      <c r="AF3457" s="82"/>
      <c r="AG3457" s="82"/>
      <c r="AH3457" s="82"/>
      <c r="AI3457" s="82"/>
      <c r="AJ3457" s="82"/>
      <c r="AK3457" s="82"/>
      <c r="AL3457" s="82"/>
      <c r="AM3457" s="82"/>
      <c r="AN3457" s="82">
        <f>IFERROR(__xludf.DUMMYFUNCTION("""COMPUTED_VALUE"""),0.0)</f>
        <v>0</v>
      </c>
      <c r="AO3457" s="82">
        <f>IFERROR(__xludf.DUMMYFUNCTION("""COMPUTED_VALUE"""),0.0)</f>
        <v>0</v>
      </c>
      <c r="AP3457" s="82">
        <f>IFERROR(__xludf.DUMMYFUNCTION("""COMPUTED_VALUE"""),0.0)</f>
        <v>0</v>
      </c>
      <c r="AQ3457" s="82">
        <f>IFERROR(__xludf.DUMMYFUNCTION("""COMPUTED_VALUE"""),0.0)</f>
        <v>0</v>
      </c>
      <c r="AR3457" s="82">
        <f>IFERROR(__xludf.DUMMYFUNCTION("""COMPUTED_VALUE"""),0.0)</f>
        <v>0</v>
      </c>
      <c r="AS3457" s="82"/>
      <c r="AT3457" s="82">
        <f>IFERROR(__xludf.DUMMYFUNCTION("""COMPUTED_VALUE"""),0.0)</f>
        <v>0</v>
      </c>
      <c r="AU3457" s="82"/>
      <c r="AV3457" s="82"/>
      <c r="AW3457" s="82" t="str">
        <f t="shared" si="1"/>
        <v/>
      </c>
      <c r="AX3457" s="83" t="str">
        <f t="array" ref="AX3457">IFERROR(DGET('SBV Import'!A:G,"SBV",{"RSC ID","Tier";B3457,A3457}))</f>
        <v/>
      </c>
      <c r="AY3457" s="82" t="str">
        <f t="shared" si="2"/>
        <v/>
      </c>
      <c r="AZ3457" s="82"/>
      <c r="BA3457" s="84" t="s">
        <v>152</v>
      </c>
      <c r="BB3457" s="84" t="str">
        <f>IFERROR(__xludf.DUMMYFUNCTION("iferror(if(A3457="""",,E3457&gt;=FILTER(Constants!$F$2:$F$10,Constants!$A$2:$A$10=A3457)))"),"")</f>
        <v/>
      </c>
    </row>
    <row r="3458">
      <c r="A3458" s="89"/>
      <c r="B3458" s="87"/>
      <c r="C3458" s="73"/>
      <c r="D3458" s="73"/>
      <c r="E3458" s="82"/>
      <c r="F3458" s="82"/>
      <c r="G3458" s="86"/>
      <c r="H3458" s="86"/>
      <c r="I3458" s="86"/>
      <c r="J3458" s="82"/>
      <c r="K3458" s="82"/>
      <c r="L3458" s="82"/>
      <c r="M3458" s="82"/>
      <c r="N3458" s="82"/>
      <c r="O3458" s="82"/>
      <c r="P3458" s="82"/>
      <c r="Q3458" s="82"/>
      <c r="R3458" s="82"/>
      <c r="S3458" s="82"/>
      <c r="T3458" s="82"/>
      <c r="U3458" s="82"/>
      <c r="V3458" s="82"/>
      <c r="W3458" s="82"/>
      <c r="X3458" s="82"/>
      <c r="Y3458" s="82"/>
      <c r="Z3458" s="82"/>
      <c r="AA3458" s="82"/>
      <c r="AB3458" s="82"/>
      <c r="AC3458" s="82"/>
      <c r="AD3458" s="82"/>
      <c r="AE3458" s="82"/>
      <c r="AF3458" s="82"/>
      <c r="AG3458" s="82"/>
      <c r="AH3458" s="82"/>
      <c r="AI3458" s="82"/>
      <c r="AJ3458" s="82"/>
      <c r="AK3458" s="82"/>
      <c r="AL3458" s="82"/>
      <c r="AM3458" s="82"/>
      <c r="AN3458" s="82">
        <f>IFERROR(__xludf.DUMMYFUNCTION("""COMPUTED_VALUE"""),0.0)</f>
        <v>0</v>
      </c>
      <c r="AO3458" s="82">
        <f>IFERROR(__xludf.DUMMYFUNCTION("""COMPUTED_VALUE"""),0.0)</f>
        <v>0</v>
      </c>
      <c r="AP3458" s="82">
        <f>IFERROR(__xludf.DUMMYFUNCTION("""COMPUTED_VALUE"""),0.0)</f>
        <v>0</v>
      </c>
      <c r="AQ3458" s="82">
        <f>IFERROR(__xludf.DUMMYFUNCTION("""COMPUTED_VALUE"""),0.0)</f>
        <v>0</v>
      </c>
      <c r="AR3458" s="82">
        <f>IFERROR(__xludf.DUMMYFUNCTION("""COMPUTED_VALUE"""),0.0)</f>
        <v>0</v>
      </c>
      <c r="AS3458" s="82"/>
      <c r="AT3458" s="82">
        <f>IFERROR(__xludf.DUMMYFUNCTION("""COMPUTED_VALUE"""),0.0)</f>
        <v>0</v>
      </c>
      <c r="AU3458" s="82"/>
      <c r="AV3458" s="82"/>
      <c r="AW3458" s="82" t="str">
        <f t="shared" si="1"/>
        <v/>
      </c>
      <c r="AX3458" s="83" t="str">
        <f t="array" ref="AX3458">IFERROR(DGET('SBV Import'!A:G,"SBV",{"RSC ID","Tier";B3458,A3458}))</f>
        <v/>
      </c>
      <c r="AY3458" s="82" t="str">
        <f t="shared" si="2"/>
        <v/>
      </c>
      <c r="AZ3458" s="82"/>
      <c r="BA3458" s="84" t="s">
        <v>152</v>
      </c>
      <c r="BB3458" s="84" t="str">
        <f>IFERROR(__xludf.DUMMYFUNCTION("iferror(if(A3458="""",,E3458&gt;=FILTER(Constants!$F$2:$F$10,Constants!$A$2:$A$10=A3458)))"),"")</f>
        <v/>
      </c>
    </row>
    <row r="3459">
      <c r="A3459" s="89"/>
      <c r="B3459" s="87"/>
      <c r="C3459" s="73"/>
      <c r="D3459" s="73"/>
      <c r="E3459" s="82"/>
      <c r="F3459" s="82"/>
      <c r="G3459" s="86"/>
      <c r="H3459" s="86"/>
      <c r="I3459" s="86"/>
      <c r="J3459" s="82"/>
      <c r="K3459" s="82"/>
      <c r="L3459" s="82"/>
      <c r="M3459" s="82"/>
      <c r="N3459" s="82"/>
      <c r="O3459" s="82"/>
      <c r="P3459" s="82"/>
      <c r="Q3459" s="82"/>
      <c r="R3459" s="82"/>
      <c r="S3459" s="82"/>
      <c r="T3459" s="82"/>
      <c r="U3459" s="82"/>
      <c r="V3459" s="82"/>
      <c r="W3459" s="82"/>
      <c r="X3459" s="82"/>
      <c r="Y3459" s="82"/>
      <c r="Z3459" s="82"/>
      <c r="AA3459" s="82"/>
      <c r="AB3459" s="82"/>
      <c r="AC3459" s="82"/>
      <c r="AD3459" s="82"/>
      <c r="AE3459" s="82"/>
      <c r="AF3459" s="82"/>
      <c r="AG3459" s="82"/>
      <c r="AH3459" s="82"/>
      <c r="AI3459" s="82"/>
      <c r="AJ3459" s="82"/>
      <c r="AK3459" s="82"/>
      <c r="AL3459" s="82"/>
      <c r="AM3459" s="82"/>
      <c r="AN3459" s="82">
        <f>IFERROR(__xludf.DUMMYFUNCTION("""COMPUTED_VALUE"""),0.0)</f>
        <v>0</v>
      </c>
      <c r="AO3459" s="82">
        <f>IFERROR(__xludf.DUMMYFUNCTION("""COMPUTED_VALUE"""),0.0)</f>
        <v>0</v>
      </c>
      <c r="AP3459" s="82">
        <f>IFERROR(__xludf.DUMMYFUNCTION("""COMPUTED_VALUE"""),0.0)</f>
        <v>0</v>
      </c>
      <c r="AQ3459" s="82">
        <f>IFERROR(__xludf.DUMMYFUNCTION("""COMPUTED_VALUE"""),0.0)</f>
        <v>0</v>
      </c>
      <c r="AR3459" s="82">
        <f>IFERROR(__xludf.DUMMYFUNCTION("""COMPUTED_VALUE"""),0.0)</f>
        <v>0</v>
      </c>
      <c r="AS3459" s="82"/>
      <c r="AT3459" s="82">
        <f>IFERROR(__xludf.DUMMYFUNCTION("""COMPUTED_VALUE"""),0.0)</f>
        <v>0</v>
      </c>
      <c r="AU3459" s="82"/>
      <c r="AV3459" s="82"/>
      <c r="AW3459" s="82" t="str">
        <f t="shared" si="1"/>
        <v/>
      </c>
      <c r="AX3459" s="83" t="str">
        <f t="array" ref="AX3459">IFERROR(DGET('SBV Import'!A:G,"SBV",{"RSC ID","Tier";B3459,A3459}))</f>
        <v/>
      </c>
      <c r="AY3459" s="82" t="str">
        <f t="shared" si="2"/>
        <v/>
      </c>
      <c r="AZ3459" s="82"/>
      <c r="BA3459" s="84" t="s">
        <v>152</v>
      </c>
      <c r="BB3459" s="84" t="str">
        <f>IFERROR(__xludf.DUMMYFUNCTION("iferror(if(A3459="""",,E3459&gt;=FILTER(Constants!$F$2:$F$10,Constants!$A$2:$A$10=A3459)))"),"")</f>
        <v/>
      </c>
    </row>
    <row r="3460">
      <c r="A3460" s="89"/>
      <c r="B3460" s="87"/>
      <c r="C3460" s="73"/>
      <c r="D3460" s="73"/>
      <c r="E3460" s="82"/>
      <c r="F3460" s="82"/>
      <c r="G3460" s="86"/>
      <c r="H3460" s="86"/>
      <c r="I3460" s="86"/>
      <c r="J3460" s="82"/>
      <c r="K3460" s="82"/>
      <c r="L3460" s="82"/>
      <c r="M3460" s="82"/>
      <c r="N3460" s="82"/>
      <c r="O3460" s="82"/>
      <c r="P3460" s="82"/>
      <c r="Q3460" s="82"/>
      <c r="R3460" s="82"/>
      <c r="S3460" s="82"/>
      <c r="T3460" s="82"/>
      <c r="U3460" s="82"/>
      <c r="V3460" s="82"/>
      <c r="W3460" s="82"/>
      <c r="X3460" s="82"/>
      <c r="Y3460" s="82"/>
      <c r="Z3460" s="82"/>
      <c r="AA3460" s="82"/>
      <c r="AB3460" s="82"/>
      <c r="AC3460" s="82"/>
      <c r="AD3460" s="82"/>
      <c r="AE3460" s="82"/>
      <c r="AF3460" s="82"/>
      <c r="AG3460" s="82"/>
      <c r="AH3460" s="82"/>
      <c r="AI3460" s="82"/>
      <c r="AJ3460" s="82"/>
      <c r="AK3460" s="82"/>
      <c r="AL3460" s="82"/>
      <c r="AM3460" s="82"/>
      <c r="AN3460" s="82">
        <f>IFERROR(__xludf.DUMMYFUNCTION("""COMPUTED_VALUE"""),0.0)</f>
        <v>0</v>
      </c>
      <c r="AO3460" s="82">
        <f>IFERROR(__xludf.DUMMYFUNCTION("""COMPUTED_VALUE"""),0.0)</f>
        <v>0</v>
      </c>
      <c r="AP3460" s="82">
        <f>IFERROR(__xludf.DUMMYFUNCTION("""COMPUTED_VALUE"""),0.0)</f>
        <v>0</v>
      </c>
      <c r="AQ3460" s="82">
        <f>IFERROR(__xludf.DUMMYFUNCTION("""COMPUTED_VALUE"""),0.0)</f>
        <v>0</v>
      </c>
      <c r="AR3460" s="82">
        <f>IFERROR(__xludf.DUMMYFUNCTION("""COMPUTED_VALUE"""),0.0)</f>
        <v>0</v>
      </c>
      <c r="AS3460" s="82"/>
      <c r="AT3460" s="82">
        <f>IFERROR(__xludf.DUMMYFUNCTION("""COMPUTED_VALUE"""),0.0)</f>
        <v>0</v>
      </c>
      <c r="AU3460" s="82"/>
      <c r="AV3460" s="82"/>
      <c r="AW3460" s="82" t="str">
        <f t="shared" si="1"/>
        <v/>
      </c>
      <c r="AX3460" s="83" t="str">
        <f t="array" ref="AX3460">IFERROR(DGET('SBV Import'!A:G,"SBV",{"RSC ID","Tier";B3460,A3460}))</f>
        <v/>
      </c>
      <c r="AY3460" s="82" t="str">
        <f t="shared" si="2"/>
        <v/>
      </c>
      <c r="AZ3460" s="82"/>
      <c r="BA3460" s="84" t="s">
        <v>152</v>
      </c>
      <c r="BB3460" s="84" t="str">
        <f>IFERROR(__xludf.DUMMYFUNCTION("iferror(if(A3460="""",,E3460&gt;=FILTER(Constants!$F$2:$F$10,Constants!$A$2:$A$10=A3460)))"),"")</f>
        <v/>
      </c>
    </row>
    <row r="3461">
      <c r="A3461" s="89"/>
      <c r="B3461" s="87"/>
      <c r="C3461" s="73"/>
      <c r="D3461" s="73"/>
      <c r="E3461" s="82"/>
      <c r="F3461" s="82"/>
      <c r="G3461" s="86"/>
      <c r="H3461" s="86"/>
      <c r="I3461" s="86"/>
      <c r="J3461" s="82"/>
      <c r="K3461" s="82"/>
      <c r="L3461" s="82"/>
      <c r="M3461" s="82"/>
      <c r="N3461" s="82"/>
      <c r="O3461" s="82"/>
      <c r="P3461" s="82"/>
      <c r="Q3461" s="82"/>
      <c r="R3461" s="82"/>
      <c r="S3461" s="82"/>
      <c r="T3461" s="82"/>
      <c r="U3461" s="82"/>
      <c r="V3461" s="82"/>
      <c r="W3461" s="82"/>
      <c r="X3461" s="82"/>
      <c r="Y3461" s="82"/>
      <c r="Z3461" s="82"/>
      <c r="AA3461" s="82"/>
      <c r="AB3461" s="82"/>
      <c r="AC3461" s="82"/>
      <c r="AD3461" s="82"/>
      <c r="AE3461" s="82"/>
      <c r="AF3461" s="82"/>
      <c r="AG3461" s="82"/>
      <c r="AH3461" s="82"/>
      <c r="AI3461" s="82"/>
      <c r="AJ3461" s="82"/>
      <c r="AK3461" s="82"/>
      <c r="AL3461" s="82"/>
      <c r="AM3461" s="82"/>
      <c r="AN3461" s="82">
        <f>IFERROR(__xludf.DUMMYFUNCTION("""COMPUTED_VALUE"""),0.0)</f>
        <v>0</v>
      </c>
      <c r="AO3461" s="82">
        <f>IFERROR(__xludf.DUMMYFUNCTION("""COMPUTED_VALUE"""),0.0)</f>
        <v>0</v>
      </c>
      <c r="AP3461" s="82">
        <f>IFERROR(__xludf.DUMMYFUNCTION("""COMPUTED_VALUE"""),0.0)</f>
        <v>0</v>
      </c>
      <c r="AQ3461" s="82">
        <f>IFERROR(__xludf.DUMMYFUNCTION("""COMPUTED_VALUE"""),0.0)</f>
        <v>0</v>
      </c>
      <c r="AR3461" s="82">
        <f>IFERROR(__xludf.DUMMYFUNCTION("""COMPUTED_VALUE"""),0.0)</f>
        <v>0</v>
      </c>
      <c r="AS3461" s="82"/>
      <c r="AT3461" s="82">
        <f>IFERROR(__xludf.DUMMYFUNCTION("""COMPUTED_VALUE"""),0.0)</f>
        <v>0</v>
      </c>
      <c r="AU3461" s="82"/>
      <c r="AV3461" s="82"/>
      <c r="AW3461" s="82" t="str">
        <f t="shared" si="1"/>
        <v/>
      </c>
      <c r="AX3461" s="83" t="str">
        <f t="array" ref="AX3461">IFERROR(DGET('SBV Import'!A:G,"SBV",{"RSC ID","Tier";B3461,A3461}))</f>
        <v/>
      </c>
      <c r="AY3461" s="82" t="str">
        <f t="shared" si="2"/>
        <v/>
      </c>
      <c r="AZ3461" s="82"/>
      <c r="BA3461" s="84" t="s">
        <v>152</v>
      </c>
      <c r="BB3461" s="84" t="str">
        <f>IFERROR(__xludf.DUMMYFUNCTION("iferror(if(A3461="""",,E3461&gt;=FILTER(Constants!$F$2:$F$10,Constants!$A$2:$A$10=A3461)))"),"")</f>
        <v/>
      </c>
    </row>
    <row r="3462">
      <c r="A3462" s="89"/>
      <c r="B3462" s="87"/>
      <c r="C3462" s="73"/>
      <c r="D3462" s="73"/>
      <c r="E3462" s="82"/>
      <c r="F3462" s="82"/>
      <c r="G3462" s="86"/>
      <c r="H3462" s="86"/>
      <c r="I3462" s="86"/>
      <c r="J3462" s="82"/>
      <c r="K3462" s="82"/>
      <c r="L3462" s="82"/>
      <c r="M3462" s="82"/>
      <c r="N3462" s="82"/>
      <c r="O3462" s="82"/>
      <c r="P3462" s="82"/>
      <c r="Q3462" s="82"/>
      <c r="R3462" s="82"/>
      <c r="S3462" s="82"/>
      <c r="T3462" s="82"/>
      <c r="U3462" s="82"/>
      <c r="V3462" s="82"/>
      <c r="W3462" s="82"/>
      <c r="X3462" s="82"/>
      <c r="Y3462" s="82"/>
      <c r="Z3462" s="82"/>
      <c r="AA3462" s="82"/>
      <c r="AB3462" s="82"/>
      <c r="AC3462" s="82"/>
      <c r="AD3462" s="82"/>
      <c r="AE3462" s="82"/>
      <c r="AF3462" s="82"/>
      <c r="AG3462" s="82"/>
      <c r="AH3462" s="82"/>
      <c r="AI3462" s="82"/>
      <c r="AJ3462" s="82"/>
      <c r="AK3462" s="82"/>
      <c r="AL3462" s="82"/>
      <c r="AM3462" s="82"/>
      <c r="AN3462" s="82">
        <f>IFERROR(__xludf.DUMMYFUNCTION("""COMPUTED_VALUE"""),0.0)</f>
        <v>0</v>
      </c>
      <c r="AO3462" s="82">
        <f>IFERROR(__xludf.DUMMYFUNCTION("""COMPUTED_VALUE"""),0.0)</f>
        <v>0</v>
      </c>
      <c r="AP3462" s="82">
        <f>IFERROR(__xludf.DUMMYFUNCTION("""COMPUTED_VALUE"""),0.0)</f>
        <v>0</v>
      </c>
      <c r="AQ3462" s="82">
        <f>IFERROR(__xludf.DUMMYFUNCTION("""COMPUTED_VALUE"""),0.0)</f>
        <v>0</v>
      </c>
      <c r="AR3462" s="82">
        <f>IFERROR(__xludf.DUMMYFUNCTION("""COMPUTED_VALUE"""),0.0)</f>
        <v>0</v>
      </c>
      <c r="AS3462" s="82"/>
      <c r="AT3462" s="82">
        <f>IFERROR(__xludf.DUMMYFUNCTION("""COMPUTED_VALUE"""),0.0)</f>
        <v>0</v>
      </c>
      <c r="AU3462" s="82"/>
      <c r="AV3462" s="82"/>
      <c r="AW3462" s="82" t="str">
        <f t="shared" si="1"/>
        <v/>
      </c>
      <c r="AX3462" s="83" t="str">
        <f t="array" ref="AX3462">IFERROR(DGET('SBV Import'!A:G,"SBV",{"RSC ID","Tier";B3462,A3462}))</f>
        <v/>
      </c>
      <c r="AY3462" s="82" t="str">
        <f t="shared" si="2"/>
        <v/>
      </c>
      <c r="AZ3462" s="82"/>
      <c r="BA3462" s="84" t="s">
        <v>152</v>
      </c>
      <c r="BB3462" s="84" t="str">
        <f>IFERROR(__xludf.DUMMYFUNCTION("iferror(if(A3462="""",,E3462&gt;=FILTER(Constants!$F$2:$F$10,Constants!$A$2:$A$10=A3462)))"),"")</f>
        <v/>
      </c>
    </row>
    <row r="3463">
      <c r="A3463" s="89"/>
      <c r="B3463" s="87"/>
      <c r="C3463" s="73"/>
      <c r="D3463" s="73"/>
      <c r="E3463" s="82"/>
      <c r="F3463" s="82"/>
      <c r="G3463" s="86"/>
      <c r="H3463" s="86"/>
      <c r="I3463" s="86"/>
      <c r="J3463" s="82"/>
      <c r="K3463" s="82"/>
      <c r="L3463" s="82"/>
      <c r="M3463" s="82"/>
      <c r="N3463" s="82"/>
      <c r="O3463" s="82"/>
      <c r="P3463" s="82"/>
      <c r="Q3463" s="82"/>
      <c r="R3463" s="82"/>
      <c r="S3463" s="82"/>
      <c r="T3463" s="82"/>
      <c r="U3463" s="82"/>
      <c r="V3463" s="82"/>
      <c r="W3463" s="82"/>
      <c r="X3463" s="82"/>
      <c r="Y3463" s="82"/>
      <c r="Z3463" s="82"/>
      <c r="AA3463" s="82"/>
      <c r="AB3463" s="82"/>
      <c r="AC3463" s="82"/>
      <c r="AD3463" s="82"/>
      <c r="AE3463" s="82"/>
      <c r="AF3463" s="82"/>
      <c r="AG3463" s="82"/>
      <c r="AH3463" s="82"/>
      <c r="AI3463" s="82"/>
      <c r="AJ3463" s="82"/>
      <c r="AK3463" s="82"/>
      <c r="AL3463" s="82"/>
      <c r="AM3463" s="82"/>
      <c r="AN3463" s="82">
        <f>IFERROR(__xludf.DUMMYFUNCTION("""COMPUTED_VALUE"""),0.0)</f>
        <v>0</v>
      </c>
      <c r="AO3463" s="82">
        <f>IFERROR(__xludf.DUMMYFUNCTION("""COMPUTED_VALUE"""),0.0)</f>
        <v>0</v>
      </c>
      <c r="AP3463" s="82">
        <f>IFERROR(__xludf.DUMMYFUNCTION("""COMPUTED_VALUE"""),0.0)</f>
        <v>0</v>
      </c>
      <c r="AQ3463" s="82">
        <f>IFERROR(__xludf.DUMMYFUNCTION("""COMPUTED_VALUE"""),0.0)</f>
        <v>0</v>
      </c>
      <c r="AR3463" s="82">
        <f>IFERROR(__xludf.DUMMYFUNCTION("""COMPUTED_VALUE"""),0.0)</f>
        <v>0</v>
      </c>
      <c r="AS3463" s="82"/>
      <c r="AT3463" s="82">
        <f>IFERROR(__xludf.DUMMYFUNCTION("""COMPUTED_VALUE"""),0.0)</f>
        <v>0</v>
      </c>
      <c r="AU3463" s="82"/>
      <c r="AV3463" s="82"/>
      <c r="AW3463" s="82" t="str">
        <f t="shared" si="1"/>
        <v/>
      </c>
      <c r="AX3463" s="83" t="str">
        <f t="array" ref="AX3463">IFERROR(DGET('SBV Import'!A:G,"SBV",{"RSC ID","Tier";B3463,A3463}))</f>
        <v/>
      </c>
      <c r="AY3463" s="82" t="str">
        <f t="shared" si="2"/>
        <v/>
      </c>
      <c r="AZ3463" s="82"/>
      <c r="BA3463" s="84" t="s">
        <v>152</v>
      </c>
      <c r="BB3463" s="84" t="str">
        <f>IFERROR(__xludf.DUMMYFUNCTION("iferror(if(A3463="""",,E3463&gt;=FILTER(Constants!$F$2:$F$10,Constants!$A$2:$A$10=A3463)))"),"")</f>
        <v/>
      </c>
    </row>
    <row r="3464">
      <c r="A3464" s="89"/>
      <c r="B3464" s="87"/>
      <c r="C3464" s="73"/>
      <c r="D3464" s="73"/>
      <c r="E3464" s="82"/>
      <c r="F3464" s="82"/>
      <c r="G3464" s="86"/>
      <c r="H3464" s="86"/>
      <c r="I3464" s="86"/>
      <c r="J3464" s="82"/>
      <c r="K3464" s="82"/>
      <c r="L3464" s="82"/>
      <c r="M3464" s="82"/>
      <c r="N3464" s="82"/>
      <c r="O3464" s="82"/>
      <c r="P3464" s="82"/>
      <c r="Q3464" s="82"/>
      <c r="R3464" s="82"/>
      <c r="S3464" s="82"/>
      <c r="T3464" s="82"/>
      <c r="U3464" s="82"/>
      <c r="V3464" s="82"/>
      <c r="W3464" s="82"/>
      <c r="X3464" s="82"/>
      <c r="Y3464" s="82"/>
      <c r="Z3464" s="82"/>
      <c r="AA3464" s="82"/>
      <c r="AB3464" s="82"/>
      <c r="AC3464" s="82"/>
      <c r="AD3464" s="82"/>
      <c r="AE3464" s="82"/>
      <c r="AF3464" s="82"/>
      <c r="AG3464" s="82"/>
      <c r="AH3464" s="82"/>
      <c r="AI3464" s="82"/>
      <c r="AJ3464" s="82"/>
      <c r="AK3464" s="82"/>
      <c r="AL3464" s="82"/>
      <c r="AM3464" s="82"/>
      <c r="AN3464" s="82">
        <f>IFERROR(__xludf.DUMMYFUNCTION("""COMPUTED_VALUE"""),0.0)</f>
        <v>0</v>
      </c>
      <c r="AO3464" s="82">
        <f>IFERROR(__xludf.DUMMYFUNCTION("""COMPUTED_VALUE"""),0.0)</f>
        <v>0</v>
      </c>
      <c r="AP3464" s="82">
        <f>IFERROR(__xludf.DUMMYFUNCTION("""COMPUTED_VALUE"""),0.0)</f>
        <v>0</v>
      </c>
      <c r="AQ3464" s="82">
        <f>IFERROR(__xludf.DUMMYFUNCTION("""COMPUTED_VALUE"""),0.0)</f>
        <v>0</v>
      </c>
      <c r="AR3464" s="82">
        <f>IFERROR(__xludf.DUMMYFUNCTION("""COMPUTED_VALUE"""),0.0)</f>
        <v>0</v>
      </c>
      <c r="AS3464" s="82"/>
      <c r="AT3464" s="82">
        <f>IFERROR(__xludf.DUMMYFUNCTION("""COMPUTED_VALUE"""),0.0)</f>
        <v>0</v>
      </c>
      <c r="AU3464" s="82"/>
      <c r="AV3464" s="82"/>
      <c r="AW3464" s="82" t="str">
        <f t="shared" si="1"/>
        <v/>
      </c>
      <c r="AX3464" s="83" t="str">
        <f t="array" ref="AX3464">IFERROR(DGET('SBV Import'!A:G,"SBV",{"RSC ID","Tier";B3464,A3464}))</f>
        <v/>
      </c>
      <c r="AY3464" s="82" t="str">
        <f t="shared" si="2"/>
        <v/>
      </c>
      <c r="AZ3464" s="82"/>
      <c r="BA3464" s="84" t="s">
        <v>152</v>
      </c>
      <c r="BB3464" s="84" t="str">
        <f>IFERROR(__xludf.DUMMYFUNCTION("iferror(if(A3464="""",,E3464&gt;=FILTER(Constants!$F$2:$F$10,Constants!$A$2:$A$10=A3464)))"),"")</f>
        <v/>
      </c>
    </row>
    <row r="3465">
      <c r="A3465" s="89"/>
      <c r="B3465" s="87"/>
      <c r="C3465" s="73"/>
      <c r="D3465" s="73"/>
      <c r="E3465" s="82"/>
      <c r="F3465" s="82"/>
      <c r="G3465" s="86"/>
      <c r="H3465" s="86"/>
      <c r="I3465" s="86"/>
      <c r="J3465" s="82"/>
      <c r="K3465" s="82"/>
      <c r="L3465" s="82"/>
      <c r="M3465" s="82"/>
      <c r="N3465" s="82"/>
      <c r="O3465" s="82"/>
      <c r="P3465" s="82"/>
      <c r="Q3465" s="82"/>
      <c r="R3465" s="82"/>
      <c r="S3465" s="82"/>
      <c r="T3465" s="82"/>
      <c r="U3465" s="82"/>
      <c r="V3465" s="82"/>
      <c r="W3465" s="82"/>
      <c r="X3465" s="82"/>
      <c r="Y3465" s="82"/>
      <c r="Z3465" s="82"/>
      <c r="AA3465" s="82"/>
      <c r="AB3465" s="82"/>
      <c r="AC3465" s="82"/>
      <c r="AD3465" s="82"/>
      <c r="AE3465" s="82"/>
      <c r="AF3465" s="82"/>
      <c r="AG3465" s="82"/>
      <c r="AH3465" s="82"/>
      <c r="AI3465" s="82"/>
      <c r="AJ3465" s="82"/>
      <c r="AK3465" s="82"/>
      <c r="AL3465" s="82"/>
      <c r="AM3465" s="82"/>
      <c r="AN3465" s="82">
        <f>IFERROR(__xludf.DUMMYFUNCTION("""COMPUTED_VALUE"""),0.0)</f>
        <v>0</v>
      </c>
      <c r="AO3465" s="82">
        <f>IFERROR(__xludf.DUMMYFUNCTION("""COMPUTED_VALUE"""),0.0)</f>
        <v>0</v>
      </c>
      <c r="AP3465" s="82">
        <f>IFERROR(__xludf.DUMMYFUNCTION("""COMPUTED_VALUE"""),0.0)</f>
        <v>0</v>
      </c>
      <c r="AQ3465" s="82">
        <f>IFERROR(__xludf.DUMMYFUNCTION("""COMPUTED_VALUE"""),0.0)</f>
        <v>0</v>
      </c>
      <c r="AR3465" s="82">
        <f>IFERROR(__xludf.DUMMYFUNCTION("""COMPUTED_VALUE"""),0.0)</f>
        <v>0</v>
      </c>
      <c r="AS3465" s="82"/>
      <c r="AT3465" s="82">
        <f>IFERROR(__xludf.DUMMYFUNCTION("""COMPUTED_VALUE"""),0.0)</f>
        <v>0</v>
      </c>
      <c r="AU3465" s="82"/>
      <c r="AV3465" s="82"/>
      <c r="AW3465" s="82" t="str">
        <f t="shared" si="1"/>
        <v/>
      </c>
      <c r="AX3465" s="83" t="str">
        <f t="array" ref="AX3465">IFERROR(DGET('SBV Import'!A:G,"SBV",{"RSC ID","Tier";B3465,A3465}))</f>
        <v/>
      </c>
      <c r="AY3465" s="82" t="str">
        <f t="shared" si="2"/>
        <v/>
      </c>
      <c r="AZ3465" s="82"/>
      <c r="BA3465" s="84" t="s">
        <v>152</v>
      </c>
      <c r="BB3465" s="84" t="str">
        <f>IFERROR(__xludf.DUMMYFUNCTION("iferror(if(A3465="""",,E3465&gt;=FILTER(Constants!$F$2:$F$10,Constants!$A$2:$A$10=A3465)))"),"")</f>
        <v/>
      </c>
    </row>
    <row r="3466">
      <c r="A3466" s="89"/>
      <c r="B3466" s="87"/>
      <c r="C3466" s="73"/>
      <c r="D3466" s="73"/>
      <c r="E3466" s="82"/>
      <c r="F3466" s="82"/>
      <c r="G3466" s="86"/>
      <c r="H3466" s="86"/>
      <c r="I3466" s="86"/>
      <c r="J3466" s="82"/>
      <c r="K3466" s="82"/>
      <c r="L3466" s="82"/>
      <c r="M3466" s="82"/>
      <c r="N3466" s="82"/>
      <c r="O3466" s="82"/>
      <c r="P3466" s="82"/>
      <c r="Q3466" s="82"/>
      <c r="R3466" s="82"/>
      <c r="S3466" s="82"/>
      <c r="T3466" s="82"/>
      <c r="U3466" s="82"/>
      <c r="V3466" s="82"/>
      <c r="W3466" s="82"/>
      <c r="X3466" s="82"/>
      <c r="Y3466" s="82"/>
      <c r="Z3466" s="82"/>
      <c r="AA3466" s="82"/>
      <c r="AB3466" s="82"/>
      <c r="AC3466" s="82"/>
      <c r="AD3466" s="82"/>
      <c r="AE3466" s="82"/>
      <c r="AF3466" s="82"/>
      <c r="AG3466" s="82"/>
      <c r="AH3466" s="82"/>
      <c r="AI3466" s="82"/>
      <c r="AJ3466" s="82"/>
      <c r="AK3466" s="82"/>
      <c r="AL3466" s="82"/>
      <c r="AM3466" s="82"/>
      <c r="AN3466" s="82">
        <f>IFERROR(__xludf.DUMMYFUNCTION("""COMPUTED_VALUE"""),0.0)</f>
        <v>0</v>
      </c>
      <c r="AO3466" s="82">
        <f>IFERROR(__xludf.DUMMYFUNCTION("""COMPUTED_VALUE"""),0.0)</f>
        <v>0</v>
      </c>
      <c r="AP3466" s="82">
        <f>IFERROR(__xludf.DUMMYFUNCTION("""COMPUTED_VALUE"""),0.0)</f>
        <v>0</v>
      </c>
      <c r="AQ3466" s="82">
        <f>IFERROR(__xludf.DUMMYFUNCTION("""COMPUTED_VALUE"""),0.0)</f>
        <v>0</v>
      </c>
      <c r="AR3466" s="82">
        <f>IFERROR(__xludf.DUMMYFUNCTION("""COMPUTED_VALUE"""),0.0)</f>
        <v>0</v>
      </c>
      <c r="AS3466" s="82"/>
      <c r="AT3466" s="82">
        <f>IFERROR(__xludf.DUMMYFUNCTION("""COMPUTED_VALUE"""),0.0)</f>
        <v>0</v>
      </c>
      <c r="AU3466" s="82"/>
      <c r="AV3466" s="82"/>
      <c r="AW3466" s="82" t="str">
        <f t="shared" si="1"/>
        <v/>
      </c>
      <c r="AX3466" s="83" t="str">
        <f t="array" ref="AX3466">IFERROR(DGET('SBV Import'!A:G,"SBV",{"RSC ID","Tier";B3466,A3466}))</f>
        <v/>
      </c>
      <c r="AY3466" s="82" t="str">
        <f t="shared" si="2"/>
        <v/>
      </c>
      <c r="AZ3466" s="82"/>
      <c r="BA3466" s="84" t="s">
        <v>152</v>
      </c>
      <c r="BB3466" s="84" t="str">
        <f>IFERROR(__xludf.DUMMYFUNCTION("iferror(if(A3466="""",,E3466&gt;=FILTER(Constants!$F$2:$F$10,Constants!$A$2:$A$10=A3466)))"),"")</f>
        <v/>
      </c>
    </row>
    <row r="3467">
      <c r="A3467" s="89"/>
      <c r="B3467" s="87"/>
      <c r="C3467" s="73"/>
      <c r="D3467" s="73"/>
      <c r="E3467" s="82"/>
      <c r="F3467" s="82"/>
      <c r="G3467" s="86"/>
      <c r="H3467" s="86"/>
      <c r="I3467" s="86"/>
      <c r="J3467" s="82"/>
      <c r="K3467" s="82"/>
      <c r="L3467" s="82"/>
      <c r="M3467" s="82"/>
      <c r="N3467" s="82"/>
      <c r="O3467" s="82"/>
      <c r="P3467" s="82"/>
      <c r="Q3467" s="82"/>
      <c r="R3467" s="82"/>
      <c r="S3467" s="82"/>
      <c r="T3467" s="82"/>
      <c r="U3467" s="82"/>
      <c r="V3467" s="82"/>
      <c r="W3467" s="82"/>
      <c r="X3467" s="82"/>
      <c r="Y3467" s="82"/>
      <c r="Z3467" s="82"/>
      <c r="AA3467" s="82"/>
      <c r="AB3467" s="82"/>
      <c r="AC3467" s="82"/>
      <c r="AD3467" s="82"/>
      <c r="AE3467" s="82"/>
      <c r="AF3467" s="82"/>
      <c r="AG3467" s="82"/>
      <c r="AH3467" s="82"/>
      <c r="AI3467" s="82"/>
      <c r="AJ3467" s="82"/>
      <c r="AK3467" s="82"/>
      <c r="AL3467" s="82"/>
      <c r="AM3467" s="82"/>
      <c r="AN3467" s="82">
        <f>IFERROR(__xludf.DUMMYFUNCTION("""COMPUTED_VALUE"""),0.0)</f>
        <v>0</v>
      </c>
      <c r="AO3467" s="82">
        <f>IFERROR(__xludf.DUMMYFUNCTION("""COMPUTED_VALUE"""),0.0)</f>
        <v>0</v>
      </c>
      <c r="AP3467" s="82">
        <f>IFERROR(__xludf.DUMMYFUNCTION("""COMPUTED_VALUE"""),0.0)</f>
        <v>0</v>
      </c>
      <c r="AQ3467" s="82">
        <f>IFERROR(__xludf.DUMMYFUNCTION("""COMPUTED_VALUE"""),0.0)</f>
        <v>0</v>
      </c>
      <c r="AR3467" s="82">
        <f>IFERROR(__xludf.DUMMYFUNCTION("""COMPUTED_VALUE"""),0.0)</f>
        <v>0</v>
      </c>
      <c r="AS3467" s="82"/>
      <c r="AT3467" s="82">
        <f>IFERROR(__xludf.DUMMYFUNCTION("""COMPUTED_VALUE"""),0.0)</f>
        <v>0</v>
      </c>
      <c r="AU3467" s="82"/>
      <c r="AV3467" s="82"/>
      <c r="AW3467" s="82" t="str">
        <f t="shared" si="1"/>
        <v/>
      </c>
      <c r="AX3467" s="83" t="str">
        <f t="array" ref="AX3467">IFERROR(DGET('SBV Import'!A:G,"SBV",{"RSC ID","Tier";B3467,A3467}))</f>
        <v/>
      </c>
      <c r="AY3467" s="82" t="str">
        <f t="shared" si="2"/>
        <v/>
      </c>
      <c r="AZ3467" s="82"/>
      <c r="BA3467" s="84" t="s">
        <v>152</v>
      </c>
      <c r="BB3467" s="84" t="str">
        <f>IFERROR(__xludf.DUMMYFUNCTION("iferror(if(A3467="""",,E3467&gt;=FILTER(Constants!$F$2:$F$10,Constants!$A$2:$A$10=A3467)))"),"")</f>
        <v/>
      </c>
    </row>
    <row r="3468">
      <c r="A3468" s="89"/>
      <c r="B3468" s="87"/>
      <c r="C3468" s="73"/>
      <c r="D3468" s="73"/>
      <c r="E3468" s="82"/>
      <c r="F3468" s="82"/>
      <c r="G3468" s="86"/>
      <c r="H3468" s="86"/>
      <c r="I3468" s="86"/>
      <c r="J3468" s="82"/>
      <c r="K3468" s="82"/>
      <c r="L3468" s="82"/>
      <c r="M3468" s="82"/>
      <c r="N3468" s="82"/>
      <c r="O3468" s="82"/>
      <c r="P3468" s="82"/>
      <c r="Q3468" s="82"/>
      <c r="R3468" s="82"/>
      <c r="S3468" s="82"/>
      <c r="T3468" s="82"/>
      <c r="U3468" s="82"/>
      <c r="V3468" s="82"/>
      <c r="W3468" s="82"/>
      <c r="X3468" s="82"/>
      <c r="Y3468" s="82"/>
      <c r="Z3468" s="82"/>
      <c r="AA3468" s="82"/>
      <c r="AB3468" s="82"/>
      <c r="AC3468" s="82"/>
      <c r="AD3468" s="82"/>
      <c r="AE3468" s="82"/>
      <c r="AF3468" s="82"/>
      <c r="AG3468" s="82"/>
      <c r="AH3468" s="82"/>
      <c r="AI3468" s="82"/>
      <c r="AJ3468" s="82"/>
      <c r="AK3468" s="82"/>
      <c r="AL3468" s="82"/>
      <c r="AM3468" s="82"/>
      <c r="AN3468" s="82">
        <f>IFERROR(__xludf.DUMMYFUNCTION("""COMPUTED_VALUE"""),0.0)</f>
        <v>0</v>
      </c>
      <c r="AO3468" s="82">
        <f>IFERROR(__xludf.DUMMYFUNCTION("""COMPUTED_VALUE"""),0.0)</f>
        <v>0</v>
      </c>
      <c r="AP3468" s="82">
        <f>IFERROR(__xludf.DUMMYFUNCTION("""COMPUTED_VALUE"""),0.0)</f>
        <v>0</v>
      </c>
      <c r="AQ3468" s="82">
        <f>IFERROR(__xludf.DUMMYFUNCTION("""COMPUTED_VALUE"""),0.0)</f>
        <v>0</v>
      </c>
      <c r="AR3468" s="82">
        <f>IFERROR(__xludf.DUMMYFUNCTION("""COMPUTED_VALUE"""),0.0)</f>
        <v>0</v>
      </c>
      <c r="AS3468" s="82"/>
      <c r="AT3468" s="82">
        <f>IFERROR(__xludf.DUMMYFUNCTION("""COMPUTED_VALUE"""),0.0)</f>
        <v>0</v>
      </c>
      <c r="AU3468" s="82"/>
      <c r="AV3468" s="82"/>
      <c r="AW3468" s="82" t="str">
        <f t="shared" si="1"/>
        <v/>
      </c>
      <c r="AX3468" s="83" t="str">
        <f t="array" ref="AX3468">IFERROR(DGET('SBV Import'!A:G,"SBV",{"RSC ID","Tier";B3468,A3468}))</f>
        <v/>
      </c>
      <c r="AY3468" s="82" t="str">
        <f t="shared" si="2"/>
        <v/>
      </c>
      <c r="AZ3468" s="82"/>
      <c r="BA3468" s="84" t="s">
        <v>152</v>
      </c>
      <c r="BB3468" s="84" t="str">
        <f>IFERROR(__xludf.DUMMYFUNCTION("iferror(if(A3468="""",,E3468&gt;=FILTER(Constants!$F$2:$F$10,Constants!$A$2:$A$10=A3468)))"),"")</f>
        <v/>
      </c>
    </row>
    <row r="3469">
      <c r="A3469" s="89"/>
      <c r="B3469" s="87"/>
      <c r="C3469" s="73"/>
      <c r="D3469" s="73"/>
      <c r="E3469" s="82"/>
      <c r="F3469" s="82"/>
      <c r="G3469" s="86"/>
      <c r="H3469" s="86"/>
      <c r="I3469" s="86"/>
      <c r="J3469" s="82"/>
      <c r="K3469" s="82"/>
      <c r="L3469" s="82"/>
      <c r="M3469" s="82"/>
      <c r="N3469" s="82"/>
      <c r="O3469" s="82"/>
      <c r="P3469" s="82"/>
      <c r="Q3469" s="82"/>
      <c r="R3469" s="82"/>
      <c r="S3469" s="82"/>
      <c r="T3469" s="82"/>
      <c r="U3469" s="82"/>
      <c r="V3469" s="82"/>
      <c r="W3469" s="82"/>
      <c r="X3469" s="82"/>
      <c r="Y3469" s="82"/>
      <c r="Z3469" s="82"/>
      <c r="AA3469" s="82"/>
      <c r="AB3469" s="82"/>
      <c r="AC3469" s="82"/>
      <c r="AD3469" s="82"/>
      <c r="AE3469" s="82"/>
      <c r="AF3469" s="82"/>
      <c r="AG3469" s="82"/>
      <c r="AH3469" s="82"/>
      <c r="AI3469" s="82"/>
      <c r="AJ3469" s="82"/>
      <c r="AK3469" s="82"/>
      <c r="AL3469" s="82"/>
      <c r="AM3469" s="82"/>
      <c r="AN3469" s="82">
        <f>IFERROR(__xludf.DUMMYFUNCTION("""COMPUTED_VALUE"""),0.0)</f>
        <v>0</v>
      </c>
      <c r="AO3469" s="82">
        <f>IFERROR(__xludf.DUMMYFUNCTION("""COMPUTED_VALUE"""),0.0)</f>
        <v>0</v>
      </c>
      <c r="AP3469" s="82">
        <f>IFERROR(__xludf.DUMMYFUNCTION("""COMPUTED_VALUE"""),0.0)</f>
        <v>0</v>
      </c>
      <c r="AQ3469" s="82">
        <f>IFERROR(__xludf.DUMMYFUNCTION("""COMPUTED_VALUE"""),0.0)</f>
        <v>0</v>
      </c>
      <c r="AR3469" s="82">
        <f>IFERROR(__xludf.DUMMYFUNCTION("""COMPUTED_VALUE"""),0.0)</f>
        <v>0</v>
      </c>
      <c r="AS3469" s="82"/>
      <c r="AT3469" s="82">
        <f>IFERROR(__xludf.DUMMYFUNCTION("""COMPUTED_VALUE"""),0.0)</f>
        <v>0</v>
      </c>
      <c r="AU3469" s="82"/>
      <c r="AV3469" s="82"/>
      <c r="AW3469" s="82" t="str">
        <f t="shared" si="1"/>
        <v/>
      </c>
      <c r="AX3469" s="83" t="str">
        <f t="array" ref="AX3469">IFERROR(DGET('SBV Import'!A:G,"SBV",{"RSC ID","Tier";B3469,A3469}))</f>
        <v/>
      </c>
      <c r="AY3469" s="82" t="str">
        <f t="shared" si="2"/>
        <v/>
      </c>
      <c r="AZ3469" s="82"/>
      <c r="BA3469" s="84" t="s">
        <v>152</v>
      </c>
      <c r="BB3469" s="84" t="str">
        <f>IFERROR(__xludf.DUMMYFUNCTION("iferror(if(A3469="""",,E3469&gt;=FILTER(Constants!$F$2:$F$10,Constants!$A$2:$A$10=A3469)))"),"")</f>
        <v/>
      </c>
    </row>
    <row r="3470">
      <c r="A3470" s="89"/>
      <c r="B3470" s="87"/>
      <c r="C3470" s="73"/>
      <c r="D3470" s="73"/>
      <c r="E3470" s="82"/>
      <c r="F3470" s="82"/>
      <c r="G3470" s="86"/>
      <c r="H3470" s="86"/>
      <c r="I3470" s="86"/>
      <c r="J3470" s="82"/>
      <c r="K3470" s="82"/>
      <c r="L3470" s="82"/>
      <c r="M3470" s="82"/>
      <c r="N3470" s="82"/>
      <c r="O3470" s="82"/>
      <c r="P3470" s="82"/>
      <c r="Q3470" s="82"/>
      <c r="R3470" s="82"/>
      <c r="S3470" s="82"/>
      <c r="T3470" s="82"/>
      <c r="U3470" s="82"/>
      <c r="V3470" s="82"/>
      <c r="W3470" s="82"/>
      <c r="X3470" s="82"/>
      <c r="Y3470" s="82"/>
      <c r="Z3470" s="82"/>
      <c r="AA3470" s="82"/>
      <c r="AB3470" s="82"/>
      <c r="AC3470" s="82"/>
      <c r="AD3470" s="82"/>
      <c r="AE3470" s="82"/>
      <c r="AF3470" s="82"/>
      <c r="AG3470" s="82"/>
      <c r="AH3470" s="82"/>
      <c r="AI3470" s="82"/>
      <c r="AJ3470" s="82"/>
      <c r="AK3470" s="82"/>
      <c r="AL3470" s="82"/>
      <c r="AM3470" s="82"/>
      <c r="AN3470" s="82">
        <f>IFERROR(__xludf.DUMMYFUNCTION("""COMPUTED_VALUE"""),0.0)</f>
        <v>0</v>
      </c>
      <c r="AO3470" s="82">
        <f>IFERROR(__xludf.DUMMYFUNCTION("""COMPUTED_VALUE"""),0.0)</f>
        <v>0</v>
      </c>
      <c r="AP3470" s="82">
        <f>IFERROR(__xludf.DUMMYFUNCTION("""COMPUTED_VALUE"""),0.0)</f>
        <v>0</v>
      </c>
      <c r="AQ3470" s="82">
        <f>IFERROR(__xludf.DUMMYFUNCTION("""COMPUTED_VALUE"""),0.0)</f>
        <v>0</v>
      </c>
      <c r="AR3470" s="82">
        <f>IFERROR(__xludf.DUMMYFUNCTION("""COMPUTED_VALUE"""),0.0)</f>
        <v>0</v>
      </c>
      <c r="AS3470" s="82"/>
      <c r="AT3470" s="82">
        <f>IFERROR(__xludf.DUMMYFUNCTION("""COMPUTED_VALUE"""),0.0)</f>
        <v>0</v>
      </c>
      <c r="AU3470" s="82"/>
      <c r="AV3470" s="82"/>
      <c r="AW3470" s="82" t="str">
        <f t="shared" si="1"/>
        <v/>
      </c>
      <c r="AX3470" s="83" t="str">
        <f t="array" ref="AX3470">IFERROR(DGET('SBV Import'!A:G,"SBV",{"RSC ID","Tier";B3470,A3470}))</f>
        <v/>
      </c>
      <c r="AY3470" s="82" t="str">
        <f t="shared" si="2"/>
        <v/>
      </c>
      <c r="AZ3470" s="82"/>
      <c r="BA3470" s="84" t="s">
        <v>152</v>
      </c>
      <c r="BB3470" s="84" t="str">
        <f>IFERROR(__xludf.DUMMYFUNCTION("iferror(if(A3470="""",,E3470&gt;=FILTER(Constants!$F$2:$F$10,Constants!$A$2:$A$10=A3470)))"),"")</f>
        <v/>
      </c>
    </row>
    <row r="3471">
      <c r="A3471" s="89"/>
      <c r="B3471" s="87"/>
      <c r="C3471" s="73"/>
      <c r="D3471" s="73"/>
      <c r="E3471" s="82"/>
      <c r="F3471" s="82"/>
      <c r="G3471" s="86"/>
      <c r="H3471" s="86"/>
      <c r="I3471" s="86"/>
      <c r="J3471" s="82"/>
      <c r="K3471" s="82"/>
      <c r="L3471" s="82"/>
      <c r="M3471" s="82"/>
      <c r="N3471" s="82"/>
      <c r="O3471" s="82"/>
      <c r="P3471" s="82"/>
      <c r="Q3471" s="82"/>
      <c r="R3471" s="82"/>
      <c r="S3471" s="82"/>
      <c r="T3471" s="82"/>
      <c r="U3471" s="82"/>
      <c r="V3471" s="82"/>
      <c r="W3471" s="82"/>
      <c r="X3471" s="82"/>
      <c r="Y3471" s="82"/>
      <c r="Z3471" s="82"/>
      <c r="AA3471" s="82"/>
      <c r="AB3471" s="82"/>
      <c r="AC3471" s="82"/>
      <c r="AD3471" s="82"/>
      <c r="AE3471" s="82"/>
      <c r="AF3471" s="82"/>
      <c r="AG3471" s="82"/>
      <c r="AH3471" s="82"/>
      <c r="AI3471" s="82"/>
      <c r="AJ3471" s="82"/>
      <c r="AK3471" s="82"/>
      <c r="AL3471" s="82"/>
      <c r="AM3471" s="82"/>
      <c r="AN3471" s="82">
        <f>IFERROR(__xludf.DUMMYFUNCTION("""COMPUTED_VALUE"""),0.0)</f>
        <v>0</v>
      </c>
      <c r="AO3471" s="82">
        <f>IFERROR(__xludf.DUMMYFUNCTION("""COMPUTED_VALUE"""),0.0)</f>
        <v>0</v>
      </c>
      <c r="AP3471" s="82">
        <f>IFERROR(__xludf.DUMMYFUNCTION("""COMPUTED_VALUE"""),0.0)</f>
        <v>0</v>
      </c>
      <c r="AQ3471" s="82">
        <f>IFERROR(__xludf.DUMMYFUNCTION("""COMPUTED_VALUE"""),0.0)</f>
        <v>0</v>
      </c>
      <c r="AR3471" s="82">
        <f>IFERROR(__xludf.DUMMYFUNCTION("""COMPUTED_VALUE"""),0.0)</f>
        <v>0</v>
      </c>
      <c r="AS3471" s="82"/>
      <c r="AT3471" s="82">
        <f>IFERROR(__xludf.DUMMYFUNCTION("""COMPUTED_VALUE"""),0.0)</f>
        <v>0</v>
      </c>
      <c r="AU3471" s="82"/>
      <c r="AV3471" s="82"/>
      <c r="AW3471" s="82" t="str">
        <f t="shared" si="1"/>
        <v/>
      </c>
      <c r="AX3471" s="83" t="str">
        <f t="array" ref="AX3471">IFERROR(DGET('SBV Import'!A:G,"SBV",{"RSC ID","Tier";B3471,A3471}))</f>
        <v/>
      </c>
      <c r="AY3471" s="82" t="str">
        <f t="shared" si="2"/>
        <v/>
      </c>
      <c r="AZ3471" s="82"/>
      <c r="BA3471" s="84" t="s">
        <v>152</v>
      </c>
      <c r="BB3471" s="84" t="str">
        <f>IFERROR(__xludf.DUMMYFUNCTION("iferror(if(A3471="""",,E3471&gt;=FILTER(Constants!$F$2:$F$10,Constants!$A$2:$A$10=A3471)))"),"")</f>
        <v/>
      </c>
    </row>
    <row r="3472">
      <c r="A3472" s="89"/>
      <c r="B3472" s="87"/>
      <c r="C3472" s="73"/>
      <c r="D3472" s="73"/>
      <c r="E3472" s="82"/>
      <c r="F3472" s="82"/>
      <c r="G3472" s="86"/>
      <c r="H3472" s="86"/>
      <c r="I3472" s="86"/>
      <c r="J3472" s="82"/>
      <c r="K3472" s="82"/>
      <c r="L3472" s="82"/>
      <c r="M3472" s="82"/>
      <c r="N3472" s="82"/>
      <c r="O3472" s="82"/>
      <c r="P3472" s="82"/>
      <c r="Q3472" s="82"/>
      <c r="R3472" s="82"/>
      <c r="S3472" s="82"/>
      <c r="T3472" s="82"/>
      <c r="U3472" s="82"/>
      <c r="V3472" s="82"/>
      <c r="W3472" s="82"/>
      <c r="X3472" s="82"/>
      <c r="Y3472" s="82"/>
      <c r="Z3472" s="82"/>
      <c r="AA3472" s="82"/>
      <c r="AB3472" s="82"/>
      <c r="AC3472" s="82"/>
      <c r="AD3472" s="82"/>
      <c r="AE3472" s="82"/>
      <c r="AF3472" s="82"/>
      <c r="AG3472" s="82"/>
      <c r="AH3472" s="82"/>
      <c r="AI3472" s="82"/>
      <c r="AJ3472" s="82"/>
      <c r="AK3472" s="82"/>
      <c r="AL3472" s="82"/>
      <c r="AM3472" s="82"/>
      <c r="AN3472" s="82">
        <f>IFERROR(__xludf.DUMMYFUNCTION("""COMPUTED_VALUE"""),0.0)</f>
        <v>0</v>
      </c>
      <c r="AO3472" s="82">
        <f>IFERROR(__xludf.DUMMYFUNCTION("""COMPUTED_VALUE"""),0.0)</f>
        <v>0</v>
      </c>
      <c r="AP3472" s="82">
        <f>IFERROR(__xludf.DUMMYFUNCTION("""COMPUTED_VALUE"""),0.0)</f>
        <v>0</v>
      </c>
      <c r="AQ3472" s="82">
        <f>IFERROR(__xludf.DUMMYFUNCTION("""COMPUTED_VALUE"""),0.0)</f>
        <v>0</v>
      </c>
      <c r="AR3472" s="82">
        <f>IFERROR(__xludf.DUMMYFUNCTION("""COMPUTED_VALUE"""),0.0)</f>
        <v>0</v>
      </c>
      <c r="AS3472" s="82"/>
      <c r="AT3472" s="82">
        <f>IFERROR(__xludf.DUMMYFUNCTION("""COMPUTED_VALUE"""),0.0)</f>
        <v>0</v>
      </c>
      <c r="AU3472" s="82"/>
      <c r="AV3472" s="82"/>
      <c r="AW3472" s="82" t="str">
        <f t="shared" si="1"/>
        <v/>
      </c>
      <c r="AX3472" s="83" t="str">
        <f t="array" ref="AX3472">IFERROR(DGET('SBV Import'!A:G,"SBV",{"RSC ID","Tier";B3472,A3472}))</f>
        <v/>
      </c>
      <c r="AY3472" s="82" t="str">
        <f t="shared" si="2"/>
        <v/>
      </c>
      <c r="AZ3472" s="82"/>
      <c r="BA3472" s="84" t="s">
        <v>152</v>
      </c>
      <c r="BB3472" s="84" t="str">
        <f>IFERROR(__xludf.DUMMYFUNCTION("iferror(if(A3472="""",,E3472&gt;=FILTER(Constants!$F$2:$F$10,Constants!$A$2:$A$10=A3472)))"),"")</f>
        <v/>
      </c>
    </row>
    <row r="3473">
      <c r="A3473" s="89"/>
      <c r="B3473" s="87"/>
      <c r="C3473" s="73"/>
      <c r="D3473" s="73"/>
      <c r="E3473" s="82"/>
      <c r="F3473" s="82"/>
      <c r="G3473" s="86"/>
      <c r="H3473" s="86"/>
      <c r="I3473" s="86"/>
      <c r="J3473" s="82"/>
      <c r="K3473" s="82"/>
      <c r="L3473" s="82"/>
      <c r="M3473" s="82"/>
      <c r="N3473" s="82"/>
      <c r="O3473" s="82"/>
      <c r="P3473" s="82"/>
      <c r="Q3473" s="82"/>
      <c r="R3473" s="82"/>
      <c r="S3473" s="82"/>
      <c r="T3473" s="82"/>
      <c r="U3473" s="82"/>
      <c r="V3473" s="82"/>
      <c r="W3473" s="82"/>
      <c r="X3473" s="82"/>
      <c r="Y3473" s="82"/>
      <c r="Z3473" s="82"/>
      <c r="AA3473" s="82"/>
      <c r="AB3473" s="82"/>
      <c r="AC3473" s="82"/>
      <c r="AD3473" s="82"/>
      <c r="AE3473" s="82"/>
      <c r="AF3473" s="82"/>
      <c r="AG3473" s="82"/>
      <c r="AH3473" s="82"/>
      <c r="AI3473" s="82"/>
      <c r="AJ3473" s="82"/>
      <c r="AK3473" s="82"/>
      <c r="AL3473" s="82"/>
      <c r="AM3473" s="82"/>
      <c r="AN3473" s="82">
        <f>IFERROR(__xludf.DUMMYFUNCTION("""COMPUTED_VALUE"""),0.0)</f>
        <v>0</v>
      </c>
      <c r="AO3473" s="82">
        <f>IFERROR(__xludf.DUMMYFUNCTION("""COMPUTED_VALUE"""),0.0)</f>
        <v>0</v>
      </c>
      <c r="AP3473" s="82">
        <f>IFERROR(__xludf.DUMMYFUNCTION("""COMPUTED_VALUE"""),0.0)</f>
        <v>0</v>
      </c>
      <c r="AQ3473" s="82">
        <f>IFERROR(__xludf.DUMMYFUNCTION("""COMPUTED_VALUE"""),0.0)</f>
        <v>0</v>
      </c>
      <c r="AR3473" s="82">
        <f>IFERROR(__xludf.DUMMYFUNCTION("""COMPUTED_VALUE"""),0.0)</f>
        <v>0</v>
      </c>
      <c r="AS3473" s="82"/>
      <c r="AT3473" s="82">
        <f>IFERROR(__xludf.DUMMYFUNCTION("""COMPUTED_VALUE"""),0.0)</f>
        <v>0</v>
      </c>
      <c r="AU3473" s="82"/>
      <c r="AV3473" s="82"/>
      <c r="AW3473" s="82" t="str">
        <f t="shared" si="1"/>
        <v/>
      </c>
      <c r="AX3473" s="83" t="str">
        <f t="array" ref="AX3473">IFERROR(DGET('SBV Import'!A:G,"SBV",{"RSC ID","Tier";B3473,A3473}))</f>
        <v/>
      </c>
      <c r="AY3473" s="82" t="str">
        <f t="shared" si="2"/>
        <v/>
      </c>
      <c r="AZ3473" s="82"/>
      <c r="BA3473" s="84" t="s">
        <v>152</v>
      </c>
      <c r="BB3473" s="84" t="str">
        <f>IFERROR(__xludf.DUMMYFUNCTION("iferror(if(A3473="""",,E3473&gt;=FILTER(Constants!$F$2:$F$10,Constants!$A$2:$A$10=A3473)))"),"")</f>
        <v/>
      </c>
    </row>
    <row r="3474">
      <c r="A3474" s="89"/>
      <c r="B3474" s="87"/>
      <c r="C3474" s="73"/>
      <c r="D3474" s="73"/>
      <c r="E3474" s="82"/>
      <c r="F3474" s="82"/>
      <c r="G3474" s="86"/>
      <c r="H3474" s="86"/>
      <c r="I3474" s="86"/>
      <c r="J3474" s="82"/>
      <c r="K3474" s="82"/>
      <c r="L3474" s="82"/>
      <c r="M3474" s="82"/>
      <c r="N3474" s="82"/>
      <c r="O3474" s="82"/>
      <c r="P3474" s="82"/>
      <c r="Q3474" s="82"/>
      <c r="R3474" s="82"/>
      <c r="S3474" s="82"/>
      <c r="T3474" s="82"/>
      <c r="U3474" s="82"/>
      <c r="V3474" s="82"/>
      <c r="W3474" s="82"/>
      <c r="X3474" s="82"/>
      <c r="Y3474" s="82"/>
      <c r="Z3474" s="82"/>
      <c r="AA3474" s="82"/>
      <c r="AB3474" s="82"/>
      <c r="AC3474" s="82"/>
      <c r="AD3474" s="82"/>
      <c r="AE3474" s="82"/>
      <c r="AF3474" s="82"/>
      <c r="AG3474" s="82"/>
      <c r="AH3474" s="82"/>
      <c r="AI3474" s="82"/>
      <c r="AJ3474" s="82"/>
      <c r="AK3474" s="82"/>
      <c r="AL3474" s="82"/>
      <c r="AM3474" s="82"/>
      <c r="AN3474" s="82">
        <f>IFERROR(__xludf.DUMMYFUNCTION("""COMPUTED_VALUE"""),0.0)</f>
        <v>0</v>
      </c>
      <c r="AO3474" s="82">
        <f>IFERROR(__xludf.DUMMYFUNCTION("""COMPUTED_VALUE"""),0.0)</f>
        <v>0</v>
      </c>
      <c r="AP3474" s="82">
        <f>IFERROR(__xludf.DUMMYFUNCTION("""COMPUTED_VALUE"""),0.0)</f>
        <v>0</v>
      </c>
      <c r="AQ3474" s="82">
        <f>IFERROR(__xludf.DUMMYFUNCTION("""COMPUTED_VALUE"""),0.0)</f>
        <v>0</v>
      </c>
      <c r="AR3474" s="82">
        <f>IFERROR(__xludf.DUMMYFUNCTION("""COMPUTED_VALUE"""),0.0)</f>
        <v>0</v>
      </c>
      <c r="AS3474" s="82"/>
      <c r="AT3474" s="82">
        <f>IFERROR(__xludf.DUMMYFUNCTION("""COMPUTED_VALUE"""),0.0)</f>
        <v>0</v>
      </c>
      <c r="AU3474" s="82"/>
      <c r="AV3474" s="82"/>
      <c r="AW3474" s="82" t="str">
        <f t="shared" si="1"/>
        <v/>
      </c>
      <c r="AX3474" s="83" t="str">
        <f t="array" ref="AX3474">IFERROR(DGET('SBV Import'!A:G,"SBV",{"RSC ID","Tier";B3474,A3474}))</f>
        <v/>
      </c>
      <c r="AY3474" s="82" t="str">
        <f t="shared" si="2"/>
        <v/>
      </c>
      <c r="AZ3474" s="82"/>
      <c r="BA3474" s="84" t="s">
        <v>152</v>
      </c>
      <c r="BB3474" s="84" t="str">
        <f>IFERROR(__xludf.DUMMYFUNCTION("iferror(if(A3474="""",,E3474&gt;=FILTER(Constants!$F$2:$F$10,Constants!$A$2:$A$10=A3474)))"),"")</f>
        <v/>
      </c>
    </row>
    <row r="3475">
      <c r="A3475" s="89"/>
      <c r="B3475" s="87"/>
      <c r="C3475" s="73"/>
      <c r="D3475" s="73"/>
      <c r="E3475" s="82"/>
      <c r="F3475" s="82"/>
      <c r="G3475" s="86"/>
      <c r="H3475" s="86"/>
      <c r="I3475" s="86"/>
      <c r="J3475" s="82"/>
      <c r="K3475" s="82"/>
      <c r="L3475" s="82"/>
      <c r="M3475" s="82"/>
      <c r="N3475" s="82"/>
      <c r="O3475" s="82"/>
      <c r="P3475" s="82"/>
      <c r="Q3475" s="82"/>
      <c r="R3475" s="82"/>
      <c r="S3475" s="82"/>
      <c r="T3475" s="82"/>
      <c r="U3475" s="82"/>
      <c r="V3475" s="82"/>
      <c r="W3475" s="82"/>
      <c r="X3475" s="82"/>
      <c r="Y3475" s="82"/>
      <c r="Z3475" s="82"/>
      <c r="AA3475" s="82"/>
      <c r="AB3475" s="82"/>
      <c r="AC3475" s="82"/>
      <c r="AD3475" s="82"/>
      <c r="AE3475" s="82"/>
      <c r="AF3475" s="82"/>
      <c r="AG3475" s="82"/>
      <c r="AH3475" s="82"/>
      <c r="AI3475" s="82"/>
      <c r="AJ3475" s="82"/>
      <c r="AK3475" s="82"/>
      <c r="AL3475" s="82"/>
      <c r="AM3475" s="82"/>
      <c r="AN3475" s="82">
        <f>IFERROR(__xludf.DUMMYFUNCTION("""COMPUTED_VALUE"""),0.0)</f>
        <v>0</v>
      </c>
      <c r="AO3475" s="82">
        <f>IFERROR(__xludf.DUMMYFUNCTION("""COMPUTED_VALUE"""),0.0)</f>
        <v>0</v>
      </c>
      <c r="AP3475" s="82">
        <f>IFERROR(__xludf.DUMMYFUNCTION("""COMPUTED_VALUE"""),0.0)</f>
        <v>0</v>
      </c>
      <c r="AQ3475" s="82">
        <f>IFERROR(__xludf.DUMMYFUNCTION("""COMPUTED_VALUE"""),0.0)</f>
        <v>0</v>
      </c>
      <c r="AR3475" s="82">
        <f>IFERROR(__xludf.DUMMYFUNCTION("""COMPUTED_VALUE"""),0.0)</f>
        <v>0</v>
      </c>
      <c r="AS3475" s="82"/>
      <c r="AT3475" s="82">
        <f>IFERROR(__xludf.DUMMYFUNCTION("""COMPUTED_VALUE"""),0.0)</f>
        <v>0</v>
      </c>
      <c r="AU3475" s="82"/>
      <c r="AV3475" s="82"/>
      <c r="AW3475" s="82" t="str">
        <f t="shared" si="1"/>
        <v/>
      </c>
      <c r="AX3475" s="83" t="str">
        <f t="array" ref="AX3475">IFERROR(DGET('SBV Import'!A:G,"SBV",{"RSC ID","Tier";B3475,A3475}))</f>
        <v/>
      </c>
      <c r="AY3475" s="82" t="str">
        <f t="shared" si="2"/>
        <v/>
      </c>
      <c r="AZ3475" s="82"/>
      <c r="BA3475" s="84" t="s">
        <v>152</v>
      </c>
      <c r="BB3475" s="84" t="str">
        <f>IFERROR(__xludf.DUMMYFUNCTION("iferror(if(A3475="""",,E3475&gt;=FILTER(Constants!$F$2:$F$10,Constants!$A$2:$A$10=A3475)))"),"")</f>
        <v/>
      </c>
    </row>
    <row r="3476">
      <c r="A3476" s="89"/>
      <c r="B3476" s="87"/>
      <c r="C3476" s="73"/>
      <c r="D3476" s="73"/>
      <c r="E3476" s="82"/>
      <c r="F3476" s="82"/>
      <c r="G3476" s="86"/>
      <c r="H3476" s="86"/>
      <c r="I3476" s="86"/>
      <c r="J3476" s="82"/>
      <c r="K3476" s="82"/>
      <c r="L3476" s="82"/>
      <c r="M3476" s="82"/>
      <c r="N3476" s="82"/>
      <c r="O3476" s="82"/>
      <c r="P3476" s="82"/>
      <c r="Q3476" s="82"/>
      <c r="R3476" s="82"/>
      <c r="S3476" s="82"/>
      <c r="T3476" s="82"/>
      <c r="U3476" s="82"/>
      <c r="V3476" s="82"/>
      <c r="W3476" s="82"/>
      <c r="X3476" s="82"/>
      <c r="Y3476" s="82"/>
      <c r="Z3476" s="82"/>
      <c r="AA3476" s="82"/>
      <c r="AB3476" s="82"/>
      <c r="AC3476" s="82"/>
      <c r="AD3476" s="82"/>
      <c r="AE3476" s="82"/>
      <c r="AF3476" s="82"/>
      <c r="AG3476" s="82"/>
      <c r="AH3476" s="82"/>
      <c r="AI3476" s="82"/>
      <c r="AJ3476" s="82"/>
      <c r="AK3476" s="82"/>
      <c r="AL3476" s="82"/>
      <c r="AM3476" s="82"/>
      <c r="AN3476" s="82">
        <f>IFERROR(__xludf.DUMMYFUNCTION("""COMPUTED_VALUE"""),0.0)</f>
        <v>0</v>
      </c>
      <c r="AO3476" s="82">
        <f>IFERROR(__xludf.DUMMYFUNCTION("""COMPUTED_VALUE"""),0.0)</f>
        <v>0</v>
      </c>
      <c r="AP3476" s="82">
        <f>IFERROR(__xludf.DUMMYFUNCTION("""COMPUTED_VALUE"""),0.0)</f>
        <v>0</v>
      </c>
      <c r="AQ3476" s="82">
        <f>IFERROR(__xludf.DUMMYFUNCTION("""COMPUTED_VALUE"""),0.0)</f>
        <v>0</v>
      </c>
      <c r="AR3476" s="82">
        <f>IFERROR(__xludf.DUMMYFUNCTION("""COMPUTED_VALUE"""),0.0)</f>
        <v>0</v>
      </c>
      <c r="AS3476" s="82"/>
      <c r="AT3476" s="82">
        <f>IFERROR(__xludf.DUMMYFUNCTION("""COMPUTED_VALUE"""),0.0)</f>
        <v>0</v>
      </c>
      <c r="AU3476" s="82"/>
      <c r="AV3476" s="82"/>
      <c r="AW3476" s="82" t="str">
        <f t="shared" si="1"/>
        <v/>
      </c>
      <c r="AX3476" s="83" t="str">
        <f t="array" ref="AX3476">IFERROR(DGET('SBV Import'!A:G,"SBV",{"RSC ID","Tier";B3476,A3476}))</f>
        <v/>
      </c>
      <c r="AY3476" s="82" t="str">
        <f t="shared" si="2"/>
        <v/>
      </c>
      <c r="AZ3476" s="82"/>
      <c r="BA3476" s="84" t="s">
        <v>152</v>
      </c>
      <c r="BB3476" s="84" t="str">
        <f>IFERROR(__xludf.DUMMYFUNCTION("iferror(if(A3476="""",,E3476&gt;=FILTER(Constants!$F$2:$F$10,Constants!$A$2:$A$10=A3476)))"),"")</f>
        <v/>
      </c>
    </row>
    <row r="3477">
      <c r="A3477" s="89"/>
      <c r="B3477" s="87"/>
      <c r="C3477" s="73"/>
      <c r="D3477" s="73"/>
      <c r="E3477" s="82"/>
      <c r="F3477" s="82"/>
      <c r="G3477" s="86"/>
      <c r="H3477" s="86"/>
      <c r="I3477" s="86"/>
      <c r="J3477" s="82"/>
      <c r="K3477" s="82"/>
      <c r="L3477" s="82"/>
      <c r="M3477" s="82"/>
      <c r="N3477" s="82"/>
      <c r="O3477" s="82"/>
      <c r="P3477" s="82"/>
      <c r="Q3477" s="82"/>
      <c r="R3477" s="82"/>
      <c r="S3477" s="82"/>
      <c r="T3477" s="82"/>
      <c r="U3477" s="82"/>
      <c r="V3477" s="82"/>
      <c r="W3477" s="82"/>
      <c r="X3477" s="82"/>
      <c r="Y3477" s="82"/>
      <c r="Z3477" s="82"/>
      <c r="AA3477" s="82"/>
      <c r="AB3477" s="82"/>
      <c r="AC3477" s="82"/>
      <c r="AD3477" s="82"/>
      <c r="AE3477" s="82"/>
      <c r="AF3477" s="82"/>
      <c r="AG3477" s="82"/>
      <c r="AH3477" s="82"/>
      <c r="AI3477" s="82"/>
      <c r="AJ3477" s="82"/>
      <c r="AK3477" s="82"/>
      <c r="AL3477" s="82"/>
      <c r="AM3477" s="82"/>
      <c r="AN3477" s="82">
        <f>IFERROR(__xludf.DUMMYFUNCTION("""COMPUTED_VALUE"""),0.0)</f>
        <v>0</v>
      </c>
      <c r="AO3477" s="82">
        <f>IFERROR(__xludf.DUMMYFUNCTION("""COMPUTED_VALUE"""),0.0)</f>
        <v>0</v>
      </c>
      <c r="AP3477" s="82">
        <f>IFERROR(__xludf.DUMMYFUNCTION("""COMPUTED_VALUE"""),0.0)</f>
        <v>0</v>
      </c>
      <c r="AQ3477" s="82">
        <f>IFERROR(__xludf.DUMMYFUNCTION("""COMPUTED_VALUE"""),0.0)</f>
        <v>0</v>
      </c>
      <c r="AR3477" s="82">
        <f>IFERROR(__xludf.DUMMYFUNCTION("""COMPUTED_VALUE"""),0.0)</f>
        <v>0</v>
      </c>
      <c r="AS3477" s="82"/>
      <c r="AT3477" s="82">
        <f>IFERROR(__xludf.DUMMYFUNCTION("""COMPUTED_VALUE"""),0.0)</f>
        <v>0</v>
      </c>
      <c r="AU3477" s="82"/>
      <c r="AV3477" s="82"/>
      <c r="AW3477" s="82" t="str">
        <f t="shared" si="1"/>
        <v/>
      </c>
      <c r="AX3477" s="83" t="str">
        <f t="array" ref="AX3477">IFERROR(DGET('SBV Import'!A:G,"SBV",{"RSC ID","Tier";B3477,A3477}))</f>
        <v/>
      </c>
      <c r="AY3477" s="82" t="str">
        <f t="shared" si="2"/>
        <v/>
      </c>
      <c r="AZ3477" s="82"/>
      <c r="BA3477" s="84" t="s">
        <v>152</v>
      </c>
      <c r="BB3477" s="84" t="str">
        <f>IFERROR(__xludf.DUMMYFUNCTION("iferror(if(A3477="""",,E3477&gt;=FILTER(Constants!$F$2:$F$10,Constants!$A$2:$A$10=A3477)))"),"")</f>
        <v/>
      </c>
    </row>
    <row r="3478">
      <c r="A3478" s="89"/>
      <c r="B3478" s="87"/>
      <c r="C3478" s="73"/>
      <c r="D3478" s="73"/>
      <c r="E3478" s="82"/>
      <c r="F3478" s="82"/>
      <c r="G3478" s="86"/>
      <c r="H3478" s="86"/>
      <c r="I3478" s="86"/>
      <c r="J3478" s="82"/>
      <c r="K3478" s="82"/>
      <c r="L3478" s="82"/>
      <c r="M3478" s="82"/>
      <c r="N3478" s="82"/>
      <c r="O3478" s="82"/>
      <c r="P3478" s="82"/>
      <c r="Q3478" s="82"/>
      <c r="R3478" s="82"/>
      <c r="S3478" s="82"/>
      <c r="T3478" s="82"/>
      <c r="U3478" s="82"/>
      <c r="V3478" s="82"/>
      <c r="W3478" s="82"/>
      <c r="X3478" s="82"/>
      <c r="Y3478" s="82"/>
      <c r="Z3478" s="82"/>
      <c r="AA3478" s="82"/>
      <c r="AB3478" s="82"/>
      <c r="AC3478" s="82"/>
      <c r="AD3478" s="82"/>
      <c r="AE3478" s="82"/>
      <c r="AF3478" s="82"/>
      <c r="AG3478" s="82"/>
      <c r="AH3478" s="82"/>
      <c r="AI3478" s="82"/>
      <c r="AJ3478" s="82"/>
      <c r="AK3478" s="82"/>
      <c r="AL3478" s="82"/>
      <c r="AM3478" s="82"/>
      <c r="AN3478" s="82">
        <f>IFERROR(__xludf.DUMMYFUNCTION("""COMPUTED_VALUE"""),0.0)</f>
        <v>0</v>
      </c>
      <c r="AO3478" s="82">
        <f>IFERROR(__xludf.DUMMYFUNCTION("""COMPUTED_VALUE"""),0.0)</f>
        <v>0</v>
      </c>
      <c r="AP3478" s="82">
        <f>IFERROR(__xludf.DUMMYFUNCTION("""COMPUTED_VALUE"""),0.0)</f>
        <v>0</v>
      </c>
      <c r="AQ3478" s="82">
        <f>IFERROR(__xludf.DUMMYFUNCTION("""COMPUTED_VALUE"""),0.0)</f>
        <v>0</v>
      </c>
      <c r="AR3478" s="82">
        <f>IFERROR(__xludf.DUMMYFUNCTION("""COMPUTED_VALUE"""),0.0)</f>
        <v>0</v>
      </c>
      <c r="AS3478" s="82"/>
      <c r="AT3478" s="82">
        <f>IFERROR(__xludf.DUMMYFUNCTION("""COMPUTED_VALUE"""),0.0)</f>
        <v>0</v>
      </c>
      <c r="AU3478" s="82"/>
      <c r="AV3478" s="82"/>
      <c r="AW3478" s="82" t="str">
        <f t="shared" si="1"/>
        <v/>
      </c>
      <c r="AX3478" s="83" t="str">
        <f t="array" ref="AX3478">IFERROR(DGET('SBV Import'!A:G,"SBV",{"RSC ID","Tier";B3478,A3478}))</f>
        <v/>
      </c>
      <c r="AY3478" s="82" t="str">
        <f t="shared" si="2"/>
        <v/>
      </c>
      <c r="AZ3478" s="82"/>
      <c r="BA3478" s="84" t="s">
        <v>152</v>
      </c>
      <c r="BB3478" s="84" t="str">
        <f>IFERROR(__xludf.DUMMYFUNCTION("iferror(if(A3478="""",,E3478&gt;=FILTER(Constants!$F$2:$F$10,Constants!$A$2:$A$10=A3478)))"),"")</f>
        <v/>
      </c>
    </row>
    <row r="3479">
      <c r="A3479" s="89"/>
      <c r="B3479" s="87"/>
      <c r="C3479" s="73"/>
      <c r="D3479" s="73"/>
      <c r="E3479" s="82"/>
      <c r="F3479" s="82"/>
      <c r="G3479" s="86"/>
      <c r="H3479" s="86"/>
      <c r="I3479" s="86"/>
      <c r="J3479" s="82"/>
      <c r="K3479" s="82"/>
      <c r="L3479" s="82"/>
      <c r="M3479" s="82"/>
      <c r="N3479" s="82"/>
      <c r="O3479" s="82"/>
      <c r="P3479" s="82"/>
      <c r="Q3479" s="82"/>
      <c r="R3479" s="82"/>
      <c r="S3479" s="82"/>
      <c r="T3479" s="82"/>
      <c r="U3479" s="82"/>
      <c r="V3479" s="82"/>
      <c r="W3479" s="82"/>
      <c r="X3479" s="82"/>
      <c r="Y3479" s="82"/>
      <c r="Z3479" s="82"/>
      <c r="AA3479" s="82"/>
      <c r="AB3479" s="82"/>
      <c r="AC3479" s="82"/>
      <c r="AD3479" s="82"/>
      <c r="AE3479" s="82"/>
      <c r="AF3479" s="82"/>
      <c r="AG3479" s="82"/>
      <c r="AH3479" s="82"/>
      <c r="AI3479" s="82"/>
      <c r="AJ3479" s="82"/>
      <c r="AK3479" s="82"/>
      <c r="AL3479" s="82"/>
      <c r="AM3479" s="82"/>
      <c r="AN3479" s="82">
        <f>IFERROR(__xludf.DUMMYFUNCTION("""COMPUTED_VALUE"""),0.0)</f>
        <v>0</v>
      </c>
      <c r="AO3479" s="82">
        <f>IFERROR(__xludf.DUMMYFUNCTION("""COMPUTED_VALUE"""),0.0)</f>
        <v>0</v>
      </c>
      <c r="AP3479" s="82">
        <f>IFERROR(__xludf.DUMMYFUNCTION("""COMPUTED_VALUE"""),0.0)</f>
        <v>0</v>
      </c>
      <c r="AQ3479" s="82">
        <f>IFERROR(__xludf.DUMMYFUNCTION("""COMPUTED_VALUE"""),0.0)</f>
        <v>0</v>
      </c>
      <c r="AR3479" s="82">
        <f>IFERROR(__xludf.DUMMYFUNCTION("""COMPUTED_VALUE"""),0.0)</f>
        <v>0</v>
      </c>
      <c r="AS3479" s="82"/>
      <c r="AT3479" s="82">
        <f>IFERROR(__xludf.DUMMYFUNCTION("""COMPUTED_VALUE"""),0.0)</f>
        <v>0</v>
      </c>
      <c r="AU3479" s="82"/>
      <c r="AV3479" s="82"/>
      <c r="AW3479" s="82" t="str">
        <f t="shared" si="1"/>
        <v/>
      </c>
      <c r="AX3479" s="83" t="str">
        <f t="array" ref="AX3479">IFERROR(DGET('SBV Import'!A:G,"SBV",{"RSC ID","Tier";B3479,A3479}))</f>
        <v/>
      </c>
      <c r="AY3479" s="82" t="str">
        <f t="shared" si="2"/>
        <v/>
      </c>
      <c r="AZ3479" s="82"/>
      <c r="BA3479" s="84" t="s">
        <v>152</v>
      </c>
      <c r="BB3479" s="84" t="str">
        <f>IFERROR(__xludf.DUMMYFUNCTION("iferror(if(A3479="""",,E3479&gt;=FILTER(Constants!$F$2:$F$10,Constants!$A$2:$A$10=A3479)))"),"")</f>
        <v/>
      </c>
    </row>
    <row r="3480">
      <c r="A3480" s="89"/>
      <c r="B3480" s="87"/>
      <c r="C3480" s="73"/>
      <c r="D3480" s="73"/>
      <c r="E3480" s="82"/>
      <c r="F3480" s="82"/>
      <c r="G3480" s="86"/>
      <c r="H3480" s="86"/>
      <c r="I3480" s="86"/>
      <c r="J3480" s="82"/>
      <c r="K3480" s="82"/>
      <c r="L3480" s="82"/>
      <c r="M3480" s="82"/>
      <c r="N3480" s="82"/>
      <c r="O3480" s="82"/>
      <c r="P3480" s="82"/>
      <c r="Q3480" s="82"/>
      <c r="R3480" s="82"/>
      <c r="S3480" s="82"/>
      <c r="T3480" s="82"/>
      <c r="U3480" s="82"/>
      <c r="V3480" s="82"/>
      <c r="W3480" s="82"/>
      <c r="X3480" s="82"/>
      <c r="Y3480" s="82"/>
      <c r="Z3480" s="82"/>
      <c r="AA3480" s="82"/>
      <c r="AB3480" s="82"/>
      <c r="AC3480" s="82"/>
      <c r="AD3480" s="82"/>
      <c r="AE3480" s="82"/>
      <c r="AF3480" s="82"/>
      <c r="AG3480" s="82"/>
      <c r="AH3480" s="82"/>
      <c r="AI3480" s="82"/>
      <c r="AJ3480" s="82"/>
      <c r="AK3480" s="82"/>
      <c r="AL3480" s="82"/>
      <c r="AM3480" s="82"/>
      <c r="AN3480" s="82">
        <f>IFERROR(__xludf.DUMMYFUNCTION("""COMPUTED_VALUE"""),0.0)</f>
        <v>0</v>
      </c>
      <c r="AO3480" s="82">
        <f>IFERROR(__xludf.DUMMYFUNCTION("""COMPUTED_VALUE"""),0.0)</f>
        <v>0</v>
      </c>
      <c r="AP3480" s="82">
        <f>IFERROR(__xludf.DUMMYFUNCTION("""COMPUTED_VALUE"""),0.0)</f>
        <v>0</v>
      </c>
      <c r="AQ3480" s="82">
        <f>IFERROR(__xludf.DUMMYFUNCTION("""COMPUTED_VALUE"""),0.0)</f>
        <v>0</v>
      </c>
      <c r="AR3480" s="82">
        <f>IFERROR(__xludf.DUMMYFUNCTION("""COMPUTED_VALUE"""),0.0)</f>
        <v>0</v>
      </c>
      <c r="AS3480" s="82"/>
      <c r="AT3480" s="82">
        <f>IFERROR(__xludf.DUMMYFUNCTION("""COMPUTED_VALUE"""),0.0)</f>
        <v>0</v>
      </c>
      <c r="AU3480" s="82"/>
      <c r="AV3480" s="82"/>
      <c r="AW3480" s="82" t="str">
        <f t="shared" si="1"/>
        <v/>
      </c>
      <c r="AX3480" s="83" t="str">
        <f t="array" ref="AX3480">IFERROR(DGET('SBV Import'!A:G,"SBV",{"RSC ID","Tier";B3480,A3480}))</f>
        <v/>
      </c>
      <c r="AY3480" s="82" t="str">
        <f t="shared" si="2"/>
        <v/>
      </c>
      <c r="AZ3480" s="82"/>
      <c r="BA3480" s="84" t="s">
        <v>152</v>
      </c>
      <c r="BB3480" s="84" t="str">
        <f>IFERROR(__xludf.DUMMYFUNCTION("iferror(if(A3480="""",,E3480&gt;=FILTER(Constants!$F$2:$F$10,Constants!$A$2:$A$10=A3480)))"),"")</f>
        <v/>
      </c>
    </row>
    <row r="3481">
      <c r="A3481" s="89"/>
      <c r="B3481" s="87"/>
      <c r="C3481" s="73"/>
      <c r="D3481" s="73"/>
      <c r="E3481" s="82"/>
      <c r="F3481" s="82"/>
      <c r="G3481" s="86"/>
      <c r="H3481" s="86"/>
      <c r="I3481" s="86"/>
      <c r="J3481" s="82"/>
      <c r="K3481" s="82"/>
      <c r="L3481" s="82"/>
      <c r="M3481" s="82"/>
      <c r="N3481" s="82"/>
      <c r="O3481" s="82"/>
      <c r="P3481" s="82"/>
      <c r="Q3481" s="82"/>
      <c r="R3481" s="82"/>
      <c r="S3481" s="82"/>
      <c r="T3481" s="82"/>
      <c r="U3481" s="82"/>
      <c r="V3481" s="82"/>
      <c r="W3481" s="82"/>
      <c r="X3481" s="82"/>
      <c r="Y3481" s="82"/>
      <c r="Z3481" s="82"/>
      <c r="AA3481" s="82"/>
      <c r="AB3481" s="82"/>
      <c r="AC3481" s="82"/>
      <c r="AD3481" s="82"/>
      <c r="AE3481" s="82"/>
      <c r="AF3481" s="82"/>
      <c r="AG3481" s="82"/>
      <c r="AH3481" s="82"/>
      <c r="AI3481" s="82"/>
      <c r="AJ3481" s="82"/>
      <c r="AK3481" s="82"/>
      <c r="AL3481" s="82"/>
      <c r="AM3481" s="82"/>
      <c r="AN3481" s="82">
        <f>IFERROR(__xludf.DUMMYFUNCTION("""COMPUTED_VALUE"""),0.0)</f>
        <v>0</v>
      </c>
      <c r="AO3481" s="82">
        <f>IFERROR(__xludf.DUMMYFUNCTION("""COMPUTED_VALUE"""),0.0)</f>
        <v>0</v>
      </c>
      <c r="AP3481" s="82">
        <f>IFERROR(__xludf.DUMMYFUNCTION("""COMPUTED_VALUE"""),0.0)</f>
        <v>0</v>
      </c>
      <c r="AQ3481" s="82">
        <f>IFERROR(__xludf.DUMMYFUNCTION("""COMPUTED_VALUE"""),0.0)</f>
        <v>0</v>
      </c>
      <c r="AR3481" s="82">
        <f>IFERROR(__xludf.DUMMYFUNCTION("""COMPUTED_VALUE"""),0.0)</f>
        <v>0</v>
      </c>
      <c r="AS3481" s="82"/>
      <c r="AT3481" s="82">
        <f>IFERROR(__xludf.DUMMYFUNCTION("""COMPUTED_VALUE"""),0.0)</f>
        <v>0</v>
      </c>
      <c r="AU3481" s="82"/>
      <c r="AV3481" s="82"/>
      <c r="AW3481" s="82" t="str">
        <f t="shared" si="1"/>
        <v/>
      </c>
      <c r="AX3481" s="83" t="str">
        <f t="array" ref="AX3481">IFERROR(DGET('SBV Import'!A:G,"SBV",{"RSC ID","Tier";B3481,A3481}))</f>
        <v/>
      </c>
      <c r="AY3481" s="82" t="str">
        <f t="shared" si="2"/>
        <v/>
      </c>
      <c r="AZ3481" s="82"/>
      <c r="BA3481" s="84" t="s">
        <v>152</v>
      </c>
      <c r="BB3481" s="84" t="str">
        <f>IFERROR(__xludf.DUMMYFUNCTION("iferror(if(A3481="""",,E3481&gt;=FILTER(Constants!$F$2:$F$10,Constants!$A$2:$A$10=A3481)))"),"")</f>
        <v/>
      </c>
    </row>
    <row r="3482">
      <c r="A3482" s="89"/>
      <c r="B3482" s="87"/>
      <c r="C3482" s="73"/>
      <c r="D3482" s="73"/>
      <c r="E3482" s="82"/>
      <c r="F3482" s="82"/>
      <c r="G3482" s="86"/>
      <c r="H3482" s="86"/>
      <c r="I3482" s="86"/>
      <c r="J3482" s="82"/>
      <c r="K3482" s="82"/>
      <c r="L3482" s="82"/>
      <c r="M3482" s="82"/>
      <c r="N3482" s="82"/>
      <c r="O3482" s="82"/>
      <c r="P3482" s="82"/>
      <c r="Q3482" s="82"/>
      <c r="R3482" s="82"/>
      <c r="S3482" s="82"/>
      <c r="T3482" s="82"/>
      <c r="U3482" s="82"/>
      <c r="V3482" s="82"/>
      <c r="W3482" s="82"/>
      <c r="X3482" s="82"/>
      <c r="Y3482" s="82"/>
      <c r="Z3482" s="82"/>
      <c r="AA3482" s="82"/>
      <c r="AB3482" s="82"/>
      <c r="AC3482" s="82"/>
      <c r="AD3482" s="82"/>
      <c r="AE3482" s="82"/>
      <c r="AF3482" s="82"/>
      <c r="AG3482" s="82"/>
      <c r="AH3482" s="82"/>
      <c r="AI3482" s="82"/>
      <c r="AJ3482" s="82"/>
      <c r="AK3482" s="82"/>
      <c r="AL3482" s="82"/>
      <c r="AM3482" s="82"/>
      <c r="AN3482" s="82">
        <f>IFERROR(__xludf.DUMMYFUNCTION("""COMPUTED_VALUE"""),0.0)</f>
        <v>0</v>
      </c>
      <c r="AO3482" s="82">
        <f>IFERROR(__xludf.DUMMYFUNCTION("""COMPUTED_VALUE"""),0.0)</f>
        <v>0</v>
      </c>
      <c r="AP3482" s="82">
        <f>IFERROR(__xludf.DUMMYFUNCTION("""COMPUTED_VALUE"""),0.0)</f>
        <v>0</v>
      </c>
      <c r="AQ3482" s="82">
        <f>IFERROR(__xludf.DUMMYFUNCTION("""COMPUTED_VALUE"""),0.0)</f>
        <v>0</v>
      </c>
      <c r="AR3482" s="82">
        <f>IFERROR(__xludf.DUMMYFUNCTION("""COMPUTED_VALUE"""),0.0)</f>
        <v>0</v>
      </c>
      <c r="AS3482" s="82"/>
      <c r="AT3482" s="82">
        <f>IFERROR(__xludf.DUMMYFUNCTION("""COMPUTED_VALUE"""),0.0)</f>
        <v>0</v>
      </c>
      <c r="AU3482" s="82"/>
      <c r="AV3482" s="82"/>
      <c r="AW3482" s="82" t="str">
        <f t="shared" si="1"/>
        <v/>
      </c>
      <c r="AX3482" s="83" t="str">
        <f t="array" ref="AX3482">IFERROR(DGET('SBV Import'!A:G,"SBV",{"RSC ID","Tier";B3482,A3482}))</f>
        <v/>
      </c>
      <c r="AY3482" s="82" t="str">
        <f t="shared" si="2"/>
        <v/>
      </c>
      <c r="AZ3482" s="82"/>
      <c r="BA3482" s="84" t="s">
        <v>152</v>
      </c>
      <c r="BB3482" s="84" t="str">
        <f>IFERROR(__xludf.DUMMYFUNCTION("iferror(if(A3482="""",,E3482&gt;=FILTER(Constants!$F$2:$F$10,Constants!$A$2:$A$10=A3482)))"),"")</f>
        <v/>
      </c>
    </row>
    <row r="3483">
      <c r="A3483" s="89"/>
      <c r="B3483" s="87"/>
      <c r="C3483" s="73"/>
      <c r="D3483" s="73"/>
      <c r="E3483" s="82"/>
      <c r="F3483" s="82"/>
      <c r="G3483" s="86"/>
      <c r="H3483" s="86"/>
      <c r="I3483" s="86"/>
      <c r="J3483" s="82"/>
      <c r="K3483" s="82"/>
      <c r="L3483" s="82"/>
      <c r="M3483" s="82"/>
      <c r="N3483" s="82"/>
      <c r="O3483" s="82"/>
      <c r="P3483" s="82"/>
      <c r="Q3483" s="82"/>
      <c r="R3483" s="82"/>
      <c r="S3483" s="82"/>
      <c r="T3483" s="82"/>
      <c r="U3483" s="82"/>
      <c r="V3483" s="82"/>
      <c r="W3483" s="82"/>
      <c r="X3483" s="82"/>
      <c r="Y3483" s="82"/>
      <c r="Z3483" s="82"/>
      <c r="AA3483" s="82"/>
      <c r="AB3483" s="82"/>
      <c r="AC3483" s="82"/>
      <c r="AD3483" s="82"/>
      <c r="AE3483" s="82"/>
      <c r="AF3483" s="82"/>
      <c r="AG3483" s="82"/>
      <c r="AH3483" s="82"/>
      <c r="AI3483" s="82"/>
      <c r="AJ3483" s="82"/>
      <c r="AK3483" s="82"/>
      <c r="AL3483" s="82"/>
      <c r="AM3483" s="82"/>
      <c r="AN3483" s="82">
        <f>IFERROR(__xludf.DUMMYFUNCTION("""COMPUTED_VALUE"""),0.0)</f>
        <v>0</v>
      </c>
      <c r="AO3483" s="82">
        <f>IFERROR(__xludf.DUMMYFUNCTION("""COMPUTED_VALUE"""),0.0)</f>
        <v>0</v>
      </c>
      <c r="AP3483" s="82">
        <f>IFERROR(__xludf.DUMMYFUNCTION("""COMPUTED_VALUE"""),0.0)</f>
        <v>0</v>
      </c>
      <c r="AQ3483" s="82">
        <f>IFERROR(__xludf.DUMMYFUNCTION("""COMPUTED_VALUE"""),0.0)</f>
        <v>0</v>
      </c>
      <c r="AR3483" s="82">
        <f>IFERROR(__xludf.DUMMYFUNCTION("""COMPUTED_VALUE"""),0.0)</f>
        <v>0</v>
      </c>
      <c r="AS3483" s="82"/>
      <c r="AT3483" s="82">
        <f>IFERROR(__xludf.DUMMYFUNCTION("""COMPUTED_VALUE"""),0.0)</f>
        <v>0</v>
      </c>
      <c r="AU3483" s="82"/>
      <c r="AV3483" s="82"/>
      <c r="AW3483" s="82" t="str">
        <f t="shared" si="1"/>
        <v/>
      </c>
      <c r="AX3483" s="83" t="str">
        <f t="array" ref="AX3483">IFERROR(DGET('SBV Import'!A:G,"SBV",{"RSC ID","Tier";B3483,A3483}))</f>
        <v/>
      </c>
      <c r="AY3483" s="82" t="str">
        <f t="shared" si="2"/>
        <v/>
      </c>
      <c r="AZ3483" s="82"/>
      <c r="BA3483" s="84" t="s">
        <v>152</v>
      </c>
      <c r="BB3483" s="84" t="str">
        <f>IFERROR(__xludf.DUMMYFUNCTION("iferror(if(A3483="""",,E3483&gt;=FILTER(Constants!$F$2:$F$10,Constants!$A$2:$A$10=A3483)))"),"")</f>
        <v/>
      </c>
    </row>
    <row r="3484">
      <c r="A3484" s="89"/>
      <c r="B3484" s="87"/>
      <c r="C3484" s="73"/>
      <c r="D3484" s="73"/>
      <c r="E3484" s="82"/>
      <c r="F3484" s="82"/>
      <c r="G3484" s="86"/>
      <c r="H3484" s="86"/>
      <c r="I3484" s="86"/>
      <c r="J3484" s="82"/>
      <c r="K3484" s="82"/>
      <c r="L3484" s="82"/>
      <c r="M3484" s="82"/>
      <c r="N3484" s="82"/>
      <c r="O3484" s="82"/>
      <c r="P3484" s="82"/>
      <c r="Q3484" s="82"/>
      <c r="R3484" s="82"/>
      <c r="S3484" s="82"/>
      <c r="T3484" s="82"/>
      <c r="U3484" s="82"/>
      <c r="V3484" s="82"/>
      <c r="W3484" s="82"/>
      <c r="X3484" s="82"/>
      <c r="Y3484" s="82"/>
      <c r="Z3484" s="82"/>
      <c r="AA3484" s="82"/>
      <c r="AB3484" s="82"/>
      <c r="AC3484" s="82"/>
      <c r="AD3484" s="82"/>
      <c r="AE3484" s="82"/>
      <c r="AF3484" s="82"/>
      <c r="AG3484" s="82"/>
      <c r="AH3484" s="82"/>
      <c r="AI3484" s="82"/>
      <c r="AJ3484" s="82"/>
      <c r="AK3484" s="82"/>
      <c r="AL3484" s="82"/>
      <c r="AM3484" s="82"/>
      <c r="AN3484" s="82">
        <f>IFERROR(__xludf.DUMMYFUNCTION("""COMPUTED_VALUE"""),0.0)</f>
        <v>0</v>
      </c>
      <c r="AO3484" s="82">
        <f>IFERROR(__xludf.DUMMYFUNCTION("""COMPUTED_VALUE"""),0.0)</f>
        <v>0</v>
      </c>
      <c r="AP3484" s="82">
        <f>IFERROR(__xludf.DUMMYFUNCTION("""COMPUTED_VALUE"""),0.0)</f>
        <v>0</v>
      </c>
      <c r="AQ3484" s="82">
        <f>IFERROR(__xludf.DUMMYFUNCTION("""COMPUTED_VALUE"""),0.0)</f>
        <v>0</v>
      </c>
      <c r="AR3484" s="82">
        <f>IFERROR(__xludf.DUMMYFUNCTION("""COMPUTED_VALUE"""),0.0)</f>
        <v>0</v>
      </c>
      <c r="AS3484" s="82"/>
      <c r="AT3484" s="82">
        <f>IFERROR(__xludf.DUMMYFUNCTION("""COMPUTED_VALUE"""),0.0)</f>
        <v>0</v>
      </c>
      <c r="AU3484" s="82"/>
      <c r="AV3484" s="82"/>
      <c r="AW3484" s="82" t="str">
        <f t="shared" si="1"/>
        <v/>
      </c>
      <c r="AX3484" s="83" t="str">
        <f t="array" ref="AX3484">IFERROR(DGET('SBV Import'!A:G,"SBV",{"RSC ID","Tier";B3484,A3484}))</f>
        <v/>
      </c>
      <c r="AY3484" s="82" t="str">
        <f t="shared" si="2"/>
        <v/>
      </c>
      <c r="AZ3484" s="82"/>
      <c r="BA3484" s="84" t="s">
        <v>152</v>
      </c>
      <c r="BB3484" s="84" t="str">
        <f>IFERROR(__xludf.DUMMYFUNCTION("iferror(if(A3484="""",,E3484&gt;=FILTER(Constants!$F$2:$F$10,Constants!$A$2:$A$10=A3484)))"),"")</f>
        <v/>
      </c>
    </row>
    <row r="3485">
      <c r="A3485" s="89"/>
      <c r="B3485" s="87"/>
      <c r="C3485" s="73"/>
      <c r="D3485" s="73"/>
      <c r="E3485" s="82"/>
      <c r="F3485" s="82"/>
      <c r="G3485" s="86"/>
      <c r="H3485" s="86"/>
      <c r="I3485" s="86"/>
      <c r="J3485" s="82"/>
      <c r="K3485" s="82"/>
      <c r="L3485" s="82"/>
      <c r="M3485" s="82"/>
      <c r="N3485" s="82"/>
      <c r="O3485" s="82"/>
      <c r="P3485" s="82"/>
      <c r="Q3485" s="82"/>
      <c r="R3485" s="82"/>
      <c r="S3485" s="82"/>
      <c r="T3485" s="82"/>
      <c r="U3485" s="82"/>
      <c r="V3485" s="82"/>
      <c r="W3485" s="82"/>
      <c r="X3485" s="82"/>
      <c r="Y3485" s="82"/>
      <c r="Z3485" s="82"/>
      <c r="AA3485" s="82"/>
      <c r="AB3485" s="82"/>
      <c r="AC3485" s="82"/>
      <c r="AD3485" s="82"/>
      <c r="AE3485" s="82"/>
      <c r="AF3485" s="82"/>
      <c r="AG3485" s="82"/>
      <c r="AH3485" s="82"/>
      <c r="AI3485" s="82"/>
      <c r="AJ3485" s="82"/>
      <c r="AK3485" s="82"/>
      <c r="AL3485" s="82"/>
      <c r="AM3485" s="82"/>
      <c r="AN3485" s="82">
        <f>IFERROR(__xludf.DUMMYFUNCTION("""COMPUTED_VALUE"""),0.0)</f>
        <v>0</v>
      </c>
      <c r="AO3485" s="82">
        <f>IFERROR(__xludf.DUMMYFUNCTION("""COMPUTED_VALUE"""),0.0)</f>
        <v>0</v>
      </c>
      <c r="AP3485" s="82">
        <f>IFERROR(__xludf.DUMMYFUNCTION("""COMPUTED_VALUE"""),0.0)</f>
        <v>0</v>
      </c>
      <c r="AQ3485" s="82">
        <f>IFERROR(__xludf.DUMMYFUNCTION("""COMPUTED_VALUE"""),0.0)</f>
        <v>0</v>
      </c>
      <c r="AR3485" s="82">
        <f>IFERROR(__xludf.DUMMYFUNCTION("""COMPUTED_VALUE"""),0.0)</f>
        <v>0</v>
      </c>
      <c r="AS3485" s="82"/>
      <c r="AT3485" s="82">
        <f>IFERROR(__xludf.DUMMYFUNCTION("""COMPUTED_VALUE"""),0.0)</f>
        <v>0</v>
      </c>
      <c r="AU3485" s="82"/>
      <c r="AV3485" s="82"/>
      <c r="AW3485" s="82" t="str">
        <f t="shared" si="1"/>
        <v/>
      </c>
      <c r="AX3485" s="83" t="str">
        <f t="array" ref="AX3485">IFERROR(DGET('SBV Import'!A:G,"SBV",{"RSC ID","Tier";B3485,A3485}))</f>
        <v/>
      </c>
      <c r="AY3485" s="82" t="str">
        <f t="shared" si="2"/>
        <v/>
      </c>
      <c r="AZ3485" s="82"/>
      <c r="BA3485" s="84" t="s">
        <v>152</v>
      </c>
      <c r="BB3485" s="84" t="str">
        <f>IFERROR(__xludf.DUMMYFUNCTION("iferror(if(A3485="""",,E3485&gt;=FILTER(Constants!$F$2:$F$10,Constants!$A$2:$A$10=A3485)))"),"")</f>
        <v/>
      </c>
    </row>
    <row r="3486">
      <c r="A3486" s="89"/>
      <c r="B3486" s="87"/>
      <c r="C3486" s="73"/>
      <c r="D3486" s="73"/>
      <c r="E3486" s="82"/>
      <c r="F3486" s="82"/>
      <c r="G3486" s="86"/>
      <c r="H3486" s="86"/>
      <c r="I3486" s="86"/>
      <c r="J3486" s="82"/>
      <c r="K3486" s="82"/>
      <c r="L3486" s="82"/>
      <c r="M3486" s="82"/>
      <c r="N3486" s="82"/>
      <c r="O3486" s="82"/>
      <c r="P3486" s="82"/>
      <c r="Q3486" s="82"/>
      <c r="R3486" s="82"/>
      <c r="S3486" s="82"/>
      <c r="T3486" s="82"/>
      <c r="U3486" s="82"/>
      <c r="V3486" s="82"/>
      <c r="W3486" s="82"/>
      <c r="X3486" s="82"/>
      <c r="Y3486" s="82"/>
      <c r="Z3486" s="82"/>
      <c r="AA3486" s="82"/>
      <c r="AB3486" s="82"/>
      <c r="AC3486" s="82"/>
      <c r="AD3486" s="82"/>
      <c r="AE3486" s="82"/>
      <c r="AF3486" s="82"/>
      <c r="AG3486" s="82"/>
      <c r="AH3486" s="82"/>
      <c r="AI3486" s="82"/>
      <c r="AJ3486" s="82"/>
      <c r="AK3486" s="82"/>
      <c r="AL3486" s="82"/>
      <c r="AM3486" s="82"/>
      <c r="AN3486" s="82">
        <f>IFERROR(__xludf.DUMMYFUNCTION("""COMPUTED_VALUE"""),0.0)</f>
        <v>0</v>
      </c>
      <c r="AO3486" s="82">
        <f>IFERROR(__xludf.DUMMYFUNCTION("""COMPUTED_VALUE"""),0.0)</f>
        <v>0</v>
      </c>
      <c r="AP3486" s="82">
        <f>IFERROR(__xludf.DUMMYFUNCTION("""COMPUTED_VALUE"""),0.0)</f>
        <v>0</v>
      </c>
      <c r="AQ3486" s="82">
        <f>IFERROR(__xludf.DUMMYFUNCTION("""COMPUTED_VALUE"""),0.0)</f>
        <v>0</v>
      </c>
      <c r="AR3486" s="82">
        <f>IFERROR(__xludf.DUMMYFUNCTION("""COMPUTED_VALUE"""),0.0)</f>
        <v>0</v>
      </c>
      <c r="AS3486" s="82"/>
      <c r="AT3486" s="82">
        <f>IFERROR(__xludf.DUMMYFUNCTION("""COMPUTED_VALUE"""),0.0)</f>
        <v>0</v>
      </c>
      <c r="AU3486" s="82"/>
      <c r="AV3486" s="82"/>
      <c r="AW3486" s="82" t="str">
        <f t="shared" si="1"/>
        <v/>
      </c>
      <c r="AX3486" s="83" t="str">
        <f t="array" ref="AX3486">IFERROR(DGET('SBV Import'!A:G,"SBV",{"RSC ID","Tier";B3486,A3486}))</f>
        <v/>
      </c>
      <c r="AY3486" s="82" t="str">
        <f t="shared" si="2"/>
        <v/>
      </c>
      <c r="AZ3486" s="82"/>
      <c r="BA3486" s="84" t="s">
        <v>152</v>
      </c>
      <c r="BB3486" s="84" t="str">
        <f>IFERROR(__xludf.DUMMYFUNCTION("iferror(if(A3486="""",,E3486&gt;=FILTER(Constants!$F$2:$F$10,Constants!$A$2:$A$10=A3486)))"),"")</f>
        <v/>
      </c>
    </row>
    <row r="3487">
      <c r="A3487" s="89"/>
      <c r="B3487" s="87"/>
      <c r="C3487" s="73"/>
      <c r="D3487" s="73"/>
      <c r="E3487" s="82"/>
      <c r="F3487" s="82"/>
      <c r="G3487" s="86"/>
      <c r="H3487" s="86"/>
      <c r="I3487" s="86"/>
      <c r="J3487" s="82"/>
      <c r="K3487" s="82"/>
      <c r="L3487" s="82"/>
      <c r="M3487" s="82"/>
      <c r="N3487" s="82"/>
      <c r="O3487" s="82"/>
      <c r="P3487" s="82"/>
      <c r="Q3487" s="82"/>
      <c r="R3487" s="82"/>
      <c r="S3487" s="82"/>
      <c r="T3487" s="82"/>
      <c r="U3487" s="82"/>
      <c r="V3487" s="82"/>
      <c r="W3487" s="82"/>
      <c r="X3487" s="82"/>
      <c r="Y3487" s="82"/>
      <c r="Z3487" s="82"/>
      <c r="AA3487" s="82"/>
      <c r="AB3487" s="82"/>
      <c r="AC3487" s="82"/>
      <c r="AD3487" s="82"/>
      <c r="AE3487" s="82"/>
      <c r="AF3487" s="82"/>
      <c r="AG3487" s="82"/>
      <c r="AH3487" s="82"/>
      <c r="AI3487" s="82"/>
      <c r="AJ3487" s="82"/>
      <c r="AK3487" s="82"/>
      <c r="AL3487" s="82"/>
      <c r="AM3487" s="82"/>
      <c r="AN3487" s="82">
        <f>IFERROR(__xludf.DUMMYFUNCTION("""COMPUTED_VALUE"""),0.0)</f>
        <v>0</v>
      </c>
      <c r="AO3487" s="82">
        <f>IFERROR(__xludf.DUMMYFUNCTION("""COMPUTED_VALUE"""),0.0)</f>
        <v>0</v>
      </c>
      <c r="AP3487" s="82">
        <f>IFERROR(__xludf.DUMMYFUNCTION("""COMPUTED_VALUE"""),0.0)</f>
        <v>0</v>
      </c>
      <c r="AQ3487" s="82">
        <f>IFERROR(__xludf.DUMMYFUNCTION("""COMPUTED_VALUE"""),0.0)</f>
        <v>0</v>
      </c>
      <c r="AR3487" s="82">
        <f>IFERROR(__xludf.DUMMYFUNCTION("""COMPUTED_VALUE"""),0.0)</f>
        <v>0</v>
      </c>
      <c r="AS3487" s="82"/>
      <c r="AT3487" s="82">
        <f>IFERROR(__xludf.DUMMYFUNCTION("""COMPUTED_VALUE"""),0.0)</f>
        <v>0</v>
      </c>
      <c r="AU3487" s="82"/>
      <c r="AV3487" s="82"/>
      <c r="AW3487" s="82" t="str">
        <f t="shared" si="1"/>
        <v/>
      </c>
      <c r="AX3487" s="83" t="str">
        <f t="array" ref="AX3487">IFERROR(DGET('SBV Import'!A:G,"SBV",{"RSC ID","Tier";B3487,A3487}))</f>
        <v/>
      </c>
      <c r="AY3487" s="82" t="str">
        <f t="shared" si="2"/>
        <v/>
      </c>
      <c r="AZ3487" s="82"/>
      <c r="BA3487" s="84" t="s">
        <v>152</v>
      </c>
      <c r="BB3487" s="84" t="str">
        <f>IFERROR(__xludf.DUMMYFUNCTION("iferror(if(A3487="""",,E3487&gt;=FILTER(Constants!$F$2:$F$10,Constants!$A$2:$A$10=A3487)))"),"")</f>
        <v/>
      </c>
    </row>
    <row r="3488">
      <c r="A3488" s="89"/>
      <c r="B3488" s="87"/>
      <c r="C3488" s="73"/>
      <c r="D3488" s="73"/>
      <c r="E3488" s="82"/>
      <c r="F3488" s="82"/>
      <c r="G3488" s="86"/>
      <c r="H3488" s="86"/>
      <c r="I3488" s="86"/>
      <c r="J3488" s="82"/>
      <c r="K3488" s="82"/>
      <c r="L3488" s="82"/>
      <c r="M3488" s="82"/>
      <c r="N3488" s="82"/>
      <c r="O3488" s="82"/>
      <c r="P3488" s="82"/>
      <c r="Q3488" s="82"/>
      <c r="R3488" s="82"/>
      <c r="S3488" s="82"/>
      <c r="T3488" s="82"/>
      <c r="U3488" s="82"/>
      <c r="V3488" s="82"/>
      <c r="W3488" s="82"/>
      <c r="X3488" s="82"/>
      <c r="Y3488" s="82"/>
      <c r="Z3488" s="82"/>
      <c r="AA3488" s="82"/>
      <c r="AB3488" s="82"/>
      <c r="AC3488" s="82"/>
      <c r="AD3488" s="82"/>
      <c r="AE3488" s="82"/>
      <c r="AF3488" s="82"/>
      <c r="AG3488" s="82"/>
      <c r="AH3488" s="82"/>
      <c r="AI3488" s="82"/>
      <c r="AJ3488" s="82"/>
      <c r="AK3488" s="82"/>
      <c r="AL3488" s="82"/>
      <c r="AM3488" s="82"/>
      <c r="AN3488" s="82">
        <f>IFERROR(__xludf.DUMMYFUNCTION("""COMPUTED_VALUE"""),0.0)</f>
        <v>0</v>
      </c>
      <c r="AO3488" s="82">
        <f>IFERROR(__xludf.DUMMYFUNCTION("""COMPUTED_VALUE"""),0.0)</f>
        <v>0</v>
      </c>
      <c r="AP3488" s="82">
        <f>IFERROR(__xludf.DUMMYFUNCTION("""COMPUTED_VALUE"""),0.0)</f>
        <v>0</v>
      </c>
      <c r="AQ3488" s="82">
        <f>IFERROR(__xludf.DUMMYFUNCTION("""COMPUTED_VALUE"""),0.0)</f>
        <v>0</v>
      </c>
      <c r="AR3488" s="82">
        <f>IFERROR(__xludf.DUMMYFUNCTION("""COMPUTED_VALUE"""),0.0)</f>
        <v>0</v>
      </c>
      <c r="AS3488" s="82"/>
      <c r="AT3488" s="82">
        <f>IFERROR(__xludf.DUMMYFUNCTION("""COMPUTED_VALUE"""),0.0)</f>
        <v>0</v>
      </c>
      <c r="AU3488" s="82"/>
      <c r="AV3488" s="82"/>
      <c r="AW3488" s="82" t="str">
        <f t="shared" si="1"/>
        <v/>
      </c>
      <c r="AX3488" s="83" t="str">
        <f t="array" ref="AX3488">IFERROR(DGET('SBV Import'!A:G,"SBV",{"RSC ID","Tier";B3488,A3488}))</f>
        <v/>
      </c>
      <c r="AY3488" s="82" t="str">
        <f t="shared" si="2"/>
        <v/>
      </c>
      <c r="AZ3488" s="82"/>
      <c r="BA3488" s="84" t="s">
        <v>152</v>
      </c>
      <c r="BB3488" s="84" t="str">
        <f>IFERROR(__xludf.DUMMYFUNCTION("iferror(if(A3488="""",,E3488&gt;=FILTER(Constants!$F$2:$F$10,Constants!$A$2:$A$10=A3488)))"),"")</f>
        <v/>
      </c>
    </row>
    <row r="3489">
      <c r="A3489" s="89"/>
      <c r="B3489" s="87"/>
      <c r="C3489" s="73"/>
      <c r="D3489" s="73"/>
      <c r="E3489" s="82"/>
      <c r="F3489" s="82"/>
      <c r="G3489" s="86"/>
      <c r="H3489" s="86"/>
      <c r="I3489" s="86"/>
      <c r="J3489" s="82"/>
      <c r="K3489" s="82"/>
      <c r="L3489" s="82"/>
      <c r="M3489" s="82"/>
      <c r="N3489" s="82"/>
      <c r="O3489" s="82"/>
      <c r="P3489" s="82"/>
      <c r="Q3489" s="82"/>
      <c r="R3489" s="82"/>
      <c r="S3489" s="82"/>
      <c r="T3489" s="82"/>
      <c r="U3489" s="82"/>
      <c r="V3489" s="82"/>
      <c r="W3489" s="82"/>
      <c r="X3489" s="82"/>
      <c r="Y3489" s="82"/>
      <c r="Z3489" s="82"/>
      <c r="AA3489" s="82"/>
      <c r="AB3489" s="82"/>
      <c r="AC3489" s="82"/>
      <c r="AD3489" s="82"/>
      <c r="AE3489" s="82"/>
      <c r="AF3489" s="82"/>
      <c r="AG3489" s="82"/>
      <c r="AH3489" s="82"/>
      <c r="AI3489" s="82"/>
      <c r="AJ3489" s="82"/>
      <c r="AK3489" s="82"/>
      <c r="AL3489" s="82"/>
      <c r="AM3489" s="82"/>
      <c r="AN3489" s="82">
        <f>IFERROR(__xludf.DUMMYFUNCTION("""COMPUTED_VALUE"""),0.0)</f>
        <v>0</v>
      </c>
      <c r="AO3489" s="82">
        <f>IFERROR(__xludf.DUMMYFUNCTION("""COMPUTED_VALUE"""),0.0)</f>
        <v>0</v>
      </c>
      <c r="AP3489" s="82">
        <f>IFERROR(__xludf.DUMMYFUNCTION("""COMPUTED_VALUE"""),0.0)</f>
        <v>0</v>
      </c>
      <c r="AQ3489" s="82">
        <f>IFERROR(__xludf.DUMMYFUNCTION("""COMPUTED_VALUE"""),0.0)</f>
        <v>0</v>
      </c>
      <c r="AR3489" s="82">
        <f>IFERROR(__xludf.DUMMYFUNCTION("""COMPUTED_VALUE"""),0.0)</f>
        <v>0</v>
      </c>
      <c r="AS3489" s="82"/>
      <c r="AT3489" s="82">
        <f>IFERROR(__xludf.DUMMYFUNCTION("""COMPUTED_VALUE"""),0.0)</f>
        <v>0</v>
      </c>
      <c r="AU3489" s="82"/>
      <c r="AV3489" s="82"/>
      <c r="AW3489" s="82" t="str">
        <f t="shared" si="1"/>
        <v/>
      </c>
      <c r="AX3489" s="83" t="str">
        <f t="array" ref="AX3489">IFERROR(DGET('SBV Import'!A:G,"SBV",{"RSC ID","Tier";B3489,A3489}))</f>
        <v/>
      </c>
      <c r="AY3489" s="82" t="str">
        <f t="shared" si="2"/>
        <v/>
      </c>
      <c r="AZ3489" s="82"/>
      <c r="BA3489" s="84" t="s">
        <v>152</v>
      </c>
      <c r="BB3489" s="84" t="str">
        <f>IFERROR(__xludf.DUMMYFUNCTION("iferror(if(A3489="""",,E3489&gt;=FILTER(Constants!$F$2:$F$10,Constants!$A$2:$A$10=A3489)))"),"")</f>
        <v/>
      </c>
    </row>
    <row r="3490">
      <c r="A3490" s="89"/>
      <c r="B3490" s="87"/>
      <c r="C3490" s="73"/>
      <c r="D3490" s="73"/>
      <c r="E3490" s="82"/>
      <c r="F3490" s="82"/>
      <c r="G3490" s="86"/>
      <c r="H3490" s="86"/>
      <c r="I3490" s="86"/>
      <c r="J3490" s="82"/>
      <c r="K3490" s="82"/>
      <c r="L3490" s="82"/>
      <c r="M3490" s="82"/>
      <c r="N3490" s="82"/>
      <c r="O3490" s="82"/>
      <c r="P3490" s="82"/>
      <c r="Q3490" s="82"/>
      <c r="R3490" s="82"/>
      <c r="S3490" s="82"/>
      <c r="T3490" s="82"/>
      <c r="U3490" s="82"/>
      <c r="V3490" s="82"/>
      <c r="W3490" s="82"/>
      <c r="X3490" s="82"/>
      <c r="Y3490" s="82"/>
      <c r="Z3490" s="82"/>
      <c r="AA3490" s="82"/>
      <c r="AB3490" s="82"/>
      <c r="AC3490" s="82"/>
      <c r="AD3490" s="82"/>
      <c r="AE3490" s="82"/>
      <c r="AF3490" s="82"/>
      <c r="AG3490" s="82"/>
      <c r="AH3490" s="82"/>
      <c r="AI3490" s="82"/>
      <c r="AJ3490" s="82"/>
      <c r="AK3490" s="82"/>
      <c r="AL3490" s="82"/>
      <c r="AM3490" s="82"/>
      <c r="AN3490" s="82">
        <f>IFERROR(__xludf.DUMMYFUNCTION("""COMPUTED_VALUE"""),0.0)</f>
        <v>0</v>
      </c>
      <c r="AO3490" s="82">
        <f>IFERROR(__xludf.DUMMYFUNCTION("""COMPUTED_VALUE"""),0.0)</f>
        <v>0</v>
      </c>
      <c r="AP3490" s="82">
        <f>IFERROR(__xludf.DUMMYFUNCTION("""COMPUTED_VALUE"""),0.0)</f>
        <v>0</v>
      </c>
      <c r="AQ3490" s="82">
        <f>IFERROR(__xludf.DUMMYFUNCTION("""COMPUTED_VALUE"""),0.0)</f>
        <v>0</v>
      </c>
      <c r="AR3490" s="82">
        <f>IFERROR(__xludf.DUMMYFUNCTION("""COMPUTED_VALUE"""),0.0)</f>
        <v>0</v>
      </c>
      <c r="AS3490" s="82"/>
      <c r="AT3490" s="82">
        <f>IFERROR(__xludf.DUMMYFUNCTION("""COMPUTED_VALUE"""),0.0)</f>
        <v>0</v>
      </c>
      <c r="AU3490" s="82"/>
      <c r="AV3490" s="82"/>
      <c r="AW3490" s="82" t="str">
        <f t="shared" si="1"/>
        <v/>
      </c>
      <c r="AX3490" s="83" t="str">
        <f t="array" ref="AX3490">IFERROR(DGET('SBV Import'!A:G,"SBV",{"RSC ID","Tier";B3490,A3490}))</f>
        <v/>
      </c>
      <c r="AY3490" s="82" t="str">
        <f t="shared" si="2"/>
        <v/>
      </c>
      <c r="AZ3490" s="82"/>
      <c r="BA3490" s="84" t="s">
        <v>152</v>
      </c>
      <c r="BB3490" s="84" t="str">
        <f>IFERROR(__xludf.DUMMYFUNCTION("iferror(if(A3490="""",,E3490&gt;=FILTER(Constants!$F$2:$F$10,Constants!$A$2:$A$10=A3490)))"),"")</f>
        <v/>
      </c>
    </row>
    <row r="3491">
      <c r="A3491" s="89"/>
      <c r="B3491" s="87"/>
      <c r="C3491" s="73"/>
      <c r="D3491" s="73"/>
      <c r="E3491" s="82"/>
      <c r="F3491" s="82"/>
      <c r="G3491" s="86"/>
      <c r="H3491" s="86"/>
      <c r="I3491" s="86"/>
      <c r="J3491" s="82"/>
      <c r="K3491" s="82"/>
      <c r="L3491" s="82"/>
      <c r="M3491" s="82"/>
      <c r="N3491" s="82"/>
      <c r="O3491" s="82"/>
      <c r="P3491" s="82"/>
      <c r="Q3491" s="82"/>
      <c r="R3491" s="82"/>
      <c r="S3491" s="82"/>
      <c r="T3491" s="82"/>
      <c r="U3491" s="82"/>
      <c r="V3491" s="82"/>
      <c r="W3491" s="82"/>
      <c r="X3491" s="82"/>
      <c r="Y3491" s="82"/>
      <c r="Z3491" s="82"/>
      <c r="AA3491" s="82"/>
      <c r="AB3491" s="82"/>
      <c r="AC3491" s="82"/>
      <c r="AD3491" s="82"/>
      <c r="AE3491" s="82"/>
      <c r="AF3491" s="82"/>
      <c r="AG3491" s="82"/>
      <c r="AH3491" s="82"/>
      <c r="AI3491" s="82"/>
      <c r="AJ3491" s="82"/>
      <c r="AK3491" s="82"/>
      <c r="AL3491" s="82"/>
      <c r="AM3491" s="82"/>
      <c r="AN3491" s="82">
        <f>IFERROR(__xludf.DUMMYFUNCTION("""COMPUTED_VALUE"""),0.0)</f>
        <v>0</v>
      </c>
      <c r="AO3491" s="82">
        <f>IFERROR(__xludf.DUMMYFUNCTION("""COMPUTED_VALUE"""),0.0)</f>
        <v>0</v>
      </c>
      <c r="AP3491" s="82">
        <f>IFERROR(__xludf.DUMMYFUNCTION("""COMPUTED_VALUE"""),0.0)</f>
        <v>0</v>
      </c>
      <c r="AQ3491" s="82">
        <f>IFERROR(__xludf.DUMMYFUNCTION("""COMPUTED_VALUE"""),0.0)</f>
        <v>0</v>
      </c>
      <c r="AR3491" s="82">
        <f>IFERROR(__xludf.DUMMYFUNCTION("""COMPUTED_VALUE"""),0.0)</f>
        <v>0</v>
      </c>
      <c r="AS3491" s="82"/>
      <c r="AT3491" s="82">
        <f>IFERROR(__xludf.DUMMYFUNCTION("""COMPUTED_VALUE"""),0.0)</f>
        <v>0</v>
      </c>
      <c r="AU3491" s="82"/>
      <c r="AV3491" s="82"/>
      <c r="AW3491" s="82" t="str">
        <f t="shared" si="1"/>
        <v/>
      </c>
      <c r="AX3491" s="83" t="str">
        <f t="array" ref="AX3491">IFERROR(DGET('SBV Import'!A:G,"SBV",{"RSC ID","Tier";B3491,A3491}))</f>
        <v/>
      </c>
      <c r="AY3491" s="82" t="str">
        <f t="shared" si="2"/>
        <v/>
      </c>
      <c r="AZ3491" s="82"/>
      <c r="BA3491" s="84" t="s">
        <v>152</v>
      </c>
      <c r="BB3491" s="84" t="str">
        <f>IFERROR(__xludf.DUMMYFUNCTION("iferror(if(A3491="""",,E3491&gt;=FILTER(Constants!$F$2:$F$10,Constants!$A$2:$A$10=A3491)))"),"")</f>
        <v/>
      </c>
    </row>
    <row r="3492">
      <c r="A3492" s="89"/>
      <c r="B3492" s="87"/>
      <c r="C3492" s="73"/>
      <c r="D3492" s="73"/>
      <c r="E3492" s="82"/>
      <c r="F3492" s="82"/>
      <c r="G3492" s="86"/>
      <c r="H3492" s="86"/>
      <c r="I3492" s="86"/>
      <c r="J3492" s="82"/>
      <c r="K3492" s="82"/>
      <c r="L3492" s="82"/>
      <c r="M3492" s="82"/>
      <c r="N3492" s="82"/>
      <c r="O3492" s="82"/>
      <c r="P3492" s="82"/>
      <c r="Q3492" s="82"/>
      <c r="R3492" s="82"/>
      <c r="S3492" s="82"/>
      <c r="T3492" s="82"/>
      <c r="U3492" s="82"/>
      <c r="V3492" s="82"/>
      <c r="W3492" s="82"/>
      <c r="X3492" s="82"/>
      <c r="Y3492" s="82"/>
      <c r="Z3492" s="82"/>
      <c r="AA3492" s="82"/>
      <c r="AB3492" s="82"/>
      <c r="AC3492" s="82"/>
      <c r="AD3492" s="82"/>
      <c r="AE3492" s="82"/>
      <c r="AF3492" s="82"/>
      <c r="AG3492" s="82"/>
      <c r="AH3492" s="82"/>
      <c r="AI3492" s="82"/>
      <c r="AJ3492" s="82"/>
      <c r="AK3492" s="82"/>
      <c r="AL3492" s="82"/>
      <c r="AM3492" s="82"/>
      <c r="AN3492" s="82">
        <f>IFERROR(__xludf.DUMMYFUNCTION("""COMPUTED_VALUE"""),0.0)</f>
        <v>0</v>
      </c>
      <c r="AO3492" s="82">
        <f>IFERROR(__xludf.DUMMYFUNCTION("""COMPUTED_VALUE"""),0.0)</f>
        <v>0</v>
      </c>
      <c r="AP3492" s="82">
        <f>IFERROR(__xludf.DUMMYFUNCTION("""COMPUTED_VALUE"""),0.0)</f>
        <v>0</v>
      </c>
      <c r="AQ3492" s="82">
        <f>IFERROR(__xludf.DUMMYFUNCTION("""COMPUTED_VALUE"""),0.0)</f>
        <v>0</v>
      </c>
      <c r="AR3492" s="82">
        <f>IFERROR(__xludf.DUMMYFUNCTION("""COMPUTED_VALUE"""),0.0)</f>
        <v>0</v>
      </c>
      <c r="AS3492" s="82"/>
      <c r="AT3492" s="82">
        <f>IFERROR(__xludf.DUMMYFUNCTION("""COMPUTED_VALUE"""),0.0)</f>
        <v>0</v>
      </c>
      <c r="AU3492" s="82"/>
      <c r="AV3492" s="82"/>
      <c r="AW3492" s="82" t="str">
        <f t="shared" si="1"/>
        <v/>
      </c>
      <c r="AX3492" s="83" t="str">
        <f t="array" ref="AX3492">IFERROR(DGET('SBV Import'!A:G,"SBV",{"RSC ID","Tier";B3492,A3492}))</f>
        <v/>
      </c>
      <c r="AY3492" s="82" t="str">
        <f t="shared" si="2"/>
        <v/>
      </c>
      <c r="AZ3492" s="82"/>
      <c r="BA3492" s="84" t="s">
        <v>152</v>
      </c>
      <c r="BB3492" s="84" t="str">
        <f>IFERROR(__xludf.DUMMYFUNCTION("iferror(if(A3492="""",,E3492&gt;=FILTER(Constants!$F$2:$F$10,Constants!$A$2:$A$10=A3492)))"),"")</f>
        <v/>
      </c>
    </row>
    <row r="3493">
      <c r="A3493" s="89"/>
      <c r="B3493" s="87"/>
      <c r="C3493" s="73"/>
      <c r="D3493" s="73"/>
      <c r="E3493" s="82"/>
      <c r="F3493" s="82"/>
      <c r="G3493" s="86"/>
      <c r="H3493" s="86"/>
      <c r="I3493" s="86"/>
      <c r="J3493" s="82"/>
      <c r="K3493" s="82"/>
      <c r="L3493" s="82"/>
      <c r="M3493" s="82"/>
      <c r="N3493" s="82"/>
      <c r="O3493" s="82"/>
      <c r="P3493" s="82"/>
      <c r="Q3493" s="82"/>
      <c r="R3493" s="82"/>
      <c r="S3493" s="82"/>
      <c r="T3493" s="82"/>
      <c r="U3493" s="82"/>
      <c r="V3493" s="82"/>
      <c r="W3493" s="82"/>
      <c r="X3493" s="82"/>
      <c r="Y3493" s="82"/>
      <c r="Z3493" s="82"/>
      <c r="AA3493" s="82"/>
      <c r="AB3493" s="82"/>
      <c r="AC3493" s="82"/>
      <c r="AD3493" s="82"/>
      <c r="AE3493" s="82"/>
      <c r="AF3493" s="82"/>
      <c r="AG3493" s="82"/>
      <c r="AH3493" s="82"/>
      <c r="AI3493" s="82"/>
      <c r="AJ3493" s="82"/>
      <c r="AK3493" s="82"/>
      <c r="AL3493" s="82"/>
      <c r="AM3493" s="82"/>
      <c r="AN3493" s="82">
        <f>IFERROR(__xludf.DUMMYFUNCTION("""COMPUTED_VALUE"""),0.0)</f>
        <v>0</v>
      </c>
      <c r="AO3493" s="82">
        <f>IFERROR(__xludf.DUMMYFUNCTION("""COMPUTED_VALUE"""),0.0)</f>
        <v>0</v>
      </c>
      <c r="AP3493" s="82">
        <f>IFERROR(__xludf.DUMMYFUNCTION("""COMPUTED_VALUE"""),0.0)</f>
        <v>0</v>
      </c>
      <c r="AQ3493" s="82">
        <f>IFERROR(__xludf.DUMMYFUNCTION("""COMPUTED_VALUE"""),0.0)</f>
        <v>0</v>
      </c>
      <c r="AR3493" s="82">
        <f>IFERROR(__xludf.DUMMYFUNCTION("""COMPUTED_VALUE"""),0.0)</f>
        <v>0</v>
      </c>
      <c r="AS3493" s="82"/>
      <c r="AT3493" s="82">
        <f>IFERROR(__xludf.DUMMYFUNCTION("""COMPUTED_VALUE"""),0.0)</f>
        <v>0</v>
      </c>
      <c r="AU3493" s="82"/>
      <c r="AV3493" s="82"/>
      <c r="AW3493" s="82" t="str">
        <f t="shared" si="1"/>
        <v/>
      </c>
      <c r="AX3493" s="83" t="str">
        <f t="array" ref="AX3493">IFERROR(DGET('SBV Import'!A:G,"SBV",{"RSC ID","Tier";B3493,A3493}))</f>
        <v/>
      </c>
      <c r="AY3493" s="82" t="str">
        <f t="shared" si="2"/>
        <v/>
      </c>
      <c r="AZ3493" s="82"/>
      <c r="BA3493" s="84" t="s">
        <v>152</v>
      </c>
      <c r="BB3493" s="84" t="str">
        <f>IFERROR(__xludf.DUMMYFUNCTION("iferror(if(A3493="""",,E3493&gt;=FILTER(Constants!$F$2:$F$10,Constants!$A$2:$A$10=A3493)))"),"")</f>
        <v/>
      </c>
    </row>
    <row r="3494">
      <c r="A3494" s="89"/>
      <c r="B3494" s="87"/>
      <c r="C3494" s="73"/>
      <c r="D3494" s="73"/>
      <c r="E3494" s="82"/>
      <c r="F3494" s="82"/>
      <c r="G3494" s="86"/>
      <c r="H3494" s="86"/>
      <c r="I3494" s="86"/>
      <c r="J3494" s="82"/>
      <c r="K3494" s="82"/>
      <c r="L3494" s="82"/>
      <c r="M3494" s="82"/>
      <c r="N3494" s="82"/>
      <c r="O3494" s="82"/>
      <c r="P3494" s="82"/>
      <c r="Q3494" s="82"/>
      <c r="R3494" s="82"/>
      <c r="S3494" s="82"/>
      <c r="T3494" s="82"/>
      <c r="U3494" s="82"/>
      <c r="V3494" s="82"/>
      <c r="W3494" s="82"/>
      <c r="X3494" s="82"/>
      <c r="Y3494" s="82"/>
      <c r="Z3494" s="82"/>
      <c r="AA3494" s="82"/>
      <c r="AB3494" s="82"/>
      <c r="AC3494" s="82"/>
      <c r="AD3494" s="82"/>
      <c r="AE3494" s="82"/>
      <c r="AF3494" s="82"/>
      <c r="AG3494" s="82"/>
      <c r="AH3494" s="82"/>
      <c r="AI3494" s="82"/>
      <c r="AJ3494" s="82"/>
      <c r="AK3494" s="82"/>
      <c r="AL3494" s="82"/>
      <c r="AM3494" s="82"/>
      <c r="AN3494" s="82">
        <f>IFERROR(__xludf.DUMMYFUNCTION("""COMPUTED_VALUE"""),0.0)</f>
        <v>0</v>
      </c>
      <c r="AO3494" s="82">
        <f>IFERROR(__xludf.DUMMYFUNCTION("""COMPUTED_VALUE"""),0.0)</f>
        <v>0</v>
      </c>
      <c r="AP3494" s="82">
        <f>IFERROR(__xludf.DUMMYFUNCTION("""COMPUTED_VALUE"""),0.0)</f>
        <v>0</v>
      </c>
      <c r="AQ3494" s="82">
        <f>IFERROR(__xludf.DUMMYFUNCTION("""COMPUTED_VALUE"""),0.0)</f>
        <v>0</v>
      </c>
      <c r="AR3494" s="82">
        <f>IFERROR(__xludf.DUMMYFUNCTION("""COMPUTED_VALUE"""),0.0)</f>
        <v>0</v>
      </c>
      <c r="AS3494" s="82"/>
      <c r="AT3494" s="82">
        <f>IFERROR(__xludf.DUMMYFUNCTION("""COMPUTED_VALUE"""),0.0)</f>
        <v>0</v>
      </c>
      <c r="AU3494" s="82"/>
      <c r="AV3494" s="82"/>
      <c r="AW3494" s="82" t="str">
        <f t="shared" si="1"/>
        <v/>
      </c>
      <c r="AX3494" s="83" t="str">
        <f t="array" ref="AX3494">IFERROR(DGET('SBV Import'!A:G,"SBV",{"RSC ID","Tier";B3494,A3494}))</f>
        <v/>
      </c>
      <c r="AY3494" s="82" t="str">
        <f t="shared" si="2"/>
        <v/>
      </c>
      <c r="AZ3494" s="82"/>
      <c r="BA3494" s="84" t="s">
        <v>152</v>
      </c>
      <c r="BB3494" s="84" t="str">
        <f>IFERROR(__xludf.DUMMYFUNCTION("iferror(if(A3494="""",,E3494&gt;=FILTER(Constants!$F$2:$F$10,Constants!$A$2:$A$10=A3494)))"),"")</f>
        <v/>
      </c>
    </row>
    <row r="3495">
      <c r="A3495" s="89"/>
      <c r="B3495" s="87"/>
      <c r="C3495" s="73"/>
      <c r="D3495" s="73"/>
      <c r="E3495" s="82"/>
      <c r="F3495" s="82"/>
      <c r="G3495" s="86"/>
      <c r="H3495" s="86"/>
      <c r="I3495" s="86"/>
      <c r="J3495" s="82"/>
      <c r="K3495" s="82"/>
      <c r="L3495" s="82"/>
      <c r="M3495" s="82"/>
      <c r="N3495" s="82"/>
      <c r="O3495" s="82"/>
      <c r="P3495" s="82"/>
      <c r="Q3495" s="82"/>
      <c r="R3495" s="82"/>
      <c r="S3495" s="82"/>
      <c r="T3495" s="82"/>
      <c r="U3495" s="82"/>
      <c r="V3495" s="82"/>
      <c r="W3495" s="82"/>
      <c r="X3495" s="82"/>
      <c r="Y3495" s="82"/>
      <c r="Z3495" s="82"/>
      <c r="AA3495" s="82"/>
      <c r="AB3495" s="82"/>
      <c r="AC3495" s="82"/>
      <c r="AD3495" s="82"/>
      <c r="AE3495" s="82"/>
      <c r="AF3495" s="82"/>
      <c r="AG3495" s="82"/>
      <c r="AH3495" s="82"/>
      <c r="AI3495" s="82"/>
      <c r="AJ3495" s="82"/>
      <c r="AK3495" s="82"/>
      <c r="AL3495" s="82"/>
      <c r="AM3495" s="82"/>
      <c r="AN3495" s="82">
        <f>IFERROR(__xludf.DUMMYFUNCTION("""COMPUTED_VALUE"""),0.0)</f>
        <v>0</v>
      </c>
      <c r="AO3495" s="82">
        <f>IFERROR(__xludf.DUMMYFUNCTION("""COMPUTED_VALUE"""),0.0)</f>
        <v>0</v>
      </c>
      <c r="AP3495" s="82">
        <f>IFERROR(__xludf.DUMMYFUNCTION("""COMPUTED_VALUE"""),0.0)</f>
        <v>0</v>
      </c>
      <c r="AQ3495" s="82">
        <f>IFERROR(__xludf.DUMMYFUNCTION("""COMPUTED_VALUE"""),0.0)</f>
        <v>0</v>
      </c>
      <c r="AR3495" s="82">
        <f>IFERROR(__xludf.DUMMYFUNCTION("""COMPUTED_VALUE"""),0.0)</f>
        <v>0</v>
      </c>
      <c r="AS3495" s="82"/>
      <c r="AT3495" s="82">
        <f>IFERROR(__xludf.DUMMYFUNCTION("""COMPUTED_VALUE"""),0.0)</f>
        <v>0</v>
      </c>
      <c r="AU3495" s="82"/>
      <c r="AV3495" s="82"/>
      <c r="AW3495" s="82" t="str">
        <f t="shared" si="1"/>
        <v/>
      </c>
      <c r="AX3495" s="83" t="str">
        <f t="array" ref="AX3495">IFERROR(DGET('SBV Import'!A:G,"SBV",{"RSC ID","Tier";B3495,A3495}))</f>
        <v/>
      </c>
      <c r="AY3495" s="82" t="str">
        <f t="shared" si="2"/>
        <v/>
      </c>
      <c r="AZ3495" s="82"/>
      <c r="BA3495" s="84" t="s">
        <v>152</v>
      </c>
      <c r="BB3495" s="84" t="str">
        <f>IFERROR(__xludf.DUMMYFUNCTION("iferror(if(A3495="""",,E3495&gt;=FILTER(Constants!$F$2:$F$10,Constants!$A$2:$A$10=A3495)))"),"")</f>
        <v/>
      </c>
    </row>
    <row r="3496">
      <c r="A3496" s="89"/>
      <c r="B3496" s="87"/>
      <c r="C3496" s="73"/>
      <c r="D3496" s="73"/>
      <c r="E3496" s="82"/>
      <c r="F3496" s="82"/>
      <c r="G3496" s="86"/>
      <c r="H3496" s="86"/>
      <c r="I3496" s="86"/>
      <c r="J3496" s="82"/>
      <c r="K3496" s="82"/>
      <c r="L3496" s="82"/>
      <c r="M3496" s="82"/>
      <c r="N3496" s="82"/>
      <c r="O3496" s="82"/>
      <c r="P3496" s="82"/>
      <c r="Q3496" s="82"/>
      <c r="R3496" s="82"/>
      <c r="S3496" s="82"/>
      <c r="T3496" s="82"/>
      <c r="U3496" s="82"/>
      <c r="V3496" s="82"/>
      <c r="W3496" s="82"/>
      <c r="X3496" s="82"/>
      <c r="Y3496" s="82"/>
      <c r="Z3496" s="82"/>
      <c r="AA3496" s="82"/>
      <c r="AB3496" s="82"/>
      <c r="AC3496" s="82"/>
      <c r="AD3496" s="82"/>
      <c r="AE3496" s="82"/>
      <c r="AF3496" s="82"/>
      <c r="AG3496" s="82"/>
      <c r="AH3496" s="82"/>
      <c r="AI3496" s="82"/>
      <c r="AJ3496" s="82"/>
      <c r="AK3496" s="82"/>
      <c r="AL3496" s="82"/>
      <c r="AM3496" s="82"/>
      <c r="AN3496" s="82">
        <f>IFERROR(__xludf.DUMMYFUNCTION("""COMPUTED_VALUE"""),0.0)</f>
        <v>0</v>
      </c>
      <c r="AO3496" s="82">
        <f>IFERROR(__xludf.DUMMYFUNCTION("""COMPUTED_VALUE"""),0.0)</f>
        <v>0</v>
      </c>
      <c r="AP3496" s="82">
        <f>IFERROR(__xludf.DUMMYFUNCTION("""COMPUTED_VALUE"""),0.0)</f>
        <v>0</v>
      </c>
      <c r="AQ3496" s="82">
        <f>IFERROR(__xludf.DUMMYFUNCTION("""COMPUTED_VALUE"""),0.0)</f>
        <v>0</v>
      </c>
      <c r="AR3496" s="82">
        <f>IFERROR(__xludf.DUMMYFUNCTION("""COMPUTED_VALUE"""),0.0)</f>
        <v>0</v>
      </c>
      <c r="AS3496" s="82"/>
      <c r="AT3496" s="82">
        <f>IFERROR(__xludf.DUMMYFUNCTION("""COMPUTED_VALUE"""),0.0)</f>
        <v>0</v>
      </c>
      <c r="AU3496" s="82"/>
      <c r="AV3496" s="82"/>
      <c r="AW3496" s="82" t="str">
        <f t="shared" si="1"/>
        <v/>
      </c>
      <c r="AX3496" s="83" t="str">
        <f t="array" ref="AX3496">IFERROR(DGET('SBV Import'!A:G,"SBV",{"RSC ID","Tier";B3496,A3496}))</f>
        <v/>
      </c>
      <c r="AY3496" s="82" t="str">
        <f t="shared" si="2"/>
        <v/>
      </c>
      <c r="AZ3496" s="82"/>
      <c r="BA3496" s="84" t="s">
        <v>152</v>
      </c>
      <c r="BB3496" s="84" t="str">
        <f>IFERROR(__xludf.DUMMYFUNCTION("iferror(if(A3496="""",,E3496&gt;=FILTER(Constants!$F$2:$F$10,Constants!$A$2:$A$10=A3496)))"),"")</f>
        <v/>
      </c>
    </row>
    <row r="3497">
      <c r="A3497" s="89"/>
      <c r="B3497" s="87"/>
      <c r="C3497" s="73"/>
      <c r="D3497" s="73"/>
      <c r="E3497" s="82"/>
      <c r="F3497" s="82"/>
      <c r="G3497" s="86"/>
      <c r="H3497" s="86"/>
      <c r="I3497" s="86"/>
      <c r="J3497" s="82"/>
      <c r="K3497" s="82"/>
      <c r="L3497" s="82"/>
      <c r="M3497" s="82"/>
      <c r="N3497" s="82"/>
      <c r="O3497" s="82"/>
      <c r="P3497" s="82"/>
      <c r="Q3497" s="82"/>
      <c r="R3497" s="82"/>
      <c r="S3497" s="82"/>
      <c r="T3497" s="82"/>
      <c r="U3497" s="82"/>
      <c r="V3497" s="82"/>
      <c r="W3497" s="82"/>
      <c r="X3497" s="82"/>
      <c r="Y3497" s="82"/>
      <c r="Z3497" s="82"/>
      <c r="AA3497" s="82"/>
      <c r="AB3497" s="82"/>
      <c r="AC3497" s="82"/>
      <c r="AD3497" s="82"/>
      <c r="AE3497" s="82"/>
      <c r="AF3497" s="82"/>
      <c r="AG3497" s="82"/>
      <c r="AH3497" s="82"/>
      <c r="AI3497" s="82"/>
      <c r="AJ3497" s="82"/>
      <c r="AK3497" s="82"/>
      <c r="AL3497" s="82"/>
      <c r="AM3497" s="82"/>
      <c r="AN3497" s="82">
        <f>IFERROR(__xludf.DUMMYFUNCTION("""COMPUTED_VALUE"""),0.0)</f>
        <v>0</v>
      </c>
      <c r="AO3497" s="82">
        <f>IFERROR(__xludf.DUMMYFUNCTION("""COMPUTED_VALUE"""),0.0)</f>
        <v>0</v>
      </c>
      <c r="AP3497" s="82">
        <f>IFERROR(__xludf.DUMMYFUNCTION("""COMPUTED_VALUE"""),0.0)</f>
        <v>0</v>
      </c>
      <c r="AQ3497" s="82">
        <f>IFERROR(__xludf.DUMMYFUNCTION("""COMPUTED_VALUE"""),0.0)</f>
        <v>0</v>
      </c>
      <c r="AR3497" s="82">
        <f>IFERROR(__xludf.DUMMYFUNCTION("""COMPUTED_VALUE"""),0.0)</f>
        <v>0</v>
      </c>
      <c r="AS3497" s="82"/>
      <c r="AT3497" s="82">
        <f>IFERROR(__xludf.DUMMYFUNCTION("""COMPUTED_VALUE"""),0.0)</f>
        <v>0</v>
      </c>
      <c r="AU3497" s="82"/>
      <c r="AV3497" s="82"/>
      <c r="AW3497" s="82" t="str">
        <f t="shared" si="1"/>
        <v/>
      </c>
      <c r="AX3497" s="83" t="str">
        <f t="array" ref="AX3497">IFERROR(DGET('SBV Import'!A:G,"SBV",{"RSC ID","Tier";B3497,A3497}))</f>
        <v/>
      </c>
      <c r="AY3497" s="82" t="str">
        <f t="shared" si="2"/>
        <v/>
      </c>
      <c r="AZ3497" s="82"/>
      <c r="BA3497" s="84" t="s">
        <v>152</v>
      </c>
      <c r="BB3497" s="84" t="str">
        <f>IFERROR(__xludf.DUMMYFUNCTION("iferror(if(A3497="""",,E3497&gt;=FILTER(Constants!$F$2:$F$10,Constants!$A$2:$A$10=A3497)))"),"")</f>
        <v/>
      </c>
    </row>
    <row r="3498">
      <c r="A3498" s="89"/>
      <c r="B3498" s="87"/>
      <c r="C3498" s="73"/>
      <c r="D3498" s="73"/>
      <c r="E3498" s="82"/>
      <c r="F3498" s="82"/>
      <c r="G3498" s="86"/>
      <c r="H3498" s="86"/>
      <c r="I3498" s="86"/>
      <c r="J3498" s="82"/>
      <c r="K3498" s="82"/>
      <c r="L3498" s="82"/>
      <c r="M3498" s="82"/>
      <c r="N3498" s="82"/>
      <c r="O3498" s="82"/>
      <c r="P3498" s="82"/>
      <c r="Q3498" s="82"/>
      <c r="R3498" s="82"/>
      <c r="S3498" s="82"/>
      <c r="T3498" s="82"/>
      <c r="U3498" s="82"/>
      <c r="V3498" s="82"/>
      <c r="W3498" s="82"/>
      <c r="X3498" s="82"/>
      <c r="Y3498" s="82"/>
      <c r="Z3498" s="82"/>
      <c r="AA3498" s="82"/>
      <c r="AB3498" s="82"/>
      <c r="AC3498" s="82"/>
      <c r="AD3498" s="82"/>
      <c r="AE3498" s="82"/>
      <c r="AF3498" s="82"/>
      <c r="AG3498" s="82"/>
      <c r="AH3498" s="82"/>
      <c r="AI3498" s="82"/>
      <c r="AJ3498" s="82"/>
      <c r="AK3498" s="82"/>
      <c r="AL3498" s="82"/>
      <c r="AM3498" s="82"/>
      <c r="AN3498" s="82">
        <f>IFERROR(__xludf.DUMMYFUNCTION("""COMPUTED_VALUE"""),0.0)</f>
        <v>0</v>
      </c>
      <c r="AO3498" s="82">
        <f>IFERROR(__xludf.DUMMYFUNCTION("""COMPUTED_VALUE"""),0.0)</f>
        <v>0</v>
      </c>
      <c r="AP3498" s="82">
        <f>IFERROR(__xludf.DUMMYFUNCTION("""COMPUTED_VALUE"""),0.0)</f>
        <v>0</v>
      </c>
      <c r="AQ3498" s="82">
        <f>IFERROR(__xludf.DUMMYFUNCTION("""COMPUTED_VALUE"""),0.0)</f>
        <v>0</v>
      </c>
      <c r="AR3498" s="82">
        <f>IFERROR(__xludf.DUMMYFUNCTION("""COMPUTED_VALUE"""),0.0)</f>
        <v>0</v>
      </c>
      <c r="AS3498" s="82"/>
      <c r="AT3498" s="82">
        <f>IFERROR(__xludf.DUMMYFUNCTION("""COMPUTED_VALUE"""),0.0)</f>
        <v>0</v>
      </c>
      <c r="AU3498" s="82"/>
      <c r="AV3498" s="82"/>
      <c r="AW3498" s="82" t="str">
        <f t="shared" si="1"/>
        <v/>
      </c>
      <c r="AX3498" s="83" t="str">
        <f t="array" ref="AX3498">IFERROR(DGET('SBV Import'!A:G,"SBV",{"RSC ID","Tier";B3498,A3498}))</f>
        <v/>
      </c>
      <c r="AY3498" s="82" t="str">
        <f t="shared" si="2"/>
        <v/>
      </c>
      <c r="AZ3498" s="82"/>
      <c r="BA3498" s="84" t="s">
        <v>152</v>
      </c>
      <c r="BB3498" s="84" t="str">
        <f>IFERROR(__xludf.DUMMYFUNCTION("iferror(if(A3498="""",,E3498&gt;=FILTER(Constants!$F$2:$F$10,Constants!$A$2:$A$10=A3498)))"),"")</f>
        <v/>
      </c>
    </row>
    <row r="3499">
      <c r="A3499" s="89"/>
      <c r="B3499" s="87"/>
      <c r="C3499" s="73"/>
      <c r="D3499" s="73"/>
      <c r="E3499" s="82"/>
      <c r="F3499" s="82"/>
      <c r="G3499" s="86"/>
      <c r="H3499" s="86"/>
      <c r="I3499" s="86"/>
      <c r="J3499" s="82"/>
      <c r="K3499" s="82"/>
      <c r="L3499" s="82"/>
      <c r="M3499" s="82"/>
      <c r="N3499" s="82"/>
      <c r="O3499" s="82"/>
      <c r="P3499" s="82"/>
      <c r="Q3499" s="82"/>
      <c r="R3499" s="82"/>
      <c r="S3499" s="82"/>
      <c r="T3499" s="82"/>
      <c r="U3499" s="82"/>
      <c r="V3499" s="82"/>
      <c r="W3499" s="82"/>
      <c r="X3499" s="82"/>
      <c r="Y3499" s="82"/>
      <c r="Z3499" s="82"/>
      <c r="AA3499" s="82"/>
      <c r="AB3499" s="82"/>
      <c r="AC3499" s="82"/>
      <c r="AD3499" s="82"/>
      <c r="AE3499" s="82"/>
      <c r="AF3499" s="82"/>
      <c r="AG3499" s="82"/>
      <c r="AH3499" s="82"/>
      <c r="AI3499" s="82"/>
      <c r="AJ3499" s="82"/>
      <c r="AK3499" s="82"/>
      <c r="AL3499" s="82"/>
      <c r="AM3499" s="82"/>
      <c r="AN3499" s="82"/>
      <c r="AO3499" s="82"/>
      <c r="AP3499" s="82"/>
      <c r="AQ3499" s="82"/>
      <c r="AR3499" s="82"/>
      <c r="AS3499" s="82"/>
      <c r="AT3499" s="82"/>
      <c r="AU3499" s="82"/>
      <c r="AV3499" s="82"/>
      <c r="AW3499" s="82" t="str">
        <f t="shared" si="1"/>
        <v/>
      </c>
      <c r="AX3499" s="83" t="str">
        <f t="array" ref="AX3499">IFERROR(DGET('SBV Import'!A:G,"SBV",{"RSC ID","Tier";B3499,A3499}))</f>
        <v/>
      </c>
      <c r="AY3499" s="82" t="str">
        <f t="shared" si="2"/>
        <v/>
      </c>
      <c r="AZ3499" s="82"/>
      <c r="BA3499" s="84" t="s">
        <v>152</v>
      </c>
      <c r="BB3499" s="84" t="str">
        <f>IFERROR(__xludf.DUMMYFUNCTION("iferror(if(A3499="""",,E3499&gt;=FILTER(Constants!$F$2:$F$10,Constants!$A$2:$A$10=A3499)))"),"")</f>
        <v/>
      </c>
    </row>
    <row r="3500">
      <c r="A3500" s="89"/>
      <c r="B3500" s="87"/>
      <c r="C3500" s="73"/>
      <c r="D3500" s="73"/>
      <c r="E3500" s="82"/>
      <c r="F3500" s="82"/>
      <c r="G3500" s="86"/>
      <c r="H3500" s="86"/>
      <c r="I3500" s="86"/>
      <c r="J3500" s="82"/>
      <c r="K3500" s="82"/>
      <c r="L3500" s="82"/>
      <c r="M3500" s="82"/>
      <c r="N3500" s="82"/>
      <c r="O3500" s="82"/>
      <c r="P3500" s="82"/>
      <c r="Q3500" s="82"/>
      <c r="R3500" s="82"/>
      <c r="S3500" s="82"/>
      <c r="T3500" s="82"/>
      <c r="U3500" s="82"/>
      <c r="V3500" s="82"/>
      <c r="W3500" s="82"/>
      <c r="X3500" s="82"/>
      <c r="Y3500" s="82"/>
      <c r="Z3500" s="82"/>
      <c r="AA3500" s="82"/>
      <c r="AB3500" s="82"/>
      <c r="AC3500" s="82"/>
      <c r="AD3500" s="82"/>
      <c r="AE3500" s="82"/>
      <c r="AF3500" s="82"/>
      <c r="AG3500" s="82"/>
      <c r="AH3500" s="82"/>
      <c r="AI3500" s="82"/>
      <c r="AJ3500" s="82"/>
      <c r="AK3500" s="82"/>
      <c r="AL3500" s="82"/>
      <c r="AM3500" s="82"/>
      <c r="AN3500" s="82"/>
      <c r="AO3500" s="82"/>
      <c r="AP3500" s="82"/>
      <c r="AQ3500" s="82"/>
      <c r="AR3500" s="82"/>
      <c r="AS3500" s="82"/>
      <c r="AT3500" s="82"/>
      <c r="AU3500" s="82"/>
      <c r="AV3500" s="82"/>
      <c r="AW3500" s="82" t="str">
        <f t="shared" si="1"/>
        <v/>
      </c>
      <c r="AX3500" s="83" t="str">
        <f t="array" ref="AX3500">IFERROR(DGET('SBV Import'!A:G,"SBV",{"RSC ID","Tier";B3500,A3500}))</f>
        <v/>
      </c>
      <c r="AY3500" s="82" t="str">
        <f t="shared" si="2"/>
        <v/>
      </c>
      <c r="AZ3500" s="82"/>
      <c r="BA3500" s="84" t="s">
        <v>152</v>
      </c>
      <c r="BB3500" s="84" t="str">
        <f>IFERROR(__xludf.DUMMYFUNCTION("iferror(if(A3500="""",,E3500&gt;=FILTER(Constants!$F$2:$F$10,Constants!$A$2:$A$10=A3500)))"),"")</f>
        <v/>
      </c>
    </row>
    <row r="3501">
      <c r="A3501" s="89"/>
      <c r="B3501" s="87"/>
      <c r="C3501" s="73"/>
      <c r="D3501" s="73"/>
      <c r="E3501" s="82"/>
      <c r="F3501" s="82"/>
      <c r="G3501" s="86"/>
      <c r="H3501" s="86"/>
      <c r="I3501" s="86"/>
      <c r="J3501" s="82"/>
      <c r="K3501" s="82"/>
      <c r="L3501" s="82"/>
      <c r="M3501" s="82"/>
      <c r="N3501" s="82"/>
      <c r="O3501" s="82"/>
      <c r="P3501" s="82"/>
      <c r="Q3501" s="82"/>
      <c r="R3501" s="82"/>
      <c r="S3501" s="82"/>
      <c r="T3501" s="82"/>
      <c r="U3501" s="82"/>
      <c r="V3501" s="82"/>
      <c r="W3501" s="82"/>
      <c r="X3501" s="82"/>
      <c r="Y3501" s="82"/>
      <c r="Z3501" s="82"/>
      <c r="AA3501" s="82"/>
      <c r="AB3501" s="82"/>
      <c r="AC3501" s="82"/>
      <c r="AD3501" s="82"/>
      <c r="AE3501" s="82"/>
      <c r="AF3501" s="82"/>
      <c r="AG3501" s="82"/>
      <c r="AH3501" s="82"/>
      <c r="AI3501" s="82"/>
      <c r="AJ3501" s="82"/>
      <c r="AK3501" s="82"/>
      <c r="AL3501" s="82"/>
      <c r="AM3501" s="82"/>
      <c r="AN3501" s="82"/>
      <c r="AO3501" s="82"/>
      <c r="AP3501" s="82"/>
      <c r="AQ3501" s="82"/>
      <c r="AR3501" s="82"/>
      <c r="AS3501" s="82"/>
      <c r="AT3501" s="82"/>
      <c r="AU3501" s="82"/>
      <c r="AV3501" s="82"/>
      <c r="AW3501" s="82" t="str">
        <f t="shared" si="1"/>
        <v/>
      </c>
      <c r="AX3501" s="83" t="str">
        <f t="array" ref="AX3501">IFERROR(DGET('SBV Import'!A:G,"SBV",{"RSC ID","Tier";B3501,A3501}))</f>
        <v/>
      </c>
      <c r="AY3501" s="82" t="str">
        <f t="shared" si="2"/>
        <v/>
      </c>
      <c r="AZ3501" s="82"/>
      <c r="BA3501" s="84" t="s">
        <v>152</v>
      </c>
      <c r="BB3501" s="84" t="str">
        <f>IFERROR(__xludf.DUMMYFUNCTION("iferror(if(A3501="""",,E3501&gt;=FILTER(Constants!$F$2:$F$10,Constants!$A$2:$A$10=A3501)))"),"")</f>
        <v/>
      </c>
    </row>
    <row r="3502">
      <c r="A3502" s="89"/>
      <c r="B3502" s="87"/>
      <c r="C3502" s="73"/>
      <c r="D3502" s="73"/>
      <c r="E3502" s="82"/>
      <c r="F3502" s="82"/>
      <c r="G3502" s="86"/>
      <c r="H3502" s="86"/>
      <c r="I3502" s="86"/>
      <c r="J3502" s="82"/>
      <c r="K3502" s="82"/>
      <c r="L3502" s="82"/>
      <c r="M3502" s="82"/>
      <c r="N3502" s="82"/>
      <c r="O3502" s="82"/>
      <c r="P3502" s="82"/>
      <c r="Q3502" s="82"/>
      <c r="R3502" s="82"/>
      <c r="S3502" s="82"/>
      <c r="T3502" s="82"/>
      <c r="U3502" s="82"/>
      <c r="V3502" s="82"/>
      <c r="W3502" s="82"/>
      <c r="X3502" s="82"/>
      <c r="Y3502" s="82"/>
      <c r="Z3502" s="82"/>
      <c r="AA3502" s="82"/>
      <c r="AB3502" s="82"/>
      <c r="AC3502" s="82"/>
      <c r="AD3502" s="82"/>
      <c r="AE3502" s="82"/>
      <c r="AF3502" s="82"/>
      <c r="AG3502" s="82"/>
      <c r="AH3502" s="82"/>
      <c r="AI3502" s="82"/>
      <c r="AJ3502" s="82"/>
      <c r="AK3502" s="82"/>
      <c r="AL3502" s="82"/>
      <c r="AM3502" s="82"/>
      <c r="AN3502" s="82"/>
      <c r="AO3502" s="82"/>
      <c r="AP3502" s="82"/>
      <c r="AQ3502" s="82"/>
      <c r="AR3502" s="82"/>
      <c r="AS3502" s="82"/>
      <c r="AT3502" s="82"/>
      <c r="AU3502" s="82"/>
      <c r="AV3502" s="82"/>
      <c r="AW3502" s="82" t="str">
        <f t="shared" si="1"/>
        <v/>
      </c>
      <c r="AX3502" s="83" t="str">
        <f t="array" ref="AX3502">IFERROR(DGET('SBV Import'!A:G,"SBV",{"RSC ID","Tier";B3502,A3502}))</f>
        <v/>
      </c>
      <c r="AY3502" s="82" t="str">
        <f t="shared" si="2"/>
        <v/>
      </c>
      <c r="AZ3502" s="82"/>
      <c r="BA3502" s="84" t="s">
        <v>152</v>
      </c>
      <c r="BB3502" s="84" t="str">
        <f>IFERROR(__xludf.DUMMYFUNCTION("iferror(if(A3502="""",,E3502&gt;=FILTER(Constants!$F$2:$F$10,Constants!$A$2:$A$10=A3502)))"),"")</f>
        <v/>
      </c>
    </row>
    <row r="3503">
      <c r="A3503" s="89"/>
      <c r="B3503" s="87"/>
      <c r="C3503" s="73"/>
      <c r="D3503" s="73"/>
      <c r="E3503" s="82"/>
      <c r="F3503" s="82"/>
      <c r="G3503" s="86"/>
      <c r="H3503" s="86"/>
      <c r="I3503" s="86"/>
      <c r="J3503" s="82"/>
      <c r="K3503" s="82"/>
      <c r="L3503" s="82"/>
      <c r="M3503" s="82"/>
      <c r="N3503" s="82"/>
      <c r="O3503" s="82"/>
      <c r="P3503" s="82"/>
      <c r="Q3503" s="82"/>
      <c r="R3503" s="82"/>
      <c r="S3503" s="82"/>
      <c r="T3503" s="82"/>
      <c r="U3503" s="82"/>
      <c r="V3503" s="82"/>
      <c r="W3503" s="82"/>
      <c r="X3503" s="82"/>
      <c r="Y3503" s="82"/>
      <c r="Z3503" s="82"/>
      <c r="AA3503" s="82"/>
      <c r="AB3503" s="82"/>
      <c r="AC3503" s="82"/>
      <c r="AD3503" s="82"/>
      <c r="AE3503" s="82"/>
      <c r="AF3503" s="82"/>
      <c r="AG3503" s="82"/>
      <c r="AH3503" s="82"/>
      <c r="AI3503" s="82"/>
      <c r="AJ3503" s="82"/>
      <c r="AK3503" s="82"/>
      <c r="AL3503" s="82"/>
      <c r="AM3503" s="82"/>
      <c r="AN3503" s="82"/>
      <c r="AO3503" s="82"/>
      <c r="AP3503" s="82"/>
      <c r="AQ3503" s="82"/>
      <c r="AR3503" s="82"/>
      <c r="AS3503" s="82"/>
      <c r="AT3503" s="82"/>
      <c r="AU3503" s="82"/>
      <c r="AV3503" s="82"/>
      <c r="AW3503" s="82" t="str">
        <f t="shared" si="1"/>
        <v/>
      </c>
      <c r="AX3503" s="83" t="str">
        <f t="array" ref="AX3503">IFERROR(DGET('SBV Import'!A:G,"SBV",{"RSC ID","Tier";B3503,A3503}))</f>
        <v/>
      </c>
      <c r="AY3503" s="82" t="str">
        <f t="shared" si="2"/>
        <v/>
      </c>
      <c r="AZ3503" s="82"/>
      <c r="BA3503" s="84" t="s">
        <v>152</v>
      </c>
      <c r="BB3503" s="84" t="str">
        <f>IFERROR(__xludf.DUMMYFUNCTION("iferror(if(A3503="""",,E3503&gt;=FILTER(Constants!$F$2:$F$10,Constants!$A$2:$A$10=A3503)))"),"")</f>
        <v/>
      </c>
    </row>
    <row r="3504">
      <c r="A3504" s="89"/>
      <c r="B3504" s="87"/>
      <c r="C3504" s="73"/>
      <c r="D3504" s="73"/>
      <c r="E3504" s="82"/>
      <c r="F3504" s="82"/>
      <c r="G3504" s="86"/>
      <c r="H3504" s="86"/>
      <c r="I3504" s="86"/>
      <c r="J3504" s="82"/>
      <c r="K3504" s="82"/>
      <c r="L3504" s="82"/>
      <c r="M3504" s="82"/>
      <c r="N3504" s="82"/>
      <c r="O3504" s="82"/>
      <c r="P3504" s="82"/>
      <c r="Q3504" s="82"/>
      <c r="R3504" s="82"/>
      <c r="S3504" s="82"/>
      <c r="T3504" s="82"/>
      <c r="U3504" s="82"/>
      <c r="V3504" s="82"/>
      <c r="W3504" s="82"/>
      <c r="X3504" s="82"/>
      <c r="Y3504" s="82"/>
      <c r="Z3504" s="82"/>
      <c r="AA3504" s="82"/>
      <c r="AB3504" s="82"/>
      <c r="AC3504" s="82"/>
      <c r="AD3504" s="82"/>
      <c r="AE3504" s="82"/>
      <c r="AF3504" s="82"/>
      <c r="AG3504" s="82"/>
      <c r="AH3504" s="82"/>
      <c r="AI3504" s="82"/>
      <c r="AJ3504" s="82"/>
      <c r="AK3504" s="82"/>
      <c r="AL3504" s="82"/>
      <c r="AM3504" s="82"/>
      <c r="AN3504" s="82"/>
      <c r="AO3504" s="82"/>
      <c r="AP3504" s="82"/>
      <c r="AQ3504" s="82"/>
      <c r="AR3504" s="82"/>
      <c r="AS3504" s="82"/>
      <c r="AT3504" s="82"/>
      <c r="AU3504" s="82"/>
      <c r="AV3504" s="82"/>
      <c r="AW3504" s="82" t="str">
        <f t="shared" si="1"/>
        <v/>
      </c>
      <c r="AX3504" s="83" t="str">
        <f t="array" ref="AX3504">IFERROR(DGET('SBV Import'!A:G,"SBV",{"RSC ID","Tier";B3504,A3504}))</f>
        <v/>
      </c>
      <c r="AY3504" s="82" t="str">
        <f t="shared" si="2"/>
        <v/>
      </c>
      <c r="AZ3504" s="82"/>
      <c r="BA3504" s="84" t="s">
        <v>152</v>
      </c>
      <c r="BB3504" s="84" t="str">
        <f>IFERROR(__xludf.DUMMYFUNCTION("iferror(if(A3504="""",,E3504&gt;=FILTER(Constants!$F$2:$F$10,Constants!$A$2:$A$10=A3504)))"),"")</f>
        <v/>
      </c>
    </row>
    <row r="3505">
      <c r="A3505" s="89"/>
      <c r="B3505" s="87"/>
      <c r="C3505" s="73"/>
      <c r="D3505" s="73"/>
      <c r="E3505" s="82"/>
      <c r="F3505" s="82"/>
      <c r="G3505" s="86"/>
      <c r="H3505" s="86"/>
      <c r="I3505" s="86"/>
      <c r="J3505" s="82"/>
      <c r="K3505" s="82"/>
      <c r="L3505" s="82"/>
      <c r="M3505" s="82"/>
      <c r="N3505" s="82"/>
      <c r="O3505" s="82"/>
      <c r="P3505" s="82"/>
      <c r="Q3505" s="82"/>
      <c r="R3505" s="82"/>
      <c r="S3505" s="82"/>
      <c r="T3505" s="82"/>
      <c r="U3505" s="82"/>
      <c r="V3505" s="82"/>
      <c r="W3505" s="82"/>
      <c r="X3505" s="82"/>
      <c r="Y3505" s="82"/>
      <c r="Z3505" s="82"/>
      <c r="AA3505" s="82"/>
      <c r="AB3505" s="82"/>
      <c r="AC3505" s="82"/>
      <c r="AD3505" s="82"/>
      <c r="AE3505" s="82"/>
      <c r="AF3505" s="82"/>
      <c r="AG3505" s="82"/>
      <c r="AH3505" s="82"/>
      <c r="AI3505" s="82"/>
      <c r="AJ3505" s="82"/>
      <c r="AK3505" s="82"/>
      <c r="AL3505" s="82"/>
      <c r="AM3505" s="82"/>
      <c r="AN3505" s="82"/>
      <c r="AO3505" s="82"/>
      <c r="AP3505" s="82"/>
      <c r="AQ3505" s="82"/>
      <c r="AR3505" s="82"/>
      <c r="AS3505" s="82"/>
      <c r="AT3505" s="82"/>
      <c r="AU3505" s="82"/>
      <c r="AV3505" s="82"/>
      <c r="AW3505" s="82" t="str">
        <f t="shared" si="1"/>
        <v/>
      </c>
      <c r="AX3505" s="83" t="str">
        <f t="array" ref="AX3505">IFERROR(DGET('SBV Import'!A:G,"SBV",{"RSC ID","Tier";B3505,A3505}))</f>
        <v/>
      </c>
      <c r="AY3505" s="82" t="str">
        <f t="shared" si="2"/>
        <v/>
      </c>
      <c r="AZ3505" s="82"/>
      <c r="BA3505" s="84" t="s">
        <v>152</v>
      </c>
      <c r="BB3505" s="84" t="str">
        <f>IFERROR(__xludf.DUMMYFUNCTION("iferror(if(A3505="""",,E3505&gt;=FILTER(Constants!$F$2:$F$10,Constants!$A$2:$A$10=A3505)))"),"")</f>
        <v/>
      </c>
    </row>
    <row r="3506">
      <c r="A3506" s="89"/>
      <c r="B3506" s="87"/>
      <c r="C3506" s="73"/>
      <c r="D3506" s="73"/>
      <c r="E3506" s="82"/>
      <c r="F3506" s="82"/>
      <c r="G3506" s="86"/>
      <c r="H3506" s="86"/>
      <c r="I3506" s="86"/>
      <c r="J3506" s="82"/>
      <c r="K3506" s="82"/>
      <c r="L3506" s="82"/>
      <c r="M3506" s="82"/>
      <c r="N3506" s="82"/>
      <c r="O3506" s="82"/>
      <c r="P3506" s="82"/>
      <c r="Q3506" s="82"/>
      <c r="R3506" s="82"/>
      <c r="S3506" s="82"/>
      <c r="T3506" s="82"/>
      <c r="U3506" s="82"/>
      <c r="V3506" s="82"/>
      <c r="W3506" s="82"/>
      <c r="X3506" s="82"/>
      <c r="Y3506" s="82"/>
      <c r="Z3506" s="82"/>
      <c r="AA3506" s="82"/>
      <c r="AB3506" s="82"/>
      <c r="AC3506" s="82"/>
      <c r="AD3506" s="82"/>
      <c r="AE3506" s="82"/>
      <c r="AF3506" s="82"/>
      <c r="AG3506" s="82"/>
      <c r="AH3506" s="82"/>
      <c r="AI3506" s="82"/>
      <c r="AJ3506" s="82"/>
      <c r="AK3506" s="82"/>
      <c r="AL3506" s="82"/>
      <c r="AM3506" s="82"/>
      <c r="AN3506" s="82"/>
      <c r="AO3506" s="82"/>
      <c r="AP3506" s="82"/>
      <c r="AQ3506" s="82"/>
      <c r="AR3506" s="82"/>
      <c r="AS3506" s="82"/>
      <c r="AT3506" s="82"/>
      <c r="AU3506" s="82"/>
      <c r="AV3506" s="82"/>
      <c r="AW3506" s="82" t="str">
        <f t="shared" si="1"/>
        <v/>
      </c>
      <c r="AX3506" s="83" t="str">
        <f t="array" ref="AX3506">IFERROR(DGET('SBV Import'!A:G,"SBV",{"RSC ID","Tier";B3506,A3506}))</f>
        <v/>
      </c>
      <c r="AY3506" s="82" t="str">
        <f t="shared" si="2"/>
        <v/>
      </c>
      <c r="AZ3506" s="82"/>
      <c r="BA3506" s="84" t="s">
        <v>152</v>
      </c>
      <c r="BB3506" s="84" t="str">
        <f>IFERROR(__xludf.DUMMYFUNCTION("iferror(if(A3506="""",,E3506&gt;=FILTER(Constants!$F$2:$F$10,Constants!$A$2:$A$10=A3506)))"),"")</f>
        <v/>
      </c>
    </row>
    <row r="3507">
      <c r="A3507" s="89"/>
      <c r="B3507" s="87"/>
      <c r="C3507" s="73"/>
      <c r="D3507" s="73"/>
      <c r="E3507" s="82"/>
      <c r="F3507" s="82"/>
      <c r="G3507" s="86"/>
      <c r="H3507" s="86"/>
      <c r="I3507" s="86"/>
      <c r="J3507" s="82"/>
      <c r="K3507" s="82"/>
      <c r="L3507" s="82"/>
      <c r="M3507" s="82"/>
      <c r="N3507" s="82"/>
      <c r="O3507" s="82"/>
      <c r="P3507" s="82"/>
      <c r="Q3507" s="82"/>
      <c r="R3507" s="82"/>
      <c r="S3507" s="82"/>
      <c r="T3507" s="82"/>
      <c r="U3507" s="82"/>
      <c r="V3507" s="82"/>
      <c r="W3507" s="82"/>
      <c r="X3507" s="82"/>
      <c r="Y3507" s="82"/>
      <c r="Z3507" s="82"/>
      <c r="AA3507" s="82"/>
      <c r="AB3507" s="82"/>
      <c r="AC3507" s="82"/>
      <c r="AD3507" s="82"/>
      <c r="AE3507" s="82"/>
      <c r="AF3507" s="82"/>
      <c r="AG3507" s="82"/>
      <c r="AH3507" s="82"/>
      <c r="AI3507" s="82"/>
      <c r="AJ3507" s="82"/>
      <c r="AK3507" s="82"/>
      <c r="AL3507" s="82"/>
      <c r="AM3507" s="82"/>
      <c r="AN3507" s="82"/>
      <c r="AO3507" s="82"/>
      <c r="AP3507" s="82"/>
      <c r="AQ3507" s="82"/>
      <c r="AR3507" s="82"/>
      <c r="AS3507" s="82"/>
      <c r="AT3507" s="82"/>
      <c r="AU3507" s="82"/>
      <c r="AV3507" s="82"/>
      <c r="AW3507" s="82" t="str">
        <f t="shared" si="1"/>
        <v/>
      </c>
      <c r="AX3507" s="83" t="str">
        <f t="array" ref="AX3507">IFERROR(DGET('SBV Import'!A:G,"SBV",{"RSC ID","Tier";B3507,A3507}))</f>
        <v/>
      </c>
      <c r="AY3507" s="82" t="str">
        <f t="shared" si="2"/>
        <v/>
      </c>
      <c r="AZ3507" s="82"/>
      <c r="BA3507" s="84" t="s">
        <v>152</v>
      </c>
      <c r="BB3507" s="84" t="str">
        <f>IFERROR(__xludf.DUMMYFUNCTION("iferror(if(A3507="""",,E3507&gt;=FILTER(Constants!$F$2:$F$10,Constants!$A$2:$A$10=A3507)))"),"")</f>
        <v/>
      </c>
    </row>
    <row r="3508">
      <c r="A3508" s="89"/>
      <c r="B3508" s="87"/>
      <c r="C3508" s="73"/>
      <c r="D3508" s="73"/>
      <c r="E3508" s="82"/>
      <c r="F3508" s="82"/>
      <c r="G3508" s="86"/>
      <c r="H3508" s="86"/>
      <c r="I3508" s="86"/>
      <c r="J3508" s="82"/>
      <c r="K3508" s="82"/>
      <c r="L3508" s="82"/>
      <c r="M3508" s="82"/>
      <c r="N3508" s="82"/>
      <c r="O3508" s="82"/>
      <c r="P3508" s="82"/>
      <c r="Q3508" s="82"/>
      <c r="R3508" s="82"/>
      <c r="S3508" s="82"/>
      <c r="T3508" s="82"/>
      <c r="U3508" s="82"/>
      <c r="V3508" s="82"/>
      <c r="W3508" s="82"/>
      <c r="X3508" s="82"/>
      <c r="Y3508" s="82"/>
      <c r="Z3508" s="82"/>
      <c r="AA3508" s="82"/>
      <c r="AB3508" s="82"/>
      <c r="AC3508" s="82"/>
      <c r="AD3508" s="82"/>
      <c r="AE3508" s="82"/>
      <c r="AF3508" s="82"/>
      <c r="AG3508" s="82"/>
      <c r="AH3508" s="82"/>
      <c r="AI3508" s="82"/>
      <c r="AJ3508" s="82"/>
      <c r="AK3508" s="82"/>
      <c r="AL3508" s="82"/>
      <c r="AM3508" s="82"/>
      <c r="AN3508" s="82"/>
      <c r="AO3508" s="82"/>
      <c r="AP3508" s="82"/>
      <c r="AQ3508" s="82"/>
      <c r="AR3508" s="82"/>
      <c r="AS3508" s="82"/>
      <c r="AT3508" s="82"/>
      <c r="AU3508" s="82"/>
      <c r="AV3508" s="82"/>
      <c r="AW3508" s="82" t="str">
        <f t="shared" si="1"/>
        <v/>
      </c>
      <c r="AX3508" s="83" t="str">
        <f t="array" ref="AX3508">IFERROR(DGET('SBV Import'!A:G,"SBV",{"RSC ID","Tier";B3508,A3508}))</f>
        <v/>
      </c>
      <c r="AY3508" s="82" t="str">
        <f t="shared" si="2"/>
        <v/>
      </c>
      <c r="AZ3508" s="82"/>
      <c r="BA3508" s="84" t="s">
        <v>152</v>
      </c>
      <c r="BB3508" s="84" t="str">
        <f>IFERROR(__xludf.DUMMYFUNCTION("iferror(if(A3508="""",,E3508&gt;=FILTER(Constants!$F$2:$F$10,Constants!$A$2:$A$10=A3508)))"),"")</f>
        <v/>
      </c>
    </row>
    <row r="3509">
      <c r="A3509" s="89"/>
      <c r="B3509" s="87"/>
      <c r="C3509" s="73"/>
      <c r="D3509" s="73"/>
      <c r="E3509" s="82"/>
      <c r="F3509" s="82"/>
      <c r="G3509" s="86"/>
      <c r="H3509" s="86"/>
      <c r="I3509" s="86"/>
      <c r="J3509" s="82"/>
      <c r="K3509" s="82"/>
      <c r="L3509" s="82"/>
      <c r="M3509" s="82"/>
      <c r="N3509" s="82"/>
      <c r="O3509" s="82"/>
      <c r="P3509" s="82"/>
      <c r="Q3509" s="82"/>
      <c r="R3509" s="82"/>
      <c r="S3509" s="82"/>
      <c r="T3509" s="82"/>
      <c r="U3509" s="82"/>
      <c r="V3509" s="82"/>
      <c r="W3509" s="82"/>
      <c r="X3509" s="82"/>
      <c r="Y3509" s="82"/>
      <c r="Z3509" s="82"/>
      <c r="AA3509" s="82"/>
      <c r="AB3509" s="82"/>
      <c r="AC3509" s="82"/>
      <c r="AD3509" s="82"/>
      <c r="AE3509" s="82"/>
      <c r="AF3509" s="82"/>
      <c r="AG3509" s="82"/>
      <c r="AH3509" s="82"/>
      <c r="AI3509" s="82"/>
      <c r="AJ3509" s="82"/>
      <c r="AK3509" s="82"/>
      <c r="AL3509" s="82"/>
      <c r="AM3509" s="82"/>
      <c r="AN3509" s="82"/>
      <c r="AO3509" s="82"/>
      <c r="AP3509" s="82"/>
      <c r="AQ3509" s="82"/>
      <c r="AR3509" s="82"/>
      <c r="AS3509" s="82"/>
      <c r="AT3509" s="82"/>
      <c r="AU3509" s="82"/>
      <c r="AV3509" s="82"/>
      <c r="AW3509" s="82" t="str">
        <f t="shared" si="1"/>
        <v/>
      </c>
      <c r="AX3509" s="83" t="str">
        <f t="array" ref="AX3509">IFERROR(DGET('SBV Import'!A:G,"SBV",{"RSC ID","Tier";B3509,A3509}))</f>
        <v/>
      </c>
      <c r="AY3509" s="82" t="str">
        <f t="shared" si="2"/>
        <v/>
      </c>
      <c r="AZ3509" s="82"/>
      <c r="BA3509" s="84" t="s">
        <v>152</v>
      </c>
      <c r="BB3509" s="84" t="str">
        <f>IFERROR(__xludf.DUMMYFUNCTION("iferror(if(A3509="""",,E3509&gt;=FILTER(Constants!$F$2:$F$10,Constants!$A$2:$A$10=A3509)))"),"")</f>
        <v/>
      </c>
    </row>
    <row r="3510">
      <c r="A3510" s="89"/>
      <c r="B3510" s="87"/>
      <c r="C3510" s="73"/>
      <c r="D3510" s="73"/>
      <c r="E3510" s="82"/>
      <c r="F3510" s="82"/>
      <c r="G3510" s="86"/>
      <c r="H3510" s="86"/>
      <c r="I3510" s="86"/>
      <c r="J3510" s="82"/>
      <c r="K3510" s="82"/>
      <c r="L3510" s="82"/>
      <c r="M3510" s="82"/>
      <c r="N3510" s="82"/>
      <c r="O3510" s="82"/>
      <c r="P3510" s="82"/>
      <c r="Q3510" s="82"/>
      <c r="R3510" s="82"/>
      <c r="S3510" s="82"/>
      <c r="T3510" s="82"/>
      <c r="U3510" s="82"/>
      <c r="V3510" s="82"/>
      <c r="W3510" s="82"/>
      <c r="X3510" s="82"/>
      <c r="Y3510" s="82"/>
      <c r="Z3510" s="82"/>
      <c r="AA3510" s="82"/>
      <c r="AB3510" s="82"/>
      <c r="AC3510" s="82"/>
      <c r="AD3510" s="82"/>
      <c r="AE3510" s="82"/>
      <c r="AF3510" s="82"/>
      <c r="AG3510" s="82"/>
      <c r="AH3510" s="82"/>
      <c r="AI3510" s="82"/>
      <c r="AJ3510" s="82"/>
      <c r="AK3510" s="82"/>
      <c r="AL3510" s="82"/>
      <c r="AM3510" s="82"/>
      <c r="AN3510" s="82"/>
      <c r="AO3510" s="82"/>
      <c r="AP3510" s="82"/>
      <c r="AQ3510" s="82"/>
      <c r="AR3510" s="82"/>
      <c r="AS3510" s="82"/>
      <c r="AT3510" s="82"/>
      <c r="AU3510" s="82"/>
      <c r="AV3510" s="82"/>
      <c r="AW3510" s="82" t="str">
        <f t="shared" si="1"/>
        <v/>
      </c>
      <c r="AX3510" s="83" t="str">
        <f t="array" ref="AX3510">IFERROR(DGET('SBV Import'!A:G,"SBV",{"RSC ID","Tier";B3510,A3510}))</f>
        <v/>
      </c>
      <c r="AY3510" s="82" t="str">
        <f t="shared" si="2"/>
        <v/>
      </c>
      <c r="AZ3510" s="82"/>
      <c r="BA3510" s="84" t="s">
        <v>152</v>
      </c>
      <c r="BB3510" s="84" t="str">
        <f>IFERROR(__xludf.DUMMYFUNCTION("iferror(if(A3510="""",,E3510&gt;=FILTER(Constants!$F$2:$F$10,Constants!$A$2:$A$10=A3510)))"),"")</f>
        <v/>
      </c>
    </row>
    <row r="3511">
      <c r="A3511" s="89"/>
      <c r="B3511" s="87"/>
      <c r="C3511" s="73"/>
      <c r="D3511" s="73"/>
      <c r="E3511" s="82"/>
      <c r="F3511" s="82"/>
      <c r="G3511" s="86"/>
      <c r="H3511" s="86"/>
      <c r="I3511" s="86"/>
      <c r="J3511" s="82"/>
      <c r="K3511" s="82"/>
      <c r="L3511" s="82"/>
      <c r="M3511" s="82"/>
      <c r="N3511" s="82"/>
      <c r="O3511" s="82"/>
      <c r="P3511" s="82"/>
      <c r="Q3511" s="82"/>
      <c r="R3511" s="82"/>
      <c r="S3511" s="82"/>
      <c r="T3511" s="82"/>
      <c r="U3511" s="82"/>
      <c r="V3511" s="82"/>
      <c r="W3511" s="82"/>
      <c r="X3511" s="82"/>
      <c r="Y3511" s="82"/>
      <c r="Z3511" s="82"/>
      <c r="AA3511" s="82"/>
      <c r="AB3511" s="82"/>
      <c r="AC3511" s="82"/>
      <c r="AD3511" s="82"/>
      <c r="AE3511" s="82"/>
      <c r="AF3511" s="82"/>
      <c r="AG3511" s="82"/>
      <c r="AH3511" s="82"/>
      <c r="AI3511" s="82"/>
      <c r="AJ3511" s="82"/>
      <c r="AK3511" s="82"/>
      <c r="AL3511" s="82"/>
      <c r="AM3511" s="82"/>
      <c r="AN3511" s="82"/>
      <c r="AO3511" s="82"/>
      <c r="AP3511" s="82"/>
      <c r="AQ3511" s="82"/>
      <c r="AR3511" s="82"/>
      <c r="AS3511" s="82"/>
      <c r="AT3511" s="82"/>
      <c r="AU3511" s="82"/>
      <c r="AV3511" s="82"/>
      <c r="AW3511" s="82" t="str">
        <f t="shared" si="1"/>
        <v/>
      </c>
      <c r="AX3511" s="83" t="str">
        <f t="array" ref="AX3511">IFERROR(DGET('SBV Import'!A:G,"SBV",{"RSC ID","Tier";B3511,A3511}))</f>
        <v/>
      </c>
      <c r="AY3511" s="82" t="str">
        <f t="shared" si="2"/>
        <v/>
      </c>
      <c r="AZ3511" s="82"/>
      <c r="BA3511" s="84" t="s">
        <v>152</v>
      </c>
      <c r="BB3511" s="84" t="str">
        <f>IFERROR(__xludf.DUMMYFUNCTION("iferror(if(A3511="""",,E3511&gt;=FILTER(Constants!$F$2:$F$10,Constants!$A$2:$A$10=A3511)))"),"")</f>
        <v/>
      </c>
    </row>
    <row r="3512">
      <c r="A3512" s="89"/>
      <c r="B3512" s="87"/>
      <c r="C3512" s="73"/>
      <c r="D3512" s="73"/>
      <c r="E3512" s="82"/>
      <c r="F3512" s="82"/>
      <c r="G3512" s="86"/>
      <c r="H3512" s="86"/>
      <c r="I3512" s="86"/>
      <c r="J3512" s="82"/>
      <c r="K3512" s="82"/>
      <c r="L3512" s="82"/>
      <c r="M3512" s="82"/>
      <c r="N3512" s="82"/>
      <c r="O3512" s="82"/>
      <c r="P3512" s="82"/>
      <c r="Q3512" s="82"/>
      <c r="R3512" s="82"/>
      <c r="S3512" s="82"/>
      <c r="T3512" s="82"/>
      <c r="U3512" s="82"/>
      <c r="V3512" s="82"/>
      <c r="W3512" s="82"/>
      <c r="X3512" s="82"/>
      <c r="Y3512" s="82"/>
      <c r="Z3512" s="82"/>
      <c r="AA3512" s="82"/>
      <c r="AB3512" s="82"/>
      <c r="AC3512" s="82"/>
      <c r="AD3512" s="82"/>
      <c r="AE3512" s="82"/>
      <c r="AF3512" s="82"/>
      <c r="AG3512" s="82"/>
      <c r="AH3512" s="82"/>
      <c r="AI3512" s="82"/>
      <c r="AJ3512" s="82"/>
      <c r="AK3512" s="82"/>
      <c r="AL3512" s="82"/>
      <c r="AM3512" s="82"/>
      <c r="AN3512" s="82"/>
      <c r="AO3512" s="82"/>
      <c r="AP3512" s="82"/>
      <c r="AQ3512" s="82"/>
      <c r="AR3512" s="82"/>
      <c r="AS3512" s="82"/>
      <c r="AT3512" s="82"/>
      <c r="AU3512" s="82"/>
      <c r="AV3512" s="82"/>
      <c r="AW3512" s="82" t="str">
        <f t="shared" si="1"/>
        <v/>
      </c>
      <c r="AX3512" s="83" t="str">
        <f t="array" ref="AX3512">IFERROR(DGET('SBV Import'!A:G,"SBV",{"RSC ID","Tier";B3512,A3512}))</f>
        <v/>
      </c>
      <c r="AY3512" s="82" t="str">
        <f t="shared" si="2"/>
        <v/>
      </c>
      <c r="AZ3512" s="82"/>
      <c r="BA3512" s="84" t="s">
        <v>152</v>
      </c>
      <c r="BB3512" s="84" t="str">
        <f>IFERROR(__xludf.DUMMYFUNCTION("iferror(if(A3512="""",,E3512&gt;=FILTER(Constants!$F$2:$F$10,Constants!$A$2:$A$10=A3512)))"),"")</f>
        <v/>
      </c>
    </row>
    <row r="3513">
      <c r="A3513" s="89"/>
      <c r="B3513" s="87"/>
      <c r="C3513" s="73"/>
      <c r="D3513" s="73"/>
      <c r="E3513" s="82"/>
      <c r="F3513" s="82"/>
      <c r="G3513" s="86"/>
      <c r="H3513" s="86"/>
      <c r="I3513" s="86"/>
      <c r="J3513" s="82"/>
      <c r="K3513" s="82"/>
      <c r="L3513" s="82"/>
      <c r="M3513" s="82"/>
      <c r="N3513" s="82"/>
      <c r="O3513" s="82"/>
      <c r="P3513" s="82"/>
      <c r="Q3513" s="82"/>
      <c r="R3513" s="82"/>
      <c r="S3513" s="82"/>
      <c r="T3513" s="82"/>
      <c r="U3513" s="82"/>
      <c r="V3513" s="82"/>
      <c r="W3513" s="82"/>
      <c r="X3513" s="82"/>
      <c r="Y3513" s="82"/>
      <c r="Z3513" s="82"/>
      <c r="AA3513" s="82"/>
      <c r="AB3513" s="82"/>
      <c r="AC3513" s="82"/>
      <c r="AD3513" s="82"/>
      <c r="AE3513" s="82"/>
      <c r="AF3513" s="82"/>
      <c r="AG3513" s="82"/>
      <c r="AH3513" s="82"/>
      <c r="AI3513" s="82"/>
      <c r="AJ3513" s="82"/>
      <c r="AK3513" s="82"/>
      <c r="AL3513" s="82"/>
      <c r="AM3513" s="82"/>
      <c r="AN3513" s="82"/>
      <c r="AO3513" s="82"/>
      <c r="AP3513" s="82"/>
      <c r="AQ3513" s="82"/>
      <c r="AR3513" s="82"/>
      <c r="AS3513" s="82"/>
      <c r="AT3513" s="82"/>
      <c r="AU3513" s="82"/>
      <c r="AV3513" s="82"/>
      <c r="AW3513" s="82" t="str">
        <f t="shared" si="1"/>
        <v/>
      </c>
      <c r="AX3513" s="83" t="str">
        <f t="array" ref="AX3513">IFERROR(DGET('SBV Import'!A:G,"SBV",{"RSC ID","Tier";B3513,A3513}))</f>
        <v/>
      </c>
      <c r="AY3513" s="82" t="str">
        <f t="shared" si="2"/>
        <v/>
      </c>
      <c r="AZ3513" s="82"/>
      <c r="BA3513" s="84" t="s">
        <v>152</v>
      </c>
      <c r="BB3513" s="84" t="str">
        <f>IFERROR(__xludf.DUMMYFUNCTION("iferror(if(A3513="""",,E3513&gt;=FILTER(Constants!$F$2:$F$10,Constants!$A$2:$A$10=A3513)))"),"")</f>
        <v/>
      </c>
    </row>
    <row r="3514">
      <c r="A3514" s="89"/>
      <c r="B3514" s="87"/>
      <c r="C3514" s="73"/>
      <c r="D3514" s="73"/>
      <c r="E3514" s="82"/>
      <c r="F3514" s="82"/>
      <c r="G3514" s="86"/>
      <c r="H3514" s="86"/>
      <c r="I3514" s="86"/>
      <c r="J3514" s="82"/>
      <c r="K3514" s="82"/>
      <c r="L3514" s="82"/>
      <c r="M3514" s="82"/>
      <c r="N3514" s="82"/>
      <c r="O3514" s="82"/>
      <c r="P3514" s="82"/>
      <c r="Q3514" s="82"/>
      <c r="R3514" s="82"/>
      <c r="S3514" s="82"/>
      <c r="T3514" s="82"/>
      <c r="U3514" s="82"/>
      <c r="V3514" s="82"/>
      <c r="W3514" s="82"/>
      <c r="X3514" s="82"/>
      <c r="Y3514" s="82"/>
      <c r="Z3514" s="82"/>
      <c r="AA3514" s="82"/>
      <c r="AB3514" s="82"/>
      <c r="AC3514" s="82"/>
      <c r="AD3514" s="82"/>
      <c r="AE3514" s="82"/>
      <c r="AF3514" s="82"/>
      <c r="AG3514" s="82"/>
      <c r="AH3514" s="82"/>
      <c r="AI3514" s="82"/>
      <c r="AJ3514" s="82"/>
      <c r="AK3514" s="82"/>
      <c r="AL3514" s="82"/>
      <c r="AM3514" s="82"/>
      <c r="AN3514" s="82"/>
      <c r="AO3514" s="82"/>
      <c r="AP3514" s="82"/>
      <c r="AQ3514" s="82"/>
      <c r="AR3514" s="82"/>
      <c r="AS3514" s="82"/>
      <c r="AT3514" s="82"/>
      <c r="AU3514" s="82"/>
      <c r="AV3514" s="82"/>
      <c r="AW3514" s="82" t="str">
        <f t="shared" si="1"/>
        <v/>
      </c>
      <c r="AX3514" s="83" t="str">
        <f t="array" ref="AX3514">IFERROR(DGET('SBV Import'!A:G,"SBV",{"RSC ID","Tier";B3514,A3514}))</f>
        <v/>
      </c>
      <c r="AY3514" s="82" t="str">
        <f t="shared" si="2"/>
        <v/>
      </c>
      <c r="AZ3514" s="82"/>
      <c r="BA3514" s="84" t="s">
        <v>152</v>
      </c>
      <c r="BB3514" s="84" t="str">
        <f>IFERROR(__xludf.DUMMYFUNCTION("iferror(if(A3514="""",,E3514&gt;=FILTER(Constants!$F$2:$F$10,Constants!$A$2:$A$10=A3514)))"),"")</f>
        <v/>
      </c>
    </row>
    <row r="3515">
      <c r="A3515" s="89"/>
      <c r="B3515" s="87"/>
      <c r="C3515" s="73"/>
      <c r="D3515" s="73"/>
      <c r="E3515" s="82"/>
      <c r="F3515" s="82"/>
      <c r="G3515" s="86"/>
      <c r="H3515" s="86"/>
      <c r="I3515" s="86"/>
      <c r="J3515" s="82"/>
      <c r="K3515" s="82"/>
      <c r="L3515" s="82"/>
      <c r="M3515" s="82"/>
      <c r="N3515" s="82"/>
      <c r="O3515" s="82"/>
      <c r="P3515" s="82"/>
      <c r="Q3515" s="82"/>
      <c r="R3515" s="82"/>
      <c r="S3515" s="82"/>
      <c r="T3515" s="82"/>
      <c r="U3515" s="82"/>
      <c r="V3515" s="82"/>
      <c r="W3515" s="82"/>
      <c r="X3515" s="82"/>
      <c r="Y3515" s="82"/>
      <c r="Z3515" s="82"/>
      <c r="AA3515" s="82"/>
      <c r="AB3515" s="82"/>
      <c r="AC3515" s="82"/>
      <c r="AD3515" s="82"/>
      <c r="AE3515" s="82"/>
      <c r="AF3515" s="82"/>
      <c r="AG3515" s="82"/>
      <c r="AH3515" s="82"/>
      <c r="AI3515" s="82"/>
      <c r="AJ3515" s="82"/>
      <c r="AK3515" s="82"/>
      <c r="AL3515" s="82"/>
      <c r="AM3515" s="82"/>
      <c r="AN3515" s="82"/>
      <c r="AO3515" s="82"/>
      <c r="AP3515" s="82"/>
      <c r="AQ3515" s="82"/>
      <c r="AR3515" s="82"/>
      <c r="AS3515" s="82"/>
      <c r="AT3515" s="82"/>
      <c r="AU3515" s="82"/>
      <c r="AV3515" s="82"/>
      <c r="AW3515" s="82" t="str">
        <f t="shared" si="1"/>
        <v/>
      </c>
      <c r="AX3515" s="83" t="str">
        <f t="array" ref="AX3515">IFERROR(DGET('SBV Import'!A:G,"SBV",{"RSC ID","Tier";B3515,A3515}))</f>
        <v/>
      </c>
      <c r="AY3515" s="82" t="str">
        <f t="shared" si="2"/>
        <v/>
      </c>
      <c r="AZ3515" s="82"/>
      <c r="BA3515" s="84" t="s">
        <v>152</v>
      </c>
      <c r="BB3515" s="84" t="str">
        <f>IFERROR(__xludf.DUMMYFUNCTION("iferror(if(A3515="""",,E3515&gt;=FILTER(Constants!$F$2:$F$10,Constants!$A$2:$A$10=A3515)))"),"")</f>
        <v/>
      </c>
    </row>
    <row r="3516">
      <c r="A3516" s="89"/>
      <c r="B3516" s="87"/>
      <c r="C3516" s="73"/>
      <c r="D3516" s="73"/>
      <c r="E3516" s="82"/>
      <c r="F3516" s="82"/>
      <c r="G3516" s="86"/>
      <c r="H3516" s="86"/>
      <c r="I3516" s="86"/>
      <c r="J3516" s="82"/>
      <c r="K3516" s="82"/>
      <c r="L3516" s="82"/>
      <c r="M3516" s="82"/>
      <c r="N3516" s="82"/>
      <c r="O3516" s="82"/>
      <c r="P3516" s="82"/>
      <c r="Q3516" s="82"/>
      <c r="R3516" s="82"/>
      <c r="S3516" s="82"/>
      <c r="T3516" s="82"/>
      <c r="U3516" s="82"/>
      <c r="V3516" s="82"/>
      <c r="W3516" s="82"/>
      <c r="X3516" s="82"/>
      <c r="Y3516" s="82"/>
      <c r="Z3516" s="82"/>
      <c r="AA3516" s="82"/>
      <c r="AB3516" s="82"/>
      <c r="AC3516" s="82"/>
      <c r="AD3516" s="82"/>
      <c r="AE3516" s="82"/>
      <c r="AF3516" s="82"/>
      <c r="AG3516" s="82"/>
      <c r="AH3516" s="82"/>
      <c r="AI3516" s="82"/>
      <c r="AJ3516" s="82"/>
      <c r="AK3516" s="82"/>
      <c r="AL3516" s="82"/>
      <c r="AM3516" s="82"/>
      <c r="AN3516" s="82"/>
      <c r="AO3516" s="82"/>
      <c r="AP3516" s="82"/>
      <c r="AQ3516" s="82"/>
      <c r="AR3516" s="82"/>
      <c r="AS3516" s="82"/>
      <c r="AT3516" s="82"/>
      <c r="AU3516" s="82"/>
      <c r="AV3516" s="82"/>
      <c r="AW3516" s="82" t="str">
        <f t="shared" si="1"/>
        <v/>
      </c>
      <c r="AX3516" s="83" t="str">
        <f t="array" ref="AX3516">IFERROR(DGET('SBV Import'!A:G,"SBV",{"RSC ID","Tier";B3516,A3516}))</f>
        <v/>
      </c>
      <c r="AY3516" s="82" t="str">
        <f t="shared" si="2"/>
        <v/>
      </c>
      <c r="AZ3516" s="82"/>
      <c r="BA3516" s="84" t="s">
        <v>152</v>
      </c>
      <c r="BB3516" s="84" t="str">
        <f>IFERROR(__xludf.DUMMYFUNCTION("iferror(if(A3516="""",,E3516&gt;=FILTER(Constants!$F$2:$F$10,Constants!$A$2:$A$10=A3516)))"),"")</f>
        <v/>
      </c>
    </row>
    <row r="3517">
      <c r="A3517" s="89"/>
      <c r="B3517" s="87"/>
      <c r="C3517" s="73"/>
      <c r="D3517" s="73"/>
      <c r="E3517" s="82"/>
      <c r="F3517" s="82"/>
      <c r="G3517" s="86"/>
      <c r="H3517" s="86"/>
      <c r="I3517" s="86"/>
      <c r="J3517" s="82"/>
      <c r="K3517" s="82"/>
      <c r="L3517" s="82"/>
      <c r="M3517" s="82"/>
      <c r="N3517" s="82"/>
      <c r="O3517" s="82"/>
      <c r="P3517" s="82"/>
      <c r="Q3517" s="82"/>
      <c r="R3517" s="82"/>
      <c r="S3517" s="82"/>
      <c r="T3517" s="82"/>
      <c r="U3517" s="82"/>
      <c r="V3517" s="82"/>
      <c r="W3517" s="82"/>
      <c r="X3517" s="82"/>
      <c r="Y3517" s="82"/>
      <c r="Z3517" s="82"/>
      <c r="AA3517" s="82"/>
      <c r="AB3517" s="82"/>
      <c r="AC3517" s="82"/>
      <c r="AD3517" s="82"/>
      <c r="AE3517" s="82"/>
      <c r="AF3517" s="82"/>
      <c r="AG3517" s="82"/>
      <c r="AH3517" s="82"/>
      <c r="AI3517" s="82"/>
      <c r="AJ3517" s="82"/>
      <c r="AK3517" s="82"/>
      <c r="AL3517" s="82"/>
      <c r="AM3517" s="82"/>
      <c r="AN3517" s="82"/>
      <c r="AO3517" s="82"/>
      <c r="AP3517" s="82"/>
      <c r="AQ3517" s="82"/>
      <c r="AR3517" s="82"/>
      <c r="AS3517" s="82"/>
      <c r="AT3517" s="82"/>
      <c r="AU3517" s="82"/>
      <c r="AV3517" s="82"/>
      <c r="AW3517" s="82" t="str">
        <f t="shared" si="1"/>
        <v/>
      </c>
      <c r="AX3517" s="83" t="str">
        <f t="array" ref="AX3517">IFERROR(DGET('SBV Import'!A:G,"SBV",{"RSC ID","Tier";B3517,A3517}))</f>
        <v/>
      </c>
      <c r="AY3517" s="82" t="str">
        <f t="shared" si="2"/>
        <v/>
      </c>
      <c r="AZ3517" s="82"/>
      <c r="BA3517" s="84" t="s">
        <v>152</v>
      </c>
      <c r="BB3517" s="84" t="str">
        <f>IFERROR(__xludf.DUMMYFUNCTION("iferror(if(A3517="""",,E3517&gt;=FILTER(Constants!$F$2:$F$10,Constants!$A$2:$A$10=A3517)))"),"")</f>
        <v/>
      </c>
    </row>
    <row r="3518">
      <c r="A3518" s="89"/>
      <c r="B3518" s="87"/>
      <c r="C3518" s="73"/>
      <c r="D3518" s="73"/>
      <c r="E3518" s="82"/>
      <c r="F3518" s="82"/>
      <c r="G3518" s="86"/>
      <c r="H3518" s="86"/>
      <c r="I3518" s="86"/>
      <c r="J3518" s="82"/>
      <c r="K3518" s="82"/>
      <c r="L3518" s="82"/>
      <c r="M3518" s="82"/>
      <c r="N3518" s="82"/>
      <c r="O3518" s="82"/>
      <c r="P3518" s="82"/>
      <c r="Q3518" s="82"/>
      <c r="R3518" s="82"/>
      <c r="S3518" s="82"/>
      <c r="T3518" s="82"/>
      <c r="U3518" s="82"/>
      <c r="V3518" s="82"/>
      <c r="W3518" s="82"/>
      <c r="X3518" s="82"/>
      <c r="Y3518" s="82"/>
      <c r="Z3518" s="82"/>
      <c r="AA3518" s="82"/>
      <c r="AB3518" s="82"/>
      <c r="AC3518" s="82"/>
      <c r="AD3518" s="82"/>
      <c r="AE3518" s="82"/>
      <c r="AF3518" s="82"/>
      <c r="AG3518" s="82"/>
      <c r="AH3518" s="82"/>
      <c r="AI3518" s="82"/>
      <c r="AJ3518" s="82"/>
      <c r="AK3518" s="82"/>
      <c r="AL3518" s="82"/>
      <c r="AM3518" s="82"/>
      <c r="AN3518" s="82"/>
      <c r="AO3518" s="82"/>
      <c r="AP3518" s="82"/>
      <c r="AQ3518" s="82"/>
      <c r="AR3518" s="82"/>
      <c r="AS3518" s="82"/>
      <c r="AT3518" s="82"/>
      <c r="AU3518" s="82"/>
      <c r="AV3518" s="82"/>
      <c r="AW3518" s="82" t="str">
        <f t="shared" si="1"/>
        <v/>
      </c>
      <c r="AX3518" s="83" t="str">
        <f t="array" ref="AX3518">IFERROR(DGET('SBV Import'!A:G,"SBV",{"RSC ID","Tier";B3518,A3518}))</f>
        <v/>
      </c>
      <c r="AY3518" s="82" t="str">
        <f t="shared" si="2"/>
        <v/>
      </c>
      <c r="AZ3518" s="82"/>
      <c r="BA3518" s="84" t="s">
        <v>152</v>
      </c>
      <c r="BB3518" s="84" t="str">
        <f>IFERROR(__xludf.DUMMYFUNCTION("iferror(if(A3518="""",,E3518&gt;=FILTER(Constants!$F$2:$F$10,Constants!$A$2:$A$10=A3518)))"),"")</f>
        <v/>
      </c>
    </row>
    <row r="3519">
      <c r="A3519" s="89"/>
      <c r="B3519" s="87"/>
      <c r="C3519" s="73"/>
      <c r="D3519" s="73"/>
      <c r="E3519" s="82"/>
      <c r="F3519" s="82"/>
      <c r="G3519" s="86"/>
      <c r="H3519" s="86"/>
      <c r="I3519" s="86"/>
      <c r="J3519" s="82"/>
      <c r="K3519" s="82"/>
      <c r="L3519" s="82"/>
      <c r="M3519" s="82"/>
      <c r="N3519" s="82"/>
      <c r="O3519" s="82"/>
      <c r="P3519" s="82"/>
      <c r="Q3519" s="82"/>
      <c r="R3519" s="82"/>
      <c r="S3519" s="82"/>
      <c r="T3519" s="82"/>
      <c r="U3519" s="82"/>
      <c r="V3519" s="82"/>
      <c r="W3519" s="82"/>
      <c r="X3519" s="82"/>
      <c r="Y3519" s="82"/>
      <c r="Z3519" s="82"/>
      <c r="AA3519" s="82"/>
      <c r="AB3519" s="82"/>
      <c r="AC3519" s="82"/>
      <c r="AD3519" s="82"/>
      <c r="AE3519" s="82"/>
      <c r="AF3519" s="82"/>
      <c r="AG3519" s="82"/>
      <c r="AH3519" s="82"/>
      <c r="AI3519" s="82"/>
      <c r="AJ3519" s="82"/>
      <c r="AK3519" s="82"/>
      <c r="AL3519" s="82"/>
      <c r="AM3519" s="82"/>
      <c r="AN3519" s="82"/>
      <c r="AO3519" s="82"/>
      <c r="AP3519" s="82"/>
      <c r="AQ3519" s="82"/>
      <c r="AR3519" s="82"/>
      <c r="AS3519" s="82"/>
      <c r="AT3519" s="82"/>
      <c r="AU3519" s="82"/>
      <c r="AV3519" s="82"/>
      <c r="AW3519" s="82" t="str">
        <f t="shared" si="1"/>
        <v/>
      </c>
      <c r="AX3519" s="83" t="str">
        <f t="array" ref="AX3519">IFERROR(DGET('SBV Import'!A:G,"SBV",{"RSC ID","Tier";B3519,A3519}))</f>
        <v/>
      </c>
      <c r="AY3519" s="82" t="str">
        <f t="shared" si="2"/>
        <v/>
      </c>
      <c r="AZ3519" s="82"/>
      <c r="BA3519" s="84" t="s">
        <v>152</v>
      </c>
      <c r="BB3519" s="84" t="str">
        <f>IFERROR(__xludf.DUMMYFUNCTION("iferror(if(A3519="""",,E3519&gt;=FILTER(Constants!$F$2:$F$10,Constants!$A$2:$A$10=A3519)))"),"")</f>
        <v/>
      </c>
    </row>
    <row r="3520">
      <c r="A3520" s="89"/>
      <c r="B3520" s="87"/>
      <c r="C3520" s="73"/>
      <c r="D3520" s="73"/>
      <c r="E3520" s="82"/>
      <c r="F3520" s="82"/>
      <c r="G3520" s="86"/>
      <c r="H3520" s="86"/>
      <c r="I3520" s="86"/>
      <c r="J3520" s="82"/>
      <c r="K3520" s="82"/>
      <c r="L3520" s="82"/>
      <c r="M3520" s="82"/>
      <c r="N3520" s="82"/>
      <c r="O3520" s="82"/>
      <c r="P3520" s="82"/>
      <c r="Q3520" s="82"/>
      <c r="R3520" s="82"/>
      <c r="S3520" s="82"/>
      <c r="T3520" s="82"/>
      <c r="U3520" s="82"/>
      <c r="V3520" s="82"/>
      <c r="W3520" s="82"/>
      <c r="X3520" s="82"/>
      <c r="Y3520" s="82"/>
      <c r="Z3520" s="82"/>
      <c r="AA3520" s="82"/>
      <c r="AB3520" s="82"/>
      <c r="AC3520" s="82"/>
      <c r="AD3520" s="82"/>
      <c r="AE3520" s="82"/>
      <c r="AF3520" s="82"/>
      <c r="AG3520" s="82"/>
      <c r="AH3520" s="82"/>
      <c r="AI3520" s="82"/>
      <c r="AJ3520" s="82"/>
      <c r="AK3520" s="82"/>
      <c r="AL3520" s="82"/>
      <c r="AM3520" s="82"/>
      <c r="AN3520" s="82"/>
      <c r="AO3520" s="82"/>
      <c r="AP3520" s="82"/>
      <c r="AQ3520" s="82"/>
      <c r="AR3520" s="82"/>
      <c r="AS3520" s="82"/>
      <c r="AT3520" s="82"/>
      <c r="AU3520" s="82"/>
      <c r="AV3520" s="82"/>
      <c r="AW3520" s="82" t="str">
        <f t="shared" si="1"/>
        <v/>
      </c>
      <c r="AX3520" s="83" t="str">
        <f t="array" ref="AX3520">IFERROR(DGET('SBV Import'!A:G,"SBV",{"RSC ID","Tier";B3520,A3520}))</f>
        <v/>
      </c>
      <c r="AY3520" s="82" t="str">
        <f t="shared" si="2"/>
        <v/>
      </c>
      <c r="AZ3520" s="82"/>
      <c r="BA3520" s="84" t="s">
        <v>152</v>
      </c>
      <c r="BB3520" s="84" t="str">
        <f>IFERROR(__xludf.DUMMYFUNCTION("iferror(if(A3520="""",,E3520&gt;=FILTER(Constants!$F$2:$F$10,Constants!$A$2:$A$10=A3520)))"),"")</f>
        <v/>
      </c>
    </row>
    <row r="3521">
      <c r="A3521" s="89"/>
      <c r="B3521" s="87"/>
      <c r="C3521" s="73"/>
      <c r="D3521" s="73"/>
      <c r="E3521" s="82"/>
      <c r="F3521" s="82"/>
      <c r="G3521" s="86"/>
      <c r="H3521" s="86"/>
      <c r="I3521" s="86"/>
      <c r="J3521" s="82"/>
      <c r="K3521" s="82"/>
      <c r="L3521" s="82"/>
      <c r="M3521" s="82"/>
      <c r="N3521" s="82"/>
      <c r="O3521" s="82"/>
      <c r="P3521" s="82"/>
      <c r="Q3521" s="82"/>
      <c r="R3521" s="82"/>
      <c r="S3521" s="82"/>
      <c r="T3521" s="82"/>
      <c r="U3521" s="82"/>
      <c r="V3521" s="82"/>
      <c r="W3521" s="82"/>
      <c r="X3521" s="82"/>
      <c r="Y3521" s="82"/>
      <c r="Z3521" s="82"/>
      <c r="AA3521" s="82"/>
      <c r="AB3521" s="82"/>
      <c r="AC3521" s="82"/>
      <c r="AD3521" s="82"/>
      <c r="AE3521" s="82"/>
      <c r="AF3521" s="82"/>
      <c r="AG3521" s="82"/>
      <c r="AH3521" s="82"/>
      <c r="AI3521" s="82"/>
      <c r="AJ3521" s="82"/>
      <c r="AK3521" s="82"/>
      <c r="AL3521" s="82"/>
      <c r="AM3521" s="82"/>
      <c r="AN3521" s="82"/>
      <c r="AO3521" s="82"/>
      <c r="AP3521" s="82"/>
      <c r="AQ3521" s="82"/>
      <c r="AR3521" s="82"/>
      <c r="AS3521" s="82"/>
      <c r="AT3521" s="82"/>
      <c r="AU3521" s="82"/>
      <c r="AV3521" s="82"/>
      <c r="AW3521" s="82" t="str">
        <f t="shared" si="1"/>
        <v/>
      </c>
      <c r="AX3521" s="83" t="str">
        <f t="array" ref="AX3521">IFERROR(DGET('SBV Import'!A:G,"SBV",{"RSC ID","Tier";B3521,A3521}))</f>
        <v/>
      </c>
      <c r="AY3521" s="82" t="str">
        <f t="shared" si="2"/>
        <v/>
      </c>
      <c r="AZ3521" s="82"/>
      <c r="BA3521" s="84" t="s">
        <v>152</v>
      </c>
      <c r="BB3521" s="84" t="str">
        <f>IFERROR(__xludf.DUMMYFUNCTION("iferror(if(A3521="""",,E3521&gt;=FILTER(Constants!$F$2:$F$10,Constants!$A$2:$A$10=A3521)))"),"")</f>
        <v/>
      </c>
    </row>
    <row r="3522">
      <c r="A3522" s="89"/>
      <c r="B3522" s="87"/>
      <c r="C3522" s="73"/>
      <c r="D3522" s="73"/>
      <c r="E3522" s="82"/>
      <c r="F3522" s="82"/>
      <c r="G3522" s="86"/>
      <c r="H3522" s="86"/>
      <c r="I3522" s="86"/>
      <c r="J3522" s="82"/>
      <c r="K3522" s="82"/>
      <c r="L3522" s="82"/>
      <c r="M3522" s="82"/>
      <c r="N3522" s="82"/>
      <c r="O3522" s="82"/>
      <c r="P3522" s="82"/>
      <c r="Q3522" s="82"/>
      <c r="R3522" s="82"/>
      <c r="S3522" s="82"/>
      <c r="T3522" s="82"/>
      <c r="U3522" s="82"/>
      <c r="V3522" s="82"/>
      <c r="W3522" s="82"/>
      <c r="X3522" s="82"/>
      <c r="Y3522" s="82"/>
      <c r="Z3522" s="82"/>
      <c r="AA3522" s="82"/>
      <c r="AB3522" s="82"/>
      <c r="AC3522" s="82"/>
      <c r="AD3522" s="82"/>
      <c r="AE3522" s="82"/>
      <c r="AF3522" s="82"/>
      <c r="AG3522" s="82"/>
      <c r="AH3522" s="82"/>
      <c r="AI3522" s="82"/>
      <c r="AJ3522" s="82"/>
      <c r="AK3522" s="82"/>
      <c r="AL3522" s="82"/>
      <c r="AM3522" s="82"/>
      <c r="AN3522" s="82"/>
      <c r="AO3522" s="82"/>
      <c r="AP3522" s="82"/>
      <c r="AQ3522" s="82"/>
      <c r="AR3522" s="82"/>
      <c r="AS3522" s="82"/>
      <c r="AT3522" s="82"/>
      <c r="AU3522" s="82"/>
      <c r="AV3522" s="82"/>
      <c r="AW3522" s="82" t="str">
        <f t="shared" si="1"/>
        <v/>
      </c>
      <c r="AX3522" s="83" t="str">
        <f t="array" ref="AX3522">IFERROR(DGET('SBV Import'!A:G,"SBV",{"RSC ID","Tier";B3522,A3522}))</f>
        <v/>
      </c>
      <c r="AY3522" s="82" t="str">
        <f t="shared" si="2"/>
        <v/>
      </c>
      <c r="AZ3522" s="82"/>
      <c r="BA3522" s="84" t="s">
        <v>152</v>
      </c>
      <c r="BB3522" s="84" t="str">
        <f>IFERROR(__xludf.DUMMYFUNCTION("iferror(if(A3522="""",,E3522&gt;=FILTER(Constants!$F$2:$F$10,Constants!$A$2:$A$10=A3522)))"),"")</f>
        <v/>
      </c>
    </row>
    <row r="3523">
      <c r="A3523" s="89"/>
      <c r="B3523" s="87"/>
      <c r="C3523" s="73"/>
      <c r="D3523" s="73"/>
      <c r="E3523" s="82"/>
      <c r="F3523" s="82"/>
      <c r="G3523" s="86"/>
      <c r="H3523" s="86"/>
      <c r="I3523" s="86"/>
      <c r="J3523" s="82"/>
      <c r="K3523" s="82"/>
      <c r="L3523" s="82"/>
      <c r="M3523" s="82"/>
      <c r="N3523" s="82"/>
      <c r="O3523" s="82"/>
      <c r="P3523" s="82"/>
      <c r="Q3523" s="82"/>
      <c r="R3523" s="82"/>
      <c r="S3523" s="82"/>
      <c r="T3523" s="82"/>
      <c r="U3523" s="82"/>
      <c r="V3523" s="82"/>
      <c r="W3523" s="82"/>
      <c r="X3523" s="82"/>
      <c r="Y3523" s="82"/>
      <c r="Z3523" s="82"/>
      <c r="AA3523" s="82"/>
      <c r="AB3523" s="82"/>
      <c r="AC3523" s="82"/>
      <c r="AD3523" s="82"/>
      <c r="AE3523" s="82"/>
      <c r="AF3523" s="82"/>
      <c r="AG3523" s="82"/>
      <c r="AH3523" s="82"/>
      <c r="AI3523" s="82"/>
      <c r="AJ3523" s="82"/>
      <c r="AK3523" s="82"/>
      <c r="AL3523" s="82"/>
      <c r="AM3523" s="82"/>
      <c r="AN3523" s="82"/>
      <c r="AO3523" s="82"/>
      <c r="AP3523" s="82"/>
      <c r="AQ3523" s="82"/>
      <c r="AR3523" s="82"/>
      <c r="AS3523" s="82"/>
      <c r="AT3523" s="82"/>
      <c r="AU3523" s="82"/>
      <c r="AV3523" s="82"/>
      <c r="AW3523" s="82" t="str">
        <f t="shared" si="1"/>
        <v/>
      </c>
      <c r="AX3523" s="83" t="str">
        <f t="array" ref="AX3523">IFERROR(DGET('SBV Import'!A:G,"SBV",{"RSC ID","Tier";B3523,A3523}))</f>
        <v/>
      </c>
      <c r="AY3523" s="82" t="str">
        <f t="shared" si="2"/>
        <v/>
      </c>
      <c r="AZ3523" s="82"/>
      <c r="BA3523" s="84" t="s">
        <v>152</v>
      </c>
      <c r="BB3523" s="84" t="str">
        <f>IFERROR(__xludf.DUMMYFUNCTION("iferror(if(A3523="""",,E3523&gt;=FILTER(Constants!$F$2:$F$10,Constants!$A$2:$A$10=A3523)))"),"")</f>
        <v/>
      </c>
    </row>
    <row r="3524">
      <c r="A3524" s="89"/>
      <c r="B3524" s="87"/>
      <c r="C3524" s="73"/>
      <c r="D3524" s="73"/>
      <c r="E3524" s="82"/>
      <c r="F3524" s="82"/>
      <c r="G3524" s="86"/>
      <c r="H3524" s="86"/>
      <c r="I3524" s="86"/>
      <c r="J3524" s="82"/>
      <c r="K3524" s="82"/>
      <c r="L3524" s="82"/>
      <c r="M3524" s="82"/>
      <c r="N3524" s="82"/>
      <c r="O3524" s="82"/>
      <c r="P3524" s="82"/>
      <c r="Q3524" s="82"/>
      <c r="R3524" s="82"/>
      <c r="S3524" s="82"/>
      <c r="T3524" s="82"/>
      <c r="U3524" s="82"/>
      <c r="V3524" s="82"/>
      <c r="W3524" s="82"/>
      <c r="X3524" s="82"/>
      <c r="Y3524" s="82"/>
      <c r="Z3524" s="82"/>
      <c r="AA3524" s="82"/>
      <c r="AB3524" s="82"/>
      <c r="AC3524" s="82"/>
      <c r="AD3524" s="82"/>
      <c r="AE3524" s="82"/>
      <c r="AF3524" s="82"/>
      <c r="AG3524" s="82"/>
      <c r="AH3524" s="82"/>
      <c r="AI3524" s="82"/>
      <c r="AJ3524" s="82"/>
      <c r="AK3524" s="82"/>
      <c r="AL3524" s="82"/>
      <c r="AM3524" s="82"/>
      <c r="AN3524" s="82"/>
      <c r="AO3524" s="82"/>
      <c r="AP3524" s="82"/>
      <c r="AQ3524" s="82"/>
      <c r="AR3524" s="82"/>
      <c r="AS3524" s="82"/>
      <c r="AT3524" s="82"/>
      <c r="AU3524" s="82"/>
      <c r="AV3524" s="82"/>
      <c r="AW3524" s="82" t="str">
        <f t="shared" si="1"/>
        <v/>
      </c>
      <c r="AX3524" s="83" t="str">
        <f t="array" ref="AX3524">IFERROR(DGET('SBV Import'!A:G,"SBV",{"RSC ID","Tier";B3524,A3524}))</f>
        <v/>
      </c>
      <c r="AY3524" s="82" t="str">
        <f t="shared" si="2"/>
        <v/>
      </c>
      <c r="AZ3524" s="82"/>
      <c r="BA3524" s="84" t="s">
        <v>152</v>
      </c>
      <c r="BB3524" s="84" t="str">
        <f>IFERROR(__xludf.DUMMYFUNCTION("iferror(if(A3524="""",,E3524&gt;=FILTER(Constants!$F$2:$F$10,Constants!$A$2:$A$10=A3524)))"),"")</f>
        <v/>
      </c>
    </row>
    <row r="3525">
      <c r="A3525" s="89"/>
      <c r="B3525" s="87"/>
      <c r="C3525" s="73"/>
      <c r="D3525" s="73"/>
      <c r="E3525" s="82"/>
      <c r="F3525" s="82"/>
      <c r="G3525" s="86"/>
      <c r="H3525" s="86"/>
      <c r="I3525" s="86"/>
      <c r="J3525" s="82"/>
      <c r="K3525" s="82"/>
      <c r="L3525" s="82"/>
      <c r="M3525" s="82"/>
      <c r="N3525" s="82"/>
      <c r="O3525" s="82"/>
      <c r="P3525" s="82"/>
      <c r="Q3525" s="82"/>
      <c r="R3525" s="82"/>
      <c r="S3525" s="82"/>
      <c r="T3525" s="82"/>
      <c r="U3525" s="82"/>
      <c r="V3525" s="82"/>
      <c r="W3525" s="82"/>
      <c r="X3525" s="82"/>
      <c r="Y3525" s="82"/>
      <c r="Z3525" s="82"/>
      <c r="AA3525" s="82"/>
      <c r="AB3525" s="82"/>
      <c r="AC3525" s="82"/>
      <c r="AD3525" s="82"/>
      <c r="AE3525" s="82"/>
      <c r="AF3525" s="82"/>
      <c r="AG3525" s="82"/>
      <c r="AH3525" s="82"/>
      <c r="AI3525" s="82"/>
      <c r="AJ3525" s="82"/>
      <c r="AK3525" s="82"/>
      <c r="AL3525" s="82"/>
      <c r="AM3525" s="82"/>
      <c r="AN3525" s="82"/>
      <c r="AO3525" s="82"/>
      <c r="AP3525" s="82"/>
      <c r="AQ3525" s="82"/>
      <c r="AR3525" s="82"/>
      <c r="AS3525" s="82"/>
      <c r="AT3525" s="82"/>
      <c r="AU3525" s="82"/>
      <c r="AV3525" s="82"/>
      <c r="AW3525" s="82" t="str">
        <f t="shared" si="1"/>
        <v/>
      </c>
      <c r="AX3525" s="83" t="str">
        <f t="array" ref="AX3525">IFERROR(DGET('SBV Import'!A:G,"SBV",{"RSC ID","Tier";B3525,A3525}))</f>
        <v/>
      </c>
      <c r="AY3525" s="82" t="str">
        <f t="shared" si="2"/>
        <v/>
      </c>
      <c r="AZ3525" s="82"/>
      <c r="BA3525" s="84" t="s">
        <v>152</v>
      </c>
      <c r="BB3525" s="84" t="str">
        <f>IFERROR(__xludf.DUMMYFUNCTION("iferror(if(A3525="""",,E3525&gt;=FILTER(Constants!$F$2:$F$10,Constants!$A$2:$A$10=A3525)))"),"")</f>
        <v/>
      </c>
    </row>
    <row r="3526">
      <c r="A3526" s="89"/>
      <c r="B3526" s="87"/>
      <c r="C3526" s="73"/>
      <c r="D3526" s="73"/>
      <c r="E3526" s="82"/>
      <c r="F3526" s="82"/>
      <c r="G3526" s="86"/>
      <c r="H3526" s="86"/>
      <c r="I3526" s="86"/>
      <c r="J3526" s="82"/>
      <c r="K3526" s="82"/>
      <c r="L3526" s="82"/>
      <c r="M3526" s="82"/>
      <c r="N3526" s="82"/>
      <c r="O3526" s="82"/>
      <c r="P3526" s="82"/>
      <c r="Q3526" s="82"/>
      <c r="R3526" s="82"/>
      <c r="S3526" s="82"/>
      <c r="T3526" s="82"/>
      <c r="U3526" s="82"/>
      <c r="V3526" s="82"/>
      <c r="W3526" s="82"/>
      <c r="X3526" s="82"/>
      <c r="Y3526" s="82"/>
      <c r="Z3526" s="82"/>
      <c r="AA3526" s="82"/>
      <c r="AB3526" s="82"/>
      <c r="AC3526" s="82"/>
      <c r="AD3526" s="82"/>
      <c r="AE3526" s="82"/>
      <c r="AF3526" s="82"/>
      <c r="AG3526" s="82"/>
      <c r="AH3526" s="82"/>
      <c r="AI3526" s="82"/>
      <c r="AJ3526" s="82"/>
      <c r="AK3526" s="82"/>
      <c r="AL3526" s="82"/>
      <c r="AM3526" s="82"/>
      <c r="AN3526" s="82"/>
      <c r="AO3526" s="82"/>
      <c r="AP3526" s="82"/>
      <c r="AQ3526" s="82"/>
      <c r="AR3526" s="82"/>
      <c r="AS3526" s="82"/>
      <c r="AT3526" s="82"/>
      <c r="AU3526" s="82"/>
      <c r="AV3526" s="82"/>
      <c r="AW3526" s="82" t="str">
        <f t="shared" si="1"/>
        <v/>
      </c>
      <c r="AX3526" s="83" t="str">
        <f t="array" ref="AX3526">IFERROR(DGET('SBV Import'!A:G,"SBV",{"RSC ID","Tier";B3526,A3526}))</f>
        <v/>
      </c>
      <c r="AY3526" s="82" t="str">
        <f t="shared" si="2"/>
        <v/>
      </c>
      <c r="AZ3526" s="82"/>
      <c r="BA3526" s="84" t="s">
        <v>152</v>
      </c>
      <c r="BB3526" s="84" t="str">
        <f>IFERROR(__xludf.DUMMYFUNCTION("iferror(if(A3526="""",,E3526&gt;=FILTER(Constants!$F$2:$F$10,Constants!$A$2:$A$10=A3526)))"),"")</f>
        <v/>
      </c>
    </row>
    <row r="3527">
      <c r="A3527" s="89"/>
      <c r="B3527" s="87"/>
      <c r="C3527" s="73"/>
      <c r="D3527" s="73"/>
      <c r="E3527" s="82"/>
      <c r="F3527" s="82"/>
      <c r="G3527" s="86"/>
      <c r="H3527" s="86"/>
      <c r="I3527" s="86"/>
      <c r="J3527" s="82"/>
      <c r="K3527" s="82"/>
      <c r="L3527" s="82"/>
      <c r="M3527" s="82"/>
      <c r="N3527" s="82"/>
      <c r="O3527" s="82"/>
      <c r="P3527" s="82"/>
      <c r="Q3527" s="82"/>
      <c r="R3527" s="82"/>
      <c r="S3527" s="82"/>
      <c r="T3527" s="82"/>
      <c r="U3527" s="82"/>
      <c r="V3527" s="82"/>
      <c r="W3527" s="82"/>
      <c r="X3527" s="82"/>
      <c r="Y3527" s="82"/>
      <c r="Z3527" s="82"/>
      <c r="AA3527" s="82"/>
      <c r="AB3527" s="82"/>
      <c r="AC3527" s="82"/>
      <c r="AD3527" s="82"/>
      <c r="AE3527" s="82"/>
      <c r="AF3527" s="82"/>
      <c r="AG3527" s="82"/>
      <c r="AH3527" s="82"/>
      <c r="AI3527" s="82"/>
      <c r="AJ3527" s="82"/>
      <c r="AK3527" s="82"/>
      <c r="AL3527" s="82"/>
      <c r="AM3527" s="82"/>
      <c r="AN3527" s="82"/>
      <c r="AO3527" s="82"/>
      <c r="AP3527" s="82"/>
      <c r="AQ3527" s="82"/>
      <c r="AR3527" s="82"/>
      <c r="AS3527" s="82"/>
      <c r="AT3527" s="82"/>
      <c r="AU3527" s="82"/>
      <c r="AV3527" s="82"/>
      <c r="AW3527" s="82" t="str">
        <f t="shared" si="1"/>
        <v/>
      </c>
      <c r="AX3527" s="83" t="str">
        <f t="array" ref="AX3527">IFERROR(DGET('SBV Import'!A:G,"SBV",{"RSC ID","Tier";B3527,A3527}))</f>
        <v/>
      </c>
      <c r="AY3527" s="82" t="str">
        <f t="shared" si="2"/>
        <v/>
      </c>
      <c r="AZ3527" s="82"/>
      <c r="BA3527" s="84" t="s">
        <v>152</v>
      </c>
      <c r="BB3527" s="84" t="str">
        <f>IFERROR(__xludf.DUMMYFUNCTION("iferror(if(A3527="""",,E3527&gt;=FILTER(Constants!$F$2:$F$10,Constants!$A$2:$A$10=A3527)))"),"")</f>
        <v/>
      </c>
    </row>
    <row r="3528">
      <c r="A3528" s="89"/>
      <c r="B3528" s="87"/>
      <c r="C3528" s="73"/>
      <c r="D3528" s="73"/>
      <c r="E3528" s="82"/>
      <c r="F3528" s="82"/>
      <c r="G3528" s="86"/>
      <c r="H3528" s="86"/>
      <c r="I3528" s="86"/>
      <c r="J3528" s="82"/>
      <c r="K3528" s="82"/>
      <c r="L3528" s="82"/>
      <c r="M3528" s="82"/>
      <c r="N3528" s="82"/>
      <c r="O3528" s="82"/>
      <c r="P3528" s="82"/>
      <c r="Q3528" s="82"/>
      <c r="R3528" s="82"/>
      <c r="S3528" s="82"/>
      <c r="T3528" s="82"/>
      <c r="U3528" s="82"/>
      <c r="V3528" s="82"/>
      <c r="W3528" s="82"/>
      <c r="X3528" s="82"/>
      <c r="Y3528" s="82"/>
      <c r="Z3528" s="82"/>
      <c r="AA3528" s="82"/>
      <c r="AB3528" s="82"/>
      <c r="AC3528" s="82"/>
      <c r="AD3528" s="82"/>
      <c r="AE3528" s="82"/>
      <c r="AF3528" s="82"/>
      <c r="AG3528" s="82"/>
      <c r="AH3528" s="82"/>
      <c r="AI3528" s="82"/>
      <c r="AJ3528" s="82"/>
      <c r="AK3528" s="82"/>
      <c r="AL3528" s="82"/>
      <c r="AM3528" s="82"/>
      <c r="AN3528" s="82"/>
      <c r="AO3528" s="82"/>
      <c r="AP3528" s="82"/>
      <c r="AQ3528" s="82"/>
      <c r="AR3528" s="82"/>
      <c r="AS3528" s="82"/>
      <c r="AT3528" s="82"/>
      <c r="AU3528" s="82"/>
      <c r="AV3528" s="82"/>
      <c r="AW3528" s="82" t="str">
        <f t="shared" si="1"/>
        <v/>
      </c>
      <c r="AX3528" s="83" t="str">
        <f t="array" ref="AX3528">IFERROR(DGET('SBV Import'!A:G,"SBV",{"RSC ID","Tier";B3528,A3528}))</f>
        <v/>
      </c>
      <c r="AY3528" s="82" t="str">
        <f t="shared" si="2"/>
        <v/>
      </c>
      <c r="AZ3528" s="82"/>
      <c r="BA3528" s="84" t="s">
        <v>152</v>
      </c>
      <c r="BB3528" s="84" t="str">
        <f>IFERROR(__xludf.DUMMYFUNCTION("iferror(if(A3528="""",,E3528&gt;=FILTER(Constants!$F$2:$F$10,Constants!$A$2:$A$10=A3528)))"),"")</f>
        <v/>
      </c>
    </row>
    <row r="3529">
      <c r="A3529" s="89"/>
      <c r="B3529" s="87"/>
      <c r="C3529" s="73"/>
      <c r="D3529" s="73"/>
      <c r="E3529" s="82"/>
      <c r="F3529" s="82"/>
      <c r="G3529" s="86"/>
      <c r="H3529" s="86"/>
      <c r="I3529" s="86"/>
      <c r="J3529" s="82"/>
      <c r="K3529" s="82"/>
      <c r="L3529" s="82"/>
      <c r="M3529" s="82"/>
      <c r="N3529" s="82"/>
      <c r="O3529" s="82"/>
      <c r="P3529" s="82"/>
      <c r="Q3529" s="82"/>
      <c r="R3529" s="82"/>
      <c r="S3529" s="82"/>
      <c r="T3529" s="82"/>
      <c r="U3529" s="82"/>
      <c r="V3529" s="82"/>
      <c r="W3529" s="82"/>
      <c r="X3529" s="82"/>
      <c r="Y3529" s="82"/>
      <c r="Z3529" s="82"/>
      <c r="AA3529" s="82"/>
      <c r="AB3529" s="82"/>
      <c r="AC3529" s="82"/>
      <c r="AD3529" s="82"/>
      <c r="AE3529" s="82"/>
      <c r="AF3529" s="82"/>
      <c r="AG3529" s="82"/>
      <c r="AH3529" s="82"/>
      <c r="AI3529" s="82"/>
      <c r="AJ3529" s="82"/>
      <c r="AK3529" s="82"/>
      <c r="AL3529" s="82"/>
      <c r="AM3529" s="82"/>
      <c r="AN3529" s="82"/>
      <c r="AO3529" s="82"/>
      <c r="AP3529" s="82"/>
      <c r="AQ3529" s="82"/>
      <c r="AR3529" s="82"/>
      <c r="AS3529" s="82"/>
      <c r="AT3529" s="82"/>
      <c r="AU3529" s="82"/>
      <c r="AV3529" s="82"/>
      <c r="AW3529" s="82" t="str">
        <f t="shared" si="1"/>
        <v/>
      </c>
      <c r="AX3529" s="83" t="str">
        <f t="array" ref="AX3529">IFERROR(DGET('SBV Import'!A:G,"SBV",{"RSC ID","Tier";B3529,A3529}))</f>
        <v/>
      </c>
      <c r="AY3529" s="82" t="str">
        <f t="shared" si="2"/>
        <v/>
      </c>
      <c r="AZ3529" s="82"/>
      <c r="BA3529" s="84" t="s">
        <v>152</v>
      </c>
      <c r="BB3529" s="84" t="str">
        <f>IFERROR(__xludf.DUMMYFUNCTION("iferror(if(A3529="""",,E3529&gt;=FILTER(Constants!$F$2:$F$10,Constants!$A$2:$A$10=A3529)))"),"")</f>
        <v/>
      </c>
    </row>
    <row r="3530">
      <c r="A3530" s="89"/>
      <c r="B3530" s="87"/>
      <c r="C3530" s="73"/>
      <c r="D3530" s="73"/>
      <c r="E3530" s="82"/>
      <c r="F3530" s="82"/>
      <c r="G3530" s="86"/>
      <c r="H3530" s="86"/>
      <c r="I3530" s="86"/>
      <c r="J3530" s="82"/>
      <c r="K3530" s="82"/>
      <c r="L3530" s="82"/>
      <c r="M3530" s="82"/>
      <c r="N3530" s="82"/>
      <c r="O3530" s="82"/>
      <c r="P3530" s="82"/>
      <c r="Q3530" s="82"/>
      <c r="R3530" s="82"/>
      <c r="S3530" s="82"/>
      <c r="T3530" s="82"/>
      <c r="U3530" s="82"/>
      <c r="V3530" s="82"/>
      <c r="W3530" s="82"/>
      <c r="X3530" s="82"/>
      <c r="Y3530" s="82"/>
      <c r="Z3530" s="82"/>
      <c r="AA3530" s="82"/>
      <c r="AB3530" s="82"/>
      <c r="AC3530" s="82"/>
      <c r="AD3530" s="82"/>
      <c r="AE3530" s="82"/>
      <c r="AF3530" s="82"/>
      <c r="AG3530" s="82"/>
      <c r="AH3530" s="82"/>
      <c r="AI3530" s="82"/>
      <c r="AJ3530" s="82"/>
      <c r="AK3530" s="82"/>
      <c r="AL3530" s="82"/>
      <c r="AM3530" s="82"/>
      <c r="AN3530" s="82"/>
      <c r="AO3530" s="82"/>
      <c r="AP3530" s="82"/>
      <c r="AQ3530" s="82"/>
      <c r="AR3530" s="82"/>
      <c r="AS3530" s="82"/>
      <c r="AT3530" s="82"/>
      <c r="AU3530" s="82"/>
      <c r="AV3530" s="82"/>
      <c r="AW3530" s="82" t="str">
        <f t="shared" si="1"/>
        <v/>
      </c>
      <c r="AX3530" s="83" t="str">
        <f t="array" ref="AX3530">IFERROR(DGET('SBV Import'!A:G,"SBV",{"RSC ID","Tier";B3530,A3530}))</f>
        <v/>
      </c>
      <c r="AY3530" s="82" t="str">
        <f t="shared" si="2"/>
        <v/>
      </c>
      <c r="AZ3530" s="82"/>
      <c r="BA3530" s="84" t="s">
        <v>152</v>
      </c>
      <c r="BB3530" s="84" t="str">
        <f>IFERROR(__xludf.DUMMYFUNCTION("iferror(if(A3530="""",,E3530&gt;=FILTER(Constants!$F$2:$F$10,Constants!$A$2:$A$10=A3530)))"),"")</f>
        <v/>
      </c>
    </row>
    <row r="3531">
      <c r="A3531" s="89"/>
      <c r="B3531" s="87"/>
      <c r="C3531" s="73"/>
      <c r="D3531" s="73"/>
      <c r="E3531" s="82"/>
      <c r="F3531" s="82"/>
      <c r="G3531" s="86"/>
      <c r="H3531" s="86"/>
      <c r="I3531" s="86"/>
      <c r="J3531" s="82"/>
      <c r="K3531" s="82"/>
      <c r="L3531" s="82"/>
      <c r="M3531" s="82"/>
      <c r="N3531" s="82"/>
      <c r="O3531" s="82"/>
      <c r="P3531" s="82"/>
      <c r="Q3531" s="82"/>
      <c r="R3531" s="82"/>
      <c r="S3531" s="82"/>
      <c r="T3531" s="82"/>
      <c r="U3531" s="82"/>
      <c r="V3531" s="82"/>
      <c r="W3531" s="82"/>
      <c r="X3531" s="82"/>
      <c r="Y3531" s="82"/>
      <c r="Z3531" s="82"/>
      <c r="AA3531" s="82"/>
      <c r="AB3531" s="82"/>
      <c r="AC3531" s="82"/>
      <c r="AD3531" s="82"/>
      <c r="AE3531" s="82"/>
      <c r="AF3531" s="82"/>
      <c r="AG3531" s="82"/>
      <c r="AH3531" s="82"/>
      <c r="AI3531" s="82"/>
      <c r="AJ3531" s="82"/>
      <c r="AK3531" s="82"/>
      <c r="AL3531" s="82"/>
      <c r="AM3531" s="82"/>
      <c r="AN3531" s="82"/>
      <c r="AO3531" s="82"/>
      <c r="AP3531" s="82"/>
      <c r="AQ3531" s="82"/>
      <c r="AR3531" s="82"/>
      <c r="AS3531" s="82"/>
      <c r="AT3531" s="82"/>
      <c r="AU3531" s="82"/>
      <c r="AV3531" s="82"/>
      <c r="AW3531" s="82" t="str">
        <f t="shared" si="1"/>
        <v/>
      </c>
      <c r="AX3531" s="83" t="str">
        <f t="array" ref="AX3531">IFERROR(DGET('SBV Import'!A:G,"SBV",{"RSC ID","Tier";B3531,A3531}))</f>
        <v/>
      </c>
      <c r="AY3531" s="82" t="str">
        <f t="shared" si="2"/>
        <v/>
      </c>
      <c r="AZ3531" s="82"/>
      <c r="BA3531" s="84" t="s">
        <v>152</v>
      </c>
      <c r="BB3531" s="84" t="str">
        <f>IFERROR(__xludf.DUMMYFUNCTION("iferror(if(A3531="""",,E3531&gt;=FILTER(Constants!$F$2:$F$10,Constants!$A$2:$A$10=A3531)))"),"")</f>
        <v/>
      </c>
    </row>
    <row r="3532">
      <c r="A3532" s="89"/>
      <c r="B3532" s="87"/>
      <c r="C3532" s="73"/>
      <c r="D3532" s="73"/>
      <c r="E3532" s="82"/>
      <c r="F3532" s="82"/>
      <c r="G3532" s="86"/>
      <c r="H3532" s="86"/>
      <c r="I3532" s="86"/>
      <c r="J3532" s="82"/>
      <c r="K3532" s="82"/>
      <c r="L3532" s="82"/>
      <c r="M3532" s="82"/>
      <c r="N3532" s="82"/>
      <c r="O3532" s="82"/>
      <c r="P3532" s="82"/>
      <c r="Q3532" s="82"/>
      <c r="R3532" s="82"/>
      <c r="S3532" s="82"/>
      <c r="T3532" s="82"/>
      <c r="U3532" s="82"/>
      <c r="V3532" s="82"/>
      <c r="W3532" s="82"/>
      <c r="X3532" s="82"/>
      <c r="Y3532" s="82"/>
      <c r="Z3532" s="82"/>
      <c r="AA3532" s="82"/>
      <c r="AB3532" s="82"/>
      <c r="AC3532" s="82"/>
      <c r="AD3532" s="82"/>
      <c r="AE3532" s="82"/>
      <c r="AF3532" s="82"/>
      <c r="AG3532" s="82"/>
      <c r="AH3532" s="82"/>
      <c r="AI3532" s="82"/>
      <c r="AJ3532" s="82"/>
      <c r="AK3532" s="82"/>
      <c r="AL3532" s="82"/>
      <c r="AM3532" s="82"/>
      <c r="AN3532" s="82"/>
      <c r="AO3532" s="82"/>
      <c r="AP3532" s="82"/>
      <c r="AQ3532" s="82"/>
      <c r="AR3532" s="82"/>
      <c r="AS3532" s="82"/>
      <c r="AT3532" s="82"/>
      <c r="AU3532" s="82"/>
      <c r="AV3532" s="82"/>
      <c r="AW3532" s="82" t="str">
        <f t="shared" si="1"/>
        <v/>
      </c>
      <c r="AX3532" s="83" t="str">
        <f t="array" ref="AX3532">IFERROR(DGET('SBV Import'!A:G,"SBV",{"RSC ID","Tier";B3532,A3532}))</f>
        <v/>
      </c>
      <c r="AY3532" s="82" t="str">
        <f t="shared" si="2"/>
        <v/>
      </c>
      <c r="AZ3532" s="82"/>
      <c r="BA3532" s="84" t="s">
        <v>152</v>
      </c>
      <c r="BB3532" s="84" t="str">
        <f>IFERROR(__xludf.DUMMYFUNCTION("iferror(if(A3532="""",,E3532&gt;=FILTER(Constants!$F$2:$F$10,Constants!$A$2:$A$10=A3532)))"),"")</f>
        <v/>
      </c>
    </row>
    <row r="3533">
      <c r="A3533" s="89"/>
      <c r="B3533" s="87"/>
      <c r="C3533" s="73"/>
      <c r="D3533" s="73"/>
      <c r="E3533" s="82"/>
      <c r="F3533" s="82"/>
      <c r="G3533" s="86"/>
      <c r="H3533" s="86"/>
      <c r="I3533" s="86"/>
      <c r="J3533" s="82"/>
      <c r="K3533" s="82"/>
      <c r="L3533" s="82"/>
      <c r="M3533" s="82"/>
      <c r="N3533" s="82"/>
      <c r="O3533" s="82"/>
      <c r="P3533" s="82"/>
      <c r="Q3533" s="82"/>
      <c r="R3533" s="82"/>
      <c r="S3533" s="82"/>
      <c r="T3533" s="82"/>
      <c r="U3533" s="82"/>
      <c r="V3533" s="82"/>
      <c r="W3533" s="82"/>
      <c r="X3533" s="82"/>
      <c r="Y3533" s="82"/>
      <c r="Z3533" s="82"/>
      <c r="AA3533" s="82"/>
      <c r="AB3533" s="82"/>
      <c r="AC3533" s="82"/>
      <c r="AD3533" s="82"/>
      <c r="AE3533" s="82"/>
      <c r="AF3533" s="82"/>
      <c r="AG3533" s="82"/>
      <c r="AH3533" s="82"/>
      <c r="AI3533" s="82"/>
      <c r="AJ3533" s="82"/>
      <c r="AK3533" s="82"/>
      <c r="AL3533" s="82"/>
      <c r="AM3533" s="82"/>
      <c r="AN3533" s="82"/>
      <c r="AO3533" s="82"/>
      <c r="AP3533" s="82"/>
      <c r="AQ3533" s="82"/>
      <c r="AR3533" s="82"/>
      <c r="AS3533" s="82"/>
      <c r="AT3533" s="82"/>
      <c r="AU3533" s="82"/>
      <c r="AV3533" s="82"/>
      <c r="AW3533" s="82" t="str">
        <f t="shared" si="1"/>
        <v/>
      </c>
      <c r="AX3533" s="83" t="str">
        <f t="array" ref="AX3533">IFERROR(DGET('SBV Import'!A:G,"SBV",{"RSC ID","Tier";B3533,A3533}))</f>
        <v/>
      </c>
      <c r="AY3533" s="82" t="str">
        <f t="shared" si="2"/>
        <v/>
      </c>
      <c r="AZ3533" s="82"/>
      <c r="BA3533" s="84" t="s">
        <v>152</v>
      </c>
      <c r="BB3533" s="84" t="str">
        <f>IFERROR(__xludf.DUMMYFUNCTION("iferror(if(A3533="""",,E3533&gt;=FILTER(Constants!$F$2:$F$10,Constants!$A$2:$A$10=A3533)))"),"")</f>
        <v/>
      </c>
    </row>
    <row r="3534">
      <c r="A3534" s="89"/>
      <c r="B3534" s="87"/>
      <c r="C3534" s="73"/>
      <c r="D3534" s="73"/>
      <c r="E3534" s="82"/>
      <c r="F3534" s="82"/>
      <c r="G3534" s="86"/>
      <c r="H3534" s="86"/>
      <c r="I3534" s="86"/>
      <c r="J3534" s="82"/>
      <c r="K3534" s="82"/>
      <c r="L3534" s="82"/>
      <c r="M3534" s="82"/>
      <c r="N3534" s="82"/>
      <c r="O3534" s="82"/>
      <c r="P3534" s="82"/>
      <c r="Q3534" s="82"/>
      <c r="R3534" s="82"/>
      <c r="S3534" s="82"/>
      <c r="T3534" s="82"/>
      <c r="U3534" s="82"/>
      <c r="V3534" s="82"/>
      <c r="W3534" s="82"/>
      <c r="X3534" s="82"/>
      <c r="Y3534" s="82"/>
      <c r="Z3534" s="82"/>
      <c r="AA3534" s="82"/>
      <c r="AB3534" s="82"/>
      <c r="AC3534" s="82"/>
      <c r="AD3534" s="82"/>
      <c r="AE3534" s="82"/>
      <c r="AF3534" s="82"/>
      <c r="AG3534" s="82"/>
      <c r="AH3534" s="82"/>
      <c r="AI3534" s="82"/>
      <c r="AJ3534" s="82"/>
      <c r="AK3534" s="82"/>
      <c r="AL3534" s="82"/>
      <c r="AM3534" s="82"/>
      <c r="AN3534" s="82"/>
      <c r="AO3534" s="82"/>
      <c r="AP3534" s="82"/>
      <c r="AQ3534" s="82"/>
      <c r="AR3534" s="82"/>
      <c r="AS3534" s="82"/>
      <c r="AT3534" s="82"/>
      <c r="AU3534" s="82"/>
      <c r="AV3534" s="82"/>
      <c r="AW3534" s="82" t="str">
        <f t="shared" si="1"/>
        <v/>
      </c>
      <c r="AX3534" s="83" t="str">
        <f t="array" ref="AX3534">IFERROR(DGET('SBV Import'!A:G,"SBV",{"RSC ID","Tier";B3534,A3534}))</f>
        <v/>
      </c>
      <c r="AY3534" s="82" t="str">
        <f t="shared" si="2"/>
        <v/>
      </c>
      <c r="AZ3534" s="82"/>
      <c r="BA3534" s="84" t="s">
        <v>152</v>
      </c>
      <c r="BB3534" s="84" t="str">
        <f>IFERROR(__xludf.DUMMYFUNCTION("iferror(if(A3534="""",,E3534&gt;=FILTER(Constants!$F$2:$F$10,Constants!$A$2:$A$10=A3534)))"),"")</f>
        <v/>
      </c>
    </row>
    <row r="3535">
      <c r="A3535" s="89"/>
      <c r="B3535" s="87"/>
      <c r="C3535" s="73"/>
      <c r="D3535" s="73"/>
      <c r="E3535" s="82"/>
      <c r="F3535" s="82"/>
      <c r="G3535" s="86"/>
      <c r="H3535" s="86"/>
      <c r="I3535" s="86"/>
      <c r="J3535" s="82"/>
      <c r="K3535" s="82"/>
      <c r="L3535" s="82"/>
      <c r="M3535" s="82"/>
      <c r="N3535" s="82"/>
      <c r="O3535" s="82"/>
      <c r="P3535" s="82"/>
      <c r="Q3535" s="82"/>
      <c r="R3535" s="82"/>
      <c r="S3535" s="82"/>
      <c r="T3535" s="82"/>
      <c r="U3535" s="82"/>
      <c r="V3535" s="82"/>
      <c r="W3535" s="82"/>
      <c r="X3535" s="82"/>
      <c r="Y3535" s="82"/>
      <c r="Z3535" s="82"/>
      <c r="AA3535" s="82"/>
      <c r="AB3535" s="82"/>
      <c r="AC3535" s="82"/>
      <c r="AD3535" s="82"/>
      <c r="AE3535" s="82"/>
      <c r="AF3535" s="82"/>
      <c r="AG3535" s="82"/>
      <c r="AH3535" s="82"/>
      <c r="AI3535" s="82"/>
      <c r="AJ3535" s="82"/>
      <c r="AK3535" s="82"/>
      <c r="AL3535" s="82"/>
      <c r="AM3535" s="82"/>
      <c r="AN3535" s="82"/>
      <c r="AO3535" s="82"/>
      <c r="AP3535" s="82"/>
      <c r="AQ3535" s="82"/>
      <c r="AR3535" s="82"/>
      <c r="AS3535" s="82"/>
      <c r="AT3535" s="82"/>
      <c r="AU3535" s="82"/>
      <c r="AV3535" s="82"/>
      <c r="AW3535" s="82" t="str">
        <f t="shared" si="1"/>
        <v/>
      </c>
      <c r="AX3535" s="83" t="str">
        <f t="array" ref="AX3535">IFERROR(DGET('SBV Import'!A:G,"SBV",{"RSC ID","Tier";B3535,A3535}))</f>
        <v/>
      </c>
      <c r="AY3535" s="82" t="str">
        <f t="shared" si="2"/>
        <v/>
      </c>
      <c r="AZ3535" s="82"/>
      <c r="BA3535" s="84" t="s">
        <v>152</v>
      </c>
      <c r="BB3535" s="84" t="str">
        <f>IFERROR(__xludf.DUMMYFUNCTION("iferror(if(A3535="""",,E3535&gt;=FILTER(Constants!$F$2:$F$10,Constants!$A$2:$A$10=A3535)))"),"")</f>
        <v/>
      </c>
    </row>
    <row r="3536">
      <c r="A3536" s="89"/>
      <c r="B3536" s="87"/>
      <c r="C3536" s="73"/>
      <c r="D3536" s="73"/>
      <c r="E3536" s="82"/>
      <c r="F3536" s="82"/>
      <c r="G3536" s="86"/>
      <c r="H3536" s="86"/>
      <c r="I3536" s="86"/>
      <c r="J3536" s="82"/>
      <c r="K3536" s="82"/>
      <c r="L3536" s="82"/>
      <c r="M3536" s="82"/>
      <c r="N3536" s="82"/>
      <c r="O3536" s="82"/>
      <c r="P3536" s="82"/>
      <c r="Q3536" s="82"/>
      <c r="R3536" s="82"/>
      <c r="S3536" s="82"/>
      <c r="T3536" s="82"/>
      <c r="U3536" s="82"/>
      <c r="V3536" s="82"/>
      <c r="W3536" s="82"/>
      <c r="X3536" s="82"/>
      <c r="Y3536" s="82"/>
      <c r="Z3536" s="82"/>
      <c r="AA3536" s="82"/>
      <c r="AB3536" s="82"/>
      <c r="AC3536" s="82"/>
      <c r="AD3536" s="82"/>
      <c r="AE3536" s="82"/>
      <c r="AF3536" s="82"/>
      <c r="AG3536" s="82"/>
      <c r="AH3536" s="82"/>
      <c r="AI3536" s="82"/>
      <c r="AJ3536" s="82"/>
      <c r="AK3536" s="82"/>
      <c r="AL3536" s="82"/>
      <c r="AM3536" s="82"/>
      <c r="AN3536" s="82"/>
      <c r="AO3536" s="82"/>
      <c r="AP3536" s="82"/>
      <c r="AQ3536" s="82"/>
      <c r="AR3536" s="82"/>
      <c r="AS3536" s="82"/>
      <c r="AT3536" s="82"/>
      <c r="AU3536" s="82"/>
      <c r="AV3536" s="82"/>
      <c r="AW3536" s="82" t="str">
        <f t="shared" si="1"/>
        <v/>
      </c>
      <c r="AX3536" s="83" t="str">
        <f t="array" ref="AX3536">IFERROR(DGET('SBV Import'!A:G,"SBV",{"RSC ID","Tier";B3536,A3536}))</f>
        <v/>
      </c>
      <c r="AY3536" s="82" t="str">
        <f t="shared" si="2"/>
        <v/>
      </c>
      <c r="AZ3536" s="82"/>
      <c r="BA3536" s="84" t="s">
        <v>152</v>
      </c>
      <c r="BB3536" s="84" t="str">
        <f>IFERROR(__xludf.DUMMYFUNCTION("iferror(if(A3536="""",,E3536&gt;=FILTER(Constants!$F$2:$F$10,Constants!$A$2:$A$10=A3536)))"),"")</f>
        <v/>
      </c>
    </row>
    <row r="3537">
      <c r="A3537" s="89"/>
      <c r="B3537" s="87"/>
      <c r="C3537" s="73"/>
      <c r="D3537" s="73"/>
      <c r="E3537" s="82"/>
      <c r="F3537" s="82"/>
      <c r="G3537" s="86"/>
      <c r="H3537" s="86"/>
      <c r="I3537" s="86"/>
      <c r="J3537" s="82"/>
      <c r="K3537" s="82"/>
      <c r="L3537" s="82"/>
      <c r="M3537" s="82"/>
      <c r="N3537" s="82"/>
      <c r="O3537" s="82"/>
      <c r="P3537" s="82"/>
      <c r="Q3537" s="82"/>
      <c r="R3537" s="82"/>
      <c r="S3537" s="82"/>
      <c r="T3537" s="82"/>
      <c r="U3537" s="82"/>
      <c r="V3537" s="82"/>
      <c r="W3537" s="82"/>
      <c r="X3537" s="82"/>
      <c r="Y3537" s="82"/>
      <c r="Z3537" s="82"/>
      <c r="AA3537" s="82"/>
      <c r="AB3537" s="82"/>
      <c r="AC3537" s="82"/>
      <c r="AD3537" s="82"/>
      <c r="AE3537" s="82"/>
      <c r="AF3537" s="82"/>
      <c r="AG3537" s="82"/>
      <c r="AH3537" s="82"/>
      <c r="AI3537" s="82"/>
      <c r="AJ3537" s="82"/>
      <c r="AK3537" s="82"/>
      <c r="AL3537" s="82"/>
      <c r="AM3537" s="82"/>
      <c r="AN3537" s="82"/>
      <c r="AO3537" s="82"/>
      <c r="AP3537" s="82"/>
      <c r="AQ3537" s="82"/>
      <c r="AR3537" s="82"/>
      <c r="AS3537" s="82"/>
      <c r="AT3537" s="82"/>
      <c r="AU3537" s="82"/>
      <c r="AV3537" s="82"/>
      <c r="AW3537" s="82" t="str">
        <f t="shared" si="1"/>
        <v/>
      </c>
      <c r="AX3537" s="83" t="str">
        <f t="array" ref="AX3537">IFERROR(DGET('SBV Import'!A:G,"SBV",{"RSC ID","Tier";B3537,A3537}))</f>
        <v/>
      </c>
      <c r="AY3537" s="82" t="str">
        <f t="shared" si="2"/>
        <v/>
      </c>
      <c r="AZ3537" s="82"/>
      <c r="BA3537" s="84" t="s">
        <v>152</v>
      </c>
      <c r="BB3537" s="84" t="str">
        <f>IFERROR(__xludf.DUMMYFUNCTION("iferror(if(A3537="""",,E3537&gt;=FILTER(Constants!$F$2:$F$10,Constants!$A$2:$A$10=A3537)))"),"")</f>
        <v/>
      </c>
    </row>
    <row r="3538">
      <c r="A3538" s="89"/>
      <c r="B3538" s="87"/>
      <c r="C3538" s="73"/>
      <c r="D3538" s="73"/>
      <c r="E3538" s="82"/>
      <c r="F3538" s="82"/>
      <c r="G3538" s="86"/>
      <c r="H3538" s="86"/>
      <c r="I3538" s="86"/>
      <c r="J3538" s="82"/>
      <c r="K3538" s="82"/>
      <c r="L3538" s="82"/>
      <c r="M3538" s="82"/>
      <c r="N3538" s="82"/>
      <c r="O3538" s="82"/>
      <c r="P3538" s="82"/>
      <c r="Q3538" s="82"/>
      <c r="R3538" s="82"/>
      <c r="S3538" s="82"/>
      <c r="T3538" s="82"/>
      <c r="U3538" s="82"/>
      <c r="V3538" s="82"/>
      <c r="W3538" s="82"/>
      <c r="X3538" s="82"/>
      <c r="Y3538" s="82"/>
      <c r="Z3538" s="82"/>
      <c r="AA3538" s="82"/>
      <c r="AB3538" s="82"/>
      <c r="AC3538" s="82"/>
      <c r="AD3538" s="82"/>
      <c r="AE3538" s="82"/>
      <c r="AF3538" s="82"/>
      <c r="AG3538" s="82"/>
      <c r="AH3538" s="82"/>
      <c r="AI3538" s="82"/>
      <c r="AJ3538" s="82"/>
      <c r="AK3538" s="82"/>
      <c r="AL3538" s="82"/>
      <c r="AM3538" s="82"/>
      <c r="AN3538" s="82"/>
      <c r="AO3538" s="82"/>
      <c r="AP3538" s="82"/>
      <c r="AQ3538" s="82"/>
      <c r="AR3538" s="82"/>
      <c r="AS3538" s="82"/>
      <c r="AT3538" s="82"/>
      <c r="AU3538" s="82"/>
      <c r="AV3538" s="82"/>
      <c r="AW3538" s="82" t="str">
        <f t="shared" si="1"/>
        <v/>
      </c>
      <c r="AX3538" s="83" t="str">
        <f t="array" ref="AX3538">IFERROR(DGET('SBV Import'!A:G,"SBV",{"RSC ID","Tier";B3538,A3538}))</f>
        <v/>
      </c>
      <c r="AY3538" s="82" t="str">
        <f t="shared" si="2"/>
        <v/>
      </c>
      <c r="AZ3538" s="82"/>
      <c r="BA3538" s="84" t="s">
        <v>152</v>
      </c>
      <c r="BB3538" s="84" t="str">
        <f>IFERROR(__xludf.DUMMYFUNCTION("iferror(if(A3538="""",,E3538&gt;=FILTER(Constants!$F$2:$F$10,Constants!$A$2:$A$10=A3538)))"),"")</f>
        <v/>
      </c>
    </row>
    <row r="3539">
      <c r="A3539" s="89"/>
      <c r="B3539" s="87"/>
      <c r="C3539" s="73"/>
      <c r="D3539" s="73"/>
      <c r="E3539" s="82"/>
      <c r="F3539" s="82"/>
      <c r="G3539" s="86"/>
      <c r="H3539" s="86"/>
      <c r="I3539" s="86"/>
      <c r="J3539" s="82"/>
      <c r="K3539" s="82"/>
      <c r="L3539" s="82"/>
      <c r="M3539" s="82"/>
      <c r="N3539" s="82"/>
      <c r="O3539" s="82"/>
      <c r="P3539" s="82"/>
      <c r="Q3539" s="82"/>
      <c r="R3539" s="82"/>
      <c r="S3539" s="82"/>
      <c r="T3539" s="82"/>
      <c r="U3539" s="82"/>
      <c r="V3539" s="82"/>
      <c r="W3539" s="82"/>
      <c r="X3539" s="82"/>
      <c r="Y3539" s="82"/>
      <c r="Z3539" s="82"/>
      <c r="AA3539" s="82"/>
      <c r="AB3539" s="82"/>
      <c r="AC3539" s="82"/>
      <c r="AD3539" s="82"/>
      <c r="AE3539" s="82"/>
      <c r="AF3539" s="82"/>
      <c r="AG3539" s="82"/>
      <c r="AH3539" s="82"/>
      <c r="AI3539" s="82"/>
      <c r="AJ3539" s="82"/>
      <c r="AK3539" s="82"/>
      <c r="AL3539" s="82"/>
      <c r="AM3539" s="82"/>
      <c r="AN3539" s="82"/>
      <c r="AO3539" s="82"/>
      <c r="AP3539" s="82"/>
      <c r="AQ3539" s="82"/>
      <c r="AR3539" s="82"/>
      <c r="AS3539" s="82"/>
      <c r="AT3539" s="82"/>
      <c r="AU3539" s="82"/>
      <c r="AV3539" s="82"/>
      <c r="AW3539" s="82" t="str">
        <f t="shared" si="1"/>
        <v/>
      </c>
      <c r="AX3539" s="83" t="str">
        <f t="array" ref="AX3539">IFERROR(DGET('SBV Import'!A:G,"SBV",{"RSC ID","Tier";B3539,A3539}))</f>
        <v/>
      </c>
      <c r="AY3539" s="82" t="str">
        <f t="shared" si="2"/>
        <v/>
      </c>
      <c r="AZ3539" s="82"/>
      <c r="BA3539" s="84" t="s">
        <v>152</v>
      </c>
      <c r="BB3539" s="84" t="str">
        <f>IFERROR(__xludf.DUMMYFUNCTION("iferror(if(A3539="""",,E3539&gt;=FILTER(Constants!$F$2:$F$10,Constants!$A$2:$A$10=A3539)))"),"")</f>
        <v/>
      </c>
    </row>
    <row r="3540">
      <c r="A3540" s="89"/>
      <c r="B3540" s="87"/>
      <c r="C3540" s="73"/>
      <c r="D3540" s="73"/>
      <c r="E3540" s="82"/>
      <c r="F3540" s="82"/>
      <c r="G3540" s="86"/>
      <c r="H3540" s="86"/>
      <c r="I3540" s="86"/>
      <c r="J3540" s="82"/>
      <c r="K3540" s="82"/>
      <c r="L3540" s="82"/>
      <c r="M3540" s="82"/>
      <c r="N3540" s="82"/>
      <c r="O3540" s="82"/>
      <c r="P3540" s="82"/>
      <c r="Q3540" s="82"/>
      <c r="R3540" s="82"/>
      <c r="S3540" s="82"/>
      <c r="T3540" s="82"/>
      <c r="U3540" s="82"/>
      <c r="V3540" s="82"/>
      <c r="W3540" s="82"/>
      <c r="X3540" s="82"/>
      <c r="Y3540" s="82"/>
      <c r="Z3540" s="82"/>
      <c r="AA3540" s="82"/>
      <c r="AB3540" s="82"/>
      <c r="AC3540" s="82"/>
      <c r="AD3540" s="82"/>
      <c r="AE3540" s="82"/>
      <c r="AF3540" s="82"/>
      <c r="AG3540" s="82"/>
      <c r="AH3540" s="82"/>
      <c r="AI3540" s="82"/>
      <c r="AJ3540" s="82"/>
      <c r="AK3540" s="82"/>
      <c r="AL3540" s="82"/>
      <c r="AM3540" s="82"/>
      <c r="AN3540" s="82"/>
      <c r="AO3540" s="82"/>
      <c r="AP3540" s="82"/>
      <c r="AQ3540" s="82"/>
      <c r="AR3540" s="82"/>
      <c r="AS3540" s="82"/>
      <c r="AT3540" s="82"/>
      <c r="AU3540" s="82"/>
      <c r="AV3540" s="82"/>
      <c r="AW3540" s="82" t="str">
        <f t="shared" si="1"/>
        <v/>
      </c>
      <c r="AX3540" s="83" t="str">
        <f t="array" ref="AX3540">IFERROR(DGET('SBV Import'!A:G,"SBV",{"RSC ID","Tier";B3540,A3540}))</f>
        <v/>
      </c>
      <c r="AY3540" s="82" t="str">
        <f t="shared" si="2"/>
        <v/>
      </c>
      <c r="AZ3540" s="82"/>
      <c r="BA3540" s="84" t="s">
        <v>152</v>
      </c>
      <c r="BB3540" s="84" t="str">
        <f>IFERROR(__xludf.DUMMYFUNCTION("iferror(if(A3540="""",,E3540&gt;=FILTER(Constants!$F$2:$F$10,Constants!$A$2:$A$10=A3540)))"),"")</f>
        <v/>
      </c>
    </row>
    <row r="3541">
      <c r="A3541" s="89"/>
      <c r="B3541" s="87"/>
      <c r="C3541" s="73"/>
      <c r="D3541" s="73"/>
      <c r="E3541" s="82"/>
      <c r="F3541" s="82"/>
      <c r="G3541" s="86"/>
      <c r="H3541" s="86"/>
      <c r="I3541" s="86"/>
      <c r="J3541" s="82"/>
      <c r="K3541" s="82"/>
      <c r="L3541" s="82"/>
      <c r="M3541" s="82"/>
      <c r="N3541" s="82"/>
      <c r="O3541" s="82"/>
      <c r="P3541" s="82"/>
      <c r="Q3541" s="82"/>
      <c r="R3541" s="82"/>
      <c r="S3541" s="82"/>
      <c r="T3541" s="82"/>
      <c r="U3541" s="82"/>
      <c r="V3541" s="82"/>
      <c r="W3541" s="82"/>
      <c r="X3541" s="82"/>
      <c r="Y3541" s="82"/>
      <c r="Z3541" s="82"/>
      <c r="AA3541" s="82"/>
      <c r="AB3541" s="82"/>
      <c r="AC3541" s="82"/>
      <c r="AD3541" s="82"/>
      <c r="AE3541" s="82"/>
      <c r="AF3541" s="82"/>
      <c r="AG3541" s="82"/>
      <c r="AH3541" s="82"/>
      <c r="AI3541" s="82"/>
      <c r="AJ3541" s="82"/>
      <c r="AK3541" s="82"/>
      <c r="AL3541" s="82"/>
      <c r="AM3541" s="82"/>
      <c r="AN3541" s="82"/>
      <c r="AO3541" s="82"/>
      <c r="AP3541" s="82"/>
      <c r="AQ3541" s="82"/>
      <c r="AR3541" s="82"/>
      <c r="AS3541" s="82"/>
      <c r="AT3541" s="82"/>
      <c r="AU3541" s="82"/>
      <c r="AV3541" s="82"/>
      <c r="AW3541" s="82" t="str">
        <f t="shared" si="1"/>
        <v/>
      </c>
      <c r="AX3541" s="83" t="str">
        <f t="array" ref="AX3541">IFERROR(DGET('SBV Import'!A:G,"SBV",{"RSC ID","Tier";B3541,A3541}))</f>
        <v/>
      </c>
      <c r="AY3541" s="82" t="str">
        <f t="shared" si="2"/>
        <v/>
      </c>
      <c r="AZ3541" s="82"/>
      <c r="BA3541" s="84" t="s">
        <v>152</v>
      </c>
      <c r="BB3541" s="84" t="str">
        <f>IFERROR(__xludf.DUMMYFUNCTION("iferror(if(A3541="""",,E3541&gt;=FILTER(Constants!$F$2:$F$10,Constants!$A$2:$A$10=A3541)))"),"")</f>
        <v/>
      </c>
    </row>
    <row r="3542">
      <c r="A3542" s="89"/>
      <c r="B3542" s="87"/>
      <c r="C3542" s="73"/>
      <c r="D3542" s="73"/>
      <c r="E3542" s="82"/>
      <c r="F3542" s="82"/>
      <c r="G3542" s="86"/>
      <c r="H3542" s="86"/>
      <c r="I3542" s="86"/>
      <c r="J3542" s="82"/>
      <c r="K3542" s="82"/>
      <c r="L3542" s="82"/>
      <c r="M3542" s="82"/>
      <c r="N3542" s="82"/>
      <c r="O3542" s="82"/>
      <c r="P3542" s="82"/>
      <c r="Q3542" s="82"/>
      <c r="R3542" s="82"/>
      <c r="S3542" s="82"/>
      <c r="T3542" s="82"/>
      <c r="U3542" s="82"/>
      <c r="V3542" s="82"/>
      <c r="W3542" s="82"/>
      <c r="X3542" s="82"/>
      <c r="Y3542" s="82"/>
      <c r="Z3542" s="82"/>
      <c r="AA3542" s="82"/>
      <c r="AB3542" s="82"/>
      <c r="AC3542" s="82"/>
      <c r="AD3542" s="82"/>
      <c r="AE3542" s="82"/>
      <c r="AF3542" s="82"/>
      <c r="AG3542" s="82"/>
      <c r="AH3542" s="82"/>
      <c r="AI3542" s="82"/>
      <c r="AJ3542" s="82"/>
      <c r="AK3542" s="82"/>
      <c r="AL3542" s="82"/>
      <c r="AM3542" s="82"/>
      <c r="AN3542" s="82"/>
      <c r="AO3542" s="82"/>
      <c r="AP3542" s="82"/>
      <c r="AQ3542" s="82"/>
      <c r="AR3542" s="82"/>
      <c r="AS3542" s="82"/>
      <c r="AT3542" s="82"/>
      <c r="AU3542" s="82"/>
      <c r="AV3542" s="82"/>
      <c r="AW3542" s="82" t="str">
        <f t="shared" si="1"/>
        <v/>
      </c>
      <c r="AX3542" s="83" t="str">
        <f t="array" ref="AX3542">IFERROR(DGET('SBV Import'!A:G,"SBV",{"RSC ID","Tier";B3542,A3542}))</f>
        <v/>
      </c>
      <c r="AY3542" s="82" t="str">
        <f t="shared" si="2"/>
        <v/>
      </c>
      <c r="AZ3542" s="82"/>
      <c r="BA3542" s="84" t="s">
        <v>152</v>
      </c>
      <c r="BB3542" s="84" t="str">
        <f>IFERROR(__xludf.DUMMYFUNCTION("iferror(if(A3542="""",,E3542&gt;=FILTER(Constants!$F$2:$F$10,Constants!$A$2:$A$10=A3542)))"),"")</f>
        <v/>
      </c>
    </row>
    <row r="3543">
      <c r="A3543" s="89"/>
      <c r="B3543" s="87"/>
      <c r="C3543" s="73"/>
      <c r="D3543" s="73"/>
      <c r="E3543" s="82"/>
      <c r="F3543" s="82"/>
      <c r="G3543" s="86"/>
      <c r="H3543" s="86"/>
      <c r="I3543" s="86"/>
      <c r="J3543" s="82"/>
      <c r="K3543" s="82"/>
      <c r="L3543" s="82"/>
      <c r="M3543" s="82"/>
      <c r="N3543" s="82"/>
      <c r="O3543" s="82"/>
      <c r="P3543" s="82"/>
      <c r="Q3543" s="82"/>
      <c r="R3543" s="82"/>
      <c r="S3543" s="82"/>
      <c r="T3543" s="82"/>
      <c r="U3543" s="82"/>
      <c r="V3543" s="82"/>
      <c r="W3543" s="82"/>
      <c r="X3543" s="82"/>
      <c r="Y3543" s="82"/>
      <c r="Z3543" s="82"/>
      <c r="AA3543" s="82"/>
      <c r="AB3543" s="82"/>
      <c r="AC3543" s="82"/>
      <c r="AD3543" s="82"/>
      <c r="AE3543" s="82"/>
      <c r="AF3543" s="82"/>
      <c r="AG3543" s="82"/>
      <c r="AH3543" s="82"/>
      <c r="AI3543" s="82"/>
      <c r="AJ3543" s="82"/>
      <c r="AK3543" s="82"/>
      <c r="AL3543" s="82"/>
      <c r="AM3543" s="82"/>
      <c r="AN3543" s="82"/>
      <c r="AO3543" s="82"/>
      <c r="AP3543" s="82"/>
      <c r="AQ3543" s="82"/>
      <c r="AR3543" s="82"/>
      <c r="AS3543" s="82"/>
      <c r="AT3543" s="82"/>
      <c r="AU3543" s="82"/>
      <c r="AV3543" s="82"/>
      <c r="AW3543" s="82" t="str">
        <f t="shared" si="1"/>
        <v/>
      </c>
      <c r="AX3543" s="83" t="str">
        <f t="array" ref="AX3543">IFERROR(DGET('SBV Import'!A:G,"SBV",{"RSC ID","Tier";B3543,A3543}))</f>
        <v/>
      </c>
      <c r="AY3543" s="82" t="str">
        <f t="shared" si="2"/>
        <v/>
      </c>
      <c r="AZ3543" s="82"/>
      <c r="BA3543" s="84" t="s">
        <v>152</v>
      </c>
      <c r="BB3543" s="84" t="str">
        <f>IFERROR(__xludf.DUMMYFUNCTION("iferror(if(A3543="""",,E3543&gt;=FILTER(Constants!$F$2:$F$10,Constants!$A$2:$A$10=A3543)))"),"")</f>
        <v/>
      </c>
    </row>
    <row r="3544">
      <c r="A3544" s="89"/>
      <c r="B3544" s="87"/>
      <c r="C3544" s="73"/>
      <c r="D3544" s="73"/>
      <c r="E3544" s="82"/>
      <c r="F3544" s="82"/>
      <c r="G3544" s="86"/>
      <c r="H3544" s="86"/>
      <c r="I3544" s="86"/>
      <c r="J3544" s="82"/>
      <c r="K3544" s="82"/>
      <c r="L3544" s="82"/>
      <c r="M3544" s="82"/>
      <c r="N3544" s="82"/>
      <c r="O3544" s="82"/>
      <c r="P3544" s="82"/>
      <c r="Q3544" s="82"/>
      <c r="R3544" s="82"/>
      <c r="S3544" s="82"/>
      <c r="T3544" s="82"/>
      <c r="U3544" s="82"/>
      <c r="V3544" s="82"/>
      <c r="W3544" s="82"/>
      <c r="X3544" s="82"/>
      <c r="Y3544" s="82"/>
      <c r="Z3544" s="82"/>
      <c r="AA3544" s="82"/>
      <c r="AB3544" s="82"/>
      <c r="AC3544" s="82"/>
      <c r="AD3544" s="82"/>
      <c r="AE3544" s="82"/>
      <c r="AF3544" s="82"/>
      <c r="AG3544" s="82"/>
      <c r="AH3544" s="82"/>
      <c r="AI3544" s="82"/>
      <c r="AJ3544" s="82"/>
      <c r="AK3544" s="82"/>
      <c r="AL3544" s="82"/>
      <c r="AM3544" s="82"/>
      <c r="AN3544" s="82"/>
      <c r="AO3544" s="82"/>
      <c r="AP3544" s="82"/>
      <c r="AQ3544" s="82"/>
      <c r="AR3544" s="82"/>
      <c r="AS3544" s="82"/>
      <c r="AT3544" s="82"/>
      <c r="AU3544" s="82"/>
      <c r="AV3544" s="82"/>
      <c r="AW3544" s="82" t="str">
        <f t="shared" si="1"/>
        <v/>
      </c>
      <c r="AX3544" s="83" t="str">
        <f t="array" ref="AX3544">IFERROR(DGET('SBV Import'!A:G,"SBV",{"RSC ID","Tier";B3544,A3544}))</f>
        <v/>
      </c>
      <c r="AY3544" s="82" t="str">
        <f t="shared" si="2"/>
        <v/>
      </c>
      <c r="AZ3544" s="82"/>
      <c r="BA3544" s="84" t="s">
        <v>152</v>
      </c>
      <c r="BB3544" s="84" t="str">
        <f>IFERROR(__xludf.DUMMYFUNCTION("iferror(if(A3544="""",,E3544&gt;=FILTER(Constants!$F$2:$F$10,Constants!$A$2:$A$10=A3544)))"),"")</f>
        <v/>
      </c>
    </row>
    <row r="3545">
      <c r="A3545" s="89"/>
      <c r="B3545" s="87"/>
      <c r="C3545" s="73"/>
      <c r="D3545" s="73"/>
      <c r="E3545" s="82"/>
      <c r="F3545" s="82"/>
      <c r="G3545" s="86"/>
      <c r="H3545" s="86"/>
      <c r="I3545" s="86"/>
      <c r="J3545" s="82"/>
      <c r="K3545" s="82"/>
      <c r="L3545" s="82"/>
      <c r="M3545" s="82"/>
      <c r="N3545" s="82"/>
      <c r="O3545" s="82"/>
      <c r="P3545" s="82"/>
      <c r="Q3545" s="82"/>
      <c r="R3545" s="82"/>
      <c r="S3545" s="82"/>
      <c r="T3545" s="82"/>
      <c r="U3545" s="82"/>
      <c r="V3545" s="82"/>
      <c r="W3545" s="82"/>
      <c r="X3545" s="82"/>
      <c r="Y3545" s="82"/>
      <c r="Z3545" s="82"/>
      <c r="AA3545" s="82"/>
      <c r="AB3545" s="82"/>
      <c r="AC3545" s="82"/>
      <c r="AD3545" s="82"/>
      <c r="AE3545" s="82"/>
      <c r="AF3545" s="82"/>
      <c r="AG3545" s="82"/>
      <c r="AH3545" s="82"/>
      <c r="AI3545" s="82"/>
      <c r="AJ3545" s="82"/>
      <c r="AK3545" s="82"/>
      <c r="AL3545" s="82"/>
      <c r="AM3545" s="82"/>
      <c r="AN3545" s="82"/>
      <c r="AO3545" s="82"/>
      <c r="AP3545" s="82"/>
      <c r="AQ3545" s="82"/>
      <c r="AR3545" s="82"/>
      <c r="AS3545" s="82"/>
      <c r="AT3545" s="82"/>
      <c r="AU3545" s="82"/>
      <c r="AV3545" s="82"/>
      <c r="AW3545" s="82" t="str">
        <f t="shared" si="1"/>
        <v/>
      </c>
      <c r="AX3545" s="83" t="str">
        <f t="array" ref="AX3545">IFERROR(DGET('SBV Import'!A:G,"SBV",{"RSC ID","Tier";B3545,A3545}))</f>
        <v/>
      </c>
      <c r="AY3545" s="82" t="str">
        <f t="shared" si="2"/>
        <v/>
      </c>
      <c r="AZ3545" s="82"/>
      <c r="BA3545" s="84" t="s">
        <v>152</v>
      </c>
      <c r="BB3545" s="84" t="str">
        <f>IFERROR(__xludf.DUMMYFUNCTION("iferror(if(A3545="""",,E3545&gt;=FILTER(Constants!$F$2:$F$10,Constants!$A$2:$A$10=A3545)))"),"")</f>
        <v/>
      </c>
    </row>
    <row r="3546">
      <c r="A3546" s="89"/>
      <c r="B3546" s="87"/>
      <c r="C3546" s="73"/>
      <c r="D3546" s="73"/>
      <c r="E3546" s="82"/>
      <c r="F3546" s="82"/>
      <c r="G3546" s="86"/>
      <c r="H3546" s="86"/>
      <c r="I3546" s="86"/>
      <c r="J3546" s="82"/>
      <c r="K3546" s="82"/>
      <c r="L3546" s="82"/>
      <c r="M3546" s="82"/>
      <c r="N3546" s="82"/>
      <c r="O3546" s="82"/>
      <c r="P3546" s="82"/>
      <c r="Q3546" s="82"/>
      <c r="R3546" s="82"/>
      <c r="S3546" s="82"/>
      <c r="T3546" s="82"/>
      <c r="U3546" s="82"/>
      <c r="V3546" s="82"/>
      <c r="W3546" s="82"/>
      <c r="X3546" s="82"/>
      <c r="Y3546" s="82"/>
      <c r="Z3546" s="82"/>
      <c r="AA3546" s="82"/>
      <c r="AB3546" s="82"/>
      <c r="AC3546" s="82"/>
      <c r="AD3546" s="82"/>
      <c r="AE3546" s="82"/>
      <c r="AF3546" s="82"/>
      <c r="AG3546" s="82"/>
      <c r="AH3546" s="82"/>
      <c r="AI3546" s="82"/>
      <c r="AJ3546" s="82"/>
      <c r="AK3546" s="82"/>
      <c r="AL3546" s="82"/>
      <c r="AM3546" s="82"/>
      <c r="AN3546" s="82"/>
      <c r="AO3546" s="82"/>
      <c r="AP3546" s="82"/>
      <c r="AQ3546" s="82"/>
      <c r="AR3546" s="82"/>
      <c r="AS3546" s="82"/>
      <c r="AT3546" s="82"/>
      <c r="AU3546" s="82"/>
      <c r="AV3546" s="82"/>
      <c r="AW3546" s="82" t="str">
        <f t="shared" si="1"/>
        <v/>
      </c>
      <c r="AX3546" s="83" t="str">
        <f t="array" ref="AX3546">IFERROR(DGET('SBV Import'!A:G,"SBV",{"RSC ID","Tier";B3546,A3546}))</f>
        <v/>
      </c>
      <c r="AY3546" s="82" t="str">
        <f t="shared" si="2"/>
        <v/>
      </c>
      <c r="AZ3546" s="82"/>
      <c r="BA3546" s="84" t="s">
        <v>152</v>
      </c>
      <c r="BB3546" s="84" t="str">
        <f>IFERROR(__xludf.DUMMYFUNCTION("iferror(if(A3546="""",,E3546&gt;=FILTER(Constants!$F$2:$F$10,Constants!$A$2:$A$10=A3546)))"),"")</f>
        <v/>
      </c>
    </row>
    <row r="3547">
      <c r="A3547" s="89"/>
      <c r="B3547" s="87"/>
      <c r="C3547" s="73"/>
      <c r="D3547" s="73"/>
      <c r="E3547" s="82"/>
      <c r="F3547" s="82"/>
      <c r="G3547" s="86"/>
      <c r="H3547" s="86"/>
      <c r="I3547" s="86"/>
      <c r="J3547" s="82"/>
      <c r="K3547" s="82"/>
      <c r="L3547" s="82"/>
      <c r="M3547" s="82"/>
      <c r="N3547" s="82"/>
      <c r="O3547" s="82"/>
      <c r="P3547" s="82"/>
      <c r="Q3547" s="82"/>
      <c r="R3547" s="82"/>
      <c r="S3547" s="82"/>
      <c r="T3547" s="82"/>
      <c r="U3547" s="82"/>
      <c r="V3547" s="82"/>
      <c r="W3547" s="82"/>
      <c r="X3547" s="82"/>
      <c r="Y3547" s="82"/>
      <c r="Z3547" s="82"/>
      <c r="AA3547" s="82"/>
      <c r="AB3547" s="82"/>
      <c r="AC3547" s="82"/>
      <c r="AD3547" s="82"/>
      <c r="AE3547" s="82"/>
      <c r="AF3547" s="82"/>
      <c r="AG3547" s="82"/>
      <c r="AH3547" s="82"/>
      <c r="AI3547" s="82"/>
      <c r="AJ3547" s="82"/>
      <c r="AK3547" s="82"/>
      <c r="AL3547" s="82"/>
      <c r="AM3547" s="82"/>
      <c r="AN3547" s="82"/>
      <c r="AO3547" s="82"/>
      <c r="AP3547" s="82"/>
      <c r="AQ3547" s="82"/>
      <c r="AR3547" s="82"/>
      <c r="AS3547" s="82"/>
      <c r="AT3547" s="82"/>
      <c r="AU3547" s="82"/>
      <c r="AV3547" s="82"/>
      <c r="AW3547" s="82" t="str">
        <f t="shared" si="1"/>
        <v/>
      </c>
      <c r="AX3547" s="83" t="str">
        <f t="array" ref="AX3547">IFERROR(DGET('SBV Import'!A:G,"SBV",{"RSC ID","Tier";B3547,A3547}))</f>
        <v/>
      </c>
      <c r="AY3547" s="82" t="str">
        <f t="shared" si="2"/>
        <v/>
      </c>
      <c r="AZ3547" s="82"/>
      <c r="BA3547" s="84" t="s">
        <v>152</v>
      </c>
      <c r="BB3547" s="84" t="str">
        <f>IFERROR(__xludf.DUMMYFUNCTION("iferror(if(A3547="""",,E3547&gt;=FILTER(Constants!$F$2:$F$10,Constants!$A$2:$A$10=A3547)))"),"")</f>
        <v/>
      </c>
    </row>
    <row r="3548">
      <c r="A3548" s="89"/>
      <c r="B3548" s="87"/>
      <c r="C3548" s="73"/>
      <c r="D3548" s="73"/>
      <c r="E3548" s="82"/>
      <c r="F3548" s="82"/>
      <c r="G3548" s="86"/>
      <c r="H3548" s="86"/>
      <c r="I3548" s="86"/>
      <c r="J3548" s="82"/>
      <c r="K3548" s="82"/>
      <c r="L3548" s="82"/>
      <c r="M3548" s="82"/>
      <c r="N3548" s="82"/>
      <c r="O3548" s="82"/>
      <c r="P3548" s="82"/>
      <c r="Q3548" s="82"/>
      <c r="R3548" s="82"/>
      <c r="S3548" s="82"/>
      <c r="T3548" s="82"/>
      <c r="U3548" s="82"/>
      <c r="V3548" s="82"/>
      <c r="W3548" s="82"/>
      <c r="X3548" s="82"/>
      <c r="Y3548" s="82"/>
      <c r="Z3548" s="82"/>
      <c r="AA3548" s="82"/>
      <c r="AB3548" s="82"/>
      <c r="AC3548" s="82"/>
      <c r="AD3548" s="82"/>
      <c r="AE3548" s="82"/>
      <c r="AF3548" s="82"/>
      <c r="AG3548" s="82"/>
      <c r="AH3548" s="82"/>
      <c r="AI3548" s="82"/>
      <c r="AJ3548" s="82"/>
      <c r="AK3548" s="82"/>
      <c r="AL3548" s="82"/>
      <c r="AM3548" s="82"/>
      <c r="AN3548" s="82"/>
      <c r="AO3548" s="82"/>
      <c r="AP3548" s="82"/>
      <c r="AQ3548" s="82"/>
      <c r="AR3548" s="82"/>
      <c r="AS3548" s="82"/>
      <c r="AT3548" s="82"/>
      <c r="AU3548" s="82"/>
      <c r="AV3548" s="82"/>
      <c r="AW3548" s="82" t="str">
        <f t="shared" si="1"/>
        <v/>
      </c>
      <c r="AX3548" s="83" t="str">
        <f t="array" ref="AX3548">IFERROR(DGET('SBV Import'!A:G,"SBV",{"RSC ID","Tier";B3548,A3548}))</f>
        <v/>
      </c>
      <c r="AY3548" s="82" t="str">
        <f t="shared" si="2"/>
        <v/>
      </c>
      <c r="AZ3548" s="82"/>
      <c r="BA3548" s="84" t="s">
        <v>152</v>
      </c>
      <c r="BB3548" s="84" t="str">
        <f>IFERROR(__xludf.DUMMYFUNCTION("iferror(if(A3548="""",,E3548&gt;=FILTER(Constants!$F$2:$F$10,Constants!$A$2:$A$10=A3548)))"),"")</f>
        <v/>
      </c>
    </row>
    <row r="3549">
      <c r="A3549" s="89"/>
      <c r="B3549" s="87"/>
      <c r="C3549" s="73"/>
      <c r="D3549" s="73"/>
      <c r="E3549" s="82"/>
      <c r="F3549" s="82"/>
      <c r="G3549" s="86"/>
      <c r="H3549" s="86"/>
      <c r="I3549" s="86"/>
      <c r="J3549" s="82"/>
      <c r="K3549" s="82"/>
      <c r="L3549" s="82"/>
      <c r="M3549" s="82"/>
      <c r="N3549" s="82"/>
      <c r="O3549" s="82"/>
      <c r="P3549" s="82"/>
      <c r="Q3549" s="82"/>
      <c r="R3549" s="82"/>
      <c r="S3549" s="82"/>
      <c r="T3549" s="82"/>
      <c r="U3549" s="82"/>
      <c r="V3549" s="82"/>
      <c r="W3549" s="82"/>
      <c r="X3549" s="82"/>
      <c r="Y3549" s="82"/>
      <c r="Z3549" s="82"/>
      <c r="AA3549" s="82"/>
      <c r="AB3549" s="82"/>
      <c r="AC3549" s="82"/>
      <c r="AD3549" s="82"/>
      <c r="AE3549" s="82"/>
      <c r="AF3549" s="82"/>
      <c r="AG3549" s="82"/>
      <c r="AH3549" s="82"/>
      <c r="AI3549" s="82"/>
      <c r="AJ3549" s="82"/>
      <c r="AK3549" s="82"/>
      <c r="AL3549" s="82"/>
      <c r="AM3549" s="82"/>
      <c r="AN3549" s="82"/>
      <c r="AO3549" s="82"/>
      <c r="AP3549" s="82"/>
      <c r="AQ3549" s="82"/>
      <c r="AR3549" s="82"/>
      <c r="AS3549" s="82"/>
      <c r="AT3549" s="82"/>
      <c r="AU3549" s="82"/>
      <c r="AV3549" s="82"/>
      <c r="AW3549" s="82" t="str">
        <f t="shared" si="1"/>
        <v/>
      </c>
      <c r="AX3549" s="83" t="str">
        <f t="array" ref="AX3549">IFERROR(DGET('SBV Import'!A:G,"SBV",{"RSC ID","Tier";B3549,A3549}))</f>
        <v/>
      </c>
      <c r="AY3549" s="82" t="str">
        <f t="shared" si="2"/>
        <v/>
      </c>
      <c r="AZ3549" s="82"/>
      <c r="BA3549" s="84" t="s">
        <v>152</v>
      </c>
      <c r="BB3549" s="84" t="str">
        <f>IFERROR(__xludf.DUMMYFUNCTION("iferror(if(A3549="""",,E3549&gt;=FILTER(Constants!$F$2:$F$10,Constants!$A$2:$A$10=A3549)))"),"")</f>
        <v/>
      </c>
    </row>
    <row r="3550">
      <c r="A3550" s="89"/>
      <c r="B3550" s="87"/>
      <c r="C3550" s="73"/>
      <c r="D3550" s="73"/>
      <c r="E3550" s="82"/>
      <c r="F3550" s="82"/>
      <c r="G3550" s="86"/>
      <c r="H3550" s="86"/>
      <c r="I3550" s="86"/>
      <c r="J3550" s="82"/>
      <c r="K3550" s="82"/>
      <c r="L3550" s="82"/>
      <c r="M3550" s="82"/>
      <c r="N3550" s="82"/>
      <c r="O3550" s="82"/>
      <c r="P3550" s="82"/>
      <c r="Q3550" s="82"/>
      <c r="R3550" s="82"/>
      <c r="S3550" s="82"/>
      <c r="T3550" s="82"/>
      <c r="U3550" s="82"/>
      <c r="V3550" s="82"/>
      <c r="W3550" s="82"/>
      <c r="X3550" s="82"/>
      <c r="Y3550" s="82"/>
      <c r="Z3550" s="82"/>
      <c r="AA3550" s="82"/>
      <c r="AB3550" s="82"/>
      <c r="AC3550" s="82"/>
      <c r="AD3550" s="82"/>
      <c r="AE3550" s="82"/>
      <c r="AF3550" s="82"/>
      <c r="AG3550" s="82"/>
      <c r="AH3550" s="82"/>
      <c r="AI3550" s="82"/>
      <c r="AJ3550" s="82"/>
      <c r="AK3550" s="82"/>
      <c r="AL3550" s="82"/>
      <c r="AM3550" s="82"/>
      <c r="AN3550" s="82"/>
      <c r="AO3550" s="82"/>
      <c r="AP3550" s="82"/>
      <c r="AQ3550" s="82"/>
      <c r="AR3550" s="82"/>
      <c r="AS3550" s="82"/>
      <c r="AT3550" s="82"/>
      <c r="AU3550" s="82"/>
      <c r="AV3550" s="82"/>
      <c r="AW3550" s="82" t="str">
        <f t="shared" si="1"/>
        <v/>
      </c>
      <c r="AX3550" s="83" t="str">
        <f t="array" ref="AX3550">IFERROR(DGET('SBV Import'!A:G,"SBV",{"RSC ID","Tier";B3550,A3550}))</f>
        <v/>
      </c>
      <c r="AY3550" s="82" t="str">
        <f t="shared" si="2"/>
        <v/>
      </c>
      <c r="AZ3550" s="82"/>
      <c r="BA3550" s="84" t="s">
        <v>152</v>
      </c>
      <c r="BB3550" s="84" t="str">
        <f>IFERROR(__xludf.DUMMYFUNCTION("iferror(if(A3550="""",,E3550&gt;=FILTER(Constants!$F$2:$F$10,Constants!$A$2:$A$10=A3550)))"),"")</f>
        <v/>
      </c>
    </row>
    <row r="3551">
      <c r="A3551" s="89"/>
      <c r="B3551" s="87"/>
      <c r="C3551" s="73"/>
      <c r="D3551" s="73"/>
      <c r="E3551" s="82"/>
      <c r="F3551" s="82"/>
      <c r="G3551" s="86"/>
      <c r="H3551" s="86"/>
      <c r="I3551" s="86"/>
      <c r="J3551" s="82"/>
      <c r="K3551" s="82"/>
      <c r="L3551" s="82"/>
      <c r="M3551" s="82"/>
      <c r="N3551" s="82"/>
      <c r="O3551" s="82"/>
      <c r="P3551" s="82"/>
      <c r="Q3551" s="82"/>
      <c r="R3551" s="82"/>
      <c r="S3551" s="82"/>
      <c r="T3551" s="82"/>
      <c r="U3551" s="82"/>
      <c r="V3551" s="82"/>
      <c r="W3551" s="82"/>
      <c r="X3551" s="82"/>
      <c r="Y3551" s="82"/>
      <c r="Z3551" s="82"/>
      <c r="AA3551" s="82"/>
      <c r="AB3551" s="82"/>
      <c r="AC3551" s="82"/>
      <c r="AD3551" s="82"/>
      <c r="AE3551" s="82"/>
      <c r="AF3551" s="82"/>
      <c r="AG3551" s="82"/>
      <c r="AH3551" s="82"/>
      <c r="AI3551" s="82"/>
      <c r="AJ3551" s="82"/>
      <c r="AK3551" s="82"/>
      <c r="AL3551" s="82"/>
      <c r="AM3551" s="82"/>
      <c r="AN3551" s="82"/>
      <c r="AO3551" s="82"/>
      <c r="AP3551" s="82"/>
      <c r="AQ3551" s="82"/>
      <c r="AR3551" s="82"/>
      <c r="AS3551" s="82"/>
      <c r="AT3551" s="82"/>
      <c r="AU3551" s="82"/>
      <c r="AV3551" s="82"/>
      <c r="AW3551" s="82" t="str">
        <f t="shared" si="1"/>
        <v/>
      </c>
      <c r="AX3551" s="83" t="str">
        <f t="array" ref="AX3551">IFERROR(DGET('SBV Import'!A:G,"SBV",{"RSC ID","Tier";B3551,A3551}))</f>
        <v/>
      </c>
      <c r="AY3551" s="82" t="str">
        <f t="shared" si="2"/>
        <v/>
      </c>
      <c r="AZ3551" s="82"/>
      <c r="BA3551" s="84" t="s">
        <v>152</v>
      </c>
      <c r="BB3551" s="84" t="str">
        <f>IFERROR(__xludf.DUMMYFUNCTION("iferror(if(A3551="""",,E3551&gt;=FILTER(Constants!$F$2:$F$10,Constants!$A$2:$A$10=A3551)))"),"")</f>
        <v/>
      </c>
    </row>
    <row r="3552">
      <c r="A3552" s="89"/>
      <c r="B3552" s="87"/>
      <c r="C3552" s="73"/>
      <c r="D3552" s="73"/>
      <c r="E3552" s="82"/>
      <c r="F3552" s="82"/>
      <c r="G3552" s="86"/>
      <c r="H3552" s="86"/>
      <c r="I3552" s="86"/>
      <c r="J3552" s="82"/>
      <c r="K3552" s="82"/>
      <c r="L3552" s="82"/>
      <c r="M3552" s="82"/>
      <c r="N3552" s="82"/>
      <c r="O3552" s="82"/>
      <c r="P3552" s="82"/>
      <c r="Q3552" s="82"/>
      <c r="R3552" s="82"/>
      <c r="S3552" s="82"/>
      <c r="T3552" s="82"/>
      <c r="U3552" s="82"/>
      <c r="V3552" s="82"/>
      <c r="W3552" s="82"/>
      <c r="X3552" s="82"/>
      <c r="Y3552" s="82"/>
      <c r="Z3552" s="82"/>
      <c r="AA3552" s="82"/>
      <c r="AB3552" s="82"/>
      <c r="AC3552" s="82"/>
      <c r="AD3552" s="82"/>
      <c r="AE3552" s="82"/>
      <c r="AF3552" s="82"/>
      <c r="AG3552" s="82"/>
      <c r="AH3552" s="82"/>
      <c r="AI3552" s="82"/>
      <c r="AJ3552" s="82"/>
      <c r="AK3552" s="82"/>
      <c r="AL3552" s="82"/>
      <c r="AM3552" s="82"/>
      <c r="AN3552" s="82"/>
      <c r="AO3552" s="82"/>
      <c r="AP3552" s="82"/>
      <c r="AQ3552" s="82"/>
      <c r="AR3552" s="82"/>
      <c r="AS3552" s="82"/>
      <c r="AT3552" s="82"/>
      <c r="AU3552" s="82"/>
      <c r="AV3552" s="82"/>
      <c r="AW3552" s="82" t="str">
        <f t="shared" si="1"/>
        <v/>
      </c>
      <c r="AX3552" s="83" t="str">
        <f t="array" ref="AX3552">IFERROR(DGET('SBV Import'!A:G,"SBV",{"RSC ID","Tier";B3552,A3552}))</f>
        <v/>
      </c>
      <c r="AY3552" s="82" t="str">
        <f t="shared" si="2"/>
        <v/>
      </c>
      <c r="AZ3552" s="82"/>
      <c r="BA3552" s="84" t="s">
        <v>152</v>
      </c>
      <c r="BB3552" s="84" t="str">
        <f>IFERROR(__xludf.DUMMYFUNCTION("iferror(if(A3552="""",,E3552&gt;=FILTER(Constants!$F$2:$F$10,Constants!$A$2:$A$10=A3552)))"),"")</f>
        <v/>
      </c>
    </row>
    <row r="3553">
      <c r="A3553" s="89"/>
      <c r="B3553" s="87"/>
      <c r="C3553" s="73"/>
      <c r="D3553" s="73"/>
      <c r="E3553" s="82"/>
      <c r="F3553" s="82"/>
      <c r="G3553" s="86"/>
      <c r="H3553" s="86"/>
      <c r="I3553" s="86"/>
      <c r="J3553" s="82"/>
      <c r="K3553" s="82"/>
      <c r="L3553" s="82"/>
      <c r="M3553" s="82"/>
      <c r="N3553" s="82"/>
      <c r="O3553" s="82"/>
      <c r="P3553" s="82"/>
      <c r="Q3553" s="82"/>
      <c r="R3553" s="82"/>
      <c r="S3553" s="82"/>
      <c r="T3553" s="82"/>
      <c r="U3553" s="82"/>
      <c r="V3553" s="82"/>
      <c r="W3553" s="82"/>
      <c r="X3553" s="82"/>
      <c r="Y3553" s="82"/>
      <c r="Z3553" s="82"/>
      <c r="AA3553" s="82"/>
      <c r="AB3553" s="82"/>
      <c r="AC3553" s="82"/>
      <c r="AD3553" s="82"/>
      <c r="AE3553" s="82"/>
      <c r="AF3553" s="82"/>
      <c r="AG3553" s="82"/>
      <c r="AH3553" s="82"/>
      <c r="AI3553" s="82"/>
      <c r="AJ3553" s="82"/>
      <c r="AK3553" s="82"/>
      <c r="AL3553" s="82"/>
      <c r="AM3553" s="82"/>
      <c r="AN3553" s="82"/>
      <c r="AO3553" s="82"/>
      <c r="AP3553" s="82"/>
      <c r="AQ3553" s="82"/>
      <c r="AR3553" s="82"/>
      <c r="AS3553" s="82"/>
      <c r="AT3553" s="82"/>
      <c r="AU3553" s="82"/>
      <c r="AV3553" s="82"/>
      <c r="AW3553" s="82" t="str">
        <f t="shared" si="1"/>
        <v/>
      </c>
      <c r="AX3553" s="83" t="str">
        <f t="array" ref="AX3553">IFERROR(DGET('SBV Import'!A:G,"SBV",{"RSC ID","Tier";B3553,A3553}))</f>
        <v/>
      </c>
      <c r="AY3553" s="82" t="str">
        <f t="shared" si="2"/>
        <v/>
      </c>
      <c r="AZ3553" s="82"/>
      <c r="BA3553" s="84" t="s">
        <v>152</v>
      </c>
      <c r="BB3553" s="84" t="str">
        <f>IFERROR(__xludf.DUMMYFUNCTION("iferror(if(A3553="""",,E3553&gt;=FILTER(Constants!$F$2:$F$10,Constants!$A$2:$A$10=A3553)))"),"")</f>
        <v/>
      </c>
    </row>
    <row r="3554">
      <c r="A3554" s="89"/>
      <c r="B3554" s="87"/>
      <c r="C3554" s="73"/>
      <c r="D3554" s="73"/>
      <c r="E3554" s="82"/>
      <c r="F3554" s="82"/>
      <c r="G3554" s="86"/>
      <c r="H3554" s="86"/>
      <c r="I3554" s="86"/>
      <c r="J3554" s="82"/>
      <c r="K3554" s="82"/>
      <c r="L3554" s="82"/>
      <c r="M3554" s="82"/>
      <c r="N3554" s="82"/>
      <c r="O3554" s="82"/>
      <c r="P3554" s="82"/>
      <c r="Q3554" s="82"/>
      <c r="R3554" s="82"/>
      <c r="S3554" s="82"/>
      <c r="T3554" s="82"/>
      <c r="U3554" s="82"/>
      <c r="V3554" s="82"/>
      <c r="W3554" s="82"/>
      <c r="X3554" s="82"/>
      <c r="Y3554" s="82"/>
      <c r="Z3554" s="82"/>
      <c r="AA3554" s="82"/>
      <c r="AB3554" s="82"/>
      <c r="AC3554" s="82"/>
      <c r="AD3554" s="82"/>
      <c r="AE3554" s="82"/>
      <c r="AF3554" s="82"/>
      <c r="AG3554" s="82"/>
      <c r="AH3554" s="82"/>
      <c r="AI3554" s="82"/>
      <c r="AJ3554" s="82"/>
      <c r="AK3554" s="82"/>
      <c r="AL3554" s="82"/>
      <c r="AM3554" s="82"/>
      <c r="AN3554" s="82"/>
      <c r="AO3554" s="82"/>
      <c r="AP3554" s="82"/>
      <c r="AQ3554" s="82"/>
      <c r="AR3554" s="82"/>
      <c r="AS3554" s="82"/>
      <c r="AT3554" s="82"/>
      <c r="AU3554" s="82"/>
      <c r="AV3554" s="82"/>
      <c r="AW3554" s="82" t="str">
        <f t="shared" si="1"/>
        <v/>
      </c>
      <c r="AX3554" s="83" t="str">
        <f t="array" ref="AX3554">IFERROR(DGET('SBV Import'!A:G,"SBV",{"RSC ID","Tier";B3554,A3554}))</f>
        <v/>
      </c>
      <c r="AY3554" s="82" t="str">
        <f t="shared" si="2"/>
        <v/>
      </c>
      <c r="AZ3554" s="82"/>
      <c r="BA3554" s="84" t="s">
        <v>152</v>
      </c>
      <c r="BB3554" s="84" t="str">
        <f>IFERROR(__xludf.DUMMYFUNCTION("iferror(if(A3554="""",,E3554&gt;=FILTER(Constants!$F$2:$F$10,Constants!$A$2:$A$10=A3554)))"),"")</f>
        <v/>
      </c>
    </row>
    <row r="3555">
      <c r="A3555" s="89"/>
      <c r="B3555" s="87"/>
      <c r="C3555" s="73"/>
      <c r="D3555" s="73"/>
      <c r="E3555" s="82"/>
      <c r="F3555" s="82"/>
      <c r="G3555" s="86"/>
      <c r="H3555" s="86"/>
      <c r="I3555" s="86"/>
      <c r="J3555" s="82"/>
      <c r="K3555" s="82"/>
      <c r="L3555" s="82"/>
      <c r="M3555" s="82"/>
      <c r="N3555" s="82"/>
      <c r="O3555" s="82"/>
      <c r="P3555" s="82"/>
      <c r="Q3555" s="82"/>
      <c r="R3555" s="82"/>
      <c r="S3555" s="82"/>
      <c r="T3555" s="82"/>
      <c r="U3555" s="82"/>
      <c r="V3555" s="82"/>
      <c r="W3555" s="82"/>
      <c r="X3555" s="82"/>
      <c r="Y3555" s="82"/>
      <c r="Z3555" s="82"/>
      <c r="AA3555" s="82"/>
      <c r="AB3555" s="82"/>
      <c r="AC3555" s="82"/>
      <c r="AD3555" s="82"/>
      <c r="AE3555" s="82"/>
      <c r="AF3555" s="82"/>
      <c r="AG3555" s="82"/>
      <c r="AH3555" s="82"/>
      <c r="AI3555" s="82"/>
      <c r="AJ3555" s="82"/>
      <c r="AK3555" s="82"/>
      <c r="AL3555" s="82"/>
      <c r="AM3555" s="82"/>
      <c r="AN3555" s="82"/>
      <c r="AO3555" s="82"/>
      <c r="AP3555" s="82"/>
      <c r="AQ3555" s="82"/>
      <c r="AR3555" s="82"/>
      <c r="AS3555" s="82"/>
      <c r="AT3555" s="82"/>
      <c r="AU3555" s="82"/>
      <c r="AV3555" s="82"/>
      <c r="AW3555" s="82" t="str">
        <f t="shared" si="1"/>
        <v/>
      </c>
      <c r="AX3555" s="83" t="str">
        <f t="array" ref="AX3555">IFERROR(DGET('SBV Import'!A:G,"SBV",{"RSC ID","Tier";B3555,A3555}))</f>
        <v/>
      </c>
      <c r="AY3555" s="82" t="str">
        <f t="shared" si="2"/>
        <v/>
      </c>
      <c r="AZ3555" s="82"/>
      <c r="BA3555" s="84" t="s">
        <v>152</v>
      </c>
      <c r="BB3555" s="84" t="str">
        <f>IFERROR(__xludf.DUMMYFUNCTION("iferror(if(A3555="""",,E3555&gt;=FILTER(Constants!$F$2:$F$10,Constants!$A$2:$A$10=A3555)))"),"")</f>
        <v/>
      </c>
    </row>
    <row r="3556">
      <c r="A3556" s="89"/>
      <c r="B3556" s="87"/>
      <c r="C3556" s="73"/>
      <c r="D3556" s="73"/>
      <c r="E3556" s="82"/>
      <c r="F3556" s="82"/>
      <c r="G3556" s="86"/>
      <c r="H3556" s="86"/>
      <c r="I3556" s="86"/>
      <c r="J3556" s="82"/>
      <c r="K3556" s="82"/>
      <c r="L3556" s="82"/>
      <c r="M3556" s="82"/>
      <c r="N3556" s="82"/>
      <c r="O3556" s="82"/>
      <c r="P3556" s="82"/>
      <c r="Q3556" s="82"/>
      <c r="R3556" s="82"/>
      <c r="S3556" s="82"/>
      <c r="T3556" s="82"/>
      <c r="U3556" s="82"/>
      <c r="V3556" s="82"/>
      <c r="W3556" s="82"/>
      <c r="X3556" s="82"/>
      <c r="Y3556" s="82"/>
      <c r="Z3556" s="82"/>
      <c r="AA3556" s="82"/>
      <c r="AB3556" s="82"/>
      <c r="AC3556" s="82"/>
      <c r="AD3556" s="82"/>
      <c r="AE3556" s="82"/>
      <c r="AF3556" s="82"/>
      <c r="AG3556" s="82"/>
      <c r="AH3556" s="82"/>
      <c r="AI3556" s="82"/>
      <c r="AJ3556" s="82"/>
      <c r="AK3556" s="82"/>
      <c r="AL3556" s="82"/>
      <c r="AM3556" s="82"/>
      <c r="AN3556" s="82"/>
      <c r="AO3556" s="82"/>
      <c r="AP3556" s="82"/>
      <c r="AQ3556" s="82"/>
      <c r="AR3556" s="82"/>
      <c r="AS3556" s="82"/>
      <c r="AT3556" s="82"/>
      <c r="AU3556" s="82"/>
      <c r="AV3556" s="82"/>
      <c r="AW3556" s="82" t="str">
        <f t="shared" si="1"/>
        <v/>
      </c>
      <c r="AX3556" s="83" t="str">
        <f t="array" ref="AX3556">IFERROR(DGET('SBV Import'!A:G,"SBV",{"RSC ID","Tier";B3556,A3556}))</f>
        <v/>
      </c>
      <c r="AY3556" s="82" t="str">
        <f t="shared" si="2"/>
        <v/>
      </c>
      <c r="AZ3556" s="82"/>
      <c r="BA3556" s="84" t="s">
        <v>152</v>
      </c>
      <c r="BB3556" s="84" t="str">
        <f>IFERROR(__xludf.DUMMYFUNCTION("iferror(if(A3556="""",,E3556&gt;=FILTER(Constants!$F$2:$F$10,Constants!$A$2:$A$10=A3556)))"),"")</f>
        <v/>
      </c>
    </row>
    <row r="3557">
      <c r="A3557" s="89"/>
      <c r="B3557" s="87"/>
      <c r="C3557" s="73"/>
      <c r="D3557" s="73"/>
      <c r="E3557" s="82"/>
      <c r="F3557" s="82"/>
      <c r="G3557" s="86"/>
      <c r="H3557" s="86"/>
      <c r="I3557" s="86"/>
      <c r="J3557" s="82"/>
      <c r="K3557" s="82"/>
      <c r="L3557" s="82"/>
      <c r="M3557" s="82"/>
      <c r="N3557" s="82"/>
      <c r="O3557" s="82"/>
      <c r="P3557" s="82"/>
      <c r="Q3557" s="82"/>
      <c r="R3557" s="82"/>
      <c r="S3557" s="82"/>
      <c r="T3557" s="82"/>
      <c r="U3557" s="82"/>
      <c r="V3557" s="82"/>
      <c r="W3557" s="82"/>
      <c r="X3557" s="82"/>
      <c r="Y3557" s="82"/>
      <c r="Z3557" s="82"/>
      <c r="AA3557" s="82"/>
      <c r="AB3557" s="82"/>
      <c r="AC3557" s="82"/>
      <c r="AD3557" s="82"/>
      <c r="AE3557" s="82"/>
      <c r="AF3557" s="82"/>
      <c r="AG3557" s="82"/>
      <c r="AH3557" s="82"/>
      <c r="AI3557" s="82"/>
      <c r="AJ3557" s="82"/>
      <c r="AK3557" s="82"/>
      <c r="AL3557" s="82"/>
      <c r="AM3557" s="82"/>
      <c r="AN3557" s="82"/>
      <c r="AO3557" s="82"/>
      <c r="AP3557" s="82"/>
      <c r="AQ3557" s="82"/>
      <c r="AR3557" s="82"/>
      <c r="AS3557" s="82"/>
      <c r="AT3557" s="82"/>
      <c r="AU3557" s="82"/>
      <c r="AV3557" s="82"/>
      <c r="AW3557" s="82" t="str">
        <f t="shared" si="1"/>
        <v/>
      </c>
      <c r="AX3557" s="83" t="str">
        <f t="array" ref="AX3557">IFERROR(DGET('SBV Import'!A:G,"SBV",{"RSC ID","Tier";B3557,A3557}))</f>
        <v/>
      </c>
      <c r="AY3557" s="82" t="str">
        <f t="shared" si="2"/>
        <v/>
      </c>
      <c r="AZ3557" s="82"/>
      <c r="BA3557" s="84" t="s">
        <v>152</v>
      </c>
      <c r="BB3557" s="84" t="str">
        <f>IFERROR(__xludf.DUMMYFUNCTION("iferror(if(A3557="""",,E3557&gt;=FILTER(Constants!$F$2:$F$10,Constants!$A$2:$A$10=A3557)))"),"")</f>
        <v/>
      </c>
    </row>
    <row r="3558">
      <c r="A3558" s="89"/>
      <c r="B3558" s="87"/>
      <c r="C3558" s="73"/>
      <c r="D3558" s="73"/>
      <c r="E3558" s="82"/>
      <c r="F3558" s="82"/>
      <c r="G3558" s="86"/>
      <c r="H3558" s="86"/>
      <c r="I3558" s="86"/>
      <c r="J3558" s="82"/>
      <c r="K3558" s="82"/>
      <c r="L3558" s="82"/>
      <c r="M3558" s="82"/>
      <c r="N3558" s="82"/>
      <c r="O3558" s="82"/>
      <c r="P3558" s="82"/>
      <c r="Q3558" s="82"/>
      <c r="R3558" s="82"/>
      <c r="S3558" s="82"/>
      <c r="T3558" s="82"/>
      <c r="U3558" s="82"/>
      <c r="V3558" s="82"/>
      <c r="W3558" s="82"/>
      <c r="X3558" s="82"/>
      <c r="Y3558" s="82"/>
      <c r="Z3558" s="82"/>
      <c r="AA3558" s="82"/>
      <c r="AB3558" s="82"/>
      <c r="AC3558" s="82"/>
      <c r="AD3558" s="82"/>
      <c r="AE3558" s="82"/>
      <c r="AF3558" s="82"/>
      <c r="AG3558" s="82"/>
      <c r="AH3558" s="82"/>
      <c r="AI3558" s="82"/>
      <c r="AJ3558" s="82"/>
      <c r="AK3558" s="82"/>
      <c r="AL3558" s="82"/>
      <c r="AM3558" s="82"/>
      <c r="AN3558" s="82"/>
      <c r="AO3558" s="82"/>
      <c r="AP3558" s="82"/>
      <c r="AQ3558" s="82"/>
      <c r="AR3558" s="82"/>
      <c r="AS3558" s="82"/>
      <c r="AT3558" s="82"/>
      <c r="AU3558" s="82"/>
      <c r="AV3558" s="82"/>
      <c r="AW3558" s="82" t="str">
        <f t="shared" si="1"/>
        <v/>
      </c>
      <c r="AX3558" s="83" t="str">
        <f t="array" ref="AX3558">IFERROR(DGET('SBV Import'!A:G,"SBV",{"RSC ID","Tier";B3558,A3558}))</f>
        <v/>
      </c>
      <c r="AY3558" s="82" t="str">
        <f t="shared" si="2"/>
        <v/>
      </c>
      <c r="AZ3558" s="82"/>
      <c r="BA3558" s="84" t="s">
        <v>152</v>
      </c>
      <c r="BB3558" s="84" t="str">
        <f>IFERROR(__xludf.DUMMYFUNCTION("iferror(if(A3558="""",,E3558&gt;=FILTER(Constants!$F$2:$F$10,Constants!$A$2:$A$10=A3558)))"),"")</f>
        <v/>
      </c>
    </row>
    <row r="3559">
      <c r="A3559" s="89"/>
      <c r="B3559" s="87"/>
      <c r="C3559" s="73"/>
      <c r="D3559" s="73"/>
      <c r="E3559" s="82"/>
      <c r="F3559" s="82"/>
      <c r="G3559" s="86"/>
      <c r="H3559" s="86"/>
      <c r="I3559" s="86"/>
      <c r="J3559" s="82"/>
      <c r="K3559" s="82"/>
      <c r="L3559" s="82"/>
      <c r="M3559" s="82"/>
      <c r="N3559" s="82"/>
      <c r="O3559" s="82"/>
      <c r="P3559" s="82"/>
      <c r="Q3559" s="82"/>
      <c r="R3559" s="82"/>
      <c r="S3559" s="82"/>
      <c r="T3559" s="82"/>
      <c r="U3559" s="82"/>
      <c r="V3559" s="82"/>
      <c r="W3559" s="82"/>
      <c r="X3559" s="82"/>
      <c r="Y3559" s="82"/>
      <c r="Z3559" s="82"/>
      <c r="AA3559" s="82"/>
      <c r="AB3559" s="82"/>
      <c r="AC3559" s="82"/>
      <c r="AD3559" s="82"/>
      <c r="AE3559" s="82"/>
      <c r="AF3559" s="82"/>
      <c r="AG3559" s="82"/>
      <c r="AH3559" s="82"/>
      <c r="AI3559" s="82"/>
      <c r="AJ3559" s="82"/>
      <c r="AK3559" s="82"/>
      <c r="AL3559" s="82"/>
      <c r="AM3559" s="82"/>
      <c r="AN3559" s="82"/>
      <c r="AO3559" s="82"/>
      <c r="AP3559" s="82"/>
      <c r="AQ3559" s="82"/>
      <c r="AR3559" s="82"/>
      <c r="AS3559" s="82"/>
      <c r="AT3559" s="82"/>
      <c r="AU3559" s="82"/>
      <c r="AV3559" s="82"/>
      <c r="AW3559" s="82" t="str">
        <f t="shared" si="1"/>
        <v/>
      </c>
      <c r="AX3559" s="83" t="str">
        <f t="array" ref="AX3559">IFERROR(DGET('SBV Import'!A:G,"SBV",{"RSC ID","Tier";B3559,A3559}))</f>
        <v/>
      </c>
      <c r="AY3559" s="82" t="str">
        <f t="shared" si="2"/>
        <v/>
      </c>
      <c r="AZ3559" s="82"/>
      <c r="BA3559" s="84" t="s">
        <v>152</v>
      </c>
      <c r="BB3559" s="84" t="str">
        <f>IFERROR(__xludf.DUMMYFUNCTION("iferror(if(A3559="""",,E3559&gt;=FILTER(Constants!$F$2:$F$10,Constants!$A$2:$A$10=A3559)))"),"")</f>
        <v/>
      </c>
    </row>
    <row r="3560">
      <c r="A3560" s="89"/>
      <c r="B3560" s="87"/>
      <c r="C3560" s="73"/>
      <c r="D3560" s="73"/>
      <c r="E3560" s="82"/>
      <c r="F3560" s="82"/>
      <c r="G3560" s="86"/>
      <c r="H3560" s="86"/>
      <c r="I3560" s="86"/>
      <c r="J3560" s="82"/>
      <c r="K3560" s="82"/>
      <c r="L3560" s="82"/>
      <c r="M3560" s="82"/>
      <c r="N3560" s="82"/>
      <c r="O3560" s="82"/>
      <c r="P3560" s="82"/>
      <c r="Q3560" s="82"/>
      <c r="R3560" s="82"/>
      <c r="S3560" s="82"/>
      <c r="T3560" s="82"/>
      <c r="U3560" s="82"/>
      <c r="V3560" s="82"/>
      <c r="W3560" s="82"/>
      <c r="X3560" s="82"/>
      <c r="Y3560" s="82"/>
      <c r="Z3560" s="82"/>
      <c r="AA3560" s="82"/>
      <c r="AB3560" s="82"/>
      <c r="AC3560" s="82"/>
      <c r="AD3560" s="82"/>
      <c r="AE3560" s="82"/>
      <c r="AF3560" s="82"/>
      <c r="AG3560" s="82"/>
      <c r="AH3560" s="82"/>
      <c r="AI3560" s="82"/>
      <c r="AJ3560" s="82"/>
      <c r="AK3560" s="82"/>
      <c r="AL3560" s="82"/>
      <c r="AM3560" s="82"/>
      <c r="AN3560" s="82"/>
      <c r="AO3560" s="82"/>
      <c r="AP3560" s="82"/>
      <c r="AQ3560" s="82"/>
      <c r="AR3560" s="82"/>
      <c r="AS3560" s="82"/>
      <c r="AT3560" s="82"/>
      <c r="AU3560" s="82"/>
      <c r="AV3560" s="82"/>
      <c r="AW3560" s="82" t="str">
        <f t="shared" si="1"/>
        <v/>
      </c>
      <c r="AX3560" s="83" t="str">
        <f t="array" ref="AX3560">IFERROR(DGET('SBV Import'!A:G,"SBV",{"RSC ID","Tier";B3560,A3560}))</f>
        <v/>
      </c>
      <c r="AY3560" s="82" t="str">
        <f t="shared" si="2"/>
        <v/>
      </c>
      <c r="AZ3560" s="82"/>
      <c r="BA3560" s="84" t="s">
        <v>152</v>
      </c>
      <c r="BB3560" s="84" t="str">
        <f>IFERROR(__xludf.DUMMYFUNCTION("iferror(if(A3560="""",,E3560&gt;=FILTER(Constants!$F$2:$F$10,Constants!$A$2:$A$10=A3560)))"),"")</f>
        <v/>
      </c>
    </row>
    <row r="3561">
      <c r="A3561" s="89"/>
      <c r="B3561" s="87"/>
      <c r="C3561" s="73"/>
      <c r="D3561" s="73"/>
      <c r="E3561" s="82"/>
      <c r="F3561" s="82"/>
      <c r="G3561" s="86"/>
      <c r="H3561" s="86"/>
      <c r="I3561" s="86"/>
      <c r="J3561" s="82"/>
      <c r="K3561" s="82"/>
      <c r="L3561" s="82"/>
      <c r="M3561" s="82"/>
      <c r="N3561" s="82"/>
      <c r="O3561" s="82"/>
      <c r="P3561" s="82"/>
      <c r="Q3561" s="82"/>
      <c r="R3561" s="82"/>
      <c r="S3561" s="82"/>
      <c r="T3561" s="82"/>
      <c r="U3561" s="82"/>
      <c r="V3561" s="82"/>
      <c r="W3561" s="82"/>
      <c r="X3561" s="82"/>
      <c r="Y3561" s="82"/>
      <c r="Z3561" s="82"/>
      <c r="AA3561" s="82"/>
      <c r="AB3561" s="82"/>
      <c r="AC3561" s="82"/>
      <c r="AD3561" s="82"/>
      <c r="AE3561" s="82"/>
      <c r="AF3561" s="82"/>
      <c r="AG3561" s="82"/>
      <c r="AH3561" s="82"/>
      <c r="AI3561" s="82"/>
      <c r="AJ3561" s="82"/>
      <c r="AK3561" s="82"/>
      <c r="AL3561" s="82"/>
      <c r="AM3561" s="82"/>
      <c r="AN3561" s="82"/>
      <c r="AO3561" s="82"/>
      <c r="AP3561" s="82"/>
      <c r="AQ3561" s="82"/>
      <c r="AR3561" s="82"/>
      <c r="AS3561" s="82"/>
      <c r="AT3561" s="82"/>
      <c r="AU3561" s="82"/>
      <c r="AV3561" s="82"/>
      <c r="AW3561" s="82" t="str">
        <f t="shared" si="1"/>
        <v/>
      </c>
      <c r="AX3561" s="83" t="str">
        <f t="array" ref="AX3561">IFERROR(DGET('SBV Import'!A:G,"SBV",{"RSC ID","Tier";B3561,A3561}))</f>
        <v/>
      </c>
      <c r="AY3561" s="82" t="str">
        <f t="shared" si="2"/>
        <v/>
      </c>
      <c r="AZ3561" s="82"/>
      <c r="BA3561" s="84" t="s">
        <v>152</v>
      </c>
      <c r="BB3561" s="84" t="str">
        <f>IFERROR(__xludf.DUMMYFUNCTION("iferror(if(A3561="""",,E3561&gt;=FILTER(Constants!$F$2:$F$10,Constants!$A$2:$A$10=A3561)))"),"")</f>
        <v/>
      </c>
    </row>
    <row r="3562">
      <c r="A3562" s="89"/>
      <c r="B3562" s="87"/>
      <c r="C3562" s="73"/>
      <c r="D3562" s="73"/>
      <c r="E3562" s="82"/>
      <c r="F3562" s="82"/>
      <c r="G3562" s="86"/>
      <c r="H3562" s="86"/>
      <c r="I3562" s="86"/>
      <c r="J3562" s="82"/>
      <c r="K3562" s="82"/>
      <c r="L3562" s="82"/>
      <c r="M3562" s="82"/>
      <c r="N3562" s="82"/>
      <c r="O3562" s="82"/>
      <c r="P3562" s="82"/>
      <c r="Q3562" s="82"/>
      <c r="R3562" s="82"/>
      <c r="S3562" s="82"/>
      <c r="T3562" s="82"/>
      <c r="U3562" s="82"/>
      <c r="V3562" s="82"/>
      <c r="W3562" s="82"/>
      <c r="X3562" s="82"/>
      <c r="Y3562" s="82"/>
      <c r="Z3562" s="82"/>
      <c r="AA3562" s="82"/>
      <c r="AB3562" s="82"/>
      <c r="AC3562" s="82"/>
      <c r="AD3562" s="82"/>
      <c r="AE3562" s="82"/>
      <c r="AF3562" s="82"/>
      <c r="AG3562" s="82"/>
      <c r="AH3562" s="82"/>
      <c r="AI3562" s="82"/>
      <c r="AJ3562" s="82"/>
      <c r="AK3562" s="82"/>
      <c r="AL3562" s="82"/>
      <c r="AM3562" s="82"/>
      <c r="AN3562" s="82"/>
      <c r="AO3562" s="82"/>
      <c r="AP3562" s="82"/>
      <c r="AQ3562" s="82"/>
      <c r="AR3562" s="82"/>
      <c r="AS3562" s="82"/>
      <c r="AT3562" s="82"/>
      <c r="AU3562" s="82"/>
      <c r="AV3562" s="82"/>
      <c r="AW3562" s="82" t="str">
        <f t="shared" si="1"/>
        <v/>
      </c>
      <c r="AX3562" s="83" t="str">
        <f t="array" ref="AX3562">IFERROR(DGET('SBV Import'!A:G,"SBV",{"RSC ID","Tier";B3562,A3562}))</f>
        <v/>
      </c>
      <c r="AY3562" s="82" t="str">
        <f t="shared" si="2"/>
        <v/>
      </c>
      <c r="AZ3562" s="82"/>
      <c r="BA3562" s="84" t="s">
        <v>152</v>
      </c>
      <c r="BB3562" s="84" t="str">
        <f>IFERROR(__xludf.DUMMYFUNCTION("iferror(if(A3562="""",,E3562&gt;=FILTER(Constants!$F$2:$F$10,Constants!$A$2:$A$10=A3562)))"),"")</f>
        <v/>
      </c>
    </row>
    <row r="3563">
      <c r="A3563" s="89"/>
      <c r="B3563" s="87"/>
      <c r="C3563" s="73"/>
      <c r="D3563" s="73"/>
      <c r="E3563" s="82"/>
      <c r="F3563" s="82"/>
      <c r="G3563" s="86"/>
      <c r="H3563" s="86"/>
      <c r="I3563" s="86"/>
      <c r="J3563" s="82"/>
      <c r="K3563" s="82"/>
      <c r="L3563" s="82"/>
      <c r="M3563" s="82"/>
      <c r="N3563" s="82"/>
      <c r="O3563" s="82"/>
      <c r="P3563" s="82"/>
      <c r="Q3563" s="82"/>
      <c r="R3563" s="82"/>
      <c r="S3563" s="82"/>
      <c r="T3563" s="82"/>
      <c r="U3563" s="82"/>
      <c r="V3563" s="82"/>
      <c r="W3563" s="82"/>
      <c r="X3563" s="82"/>
      <c r="Y3563" s="82"/>
      <c r="Z3563" s="82"/>
      <c r="AA3563" s="82"/>
      <c r="AB3563" s="82"/>
      <c r="AC3563" s="82"/>
      <c r="AD3563" s="82"/>
      <c r="AE3563" s="82"/>
      <c r="AF3563" s="82"/>
      <c r="AG3563" s="82"/>
      <c r="AH3563" s="82"/>
      <c r="AI3563" s="82"/>
      <c r="AJ3563" s="82"/>
      <c r="AK3563" s="82"/>
      <c r="AL3563" s="82"/>
      <c r="AM3563" s="82"/>
      <c r="AN3563" s="82"/>
      <c r="AO3563" s="82"/>
      <c r="AP3563" s="82"/>
      <c r="AQ3563" s="82"/>
      <c r="AR3563" s="82"/>
      <c r="AS3563" s="82"/>
      <c r="AT3563" s="82"/>
      <c r="AU3563" s="82"/>
      <c r="AV3563" s="82"/>
      <c r="AW3563" s="82" t="str">
        <f t="shared" si="1"/>
        <v/>
      </c>
      <c r="AX3563" s="83" t="str">
        <f t="array" ref="AX3563">IFERROR(DGET('SBV Import'!A:G,"SBV",{"RSC ID","Tier";B3563,A3563}))</f>
        <v/>
      </c>
      <c r="AY3563" s="82" t="str">
        <f t="shared" si="2"/>
        <v/>
      </c>
      <c r="AZ3563" s="82"/>
      <c r="BA3563" s="84" t="s">
        <v>152</v>
      </c>
      <c r="BB3563" s="84" t="str">
        <f>IFERROR(__xludf.DUMMYFUNCTION("iferror(if(A3563="""",,E3563&gt;=FILTER(Constants!$F$2:$F$10,Constants!$A$2:$A$10=A3563)))"),"")</f>
        <v/>
      </c>
    </row>
    <row r="3564">
      <c r="A3564" s="89"/>
      <c r="B3564" s="87"/>
      <c r="C3564" s="73"/>
      <c r="D3564" s="73"/>
      <c r="E3564" s="82"/>
      <c r="F3564" s="82"/>
      <c r="G3564" s="86"/>
      <c r="H3564" s="86"/>
      <c r="I3564" s="86"/>
      <c r="J3564" s="82"/>
      <c r="K3564" s="82"/>
      <c r="L3564" s="82"/>
      <c r="M3564" s="82"/>
      <c r="N3564" s="82"/>
      <c r="O3564" s="82"/>
      <c r="P3564" s="82"/>
      <c r="Q3564" s="82"/>
      <c r="R3564" s="82"/>
      <c r="S3564" s="82"/>
      <c r="T3564" s="82"/>
      <c r="U3564" s="82"/>
      <c r="V3564" s="82"/>
      <c r="W3564" s="82"/>
      <c r="X3564" s="82"/>
      <c r="Y3564" s="82"/>
      <c r="Z3564" s="82"/>
      <c r="AA3564" s="82"/>
      <c r="AB3564" s="82"/>
      <c r="AC3564" s="82"/>
      <c r="AD3564" s="82"/>
      <c r="AE3564" s="82"/>
      <c r="AF3564" s="82"/>
      <c r="AG3564" s="82"/>
      <c r="AH3564" s="82"/>
      <c r="AI3564" s="82"/>
      <c r="AJ3564" s="82"/>
      <c r="AK3564" s="82"/>
      <c r="AL3564" s="82"/>
      <c r="AM3564" s="82"/>
      <c r="AN3564" s="82"/>
      <c r="AO3564" s="82"/>
      <c r="AP3564" s="82"/>
      <c r="AQ3564" s="82"/>
      <c r="AR3564" s="82"/>
      <c r="AS3564" s="82"/>
      <c r="AT3564" s="82"/>
      <c r="AU3564" s="82"/>
      <c r="AV3564" s="82"/>
      <c r="AW3564" s="82" t="str">
        <f t="shared" si="1"/>
        <v/>
      </c>
      <c r="AX3564" s="83" t="str">
        <f t="array" ref="AX3564">IFERROR(DGET('SBV Import'!A:G,"SBV",{"RSC ID","Tier";B3564,A3564}))</f>
        <v/>
      </c>
      <c r="AY3564" s="82" t="str">
        <f t="shared" si="2"/>
        <v/>
      </c>
      <c r="AZ3564" s="82"/>
      <c r="BA3564" s="84" t="s">
        <v>152</v>
      </c>
      <c r="BB3564" s="84" t="str">
        <f>IFERROR(__xludf.DUMMYFUNCTION("iferror(if(A3564="""",,E3564&gt;=FILTER(Constants!$F$2:$F$10,Constants!$A$2:$A$10=A3564)))"),"")</f>
        <v/>
      </c>
    </row>
    <row r="3565">
      <c r="A3565" s="89"/>
      <c r="B3565" s="87"/>
      <c r="C3565" s="73"/>
      <c r="D3565" s="73"/>
      <c r="E3565" s="82"/>
      <c r="F3565" s="82"/>
      <c r="G3565" s="86"/>
      <c r="H3565" s="86"/>
      <c r="I3565" s="86"/>
      <c r="J3565" s="82"/>
      <c r="K3565" s="82"/>
      <c r="L3565" s="82"/>
      <c r="M3565" s="82"/>
      <c r="N3565" s="82"/>
      <c r="O3565" s="82"/>
      <c r="P3565" s="82"/>
      <c r="Q3565" s="82"/>
      <c r="R3565" s="82"/>
      <c r="S3565" s="82"/>
      <c r="T3565" s="82"/>
      <c r="U3565" s="82"/>
      <c r="V3565" s="82"/>
      <c r="W3565" s="82"/>
      <c r="X3565" s="82"/>
      <c r="Y3565" s="82"/>
      <c r="Z3565" s="82"/>
      <c r="AA3565" s="82"/>
      <c r="AB3565" s="82"/>
      <c r="AC3565" s="82"/>
      <c r="AD3565" s="82"/>
      <c r="AE3565" s="82"/>
      <c r="AF3565" s="82"/>
      <c r="AG3565" s="82"/>
      <c r="AH3565" s="82"/>
      <c r="AI3565" s="82"/>
      <c r="AJ3565" s="82"/>
      <c r="AK3565" s="82"/>
      <c r="AL3565" s="82"/>
      <c r="AM3565" s="82"/>
      <c r="AN3565" s="82"/>
      <c r="AO3565" s="82"/>
      <c r="AP3565" s="82"/>
      <c r="AQ3565" s="82"/>
      <c r="AR3565" s="82"/>
      <c r="AS3565" s="82"/>
      <c r="AT3565" s="82"/>
      <c r="AU3565" s="82"/>
      <c r="AV3565" s="82"/>
      <c r="AW3565" s="82" t="str">
        <f t="shared" si="1"/>
        <v/>
      </c>
      <c r="AX3565" s="83" t="str">
        <f t="array" ref="AX3565">IFERROR(DGET('SBV Import'!A:G,"SBV",{"RSC ID","Tier";B3565,A3565}))</f>
        <v/>
      </c>
      <c r="AY3565" s="82" t="str">
        <f t="shared" si="2"/>
        <v/>
      </c>
      <c r="AZ3565" s="82"/>
      <c r="BA3565" s="84" t="s">
        <v>152</v>
      </c>
      <c r="BB3565" s="84" t="str">
        <f>IFERROR(__xludf.DUMMYFUNCTION("iferror(if(A3565="""",,E3565&gt;=FILTER(Constants!$F$2:$F$10,Constants!$A$2:$A$10=A3565)))"),"")</f>
        <v/>
      </c>
    </row>
    <row r="3566">
      <c r="A3566" s="89"/>
      <c r="B3566" s="87"/>
      <c r="C3566" s="73"/>
      <c r="D3566" s="73"/>
      <c r="E3566" s="82"/>
      <c r="F3566" s="82"/>
      <c r="G3566" s="86"/>
      <c r="H3566" s="86"/>
      <c r="I3566" s="86"/>
      <c r="J3566" s="82"/>
      <c r="K3566" s="82"/>
      <c r="L3566" s="82"/>
      <c r="M3566" s="82"/>
      <c r="N3566" s="82"/>
      <c r="O3566" s="82"/>
      <c r="P3566" s="82"/>
      <c r="Q3566" s="82"/>
      <c r="R3566" s="82"/>
      <c r="S3566" s="82"/>
      <c r="T3566" s="82"/>
      <c r="U3566" s="82"/>
      <c r="V3566" s="82"/>
      <c r="W3566" s="82"/>
      <c r="X3566" s="82"/>
      <c r="Y3566" s="82"/>
      <c r="Z3566" s="82"/>
      <c r="AA3566" s="82"/>
      <c r="AB3566" s="82"/>
      <c r="AC3566" s="82"/>
      <c r="AD3566" s="82"/>
      <c r="AE3566" s="82"/>
      <c r="AF3566" s="82"/>
      <c r="AG3566" s="82"/>
      <c r="AH3566" s="82"/>
      <c r="AI3566" s="82"/>
      <c r="AJ3566" s="82"/>
      <c r="AK3566" s="82"/>
      <c r="AL3566" s="82"/>
      <c r="AM3566" s="82"/>
      <c r="AN3566" s="82"/>
      <c r="AO3566" s="82"/>
      <c r="AP3566" s="82"/>
      <c r="AQ3566" s="82"/>
      <c r="AR3566" s="82"/>
      <c r="AS3566" s="82"/>
      <c r="AT3566" s="82"/>
      <c r="AU3566" s="82"/>
      <c r="AV3566" s="82"/>
      <c r="AW3566" s="82" t="str">
        <f t="shared" si="1"/>
        <v/>
      </c>
      <c r="AX3566" s="83" t="str">
        <f t="array" ref="AX3566">IFERROR(DGET('SBV Import'!A:G,"SBV",{"RSC ID","Tier";B3566,A3566}))</f>
        <v/>
      </c>
      <c r="AY3566" s="82" t="str">
        <f t="shared" si="2"/>
        <v/>
      </c>
      <c r="AZ3566" s="82"/>
      <c r="BA3566" s="84" t="s">
        <v>152</v>
      </c>
      <c r="BB3566" s="84" t="str">
        <f>IFERROR(__xludf.DUMMYFUNCTION("iferror(if(A3566="""",,E3566&gt;=FILTER(Constants!$F$2:$F$10,Constants!$A$2:$A$10=A3566)))"),"")</f>
        <v/>
      </c>
    </row>
    <row r="3567">
      <c r="A3567" s="89"/>
      <c r="B3567" s="87"/>
      <c r="C3567" s="73"/>
      <c r="D3567" s="73"/>
      <c r="E3567" s="82"/>
      <c r="F3567" s="82"/>
      <c r="G3567" s="86"/>
      <c r="H3567" s="86"/>
      <c r="I3567" s="86"/>
      <c r="J3567" s="82"/>
      <c r="K3567" s="82"/>
      <c r="L3567" s="82"/>
      <c r="M3567" s="82"/>
      <c r="N3567" s="82"/>
      <c r="O3567" s="82"/>
      <c r="P3567" s="82"/>
      <c r="Q3567" s="82"/>
      <c r="R3567" s="82"/>
      <c r="S3567" s="82"/>
      <c r="T3567" s="82"/>
      <c r="U3567" s="82"/>
      <c r="V3567" s="82"/>
      <c r="W3567" s="82"/>
      <c r="X3567" s="82"/>
      <c r="Y3567" s="82"/>
      <c r="Z3567" s="82"/>
      <c r="AA3567" s="82"/>
      <c r="AB3567" s="82"/>
      <c r="AC3567" s="82"/>
      <c r="AD3567" s="82"/>
      <c r="AE3567" s="82"/>
      <c r="AF3567" s="82"/>
      <c r="AG3567" s="82"/>
      <c r="AH3567" s="82"/>
      <c r="AI3567" s="82"/>
      <c r="AJ3567" s="82"/>
      <c r="AK3567" s="82"/>
      <c r="AL3567" s="82"/>
      <c r="AM3567" s="82"/>
      <c r="AN3567" s="82"/>
      <c r="AO3567" s="82"/>
      <c r="AP3567" s="82"/>
      <c r="AQ3567" s="82"/>
      <c r="AR3567" s="82"/>
      <c r="AS3567" s="82"/>
      <c r="AT3567" s="82"/>
      <c r="AU3567" s="82"/>
      <c r="AV3567" s="82"/>
      <c r="AW3567" s="82" t="str">
        <f t="shared" si="1"/>
        <v/>
      </c>
      <c r="AX3567" s="83" t="str">
        <f t="array" ref="AX3567">IFERROR(DGET('SBV Import'!A:G,"SBV",{"RSC ID","Tier";B3567,A3567}))</f>
        <v/>
      </c>
      <c r="AY3567" s="82" t="str">
        <f t="shared" si="2"/>
        <v/>
      </c>
      <c r="AZ3567" s="82"/>
      <c r="BA3567" s="84" t="s">
        <v>152</v>
      </c>
      <c r="BB3567" s="84" t="str">
        <f>IFERROR(__xludf.DUMMYFUNCTION("iferror(if(A3567="""",,E3567&gt;=FILTER(Constants!$F$2:$F$10,Constants!$A$2:$A$10=A3567)))"),"")</f>
        <v/>
      </c>
    </row>
    <row r="3568">
      <c r="A3568" s="89"/>
      <c r="B3568" s="87"/>
      <c r="C3568" s="73"/>
      <c r="D3568" s="73"/>
      <c r="E3568" s="82"/>
      <c r="F3568" s="82"/>
      <c r="G3568" s="86"/>
      <c r="H3568" s="86"/>
      <c r="I3568" s="86"/>
      <c r="J3568" s="82"/>
      <c r="K3568" s="82"/>
      <c r="L3568" s="82"/>
      <c r="M3568" s="82"/>
      <c r="N3568" s="82"/>
      <c r="O3568" s="82"/>
      <c r="P3568" s="82"/>
      <c r="Q3568" s="82"/>
      <c r="R3568" s="82"/>
      <c r="S3568" s="82"/>
      <c r="T3568" s="82"/>
      <c r="U3568" s="82"/>
      <c r="V3568" s="82"/>
      <c r="W3568" s="82"/>
      <c r="X3568" s="82"/>
      <c r="Y3568" s="82"/>
      <c r="Z3568" s="82"/>
      <c r="AA3568" s="82"/>
      <c r="AB3568" s="82"/>
      <c r="AC3568" s="82"/>
      <c r="AD3568" s="82"/>
      <c r="AE3568" s="82"/>
      <c r="AF3568" s="82"/>
      <c r="AG3568" s="82"/>
      <c r="AH3568" s="82"/>
      <c r="AI3568" s="82"/>
      <c r="AJ3568" s="82"/>
      <c r="AK3568" s="82"/>
      <c r="AL3568" s="82"/>
      <c r="AM3568" s="82"/>
      <c r="AN3568" s="82"/>
      <c r="AO3568" s="82"/>
      <c r="AP3568" s="82"/>
      <c r="AQ3568" s="82"/>
      <c r="AR3568" s="82"/>
      <c r="AS3568" s="82"/>
      <c r="AT3568" s="82"/>
      <c r="AU3568" s="82"/>
      <c r="AV3568" s="82"/>
      <c r="AW3568" s="82" t="str">
        <f t="shared" si="1"/>
        <v/>
      </c>
      <c r="AX3568" s="83" t="str">
        <f t="array" ref="AX3568">IFERROR(DGET('SBV Import'!A:G,"SBV",{"RSC ID","Tier";B3568,A3568}))</f>
        <v/>
      </c>
      <c r="AY3568" s="82" t="str">
        <f t="shared" si="2"/>
        <v/>
      </c>
      <c r="AZ3568" s="82"/>
      <c r="BA3568" s="84" t="s">
        <v>152</v>
      </c>
      <c r="BB3568" s="84" t="str">
        <f>IFERROR(__xludf.DUMMYFUNCTION("iferror(if(A3568="""",,E3568&gt;=FILTER(Constants!$F$2:$F$10,Constants!$A$2:$A$10=A3568)))"),"")</f>
        <v/>
      </c>
    </row>
    <row r="3569">
      <c r="A3569" s="89"/>
      <c r="B3569" s="87"/>
      <c r="C3569" s="73"/>
      <c r="D3569" s="73"/>
      <c r="E3569" s="82"/>
      <c r="F3569" s="82"/>
      <c r="G3569" s="86"/>
      <c r="H3569" s="86"/>
      <c r="I3569" s="86"/>
      <c r="J3569" s="82"/>
      <c r="K3569" s="82"/>
      <c r="L3569" s="82"/>
      <c r="M3569" s="82"/>
      <c r="N3569" s="82"/>
      <c r="O3569" s="82"/>
      <c r="P3569" s="82"/>
      <c r="Q3569" s="82"/>
      <c r="R3569" s="82"/>
      <c r="S3569" s="82"/>
      <c r="T3569" s="82"/>
      <c r="U3569" s="82"/>
      <c r="V3569" s="82"/>
      <c r="W3569" s="82"/>
      <c r="X3569" s="82"/>
      <c r="Y3569" s="82"/>
      <c r="Z3569" s="82"/>
      <c r="AA3569" s="82"/>
      <c r="AB3569" s="82"/>
      <c r="AC3569" s="82"/>
      <c r="AD3569" s="82"/>
      <c r="AE3569" s="82"/>
      <c r="AF3569" s="82"/>
      <c r="AG3569" s="82"/>
      <c r="AH3569" s="82"/>
      <c r="AI3569" s="82"/>
      <c r="AJ3569" s="82"/>
      <c r="AK3569" s="82"/>
      <c r="AL3569" s="82"/>
      <c r="AM3569" s="82"/>
      <c r="AN3569" s="82"/>
      <c r="AO3569" s="82"/>
      <c r="AP3569" s="82"/>
      <c r="AQ3569" s="82"/>
      <c r="AR3569" s="82"/>
      <c r="AS3569" s="82"/>
      <c r="AT3569" s="82"/>
      <c r="AU3569" s="82"/>
      <c r="AV3569" s="82"/>
      <c r="AW3569" s="82" t="str">
        <f t="shared" si="1"/>
        <v/>
      </c>
      <c r="AX3569" s="83" t="str">
        <f t="array" ref="AX3569">IFERROR(DGET('SBV Import'!A:G,"SBV",{"RSC ID","Tier";B3569,A3569}))</f>
        <v/>
      </c>
      <c r="AY3569" s="82" t="str">
        <f t="shared" si="2"/>
        <v/>
      </c>
      <c r="AZ3569" s="82"/>
      <c r="BA3569" s="84" t="s">
        <v>152</v>
      </c>
      <c r="BB3569" s="84" t="str">
        <f>IFERROR(__xludf.DUMMYFUNCTION("iferror(if(A3569="""",,E3569&gt;=FILTER(Constants!$F$2:$F$10,Constants!$A$2:$A$10=A3569)))"),"")</f>
        <v/>
      </c>
    </row>
    <row r="3570">
      <c r="A3570" s="89"/>
      <c r="B3570" s="87"/>
      <c r="C3570" s="73"/>
      <c r="D3570" s="73"/>
      <c r="E3570" s="82"/>
      <c r="F3570" s="82"/>
      <c r="G3570" s="86"/>
      <c r="H3570" s="86"/>
      <c r="I3570" s="86"/>
      <c r="J3570" s="82"/>
      <c r="K3570" s="82"/>
      <c r="L3570" s="82"/>
      <c r="M3570" s="82"/>
      <c r="N3570" s="82"/>
      <c r="O3570" s="82"/>
      <c r="P3570" s="82"/>
      <c r="Q3570" s="82"/>
      <c r="R3570" s="82"/>
      <c r="S3570" s="82"/>
      <c r="T3570" s="82"/>
      <c r="U3570" s="82"/>
      <c r="V3570" s="82"/>
      <c r="W3570" s="82"/>
      <c r="X3570" s="82"/>
      <c r="Y3570" s="82"/>
      <c r="Z3570" s="82"/>
      <c r="AA3570" s="82"/>
      <c r="AB3570" s="82"/>
      <c r="AC3570" s="82"/>
      <c r="AD3570" s="82"/>
      <c r="AE3570" s="82"/>
      <c r="AF3570" s="82"/>
      <c r="AG3570" s="82"/>
      <c r="AH3570" s="82"/>
      <c r="AI3570" s="82"/>
      <c r="AJ3570" s="82"/>
      <c r="AK3570" s="82"/>
      <c r="AL3570" s="82"/>
      <c r="AM3570" s="82"/>
      <c r="AN3570" s="82"/>
      <c r="AO3570" s="82"/>
      <c r="AP3570" s="82"/>
      <c r="AQ3570" s="82"/>
      <c r="AR3570" s="82"/>
      <c r="AS3570" s="82"/>
      <c r="AT3570" s="82"/>
      <c r="AU3570" s="82"/>
      <c r="AV3570" s="82"/>
      <c r="AW3570" s="82" t="str">
        <f t="shared" si="1"/>
        <v/>
      </c>
      <c r="AX3570" s="83" t="str">
        <f t="array" ref="AX3570">IFERROR(DGET('SBV Import'!A:G,"SBV",{"RSC ID","Tier";B3570,A3570}))</f>
        <v/>
      </c>
      <c r="AY3570" s="82" t="str">
        <f t="shared" si="2"/>
        <v/>
      </c>
      <c r="AZ3570" s="82"/>
      <c r="BA3570" s="84" t="s">
        <v>152</v>
      </c>
      <c r="BB3570" s="84" t="str">
        <f>IFERROR(__xludf.DUMMYFUNCTION("iferror(if(A3570="""",,E3570&gt;=FILTER(Constants!$F$2:$F$10,Constants!$A$2:$A$10=A3570)))"),"")</f>
        <v/>
      </c>
    </row>
    <row r="3571">
      <c r="A3571" s="89"/>
      <c r="B3571" s="87"/>
      <c r="C3571" s="73"/>
      <c r="D3571" s="73"/>
      <c r="E3571" s="82"/>
      <c r="F3571" s="82"/>
      <c r="G3571" s="86"/>
      <c r="H3571" s="86"/>
      <c r="I3571" s="86"/>
      <c r="J3571" s="82"/>
      <c r="K3571" s="82"/>
      <c r="L3571" s="82"/>
      <c r="M3571" s="82"/>
      <c r="N3571" s="82"/>
      <c r="O3571" s="82"/>
      <c r="P3571" s="82"/>
      <c r="Q3571" s="82"/>
      <c r="R3571" s="82"/>
      <c r="S3571" s="82"/>
      <c r="T3571" s="82"/>
      <c r="U3571" s="82"/>
      <c r="V3571" s="82"/>
      <c r="W3571" s="82"/>
      <c r="X3571" s="82"/>
      <c r="Y3571" s="82"/>
      <c r="Z3571" s="82"/>
      <c r="AA3571" s="82"/>
      <c r="AB3571" s="82"/>
      <c r="AC3571" s="82"/>
      <c r="AD3571" s="82"/>
      <c r="AE3571" s="82"/>
      <c r="AF3571" s="82"/>
      <c r="AG3571" s="82"/>
      <c r="AH3571" s="82"/>
      <c r="AI3571" s="82"/>
      <c r="AJ3571" s="82"/>
      <c r="AK3571" s="82"/>
      <c r="AL3571" s="82"/>
      <c r="AM3571" s="82"/>
      <c r="AN3571" s="82"/>
      <c r="AO3571" s="82"/>
      <c r="AP3571" s="82"/>
      <c r="AQ3571" s="82"/>
      <c r="AR3571" s="82"/>
      <c r="AS3571" s="82"/>
      <c r="AT3571" s="82"/>
      <c r="AU3571" s="82"/>
      <c r="AV3571" s="82"/>
      <c r="AW3571" s="82" t="str">
        <f t="shared" si="1"/>
        <v/>
      </c>
      <c r="AX3571" s="83" t="str">
        <f t="array" ref="AX3571">IFERROR(DGET('SBV Import'!A:G,"SBV",{"RSC ID","Tier";B3571,A3571}))</f>
        <v/>
      </c>
      <c r="AY3571" s="82" t="str">
        <f t="shared" si="2"/>
        <v/>
      </c>
      <c r="AZ3571" s="82"/>
      <c r="BA3571" s="84" t="s">
        <v>152</v>
      </c>
      <c r="BB3571" s="84" t="str">
        <f>IFERROR(__xludf.DUMMYFUNCTION("iferror(if(A3571="""",,E3571&gt;=FILTER(Constants!$F$2:$F$10,Constants!$A$2:$A$10=A3571)))"),"")</f>
        <v/>
      </c>
    </row>
    <row r="3572">
      <c r="A3572" s="89"/>
      <c r="B3572" s="87"/>
      <c r="C3572" s="73"/>
      <c r="D3572" s="73"/>
      <c r="E3572" s="82"/>
      <c r="F3572" s="82"/>
      <c r="G3572" s="86"/>
      <c r="H3572" s="86"/>
      <c r="I3572" s="86"/>
      <c r="J3572" s="82"/>
      <c r="K3572" s="82"/>
      <c r="L3572" s="82"/>
      <c r="M3572" s="82"/>
      <c r="N3572" s="82"/>
      <c r="O3572" s="82"/>
      <c r="P3572" s="82"/>
      <c r="Q3572" s="82"/>
      <c r="R3572" s="82"/>
      <c r="S3572" s="82"/>
      <c r="T3572" s="82"/>
      <c r="U3572" s="82"/>
      <c r="V3572" s="82"/>
      <c r="W3572" s="82"/>
      <c r="X3572" s="82"/>
      <c r="Y3572" s="82"/>
      <c r="Z3572" s="82"/>
      <c r="AA3572" s="82"/>
      <c r="AB3572" s="82"/>
      <c r="AC3572" s="82"/>
      <c r="AD3572" s="82"/>
      <c r="AE3572" s="82"/>
      <c r="AF3572" s="82"/>
      <c r="AG3572" s="82"/>
      <c r="AH3572" s="82"/>
      <c r="AI3572" s="82"/>
      <c r="AJ3572" s="82"/>
      <c r="AK3572" s="82"/>
      <c r="AL3572" s="82"/>
      <c r="AM3572" s="82"/>
      <c r="AN3572" s="82"/>
      <c r="AO3572" s="82"/>
      <c r="AP3572" s="82"/>
      <c r="AQ3572" s="82"/>
      <c r="AR3572" s="82"/>
      <c r="AS3572" s="82"/>
      <c r="AT3572" s="82"/>
      <c r="AU3572" s="82"/>
      <c r="AV3572" s="82"/>
      <c r="AW3572" s="82" t="str">
        <f t="shared" si="1"/>
        <v/>
      </c>
      <c r="AX3572" s="83" t="str">
        <f t="array" ref="AX3572">IFERROR(DGET('SBV Import'!A:G,"SBV",{"RSC ID","Tier";B3572,A3572}))</f>
        <v/>
      </c>
      <c r="AY3572" s="82" t="str">
        <f t="shared" si="2"/>
        <v/>
      </c>
      <c r="AZ3572" s="82"/>
      <c r="BA3572" s="84" t="s">
        <v>152</v>
      </c>
      <c r="BB3572" s="84" t="str">
        <f>IFERROR(__xludf.DUMMYFUNCTION("iferror(if(A3572="""",,E3572&gt;=FILTER(Constants!$F$2:$F$10,Constants!$A$2:$A$10=A3572)))"),"")</f>
        <v/>
      </c>
    </row>
    <row r="3573">
      <c r="A3573" s="89"/>
      <c r="B3573" s="87"/>
      <c r="C3573" s="73"/>
      <c r="D3573" s="73"/>
      <c r="E3573" s="82"/>
      <c r="F3573" s="82"/>
      <c r="G3573" s="86"/>
      <c r="H3573" s="86"/>
      <c r="I3573" s="86"/>
      <c r="J3573" s="82"/>
      <c r="K3573" s="82"/>
      <c r="L3573" s="82"/>
      <c r="M3573" s="82"/>
      <c r="N3573" s="82"/>
      <c r="O3573" s="82"/>
      <c r="P3573" s="82"/>
      <c r="Q3573" s="82"/>
      <c r="R3573" s="82"/>
      <c r="S3573" s="82"/>
      <c r="T3573" s="82"/>
      <c r="U3573" s="82"/>
      <c r="V3573" s="82"/>
      <c r="W3573" s="82"/>
      <c r="X3573" s="82"/>
      <c r="Y3573" s="82"/>
      <c r="Z3573" s="82"/>
      <c r="AA3573" s="82"/>
      <c r="AB3573" s="82"/>
      <c r="AC3573" s="82"/>
      <c r="AD3573" s="82"/>
      <c r="AE3573" s="82"/>
      <c r="AF3573" s="82"/>
      <c r="AG3573" s="82"/>
      <c r="AH3573" s="82"/>
      <c r="AI3573" s="82"/>
      <c r="AJ3573" s="82"/>
      <c r="AK3573" s="82"/>
      <c r="AL3573" s="82"/>
      <c r="AM3573" s="82"/>
      <c r="AN3573" s="82"/>
      <c r="AO3573" s="82"/>
      <c r="AP3573" s="82"/>
      <c r="AQ3573" s="82"/>
      <c r="AR3573" s="82"/>
      <c r="AS3573" s="82"/>
      <c r="AT3573" s="82"/>
      <c r="AU3573" s="82"/>
      <c r="AV3573" s="82"/>
      <c r="AW3573" s="82" t="str">
        <f t="shared" si="1"/>
        <v/>
      </c>
      <c r="AX3573" s="83" t="str">
        <f t="array" ref="AX3573">IFERROR(DGET('SBV Import'!A:G,"SBV",{"RSC ID","Tier";B3573,A3573}))</f>
        <v/>
      </c>
      <c r="AY3573" s="82" t="str">
        <f t="shared" si="2"/>
        <v/>
      </c>
      <c r="AZ3573" s="82"/>
      <c r="BA3573" s="84" t="s">
        <v>152</v>
      </c>
      <c r="BB3573" s="84" t="str">
        <f>IFERROR(__xludf.DUMMYFUNCTION("iferror(if(A3573="""",,E3573&gt;=FILTER(Constants!$F$2:$F$10,Constants!$A$2:$A$10=A3573)))"),"")</f>
        <v/>
      </c>
    </row>
    <row r="3574">
      <c r="A3574" s="89"/>
      <c r="B3574" s="87"/>
      <c r="C3574" s="73"/>
      <c r="D3574" s="73"/>
      <c r="E3574" s="82"/>
      <c r="F3574" s="82"/>
      <c r="G3574" s="86"/>
      <c r="H3574" s="86"/>
      <c r="I3574" s="86"/>
      <c r="J3574" s="82"/>
      <c r="K3574" s="82"/>
      <c r="L3574" s="82"/>
      <c r="M3574" s="82"/>
      <c r="N3574" s="82"/>
      <c r="O3574" s="82"/>
      <c r="P3574" s="82"/>
      <c r="Q3574" s="82"/>
      <c r="R3574" s="82"/>
      <c r="S3574" s="82"/>
      <c r="T3574" s="82"/>
      <c r="U3574" s="82"/>
      <c r="V3574" s="82"/>
      <c r="W3574" s="82"/>
      <c r="X3574" s="82"/>
      <c r="Y3574" s="82"/>
      <c r="Z3574" s="82"/>
      <c r="AA3574" s="82"/>
      <c r="AB3574" s="82"/>
      <c r="AC3574" s="82"/>
      <c r="AD3574" s="82"/>
      <c r="AE3574" s="82"/>
      <c r="AF3574" s="82"/>
      <c r="AG3574" s="82"/>
      <c r="AH3574" s="82"/>
      <c r="AI3574" s="82"/>
      <c r="AJ3574" s="82"/>
      <c r="AK3574" s="82"/>
      <c r="AL3574" s="82"/>
      <c r="AM3574" s="82"/>
      <c r="AN3574" s="82"/>
      <c r="AO3574" s="82"/>
      <c r="AP3574" s="82"/>
      <c r="AQ3574" s="82"/>
      <c r="AR3574" s="82"/>
      <c r="AS3574" s="82"/>
      <c r="AT3574" s="82"/>
      <c r="AU3574" s="82"/>
      <c r="AV3574" s="82"/>
      <c r="AW3574" s="82" t="str">
        <f t="shared" si="1"/>
        <v/>
      </c>
      <c r="AX3574" s="83" t="str">
        <f t="array" ref="AX3574">IFERROR(DGET('SBV Import'!A:G,"SBV",{"RSC ID","Tier";B3574,A3574}))</f>
        <v/>
      </c>
      <c r="AY3574" s="82" t="str">
        <f t="shared" si="2"/>
        <v/>
      </c>
      <c r="AZ3574" s="82"/>
      <c r="BA3574" s="84" t="s">
        <v>152</v>
      </c>
      <c r="BB3574" s="84" t="str">
        <f>IFERROR(__xludf.DUMMYFUNCTION("iferror(if(A3574="""",,E3574&gt;=FILTER(Constants!$F$2:$F$10,Constants!$A$2:$A$10=A3574)))"),"")</f>
        <v/>
      </c>
    </row>
    <row r="3575">
      <c r="A3575" s="89"/>
      <c r="B3575" s="87"/>
      <c r="C3575" s="73"/>
      <c r="D3575" s="73"/>
      <c r="E3575" s="82"/>
      <c r="F3575" s="82"/>
      <c r="G3575" s="86"/>
      <c r="H3575" s="86"/>
      <c r="I3575" s="86"/>
      <c r="J3575" s="82"/>
      <c r="K3575" s="82"/>
      <c r="L3575" s="82"/>
      <c r="M3575" s="82"/>
      <c r="N3575" s="82"/>
      <c r="O3575" s="82"/>
      <c r="P3575" s="82"/>
      <c r="Q3575" s="82"/>
      <c r="R3575" s="82"/>
      <c r="S3575" s="82"/>
      <c r="T3575" s="82"/>
      <c r="U3575" s="82"/>
      <c r="V3575" s="82"/>
      <c r="W3575" s="82"/>
      <c r="X3575" s="82"/>
      <c r="Y3575" s="82"/>
      <c r="Z3575" s="82"/>
      <c r="AA3575" s="82"/>
      <c r="AB3575" s="82"/>
      <c r="AC3575" s="82"/>
      <c r="AD3575" s="82"/>
      <c r="AE3575" s="82"/>
      <c r="AF3575" s="82"/>
      <c r="AG3575" s="82"/>
      <c r="AH3575" s="82"/>
      <c r="AI3575" s="82"/>
      <c r="AJ3575" s="82"/>
      <c r="AK3575" s="82"/>
      <c r="AL3575" s="82"/>
      <c r="AM3575" s="82"/>
      <c r="AN3575" s="82"/>
      <c r="AO3575" s="82"/>
      <c r="AP3575" s="82"/>
      <c r="AQ3575" s="82"/>
      <c r="AR3575" s="82"/>
      <c r="AS3575" s="82"/>
      <c r="AT3575" s="82"/>
      <c r="AU3575" s="82"/>
      <c r="AV3575" s="82"/>
      <c r="AW3575" s="82" t="str">
        <f t="shared" si="1"/>
        <v/>
      </c>
      <c r="AX3575" s="83" t="str">
        <f t="array" ref="AX3575">IFERROR(DGET('SBV Import'!A:G,"SBV",{"RSC ID","Tier";B3575,A3575}))</f>
        <v/>
      </c>
      <c r="AY3575" s="82" t="str">
        <f t="shared" si="2"/>
        <v/>
      </c>
      <c r="AZ3575" s="82"/>
      <c r="BA3575" s="84" t="s">
        <v>152</v>
      </c>
      <c r="BB3575" s="84" t="str">
        <f>IFERROR(__xludf.DUMMYFUNCTION("iferror(if(A3575="""",,E3575&gt;=FILTER(Constants!$F$2:$F$10,Constants!$A$2:$A$10=A3575)))"),"")</f>
        <v/>
      </c>
    </row>
    <row r="3576">
      <c r="A3576" s="89"/>
      <c r="B3576" s="87"/>
      <c r="C3576" s="73"/>
      <c r="D3576" s="73"/>
      <c r="E3576" s="82"/>
      <c r="F3576" s="82"/>
      <c r="G3576" s="86"/>
      <c r="H3576" s="86"/>
      <c r="I3576" s="86"/>
      <c r="J3576" s="82"/>
      <c r="K3576" s="82"/>
      <c r="L3576" s="82"/>
      <c r="M3576" s="82"/>
      <c r="N3576" s="82"/>
      <c r="O3576" s="82"/>
      <c r="P3576" s="82"/>
      <c r="Q3576" s="82"/>
      <c r="R3576" s="82"/>
      <c r="S3576" s="82"/>
      <c r="T3576" s="82"/>
      <c r="U3576" s="82"/>
      <c r="V3576" s="82"/>
      <c r="W3576" s="82"/>
      <c r="X3576" s="82"/>
      <c r="Y3576" s="82"/>
      <c r="Z3576" s="82"/>
      <c r="AA3576" s="82"/>
      <c r="AB3576" s="82"/>
      <c r="AC3576" s="82"/>
      <c r="AD3576" s="82"/>
      <c r="AE3576" s="82"/>
      <c r="AF3576" s="82"/>
      <c r="AG3576" s="82"/>
      <c r="AH3576" s="82"/>
      <c r="AI3576" s="82"/>
      <c r="AJ3576" s="82"/>
      <c r="AK3576" s="82"/>
      <c r="AL3576" s="82"/>
      <c r="AM3576" s="82"/>
      <c r="AN3576" s="82"/>
      <c r="AO3576" s="82"/>
      <c r="AP3576" s="82"/>
      <c r="AQ3576" s="82"/>
      <c r="AR3576" s="82"/>
      <c r="AS3576" s="82"/>
      <c r="AT3576" s="82"/>
      <c r="AU3576" s="82"/>
      <c r="AV3576" s="82"/>
      <c r="AW3576" s="82" t="str">
        <f t="shared" si="1"/>
        <v/>
      </c>
      <c r="AX3576" s="83" t="str">
        <f t="array" ref="AX3576">IFERROR(DGET('SBV Import'!A:G,"SBV",{"RSC ID","Tier";B3576,A3576}))</f>
        <v/>
      </c>
      <c r="AY3576" s="82" t="str">
        <f t="shared" si="2"/>
        <v/>
      </c>
      <c r="AZ3576" s="82"/>
      <c r="BA3576" s="84" t="s">
        <v>152</v>
      </c>
      <c r="BB3576" s="84" t="str">
        <f>IFERROR(__xludf.DUMMYFUNCTION("iferror(if(A3576="""",,E3576&gt;=FILTER(Constants!$F$2:$F$10,Constants!$A$2:$A$10=A3576)))"),"")</f>
        <v/>
      </c>
    </row>
    <row r="3577">
      <c r="A3577" s="89"/>
      <c r="B3577" s="87"/>
      <c r="C3577" s="73"/>
      <c r="D3577" s="73"/>
      <c r="E3577" s="82"/>
      <c r="F3577" s="82"/>
      <c r="G3577" s="86"/>
      <c r="H3577" s="86"/>
      <c r="I3577" s="86"/>
      <c r="J3577" s="82"/>
      <c r="K3577" s="82"/>
      <c r="L3577" s="82"/>
      <c r="M3577" s="82"/>
      <c r="N3577" s="82"/>
      <c r="O3577" s="82"/>
      <c r="P3577" s="82"/>
      <c r="Q3577" s="82"/>
      <c r="R3577" s="82"/>
      <c r="S3577" s="82"/>
      <c r="T3577" s="82"/>
      <c r="U3577" s="82"/>
      <c r="V3577" s="82"/>
      <c r="W3577" s="82"/>
      <c r="X3577" s="82"/>
      <c r="Y3577" s="82"/>
      <c r="Z3577" s="82"/>
      <c r="AA3577" s="82"/>
      <c r="AB3577" s="82"/>
      <c r="AC3577" s="82"/>
      <c r="AD3577" s="82"/>
      <c r="AE3577" s="82"/>
      <c r="AF3577" s="82"/>
      <c r="AG3577" s="82"/>
      <c r="AH3577" s="82"/>
      <c r="AI3577" s="82"/>
      <c r="AJ3577" s="82"/>
      <c r="AK3577" s="82"/>
      <c r="AL3577" s="82"/>
      <c r="AM3577" s="82"/>
      <c r="AN3577" s="82"/>
      <c r="AO3577" s="82"/>
      <c r="AP3577" s="82"/>
      <c r="AQ3577" s="82"/>
      <c r="AR3577" s="82"/>
      <c r="AS3577" s="82"/>
      <c r="AT3577" s="82"/>
      <c r="AU3577" s="82"/>
      <c r="AV3577" s="82"/>
      <c r="AW3577" s="82" t="str">
        <f t="shared" si="1"/>
        <v/>
      </c>
      <c r="AX3577" s="83" t="str">
        <f t="array" ref="AX3577">IFERROR(DGET('SBV Import'!A:G,"SBV",{"RSC ID","Tier";B3577,A3577}))</f>
        <v/>
      </c>
      <c r="AY3577" s="82" t="str">
        <f t="shared" si="2"/>
        <v/>
      </c>
      <c r="AZ3577" s="82"/>
      <c r="BA3577" s="84" t="s">
        <v>152</v>
      </c>
      <c r="BB3577" s="84" t="str">
        <f>IFERROR(__xludf.DUMMYFUNCTION("iferror(if(A3577="""",,E3577&gt;=FILTER(Constants!$F$2:$F$10,Constants!$A$2:$A$10=A3577)))"),"")</f>
        <v/>
      </c>
    </row>
    <row r="3578">
      <c r="A3578" s="89"/>
      <c r="B3578" s="87"/>
      <c r="C3578" s="73"/>
      <c r="D3578" s="73"/>
      <c r="E3578" s="82"/>
      <c r="F3578" s="82"/>
      <c r="G3578" s="86"/>
      <c r="H3578" s="86"/>
      <c r="I3578" s="86"/>
      <c r="J3578" s="82"/>
      <c r="K3578" s="82"/>
      <c r="L3578" s="82"/>
      <c r="M3578" s="82"/>
      <c r="N3578" s="82"/>
      <c r="O3578" s="82"/>
      <c r="P3578" s="82"/>
      <c r="Q3578" s="82"/>
      <c r="R3578" s="82"/>
      <c r="S3578" s="82"/>
      <c r="T3578" s="82"/>
      <c r="U3578" s="82"/>
      <c r="V3578" s="82"/>
      <c r="W3578" s="82"/>
      <c r="X3578" s="82"/>
      <c r="Y3578" s="82"/>
      <c r="Z3578" s="82"/>
      <c r="AA3578" s="82"/>
      <c r="AB3578" s="82"/>
      <c r="AC3578" s="82"/>
      <c r="AD3578" s="82"/>
      <c r="AE3578" s="82"/>
      <c r="AF3578" s="82"/>
      <c r="AG3578" s="82"/>
      <c r="AH3578" s="82"/>
      <c r="AI3578" s="82"/>
      <c r="AJ3578" s="82"/>
      <c r="AK3578" s="82"/>
      <c r="AL3578" s="82"/>
      <c r="AM3578" s="82"/>
      <c r="AN3578" s="82"/>
      <c r="AO3578" s="82"/>
      <c r="AP3578" s="82"/>
      <c r="AQ3578" s="82"/>
      <c r="AR3578" s="82"/>
      <c r="AS3578" s="82"/>
      <c r="AT3578" s="82"/>
      <c r="AU3578" s="82"/>
      <c r="AV3578" s="82"/>
      <c r="AW3578" s="82" t="str">
        <f t="shared" si="1"/>
        <v/>
      </c>
      <c r="AX3578" s="83" t="str">
        <f t="array" ref="AX3578">IFERROR(DGET('SBV Import'!A:G,"SBV",{"RSC ID","Tier";B3578,A3578}))</f>
        <v/>
      </c>
      <c r="AY3578" s="82" t="str">
        <f t="shared" si="2"/>
        <v/>
      </c>
      <c r="AZ3578" s="82"/>
      <c r="BA3578" s="84" t="s">
        <v>152</v>
      </c>
      <c r="BB3578" s="84" t="str">
        <f>IFERROR(__xludf.DUMMYFUNCTION("iferror(if(A3578="""",,E3578&gt;=FILTER(Constants!$F$2:$F$10,Constants!$A$2:$A$10=A3578)))"),"")</f>
        <v/>
      </c>
    </row>
    <row r="3579">
      <c r="A3579" s="89"/>
      <c r="B3579" s="87"/>
      <c r="C3579" s="73"/>
      <c r="D3579" s="73"/>
      <c r="E3579" s="82"/>
      <c r="F3579" s="82"/>
      <c r="G3579" s="86"/>
      <c r="H3579" s="86"/>
      <c r="I3579" s="86"/>
      <c r="J3579" s="82"/>
      <c r="K3579" s="82"/>
      <c r="L3579" s="82"/>
      <c r="M3579" s="82"/>
      <c r="N3579" s="82"/>
      <c r="O3579" s="82"/>
      <c r="P3579" s="82"/>
      <c r="Q3579" s="82"/>
      <c r="R3579" s="82"/>
      <c r="S3579" s="82"/>
      <c r="T3579" s="82"/>
      <c r="U3579" s="82"/>
      <c r="V3579" s="82"/>
      <c r="W3579" s="82"/>
      <c r="X3579" s="82"/>
      <c r="Y3579" s="82"/>
      <c r="Z3579" s="82"/>
      <c r="AA3579" s="82"/>
      <c r="AB3579" s="82"/>
      <c r="AC3579" s="82"/>
      <c r="AD3579" s="82"/>
      <c r="AE3579" s="82"/>
      <c r="AF3579" s="82"/>
      <c r="AG3579" s="82"/>
      <c r="AH3579" s="82"/>
      <c r="AI3579" s="82"/>
      <c r="AJ3579" s="82"/>
      <c r="AK3579" s="82"/>
      <c r="AL3579" s="82"/>
      <c r="AM3579" s="82"/>
      <c r="AN3579" s="82"/>
      <c r="AO3579" s="82"/>
      <c r="AP3579" s="82"/>
      <c r="AQ3579" s="82"/>
      <c r="AR3579" s="82"/>
      <c r="AS3579" s="82"/>
      <c r="AT3579" s="82"/>
      <c r="AU3579" s="82"/>
      <c r="AV3579" s="82"/>
      <c r="AW3579" s="82" t="str">
        <f t="shared" si="1"/>
        <v/>
      </c>
      <c r="AX3579" s="83" t="str">
        <f t="array" ref="AX3579">IFERROR(DGET('SBV Import'!A:G,"SBV",{"RSC ID","Tier";B3579,A3579}))</f>
        <v/>
      </c>
      <c r="AY3579" s="82" t="str">
        <f t="shared" si="2"/>
        <v/>
      </c>
      <c r="AZ3579" s="82"/>
      <c r="BA3579" s="84" t="s">
        <v>152</v>
      </c>
      <c r="BB3579" s="84" t="str">
        <f>IFERROR(__xludf.DUMMYFUNCTION("iferror(if(A3579="""",,E3579&gt;=FILTER(Constants!$F$2:$F$10,Constants!$A$2:$A$10=A3579)))"),"")</f>
        <v/>
      </c>
    </row>
    <row r="3580">
      <c r="A3580" s="89"/>
      <c r="B3580" s="87"/>
      <c r="C3580" s="73"/>
      <c r="D3580" s="73"/>
      <c r="E3580" s="82"/>
      <c r="F3580" s="82"/>
      <c r="G3580" s="86"/>
      <c r="H3580" s="86"/>
      <c r="I3580" s="86"/>
      <c r="J3580" s="82"/>
      <c r="K3580" s="82"/>
      <c r="L3580" s="82"/>
      <c r="M3580" s="82"/>
      <c r="N3580" s="82"/>
      <c r="O3580" s="82"/>
      <c r="P3580" s="82"/>
      <c r="Q3580" s="82"/>
      <c r="R3580" s="82"/>
      <c r="S3580" s="82"/>
      <c r="T3580" s="82"/>
      <c r="U3580" s="82"/>
      <c r="V3580" s="82"/>
      <c r="W3580" s="82"/>
      <c r="X3580" s="82"/>
      <c r="Y3580" s="82"/>
      <c r="Z3580" s="82"/>
      <c r="AA3580" s="82"/>
      <c r="AB3580" s="82"/>
      <c r="AC3580" s="82"/>
      <c r="AD3580" s="82"/>
      <c r="AE3580" s="82"/>
      <c r="AF3580" s="82"/>
      <c r="AG3580" s="82"/>
      <c r="AH3580" s="82"/>
      <c r="AI3580" s="82"/>
      <c r="AJ3580" s="82"/>
      <c r="AK3580" s="82"/>
      <c r="AL3580" s="82"/>
      <c r="AM3580" s="82"/>
      <c r="AN3580" s="82"/>
      <c r="AO3580" s="82"/>
      <c r="AP3580" s="82"/>
      <c r="AQ3580" s="82"/>
      <c r="AR3580" s="82"/>
      <c r="AS3580" s="82"/>
      <c r="AT3580" s="82"/>
      <c r="AU3580" s="82"/>
      <c r="AV3580" s="82"/>
      <c r="AW3580" s="82" t="str">
        <f t="shared" si="1"/>
        <v/>
      </c>
      <c r="AX3580" s="83" t="str">
        <f t="array" ref="AX3580">IFERROR(DGET('SBV Import'!A:G,"SBV",{"RSC ID","Tier";B3580,A3580}))</f>
        <v/>
      </c>
      <c r="AY3580" s="82" t="str">
        <f t="shared" si="2"/>
        <v/>
      </c>
      <c r="AZ3580" s="82"/>
      <c r="BA3580" s="84" t="s">
        <v>152</v>
      </c>
      <c r="BB3580" s="84" t="str">
        <f>IFERROR(__xludf.DUMMYFUNCTION("iferror(if(A3580="""",,E3580&gt;=FILTER(Constants!$F$2:$F$10,Constants!$A$2:$A$10=A3580)))"),"")</f>
        <v/>
      </c>
    </row>
    <row r="3581">
      <c r="A3581" s="89"/>
      <c r="B3581" s="87"/>
      <c r="C3581" s="73"/>
      <c r="D3581" s="73"/>
      <c r="E3581" s="82"/>
      <c r="F3581" s="82"/>
      <c r="G3581" s="86"/>
      <c r="H3581" s="86"/>
      <c r="I3581" s="86"/>
      <c r="J3581" s="82"/>
      <c r="K3581" s="82"/>
      <c r="L3581" s="82"/>
      <c r="M3581" s="82"/>
      <c r="N3581" s="82"/>
      <c r="O3581" s="82"/>
      <c r="P3581" s="82"/>
      <c r="Q3581" s="82"/>
      <c r="R3581" s="82"/>
      <c r="S3581" s="82"/>
      <c r="T3581" s="82"/>
      <c r="U3581" s="82"/>
      <c r="V3581" s="82"/>
      <c r="W3581" s="82"/>
      <c r="X3581" s="82"/>
      <c r="Y3581" s="82"/>
      <c r="Z3581" s="82"/>
      <c r="AA3581" s="82"/>
      <c r="AB3581" s="82"/>
      <c r="AC3581" s="82"/>
      <c r="AD3581" s="82"/>
      <c r="AE3581" s="82"/>
      <c r="AF3581" s="82"/>
      <c r="AG3581" s="82"/>
      <c r="AH3581" s="82"/>
      <c r="AI3581" s="82"/>
      <c r="AJ3581" s="82"/>
      <c r="AK3581" s="82"/>
      <c r="AL3581" s="82"/>
      <c r="AM3581" s="82"/>
      <c r="AN3581" s="82"/>
      <c r="AO3581" s="82"/>
      <c r="AP3581" s="82"/>
      <c r="AQ3581" s="82"/>
      <c r="AR3581" s="82"/>
      <c r="AS3581" s="82"/>
      <c r="AT3581" s="82"/>
      <c r="AU3581" s="82"/>
      <c r="AV3581" s="82"/>
      <c r="AW3581" s="82" t="str">
        <f t="shared" si="1"/>
        <v/>
      </c>
      <c r="AX3581" s="83" t="str">
        <f t="array" ref="AX3581">IFERROR(DGET('SBV Import'!A:G,"SBV",{"RSC ID","Tier";B3581,A3581}))</f>
        <v/>
      </c>
      <c r="AY3581" s="82" t="str">
        <f t="shared" si="2"/>
        <v/>
      </c>
      <c r="AZ3581" s="82"/>
      <c r="BA3581" s="84" t="s">
        <v>152</v>
      </c>
      <c r="BB3581" s="84" t="str">
        <f>IFERROR(__xludf.DUMMYFUNCTION("iferror(if(A3581="""",,E3581&gt;=FILTER(Constants!$F$2:$F$10,Constants!$A$2:$A$10=A3581)))"),"")</f>
        <v/>
      </c>
    </row>
    <row r="3582">
      <c r="A3582" s="89"/>
      <c r="B3582" s="87"/>
      <c r="C3582" s="73"/>
      <c r="D3582" s="73"/>
      <c r="E3582" s="82"/>
      <c r="F3582" s="82"/>
      <c r="G3582" s="86"/>
      <c r="H3582" s="86"/>
      <c r="I3582" s="86"/>
      <c r="J3582" s="82"/>
      <c r="K3582" s="82"/>
      <c r="L3582" s="82"/>
      <c r="M3582" s="82"/>
      <c r="N3582" s="82"/>
      <c r="O3582" s="82"/>
      <c r="P3582" s="82"/>
      <c r="Q3582" s="82"/>
      <c r="R3582" s="82"/>
      <c r="S3582" s="82"/>
      <c r="T3582" s="82"/>
      <c r="U3582" s="82"/>
      <c r="V3582" s="82"/>
      <c r="W3582" s="82"/>
      <c r="X3582" s="82"/>
      <c r="Y3582" s="82"/>
      <c r="Z3582" s="82"/>
      <c r="AA3582" s="82"/>
      <c r="AB3582" s="82"/>
      <c r="AC3582" s="82"/>
      <c r="AD3582" s="82"/>
      <c r="AE3582" s="82"/>
      <c r="AF3582" s="82"/>
      <c r="AG3582" s="82"/>
      <c r="AH3582" s="82"/>
      <c r="AI3582" s="82"/>
      <c r="AJ3582" s="82"/>
      <c r="AK3582" s="82"/>
      <c r="AL3582" s="82"/>
      <c r="AM3582" s="82"/>
      <c r="AN3582" s="82"/>
      <c r="AO3582" s="82"/>
      <c r="AP3582" s="82"/>
      <c r="AQ3582" s="82"/>
      <c r="AR3582" s="82"/>
      <c r="AS3582" s="82"/>
      <c r="AT3582" s="82"/>
      <c r="AU3582" s="82"/>
      <c r="AV3582" s="82"/>
      <c r="AW3582" s="82" t="str">
        <f t="shared" si="1"/>
        <v/>
      </c>
      <c r="AX3582" s="83" t="str">
        <f t="array" ref="AX3582">IFERROR(DGET('SBV Import'!A:G,"SBV",{"RSC ID","Tier";B3582,A3582}))</f>
        <v/>
      </c>
      <c r="AY3582" s="82" t="str">
        <f t="shared" si="2"/>
        <v/>
      </c>
      <c r="AZ3582" s="82"/>
      <c r="BA3582" s="84" t="s">
        <v>152</v>
      </c>
      <c r="BB3582" s="84" t="str">
        <f>IFERROR(__xludf.DUMMYFUNCTION("iferror(if(A3582="""",,E3582&gt;=FILTER(Constants!$F$2:$F$10,Constants!$A$2:$A$10=A3582)))"),"")</f>
        <v/>
      </c>
    </row>
    <row r="3583">
      <c r="A3583" s="89"/>
      <c r="B3583" s="87"/>
      <c r="C3583" s="73"/>
      <c r="D3583" s="73"/>
      <c r="E3583" s="82"/>
      <c r="F3583" s="82"/>
      <c r="G3583" s="86"/>
      <c r="H3583" s="86"/>
      <c r="I3583" s="86"/>
      <c r="J3583" s="82"/>
      <c r="K3583" s="82"/>
      <c r="L3583" s="82"/>
      <c r="M3583" s="82"/>
      <c r="N3583" s="82"/>
      <c r="O3583" s="82"/>
      <c r="P3583" s="82"/>
      <c r="Q3583" s="82"/>
      <c r="R3583" s="82"/>
      <c r="S3583" s="82"/>
      <c r="T3583" s="82"/>
      <c r="U3583" s="82"/>
      <c r="V3583" s="82"/>
      <c r="W3583" s="82"/>
      <c r="X3583" s="82"/>
      <c r="Y3583" s="82"/>
      <c r="Z3583" s="82"/>
      <c r="AA3583" s="82"/>
      <c r="AB3583" s="82"/>
      <c r="AC3583" s="82"/>
      <c r="AD3583" s="82"/>
      <c r="AE3583" s="82"/>
      <c r="AF3583" s="82"/>
      <c r="AG3583" s="82"/>
      <c r="AH3583" s="82"/>
      <c r="AI3583" s="82"/>
      <c r="AJ3583" s="82"/>
      <c r="AK3583" s="82"/>
      <c r="AL3583" s="82"/>
      <c r="AM3583" s="82"/>
      <c r="AN3583" s="82"/>
      <c r="AO3583" s="82"/>
      <c r="AP3583" s="82"/>
      <c r="AQ3583" s="82"/>
      <c r="AR3583" s="82"/>
      <c r="AS3583" s="82"/>
      <c r="AT3583" s="82"/>
      <c r="AU3583" s="82"/>
      <c r="AV3583" s="82"/>
      <c r="AW3583" s="82" t="str">
        <f t="shared" si="1"/>
        <v/>
      </c>
      <c r="AX3583" s="83" t="str">
        <f t="array" ref="AX3583">IFERROR(DGET('SBV Import'!A:G,"SBV",{"RSC ID","Tier";B3583,A3583}))</f>
        <v/>
      </c>
      <c r="AY3583" s="82" t="str">
        <f t="shared" si="2"/>
        <v/>
      </c>
      <c r="AZ3583" s="82"/>
      <c r="BA3583" s="84" t="s">
        <v>152</v>
      </c>
      <c r="BB3583" s="84" t="str">
        <f>IFERROR(__xludf.DUMMYFUNCTION("iferror(if(A3583="""",,E3583&gt;=FILTER(Constants!$F$2:$F$10,Constants!$A$2:$A$10=A3583)))"),"")</f>
        <v/>
      </c>
    </row>
    <row r="3584">
      <c r="A3584" s="89"/>
      <c r="B3584" s="87"/>
      <c r="C3584" s="73"/>
      <c r="D3584" s="73"/>
      <c r="E3584" s="82"/>
      <c r="F3584" s="82"/>
      <c r="G3584" s="86"/>
      <c r="H3584" s="86"/>
      <c r="I3584" s="86"/>
      <c r="J3584" s="82"/>
      <c r="K3584" s="82"/>
      <c r="L3584" s="82"/>
      <c r="M3584" s="82"/>
      <c r="N3584" s="82"/>
      <c r="O3584" s="82"/>
      <c r="P3584" s="82"/>
      <c r="Q3584" s="82"/>
      <c r="R3584" s="82"/>
      <c r="S3584" s="82"/>
      <c r="T3584" s="82"/>
      <c r="U3584" s="82"/>
      <c r="V3584" s="82"/>
      <c r="W3584" s="82"/>
      <c r="X3584" s="82"/>
      <c r="Y3584" s="82"/>
      <c r="Z3584" s="82"/>
      <c r="AA3584" s="82"/>
      <c r="AB3584" s="82"/>
      <c r="AC3584" s="82"/>
      <c r="AD3584" s="82"/>
      <c r="AE3584" s="82"/>
      <c r="AF3584" s="82"/>
      <c r="AG3584" s="82"/>
      <c r="AH3584" s="82"/>
      <c r="AI3584" s="82"/>
      <c r="AJ3584" s="82"/>
      <c r="AK3584" s="82"/>
      <c r="AL3584" s="82"/>
      <c r="AM3584" s="82"/>
      <c r="AN3584" s="82"/>
      <c r="AO3584" s="82"/>
      <c r="AP3584" s="82"/>
      <c r="AQ3584" s="82"/>
      <c r="AR3584" s="82"/>
      <c r="AS3584" s="82"/>
      <c r="AT3584" s="82"/>
      <c r="AU3584" s="82"/>
      <c r="AV3584" s="82"/>
      <c r="AW3584" s="82" t="str">
        <f t="shared" si="1"/>
        <v/>
      </c>
      <c r="AX3584" s="83" t="str">
        <f t="array" ref="AX3584">IFERROR(DGET('SBV Import'!A:G,"SBV",{"RSC ID","Tier";B3584,A3584}))</f>
        <v/>
      </c>
      <c r="AY3584" s="82" t="str">
        <f t="shared" si="2"/>
        <v/>
      </c>
      <c r="AZ3584" s="82"/>
      <c r="BA3584" s="84" t="s">
        <v>152</v>
      </c>
      <c r="BB3584" s="84" t="str">
        <f>IFERROR(__xludf.DUMMYFUNCTION("iferror(if(A3584="""",,E3584&gt;=FILTER(Constants!$F$2:$F$10,Constants!$A$2:$A$10=A3584)))"),"")</f>
        <v/>
      </c>
    </row>
    <row r="3585">
      <c r="A3585" s="89"/>
      <c r="B3585" s="87"/>
      <c r="C3585" s="73"/>
      <c r="D3585" s="73"/>
      <c r="E3585" s="82"/>
      <c r="F3585" s="82"/>
      <c r="G3585" s="86"/>
      <c r="H3585" s="86"/>
      <c r="I3585" s="86"/>
      <c r="J3585" s="82"/>
      <c r="K3585" s="82"/>
      <c r="L3585" s="82"/>
      <c r="M3585" s="82"/>
      <c r="N3585" s="82"/>
      <c r="O3585" s="82"/>
      <c r="P3585" s="82"/>
      <c r="Q3585" s="82"/>
      <c r="R3585" s="82"/>
      <c r="S3585" s="82"/>
      <c r="T3585" s="82"/>
      <c r="U3585" s="82"/>
      <c r="V3585" s="82"/>
      <c r="W3585" s="82"/>
      <c r="X3585" s="82"/>
      <c r="Y3585" s="82"/>
      <c r="Z3585" s="82"/>
      <c r="AA3585" s="82"/>
      <c r="AB3585" s="82"/>
      <c r="AC3585" s="82"/>
      <c r="AD3585" s="82"/>
      <c r="AE3585" s="82"/>
      <c r="AF3585" s="82"/>
      <c r="AG3585" s="82"/>
      <c r="AH3585" s="82"/>
      <c r="AI3585" s="82"/>
      <c r="AJ3585" s="82"/>
      <c r="AK3585" s="82"/>
      <c r="AL3585" s="82"/>
      <c r="AM3585" s="82"/>
      <c r="AN3585" s="82"/>
      <c r="AO3585" s="82"/>
      <c r="AP3585" s="82"/>
      <c r="AQ3585" s="82"/>
      <c r="AR3585" s="82"/>
      <c r="AS3585" s="82"/>
      <c r="AT3585" s="82"/>
      <c r="AU3585" s="82"/>
      <c r="AV3585" s="82"/>
      <c r="AW3585" s="82" t="str">
        <f t="shared" si="1"/>
        <v/>
      </c>
      <c r="AX3585" s="83" t="str">
        <f t="array" ref="AX3585">IFERROR(DGET('SBV Import'!A:G,"SBV",{"RSC ID","Tier";B3585,A3585}))</f>
        <v/>
      </c>
      <c r="AY3585" s="82" t="str">
        <f t="shared" si="2"/>
        <v/>
      </c>
      <c r="AZ3585" s="82"/>
      <c r="BA3585" s="84" t="s">
        <v>152</v>
      </c>
      <c r="BB3585" s="84" t="str">
        <f>IFERROR(__xludf.DUMMYFUNCTION("iferror(if(A3585="""",,E3585&gt;=FILTER(Constants!$F$2:$F$10,Constants!$A$2:$A$10=A3585)))"),"")</f>
        <v/>
      </c>
    </row>
    <row r="3586">
      <c r="A3586" s="89"/>
      <c r="B3586" s="87"/>
      <c r="C3586" s="73"/>
      <c r="D3586" s="73"/>
      <c r="E3586" s="82"/>
      <c r="F3586" s="82"/>
      <c r="G3586" s="86"/>
      <c r="H3586" s="86"/>
      <c r="I3586" s="86"/>
      <c r="J3586" s="82"/>
      <c r="K3586" s="82"/>
      <c r="L3586" s="82"/>
      <c r="M3586" s="82"/>
      <c r="N3586" s="82"/>
      <c r="O3586" s="82"/>
      <c r="P3586" s="82"/>
      <c r="Q3586" s="82"/>
      <c r="R3586" s="82"/>
      <c r="S3586" s="82"/>
      <c r="T3586" s="82"/>
      <c r="U3586" s="82"/>
      <c r="V3586" s="82"/>
      <c r="W3586" s="82"/>
      <c r="X3586" s="82"/>
      <c r="Y3586" s="82"/>
      <c r="Z3586" s="82"/>
      <c r="AA3586" s="82"/>
      <c r="AB3586" s="82"/>
      <c r="AC3586" s="82"/>
      <c r="AD3586" s="82"/>
      <c r="AE3586" s="82"/>
      <c r="AF3586" s="82"/>
      <c r="AG3586" s="82"/>
      <c r="AH3586" s="82"/>
      <c r="AI3586" s="82"/>
      <c r="AJ3586" s="82"/>
      <c r="AK3586" s="82"/>
      <c r="AL3586" s="82"/>
      <c r="AM3586" s="82"/>
      <c r="AN3586" s="82"/>
      <c r="AO3586" s="82"/>
      <c r="AP3586" s="82"/>
      <c r="AQ3586" s="82"/>
      <c r="AR3586" s="82"/>
      <c r="AS3586" s="82"/>
      <c r="AT3586" s="82"/>
      <c r="AU3586" s="82"/>
      <c r="AV3586" s="82"/>
      <c r="AW3586" s="82" t="str">
        <f t="shared" si="1"/>
        <v/>
      </c>
      <c r="AX3586" s="83" t="str">
        <f t="array" ref="AX3586">IFERROR(DGET('SBV Import'!A:G,"SBV",{"RSC ID","Tier";B3586,A3586}))</f>
        <v/>
      </c>
      <c r="AY3586" s="82" t="str">
        <f t="shared" si="2"/>
        <v/>
      </c>
      <c r="AZ3586" s="82"/>
      <c r="BA3586" s="84" t="s">
        <v>152</v>
      </c>
      <c r="BB3586" s="84" t="str">
        <f>IFERROR(__xludf.DUMMYFUNCTION("iferror(if(A3586="""",,E3586&gt;=FILTER(Constants!$F$2:$F$10,Constants!$A$2:$A$10=A3586)))"),"")</f>
        <v/>
      </c>
    </row>
    <row r="3587">
      <c r="A3587" s="89"/>
      <c r="B3587" s="87"/>
      <c r="C3587" s="73"/>
      <c r="D3587" s="73"/>
      <c r="E3587" s="82"/>
      <c r="F3587" s="82"/>
      <c r="G3587" s="86"/>
      <c r="H3587" s="86"/>
      <c r="I3587" s="86"/>
      <c r="J3587" s="82"/>
      <c r="K3587" s="82"/>
      <c r="L3587" s="82"/>
      <c r="M3587" s="82"/>
      <c r="N3587" s="82"/>
      <c r="O3587" s="82"/>
      <c r="P3587" s="82"/>
      <c r="Q3587" s="82"/>
      <c r="R3587" s="82"/>
      <c r="S3587" s="82"/>
      <c r="T3587" s="82"/>
      <c r="U3587" s="82"/>
      <c r="V3587" s="82"/>
      <c r="W3587" s="82"/>
      <c r="X3587" s="82"/>
      <c r="Y3587" s="82"/>
      <c r="Z3587" s="82"/>
      <c r="AA3587" s="82"/>
      <c r="AB3587" s="82"/>
      <c r="AC3587" s="82"/>
      <c r="AD3587" s="82"/>
      <c r="AE3587" s="82"/>
      <c r="AF3587" s="82"/>
      <c r="AG3587" s="82"/>
      <c r="AH3587" s="82"/>
      <c r="AI3587" s="82"/>
      <c r="AJ3587" s="82"/>
      <c r="AK3587" s="82"/>
      <c r="AL3587" s="82"/>
      <c r="AM3587" s="82"/>
      <c r="AN3587" s="82"/>
      <c r="AO3587" s="82"/>
      <c r="AP3587" s="82"/>
      <c r="AQ3587" s="82"/>
      <c r="AR3587" s="82"/>
      <c r="AS3587" s="82"/>
      <c r="AT3587" s="82"/>
      <c r="AU3587" s="82"/>
      <c r="AV3587" s="82"/>
      <c r="AW3587" s="82" t="str">
        <f t="shared" si="1"/>
        <v/>
      </c>
      <c r="AX3587" s="83" t="str">
        <f t="array" ref="AX3587">IFERROR(DGET('SBV Import'!A:G,"SBV",{"RSC ID","Tier";B3587,A3587}))</f>
        <v/>
      </c>
      <c r="AY3587" s="82" t="str">
        <f t="shared" si="2"/>
        <v/>
      </c>
      <c r="AZ3587" s="82"/>
      <c r="BA3587" s="84" t="s">
        <v>152</v>
      </c>
      <c r="BB3587" s="84" t="str">
        <f>IFERROR(__xludf.DUMMYFUNCTION("iferror(if(A3587="""",,E3587&gt;=FILTER(Constants!$F$2:$F$10,Constants!$A$2:$A$10=A3587)))"),"")</f>
        <v/>
      </c>
    </row>
    <row r="3588">
      <c r="A3588" s="89"/>
      <c r="B3588" s="87"/>
      <c r="C3588" s="73"/>
      <c r="D3588" s="73"/>
      <c r="E3588" s="82"/>
      <c r="F3588" s="82"/>
      <c r="G3588" s="86"/>
      <c r="H3588" s="86"/>
      <c r="I3588" s="86"/>
      <c r="J3588" s="82"/>
      <c r="K3588" s="82"/>
      <c r="L3588" s="82"/>
      <c r="M3588" s="82"/>
      <c r="N3588" s="82"/>
      <c r="O3588" s="82"/>
      <c r="P3588" s="82"/>
      <c r="Q3588" s="82"/>
      <c r="R3588" s="82"/>
      <c r="S3588" s="82"/>
      <c r="T3588" s="82"/>
      <c r="U3588" s="82"/>
      <c r="V3588" s="82"/>
      <c r="W3588" s="82"/>
      <c r="X3588" s="82"/>
      <c r="Y3588" s="82"/>
      <c r="Z3588" s="82"/>
      <c r="AA3588" s="82"/>
      <c r="AB3588" s="82"/>
      <c r="AC3588" s="82"/>
      <c r="AD3588" s="82"/>
      <c r="AE3588" s="82"/>
      <c r="AF3588" s="82"/>
      <c r="AG3588" s="82"/>
      <c r="AH3588" s="82"/>
      <c r="AI3588" s="82"/>
      <c r="AJ3588" s="82"/>
      <c r="AK3588" s="82"/>
      <c r="AL3588" s="82"/>
      <c r="AM3588" s="82"/>
      <c r="AN3588" s="82"/>
      <c r="AO3588" s="82"/>
      <c r="AP3588" s="82"/>
      <c r="AQ3588" s="82"/>
      <c r="AR3588" s="82"/>
      <c r="AS3588" s="82"/>
      <c r="AT3588" s="82"/>
      <c r="AU3588" s="82"/>
      <c r="AV3588" s="82"/>
      <c r="AW3588" s="82" t="str">
        <f t="shared" si="1"/>
        <v/>
      </c>
      <c r="AX3588" s="83" t="str">
        <f t="array" ref="AX3588">IFERROR(DGET('SBV Import'!A:G,"SBV",{"RSC ID","Tier";B3588,A3588}))</f>
        <v/>
      </c>
      <c r="AY3588" s="82" t="str">
        <f t="shared" si="2"/>
        <v/>
      </c>
      <c r="AZ3588" s="82"/>
      <c r="BA3588" s="84" t="s">
        <v>152</v>
      </c>
      <c r="BB3588" s="84" t="str">
        <f>IFERROR(__xludf.DUMMYFUNCTION("iferror(if(A3588="""",,E3588&gt;=FILTER(Constants!$F$2:$F$10,Constants!$A$2:$A$10=A3588)))"),"")</f>
        <v/>
      </c>
    </row>
    <row r="3589">
      <c r="A3589" s="89"/>
      <c r="B3589" s="87"/>
      <c r="C3589" s="73"/>
      <c r="D3589" s="73"/>
      <c r="E3589" s="82"/>
      <c r="F3589" s="82"/>
      <c r="G3589" s="86"/>
      <c r="H3589" s="86"/>
      <c r="I3589" s="86"/>
      <c r="J3589" s="82"/>
      <c r="K3589" s="82"/>
      <c r="L3589" s="82"/>
      <c r="M3589" s="82"/>
      <c r="N3589" s="82"/>
      <c r="O3589" s="82"/>
      <c r="P3589" s="82"/>
      <c r="Q3589" s="82"/>
      <c r="R3589" s="82"/>
      <c r="S3589" s="82"/>
      <c r="T3589" s="82"/>
      <c r="U3589" s="82"/>
      <c r="V3589" s="82"/>
      <c r="W3589" s="82"/>
      <c r="X3589" s="82"/>
      <c r="Y3589" s="82"/>
      <c r="Z3589" s="82"/>
      <c r="AA3589" s="82"/>
      <c r="AB3589" s="82"/>
      <c r="AC3589" s="82"/>
      <c r="AD3589" s="82"/>
      <c r="AE3589" s="82"/>
      <c r="AF3589" s="82"/>
      <c r="AG3589" s="82"/>
      <c r="AH3589" s="82"/>
      <c r="AI3589" s="82"/>
      <c r="AJ3589" s="82"/>
      <c r="AK3589" s="82"/>
      <c r="AL3589" s="82"/>
      <c r="AM3589" s="82"/>
      <c r="AN3589" s="82"/>
      <c r="AO3589" s="82"/>
      <c r="AP3589" s="82"/>
      <c r="AQ3589" s="82"/>
      <c r="AR3589" s="82"/>
      <c r="AS3589" s="82"/>
      <c r="AT3589" s="82"/>
      <c r="AU3589" s="82"/>
      <c r="AV3589" s="82"/>
      <c r="AW3589" s="82" t="str">
        <f t="shared" si="1"/>
        <v/>
      </c>
      <c r="AX3589" s="83" t="str">
        <f t="array" ref="AX3589">IFERROR(DGET('SBV Import'!A:G,"SBV",{"RSC ID","Tier";B3589,A3589}))</f>
        <v/>
      </c>
      <c r="AY3589" s="82" t="str">
        <f t="shared" si="2"/>
        <v/>
      </c>
      <c r="AZ3589" s="82"/>
      <c r="BA3589" s="84" t="s">
        <v>152</v>
      </c>
      <c r="BB3589" s="84" t="str">
        <f>IFERROR(__xludf.DUMMYFUNCTION("iferror(if(A3589="""",,E3589&gt;=FILTER(Constants!$F$2:$F$10,Constants!$A$2:$A$10=A3589)))"),"")</f>
        <v/>
      </c>
    </row>
    <row r="3590">
      <c r="A3590" s="89"/>
      <c r="B3590" s="87"/>
      <c r="C3590" s="73"/>
      <c r="D3590" s="73"/>
      <c r="E3590" s="82"/>
      <c r="F3590" s="82"/>
      <c r="G3590" s="86"/>
      <c r="H3590" s="86"/>
      <c r="I3590" s="86"/>
      <c r="J3590" s="82"/>
      <c r="K3590" s="82"/>
      <c r="L3590" s="82"/>
      <c r="M3590" s="82"/>
      <c r="N3590" s="82"/>
      <c r="O3590" s="82"/>
      <c r="P3590" s="82"/>
      <c r="Q3590" s="82"/>
      <c r="R3590" s="82"/>
      <c r="S3590" s="82"/>
      <c r="T3590" s="82"/>
      <c r="U3590" s="82"/>
      <c r="V3590" s="82"/>
      <c r="W3590" s="82"/>
      <c r="X3590" s="82"/>
      <c r="Y3590" s="82"/>
      <c r="Z3590" s="82"/>
      <c r="AA3590" s="82"/>
      <c r="AB3590" s="82"/>
      <c r="AC3590" s="82"/>
      <c r="AD3590" s="82"/>
      <c r="AE3590" s="82"/>
      <c r="AF3590" s="82"/>
      <c r="AG3590" s="82"/>
      <c r="AH3590" s="82"/>
      <c r="AI3590" s="82"/>
      <c r="AJ3590" s="82"/>
      <c r="AK3590" s="82"/>
      <c r="AL3590" s="82"/>
      <c r="AM3590" s="82"/>
      <c r="AN3590" s="82"/>
      <c r="AO3590" s="82"/>
      <c r="AP3590" s="82"/>
      <c r="AQ3590" s="82"/>
      <c r="AR3590" s="82"/>
      <c r="AS3590" s="82"/>
      <c r="AT3590" s="82"/>
      <c r="AU3590" s="82"/>
      <c r="AV3590" s="82"/>
      <c r="AW3590" s="82" t="str">
        <f t="shared" si="1"/>
        <v/>
      </c>
      <c r="AX3590" s="83" t="str">
        <f t="array" ref="AX3590">IFERROR(DGET('SBV Import'!A:G,"SBV",{"RSC ID","Tier";B3590,A3590}))</f>
        <v/>
      </c>
      <c r="AY3590" s="82" t="str">
        <f t="shared" si="2"/>
        <v/>
      </c>
      <c r="AZ3590" s="82"/>
      <c r="BA3590" s="84" t="s">
        <v>152</v>
      </c>
      <c r="BB3590" s="84" t="str">
        <f>IFERROR(__xludf.DUMMYFUNCTION("iferror(if(A3590="""",,E3590&gt;=FILTER(Constants!$F$2:$F$10,Constants!$A$2:$A$10=A3590)))"),"")</f>
        <v/>
      </c>
    </row>
    <row r="3591">
      <c r="A3591" s="89"/>
      <c r="B3591" s="87"/>
      <c r="C3591" s="73"/>
      <c r="D3591" s="73"/>
      <c r="E3591" s="82"/>
      <c r="F3591" s="82"/>
      <c r="G3591" s="86"/>
      <c r="H3591" s="86"/>
      <c r="I3591" s="86"/>
      <c r="J3591" s="82"/>
      <c r="K3591" s="82"/>
      <c r="L3591" s="82"/>
      <c r="M3591" s="82"/>
      <c r="N3591" s="82"/>
      <c r="O3591" s="82"/>
      <c r="P3591" s="82"/>
      <c r="Q3591" s="82"/>
      <c r="R3591" s="82"/>
      <c r="S3591" s="82"/>
      <c r="T3591" s="82"/>
      <c r="U3591" s="82"/>
      <c r="V3591" s="82"/>
      <c r="W3591" s="82"/>
      <c r="X3591" s="82"/>
      <c r="Y3591" s="82"/>
      <c r="Z3591" s="82"/>
      <c r="AA3591" s="82"/>
      <c r="AB3591" s="82"/>
      <c r="AC3591" s="82"/>
      <c r="AD3591" s="82"/>
      <c r="AE3591" s="82"/>
      <c r="AF3591" s="82"/>
      <c r="AG3591" s="82"/>
      <c r="AH3591" s="82"/>
      <c r="AI3591" s="82"/>
      <c r="AJ3591" s="82"/>
      <c r="AK3591" s="82"/>
      <c r="AL3591" s="82"/>
      <c r="AM3591" s="82"/>
      <c r="AN3591" s="82"/>
      <c r="AO3591" s="82"/>
      <c r="AP3591" s="82"/>
      <c r="AQ3591" s="82"/>
      <c r="AR3591" s="82"/>
      <c r="AS3591" s="82"/>
      <c r="AT3591" s="82"/>
      <c r="AU3591" s="82"/>
      <c r="AV3591" s="82"/>
      <c r="AW3591" s="82" t="str">
        <f t="shared" si="1"/>
        <v/>
      </c>
      <c r="AX3591" s="83" t="str">
        <f t="array" ref="AX3591">IFERROR(DGET('SBV Import'!A:G,"SBV",{"RSC ID","Tier";B3591,A3591}))</f>
        <v/>
      </c>
      <c r="AY3591" s="82" t="str">
        <f t="shared" si="2"/>
        <v/>
      </c>
      <c r="AZ3591" s="82"/>
      <c r="BA3591" s="84" t="s">
        <v>152</v>
      </c>
      <c r="BB3591" s="84" t="str">
        <f>IFERROR(__xludf.DUMMYFUNCTION("iferror(if(A3591="""",,E3591&gt;=FILTER(Constants!$F$2:$F$10,Constants!$A$2:$A$10=A3591)))"),"")</f>
        <v/>
      </c>
    </row>
    <row r="3592">
      <c r="A3592" s="89"/>
      <c r="B3592" s="87"/>
      <c r="C3592" s="73"/>
      <c r="D3592" s="73"/>
      <c r="E3592" s="82"/>
      <c r="F3592" s="82"/>
      <c r="G3592" s="86"/>
      <c r="H3592" s="86"/>
      <c r="I3592" s="86"/>
      <c r="J3592" s="82"/>
      <c r="K3592" s="82"/>
      <c r="L3592" s="82"/>
      <c r="M3592" s="82"/>
      <c r="N3592" s="82"/>
      <c r="O3592" s="82"/>
      <c r="P3592" s="82"/>
      <c r="Q3592" s="82"/>
      <c r="R3592" s="82"/>
      <c r="S3592" s="82"/>
      <c r="T3592" s="82"/>
      <c r="U3592" s="82"/>
      <c r="V3592" s="82"/>
      <c r="W3592" s="82"/>
      <c r="X3592" s="82"/>
      <c r="Y3592" s="82"/>
      <c r="Z3592" s="82"/>
      <c r="AA3592" s="82"/>
      <c r="AB3592" s="82"/>
      <c r="AC3592" s="82"/>
      <c r="AD3592" s="82"/>
      <c r="AE3592" s="82"/>
      <c r="AF3592" s="82"/>
      <c r="AG3592" s="82"/>
      <c r="AH3592" s="82"/>
      <c r="AI3592" s="82"/>
      <c r="AJ3592" s="82"/>
      <c r="AK3592" s="82"/>
      <c r="AL3592" s="82"/>
      <c r="AM3592" s="82"/>
      <c r="AN3592" s="82"/>
      <c r="AO3592" s="82"/>
      <c r="AP3592" s="82"/>
      <c r="AQ3592" s="82"/>
      <c r="AR3592" s="82"/>
      <c r="AS3592" s="82"/>
      <c r="AT3592" s="82"/>
      <c r="AU3592" s="82"/>
      <c r="AV3592" s="82"/>
      <c r="AW3592" s="82" t="str">
        <f t="shared" si="1"/>
        <v/>
      </c>
      <c r="AX3592" s="83" t="str">
        <f t="array" ref="AX3592">IFERROR(DGET('SBV Import'!A:G,"SBV",{"RSC ID","Tier";B3592,A3592}))</f>
        <v/>
      </c>
      <c r="AY3592" s="82" t="str">
        <f t="shared" si="2"/>
        <v/>
      </c>
      <c r="AZ3592" s="82"/>
      <c r="BA3592" s="84" t="s">
        <v>152</v>
      </c>
      <c r="BB3592" s="84" t="str">
        <f>IFERROR(__xludf.DUMMYFUNCTION("iferror(if(A3592="""",,E3592&gt;=FILTER(Constants!$F$2:$F$10,Constants!$A$2:$A$10=A3592)))"),"")</f>
        <v/>
      </c>
    </row>
    <row r="3593">
      <c r="A3593" s="89"/>
      <c r="B3593" s="87"/>
      <c r="C3593" s="73"/>
      <c r="D3593" s="73"/>
      <c r="E3593" s="82"/>
      <c r="F3593" s="82"/>
      <c r="G3593" s="86"/>
      <c r="H3593" s="86"/>
      <c r="I3593" s="86"/>
      <c r="J3593" s="82"/>
      <c r="K3593" s="82"/>
      <c r="L3593" s="82"/>
      <c r="M3593" s="82"/>
      <c r="N3593" s="82"/>
      <c r="O3593" s="82"/>
      <c r="P3593" s="82"/>
      <c r="Q3593" s="82"/>
      <c r="R3593" s="82"/>
      <c r="S3593" s="82"/>
      <c r="T3593" s="82"/>
      <c r="U3593" s="82"/>
      <c r="V3593" s="82"/>
      <c r="W3593" s="82"/>
      <c r="X3593" s="82"/>
      <c r="Y3593" s="82"/>
      <c r="Z3593" s="82"/>
      <c r="AA3593" s="82"/>
      <c r="AB3593" s="82"/>
      <c r="AC3593" s="82"/>
      <c r="AD3593" s="82"/>
      <c r="AE3593" s="82"/>
      <c r="AF3593" s="82"/>
      <c r="AG3593" s="82"/>
      <c r="AH3593" s="82"/>
      <c r="AI3593" s="82"/>
      <c r="AJ3593" s="82"/>
      <c r="AK3593" s="82"/>
      <c r="AL3593" s="82"/>
      <c r="AM3593" s="82"/>
      <c r="AN3593" s="82"/>
      <c r="AO3593" s="82"/>
      <c r="AP3593" s="82"/>
      <c r="AQ3593" s="82"/>
      <c r="AR3593" s="82"/>
      <c r="AS3593" s="82"/>
      <c r="AT3593" s="82"/>
      <c r="AU3593" s="82"/>
      <c r="AV3593" s="82"/>
      <c r="AW3593" s="82" t="str">
        <f t="shared" si="1"/>
        <v/>
      </c>
      <c r="AX3593" s="83" t="str">
        <f t="array" ref="AX3593">IFERROR(DGET('SBV Import'!A:G,"SBV",{"RSC ID","Tier";B3593,A3593}))</f>
        <v/>
      </c>
      <c r="AY3593" s="82" t="str">
        <f t="shared" si="2"/>
        <v/>
      </c>
      <c r="AZ3593" s="82"/>
      <c r="BA3593" s="84" t="s">
        <v>152</v>
      </c>
      <c r="BB3593" s="84" t="str">
        <f>IFERROR(__xludf.DUMMYFUNCTION("iferror(if(A3593="""",,E3593&gt;=FILTER(Constants!$F$2:$F$10,Constants!$A$2:$A$10=A3593)))"),"")</f>
        <v/>
      </c>
    </row>
    <row r="3594">
      <c r="A3594" s="89"/>
      <c r="B3594" s="87"/>
      <c r="C3594" s="73"/>
      <c r="D3594" s="73"/>
      <c r="E3594" s="82"/>
      <c r="F3594" s="82"/>
      <c r="G3594" s="86"/>
      <c r="H3594" s="86"/>
      <c r="I3594" s="86"/>
      <c r="J3594" s="82"/>
      <c r="K3594" s="82"/>
      <c r="L3594" s="82"/>
      <c r="M3594" s="82"/>
      <c r="N3594" s="82"/>
      <c r="O3594" s="82"/>
      <c r="P3594" s="82"/>
      <c r="Q3594" s="82"/>
      <c r="R3594" s="82"/>
      <c r="S3594" s="82"/>
      <c r="T3594" s="82"/>
      <c r="U3594" s="82"/>
      <c r="V3594" s="82"/>
      <c r="W3594" s="82"/>
      <c r="X3594" s="82"/>
      <c r="Y3594" s="82"/>
      <c r="Z3594" s="82"/>
      <c r="AA3594" s="82"/>
      <c r="AB3594" s="82"/>
      <c r="AC3594" s="82"/>
      <c r="AD3594" s="82"/>
      <c r="AE3594" s="82"/>
      <c r="AF3594" s="82"/>
      <c r="AG3594" s="82"/>
      <c r="AH3594" s="82"/>
      <c r="AI3594" s="82"/>
      <c r="AJ3594" s="82"/>
      <c r="AK3594" s="82"/>
      <c r="AL3594" s="82"/>
      <c r="AM3594" s="82"/>
      <c r="AN3594" s="82"/>
      <c r="AO3594" s="82"/>
      <c r="AP3594" s="82"/>
      <c r="AQ3594" s="82"/>
      <c r="AR3594" s="82"/>
      <c r="AS3594" s="82"/>
      <c r="AT3594" s="82"/>
      <c r="AU3594" s="82"/>
      <c r="AV3594" s="82"/>
      <c r="AW3594" s="82" t="str">
        <f t="shared" si="1"/>
        <v/>
      </c>
      <c r="AX3594" s="83" t="str">
        <f t="array" ref="AX3594">IFERROR(DGET('SBV Import'!A:G,"SBV",{"RSC ID","Tier";B3594,A3594}))</f>
        <v/>
      </c>
      <c r="AY3594" s="82" t="str">
        <f t="shared" si="2"/>
        <v/>
      </c>
      <c r="AZ3594" s="82"/>
      <c r="BA3594" s="84" t="s">
        <v>152</v>
      </c>
      <c r="BB3594" s="84" t="str">
        <f>IFERROR(__xludf.DUMMYFUNCTION("iferror(if(A3594="""",,E3594&gt;=FILTER(Constants!$F$2:$F$10,Constants!$A$2:$A$10=A3594)))"),"")</f>
        <v/>
      </c>
    </row>
    <row r="3595">
      <c r="A3595" s="89"/>
      <c r="B3595" s="87"/>
      <c r="C3595" s="73"/>
      <c r="D3595" s="73"/>
      <c r="E3595" s="82"/>
      <c r="F3595" s="82"/>
      <c r="G3595" s="86"/>
      <c r="H3595" s="86"/>
      <c r="I3595" s="86"/>
      <c r="J3595" s="82"/>
      <c r="K3595" s="82"/>
      <c r="L3595" s="82"/>
      <c r="M3595" s="82"/>
      <c r="N3595" s="82"/>
      <c r="O3595" s="82"/>
      <c r="P3595" s="82"/>
      <c r="Q3595" s="82"/>
      <c r="R3595" s="82"/>
      <c r="S3595" s="82"/>
      <c r="T3595" s="82"/>
      <c r="U3595" s="82"/>
      <c r="V3595" s="82"/>
      <c r="W3595" s="82"/>
      <c r="X3595" s="82"/>
      <c r="Y3595" s="82"/>
      <c r="Z3595" s="82"/>
      <c r="AA3595" s="82"/>
      <c r="AB3595" s="82"/>
      <c r="AC3595" s="82"/>
      <c r="AD3595" s="82"/>
      <c r="AE3595" s="82"/>
      <c r="AF3595" s="82"/>
      <c r="AG3595" s="82"/>
      <c r="AH3595" s="82"/>
      <c r="AI3595" s="82"/>
      <c r="AJ3595" s="82"/>
      <c r="AK3595" s="82"/>
      <c r="AL3595" s="82"/>
      <c r="AM3595" s="82"/>
      <c r="AN3595" s="82"/>
      <c r="AO3595" s="82"/>
      <c r="AP3595" s="82"/>
      <c r="AQ3595" s="82"/>
      <c r="AR3595" s="82"/>
      <c r="AS3595" s="82"/>
      <c r="AT3595" s="82"/>
      <c r="AU3595" s="82"/>
      <c r="AV3595" s="82"/>
      <c r="AW3595" s="82" t="str">
        <f t="shared" si="1"/>
        <v/>
      </c>
      <c r="AX3595" s="83" t="str">
        <f t="array" ref="AX3595">IFERROR(DGET('SBV Import'!A:G,"SBV",{"RSC ID","Tier";B3595,A3595}))</f>
        <v/>
      </c>
      <c r="AY3595" s="82" t="str">
        <f t="shared" si="2"/>
        <v/>
      </c>
      <c r="AZ3595" s="82"/>
      <c r="BA3595" s="84" t="s">
        <v>152</v>
      </c>
      <c r="BB3595" s="84" t="str">
        <f>IFERROR(__xludf.DUMMYFUNCTION("iferror(if(A3595="""",,E3595&gt;=FILTER(Constants!$F$2:$F$10,Constants!$A$2:$A$10=A3595)))"),"")</f>
        <v/>
      </c>
    </row>
    <row r="3596">
      <c r="A3596" s="89"/>
      <c r="B3596" s="87"/>
      <c r="C3596" s="73"/>
      <c r="D3596" s="73"/>
      <c r="E3596" s="82"/>
      <c r="F3596" s="82"/>
      <c r="G3596" s="86"/>
      <c r="H3596" s="86"/>
      <c r="I3596" s="86"/>
      <c r="J3596" s="82"/>
      <c r="K3596" s="82"/>
      <c r="L3596" s="82"/>
      <c r="M3596" s="82"/>
      <c r="N3596" s="82"/>
      <c r="O3596" s="82"/>
      <c r="P3596" s="82"/>
      <c r="Q3596" s="82"/>
      <c r="R3596" s="82"/>
      <c r="S3596" s="82"/>
      <c r="T3596" s="82"/>
      <c r="U3596" s="82"/>
      <c r="V3596" s="82"/>
      <c r="W3596" s="82"/>
      <c r="X3596" s="82"/>
      <c r="Y3596" s="82"/>
      <c r="Z3596" s="82"/>
      <c r="AA3596" s="82"/>
      <c r="AB3596" s="82"/>
      <c r="AC3596" s="82"/>
      <c r="AD3596" s="82"/>
      <c r="AE3596" s="82"/>
      <c r="AF3596" s="82"/>
      <c r="AG3596" s="82"/>
      <c r="AH3596" s="82"/>
      <c r="AI3596" s="82"/>
      <c r="AJ3596" s="82"/>
      <c r="AK3596" s="82"/>
      <c r="AL3596" s="82"/>
      <c r="AM3596" s="82"/>
      <c r="AN3596" s="82"/>
      <c r="AO3596" s="82"/>
      <c r="AP3596" s="82"/>
      <c r="AQ3596" s="82"/>
      <c r="AR3596" s="82"/>
      <c r="AS3596" s="82"/>
      <c r="AT3596" s="82"/>
      <c r="AU3596" s="82"/>
      <c r="AV3596" s="82"/>
      <c r="AW3596" s="82" t="str">
        <f t="shared" si="1"/>
        <v/>
      </c>
      <c r="AX3596" s="83" t="str">
        <f t="array" ref="AX3596">IFERROR(DGET('SBV Import'!A:G,"SBV",{"RSC ID","Tier";B3596,A3596}))</f>
        <v/>
      </c>
      <c r="AY3596" s="82" t="str">
        <f t="shared" si="2"/>
        <v/>
      </c>
      <c r="AZ3596" s="82"/>
      <c r="BA3596" s="84" t="s">
        <v>152</v>
      </c>
      <c r="BB3596" s="84" t="str">
        <f>IFERROR(__xludf.DUMMYFUNCTION("iferror(if(A3596="""",,E3596&gt;=FILTER(Constants!$F$2:$F$10,Constants!$A$2:$A$10=A3596)))"),"")</f>
        <v/>
      </c>
    </row>
    <row r="3597">
      <c r="A3597" s="89"/>
      <c r="B3597" s="87"/>
      <c r="C3597" s="73"/>
      <c r="D3597" s="73"/>
      <c r="E3597" s="82"/>
      <c r="F3597" s="82"/>
      <c r="G3597" s="86"/>
      <c r="H3597" s="86"/>
      <c r="I3597" s="86"/>
      <c r="J3597" s="82"/>
      <c r="K3597" s="82"/>
      <c r="L3597" s="82"/>
      <c r="M3597" s="82"/>
      <c r="N3597" s="82"/>
      <c r="O3597" s="82"/>
      <c r="P3597" s="82"/>
      <c r="Q3597" s="82"/>
      <c r="R3597" s="82"/>
      <c r="S3597" s="82"/>
      <c r="T3597" s="82"/>
      <c r="U3597" s="82"/>
      <c r="V3597" s="82"/>
      <c r="W3597" s="82"/>
      <c r="X3597" s="82"/>
      <c r="Y3597" s="82"/>
      <c r="Z3597" s="82"/>
      <c r="AA3597" s="82"/>
      <c r="AB3597" s="82"/>
      <c r="AC3597" s="82"/>
      <c r="AD3597" s="82"/>
      <c r="AE3597" s="82"/>
      <c r="AF3597" s="82"/>
      <c r="AG3597" s="82"/>
      <c r="AH3597" s="82"/>
      <c r="AI3597" s="82"/>
      <c r="AJ3597" s="82"/>
      <c r="AK3597" s="82"/>
      <c r="AL3597" s="82"/>
      <c r="AM3597" s="82"/>
      <c r="AN3597" s="82"/>
      <c r="AO3597" s="82"/>
      <c r="AP3597" s="82"/>
      <c r="AQ3597" s="82"/>
      <c r="AR3597" s="82"/>
      <c r="AS3597" s="82"/>
      <c r="AT3597" s="82"/>
      <c r="AU3597" s="82"/>
      <c r="AV3597" s="82"/>
      <c r="AW3597" s="82" t="str">
        <f t="shared" si="1"/>
        <v/>
      </c>
      <c r="AX3597" s="83" t="str">
        <f t="array" ref="AX3597">IFERROR(DGET('SBV Import'!A:G,"SBV",{"RSC ID","Tier";B3597,A3597}))</f>
        <v/>
      </c>
      <c r="AY3597" s="82" t="str">
        <f t="shared" si="2"/>
        <v/>
      </c>
      <c r="AZ3597" s="82"/>
      <c r="BA3597" s="84" t="s">
        <v>152</v>
      </c>
      <c r="BB3597" s="84" t="str">
        <f>IFERROR(__xludf.DUMMYFUNCTION("iferror(if(A3597="""",,E3597&gt;=FILTER(Constants!$F$2:$F$10,Constants!$A$2:$A$10=A3597)))"),"")</f>
        <v/>
      </c>
    </row>
    <row r="3598">
      <c r="A3598" s="89"/>
      <c r="B3598" s="87"/>
      <c r="C3598" s="73"/>
      <c r="D3598" s="73"/>
      <c r="E3598" s="82"/>
      <c r="F3598" s="82"/>
      <c r="G3598" s="86"/>
      <c r="H3598" s="86"/>
      <c r="I3598" s="86"/>
      <c r="J3598" s="82"/>
      <c r="K3598" s="82"/>
      <c r="L3598" s="82"/>
      <c r="M3598" s="82"/>
      <c r="N3598" s="82"/>
      <c r="O3598" s="82"/>
      <c r="P3598" s="82"/>
      <c r="Q3598" s="82"/>
      <c r="R3598" s="82"/>
      <c r="S3598" s="82"/>
      <c r="T3598" s="82"/>
      <c r="U3598" s="82"/>
      <c r="V3598" s="82"/>
      <c r="W3598" s="82"/>
      <c r="X3598" s="82"/>
      <c r="Y3598" s="82"/>
      <c r="Z3598" s="82"/>
      <c r="AA3598" s="82"/>
      <c r="AB3598" s="82"/>
      <c r="AC3598" s="82"/>
      <c r="AD3598" s="82"/>
      <c r="AE3598" s="82"/>
      <c r="AF3598" s="82"/>
      <c r="AG3598" s="82"/>
      <c r="AH3598" s="82"/>
      <c r="AI3598" s="82"/>
      <c r="AJ3598" s="82"/>
      <c r="AK3598" s="82"/>
      <c r="AL3598" s="82"/>
      <c r="AM3598" s="82"/>
      <c r="AN3598" s="82"/>
      <c r="AO3598" s="82"/>
      <c r="AP3598" s="82"/>
      <c r="AQ3598" s="82"/>
      <c r="AR3598" s="82"/>
      <c r="AS3598" s="82"/>
      <c r="AT3598" s="82"/>
      <c r="AU3598" s="82"/>
      <c r="AV3598" s="82"/>
      <c r="AW3598" s="82" t="str">
        <f t="shared" si="1"/>
        <v/>
      </c>
      <c r="AX3598" s="83" t="str">
        <f t="array" ref="AX3598">IFERROR(DGET('SBV Import'!A:G,"SBV",{"RSC ID","Tier";B3598,A3598}))</f>
        <v/>
      </c>
      <c r="AY3598" s="82" t="str">
        <f t="shared" si="2"/>
        <v/>
      </c>
      <c r="AZ3598" s="82"/>
      <c r="BA3598" s="84" t="s">
        <v>152</v>
      </c>
      <c r="BB3598" s="84" t="str">
        <f>IFERROR(__xludf.DUMMYFUNCTION("iferror(if(A3598="""",,E3598&gt;=FILTER(Constants!$F$2:$F$10,Constants!$A$2:$A$10=A3598)))"),"")</f>
        <v/>
      </c>
    </row>
    <row r="3599">
      <c r="A3599" s="89"/>
      <c r="B3599" s="87"/>
      <c r="C3599" s="73"/>
      <c r="D3599" s="73"/>
      <c r="E3599" s="82"/>
      <c r="F3599" s="82"/>
      <c r="G3599" s="86"/>
      <c r="H3599" s="86"/>
      <c r="I3599" s="86"/>
      <c r="J3599" s="82"/>
      <c r="K3599" s="82"/>
      <c r="L3599" s="82"/>
      <c r="M3599" s="82"/>
      <c r="N3599" s="82"/>
      <c r="O3599" s="82"/>
      <c r="P3599" s="82"/>
      <c r="Q3599" s="82"/>
      <c r="R3599" s="82"/>
      <c r="S3599" s="82"/>
      <c r="T3599" s="82"/>
      <c r="U3599" s="82"/>
      <c r="V3599" s="82"/>
      <c r="W3599" s="82"/>
      <c r="X3599" s="82"/>
      <c r="Y3599" s="82"/>
      <c r="Z3599" s="82"/>
      <c r="AA3599" s="82"/>
      <c r="AB3599" s="82"/>
      <c r="AC3599" s="82"/>
      <c r="AD3599" s="82"/>
      <c r="AE3599" s="82"/>
      <c r="AF3599" s="82"/>
      <c r="AG3599" s="82"/>
      <c r="AH3599" s="82"/>
      <c r="AI3599" s="82"/>
      <c r="AJ3599" s="82"/>
      <c r="AK3599" s="82"/>
      <c r="AL3599" s="82"/>
      <c r="AM3599" s="82"/>
      <c r="AN3599" s="82"/>
      <c r="AO3599" s="82"/>
      <c r="AP3599" s="82"/>
      <c r="AQ3599" s="82"/>
      <c r="AR3599" s="82"/>
      <c r="AS3599" s="82"/>
      <c r="AT3599" s="82"/>
      <c r="AU3599" s="82"/>
      <c r="AV3599" s="82"/>
      <c r="AW3599" s="82" t="str">
        <f t="shared" si="1"/>
        <v/>
      </c>
      <c r="AX3599" s="83" t="str">
        <f t="array" ref="AX3599">IFERROR(DGET('SBV Import'!A:G,"SBV",{"RSC ID","Tier";B3599,A3599}))</f>
        <v/>
      </c>
      <c r="AY3599" s="82" t="str">
        <f t="shared" si="2"/>
        <v/>
      </c>
      <c r="AZ3599" s="82"/>
      <c r="BA3599" s="84" t="s">
        <v>152</v>
      </c>
      <c r="BB3599" s="84" t="str">
        <f>IFERROR(__xludf.DUMMYFUNCTION("iferror(if(A3599="""",,E3599&gt;=FILTER(Constants!$F$2:$F$10,Constants!$A$2:$A$10=A3599)))"),"")</f>
        <v/>
      </c>
    </row>
    <row r="3600">
      <c r="A3600" s="89"/>
      <c r="B3600" s="87"/>
      <c r="C3600" s="73"/>
      <c r="D3600" s="73"/>
      <c r="E3600" s="82"/>
      <c r="F3600" s="82"/>
      <c r="G3600" s="86"/>
      <c r="H3600" s="86"/>
      <c r="I3600" s="86"/>
      <c r="J3600" s="82"/>
      <c r="K3600" s="82"/>
      <c r="L3600" s="82"/>
      <c r="M3600" s="82"/>
      <c r="N3600" s="82"/>
      <c r="O3600" s="82"/>
      <c r="P3600" s="82"/>
      <c r="Q3600" s="82"/>
      <c r="R3600" s="82"/>
      <c r="S3600" s="82"/>
      <c r="T3600" s="82"/>
      <c r="U3600" s="82"/>
      <c r="V3600" s="82"/>
      <c r="W3600" s="82"/>
      <c r="X3600" s="82"/>
      <c r="Y3600" s="82"/>
      <c r="Z3600" s="82"/>
      <c r="AA3600" s="82"/>
      <c r="AB3600" s="82"/>
      <c r="AC3600" s="82"/>
      <c r="AD3600" s="82"/>
      <c r="AE3600" s="82"/>
      <c r="AF3600" s="82"/>
      <c r="AG3600" s="82"/>
      <c r="AH3600" s="82"/>
      <c r="AI3600" s="82"/>
      <c r="AJ3600" s="82"/>
      <c r="AK3600" s="82"/>
      <c r="AL3600" s="82"/>
      <c r="AM3600" s="82"/>
      <c r="AN3600" s="82"/>
      <c r="AO3600" s="82"/>
      <c r="AP3600" s="82"/>
      <c r="AQ3600" s="82"/>
      <c r="AR3600" s="82"/>
      <c r="AS3600" s="82"/>
      <c r="AT3600" s="82"/>
      <c r="AU3600" s="82"/>
      <c r="AV3600" s="82"/>
      <c r="AW3600" s="82" t="str">
        <f t="shared" si="1"/>
        <v/>
      </c>
      <c r="AX3600" s="83" t="str">
        <f t="array" ref="AX3600">IFERROR(DGET('SBV Import'!A:G,"SBV",{"RSC ID","Tier";B3600,A3600}))</f>
        <v/>
      </c>
      <c r="AY3600" s="82" t="str">
        <f t="shared" si="2"/>
        <v/>
      </c>
      <c r="AZ3600" s="82"/>
      <c r="BA3600" s="84" t="s">
        <v>152</v>
      </c>
      <c r="BB3600" s="84" t="str">
        <f>IFERROR(__xludf.DUMMYFUNCTION("iferror(if(A3600="""",,E3600&gt;=FILTER(Constants!$F$2:$F$10,Constants!$A$2:$A$10=A3600)))"),"")</f>
        <v/>
      </c>
    </row>
    <row r="3601">
      <c r="A3601" s="89"/>
      <c r="B3601" s="87"/>
      <c r="C3601" s="73"/>
      <c r="D3601" s="73"/>
      <c r="E3601" s="82"/>
      <c r="F3601" s="82"/>
      <c r="G3601" s="86"/>
      <c r="H3601" s="86"/>
      <c r="I3601" s="86"/>
      <c r="J3601" s="82"/>
      <c r="K3601" s="82"/>
      <c r="L3601" s="82"/>
      <c r="M3601" s="82"/>
      <c r="N3601" s="82"/>
      <c r="O3601" s="82"/>
      <c r="P3601" s="82"/>
      <c r="Q3601" s="82"/>
      <c r="R3601" s="82"/>
      <c r="S3601" s="82"/>
      <c r="T3601" s="82"/>
      <c r="U3601" s="82"/>
      <c r="V3601" s="82"/>
      <c r="W3601" s="82"/>
      <c r="X3601" s="82"/>
      <c r="Y3601" s="82"/>
      <c r="Z3601" s="82"/>
      <c r="AA3601" s="82"/>
      <c r="AB3601" s="82"/>
      <c r="AC3601" s="82"/>
      <c r="AD3601" s="82"/>
      <c r="AE3601" s="82"/>
      <c r="AF3601" s="82"/>
      <c r="AG3601" s="82"/>
      <c r="AH3601" s="82"/>
      <c r="AI3601" s="82"/>
      <c r="AJ3601" s="82"/>
      <c r="AK3601" s="82"/>
      <c r="AL3601" s="82"/>
      <c r="AM3601" s="82"/>
      <c r="AN3601" s="82"/>
      <c r="AO3601" s="82"/>
      <c r="AP3601" s="82"/>
      <c r="AQ3601" s="82"/>
      <c r="AR3601" s="82"/>
      <c r="AS3601" s="82"/>
      <c r="AT3601" s="82"/>
      <c r="AU3601" s="82"/>
      <c r="AV3601" s="82"/>
      <c r="AW3601" s="82" t="str">
        <f t="shared" si="1"/>
        <v/>
      </c>
      <c r="AX3601" s="83" t="str">
        <f t="array" ref="AX3601">IFERROR(DGET('SBV Import'!A:G,"SBV",{"RSC ID","Tier";B3601,A3601}))</f>
        <v/>
      </c>
      <c r="AY3601" s="82" t="str">
        <f t="shared" si="2"/>
        <v/>
      </c>
      <c r="AZ3601" s="82"/>
      <c r="BA3601" s="84" t="s">
        <v>152</v>
      </c>
      <c r="BB3601" s="84" t="str">
        <f>IFERROR(__xludf.DUMMYFUNCTION("iferror(if(A3601="""",,E3601&gt;=FILTER(Constants!$F$2:$F$10,Constants!$A$2:$A$10=A3601)))"),"")</f>
        <v/>
      </c>
    </row>
    <row r="3602">
      <c r="A3602" s="89"/>
      <c r="B3602" s="87"/>
      <c r="C3602" s="73"/>
      <c r="D3602" s="73"/>
      <c r="E3602" s="82"/>
      <c r="F3602" s="82"/>
      <c r="G3602" s="86"/>
      <c r="H3602" s="86"/>
      <c r="I3602" s="86"/>
      <c r="J3602" s="82"/>
      <c r="K3602" s="82"/>
      <c r="L3602" s="82"/>
      <c r="M3602" s="82"/>
      <c r="N3602" s="82"/>
      <c r="O3602" s="82"/>
      <c r="P3602" s="82"/>
      <c r="Q3602" s="82"/>
      <c r="R3602" s="82"/>
      <c r="S3602" s="82"/>
      <c r="T3602" s="82"/>
      <c r="U3602" s="82"/>
      <c r="V3602" s="82"/>
      <c r="W3602" s="82"/>
      <c r="X3602" s="82"/>
      <c r="Y3602" s="82"/>
      <c r="Z3602" s="82"/>
      <c r="AA3602" s="82"/>
      <c r="AB3602" s="82"/>
      <c r="AC3602" s="82"/>
      <c r="AD3602" s="82"/>
      <c r="AE3602" s="82"/>
      <c r="AF3602" s="82"/>
      <c r="AG3602" s="82"/>
      <c r="AH3602" s="82"/>
      <c r="AI3602" s="82"/>
      <c r="AJ3602" s="82"/>
      <c r="AK3602" s="82"/>
      <c r="AL3602" s="82"/>
      <c r="AM3602" s="82"/>
      <c r="AN3602" s="82"/>
      <c r="AO3602" s="82"/>
      <c r="AP3602" s="82"/>
      <c r="AQ3602" s="82"/>
      <c r="AR3602" s="82"/>
      <c r="AS3602" s="82"/>
      <c r="AT3602" s="82"/>
      <c r="AU3602" s="82"/>
      <c r="AV3602" s="82"/>
      <c r="AW3602" s="82" t="str">
        <f t="shared" si="1"/>
        <v/>
      </c>
      <c r="AX3602" s="83" t="str">
        <f t="array" ref="AX3602">IFERROR(DGET('SBV Import'!A:G,"SBV",{"RSC ID","Tier";B3602,A3602}))</f>
        <v/>
      </c>
      <c r="AY3602" s="82" t="str">
        <f t="shared" si="2"/>
        <v/>
      </c>
      <c r="AZ3602" s="82"/>
      <c r="BA3602" s="84" t="s">
        <v>152</v>
      </c>
      <c r="BB3602" s="84" t="str">
        <f>IFERROR(__xludf.DUMMYFUNCTION("iferror(if(A3602="""",,E3602&gt;=FILTER(Constants!$F$2:$F$10,Constants!$A$2:$A$10=A3602)))"),"")</f>
        <v/>
      </c>
    </row>
    <row r="3603">
      <c r="A3603" s="89"/>
      <c r="B3603" s="87"/>
      <c r="C3603" s="73"/>
      <c r="D3603" s="73"/>
      <c r="E3603" s="82"/>
      <c r="F3603" s="82"/>
      <c r="G3603" s="86"/>
      <c r="H3603" s="86"/>
      <c r="I3603" s="86"/>
      <c r="J3603" s="82"/>
      <c r="K3603" s="82"/>
      <c r="L3603" s="82"/>
      <c r="M3603" s="82"/>
      <c r="N3603" s="82"/>
      <c r="O3603" s="82"/>
      <c r="P3603" s="82"/>
      <c r="Q3603" s="82"/>
      <c r="R3603" s="82"/>
      <c r="S3603" s="82"/>
      <c r="T3603" s="82"/>
      <c r="U3603" s="82"/>
      <c r="V3603" s="82"/>
      <c r="W3603" s="82"/>
      <c r="X3603" s="82"/>
      <c r="Y3603" s="82"/>
      <c r="Z3603" s="82"/>
      <c r="AA3603" s="82"/>
      <c r="AB3603" s="82"/>
      <c r="AC3603" s="82"/>
      <c r="AD3603" s="82"/>
      <c r="AE3603" s="82"/>
      <c r="AF3603" s="82"/>
      <c r="AG3603" s="82"/>
      <c r="AH3603" s="82"/>
      <c r="AI3603" s="82"/>
      <c r="AJ3603" s="82"/>
      <c r="AK3603" s="82"/>
      <c r="AL3603" s="82"/>
      <c r="AM3603" s="82"/>
      <c r="AN3603" s="82"/>
      <c r="AO3603" s="82"/>
      <c r="AP3603" s="82"/>
      <c r="AQ3603" s="82"/>
      <c r="AR3603" s="82"/>
      <c r="AS3603" s="82"/>
      <c r="AT3603" s="82"/>
      <c r="AU3603" s="82"/>
      <c r="AV3603" s="82"/>
      <c r="AW3603" s="82" t="str">
        <f t="shared" si="1"/>
        <v/>
      </c>
      <c r="AX3603" s="83" t="str">
        <f t="array" ref="AX3603">IFERROR(DGET('SBV Import'!A:G,"SBV",{"RSC ID","Tier";B3603,A3603}))</f>
        <v/>
      </c>
      <c r="AY3603" s="82" t="str">
        <f t="shared" si="2"/>
        <v/>
      </c>
      <c r="AZ3603" s="82"/>
      <c r="BA3603" s="84" t="s">
        <v>152</v>
      </c>
      <c r="BB3603" s="84" t="str">
        <f>IFERROR(__xludf.DUMMYFUNCTION("iferror(if(A3603="""",,E3603&gt;=FILTER(Constants!$F$2:$F$10,Constants!$A$2:$A$10=A3603)))"),"")</f>
        <v/>
      </c>
    </row>
    <row r="3604">
      <c r="A3604" s="89"/>
      <c r="B3604" s="87"/>
      <c r="C3604" s="73"/>
      <c r="D3604" s="73"/>
      <c r="E3604" s="82"/>
      <c r="F3604" s="82"/>
      <c r="G3604" s="86"/>
      <c r="H3604" s="86"/>
      <c r="I3604" s="86"/>
      <c r="J3604" s="82"/>
      <c r="K3604" s="82"/>
      <c r="L3604" s="82"/>
      <c r="M3604" s="82"/>
      <c r="N3604" s="82"/>
      <c r="O3604" s="82"/>
      <c r="P3604" s="82"/>
      <c r="Q3604" s="82"/>
      <c r="R3604" s="82"/>
      <c r="S3604" s="82"/>
      <c r="T3604" s="82"/>
      <c r="U3604" s="82"/>
      <c r="V3604" s="82"/>
      <c r="W3604" s="82"/>
      <c r="X3604" s="82"/>
      <c r="Y3604" s="82"/>
      <c r="Z3604" s="82"/>
      <c r="AA3604" s="82"/>
      <c r="AB3604" s="82"/>
      <c r="AC3604" s="82"/>
      <c r="AD3604" s="82"/>
      <c r="AE3604" s="82"/>
      <c r="AF3604" s="82"/>
      <c r="AG3604" s="82"/>
      <c r="AH3604" s="82"/>
      <c r="AI3604" s="82"/>
      <c r="AJ3604" s="82"/>
      <c r="AK3604" s="82"/>
      <c r="AL3604" s="82"/>
      <c r="AM3604" s="82"/>
      <c r="AN3604" s="82"/>
      <c r="AO3604" s="82"/>
      <c r="AP3604" s="82"/>
      <c r="AQ3604" s="82"/>
      <c r="AR3604" s="82"/>
      <c r="AS3604" s="82"/>
      <c r="AT3604" s="82"/>
      <c r="AU3604" s="82"/>
      <c r="AV3604" s="82"/>
      <c r="AW3604" s="82" t="str">
        <f t="shared" si="1"/>
        <v/>
      </c>
      <c r="AX3604" s="83" t="str">
        <f t="array" ref="AX3604">IFERROR(DGET('SBV Import'!A:G,"SBV",{"RSC ID","Tier";B3604,A3604}))</f>
        <v/>
      </c>
      <c r="AY3604" s="82" t="str">
        <f t="shared" si="2"/>
        <v/>
      </c>
      <c r="AZ3604" s="82"/>
      <c r="BA3604" s="84" t="s">
        <v>152</v>
      </c>
      <c r="BB3604" s="84" t="str">
        <f>IFERROR(__xludf.DUMMYFUNCTION("iferror(if(A3604="""",,E3604&gt;=FILTER(Constants!$F$2:$F$10,Constants!$A$2:$A$10=A3604)))"),"")</f>
        <v/>
      </c>
    </row>
    <row r="3605">
      <c r="A3605" s="89"/>
      <c r="B3605" s="87"/>
      <c r="C3605" s="73"/>
      <c r="D3605" s="73"/>
      <c r="E3605" s="82"/>
      <c r="F3605" s="82"/>
      <c r="G3605" s="86"/>
      <c r="H3605" s="86"/>
      <c r="I3605" s="86"/>
      <c r="J3605" s="82"/>
      <c r="K3605" s="82"/>
      <c r="L3605" s="82"/>
      <c r="M3605" s="82"/>
      <c r="N3605" s="82"/>
      <c r="O3605" s="82"/>
      <c r="P3605" s="82"/>
      <c r="Q3605" s="82"/>
      <c r="R3605" s="82"/>
      <c r="S3605" s="82"/>
      <c r="T3605" s="82"/>
      <c r="U3605" s="82"/>
      <c r="V3605" s="82"/>
      <c r="W3605" s="82"/>
      <c r="X3605" s="82"/>
      <c r="Y3605" s="82"/>
      <c r="Z3605" s="82"/>
      <c r="AA3605" s="82"/>
      <c r="AB3605" s="82"/>
      <c r="AC3605" s="82"/>
      <c r="AD3605" s="82"/>
      <c r="AE3605" s="82"/>
      <c r="AF3605" s="82"/>
      <c r="AG3605" s="82"/>
      <c r="AH3605" s="82"/>
      <c r="AI3605" s="82"/>
      <c r="AJ3605" s="82"/>
      <c r="AK3605" s="82"/>
      <c r="AL3605" s="82"/>
      <c r="AM3605" s="82"/>
      <c r="AN3605" s="82"/>
      <c r="AO3605" s="82"/>
      <c r="AP3605" s="82"/>
      <c r="AQ3605" s="82"/>
      <c r="AR3605" s="82"/>
      <c r="AS3605" s="82"/>
      <c r="AT3605" s="82"/>
      <c r="AU3605" s="82"/>
      <c r="AV3605" s="82"/>
      <c r="AW3605" s="82" t="str">
        <f t="shared" si="1"/>
        <v/>
      </c>
      <c r="AX3605" s="83" t="str">
        <f t="array" ref="AX3605">IFERROR(DGET('SBV Import'!A:G,"SBV",{"RSC ID","Tier";B3605,A3605}))</f>
        <v/>
      </c>
      <c r="AY3605" s="82" t="str">
        <f t="shared" si="2"/>
        <v/>
      </c>
      <c r="AZ3605" s="82"/>
      <c r="BA3605" s="84" t="s">
        <v>152</v>
      </c>
      <c r="BB3605" s="84" t="str">
        <f>IFERROR(__xludf.DUMMYFUNCTION("iferror(if(A3605="""",,E3605&gt;=FILTER(Constants!$F$2:$F$10,Constants!$A$2:$A$10=A3605)))"),"")</f>
        <v/>
      </c>
    </row>
    <row r="3606">
      <c r="A3606" s="89"/>
      <c r="B3606" s="87"/>
      <c r="C3606" s="73"/>
      <c r="D3606" s="73"/>
      <c r="E3606" s="82"/>
      <c r="F3606" s="82"/>
      <c r="G3606" s="86"/>
      <c r="H3606" s="86"/>
      <c r="I3606" s="86"/>
      <c r="J3606" s="82"/>
      <c r="K3606" s="82"/>
      <c r="L3606" s="82"/>
      <c r="M3606" s="82"/>
      <c r="N3606" s="82"/>
      <c r="O3606" s="82"/>
      <c r="P3606" s="82"/>
      <c r="Q3606" s="82"/>
      <c r="R3606" s="82"/>
      <c r="S3606" s="82"/>
      <c r="T3606" s="82"/>
      <c r="U3606" s="82"/>
      <c r="V3606" s="82"/>
      <c r="W3606" s="82"/>
      <c r="X3606" s="82"/>
      <c r="Y3606" s="82"/>
      <c r="Z3606" s="82"/>
      <c r="AA3606" s="82"/>
      <c r="AB3606" s="82"/>
      <c r="AC3606" s="82"/>
      <c r="AD3606" s="82"/>
      <c r="AE3606" s="82"/>
      <c r="AF3606" s="82"/>
      <c r="AG3606" s="82"/>
      <c r="AH3606" s="82"/>
      <c r="AI3606" s="82"/>
      <c r="AJ3606" s="82"/>
      <c r="AK3606" s="82"/>
      <c r="AL3606" s="82"/>
      <c r="AM3606" s="82"/>
      <c r="AN3606" s="82"/>
      <c r="AO3606" s="82"/>
      <c r="AP3606" s="82"/>
      <c r="AQ3606" s="82"/>
      <c r="AR3606" s="82"/>
      <c r="AS3606" s="82"/>
      <c r="AT3606" s="82"/>
      <c r="AU3606" s="82"/>
      <c r="AV3606" s="82"/>
      <c r="AW3606" s="82" t="str">
        <f t="shared" si="1"/>
        <v/>
      </c>
      <c r="AX3606" s="83" t="str">
        <f t="array" ref="AX3606">IFERROR(DGET('SBV Import'!A:G,"SBV",{"RSC ID","Tier";B3606,A3606}))</f>
        <v/>
      </c>
      <c r="AY3606" s="82" t="str">
        <f t="shared" si="2"/>
        <v/>
      </c>
      <c r="AZ3606" s="82"/>
      <c r="BA3606" s="84" t="s">
        <v>152</v>
      </c>
      <c r="BB3606" s="84" t="str">
        <f>IFERROR(__xludf.DUMMYFUNCTION("iferror(if(A3606="""",,E3606&gt;=FILTER(Constants!$F$2:$F$10,Constants!$A$2:$A$10=A3606)))"),"")</f>
        <v/>
      </c>
    </row>
    <row r="3607">
      <c r="A3607" s="89"/>
      <c r="B3607" s="87"/>
      <c r="C3607" s="73"/>
      <c r="D3607" s="73"/>
      <c r="E3607" s="82"/>
      <c r="F3607" s="82"/>
      <c r="G3607" s="86"/>
      <c r="H3607" s="86"/>
      <c r="I3607" s="86"/>
      <c r="J3607" s="82"/>
      <c r="K3607" s="82"/>
      <c r="L3607" s="82"/>
      <c r="M3607" s="82"/>
      <c r="N3607" s="82"/>
      <c r="O3607" s="82"/>
      <c r="P3607" s="82"/>
      <c r="Q3607" s="82"/>
      <c r="R3607" s="82"/>
      <c r="S3607" s="82"/>
      <c r="T3607" s="82"/>
      <c r="U3607" s="82"/>
      <c r="V3607" s="82"/>
      <c r="W3607" s="82"/>
      <c r="X3607" s="82"/>
      <c r="Y3607" s="82"/>
      <c r="Z3607" s="82"/>
      <c r="AA3607" s="82"/>
      <c r="AB3607" s="82"/>
      <c r="AC3607" s="82"/>
      <c r="AD3607" s="82"/>
      <c r="AE3607" s="82"/>
      <c r="AF3607" s="82"/>
      <c r="AG3607" s="82"/>
      <c r="AH3607" s="82"/>
      <c r="AI3607" s="82"/>
      <c r="AJ3607" s="82"/>
      <c r="AK3607" s="82"/>
      <c r="AL3607" s="82"/>
      <c r="AM3607" s="82"/>
      <c r="AN3607" s="82"/>
      <c r="AO3607" s="82"/>
      <c r="AP3607" s="82"/>
      <c r="AQ3607" s="82"/>
      <c r="AR3607" s="82"/>
      <c r="AS3607" s="82"/>
      <c r="AT3607" s="82"/>
      <c r="AU3607" s="82"/>
      <c r="AV3607" s="82"/>
      <c r="AW3607" s="82" t="str">
        <f t="shared" si="1"/>
        <v/>
      </c>
      <c r="AX3607" s="83" t="str">
        <f t="array" ref="AX3607">IFERROR(DGET('SBV Import'!A:G,"SBV",{"RSC ID","Tier";B3607,A3607}))</f>
        <v/>
      </c>
      <c r="AY3607" s="82" t="str">
        <f t="shared" si="2"/>
        <v/>
      </c>
      <c r="AZ3607" s="82"/>
      <c r="BA3607" s="84" t="s">
        <v>152</v>
      </c>
      <c r="BB3607" s="84" t="str">
        <f>IFERROR(__xludf.DUMMYFUNCTION("iferror(if(A3607="""",,E3607&gt;=FILTER(Constants!$F$2:$F$10,Constants!$A$2:$A$10=A3607)))"),"")</f>
        <v/>
      </c>
    </row>
    <row r="3608">
      <c r="A3608" s="89"/>
      <c r="B3608" s="87"/>
      <c r="C3608" s="73"/>
      <c r="D3608" s="73"/>
      <c r="E3608" s="82"/>
      <c r="F3608" s="82"/>
      <c r="G3608" s="86"/>
      <c r="H3608" s="86"/>
      <c r="I3608" s="86"/>
      <c r="J3608" s="82"/>
      <c r="K3608" s="82"/>
      <c r="L3608" s="82"/>
      <c r="M3608" s="82"/>
      <c r="N3608" s="82"/>
      <c r="O3608" s="82"/>
      <c r="P3608" s="82"/>
      <c r="Q3608" s="82"/>
      <c r="R3608" s="82"/>
      <c r="S3608" s="82"/>
      <c r="T3608" s="82"/>
      <c r="U3608" s="82"/>
      <c r="V3608" s="82"/>
      <c r="W3608" s="82"/>
      <c r="X3608" s="82"/>
      <c r="Y3608" s="82"/>
      <c r="Z3608" s="82"/>
      <c r="AA3608" s="82"/>
      <c r="AB3608" s="82"/>
      <c r="AC3608" s="82"/>
      <c r="AD3608" s="82"/>
      <c r="AE3608" s="82"/>
      <c r="AF3608" s="82"/>
      <c r="AG3608" s="82"/>
      <c r="AH3608" s="82"/>
      <c r="AI3608" s="82"/>
      <c r="AJ3608" s="82"/>
      <c r="AK3608" s="82"/>
      <c r="AL3608" s="82"/>
      <c r="AM3608" s="82"/>
      <c r="AN3608" s="82"/>
      <c r="AO3608" s="82"/>
      <c r="AP3608" s="82"/>
      <c r="AQ3608" s="82"/>
      <c r="AR3608" s="82"/>
      <c r="AS3608" s="82"/>
      <c r="AT3608" s="82"/>
      <c r="AU3608" s="82"/>
      <c r="AV3608" s="82"/>
      <c r="AW3608" s="82" t="str">
        <f t="shared" si="1"/>
        <v/>
      </c>
      <c r="AX3608" s="83" t="str">
        <f t="array" ref="AX3608">IFERROR(DGET('SBV Import'!A:G,"SBV",{"RSC ID","Tier";B3608,A3608}))</f>
        <v/>
      </c>
      <c r="AY3608" s="82" t="str">
        <f t="shared" si="2"/>
        <v/>
      </c>
      <c r="AZ3608" s="82"/>
      <c r="BA3608" s="84" t="s">
        <v>152</v>
      </c>
      <c r="BB3608" s="84" t="str">
        <f>IFERROR(__xludf.DUMMYFUNCTION("iferror(if(A3608="""",,E3608&gt;=FILTER(Constants!$F$2:$F$10,Constants!$A$2:$A$10=A3608)))"),"")</f>
        <v/>
      </c>
    </row>
    <row r="3609">
      <c r="A3609" s="89"/>
      <c r="B3609" s="87"/>
      <c r="C3609" s="73"/>
      <c r="D3609" s="73"/>
      <c r="E3609" s="82"/>
      <c r="F3609" s="82"/>
      <c r="G3609" s="86"/>
      <c r="H3609" s="86"/>
      <c r="I3609" s="86"/>
      <c r="J3609" s="82"/>
      <c r="K3609" s="82"/>
      <c r="L3609" s="82"/>
      <c r="M3609" s="82"/>
      <c r="N3609" s="82"/>
      <c r="O3609" s="82"/>
      <c r="P3609" s="82"/>
      <c r="Q3609" s="82"/>
      <c r="R3609" s="82"/>
      <c r="S3609" s="82"/>
      <c r="T3609" s="82"/>
      <c r="U3609" s="82"/>
      <c r="V3609" s="82"/>
      <c r="W3609" s="82"/>
      <c r="X3609" s="82"/>
      <c r="Y3609" s="82"/>
      <c r="Z3609" s="82"/>
      <c r="AA3609" s="82"/>
      <c r="AB3609" s="82"/>
      <c r="AC3609" s="82"/>
      <c r="AD3609" s="82"/>
      <c r="AE3609" s="82"/>
      <c r="AF3609" s="82"/>
      <c r="AG3609" s="82"/>
      <c r="AH3609" s="82"/>
      <c r="AI3609" s="82"/>
      <c r="AJ3609" s="82"/>
      <c r="AK3609" s="82"/>
      <c r="AL3609" s="82"/>
      <c r="AM3609" s="82"/>
      <c r="AN3609" s="82"/>
      <c r="AO3609" s="82"/>
      <c r="AP3609" s="82"/>
      <c r="AQ3609" s="82"/>
      <c r="AR3609" s="82"/>
      <c r="AS3609" s="82"/>
      <c r="AT3609" s="82"/>
      <c r="AU3609" s="82"/>
      <c r="AV3609" s="82"/>
      <c r="AW3609" s="82" t="str">
        <f t="shared" si="1"/>
        <v/>
      </c>
      <c r="AX3609" s="83" t="str">
        <f t="array" ref="AX3609">IFERROR(DGET('SBV Import'!A:G,"SBV",{"RSC ID","Tier";B3609,A3609}))</f>
        <v/>
      </c>
      <c r="AY3609" s="82" t="str">
        <f t="shared" si="2"/>
        <v/>
      </c>
      <c r="AZ3609" s="82"/>
      <c r="BA3609" s="84" t="s">
        <v>152</v>
      </c>
      <c r="BB3609" s="84" t="str">
        <f>IFERROR(__xludf.DUMMYFUNCTION("iferror(if(A3609="""",,E3609&gt;=FILTER(Constants!$F$2:$F$10,Constants!$A$2:$A$10=A3609)))"),"")</f>
        <v/>
      </c>
    </row>
    <row r="3610">
      <c r="A3610" s="89"/>
      <c r="B3610" s="87"/>
      <c r="C3610" s="73"/>
      <c r="D3610" s="73"/>
      <c r="E3610" s="82"/>
      <c r="F3610" s="82"/>
      <c r="G3610" s="86"/>
      <c r="H3610" s="86"/>
      <c r="I3610" s="86"/>
      <c r="J3610" s="82"/>
      <c r="K3610" s="82"/>
      <c r="L3610" s="82"/>
      <c r="M3610" s="82"/>
      <c r="N3610" s="82"/>
      <c r="O3610" s="82"/>
      <c r="P3610" s="82"/>
      <c r="Q3610" s="82"/>
      <c r="R3610" s="82"/>
      <c r="S3610" s="82"/>
      <c r="T3610" s="82"/>
      <c r="U3610" s="82"/>
      <c r="V3610" s="82"/>
      <c r="W3610" s="82"/>
      <c r="X3610" s="82"/>
      <c r="Y3610" s="82"/>
      <c r="Z3610" s="82"/>
      <c r="AA3610" s="82"/>
      <c r="AB3610" s="82"/>
      <c r="AC3610" s="82"/>
      <c r="AD3610" s="82"/>
      <c r="AE3610" s="82"/>
      <c r="AF3610" s="82"/>
      <c r="AG3610" s="82"/>
      <c r="AH3610" s="82"/>
      <c r="AI3610" s="82"/>
      <c r="AJ3610" s="82"/>
      <c r="AK3610" s="82"/>
      <c r="AL3610" s="82"/>
      <c r="AM3610" s="82"/>
      <c r="AN3610" s="82"/>
      <c r="AO3610" s="82"/>
      <c r="AP3610" s="82"/>
      <c r="AQ3610" s="82"/>
      <c r="AR3610" s="82"/>
      <c r="AS3610" s="82"/>
      <c r="AT3610" s="82"/>
      <c r="AU3610" s="82"/>
      <c r="AV3610" s="82"/>
      <c r="AW3610" s="82" t="str">
        <f t="shared" si="1"/>
        <v/>
      </c>
      <c r="AX3610" s="83" t="str">
        <f t="array" ref="AX3610">IFERROR(DGET('SBV Import'!A:G,"SBV",{"RSC ID","Tier";B3610,A3610}))</f>
        <v/>
      </c>
      <c r="AY3610" s="82" t="str">
        <f t="shared" si="2"/>
        <v/>
      </c>
      <c r="AZ3610" s="82"/>
      <c r="BA3610" s="84" t="s">
        <v>152</v>
      </c>
      <c r="BB3610" s="84" t="str">
        <f>IFERROR(__xludf.DUMMYFUNCTION("iferror(if(A3610="""",,E3610&gt;=FILTER(Constants!$F$2:$F$10,Constants!$A$2:$A$10=A3610)))"),"")</f>
        <v/>
      </c>
    </row>
    <row r="3611">
      <c r="A3611" s="89"/>
      <c r="B3611" s="87"/>
      <c r="C3611" s="73"/>
      <c r="D3611" s="73"/>
      <c r="E3611" s="82"/>
      <c r="F3611" s="82"/>
      <c r="G3611" s="86"/>
      <c r="H3611" s="86"/>
      <c r="I3611" s="86"/>
      <c r="J3611" s="82"/>
      <c r="K3611" s="82"/>
      <c r="L3611" s="82"/>
      <c r="M3611" s="82"/>
      <c r="N3611" s="82"/>
      <c r="O3611" s="82"/>
      <c r="P3611" s="82"/>
      <c r="Q3611" s="82"/>
      <c r="R3611" s="82"/>
      <c r="S3611" s="82"/>
      <c r="T3611" s="82"/>
      <c r="U3611" s="82"/>
      <c r="V3611" s="82"/>
      <c r="W3611" s="82"/>
      <c r="X3611" s="82"/>
      <c r="Y3611" s="82"/>
      <c r="Z3611" s="82"/>
      <c r="AA3611" s="82"/>
      <c r="AB3611" s="82"/>
      <c r="AC3611" s="82"/>
      <c r="AD3611" s="82"/>
      <c r="AE3611" s="82"/>
      <c r="AF3611" s="82"/>
      <c r="AG3611" s="82"/>
      <c r="AH3611" s="82"/>
      <c r="AI3611" s="82"/>
      <c r="AJ3611" s="82"/>
      <c r="AK3611" s="82"/>
      <c r="AL3611" s="82"/>
      <c r="AM3611" s="82"/>
      <c r="AN3611" s="82"/>
      <c r="AO3611" s="82"/>
      <c r="AP3611" s="82"/>
      <c r="AQ3611" s="82"/>
      <c r="AR3611" s="82"/>
      <c r="AS3611" s="82"/>
      <c r="AT3611" s="82"/>
      <c r="AU3611" s="82"/>
      <c r="AV3611" s="82"/>
      <c r="AW3611" s="82" t="str">
        <f t="shared" si="1"/>
        <v/>
      </c>
      <c r="AX3611" s="83" t="str">
        <f t="array" ref="AX3611">IFERROR(DGET('SBV Import'!A:G,"SBV",{"RSC ID","Tier";B3611,A3611}))</f>
        <v/>
      </c>
      <c r="AY3611" s="82" t="str">
        <f t="shared" si="2"/>
        <v/>
      </c>
      <c r="AZ3611" s="82"/>
      <c r="BA3611" s="84" t="s">
        <v>152</v>
      </c>
      <c r="BB3611" s="84" t="str">
        <f>IFERROR(__xludf.DUMMYFUNCTION("iferror(if(A3611="""",,E3611&gt;=FILTER(Constants!$F$2:$F$10,Constants!$A$2:$A$10=A3611)))"),"")</f>
        <v/>
      </c>
    </row>
    <row r="3612">
      <c r="A3612" s="89"/>
      <c r="B3612" s="87"/>
      <c r="C3612" s="73"/>
      <c r="D3612" s="73"/>
      <c r="E3612" s="82"/>
      <c r="F3612" s="82"/>
      <c r="G3612" s="86"/>
      <c r="H3612" s="86"/>
      <c r="I3612" s="86"/>
      <c r="J3612" s="82"/>
      <c r="K3612" s="82"/>
      <c r="L3612" s="82"/>
      <c r="M3612" s="82"/>
      <c r="N3612" s="82"/>
      <c r="O3612" s="82"/>
      <c r="P3612" s="82"/>
      <c r="Q3612" s="82"/>
      <c r="R3612" s="82"/>
      <c r="S3612" s="82"/>
      <c r="T3612" s="82"/>
      <c r="U3612" s="82"/>
      <c r="V3612" s="82"/>
      <c r="W3612" s="82"/>
      <c r="X3612" s="82"/>
      <c r="Y3612" s="82"/>
      <c r="Z3612" s="82"/>
      <c r="AA3612" s="82"/>
      <c r="AB3612" s="82"/>
      <c r="AC3612" s="82"/>
      <c r="AD3612" s="82"/>
      <c r="AE3612" s="82"/>
      <c r="AF3612" s="82"/>
      <c r="AG3612" s="82"/>
      <c r="AH3612" s="82"/>
      <c r="AI3612" s="82"/>
      <c r="AJ3612" s="82"/>
      <c r="AK3612" s="82"/>
      <c r="AL3612" s="82"/>
      <c r="AM3612" s="82"/>
      <c r="AN3612" s="82"/>
      <c r="AO3612" s="82"/>
      <c r="AP3612" s="82"/>
      <c r="AQ3612" s="82"/>
      <c r="AR3612" s="82"/>
      <c r="AS3612" s="82"/>
      <c r="AT3612" s="82"/>
      <c r="AU3612" s="82"/>
      <c r="AV3612" s="82"/>
      <c r="AW3612" s="82" t="str">
        <f t="shared" si="1"/>
        <v/>
      </c>
      <c r="AX3612" s="83" t="str">
        <f t="array" ref="AX3612">IFERROR(DGET('SBV Import'!A:G,"SBV",{"RSC ID","Tier";B3612,A3612}))</f>
        <v/>
      </c>
      <c r="AY3612" s="82" t="str">
        <f t="shared" si="2"/>
        <v/>
      </c>
      <c r="AZ3612" s="82"/>
      <c r="BA3612" s="84" t="s">
        <v>152</v>
      </c>
      <c r="BB3612" s="84" t="str">
        <f>IFERROR(__xludf.DUMMYFUNCTION("iferror(if(A3612="""",,E3612&gt;=FILTER(Constants!$F$2:$F$10,Constants!$A$2:$A$10=A3612)))"),"")</f>
        <v/>
      </c>
    </row>
    <row r="3613">
      <c r="A3613" s="89"/>
      <c r="B3613" s="87"/>
      <c r="C3613" s="73"/>
      <c r="D3613" s="73"/>
      <c r="E3613" s="82"/>
      <c r="F3613" s="82"/>
      <c r="G3613" s="86"/>
      <c r="H3613" s="86"/>
      <c r="I3613" s="86"/>
      <c r="J3613" s="82"/>
      <c r="K3613" s="82"/>
      <c r="L3613" s="82"/>
      <c r="M3613" s="82"/>
      <c r="N3613" s="82"/>
      <c r="O3613" s="82"/>
      <c r="P3613" s="82"/>
      <c r="Q3613" s="82"/>
      <c r="R3613" s="82"/>
      <c r="S3613" s="82"/>
      <c r="T3613" s="82"/>
      <c r="U3613" s="82"/>
      <c r="V3613" s="82"/>
      <c r="W3613" s="82"/>
      <c r="X3613" s="82"/>
      <c r="Y3613" s="82"/>
      <c r="Z3613" s="82"/>
      <c r="AA3613" s="82"/>
      <c r="AB3613" s="82"/>
      <c r="AC3613" s="82"/>
      <c r="AD3613" s="82"/>
      <c r="AE3613" s="82"/>
      <c r="AF3613" s="82"/>
      <c r="AG3613" s="82"/>
      <c r="AH3613" s="82"/>
      <c r="AI3613" s="82"/>
      <c r="AJ3613" s="82"/>
      <c r="AK3613" s="82"/>
      <c r="AL3613" s="82"/>
      <c r="AM3613" s="82"/>
      <c r="AN3613" s="82"/>
      <c r="AO3613" s="82"/>
      <c r="AP3613" s="82"/>
      <c r="AQ3613" s="82"/>
      <c r="AR3613" s="82"/>
      <c r="AS3613" s="82"/>
      <c r="AT3613" s="82"/>
      <c r="AU3613" s="82"/>
      <c r="AV3613" s="82"/>
      <c r="AW3613" s="82" t="str">
        <f t="shared" si="1"/>
        <v/>
      </c>
      <c r="AX3613" s="83" t="str">
        <f t="array" ref="AX3613">IFERROR(DGET('SBV Import'!A:G,"SBV",{"RSC ID","Tier";B3613,A3613}))</f>
        <v/>
      </c>
      <c r="AY3613" s="82" t="str">
        <f t="shared" si="2"/>
        <v/>
      </c>
      <c r="AZ3613" s="82"/>
      <c r="BA3613" s="84" t="s">
        <v>152</v>
      </c>
      <c r="BB3613" s="84" t="str">
        <f>IFERROR(__xludf.DUMMYFUNCTION("iferror(if(A3613="""",,E3613&gt;=FILTER(Constants!$F$2:$F$10,Constants!$A$2:$A$10=A3613)))"),"")</f>
        <v/>
      </c>
    </row>
    <row r="3614">
      <c r="A3614" s="89"/>
      <c r="B3614" s="87"/>
      <c r="C3614" s="73"/>
      <c r="D3614" s="73"/>
      <c r="E3614" s="82"/>
      <c r="F3614" s="82"/>
      <c r="G3614" s="86"/>
      <c r="H3614" s="86"/>
      <c r="I3614" s="86"/>
      <c r="J3614" s="82"/>
      <c r="K3614" s="82"/>
      <c r="L3614" s="82"/>
      <c r="M3614" s="82"/>
      <c r="N3614" s="82"/>
      <c r="O3614" s="82"/>
      <c r="P3614" s="82"/>
      <c r="Q3614" s="82"/>
      <c r="R3614" s="82"/>
      <c r="S3614" s="82"/>
      <c r="T3614" s="82"/>
      <c r="U3614" s="82"/>
      <c r="V3614" s="82"/>
      <c r="W3614" s="82"/>
      <c r="X3614" s="82"/>
      <c r="Y3614" s="82"/>
      <c r="Z3614" s="82"/>
      <c r="AA3614" s="82"/>
      <c r="AB3614" s="82"/>
      <c r="AC3614" s="82"/>
      <c r="AD3614" s="82"/>
      <c r="AE3614" s="82"/>
      <c r="AF3614" s="82"/>
      <c r="AG3614" s="82"/>
      <c r="AH3614" s="82"/>
      <c r="AI3614" s="82"/>
      <c r="AJ3614" s="82"/>
      <c r="AK3614" s="82"/>
      <c r="AL3614" s="82"/>
      <c r="AM3614" s="82"/>
      <c r="AN3614" s="82"/>
      <c r="AO3614" s="82"/>
      <c r="AP3614" s="82"/>
      <c r="AQ3614" s="82"/>
      <c r="AR3614" s="82"/>
      <c r="AS3614" s="82"/>
      <c r="AT3614" s="82"/>
      <c r="AU3614" s="82"/>
      <c r="AV3614" s="82"/>
      <c r="AW3614" s="82" t="str">
        <f t="shared" si="1"/>
        <v/>
      </c>
      <c r="AX3614" s="83" t="str">
        <f t="array" ref="AX3614">IFERROR(DGET('SBV Import'!A:G,"SBV",{"RSC ID","Tier";B3614,A3614}))</f>
        <v/>
      </c>
      <c r="AY3614" s="82" t="str">
        <f t="shared" si="2"/>
        <v/>
      </c>
      <c r="AZ3614" s="82"/>
      <c r="BA3614" s="84" t="s">
        <v>152</v>
      </c>
      <c r="BB3614" s="84" t="str">
        <f>IFERROR(__xludf.DUMMYFUNCTION("iferror(if(A3614="""",,E3614&gt;=FILTER(Constants!$F$2:$F$10,Constants!$A$2:$A$10=A3614)))"),"")</f>
        <v/>
      </c>
    </row>
    <row r="3615">
      <c r="A3615" s="89"/>
      <c r="B3615" s="87"/>
      <c r="C3615" s="73"/>
      <c r="D3615" s="73"/>
      <c r="E3615" s="82"/>
      <c r="F3615" s="82"/>
      <c r="G3615" s="86"/>
      <c r="H3615" s="86"/>
      <c r="I3615" s="86"/>
      <c r="J3615" s="82"/>
      <c r="K3615" s="82"/>
      <c r="L3615" s="82"/>
      <c r="M3615" s="82"/>
      <c r="N3615" s="82"/>
      <c r="O3615" s="82"/>
      <c r="P3615" s="82"/>
      <c r="Q3615" s="82"/>
      <c r="R3615" s="82"/>
      <c r="S3615" s="82"/>
      <c r="T3615" s="82"/>
      <c r="U3615" s="82"/>
      <c r="V3615" s="82"/>
      <c r="W3615" s="82"/>
      <c r="X3615" s="82"/>
      <c r="Y3615" s="82"/>
      <c r="Z3615" s="82"/>
      <c r="AA3615" s="82"/>
      <c r="AB3615" s="82"/>
      <c r="AC3615" s="82"/>
      <c r="AD3615" s="82"/>
      <c r="AE3615" s="82"/>
      <c r="AF3615" s="82"/>
      <c r="AG3615" s="82"/>
      <c r="AH3615" s="82"/>
      <c r="AI3615" s="82"/>
      <c r="AJ3615" s="82"/>
      <c r="AK3615" s="82"/>
      <c r="AL3615" s="82"/>
      <c r="AM3615" s="82"/>
      <c r="AN3615" s="82"/>
      <c r="AO3615" s="82"/>
      <c r="AP3615" s="82"/>
      <c r="AQ3615" s="82"/>
      <c r="AR3615" s="82"/>
      <c r="AS3615" s="82"/>
      <c r="AT3615" s="82"/>
      <c r="AU3615" s="82"/>
      <c r="AV3615" s="82"/>
      <c r="AW3615" s="82" t="str">
        <f t="shared" si="1"/>
        <v/>
      </c>
      <c r="AX3615" s="83" t="str">
        <f t="array" ref="AX3615">IFERROR(DGET('SBV Import'!A:G,"SBV",{"RSC ID","Tier";B3615,A3615}))</f>
        <v/>
      </c>
      <c r="AY3615" s="82" t="str">
        <f t="shared" si="2"/>
        <v/>
      </c>
      <c r="AZ3615" s="82"/>
      <c r="BA3615" s="84" t="s">
        <v>152</v>
      </c>
      <c r="BB3615" s="84" t="str">
        <f>IFERROR(__xludf.DUMMYFUNCTION("iferror(if(A3615="""",,E3615&gt;=FILTER(Constants!$F$2:$F$10,Constants!$A$2:$A$10=A3615)))"),"")</f>
        <v/>
      </c>
    </row>
    <row r="3616">
      <c r="A3616" s="89"/>
      <c r="B3616" s="87"/>
      <c r="C3616" s="73"/>
      <c r="D3616" s="73"/>
      <c r="E3616" s="82"/>
      <c r="F3616" s="82"/>
      <c r="G3616" s="86"/>
      <c r="H3616" s="86"/>
      <c r="I3616" s="86"/>
      <c r="J3616" s="82"/>
      <c r="K3616" s="82"/>
      <c r="L3616" s="82"/>
      <c r="M3616" s="82"/>
      <c r="N3616" s="82"/>
      <c r="O3616" s="82"/>
      <c r="P3616" s="82"/>
      <c r="Q3616" s="82"/>
      <c r="R3616" s="82"/>
      <c r="S3616" s="82"/>
      <c r="T3616" s="82"/>
      <c r="U3616" s="82"/>
      <c r="V3616" s="82"/>
      <c r="W3616" s="82"/>
      <c r="X3616" s="82"/>
      <c r="Y3616" s="82"/>
      <c r="Z3616" s="82"/>
      <c r="AA3616" s="82"/>
      <c r="AB3616" s="82"/>
      <c r="AC3616" s="82"/>
      <c r="AD3616" s="82"/>
      <c r="AE3616" s="82"/>
      <c r="AF3616" s="82"/>
      <c r="AG3616" s="82"/>
      <c r="AH3616" s="82"/>
      <c r="AI3616" s="82"/>
      <c r="AJ3616" s="82"/>
      <c r="AK3616" s="82"/>
      <c r="AL3616" s="82"/>
      <c r="AM3616" s="82"/>
      <c r="AN3616" s="82"/>
      <c r="AO3616" s="82"/>
      <c r="AP3616" s="82"/>
      <c r="AQ3616" s="82"/>
      <c r="AR3616" s="82"/>
      <c r="AS3616" s="82"/>
      <c r="AT3616" s="82"/>
      <c r="AU3616" s="82"/>
      <c r="AV3616" s="82"/>
      <c r="AW3616" s="82" t="str">
        <f t="shared" si="1"/>
        <v/>
      </c>
      <c r="AX3616" s="83" t="str">
        <f t="array" ref="AX3616">IFERROR(DGET('SBV Import'!A:G,"SBV",{"RSC ID","Tier";B3616,A3616}))</f>
        <v/>
      </c>
      <c r="AY3616" s="82" t="str">
        <f t="shared" si="2"/>
        <v/>
      </c>
      <c r="AZ3616" s="82"/>
      <c r="BA3616" s="84" t="s">
        <v>152</v>
      </c>
      <c r="BB3616" s="84" t="str">
        <f>IFERROR(__xludf.DUMMYFUNCTION("iferror(if(A3616="""",,E3616&gt;=FILTER(Constants!$F$2:$F$10,Constants!$A$2:$A$10=A3616)))"),"")</f>
        <v/>
      </c>
    </row>
    <row r="3617">
      <c r="A3617" s="89"/>
      <c r="B3617" s="87"/>
      <c r="C3617" s="73"/>
      <c r="D3617" s="73"/>
      <c r="E3617" s="82"/>
      <c r="F3617" s="82"/>
      <c r="G3617" s="86"/>
      <c r="H3617" s="86"/>
      <c r="I3617" s="86"/>
      <c r="J3617" s="82"/>
      <c r="K3617" s="82"/>
      <c r="L3617" s="82"/>
      <c r="M3617" s="82"/>
      <c r="N3617" s="82"/>
      <c r="O3617" s="82"/>
      <c r="P3617" s="82"/>
      <c r="Q3617" s="82"/>
      <c r="R3617" s="82"/>
      <c r="S3617" s="82"/>
      <c r="T3617" s="82"/>
      <c r="U3617" s="82"/>
      <c r="V3617" s="82"/>
      <c r="W3617" s="82"/>
      <c r="X3617" s="82"/>
      <c r="Y3617" s="82"/>
      <c r="Z3617" s="82"/>
      <c r="AA3617" s="82"/>
      <c r="AB3617" s="82"/>
      <c r="AC3617" s="82"/>
      <c r="AD3617" s="82"/>
      <c r="AE3617" s="82"/>
      <c r="AF3617" s="82"/>
      <c r="AG3617" s="82"/>
      <c r="AH3617" s="82"/>
      <c r="AI3617" s="82"/>
      <c r="AJ3617" s="82"/>
      <c r="AK3617" s="82"/>
      <c r="AL3617" s="82"/>
      <c r="AM3617" s="82"/>
      <c r="AN3617" s="82"/>
      <c r="AO3617" s="82"/>
      <c r="AP3617" s="82"/>
      <c r="AQ3617" s="82"/>
      <c r="AR3617" s="82"/>
      <c r="AS3617" s="82"/>
      <c r="AT3617" s="82"/>
      <c r="AU3617" s="82"/>
      <c r="AV3617" s="82"/>
      <c r="AW3617" s="82" t="str">
        <f t="shared" si="1"/>
        <v/>
      </c>
      <c r="AX3617" s="83" t="str">
        <f t="array" ref="AX3617">IFERROR(DGET('SBV Import'!A:G,"SBV",{"RSC ID","Tier";B3617,A3617}))</f>
        <v/>
      </c>
      <c r="AY3617" s="82" t="str">
        <f t="shared" si="2"/>
        <v/>
      </c>
      <c r="AZ3617" s="82"/>
      <c r="BA3617" s="84" t="s">
        <v>152</v>
      </c>
      <c r="BB3617" s="84" t="str">
        <f>IFERROR(__xludf.DUMMYFUNCTION("iferror(if(A3617="""",,E3617&gt;=FILTER(Constants!$F$2:$F$10,Constants!$A$2:$A$10=A3617)))"),"")</f>
        <v/>
      </c>
    </row>
    <row r="3618">
      <c r="A3618" s="89"/>
      <c r="B3618" s="87"/>
      <c r="C3618" s="73"/>
      <c r="D3618" s="73"/>
      <c r="E3618" s="82"/>
      <c r="F3618" s="82"/>
      <c r="G3618" s="86"/>
      <c r="H3618" s="86"/>
      <c r="I3618" s="86"/>
      <c r="J3618" s="82"/>
      <c r="K3618" s="82"/>
      <c r="L3618" s="82"/>
      <c r="M3618" s="82"/>
      <c r="N3618" s="82"/>
      <c r="O3618" s="82"/>
      <c r="P3618" s="82"/>
      <c r="Q3618" s="82"/>
      <c r="R3618" s="82"/>
      <c r="S3618" s="82"/>
      <c r="T3618" s="82"/>
      <c r="U3618" s="82"/>
      <c r="V3618" s="82"/>
      <c r="W3618" s="82"/>
      <c r="X3618" s="82"/>
      <c r="Y3618" s="82"/>
      <c r="Z3618" s="82"/>
      <c r="AA3618" s="82"/>
      <c r="AB3618" s="82"/>
      <c r="AC3618" s="82"/>
      <c r="AD3618" s="82"/>
      <c r="AE3618" s="82"/>
      <c r="AF3618" s="82"/>
      <c r="AG3618" s="82"/>
      <c r="AH3618" s="82"/>
      <c r="AI3618" s="82"/>
      <c r="AJ3618" s="82"/>
      <c r="AK3618" s="82"/>
      <c r="AL3618" s="82"/>
      <c r="AM3618" s="82"/>
      <c r="AN3618" s="82"/>
      <c r="AO3618" s="82"/>
      <c r="AP3618" s="82"/>
      <c r="AQ3618" s="82"/>
      <c r="AR3618" s="82"/>
      <c r="AS3618" s="82"/>
      <c r="AT3618" s="82"/>
      <c r="AU3618" s="82"/>
      <c r="AV3618" s="82"/>
      <c r="AW3618" s="82" t="str">
        <f t="shared" si="1"/>
        <v/>
      </c>
      <c r="AX3618" s="83" t="str">
        <f t="array" ref="AX3618">IFERROR(DGET('SBV Import'!A:G,"SBV",{"RSC ID","Tier";B3618,A3618}))</f>
        <v/>
      </c>
      <c r="AY3618" s="82" t="str">
        <f t="shared" si="2"/>
        <v/>
      </c>
      <c r="AZ3618" s="82"/>
      <c r="BA3618" s="84" t="s">
        <v>152</v>
      </c>
      <c r="BB3618" s="84" t="str">
        <f>IFERROR(__xludf.DUMMYFUNCTION("iferror(if(A3618="""",,E3618&gt;=FILTER(Constants!$F$2:$F$10,Constants!$A$2:$A$10=A3618)))"),"")</f>
        <v/>
      </c>
    </row>
    <row r="3619">
      <c r="A3619" s="89"/>
      <c r="B3619" s="87"/>
      <c r="C3619" s="73"/>
      <c r="D3619" s="73"/>
      <c r="E3619" s="82"/>
      <c r="F3619" s="82"/>
      <c r="G3619" s="86"/>
      <c r="H3619" s="86"/>
      <c r="I3619" s="86"/>
      <c r="J3619" s="82"/>
      <c r="K3619" s="82"/>
      <c r="L3619" s="82"/>
      <c r="M3619" s="82"/>
      <c r="N3619" s="82"/>
      <c r="O3619" s="82"/>
      <c r="P3619" s="82"/>
      <c r="Q3619" s="82"/>
      <c r="R3619" s="82"/>
      <c r="S3619" s="82"/>
      <c r="T3619" s="82"/>
      <c r="U3619" s="82"/>
      <c r="V3619" s="82"/>
      <c r="W3619" s="82"/>
      <c r="X3619" s="82"/>
      <c r="Y3619" s="82"/>
      <c r="Z3619" s="82"/>
      <c r="AA3619" s="82"/>
      <c r="AB3619" s="82"/>
      <c r="AC3619" s="82"/>
      <c r="AD3619" s="82"/>
      <c r="AE3619" s="82"/>
      <c r="AF3619" s="82"/>
      <c r="AG3619" s="82"/>
      <c r="AH3619" s="82"/>
      <c r="AI3619" s="82"/>
      <c r="AJ3619" s="82"/>
      <c r="AK3619" s="82"/>
      <c r="AL3619" s="82"/>
      <c r="AM3619" s="82"/>
      <c r="AN3619" s="82"/>
      <c r="AO3619" s="82"/>
      <c r="AP3619" s="82"/>
      <c r="AQ3619" s="82"/>
      <c r="AR3619" s="82"/>
      <c r="AS3619" s="82"/>
      <c r="AT3619" s="82"/>
      <c r="AU3619" s="82"/>
      <c r="AV3619" s="82"/>
      <c r="AW3619" s="82" t="str">
        <f t="shared" si="1"/>
        <v/>
      </c>
      <c r="AX3619" s="83" t="str">
        <f t="array" ref="AX3619">IFERROR(DGET('SBV Import'!A:G,"SBV",{"RSC ID","Tier";B3619,A3619}))</f>
        <v/>
      </c>
      <c r="AY3619" s="82" t="str">
        <f t="shared" si="2"/>
        <v/>
      </c>
      <c r="AZ3619" s="82"/>
      <c r="BA3619" s="84" t="s">
        <v>152</v>
      </c>
      <c r="BB3619" s="84" t="str">
        <f>IFERROR(__xludf.DUMMYFUNCTION("iferror(if(A3619="""",,E3619&gt;=FILTER(Constants!$F$2:$F$10,Constants!$A$2:$A$10=A3619)))"),"")</f>
        <v/>
      </c>
    </row>
    <row r="3620">
      <c r="A3620" s="89"/>
      <c r="B3620" s="87"/>
      <c r="C3620" s="73"/>
      <c r="D3620" s="73"/>
      <c r="E3620" s="82"/>
      <c r="F3620" s="82"/>
      <c r="G3620" s="86"/>
      <c r="H3620" s="86"/>
      <c r="I3620" s="86"/>
      <c r="J3620" s="82"/>
      <c r="K3620" s="82"/>
      <c r="L3620" s="82"/>
      <c r="M3620" s="82"/>
      <c r="N3620" s="82"/>
      <c r="O3620" s="82"/>
      <c r="P3620" s="82"/>
      <c r="Q3620" s="82"/>
      <c r="R3620" s="82"/>
      <c r="S3620" s="82"/>
      <c r="T3620" s="82"/>
      <c r="U3620" s="82"/>
      <c r="V3620" s="82"/>
      <c r="W3620" s="82"/>
      <c r="X3620" s="82"/>
      <c r="Y3620" s="82"/>
      <c r="Z3620" s="82"/>
      <c r="AA3620" s="82"/>
      <c r="AB3620" s="82"/>
      <c r="AC3620" s="82"/>
      <c r="AD3620" s="82"/>
      <c r="AE3620" s="82"/>
      <c r="AF3620" s="82"/>
      <c r="AG3620" s="82"/>
      <c r="AH3620" s="82"/>
      <c r="AI3620" s="82"/>
      <c r="AJ3620" s="82"/>
      <c r="AK3620" s="82"/>
      <c r="AL3620" s="82"/>
      <c r="AM3620" s="82"/>
      <c r="AN3620" s="82"/>
      <c r="AO3620" s="82"/>
      <c r="AP3620" s="82"/>
      <c r="AQ3620" s="82"/>
      <c r="AR3620" s="82"/>
      <c r="AS3620" s="82"/>
      <c r="AT3620" s="82"/>
      <c r="AU3620" s="82"/>
      <c r="AV3620" s="82"/>
      <c r="AW3620" s="82" t="str">
        <f t="shared" si="1"/>
        <v/>
      </c>
      <c r="AX3620" s="83" t="str">
        <f t="array" ref="AX3620">IFERROR(DGET('SBV Import'!A:G,"SBV",{"RSC ID","Tier";B3620,A3620}))</f>
        <v/>
      </c>
      <c r="AY3620" s="82" t="str">
        <f t="shared" si="2"/>
        <v/>
      </c>
      <c r="AZ3620" s="82"/>
      <c r="BA3620" s="84" t="s">
        <v>152</v>
      </c>
      <c r="BB3620" s="84" t="str">
        <f>IFERROR(__xludf.DUMMYFUNCTION("iferror(if(A3620="""",,E3620&gt;=FILTER(Constants!$F$2:$F$10,Constants!$A$2:$A$10=A3620)))"),"")</f>
        <v/>
      </c>
    </row>
    <row r="3621">
      <c r="A3621" s="89"/>
      <c r="B3621" s="87"/>
      <c r="C3621" s="73"/>
      <c r="D3621" s="73"/>
      <c r="E3621" s="82"/>
      <c r="F3621" s="82"/>
      <c r="G3621" s="86"/>
      <c r="H3621" s="86"/>
      <c r="I3621" s="86"/>
      <c r="J3621" s="82"/>
      <c r="K3621" s="82"/>
      <c r="L3621" s="82"/>
      <c r="M3621" s="82"/>
      <c r="N3621" s="82"/>
      <c r="O3621" s="82"/>
      <c r="P3621" s="82"/>
      <c r="Q3621" s="82"/>
      <c r="R3621" s="82"/>
      <c r="S3621" s="82"/>
      <c r="T3621" s="82"/>
      <c r="U3621" s="82"/>
      <c r="V3621" s="82"/>
      <c r="W3621" s="82"/>
      <c r="X3621" s="82"/>
      <c r="Y3621" s="82"/>
      <c r="Z3621" s="82"/>
      <c r="AA3621" s="82"/>
      <c r="AB3621" s="82"/>
      <c r="AC3621" s="82"/>
      <c r="AD3621" s="82"/>
      <c r="AE3621" s="82"/>
      <c r="AF3621" s="82"/>
      <c r="AG3621" s="82"/>
      <c r="AH3621" s="82"/>
      <c r="AI3621" s="82"/>
      <c r="AJ3621" s="82"/>
      <c r="AK3621" s="82"/>
      <c r="AL3621" s="82"/>
      <c r="AM3621" s="82"/>
      <c r="AN3621" s="82"/>
      <c r="AO3621" s="82"/>
      <c r="AP3621" s="82"/>
      <c r="AQ3621" s="82"/>
      <c r="AR3621" s="82"/>
      <c r="AS3621" s="82"/>
      <c r="AT3621" s="82"/>
      <c r="AU3621" s="82"/>
      <c r="AV3621" s="82"/>
      <c r="AW3621" s="82" t="str">
        <f t="shared" si="1"/>
        <v/>
      </c>
      <c r="AX3621" s="83" t="str">
        <f t="array" ref="AX3621">IFERROR(DGET('SBV Import'!A:G,"SBV",{"RSC ID","Tier";B3621,A3621}))</f>
        <v/>
      </c>
      <c r="AY3621" s="82" t="str">
        <f t="shared" si="2"/>
        <v/>
      </c>
      <c r="AZ3621" s="82"/>
      <c r="BA3621" s="84" t="s">
        <v>152</v>
      </c>
      <c r="BB3621" s="84" t="str">
        <f>IFERROR(__xludf.DUMMYFUNCTION("iferror(if(A3621="""",,E3621&gt;=FILTER(Constants!$F$2:$F$10,Constants!$A$2:$A$10=A3621)))"),"")</f>
        <v/>
      </c>
    </row>
    <row r="3622">
      <c r="A3622" s="89"/>
      <c r="B3622" s="87"/>
      <c r="C3622" s="73"/>
      <c r="D3622" s="73"/>
      <c r="E3622" s="82"/>
      <c r="F3622" s="82"/>
      <c r="G3622" s="86"/>
      <c r="H3622" s="86"/>
      <c r="I3622" s="86"/>
      <c r="J3622" s="82"/>
      <c r="K3622" s="82"/>
      <c r="L3622" s="82"/>
      <c r="M3622" s="82"/>
      <c r="N3622" s="82"/>
      <c r="O3622" s="82"/>
      <c r="P3622" s="82"/>
      <c r="Q3622" s="82"/>
      <c r="R3622" s="82"/>
      <c r="S3622" s="82"/>
      <c r="T3622" s="82"/>
      <c r="U3622" s="82"/>
      <c r="V3622" s="82"/>
      <c r="W3622" s="82"/>
      <c r="X3622" s="82"/>
      <c r="Y3622" s="82"/>
      <c r="Z3622" s="82"/>
      <c r="AA3622" s="82"/>
      <c r="AB3622" s="82"/>
      <c r="AC3622" s="82"/>
      <c r="AD3622" s="82"/>
      <c r="AE3622" s="82"/>
      <c r="AF3622" s="82"/>
      <c r="AG3622" s="82"/>
      <c r="AH3622" s="82"/>
      <c r="AI3622" s="82"/>
      <c r="AJ3622" s="82"/>
      <c r="AK3622" s="82"/>
      <c r="AL3622" s="82"/>
      <c r="AM3622" s="82"/>
      <c r="AN3622" s="82"/>
      <c r="AO3622" s="82"/>
      <c r="AP3622" s="82"/>
      <c r="AQ3622" s="82"/>
      <c r="AR3622" s="82"/>
      <c r="AS3622" s="82"/>
      <c r="AT3622" s="82"/>
      <c r="AU3622" s="82"/>
      <c r="AV3622" s="82"/>
      <c r="AW3622" s="82" t="str">
        <f t="shared" si="1"/>
        <v/>
      </c>
      <c r="AX3622" s="83" t="str">
        <f t="array" ref="AX3622">IFERROR(DGET('SBV Import'!A:G,"SBV",{"RSC ID","Tier";B3622,A3622}))</f>
        <v/>
      </c>
      <c r="AY3622" s="82" t="str">
        <f t="shared" si="2"/>
        <v/>
      </c>
      <c r="AZ3622" s="82"/>
      <c r="BA3622" s="84" t="s">
        <v>152</v>
      </c>
      <c r="BB3622" s="84" t="str">
        <f>IFERROR(__xludf.DUMMYFUNCTION("iferror(if(A3622="""",,E3622&gt;=FILTER(Constants!$F$2:$F$10,Constants!$A$2:$A$10=A3622)))"),"")</f>
        <v/>
      </c>
    </row>
    <row r="3623">
      <c r="A3623" s="89"/>
      <c r="B3623" s="87"/>
      <c r="C3623" s="73"/>
      <c r="D3623" s="73"/>
      <c r="E3623" s="82"/>
      <c r="F3623" s="82"/>
      <c r="G3623" s="86"/>
      <c r="H3623" s="86"/>
      <c r="I3623" s="86"/>
      <c r="J3623" s="82"/>
      <c r="K3623" s="82"/>
      <c r="L3623" s="82"/>
      <c r="M3623" s="82"/>
      <c r="N3623" s="82"/>
      <c r="O3623" s="82"/>
      <c r="P3623" s="82"/>
      <c r="Q3623" s="82"/>
      <c r="R3623" s="82"/>
      <c r="S3623" s="82"/>
      <c r="T3623" s="82"/>
      <c r="U3623" s="82"/>
      <c r="V3623" s="82"/>
      <c r="W3623" s="82"/>
      <c r="X3623" s="82"/>
      <c r="Y3623" s="82"/>
      <c r="Z3623" s="82"/>
      <c r="AA3623" s="82"/>
      <c r="AB3623" s="82"/>
      <c r="AC3623" s="82"/>
      <c r="AD3623" s="82"/>
      <c r="AE3623" s="82"/>
      <c r="AF3623" s="82"/>
      <c r="AG3623" s="82"/>
      <c r="AH3623" s="82"/>
      <c r="AI3623" s="82"/>
      <c r="AJ3623" s="82"/>
      <c r="AK3623" s="82"/>
      <c r="AL3623" s="82"/>
      <c r="AM3623" s="82"/>
      <c r="AN3623" s="82"/>
      <c r="AO3623" s="82"/>
      <c r="AP3623" s="82"/>
      <c r="AQ3623" s="82"/>
      <c r="AR3623" s="82"/>
      <c r="AS3623" s="82"/>
      <c r="AT3623" s="82"/>
      <c r="AU3623" s="82"/>
      <c r="AV3623" s="82"/>
      <c r="AW3623" s="82" t="str">
        <f t="shared" si="1"/>
        <v/>
      </c>
      <c r="AX3623" s="83" t="str">
        <f t="array" ref="AX3623">IFERROR(DGET('SBV Import'!A:G,"SBV",{"RSC ID","Tier";B3623,A3623}))</f>
        <v/>
      </c>
      <c r="AY3623" s="82" t="str">
        <f t="shared" si="2"/>
        <v/>
      </c>
      <c r="AZ3623" s="82"/>
      <c r="BA3623" s="84" t="s">
        <v>152</v>
      </c>
      <c r="BB3623" s="84" t="str">
        <f>IFERROR(__xludf.DUMMYFUNCTION("iferror(if(A3623="""",,E3623&gt;=FILTER(Constants!$F$2:$F$10,Constants!$A$2:$A$10=A3623)))"),"")</f>
        <v/>
      </c>
    </row>
    <row r="3624">
      <c r="A3624" s="89"/>
      <c r="B3624" s="87"/>
      <c r="C3624" s="73"/>
      <c r="D3624" s="73"/>
      <c r="E3624" s="82"/>
      <c r="F3624" s="82"/>
      <c r="G3624" s="86"/>
      <c r="H3624" s="86"/>
      <c r="I3624" s="86"/>
      <c r="J3624" s="82"/>
      <c r="K3624" s="82"/>
      <c r="L3624" s="82"/>
      <c r="M3624" s="82"/>
      <c r="N3624" s="82"/>
      <c r="O3624" s="82"/>
      <c r="P3624" s="82"/>
      <c r="Q3624" s="82"/>
      <c r="R3624" s="82"/>
      <c r="S3624" s="82"/>
      <c r="T3624" s="82"/>
      <c r="U3624" s="82"/>
      <c r="V3624" s="82"/>
      <c r="W3624" s="82"/>
      <c r="X3624" s="82"/>
      <c r="Y3624" s="82"/>
      <c r="Z3624" s="82"/>
      <c r="AA3624" s="82"/>
      <c r="AB3624" s="82"/>
      <c r="AC3624" s="82"/>
      <c r="AD3624" s="82"/>
      <c r="AE3624" s="82"/>
      <c r="AF3624" s="82"/>
      <c r="AG3624" s="82"/>
      <c r="AH3624" s="82"/>
      <c r="AI3624" s="82"/>
      <c r="AJ3624" s="82"/>
      <c r="AK3624" s="82"/>
      <c r="AL3624" s="82"/>
      <c r="AM3624" s="82"/>
      <c r="AN3624" s="82"/>
      <c r="AO3624" s="82"/>
      <c r="AP3624" s="82"/>
      <c r="AQ3624" s="82"/>
      <c r="AR3624" s="82"/>
      <c r="AS3624" s="82"/>
      <c r="AT3624" s="82"/>
      <c r="AU3624" s="82"/>
      <c r="AV3624" s="82"/>
      <c r="AW3624" s="82" t="str">
        <f t="shared" si="1"/>
        <v/>
      </c>
      <c r="AX3624" s="83" t="str">
        <f t="array" ref="AX3624">IFERROR(DGET('SBV Import'!A:G,"SBV",{"RSC ID","Tier";B3624,A3624}))</f>
        <v/>
      </c>
      <c r="AY3624" s="82" t="str">
        <f t="shared" si="2"/>
        <v/>
      </c>
      <c r="AZ3624" s="82"/>
      <c r="BA3624" s="84" t="s">
        <v>152</v>
      </c>
      <c r="BB3624" s="84" t="str">
        <f>IFERROR(__xludf.DUMMYFUNCTION("iferror(if(A3624="""",,E3624&gt;=FILTER(Constants!$F$2:$F$10,Constants!$A$2:$A$10=A3624)))"),"")</f>
        <v/>
      </c>
    </row>
    <row r="3625">
      <c r="A3625" s="89"/>
      <c r="B3625" s="87"/>
      <c r="C3625" s="73"/>
      <c r="D3625" s="73"/>
      <c r="E3625" s="82"/>
      <c r="F3625" s="82"/>
      <c r="G3625" s="86"/>
      <c r="H3625" s="86"/>
      <c r="I3625" s="86"/>
      <c r="J3625" s="82"/>
      <c r="K3625" s="82"/>
      <c r="L3625" s="82"/>
      <c r="M3625" s="82"/>
      <c r="N3625" s="82"/>
      <c r="O3625" s="82"/>
      <c r="P3625" s="82"/>
      <c r="Q3625" s="82"/>
      <c r="R3625" s="82"/>
      <c r="S3625" s="82"/>
      <c r="T3625" s="82"/>
      <c r="U3625" s="82"/>
      <c r="V3625" s="82"/>
      <c r="W3625" s="82"/>
      <c r="X3625" s="82"/>
      <c r="Y3625" s="82"/>
      <c r="Z3625" s="82"/>
      <c r="AA3625" s="82"/>
      <c r="AB3625" s="82"/>
      <c r="AC3625" s="82"/>
      <c r="AD3625" s="82"/>
      <c r="AE3625" s="82"/>
      <c r="AF3625" s="82"/>
      <c r="AG3625" s="82"/>
      <c r="AH3625" s="82"/>
      <c r="AI3625" s="82"/>
      <c r="AJ3625" s="82"/>
      <c r="AK3625" s="82"/>
      <c r="AL3625" s="82"/>
      <c r="AM3625" s="82"/>
      <c r="AN3625" s="82"/>
      <c r="AO3625" s="82"/>
      <c r="AP3625" s="82"/>
      <c r="AQ3625" s="82"/>
      <c r="AR3625" s="82"/>
      <c r="AS3625" s="82"/>
      <c r="AT3625" s="82"/>
      <c r="AU3625" s="82"/>
      <c r="AV3625" s="82"/>
      <c r="AW3625" s="82" t="str">
        <f t="shared" si="1"/>
        <v/>
      </c>
      <c r="AX3625" s="83" t="str">
        <f t="array" ref="AX3625">IFERROR(DGET('SBV Import'!A:G,"SBV",{"RSC ID","Tier";B3625,A3625}))</f>
        <v/>
      </c>
      <c r="AY3625" s="82" t="str">
        <f t="shared" si="2"/>
        <v/>
      </c>
      <c r="AZ3625" s="82"/>
      <c r="BA3625" s="84" t="s">
        <v>152</v>
      </c>
      <c r="BB3625" s="84" t="str">
        <f>IFERROR(__xludf.DUMMYFUNCTION("iferror(if(A3625="""",,E3625&gt;=FILTER(Constants!$F$2:$F$10,Constants!$A$2:$A$10=A3625)))"),"")</f>
        <v/>
      </c>
    </row>
    <row r="3626">
      <c r="A3626" s="89"/>
      <c r="B3626" s="87"/>
      <c r="C3626" s="73"/>
      <c r="D3626" s="73"/>
      <c r="E3626" s="82"/>
      <c r="F3626" s="82"/>
      <c r="G3626" s="86"/>
      <c r="H3626" s="86"/>
      <c r="I3626" s="86"/>
      <c r="J3626" s="82"/>
      <c r="K3626" s="82"/>
      <c r="L3626" s="82"/>
      <c r="M3626" s="82"/>
      <c r="N3626" s="82"/>
      <c r="O3626" s="82"/>
      <c r="P3626" s="82"/>
      <c r="Q3626" s="82"/>
      <c r="R3626" s="82"/>
      <c r="S3626" s="82"/>
      <c r="T3626" s="82"/>
      <c r="U3626" s="82"/>
      <c r="V3626" s="82"/>
      <c r="W3626" s="82"/>
      <c r="X3626" s="82"/>
      <c r="Y3626" s="82"/>
      <c r="Z3626" s="82"/>
      <c r="AA3626" s="82"/>
      <c r="AB3626" s="82"/>
      <c r="AC3626" s="82"/>
      <c r="AD3626" s="82"/>
      <c r="AE3626" s="82"/>
      <c r="AF3626" s="82"/>
      <c r="AG3626" s="82"/>
      <c r="AH3626" s="82"/>
      <c r="AI3626" s="82"/>
      <c r="AJ3626" s="82"/>
      <c r="AK3626" s="82"/>
      <c r="AL3626" s="82"/>
      <c r="AM3626" s="82"/>
      <c r="AN3626" s="82"/>
      <c r="AO3626" s="82"/>
      <c r="AP3626" s="82"/>
      <c r="AQ3626" s="82"/>
      <c r="AR3626" s="82"/>
      <c r="AS3626" s="82"/>
      <c r="AT3626" s="82"/>
      <c r="AU3626" s="82"/>
      <c r="AV3626" s="82"/>
      <c r="AW3626" s="82" t="str">
        <f t="shared" si="1"/>
        <v/>
      </c>
      <c r="AX3626" s="83" t="str">
        <f t="array" ref="AX3626">IFERROR(DGET('SBV Import'!A:G,"SBV",{"RSC ID","Tier";B3626,A3626}))</f>
        <v/>
      </c>
      <c r="AY3626" s="82" t="str">
        <f t="shared" si="2"/>
        <v/>
      </c>
      <c r="AZ3626" s="82"/>
      <c r="BA3626" s="84" t="s">
        <v>152</v>
      </c>
      <c r="BB3626" s="84" t="str">
        <f>IFERROR(__xludf.DUMMYFUNCTION("iferror(if(A3626="""",,E3626&gt;=FILTER(Constants!$F$2:$F$10,Constants!$A$2:$A$10=A3626)))"),"")</f>
        <v/>
      </c>
    </row>
    <row r="3627">
      <c r="A3627" s="89"/>
      <c r="B3627" s="87"/>
      <c r="C3627" s="73"/>
      <c r="D3627" s="73"/>
      <c r="E3627" s="82"/>
      <c r="F3627" s="82"/>
      <c r="G3627" s="86"/>
      <c r="H3627" s="86"/>
      <c r="I3627" s="86"/>
      <c r="J3627" s="82"/>
      <c r="K3627" s="82"/>
      <c r="L3627" s="82"/>
      <c r="M3627" s="82"/>
      <c r="N3627" s="82"/>
      <c r="O3627" s="82"/>
      <c r="P3627" s="82"/>
      <c r="Q3627" s="82"/>
      <c r="R3627" s="82"/>
      <c r="S3627" s="82"/>
      <c r="T3627" s="82"/>
      <c r="U3627" s="82"/>
      <c r="V3627" s="82"/>
      <c r="W3627" s="82"/>
      <c r="X3627" s="82"/>
      <c r="Y3627" s="82"/>
      <c r="Z3627" s="82"/>
      <c r="AA3627" s="82"/>
      <c r="AB3627" s="82"/>
      <c r="AC3627" s="82"/>
      <c r="AD3627" s="82"/>
      <c r="AE3627" s="82"/>
      <c r="AF3627" s="82"/>
      <c r="AG3627" s="82"/>
      <c r="AH3627" s="82"/>
      <c r="AI3627" s="82"/>
      <c r="AJ3627" s="82"/>
      <c r="AK3627" s="82"/>
      <c r="AL3627" s="82"/>
      <c r="AM3627" s="82"/>
      <c r="AN3627" s="82"/>
      <c r="AO3627" s="82"/>
      <c r="AP3627" s="82"/>
      <c r="AQ3627" s="82"/>
      <c r="AR3627" s="82"/>
      <c r="AS3627" s="82"/>
      <c r="AT3627" s="82"/>
      <c r="AU3627" s="82"/>
      <c r="AV3627" s="82"/>
      <c r="AW3627" s="82" t="str">
        <f t="shared" si="1"/>
        <v/>
      </c>
      <c r="AX3627" s="83" t="str">
        <f t="array" ref="AX3627">IFERROR(DGET('SBV Import'!A:G,"SBV",{"RSC ID","Tier";B3627,A3627}))</f>
        <v/>
      </c>
      <c r="AY3627" s="82" t="str">
        <f t="shared" si="2"/>
        <v/>
      </c>
      <c r="AZ3627" s="82"/>
      <c r="BA3627" s="84" t="s">
        <v>152</v>
      </c>
      <c r="BB3627" s="84" t="str">
        <f>IFERROR(__xludf.DUMMYFUNCTION("iferror(if(A3627="""",,E3627&gt;=FILTER(Constants!$F$2:$F$10,Constants!$A$2:$A$10=A3627)))"),"")</f>
        <v/>
      </c>
    </row>
    <row r="3628">
      <c r="A3628" s="89"/>
      <c r="B3628" s="87"/>
      <c r="C3628" s="73"/>
      <c r="D3628" s="73"/>
      <c r="E3628" s="82"/>
      <c r="F3628" s="82"/>
      <c r="G3628" s="86"/>
      <c r="H3628" s="86"/>
      <c r="I3628" s="86"/>
      <c r="J3628" s="82"/>
      <c r="K3628" s="82"/>
      <c r="L3628" s="82"/>
      <c r="M3628" s="82"/>
      <c r="N3628" s="82"/>
      <c r="O3628" s="82"/>
      <c r="P3628" s="82"/>
      <c r="Q3628" s="82"/>
      <c r="R3628" s="82"/>
      <c r="S3628" s="82"/>
      <c r="T3628" s="82"/>
      <c r="U3628" s="82"/>
      <c r="V3628" s="82"/>
      <c r="W3628" s="82"/>
      <c r="X3628" s="82"/>
      <c r="Y3628" s="82"/>
      <c r="Z3628" s="82"/>
      <c r="AA3628" s="82"/>
      <c r="AB3628" s="82"/>
      <c r="AC3628" s="82"/>
      <c r="AD3628" s="82"/>
      <c r="AE3628" s="82"/>
      <c r="AF3628" s="82"/>
      <c r="AG3628" s="82"/>
      <c r="AH3628" s="82"/>
      <c r="AI3628" s="82"/>
      <c r="AJ3628" s="82"/>
      <c r="AK3628" s="82"/>
      <c r="AL3628" s="82"/>
      <c r="AM3628" s="82"/>
      <c r="AN3628" s="82"/>
      <c r="AO3628" s="82"/>
      <c r="AP3628" s="82"/>
      <c r="AQ3628" s="82"/>
      <c r="AR3628" s="82"/>
      <c r="AS3628" s="82"/>
      <c r="AT3628" s="82"/>
      <c r="AU3628" s="82"/>
      <c r="AV3628" s="82"/>
      <c r="AW3628" s="82" t="str">
        <f t="shared" si="1"/>
        <v/>
      </c>
      <c r="AX3628" s="83" t="str">
        <f t="array" ref="AX3628">IFERROR(DGET('SBV Import'!A:G,"SBV",{"RSC ID","Tier";B3628,A3628}))</f>
        <v/>
      </c>
      <c r="AY3628" s="82" t="str">
        <f t="shared" si="2"/>
        <v/>
      </c>
      <c r="AZ3628" s="82"/>
      <c r="BA3628" s="84" t="s">
        <v>152</v>
      </c>
      <c r="BB3628" s="84" t="str">
        <f>IFERROR(__xludf.DUMMYFUNCTION("iferror(if(A3628="""",,E3628&gt;=FILTER(Constants!$F$2:$F$10,Constants!$A$2:$A$10=A3628)))"),"")</f>
        <v/>
      </c>
    </row>
    <row r="3629">
      <c r="A3629" s="89"/>
      <c r="B3629" s="87"/>
      <c r="C3629" s="73"/>
      <c r="D3629" s="73"/>
      <c r="E3629" s="82"/>
      <c r="F3629" s="82"/>
      <c r="G3629" s="86"/>
      <c r="H3629" s="86"/>
      <c r="I3629" s="86"/>
      <c r="J3629" s="82"/>
      <c r="K3629" s="82"/>
      <c r="L3629" s="82"/>
      <c r="M3629" s="82"/>
      <c r="N3629" s="82"/>
      <c r="O3629" s="82"/>
      <c r="P3629" s="82"/>
      <c r="Q3629" s="82"/>
      <c r="R3629" s="82"/>
      <c r="S3629" s="82"/>
      <c r="T3629" s="82"/>
      <c r="U3629" s="82"/>
      <c r="V3629" s="82"/>
      <c r="W3629" s="82"/>
      <c r="X3629" s="82"/>
      <c r="Y3629" s="82"/>
      <c r="Z3629" s="82"/>
      <c r="AA3629" s="82"/>
      <c r="AB3629" s="82"/>
      <c r="AC3629" s="82"/>
      <c r="AD3629" s="82"/>
      <c r="AE3629" s="82"/>
      <c r="AF3629" s="82"/>
      <c r="AG3629" s="82"/>
      <c r="AH3629" s="82"/>
      <c r="AI3629" s="82"/>
      <c r="AJ3629" s="82"/>
      <c r="AK3629" s="82"/>
      <c r="AL3629" s="82"/>
      <c r="AM3629" s="82"/>
      <c r="AN3629" s="82"/>
      <c r="AO3629" s="82"/>
      <c r="AP3629" s="82"/>
      <c r="AQ3629" s="82"/>
      <c r="AR3629" s="82"/>
      <c r="AS3629" s="82"/>
      <c r="AT3629" s="82"/>
      <c r="AU3629" s="82"/>
      <c r="AV3629" s="82"/>
      <c r="AW3629" s="82" t="str">
        <f t="shared" si="1"/>
        <v/>
      </c>
      <c r="AX3629" s="83" t="str">
        <f t="array" ref="AX3629">IFERROR(DGET('SBV Import'!A:G,"SBV",{"RSC ID","Tier";B3629,A3629}))</f>
        <v/>
      </c>
      <c r="AY3629" s="82" t="str">
        <f t="shared" si="2"/>
        <v/>
      </c>
      <c r="AZ3629" s="82"/>
      <c r="BA3629" s="84" t="s">
        <v>152</v>
      </c>
      <c r="BB3629" s="84" t="str">
        <f>IFERROR(__xludf.DUMMYFUNCTION("iferror(if(A3629="""",,E3629&gt;=FILTER(Constants!$F$2:$F$10,Constants!$A$2:$A$10=A3629)))"),"")</f>
        <v/>
      </c>
    </row>
    <row r="3630">
      <c r="A3630" s="89"/>
      <c r="B3630" s="87"/>
      <c r="C3630" s="73"/>
      <c r="D3630" s="73"/>
      <c r="E3630" s="82"/>
      <c r="F3630" s="82"/>
      <c r="G3630" s="86"/>
      <c r="H3630" s="86"/>
      <c r="I3630" s="86"/>
      <c r="J3630" s="82"/>
      <c r="K3630" s="82"/>
      <c r="L3630" s="82"/>
      <c r="M3630" s="82"/>
      <c r="N3630" s="82"/>
      <c r="O3630" s="82"/>
      <c r="P3630" s="82"/>
      <c r="Q3630" s="82"/>
      <c r="R3630" s="82"/>
      <c r="S3630" s="82"/>
      <c r="T3630" s="82"/>
      <c r="U3630" s="82"/>
      <c r="V3630" s="82"/>
      <c r="W3630" s="82"/>
      <c r="X3630" s="82"/>
      <c r="Y3630" s="82"/>
      <c r="Z3630" s="82"/>
      <c r="AA3630" s="82"/>
      <c r="AB3630" s="82"/>
      <c r="AC3630" s="82"/>
      <c r="AD3630" s="82"/>
      <c r="AE3630" s="82"/>
      <c r="AF3630" s="82"/>
      <c r="AG3630" s="82"/>
      <c r="AH3630" s="82"/>
      <c r="AI3630" s="82"/>
      <c r="AJ3630" s="82"/>
      <c r="AK3630" s="82"/>
      <c r="AL3630" s="82"/>
      <c r="AM3630" s="82"/>
      <c r="AN3630" s="82"/>
      <c r="AO3630" s="82"/>
      <c r="AP3630" s="82"/>
      <c r="AQ3630" s="82"/>
      <c r="AR3630" s="82"/>
      <c r="AS3630" s="82"/>
      <c r="AT3630" s="82"/>
      <c r="AU3630" s="82"/>
      <c r="AV3630" s="82"/>
      <c r="AW3630" s="82" t="str">
        <f t="shared" si="1"/>
        <v/>
      </c>
      <c r="AX3630" s="83" t="str">
        <f t="array" ref="AX3630">IFERROR(DGET('SBV Import'!A:G,"SBV",{"RSC ID","Tier";B3630,A3630}))</f>
        <v/>
      </c>
      <c r="AY3630" s="82" t="str">
        <f t="shared" si="2"/>
        <v/>
      </c>
      <c r="AZ3630" s="82"/>
      <c r="BA3630" s="84" t="s">
        <v>152</v>
      </c>
      <c r="BB3630" s="84" t="str">
        <f>IFERROR(__xludf.DUMMYFUNCTION("iferror(if(A3630="""",,E3630&gt;=FILTER(Constants!$F$2:$F$10,Constants!$A$2:$A$10=A3630)))"),"")</f>
        <v/>
      </c>
    </row>
    <row r="3631">
      <c r="A3631" s="89"/>
      <c r="B3631" s="87"/>
      <c r="C3631" s="73"/>
      <c r="D3631" s="73"/>
      <c r="E3631" s="82"/>
      <c r="F3631" s="82"/>
      <c r="G3631" s="86"/>
      <c r="H3631" s="86"/>
      <c r="I3631" s="86"/>
      <c r="J3631" s="82"/>
      <c r="K3631" s="82"/>
      <c r="L3631" s="82"/>
      <c r="M3631" s="82"/>
      <c r="N3631" s="82"/>
      <c r="O3631" s="82"/>
      <c r="P3631" s="82"/>
      <c r="Q3631" s="82"/>
      <c r="R3631" s="82"/>
      <c r="S3631" s="82"/>
      <c r="T3631" s="82"/>
      <c r="U3631" s="82"/>
      <c r="V3631" s="82"/>
      <c r="W3631" s="82"/>
      <c r="X3631" s="82"/>
      <c r="Y3631" s="82"/>
      <c r="Z3631" s="82"/>
      <c r="AA3631" s="82"/>
      <c r="AB3631" s="82"/>
      <c r="AC3631" s="82"/>
      <c r="AD3631" s="82"/>
      <c r="AE3631" s="82"/>
      <c r="AF3631" s="82"/>
      <c r="AG3631" s="82"/>
      <c r="AH3631" s="82"/>
      <c r="AI3631" s="82"/>
      <c r="AJ3631" s="82"/>
      <c r="AK3631" s="82"/>
      <c r="AL3631" s="82"/>
      <c r="AM3631" s="82"/>
      <c r="AN3631" s="82"/>
      <c r="AO3631" s="82"/>
      <c r="AP3631" s="82"/>
      <c r="AQ3631" s="82"/>
      <c r="AR3631" s="82"/>
      <c r="AS3631" s="82"/>
      <c r="AT3631" s="82"/>
      <c r="AU3631" s="82"/>
      <c r="AV3631" s="82"/>
      <c r="AW3631" s="82" t="str">
        <f t="shared" si="1"/>
        <v/>
      </c>
      <c r="AX3631" s="83" t="str">
        <f t="array" ref="AX3631">IFERROR(DGET('SBV Import'!A:G,"SBV",{"RSC ID","Tier";B3631,A3631}))</f>
        <v/>
      </c>
      <c r="AY3631" s="82" t="str">
        <f t="shared" si="2"/>
        <v/>
      </c>
      <c r="AZ3631" s="82"/>
      <c r="BA3631" s="84" t="s">
        <v>152</v>
      </c>
      <c r="BB3631" s="84" t="str">
        <f>IFERROR(__xludf.DUMMYFUNCTION("iferror(if(A3631="""",,E3631&gt;=FILTER(Constants!$F$2:$F$10,Constants!$A$2:$A$10=A3631)))"),"")</f>
        <v/>
      </c>
    </row>
    <row r="3632">
      <c r="A3632" s="89"/>
      <c r="B3632" s="87"/>
      <c r="C3632" s="73"/>
      <c r="D3632" s="73"/>
      <c r="E3632" s="82"/>
      <c r="F3632" s="82"/>
      <c r="G3632" s="86"/>
      <c r="H3632" s="86"/>
      <c r="I3632" s="86"/>
      <c r="J3632" s="82"/>
      <c r="K3632" s="82"/>
      <c r="L3632" s="82"/>
      <c r="M3632" s="82"/>
      <c r="N3632" s="82"/>
      <c r="O3632" s="82"/>
      <c r="P3632" s="82"/>
      <c r="Q3632" s="82"/>
      <c r="R3632" s="82"/>
      <c r="S3632" s="82"/>
      <c r="T3632" s="82"/>
      <c r="U3632" s="82"/>
      <c r="V3632" s="82"/>
      <c r="W3632" s="82"/>
      <c r="X3632" s="82"/>
      <c r="Y3632" s="82"/>
      <c r="Z3632" s="82"/>
      <c r="AA3632" s="82"/>
      <c r="AB3632" s="82"/>
      <c r="AC3632" s="82"/>
      <c r="AD3632" s="82"/>
      <c r="AE3632" s="82"/>
      <c r="AF3632" s="82"/>
      <c r="AG3632" s="82"/>
      <c r="AH3632" s="82"/>
      <c r="AI3632" s="82"/>
      <c r="AJ3632" s="82"/>
      <c r="AK3632" s="82"/>
      <c r="AL3632" s="82"/>
      <c r="AM3632" s="82"/>
      <c r="AN3632" s="82"/>
      <c r="AO3632" s="82"/>
      <c r="AP3632" s="82"/>
      <c r="AQ3632" s="82"/>
      <c r="AR3632" s="82"/>
      <c r="AS3632" s="82"/>
      <c r="AT3632" s="82"/>
      <c r="AU3632" s="82"/>
      <c r="AV3632" s="82"/>
      <c r="AW3632" s="82" t="str">
        <f t="shared" si="1"/>
        <v/>
      </c>
      <c r="AX3632" s="83" t="str">
        <f t="array" ref="AX3632">IFERROR(DGET('SBV Import'!A:G,"SBV",{"RSC ID","Tier";B3632,A3632}))</f>
        <v/>
      </c>
      <c r="AY3632" s="82" t="str">
        <f t="shared" si="2"/>
        <v/>
      </c>
      <c r="AZ3632" s="82"/>
      <c r="BA3632" s="84" t="s">
        <v>152</v>
      </c>
      <c r="BB3632" s="84" t="str">
        <f>IFERROR(__xludf.DUMMYFUNCTION("iferror(if(A3632="""",,E3632&gt;=FILTER(Constants!$F$2:$F$10,Constants!$A$2:$A$10=A3632)))"),"")</f>
        <v/>
      </c>
    </row>
    <row r="3633">
      <c r="A3633" s="89"/>
      <c r="B3633" s="87"/>
      <c r="C3633" s="73"/>
      <c r="D3633" s="73"/>
      <c r="E3633" s="82"/>
      <c r="F3633" s="82"/>
      <c r="G3633" s="86"/>
      <c r="H3633" s="86"/>
      <c r="I3633" s="86"/>
      <c r="J3633" s="82"/>
      <c r="K3633" s="82"/>
      <c r="L3633" s="82"/>
      <c r="M3633" s="82"/>
      <c r="N3633" s="82"/>
      <c r="O3633" s="82"/>
      <c r="P3633" s="82"/>
      <c r="Q3633" s="82"/>
      <c r="R3633" s="82"/>
      <c r="S3633" s="82"/>
      <c r="T3633" s="82"/>
      <c r="U3633" s="82"/>
      <c r="V3633" s="82"/>
      <c r="W3633" s="82"/>
      <c r="X3633" s="82"/>
      <c r="Y3633" s="82"/>
      <c r="Z3633" s="82"/>
      <c r="AA3633" s="82"/>
      <c r="AB3633" s="82"/>
      <c r="AC3633" s="82"/>
      <c r="AD3633" s="82"/>
      <c r="AE3633" s="82"/>
      <c r="AF3633" s="82"/>
      <c r="AG3633" s="82"/>
      <c r="AH3633" s="82"/>
      <c r="AI3633" s="82"/>
      <c r="AJ3633" s="82"/>
      <c r="AK3633" s="82"/>
      <c r="AL3633" s="82"/>
      <c r="AM3633" s="82"/>
      <c r="AN3633" s="82"/>
      <c r="AO3633" s="82"/>
      <c r="AP3633" s="82"/>
      <c r="AQ3633" s="82"/>
      <c r="AR3633" s="82"/>
      <c r="AS3633" s="82"/>
      <c r="AT3633" s="82"/>
      <c r="AU3633" s="82"/>
      <c r="AV3633" s="82"/>
      <c r="AW3633" s="82" t="str">
        <f t="shared" si="1"/>
        <v/>
      </c>
      <c r="AX3633" s="83" t="str">
        <f t="array" ref="AX3633">IFERROR(DGET('SBV Import'!A:G,"SBV",{"RSC ID","Tier";B3633,A3633}))</f>
        <v/>
      </c>
      <c r="AY3633" s="82" t="str">
        <f t="shared" si="2"/>
        <v/>
      </c>
      <c r="AZ3633" s="82"/>
      <c r="BA3633" s="84" t="s">
        <v>152</v>
      </c>
      <c r="BB3633" s="84" t="str">
        <f>IFERROR(__xludf.DUMMYFUNCTION("iferror(if(A3633="""",,E3633&gt;=FILTER(Constants!$F$2:$F$10,Constants!$A$2:$A$10=A3633)))"),"")</f>
        <v/>
      </c>
    </row>
    <row r="3634">
      <c r="A3634" s="89"/>
      <c r="B3634" s="87"/>
      <c r="C3634" s="73"/>
      <c r="D3634" s="73"/>
      <c r="E3634" s="82"/>
      <c r="F3634" s="82"/>
      <c r="G3634" s="86"/>
      <c r="H3634" s="86"/>
      <c r="I3634" s="86"/>
      <c r="J3634" s="82"/>
      <c r="K3634" s="82"/>
      <c r="L3634" s="82"/>
      <c r="M3634" s="82"/>
      <c r="N3634" s="82"/>
      <c r="O3634" s="82"/>
      <c r="P3634" s="82"/>
      <c r="Q3634" s="82"/>
      <c r="R3634" s="82"/>
      <c r="S3634" s="82"/>
      <c r="T3634" s="82"/>
      <c r="U3634" s="82"/>
      <c r="V3634" s="82"/>
      <c r="W3634" s="82"/>
      <c r="X3634" s="82"/>
      <c r="Y3634" s="82"/>
      <c r="Z3634" s="82"/>
      <c r="AA3634" s="82"/>
      <c r="AB3634" s="82"/>
      <c r="AC3634" s="82"/>
      <c r="AD3634" s="82"/>
      <c r="AE3634" s="82"/>
      <c r="AF3634" s="82"/>
      <c r="AG3634" s="82"/>
      <c r="AH3634" s="82"/>
      <c r="AI3634" s="82"/>
      <c r="AJ3634" s="82"/>
      <c r="AK3634" s="82"/>
      <c r="AL3634" s="82"/>
      <c r="AM3634" s="82"/>
      <c r="AN3634" s="82"/>
      <c r="AO3634" s="82"/>
      <c r="AP3634" s="82"/>
      <c r="AQ3634" s="82"/>
      <c r="AR3634" s="82"/>
      <c r="AS3634" s="82"/>
      <c r="AT3634" s="82"/>
      <c r="AU3634" s="82"/>
      <c r="AV3634" s="82"/>
      <c r="AW3634" s="82" t="str">
        <f t="shared" si="1"/>
        <v/>
      </c>
      <c r="AX3634" s="83" t="str">
        <f t="array" ref="AX3634">IFERROR(DGET('SBV Import'!A:G,"SBV",{"RSC ID","Tier";B3634,A3634}))</f>
        <v/>
      </c>
      <c r="AY3634" s="82" t="str">
        <f t="shared" si="2"/>
        <v/>
      </c>
      <c r="AZ3634" s="82"/>
      <c r="BA3634" s="84" t="s">
        <v>152</v>
      </c>
      <c r="BB3634" s="84" t="str">
        <f>IFERROR(__xludf.DUMMYFUNCTION("iferror(if(A3634="""",,E3634&gt;=FILTER(Constants!$F$2:$F$10,Constants!$A$2:$A$10=A3634)))"),"")</f>
        <v/>
      </c>
    </row>
    <row r="3635">
      <c r="A3635" s="89"/>
      <c r="B3635" s="87"/>
      <c r="C3635" s="73"/>
      <c r="D3635" s="73"/>
      <c r="E3635" s="82"/>
      <c r="F3635" s="82"/>
      <c r="G3635" s="86"/>
      <c r="H3635" s="86"/>
      <c r="I3635" s="86"/>
      <c r="J3635" s="82"/>
      <c r="K3635" s="82"/>
      <c r="L3635" s="82"/>
      <c r="M3635" s="82"/>
      <c r="N3635" s="82"/>
      <c r="O3635" s="82"/>
      <c r="P3635" s="82"/>
      <c r="Q3635" s="82"/>
      <c r="R3635" s="82"/>
      <c r="S3635" s="82"/>
      <c r="T3635" s="82"/>
      <c r="U3635" s="82"/>
      <c r="V3635" s="82"/>
      <c r="W3635" s="82"/>
      <c r="X3635" s="82"/>
      <c r="Y3635" s="82"/>
      <c r="Z3635" s="82"/>
      <c r="AA3635" s="82"/>
      <c r="AB3635" s="82"/>
      <c r="AC3635" s="82"/>
      <c r="AD3635" s="82"/>
      <c r="AE3635" s="82"/>
      <c r="AF3635" s="82"/>
      <c r="AG3635" s="82"/>
      <c r="AH3635" s="82"/>
      <c r="AI3635" s="82"/>
      <c r="AJ3635" s="82"/>
      <c r="AK3635" s="82"/>
      <c r="AL3635" s="82"/>
      <c r="AM3635" s="82"/>
      <c r="AN3635" s="82"/>
      <c r="AO3635" s="82"/>
      <c r="AP3635" s="82"/>
      <c r="AQ3635" s="82"/>
      <c r="AR3635" s="82"/>
      <c r="AS3635" s="82"/>
      <c r="AT3635" s="82"/>
      <c r="AU3635" s="82"/>
      <c r="AV3635" s="82"/>
      <c r="AW3635" s="82" t="str">
        <f t="shared" si="1"/>
        <v/>
      </c>
      <c r="AX3635" s="83" t="str">
        <f t="array" ref="AX3635">IFERROR(DGET('SBV Import'!A:G,"SBV",{"RSC ID","Tier";B3635,A3635}))</f>
        <v/>
      </c>
      <c r="AY3635" s="82" t="str">
        <f t="shared" si="2"/>
        <v/>
      </c>
      <c r="AZ3635" s="82"/>
      <c r="BA3635" s="84" t="s">
        <v>152</v>
      </c>
      <c r="BB3635" s="84" t="str">
        <f>IFERROR(__xludf.DUMMYFUNCTION("iferror(if(A3635="""",,E3635&gt;=FILTER(Constants!$F$2:$F$10,Constants!$A$2:$A$10=A3635)))"),"")</f>
        <v/>
      </c>
    </row>
    <row r="3636">
      <c r="A3636" s="89"/>
      <c r="B3636" s="87"/>
      <c r="C3636" s="73"/>
      <c r="D3636" s="73"/>
      <c r="E3636" s="82"/>
      <c r="F3636" s="82"/>
      <c r="G3636" s="86"/>
      <c r="H3636" s="86"/>
      <c r="I3636" s="86"/>
      <c r="J3636" s="82"/>
      <c r="K3636" s="82"/>
      <c r="L3636" s="82"/>
      <c r="M3636" s="82"/>
      <c r="N3636" s="82"/>
      <c r="O3636" s="82"/>
      <c r="P3636" s="82"/>
      <c r="Q3636" s="82"/>
      <c r="R3636" s="82"/>
      <c r="S3636" s="82"/>
      <c r="T3636" s="82"/>
      <c r="U3636" s="82"/>
      <c r="V3636" s="82"/>
      <c r="W3636" s="82"/>
      <c r="X3636" s="82"/>
      <c r="Y3636" s="82"/>
      <c r="Z3636" s="82"/>
      <c r="AA3636" s="82"/>
      <c r="AB3636" s="82"/>
      <c r="AC3636" s="82"/>
      <c r="AD3636" s="82"/>
      <c r="AE3636" s="82"/>
      <c r="AF3636" s="82"/>
      <c r="AG3636" s="82"/>
      <c r="AH3636" s="82"/>
      <c r="AI3636" s="82"/>
      <c r="AJ3636" s="82"/>
      <c r="AK3636" s="82"/>
      <c r="AL3636" s="82"/>
      <c r="AM3636" s="82"/>
      <c r="AN3636" s="82"/>
      <c r="AO3636" s="82"/>
      <c r="AP3636" s="82"/>
      <c r="AQ3636" s="82"/>
      <c r="AR3636" s="82"/>
      <c r="AS3636" s="82"/>
      <c r="AT3636" s="82"/>
      <c r="AU3636" s="82"/>
      <c r="AV3636" s="82"/>
      <c r="AW3636" s="82" t="str">
        <f t="shared" si="1"/>
        <v/>
      </c>
      <c r="AX3636" s="83" t="str">
        <f t="array" ref="AX3636">IFERROR(DGET('SBV Import'!A:G,"SBV",{"RSC ID","Tier";B3636,A3636}))</f>
        <v/>
      </c>
      <c r="AY3636" s="82" t="str">
        <f t="shared" si="2"/>
        <v/>
      </c>
      <c r="AZ3636" s="82"/>
      <c r="BA3636" s="84" t="s">
        <v>152</v>
      </c>
      <c r="BB3636" s="84" t="str">
        <f>IFERROR(__xludf.DUMMYFUNCTION("iferror(if(A3636="""",,E3636&gt;=FILTER(Constants!$F$2:$F$10,Constants!$A$2:$A$10=A3636)))"),"")</f>
        <v/>
      </c>
    </row>
    <row r="3637">
      <c r="A3637" s="89"/>
      <c r="B3637" s="87"/>
      <c r="C3637" s="73"/>
      <c r="D3637" s="73"/>
      <c r="E3637" s="82"/>
      <c r="F3637" s="82"/>
      <c r="G3637" s="86"/>
      <c r="H3637" s="86"/>
      <c r="I3637" s="86"/>
      <c r="J3637" s="82"/>
      <c r="K3637" s="82"/>
      <c r="L3637" s="82"/>
      <c r="M3637" s="82"/>
      <c r="N3637" s="82"/>
      <c r="O3637" s="82"/>
      <c r="P3637" s="82"/>
      <c r="Q3637" s="82"/>
      <c r="R3637" s="82"/>
      <c r="S3637" s="82"/>
      <c r="T3637" s="82"/>
      <c r="U3637" s="82"/>
      <c r="V3637" s="82"/>
      <c r="W3637" s="82"/>
      <c r="X3637" s="82"/>
      <c r="Y3637" s="82"/>
      <c r="Z3637" s="82"/>
      <c r="AA3637" s="82"/>
      <c r="AB3637" s="82"/>
      <c r="AC3637" s="82"/>
      <c r="AD3637" s="82"/>
      <c r="AE3637" s="82"/>
      <c r="AF3637" s="82"/>
      <c r="AG3637" s="82"/>
      <c r="AH3637" s="82"/>
      <c r="AI3637" s="82"/>
      <c r="AJ3637" s="82"/>
      <c r="AK3637" s="82"/>
      <c r="AL3637" s="82"/>
      <c r="AM3637" s="82"/>
      <c r="AN3637" s="82"/>
      <c r="AO3637" s="82"/>
      <c r="AP3637" s="82"/>
      <c r="AQ3637" s="82"/>
      <c r="AR3637" s="82"/>
      <c r="AS3637" s="82"/>
      <c r="AT3637" s="82"/>
      <c r="AU3637" s="82"/>
      <c r="AV3637" s="82"/>
      <c r="AW3637" s="82" t="str">
        <f t="shared" si="1"/>
        <v/>
      </c>
      <c r="AX3637" s="83" t="str">
        <f t="array" ref="AX3637">IFERROR(DGET('SBV Import'!A:G,"SBV",{"RSC ID","Tier";B3637,A3637}))</f>
        <v/>
      </c>
      <c r="AY3637" s="82" t="str">
        <f t="shared" si="2"/>
        <v/>
      </c>
      <c r="AZ3637" s="82"/>
      <c r="BA3637" s="84" t="s">
        <v>152</v>
      </c>
      <c r="BB3637" s="84" t="str">
        <f>IFERROR(__xludf.DUMMYFUNCTION("iferror(if(A3637="""",,E3637&gt;=FILTER(Constants!$F$2:$F$10,Constants!$A$2:$A$10=A3637)))"),"")</f>
        <v/>
      </c>
    </row>
    <row r="3638">
      <c r="A3638" s="89"/>
      <c r="B3638" s="87"/>
      <c r="C3638" s="73"/>
      <c r="D3638" s="73"/>
      <c r="E3638" s="82"/>
      <c r="F3638" s="82"/>
      <c r="G3638" s="86"/>
      <c r="H3638" s="86"/>
      <c r="I3638" s="86"/>
      <c r="J3638" s="82"/>
      <c r="K3638" s="82"/>
      <c r="L3638" s="82"/>
      <c r="M3638" s="82"/>
      <c r="N3638" s="82"/>
      <c r="O3638" s="82"/>
      <c r="P3638" s="82"/>
      <c r="Q3638" s="82"/>
      <c r="R3638" s="82"/>
      <c r="S3638" s="82"/>
      <c r="T3638" s="82"/>
      <c r="U3638" s="82"/>
      <c r="V3638" s="82"/>
      <c r="W3638" s="82"/>
      <c r="X3638" s="82"/>
      <c r="Y3638" s="82"/>
      <c r="Z3638" s="82"/>
      <c r="AA3638" s="82"/>
      <c r="AB3638" s="82"/>
      <c r="AC3638" s="82"/>
      <c r="AD3638" s="82"/>
      <c r="AE3638" s="82"/>
      <c r="AF3638" s="82"/>
      <c r="AG3638" s="82"/>
      <c r="AH3638" s="82"/>
      <c r="AI3638" s="82"/>
      <c r="AJ3638" s="82"/>
      <c r="AK3638" s="82"/>
      <c r="AL3638" s="82"/>
      <c r="AM3638" s="82"/>
      <c r="AN3638" s="82"/>
      <c r="AO3638" s="82"/>
      <c r="AP3638" s="82"/>
      <c r="AQ3638" s="82"/>
      <c r="AR3638" s="82"/>
      <c r="AS3638" s="82"/>
      <c r="AT3638" s="82"/>
      <c r="AU3638" s="82"/>
      <c r="AV3638" s="82"/>
      <c r="AW3638" s="82" t="str">
        <f t="shared" si="1"/>
        <v/>
      </c>
      <c r="AX3638" s="83" t="str">
        <f t="array" ref="AX3638">IFERROR(DGET('SBV Import'!A:G,"SBV",{"RSC ID","Tier";B3638,A3638}))</f>
        <v/>
      </c>
      <c r="AY3638" s="82" t="str">
        <f t="shared" si="2"/>
        <v/>
      </c>
      <c r="AZ3638" s="82"/>
      <c r="BA3638" s="84" t="s">
        <v>152</v>
      </c>
      <c r="BB3638" s="84" t="str">
        <f>IFERROR(__xludf.DUMMYFUNCTION("iferror(if(A3638="""",,E3638&gt;=FILTER(Constants!$F$2:$F$10,Constants!$A$2:$A$10=A3638)))"),"")</f>
        <v/>
      </c>
    </row>
    <row r="3639">
      <c r="A3639" s="89"/>
      <c r="B3639" s="87"/>
      <c r="C3639" s="73"/>
      <c r="D3639" s="73"/>
      <c r="E3639" s="82"/>
      <c r="F3639" s="82"/>
      <c r="G3639" s="86"/>
      <c r="H3639" s="86"/>
      <c r="I3639" s="86"/>
      <c r="J3639" s="82"/>
      <c r="K3639" s="82"/>
      <c r="L3639" s="82"/>
      <c r="M3639" s="82"/>
      <c r="N3639" s="82"/>
      <c r="O3639" s="82"/>
      <c r="P3639" s="82"/>
      <c r="Q3639" s="82"/>
      <c r="R3639" s="82"/>
      <c r="S3639" s="82"/>
      <c r="T3639" s="82"/>
      <c r="U3639" s="82"/>
      <c r="V3639" s="82"/>
      <c r="W3639" s="82"/>
      <c r="X3639" s="82"/>
      <c r="Y3639" s="82"/>
      <c r="Z3639" s="82"/>
      <c r="AA3639" s="82"/>
      <c r="AB3639" s="82"/>
      <c r="AC3639" s="82"/>
      <c r="AD3639" s="82"/>
      <c r="AE3639" s="82"/>
      <c r="AF3639" s="82"/>
      <c r="AG3639" s="82"/>
      <c r="AH3639" s="82"/>
      <c r="AI3639" s="82"/>
      <c r="AJ3639" s="82"/>
      <c r="AK3639" s="82"/>
      <c r="AL3639" s="82"/>
      <c r="AM3639" s="82"/>
      <c r="AN3639" s="82"/>
      <c r="AO3639" s="82"/>
      <c r="AP3639" s="82"/>
      <c r="AQ3639" s="82"/>
      <c r="AR3639" s="82"/>
      <c r="AS3639" s="82"/>
      <c r="AT3639" s="82"/>
      <c r="AU3639" s="82"/>
      <c r="AV3639" s="82"/>
      <c r="AW3639" s="82" t="str">
        <f t="shared" si="1"/>
        <v/>
      </c>
      <c r="AX3639" s="83" t="str">
        <f t="array" ref="AX3639">IFERROR(DGET('SBV Import'!A:G,"SBV",{"RSC ID","Tier";B3639,A3639}))</f>
        <v/>
      </c>
      <c r="AY3639" s="82" t="str">
        <f t="shared" si="2"/>
        <v/>
      </c>
      <c r="AZ3639" s="82"/>
      <c r="BA3639" s="84" t="s">
        <v>152</v>
      </c>
      <c r="BB3639" s="84" t="str">
        <f>IFERROR(__xludf.DUMMYFUNCTION("iferror(if(A3639="""",,E3639&gt;=FILTER(Constants!$F$2:$F$10,Constants!$A$2:$A$10=A3639)))"),"")</f>
        <v/>
      </c>
    </row>
    <row r="3640">
      <c r="A3640" s="89"/>
      <c r="B3640" s="87"/>
      <c r="C3640" s="73"/>
      <c r="D3640" s="73"/>
      <c r="E3640" s="82"/>
      <c r="F3640" s="82"/>
      <c r="G3640" s="86"/>
      <c r="H3640" s="86"/>
      <c r="I3640" s="86"/>
      <c r="J3640" s="82"/>
      <c r="K3640" s="82"/>
      <c r="L3640" s="82"/>
      <c r="M3640" s="82"/>
      <c r="N3640" s="82"/>
      <c r="O3640" s="82"/>
      <c r="P3640" s="82"/>
      <c r="Q3640" s="82"/>
      <c r="R3640" s="82"/>
      <c r="S3640" s="82"/>
      <c r="T3640" s="82"/>
      <c r="U3640" s="82"/>
      <c r="V3640" s="82"/>
      <c r="W3640" s="82"/>
      <c r="X3640" s="82"/>
      <c r="Y3640" s="82"/>
      <c r="Z3640" s="82"/>
      <c r="AA3640" s="82"/>
      <c r="AB3640" s="82"/>
      <c r="AC3640" s="82"/>
      <c r="AD3640" s="82"/>
      <c r="AE3640" s="82"/>
      <c r="AF3640" s="82"/>
      <c r="AG3640" s="82"/>
      <c r="AH3640" s="82"/>
      <c r="AI3640" s="82"/>
      <c r="AJ3640" s="82"/>
      <c r="AK3640" s="82"/>
      <c r="AL3640" s="82"/>
      <c r="AM3640" s="82"/>
      <c r="AN3640" s="82"/>
      <c r="AO3640" s="82"/>
      <c r="AP3640" s="82"/>
      <c r="AQ3640" s="82"/>
      <c r="AR3640" s="82"/>
      <c r="AS3640" s="82"/>
      <c r="AT3640" s="82"/>
      <c r="AU3640" s="82"/>
      <c r="AV3640" s="82"/>
      <c r="AW3640" s="82" t="str">
        <f t="shared" si="1"/>
        <v/>
      </c>
      <c r="AX3640" s="83" t="str">
        <f t="array" ref="AX3640">IFERROR(DGET('SBV Import'!A:G,"SBV",{"RSC ID","Tier";B3640,A3640}))</f>
        <v/>
      </c>
      <c r="AY3640" s="82" t="str">
        <f t="shared" si="2"/>
        <v/>
      </c>
      <c r="AZ3640" s="82"/>
      <c r="BA3640" s="84" t="s">
        <v>152</v>
      </c>
      <c r="BB3640" s="84" t="str">
        <f>IFERROR(__xludf.DUMMYFUNCTION("iferror(if(A3640="""",,E3640&gt;=FILTER(Constants!$F$2:$F$10,Constants!$A$2:$A$10=A3640)))"),"")</f>
        <v/>
      </c>
    </row>
    <row r="3641">
      <c r="A3641" s="89"/>
      <c r="B3641" s="87"/>
      <c r="C3641" s="73"/>
      <c r="D3641" s="73"/>
      <c r="E3641" s="82"/>
      <c r="F3641" s="82"/>
      <c r="G3641" s="86"/>
      <c r="H3641" s="86"/>
      <c r="I3641" s="86"/>
      <c r="J3641" s="82"/>
      <c r="K3641" s="82"/>
      <c r="L3641" s="82"/>
      <c r="M3641" s="82"/>
      <c r="N3641" s="82"/>
      <c r="O3641" s="82"/>
      <c r="P3641" s="82"/>
      <c r="Q3641" s="82"/>
      <c r="R3641" s="82"/>
      <c r="S3641" s="82"/>
      <c r="T3641" s="82"/>
      <c r="U3641" s="82"/>
      <c r="V3641" s="82"/>
      <c r="W3641" s="82"/>
      <c r="X3641" s="82"/>
      <c r="Y3641" s="82"/>
      <c r="Z3641" s="82"/>
      <c r="AA3641" s="82"/>
      <c r="AB3641" s="82"/>
      <c r="AC3641" s="82"/>
      <c r="AD3641" s="82"/>
      <c r="AE3641" s="82"/>
      <c r="AF3641" s="82"/>
      <c r="AG3641" s="82"/>
      <c r="AH3641" s="82"/>
      <c r="AI3641" s="82"/>
      <c r="AJ3641" s="82"/>
      <c r="AK3641" s="82"/>
      <c r="AL3641" s="82"/>
      <c r="AM3641" s="82"/>
      <c r="AN3641" s="82"/>
      <c r="AO3641" s="82"/>
      <c r="AP3641" s="82"/>
      <c r="AQ3641" s="82"/>
      <c r="AR3641" s="82"/>
      <c r="AS3641" s="82"/>
      <c r="AT3641" s="82"/>
      <c r="AU3641" s="82"/>
      <c r="AV3641" s="82"/>
      <c r="AW3641" s="82" t="str">
        <f t="shared" si="1"/>
        <v/>
      </c>
      <c r="AX3641" s="83" t="str">
        <f t="array" ref="AX3641">IFERROR(DGET('SBV Import'!A:G,"SBV",{"RSC ID","Tier";B3641,A3641}))</f>
        <v/>
      </c>
      <c r="AY3641" s="82" t="str">
        <f t="shared" si="2"/>
        <v/>
      </c>
      <c r="AZ3641" s="82"/>
      <c r="BA3641" s="84" t="s">
        <v>152</v>
      </c>
      <c r="BB3641" s="84" t="str">
        <f>IFERROR(__xludf.DUMMYFUNCTION("iferror(if(A3641="""",,E3641&gt;=FILTER(Constants!$F$2:$F$10,Constants!$A$2:$A$10=A3641)))"),"")</f>
        <v/>
      </c>
    </row>
    <row r="3642">
      <c r="A3642" s="89"/>
      <c r="B3642" s="87"/>
      <c r="C3642" s="73"/>
      <c r="D3642" s="73"/>
      <c r="E3642" s="82"/>
      <c r="F3642" s="82"/>
      <c r="G3642" s="86"/>
      <c r="H3642" s="86"/>
      <c r="I3642" s="86"/>
      <c r="J3642" s="82"/>
      <c r="K3642" s="82"/>
      <c r="L3642" s="82"/>
      <c r="M3642" s="82"/>
      <c r="N3642" s="82"/>
      <c r="O3642" s="82"/>
      <c r="P3642" s="82"/>
      <c r="Q3642" s="82"/>
      <c r="R3642" s="82"/>
      <c r="S3642" s="82"/>
      <c r="T3642" s="82"/>
      <c r="U3642" s="82"/>
      <c r="V3642" s="82"/>
      <c r="W3642" s="82"/>
      <c r="X3642" s="82"/>
      <c r="Y3642" s="82"/>
      <c r="Z3642" s="82"/>
      <c r="AA3642" s="82"/>
      <c r="AB3642" s="82"/>
      <c r="AC3642" s="82"/>
      <c r="AD3642" s="82"/>
      <c r="AE3642" s="82"/>
      <c r="AF3642" s="82"/>
      <c r="AG3642" s="82"/>
      <c r="AH3642" s="82"/>
      <c r="AI3642" s="82"/>
      <c r="AJ3642" s="82"/>
      <c r="AK3642" s="82"/>
      <c r="AL3642" s="82"/>
      <c r="AM3642" s="82"/>
      <c r="AN3642" s="82"/>
      <c r="AO3642" s="82"/>
      <c r="AP3642" s="82"/>
      <c r="AQ3642" s="82"/>
      <c r="AR3642" s="82"/>
      <c r="AS3642" s="82"/>
      <c r="AT3642" s="82"/>
      <c r="AU3642" s="82"/>
      <c r="AV3642" s="82"/>
      <c r="AW3642" s="82" t="str">
        <f t="shared" si="1"/>
        <v/>
      </c>
      <c r="AX3642" s="83" t="str">
        <f t="array" ref="AX3642">IFERROR(DGET('SBV Import'!A:G,"SBV",{"RSC ID","Tier";B3642,A3642}))</f>
        <v/>
      </c>
      <c r="AY3642" s="82" t="str">
        <f t="shared" si="2"/>
        <v/>
      </c>
      <c r="AZ3642" s="82"/>
      <c r="BA3642" s="84" t="s">
        <v>152</v>
      </c>
      <c r="BB3642" s="84" t="str">
        <f>IFERROR(__xludf.DUMMYFUNCTION("iferror(if(A3642="""",,E3642&gt;=FILTER(Constants!$F$2:$F$10,Constants!$A$2:$A$10=A3642)))"),"")</f>
        <v/>
      </c>
    </row>
    <row r="3643">
      <c r="A3643" s="89"/>
      <c r="B3643" s="87"/>
      <c r="C3643" s="73"/>
      <c r="D3643" s="73"/>
      <c r="E3643" s="82"/>
      <c r="F3643" s="82"/>
      <c r="G3643" s="86"/>
      <c r="H3643" s="86"/>
      <c r="I3643" s="86"/>
      <c r="J3643" s="82"/>
      <c r="K3643" s="82"/>
      <c r="L3643" s="82"/>
      <c r="M3643" s="82"/>
      <c r="N3643" s="82"/>
      <c r="O3643" s="82"/>
      <c r="P3643" s="82"/>
      <c r="Q3643" s="82"/>
      <c r="R3643" s="82"/>
      <c r="S3643" s="82"/>
      <c r="T3643" s="82"/>
      <c r="U3643" s="82"/>
      <c r="V3643" s="82"/>
      <c r="W3643" s="82"/>
      <c r="X3643" s="82"/>
      <c r="Y3643" s="82"/>
      <c r="Z3643" s="82"/>
      <c r="AA3643" s="82"/>
      <c r="AB3643" s="82"/>
      <c r="AC3643" s="82"/>
      <c r="AD3643" s="82"/>
      <c r="AE3643" s="82"/>
      <c r="AF3643" s="82"/>
      <c r="AG3643" s="82"/>
      <c r="AH3643" s="82"/>
      <c r="AI3643" s="82"/>
      <c r="AJ3643" s="82"/>
      <c r="AK3643" s="82"/>
      <c r="AL3643" s="82"/>
      <c r="AM3643" s="82"/>
      <c r="AN3643" s="82"/>
      <c r="AO3643" s="82"/>
      <c r="AP3643" s="82"/>
      <c r="AQ3643" s="82"/>
      <c r="AR3643" s="82"/>
      <c r="AS3643" s="82"/>
      <c r="AT3643" s="82"/>
      <c r="AU3643" s="82"/>
      <c r="AV3643" s="82"/>
      <c r="AW3643" s="82" t="str">
        <f t="shared" si="1"/>
        <v/>
      </c>
      <c r="AX3643" s="83" t="str">
        <f t="array" ref="AX3643">IFERROR(DGET('SBV Import'!A:G,"SBV",{"RSC ID","Tier";B3643,A3643}))</f>
        <v/>
      </c>
      <c r="AY3643" s="82" t="str">
        <f t="shared" si="2"/>
        <v/>
      </c>
      <c r="AZ3643" s="82"/>
      <c r="BA3643" s="84" t="s">
        <v>152</v>
      </c>
      <c r="BB3643" s="84" t="str">
        <f>IFERROR(__xludf.DUMMYFUNCTION("iferror(if(A3643="""",,E3643&gt;=FILTER(Constants!$F$2:$F$10,Constants!$A$2:$A$10=A3643)))"),"")</f>
        <v/>
      </c>
    </row>
    <row r="3644">
      <c r="A3644" s="89"/>
      <c r="B3644" s="87"/>
      <c r="C3644" s="73"/>
      <c r="D3644" s="73"/>
      <c r="E3644" s="82"/>
      <c r="F3644" s="82"/>
      <c r="G3644" s="86"/>
      <c r="H3644" s="86"/>
      <c r="I3644" s="86"/>
      <c r="J3644" s="82"/>
      <c r="K3644" s="82"/>
      <c r="L3644" s="82"/>
      <c r="M3644" s="82"/>
      <c r="N3644" s="82"/>
      <c r="O3644" s="82"/>
      <c r="P3644" s="82"/>
      <c r="Q3644" s="82"/>
      <c r="R3644" s="82"/>
      <c r="S3644" s="82"/>
      <c r="T3644" s="82"/>
      <c r="U3644" s="82"/>
      <c r="V3644" s="82"/>
      <c r="W3644" s="82"/>
      <c r="X3644" s="82"/>
      <c r="Y3644" s="82"/>
      <c r="Z3644" s="82"/>
      <c r="AA3644" s="82"/>
      <c r="AB3644" s="82"/>
      <c r="AC3644" s="82"/>
      <c r="AD3644" s="82"/>
      <c r="AE3644" s="82"/>
      <c r="AF3644" s="82"/>
      <c r="AG3644" s="82"/>
      <c r="AH3644" s="82"/>
      <c r="AI3644" s="82"/>
      <c r="AJ3644" s="82"/>
      <c r="AK3644" s="82"/>
      <c r="AL3644" s="82"/>
      <c r="AM3644" s="82"/>
      <c r="AN3644" s="82"/>
      <c r="AO3644" s="82"/>
      <c r="AP3644" s="82"/>
      <c r="AQ3644" s="82"/>
      <c r="AR3644" s="82"/>
      <c r="AS3644" s="82"/>
      <c r="AT3644" s="82"/>
      <c r="AU3644" s="82"/>
      <c r="AV3644" s="82"/>
      <c r="AW3644" s="82" t="str">
        <f t="shared" si="1"/>
        <v/>
      </c>
      <c r="AX3644" s="83" t="str">
        <f t="array" ref="AX3644">IFERROR(DGET('SBV Import'!A:G,"SBV",{"RSC ID","Tier";B3644,A3644}))</f>
        <v/>
      </c>
      <c r="AY3644" s="82" t="str">
        <f t="shared" si="2"/>
        <v/>
      </c>
      <c r="AZ3644" s="82"/>
      <c r="BA3644" s="84" t="s">
        <v>152</v>
      </c>
      <c r="BB3644" s="84" t="str">
        <f>IFERROR(__xludf.DUMMYFUNCTION("iferror(if(A3644="""",,E3644&gt;=FILTER(Constants!$F$2:$F$10,Constants!$A$2:$A$10=A3644)))"),"")</f>
        <v/>
      </c>
    </row>
    <row r="3645">
      <c r="A3645" s="89"/>
      <c r="B3645" s="87"/>
      <c r="C3645" s="73"/>
      <c r="D3645" s="73"/>
      <c r="E3645" s="82"/>
      <c r="F3645" s="82"/>
      <c r="G3645" s="86"/>
      <c r="H3645" s="86"/>
      <c r="I3645" s="86"/>
      <c r="J3645" s="82"/>
      <c r="K3645" s="82"/>
      <c r="L3645" s="82"/>
      <c r="M3645" s="82"/>
      <c r="N3645" s="82"/>
      <c r="O3645" s="82"/>
      <c r="P3645" s="82"/>
      <c r="Q3645" s="82"/>
      <c r="R3645" s="82"/>
      <c r="S3645" s="82"/>
      <c r="T3645" s="82"/>
      <c r="U3645" s="82"/>
      <c r="V3645" s="82"/>
      <c r="W3645" s="82"/>
      <c r="X3645" s="82"/>
      <c r="Y3645" s="82"/>
      <c r="Z3645" s="82"/>
      <c r="AA3645" s="82"/>
      <c r="AB3645" s="82"/>
      <c r="AC3645" s="82"/>
      <c r="AD3645" s="82"/>
      <c r="AE3645" s="82"/>
      <c r="AF3645" s="82"/>
      <c r="AG3645" s="82"/>
      <c r="AH3645" s="82"/>
      <c r="AI3645" s="82"/>
      <c r="AJ3645" s="82"/>
      <c r="AK3645" s="82"/>
      <c r="AL3645" s="82"/>
      <c r="AM3645" s="82"/>
      <c r="AN3645" s="82"/>
      <c r="AO3645" s="82"/>
      <c r="AP3645" s="82"/>
      <c r="AQ3645" s="82"/>
      <c r="AR3645" s="82"/>
      <c r="AS3645" s="82"/>
      <c r="AT3645" s="82"/>
      <c r="AU3645" s="82"/>
      <c r="AV3645" s="82"/>
      <c r="AW3645" s="82" t="str">
        <f t="shared" si="1"/>
        <v/>
      </c>
      <c r="AX3645" s="83" t="str">
        <f t="array" ref="AX3645">IFERROR(DGET('SBV Import'!A:G,"SBV",{"RSC ID","Tier";B3645,A3645}))</f>
        <v/>
      </c>
      <c r="AY3645" s="82" t="str">
        <f t="shared" si="2"/>
        <v/>
      </c>
      <c r="AZ3645" s="82"/>
      <c r="BA3645" s="84" t="s">
        <v>152</v>
      </c>
      <c r="BB3645" s="84" t="str">
        <f>IFERROR(__xludf.DUMMYFUNCTION("iferror(if(A3645="""",,E3645&gt;=FILTER(Constants!$F$2:$F$10,Constants!$A$2:$A$10=A3645)))"),"")</f>
        <v/>
      </c>
    </row>
    <row r="3646">
      <c r="A3646" s="89"/>
      <c r="B3646" s="87"/>
      <c r="C3646" s="73"/>
      <c r="D3646" s="73"/>
      <c r="E3646" s="82"/>
      <c r="F3646" s="82"/>
      <c r="G3646" s="86"/>
      <c r="H3646" s="86"/>
      <c r="I3646" s="86"/>
      <c r="J3646" s="82"/>
      <c r="K3646" s="82"/>
      <c r="L3646" s="82"/>
      <c r="M3646" s="82"/>
      <c r="N3646" s="82"/>
      <c r="O3646" s="82"/>
      <c r="P3646" s="82"/>
      <c r="Q3646" s="82"/>
      <c r="R3646" s="82"/>
      <c r="S3646" s="82"/>
      <c r="T3646" s="82"/>
      <c r="U3646" s="82"/>
      <c r="V3646" s="82"/>
      <c r="W3646" s="82"/>
      <c r="X3646" s="82"/>
      <c r="Y3646" s="82"/>
      <c r="Z3646" s="82"/>
      <c r="AA3646" s="82"/>
      <c r="AB3646" s="82"/>
      <c r="AC3646" s="82"/>
      <c r="AD3646" s="82"/>
      <c r="AE3646" s="82"/>
      <c r="AF3646" s="82"/>
      <c r="AG3646" s="82"/>
      <c r="AH3646" s="82"/>
      <c r="AI3646" s="82"/>
      <c r="AJ3646" s="82"/>
      <c r="AK3646" s="82"/>
      <c r="AL3646" s="82"/>
      <c r="AM3646" s="82"/>
      <c r="AN3646" s="82"/>
      <c r="AO3646" s="82"/>
      <c r="AP3646" s="82"/>
      <c r="AQ3646" s="82"/>
      <c r="AR3646" s="82"/>
      <c r="AS3646" s="82"/>
      <c r="AT3646" s="82"/>
      <c r="AU3646" s="82"/>
      <c r="AV3646" s="82"/>
      <c r="AW3646" s="82" t="str">
        <f t="shared" si="1"/>
        <v/>
      </c>
      <c r="AX3646" s="83" t="str">
        <f t="array" ref="AX3646">IFERROR(DGET('SBV Import'!A:G,"SBV",{"RSC ID","Tier";B3646,A3646}))</f>
        <v/>
      </c>
      <c r="AY3646" s="82" t="str">
        <f t="shared" si="2"/>
        <v/>
      </c>
      <c r="AZ3646" s="82"/>
      <c r="BA3646" s="84" t="s">
        <v>152</v>
      </c>
      <c r="BB3646" s="84" t="str">
        <f>IFERROR(__xludf.DUMMYFUNCTION("iferror(if(A3646="""",,E3646&gt;=FILTER(Constants!$F$2:$F$10,Constants!$A$2:$A$10=A3646)))"),"")</f>
        <v/>
      </c>
    </row>
    <row r="3647">
      <c r="A3647" s="89"/>
      <c r="B3647" s="87"/>
      <c r="C3647" s="73"/>
      <c r="D3647" s="73"/>
      <c r="E3647" s="82"/>
      <c r="F3647" s="82"/>
      <c r="G3647" s="86"/>
      <c r="H3647" s="86"/>
      <c r="I3647" s="86"/>
      <c r="J3647" s="82"/>
      <c r="K3647" s="82"/>
      <c r="L3647" s="82"/>
      <c r="M3647" s="82"/>
      <c r="N3647" s="82"/>
      <c r="O3647" s="82"/>
      <c r="P3647" s="82"/>
      <c r="Q3647" s="82"/>
      <c r="R3647" s="82"/>
      <c r="S3647" s="82"/>
      <c r="T3647" s="82"/>
      <c r="U3647" s="82"/>
      <c r="V3647" s="82"/>
      <c r="W3647" s="82"/>
      <c r="X3647" s="82"/>
      <c r="Y3647" s="82"/>
      <c r="Z3647" s="82"/>
      <c r="AA3647" s="82"/>
      <c r="AB3647" s="82"/>
      <c r="AC3647" s="82"/>
      <c r="AD3647" s="82"/>
      <c r="AE3647" s="82"/>
      <c r="AF3647" s="82"/>
      <c r="AG3647" s="82"/>
      <c r="AH3647" s="82"/>
      <c r="AI3647" s="82"/>
      <c r="AJ3647" s="82"/>
      <c r="AK3647" s="82"/>
      <c r="AL3647" s="82"/>
      <c r="AM3647" s="82"/>
      <c r="AN3647" s="82"/>
      <c r="AO3647" s="82"/>
      <c r="AP3647" s="82"/>
      <c r="AQ3647" s="82"/>
      <c r="AR3647" s="82"/>
      <c r="AS3647" s="82"/>
      <c r="AT3647" s="82"/>
      <c r="AU3647" s="82"/>
      <c r="AV3647" s="82"/>
      <c r="AW3647" s="82" t="str">
        <f t="shared" si="1"/>
        <v/>
      </c>
      <c r="AX3647" s="83" t="str">
        <f t="array" ref="AX3647">IFERROR(DGET('SBV Import'!A:G,"SBV",{"RSC ID","Tier";B3647,A3647}))</f>
        <v/>
      </c>
      <c r="AY3647" s="82" t="str">
        <f t="shared" si="2"/>
        <v/>
      </c>
      <c r="AZ3647" s="82"/>
      <c r="BA3647" s="84" t="s">
        <v>152</v>
      </c>
      <c r="BB3647" s="84" t="str">
        <f>IFERROR(__xludf.DUMMYFUNCTION("iferror(if(A3647="""",,E3647&gt;=FILTER(Constants!$F$2:$F$10,Constants!$A$2:$A$10=A3647)))"),"")</f>
        <v/>
      </c>
    </row>
    <row r="3648">
      <c r="A3648" s="89"/>
      <c r="B3648" s="87"/>
      <c r="C3648" s="73"/>
      <c r="D3648" s="73"/>
      <c r="E3648" s="82"/>
      <c r="F3648" s="82"/>
      <c r="G3648" s="86"/>
      <c r="H3648" s="86"/>
      <c r="I3648" s="86"/>
      <c r="J3648" s="82"/>
      <c r="K3648" s="82"/>
      <c r="L3648" s="82"/>
      <c r="M3648" s="82"/>
      <c r="N3648" s="82"/>
      <c r="O3648" s="82"/>
      <c r="P3648" s="82"/>
      <c r="Q3648" s="82"/>
      <c r="R3648" s="82"/>
      <c r="S3648" s="82"/>
      <c r="T3648" s="82"/>
      <c r="U3648" s="82"/>
      <c r="V3648" s="82"/>
      <c r="W3648" s="82"/>
      <c r="X3648" s="82"/>
      <c r="Y3648" s="82"/>
      <c r="Z3648" s="82"/>
      <c r="AA3648" s="82"/>
      <c r="AB3648" s="82"/>
      <c r="AC3648" s="82"/>
      <c r="AD3648" s="82"/>
      <c r="AE3648" s="82"/>
      <c r="AF3648" s="82"/>
      <c r="AG3648" s="82"/>
      <c r="AH3648" s="82"/>
      <c r="AI3648" s="82"/>
      <c r="AJ3648" s="82"/>
      <c r="AK3648" s="82"/>
      <c r="AL3648" s="82"/>
      <c r="AM3648" s="82"/>
      <c r="AN3648" s="82"/>
      <c r="AO3648" s="82"/>
      <c r="AP3648" s="82"/>
      <c r="AQ3648" s="82"/>
      <c r="AR3648" s="82"/>
      <c r="AS3648" s="82"/>
      <c r="AT3648" s="82"/>
      <c r="AU3648" s="82"/>
      <c r="AV3648" s="82"/>
      <c r="AW3648" s="82" t="str">
        <f t="shared" si="1"/>
        <v/>
      </c>
      <c r="AX3648" s="83" t="str">
        <f t="array" ref="AX3648">IFERROR(DGET('SBV Import'!A:G,"SBV",{"RSC ID","Tier";B3648,A3648}))</f>
        <v/>
      </c>
      <c r="AY3648" s="82" t="str">
        <f t="shared" si="2"/>
        <v/>
      </c>
      <c r="AZ3648" s="82"/>
      <c r="BA3648" s="84" t="s">
        <v>152</v>
      </c>
      <c r="BB3648" s="84" t="str">
        <f>IFERROR(__xludf.DUMMYFUNCTION("iferror(if(A3648="""",,E3648&gt;=FILTER(Constants!$F$2:$F$10,Constants!$A$2:$A$10=A3648)))"),"")</f>
        <v/>
      </c>
    </row>
    <row r="3649">
      <c r="A3649" s="89"/>
      <c r="B3649" s="87"/>
      <c r="C3649" s="73"/>
      <c r="D3649" s="73"/>
      <c r="E3649" s="82"/>
      <c r="F3649" s="82"/>
      <c r="G3649" s="86"/>
      <c r="H3649" s="86"/>
      <c r="I3649" s="86"/>
      <c r="J3649" s="82"/>
      <c r="K3649" s="82"/>
      <c r="L3649" s="82"/>
      <c r="M3649" s="82"/>
      <c r="N3649" s="82"/>
      <c r="O3649" s="82"/>
      <c r="P3649" s="82"/>
      <c r="Q3649" s="82"/>
      <c r="R3649" s="82"/>
      <c r="S3649" s="82"/>
      <c r="T3649" s="82"/>
      <c r="U3649" s="82"/>
      <c r="V3649" s="82"/>
      <c r="W3649" s="82"/>
      <c r="X3649" s="82"/>
      <c r="Y3649" s="82"/>
      <c r="Z3649" s="82"/>
      <c r="AA3649" s="82"/>
      <c r="AB3649" s="82"/>
      <c r="AC3649" s="82"/>
      <c r="AD3649" s="82"/>
      <c r="AE3649" s="82"/>
      <c r="AF3649" s="82"/>
      <c r="AG3649" s="82"/>
      <c r="AH3649" s="82"/>
      <c r="AI3649" s="82"/>
      <c r="AJ3649" s="82"/>
      <c r="AK3649" s="82"/>
      <c r="AL3649" s="82"/>
      <c r="AM3649" s="82"/>
      <c r="AN3649" s="82"/>
      <c r="AO3649" s="82"/>
      <c r="AP3649" s="82"/>
      <c r="AQ3649" s="82"/>
      <c r="AR3649" s="82"/>
      <c r="AS3649" s="82"/>
      <c r="AT3649" s="82"/>
      <c r="AU3649" s="82"/>
      <c r="AV3649" s="82"/>
      <c r="AW3649" s="82" t="str">
        <f t="shared" si="1"/>
        <v/>
      </c>
      <c r="AX3649" s="83" t="str">
        <f t="array" ref="AX3649">IFERROR(DGET('SBV Import'!A:G,"SBV",{"RSC ID","Tier";B3649,A3649}))</f>
        <v/>
      </c>
      <c r="AY3649" s="82" t="str">
        <f t="shared" si="2"/>
        <v/>
      </c>
      <c r="AZ3649" s="82"/>
      <c r="BA3649" s="84" t="s">
        <v>152</v>
      </c>
      <c r="BB3649" s="84" t="str">
        <f>IFERROR(__xludf.DUMMYFUNCTION("iferror(if(A3649="""",,E3649&gt;=FILTER(Constants!$F$2:$F$10,Constants!$A$2:$A$10=A3649)))"),"")</f>
        <v/>
      </c>
    </row>
    <row r="3650">
      <c r="A3650" s="89"/>
      <c r="B3650" s="87"/>
      <c r="C3650" s="73"/>
      <c r="D3650" s="73"/>
      <c r="E3650" s="82"/>
      <c r="F3650" s="82"/>
      <c r="G3650" s="86"/>
      <c r="H3650" s="86"/>
      <c r="I3650" s="86"/>
      <c r="J3650" s="82"/>
      <c r="K3650" s="82"/>
      <c r="L3650" s="82"/>
      <c r="M3650" s="82"/>
      <c r="N3650" s="82"/>
      <c r="O3650" s="82"/>
      <c r="P3650" s="82"/>
      <c r="Q3650" s="82"/>
      <c r="R3650" s="82"/>
      <c r="S3650" s="82"/>
      <c r="T3650" s="82"/>
      <c r="U3650" s="82"/>
      <c r="V3650" s="82"/>
      <c r="W3650" s="82"/>
      <c r="X3650" s="82"/>
      <c r="Y3650" s="82"/>
      <c r="Z3650" s="82"/>
      <c r="AA3650" s="82"/>
      <c r="AB3650" s="82"/>
      <c r="AC3650" s="82"/>
      <c r="AD3650" s="82"/>
      <c r="AE3650" s="82"/>
      <c r="AF3650" s="82"/>
      <c r="AG3650" s="82"/>
      <c r="AH3650" s="82"/>
      <c r="AI3650" s="82"/>
      <c r="AJ3650" s="82"/>
      <c r="AK3650" s="82"/>
      <c r="AL3650" s="82"/>
      <c r="AM3650" s="82"/>
      <c r="AN3650" s="82"/>
      <c r="AO3650" s="82"/>
      <c r="AP3650" s="82"/>
      <c r="AQ3650" s="82"/>
      <c r="AR3650" s="82"/>
      <c r="AS3650" s="82"/>
      <c r="AT3650" s="82"/>
      <c r="AU3650" s="82"/>
      <c r="AV3650" s="82"/>
      <c r="AW3650" s="82" t="str">
        <f t="shared" si="1"/>
        <v/>
      </c>
      <c r="AX3650" s="83" t="str">
        <f t="array" ref="AX3650">IFERROR(DGET('SBV Import'!A:G,"SBV",{"RSC ID","Tier";B3650,A3650}))</f>
        <v/>
      </c>
      <c r="AY3650" s="82" t="str">
        <f t="shared" si="2"/>
        <v/>
      </c>
      <c r="AZ3650" s="82"/>
      <c r="BA3650" s="84" t="s">
        <v>152</v>
      </c>
      <c r="BB3650" s="84" t="str">
        <f>IFERROR(__xludf.DUMMYFUNCTION("iferror(if(A3650="""",,E3650&gt;=FILTER(Constants!$F$2:$F$10,Constants!$A$2:$A$10=A3650)))"),"")</f>
        <v/>
      </c>
    </row>
    <row r="3651">
      <c r="A3651" s="89"/>
      <c r="B3651" s="87"/>
      <c r="C3651" s="73"/>
      <c r="D3651" s="73"/>
      <c r="E3651" s="82"/>
      <c r="F3651" s="82"/>
      <c r="G3651" s="86"/>
      <c r="H3651" s="86"/>
      <c r="I3651" s="86"/>
      <c r="J3651" s="82"/>
      <c r="K3651" s="82"/>
      <c r="L3651" s="82"/>
      <c r="M3651" s="82"/>
      <c r="N3651" s="82"/>
      <c r="O3651" s="82"/>
      <c r="P3651" s="82"/>
      <c r="Q3651" s="82"/>
      <c r="R3651" s="82"/>
      <c r="S3651" s="82"/>
      <c r="T3651" s="82"/>
      <c r="U3651" s="82"/>
      <c r="V3651" s="82"/>
      <c r="W3651" s="82"/>
      <c r="X3651" s="82"/>
      <c r="Y3651" s="82"/>
      <c r="Z3651" s="82"/>
      <c r="AA3651" s="82"/>
      <c r="AB3651" s="82"/>
      <c r="AC3651" s="82"/>
      <c r="AD3651" s="82"/>
      <c r="AE3651" s="82"/>
      <c r="AF3651" s="82"/>
      <c r="AG3651" s="82"/>
      <c r="AH3651" s="82"/>
      <c r="AI3651" s="82"/>
      <c r="AJ3651" s="82"/>
      <c r="AK3651" s="82"/>
      <c r="AL3651" s="82"/>
      <c r="AM3651" s="82"/>
      <c r="AN3651" s="82"/>
      <c r="AO3651" s="82"/>
      <c r="AP3651" s="82"/>
      <c r="AQ3651" s="82"/>
      <c r="AR3651" s="82"/>
      <c r="AS3651" s="82"/>
      <c r="AT3651" s="82"/>
      <c r="AU3651" s="82"/>
      <c r="AV3651" s="82"/>
      <c r="AW3651" s="82" t="str">
        <f t="shared" si="1"/>
        <v/>
      </c>
      <c r="AX3651" s="83" t="str">
        <f t="array" ref="AX3651">IFERROR(DGET('SBV Import'!A:G,"SBV",{"RSC ID","Tier";B3651,A3651}))</f>
        <v/>
      </c>
      <c r="AY3651" s="82" t="str">
        <f t="shared" si="2"/>
        <v/>
      </c>
      <c r="AZ3651" s="82"/>
      <c r="BA3651" s="84" t="s">
        <v>152</v>
      </c>
      <c r="BB3651" s="84" t="str">
        <f>IFERROR(__xludf.DUMMYFUNCTION("iferror(if(A3651="""",,E3651&gt;=FILTER(Constants!$F$2:$F$10,Constants!$A$2:$A$10=A3651)))"),"")</f>
        <v/>
      </c>
    </row>
    <row r="3652">
      <c r="A3652" s="89"/>
      <c r="B3652" s="87"/>
      <c r="C3652" s="73"/>
      <c r="D3652" s="73"/>
      <c r="E3652" s="82"/>
      <c r="F3652" s="82"/>
      <c r="G3652" s="86"/>
      <c r="H3652" s="86"/>
      <c r="I3652" s="86"/>
      <c r="J3652" s="82"/>
      <c r="K3652" s="82"/>
      <c r="L3652" s="82"/>
      <c r="M3652" s="82"/>
      <c r="N3652" s="82"/>
      <c r="O3652" s="82"/>
      <c r="P3652" s="82"/>
      <c r="Q3652" s="82"/>
      <c r="R3652" s="82"/>
      <c r="S3652" s="82"/>
      <c r="T3652" s="82"/>
      <c r="U3652" s="82"/>
      <c r="V3652" s="82"/>
      <c r="W3652" s="82"/>
      <c r="X3652" s="82"/>
      <c r="Y3652" s="82"/>
      <c r="Z3652" s="82"/>
      <c r="AA3652" s="82"/>
      <c r="AB3652" s="82"/>
      <c r="AC3652" s="82"/>
      <c r="AD3652" s="82"/>
      <c r="AE3652" s="82"/>
      <c r="AF3652" s="82"/>
      <c r="AG3652" s="82"/>
      <c r="AH3652" s="82"/>
      <c r="AI3652" s="82"/>
      <c r="AJ3652" s="82"/>
      <c r="AK3652" s="82"/>
      <c r="AL3652" s="82"/>
      <c r="AM3652" s="82"/>
      <c r="AN3652" s="82"/>
      <c r="AO3652" s="82"/>
      <c r="AP3652" s="82"/>
      <c r="AQ3652" s="82"/>
      <c r="AR3652" s="82"/>
      <c r="AS3652" s="82"/>
      <c r="AT3652" s="82"/>
      <c r="AU3652" s="82"/>
      <c r="AV3652" s="82"/>
      <c r="AW3652" s="82" t="str">
        <f t="shared" si="1"/>
        <v/>
      </c>
      <c r="AX3652" s="83" t="str">
        <f t="array" ref="AX3652">IFERROR(DGET('SBV Import'!A:G,"SBV",{"RSC ID","Tier";B3652,A3652}))</f>
        <v/>
      </c>
      <c r="AY3652" s="82" t="str">
        <f t="shared" si="2"/>
        <v/>
      </c>
      <c r="AZ3652" s="82"/>
      <c r="BA3652" s="84" t="s">
        <v>152</v>
      </c>
      <c r="BB3652" s="84" t="str">
        <f>IFERROR(__xludf.DUMMYFUNCTION("iferror(if(A3652="""",,E3652&gt;=FILTER(Constants!$F$2:$F$10,Constants!$A$2:$A$10=A3652)))"),"")</f>
        <v/>
      </c>
    </row>
    <row r="3653">
      <c r="A3653" s="89"/>
      <c r="B3653" s="87"/>
      <c r="C3653" s="73"/>
      <c r="D3653" s="73"/>
      <c r="E3653" s="82"/>
      <c r="F3653" s="82"/>
      <c r="G3653" s="86"/>
      <c r="H3653" s="86"/>
      <c r="I3653" s="86"/>
      <c r="J3653" s="82"/>
      <c r="K3653" s="82"/>
      <c r="L3653" s="82"/>
      <c r="M3653" s="82"/>
      <c r="N3653" s="82"/>
      <c r="O3653" s="82"/>
      <c r="P3653" s="82"/>
      <c r="Q3653" s="82"/>
      <c r="R3653" s="82"/>
      <c r="S3653" s="82"/>
      <c r="T3653" s="82"/>
      <c r="U3653" s="82"/>
      <c r="V3653" s="82"/>
      <c r="W3653" s="82"/>
      <c r="X3653" s="82"/>
      <c r="Y3653" s="82"/>
      <c r="Z3653" s="82"/>
      <c r="AA3653" s="82"/>
      <c r="AB3653" s="82"/>
      <c r="AC3653" s="82"/>
      <c r="AD3653" s="82"/>
      <c r="AE3653" s="82"/>
      <c r="AF3653" s="82"/>
      <c r="AG3653" s="82"/>
      <c r="AH3653" s="82"/>
      <c r="AI3653" s="82"/>
      <c r="AJ3653" s="82"/>
      <c r="AK3653" s="82"/>
      <c r="AL3653" s="82"/>
      <c r="AM3653" s="82"/>
      <c r="AN3653" s="82"/>
      <c r="AO3653" s="82"/>
      <c r="AP3653" s="82"/>
      <c r="AQ3653" s="82"/>
      <c r="AR3653" s="82"/>
      <c r="AS3653" s="82"/>
      <c r="AT3653" s="82"/>
      <c r="AU3653" s="82"/>
      <c r="AV3653" s="82"/>
      <c r="AW3653" s="82" t="str">
        <f t="shared" si="1"/>
        <v/>
      </c>
      <c r="AX3653" s="83" t="str">
        <f t="array" ref="AX3653">IFERROR(DGET('SBV Import'!A:G,"SBV",{"RSC ID","Tier";B3653,A3653}))</f>
        <v/>
      </c>
      <c r="AY3653" s="82" t="str">
        <f t="shared" si="2"/>
        <v/>
      </c>
      <c r="AZ3653" s="82"/>
      <c r="BA3653" s="84" t="s">
        <v>152</v>
      </c>
      <c r="BB3653" s="84" t="str">
        <f>IFERROR(__xludf.DUMMYFUNCTION("iferror(if(A3653="""",,E3653&gt;=FILTER(Constants!$F$2:$F$10,Constants!$A$2:$A$10=A3653)))"),"")</f>
        <v/>
      </c>
    </row>
    <row r="3654">
      <c r="A3654" s="89"/>
      <c r="B3654" s="87"/>
      <c r="C3654" s="73"/>
      <c r="D3654" s="73"/>
      <c r="E3654" s="82"/>
      <c r="F3654" s="82"/>
      <c r="G3654" s="86"/>
      <c r="H3654" s="86"/>
      <c r="I3654" s="86"/>
      <c r="J3654" s="82"/>
      <c r="K3654" s="82"/>
      <c r="L3654" s="82"/>
      <c r="M3654" s="82"/>
      <c r="N3654" s="82"/>
      <c r="O3654" s="82"/>
      <c r="P3654" s="82"/>
      <c r="Q3654" s="82"/>
      <c r="R3654" s="82"/>
      <c r="S3654" s="82"/>
      <c r="T3654" s="82"/>
      <c r="U3654" s="82"/>
      <c r="V3654" s="82"/>
      <c r="W3654" s="82"/>
      <c r="X3654" s="82"/>
      <c r="Y3654" s="82"/>
      <c r="Z3654" s="82"/>
      <c r="AA3654" s="82"/>
      <c r="AB3654" s="82"/>
      <c r="AC3654" s="82"/>
      <c r="AD3654" s="82"/>
      <c r="AE3654" s="82"/>
      <c r="AF3654" s="82"/>
      <c r="AG3654" s="82"/>
      <c r="AH3654" s="82"/>
      <c r="AI3654" s="82"/>
      <c r="AJ3654" s="82"/>
      <c r="AK3654" s="82"/>
      <c r="AL3654" s="82"/>
      <c r="AM3654" s="82"/>
      <c r="AN3654" s="82"/>
      <c r="AO3654" s="82"/>
      <c r="AP3654" s="82"/>
      <c r="AQ3654" s="82"/>
      <c r="AR3654" s="82"/>
      <c r="AS3654" s="82"/>
      <c r="AT3654" s="82"/>
      <c r="AU3654" s="82"/>
      <c r="AV3654" s="82"/>
      <c r="AW3654" s="82" t="str">
        <f t="shared" si="1"/>
        <v/>
      </c>
      <c r="AX3654" s="83" t="str">
        <f t="array" ref="AX3654">IFERROR(DGET('SBV Import'!A:G,"SBV",{"RSC ID","Tier";B3654,A3654}))</f>
        <v/>
      </c>
      <c r="AY3654" s="82" t="str">
        <f t="shared" si="2"/>
        <v/>
      </c>
      <c r="AZ3654" s="82"/>
      <c r="BA3654" s="84" t="s">
        <v>152</v>
      </c>
      <c r="BB3654" s="84" t="str">
        <f>IFERROR(__xludf.DUMMYFUNCTION("iferror(if(A3654="""",,E3654&gt;=FILTER(Constants!$F$2:$F$10,Constants!$A$2:$A$10=A3654)))"),"")</f>
        <v/>
      </c>
    </row>
    <row r="3655">
      <c r="A3655" s="89"/>
      <c r="B3655" s="87"/>
      <c r="C3655" s="73"/>
      <c r="D3655" s="73"/>
      <c r="E3655" s="82"/>
      <c r="F3655" s="82"/>
      <c r="G3655" s="86"/>
      <c r="H3655" s="86"/>
      <c r="I3655" s="86"/>
      <c r="J3655" s="82"/>
      <c r="K3655" s="82"/>
      <c r="L3655" s="82"/>
      <c r="M3655" s="82"/>
      <c r="N3655" s="82"/>
      <c r="O3655" s="82"/>
      <c r="P3655" s="82"/>
      <c r="Q3655" s="82"/>
      <c r="R3655" s="82"/>
      <c r="S3655" s="82"/>
      <c r="T3655" s="82"/>
      <c r="U3655" s="82"/>
      <c r="V3655" s="82"/>
      <c r="W3655" s="82"/>
      <c r="X3655" s="82"/>
      <c r="Y3655" s="82"/>
      <c r="Z3655" s="82"/>
      <c r="AA3655" s="82"/>
      <c r="AB3655" s="82"/>
      <c r="AC3655" s="82"/>
      <c r="AD3655" s="82"/>
      <c r="AE3655" s="82"/>
      <c r="AF3655" s="82"/>
      <c r="AG3655" s="82"/>
      <c r="AH3655" s="82"/>
      <c r="AI3655" s="82"/>
      <c r="AJ3655" s="82"/>
      <c r="AK3655" s="82"/>
      <c r="AL3655" s="82"/>
      <c r="AM3655" s="82"/>
      <c r="AN3655" s="82"/>
      <c r="AO3655" s="82"/>
      <c r="AP3655" s="82"/>
      <c r="AQ3655" s="82"/>
      <c r="AR3655" s="82"/>
      <c r="AS3655" s="82"/>
      <c r="AT3655" s="82"/>
      <c r="AU3655" s="82"/>
      <c r="AV3655" s="82"/>
      <c r="AW3655" s="82" t="str">
        <f t="shared" si="1"/>
        <v/>
      </c>
      <c r="AX3655" s="83" t="str">
        <f t="array" ref="AX3655">IFERROR(DGET('SBV Import'!A:G,"SBV",{"RSC ID","Tier";B3655,A3655}))</f>
        <v/>
      </c>
      <c r="AY3655" s="82" t="str">
        <f t="shared" si="2"/>
        <v/>
      </c>
      <c r="AZ3655" s="82"/>
      <c r="BA3655" s="84" t="s">
        <v>152</v>
      </c>
      <c r="BB3655" s="84" t="str">
        <f>IFERROR(__xludf.DUMMYFUNCTION("iferror(if(A3655="""",,E3655&gt;=FILTER(Constants!$F$2:$F$10,Constants!$A$2:$A$10=A3655)))"),"")</f>
        <v/>
      </c>
    </row>
    <row r="3656">
      <c r="A3656" s="89"/>
      <c r="B3656" s="87"/>
      <c r="C3656" s="73"/>
      <c r="D3656" s="73"/>
      <c r="E3656" s="82"/>
      <c r="F3656" s="82"/>
      <c r="G3656" s="86"/>
      <c r="H3656" s="86"/>
      <c r="I3656" s="86"/>
      <c r="J3656" s="82"/>
      <c r="K3656" s="82"/>
      <c r="L3656" s="82"/>
      <c r="M3656" s="82"/>
      <c r="N3656" s="82"/>
      <c r="O3656" s="82"/>
      <c r="P3656" s="82"/>
      <c r="Q3656" s="82"/>
      <c r="R3656" s="82"/>
      <c r="S3656" s="82"/>
      <c r="T3656" s="82"/>
      <c r="U3656" s="82"/>
      <c r="V3656" s="82"/>
      <c r="W3656" s="82"/>
      <c r="X3656" s="82"/>
      <c r="Y3656" s="82"/>
      <c r="Z3656" s="82"/>
      <c r="AA3656" s="82"/>
      <c r="AB3656" s="82"/>
      <c r="AC3656" s="82"/>
      <c r="AD3656" s="82"/>
      <c r="AE3656" s="82"/>
      <c r="AF3656" s="82"/>
      <c r="AG3656" s="82"/>
      <c r="AH3656" s="82"/>
      <c r="AI3656" s="82"/>
      <c r="AJ3656" s="82"/>
      <c r="AK3656" s="82"/>
      <c r="AL3656" s="82"/>
      <c r="AM3656" s="82"/>
      <c r="AN3656" s="82"/>
      <c r="AO3656" s="82"/>
      <c r="AP3656" s="82"/>
      <c r="AQ3656" s="82"/>
      <c r="AR3656" s="82"/>
      <c r="AS3656" s="82"/>
      <c r="AT3656" s="82"/>
      <c r="AU3656" s="82"/>
      <c r="AV3656" s="82"/>
      <c r="AW3656" s="82" t="str">
        <f t="shared" si="1"/>
        <v/>
      </c>
      <c r="AX3656" s="83" t="str">
        <f t="array" ref="AX3656">IFERROR(DGET('SBV Import'!A:G,"SBV",{"RSC ID","Tier";B3656,A3656}))</f>
        <v/>
      </c>
      <c r="AY3656" s="82" t="str">
        <f t="shared" si="2"/>
        <v/>
      </c>
      <c r="AZ3656" s="82"/>
      <c r="BA3656" s="84" t="s">
        <v>152</v>
      </c>
      <c r="BB3656" s="84" t="str">
        <f>IFERROR(__xludf.DUMMYFUNCTION("iferror(if(A3656="""",,E3656&gt;=FILTER(Constants!$F$2:$F$10,Constants!$A$2:$A$10=A3656)))"),"")</f>
        <v/>
      </c>
    </row>
    <row r="3657">
      <c r="A3657" s="89"/>
      <c r="B3657" s="87"/>
      <c r="C3657" s="73"/>
      <c r="D3657" s="73"/>
      <c r="E3657" s="82"/>
      <c r="F3657" s="82"/>
      <c r="G3657" s="86"/>
      <c r="H3657" s="86"/>
      <c r="I3657" s="86"/>
      <c r="J3657" s="82"/>
      <c r="K3657" s="82"/>
      <c r="L3657" s="82"/>
      <c r="M3657" s="82"/>
      <c r="N3657" s="82"/>
      <c r="O3657" s="82"/>
      <c r="P3657" s="82"/>
      <c r="Q3657" s="82"/>
      <c r="R3657" s="82"/>
      <c r="S3657" s="82"/>
      <c r="T3657" s="82"/>
      <c r="U3657" s="82"/>
      <c r="V3657" s="82"/>
      <c r="W3657" s="82"/>
      <c r="X3657" s="82"/>
      <c r="Y3657" s="82"/>
      <c r="Z3657" s="82"/>
      <c r="AA3657" s="82"/>
      <c r="AB3657" s="82"/>
      <c r="AC3657" s="82"/>
      <c r="AD3657" s="82"/>
      <c r="AE3657" s="82"/>
      <c r="AF3657" s="82"/>
      <c r="AG3657" s="82"/>
      <c r="AH3657" s="82"/>
      <c r="AI3657" s="82"/>
      <c r="AJ3657" s="82"/>
      <c r="AK3657" s="82"/>
      <c r="AL3657" s="82"/>
      <c r="AM3657" s="82"/>
      <c r="AN3657" s="82"/>
      <c r="AO3657" s="82"/>
      <c r="AP3657" s="82"/>
      <c r="AQ3657" s="82"/>
      <c r="AR3657" s="82"/>
      <c r="AS3657" s="82"/>
      <c r="AT3657" s="82"/>
      <c r="AU3657" s="82"/>
      <c r="AV3657" s="82"/>
      <c r="AW3657" s="82" t="str">
        <f t="shared" si="1"/>
        <v/>
      </c>
      <c r="AX3657" s="83" t="str">
        <f t="array" ref="AX3657">IFERROR(DGET('SBV Import'!A:G,"SBV",{"RSC ID","Tier";B3657,A3657}))</f>
        <v/>
      </c>
      <c r="AY3657" s="82" t="str">
        <f t="shared" si="2"/>
        <v/>
      </c>
      <c r="AZ3657" s="82"/>
      <c r="BA3657" s="84" t="s">
        <v>152</v>
      </c>
      <c r="BB3657" s="84" t="str">
        <f>IFERROR(__xludf.DUMMYFUNCTION("iferror(if(A3657="""",,E3657&gt;=FILTER(Constants!$F$2:$F$10,Constants!$A$2:$A$10=A3657)))"),"")</f>
        <v/>
      </c>
    </row>
    <row r="3658">
      <c r="A3658" s="89"/>
      <c r="B3658" s="87"/>
      <c r="C3658" s="73"/>
      <c r="D3658" s="73"/>
      <c r="E3658" s="82"/>
      <c r="F3658" s="82"/>
      <c r="G3658" s="86"/>
      <c r="H3658" s="86"/>
      <c r="I3658" s="86"/>
      <c r="J3658" s="82"/>
      <c r="K3658" s="82"/>
      <c r="L3658" s="82"/>
      <c r="M3658" s="82"/>
      <c r="N3658" s="82"/>
      <c r="O3658" s="82"/>
      <c r="P3658" s="82"/>
      <c r="Q3658" s="82"/>
      <c r="R3658" s="82"/>
      <c r="S3658" s="82"/>
      <c r="T3658" s="82"/>
      <c r="U3658" s="82"/>
      <c r="V3658" s="82"/>
      <c r="W3658" s="82"/>
      <c r="X3658" s="82"/>
      <c r="Y3658" s="82"/>
      <c r="Z3658" s="82"/>
      <c r="AA3658" s="82"/>
      <c r="AB3658" s="82"/>
      <c r="AC3658" s="82"/>
      <c r="AD3658" s="82"/>
      <c r="AE3658" s="82"/>
      <c r="AF3658" s="82"/>
      <c r="AG3658" s="82"/>
      <c r="AH3658" s="82"/>
      <c r="AI3658" s="82"/>
      <c r="AJ3658" s="82"/>
      <c r="AK3658" s="82"/>
      <c r="AL3658" s="82"/>
      <c r="AM3658" s="82"/>
      <c r="AN3658" s="82"/>
      <c r="AO3658" s="82"/>
      <c r="AP3658" s="82"/>
      <c r="AQ3658" s="82"/>
      <c r="AR3658" s="82"/>
      <c r="AS3658" s="82"/>
      <c r="AT3658" s="82"/>
      <c r="AU3658" s="82"/>
      <c r="AV3658" s="82"/>
      <c r="AW3658" s="82" t="str">
        <f t="shared" si="1"/>
        <v/>
      </c>
      <c r="AX3658" s="83" t="str">
        <f t="array" ref="AX3658">IFERROR(DGET('SBV Import'!A:G,"SBV",{"RSC ID","Tier";B3658,A3658}))</f>
        <v/>
      </c>
      <c r="AY3658" s="82" t="str">
        <f t="shared" si="2"/>
        <v/>
      </c>
      <c r="AZ3658" s="82"/>
      <c r="BA3658" s="84" t="s">
        <v>152</v>
      </c>
      <c r="BB3658" s="84" t="str">
        <f>IFERROR(__xludf.DUMMYFUNCTION("iferror(if(A3658="""",,E3658&gt;=FILTER(Constants!$F$2:$F$10,Constants!$A$2:$A$10=A3658)))"),"")</f>
        <v/>
      </c>
    </row>
    <row r="3659">
      <c r="A3659" s="89"/>
      <c r="B3659" s="87"/>
      <c r="C3659" s="73"/>
      <c r="D3659" s="73"/>
      <c r="E3659" s="82"/>
      <c r="F3659" s="82"/>
      <c r="G3659" s="86"/>
      <c r="H3659" s="86"/>
      <c r="I3659" s="86"/>
      <c r="J3659" s="82"/>
      <c r="K3659" s="82"/>
      <c r="L3659" s="82"/>
      <c r="M3659" s="82"/>
      <c r="N3659" s="82"/>
      <c r="O3659" s="82"/>
      <c r="P3659" s="82"/>
      <c r="Q3659" s="82"/>
      <c r="R3659" s="82"/>
      <c r="S3659" s="82"/>
      <c r="T3659" s="82"/>
      <c r="U3659" s="82"/>
      <c r="V3659" s="82"/>
      <c r="W3659" s="82"/>
      <c r="X3659" s="82"/>
      <c r="Y3659" s="82"/>
      <c r="Z3659" s="82"/>
      <c r="AA3659" s="82"/>
      <c r="AB3659" s="82"/>
      <c r="AC3659" s="82"/>
      <c r="AD3659" s="82"/>
      <c r="AE3659" s="82"/>
      <c r="AF3659" s="82"/>
      <c r="AG3659" s="82"/>
      <c r="AH3659" s="82"/>
      <c r="AI3659" s="82"/>
      <c r="AJ3659" s="82"/>
      <c r="AK3659" s="82"/>
      <c r="AL3659" s="82"/>
      <c r="AM3659" s="82"/>
      <c r="AN3659" s="82"/>
      <c r="AO3659" s="82"/>
      <c r="AP3659" s="82"/>
      <c r="AQ3659" s="82"/>
      <c r="AR3659" s="82"/>
      <c r="AS3659" s="82"/>
      <c r="AT3659" s="82"/>
      <c r="AU3659" s="82"/>
      <c r="AV3659" s="82"/>
      <c r="AW3659" s="82" t="str">
        <f t="shared" si="1"/>
        <v/>
      </c>
      <c r="AX3659" s="83" t="str">
        <f t="array" ref="AX3659">IFERROR(DGET('SBV Import'!A:G,"SBV",{"RSC ID","Tier";B3659,A3659}))</f>
        <v/>
      </c>
      <c r="AY3659" s="82" t="str">
        <f t="shared" si="2"/>
        <v/>
      </c>
      <c r="AZ3659" s="82"/>
      <c r="BA3659" s="84" t="s">
        <v>152</v>
      </c>
      <c r="BB3659" s="84" t="str">
        <f>IFERROR(__xludf.DUMMYFUNCTION("iferror(if(A3659="""",,E3659&gt;=FILTER(Constants!$F$2:$F$10,Constants!$A$2:$A$10=A3659)))"),"")</f>
        <v/>
      </c>
    </row>
    <row r="3660">
      <c r="A3660" s="89"/>
      <c r="B3660" s="87"/>
      <c r="C3660" s="73"/>
      <c r="D3660" s="73"/>
      <c r="E3660" s="82"/>
      <c r="F3660" s="82"/>
      <c r="G3660" s="86"/>
      <c r="H3660" s="86"/>
      <c r="I3660" s="86"/>
      <c r="J3660" s="82"/>
      <c r="K3660" s="82"/>
      <c r="L3660" s="82"/>
      <c r="M3660" s="82"/>
      <c r="N3660" s="82"/>
      <c r="O3660" s="82"/>
      <c r="P3660" s="82"/>
      <c r="Q3660" s="82"/>
      <c r="R3660" s="82"/>
      <c r="S3660" s="82"/>
      <c r="T3660" s="82"/>
      <c r="U3660" s="82"/>
      <c r="V3660" s="82"/>
      <c r="W3660" s="82"/>
      <c r="X3660" s="82"/>
      <c r="Y3660" s="82"/>
      <c r="Z3660" s="82"/>
      <c r="AA3660" s="82"/>
      <c r="AB3660" s="82"/>
      <c r="AC3660" s="82"/>
      <c r="AD3660" s="82"/>
      <c r="AE3660" s="82"/>
      <c r="AF3660" s="82"/>
      <c r="AG3660" s="82"/>
      <c r="AH3660" s="82"/>
      <c r="AI3660" s="82"/>
      <c r="AJ3660" s="82"/>
      <c r="AK3660" s="82"/>
      <c r="AL3660" s="82"/>
      <c r="AM3660" s="82"/>
      <c r="AN3660" s="82"/>
      <c r="AO3660" s="82"/>
      <c r="AP3660" s="82"/>
      <c r="AQ3660" s="82"/>
      <c r="AR3660" s="82"/>
      <c r="AS3660" s="82"/>
      <c r="AT3660" s="82"/>
      <c r="AU3660" s="82"/>
      <c r="AV3660" s="82"/>
      <c r="AW3660" s="82" t="str">
        <f t="shared" si="1"/>
        <v/>
      </c>
      <c r="AX3660" s="83" t="str">
        <f t="array" ref="AX3660">IFERROR(DGET('SBV Import'!A:G,"SBV",{"RSC ID","Tier";B3660,A3660}))</f>
        <v/>
      </c>
      <c r="AY3660" s="82" t="str">
        <f t="shared" si="2"/>
        <v/>
      </c>
      <c r="AZ3660" s="82"/>
      <c r="BA3660" s="84" t="s">
        <v>152</v>
      </c>
      <c r="BB3660" s="84" t="str">
        <f>IFERROR(__xludf.DUMMYFUNCTION("iferror(if(A3660="""",,E3660&gt;=FILTER(Constants!$F$2:$F$10,Constants!$A$2:$A$10=A3660)))"),"")</f>
        <v/>
      </c>
    </row>
    <row r="3661">
      <c r="A3661" s="89"/>
      <c r="B3661" s="87"/>
      <c r="C3661" s="73"/>
      <c r="D3661" s="73"/>
      <c r="E3661" s="82"/>
      <c r="F3661" s="82"/>
      <c r="G3661" s="86"/>
      <c r="H3661" s="86"/>
      <c r="I3661" s="86"/>
      <c r="J3661" s="82"/>
      <c r="K3661" s="82"/>
      <c r="L3661" s="82"/>
      <c r="M3661" s="82"/>
      <c r="N3661" s="82"/>
      <c r="O3661" s="82"/>
      <c r="P3661" s="82"/>
      <c r="Q3661" s="82"/>
      <c r="R3661" s="82"/>
      <c r="S3661" s="82"/>
      <c r="T3661" s="82"/>
      <c r="U3661" s="82"/>
      <c r="V3661" s="82"/>
      <c r="W3661" s="82"/>
      <c r="X3661" s="82"/>
      <c r="Y3661" s="82"/>
      <c r="Z3661" s="82"/>
      <c r="AA3661" s="82"/>
      <c r="AB3661" s="82"/>
      <c r="AC3661" s="82"/>
      <c r="AD3661" s="82"/>
      <c r="AE3661" s="82"/>
      <c r="AF3661" s="82"/>
      <c r="AG3661" s="82"/>
      <c r="AH3661" s="82"/>
      <c r="AI3661" s="82"/>
      <c r="AJ3661" s="82"/>
      <c r="AK3661" s="82"/>
      <c r="AL3661" s="82"/>
      <c r="AM3661" s="82"/>
      <c r="AN3661" s="82"/>
      <c r="AO3661" s="82"/>
      <c r="AP3661" s="82"/>
      <c r="AQ3661" s="82"/>
      <c r="AR3661" s="82"/>
      <c r="AS3661" s="82"/>
      <c r="AT3661" s="82"/>
      <c r="AU3661" s="82"/>
      <c r="AV3661" s="82"/>
      <c r="AW3661" s="82" t="str">
        <f t="shared" si="1"/>
        <v/>
      </c>
      <c r="AX3661" s="83" t="str">
        <f t="array" ref="AX3661">IFERROR(DGET('SBV Import'!A:G,"SBV",{"RSC ID","Tier";B3661,A3661}))</f>
        <v/>
      </c>
      <c r="AY3661" s="82" t="str">
        <f t="shared" si="2"/>
        <v/>
      </c>
      <c r="AZ3661" s="82"/>
      <c r="BA3661" s="84" t="s">
        <v>152</v>
      </c>
      <c r="BB3661" s="84" t="str">
        <f>IFERROR(__xludf.DUMMYFUNCTION("iferror(if(A3661="""",,E3661&gt;=FILTER(Constants!$F$2:$F$10,Constants!$A$2:$A$10=A3661)))"),"")</f>
        <v/>
      </c>
    </row>
    <row r="3662">
      <c r="A3662" s="89"/>
      <c r="B3662" s="87"/>
      <c r="C3662" s="73"/>
      <c r="D3662" s="73"/>
      <c r="E3662" s="82"/>
      <c r="F3662" s="82"/>
      <c r="G3662" s="86"/>
      <c r="H3662" s="86"/>
      <c r="I3662" s="86"/>
      <c r="J3662" s="82"/>
      <c r="K3662" s="82"/>
      <c r="L3662" s="82"/>
      <c r="M3662" s="82"/>
      <c r="N3662" s="82"/>
      <c r="O3662" s="82"/>
      <c r="P3662" s="82"/>
      <c r="Q3662" s="82"/>
      <c r="R3662" s="82"/>
      <c r="S3662" s="82"/>
      <c r="T3662" s="82"/>
      <c r="U3662" s="82"/>
      <c r="V3662" s="82"/>
      <c r="W3662" s="82"/>
      <c r="X3662" s="82"/>
      <c r="Y3662" s="82"/>
      <c r="Z3662" s="82"/>
      <c r="AA3662" s="82"/>
      <c r="AB3662" s="82"/>
      <c r="AC3662" s="82"/>
      <c r="AD3662" s="82"/>
      <c r="AE3662" s="82"/>
      <c r="AF3662" s="82"/>
      <c r="AG3662" s="82"/>
      <c r="AH3662" s="82"/>
      <c r="AI3662" s="82"/>
      <c r="AJ3662" s="82"/>
      <c r="AK3662" s="82"/>
      <c r="AL3662" s="82"/>
      <c r="AM3662" s="82"/>
      <c r="AN3662" s="82"/>
      <c r="AO3662" s="82"/>
      <c r="AP3662" s="82"/>
      <c r="AQ3662" s="82"/>
      <c r="AR3662" s="82"/>
      <c r="AS3662" s="82"/>
      <c r="AT3662" s="82"/>
      <c r="AU3662" s="82"/>
      <c r="AV3662" s="82"/>
      <c r="AW3662" s="82" t="str">
        <f t="shared" si="1"/>
        <v/>
      </c>
      <c r="AX3662" s="83" t="str">
        <f t="array" ref="AX3662">IFERROR(DGET('SBV Import'!A:G,"SBV",{"RSC ID","Tier";B3662,A3662}))</f>
        <v/>
      </c>
      <c r="AY3662" s="82" t="str">
        <f t="shared" si="2"/>
        <v/>
      </c>
      <c r="AZ3662" s="82"/>
      <c r="BA3662" s="84" t="s">
        <v>152</v>
      </c>
      <c r="BB3662" s="84" t="str">
        <f>IFERROR(__xludf.DUMMYFUNCTION("iferror(if(A3662="""",,E3662&gt;=FILTER(Constants!$F$2:$F$10,Constants!$A$2:$A$10=A3662)))"),"")</f>
        <v/>
      </c>
    </row>
    <row r="3663">
      <c r="A3663" s="89"/>
      <c r="B3663" s="87"/>
      <c r="C3663" s="73"/>
      <c r="D3663" s="73"/>
      <c r="E3663" s="82"/>
      <c r="F3663" s="82"/>
      <c r="G3663" s="86"/>
      <c r="H3663" s="86"/>
      <c r="I3663" s="86"/>
      <c r="J3663" s="82"/>
      <c r="K3663" s="82"/>
      <c r="L3663" s="82"/>
      <c r="M3663" s="82"/>
      <c r="N3663" s="82"/>
      <c r="O3663" s="82"/>
      <c r="P3663" s="82"/>
      <c r="Q3663" s="82"/>
      <c r="R3663" s="82"/>
      <c r="S3663" s="82"/>
      <c r="T3663" s="82"/>
      <c r="U3663" s="82"/>
      <c r="V3663" s="82"/>
      <c r="W3663" s="82"/>
      <c r="X3663" s="82"/>
      <c r="Y3663" s="82"/>
      <c r="Z3663" s="82"/>
      <c r="AA3663" s="82"/>
      <c r="AB3663" s="82"/>
      <c r="AC3663" s="82"/>
      <c r="AD3663" s="82"/>
      <c r="AE3663" s="82"/>
      <c r="AF3663" s="82"/>
      <c r="AG3663" s="82"/>
      <c r="AH3663" s="82"/>
      <c r="AI3663" s="82"/>
      <c r="AJ3663" s="82"/>
      <c r="AK3663" s="82"/>
      <c r="AL3663" s="82"/>
      <c r="AM3663" s="82"/>
      <c r="AN3663" s="82"/>
      <c r="AO3663" s="82"/>
      <c r="AP3663" s="82"/>
      <c r="AQ3663" s="82"/>
      <c r="AR3663" s="82"/>
      <c r="AS3663" s="82"/>
      <c r="AT3663" s="82"/>
      <c r="AU3663" s="82"/>
      <c r="AV3663" s="82"/>
      <c r="AW3663" s="82" t="str">
        <f t="shared" si="1"/>
        <v/>
      </c>
      <c r="AX3663" s="83" t="str">
        <f t="array" ref="AX3663">IFERROR(DGET('SBV Import'!A:G,"SBV",{"RSC ID","Tier";B3663,A3663}))</f>
        <v/>
      </c>
      <c r="AY3663" s="82" t="str">
        <f t="shared" si="2"/>
        <v/>
      </c>
      <c r="AZ3663" s="82"/>
      <c r="BA3663" s="84" t="s">
        <v>152</v>
      </c>
      <c r="BB3663" s="84" t="str">
        <f>IFERROR(__xludf.DUMMYFUNCTION("iferror(if(A3663="""",,E3663&gt;=FILTER(Constants!$F$2:$F$10,Constants!$A$2:$A$10=A3663)))"),"")</f>
        <v/>
      </c>
    </row>
    <row r="3664">
      <c r="A3664" s="89"/>
      <c r="B3664" s="87"/>
      <c r="C3664" s="73"/>
      <c r="D3664" s="73"/>
      <c r="E3664" s="82"/>
      <c r="F3664" s="82"/>
      <c r="G3664" s="86"/>
      <c r="H3664" s="86"/>
      <c r="I3664" s="86"/>
      <c r="J3664" s="82"/>
      <c r="K3664" s="82"/>
      <c r="L3664" s="82"/>
      <c r="M3664" s="82"/>
      <c r="N3664" s="82"/>
      <c r="O3664" s="82"/>
      <c r="P3664" s="82"/>
      <c r="Q3664" s="82"/>
      <c r="R3664" s="82"/>
      <c r="S3664" s="82"/>
      <c r="T3664" s="82"/>
      <c r="U3664" s="82"/>
      <c r="V3664" s="82"/>
      <c r="W3664" s="82"/>
      <c r="X3664" s="82"/>
      <c r="Y3664" s="82"/>
      <c r="Z3664" s="82"/>
      <c r="AA3664" s="82"/>
      <c r="AB3664" s="82"/>
      <c r="AC3664" s="82"/>
      <c r="AD3664" s="82"/>
      <c r="AE3664" s="82"/>
      <c r="AF3664" s="82"/>
      <c r="AG3664" s="82"/>
      <c r="AH3664" s="82"/>
      <c r="AI3664" s="82"/>
      <c r="AJ3664" s="82"/>
      <c r="AK3664" s="82"/>
      <c r="AL3664" s="82"/>
      <c r="AM3664" s="82"/>
      <c r="AN3664" s="82"/>
      <c r="AO3664" s="82"/>
      <c r="AP3664" s="82"/>
      <c r="AQ3664" s="82"/>
      <c r="AR3664" s="82"/>
      <c r="AS3664" s="82"/>
      <c r="AT3664" s="82"/>
      <c r="AU3664" s="82"/>
      <c r="AV3664" s="82"/>
      <c r="AW3664" s="82" t="str">
        <f t="shared" si="1"/>
        <v/>
      </c>
      <c r="AX3664" s="83" t="str">
        <f t="array" ref="AX3664">IFERROR(DGET('SBV Import'!A:G,"SBV",{"RSC ID","Tier";B3664,A3664}))</f>
        <v/>
      </c>
      <c r="AY3664" s="82" t="str">
        <f t="shared" si="2"/>
        <v/>
      </c>
      <c r="AZ3664" s="82"/>
      <c r="BA3664" s="84" t="s">
        <v>152</v>
      </c>
      <c r="BB3664" s="84" t="str">
        <f>IFERROR(__xludf.DUMMYFUNCTION("iferror(if(A3664="""",,E3664&gt;=FILTER(Constants!$F$2:$F$10,Constants!$A$2:$A$10=A3664)))"),"")</f>
        <v/>
      </c>
    </row>
    <row r="3665">
      <c r="A3665" s="89"/>
      <c r="B3665" s="87"/>
      <c r="C3665" s="73"/>
      <c r="D3665" s="73"/>
      <c r="E3665" s="82"/>
      <c r="F3665" s="82"/>
      <c r="G3665" s="86"/>
      <c r="H3665" s="86"/>
      <c r="I3665" s="86"/>
      <c r="J3665" s="82"/>
      <c r="K3665" s="82"/>
      <c r="L3665" s="82"/>
      <c r="M3665" s="82"/>
      <c r="N3665" s="82"/>
      <c r="O3665" s="82"/>
      <c r="P3665" s="82"/>
      <c r="Q3665" s="82"/>
      <c r="R3665" s="82"/>
      <c r="S3665" s="82"/>
      <c r="T3665" s="82"/>
      <c r="U3665" s="82"/>
      <c r="V3665" s="82"/>
      <c r="W3665" s="82"/>
      <c r="X3665" s="82"/>
      <c r="Y3665" s="82"/>
      <c r="Z3665" s="82"/>
      <c r="AA3665" s="82"/>
      <c r="AB3665" s="82"/>
      <c r="AC3665" s="82"/>
      <c r="AD3665" s="82"/>
      <c r="AE3665" s="82"/>
      <c r="AF3665" s="82"/>
      <c r="AG3665" s="82"/>
      <c r="AH3665" s="82"/>
      <c r="AI3665" s="82"/>
      <c r="AJ3665" s="82"/>
      <c r="AK3665" s="82"/>
      <c r="AL3665" s="82"/>
      <c r="AM3665" s="82"/>
      <c r="AN3665" s="82"/>
      <c r="AO3665" s="82"/>
      <c r="AP3665" s="82"/>
      <c r="AQ3665" s="82"/>
      <c r="AR3665" s="82"/>
      <c r="AS3665" s="82"/>
      <c r="AT3665" s="82"/>
      <c r="AU3665" s="82"/>
      <c r="AV3665" s="82"/>
      <c r="AW3665" s="82" t="str">
        <f t="shared" si="1"/>
        <v/>
      </c>
      <c r="AX3665" s="83" t="str">
        <f t="array" ref="AX3665">IFERROR(DGET('SBV Import'!A:G,"SBV",{"RSC ID","Tier";B3665,A3665}))</f>
        <v/>
      </c>
      <c r="AY3665" s="82" t="str">
        <f t="shared" si="2"/>
        <v/>
      </c>
      <c r="AZ3665" s="82"/>
      <c r="BA3665" s="84" t="s">
        <v>152</v>
      </c>
      <c r="BB3665" s="84" t="str">
        <f>IFERROR(__xludf.DUMMYFUNCTION("iferror(if(A3665="""",,E3665&gt;=FILTER(Constants!$F$2:$F$10,Constants!$A$2:$A$10=A3665)))"),"")</f>
        <v/>
      </c>
    </row>
    <row r="3666">
      <c r="A3666" s="89"/>
      <c r="B3666" s="87"/>
      <c r="C3666" s="73"/>
      <c r="D3666" s="73"/>
      <c r="E3666" s="82"/>
      <c r="F3666" s="82"/>
      <c r="G3666" s="86"/>
      <c r="H3666" s="86"/>
      <c r="I3666" s="86"/>
      <c r="J3666" s="82"/>
      <c r="K3666" s="82"/>
      <c r="L3666" s="82"/>
      <c r="M3666" s="82"/>
      <c r="N3666" s="82"/>
      <c r="O3666" s="82"/>
      <c r="P3666" s="82"/>
      <c r="Q3666" s="82"/>
      <c r="R3666" s="82"/>
      <c r="S3666" s="82"/>
      <c r="T3666" s="82"/>
      <c r="U3666" s="82"/>
      <c r="V3666" s="82"/>
      <c r="W3666" s="82"/>
      <c r="X3666" s="82"/>
      <c r="Y3666" s="82"/>
      <c r="Z3666" s="82"/>
      <c r="AA3666" s="82"/>
      <c r="AB3666" s="82"/>
      <c r="AC3666" s="82"/>
      <c r="AD3666" s="82"/>
      <c r="AE3666" s="82"/>
      <c r="AF3666" s="82"/>
      <c r="AG3666" s="82"/>
      <c r="AH3666" s="82"/>
      <c r="AI3666" s="82"/>
      <c r="AJ3666" s="82"/>
      <c r="AK3666" s="82"/>
      <c r="AL3666" s="82"/>
      <c r="AM3666" s="82"/>
      <c r="AN3666" s="82"/>
      <c r="AO3666" s="82"/>
      <c r="AP3666" s="82"/>
      <c r="AQ3666" s="82"/>
      <c r="AR3666" s="82"/>
      <c r="AS3666" s="82"/>
      <c r="AT3666" s="82"/>
      <c r="AU3666" s="82"/>
      <c r="AV3666" s="82"/>
      <c r="AW3666" s="82" t="str">
        <f t="shared" si="1"/>
        <v/>
      </c>
      <c r="AX3666" s="83" t="str">
        <f t="array" ref="AX3666">IFERROR(DGET('SBV Import'!A:G,"SBV",{"RSC ID","Tier";B3666,A3666}))</f>
        <v/>
      </c>
      <c r="AY3666" s="82" t="str">
        <f t="shared" si="2"/>
        <v/>
      </c>
      <c r="AZ3666" s="82"/>
      <c r="BA3666" s="84" t="s">
        <v>152</v>
      </c>
      <c r="BB3666" s="84" t="str">
        <f>IFERROR(__xludf.DUMMYFUNCTION("iferror(if(A3666="""",,E3666&gt;=FILTER(Constants!$F$2:$F$10,Constants!$A$2:$A$10=A3666)))"),"")</f>
        <v/>
      </c>
    </row>
    <row r="3667">
      <c r="A3667" s="89"/>
      <c r="B3667" s="87"/>
      <c r="C3667" s="73"/>
      <c r="D3667" s="73"/>
      <c r="E3667" s="82"/>
      <c r="F3667" s="82"/>
      <c r="G3667" s="86"/>
      <c r="H3667" s="86"/>
      <c r="I3667" s="86"/>
      <c r="J3667" s="82"/>
      <c r="K3667" s="82"/>
      <c r="L3667" s="82"/>
      <c r="M3667" s="82"/>
      <c r="N3667" s="82"/>
      <c r="O3667" s="82"/>
      <c r="P3667" s="82"/>
      <c r="Q3667" s="82"/>
      <c r="R3667" s="82"/>
      <c r="S3667" s="82"/>
      <c r="T3667" s="82"/>
      <c r="U3667" s="82"/>
      <c r="V3667" s="82"/>
      <c r="W3667" s="82"/>
      <c r="X3667" s="82"/>
      <c r="Y3667" s="82"/>
      <c r="Z3667" s="82"/>
      <c r="AA3667" s="82"/>
      <c r="AB3667" s="82"/>
      <c r="AC3667" s="82"/>
      <c r="AD3667" s="82"/>
      <c r="AE3667" s="82"/>
      <c r="AF3667" s="82"/>
      <c r="AG3667" s="82"/>
      <c r="AH3667" s="82"/>
      <c r="AI3667" s="82"/>
      <c r="AJ3667" s="82"/>
      <c r="AK3667" s="82"/>
      <c r="AL3667" s="82"/>
      <c r="AM3667" s="82"/>
      <c r="AN3667" s="82"/>
      <c r="AO3667" s="82"/>
      <c r="AP3667" s="82"/>
      <c r="AQ3667" s="82"/>
      <c r="AR3667" s="82"/>
      <c r="AS3667" s="82"/>
      <c r="AT3667" s="82"/>
      <c r="AU3667" s="82"/>
      <c r="AV3667" s="82"/>
      <c r="AW3667" s="82" t="str">
        <f t="shared" si="1"/>
        <v/>
      </c>
      <c r="AX3667" s="83" t="str">
        <f t="array" ref="AX3667">IFERROR(DGET('SBV Import'!A:G,"SBV",{"RSC ID","Tier";B3667,A3667}))</f>
        <v/>
      </c>
      <c r="AY3667" s="82" t="str">
        <f t="shared" si="2"/>
        <v/>
      </c>
      <c r="AZ3667" s="82"/>
      <c r="BA3667" s="84" t="s">
        <v>152</v>
      </c>
      <c r="BB3667" s="84" t="str">
        <f>IFERROR(__xludf.DUMMYFUNCTION("iferror(if(A3667="""",,E3667&gt;=FILTER(Constants!$F$2:$F$10,Constants!$A$2:$A$10=A3667)))"),"")</f>
        <v/>
      </c>
    </row>
    <row r="3668">
      <c r="A3668" s="89"/>
      <c r="B3668" s="87"/>
      <c r="C3668" s="73"/>
      <c r="D3668" s="73"/>
      <c r="E3668" s="82"/>
      <c r="F3668" s="82"/>
      <c r="G3668" s="86"/>
      <c r="H3668" s="86"/>
      <c r="I3668" s="86"/>
      <c r="J3668" s="82"/>
      <c r="K3668" s="82"/>
      <c r="L3668" s="82"/>
      <c r="M3668" s="82"/>
      <c r="N3668" s="82"/>
      <c r="O3668" s="82"/>
      <c r="P3668" s="82"/>
      <c r="Q3668" s="82"/>
      <c r="R3668" s="82"/>
      <c r="S3668" s="82"/>
      <c r="T3668" s="82"/>
      <c r="U3668" s="82"/>
      <c r="V3668" s="82"/>
      <c r="W3668" s="82"/>
      <c r="X3668" s="82"/>
      <c r="Y3668" s="82"/>
      <c r="Z3668" s="82"/>
      <c r="AA3668" s="82"/>
      <c r="AB3668" s="82"/>
      <c r="AC3668" s="82"/>
      <c r="AD3668" s="82"/>
      <c r="AE3668" s="82"/>
      <c r="AF3668" s="82"/>
      <c r="AG3668" s="82"/>
      <c r="AH3668" s="82"/>
      <c r="AI3668" s="82"/>
      <c r="AJ3668" s="82"/>
      <c r="AK3668" s="82"/>
      <c r="AL3668" s="82"/>
      <c r="AM3668" s="82"/>
      <c r="AN3668" s="82"/>
      <c r="AO3668" s="82"/>
      <c r="AP3668" s="82"/>
      <c r="AQ3668" s="82"/>
      <c r="AR3668" s="82"/>
      <c r="AS3668" s="82"/>
      <c r="AT3668" s="82"/>
      <c r="AU3668" s="82"/>
      <c r="AV3668" s="82"/>
      <c r="AW3668" s="82" t="str">
        <f t="shared" si="1"/>
        <v/>
      </c>
      <c r="AX3668" s="83" t="str">
        <f t="array" ref="AX3668">IFERROR(DGET('SBV Import'!A:G,"SBV",{"RSC ID","Tier";B3668,A3668}))</f>
        <v/>
      </c>
      <c r="AY3668" s="82" t="str">
        <f t="shared" si="2"/>
        <v/>
      </c>
      <c r="AZ3668" s="82"/>
      <c r="BA3668" s="84" t="s">
        <v>152</v>
      </c>
      <c r="BB3668" s="84" t="str">
        <f>IFERROR(__xludf.DUMMYFUNCTION("iferror(if(A3668="""",,E3668&gt;=FILTER(Constants!$F$2:$F$10,Constants!$A$2:$A$10=A3668)))"),"")</f>
        <v/>
      </c>
    </row>
    <row r="3669">
      <c r="A3669" s="89"/>
      <c r="B3669" s="87"/>
      <c r="C3669" s="73"/>
      <c r="D3669" s="73"/>
      <c r="E3669" s="82"/>
      <c r="F3669" s="82"/>
      <c r="G3669" s="86"/>
      <c r="H3669" s="86"/>
      <c r="I3669" s="86"/>
      <c r="J3669" s="82"/>
      <c r="K3669" s="82"/>
      <c r="L3669" s="82"/>
      <c r="M3669" s="82"/>
      <c r="N3669" s="82"/>
      <c r="O3669" s="82"/>
      <c r="P3669" s="82"/>
      <c r="Q3669" s="82"/>
      <c r="R3669" s="82"/>
      <c r="S3669" s="82"/>
      <c r="T3669" s="82"/>
      <c r="U3669" s="82"/>
      <c r="V3669" s="82"/>
      <c r="W3669" s="82"/>
      <c r="X3669" s="82"/>
      <c r="Y3669" s="82"/>
      <c r="Z3669" s="82"/>
      <c r="AA3669" s="82"/>
      <c r="AB3669" s="82"/>
      <c r="AC3669" s="82"/>
      <c r="AD3669" s="82"/>
      <c r="AE3669" s="82"/>
      <c r="AF3669" s="82"/>
      <c r="AG3669" s="82"/>
      <c r="AH3669" s="82"/>
      <c r="AI3669" s="82"/>
      <c r="AJ3669" s="82"/>
      <c r="AK3669" s="82"/>
      <c r="AL3669" s="82"/>
      <c r="AM3669" s="82"/>
      <c r="AN3669" s="82"/>
      <c r="AO3669" s="82"/>
      <c r="AP3669" s="82"/>
      <c r="AQ3669" s="82"/>
      <c r="AR3669" s="82"/>
      <c r="AS3669" s="82"/>
      <c r="AT3669" s="82"/>
      <c r="AU3669" s="82"/>
      <c r="AV3669" s="82"/>
      <c r="AW3669" s="82" t="str">
        <f t="shared" si="1"/>
        <v/>
      </c>
      <c r="AX3669" s="83" t="str">
        <f t="array" ref="AX3669">IFERROR(DGET('SBV Import'!A:G,"SBV",{"RSC ID","Tier";B3669,A3669}))</f>
        <v/>
      </c>
      <c r="AY3669" s="82" t="str">
        <f t="shared" si="2"/>
        <v/>
      </c>
      <c r="AZ3669" s="82"/>
      <c r="BA3669" s="84" t="s">
        <v>152</v>
      </c>
      <c r="BB3669" s="84" t="str">
        <f>IFERROR(__xludf.DUMMYFUNCTION("iferror(if(A3669="""",,E3669&gt;=FILTER(Constants!$F$2:$F$10,Constants!$A$2:$A$10=A3669)))"),"")</f>
        <v/>
      </c>
    </row>
    <row r="3670">
      <c r="A3670" s="89"/>
      <c r="B3670" s="87"/>
      <c r="C3670" s="73"/>
      <c r="D3670" s="73"/>
      <c r="E3670" s="82"/>
      <c r="F3670" s="82"/>
      <c r="G3670" s="86"/>
      <c r="H3670" s="86"/>
      <c r="I3670" s="86"/>
      <c r="J3670" s="82"/>
      <c r="K3670" s="82"/>
      <c r="L3670" s="82"/>
      <c r="M3670" s="82"/>
      <c r="N3670" s="82"/>
      <c r="O3670" s="82"/>
      <c r="P3670" s="82"/>
      <c r="Q3670" s="82"/>
      <c r="R3670" s="82"/>
      <c r="S3670" s="82"/>
      <c r="T3670" s="82"/>
      <c r="U3670" s="82"/>
      <c r="V3670" s="82"/>
      <c r="W3670" s="82"/>
      <c r="X3670" s="82"/>
      <c r="Y3670" s="82"/>
      <c r="Z3670" s="82"/>
      <c r="AA3670" s="82"/>
      <c r="AB3670" s="82"/>
      <c r="AC3670" s="82"/>
      <c r="AD3670" s="82"/>
      <c r="AE3670" s="82"/>
      <c r="AF3670" s="82"/>
      <c r="AG3670" s="82"/>
      <c r="AH3670" s="82"/>
      <c r="AI3670" s="82"/>
      <c r="AJ3670" s="82"/>
      <c r="AK3670" s="82"/>
      <c r="AL3670" s="82"/>
      <c r="AM3670" s="82"/>
      <c r="AN3670" s="82"/>
      <c r="AO3670" s="82"/>
      <c r="AP3670" s="82"/>
      <c r="AQ3670" s="82"/>
      <c r="AR3670" s="82"/>
      <c r="AS3670" s="82"/>
      <c r="AT3670" s="82"/>
      <c r="AU3670" s="82"/>
      <c r="AV3670" s="82"/>
      <c r="AW3670" s="82" t="str">
        <f t="shared" si="1"/>
        <v/>
      </c>
      <c r="AX3670" s="83" t="str">
        <f t="array" ref="AX3670">IFERROR(DGET('SBV Import'!A:G,"SBV",{"RSC ID","Tier";B3670,A3670}))</f>
        <v/>
      </c>
      <c r="AY3670" s="82" t="str">
        <f t="shared" si="2"/>
        <v/>
      </c>
      <c r="AZ3670" s="82"/>
      <c r="BA3670" s="84" t="s">
        <v>152</v>
      </c>
      <c r="BB3670" s="84" t="str">
        <f>IFERROR(__xludf.DUMMYFUNCTION("iferror(if(A3670="""",,E3670&gt;=FILTER(Constants!$F$2:$F$10,Constants!$A$2:$A$10=A3670)))"),"")</f>
        <v/>
      </c>
    </row>
    <row r="3671">
      <c r="A3671" s="89"/>
      <c r="B3671" s="87"/>
      <c r="C3671" s="73"/>
      <c r="D3671" s="73"/>
      <c r="E3671" s="82"/>
      <c r="F3671" s="82"/>
      <c r="G3671" s="86"/>
      <c r="H3671" s="86"/>
      <c r="I3671" s="86"/>
      <c r="J3671" s="82"/>
      <c r="K3671" s="82"/>
      <c r="L3671" s="82"/>
      <c r="M3671" s="82"/>
      <c r="N3671" s="82"/>
      <c r="O3671" s="82"/>
      <c r="P3671" s="82"/>
      <c r="Q3671" s="82"/>
      <c r="R3671" s="82"/>
      <c r="S3671" s="82"/>
      <c r="T3671" s="82"/>
      <c r="U3671" s="82"/>
      <c r="V3671" s="82"/>
      <c r="W3671" s="82"/>
      <c r="X3671" s="82"/>
      <c r="Y3671" s="82"/>
      <c r="Z3671" s="82"/>
      <c r="AA3671" s="82"/>
      <c r="AB3671" s="82"/>
      <c r="AC3671" s="82"/>
      <c r="AD3671" s="82"/>
      <c r="AE3671" s="82"/>
      <c r="AF3671" s="82"/>
      <c r="AG3671" s="82"/>
      <c r="AH3671" s="82"/>
      <c r="AI3671" s="82"/>
      <c r="AJ3671" s="82"/>
      <c r="AK3671" s="82"/>
      <c r="AL3671" s="82"/>
      <c r="AM3671" s="82"/>
      <c r="AN3671" s="82"/>
      <c r="AO3671" s="82"/>
      <c r="AP3671" s="82"/>
      <c r="AQ3671" s="82"/>
      <c r="AR3671" s="82"/>
      <c r="AS3671" s="82"/>
      <c r="AT3671" s="82"/>
      <c r="AU3671" s="82"/>
      <c r="AV3671" s="82"/>
      <c r="AW3671" s="82" t="str">
        <f t="shared" si="1"/>
        <v/>
      </c>
      <c r="AX3671" s="83" t="str">
        <f t="array" ref="AX3671">IFERROR(DGET('SBV Import'!A:G,"SBV",{"RSC ID","Tier";B3671,A3671}))</f>
        <v/>
      </c>
      <c r="AY3671" s="82" t="str">
        <f t="shared" si="2"/>
        <v/>
      </c>
      <c r="AZ3671" s="82"/>
      <c r="BA3671" s="84" t="s">
        <v>152</v>
      </c>
      <c r="BB3671" s="84" t="str">
        <f>IFERROR(__xludf.DUMMYFUNCTION("iferror(if(A3671="""",,E3671&gt;=FILTER(Constants!$F$2:$F$10,Constants!$A$2:$A$10=A3671)))"),"")</f>
        <v/>
      </c>
    </row>
    <row r="3672">
      <c r="A3672" s="89"/>
      <c r="B3672" s="87"/>
      <c r="C3672" s="73"/>
      <c r="D3672" s="73"/>
      <c r="E3672" s="82"/>
      <c r="F3672" s="82"/>
      <c r="G3672" s="86"/>
      <c r="H3672" s="86"/>
      <c r="I3672" s="86"/>
      <c r="J3672" s="82"/>
      <c r="K3672" s="82"/>
      <c r="L3672" s="82"/>
      <c r="M3672" s="82"/>
      <c r="N3672" s="82"/>
      <c r="O3672" s="82"/>
      <c r="P3672" s="82"/>
      <c r="Q3672" s="82"/>
      <c r="R3672" s="82"/>
      <c r="S3672" s="82"/>
      <c r="T3672" s="82"/>
      <c r="U3672" s="82"/>
      <c r="V3672" s="82"/>
      <c r="W3672" s="82"/>
      <c r="X3672" s="82"/>
      <c r="Y3672" s="82"/>
      <c r="Z3672" s="82"/>
      <c r="AA3672" s="82"/>
      <c r="AB3672" s="82"/>
      <c r="AC3672" s="82"/>
      <c r="AD3672" s="82"/>
      <c r="AE3672" s="82"/>
      <c r="AF3672" s="82"/>
      <c r="AG3672" s="82"/>
      <c r="AH3672" s="82"/>
      <c r="AI3672" s="82"/>
      <c r="AJ3672" s="82"/>
      <c r="AK3672" s="82"/>
      <c r="AL3672" s="82"/>
      <c r="AM3672" s="82"/>
      <c r="AN3672" s="82"/>
      <c r="AO3672" s="82"/>
      <c r="AP3672" s="82"/>
      <c r="AQ3672" s="82"/>
      <c r="AR3672" s="82"/>
      <c r="AS3672" s="82"/>
      <c r="AT3672" s="82"/>
      <c r="AU3672" s="82"/>
      <c r="AV3672" s="82"/>
      <c r="AW3672" s="82" t="str">
        <f t="shared" si="1"/>
        <v/>
      </c>
      <c r="AX3672" s="83" t="str">
        <f t="array" ref="AX3672">IFERROR(DGET('SBV Import'!A:G,"SBV",{"RSC ID","Tier";B3672,A3672}))</f>
        <v/>
      </c>
      <c r="AY3672" s="82" t="str">
        <f t="shared" si="2"/>
        <v/>
      </c>
      <c r="AZ3672" s="82"/>
      <c r="BA3672" s="84" t="s">
        <v>152</v>
      </c>
      <c r="BB3672" s="84" t="str">
        <f>IFERROR(__xludf.DUMMYFUNCTION("iferror(if(A3672="""",,E3672&gt;=FILTER(Constants!$F$2:$F$10,Constants!$A$2:$A$10=A3672)))"),"")</f>
        <v/>
      </c>
    </row>
    <row r="3673">
      <c r="A3673" s="89"/>
      <c r="B3673" s="87"/>
      <c r="C3673" s="73"/>
      <c r="D3673" s="73"/>
      <c r="E3673" s="82"/>
      <c r="F3673" s="82"/>
      <c r="G3673" s="86"/>
      <c r="H3673" s="86"/>
      <c r="I3673" s="86"/>
      <c r="J3673" s="82"/>
      <c r="K3673" s="82"/>
      <c r="L3673" s="82"/>
      <c r="M3673" s="82"/>
      <c r="N3673" s="82"/>
      <c r="O3673" s="82"/>
      <c r="P3673" s="82"/>
      <c r="Q3673" s="82"/>
      <c r="R3673" s="82"/>
      <c r="S3673" s="82"/>
      <c r="T3673" s="82"/>
      <c r="U3673" s="82"/>
      <c r="V3673" s="82"/>
      <c r="W3673" s="82"/>
      <c r="X3673" s="82"/>
      <c r="Y3673" s="82"/>
      <c r="Z3673" s="82"/>
      <c r="AA3673" s="82"/>
      <c r="AB3673" s="82"/>
      <c r="AC3673" s="82"/>
      <c r="AD3673" s="82"/>
      <c r="AE3673" s="82"/>
      <c r="AF3673" s="82"/>
      <c r="AG3673" s="82"/>
      <c r="AH3673" s="82"/>
      <c r="AI3673" s="82"/>
      <c r="AJ3673" s="82"/>
      <c r="AK3673" s="82"/>
      <c r="AL3673" s="82"/>
      <c r="AM3673" s="82"/>
      <c r="AN3673" s="82"/>
      <c r="AO3673" s="82"/>
      <c r="AP3673" s="82"/>
      <c r="AQ3673" s="82"/>
      <c r="AR3673" s="82"/>
      <c r="AS3673" s="82"/>
      <c r="AT3673" s="82"/>
      <c r="AU3673" s="82"/>
      <c r="AV3673" s="82"/>
      <c r="AW3673" s="82" t="str">
        <f t="shared" si="1"/>
        <v/>
      </c>
      <c r="AX3673" s="83" t="str">
        <f t="array" ref="AX3673">IFERROR(DGET('SBV Import'!A:G,"SBV",{"RSC ID","Tier";B3673,A3673}))</f>
        <v/>
      </c>
      <c r="AY3673" s="82" t="str">
        <f t="shared" si="2"/>
        <v/>
      </c>
      <c r="AZ3673" s="82"/>
      <c r="BA3673" s="84" t="s">
        <v>152</v>
      </c>
      <c r="BB3673" s="84" t="str">
        <f>IFERROR(__xludf.DUMMYFUNCTION("iferror(if(A3673="""",,E3673&gt;=FILTER(Constants!$F$2:$F$10,Constants!$A$2:$A$10=A3673)))"),"")</f>
        <v/>
      </c>
    </row>
    <row r="3674">
      <c r="A3674" s="89"/>
      <c r="B3674" s="87"/>
      <c r="C3674" s="73"/>
      <c r="D3674" s="73"/>
      <c r="E3674" s="82"/>
      <c r="F3674" s="82"/>
      <c r="G3674" s="86"/>
      <c r="H3674" s="86"/>
      <c r="I3674" s="86"/>
      <c r="J3674" s="82"/>
      <c r="K3674" s="82"/>
      <c r="L3674" s="82"/>
      <c r="M3674" s="82"/>
      <c r="N3674" s="82"/>
      <c r="O3674" s="82"/>
      <c r="P3674" s="82"/>
      <c r="Q3674" s="82"/>
      <c r="R3674" s="82"/>
      <c r="S3674" s="82"/>
      <c r="T3674" s="82"/>
      <c r="U3674" s="82"/>
      <c r="V3674" s="82"/>
      <c r="W3674" s="82"/>
      <c r="X3674" s="82"/>
      <c r="Y3674" s="82"/>
      <c r="Z3674" s="82"/>
      <c r="AA3674" s="82"/>
      <c r="AB3674" s="82"/>
      <c r="AC3674" s="82"/>
      <c r="AD3674" s="82"/>
      <c r="AE3674" s="82"/>
      <c r="AF3674" s="82"/>
      <c r="AG3674" s="82"/>
      <c r="AH3674" s="82"/>
      <c r="AI3674" s="82"/>
      <c r="AJ3674" s="82"/>
      <c r="AK3674" s="82"/>
      <c r="AL3674" s="82"/>
      <c r="AM3674" s="82"/>
      <c r="AN3674" s="82"/>
      <c r="AO3674" s="82"/>
      <c r="AP3674" s="82"/>
      <c r="AQ3674" s="82"/>
      <c r="AR3674" s="82"/>
      <c r="AS3674" s="82"/>
      <c r="AT3674" s="82"/>
      <c r="AU3674" s="82"/>
      <c r="AV3674" s="82"/>
      <c r="AW3674" s="82" t="str">
        <f t="shared" si="1"/>
        <v/>
      </c>
      <c r="AX3674" s="83" t="str">
        <f t="array" ref="AX3674">IFERROR(DGET('SBV Import'!A:G,"SBV",{"RSC ID","Tier";B3674,A3674}))</f>
        <v/>
      </c>
      <c r="AY3674" s="82" t="str">
        <f t="shared" si="2"/>
        <v/>
      </c>
      <c r="AZ3674" s="82"/>
      <c r="BA3674" s="84" t="s">
        <v>152</v>
      </c>
      <c r="BB3674" s="84" t="str">
        <f>IFERROR(__xludf.DUMMYFUNCTION("iferror(if(A3674="""",,E3674&gt;=FILTER(Constants!$F$2:$F$10,Constants!$A$2:$A$10=A3674)))"),"")</f>
        <v/>
      </c>
    </row>
    <row r="3675">
      <c r="A3675" s="89"/>
      <c r="B3675" s="87"/>
      <c r="C3675" s="73"/>
      <c r="D3675" s="73"/>
      <c r="E3675" s="82"/>
      <c r="F3675" s="82"/>
      <c r="G3675" s="86"/>
      <c r="H3675" s="86"/>
      <c r="I3675" s="86"/>
      <c r="J3675" s="82"/>
      <c r="K3675" s="82"/>
      <c r="L3675" s="82"/>
      <c r="M3675" s="82"/>
      <c r="N3675" s="82"/>
      <c r="O3675" s="82"/>
      <c r="P3675" s="82"/>
      <c r="Q3675" s="82"/>
      <c r="R3675" s="82"/>
      <c r="S3675" s="82"/>
      <c r="T3675" s="82"/>
      <c r="U3675" s="82"/>
      <c r="V3675" s="82"/>
      <c r="W3675" s="82"/>
      <c r="X3675" s="82"/>
      <c r="Y3675" s="82"/>
      <c r="Z3675" s="82"/>
      <c r="AA3675" s="82"/>
      <c r="AB3675" s="82"/>
      <c r="AC3675" s="82"/>
      <c r="AD3675" s="82"/>
      <c r="AE3675" s="82"/>
      <c r="AF3675" s="82"/>
      <c r="AG3675" s="82"/>
      <c r="AH3675" s="82"/>
      <c r="AI3675" s="82"/>
      <c r="AJ3675" s="82"/>
      <c r="AK3675" s="82"/>
      <c r="AL3675" s="82"/>
      <c r="AM3675" s="82"/>
      <c r="AN3675" s="82"/>
      <c r="AO3675" s="82"/>
      <c r="AP3675" s="82"/>
      <c r="AQ3675" s="82"/>
      <c r="AR3675" s="82"/>
      <c r="AS3675" s="82"/>
      <c r="AT3675" s="82"/>
      <c r="AU3675" s="82"/>
      <c r="AV3675" s="82"/>
      <c r="AW3675" s="82" t="str">
        <f t="shared" si="1"/>
        <v/>
      </c>
      <c r="AX3675" s="83" t="str">
        <f t="array" ref="AX3675">IFERROR(DGET('SBV Import'!A:G,"SBV",{"RSC ID","Tier";B3675,A3675}))</f>
        <v/>
      </c>
      <c r="AY3675" s="82" t="str">
        <f t="shared" si="2"/>
        <v/>
      </c>
      <c r="AZ3675" s="82"/>
      <c r="BA3675" s="84" t="s">
        <v>152</v>
      </c>
      <c r="BB3675" s="84" t="str">
        <f>IFERROR(__xludf.DUMMYFUNCTION("iferror(if(A3675="""",,E3675&gt;=FILTER(Constants!$F$2:$F$10,Constants!$A$2:$A$10=A3675)))"),"")</f>
        <v/>
      </c>
    </row>
    <row r="3676">
      <c r="A3676" s="89"/>
      <c r="B3676" s="87"/>
      <c r="C3676" s="73"/>
      <c r="D3676" s="73"/>
      <c r="E3676" s="82"/>
      <c r="F3676" s="82"/>
      <c r="G3676" s="86"/>
      <c r="H3676" s="86"/>
      <c r="I3676" s="86"/>
      <c r="J3676" s="82"/>
      <c r="K3676" s="82"/>
      <c r="L3676" s="82"/>
      <c r="M3676" s="82"/>
      <c r="N3676" s="82"/>
      <c r="O3676" s="82"/>
      <c r="P3676" s="82"/>
      <c r="Q3676" s="82"/>
      <c r="R3676" s="82"/>
      <c r="S3676" s="82"/>
      <c r="T3676" s="82"/>
      <c r="U3676" s="82"/>
      <c r="V3676" s="82"/>
      <c r="W3676" s="82"/>
      <c r="X3676" s="82"/>
      <c r="Y3676" s="82"/>
      <c r="Z3676" s="82"/>
      <c r="AA3676" s="82"/>
      <c r="AB3676" s="82"/>
      <c r="AC3676" s="82"/>
      <c r="AD3676" s="82"/>
      <c r="AE3676" s="82"/>
      <c r="AF3676" s="82"/>
      <c r="AG3676" s="82"/>
      <c r="AH3676" s="82"/>
      <c r="AI3676" s="82"/>
      <c r="AJ3676" s="82"/>
      <c r="AK3676" s="82"/>
      <c r="AL3676" s="82"/>
      <c r="AM3676" s="82"/>
      <c r="AN3676" s="82"/>
      <c r="AO3676" s="82"/>
      <c r="AP3676" s="82"/>
      <c r="AQ3676" s="82"/>
      <c r="AR3676" s="82"/>
      <c r="AS3676" s="82"/>
      <c r="AT3676" s="82"/>
      <c r="AU3676" s="82"/>
      <c r="AV3676" s="82"/>
      <c r="AW3676" s="82" t="str">
        <f t="shared" si="1"/>
        <v/>
      </c>
      <c r="AX3676" s="83" t="str">
        <f t="array" ref="AX3676">IFERROR(DGET('SBV Import'!A:G,"SBV",{"RSC ID","Tier";B3676,A3676}))</f>
        <v/>
      </c>
      <c r="AY3676" s="82" t="str">
        <f t="shared" si="2"/>
        <v/>
      </c>
      <c r="AZ3676" s="82"/>
      <c r="BA3676" s="84" t="s">
        <v>152</v>
      </c>
      <c r="BB3676" s="84" t="str">
        <f>IFERROR(__xludf.DUMMYFUNCTION("iferror(if(A3676="""",,E3676&gt;=FILTER(Constants!$F$2:$F$10,Constants!$A$2:$A$10=A3676)))"),"")</f>
        <v/>
      </c>
    </row>
    <row r="3677">
      <c r="A3677" s="89"/>
      <c r="B3677" s="87"/>
      <c r="C3677" s="73"/>
      <c r="D3677" s="73"/>
      <c r="E3677" s="82"/>
      <c r="F3677" s="82"/>
      <c r="G3677" s="86"/>
      <c r="H3677" s="86"/>
      <c r="I3677" s="86"/>
      <c r="J3677" s="82"/>
      <c r="K3677" s="82"/>
      <c r="L3677" s="82"/>
      <c r="M3677" s="82"/>
      <c r="N3677" s="82"/>
      <c r="O3677" s="82"/>
      <c r="P3677" s="82"/>
      <c r="Q3677" s="82"/>
      <c r="R3677" s="82"/>
      <c r="S3677" s="82"/>
      <c r="T3677" s="82"/>
      <c r="U3677" s="82"/>
      <c r="V3677" s="82"/>
      <c r="W3677" s="82"/>
      <c r="X3677" s="82"/>
      <c r="Y3677" s="82"/>
      <c r="Z3677" s="82"/>
      <c r="AA3677" s="82"/>
      <c r="AB3677" s="82"/>
      <c r="AC3677" s="82"/>
      <c r="AD3677" s="82"/>
      <c r="AE3677" s="82"/>
      <c r="AF3677" s="82"/>
      <c r="AG3677" s="82"/>
      <c r="AH3677" s="82"/>
      <c r="AI3677" s="82"/>
      <c r="AJ3677" s="82"/>
      <c r="AK3677" s="82"/>
      <c r="AL3677" s="82"/>
      <c r="AM3677" s="82"/>
      <c r="AN3677" s="82"/>
      <c r="AO3677" s="82"/>
      <c r="AP3677" s="82"/>
      <c r="AQ3677" s="82"/>
      <c r="AR3677" s="82"/>
      <c r="AS3677" s="82"/>
      <c r="AT3677" s="82"/>
      <c r="AU3677" s="82"/>
      <c r="AV3677" s="82"/>
      <c r="AW3677" s="82" t="str">
        <f t="shared" si="1"/>
        <v/>
      </c>
      <c r="AX3677" s="83" t="str">
        <f t="array" ref="AX3677">IFERROR(DGET('SBV Import'!A:G,"SBV",{"RSC ID","Tier";B3677,A3677}))</f>
        <v/>
      </c>
      <c r="AY3677" s="82" t="str">
        <f t="shared" si="2"/>
        <v/>
      </c>
      <c r="AZ3677" s="82"/>
      <c r="BA3677" s="84" t="s">
        <v>152</v>
      </c>
      <c r="BB3677" s="84" t="str">
        <f>IFERROR(__xludf.DUMMYFUNCTION("iferror(if(A3677="""",,E3677&gt;=FILTER(Constants!$F$2:$F$10,Constants!$A$2:$A$10=A3677)))"),"")</f>
        <v/>
      </c>
    </row>
    <row r="3678">
      <c r="A3678" s="89"/>
      <c r="B3678" s="87"/>
      <c r="C3678" s="73"/>
      <c r="D3678" s="73"/>
      <c r="E3678" s="82"/>
      <c r="F3678" s="82"/>
      <c r="G3678" s="86"/>
      <c r="H3678" s="86"/>
      <c r="I3678" s="86"/>
      <c r="J3678" s="82"/>
      <c r="K3678" s="82"/>
      <c r="L3678" s="82"/>
      <c r="M3678" s="82"/>
      <c r="N3678" s="82"/>
      <c r="O3678" s="82"/>
      <c r="P3678" s="82"/>
      <c r="Q3678" s="82"/>
      <c r="R3678" s="82"/>
      <c r="S3678" s="82"/>
      <c r="T3678" s="82"/>
      <c r="U3678" s="82"/>
      <c r="V3678" s="82"/>
      <c r="W3678" s="82"/>
      <c r="X3678" s="82"/>
      <c r="Y3678" s="82"/>
      <c r="Z3678" s="82"/>
      <c r="AA3678" s="82"/>
      <c r="AB3678" s="82"/>
      <c r="AC3678" s="82"/>
      <c r="AD3678" s="82"/>
      <c r="AE3678" s="82"/>
      <c r="AF3678" s="82"/>
      <c r="AG3678" s="82"/>
      <c r="AH3678" s="82"/>
      <c r="AI3678" s="82"/>
      <c r="AJ3678" s="82"/>
      <c r="AK3678" s="82"/>
      <c r="AL3678" s="82"/>
      <c r="AM3678" s="82"/>
      <c r="AN3678" s="82"/>
      <c r="AO3678" s="82"/>
      <c r="AP3678" s="82"/>
      <c r="AQ3678" s="82"/>
      <c r="AR3678" s="82"/>
      <c r="AS3678" s="82"/>
      <c r="AT3678" s="82"/>
      <c r="AU3678" s="82"/>
      <c r="AV3678" s="82"/>
      <c r="AW3678" s="82" t="str">
        <f t="shared" si="1"/>
        <v/>
      </c>
      <c r="AX3678" s="83" t="str">
        <f t="array" ref="AX3678">IFERROR(DGET('SBV Import'!A:G,"SBV",{"RSC ID","Tier";B3678,A3678}))</f>
        <v/>
      </c>
      <c r="AY3678" s="82" t="str">
        <f t="shared" si="2"/>
        <v/>
      </c>
      <c r="AZ3678" s="82"/>
      <c r="BA3678" s="84" t="s">
        <v>152</v>
      </c>
      <c r="BB3678" s="84" t="str">
        <f>IFERROR(__xludf.DUMMYFUNCTION("iferror(if(A3678="""",,E3678&gt;=FILTER(Constants!$F$2:$F$10,Constants!$A$2:$A$10=A3678)))"),"")</f>
        <v/>
      </c>
    </row>
    <row r="3679">
      <c r="A3679" s="89"/>
      <c r="B3679" s="87"/>
      <c r="C3679" s="73"/>
      <c r="D3679" s="73"/>
      <c r="E3679" s="82"/>
      <c r="F3679" s="82"/>
      <c r="G3679" s="86"/>
      <c r="H3679" s="86"/>
      <c r="I3679" s="86"/>
      <c r="J3679" s="82"/>
      <c r="K3679" s="82"/>
      <c r="L3679" s="82"/>
      <c r="M3679" s="82"/>
      <c r="N3679" s="82"/>
      <c r="O3679" s="82"/>
      <c r="P3679" s="82"/>
      <c r="Q3679" s="82"/>
      <c r="R3679" s="82"/>
      <c r="S3679" s="82"/>
      <c r="T3679" s="82"/>
      <c r="U3679" s="82"/>
      <c r="V3679" s="82"/>
      <c r="W3679" s="82"/>
      <c r="X3679" s="82"/>
      <c r="Y3679" s="82"/>
      <c r="Z3679" s="82"/>
      <c r="AA3679" s="82"/>
      <c r="AB3679" s="82"/>
      <c r="AC3679" s="82"/>
      <c r="AD3679" s="82"/>
      <c r="AE3679" s="82"/>
      <c r="AF3679" s="82"/>
      <c r="AG3679" s="82"/>
      <c r="AH3679" s="82"/>
      <c r="AI3679" s="82"/>
      <c r="AJ3679" s="82"/>
      <c r="AK3679" s="82"/>
      <c r="AL3679" s="82"/>
      <c r="AM3679" s="82"/>
      <c r="AN3679" s="82"/>
      <c r="AO3679" s="82"/>
      <c r="AP3679" s="82"/>
      <c r="AQ3679" s="82"/>
      <c r="AR3679" s="82"/>
      <c r="AS3679" s="82"/>
      <c r="AT3679" s="82"/>
      <c r="AU3679" s="82"/>
      <c r="AV3679" s="82"/>
      <c r="AW3679" s="82" t="str">
        <f t="shared" si="1"/>
        <v/>
      </c>
      <c r="AX3679" s="83" t="str">
        <f t="array" ref="AX3679">IFERROR(DGET('SBV Import'!A:G,"SBV",{"RSC ID","Tier";B3679,A3679}))</f>
        <v/>
      </c>
      <c r="AY3679" s="82" t="str">
        <f t="shared" si="2"/>
        <v/>
      </c>
      <c r="AZ3679" s="82"/>
      <c r="BA3679" s="84" t="s">
        <v>152</v>
      </c>
      <c r="BB3679" s="84" t="str">
        <f>IFERROR(__xludf.DUMMYFUNCTION("iferror(if(A3679="""",,E3679&gt;=FILTER(Constants!$F$2:$F$10,Constants!$A$2:$A$10=A3679)))"),"")</f>
        <v/>
      </c>
    </row>
    <row r="3680">
      <c r="A3680" s="89"/>
      <c r="B3680" s="87"/>
      <c r="C3680" s="73"/>
      <c r="D3680" s="73"/>
      <c r="E3680" s="82"/>
      <c r="F3680" s="82"/>
      <c r="G3680" s="86"/>
      <c r="H3680" s="86"/>
      <c r="I3680" s="86"/>
      <c r="J3680" s="82"/>
      <c r="K3680" s="82"/>
      <c r="L3680" s="82"/>
      <c r="M3680" s="82"/>
      <c r="N3680" s="82"/>
      <c r="O3680" s="82"/>
      <c r="P3680" s="82"/>
      <c r="Q3680" s="82"/>
      <c r="R3680" s="82"/>
      <c r="S3680" s="82"/>
      <c r="T3680" s="82"/>
      <c r="U3680" s="82"/>
      <c r="V3680" s="82"/>
      <c r="W3680" s="82"/>
      <c r="X3680" s="82"/>
      <c r="Y3680" s="82"/>
      <c r="Z3680" s="82"/>
      <c r="AA3680" s="82"/>
      <c r="AB3680" s="82"/>
      <c r="AC3680" s="82"/>
      <c r="AD3680" s="82"/>
      <c r="AE3680" s="82"/>
      <c r="AF3680" s="82"/>
      <c r="AG3680" s="82"/>
      <c r="AH3680" s="82"/>
      <c r="AI3680" s="82"/>
      <c r="AJ3680" s="82"/>
      <c r="AK3680" s="82"/>
      <c r="AL3680" s="82"/>
      <c r="AM3680" s="82"/>
      <c r="AN3680" s="82"/>
      <c r="AO3680" s="82"/>
      <c r="AP3680" s="82"/>
      <c r="AQ3680" s="82"/>
      <c r="AR3680" s="82"/>
      <c r="AS3680" s="82"/>
      <c r="AT3680" s="82"/>
      <c r="AU3680" s="82"/>
      <c r="AV3680" s="82"/>
      <c r="AW3680" s="82" t="str">
        <f t="shared" si="1"/>
        <v/>
      </c>
      <c r="AX3680" s="83" t="str">
        <f t="array" ref="AX3680">IFERROR(DGET('SBV Import'!A:G,"SBV",{"RSC ID","Tier";B3680,A3680}))</f>
        <v/>
      </c>
      <c r="AY3680" s="82" t="str">
        <f t="shared" si="2"/>
        <v/>
      </c>
      <c r="AZ3680" s="82"/>
      <c r="BA3680" s="84" t="s">
        <v>152</v>
      </c>
      <c r="BB3680" s="84" t="str">
        <f>IFERROR(__xludf.DUMMYFUNCTION("iferror(if(A3680="""",,E3680&gt;=FILTER(Constants!$F$2:$F$10,Constants!$A$2:$A$10=A3680)))"),"")</f>
        <v/>
      </c>
    </row>
    <row r="3681">
      <c r="A3681" s="89"/>
      <c r="B3681" s="87"/>
      <c r="C3681" s="73"/>
      <c r="D3681" s="73"/>
      <c r="E3681" s="82"/>
      <c r="F3681" s="82"/>
      <c r="G3681" s="86"/>
      <c r="H3681" s="86"/>
      <c r="I3681" s="86"/>
      <c r="J3681" s="82"/>
      <c r="K3681" s="82"/>
      <c r="L3681" s="82"/>
      <c r="M3681" s="82"/>
      <c r="N3681" s="82"/>
      <c r="O3681" s="82"/>
      <c r="P3681" s="82"/>
      <c r="Q3681" s="82"/>
      <c r="R3681" s="82"/>
      <c r="S3681" s="82"/>
      <c r="T3681" s="82"/>
      <c r="U3681" s="82"/>
      <c r="V3681" s="82"/>
      <c r="W3681" s="82"/>
      <c r="X3681" s="82"/>
      <c r="Y3681" s="82"/>
      <c r="Z3681" s="82"/>
      <c r="AA3681" s="82"/>
      <c r="AB3681" s="82"/>
      <c r="AC3681" s="82"/>
      <c r="AD3681" s="82"/>
      <c r="AE3681" s="82"/>
      <c r="AF3681" s="82"/>
      <c r="AG3681" s="82"/>
      <c r="AH3681" s="82"/>
      <c r="AI3681" s="82"/>
      <c r="AJ3681" s="82"/>
      <c r="AK3681" s="82"/>
      <c r="AL3681" s="82"/>
      <c r="AM3681" s="82"/>
      <c r="AN3681" s="82"/>
      <c r="AO3681" s="82"/>
      <c r="AP3681" s="82"/>
      <c r="AQ3681" s="82"/>
      <c r="AR3681" s="82"/>
      <c r="AS3681" s="82"/>
      <c r="AT3681" s="82"/>
      <c r="AU3681" s="82"/>
      <c r="AV3681" s="82"/>
      <c r="AW3681" s="82" t="str">
        <f t="shared" si="1"/>
        <v/>
      </c>
      <c r="AX3681" s="83" t="str">
        <f t="array" ref="AX3681">IFERROR(DGET('SBV Import'!A:G,"SBV",{"RSC ID","Tier";B3681,A3681}))</f>
        <v/>
      </c>
      <c r="AY3681" s="82" t="str">
        <f t="shared" si="2"/>
        <v/>
      </c>
      <c r="AZ3681" s="82"/>
      <c r="BA3681" s="84" t="s">
        <v>152</v>
      </c>
      <c r="BB3681" s="84" t="str">
        <f>IFERROR(__xludf.DUMMYFUNCTION("iferror(if(A3681="""",,E3681&gt;=FILTER(Constants!$F$2:$F$10,Constants!$A$2:$A$10=A3681)))"),"")</f>
        <v/>
      </c>
    </row>
    <row r="3682">
      <c r="A3682" s="89"/>
      <c r="B3682" s="87"/>
      <c r="C3682" s="73"/>
      <c r="D3682" s="73"/>
      <c r="E3682" s="82"/>
      <c r="F3682" s="82"/>
      <c r="G3682" s="86"/>
      <c r="H3682" s="86"/>
      <c r="I3682" s="86"/>
      <c r="J3682" s="82"/>
      <c r="K3682" s="82"/>
      <c r="L3682" s="82"/>
      <c r="M3682" s="82"/>
      <c r="N3682" s="82"/>
      <c r="O3682" s="82"/>
      <c r="P3682" s="82"/>
      <c r="Q3682" s="82"/>
      <c r="R3682" s="82"/>
      <c r="S3682" s="82"/>
      <c r="T3682" s="82"/>
      <c r="U3682" s="82"/>
      <c r="V3682" s="82"/>
      <c r="W3682" s="82"/>
      <c r="X3682" s="82"/>
      <c r="Y3682" s="82"/>
      <c r="Z3682" s="82"/>
      <c r="AA3682" s="82"/>
      <c r="AB3682" s="82"/>
      <c r="AC3682" s="82"/>
      <c r="AD3682" s="82"/>
      <c r="AE3682" s="82"/>
      <c r="AF3682" s="82"/>
      <c r="AG3682" s="82"/>
      <c r="AH3682" s="82"/>
      <c r="AI3682" s="82"/>
      <c r="AJ3682" s="82"/>
      <c r="AK3682" s="82"/>
      <c r="AL3682" s="82"/>
      <c r="AM3682" s="82"/>
      <c r="AN3682" s="82"/>
      <c r="AO3682" s="82"/>
      <c r="AP3682" s="82"/>
      <c r="AQ3682" s="82"/>
      <c r="AR3682" s="82"/>
      <c r="AS3682" s="82"/>
      <c r="AT3682" s="82"/>
      <c r="AU3682" s="82"/>
      <c r="AV3682" s="82"/>
      <c r="AW3682" s="82" t="str">
        <f t="shared" si="1"/>
        <v/>
      </c>
      <c r="AX3682" s="83" t="str">
        <f t="array" ref="AX3682">IFERROR(DGET('SBV Import'!A:G,"SBV",{"RSC ID","Tier";B3682,A3682}))</f>
        <v/>
      </c>
      <c r="AY3682" s="82" t="str">
        <f t="shared" si="2"/>
        <v/>
      </c>
      <c r="AZ3682" s="82"/>
      <c r="BA3682" s="84" t="s">
        <v>152</v>
      </c>
      <c r="BB3682" s="84" t="str">
        <f>IFERROR(__xludf.DUMMYFUNCTION("iferror(if(A3682="""",,E3682&gt;=FILTER(Constants!$F$2:$F$10,Constants!$A$2:$A$10=A3682)))"),"")</f>
        <v/>
      </c>
    </row>
    <row r="3683">
      <c r="A3683" s="89"/>
      <c r="B3683" s="87"/>
      <c r="C3683" s="73"/>
      <c r="D3683" s="73"/>
      <c r="E3683" s="82"/>
      <c r="F3683" s="82"/>
      <c r="G3683" s="86"/>
      <c r="H3683" s="86"/>
      <c r="I3683" s="86"/>
      <c r="J3683" s="82"/>
      <c r="K3683" s="82"/>
      <c r="L3683" s="82"/>
      <c r="M3683" s="82"/>
      <c r="N3683" s="82"/>
      <c r="O3683" s="82"/>
      <c r="P3683" s="82"/>
      <c r="Q3683" s="82"/>
      <c r="R3683" s="82"/>
      <c r="S3683" s="82"/>
      <c r="T3683" s="82"/>
      <c r="U3683" s="82"/>
      <c r="V3683" s="82"/>
      <c r="W3683" s="82"/>
      <c r="X3683" s="82"/>
      <c r="Y3683" s="82"/>
      <c r="Z3683" s="82"/>
      <c r="AA3683" s="82"/>
      <c r="AB3683" s="82"/>
      <c r="AC3683" s="82"/>
      <c r="AD3683" s="82"/>
      <c r="AE3683" s="82"/>
      <c r="AF3683" s="82"/>
      <c r="AG3683" s="82"/>
      <c r="AH3683" s="82"/>
      <c r="AI3683" s="82"/>
      <c r="AJ3683" s="82"/>
      <c r="AK3683" s="82"/>
      <c r="AL3683" s="82"/>
      <c r="AM3683" s="82"/>
      <c r="AN3683" s="82"/>
      <c r="AO3683" s="82"/>
      <c r="AP3683" s="82"/>
      <c r="AQ3683" s="82"/>
      <c r="AR3683" s="82"/>
      <c r="AS3683" s="82"/>
      <c r="AT3683" s="82"/>
      <c r="AU3683" s="82"/>
      <c r="AV3683" s="82"/>
      <c r="AW3683" s="82" t="str">
        <f t="shared" si="1"/>
        <v/>
      </c>
      <c r="AX3683" s="83" t="str">
        <f t="array" ref="AX3683">IFERROR(DGET('SBV Import'!A:G,"SBV",{"RSC ID","Tier";B3683,A3683}))</f>
        <v/>
      </c>
      <c r="AY3683" s="82" t="str">
        <f t="shared" si="2"/>
        <v/>
      </c>
      <c r="AZ3683" s="82"/>
      <c r="BA3683" s="84" t="s">
        <v>152</v>
      </c>
      <c r="BB3683" s="84" t="str">
        <f>IFERROR(__xludf.DUMMYFUNCTION("iferror(if(A3683="""",,E3683&gt;=FILTER(Constants!$F$2:$F$10,Constants!$A$2:$A$10=A3683)))"),"")</f>
        <v/>
      </c>
    </row>
    <row r="3684">
      <c r="A3684" s="89"/>
      <c r="B3684" s="87"/>
      <c r="C3684" s="73"/>
      <c r="D3684" s="73"/>
      <c r="E3684" s="82"/>
      <c r="F3684" s="82"/>
      <c r="G3684" s="86"/>
      <c r="H3684" s="86"/>
      <c r="I3684" s="86"/>
      <c r="J3684" s="82"/>
      <c r="K3684" s="82"/>
      <c r="L3684" s="82"/>
      <c r="M3684" s="82"/>
      <c r="N3684" s="82"/>
      <c r="O3684" s="82"/>
      <c r="P3684" s="82"/>
      <c r="Q3684" s="82"/>
      <c r="R3684" s="82"/>
      <c r="S3684" s="82"/>
      <c r="T3684" s="82"/>
      <c r="U3684" s="82"/>
      <c r="V3684" s="82"/>
      <c r="W3684" s="82"/>
      <c r="X3684" s="82"/>
      <c r="Y3684" s="82"/>
      <c r="Z3684" s="82"/>
      <c r="AA3684" s="82"/>
      <c r="AB3684" s="82"/>
      <c r="AC3684" s="82"/>
      <c r="AD3684" s="82"/>
      <c r="AE3684" s="82"/>
      <c r="AF3684" s="82"/>
      <c r="AG3684" s="82"/>
      <c r="AH3684" s="82"/>
      <c r="AI3684" s="82"/>
      <c r="AJ3684" s="82"/>
      <c r="AK3684" s="82"/>
      <c r="AL3684" s="82"/>
      <c r="AM3684" s="82"/>
      <c r="AN3684" s="82"/>
      <c r="AO3684" s="82"/>
      <c r="AP3684" s="82"/>
      <c r="AQ3684" s="82"/>
      <c r="AR3684" s="82"/>
      <c r="AS3684" s="82"/>
      <c r="AT3684" s="82"/>
      <c r="AU3684" s="82"/>
      <c r="AV3684" s="82"/>
      <c r="AW3684" s="82" t="str">
        <f t="shared" si="1"/>
        <v/>
      </c>
      <c r="AX3684" s="83" t="str">
        <f t="array" ref="AX3684">IFERROR(DGET('SBV Import'!A:G,"SBV",{"RSC ID","Tier";B3684,A3684}))</f>
        <v/>
      </c>
      <c r="AY3684" s="82" t="str">
        <f t="shared" si="2"/>
        <v/>
      </c>
      <c r="AZ3684" s="82"/>
      <c r="BA3684" s="84" t="s">
        <v>152</v>
      </c>
      <c r="BB3684" s="84" t="str">
        <f>IFERROR(__xludf.DUMMYFUNCTION("iferror(if(A3684="""",,E3684&gt;=FILTER(Constants!$F$2:$F$10,Constants!$A$2:$A$10=A3684)))"),"")</f>
        <v/>
      </c>
    </row>
    <row r="3685">
      <c r="A3685" s="89"/>
      <c r="B3685" s="87"/>
      <c r="C3685" s="73"/>
      <c r="D3685" s="73"/>
      <c r="E3685" s="82"/>
      <c r="F3685" s="82"/>
      <c r="G3685" s="86"/>
      <c r="H3685" s="86"/>
      <c r="I3685" s="86"/>
      <c r="J3685" s="82"/>
      <c r="K3685" s="82"/>
      <c r="L3685" s="82"/>
      <c r="M3685" s="82"/>
      <c r="N3685" s="82"/>
      <c r="O3685" s="82"/>
      <c r="P3685" s="82"/>
      <c r="Q3685" s="82"/>
      <c r="R3685" s="82"/>
      <c r="S3685" s="82"/>
      <c r="T3685" s="82"/>
      <c r="U3685" s="82"/>
      <c r="V3685" s="82"/>
      <c r="W3685" s="82"/>
      <c r="X3685" s="82"/>
      <c r="Y3685" s="82"/>
      <c r="Z3685" s="82"/>
      <c r="AA3685" s="82"/>
      <c r="AB3685" s="82"/>
      <c r="AC3685" s="82"/>
      <c r="AD3685" s="82"/>
      <c r="AE3685" s="82"/>
      <c r="AF3685" s="82"/>
      <c r="AG3685" s="82"/>
      <c r="AH3685" s="82"/>
      <c r="AI3685" s="82"/>
      <c r="AJ3685" s="82"/>
      <c r="AK3685" s="82"/>
      <c r="AL3685" s="82"/>
      <c r="AM3685" s="82"/>
      <c r="AN3685" s="82"/>
      <c r="AO3685" s="82"/>
      <c r="AP3685" s="82"/>
      <c r="AQ3685" s="82"/>
      <c r="AR3685" s="82"/>
      <c r="AS3685" s="82"/>
      <c r="AT3685" s="82"/>
      <c r="AU3685" s="82"/>
      <c r="AV3685" s="82"/>
      <c r="AW3685" s="82" t="str">
        <f t="shared" si="1"/>
        <v/>
      </c>
      <c r="AX3685" s="83" t="str">
        <f t="array" ref="AX3685">IFERROR(DGET('SBV Import'!A:G,"SBV",{"RSC ID","Tier";B3685,A3685}))</f>
        <v/>
      </c>
      <c r="AY3685" s="82" t="str">
        <f t="shared" si="2"/>
        <v/>
      </c>
      <c r="AZ3685" s="82"/>
      <c r="BA3685" s="84" t="s">
        <v>152</v>
      </c>
      <c r="BB3685" s="84" t="str">
        <f>IFERROR(__xludf.DUMMYFUNCTION("iferror(if(A3685="""",,E3685&gt;=FILTER(Constants!$F$2:$F$10,Constants!$A$2:$A$10=A3685)))"),"")</f>
        <v/>
      </c>
    </row>
    <row r="3686">
      <c r="A3686" s="89"/>
      <c r="B3686" s="87"/>
      <c r="C3686" s="73"/>
      <c r="D3686" s="73"/>
      <c r="E3686" s="82"/>
      <c r="F3686" s="82"/>
      <c r="G3686" s="86"/>
      <c r="H3686" s="86"/>
      <c r="I3686" s="86"/>
      <c r="J3686" s="82"/>
      <c r="K3686" s="82"/>
      <c r="L3686" s="82"/>
      <c r="M3686" s="82"/>
      <c r="N3686" s="82"/>
      <c r="O3686" s="82"/>
      <c r="P3686" s="82"/>
      <c r="Q3686" s="82"/>
      <c r="R3686" s="82"/>
      <c r="S3686" s="82"/>
      <c r="T3686" s="82"/>
      <c r="U3686" s="82"/>
      <c r="V3686" s="82"/>
      <c r="W3686" s="82"/>
      <c r="X3686" s="82"/>
      <c r="Y3686" s="82"/>
      <c r="Z3686" s="82"/>
      <c r="AA3686" s="82"/>
      <c r="AB3686" s="82"/>
      <c r="AC3686" s="82"/>
      <c r="AD3686" s="82"/>
      <c r="AE3686" s="82"/>
      <c r="AF3686" s="82"/>
      <c r="AG3686" s="82"/>
      <c r="AH3686" s="82"/>
      <c r="AI3686" s="82"/>
      <c r="AJ3686" s="82"/>
      <c r="AK3686" s="82"/>
      <c r="AL3686" s="82"/>
      <c r="AM3686" s="82"/>
      <c r="AN3686" s="82"/>
      <c r="AO3686" s="82"/>
      <c r="AP3686" s="82"/>
      <c r="AQ3686" s="82"/>
      <c r="AR3686" s="82"/>
      <c r="AS3686" s="82"/>
      <c r="AT3686" s="82"/>
      <c r="AU3686" s="82"/>
      <c r="AV3686" s="82"/>
      <c r="AW3686" s="82" t="str">
        <f t="shared" si="1"/>
        <v/>
      </c>
      <c r="AX3686" s="83" t="str">
        <f t="array" ref="AX3686">IFERROR(DGET('SBV Import'!A:G,"SBV",{"RSC ID","Tier";B3686,A3686}))</f>
        <v/>
      </c>
      <c r="AY3686" s="82" t="str">
        <f t="shared" si="2"/>
        <v/>
      </c>
      <c r="AZ3686" s="82"/>
      <c r="BA3686" s="84" t="s">
        <v>152</v>
      </c>
      <c r="BB3686" s="84" t="str">
        <f>IFERROR(__xludf.DUMMYFUNCTION("iferror(if(A3686="""",,E3686&gt;=FILTER(Constants!$F$2:$F$10,Constants!$A$2:$A$10=A3686)))"),"")</f>
        <v/>
      </c>
    </row>
    <row r="3687">
      <c r="A3687" s="89"/>
      <c r="B3687" s="87"/>
      <c r="C3687" s="73"/>
      <c r="D3687" s="73"/>
      <c r="E3687" s="82"/>
      <c r="F3687" s="82"/>
      <c r="G3687" s="86"/>
      <c r="H3687" s="86"/>
      <c r="I3687" s="86"/>
      <c r="J3687" s="82"/>
      <c r="K3687" s="82"/>
      <c r="L3687" s="82"/>
      <c r="M3687" s="82"/>
      <c r="N3687" s="82"/>
      <c r="O3687" s="82"/>
      <c r="P3687" s="82"/>
      <c r="Q3687" s="82"/>
      <c r="R3687" s="82"/>
      <c r="S3687" s="82"/>
      <c r="T3687" s="82"/>
      <c r="U3687" s="82"/>
      <c r="V3687" s="82"/>
      <c r="W3687" s="82"/>
      <c r="X3687" s="82"/>
      <c r="Y3687" s="82"/>
      <c r="Z3687" s="82"/>
      <c r="AA3687" s="82"/>
      <c r="AB3687" s="82"/>
      <c r="AC3687" s="82"/>
      <c r="AD3687" s="82"/>
      <c r="AE3687" s="82"/>
      <c r="AF3687" s="82"/>
      <c r="AG3687" s="82"/>
      <c r="AH3687" s="82"/>
      <c r="AI3687" s="82"/>
      <c r="AJ3687" s="82"/>
      <c r="AK3687" s="82"/>
      <c r="AL3687" s="82"/>
      <c r="AM3687" s="82"/>
      <c r="AN3687" s="82"/>
      <c r="AO3687" s="82"/>
      <c r="AP3687" s="82"/>
      <c r="AQ3687" s="82"/>
      <c r="AR3687" s="82"/>
      <c r="AS3687" s="82"/>
      <c r="AT3687" s="82"/>
      <c r="AU3687" s="82"/>
      <c r="AV3687" s="82"/>
      <c r="AW3687" s="82" t="str">
        <f t="shared" si="1"/>
        <v/>
      </c>
      <c r="AX3687" s="83" t="str">
        <f t="array" ref="AX3687">IFERROR(DGET('SBV Import'!A:G,"SBV",{"RSC ID","Tier";B3687,A3687}))</f>
        <v/>
      </c>
      <c r="AY3687" s="82" t="str">
        <f t="shared" si="2"/>
        <v/>
      </c>
      <c r="AZ3687" s="82"/>
      <c r="BA3687" s="84" t="s">
        <v>152</v>
      </c>
      <c r="BB3687" s="84" t="str">
        <f>IFERROR(__xludf.DUMMYFUNCTION("iferror(if(A3687="""",,E3687&gt;=FILTER(Constants!$F$2:$F$10,Constants!$A$2:$A$10=A3687)))"),"")</f>
        <v/>
      </c>
    </row>
    <row r="3688">
      <c r="A3688" s="89"/>
      <c r="B3688" s="87"/>
      <c r="C3688" s="73"/>
      <c r="D3688" s="73"/>
      <c r="E3688" s="82"/>
      <c r="F3688" s="82"/>
      <c r="G3688" s="86"/>
      <c r="H3688" s="86"/>
      <c r="I3688" s="86"/>
      <c r="J3688" s="82"/>
      <c r="K3688" s="82"/>
      <c r="L3688" s="82"/>
      <c r="M3688" s="82"/>
      <c r="N3688" s="82"/>
      <c r="O3688" s="82"/>
      <c r="P3688" s="82"/>
      <c r="Q3688" s="82"/>
      <c r="R3688" s="82"/>
      <c r="S3688" s="82"/>
      <c r="T3688" s="82"/>
      <c r="U3688" s="82"/>
      <c r="V3688" s="82"/>
      <c r="W3688" s="82"/>
      <c r="X3688" s="82"/>
      <c r="Y3688" s="82"/>
      <c r="Z3688" s="82"/>
      <c r="AA3688" s="82"/>
      <c r="AB3688" s="82"/>
      <c r="AC3688" s="82"/>
      <c r="AD3688" s="82"/>
      <c r="AE3688" s="82"/>
      <c r="AF3688" s="82"/>
      <c r="AG3688" s="82"/>
      <c r="AH3688" s="82"/>
      <c r="AI3688" s="82"/>
      <c r="AJ3688" s="82"/>
      <c r="AK3688" s="82"/>
      <c r="AL3688" s="82"/>
      <c r="AM3688" s="82"/>
      <c r="AN3688" s="82"/>
      <c r="AO3688" s="82"/>
      <c r="AP3688" s="82"/>
      <c r="AQ3688" s="82"/>
      <c r="AR3688" s="82"/>
      <c r="AS3688" s="82"/>
      <c r="AT3688" s="82"/>
      <c r="AU3688" s="82"/>
      <c r="AV3688" s="82"/>
      <c r="AW3688" s="82" t="str">
        <f t="shared" si="1"/>
        <v/>
      </c>
      <c r="AX3688" s="83" t="str">
        <f t="array" ref="AX3688">IFERROR(DGET('SBV Import'!A:G,"SBV",{"RSC ID","Tier";B3688,A3688}))</f>
        <v/>
      </c>
      <c r="AY3688" s="82" t="str">
        <f t="shared" si="2"/>
        <v/>
      </c>
      <c r="AZ3688" s="82"/>
      <c r="BA3688" s="84" t="s">
        <v>152</v>
      </c>
      <c r="BB3688" s="84" t="str">
        <f>IFERROR(__xludf.DUMMYFUNCTION("iferror(if(A3688="""",,E3688&gt;=FILTER(Constants!$F$2:$F$10,Constants!$A$2:$A$10=A3688)))"),"")</f>
        <v/>
      </c>
    </row>
    <row r="3689">
      <c r="A3689" s="89"/>
      <c r="B3689" s="87"/>
      <c r="C3689" s="73"/>
      <c r="D3689" s="73"/>
      <c r="E3689" s="82"/>
      <c r="F3689" s="82"/>
      <c r="G3689" s="86"/>
      <c r="H3689" s="86"/>
      <c r="I3689" s="86"/>
      <c r="J3689" s="82"/>
      <c r="K3689" s="82"/>
      <c r="L3689" s="82"/>
      <c r="M3689" s="82"/>
      <c r="N3689" s="82"/>
      <c r="O3689" s="82"/>
      <c r="P3689" s="82"/>
      <c r="Q3689" s="82"/>
      <c r="R3689" s="82"/>
      <c r="S3689" s="82"/>
      <c r="T3689" s="82"/>
      <c r="U3689" s="82"/>
      <c r="V3689" s="82"/>
      <c r="W3689" s="82"/>
      <c r="X3689" s="82"/>
      <c r="Y3689" s="82"/>
      <c r="Z3689" s="82"/>
      <c r="AA3689" s="82"/>
      <c r="AB3689" s="82"/>
      <c r="AC3689" s="82"/>
      <c r="AD3689" s="82"/>
      <c r="AE3689" s="82"/>
      <c r="AF3689" s="82"/>
      <c r="AG3689" s="82"/>
      <c r="AH3689" s="82"/>
      <c r="AI3689" s="82"/>
      <c r="AJ3689" s="82"/>
      <c r="AK3689" s="82"/>
      <c r="AL3689" s="82"/>
      <c r="AM3689" s="82"/>
      <c r="AN3689" s="82"/>
      <c r="AO3689" s="82"/>
      <c r="AP3689" s="82"/>
      <c r="AQ3689" s="82"/>
      <c r="AR3689" s="82"/>
      <c r="AS3689" s="82"/>
      <c r="AT3689" s="82"/>
      <c r="AU3689" s="82"/>
      <c r="AV3689" s="82"/>
      <c r="AW3689" s="82" t="str">
        <f t="shared" si="1"/>
        <v/>
      </c>
      <c r="AX3689" s="83" t="str">
        <f t="array" ref="AX3689">IFERROR(DGET('SBV Import'!A:G,"SBV",{"RSC ID","Tier";B3689,A3689}))</f>
        <v/>
      </c>
      <c r="AY3689" s="82" t="str">
        <f t="shared" si="2"/>
        <v/>
      </c>
      <c r="AZ3689" s="82"/>
      <c r="BA3689" s="84" t="s">
        <v>152</v>
      </c>
      <c r="BB3689" s="84" t="str">
        <f>IFERROR(__xludf.DUMMYFUNCTION("iferror(if(A3689="""",,E3689&gt;=FILTER(Constants!$F$2:$F$10,Constants!$A$2:$A$10=A3689)))"),"")</f>
        <v/>
      </c>
    </row>
    <row r="3690">
      <c r="A3690" s="89"/>
      <c r="B3690" s="87"/>
      <c r="C3690" s="73"/>
      <c r="D3690" s="73"/>
      <c r="E3690" s="82"/>
      <c r="F3690" s="82"/>
      <c r="G3690" s="86"/>
      <c r="H3690" s="86"/>
      <c r="I3690" s="86"/>
      <c r="J3690" s="82"/>
      <c r="K3690" s="82"/>
      <c r="L3690" s="82"/>
      <c r="M3690" s="82"/>
      <c r="N3690" s="82"/>
      <c r="O3690" s="82"/>
      <c r="P3690" s="82"/>
      <c r="Q3690" s="82"/>
      <c r="R3690" s="82"/>
      <c r="S3690" s="82"/>
      <c r="T3690" s="82"/>
      <c r="U3690" s="82"/>
      <c r="V3690" s="82"/>
      <c r="W3690" s="82"/>
      <c r="X3690" s="82"/>
      <c r="Y3690" s="82"/>
      <c r="Z3690" s="82"/>
      <c r="AA3690" s="82"/>
      <c r="AB3690" s="82"/>
      <c r="AC3690" s="82"/>
      <c r="AD3690" s="82"/>
      <c r="AE3690" s="82"/>
      <c r="AF3690" s="82"/>
      <c r="AG3690" s="82"/>
      <c r="AH3690" s="82"/>
      <c r="AI3690" s="82"/>
      <c r="AJ3690" s="82"/>
      <c r="AK3690" s="82"/>
      <c r="AL3690" s="82"/>
      <c r="AM3690" s="82"/>
      <c r="AN3690" s="82"/>
      <c r="AO3690" s="82"/>
      <c r="AP3690" s="82"/>
      <c r="AQ3690" s="82"/>
      <c r="AR3690" s="82"/>
      <c r="AS3690" s="82"/>
      <c r="AT3690" s="82"/>
      <c r="AU3690" s="82"/>
      <c r="AV3690" s="82"/>
      <c r="AW3690" s="82" t="str">
        <f t="shared" si="1"/>
        <v/>
      </c>
      <c r="AX3690" s="83" t="str">
        <f t="array" ref="AX3690">IFERROR(DGET('SBV Import'!A:G,"SBV",{"RSC ID","Tier";B3690,A3690}))</f>
        <v/>
      </c>
      <c r="AY3690" s="82" t="str">
        <f t="shared" si="2"/>
        <v/>
      </c>
      <c r="AZ3690" s="82"/>
      <c r="BA3690" s="84" t="s">
        <v>152</v>
      </c>
      <c r="BB3690" s="84" t="str">
        <f>IFERROR(__xludf.DUMMYFUNCTION("iferror(if(A3690="""",,E3690&gt;=FILTER(Constants!$F$2:$F$10,Constants!$A$2:$A$10=A3690)))"),"")</f>
        <v/>
      </c>
    </row>
    <row r="3691">
      <c r="A3691" s="89"/>
      <c r="B3691" s="87"/>
      <c r="C3691" s="73"/>
      <c r="D3691" s="73"/>
      <c r="E3691" s="82"/>
      <c r="F3691" s="82"/>
      <c r="G3691" s="86"/>
      <c r="H3691" s="86"/>
      <c r="I3691" s="86"/>
      <c r="J3691" s="82"/>
      <c r="K3691" s="82"/>
      <c r="L3691" s="82"/>
      <c r="M3691" s="82"/>
      <c r="N3691" s="82"/>
      <c r="O3691" s="82"/>
      <c r="P3691" s="82"/>
      <c r="Q3691" s="82"/>
      <c r="R3691" s="82"/>
      <c r="S3691" s="82"/>
      <c r="T3691" s="82"/>
      <c r="U3691" s="82"/>
      <c r="V3691" s="82"/>
      <c r="W3691" s="82"/>
      <c r="X3691" s="82"/>
      <c r="Y3691" s="82"/>
      <c r="Z3691" s="82"/>
      <c r="AA3691" s="82"/>
      <c r="AB3691" s="82"/>
      <c r="AC3691" s="82"/>
      <c r="AD3691" s="82"/>
      <c r="AE3691" s="82"/>
      <c r="AF3691" s="82"/>
      <c r="AG3691" s="82"/>
      <c r="AH3691" s="82"/>
      <c r="AI3691" s="82"/>
      <c r="AJ3691" s="82"/>
      <c r="AK3691" s="82"/>
      <c r="AL3691" s="82"/>
      <c r="AM3691" s="82"/>
      <c r="AN3691" s="82"/>
      <c r="AO3691" s="82"/>
      <c r="AP3691" s="82"/>
      <c r="AQ3691" s="82"/>
      <c r="AR3691" s="82"/>
      <c r="AS3691" s="82"/>
      <c r="AT3691" s="82"/>
      <c r="AU3691" s="82"/>
      <c r="AV3691" s="82"/>
      <c r="AW3691" s="82" t="str">
        <f t="shared" si="1"/>
        <v/>
      </c>
      <c r="AX3691" s="83" t="str">
        <f t="array" ref="AX3691">IFERROR(DGET('SBV Import'!A:G,"SBV",{"RSC ID","Tier";B3691,A3691}))</f>
        <v/>
      </c>
      <c r="AY3691" s="82" t="str">
        <f t="shared" si="2"/>
        <v/>
      </c>
      <c r="AZ3691" s="82"/>
      <c r="BA3691" s="84" t="s">
        <v>152</v>
      </c>
      <c r="BB3691" s="84" t="str">
        <f>IFERROR(__xludf.DUMMYFUNCTION("iferror(if(A3691="""",,E3691&gt;=FILTER(Constants!$F$2:$F$10,Constants!$A$2:$A$10=A3691)))"),"")</f>
        <v/>
      </c>
    </row>
    <row r="3692">
      <c r="A3692" s="89"/>
      <c r="B3692" s="87"/>
      <c r="C3692" s="73"/>
      <c r="D3692" s="73"/>
      <c r="E3692" s="82"/>
      <c r="F3692" s="82"/>
      <c r="G3692" s="86"/>
      <c r="H3692" s="86"/>
      <c r="I3692" s="86"/>
      <c r="J3692" s="82"/>
      <c r="K3692" s="82"/>
      <c r="L3692" s="82"/>
      <c r="M3692" s="82"/>
      <c r="N3692" s="82"/>
      <c r="O3692" s="82"/>
      <c r="P3692" s="82"/>
      <c r="Q3692" s="82"/>
      <c r="R3692" s="82"/>
      <c r="S3692" s="82"/>
      <c r="T3692" s="82"/>
      <c r="U3692" s="82"/>
      <c r="V3692" s="82"/>
      <c r="W3692" s="82"/>
      <c r="X3692" s="82"/>
      <c r="Y3692" s="82"/>
      <c r="Z3692" s="82"/>
      <c r="AA3692" s="82"/>
      <c r="AB3692" s="82"/>
      <c r="AC3692" s="82"/>
      <c r="AD3692" s="82"/>
      <c r="AE3692" s="82"/>
      <c r="AF3692" s="82"/>
      <c r="AG3692" s="82"/>
      <c r="AH3692" s="82"/>
      <c r="AI3692" s="82"/>
      <c r="AJ3692" s="82"/>
      <c r="AK3692" s="82"/>
      <c r="AL3692" s="82"/>
      <c r="AM3692" s="82"/>
      <c r="AN3692" s="82"/>
      <c r="AO3692" s="82"/>
      <c r="AP3692" s="82"/>
      <c r="AQ3692" s="82"/>
      <c r="AR3692" s="82"/>
      <c r="AS3692" s="82"/>
      <c r="AT3692" s="82"/>
      <c r="AU3692" s="82"/>
      <c r="AV3692" s="82"/>
      <c r="AW3692" s="82" t="str">
        <f t="shared" si="1"/>
        <v/>
      </c>
      <c r="AX3692" s="83" t="str">
        <f t="array" ref="AX3692">IFERROR(DGET('SBV Import'!A:G,"SBV",{"RSC ID","Tier";B3692,A3692}))</f>
        <v/>
      </c>
      <c r="AY3692" s="82" t="str">
        <f t="shared" si="2"/>
        <v/>
      </c>
      <c r="AZ3692" s="82"/>
      <c r="BA3692" s="84" t="s">
        <v>152</v>
      </c>
      <c r="BB3692" s="84" t="str">
        <f>IFERROR(__xludf.DUMMYFUNCTION("iferror(if(A3692="""",,E3692&gt;=FILTER(Constants!$F$2:$F$10,Constants!$A$2:$A$10=A3692)))"),"")</f>
        <v/>
      </c>
    </row>
    <row r="3693">
      <c r="A3693" s="89"/>
      <c r="B3693" s="87"/>
      <c r="C3693" s="73"/>
      <c r="D3693" s="73"/>
      <c r="E3693" s="82"/>
      <c r="F3693" s="82"/>
      <c r="G3693" s="86"/>
      <c r="H3693" s="86"/>
      <c r="I3693" s="86"/>
      <c r="J3693" s="82"/>
      <c r="K3693" s="82"/>
      <c r="L3693" s="82"/>
      <c r="M3693" s="82"/>
      <c r="N3693" s="82"/>
      <c r="O3693" s="82"/>
      <c r="P3693" s="82"/>
      <c r="Q3693" s="82"/>
      <c r="R3693" s="82"/>
      <c r="S3693" s="82"/>
      <c r="T3693" s="82"/>
      <c r="U3693" s="82"/>
      <c r="V3693" s="82"/>
      <c r="W3693" s="82"/>
      <c r="X3693" s="82"/>
      <c r="Y3693" s="82"/>
      <c r="Z3693" s="82"/>
      <c r="AA3693" s="82"/>
      <c r="AB3693" s="82"/>
      <c r="AC3693" s="82"/>
      <c r="AD3693" s="82"/>
      <c r="AE3693" s="82"/>
      <c r="AF3693" s="82"/>
      <c r="AG3693" s="82"/>
      <c r="AH3693" s="82"/>
      <c r="AI3693" s="82"/>
      <c r="AJ3693" s="82"/>
      <c r="AK3693" s="82"/>
      <c r="AL3693" s="82"/>
      <c r="AM3693" s="82"/>
      <c r="AN3693" s="82"/>
      <c r="AO3693" s="82"/>
      <c r="AP3693" s="82"/>
      <c r="AQ3693" s="82"/>
      <c r="AR3693" s="82"/>
      <c r="AS3693" s="82"/>
      <c r="AT3693" s="82"/>
      <c r="AU3693" s="82"/>
      <c r="AV3693" s="82"/>
      <c r="AW3693" s="82" t="str">
        <f t="shared" si="1"/>
        <v/>
      </c>
      <c r="AX3693" s="83" t="str">
        <f t="array" ref="AX3693">IFERROR(DGET('SBV Import'!A:G,"SBV",{"RSC ID","Tier";B3693,A3693}))</f>
        <v/>
      </c>
      <c r="AY3693" s="82" t="str">
        <f t="shared" si="2"/>
        <v/>
      </c>
      <c r="AZ3693" s="82"/>
      <c r="BA3693" s="84" t="s">
        <v>152</v>
      </c>
      <c r="BB3693" s="84" t="str">
        <f>IFERROR(__xludf.DUMMYFUNCTION("iferror(if(A3693="""",,E3693&gt;=FILTER(Constants!$F$2:$F$10,Constants!$A$2:$A$10=A3693)))"),"")</f>
        <v/>
      </c>
    </row>
    <row r="3694">
      <c r="A3694" s="89"/>
      <c r="B3694" s="87"/>
      <c r="C3694" s="73"/>
      <c r="D3694" s="73"/>
      <c r="E3694" s="82"/>
      <c r="F3694" s="82"/>
      <c r="G3694" s="86"/>
      <c r="H3694" s="86"/>
      <c r="I3694" s="86"/>
      <c r="J3694" s="82"/>
      <c r="K3694" s="82"/>
      <c r="L3694" s="82"/>
      <c r="M3694" s="82"/>
      <c r="N3694" s="82"/>
      <c r="O3694" s="82"/>
      <c r="P3694" s="82"/>
      <c r="Q3694" s="82"/>
      <c r="R3694" s="82"/>
      <c r="S3694" s="82"/>
      <c r="T3694" s="82"/>
      <c r="U3694" s="82"/>
      <c r="V3694" s="82"/>
      <c r="W3694" s="82"/>
      <c r="X3694" s="82"/>
      <c r="Y3694" s="82"/>
      <c r="Z3694" s="82"/>
      <c r="AA3694" s="82"/>
      <c r="AB3694" s="82"/>
      <c r="AC3694" s="82"/>
      <c r="AD3694" s="82"/>
      <c r="AE3694" s="82"/>
      <c r="AF3694" s="82"/>
      <c r="AG3694" s="82"/>
      <c r="AH3694" s="82"/>
      <c r="AI3694" s="82"/>
      <c r="AJ3694" s="82"/>
      <c r="AK3694" s="82"/>
      <c r="AL3694" s="82"/>
      <c r="AM3694" s="82"/>
      <c r="AN3694" s="82"/>
      <c r="AO3694" s="82"/>
      <c r="AP3694" s="82"/>
      <c r="AQ3694" s="82"/>
      <c r="AR3694" s="82"/>
      <c r="AS3694" s="82"/>
      <c r="AT3694" s="82"/>
      <c r="AU3694" s="82"/>
      <c r="AV3694" s="82"/>
      <c r="AW3694" s="82" t="str">
        <f t="shared" si="1"/>
        <v/>
      </c>
      <c r="AX3694" s="83" t="str">
        <f t="array" ref="AX3694">IFERROR(DGET('SBV Import'!A:G,"SBV",{"RSC ID","Tier";B3694,A3694}))</f>
        <v/>
      </c>
      <c r="AY3694" s="82" t="str">
        <f t="shared" si="2"/>
        <v/>
      </c>
      <c r="AZ3694" s="82"/>
      <c r="BA3694" s="84" t="s">
        <v>152</v>
      </c>
      <c r="BB3694" s="84" t="str">
        <f>IFERROR(__xludf.DUMMYFUNCTION("iferror(if(A3694="""",,E3694&gt;=FILTER(Constants!$F$2:$F$10,Constants!$A$2:$A$10=A3694)))"),"")</f>
        <v/>
      </c>
    </row>
    <row r="3695">
      <c r="A3695" s="89"/>
      <c r="B3695" s="87"/>
      <c r="C3695" s="73"/>
      <c r="D3695" s="73"/>
      <c r="E3695" s="82"/>
      <c r="F3695" s="82"/>
      <c r="G3695" s="86"/>
      <c r="H3695" s="86"/>
      <c r="I3695" s="86"/>
      <c r="J3695" s="82"/>
      <c r="K3695" s="82"/>
      <c r="L3695" s="82"/>
      <c r="M3695" s="82"/>
      <c r="N3695" s="82"/>
      <c r="O3695" s="82"/>
      <c r="P3695" s="82"/>
      <c r="Q3695" s="82"/>
      <c r="R3695" s="82"/>
      <c r="S3695" s="82"/>
      <c r="T3695" s="82"/>
      <c r="U3695" s="82"/>
      <c r="V3695" s="82"/>
      <c r="W3695" s="82"/>
      <c r="X3695" s="82"/>
      <c r="Y3695" s="82"/>
      <c r="Z3695" s="82"/>
      <c r="AA3695" s="82"/>
      <c r="AB3695" s="82"/>
      <c r="AC3695" s="82"/>
      <c r="AD3695" s="82"/>
      <c r="AE3695" s="82"/>
      <c r="AF3695" s="82"/>
      <c r="AG3695" s="82"/>
      <c r="AH3695" s="82"/>
      <c r="AI3695" s="82"/>
      <c r="AJ3695" s="82"/>
      <c r="AK3695" s="82"/>
      <c r="AL3695" s="82"/>
      <c r="AM3695" s="82"/>
      <c r="AN3695" s="82"/>
      <c r="AO3695" s="82"/>
      <c r="AP3695" s="82"/>
      <c r="AQ3695" s="82"/>
      <c r="AR3695" s="82"/>
      <c r="AS3695" s="82"/>
      <c r="AT3695" s="82"/>
      <c r="AU3695" s="82"/>
      <c r="AV3695" s="82"/>
      <c r="AW3695" s="82" t="str">
        <f t="shared" si="1"/>
        <v/>
      </c>
      <c r="AX3695" s="83" t="str">
        <f t="array" ref="AX3695">IFERROR(DGET('SBV Import'!A:G,"SBV",{"RSC ID","Tier";B3695,A3695}))</f>
        <v/>
      </c>
      <c r="AY3695" s="82" t="str">
        <f t="shared" si="2"/>
        <v/>
      </c>
      <c r="AZ3695" s="82"/>
      <c r="BA3695" s="84" t="s">
        <v>152</v>
      </c>
      <c r="BB3695" s="84" t="str">
        <f>IFERROR(__xludf.DUMMYFUNCTION("iferror(if(A3695="""",,E3695&gt;=FILTER(Constants!$F$2:$F$10,Constants!$A$2:$A$10=A3695)))"),"")</f>
        <v/>
      </c>
    </row>
    <row r="3696">
      <c r="A3696" s="89"/>
      <c r="B3696" s="87"/>
      <c r="C3696" s="73"/>
      <c r="D3696" s="73"/>
      <c r="E3696" s="82"/>
      <c r="F3696" s="82"/>
      <c r="G3696" s="86"/>
      <c r="H3696" s="86"/>
      <c r="I3696" s="86"/>
      <c r="J3696" s="82"/>
      <c r="K3696" s="82"/>
      <c r="L3696" s="82"/>
      <c r="M3696" s="82"/>
      <c r="N3696" s="82"/>
      <c r="O3696" s="82"/>
      <c r="P3696" s="82"/>
      <c r="Q3696" s="82"/>
      <c r="R3696" s="82"/>
      <c r="S3696" s="82"/>
      <c r="T3696" s="82"/>
      <c r="U3696" s="82"/>
      <c r="V3696" s="82"/>
      <c r="W3696" s="82"/>
      <c r="X3696" s="82"/>
      <c r="Y3696" s="82"/>
      <c r="Z3696" s="82"/>
      <c r="AA3696" s="82"/>
      <c r="AB3696" s="82"/>
      <c r="AC3696" s="82"/>
      <c r="AD3696" s="82"/>
      <c r="AE3696" s="82"/>
      <c r="AF3696" s="82"/>
      <c r="AG3696" s="82"/>
      <c r="AH3696" s="82"/>
      <c r="AI3696" s="82"/>
      <c r="AJ3696" s="82"/>
      <c r="AK3696" s="82"/>
      <c r="AL3696" s="82"/>
      <c r="AM3696" s="82"/>
      <c r="AN3696" s="82"/>
      <c r="AO3696" s="82"/>
      <c r="AP3696" s="82"/>
      <c r="AQ3696" s="82"/>
      <c r="AR3696" s="82"/>
      <c r="AS3696" s="82"/>
      <c r="AT3696" s="82"/>
      <c r="AU3696" s="82"/>
      <c r="AV3696" s="82"/>
      <c r="AW3696" s="82" t="str">
        <f t="shared" si="1"/>
        <v/>
      </c>
      <c r="AX3696" s="83" t="str">
        <f t="array" ref="AX3696">IFERROR(DGET('SBV Import'!A:G,"SBV",{"RSC ID","Tier";B3696,A3696}))</f>
        <v/>
      </c>
      <c r="AY3696" s="82" t="str">
        <f t="shared" si="2"/>
        <v/>
      </c>
      <c r="AZ3696" s="82"/>
      <c r="BA3696" s="84" t="s">
        <v>152</v>
      </c>
      <c r="BB3696" s="84" t="str">
        <f>IFERROR(__xludf.DUMMYFUNCTION("iferror(if(A3696="""",,E3696&gt;=FILTER(Constants!$F$2:$F$10,Constants!$A$2:$A$10=A3696)))"),"")</f>
        <v/>
      </c>
    </row>
    <row r="3697">
      <c r="A3697" s="89"/>
      <c r="B3697" s="87"/>
      <c r="C3697" s="73"/>
      <c r="D3697" s="73"/>
      <c r="E3697" s="82"/>
      <c r="F3697" s="82"/>
      <c r="G3697" s="86"/>
      <c r="H3697" s="86"/>
      <c r="I3697" s="86"/>
      <c r="J3697" s="82"/>
      <c r="K3697" s="82"/>
      <c r="L3697" s="82"/>
      <c r="M3697" s="82"/>
      <c r="N3697" s="82"/>
      <c r="O3697" s="82"/>
      <c r="P3697" s="82"/>
      <c r="Q3697" s="82"/>
      <c r="R3697" s="82"/>
      <c r="S3697" s="82"/>
      <c r="T3697" s="82"/>
      <c r="U3697" s="82"/>
      <c r="V3697" s="82"/>
      <c r="W3697" s="82"/>
      <c r="X3697" s="82"/>
      <c r="Y3697" s="82"/>
      <c r="Z3697" s="82"/>
      <c r="AA3697" s="82"/>
      <c r="AB3697" s="82"/>
      <c r="AC3697" s="82"/>
      <c r="AD3697" s="82"/>
      <c r="AE3697" s="82"/>
      <c r="AF3697" s="82"/>
      <c r="AG3697" s="82"/>
      <c r="AH3697" s="82"/>
      <c r="AI3697" s="82"/>
      <c r="AJ3697" s="82"/>
      <c r="AK3697" s="82"/>
      <c r="AL3697" s="82"/>
      <c r="AM3697" s="82"/>
      <c r="AN3697" s="82"/>
      <c r="AO3697" s="82"/>
      <c r="AP3697" s="82"/>
      <c r="AQ3697" s="82"/>
      <c r="AR3697" s="82"/>
      <c r="AS3697" s="82"/>
      <c r="AT3697" s="82"/>
      <c r="AU3697" s="82"/>
      <c r="AV3697" s="82"/>
      <c r="AW3697" s="82" t="str">
        <f t="shared" si="1"/>
        <v/>
      </c>
      <c r="AX3697" s="83" t="str">
        <f t="array" ref="AX3697">IFERROR(DGET('SBV Import'!A:G,"SBV",{"RSC ID","Tier";B3697,A3697}))</f>
        <v/>
      </c>
      <c r="AY3697" s="82" t="str">
        <f t="shared" si="2"/>
        <v/>
      </c>
      <c r="AZ3697" s="82"/>
      <c r="BA3697" s="84" t="s">
        <v>152</v>
      </c>
      <c r="BB3697" s="84" t="str">
        <f>IFERROR(__xludf.DUMMYFUNCTION("iferror(if(A3697="""",,E3697&gt;=FILTER(Constants!$F$2:$F$10,Constants!$A$2:$A$10=A3697)))"),"")</f>
        <v/>
      </c>
    </row>
    <row r="3698">
      <c r="A3698" s="89"/>
      <c r="B3698" s="87"/>
      <c r="C3698" s="73"/>
      <c r="D3698" s="73"/>
      <c r="E3698" s="82"/>
      <c r="F3698" s="82"/>
      <c r="G3698" s="86"/>
      <c r="H3698" s="86"/>
      <c r="I3698" s="86"/>
      <c r="J3698" s="82"/>
      <c r="K3698" s="82"/>
      <c r="L3698" s="82"/>
      <c r="M3698" s="82"/>
      <c r="N3698" s="82"/>
      <c r="O3698" s="82"/>
      <c r="P3698" s="82"/>
      <c r="Q3698" s="82"/>
      <c r="R3698" s="82"/>
      <c r="S3698" s="82"/>
      <c r="T3698" s="82"/>
      <c r="U3698" s="82"/>
      <c r="V3698" s="82"/>
      <c r="W3698" s="82"/>
      <c r="X3698" s="82"/>
      <c r="Y3698" s="82"/>
      <c r="Z3698" s="82"/>
      <c r="AA3698" s="82"/>
      <c r="AB3698" s="82"/>
      <c r="AC3698" s="82"/>
      <c r="AD3698" s="82"/>
      <c r="AE3698" s="82"/>
      <c r="AF3698" s="82"/>
      <c r="AG3698" s="82"/>
      <c r="AH3698" s="82"/>
      <c r="AI3698" s="82"/>
      <c r="AJ3698" s="82"/>
      <c r="AK3698" s="82"/>
      <c r="AL3698" s="82"/>
      <c r="AM3698" s="82"/>
      <c r="AN3698" s="82"/>
      <c r="AO3698" s="82"/>
      <c r="AP3698" s="82"/>
      <c r="AQ3698" s="82"/>
      <c r="AR3698" s="82"/>
      <c r="AS3698" s="82"/>
      <c r="AT3698" s="82"/>
      <c r="AU3698" s="82"/>
      <c r="AV3698" s="82"/>
      <c r="AW3698" s="82" t="str">
        <f t="shared" si="1"/>
        <v/>
      </c>
      <c r="AX3698" s="83" t="str">
        <f t="array" ref="AX3698">IFERROR(DGET('SBV Import'!A:G,"SBV",{"RSC ID","Tier";B3698,A3698}))</f>
        <v/>
      </c>
      <c r="AY3698" s="82" t="str">
        <f t="shared" si="2"/>
        <v/>
      </c>
      <c r="AZ3698" s="82"/>
      <c r="BA3698" s="84" t="s">
        <v>152</v>
      </c>
      <c r="BB3698" s="84" t="str">
        <f>IFERROR(__xludf.DUMMYFUNCTION("iferror(if(A3698="""",,E3698&gt;=FILTER(Constants!$F$2:$F$10,Constants!$A$2:$A$10=A3698)))"),"")</f>
        <v/>
      </c>
    </row>
    <row r="3699">
      <c r="A3699" s="89"/>
      <c r="B3699" s="87"/>
      <c r="C3699" s="73"/>
      <c r="D3699" s="73"/>
      <c r="E3699" s="82"/>
      <c r="F3699" s="82"/>
      <c r="G3699" s="86"/>
      <c r="H3699" s="86"/>
      <c r="I3699" s="86"/>
      <c r="J3699" s="82"/>
      <c r="K3699" s="82"/>
      <c r="L3699" s="82"/>
      <c r="M3699" s="82"/>
      <c r="N3699" s="82"/>
      <c r="O3699" s="82"/>
      <c r="P3699" s="82"/>
      <c r="Q3699" s="82"/>
      <c r="R3699" s="82"/>
      <c r="S3699" s="82"/>
      <c r="T3699" s="82"/>
      <c r="U3699" s="82"/>
      <c r="V3699" s="82"/>
      <c r="W3699" s="82"/>
      <c r="X3699" s="82"/>
      <c r="Y3699" s="82"/>
      <c r="Z3699" s="82"/>
      <c r="AA3699" s="82"/>
      <c r="AB3699" s="82"/>
      <c r="AC3699" s="82"/>
      <c r="AD3699" s="82"/>
      <c r="AE3699" s="82"/>
      <c r="AF3699" s="82"/>
      <c r="AG3699" s="82"/>
      <c r="AH3699" s="82"/>
      <c r="AI3699" s="82"/>
      <c r="AJ3699" s="82"/>
      <c r="AK3699" s="82"/>
      <c r="AL3699" s="82"/>
      <c r="AM3699" s="82"/>
      <c r="AN3699" s="82"/>
      <c r="AO3699" s="82"/>
      <c r="AP3699" s="82"/>
      <c r="AQ3699" s="82"/>
      <c r="AR3699" s="82"/>
      <c r="AS3699" s="82"/>
      <c r="AT3699" s="82"/>
      <c r="AU3699" s="82"/>
      <c r="AV3699" s="82"/>
      <c r="AW3699" s="82" t="str">
        <f t="shared" si="1"/>
        <v/>
      </c>
      <c r="AX3699" s="83" t="str">
        <f t="array" ref="AX3699">IFERROR(DGET('SBV Import'!A:G,"SBV",{"RSC ID","Tier";B3699,A3699}))</f>
        <v/>
      </c>
      <c r="AY3699" s="82" t="str">
        <f t="shared" si="2"/>
        <v/>
      </c>
      <c r="AZ3699" s="82"/>
      <c r="BA3699" s="84" t="s">
        <v>152</v>
      </c>
      <c r="BB3699" s="84" t="str">
        <f>IFERROR(__xludf.DUMMYFUNCTION("iferror(if(A3699="""",,E3699&gt;=FILTER(Constants!$F$2:$F$10,Constants!$A$2:$A$10=A3699)))"),"")</f>
        <v/>
      </c>
    </row>
    <row r="3700">
      <c r="A3700" s="89"/>
      <c r="B3700" s="87"/>
      <c r="C3700" s="73"/>
      <c r="D3700" s="73"/>
      <c r="E3700" s="82"/>
      <c r="F3700" s="82"/>
      <c r="G3700" s="86"/>
      <c r="H3700" s="86"/>
      <c r="I3700" s="86"/>
      <c r="J3700" s="82"/>
      <c r="K3700" s="82"/>
      <c r="L3700" s="82"/>
      <c r="M3700" s="82"/>
      <c r="N3700" s="82"/>
      <c r="O3700" s="82"/>
      <c r="P3700" s="82"/>
      <c r="Q3700" s="82"/>
      <c r="R3700" s="82"/>
      <c r="S3700" s="82"/>
      <c r="T3700" s="82"/>
      <c r="U3700" s="82"/>
      <c r="V3700" s="82"/>
      <c r="W3700" s="82"/>
      <c r="X3700" s="82"/>
      <c r="Y3700" s="82"/>
      <c r="Z3700" s="82"/>
      <c r="AA3700" s="82"/>
      <c r="AB3700" s="82"/>
      <c r="AC3700" s="82"/>
      <c r="AD3700" s="82"/>
      <c r="AE3700" s="82"/>
      <c r="AF3700" s="82"/>
      <c r="AG3700" s="82"/>
      <c r="AH3700" s="82"/>
      <c r="AI3700" s="82"/>
      <c r="AJ3700" s="82"/>
      <c r="AK3700" s="82"/>
      <c r="AL3700" s="82"/>
      <c r="AM3700" s="82"/>
      <c r="AN3700" s="82"/>
      <c r="AO3700" s="82"/>
      <c r="AP3700" s="82"/>
      <c r="AQ3700" s="82"/>
      <c r="AR3700" s="82"/>
      <c r="AS3700" s="82"/>
      <c r="AT3700" s="82"/>
      <c r="AU3700" s="82"/>
      <c r="AV3700" s="82"/>
      <c r="AW3700" s="82" t="str">
        <f t="shared" si="1"/>
        <v/>
      </c>
      <c r="AX3700" s="83" t="str">
        <f t="array" ref="AX3700">IFERROR(DGET('SBV Import'!A:G,"SBV",{"RSC ID","Tier";B3700,A3700}))</f>
        <v/>
      </c>
      <c r="AY3700" s="82" t="str">
        <f t="shared" si="2"/>
        <v/>
      </c>
      <c r="AZ3700" s="82"/>
      <c r="BA3700" s="84" t="s">
        <v>152</v>
      </c>
      <c r="BB3700" s="84" t="str">
        <f>IFERROR(__xludf.DUMMYFUNCTION("iferror(if(A3700="""",,E3700&gt;=FILTER(Constants!$F$2:$F$10,Constants!$A$2:$A$10=A3700)))"),"")</f>
        <v/>
      </c>
    </row>
    <row r="3701">
      <c r="A3701" s="89"/>
      <c r="B3701" s="87"/>
      <c r="C3701" s="73"/>
      <c r="D3701" s="73"/>
      <c r="E3701" s="82"/>
      <c r="F3701" s="82"/>
      <c r="G3701" s="86"/>
      <c r="H3701" s="86"/>
      <c r="I3701" s="86"/>
      <c r="J3701" s="82"/>
      <c r="K3701" s="82"/>
      <c r="L3701" s="82"/>
      <c r="M3701" s="82"/>
      <c r="N3701" s="82"/>
      <c r="O3701" s="82"/>
      <c r="P3701" s="82"/>
      <c r="Q3701" s="82"/>
      <c r="R3701" s="82"/>
      <c r="S3701" s="82"/>
      <c r="T3701" s="82"/>
      <c r="U3701" s="82"/>
      <c r="V3701" s="82"/>
      <c r="W3701" s="82"/>
      <c r="X3701" s="82"/>
      <c r="Y3701" s="82"/>
      <c r="Z3701" s="82"/>
      <c r="AA3701" s="82"/>
      <c r="AB3701" s="82"/>
      <c r="AC3701" s="82"/>
      <c r="AD3701" s="82"/>
      <c r="AE3701" s="82"/>
      <c r="AF3701" s="82"/>
      <c r="AG3701" s="82"/>
      <c r="AH3701" s="82"/>
      <c r="AI3701" s="82"/>
      <c r="AJ3701" s="82"/>
      <c r="AK3701" s="82"/>
      <c r="AL3701" s="82"/>
      <c r="AM3701" s="82"/>
      <c r="AN3701" s="82"/>
      <c r="AO3701" s="82"/>
      <c r="AP3701" s="82"/>
      <c r="AQ3701" s="82"/>
      <c r="AR3701" s="82"/>
      <c r="AS3701" s="82"/>
      <c r="AT3701" s="82"/>
      <c r="AU3701" s="82"/>
      <c r="AV3701" s="82"/>
      <c r="AW3701" s="82" t="str">
        <f t="shared" si="1"/>
        <v/>
      </c>
      <c r="AX3701" s="83" t="str">
        <f t="array" ref="AX3701">IFERROR(DGET('SBV Import'!A:G,"SBV",{"RSC ID","Tier";B3701,A3701}))</f>
        <v/>
      </c>
      <c r="AY3701" s="82" t="str">
        <f t="shared" si="2"/>
        <v/>
      </c>
      <c r="AZ3701" s="82"/>
      <c r="BA3701" s="84" t="s">
        <v>152</v>
      </c>
      <c r="BB3701" s="84" t="str">
        <f>IFERROR(__xludf.DUMMYFUNCTION("iferror(if(A3701="""",,E3701&gt;=FILTER(Constants!$F$2:$F$10,Constants!$A$2:$A$10=A3701)))"),"")</f>
        <v/>
      </c>
    </row>
    <row r="3702">
      <c r="A3702" s="89"/>
      <c r="B3702" s="87"/>
      <c r="C3702" s="73"/>
      <c r="D3702" s="73"/>
      <c r="E3702" s="82"/>
      <c r="F3702" s="82"/>
      <c r="G3702" s="86"/>
      <c r="H3702" s="86"/>
      <c r="I3702" s="86"/>
      <c r="J3702" s="82"/>
      <c r="K3702" s="82"/>
      <c r="L3702" s="82"/>
      <c r="M3702" s="82"/>
      <c r="N3702" s="82"/>
      <c r="O3702" s="82"/>
      <c r="P3702" s="82"/>
      <c r="Q3702" s="82"/>
      <c r="R3702" s="82"/>
      <c r="S3702" s="82"/>
      <c r="T3702" s="82"/>
      <c r="U3702" s="82"/>
      <c r="V3702" s="82"/>
      <c r="W3702" s="82"/>
      <c r="X3702" s="82"/>
      <c r="Y3702" s="82"/>
      <c r="Z3702" s="82"/>
      <c r="AA3702" s="82"/>
      <c r="AB3702" s="82"/>
      <c r="AC3702" s="82"/>
      <c r="AD3702" s="82"/>
      <c r="AE3702" s="82"/>
      <c r="AF3702" s="82"/>
      <c r="AG3702" s="82"/>
      <c r="AH3702" s="82"/>
      <c r="AI3702" s="82"/>
      <c r="AJ3702" s="82"/>
      <c r="AK3702" s="82"/>
      <c r="AL3702" s="82"/>
      <c r="AM3702" s="82"/>
      <c r="AN3702" s="82"/>
      <c r="AO3702" s="82"/>
      <c r="AP3702" s="82"/>
      <c r="AQ3702" s="82"/>
      <c r="AR3702" s="82"/>
      <c r="AS3702" s="82"/>
      <c r="AT3702" s="82"/>
      <c r="AU3702" s="82"/>
      <c r="AV3702" s="82"/>
      <c r="AW3702" s="82" t="str">
        <f t="shared" si="1"/>
        <v/>
      </c>
      <c r="AX3702" s="83" t="str">
        <f t="array" ref="AX3702">IFERROR(DGET('SBV Import'!A:G,"SBV",{"RSC ID","Tier";B3702,A3702}))</f>
        <v/>
      </c>
      <c r="AY3702" s="82" t="str">
        <f t="shared" si="2"/>
        <v/>
      </c>
      <c r="AZ3702" s="82"/>
      <c r="BA3702" s="84" t="s">
        <v>152</v>
      </c>
      <c r="BB3702" s="84" t="str">
        <f>IFERROR(__xludf.DUMMYFUNCTION("iferror(if(A3702="""",,E3702&gt;=FILTER(Constants!$F$2:$F$10,Constants!$A$2:$A$10=A3702)))"),"")</f>
        <v/>
      </c>
    </row>
    <row r="3703">
      <c r="A3703" s="89"/>
      <c r="B3703" s="87"/>
      <c r="C3703" s="73"/>
      <c r="D3703" s="73"/>
      <c r="E3703" s="82"/>
      <c r="F3703" s="82"/>
      <c r="G3703" s="86"/>
      <c r="H3703" s="86"/>
      <c r="I3703" s="86"/>
      <c r="J3703" s="82"/>
      <c r="K3703" s="82"/>
      <c r="L3703" s="82"/>
      <c r="M3703" s="82"/>
      <c r="N3703" s="82"/>
      <c r="O3703" s="82"/>
      <c r="P3703" s="82"/>
      <c r="Q3703" s="82"/>
      <c r="R3703" s="82"/>
      <c r="S3703" s="82"/>
      <c r="T3703" s="82"/>
      <c r="U3703" s="82"/>
      <c r="V3703" s="82"/>
      <c r="W3703" s="82"/>
      <c r="X3703" s="82"/>
      <c r="Y3703" s="82"/>
      <c r="Z3703" s="82"/>
      <c r="AA3703" s="82"/>
      <c r="AB3703" s="82"/>
      <c r="AC3703" s="82"/>
      <c r="AD3703" s="82"/>
      <c r="AE3703" s="82"/>
      <c r="AF3703" s="82"/>
      <c r="AG3703" s="82"/>
      <c r="AH3703" s="82"/>
      <c r="AI3703" s="82"/>
      <c r="AJ3703" s="82"/>
      <c r="AK3703" s="82"/>
      <c r="AL3703" s="82"/>
      <c r="AM3703" s="82"/>
      <c r="AN3703" s="82"/>
      <c r="AO3703" s="82"/>
      <c r="AP3703" s="82"/>
      <c r="AQ3703" s="82"/>
      <c r="AR3703" s="82"/>
      <c r="AS3703" s="82"/>
      <c r="AT3703" s="82"/>
      <c r="AU3703" s="82"/>
      <c r="AV3703" s="82"/>
      <c r="AW3703" s="82" t="str">
        <f t="shared" si="1"/>
        <v/>
      </c>
      <c r="AX3703" s="83" t="str">
        <f t="array" ref="AX3703">IFERROR(DGET('SBV Import'!A:G,"SBV",{"RSC ID","Tier";B3703,A3703}))</f>
        <v/>
      </c>
      <c r="AY3703" s="82" t="str">
        <f t="shared" si="2"/>
        <v/>
      </c>
      <c r="AZ3703" s="82"/>
      <c r="BA3703" s="84" t="s">
        <v>152</v>
      </c>
      <c r="BB3703" s="84" t="str">
        <f>IFERROR(__xludf.DUMMYFUNCTION("iferror(if(A3703="""",,E3703&gt;=FILTER(Constants!$F$2:$F$10,Constants!$A$2:$A$10=A3703)))"),"")</f>
        <v/>
      </c>
    </row>
    <row r="3704">
      <c r="A3704" s="89"/>
      <c r="B3704" s="87"/>
      <c r="C3704" s="73"/>
      <c r="D3704" s="73"/>
      <c r="E3704" s="82"/>
      <c r="F3704" s="82"/>
      <c r="G3704" s="86"/>
      <c r="H3704" s="86"/>
      <c r="I3704" s="86"/>
      <c r="J3704" s="82"/>
      <c r="K3704" s="82"/>
      <c r="L3704" s="82"/>
      <c r="M3704" s="82"/>
      <c r="N3704" s="82"/>
      <c r="O3704" s="82"/>
      <c r="P3704" s="82"/>
      <c r="Q3704" s="82"/>
      <c r="R3704" s="82"/>
      <c r="S3704" s="82"/>
      <c r="T3704" s="82"/>
      <c r="U3704" s="82"/>
      <c r="V3704" s="82"/>
      <c r="W3704" s="82"/>
      <c r="X3704" s="82"/>
      <c r="Y3704" s="82"/>
      <c r="Z3704" s="82"/>
      <c r="AA3704" s="82"/>
      <c r="AB3704" s="82"/>
      <c r="AC3704" s="82"/>
      <c r="AD3704" s="82"/>
      <c r="AE3704" s="82"/>
      <c r="AF3704" s="82"/>
      <c r="AG3704" s="82"/>
      <c r="AH3704" s="82"/>
      <c r="AI3704" s="82"/>
      <c r="AJ3704" s="82"/>
      <c r="AK3704" s="82"/>
      <c r="AL3704" s="82"/>
      <c r="AM3704" s="82"/>
      <c r="AN3704" s="82"/>
      <c r="AO3704" s="82"/>
      <c r="AP3704" s="82"/>
      <c r="AQ3704" s="82"/>
      <c r="AR3704" s="82"/>
      <c r="AS3704" s="82"/>
      <c r="AT3704" s="82"/>
      <c r="AU3704" s="82"/>
      <c r="AV3704" s="82"/>
      <c r="AW3704" s="82" t="str">
        <f t="shared" si="1"/>
        <v/>
      </c>
      <c r="AX3704" s="83" t="str">
        <f t="array" ref="AX3704">IFERROR(DGET('SBV Import'!A:G,"SBV",{"RSC ID","Tier";B3704,A3704}))</f>
        <v/>
      </c>
      <c r="AY3704" s="82" t="str">
        <f t="shared" si="2"/>
        <v/>
      </c>
      <c r="AZ3704" s="82"/>
      <c r="BA3704" s="84" t="s">
        <v>152</v>
      </c>
      <c r="BB3704" s="84" t="str">
        <f>IFERROR(__xludf.DUMMYFUNCTION("iferror(if(A3704="""",,E3704&gt;=FILTER(Constants!$F$2:$F$10,Constants!$A$2:$A$10=A3704)))"),"")</f>
        <v/>
      </c>
    </row>
    <row r="3705">
      <c r="A3705" s="89"/>
      <c r="B3705" s="87"/>
      <c r="C3705" s="73"/>
      <c r="D3705" s="73"/>
      <c r="E3705" s="82"/>
      <c r="F3705" s="82"/>
      <c r="G3705" s="86"/>
      <c r="H3705" s="86"/>
      <c r="I3705" s="86"/>
      <c r="J3705" s="82"/>
      <c r="K3705" s="82"/>
      <c r="L3705" s="82"/>
      <c r="M3705" s="82"/>
      <c r="N3705" s="82"/>
      <c r="O3705" s="82"/>
      <c r="P3705" s="82"/>
      <c r="Q3705" s="82"/>
      <c r="R3705" s="82"/>
      <c r="S3705" s="82"/>
      <c r="T3705" s="82"/>
      <c r="U3705" s="82"/>
      <c r="V3705" s="82"/>
      <c r="W3705" s="82"/>
      <c r="X3705" s="82"/>
      <c r="Y3705" s="82"/>
      <c r="Z3705" s="82"/>
      <c r="AA3705" s="82"/>
      <c r="AB3705" s="82"/>
      <c r="AC3705" s="82"/>
      <c r="AD3705" s="82"/>
      <c r="AE3705" s="82"/>
      <c r="AF3705" s="82"/>
      <c r="AG3705" s="82"/>
      <c r="AH3705" s="82"/>
      <c r="AI3705" s="82"/>
      <c r="AJ3705" s="82"/>
      <c r="AK3705" s="82"/>
      <c r="AL3705" s="82"/>
      <c r="AM3705" s="82"/>
      <c r="AN3705" s="82"/>
      <c r="AO3705" s="82"/>
      <c r="AP3705" s="82"/>
      <c r="AQ3705" s="82"/>
      <c r="AR3705" s="82"/>
      <c r="AS3705" s="82"/>
      <c r="AT3705" s="82"/>
      <c r="AU3705" s="82"/>
      <c r="AV3705" s="82"/>
      <c r="AW3705" s="82" t="str">
        <f t="shared" si="1"/>
        <v/>
      </c>
      <c r="AX3705" s="83" t="str">
        <f t="array" ref="AX3705">IFERROR(DGET('SBV Import'!A:G,"SBV",{"RSC ID","Tier";B3705,A3705}))</f>
        <v/>
      </c>
      <c r="AY3705" s="82" t="str">
        <f t="shared" si="2"/>
        <v/>
      </c>
      <c r="AZ3705" s="82"/>
      <c r="BA3705" s="84" t="s">
        <v>152</v>
      </c>
      <c r="BB3705" s="84" t="str">
        <f>IFERROR(__xludf.DUMMYFUNCTION("iferror(if(A3705="""",,E3705&gt;=FILTER(Constants!$F$2:$F$10,Constants!$A$2:$A$10=A3705)))"),"")</f>
        <v/>
      </c>
    </row>
    <row r="3706">
      <c r="A3706" s="89"/>
      <c r="B3706" s="87"/>
      <c r="C3706" s="73"/>
      <c r="D3706" s="73"/>
      <c r="E3706" s="82"/>
      <c r="F3706" s="82"/>
      <c r="G3706" s="86"/>
      <c r="H3706" s="86"/>
      <c r="I3706" s="86"/>
      <c r="J3706" s="82"/>
      <c r="K3706" s="82"/>
      <c r="L3706" s="82"/>
      <c r="M3706" s="82"/>
      <c r="N3706" s="82"/>
      <c r="O3706" s="82"/>
      <c r="P3706" s="82"/>
      <c r="Q3706" s="82"/>
      <c r="R3706" s="82"/>
      <c r="S3706" s="82"/>
      <c r="T3706" s="82"/>
      <c r="U3706" s="82"/>
      <c r="V3706" s="82"/>
      <c r="W3706" s="82"/>
      <c r="X3706" s="82"/>
      <c r="Y3706" s="82"/>
      <c r="Z3706" s="82"/>
      <c r="AA3706" s="82"/>
      <c r="AB3706" s="82"/>
      <c r="AC3706" s="82"/>
      <c r="AD3706" s="82"/>
      <c r="AE3706" s="82"/>
      <c r="AF3706" s="82"/>
      <c r="AG3706" s="82"/>
      <c r="AH3706" s="82"/>
      <c r="AI3706" s="82"/>
      <c r="AJ3706" s="82"/>
      <c r="AK3706" s="82"/>
      <c r="AL3706" s="82"/>
      <c r="AM3706" s="82"/>
      <c r="AN3706" s="82"/>
      <c r="AO3706" s="82"/>
      <c r="AP3706" s="82"/>
      <c r="AQ3706" s="82"/>
      <c r="AR3706" s="82"/>
      <c r="AS3706" s="82"/>
      <c r="AT3706" s="82"/>
      <c r="AU3706" s="82"/>
      <c r="AV3706" s="82"/>
      <c r="AW3706" s="82" t="str">
        <f t="shared" si="1"/>
        <v/>
      </c>
      <c r="AX3706" s="83" t="str">
        <f t="array" ref="AX3706">IFERROR(DGET('SBV Import'!A:G,"SBV",{"RSC ID","Tier";B3706,A3706}))</f>
        <v/>
      </c>
      <c r="AY3706" s="82" t="str">
        <f t="shared" si="2"/>
        <v/>
      </c>
      <c r="AZ3706" s="82"/>
      <c r="BA3706" s="84" t="s">
        <v>152</v>
      </c>
      <c r="BB3706" s="84" t="str">
        <f>IFERROR(__xludf.DUMMYFUNCTION("iferror(if(A3706="""",,E3706&gt;=FILTER(Constants!$F$2:$F$10,Constants!$A$2:$A$10=A3706)))"),"")</f>
        <v/>
      </c>
    </row>
    <row r="3707">
      <c r="A3707" s="89"/>
      <c r="B3707" s="87"/>
      <c r="C3707" s="73"/>
      <c r="D3707" s="73"/>
      <c r="E3707" s="82"/>
      <c r="F3707" s="82"/>
      <c r="G3707" s="86"/>
      <c r="H3707" s="86"/>
      <c r="I3707" s="86"/>
      <c r="J3707" s="82"/>
      <c r="K3707" s="82"/>
      <c r="L3707" s="82"/>
      <c r="M3707" s="82"/>
      <c r="N3707" s="82"/>
      <c r="O3707" s="82"/>
      <c r="P3707" s="82"/>
      <c r="Q3707" s="82"/>
      <c r="R3707" s="82"/>
      <c r="S3707" s="82"/>
      <c r="T3707" s="82"/>
      <c r="U3707" s="82"/>
      <c r="V3707" s="82"/>
      <c r="W3707" s="82"/>
      <c r="X3707" s="82"/>
      <c r="Y3707" s="82"/>
      <c r="Z3707" s="82"/>
      <c r="AA3707" s="82"/>
      <c r="AB3707" s="82"/>
      <c r="AC3707" s="82"/>
      <c r="AD3707" s="82"/>
      <c r="AE3707" s="82"/>
      <c r="AF3707" s="82"/>
      <c r="AG3707" s="82"/>
      <c r="AH3707" s="82"/>
      <c r="AI3707" s="82"/>
      <c r="AJ3707" s="82"/>
      <c r="AK3707" s="82"/>
      <c r="AL3707" s="82"/>
      <c r="AM3707" s="82"/>
      <c r="AN3707" s="82"/>
      <c r="AO3707" s="82"/>
      <c r="AP3707" s="82"/>
      <c r="AQ3707" s="82"/>
      <c r="AR3707" s="82"/>
      <c r="AS3707" s="82"/>
      <c r="AT3707" s="82"/>
      <c r="AU3707" s="82"/>
      <c r="AV3707" s="82"/>
      <c r="AW3707" s="82" t="str">
        <f t="shared" si="1"/>
        <v/>
      </c>
      <c r="AX3707" s="83" t="str">
        <f t="array" ref="AX3707">IFERROR(DGET('SBV Import'!A:G,"SBV",{"RSC ID","Tier";B3707,A3707}))</f>
        <v/>
      </c>
      <c r="AY3707" s="82" t="str">
        <f t="shared" si="2"/>
        <v/>
      </c>
      <c r="AZ3707" s="82"/>
      <c r="BA3707" s="84" t="s">
        <v>152</v>
      </c>
      <c r="BB3707" s="84" t="str">
        <f>IFERROR(__xludf.DUMMYFUNCTION("iferror(if(A3707="""",,E3707&gt;=FILTER(Constants!$F$2:$F$10,Constants!$A$2:$A$10=A3707)))"),"")</f>
        <v/>
      </c>
    </row>
    <row r="3708">
      <c r="A3708" s="89"/>
      <c r="B3708" s="87"/>
      <c r="C3708" s="73"/>
      <c r="D3708" s="73"/>
      <c r="E3708" s="82"/>
      <c r="F3708" s="82"/>
      <c r="G3708" s="86"/>
      <c r="H3708" s="86"/>
      <c r="I3708" s="86"/>
      <c r="J3708" s="82"/>
      <c r="K3708" s="82"/>
      <c r="L3708" s="82"/>
      <c r="M3708" s="82"/>
      <c r="N3708" s="82"/>
      <c r="O3708" s="82"/>
      <c r="P3708" s="82"/>
      <c r="Q3708" s="82"/>
      <c r="R3708" s="82"/>
      <c r="S3708" s="82"/>
      <c r="T3708" s="82"/>
      <c r="U3708" s="82"/>
      <c r="V3708" s="82"/>
      <c r="W3708" s="82"/>
      <c r="X3708" s="82"/>
      <c r="Y3708" s="82"/>
      <c r="Z3708" s="82"/>
      <c r="AA3708" s="82"/>
      <c r="AB3708" s="82"/>
      <c r="AC3708" s="82"/>
      <c r="AD3708" s="82"/>
      <c r="AE3708" s="82"/>
      <c r="AF3708" s="82"/>
      <c r="AG3708" s="82"/>
      <c r="AH3708" s="82"/>
      <c r="AI3708" s="82"/>
      <c r="AJ3708" s="82"/>
      <c r="AK3708" s="82"/>
      <c r="AL3708" s="82"/>
      <c r="AM3708" s="82"/>
      <c r="AN3708" s="82"/>
      <c r="AO3708" s="82"/>
      <c r="AP3708" s="82"/>
      <c r="AQ3708" s="82"/>
      <c r="AR3708" s="82"/>
      <c r="AS3708" s="82"/>
      <c r="AT3708" s="82"/>
      <c r="AU3708" s="82"/>
      <c r="AV3708" s="82"/>
      <c r="AW3708" s="82" t="str">
        <f t="shared" si="1"/>
        <v/>
      </c>
      <c r="AX3708" s="83" t="str">
        <f t="array" ref="AX3708">IFERROR(DGET('SBV Import'!A:G,"SBV",{"RSC ID","Tier";B3708,A3708}))</f>
        <v/>
      </c>
      <c r="AY3708" s="82" t="str">
        <f t="shared" si="2"/>
        <v/>
      </c>
      <c r="AZ3708" s="82"/>
      <c r="BA3708" s="84" t="s">
        <v>152</v>
      </c>
      <c r="BB3708" s="84" t="str">
        <f>IFERROR(__xludf.DUMMYFUNCTION("iferror(if(A3708="""",,E3708&gt;=FILTER(Constants!$F$2:$F$10,Constants!$A$2:$A$10=A3708)))"),"")</f>
        <v/>
      </c>
    </row>
    <row r="3709">
      <c r="A3709" s="89"/>
      <c r="B3709" s="87"/>
      <c r="C3709" s="73"/>
      <c r="D3709" s="73"/>
      <c r="E3709" s="82"/>
      <c r="F3709" s="82"/>
      <c r="G3709" s="86"/>
      <c r="H3709" s="86"/>
      <c r="I3709" s="86"/>
      <c r="J3709" s="82"/>
      <c r="K3709" s="82"/>
      <c r="L3709" s="82"/>
      <c r="M3709" s="82"/>
      <c r="N3709" s="82"/>
      <c r="O3709" s="82"/>
      <c r="P3709" s="82"/>
      <c r="Q3709" s="82"/>
      <c r="R3709" s="82"/>
      <c r="S3709" s="82"/>
      <c r="T3709" s="82"/>
      <c r="U3709" s="82"/>
      <c r="V3709" s="82"/>
      <c r="W3709" s="82"/>
      <c r="X3709" s="82"/>
      <c r="Y3709" s="82"/>
      <c r="Z3709" s="82"/>
      <c r="AA3709" s="82"/>
      <c r="AB3709" s="82"/>
      <c r="AC3709" s="82"/>
      <c r="AD3709" s="82"/>
      <c r="AE3709" s="82"/>
      <c r="AF3709" s="82"/>
      <c r="AG3709" s="82"/>
      <c r="AH3709" s="82"/>
      <c r="AI3709" s="82"/>
      <c r="AJ3709" s="82"/>
      <c r="AK3709" s="82"/>
      <c r="AL3709" s="82"/>
      <c r="AM3709" s="82"/>
      <c r="AN3709" s="82"/>
      <c r="AO3709" s="82"/>
      <c r="AP3709" s="82"/>
      <c r="AQ3709" s="82"/>
      <c r="AR3709" s="82"/>
      <c r="AS3709" s="82"/>
      <c r="AT3709" s="82"/>
      <c r="AU3709" s="82"/>
      <c r="AV3709" s="82"/>
      <c r="AW3709" s="82" t="str">
        <f t="shared" si="1"/>
        <v/>
      </c>
      <c r="AX3709" s="83" t="str">
        <f t="array" ref="AX3709">IFERROR(DGET('SBV Import'!A:G,"SBV",{"RSC ID","Tier";B3709,A3709}))</f>
        <v/>
      </c>
      <c r="AY3709" s="82" t="str">
        <f t="shared" si="2"/>
        <v/>
      </c>
      <c r="AZ3709" s="82"/>
      <c r="BA3709" s="84" t="s">
        <v>152</v>
      </c>
      <c r="BB3709" s="84" t="str">
        <f>IFERROR(__xludf.DUMMYFUNCTION("iferror(if(A3709="""",,E3709&gt;=FILTER(Constants!$F$2:$F$10,Constants!$A$2:$A$10=A3709)))"),"")</f>
        <v/>
      </c>
    </row>
    <row r="3710">
      <c r="A3710" s="89"/>
      <c r="B3710" s="87"/>
      <c r="C3710" s="73"/>
      <c r="D3710" s="73"/>
      <c r="E3710" s="82"/>
      <c r="F3710" s="82"/>
      <c r="G3710" s="86"/>
      <c r="H3710" s="86"/>
      <c r="I3710" s="86"/>
      <c r="J3710" s="82"/>
      <c r="K3710" s="82"/>
      <c r="L3710" s="82"/>
      <c r="M3710" s="82"/>
      <c r="N3710" s="82"/>
      <c r="O3710" s="82"/>
      <c r="P3710" s="82"/>
      <c r="Q3710" s="82"/>
      <c r="R3710" s="82"/>
      <c r="S3710" s="82"/>
      <c r="T3710" s="82"/>
      <c r="U3710" s="82"/>
      <c r="V3710" s="82"/>
      <c r="W3710" s="82"/>
      <c r="X3710" s="82"/>
      <c r="Y3710" s="82"/>
      <c r="Z3710" s="82"/>
      <c r="AA3710" s="82"/>
      <c r="AB3710" s="82"/>
      <c r="AC3710" s="82"/>
      <c r="AD3710" s="82"/>
      <c r="AE3710" s="82"/>
      <c r="AF3710" s="82"/>
      <c r="AG3710" s="82"/>
      <c r="AH3710" s="82"/>
      <c r="AI3710" s="82"/>
      <c r="AJ3710" s="82"/>
      <c r="AK3710" s="82"/>
      <c r="AL3710" s="82"/>
      <c r="AM3710" s="82"/>
      <c r="AN3710" s="82"/>
      <c r="AO3710" s="82"/>
      <c r="AP3710" s="82"/>
      <c r="AQ3710" s="82"/>
      <c r="AR3710" s="82"/>
      <c r="AS3710" s="82"/>
      <c r="AT3710" s="82"/>
      <c r="AU3710" s="82"/>
      <c r="AV3710" s="82"/>
      <c r="AW3710" s="82" t="str">
        <f t="shared" si="1"/>
        <v/>
      </c>
      <c r="AX3710" s="83" t="str">
        <f t="array" ref="AX3710">IFERROR(DGET('SBV Import'!A:G,"SBV",{"RSC ID","Tier";B3710,A3710}))</f>
        <v/>
      </c>
      <c r="AY3710" s="82" t="str">
        <f t="shared" si="2"/>
        <v/>
      </c>
      <c r="AZ3710" s="82"/>
      <c r="BA3710" s="84" t="s">
        <v>152</v>
      </c>
      <c r="BB3710" s="84" t="str">
        <f>IFERROR(__xludf.DUMMYFUNCTION("iferror(if(A3710="""",,E3710&gt;=FILTER(Constants!$F$2:$F$10,Constants!$A$2:$A$10=A3710)))"),"")</f>
        <v/>
      </c>
    </row>
    <row r="3711">
      <c r="A3711" s="89"/>
      <c r="B3711" s="87"/>
      <c r="C3711" s="73"/>
      <c r="D3711" s="73"/>
      <c r="E3711" s="82"/>
      <c r="F3711" s="82"/>
      <c r="G3711" s="86"/>
      <c r="H3711" s="86"/>
      <c r="I3711" s="86"/>
      <c r="J3711" s="82"/>
      <c r="K3711" s="82"/>
      <c r="L3711" s="82"/>
      <c r="M3711" s="82"/>
      <c r="N3711" s="82"/>
      <c r="O3711" s="82"/>
      <c r="P3711" s="82"/>
      <c r="Q3711" s="82"/>
      <c r="R3711" s="82"/>
      <c r="S3711" s="82"/>
      <c r="T3711" s="82"/>
      <c r="U3711" s="82"/>
      <c r="V3711" s="82"/>
      <c r="W3711" s="82"/>
      <c r="X3711" s="82"/>
      <c r="Y3711" s="82"/>
      <c r="Z3711" s="82"/>
      <c r="AA3711" s="82"/>
      <c r="AB3711" s="82"/>
      <c r="AC3711" s="82"/>
      <c r="AD3711" s="82"/>
      <c r="AE3711" s="82"/>
      <c r="AF3711" s="82"/>
      <c r="AG3711" s="82"/>
      <c r="AH3711" s="82"/>
      <c r="AI3711" s="82"/>
      <c r="AJ3711" s="82"/>
      <c r="AK3711" s="82"/>
      <c r="AL3711" s="82"/>
      <c r="AM3711" s="82"/>
      <c r="AN3711" s="82"/>
      <c r="AO3711" s="82"/>
      <c r="AP3711" s="82"/>
      <c r="AQ3711" s="82"/>
      <c r="AR3711" s="82"/>
      <c r="AS3711" s="82"/>
      <c r="AT3711" s="82"/>
      <c r="AU3711" s="82"/>
      <c r="AV3711" s="82"/>
      <c r="AW3711" s="82" t="str">
        <f t="shared" si="1"/>
        <v/>
      </c>
      <c r="AX3711" s="83" t="str">
        <f t="array" ref="AX3711">IFERROR(DGET('SBV Import'!A:G,"SBV",{"RSC ID","Tier";B3711,A3711}))</f>
        <v/>
      </c>
      <c r="AY3711" s="82" t="str">
        <f t="shared" si="2"/>
        <v/>
      </c>
      <c r="AZ3711" s="82"/>
      <c r="BA3711" s="84" t="s">
        <v>152</v>
      </c>
      <c r="BB3711" s="84" t="str">
        <f>IFERROR(__xludf.DUMMYFUNCTION("iferror(if(A3711="""",,E3711&gt;=FILTER(Constants!$F$2:$F$10,Constants!$A$2:$A$10=A3711)))"),"")</f>
        <v/>
      </c>
    </row>
    <row r="3712">
      <c r="A3712" s="89"/>
      <c r="B3712" s="87"/>
      <c r="C3712" s="73"/>
      <c r="D3712" s="73"/>
      <c r="E3712" s="82"/>
      <c r="F3712" s="82"/>
      <c r="G3712" s="86"/>
      <c r="H3712" s="86"/>
      <c r="I3712" s="86"/>
      <c r="J3712" s="82"/>
      <c r="K3712" s="82"/>
      <c r="L3712" s="82"/>
      <c r="M3712" s="82"/>
      <c r="N3712" s="82"/>
      <c r="O3712" s="82"/>
      <c r="P3712" s="82"/>
      <c r="Q3712" s="82"/>
      <c r="R3712" s="82"/>
      <c r="S3712" s="82"/>
      <c r="T3712" s="82"/>
      <c r="U3712" s="82"/>
      <c r="V3712" s="82"/>
      <c r="W3712" s="82"/>
      <c r="X3712" s="82"/>
      <c r="Y3712" s="82"/>
      <c r="Z3712" s="82"/>
      <c r="AA3712" s="82"/>
      <c r="AB3712" s="82"/>
      <c r="AC3712" s="82"/>
      <c r="AD3712" s="82"/>
      <c r="AE3712" s="82"/>
      <c r="AF3712" s="82"/>
      <c r="AG3712" s="82"/>
      <c r="AH3712" s="82"/>
      <c r="AI3712" s="82"/>
      <c r="AJ3712" s="82"/>
      <c r="AK3712" s="82"/>
      <c r="AL3712" s="82"/>
      <c r="AM3712" s="82"/>
      <c r="AN3712" s="82"/>
      <c r="AO3712" s="82"/>
      <c r="AP3712" s="82"/>
      <c r="AQ3712" s="82"/>
      <c r="AR3712" s="82"/>
      <c r="AS3712" s="82"/>
      <c r="AT3712" s="82"/>
      <c r="AU3712" s="82"/>
      <c r="AV3712" s="82"/>
      <c r="AW3712" s="82" t="str">
        <f t="shared" si="1"/>
        <v/>
      </c>
      <c r="AX3712" s="83" t="str">
        <f t="array" ref="AX3712">IFERROR(DGET('SBV Import'!A:G,"SBV",{"RSC ID","Tier";B3712,A3712}))</f>
        <v/>
      </c>
      <c r="AY3712" s="82" t="str">
        <f t="shared" si="2"/>
        <v/>
      </c>
      <c r="AZ3712" s="82"/>
      <c r="BA3712" s="84" t="s">
        <v>152</v>
      </c>
      <c r="BB3712" s="84" t="str">
        <f>IFERROR(__xludf.DUMMYFUNCTION("iferror(if(A3712="""",,E3712&gt;=FILTER(Constants!$F$2:$F$10,Constants!$A$2:$A$10=A3712)))"),"")</f>
        <v/>
      </c>
    </row>
    <row r="3713">
      <c r="A3713" s="89"/>
      <c r="B3713" s="87"/>
      <c r="C3713" s="73"/>
      <c r="D3713" s="73"/>
      <c r="E3713" s="82"/>
      <c r="F3713" s="82"/>
      <c r="G3713" s="86"/>
      <c r="H3713" s="86"/>
      <c r="I3713" s="86"/>
      <c r="J3713" s="82"/>
      <c r="K3713" s="82"/>
      <c r="L3713" s="82"/>
      <c r="M3713" s="82"/>
      <c r="N3713" s="82"/>
      <c r="O3713" s="82"/>
      <c r="P3713" s="82"/>
      <c r="Q3713" s="82"/>
      <c r="R3713" s="82"/>
      <c r="S3713" s="82"/>
      <c r="T3713" s="82"/>
      <c r="U3713" s="82"/>
      <c r="V3713" s="82"/>
      <c r="W3713" s="82"/>
      <c r="X3713" s="82"/>
      <c r="Y3713" s="82"/>
      <c r="Z3713" s="82"/>
      <c r="AA3713" s="82"/>
      <c r="AB3713" s="82"/>
      <c r="AC3713" s="82"/>
      <c r="AD3713" s="82"/>
      <c r="AE3713" s="82"/>
      <c r="AF3713" s="82"/>
      <c r="AG3713" s="82"/>
      <c r="AH3713" s="82"/>
      <c r="AI3713" s="82"/>
      <c r="AJ3713" s="82"/>
      <c r="AK3713" s="82"/>
      <c r="AL3713" s="82"/>
      <c r="AM3713" s="82"/>
      <c r="AN3713" s="82"/>
      <c r="AO3713" s="82"/>
      <c r="AP3713" s="82"/>
      <c r="AQ3713" s="82"/>
      <c r="AR3713" s="82"/>
      <c r="AS3713" s="82"/>
      <c r="AT3713" s="82"/>
      <c r="AU3713" s="82"/>
      <c r="AV3713" s="82"/>
      <c r="AW3713" s="82" t="str">
        <f t="shared" si="1"/>
        <v/>
      </c>
      <c r="AX3713" s="83" t="str">
        <f t="array" ref="AX3713">IFERROR(DGET('SBV Import'!A:G,"SBV",{"RSC ID","Tier";B3713,A3713}))</f>
        <v/>
      </c>
      <c r="AY3713" s="82" t="str">
        <f t="shared" si="2"/>
        <v/>
      </c>
      <c r="AZ3713" s="82"/>
      <c r="BA3713" s="84" t="s">
        <v>152</v>
      </c>
      <c r="BB3713" s="84" t="str">
        <f>IFERROR(__xludf.DUMMYFUNCTION("iferror(if(A3713="""",,E3713&gt;=FILTER(Constants!$F$2:$F$10,Constants!$A$2:$A$10=A3713)))"),"")</f>
        <v/>
      </c>
    </row>
    <row r="3714">
      <c r="A3714" s="89"/>
      <c r="B3714" s="87"/>
      <c r="C3714" s="73"/>
      <c r="D3714" s="73"/>
      <c r="E3714" s="82"/>
      <c r="F3714" s="82"/>
      <c r="G3714" s="86"/>
      <c r="H3714" s="86"/>
      <c r="I3714" s="86"/>
      <c r="J3714" s="82"/>
      <c r="K3714" s="82"/>
      <c r="L3714" s="82"/>
      <c r="M3714" s="82"/>
      <c r="N3714" s="82"/>
      <c r="O3714" s="82"/>
      <c r="P3714" s="82"/>
      <c r="Q3714" s="82"/>
      <c r="R3714" s="82"/>
      <c r="S3714" s="82"/>
      <c r="T3714" s="82"/>
      <c r="U3714" s="82"/>
      <c r="V3714" s="82"/>
      <c r="W3714" s="82"/>
      <c r="X3714" s="82"/>
      <c r="Y3714" s="82"/>
      <c r="Z3714" s="82"/>
      <c r="AA3714" s="82"/>
      <c r="AB3714" s="82"/>
      <c r="AC3714" s="82"/>
      <c r="AD3714" s="82"/>
      <c r="AE3714" s="82"/>
      <c r="AF3714" s="82"/>
      <c r="AG3714" s="82"/>
      <c r="AH3714" s="82"/>
      <c r="AI3714" s="82"/>
      <c r="AJ3714" s="82"/>
      <c r="AK3714" s="82"/>
      <c r="AL3714" s="82"/>
      <c r="AM3714" s="82"/>
      <c r="AN3714" s="82"/>
      <c r="AO3714" s="82"/>
      <c r="AP3714" s="82"/>
      <c r="AQ3714" s="82"/>
      <c r="AR3714" s="82"/>
      <c r="AS3714" s="82"/>
      <c r="AT3714" s="82"/>
      <c r="AU3714" s="82"/>
      <c r="AV3714" s="82"/>
      <c r="AW3714" s="82" t="str">
        <f t="shared" si="1"/>
        <v/>
      </c>
      <c r="AX3714" s="83" t="str">
        <f t="array" ref="AX3714">IFERROR(DGET('SBV Import'!A:G,"SBV",{"RSC ID","Tier";B3714,A3714}))</f>
        <v/>
      </c>
      <c r="AY3714" s="82" t="str">
        <f t="shared" si="2"/>
        <v/>
      </c>
      <c r="AZ3714" s="82"/>
      <c r="BA3714" s="84" t="s">
        <v>152</v>
      </c>
      <c r="BB3714" s="84" t="str">
        <f>IFERROR(__xludf.DUMMYFUNCTION("iferror(if(A3714="""",,E3714&gt;=FILTER(Constants!$F$2:$F$10,Constants!$A$2:$A$10=A3714)))"),"")</f>
        <v/>
      </c>
    </row>
    <row r="3715">
      <c r="A3715" s="89"/>
      <c r="B3715" s="87"/>
      <c r="C3715" s="73"/>
      <c r="D3715" s="73"/>
      <c r="E3715" s="82"/>
      <c r="F3715" s="82"/>
      <c r="G3715" s="86"/>
      <c r="H3715" s="86"/>
      <c r="I3715" s="86"/>
      <c r="J3715" s="82"/>
      <c r="K3715" s="82"/>
      <c r="L3715" s="82"/>
      <c r="M3715" s="82"/>
      <c r="N3715" s="82"/>
      <c r="O3715" s="82"/>
      <c r="P3715" s="82"/>
      <c r="Q3715" s="82"/>
      <c r="R3715" s="82"/>
      <c r="S3715" s="82"/>
      <c r="T3715" s="82"/>
      <c r="U3715" s="82"/>
      <c r="V3715" s="82"/>
      <c r="W3715" s="82"/>
      <c r="X3715" s="82"/>
      <c r="Y3715" s="82"/>
      <c r="Z3715" s="82"/>
      <c r="AA3715" s="82"/>
      <c r="AB3715" s="82"/>
      <c r="AC3715" s="82"/>
      <c r="AD3715" s="82"/>
      <c r="AE3715" s="82"/>
      <c r="AF3715" s="82"/>
      <c r="AG3715" s="82"/>
      <c r="AH3715" s="82"/>
      <c r="AI3715" s="82"/>
      <c r="AJ3715" s="82"/>
      <c r="AK3715" s="82"/>
      <c r="AL3715" s="82"/>
      <c r="AM3715" s="82"/>
      <c r="AN3715" s="82"/>
      <c r="AO3715" s="82"/>
      <c r="AP3715" s="82"/>
      <c r="AQ3715" s="82"/>
      <c r="AR3715" s="82"/>
      <c r="AS3715" s="82"/>
      <c r="AT3715" s="82"/>
      <c r="AU3715" s="82"/>
      <c r="AV3715" s="82"/>
      <c r="AW3715" s="82" t="str">
        <f t="shared" si="1"/>
        <v/>
      </c>
      <c r="AX3715" s="83" t="str">
        <f t="array" ref="AX3715">IFERROR(DGET('SBV Import'!A:G,"SBV",{"RSC ID","Tier";B3715,A3715}))</f>
        <v/>
      </c>
      <c r="AY3715" s="82" t="str">
        <f t="shared" si="2"/>
        <v/>
      </c>
      <c r="AZ3715" s="82"/>
      <c r="BA3715" s="84" t="s">
        <v>152</v>
      </c>
      <c r="BB3715" s="84" t="str">
        <f>IFERROR(__xludf.DUMMYFUNCTION("iferror(if(A3715="""",,E3715&gt;=FILTER(Constants!$F$2:$F$10,Constants!$A$2:$A$10=A3715)))"),"")</f>
        <v/>
      </c>
    </row>
    <row r="3716">
      <c r="A3716" s="89"/>
      <c r="B3716" s="87"/>
      <c r="C3716" s="73"/>
      <c r="D3716" s="73"/>
      <c r="E3716" s="82"/>
      <c r="F3716" s="82"/>
      <c r="G3716" s="86"/>
      <c r="H3716" s="86"/>
      <c r="I3716" s="86"/>
      <c r="J3716" s="82"/>
      <c r="K3716" s="82"/>
      <c r="L3716" s="82"/>
      <c r="M3716" s="82"/>
      <c r="N3716" s="82"/>
      <c r="O3716" s="82"/>
      <c r="P3716" s="82"/>
      <c r="Q3716" s="82"/>
      <c r="R3716" s="82"/>
      <c r="S3716" s="82"/>
      <c r="T3716" s="82"/>
      <c r="U3716" s="82"/>
      <c r="V3716" s="82"/>
      <c r="W3716" s="82"/>
      <c r="X3716" s="82"/>
      <c r="Y3716" s="82"/>
      <c r="Z3716" s="82"/>
      <c r="AA3716" s="82"/>
      <c r="AB3716" s="82"/>
      <c r="AC3716" s="82"/>
      <c r="AD3716" s="82"/>
      <c r="AE3716" s="82"/>
      <c r="AF3716" s="82"/>
      <c r="AG3716" s="82"/>
      <c r="AH3716" s="82"/>
      <c r="AI3716" s="82"/>
      <c r="AJ3716" s="82"/>
      <c r="AK3716" s="82"/>
      <c r="AL3716" s="82"/>
      <c r="AM3716" s="82"/>
      <c r="AN3716" s="82"/>
      <c r="AO3716" s="82"/>
      <c r="AP3716" s="82"/>
      <c r="AQ3716" s="82"/>
      <c r="AR3716" s="82"/>
      <c r="AS3716" s="82"/>
      <c r="AT3716" s="82"/>
      <c r="AU3716" s="82"/>
      <c r="AV3716" s="82"/>
      <c r="AW3716" s="82" t="str">
        <f t="shared" si="1"/>
        <v/>
      </c>
      <c r="AX3716" s="83" t="str">
        <f t="array" ref="AX3716">IFERROR(DGET('SBV Import'!A:G,"SBV",{"RSC ID","Tier";B3716,A3716}))</f>
        <v/>
      </c>
      <c r="AY3716" s="82" t="str">
        <f t="shared" si="2"/>
        <v/>
      </c>
      <c r="AZ3716" s="82"/>
      <c r="BA3716" s="84" t="s">
        <v>152</v>
      </c>
      <c r="BB3716" s="84" t="str">
        <f>IFERROR(__xludf.DUMMYFUNCTION("iferror(if(A3716="""",,E3716&gt;=FILTER(Constants!$F$2:$F$10,Constants!$A$2:$A$10=A3716)))"),"")</f>
        <v/>
      </c>
    </row>
    <row r="3717">
      <c r="A3717" s="89"/>
      <c r="B3717" s="87"/>
      <c r="C3717" s="73"/>
      <c r="D3717" s="73"/>
      <c r="E3717" s="82"/>
      <c r="F3717" s="82"/>
      <c r="G3717" s="86"/>
      <c r="H3717" s="86"/>
      <c r="I3717" s="86"/>
      <c r="J3717" s="82"/>
      <c r="K3717" s="82"/>
      <c r="L3717" s="82"/>
      <c r="M3717" s="82"/>
      <c r="N3717" s="82"/>
      <c r="O3717" s="82"/>
      <c r="P3717" s="82"/>
      <c r="Q3717" s="82"/>
      <c r="R3717" s="82"/>
      <c r="S3717" s="82"/>
      <c r="T3717" s="82"/>
      <c r="U3717" s="82"/>
      <c r="V3717" s="82"/>
      <c r="W3717" s="82"/>
      <c r="X3717" s="82"/>
      <c r="Y3717" s="82"/>
      <c r="Z3717" s="82"/>
      <c r="AA3717" s="82"/>
      <c r="AB3717" s="82"/>
      <c r="AC3717" s="82"/>
      <c r="AD3717" s="82"/>
      <c r="AE3717" s="82"/>
      <c r="AF3717" s="82"/>
      <c r="AG3717" s="82"/>
      <c r="AH3717" s="82"/>
      <c r="AI3717" s="82"/>
      <c r="AJ3717" s="82"/>
      <c r="AK3717" s="82"/>
      <c r="AL3717" s="82"/>
      <c r="AM3717" s="82"/>
      <c r="AN3717" s="82"/>
      <c r="AO3717" s="82"/>
      <c r="AP3717" s="82"/>
      <c r="AQ3717" s="82"/>
      <c r="AR3717" s="82"/>
      <c r="AS3717" s="82"/>
      <c r="AT3717" s="82"/>
      <c r="AU3717" s="82"/>
      <c r="AV3717" s="82"/>
      <c r="AW3717" s="82" t="str">
        <f t="shared" si="1"/>
        <v/>
      </c>
      <c r="AX3717" s="83" t="str">
        <f t="array" ref="AX3717">IFERROR(DGET('SBV Import'!A:G,"SBV",{"RSC ID","Tier";B3717,A3717}))</f>
        <v/>
      </c>
      <c r="AY3717" s="82" t="str">
        <f t="shared" si="2"/>
        <v/>
      </c>
      <c r="AZ3717" s="82"/>
      <c r="BA3717" s="84" t="s">
        <v>152</v>
      </c>
      <c r="BB3717" s="84" t="str">
        <f>IFERROR(__xludf.DUMMYFUNCTION("iferror(if(A3717="""",,E3717&gt;=FILTER(Constants!$F$2:$F$10,Constants!$A$2:$A$10=A3717)))"),"")</f>
        <v/>
      </c>
    </row>
    <row r="3718">
      <c r="A3718" s="89"/>
      <c r="B3718" s="87"/>
      <c r="C3718" s="73"/>
      <c r="D3718" s="73"/>
      <c r="E3718" s="82"/>
      <c r="F3718" s="82"/>
      <c r="G3718" s="86"/>
      <c r="H3718" s="86"/>
      <c r="I3718" s="86"/>
      <c r="J3718" s="82"/>
      <c r="K3718" s="82"/>
      <c r="L3718" s="82"/>
      <c r="M3718" s="82"/>
      <c r="N3718" s="82"/>
      <c r="O3718" s="82"/>
      <c r="P3718" s="82"/>
      <c r="Q3718" s="82"/>
      <c r="R3718" s="82"/>
      <c r="S3718" s="82"/>
      <c r="T3718" s="82"/>
      <c r="U3718" s="82"/>
      <c r="V3718" s="82"/>
      <c r="W3718" s="82"/>
      <c r="X3718" s="82"/>
      <c r="Y3718" s="82"/>
      <c r="Z3718" s="82"/>
      <c r="AA3718" s="82"/>
      <c r="AB3718" s="82"/>
      <c r="AC3718" s="82"/>
      <c r="AD3718" s="82"/>
      <c r="AE3718" s="82"/>
      <c r="AF3718" s="82"/>
      <c r="AG3718" s="82"/>
      <c r="AH3718" s="82"/>
      <c r="AI3718" s="82"/>
      <c r="AJ3718" s="82"/>
      <c r="AK3718" s="82"/>
      <c r="AL3718" s="82"/>
      <c r="AM3718" s="82"/>
      <c r="AN3718" s="82"/>
      <c r="AO3718" s="82"/>
      <c r="AP3718" s="82"/>
      <c r="AQ3718" s="82"/>
      <c r="AR3718" s="82"/>
      <c r="AS3718" s="82"/>
      <c r="AT3718" s="82"/>
      <c r="AU3718" s="82"/>
      <c r="AV3718" s="82"/>
      <c r="AW3718" s="82" t="str">
        <f t="shared" si="1"/>
        <v/>
      </c>
      <c r="AX3718" s="83" t="str">
        <f t="array" ref="AX3718">IFERROR(DGET('SBV Import'!A:G,"SBV",{"RSC ID","Tier";B3718,A3718}))</f>
        <v/>
      </c>
      <c r="AY3718" s="82" t="str">
        <f t="shared" si="2"/>
        <v/>
      </c>
      <c r="AZ3718" s="82"/>
      <c r="BA3718" s="84" t="s">
        <v>152</v>
      </c>
      <c r="BB3718" s="84" t="str">
        <f>IFERROR(__xludf.DUMMYFUNCTION("iferror(if(A3718="""",,E3718&gt;=FILTER(Constants!$F$2:$F$10,Constants!$A$2:$A$10=A3718)))"),"")</f>
        <v/>
      </c>
    </row>
    <row r="3719">
      <c r="A3719" s="89"/>
      <c r="B3719" s="87"/>
      <c r="C3719" s="73"/>
      <c r="D3719" s="73"/>
      <c r="E3719" s="82"/>
      <c r="F3719" s="82"/>
      <c r="G3719" s="86"/>
      <c r="H3719" s="86"/>
      <c r="I3719" s="86"/>
      <c r="J3719" s="82"/>
      <c r="K3719" s="82"/>
      <c r="L3719" s="82"/>
      <c r="M3719" s="82"/>
      <c r="N3719" s="82"/>
      <c r="O3719" s="82"/>
      <c r="P3719" s="82"/>
      <c r="Q3719" s="82"/>
      <c r="R3719" s="82"/>
      <c r="S3719" s="82"/>
      <c r="T3719" s="82"/>
      <c r="U3719" s="82"/>
      <c r="V3719" s="82"/>
      <c r="W3719" s="82"/>
      <c r="X3719" s="82"/>
      <c r="Y3719" s="82"/>
      <c r="Z3719" s="82"/>
      <c r="AA3719" s="82"/>
      <c r="AB3719" s="82"/>
      <c r="AC3719" s="82"/>
      <c r="AD3719" s="82"/>
      <c r="AE3719" s="82"/>
      <c r="AF3719" s="82"/>
      <c r="AG3719" s="82"/>
      <c r="AH3719" s="82"/>
      <c r="AI3719" s="82"/>
      <c r="AJ3719" s="82"/>
      <c r="AK3719" s="82"/>
      <c r="AL3719" s="82"/>
      <c r="AM3719" s="82"/>
      <c r="AN3719" s="82"/>
      <c r="AO3719" s="82"/>
      <c r="AP3719" s="82"/>
      <c r="AQ3719" s="82"/>
      <c r="AR3719" s="82"/>
      <c r="AS3719" s="82"/>
      <c r="AT3719" s="82"/>
      <c r="AU3719" s="82"/>
      <c r="AV3719" s="82"/>
      <c r="AW3719" s="82" t="str">
        <f t="shared" si="1"/>
        <v/>
      </c>
      <c r="AX3719" s="83" t="str">
        <f t="array" ref="AX3719">IFERROR(DGET('SBV Import'!A:G,"SBV",{"RSC ID","Tier";B3719,A3719}))</f>
        <v/>
      </c>
      <c r="AY3719" s="82" t="str">
        <f t="shared" si="2"/>
        <v/>
      </c>
      <c r="AZ3719" s="82"/>
      <c r="BA3719" s="84" t="s">
        <v>152</v>
      </c>
      <c r="BB3719" s="84" t="str">
        <f>IFERROR(__xludf.DUMMYFUNCTION("iferror(if(A3719="""",,E3719&gt;=FILTER(Constants!$F$2:$F$10,Constants!$A$2:$A$10=A3719)))"),"")</f>
        <v/>
      </c>
    </row>
    <row r="3720">
      <c r="A3720" s="89"/>
      <c r="B3720" s="87"/>
      <c r="C3720" s="73"/>
      <c r="D3720" s="73"/>
      <c r="E3720" s="82"/>
      <c r="F3720" s="82"/>
      <c r="G3720" s="86"/>
      <c r="H3720" s="86"/>
      <c r="I3720" s="86"/>
      <c r="J3720" s="82"/>
      <c r="K3720" s="82"/>
      <c r="L3720" s="82"/>
      <c r="M3720" s="82"/>
      <c r="N3720" s="82"/>
      <c r="O3720" s="82"/>
      <c r="P3720" s="82"/>
      <c r="Q3720" s="82"/>
      <c r="R3720" s="82"/>
      <c r="S3720" s="82"/>
      <c r="T3720" s="82"/>
      <c r="U3720" s="82"/>
      <c r="V3720" s="82"/>
      <c r="W3720" s="82"/>
      <c r="X3720" s="82"/>
      <c r="Y3720" s="82"/>
      <c r="Z3720" s="82"/>
      <c r="AA3720" s="82"/>
      <c r="AB3720" s="82"/>
      <c r="AC3720" s="82"/>
      <c r="AD3720" s="82"/>
      <c r="AE3720" s="82"/>
      <c r="AF3720" s="82"/>
      <c r="AG3720" s="82"/>
      <c r="AH3720" s="82"/>
      <c r="AI3720" s="82"/>
      <c r="AJ3720" s="82"/>
      <c r="AK3720" s="82"/>
      <c r="AL3720" s="82"/>
      <c r="AM3720" s="82"/>
      <c r="AN3720" s="82"/>
      <c r="AO3720" s="82"/>
      <c r="AP3720" s="82"/>
      <c r="AQ3720" s="82"/>
      <c r="AR3720" s="82"/>
      <c r="AS3720" s="82"/>
      <c r="AT3720" s="82"/>
      <c r="AU3720" s="82"/>
      <c r="AV3720" s="82"/>
      <c r="AW3720" s="82" t="str">
        <f t="shared" si="1"/>
        <v/>
      </c>
      <c r="AX3720" s="83" t="str">
        <f t="array" ref="AX3720">IFERROR(DGET('SBV Import'!A:G,"SBV",{"RSC ID","Tier";B3720,A3720}))</f>
        <v/>
      </c>
      <c r="AY3720" s="82" t="str">
        <f t="shared" si="2"/>
        <v/>
      </c>
      <c r="AZ3720" s="82"/>
      <c r="BA3720" s="84" t="s">
        <v>152</v>
      </c>
      <c r="BB3720" s="84" t="str">
        <f>IFERROR(__xludf.DUMMYFUNCTION("iferror(if(A3720="""",,E3720&gt;=FILTER(Constants!$F$2:$F$10,Constants!$A$2:$A$10=A3720)))"),"")</f>
        <v/>
      </c>
    </row>
    <row r="3721">
      <c r="A3721" s="89"/>
      <c r="B3721" s="87"/>
      <c r="C3721" s="73"/>
      <c r="D3721" s="73"/>
      <c r="E3721" s="82"/>
      <c r="F3721" s="82"/>
      <c r="G3721" s="86"/>
      <c r="H3721" s="86"/>
      <c r="I3721" s="86"/>
      <c r="J3721" s="82"/>
      <c r="K3721" s="82"/>
      <c r="L3721" s="82"/>
      <c r="M3721" s="82"/>
      <c r="N3721" s="82"/>
      <c r="O3721" s="82"/>
      <c r="P3721" s="82"/>
      <c r="Q3721" s="82"/>
      <c r="R3721" s="82"/>
      <c r="S3721" s="82"/>
      <c r="T3721" s="82"/>
      <c r="U3721" s="82"/>
      <c r="V3721" s="82"/>
      <c r="W3721" s="82"/>
      <c r="X3721" s="82"/>
      <c r="Y3721" s="82"/>
      <c r="Z3721" s="82"/>
      <c r="AA3721" s="82"/>
      <c r="AB3721" s="82"/>
      <c r="AC3721" s="82"/>
      <c r="AD3721" s="82"/>
      <c r="AE3721" s="82"/>
      <c r="AF3721" s="82"/>
      <c r="AG3721" s="82"/>
      <c r="AH3721" s="82"/>
      <c r="AI3721" s="82"/>
      <c r="AJ3721" s="82"/>
      <c r="AK3721" s="82"/>
      <c r="AL3721" s="82"/>
      <c r="AM3721" s="82"/>
      <c r="AN3721" s="82"/>
      <c r="AO3721" s="82"/>
      <c r="AP3721" s="82"/>
      <c r="AQ3721" s="82"/>
      <c r="AR3721" s="82"/>
      <c r="AS3721" s="82"/>
      <c r="AT3721" s="82"/>
      <c r="AU3721" s="82"/>
      <c r="AV3721" s="82"/>
      <c r="AW3721" s="82" t="str">
        <f t="shared" si="1"/>
        <v/>
      </c>
      <c r="AX3721" s="83" t="str">
        <f t="array" ref="AX3721">IFERROR(DGET('SBV Import'!A:G,"SBV",{"RSC ID","Tier";B3721,A3721}))</f>
        <v/>
      </c>
      <c r="AY3721" s="82" t="str">
        <f t="shared" si="2"/>
        <v/>
      </c>
      <c r="AZ3721" s="82"/>
      <c r="BA3721" s="84" t="s">
        <v>152</v>
      </c>
      <c r="BB3721" s="84" t="str">
        <f>IFERROR(__xludf.DUMMYFUNCTION("iferror(if(A3721="""",,E3721&gt;=FILTER(Constants!$F$2:$F$10,Constants!$A$2:$A$10=A3721)))"),"")</f>
        <v/>
      </c>
    </row>
    <row r="3722">
      <c r="A3722" s="89"/>
      <c r="B3722" s="87"/>
      <c r="C3722" s="73"/>
      <c r="D3722" s="73"/>
      <c r="E3722" s="82"/>
      <c r="F3722" s="82"/>
      <c r="G3722" s="86"/>
      <c r="H3722" s="86"/>
      <c r="I3722" s="86"/>
      <c r="J3722" s="82"/>
      <c r="K3722" s="82"/>
      <c r="L3722" s="82"/>
      <c r="M3722" s="82"/>
      <c r="N3722" s="82"/>
      <c r="O3722" s="82"/>
      <c r="P3722" s="82"/>
      <c r="Q3722" s="82"/>
      <c r="R3722" s="82"/>
      <c r="S3722" s="82"/>
      <c r="T3722" s="82"/>
      <c r="U3722" s="82"/>
      <c r="V3722" s="82"/>
      <c r="W3722" s="82"/>
      <c r="X3722" s="82"/>
      <c r="Y3722" s="82"/>
      <c r="Z3722" s="82"/>
      <c r="AA3722" s="82"/>
      <c r="AB3722" s="82"/>
      <c r="AC3722" s="82"/>
      <c r="AD3722" s="82"/>
      <c r="AE3722" s="82"/>
      <c r="AF3722" s="82"/>
      <c r="AG3722" s="82"/>
      <c r="AH3722" s="82"/>
      <c r="AI3722" s="82"/>
      <c r="AJ3722" s="82"/>
      <c r="AK3722" s="82"/>
      <c r="AL3722" s="82"/>
      <c r="AM3722" s="82"/>
      <c r="AN3722" s="82"/>
      <c r="AO3722" s="82"/>
      <c r="AP3722" s="82"/>
      <c r="AQ3722" s="82"/>
      <c r="AR3722" s="82"/>
      <c r="AS3722" s="82"/>
      <c r="AT3722" s="82"/>
      <c r="AU3722" s="82"/>
      <c r="AV3722" s="82"/>
      <c r="AW3722" s="82" t="str">
        <f t="shared" si="1"/>
        <v/>
      </c>
      <c r="AX3722" s="83" t="str">
        <f t="array" ref="AX3722">IFERROR(DGET('SBV Import'!A:G,"SBV",{"RSC ID","Tier";B3722,A3722}))</f>
        <v/>
      </c>
      <c r="AY3722" s="82" t="str">
        <f t="shared" si="2"/>
        <v/>
      </c>
      <c r="AZ3722" s="82"/>
      <c r="BA3722" s="84" t="s">
        <v>152</v>
      </c>
      <c r="BB3722" s="84" t="str">
        <f>IFERROR(__xludf.DUMMYFUNCTION("iferror(if(A3722="""",,E3722&gt;=FILTER(Constants!$F$2:$F$10,Constants!$A$2:$A$10=A3722)))"),"")</f>
        <v/>
      </c>
    </row>
    <row r="3723">
      <c r="A3723" s="89"/>
      <c r="B3723" s="87"/>
      <c r="C3723" s="73"/>
      <c r="D3723" s="73"/>
      <c r="E3723" s="82"/>
      <c r="F3723" s="82"/>
      <c r="G3723" s="86"/>
      <c r="H3723" s="86"/>
      <c r="I3723" s="86"/>
      <c r="J3723" s="82"/>
      <c r="K3723" s="82"/>
      <c r="L3723" s="82"/>
      <c r="M3723" s="82"/>
      <c r="N3723" s="82"/>
      <c r="O3723" s="82"/>
      <c r="P3723" s="82"/>
      <c r="Q3723" s="82"/>
      <c r="R3723" s="82"/>
      <c r="S3723" s="82"/>
      <c r="T3723" s="82"/>
      <c r="U3723" s="82"/>
      <c r="V3723" s="82"/>
      <c r="W3723" s="82"/>
      <c r="X3723" s="82"/>
      <c r="Y3723" s="82"/>
      <c r="Z3723" s="82"/>
      <c r="AA3723" s="82"/>
      <c r="AB3723" s="82"/>
      <c r="AC3723" s="82"/>
      <c r="AD3723" s="82"/>
      <c r="AE3723" s="82"/>
      <c r="AF3723" s="82"/>
      <c r="AG3723" s="82"/>
      <c r="AH3723" s="82"/>
      <c r="AI3723" s="82"/>
      <c r="AJ3723" s="82"/>
      <c r="AK3723" s="82"/>
      <c r="AL3723" s="82"/>
      <c r="AM3723" s="82"/>
      <c r="AN3723" s="82"/>
      <c r="AO3723" s="82"/>
      <c r="AP3723" s="82"/>
      <c r="AQ3723" s="82"/>
      <c r="AR3723" s="82"/>
      <c r="AS3723" s="82"/>
      <c r="AT3723" s="82"/>
      <c r="AU3723" s="82"/>
      <c r="AV3723" s="82"/>
      <c r="AW3723" s="82" t="str">
        <f t="shared" si="1"/>
        <v/>
      </c>
      <c r="AX3723" s="83" t="str">
        <f t="array" ref="AX3723">IFERROR(DGET('SBV Import'!A:G,"SBV",{"RSC ID","Tier";B3723,A3723}))</f>
        <v/>
      </c>
      <c r="AY3723" s="82" t="str">
        <f t="shared" si="2"/>
        <v/>
      </c>
      <c r="AZ3723" s="82"/>
      <c r="BA3723" s="84" t="s">
        <v>152</v>
      </c>
      <c r="BB3723" s="84" t="str">
        <f>IFERROR(__xludf.DUMMYFUNCTION("iferror(if(A3723="""",,E3723&gt;=FILTER(Constants!$F$2:$F$10,Constants!$A$2:$A$10=A3723)))"),"")</f>
        <v/>
      </c>
    </row>
    <row r="3724">
      <c r="A3724" s="89"/>
      <c r="B3724" s="87"/>
      <c r="C3724" s="73"/>
      <c r="D3724" s="73"/>
      <c r="E3724" s="82"/>
      <c r="F3724" s="82"/>
      <c r="G3724" s="86"/>
      <c r="H3724" s="86"/>
      <c r="I3724" s="86"/>
      <c r="J3724" s="82"/>
      <c r="K3724" s="82"/>
      <c r="L3724" s="82"/>
      <c r="M3724" s="82"/>
      <c r="N3724" s="82"/>
      <c r="O3724" s="82"/>
      <c r="P3724" s="82"/>
      <c r="Q3724" s="82"/>
      <c r="R3724" s="82"/>
      <c r="S3724" s="82"/>
      <c r="T3724" s="82"/>
      <c r="U3724" s="82"/>
      <c r="V3724" s="82"/>
      <c r="W3724" s="82"/>
      <c r="X3724" s="82"/>
      <c r="Y3724" s="82"/>
      <c r="Z3724" s="82"/>
      <c r="AA3724" s="82"/>
      <c r="AB3724" s="82"/>
      <c r="AC3724" s="82"/>
      <c r="AD3724" s="82"/>
      <c r="AE3724" s="82"/>
      <c r="AF3724" s="82"/>
      <c r="AG3724" s="82"/>
      <c r="AH3724" s="82"/>
      <c r="AI3724" s="82"/>
      <c r="AJ3724" s="82"/>
      <c r="AK3724" s="82"/>
      <c r="AL3724" s="82"/>
      <c r="AM3724" s="82"/>
      <c r="AN3724" s="82"/>
      <c r="AO3724" s="82"/>
      <c r="AP3724" s="82"/>
      <c r="AQ3724" s="82"/>
      <c r="AR3724" s="82"/>
      <c r="AS3724" s="82"/>
      <c r="AT3724" s="82"/>
      <c r="AU3724" s="82"/>
      <c r="AV3724" s="82"/>
      <c r="AW3724" s="82" t="str">
        <f t="shared" si="1"/>
        <v/>
      </c>
      <c r="AX3724" s="83" t="str">
        <f t="array" ref="AX3724">IFERROR(DGET('SBV Import'!A:G,"SBV",{"RSC ID","Tier";B3724,A3724}))</f>
        <v/>
      </c>
      <c r="AY3724" s="82" t="str">
        <f t="shared" si="2"/>
        <v/>
      </c>
      <c r="AZ3724" s="82"/>
      <c r="BA3724" s="84" t="s">
        <v>152</v>
      </c>
      <c r="BB3724" s="84" t="str">
        <f>IFERROR(__xludf.DUMMYFUNCTION("iferror(if(A3724="""",,E3724&gt;=FILTER(Constants!$F$2:$F$10,Constants!$A$2:$A$10=A3724)))"),"")</f>
        <v/>
      </c>
    </row>
    <row r="3725">
      <c r="A3725" s="89"/>
      <c r="B3725" s="87"/>
      <c r="C3725" s="73"/>
      <c r="D3725" s="73"/>
      <c r="E3725" s="82"/>
      <c r="F3725" s="82"/>
      <c r="G3725" s="86"/>
      <c r="H3725" s="86"/>
      <c r="I3725" s="86"/>
      <c r="J3725" s="82"/>
      <c r="K3725" s="82"/>
      <c r="L3725" s="82"/>
      <c r="M3725" s="82"/>
      <c r="N3725" s="82"/>
      <c r="O3725" s="82"/>
      <c r="P3725" s="82"/>
      <c r="Q3725" s="82"/>
      <c r="R3725" s="82"/>
      <c r="S3725" s="82"/>
      <c r="T3725" s="82"/>
      <c r="U3725" s="82"/>
      <c r="V3725" s="82"/>
      <c r="W3725" s="82"/>
      <c r="X3725" s="82"/>
      <c r="Y3725" s="82"/>
      <c r="Z3725" s="82"/>
      <c r="AA3725" s="82"/>
      <c r="AB3725" s="82"/>
      <c r="AC3725" s="82"/>
      <c r="AD3725" s="82"/>
      <c r="AE3725" s="82"/>
      <c r="AF3725" s="82"/>
      <c r="AG3725" s="82"/>
      <c r="AH3725" s="82"/>
      <c r="AI3725" s="82"/>
      <c r="AJ3725" s="82"/>
      <c r="AK3725" s="82"/>
      <c r="AL3725" s="82"/>
      <c r="AM3725" s="82"/>
      <c r="AN3725" s="82"/>
      <c r="AO3725" s="82"/>
      <c r="AP3725" s="82"/>
      <c r="AQ3725" s="82"/>
      <c r="AR3725" s="82"/>
      <c r="AS3725" s="82"/>
      <c r="AT3725" s="82"/>
      <c r="AU3725" s="82"/>
      <c r="AV3725" s="82"/>
      <c r="AW3725" s="82" t="str">
        <f t="shared" si="1"/>
        <v/>
      </c>
      <c r="AX3725" s="83" t="str">
        <f t="array" ref="AX3725">IFERROR(DGET('SBV Import'!A:G,"SBV",{"RSC ID","Tier";B3725,A3725}))</f>
        <v/>
      </c>
      <c r="AY3725" s="82" t="str">
        <f t="shared" si="2"/>
        <v/>
      </c>
      <c r="AZ3725" s="82"/>
      <c r="BA3725" s="84" t="s">
        <v>152</v>
      </c>
      <c r="BB3725" s="84" t="str">
        <f>IFERROR(__xludf.DUMMYFUNCTION("iferror(if(A3725="""",,E3725&gt;=FILTER(Constants!$F$2:$F$10,Constants!$A$2:$A$10=A3725)))"),"")</f>
        <v/>
      </c>
    </row>
    <row r="3726">
      <c r="A3726" s="89"/>
      <c r="B3726" s="87"/>
      <c r="C3726" s="73"/>
      <c r="D3726" s="73"/>
      <c r="E3726" s="82"/>
      <c r="F3726" s="82"/>
      <c r="G3726" s="86"/>
      <c r="H3726" s="86"/>
      <c r="I3726" s="86"/>
      <c r="J3726" s="82"/>
      <c r="K3726" s="82"/>
      <c r="L3726" s="82"/>
      <c r="M3726" s="82"/>
      <c r="N3726" s="82"/>
      <c r="O3726" s="82"/>
      <c r="P3726" s="82"/>
      <c r="Q3726" s="82"/>
      <c r="R3726" s="82"/>
      <c r="S3726" s="82"/>
      <c r="T3726" s="82"/>
      <c r="U3726" s="82"/>
      <c r="V3726" s="82"/>
      <c r="W3726" s="82"/>
      <c r="X3726" s="82"/>
      <c r="Y3726" s="82"/>
      <c r="Z3726" s="82"/>
      <c r="AA3726" s="82"/>
      <c r="AB3726" s="82"/>
      <c r="AC3726" s="82"/>
      <c r="AD3726" s="82"/>
      <c r="AE3726" s="82"/>
      <c r="AF3726" s="82"/>
      <c r="AG3726" s="82"/>
      <c r="AH3726" s="82"/>
      <c r="AI3726" s="82"/>
      <c r="AJ3726" s="82"/>
      <c r="AK3726" s="82"/>
      <c r="AL3726" s="82"/>
      <c r="AM3726" s="82"/>
      <c r="AN3726" s="82"/>
      <c r="AO3726" s="82"/>
      <c r="AP3726" s="82"/>
      <c r="AQ3726" s="82"/>
      <c r="AR3726" s="82"/>
      <c r="AS3726" s="82"/>
      <c r="AT3726" s="82"/>
      <c r="AU3726" s="82"/>
      <c r="AV3726" s="82"/>
      <c r="AW3726" s="82" t="str">
        <f t="shared" si="1"/>
        <v/>
      </c>
      <c r="AX3726" s="83" t="str">
        <f t="array" ref="AX3726">IFERROR(DGET('SBV Import'!A:G,"SBV",{"RSC ID","Tier";B3726,A3726}))</f>
        <v/>
      </c>
      <c r="AY3726" s="82" t="str">
        <f t="shared" si="2"/>
        <v/>
      </c>
      <c r="AZ3726" s="82"/>
      <c r="BA3726" s="84" t="s">
        <v>152</v>
      </c>
      <c r="BB3726" s="84" t="str">
        <f>IFERROR(__xludf.DUMMYFUNCTION("iferror(if(A3726="""",,E3726&gt;=FILTER(Constants!$F$2:$F$10,Constants!$A$2:$A$10=A3726)))"),"")</f>
        <v/>
      </c>
    </row>
    <row r="3727">
      <c r="A3727" s="89"/>
      <c r="B3727" s="87"/>
      <c r="C3727" s="73"/>
      <c r="D3727" s="73"/>
      <c r="E3727" s="82"/>
      <c r="F3727" s="82"/>
      <c r="G3727" s="86"/>
      <c r="H3727" s="86"/>
      <c r="I3727" s="86"/>
      <c r="J3727" s="82"/>
      <c r="K3727" s="82"/>
      <c r="L3727" s="82"/>
      <c r="M3727" s="82"/>
      <c r="N3727" s="82"/>
      <c r="O3727" s="82"/>
      <c r="P3727" s="82"/>
      <c r="Q3727" s="82"/>
      <c r="R3727" s="82"/>
      <c r="S3727" s="82"/>
      <c r="T3727" s="82"/>
      <c r="U3727" s="82"/>
      <c r="V3727" s="82"/>
      <c r="W3727" s="82"/>
      <c r="X3727" s="82"/>
      <c r="Y3727" s="82"/>
      <c r="Z3727" s="82"/>
      <c r="AA3727" s="82"/>
      <c r="AB3727" s="82"/>
      <c r="AC3727" s="82"/>
      <c r="AD3727" s="82"/>
      <c r="AE3727" s="82"/>
      <c r="AF3727" s="82"/>
      <c r="AG3727" s="82"/>
      <c r="AH3727" s="82"/>
      <c r="AI3727" s="82"/>
      <c r="AJ3727" s="82"/>
      <c r="AK3727" s="82"/>
      <c r="AL3727" s="82"/>
      <c r="AM3727" s="82"/>
      <c r="AN3727" s="82"/>
      <c r="AO3727" s="82"/>
      <c r="AP3727" s="82"/>
      <c r="AQ3727" s="82"/>
      <c r="AR3727" s="82"/>
      <c r="AS3727" s="82"/>
      <c r="AT3727" s="82"/>
      <c r="AU3727" s="82"/>
      <c r="AV3727" s="82"/>
      <c r="AW3727" s="82" t="str">
        <f t="shared" si="1"/>
        <v/>
      </c>
      <c r="AX3727" s="83" t="str">
        <f t="array" ref="AX3727">IFERROR(DGET('SBV Import'!A:G,"SBV",{"RSC ID","Tier";B3727,A3727}))</f>
        <v/>
      </c>
      <c r="AY3727" s="82" t="str">
        <f t="shared" si="2"/>
        <v/>
      </c>
      <c r="AZ3727" s="82"/>
      <c r="BA3727" s="84" t="s">
        <v>152</v>
      </c>
      <c r="BB3727" s="84" t="str">
        <f>IFERROR(__xludf.DUMMYFUNCTION("iferror(if(A3727="""",,E3727&gt;=FILTER(Constants!$F$2:$F$10,Constants!$A$2:$A$10=A3727)))"),"")</f>
        <v/>
      </c>
    </row>
    <row r="3728">
      <c r="A3728" s="89"/>
      <c r="B3728" s="87"/>
      <c r="C3728" s="73"/>
      <c r="D3728" s="73"/>
      <c r="E3728" s="82"/>
      <c r="F3728" s="82"/>
      <c r="G3728" s="86"/>
      <c r="H3728" s="86"/>
      <c r="I3728" s="86"/>
      <c r="J3728" s="82"/>
      <c r="K3728" s="82"/>
      <c r="L3728" s="82"/>
      <c r="M3728" s="82"/>
      <c r="N3728" s="82"/>
      <c r="O3728" s="82"/>
      <c r="P3728" s="82"/>
      <c r="Q3728" s="82"/>
      <c r="R3728" s="82"/>
      <c r="S3728" s="82"/>
      <c r="T3728" s="82"/>
      <c r="U3728" s="82"/>
      <c r="V3728" s="82"/>
      <c r="W3728" s="82"/>
      <c r="X3728" s="82"/>
      <c r="Y3728" s="82"/>
      <c r="Z3728" s="82"/>
      <c r="AA3728" s="82"/>
      <c r="AB3728" s="82"/>
      <c r="AC3728" s="82"/>
      <c r="AD3728" s="82"/>
      <c r="AE3728" s="82"/>
      <c r="AF3728" s="82"/>
      <c r="AG3728" s="82"/>
      <c r="AH3728" s="82"/>
      <c r="AI3728" s="82"/>
      <c r="AJ3728" s="82"/>
      <c r="AK3728" s="82"/>
      <c r="AL3728" s="82"/>
      <c r="AM3728" s="82"/>
      <c r="AN3728" s="82"/>
      <c r="AO3728" s="82"/>
      <c r="AP3728" s="82"/>
      <c r="AQ3728" s="82"/>
      <c r="AR3728" s="82"/>
      <c r="AS3728" s="82"/>
      <c r="AT3728" s="82"/>
      <c r="AU3728" s="82"/>
      <c r="AV3728" s="82"/>
      <c r="AW3728" s="82" t="str">
        <f t="shared" si="1"/>
        <v/>
      </c>
      <c r="AX3728" s="83" t="str">
        <f t="array" ref="AX3728">IFERROR(DGET('SBV Import'!A:G,"SBV",{"RSC ID","Tier";B3728,A3728}))</f>
        <v/>
      </c>
      <c r="AY3728" s="82" t="str">
        <f t="shared" si="2"/>
        <v/>
      </c>
      <c r="AZ3728" s="82"/>
      <c r="BA3728" s="84" t="s">
        <v>152</v>
      </c>
      <c r="BB3728" s="84" t="str">
        <f>IFERROR(__xludf.DUMMYFUNCTION("iferror(if(A3728="""",,E3728&gt;=FILTER(Constants!$F$2:$F$10,Constants!$A$2:$A$10=A3728)))"),"")</f>
        <v/>
      </c>
    </row>
    <row r="3729">
      <c r="A3729" s="89"/>
      <c r="B3729" s="87"/>
      <c r="C3729" s="73"/>
      <c r="D3729" s="73"/>
      <c r="E3729" s="82"/>
      <c r="F3729" s="82"/>
      <c r="G3729" s="86"/>
      <c r="H3729" s="86"/>
      <c r="I3729" s="86"/>
      <c r="J3729" s="82"/>
      <c r="K3729" s="82"/>
      <c r="L3729" s="82"/>
      <c r="M3729" s="82"/>
      <c r="N3729" s="82"/>
      <c r="O3729" s="82"/>
      <c r="P3729" s="82"/>
      <c r="Q3729" s="82"/>
      <c r="R3729" s="82"/>
      <c r="S3729" s="82"/>
      <c r="T3729" s="82"/>
      <c r="U3729" s="82"/>
      <c r="V3729" s="82"/>
      <c r="W3729" s="82"/>
      <c r="X3729" s="82"/>
      <c r="Y3729" s="82"/>
      <c r="Z3729" s="82"/>
      <c r="AA3729" s="82"/>
      <c r="AB3729" s="82"/>
      <c r="AC3729" s="82"/>
      <c r="AD3729" s="82"/>
      <c r="AE3729" s="82"/>
      <c r="AF3729" s="82"/>
      <c r="AG3729" s="82"/>
      <c r="AH3729" s="82"/>
      <c r="AI3729" s="82"/>
      <c r="AJ3729" s="82"/>
      <c r="AK3729" s="82"/>
      <c r="AL3729" s="82"/>
      <c r="AM3729" s="82"/>
      <c r="AN3729" s="82"/>
      <c r="AO3729" s="82"/>
      <c r="AP3729" s="82"/>
      <c r="AQ3729" s="82"/>
      <c r="AR3729" s="82"/>
      <c r="AS3729" s="82"/>
      <c r="AT3729" s="82"/>
      <c r="AU3729" s="82"/>
      <c r="AV3729" s="82"/>
      <c r="AW3729" s="82" t="str">
        <f t="shared" si="1"/>
        <v/>
      </c>
      <c r="AX3729" s="83" t="str">
        <f t="array" ref="AX3729">IFERROR(DGET('SBV Import'!A:G,"SBV",{"RSC ID","Tier";B3729,A3729}))</f>
        <v/>
      </c>
      <c r="AY3729" s="82" t="str">
        <f t="shared" si="2"/>
        <v/>
      </c>
      <c r="AZ3729" s="82"/>
      <c r="BA3729" s="84" t="s">
        <v>152</v>
      </c>
      <c r="BB3729" s="84" t="str">
        <f>IFERROR(__xludf.DUMMYFUNCTION("iferror(if(A3729="""",,E3729&gt;=FILTER(Constants!$F$2:$F$10,Constants!$A$2:$A$10=A3729)))"),"")</f>
        <v/>
      </c>
    </row>
    <row r="3730">
      <c r="A3730" s="89"/>
      <c r="B3730" s="87"/>
      <c r="C3730" s="73"/>
      <c r="D3730" s="73"/>
      <c r="E3730" s="82"/>
      <c r="F3730" s="82"/>
      <c r="G3730" s="86"/>
      <c r="H3730" s="86"/>
      <c r="I3730" s="86"/>
      <c r="J3730" s="82"/>
      <c r="K3730" s="82"/>
      <c r="L3730" s="82"/>
      <c r="M3730" s="82"/>
      <c r="N3730" s="82"/>
      <c r="O3730" s="82"/>
      <c r="P3730" s="82"/>
      <c r="Q3730" s="82"/>
      <c r="R3730" s="82"/>
      <c r="S3730" s="82"/>
      <c r="T3730" s="82"/>
      <c r="U3730" s="82"/>
      <c r="V3730" s="82"/>
      <c r="W3730" s="82"/>
      <c r="X3730" s="82"/>
      <c r="Y3730" s="82"/>
      <c r="Z3730" s="82"/>
      <c r="AA3730" s="82"/>
      <c r="AB3730" s="82"/>
      <c r="AC3730" s="82"/>
      <c r="AD3730" s="82"/>
      <c r="AE3730" s="82"/>
      <c r="AF3730" s="82"/>
      <c r="AG3730" s="82"/>
      <c r="AH3730" s="82"/>
      <c r="AI3730" s="82"/>
      <c r="AJ3730" s="82"/>
      <c r="AK3730" s="82"/>
      <c r="AL3730" s="82"/>
      <c r="AM3730" s="82"/>
      <c r="AN3730" s="82"/>
      <c r="AO3730" s="82"/>
      <c r="AP3730" s="82"/>
      <c r="AQ3730" s="82"/>
      <c r="AR3730" s="82"/>
      <c r="AS3730" s="82"/>
      <c r="AT3730" s="82"/>
      <c r="AU3730" s="82"/>
      <c r="AV3730" s="82"/>
      <c r="AW3730" s="82" t="str">
        <f t="shared" si="1"/>
        <v/>
      </c>
      <c r="AX3730" s="83" t="str">
        <f t="array" ref="AX3730">IFERROR(DGET('SBV Import'!A:G,"SBV",{"RSC ID","Tier";B3730,A3730}))</f>
        <v/>
      </c>
      <c r="AY3730" s="82" t="str">
        <f t="shared" si="2"/>
        <v/>
      </c>
      <c r="AZ3730" s="82"/>
      <c r="BA3730" s="84" t="s">
        <v>152</v>
      </c>
      <c r="BB3730" s="84" t="str">
        <f>IFERROR(__xludf.DUMMYFUNCTION("iferror(if(A3730="""",,E3730&gt;=FILTER(Constants!$F$2:$F$10,Constants!$A$2:$A$10=A3730)))"),"")</f>
        <v/>
      </c>
    </row>
    <row r="3731">
      <c r="A3731" s="89"/>
      <c r="B3731" s="87"/>
      <c r="C3731" s="73"/>
      <c r="D3731" s="73"/>
      <c r="E3731" s="82"/>
      <c r="F3731" s="82"/>
      <c r="G3731" s="86"/>
      <c r="H3731" s="86"/>
      <c r="I3731" s="86"/>
      <c r="J3731" s="82"/>
      <c r="K3731" s="82"/>
      <c r="L3731" s="82"/>
      <c r="M3731" s="82"/>
      <c r="N3731" s="82"/>
      <c r="O3731" s="82"/>
      <c r="P3731" s="82"/>
      <c r="Q3731" s="82"/>
      <c r="R3731" s="82"/>
      <c r="S3731" s="82"/>
      <c r="T3731" s="82"/>
      <c r="U3731" s="82"/>
      <c r="V3731" s="82"/>
      <c r="W3731" s="82"/>
      <c r="X3731" s="82"/>
      <c r="Y3731" s="82"/>
      <c r="Z3731" s="82"/>
      <c r="AA3731" s="82"/>
      <c r="AB3731" s="82"/>
      <c r="AC3731" s="82"/>
      <c r="AD3731" s="82"/>
      <c r="AE3731" s="82"/>
      <c r="AF3731" s="82"/>
      <c r="AG3731" s="82"/>
      <c r="AH3731" s="82"/>
      <c r="AI3731" s="82"/>
      <c r="AJ3731" s="82"/>
      <c r="AK3731" s="82"/>
      <c r="AL3731" s="82"/>
      <c r="AM3731" s="82"/>
      <c r="AN3731" s="82"/>
      <c r="AO3731" s="82"/>
      <c r="AP3731" s="82"/>
      <c r="AQ3731" s="82"/>
      <c r="AR3731" s="82"/>
      <c r="AS3731" s="82"/>
      <c r="AT3731" s="82"/>
      <c r="AU3731" s="82"/>
      <c r="AV3731" s="82"/>
      <c r="AW3731" s="82" t="str">
        <f t="shared" si="1"/>
        <v/>
      </c>
      <c r="AX3731" s="83" t="str">
        <f t="array" ref="AX3731">IFERROR(DGET('SBV Import'!A:G,"SBV",{"RSC ID","Tier";B3731,A3731}))</f>
        <v/>
      </c>
      <c r="AY3731" s="82" t="str">
        <f t="shared" si="2"/>
        <v/>
      </c>
      <c r="AZ3731" s="82"/>
      <c r="BA3731" s="84" t="s">
        <v>152</v>
      </c>
      <c r="BB3731" s="84" t="str">
        <f>IFERROR(__xludf.DUMMYFUNCTION("iferror(if(A3731="""",,E3731&gt;=FILTER(Constants!$F$2:$F$10,Constants!$A$2:$A$10=A3731)))"),"")</f>
        <v/>
      </c>
    </row>
    <row r="3732">
      <c r="A3732" s="89"/>
      <c r="B3732" s="87"/>
      <c r="C3732" s="73"/>
      <c r="D3732" s="73"/>
      <c r="E3732" s="82"/>
      <c r="F3732" s="82"/>
      <c r="G3732" s="86"/>
      <c r="H3732" s="86"/>
      <c r="I3732" s="86"/>
      <c r="J3732" s="82"/>
      <c r="K3732" s="82"/>
      <c r="L3732" s="82"/>
      <c r="M3732" s="82"/>
      <c r="N3732" s="82"/>
      <c r="O3732" s="82"/>
      <c r="P3732" s="82"/>
      <c r="Q3732" s="82"/>
      <c r="R3732" s="82"/>
      <c r="S3732" s="82"/>
      <c r="T3732" s="82"/>
      <c r="U3732" s="82"/>
      <c r="V3732" s="82"/>
      <c r="W3732" s="82"/>
      <c r="X3732" s="82"/>
      <c r="Y3732" s="82"/>
      <c r="Z3732" s="82"/>
      <c r="AA3732" s="82"/>
      <c r="AB3732" s="82"/>
      <c r="AC3732" s="82"/>
      <c r="AD3732" s="82"/>
      <c r="AE3732" s="82"/>
      <c r="AF3732" s="82"/>
      <c r="AG3732" s="82"/>
      <c r="AH3732" s="82"/>
      <c r="AI3732" s="82"/>
      <c r="AJ3732" s="82"/>
      <c r="AK3732" s="82"/>
      <c r="AL3732" s="82"/>
      <c r="AM3732" s="82"/>
      <c r="AN3732" s="82"/>
      <c r="AO3732" s="82"/>
      <c r="AP3732" s="82"/>
      <c r="AQ3732" s="82"/>
      <c r="AR3732" s="82"/>
      <c r="AS3732" s="82"/>
      <c r="AT3732" s="82"/>
      <c r="AU3732" s="82"/>
      <c r="AV3732" s="82"/>
      <c r="AW3732" s="82" t="str">
        <f t="shared" si="1"/>
        <v/>
      </c>
      <c r="AX3732" s="83" t="str">
        <f t="array" ref="AX3732">IFERROR(DGET('SBV Import'!A:G,"SBV",{"RSC ID","Tier";B3732,A3732}))</f>
        <v/>
      </c>
      <c r="AY3732" s="82" t="str">
        <f t="shared" si="2"/>
        <v/>
      </c>
      <c r="AZ3732" s="82"/>
      <c r="BA3732" s="84" t="s">
        <v>152</v>
      </c>
      <c r="BB3732" s="84" t="str">
        <f>IFERROR(__xludf.DUMMYFUNCTION("iferror(if(A3732="""",,E3732&gt;=FILTER(Constants!$F$2:$F$10,Constants!$A$2:$A$10=A3732)))"),"")</f>
        <v/>
      </c>
    </row>
    <row r="3733">
      <c r="A3733" s="89"/>
      <c r="B3733" s="87"/>
      <c r="C3733" s="73"/>
      <c r="D3733" s="73"/>
      <c r="E3733" s="82"/>
      <c r="F3733" s="82"/>
      <c r="G3733" s="86"/>
      <c r="H3733" s="86"/>
      <c r="I3733" s="86"/>
      <c r="J3733" s="82"/>
      <c r="K3733" s="82"/>
      <c r="L3733" s="82"/>
      <c r="M3733" s="82"/>
      <c r="N3733" s="82"/>
      <c r="O3733" s="82"/>
      <c r="P3733" s="82"/>
      <c r="Q3733" s="82"/>
      <c r="R3733" s="82"/>
      <c r="S3733" s="82"/>
      <c r="T3733" s="82"/>
      <c r="U3733" s="82"/>
      <c r="V3733" s="82"/>
      <c r="W3733" s="82"/>
      <c r="X3733" s="82"/>
      <c r="Y3733" s="82"/>
      <c r="Z3733" s="82"/>
      <c r="AA3733" s="82"/>
      <c r="AB3733" s="82"/>
      <c r="AC3733" s="82"/>
      <c r="AD3733" s="82"/>
      <c r="AE3733" s="82"/>
      <c r="AF3733" s="82"/>
      <c r="AG3733" s="82"/>
      <c r="AH3733" s="82"/>
      <c r="AI3733" s="82"/>
      <c r="AJ3733" s="82"/>
      <c r="AK3733" s="82"/>
      <c r="AL3733" s="82"/>
      <c r="AM3733" s="82"/>
      <c r="AN3733" s="82"/>
      <c r="AO3733" s="82"/>
      <c r="AP3733" s="82"/>
      <c r="AQ3733" s="82"/>
      <c r="AR3733" s="82"/>
      <c r="AS3733" s="82"/>
      <c r="AT3733" s="82"/>
      <c r="AU3733" s="82"/>
      <c r="AV3733" s="82"/>
      <c r="AW3733" s="82" t="str">
        <f t="shared" si="1"/>
        <v/>
      </c>
      <c r="AX3733" s="83" t="str">
        <f t="array" ref="AX3733">IFERROR(DGET('SBV Import'!A:G,"SBV",{"RSC ID","Tier";B3733,A3733}))</f>
        <v/>
      </c>
      <c r="AY3733" s="82" t="str">
        <f t="shared" si="2"/>
        <v/>
      </c>
      <c r="AZ3733" s="82"/>
      <c r="BA3733" s="84" t="s">
        <v>152</v>
      </c>
      <c r="BB3733" s="84" t="str">
        <f>IFERROR(__xludf.DUMMYFUNCTION("iferror(if(A3733="""",,E3733&gt;=FILTER(Constants!$F$2:$F$10,Constants!$A$2:$A$10=A3733)))"),"")</f>
        <v/>
      </c>
    </row>
    <row r="3734">
      <c r="A3734" s="89"/>
      <c r="B3734" s="87"/>
      <c r="C3734" s="73"/>
      <c r="D3734" s="73"/>
      <c r="E3734" s="82"/>
      <c r="F3734" s="82"/>
      <c r="G3734" s="86"/>
      <c r="H3734" s="86"/>
      <c r="I3734" s="86"/>
      <c r="J3734" s="82"/>
      <c r="K3734" s="82"/>
      <c r="L3734" s="82"/>
      <c r="M3734" s="82"/>
      <c r="N3734" s="82"/>
      <c r="O3734" s="82"/>
      <c r="P3734" s="82"/>
      <c r="Q3734" s="82"/>
      <c r="R3734" s="82"/>
      <c r="S3734" s="82"/>
      <c r="T3734" s="82"/>
      <c r="U3734" s="82"/>
      <c r="V3734" s="82"/>
      <c r="W3734" s="82"/>
      <c r="X3734" s="82"/>
      <c r="Y3734" s="82"/>
      <c r="Z3734" s="82"/>
      <c r="AA3734" s="82"/>
      <c r="AB3734" s="82"/>
      <c r="AC3734" s="82"/>
      <c r="AD3734" s="82"/>
      <c r="AE3734" s="82"/>
      <c r="AF3734" s="82"/>
      <c r="AG3734" s="82"/>
      <c r="AH3734" s="82"/>
      <c r="AI3734" s="82"/>
      <c r="AJ3734" s="82"/>
      <c r="AK3734" s="82"/>
      <c r="AL3734" s="82"/>
      <c r="AM3734" s="82"/>
      <c r="AN3734" s="82"/>
      <c r="AO3734" s="82"/>
      <c r="AP3734" s="82"/>
      <c r="AQ3734" s="82"/>
      <c r="AR3734" s="82"/>
      <c r="AS3734" s="82"/>
      <c r="AT3734" s="82"/>
      <c r="AU3734" s="82"/>
      <c r="AV3734" s="82"/>
      <c r="AW3734" s="82" t="str">
        <f t="shared" si="1"/>
        <v/>
      </c>
      <c r="AX3734" s="83" t="str">
        <f t="array" ref="AX3734">IFERROR(DGET('SBV Import'!A:G,"SBV",{"RSC ID","Tier";B3734,A3734}))</f>
        <v/>
      </c>
      <c r="AY3734" s="82" t="str">
        <f t="shared" si="2"/>
        <v/>
      </c>
      <c r="AZ3734" s="82"/>
      <c r="BA3734" s="84" t="s">
        <v>152</v>
      </c>
      <c r="BB3734" s="84" t="str">
        <f>IFERROR(__xludf.DUMMYFUNCTION("iferror(if(A3734="""",,E3734&gt;=FILTER(Constants!$F$2:$F$10,Constants!$A$2:$A$10=A3734)))"),"")</f>
        <v/>
      </c>
    </row>
    <row r="3735">
      <c r="A3735" s="89"/>
      <c r="B3735" s="87"/>
      <c r="C3735" s="73"/>
      <c r="D3735" s="73"/>
      <c r="E3735" s="82"/>
      <c r="F3735" s="82"/>
      <c r="G3735" s="86"/>
      <c r="H3735" s="86"/>
      <c r="I3735" s="86"/>
      <c r="J3735" s="82"/>
      <c r="K3735" s="82"/>
      <c r="L3735" s="82"/>
      <c r="M3735" s="82"/>
      <c r="N3735" s="82"/>
      <c r="O3735" s="82"/>
      <c r="P3735" s="82"/>
      <c r="Q3735" s="82"/>
      <c r="R3735" s="82"/>
      <c r="S3735" s="82"/>
      <c r="T3735" s="82"/>
      <c r="U3735" s="82"/>
      <c r="V3735" s="82"/>
      <c r="W3735" s="82"/>
      <c r="X3735" s="82"/>
      <c r="Y3735" s="82"/>
      <c r="Z3735" s="82"/>
      <c r="AA3735" s="82"/>
      <c r="AB3735" s="82"/>
      <c r="AC3735" s="82"/>
      <c r="AD3735" s="82"/>
      <c r="AE3735" s="82"/>
      <c r="AF3735" s="82"/>
      <c r="AG3735" s="82"/>
      <c r="AH3735" s="82"/>
      <c r="AI3735" s="82"/>
      <c r="AJ3735" s="82"/>
      <c r="AK3735" s="82"/>
      <c r="AL3735" s="82"/>
      <c r="AM3735" s="82"/>
      <c r="AN3735" s="82"/>
      <c r="AO3735" s="82"/>
      <c r="AP3735" s="82"/>
      <c r="AQ3735" s="82"/>
      <c r="AR3735" s="82"/>
      <c r="AS3735" s="82"/>
      <c r="AT3735" s="82"/>
      <c r="AU3735" s="82"/>
      <c r="AV3735" s="82"/>
      <c r="AW3735" s="82" t="str">
        <f t="shared" si="1"/>
        <v/>
      </c>
      <c r="AX3735" s="83" t="str">
        <f t="array" ref="AX3735">IFERROR(DGET('SBV Import'!A:G,"SBV",{"RSC ID","Tier";B3735,A3735}))</f>
        <v/>
      </c>
      <c r="AY3735" s="82" t="str">
        <f t="shared" si="2"/>
        <v/>
      </c>
      <c r="AZ3735" s="82"/>
      <c r="BA3735" s="84" t="s">
        <v>152</v>
      </c>
      <c r="BB3735" s="84" t="str">
        <f>IFERROR(__xludf.DUMMYFUNCTION("iferror(if(A3735="""",,E3735&gt;=FILTER(Constants!$F$2:$F$10,Constants!$A$2:$A$10=A3735)))"),"")</f>
        <v/>
      </c>
    </row>
    <row r="3736">
      <c r="A3736" s="89"/>
      <c r="B3736" s="87"/>
      <c r="C3736" s="73"/>
      <c r="D3736" s="73"/>
      <c r="E3736" s="82"/>
      <c r="F3736" s="82"/>
      <c r="G3736" s="86"/>
      <c r="H3736" s="86"/>
      <c r="I3736" s="86"/>
      <c r="J3736" s="82"/>
      <c r="K3736" s="82"/>
      <c r="L3736" s="82"/>
      <c r="M3736" s="82"/>
      <c r="N3736" s="82"/>
      <c r="O3736" s="82"/>
      <c r="P3736" s="82"/>
      <c r="Q3736" s="82"/>
      <c r="R3736" s="82"/>
      <c r="S3736" s="82"/>
      <c r="T3736" s="82"/>
      <c r="U3736" s="82"/>
      <c r="V3736" s="82"/>
      <c r="W3736" s="82"/>
      <c r="X3736" s="82"/>
      <c r="Y3736" s="82"/>
      <c r="Z3736" s="82"/>
      <c r="AA3736" s="82"/>
      <c r="AB3736" s="82"/>
      <c r="AC3736" s="82"/>
      <c r="AD3736" s="82"/>
      <c r="AE3736" s="82"/>
      <c r="AF3736" s="82"/>
      <c r="AG3736" s="82"/>
      <c r="AH3736" s="82"/>
      <c r="AI3736" s="82"/>
      <c r="AJ3736" s="82"/>
      <c r="AK3736" s="82"/>
      <c r="AL3736" s="82"/>
      <c r="AM3736" s="82"/>
      <c r="AN3736" s="82"/>
      <c r="AO3736" s="82"/>
      <c r="AP3736" s="82"/>
      <c r="AQ3736" s="82"/>
      <c r="AR3736" s="82"/>
      <c r="AS3736" s="82"/>
      <c r="AT3736" s="82"/>
      <c r="AU3736" s="82"/>
      <c r="AV3736" s="82"/>
      <c r="AW3736" s="82" t="str">
        <f t="shared" si="1"/>
        <v/>
      </c>
      <c r="AX3736" s="83" t="str">
        <f t="array" ref="AX3736">IFERROR(DGET('SBV Import'!A:G,"SBV",{"RSC ID","Tier";B3736,A3736}))</f>
        <v/>
      </c>
      <c r="AY3736" s="82" t="str">
        <f t="shared" si="2"/>
        <v/>
      </c>
      <c r="AZ3736" s="82"/>
      <c r="BA3736" s="84" t="s">
        <v>152</v>
      </c>
      <c r="BB3736" s="84" t="str">
        <f>IFERROR(__xludf.DUMMYFUNCTION("iferror(if(A3736="""",,E3736&gt;=FILTER(Constants!$F$2:$F$10,Constants!$A$2:$A$10=A3736)))"),"")</f>
        <v/>
      </c>
    </row>
    <row r="3737">
      <c r="A3737" s="89"/>
      <c r="B3737" s="87"/>
      <c r="C3737" s="73"/>
      <c r="D3737" s="73"/>
      <c r="E3737" s="82"/>
      <c r="F3737" s="82"/>
      <c r="G3737" s="86"/>
      <c r="H3737" s="86"/>
      <c r="I3737" s="86"/>
      <c r="J3737" s="82"/>
      <c r="K3737" s="82"/>
      <c r="L3737" s="82"/>
      <c r="M3737" s="82"/>
      <c r="N3737" s="82"/>
      <c r="O3737" s="82"/>
      <c r="P3737" s="82"/>
      <c r="Q3737" s="82"/>
      <c r="R3737" s="82"/>
      <c r="S3737" s="82"/>
      <c r="T3737" s="82"/>
      <c r="U3737" s="82"/>
      <c r="V3737" s="82"/>
      <c r="W3737" s="82"/>
      <c r="X3737" s="82"/>
      <c r="Y3737" s="82"/>
      <c r="Z3737" s="82"/>
      <c r="AA3737" s="82"/>
      <c r="AB3737" s="82"/>
      <c r="AC3737" s="82"/>
      <c r="AD3737" s="82"/>
      <c r="AE3737" s="82"/>
      <c r="AF3737" s="82"/>
      <c r="AG3737" s="82"/>
      <c r="AH3737" s="82"/>
      <c r="AI3737" s="82"/>
      <c r="AJ3737" s="82"/>
      <c r="AK3737" s="82"/>
      <c r="AL3737" s="82"/>
      <c r="AM3737" s="82"/>
      <c r="AN3737" s="82"/>
      <c r="AO3737" s="82"/>
      <c r="AP3737" s="82"/>
      <c r="AQ3737" s="82"/>
      <c r="AR3737" s="82"/>
      <c r="AS3737" s="82"/>
      <c r="AT3737" s="82"/>
      <c r="AU3737" s="82"/>
      <c r="AV3737" s="82"/>
      <c r="AW3737" s="82" t="str">
        <f t="shared" si="1"/>
        <v/>
      </c>
      <c r="AX3737" s="83" t="str">
        <f t="array" ref="AX3737">IFERROR(DGET('SBV Import'!A:G,"SBV",{"RSC ID","Tier";B3737,A3737}))</f>
        <v/>
      </c>
      <c r="AY3737" s="82" t="str">
        <f t="shared" si="2"/>
        <v/>
      </c>
      <c r="AZ3737" s="82"/>
      <c r="BA3737" s="84" t="s">
        <v>152</v>
      </c>
      <c r="BB3737" s="84" t="str">
        <f>IFERROR(__xludf.DUMMYFUNCTION("iferror(if(A3737="""",,E3737&gt;=FILTER(Constants!$F$2:$F$10,Constants!$A$2:$A$10=A3737)))"),"")</f>
        <v/>
      </c>
    </row>
    <row r="3738">
      <c r="A3738" s="89"/>
      <c r="B3738" s="87"/>
      <c r="C3738" s="73"/>
      <c r="D3738" s="73"/>
      <c r="E3738" s="82"/>
      <c r="F3738" s="82"/>
      <c r="G3738" s="86"/>
      <c r="H3738" s="86"/>
      <c r="I3738" s="86"/>
      <c r="J3738" s="82"/>
      <c r="K3738" s="82"/>
      <c r="L3738" s="82"/>
      <c r="M3738" s="82"/>
      <c r="N3738" s="82"/>
      <c r="O3738" s="82"/>
      <c r="P3738" s="82"/>
      <c r="Q3738" s="82"/>
      <c r="R3738" s="82"/>
      <c r="S3738" s="82"/>
      <c r="T3738" s="82"/>
      <c r="U3738" s="82"/>
      <c r="V3738" s="82"/>
      <c r="W3738" s="82"/>
      <c r="X3738" s="82"/>
      <c r="Y3738" s="82"/>
      <c r="Z3738" s="82"/>
      <c r="AA3738" s="82"/>
      <c r="AB3738" s="82"/>
      <c r="AC3738" s="82"/>
      <c r="AD3738" s="82"/>
      <c r="AE3738" s="82"/>
      <c r="AF3738" s="82"/>
      <c r="AG3738" s="82"/>
      <c r="AH3738" s="82"/>
      <c r="AI3738" s="82"/>
      <c r="AJ3738" s="82"/>
      <c r="AK3738" s="82"/>
      <c r="AL3738" s="82"/>
      <c r="AM3738" s="82"/>
      <c r="AN3738" s="82"/>
      <c r="AO3738" s="82"/>
      <c r="AP3738" s="82"/>
      <c r="AQ3738" s="82"/>
      <c r="AR3738" s="82"/>
      <c r="AS3738" s="82"/>
      <c r="AT3738" s="82"/>
      <c r="AU3738" s="82"/>
      <c r="AV3738" s="82"/>
      <c r="AW3738" s="82" t="str">
        <f t="shared" si="1"/>
        <v/>
      </c>
      <c r="AX3738" s="83" t="str">
        <f t="array" ref="AX3738">IFERROR(DGET('SBV Import'!A:G,"SBV",{"RSC ID","Tier";B3738,A3738}))</f>
        <v/>
      </c>
      <c r="AY3738" s="82" t="str">
        <f t="shared" si="2"/>
        <v/>
      </c>
      <c r="AZ3738" s="82"/>
      <c r="BA3738" s="84" t="s">
        <v>152</v>
      </c>
      <c r="BB3738" s="84" t="str">
        <f>IFERROR(__xludf.DUMMYFUNCTION("iferror(if(A3738="""",,E3738&gt;=FILTER(Constants!$F$2:$F$10,Constants!$A$2:$A$10=A3738)))"),"")</f>
        <v/>
      </c>
    </row>
    <row r="3739">
      <c r="A3739" s="89"/>
      <c r="B3739" s="87"/>
      <c r="C3739" s="73"/>
      <c r="D3739" s="73"/>
      <c r="E3739" s="82"/>
      <c r="F3739" s="82"/>
      <c r="G3739" s="86"/>
      <c r="H3739" s="86"/>
      <c r="I3739" s="86"/>
      <c r="J3739" s="82"/>
      <c r="K3739" s="82"/>
      <c r="L3739" s="82"/>
      <c r="M3739" s="82"/>
      <c r="N3739" s="82"/>
      <c r="O3739" s="82"/>
      <c r="P3739" s="82"/>
      <c r="Q3739" s="82"/>
      <c r="R3739" s="82"/>
      <c r="S3739" s="82"/>
      <c r="T3739" s="82"/>
      <c r="U3739" s="82"/>
      <c r="V3739" s="82"/>
      <c r="W3739" s="82"/>
      <c r="X3739" s="82"/>
      <c r="Y3739" s="82"/>
      <c r="Z3739" s="82"/>
      <c r="AA3739" s="82"/>
      <c r="AB3739" s="82"/>
      <c r="AC3739" s="82"/>
      <c r="AD3739" s="82"/>
      <c r="AE3739" s="82"/>
      <c r="AF3739" s="82"/>
      <c r="AG3739" s="82"/>
      <c r="AH3739" s="82"/>
      <c r="AI3739" s="82"/>
      <c r="AJ3739" s="82"/>
      <c r="AK3739" s="82"/>
      <c r="AL3739" s="82"/>
      <c r="AM3739" s="82"/>
      <c r="AN3739" s="82"/>
      <c r="AO3739" s="82"/>
      <c r="AP3739" s="82"/>
      <c r="AQ3739" s="82"/>
      <c r="AR3739" s="82"/>
      <c r="AS3739" s="82"/>
      <c r="AT3739" s="82"/>
      <c r="AU3739" s="82"/>
      <c r="AV3739" s="82"/>
      <c r="AW3739" s="82" t="str">
        <f t="shared" si="1"/>
        <v/>
      </c>
      <c r="AX3739" s="83" t="str">
        <f t="array" ref="AX3739">IFERROR(DGET('SBV Import'!A:G,"SBV",{"RSC ID","Tier";B3739,A3739}))</f>
        <v/>
      </c>
      <c r="AY3739" s="82" t="str">
        <f t="shared" si="2"/>
        <v/>
      </c>
      <c r="AZ3739" s="82"/>
      <c r="BA3739" s="84" t="s">
        <v>152</v>
      </c>
      <c r="BB3739" s="84" t="str">
        <f>IFERROR(__xludf.DUMMYFUNCTION("iferror(if(A3739="""",,E3739&gt;=FILTER(Constants!$F$2:$F$10,Constants!$A$2:$A$10=A3739)))"),"")</f>
        <v/>
      </c>
    </row>
    <row r="3740">
      <c r="A3740" s="89"/>
      <c r="B3740" s="87"/>
      <c r="C3740" s="73"/>
      <c r="D3740" s="73"/>
      <c r="E3740" s="82"/>
      <c r="F3740" s="82"/>
      <c r="G3740" s="86"/>
      <c r="H3740" s="86"/>
      <c r="I3740" s="86"/>
      <c r="J3740" s="82"/>
      <c r="K3740" s="82"/>
      <c r="L3740" s="82"/>
      <c r="M3740" s="82"/>
      <c r="N3740" s="82"/>
      <c r="O3740" s="82"/>
      <c r="P3740" s="82"/>
      <c r="Q3740" s="82"/>
      <c r="R3740" s="82"/>
      <c r="S3740" s="82"/>
      <c r="T3740" s="82"/>
      <c r="U3740" s="82"/>
      <c r="V3740" s="82"/>
      <c r="W3740" s="82"/>
      <c r="X3740" s="82"/>
      <c r="Y3740" s="82"/>
      <c r="Z3740" s="82"/>
      <c r="AA3740" s="82"/>
      <c r="AB3740" s="82"/>
      <c r="AC3740" s="82"/>
      <c r="AD3740" s="82"/>
      <c r="AE3740" s="82"/>
      <c r="AF3740" s="82"/>
      <c r="AG3740" s="82"/>
      <c r="AH3740" s="82"/>
      <c r="AI3740" s="82"/>
      <c r="AJ3740" s="82"/>
      <c r="AK3740" s="82"/>
      <c r="AL3740" s="82"/>
      <c r="AM3740" s="82"/>
      <c r="AN3740" s="82"/>
      <c r="AO3740" s="82"/>
      <c r="AP3740" s="82"/>
      <c r="AQ3740" s="82"/>
      <c r="AR3740" s="82"/>
      <c r="AS3740" s="82"/>
      <c r="AT3740" s="82"/>
      <c r="AU3740" s="82"/>
      <c r="AV3740" s="82"/>
      <c r="AW3740" s="82" t="str">
        <f t="shared" si="1"/>
        <v/>
      </c>
      <c r="AX3740" s="83" t="str">
        <f t="array" ref="AX3740">IFERROR(DGET('SBV Import'!A:G,"SBV",{"RSC ID","Tier";B3740,A3740}))</f>
        <v/>
      </c>
      <c r="AY3740" s="82" t="str">
        <f t="shared" si="2"/>
        <v/>
      </c>
      <c r="AZ3740" s="82"/>
      <c r="BA3740" s="84" t="s">
        <v>152</v>
      </c>
      <c r="BB3740" s="84" t="str">
        <f>IFERROR(__xludf.DUMMYFUNCTION("iferror(if(A3740="""",,E3740&gt;=FILTER(Constants!$F$2:$F$10,Constants!$A$2:$A$10=A3740)))"),"")</f>
        <v/>
      </c>
    </row>
    <row r="3741">
      <c r="A3741" s="89"/>
      <c r="B3741" s="87"/>
      <c r="C3741" s="73"/>
      <c r="D3741" s="73"/>
      <c r="E3741" s="82"/>
      <c r="F3741" s="82"/>
      <c r="G3741" s="86"/>
      <c r="H3741" s="86"/>
      <c r="I3741" s="86"/>
      <c r="J3741" s="82"/>
      <c r="K3741" s="82"/>
      <c r="L3741" s="82"/>
      <c r="M3741" s="82"/>
      <c r="N3741" s="82"/>
      <c r="O3741" s="82"/>
      <c r="P3741" s="82"/>
      <c r="Q3741" s="82"/>
      <c r="R3741" s="82"/>
      <c r="S3741" s="82"/>
      <c r="T3741" s="82"/>
      <c r="U3741" s="82"/>
      <c r="V3741" s="82"/>
      <c r="W3741" s="82"/>
      <c r="X3741" s="82"/>
      <c r="Y3741" s="82"/>
      <c r="Z3741" s="82"/>
      <c r="AA3741" s="82"/>
      <c r="AB3741" s="82"/>
      <c r="AC3741" s="82"/>
      <c r="AD3741" s="82"/>
      <c r="AE3741" s="82"/>
      <c r="AF3741" s="82"/>
      <c r="AG3741" s="82"/>
      <c r="AH3741" s="82"/>
      <c r="AI3741" s="82"/>
      <c r="AJ3741" s="82"/>
      <c r="AK3741" s="82"/>
      <c r="AL3741" s="82"/>
      <c r="AM3741" s="82"/>
      <c r="AN3741" s="82"/>
      <c r="AO3741" s="82"/>
      <c r="AP3741" s="82"/>
      <c r="AQ3741" s="82"/>
      <c r="AR3741" s="82"/>
      <c r="AS3741" s="82"/>
      <c r="AT3741" s="82"/>
      <c r="AU3741" s="82"/>
      <c r="AV3741" s="82"/>
      <c r="AW3741" s="82" t="str">
        <f t="shared" si="1"/>
        <v/>
      </c>
      <c r="AX3741" s="83" t="str">
        <f t="array" ref="AX3741">IFERROR(DGET('SBV Import'!A:G,"SBV",{"RSC ID","Tier";B3741,A3741}))</f>
        <v/>
      </c>
      <c r="AY3741" s="82" t="str">
        <f t="shared" si="2"/>
        <v/>
      </c>
      <c r="AZ3741" s="82"/>
      <c r="BA3741" s="84" t="s">
        <v>152</v>
      </c>
      <c r="BB3741" s="84" t="str">
        <f>IFERROR(__xludf.DUMMYFUNCTION("iferror(if(A3741="""",,E3741&gt;=FILTER(Constants!$F$2:$F$10,Constants!$A$2:$A$10=A3741)))"),"")</f>
        <v/>
      </c>
    </row>
    <row r="3742">
      <c r="A3742" s="89"/>
      <c r="B3742" s="87"/>
      <c r="C3742" s="73"/>
      <c r="D3742" s="73"/>
      <c r="E3742" s="82"/>
      <c r="F3742" s="82"/>
      <c r="G3742" s="86"/>
      <c r="H3742" s="86"/>
      <c r="I3742" s="86"/>
      <c r="J3742" s="82"/>
      <c r="K3742" s="82"/>
      <c r="L3742" s="82"/>
      <c r="M3742" s="82"/>
      <c r="N3742" s="82"/>
      <c r="O3742" s="82"/>
      <c r="P3742" s="82"/>
      <c r="Q3742" s="82"/>
      <c r="R3742" s="82"/>
      <c r="S3742" s="82"/>
      <c r="T3742" s="82"/>
      <c r="U3742" s="82"/>
      <c r="V3742" s="82"/>
      <c r="W3742" s="82"/>
      <c r="X3742" s="82"/>
      <c r="Y3742" s="82"/>
      <c r="Z3742" s="82"/>
      <c r="AA3742" s="82"/>
      <c r="AB3742" s="82"/>
      <c r="AC3742" s="82"/>
      <c r="AD3742" s="82"/>
      <c r="AE3742" s="82"/>
      <c r="AF3742" s="82"/>
      <c r="AG3742" s="82"/>
      <c r="AH3742" s="82"/>
      <c r="AI3742" s="82"/>
      <c r="AJ3742" s="82"/>
      <c r="AK3742" s="82"/>
      <c r="AL3742" s="82"/>
      <c r="AM3742" s="82"/>
      <c r="AN3742" s="82"/>
      <c r="AO3742" s="82"/>
      <c r="AP3742" s="82"/>
      <c r="AQ3742" s="82"/>
      <c r="AR3742" s="82"/>
      <c r="AS3742" s="82"/>
      <c r="AT3742" s="82"/>
      <c r="AU3742" s="82"/>
      <c r="AV3742" s="82"/>
      <c r="AW3742" s="82" t="str">
        <f t="shared" si="1"/>
        <v/>
      </c>
      <c r="AX3742" s="83" t="str">
        <f t="array" ref="AX3742">IFERROR(DGET('SBV Import'!A:G,"SBV",{"RSC ID","Tier";B3742,A3742}))</f>
        <v/>
      </c>
      <c r="AY3742" s="82" t="str">
        <f t="shared" si="2"/>
        <v/>
      </c>
      <c r="AZ3742" s="82"/>
      <c r="BA3742" s="84" t="s">
        <v>152</v>
      </c>
      <c r="BB3742" s="84" t="str">
        <f>IFERROR(__xludf.DUMMYFUNCTION("iferror(if(A3742="""",,E3742&gt;=FILTER(Constants!$F$2:$F$10,Constants!$A$2:$A$10=A3742)))"),"")</f>
        <v/>
      </c>
    </row>
    <row r="3743">
      <c r="A3743" s="89"/>
      <c r="B3743" s="87"/>
      <c r="C3743" s="73"/>
      <c r="D3743" s="73"/>
      <c r="E3743" s="82"/>
      <c r="F3743" s="82"/>
      <c r="G3743" s="86"/>
      <c r="H3743" s="86"/>
      <c r="I3743" s="86"/>
      <c r="J3743" s="82"/>
      <c r="K3743" s="82"/>
      <c r="L3743" s="82"/>
      <c r="M3743" s="82"/>
      <c r="N3743" s="82"/>
      <c r="O3743" s="82"/>
      <c r="P3743" s="82"/>
      <c r="Q3743" s="82"/>
      <c r="R3743" s="82"/>
      <c r="S3743" s="82"/>
      <c r="T3743" s="82"/>
      <c r="U3743" s="82"/>
      <c r="V3743" s="82"/>
      <c r="W3743" s="82"/>
      <c r="X3743" s="82"/>
      <c r="Y3743" s="82"/>
      <c r="Z3743" s="82"/>
      <c r="AA3743" s="82"/>
      <c r="AB3743" s="82"/>
      <c r="AC3743" s="82"/>
      <c r="AD3743" s="82"/>
      <c r="AE3743" s="82"/>
      <c r="AF3743" s="82"/>
      <c r="AG3743" s="82"/>
      <c r="AH3743" s="82"/>
      <c r="AI3743" s="82"/>
      <c r="AJ3743" s="82"/>
      <c r="AK3743" s="82"/>
      <c r="AL3743" s="82"/>
      <c r="AM3743" s="82"/>
      <c r="AN3743" s="82"/>
      <c r="AO3743" s="82"/>
      <c r="AP3743" s="82"/>
      <c r="AQ3743" s="82"/>
      <c r="AR3743" s="82"/>
      <c r="AS3743" s="82"/>
      <c r="AT3743" s="82"/>
      <c r="AU3743" s="82"/>
      <c r="AV3743" s="82"/>
      <c r="AW3743" s="82" t="str">
        <f t="shared" si="1"/>
        <v/>
      </c>
      <c r="AX3743" s="83" t="str">
        <f t="array" ref="AX3743">IFERROR(DGET('SBV Import'!A:G,"SBV",{"RSC ID","Tier";B3743,A3743}))</f>
        <v/>
      </c>
      <c r="AY3743" s="82" t="str">
        <f t="shared" si="2"/>
        <v/>
      </c>
      <c r="AZ3743" s="82"/>
      <c r="BA3743" s="84" t="s">
        <v>152</v>
      </c>
      <c r="BB3743" s="84" t="str">
        <f>IFERROR(__xludf.DUMMYFUNCTION("iferror(if(A3743="""",,E3743&gt;=FILTER(Constants!$F$2:$F$10,Constants!$A$2:$A$10=A3743)))"),"")</f>
        <v/>
      </c>
    </row>
    <row r="3744">
      <c r="A3744" s="89"/>
      <c r="B3744" s="87"/>
      <c r="C3744" s="73"/>
      <c r="D3744" s="73"/>
      <c r="E3744" s="82"/>
      <c r="F3744" s="82"/>
      <c r="G3744" s="86"/>
      <c r="H3744" s="86"/>
      <c r="I3744" s="86"/>
      <c r="J3744" s="82"/>
      <c r="K3744" s="82"/>
      <c r="L3744" s="82"/>
      <c r="M3744" s="82"/>
      <c r="N3744" s="82"/>
      <c r="O3744" s="82"/>
      <c r="P3744" s="82"/>
      <c r="Q3744" s="82"/>
      <c r="R3744" s="82"/>
      <c r="S3744" s="82"/>
      <c r="T3744" s="82"/>
      <c r="U3744" s="82"/>
      <c r="V3744" s="82"/>
      <c r="W3744" s="82"/>
      <c r="X3744" s="82"/>
      <c r="Y3744" s="82"/>
      <c r="Z3744" s="82"/>
      <c r="AA3744" s="82"/>
      <c r="AB3744" s="82"/>
      <c r="AC3744" s="82"/>
      <c r="AD3744" s="82"/>
      <c r="AE3744" s="82"/>
      <c r="AF3744" s="82"/>
      <c r="AG3744" s="82"/>
      <c r="AH3744" s="82"/>
      <c r="AI3744" s="82"/>
      <c r="AJ3744" s="82"/>
      <c r="AK3744" s="82"/>
      <c r="AL3744" s="82"/>
      <c r="AM3744" s="82"/>
      <c r="AN3744" s="82"/>
      <c r="AO3744" s="82"/>
      <c r="AP3744" s="82"/>
      <c r="AQ3744" s="82"/>
      <c r="AR3744" s="82"/>
      <c r="AS3744" s="82"/>
      <c r="AT3744" s="82"/>
      <c r="AU3744" s="82"/>
      <c r="AV3744" s="82"/>
      <c r="AW3744" s="82" t="str">
        <f t="shared" si="1"/>
        <v/>
      </c>
      <c r="AX3744" s="83" t="str">
        <f t="array" ref="AX3744">IFERROR(DGET('SBV Import'!A:G,"SBV",{"RSC ID","Tier";B3744,A3744}))</f>
        <v/>
      </c>
      <c r="AY3744" s="82" t="str">
        <f t="shared" si="2"/>
        <v/>
      </c>
      <c r="AZ3744" s="82"/>
      <c r="BA3744" s="84" t="s">
        <v>152</v>
      </c>
      <c r="BB3744" s="84" t="str">
        <f>IFERROR(__xludf.DUMMYFUNCTION("iferror(if(A3744="""",,E3744&gt;=FILTER(Constants!$F$2:$F$10,Constants!$A$2:$A$10=A3744)))"),"")</f>
        <v/>
      </c>
    </row>
    <row r="3745">
      <c r="A3745" s="89"/>
      <c r="B3745" s="87"/>
      <c r="C3745" s="73"/>
      <c r="D3745" s="73"/>
      <c r="E3745" s="82"/>
      <c r="F3745" s="82"/>
      <c r="G3745" s="86"/>
      <c r="H3745" s="86"/>
      <c r="I3745" s="86"/>
      <c r="J3745" s="82"/>
      <c r="K3745" s="82"/>
      <c r="L3745" s="82"/>
      <c r="M3745" s="82"/>
      <c r="N3745" s="82"/>
      <c r="O3745" s="82"/>
      <c r="P3745" s="82"/>
      <c r="Q3745" s="82"/>
      <c r="R3745" s="82"/>
      <c r="S3745" s="82"/>
      <c r="T3745" s="82"/>
      <c r="U3745" s="82"/>
      <c r="V3745" s="82"/>
      <c r="W3745" s="82"/>
      <c r="X3745" s="82"/>
      <c r="Y3745" s="82"/>
      <c r="Z3745" s="82"/>
      <c r="AA3745" s="82"/>
      <c r="AB3745" s="82"/>
      <c r="AC3745" s="82"/>
      <c r="AD3745" s="82"/>
      <c r="AE3745" s="82"/>
      <c r="AF3745" s="82"/>
      <c r="AG3745" s="82"/>
      <c r="AH3745" s="82"/>
      <c r="AI3745" s="82"/>
      <c r="AJ3745" s="82"/>
      <c r="AK3745" s="82"/>
      <c r="AL3745" s="82"/>
      <c r="AM3745" s="82"/>
      <c r="AN3745" s="82"/>
      <c r="AO3745" s="82"/>
      <c r="AP3745" s="82"/>
      <c r="AQ3745" s="82"/>
      <c r="AR3745" s="82"/>
      <c r="AS3745" s="82"/>
      <c r="AT3745" s="82"/>
      <c r="AU3745" s="82"/>
      <c r="AV3745" s="82"/>
      <c r="AW3745" s="82" t="str">
        <f t="shared" si="1"/>
        <v/>
      </c>
      <c r="AX3745" s="83" t="str">
        <f t="array" ref="AX3745">IFERROR(DGET('SBV Import'!A:G,"SBV",{"RSC ID","Tier";B3745,A3745}))</f>
        <v/>
      </c>
      <c r="AY3745" s="82" t="str">
        <f t="shared" si="2"/>
        <v/>
      </c>
      <c r="AZ3745" s="82"/>
      <c r="BA3745" s="84" t="s">
        <v>152</v>
      </c>
      <c r="BB3745" s="84" t="str">
        <f>IFERROR(__xludf.DUMMYFUNCTION("iferror(if(A3745="""",,E3745&gt;=FILTER(Constants!$F$2:$F$10,Constants!$A$2:$A$10=A3745)))"),"")</f>
        <v/>
      </c>
    </row>
    <row r="3746">
      <c r="A3746" s="89"/>
      <c r="B3746" s="87"/>
      <c r="C3746" s="73"/>
      <c r="D3746" s="73"/>
      <c r="E3746" s="82"/>
      <c r="F3746" s="82"/>
      <c r="G3746" s="86"/>
      <c r="H3746" s="86"/>
      <c r="I3746" s="86"/>
      <c r="J3746" s="82"/>
      <c r="K3746" s="82"/>
      <c r="L3746" s="82"/>
      <c r="M3746" s="82"/>
      <c r="N3746" s="82"/>
      <c r="O3746" s="82"/>
      <c r="P3746" s="82"/>
      <c r="Q3746" s="82"/>
      <c r="R3746" s="82"/>
      <c r="S3746" s="82"/>
      <c r="T3746" s="82"/>
      <c r="U3746" s="82"/>
      <c r="V3746" s="82"/>
      <c r="W3746" s="82"/>
      <c r="X3746" s="82"/>
      <c r="Y3746" s="82"/>
      <c r="Z3746" s="82"/>
      <c r="AA3746" s="82"/>
      <c r="AB3746" s="82"/>
      <c r="AC3746" s="82"/>
      <c r="AD3746" s="82"/>
      <c r="AE3746" s="82"/>
      <c r="AF3746" s="82"/>
      <c r="AG3746" s="82"/>
      <c r="AH3746" s="82"/>
      <c r="AI3746" s="82"/>
      <c r="AJ3746" s="82"/>
      <c r="AK3746" s="82"/>
      <c r="AL3746" s="82"/>
      <c r="AM3746" s="82"/>
      <c r="AN3746" s="82"/>
      <c r="AO3746" s="82"/>
      <c r="AP3746" s="82"/>
      <c r="AQ3746" s="82"/>
      <c r="AR3746" s="82"/>
      <c r="AS3746" s="82"/>
      <c r="AT3746" s="82"/>
      <c r="AU3746" s="82"/>
      <c r="AV3746" s="82"/>
      <c r="AW3746" s="82" t="str">
        <f t="shared" si="1"/>
        <v/>
      </c>
      <c r="AX3746" s="83" t="str">
        <f t="array" ref="AX3746">IFERROR(DGET('SBV Import'!A:G,"SBV",{"RSC ID","Tier";B3746,A3746}))</f>
        <v/>
      </c>
      <c r="AY3746" s="82" t="str">
        <f t="shared" si="2"/>
        <v/>
      </c>
      <c r="AZ3746" s="82"/>
      <c r="BA3746" s="84" t="s">
        <v>152</v>
      </c>
      <c r="BB3746" s="84" t="str">
        <f>IFERROR(__xludf.DUMMYFUNCTION("iferror(if(A3746="""",,E3746&gt;=FILTER(Constants!$F$2:$F$10,Constants!$A$2:$A$10=A3746)))"),"")</f>
        <v/>
      </c>
    </row>
    <row r="3747">
      <c r="A3747" s="89"/>
      <c r="B3747" s="87"/>
      <c r="C3747" s="73"/>
      <c r="D3747" s="73"/>
      <c r="E3747" s="82"/>
      <c r="F3747" s="82"/>
      <c r="G3747" s="86"/>
      <c r="H3747" s="86"/>
      <c r="I3747" s="86"/>
      <c r="J3747" s="82"/>
      <c r="K3747" s="82"/>
      <c r="L3747" s="82"/>
      <c r="M3747" s="82"/>
      <c r="N3747" s="82"/>
      <c r="O3747" s="82"/>
      <c r="P3747" s="82"/>
      <c r="Q3747" s="82"/>
      <c r="R3747" s="82"/>
      <c r="S3747" s="82"/>
      <c r="T3747" s="82"/>
      <c r="U3747" s="82"/>
      <c r="V3747" s="82"/>
      <c r="W3747" s="82"/>
      <c r="X3747" s="82"/>
      <c r="Y3747" s="82"/>
      <c r="Z3747" s="82"/>
      <c r="AA3747" s="82"/>
      <c r="AB3747" s="82"/>
      <c r="AC3747" s="82"/>
      <c r="AD3747" s="82"/>
      <c r="AE3747" s="82"/>
      <c r="AF3747" s="82"/>
      <c r="AG3747" s="82"/>
      <c r="AH3747" s="82"/>
      <c r="AI3747" s="82"/>
      <c r="AJ3747" s="82"/>
      <c r="AK3747" s="82"/>
      <c r="AL3747" s="82"/>
      <c r="AM3747" s="82"/>
      <c r="AN3747" s="82"/>
      <c r="AO3747" s="82"/>
      <c r="AP3747" s="82"/>
      <c r="AQ3747" s="82"/>
      <c r="AR3747" s="82"/>
      <c r="AS3747" s="82"/>
      <c r="AT3747" s="82"/>
      <c r="AU3747" s="82"/>
      <c r="AV3747" s="82"/>
      <c r="AW3747" s="82" t="str">
        <f t="shared" si="1"/>
        <v/>
      </c>
      <c r="AX3747" s="83" t="str">
        <f t="array" ref="AX3747">IFERROR(DGET('SBV Import'!A:G,"SBV",{"RSC ID","Tier";B3747,A3747}))</f>
        <v/>
      </c>
      <c r="AY3747" s="82" t="str">
        <f t="shared" si="2"/>
        <v/>
      </c>
      <c r="AZ3747" s="82"/>
      <c r="BA3747" s="84" t="s">
        <v>152</v>
      </c>
      <c r="BB3747" s="84" t="str">
        <f>IFERROR(__xludf.DUMMYFUNCTION("iferror(if(A3747="""",,E3747&gt;=FILTER(Constants!$F$2:$F$10,Constants!$A$2:$A$10=A3747)))"),"")</f>
        <v/>
      </c>
    </row>
    <row r="3748">
      <c r="A3748" s="89"/>
      <c r="B3748" s="87"/>
      <c r="C3748" s="73"/>
      <c r="D3748" s="73"/>
      <c r="E3748" s="82"/>
      <c r="F3748" s="82"/>
      <c r="G3748" s="86"/>
      <c r="H3748" s="86"/>
      <c r="I3748" s="86"/>
      <c r="J3748" s="82"/>
      <c r="K3748" s="82"/>
      <c r="L3748" s="82"/>
      <c r="M3748" s="82"/>
      <c r="N3748" s="82"/>
      <c r="O3748" s="82"/>
      <c r="P3748" s="82"/>
      <c r="Q3748" s="82"/>
      <c r="R3748" s="82"/>
      <c r="S3748" s="82"/>
      <c r="T3748" s="82"/>
      <c r="U3748" s="82"/>
      <c r="V3748" s="82"/>
      <c r="W3748" s="82"/>
      <c r="X3748" s="82"/>
      <c r="Y3748" s="82"/>
      <c r="Z3748" s="82"/>
      <c r="AA3748" s="82"/>
      <c r="AB3748" s="82"/>
      <c r="AC3748" s="82"/>
      <c r="AD3748" s="82"/>
      <c r="AE3748" s="82"/>
      <c r="AF3748" s="82"/>
      <c r="AG3748" s="82"/>
      <c r="AH3748" s="82"/>
      <c r="AI3748" s="82"/>
      <c r="AJ3748" s="82"/>
      <c r="AK3748" s="82"/>
      <c r="AL3748" s="82"/>
      <c r="AM3748" s="82"/>
      <c r="AN3748" s="82"/>
      <c r="AO3748" s="82"/>
      <c r="AP3748" s="82"/>
      <c r="AQ3748" s="82"/>
      <c r="AR3748" s="82"/>
      <c r="AS3748" s="82"/>
      <c r="AT3748" s="82"/>
      <c r="AU3748" s="82"/>
      <c r="AV3748" s="82"/>
      <c r="AW3748" s="82" t="str">
        <f t="shared" si="1"/>
        <v/>
      </c>
      <c r="AX3748" s="83" t="str">
        <f t="array" ref="AX3748">IFERROR(DGET('SBV Import'!A:G,"SBV",{"RSC ID","Tier";B3748,A3748}))</f>
        <v/>
      </c>
      <c r="AY3748" s="82" t="str">
        <f t="shared" si="2"/>
        <v/>
      </c>
      <c r="AZ3748" s="82"/>
      <c r="BA3748" s="84" t="s">
        <v>152</v>
      </c>
      <c r="BB3748" s="84" t="str">
        <f>IFERROR(__xludf.DUMMYFUNCTION("iferror(if(A3748="""",,E3748&gt;=FILTER(Constants!$F$2:$F$10,Constants!$A$2:$A$10=A3748)))"),"")</f>
        <v/>
      </c>
    </row>
    <row r="3749">
      <c r="A3749" s="89"/>
      <c r="B3749" s="87"/>
      <c r="C3749" s="73"/>
      <c r="D3749" s="73"/>
      <c r="E3749" s="82"/>
      <c r="F3749" s="82"/>
      <c r="G3749" s="86"/>
      <c r="H3749" s="86"/>
      <c r="I3749" s="86"/>
      <c r="J3749" s="82"/>
      <c r="K3749" s="82"/>
      <c r="L3749" s="82"/>
      <c r="M3749" s="82"/>
      <c r="N3749" s="82"/>
      <c r="O3749" s="82"/>
      <c r="P3749" s="82"/>
      <c r="Q3749" s="82"/>
      <c r="R3749" s="82"/>
      <c r="S3749" s="82"/>
      <c r="T3749" s="82"/>
      <c r="U3749" s="82"/>
      <c r="V3749" s="82"/>
      <c r="W3749" s="82"/>
      <c r="X3749" s="82"/>
      <c r="Y3749" s="82"/>
      <c r="Z3749" s="82"/>
      <c r="AA3749" s="82"/>
      <c r="AB3749" s="82"/>
      <c r="AC3749" s="82"/>
      <c r="AD3749" s="82"/>
      <c r="AE3749" s="82"/>
      <c r="AF3749" s="82"/>
      <c r="AG3749" s="82"/>
      <c r="AH3749" s="82"/>
      <c r="AI3749" s="82"/>
      <c r="AJ3749" s="82"/>
      <c r="AK3749" s="82"/>
      <c r="AL3749" s="82"/>
      <c r="AM3749" s="82"/>
      <c r="AN3749" s="82"/>
      <c r="AO3749" s="82"/>
      <c r="AP3749" s="82"/>
      <c r="AQ3749" s="82"/>
      <c r="AR3749" s="82"/>
      <c r="AS3749" s="82"/>
      <c r="AT3749" s="82"/>
      <c r="AU3749" s="82"/>
      <c r="AV3749" s="82"/>
      <c r="AW3749" s="82" t="str">
        <f t="shared" si="1"/>
        <v/>
      </c>
      <c r="AX3749" s="83" t="str">
        <f t="array" ref="AX3749">IFERROR(DGET('SBV Import'!A:G,"SBV",{"RSC ID","Tier";B3749,A3749}))</f>
        <v/>
      </c>
      <c r="AY3749" s="82" t="str">
        <f t="shared" si="2"/>
        <v/>
      </c>
      <c r="AZ3749" s="82"/>
      <c r="BA3749" s="84" t="s">
        <v>152</v>
      </c>
      <c r="BB3749" s="84" t="str">
        <f>IFERROR(__xludf.DUMMYFUNCTION("iferror(if(A3749="""",,E3749&gt;=FILTER(Constants!$F$2:$F$10,Constants!$A$2:$A$10=A3749)))"),"")</f>
        <v/>
      </c>
    </row>
    <row r="3750">
      <c r="A3750" s="89"/>
      <c r="B3750" s="87"/>
      <c r="C3750" s="73"/>
      <c r="D3750" s="73"/>
      <c r="E3750" s="82"/>
      <c r="F3750" s="82"/>
      <c r="G3750" s="86"/>
      <c r="H3750" s="86"/>
      <c r="I3750" s="86"/>
      <c r="J3750" s="82"/>
      <c r="K3750" s="82"/>
      <c r="L3750" s="82"/>
      <c r="M3750" s="82"/>
      <c r="N3750" s="82"/>
      <c r="O3750" s="82"/>
      <c r="P3750" s="82"/>
      <c r="Q3750" s="82"/>
      <c r="R3750" s="82"/>
      <c r="S3750" s="82"/>
      <c r="T3750" s="82"/>
      <c r="U3750" s="82"/>
      <c r="V3750" s="82"/>
      <c r="W3750" s="82"/>
      <c r="X3750" s="82"/>
      <c r="Y3750" s="82"/>
      <c r="Z3750" s="82"/>
      <c r="AA3750" s="82"/>
      <c r="AB3750" s="82"/>
      <c r="AC3750" s="82"/>
      <c r="AD3750" s="82"/>
      <c r="AE3750" s="82"/>
      <c r="AF3750" s="82"/>
      <c r="AG3750" s="82"/>
      <c r="AH3750" s="82"/>
      <c r="AI3750" s="82"/>
      <c r="AJ3750" s="82"/>
      <c r="AK3750" s="82"/>
      <c r="AL3750" s="82"/>
      <c r="AM3750" s="82"/>
      <c r="AN3750" s="82"/>
      <c r="AO3750" s="82"/>
      <c r="AP3750" s="82"/>
      <c r="AQ3750" s="82"/>
      <c r="AR3750" s="82"/>
      <c r="AS3750" s="82"/>
      <c r="AT3750" s="82"/>
      <c r="AU3750" s="82"/>
      <c r="AV3750" s="82"/>
      <c r="AW3750" s="82" t="str">
        <f t="shared" si="1"/>
        <v/>
      </c>
      <c r="AX3750" s="83" t="str">
        <f t="array" ref="AX3750">IFERROR(DGET('SBV Import'!A:G,"SBV",{"RSC ID","Tier";B3750,A3750}))</f>
        <v/>
      </c>
      <c r="AY3750" s="82" t="str">
        <f t="shared" si="2"/>
        <v/>
      </c>
      <c r="AZ3750" s="82"/>
      <c r="BA3750" s="84" t="s">
        <v>152</v>
      </c>
      <c r="BB3750" s="84" t="str">
        <f>IFERROR(__xludf.DUMMYFUNCTION("iferror(if(A3750="""",,E3750&gt;=FILTER(Constants!$F$2:$F$10,Constants!$A$2:$A$10=A3750)))"),"")</f>
        <v/>
      </c>
    </row>
    <row r="3751">
      <c r="A3751" s="89"/>
      <c r="B3751" s="87"/>
      <c r="C3751" s="73"/>
      <c r="D3751" s="73"/>
      <c r="E3751" s="82"/>
      <c r="F3751" s="82"/>
      <c r="G3751" s="86"/>
      <c r="H3751" s="86"/>
      <c r="I3751" s="86"/>
      <c r="J3751" s="82"/>
      <c r="K3751" s="82"/>
      <c r="L3751" s="82"/>
      <c r="M3751" s="82"/>
      <c r="N3751" s="82"/>
      <c r="O3751" s="82"/>
      <c r="P3751" s="82"/>
      <c r="Q3751" s="82"/>
      <c r="R3751" s="82"/>
      <c r="S3751" s="82"/>
      <c r="T3751" s="82"/>
      <c r="U3751" s="82"/>
      <c r="V3751" s="82"/>
      <c r="W3751" s="82"/>
      <c r="X3751" s="82"/>
      <c r="Y3751" s="82"/>
      <c r="Z3751" s="82"/>
      <c r="AA3751" s="82"/>
      <c r="AB3751" s="82"/>
      <c r="AC3751" s="82"/>
      <c r="AD3751" s="82"/>
      <c r="AE3751" s="82"/>
      <c r="AF3751" s="82"/>
      <c r="AG3751" s="82"/>
      <c r="AH3751" s="82"/>
      <c r="AI3751" s="82"/>
      <c r="AJ3751" s="82"/>
      <c r="AK3751" s="82"/>
      <c r="AL3751" s="82"/>
      <c r="AM3751" s="82"/>
      <c r="AN3751" s="82"/>
      <c r="AO3751" s="82"/>
      <c r="AP3751" s="82"/>
      <c r="AQ3751" s="82"/>
      <c r="AR3751" s="82"/>
      <c r="AS3751" s="82"/>
      <c r="AT3751" s="82"/>
      <c r="AU3751" s="82"/>
      <c r="AV3751" s="82"/>
      <c r="AW3751" s="82" t="str">
        <f t="shared" si="1"/>
        <v/>
      </c>
      <c r="AX3751" s="83" t="str">
        <f t="array" ref="AX3751">IFERROR(DGET('SBV Import'!A:G,"SBV",{"RSC ID","Tier";B3751,A3751}))</f>
        <v/>
      </c>
      <c r="AY3751" s="82" t="str">
        <f t="shared" si="2"/>
        <v/>
      </c>
      <c r="AZ3751" s="82"/>
      <c r="BA3751" s="84" t="s">
        <v>152</v>
      </c>
      <c r="BB3751" s="84" t="str">
        <f>IFERROR(__xludf.DUMMYFUNCTION("iferror(if(A3751="""",,E3751&gt;=FILTER(Constants!$F$2:$F$10,Constants!$A$2:$A$10=A3751)))"),"")</f>
        <v/>
      </c>
    </row>
    <row r="3752">
      <c r="A3752" s="89"/>
      <c r="B3752" s="87"/>
      <c r="C3752" s="73"/>
      <c r="D3752" s="73"/>
      <c r="E3752" s="82"/>
      <c r="F3752" s="82"/>
      <c r="G3752" s="86"/>
      <c r="H3752" s="86"/>
      <c r="I3752" s="86"/>
      <c r="J3752" s="82"/>
      <c r="K3752" s="82"/>
      <c r="L3752" s="82"/>
      <c r="M3752" s="82"/>
      <c r="N3752" s="82"/>
      <c r="O3752" s="82"/>
      <c r="P3752" s="82"/>
      <c r="Q3752" s="82"/>
      <c r="R3752" s="82"/>
      <c r="S3752" s="82"/>
      <c r="T3752" s="82"/>
      <c r="U3752" s="82"/>
      <c r="V3752" s="82"/>
      <c r="W3752" s="82"/>
      <c r="X3752" s="82"/>
      <c r="Y3752" s="82"/>
      <c r="Z3752" s="82"/>
      <c r="AA3752" s="82"/>
      <c r="AB3752" s="82"/>
      <c r="AC3752" s="82"/>
      <c r="AD3752" s="82"/>
      <c r="AE3752" s="82"/>
      <c r="AF3752" s="82"/>
      <c r="AG3752" s="82"/>
      <c r="AH3752" s="82"/>
      <c r="AI3752" s="82"/>
      <c r="AJ3752" s="82"/>
      <c r="AK3752" s="82"/>
      <c r="AL3752" s="82"/>
      <c r="AM3752" s="82"/>
      <c r="AN3752" s="82"/>
      <c r="AO3752" s="82"/>
      <c r="AP3752" s="82"/>
      <c r="AQ3752" s="82"/>
      <c r="AR3752" s="82"/>
      <c r="AS3752" s="82"/>
      <c r="AT3752" s="82"/>
      <c r="AU3752" s="82"/>
      <c r="AV3752" s="82"/>
      <c r="AW3752" s="82" t="str">
        <f t="shared" si="1"/>
        <v/>
      </c>
      <c r="AX3752" s="83" t="str">
        <f t="array" ref="AX3752">IFERROR(DGET('SBV Import'!A:G,"SBV",{"RSC ID","Tier";B3752,A3752}))</f>
        <v/>
      </c>
      <c r="AY3752" s="82" t="str">
        <f t="shared" si="2"/>
        <v/>
      </c>
      <c r="AZ3752" s="82"/>
      <c r="BA3752" s="84" t="s">
        <v>152</v>
      </c>
      <c r="BB3752" s="84" t="str">
        <f>IFERROR(__xludf.DUMMYFUNCTION("iferror(if(A3752="""",,E3752&gt;=FILTER(Constants!$F$2:$F$10,Constants!$A$2:$A$10=A3752)))"),"")</f>
        <v/>
      </c>
    </row>
    <row r="3753">
      <c r="A3753" s="89"/>
      <c r="B3753" s="87"/>
      <c r="C3753" s="73"/>
      <c r="D3753" s="73"/>
      <c r="E3753" s="82"/>
      <c r="F3753" s="82"/>
      <c r="G3753" s="86"/>
      <c r="H3753" s="86"/>
      <c r="I3753" s="86"/>
      <c r="J3753" s="82"/>
      <c r="K3753" s="82"/>
      <c r="L3753" s="82"/>
      <c r="M3753" s="82"/>
      <c r="N3753" s="82"/>
      <c r="O3753" s="82"/>
      <c r="P3753" s="82"/>
      <c r="Q3753" s="82"/>
      <c r="R3753" s="82"/>
      <c r="S3753" s="82"/>
      <c r="T3753" s="82"/>
      <c r="U3753" s="82"/>
      <c r="V3753" s="82"/>
      <c r="W3753" s="82"/>
      <c r="X3753" s="82"/>
      <c r="Y3753" s="82"/>
      <c r="Z3753" s="82"/>
      <c r="AA3753" s="82"/>
      <c r="AB3753" s="82"/>
      <c r="AC3753" s="82"/>
      <c r="AD3753" s="82"/>
      <c r="AE3753" s="82"/>
      <c r="AF3753" s="82"/>
      <c r="AG3753" s="82"/>
      <c r="AH3753" s="82"/>
      <c r="AI3753" s="82"/>
      <c r="AJ3753" s="82"/>
      <c r="AK3753" s="82"/>
      <c r="AL3753" s="82"/>
      <c r="AM3753" s="82"/>
      <c r="AN3753" s="82"/>
      <c r="AO3753" s="82"/>
      <c r="AP3753" s="82"/>
      <c r="AQ3753" s="82"/>
      <c r="AR3753" s="82"/>
      <c r="AS3753" s="82"/>
      <c r="AT3753" s="82"/>
      <c r="AU3753" s="82"/>
      <c r="AV3753" s="82"/>
      <c r="AW3753" s="82" t="str">
        <f t="shared" si="1"/>
        <v/>
      </c>
      <c r="AX3753" s="83" t="str">
        <f t="array" ref="AX3753">IFERROR(DGET('SBV Import'!A:G,"SBV",{"RSC ID","Tier";B3753,A3753}))</f>
        <v/>
      </c>
      <c r="AY3753" s="82" t="str">
        <f t="shared" si="2"/>
        <v/>
      </c>
      <c r="AZ3753" s="82"/>
      <c r="BA3753" s="84" t="s">
        <v>152</v>
      </c>
      <c r="BB3753" s="84" t="str">
        <f>IFERROR(__xludf.DUMMYFUNCTION("iferror(if(A3753="""",,E3753&gt;=FILTER(Constants!$F$2:$F$10,Constants!$A$2:$A$10=A3753)))"),"")</f>
        <v/>
      </c>
    </row>
    <row r="3754">
      <c r="A3754" s="89"/>
      <c r="B3754" s="87"/>
      <c r="C3754" s="73"/>
      <c r="D3754" s="73"/>
      <c r="E3754" s="82"/>
      <c r="F3754" s="82"/>
      <c r="G3754" s="86"/>
      <c r="H3754" s="86"/>
      <c r="I3754" s="86"/>
      <c r="J3754" s="82"/>
      <c r="K3754" s="82"/>
      <c r="L3754" s="82"/>
      <c r="M3754" s="82"/>
      <c r="N3754" s="82"/>
      <c r="O3754" s="82"/>
      <c r="P3754" s="82"/>
      <c r="Q3754" s="82"/>
      <c r="R3754" s="82"/>
      <c r="S3754" s="82"/>
      <c r="T3754" s="82"/>
      <c r="U3754" s="82"/>
      <c r="V3754" s="82"/>
      <c r="W3754" s="82"/>
      <c r="X3754" s="82"/>
      <c r="Y3754" s="82"/>
      <c r="Z3754" s="82"/>
      <c r="AA3754" s="82"/>
      <c r="AB3754" s="82"/>
      <c r="AC3754" s="82"/>
      <c r="AD3754" s="82"/>
      <c r="AE3754" s="82"/>
      <c r="AF3754" s="82"/>
      <c r="AG3754" s="82"/>
      <c r="AH3754" s="82"/>
      <c r="AI3754" s="82"/>
      <c r="AJ3754" s="82"/>
      <c r="AK3754" s="82"/>
      <c r="AL3754" s="82"/>
      <c r="AM3754" s="82"/>
      <c r="AN3754" s="82"/>
      <c r="AO3754" s="82"/>
      <c r="AP3754" s="82"/>
      <c r="AQ3754" s="82"/>
      <c r="AR3754" s="82"/>
      <c r="AS3754" s="82"/>
      <c r="AT3754" s="82"/>
      <c r="AU3754" s="82"/>
      <c r="AV3754" s="82"/>
      <c r="AW3754" s="82" t="str">
        <f t="shared" si="1"/>
        <v/>
      </c>
      <c r="AX3754" s="83" t="str">
        <f t="array" ref="AX3754">IFERROR(DGET('SBV Import'!A:G,"SBV",{"RSC ID","Tier";B3754,A3754}))</f>
        <v/>
      </c>
      <c r="AY3754" s="82" t="str">
        <f t="shared" si="2"/>
        <v/>
      </c>
      <c r="AZ3754" s="82"/>
      <c r="BA3754" s="84" t="s">
        <v>152</v>
      </c>
      <c r="BB3754" s="84" t="str">
        <f>IFERROR(__xludf.DUMMYFUNCTION("iferror(if(A3754="""",,E3754&gt;=FILTER(Constants!$F$2:$F$10,Constants!$A$2:$A$10=A3754)))"),"")</f>
        <v/>
      </c>
    </row>
    <row r="3755">
      <c r="A3755" s="89"/>
      <c r="B3755" s="87"/>
      <c r="C3755" s="73"/>
      <c r="D3755" s="73"/>
      <c r="E3755" s="82"/>
      <c r="F3755" s="82"/>
      <c r="G3755" s="86"/>
      <c r="H3755" s="86"/>
      <c r="I3755" s="86"/>
      <c r="J3755" s="82"/>
      <c r="K3755" s="82"/>
      <c r="L3755" s="82"/>
      <c r="M3755" s="82"/>
      <c r="N3755" s="82"/>
      <c r="O3755" s="82"/>
      <c r="P3755" s="82"/>
      <c r="Q3755" s="82"/>
      <c r="R3755" s="82"/>
      <c r="S3755" s="82"/>
      <c r="T3755" s="82"/>
      <c r="U3755" s="82"/>
      <c r="V3755" s="82"/>
      <c r="W3755" s="82"/>
      <c r="X3755" s="82"/>
      <c r="Y3755" s="82"/>
      <c r="Z3755" s="82"/>
      <c r="AA3755" s="82"/>
      <c r="AB3755" s="82"/>
      <c r="AC3755" s="82"/>
      <c r="AD3755" s="82"/>
      <c r="AE3755" s="82"/>
      <c r="AF3755" s="82"/>
      <c r="AG3755" s="82"/>
      <c r="AH3755" s="82"/>
      <c r="AI3755" s="82"/>
      <c r="AJ3755" s="82"/>
      <c r="AK3755" s="82"/>
      <c r="AL3755" s="82"/>
      <c r="AM3755" s="82"/>
      <c r="AN3755" s="82"/>
      <c r="AO3755" s="82"/>
      <c r="AP3755" s="82"/>
      <c r="AQ3755" s="82"/>
      <c r="AR3755" s="82"/>
      <c r="AS3755" s="82"/>
      <c r="AT3755" s="82"/>
      <c r="AU3755" s="82"/>
      <c r="AV3755" s="82"/>
      <c r="AW3755" s="82" t="str">
        <f t="shared" si="1"/>
        <v/>
      </c>
      <c r="AX3755" s="83" t="str">
        <f t="array" ref="AX3755">IFERROR(DGET('SBV Import'!A:G,"SBV",{"RSC ID","Tier";B3755,A3755}))</f>
        <v/>
      </c>
      <c r="AY3755" s="82" t="str">
        <f t="shared" si="2"/>
        <v/>
      </c>
      <c r="AZ3755" s="82"/>
      <c r="BA3755" s="84" t="s">
        <v>152</v>
      </c>
      <c r="BB3755" s="84" t="str">
        <f>IFERROR(__xludf.DUMMYFUNCTION("iferror(if(A3755="""",,E3755&gt;=FILTER(Constants!$F$2:$F$10,Constants!$A$2:$A$10=A3755)))"),"")</f>
        <v/>
      </c>
    </row>
    <row r="3756">
      <c r="A3756" s="89"/>
      <c r="B3756" s="87"/>
      <c r="C3756" s="73"/>
      <c r="D3756" s="73"/>
      <c r="E3756" s="82"/>
      <c r="F3756" s="82"/>
      <c r="G3756" s="86"/>
      <c r="H3756" s="86"/>
      <c r="I3756" s="86"/>
      <c r="J3756" s="82"/>
      <c r="K3756" s="82"/>
      <c r="L3756" s="82"/>
      <c r="M3756" s="82"/>
      <c r="N3756" s="82"/>
      <c r="O3756" s="82"/>
      <c r="P3756" s="82"/>
      <c r="Q3756" s="82"/>
      <c r="R3756" s="82"/>
      <c r="S3756" s="82"/>
      <c r="T3756" s="82"/>
      <c r="U3756" s="82"/>
      <c r="V3756" s="82"/>
      <c r="W3756" s="82"/>
      <c r="X3756" s="82"/>
      <c r="Y3756" s="82"/>
      <c r="Z3756" s="82"/>
      <c r="AA3756" s="82"/>
      <c r="AB3756" s="82"/>
      <c r="AC3756" s="82"/>
      <c r="AD3756" s="82"/>
      <c r="AE3756" s="82"/>
      <c r="AF3756" s="82"/>
      <c r="AG3756" s="82"/>
      <c r="AH3756" s="82"/>
      <c r="AI3756" s="82"/>
      <c r="AJ3756" s="82"/>
      <c r="AK3756" s="82"/>
      <c r="AL3756" s="82"/>
      <c r="AM3756" s="82"/>
      <c r="AN3756" s="82"/>
      <c r="AO3756" s="82"/>
      <c r="AP3756" s="82"/>
      <c r="AQ3756" s="82"/>
      <c r="AR3756" s="82"/>
      <c r="AS3756" s="82"/>
      <c r="AT3756" s="82"/>
      <c r="AU3756" s="82"/>
      <c r="AV3756" s="82"/>
      <c r="AW3756" s="82" t="str">
        <f t="shared" si="1"/>
        <v/>
      </c>
      <c r="AX3756" s="83" t="str">
        <f t="array" ref="AX3756">IFERROR(DGET('SBV Import'!A:G,"SBV",{"RSC ID","Tier";B3756,A3756}))</f>
        <v/>
      </c>
      <c r="AY3756" s="82" t="str">
        <f t="shared" si="2"/>
        <v/>
      </c>
      <c r="AZ3756" s="82"/>
      <c r="BA3756" s="84" t="s">
        <v>152</v>
      </c>
      <c r="BB3756" s="84" t="str">
        <f>IFERROR(__xludf.DUMMYFUNCTION("iferror(if(A3756="""",,E3756&gt;=FILTER(Constants!$F$2:$F$10,Constants!$A$2:$A$10=A3756)))"),"")</f>
        <v/>
      </c>
    </row>
    <row r="3757">
      <c r="A3757" s="89"/>
      <c r="B3757" s="87"/>
      <c r="C3757" s="73"/>
      <c r="D3757" s="73"/>
      <c r="E3757" s="82"/>
      <c r="F3757" s="82"/>
      <c r="G3757" s="86"/>
      <c r="H3757" s="86"/>
      <c r="I3757" s="86"/>
      <c r="J3757" s="82"/>
      <c r="K3757" s="82"/>
      <c r="L3757" s="82"/>
      <c r="M3757" s="82"/>
      <c r="N3757" s="82"/>
      <c r="O3757" s="82"/>
      <c r="P3757" s="82"/>
      <c r="Q3757" s="82"/>
      <c r="R3757" s="82"/>
      <c r="S3757" s="82"/>
      <c r="T3757" s="82"/>
      <c r="U3757" s="82"/>
      <c r="V3757" s="82"/>
      <c r="W3757" s="82"/>
      <c r="X3757" s="82"/>
      <c r="Y3757" s="82"/>
      <c r="Z3757" s="82"/>
      <c r="AA3757" s="82"/>
      <c r="AB3757" s="82"/>
      <c r="AC3757" s="82"/>
      <c r="AD3757" s="82"/>
      <c r="AE3757" s="82"/>
      <c r="AF3757" s="82"/>
      <c r="AG3757" s="82"/>
      <c r="AH3757" s="82"/>
      <c r="AI3757" s="82"/>
      <c r="AJ3757" s="82"/>
      <c r="AK3757" s="82"/>
      <c r="AL3757" s="82"/>
      <c r="AM3757" s="82"/>
      <c r="AN3757" s="82"/>
      <c r="AO3757" s="82"/>
      <c r="AP3757" s="82"/>
      <c r="AQ3757" s="82"/>
      <c r="AR3757" s="82"/>
      <c r="AS3757" s="82"/>
      <c r="AT3757" s="82"/>
      <c r="AU3757" s="82"/>
      <c r="AV3757" s="82"/>
      <c r="AW3757" s="82" t="str">
        <f t="shared" si="1"/>
        <v/>
      </c>
      <c r="AX3757" s="83" t="str">
        <f t="array" ref="AX3757">IFERROR(DGET('SBV Import'!A:G,"SBV",{"RSC ID","Tier";B3757,A3757}))</f>
        <v/>
      </c>
      <c r="AY3757" s="82" t="str">
        <f t="shared" si="2"/>
        <v/>
      </c>
      <c r="AZ3757" s="82"/>
      <c r="BA3757" s="84" t="s">
        <v>152</v>
      </c>
      <c r="BB3757" s="84" t="str">
        <f>IFERROR(__xludf.DUMMYFUNCTION("iferror(if(A3757="""",,E3757&gt;=FILTER(Constants!$F$2:$F$10,Constants!$A$2:$A$10=A3757)))"),"")</f>
        <v/>
      </c>
    </row>
    <row r="3758">
      <c r="A3758" s="89"/>
      <c r="B3758" s="87"/>
      <c r="C3758" s="73"/>
      <c r="D3758" s="73"/>
      <c r="E3758" s="82"/>
      <c r="F3758" s="82"/>
      <c r="G3758" s="86"/>
      <c r="H3758" s="86"/>
      <c r="I3758" s="86"/>
      <c r="J3758" s="82"/>
      <c r="K3758" s="82"/>
      <c r="L3758" s="82"/>
      <c r="M3758" s="82"/>
      <c r="N3758" s="82"/>
      <c r="O3758" s="82"/>
      <c r="P3758" s="82"/>
      <c r="Q3758" s="82"/>
      <c r="R3758" s="82"/>
      <c r="S3758" s="82"/>
      <c r="T3758" s="82"/>
      <c r="U3758" s="82"/>
      <c r="V3758" s="82"/>
      <c r="W3758" s="82"/>
      <c r="X3758" s="82"/>
      <c r="Y3758" s="82"/>
      <c r="Z3758" s="82"/>
      <c r="AA3758" s="82"/>
      <c r="AB3758" s="82"/>
      <c r="AC3758" s="82"/>
      <c r="AD3758" s="82"/>
      <c r="AE3758" s="82"/>
      <c r="AF3758" s="82"/>
      <c r="AG3758" s="82"/>
      <c r="AH3758" s="82"/>
      <c r="AI3758" s="82"/>
      <c r="AJ3758" s="82"/>
      <c r="AK3758" s="82"/>
      <c r="AL3758" s="82"/>
      <c r="AM3758" s="82"/>
      <c r="AN3758" s="82"/>
      <c r="AO3758" s="82"/>
      <c r="AP3758" s="82"/>
      <c r="AQ3758" s="82"/>
      <c r="AR3758" s="82"/>
      <c r="AS3758" s="82"/>
      <c r="AT3758" s="82"/>
      <c r="AU3758" s="82"/>
      <c r="AV3758" s="82"/>
      <c r="AW3758" s="82" t="str">
        <f t="shared" si="1"/>
        <v/>
      </c>
      <c r="AX3758" s="83" t="str">
        <f t="array" ref="AX3758">IFERROR(DGET('SBV Import'!A:G,"SBV",{"RSC ID","Tier";B3758,A3758}))</f>
        <v/>
      </c>
      <c r="AY3758" s="82" t="str">
        <f t="shared" si="2"/>
        <v/>
      </c>
      <c r="AZ3758" s="82"/>
      <c r="BA3758" s="84" t="s">
        <v>152</v>
      </c>
      <c r="BB3758" s="84" t="str">
        <f>IFERROR(__xludf.DUMMYFUNCTION("iferror(if(A3758="""",,E3758&gt;=FILTER(Constants!$F$2:$F$10,Constants!$A$2:$A$10=A3758)))"),"")</f>
        <v/>
      </c>
    </row>
    <row r="3759">
      <c r="A3759" s="89"/>
      <c r="B3759" s="87"/>
      <c r="C3759" s="73"/>
      <c r="D3759" s="73"/>
      <c r="E3759" s="82"/>
      <c r="F3759" s="82"/>
      <c r="G3759" s="86"/>
      <c r="H3759" s="86"/>
      <c r="I3759" s="86"/>
      <c r="J3759" s="82"/>
      <c r="K3759" s="82"/>
      <c r="L3759" s="82"/>
      <c r="M3759" s="82"/>
      <c r="N3759" s="82"/>
      <c r="O3759" s="82"/>
      <c r="P3759" s="82"/>
      <c r="Q3759" s="82"/>
      <c r="R3759" s="82"/>
      <c r="S3759" s="82"/>
      <c r="T3759" s="82"/>
      <c r="U3759" s="82"/>
      <c r="V3759" s="82"/>
      <c r="W3759" s="82"/>
      <c r="X3759" s="82"/>
      <c r="Y3759" s="82"/>
      <c r="Z3759" s="82"/>
      <c r="AA3759" s="82"/>
      <c r="AB3759" s="82"/>
      <c r="AC3759" s="82"/>
      <c r="AD3759" s="82"/>
      <c r="AE3759" s="82"/>
      <c r="AF3759" s="82"/>
      <c r="AG3759" s="82"/>
      <c r="AH3759" s="82"/>
      <c r="AI3759" s="82"/>
      <c r="AJ3759" s="82"/>
      <c r="AK3759" s="82"/>
      <c r="AL3759" s="82"/>
      <c r="AM3759" s="82"/>
      <c r="AN3759" s="82"/>
      <c r="AO3759" s="82"/>
      <c r="AP3759" s="82"/>
      <c r="AQ3759" s="82"/>
      <c r="AR3759" s="82"/>
      <c r="AS3759" s="82"/>
      <c r="AT3759" s="82"/>
      <c r="AU3759" s="82"/>
      <c r="AV3759" s="82"/>
      <c r="AW3759" s="82" t="str">
        <f t="shared" si="1"/>
        <v/>
      </c>
      <c r="AX3759" s="83" t="str">
        <f t="array" ref="AX3759">IFERROR(DGET('SBV Import'!A:G,"SBV",{"RSC ID","Tier";B3759,A3759}))</f>
        <v/>
      </c>
      <c r="AY3759" s="82" t="str">
        <f t="shared" si="2"/>
        <v/>
      </c>
      <c r="AZ3759" s="82"/>
      <c r="BA3759" s="84" t="s">
        <v>152</v>
      </c>
      <c r="BB3759" s="84" t="str">
        <f>IFERROR(__xludf.DUMMYFUNCTION("iferror(if(A3759="""",,E3759&gt;=FILTER(Constants!$F$2:$F$10,Constants!$A$2:$A$10=A3759)))"),"")</f>
        <v/>
      </c>
    </row>
    <row r="3760">
      <c r="A3760" s="89"/>
      <c r="B3760" s="87"/>
      <c r="C3760" s="73"/>
      <c r="D3760" s="73"/>
      <c r="E3760" s="82"/>
      <c r="F3760" s="82"/>
      <c r="G3760" s="86"/>
      <c r="H3760" s="86"/>
      <c r="I3760" s="86"/>
      <c r="J3760" s="82"/>
      <c r="K3760" s="82"/>
      <c r="L3760" s="82"/>
      <c r="M3760" s="82"/>
      <c r="N3760" s="82"/>
      <c r="O3760" s="82"/>
      <c r="P3760" s="82"/>
      <c r="Q3760" s="82"/>
      <c r="R3760" s="82"/>
      <c r="S3760" s="82"/>
      <c r="T3760" s="82"/>
      <c r="U3760" s="82"/>
      <c r="V3760" s="82"/>
      <c r="W3760" s="82"/>
      <c r="X3760" s="82"/>
      <c r="Y3760" s="82"/>
      <c r="Z3760" s="82"/>
      <c r="AA3760" s="82"/>
      <c r="AB3760" s="82"/>
      <c r="AC3760" s="82"/>
      <c r="AD3760" s="82"/>
      <c r="AE3760" s="82"/>
      <c r="AF3760" s="82"/>
      <c r="AG3760" s="82"/>
      <c r="AH3760" s="82"/>
      <c r="AI3760" s="82"/>
      <c r="AJ3760" s="82"/>
      <c r="AK3760" s="82"/>
      <c r="AL3760" s="82"/>
      <c r="AM3760" s="82"/>
      <c r="AN3760" s="82"/>
      <c r="AO3760" s="82"/>
      <c r="AP3760" s="82"/>
      <c r="AQ3760" s="82"/>
      <c r="AR3760" s="82"/>
      <c r="AS3760" s="82"/>
      <c r="AT3760" s="82"/>
      <c r="AU3760" s="82"/>
      <c r="AV3760" s="82"/>
      <c r="AW3760" s="82" t="str">
        <f t="shared" si="1"/>
        <v/>
      </c>
      <c r="AX3760" s="83" t="str">
        <f t="array" ref="AX3760">IFERROR(DGET('SBV Import'!A:G,"SBV",{"RSC ID","Tier";B3760,A3760}))</f>
        <v/>
      </c>
      <c r="AY3760" s="82" t="str">
        <f t="shared" si="2"/>
        <v/>
      </c>
      <c r="AZ3760" s="82"/>
      <c r="BA3760" s="84" t="s">
        <v>152</v>
      </c>
      <c r="BB3760" s="84" t="str">
        <f>IFERROR(__xludf.DUMMYFUNCTION("iferror(if(A3760="""",,E3760&gt;=FILTER(Constants!$F$2:$F$10,Constants!$A$2:$A$10=A3760)))"),"")</f>
        <v/>
      </c>
    </row>
    <row r="3761">
      <c r="A3761" s="89"/>
      <c r="B3761" s="87"/>
      <c r="C3761" s="73"/>
      <c r="D3761" s="73"/>
      <c r="E3761" s="82"/>
      <c r="F3761" s="82"/>
      <c r="G3761" s="86"/>
      <c r="H3761" s="86"/>
      <c r="I3761" s="86"/>
      <c r="J3761" s="82"/>
      <c r="K3761" s="82"/>
      <c r="L3761" s="82"/>
      <c r="M3761" s="82"/>
      <c r="N3761" s="82"/>
      <c r="O3761" s="82"/>
      <c r="P3761" s="82"/>
      <c r="Q3761" s="82"/>
      <c r="R3761" s="82"/>
      <c r="S3761" s="82"/>
      <c r="T3761" s="82"/>
      <c r="U3761" s="82"/>
      <c r="V3761" s="82"/>
      <c r="W3761" s="82"/>
      <c r="X3761" s="82"/>
      <c r="Y3761" s="82"/>
      <c r="Z3761" s="82"/>
      <c r="AA3761" s="82"/>
      <c r="AB3761" s="82"/>
      <c r="AC3761" s="82"/>
      <c r="AD3761" s="82"/>
      <c r="AE3761" s="82"/>
      <c r="AF3761" s="82"/>
      <c r="AG3761" s="82"/>
      <c r="AH3761" s="82"/>
      <c r="AI3761" s="82"/>
      <c r="AJ3761" s="82"/>
      <c r="AK3761" s="82"/>
      <c r="AL3761" s="82"/>
      <c r="AM3761" s="82"/>
      <c r="AN3761" s="82"/>
      <c r="AO3761" s="82"/>
      <c r="AP3761" s="82"/>
      <c r="AQ3761" s="82"/>
      <c r="AR3761" s="82"/>
      <c r="AS3761" s="82"/>
      <c r="AT3761" s="82"/>
      <c r="AU3761" s="82"/>
      <c r="AV3761" s="82"/>
      <c r="AW3761" s="82" t="str">
        <f t="shared" si="1"/>
        <v/>
      </c>
      <c r="AX3761" s="83" t="str">
        <f t="array" ref="AX3761">IFERROR(DGET('SBV Import'!A:G,"SBV",{"RSC ID","Tier";B3761,A3761}))</f>
        <v/>
      </c>
      <c r="AY3761" s="82" t="str">
        <f t="shared" si="2"/>
        <v/>
      </c>
      <c r="AZ3761" s="82"/>
      <c r="BA3761" s="84" t="s">
        <v>152</v>
      </c>
      <c r="BB3761" s="84" t="str">
        <f>IFERROR(__xludf.DUMMYFUNCTION("iferror(if(A3761="""",,E3761&gt;=FILTER(Constants!$F$2:$F$10,Constants!$A$2:$A$10=A3761)))"),"")</f>
        <v/>
      </c>
    </row>
    <row r="3762">
      <c r="A3762" s="89"/>
      <c r="B3762" s="87"/>
      <c r="C3762" s="73"/>
      <c r="D3762" s="73"/>
      <c r="E3762" s="82"/>
      <c r="F3762" s="82"/>
      <c r="G3762" s="86"/>
      <c r="H3762" s="86"/>
      <c r="I3762" s="86"/>
      <c r="J3762" s="82"/>
      <c r="K3762" s="82"/>
      <c r="L3762" s="82"/>
      <c r="M3762" s="82"/>
      <c r="N3762" s="82"/>
      <c r="O3762" s="82"/>
      <c r="P3762" s="82"/>
      <c r="Q3762" s="82"/>
      <c r="R3762" s="82"/>
      <c r="S3762" s="82"/>
      <c r="T3762" s="82"/>
      <c r="U3762" s="82"/>
      <c r="V3762" s="82"/>
      <c r="W3762" s="82"/>
      <c r="X3762" s="82"/>
      <c r="Y3762" s="82"/>
      <c r="Z3762" s="82"/>
      <c r="AA3762" s="82"/>
      <c r="AB3762" s="82"/>
      <c r="AC3762" s="82"/>
      <c r="AD3762" s="82"/>
      <c r="AE3762" s="82"/>
      <c r="AF3762" s="82"/>
      <c r="AG3762" s="82"/>
      <c r="AH3762" s="82"/>
      <c r="AI3762" s="82"/>
      <c r="AJ3762" s="82"/>
      <c r="AK3762" s="82"/>
      <c r="AL3762" s="82"/>
      <c r="AM3762" s="82"/>
      <c r="AN3762" s="82"/>
      <c r="AO3762" s="82"/>
      <c r="AP3762" s="82"/>
      <c r="AQ3762" s="82"/>
      <c r="AR3762" s="82"/>
      <c r="AS3762" s="82"/>
      <c r="AT3762" s="82"/>
      <c r="AU3762" s="82"/>
      <c r="AV3762" s="82"/>
      <c r="AW3762" s="82" t="str">
        <f t="shared" si="1"/>
        <v/>
      </c>
      <c r="AX3762" s="83" t="str">
        <f t="array" ref="AX3762">IFERROR(DGET('SBV Import'!A:G,"SBV",{"RSC ID","Tier";B3762,A3762}))</f>
        <v/>
      </c>
      <c r="AY3762" s="82" t="str">
        <f t="shared" si="2"/>
        <v/>
      </c>
      <c r="AZ3762" s="82"/>
      <c r="BA3762" s="84" t="s">
        <v>152</v>
      </c>
      <c r="BB3762" s="84" t="str">
        <f>IFERROR(__xludf.DUMMYFUNCTION("iferror(if(A3762="""",,E3762&gt;=FILTER(Constants!$F$2:$F$10,Constants!$A$2:$A$10=A3762)))"),"")</f>
        <v/>
      </c>
    </row>
    <row r="3763">
      <c r="A3763" s="89"/>
      <c r="B3763" s="87"/>
      <c r="C3763" s="73"/>
      <c r="D3763" s="73"/>
      <c r="E3763" s="82"/>
      <c r="F3763" s="82"/>
      <c r="G3763" s="86"/>
      <c r="H3763" s="86"/>
      <c r="I3763" s="86"/>
      <c r="J3763" s="82"/>
      <c r="K3763" s="82"/>
      <c r="L3763" s="82"/>
      <c r="M3763" s="82"/>
      <c r="N3763" s="82"/>
      <c r="O3763" s="82"/>
      <c r="P3763" s="82"/>
      <c r="Q3763" s="82"/>
      <c r="R3763" s="82"/>
      <c r="S3763" s="82"/>
      <c r="T3763" s="82"/>
      <c r="U3763" s="82"/>
      <c r="V3763" s="82"/>
      <c r="W3763" s="82"/>
      <c r="X3763" s="82"/>
      <c r="Y3763" s="82"/>
      <c r="Z3763" s="82"/>
      <c r="AA3763" s="82"/>
      <c r="AB3763" s="82"/>
      <c r="AC3763" s="82"/>
      <c r="AD3763" s="82"/>
      <c r="AE3763" s="82"/>
      <c r="AF3763" s="82"/>
      <c r="AG3763" s="82"/>
      <c r="AH3763" s="82"/>
      <c r="AI3763" s="82"/>
      <c r="AJ3763" s="82"/>
      <c r="AK3763" s="82"/>
      <c r="AL3763" s="82"/>
      <c r="AM3763" s="82"/>
      <c r="AN3763" s="82"/>
      <c r="AO3763" s="82"/>
      <c r="AP3763" s="82"/>
      <c r="AQ3763" s="82"/>
      <c r="AR3763" s="82"/>
      <c r="AS3763" s="82"/>
      <c r="AT3763" s="82"/>
      <c r="AU3763" s="82"/>
      <c r="AV3763" s="82"/>
      <c r="AW3763" s="82" t="str">
        <f t="shared" si="1"/>
        <v/>
      </c>
      <c r="AX3763" s="83" t="str">
        <f t="array" ref="AX3763">IFERROR(DGET('SBV Import'!A:G,"SBV",{"RSC ID","Tier";B3763,A3763}))</f>
        <v/>
      </c>
      <c r="AY3763" s="82" t="str">
        <f t="shared" si="2"/>
        <v/>
      </c>
      <c r="AZ3763" s="82"/>
      <c r="BA3763" s="84" t="s">
        <v>152</v>
      </c>
      <c r="BB3763" s="84" t="str">
        <f>IFERROR(__xludf.DUMMYFUNCTION("iferror(if(A3763="""",,E3763&gt;=FILTER(Constants!$F$2:$F$10,Constants!$A$2:$A$10=A3763)))"),"")</f>
        <v/>
      </c>
    </row>
    <row r="3764">
      <c r="A3764" s="89"/>
      <c r="B3764" s="87"/>
      <c r="C3764" s="73"/>
      <c r="D3764" s="73"/>
      <c r="E3764" s="82"/>
      <c r="F3764" s="82"/>
      <c r="G3764" s="86"/>
      <c r="H3764" s="86"/>
      <c r="I3764" s="86"/>
      <c r="J3764" s="82"/>
      <c r="K3764" s="82"/>
      <c r="L3764" s="82"/>
      <c r="M3764" s="82"/>
      <c r="N3764" s="82"/>
      <c r="O3764" s="82"/>
      <c r="P3764" s="82"/>
      <c r="Q3764" s="82"/>
      <c r="R3764" s="82"/>
      <c r="S3764" s="82"/>
      <c r="T3764" s="82"/>
      <c r="U3764" s="82"/>
      <c r="V3764" s="82"/>
      <c r="W3764" s="82"/>
      <c r="X3764" s="82"/>
      <c r="Y3764" s="82"/>
      <c r="Z3764" s="82"/>
      <c r="AA3764" s="82"/>
      <c r="AB3764" s="82"/>
      <c r="AC3764" s="82"/>
      <c r="AD3764" s="82"/>
      <c r="AE3764" s="82"/>
      <c r="AF3764" s="82"/>
      <c r="AG3764" s="82"/>
      <c r="AH3764" s="82"/>
      <c r="AI3764" s="82"/>
      <c r="AJ3764" s="82"/>
      <c r="AK3764" s="82"/>
      <c r="AL3764" s="82"/>
      <c r="AM3764" s="82"/>
      <c r="AN3764" s="82"/>
      <c r="AO3764" s="82"/>
      <c r="AP3764" s="82"/>
      <c r="AQ3764" s="82"/>
      <c r="AR3764" s="82"/>
      <c r="AS3764" s="82"/>
      <c r="AT3764" s="82"/>
      <c r="AU3764" s="82"/>
      <c r="AV3764" s="82"/>
      <c r="AW3764" s="82" t="str">
        <f t="shared" si="1"/>
        <v/>
      </c>
      <c r="AX3764" s="83" t="str">
        <f t="array" ref="AX3764">IFERROR(DGET('SBV Import'!A:G,"SBV",{"RSC ID","Tier";B3764,A3764}))</f>
        <v/>
      </c>
      <c r="AY3764" s="82" t="str">
        <f t="shared" si="2"/>
        <v/>
      </c>
      <c r="AZ3764" s="82"/>
      <c r="BA3764" s="84" t="s">
        <v>152</v>
      </c>
      <c r="BB3764" s="84" t="str">
        <f>IFERROR(__xludf.DUMMYFUNCTION("iferror(if(A3764="""",,E3764&gt;=FILTER(Constants!$F$2:$F$10,Constants!$A$2:$A$10=A3764)))"),"")</f>
        <v/>
      </c>
    </row>
    <row r="3765">
      <c r="A3765" s="89"/>
      <c r="B3765" s="87"/>
      <c r="C3765" s="73"/>
      <c r="D3765" s="73"/>
      <c r="E3765" s="82"/>
      <c r="F3765" s="82"/>
      <c r="G3765" s="86"/>
      <c r="H3765" s="86"/>
      <c r="I3765" s="86"/>
      <c r="J3765" s="82"/>
      <c r="K3765" s="82"/>
      <c r="L3765" s="82"/>
      <c r="M3765" s="82"/>
      <c r="N3765" s="82"/>
      <c r="O3765" s="82"/>
      <c r="P3765" s="82"/>
      <c r="Q3765" s="82"/>
      <c r="R3765" s="82"/>
      <c r="S3765" s="82"/>
      <c r="T3765" s="82"/>
      <c r="U3765" s="82"/>
      <c r="V3765" s="82"/>
      <c r="W3765" s="82"/>
      <c r="X3765" s="82"/>
      <c r="Y3765" s="82"/>
      <c r="Z3765" s="82"/>
      <c r="AA3765" s="82"/>
      <c r="AB3765" s="82"/>
      <c r="AC3765" s="82"/>
      <c r="AD3765" s="82"/>
      <c r="AE3765" s="82"/>
      <c r="AF3765" s="82"/>
      <c r="AG3765" s="82"/>
      <c r="AH3765" s="82"/>
      <c r="AI3765" s="82"/>
      <c r="AJ3765" s="82"/>
      <c r="AK3765" s="82"/>
      <c r="AL3765" s="82"/>
      <c r="AM3765" s="82"/>
      <c r="AN3765" s="82"/>
      <c r="AO3765" s="82"/>
      <c r="AP3765" s="82"/>
      <c r="AQ3765" s="82"/>
      <c r="AR3765" s="82"/>
      <c r="AS3765" s="82"/>
      <c r="AT3765" s="82"/>
      <c r="AU3765" s="82"/>
      <c r="AV3765" s="82"/>
      <c r="AW3765" s="82" t="str">
        <f t="shared" si="1"/>
        <v/>
      </c>
      <c r="AX3765" s="83" t="str">
        <f t="array" ref="AX3765">IFERROR(DGET('SBV Import'!A:G,"SBV",{"RSC ID","Tier";B3765,A3765}))</f>
        <v/>
      </c>
      <c r="AY3765" s="82" t="str">
        <f t="shared" si="2"/>
        <v/>
      </c>
      <c r="AZ3765" s="82"/>
      <c r="BA3765" s="84" t="s">
        <v>152</v>
      </c>
      <c r="BB3765" s="84" t="str">
        <f>IFERROR(__xludf.DUMMYFUNCTION("iferror(if(A3765="""",,E3765&gt;=FILTER(Constants!$F$2:$F$10,Constants!$A$2:$A$10=A3765)))"),"")</f>
        <v/>
      </c>
    </row>
    <row r="3766">
      <c r="A3766" s="89"/>
      <c r="B3766" s="87"/>
      <c r="C3766" s="73"/>
      <c r="D3766" s="73"/>
      <c r="E3766" s="82"/>
      <c r="F3766" s="82"/>
      <c r="G3766" s="86"/>
      <c r="H3766" s="86"/>
      <c r="I3766" s="86"/>
      <c r="J3766" s="82"/>
      <c r="K3766" s="82"/>
      <c r="L3766" s="82"/>
      <c r="M3766" s="82"/>
      <c r="N3766" s="82"/>
      <c r="O3766" s="82"/>
      <c r="P3766" s="82"/>
      <c r="Q3766" s="82"/>
      <c r="R3766" s="82"/>
      <c r="S3766" s="82"/>
      <c r="T3766" s="82"/>
      <c r="U3766" s="82"/>
      <c r="V3766" s="82"/>
      <c r="W3766" s="82"/>
      <c r="X3766" s="82"/>
      <c r="Y3766" s="82"/>
      <c r="Z3766" s="82"/>
      <c r="AA3766" s="82"/>
      <c r="AB3766" s="82"/>
      <c r="AC3766" s="82"/>
      <c r="AD3766" s="82"/>
      <c r="AE3766" s="82"/>
      <c r="AF3766" s="82"/>
      <c r="AG3766" s="82"/>
      <c r="AH3766" s="82"/>
      <c r="AI3766" s="82"/>
      <c r="AJ3766" s="82"/>
      <c r="AK3766" s="82"/>
      <c r="AL3766" s="82"/>
      <c r="AM3766" s="82"/>
      <c r="AN3766" s="82"/>
      <c r="AO3766" s="82"/>
      <c r="AP3766" s="82"/>
      <c r="AQ3766" s="82"/>
      <c r="AR3766" s="82"/>
      <c r="AS3766" s="82"/>
      <c r="AT3766" s="82"/>
      <c r="AU3766" s="82"/>
      <c r="AV3766" s="82"/>
      <c r="AW3766" s="82" t="str">
        <f t="shared" si="1"/>
        <v/>
      </c>
      <c r="AX3766" s="83" t="str">
        <f t="array" ref="AX3766">IFERROR(DGET('SBV Import'!A:G,"SBV",{"RSC ID","Tier";B3766,A3766}))</f>
        <v/>
      </c>
      <c r="AY3766" s="82" t="str">
        <f t="shared" si="2"/>
        <v/>
      </c>
      <c r="AZ3766" s="82"/>
      <c r="BA3766" s="84" t="s">
        <v>152</v>
      </c>
      <c r="BB3766" s="84" t="str">
        <f>IFERROR(__xludf.DUMMYFUNCTION("iferror(if(A3766="""",,E3766&gt;=FILTER(Constants!$F$2:$F$10,Constants!$A$2:$A$10=A3766)))"),"")</f>
        <v/>
      </c>
    </row>
    <row r="3767">
      <c r="A3767" s="89"/>
      <c r="B3767" s="87"/>
      <c r="C3767" s="73"/>
      <c r="D3767" s="73"/>
      <c r="E3767" s="82"/>
      <c r="F3767" s="82"/>
      <c r="G3767" s="86"/>
      <c r="H3767" s="86"/>
      <c r="I3767" s="86"/>
      <c r="J3767" s="82"/>
      <c r="K3767" s="82"/>
      <c r="L3767" s="82"/>
      <c r="M3767" s="82"/>
      <c r="N3767" s="82"/>
      <c r="O3767" s="82"/>
      <c r="P3767" s="82"/>
      <c r="Q3767" s="82"/>
      <c r="R3767" s="82"/>
      <c r="S3767" s="82"/>
      <c r="T3767" s="82"/>
      <c r="U3767" s="82"/>
      <c r="V3767" s="82"/>
      <c r="W3767" s="82"/>
      <c r="X3767" s="82"/>
      <c r="Y3767" s="82"/>
      <c r="Z3767" s="82"/>
      <c r="AA3767" s="82"/>
      <c r="AB3767" s="82"/>
      <c r="AC3767" s="82"/>
      <c r="AD3767" s="82"/>
      <c r="AE3767" s="82"/>
      <c r="AF3767" s="82"/>
      <c r="AG3767" s="82"/>
      <c r="AH3767" s="82"/>
      <c r="AI3767" s="82"/>
      <c r="AJ3767" s="82"/>
      <c r="AK3767" s="82"/>
      <c r="AL3767" s="82"/>
      <c r="AM3767" s="82"/>
      <c r="AN3767" s="82"/>
      <c r="AO3767" s="82"/>
      <c r="AP3767" s="82"/>
      <c r="AQ3767" s="82"/>
      <c r="AR3767" s="82"/>
      <c r="AS3767" s="82"/>
      <c r="AT3767" s="82"/>
      <c r="AU3767" s="82"/>
      <c r="AV3767" s="82"/>
      <c r="AW3767" s="82" t="str">
        <f t="shared" si="1"/>
        <v/>
      </c>
      <c r="AX3767" s="83" t="str">
        <f t="array" ref="AX3767">IFERROR(DGET('SBV Import'!A:G,"SBV",{"RSC ID","Tier";B3767,A3767}))</f>
        <v/>
      </c>
      <c r="AY3767" s="82" t="str">
        <f t="shared" si="2"/>
        <v/>
      </c>
      <c r="AZ3767" s="82"/>
      <c r="BA3767" s="84" t="s">
        <v>152</v>
      </c>
      <c r="BB3767" s="84" t="str">
        <f>IFERROR(__xludf.DUMMYFUNCTION("iferror(if(A3767="""",,E3767&gt;=FILTER(Constants!$F$2:$F$10,Constants!$A$2:$A$10=A3767)))"),"")</f>
        <v/>
      </c>
    </row>
    <row r="3768">
      <c r="A3768" s="89"/>
      <c r="B3768" s="87"/>
      <c r="C3768" s="73"/>
      <c r="D3768" s="73"/>
      <c r="E3768" s="82"/>
      <c r="F3768" s="82"/>
      <c r="G3768" s="86"/>
      <c r="H3768" s="86"/>
      <c r="I3768" s="86"/>
      <c r="J3768" s="82"/>
      <c r="K3768" s="82"/>
      <c r="L3768" s="82"/>
      <c r="M3768" s="82"/>
      <c r="N3768" s="82"/>
      <c r="O3768" s="82"/>
      <c r="P3768" s="82"/>
      <c r="Q3768" s="82"/>
      <c r="R3768" s="82"/>
      <c r="S3768" s="82"/>
      <c r="T3768" s="82"/>
      <c r="U3768" s="82"/>
      <c r="V3768" s="82"/>
      <c r="W3768" s="82"/>
      <c r="X3768" s="82"/>
      <c r="Y3768" s="82"/>
      <c r="Z3768" s="82"/>
      <c r="AA3768" s="82"/>
      <c r="AB3768" s="82"/>
      <c r="AC3768" s="82"/>
      <c r="AD3768" s="82"/>
      <c r="AE3768" s="82"/>
      <c r="AF3768" s="82"/>
      <c r="AG3768" s="82"/>
      <c r="AH3768" s="82"/>
      <c r="AI3768" s="82"/>
      <c r="AJ3768" s="82"/>
      <c r="AK3768" s="82"/>
      <c r="AL3768" s="82"/>
      <c r="AM3768" s="82"/>
      <c r="AN3768" s="82"/>
      <c r="AO3768" s="82"/>
      <c r="AP3768" s="82"/>
      <c r="AQ3768" s="82"/>
      <c r="AR3768" s="82"/>
      <c r="AS3768" s="82"/>
      <c r="AT3768" s="82"/>
      <c r="AU3768" s="82"/>
      <c r="AV3768" s="82"/>
      <c r="AW3768" s="82" t="str">
        <f t="shared" si="1"/>
        <v/>
      </c>
      <c r="AX3768" s="83" t="str">
        <f t="array" ref="AX3768">IFERROR(DGET('SBV Import'!A:G,"SBV",{"RSC ID","Tier";B3768,A3768}))</f>
        <v/>
      </c>
      <c r="AY3768" s="82" t="str">
        <f t="shared" si="2"/>
        <v/>
      </c>
      <c r="AZ3768" s="82"/>
      <c r="BA3768" s="84" t="s">
        <v>152</v>
      </c>
      <c r="BB3768" s="84" t="str">
        <f>IFERROR(__xludf.DUMMYFUNCTION("iferror(if(A3768="""",,E3768&gt;=FILTER(Constants!$F$2:$F$10,Constants!$A$2:$A$10=A3768)))"),"")</f>
        <v/>
      </c>
    </row>
    <row r="3769">
      <c r="A3769" s="89"/>
      <c r="B3769" s="87"/>
      <c r="C3769" s="73"/>
      <c r="D3769" s="73"/>
      <c r="E3769" s="82"/>
      <c r="F3769" s="82"/>
      <c r="G3769" s="86"/>
      <c r="H3769" s="86"/>
      <c r="I3769" s="86"/>
      <c r="J3769" s="82"/>
      <c r="K3769" s="82"/>
      <c r="L3769" s="82"/>
      <c r="M3769" s="82"/>
      <c r="N3769" s="82"/>
      <c r="O3769" s="82"/>
      <c r="P3769" s="82"/>
      <c r="Q3769" s="82"/>
      <c r="R3769" s="82"/>
      <c r="S3769" s="82"/>
      <c r="T3769" s="82"/>
      <c r="U3769" s="82"/>
      <c r="V3769" s="82"/>
      <c r="W3769" s="82"/>
      <c r="X3769" s="82"/>
      <c r="Y3769" s="82"/>
      <c r="Z3769" s="82"/>
      <c r="AA3769" s="82"/>
      <c r="AB3769" s="82"/>
      <c r="AC3769" s="82"/>
      <c r="AD3769" s="82"/>
      <c r="AE3769" s="82"/>
      <c r="AF3769" s="82"/>
      <c r="AG3769" s="82"/>
      <c r="AH3769" s="82"/>
      <c r="AI3769" s="82"/>
      <c r="AJ3769" s="82"/>
      <c r="AK3769" s="82"/>
      <c r="AL3769" s="82"/>
      <c r="AM3769" s="82"/>
      <c r="AN3769" s="82"/>
      <c r="AO3769" s="82"/>
      <c r="AP3769" s="82"/>
      <c r="AQ3769" s="82"/>
      <c r="AR3769" s="82"/>
      <c r="AS3769" s="82"/>
      <c r="AT3769" s="82"/>
      <c r="AU3769" s="82"/>
      <c r="AV3769" s="82"/>
      <c r="AW3769" s="82" t="str">
        <f t="shared" si="1"/>
        <v/>
      </c>
      <c r="AX3769" s="83" t="str">
        <f t="array" ref="AX3769">IFERROR(DGET('SBV Import'!A:G,"SBV",{"RSC ID","Tier";B3769,A3769}))</f>
        <v/>
      </c>
      <c r="AY3769" s="82" t="str">
        <f t="shared" si="2"/>
        <v/>
      </c>
      <c r="AZ3769" s="82"/>
      <c r="BA3769" s="84" t="s">
        <v>152</v>
      </c>
      <c r="BB3769" s="84" t="str">
        <f>IFERROR(__xludf.DUMMYFUNCTION("iferror(if(A3769="""",,E3769&gt;=FILTER(Constants!$F$2:$F$10,Constants!$A$2:$A$10=A3769)))"),"")</f>
        <v/>
      </c>
    </row>
    <row r="3770">
      <c r="A3770" s="89"/>
      <c r="B3770" s="87"/>
      <c r="C3770" s="73"/>
      <c r="D3770" s="73"/>
      <c r="E3770" s="82"/>
      <c r="F3770" s="82"/>
      <c r="G3770" s="86"/>
      <c r="H3770" s="86"/>
      <c r="I3770" s="86"/>
      <c r="J3770" s="82"/>
      <c r="K3770" s="82"/>
      <c r="L3770" s="82"/>
      <c r="M3770" s="82"/>
      <c r="N3770" s="82"/>
      <c r="O3770" s="82"/>
      <c r="P3770" s="82"/>
      <c r="Q3770" s="82"/>
      <c r="R3770" s="82"/>
      <c r="S3770" s="82"/>
      <c r="T3770" s="82"/>
      <c r="U3770" s="82"/>
      <c r="V3770" s="82"/>
      <c r="W3770" s="82"/>
      <c r="X3770" s="82"/>
      <c r="Y3770" s="82"/>
      <c r="Z3770" s="82"/>
      <c r="AA3770" s="82"/>
      <c r="AB3770" s="82"/>
      <c r="AC3770" s="82"/>
      <c r="AD3770" s="82"/>
      <c r="AE3770" s="82"/>
      <c r="AF3770" s="82"/>
      <c r="AG3770" s="82"/>
      <c r="AH3770" s="82"/>
      <c r="AI3770" s="82"/>
      <c r="AJ3770" s="82"/>
      <c r="AK3770" s="82"/>
      <c r="AL3770" s="82"/>
      <c r="AM3770" s="82"/>
      <c r="AN3770" s="82"/>
      <c r="AO3770" s="82"/>
      <c r="AP3770" s="82"/>
      <c r="AQ3770" s="82"/>
      <c r="AR3770" s="82"/>
      <c r="AS3770" s="82"/>
      <c r="AT3770" s="82"/>
      <c r="AU3770" s="82"/>
      <c r="AV3770" s="82"/>
      <c r="AW3770" s="82" t="str">
        <f t="shared" si="1"/>
        <v/>
      </c>
      <c r="AX3770" s="83" t="str">
        <f t="array" ref="AX3770">IFERROR(DGET('SBV Import'!A:G,"SBV",{"RSC ID","Tier";B3770,A3770}))</f>
        <v/>
      </c>
      <c r="AY3770" s="82" t="str">
        <f t="shared" si="2"/>
        <v/>
      </c>
      <c r="AZ3770" s="82"/>
      <c r="BA3770" s="84" t="s">
        <v>152</v>
      </c>
      <c r="BB3770" s="84" t="str">
        <f>IFERROR(__xludf.DUMMYFUNCTION("iferror(if(A3770="""",,E3770&gt;=FILTER(Constants!$F$2:$F$10,Constants!$A$2:$A$10=A3770)))"),"")</f>
        <v/>
      </c>
    </row>
    <row r="3771">
      <c r="A3771" s="89"/>
      <c r="B3771" s="87"/>
      <c r="C3771" s="73"/>
      <c r="D3771" s="73"/>
      <c r="E3771" s="82"/>
      <c r="F3771" s="82"/>
      <c r="G3771" s="86"/>
      <c r="H3771" s="86"/>
      <c r="I3771" s="86"/>
      <c r="J3771" s="82"/>
      <c r="K3771" s="82"/>
      <c r="L3771" s="82"/>
      <c r="M3771" s="82"/>
      <c r="N3771" s="82"/>
      <c r="O3771" s="82"/>
      <c r="P3771" s="82"/>
      <c r="Q3771" s="82"/>
      <c r="R3771" s="82"/>
      <c r="S3771" s="82"/>
      <c r="T3771" s="82"/>
      <c r="U3771" s="82"/>
      <c r="V3771" s="82"/>
      <c r="W3771" s="82"/>
      <c r="X3771" s="82"/>
      <c r="Y3771" s="82"/>
      <c r="Z3771" s="82"/>
      <c r="AA3771" s="82"/>
      <c r="AB3771" s="82"/>
      <c r="AC3771" s="82"/>
      <c r="AD3771" s="82"/>
      <c r="AE3771" s="82"/>
      <c r="AF3771" s="82"/>
      <c r="AG3771" s="82"/>
      <c r="AH3771" s="82"/>
      <c r="AI3771" s="82"/>
      <c r="AJ3771" s="82"/>
      <c r="AK3771" s="82"/>
      <c r="AL3771" s="82"/>
      <c r="AM3771" s="82"/>
      <c r="AN3771" s="82"/>
      <c r="AO3771" s="82"/>
      <c r="AP3771" s="82"/>
      <c r="AQ3771" s="82"/>
      <c r="AR3771" s="82"/>
      <c r="AS3771" s="82"/>
      <c r="AT3771" s="82"/>
      <c r="AU3771" s="82"/>
      <c r="AV3771" s="82"/>
      <c r="AW3771" s="82" t="str">
        <f t="shared" si="1"/>
        <v/>
      </c>
      <c r="AX3771" s="83" t="str">
        <f t="array" ref="AX3771">IFERROR(DGET('SBV Import'!A:G,"SBV",{"RSC ID","Tier";B3771,A3771}))</f>
        <v/>
      </c>
      <c r="AY3771" s="82" t="str">
        <f t="shared" si="2"/>
        <v/>
      </c>
      <c r="AZ3771" s="82"/>
      <c r="BA3771" s="84" t="s">
        <v>152</v>
      </c>
      <c r="BB3771" s="84" t="str">
        <f>IFERROR(__xludf.DUMMYFUNCTION("iferror(if(A3771="""",,E3771&gt;=FILTER(Constants!$F$2:$F$10,Constants!$A$2:$A$10=A3771)))"),"")</f>
        <v/>
      </c>
    </row>
    <row r="3772">
      <c r="A3772" s="89"/>
      <c r="B3772" s="87"/>
      <c r="C3772" s="73"/>
      <c r="D3772" s="73"/>
      <c r="E3772" s="82"/>
      <c r="F3772" s="82"/>
      <c r="G3772" s="86"/>
      <c r="H3772" s="86"/>
      <c r="I3772" s="86"/>
      <c r="J3772" s="82"/>
      <c r="K3772" s="82"/>
      <c r="L3772" s="82"/>
      <c r="M3772" s="82"/>
      <c r="N3772" s="82"/>
      <c r="O3772" s="82"/>
      <c r="P3772" s="82"/>
      <c r="Q3772" s="82"/>
      <c r="R3772" s="82"/>
      <c r="S3772" s="82"/>
      <c r="T3772" s="82"/>
      <c r="U3772" s="82"/>
      <c r="V3772" s="82"/>
      <c r="W3772" s="82"/>
      <c r="X3772" s="82"/>
      <c r="Y3772" s="82"/>
      <c r="Z3772" s="82"/>
      <c r="AA3772" s="82"/>
      <c r="AB3772" s="82"/>
      <c r="AC3772" s="82"/>
      <c r="AD3772" s="82"/>
      <c r="AE3772" s="82"/>
      <c r="AF3772" s="82"/>
      <c r="AG3772" s="82"/>
      <c r="AH3772" s="82"/>
      <c r="AI3772" s="82"/>
      <c r="AJ3772" s="82"/>
      <c r="AK3772" s="82"/>
      <c r="AL3772" s="82"/>
      <c r="AM3772" s="82"/>
      <c r="AN3772" s="82"/>
      <c r="AO3772" s="82"/>
      <c r="AP3772" s="82"/>
      <c r="AQ3772" s="82"/>
      <c r="AR3772" s="82"/>
      <c r="AS3772" s="82"/>
      <c r="AT3772" s="82"/>
      <c r="AU3772" s="82"/>
      <c r="AV3772" s="82"/>
      <c r="AW3772" s="82" t="str">
        <f t="shared" si="1"/>
        <v/>
      </c>
      <c r="AX3772" s="83" t="str">
        <f t="array" ref="AX3772">IFERROR(DGET('SBV Import'!A:G,"SBV",{"RSC ID","Tier";B3772,A3772}))</f>
        <v/>
      </c>
      <c r="AY3772" s="82" t="str">
        <f t="shared" si="2"/>
        <v/>
      </c>
      <c r="AZ3772" s="82"/>
      <c r="BA3772" s="84" t="s">
        <v>152</v>
      </c>
      <c r="BB3772" s="84" t="str">
        <f>IFERROR(__xludf.DUMMYFUNCTION("iferror(if(A3772="""",,E3772&gt;=FILTER(Constants!$F$2:$F$10,Constants!$A$2:$A$10=A3772)))"),"")</f>
        <v/>
      </c>
    </row>
    <row r="3773">
      <c r="A3773" s="89"/>
      <c r="B3773" s="87"/>
      <c r="C3773" s="73"/>
      <c r="D3773" s="73"/>
      <c r="E3773" s="82"/>
      <c r="F3773" s="82"/>
      <c r="G3773" s="86"/>
      <c r="H3773" s="86"/>
      <c r="I3773" s="86"/>
      <c r="J3773" s="82"/>
      <c r="K3773" s="82"/>
      <c r="L3773" s="82"/>
      <c r="M3773" s="82"/>
      <c r="N3773" s="82"/>
      <c r="O3773" s="82"/>
      <c r="P3773" s="82"/>
      <c r="Q3773" s="82"/>
      <c r="R3773" s="82"/>
      <c r="S3773" s="82"/>
      <c r="T3773" s="82"/>
      <c r="U3773" s="82"/>
      <c r="V3773" s="82"/>
      <c r="W3773" s="82"/>
      <c r="X3773" s="82"/>
      <c r="Y3773" s="82"/>
      <c r="Z3773" s="82"/>
      <c r="AA3773" s="82"/>
      <c r="AB3773" s="82"/>
      <c r="AC3773" s="82"/>
      <c r="AD3773" s="82"/>
      <c r="AE3773" s="82"/>
      <c r="AF3773" s="82"/>
      <c r="AG3773" s="82"/>
      <c r="AH3773" s="82"/>
      <c r="AI3773" s="82"/>
      <c r="AJ3773" s="82"/>
      <c r="AK3773" s="82"/>
      <c r="AL3773" s="82"/>
      <c r="AM3773" s="82"/>
      <c r="AN3773" s="82"/>
      <c r="AO3773" s="82"/>
      <c r="AP3773" s="82"/>
      <c r="AQ3773" s="82"/>
      <c r="AR3773" s="82"/>
      <c r="AS3773" s="82"/>
      <c r="AT3773" s="82"/>
      <c r="AU3773" s="82"/>
      <c r="AV3773" s="82"/>
      <c r="AW3773" s="82" t="str">
        <f t="shared" si="1"/>
        <v/>
      </c>
      <c r="AX3773" s="83" t="str">
        <f t="array" ref="AX3773">IFERROR(DGET('SBV Import'!A:G,"SBV",{"RSC ID","Tier";B3773,A3773}))</f>
        <v/>
      </c>
      <c r="AY3773" s="82" t="str">
        <f t="shared" si="2"/>
        <v/>
      </c>
      <c r="AZ3773" s="82"/>
      <c r="BA3773" s="84" t="s">
        <v>152</v>
      </c>
      <c r="BB3773" s="84" t="str">
        <f>IFERROR(__xludf.DUMMYFUNCTION("iferror(if(A3773="""",,E3773&gt;=FILTER(Constants!$F$2:$F$10,Constants!$A$2:$A$10=A3773)))"),"")</f>
        <v/>
      </c>
    </row>
    <row r="3774">
      <c r="A3774" s="89"/>
      <c r="B3774" s="87"/>
      <c r="C3774" s="73"/>
      <c r="D3774" s="73"/>
      <c r="E3774" s="82"/>
      <c r="F3774" s="82"/>
      <c r="G3774" s="86"/>
      <c r="H3774" s="86"/>
      <c r="I3774" s="86"/>
      <c r="J3774" s="82"/>
      <c r="K3774" s="82"/>
      <c r="L3774" s="82"/>
      <c r="M3774" s="82"/>
      <c r="N3774" s="82"/>
      <c r="O3774" s="82"/>
      <c r="P3774" s="82"/>
      <c r="Q3774" s="82"/>
      <c r="R3774" s="82"/>
      <c r="S3774" s="82"/>
      <c r="T3774" s="82"/>
      <c r="U3774" s="82"/>
      <c r="V3774" s="82"/>
      <c r="W3774" s="82"/>
      <c r="X3774" s="82"/>
      <c r="Y3774" s="82"/>
      <c r="Z3774" s="82"/>
      <c r="AA3774" s="82"/>
      <c r="AB3774" s="82"/>
      <c r="AC3774" s="82"/>
      <c r="AD3774" s="82"/>
      <c r="AE3774" s="82"/>
      <c r="AF3774" s="82"/>
      <c r="AG3774" s="82"/>
      <c r="AH3774" s="82"/>
      <c r="AI3774" s="82"/>
      <c r="AJ3774" s="82"/>
      <c r="AK3774" s="82"/>
      <c r="AL3774" s="82"/>
      <c r="AM3774" s="82"/>
      <c r="AN3774" s="82"/>
      <c r="AO3774" s="82"/>
      <c r="AP3774" s="82"/>
      <c r="AQ3774" s="82"/>
      <c r="AR3774" s="82"/>
      <c r="AS3774" s="82"/>
      <c r="AT3774" s="82"/>
      <c r="AU3774" s="82"/>
      <c r="AV3774" s="82"/>
      <c r="AW3774" s="82" t="str">
        <f t="shared" si="1"/>
        <v/>
      </c>
      <c r="AX3774" s="83" t="str">
        <f t="array" ref="AX3774">IFERROR(DGET('SBV Import'!A:G,"SBV",{"RSC ID","Tier";B3774,A3774}))</f>
        <v/>
      </c>
      <c r="AY3774" s="82" t="str">
        <f t="shared" si="2"/>
        <v/>
      </c>
      <c r="AZ3774" s="82"/>
      <c r="BA3774" s="84" t="s">
        <v>152</v>
      </c>
      <c r="BB3774" s="84" t="str">
        <f>IFERROR(__xludf.DUMMYFUNCTION("iferror(if(A3774="""",,E3774&gt;=FILTER(Constants!$F$2:$F$10,Constants!$A$2:$A$10=A3774)))"),"")</f>
        <v/>
      </c>
    </row>
    <row r="3775">
      <c r="A3775" s="89"/>
      <c r="B3775" s="87"/>
      <c r="C3775" s="73"/>
      <c r="D3775" s="73"/>
      <c r="E3775" s="82"/>
      <c r="F3775" s="82"/>
      <c r="G3775" s="86"/>
      <c r="H3775" s="86"/>
      <c r="I3775" s="86"/>
      <c r="J3775" s="82"/>
      <c r="K3775" s="82"/>
      <c r="L3775" s="82"/>
      <c r="M3775" s="82"/>
      <c r="N3775" s="82"/>
      <c r="O3775" s="82"/>
      <c r="P3775" s="82"/>
      <c r="Q3775" s="82"/>
      <c r="R3775" s="82"/>
      <c r="S3775" s="82"/>
      <c r="T3775" s="82"/>
      <c r="U3775" s="82"/>
      <c r="V3775" s="82"/>
      <c r="W3775" s="82"/>
      <c r="X3775" s="82"/>
      <c r="Y3775" s="82"/>
      <c r="Z3775" s="82"/>
      <c r="AA3775" s="82"/>
      <c r="AB3775" s="82"/>
      <c r="AC3775" s="82"/>
      <c r="AD3775" s="82"/>
      <c r="AE3775" s="82"/>
      <c r="AF3775" s="82"/>
      <c r="AG3775" s="82"/>
      <c r="AH3775" s="82"/>
      <c r="AI3775" s="82"/>
      <c r="AJ3775" s="82"/>
      <c r="AK3775" s="82"/>
      <c r="AL3775" s="82"/>
      <c r="AM3775" s="82"/>
      <c r="AN3775" s="82"/>
      <c r="AO3775" s="82"/>
      <c r="AP3775" s="82"/>
      <c r="AQ3775" s="82"/>
      <c r="AR3775" s="82"/>
      <c r="AS3775" s="82"/>
      <c r="AT3775" s="82"/>
      <c r="AU3775" s="82"/>
      <c r="AV3775" s="82"/>
      <c r="AW3775" s="82" t="str">
        <f t="shared" si="1"/>
        <v/>
      </c>
      <c r="AX3775" s="83" t="str">
        <f t="array" ref="AX3775">IFERROR(DGET('SBV Import'!A:G,"SBV",{"RSC ID","Tier";B3775,A3775}))</f>
        <v/>
      </c>
      <c r="AY3775" s="82" t="str">
        <f t="shared" si="2"/>
        <v/>
      </c>
      <c r="AZ3775" s="82"/>
      <c r="BA3775" s="84" t="s">
        <v>152</v>
      </c>
      <c r="BB3775" s="84" t="str">
        <f>IFERROR(__xludf.DUMMYFUNCTION("iferror(if(A3775="""",,E3775&gt;=FILTER(Constants!$F$2:$F$10,Constants!$A$2:$A$10=A3775)))"),"")</f>
        <v/>
      </c>
    </row>
    <row r="3776">
      <c r="A3776" s="89"/>
      <c r="B3776" s="87"/>
      <c r="C3776" s="73"/>
      <c r="D3776" s="73"/>
      <c r="E3776" s="82"/>
      <c r="F3776" s="82"/>
      <c r="G3776" s="86"/>
      <c r="H3776" s="86"/>
      <c r="I3776" s="86"/>
      <c r="J3776" s="82"/>
      <c r="K3776" s="82"/>
      <c r="L3776" s="82"/>
      <c r="M3776" s="82"/>
      <c r="N3776" s="82"/>
      <c r="O3776" s="82"/>
      <c r="P3776" s="82"/>
      <c r="Q3776" s="82"/>
      <c r="R3776" s="82"/>
      <c r="S3776" s="82"/>
      <c r="T3776" s="82"/>
      <c r="U3776" s="82"/>
      <c r="V3776" s="82"/>
      <c r="W3776" s="82"/>
      <c r="X3776" s="82"/>
      <c r="Y3776" s="82"/>
      <c r="Z3776" s="82"/>
      <c r="AA3776" s="82"/>
      <c r="AB3776" s="82"/>
      <c r="AC3776" s="82"/>
      <c r="AD3776" s="82"/>
      <c r="AE3776" s="82"/>
      <c r="AF3776" s="82"/>
      <c r="AG3776" s="82"/>
      <c r="AH3776" s="82"/>
      <c r="AI3776" s="82"/>
      <c r="AJ3776" s="82"/>
      <c r="AK3776" s="82"/>
      <c r="AL3776" s="82"/>
      <c r="AM3776" s="82"/>
      <c r="AN3776" s="82"/>
      <c r="AO3776" s="82"/>
      <c r="AP3776" s="82"/>
      <c r="AQ3776" s="82"/>
      <c r="AR3776" s="82"/>
      <c r="AS3776" s="82"/>
      <c r="AT3776" s="82"/>
      <c r="AU3776" s="82"/>
      <c r="AV3776" s="82"/>
      <c r="AW3776" s="82" t="str">
        <f t="shared" si="1"/>
        <v/>
      </c>
      <c r="AX3776" s="83" t="str">
        <f t="array" ref="AX3776">IFERROR(DGET('SBV Import'!A:G,"SBV",{"RSC ID","Tier";B3776,A3776}))</f>
        <v/>
      </c>
      <c r="AY3776" s="82" t="str">
        <f t="shared" si="2"/>
        <v/>
      </c>
      <c r="AZ3776" s="82"/>
      <c r="BA3776" s="84" t="s">
        <v>152</v>
      </c>
      <c r="BB3776" s="84" t="str">
        <f>IFERROR(__xludf.DUMMYFUNCTION("iferror(if(A3776="""",,E3776&gt;=FILTER(Constants!$F$2:$F$10,Constants!$A$2:$A$10=A3776)))"),"")</f>
        <v/>
      </c>
    </row>
    <row r="3777">
      <c r="A3777" s="89"/>
      <c r="B3777" s="87"/>
      <c r="C3777" s="73"/>
      <c r="D3777" s="73"/>
      <c r="E3777" s="82"/>
      <c r="F3777" s="82"/>
      <c r="G3777" s="86"/>
      <c r="H3777" s="86"/>
      <c r="I3777" s="86"/>
      <c r="J3777" s="82"/>
      <c r="K3777" s="82"/>
      <c r="L3777" s="82"/>
      <c r="M3777" s="82"/>
      <c r="N3777" s="82"/>
      <c r="O3777" s="82"/>
      <c r="P3777" s="82"/>
      <c r="Q3777" s="82"/>
      <c r="R3777" s="82"/>
      <c r="S3777" s="82"/>
      <c r="T3777" s="82"/>
      <c r="U3777" s="82"/>
      <c r="V3777" s="82"/>
      <c r="W3777" s="82"/>
      <c r="X3777" s="82"/>
      <c r="Y3777" s="82"/>
      <c r="Z3777" s="82"/>
      <c r="AA3777" s="82"/>
      <c r="AB3777" s="82"/>
      <c r="AC3777" s="82"/>
      <c r="AD3777" s="82"/>
      <c r="AE3777" s="82"/>
      <c r="AF3777" s="82"/>
      <c r="AG3777" s="82"/>
      <c r="AH3777" s="82"/>
      <c r="AI3777" s="82"/>
      <c r="AJ3777" s="82"/>
      <c r="AK3777" s="82"/>
      <c r="AL3777" s="82"/>
      <c r="AM3777" s="82"/>
      <c r="AN3777" s="82"/>
      <c r="AO3777" s="82"/>
      <c r="AP3777" s="82"/>
      <c r="AQ3777" s="82"/>
      <c r="AR3777" s="82"/>
      <c r="AS3777" s="82"/>
      <c r="AT3777" s="82"/>
      <c r="AU3777" s="82"/>
      <c r="AV3777" s="82"/>
      <c r="AW3777" s="82" t="str">
        <f t="shared" si="1"/>
        <v/>
      </c>
      <c r="AX3777" s="83" t="str">
        <f t="array" ref="AX3777">IFERROR(DGET('SBV Import'!A:G,"SBV",{"RSC ID","Tier";B3777,A3777}))</f>
        <v/>
      </c>
      <c r="AY3777" s="82" t="str">
        <f t="shared" si="2"/>
        <v/>
      </c>
      <c r="AZ3777" s="82"/>
      <c r="BA3777" s="84" t="s">
        <v>152</v>
      </c>
      <c r="BB3777" s="84" t="str">
        <f>IFERROR(__xludf.DUMMYFUNCTION("iferror(if(A3777="""",,E3777&gt;=FILTER(Constants!$F$2:$F$10,Constants!$A$2:$A$10=A3777)))"),"")</f>
        <v/>
      </c>
    </row>
    <row r="3778">
      <c r="A3778" s="89"/>
      <c r="B3778" s="87"/>
      <c r="C3778" s="73"/>
      <c r="D3778" s="73"/>
      <c r="E3778" s="82"/>
      <c r="F3778" s="82"/>
      <c r="G3778" s="86"/>
      <c r="H3778" s="86"/>
      <c r="I3778" s="86"/>
      <c r="J3778" s="82"/>
      <c r="K3778" s="82"/>
      <c r="L3778" s="82"/>
      <c r="M3778" s="82"/>
      <c r="N3778" s="82"/>
      <c r="O3778" s="82"/>
      <c r="P3778" s="82"/>
      <c r="Q3778" s="82"/>
      <c r="R3778" s="82"/>
      <c r="S3778" s="82"/>
      <c r="T3778" s="82"/>
      <c r="U3778" s="82"/>
      <c r="V3778" s="82"/>
      <c r="W3778" s="82"/>
      <c r="X3778" s="82"/>
      <c r="Y3778" s="82"/>
      <c r="Z3778" s="82"/>
      <c r="AA3778" s="82"/>
      <c r="AB3778" s="82"/>
      <c r="AC3778" s="82"/>
      <c r="AD3778" s="82"/>
      <c r="AE3778" s="82"/>
      <c r="AF3778" s="82"/>
      <c r="AG3778" s="82"/>
      <c r="AH3778" s="82"/>
      <c r="AI3778" s="82"/>
      <c r="AJ3778" s="82"/>
      <c r="AK3778" s="82"/>
      <c r="AL3778" s="82"/>
      <c r="AM3778" s="82"/>
      <c r="AN3778" s="82"/>
      <c r="AO3778" s="82"/>
      <c r="AP3778" s="82"/>
      <c r="AQ3778" s="82"/>
      <c r="AR3778" s="82"/>
      <c r="AS3778" s="82"/>
      <c r="AT3778" s="82"/>
      <c r="AU3778" s="82"/>
      <c r="AV3778" s="82"/>
      <c r="AW3778" s="82" t="str">
        <f t="shared" si="1"/>
        <v/>
      </c>
      <c r="AX3778" s="83" t="str">
        <f t="array" ref="AX3778">IFERROR(DGET('SBV Import'!A:G,"SBV",{"RSC ID","Tier";B3778,A3778}))</f>
        <v/>
      </c>
      <c r="AY3778" s="82" t="str">
        <f t="shared" si="2"/>
        <v/>
      </c>
      <c r="AZ3778" s="82"/>
      <c r="BA3778" s="84" t="s">
        <v>152</v>
      </c>
      <c r="BB3778" s="84" t="str">
        <f>IFERROR(__xludf.DUMMYFUNCTION("iferror(if(A3778="""",,E3778&gt;=FILTER(Constants!$F$2:$F$10,Constants!$A$2:$A$10=A3778)))"),"")</f>
        <v/>
      </c>
    </row>
    <row r="3779">
      <c r="A3779" s="89"/>
      <c r="B3779" s="87"/>
      <c r="C3779" s="73"/>
      <c r="D3779" s="73"/>
      <c r="E3779" s="82"/>
      <c r="F3779" s="82"/>
      <c r="G3779" s="86"/>
      <c r="H3779" s="86"/>
      <c r="I3779" s="86"/>
      <c r="J3779" s="82"/>
      <c r="K3779" s="82"/>
      <c r="L3779" s="82"/>
      <c r="M3779" s="82"/>
      <c r="N3779" s="82"/>
      <c r="O3779" s="82"/>
      <c r="P3779" s="82"/>
      <c r="Q3779" s="82"/>
      <c r="R3779" s="82"/>
      <c r="S3779" s="82"/>
      <c r="T3779" s="82"/>
      <c r="U3779" s="82"/>
      <c r="V3779" s="82"/>
      <c r="W3779" s="82"/>
      <c r="X3779" s="82"/>
      <c r="Y3779" s="82"/>
      <c r="Z3779" s="82"/>
      <c r="AA3779" s="82"/>
      <c r="AB3779" s="82"/>
      <c r="AC3779" s="82"/>
      <c r="AD3779" s="82"/>
      <c r="AE3779" s="82"/>
      <c r="AF3779" s="82"/>
      <c r="AG3779" s="82"/>
      <c r="AH3779" s="82"/>
      <c r="AI3779" s="82"/>
      <c r="AJ3779" s="82"/>
      <c r="AK3779" s="82"/>
      <c r="AL3779" s="82"/>
      <c r="AM3779" s="82"/>
      <c r="AN3779" s="82"/>
      <c r="AO3779" s="82"/>
      <c r="AP3779" s="82"/>
      <c r="AQ3779" s="82"/>
      <c r="AR3779" s="82"/>
      <c r="AS3779" s="82"/>
      <c r="AT3779" s="82"/>
      <c r="AU3779" s="82"/>
      <c r="AV3779" s="82"/>
      <c r="AW3779" s="82" t="str">
        <f t="shared" si="1"/>
        <v/>
      </c>
      <c r="AX3779" s="83" t="str">
        <f t="array" ref="AX3779">IFERROR(DGET('SBV Import'!A:G,"SBV",{"RSC ID","Tier";B3779,A3779}))</f>
        <v/>
      </c>
      <c r="AY3779" s="82" t="str">
        <f t="shared" si="2"/>
        <v/>
      </c>
      <c r="AZ3779" s="82"/>
      <c r="BA3779" s="84" t="s">
        <v>152</v>
      </c>
      <c r="BB3779" s="84" t="str">
        <f>IFERROR(__xludf.DUMMYFUNCTION("iferror(if(A3779="""",,E3779&gt;=FILTER(Constants!$F$2:$F$10,Constants!$A$2:$A$10=A3779)))"),"")</f>
        <v/>
      </c>
    </row>
    <row r="3780">
      <c r="A3780" s="89"/>
      <c r="B3780" s="87"/>
      <c r="C3780" s="73"/>
      <c r="D3780" s="73"/>
      <c r="E3780" s="82"/>
      <c r="F3780" s="82"/>
      <c r="G3780" s="86"/>
      <c r="H3780" s="86"/>
      <c r="I3780" s="86"/>
      <c r="J3780" s="82"/>
      <c r="K3780" s="82"/>
      <c r="L3780" s="82"/>
      <c r="M3780" s="82"/>
      <c r="N3780" s="82"/>
      <c r="O3780" s="82"/>
      <c r="P3780" s="82"/>
      <c r="Q3780" s="82"/>
      <c r="R3780" s="82"/>
      <c r="S3780" s="82"/>
      <c r="T3780" s="82"/>
      <c r="U3780" s="82"/>
      <c r="V3780" s="82"/>
      <c r="W3780" s="82"/>
      <c r="X3780" s="82"/>
      <c r="Y3780" s="82"/>
      <c r="Z3780" s="82"/>
      <c r="AA3780" s="82"/>
      <c r="AB3780" s="82"/>
      <c r="AC3780" s="82"/>
      <c r="AD3780" s="82"/>
      <c r="AE3780" s="82"/>
      <c r="AF3780" s="82"/>
      <c r="AG3780" s="82"/>
      <c r="AH3780" s="82"/>
      <c r="AI3780" s="82"/>
      <c r="AJ3780" s="82"/>
      <c r="AK3780" s="82"/>
      <c r="AL3780" s="82"/>
      <c r="AM3780" s="82"/>
      <c r="AN3780" s="82"/>
      <c r="AO3780" s="82"/>
      <c r="AP3780" s="82"/>
      <c r="AQ3780" s="82"/>
      <c r="AR3780" s="82"/>
      <c r="AS3780" s="82"/>
      <c r="AT3780" s="82"/>
      <c r="AU3780" s="82"/>
      <c r="AV3780" s="82"/>
      <c r="AW3780" s="82" t="str">
        <f t="shared" si="1"/>
        <v/>
      </c>
      <c r="AX3780" s="83" t="str">
        <f t="array" ref="AX3780">IFERROR(DGET('SBV Import'!A:G,"SBV",{"RSC ID","Tier";B3780,A3780}))</f>
        <v/>
      </c>
      <c r="AY3780" s="82" t="str">
        <f t="shared" si="2"/>
        <v/>
      </c>
      <c r="AZ3780" s="82"/>
      <c r="BA3780" s="84" t="s">
        <v>152</v>
      </c>
      <c r="BB3780" s="84" t="str">
        <f>IFERROR(__xludf.DUMMYFUNCTION("iferror(if(A3780="""",,E3780&gt;=FILTER(Constants!$F$2:$F$10,Constants!$A$2:$A$10=A3780)))"),"")</f>
        <v/>
      </c>
    </row>
    <row r="3781">
      <c r="A3781" s="89"/>
      <c r="B3781" s="87"/>
      <c r="C3781" s="73"/>
      <c r="D3781" s="73"/>
      <c r="E3781" s="82"/>
      <c r="F3781" s="82"/>
      <c r="G3781" s="86"/>
      <c r="H3781" s="86"/>
      <c r="I3781" s="86"/>
      <c r="J3781" s="82"/>
      <c r="K3781" s="82"/>
      <c r="L3781" s="82"/>
      <c r="M3781" s="82"/>
      <c r="N3781" s="82"/>
      <c r="O3781" s="82"/>
      <c r="P3781" s="82"/>
      <c r="Q3781" s="82"/>
      <c r="R3781" s="82"/>
      <c r="S3781" s="82"/>
      <c r="T3781" s="82"/>
      <c r="U3781" s="82"/>
      <c r="V3781" s="82"/>
      <c r="W3781" s="82"/>
      <c r="X3781" s="82"/>
      <c r="Y3781" s="82"/>
      <c r="Z3781" s="82"/>
      <c r="AA3781" s="82"/>
      <c r="AB3781" s="82"/>
      <c r="AC3781" s="82"/>
      <c r="AD3781" s="82"/>
      <c r="AE3781" s="82"/>
      <c r="AF3781" s="82"/>
      <c r="AG3781" s="82"/>
      <c r="AH3781" s="82"/>
      <c r="AI3781" s="82"/>
      <c r="AJ3781" s="82"/>
      <c r="AK3781" s="82"/>
      <c r="AL3781" s="82"/>
      <c r="AM3781" s="82"/>
      <c r="AN3781" s="82"/>
      <c r="AO3781" s="82"/>
      <c r="AP3781" s="82"/>
      <c r="AQ3781" s="82"/>
      <c r="AR3781" s="82"/>
      <c r="AS3781" s="82"/>
      <c r="AT3781" s="82"/>
      <c r="AU3781" s="82"/>
      <c r="AV3781" s="82"/>
      <c r="AW3781" s="82" t="str">
        <f t="shared" si="1"/>
        <v/>
      </c>
      <c r="AX3781" s="83" t="str">
        <f t="array" ref="AX3781">IFERROR(DGET('SBV Import'!A:G,"SBV",{"RSC ID","Tier";B3781,A3781}))</f>
        <v/>
      </c>
      <c r="AY3781" s="82" t="str">
        <f t="shared" si="2"/>
        <v/>
      </c>
      <c r="AZ3781" s="82"/>
      <c r="BA3781" s="84" t="s">
        <v>152</v>
      </c>
      <c r="BB3781" s="84" t="str">
        <f>IFERROR(__xludf.DUMMYFUNCTION("iferror(if(A3781="""",,E3781&gt;=FILTER(Constants!$F$2:$F$10,Constants!$A$2:$A$10=A3781)))"),"")</f>
        <v/>
      </c>
    </row>
    <row r="3782">
      <c r="A3782" s="89"/>
      <c r="B3782" s="87"/>
      <c r="C3782" s="73"/>
      <c r="D3782" s="73"/>
      <c r="E3782" s="82"/>
      <c r="F3782" s="82"/>
      <c r="G3782" s="86"/>
      <c r="H3782" s="86"/>
      <c r="I3782" s="86"/>
      <c r="J3782" s="82"/>
      <c r="K3782" s="82"/>
      <c r="L3782" s="82"/>
      <c r="M3782" s="82"/>
      <c r="N3782" s="82"/>
      <c r="O3782" s="82"/>
      <c r="P3782" s="82"/>
      <c r="Q3782" s="82"/>
      <c r="R3782" s="82"/>
      <c r="S3782" s="82"/>
      <c r="T3782" s="82"/>
      <c r="U3782" s="82"/>
      <c r="V3782" s="82"/>
      <c r="W3782" s="82"/>
      <c r="X3782" s="82"/>
      <c r="Y3782" s="82"/>
      <c r="Z3782" s="82"/>
      <c r="AA3782" s="82"/>
      <c r="AB3782" s="82"/>
      <c r="AC3782" s="82"/>
      <c r="AD3782" s="82"/>
      <c r="AE3782" s="82"/>
      <c r="AF3782" s="82"/>
      <c r="AG3782" s="82"/>
      <c r="AH3782" s="82"/>
      <c r="AI3782" s="82"/>
      <c r="AJ3782" s="82"/>
      <c r="AK3782" s="82"/>
      <c r="AL3782" s="82"/>
      <c r="AM3782" s="82"/>
      <c r="AN3782" s="82"/>
      <c r="AO3782" s="82"/>
      <c r="AP3782" s="82"/>
      <c r="AQ3782" s="82"/>
      <c r="AR3782" s="82"/>
      <c r="AS3782" s="82"/>
      <c r="AT3782" s="82"/>
      <c r="AU3782" s="82"/>
      <c r="AV3782" s="82"/>
      <c r="AW3782" s="82" t="str">
        <f t="shared" si="1"/>
        <v/>
      </c>
      <c r="AX3782" s="83" t="str">
        <f t="array" ref="AX3782">IFERROR(DGET('SBV Import'!A:G,"SBV",{"RSC ID","Tier";B3782,A3782}))</f>
        <v/>
      </c>
      <c r="AY3782" s="82" t="str">
        <f t="shared" si="2"/>
        <v/>
      </c>
      <c r="AZ3782" s="82"/>
      <c r="BA3782" s="84" t="s">
        <v>152</v>
      </c>
      <c r="BB3782" s="84" t="str">
        <f>IFERROR(__xludf.DUMMYFUNCTION("iferror(if(A3782="""",,E3782&gt;=FILTER(Constants!$F$2:$F$10,Constants!$A$2:$A$10=A3782)))"),"")</f>
        <v/>
      </c>
    </row>
    <row r="3783">
      <c r="A3783" s="89"/>
      <c r="B3783" s="87"/>
      <c r="C3783" s="73"/>
      <c r="D3783" s="73"/>
      <c r="E3783" s="82"/>
      <c r="F3783" s="82"/>
      <c r="G3783" s="86"/>
      <c r="H3783" s="86"/>
      <c r="I3783" s="86"/>
      <c r="J3783" s="82"/>
      <c r="K3783" s="82"/>
      <c r="L3783" s="82"/>
      <c r="M3783" s="82"/>
      <c r="N3783" s="82"/>
      <c r="O3783" s="82"/>
      <c r="P3783" s="82"/>
      <c r="Q3783" s="82"/>
      <c r="R3783" s="82"/>
      <c r="S3783" s="82"/>
      <c r="T3783" s="82"/>
      <c r="U3783" s="82"/>
      <c r="V3783" s="82"/>
      <c r="W3783" s="82"/>
      <c r="X3783" s="82"/>
      <c r="Y3783" s="82"/>
      <c r="Z3783" s="82"/>
      <c r="AA3783" s="82"/>
      <c r="AB3783" s="82"/>
      <c r="AC3783" s="82"/>
      <c r="AD3783" s="82"/>
      <c r="AE3783" s="82"/>
      <c r="AF3783" s="82"/>
      <c r="AG3783" s="82"/>
      <c r="AH3783" s="82"/>
      <c r="AI3783" s="82"/>
      <c r="AJ3783" s="82"/>
      <c r="AK3783" s="82"/>
      <c r="AL3783" s="82"/>
      <c r="AM3783" s="82"/>
      <c r="AN3783" s="82"/>
      <c r="AO3783" s="82"/>
      <c r="AP3783" s="82"/>
      <c r="AQ3783" s="82"/>
      <c r="AR3783" s="82"/>
      <c r="AS3783" s="82"/>
      <c r="AT3783" s="82"/>
      <c r="AU3783" s="82"/>
      <c r="AV3783" s="82"/>
      <c r="AW3783" s="82" t="str">
        <f t="shared" si="1"/>
        <v/>
      </c>
      <c r="AX3783" s="83" t="str">
        <f t="array" ref="AX3783">IFERROR(DGET('SBV Import'!A:G,"SBV",{"RSC ID","Tier";B3783,A3783}))</f>
        <v/>
      </c>
      <c r="AY3783" s="82" t="str">
        <f t="shared" si="2"/>
        <v/>
      </c>
      <c r="AZ3783" s="82"/>
      <c r="BA3783" s="84" t="s">
        <v>152</v>
      </c>
      <c r="BB3783" s="84" t="str">
        <f>IFERROR(__xludf.DUMMYFUNCTION("iferror(if(A3783="""",,E3783&gt;=FILTER(Constants!$F$2:$F$10,Constants!$A$2:$A$10=A3783)))"),"")</f>
        <v/>
      </c>
    </row>
    <row r="3784">
      <c r="A3784" s="89"/>
      <c r="B3784" s="87"/>
      <c r="C3784" s="73"/>
      <c r="D3784" s="73"/>
      <c r="E3784" s="82"/>
      <c r="F3784" s="82"/>
      <c r="G3784" s="86"/>
      <c r="H3784" s="86"/>
      <c r="I3784" s="86"/>
      <c r="J3784" s="82"/>
      <c r="K3784" s="82"/>
      <c r="L3784" s="82"/>
      <c r="M3784" s="82"/>
      <c r="N3784" s="82"/>
      <c r="O3784" s="82"/>
      <c r="P3784" s="82"/>
      <c r="Q3784" s="82"/>
      <c r="R3784" s="82"/>
      <c r="S3784" s="82"/>
      <c r="T3784" s="82"/>
      <c r="U3784" s="82"/>
      <c r="V3784" s="82"/>
      <c r="W3784" s="82"/>
      <c r="X3784" s="82"/>
      <c r="Y3784" s="82"/>
      <c r="Z3784" s="82"/>
      <c r="AA3784" s="82"/>
      <c r="AB3784" s="82"/>
      <c r="AC3784" s="82"/>
      <c r="AD3784" s="82"/>
      <c r="AE3784" s="82"/>
      <c r="AF3784" s="82"/>
      <c r="AG3784" s="82"/>
      <c r="AH3784" s="82"/>
      <c r="AI3784" s="82"/>
      <c r="AJ3784" s="82"/>
      <c r="AK3784" s="82"/>
      <c r="AL3784" s="82"/>
      <c r="AM3784" s="82"/>
      <c r="AN3784" s="82"/>
      <c r="AO3784" s="82"/>
      <c r="AP3784" s="82"/>
      <c r="AQ3784" s="82"/>
      <c r="AR3784" s="82"/>
      <c r="AS3784" s="82"/>
      <c r="AT3784" s="82"/>
      <c r="AU3784" s="82"/>
      <c r="AV3784" s="82"/>
      <c r="AW3784" s="82" t="str">
        <f t="shared" si="1"/>
        <v/>
      </c>
      <c r="AX3784" s="83" t="str">
        <f t="array" ref="AX3784">IFERROR(DGET('SBV Import'!A:G,"SBV",{"RSC ID","Tier";B3784,A3784}))</f>
        <v/>
      </c>
      <c r="AY3784" s="82" t="str">
        <f t="shared" si="2"/>
        <v/>
      </c>
      <c r="AZ3784" s="82"/>
      <c r="BA3784" s="84" t="s">
        <v>152</v>
      </c>
      <c r="BB3784" s="84" t="str">
        <f>IFERROR(__xludf.DUMMYFUNCTION("iferror(if(A3784="""",,E3784&gt;=FILTER(Constants!$F$2:$F$10,Constants!$A$2:$A$10=A3784)))"),"")</f>
        <v/>
      </c>
    </row>
    <row r="3785">
      <c r="A3785" s="89"/>
      <c r="B3785" s="87"/>
      <c r="C3785" s="73"/>
      <c r="D3785" s="73"/>
      <c r="E3785" s="82"/>
      <c r="F3785" s="82"/>
      <c r="G3785" s="86"/>
      <c r="H3785" s="86"/>
      <c r="I3785" s="86"/>
      <c r="J3785" s="82"/>
      <c r="K3785" s="82"/>
      <c r="L3785" s="82"/>
      <c r="M3785" s="82"/>
      <c r="N3785" s="82"/>
      <c r="O3785" s="82"/>
      <c r="P3785" s="82"/>
      <c r="Q3785" s="82"/>
      <c r="R3785" s="82"/>
      <c r="S3785" s="82"/>
      <c r="T3785" s="82"/>
      <c r="U3785" s="82"/>
      <c r="V3785" s="82"/>
      <c r="W3785" s="82"/>
      <c r="X3785" s="82"/>
      <c r="Y3785" s="82"/>
      <c r="Z3785" s="82"/>
      <c r="AA3785" s="82"/>
      <c r="AB3785" s="82"/>
      <c r="AC3785" s="82"/>
      <c r="AD3785" s="82"/>
      <c r="AE3785" s="82"/>
      <c r="AF3785" s="82"/>
      <c r="AG3785" s="82"/>
      <c r="AH3785" s="82"/>
      <c r="AI3785" s="82"/>
      <c r="AJ3785" s="82"/>
      <c r="AK3785" s="82"/>
      <c r="AL3785" s="82"/>
      <c r="AM3785" s="82"/>
      <c r="AN3785" s="82"/>
      <c r="AO3785" s="82"/>
      <c r="AP3785" s="82"/>
      <c r="AQ3785" s="82"/>
      <c r="AR3785" s="82"/>
      <c r="AS3785" s="82"/>
      <c r="AT3785" s="82"/>
      <c r="AU3785" s="82"/>
      <c r="AV3785" s="82"/>
      <c r="AW3785" s="82" t="str">
        <f t="shared" si="1"/>
        <v/>
      </c>
      <c r="AX3785" s="83" t="str">
        <f t="array" ref="AX3785">IFERROR(DGET('SBV Import'!A:G,"SBV",{"RSC ID","Tier";B3785,A3785}))</f>
        <v/>
      </c>
      <c r="AY3785" s="82" t="str">
        <f t="shared" si="2"/>
        <v/>
      </c>
      <c r="AZ3785" s="82"/>
      <c r="BA3785" s="84" t="s">
        <v>152</v>
      </c>
      <c r="BB3785" s="84" t="str">
        <f>IFERROR(__xludf.DUMMYFUNCTION("iferror(if(A3785="""",,E3785&gt;=FILTER(Constants!$F$2:$F$10,Constants!$A$2:$A$10=A3785)))"),"")</f>
        <v/>
      </c>
    </row>
    <row r="3786">
      <c r="A3786" s="89"/>
      <c r="B3786" s="87"/>
      <c r="C3786" s="73"/>
      <c r="D3786" s="73"/>
      <c r="E3786" s="82"/>
      <c r="F3786" s="82"/>
      <c r="G3786" s="86"/>
      <c r="H3786" s="86"/>
      <c r="I3786" s="86"/>
      <c r="J3786" s="82"/>
      <c r="K3786" s="82"/>
      <c r="L3786" s="82"/>
      <c r="M3786" s="82"/>
      <c r="N3786" s="82"/>
      <c r="O3786" s="82"/>
      <c r="P3786" s="82"/>
      <c r="Q3786" s="82"/>
      <c r="R3786" s="82"/>
      <c r="S3786" s="82"/>
      <c r="T3786" s="82"/>
      <c r="U3786" s="82"/>
      <c r="V3786" s="82"/>
      <c r="W3786" s="82"/>
      <c r="X3786" s="82"/>
      <c r="Y3786" s="82"/>
      <c r="Z3786" s="82"/>
      <c r="AA3786" s="82"/>
      <c r="AB3786" s="82"/>
      <c r="AC3786" s="82"/>
      <c r="AD3786" s="82"/>
      <c r="AE3786" s="82"/>
      <c r="AF3786" s="82"/>
      <c r="AG3786" s="82"/>
      <c r="AH3786" s="82"/>
      <c r="AI3786" s="82"/>
      <c r="AJ3786" s="82"/>
      <c r="AK3786" s="82"/>
      <c r="AL3786" s="82"/>
      <c r="AM3786" s="82"/>
      <c r="AN3786" s="82"/>
      <c r="AO3786" s="82"/>
      <c r="AP3786" s="82"/>
      <c r="AQ3786" s="82"/>
      <c r="AR3786" s="82"/>
      <c r="AS3786" s="82"/>
      <c r="AT3786" s="82"/>
      <c r="AU3786" s="82"/>
      <c r="AV3786" s="82"/>
      <c r="AW3786" s="82" t="str">
        <f t="shared" si="1"/>
        <v/>
      </c>
      <c r="AX3786" s="83" t="str">
        <f t="array" ref="AX3786">IFERROR(DGET('SBV Import'!A:G,"SBV",{"RSC ID","Tier";B3786,A3786}))</f>
        <v/>
      </c>
      <c r="AY3786" s="82" t="str">
        <f t="shared" si="2"/>
        <v/>
      </c>
      <c r="AZ3786" s="82"/>
      <c r="BA3786" s="84" t="s">
        <v>152</v>
      </c>
      <c r="BB3786" s="84" t="str">
        <f>IFERROR(__xludf.DUMMYFUNCTION("iferror(if(A3786="""",,E3786&gt;=FILTER(Constants!$F$2:$F$10,Constants!$A$2:$A$10=A3786)))"),"")</f>
        <v/>
      </c>
    </row>
    <row r="3787">
      <c r="A3787" s="89"/>
      <c r="B3787" s="87"/>
      <c r="C3787" s="73"/>
      <c r="D3787" s="73"/>
      <c r="E3787" s="82"/>
      <c r="F3787" s="82"/>
      <c r="G3787" s="86"/>
      <c r="H3787" s="86"/>
      <c r="I3787" s="86"/>
      <c r="J3787" s="82"/>
      <c r="K3787" s="82"/>
      <c r="L3787" s="82"/>
      <c r="M3787" s="82"/>
      <c r="N3787" s="82"/>
      <c r="O3787" s="82"/>
      <c r="P3787" s="82"/>
      <c r="Q3787" s="82"/>
      <c r="R3787" s="82"/>
      <c r="S3787" s="82"/>
      <c r="T3787" s="82"/>
      <c r="U3787" s="82"/>
      <c r="V3787" s="82"/>
      <c r="W3787" s="82"/>
      <c r="X3787" s="82"/>
      <c r="Y3787" s="82"/>
      <c r="Z3787" s="82"/>
      <c r="AA3787" s="82"/>
      <c r="AB3787" s="82"/>
      <c r="AC3787" s="82"/>
      <c r="AD3787" s="82"/>
      <c r="AE3787" s="82"/>
      <c r="AF3787" s="82"/>
      <c r="AG3787" s="82"/>
      <c r="AH3787" s="82"/>
      <c r="AI3787" s="82"/>
      <c r="AJ3787" s="82"/>
      <c r="AK3787" s="82"/>
      <c r="AL3787" s="82"/>
      <c r="AM3787" s="82"/>
      <c r="AN3787" s="82"/>
      <c r="AO3787" s="82"/>
      <c r="AP3787" s="82"/>
      <c r="AQ3787" s="82"/>
      <c r="AR3787" s="82"/>
      <c r="AS3787" s="82"/>
      <c r="AT3787" s="82"/>
      <c r="AU3787" s="82"/>
      <c r="AV3787" s="82"/>
      <c r="AW3787" s="82" t="str">
        <f t="shared" si="1"/>
        <v/>
      </c>
      <c r="AX3787" s="83" t="str">
        <f t="array" ref="AX3787">IFERROR(DGET('SBV Import'!A:G,"SBV",{"RSC ID","Tier";B3787,A3787}))</f>
        <v/>
      </c>
      <c r="AY3787" s="82" t="str">
        <f t="shared" si="2"/>
        <v/>
      </c>
      <c r="AZ3787" s="82"/>
      <c r="BA3787" s="84" t="s">
        <v>152</v>
      </c>
      <c r="BB3787" s="84" t="str">
        <f>IFERROR(__xludf.DUMMYFUNCTION("iferror(if(A3787="""",,E3787&gt;=FILTER(Constants!$F$2:$F$10,Constants!$A$2:$A$10=A3787)))"),"")</f>
        <v/>
      </c>
    </row>
    <row r="3788">
      <c r="A3788" s="89"/>
      <c r="B3788" s="87"/>
      <c r="C3788" s="73"/>
      <c r="D3788" s="73"/>
      <c r="E3788" s="82"/>
      <c r="F3788" s="82"/>
      <c r="G3788" s="86"/>
      <c r="H3788" s="86"/>
      <c r="I3788" s="86"/>
      <c r="J3788" s="82"/>
      <c r="K3788" s="82"/>
      <c r="L3788" s="82"/>
      <c r="M3788" s="82"/>
      <c r="N3788" s="82"/>
      <c r="O3788" s="82"/>
      <c r="P3788" s="82"/>
      <c r="Q3788" s="82"/>
      <c r="R3788" s="82"/>
      <c r="S3788" s="82"/>
      <c r="T3788" s="82"/>
      <c r="U3788" s="82"/>
      <c r="V3788" s="82"/>
      <c r="W3788" s="82"/>
      <c r="X3788" s="82"/>
      <c r="Y3788" s="82"/>
      <c r="Z3788" s="82"/>
      <c r="AA3788" s="82"/>
      <c r="AB3788" s="82"/>
      <c r="AC3788" s="82"/>
      <c r="AD3788" s="82"/>
      <c r="AE3788" s="82"/>
      <c r="AF3788" s="82"/>
      <c r="AG3788" s="82"/>
      <c r="AH3788" s="82"/>
      <c r="AI3788" s="82"/>
      <c r="AJ3788" s="82"/>
      <c r="AK3788" s="82"/>
      <c r="AL3788" s="82"/>
      <c r="AM3788" s="82"/>
      <c r="AN3788" s="82"/>
      <c r="AO3788" s="82"/>
      <c r="AP3788" s="82"/>
      <c r="AQ3788" s="82"/>
      <c r="AR3788" s="82"/>
      <c r="AS3788" s="82"/>
      <c r="AT3788" s="82"/>
      <c r="AU3788" s="82"/>
      <c r="AV3788" s="82"/>
      <c r="AW3788" s="82" t="str">
        <f t="shared" si="1"/>
        <v/>
      </c>
      <c r="AX3788" s="83" t="str">
        <f t="array" ref="AX3788">IFERROR(DGET('SBV Import'!A:G,"SBV",{"RSC ID","Tier";B3788,A3788}))</f>
        <v/>
      </c>
      <c r="AY3788" s="82" t="str">
        <f t="shared" si="2"/>
        <v/>
      </c>
      <c r="AZ3788" s="82"/>
      <c r="BA3788" s="84" t="s">
        <v>152</v>
      </c>
      <c r="BB3788" s="84" t="str">
        <f>IFERROR(__xludf.DUMMYFUNCTION("iferror(if(A3788="""",,E3788&gt;=FILTER(Constants!$F$2:$F$10,Constants!$A$2:$A$10=A3788)))"),"")</f>
        <v/>
      </c>
    </row>
    <row r="3789">
      <c r="A3789" s="89"/>
      <c r="B3789" s="87"/>
      <c r="C3789" s="73"/>
      <c r="D3789" s="73"/>
      <c r="E3789" s="82"/>
      <c r="F3789" s="82"/>
      <c r="G3789" s="86"/>
      <c r="H3789" s="86"/>
      <c r="I3789" s="86"/>
      <c r="J3789" s="82"/>
      <c r="K3789" s="82"/>
      <c r="L3789" s="82"/>
      <c r="M3789" s="82"/>
      <c r="N3789" s="82"/>
      <c r="O3789" s="82"/>
      <c r="P3789" s="82"/>
      <c r="Q3789" s="82"/>
      <c r="R3789" s="82"/>
      <c r="S3789" s="82"/>
      <c r="T3789" s="82"/>
      <c r="U3789" s="82"/>
      <c r="V3789" s="82"/>
      <c r="W3789" s="82"/>
      <c r="X3789" s="82"/>
      <c r="Y3789" s="82"/>
      <c r="Z3789" s="82"/>
      <c r="AA3789" s="82"/>
      <c r="AB3789" s="82"/>
      <c r="AC3789" s="82"/>
      <c r="AD3789" s="82"/>
      <c r="AE3789" s="82"/>
      <c r="AF3789" s="82"/>
      <c r="AG3789" s="82"/>
      <c r="AH3789" s="82"/>
      <c r="AI3789" s="82"/>
      <c r="AJ3789" s="82"/>
      <c r="AK3789" s="82"/>
      <c r="AL3789" s="82"/>
      <c r="AM3789" s="82"/>
      <c r="AN3789" s="82"/>
      <c r="AO3789" s="82"/>
      <c r="AP3789" s="82"/>
      <c r="AQ3789" s="82"/>
      <c r="AR3789" s="82"/>
      <c r="AS3789" s="82"/>
      <c r="AT3789" s="82"/>
      <c r="AU3789" s="82"/>
      <c r="AV3789" s="82"/>
      <c r="AW3789" s="82" t="str">
        <f t="shared" si="1"/>
        <v/>
      </c>
      <c r="AX3789" s="83" t="str">
        <f t="array" ref="AX3789">IFERROR(DGET('SBV Import'!A:G,"SBV",{"RSC ID","Tier";B3789,A3789}))</f>
        <v/>
      </c>
      <c r="AY3789" s="82" t="str">
        <f t="shared" si="2"/>
        <v/>
      </c>
      <c r="AZ3789" s="82"/>
      <c r="BA3789" s="84" t="s">
        <v>152</v>
      </c>
      <c r="BB3789" s="84" t="str">
        <f>IFERROR(__xludf.DUMMYFUNCTION("iferror(if(A3789="""",,E3789&gt;=FILTER(Constants!$F$2:$F$10,Constants!$A$2:$A$10=A3789)))"),"")</f>
        <v/>
      </c>
    </row>
    <row r="3790">
      <c r="A3790" s="89"/>
      <c r="B3790" s="87"/>
      <c r="C3790" s="73"/>
      <c r="D3790" s="73"/>
      <c r="E3790" s="82"/>
      <c r="F3790" s="82"/>
      <c r="G3790" s="86"/>
      <c r="H3790" s="86"/>
      <c r="I3790" s="86"/>
      <c r="J3790" s="82"/>
      <c r="K3790" s="82"/>
      <c r="L3790" s="82"/>
      <c r="M3790" s="82"/>
      <c r="N3790" s="82"/>
      <c r="O3790" s="82"/>
      <c r="P3790" s="82"/>
      <c r="Q3790" s="82"/>
      <c r="R3790" s="82"/>
      <c r="S3790" s="82"/>
      <c r="T3790" s="82"/>
      <c r="U3790" s="82"/>
      <c r="V3790" s="82"/>
      <c r="W3790" s="82"/>
      <c r="X3790" s="82"/>
      <c r="Y3790" s="82"/>
      <c r="Z3790" s="82"/>
      <c r="AA3790" s="82"/>
      <c r="AB3790" s="82"/>
      <c r="AC3790" s="82"/>
      <c r="AD3790" s="82"/>
      <c r="AE3790" s="82"/>
      <c r="AF3790" s="82"/>
      <c r="AG3790" s="82"/>
      <c r="AH3790" s="82"/>
      <c r="AI3790" s="82"/>
      <c r="AJ3790" s="82"/>
      <c r="AK3790" s="82"/>
      <c r="AL3790" s="82"/>
      <c r="AM3790" s="82"/>
      <c r="AN3790" s="82"/>
      <c r="AO3790" s="82"/>
      <c r="AP3790" s="82"/>
      <c r="AQ3790" s="82"/>
      <c r="AR3790" s="82"/>
      <c r="AS3790" s="82"/>
      <c r="AT3790" s="82"/>
      <c r="AU3790" s="82"/>
      <c r="AV3790" s="82"/>
      <c r="AW3790" s="82" t="str">
        <f t="shared" si="1"/>
        <v/>
      </c>
      <c r="AX3790" s="83" t="str">
        <f t="array" ref="AX3790">IFERROR(DGET('SBV Import'!A:G,"SBV",{"RSC ID","Tier";B3790,A3790}))</f>
        <v/>
      </c>
      <c r="AY3790" s="82" t="str">
        <f t="shared" si="2"/>
        <v/>
      </c>
      <c r="AZ3790" s="82"/>
      <c r="BA3790" s="84" t="s">
        <v>152</v>
      </c>
      <c r="BB3790" s="84" t="str">
        <f>IFERROR(__xludf.DUMMYFUNCTION("iferror(if(A3790="""",,E3790&gt;=FILTER(Constants!$F$2:$F$10,Constants!$A$2:$A$10=A3790)))"),"")</f>
        <v/>
      </c>
    </row>
    <row r="3791">
      <c r="A3791" s="89"/>
      <c r="B3791" s="87"/>
      <c r="C3791" s="73"/>
      <c r="D3791" s="73"/>
      <c r="E3791" s="82"/>
      <c r="F3791" s="82"/>
      <c r="G3791" s="86"/>
      <c r="H3791" s="86"/>
      <c r="I3791" s="86"/>
      <c r="J3791" s="82"/>
      <c r="K3791" s="82"/>
      <c r="L3791" s="82"/>
      <c r="M3791" s="82"/>
      <c r="N3791" s="82"/>
      <c r="O3791" s="82"/>
      <c r="P3791" s="82"/>
      <c r="Q3791" s="82"/>
      <c r="R3791" s="82"/>
      <c r="S3791" s="82"/>
      <c r="T3791" s="82"/>
      <c r="U3791" s="82"/>
      <c r="V3791" s="82"/>
      <c r="W3791" s="82"/>
      <c r="X3791" s="82"/>
      <c r="Y3791" s="82"/>
      <c r="Z3791" s="82"/>
      <c r="AA3791" s="82"/>
      <c r="AB3791" s="82"/>
      <c r="AC3791" s="82"/>
      <c r="AD3791" s="82"/>
      <c r="AE3791" s="82"/>
      <c r="AF3791" s="82"/>
      <c r="AG3791" s="82"/>
      <c r="AH3791" s="82"/>
      <c r="AI3791" s="82"/>
      <c r="AJ3791" s="82"/>
      <c r="AK3791" s="82"/>
      <c r="AL3791" s="82"/>
      <c r="AM3791" s="82"/>
      <c r="AN3791" s="82"/>
      <c r="AO3791" s="82"/>
      <c r="AP3791" s="82"/>
      <c r="AQ3791" s="82"/>
      <c r="AR3791" s="82"/>
      <c r="AS3791" s="82"/>
      <c r="AT3791" s="82"/>
      <c r="AU3791" s="82"/>
      <c r="AV3791" s="82"/>
      <c r="AW3791" s="82" t="str">
        <f t="shared" si="1"/>
        <v/>
      </c>
      <c r="AX3791" s="83" t="str">
        <f t="array" ref="AX3791">IFERROR(DGET('SBV Import'!A:G,"SBV",{"RSC ID","Tier";B3791,A3791}))</f>
        <v/>
      </c>
      <c r="AY3791" s="82" t="str">
        <f t="shared" si="2"/>
        <v/>
      </c>
      <c r="AZ3791" s="82"/>
      <c r="BA3791" s="84" t="s">
        <v>152</v>
      </c>
      <c r="BB3791" s="84" t="str">
        <f>IFERROR(__xludf.DUMMYFUNCTION("iferror(if(A3791="""",,E3791&gt;=FILTER(Constants!$F$2:$F$10,Constants!$A$2:$A$10=A3791)))"),"")</f>
        <v/>
      </c>
    </row>
    <row r="3792">
      <c r="A3792" s="89"/>
      <c r="B3792" s="87"/>
      <c r="C3792" s="73"/>
      <c r="D3792" s="73"/>
      <c r="E3792" s="82"/>
      <c r="F3792" s="82"/>
      <c r="G3792" s="86"/>
      <c r="H3792" s="86"/>
      <c r="I3792" s="86"/>
      <c r="J3792" s="82"/>
      <c r="K3792" s="82"/>
      <c r="L3792" s="82"/>
      <c r="M3792" s="82"/>
      <c r="N3792" s="82"/>
      <c r="O3792" s="82"/>
      <c r="P3792" s="82"/>
      <c r="Q3792" s="82"/>
      <c r="R3792" s="82"/>
      <c r="S3792" s="82"/>
      <c r="T3792" s="82"/>
      <c r="U3792" s="82"/>
      <c r="V3792" s="82"/>
      <c r="W3792" s="82"/>
      <c r="X3792" s="82"/>
      <c r="Y3792" s="82"/>
      <c r="Z3792" s="82"/>
      <c r="AA3792" s="82"/>
      <c r="AB3792" s="82"/>
      <c r="AC3792" s="82"/>
      <c r="AD3792" s="82"/>
      <c r="AE3792" s="82"/>
      <c r="AF3792" s="82"/>
      <c r="AG3792" s="82"/>
      <c r="AH3792" s="82"/>
      <c r="AI3792" s="82"/>
      <c r="AJ3792" s="82"/>
      <c r="AK3792" s="82"/>
      <c r="AL3792" s="82"/>
      <c r="AM3792" s="82"/>
      <c r="AN3792" s="82"/>
      <c r="AO3792" s="82"/>
      <c r="AP3792" s="82"/>
      <c r="AQ3792" s="82"/>
      <c r="AR3792" s="82"/>
      <c r="AS3792" s="82"/>
      <c r="AT3792" s="82"/>
      <c r="AU3792" s="82"/>
      <c r="AV3792" s="82"/>
      <c r="AW3792" s="82" t="str">
        <f t="shared" si="1"/>
        <v/>
      </c>
      <c r="AX3792" s="83" t="str">
        <f t="array" ref="AX3792">IFERROR(DGET('SBV Import'!A:G,"SBV",{"RSC ID","Tier";B3792,A3792}))</f>
        <v/>
      </c>
      <c r="AY3792" s="82" t="str">
        <f t="shared" si="2"/>
        <v/>
      </c>
      <c r="AZ3792" s="82"/>
      <c r="BA3792" s="84" t="s">
        <v>152</v>
      </c>
      <c r="BB3792" s="84" t="str">
        <f>IFERROR(__xludf.DUMMYFUNCTION("iferror(if(A3792="""",,E3792&gt;=FILTER(Constants!$F$2:$F$10,Constants!$A$2:$A$10=A3792)))"),"")</f>
        <v/>
      </c>
    </row>
    <row r="3793">
      <c r="A3793" s="89"/>
      <c r="B3793" s="87"/>
      <c r="C3793" s="73"/>
      <c r="D3793" s="73"/>
      <c r="E3793" s="82"/>
      <c r="F3793" s="82"/>
      <c r="G3793" s="86"/>
      <c r="H3793" s="86"/>
      <c r="I3793" s="86"/>
      <c r="J3793" s="82"/>
      <c r="K3793" s="82"/>
      <c r="L3793" s="82"/>
      <c r="M3793" s="82"/>
      <c r="N3793" s="82"/>
      <c r="O3793" s="82"/>
      <c r="P3793" s="82"/>
      <c r="Q3793" s="82"/>
      <c r="R3793" s="82"/>
      <c r="S3793" s="82"/>
      <c r="T3793" s="82"/>
      <c r="U3793" s="82"/>
      <c r="V3793" s="82"/>
      <c r="W3793" s="82"/>
      <c r="X3793" s="82"/>
      <c r="Y3793" s="82"/>
      <c r="Z3793" s="82"/>
      <c r="AA3793" s="82"/>
      <c r="AB3793" s="82"/>
      <c r="AC3793" s="82"/>
      <c r="AD3793" s="82"/>
      <c r="AE3793" s="82"/>
      <c r="AF3793" s="82"/>
      <c r="AG3793" s="82"/>
      <c r="AH3793" s="82"/>
      <c r="AI3793" s="82"/>
      <c r="AJ3793" s="82"/>
      <c r="AK3793" s="82"/>
      <c r="AL3793" s="82"/>
      <c r="AM3793" s="82"/>
      <c r="AN3793" s="82"/>
      <c r="AO3793" s="82"/>
      <c r="AP3793" s="82"/>
      <c r="AQ3793" s="82"/>
      <c r="AR3793" s="82"/>
      <c r="AS3793" s="82"/>
      <c r="AT3793" s="82"/>
      <c r="AU3793" s="82"/>
      <c r="AV3793" s="82"/>
      <c r="AW3793" s="82" t="str">
        <f t="shared" si="1"/>
        <v/>
      </c>
      <c r="AX3793" s="83" t="str">
        <f t="array" ref="AX3793">IFERROR(DGET('SBV Import'!A:G,"SBV",{"RSC ID","Tier";B3793,A3793}))</f>
        <v/>
      </c>
      <c r="AY3793" s="82" t="str">
        <f t="shared" si="2"/>
        <v/>
      </c>
      <c r="AZ3793" s="82"/>
      <c r="BA3793" s="84" t="s">
        <v>152</v>
      </c>
      <c r="BB3793" s="84" t="str">
        <f>IFERROR(__xludf.DUMMYFUNCTION("iferror(if(A3793="""",,E3793&gt;=FILTER(Constants!$F$2:$F$10,Constants!$A$2:$A$10=A3793)))"),"")</f>
        <v/>
      </c>
    </row>
    <row r="3794">
      <c r="A3794" s="89"/>
      <c r="B3794" s="87"/>
      <c r="C3794" s="73"/>
      <c r="D3794" s="73"/>
      <c r="E3794" s="82"/>
      <c r="F3794" s="82"/>
      <c r="G3794" s="86"/>
      <c r="H3794" s="86"/>
      <c r="I3794" s="86"/>
      <c r="J3794" s="82"/>
      <c r="K3794" s="82"/>
      <c r="L3794" s="82"/>
      <c r="M3794" s="82"/>
      <c r="N3794" s="82"/>
      <c r="O3794" s="82"/>
      <c r="P3794" s="82"/>
      <c r="Q3794" s="82"/>
      <c r="R3794" s="82"/>
      <c r="S3794" s="82"/>
      <c r="T3794" s="82"/>
      <c r="U3794" s="82"/>
      <c r="V3794" s="82"/>
      <c r="W3794" s="82"/>
      <c r="X3794" s="82"/>
      <c r="Y3794" s="82"/>
      <c r="Z3794" s="82"/>
      <c r="AA3794" s="82"/>
      <c r="AB3794" s="82"/>
      <c r="AC3794" s="82"/>
      <c r="AD3794" s="82"/>
      <c r="AE3794" s="82"/>
      <c r="AF3794" s="82"/>
      <c r="AG3794" s="82"/>
      <c r="AH3794" s="82"/>
      <c r="AI3794" s="82"/>
      <c r="AJ3794" s="82"/>
      <c r="AK3794" s="82"/>
      <c r="AL3794" s="82"/>
      <c r="AM3794" s="82"/>
      <c r="AN3794" s="82"/>
      <c r="AO3794" s="82"/>
      <c r="AP3794" s="82"/>
      <c r="AQ3794" s="82"/>
      <c r="AR3794" s="82"/>
      <c r="AS3794" s="82"/>
      <c r="AT3794" s="82"/>
      <c r="AU3794" s="82"/>
      <c r="AV3794" s="82"/>
      <c r="AW3794" s="82" t="str">
        <f t="shared" si="1"/>
        <v/>
      </c>
      <c r="AX3794" s="83" t="str">
        <f t="array" ref="AX3794">IFERROR(DGET('SBV Import'!A:G,"SBV",{"RSC ID","Tier";B3794,A3794}))</f>
        <v/>
      </c>
      <c r="AY3794" s="82" t="str">
        <f t="shared" si="2"/>
        <v/>
      </c>
      <c r="AZ3794" s="82"/>
      <c r="BA3794" s="84" t="s">
        <v>152</v>
      </c>
      <c r="BB3794" s="84" t="str">
        <f>IFERROR(__xludf.DUMMYFUNCTION("iferror(if(A3794="""",,E3794&gt;=FILTER(Constants!$F$2:$F$10,Constants!$A$2:$A$10=A3794)))"),"")</f>
        <v/>
      </c>
    </row>
    <row r="3795">
      <c r="A3795" s="89"/>
      <c r="B3795" s="87"/>
      <c r="C3795" s="73"/>
      <c r="D3795" s="73"/>
      <c r="E3795" s="82"/>
      <c r="F3795" s="82"/>
      <c r="G3795" s="86"/>
      <c r="H3795" s="86"/>
      <c r="I3795" s="86"/>
      <c r="J3795" s="82"/>
      <c r="K3795" s="82"/>
      <c r="L3795" s="82"/>
      <c r="M3795" s="82"/>
      <c r="N3795" s="82"/>
      <c r="O3795" s="82"/>
      <c r="P3795" s="82"/>
      <c r="Q3795" s="82"/>
      <c r="R3795" s="82"/>
      <c r="S3795" s="82"/>
      <c r="T3795" s="82"/>
      <c r="U3795" s="82"/>
      <c r="V3795" s="82"/>
      <c r="W3795" s="82"/>
      <c r="X3795" s="82"/>
      <c r="Y3795" s="82"/>
      <c r="Z3795" s="82"/>
      <c r="AA3795" s="82"/>
      <c r="AB3795" s="82"/>
      <c r="AC3795" s="82"/>
      <c r="AD3795" s="82"/>
      <c r="AE3795" s="82"/>
      <c r="AF3795" s="82"/>
      <c r="AG3795" s="82"/>
      <c r="AH3795" s="82"/>
      <c r="AI3795" s="82"/>
      <c r="AJ3795" s="82"/>
      <c r="AK3795" s="82"/>
      <c r="AL3795" s="82"/>
      <c r="AM3795" s="82"/>
      <c r="AN3795" s="82"/>
      <c r="AO3795" s="82"/>
      <c r="AP3795" s="82"/>
      <c r="AQ3795" s="82"/>
      <c r="AR3795" s="82"/>
      <c r="AS3795" s="82"/>
      <c r="AT3795" s="82"/>
      <c r="AU3795" s="82"/>
      <c r="AV3795" s="82"/>
      <c r="AW3795" s="82" t="str">
        <f t="shared" si="1"/>
        <v/>
      </c>
      <c r="AX3795" s="83" t="str">
        <f t="array" ref="AX3795">IFERROR(DGET('SBV Import'!A:G,"SBV",{"RSC ID","Tier";B3795,A3795}))</f>
        <v/>
      </c>
      <c r="AY3795" s="82" t="str">
        <f t="shared" si="2"/>
        <v/>
      </c>
      <c r="AZ3795" s="82"/>
      <c r="BA3795" s="84" t="s">
        <v>152</v>
      </c>
      <c r="BB3795" s="84" t="str">
        <f>IFERROR(__xludf.DUMMYFUNCTION("iferror(if(A3795="""",,E3795&gt;=FILTER(Constants!$F$2:$F$10,Constants!$A$2:$A$10=A3795)))"),"")</f>
        <v/>
      </c>
    </row>
    <row r="3796">
      <c r="A3796" s="89"/>
      <c r="B3796" s="87"/>
      <c r="C3796" s="73"/>
      <c r="D3796" s="73"/>
      <c r="E3796" s="82"/>
      <c r="F3796" s="82"/>
      <c r="G3796" s="86"/>
      <c r="H3796" s="86"/>
      <c r="I3796" s="86"/>
      <c r="J3796" s="82"/>
      <c r="K3796" s="82"/>
      <c r="L3796" s="82"/>
      <c r="M3796" s="82"/>
      <c r="N3796" s="82"/>
      <c r="O3796" s="82"/>
      <c r="P3796" s="82"/>
      <c r="Q3796" s="82"/>
      <c r="R3796" s="82"/>
      <c r="S3796" s="82"/>
      <c r="T3796" s="82"/>
      <c r="U3796" s="82"/>
      <c r="V3796" s="82"/>
      <c r="W3796" s="82"/>
      <c r="X3796" s="82"/>
      <c r="Y3796" s="82"/>
      <c r="Z3796" s="82"/>
      <c r="AA3796" s="82"/>
      <c r="AB3796" s="82"/>
      <c r="AC3796" s="82"/>
      <c r="AD3796" s="82"/>
      <c r="AE3796" s="82"/>
      <c r="AF3796" s="82"/>
      <c r="AG3796" s="82"/>
      <c r="AH3796" s="82"/>
      <c r="AI3796" s="82"/>
      <c r="AJ3796" s="82"/>
      <c r="AK3796" s="82"/>
      <c r="AL3796" s="82"/>
      <c r="AM3796" s="82"/>
      <c r="AN3796" s="82"/>
      <c r="AO3796" s="82"/>
      <c r="AP3796" s="82"/>
      <c r="AQ3796" s="82"/>
      <c r="AR3796" s="82"/>
      <c r="AS3796" s="82"/>
      <c r="AT3796" s="82"/>
      <c r="AU3796" s="82"/>
      <c r="AV3796" s="82"/>
      <c r="AW3796" s="82" t="str">
        <f t="shared" si="1"/>
        <v/>
      </c>
      <c r="AX3796" s="83" t="str">
        <f t="array" ref="AX3796">IFERROR(DGET('SBV Import'!A:G,"SBV",{"RSC ID","Tier";B3796,A3796}))</f>
        <v/>
      </c>
      <c r="AY3796" s="82" t="str">
        <f t="shared" si="2"/>
        <v/>
      </c>
      <c r="AZ3796" s="82"/>
      <c r="BA3796" s="84" t="s">
        <v>152</v>
      </c>
      <c r="BB3796" s="84" t="str">
        <f>IFERROR(__xludf.DUMMYFUNCTION("iferror(if(A3796="""",,E3796&gt;=FILTER(Constants!$F$2:$F$10,Constants!$A$2:$A$10=A3796)))"),"")</f>
        <v/>
      </c>
    </row>
    <row r="3797">
      <c r="A3797" s="89"/>
      <c r="B3797" s="87"/>
      <c r="C3797" s="73"/>
      <c r="D3797" s="73"/>
      <c r="E3797" s="82"/>
      <c r="F3797" s="82"/>
      <c r="G3797" s="86"/>
      <c r="H3797" s="86"/>
      <c r="I3797" s="86"/>
      <c r="J3797" s="82"/>
      <c r="K3797" s="82"/>
      <c r="L3797" s="82"/>
      <c r="M3797" s="82"/>
      <c r="N3797" s="82"/>
      <c r="O3797" s="82"/>
      <c r="P3797" s="82"/>
      <c r="Q3797" s="82"/>
      <c r="R3797" s="82"/>
      <c r="S3797" s="82"/>
      <c r="T3797" s="82"/>
      <c r="U3797" s="82"/>
      <c r="V3797" s="82"/>
      <c r="W3797" s="82"/>
      <c r="X3797" s="82"/>
      <c r="Y3797" s="82"/>
      <c r="Z3797" s="82"/>
      <c r="AA3797" s="82"/>
      <c r="AB3797" s="82"/>
      <c r="AC3797" s="82"/>
      <c r="AD3797" s="82"/>
      <c r="AE3797" s="82"/>
      <c r="AF3797" s="82"/>
      <c r="AG3797" s="82"/>
      <c r="AH3797" s="82"/>
      <c r="AI3797" s="82"/>
      <c r="AJ3797" s="82"/>
      <c r="AK3797" s="82"/>
      <c r="AL3797" s="82"/>
      <c r="AM3797" s="82"/>
      <c r="AN3797" s="82"/>
      <c r="AO3797" s="82"/>
      <c r="AP3797" s="82"/>
      <c r="AQ3797" s="82"/>
      <c r="AR3797" s="82"/>
      <c r="AS3797" s="82"/>
      <c r="AT3797" s="82"/>
      <c r="AU3797" s="82"/>
      <c r="AV3797" s="82"/>
      <c r="AW3797" s="82" t="str">
        <f t="shared" si="1"/>
        <v/>
      </c>
      <c r="AX3797" s="83" t="str">
        <f t="array" ref="AX3797">IFERROR(DGET('SBV Import'!A:G,"SBV",{"RSC ID","Tier";B3797,A3797}))</f>
        <v/>
      </c>
      <c r="AY3797" s="82" t="str">
        <f t="shared" si="2"/>
        <v/>
      </c>
      <c r="AZ3797" s="82"/>
      <c r="BA3797" s="84" t="s">
        <v>152</v>
      </c>
      <c r="BB3797" s="84" t="str">
        <f>IFERROR(__xludf.DUMMYFUNCTION("iferror(if(A3797="""",,E3797&gt;=FILTER(Constants!$F$2:$F$10,Constants!$A$2:$A$10=A3797)))"),"")</f>
        <v/>
      </c>
    </row>
    <row r="3798">
      <c r="A3798" s="89"/>
      <c r="B3798" s="87"/>
      <c r="C3798" s="73"/>
      <c r="D3798" s="73"/>
      <c r="E3798" s="82"/>
      <c r="F3798" s="82"/>
      <c r="G3798" s="86"/>
      <c r="H3798" s="86"/>
      <c r="I3798" s="86"/>
      <c r="J3798" s="82"/>
      <c r="K3798" s="82"/>
      <c r="L3798" s="82"/>
      <c r="M3798" s="82"/>
      <c r="N3798" s="82"/>
      <c r="O3798" s="82"/>
      <c r="P3798" s="82"/>
      <c r="Q3798" s="82"/>
      <c r="R3798" s="82"/>
      <c r="S3798" s="82"/>
      <c r="T3798" s="82"/>
      <c r="U3798" s="82"/>
      <c r="V3798" s="82"/>
      <c r="W3798" s="82"/>
      <c r="X3798" s="82"/>
      <c r="Y3798" s="82"/>
      <c r="Z3798" s="82"/>
      <c r="AA3798" s="82"/>
      <c r="AB3798" s="82"/>
      <c r="AC3798" s="82"/>
      <c r="AD3798" s="82"/>
      <c r="AE3798" s="82"/>
      <c r="AF3798" s="82"/>
      <c r="AG3798" s="82"/>
      <c r="AH3798" s="82"/>
      <c r="AI3798" s="82"/>
      <c r="AJ3798" s="82"/>
      <c r="AK3798" s="82"/>
      <c r="AL3798" s="82"/>
      <c r="AM3798" s="82"/>
      <c r="AN3798" s="82"/>
      <c r="AO3798" s="82"/>
      <c r="AP3798" s="82"/>
      <c r="AQ3798" s="82"/>
      <c r="AR3798" s="82"/>
      <c r="AS3798" s="82"/>
      <c r="AT3798" s="82"/>
      <c r="AU3798" s="82"/>
      <c r="AV3798" s="82"/>
      <c r="AW3798" s="82" t="str">
        <f t="shared" si="1"/>
        <v/>
      </c>
      <c r="AX3798" s="83" t="str">
        <f t="array" ref="AX3798">IFERROR(DGET('SBV Import'!A:G,"SBV",{"RSC ID","Tier";B3798,A3798}))</f>
        <v/>
      </c>
      <c r="AY3798" s="82" t="str">
        <f t="shared" si="2"/>
        <v/>
      </c>
      <c r="AZ3798" s="82"/>
      <c r="BA3798" s="84" t="s">
        <v>152</v>
      </c>
      <c r="BB3798" s="84" t="str">
        <f>IFERROR(__xludf.DUMMYFUNCTION("iferror(if(A3798="""",,E3798&gt;=FILTER(Constants!$F$2:$F$10,Constants!$A$2:$A$10=A3798)))"),"")</f>
        <v/>
      </c>
    </row>
    <row r="3799">
      <c r="A3799" s="89"/>
      <c r="B3799" s="87"/>
      <c r="C3799" s="73"/>
      <c r="D3799" s="73"/>
      <c r="E3799" s="82"/>
      <c r="F3799" s="82"/>
      <c r="G3799" s="86"/>
      <c r="H3799" s="86"/>
      <c r="I3799" s="86"/>
      <c r="J3799" s="82"/>
      <c r="K3799" s="82"/>
      <c r="L3799" s="82"/>
      <c r="M3799" s="82"/>
      <c r="N3799" s="82"/>
      <c r="O3799" s="82"/>
      <c r="P3799" s="82"/>
      <c r="Q3799" s="82"/>
      <c r="R3799" s="82"/>
      <c r="S3799" s="82"/>
      <c r="T3799" s="82"/>
      <c r="U3799" s="82"/>
      <c r="V3799" s="82"/>
      <c r="W3799" s="82"/>
      <c r="X3799" s="82"/>
      <c r="Y3799" s="82"/>
      <c r="Z3799" s="82"/>
      <c r="AA3799" s="82"/>
      <c r="AB3799" s="82"/>
      <c r="AC3799" s="82"/>
      <c r="AD3799" s="82"/>
      <c r="AE3799" s="82"/>
      <c r="AF3799" s="82"/>
      <c r="AG3799" s="82"/>
      <c r="AH3799" s="82"/>
      <c r="AI3799" s="82"/>
      <c r="AJ3799" s="82"/>
      <c r="AK3799" s="82"/>
      <c r="AL3799" s="82"/>
      <c r="AM3799" s="82"/>
      <c r="AN3799" s="82"/>
      <c r="AO3799" s="82"/>
      <c r="AP3799" s="82"/>
      <c r="AQ3799" s="82"/>
      <c r="AR3799" s="82"/>
      <c r="AS3799" s="82"/>
      <c r="AT3799" s="82"/>
      <c r="AU3799" s="82"/>
      <c r="AV3799" s="82"/>
      <c r="AW3799" s="82" t="str">
        <f t="shared" si="1"/>
        <v/>
      </c>
      <c r="AX3799" s="83" t="str">
        <f t="array" ref="AX3799">IFERROR(DGET('SBV Import'!A:G,"SBV",{"RSC ID","Tier";B3799,A3799}))</f>
        <v/>
      </c>
      <c r="AY3799" s="82" t="str">
        <f t="shared" si="2"/>
        <v/>
      </c>
      <c r="AZ3799" s="82"/>
      <c r="BA3799" s="84" t="s">
        <v>152</v>
      </c>
      <c r="BB3799" s="84" t="str">
        <f>IFERROR(__xludf.DUMMYFUNCTION("iferror(if(A3799="""",,E3799&gt;=FILTER(Constants!$F$2:$F$10,Constants!$A$2:$A$10=A3799)))"),"")</f>
        <v/>
      </c>
    </row>
    <row r="3800">
      <c r="A3800" s="89"/>
      <c r="B3800" s="87"/>
      <c r="C3800" s="73"/>
      <c r="D3800" s="73"/>
      <c r="E3800" s="82"/>
      <c r="F3800" s="82"/>
      <c r="G3800" s="86"/>
      <c r="H3800" s="86"/>
      <c r="I3800" s="86"/>
      <c r="J3800" s="82"/>
      <c r="K3800" s="82"/>
      <c r="L3800" s="82"/>
      <c r="M3800" s="82"/>
      <c r="N3800" s="82"/>
      <c r="O3800" s="82"/>
      <c r="P3800" s="82"/>
      <c r="Q3800" s="82"/>
      <c r="R3800" s="82"/>
      <c r="S3800" s="82"/>
      <c r="T3800" s="82"/>
      <c r="U3800" s="82"/>
      <c r="V3800" s="82"/>
      <c r="W3800" s="82"/>
      <c r="X3800" s="82"/>
      <c r="Y3800" s="82"/>
      <c r="Z3800" s="82"/>
      <c r="AA3800" s="82"/>
      <c r="AB3800" s="82"/>
      <c r="AC3800" s="82"/>
      <c r="AD3800" s="82"/>
      <c r="AE3800" s="82"/>
      <c r="AF3800" s="82"/>
      <c r="AG3800" s="82"/>
      <c r="AH3800" s="82"/>
      <c r="AI3800" s="82"/>
      <c r="AJ3800" s="82"/>
      <c r="AK3800" s="82"/>
      <c r="AL3800" s="82"/>
      <c r="AM3800" s="82"/>
      <c r="AN3800" s="82"/>
      <c r="AO3800" s="82"/>
      <c r="AP3800" s="82"/>
      <c r="AQ3800" s="82"/>
      <c r="AR3800" s="82"/>
      <c r="AS3800" s="82"/>
      <c r="AT3800" s="82"/>
      <c r="AU3800" s="82"/>
      <c r="AV3800" s="82"/>
      <c r="AW3800" s="82" t="str">
        <f t="shared" si="1"/>
        <v/>
      </c>
      <c r="AX3800" s="83" t="str">
        <f t="array" ref="AX3800">IFERROR(DGET('SBV Import'!A:G,"SBV",{"RSC ID","Tier";B3800,A3800}))</f>
        <v/>
      </c>
      <c r="AY3800" s="82" t="str">
        <f t="shared" si="2"/>
        <v/>
      </c>
      <c r="AZ3800" s="82"/>
      <c r="BA3800" s="84" t="s">
        <v>152</v>
      </c>
      <c r="BB3800" s="84" t="str">
        <f>IFERROR(__xludf.DUMMYFUNCTION("iferror(if(A3800="""",,E3800&gt;=FILTER(Constants!$F$2:$F$10,Constants!$A$2:$A$10=A3800)))"),"")</f>
        <v/>
      </c>
    </row>
    <row r="3801">
      <c r="A3801" s="89"/>
      <c r="B3801" s="87"/>
      <c r="C3801" s="73"/>
      <c r="D3801" s="73"/>
      <c r="E3801" s="82"/>
      <c r="F3801" s="82"/>
      <c r="G3801" s="86"/>
      <c r="H3801" s="86"/>
      <c r="I3801" s="86"/>
      <c r="J3801" s="82"/>
      <c r="K3801" s="82"/>
      <c r="L3801" s="82"/>
      <c r="M3801" s="82"/>
      <c r="N3801" s="82"/>
      <c r="O3801" s="82"/>
      <c r="P3801" s="82"/>
      <c r="Q3801" s="82"/>
      <c r="R3801" s="82"/>
      <c r="S3801" s="82"/>
      <c r="T3801" s="82"/>
      <c r="U3801" s="82"/>
      <c r="V3801" s="82"/>
      <c r="W3801" s="82"/>
      <c r="X3801" s="82"/>
      <c r="Y3801" s="82"/>
      <c r="Z3801" s="82"/>
      <c r="AA3801" s="82"/>
      <c r="AB3801" s="82"/>
      <c r="AC3801" s="82"/>
      <c r="AD3801" s="82"/>
      <c r="AE3801" s="82"/>
      <c r="AF3801" s="82"/>
      <c r="AG3801" s="82"/>
      <c r="AH3801" s="82"/>
      <c r="AI3801" s="82"/>
      <c r="AJ3801" s="82"/>
      <c r="AK3801" s="82"/>
      <c r="AL3801" s="82"/>
      <c r="AM3801" s="82"/>
      <c r="AN3801" s="82"/>
      <c r="AO3801" s="82"/>
      <c r="AP3801" s="82"/>
      <c r="AQ3801" s="82"/>
      <c r="AR3801" s="82"/>
      <c r="AS3801" s="82"/>
      <c r="AT3801" s="82"/>
      <c r="AU3801" s="82"/>
      <c r="AV3801" s="82"/>
      <c r="AW3801" s="82" t="str">
        <f t="shared" si="1"/>
        <v/>
      </c>
      <c r="AX3801" s="83" t="str">
        <f t="array" ref="AX3801">IFERROR(DGET('SBV Import'!A:G,"SBV",{"RSC ID","Tier";B3801,A3801}))</f>
        <v/>
      </c>
      <c r="AY3801" s="82" t="str">
        <f t="shared" si="2"/>
        <v/>
      </c>
      <c r="AZ3801" s="82"/>
      <c r="BA3801" s="84" t="s">
        <v>152</v>
      </c>
      <c r="BB3801" s="84" t="str">
        <f>IFERROR(__xludf.DUMMYFUNCTION("iferror(if(A3801="""",,E3801&gt;=FILTER(Constants!$F$2:$F$10,Constants!$A$2:$A$10=A3801)))"),"")</f>
        <v/>
      </c>
    </row>
    <row r="3802">
      <c r="A3802" s="89"/>
      <c r="B3802" s="87"/>
      <c r="C3802" s="73"/>
      <c r="D3802" s="73"/>
      <c r="E3802" s="82"/>
      <c r="F3802" s="82"/>
      <c r="G3802" s="86"/>
      <c r="H3802" s="86"/>
      <c r="I3802" s="86"/>
      <c r="J3802" s="82"/>
      <c r="K3802" s="82"/>
      <c r="L3802" s="82"/>
      <c r="M3802" s="82"/>
      <c r="N3802" s="82"/>
      <c r="O3802" s="82"/>
      <c r="P3802" s="82"/>
      <c r="Q3802" s="82"/>
      <c r="R3802" s="82"/>
      <c r="S3802" s="82"/>
      <c r="T3802" s="82"/>
      <c r="U3802" s="82"/>
      <c r="V3802" s="82"/>
      <c r="W3802" s="82"/>
      <c r="X3802" s="82"/>
      <c r="Y3802" s="82"/>
      <c r="Z3802" s="82"/>
      <c r="AA3802" s="82"/>
      <c r="AB3802" s="82"/>
      <c r="AC3802" s="82"/>
      <c r="AD3802" s="82"/>
      <c r="AE3802" s="82"/>
      <c r="AF3802" s="82"/>
      <c r="AG3802" s="82"/>
      <c r="AH3802" s="82"/>
      <c r="AI3802" s="82"/>
      <c r="AJ3802" s="82"/>
      <c r="AK3802" s="82"/>
      <c r="AL3802" s="82"/>
      <c r="AM3802" s="82"/>
      <c r="AN3802" s="82"/>
      <c r="AO3802" s="82"/>
      <c r="AP3802" s="82"/>
      <c r="AQ3802" s="82"/>
      <c r="AR3802" s="82"/>
      <c r="AS3802" s="82"/>
      <c r="AT3802" s="82"/>
      <c r="AU3802" s="82"/>
      <c r="AV3802" s="82"/>
      <c r="AW3802" s="82" t="str">
        <f t="shared" si="1"/>
        <v/>
      </c>
      <c r="AX3802" s="83" t="str">
        <f t="array" ref="AX3802">IFERROR(DGET('SBV Import'!A:G,"SBV",{"RSC ID","Tier";B3802,A3802}))</f>
        <v/>
      </c>
      <c r="AY3802" s="82" t="str">
        <f t="shared" si="2"/>
        <v/>
      </c>
      <c r="AZ3802" s="82"/>
      <c r="BA3802" s="84" t="s">
        <v>152</v>
      </c>
      <c r="BB3802" s="84" t="str">
        <f>IFERROR(__xludf.DUMMYFUNCTION("iferror(if(A3802="""",,E3802&gt;=FILTER(Constants!$F$2:$F$10,Constants!$A$2:$A$10=A3802)))"),"")</f>
        <v/>
      </c>
    </row>
    <row r="3803">
      <c r="A3803" s="89"/>
      <c r="B3803" s="87"/>
      <c r="C3803" s="73"/>
      <c r="D3803" s="73"/>
      <c r="E3803" s="82"/>
      <c r="F3803" s="82"/>
      <c r="G3803" s="86"/>
      <c r="H3803" s="86"/>
      <c r="I3803" s="86"/>
      <c r="J3803" s="82"/>
      <c r="K3803" s="82"/>
      <c r="L3803" s="82"/>
      <c r="M3803" s="82"/>
      <c r="N3803" s="82"/>
      <c r="O3803" s="82"/>
      <c r="P3803" s="82"/>
      <c r="Q3803" s="82"/>
      <c r="R3803" s="82"/>
      <c r="S3803" s="82"/>
      <c r="T3803" s="82"/>
      <c r="U3803" s="82"/>
      <c r="V3803" s="82"/>
      <c r="W3803" s="82"/>
      <c r="X3803" s="82"/>
      <c r="Y3803" s="82"/>
      <c r="Z3803" s="82"/>
      <c r="AA3803" s="82"/>
      <c r="AB3803" s="82"/>
      <c r="AC3803" s="82"/>
      <c r="AD3803" s="82"/>
      <c r="AE3803" s="82"/>
      <c r="AF3803" s="82"/>
      <c r="AG3803" s="82"/>
      <c r="AH3803" s="82"/>
      <c r="AI3803" s="82"/>
      <c r="AJ3803" s="82"/>
      <c r="AK3803" s="82"/>
      <c r="AL3803" s="82"/>
      <c r="AM3803" s="82"/>
      <c r="AN3803" s="82"/>
      <c r="AO3803" s="82"/>
      <c r="AP3803" s="82"/>
      <c r="AQ3803" s="82"/>
      <c r="AR3803" s="82"/>
      <c r="AS3803" s="82"/>
      <c r="AT3803" s="82"/>
      <c r="AU3803" s="82"/>
      <c r="AV3803" s="82"/>
      <c r="AW3803" s="82" t="str">
        <f t="shared" si="1"/>
        <v/>
      </c>
      <c r="AX3803" s="83" t="str">
        <f t="array" ref="AX3803">IFERROR(DGET('SBV Import'!A:G,"SBV",{"RSC ID","Tier";B3803,A3803}))</f>
        <v/>
      </c>
      <c r="AY3803" s="82" t="str">
        <f t="shared" si="2"/>
        <v/>
      </c>
      <c r="AZ3803" s="82"/>
      <c r="BA3803" s="84" t="s">
        <v>152</v>
      </c>
      <c r="BB3803" s="84" t="str">
        <f>IFERROR(__xludf.DUMMYFUNCTION("iferror(if(A3803="""",,E3803&gt;=FILTER(Constants!$F$2:$F$10,Constants!$A$2:$A$10=A3803)))"),"")</f>
        <v/>
      </c>
    </row>
    <row r="3804">
      <c r="A3804" s="89"/>
      <c r="B3804" s="87"/>
      <c r="C3804" s="73"/>
      <c r="D3804" s="73"/>
      <c r="E3804" s="82"/>
      <c r="F3804" s="82"/>
      <c r="G3804" s="86"/>
      <c r="H3804" s="86"/>
      <c r="I3804" s="86"/>
      <c r="J3804" s="82"/>
      <c r="K3804" s="82"/>
      <c r="L3804" s="82"/>
      <c r="M3804" s="82"/>
      <c r="N3804" s="82"/>
      <c r="O3804" s="82"/>
      <c r="P3804" s="82"/>
      <c r="Q3804" s="82"/>
      <c r="R3804" s="82"/>
      <c r="S3804" s="82"/>
      <c r="T3804" s="82"/>
      <c r="U3804" s="82"/>
      <c r="V3804" s="82"/>
      <c r="W3804" s="82"/>
      <c r="X3804" s="82"/>
      <c r="Y3804" s="82"/>
      <c r="Z3804" s="82"/>
      <c r="AA3804" s="82"/>
      <c r="AB3804" s="82"/>
      <c r="AC3804" s="82"/>
      <c r="AD3804" s="82"/>
      <c r="AE3804" s="82"/>
      <c r="AF3804" s="82"/>
      <c r="AG3804" s="82"/>
      <c r="AH3804" s="82"/>
      <c r="AI3804" s="82"/>
      <c r="AJ3804" s="82"/>
      <c r="AK3804" s="82"/>
      <c r="AL3804" s="82"/>
      <c r="AM3804" s="82"/>
      <c r="AN3804" s="82"/>
      <c r="AO3804" s="82"/>
      <c r="AP3804" s="82"/>
      <c r="AQ3804" s="82"/>
      <c r="AR3804" s="82"/>
      <c r="AS3804" s="82"/>
      <c r="AT3804" s="82"/>
      <c r="AU3804" s="82"/>
      <c r="AV3804" s="82"/>
      <c r="AW3804" s="82" t="str">
        <f t="shared" si="1"/>
        <v/>
      </c>
      <c r="AX3804" s="83" t="str">
        <f t="array" ref="AX3804">IFERROR(DGET('SBV Import'!A:G,"SBV",{"RSC ID","Tier";B3804,A3804}))</f>
        <v/>
      </c>
      <c r="AY3804" s="82" t="str">
        <f t="shared" si="2"/>
        <v/>
      </c>
      <c r="AZ3804" s="82"/>
      <c r="BA3804" s="84" t="s">
        <v>152</v>
      </c>
      <c r="BB3804" s="84" t="str">
        <f>IFERROR(__xludf.DUMMYFUNCTION("iferror(if(A3804="""",,E3804&gt;=FILTER(Constants!$F$2:$F$10,Constants!$A$2:$A$10=A3804)))"),"")</f>
        <v/>
      </c>
    </row>
    <row r="3805">
      <c r="A3805" s="89"/>
      <c r="B3805" s="87"/>
      <c r="C3805" s="73"/>
      <c r="D3805" s="73"/>
      <c r="E3805" s="82"/>
      <c r="F3805" s="82"/>
      <c r="G3805" s="86"/>
      <c r="H3805" s="86"/>
      <c r="I3805" s="86"/>
      <c r="J3805" s="82"/>
      <c r="K3805" s="82"/>
      <c r="L3805" s="82"/>
      <c r="M3805" s="82"/>
      <c r="N3805" s="82"/>
      <c r="O3805" s="82"/>
      <c r="P3805" s="82"/>
      <c r="Q3805" s="82"/>
      <c r="R3805" s="82"/>
      <c r="S3805" s="82"/>
      <c r="T3805" s="82"/>
      <c r="U3805" s="82"/>
      <c r="V3805" s="82"/>
      <c r="W3805" s="82"/>
      <c r="X3805" s="82"/>
      <c r="Y3805" s="82"/>
      <c r="Z3805" s="82"/>
      <c r="AA3805" s="82"/>
      <c r="AB3805" s="82"/>
      <c r="AC3805" s="82"/>
      <c r="AD3805" s="82"/>
      <c r="AE3805" s="82"/>
      <c r="AF3805" s="82"/>
      <c r="AG3805" s="82"/>
      <c r="AH3805" s="82"/>
      <c r="AI3805" s="82"/>
      <c r="AJ3805" s="82"/>
      <c r="AK3805" s="82"/>
      <c r="AL3805" s="82"/>
      <c r="AM3805" s="82"/>
      <c r="AN3805" s="82"/>
      <c r="AO3805" s="82"/>
      <c r="AP3805" s="82"/>
      <c r="AQ3805" s="82"/>
      <c r="AR3805" s="82"/>
      <c r="AS3805" s="82"/>
      <c r="AT3805" s="82"/>
      <c r="AU3805" s="82"/>
      <c r="AV3805" s="82"/>
      <c r="AW3805" s="82" t="str">
        <f t="shared" si="1"/>
        <v/>
      </c>
      <c r="AX3805" s="83" t="str">
        <f t="array" ref="AX3805">IFERROR(DGET('SBV Import'!A:G,"SBV",{"RSC ID","Tier";B3805,A3805}))</f>
        <v/>
      </c>
      <c r="AY3805" s="82" t="str">
        <f t="shared" si="2"/>
        <v/>
      </c>
      <c r="AZ3805" s="82"/>
      <c r="BA3805" s="84" t="s">
        <v>152</v>
      </c>
      <c r="BB3805" s="84" t="str">
        <f>IFERROR(__xludf.DUMMYFUNCTION("iferror(if(A3805="""",,E3805&gt;=FILTER(Constants!$F$2:$F$10,Constants!$A$2:$A$10=A3805)))"),"")</f>
        <v/>
      </c>
    </row>
    <row r="3806">
      <c r="A3806" s="89"/>
      <c r="B3806" s="87"/>
      <c r="C3806" s="73"/>
      <c r="D3806" s="73"/>
      <c r="E3806" s="82"/>
      <c r="F3806" s="82"/>
      <c r="G3806" s="86"/>
      <c r="H3806" s="86"/>
      <c r="I3806" s="86"/>
      <c r="J3806" s="82"/>
      <c r="K3806" s="82"/>
      <c r="L3806" s="82"/>
      <c r="M3806" s="82"/>
      <c r="N3806" s="82"/>
      <c r="O3806" s="82"/>
      <c r="P3806" s="82"/>
      <c r="Q3806" s="82"/>
      <c r="R3806" s="82"/>
      <c r="S3806" s="82"/>
      <c r="T3806" s="82"/>
      <c r="U3806" s="82"/>
      <c r="V3806" s="82"/>
      <c r="W3806" s="82"/>
      <c r="X3806" s="82"/>
      <c r="Y3806" s="82"/>
      <c r="Z3806" s="82"/>
      <c r="AA3806" s="82"/>
      <c r="AB3806" s="82"/>
      <c r="AC3806" s="82"/>
      <c r="AD3806" s="82"/>
      <c r="AE3806" s="82"/>
      <c r="AF3806" s="82"/>
      <c r="AG3806" s="82"/>
      <c r="AH3806" s="82"/>
      <c r="AI3806" s="82"/>
      <c r="AJ3806" s="82"/>
      <c r="AK3806" s="82"/>
      <c r="AL3806" s="82"/>
      <c r="AM3806" s="82"/>
      <c r="AN3806" s="82"/>
      <c r="AO3806" s="82"/>
      <c r="AP3806" s="82"/>
      <c r="AQ3806" s="82"/>
      <c r="AR3806" s="82"/>
      <c r="AS3806" s="82"/>
      <c r="AT3806" s="82"/>
      <c r="AU3806" s="82"/>
      <c r="AV3806" s="82"/>
      <c r="AW3806" s="82" t="str">
        <f t="shared" si="1"/>
        <v/>
      </c>
      <c r="AX3806" s="83" t="str">
        <f t="array" ref="AX3806">IFERROR(DGET('SBV Import'!A:G,"SBV",{"RSC ID","Tier";B3806,A3806}))</f>
        <v/>
      </c>
      <c r="AY3806" s="82" t="str">
        <f t="shared" si="2"/>
        <v/>
      </c>
      <c r="AZ3806" s="82"/>
      <c r="BA3806" s="84" t="s">
        <v>152</v>
      </c>
      <c r="BB3806" s="84" t="str">
        <f>IFERROR(__xludf.DUMMYFUNCTION("iferror(if(A3806="""",,E3806&gt;=FILTER(Constants!$F$2:$F$10,Constants!$A$2:$A$10=A3806)))"),"")</f>
        <v/>
      </c>
    </row>
    <row r="3807">
      <c r="A3807" s="89"/>
      <c r="B3807" s="87"/>
      <c r="C3807" s="73"/>
      <c r="D3807" s="73"/>
      <c r="E3807" s="82"/>
      <c r="F3807" s="82"/>
      <c r="G3807" s="86"/>
      <c r="H3807" s="86"/>
      <c r="I3807" s="86"/>
      <c r="J3807" s="82"/>
      <c r="K3807" s="82"/>
      <c r="L3807" s="82"/>
      <c r="M3807" s="82"/>
      <c r="N3807" s="82"/>
      <c r="O3807" s="82"/>
      <c r="P3807" s="82"/>
      <c r="Q3807" s="82"/>
      <c r="R3807" s="82"/>
      <c r="S3807" s="82"/>
      <c r="T3807" s="82"/>
      <c r="U3807" s="82"/>
      <c r="V3807" s="82"/>
      <c r="W3807" s="82"/>
      <c r="X3807" s="82"/>
      <c r="Y3807" s="82"/>
      <c r="Z3807" s="82"/>
      <c r="AA3807" s="82"/>
      <c r="AB3807" s="82"/>
      <c r="AC3807" s="82"/>
      <c r="AD3807" s="82"/>
      <c r="AE3807" s="82"/>
      <c r="AF3807" s="82"/>
      <c r="AG3807" s="82"/>
      <c r="AH3807" s="82"/>
      <c r="AI3807" s="82"/>
      <c r="AJ3807" s="82"/>
      <c r="AK3807" s="82"/>
      <c r="AL3807" s="82"/>
      <c r="AM3807" s="82"/>
      <c r="AN3807" s="82"/>
      <c r="AO3807" s="82"/>
      <c r="AP3807" s="82"/>
      <c r="AQ3807" s="82"/>
      <c r="AR3807" s="82"/>
      <c r="AS3807" s="82"/>
      <c r="AT3807" s="82"/>
      <c r="AU3807" s="82"/>
      <c r="AV3807" s="82"/>
      <c r="AW3807" s="82" t="str">
        <f t="shared" si="1"/>
        <v/>
      </c>
      <c r="AX3807" s="83" t="str">
        <f t="array" ref="AX3807">IFERROR(DGET('SBV Import'!A:G,"SBV",{"RSC ID","Tier";B3807,A3807}))</f>
        <v/>
      </c>
      <c r="AY3807" s="82" t="str">
        <f t="shared" si="2"/>
        <v/>
      </c>
      <c r="AZ3807" s="82"/>
      <c r="BA3807" s="84" t="s">
        <v>152</v>
      </c>
      <c r="BB3807" s="84" t="str">
        <f>IFERROR(__xludf.DUMMYFUNCTION("iferror(if(A3807="""",,E3807&gt;=FILTER(Constants!$F$2:$F$10,Constants!$A$2:$A$10=A3807)))"),"")</f>
        <v/>
      </c>
    </row>
    <row r="3808">
      <c r="A3808" s="89"/>
      <c r="B3808" s="87"/>
      <c r="C3808" s="73"/>
      <c r="D3808" s="73"/>
      <c r="E3808" s="82"/>
      <c r="F3808" s="82"/>
      <c r="G3808" s="86"/>
      <c r="H3808" s="86"/>
      <c r="I3808" s="86"/>
      <c r="J3808" s="82"/>
      <c r="K3808" s="82"/>
      <c r="L3808" s="82"/>
      <c r="M3808" s="82"/>
      <c r="N3808" s="82"/>
      <c r="O3808" s="82"/>
      <c r="P3808" s="82"/>
      <c r="Q3808" s="82"/>
      <c r="R3808" s="82"/>
      <c r="S3808" s="82"/>
      <c r="T3808" s="82"/>
      <c r="U3808" s="82"/>
      <c r="V3808" s="82"/>
      <c r="W3808" s="82"/>
      <c r="X3808" s="82"/>
      <c r="Y3808" s="82"/>
      <c r="Z3808" s="82"/>
      <c r="AA3808" s="82"/>
      <c r="AB3808" s="82"/>
      <c r="AC3808" s="82"/>
      <c r="AD3808" s="82"/>
      <c r="AE3808" s="82"/>
      <c r="AF3808" s="82"/>
      <c r="AG3808" s="82"/>
      <c r="AH3808" s="82"/>
      <c r="AI3808" s="82"/>
      <c r="AJ3808" s="82"/>
      <c r="AK3808" s="82"/>
      <c r="AL3808" s="82"/>
      <c r="AM3808" s="82"/>
      <c r="AN3808" s="82"/>
      <c r="AO3808" s="82"/>
      <c r="AP3808" s="82"/>
      <c r="AQ3808" s="82"/>
      <c r="AR3808" s="82"/>
      <c r="AS3808" s="82"/>
      <c r="AT3808" s="82"/>
      <c r="AU3808" s="82"/>
      <c r="AV3808" s="82"/>
      <c r="AW3808" s="82" t="str">
        <f t="shared" si="1"/>
        <v/>
      </c>
      <c r="AX3808" s="83" t="str">
        <f t="array" ref="AX3808">IFERROR(DGET('SBV Import'!A:G,"SBV",{"RSC ID","Tier";B3808,A3808}))</f>
        <v/>
      </c>
      <c r="AY3808" s="82" t="str">
        <f t="shared" si="2"/>
        <v/>
      </c>
      <c r="AZ3808" s="82"/>
      <c r="BA3808" s="84" t="s">
        <v>152</v>
      </c>
      <c r="BB3808" s="84" t="str">
        <f>IFERROR(__xludf.DUMMYFUNCTION("iferror(if(A3808="""",,E3808&gt;=FILTER(Constants!$F$2:$F$10,Constants!$A$2:$A$10=A3808)))"),"")</f>
        <v/>
      </c>
    </row>
    <row r="3809">
      <c r="A3809" s="89"/>
      <c r="B3809" s="87"/>
      <c r="C3809" s="73"/>
      <c r="D3809" s="73"/>
      <c r="E3809" s="82"/>
      <c r="F3809" s="82"/>
      <c r="G3809" s="86"/>
      <c r="H3809" s="86"/>
      <c r="I3809" s="86"/>
      <c r="J3809" s="82"/>
      <c r="K3809" s="82"/>
      <c r="L3809" s="82"/>
      <c r="M3809" s="82"/>
      <c r="N3809" s="82"/>
      <c r="O3809" s="82"/>
      <c r="P3809" s="82"/>
      <c r="Q3809" s="82"/>
      <c r="R3809" s="82"/>
      <c r="S3809" s="82"/>
      <c r="T3809" s="82"/>
      <c r="U3809" s="82"/>
      <c r="V3809" s="82"/>
      <c r="W3809" s="82"/>
      <c r="X3809" s="82"/>
      <c r="Y3809" s="82"/>
      <c r="Z3809" s="82"/>
      <c r="AA3809" s="82"/>
      <c r="AB3809" s="82"/>
      <c r="AC3809" s="82"/>
      <c r="AD3809" s="82"/>
      <c r="AE3809" s="82"/>
      <c r="AF3809" s="82"/>
      <c r="AG3809" s="82"/>
      <c r="AH3809" s="82"/>
      <c r="AI3809" s="82"/>
      <c r="AJ3809" s="82"/>
      <c r="AK3809" s="82"/>
      <c r="AL3809" s="82"/>
      <c r="AM3809" s="82"/>
      <c r="AN3809" s="82"/>
      <c r="AO3809" s="82"/>
      <c r="AP3809" s="82"/>
      <c r="AQ3809" s="82"/>
      <c r="AR3809" s="82"/>
      <c r="AS3809" s="82"/>
      <c r="AT3809" s="82"/>
      <c r="AU3809" s="82"/>
      <c r="AV3809" s="82"/>
      <c r="AW3809" s="82" t="str">
        <f t="shared" si="1"/>
        <v/>
      </c>
      <c r="AX3809" s="83" t="str">
        <f t="array" ref="AX3809">IFERROR(DGET('SBV Import'!A:G,"SBV",{"RSC ID","Tier";B3809,A3809}))</f>
        <v/>
      </c>
      <c r="AY3809" s="82" t="str">
        <f t="shared" si="2"/>
        <v/>
      </c>
      <c r="AZ3809" s="82"/>
      <c r="BA3809" s="84" t="s">
        <v>152</v>
      </c>
      <c r="BB3809" s="84" t="str">
        <f>IFERROR(__xludf.DUMMYFUNCTION("iferror(if(A3809="""",,E3809&gt;=FILTER(Constants!$F$2:$F$10,Constants!$A$2:$A$10=A3809)))"),"")</f>
        <v/>
      </c>
    </row>
    <row r="3810">
      <c r="A3810" s="89"/>
      <c r="B3810" s="87"/>
      <c r="C3810" s="73"/>
      <c r="D3810" s="73"/>
      <c r="E3810" s="82"/>
      <c r="F3810" s="82"/>
      <c r="G3810" s="86"/>
      <c r="H3810" s="86"/>
      <c r="I3810" s="86"/>
      <c r="J3810" s="82"/>
      <c r="K3810" s="82"/>
      <c r="L3810" s="82"/>
      <c r="M3810" s="82"/>
      <c r="N3810" s="82"/>
      <c r="O3810" s="82"/>
      <c r="P3810" s="82"/>
      <c r="Q3810" s="82"/>
      <c r="R3810" s="82"/>
      <c r="S3810" s="82"/>
      <c r="T3810" s="82"/>
      <c r="U3810" s="82"/>
      <c r="V3810" s="82"/>
      <c r="W3810" s="82"/>
      <c r="X3810" s="82"/>
      <c r="Y3810" s="82"/>
      <c r="Z3810" s="82"/>
      <c r="AA3810" s="82"/>
      <c r="AB3810" s="82"/>
      <c r="AC3810" s="82"/>
      <c r="AD3810" s="82"/>
      <c r="AE3810" s="82"/>
      <c r="AF3810" s="82"/>
      <c r="AG3810" s="82"/>
      <c r="AH3810" s="82"/>
      <c r="AI3810" s="82"/>
      <c r="AJ3810" s="82"/>
      <c r="AK3810" s="82"/>
      <c r="AL3810" s="82"/>
      <c r="AM3810" s="82"/>
      <c r="AN3810" s="82"/>
      <c r="AO3810" s="82"/>
      <c r="AP3810" s="82"/>
      <c r="AQ3810" s="82"/>
      <c r="AR3810" s="82"/>
      <c r="AS3810" s="82"/>
      <c r="AT3810" s="82"/>
      <c r="AU3810" s="82"/>
      <c r="AV3810" s="82"/>
      <c r="AW3810" s="82" t="str">
        <f t="shared" si="1"/>
        <v/>
      </c>
      <c r="AX3810" s="83" t="str">
        <f t="array" ref="AX3810">IFERROR(DGET('SBV Import'!A:G,"SBV",{"RSC ID","Tier";B3810,A3810}))</f>
        <v/>
      </c>
      <c r="AY3810" s="82" t="str">
        <f t="shared" si="2"/>
        <v/>
      </c>
      <c r="AZ3810" s="82"/>
      <c r="BA3810" s="84" t="s">
        <v>152</v>
      </c>
      <c r="BB3810" s="84" t="str">
        <f>IFERROR(__xludf.DUMMYFUNCTION("iferror(if(A3810="""",,E3810&gt;=FILTER(Constants!$F$2:$F$10,Constants!$A$2:$A$10=A3810)))"),"")</f>
        <v/>
      </c>
    </row>
    <row r="3811">
      <c r="A3811" s="89"/>
      <c r="B3811" s="87"/>
      <c r="C3811" s="73"/>
      <c r="D3811" s="73"/>
      <c r="E3811" s="82"/>
      <c r="F3811" s="82"/>
      <c r="G3811" s="86"/>
      <c r="H3811" s="86"/>
      <c r="I3811" s="86"/>
      <c r="J3811" s="82"/>
      <c r="K3811" s="82"/>
      <c r="L3811" s="82"/>
      <c r="M3811" s="82"/>
      <c r="N3811" s="82"/>
      <c r="O3811" s="82"/>
      <c r="P3811" s="82"/>
      <c r="Q3811" s="82"/>
      <c r="R3811" s="82"/>
      <c r="S3811" s="82"/>
      <c r="T3811" s="82"/>
      <c r="U3811" s="82"/>
      <c r="V3811" s="82"/>
      <c r="W3811" s="82"/>
      <c r="X3811" s="82"/>
      <c r="Y3811" s="82"/>
      <c r="Z3811" s="82"/>
      <c r="AA3811" s="82"/>
      <c r="AB3811" s="82"/>
      <c r="AC3811" s="82"/>
      <c r="AD3811" s="82"/>
      <c r="AE3811" s="82"/>
      <c r="AF3811" s="82"/>
      <c r="AG3811" s="82"/>
      <c r="AH3811" s="82"/>
      <c r="AI3811" s="82"/>
      <c r="AJ3811" s="82"/>
      <c r="AK3811" s="82"/>
      <c r="AL3811" s="82"/>
      <c r="AM3811" s="82"/>
      <c r="AN3811" s="82"/>
      <c r="AO3811" s="82"/>
      <c r="AP3811" s="82"/>
      <c r="AQ3811" s="82"/>
      <c r="AR3811" s="82"/>
      <c r="AS3811" s="82"/>
      <c r="AT3811" s="82"/>
      <c r="AU3811" s="82"/>
      <c r="AV3811" s="82"/>
      <c r="AW3811" s="82" t="str">
        <f t="shared" si="1"/>
        <v/>
      </c>
      <c r="AX3811" s="83" t="str">
        <f t="array" ref="AX3811">IFERROR(DGET('SBV Import'!A:G,"SBV",{"RSC ID","Tier";B3811,A3811}))</f>
        <v/>
      </c>
      <c r="AY3811" s="82" t="str">
        <f t="shared" si="2"/>
        <v/>
      </c>
      <c r="AZ3811" s="82"/>
      <c r="BA3811" s="84" t="s">
        <v>152</v>
      </c>
      <c r="BB3811" s="84" t="str">
        <f>IFERROR(__xludf.DUMMYFUNCTION("iferror(if(A3811="""",,E3811&gt;=FILTER(Constants!$F$2:$F$10,Constants!$A$2:$A$10=A3811)))"),"")</f>
        <v/>
      </c>
    </row>
    <row r="3812">
      <c r="A3812" s="89"/>
      <c r="B3812" s="87"/>
      <c r="C3812" s="73"/>
      <c r="D3812" s="73"/>
      <c r="E3812" s="82"/>
      <c r="F3812" s="82"/>
      <c r="G3812" s="86"/>
      <c r="H3812" s="86"/>
      <c r="I3812" s="86"/>
      <c r="J3812" s="82"/>
      <c r="K3812" s="82"/>
      <c r="L3812" s="82"/>
      <c r="M3812" s="82"/>
      <c r="N3812" s="82"/>
      <c r="O3812" s="82"/>
      <c r="P3812" s="82"/>
      <c r="Q3812" s="82"/>
      <c r="R3812" s="82"/>
      <c r="S3812" s="82"/>
      <c r="T3812" s="82"/>
      <c r="U3812" s="82"/>
      <c r="V3812" s="82"/>
      <c r="W3812" s="82"/>
      <c r="X3812" s="82"/>
      <c r="Y3812" s="82"/>
      <c r="Z3812" s="82"/>
      <c r="AA3812" s="82"/>
      <c r="AB3812" s="82"/>
      <c r="AC3812" s="82"/>
      <c r="AD3812" s="82"/>
      <c r="AE3812" s="82"/>
      <c r="AF3812" s="82"/>
      <c r="AG3812" s="82"/>
      <c r="AH3812" s="82"/>
      <c r="AI3812" s="82"/>
      <c r="AJ3812" s="82"/>
      <c r="AK3812" s="82"/>
      <c r="AL3812" s="82"/>
      <c r="AM3812" s="82"/>
      <c r="AN3812" s="82"/>
      <c r="AO3812" s="82"/>
      <c r="AP3812" s="82"/>
      <c r="AQ3812" s="82"/>
      <c r="AR3812" s="82"/>
      <c r="AS3812" s="82"/>
      <c r="AT3812" s="82"/>
      <c r="AU3812" s="82"/>
      <c r="AV3812" s="82"/>
      <c r="AW3812" s="82" t="str">
        <f t="shared" si="1"/>
        <v/>
      </c>
      <c r="AX3812" s="83" t="str">
        <f t="array" ref="AX3812">IFERROR(DGET('SBV Import'!A:G,"SBV",{"RSC ID","Tier";B3812,A3812}))</f>
        <v/>
      </c>
      <c r="AY3812" s="82" t="str">
        <f t="shared" si="2"/>
        <v/>
      </c>
      <c r="AZ3812" s="82"/>
      <c r="BA3812" s="84" t="s">
        <v>152</v>
      </c>
      <c r="BB3812" s="84" t="str">
        <f>IFERROR(__xludf.DUMMYFUNCTION("iferror(if(A3812="""",,E3812&gt;=FILTER(Constants!$F$2:$F$10,Constants!$A$2:$A$10=A3812)))"),"")</f>
        <v/>
      </c>
    </row>
    <row r="3813">
      <c r="A3813" s="89"/>
      <c r="B3813" s="87"/>
      <c r="C3813" s="73"/>
      <c r="D3813" s="73"/>
      <c r="E3813" s="82"/>
      <c r="F3813" s="82"/>
      <c r="G3813" s="86"/>
      <c r="H3813" s="86"/>
      <c r="I3813" s="86"/>
      <c r="J3813" s="82"/>
      <c r="K3813" s="82"/>
      <c r="L3813" s="82"/>
      <c r="M3813" s="82"/>
      <c r="N3813" s="82"/>
      <c r="O3813" s="82"/>
      <c r="P3813" s="82"/>
      <c r="Q3813" s="82"/>
      <c r="R3813" s="82"/>
      <c r="S3813" s="82"/>
      <c r="T3813" s="82"/>
      <c r="U3813" s="82"/>
      <c r="V3813" s="82"/>
      <c r="W3813" s="82"/>
      <c r="X3813" s="82"/>
      <c r="Y3813" s="82"/>
      <c r="Z3813" s="82"/>
      <c r="AA3813" s="82"/>
      <c r="AB3813" s="82"/>
      <c r="AC3813" s="82"/>
      <c r="AD3813" s="82"/>
      <c r="AE3813" s="82"/>
      <c r="AF3813" s="82"/>
      <c r="AG3813" s="82"/>
      <c r="AH3813" s="82"/>
      <c r="AI3813" s="82"/>
      <c r="AJ3813" s="82"/>
      <c r="AK3813" s="82"/>
      <c r="AL3813" s="82"/>
      <c r="AM3813" s="82"/>
      <c r="AN3813" s="82"/>
      <c r="AO3813" s="82"/>
      <c r="AP3813" s="82"/>
      <c r="AQ3813" s="82"/>
      <c r="AR3813" s="82"/>
      <c r="AS3813" s="82"/>
      <c r="AT3813" s="82"/>
      <c r="AU3813" s="82"/>
      <c r="AV3813" s="82"/>
      <c r="AW3813" s="82" t="str">
        <f t="shared" si="1"/>
        <v/>
      </c>
      <c r="AX3813" s="83" t="str">
        <f t="array" ref="AX3813">IFERROR(DGET('SBV Import'!A:G,"SBV",{"RSC ID","Tier";B3813,A3813}))</f>
        <v/>
      </c>
      <c r="AY3813" s="82" t="str">
        <f t="shared" si="2"/>
        <v/>
      </c>
      <c r="AZ3813" s="82"/>
      <c r="BA3813" s="84" t="s">
        <v>152</v>
      </c>
      <c r="BB3813" s="84" t="str">
        <f>IFERROR(__xludf.DUMMYFUNCTION("iferror(if(A3813="""",,E3813&gt;=FILTER(Constants!$F$2:$F$10,Constants!$A$2:$A$10=A3813)))"),"")</f>
        <v/>
      </c>
    </row>
    <row r="3814">
      <c r="A3814" s="89"/>
      <c r="B3814" s="87"/>
      <c r="C3814" s="73"/>
      <c r="D3814" s="73"/>
      <c r="E3814" s="82"/>
      <c r="F3814" s="82"/>
      <c r="G3814" s="86"/>
      <c r="H3814" s="86"/>
      <c r="I3814" s="86"/>
      <c r="J3814" s="82"/>
      <c r="K3814" s="82"/>
      <c r="L3814" s="82"/>
      <c r="M3814" s="82"/>
      <c r="N3814" s="82"/>
      <c r="O3814" s="82"/>
      <c r="P3814" s="82"/>
      <c r="Q3814" s="82"/>
      <c r="R3814" s="82"/>
      <c r="S3814" s="82"/>
      <c r="T3814" s="82"/>
      <c r="U3814" s="82"/>
      <c r="V3814" s="82"/>
      <c r="W3814" s="82"/>
      <c r="X3814" s="82"/>
      <c r="Y3814" s="82"/>
      <c r="Z3814" s="82"/>
      <c r="AA3814" s="82"/>
      <c r="AB3814" s="82"/>
      <c r="AC3814" s="82"/>
      <c r="AD3814" s="82"/>
      <c r="AE3814" s="82"/>
      <c r="AF3814" s="82"/>
      <c r="AG3814" s="82"/>
      <c r="AH3814" s="82"/>
      <c r="AI3814" s="82"/>
      <c r="AJ3814" s="82"/>
      <c r="AK3814" s="82"/>
      <c r="AL3814" s="82"/>
      <c r="AM3814" s="82"/>
      <c r="AN3814" s="82"/>
      <c r="AO3814" s="82"/>
      <c r="AP3814" s="82"/>
      <c r="AQ3814" s="82"/>
      <c r="AR3814" s="82"/>
      <c r="AS3814" s="82"/>
      <c r="AT3814" s="82"/>
      <c r="AU3814" s="82"/>
      <c r="AV3814" s="82"/>
      <c r="AW3814" s="82" t="str">
        <f t="shared" si="1"/>
        <v/>
      </c>
      <c r="AX3814" s="83" t="str">
        <f t="array" ref="AX3814">IFERROR(DGET('SBV Import'!A:G,"SBV",{"RSC ID","Tier";B3814,A3814}))</f>
        <v/>
      </c>
      <c r="AY3814" s="82" t="str">
        <f t="shared" si="2"/>
        <v/>
      </c>
      <c r="AZ3814" s="82"/>
      <c r="BA3814" s="84" t="s">
        <v>152</v>
      </c>
      <c r="BB3814" s="84" t="str">
        <f>IFERROR(__xludf.DUMMYFUNCTION("iferror(if(A3814="""",,E3814&gt;=FILTER(Constants!$F$2:$F$10,Constants!$A$2:$A$10=A3814)))"),"")</f>
        <v/>
      </c>
    </row>
    <row r="3815">
      <c r="A3815" s="89"/>
      <c r="B3815" s="87"/>
      <c r="C3815" s="73"/>
      <c r="D3815" s="73"/>
      <c r="E3815" s="82"/>
      <c r="F3815" s="82"/>
      <c r="G3815" s="86"/>
      <c r="H3815" s="86"/>
      <c r="I3815" s="86"/>
      <c r="J3815" s="82"/>
      <c r="K3815" s="82"/>
      <c r="L3815" s="82"/>
      <c r="M3815" s="82"/>
      <c r="N3815" s="82"/>
      <c r="O3815" s="82"/>
      <c r="P3815" s="82"/>
      <c r="Q3815" s="82"/>
      <c r="R3815" s="82"/>
      <c r="S3815" s="82"/>
      <c r="T3815" s="82"/>
      <c r="U3815" s="82"/>
      <c r="V3815" s="82"/>
      <c r="W3815" s="82"/>
      <c r="X3815" s="82"/>
      <c r="Y3815" s="82"/>
      <c r="Z3815" s="82"/>
      <c r="AA3815" s="82"/>
      <c r="AB3815" s="82"/>
      <c r="AC3815" s="82"/>
      <c r="AD3815" s="82"/>
      <c r="AE3815" s="82"/>
      <c r="AF3815" s="82"/>
      <c r="AG3815" s="82"/>
      <c r="AH3815" s="82"/>
      <c r="AI3815" s="82"/>
      <c r="AJ3815" s="82"/>
      <c r="AK3815" s="82"/>
      <c r="AL3815" s="82"/>
      <c r="AM3815" s="82"/>
      <c r="AN3815" s="82"/>
      <c r="AO3815" s="82"/>
      <c r="AP3815" s="82"/>
      <c r="AQ3815" s="82"/>
      <c r="AR3815" s="82"/>
      <c r="AS3815" s="82"/>
      <c r="AT3815" s="82"/>
      <c r="AU3815" s="82"/>
      <c r="AV3815" s="82"/>
      <c r="AW3815" s="82" t="str">
        <f t="shared" si="1"/>
        <v/>
      </c>
      <c r="AX3815" s="83" t="str">
        <f t="array" ref="AX3815">IFERROR(DGET('SBV Import'!A:G,"SBV",{"RSC ID","Tier";B3815,A3815}))</f>
        <v/>
      </c>
      <c r="AY3815" s="82" t="str">
        <f t="shared" si="2"/>
        <v/>
      </c>
      <c r="AZ3815" s="82"/>
      <c r="BA3815" s="84" t="s">
        <v>152</v>
      </c>
      <c r="BB3815" s="84" t="str">
        <f>IFERROR(__xludf.DUMMYFUNCTION("iferror(if(A3815="""",,E3815&gt;=FILTER(Constants!$F$2:$F$10,Constants!$A$2:$A$10=A3815)))"),"")</f>
        <v/>
      </c>
    </row>
    <row r="3816">
      <c r="A3816" s="89"/>
      <c r="B3816" s="87"/>
      <c r="C3816" s="73"/>
      <c r="D3816" s="73"/>
      <c r="E3816" s="82"/>
      <c r="F3816" s="82"/>
      <c r="G3816" s="86"/>
      <c r="H3816" s="86"/>
      <c r="I3816" s="86"/>
      <c r="J3816" s="82"/>
      <c r="K3816" s="82"/>
      <c r="L3816" s="82"/>
      <c r="M3816" s="82"/>
      <c r="N3816" s="82"/>
      <c r="O3816" s="82"/>
      <c r="P3816" s="82"/>
      <c r="Q3816" s="82"/>
      <c r="R3816" s="82"/>
      <c r="S3816" s="82"/>
      <c r="T3816" s="82"/>
      <c r="U3816" s="82"/>
      <c r="V3816" s="82"/>
      <c r="W3816" s="82"/>
      <c r="X3816" s="82"/>
      <c r="Y3816" s="82"/>
      <c r="Z3816" s="82"/>
      <c r="AA3816" s="82"/>
      <c r="AB3816" s="82"/>
      <c r="AC3816" s="82"/>
      <c r="AD3816" s="82"/>
      <c r="AE3816" s="82"/>
      <c r="AF3816" s="82"/>
      <c r="AG3816" s="82"/>
      <c r="AH3816" s="82"/>
      <c r="AI3816" s="82"/>
      <c r="AJ3816" s="82"/>
      <c r="AK3816" s="82"/>
      <c r="AL3816" s="82"/>
      <c r="AM3816" s="82"/>
      <c r="AN3816" s="82"/>
      <c r="AO3816" s="82"/>
      <c r="AP3816" s="82"/>
      <c r="AQ3816" s="82"/>
      <c r="AR3816" s="82"/>
      <c r="AS3816" s="82"/>
      <c r="AT3816" s="82"/>
      <c r="AU3816" s="82"/>
      <c r="AV3816" s="82"/>
      <c r="AW3816" s="82" t="str">
        <f t="shared" si="1"/>
        <v/>
      </c>
      <c r="AX3816" s="83" t="str">
        <f t="array" ref="AX3816">IFERROR(DGET('SBV Import'!A:G,"SBV",{"RSC ID","Tier";B3816,A3816}))</f>
        <v/>
      </c>
      <c r="AY3816" s="82" t="str">
        <f t="shared" si="2"/>
        <v/>
      </c>
      <c r="AZ3816" s="82"/>
      <c r="BA3816" s="84" t="s">
        <v>152</v>
      </c>
      <c r="BB3816" s="84" t="str">
        <f>IFERROR(__xludf.DUMMYFUNCTION("iferror(if(A3816="""",,E3816&gt;=FILTER(Constants!$F$2:$F$10,Constants!$A$2:$A$10=A3816)))"),"")</f>
        <v/>
      </c>
    </row>
    <row r="3817">
      <c r="A3817" s="89"/>
      <c r="B3817" s="87"/>
      <c r="C3817" s="73"/>
      <c r="D3817" s="73"/>
      <c r="E3817" s="82"/>
      <c r="F3817" s="82"/>
      <c r="G3817" s="86"/>
      <c r="H3817" s="86"/>
      <c r="I3817" s="86"/>
      <c r="J3817" s="82"/>
      <c r="K3817" s="82"/>
      <c r="L3817" s="82"/>
      <c r="M3817" s="82"/>
      <c r="N3817" s="82"/>
      <c r="O3817" s="82"/>
      <c r="P3817" s="82"/>
      <c r="Q3817" s="82"/>
      <c r="R3817" s="82"/>
      <c r="S3817" s="82"/>
      <c r="T3817" s="82"/>
      <c r="U3817" s="82"/>
      <c r="V3817" s="82"/>
      <c r="W3817" s="82"/>
      <c r="X3817" s="82"/>
      <c r="Y3817" s="82"/>
      <c r="Z3817" s="82"/>
      <c r="AA3817" s="82"/>
      <c r="AB3817" s="82"/>
      <c r="AC3817" s="82"/>
      <c r="AD3817" s="82"/>
      <c r="AE3817" s="82"/>
      <c r="AF3817" s="82"/>
      <c r="AG3817" s="82"/>
      <c r="AH3817" s="82"/>
      <c r="AI3817" s="82"/>
      <c r="AJ3817" s="82"/>
      <c r="AK3817" s="82"/>
      <c r="AL3817" s="82"/>
      <c r="AM3817" s="82"/>
      <c r="AN3817" s="82"/>
      <c r="AO3817" s="82"/>
      <c r="AP3817" s="82"/>
      <c r="AQ3817" s="82"/>
      <c r="AR3817" s="82"/>
      <c r="AS3817" s="82"/>
      <c r="AT3817" s="82"/>
      <c r="AU3817" s="82"/>
      <c r="AV3817" s="82"/>
      <c r="AW3817" s="82" t="str">
        <f t="shared" si="1"/>
        <v/>
      </c>
      <c r="AX3817" s="83" t="str">
        <f t="array" ref="AX3817">IFERROR(DGET('SBV Import'!A:G,"SBV",{"RSC ID","Tier";B3817,A3817}))</f>
        <v/>
      </c>
      <c r="AY3817" s="82" t="str">
        <f t="shared" si="2"/>
        <v/>
      </c>
      <c r="AZ3817" s="82"/>
      <c r="BA3817" s="84" t="s">
        <v>152</v>
      </c>
      <c r="BB3817" s="84" t="str">
        <f>IFERROR(__xludf.DUMMYFUNCTION("iferror(if(A3817="""",,E3817&gt;=FILTER(Constants!$F$2:$F$10,Constants!$A$2:$A$10=A3817)))"),"")</f>
        <v/>
      </c>
    </row>
    <row r="3818">
      <c r="A3818" s="89"/>
      <c r="B3818" s="87"/>
      <c r="C3818" s="73"/>
      <c r="D3818" s="73"/>
      <c r="E3818" s="82"/>
      <c r="F3818" s="82"/>
      <c r="G3818" s="86"/>
      <c r="H3818" s="86"/>
      <c r="I3818" s="86"/>
      <c r="J3818" s="82"/>
      <c r="K3818" s="82"/>
      <c r="L3818" s="82"/>
      <c r="M3818" s="82"/>
      <c r="N3818" s="82"/>
      <c r="O3818" s="82"/>
      <c r="P3818" s="82"/>
      <c r="Q3818" s="82"/>
      <c r="R3818" s="82"/>
      <c r="S3818" s="82"/>
      <c r="T3818" s="82"/>
      <c r="U3818" s="82"/>
      <c r="V3818" s="82"/>
      <c r="W3818" s="82"/>
      <c r="X3818" s="82"/>
      <c r="Y3818" s="82"/>
      <c r="Z3818" s="82"/>
      <c r="AA3818" s="82"/>
      <c r="AB3818" s="82"/>
      <c r="AC3818" s="82"/>
      <c r="AD3818" s="82"/>
      <c r="AE3818" s="82"/>
      <c r="AF3818" s="82"/>
      <c r="AG3818" s="82"/>
      <c r="AH3818" s="82"/>
      <c r="AI3818" s="82"/>
      <c r="AJ3818" s="82"/>
      <c r="AK3818" s="82"/>
      <c r="AL3818" s="82"/>
      <c r="AM3818" s="82"/>
      <c r="AN3818" s="82"/>
      <c r="AO3818" s="82"/>
      <c r="AP3818" s="82"/>
      <c r="AQ3818" s="82"/>
      <c r="AR3818" s="82"/>
      <c r="AS3818" s="82"/>
      <c r="AT3818" s="82"/>
      <c r="AU3818" s="82"/>
      <c r="AV3818" s="82"/>
      <c r="AW3818" s="82" t="str">
        <f t="shared" si="1"/>
        <v/>
      </c>
      <c r="AX3818" s="83" t="str">
        <f t="array" ref="AX3818">IFERROR(DGET('SBV Import'!A:G,"SBV",{"RSC ID","Tier";B3818,A3818}))</f>
        <v/>
      </c>
      <c r="AY3818" s="82" t="str">
        <f t="shared" si="2"/>
        <v/>
      </c>
      <c r="AZ3818" s="82"/>
      <c r="BA3818" s="84" t="s">
        <v>152</v>
      </c>
      <c r="BB3818" s="84" t="str">
        <f>IFERROR(__xludf.DUMMYFUNCTION("iferror(if(A3818="""",,E3818&gt;=FILTER(Constants!$F$2:$F$10,Constants!$A$2:$A$10=A3818)))"),"")</f>
        <v/>
      </c>
    </row>
    <row r="3819">
      <c r="A3819" s="89"/>
      <c r="B3819" s="87"/>
      <c r="C3819" s="73"/>
      <c r="D3819" s="73"/>
      <c r="E3819" s="82"/>
      <c r="F3819" s="82"/>
      <c r="G3819" s="86"/>
      <c r="H3819" s="86"/>
      <c r="I3819" s="86"/>
      <c r="J3819" s="82"/>
      <c r="K3819" s="82"/>
      <c r="L3819" s="82"/>
      <c r="M3819" s="82"/>
      <c r="N3819" s="82"/>
      <c r="O3819" s="82"/>
      <c r="P3819" s="82"/>
      <c r="Q3819" s="82"/>
      <c r="R3819" s="82"/>
      <c r="S3819" s="82"/>
      <c r="T3819" s="82"/>
      <c r="U3819" s="82"/>
      <c r="V3819" s="82"/>
      <c r="W3819" s="82"/>
      <c r="X3819" s="82"/>
      <c r="Y3819" s="82"/>
      <c r="Z3819" s="82"/>
      <c r="AA3819" s="82"/>
      <c r="AB3819" s="82"/>
      <c r="AC3819" s="82"/>
      <c r="AD3819" s="82"/>
      <c r="AE3819" s="82"/>
      <c r="AF3819" s="82"/>
      <c r="AG3819" s="82"/>
      <c r="AH3819" s="82"/>
      <c r="AI3819" s="82"/>
      <c r="AJ3819" s="82"/>
      <c r="AK3819" s="82"/>
      <c r="AL3819" s="82"/>
      <c r="AM3819" s="82"/>
      <c r="AN3819" s="82"/>
      <c r="AO3819" s="82"/>
      <c r="AP3819" s="82"/>
      <c r="AQ3819" s="82"/>
      <c r="AR3819" s="82"/>
      <c r="AS3819" s="82"/>
      <c r="AT3819" s="82"/>
      <c r="AU3819" s="82"/>
      <c r="AV3819" s="82"/>
      <c r="AW3819" s="82" t="str">
        <f t="shared" si="1"/>
        <v/>
      </c>
      <c r="AX3819" s="83" t="str">
        <f t="array" ref="AX3819">IFERROR(DGET('SBV Import'!A:G,"SBV",{"RSC ID","Tier";B3819,A3819}))</f>
        <v/>
      </c>
      <c r="AY3819" s="82" t="str">
        <f t="shared" si="2"/>
        <v/>
      </c>
      <c r="AZ3819" s="82"/>
      <c r="BA3819" s="84" t="s">
        <v>152</v>
      </c>
      <c r="BB3819" s="84" t="str">
        <f>IFERROR(__xludf.DUMMYFUNCTION("iferror(if(A3819="""",,E3819&gt;=FILTER(Constants!$F$2:$F$10,Constants!$A$2:$A$10=A3819)))"),"")</f>
        <v/>
      </c>
    </row>
    <row r="3820">
      <c r="A3820" s="89"/>
      <c r="B3820" s="87"/>
      <c r="C3820" s="73"/>
      <c r="D3820" s="73"/>
      <c r="E3820" s="82"/>
      <c r="F3820" s="82"/>
      <c r="G3820" s="86"/>
      <c r="H3820" s="86"/>
      <c r="I3820" s="86"/>
      <c r="J3820" s="82"/>
      <c r="K3820" s="82"/>
      <c r="L3820" s="82"/>
      <c r="M3820" s="82"/>
      <c r="N3820" s="82"/>
      <c r="O3820" s="82"/>
      <c r="P3820" s="82"/>
      <c r="Q3820" s="82"/>
      <c r="R3820" s="82"/>
      <c r="S3820" s="82"/>
      <c r="T3820" s="82"/>
      <c r="U3820" s="82"/>
      <c r="V3820" s="82"/>
      <c r="W3820" s="82"/>
      <c r="X3820" s="82"/>
      <c r="Y3820" s="82"/>
      <c r="Z3820" s="82"/>
      <c r="AA3820" s="82"/>
      <c r="AB3820" s="82"/>
      <c r="AC3820" s="82"/>
      <c r="AD3820" s="82"/>
      <c r="AE3820" s="82"/>
      <c r="AF3820" s="82"/>
      <c r="AG3820" s="82"/>
      <c r="AH3820" s="82"/>
      <c r="AI3820" s="82"/>
      <c r="AJ3820" s="82"/>
      <c r="AK3820" s="82"/>
      <c r="AL3820" s="82"/>
      <c r="AM3820" s="82"/>
      <c r="AN3820" s="82"/>
      <c r="AO3820" s="82"/>
      <c r="AP3820" s="82"/>
      <c r="AQ3820" s="82"/>
      <c r="AR3820" s="82"/>
      <c r="AS3820" s="82"/>
      <c r="AT3820" s="82"/>
      <c r="AU3820" s="82"/>
      <c r="AV3820" s="82"/>
      <c r="AW3820" s="82" t="str">
        <f t="shared" si="1"/>
        <v/>
      </c>
      <c r="AX3820" s="83" t="str">
        <f t="array" ref="AX3820">IFERROR(DGET('SBV Import'!A:G,"SBV",{"RSC ID","Tier";B3820,A3820}))</f>
        <v/>
      </c>
      <c r="AY3820" s="82" t="str">
        <f t="shared" si="2"/>
        <v/>
      </c>
      <c r="AZ3820" s="82"/>
      <c r="BA3820" s="84" t="s">
        <v>152</v>
      </c>
      <c r="BB3820" s="84" t="str">
        <f>IFERROR(__xludf.DUMMYFUNCTION("iferror(if(A3820="""",,E3820&gt;=FILTER(Constants!$F$2:$F$10,Constants!$A$2:$A$10=A3820)))"),"")</f>
        <v/>
      </c>
    </row>
    <row r="3821">
      <c r="A3821" s="89"/>
      <c r="B3821" s="87"/>
      <c r="C3821" s="73"/>
      <c r="D3821" s="73"/>
      <c r="E3821" s="82"/>
      <c r="F3821" s="82"/>
      <c r="G3821" s="86"/>
      <c r="H3821" s="86"/>
      <c r="I3821" s="86"/>
      <c r="J3821" s="82"/>
      <c r="K3821" s="82"/>
      <c r="L3821" s="82"/>
      <c r="M3821" s="82"/>
      <c r="N3821" s="82"/>
      <c r="O3821" s="82"/>
      <c r="P3821" s="82"/>
      <c r="Q3821" s="82"/>
      <c r="R3821" s="82"/>
      <c r="S3821" s="82"/>
      <c r="T3821" s="82"/>
      <c r="U3821" s="82"/>
      <c r="V3821" s="82"/>
      <c r="W3821" s="82"/>
      <c r="X3821" s="82"/>
      <c r="Y3821" s="82"/>
      <c r="Z3821" s="82"/>
      <c r="AA3821" s="82"/>
      <c r="AB3821" s="82"/>
      <c r="AC3821" s="82"/>
      <c r="AD3821" s="82"/>
      <c r="AE3821" s="82"/>
      <c r="AF3821" s="82"/>
      <c r="AG3821" s="82"/>
      <c r="AH3821" s="82"/>
      <c r="AI3821" s="82"/>
      <c r="AJ3821" s="82"/>
      <c r="AK3821" s="82"/>
      <c r="AL3821" s="82"/>
      <c r="AM3821" s="82"/>
      <c r="AN3821" s="82"/>
      <c r="AO3821" s="82"/>
      <c r="AP3821" s="82"/>
      <c r="AQ3821" s="82"/>
      <c r="AR3821" s="82"/>
      <c r="AS3821" s="82"/>
      <c r="AT3821" s="82"/>
      <c r="AU3821" s="82"/>
      <c r="AV3821" s="82"/>
      <c r="AW3821" s="82" t="str">
        <f t="shared" si="1"/>
        <v/>
      </c>
      <c r="AX3821" s="83" t="str">
        <f t="array" ref="AX3821">IFERROR(DGET('SBV Import'!A:G,"SBV",{"RSC ID","Tier";B3821,A3821}))</f>
        <v/>
      </c>
      <c r="AY3821" s="82" t="str">
        <f t="shared" si="2"/>
        <v/>
      </c>
      <c r="AZ3821" s="82"/>
      <c r="BA3821" s="84" t="s">
        <v>152</v>
      </c>
      <c r="BB3821" s="84" t="str">
        <f>IFERROR(__xludf.DUMMYFUNCTION("iferror(if(A3821="""",,E3821&gt;=FILTER(Constants!$F$2:$F$10,Constants!$A$2:$A$10=A3821)))"),"")</f>
        <v/>
      </c>
    </row>
    <row r="3822">
      <c r="A3822" s="89"/>
      <c r="B3822" s="87"/>
      <c r="C3822" s="73"/>
      <c r="D3822" s="73"/>
      <c r="E3822" s="82"/>
      <c r="F3822" s="82"/>
      <c r="G3822" s="86"/>
      <c r="H3822" s="86"/>
      <c r="I3822" s="86"/>
      <c r="J3822" s="82"/>
      <c r="K3822" s="82"/>
      <c r="L3822" s="82"/>
      <c r="M3822" s="82"/>
      <c r="N3822" s="82"/>
      <c r="O3822" s="82"/>
      <c r="P3822" s="82"/>
      <c r="Q3822" s="82"/>
      <c r="R3822" s="82"/>
      <c r="S3822" s="82"/>
      <c r="T3822" s="82"/>
      <c r="U3822" s="82"/>
      <c r="V3822" s="82"/>
      <c r="W3822" s="82"/>
      <c r="X3822" s="82"/>
      <c r="Y3822" s="82"/>
      <c r="Z3822" s="82"/>
      <c r="AA3822" s="82"/>
      <c r="AB3822" s="82"/>
      <c r="AC3822" s="82"/>
      <c r="AD3822" s="82"/>
      <c r="AE3822" s="82"/>
      <c r="AF3822" s="82"/>
      <c r="AG3822" s="82"/>
      <c r="AH3822" s="82"/>
      <c r="AI3822" s="82"/>
      <c r="AJ3822" s="82"/>
      <c r="AK3822" s="82"/>
      <c r="AL3822" s="82"/>
      <c r="AM3822" s="82"/>
      <c r="AN3822" s="82"/>
      <c r="AO3822" s="82"/>
      <c r="AP3822" s="82"/>
      <c r="AQ3822" s="82"/>
      <c r="AR3822" s="82"/>
      <c r="AS3822" s="82"/>
      <c r="AT3822" s="82"/>
      <c r="AU3822" s="82"/>
      <c r="AV3822" s="82"/>
      <c r="AW3822" s="82" t="str">
        <f t="shared" si="1"/>
        <v/>
      </c>
      <c r="AX3822" s="83" t="str">
        <f t="array" ref="AX3822">IFERROR(DGET('SBV Import'!A:G,"SBV",{"RSC ID","Tier";B3822,A3822}))</f>
        <v/>
      </c>
      <c r="AY3822" s="82" t="str">
        <f t="shared" si="2"/>
        <v/>
      </c>
      <c r="AZ3822" s="82"/>
      <c r="BA3822" s="84" t="s">
        <v>152</v>
      </c>
      <c r="BB3822" s="84" t="str">
        <f>IFERROR(__xludf.DUMMYFUNCTION("iferror(if(A3822="""",,E3822&gt;=FILTER(Constants!$F$2:$F$10,Constants!$A$2:$A$10=A3822)))"),"")</f>
        <v/>
      </c>
    </row>
    <row r="3823">
      <c r="A3823" s="89"/>
      <c r="B3823" s="87"/>
      <c r="C3823" s="73"/>
      <c r="D3823" s="73"/>
      <c r="E3823" s="82"/>
      <c r="F3823" s="82"/>
      <c r="G3823" s="86"/>
      <c r="H3823" s="86"/>
      <c r="I3823" s="86"/>
      <c r="J3823" s="82"/>
      <c r="K3823" s="82"/>
      <c r="L3823" s="82"/>
      <c r="M3823" s="82"/>
      <c r="N3823" s="82"/>
      <c r="O3823" s="82"/>
      <c r="P3823" s="82"/>
      <c r="Q3823" s="82"/>
      <c r="R3823" s="82"/>
      <c r="S3823" s="82"/>
      <c r="T3823" s="82"/>
      <c r="U3823" s="82"/>
      <c r="V3823" s="82"/>
      <c r="W3823" s="82"/>
      <c r="X3823" s="82"/>
      <c r="Y3823" s="82"/>
      <c r="Z3823" s="82"/>
      <c r="AA3823" s="82"/>
      <c r="AB3823" s="82"/>
      <c r="AC3823" s="82"/>
      <c r="AD3823" s="82"/>
      <c r="AE3823" s="82"/>
      <c r="AF3823" s="82"/>
      <c r="AG3823" s="82"/>
      <c r="AH3823" s="82"/>
      <c r="AI3823" s="82"/>
      <c r="AJ3823" s="82"/>
      <c r="AK3823" s="82"/>
      <c r="AL3823" s="82"/>
      <c r="AM3823" s="82"/>
      <c r="AN3823" s="82"/>
      <c r="AO3823" s="82"/>
      <c r="AP3823" s="82"/>
      <c r="AQ3823" s="82"/>
      <c r="AR3823" s="82"/>
      <c r="AS3823" s="82"/>
      <c r="AT3823" s="82"/>
      <c r="AU3823" s="82"/>
      <c r="AV3823" s="82"/>
      <c r="AW3823" s="82" t="str">
        <f t="shared" si="1"/>
        <v/>
      </c>
      <c r="AX3823" s="83" t="str">
        <f t="array" ref="AX3823">IFERROR(DGET('SBV Import'!A:G,"SBV",{"RSC ID","Tier";B3823,A3823}))</f>
        <v/>
      </c>
      <c r="AY3823" s="82" t="str">
        <f t="shared" si="2"/>
        <v/>
      </c>
      <c r="AZ3823" s="82"/>
      <c r="BA3823" s="84" t="s">
        <v>152</v>
      </c>
      <c r="BB3823" s="84" t="str">
        <f>IFERROR(__xludf.DUMMYFUNCTION("iferror(if(A3823="""",,E3823&gt;=FILTER(Constants!$F$2:$F$10,Constants!$A$2:$A$10=A3823)))"),"")</f>
        <v/>
      </c>
    </row>
    <row r="3824">
      <c r="A3824" s="89"/>
      <c r="B3824" s="87"/>
      <c r="C3824" s="73"/>
      <c r="D3824" s="73"/>
      <c r="E3824" s="82"/>
      <c r="F3824" s="82"/>
      <c r="G3824" s="86"/>
      <c r="H3824" s="86"/>
      <c r="I3824" s="86"/>
      <c r="J3824" s="82"/>
      <c r="K3824" s="82"/>
      <c r="L3824" s="82"/>
      <c r="M3824" s="82"/>
      <c r="N3824" s="82"/>
      <c r="O3824" s="82"/>
      <c r="P3824" s="82"/>
      <c r="Q3824" s="82"/>
      <c r="R3824" s="82"/>
      <c r="S3824" s="82"/>
      <c r="T3824" s="82"/>
      <c r="U3824" s="82"/>
      <c r="V3824" s="82"/>
      <c r="W3824" s="82"/>
      <c r="X3824" s="82"/>
      <c r="Y3824" s="82"/>
      <c r="Z3824" s="82"/>
      <c r="AA3824" s="82"/>
      <c r="AB3824" s="82"/>
      <c r="AC3824" s="82"/>
      <c r="AD3824" s="82"/>
      <c r="AE3824" s="82"/>
      <c r="AF3824" s="82"/>
      <c r="AG3824" s="82"/>
      <c r="AH3824" s="82"/>
      <c r="AI3824" s="82"/>
      <c r="AJ3824" s="82"/>
      <c r="AK3824" s="82"/>
      <c r="AL3824" s="82"/>
      <c r="AM3824" s="82"/>
      <c r="AN3824" s="82"/>
      <c r="AO3824" s="82"/>
      <c r="AP3824" s="82"/>
      <c r="AQ3824" s="82"/>
      <c r="AR3824" s="82"/>
      <c r="AS3824" s="82"/>
      <c r="AT3824" s="82"/>
      <c r="AU3824" s="82"/>
      <c r="AV3824" s="82"/>
      <c r="AW3824" s="82" t="str">
        <f t="shared" si="1"/>
        <v/>
      </c>
      <c r="AX3824" s="83" t="str">
        <f t="array" ref="AX3824">IFERROR(DGET('SBV Import'!A:G,"SBV",{"RSC ID","Tier";B3824,A3824}))</f>
        <v/>
      </c>
      <c r="AY3824" s="82" t="str">
        <f t="shared" si="2"/>
        <v/>
      </c>
      <c r="AZ3824" s="82"/>
      <c r="BA3824" s="84" t="s">
        <v>152</v>
      </c>
      <c r="BB3824" s="84" t="str">
        <f>IFERROR(__xludf.DUMMYFUNCTION("iferror(if(A3824="""",,E3824&gt;=FILTER(Constants!$F$2:$F$10,Constants!$A$2:$A$10=A3824)))"),"")</f>
        <v/>
      </c>
    </row>
    <row r="3825">
      <c r="A3825" s="89"/>
      <c r="B3825" s="87"/>
      <c r="C3825" s="73"/>
      <c r="D3825" s="73"/>
      <c r="E3825" s="82"/>
      <c r="F3825" s="82"/>
      <c r="G3825" s="86"/>
      <c r="H3825" s="86"/>
      <c r="I3825" s="86"/>
      <c r="J3825" s="82"/>
      <c r="K3825" s="82"/>
      <c r="L3825" s="82"/>
      <c r="M3825" s="82"/>
      <c r="N3825" s="82"/>
      <c r="O3825" s="82"/>
      <c r="P3825" s="82"/>
      <c r="Q3825" s="82"/>
      <c r="R3825" s="82"/>
      <c r="S3825" s="82"/>
      <c r="T3825" s="82"/>
      <c r="U3825" s="82"/>
      <c r="V3825" s="82"/>
      <c r="W3825" s="82"/>
      <c r="X3825" s="82"/>
      <c r="Y3825" s="82"/>
      <c r="Z3825" s="82"/>
      <c r="AA3825" s="82"/>
      <c r="AB3825" s="82"/>
      <c r="AC3825" s="82"/>
      <c r="AD3825" s="82"/>
      <c r="AE3825" s="82"/>
      <c r="AF3825" s="82"/>
      <c r="AG3825" s="82"/>
      <c r="AH3825" s="82"/>
      <c r="AI3825" s="82"/>
      <c r="AJ3825" s="82"/>
      <c r="AK3825" s="82"/>
      <c r="AL3825" s="82"/>
      <c r="AM3825" s="82"/>
      <c r="AN3825" s="82"/>
      <c r="AO3825" s="82"/>
      <c r="AP3825" s="82"/>
      <c r="AQ3825" s="82"/>
      <c r="AR3825" s="82"/>
      <c r="AS3825" s="82"/>
      <c r="AT3825" s="82"/>
      <c r="AU3825" s="82"/>
      <c r="AV3825" s="82"/>
      <c r="AW3825" s="82" t="str">
        <f t="shared" si="1"/>
        <v/>
      </c>
      <c r="AX3825" s="83" t="str">
        <f t="array" ref="AX3825">IFERROR(DGET('SBV Import'!A:G,"SBV",{"RSC ID","Tier";B3825,A3825}))</f>
        <v/>
      </c>
      <c r="AY3825" s="82" t="str">
        <f t="shared" si="2"/>
        <v/>
      </c>
      <c r="AZ3825" s="82"/>
      <c r="BA3825" s="84" t="s">
        <v>152</v>
      </c>
      <c r="BB3825" s="84" t="str">
        <f>IFERROR(__xludf.DUMMYFUNCTION("iferror(if(A3825="""",,E3825&gt;=FILTER(Constants!$F$2:$F$10,Constants!$A$2:$A$10=A3825)))"),"")</f>
        <v/>
      </c>
    </row>
    <row r="3826">
      <c r="A3826" s="89"/>
      <c r="B3826" s="87"/>
      <c r="C3826" s="73"/>
      <c r="D3826" s="73"/>
      <c r="E3826" s="82"/>
      <c r="F3826" s="82"/>
      <c r="G3826" s="86"/>
      <c r="H3826" s="86"/>
      <c r="I3826" s="86"/>
      <c r="J3826" s="82"/>
      <c r="K3826" s="82"/>
      <c r="L3826" s="82"/>
      <c r="M3826" s="82"/>
      <c r="N3826" s="82"/>
      <c r="O3826" s="82"/>
      <c r="P3826" s="82"/>
      <c r="Q3826" s="82"/>
      <c r="R3826" s="82"/>
      <c r="S3826" s="82"/>
      <c r="T3826" s="82"/>
      <c r="U3826" s="82"/>
      <c r="V3826" s="82"/>
      <c r="W3826" s="82"/>
      <c r="X3826" s="82"/>
      <c r="Y3826" s="82"/>
      <c r="Z3826" s="82"/>
      <c r="AA3826" s="82"/>
      <c r="AB3826" s="82"/>
      <c r="AC3826" s="82"/>
      <c r="AD3826" s="82"/>
      <c r="AE3826" s="82"/>
      <c r="AF3826" s="82"/>
      <c r="AG3826" s="82"/>
      <c r="AH3826" s="82"/>
      <c r="AI3826" s="82"/>
      <c r="AJ3826" s="82"/>
      <c r="AK3826" s="82"/>
      <c r="AL3826" s="82"/>
      <c r="AM3826" s="82"/>
      <c r="AN3826" s="82"/>
      <c r="AO3826" s="82"/>
      <c r="AP3826" s="82"/>
      <c r="AQ3826" s="82"/>
      <c r="AR3826" s="82"/>
      <c r="AS3826" s="82"/>
      <c r="AT3826" s="82"/>
      <c r="AU3826" s="82"/>
      <c r="AV3826" s="82"/>
      <c r="AW3826" s="82" t="str">
        <f t="shared" si="1"/>
        <v/>
      </c>
      <c r="AX3826" s="83" t="str">
        <f t="array" ref="AX3826">IFERROR(DGET('SBV Import'!A:G,"SBV",{"RSC ID","Tier";B3826,A3826}))</f>
        <v/>
      </c>
      <c r="AY3826" s="82" t="str">
        <f t="shared" si="2"/>
        <v/>
      </c>
      <c r="AZ3826" s="82"/>
      <c r="BA3826" s="84" t="s">
        <v>152</v>
      </c>
      <c r="BB3826" s="84" t="str">
        <f>IFERROR(__xludf.DUMMYFUNCTION("iferror(if(A3826="""",,E3826&gt;=FILTER(Constants!$F$2:$F$10,Constants!$A$2:$A$10=A3826)))"),"")</f>
        <v/>
      </c>
    </row>
    <row r="3827">
      <c r="A3827" s="89"/>
      <c r="B3827" s="87"/>
      <c r="C3827" s="73"/>
      <c r="D3827" s="73"/>
      <c r="E3827" s="82"/>
      <c r="F3827" s="82"/>
      <c r="G3827" s="86"/>
      <c r="H3827" s="86"/>
      <c r="I3827" s="86"/>
      <c r="J3827" s="82"/>
      <c r="K3827" s="82"/>
      <c r="L3827" s="82"/>
      <c r="M3827" s="82"/>
      <c r="N3827" s="82"/>
      <c r="O3827" s="82"/>
      <c r="P3827" s="82"/>
      <c r="Q3827" s="82"/>
      <c r="R3827" s="82"/>
      <c r="S3827" s="82"/>
      <c r="T3827" s="82"/>
      <c r="U3827" s="82"/>
      <c r="V3827" s="82"/>
      <c r="W3827" s="82"/>
      <c r="X3827" s="82"/>
      <c r="Y3827" s="82"/>
      <c r="Z3827" s="82"/>
      <c r="AA3827" s="82"/>
      <c r="AB3827" s="82"/>
      <c r="AC3827" s="82"/>
      <c r="AD3827" s="82"/>
      <c r="AE3827" s="82"/>
      <c r="AF3827" s="82"/>
      <c r="AG3827" s="82"/>
      <c r="AH3827" s="82"/>
      <c r="AI3827" s="82"/>
      <c r="AJ3827" s="82"/>
      <c r="AK3827" s="82"/>
      <c r="AL3827" s="82"/>
      <c r="AM3827" s="82"/>
      <c r="AN3827" s="82"/>
      <c r="AO3827" s="82"/>
      <c r="AP3827" s="82"/>
      <c r="AQ3827" s="82"/>
      <c r="AR3827" s="82"/>
      <c r="AS3827" s="82"/>
      <c r="AT3827" s="82"/>
      <c r="AU3827" s="82"/>
      <c r="AV3827" s="82"/>
      <c r="AW3827" s="82" t="str">
        <f t="shared" si="1"/>
        <v/>
      </c>
      <c r="AX3827" s="83" t="str">
        <f t="array" ref="AX3827">IFERROR(DGET('SBV Import'!A:G,"SBV",{"RSC ID","Tier";B3827,A3827}))</f>
        <v/>
      </c>
      <c r="AY3827" s="82" t="str">
        <f t="shared" si="2"/>
        <v/>
      </c>
      <c r="AZ3827" s="82"/>
      <c r="BA3827" s="84" t="s">
        <v>152</v>
      </c>
      <c r="BB3827" s="84" t="str">
        <f>IFERROR(__xludf.DUMMYFUNCTION("iferror(if(A3827="""",,E3827&gt;=FILTER(Constants!$F$2:$F$10,Constants!$A$2:$A$10=A3827)))"),"")</f>
        <v/>
      </c>
    </row>
    <row r="3828">
      <c r="A3828" s="89"/>
      <c r="B3828" s="87"/>
      <c r="C3828" s="73"/>
      <c r="D3828" s="73"/>
      <c r="E3828" s="82"/>
      <c r="F3828" s="82"/>
      <c r="G3828" s="86"/>
      <c r="H3828" s="86"/>
      <c r="I3828" s="86"/>
      <c r="J3828" s="82"/>
      <c r="K3828" s="82"/>
      <c r="L3828" s="82"/>
      <c r="M3828" s="82"/>
      <c r="N3828" s="82"/>
      <c r="O3828" s="82"/>
      <c r="P3828" s="82"/>
      <c r="Q3828" s="82"/>
      <c r="R3828" s="82"/>
      <c r="S3828" s="82"/>
      <c r="T3828" s="82"/>
      <c r="U3828" s="82"/>
      <c r="V3828" s="82"/>
      <c r="W3828" s="82"/>
      <c r="X3828" s="82"/>
      <c r="Y3828" s="82"/>
      <c r="Z3828" s="82"/>
      <c r="AA3828" s="82"/>
      <c r="AB3828" s="82"/>
      <c r="AC3828" s="82"/>
      <c r="AD3828" s="82"/>
      <c r="AE3828" s="82"/>
      <c r="AF3828" s="82"/>
      <c r="AG3828" s="82"/>
      <c r="AH3828" s="82"/>
      <c r="AI3828" s="82"/>
      <c r="AJ3828" s="82"/>
      <c r="AK3828" s="82"/>
      <c r="AL3828" s="82"/>
      <c r="AM3828" s="82"/>
      <c r="AN3828" s="82"/>
      <c r="AO3828" s="82"/>
      <c r="AP3828" s="82"/>
      <c r="AQ3828" s="82"/>
      <c r="AR3828" s="82"/>
      <c r="AS3828" s="82"/>
      <c r="AT3828" s="82"/>
      <c r="AU3828" s="82"/>
      <c r="AV3828" s="82"/>
      <c r="AW3828" s="82" t="str">
        <f t="shared" si="1"/>
        <v/>
      </c>
      <c r="AX3828" s="83" t="str">
        <f t="array" ref="AX3828">IFERROR(DGET('SBV Import'!A:G,"SBV",{"RSC ID","Tier";B3828,A3828}))</f>
        <v/>
      </c>
      <c r="AY3828" s="82" t="str">
        <f t="shared" si="2"/>
        <v/>
      </c>
      <c r="AZ3828" s="82"/>
      <c r="BA3828" s="84" t="s">
        <v>152</v>
      </c>
      <c r="BB3828" s="84" t="str">
        <f>IFERROR(__xludf.DUMMYFUNCTION("iferror(if(A3828="""",,E3828&gt;=FILTER(Constants!$F$2:$F$10,Constants!$A$2:$A$10=A3828)))"),"")</f>
        <v/>
      </c>
    </row>
    <row r="3829">
      <c r="A3829" s="89"/>
      <c r="B3829" s="87"/>
      <c r="C3829" s="73"/>
      <c r="D3829" s="73"/>
      <c r="E3829" s="82"/>
      <c r="F3829" s="82"/>
      <c r="G3829" s="86"/>
      <c r="H3829" s="86"/>
      <c r="I3829" s="86"/>
      <c r="J3829" s="82"/>
      <c r="K3829" s="82"/>
      <c r="L3829" s="82"/>
      <c r="M3829" s="82"/>
      <c r="N3829" s="82"/>
      <c r="O3829" s="82"/>
      <c r="P3829" s="82"/>
      <c r="Q3829" s="82"/>
      <c r="R3829" s="82"/>
      <c r="S3829" s="82"/>
      <c r="T3829" s="82"/>
      <c r="U3829" s="82"/>
      <c r="V3829" s="82"/>
      <c r="W3829" s="82"/>
      <c r="X3829" s="82"/>
      <c r="Y3829" s="82"/>
      <c r="Z3829" s="82"/>
      <c r="AA3829" s="82"/>
      <c r="AB3829" s="82"/>
      <c r="AC3829" s="82"/>
      <c r="AD3829" s="82"/>
      <c r="AE3829" s="82"/>
      <c r="AF3829" s="82"/>
      <c r="AG3829" s="82"/>
      <c r="AH3829" s="82"/>
      <c r="AI3829" s="82"/>
      <c r="AJ3829" s="82"/>
      <c r="AK3829" s="82"/>
      <c r="AL3829" s="82"/>
      <c r="AM3829" s="82"/>
      <c r="AN3829" s="82"/>
      <c r="AO3829" s="82"/>
      <c r="AP3829" s="82"/>
      <c r="AQ3829" s="82"/>
      <c r="AR3829" s="82"/>
      <c r="AS3829" s="82"/>
      <c r="AT3829" s="82"/>
      <c r="AU3829" s="82"/>
      <c r="AV3829" s="82"/>
      <c r="AW3829" s="82" t="str">
        <f t="shared" si="1"/>
        <v/>
      </c>
      <c r="AX3829" s="83" t="str">
        <f t="array" ref="AX3829">IFERROR(DGET('SBV Import'!A:G,"SBV",{"RSC ID","Tier";B3829,A3829}))</f>
        <v/>
      </c>
      <c r="AY3829" s="82" t="str">
        <f t="shared" si="2"/>
        <v/>
      </c>
      <c r="AZ3829" s="82"/>
      <c r="BA3829" s="84" t="s">
        <v>152</v>
      </c>
      <c r="BB3829" s="84" t="str">
        <f>IFERROR(__xludf.DUMMYFUNCTION("iferror(if(A3829="""",,E3829&gt;=FILTER(Constants!$F$2:$F$10,Constants!$A$2:$A$10=A3829)))"),"")</f>
        <v/>
      </c>
    </row>
    <row r="3830">
      <c r="A3830" s="89"/>
      <c r="B3830" s="87"/>
      <c r="C3830" s="73"/>
      <c r="D3830" s="73"/>
      <c r="E3830" s="82"/>
      <c r="F3830" s="82"/>
      <c r="G3830" s="86"/>
      <c r="H3830" s="86"/>
      <c r="I3830" s="86"/>
      <c r="J3830" s="82"/>
      <c r="K3830" s="82"/>
      <c r="L3830" s="82"/>
      <c r="M3830" s="82"/>
      <c r="N3830" s="82"/>
      <c r="O3830" s="82"/>
      <c r="P3830" s="82"/>
      <c r="Q3830" s="82"/>
      <c r="R3830" s="82"/>
      <c r="S3830" s="82"/>
      <c r="T3830" s="82"/>
      <c r="U3830" s="82"/>
      <c r="V3830" s="82"/>
      <c r="W3830" s="82"/>
      <c r="X3830" s="82"/>
      <c r="Y3830" s="82"/>
      <c r="Z3830" s="82"/>
      <c r="AA3830" s="82"/>
      <c r="AB3830" s="82"/>
      <c r="AC3830" s="82"/>
      <c r="AD3830" s="82"/>
      <c r="AE3830" s="82"/>
      <c r="AF3830" s="82"/>
      <c r="AG3830" s="82"/>
      <c r="AH3830" s="82"/>
      <c r="AI3830" s="82"/>
      <c r="AJ3830" s="82"/>
      <c r="AK3830" s="82"/>
      <c r="AL3830" s="82"/>
      <c r="AM3830" s="82"/>
      <c r="AN3830" s="82"/>
      <c r="AO3830" s="82"/>
      <c r="AP3830" s="82"/>
      <c r="AQ3830" s="82"/>
      <c r="AR3830" s="82"/>
      <c r="AS3830" s="82"/>
      <c r="AT3830" s="82"/>
      <c r="AU3830" s="82"/>
      <c r="AV3830" s="82"/>
      <c r="AW3830" s="82" t="str">
        <f t="shared" si="1"/>
        <v/>
      </c>
      <c r="AX3830" s="83" t="str">
        <f t="array" ref="AX3830">IFERROR(DGET('SBV Import'!A:G,"SBV",{"RSC ID","Tier";B3830,A3830}))</f>
        <v/>
      </c>
      <c r="AY3830" s="82" t="str">
        <f t="shared" si="2"/>
        <v/>
      </c>
      <c r="AZ3830" s="82"/>
      <c r="BA3830" s="84" t="s">
        <v>152</v>
      </c>
      <c r="BB3830" s="84" t="str">
        <f>IFERROR(__xludf.DUMMYFUNCTION("iferror(if(A3830="""",,E3830&gt;=FILTER(Constants!$F$2:$F$10,Constants!$A$2:$A$10=A3830)))"),"")</f>
        <v/>
      </c>
    </row>
    <row r="3831">
      <c r="A3831" s="89"/>
      <c r="B3831" s="87"/>
      <c r="C3831" s="73"/>
      <c r="D3831" s="73"/>
      <c r="E3831" s="82"/>
      <c r="F3831" s="82"/>
      <c r="G3831" s="86"/>
      <c r="H3831" s="86"/>
      <c r="I3831" s="86"/>
      <c r="J3831" s="82"/>
      <c r="K3831" s="82"/>
      <c r="L3831" s="82"/>
      <c r="M3831" s="82"/>
      <c r="N3831" s="82"/>
      <c r="O3831" s="82"/>
      <c r="P3831" s="82"/>
      <c r="Q3831" s="82"/>
      <c r="R3831" s="82"/>
      <c r="S3831" s="82"/>
      <c r="T3831" s="82"/>
      <c r="U3831" s="82"/>
      <c r="V3831" s="82"/>
      <c r="W3831" s="82"/>
      <c r="X3831" s="82"/>
      <c r="Y3831" s="82"/>
      <c r="Z3831" s="82"/>
      <c r="AA3831" s="82"/>
      <c r="AB3831" s="82"/>
      <c r="AC3831" s="82"/>
      <c r="AD3831" s="82"/>
      <c r="AE3831" s="82"/>
      <c r="AF3831" s="82"/>
      <c r="AG3831" s="82"/>
      <c r="AH3831" s="82"/>
      <c r="AI3831" s="82"/>
      <c r="AJ3831" s="82"/>
      <c r="AK3831" s="82"/>
      <c r="AL3831" s="82"/>
      <c r="AM3831" s="82"/>
      <c r="AN3831" s="82"/>
      <c r="AO3831" s="82"/>
      <c r="AP3831" s="82"/>
      <c r="AQ3831" s="82"/>
      <c r="AR3831" s="82"/>
      <c r="AS3831" s="82"/>
      <c r="AT3831" s="82"/>
      <c r="AU3831" s="82"/>
      <c r="AV3831" s="82"/>
      <c r="AW3831" s="82" t="str">
        <f t="shared" si="1"/>
        <v/>
      </c>
      <c r="AX3831" s="83" t="str">
        <f t="array" ref="AX3831">IFERROR(DGET('SBV Import'!A:G,"SBV",{"RSC ID","Tier";B3831,A3831}))</f>
        <v/>
      </c>
      <c r="AY3831" s="82" t="str">
        <f t="shared" si="2"/>
        <v/>
      </c>
      <c r="AZ3831" s="82"/>
      <c r="BA3831" s="84" t="s">
        <v>152</v>
      </c>
      <c r="BB3831" s="84" t="str">
        <f>IFERROR(__xludf.DUMMYFUNCTION("iferror(if(A3831="""",,E3831&gt;=FILTER(Constants!$F$2:$F$10,Constants!$A$2:$A$10=A3831)))"),"")</f>
        <v/>
      </c>
    </row>
    <row r="3832">
      <c r="A3832" s="89"/>
      <c r="B3832" s="87"/>
      <c r="C3832" s="73"/>
      <c r="D3832" s="73"/>
      <c r="E3832" s="82"/>
      <c r="F3832" s="82"/>
      <c r="G3832" s="86"/>
      <c r="H3832" s="86"/>
      <c r="I3832" s="86"/>
      <c r="J3832" s="82"/>
      <c r="K3832" s="82"/>
      <c r="L3832" s="82"/>
      <c r="M3832" s="82"/>
      <c r="N3832" s="82"/>
      <c r="O3832" s="82"/>
      <c r="P3832" s="82"/>
      <c r="Q3832" s="82"/>
      <c r="R3832" s="82"/>
      <c r="S3832" s="82"/>
      <c r="T3832" s="82"/>
      <c r="U3832" s="82"/>
      <c r="V3832" s="82"/>
      <c r="W3832" s="82"/>
      <c r="X3832" s="82"/>
      <c r="Y3832" s="82"/>
      <c r="Z3832" s="82"/>
      <c r="AA3832" s="82"/>
      <c r="AB3832" s="82"/>
      <c r="AC3832" s="82"/>
      <c r="AD3832" s="82"/>
      <c r="AE3832" s="82"/>
      <c r="AF3832" s="82"/>
      <c r="AG3832" s="82"/>
      <c r="AH3832" s="82"/>
      <c r="AI3832" s="82"/>
      <c r="AJ3832" s="82"/>
      <c r="AK3832" s="82"/>
      <c r="AL3832" s="82"/>
      <c r="AM3832" s="82"/>
      <c r="AN3832" s="82"/>
      <c r="AO3832" s="82"/>
      <c r="AP3832" s="82"/>
      <c r="AQ3832" s="82"/>
      <c r="AR3832" s="82"/>
      <c r="AS3832" s="82"/>
      <c r="AT3832" s="82"/>
      <c r="AU3832" s="82"/>
      <c r="AV3832" s="82"/>
      <c r="AW3832" s="82" t="str">
        <f t="shared" si="1"/>
        <v/>
      </c>
      <c r="AX3832" s="83" t="str">
        <f t="array" ref="AX3832">IFERROR(DGET('SBV Import'!A:G,"SBV",{"RSC ID","Tier";B3832,A3832}))</f>
        <v/>
      </c>
      <c r="AY3832" s="82" t="str">
        <f t="shared" si="2"/>
        <v/>
      </c>
      <c r="AZ3832" s="82"/>
      <c r="BA3832" s="84" t="s">
        <v>152</v>
      </c>
      <c r="BB3832" s="84" t="str">
        <f>IFERROR(__xludf.DUMMYFUNCTION("iferror(if(A3832="""",,E3832&gt;=FILTER(Constants!$F$2:$F$10,Constants!$A$2:$A$10=A3832)))"),"")</f>
        <v/>
      </c>
    </row>
    <row r="3833">
      <c r="A3833" s="89"/>
      <c r="B3833" s="87"/>
      <c r="C3833" s="73"/>
      <c r="D3833" s="73"/>
      <c r="E3833" s="82"/>
      <c r="F3833" s="82"/>
      <c r="G3833" s="86"/>
      <c r="H3833" s="86"/>
      <c r="I3833" s="86"/>
      <c r="J3833" s="82"/>
      <c r="K3833" s="82"/>
      <c r="L3833" s="82"/>
      <c r="M3833" s="82"/>
      <c r="N3833" s="82"/>
      <c r="O3833" s="82"/>
      <c r="P3833" s="82"/>
      <c r="Q3833" s="82"/>
      <c r="R3833" s="82"/>
      <c r="S3833" s="82"/>
      <c r="T3833" s="82"/>
      <c r="U3833" s="82"/>
      <c r="V3833" s="82"/>
      <c r="W3833" s="82"/>
      <c r="X3833" s="82"/>
      <c r="Y3833" s="82"/>
      <c r="Z3833" s="82"/>
      <c r="AA3833" s="82"/>
      <c r="AB3833" s="82"/>
      <c r="AC3833" s="82"/>
      <c r="AD3833" s="82"/>
      <c r="AE3833" s="82"/>
      <c r="AF3833" s="82"/>
      <c r="AG3833" s="82"/>
      <c r="AH3833" s="82"/>
      <c r="AI3833" s="82"/>
      <c r="AJ3833" s="82"/>
      <c r="AK3833" s="82"/>
      <c r="AL3833" s="82"/>
      <c r="AM3833" s="82"/>
      <c r="AN3833" s="82"/>
      <c r="AO3833" s="82"/>
      <c r="AP3833" s="82"/>
      <c r="AQ3833" s="82"/>
      <c r="AR3833" s="82"/>
      <c r="AS3833" s="82"/>
      <c r="AT3833" s="82"/>
      <c r="AU3833" s="82"/>
      <c r="AV3833" s="82"/>
      <c r="AW3833" s="82" t="str">
        <f t="shared" si="1"/>
        <v/>
      </c>
      <c r="AX3833" s="83" t="str">
        <f t="array" ref="AX3833">IFERROR(DGET('SBV Import'!A:G,"SBV",{"RSC ID","Tier";B3833,A3833}))</f>
        <v/>
      </c>
      <c r="AY3833" s="82" t="str">
        <f t="shared" si="2"/>
        <v/>
      </c>
      <c r="AZ3833" s="82"/>
      <c r="BA3833" s="84" t="s">
        <v>152</v>
      </c>
      <c r="BB3833" s="84" t="str">
        <f>IFERROR(__xludf.DUMMYFUNCTION("iferror(if(A3833="""",,E3833&gt;=FILTER(Constants!$F$2:$F$10,Constants!$A$2:$A$10=A3833)))"),"")</f>
        <v/>
      </c>
    </row>
    <row r="3834">
      <c r="A3834" s="89"/>
      <c r="B3834" s="87"/>
      <c r="C3834" s="73"/>
      <c r="D3834" s="73"/>
      <c r="E3834" s="82"/>
      <c r="F3834" s="82"/>
      <c r="G3834" s="86"/>
      <c r="H3834" s="86"/>
      <c r="I3834" s="86"/>
      <c r="J3834" s="82"/>
      <c r="K3834" s="82"/>
      <c r="L3834" s="82"/>
      <c r="M3834" s="82"/>
      <c r="N3834" s="82"/>
      <c r="O3834" s="82"/>
      <c r="P3834" s="82"/>
      <c r="Q3834" s="82"/>
      <c r="R3834" s="82"/>
      <c r="S3834" s="82"/>
      <c r="T3834" s="82"/>
      <c r="U3834" s="82"/>
      <c r="V3834" s="82"/>
      <c r="W3834" s="82"/>
      <c r="X3834" s="82"/>
      <c r="Y3834" s="82"/>
      <c r="Z3834" s="82"/>
      <c r="AA3834" s="82"/>
      <c r="AB3834" s="82"/>
      <c r="AC3834" s="82"/>
      <c r="AD3834" s="82"/>
      <c r="AE3834" s="82"/>
      <c r="AF3834" s="82"/>
      <c r="AG3834" s="82"/>
      <c r="AH3834" s="82"/>
      <c r="AI3834" s="82"/>
      <c r="AJ3834" s="82"/>
      <c r="AK3834" s="82"/>
      <c r="AL3834" s="82"/>
      <c r="AM3834" s="82"/>
      <c r="AN3834" s="82"/>
      <c r="AO3834" s="82"/>
      <c r="AP3834" s="82"/>
      <c r="AQ3834" s="82"/>
      <c r="AR3834" s="82"/>
      <c r="AS3834" s="82"/>
      <c r="AT3834" s="82"/>
      <c r="AU3834" s="82"/>
      <c r="AV3834" s="82"/>
      <c r="AW3834" s="82" t="str">
        <f t="shared" si="1"/>
        <v/>
      </c>
      <c r="AX3834" s="83" t="str">
        <f t="array" ref="AX3834">IFERROR(DGET('SBV Import'!A:G,"SBV",{"RSC ID","Tier";B3834,A3834}))</f>
        <v/>
      </c>
      <c r="AY3834" s="82" t="str">
        <f t="shared" si="2"/>
        <v/>
      </c>
      <c r="AZ3834" s="82"/>
      <c r="BA3834" s="84" t="s">
        <v>152</v>
      </c>
      <c r="BB3834" s="84" t="str">
        <f>IFERROR(__xludf.DUMMYFUNCTION("iferror(if(A3834="""",,E3834&gt;=FILTER(Constants!$F$2:$F$10,Constants!$A$2:$A$10=A3834)))"),"")</f>
        <v/>
      </c>
    </row>
    <row r="3835">
      <c r="A3835" s="89"/>
      <c r="B3835" s="87"/>
      <c r="C3835" s="73"/>
      <c r="D3835" s="73"/>
      <c r="E3835" s="82"/>
      <c r="F3835" s="82"/>
      <c r="G3835" s="86"/>
      <c r="H3835" s="86"/>
      <c r="I3835" s="86"/>
      <c r="J3835" s="82"/>
      <c r="K3835" s="82"/>
      <c r="L3835" s="82"/>
      <c r="M3835" s="82"/>
      <c r="N3835" s="82"/>
      <c r="O3835" s="82"/>
      <c r="P3835" s="82"/>
      <c r="Q3835" s="82"/>
      <c r="R3835" s="82"/>
      <c r="S3835" s="82"/>
      <c r="T3835" s="82"/>
      <c r="U3835" s="82"/>
      <c r="V3835" s="82"/>
      <c r="W3835" s="82"/>
      <c r="X3835" s="82"/>
      <c r="Y3835" s="82"/>
      <c r="Z3835" s="82"/>
      <c r="AA3835" s="82"/>
      <c r="AB3835" s="82"/>
      <c r="AC3835" s="82"/>
      <c r="AD3835" s="82"/>
      <c r="AE3835" s="82"/>
      <c r="AF3835" s="82"/>
      <c r="AG3835" s="82"/>
      <c r="AH3835" s="82"/>
      <c r="AI3835" s="82"/>
      <c r="AJ3835" s="82"/>
      <c r="AK3835" s="82"/>
      <c r="AL3835" s="82"/>
      <c r="AM3835" s="82"/>
      <c r="AN3835" s="82"/>
      <c r="AO3835" s="82"/>
      <c r="AP3835" s="82"/>
      <c r="AQ3835" s="82"/>
      <c r="AR3835" s="82"/>
      <c r="AS3835" s="82"/>
      <c r="AT3835" s="82"/>
      <c r="AU3835" s="82"/>
      <c r="AV3835" s="82"/>
      <c r="AW3835" s="82" t="str">
        <f t="shared" si="1"/>
        <v/>
      </c>
      <c r="AX3835" s="83" t="str">
        <f t="array" ref="AX3835">IFERROR(DGET('SBV Import'!A:G,"SBV",{"RSC ID","Tier";B3835,A3835}))</f>
        <v/>
      </c>
      <c r="AY3835" s="82" t="str">
        <f t="shared" si="2"/>
        <v/>
      </c>
      <c r="AZ3835" s="82"/>
      <c r="BA3835" s="84" t="s">
        <v>152</v>
      </c>
      <c r="BB3835" s="84" t="str">
        <f>IFERROR(__xludf.DUMMYFUNCTION("iferror(if(A3835="""",,E3835&gt;=FILTER(Constants!$F$2:$F$10,Constants!$A$2:$A$10=A3835)))"),"")</f>
        <v/>
      </c>
    </row>
    <row r="3836">
      <c r="A3836" s="89"/>
      <c r="B3836" s="87"/>
      <c r="C3836" s="73"/>
      <c r="D3836" s="73"/>
      <c r="E3836" s="82"/>
      <c r="F3836" s="82"/>
      <c r="G3836" s="86"/>
      <c r="H3836" s="86"/>
      <c r="I3836" s="86"/>
      <c r="J3836" s="82"/>
      <c r="K3836" s="82"/>
      <c r="L3836" s="82"/>
      <c r="M3836" s="82"/>
      <c r="N3836" s="82"/>
      <c r="O3836" s="82"/>
      <c r="P3836" s="82"/>
      <c r="Q3836" s="82"/>
      <c r="R3836" s="82"/>
      <c r="S3836" s="82"/>
      <c r="T3836" s="82"/>
      <c r="U3836" s="82"/>
      <c r="V3836" s="82"/>
      <c r="W3836" s="82"/>
      <c r="X3836" s="82"/>
      <c r="Y3836" s="82"/>
      <c r="Z3836" s="82"/>
      <c r="AA3836" s="82"/>
      <c r="AB3836" s="82"/>
      <c r="AC3836" s="82"/>
      <c r="AD3836" s="82"/>
      <c r="AE3836" s="82"/>
      <c r="AF3836" s="82"/>
      <c r="AG3836" s="82"/>
      <c r="AH3836" s="82"/>
      <c r="AI3836" s="82"/>
      <c r="AJ3836" s="82"/>
      <c r="AK3836" s="82"/>
      <c r="AL3836" s="82"/>
      <c r="AM3836" s="82"/>
      <c r="AN3836" s="82"/>
      <c r="AO3836" s="82"/>
      <c r="AP3836" s="82"/>
      <c r="AQ3836" s="82"/>
      <c r="AR3836" s="82"/>
      <c r="AS3836" s="82"/>
      <c r="AT3836" s="82"/>
      <c r="AU3836" s="82"/>
      <c r="AV3836" s="82"/>
      <c r="AW3836" s="82" t="str">
        <f t="shared" si="1"/>
        <v/>
      </c>
      <c r="AX3836" s="83" t="str">
        <f t="array" ref="AX3836">IFERROR(DGET('SBV Import'!A:G,"SBV",{"RSC ID","Tier";B3836,A3836}))</f>
        <v/>
      </c>
      <c r="AY3836" s="82" t="str">
        <f t="shared" si="2"/>
        <v/>
      </c>
      <c r="AZ3836" s="82"/>
      <c r="BA3836" s="84" t="s">
        <v>152</v>
      </c>
      <c r="BB3836" s="84" t="str">
        <f>IFERROR(__xludf.DUMMYFUNCTION("iferror(if(A3836="""",,E3836&gt;=FILTER(Constants!$F$2:$F$10,Constants!$A$2:$A$10=A3836)))"),"")</f>
        <v/>
      </c>
    </row>
    <row r="3837">
      <c r="A3837" s="89"/>
      <c r="B3837" s="87"/>
      <c r="C3837" s="73"/>
      <c r="D3837" s="73"/>
      <c r="E3837" s="82"/>
      <c r="F3837" s="82"/>
      <c r="G3837" s="86"/>
      <c r="H3837" s="86"/>
      <c r="I3837" s="86"/>
      <c r="J3837" s="82"/>
      <c r="K3837" s="82"/>
      <c r="L3837" s="82"/>
      <c r="M3837" s="82"/>
      <c r="N3837" s="82"/>
      <c r="O3837" s="82"/>
      <c r="P3837" s="82"/>
      <c r="Q3837" s="82"/>
      <c r="R3837" s="82"/>
      <c r="S3837" s="82"/>
      <c r="T3837" s="82"/>
      <c r="U3837" s="82"/>
      <c r="V3837" s="82"/>
      <c r="W3837" s="82"/>
      <c r="X3837" s="82"/>
      <c r="Y3837" s="82"/>
      <c r="Z3837" s="82"/>
      <c r="AA3837" s="82"/>
      <c r="AB3837" s="82"/>
      <c r="AC3837" s="82"/>
      <c r="AD3837" s="82"/>
      <c r="AE3837" s="82"/>
      <c r="AF3837" s="82"/>
      <c r="AG3837" s="82"/>
      <c r="AH3837" s="82"/>
      <c r="AI3837" s="82"/>
      <c r="AJ3837" s="82"/>
      <c r="AK3837" s="82"/>
      <c r="AL3837" s="82"/>
      <c r="AM3837" s="82"/>
      <c r="AN3837" s="82"/>
      <c r="AO3837" s="82"/>
      <c r="AP3837" s="82"/>
      <c r="AQ3837" s="82"/>
      <c r="AR3837" s="82"/>
      <c r="AS3837" s="82"/>
      <c r="AT3837" s="82"/>
      <c r="AU3837" s="82"/>
      <c r="AV3837" s="82"/>
      <c r="AW3837" s="82" t="str">
        <f t="shared" si="1"/>
        <v/>
      </c>
      <c r="AX3837" s="83" t="str">
        <f t="array" ref="AX3837">IFERROR(DGET('SBV Import'!A:G,"SBV",{"RSC ID","Tier";B3837,A3837}))</f>
        <v/>
      </c>
      <c r="AY3837" s="82" t="str">
        <f t="shared" si="2"/>
        <v/>
      </c>
      <c r="AZ3837" s="82"/>
      <c r="BA3837" s="84" t="s">
        <v>152</v>
      </c>
      <c r="BB3837" s="84" t="str">
        <f>IFERROR(__xludf.DUMMYFUNCTION("iferror(if(A3837="""",,E3837&gt;=FILTER(Constants!$F$2:$F$10,Constants!$A$2:$A$10=A3837)))"),"")</f>
        <v/>
      </c>
    </row>
    <row r="3838">
      <c r="A3838" s="89"/>
      <c r="B3838" s="87"/>
      <c r="C3838" s="73"/>
      <c r="D3838" s="73"/>
      <c r="E3838" s="82"/>
      <c r="F3838" s="82"/>
      <c r="G3838" s="86"/>
      <c r="H3838" s="86"/>
      <c r="I3838" s="86"/>
      <c r="J3838" s="82"/>
      <c r="K3838" s="82"/>
      <c r="L3838" s="82"/>
      <c r="M3838" s="82"/>
      <c r="N3838" s="82"/>
      <c r="O3838" s="82"/>
      <c r="P3838" s="82"/>
      <c r="Q3838" s="82"/>
      <c r="R3838" s="82"/>
      <c r="S3838" s="82"/>
      <c r="T3838" s="82"/>
      <c r="U3838" s="82"/>
      <c r="V3838" s="82"/>
      <c r="W3838" s="82"/>
      <c r="X3838" s="82"/>
      <c r="Y3838" s="82"/>
      <c r="Z3838" s="82"/>
      <c r="AA3838" s="82"/>
      <c r="AB3838" s="82"/>
      <c r="AC3838" s="82"/>
      <c r="AD3838" s="82"/>
      <c r="AE3838" s="82"/>
      <c r="AF3838" s="82"/>
      <c r="AG3838" s="82"/>
      <c r="AH3838" s="82"/>
      <c r="AI3838" s="82"/>
      <c r="AJ3838" s="82"/>
      <c r="AK3838" s="82"/>
      <c r="AL3838" s="82"/>
      <c r="AM3838" s="82"/>
      <c r="AN3838" s="82"/>
      <c r="AO3838" s="82"/>
      <c r="AP3838" s="82"/>
      <c r="AQ3838" s="82"/>
      <c r="AR3838" s="82"/>
      <c r="AS3838" s="82"/>
      <c r="AT3838" s="82"/>
      <c r="AU3838" s="82"/>
      <c r="AV3838" s="82"/>
      <c r="AW3838" s="82" t="str">
        <f t="shared" si="1"/>
        <v/>
      </c>
      <c r="AX3838" s="83" t="str">
        <f t="array" ref="AX3838">IFERROR(DGET('SBV Import'!A:G,"SBV",{"RSC ID","Tier";B3838,A3838}))</f>
        <v/>
      </c>
      <c r="AY3838" s="82" t="str">
        <f t="shared" si="2"/>
        <v/>
      </c>
      <c r="AZ3838" s="82"/>
      <c r="BA3838" s="84" t="s">
        <v>152</v>
      </c>
      <c r="BB3838" s="84" t="str">
        <f>IFERROR(__xludf.DUMMYFUNCTION("iferror(if(A3838="""",,E3838&gt;=FILTER(Constants!$F$2:$F$10,Constants!$A$2:$A$10=A3838)))"),"")</f>
        <v/>
      </c>
    </row>
    <row r="3839">
      <c r="A3839" s="89"/>
      <c r="B3839" s="87"/>
      <c r="C3839" s="73"/>
      <c r="D3839" s="73"/>
      <c r="E3839" s="82"/>
      <c r="F3839" s="82"/>
      <c r="G3839" s="86"/>
      <c r="H3839" s="86"/>
      <c r="I3839" s="86"/>
      <c r="J3839" s="82"/>
      <c r="K3839" s="82"/>
      <c r="L3839" s="82"/>
      <c r="M3839" s="82"/>
      <c r="N3839" s="82"/>
      <c r="O3839" s="82"/>
      <c r="P3839" s="82"/>
      <c r="Q3839" s="82"/>
      <c r="R3839" s="82"/>
      <c r="S3839" s="82"/>
      <c r="T3839" s="82"/>
      <c r="U3839" s="82"/>
      <c r="V3839" s="82"/>
      <c r="W3839" s="82"/>
      <c r="X3839" s="82"/>
      <c r="Y3839" s="82"/>
      <c r="Z3839" s="82"/>
      <c r="AA3839" s="82"/>
      <c r="AB3839" s="82"/>
      <c r="AC3839" s="82"/>
      <c r="AD3839" s="82"/>
      <c r="AE3839" s="82"/>
      <c r="AF3839" s="82"/>
      <c r="AG3839" s="82"/>
      <c r="AH3839" s="82"/>
      <c r="AI3839" s="82"/>
      <c r="AJ3839" s="82"/>
      <c r="AK3839" s="82"/>
      <c r="AL3839" s="82"/>
      <c r="AM3839" s="82"/>
      <c r="AN3839" s="82"/>
      <c r="AO3839" s="82"/>
      <c r="AP3839" s="82"/>
      <c r="AQ3839" s="82"/>
      <c r="AR3839" s="82"/>
      <c r="AS3839" s="82"/>
      <c r="AT3839" s="82"/>
      <c r="AU3839" s="82"/>
      <c r="AV3839" s="82"/>
      <c r="AW3839" s="82" t="str">
        <f t="shared" si="1"/>
        <v/>
      </c>
      <c r="AX3839" s="83" t="str">
        <f t="array" ref="AX3839">IFERROR(DGET('SBV Import'!A:G,"SBV",{"RSC ID","Tier";B3839,A3839}))</f>
        <v/>
      </c>
      <c r="AY3839" s="82" t="str">
        <f t="shared" si="2"/>
        <v/>
      </c>
      <c r="AZ3839" s="82"/>
      <c r="BA3839" s="84" t="s">
        <v>152</v>
      </c>
      <c r="BB3839" s="84" t="str">
        <f>IFERROR(__xludf.DUMMYFUNCTION("iferror(if(A3839="""",,E3839&gt;=FILTER(Constants!$F$2:$F$10,Constants!$A$2:$A$10=A3839)))"),"")</f>
        <v/>
      </c>
    </row>
    <row r="3840">
      <c r="A3840" s="89"/>
      <c r="B3840" s="87"/>
      <c r="C3840" s="73"/>
      <c r="D3840" s="73"/>
      <c r="E3840" s="82"/>
      <c r="F3840" s="82"/>
      <c r="G3840" s="86"/>
      <c r="H3840" s="86"/>
      <c r="I3840" s="86"/>
      <c r="J3840" s="82"/>
      <c r="K3840" s="82"/>
      <c r="L3840" s="82"/>
      <c r="M3840" s="82"/>
      <c r="N3840" s="82"/>
      <c r="O3840" s="82"/>
      <c r="P3840" s="82"/>
      <c r="Q3840" s="82"/>
      <c r="R3840" s="82"/>
      <c r="S3840" s="82"/>
      <c r="T3840" s="82"/>
      <c r="U3840" s="82"/>
      <c r="V3840" s="82"/>
      <c r="W3840" s="82"/>
      <c r="X3840" s="82"/>
      <c r="Y3840" s="82"/>
      <c r="Z3840" s="82"/>
      <c r="AA3840" s="82"/>
      <c r="AB3840" s="82"/>
      <c r="AC3840" s="82"/>
      <c r="AD3840" s="82"/>
      <c r="AE3840" s="82"/>
      <c r="AF3840" s="82"/>
      <c r="AG3840" s="82"/>
      <c r="AH3840" s="82"/>
      <c r="AI3840" s="82"/>
      <c r="AJ3840" s="82"/>
      <c r="AK3840" s="82"/>
      <c r="AL3840" s="82"/>
      <c r="AM3840" s="82"/>
      <c r="AN3840" s="82"/>
      <c r="AO3840" s="82"/>
      <c r="AP3840" s="82"/>
      <c r="AQ3840" s="82"/>
      <c r="AR3840" s="82"/>
      <c r="AS3840" s="82"/>
      <c r="AT3840" s="82"/>
      <c r="AU3840" s="82"/>
      <c r="AV3840" s="82"/>
      <c r="AW3840" s="82" t="str">
        <f t="shared" si="1"/>
        <v/>
      </c>
      <c r="AX3840" s="83" t="str">
        <f t="array" ref="AX3840">IFERROR(DGET('SBV Import'!A:G,"SBV",{"RSC ID","Tier";B3840,A3840}))</f>
        <v/>
      </c>
      <c r="AY3840" s="82" t="str">
        <f t="shared" si="2"/>
        <v/>
      </c>
      <c r="AZ3840" s="82"/>
      <c r="BA3840" s="84" t="s">
        <v>152</v>
      </c>
      <c r="BB3840" s="84" t="str">
        <f>IFERROR(__xludf.DUMMYFUNCTION("iferror(if(A3840="""",,E3840&gt;=FILTER(Constants!$F$2:$F$10,Constants!$A$2:$A$10=A3840)))"),"")</f>
        <v/>
      </c>
    </row>
    <row r="3841">
      <c r="A3841" s="89"/>
      <c r="B3841" s="87"/>
      <c r="C3841" s="73"/>
      <c r="D3841" s="73"/>
      <c r="E3841" s="82"/>
      <c r="F3841" s="82"/>
      <c r="G3841" s="86"/>
      <c r="H3841" s="86"/>
      <c r="I3841" s="86"/>
      <c r="J3841" s="82"/>
      <c r="K3841" s="82"/>
      <c r="L3841" s="82"/>
      <c r="M3841" s="82"/>
      <c r="N3841" s="82"/>
      <c r="O3841" s="82"/>
      <c r="P3841" s="82"/>
      <c r="Q3841" s="82"/>
      <c r="R3841" s="82"/>
      <c r="S3841" s="82"/>
      <c r="T3841" s="82"/>
      <c r="U3841" s="82"/>
      <c r="V3841" s="82"/>
      <c r="W3841" s="82"/>
      <c r="X3841" s="82"/>
      <c r="Y3841" s="82"/>
      <c r="Z3841" s="82"/>
      <c r="AA3841" s="82"/>
      <c r="AB3841" s="82"/>
      <c r="AC3841" s="82"/>
      <c r="AD3841" s="82"/>
      <c r="AE3841" s="82"/>
      <c r="AF3841" s="82"/>
      <c r="AG3841" s="82"/>
      <c r="AH3841" s="82"/>
      <c r="AI3841" s="82"/>
      <c r="AJ3841" s="82"/>
      <c r="AK3841" s="82"/>
      <c r="AL3841" s="82"/>
      <c r="AM3841" s="82"/>
      <c r="AN3841" s="82"/>
      <c r="AO3841" s="82"/>
      <c r="AP3841" s="82"/>
      <c r="AQ3841" s="82"/>
      <c r="AR3841" s="82"/>
      <c r="AS3841" s="82"/>
      <c r="AT3841" s="82"/>
      <c r="AU3841" s="82"/>
      <c r="AV3841" s="82"/>
      <c r="AW3841" s="82" t="str">
        <f t="shared" si="1"/>
        <v/>
      </c>
      <c r="AX3841" s="83" t="str">
        <f t="array" ref="AX3841">IFERROR(DGET('SBV Import'!A:G,"SBV",{"RSC ID","Tier";B3841,A3841}))</f>
        <v/>
      </c>
      <c r="AY3841" s="82" t="str">
        <f t="shared" si="2"/>
        <v/>
      </c>
      <c r="AZ3841" s="82"/>
      <c r="BA3841" s="84" t="s">
        <v>152</v>
      </c>
      <c r="BB3841" s="84" t="str">
        <f>IFERROR(__xludf.DUMMYFUNCTION("iferror(if(A3841="""",,E3841&gt;=FILTER(Constants!$F$2:$F$10,Constants!$A$2:$A$10=A3841)))"),"")</f>
        <v/>
      </c>
    </row>
    <row r="3842">
      <c r="A3842" s="89"/>
      <c r="B3842" s="87"/>
      <c r="C3842" s="73"/>
      <c r="D3842" s="73"/>
      <c r="E3842" s="82"/>
      <c r="F3842" s="82"/>
      <c r="G3842" s="86"/>
      <c r="H3842" s="86"/>
      <c r="I3842" s="86"/>
      <c r="J3842" s="82"/>
      <c r="K3842" s="82"/>
      <c r="L3842" s="82"/>
      <c r="M3842" s="82"/>
      <c r="N3842" s="82"/>
      <c r="O3842" s="82"/>
      <c r="P3842" s="82"/>
      <c r="Q3842" s="82"/>
      <c r="R3842" s="82"/>
      <c r="S3842" s="82"/>
      <c r="T3842" s="82"/>
      <c r="U3842" s="82"/>
      <c r="V3842" s="82"/>
      <c r="W3842" s="82"/>
      <c r="X3842" s="82"/>
      <c r="Y3842" s="82"/>
      <c r="Z3842" s="82"/>
      <c r="AA3842" s="82"/>
      <c r="AB3842" s="82"/>
      <c r="AC3842" s="82"/>
      <c r="AD3842" s="82"/>
      <c r="AE3842" s="82"/>
      <c r="AF3842" s="82"/>
      <c r="AG3842" s="82"/>
      <c r="AH3842" s="82"/>
      <c r="AI3842" s="82"/>
      <c r="AJ3842" s="82"/>
      <c r="AK3842" s="82"/>
      <c r="AL3842" s="82"/>
      <c r="AM3842" s="82"/>
      <c r="AN3842" s="82"/>
      <c r="AO3842" s="82"/>
      <c r="AP3842" s="82"/>
      <c r="AQ3842" s="82"/>
      <c r="AR3842" s="82"/>
      <c r="AS3842" s="82"/>
      <c r="AT3842" s="82"/>
      <c r="AU3842" s="82"/>
      <c r="AV3842" s="82"/>
      <c r="AW3842" s="82" t="str">
        <f t="shared" si="1"/>
        <v/>
      </c>
      <c r="AX3842" s="83" t="str">
        <f t="array" ref="AX3842">IFERROR(DGET('SBV Import'!A:G,"SBV",{"RSC ID","Tier";B3842,A3842}))</f>
        <v/>
      </c>
      <c r="AY3842" s="82" t="str">
        <f t="shared" si="2"/>
        <v/>
      </c>
      <c r="AZ3842" s="82"/>
      <c r="BA3842" s="84" t="s">
        <v>152</v>
      </c>
      <c r="BB3842" s="84" t="str">
        <f>IFERROR(__xludf.DUMMYFUNCTION("iferror(if(A3842="""",,E3842&gt;=FILTER(Constants!$F$2:$F$10,Constants!$A$2:$A$10=A3842)))"),"")</f>
        <v/>
      </c>
    </row>
    <row r="3843">
      <c r="A3843" s="89"/>
      <c r="B3843" s="87"/>
      <c r="C3843" s="73"/>
      <c r="D3843" s="73"/>
      <c r="E3843" s="82"/>
      <c r="F3843" s="82"/>
      <c r="G3843" s="86"/>
      <c r="H3843" s="86"/>
      <c r="I3843" s="86"/>
      <c r="J3843" s="82"/>
      <c r="K3843" s="82"/>
      <c r="L3843" s="82"/>
      <c r="M3843" s="82"/>
      <c r="N3843" s="82"/>
      <c r="O3843" s="82"/>
      <c r="P3843" s="82"/>
      <c r="Q3843" s="82"/>
      <c r="R3843" s="82"/>
      <c r="S3843" s="82"/>
      <c r="T3843" s="82"/>
      <c r="U3843" s="82"/>
      <c r="V3843" s="82"/>
      <c r="W3843" s="82"/>
      <c r="X3843" s="82"/>
      <c r="Y3843" s="82"/>
      <c r="Z3843" s="82"/>
      <c r="AA3843" s="82"/>
      <c r="AB3843" s="82"/>
      <c r="AC3843" s="82"/>
      <c r="AD3843" s="82"/>
      <c r="AE3843" s="82"/>
      <c r="AF3843" s="82"/>
      <c r="AG3843" s="82"/>
      <c r="AH3843" s="82"/>
      <c r="AI3843" s="82"/>
      <c r="AJ3843" s="82"/>
      <c r="AK3843" s="82"/>
      <c r="AL3843" s="82"/>
      <c r="AM3843" s="82"/>
      <c r="AN3843" s="82"/>
      <c r="AO3843" s="82"/>
      <c r="AP3843" s="82"/>
      <c r="AQ3843" s="82"/>
      <c r="AR3843" s="82"/>
      <c r="AS3843" s="82"/>
      <c r="AT3843" s="82"/>
      <c r="AU3843" s="82"/>
      <c r="AV3843" s="82"/>
      <c r="AW3843" s="82" t="str">
        <f t="shared" si="1"/>
        <v/>
      </c>
      <c r="AX3843" s="83" t="str">
        <f t="array" ref="AX3843">IFERROR(DGET('SBV Import'!A:G,"SBV",{"RSC ID","Tier";B3843,A3843}))</f>
        <v/>
      </c>
      <c r="AY3843" s="82" t="str">
        <f t="shared" si="2"/>
        <v/>
      </c>
      <c r="AZ3843" s="82"/>
      <c r="BA3843" s="84" t="s">
        <v>152</v>
      </c>
      <c r="BB3843" s="84" t="str">
        <f>IFERROR(__xludf.DUMMYFUNCTION("iferror(if(A3843="""",,E3843&gt;=FILTER(Constants!$F$2:$F$10,Constants!$A$2:$A$10=A3843)))"),"")</f>
        <v/>
      </c>
    </row>
    <row r="3844">
      <c r="A3844" s="89"/>
      <c r="B3844" s="87"/>
      <c r="C3844" s="73"/>
      <c r="D3844" s="73"/>
      <c r="E3844" s="82"/>
      <c r="F3844" s="82"/>
      <c r="G3844" s="86"/>
      <c r="H3844" s="86"/>
      <c r="I3844" s="86"/>
      <c r="J3844" s="82"/>
      <c r="K3844" s="82"/>
      <c r="L3844" s="82"/>
      <c r="M3844" s="82"/>
      <c r="N3844" s="82"/>
      <c r="O3844" s="82"/>
      <c r="P3844" s="82"/>
      <c r="Q3844" s="82"/>
      <c r="R3844" s="82"/>
      <c r="S3844" s="82"/>
      <c r="T3844" s="82"/>
      <c r="U3844" s="82"/>
      <c r="V3844" s="82"/>
      <c r="W3844" s="82"/>
      <c r="X3844" s="82"/>
      <c r="Y3844" s="82"/>
      <c r="Z3844" s="82"/>
      <c r="AA3844" s="82"/>
      <c r="AB3844" s="82"/>
      <c r="AC3844" s="82"/>
      <c r="AD3844" s="82"/>
      <c r="AE3844" s="82"/>
      <c r="AF3844" s="82"/>
      <c r="AG3844" s="82"/>
      <c r="AH3844" s="82"/>
      <c r="AI3844" s="82"/>
      <c r="AJ3844" s="82"/>
      <c r="AK3844" s="82"/>
      <c r="AL3844" s="82"/>
      <c r="AM3844" s="82"/>
      <c r="AN3844" s="82"/>
      <c r="AO3844" s="82"/>
      <c r="AP3844" s="82"/>
      <c r="AQ3844" s="82"/>
      <c r="AR3844" s="82"/>
      <c r="AS3844" s="82"/>
      <c r="AT3844" s="82"/>
      <c r="AU3844" s="82"/>
      <c r="AV3844" s="82"/>
      <c r="AW3844" s="82" t="str">
        <f t="shared" si="1"/>
        <v/>
      </c>
      <c r="AX3844" s="83" t="str">
        <f t="array" ref="AX3844">IFERROR(DGET('SBV Import'!A:G,"SBV",{"RSC ID","Tier";B3844,A3844}))</f>
        <v/>
      </c>
      <c r="AY3844" s="82" t="str">
        <f t="shared" si="2"/>
        <v/>
      </c>
      <c r="AZ3844" s="82"/>
      <c r="BA3844" s="84" t="s">
        <v>152</v>
      </c>
      <c r="BB3844" s="84" t="str">
        <f>IFERROR(__xludf.DUMMYFUNCTION("iferror(if(A3844="""",,E3844&gt;=FILTER(Constants!$F$2:$F$10,Constants!$A$2:$A$10=A3844)))"),"")</f>
        <v/>
      </c>
    </row>
    <row r="3845">
      <c r="A3845" s="89"/>
      <c r="B3845" s="87"/>
      <c r="C3845" s="73"/>
      <c r="D3845" s="73"/>
      <c r="E3845" s="82"/>
      <c r="F3845" s="82"/>
      <c r="G3845" s="86"/>
      <c r="H3845" s="86"/>
      <c r="I3845" s="86"/>
      <c r="J3845" s="82"/>
      <c r="K3845" s="82"/>
      <c r="L3845" s="82"/>
      <c r="M3845" s="82"/>
      <c r="N3845" s="82"/>
      <c r="O3845" s="82"/>
      <c r="P3845" s="82"/>
      <c r="Q3845" s="82"/>
      <c r="R3845" s="82"/>
      <c r="S3845" s="82"/>
      <c r="T3845" s="82"/>
      <c r="U3845" s="82"/>
      <c r="V3845" s="82"/>
      <c r="W3845" s="82"/>
      <c r="X3845" s="82"/>
      <c r="Y3845" s="82"/>
      <c r="Z3845" s="82"/>
      <c r="AA3845" s="82"/>
      <c r="AB3845" s="82"/>
      <c r="AC3845" s="82"/>
      <c r="AD3845" s="82"/>
      <c r="AE3845" s="82"/>
      <c r="AF3845" s="82"/>
      <c r="AG3845" s="82"/>
      <c r="AH3845" s="82"/>
      <c r="AI3845" s="82"/>
      <c r="AJ3845" s="82"/>
      <c r="AK3845" s="82"/>
      <c r="AL3845" s="82"/>
      <c r="AM3845" s="82"/>
      <c r="AN3845" s="82"/>
      <c r="AO3845" s="82"/>
      <c r="AP3845" s="82"/>
      <c r="AQ3845" s="82"/>
      <c r="AR3845" s="82"/>
      <c r="AS3845" s="82"/>
      <c r="AT3845" s="82"/>
      <c r="AU3845" s="82"/>
      <c r="AV3845" s="82"/>
      <c r="AW3845" s="82" t="str">
        <f t="shared" si="1"/>
        <v/>
      </c>
      <c r="AX3845" s="83" t="str">
        <f t="array" ref="AX3845">IFERROR(DGET('SBV Import'!A:G,"SBV",{"RSC ID","Tier";B3845,A3845}))</f>
        <v/>
      </c>
      <c r="AY3845" s="82" t="str">
        <f t="shared" si="2"/>
        <v/>
      </c>
      <c r="AZ3845" s="82"/>
      <c r="BA3845" s="84" t="s">
        <v>152</v>
      </c>
      <c r="BB3845" s="84" t="str">
        <f>IFERROR(__xludf.DUMMYFUNCTION("iferror(if(A3845="""",,E3845&gt;=FILTER(Constants!$F$2:$F$10,Constants!$A$2:$A$10=A3845)))"),"")</f>
        <v/>
      </c>
    </row>
    <row r="3846">
      <c r="A3846" s="89"/>
      <c r="B3846" s="87"/>
      <c r="C3846" s="73"/>
      <c r="D3846" s="73"/>
      <c r="E3846" s="82"/>
      <c r="F3846" s="82"/>
      <c r="G3846" s="86"/>
      <c r="H3846" s="86"/>
      <c r="I3846" s="86"/>
      <c r="J3846" s="82"/>
      <c r="K3846" s="82"/>
      <c r="L3846" s="82"/>
      <c r="M3846" s="82"/>
      <c r="N3846" s="82"/>
      <c r="O3846" s="82"/>
      <c r="P3846" s="82"/>
      <c r="Q3846" s="82"/>
      <c r="R3846" s="82"/>
      <c r="S3846" s="82"/>
      <c r="T3846" s="82"/>
      <c r="U3846" s="82"/>
      <c r="V3846" s="82"/>
      <c r="W3846" s="82"/>
      <c r="X3846" s="82"/>
      <c r="Y3846" s="82"/>
      <c r="Z3846" s="82"/>
      <c r="AA3846" s="82"/>
      <c r="AB3846" s="82"/>
      <c r="AC3846" s="82"/>
      <c r="AD3846" s="82"/>
      <c r="AE3846" s="82"/>
      <c r="AF3846" s="82"/>
      <c r="AG3846" s="82"/>
      <c r="AH3846" s="82"/>
      <c r="AI3846" s="82"/>
      <c r="AJ3846" s="82"/>
      <c r="AK3846" s="82"/>
      <c r="AL3846" s="82"/>
      <c r="AM3846" s="82"/>
      <c r="AN3846" s="82"/>
      <c r="AO3846" s="82"/>
      <c r="AP3846" s="82"/>
      <c r="AQ3846" s="82"/>
      <c r="AR3846" s="82"/>
      <c r="AS3846" s="82"/>
      <c r="AT3846" s="82"/>
      <c r="AU3846" s="82"/>
      <c r="AV3846" s="82"/>
      <c r="AW3846" s="82" t="str">
        <f t="shared" si="1"/>
        <v/>
      </c>
      <c r="AX3846" s="83" t="str">
        <f t="array" ref="AX3846">IFERROR(DGET('SBV Import'!A:G,"SBV",{"RSC ID","Tier";B3846,A3846}))</f>
        <v/>
      </c>
      <c r="AY3846" s="82" t="str">
        <f t="shared" si="2"/>
        <v/>
      </c>
      <c r="AZ3846" s="82"/>
      <c r="BA3846" s="84" t="s">
        <v>152</v>
      </c>
      <c r="BB3846" s="84" t="str">
        <f>IFERROR(__xludf.DUMMYFUNCTION("iferror(if(A3846="""",,E3846&gt;=FILTER(Constants!$F$2:$F$10,Constants!$A$2:$A$10=A3846)))"),"")</f>
        <v/>
      </c>
    </row>
    <row r="3847">
      <c r="A3847" s="89"/>
      <c r="B3847" s="87"/>
      <c r="C3847" s="73"/>
      <c r="D3847" s="73"/>
      <c r="E3847" s="82"/>
      <c r="F3847" s="82"/>
      <c r="G3847" s="86"/>
      <c r="H3847" s="86"/>
      <c r="I3847" s="86"/>
      <c r="J3847" s="82"/>
      <c r="K3847" s="82"/>
      <c r="L3847" s="82"/>
      <c r="M3847" s="82"/>
      <c r="N3847" s="82"/>
      <c r="O3847" s="82"/>
      <c r="P3847" s="82"/>
      <c r="Q3847" s="82"/>
      <c r="R3847" s="82"/>
      <c r="S3847" s="82"/>
      <c r="T3847" s="82"/>
      <c r="U3847" s="82"/>
      <c r="V3847" s="82"/>
      <c r="W3847" s="82"/>
      <c r="X3847" s="82"/>
      <c r="Y3847" s="82"/>
      <c r="Z3847" s="82"/>
      <c r="AA3847" s="82"/>
      <c r="AB3847" s="82"/>
      <c r="AC3847" s="82"/>
      <c r="AD3847" s="82"/>
      <c r="AE3847" s="82"/>
      <c r="AF3847" s="82"/>
      <c r="AG3847" s="82"/>
      <c r="AH3847" s="82"/>
      <c r="AI3847" s="82"/>
      <c r="AJ3847" s="82"/>
      <c r="AK3847" s="82"/>
      <c r="AL3847" s="82"/>
      <c r="AM3847" s="82"/>
      <c r="AN3847" s="82"/>
      <c r="AO3847" s="82"/>
      <c r="AP3847" s="82"/>
      <c r="AQ3847" s="82"/>
      <c r="AR3847" s="82"/>
      <c r="AS3847" s="82"/>
      <c r="AT3847" s="82"/>
      <c r="AU3847" s="82"/>
      <c r="AV3847" s="82"/>
      <c r="AW3847" s="82" t="str">
        <f t="shared" si="1"/>
        <v/>
      </c>
      <c r="AX3847" s="83" t="str">
        <f t="array" ref="AX3847">IFERROR(DGET('SBV Import'!A:G,"SBV",{"RSC ID","Tier";B3847,A3847}))</f>
        <v/>
      </c>
      <c r="AY3847" s="82" t="str">
        <f t="shared" si="2"/>
        <v/>
      </c>
      <c r="AZ3847" s="82"/>
      <c r="BA3847" s="84" t="s">
        <v>152</v>
      </c>
      <c r="BB3847" s="84" t="str">
        <f>IFERROR(__xludf.DUMMYFUNCTION("iferror(if(A3847="""",,E3847&gt;=FILTER(Constants!$F$2:$F$10,Constants!$A$2:$A$10=A3847)))"),"")</f>
        <v/>
      </c>
    </row>
    <row r="3848">
      <c r="A3848" s="89"/>
      <c r="B3848" s="87"/>
      <c r="C3848" s="73"/>
      <c r="D3848" s="73"/>
      <c r="E3848" s="82"/>
      <c r="F3848" s="82"/>
      <c r="G3848" s="86"/>
      <c r="H3848" s="86"/>
      <c r="I3848" s="86"/>
      <c r="J3848" s="82"/>
      <c r="K3848" s="82"/>
      <c r="L3848" s="82"/>
      <c r="M3848" s="82"/>
      <c r="N3848" s="82"/>
      <c r="O3848" s="82"/>
      <c r="P3848" s="82"/>
      <c r="Q3848" s="82"/>
      <c r="R3848" s="82"/>
      <c r="S3848" s="82"/>
      <c r="T3848" s="82"/>
      <c r="U3848" s="82"/>
      <c r="V3848" s="82"/>
      <c r="W3848" s="82"/>
      <c r="X3848" s="82"/>
      <c r="Y3848" s="82"/>
      <c r="Z3848" s="82"/>
      <c r="AA3848" s="82"/>
      <c r="AB3848" s="82"/>
      <c r="AC3848" s="82"/>
      <c r="AD3848" s="82"/>
      <c r="AE3848" s="82"/>
      <c r="AF3848" s="82"/>
      <c r="AG3848" s="82"/>
      <c r="AH3848" s="82"/>
      <c r="AI3848" s="82"/>
      <c r="AJ3848" s="82"/>
      <c r="AK3848" s="82"/>
      <c r="AL3848" s="82"/>
      <c r="AM3848" s="82"/>
      <c r="AN3848" s="82"/>
      <c r="AO3848" s="82"/>
      <c r="AP3848" s="82"/>
      <c r="AQ3848" s="82"/>
      <c r="AR3848" s="82"/>
      <c r="AS3848" s="82"/>
      <c r="AT3848" s="82"/>
      <c r="AU3848" s="82"/>
      <c r="AV3848" s="82"/>
      <c r="AW3848" s="82" t="str">
        <f t="shared" si="1"/>
        <v/>
      </c>
      <c r="AX3848" s="83" t="str">
        <f t="array" ref="AX3848">IFERROR(DGET('SBV Import'!A:G,"SBV",{"RSC ID","Tier";B3848,A3848}))</f>
        <v/>
      </c>
      <c r="AY3848" s="82" t="str">
        <f t="shared" si="2"/>
        <v/>
      </c>
      <c r="AZ3848" s="82"/>
      <c r="BA3848" s="84" t="s">
        <v>152</v>
      </c>
      <c r="BB3848" s="84" t="str">
        <f>IFERROR(__xludf.DUMMYFUNCTION("iferror(if(A3848="""",,E3848&gt;=FILTER(Constants!$F$2:$F$10,Constants!$A$2:$A$10=A3848)))"),"")</f>
        <v/>
      </c>
    </row>
    <row r="3849">
      <c r="A3849" s="89"/>
      <c r="B3849" s="87"/>
      <c r="C3849" s="73"/>
      <c r="D3849" s="73"/>
      <c r="E3849" s="82"/>
      <c r="F3849" s="82"/>
      <c r="G3849" s="86"/>
      <c r="H3849" s="86"/>
      <c r="I3849" s="86"/>
      <c r="J3849" s="82"/>
      <c r="K3849" s="82"/>
      <c r="L3849" s="82"/>
      <c r="M3849" s="82"/>
      <c r="N3849" s="82"/>
      <c r="O3849" s="82"/>
      <c r="P3849" s="82"/>
      <c r="Q3849" s="82"/>
      <c r="R3849" s="82"/>
      <c r="S3849" s="82"/>
      <c r="T3849" s="82"/>
      <c r="U3849" s="82"/>
      <c r="V3849" s="82"/>
      <c r="W3849" s="82"/>
      <c r="X3849" s="82"/>
      <c r="Y3849" s="82"/>
      <c r="Z3849" s="82"/>
      <c r="AA3849" s="82"/>
      <c r="AB3849" s="82"/>
      <c r="AC3849" s="82"/>
      <c r="AD3849" s="82"/>
      <c r="AE3849" s="82"/>
      <c r="AF3849" s="82"/>
      <c r="AG3849" s="82"/>
      <c r="AH3849" s="82"/>
      <c r="AI3849" s="82"/>
      <c r="AJ3849" s="82"/>
      <c r="AK3849" s="82"/>
      <c r="AL3849" s="82"/>
      <c r="AM3849" s="82"/>
      <c r="AN3849" s="82"/>
      <c r="AO3849" s="82"/>
      <c r="AP3849" s="82"/>
      <c r="AQ3849" s="82"/>
      <c r="AR3849" s="82"/>
      <c r="AS3849" s="82"/>
      <c r="AT3849" s="82"/>
      <c r="AU3849" s="82"/>
      <c r="AV3849" s="82"/>
      <c r="AW3849" s="82" t="str">
        <f t="shared" si="1"/>
        <v/>
      </c>
      <c r="AX3849" s="83" t="str">
        <f t="array" ref="AX3849">IFERROR(DGET('SBV Import'!A:G,"SBV",{"RSC ID","Tier";B3849,A3849}))</f>
        <v/>
      </c>
      <c r="AY3849" s="82" t="str">
        <f t="shared" si="2"/>
        <v/>
      </c>
      <c r="AZ3849" s="82"/>
      <c r="BA3849" s="84" t="s">
        <v>152</v>
      </c>
      <c r="BB3849" s="84" t="str">
        <f>IFERROR(__xludf.DUMMYFUNCTION("iferror(if(A3849="""",,E3849&gt;=FILTER(Constants!$F$2:$F$10,Constants!$A$2:$A$10=A3849)))"),"")</f>
        <v/>
      </c>
    </row>
    <row r="3850">
      <c r="A3850" s="89"/>
      <c r="B3850" s="87"/>
      <c r="C3850" s="73"/>
      <c r="D3850" s="73"/>
      <c r="E3850" s="82"/>
      <c r="F3850" s="82"/>
      <c r="G3850" s="86"/>
      <c r="H3850" s="86"/>
      <c r="I3850" s="86"/>
      <c r="J3850" s="82"/>
      <c r="K3850" s="82"/>
      <c r="L3850" s="82"/>
      <c r="M3850" s="82"/>
      <c r="N3850" s="82"/>
      <c r="O3850" s="82"/>
      <c r="P3850" s="82"/>
      <c r="Q3850" s="82"/>
      <c r="R3850" s="82"/>
      <c r="S3850" s="82"/>
      <c r="T3850" s="82"/>
      <c r="U3850" s="82"/>
      <c r="V3850" s="82"/>
      <c r="W3850" s="82"/>
      <c r="X3850" s="82"/>
      <c r="Y3850" s="82"/>
      <c r="Z3850" s="82"/>
      <c r="AA3850" s="82"/>
      <c r="AB3850" s="82"/>
      <c r="AC3850" s="82"/>
      <c r="AD3850" s="82"/>
      <c r="AE3850" s="82"/>
      <c r="AF3850" s="82"/>
      <c r="AG3850" s="82"/>
      <c r="AH3850" s="82"/>
      <c r="AI3850" s="82"/>
      <c r="AJ3850" s="82"/>
      <c r="AK3850" s="82"/>
      <c r="AL3850" s="82"/>
      <c r="AM3850" s="82"/>
      <c r="AN3850" s="82"/>
      <c r="AO3850" s="82"/>
      <c r="AP3850" s="82"/>
      <c r="AQ3850" s="82"/>
      <c r="AR3850" s="82"/>
      <c r="AS3850" s="82"/>
      <c r="AT3850" s="82"/>
      <c r="AU3850" s="82"/>
      <c r="AV3850" s="82"/>
      <c r="AW3850" s="82" t="str">
        <f t="shared" si="1"/>
        <v/>
      </c>
      <c r="AX3850" s="83" t="str">
        <f t="array" ref="AX3850">IFERROR(DGET('SBV Import'!A:G,"SBV",{"RSC ID","Tier";B3850,A3850}))</f>
        <v/>
      </c>
      <c r="AY3850" s="82" t="str">
        <f t="shared" si="2"/>
        <v/>
      </c>
      <c r="AZ3850" s="82"/>
      <c r="BA3850" s="84" t="s">
        <v>152</v>
      </c>
      <c r="BB3850" s="84" t="str">
        <f>IFERROR(__xludf.DUMMYFUNCTION("iferror(if(A3850="""",,E3850&gt;=FILTER(Constants!$F$2:$F$10,Constants!$A$2:$A$10=A3850)))"),"")</f>
        <v/>
      </c>
    </row>
    <row r="3851">
      <c r="A3851" s="89"/>
      <c r="B3851" s="87"/>
      <c r="C3851" s="73"/>
      <c r="D3851" s="73"/>
      <c r="E3851" s="82"/>
      <c r="F3851" s="82"/>
      <c r="G3851" s="86"/>
      <c r="H3851" s="86"/>
      <c r="I3851" s="86"/>
      <c r="J3851" s="82"/>
      <c r="K3851" s="82"/>
      <c r="L3851" s="82"/>
      <c r="M3851" s="82"/>
      <c r="N3851" s="82"/>
      <c r="O3851" s="82"/>
      <c r="P3851" s="82"/>
      <c r="Q3851" s="82"/>
      <c r="R3851" s="82"/>
      <c r="S3851" s="82"/>
      <c r="T3851" s="82"/>
      <c r="U3851" s="82"/>
      <c r="V3851" s="82"/>
      <c r="W3851" s="82"/>
      <c r="X3851" s="82"/>
      <c r="Y3851" s="82"/>
      <c r="Z3851" s="82"/>
      <c r="AA3851" s="82"/>
      <c r="AB3851" s="82"/>
      <c r="AC3851" s="82"/>
      <c r="AD3851" s="82"/>
      <c r="AE3851" s="82"/>
      <c r="AF3851" s="82"/>
      <c r="AG3851" s="82"/>
      <c r="AH3851" s="82"/>
      <c r="AI3851" s="82"/>
      <c r="AJ3851" s="82"/>
      <c r="AK3851" s="82"/>
      <c r="AL3851" s="82"/>
      <c r="AM3851" s="82"/>
      <c r="AN3851" s="82"/>
      <c r="AO3851" s="82"/>
      <c r="AP3851" s="82"/>
      <c r="AQ3851" s="82"/>
      <c r="AR3851" s="82"/>
      <c r="AS3851" s="82"/>
      <c r="AT3851" s="82"/>
      <c r="AU3851" s="82"/>
      <c r="AV3851" s="82"/>
      <c r="AW3851" s="82" t="str">
        <f t="shared" si="1"/>
        <v/>
      </c>
      <c r="AX3851" s="83" t="str">
        <f t="array" ref="AX3851">IFERROR(DGET('SBV Import'!A:G,"SBV",{"RSC ID","Tier";B3851,A3851}))</f>
        <v/>
      </c>
      <c r="AY3851" s="82" t="str">
        <f t="shared" si="2"/>
        <v/>
      </c>
      <c r="AZ3851" s="82"/>
      <c r="BA3851" s="84" t="s">
        <v>152</v>
      </c>
      <c r="BB3851" s="84" t="str">
        <f>IFERROR(__xludf.DUMMYFUNCTION("iferror(if(A3851="""",,E3851&gt;=FILTER(Constants!$F$2:$F$10,Constants!$A$2:$A$10=A3851)))"),"")</f>
        <v/>
      </c>
    </row>
    <row r="3852">
      <c r="A3852" s="89"/>
      <c r="B3852" s="87"/>
      <c r="C3852" s="73"/>
      <c r="D3852" s="73"/>
      <c r="E3852" s="82"/>
      <c r="F3852" s="82"/>
      <c r="G3852" s="86"/>
      <c r="H3852" s="86"/>
      <c r="I3852" s="86"/>
      <c r="J3852" s="82"/>
      <c r="K3852" s="82"/>
      <c r="L3852" s="82"/>
      <c r="M3852" s="82"/>
      <c r="N3852" s="82"/>
      <c r="O3852" s="82"/>
      <c r="P3852" s="82"/>
      <c r="Q3852" s="82"/>
      <c r="R3852" s="82"/>
      <c r="S3852" s="82"/>
      <c r="T3852" s="82"/>
      <c r="U3852" s="82"/>
      <c r="V3852" s="82"/>
      <c r="W3852" s="82"/>
      <c r="X3852" s="82"/>
      <c r="Y3852" s="82"/>
      <c r="Z3852" s="82"/>
      <c r="AA3852" s="82"/>
      <c r="AB3852" s="82"/>
      <c r="AC3852" s="82"/>
      <c r="AD3852" s="82"/>
      <c r="AE3852" s="82"/>
      <c r="AF3852" s="82"/>
      <c r="AG3852" s="82"/>
      <c r="AH3852" s="82"/>
      <c r="AI3852" s="82"/>
      <c r="AJ3852" s="82"/>
      <c r="AK3852" s="82"/>
      <c r="AL3852" s="82"/>
      <c r="AM3852" s="82"/>
      <c r="AN3852" s="82"/>
      <c r="AO3852" s="82"/>
      <c r="AP3852" s="82"/>
      <c r="AQ3852" s="82"/>
      <c r="AR3852" s="82"/>
      <c r="AS3852" s="82"/>
      <c r="AT3852" s="82"/>
      <c r="AU3852" s="82"/>
      <c r="AV3852" s="82"/>
      <c r="AW3852" s="82" t="str">
        <f t="shared" si="1"/>
        <v/>
      </c>
      <c r="AX3852" s="83" t="str">
        <f t="array" ref="AX3852">IFERROR(DGET('SBV Import'!A:G,"SBV",{"RSC ID","Tier";B3852,A3852}))</f>
        <v/>
      </c>
      <c r="AY3852" s="82" t="str">
        <f t="shared" si="2"/>
        <v/>
      </c>
      <c r="AZ3852" s="82"/>
      <c r="BA3852" s="84" t="s">
        <v>152</v>
      </c>
      <c r="BB3852" s="84" t="str">
        <f>IFERROR(__xludf.DUMMYFUNCTION("iferror(if(A3852="""",,E3852&gt;=FILTER(Constants!$F$2:$F$10,Constants!$A$2:$A$10=A3852)))"),"")</f>
        <v/>
      </c>
    </row>
    <row r="3853">
      <c r="A3853" s="89"/>
      <c r="B3853" s="87"/>
      <c r="C3853" s="73"/>
      <c r="D3853" s="73"/>
      <c r="E3853" s="82"/>
      <c r="F3853" s="82"/>
      <c r="G3853" s="86"/>
      <c r="H3853" s="86"/>
      <c r="I3853" s="86"/>
      <c r="J3853" s="82"/>
      <c r="K3853" s="82"/>
      <c r="L3853" s="82"/>
      <c r="M3853" s="82"/>
      <c r="N3853" s="82"/>
      <c r="O3853" s="82"/>
      <c r="P3853" s="82"/>
      <c r="Q3853" s="82"/>
      <c r="R3853" s="82"/>
      <c r="S3853" s="82"/>
      <c r="T3853" s="82"/>
      <c r="U3853" s="82"/>
      <c r="V3853" s="82"/>
      <c r="W3853" s="82"/>
      <c r="X3853" s="82"/>
      <c r="Y3853" s="82"/>
      <c r="Z3853" s="82"/>
      <c r="AA3853" s="82"/>
      <c r="AB3853" s="82"/>
      <c r="AC3853" s="82"/>
      <c r="AD3853" s="82"/>
      <c r="AE3853" s="82"/>
      <c r="AF3853" s="82"/>
      <c r="AG3853" s="82"/>
      <c r="AH3853" s="82"/>
      <c r="AI3853" s="82"/>
      <c r="AJ3853" s="82"/>
      <c r="AK3853" s="82"/>
      <c r="AL3853" s="82"/>
      <c r="AM3853" s="82"/>
      <c r="AN3853" s="82"/>
      <c r="AO3853" s="82"/>
      <c r="AP3853" s="82"/>
      <c r="AQ3853" s="82"/>
      <c r="AR3853" s="82"/>
      <c r="AS3853" s="82"/>
      <c r="AT3853" s="82"/>
      <c r="AU3853" s="82"/>
      <c r="AV3853" s="82"/>
      <c r="AW3853" s="82" t="str">
        <f t="shared" si="1"/>
        <v/>
      </c>
      <c r="AX3853" s="83" t="str">
        <f t="array" ref="AX3853">IFERROR(DGET('SBV Import'!A:G,"SBV",{"RSC ID","Tier";B3853,A3853}))</f>
        <v/>
      </c>
      <c r="AY3853" s="82" t="str">
        <f t="shared" si="2"/>
        <v/>
      </c>
      <c r="AZ3853" s="82"/>
      <c r="BA3853" s="84" t="s">
        <v>152</v>
      </c>
      <c r="BB3853" s="84" t="str">
        <f>IFERROR(__xludf.DUMMYFUNCTION("iferror(if(A3853="""",,E3853&gt;=FILTER(Constants!$F$2:$F$10,Constants!$A$2:$A$10=A3853)))"),"")</f>
        <v/>
      </c>
    </row>
    <row r="3854">
      <c r="A3854" s="89"/>
      <c r="B3854" s="87"/>
      <c r="C3854" s="73"/>
      <c r="D3854" s="73"/>
      <c r="E3854" s="82"/>
      <c r="F3854" s="82"/>
      <c r="G3854" s="86"/>
      <c r="H3854" s="86"/>
      <c r="I3854" s="86"/>
      <c r="J3854" s="82"/>
      <c r="K3854" s="82"/>
      <c r="L3854" s="82"/>
      <c r="M3854" s="82"/>
      <c r="N3854" s="82"/>
      <c r="O3854" s="82"/>
      <c r="P3854" s="82"/>
      <c r="Q3854" s="82"/>
      <c r="R3854" s="82"/>
      <c r="S3854" s="82"/>
      <c r="T3854" s="82"/>
      <c r="U3854" s="82"/>
      <c r="V3854" s="82"/>
      <c r="W3854" s="82"/>
      <c r="X3854" s="82"/>
      <c r="Y3854" s="82"/>
      <c r="Z3854" s="82"/>
      <c r="AA3854" s="82"/>
      <c r="AB3854" s="82"/>
      <c r="AC3854" s="82"/>
      <c r="AD3854" s="82"/>
      <c r="AE3854" s="82"/>
      <c r="AF3854" s="82"/>
      <c r="AG3854" s="82"/>
      <c r="AH3854" s="82"/>
      <c r="AI3854" s="82"/>
      <c r="AJ3854" s="82"/>
      <c r="AK3854" s="82"/>
      <c r="AL3854" s="82"/>
      <c r="AM3854" s="82"/>
      <c r="AN3854" s="82"/>
      <c r="AO3854" s="82"/>
      <c r="AP3854" s="82"/>
      <c r="AQ3854" s="82"/>
      <c r="AR3854" s="82"/>
      <c r="AS3854" s="82"/>
      <c r="AT3854" s="82"/>
      <c r="AU3854" s="82"/>
      <c r="AV3854" s="82"/>
      <c r="AW3854" s="82" t="str">
        <f t="shared" si="1"/>
        <v/>
      </c>
      <c r="AX3854" s="83" t="str">
        <f t="array" ref="AX3854">IFERROR(DGET('SBV Import'!A:G,"SBV",{"RSC ID","Tier";B3854,A3854}))</f>
        <v/>
      </c>
      <c r="AY3854" s="82" t="str">
        <f t="shared" si="2"/>
        <v/>
      </c>
      <c r="AZ3854" s="82"/>
      <c r="BA3854" s="84" t="s">
        <v>152</v>
      </c>
      <c r="BB3854" s="84" t="str">
        <f>IFERROR(__xludf.DUMMYFUNCTION("iferror(if(A3854="""",,E3854&gt;=FILTER(Constants!$F$2:$F$10,Constants!$A$2:$A$10=A3854)))"),"")</f>
        <v/>
      </c>
    </row>
    <row r="3855">
      <c r="A3855" s="89"/>
      <c r="B3855" s="87"/>
      <c r="C3855" s="73"/>
      <c r="D3855" s="73"/>
      <c r="E3855" s="82"/>
      <c r="F3855" s="82"/>
      <c r="G3855" s="86"/>
      <c r="H3855" s="86"/>
      <c r="I3855" s="86"/>
      <c r="J3855" s="82"/>
      <c r="K3855" s="82"/>
      <c r="L3855" s="82"/>
      <c r="M3855" s="82"/>
      <c r="N3855" s="82"/>
      <c r="O3855" s="82"/>
      <c r="P3855" s="82"/>
      <c r="Q3855" s="82"/>
      <c r="R3855" s="82"/>
      <c r="S3855" s="82"/>
      <c r="T3855" s="82"/>
      <c r="U3855" s="82"/>
      <c r="V3855" s="82"/>
      <c r="W3855" s="82"/>
      <c r="X3855" s="82"/>
      <c r="Y3855" s="82"/>
      <c r="Z3855" s="82"/>
      <c r="AA3855" s="82"/>
      <c r="AB3855" s="82"/>
      <c r="AC3855" s="82"/>
      <c r="AD3855" s="82"/>
      <c r="AE3855" s="82"/>
      <c r="AF3855" s="82"/>
      <c r="AG3855" s="82"/>
      <c r="AH3855" s="82"/>
      <c r="AI3855" s="82"/>
      <c r="AJ3855" s="82"/>
      <c r="AK3855" s="82"/>
      <c r="AL3855" s="82"/>
      <c r="AM3855" s="82"/>
      <c r="AN3855" s="82"/>
      <c r="AO3855" s="82"/>
      <c r="AP3855" s="82"/>
      <c r="AQ3855" s="82"/>
      <c r="AR3855" s="82"/>
      <c r="AS3855" s="82"/>
      <c r="AT3855" s="82"/>
      <c r="AU3855" s="82"/>
      <c r="AV3855" s="82"/>
      <c r="AW3855" s="82" t="str">
        <f t="shared" si="1"/>
        <v/>
      </c>
      <c r="AX3855" s="83" t="str">
        <f t="array" ref="AX3855">IFERROR(DGET('SBV Import'!A:G,"SBV",{"RSC ID","Tier";B3855,A3855}))</f>
        <v/>
      </c>
      <c r="AY3855" s="82" t="str">
        <f t="shared" si="2"/>
        <v/>
      </c>
      <c r="AZ3855" s="82"/>
      <c r="BA3855" s="84" t="s">
        <v>152</v>
      </c>
      <c r="BB3855" s="84" t="str">
        <f>IFERROR(__xludf.DUMMYFUNCTION("iferror(if(A3855="""",,E3855&gt;=FILTER(Constants!$F$2:$F$10,Constants!$A$2:$A$10=A3855)))"),"")</f>
        <v/>
      </c>
    </row>
    <row r="3856">
      <c r="A3856" s="89"/>
      <c r="B3856" s="87"/>
      <c r="C3856" s="73"/>
      <c r="D3856" s="73"/>
      <c r="E3856" s="82"/>
      <c r="F3856" s="82"/>
      <c r="G3856" s="86"/>
      <c r="H3856" s="86"/>
      <c r="I3856" s="86"/>
      <c r="J3856" s="82"/>
      <c r="K3856" s="82"/>
      <c r="L3856" s="82"/>
      <c r="M3856" s="82"/>
      <c r="N3856" s="82"/>
      <c r="O3856" s="82"/>
      <c r="P3856" s="82"/>
      <c r="Q3856" s="82"/>
      <c r="R3856" s="82"/>
      <c r="S3856" s="82"/>
      <c r="T3856" s="82"/>
      <c r="U3856" s="82"/>
      <c r="V3856" s="82"/>
      <c r="W3856" s="82"/>
      <c r="X3856" s="82"/>
      <c r="Y3856" s="82"/>
      <c r="Z3856" s="82"/>
      <c r="AA3856" s="82"/>
      <c r="AB3856" s="82"/>
      <c r="AC3856" s="82"/>
      <c r="AD3856" s="82"/>
      <c r="AE3856" s="82"/>
      <c r="AF3856" s="82"/>
      <c r="AG3856" s="82"/>
      <c r="AH3856" s="82"/>
      <c r="AI3856" s="82"/>
      <c r="AJ3856" s="82"/>
      <c r="AK3856" s="82"/>
      <c r="AL3856" s="82"/>
      <c r="AM3856" s="82"/>
      <c r="AN3856" s="82"/>
      <c r="AO3856" s="82"/>
      <c r="AP3856" s="82"/>
      <c r="AQ3856" s="82"/>
      <c r="AR3856" s="82"/>
      <c r="AS3856" s="82"/>
      <c r="AT3856" s="82"/>
      <c r="AU3856" s="82"/>
      <c r="AV3856" s="82"/>
      <c r="AW3856" s="82" t="str">
        <f t="shared" si="1"/>
        <v/>
      </c>
      <c r="AX3856" s="83" t="str">
        <f t="array" ref="AX3856">IFERROR(DGET('SBV Import'!A:G,"SBV",{"RSC ID","Tier";B3856,A3856}))</f>
        <v/>
      </c>
      <c r="AY3856" s="82" t="str">
        <f t="shared" si="2"/>
        <v/>
      </c>
      <c r="AZ3856" s="82"/>
      <c r="BA3856" s="84" t="s">
        <v>152</v>
      </c>
      <c r="BB3856" s="84" t="str">
        <f>IFERROR(__xludf.DUMMYFUNCTION("iferror(if(A3856="""",,E3856&gt;=FILTER(Constants!$F$2:$F$10,Constants!$A$2:$A$10=A3856)))"),"")</f>
        <v/>
      </c>
    </row>
    <row r="3857">
      <c r="A3857" s="89"/>
      <c r="B3857" s="87"/>
      <c r="C3857" s="73"/>
      <c r="D3857" s="73"/>
      <c r="E3857" s="82"/>
      <c r="F3857" s="82"/>
      <c r="G3857" s="86"/>
      <c r="H3857" s="86"/>
      <c r="I3857" s="86"/>
      <c r="J3857" s="82"/>
      <c r="K3857" s="82"/>
      <c r="L3857" s="82"/>
      <c r="M3857" s="82"/>
      <c r="N3857" s="82"/>
      <c r="O3857" s="82"/>
      <c r="P3857" s="82"/>
      <c r="Q3857" s="82"/>
      <c r="R3857" s="82"/>
      <c r="S3857" s="82"/>
      <c r="T3857" s="82"/>
      <c r="U3857" s="82"/>
      <c r="V3857" s="82"/>
      <c r="W3857" s="82"/>
      <c r="X3857" s="82"/>
      <c r="Y3857" s="82"/>
      <c r="Z3857" s="82"/>
      <c r="AA3857" s="82"/>
      <c r="AB3857" s="82"/>
      <c r="AC3857" s="82"/>
      <c r="AD3857" s="82"/>
      <c r="AE3857" s="82"/>
      <c r="AF3857" s="82"/>
      <c r="AG3857" s="82"/>
      <c r="AH3857" s="82"/>
      <c r="AI3857" s="82"/>
      <c r="AJ3857" s="82"/>
      <c r="AK3857" s="82"/>
      <c r="AL3857" s="82"/>
      <c r="AM3857" s="82"/>
      <c r="AN3857" s="82"/>
      <c r="AO3857" s="82"/>
      <c r="AP3857" s="82"/>
      <c r="AQ3857" s="82"/>
      <c r="AR3857" s="82"/>
      <c r="AS3857" s="82"/>
      <c r="AT3857" s="82"/>
      <c r="AU3857" s="82"/>
      <c r="AV3857" s="82"/>
      <c r="AW3857" s="82" t="str">
        <f t="shared" si="1"/>
        <v/>
      </c>
      <c r="AX3857" s="83" t="str">
        <f t="array" ref="AX3857">IFERROR(DGET('SBV Import'!A:G,"SBV",{"RSC ID","Tier";B3857,A3857}))</f>
        <v/>
      </c>
      <c r="AY3857" s="82" t="str">
        <f t="shared" si="2"/>
        <v/>
      </c>
      <c r="AZ3857" s="82"/>
      <c r="BA3857" s="84" t="s">
        <v>152</v>
      </c>
      <c r="BB3857" s="84" t="str">
        <f>IFERROR(__xludf.DUMMYFUNCTION("iferror(if(A3857="""",,E3857&gt;=FILTER(Constants!$F$2:$F$10,Constants!$A$2:$A$10=A3857)))"),"")</f>
        <v/>
      </c>
    </row>
    <row r="3858">
      <c r="A3858" s="89"/>
      <c r="B3858" s="87"/>
      <c r="C3858" s="73"/>
      <c r="D3858" s="73"/>
      <c r="E3858" s="82"/>
      <c r="F3858" s="82"/>
      <c r="G3858" s="86"/>
      <c r="H3858" s="86"/>
      <c r="I3858" s="86"/>
      <c r="J3858" s="82"/>
      <c r="K3858" s="82"/>
      <c r="L3858" s="82"/>
      <c r="M3858" s="82"/>
      <c r="N3858" s="82"/>
      <c r="O3858" s="82"/>
      <c r="P3858" s="82"/>
      <c r="Q3858" s="82"/>
      <c r="R3858" s="82"/>
      <c r="S3858" s="82"/>
      <c r="T3858" s="82"/>
      <c r="U3858" s="82"/>
      <c r="V3858" s="82"/>
      <c r="W3858" s="82"/>
      <c r="X3858" s="82"/>
      <c r="Y3858" s="82"/>
      <c r="Z3858" s="82"/>
      <c r="AA3858" s="82"/>
      <c r="AB3858" s="82"/>
      <c r="AC3858" s="82"/>
      <c r="AD3858" s="82"/>
      <c r="AE3858" s="82"/>
      <c r="AF3858" s="82"/>
      <c r="AG3858" s="82"/>
      <c r="AH3858" s="82"/>
      <c r="AI3858" s="82"/>
      <c r="AJ3858" s="82"/>
      <c r="AK3858" s="82"/>
      <c r="AL3858" s="82"/>
      <c r="AM3858" s="82"/>
      <c r="AN3858" s="82"/>
      <c r="AO3858" s="82"/>
      <c r="AP3858" s="82"/>
      <c r="AQ3858" s="82"/>
      <c r="AR3858" s="82"/>
      <c r="AS3858" s="82"/>
      <c r="AT3858" s="82"/>
      <c r="AU3858" s="82"/>
      <c r="AV3858" s="82"/>
      <c r="AW3858" s="82" t="str">
        <f t="shared" si="1"/>
        <v/>
      </c>
      <c r="AX3858" s="83" t="str">
        <f t="array" ref="AX3858">IFERROR(DGET('SBV Import'!A:G,"SBV",{"RSC ID","Tier";B3858,A3858}))</f>
        <v/>
      </c>
      <c r="AY3858" s="82" t="str">
        <f t="shared" si="2"/>
        <v/>
      </c>
      <c r="AZ3858" s="82"/>
      <c r="BA3858" s="84" t="s">
        <v>152</v>
      </c>
      <c r="BB3858" s="84" t="str">
        <f>IFERROR(__xludf.DUMMYFUNCTION("iferror(if(A3858="""",,E3858&gt;=FILTER(Constants!$F$2:$F$10,Constants!$A$2:$A$10=A3858)))"),"")</f>
        <v/>
      </c>
    </row>
    <row r="3859">
      <c r="A3859" s="89"/>
      <c r="B3859" s="87"/>
      <c r="C3859" s="73"/>
      <c r="D3859" s="73"/>
      <c r="E3859" s="82"/>
      <c r="F3859" s="82"/>
      <c r="G3859" s="86"/>
      <c r="H3859" s="86"/>
      <c r="I3859" s="86"/>
      <c r="J3859" s="82"/>
      <c r="K3859" s="82"/>
      <c r="L3859" s="82"/>
      <c r="M3859" s="82"/>
      <c r="N3859" s="82"/>
      <c r="O3859" s="82"/>
      <c r="P3859" s="82"/>
      <c r="Q3859" s="82"/>
      <c r="R3859" s="82"/>
      <c r="S3859" s="82"/>
      <c r="T3859" s="82"/>
      <c r="U3859" s="82"/>
      <c r="V3859" s="82"/>
      <c r="W3859" s="82"/>
      <c r="X3859" s="82"/>
      <c r="Y3859" s="82"/>
      <c r="Z3859" s="82"/>
      <c r="AA3859" s="82"/>
      <c r="AB3859" s="82"/>
      <c r="AC3859" s="82"/>
      <c r="AD3859" s="82"/>
      <c r="AE3859" s="82"/>
      <c r="AF3859" s="82"/>
      <c r="AG3859" s="82"/>
      <c r="AH3859" s="82"/>
      <c r="AI3859" s="82"/>
      <c r="AJ3859" s="82"/>
      <c r="AK3859" s="82"/>
      <c r="AL3859" s="82"/>
      <c r="AM3859" s="82"/>
      <c r="AN3859" s="82"/>
      <c r="AO3859" s="82"/>
      <c r="AP3859" s="82"/>
      <c r="AQ3859" s="82"/>
      <c r="AR3859" s="82"/>
      <c r="AS3859" s="82"/>
      <c r="AT3859" s="82"/>
      <c r="AU3859" s="82"/>
      <c r="AV3859" s="82"/>
      <c r="AW3859" s="82" t="str">
        <f t="shared" si="1"/>
        <v/>
      </c>
      <c r="AX3859" s="83" t="str">
        <f t="array" ref="AX3859">IFERROR(DGET('SBV Import'!A:G,"SBV",{"RSC ID","Tier";B3859,A3859}))</f>
        <v/>
      </c>
      <c r="AY3859" s="82" t="str">
        <f t="shared" si="2"/>
        <v/>
      </c>
      <c r="AZ3859" s="82"/>
      <c r="BA3859" s="84" t="s">
        <v>152</v>
      </c>
      <c r="BB3859" s="84" t="str">
        <f>IFERROR(__xludf.DUMMYFUNCTION("iferror(if(A3859="""",,E3859&gt;=FILTER(Constants!$F$2:$F$10,Constants!$A$2:$A$10=A3859)))"),"")</f>
        <v/>
      </c>
    </row>
    <row r="3860">
      <c r="A3860" s="89"/>
      <c r="B3860" s="87"/>
      <c r="C3860" s="73"/>
      <c r="D3860" s="73"/>
      <c r="E3860" s="82"/>
      <c r="F3860" s="82"/>
      <c r="G3860" s="86"/>
      <c r="H3860" s="86"/>
      <c r="I3860" s="86"/>
      <c r="J3860" s="82"/>
      <c r="K3860" s="82"/>
      <c r="L3860" s="82"/>
      <c r="M3860" s="82"/>
      <c r="N3860" s="82"/>
      <c r="O3860" s="82"/>
      <c r="P3860" s="82"/>
      <c r="Q3860" s="82"/>
      <c r="R3860" s="82"/>
      <c r="S3860" s="82"/>
      <c r="T3860" s="82"/>
      <c r="U3860" s="82"/>
      <c r="V3860" s="82"/>
      <c r="W3860" s="82"/>
      <c r="X3860" s="82"/>
      <c r="Y3860" s="82"/>
      <c r="Z3860" s="82"/>
      <c r="AA3860" s="82"/>
      <c r="AB3860" s="82"/>
      <c r="AC3860" s="82"/>
      <c r="AD3860" s="82"/>
      <c r="AE3860" s="82"/>
      <c r="AF3860" s="82"/>
      <c r="AG3860" s="82"/>
      <c r="AH3860" s="82"/>
      <c r="AI3860" s="82"/>
      <c r="AJ3860" s="82"/>
      <c r="AK3860" s="82"/>
      <c r="AL3860" s="82"/>
      <c r="AM3860" s="82"/>
      <c r="AN3860" s="82"/>
      <c r="AO3860" s="82"/>
      <c r="AP3860" s="82"/>
      <c r="AQ3860" s="82"/>
      <c r="AR3860" s="82"/>
      <c r="AS3860" s="82"/>
      <c r="AT3860" s="82"/>
      <c r="AU3860" s="82"/>
      <c r="AV3860" s="82"/>
      <c r="AW3860" s="82" t="str">
        <f t="shared" si="1"/>
        <v/>
      </c>
      <c r="AX3860" s="83" t="str">
        <f t="array" ref="AX3860">IFERROR(DGET('SBV Import'!A:G,"SBV",{"RSC ID","Tier";B3860,A3860}))</f>
        <v/>
      </c>
      <c r="AY3860" s="82" t="str">
        <f t="shared" si="2"/>
        <v/>
      </c>
      <c r="AZ3860" s="82"/>
      <c r="BA3860" s="84" t="s">
        <v>152</v>
      </c>
      <c r="BB3860" s="84" t="str">
        <f>IFERROR(__xludf.DUMMYFUNCTION("iferror(if(A3860="""",,E3860&gt;=FILTER(Constants!$F$2:$F$10,Constants!$A$2:$A$10=A3860)))"),"")</f>
        <v/>
      </c>
    </row>
    <row r="3861">
      <c r="A3861" s="89"/>
      <c r="B3861" s="87"/>
      <c r="C3861" s="73"/>
      <c r="D3861" s="73"/>
      <c r="E3861" s="82"/>
      <c r="F3861" s="82"/>
      <c r="G3861" s="86"/>
      <c r="H3861" s="86"/>
      <c r="I3861" s="86"/>
      <c r="J3861" s="82"/>
      <c r="K3861" s="82"/>
      <c r="L3861" s="82"/>
      <c r="M3861" s="82"/>
      <c r="N3861" s="82"/>
      <c r="O3861" s="82"/>
      <c r="P3861" s="82"/>
      <c r="Q3861" s="82"/>
      <c r="R3861" s="82"/>
      <c r="S3861" s="82"/>
      <c r="T3861" s="82"/>
      <c r="U3861" s="82"/>
      <c r="V3861" s="82"/>
      <c r="W3861" s="82"/>
      <c r="X3861" s="82"/>
      <c r="Y3861" s="82"/>
      <c r="Z3861" s="82"/>
      <c r="AA3861" s="82"/>
      <c r="AB3861" s="82"/>
      <c r="AC3861" s="82"/>
      <c r="AD3861" s="82"/>
      <c r="AE3861" s="82"/>
      <c r="AF3861" s="82"/>
      <c r="AG3861" s="82"/>
      <c r="AH3861" s="82"/>
      <c r="AI3861" s="82"/>
      <c r="AJ3861" s="82"/>
      <c r="AK3861" s="82"/>
      <c r="AL3861" s="82"/>
      <c r="AM3861" s="82"/>
      <c r="AN3861" s="82"/>
      <c r="AO3861" s="82"/>
      <c r="AP3861" s="82"/>
      <c r="AQ3861" s="82"/>
      <c r="AR3861" s="82"/>
      <c r="AS3861" s="82"/>
      <c r="AT3861" s="82"/>
      <c r="AU3861" s="82"/>
      <c r="AV3861" s="82"/>
      <c r="AW3861" s="82" t="str">
        <f t="shared" si="1"/>
        <v/>
      </c>
      <c r="AX3861" s="83" t="str">
        <f t="array" ref="AX3861">IFERROR(DGET('SBV Import'!A:G,"SBV",{"RSC ID","Tier";B3861,A3861}))</f>
        <v/>
      </c>
      <c r="AY3861" s="82" t="str">
        <f t="shared" si="2"/>
        <v/>
      </c>
      <c r="AZ3861" s="82"/>
      <c r="BA3861" s="84" t="s">
        <v>152</v>
      </c>
      <c r="BB3861" s="84" t="str">
        <f>IFERROR(__xludf.DUMMYFUNCTION("iferror(if(A3861="""",,E3861&gt;=FILTER(Constants!$F$2:$F$10,Constants!$A$2:$A$10=A3861)))"),"")</f>
        <v/>
      </c>
    </row>
    <row r="3862">
      <c r="A3862" s="89"/>
      <c r="B3862" s="87"/>
      <c r="C3862" s="73"/>
      <c r="D3862" s="73"/>
      <c r="E3862" s="82"/>
      <c r="F3862" s="82"/>
      <c r="G3862" s="86"/>
      <c r="H3862" s="86"/>
      <c r="I3862" s="86"/>
      <c r="J3862" s="82"/>
      <c r="K3862" s="82"/>
      <c r="L3862" s="82"/>
      <c r="M3862" s="82"/>
      <c r="N3862" s="82"/>
      <c r="O3862" s="82"/>
      <c r="P3862" s="82"/>
      <c r="Q3862" s="82"/>
      <c r="R3862" s="82"/>
      <c r="S3862" s="82"/>
      <c r="T3862" s="82"/>
      <c r="U3862" s="82"/>
      <c r="V3862" s="82"/>
      <c r="W3862" s="82"/>
      <c r="X3862" s="82"/>
      <c r="Y3862" s="82"/>
      <c r="Z3862" s="82"/>
      <c r="AA3862" s="82"/>
      <c r="AB3862" s="82"/>
      <c r="AC3862" s="82"/>
      <c r="AD3862" s="82"/>
      <c r="AE3862" s="82"/>
      <c r="AF3862" s="82"/>
      <c r="AG3862" s="82"/>
      <c r="AH3862" s="82"/>
      <c r="AI3862" s="82"/>
      <c r="AJ3862" s="82"/>
      <c r="AK3862" s="82"/>
      <c r="AL3862" s="82"/>
      <c r="AM3862" s="82"/>
      <c r="AN3862" s="82"/>
      <c r="AO3862" s="82"/>
      <c r="AP3862" s="82"/>
      <c r="AQ3862" s="82"/>
      <c r="AR3862" s="82"/>
      <c r="AS3862" s="82"/>
      <c r="AT3862" s="82"/>
      <c r="AU3862" s="82"/>
      <c r="AV3862" s="82"/>
      <c r="AW3862" s="82" t="str">
        <f t="shared" si="1"/>
        <v/>
      </c>
      <c r="AX3862" s="83" t="str">
        <f t="array" ref="AX3862">IFERROR(DGET('SBV Import'!A:G,"SBV",{"RSC ID","Tier";B3862,A3862}))</f>
        <v/>
      </c>
      <c r="AY3862" s="82" t="str">
        <f t="shared" si="2"/>
        <v/>
      </c>
      <c r="AZ3862" s="82"/>
      <c r="BA3862" s="84" t="s">
        <v>152</v>
      </c>
      <c r="BB3862" s="84" t="str">
        <f>IFERROR(__xludf.DUMMYFUNCTION("iferror(if(A3862="""",,E3862&gt;=FILTER(Constants!$F$2:$F$10,Constants!$A$2:$A$10=A3862)))"),"")</f>
        <v/>
      </c>
    </row>
    <row r="3863">
      <c r="A3863" s="89"/>
      <c r="B3863" s="87"/>
      <c r="C3863" s="73"/>
      <c r="D3863" s="73"/>
      <c r="E3863" s="82"/>
      <c r="F3863" s="82"/>
      <c r="G3863" s="86"/>
      <c r="H3863" s="86"/>
      <c r="I3863" s="86"/>
      <c r="J3863" s="82"/>
      <c r="K3863" s="82"/>
      <c r="L3863" s="82"/>
      <c r="M3863" s="82"/>
      <c r="N3863" s="82"/>
      <c r="O3863" s="82"/>
      <c r="P3863" s="82"/>
      <c r="Q3863" s="82"/>
      <c r="R3863" s="82"/>
      <c r="S3863" s="82"/>
      <c r="T3863" s="82"/>
      <c r="U3863" s="82"/>
      <c r="V3863" s="82"/>
      <c r="W3863" s="82"/>
      <c r="X3863" s="82"/>
      <c r="Y3863" s="82"/>
      <c r="Z3863" s="82"/>
      <c r="AA3863" s="82"/>
      <c r="AB3863" s="82"/>
      <c r="AC3863" s="82"/>
      <c r="AD3863" s="82"/>
      <c r="AE3863" s="82"/>
      <c r="AF3863" s="82"/>
      <c r="AG3863" s="82"/>
      <c r="AH3863" s="82"/>
      <c r="AI3863" s="82"/>
      <c r="AJ3863" s="82"/>
      <c r="AK3863" s="82"/>
      <c r="AL3863" s="82"/>
      <c r="AM3863" s="82"/>
      <c r="AN3863" s="82"/>
      <c r="AO3863" s="82"/>
      <c r="AP3863" s="82"/>
      <c r="AQ3863" s="82"/>
      <c r="AR3863" s="82"/>
      <c r="AS3863" s="82"/>
      <c r="AT3863" s="82"/>
      <c r="AU3863" s="82"/>
      <c r="AV3863" s="82"/>
      <c r="AW3863" s="82" t="str">
        <f t="shared" si="1"/>
        <v/>
      </c>
      <c r="AX3863" s="83" t="str">
        <f t="array" ref="AX3863">IFERROR(DGET('SBV Import'!A:G,"SBV",{"RSC ID","Tier";B3863,A3863}))</f>
        <v/>
      </c>
      <c r="AY3863" s="82" t="str">
        <f t="shared" si="2"/>
        <v/>
      </c>
      <c r="AZ3863" s="82"/>
      <c r="BA3863" s="84" t="s">
        <v>152</v>
      </c>
      <c r="BB3863" s="84" t="str">
        <f>IFERROR(__xludf.DUMMYFUNCTION("iferror(if(A3863="""",,E3863&gt;=FILTER(Constants!$F$2:$F$10,Constants!$A$2:$A$10=A3863)))"),"")</f>
        <v/>
      </c>
    </row>
    <row r="3864">
      <c r="A3864" s="89"/>
      <c r="B3864" s="87"/>
      <c r="C3864" s="73"/>
      <c r="D3864" s="73"/>
      <c r="E3864" s="82"/>
      <c r="F3864" s="82"/>
      <c r="G3864" s="86"/>
      <c r="H3864" s="86"/>
      <c r="I3864" s="86"/>
      <c r="J3864" s="82"/>
      <c r="K3864" s="82"/>
      <c r="L3864" s="82"/>
      <c r="M3864" s="82"/>
      <c r="N3864" s="82"/>
      <c r="O3864" s="82"/>
      <c r="P3864" s="82"/>
      <c r="Q3864" s="82"/>
      <c r="R3864" s="82"/>
      <c r="S3864" s="82"/>
      <c r="T3864" s="82"/>
      <c r="U3864" s="82"/>
      <c r="V3864" s="82"/>
      <c r="W3864" s="82"/>
      <c r="X3864" s="82"/>
      <c r="Y3864" s="82"/>
      <c r="Z3864" s="82"/>
      <c r="AA3864" s="82"/>
      <c r="AB3864" s="82"/>
      <c r="AC3864" s="82"/>
      <c r="AD3864" s="82"/>
      <c r="AE3864" s="82"/>
      <c r="AF3864" s="82"/>
      <c r="AG3864" s="82"/>
      <c r="AH3864" s="82"/>
      <c r="AI3864" s="82"/>
      <c r="AJ3864" s="82"/>
      <c r="AK3864" s="82"/>
      <c r="AL3864" s="82"/>
      <c r="AM3864" s="82"/>
      <c r="AN3864" s="82"/>
      <c r="AO3864" s="82"/>
      <c r="AP3864" s="82"/>
      <c r="AQ3864" s="82"/>
      <c r="AR3864" s="82"/>
      <c r="AS3864" s="82"/>
      <c r="AT3864" s="82"/>
      <c r="AU3864" s="82"/>
      <c r="AV3864" s="82"/>
      <c r="AW3864" s="82" t="str">
        <f t="shared" si="1"/>
        <v/>
      </c>
      <c r="AX3864" s="83" t="str">
        <f t="array" ref="AX3864">IFERROR(DGET('SBV Import'!A:G,"SBV",{"RSC ID","Tier";B3864,A3864}))</f>
        <v/>
      </c>
      <c r="AY3864" s="82" t="str">
        <f t="shared" si="2"/>
        <v/>
      </c>
      <c r="AZ3864" s="82"/>
      <c r="BA3864" s="84" t="s">
        <v>152</v>
      </c>
      <c r="BB3864" s="84" t="str">
        <f>IFERROR(__xludf.DUMMYFUNCTION("iferror(if(A3864="""",,E3864&gt;=FILTER(Constants!$F$2:$F$10,Constants!$A$2:$A$10=A3864)))"),"")</f>
        <v/>
      </c>
    </row>
    <row r="3865">
      <c r="A3865" s="89"/>
      <c r="B3865" s="87"/>
      <c r="C3865" s="73"/>
      <c r="D3865" s="73"/>
      <c r="E3865" s="82"/>
      <c r="F3865" s="82"/>
      <c r="G3865" s="86"/>
      <c r="H3865" s="86"/>
      <c r="I3865" s="86"/>
      <c r="J3865" s="82"/>
      <c r="K3865" s="82"/>
      <c r="L3865" s="82"/>
      <c r="M3865" s="82"/>
      <c r="N3865" s="82"/>
      <c r="O3865" s="82"/>
      <c r="P3865" s="82"/>
      <c r="Q3865" s="82"/>
      <c r="R3865" s="82"/>
      <c r="S3865" s="82"/>
      <c r="T3865" s="82"/>
      <c r="U3865" s="82"/>
      <c r="V3865" s="82"/>
      <c r="W3865" s="82"/>
      <c r="X3865" s="82"/>
      <c r="Y3865" s="82"/>
      <c r="Z3865" s="82"/>
      <c r="AA3865" s="82"/>
      <c r="AB3865" s="82"/>
      <c r="AC3865" s="82"/>
      <c r="AD3865" s="82"/>
      <c r="AE3865" s="82"/>
      <c r="AF3865" s="82"/>
      <c r="AG3865" s="82"/>
      <c r="AH3865" s="82"/>
      <c r="AI3865" s="82"/>
      <c r="AJ3865" s="82"/>
      <c r="AK3865" s="82"/>
      <c r="AL3865" s="82"/>
      <c r="AM3865" s="82"/>
      <c r="AN3865" s="82"/>
      <c r="AO3865" s="82"/>
      <c r="AP3865" s="82"/>
      <c r="AQ3865" s="82"/>
      <c r="AR3865" s="82"/>
      <c r="AS3865" s="82"/>
      <c r="AT3865" s="82"/>
      <c r="AU3865" s="82"/>
      <c r="AV3865" s="82"/>
      <c r="AW3865" s="82" t="str">
        <f t="shared" si="1"/>
        <v/>
      </c>
      <c r="AX3865" s="83" t="str">
        <f t="array" ref="AX3865">IFERROR(DGET('SBV Import'!A:G,"SBV",{"RSC ID","Tier";B3865,A3865}))</f>
        <v/>
      </c>
      <c r="AY3865" s="82" t="str">
        <f t="shared" si="2"/>
        <v/>
      </c>
      <c r="AZ3865" s="82"/>
      <c r="BA3865" s="84" t="s">
        <v>152</v>
      </c>
      <c r="BB3865" s="84" t="str">
        <f>IFERROR(__xludf.DUMMYFUNCTION("iferror(if(A3865="""",,E3865&gt;=FILTER(Constants!$F$2:$F$10,Constants!$A$2:$A$10=A3865)))"),"")</f>
        <v/>
      </c>
    </row>
    <row r="3866">
      <c r="A3866" s="89"/>
      <c r="B3866" s="87"/>
      <c r="C3866" s="73"/>
      <c r="D3866" s="73"/>
      <c r="E3866" s="82"/>
      <c r="F3866" s="82"/>
      <c r="G3866" s="86"/>
      <c r="H3866" s="86"/>
      <c r="I3866" s="86"/>
      <c r="J3866" s="82"/>
      <c r="K3866" s="82"/>
      <c r="L3866" s="82"/>
      <c r="M3866" s="82"/>
      <c r="N3866" s="82"/>
      <c r="O3866" s="82"/>
      <c r="P3866" s="82"/>
      <c r="Q3866" s="82"/>
      <c r="R3866" s="82"/>
      <c r="S3866" s="82"/>
      <c r="T3866" s="82"/>
      <c r="U3866" s="82"/>
      <c r="V3866" s="82"/>
      <c r="W3866" s="82"/>
      <c r="X3866" s="82"/>
      <c r="Y3866" s="82"/>
      <c r="Z3866" s="82"/>
      <c r="AA3866" s="82"/>
      <c r="AB3866" s="82"/>
      <c r="AC3866" s="82"/>
      <c r="AD3866" s="82"/>
      <c r="AE3866" s="82"/>
      <c r="AF3866" s="82"/>
      <c r="AG3866" s="82"/>
      <c r="AH3866" s="82"/>
      <c r="AI3866" s="82"/>
      <c r="AJ3866" s="82"/>
      <c r="AK3866" s="82"/>
      <c r="AL3866" s="82"/>
      <c r="AM3866" s="82"/>
      <c r="AN3866" s="82"/>
      <c r="AO3866" s="82"/>
      <c r="AP3866" s="82"/>
      <c r="AQ3866" s="82"/>
      <c r="AR3866" s="82"/>
      <c r="AS3866" s="82"/>
      <c r="AT3866" s="82"/>
      <c r="AU3866" s="82"/>
      <c r="AV3866" s="82"/>
      <c r="AW3866" s="82" t="str">
        <f t="shared" si="1"/>
        <v/>
      </c>
      <c r="AX3866" s="83" t="str">
        <f t="array" ref="AX3866">IFERROR(DGET('SBV Import'!A:G,"SBV",{"RSC ID","Tier";B3866,A3866}))</f>
        <v/>
      </c>
      <c r="AY3866" s="82" t="str">
        <f t="shared" si="2"/>
        <v/>
      </c>
      <c r="AZ3866" s="82"/>
      <c r="BA3866" s="84" t="s">
        <v>152</v>
      </c>
      <c r="BB3866" s="84" t="str">
        <f>IFERROR(__xludf.DUMMYFUNCTION("iferror(if(A3866="""",,E3866&gt;=FILTER(Constants!$F$2:$F$10,Constants!$A$2:$A$10=A3866)))"),"")</f>
        <v/>
      </c>
    </row>
    <row r="3867">
      <c r="A3867" s="89"/>
      <c r="B3867" s="87"/>
      <c r="C3867" s="73"/>
      <c r="D3867" s="73"/>
      <c r="E3867" s="82"/>
      <c r="F3867" s="82"/>
      <c r="G3867" s="86"/>
      <c r="H3867" s="86"/>
      <c r="I3867" s="86"/>
      <c r="J3867" s="82"/>
      <c r="K3867" s="82"/>
      <c r="L3867" s="82"/>
      <c r="M3867" s="82"/>
      <c r="N3867" s="82"/>
      <c r="O3867" s="82"/>
      <c r="P3867" s="82"/>
      <c r="Q3867" s="82"/>
      <c r="R3867" s="82"/>
      <c r="S3867" s="82"/>
      <c r="T3867" s="82"/>
      <c r="U3867" s="82"/>
      <c r="V3867" s="82"/>
      <c r="W3867" s="82"/>
      <c r="X3867" s="82"/>
      <c r="Y3867" s="82"/>
      <c r="Z3867" s="82"/>
      <c r="AA3867" s="82"/>
      <c r="AB3867" s="82"/>
      <c r="AC3867" s="82"/>
      <c r="AD3867" s="82"/>
      <c r="AE3867" s="82"/>
      <c r="AF3867" s="82"/>
      <c r="AG3867" s="82"/>
      <c r="AH3867" s="82"/>
      <c r="AI3867" s="82"/>
      <c r="AJ3867" s="82"/>
      <c r="AK3867" s="82"/>
      <c r="AL3867" s="82"/>
      <c r="AM3867" s="82"/>
      <c r="AN3867" s="82"/>
      <c r="AO3867" s="82"/>
      <c r="AP3867" s="82"/>
      <c r="AQ3867" s="82"/>
      <c r="AR3867" s="82"/>
      <c r="AS3867" s="82"/>
      <c r="AT3867" s="82"/>
      <c r="AU3867" s="82"/>
      <c r="AV3867" s="82"/>
      <c r="AW3867" s="82" t="str">
        <f t="shared" si="1"/>
        <v/>
      </c>
      <c r="AX3867" s="83" t="str">
        <f t="array" ref="AX3867">IFERROR(DGET('SBV Import'!A:G,"SBV",{"RSC ID","Tier";B3867,A3867}))</f>
        <v/>
      </c>
      <c r="AY3867" s="82" t="str">
        <f t="shared" si="2"/>
        <v/>
      </c>
      <c r="AZ3867" s="82"/>
      <c r="BA3867" s="84" t="s">
        <v>152</v>
      </c>
      <c r="BB3867" s="84" t="str">
        <f>IFERROR(__xludf.DUMMYFUNCTION("iferror(if(A3867="""",,E3867&gt;=FILTER(Constants!$F$2:$F$10,Constants!$A$2:$A$10=A3867)))"),"")</f>
        <v/>
      </c>
    </row>
    <row r="3868">
      <c r="A3868" s="89"/>
      <c r="B3868" s="87"/>
      <c r="C3868" s="73"/>
      <c r="D3868" s="73"/>
      <c r="E3868" s="82"/>
      <c r="F3868" s="82"/>
      <c r="G3868" s="86"/>
      <c r="H3868" s="86"/>
      <c r="I3868" s="86"/>
      <c r="J3868" s="82"/>
      <c r="K3868" s="82"/>
      <c r="L3868" s="82"/>
      <c r="M3868" s="82"/>
      <c r="N3868" s="82"/>
      <c r="O3868" s="82"/>
      <c r="P3868" s="82"/>
      <c r="Q3868" s="82"/>
      <c r="R3868" s="82"/>
      <c r="S3868" s="82"/>
      <c r="T3868" s="82"/>
      <c r="U3868" s="82"/>
      <c r="V3868" s="82"/>
      <c r="W3868" s="82"/>
      <c r="X3868" s="82"/>
      <c r="Y3868" s="82"/>
      <c r="Z3868" s="82"/>
      <c r="AA3868" s="82"/>
      <c r="AB3868" s="82"/>
      <c r="AC3868" s="82"/>
      <c r="AD3868" s="82"/>
      <c r="AE3868" s="82"/>
      <c r="AF3868" s="82"/>
      <c r="AG3868" s="82"/>
      <c r="AH3868" s="82"/>
      <c r="AI3868" s="82"/>
      <c r="AJ3868" s="82"/>
      <c r="AK3868" s="82"/>
      <c r="AL3868" s="82"/>
      <c r="AM3868" s="82"/>
      <c r="AN3868" s="82"/>
      <c r="AO3868" s="82"/>
      <c r="AP3868" s="82"/>
      <c r="AQ3868" s="82"/>
      <c r="AR3868" s="82"/>
      <c r="AS3868" s="82"/>
      <c r="AT3868" s="82"/>
      <c r="AU3868" s="82"/>
      <c r="AV3868" s="82"/>
      <c r="AW3868" s="82" t="str">
        <f t="shared" si="1"/>
        <v/>
      </c>
      <c r="AX3868" s="83" t="str">
        <f t="array" ref="AX3868">IFERROR(DGET('SBV Import'!A:G,"SBV",{"RSC ID","Tier";B3868,A3868}))</f>
        <v/>
      </c>
      <c r="AY3868" s="82" t="str">
        <f t="shared" si="2"/>
        <v/>
      </c>
      <c r="AZ3868" s="82"/>
      <c r="BA3868" s="84" t="s">
        <v>152</v>
      </c>
      <c r="BB3868" s="84" t="str">
        <f>IFERROR(__xludf.DUMMYFUNCTION("iferror(if(A3868="""",,E3868&gt;=FILTER(Constants!$F$2:$F$10,Constants!$A$2:$A$10=A3868)))"),"")</f>
        <v/>
      </c>
    </row>
    <row r="3869">
      <c r="A3869" s="89"/>
      <c r="B3869" s="87"/>
      <c r="C3869" s="73"/>
      <c r="D3869" s="73"/>
      <c r="E3869" s="82"/>
      <c r="F3869" s="82"/>
      <c r="G3869" s="86"/>
      <c r="H3869" s="86"/>
      <c r="I3869" s="86"/>
      <c r="J3869" s="82"/>
      <c r="K3869" s="82"/>
      <c r="L3869" s="82"/>
      <c r="M3869" s="82"/>
      <c r="N3869" s="82"/>
      <c r="O3869" s="82"/>
      <c r="P3869" s="82"/>
      <c r="Q3869" s="82"/>
      <c r="R3869" s="82"/>
      <c r="S3869" s="82"/>
      <c r="T3869" s="82"/>
      <c r="U3869" s="82"/>
      <c r="V3869" s="82"/>
      <c r="W3869" s="82"/>
      <c r="X3869" s="82"/>
      <c r="Y3869" s="82"/>
      <c r="Z3869" s="82"/>
      <c r="AA3869" s="82"/>
      <c r="AB3869" s="82"/>
      <c r="AC3869" s="82"/>
      <c r="AD3869" s="82"/>
      <c r="AE3869" s="82"/>
      <c r="AF3869" s="82"/>
      <c r="AG3869" s="82"/>
      <c r="AH3869" s="82"/>
      <c r="AI3869" s="82"/>
      <c r="AJ3869" s="82"/>
      <c r="AK3869" s="82"/>
      <c r="AL3869" s="82"/>
      <c r="AM3869" s="82"/>
      <c r="AN3869" s="82"/>
      <c r="AO3869" s="82"/>
      <c r="AP3869" s="82"/>
      <c r="AQ3869" s="82"/>
      <c r="AR3869" s="82"/>
      <c r="AS3869" s="82"/>
      <c r="AT3869" s="82"/>
      <c r="AU3869" s="82"/>
      <c r="AV3869" s="82"/>
      <c r="AW3869" s="82" t="str">
        <f t="shared" si="1"/>
        <v/>
      </c>
      <c r="AX3869" s="83" t="str">
        <f t="array" ref="AX3869">IFERROR(DGET('SBV Import'!A:G,"SBV",{"RSC ID","Tier";B3869,A3869}))</f>
        <v/>
      </c>
      <c r="AY3869" s="82" t="str">
        <f t="shared" si="2"/>
        <v/>
      </c>
      <c r="AZ3869" s="82"/>
      <c r="BA3869" s="84" t="s">
        <v>152</v>
      </c>
      <c r="BB3869" s="84" t="str">
        <f>IFERROR(__xludf.DUMMYFUNCTION("iferror(if(A3869="""",,E3869&gt;=FILTER(Constants!$F$2:$F$10,Constants!$A$2:$A$10=A3869)))"),"")</f>
        <v/>
      </c>
    </row>
    <row r="3870">
      <c r="A3870" s="89"/>
      <c r="B3870" s="87"/>
      <c r="C3870" s="73"/>
      <c r="D3870" s="73"/>
      <c r="E3870" s="82"/>
      <c r="F3870" s="82"/>
      <c r="G3870" s="86"/>
      <c r="H3870" s="86"/>
      <c r="I3870" s="86"/>
      <c r="J3870" s="82"/>
      <c r="K3870" s="82"/>
      <c r="L3870" s="82"/>
      <c r="M3870" s="82"/>
      <c r="N3870" s="82"/>
      <c r="O3870" s="82"/>
      <c r="P3870" s="82"/>
      <c r="Q3870" s="82"/>
      <c r="R3870" s="82"/>
      <c r="S3870" s="82"/>
      <c r="T3870" s="82"/>
      <c r="U3870" s="82"/>
      <c r="V3870" s="82"/>
      <c r="W3870" s="82"/>
      <c r="X3870" s="82"/>
      <c r="Y3870" s="82"/>
      <c r="Z3870" s="82"/>
      <c r="AA3870" s="82"/>
      <c r="AB3870" s="82"/>
      <c r="AC3870" s="82"/>
      <c r="AD3870" s="82"/>
      <c r="AE3870" s="82"/>
      <c r="AF3870" s="82"/>
      <c r="AG3870" s="82"/>
      <c r="AH3870" s="82"/>
      <c r="AI3870" s="82"/>
      <c r="AJ3870" s="82"/>
      <c r="AK3870" s="82"/>
      <c r="AL3870" s="82"/>
      <c r="AM3870" s="82"/>
      <c r="AN3870" s="82"/>
      <c r="AO3870" s="82"/>
      <c r="AP3870" s="82"/>
      <c r="AQ3870" s="82"/>
      <c r="AR3870" s="82"/>
      <c r="AS3870" s="82"/>
      <c r="AT3870" s="82"/>
      <c r="AU3870" s="82"/>
      <c r="AV3870" s="82"/>
      <c r="AW3870" s="82" t="str">
        <f t="shared" si="1"/>
        <v/>
      </c>
      <c r="AX3870" s="83" t="str">
        <f t="array" ref="AX3870">IFERROR(DGET('SBV Import'!A:G,"SBV",{"RSC ID","Tier";B3870,A3870}))</f>
        <v/>
      </c>
      <c r="AY3870" s="82" t="str">
        <f t="shared" si="2"/>
        <v/>
      </c>
      <c r="AZ3870" s="82"/>
      <c r="BA3870" s="84" t="s">
        <v>152</v>
      </c>
      <c r="BB3870" s="84" t="str">
        <f>IFERROR(__xludf.DUMMYFUNCTION("iferror(if(A3870="""",,E3870&gt;=FILTER(Constants!$F$2:$F$10,Constants!$A$2:$A$10=A3870)))"),"")</f>
        <v/>
      </c>
    </row>
    <row r="3871">
      <c r="A3871" s="89"/>
      <c r="B3871" s="87"/>
      <c r="C3871" s="73"/>
      <c r="D3871" s="73"/>
      <c r="E3871" s="82"/>
      <c r="F3871" s="82"/>
      <c r="G3871" s="86"/>
      <c r="H3871" s="86"/>
      <c r="I3871" s="86"/>
      <c r="J3871" s="82"/>
      <c r="K3871" s="82"/>
      <c r="L3871" s="82"/>
      <c r="M3871" s="82"/>
      <c r="N3871" s="82"/>
      <c r="O3871" s="82"/>
      <c r="P3871" s="82"/>
      <c r="Q3871" s="82"/>
      <c r="R3871" s="82"/>
      <c r="S3871" s="82"/>
      <c r="T3871" s="82"/>
      <c r="U3871" s="82"/>
      <c r="V3871" s="82"/>
      <c r="W3871" s="82"/>
      <c r="X3871" s="82"/>
      <c r="Y3871" s="82"/>
      <c r="Z3871" s="82"/>
      <c r="AA3871" s="82"/>
      <c r="AB3871" s="82"/>
      <c r="AC3871" s="82"/>
      <c r="AD3871" s="82"/>
      <c r="AE3871" s="82"/>
      <c r="AF3871" s="82"/>
      <c r="AG3871" s="82"/>
      <c r="AH3871" s="82"/>
      <c r="AI3871" s="82"/>
      <c r="AJ3871" s="82"/>
      <c r="AK3871" s="82"/>
      <c r="AL3871" s="82"/>
      <c r="AM3871" s="82"/>
      <c r="AN3871" s="82"/>
      <c r="AO3871" s="82"/>
      <c r="AP3871" s="82"/>
      <c r="AQ3871" s="82"/>
      <c r="AR3871" s="82"/>
      <c r="AS3871" s="82"/>
      <c r="AT3871" s="82"/>
      <c r="AU3871" s="82"/>
      <c r="AV3871" s="82"/>
      <c r="AW3871" s="82" t="str">
        <f t="shared" si="1"/>
        <v/>
      </c>
      <c r="AX3871" s="83" t="str">
        <f t="array" ref="AX3871">IFERROR(DGET('SBV Import'!A:G,"SBV",{"RSC ID","Tier";B3871,A3871}))</f>
        <v/>
      </c>
      <c r="AY3871" s="82" t="str">
        <f t="shared" si="2"/>
        <v/>
      </c>
      <c r="AZ3871" s="82"/>
      <c r="BA3871" s="84" t="s">
        <v>152</v>
      </c>
      <c r="BB3871" s="84" t="str">
        <f>IFERROR(__xludf.DUMMYFUNCTION("iferror(if(A3871="""",,E3871&gt;=FILTER(Constants!$F$2:$F$10,Constants!$A$2:$A$10=A3871)))"),"")</f>
        <v/>
      </c>
    </row>
    <row r="3872">
      <c r="A3872" s="89"/>
      <c r="B3872" s="87"/>
      <c r="C3872" s="73"/>
      <c r="D3872" s="73"/>
      <c r="E3872" s="82"/>
      <c r="F3872" s="82"/>
      <c r="G3872" s="86"/>
      <c r="H3872" s="86"/>
      <c r="I3872" s="86"/>
      <c r="J3872" s="82"/>
      <c r="K3872" s="82"/>
      <c r="L3872" s="82"/>
      <c r="M3872" s="82"/>
      <c r="N3872" s="82"/>
      <c r="O3872" s="82"/>
      <c r="P3872" s="82"/>
      <c r="Q3872" s="82"/>
      <c r="R3872" s="82"/>
      <c r="S3872" s="82"/>
      <c r="T3872" s="82"/>
      <c r="U3872" s="82"/>
      <c r="V3872" s="82"/>
      <c r="W3872" s="82"/>
      <c r="X3872" s="82"/>
      <c r="Y3872" s="82"/>
      <c r="Z3872" s="82"/>
      <c r="AA3872" s="82"/>
      <c r="AB3872" s="82"/>
      <c r="AC3872" s="82"/>
      <c r="AD3872" s="82"/>
      <c r="AE3872" s="82"/>
      <c r="AF3872" s="82"/>
      <c r="AG3872" s="82"/>
      <c r="AH3872" s="82"/>
      <c r="AI3872" s="82"/>
      <c r="AJ3872" s="82"/>
      <c r="AK3872" s="82"/>
      <c r="AL3872" s="82"/>
      <c r="AM3872" s="82"/>
      <c r="AN3872" s="82"/>
      <c r="AO3872" s="82"/>
      <c r="AP3872" s="82"/>
      <c r="AQ3872" s="82"/>
      <c r="AR3872" s="82"/>
      <c r="AS3872" s="82"/>
      <c r="AT3872" s="82"/>
      <c r="AU3872" s="82"/>
      <c r="AV3872" s="82"/>
      <c r="AW3872" s="82" t="str">
        <f t="shared" si="1"/>
        <v/>
      </c>
      <c r="AX3872" s="83" t="str">
        <f t="array" ref="AX3872">IFERROR(DGET('SBV Import'!A:G,"SBV",{"RSC ID","Tier";B3872,A3872}))</f>
        <v/>
      </c>
      <c r="AY3872" s="82" t="str">
        <f t="shared" si="2"/>
        <v/>
      </c>
      <c r="AZ3872" s="82"/>
      <c r="BA3872" s="84" t="s">
        <v>152</v>
      </c>
      <c r="BB3872" s="84" t="str">
        <f>IFERROR(__xludf.DUMMYFUNCTION("iferror(if(A3872="""",,E3872&gt;=FILTER(Constants!$F$2:$F$10,Constants!$A$2:$A$10=A3872)))"),"")</f>
        <v/>
      </c>
    </row>
    <row r="3873">
      <c r="A3873" s="89"/>
      <c r="B3873" s="87"/>
      <c r="C3873" s="73"/>
      <c r="D3873" s="73"/>
      <c r="E3873" s="82"/>
      <c r="F3873" s="82"/>
      <c r="G3873" s="86"/>
      <c r="H3873" s="86"/>
      <c r="I3873" s="86"/>
      <c r="J3873" s="82"/>
      <c r="K3873" s="82"/>
      <c r="L3873" s="82"/>
      <c r="M3873" s="82"/>
      <c r="N3873" s="82"/>
      <c r="O3873" s="82"/>
      <c r="P3873" s="82"/>
      <c r="Q3873" s="82"/>
      <c r="R3873" s="82"/>
      <c r="S3873" s="82"/>
      <c r="T3873" s="82"/>
      <c r="U3873" s="82"/>
      <c r="V3873" s="82"/>
      <c r="W3873" s="82"/>
      <c r="X3873" s="82"/>
      <c r="Y3873" s="82"/>
      <c r="Z3873" s="82"/>
      <c r="AA3873" s="82"/>
      <c r="AB3873" s="82"/>
      <c r="AC3873" s="82"/>
      <c r="AD3873" s="82"/>
      <c r="AE3873" s="82"/>
      <c r="AF3873" s="82"/>
      <c r="AG3873" s="82"/>
      <c r="AH3873" s="82"/>
      <c r="AI3873" s="82"/>
      <c r="AJ3873" s="82"/>
      <c r="AK3873" s="82"/>
      <c r="AL3873" s="82"/>
      <c r="AM3873" s="82"/>
      <c r="AN3873" s="82"/>
      <c r="AO3873" s="82"/>
      <c r="AP3873" s="82"/>
      <c r="AQ3873" s="82"/>
      <c r="AR3873" s="82"/>
      <c r="AS3873" s="82"/>
      <c r="AT3873" s="82"/>
      <c r="AU3873" s="82"/>
      <c r="AV3873" s="82"/>
      <c r="AW3873" s="82" t="str">
        <f t="shared" si="1"/>
        <v/>
      </c>
      <c r="AX3873" s="83" t="str">
        <f t="array" ref="AX3873">IFERROR(DGET('SBV Import'!A:G,"SBV",{"RSC ID","Tier";B3873,A3873}))</f>
        <v/>
      </c>
      <c r="AY3873" s="82" t="str">
        <f t="shared" si="2"/>
        <v/>
      </c>
      <c r="AZ3873" s="82"/>
      <c r="BA3873" s="84" t="s">
        <v>152</v>
      </c>
      <c r="BB3873" s="84" t="str">
        <f>IFERROR(__xludf.DUMMYFUNCTION("iferror(if(A3873="""",,E3873&gt;=FILTER(Constants!$F$2:$F$10,Constants!$A$2:$A$10=A3873)))"),"")</f>
        <v/>
      </c>
    </row>
    <row r="3874">
      <c r="A3874" s="89"/>
      <c r="B3874" s="87"/>
      <c r="C3874" s="73"/>
      <c r="D3874" s="73"/>
      <c r="E3874" s="82"/>
      <c r="F3874" s="82"/>
      <c r="G3874" s="86"/>
      <c r="H3874" s="86"/>
      <c r="I3874" s="86"/>
      <c r="J3874" s="82"/>
      <c r="K3874" s="82"/>
      <c r="L3874" s="82"/>
      <c r="M3874" s="82"/>
      <c r="N3874" s="82"/>
      <c r="O3874" s="82"/>
      <c r="P3874" s="82"/>
      <c r="Q3874" s="82"/>
      <c r="R3874" s="82"/>
      <c r="S3874" s="82"/>
      <c r="T3874" s="82"/>
      <c r="U3874" s="82"/>
      <c r="V3874" s="82"/>
      <c r="W3874" s="82"/>
      <c r="X3874" s="82"/>
      <c r="Y3874" s="82"/>
      <c r="Z3874" s="82"/>
      <c r="AA3874" s="82"/>
      <c r="AB3874" s="82"/>
      <c r="AC3874" s="82"/>
      <c r="AD3874" s="82"/>
      <c r="AE3874" s="82"/>
      <c r="AF3874" s="82"/>
      <c r="AG3874" s="82"/>
      <c r="AH3874" s="82"/>
      <c r="AI3874" s="82"/>
      <c r="AJ3874" s="82"/>
      <c r="AK3874" s="82"/>
      <c r="AL3874" s="82"/>
      <c r="AM3874" s="82"/>
      <c r="AN3874" s="82"/>
      <c r="AO3874" s="82"/>
      <c r="AP3874" s="82"/>
      <c r="AQ3874" s="82"/>
      <c r="AR3874" s="82"/>
      <c r="AS3874" s="82"/>
      <c r="AT3874" s="82"/>
      <c r="AU3874" s="82"/>
      <c r="AV3874" s="82"/>
      <c r="AW3874" s="82" t="str">
        <f t="shared" si="1"/>
        <v/>
      </c>
      <c r="AX3874" s="83" t="str">
        <f t="array" ref="AX3874">IFERROR(DGET('SBV Import'!A:G,"SBV",{"RSC ID","Tier";B3874,A3874}))</f>
        <v/>
      </c>
      <c r="AY3874" s="82" t="str">
        <f t="shared" si="2"/>
        <v/>
      </c>
      <c r="AZ3874" s="82"/>
      <c r="BA3874" s="84" t="s">
        <v>152</v>
      </c>
      <c r="BB3874" s="84" t="str">
        <f>IFERROR(__xludf.DUMMYFUNCTION("iferror(if(A3874="""",,E3874&gt;=FILTER(Constants!$F$2:$F$10,Constants!$A$2:$A$10=A3874)))"),"")</f>
        <v/>
      </c>
    </row>
    <row r="3875">
      <c r="A3875" s="89"/>
      <c r="B3875" s="87"/>
      <c r="C3875" s="73"/>
      <c r="D3875" s="73"/>
      <c r="E3875" s="82"/>
      <c r="F3875" s="82"/>
      <c r="G3875" s="86"/>
      <c r="H3875" s="86"/>
      <c r="I3875" s="86"/>
      <c r="J3875" s="82"/>
      <c r="K3875" s="82"/>
      <c r="L3875" s="82"/>
      <c r="M3875" s="82"/>
      <c r="N3875" s="82"/>
      <c r="O3875" s="82"/>
      <c r="P3875" s="82"/>
      <c r="Q3875" s="82"/>
      <c r="R3875" s="82"/>
      <c r="S3875" s="82"/>
      <c r="T3875" s="82"/>
      <c r="U3875" s="82"/>
      <c r="V3875" s="82"/>
      <c r="W3875" s="82"/>
      <c r="X3875" s="82"/>
      <c r="Y3875" s="82"/>
      <c r="Z3875" s="82"/>
      <c r="AA3875" s="82"/>
      <c r="AB3875" s="82"/>
      <c r="AC3875" s="82"/>
      <c r="AD3875" s="82"/>
      <c r="AE3875" s="82"/>
      <c r="AF3875" s="82"/>
      <c r="AG3875" s="82"/>
      <c r="AH3875" s="82"/>
      <c r="AI3875" s="82"/>
      <c r="AJ3875" s="82"/>
      <c r="AK3875" s="82"/>
      <c r="AL3875" s="82"/>
      <c r="AM3875" s="82"/>
      <c r="AN3875" s="82"/>
      <c r="AO3875" s="82"/>
      <c r="AP3875" s="82"/>
      <c r="AQ3875" s="82"/>
      <c r="AR3875" s="82"/>
      <c r="AS3875" s="82"/>
      <c r="AT3875" s="82"/>
      <c r="AU3875" s="82"/>
      <c r="AV3875" s="82"/>
      <c r="AW3875" s="82" t="str">
        <f t="shared" si="1"/>
        <v/>
      </c>
      <c r="AX3875" s="83" t="str">
        <f t="array" ref="AX3875">IFERROR(DGET('SBV Import'!A:G,"SBV",{"RSC ID","Tier";B3875,A3875}))</f>
        <v/>
      </c>
      <c r="AY3875" s="82" t="str">
        <f t="shared" si="2"/>
        <v/>
      </c>
      <c r="AZ3875" s="82"/>
      <c r="BA3875" s="84" t="s">
        <v>152</v>
      </c>
      <c r="BB3875" s="84" t="str">
        <f>IFERROR(__xludf.DUMMYFUNCTION("iferror(if(A3875="""",,E3875&gt;=FILTER(Constants!$F$2:$F$10,Constants!$A$2:$A$10=A3875)))"),"")</f>
        <v/>
      </c>
    </row>
    <row r="3876">
      <c r="A3876" s="89"/>
      <c r="B3876" s="87"/>
      <c r="C3876" s="73"/>
      <c r="D3876" s="73"/>
      <c r="E3876" s="82"/>
      <c r="F3876" s="82"/>
      <c r="G3876" s="86"/>
      <c r="H3876" s="86"/>
      <c r="I3876" s="86"/>
      <c r="J3876" s="82"/>
      <c r="K3876" s="82"/>
      <c r="L3876" s="82"/>
      <c r="M3876" s="82"/>
      <c r="N3876" s="82"/>
      <c r="O3876" s="82"/>
      <c r="P3876" s="82"/>
      <c r="Q3876" s="82"/>
      <c r="R3876" s="82"/>
      <c r="S3876" s="82"/>
      <c r="T3876" s="82"/>
      <c r="U3876" s="82"/>
      <c r="V3876" s="82"/>
      <c r="W3876" s="82"/>
      <c r="X3876" s="82"/>
      <c r="Y3876" s="82"/>
      <c r="Z3876" s="82"/>
      <c r="AA3876" s="82"/>
      <c r="AB3876" s="82"/>
      <c r="AC3876" s="82"/>
      <c r="AD3876" s="82"/>
      <c r="AE3876" s="82"/>
      <c r="AF3876" s="82"/>
      <c r="AG3876" s="82"/>
      <c r="AH3876" s="82"/>
      <c r="AI3876" s="82"/>
      <c r="AJ3876" s="82"/>
      <c r="AK3876" s="82"/>
      <c r="AL3876" s="82"/>
      <c r="AM3876" s="82"/>
      <c r="AN3876" s="82"/>
      <c r="AO3876" s="82"/>
      <c r="AP3876" s="82"/>
      <c r="AQ3876" s="82"/>
      <c r="AR3876" s="82"/>
      <c r="AS3876" s="82"/>
      <c r="AT3876" s="82"/>
      <c r="AU3876" s="82"/>
      <c r="AV3876" s="82"/>
      <c r="AW3876" s="82" t="str">
        <f t="shared" si="1"/>
        <v/>
      </c>
      <c r="AX3876" s="83" t="str">
        <f t="array" ref="AX3876">IFERROR(DGET('SBV Import'!A:G,"SBV",{"RSC ID","Tier";B3876,A3876}))</f>
        <v/>
      </c>
      <c r="AY3876" s="82" t="str">
        <f t="shared" si="2"/>
        <v/>
      </c>
      <c r="AZ3876" s="82"/>
      <c r="BA3876" s="84" t="s">
        <v>152</v>
      </c>
      <c r="BB3876" s="84" t="str">
        <f>IFERROR(__xludf.DUMMYFUNCTION("iferror(if(A3876="""",,E3876&gt;=FILTER(Constants!$F$2:$F$10,Constants!$A$2:$A$10=A3876)))"),"")</f>
        <v/>
      </c>
    </row>
    <row r="3877">
      <c r="A3877" s="89"/>
      <c r="B3877" s="87"/>
      <c r="C3877" s="73"/>
      <c r="D3877" s="73"/>
      <c r="E3877" s="82"/>
      <c r="F3877" s="82"/>
      <c r="G3877" s="86"/>
      <c r="H3877" s="86"/>
      <c r="I3877" s="86"/>
      <c r="J3877" s="82"/>
      <c r="K3877" s="82"/>
      <c r="L3877" s="82"/>
      <c r="M3877" s="82"/>
      <c r="N3877" s="82"/>
      <c r="O3877" s="82"/>
      <c r="P3877" s="82"/>
      <c r="Q3877" s="82"/>
      <c r="R3877" s="82"/>
      <c r="S3877" s="82"/>
      <c r="T3877" s="82"/>
      <c r="U3877" s="82"/>
      <c r="V3877" s="82"/>
      <c r="W3877" s="82"/>
      <c r="X3877" s="82"/>
      <c r="Y3877" s="82"/>
      <c r="Z3877" s="82"/>
      <c r="AA3877" s="82"/>
      <c r="AB3877" s="82"/>
      <c r="AC3877" s="82"/>
      <c r="AD3877" s="82"/>
      <c r="AE3877" s="82"/>
      <c r="AF3877" s="82"/>
      <c r="AG3877" s="82"/>
      <c r="AH3877" s="82"/>
      <c r="AI3877" s="82"/>
      <c r="AJ3877" s="82"/>
      <c r="AK3877" s="82"/>
      <c r="AL3877" s="82"/>
      <c r="AM3877" s="82"/>
      <c r="AN3877" s="82"/>
      <c r="AO3877" s="82"/>
      <c r="AP3877" s="82"/>
      <c r="AQ3877" s="82"/>
      <c r="AR3877" s="82"/>
      <c r="AS3877" s="82"/>
      <c r="AT3877" s="82"/>
      <c r="AU3877" s="82"/>
      <c r="AV3877" s="82"/>
      <c r="AW3877" s="82" t="str">
        <f t="shared" si="1"/>
        <v/>
      </c>
      <c r="AX3877" s="83" t="str">
        <f t="array" ref="AX3877">IFERROR(DGET('SBV Import'!A:G,"SBV",{"RSC ID","Tier";B3877,A3877}))</f>
        <v/>
      </c>
      <c r="AY3877" s="82" t="str">
        <f t="shared" si="2"/>
        <v/>
      </c>
      <c r="AZ3877" s="82"/>
      <c r="BA3877" s="84" t="s">
        <v>152</v>
      </c>
      <c r="BB3877" s="84" t="str">
        <f>IFERROR(__xludf.DUMMYFUNCTION("iferror(if(A3877="""",,E3877&gt;=FILTER(Constants!$F$2:$F$10,Constants!$A$2:$A$10=A3877)))"),"")</f>
        <v/>
      </c>
    </row>
    <row r="3878">
      <c r="A3878" s="89"/>
      <c r="B3878" s="87"/>
      <c r="C3878" s="73"/>
      <c r="D3878" s="73"/>
      <c r="E3878" s="82"/>
      <c r="F3878" s="82"/>
      <c r="G3878" s="86"/>
      <c r="H3878" s="86"/>
      <c r="I3878" s="86"/>
      <c r="J3878" s="82"/>
      <c r="K3878" s="82"/>
      <c r="L3878" s="82"/>
      <c r="M3878" s="82"/>
      <c r="N3878" s="82"/>
      <c r="O3878" s="82"/>
      <c r="P3878" s="82"/>
      <c r="Q3878" s="82"/>
      <c r="R3878" s="82"/>
      <c r="S3878" s="82"/>
      <c r="T3878" s="82"/>
      <c r="U3878" s="82"/>
      <c r="V3878" s="82"/>
      <c r="W3878" s="82"/>
      <c r="X3878" s="82"/>
      <c r="Y3878" s="82"/>
      <c r="Z3878" s="82"/>
      <c r="AA3878" s="82"/>
      <c r="AB3878" s="82"/>
      <c r="AC3878" s="82"/>
      <c r="AD3878" s="82"/>
      <c r="AE3878" s="82"/>
      <c r="AF3878" s="82"/>
      <c r="AG3878" s="82"/>
      <c r="AH3878" s="82"/>
      <c r="AI3878" s="82"/>
      <c r="AJ3878" s="82"/>
      <c r="AK3878" s="82"/>
      <c r="AL3878" s="82"/>
      <c r="AM3878" s="82"/>
      <c r="AN3878" s="82"/>
      <c r="AO3878" s="82"/>
      <c r="AP3878" s="82"/>
      <c r="AQ3878" s="82"/>
      <c r="AR3878" s="82"/>
      <c r="AS3878" s="82"/>
      <c r="AT3878" s="82"/>
      <c r="AU3878" s="82"/>
      <c r="AV3878" s="82"/>
      <c r="AW3878" s="82" t="str">
        <f t="shared" si="1"/>
        <v/>
      </c>
      <c r="AX3878" s="83" t="str">
        <f t="array" ref="AX3878">IFERROR(DGET('SBV Import'!A:G,"SBV",{"RSC ID","Tier";B3878,A3878}))</f>
        <v/>
      </c>
      <c r="AY3878" s="82" t="str">
        <f t="shared" si="2"/>
        <v/>
      </c>
      <c r="AZ3878" s="82"/>
      <c r="BA3878" s="84" t="s">
        <v>152</v>
      </c>
      <c r="BB3878" s="84" t="str">
        <f>IFERROR(__xludf.DUMMYFUNCTION("iferror(if(A3878="""",,E3878&gt;=FILTER(Constants!$F$2:$F$10,Constants!$A$2:$A$10=A3878)))"),"")</f>
        <v/>
      </c>
    </row>
    <row r="3879">
      <c r="A3879" s="89"/>
      <c r="B3879" s="87"/>
      <c r="C3879" s="73"/>
      <c r="D3879" s="73"/>
      <c r="E3879" s="82"/>
      <c r="F3879" s="82"/>
      <c r="G3879" s="86"/>
      <c r="H3879" s="86"/>
      <c r="I3879" s="86"/>
      <c r="J3879" s="82"/>
      <c r="K3879" s="82"/>
      <c r="L3879" s="82"/>
      <c r="M3879" s="82"/>
      <c r="N3879" s="82"/>
      <c r="O3879" s="82"/>
      <c r="P3879" s="82"/>
      <c r="Q3879" s="82"/>
      <c r="R3879" s="82"/>
      <c r="S3879" s="82"/>
      <c r="T3879" s="82"/>
      <c r="U3879" s="82"/>
      <c r="V3879" s="82"/>
      <c r="W3879" s="82"/>
      <c r="X3879" s="82"/>
      <c r="Y3879" s="82"/>
      <c r="Z3879" s="82"/>
      <c r="AA3879" s="82"/>
      <c r="AB3879" s="82"/>
      <c r="AC3879" s="82"/>
      <c r="AD3879" s="82"/>
      <c r="AE3879" s="82"/>
      <c r="AF3879" s="82"/>
      <c r="AG3879" s="82"/>
      <c r="AH3879" s="82"/>
      <c r="AI3879" s="82"/>
      <c r="AJ3879" s="82"/>
      <c r="AK3879" s="82"/>
      <c r="AL3879" s="82"/>
      <c r="AM3879" s="82"/>
      <c r="AN3879" s="82"/>
      <c r="AO3879" s="82"/>
      <c r="AP3879" s="82"/>
      <c r="AQ3879" s="82"/>
      <c r="AR3879" s="82"/>
      <c r="AS3879" s="82"/>
      <c r="AT3879" s="82"/>
      <c r="AU3879" s="82"/>
      <c r="AV3879" s="82"/>
      <c r="AW3879" s="82" t="str">
        <f t="shared" si="1"/>
        <v/>
      </c>
      <c r="AX3879" s="83" t="str">
        <f t="array" ref="AX3879">IFERROR(DGET('SBV Import'!A:G,"SBV",{"RSC ID","Tier";B3879,A3879}))</f>
        <v/>
      </c>
      <c r="AY3879" s="82" t="str">
        <f t="shared" si="2"/>
        <v/>
      </c>
      <c r="AZ3879" s="82"/>
      <c r="BA3879" s="84" t="s">
        <v>152</v>
      </c>
      <c r="BB3879" s="84" t="str">
        <f>IFERROR(__xludf.DUMMYFUNCTION("iferror(if(A3879="""",,E3879&gt;=FILTER(Constants!$F$2:$F$10,Constants!$A$2:$A$10=A3879)))"),"")</f>
        <v/>
      </c>
    </row>
    <row r="3880">
      <c r="A3880" s="89"/>
      <c r="B3880" s="87"/>
      <c r="C3880" s="73"/>
      <c r="D3880" s="73"/>
      <c r="E3880" s="82"/>
      <c r="F3880" s="82"/>
      <c r="G3880" s="86"/>
      <c r="H3880" s="86"/>
      <c r="I3880" s="86"/>
      <c r="J3880" s="82"/>
      <c r="K3880" s="82"/>
      <c r="L3880" s="82"/>
      <c r="M3880" s="82"/>
      <c r="N3880" s="82"/>
      <c r="O3880" s="82"/>
      <c r="P3880" s="82"/>
      <c r="Q3880" s="82"/>
      <c r="R3880" s="82"/>
      <c r="S3880" s="82"/>
      <c r="T3880" s="82"/>
      <c r="U3880" s="82"/>
      <c r="V3880" s="82"/>
      <c r="W3880" s="82"/>
      <c r="X3880" s="82"/>
      <c r="Y3880" s="82"/>
      <c r="Z3880" s="82"/>
      <c r="AA3880" s="82"/>
      <c r="AB3880" s="82"/>
      <c r="AC3880" s="82"/>
      <c r="AD3880" s="82"/>
      <c r="AE3880" s="82"/>
      <c r="AF3880" s="82"/>
      <c r="AG3880" s="82"/>
      <c r="AH3880" s="82"/>
      <c r="AI3880" s="82"/>
      <c r="AJ3880" s="82"/>
      <c r="AK3880" s="82"/>
      <c r="AL3880" s="82"/>
      <c r="AM3880" s="82"/>
      <c r="AN3880" s="82"/>
      <c r="AO3880" s="82"/>
      <c r="AP3880" s="82"/>
      <c r="AQ3880" s="82"/>
      <c r="AR3880" s="82"/>
      <c r="AS3880" s="82"/>
      <c r="AT3880" s="82"/>
      <c r="AU3880" s="82"/>
      <c r="AV3880" s="82"/>
      <c r="AW3880" s="82" t="str">
        <f t="shared" si="1"/>
        <v/>
      </c>
      <c r="AX3880" s="83" t="str">
        <f t="array" ref="AX3880">IFERROR(DGET('SBV Import'!A:G,"SBV",{"RSC ID","Tier";B3880,A3880}))</f>
        <v/>
      </c>
      <c r="AY3880" s="82" t="str">
        <f t="shared" si="2"/>
        <v/>
      </c>
      <c r="AZ3880" s="82"/>
      <c r="BA3880" s="84" t="s">
        <v>152</v>
      </c>
      <c r="BB3880" s="84" t="str">
        <f>IFERROR(__xludf.DUMMYFUNCTION("iferror(if(A3880="""",,E3880&gt;=FILTER(Constants!$F$2:$F$10,Constants!$A$2:$A$10=A3880)))"),"")</f>
        <v/>
      </c>
    </row>
    <row r="3881">
      <c r="A3881" s="89"/>
      <c r="B3881" s="87"/>
      <c r="C3881" s="73"/>
      <c r="D3881" s="73"/>
      <c r="E3881" s="82"/>
      <c r="F3881" s="82"/>
      <c r="G3881" s="86"/>
      <c r="H3881" s="86"/>
      <c r="I3881" s="86"/>
      <c r="J3881" s="82"/>
      <c r="K3881" s="82"/>
      <c r="L3881" s="82"/>
      <c r="M3881" s="82"/>
      <c r="N3881" s="82"/>
      <c r="O3881" s="82"/>
      <c r="P3881" s="82"/>
      <c r="Q3881" s="82"/>
      <c r="R3881" s="82"/>
      <c r="S3881" s="82"/>
      <c r="T3881" s="82"/>
      <c r="U3881" s="82"/>
      <c r="V3881" s="82"/>
      <c r="W3881" s="82"/>
      <c r="X3881" s="82"/>
      <c r="Y3881" s="82"/>
      <c r="Z3881" s="82"/>
      <c r="AA3881" s="82"/>
      <c r="AB3881" s="82"/>
      <c r="AC3881" s="82"/>
      <c r="AD3881" s="82"/>
      <c r="AE3881" s="82"/>
      <c r="AF3881" s="82"/>
      <c r="AG3881" s="82"/>
      <c r="AH3881" s="82"/>
      <c r="AI3881" s="82"/>
      <c r="AJ3881" s="82"/>
      <c r="AK3881" s="82"/>
      <c r="AL3881" s="82"/>
      <c r="AM3881" s="82"/>
      <c r="AN3881" s="82"/>
      <c r="AO3881" s="82"/>
      <c r="AP3881" s="82"/>
      <c r="AQ3881" s="82"/>
      <c r="AR3881" s="82"/>
      <c r="AS3881" s="82"/>
      <c r="AT3881" s="82"/>
      <c r="AU3881" s="82"/>
      <c r="AV3881" s="82"/>
      <c r="AW3881" s="82" t="str">
        <f t="shared" si="1"/>
        <v/>
      </c>
      <c r="AX3881" s="83" t="str">
        <f t="array" ref="AX3881">IFERROR(DGET('SBV Import'!A:G,"SBV",{"RSC ID","Tier";B3881,A3881}))</f>
        <v/>
      </c>
      <c r="AY3881" s="82" t="str">
        <f t="shared" si="2"/>
        <v/>
      </c>
      <c r="AZ3881" s="82"/>
      <c r="BA3881" s="84" t="s">
        <v>152</v>
      </c>
      <c r="BB3881" s="84" t="str">
        <f>IFERROR(__xludf.DUMMYFUNCTION("iferror(if(A3881="""",,E3881&gt;=FILTER(Constants!$F$2:$F$10,Constants!$A$2:$A$10=A3881)))"),"")</f>
        <v/>
      </c>
    </row>
    <row r="3882">
      <c r="A3882" s="89"/>
      <c r="B3882" s="87"/>
      <c r="C3882" s="73"/>
      <c r="D3882" s="73"/>
      <c r="E3882" s="82"/>
      <c r="F3882" s="82"/>
      <c r="G3882" s="86"/>
      <c r="H3882" s="86"/>
      <c r="I3882" s="86"/>
      <c r="J3882" s="82"/>
      <c r="K3882" s="82"/>
      <c r="L3882" s="82"/>
      <c r="M3882" s="82"/>
      <c r="N3882" s="82"/>
      <c r="O3882" s="82"/>
      <c r="P3882" s="82"/>
      <c r="Q3882" s="82"/>
      <c r="R3882" s="82"/>
      <c r="S3882" s="82"/>
      <c r="T3882" s="82"/>
      <c r="U3882" s="82"/>
      <c r="V3882" s="82"/>
      <c r="W3882" s="82"/>
      <c r="X3882" s="82"/>
      <c r="Y3882" s="82"/>
      <c r="Z3882" s="82"/>
      <c r="AA3882" s="82"/>
      <c r="AB3882" s="82"/>
      <c r="AC3882" s="82"/>
      <c r="AD3882" s="82"/>
      <c r="AE3882" s="82"/>
      <c r="AF3882" s="82"/>
      <c r="AG3882" s="82"/>
      <c r="AH3882" s="82"/>
      <c r="AI3882" s="82"/>
      <c r="AJ3882" s="82"/>
      <c r="AK3882" s="82"/>
      <c r="AL3882" s="82"/>
      <c r="AM3882" s="82"/>
      <c r="AN3882" s="82"/>
      <c r="AO3882" s="82"/>
      <c r="AP3882" s="82"/>
      <c r="AQ3882" s="82"/>
      <c r="AR3882" s="82"/>
      <c r="AS3882" s="82"/>
      <c r="AT3882" s="82"/>
      <c r="AU3882" s="82"/>
      <c r="AV3882" s="82"/>
      <c r="AW3882" s="82" t="str">
        <f t="shared" si="1"/>
        <v/>
      </c>
      <c r="AX3882" s="83" t="str">
        <f t="array" ref="AX3882">IFERROR(DGET('SBV Import'!A:G,"SBV",{"RSC ID","Tier";B3882,A3882}))</f>
        <v/>
      </c>
      <c r="AY3882" s="82" t="str">
        <f t="shared" si="2"/>
        <v/>
      </c>
      <c r="AZ3882" s="82"/>
      <c r="BA3882" s="84" t="s">
        <v>152</v>
      </c>
      <c r="BB3882" s="84" t="str">
        <f>IFERROR(__xludf.DUMMYFUNCTION("iferror(if(A3882="""",,E3882&gt;=FILTER(Constants!$F$2:$F$10,Constants!$A$2:$A$10=A3882)))"),"")</f>
        <v/>
      </c>
    </row>
    <row r="3883">
      <c r="A3883" s="89"/>
      <c r="B3883" s="87"/>
      <c r="C3883" s="73"/>
      <c r="D3883" s="73"/>
      <c r="E3883" s="82"/>
      <c r="F3883" s="82"/>
      <c r="G3883" s="86"/>
      <c r="H3883" s="86"/>
      <c r="I3883" s="86"/>
      <c r="J3883" s="82"/>
      <c r="K3883" s="82"/>
      <c r="L3883" s="82"/>
      <c r="M3883" s="82"/>
      <c r="N3883" s="82"/>
      <c r="O3883" s="82"/>
      <c r="P3883" s="82"/>
      <c r="Q3883" s="82"/>
      <c r="R3883" s="82"/>
      <c r="S3883" s="82"/>
      <c r="T3883" s="82"/>
      <c r="U3883" s="82"/>
      <c r="V3883" s="82"/>
      <c r="W3883" s="82"/>
      <c r="X3883" s="82"/>
      <c r="Y3883" s="82"/>
      <c r="Z3883" s="82"/>
      <c r="AA3883" s="82"/>
      <c r="AB3883" s="82"/>
      <c r="AC3883" s="82"/>
      <c r="AD3883" s="82"/>
      <c r="AE3883" s="82"/>
      <c r="AF3883" s="82"/>
      <c r="AG3883" s="82"/>
      <c r="AH3883" s="82"/>
      <c r="AI3883" s="82"/>
      <c r="AJ3883" s="82"/>
      <c r="AK3883" s="82"/>
      <c r="AL3883" s="82"/>
      <c r="AM3883" s="82"/>
      <c r="AN3883" s="82"/>
      <c r="AO3883" s="82"/>
      <c r="AP3883" s="82"/>
      <c r="AQ3883" s="82"/>
      <c r="AR3883" s="82"/>
      <c r="AS3883" s="82"/>
      <c r="AT3883" s="82"/>
      <c r="AU3883" s="82"/>
      <c r="AV3883" s="82"/>
      <c r="AW3883" s="82" t="str">
        <f t="shared" si="1"/>
        <v/>
      </c>
      <c r="AX3883" s="83" t="str">
        <f t="array" ref="AX3883">IFERROR(DGET('SBV Import'!A:G,"SBV",{"RSC ID","Tier";B3883,A3883}))</f>
        <v/>
      </c>
      <c r="AY3883" s="82" t="str">
        <f t="shared" si="2"/>
        <v/>
      </c>
      <c r="AZ3883" s="82"/>
      <c r="BA3883" s="84" t="s">
        <v>152</v>
      </c>
      <c r="BB3883" s="84" t="str">
        <f>IFERROR(__xludf.DUMMYFUNCTION("iferror(if(A3883="""",,E3883&gt;=FILTER(Constants!$F$2:$F$10,Constants!$A$2:$A$10=A3883)))"),"")</f>
        <v/>
      </c>
    </row>
    <row r="3884">
      <c r="A3884" s="89"/>
      <c r="B3884" s="87"/>
      <c r="C3884" s="73"/>
      <c r="D3884" s="73"/>
      <c r="E3884" s="82"/>
      <c r="F3884" s="82"/>
      <c r="G3884" s="86"/>
      <c r="H3884" s="86"/>
      <c r="I3884" s="86"/>
      <c r="J3884" s="82"/>
      <c r="K3884" s="82"/>
      <c r="L3884" s="82"/>
      <c r="M3884" s="82"/>
      <c r="N3884" s="82"/>
      <c r="O3884" s="82"/>
      <c r="P3884" s="82"/>
      <c r="Q3884" s="82"/>
      <c r="R3884" s="82"/>
      <c r="S3884" s="82"/>
      <c r="T3884" s="82"/>
      <c r="U3884" s="82"/>
      <c r="V3884" s="82"/>
      <c r="W3884" s="82"/>
      <c r="X3884" s="82"/>
      <c r="Y3884" s="82"/>
      <c r="Z3884" s="82"/>
      <c r="AA3884" s="82"/>
      <c r="AB3884" s="82"/>
      <c r="AC3884" s="82"/>
      <c r="AD3884" s="82"/>
      <c r="AE3884" s="82"/>
      <c r="AF3884" s="82"/>
      <c r="AG3884" s="82"/>
      <c r="AH3884" s="82"/>
      <c r="AI3884" s="82"/>
      <c r="AJ3884" s="82"/>
      <c r="AK3884" s="82"/>
      <c r="AL3884" s="82"/>
      <c r="AM3884" s="82"/>
      <c r="AN3884" s="82"/>
      <c r="AO3884" s="82"/>
      <c r="AP3884" s="82"/>
      <c r="AQ3884" s="82"/>
      <c r="AR3884" s="82"/>
      <c r="AS3884" s="82"/>
      <c r="AT3884" s="82"/>
      <c r="AU3884" s="82"/>
      <c r="AV3884" s="82"/>
      <c r="AW3884" s="82" t="str">
        <f t="shared" si="1"/>
        <v/>
      </c>
      <c r="AX3884" s="83" t="str">
        <f t="array" ref="AX3884">IFERROR(DGET('SBV Import'!A:G,"SBV",{"RSC ID","Tier";B3884,A3884}))</f>
        <v/>
      </c>
      <c r="AY3884" s="82" t="str">
        <f t="shared" si="2"/>
        <v/>
      </c>
      <c r="AZ3884" s="82"/>
      <c r="BA3884" s="84" t="s">
        <v>152</v>
      </c>
      <c r="BB3884" s="84" t="str">
        <f>IFERROR(__xludf.DUMMYFUNCTION("iferror(if(A3884="""",,E3884&gt;=FILTER(Constants!$F$2:$F$10,Constants!$A$2:$A$10=A3884)))"),"")</f>
        <v/>
      </c>
    </row>
    <row r="3885">
      <c r="A3885" s="89"/>
      <c r="B3885" s="87"/>
      <c r="C3885" s="73"/>
      <c r="D3885" s="73"/>
      <c r="E3885" s="82"/>
      <c r="F3885" s="82"/>
      <c r="G3885" s="86"/>
      <c r="H3885" s="86"/>
      <c r="I3885" s="86"/>
      <c r="J3885" s="82"/>
      <c r="K3885" s="82"/>
      <c r="L3885" s="82"/>
      <c r="M3885" s="82"/>
      <c r="N3885" s="82"/>
      <c r="O3885" s="82"/>
      <c r="P3885" s="82"/>
      <c r="Q3885" s="82"/>
      <c r="R3885" s="82"/>
      <c r="S3885" s="82"/>
      <c r="T3885" s="82"/>
      <c r="U3885" s="82"/>
      <c r="V3885" s="82"/>
      <c r="W3885" s="82"/>
      <c r="X3885" s="82"/>
      <c r="Y3885" s="82"/>
      <c r="Z3885" s="82"/>
      <c r="AA3885" s="82"/>
      <c r="AB3885" s="82"/>
      <c r="AC3885" s="82"/>
      <c r="AD3885" s="82"/>
      <c r="AE3885" s="82"/>
      <c r="AF3885" s="82"/>
      <c r="AG3885" s="82"/>
      <c r="AH3885" s="82"/>
      <c r="AI3885" s="82"/>
      <c r="AJ3885" s="82"/>
      <c r="AK3885" s="82"/>
      <c r="AL3885" s="82"/>
      <c r="AM3885" s="82"/>
      <c r="AN3885" s="82"/>
      <c r="AO3885" s="82"/>
      <c r="AP3885" s="82"/>
      <c r="AQ3885" s="82"/>
      <c r="AR3885" s="82"/>
      <c r="AS3885" s="82"/>
      <c r="AT3885" s="82"/>
      <c r="AU3885" s="82"/>
      <c r="AV3885" s="82"/>
      <c r="AW3885" s="82" t="str">
        <f t="shared" si="1"/>
        <v/>
      </c>
      <c r="AX3885" s="83" t="str">
        <f t="array" ref="AX3885">IFERROR(DGET('SBV Import'!A:G,"SBV",{"RSC ID","Tier";B3885,A3885}))</f>
        <v/>
      </c>
      <c r="AY3885" s="82" t="str">
        <f t="shared" si="2"/>
        <v/>
      </c>
      <c r="AZ3885" s="82"/>
      <c r="BA3885" s="84" t="s">
        <v>152</v>
      </c>
      <c r="BB3885" s="84" t="str">
        <f>IFERROR(__xludf.DUMMYFUNCTION("iferror(if(A3885="""",,E3885&gt;=FILTER(Constants!$F$2:$F$10,Constants!$A$2:$A$10=A3885)))"),"")</f>
        <v/>
      </c>
    </row>
    <row r="3886">
      <c r="A3886" s="89"/>
      <c r="B3886" s="87"/>
      <c r="C3886" s="73"/>
      <c r="D3886" s="73"/>
      <c r="E3886" s="82"/>
      <c r="F3886" s="82"/>
      <c r="G3886" s="86"/>
      <c r="H3886" s="86"/>
      <c r="I3886" s="86"/>
      <c r="J3886" s="82"/>
      <c r="K3886" s="82"/>
      <c r="L3886" s="82"/>
      <c r="M3886" s="82"/>
      <c r="N3886" s="82"/>
      <c r="O3886" s="82"/>
      <c r="P3886" s="82"/>
      <c r="Q3886" s="82"/>
      <c r="R3886" s="82"/>
      <c r="S3886" s="82"/>
      <c r="T3886" s="82"/>
      <c r="U3886" s="82"/>
      <c r="V3886" s="82"/>
      <c r="W3886" s="82"/>
      <c r="X3886" s="82"/>
      <c r="Y3886" s="82"/>
      <c r="Z3886" s="82"/>
      <c r="AA3886" s="82"/>
      <c r="AB3886" s="82"/>
      <c r="AC3886" s="82"/>
      <c r="AD3886" s="82"/>
      <c r="AE3886" s="82"/>
      <c r="AF3886" s="82"/>
      <c r="AG3886" s="82"/>
      <c r="AH3886" s="82"/>
      <c r="AI3886" s="82"/>
      <c r="AJ3886" s="82"/>
      <c r="AK3886" s="82"/>
      <c r="AL3886" s="82"/>
      <c r="AM3886" s="82"/>
      <c r="AN3886" s="82"/>
      <c r="AO3886" s="82"/>
      <c r="AP3886" s="82"/>
      <c r="AQ3886" s="82"/>
      <c r="AR3886" s="82"/>
      <c r="AS3886" s="82"/>
      <c r="AT3886" s="82"/>
      <c r="AU3886" s="82"/>
      <c r="AV3886" s="82"/>
      <c r="AW3886" s="82" t="str">
        <f t="shared" si="1"/>
        <v/>
      </c>
      <c r="AX3886" s="83" t="str">
        <f t="array" ref="AX3886">IFERROR(DGET('SBV Import'!A:G,"SBV",{"RSC ID","Tier";B3886,A3886}))</f>
        <v/>
      </c>
      <c r="AY3886" s="82" t="str">
        <f t="shared" si="2"/>
        <v/>
      </c>
      <c r="AZ3886" s="82"/>
      <c r="BA3886" s="84" t="s">
        <v>152</v>
      </c>
      <c r="BB3886" s="84" t="str">
        <f>IFERROR(__xludf.DUMMYFUNCTION("iferror(if(A3886="""",,E3886&gt;=FILTER(Constants!$F$2:$F$10,Constants!$A$2:$A$10=A3886)))"),"")</f>
        <v/>
      </c>
    </row>
    <row r="3887">
      <c r="A3887" s="89"/>
      <c r="B3887" s="87"/>
      <c r="C3887" s="73"/>
      <c r="D3887" s="73"/>
      <c r="E3887" s="82"/>
      <c r="F3887" s="82"/>
      <c r="G3887" s="86"/>
      <c r="H3887" s="86"/>
      <c r="I3887" s="86"/>
      <c r="J3887" s="82"/>
      <c r="K3887" s="82"/>
      <c r="L3887" s="82"/>
      <c r="M3887" s="82"/>
      <c r="N3887" s="82"/>
      <c r="O3887" s="82"/>
      <c r="P3887" s="82"/>
      <c r="Q3887" s="82"/>
      <c r="R3887" s="82"/>
      <c r="S3887" s="82"/>
      <c r="T3887" s="82"/>
      <c r="U3887" s="82"/>
      <c r="V3887" s="82"/>
      <c r="W3887" s="82"/>
      <c r="X3887" s="82"/>
      <c r="Y3887" s="82"/>
      <c r="Z3887" s="82"/>
      <c r="AA3887" s="82"/>
      <c r="AB3887" s="82"/>
      <c r="AC3887" s="82"/>
      <c r="AD3887" s="82"/>
      <c r="AE3887" s="82"/>
      <c r="AF3887" s="82"/>
      <c r="AG3887" s="82"/>
      <c r="AH3887" s="82"/>
      <c r="AI3887" s="82"/>
      <c r="AJ3887" s="82"/>
      <c r="AK3887" s="82"/>
      <c r="AL3887" s="82"/>
      <c r="AM3887" s="82"/>
      <c r="AN3887" s="82"/>
      <c r="AO3887" s="82"/>
      <c r="AP3887" s="82"/>
      <c r="AQ3887" s="82"/>
      <c r="AR3887" s="82"/>
      <c r="AS3887" s="82"/>
      <c r="AT3887" s="82"/>
      <c r="AU3887" s="82"/>
      <c r="AV3887" s="82"/>
      <c r="AW3887" s="82" t="str">
        <f t="shared" si="1"/>
        <v/>
      </c>
      <c r="AX3887" s="83" t="str">
        <f t="array" ref="AX3887">IFERROR(DGET('SBV Import'!A:G,"SBV",{"RSC ID","Tier";B3887,A3887}))</f>
        <v/>
      </c>
      <c r="AY3887" s="82" t="str">
        <f t="shared" si="2"/>
        <v/>
      </c>
      <c r="AZ3887" s="82"/>
      <c r="BA3887" s="84" t="s">
        <v>152</v>
      </c>
      <c r="BB3887" s="84" t="str">
        <f>IFERROR(__xludf.DUMMYFUNCTION("iferror(if(A3887="""",,E3887&gt;=FILTER(Constants!$F$2:$F$10,Constants!$A$2:$A$10=A3887)))"),"")</f>
        <v/>
      </c>
    </row>
    <row r="3888">
      <c r="A3888" s="89"/>
      <c r="B3888" s="87"/>
      <c r="C3888" s="73"/>
      <c r="D3888" s="73"/>
      <c r="E3888" s="82"/>
      <c r="F3888" s="82"/>
      <c r="G3888" s="86"/>
      <c r="H3888" s="86"/>
      <c r="I3888" s="86"/>
      <c r="J3888" s="82"/>
      <c r="K3888" s="82"/>
      <c r="L3888" s="82"/>
      <c r="M3888" s="82"/>
      <c r="N3888" s="82"/>
      <c r="O3888" s="82"/>
      <c r="P3888" s="82"/>
      <c r="Q3888" s="82"/>
      <c r="R3888" s="82"/>
      <c r="S3888" s="82"/>
      <c r="T3888" s="82"/>
      <c r="U3888" s="82"/>
      <c r="V3888" s="82"/>
      <c r="W3888" s="82"/>
      <c r="X3888" s="82"/>
      <c r="Y3888" s="82"/>
      <c r="Z3888" s="82"/>
      <c r="AA3888" s="82"/>
      <c r="AB3888" s="82"/>
      <c r="AC3888" s="82"/>
      <c r="AD3888" s="82"/>
      <c r="AE3888" s="82"/>
      <c r="AF3888" s="82"/>
      <c r="AG3888" s="82"/>
      <c r="AH3888" s="82"/>
      <c r="AI3888" s="82"/>
      <c r="AJ3888" s="82"/>
      <c r="AK3888" s="82"/>
      <c r="AL3888" s="82"/>
      <c r="AM3888" s="82"/>
      <c r="AN3888" s="82"/>
      <c r="AO3888" s="82"/>
      <c r="AP3888" s="82"/>
      <c r="AQ3888" s="82"/>
      <c r="AR3888" s="82"/>
      <c r="AS3888" s="82"/>
      <c r="AT3888" s="82"/>
      <c r="AU3888" s="82"/>
      <c r="AV3888" s="82"/>
      <c r="AW3888" s="82" t="str">
        <f t="shared" si="1"/>
        <v/>
      </c>
      <c r="AX3888" s="83" t="str">
        <f t="array" ref="AX3888">IFERROR(DGET('SBV Import'!A:G,"SBV",{"RSC ID","Tier";B3888,A3888}))</f>
        <v/>
      </c>
      <c r="AY3888" s="82" t="str">
        <f t="shared" si="2"/>
        <v/>
      </c>
      <c r="AZ3888" s="82"/>
      <c r="BA3888" s="84" t="s">
        <v>152</v>
      </c>
      <c r="BB3888" s="84" t="str">
        <f>IFERROR(__xludf.DUMMYFUNCTION("iferror(if(A3888="""",,E3888&gt;=FILTER(Constants!$F$2:$F$10,Constants!$A$2:$A$10=A3888)))"),"")</f>
        <v/>
      </c>
    </row>
    <row r="3889">
      <c r="A3889" s="89"/>
      <c r="B3889" s="87"/>
      <c r="C3889" s="73"/>
      <c r="D3889" s="73"/>
      <c r="E3889" s="82"/>
      <c r="F3889" s="82"/>
      <c r="G3889" s="86"/>
      <c r="H3889" s="86"/>
      <c r="I3889" s="86"/>
      <c r="J3889" s="82"/>
      <c r="K3889" s="82"/>
      <c r="L3889" s="82"/>
      <c r="M3889" s="82"/>
      <c r="N3889" s="82"/>
      <c r="O3889" s="82"/>
      <c r="P3889" s="82"/>
      <c r="Q3889" s="82"/>
      <c r="R3889" s="82"/>
      <c r="S3889" s="82"/>
      <c r="T3889" s="82"/>
      <c r="U3889" s="82"/>
      <c r="V3889" s="82"/>
      <c r="W3889" s="82"/>
      <c r="X3889" s="82"/>
      <c r="Y3889" s="82"/>
      <c r="Z3889" s="82"/>
      <c r="AA3889" s="82"/>
      <c r="AB3889" s="82"/>
      <c r="AC3889" s="82"/>
      <c r="AD3889" s="82"/>
      <c r="AE3889" s="82"/>
      <c r="AF3889" s="82"/>
      <c r="AG3889" s="82"/>
      <c r="AH3889" s="82"/>
      <c r="AI3889" s="82"/>
      <c r="AJ3889" s="82"/>
      <c r="AK3889" s="82"/>
      <c r="AL3889" s="82"/>
      <c r="AM3889" s="82"/>
      <c r="AN3889" s="82"/>
      <c r="AO3889" s="82"/>
      <c r="AP3889" s="82"/>
      <c r="AQ3889" s="82"/>
      <c r="AR3889" s="82"/>
      <c r="AS3889" s="82"/>
      <c r="AT3889" s="82"/>
      <c r="AU3889" s="82"/>
      <c r="AV3889" s="82"/>
      <c r="AW3889" s="82" t="str">
        <f t="shared" si="1"/>
        <v/>
      </c>
      <c r="AX3889" s="83" t="str">
        <f t="array" ref="AX3889">IFERROR(DGET('SBV Import'!A:G,"SBV",{"RSC ID","Tier";B3889,A3889}))</f>
        <v/>
      </c>
      <c r="AY3889" s="82" t="str">
        <f t="shared" si="2"/>
        <v/>
      </c>
      <c r="AZ3889" s="82"/>
      <c r="BA3889" s="84" t="s">
        <v>152</v>
      </c>
      <c r="BB3889" s="84" t="str">
        <f>IFERROR(__xludf.DUMMYFUNCTION("iferror(if(A3889="""",,E3889&gt;=FILTER(Constants!$F$2:$F$10,Constants!$A$2:$A$10=A3889)))"),"")</f>
        <v/>
      </c>
    </row>
    <row r="3890">
      <c r="A3890" s="89"/>
      <c r="B3890" s="87"/>
      <c r="C3890" s="73"/>
      <c r="D3890" s="73"/>
      <c r="E3890" s="82"/>
      <c r="F3890" s="82"/>
      <c r="G3890" s="86"/>
      <c r="H3890" s="86"/>
      <c r="I3890" s="86"/>
      <c r="J3890" s="82"/>
      <c r="K3890" s="82"/>
      <c r="L3890" s="82"/>
      <c r="M3890" s="82"/>
      <c r="N3890" s="82"/>
      <c r="O3890" s="82"/>
      <c r="P3890" s="82"/>
      <c r="Q3890" s="82"/>
      <c r="R3890" s="82"/>
      <c r="S3890" s="82"/>
      <c r="T3890" s="82"/>
      <c r="U3890" s="82"/>
      <c r="V3890" s="82"/>
      <c r="W3890" s="82"/>
      <c r="X3890" s="82"/>
      <c r="Y3890" s="82"/>
      <c r="Z3890" s="82"/>
      <c r="AA3890" s="82"/>
      <c r="AB3890" s="82"/>
      <c r="AC3890" s="82"/>
      <c r="AD3890" s="82"/>
      <c r="AE3890" s="82"/>
      <c r="AF3890" s="82"/>
      <c r="AG3890" s="82"/>
      <c r="AH3890" s="82"/>
      <c r="AI3890" s="82"/>
      <c r="AJ3890" s="82"/>
      <c r="AK3890" s="82"/>
      <c r="AL3890" s="82"/>
      <c r="AM3890" s="82"/>
      <c r="AN3890" s="82"/>
      <c r="AO3890" s="82"/>
      <c r="AP3890" s="82"/>
      <c r="AQ3890" s="82"/>
      <c r="AR3890" s="82"/>
      <c r="AS3890" s="82"/>
      <c r="AT3890" s="82"/>
      <c r="AU3890" s="82"/>
      <c r="AV3890" s="82"/>
      <c r="AW3890" s="82" t="str">
        <f t="shared" si="1"/>
        <v/>
      </c>
      <c r="AX3890" s="83" t="str">
        <f t="array" ref="AX3890">IFERROR(DGET('SBV Import'!A:G,"SBV",{"RSC ID","Tier";B3890,A3890}))</f>
        <v/>
      </c>
      <c r="AY3890" s="82" t="str">
        <f t="shared" si="2"/>
        <v/>
      </c>
      <c r="AZ3890" s="82"/>
      <c r="BA3890" s="84" t="s">
        <v>152</v>
      </c>
      <c r="BB3890" s="84" t="str">
        <f>IFERROR(__xludf.DUMMYFUNCTION("iferror(if(A3890="""",,E3890&gt;=FILTER(Constants!$F$2:$F$10,Constants!$A$2:$A$10=A3890)))"),"")</f>
        <v/>
      </c>
    </row>
    <row r="3891">
      <c r="A3891" s="89"/>
      <c r="B3891" s="87"/>
      <c r="C3891" s="73"/>
      <c r="D3891" s="73"/>
      <c r="E3891" s="82"/>
      <c r="F3891" s="82"/>
      <c r="G3891" s="86"/>
      <c r="H3891" s="86"/>
      <c r="I3891" s="86"/>
      <c r="J3891" s="82"/>
      <c r="K3891" s="82"/>
      <c r="L3891" s="82"/>
      <c r="M3891" s="82"/>
      <c r="N3891" s="82"/>
      <c r="O3891" s="82"/>
      <c r="P3891" s="82"/>
      <c r="Q3891" s="82"/>
      <c r="R3891" s="82"/>
      <c r="S3891" s="82"/>
      <c r="T3891" s="82"/>
      <c r="U3891" s="82"/>
      <c r="V3891" s="82"/>
      <c r="W3891" s="82"/>
      <c r="X3891" s="82"/>
      <c r="Y3891" s="82"/>
      <c r="Z3891" s="82"/>
      <c r="AA3891" s="82"/>
      <c r="AB3891" s="82"/>
      <c r="AC3891" s="82"/>
      <c r="AD3891" s="82"/>
      <c r="AE3891" s="82"/>
      <c r="AF3891" s="82"/>
      <c r="AG3891" s="82"/>
      <c r="AH3891" s="82"/>
      <c r="AI3891" s="82"/>
      <c r="AJ3891" s="82"/>
      <c r="AK3891" s="82"/>
      <c r="AL3891" s="82"/>
      <c r="AM3891" s="82"/>
      <c r="AN3891" s="82"/>
      <c r="AO3891" s="82"/>
      <c r="AP3891" s="82"/>
      <c r="AQ3891" s="82"/>
      <c r="AR3891" s="82"/>
      <c r="AS3891" s="82"/>
      <c r="AT3891" s="82"/>
      <c r="AU3891" s="82"/>
      <c r="AV3891" s="82"/>
      <c r="AW3891" s="82" t="str">
        <f t="shared" si="1"/>
        <v/>
      </c>
      <c r="AX3891" s="83" t="str">
        <f t="array" ref="AX3891">IFERROR(DGET('SBV Import'!A:G,"SBV",{"RSC ID","Tier";B3891,A3891}))</f>
        <v/>
      </c>
      <c r="AY3891" s="82" t="str">
        <f t="shared" si="2"/>
        <v/>
      </c>
      <c r="AZ3891" s="82"/>
      <c r="BA3891" s="84" t="s">
        <v>152</v>
      </c>
      <c r="BB3891" s="84" t="str">
        <f>IFERROR(__xludf.DUMMYFUNCTION("iferror(if(A3891="""",,E3891&gt;=FILTER(Constants!$F$2:$F$10,Constants!$A$2:$A$10=A3891)))"),"")</f>
        <v/>
      </c>
    </row>
    <row r="3892">
      <c r="A3892" s="89"/>
      <c r="B3892" s="87"/>
      <c r="C3892" s="73"/>
      <c r="D3892" s="73"/>
      <c r="E3892" s="82"/>
      <c r="F3892" s="82"/>
      <c r="G3892" s="86"/>
      <c r="H3892" s="86"/>
      <c r="I3892" s="86"/>
      <c r="J3892" s="82"/>
      <c r="K3892" s="82"/>
      <c r="L3892" s="82"/>
      <c r="M3892" s="82"/>
      <c r="N3892" s="82"/>
      <c r="O3892" s="82"/>
      <c r="P3892" s="82"/>
      <c r="Q3892" s="82"/>
      <c r="R3892" s="82"/>
      <c r="S3892" s="82"/>
      <c r="T3892" s="82"/>
      <c r="U3892" s="82"/>
      <c r="V3892" s="82"/>
      <c r="W3892" s="82"/>
      <c r="X3892" s="82"/>
      <c r="Y3892" s="82"/>
      <c r="Z3892" s="82"/>
      <c r="AA3892" s="82"/>
      <c r="AB3892" s="82"/>
      <c r="AC3892" s="82"/>
      <c r="AD3892" s="82"/>
      <c r="AE3892" s="82"/>
      <c r="AF3892" s="82"/>
      <c r="AG3892" s="82"/>
      <c r="AH3892" s="82"/>
      <c r="AI3892" s="82"/>
      <c r="AJ3892" s="82"/>
      <c r="AK3892" s="82"/>
      <c r="AL3892" s="82"/>
      <c r="AM3892" s="82"/>
      <c r="AN3892" s="82"/>
      <c r="AO3892" s="82"/>
      <c r="AP3892" s="82"/>
      <c r="AQ3892" s="82"/>
      <c r="AR3892" s="82"/>
      <c r="AS3892" s="82"/>
      <c r="AT3892" s="82"/>
      <c r="AU3892" s="82"/>
      <c r="AV3892" s="82"/>
      <c r="AW3892" s="82" t="str">
        <f t="shared" si="1"/>
        <v/>
      </c>
      <c r="AX3892" s="83" t="str">
        <f t="array" ref="AX3892">IFERROR(DGET('SBV Import'!A:G,"SBV",{"RSC ID","Tier";B3892,A3892}))</f>
        <v/>
      </c>
      <c r="AY3892" s="82" t="str">
        <f t="shared" si="2"/>
        <v/>
      </c>
      <c r="AZ3892" s="82"/>
      <c r="BA3892" s="84" t="s">
        <v>152</v>
      </c>
      <c r="BB3892" s="84" t="str">
        <f>IFERROR(__xludf.DUMMYFUNCTION("iferror(if(A3892="""",,E3892&gt;=FILTER(Constants!$F$2:$F$10,Constants!$A$2:$A$10=A3892)))"),"")</f>
        <v/>
      </c>
    </row>
    <row r="3893">
      <c r="A3893" s="89"/>
      <c r="B3893" s="87"/>
      <c r="C3893" s="73"/>
      <c r="D3893" s="73"/>
      <c r="E3893" s="82"/>
      <c r="F3893" s="82"/>
      <c r="G3893" s="86"/>
      <c r="H3893" s="86"/>
      <c r="I3893" s="86"/>
      <c r="J3893" s="82"/>
      <c r="K3893" s="82"/>
      <c r="L3893" s="82"/>
      <c r="M3893" s="82"/>
      <c r="N3893" s="82"/>
      <c r="O3893" s="82"/>
      <c r="P3893" s="82"/>
      <c r="Q3893" s="82"/>
      <c r="R3893" s="82"/>
      <c r="S3893" s="82"/>
      <c r="T3893" s="82"/>
      <c r="U3893" s="82"/>
      <c r="V3893" s="82"/>
      <c r="W3893" s="82"/>
      <c r="X3893" s="82"/>
      <c r="Y3893" s="82"/>
      <c r="Z3893" s="82"/>
      <c r="AA3893" s="82"/>
      <c r="AB3893" s="82"/>
      <c r="AC3893" s="82"/>
      <c r="AD3893" s="82"/>
      <c r="AE3893" s="82"/>
      <c r="AF3893" s="82"/>
      <c r="AG3893" s="82"/>
      <c r="AH3893" s="82"/>
      <c r="AI3893" s="82"/>
      <c r="AJ3893" s="82"/>
      <c r="AK3893" s="82"/>
      <c r="AL3893" s="82"/>
      <c r="AM3893" s="82"/>
      <c r="AN3893" s="82"/>
      <c r="AO3893" s="82"/>
      <c r="AP3893" s="82"/>
      <c r="AQ3893" s="82"/>
      <c r="AR3893" s="82"/>
      <c r="AS3893" s="82"/>
      <c r="AT3893" s="82"/>
      <c r="AU3893" s="82"/>
      <c r="AV3893" s="82"/>
      <c r="AW3893" s="82" t="str">
        <f t="shared" si="1"/>
        <v/>
      </c>
      <c r="AX3893" s="83" t="str">
        <f t="array" ref="AX3893">IFERROR(DGET('SBV Import'!A:G,"SBV",{"RSC ID","Tier";B3893,A3893}))</f>
        <v/>
      </c>
      <c r="AY3893" s="82" t="str">
        <f t="shared" si="2"/>
        <v/>
      </c>
      <c r="AZ3893" s="82"/>
      <c r="BA3893" s="84" t="s">
        <v>152</v>
      </c>
      <c r="BB3893" s="84" t="str">
        <f>IFERROR(__xludf.DUMMYFUNCTION("iferror(if(A3893="""",,E3893&gt;=FILTER(Constants!$F$2:$F$10,Constants!$A$2:$A$10=A3893)))"),"")</f>
        <v/>
      </c>
    </row>
    <row r="3894">
      <c r="A3894" s="89"/>
      <c r="B3894" s="87"/>
      <c r="C3894" s="73"/>
      <c r="D3894" s="73"/>
      <c r="E3894" s="82"/>
      <c r="F3894" s="82"/>
      <c r="G3894" s="86"/>
      <c r="H3894" s="86"/>
      <c r="I3894" s="86"/>
      <c r="J3894" s="82"/>
      <c r="K3894" s="82"/>
      <c r="L3894" s="82"/>
      <c r="M3894" s="82"/>
      <c r="N3894" s="82"/>
      <c r="O3894" s="82"/>
      <c r="P3894" s="82"/>
      <c r="Q3894" s="82"/>
      <c r="R3894" s="82"/>
      <c r="S3894" s="82"/>
      <c r="T3894" s="82"/>
      <c r="U3894" s="82"/>
      <c r="V3894" s="82"/>
      <c r="W3894" s="82"/>
      <c r="X3894" s="82"/>
      <c r="Y3894" s="82"/>
      <c r="Z3894" s="82"/>
      <c r="AA3894" s="82"/>
      <c r="AB3894" s="82"/>
      <c r="AC3894" s="82"/>
      <c r="AD3894" s="82"/>
      <c r="AE3894" s="82"/>
      <c r="AF3894" s="82"/>
      <c r="AG3894" s="82"/>
      <c r="AH3894" s="82"/>
      <c r="AI3894" s="82"/>
      <c r="AJ3894" s="82"/>
      <c r="AK3894" s="82"/>
      <c r="AL3894" s="82"/>
      <c r="AM3894" s="82"/>
      <c r="AN3894" s="82"/>
      <c r="AO3894" s="82"/>
      <c r="AP3894" s="82"/>
      <c r="AQ3894" s="82"/>
      <c r="AR3894" s="82"/>
      <c r="AS3894" s="82"/>
      <c r="AT3894" s="82"/>
      <c r="AU3894" s="82"/>
      <c r="AV3894" s="82"/>
      <c r="AW3894" s="82" t="str">
        <f t="shared" si="1"/>
        <v/>
      </c>
      <c r="AX3894" s="83" t="str">
        <f t="array" ref="AX3894">IFERROR(DGET('SBV Import'!A:G,"SBV",{"RSC ID","Tier";B3894,A3894}))</f>
        <v/>
      </c>
      <c r="AY3894" s="82" t="str">
        <f t="shared" si="2"/>
        <v/>
      </c>
      <c r="AZ3894" s="82"/>
      <c r="BA3894" s="84" t="s">
        <v>152</v>
      </c>
      <c r="BB3894" s="84" t="str">
        <f>IFERROR(__xludf.DUMMYFUNCTION("iferror(if(A3894="""",,E3894&gt;=FILTER(Constants!$F$2:$F$10,Constants!$A$2:$A$10=A3894)))"),"")</f>
        <v/>
      </c>
    </row>
    <row r="3895">
      <c r="A3895" s="89"/>
      <c r="B3895" s="87"/>
      <c r="C3895" s="73"/>
      <c r="D3895" s="73"/>
      <c r="E3895" s="82"/>
      <c r="F3895" s="82"/>
      <c r="G3895" s="86"/>
      <c r="H3895" s="86"/>
      <c r="I3895" s="86"/>
      <c r="J3895" s="82"/>
      <c r="K3895" s="82"/>
      <c r="L3895" s="82"/>
      <c r="M3895" s="82"/>
      <c r="N3895" s="82"/>
      <c r="O3895" s="82"/>
      <c r="P3895" s="82"/>
      <c r="Q3895" s="82"/>
      <c r="R3895" s="82"/>
      <c r="S3895" s="82"/>
      <c r="T3895" s="82"/>
      <c r="U3895" s="82"/>
      <c r="V3895" s="82"/>
      <c r="W3895" s="82"/>
      <c r="X3895" s="82"/>
      <c r="Y3895" s="82"/>
      <c r="Z3895" s="82"/>
      <c r="AA3895" s="82"/>
      <c r="AB3895" s="82"/>
      <c r="AC3895" s="82"/>
      <c r="AD3895" s="82"/>
      <c r="AE3895" s="82"/>
      <c r="AF3895" s="82"/>
      <c r="AG3895" s="82"/>
      <c r="AH3895" s="82"/>
      <c r="AI3895" s="82"/>
      <c r="AJ3895" s="82"/>
      <c r="AK3895" s="82"/>
      <c r="AL3895" s="82"/>
      <c r="AM3895" s="82"/>
      <c r="AN3895" s="82"/>
      <c r="AO3895" s="82"/>
      <c r="AP3895" s="82"/>
      <c r="AQ3895" s="82"/>
      <c r="AR3895" s="82"/>
      <c r="AS3895" s="82"/>
      <c r="AT3895" s="82"/>
      <c r="AU3895" s="82"/>
      <c r="AV3895" s="82"/>
      <c r="AW3895" s="82" t="str">
        <f t="shared" si="1"/>
        <v/>
      </c>
      <c r="AX3895" s="83" t="str">
        <f t="array" ref="AX3895">IFERROR(DGET('SBV Import'!A:G,"SBV",{"RSC ID","Tier";B3895,A3895}))</f>
        <v/>
      </c>
      <c r="AY3895" s="82" t="str">
        <f t="shared" si="2"/>
        <v/>
      </c>
      <c r="AZ3895" s="82"/>
      <c r="BA3895" s="84" t="s">
        <v>152</v>
      </c>
      <c r="BB3895" s="84" t="str">
        <f>IFERROR(__xludf.DUMMYFUNCTION("iferror(if(A3895="""",,E3895&gt;=FILTER(Constants!$F$2:$F$10,Constants!$A$2:$A$10=A3895)))"),"")</f>
        <v/>
      </c>
    </row>
    <row r="3896">
      <c r="A3896" s="89"/>
      <c r="B3896" s="87"/>
      <c r="C3896" s="73"/>
      <c r="D3896" s="73"/>
      <c r="E3896" s="82"/>
      <c r="F3896" s="82"/>
      <c r="G3896" s="86"/>
      <c r="H3896" s="86"/>
      <c r="I3896" s="86"/>
      <c r="J3896" s="82"/>
      <c r="K3896" s="82"/>
      <c r="L3896" s="82"/>
      <c r="M3896" s="82"/>
      <c r="N3896" s="82"/>
      <c r="O3896" s="82"/>
      <c r="P3896" s="82"/>
      <c r="Q3896" s="82"/>
      <c r="R3896" s="82"/>
      <c r="S3896" s="82"/>
      <c r="T3896" s="82"/>
      <c r="U3896" s="82"/>
      <c r="V3896" s="82"/>
      <c r="W3896" s="82"/>
      <c r="X3896" s="82"/>
      <c r="Y3896" s="82"/>
      <c r="Z3896" s="82"/>
      <c r="AA3896" s="82"/>
      <c r="AB3896" s="82"/>
      <c r="AC3896" s="82"/>
      <c r="AD3896" s="82"/>
      <c r="AE3896" s="82"/>
      <c r="AF3896" s="82"/>
      <c r="AG3896" s="82"/>
      <c r="AH3896" s="82"/>
      <c r="AI3896" s="82"/>
      <c r="AJ3896" s="82"/>
      <c r="AK3896" s="82"/>
      <c r="AL3896" s="82"/>
      <c r="AM3896" s="82"/>
      <c r="AN3896" s="82"/>
      <c r="AO3896" s="82"/>
      <c r="AP3896" s="82"/>
      <c r="AQ3896" s="82"/>
      <c r="AR3896" s="82"/>
      <c r="AS3896" s="82"/>
      <c r="AT3896" s="82"/>
      <c r="AU3896" s="82"/>
      <c r="AV3896" s="82"/>
      <c r="AW3896" s="82" t="str">
        <f t="shared" si="1"/>
        <v/>
      </c>
      <c r="AX3896" s="83" t="str">
        <f t="array" ref="AX3896">IFERROR(DGET('SBV Import'!A:G,"SBV",{"RSC ID","Tier";B3896,A3896}))</f>
        <v/>
      </c>
      <c r="AY3896" s="82" t="str">
        <f t="shared" si="2"/>
        <v/>
      </c>
      <c r="AZ3896" s="82"/>
      <c r="BA3896" s="84" t="s">
        <v>152</v>
      </c>
      <c r="BB3896" s="84" t="str">
        <f>IFERROR(__xludf.DUMMYFUNCTION("iferror(if(A3896="""",,E3896&gt;=FILTER(Constants!$F$2:$F$10,Constants!$A$2:$A$10=A3896)))"),"")</f>
        <v/>
      </c>
    </row>
    <row r="3897">
      <c r="A3897" s="89"/>
      <c r="B3897" s="87"/>
      <c r="C3897" s="73"/>
      <c r="D3897" s="73"/>
      <c r="E3897" s="82"/>
      <c r="F3897" s="82"/>
      <c r="G3897" s="86"/>
      <c r="H3897" s="86"/>
      <c r="I3897" s="86"/>
      <c r="J3897" s="82"/>
      <c r="K3897" s="82"/>
      <c r="L3897" s="82"/>
      <c r="M3897" s="82"/>
      <c r="N3897" s="82"/>
      <c r="O3897" s="82"/>
      <c r="P3897" s="82"/>
      <c r="Q3897" s="82"/>
      <c r="R3897" s="82"/>
      <c r="S3897" s="82"/>
      <c r="T3897" s="82"/>
      <c r="U3897" s="82"/>
      <c r="V3897" s="82"/>
      <c r="W3897" s="82"/>
      <c r="X3897" s="82"/>
      <c r="Y3897" s="82"/>
      <c r="Z3897" s="82"/>
      <c r="AA3897" s="82"/>
      <c r="AB3897" s="82"/>
      <c r="AC3897" s="82"/>
      <c r="AD3897" s="82"/>
      <c r="AE3897" s="82"/>
      <c r="AF3897" s="82"/>
      <c r="AG3897" s="82"/>
      <c r="AH3897" s="82"/>
      <c r="AI3897" s="82"/>
      <c r="AJ3897" s="82"/>
      <c r="AK3897" s="82"/>
      <c r="AL3897" s="82"/>
      <c r="AM3897" s="82"/>
      <c r="AN3897" s="82"/>
      <c r="AO3897" s="82"/>
      <c r="AP3897" s="82"/>
      <c r="AQ3897" s="82"/>
      <c r="AR3897" s="82"/>
      <c r="AS3897" s="82"/>
      <c r="AT3897" s="82"/>
      <c r="AU3897" s="82"/>
      <c r="AV3897" s="82"/>
      <c r="AW3897" s="82" t="str">
        <f t="shared" si="1"/>
        <v/>
      </c>
      <c r="AX3897" s="83" t="str">
        <f t="array" ref="AX3897">IFERROR(DGET('SBV Import'!A:G,"SBV",{"RSC ID","Tier";B3897,A3897}))</f>
        <v/>
      </c>
      <c r="AY3897" s="82" t="str">
        <f t="shared" si="2"/>
        <v/>
      </c>
      <c r="AZ3897" s="82"/>
      <c r="BA3897" s="84" t="s">
        <v>152</v>
      </c>
      <c r="BB3897" s="84" t="str">
        <f>IFERROR(__xludf.DUMMYFUNCTION("iferror(if(A3897="""",,E3897&gt;=FILTER(Constants!$F$2:$F$10,Constants!$A$2:$A$10=A3897)))"),"")</f>
        <v/>
      </c>
    </row>
    <row r="3898">
      <c r="A3898" s="89"/>
      <c r="B3898" s="87"/>
      <c r="C3898" s="73"/>
      <c r="D3898" s="73"/>
      <c r="E3898" s="82"/>
      <c r="F3898" s="82"/>
      <c r="G3898" s="86"/>
      <c r="H3898" s="86"/>
      <c r="I3898" s="86"/>
      <c r="J3898" s="82"/>
      <c r="K3898" s="82"/>
      <c r="L3898" s="82"/>
      <c r="M3898" s="82"/>
      <c r="N3898" s="82"/>
      <c r="O3898" s="82"/>
      <c r="P3898" s="82"/>
      <c r="Q3898" s="82"/>
      <c r="R3898" s="82"/>
      <c r="S3898" s="82"/>
      <c r="T3898" s="82"/>
      <c r="U3898" s="82"/>
      <c r="V3898" s="82"/>
      <c r="W3898" s="82"/>
      <c r="X3898" s="82"/>
      <c r="Y3898" s="82"/>
      <c r="Z3898" s="82"/>
      <c r="AA3898" s="82"/>
      <c r="AB3898" s="82"/>
      <c r="AC3898" s="82"/>
      <c r="AD3898" s="82"/>
      <c r="AE3898" s="82"/>
      <c r="AF3898" s="82"/>
      <c r="AG3898" s="82"/>
      <c r="AH3898" s="82"/>
      <c r="AI3898" s="82"/>
      <c r="AJ3898" s="82"/>
      <c r="AK3898" s="82"/>
      <c r="AL3898" s="82"/>
      <c r="AM3898" s="82"/>
      <c r="AN3898" s="82"/>
      <c r="AO3898" s="82"/>
      <c r="AP3898" s="82"/>
      <c r="AQ3898" s="82"/>
      <c r="AR3898" s="82"/>
      <c r="AS3898" s="82"/>
      <c r="AT3898" s="82"/>
      <c r="AU3898" s="82"/>
      <c r="AV3898" s="82"/>
      <c r="AW3898" s="82" t="str">
        <f t="shared" si="1"/>
        <v/>
      </c>
      <c r="AX3898" s="83" t="str">
        <f t="array" ref="AX3898">IFERROR(DGET('SBV Import'!A:G,"SBV",{"RSC ID","Tier";B3898,A3898}))</f>
        <v/>
      </c>
      <c r="AY3898" s="82" t="str">
        <f t="shared" si="2"/>
        <v/>
      </c>
      <c r="AZ3898" s="82"/>
      <c r="BA3898" s="84" t="s">
        <v>152</v>
      </c>
      <c r="BB3898" s="84" t="str">
        <f>IFERROR(__xludf.DUMMYFUNCTION("iferror(if(A3898="""",,E3898&gt;=FILTER(Constants!$F$2:$F$10,Constants!$A$2:$A$10=A3898)))"),"")</f>
        <v/>
      </c>
    </row>
    <row r="3899">
      <c r="A3899" s="89"/>
      <c r="B3899" s="87"/>
      <c r="C3899" s="73"/>
      <c r="D3899" s="73"/>
      <c r="E3899" s="82"/>
      <c r="F3899" s="82"/>
      <c r="G3899" s="86"/>
      <c r="H3899" s="86"/>
      <c r="I3899" s="86"/>
      <c r="J3899" s="82"/>
      <c r="K3899" s="82"/>
      <c r="L3899" s="82"/>
      <c r="M3899" s="82"/>
      <c r="N3899" s="82"/>
      <c r="O3899" s="82"/>
      <c r="P3899" s="82"/>
      <c r="Q3899" s="82"/>
      <c r="R3899" s="82"/>
      <c r="S3899" s="82"/>
      <c r="T3899" s="82"/>
      <c r="U3899" s="82"/>
      <c r="V3899" s="82"/>
      <c r="W3899" s="82"/>
      <c r="X3899" s="82"/>
      <c r="Y3899" s="82"/>
      <c r="Z3899" s="82"/>
      <c r="AA3899" s="82"/>
      <c r="AB3899" s="82"/>
      <c r="AC3899" s="82"/>
      <c r="AD3899" s="82"/>
      <c r="AE3899" s="82"/>
      <c r="AF3899" s="82"/>
      <c r="AG3899" s="82"/>
      <c r="AH3899" s="82"/>
      <c r="AI3899" s="82"/>
      <c r="AJ3899" s="82"/>
      <c r="AK3899" s="82"/>
      <c r="AL3899" s="82"/>
      <c r="AM3899" s="82"/>
      <c r="AN3899" s="82"/>
      <c r="AO3899" s="82"/>
      <c r="AP3899" s="82"/>
      <c r="AQ3899" s="82"/>
      <c r="AR3899" s="82"/>
      <c r="AS3899" s="82"/>
      <c r="AT3899" s="82"/>
      <c r="AU3899" s="82"/>
      <c r="AV3899" s="82"/>
      <c r="AW3899" s="82" t="str">
        <f t="shared" si="1"/>
        <v/>
      </c>
      <c r="AX3899" s="83" t="str">
        <f t="array" ref="AX3899">IFERROR(DGET('SBV Import'!A:G,"SBV",{"RSC ID","Tier";B3899,A3899}))</f>
        <v/>
      </c>
      <c r="AY3899" s="82" t="str">
        <f t="shared" si="2"/>
        <v/>
      </c>
      <c r="AZ3899" s="82"/>
      <c r="BA3899" s="84" t="s">
        <v>152</v>
      </c>
      <c r="BB3899" s="84" t="str">
        <f>IFERROR(__xludf.DUMMYFUNCTION("iferror(if(A3899="""",,E3899&gt;=FILTER(Constants!$F$2:$F$10,Constants!$A$2:$A$10=A3899)))"),"")</f>
        <v/>
      </c>
    </row>
    <row r="3900">
      <c r="A3900" s="89"/>
      <c r="B3900" s="87"/>
      <c r="C3900" s="73"/>
      <c r="D3900" s="73"/>
      <c r="E3900" s="82"/>
      <c r="F3900" s="82"/>
      <c r="G3900" s="86"/>
      <c r="H3900" s="86"/>
      <c r="I3900" s="86"/>
      <c r="J3900" s="82"/>
      <c r="K3900" s="82"/>
      <c r="L3900" s="82"/>
      <c r="M3900" s="82"/>
      <c r="N3900" s="82"/>
      <c r="O3900" s="82"/>
      <c r="P3900" s="82"/>
      <c r="Q3900" s="82"/>
      <c r="R3900" s="82"/>
      <c r="S3900" s="82"/>
      <c r="T3900" s="82"/>
      <c r="U3900" s="82"/>
      <c r="V3900" s="82"/>
      <c r="W3900" s="82"/>
      <c r="X3900" s="82"/>
      <c r="Y3900" s="82"/>
      <c r="Z3900" s="82"/>
      <c r="AA3900" s="82"/>
      <c r="AB3900" s="82"/>
      <c r="AC3900" s="82"/>
      <c r="AD3900" s="82"/>
      <c r="AE3900" s="82"/>
      <c r="AF3900" s="82"/>
      <c r="AG3900" s="82"/>
      <c r="AH3900" s="82"/>
      <c r="AI3900" s="82"/>
      <c r="AJ3900" s="82"/>
      <c r="AK3900" s="82"/>
      <c r="AL3900" s="82"/>
      <c r="AM3900" s="82"/>
      <c r="AN3900" s="82"/>
      <c r="AO3900" s="82"/>
      <c r="AP3900" s="82"/>
      <c r="AQ3900" s="82"/>
      <c r="AR3900" s="82"/>
      <c r="AS3900" s="82"/>
      <c r="AT3900" s="82"/>
      <c r="AU3900" s="82"/>
      <c r="AV3900" s="82"/>
      <c r="AW3900" s="82" t="str">
        <f t="shared" si="1"/>
        <v/>
      </c>
      <c r="AX3900" s="83" t="str">
        <f t="array" ref="AX3900">IFERROR(DGET('SBV Import'!A:G,"SBV",{"RSC ID","Tier";B3900,A3900}))</f>
        <v/>
      </c>
      <c r="AY3900" s="82" t="str">
        <f t="shared" si="2"/>
        <v/>
      </c>
      <c r="AZ3900" s="82"/>
      <c r="BA3900" s="84" t="s">
        <v>152</v>
      </c>
      <c r="BB3900" s="84" t="str">
        <f>IFERROR(__xludf.DUMMYFUNCTION("iferror(if(A3900="""",,E3900&gt;=FILTER(Constants!$F$2:$F$10,Constants!$A$2:$A$10=A3900)))"),"")</f>
        <v/>
      </c>
    </row>
    <row r="3901">
      <c r="A3901" s="89"/>
      <c r="B3901" s="87"/>
      <c r="C3901" s="73"/>
      <c r="D3901" s="73"/>
      <c r="E3901" s="82"/>
      <c r="F3901" s="82"/>
      <c r="G3901" s="86"/>
      <c r="H3901" s="86"/>
      <c r="I3901" s="86"/>
      <c r="J3901" s="82"/>
      <c r="K3901" s="82"/>
      <c r="L3901" s="82"/>
      <c r="M3901" s="82"/>
      <c r="N3901" s="82"/>
      <c r="O3901" s="82"/>
      <c r="P3901" s="82"/>
      <c r="Q3901" s="82"/>
      <c r="R3901" s="82"/>
      <c r="S3901" s="82"/>
      <c r="T3901" s="82"/>
      <c r="U3901" s="82"/>
      <c r="V3901" s="82"/>
      <c r="W3901" s="82"/>
      <c r="X3901" s="82"/>
      <c r="Y3901" s="82"/>
      <c r="Z3901" s="82"/>
      <c r="AA3901" s="82"/>
      <c r="AB3901" s="82"/>
      <c r="AC3901" s="82"/>
      <c r="AD3901" s="82"/>
      <c r="AE3901" s="82"/>
      <c r="AF3901" s="82"/>
      <c r="AG3901" s="82"/>
      <c r="AH3901" s="82"/>
      <c r="AI3901" s="82"/>
      <c r="AJ3901" s="82"/>
      <c r="AK3901" s="82"/>
      <c r="AL3901" s="82"/>
      <c r="AM3901" s="82"/>
      <c r="AN3901" s="82"/>
      <c r="AO3901" s="82"/>
      <c r="AP3901" s="82"/>
      <c r="AQ3901" s="82"/>
      <c r="AR3901" s="82"/>
      <c r="AS3901" s="82"/>
      <c r="AT3901" s="82"/>
      <c r="AU3901" s="82"/>
      <c r="AV3901" s="82"/>
      <c r="AW3901" s="82" t="str">
        <f t="shared" si="1"/>
        <v/>
      </c>
      <c r="AX3901" s="83" t="str">
        <f t="array" ref="AX3901">IFERROR(DGET('SBV Import'!A:G,"SBV",{"RSC ID","Tier";B3901,A3901}))</f>
        <v/>
      </c>
      <c r="AY3901" s="82" t="str">
        <f t="shared" si="2"/>
        <v/>
      </c>
      <c r="AZ3901" s="82"/>
      <c r="BA3901" s="84" t="s">
        <v>152</v>
      </c>
      <c r="BB3901" s="84" t="str">
        <f>IFERROR(__xludf.DUMMYFUNCTION("iferror(if(A3901="""",,E3901&gt;=FILTER(Constants!$F$2:$F$10,Constants!$A$2:$A$10=A3901)))"),"")</f>
        <v/>
      </c>
    </row>
    <row r="3902">
      <c r="A3902" s="89"/>
      <c r="B3902" s="87"/>
      <c r="C3902" s="73"/>
      <c r="D3902" s="73"/>
      <c r="E3902" s="82"/>
      <c r="F3902" s="82"/>
      <c r="G3902" s="86"/>
      <c r="H3902" s="86"/>
      <c r="I3902" s="86"/>
      <c r="J3902" s="82"/>
      <c r="K3902" s="82"/>
      <c r="L3902" s="82"/>
      <c r="M3902" s="82"/>
      <c r="N3902" s="82"/>
      <c r="O3902" s="82"/>
      <c r="P3902" s="82"/>
      <c r="Q3902" s="82"/>
      <c r="R3902" s="82"/>
      <c r="S3902" s="82"/>
      <c r="T3902" s="82"/>
      <c r="U3902" s="82"/>
      <c r="V3902" s="82"/>
      <c r="W3902" s="82"/>
      <c r="X3902" s="82"/>
      <c r="Y3902" s="82"/>
      <c r="Z3902" s="82"/>
      <c r="AA3902" s="82"/>
      <c r="AB3902" s="82"/>
      <c r="AC3902" s="82"/>
      <c r="AD3902" s="82"/>
      <c r="AE3902" s="82"/>
      <c r="AF3902" s="82"/>
      <c r="AG3902" s="82"/>
      <c r="AH3902" s="82"/>
      <c r="AI3902" s="82"/>
      <c r="AJ3902" s="82"/>
      <c r="AK3902" s="82"/>
      <c r="AL3902" s="82"/>
      <c r="AM3902" s="82"/>
      <c r="AN3902" s="82"/>
      <c r="AO3902" s="82"/>
      <c r="AP3902" s="82"/>
      <c r="AQ3902" s="82"/>
      <c r="AR3902" s="82"/>
      <c r="AS3902" s="82"/>
      <c r="AT3902" s="82"/>
      <c r="AU3902" s="82"/>
      <c r="AV3902" s="82"/>
      <c r="AW3902" s="82" t="str">
        <f t="shared" si="1"/>
        <v/>
      </c>
      <c r="AX3902" s="83" t="str">
        <f t="array" ref="AX3902">IFERROR(DGET('SBV Import'!A:G,"SBV",{"RSC ID","Tier";B3902,A3902}))</f>
        <v/>
      </c>
      <c r="AY3902" s="82" t="str">
        <f t="shared" si="2"/>
        <v/>
      </c>
      <c r="AZ3902" s="82"/>
      <c r="BA3902" s="84" t="s">
        <v>152</v>
      </c>
      <c r="BB3902" s="84" t="str">
        <f>IFERROR(__xludf.DUMMYFUNCTION("iferror(if(A3902="""",,E3902&gt;=FILTER(Constants!$F$2:$F$10,Constants!$A$2:$A$10=A3902)))"),"")</f>
        <v/>
      </c>
    </row>
    <row r="3903">
      <c r="A3903" s="89"/>
      <c r="B3903" s="87"/>
      <c r="C3903" s="73"/>
      <c r="D3903" s="73"/>
      <c r="E3903" s="82"/>
      <c r="F3903" s="82"/>
      <c r="G3903" s="86"/>
      <c r="H3903" s="86"/>
      <c r="I3903" s="86"/>
      <c r="J3903" s="82"/>
      <c r="K3903" s="82"/>
      <c r="L3903" s="82"/>
      <c r="M3903" s="82"/>
      <c r="N3903" s="82"/>
      <c r="O3903" s="82"/>
      <c r="P3903" s="82"/>
      <c r="Q3903" s="82"/>
      <c r="R3903" s="82"/>
      <c r="S3903" s="82"/>
      <c r="T3903" s="82"/>
      <c r="U3903" s="82"/>
      <c r="V3903" s="82"/>
      <c r="W3903" s="82"/>
      <c r="X3903" s="82"/>
      <c r="Y3903" s="82"/>
      <c r="Z3903" s="82"/>
      <c r="AA3903" s="82"/>
      <c r="AB3903" s="82"/>
      <c r="AC3903" s="82"/>
      <c r="AD3903" s="82"/>
      <c r="AE3903" s="82"/>
      <c r="AF3903" s="82"/>
      <c r="AG3903" s="82"/>
      <c r="AH3903" s="82"/>
      <c r="AI3903" s="82"/>
      <c r="AJ3903" s="82"/>
      <c r="AK3903" s="82"/>
      <c r="AL3903" s="82"/>
      <c r="AM3903" s="82"/>
      <c r="AN3903" s="82"/>
      <c r="AO3903" s="82"/>
      <c r="AP3903" s="82"/>
      <c r="AQ3903" s="82"/>
      <c r="AR3903" s="82"/>
      <c r="AS3903" s="82"/>
      <c r="AT3903" s="82"/>
      <c r="AU3903" s="82"/>
      <c r="AV3903" s="82"/>
      <c r="AW3903" s="82" t="str">
        <f t="shared" si="1"/>
        <v/>
      </c>
      <c r="AX3903" s="83" t="str">
        <f t="array" ref="AX3903">IFERROR(DGET('SBV Import'!A:G,"SBV",{"RSC ID","Tier";B3903,A3903}))</f>
        <v/>
      </c>
      <c r="AY3903" s="82" t="str">
        <f t="shared" si="2"/>
        <v/>
      </c>
      <c r="AZ3903" s="82"/>
      <c r="BA3903" s="84" t="s">
        <v>152</v>
      </c>
      <c r="BB3903" s="84" t="str">
        <f>IFERROR(__xludf.DUMMYFUNCTION("iferror(if(A3903="""",,E3903&gt;=FILTER(Constants!$F$2:$F$10,Constants!$A$2:$A$10=A3903)))"),"")</f>
        <v/>
      </c>
    </row>
    <row r="3904">
      <c r="A3904" s="89"/>
      <c r="B3904" s="87"/>
      <c r="C3904" s="73"/>
      <c r="D3904" s="73"/>
      <c r="E3904" s="82"/>
      <c r="F3904" s="82"/>
      <c r="G3904" s="86"/>
      <c r="H3904" s="86"/>
      <c r="I3904" s="86"/>
      <c r="J3904" s="82"/>
      <c r="K3904" s="82"/>
      <c r="L3904" s="82"/>
      <c r="M3904" s="82"/>
      <c r="N3904" s="82"/>
      <c r="O3904" s="82"/>
      <c r="P3904" s="82"/>
      <c r="Q3904" s="82"/>
      <c r="R3904" s="82"/>
      <c r="S3904" s="82"/>
      <c r="T3904" s="82"/>
      <c r="U3904" s="82"/>
      <c r="V3904" s="82"/>
      <c r="W3904" s="82"/>
      <c r="X3904" s="82"/>
      <c r="Y3904" s="82"/>
      <c r="Z3904" s="82"/>
      <c r="AA3904" s="82"/>
      <c r="AB3904" s="82"/>
      <c r="AC3904" s="82"/>
      <c r="AD3904" s="82"/>
      <c r="AE3904" s="82"/>
      <c r="AF3904" s="82"/>
      <c r="AG3904" s="82"/>
      <c r="AH3904" s="82"/>
      <c r="AI3904" s="82"/>
      <c r="AJ3904" s="82"/>
      <c r="AK3904" s="82"/>
      <c r="AL3904" s="82"/>
      <c r="AM3904" s="82"/>
      <c r="AN3904" s="82"/>
      <c r="AO3904" s="82"/>
      <c r="AP3904" s="82"/>
      <c r="AQ3904" s="82"/>
      <c r="AR3904" s="82"/>
      <c r="AS3904" s="82"/>
      <c r="AT3904" s="82"/>
      <c r="AU3904" s="82"/>
      <c r="AV3904" s="82"/>
      <c r="AW3904" s="82" t="str">
        <f t="shared" si="1"/>
        <v/>
      </c>
      <c r="AX3904" s="83" t="str">
        <f t="array" ref="AX3904">IFERROR(DGET('SBV Import'!A:G,"SBV",{"RSC ID","Tier";B3904,A3904}))</f>
        <v/>
      </c>
      <c r="AY3904" s="82" t="str">
        <f t="shared" si="2"/>
        <v/>
      </c>
      <c r="AZ3904" s="82"/>
      <c r="BA3904" s="84" t="s">
        <v>152</v>
      </c>
      <c r="BB3904" s="84" t="str">
        <f>IFERROR(__xludf.DUMMYFUNCTION("iferror(if(A3904="""",,E3904&gt;=FILTER(Constants!$F$2:$F$10,Constants!$A$2:$A$10=A3904)))"),"")</f>
        <v/>
      </c>
    </row>
    <row r="3905">
      <c r="A3905" s="89"/>
      <c r="B3905" s="87"/>
      <c r="C3905" s="73"/>
      <c r="D3905" s="73"/>
      <c r="E3905" s="82"/>
      <c r="F3905" s="82"/>
      <c r="G3905" s="86"/>
      <c r="H3905" s="86"/>
      <c r="I3905" s="86"/>
      <c r="J3905" s="82"/>
      <c r="K3905" s="82"/>
      <c r="L3905" s="82"/>
      <c r="M3905" s="82"/>
      <c r="N3905" s="82"/>
      <c r="O3905" s="82"/>
      <c r="P3905" s="82"/>
      <c r="Q3905" s="82"/>
      <c r="R3905" s="82"/>
      <c r="S3905" s="82"/>
      <c r="T3905" s="82"/>
      <c r="U3905" s="82"/>
      <c r="V3905" s="82"/>
      <c r="W3905" s="82"/>
      <c r="X3905" s="82"/>
      <c r="Y3905" s="82"/>
      <c r="Z3905" s="82"/>
      <c r="AA3905" s="82"/>
      <c r="AB3905" s="82"/>
      <c r="AC3905" s="82"/>
      <c r="AD3905" s="82"/>
      <c r="AE3905" s="82"/>
      <c r="AF3905" s="82"/>
      <c r="AG3905" s="82"/>
      <c r="AH3905" s="82"/>
      <c r="AI3905" s="82"/>
      <c r="AJ3905" s="82"/>
      <c r="AK3905" s="82"/>
      <c r="AL3905" s="82"/>
      <c r="AM3905" s="82"/>
      <c r="AN3905" s="82"/>
      <c r="AO3905" s="82"/>
      <c r="AP3905" s="82"/>
      <c r="AQ3905" s="82"/>
      <c r="AR3905" s="82"/>
      <c r="AS3905" s="82"/>
      <c r="AT3905" s="82"/>
      <c r="AU3905" s="82"/>
      <c r="AV3905" s="82"/>
      <c r="AW3905" s="82" t="str">
        <f t="shared" si="1"/>
        <v/>
      </c>
      <c r="AX3905" s="83" t="str">
        <f t="array" ref="AX3905">IFERROR(DGET('SBV Import'!A:G,"SBV",{"RSC ID","Tier";B3905,A3905}))</f>
        <v/>
      </c>
      <c r="AY3905" s="82" t="str">
        <f t="shared" si="2"/>
        <v/>
      </c>
      <c r="AZ3905" s="82"/>
      <c r="BA3905" s="84" t="s">
        <v>152</v>
      </c>
      <c r="BB3905" s="84" t="str">
        <f>IFERROR(__xludf.DUMMYFUNCTION("iferror(if(A3905="""",,E3905&gt;=FILTER(Constants!$F$2:$F$10,Constants!$A$2:$A$10=A3905)))"),"")</f>
        <v/>
      </c>
    </row>
    <row r="3906">
      <c r="A3906" s="89"/>
      <c r="B3906" s="87"/>
      <c r="C3906" s="73"/>
      <c r="D3906" s="73"/>
      <c r="E3906" s="82"/>
      <c r="F3906" s="82"/>
      <c r="G3906" s="86"/>
      <c r="H3906" s="86"/>
      <c r="I3906" s="86"/>
      <c r="J3906" s="82"/>
      <c r="K3906" s="82"/>
      <c r="L3906" s="82"/>
      <c r="M3906" s="82"/>
      <c r="N3906" s="82"/>
      <c r="O3906" s="82"/>
      <c r="P3906" s="82"/>
      <c r="Q3906" s="82"/>
      <c r="R3906" s="82"/>
      <c r="S3906" s="82"/>
      <c r="T3906" s="82"/>
      <c r="U3906" s="82"/>
      <c r="V3906" s="82"/>
      <c r="W3906" s="82"/>
      <c r="X3906" s="82"/>
      <c r="Y3906" s="82"/>
      <c r="Z3906" s="82"/>
      <c r="AA3906" s="82"/>
      <c r="AB3906" s="82"/>
      <c r="AC3906" s="82"/>
      <c r="AD3906" s="82"/>
      <c r="AE3906" s="82"/>
      <c r="AF3906" s="82"/>
      <c r="AG3906" s="82"/>
      <c r="AH3906" s="82"/>
      <c r="AI3906" s="82"/>
      <c r="AJ3906" s="82"/>
      <c r="AK3906" s="82"/>
      <c r="AL3906" s="82"/>
      <c r="AM3906" s="82"/>
      <c r="AN3906" s="82"/>
      <c r="AO3906" s="82"/>
      <c r="AP3906" s="82"/>
      <c r="AQ3906" s="82"/>
      <c r="AR3906" s="82"/>
      <c r="AS3906" s="82"/>
      <c r="AT3906" s="82"/>
      <c r="AU3906" s="82"/>
      <c r="AV3906" s="82"/>
      <c r="AW3906" s="82" t="str">
        <f t="shared" si="1"/>
        <v/>
      </c>
      <c r="AX3906" s="83" t="str">
        <f t="array" ref="AX3906">IFERROR(DGET('SBV Import'!A:G,"SBV",{"RSC ID","Tier";B3906,A3906}))</f>
        <v/>
      </c>
      <c r="AY3906" s="82" t="str">
        <f t="shared" si="2"/>
        <v/>
      </c>
      <c r="AZ3906" s="82"/>
      <c r="BA3906" s="84" t="s">
        <v>152</v>
      </c>
      <c r="BB3906" s="84" t="str">
        <f>IFERROR(__xludf.DUMMYFUNCTION("iferror(if(A3906="""",,E3906&gt;=FILTER(Constants!$F$2:$F$10,Constants!$A$2:$A$10=A3906)))"),"")</f>
        <v/>
      </c>
    </row>
    <row r="3907">
      <c r="A3907" s="89"/>
      <c r="B3907" s="87"/>
      <c r="C3907" s="73"/>
      <c r="D3907" s="73"/>
      <c r="E3907" s="82"/>
      <c r="F3907" s="82"/>
      <c r="G3907" s="86"/>
      <c r="H3907" s="86"/>
      <c r="I3907" s="86"/>
      <c r="J3907" s="82"/>
      <c r="K3907" s="82"/>
      <c r="L3907" s="82"/>
      <c r="M3907" s="82"/>
      <c r="N3907" s="82"/>
      <c r="O3907" s="82"/>
      <c r="P3907" s="82"/>
      <c r="Q3907" s="82"/>
      <c r="R3907" s="82"/>
      <c r="S3907" s="82"/>
      <c r="T3907" s="82"/>
      <c r="U3907" s="82"/>
      <c r="V3907" s="82"/>
      <c r="W3907" s="82"/>
      <c r="X3907" s="82"/>
      <c r="Y3907" s="82"/>
      <c r="Z3907" s="82"/>
      <c r="AA3907" s="82"/>
      <c r="AB3907" s="82"/>
      <c r="AC3907" s="82"/>
      <c r="AD3907" s="82"/>
      <c r="AE3907" s="82"/>
      <c r="AF3907" s="82"/>
      <c r="AG3907" s="82"/>
      <c r="AH3907" s="82"/>
      <c r="AI3907" s="82"/>
      <c r="AJ3907" s="82"/>
      <c r="AK3907" s="82"/>
      <c r="AL3907" s="82"/>
      <c r="AM3907" s="82"/>
      <c r="AN3907" s="82"/>
      <c r="AO3907" s="82"/>
      <c r="AP3907" s="82"/>
      <c r="AQ3907" s="82"/>
      <c r="AR3907" s="82"/>
      <c r="AS3907" s="82"/>
      <c r="AT3907" s="82"/>
      <c r="AU3907" s="82"/>
      <c r="AV3907" s="82"/>
      <c r="AW3907" s="82" t="str">
        <f t="shared" si="1"/>
        <v/>
      </c>
      <c r="AX3907" s="83" t="str">
        <f t="array" ref="AX3907">IFERROR(DGET('SBV Import'!A:G,"SBV",{"RSC ID","Tier";B3907,A3907}))</f>
        <v/>
      </c>
      <c r="AY3907" s="82" t="str">
        <f t="shared" si="2"/>
        <v/>
      </c>
      <c r="AZ3907" s="82"/>
      <c r="BA3907" s="84" t="s">
        <v>152</v>
      </c>
      <c r="BB3907" s="84" t="str">
        <f>IFERROR(__xludf.DUMMYFUNCTION("iferror(if(A3907="""",,E3907&gt;=FILTER(Constants!$F$2:$F$10,Constants!$A$2:$A$10=A3907)))"),"")</f>
        <v/>
      </c>
    </row>
    <row r="3908">
      <c r="A3908" s="89"/>
      <c r="B3908" s="87"/>
      <c r="C3908" s="73"/>
      <c r="D3908" s="73"/>
      <c r="E3908" s="82"/>
      <c r="F3908" s="82"/>
      <c r="G3908" s="86"/>
      <c r="H3908" s="86"/>
      <c r="I3908" s="86"/>
      <c r="J3908" s="82"/>
      <c r="K3908" s="82"/>
      <c r="L3908" s="82"/>
      <c r="M3908" s="82"/>
      <c r="N3908" s="82"/>
      <c r="O3908" s="82"/>
      <c r="P3908" s="82"/>
      <c r="Q3908" s="82"/>
      <c r="R3908" s="82"/>
      <c r="S3908" s="82"/>
      <c r="T3908" s="82"/>
      <c r="U3908" s="82"/>
      <c r="V3908" s="82"/>
      <c r="W3908" s="82"/>
      <c r="X3908" s="82"/>
      <c r="Y3908" s="82"/>
      <c r="Z3908" s="82"/>
      <c r="AA3908" s="82"/>
      <c r="AB3908" s="82"/>
      <c r="AC3908" s="82"/>
      <c r="AD3908" s="82"/>
      <c r="AE3908" s="82"/>
      <c r="AF3908" s="82"/>
      <c r="AG3908" s="82"/>
      <c r="AH3908" s="82"/>
      <c r="AI3908" s="82"/>
      <c r="AJ3908" s="82"/>
      <c r="AK3908" s="82"/>
      <c r="AL3908" s="82"/>
      <c r="AM3908" s="82"/>
      <c r="AN3908" s="82"/>
      <c r="AO3908" s="82"/>
      <c r="AP3908" s="82"/>
      <c r="AQ3908" s="82"/>
      <c r="AR3908" s="82"/>
      <c r="AS3908" s="82"/>
      <c r="AT3908" s="82"/>
      <c r="AU3908" s="82"/>
      <c r="AV3908" s="82"/>
      <c r="AW3908" s="82" t="str">
        <f t="shared" si="1"/>
        <v/>
      </c>
      <c r="AX3908" s="83" t="str">
        <f t="array" ref="AX3908">IFERROR(DGET('SBV Import'!A:G,"SBV",{"RSC ID","Tier";B3908,A3908}))</f>
        <v/>
      </c>
      <c r="AY3908" s="82" t="str">
        <f t="shared" si="2"/>
        <v/>
      </c>
      <c r="AZ3908" s="82"/>
      <c r="BA3908" s="84" t="s">
        <v>152</v>
      </c>
      <c r="BB3908" s="84" t="str">
        <f>IFERROR(__xludf.DUMMYFUNCTION("iferror(if(A3908="""",,E3908&gt;=FILTER(Constants!$F$2:$F$10,Constants!$A$2:$A$10=A3908)))"),"")</f>
        <v/>
      </c>
    </row>
    <row r="3909">
      <c r="A3909" s="89"/>
      <c r="B3909" s="87"/>
      <c r="C3909" s="73"/>
      <c r="D3909" s="73"/>
      <c r="E3909" s="82"/>
      <c r="F3909" s="82"/>
      <c r="G3909" s="86"/>
      <c r="H3909" s="86"/>
      <c r="I3909" s="86"/>
      <c r="J3909" s="82"/>
      <c r="K3909" s="82"/>
      <c r="L3909" s="82"/>
      <c r="M3909" s="82"/>
      <c r="N3909" s="82"/>
      <c r="O3909" s="82"/>
      <c r="P3909" s="82"/>
      <c r="Q3909" s="82"/>
      <c r="R3909" s="82"/>
      <c r="S3909" s="82"/>
      <c r="T3909" s="82"/>
      <c r="U3909" s="82"/>
      <c r="V3909" s="82"/>
      <c r="W3909" s="82"/>
      <c r="X3909" s="82"/>
      <c r="Y3909" s="82"/>
      <c r="Z3909" s="82"/>
      <c r="AA3909" s="82"/>
      <c r="AB3909" s="82"/>
      <c r="AC3909" s="82"/>
      <c r="AD3909" s="82"/>
      <c r="AE3909" s="82"/>
      <c r="AF3909" s="82"/>
      <c r="AG3909" s="82"/>
      <c r="AH3909" s="82"/>
      <c r="AI3909" s="82"/>
      <c r="AJ3909" s="82"/>
      <c r="AK3909" s="82"/>
      <c r="AL3909" s="82"/>
      <c r="AM3909" s="82"/>
      <c r="AN3909" s="82"/>
      <c r="AO3909" s="82"/>
      <c r="AP3909" s="82"/>
      <c r="AQ3909" s="82"/>
      <c r="AR3909" s="82"/>
      <c r="AS3909" s="82"/>
      <c r="AT3909" s="82"/>
      <c r="AU3909" s="82"/>
      <c r="AV3909" s="82"/>
      <c r="AW3909" s="82" t="str">
        <f t="shared" si="1"/>
        <v/>
      </c>
      <c r="AX3909" s="83" t="str">
        <f t="array" ref="AX3909">IFERROR(DGET('SBV Import'!A:G,"SBV",{"RSC ID","Tier";B3909,A3909}))</f>
        <v/>
      </c>
      <c r="AY3909" s="82" t="str">
        <f t="shared" si="2"/>
        <v/>
      </c>
      <c r="AZ3909" s="82"/>
      <c r="BA3909" s="84" t="s">
        <v>152</v>
      </c>
      <c r="BB3909" s="84" t="str">
        <f>IFERROR(__xludf.DUMMYFUNCTION("iferror(if(A3909="""",,E3909&gt;=FILTER(Constants!$F$2:$F$10,Constants!$A$2:$A$10=A3909)))"),"")</f>
        <v/>
      </c>
    </row>
    <row r="3910">
      <c r="A3910" s="89"/>
      <c r="B3910" s="87"/>
      <c r="C3910" s="73"/>
      <c r="D3910" s="73"/>
      <c r="E3910" s="82"/>
      <c r="F3910" s="82"/>
      <c r="G3910" s="86"/>
      <c r="H3910" s="86"/>
      <c r="I3910" s="86"/>
      <c r="J3910" s="82"/>
      <c r="K3910" s="82"/>
      <c r="L3910" s="82"/>
      <c r="M3910" s="82"/>
      <c r="N3910" s="82"/>
      <c r="O3910" s="82"/>
      <c r="P3910" s="82"/>
      <c r="Q3910" s="82"/>
      <c r="R3910" s="82"/>
      <c r="S3910" s="82"/>
      <c r="T3910" s="82"/>
      <c r="U3910" s="82"/>
      <c r="V3910" s="82"/>
      <c r="W3910" s="82"/>
      <c r="X3910" s="82"/>
      <c r="Y3910" s="82"/>
      <c r="Z3910" s="82"/>
      <c r="AA3910" s="82"/>
      <c r="AB3910" s="82"/>
      <c r="AC3910" s="82"/>
      <c r="AD3910" s="82"/>
      <c r="AE3910" s="82"/>
      <c r="AF3910" s="82"/>
      <c r="AG3910" s="82"/>
      <c r="AH3910" s="82"/>
      <c r="AI3910" s="82"/>
      <c r="AJ3910" s="82"/>
      <c r="AK3910" s="82"/>
      <c r="AL3910" s="82"/>
      <c r="AM3910" s="82"/>
      <c r="AN3910" s="82"/>
      <c r="AO3910" s="82"/>
      <c r="AP3910" s="82"/>
      <c r="AQ3910" s="82"/>
      <c r="AR3910" s="82"/>
      <c r="AS3910" s="82"/>
      <c r="AT3910" s="82"/>
      <c r="AU3910" s="82"/>
      <c r="AV3910" s="82"/>
      <c r="AW3910" s="82" t="str">
        <f t="shared" si="1"/>
        <v/>
      </c>
      <c r="AX3910" s="83" t="str">
        <f t="array" ref="AX3910">IFERROR(DGET('SBV Import'!A:G,"SBV",{"RSC ID","Tier";B3910,A3910}))</f>
        <v/>
      </c>
      <c r="AY3910" s="82" t="str">
        <f t="shared" si="2"/>
        <v/>
      </c>
      <c r="AZ3910" s="82"/>
      <c r="BA3910" s="84" t="s">
        <v>152</v>
      </c>
      <c r="BB3910" s="84" t="str">
        <f>IFERROR(__xludf.DUMMYFUNCTION("iferror(if(A3910="""",,E3910&gt;=FILTER(Constants!$F$2:$F$10,Constants!$A$2:$A$10=A3910)))"),"")</f>
        <v/>
      </c>
    </row>
    <row r="3911">
      <c r="A3911" s="89"/>
      <c r="B3911" s="87"/>
      <c r="C3911" s="73"/>
      <c r="D3911" s="73"/>
      <c r="E3911" s="82"/>
      <c r="F3911" s="82"/>
      <c r="G3911" s="86"/>
      <c r="H3911" s="86"/>
      <c r="I3911" s="86"/>
      <c r="J3911" s="82"/>
      <c r="K3911" s="82"/>
      <c r="L3911" s="82"/>
      <c r="M3911" s="82"/>
      <c r="N3911" s="82"/>
      <c r="O3911" s="82"/>
      <c r="P3911" s="82"/>
      <c r="Q3911" s="82"/>
      <c r="R3911" s="82"/>
      <c r="S3911" s="82"/>
      <c r="T3911" s="82"/>
      <c r="U3911" s="82"/>
      <c r="V3911" s="82"/>
      <c r="W3911" s="82"/>
      <c r="X3911" s="82"/>
      <c r="Y3911" s="82"/>
      <c r="Z3911" s="82"/>
      <c r="AA3911" s="82"/>
      <c r="AB3911" s="82"/>
      <c r="AC3911" s="82"/>
      <c r="AD3911" s="82"/>
      <c r="AE3911" s="82"/>
      <c r="AF3911" s="82"/>
      <c r="AG3911" s="82"/>
      <c r="AH3911" s="82"/>
      <c r="AI3911" s="82"/>
      <c r="AJ3911" s="82"/>
      <c r="AK3911" s="82"/>
      <c r="AL3911" s="82"/>
      <c r="AM3911" s="82"/>
      <c r="AN3911" s="82"/>
      <c r="AO3911" s="82"/>
      <c r="AP3911" s="82"/>
      <c r="AQ3911" s="82"/>
      <c r="AR3911" s="82"/>
      <c r="AS3911" s="82"/>
      <c r="AT3911" s="82"/>
      <c r="AU3911" s="82"/>
      <c r="AV3911" s="82"/>
      <c r="AW3911" s="82" t="str">
        <f t="shared" si="1"/>
        <v/>
      </c>
      <c r="AX3911" s="83" t="str">
        <f t="array" ref="AX3911">IFERROR(DGET('SBV Import'!A:G,"SBV",{"RSC ID","Tier";B3911,A3911}))</f>
        <v/>
      </c>
      <c r="AY3911" s="82" t="str">
        <f t="shared" si="2"/>
        <v/>
      </c>
      <c r="AZ3911" s="82"/>
      <c r="BA3911" s="84" t="s">
        <v>152</v>
      </c>
      <c r="BB3911" s="84" t="str">
        <f>IFERROR(__xludf.DUMMYFUNCTION("iferror(if(A3911="""",,E3911&gt;=FILTER(Constants!$F$2:$F$10,Constants!$A$2:$A$10=A3911)))"),"")</f>
        <v/>
      </c>
    </row>
    <row r="3912">
      <c r="A3912" s="89"/>
      <c r="B3912" s="87"/>
      <c r="C3912" s="73"/>
      <c r="D3912" s="73"/>
      <c r="E3912" s="82"/>
      <c r="F3912" s="82"/>
      <c r="G3912" s="86"/>
      <c r="H3912" s="86"/>
      <c r="I3912" s="86"/>
      <c r="J3912" s="82"/>
      <c r="K3912" s="82"/>
      <c r="L3912" s="82"/>
      <c r="M3912" s="82"/>
      <c r="N3912" s="82"/>
      <c r="O3912" s="82"/>
      <c r="P3912" s="82"/>
      <c r="Q3912" s="82"/>
      <c r="R3912" s="82"/>
      <c r="S3912" s="82"/>
      <c r="T3912" s="82"/>
      <c r="U3912" s="82"/>
      <c r="V3912" s="82"/>
      <c r="W3912" s="82"/>
      <c r="X3912" s="82"/>
      <c r="Y3912" s="82"/>
      <c r="Z3912" s="82"/>
      <c r="AA3912" s="82"/>
      <c r="AB3912" s="82"/>
      <c r="AC3912" s="82"/>
      <c r="AD3912" s="82"/>
      <c r="AE3912" s="82"/>
      <c r="AF3912" s="82"/>
      <c r="AG3912" s="82"/>
      <c r="AH3912" s="82"/>
      <c r="AI3912" s="82"/>
      <c r="AJ3912" s="82"/>
      <c r="AK3912" s="82"/>
      <c r="AL3912" s="82"/>
      <c r="AM3912" s="82"/>
      <c r="AN3912" s="82"/>
      <c r="AO3912" s="82"/>
      <c r="AP3912" s="82"/>
      <c r="AQ3912" s="82"/>
      <c r="AR3912" s="82"/>
      <c r="AS3912" s="82"/>
      <c r="AT3912" s="82"/>
      <c r="AU3912" s="82"/>
      <c r="AV3912" s="82"/>
      <c r="AW3912" s="82" t="str">
        <f t="shared" si="1"/>
        <v/>
      </c>
      <c r="AX3912" s="83" t="str">
        <f t="array" ref="AX3912">IFERROR(DGET('SBV Import'!A:G,"SBV",{"RSC ID","Tier";B3912,A3912}))</f>
        <v/>
      </c>
      <c r="AY3912" s="82" t="str">
        <f t="shared" si="2"/>
        <v/>
      </c>
      <c r="AZ3912" s="82"/>
      <c r="BA3912" s="84" t="s">
        <v>152</v>
      </c>
      <c r="BB3912" s="84" t="str">
        <f>IFERROR(__xludf.DUMMYFUNCTION("iferror(if(A3912="""",,E3912&gt;=FILTER(Constants!$F$2:$F$10,Constants!$A$2:$A$10=A3912)))"),"")</f>
        <v/>
      </c>
    </row>
    <row r="3913">
      <c r="A3913" s="89"/>
      <c r="B3913" s="87"/>
      <c r="C3913" s="73"/>
      <c r="D3913" s="73"/>
      <c r="E3913" s="82"/>
      <c r="F3913" s="82"/>
      <c r="G3913" s="86"/>
      <c r="H3913" s="86"/>
      <c r="I3913" s="86"/>
      <c r="J3913" s="82"/>
      <c r="K3913" s="82"/>
      <c r="L3913" s="82"/>
      <c r="M3913" s="82"/>
      <c r="N3913" s="82"/>
      <c r="O3913" s="82"/>
      <c r="P3913" s="82"/>
      <c r="Q3913" s="82"/>
      <c r="R3913" s="82"/>
      <c r="S3913" s="82"/>
      <c r="T3913" s="82"/>
      <c r="U3913" s="82"/>
      <c r="V3913" s="82"/>
      <c r="W3913" s="82"/>
      <c r="X3913" s="82"/>
      <c r="Y3913" s="82"/>
      <c r="Z3913" s="82"/>
      <c r="AA3913" s="82"/>
      <c r="AB3913" s="82"/>
      <c r="AC3913" s="82"/>
      <c r="AD3913" s="82"/>
      <c r="AE3913" s="82"/>
      <c r="AF3913" s="82"/>
      <c r="AG3913" s="82"/>
      <c r="AH3913" s="82"/>
      <c r="AI3913" s="82"/>
      <c r="AJ3913" s="82"/>
      <c r="AK3913" s="82"/>
      <c r="AL3913" s="82"/>
      <c r="AM3913" s="82"/>
      <c r="AN3913" s="82"/>
      <c r="AO3913" s="82"/>
      <c r="AP3913" s="82"/>
      <c r="AQ3913" s="82"/>
      <c r="AR3913" s="82"/>
      <c r="AS3913" s="82"/>
      <c r="AT3913" s="82"/>
      <c r="AU3913" s="82"/>
      <c r="AV3913" s="82"/>
      <c r="AW3913" s="82" t="str">
        <f t="shared" si="1"/>
        <v/>
      </c>
      <c r="AX3913" s="83" t="str">
        <f t="array" ref="AX3913">IFERROR(DGET('SBV Import'!A:G,"SBV",{"RSC ID","Tier";B3913,A3913}))</f>
        <v/>
      </c>
      <c r="AY3913" s="82" t="str">
        <f t="shared" si="2"/>
        <v/>
      </c>
      <c r="AZ3913" s="82"/>
      <c r="BA3913" s="84" t="s">
        <v>152</v>
      </c>
      <c r="BB3913" s="84" t="str">
        <f>IFERROR(__xludf.DUMMYFUNCTION("iferror(if(A3913="""",,E3913&gt;=FILTER(Constants!$F$2:$F$10,Constants!$A$2:$A$10=A3913)))"),"")</f>
        <v/>
      </c>
    </row>
    <row r="3914">
      <c r="A3914" s="89"/>
      <c r="B3914" s="87"/>
      <c r="C3914" s="73"/>
      <c r="D3914" s="73"/>
      <c r="E3914" s="82"/>
      <c r="F3914" s="82"/>
      <c r="G3914" s="86"/>
      <c r="H3914" s="86"/>
      <c r="I3914" s="86"/>
      <c r="J3914" s="82"/>
      <c r="K3914" s="82"/>
      <c r="L3914" s="82"/>
      <c r="M3914" s="82"/>
      <c r="N3914" s="82"/>
      <c r="O3914" s="82"/>
      <c r="P3914" s="82"/>
      <c r="Q3914" s="82"/>
      <c r="R3914" s="82"/>
      <c r="S3914" s="82"/>
      <c r="T3914" s="82"/>
      <c r="U3914" s="82"/>
      <c r="V3914" s="82"/>
      <c r="W3914" s="82"/>
      <c r="X3914" s="82"/>
      <c r="Y3914" s="82"/>
      <c r="Z3914" s="82"/>
      <c r="AA3914" s="82"/>
      <c r="AB3914" s="82"/>
      <c r="AC3914" s="82"/>
      <c r="AD3914" s="82"/>
      <c r="AE3914" s="82"/>
      <c r="AF3914" s="82"/>
      <c r="AG3914" s="82"/>
      <c r="AH3914" s="82"/>
      <c r="AI3914" s="82"/>
      <c r="AJ3914" s="82"/>
      <c r="AK3914" s="82"/>
      <c r="AL3914" s="82"/>
      <c r="AM3914" s="82"/>
      <c r="AN3914" s="82"/>
      <c r="AO3914" s="82"/>
      <c r="AP3914" s="82"/>
      <c r="AQ3914" s="82"/>
      <c r="AR3914" s="82"/>
      <c r="AS3914" s="82"/>
      <c r="AT3914" s="82"/>
      <c r="AU3914" s="82"/>
      <c r="AV3914" s="82"/>
      <c r="AW3914" s="82" t="str">
        <f t="shared" si="1"/>
        <v/>
      </c>
      <c r="AX3914" s="83" t="str">
        <f t="array" ref="AX3914">IFERROR(DGET('SBV Import'!A:G,"SBV",{"RSC ID","Tier";B3914,A3914}))</f>
        <v/>
      </c>
      <c r="AY3914" s="82" t="str">
        <f t="shared" si="2"/>
        <v/>
      </c>
      <c r="AZ3914" s="82"/>
      <c r="BA3914" s="84" t="s">
        <v>152</v>
      </c>
      <c r="BB3914" s="84" t="str">
        <f>IFERROR(__xludf.DUMMYFUNCTION("iferror(if(A3914="""",,E3914&gt;=FILTER(Constants!$F$2:$F$10,Constants!$A$2:$A$10=A3914)))"),"")</f>
        <v/>
      </c>
    </row>
    <row r="3915">
      <c r="A3915" s="89"/>
      <c r="B3915" s="87"/>
      <c r="C3915" s="73"/>
      <c r="D3915" s="73"/>
      <c r="E3915" s="82"/>
      <c r="F3915" s="82"/>
      <c r="G3915" s="86"/>
      <c r="H3915" s="86"/>
      <c r="I3915" s="86"/>
      <c r="J3915" s="82"/>
      <c r="K3915" s="82"/>
      <c r="L3915" s="82"/>
      <c r="M3915" s="82"/>
      <c r="N3915" s="82"/>
      <c r="O3915" s="82"/>
      <c r="P3915" s="82"/>
      <c r="Q3915" s="82"/>
      <c r="R3915" s="82"/>
      <c r="S3915" s="82"/>
      <c r="T3915" s="82"/>
      <c r="U3915" s="82"/>
      <c r="V3915" s="82"/>
      <c r="W3915" s="82"/>
      <c r="X3915" s="82"/>
      <c r="Y3915" s="82"/>
      <c r="Z3915" s="82"/>
      <c r="AA3915" s="82"/>
      <c r="AB3915" s="82"/>
      <c r="AC3915" s="82"/>
      <c r="AD3915" s="82"/>
      <c r="AE3915" s="82"/>
      <c r="AF3915" s="82"/>
      <c r="AG3915" s="82"/>
      <c r="AH3915" s="82"/>
      <c r="AI3915" s="82"/>
      <c r="AJ3915" s="82"/>
      <c r="AK3915" s="82"/>
      <c r="AL3915" s="82"/>
      <c r="AM3915" s="82"/>
      <c r="AN3915" s="82"/>
      <c r="AO3915" s="82"/>
      <c r="AP3915" s="82"/>
      <c r="AQ3915" s="82"/>
      <c r="AR3915" s="82"/>
      <c r="AS3915" s="82"/>
      <c r="AT3915" s="82"/>
      <c r="AU3915" s="82"/>
      <c r="AV3915" s="82"/>
      <c r="AW3915" s="82" t="str">
        <f t="shared" si="1"/>
        <v/>
      </c>
      <c r="AX3915" s="83" t="str">
        <f t="array" ref="AX3915">IFERROR(DGET('SBV Import'!A:G,"SBV",{"RSC ID","Tier";B3915,A3915}))</f>
        <v/>
      </c>
      <c r="AY3915" s="82" t="str">
        <f t="shared" si="2"/>
        <v/>
      </c>
      <c r="AZ3915" s="82"/>
      <c r="BA3915" s="84" t="s">
        <v>152</v>
      </c>
      <c r="BB3915" s="84" t="str">
        <f>IFERROR(__xludf.DUMMYFUNCTION("iferror(if(A3915="""",,E3915&gt;=FILTER(Constants!$F$2:$F$10,Constants!$A$2:$A$10=A3915)))"),"")</f>
        <v/>
      </c>
    </row>
    <row r="3916">
      <c r="A3916" s="89"/>
      <c r="B3916" s="87"/>
      <c r="C3916" s="73"/>
      <c r="D3916" s="73"/>
      <c r="E3916" s="82"/>
      <c r="F3916" s="82"/>
      <c r="G3916" s="86"/>
      <c r="H3916" s="86"/>
      <c r="I3916" s="86"/>
      <c r="J3916" s="82"/>
      <c r="K3916" s="82"/>
      <c r="L3916" s="82"/>
      <c r="M3916" s="82"/>
      <c r="N3916" s="82"/>
      <c r="O3916" s="82"/>
      <c r="P3916" s="82"/>
      <c r="Q3916" s="82"/>
      <c r="R3916" s="82"/>
      <c r="S3916" s="82"/>
      <c r="T3916" s="82"/>
      <c r="U3916" s="82"/>
      <c r="V3916" s="82"/>
      <c r="W3916" s="82"/>
      <c r="X3916" s="82"/>
      <c r="Y3916" s="82"/>
      <c r="Z3916" s="82"/>
      <c r="AA3916" s="82"/>
      <c r="AB3916" s="82"/>
      <c r="AC3916" s="82"/>
      <c r="AD3916" s="82"/>
      <c r="AE3916" s="82"/>
      <c r="AF3916" s="82"/>
      <c r="AG3916" s="82"/>
      <c r="AH3916" s="82"/>
      <c r="AI3916" s="82"/>
      <c r="AJ3916" s="82"/>
      <c r="AK3916" s="82"/>
      <c r="AL3916" s="82"/>
      <c r="AM3916" s="82"/>
      <c r="AN3916" s="82"/>
      <c r="AO3916" s="82"/>
      <c r="AP3916" s="82"/>
      <c r="AQ3916" s="82"/>
      <c r="AR3916" s="82"/>
      <c r="AS3916" s="82"/>
      <c r="AT3916" s="82"/>
      <c r="AU3916" s="82"/>
      <c r="AV3916" s="82"/>
      <c r="AW3916" s="82" t="str">
        <f t="shared" si="1"/>
        <v/>
      </c>
      <c r="AX3916" s="83" t="str">
        <f t="array" ref="AX3916">IFERROR(DGET('SBV Import'!A:G,"SBV",{"RSC ID","Tier";B3916,A3916}))</f>
        <v/>
      </c>
      <c r="AY3916" s="82" t="str">
        <f t="shared" si="2"/>
        <v/>
      </c>
      <c r="AZ3916" s="82"/>
      <c r="BA3916" s="84" t="s">
        <v>152</v>
      </c>
      <c r="BB3916" s="84" t="str">
        <f>IFERROR(__xludf.DUMMYFUNCTION("iferror(if(A3916="""",,E3916&gt;=FILTER(Constants!$F$2:$F$10,Constants!$A$2:$A$10=A3916)))"),"")</f>
        <v/>
      </c>
    </row>
    <row r="3917">
      <c r="A3917" s="89"/>
      <c r="B3917" s="87"/>
      <c r="C3917" s="73"/>
      <c r="D3917" s="73"/>
      <c r="E3917" s="82"/>
      <c r="F3917" s="82"/>
      <c r="G3917" s="86"/>
      <c r="H3917" s="86"/>
      <c r="I3917" s="86"/>
      <c r="J3917" s="82"/>
      <c r="K3917" s="82"/>
      <c r="L3917" s="82"/>
      <c r="M3917" s="82"/>
      <c r="N3917" s="82"/>
      <c r="O3917" s="82"/>
      <c r="P3917" s="82"/>
      <c r="Q3917" s="82"/>
      <c r="R3917" s="82"/>
      <c r="S3917" s="82"/>
      <c r="T3917" s="82"/>
      <c r="U3917" s="82"/>
      <c r="V3917" s="82"/>
      <c r="W3917" s="82"/>
      <c r="X3917" s="82"/>
      <c r="Y3917" s="82"/>
      <c r="Z3917" s="82"/>
      <c r="AA3917" s="82"/>
      <c r="AB3917" s="82"/>
      <c r="AC3917" s="82"/>
      <c r="AD3917" s="82"/>
      <c r="AE3917" s="82"/>
      <c r="AF3917" s="82"/>
      <c r="AG3917" s="82"/>
      <c r="AH3917" s="82"/>
      <c r="AI3917" s="82"/>
      <c r="AJ3917" s="82"/>
      <c r="AK3917" s="82"/>
      <c r="AL3917" s="82"/>
      <c r="AM3917" s="82"/>
      <c r="AN3917" s="82"/>
      <c r="AO3917" s="82"/>
      <c r="AP3917" s="82"/>
      <c r="AQ3917" s="82"/>
      <c r="AR3917" s="82"/>
      <c r="AS3917" s="82"/>
      <c r="AT3917" s="82"/>
      <c r="AU3917" s="82"/>
      <c r="AV3917" s="82"/>
      <c r="AW3917" s="82" t="str">
        <f t="shared" si="1"/>
        <v/>
      </c>
      <c r="AX3917" s="83" t="str">
        <f t="array" ref="AX3917">IFERROR(DGET('SBV Import'!A:G,"SBV",{"RSC ID","Tier";B3917,A3917}))</f>
        <v/>
      </c>
      <c r="AY3917" s="82" t="str">
        <f t="shared" si="2"/>
        <v/>
      </c>
      <c r="AZ3917" s="82"/>
      <c r="BA3917" s="84" t="s">
        <v>152</v>
      </c>
      <c r="BB3917" s="84" t="str">
        <f>IFERROR(__xludf.DUMMYFUNCTION("iferror(if(A3917="""",,E3917&gt;=FILTER(Constants!$F$2:$F$10,Constants!$A$2:$A$10=A3917)))"),"")</f>
        <v/>
      </c>
    </row>
    <row r="3918">
      <c r="A3918" s="89"/>
      <c r="B3918" s="87"/>
      <c r="C3918" s="73"/>
      <c r="D3918" s="73"/>
      <c r="E3918" s="82"/>
      <c r="F3918" s="82"/>
      <c r="G3918" s="86"/>
      <c r="H3918" s="86"/>
      <c r="I3918" s="86"/>
      <c r="J3918" s="82"/>
      <c r="K3918" s="82"/>
      <c r="L3918" s="82"/>
      <c r="M3918" s="82"/>
      <c r="N3918" s="82"/>
      <c r="O3918" s="82"/>
      <c r="P3918" s="82"/>
      <c r="Q3918" s="82"/>
      <c r="R3918" s="82"/>
      <c r="S3918" s="82"/>
      <c r="T3918" s="82"/>
      <c r="U3918" s="82"/>
      <c r="V3918" s="82"/>
      <c r="W3918" s="82"/>
      <c r="X3918" s="82"/>
      <c r="Y3918" s="82"/>
      <c r="Z3918" s="82"/>
      <c r="AA3918" s="82"/>
      <c r="AB3918" s="82"/>
      <c r="AC3918" s="82"/>
      <c r="AD3918" s="82"/>
      <c r="AE3918" s="82"/>
      <c r="AF3918" s="82"/>
      <c r="AG3918" s="82"/>
      <c r="AH3918" s="82"/>
      <c r="AI3918" s="82"/>
      <c r="AJ3918" s="82"/>
      <c r="AK3918" s="82"/>
      <c r="AL3918" s="82"/>
      <c r="AM3918" s="82"/>
      <c r="AN3918" s="82"/>
      <c r="AO3918" s="82"/>
      <c r="AP3918" s="82"/>
      <c r="AQ3918" s="82"/>
      <c r="AR3918" s="82"/>
      <c r="AS3918" s="82"/>
      <c r="AT3918" s="82"/>
      <c r="AU3918" s="82"/>
      <c r="AV3918" s="82"/>
      <c r="AW3918" s="82" t="str">
        <f t="shared" si="1"/>
        <v/>
      </c>
      <c r="AX3918" s="83" t="str">
        <f t="array" ref="AX3918">IFERROR(DGET('SBV Import'!A:G,"SBV",{"RSC ID","Tier";B3918,A3918}))</f>
        <v/>
      </c>
      <c r="AY3918" s="82" t="str">
        <f t="shared" si="2"/>
        <v/>
      </c>
      <c r="AZ3918" s="82"/>
      <c r="BA3918" s="84" t="s">
        <v>152</v>
      </c>
      <c r="BB3918" s="84" t="str">
        <f>IFERROR(__xludf.DUMMYFUNCTION("iferror(if(A3918="""",,E3918&gt;=FILTER(Constants!$F$2:$F$10,Constants!$A$2:$A$10=A3918)))"),"")</f>
        <v/>
      </c>
    </row>
    <row r="3919">
      <c r="A3919" s="89"/>
      <c r="B3919" s="87"/>
      <c r="C3919" s="73"/>
      <c r="D3919" s="73"/>
      <c r="E3919" s="82"/>
      <c r="F3919" s="82"/>
      <c r="G3919" s="86"/>
      <c r="H3919" s="86"/>
      <c r="I3919" s="86"/>
      <c r="J3919" s="82"/>
      <c r="K3919" s="82"/>
      <c r="L3919" s="82"/>
      <c r="M3919" s="82"/>
      <c r="N3919" s="82"/>
      <c r="O3919" s="82"/>
      <c r="P3919" s="82"/>
      <c r="Q3919" s="82"/>
      <c r="R3919" s="82"/>
      <c r="S3919" s="82"/>
      <c r="T3919" s="82"/>
      <c r="U3919" s="82"/>
      <c r="V3919" s="82"/>
      <c r="W3919" s="82"/>
      <c r="X3919" s="82"/>
      <c r="Y3919" s="82"/>
      <c r="Z3919" s="82"/>
      <c r="AA3919" s="82"/>
      <c r="AB3919" s="82"/>
      <c r="AC3919" s="82"/>
      <c r="AD3919" s="82"/>
      <c r="AE3919" s="82"/>
      <c r="AF3919" s="82"/>
      <c r="AG3919" s="82"/>
      <c r="AH3919" s="82"/>
      <c r="AI3919" s="82"/>
      <c r="AJ3919" s="82"/>
      <c r="AK3919" s="82"/>
      <c r="AL3919" s="82"/>
      <c r="AM3919" s="82"/>
      <c r="AN3919" s="82"/>
      <c r="AO3919" s="82"/>
      <c r="AP3919" s="82"/>
      <c r="AQ3919" s="82"/>
      <c r="AR3919" s="82"/>
      <c r="AS3919" s="82"/>
      <c r="AT3919" s="82"/>
      <c r="AU3919" s="82"/>
      <c r="AV3919" s="82"/>
      <c r="AW3919" s="82" t="str">
        <f t="shared" si="1"/>
        <v/>
      </c>
      <c r="AX3919" s="83" t="str">
        <f t="array" ref="AX3919">IFERROR(DGET('SBV Import'!A:G,"SBV",{"RSC ID","Tier";B3919,A3919}))</f>
        <v/>
      </c>
      <c r="AY3919" s="82" t="str">
        <f t="shared" si="2"/>
        <v/>
      </c>
      <c r="AZ3919" s="82"/>
      <c r="BA3919" s="84" t="s">
        <v>152</v>
      </c>
      <c r="BB3919" s="84" t="str">
        <f>IFERROR(__xludf.DUMMYFUNCTION("iferror(if(A3919="""",,E3919&gt;=FILTER(Constants!$F$2:$F$10,Constants!$A$2:$A$10=A3919)))"),"")</f>
        <v/>
      </c>
    </row>
    <row r="3920">
      <c r="A3920" s="89"/>
      <c r="B3920" s="87"/>
      <c r="C3920" s="73"/>
      <c r="D3920" s="73"/>
      <c r="E3920" s="82"/>
      <c r="F3920" s="82"/>
      <c r="G3920" s="86"/>
      <c r="H3920" s="86"/>
      <c r="I3920" s="86"/>
      <c r="J3920" s="82"/>
      <c r="K3920" s="82"/>
      <c r="L3920" s="82"/>
      <c r="M3920" s="82"/>
      <c r="N3920" s="82"/>
      <c r="O3920" s="82"/>
      <c r="P3920" s="82"/>
      <c r="Q3920" s="82"/>
      <c r="R3920" s="82"/>
      <c r="S3920" s="82"/>
      <c r="T3920" s="82"/>
      <c r="U3920" s="82"/>
      <c r="V3920" s="82"/>
      <c r="W3920" s="82"/>
      <c r="X3920" s="82"/>
      <c r="Y3920" s="82"/>
      <c r="Z3920" s="82"/>
      <c r="AA3920" s="82"/>
      <c r="AB3920" s="82"/>
      <c r="AC3920" s="82"/>
      <c r="AD3920" s="82"/>
      <c r="AE3920" s="82"/>
      <c r="AF3920" s="82"/>
      <c r="AG3920" s="82"/>
      <c r="AH3920" s="82"/>
      <c r="AI3920" s="82"/>
      <c r="AJ3920" s="82"/>
      <c r="AK3920" s="82"/>
      <c r="AL3920" s="82"/>
      <c r="AM3920" s="82"/>
      <c r="AN3920" s="82"/>
      <c r="AO3920" s="82"/>
      <c r="AP3920" s="82"/>
      <c r="AQ3920" s="82"/>
      <c r="AR3920" s="82"/>
      <c r="AS3920" s="82"/>
      <c r="AT3920" s="82"/>
      <c r="AU3920" s="82"/>
      <c r="AV3920" s="82"/>
      <c r="AW3920" s="82" t="str">
        <f t="shared" si="1"/>
        <v/>
      </c>
      <c r="AX3920" s="83" t="str">
        <f t="array" ref="AX3920">IFERROR(DGET('SBV Import'!A:G,"SBV",{"RSC ID","Tier";B3920,A3920}))</f>
        <v/>
      </c>
      <c r="AY3920" s="82" t="str">
        <f t="shared" si="2"/>
        <v/>
      </c>
      <c r="AZ3920" s="82"/>
      <c r="BA3920" s="84" t="s">
        <v>152</v>
      </c>
      <c r="BB3920" s="84" t="str">
        <f>IFERROR(__xludf.DUMMYFUNCTION("iferror(if(A3920="""",,E3920&gt;=FILTER(Constants!$F$2:$F$10,Constants!$A$2:$A$10=A3920)))"),"")</f>
        <v/>
      </c>
    </row>
    <row r="3921">
      <c r="A3921" s="89"/>
      <c r="B3921" s="87"/>
      <c r="C3921" s="73"/>
      <c r="D3921" s="73"/>
      <c r="E3921" s="82"/>
      <c r="F3921" s="82"/>
      <c r="G3921" s="86"/>
      <c r="H3921" s="86"/>
      <c r="I3921" s="86"/>
      <c r="J3921" s="82"/>
      <c r="K3921" s="82"/>
      <c r="L3921" s="82"/>
      <c r="M3921" s="82"/>
      <c r="N3921" s="82"/>
      <c r="O3921" s="82"/>
      <c r="P3921" s="82"/>
      <c r="Q3921" s="82"/>
      <c r="R3921" s="82"/>
      <c r="S3921" s="82"/>
      <c r="T3921" s="82"/>
      <c r="U3921" s="82"/>
      <c r="V3921" s="82"/>
      <c r="W3921" s="82"/>
      <c r="X3921" s="82"/>
      <c r="Y3921" s="82"/>
      <c r="Z3921" s="82"/>
      <c r="AA3921" s="82"/>
      <c r="AB3921" s="82"/>
      <c r="AC3921" s="82"/>
      <c r="AD3921" s="82"/>
      <c r="AE3921" s="82"/>
      <c r="AF3921" s="82"/>
      <c r="AG3921" s="82"/>
      <c r="AH3921" s="82"/>
      <c r="AI3921" s="82"/>
      <c r="AJ3921" s="82"/>
      <c r="AK3921" s="82"/>
      <c r="AL3921" s="82"/>
      <c r="AM3921" s="82"/>
      <c r="AN3921" s="82"/>
      <c r="AO3921" s="82"/>
      <c r="AP3921" s="82"/>
      <c r="AQ3921" s="82"/>
      <c r="AR3921" s="82"/>
      <c r="AS3921" s="82"/>
      <c r="AT3921" s="82"/>
      <c r="AU3921" s="82"/>
      <c r="AV3921" s="82"/>
      <c r="AW3921" s="82" t="str">
        <f t="shared" si="1"/>
        <v/>
      </c>
      <c r="AX3921" s="83" t="str">
        <f t="array" ref="AX3921">IFERROR(DGET('SBV Import'!A:G,"SBV",{"RSC ID","Tier";B3921,A3921}))</f>
        <v/>
      </c>
      <c r="AY3921" s="82" t="str">
        <f t="shared" si="2"/>
        <v/>
      </c>
      <c r="AZ3921" s="82"/>
      <c r="BA3921" s="84" t="s">
        <v>152</v>
      </c>
      <c r="BB3921" s="84" t="str">
        <f>IFERROR(__xludf.DUMMYFUNCTION("iferror(if(A3921="""",,E3921&gt;=FILTER(Constants!$F$2:$F$10,Constants!$A$2:$A$10=A3921)))"),"")</f>
        <v/>
      </c>
    </row>
    <row r="3922">
      <c r="A3922" s="89"/>
      <c r="B3922" s="87"/>
      <c r="C3922" s="73"/>
      <c r="D3922" s="73"/>
      <c r="E3922" s="82"/>
      <c r="F3922" s="82"/>
      <c r="G3922" s="86"/>
      <c r="H3922" s="86"/>
      <c r="I3922" s="86"/>
      <c r="J3922" s="82"/>
      <c r="K3922" s="82"/>
      <c r="L3922" s="82"/>
      <c r="M3922" s="82"/>
      <c r="N3922" s="82"/>
      <c r="O3922" s="82"/>
      <c r="P3922" s="82"/>
      <c r="Q3922" s="82"/>
      <c r="R3922" s="82"/>
      <c r="S3922" s="82"/>
      <c r="T3922" s="82"/>
      <c r="U3922" s="82"/>
      <c r="V3922" s="82"/>
      <c r="W3922" s="82"/>
      <c r="X3922" s="82"/>
      <c r="Y3922" s="82"/>
      <c r="Z3922" s="82"/>
      <c r="AA3922" s="82"/>
      <c r="AB3922" s="82"/>
      <c r="AC3922" s="82"/>
      <c r="AD3922" s="82"/>
      <c r="AE3922" s="82"/>
      <c r="AF3922" s="82"/>
      <c r="AG3922" s="82"/>
      <c r="AH3922" s="82"/>
      <c r="AI3922" s="82"/>
      <c r="AJ3922" s="82"/>
      <c r="AK3922" s="82"/>
      <c r="AL3922" s="82"/>
      <c r="AM3922" s="82"/>
      <c r="AN3922" s="82"/>
      <c r="AO3922" s="82"/>
      <c r="AP3922" s="82"/>
      <c r="AQ3922" s="82"/>
      <c r="AR3922" s="82"/>
      <c r="AS3922" s="82"/>
      <c r="AT3922" s="82"/>
      <c r="AU3922" s="82"/>
      <c r="AV3922" s="82"/>
      <c r="AW3922" s="82" t="str">
        <f t="shared" si="1"/>
        <v/>
      </c>
      <c r="AX3922" s="83" t="str">
        <f t="array" ref="AX3922">IFERROR(DGET('SBV Import'!A:G,"SBV",{"RSC ID","Tier";B3922,A3922}))</f>
        <v/>
      </c>
      <c r="AY3922" s="82" t="str">
        <f t="shared" si="2"/>
        <v/>
      </c>
      <c r="AZ3922" s="82"/>
      <c r="BA3922" s="84" t="s">
        <v>152</v>
      </c>
      <c r="BB3922" s="84" t="str">
        <f>IFERROR(__xludf.DUMMYFUNCTION("iferror(if(A3922="""",,E3922&gt;=FILTER(Constants!$F$2:$F$10,Constants!$A$2:$A$10=A3922)))"),"")</f>
        <v/>
      </c>
    </row>
    <row r="3923">
      <c r="A3923" s="89"/>
      <c r="B3923" s="87"/>
      <c r="C3923" s="73"/>
      <c r="D3923" s="73"/>
      <c r="E3923" s="82"/>
      <c r="F3923" s="82"/>
      <c r="G3923" s="86"/>
      <c r="H3923" s="86"/>
      <c r="I3923" s="86"/>
      <c r="J3923" s="82"/>
      <c r="K3923" s="82"/>
      <c r="L3923" s="82"/>
      <c r="M3923" s="82"/>
      <c r="N3923" s="82"/>
      <c r="O3923" s="82"/>
      <c r="P3923" s="82"/>
      <c r="Q3923" s="82"/>
      <c r="R3923" s="82"/>
      <c r="S3923" s="82"/>
      <c r="T3923" s="82"/>
      <c r="U3923" s="82"/>
      <c r="V3923" s="82"/>
      <c r="W3923" s="82"/>
      <c r="X3923" s="82"/>
      <c r="Y3923" s="82"/>
      <c r="Z3923" s="82"/>
      <c r="AA3923" s="82"/>
      <c r="AB3923" s="82"/>
      <c r="AC3923" s="82"/>
      <c r="AD3923" s="82"/>
      <c r="AE3923" s="82"/>
      <c r="AF3923" s="82"/>
      <c r="AG3923" s="82"/>
      <c r="AH3923" s="82"/>
      <c r="AI3923" s="82"/>
      <c r="AJ3923" s="82"/>
      <c r="AK3923" s="82"/>
      <c r="AL3923" s="82"/>
      <c r="AM3923" s="82"/>
      <c r="AN3923" s="82"/>
      <c r="AO3923" s="82"/>
      <c r="AP3923" s="82"/>
      <c r="AQ3923" s="82"/>
      <c r="AR3923" s="82"/>
      <c r="AS3923" s="82"/>
      <c r="AT3923" s="82"/>
      <c r="AU3923" s="82"/>
      <c r="AV3923" s="82"/>
      <c r="AW3923" s="82" t="str">
        <f t="shared" si="1"/>
        <v/>
      </c>
      <c r="AX3923" s="83" t="str">
        <f t="array" ref="AX3923">IFERROR(DGET('SBV Import'!A:G,"SBV",{"RSC ID","Tier";B3923,A3923}))</f>
        <v/>
      </c>
      <c r="AY3923" s="82" t="str">
        <f t="shared" si="2"/>
        <v/>
      </c>
      <c r="AZ3923" s="82"/>
      <c r="BA3923" s="84" t="s">
        <v>152</v>
      </c>
      <c r="BB3923" s="84" t="str">
        <f>IFERROR(__xludf.DUMMYFUNCTION("iferror(if(A3923="""",,E3923&gt;=FILTER(Constants!$F$2:$F$10,Constants!$A$2:$A$10=A3923)))"),"")</f>
        <v/>
      </c>
    </row>
    <row r="3924">
      <c r="A3924" s="89"/>
      <c r="B3924" s="87"/>
      <c r="C3924" s="73"/>
      <c r="D3924" s="73"/>
      <c r="E3924" s="82"/>
      <c r="F3924" s="82"/>
      <c r="G3924" s="86"/>
      <c r="H3924" s="86"/>
      <c r="I3924" s="86"/>
      <c r="J3924" s="82"/>
      <c r="K3924" s="82"/>
      <c r="L3924" s="82"/>
      <c r="M3924" s="82"/>
      <c r="N3924" s="82"/>
      <c r="O3924" s="82"/>
      <c r="P3924" s="82"/>
      <c r="Q3924" s="82"/>
      <c r="R3924" s="82"/>
      <c r="S3924" s="82"/>
      <c r="T3924" s="82"/>
      <c r="U3924" s="82"/>
      <c r="V3924" s="82"/>
      <c r="W3924" s="82"/>
      <c r="X3924" s="82"/>
      <c r="Y3924" s="82"/>
      <c r="Z3924" s="82"/>
      <c r="AA3924" s="82"/>
      <c r="AB3924" s="82"/>
      <c r="AC3924" s="82"/>
      <c r="AD3924" s="82"/>
      <c r="AE3924" s="82"/>
      <c r="AF3924" s="82"/>
      <c r="AG3924" s="82"/>
      <c r="AH3924" s="82"/>
      <c r="AI3924" s="82"/>
      <c r="AJ3924" s="82"/>
      <c r="AK3924" s="82"/>
      <c r="AL3924" s="82"/>
      <c r="AM3924" s="82"/>
      <c r="AN3924" s="82"/>
      <c r="AO3924" s="82"/>
      <c r="AP3924" s="82"/>
      <c r="AQ3924" s="82"/>
      <c r="AR3924" s="82"/>
      <c r="AS3924" s="82"/>
      <c r="AT3924" s="82"/>
      <c r="AU3924" s="82"/>
      <c r="AV3924" s="82"/>
      <c r="AW3924" s="82" t="str">
        <f t="shared" si="1"/>
        <v/>
      </c>
      <c r="AX3924" s="83" t="str">
        <f t="array" ref="AX3924">IFERROR(DGET('SBV Import'!A:G,"SBV",{"RSC ID","Tier";B3924,A3924}))</f>
        <v/>
      </c>
      <c r="AY3924" s="82" t="str">
        <f t="shared" si="2"/>
        <v/>
      </c>
      <c r="AZ3924" s="82"/>
      <c r="BA3924" s="84" t="s">
        <v>152</v>
      </c>
      <c r="BB3924" s="84" t="str">
        <f>IFERROR(__xludf.DUMMYFUNCTION("iferror(if(A3924="""",,E3924&gt;=FILTER(Constants!$F$2:$F$10,Constants!$A$2:$A$10=A3924)))"),"")</f>
        <v/>
      </c>
    </row>
    <row r="3925">
      <c r="A3925" s="89"/>
      <c r="B3925" s="87"/>
      <c r="C3925" s="73"/>
      <c r="D3925" s="73"/>
      <c r="E3925" s="82"/>
      <c r="F3925" s="82"/>
      <c r="G3925" s="86"/>
      <c r="H3925" s="86"/>
      <c r="I3925" s="86"/>
      <c r="J3925" s="82"/>
      <c r="K3925" s="82"/>
      <c r="L3925" s="82"/>
      <c r="M3925" s="82"/>
      <c r="N3925" s="82"/>
      <c r="O3925" s="82"/>
      <c r="P3925" s="82"/>
      <c r="Q3925" s="82"/>
      <c r="R3925" s="82"/>
      <c r="S3925" s="82"/>
      <c r="T3925" s="82"/>
      <c r="U3925" s="82"/>
      <c r="V3925" s="82"/>
      <c r="W3925" s="82"/>
      <c r="X3925" s="82"/>
      <c r="Y3925" s="82"/>
      <c r="Z3925" s="82"/>
      <c r="AA3925" s="82"/>
      <c r="AB3925" s="82"/>
      <c r="AC3925" s="82"/>
      <c r="AD3925" s="82"/>
      <c r="AE3925" s="82"/>
      <c r="AF3925" s="82"/>
      <c r="AG3925" s="82"/>
      <c r="AH3925" s="82"/>
      <c r="AI3925" s="82"/>
      <c r="AJ3925" s="82"/>
      <c r="AK3925" s="82"/>
      <c r="AL3925" s="82"/>
      <c r="AM3925" s="82"/>
      <c r="AN3925" s="82"/>
      <c r="AO3925" s="82"/>
      <c r="AP3925" s="82"/>
      <c r="AQ3925" s="82"/>
      <c r="AR3925" s="82"/>
      <c r="AS3925" s="82"/>
      <c r="AT3925" s="82"/>
      <c r="AU3925" s="82"/>
      <c r="AV3925" s="82"/>
      <c r="AW3925" s="82" t="str">
        <f t="shared" si="1"/>
        <v/>
      </c>
      <c r="AX3925" s="83" t="str">
        <f t="array" ref="AX3925">IFERROR(DGET('SBV Import'!A:G,"SBV",{"RSC ID","Tier";B3925,A3925}))</f>
        <v/>
      </c>
      <c r="AY3925" s="82" t="str">
        <f t="shared" si="2"/>
        <v/>
      </c>
      <c r="AZ3925" s="82"/>
      <c r="BA3925" s="84" t="s">
        <v>152</v>
      </c>
      <c r="BB3925" s="84" t="str">
        <f>IFERROR(__xludf.DUMMYFUNCTION("iferror(if(A3925="""",,E3925&gt;=FILTER(Constants!$F$2:$F$10,Constants!$A$2:$A$10=A3925)))"),"")</f>
        <v/>
      </c>
    </row>
    <row r="3926">
      <c r="A3926" s="89"/>
      <c r="B3926" s="87"/>
      <c r="C3926" s="73"/>
      <c r="D3926" s="73"/>
      <c r="E3926" s="82"/>
      <c r="F3926" s="82"/>
      <c r="G3926" s="86"/>
      <c r="H3926" s="86"/>
      <c r="I3926" s="86"/>
      <c r="J3926" s="82"/>
      <c r="K3926" s="82"/>
      <c r="L3926" s="82"/>
      <c r="M3926" s="82"/>
      <c r="N3926" s="82"/>
      <c r="O3926" s="82"/>
      <c r="P3926" s="82"/>
      <c r="Q3926" s="82"/>
      <c r="R3926" s="82"/>
      <c r="S3926" s="82"/>
      <c r="T3926" s="82"/>
      <c r="U3926" s="82"/>
      <c r="V3926" s="82"/>
      <c r="W3926" s="82"/>
      <c r="X3926" s="82"/>
      <c r="Y3926" s="82"/>
      <c r="Z3926" s="82"/>
      <c r="AA3926" s="82"/>
      <c r="AB3926" s="82"/>
      <c r="AC3926" s="82"/>
      <c r="AD3926" s="82"/>
      <c r="AE3926" s="82"/>
      <c r="AF3926" s="82"/>
      <c r="AG3926" s="82"/>
      <c r="AH3926" s="82"/>
      <c r="AI3926" s="82"/>
      <c r="AJ3926" s="82"/>
      <c r="AK3926" s="82"/>
      <c r="AL3926" s="82"/>
      <c r="AM3926" s="82"/>
      <c r="AN3926" s="82"/>
      <c r="AO3926" s="82"/>
      <c r="AP3926" s="82"/>
      <c r="AQ3926" s="82"/>
      <c r="AR3926" s="82"/>
      <c r="AS3926" s="82"/>
      <c r="AT3926" s="82"/>
      <c r="AU3926" s="82"/>
      <c r="AV3926" s="82"/>
      <c r="AW3926" s="82" t="str">
        <f t="shared" si="1"/>
        <v/>
      </c>
      <c r="AX3926" s="83" t="str">
        <f t="array" ref="AX3926">IFERROR(DGET('SBV Import'!A:G,"SBV",{"RSC ID","Tier";B3926,A3926}))</f>
        <v/>
      </c>
      <c r="AY3926" s="82" t="str">
        <f t="shared" si="2"/>
        <v/>
      </c>
      <c r="AZ3926" s="82"/>
      <c r="BA3926" s="84" t="s">
        <v>152</v>
      </c>
      <c r="BB3926" s="84" t="str">
        <f>IFERROR(__xludf.DUMMYFUNCTION("iferror(if(A3926="""",,E3926&gt;=FILTER(Constants!$F$2:$F$10,Constants!$A$2:$A$10=A3926)))"),"")</f>
        <v/>
      </c>
    </row>
    <row r="3927">
      <c r="A3927" s="89"/>
      <c r="B3927" s="87"/>
      <c r="C3927" s="73"/>
      <c r="D3927" s="73"/>
      <c r="E3927" s="82"/>
      <c r="F3927" s="82"/>
      <c r="G3927" s="86"/>
      <c r="H3927" s="86"/>
      <c r="I3927" s="86"/>
      <c r="J3927" s="82"/>
      <c r="K3927" s="82"/>
      <c r="L3927" s="82"/>
      <c r="M3927" s="82"/>
      <c r="N3927" s="82"/>
      <c r="O3927" s="82"/>
      <c r="P3927" s="82"/>
      <c r="Q3927" s="82"/>
      <c r="R3927" s="82"/>
      <c r="S3927" s="82"/>
      <c r="T3927" s="82"/>
      <c r="U3927" s="82"/>
      <c r="V3927" s="82"/>
      <c r="W3927" s="82"/>
      <c r="X3927" s="82"/>
      <c r="Y3927" s="82"/>
      <c r="Z3927" s="82"/>
      <c r="AA3927" s="82"/>
      <c r="AB3927" s="82"/>
      <c r="AC3927" s="82"/>
      <c r="AD3927" s="82"/>
      <c r="AE3927" s="82"/>
      <c r="AF3927" s="82"/>
      <c r="AG3927" s="82"/>
      <c r="AH3927" s="82"/>
      <c r="AI3927" s="82"/>
      <c r="AJ3927" s="82"/>
      <c r="AK3927" s="82"/>
      <c r="AL3927" s="82"/>
      <c r="AM3927" s="82"/>
      <c r="AN3927" s="82"/>
      <c r="AO3927" s="82"/>
      <c r="AP3927" s="82"/>
      <c r="AQ3927" s="82"/>
      <c r="AR3927" s="82"/>
      <c r="AS3927" s="82"/>
      <c r="AT3927" s="82"/>
      <c r="AU3927" s="82"/>
      <c r="AV3927" s="82"/>
      <c r="AW3927" s="82" t="str">
        <f t="shared" si="1"/>
        <v/>
      </c>
      <c r="AX3927" s="83" t="str">
        <f t="array" ref="AX3927">IFERROR(DGET('SBV Import'!A:G,"SBV",{"RSC ID","Tier";B3927,A3927}))</f>
        <v/>
      </c>
      <c r="AY3927" s="82" t="str">
        <f t="shared" si="2"/>
        <v/>
      </c>
      <c r="AZ3927" s="82"/>
      <c r="BA3927" s="84" t="s">
        <v>152</v>
      </c>
      <c r="BB3927" s="84" t="str">
        <f>IFERROR(__xludf.DUMMYFUNCTION("iferror(if(A3927="""",,E3927&gt;=FILTER(Constants!$F$2:$F$10,Constants!$A$2:$A$10=A3927)))"),"")</f>
        <v/>
      </c>
    </row>
    <row r="3928">
      <c r="A3928" s="89"/>
      <c r="B3928" s="87"/>
      <c r="C3928" s="73"/>
      <c r="D3928" s="73"/>
      <c r="E3928" s="82"/>
      <c r="F3928" s="82"/>
      <c r="G3928" s="86"/>
      <c r="H3928" s="86"/>
      <c r="I3928" s="86"/>
      <c r="J3928" s="82"/>
      <c r="K3928" s="82"/>
      <c r="L3928" s="82"/>
      <c r="M3928" s="82"/>
      <c r="N3928" s="82"/>
      <c r="O3928" s="82"/>
      <c r="P3928" s="82"/>
      <c r="Q3928" s="82"/>
      <c r="R3928" s="82"/>
      <c r="S3928" s="82"/>
      <c r="T3928" s="82"/>
      <c r="U3928" s="82"/>
      <c r="V3928" s="82"/>
      <c r="W3928" s="82"/>
      <c r="X3928" s="82"/>
      <c r="Y3928" s="82"/>
      <c r="Z3928" s="82"/>
      <c r="AA3928" s="82"/>
      <c r="AB3928" s="82"/>
      <c r="AC3928" s="82"/>
      <c r="AD3928" s="82"/>
      <c r="AE3928" s="82"/>
      <c r="AF3928" s="82"/>
      <c r="AG3928" s="82"/>
      <c r="AH3928" s="82"/>
      <c r="AI3928" s="82"/>
      <c r="AJ3928" s="82"/>
      <c r="AK3928" s="82"/>
      <c r="AL3928" s="82"/>
      <c r="AM3928" s="82"/>
      <c r="AN3928" s="82"/>
      <c r="AO3928" s="82"/>
      <c r="AP3928" s="82"/>
      <c r="AQ3928" s="82"/>
      <c r="AR3928" s="82"/>
      <c r="AS3928" s="82"/>
      <c r="AT3928" s="82"/>
      <c r="AU3928" s="82"/>
      <c r="AV3928" s="82"/>
      <c r="AW3928" s="82" t="str">
        <f t="shared" si="1"/>
        <v/>
      </c>
      <c r="AX3928" s="83" t="str">
        <f t="array" ref="AX3928">IFERROR(DGET('SBV Import'!A:G,"SBV",{"RSC ID","Tier";B3928,A3928}))</f>
        <v/>
      </c>
      <c r="AY3928" s="82" t="str">
        <f t="shared" si="2"/>
        <v/>
      </c>
      <c r="AZ3928" s="82"/>
      <c r="BA3928" s="84" t="s">
        <v>152</v>
      </c>
      <c r="BB3928" s="84" t="str">
        <f>IFERROR(__xludf.DUMMYFUNCTION("iferror(if(A3928="""",,E3928&gt;=FILTER(Constants!$F$2:$F$10,Constants!$A$2:$A$10=A3928)))"),"")</f>
        <v/>
      </c>
    </row>
    <row r="3929">
      <c r="A3929" s="89"/>
      <c r="B3929" s="87"/>
      <c r="C3929" s="73"/>
      <c r="D3929" s="73"/>
      <c r="E3929" s="82"/>
      <c r="F3929" s="82"/>
      <c r="G3929" s="86"/>
      <c r="H3929" s="86"/>
      <c r="I3929" s="86"/>
      <c r="J3929" s="82"/>
      <c r="K3929" s="82"/>
      <c r="L3929" s="82"/>
      <c r="M3929" s="82"/>
      <c r="N3929" s="82"/>
      <c r="O3929" s="82"/>
      <c r="P3929" s="82"/>
      <c r="Q3929" s="82"/>
      <c r="R3929" s="82"/>
      <c r="S3929" s="82"/>
      <c r="T3929" s="82"/>
      <c r="U3929" s="82"/>
      <c r="V3929" s="82"/>
      <c r="W3929" s="82"/>
      <c r="X3929" s="82"/>
      <c r="Y3929" s="82"/>
      <c r="Z3929" s="82"/>
      <c r="AA3929" s="82"/>
      <c r="AB3929" s="82"/>
      <c r="AC3929" s="82"/>
      <c r="AD3929" s="82"/>
      <c r="AE3929" s="82"/>
      <c r="AF3929" s="82"/>
      <c r="AG3929" s="82"/>
      <c r="AH3929" s="82"/>
      <c r="AI3929" s="82"/>
      <c r="AJ3929" s="82"/>
      <c r="AK3929" s="82"/>
      <c r="AL3929" s="82"/>
      <c r="AM3929" s="82"/>
      <c r="AN3929" s="82"/>
      <c r="AO3929" s="82"/>
      <c r="AP3929" s="82"/>
      <c r="AQ3929" s="82"/>
      <c r="AR3929" s="82"/>
      <c r="AS3929" s="82"/>
      <c r="AT3929" s="82"/>
      <c r="AU3929" s="82"/>
      <c r="AV3929" s="82"/>
      <c r="AW3929" s="82" t="str">
        <f t="shared" si="1"/>
        <v/>
      </c>
      <c r="AX3929" s="83" t="str">
        <f t="array" ref="AX3929">IFERROR(DGET('SBV Import'!A:G,"SBV",{"RSC ID","Tier";B3929,A3929}))</f>
        <v/>
      </c>
      <c r="AY3929" s="82" t="str">
        <f t="shared" si="2"/>
        <v/>
      </c>
      <c r="AZ3929" s="82"/>
      <c r="BA3929" s="84" t="s">
        <v>152</v>
      </c>
      <c r="BB3929" s="84" t="str">
        <f>IFERROR(__xludf.DUMMYFUNCTION("iferror(if(A3929="""",,E3929&gt;=FILTER(Constants!$F$2:$F$10,Constants!$A$2:$A$10=A3929)))"),"")</f>
        <v/>
      </c>
    </row>
    <row r="3930">
      <c r="A3930" s="89"/>
      <c r="B3930" s="87"/>
      <c r="C3930" s="73"/>
      <c r="D3930" s="73"/>
      <c r="E3930" s="82"/>
      <c r="F3930" s="82"/>
      <c r="G3930" s="86"/>
      <c r="H3930" s="86"/>
      <c r="I3930" s="86"/>
      <c r="J3930" s="82"/>
      <c r="K3930" s="82"/>
      <c r="L3930" s="82"/>
      <c r="M3930" s="82"/>
      <c r="N3930" s="82"/>
      <c r="O3930" s="82"/>
      <c r="P3930" s="82"/>
      <c r="Q3930" s="82"/>
      <c r="R3930" s="82"/>
      <c r="S3930" s="82"/>
      <c r="T3930" s="82"/>
      <c r="U3930" s="82"/>
      <c r="V3930" s="82"/>
      <c r="W3930" s="82"/>
      <c r="X3930" s="82"/>
      <c r="Y3930" s="82"/>
      <c r="Z3930" s="82"/>
      <c r="AA3930" s="82"/>
      <c r="AB3930" s="82"/>
      <c r="AC3930" s="82"/>
      <c r="AD3930" s="82"/>
      <c r="AE3930" s="82"/>
      <c r="AF3930" s="82"/>
      <c r="AG3930" s="82"/>
      <c r="AH3930" s="82"/>
      <c r="AI3930" s="82"/>
      <c r="AJ3930" s="82"/>
      <c r="AK3930" s="82"/>
      <c r="AL3930" s="82"/>
      <c r="AM3930" s="82"/>
      <c r="AN3930" s="82"/>
      <c r="AO3930" s="82"/>
      <c r="AP3930" s="82"/>
      <c r="AQ3930" s="82"/>
      <c r="AR3930" s="82"/>
      <c r="AS3930" s="82"/>
      <c r="AT3930" s="82"/>
      <c r="AU3930" s="82"/>
      <c r="AV3930" s="82"/>
      <c r="AW3930" s="82" t="str">
        <f t="shared" si="1"/>
        <v/>
      </c>
      <c r="AX3930" s="83" t="str">
        <f t="array" ref="AX3930">IFERROR(DGET('SBV Import'!A:G,"SBV",{"RSC ID","Tier";B3930,A3930}))</f>
        <v/>
      </c>
      <c r="AY3930" s="82" t="str">
        <f t="shared" si="2"/>
        <v/>
      </c>
      <c r="AZ3930" s="82"/>
      <c r="BA3930" s="84" t="s">
        <v>152</v>
      </c>
      <c r="BB3930" s="84" t="str">
        <f>IFERROR(__xludf.DUMMYFUNCTION("iferror(if(A3930="""",,E3930&gt;=FILTER(Constants!$F$2:$F$10,Constants!$A$2:$A$10=A3930)))"),"")</f>
        <v/>
      </c>
    </row>
    <row r="3931">
      <c r="A3931" s="89"/>
      <c r="B3931" s="87"/>
      <c r="C3931" s="73"/>
      <c r="D3931" s="73"/>
      <c r="E3931" s="82"/>
      <c r="F3931" s="82"/>
      <c r="G3931" s="86"/>
      <c r="H3931" s="86"/>
      <c r="I3931" s="86"/>
      <c r="J3931" s="82"/>
      <c r="K3931" s="82"/>
      <c r="L3931" s="82"/>
      <c r="M3931" s="82"/>
      <c r="N3931" s="82"/>
      <c r="O3931" s="82"/>
      <c r="P3931" s="82"/>
      <c r="Q3931" s="82"/>
      <c r="R3931" s="82"/>
      <c r="S3931" s="82"/>
      <c r="T3931" s="82"/>
      <c r="U3931" s="82"/>
      <c r="V3931" s="82"/>
      <c r="W3931" s="82"/>
      <c r="X3931" s="82"/>
      <c r="Y3931" s="82"/>
      <c r="Z3931" s="82"/>
      <c r="AA3931" s="82"/>
      <c r="AB3931" s="82"/>
      <c r="AC3931" s="82"/>
      <c r="AD3931" s="82"/>
      <c r="AE3931" s="82"/>
      <c r="AF3931" s="82"/>
      <c r="AG3931" s="82"/>
      <c r="AH3931" s="82"/>
      <c r="AI3931" s="82"/>
      <c r="AJ3931" s="82"/>
      <c r="AK3931" s="82"/>
      <c r="AL3931" s="82"/>
      <c r="AM3931" s="82"/>
      <c r="AN3931" s="82"/>
      <c r="AO3931" s="82"/>
      <c r="AP3931" s="82"/>
      <c r="AQ3931" s="82"/>
      <c r="AR3931" s="82"/>
      <c r="AS3931" s="82"/>
      <c r="AT3931" s="82"/>
      <c r="AU3931" s="82"/>
      <c r="AV3931" s="82"/>
      <c r="AW3931" s="82" t="str">
        <f t="shared" si="1"/>
        <v/>
      </c>
      <c r="AX3931" s="83" t="str">
        <f t="array" ref="AX3931">IFERROR(DGET('SBV Import'!A:G,"SBV",{"RSC ID","Tier";B3931,A3931}))</f>
        <v/>
      </c>
      <c r="AY3931" s="82" t="str">
        <f t="shared" si="2"/>
        <v/>
      </c>
      <c r="AZ3931" s="82"/>
      <c r="BA3931" s="84" t="s">
        <v>152</v>
      </c>
      <c r="BB3931" s="84" t="str">
        <f>IFERROR(__xludf.DUMMYFUNCTION("iferror(if(A3931="""",,E3931&gt;=FILTER(Constants!$F$2:$F$10,Constants!$A$2:$A$10=A3931)))"),"")</f>
        <v/>
      </c>
    </row>
    <row r="3932">
      <c r="A3932" s="89"/>
      <c r="B3932" s="87"/>
      <c r="C3932" s="73"/>
      <c r="D3932" s="73"/>
      <c r="E3932" s="82"/>
      <c r="F3932" s="82"/>
      <c r="G3932" s="86"/>
      <c r="H3932" s="86"/>
      <c r="I3932" s="86"/>
      <c r="J3932" s="82"/>
      <c r="K3932" s="82"/>
      <c r="L3932" s="82"/>
      <c r="M3932" s="82"/>
      <c r="N3932" s="82"/>
      <c r="O3932" s="82"/>
      <c r="P3932" s="82"/>
      <c r="Q3932" s="82"/>
      <c r="R3932" s="82"/>
      <c r="S3932" s="82"/>
      <c r="T3932" s="82"/>
      <c r="U3932" s="82"/>
      <c r="V3932" s="82"/>
      <c r="W3932" s="82"/>
      <c r="X3932" s="82"/>
      <c r="Y3932" s="82"/>
      <c r="Z3932" s="82"/>
      <c r="AA3932" s="82"/>
      <c r="AB3932" s="82"/>
      <c r="AC3932" s="82"/>
      <c r="AD3932" s="82"/>
      <c r="AE3932" s="82"/>
      <c r="AF3932" s="82"/>
      <c r="AG3932" s="82"/>
      <c r="AH3932" s="82"/>
      <c r="AI3932" s="82"/>
      <c r="AJ3932" s="82"/>
      <c r="AK3932" s="82"/>
      <c r="AL3932" s="82"/>
      <c r="AM3932" s="82"/>
      <c r="AN3932" s="82"/>
      <c r="AO3932" s="82"/>
      <c r="AP3932" s="82"/>
      <c r="AQ3932" s="82"/>
      <c r="AR3932" s="82"/>
      <c r="AS3932" s="82"/>
      <c r="AT3932" s="82"/>
      <c r="AU3932" s="82"/>
      <c r="AV3932" s="82"/>
      <c r="AW3932" s="82" t="str">
        <f t="shared" si="1"/>
        <v/>
      </c>
      <c r="AX3932" s="83" t="str">
        <f t="array" ref="AX3932">IFERROR(DGET('SBV Import'!A:G,"SBV",{"RSC ID","Tier";B3932,A3932}))</f>
        <v/>
      </c>
      <c r="AY3932" s="82" t="str">
        <f t="shared" si="2"/>
        <v/>
      </c>
      <c r="AZ3932" s="82"/>
      <c r="BA3932" s="84" t="s">
        <v>152</v>
      </c>
      <c r="BB3932" s="84" t="str">
        <f>IFERROR(__xludf.DUMMYFUNCTION("iferror(if(A3932="""",,E3932&gt;=FILTER(Constants!$F$2:$F$10,Constants!$A$2:$A$10=A3932)))"),"")</f>
        <v/>
      </c>
    </row>
    <row r="3933">
      <c r="A3933" s="89"/>
      <c r="B3933" s="87"/>
      <c r="C3933" s="73"/>
      <c r="D3933" s="73"/>
      <c r="E3933" s="82"/>
      <c r="F3933" s="82"/>
      <c r="G3933" s="86"/>
      <c r="H3933" s="86"/>
      <c r="I3933" s="86"/>
      <c r="J3933" s="82"/>
      <c r="K3933" s="82"/>
      <c r="L3933" s="82"/>
      <c r="M3933" s="82"/>
      <c r="N3933" s="82"/>
      <c r="O3933" s="82"/>
      <c r="P3933" s="82"/>
      <c r="Q3933" s="82"/>
      <c r="R3933" s="82"/>
      <c r="S3933" s="82"/>
      <c r="T3933" s="82"/>
      <c r="U3933" s="82"/>
      <c r="V3933" s="82"/>
      <c r="W3933" s="82"/>
      <c r="X3933" s="82"/>
      <c r="Y3933" s="82"/>
      <c r="Z3933" s="82"/>
      <c r="AA3933" s="82"/>
      <c r="AB3933" s="82"/>
      <c r="AC3933" s="82"/>
      <c r="AD3933" s="82"/>
      <c r="AE3933" s="82"/>
      <c r="AF3933" s="82"/>
      <c r="AG3933" s="82"/>
      <c r="AH3933" s="82"/>
      <c r="AI3933" s="82"/>
      <c r="AJ3933" s="82"/>
      <c r="AK3933" s="82"/>
      <c r="AL3933" s="82"/>
      <c r="AM3933" s="82"/>
      <c r="AN3933" s="82"/>
      <c r="AO3933" s="82"/>
      <c r="AP3933" s="82"/>
      <c r="AQ3933" s="82"/>
      <c r="AR3933" s="82"/>
      <c r="AS3933" s="82"/>
      <c r="AT3933" s="82"/>
      <c r="AU3933" s="82"/>
      <c r="AV3933" s="82"/>
      <c r="AW3933" s="82" t="str">
        <f t="shared" si="1"/>
        <v/>
      </c>
      <c r="AX3933" s="83" t="str">
        <f t="array" ref="AX3933">IFERROR(DGET('SBV Import'!A:G,"SBV",{"RSC ID","Tier";B3933,A3933}))</f>
        <v/>
      </c>
      <c r="AY3933" s="82" t="str">
        <f t="shared" si="2"/>
        <v/>
      </c>
      <c r="AZ3933" s="82"/>
      <c r="BA3933" s="84" t="s">
        <v>152</v>
      </c>
      <c r="BB3933" s="84" t="str">
        <f>IFERROR(__xludf.DUMMYFUNCTION("iferror(if(A3933="""",,E3933&gt;=FILTER(Constants!$F$2:$F$10,Constants!$A$2:$A$10=A3933)))"),"")</f>
        <v/>
      </c>
    </row>
    <row r="3934">
      <c r="A3934" s="89"/>
      <c r="B3934" s="87"/>
      <c r="C3934" s="73"/>
      <c r="D3934" s="73"/>
      <c r="E3934" s="82"/>
      <c r="F3934" s="82"/>
      <c r="G3934" s="86"/>
      <c r="H3934" s="86"/>
      <c r="I3934" s="86"/>
      <c r="J3934" s="82"/>
      <c r="K3934" s="82"/>
      <c r="L3934" s="82"/>
      <c r="M3934" s="82"/>
      <c r="N3934" s="82"/>
      <c r="O3934" s="82"/>
      <c r="P3934" s="82"/>
      <c r="Q3934" s="82"/>
      <c r="R3934" s="82"/>
      <c r="S3934" s="82"/>
      <c r="T3934" s="82"/>
      <c r="U3934" s="82"/>
      <c r="V3934" s="82"/>
      <c r="W3934" s="82"/>
      <c r="X3934" s="82"/>
      <c r="Y3934" s="82"/>
      <c r="Z3934" s="82"/>
      <c r="AA3934" s="82"/>
      <c r="AB3934" s="82"/>
      <c r="AC3934" s="82"/>
      <c r="AD3934" s="82"/>
      <c r="AE3934" s="82"/>
      <c r="AF3934" s="82"/>
      <c r="AG3934" s="82"/>
      <c r="AH3934" s="82"/>
      <c r="AI3934" s="82"/>
      <c r="AJ3934" s="82"/>
      <c r="AK3934" s="82"/>
      <c r="AL3934" s="82"/>
      <c r="AM3934" s="82"/>
      <c r="AN3934" s="82"/>
      <c r="AO3934" s="82"/>
      <c r="AP3934" s="82"/>
      <c r="AQ3934" s="82"/>
      <c r="AR3934" s="82"/>
      <c r="AS3934" s="82"/>
      <c r="AT3934" s="82"/>
      <c r="AU3934" s="82"/>
      <c r="AV3934" s="82"/>
      <c r="AW3934" s="82" t="str">
        <f t="shared" si="1"/>
        <v/>
      </c>
      <c r="AX3934" s="83" t="str">
        <f t="array" ref="AX3934">IFERROR(DGET('SBV Import'!A:G,"SBV",{"RSC ID","Tier";B3934,A3934}))</f>
        <v/>
      </c>
      <c r="AY3934" s="82" t="str">
        <f t="shared" si="2"/>
        <v/>
      </c>
      <c r="AZ3934" s="82"/>
      <c r="BA3934" s="84" t="s">
        <v>152</v>
      </c>
      <c r="BB3934" s="84" t="str">
        <f>IFERROR(__xludf.DUMMYFUNCTION("iferror(if(A3934="""",,E3934&gt;=FILTER(Constants!$F$2:$F$10,Constants!$A$2:$A$10=A3934)))"),"")</f>
        <v/>
      </c>
    </row>
    <row r="3935">
      <c r="A3935" s="89"/>
      <c r="B3935" s="87"/>
      <c r="C3935" s="73"/>
      <c r="D3935" s="73"/>
      <c r="E3935" s="82"/>
      <c r="F3935" s="82"/>
      <c r="G3935" s="86"/>
      <c r="H3935" s="86"/>
      <c r="I3935" s="86"/>
      <c r="J3935" s="82"/>
      <c r="K3935" s="82"/>
      <c r="L3935" s="82"/>
      <c r="M3935" s="82"/>
      <c r="N3935" s="82"/>
      <c r="O3935" s="82"/>
      <c r="P3935" s="82"/>
      <c r="Q3935" s="82"/>
      <c r="R3935" s="82"/>
      <c r="S3935" s="82"/>
      <c r="T3935" s="82"/>
      <c r="U3935" s="82"/>
      <c r="V3935" s="82"/>
      <c r="W3935" s="82"/>
      <c r="X3935" s="82"/>
      <c r="Y3935" s="82"/>
      <c r="Z3935" s="82"/>
      <c r="AA3935" s="82"/>
      <c r="AB3935" s="82"/>
      <c r="AC3935" s="82"/>
      <c r="AD3935" s="82"/>
      <c r="AE3935" s="82"/>
      <c r="AF3935" s="82"/>
      <c r="AG3935" s="82"/>
      <c r="AH3935" s="82"/>
      <c r="AI3935" s="82"/>
      <c r="AJ3935" s="82"/>
      <c r="AK3935" s="82"/>
      <c r="AL3935" s="82"/>
      <c r="AM3935" s="82"/>
      <c r="AN3935" s="82"/>
      <c r="AO3935" s="82"/>
      <c r="AP3935" s="82"/>
      <c r="AQ3935" s="82"/>
      <c r="AR3935" s="82"/>
      <c r="AS3935" s="82"/>
      <c r="AT3935" s="82"/>
      <c r="AU3935" s="82"/>
      <c r="AV3935" s="82"/>
      <c r="AW3935" s="82" t="str">
        <f t="shared" si="1"/>
        <v/>
      </c>
      <c r="AX3935" s="83" t="str">
        <f t="array" ref="AX3935">IFERROR(DGET('SBV Import'!A:G,"SBV",{"RSC ID","Tier";B3935,A3935}))</f>
        <v/>
      </c>
      <c r="AY3935" s="82" t="str">
        <f t="shared" si="2"/>
        <v/>
      </c>
      <c r="AZ3935" s="82"/>
      <c r="BA3935" s="84" t="s">
        <v>152</v>
      </c>
      <c r="BB3935" s="84" t="str">
        <f>IFERROR(__xludf.DUMMYFUNCTION("iferror(if(A3935="""",,E3935&gt;=FILTER(Constants!$F$2:$F$10,Constants!$A$2:$A$10=A3935)))"),"")</f>
        <v/>
      </c>
    </row>
    <row r="3936">
      <c r="A3936" s="89"/>
      <c r="B3936" s="87"/>
      <c r="C3936" s="73"/>
      <c r="D3936" s="73"/>
      <c r="E3936" s="82"/>
      <c r="F3936" s="82"/>
      <c r="G3936" s="86"/>
      <c r="H3936" s="86"/>
      <c r="I3936" s="86"/>
      <c r="J3936" s="82"/>
      <c r="K3936" s="82"/>
      <c r="L3936" s="82"/>
      <c r="M3936" s="82"/>
      <c r="N3936" s="82"/>
      <c r="O3936" s="82"/>
      <c r="P3936" s="82"/>
      <c r="Q3936" s="82"/>
      <c r="R3936" s="82"/>
      <c r="S3936" s="82"/>
      <c r="T3936" s="82"/>
      <c r="U3936" s="82"/>
      <c r="V3936" s="82"/>
      <c r="W3936" s="82"/>
      <c r="X3936" s="82"/>
      <c r="Y3936" s="82"/>
      <c r="Z3936" s="82"/>
      <c r="AA3936" s="82"/>
      <c r="AB3936" s="82"/>
      <c r="AC3936" s="82"/>
      <c r="AD3936" s="82"/>
      <c r="AE3936" s="82"/>
      <c r="AF3936" s="82"/>
      <c r="AG3936" s="82"/>
      <c r="AH3936" s="82"/>
      <c r="AI3936" s="82"/>
      <c r="AJ3936" s="82"/>
      <c r="AK3936" s="82"/>
      <c r="AL3936" s="82"/>
      <c r="AM3936" s="82"/>
      <c r="AN3936" s="82"/>
      <c r="AO3936" s="82"/>
      <c r="AP3936" s="82"/>
      <c r="AQ3936" s="82"/>
      <c r="AR3936" s="82"/>
      <c r="AS3936" s="82"/>
      <c r="AT3936" s="82"/>
      <c r="AU3936" s="82"/>
      <c r="AV3936" s="82"/>
      <c r="AW3936" s="82" t="str">
        <f t="shared" si="1"/>
        <v/>
      </c>
      <c r="AX3936" s="83" t="str">
        <f t="array" ref="AX3936">IFERROR(DGET('SBV Import'!A:G,"SBV",{"RSC ID","Tier";B3936,A3936}))</f>
        <v/>
      </c>
      <c r="AY3936" s="82" t="str">
        <f t="shared" si="2"/>
        <v/>
      </c>
      <c r="AZ3936" s="82"/>
      <c r="BA3936" s="84" t="s">
        <v>152</v>
      </c>
      <c r="BB3936" s="84" t="str">
        <f>IFERROR(__xludf.DUMMYFUNCTION("iferror(if(A3936="""",,E3936&gt;=FILTER(Constants!$F$2:$F$10,Constants!$A$2:$A$10=A3936)))"),"")</f>
        <v/>
      </c>
    </row>
    <row r="3937">
      <c r="A3937" s="89"/>
      <c r="B3937" s="87"/>
      <c r="C3937" s="73"/>
      <c r="D3937" s="73"/>
      <c r="E3937" s="82"/>
      <c r="F3937" s="82"/>
      <c r="G3937" s="86"/>
      <c r="H3937" s="86"/>
      <c r="I3937" s="86"/>
      <c r="J3937" s="82"/>
      <c r="K3937" s="82"/>
      <c r="L3937" s="82"/>
      <c r="M3937" s="82"/>
      <c r="N3937" s="82"/>
      <c r="O3937" s="82"/>
      <c r="P3937" s="82"/>
      <c r="Q3937" s="82"/>
      <c r="R3937" s="82"/>
      <c r="S3937" s="82"/>
      <c r="T3937" s="82"/>
      <c r="U3937" s="82"/>
      <c r="V3937" s="82"/>
      <c r="W3937" s="82"/>
      <c r="X3937" s="82"/>
      <c r="Y3937" s="82"/>
      <c r="Z3937" s="82"/>
      <c r="AA3937" s="82"/>
      <c r="AB3937" s="82"/>
      <c r="AC3937" s="82"/>
      <c r="AD3937" s="82"/>
      <c r="AE3937" s="82"/>
      <c r="AF3937" s="82"/>
      <c r="AG3937" s="82"/>
      <c r="AH3937" s="82"/>
      <c r="AI3937" s="82"/>
      <c r="AJ3937" s="82"/>
      <c r="AK3937" s="82"/>
      <c r="AL3937" s="82"/>
      <c r="AM3937" s="82"/>
      <c r="AN3937" s="82"/>
      <c r="AO3937" s="82"/>
      <c r="AP3937" s="82"/>
      <c r="AQ3937" s="82"/>
      <c r="AR3937" s="82"/>
      <c r="AS3937" s="82"/>
      <c r="AT3937" s="82"/>
      <c r="AU3937" s="82"/>
      <c r="AV3937" s="82"/>
      <c r="AW3937" s="82" t="str">
        <f t="shared" si="1"/>
        <v/>
      </c>
      <c r="AX3937" s="83" t="str">
        <f t="array" ref="AX3937">IFERROR(DGET('SBV Import'!A:G,"SBV",{"RSC ID","Tier";B3937,A3937}))</f>
        <v/>
      </c>
      <c r="AY3937" s="82" t="str">
        <f t="shared" si="2"/>
        <v/>
      </c>
      <c r="AZ3937" s="82"/>
      <c r="BA3937" s="84" t="s">
        <v>152</v>
      </c>
      <c r="BB3937" s="84" t="str">
        <f>IFERROR(__xludf.DUMMYFUNCTION("iferror(if(A3937="""",,E3937&gt;=FILTER(Constants!$F$2:$F$10,Constants!$A$2:$A$10=A3937)))"),"")</f>
        <v/>
      </c>
    </row>
    <row r="3938">
      <c r="A3938" s="89"/>
      <c r="B3938" s="87"/>
      <c r="C3938" s="73"/>
      <c r="D3938" s="73"/>
      <c r="E3938" s="82"/>
      <c r="F3938" s="82"/>
      <c r="G3938" s="86"/>
      <c r="H3938" s="86"/>
      <c r="I3938" s="86"/>
      <c r="J3938" s="82"/>
      <c r="K3938" s="82"/>
      <c r="L3938" s="82"/>
      <c r="M3938" s="82"/>
      <c r="N3938" s="82"/>
      <c r="O3938" s="82"/>
      <c r="P3938" s="82"/>
      <c r="Q3938" s="82"/>
      <c r="R3938" s="82"/>
      <c r="S3938" s="82"/>
      <c r="T3938" s="82"/>
      <c r="U3938" s="82"/>
      <c r="V3938" s="82"/>
      <c r="W3938" s="82"/>
      <c r="X3938" s="82"/>
      <c r="Y3938" s="82"/>
      <c r="Z3938" s="82"/>
      <c r="AA3938" s="82"/>
      <c r="AB3938" s="82"/>
      <c r="AC3938" s="82"/>
      <c r="AD3938" s="82"/>
      <c r="AE3938" s="82"/>
      <c r="AF3938" s="82"/>
      <c r="AG3938" s="82"/>
      <c r="AH3938" s="82"/>
      <c r="AI3938" s="82"/>
      <c r="AJ3938" s="82"/>
      <c r="AK3938" s="82"/>
      <c r="AL3938" s="82"/>
      <c r="AM3938" s="82"/>
      <c r="AN3938" s="82"/>
      <c r="AO3938" s="82"/>
      <c r="AP3938" s="82"/>
      <c r="AQ3938" s="82"/>
      <c r="AR3938" s="82"/>
      <c r="AS3938" s="82"/>
      <c r="AT3938" s="82"/>
      <c r="AU3938" s="82"/>
      <c r="AV3938" s="82"/>
      <c r="AW3938" s="82" t="str">
        <f t="shared" si="1"/>
        <v/>
      </c>
      <c r="AX3938" s="83" t="str">
        <f t="array" ref="AX3938">IFERROR(DGET('SBV Import'!A:G,"SBV",{"RSC ID","Tier";B3938,A3938}))</f>
        <v/>
      </c>
      <c r="AY3938" s="82" t="str">
        <f t="shared" si="2"/>
        <v/>
      </c>
      <c r="AZ3938" s="82"/>
      <c r="BA3938" s="84" t="s">
        <v>152</v>
      </c>
      <c r="BB3938" s="84" t="str">
        <f>IFERROR(__xludf.DUMMYFUNCTION("iferror(if(A3938="""",,E3938&gt;=FILTER(Constants!$F$2:$F$10,Constants!$A$2:$A$10=A3938)))"),"")</f>
        <v/>
      </c>
    </row>
    <row r="3939">
      <c r="A3939" s="89"/>
      <c r="B3939" s="87"/>
      <c r="C3939" s="73"/>
      <c r="D3939" s="73"/>
      <c r="E3939" s="82"/>
      <c r="F3939" s="82"/>
      <c r="G3939" s="86"/>
      <c r="H3939" s="86"/>
      <c r="I3939" s="86"/>
      <c r="J3939" s="82"/>
      <c r="K3939" s="82"/>
      <c r="L3939" s="82"/>
      <c r="M3939" s="82"/>
      <c r="N3939" s="82"/>
      <c r="O3939" s="82"/>
      <c r="P3939" s="82"/>
      <c r="Q3939" s="82"/>
      <c r="R3939" s="82"/>
      <c r="S3939" s="82"/>
      <c r="T3939" s="82"/>
      <c r="U3939" s="82"/>
      <c r="V3939" s="82"/>
      <c r="W3939" s="82"/>
      <c r="X3939" s="82"/>
      <c r="Y3939" s="82"/>
      <c r="Z3939" s="82"/>
      <c r="AA3939" s="82"/>
      <c r="AB3939" s="82"/>
      <c r="AC3939" s="82"/>
      <c r="AD3939" s="82"/>
      <c r="AE3939" s="82"/>
      <c r="AF3939" s="82"/>
      <c r="AG3939" s="82"/>
      <c r="AH3939" s="82"/>
      <c r="AI3939" s="82"/>
      <c r="AJ3939" s="82"/>
      <c r="AK3939" s="82"/>
      <c r="AL3939" s="82"/>
      <c r="AM3939" s="82"/>
      <c r="AN3939" s="82"/>
      <c r="AO3939" s="82"/>
      <c r="AP3939" s="82"/>
      <c r="AQ3939" s="82"/>
      <c r="AR3939" s="82"/>
      <c r="AS3939" s="82"/>
      <c r="AT3939" s="82"/>
      <c r="AU3939" s="82"/>
      <c r="AV3939" s="82"/>
      <c r="AW3939" s="82" t="str">
        <f t="shared" si="1"/>
        <v/>
      </c>
      <c r="AX3939" s="83" t="str">
        <f t="array" ref="AX3939">IFERROR(DGET('SBV Import'!A:G,"SBV",{"RSC ID","Tier";B3939,A3939}))</f>
        <v/>
      </c>
      <c r="AY3939" s="82" t="str">
        <f t="shared" si="2"/>
        <v/>
      </c>
      <c r="AZ3939" s="82"/>
      <c r="BA3939" s="84" t="s">
        <v>152</v>
      </c>
      <c r="BB3939" s="84" t="str">
        <f>IFERROR(__xludf.DUMMYFUNCTION("iferror(if(A3939="""",,E3939&gt;=FILTER(Constants!$F$2:$F$10,Constants!$A$2:$A$10=A3939)))"),"")</f>
        <v/>
      </c>
    </row>
    <row r="3940">
      <c r="A3940" s="89"/>
      <c r="B3940" s="87"/>
      <c r="C3940" s="73"/>
      <c r="D3940" s="73"/>
      <c r="E3940" s="82"/>
      <c r="F3940" s="82"/>
      <c r="G3940" s="86"/>
      <c r="H3940" s="86"/>
      <c r="I3940" s="86"/>
      <c r="J3940" s="82"/>
      <c r="K3940" s="82"/>
      <c r="L3940" s="82"/>
      <c r="M3940" s="82"/>
      <c r="N3940" s="82"/>
      <c r="O3940" s="82"/>
      <c r="P3940" s="82"/>
      <c r="Q3940" s="82"/>
      <c r="R3940" s="82"/>
      <c r="S3940" s="82"/>
      <c r="T3940" s="82"/>
      <c r="U3940" s="82"/>
      <c r="V3940" s="82"/>
      <c r="W3940" s="82"/>
      <c r="X3940" s="82"/>
      <c r="Y3940" s="82"/>
      <c r="Z3940" s="82"/>
      <c r="AA3940" s="82"/>
      <c r="AB3940" s="82"/>
      <c r="AC3940" s="82"/>
      <c r="AD3940" s="82"/>
      <c r="AE3940" s="82"/>
      <c r="AF3940" s="82"/>
      <c r="AG3940" s="82"/>
      <c r="AH3940" s="82"/>
      <c r="AI3940" s="82"/>
      <c r="AJ3940" s="82"/>
      <c r="AK3940" s="82"/>
      <c r="AL3940" s="82"/>
      <c r="AM3940" s="82"/>
      <c r="AN3940" s="82"/>
      <c r="AO3940" s="82"/>
      <c r="AP3940" s="82"/>
      <c r="AQ3940" s="82"/>
      <c r="AR3940" s="82"/>
      <c r="AS3940" s="82"/>
      <c r="AT3940" s="82"/>
      <c r="AU3940" s="82"/>
      <c r="AV3940" s="82"/>
      <c r="AW3940" s="82" t="str">
        <f t="shared" si="1"/>
        <v/>
      </c>
      <c r="AX3940" s="83" t="str">
        <f t="array" ref="AX3940">IFERROR(DGET('SBV Import'!A:G,"SBV",{"RSC ID","Tier";B3940,A3940}))</f>
        <v/>
      </c>
      <c r="AY3940" s="82" t="str">
        <f t="shared" si="2"/>
        <v/>
      </c>
      <c r="AZ3940" s="82"/>
      <c r="BA3940" s="84" t="s">
        <v>152</v>
      </c>
      <c r="BB3940" s="84" t="str">
        <f>IFERROR(__xludf.DUMMYFUNCTION("iferror(if(A3940="""",,E3940&gt;=FILTER(Constants!$F$2:$F$10,Constants!$A$2:$A$10=A3940)))"),"")</f>
        <v/>
      </c>
    </row>
    <row r="3941">
      <c r="A3941" s="89"/>
      <c r="B3941" s="87"/>
      <c r="C3941" s="73"/>
      <c r="D3941" s="73"/>
      <c r="E3941" s="82"/>
      <c r="F3941" s="82"/>
      <c r="G3941" s="86"/>
      <c r="H3941" s="86"/>
      <c r="I3941" s="86"/>
      <c r="J3941" s="82"/>
      <c r="K3941" s="82"/>
      <c r="L3941" s="82"/>
      <c r="M3941" s="82"/>
      <c r="N3941" s="82"/>
      <c r="O3941" s="82"/>
      <c r="P3941" s="82"/>
      <c r="Q3941" s="82"/>
      <c r="R3941" s="82"/>
      <c r="S3941" s="82"/>
      <c r="T3941" s="82"/>
      <c r="U3941" s="82"/>
      <c r="V3941" s="82"/>
      <c r="W3941" s="82"/>
      <c r="X3941" s="82"/>
      <c r="Y3941" s="82"/>
      <c r="Z3941" s="82"/>
      <c r="AA3941" s="82"/>
      <c r="AB3941" s="82"/>
      <c r="AC3941" s="82"/>
      <c r="AD3941" s="82"/>
      <c r="AE3941" s="82"/>
      <c r="AF3941" s="82"/>
      <c r="AG3941" s="82"/>
      <c r="AH3941" s="82"/>
      <c r="AI3941" s="82"/>
      <c r="AJ3941" s="82"/>
      <c r="AK3941" s="82"/>
      <c r="AL3941" s="82"/>
      <c r="AM3941" s="82"/>
      <c r="AN3941" s="82"/>
      <c r="AO3941" s="82"/>
      <c r="AP3941" s="82"/>
      <c r="AQ3941" s="82"/>
      <c r="AR3941" s="82"/>
      <c r="AS3941" s="82"/>
      <c r="AT3941" s="82"/>
      <c r="AU3941" s="82"/>
      <c r="AV3941" s="82"/>
      <c r="AW3941" s="82" t="str">
        <f t="shared" si="1"/>
        <v/>
      </c>
      <c r="AX3941" s="83" t="str">
        <f t="array" ref="AX3941">IFERROR(DGET('SBV Import'!A:G,"SBV",{"RSC ID","Tier";B3941,A3941}))</f>
        <v/>
      </c>
      <c r="AY3941" s="82" t="str">
        <f t="shared" si="2"/>
        <v/>
      </c>
      <c r="AZ3941" s="82"/>
      <c r="BA3941" s="84" t="s">
        <v>152</v>
      </c>
      <c r="BB3941" s="84" t="str">
        <f>IFERROR(__xludf.DUMMYFUNCTION("iferror(if(A3941="""",,E3941&gt;=FILTER(Constants!$F$2:$F$10,Constants!$A$2:$A$10=A3941)))"),"")</f>
        <v/>
      </c>
    </row>
    <row r="3942">
      <c r="A3942" s="89"/>
      <c r="B3942" s="87"/>
      <c r="C3942" s="73"/>
      <c r="D3942" s="73"/>
      <c r="E3942" s="82"/>
      <c r="F3942" s="82"/>
      <c r="G3942" s="86"/>
      <c r="H3942" s="86"/>
      <c r="I3942" s="86"/>
      <c r="J3942" s="82"/>
      <c r="K3942" s="82"/>
      <c r="L3942" s="82"/>
      <c r="M3942" s="82"/>
      <c r="N3942" s="82"/>
      <c r="O3942" s="82"/>
      <c r="P3942" s="82"/>
      <c r="Q3942" s="82"/>
      <c r="R3942" s="82"/>
      <c r="S3942" s="82"/>
      <c r="T3942" s="82"/>
      <c r="U3942" s="82"/>
      <c r="V3942" s="82"/>
      <c r="W3942" s="82"/>
      <c r="X3942" s="82"/>
      <c r="Y3942" s="82"/>
      <c r="Z3942" s="82"/>
      <c r="AA3942" s="82"/>
      <c r="AB3942" s="82"/>
      <c r="AC3942" s="82"/>
      <c r="AD3942" s="82"/>
      <c r="AE3942" s="82"/>
      <c r="AF3942" s="82"/>
      <c r="AG3942" s="82"/>
      <c r="AH3942" s="82"/>
      <c r="AI3942" s="82"/>
      <c r="AJ3942" s="82"/>
      <c r="AK3942" s="82"/>
      <c r="AL3942" s="82"/>
      <c r="AM3942" s="82"/>
      <c r="AN3942" s="82"/>
      <c r="AO3942" s="82"/>
      <c r="AP3942" s="82"/>
      <c r="AQ3942" s="82"/>
      <c r="AR3942" s="82"/>
      <c r="AS3942" s="82"/>
      <c r="AT3942" s="82"/>
      <c r="AU3942" s="82"/>
      <c r="AV3942" s="82"/>
      <c r="AW3942" s="82" t="str">
        <f t="shared" si="1"/>
        <v/>
      </c>
      <c r="AX3942" s="83" t="str">
        <f t="array" ref="AX3942">IFERROR(DGET('SBV Import'!A:G,"SBV",{"RSC ID","Tier";B3942,A3942}))</f>
        <v/>
      </c>
      <c r="AY3942" s="82" t="str">
        <f t="shared" si="2"/>
        <v/>
      </c>
      <c r="AZ3942" s="82"/>
      <c r="BA3942" s="84" t="s">
        <v>152</v>
      </c>
      <c r="BB3942" s="84" t="str">
        <f>IFERROR(__xludf.DUMMYFUNCTION("iferror(if(A3942="""",,E3942&gt;=FILTER(Constants!$F$2:$F$10,Constants!$A$2:$A$10=A3942)))"),"")</f>
        <v/>
      </c>
    </row>
    <row r="3943">
      <c r="A3943" s="89"/>
      <c r="B3943" s="87"/>
      <c r="C3943" s="73"/>
      <c r="D3943" s="73"/>
      <c r="E3943" s="82"/>
      <c r="F3943" s="82"/>
      <c r="G3943" s="86"/>
      <c r="H3943" s="86"/>
      <c r="I3943" s="86"/>
      <c r="J3943" s="82"/>
      <c r="K3943" s="82"/>
      <c r="L3943" s="82"/>
      <c r="M3943" s="82"/>
      <c r="N3943" s="82"/>
      <c r="O3943" s="82"/>
      <c r="P3943" s="82"/>
      <c r="Q3943" s="82"/>
      <c r="R3943" s="82"/>
      <c r="S3943" s="82"/>
      <c r="T3943" s="82"/>
      <c r="U3943" s="82"/>
      <c r="V3943" s="82"/>
      <c r="W3943" s="82"/>
      <c r="X3943" s="82"/>
      <c r="Y3943" s="82"/>
      <c r="Z3943" s="82"/>
      <c r="AA3943" s="82"/>
      <c r="AB3943" s="82"/>
      <c r="AC3943" s="82"/>
      <c r="AD3943" s="82"/>
      <c r="AE3943" s="82"/>
      <c r="AF3943" s="82"/>
      <c r="AG3943" s="82"/>
      <c r="AH3943" s="82"/>
      <c r="AI3943" s="82"/>
      <c r="AJ3943" s="82"/>
      <c r="AK3943" s="82"/>
      <c r="AL3943" s="82"/>
      <c r="AM3943" s="82"/>
      <c r="AN3943" s="82"/>
      <c r="AO3943" s="82"/>
      <c r="AP3943" s="82"/>
      <c r="AQ3943" s="82"/>
      <c r="AR3943" s="82"/>
      <c r="AS3943" s="82"/>
      <c r="AT3943" s="82"/>
      <c r="AU3943" s="82"/>
      <c r="AV3943" s="82"/>
      <c r="AW3943" s="82" t="str">
        <f t="shared" si="1"/>
        <v/>
      </c>
      <c r="AX3943" s="83" t="str">
        <f t="array" ref="AX3943">IFERROR(DGET('SBV Import'!A:G,"SBV",{"RSC ID","Tier";B3943,A3943}))</f>
        <v/>
      </c>
      <c r="AY3943" s="82" t="str">
        <f t="shared" si="2"/>
        <v/>
      </c>
      <c r="AZ3943" s="82"/>
      <c r="BA3943" s="84" t="s">
        <v>152</v>
      </c>
      <c r="BB3943" s="84" t="str">
        <f>IFERROR(__xludf.DUMMYFUNCTION("iferror(if(A3943="""",,E3943&gt;=FILTER(Constants!$F$2:$F$10,Constants!$A$2:$A$10=A3943)))"),"")</f>
        <v/>
      </c>
    </row>
    <row r="3944">
      <c r="A3944" s="89"/>
      <c r="B3944" s="87"/>
      <c r="C3944" s="73"/>
      <c r="D3944" s="73"/>
      <c r="E3944" s="82"/>
      <c r="F3944" s="82"/>
      <c r="G3944" s="86"/>
      <c r="H3944" s="86"/>
      <c r="I3944" s="86"/>
      <c r="J3944" s="82"/>
      <c r="K3944" s="82"/>
      <c r="L3944" s="82"/>
      <c r="M3944" s="82"/>
      <c r="N3944" s="82"/>
      <c r="O3944" s="82"/>
      <c r="P3944" s="82"/>
      <c r="Q3944" s="82"/>
      <c r="R3944" s="82"/>
      <c r="S3944" s="82"/>
      <c r="T3944" s="82"/>
      <c r="U3944" s="82"/>
      <c r="V3944" s="82"/>
      <c r="W3944" s="82"/>
      <c r="X3944" s="82"/>
      <c r="Y3944" s="82"/>
      <c r="Z3944" s="82"/>
      <c r="AA3944" s="82"/>
      <c r="AB3944" s="82"/>
      <c r="AC3944" s="82"/>
      <c r="AD3944" s="82"/>
      <c r="AE3944" s="82"/>
      <c r="AF3944" s="82"/>
      <c r="AG3944" s="82"/>
      <c r="AH3944" s="82"/>
      <c r="AI3944" s="82"/>
      <c r="AJ3944" s="82"/>
      <c r="AK3944" s="82"/>
      <c r="AL3944" s="82"/>
      <c r="AM3944" s="82"/>
      <c r="AN3944" s="82"/>
      <c r="AO3944" s="82"/>
      <c r="AP3944" s="82"/>
      <c r="AQ3944" s="82"/>
      <c r="AR3944" s="82"/>
      <c r="AS3944" s="82"/>
      <c r="AT3944" s="82"/>
      <c r="AU3944" s="82"/>
      <c r="AV3944" s="82"/>
      <c r="AW3944" s="82" t="str">
        <f t="shared" si="1"/>
        <v/>
      </c>
      <c r="AX3944" s="83" t="str">
        <f t="array" ref="AX3944">IFERROR(DGET('SBV Import'!A:G,"SBV",{"RSC ID","Tier";B3944,A3944}))</f>
        <v/>
      </c>
      <c r="AY3944" s="82" t="str">
        <f t="shared" si="2"/>
        <v/>
      </c>
      <c r="AZ3944" s="82"/>
      <c r="BA3944" s="84" t="s">
        <v>152</v>
      </c>
      <c r="BB3944" s="84" t="str">
        <f>IFERROR(__xludf.DUMMYFUNCTION("iferror(if(A3944="""",,E3944&gt;=FILTER(Constants!$F$2:$F$10,Constants!$A$2:$A$10=A3944)))"),"")</f>
        <v/>
      </c>
    </row>
    <row r="3945">
      <c r="A3945" s="89"/>
      <c r="B3945" s="87"/>
      <c r="C3945" s="73"/>
      <c r="D3945" s="73"/>
      <c r="E3945" s="82"/>
      <c r="F3945" s="82"/>
      <c r="G3945" s="86"/>
      <c r="H3945" s="86"/>
      <c r="I3945" s="86"/>
      <c r="J3945" s="82"/>
      <c r="K3945" s="82"/>
      <c r="L3945" s="82"/>
      <c r="M3945" s="82"/>
      <c r="N3945" s="82"/>
      <c r="O3945" s="82"/>
      <c r="P3945" s="82"/>
      <c r="Q3945" s="82"/>
      <c r="R3945" s="82"/>
      <c r="S3945" s="82"/>
      <c r="T3945" s="82"/>
      <c r="U3945" s="82"/>
      <c r="V3945" s="82"/>
      <c r="W3945" s="82"/>
      <c r="X3945" s="82"/>
      <c r="Y3945" s="82"/>
      <c r="Z3945" s="82"/>
      <c r="AA3945" s="82"/>
      <c r="AB3945" s="82"/>
      <c r="AC3945" s="82"/>
      <c r="AD3945" s="82"/>
      <c r="AE3945" s="82"/>
      <c r="AF3945" s="82"/>
      <c r="AG3945" s="82"/>
      <c r="AH3945" s="82"/>
      <c r="AI3945" s="82"/>
      <c r="AJ3945" s="82"/>
      <c r="AK3945" s="82"/>
      <c r="AL3945" s="82"/>
      <c r="AM3945" s="82"/>
      <c r="AN3945" s="82"/>
      <c r="AO3945" s="82"/>
      <c r="AP3945" s="82"/>
      <c r="AQ3945" s="82"/>
      <c r="AR3945" s="82"/>
      <c r="AS3945" s="82"/>
      <c r="AT3945" s="82"/>
      <c r="AU3945" s="82"/>
      <c r="AV3945" s="82"/>
      <c r="AW3945" s="82" t="str">
        <f t="shared" si="1"/>
        <v/>
      </c>
      <c r="AX3945" s="83" t="str">
        <f t="array" ref="AX3945">IFERROR(DGET('SBV Import'!A:G,"SBV",{"RSC ID","Tier";B3945,A3945}))</f>
        <v/>
      </c>
      <c r="AY3945" s="82" t="str">
        <f t="shared" si="2"/>
        <v/>
      </c>
      <c r="AZ3945" s="82"/>
      <c r="BA3945" s="84" t="s">
        <v>152</v>
      </c>
      <c r="BB3945" s="84" t="str">
        <f>IFERROR(__xludf.DUMMYFUNCTION("iferror(if(A3945="""",,E3945&gt;=FILTER(Constants!$F$2:$F$10,Constants!$A$2:$A$10=A3945)))"),"")</f>
        <v/>
      </c>
    </row>
    <row r="3946">
      <c r="A3946" s="89"/>
      <c r="B3946" s="87"/>
      <c r="C3946" s="73"/>
      <c r="D3946" s="73"/>
      <c r="E3946" s="82"/>
      <c r="F3946" s="82"/>
      <c r="G3946" s="86"/>
      <c r="H3946" s="86"/>
      <c r="I3946" s="86"/>
      <c r="J3946" s="82"/>
      <c r="K3946" s="82"/>
      <c r="L3946" s="82"/>
      <c r="M3946" s="82"/>
      <c r="N3946" s="82"/>
      <c r="O3946" s="82"/>
      <c r="P3946" s="82"/>
      <c r="Q3946" s="82"/>
      <c r="R3946" s="82"/>
      <c r="S3946" s="82"/>
      <c r="T3946" s="82"/>
      <c r="U3946" s="82"/>
      <c r="V3946" s="82"/>
      <c r="W3946" s="82"/>
      <c r="X3946" s="82"/>
      <c r="Y3946" s="82"/>
      <c r="Z3946" s="82"/>
      <c r="AA3946" s="82"/>
      <c r="AB3946" s="82"/>
      <c r="AC3946" s="82"/>
      <c r="AD3946" s="82"/>
      <c r="AE3946" s="82"/>
      <c r="AF3946" s="82"/>
      <c r="AG3946" s="82"/>
      <c r="AH3946" s="82"/>
      <c r="AI3946" s="82"/>
      <c r="AJ3946" s="82"/>
      <c r="AK3946" s="82"/>
      <c r="AL3946" s="82"/>
      <c r="AM3946" s="82"/>
      <c r="AN3946" s="82"/>
      <c r="AO3946" s="82"/>
      <c r="AP3946" s="82"/>
      <c r="AQ3946" s="82"/>
      <c r="AR3946" s="82"/>
      <c r="AS3946" s="82"/>
      <c r="AT3946" s="82"/>
      <c r="AU3946" s="82"/>
      <c r="AV3946" s="82"/>
      <c r="AW3946" s="82" t="str">
        <f t="shared" si="1"/>
        <v/>
      </c>
      <c r="AX3946" s="83" t="str">
        <f t="array" ref="AX3946">IFERROR(DGET('SBV Import'!A:G,"SBV",{"RSC ID","Tier";B3946,A3946}))</f>
        <v/>
      </c>
      <c r="AY3946" s="82" t="str">
        <f t="shared" si="2"/>
        <v/>
      </c>
      <c r="AZ3946" s="82"/>
      <c r="BA3946" s="84" t="s">
        <v>152</v>
      </c>
      <c r="BB3946" s="84" t="str">
        <f>IFERROR(__xludf.DUMMYFUNCTION("iferror(if(A3946="""",,E3946&gt;=FILTER(Constants!$F$2:$F$10,Constants!$A$2:$A$10=A3946)))"),"")</f>
        <v/>
      </c>
    </row>
    <row r="3947">
      <c r="A3947" s="89"/>
      <c r="B3947" s="87"/>
      <c r="C3947" s="73"/>
      <c r="D3947" s="73"/>
      <c r="E3947" s="82"/>
      <c r="F3947" s="82"/>
      <c r="G3947" s="86"/>
      <c r="H3947" s="86"/>
      <c r="I3947" s="86"/>
      <c r="J3947" s="82"/>
      <c r="K3947" s="82"/>
      <c r="L3947" s="82"/>
      <c r="M3947" s="82"/>
      <c r="N3947" s="82"/>
      <c r="O3947" s="82"/>
      <c r="P3947" s="82"/>
      <c r="Q3947" s="82"/>
      <c r="R3947" s="82"/>
      <c r="S3947" s="82"/>
      <c r="T3947" s="82"/>
      <c r="U3947" s="82"/>
      <c r="V3947" s="82"/>
      <c r="W3947" s="82"/>
      <c r="X3947" s="82"/>
      <c r="Y3947" s="82"/>
      <c r="Z3947" s="82"/>
      <c r="AA3947" s="82"/>
      <c r="AB3947" s="82"/>
      <c r="AC3947" s="82"/>
      <c r="AD3947" s="82"/>
      <c r="AE3947" s="82"/>
      <c r="AF3947" s="82"/>
      <c r="AG3947" s="82"/>
      <c r="AH3947" s="82"/>
      <c r="AI3947" s="82"/>
      <c r="AJ3947" s="82"/>
      <c r="AK3947" s="82"/>
      <c r="AL3947" s="82"/>
      <c r="AM3947" s="82"/>
      <c r="AN3947" s="82"/>
      <c r="AO3947" s="82"/>
      <c r="AP3947" s="82"/>
      <c r="AQ3947" s="82"/>
      <c r="AR3947" s="82"/>
      <c r="AS3947" s="82"/>
      <c r="AT3947" s="82"/>
      <c r="AU3947" s="82"/>
      <c r="AV3947" s="82"/>
      <c r="AW3947" s="82" t="str">
        <f t="shared" si="1"/>
        <v/>
      </c>
      <c r="AX3947" s="83" t="str">
        <f t="array" ref="AX3947">IFERROR(DGET('SBV Import'!A:G,"SBV",{"RSC ID","Tier";B3947,A3947}))</f>
        <v/>
      </c>
      <c r="AY3947" s="82" t="str">
        <f t="shared" si="2"/>
        <v/>
      </c>
      <c r="AZ3947" s="82"/>
      <c r="BA3947" s="84" t="s">
        <v>152</v>
      </c>
      <c r="BB3947" s="84" t="str">
        <f>IFERROR(__xludf.DUMMYFUNCTION("iferror(if(A3947="""",,E3947&gt;=FILTER(Constants!$F$2:$F$10,Constants!$A$2:$A$10=A3947)))"),"")</f>
        <v/>
      </c>
    </row>
    <row r="3948">
      <c r="A3948" s="89"/>
      <c r="B3948" s="87"/>
      <c r="C3948" s="73"/>
      <c r="D3948" s="73"/>
      <c r="E3948" s="82"/>
      <c r="F3948" s="82"/>
      <c r="G3948" s="86"/>
      <c r="H3948" s="86"/>
      <c r="I3948" s="86"/>
      <c r="J3948" s="82"/>
      <c r="K3948" s="82"/>
      <c r="L3948" s="82"/>
      <c r="M3948" s="82"/>
      <c r="N3948" s="82"/>
      <c r="O3948" s="82"/>
      <c r="P3948" s="82"/>
      <c r="Q3948" s="82"/>
      <c r="R3948" s="82"/>
      <c r="S3948" s="82"/>
      <c r="T3948" s="82"/>
      <c r="U3948" s="82"/>
      <c r="V3948" s="82"/>
      <c r="W3948" s="82"/>
      <c r="X3948" s="82"/>
      <c r="Y3948" s="82"/>
      <c r="Z3948" s="82"/>
      <c r="AA3948" s="82"/>
      <c r="AB3948" s="82"/>
      <c r="AC3948" s="82"/>
      <c r="AD3948" s="82"/>
      <c r="AE3948" s="82"/>
      <c r="AF3948" s="82"/>
      <c r="AG3948" s="82"/>
      <c r="AH3948" s="82"/>
      <c r="AI3948" s="82"/>
      <c r="AJ3948" s="82"/>
      <c r="AK3948" s="82"/>
      <c r="AL3948" s="82"/>
      <c r="AM3948" s="82"/>
      <c r="AN3948" s="82"/>
      <c r="AO3948" s="82"/>
      <c r="AP3948" s="82"/>
      <c r="AQ3948" s="82"/>
      <c r="AR3948" s="82"/>
      <c r="AS3948" s="82"/>
      <c r="AT3948" s="82"/>
      <c r="AU3948" s="82"/>
      <c r="AV3948" s="82"/>
      <c r="AW3948" s="82" t="str">
        <f t="shared" si="1"/>
        <v/>
      </c>
      <c r="AX3948" s="83" t="str">
        <f t="array" ref="AX3948">IFERROR(DGET('SBV Import'!A:G,"SBV",{"RSC ID","Tier";B3948,A3948}))</f>
        <v/>
      </c>
      <c r="AY3948" s="82" t="str">
        <f t="shared" si="2"/>
        <v/>
      </c>
      <c r="AZ3948" s="82"/>
      <c r="BA3948" s="84" t="s">
        <v>152</v>
      </c>
      <c r="BB3948" s="84" t="str">
        <f>IFERROR(__xludf.DUMMYFUNCTION("iferror(if(A3948="""",,E3948&gt;=FILTER(Constants!$F$2:$F$10,Constants!$A$2:$A$10=A3948)))"),"")</f>
        <v/>
      </c>
    </row>
    <row r="3949">
      <c r="A3949" s="89"/>
      <c r="B3949" s="87"/>
      <c r="C3949" s="73"/>
      <c r="D3949" s="73"/>
      <c r="E3949" s="82"/>
      <c r="F3949" s="82"/>
      <c r="G3949" s="86"/>
      <c r="H3949" s="86"/>
      <c r="I3949" s="86"/>
      <c r="J3949" s="82"/>
      <c r="K3949" s="82"/>
      <c r="L3949" s="82"/>
      <c r="M3949" s="82"/>
      <c r="N3949" s="82"/>
      <c r="O3949" s="82"/>
      <c r="P3949" s="82"/>
      <c r="Q3949" s="82"/>
      <c r="R3949" s="82"/>
      <c r="S3949" s="82"/>
      <c r="T3949" s="82"/>
      <c r="U3949" s="82"/>
      <c r="V3949" s="82"/>
      <c r="W3949" s="82"/>
      <c r="X3949" s="82"/>
      <c r="Y3949" s="82"/>
      <c r="Z3949" s="82"/>
      <c r="AA3949" s="82"/>
      <c r="AB3949" s="82"/>
      <c r="AC3949" s="82"/>
      <c r="AD3949" s="82"/>
      <c r="AE3949" s="82"/>
      <c r="AF3949" s="82"/>
      <c r="AG3949" s="82"/>
      <c r="AH3949" s="82"/>
      <c r="AI3949" s="82"/>
      <c r="AJ3949" s="82"/>
      <c r="AK3949" s="82"/>
      <c r="AL3949" s="82"/>
      <c r="AM3949" s="82"/>
      <c r="AN3949" s="82"/>
      <c r="AO3949" s="82"/>
      <c r="AP3949" s="82"/>
      <c r="AQ3949" s="82"/>
      <c r="AR3949" s="82"/>
      <c r="AS3949" s="82"/>
      <c r="AT3949" s="82"/>
      <c r="AU3949" s="82"/>
      <c r="AV3949" s="82"/>
      <c r="AW3949" s="82" t="str">
        <f t="shared" si="1"/>
        <v/>
      </c>
      <c r="AX3949" s="83" t="str">
        <f t="array" ref="AX3949">IFERROR(DGET('SBV Import'!A:G,"SBV",{"RSC ID","Tier";B3949,A3949}))</f>
        <v/>
      </c>
      <c r="AY3949" s="82" t="str">
        <f t="shared" si="2"/>
        <v/>
      </c>
      <c r="AZ3949" s="82"/>
      <c r="BA3949" s="84" t="s">
        <v>152</v>
      </c>
      <c r="BB3949" s="84" t="str">
        <f>IFERROR(__xludf.DUMMYFUNCTION("iferror(if(A3949="""",,E3949&gt;=FILTER(Constants!$F$2:$F$10,Constants!$A$2:$A$10=A3949)))"),"")</f>
        <v/>
      </c>
    </row>
    <row r="3950">
      <c r="A3950" s="89"/>
      <c r="B3950" s="87"/>
      <c r="C3950" s="73"/>
      <c r="D3950" s="73"/>
      <c r="E3950" s="82"/>
      <c r="F3950" s="82"/>
      <c r="G3950" s="86"/>
      <c r="H3950" s="86"/>
      <c r="I3950" s="86"/>
      <c r="J3950" s="82"/>
      <c r="K3950" s="82"/>
      <c r="L3950" s="82"/>
      <c r="M3950" s="82"/>
      <c r="N3950" s="82"/>
      <c r="O3950" s="82"/>
      <c r="P3950" s="82"/>
      <c r="Q3950" s="82"/>
      <c r="R3950" s="82"/>
      <c r="S3950" s="82"/>
      <c r="T3950" s="82"/>
      <c r="U3950" s="82"/>
      <c r="V3950" s="82"/>
      <c r="W3950" s="82"/>
      <c r="X3950" s="82"/>
      <c r="Y3950" s="82"/>
      <c r="Z3950" s="82"/>
      <c r="AA3950" s="82"/>
      <c r="AB3950" s="82"/>
      <c r="AC3950" s="82"/>
      <c r="AD3950" s="82"/>
      <c r="AE3950" s="82"/>
      <c r="AF3950" s="82"/>
      <c r="AG3950" s="82"/>
      <c r="AH3950" s="82"/>
      <c r="AI3950" s="82"/>
      <c r="AJ3950" s="82"/>
      <c r="AK3950" s="82"/>
      <c r="AL3950" s="82"/>
      <c r="AM3950" s="82"/>
      <c r="AN3950" s="82"/>
      <c r="AO3950" s="82"/>
      <c r="AP3950" s="82"/>
      <c r="AQ3950" s="82"/>
      <c r="AR3950" s="82"/>
      <c r="AS3950" s="82"/>
      <c r="AT3950" s="82"/>
      <c r="AU3950" s="82"/>
      <c r="AV3950" s="82"/>
      <c r="AW3950" s="82" t="str">
        <f t="shared" si="1"/>
        <v/>
      </c>
      <c r="AX3950" s="83" t="str">
        <f t="array" ref="AX3950">IFERROR(DGET('SBV Import'!A:G,"SBV",{"RSC ID","Tier";B3950,A3950}))</f>
        <v/>
      </c>
      <c r="AY3950" s="82" t="str">
        <f t="shared" si="2"/>
        <v/>
      </c>
      <c r="AZ3950" s="82"/>
      <c r="BA3950" s="84" t="s">
        <v>152</v>
      </c>
      <c r="BB3950" s="84" t="str">
        <f>IFERROR(__xludf.DUMMYFUNCTION("iferror(if(A3950="""",,E3950&gt;=FILTER(Constants!$F$2:$F$10,Constants!$A$2:$A$10=A3950)))"),"")</f>
        <v/>
      </c>
    </row>
    <row r="3951">
      <c r="A3951" s="89"/>
      <c r="B3951" s="87"/>
      <c r="C3951" s="73"/>
      <c r="D3951" s="73"/>
      <c r="E3951" s="82"/>
      <c r="F3951" s="82"/>
      <c r="G3951" s="86"/>
      <c r="H3951" s="86"/>
      <c r="I3951" s="86"/>
      <c r="J3951" s="82"/>
      <c r="K3951" s="82"/>
      <c r="L3951" s="82"/>
      <c r="M3951" s="82"/>
      <c r="N3951" s="82"/>
      <c r="O3951" s="82"/>
      <c r="P3951" s="82"/>
      <c r="Q3951" s="82"/>
      <c r="R3951" s="82"/>
      <c r="S3951" s="82"/>
      <c r="T3951" s="82"/>
      <c r="U3951" s="82"/>
      <c r="V3951" s="82"/>
      <c r="W3951" s="82"/>
      <c r="X3951" s="82"/>
      <c r="Y3951" s="82"/>
      <c r="Z3951" s="82"/>
      <c r="AA3951" s="82"/>
      <c r="AB3951" s="82"/>
      <c r="AC3951" s="82"/>
      <c r="AD3951" s="82"/>
      <c r="AE3951" s="82"/>
      <c r="AF3951" s="82"/>
      <c r="AG3951" s="82"/>
      <c r="AH3951" s="82"/>
      <c r="AI3951" s="82"/>
      <c r="AJ3951" s="82"/>
      <c r="AK3951" s="82"/>
      <c r="AL3951" s="82"/>
      <c r="AM3951" s="82"/>
      <c r="AN3951" s="82"/>
      <c r="AO3951" s="82"/>
      <c r="AP3951" s="82"/>
      <c r="AQ3951" s="82"/>
      <c r="AR3951" s="82"/>
      <c r="AS3951" s="82"/>
      <c r="AT3951" s="82"/>
      <c r="AU3951" s="82"/>
      <c r="AV3951" s="82"/>
      <c r="AW3951" s="82" t="str">
        <f t="shared" si="1"/>
        <v/>
      </c>
      <c r="AX3951" s="83" t="str">
        <f t="array" ref="AX3951">IFERROR(DGET('SBV Import'!A:G,"SBV",{"RSC ID","Tier";B3951,A3951}))</f>
        <v/>
      </c>
      <c r="AY3951" s="82" t="str">
        <f t="shared" si="2"/>
        <v/>
      </c>
      <c r="AZ3951" s="82"/>
      <c r="BA3951" s="84" t="s">
        <v>152</v>
      </c>
      <c r="BB3951" s="84" t="str">
        <f>IFERROR(__xludf.DUMMYFUNCTION("iferror(if(A3951="""",,E3951&gt;=FILTER(Constants!$F$2:$F$10,Constants!$A$2:$A$10=A3951)))"),"")</f>
        <v/>
      </c>
    </row>
    <row r="3952">
      <c r="A3952" s="89"/>
      <c r="B3952" s="87"/>
      <c r="C3952" s="73"/>
      <c r="D3952" s="73"/>
      <c r="E3952" s="82"/>
      <c r="F3952" s="82"/>
      <c r="G3952" s="86"/>
      <c r="H3952" s="86"/>
      <c r="I3952" s="86"/>
      <c r="J3952" s="82"/>
      <c r="K3952" s="82"/>
      <c r="L3952" s="82"/>
      <c r="M3952" s="82"/>
      <c r="N3952" s="82"/>
      <c r="O3952" s="82"/>
      <c r="P3952" s="82"/>
      <c r="Q3952" s="82"/>
      <c r="R3952" s="82"/>
      <c r="S3952" s="82"/>
      <c r="T3952" s="82"/>
      <c r="U3952" s="82"/>
      <c r="V3952" s="82"/>
      <c r="W3952" s="82"/>
      <c r="X3952" s="82"/>
      <c r="Y3952" s="82"/>
      <c r="Z3952" s="82"/>
      <c r="AA3952" s="82"/>
      <c r="AB3952" s="82"/>
      <c r="AC3952" s="82"/>
      <c r="AD3952" s="82"/>
      <c r="AE3952" s="82"/>
      <c r="AF3952" s="82"/>
      <c r="AG3952" s="82"/>
      <c r="AH3952" s="82"/>
      <c r="AI3952" s="82"/>
      <c r="AJ3952" s="82"/>
      <c r="AK3952" s="82"/>
      <c r="AL3952" s="82"/>
      <c r="AM3952" s="82"/>
      <c r="AN3952" s="82"/>
      <c r="AO3952" s="82"/>
      <c r="AP3952" s="82"/>
      <c r="AQ3952" s="82"/>
      <c r="AR3952" s="82"/>
      <c r="AS3952" s="82"/>
      <c r="AT3952" s="82"/>
      <c r="AU3952" s="82"/>
      <c r="AV3952" s="82"/>
      <c r="AW3952" s="82" t="str">
        <f t="shared" si="1"/>
        <v/>
      </c>
      <c r="AX3952" s="83" t="str">
        <f t="array" ref="AX3952">IFERROR(DGET('SBV Import'!A:G,"SBV",{"RSC ID","Tier";B3952,A3952}))</f>
        <v/>
      </c>
      <c r="AY3952" s="82" t="str">
        <f t="shared" si="2"/>
        <v/>
      </c>
      <c r="AZ3952" s="82"/>
      <c r="BA3952" s="84" t="s">
        <v>152</v>
      </c>
      <c r="BB3952" s="84" t="str">
        <f>IFERROR(__xludf.DUMMYFUNCTION("iferror(if(A3952="""",,E3952&gt;=FILTER(Constants!$F$2:$F$10,Constants!$A$2:$A$10=A3952)))"),"")</f>
        <v/>
      </c>
    </row>
    <row r="3953">
      <c r="A3953" s="89"/>
      <c r="B3953" s="87"/>
      <c r="C3953" s="73"/>
      <c r="D3953" s="73"/>
      <c r="E3953" s="82"/>
      <c r="F3953" s="82"/>
      <c r="G3953" s="86"/>
      <c r="H3953" s="86"/>
      <c r="I3953" s="86"/>
      <c r="J3953" s="82"/>
      <c r="K3953" s="82"/>
      <c r="L3953" s="82"/>
      <c r="M3953" s="82"/>
      <c r="N3953" s="82"/>
      <c r="O3953" s="82"/>
      <c r="P3953" s="82"/>
      <c r="Q3953" s="82"/>
      <c r="R3953" s="82"/>
      <c r="S3953" s="82"/>
      <c r="T3953" s="82"/>
      <c r="U3953" s="82"/>
      <c r="V3953" s="82"/>
      <c r="W3953" s="82"/>
      <c r="X3953" s="82"/>
      <c r="Y3953" s="82"/>
      <c r="Z3953" s="82"/>
      <c r="AA3953" s="82"/>
      <c r="AB3953" s="82"/>
      <c r="AC3953" s="82"/>
      <c r="AD3953" s="82"/>
      <c r="AE3953" s="82"/>
      <c r="AF3953" s="82"/>
      <c r="AG3953" s="82"/>
      <c r="AH3953" s="82"/>
      <c r="AI3953" s="82"/>
      <c r="AJ3953" s="82"/>
      <c r="AK3953" s="82"/>
      <c r="AL3953" s="82"/>
      <c r="AM3953" s="82"/>
      <c r="AN3953" s="82"/>
      <c r="AO3953" s="82"/>
      <c r="AP3953" s="82"/>
      <c r="AQ3953" s="82"/>
      <c r="AR3953" s="82"/>
      <c r="AS3953" s="82"/>
      <c r="AT3953" s="82"/>
      <c r="AU3953" s="82"/>
      <c r="AV3953" s="82"/>
      <c r="AW3953" s="82" t="str">
        <f t="shared" si="1"/>
        <v/>
      </c>
      <c r="AX3953" s="83" t="str">
        <f t="array" ref="AX3953">IFERROR(DGET('SBV Import'!A:G,"SBV",{"RSC ID","Tier";B3953,A3953}))</f>
        <v/>
      </c>
      <c r="AY3953" s="82" t="str">
        <f t="shared" si="2"/>
        <v/>
      </c>
      <c r="AZ3953" s="82"/>
      <c r="BA3953" s="84" t="s">
        <v>152</v>
      </c>
      <c r="BB3953" s="84" t="str">
        <f>IFERROR(__xludf.DUMMYFUNCTION("iferror(if(A3953="""",,E3953&gt;=FILTER(Constants!$F$2:$F$10,Constants!$A$2:$A$10=A3953)))"),"")</f>
        <v/>
      </c>
    </row>
    <row r="3954">
      <c r="A3954" s="89"/>
      <c r="B3954" s="87"/>
      <c r="C3954" s="73"/>
      <c r="D3954" s="73"/>
      <c r="E3954" s="82"/>
      <c r="F3954" s="82"/>
      <c r="G3954" s="86"/>
      <c r="H3954" s="86"/>
      <c r="I3954" s="86"/>
      <c r="J3954" s="82"/>
      <c r="K3954" s="82"/>
      <c r="L3954" s="82"/>
      <c r="M3954" s="82"/>
      <c r="N3954" s="82"/>
      <c r="O3954" s="82"/>
      <c r="P3954" s="82"/>
      <c r="Q3954" s="82"/>
      <c r="R3954" s="82"/>
      <c r="S3954" s="82"/>
      <c r="T3954" s="82"/>
      <c r="U3954" s="82"/>
      <c r="V3954" s="82"/>
      <c r="W3954" s="82"/>
      <c r="X3954" s="82"/>
      <c r="Y3954" s="82"/>
      <c r="Z3954" s="82"/>
      <c r="AA3954" s="82"/>
      <c r="AB3954" s="82"/>
      <c r="AC3954" s="82"/>
      <c r="AD3954" s="82"/>
      <c r="AE3954" s="82"/>
      <c r="AF3954" s="82"/>
      <c r="AG3954" s="82"/>
      <c r="AH3954" s="82"/>
      <c r="AI3954" s="82"/>
      <c r="AJ3954" s="82"/>
      <c r="AK3954" s="82"/>
      <c r="AL3954" s="82"/>
      <c r="AM3954" s="82"/>
      <c r="AN3954" s="82"/>
      <c r="AO3954" s="82"/>
      <c r="AP3954" s="82"/>
      <c r="AQ3954" s="82"/>
      <c r="AR3954" s="82"/>
      <c r="AS3954" s="82"/>
      <c r="AT3954" s="82"/>
      <c r="AU3954" s="82"/>
      <c r="AV3954" s="82"/>
      <c r="AW3954" s="82" t="str">
        <f t="shared" si="1"/>
        <v/>
      </c>
      <c r="AX3954" s="83" t="str">
        <f t="array" ref="AX3954">IFERROR(DGET('SBV Import'!A:G,"SBV",{"RSC ID","Tier";B3954,A3954}))</f>
        <v/>
      </c>
      <c r="AY3954" s="82" t="str">
        <f t="shared" si="2"/>
        <v/>
      </c>
      <c r="AZ3954" s="82"/>
      <c r="BA3954" s="84" t="s">
        <v>152</v>
      </c>
      <c r="BB3954" s="84" t="str">
        <f>IFERROR(__xludf.DUMMYFUNCTION("iferror(if(A3954="""",,E3954&gt;=FILTER(Constants!$F$2:$F$10,Constants!$A$2:$A$10=A3954)))"),"")</f>
        <v/>
      </c>
    </row>
    <row r="3955">
      <c r="A3955" s="89"/>
      <c r="B3955" s="87"/>
      <c r="C3955" s="73"/>
      <c r="D3955" s="73"/>
      <c r="E3955" s="82"/>
      <c r="F3955" s="82"/>
      <c r="G3955" s="86"/>
      <c r="H3955" s="86"/>
      <c r="I3955" s="86"/>
      <c r="J3955" s="82"/>
      <c r="K3955" s="82"/>
      <c r="L3955" s="82"/>
      <c r="M3955" s="82"/>
      <c r="N3955" s="82"/>
      <c r="O3955" s="82"/>
      <c r="P3955" s="82"/>
      <c r="Q3955" s="82"/>
      <c r="R3955" s="82"/>
      <c r="S3955" s="82"/>
      <c r="T3955" s="82"/>
      <c r="U3955" s="82"/>
      <c r="V3955" s="82"/>
      <c r="W3955" s="82"/>
      <c r="X3955" s="82"/>
      <c r="Y3955" s="82"/>
      <c r="Z3955" s="82"/>
      <c r="AA3955" s="82"/>
      <c r="AB3955" s="82"/>
      <c r="AC3955" s="82"/>
      <c r="AD3955" s="82"/>
      <c r="AE3955" s="82"/>
      <c r="AF3955" s="82"/>
      <c r="AG3955" s="82"/>
      <c r="AH3955" s="82"/>
      <c r="AI3955" s="82"/>
      <c r="AJ3955" s="82"/>
      <c r="AK3955" s="82"/>
      <c r="AL3955" s="82"/>
      <c r="AM3955" s="82"/>
      <c r="AN3955" s="82"/>
      <c r="AO3955" s="82"/>
      <c r="AP3955" s="82"/>
      <c r="AQ3955" s="82"/>
      <c r="AR3955" s="82"/>
      <c r="AS3955" s="82"/>
      <c r="AT3955" s="82"/>
      <c r="AU3955" s="82"/>
      <c r="AV3955" s="82"/>
      <c r="AW3955" s="82" t="str">
        <f t="shared" si="1"/>
        <v/>
      </c>
      <c r="AX3955" s="83" t="str">
        <f t="array" ref="AX3955">IFERROR(DGET('SBV Import'!A:G,"SBV",{"RSC ID","Tier";B3955,A3955}))</f>
        <v/>
      </c>
      <c r="AY3955" s="82" t="str">
        <f t="shared" si="2"/>
        <v/>
      </c>
      <c r="AZ3955" s="82"/>
      <c r="BA3955" s="84" t="s">
        <v>152</v>
      </c>
      <c r="BB3955" s="84" t="str">
        <f>IFERROR(__xludf.DUMMYFUNCTION("iferror(if(A3955="""",,E3955&gt;=FILTER(Constants!$F$2:$F$10,Constants!$A$2:$A$10=A3955)))"),"")</f>
        <v/>
      </c>
    </row>
    <row r="3956">
      <c r="A3956" s="89"/>
      <c r="B3956" s="87"/>
      <c r="C3956" s="73"/>
      <c r="D3956" s="73"/>
      <c r="E3956" s="82"/>
      <c r="F3956" s="82"/>
      <c r="G3956" s="86"/>
      <c r="H3956" s="86"/>
      <c r="I3956" s="86"/>
      <c r="J3956" s="82"/>
      <c r="K3956" s="82"/>
      <c r="L3956" s="82"/>
      <c r="M3956" s="82"/>
      <c r="N3956" s="82"/>
      <c r="O3956" s="82"/>
      <c r="P3956" s="82"/>
      <c r="Q3956" s="82"/>
      <c r="R3956" s="82"/>
      <c r="S3956" s="82"/>
      <c r="T3956" s="82"/>
      <c r="U3956" s="82"/>
      <c r="V3956" s="82"/>
      <c r="W3956" s="82"/>
      <c r="X3956" s="82"/>
      <c r="Y3956" s="82"/>
      <c r="Z3956" s="82"/>
      <c r="AA3956" s="82"/>
      <c r="AB3956" s="82"/>
      <c r="AC3956" s="82"/>
      <c r="AD3956" s="82"/>
      <c r="AE3956" s="82"/>
      <c r="AF3956" s="82"/>
      <c r="AG3956" s="82"/>
      <c r="AH3956" s="82"/>
      <c r="AI3956" s="82"/>
      <c r="AJ3956" s="82"/>
      <c r="AK3956" s="82"/>
      <c r="AL3956" s="82"/>
      <c r="AM3956" s="82"/>
      <c r="AN3956" s="82"/>
      <c r="AO3956" s="82"/>
      <c r="AP3956" s="82"/>
      <c r="AQ3956" s="82"/>
      <c r="AR3956" s="82"/>
      <c r="AS3956" s="82"/>
      <c r="AT3956" s="82"/>
      <c r="AU3956" s="82"/>
      <c r="AV3956" s="82"/>
      <c r="AW3956" s="82" t="str">
        <f t="shared" si="1"/>
        <v/>
      </c>
      <c r="AX3956" s="83" t="str">
        <f t="array" ref="AX3956">IFERROR(DGET('SBV Import'!A:G,"SBV",{"RSC ID","Tier";B3956,A3956}))</f>
        <v/>
      </c>
      <c r="AY3956" s="82" t="str">
        <f t="shared" si="2"/>
        <v/>
      </c>
      <c r="AZ3956" s="82"/>
      <c r="BA3956" s="84" t="s">
        <v>152</v>
      </c>
      <c r="BB3956" s="84" t="str">
        <f>IFERROR(__xludf.DUMMYFUNCTION("iferror(if(A3956="""",,E3956&gt;=FILTER(Constants!$F$2:$F$10,Constants!$A$2:$A$10=A3956)))"),"")</f>
        <v/>
      </c>
    </row>
    <row r="3957">
      <c r="A3957" s="89"/>
      <c r="B3957" s="87"/>
      <c r="C3957" s="73"/>
      <c r="D3957" s="73"/>
      <c r="E3957" s="82"/>
      <c r="F3957" s="82"/>
      <c r="G3957" s="86"/>
      <c r="H3957" s="86"/>
      <c r="I3957" s="86"/>
      <c r="J3957" s="82"/>
      <c r="K3957" s="82"/>
      <c r="L3957" s="82"/>
      <c r="M3957" s="82"/>
      <c r="N3957" s="82"/>
      <c r="O3957" s="82"/>
      <c r="P3957" s="82"/>
      <c r="Q3957" s="82"/>
      <c r="R3957" s="82"/>
      <c r="S3957" s="82"/>
      <c r="T3957" s="82"/>
      <c r="U3957" s="82"/>
      <c r="V3957" s="82"/>
      <c r="W3957" s="82"/>
      <c r="X3957" s="82"/>
      <c r="Y3957" s="82"/>
      <c r="Z3957" s="82"/>
      <c r="AA3957" s="82"/>
      <c r="AB3957" s="82"/>
      <c r="AC3957" s="82"/>
      <c r="AD3957" s="82"/>
      <c r="AE3957" s="82"/>
      <c r="AF3957" s="82"/>
      <c r="AG3957" s="82"/>
      <c r="AH3957" s="82"/>
      <c r="AI3957" s="82"/>
      <c r="AJ3957" s="82"/>
      <c r="AK3957" s="82"/>
      <c r="AL3957" s="82"/>
      <c r="AM3957" s="82"/>
      <c r="AN3957" s="82"/>
      <c r="AO3957" s="82"/>
      <c r="AP3957" s="82"/>
      <c r="AQ3957" s="82"/>
      <c r="AR3957" s="82"/>
      <c r="AS3957" s="82"/>
      <c r="AT3957" s="82"/>
      <c r="AU3957" s="82"/>
      <c r="AV3957" s="82"/>
      <c r="AW3957" s="82" t="str">
        <f t="shared" si="1"/>
        <v/>
      </c>
      <c r="AX3957" s="83" t="str">
        <f t="array" ref="AX3957">IFERROR(DGET('SBV Import'!A:G,"SBV",{"RSC ID","Tier";B3957,A3957}))</f>
        <v/>
      </c>
      <c r="AY3957" s="82" t="str">
        <f t="shared" si="2"/>
        <v/>
      </c>
      <c r="AZ3957" s="82"/>
      <c r="BA3957" s="84" t="s">
        <v>152</v>
      </c>
      <c r="BB3957" s="84" t="str">
        <f>IFERROR(__xludf.DUMMYFUNCTION("iferror(if(A3957="""",,E3957&gt;=FILTER(Constants!$F$2:$F$10,Constants!$A$2:$A$10=A3957)))"),"")</f>
        <v/>
      </c>
    </row>
    <row r="3958">
      <c r="A3958" s="89"/>
      <c r="B3958" s="87"/>
      <c r="C3958" s="73"/>
      <c r="D3958" s="73"/>
      <c r="E3958" s="82"/>
      <c r="F3958" s="82"/>
      <c r="G3958" s="86"/>
      <c r="H3958" s="86"/>
      <c r="I3958" s="86"/>
      <c r="J3958" s="82"/>
      <c r="K3958" s="82"/>
      <c r="L3958" s="82"/>
      <c r="M3958" s="82"/>
      <c r="N3958" s="82"/>
      <c r="O3958" s="82"/>
      <c r="P3958" s="82"/>
      <c r="Q3958" s="82"/>
      <c r="R3958" s="82"/>
      <c r="S3958" s="82"/>
      <c r="T3958" s="82"/>
      <c r="U3958" s="82"/>
      <c r="V3958" s="82"/>
      <c r="W3958" s="82"/>
      <c r="X3958" s="82"/>
      <c r="Y3958" s="82"/>
      <c r="Z3958" s="82"/>
      <c r="AA3958" s="82"/>
      <c r="AB3958" s="82"/>
      <c r="AC3958" s="82"/>
      <c r="AD3958" s="82"/>
      <c r="AE3958" s="82"/>
      <c r="AF3958" s="82"/>
      <c r="AG3958" s="82"/>
      <c r="AH3958" s="82"/>
      <c r="AI3958" s="82"/>
      <c r="AJ3958" s="82"/>
      <c r="AK3958" s="82"/>
      <c r="AL3958" s="82"/>
      <c r="AM3958" s="82"/>
      <c r="AN3958" s="82"/>
      <c r="AO3958" s="82"/>
      <c r="AP3958" s="82"/>
      <c r="AQ3958" s="82"/>
      <c r="AR3958" s="82"/>
      <c r="AS3958" s="82"/>
      <c r="AT3958" s="82"/>
      <c r="AU3958" s="82"/>
      <c r="AV3958" s="82"/>
      <c r="AW3958" s="82" t="str">
        <f t="shared" si="1"/>
        <v/>
      </c>
      <c r="AX3958" s="83" t="str">
        <f t="array" ref="AX3958">IFERROR(DGET('SBV Import'!A:G,"SBV",{"RSC ID","Tier";B3958,A3958}))</f>
        <v/>
      </c>
      <c r="AY3958" s="82" t="str">
        <f t="shared" si="2"/>
        <v/>
      </c>
      <c r="AZ3958" s="82"/>
      <c r="BA3958" s="84" t="s">
        <v>152</v>
      </c>
      <c r="BB3958" s="84" t="str">
        <f>IFERROR(__xludf.DUMMYFUNCTION("iferror(if(A3958="""",,E3958&gt;=FILTER(Constants!$F$2:$F$10,Constants!$A$2:$A$10=A3958)))"),"")</f>
        <v/>
      </c>
    </row>
    <row r="3959">
      <c r="A3959" s="89"/>
      <c r="B3959" s="87"/>
      <c r="C3959" s="73"/>
      <c r="D3959" s="73"/>
      <c r="E3959" s="82"/>
      <c r="F3959" s="82"/>
      <c r="G3959" s="86"/>
      <c r="H3959" s="86"/>
      <c r="I3959" s="86"/>
      <c r="J3959" s="82"/>
      <c r="K3959" s="82"/>
      <c r="L3959" s="82"/>
      <c r="M3959" s="82"/>
      <c r="N3959" s="82"/>
      <c r="O3959" s="82"/>
      <c r="P3959" s="82"/>
      <c r="Q3959" s="82"/>
      <c r="R3959" s="82"/>
      <c r="S3959" s="82"/>
      <c r="T3959" s="82"/>
      <c r="U3959" s="82"/>
      <c r="V3959" s="82"/>
      <c r="W3959" s="82"/>
      <c r="X3959" s="82"/>
      <c r="Y3959" s="82"/>
      <c r="Z3959" s="82"/>
      <c r="AA3959" s="82"/>
      <c r="AB3959" s="82"/>
      <c r="AC3959" s="82"/>
      <c r="AD3959" s="82"/>
      <c r="AE3959" s="82"/>
      <c r="AF3959" s="82"/>
      <c r="AG3959" s="82"/>
      <c r="AH3959" s="82"/>
      <c r="AI3959" s="82"/>
      <c r="AJ3959" s="82"/>
      <c r="AK3959" s="82"/>
      <c r="AL3959" s="82"/>
      <c r="AM3959" s="82"/>
      <c r="AN3959" s="82"/>
      <c r="AO3959" s="82"/>
      <c r="AP3959" s="82"/>
      <c r="AQ3959" s="82"/>
      <c r="AR3959" s="82"/>
      <c r="AS3959" s="82"/>
      <c r="AT3959" s="82"/>
      <c r="AU3959" s="82"/>
      <c r="AV3959" s="82"/>
      <c r="AW3959" s="82" t="str">
        <f t="shared" si="1"/>
        <v/>
      </c>
      <c r="AX3959" s="83" t="str">
        <f t="array" ref="AX3959">IFERROR(DGET('SBV Import'!A:G,"SBV",{"RSC ID","Tier";B3959,A3959}))</f>
        <v/>
      </c>
      <c r="AY3959" s="82" t="str">
        <f t="shared" si="2"/>
        <v/>
      </c>
      <c r="AZ3959" s="82"/>
      <c r="BA3959" s="84" t="s">
        <v>152</v>
      </c>
      <c r="BB3959" s="84" t="str">
        <f>IFERROR(__xludf.DUMMYFUNCTION("iferror(if(A3959="""",,E3959&gt;=FILTER(Constants!$F$2:$F$10,Constants!$A$2:$A$10=A3959)))"),"")</f>
        <v/>
      </c>
    </row>
    <row r="3960">
      <c r="A3960" s="89"/>
      <c r="B3960" s="87"/>
      <c r="C3960" s="73"/>
      <c r="D3960" s="73"/>
      <c r="E3960" s="82"/>
      <c r="F3960" s="82"/>
      <c r="G3960" s="86"/>
      <c r="H3960" s="86"/>
      <c r="I3960" s="86"/>
      <c r="J3960" s="82"/>
      <c r="K3960" s="82"/>
      <c r="L3960" s="82"/>
      <c r="M3960" s="82"/>
      <c r="N3960" s="82"/>
      <c r="O3960" s="82"/>
      <c r="P3960" s="82"/>
      <c r="Q3960" s="82"/>
      <c r="R3960" s="82"/>
      <c r="S3960" s="82"/>
      <c r="T3960" s="82"/>
      <c r="U3960" s="82"/>
      <c r="V3960" s="82"/>
      <c r="W3960" s="82"/>
      <c r="X3960" s="82"/>
      <c r="Y3960" s="82"/>
      <c r="Z3960" s="82"/>
      <c r="AA3960" s="82"/>
      <c r="AB3960" s="82"/>
      <c r="AC3960" s="82"/>
      <c r="AD3960" s="82"/>
      <c r="AE3960" s="82"/>
      <c r="AF3960" s="82"/>
      <c r="AG3960" s="82"/>
      <c r="AH3960" s="82"/>
      <c r="AI3960" s="82"/>
      <c r="AJ3960" s="82"/>
      <c r="AK3960" s="82"/>
      <c r="AL3960" s="82"/>
      <c r="AM3960" s="82"/>
      <c r="AN3960" s="82"/>
      <c r="AO3960" s="82"/>
      <c r="AP3960" s="82"/>
      <c r="AQ3960" s="82"/>
      <c r="AR3960" s="82"/>
      <c r="AS3960" s="82"/>
      <c r="AT3960" s="82"/>
      <c r="AU3960" s="82"/>
      <c r="AV3960" s="82"/>
      <c r="AW3960" s="82" t="str">
        <f t="shared" si="1"/>
        <v/>
      </c>
      <c r="AX3960" s="83" t="str">
        <f t="array" ref="AX3960">IFERROR(DGET('SBV Import'!A:G,"SBV",{"RSC ID","Tier";B3960,A3960}))</f>
        <v/>
      </c>
      <c r="AY3960" s="82" t="str">
        <f t="shared" si="2"/>
        <v/>
      </c>
      <c r="AZ3960" s="82"/>
      <c r="BA3960" s="84" t="s">
        <v>152</v>
      </c>
      <c r="BB3960" s="84" t="str">
        <f>IFERROR(__xludf.DUMMYFUNCTION("iferror(if(A3960="""",,E3960&gt;=FILTER(Constants!$F$2:$F$10,Constants!$A$2:$A$10=A3960)))"),"")</f>
        <v/>
      </c>
    </row>
    <row r="3961">
      <c r="A3961" s="89"/>
      <c r="B3961" s="87"/>
      <c r="C3961" s="73"/>
      <c r="D3961" s="73"/>
      <c r="E3961" s="82"/>
      <c r="F3961" s="82"/>
      <c r="G3961" s="86"/>
      <c r="H3961" s="86"/>
      <c r="I3961" s="86"/>
      <c r="J3961" s="82"/>
      <c r="K3961" s="82"/>
      <c r="L3961" s="82"/>
      <c r="M3961" s="82"/>
      <c r="N3961" s="82"/>
      <c r="O3961" s="82"/>
      <c r="P3961" s="82"/>
      <c r="Q3961" s="82"/>
      <c r="R3961" s="82"/>
      <c r="S3961" s="82"/>
      <c r="T3961" s="82"/>
      <c r="U3961" s="82"/>
      <c r="V3961" s="82"/>
      <c r="W3961" s="82"/>
      <c r="X3961" s="82"/>
      <c r="Y3961" s="82"/>
      <c r="Z3961" s="82"/>
      <c r="AA3961" s="82"/>
      <c r="AB3961" s="82"/>
      <c r="AC3961" s="82"/>
      <c r="AD3961" s="82"/>
      <c r="AE3961" s="82"/>
      <c r="AF3961" s="82"/>
      <c r="AG3961" s="82"/>
      <c r="AH3961" s="82"/>
      <c r="AI3961" s="82"/>
      <c r="AJ3961" s="82"/>
      <c r="AK3961" s="82"/>
      <c r="AL3961" s="82"/>
      <c r="AM3961" s="82"/>
      <c r="AN3961" s="82"/>
      <c r="AO3961" s="82"/>
      <c r="AP3961" s="82"/>
      <c r="AQ3961" s="82"/>
      <c r="AR3961" s="82"/>
      <c r="AS3961" s="82"/>
      <c r="AT3961" s="82"/>
      <c r="AU3961" s="82"/>
      <c r="AV3961" s="82"/>
      <c r="AW3961" s="82" t="str">
        <f t="shared" si="1"/>
        <v/>
      </c>
      <c r="AX3961" s="83" t="str">
        <f t="array" ref="AX3961">IFERROR(DGET('SBV Import'!A:G,"SBV",{"RSC ID","Tier";B3961,A3961}))</f>
        <v/>
      </c>
      <c r="AY3961" s="82" t="str">
        <f t="shared" si="2"/>
        <v/>
      </c>
      <c r="AZ3961" s="82"/>
      <c r="BA3961" s="84" t="s">
        <v>152</v>
      </c>
      <c r="BB3961" s="84" t="str">
        <f>IFERROR(__xludf.DUMMYFUNCTION("iferror(if(A3961="""",,E3961&gt;=FILTER(Constants!$F$2:$F$10,Constants!$A$2:$A$10=A3961)))"),"")</f>
        <v/>
      </c>
    </row>
    <row r="3962">
      <c r="A3962" s="89"/>
      <c r="B3962" s="87"/>
      <c r="C3962" s="73"/>
      <c r="D3962" s="73"/>
      <c r="E3962" s="82"/>
      <c r="F3962" s="82"/>
      <c r="G3962" s="86"/>
      <c r="H3962" s="86"/>
      <c r="I3962" s="86"/>
      <c r="J3962" s="82"/>
      <c r="K3962" s="82"/>
      <c r="L3962" s="82"/>
      <c r="M3962" s="82"/>
      <c r="N3962" s="82"/>
      <c r="O3962" s="82"/>
      <c r="P3962" s="82"/>
      <c r="Q3962" s="82"/>
      <c r="R3962" s="82"/>
      <c r="S3962" s="82"/>
      <c r="T3962" s="82"/>
      <c r="U3962" s="82"/>
      <c r="V3962" s="82"/>
      <c r="W3962" s="82"/>
      <c r="X3962" s="82"/>
      <c r="Y3962" s="82"/>
      <c r="Z3962" s="82"/>
      <c r="AA3962" s="82"/>
      <c r="AB3962" s="82"/>
      <c r="AC3962" s="82"/>
      <c r="AD3962" s="82"/>
      <c r="AE3962" s="82"/>
      <c r="AF3962" s="82"/>
      <c r="AG3962" s="82"/>
      <c r="AH3962" s="82"/>
      <c r="AI3962" s="82"/>
      <c r="AJ3962" s="82"/>
      <c r="AK3962" s="82"/>
      <c r="AL3962" s="82"/>
      <c r="AM3962" s="82"/>
      <c r="AN3962" s="82"/>
      <c r="AO3962" s="82"/>
      <c r="AP3962" s="82"/>
      <c r="AQ3962" s="82"/>
      <c r="AR3962" s="82"/>
      <c r="AS3962" s="82"/>
      <c r="AT3962" s="82"/>
      <c r="AU3962" s="82"/>
      <c r="AV3962" s="82"/>
      <c r="AW3962" s="82" t="str">
        <f t="shared" si="1"/>
        <v/>
      </c>
      <c r="AX3962" s="83" t="str">
        <f t="array" ref="AX3962">IFERROR(DGET('SBV Import'!A:G,"SBV",{"RSC ID","Tier";B3962,A3962}))</f>
        <v/>
      </c>
      <c r="AY3962" s="82" t="str">
        <f t="shared" si="2"/>
        <v/>
      </c>
      <c r="AZ3962" s="82"/>
      <c r="BA3962" s="84" t="s">
        <v>152</v>
      </c>
      <c r="BB3962" s="84" t="str">
        <f>IFERROR(__xludf.DUMMYFUNCTION("iferror(if(A3962="""",,E3962&gt;=FILTER(Constants!$F$2:$F$10,Constants!$A$2:$A$10=A3962)))"),"")</f>
        <v/>
      </c>
    </row>
    <row r="3963">
      <c r="A3963" s="89"/>
      <c r="B3963" s="87"/>
      <c r="C3963" s="73"/>
      <c r="D3963" s="73"/>
      <c r="E3963" s="82"/>
      <c r="F3963" s="82"/>
      <c r="G3963" s="86"/>
      <c r="H3963" s="86"/>
      <c r="I3963" s="86"/>
      <c r="J3963" s="82"/>
      <c r="K3963" s="82"/>
      <c r="L3963" s="82"/>
      <c r="M3963" s="82"/>
      <c r="N3963" s="82"/>
      <c r="O3963" s="82"/>
      <c r="P3963" s="82"/>
      <c r="Q3963" s="82"/>
      <c r="R3963" s="82"/>
      <c r="S3963" s="82"/>
      <c r="T3963" s="82"/>
      <c r="U3963" s="82"/>
      <c r="V3963" s="82"/>
      <c r="W3963" s="82"/>
      <c r="X3963" s="82"/>
      <c r="Y3963" s="82"/>
      <c r="Z3963" s="82"/>
      <c r="AA3963" s="82"/>
      <c r="AB3963" s="82"/>
      <c r="AC3963" s="82"/>
      <c r="AD3963" s="82"/>
      <c r="AE3963" s="82"/>
      <c r="AF3963" s="82"/>
      <c r="AG3963" s="82"/>
      <c r="AH3963" s="82"/>
      <c r="AI3963" s="82"/>
      <c r="AJ3963" s="82"/>
      <c r="AK3963" s="82"/>
      <c r="AL3963" s="82"/>
      <c r="AM3963" s="82"/>
      <c r="AN3963" s="82"/>
      <c r="AO3963" s="82"/>
      <c r="AP3963" s="82"/>
      <c r="AQ3963" s="82"/>
      <c r="AR3963" s="82"/>
      <c r="AS3963" s="82"/>
      <c r="AT3963" s="82"/>
      <c r="AU3963" s="82"/>
      <c r="AV3963" s="82"/>
      <c r="AW3963" s="82" t="str">
        <f t="shared" si="1"/>
        <v/>
      </c>
      <c r="AX3963" s="83" t="str">
        <f t="array" ref="AX3963">IFERROR(DGET('SBV Import'!A:G,"SBV",{"RSC ID","Tier";B3963,A3963}))</f>
        <v/>
      </c>
      <c r="AY3963" s="82" t="str">
        <f t="shared" si="2"/>
        <v/>
      </c>
      <c r="AZ3963" s="82"/>
      <c r="BA3963" s="84" t="s">
        <v>152</v>
      </c>
      <c r="BB3963" s="84" t="str">
        <f>IFERROR(__xludf.DUMMYFUNCTION("iferror(if(A3963="""",,E3963&gt;=FILTER(Constants!$F$2:$F$10,Constants!$A$2:$A$10=A3963)))"),"")</f>
        <v/>
      </c>
    </row>
    <row r="3964">
      <c r="A3964" s="89"/>
      <c r="B3964" s="87"/>
      <c r="C3964" s="73"/>
      <c r="D3964" s="73"/>
      <c r="E3964" s="82"/>
      <c r="F3964" s="82"/>
      <c r="G3964" s="86"/>
      <c r="H3964" s="86"/>
      <c r="I3964" s="86"/>
      <c r="J3964" s="82"/>
      <c r="K3964" s="82"/>
      <c r="L3964" s="82"/>
      <c r="M3964" s="82"/>
      <c r="N3964" s="82"/>
      <c r="O3964" s="82"/>
      <c r="P3964" s="82"/>
      <c r="Q3964" s="82"/>
      <c r="R3964" s="82"/>
      <c r="S3964" s="82"/>
      <c r="T3964" s="82"/>
      <c r="U3964" s="82"/>
      <c r="V3964" s="82"/>
      <c r="W3964" s="82"/>
      <c r="X3964" s="82"/>
      <c r="Y3964" s="82"/>
      <c r="Z3964" s="82"/>
      <c r="AA3964" s="82"/>
      <c r="AB3964" s="82"/>
      <c r="AC3964" s="82"/>
      <c r="AD3964" s="82"/>
      <c r="AE3964" s="82"/>
      <c r="AF3964" s="82"/>
      <c r="AG3964" s="82"/>
      <c r="AH3964" s="82"/>
      <c r="AI3964" s="82"/>
      <c r="AJ3964" s="82"/>
      <c r="AK3964" s="82"/>
      <c r="AL3964" s="82"/>
      <c r="AM3964" s="82"/>
      <c r="AN3964" s="82"/>
      <c r="AO3964" s="82"/>
      <c r="AP3964" s="82"/>
      <c r="AQ3964" s="82"/>
      <c r="AR3964" s="82"/>
      <c r="AS3964" s="82"/>
      <c r="AT3964" s="82"/>
      <c r="AU3964" s="82"/>
      <c r="AV3964" s="82"/>
      <c r="AW3964" s="82" t="str">
        <f t="shared" si="1"/>
        <v/>
      </c>
      <c r="AX3964" s="83" t="str">
        <f t="array" ref="AX3964">IFERROR(DGET('SBV Import'!A:G,"SBV",{"RSC ID","Tier";B3964,A3964}))</f>
        <v/>
      </c>
      <c r="AY3964" s="82" t="str">
        <f t="shared" si="2"/>
        <v/>
      </c>
      <c r="AZ3964" s="82"/>
      <c r="BA3964" s="84" t="s">
        <v>152</v>
      </c>
      <c r="BB3964" s="84" t="str">
        <f>IFERROR(__xludf.DUMMYFUNCTION("iferror(if(A3964="""",,E3964&gt;=FILTER(Constants!$F$2:$F$10,Constants!$A$2:$A$10=A3964)))"),"")</f>
        <v/>
      </c>
    </row>
    <row r="3965">
      <c r="A3965" s="89"/>
      <c r="B3965" s="87"/>
      <c r="C3965" s="73"/>
      <c r="D3965" s="73"/>
      <c r="E3965" s="82"/>
      <c r="F3965" s="82"/>
      <c r="G3965" s="86"/>
      <c r="H3965" s="86"/>
      <c r="I3965" s="86"/>
      <c r="J3965" s="82"/>
      <c r="K3965" s="82"/>
      <c r="L3965" s="82"/>
      <c r="M3965" s="82"/>
      <c r="N3965" s="82"/>
      <c r="O3965" s="82"/>
      <c r="P3965" s="82"/>
      <c r="Q3965" s="82"/>
      <c r="R3965" s="82"/>
      <c r="S3965" s="82"/>
      <c r="T3965" s="82"/>
      <c r="U3965" s="82"/>
      <c r="V3965" s="82"/>
      <c r="W3965" s="82"/>
      <c r="X3965" s="82"/>
      <c r="Y3965" s="82"/>
      <c r="Z3965" s="82"/>
      <c r="AA3965" s="82"/>
      <c r="AB3965" s="82"/>
      <c r="AC3965" s="82"/>
      <c r="AD3965" s="82"/>
      <c r="AE3965" s="82"/>
      <c r="AF3965" s="82"/>
      <c r="AG3965" s="82"/>
      <c r="AH3965" s="82"/>
      <c r="AI3965" s="82"/>
      <c r="AJ3965" s="82"/>
      <c r="AK3965" s="82"/>
      <c r="AL3965" s="82"/>
      <c r="AM3965" s="82"/>
      <c r="AN3965" s="82"/>
      <c r="AO3965" s="82"/>
      <c r="AP3965" s="82"/>
      <c r="AQ3965" s="82"/>
      <c r="AR3965" s="82"/>
      <c r="AS3965" s="82"/>
      <c r="AT3965" s="82"/>
      <c r="AU3965" s="82"/>
      <c r="AV3965" s="82"/>
      <c r="AW3965" s="82" t="str">
        <f t="shared" si="1"/>
        <v/>
      </c>
      <c r="AX3965" s="83" t="str">
        <f t="array" ref="AX3965">IFERROR(DGET('SBV Import'!A:G,"SBV",{"RSC ID","Tier";B3965,A3965}))</f>
        <v/>
      </c>
      <c r="AY3965" s="82" t="str">
        <f t="shared" si="2"/>
        <v/>
      </c>
      <c r="AZ3965" s="82"/>
      <c r="BA3965" s="84" t="s">
        <v>152</v>
      </c>
      <c r="BB3965" s="84" t="str">
        <f>IFERROR(__xludf.DUMMYFUNCTION("iferror(if(A3965="""",,E3965&gt;=FILTER(Constants!$F$2:$F$10,Constants!$A$2:$A$10=A3965)))"),"")</f>
        <v/>
      </c>
    </row>
    <row r="3966">
      <c r="A3966" s="89"/>
      <c r="B3966" s="87"/>
      <c r="C3966" s="73"/>
      <c r="D3966" s="73"/>
      <c r="E3966" s="82"/>
      <c r="F3966" s="82"/>
      <c r="G3966" s="86"/>
      <c r="H3966" s="86"/>
      <c r="I3966" s="86"/>
      <c r="J3966" s="82"/>
      <c r="K3966" s="82"/>
      <c r="L3966" s="82"/>
      <c r="M3966" s="82"/>
      <c r="N3966" s="82"/>
      <c r="O3966" s="82"/>
      <c r="P3966" s="82"/>
      <c r="Q3966" s="82"/>
      <c r="R3966" s="82"/>
      <c r="S3966" s="82"/>
      <c r="T3966" s="82"/>
      <c r="U3966" s="82"/>
      <c r="V3966" s="82"/>
      <c r="W3966" s="82"/>
      <c r="X3966" s="82"/>
      <c r="Y3966" s="82"/>
      <c r="Z3966" s="82"/>
      <c r="AA3966" s="82"/>
      <c r="AB3966" s="82"/>
      <c r="AC3966" s="82"/>
      <c r="AD3966" s="82"/>
      <c r="AE3966" s="82"/>
      <c r="AF3966" s="82"/>
      <c r="AG3966" s="82"/>
      <c r="AH3966" s="82"/>
      <c r="AI3966" s="82"/>
      <c r="AJ3966" s="82"/>
      <c r="AK3966" s="82"/>
      <c r="AL3966" s="82"/>
      <c r="AM3966" s="82"/>
      <c r="AN3966" s="82"/>
      <c r="AO3966" s="82"/>
      <c r="AP3966" s="82"/>
      <c r="AQ3966" s="82"/>
      <c r="AR3966" s="82"/>
      <c r="AS3966" s="82"/>
      <c r="AT3966" s="82"/>
      <c r="AU3966" s="82"/>
      <c r="AV3966" s="82"/>
      <c r="AW3966" s="82" t="str">
        <f t="shared" si="1"/>
        <v/>
      </c>
      <c r="AX3966" s="83" t="str">
        <f t="array" ref="AX3966">IFERROR(DGET('SBV Import'!A:G,"SBV",{"RSC ID","Tier";B3966,A3966}))</f>
        <v/>
      </c>
      <c r="AY3966" s="82" t="str">
        <f t="shared" si="2"/>
        <v/>
      </c>
      <c r="AZ3966" s="82"/>
      <c r="BA3966" s="84" t="s">
        <v>152</v>
      </c>
      <c r="BB3966" s="84" t="str">
        <f>IFERROR(__xludf.DUMMYFUNCTION("iferror(if(A3966="""",,E3966&gt;=FILTER(Constants!$F$2:$F$10,Constants!$A$2:$A$10=A3966)))"),"")</f>
        <v/>
      </c>
    </row>
    <row r="3967">
      <c r="A3967" s="89"/>
      <c r="B3967" s="87"/>
      <c r="C3967" s="73"/>
      <c r="D3967" s="73"/>
      <c r="E3967" s="82"/>
      <c r="F3967" s="82"/>
      <c r="G3967" s="86"/>
      <c r="H3967" s="86"/>
      <c r="I3967" s="86"/>
      <c r="J3967" s="82"/>
      <c r="K3967" s="82"/>
      <c r="L3967" s="82"/>
      <c r="M3967" s="82"/>
      <c r="N3967" s="82"/>
      <c r="O3967" s="82"/>
      <c r="P3967" s="82"/>
      <c r="Q3967" s="82"/>
      <c r="R3967" s="82"/>
      <c r="S3967" s="82"/>
      <c r="T3967" s="82"/>
      <c r="U3967" s="82"/>
      <c r="V3967" s="82"/>
      <c r="W3967" s="82"/>
      <c r="X3967" s="82"/>
      <c r="Y3967" s="82"/>
      <c r="Z3967" s="82"/>
      <c r="AA3967" s="82"/>
      <c r="AB3967" s="82"/>
      <c r="AC3967" s="82"/>
      <c r="AD3967" s="82"/>
      <c r="AE3967" s="82"/>
      <c r="AF3967" s="82"/>
      <c r="AG3967" s="82"/>
      <c r="AH3967" s="82"/>
      <c r="AI3967" s="82"/>
      <c r="AJ3967" s="82"/>
      <c r="AK3967" s="82"/>
      <c r="AL3967" s="82"/>
      <c r="AM3967" s="82"/>
      <c r="AN3967" s="82"/>
      <c r="AO3967" s="82"/>
      <c r="AP3967" s="82"/>
      <c r="AQ3967" s="82"/>
      <c r="AR3967" s="82"/>
      <c r="AS3967" s="82"/>
      <c r="AT3967" s="82"/>
      <c r="AU3967" s="82"/>
      <c r="AV3967" s="82"/>
      <c r="AW3967" s="82" t="str">
        <f t="shared" si="1"/>
        <v/>
      </c>
      <c r="AX3967" s="83" t="str">
        <f t="array" ref="AX3967">IFERROR(DGET('SBV Import'!A:G,"SBV",{"RSC ID","Tier";B3967,A3967}))</f>
        <v/>
      </c>
      <c r="AY3967" s="82" t="str">
        <f t="shared" si="2"/>
        <v/>
      </c>
      <c r="AZ3967" s="82"/>
      <c r="BA3967" s="84" t="s">
        <v>152</v>
      </c>
      <c r="BB3967" s="84" t="str">
        <f>IFERROR(__xludf.DUMMYFUNCTION("iferror(if(A3967="""",,E3967&gt;=FILTER(Constants!$F$2:$F$10,Constants!$A$2:$A$10=A3967)))"),"")</f>
        <v/>
      </c>
    </row>
    <row r="3968">
      <c r="A3968" s="89"/>
      <c r="B3968" s="87"/>
      <c r="C3968" s="73"/>
      <c r="D3968" s="73"/>
      <c r="E3968" s="82"/>
      <c r="F3968" s="82"/>
      <c r="G3968" s="86"/>
      <c r="H3968" s="86"/>
      <c r="I3968" s="86"/>
      <c r="J3968" s="82"/>
      <c r="K3968" s="82"/>
      <c r="L3968" s="82"/>
      <c r="M3968" s="82"/>
      <c r="N3968" s="82"/>
      <c r="O3968" s="82"/>
      <c r="P3968" s="82"/>
      <c r="Q3968" s="82"/>
      <c r="R3968" s="82"/>
      <c r="S3968" s="82"/>
      <c r="T3968" s="82"/>
      <c r="U3968" s="82"/>
      <c r="V3968" s="82"/>
      <c r="W3968" s="82"/>
      <c r="X3968" s="82"/>
      <c r="Y3968" s="82"/>
      <c r="Z3968" s="82"/>
      <c r="AA3968" s="82"/>
      <c r="AB3968" s="82"/>
      <c r="AC3968" s="82"/>
      <c r="AD3968" s="82"/>
      <c r="AE3968" s="82"/>
      <c r="AF3968" s="82"/>
      <c r="AG3968" s="82"/>
      <c r="AH3968" s="82"/>
      <c r="AI3968" s="82"/>
      <c r="AJ3968" s="82"/>
      <c r="AK3968" s="82"/>
      <c r="AL3968" s="82"/>
      <c r="AM3968" s="82"/>
      <c r="AN3968" s="82"/>
      <c r="AO3968" s="82"/>
      <c r="AP3968" s="82"/>
      <c r="AQ3968" s="82"/>
      <c r="AR3968" s="82"/>
      <c r="AS3968" s="82"/>
      <c r="AT3968" s="82"/>
      <c r="AU3968" s="82"/>
      <c r="AV3968" s="82"/>
      <c r="AW3968" s="82" t="str">
        <f t="shared" si="1"/>
        <v/>
      </c>
      <c r="AX3968" s="83" t="str">
        <f t="array" ref="AX3968">IFERROR(DGET('SBV Import'!A:G,"SBV",{"RSC ID","Tier";B3968,A3968}))</f>
        <v/>
      </c>
      <c r="AY3968" s="82" t="str">
        <f t="shared" si="2"/>
        <v/>
      </c>
      <c r="AZ3968" s="82"/>
      <c r="BA3968" s="84" t="s">
        <v>152</v>
      </c>
      <c r="BB3968" s="84" t="str">
        <f>IFERROR(__xludf.DUMMYFUNCTION("iferror(if(A3968="""",,E3968&gt;=FILTER(Constants!$F$2:$F$10,Constants!$A$2:$A$10=A3968)))"),"")</f>
        <v/>
      </c>
    </row>
    <row r="3969">
      <c r="A3969" s="89"/>
      <c r="B3969" s="87"/>
      <c r="C3969" s="73"/>
      <c r="D3969" s="73"/>
      <c r="E3969" s="82"/>
      <c r="F3969" s="82"/>
      <c r="G3969" s="86"/>
      <c r="H3969" s="86"/>
      <c r="I3969" s="86"/>
      <c r="J3969" s="82"/>
      <c r="K3969" s="82"/>
      <c r="L3969" s="82"/>
      <c r="M3969" s="82"/>
      <c r="N3969" s="82"/>
      <c r="O3969" s="82"/>
      <c r="P3969" s="82"/>
      <c r="Q3969" s="82"/>
      <c r="R3969" s="82"/>
      <c r="S3969" s="82"/>
      <c r="T3969" s="82"/>
      <c r="U3969" s="82"/>
      <c r="V3969" s="82"/>
      <c r="W3969" s="82"/>
      <c r="X3969" s="82"/>
      <c r="Y3969" s="82"/>
      <c r="Z3969" s="82"/>
      <c r="AA3969" s="82"/>
      <c r="AB3969" s="82"/>
      <c r="AC3969" s="82"/>
      <c r="AD3969" s="82"/>
      <c r="AE3969" s="82"/>
      <c r="AF3969" s="82"/>
      <c r="AG3969" s="82"/>
      <c r="AH3969" s="82"/>
      <c r="AI3969" s="82"/>
      <c r="AJ3969" s="82"/>
      <c r="AK3969" s="82"/>
      <c r="AL3969" s="82"/>
      <c r="AM3969" s="82"/>
      <c r="AN3969" s="82"/>
      <c r="AO3969" s="82"/>
      <c r="AP3969" s="82"/>
      <c r="AQ3969" s="82"/>
      <c r="AR3969" s="82"/>
      <c r="AS3969" s="82"/>
      <c r="AT3969" s="82"/>
      <c r="AU3969" s="82"/>
      <c r="AV3969" s="82"/>
      <c r="AW3969" s="82" t="str">
        <f t="shared" si="1"/>
        <v/>
      </c>
      <c r="AX3969" s="83" t="str">
        <f t="array" ref="AX3969">IFERROR(DGET('SBV Import'!A:G,"SBV",{"RSC ID","Tier";B3969,A3969}))</f>
        <v/>
      </c>
      <c r="AY3969" s="82" t="str">
        <f t="shared" si="2"/>
        <v/>
      </c>
      <c r="AZ3969" s="82"/>
      <c r="BA3969" s="84" t="s">
        <v>152</v>
      </c>
      <c r="BB3969" s="84" t="str">
        <f>IFERROR(__xludf.DUMMYFUNCTION("iferror(if(A3969="""",,E3969&gt;=FILTER(Constants!$F$2:$F$10,Constants!$A$2:$A$10=A3969)))"),"")</f>
        <v/>
      </c>
    </row>
    <row r="3970">
      <c r="A3970" s="89"/>
      <c r="B3970" s="87"/>
      <c r="C3970" s="73"/>
      <c r="D3970" s="73"/>
      <c r="E3970" s="82"/>
      <c r="F3970" s="82"/>
      <c r="G3970" s="86"/>
      <c r="H3970" s="86"/>
      <c r="I3970" s="86"/>
      <c r="J3970" s="82"/>
      <c r="K3970" s="82"/>
      <c r="L3970" s="82"/>
      <c r="M3970" s="82"/>
      <c r="N3970" s="82"/>
      <c r="O3970" s="82"/>
      <c r="P3970" s="82"/>
      <c r="Q3970" s="82"/>
      <c r="R3970" s="82"/>
      <c r="S3970" s="82"/>
      <c r="T3970" s="82"/>
      <c r="U3970" s="82"/>
      <c r="V3970" s="82"/>
      <c r="W3970" s="82"/>
      <c r="X3970" s="82"/>
      <c r="Y3970" s="82"/>
      <c r="Z3970" s="82"/>
      <c r="AA3970" s="82"/>
      <c r="AB3970" s="82"/>
      <c r="AC3970" s="82"/>
      <c r="AD3970" s="82"/>
      <c r="AE3970" s="82"/>
      <c r="AF3970" s="82"/>
      <c r="AG3970" s="82"/>
      <c r="AH3970" s="82"/>
      <c r="AI3970" s="82"/>
      <c r="AJ3970" s="82"/>
      <c r="AK3970" s="82"/>
      <c r="AL3970" s="82"/>
      <c r="AM3970" s="82"/>
      <c r="AN3970" s="82"/>
      <c r="AO3970" s="82"/>
      <c r="AP3970" s="82"/>
      <c r="AQ3970" s="82"/>
      <c r="AR3970" s="82"/>
      <c r="AS3970" s="82"/>
      <c r="AT3970" s="82"/>
      <c r="AU3970" s="82"/>
      <c r="AV3970" s="82"/>
      <c r="AW3970" s="82" t="str">
        <f t="shared" si="1"/>
        <v/>
      </c>
      <c r="AX3970" s="83" t="str">
        <f t="array" ref="AX3970">IFERROR(DGET('SBV Import'!A:G,"SBV",{"RSC ID","Tier";B3970,A3970}))</f>
        <v/>
      </c>
      <c r="AY3970" s="82" t="str">
        <f t="shared" si="2"/>
        <v/>
      </c>
      <c r="AZ3970" s="82"/>
      <c r="BA3970" s="84" t="s">
        <v>152</v>
      </c>
      <c r="BB3970" s="84" t="str">
        <f>IFERROR(__xludf.DUMMYFUNCTION("iferror(if(A3970="""",,E3970&gt;=FILTER(Constants!$F$2:$F$10,Constants!$A$2:$A$10=A3970)))"),"")</f>
        <v/>
      </c>
    </row>
    <row r="3971">
      <c r="A3971" s="89"/>
      <c r="B3971" s="87"/>
      <c r="C3971" s="73"/>
      <c r="D3971" s="73"/>
      <c r="E3971" s="82"/>
      <c r="F3971" s="82"/>
      <c r="G3971" s="86"/>
      <c r="H3971" s="86"/>
      <c r="I3971" s="86"/>
      <c r="J3971" s="82"/>
      <c r="K3971" s="82"/>
      <c r="L3971" s="82"/>
      <c r="M3971" s="82"/>
      <c r="N3971" s="82"/>
      <c r="O3971" s="82"/>
      <c r="P3971" s="82"/>
      <c r="Q3971" s="82"/>
      <c r="R3971" s="82"/>
      <c r="S3971" s="82"/>
      <c r="T3971" s="82"/>
      <c r="U3971" s="82"/>
      <c r="V3971" s="82"/>
      <c r="W3971" s="82"/>
      <c r="X3971" s="82"/>
      <c r="Y3971" s="82"/>
      <c r="Z3971" s="82"/>
      <c r="AA3971" s="82"/>
      <c r="AB3971" s="82"/>
      <c r="AC3971" s="82"/>
      <c r="AD3971" s="82"/>
      <c r="AE3971" s="82"/>
      <c r="AF3971" s="82"/>
      <c r="AG3971" s="82"/>
      <c r="AH3971" s="82"/>
      <c r="AI3971" s="82"/>
      <c r="AJ3971" s="82"/>
      <c r="AK3971" s="82"/>
      <c r="AL3971" s="82"/>
      <c r="AM3971" s="82"/>
      <c r="AN3971" s="82"/>
      <c r="AO3971" s="82"/>
      <c r="AP3971" s="82"/>
      <c r="AQ3971" s="82"/>
      <c r="AR3971" s="82"/>
      <c r="AS3971" s="82"/>
      <c r="AT3971" s="82"/>
      <c r="AU3971" s="82"/>
      <c r="AV3971" s="82"/>
      <c r="AW3971" s="82" t="str">
        <f t="shared" si="1"/>
        <v/>
      </c>
      <c r="AX3971" s="83" t="str">
        <f t="array" ref="AX3971">IFERROR(DGET('SBV Import'!A:G,"SBV",{"RSC ID","Tier";B3971,A3971}))</f>
        <v/>
      </c>
      <c r="AY3971" s="82" t="str">
        <f t="shared" si="2"/>
        <v/>
      </c>
      <c r="AZ3971" s="82"/>
      <c r="BA3971" s="84" t="s">
        <v>152</v>
      </c>
      <c r="BB3971" s="84" t="str">
        <f>IFERROR(__xludf.DUMMYFUNCTION("iferror(if(A3971="""",,E3971&gt;=FILTER(Constants!$F$2:$F$10,Constants!$A$2:$A$10=A3971)))"),"")</f>
        <v/>
      </c>
    </row>
    <row r="3972">
      <c r="A3972" s="89"/>
      <c r="B3972" s="87"/>
      <c r="C3972" s="73"/>
      <c r="D3972" s="73"/>
      <c r="E3972" s="82"/>
      <c r="F3972" s="82"/>
      <c r="G3972" s="86"/>
      <c r="H3972" s="86"/>
      <c r="I3972" s="86"/>
      <c r="J3972" s="82"/>
      <c r="K3972" s="82"/>
      <c r="L3972" s="82"/>
      <c r="M3972" s="82"/>
      <c r="N3972" s="82"/>
      <c r="O3972" s="82"/>
      <c r="P3972" s="82"/>
      <c r="Q3972" s="82"/>
      <c r="R3972" s="82"/>
      <c r="S3972" s="82"/>
      <c r="T3972" s="82"/>
      <c r="U3972" s="82"/>
      <c r="V3972" s="82"/>
      <c r="W3972" s="82"/>
      <c r="X3972" s="82"/>
      <c r="Y3972" s="82"/>
      <c r="Z3972" s="82"/>
      <c r="AA3972" s="82"/>
      <c r="AB3972" s="82"/>
      <c r="AC3972" s="82"/>
      <c r="AD3972" s="82"/>
      <c r="AE3972" s="82"/>
      <c r="AF3972" s="82"/>
      <c r="AG3972" s="82"/>
      <c r="AH3972" s="82"/>
      <c r="AI3972" s="82"/>
      <c r="AJ3972" s="82"/>
      <c r="AK3972" s="82"/>
      <c r="AL3972" s="82"/>
      <c r="AM3972" s="82"/>
      <c r="AN3972" s="82"/>
      <c r="AO3972" s="82"/>
      <c r="AP3972" s="82"/>
      <c r="AQ3972" s="82"/>
      <c r="AR3972" s="82"/>
      <c r="AS3972" s="82"/>
      <c r="AT3972" s="82"/>
      <c r="AU3972" s="82"/>
      <c r="AV3972" s="82"/>
      <c r="AW3972" s="82" t="str">
        <f t="shared" si="1"/>
        <v/>
      </c>
      <c r="AX3972" s="83" t="str">
        <f t="array" ref="AX3972">IFERROR(DGET('SBV Import'!A:G,"SBV",{"RSC ID","Tier";B3972,A3972}))</f>
        <v/>
      </c>
      <c r="AY3972" s="82" t="str">
        <f t="shared" si="2"/>
        <v/>
      </c>
      <c r="AZ3972" s="82"/>
      <c r="BA3972" s="84" t="s">
        <v>152</v>
      </c>
      <c r="BB3972" s="84" t="str">
        <f>IFERROR(__xludf.DUMMYFUNCTION("iferror(if(A3972="""",,E3972&gt;=FILTER(Constants!$F$2:$F$10,Constants!$A$2:$A$10=A3972)))"),"")</f>
        <v/>
      </c>
    </row>
    <row r="3973">
      <c r="A3973" s="89"/>
      <c r="B3973" s="87"/>
      <c r="C3973" s="73"/>
      <c r="D3973" s="73"/>
      <c r="E3973" s="82"/>
      <c r="F3973" s="82"/>
      <c r="G3973" s="86"/>
      <c r="H3973" s="86"/>
      <c r="I3973" s="86"/>
      <c r="J3973" s="82"/>
      <c r="K3973" s="82"/>
      <c r="L3973" s="82"/>
      <c r="M3973" s="82"/>
      <c r="N3973" s="82"/>
      <c r="O3973" s="82"/>
      <c r="P3973" s="82"/>
      <c r="Q3973" s="82"/>
      <c r="R3973" s="82"/>
      <c r="S3973" s="82"/>
      <c r="T3973" s="82"/>
      <c r="U3973" s="82"/>
      <c r="V3973" s="82"/>
      <c r="W3973" s="82"/>
      <c r="X3973" s="82"/>
      <c r="Y3973" s="82"/>
      <c r="Z3973" s="82"/>
      <c r="AA3973" s="82"/>
      <c r="AB3973" s="82"/>
      <c r="AC3973" s="82"/>
      <c r="AD3973" s="82"/>
      <c r="AE3973" s="82"/>
      <c r="AF3973" s="82"/>
      <c r="AG3973" s="82"/>
      <c r="AH3973" s="82"/>
      <c r="AI3973" s="82"/>
      <c r="AJ3973" s="82"/>
      <c r="AK3973" s="82"/>
      <c r="AL3973" s="82"/>
      <c r="AM3973" s="82"/>
      <c r="AN3973" s="82"/>
      <c r="AO3973" s="82"/>
      <c r="AP3973" s="82"/>
      <c r="AQ3973" s="82"/>
      <c r="AR3973" s="82"/>
      <c r="AS3973" s="82"/>
      <c r="AT3973" s="82"/>
      <c r="AU3973" s="82"/>
      <c r="AV3973" s="82"/>
      <c r="AW3973" s="82" t="str">
        <f t="shared" si="1"/>
        <v/>
      </c>
      <c r="AX3973" s="83" t="str">
        <f t="array" ref="AX3973">IFERROR(DGET('SBV Import'!A:G,"SBV",{"RSC ID","Tier";B3973,A3973}))</f>
        <v/>
      </c>
      <c r="AY3973" s="82" t="str">
        <f t="shared" si="2"/>
        <v/>
      </c>
      <c r="AZ3973" s="82"/>
      <c r="BA3973" s="84" t="s">
        <v>152</v>
      </c>
      <c r="BB3973" s="84" t="str">
        <f>IFERROR(__xludf.DUMMYFUNCTION("iferror(if(A3973="""",,E3973&gt;=FILTER(Constants!$F$2:$F$10,Constants!$A$2:$A$10=A3973)))"),"")</f>
        <v/>
      </c>
    </row>
    <row r="3974">
      <c r="A3974" s="89"/>
      <c r="B3974" s="87"/>
      <c r="C3974" s="73"/>
      <c r="D3974" s="73"/>
      <c r="E3974" s="82"/>
      <c r="F3974" s="82"/>
      <c r="G3974" s="86"/>
      <c r="H3974" s="86"/>
      <c r="I3974" s="86"/>
      <c r="J3974" s="82"/>
      <c r="K3974" s="82"/>
      <c r="L3974" s="82"/>
      <c r="M3974" s="82"/>
      <c r="N3974" s="82"/>
      <c r="O3974" s="82"/>
      <c r="P3974" s="82"/>
      <c r="Q3974" s="82"/>
      <c r="R3974" s="82"/>
      <c r="S3974" s="82"/>
      <c r="T3974" s="82"/>
      <c r="U3974" s="82"/>
      <c r="V3974" s="82"/>
      <c r="W3974" s="82"/>
      <c r="X3974" s="82"/>
      <c r="Y3974" s="82"/>
      <c r="Z3974" s="82"/>
      <c r="AA3974" s="82"/>
      <c r="AB3974" s="82"/>
      <c r="AC3974" s="82"/>
      <c r="AD3974" s="82"/>
      <c r="AE3974" s="82"/>
      <c r="AF3974" s="82"/>
      <c r="AG3974" s="82"/>
      <c r="AH3974" s="82"/>
      <c r="AI3974" s="82"/>
      <c r="AJ3974" s="82"/>
      <c r="AK3974" s="82"/>
      <c r="AL3974" s="82"/>
      <c r="AM3974" s="82"/>
      <c r="AN3974" s="82"/>
      <c r="AO3974" s="82"/>
      <c r="AP3974" s="82"/>
      <c r="AQ3974" s="82"/>
      <c r="AR3974" s="82"/>
      <c r="AS3974" s="82"/>
      <c r="AT3974" s="82"/>
      <c r="AU3974" s="82"/>
      <c r="AV3974" s="82"/>
      <c r="AW3974" s="82" t="str">
        <f t="shared" si="1"/>
        <v/>
      </c>
      <c r="AX3974" s="83" t="str">
        <f t="array" ref="AX3974">IFERROR(DGET('SBV Import'!A:G,"SBV",{"RSC ID","Tier";B3974,A3974}))</f>
        <v/>
      </c>
      <c r="AY3974" s="82" t="str">
        <f t="shared" si="2"/>
        <v/>
      </c>
      <c r="AZ3974" s="82"/>
      <c r="BA3974" s="84" t="s">
        <v>152</v>
      </c>
      <c r="BB3974" s="84" t="str">
        <f>IFERROR(__xludf.DUMMYFUNCTION("iferror(if(A3974="""",,E3974&gt;=FILTER(Constants!$F$2:$F$10,Constants!$A$2:$A$10=A3974)))"),"")</f>
        <v/>
      </c>
    </row>
    <row r="3975">
      <c r="A3975" s="89"/>
      <c r="B3975" s="87"/>
      <c r="C3975" s="73"/>
      <c r="D3975" s="73"/>
      <c r="E3975" s="82"/>
      <c r="F3975" s="82"/>
      <c r="G3975" s="86"/>
      <c r="H3975" s="86"/>
      <c r="I3975" s="86"/>
      <c r="J3975" s="82"/>
      <c r="K3975" s="82"/>
      <c r="L3975" s="82"/>
      <c r="M3975" s="82"/>
      <c r="N3975" s="82"/>
      <c r="O3975" s="82"/>
      <c r="P3975" s="82"/>
      <c r="Q3975" s="82"/>
      <c r="R3975" s="82"/>
      <c r="S3975" s="82"/>
      <c r="T3975" s="82"/>
      <c r="U3975" s="82"/>
      <c r="V3975" s="82"/>
      <c r="W3975" s="82"/>
      <c r="X3975" s="82"/>
      <c r="Y3975" s="82"/>
      <c r="Z3975" s="82"/>
      <c r="AA3975" s="82"/>
      <c r="AB3975" s="82"/>
      <c r="AC3975" s="82"/>
      <c r="AD3975" s="82"/>
      <c r="AE3975" s="82"/>
      <c r="AF3975" s="82"/>
      <c r="AG3975" s="82"/>
      <c r="AH3975" s="82"/>
      <c r="AI3975" s="82"/>
      <c r="AJ3975" s="82"/>
      <c r="AK3975" s="82"/>
      <c r="AL3975" s="82"/>
      <c r="AM3975" s="82"/>
      <c r="AN3975" s="82"/>
      <c r="AO3975" s="82"/>
      <c r="AP3975" s="82"/>
      <c r="AQ3975" s="82"/>
      <c r="AR3975" s="82"/>
      <c r="AS3975" s="82"/>
      <c r="AT3975" s="82"/>
      <c r="AU3975" s="82"/>
      <c r="AV3975" s="82"/>
      <c r="AW3975" s="82" t="str">
        <f t="shared" si="1"/>
        <v/>
      </c>
      <c r="AX3975" s="83" t="str">
        <f t="array" ref="AX3975">IFERROR(DGET('SBV Import'!A:G,"SBV",{"RSC ID","Tier";B3975,A3975}))</f>
        <v/>
      </c>
      <c r="AY3975" s="82" t="str">
        <f t="shared" si="2"/>
        <v/>
      </c>
      <c r="AZ3975" s="82"/>
      <c r="BA3975" s="84" t="s">
        <v>152</v>
      </c>
      <c r="BB3975" s="84" t="str">
        <f>IFERROR(__xludf.DUMMYFUNCTION("iferror(if(A3975="""",,E3975&gt;=FILTER(Constants!$F$2:$F$10,Constants!$A$2:$A$10=A3975)))"),"")</f>
        <v/>
      </c>
    </row>
    <row r="3976">
      <c r="A3976" s="89"/>
      <c r="B3976" s="87"/>
      <c r="C3976" s="73"/>
      <c r="D3976" s="73"/>
      <c r="E3976" s="82"/>
      <c r="F3976" s="82"/>
      <c r="G3976" s="86"/>
      <c r="H3976" s="86"/>
      <c r="I3976" s="86"/>
      <c r="J3976" s="82"/>
      <c r="K3976" s="82"/>
      <c r="L3976" s="82"/>
      <c r="M3976" s="82"/>
      <c r="N3976" s="82"/>
      <c r="O3976" s="82"/>
      <c r="P3976" s="82"/>
      <c r="Q3976" s="82"/>
      <c r="R3976" s="82"/>
      <c r="S3976" s="82"/>
      <c r="T3976" s="82"/>
      <c r="U3976" s="82"/>
      <c r="V3976" s="82"/>
      <c r="W3976" s="82"/>
      <c r="X3976" s="82"/>
      <c r="Y3976" s="82"/>
      <c r="Z3976" s="82"/>
      <c r="AA3976" s="82"/>
      <c r="AB3976" s="82"/>
      <c r="AC3976" s="82"/>
      <c r="AD3976" s="82"/>
      <c r="AE3976" s="82"/>
      <c r="AF3976" s="82"/>
      <c r="AG3976" s="82"/>
      <c r="AH3976" s="82"/>
      <c r="AI3976" s="82"/>
      <c r="AJ3976" s="82"/>
      <c r="AK3976" s="82"/>
      <c r="AL3976" s="82"/>
      <c r="AM3976" s="82"/>
      <c r="AN3976" s="82"/>
      <c r="AO3976" s="82"/>
      <c r="AP3976" s="82"/>
      <c r="AQ3976" s="82"/>
      <c r="AR3976" s="82"/>
      <c r="AS3976" s="82"/>
      <c r="AT3976" s="82"/>
      <c r="AU3976" s="82"/>
      <c r="AV3976" s="82"/>
      <c r="AW3976" s="82" t="str">
        <f t="shared" si="1"/>
        <v/>
      </c>
      <c r="AX3976" s="83" t="str">
        <f t="array" ref="AX3976">IFERROR(DGET('SBV Import'!A:G,"SBV",{"RSC ID","Tier";B3976,A3976}))</f>
        <v/>
      </c>
      <c r="AY3976" s="82" t="str">
        <f t="shared" si="2"/>
        <v/>
      </c>
      <c r="AZ3976" s="82"/>
      <c r="BA3976" s="84" t="s">
        <v>152</v>
      </c>
      <c r="BB3976" s="84" t="str">
        <f>IFERROR(__xludf.DUMMYFUNCTION("iferror(if(A3976="""",,E3976&gt;=FILTER(Constants!$F$2:$F$10,Constants!$A$2:$A$10=A3976)))"),"")</f>
        <v/>
      </c>
    </row>
    <row r="3977">
      <c r="A3977" s="89"/>
      <c r="B3977" s="87"/>
      <c r="C3977" s="73"/>
      <c r="D3977" s="73"/>
      <c r="E3977" s="82"/>
      <c r="F3977" s="82"/>
      <c r="G3977" s="86"/>
      <c r="H3977" s="86"/>
      <c r="I3977" s="86"/>
      <c r="J3977" s="82"/>
      <c r="K3977" s="82"/>
      <c r="L3977" s="82"/>
      <c r="M3977" s="82"/>
      <c r="N3977" s="82"/>
      <c r="O3977" s="82"/>
      <c r="P3977" s="82"/>
      <c r="Q3977" s="82"/>
      <c r="R3977" s="82"/>
      <c r="S3977" s="82"/>
      <c r="T3977" s="82"/>
      <c r="U3977" s="82"/>
      <c r="V3977" s="82"/>
      <c r="W3977" s="82"/>
      <c r="X3977" s="82"/>
      <c r="Y3977" s="82"/>
      <c r="Z3977" s="82"/>
      <c r="AA3977" s="82"/>
      <c r="AB3977" s="82"/>
      <c r="AC3977" s="82"/>
      <c r="AD3977" s="82"/>
      <c r="AE3977" s="82"/>
      <c r="AF3977" s="82"/>
      <c r="AG3977" s="82"/>
      <c r="AH3977" s="82"/>
      <c r="AI3977" s="82"/>
      <c r="AJ3977" s="82"/>
      <c r="AK3977" s="82"/>
      <c r="AL3977" s="82"/>
      <c r="AM3977" s="82"/>
      <c r="AN3977" s="82"/>
      <c r="AO3977" s="82"/>
      <c r="AP3977" s="82"/>
      <c r="AQ3977" s="82"/>
      <c r="AR3977" s="82"/>
      <c r="AS3977" s="82"/>
      <c r="AT3977" s="82"/>
      <c r="AU3977" s="82"/>
      <c r="AV3977" s="82"/>
      <c r="AW3977" s="82" t="str">
        <f t="shared" si="1"/>
        <v/>
      </c>
      <c r="AX3977" s="83" t="str">
        <f t="array" ref="AX3977">IFERROR(DGET('SBV Import'!A:G,"SBV",{"RSC ID","Tier";B3977,A3977}))</f>
        <v/>
      </c>
      <c r="AY3977" s="82" t="str">
        <f t="shared" si="2"/>
        <v/>
      </c>
      <c r="AZ3977" s="82"/>
      <c r="BA3977" s="84" t="s">
        <v>152</v>
      </c>
      <c r="BB3977" s="84" t="str">
        <f>IFERROR(__xludf.DUMMYFUNCTION("iferror(if(A3977="""",,E3977&gt;=FILTER(Constants!$F$2:$F$10,Constants!$A$2:$A$10=A3977)))"),"")</f>
        <v/>
      </c>
    </row>
    <row r="3978">
      <c r="A3978" s="89"/>
      <c r="B3978" s="87"/>
      <c r="C3978" s="73"/>
      <c r="D3978" s="73"/>
      <c r="E3978" s="82"/>
      <c r="F3978" s="82"/>
      <c r="G3978" s="86"/>
      <c r="H3978" s="86"/>
      <c r="I3978" s="86"/>
      <c r="J3978" s="82"/>
      <c r="K3978" s="82"/>
      <c r="L3978" s="82"/>
      <c r="M3978" s="82"/>
      <c r="N3978" s="82"/>
      <c r="O3978" s="82"/>
      <c r="P3978" s="82"/>
      <c r="Q3978" s="82"/>
      <c r="R3978" s="82"/>
      <c r="S3978" s="82"/>
      <c r="T3978" s="82"/>
      <c r="U3978" s="82"/>
      <c r="V3978" s="82"/>
      <c r="W3978" s="82"/>
      <c r="X3978" s="82"/>
      <c r="Y3978" s="82"/>
      <c r="Z3978" s="82"/>
      <c r="AA3978" s="82"/>
      <c r="AB3978" s="82"/>
      <c r="AC3978" s="82"/>
      <c r="AD3978" s="82"/>
      <c r="AE3978" s="82"/>
      <c r="AF3978" s="82"/>
      <c r="AG3978" s="82"/>
      <c r="AH3978" s="82"/>
      <c r="AI3978" s="82"/>
      <c r="AJ3978" s="82"/>
      <c r="AK3978" s="82"/>
      <c r="AL3978" s="82"/>
      <c r="AM3978" s="82"/>
      <c r="AN3978" s="82"/>
      <c r="AO3978" s="82"/>
      <c r="AP3978" s="82"/>
      <c r="AQ3978" s="82"/>
      <c r="AR3978" s="82"/>
      <c r="AS3978" s="82"/>
      <c r="AT3978" s="82"/>
      <c r="AU3978" s="82"/>
      <c r="AV3978" s="82"/>
      <c r="AW3978" s="82" t="str">
        <f t="shared" si="1"/>
        <v/>
      </c>
      <c r="AX3978" s="83" t="str">
        <f t="array" ref="AX3978">IFERROR(DGET('SBV Import'!A:G,"SBV",{"RSC ID","Tier";B3978,A3978}))</f>
        <v/>
      </c>
      <c r="AY3978" s="82" t="str">
        <f t="shared" si="2"/>
        <v/>
      </c>
      <c r="AZ3978" s="82"/>
      <c r="BA3978" s="84" t="s">
        <v>152</v>
      </c>
      <c r="BB3978" s="84" t="str">
        <f>IFERROR(__xludf.DUMMYFUNCTION("iferror(if(A3978="""",,E3978&gt;=FILTER(Constants!$F$2:$F$10,Constants!$A$2:$A$10=A3978)))"),"")</f>
        <v/>
      </c>
    </row>
    <row r="3979">
      <c r="A3979" s="89"/>
      <c r="B3979" s="87"/>
      <c r="C3979" s="73"/>
      <c r="D3979" s="73"/>
      <c r="E3979" s="82"/>
      <c r="F3979" s="82"/>
      <c r="G3979" s="86"/>
      <c r="H3979" s="86"/>
      <c r="I3979" s="86"/>
      <c r="J3979" s="82"/>
      <c r="K3979" s="82"/>
      <c r="L3979" s="82"/>
      <c r="M3979" s="82"/>
      <c r="N3979" s="82"/>
      <c r="O3979" s="82"/>
      <c r="P3979" s="82"/>
      <c r="Q3979" s="82"/>
      <c r="R3979" s="82"/>
      <c r="S3979" s="82"/>
      <c r="T3979" s="82"/>
      <c r="U3979" s="82"/>
      <c r="V3979" s="82"/>
      <c r="W3979" s="82"/>
      <c r="X3979" s="82"/>
      <c r="Y3979" s="82"/>
      <c r="Z3979" s="82"/>
      <c r="AA3979" s="82"/>
      <c r="AB3979" s="82"/>
      <c r="AC3979" s="82"/>
      <c r="AD3979" s="82"/>
      <c r="AE3979" s="82"/>
      <c r="AF3979" s="82"/>
      <c r="AG3979" s="82"/>
      <c r="AH3979" s="82"/>
      <c r="AI3979" s="82"/>
      <c r="AJ3979" s="82"/>
      <c r="AK3979" s="82"/>
      <c r="AL3979" s="82"/>
      <c r="AM3979" s="82"/>
      <c r="AN3979" s="82"/>
      <c r="AO3979" s="82"/>
      <c r="AP3979" s="82"/>
      <c r="AQ3979" s="82"/>
      <c r="AR3979" s="82"/>
      <c r="AS3979" s="82"/>
      <c r="AT3979" s="82"/>
      <c r="AU3979" s="82"/>
      <c r="AV3979" s="82"/>
      <c r="AW3979" s="82" t="str">
        <f t="shared" si="1"/>
        <v/>
      </c>
      <c r="AX3979" s="83" t="str">
        <f t="array" ref="AX3979">IFERROR(DGET('SBV Import'!A:G,"SBV",{"RSC ID","Tier";B3979,A3979}))</f>
        <v/>
      </c>
      <c r="AY3979" s="82" t="str">
        <f t="shared" si="2"/>
        <v/>
      </c>
      <c r="AZ3979" s="82"/>
      <c r="BA3979" s="84" t="s">
        <v>152</v>
      </c>
      <c r="BB3979" s="84" t="str">
        <f>IFERROR(__xludf.DUMMYFUNCTION("iferror(if(A3979="""",,E3979&gt;=FILTER(Constants!$F$2:$F$10,Constants!$A$2:$A$10=A3979)))"),"")</f>
        <v/>
      </c>
    </row>
    <row r="3980">
      <c r="A3980" s="89"/>
      <c r="B3980" s="87"/>
      <c r="C3980" s="73"/>
      <c r="D3980" s="73"/>
      <c r="E3980" s="82"/>
      <c r="F3980" s="82"/>
      <c r="G3980" s="86"/>
      <c r="H3980" s="86"/>
      <c r="I3980" s="86"/>
      <c r="J3980" s="82"/>
      <c r="K3980" s="82"/>
      <c r="L3980" s="82"/>
      <c r="M3980" s="82"/>
      <c r="N3980" s="82"/>
      <c r="O3980" s="82"/>
      <c r="P3980" s="82"/>
      <c r="Q3980" s="82"/>
      <c r="R3980" s="82"/>
      <c r="S3980" s="82"/>
      <c r="T3980" s="82"/>
      <c r="U3980" s="82"/>
      <c r="V3980" s="82"/>
      <c r="W3980" s="82"/>
      <c r="X3980" s="82"/>
      <c r="Y3980" s="82"/>
      <c r="Z3980" s="82"/>
      <c r="AA3980" s="82"/>
      <c r="AB3980" s="82"/>
      <c r="AC3980" s="82"/>
      <c r="AD3980" s="82"/>
      <c r="AE3980" s="82"/>
      <c r="AF3980" s="82"/>
      <c r="AG3980" s="82"/>
      <c r="AH3980" s="82"/>
      <c r="AI3980" s="82"/>
      <c r="AJ3980" s="82"/>
      <c r="AK3980" s="82"/>
      <c r="AL3980" s="82"/>
      <c r="AM3980" s="82"/>
      <c r="AN3980" s="82"/>
      <c r="AO3980" s="82"/>
      <c r="AP3980" s="82"/>
      <c r="AQ3980" s="82"/>
      <c r="AR3980" s="82"/>
      <c r="AS3980" s="82"/>
      <c r="AT3980" s="82"/>
      <c r="AU3980" s="82"/>
      <c r="AV3980" s="82"/>
      <c r="AW3980" s="82" t="str">
        <f t="shared" si="1"/>
        <v/>
      </c>
      <c r="AX3980" s="83" t="str">
        <f t="array" ref="AX3980">IFERROR(DGET('SBV Import'!A:G,"SBV",{"RSC ID","Tier";B3980,A3980}))</f>
        <v/>
      </c>
      <c r="AY3980" s="82" t="str">
        <f t="shared" si="2"/>
        <v/>
      </c>
      <c r="AZ3980" s="82"/>
      <c r="BA3980" s="84" t="s">
        <v>152</v>
      </c>
      <c r="BB3980" s="84" t="str">
        <f>IFERROR(__xludf.DUMMYFUNCTION("iferror(if(A3980="""",,E3980&gt;=FILTER(Constants!$F$2:$F$10,Constants!$A$2:$A$10=A3980)))"),"")</f>
        <v/>
      </c>
    </row>
    <row r="3981">
      <c r="A3981" s="89"/>
      <c r="B3981" s="87"/>
      <c r="C3981" s="73"/>
      <c r="D3981" s="73"/>
      <c r="E3981" s="82"/>
      <c r="F3981" s="82"/>
      <c r="G3981" s="86"/>
      <c r="H3981" s="86"/>
      <c r="I3981" s="86"/>
      <c r="J3981" s="82"/>
      <c r="K3981" s="82"/>
      <c r="L3981" s="82"/>
      <c r="M3981" s="82"/>
      <c r="N3981" s="82"/>
      <c r="O3981" s="82"/>
      <c r="P3981" s="82"/>
      <c r="Q3981" s="82"/>
      <c r="R3981" s="82"/>
      <c r="S3981" s="82"/>
      <c r="T3981" s="82"/>
      <c r="U3981" s="82"/>
      <c r="V3981" s="82"/>
      <c r="W3981" s="82"/>
      <c r="X3981" s="82"/>
      <c r="Y3981" s="82"/>
      <c r="Z3981" s="82"/>
      <c r="AA3981" s="82"/>
      <c r="AB3981" s="82"/>
      <c r="AC3981" s="82"/>
      <c r="AD3981" s="82"/>
      <c r="AE3981" s="82"/>
      <c r="AF3981" s="82"/>
      <c r="AG3981" s="82"/>
      <c r="AH3981" s="82"/>
      <c r="AI3981" s="82"/>
      <c r="AJ3981" s="82"/>
      <c r="AK3981" s="82"/>
      <c r="AL3981" s="82"/>
      <c r="AM3981" s="82"/>
      <c r="AN3981" s="82"/>
      <c r="AO3981" s="82"/>
      <c r="AP3981" s="82"/>
      <c r="AQ3981" s="82"/>
      <c r="AR3981" s="82"/>
      <c r="AS3981" s="82"/>
      <c r="AT3981" s="82"/>
      <c r="AU3981" s="82"/>
      <c r="AV3981" s="82"/>
      <c r="AW3981" s="82" t="str">
        <f t="shared" si="1"/>
        <v/>
      </c>
      <c r="AX3981" s="83" t="str">
        <f t="array" ref="AX3981">IFERROR(DGET('SBV Import'!A:G,"SBV",{"RSC ID","Tier";B3981,A3981}))</f>
        <v/>
      </c>
      <c r="AY3981" s="82" t="str">
        <f t="shared" si="2"/>
        <v/>
      </c>
      <c r="AZ3981" s="82"/>
      <c r="BA3981" s="84" t="s">
        <v>152</v>
      </c>
      <c r="BB3981" s="84" t="str">
        <f>IFERROR(__xludf.DUMMYFUNCTION("iferror(if(A3981="""",,E3981&gt;=FILTER(Constants!$F$2:$F$10,Constants!$A$2:$A$10=A3981)))"),"")</f>
        <v/>
      </c>
    </row>
    <row r="3982">
      <c r="A3982" s="89"/>
      <c r="B3982" s="87"/>
      <c r="C3982" s="73"/>
      <c r="D3982" s="73"/>
      <c r="E3982" s="82"/>
      <c r="F3982" s="82"/>
      <c r="G3982" s="86"/>
      <c r="H3982" s="86"/>
      <c r="I3982" s="86"/>
      <c r="J3982" s="82"/>
      <c r="K3982" s="82"/>
      <c r="L3982" s="82"/>
      <c r="M3982" s="82"/>
      <c r="N3982" s="82"/>
      <c r="O3982" s="82"/>
      <c r="P3982" s="82"/>
      <c r="Q3982" s="82"/>
      <c r="R3982" s="82"/>
      <c r="S3982" s="82"/>
      <c r="T3982" s="82"/>
      <c r="U3982" s="82"/>
      <c r="V3982" s="82"/>
      <c r="W3982" s="82"/>
      <c r="X3982" s="82"/>
      <c r="Y3982" s="82"/>
      <c r="Z3982" s="82"/>
      <c r="AA3982" s="82"/>
      <c r="AB3982" s="82"/>
      <c r="AC3982" s="82"/>
      <c r="AD3982" s="82"/>
      <c r="AE3982" s="82"/>
      <c r="AF3982" s="82"/>
      <c r="AG3982" s="82"/>
      <c r="AH3982" s="82"/>
      <c r="AI3982" s="82"/>
      <c r="AJ3982" s="82"/>
      <c r="AK3982" s="82"/>
      <c r="AL3982" s="82"/>
      <c r="AM3982" s="82"/>
      <c r="AN3982" s="82"/>
      <c r="AO3982" s="82"/>
      <c r="AP3982" s="82"/>
      <c r="AQ3982" s="82"/>
      <c r="AR3982" s="82"/>
      <c r="AS3982" s="82"/>
      <c r="AT3982" s="82"/>
      <c r="AU3982" s="82"/>
      <c r="AV3982" s="82"/>
      <c r="AW3982" s="82" t="str">
        <f t="shared" si="1"/>
        <v/>
      </c>
      <c r="AX3982" s="83" t="str">
        <f t="array" ref="AX3982">IFERROR(DGET('SBV Import'!A:G,"SBV",{"RSC ID","Tier";B3982,A3982}))</f>
        <v/>
      </c>
      <c r="AY3982" s="82" t="str">
        <f t="shared" si="2"/>
        <v/>
      </c>
      <c r="AZ3982" s="82"/>
      <c r="BA3982" s="84" t="s">
        <v>152</v>
      </c>
      <c r="BB3982" s="84" t="str">
        <f>IFERROR(__xludf.DUMMYFUNCTION("iferror(if(A3982="""",,E3982&gt;=FILTER(Constants!$F$2:$F$10,Constants!$A$2:$A$10=A3982)))"),"")</f>
        <v/>
      </c>
    </row>
    <row r="3983">
      <c r="A3983" s="89"/>
      <c r="B3983" s="87"/>
      <c r="C3983" s="73"/>
      <c r="D3983" s="73"/>
      <c r="E3983" s="82"/>
      <c r="F3983" s="82"/>
      <c r="G3983" s="86"/>
      <c r="H3983" s="86"/>
      <c r="I3983" s="86"/>
      <c r="J3983" s="82"/>
      <c r="K3983" s="82"/>
      <c r="L3983" s="82"/>
      <c r="M3983" s="82"/>
      <c r="N3983" s="82"/>
      <c r="O3983" s="82"/>
      <c r="P3983" s="82"/>
      <c r="Q3983" s="82"/>
      <c r="R3983" s="82"/>
      <c r="S3983" s="82"/>
      <c r="T3983" s="82"/>
      <c r="U3983" s="82"/>
      <c r="V3983" s="82"/>
      <c r="W3983" s="82"/>
      <c r="X3983" s="82"/>
      <c r="Y3983" s="82"/>
      <c r="Z3983" s="82"/>
      <c r="AA3983" s="82"/>
      <c r="AB3983" s="82"/>
      <c r="AC3983" s="82"/>
      <c r="AD3983" s="82"/>
      <c r="AE3983" s="82"/>
      <c r="AF3983" s="82"/>
      <c r="AG3983" s="82"/>
      <c r="AH3983" s="82"/>
      <c r="AI3983" s="82"/>
      <c r="AJ3983" s="82"/>
      <c r="AK3983" s="82"/>
      <c r="AL3983" s="82"/>
      <c r="AM3983" s="82"/>
      <c r="AN3983" s="82"/>
      <c r="AO3983" s="82"/>
      <c r="AP3983" s="82"/>
      <c r="AQ3983" s="82"/>
      <c r="AR3983" s="82"/>
      <c r="AS3983" s="82"/>
      <c r="AT3983" s="82"/>
      <c r="AU3983" s="82"/>
      <c r="AV3983" s="82"/>
      <c r="AW3983" s="82" t="str">
        <f t="shared" si="1"/>
        <v/>
      </c>
      <c r="AX3983" s="83" t="str">
        <f t="array" ref="AX3983">IFERROR(DGET('SBV Import'!A:G,"SBV",{"RSC ID","Tier";B3983,A3983}))</f>
        <v/>
      </c>
      <c r="AY3983" s="82" t="str">
        <f t="shared" si="2"/>
        <v/>
      </c>
      <c r="AZ3983" s="82"/>
      <c r="BA3983" s="84" t="s">
        <v>152</v>
      </c>
      <c r="BB3983" s="84" t="str">
        <f>IFERROR(__xludf.DUMMYFUNCTION("iferror(if(A3983="""",,E3983&gt;=FILTER(Constants!$F$2:$F$10,Constants!$A$2:$A$10=A3983)))"),"")</f>
        <v/>
      </c>
    </row>
    <row r="3984">
      <c r="A3984" s="89"/>
      <c r="B3984" s="87"/>
      <c r="C3984" s="73"/>
      <c r="D3984" s="73"/>
      <c r="E3984" s="82"/>
      <c r="F3984" s="82"/>
      <c r="G3984" s="86"/>
      <c r="H3984" s="86"/>
      <c r="I3984" s="86"/>
      <c r="J3984" s="82"/>
      <c r="K3984" s="82"/>
      <c r="L3984" s="82"/>
      <c r="M3984" s="82"/>
      <c r="N3984" s="82"/>
      <c r="O3984" s="82"/>
      <c r="P3984" s="82"/>
      <c r="Q3984" s="82"/>
      <c r="R3984" s="82"/>
      <c r="S3984" s="82"/>
      <c r="T3984" s="82"/>
      <c r="U3984" s="82"/>
      <c r="V3984" s="82"/>
      <c r="W3984" s="82"/>
      <c r="X3984" s="82"/>
      <c r="Y3984" s="82"/>
      <c r="Z3984" s="82"/>
      <c r="AA3984" s="82"/>
      <c r="AB3984" s="82"/>
      <c r="AC3984" s="82"/>
      <c r="AD3984" s="82"/>
      <c r="AE3984" s="82"/>
      <c r="AF3984" s="82"/>
      <c r="AG3984" s="82"/>
      <c r="AH3984" s="82"/>
      <c r="AI3984" s="82"/>
      <c r="AJ3984" s="82"/>
      <c r="AK3984" s="82"/>
      <c r="AL3984" s="82"/>
      <c r="AM3984" s="82"/>
      <c r="AN3984" s="82"/>
      <c r="AO3984" s="82"/>
      <c r="AP3984" s="82"/>
      <c r="AQ3984" s="82"/>
      <c r="AR3984" s="82"/>
      <c r="AS3984" s="82"/>
      <c r="AT3984" s="82"/>
      <c r="AU3984" s="82"/>
      <c r="AV3984" s="82"/>
      <c r="AW3984" s="82" t="str">
        <f t="shared" si="1"/>
        <v/>
      </c>
      <c r="AX3984" s="83" t="str">
        <f t="array" ref="AX3984">IFERROR(DGET('SBV Import'!A:G,"SBV",{"RSC ID","Tier";B3984,A3984}))</f>
        <v/>
      </c>
      <c r="AY3984" s="82" t="str">
        <f t="shared" si="2"/>
        <v/>
      </c>
      <c r="AZ3984" s="82"/>
      <c r="BA3984" s="84" t="s">
        <v>152</v>
      </c>
      <c r="BB3984" s="84" t="str">
        <f>IFERROR(__xludf.DUMMYFUNCTION("iferror(if(A3984="""",,E3984&gt;=FILTER(Constants!$F$2:$F$10,Constants!$A$2:$A$10=A3984)))"),"")</f>
        <v/>
      </c>
    </row>
    <row r="3985">
      <c r="A3985" s="89"/>
      <c r="B3985" s="87"/>
      <c r="C3985" s="73"/>
      <c r="D3985" s="73"/>
      <c r="E3985" s="82"/>
      <c r="F3985" s="82"/>
      <c r="G3985" s="86"/>
      <c r="H3985" s="86"/>
      <c r="I3985" s="86"/>
      <c r="J3985" s="82"/>
      <c r="K3985" s="82"/>
      <c r="L3985" s="82"/>
      <c r="M3985" s="82"/>
      <c r="N3985" s="82"/>
      <c r="O3985" s="82"/>
      <c r="P3985" s="82"/>
      <c r="Q3985" s="82"/>
      <c r="R3985" s="82"/>
      <c r="S3985" s="82"/>
      <c r="T3985" s="82"/>
      <c r="U3985" s="82"/>
      <c r="V3985" s="82"/>
      <c r="W3985" s="82"/>
      <c r="X3985" s="82"/>
      <c r="Y3985" s="82"/>
      <c r="Z3985" s="82"/>
      <c r="AA3985" s="82"/>
      <c r="AB3985" s="82"/>
      <c r="AC3985" s="82"/>
      <c r="AD3985" s="82"/>
      <c r="AE3985" s="82"/>
      <c r="AF3985" s="82"/>
      <c r="AG3985" s="82"/>
      <c r="AH3985" s="82"/>
      <c r="AI3985" s="82"/>
      <c r="AJ3985" s="82"/>
      <c r="AK3985" s="82"/>
      <c r="AL3985" s="82"/>
      <c r="AM3985" s="82"/>
      <c r="AN3985" s="82"/>
      <c r="AO3985" s="82"/>
      <c r="AP3985" s="82"/>
      <c r="AQ3985" s="82"/>
      <c r="AR3985" s="82"/>
      <c r="AS3985" s="82"/>
      <c r="AT3985" s="82"/>
      <c r="AU3985" s="82"/>
      <c r="AV3985" s="82"/>
      <c r="AW3985" s="82" t="str">
        <f t="shared" si="1"/>
        <v/>
      </c>
      <c r="AX3985" s="83" t="str">
        <f t="array" ref="AX3985">IFERROR(DGET('SBV Import'!A:G,"SBV",{"RSC ID","Tier";B3985,A3985}))</f>
        <v/>
      </c>
      <c r="AY3985" s="82" t="str">
        <f t="shared" si="2"/>
        <v/>
      </c>
      <c r="AZ3985" s="82"/>
      <c r="BA3985" s="84" t="s">
        <v>152</v>
      </c>
      <c r="BB3985" s="84" t="str">
        <f>IFERROR(__xludf.DUMMYFUNCTION("iferror(if(A3985="""",,E3985&gt;=FILTER(Constants!$F$2:$F$10,Constants!$A$2:$A$10=A3985)))"),"")</f>
        <v/>
      </c>
    </row>
    <row r="3986">
      <c r="A3986" s="89"/>
      <c r="B3986" s="87"/>
      <c r="C3986" s="73"/>
      <c r="D3986" s="73"/>
      <c r="E3986" s="82"/>
      <c r="F3986" s="82"/>
      <c r="G3986" s="86"/>
      <c r="H3986" s="86"/>
      <c r="I3986" s="86"/>
      <c r="J3986" s="82"/>
      <c r="K3986" s="82"/>
      <c r="L3986" s="82"/>
      <c r="M3986" s="82"/>
      <c r="N3986" s="82"/>
      <c r="O3986" s="82"/>
      <c r="P3986" s="82"/>
      <c r="Q3986" s="82"/>
      <c r="R3986" s="82"/>
      <c r="S3986" s="82"/>
      <c r="T3986" s="82"/>
      <c r="U3986" s="82"/>
      <c r="V3986" s="82"/>
      <c r="W3986" s="82"/>
      <c r="X3986" s="82"/>
      <c r="Y3986" s="82"/>
      <c r="Z3986" s="82"/>
      <c r="AA3986" s="82"/>
      <c r="AB3986" s="82"/>
      <c r="AC3986" s="82"/>
      <c r="AD3986" s="82"/>
      <c r="AE3986" s="82"/>
      <c r="AF3986" s="82"/>
      <c r="AG3986" s="82"/>
      <c r="AH3986" s="82"/>
      <c r="AI3986" s="82"/>
      <c r="AJ3986" s="82"/>
      <c r="AK3986" s="82"/>
      <c r="AL3986" s="82"/>
      <c r="AM3986" s="82"/>
      <c r="AN3986" s="82"/>
      <c r="AO3986" s="82"/>
      <c r="AP3986" s="82"/>
      <c r="AQ3986" s="82"/>
      <c r="AR3986" s="82"/>
      <c r="AS3986" s="82"/>
      <c r="AT3986" s="82"/>
      <c r="AU3986" s="82"/>
      <c r="AV3986" s="82"/>
      <c r="AW3986" s="82" t="str">
        <f t="shared" si="1"/>
        <v/>
      </c>
      <c r="AX3986" s="83" t="str">
        <f t="array" ref="AX3986">IFERROR(DGET('SBV Import'!A:G,"SBV",{"RSC ID","Tier";B3986,A3986}))</f>
        <v/>
      </c>
      <c r="AY3986" s="82" t="str">
        <f t="shared" si="2"/>
        <v/>
      </c>
      <c r="AZ3986" s="82"/>
      <c r="BA3986" s="84" t="s">
        <v>152</v>
      </c>
      <c r="BB3986" s="84" t="str">
        <f>IFERROR(__xludf.DUMMYFUNCTION("iferror(if(A3986="""",,E3986&gt;=FILTER(Constants!$F$2:$F$10,Constants!$A$2:$A$10=A3986)))"),"")</f>
        <v/>
      </c>
    </row>
    <row r="3987">
      <c r="A3987" s="89"/>
      <c r="B3987" s="87"/>
      <c r="C3987" s="73"/>
      <c r="D3987" s="73"/>
      <c r="E3987" s="82"/>
      <c r="F3987" s="82"/>
      <c r="G3987" s="86"/>
      <c r="H3987" s="86"/>
      <c r="I3987" s="86"/>
      <c r="J3987" s="82"/>
      <c r="K3987" s="82"/>
      <c r="L3987" s="82"/>
      <c r="M3987" s="82"/>
      <c r="N3987" s="82"/>
      <c r="O3987" s="82"/>
      <c r="P3987" s="82"/>
      <c r="Q3987" s="82"/>
      <c r="R3987" s="82"/>
      <c r="S3987" s="82"/>
      <c r="T3987" s="82"/>
      <c r="U3987" s="82"/>
      <c r="V3987" s="82"/>
      <c r="W3987" s="82"/>
      <c r="X3987" s="82"/>
      <c r="Y3987" s="82"/>
      <c r="Z3987" s="82"/>
      <c r="AA3987" s="82"/>
      <c r="AB3987" s="82"/>
      <c r="AC3987" s="82"/>
      <c r="AD3987" s="82"/>
      <c r="AE3987" s="82"/>
      <c r="AF3987" s="82"/>
      <c r="AG3987" s="82"/>
      <c r="AH3987" s="82"/>
      <c r="AI3987" s="82"/>
      <c r="AJ3987" s="82"/>
      <c r="AK3987" s="82"/>
      <c r="AL3987" s="82"/>
      <c r="AM3987" s="82"/>
      <c r="AN3987" s="82"/>
      <c r="AO3987" s="82"/>
      <c r="AP3987" s="82"/>
      <c r="AQ3987" s="82"/>
      <c r="AR3987" s="82"/>
      <c r="AS3987" s="82"/>
      <c r="AT3987" s="82"/>
      <c r="AU3987" s="82"/>
      <c r="AV3987" s="82"/>
      <c r="AW3987" s="82" t="str">
        <f t="shared" si="1"/>
        <v/>
      </c>
      <c r="AX3987" s="83" t="str">
        <f t="array" ref="AX3987">IFERROR(DGET('SBV Import'!A:G,"SBV",{"RSC ID","Tier";B3987,A3987}))</f>
        <v/>
      </c>
      <c r="AY3987" s="82" t="str">
        <f t="shared" si="2"/>
        <v/>
      </c>
      <c r="AZ3987" s="82"/>
      <c r="BA3987" s="84" t="s">
        <v>152</v>
      </c>
      <c r="BB3987" s="84" t="str">
        <f>IFERROR(__xludf.DUMMYFUNCTION("iferror(if(A3987="""",,E3987&gt;=FILTER(Constants!$F$2:$F$10,Constants!$A$2:$A$10=A3987)))"),"")</f>
        <v/>
      </c>
    </row>
    <row r="3988">
      <c r="A3988" s="89"/>
      <c r="B3988" s="87"/>
      <c r="C3988" s="73"/>
      <c r="D3988" s="73"/>
      <c r="E3988" s="82"/>
      <c r="F3988" s="82"/>
      <c r="G3988" s="86"/>
      <c r="H3988" s="86"/>
      <c r="I3988" s="86"/>
      <c r="J3988" s="82"/>
      <c r="K3988" s="82"/>
      <c r="L3988" s="82"/>
      <c r="M3988" s="82"/>
      <c r="N3988" s="82"/>
      <c r="O3988" s="82"/>
      <c r="P3988" s="82"/>
      <c r="Q3988" s="82"/>
      <c r="R3988" s="82"/>
      <c r="S3988" s="82"/>
      <c r="T3988" s="82"/>
      <c r="U3988" s="82"/>
      <c r="V3988" s="82"/>
      <c r="W3988" s="82"/>
      <c r="X3988" s="82"/>
      <c r="Y3988" s="82"/>
      <c r="Z3988" s="82"/>
      <c r="AA3988" s="82"/>
      <c r="AB3988" s="82"/>
      <c r="AC3988" s="82"/>
      <c r="AD3988" s="82"/>
      <c r="AE3988" s="82"/>
      <c r="AF3988" s="82"/>
      <c r="AG3988" s="82"/>
      <c r="AH3988" s="82"/>
      <c r="AI3988" s="82"/>
      <c r="AJ3988" s="82"/>
      <c r="AK3988" s="82"/>
      <c r="AL3988" s="82"/>
      <c r="AM3988" s="82"/>
      <c r="AN3988" s="82"/>
      <c r="AO3988" s="82"/>
      <c r="AP3988" s="82"/>
      <c r="AQ3988" s="82"/>
      <c r="AR3988" s="82"/>
      <c r="AS3988" s="82"/>
      <c r="AT3988" s="82"/>
      <c r="AU3988" s="82"/>
      <c r="AV3988" s="82"/>
      <c r="AW3988" s="82" t="str">
        <f t="shared" si="1"/>
        <v/>
      </c>
      <c r="AX3988" s="83" t="str">
        <f t="array" ref="AX3988">IFERROR(DGET('SBV Import'!A:G,"SBV",{"RSC ID","Tier";B3988,A3988}))</f>
        <v/>
      </c>
      <c r="AY3988" s="82" t="str">
        <f t="shared" si="2"/>
        <v/>
      </c>
      <c r="AZ3988" s="82"/>
      <c r="BA3988" s="84" t="s">
        <v>152</v>
      </c>
      <c r="BB3988" s="84" t="str">
        <f>IFERROR(__xludf.DUMMYFUNCTION("iferror(if(A3988="""",,E3988&gt;=FILTER(Constants!$F$2:$F$10,Constants!$A$2:$A$10=A3988)))"),"")</f>
        <v/>
      </c>
    </row>
    <row r="3989">
      <c r="A3989" s="89"/>
      <c r="B3989" s="87"/>
      <c r="C3989" s="73"/>
      <c r="D3989" s="73"/>
      <c r="E3989" s="82"/>
      <c r="F3989" s="82"/>
      <c r="G3989" s="86"/>
      <c r="H3989" s="86"/>
      <c r="I3989" s="86"/>
      <c r="J3989" s="82"/>
      <c r="K3989" s="82"/>
      <c r="L3989" s="82"/>
      <c r="M3989" s="82"/>
      <c r="N3989" s="82"/>
      <c r="O3989" s="82"/>
      <c r="P3989" s="82"/>
      <c r="Q3989" s="82"/>
      <c r="R3989" s="82"/>
      <c r="S3989" s="82"/>
      <c r="T3989" s="82"/>
      <c r="U3989" s="82"/>
      <c r="V3989" s="82"/>
      <c r="W3989" s="82"/>
      <c r="X3989" s="82"/>
      <c r="Y3989" s="82"/>
      <c r="Z3989" s="82"/>
      <c r="AA3989" s="82"/>
      <c r="AB3989" s="82"/>
      <c r="AC3989" s="82"/>
      <c r="AD3989" s="82"/>
      <c r="AE3989" s="82"/>
      <c r="AF3989" s="82"/>
      <c r="AG3989" s="82"/>
      <c r="AH3989" s="82"/>
      <c r="AI3989" s="82"/>
      <c r="AJ3989" s="82"/>
      <c r="AK3989" s="82"/>
      <c r="AL3989" s="82"/>
      <c r="AM3989" s="82"/>
      <c r="AN3989" s="82"/>
      <c r="AO3989" s="82"/>
      <c r="AP3989" s="82"/>
      <c r="AQ3989" s="82"/>
      <c r="AR3989" s="82"/>
      <c r="AS3989" s="82"/>
      <c r="AT3989" s="82"/>
      <c r="AU3989" s="82"/>
      <c r="AV3989" s="82"/>
      <c r="AW3989" s="82" t="str">
        <f t="shared" si="1"/>
        <v/>
      </c>
      <c r="AX3989" s="83" t="str">
        <f t="array" ref="AX3989">IFERROR(DGET('SBV Import'!A:G,"SBV",{"RSC ID","Tier";B3989,A3989}))</f>
        <v/>
      </c>
      <c r="AY3989" s="82" t="str">
        <f t="shared" si="2"/>
        <v/>
      </c>
      <c r="AZ3989" s="82"/>
      <c r="BA3989" s="84" t="s">
        <v>152</v>
      </c>
      <c r="BB3989" s="84" t="str">
        <f>IFERROR(__xludf.DUMMYFUNCTION("iferror(if(A3989="""",,E3989&gt;=FILTER(Constants!$F$2:$F$10,Constants!$A$2:$A$10=A3989)))"),"")</f>
        <v/>
      </c>
    </row>
    <row r="3990">
      <c r="A3990" s="89"/>
      <c r="B3990" s="87"/>
      <c r="C3990" s="73"/>
      <c r="D3990" s="73"/>
      <c r="E3990" s="82"/>
      <c r="F3990" s="82"/>
      <c r="G3990" s="86"/>
      <c r="H3990" s="86"/>
      <c r="I3990" s="86"/>
      <c r="J3990" s="82"/>
      <c r="K3990" s="82"/>
      <c r="L3990" s="82"/>
      <c r="M3990" s="82"/>
      <c r="N3990" s="82"/>
      <c r="O3990" s="82"/>
      <c r="P3990" s="82"/>
      <c r="Q3990" s="82"/>
      <c r="R3990" s="82"/>
      <c r="S3990" s="82"/>
      <c r="T3990" s="82"/>
      <c r="U3990" s="82"/>
      <c r="V3990" s="82"/>
      <c r="W3990" s="82"/>
      <c r="X3990" s="82"/>
      <c r="Y3990" s="82"/>
      <c r="Z3990" s="82"/>
      <c r="AA3990" s="82"/>
      <c r="AB3990" s="82"/>
      <c r="AC3990" s="82"/>
      <c r="AD3990" s="82"/>
      <c r="AE3990" s="82"/>
      <c r="AF3990" s="82"/>
      <c r="AG3990" s="82"/>
      <c r="AH3990" s="82"/>
      <c r="AI3990" s="82"/>
      <c r="AJ3990" s="82"/>
      <c r="AK3990" s="82"/>
      <c r="AL3990" s="82"/>
      <c r="AM3990" s="82"/>
      <c r="AN3990" s="82"/>
      <c r="AO3990" s="82"/>
      <c r="AP3990" s="82"/>
      <c r="AQ3990" s="82"/>
      <c r="AR3990" s="82"/>
      <c r="AS3990" s="82"/>
      <c r="AT3990" s="82"/>
      <c r="AU3990" s="82"/>
      <c r="AV3990" s="82"/>
      <c r="AW3990" s="82" t="str">
        <f t="shared" si="1"/>
        <v/>
      </c>
      <c r="AX3990" s="83" t="str">
        <f t="array" ref="AX3990">IFERROR(DGET('SBV Import'!A:G,"SBV",{"RSC ID","Tier";B3990,A3990}))</f>
        <v/>
      </c>
      <c r="AY3990" s="82" t="str">
        <f t="shared" si="2"/>
        <v/>
      </c>
      <c r="AZ3990" s="82"/>
      <c r="BA3990" s="84" t="s">
        <v>152</v>
      </c>
      <c r="BB3990" s="84" t="str">
        <f>IFERROR(__xludf.DUMMYFUNCTION("iferror(if(A3990="""",,E3990&gt;=FILTER(Constants!$F$2:$F$10,Constants!$A$2:$A$10=A3990)))"),"")</f>
        <v/>
      </c>
    </row>
    <row r="3991">
      <c r="A3991" s="89"/>
      <c r="B3991" s="87"/>
      <c r="C3991" s="73"/>
      <c r="D3991" s="73"/>
      <c r="E3991" s="82"/>
      <c r="F3991" s="82"/>
      <c r="G3991" s="86"/>
      <c r="H3991" s="86"/>
      <c r="I3991" s="86"/>
      <c r="J3991" s="82"/>
      <c r="K3991" s="82"/>
      <c r="L3991" s="82"/>
      <c r="M3991" s="82"/>
      <c r="N3991" s="82"/>
      <c r="O3991" s="82"/>
      <c r="P3991" s="82"/>
      <c r="Q3991" s="82"/>
      <c r="R3991" s="82"/>
      <c r="S3991" s="82"/>
      <c r="T3991" s="82"/>
      <c r="U3991" s="82"/>
      <c r="V3991" s="82"/>
      <c r="W3991" s="82"/>
      <c r="X3991" s="82"/>
      <c r="Y3991" s="82"/>
      <c r="Z3991" s="82"/>
      <c r="AA3991" s="82"/>
      <c r="AB3991" s="82"/>
      <c r="AC3991" s="82"/>
      <c r="AD3991" s="82"/>
      <c r="AE3991" s="82"/>
      <c r="AF3991" s="82"/>
      <c r="AG3991" s="82"/>
      <c r="AH3991" s="82"/>
      <c r="AI3991" s="82"/>
      <c r="AJ3991" s="82"/>
      <c r="AK3991" s="82"/>
      <c r="AL3991" s="82"/>
      <c r="AM3991" s="82"/>
      <c r="AN3991" s="82"/>
      <c r="AO3991" s="82"/>
      <c r="AP3991" s="82"/>
      <c r="AQ3991" s="82"/>
      <c r="AR3991" s="82"/>
      <c r="AS3991" s="82"/>
      <c r="AT3991" s="82"/>
      <c r="AU3991" s="82"/>
      <c r="AV3991" s="82"/>
      <c r="AW3991" s="82" t="str">
        <f t="shared" si="1"/>
        <v/>
      </c>
      <c r="AX3991" s="83" t="str">
        <f t="array" ref="AX3991">IFERROR(DGET('SBV Import'!A:G,"SBV",{"RSC ID","Tier";B3991,A3991}))</f>
        <v/>
      </c>
      <c r="AY3991" s="82" t="str">
        <f t="shared" si="2"/>
        <v/>
      </c>
      <c r="AZ3991" s="82"/>
      <c r="BA3991" s="84" t="s">
        <v>152</v>
      </c>
      <c r="BB3991" s="84" t="str">
        <f>IFERROR(__xludf.DUMMYFUNCTION("iferror(if(A3991="""",,E3991&gt;=FILTER(Constants!$F$2:$F$10,Constants!$A$2:$A$10=A3991)))"),"")</f>
        <v/>
      </c>
    </row>
    <row r="3992">
      <c r="A3992" s="89"/>
      <c r="B3992" s="87"/>
      <c r="C3992" s="73"/>
      <c r="D3992" s="73"/>
      <c r="E3992" s="82"/>
      <c r="F3992" s="82"/>
      <c r="G3992" s="86"/>
      <c r="H3992" s="86"/>
      <c r="I3992" s="86"/>
      <c r="J3992" s="82"/>
      <c r="K3992" s="82"/>
      <c r="L3992" s="82"/>
      <c r="M3992" s="82"/>
      <c r="N3992" s="82"/>
      <c r="O3992" s="82"/>
      <c r="P3992" s="82"/>
      <c r="Q3992" s="82"/>
      <c r="R3992" s="82"/>
      <c r="S3992" s="82"/>
      <c r="T3992" s="82"/>
      <c r="U3992" s="82"/>
      <c r="V3992" s="82"/>
      <c r="W3992" s="82"/>
      <c r="X3992" s="82"/>
      <c r="Y3992" s="82"/>
      <c r="Z3992" s="82"/>
      <c r="AA3992" s="82"/>
      <c r="AB3992" s="82"/>
      <c r="AC3992" s="82"/>
      <c r="AD3992" s="82"/>
      <c r="AE3992" s="82"/>
      <c r="AF3992" s="82"/>
      <c r="AG3992" s="82"/>
      <c r="AH3992" s="82"/>
      <c r="AI3992" s="82"/>
      <c r="AJ3992" s="82"/>
      <c r="AK3992" s="82"/>
      <c r="AL3992" s="82"/>
      <c r="AM3992" s="82"/>
      <c r="AN3992" s="82"/>
      <c r="AO3992" s="82"/>
      <c r="AP3992" s="82"/>
      <c r="AQ3992" s="82"/>
      <c r="AR3992" s="82"/>
      <c r="AS3992" s="82"/>
      <c r="AT3992" s="82"/>
      <c r="AU3992" s="82"/>
      <c r="AV3992" s="82"/>
      <c r="AW3992" s="82" t="str">
        <f t="shared" si="1"/>
        <v/>
      </c>
      <c r="AX3992" s="83" t="str">
        <f t="array" ref="AX3992">IFERROR(DGET('SBV Import'!A:G,"SBV",{"RSC ID","Tier";B3992,A3992}))</f>
        <v/>
      </c>
      <c r="AY3992" s="82" t="str">
        <f t="shared" si="2"/>
        <v/>
      </c>
      <c r="AZ3992" s="82"/>
      <c r="BA3992" s="84" t="s">
        <v>152</v>
      </c>
      <c r="BB3992" s="84" t="str">
        <f>IFERROR(__xludf.DUMMYFUNCTION("iferror(if(A3992="""",,E3992&gt;=FILTER(Constants!$F$2:$F$10,Constants!$A$2:$A$10=A3992)))"),"")</f>
        <v/>
      </c>
    </row>
    <row r="3993">
      <c r="A3993" s="89"/>
      <c r="B3993" s="87"/>
      <c r="C3993" s="73"/>
      <c r="D3993" s="73"/>
      <c r="E3993" s="82"/>
      <c r="F3993" s="82"/>
      <c r="G3993" s="86"/>
      <c r="H3993" s="86"/>
      <c r="I3993" s="86"/>
      <c r="J3993" s="82"/>
      <c r="K3993" s="82"/>
      <c r="L3993" s="82"/>
      <c r="M3993" s="82"/>
      <c r="N3993" s="82"/>
      <c r="O3993" s="82"/>
      <c r="P3993" s="82"/>
      <c r="Q3993" s="82"/>
      <c r="R3993" s="82"/>
      <c r="S3993" s="82"/>
      <c r="T3993" s="82"/>
      <c r="U3993" s="82"/>
      <c r="V3993" s="82"/>
      <c r="W3993" s="82"/>
      <c r="X3993" s="82"/>
      <c r="Y3993" s="82"/>
      <c r="Z3993" s="82"/>
      <c r="AA3993" s="82"/>
      <c r="AB3993" s="82"/>
      <c r="AC3993" s="82"/>
      <c r="AD3993" s="82"/>
      <c r="AE3993" s="82"/>
      <c r="AF3993" s="82"/>
      <c r="AG3993" s="82"/>
      <c r="AH3993" s="82"/>
      <c r="AI3993" s="82"/>
      <c r="AJ3993" s="82"/>
      <c r="AK3993" s="82"/>
      <c r="AL3993" s="82"/>
      <c r="AM3993" s="82"/>
      <c r="AN3993" s="82"/>
      <c r="AO3993" s="82"/>
      <c r="AP3993" s="82"/>
      <c r="AQ3993" s="82"/>
      <c r="AR3993" s="82"/>
      <c r="AS3993" s="82"/>
      <c r="AT3993" s="82"/>
      <c r="AU3993" s="82"/>
      <c r="AV3993" s="82"/>
      <c r="AW3993" s="82" t="str">
        <f t="shared" si="1"/>
        <v/>
      </c>
      <c r="AX3993" s="83" t="str">
        <f t="array" ref="AX3993">IFERROR(DGET('SBV Import'!A:G,"SBV",{"RSC ID","Tier";B3993,A3993}))</f>
        <v/>
      </c>
      <c r="AY3993" s="82" t="str">
        <f t="shared" si="2"/>
        <v/>
      </c>
      <c r="AZ3993" s="82"/>
      <c r="BA3993" s="84" t="s">
        <v>152</v>
      </c>
      <c r="BB3993" s="84" t="str">
        <f>IFERROR(__xludf.DUMMYFUNCTION("iferror(if(A3993="""",,E3993&gt;=FILTER(Constants!$F$2:$F$10,Constants!$A$2:$A$10=A3993)))"),"")</f>
        <v/>
      </c>
    </row>
    <row r="3994">
      <c r="A3994" s="89"/>
      <c r="B3994" s="87"/>
      <c r="C3994" s="73"/>
      <c r="D3994" s="73"/>
      <c r="E3994" s="82"/>
      <c r="F3994" s="82"/>
      <c r="G3994" s="86"/>
      <c r="H3994" s="86"/>
      <c r="I3994" s="86"/>
      <c r="J3994" s="82"/>
      <c r="K3994" s="82"/>
      <c r="L3994" s="82"/>
      <c r="M3994" s="82"/>
      <c r="N3994" s="82"/>
      <c r="O3994" s="82"/>
      <c r="P3994" s="82"/>
      <c r="Q3994" s="82"/>
      <c r="R3994" s="82"/>
      <c r="S3994" s="82"/>
      <c r="T3994" s="82"/>
      <c r="U3994" s="82"/>
      <c r="V3994" s="82"/>
      <c r="W3994" s="82"/>
      <c r="X3994" s="82"/>
      <c r="Y3994" s="82"/>
      <c r="Z3994" s="82"/>
      <c r="AA3994" s="82"/>
      <c r="AB3994" s="82"/>
      <c r="AC3994" s="82"/>
      <c r="AD3994" s="82"/>
      <c r="AE3994" s="82"/>
      <c r="AF3994" s="82"/>
      <c r="AG3994" s="82"/>
      <c r="AH3994" s="82"/>
      <c r="AI3994" s="82"/>
      <c r="AJ3994" s="82"/>
      <c r="AK3994" s="82"/>
      <c r="AL3994" s="82"/>
      <c r="AM3994" s="82"/>
      <c r="AN3994" s="82"/>
      <c r="AO3994" s="82"/>
      <c r="AP3994" s="82"/>
      <c r="AQ3994" s="82"/>
      <c r="AR3994" s="82"/>
      <c r="AS3994" s="82"/>
      <c r="AT3994" s="82"/>
      <c r="AU3994" s="82"/>
      <c r="AV3994" s="82"/>
      <c r="AW3994" s="82" t="str">
        <f t="shared" si="1"/>
        <v/>
      </c>
      <c r="AX3994" s="83" t="str">
        <f t="array" ref="AX3994">IFERROR(DGET('SBV Import'!A:G,"SBV",{"RSC ID","Tier";B3994,A3994}))</f>
        <v/>
      </c>
      <c r="AY3994" s="82" t="str">
        <f t="shared" si="2"/>
        <v/>
      </c>
      <c r="AZ3994" s="82"/>
      <c r="BA3994" s="84" t="s">
        <v>152</v>
      </c>
      <c r="BB3994" s="84" t="str">
        <f>IFERROR(__xludf.DUMMYFUNCTION("iferror(if(A3994="""",,E3994&gt;=FILTER(Constants!$F$2:$F$10,Constants!$A$2:$A$10=A3994)))"),"")</f>
        <v/>
      </c>
    </row>
    <row r="3995">
      <c r="A3995" s="89"/>
      <c r="B3995" s="87"/>
      <c r="C3995" s="73"/>
      <c r="D3995" s="73"/>
      <c r="E3995" s="82"/>
      <c r="F3995" s="82"/>
      <c r="G3995" s="86"/>
      <c r="H3995" s="86"/>
      <c r="I3995" s="86"/>
      <c r="J3995" s="82"/>
      <c r="K3995" s="82"/>
      <c r="L3995" s="82"/>
      <c r="M3995" s="82"/>
      <c r="N3995" s="82"/>
      <c r="O3995" s="82"/>
      <c r="P3995" s="82"/>
      <c r="Q3995" s="82"/>
      <c r="R3995" s="82"/>
      <c r="S3995" s="82"/>
      <c r="T3995" s="82"/>
      <c r="U3995" s="82"/>
      <c r="V3995" s="82"/>
      <c r="W3995" s="82"/>
      <c r="X3995" s="82"/>
      <c r="Y3995" s="82"/>
      <c r="Z3995" s="82"/>
      <c r="AA3995" s="82"/>
      <c r="AB3995" s="82"/>
      <c r="AC3995" s="82"/>
      <c r="AD3995" s="82"/>
      <c r="AE3995" s="82"/>
      <c r="AF3995" s="82"/>
      <c r="AG3995" s="82"/>
      <c r="AH3995" s="82"/>
      <c r="AI3995" s="82"/>
      <c r="AJ3995" s="82"/>
      <c r="AK3995" s="82"/>
      <c r="AL3995" s="82"/>
      <c r="AM3995" s="82"/>
      <c r="AN3995" s="82"/>
      <c r="AO3995" s="82"/>
      <c r="AP3995" s="82"/>
      <c r="AQ3995" s="82"/>
      <c r="AR3995" s="82"/>
      <c r="AS3995" s="82"/>
      <c r="AT3995" s="82"/>
      <c r="AU3995" s="82"/>
      <c r="AV3995" s="82"/>
      <c r="AW3995" s="82" t="str">
        <f t="shared" si="1"/>
        <v/>
      </c>
      <c r="AX3995" s="83" t="str">
        <f t="array" ref="AX3995">IFERROR(DGET('SBV Import'!A:G,"SBV",{"RSC ID","Tier";B3995,A3995}))</f>
        <v/>
      </c>
      <c r="AY3995" s="82" t="str">
        <f t="shared" si="2"/>
        <v/>
      </c>
      <c r="AZ3995" s="82"/>
      <c r="BA3995" s="84" t="s">
        <v>152</v>
      </c>
      <c r="BB3995" s="84" t="str">
        <f>IFERROR(__xludf.DUMMYFUNCTION("iferror(if(A3995="""",,E3995&gt;=FILTER(Constants!$F$2:$F$10,Constants!$A$2:$A$10=A3995)))"),"")</f>
        <v/>
      </c>
    </row>
    <row r="3996">
      <c r="A3996" s="89"/>
      <c r="B3996" s="87"/>
      <c r="C3996" s="73"/>
      <c r="D3996" s="73"/>
      <c r="E3996" s="82"/>
      <c r="F3996" s="82"/>
      <c r="G3996" s="86"/>
      <c r="H3996" s="86"/>
      <c r="I3996" s="86"/>
      <c r="J3996" s="82"/>
      <c r="K3996" s="82"/>
      <c r="L3996" s="82"/>
      <c r="M3996" s="82"/>
      <c r="N3996" s="82"/>
      <c r="O3996" s="82"/>
      <c r="P3996" s="82"/>
      <c r="Q3996" s="82"/>
      <c r="R3996" s="82"/>
      <c r="S3996" s="82"/>
      <c r="T3996" s="82"/>
      <c r="U3996" s="82"/>
      <c r="V3996" s="82"/>
      <c r="W3996" s="82"/>
      <c r="X3996" s="82"/>
      <c r="Y3996" s="82"/>
      <c r="Z3996" s="82"/>
      <c r="AA3996" s="82"/>
      <c r="AB3996" s="82"/>
      <c r="AC3996" s="82"/>
      <c r="AD3996" s="82"/>
      <c r="AE3996" s="82"/>
      <c r="AF3996" s="82"/>
      <c r="AG3996" s="82"/>
      <c r="AH3996" s="82"/>
      <c r="AI3996" s="82"/>
      <c r="AJ3996" s="82"/>
      <c r="AK3996" s="82"/>
      <c r="AL3996" s="82"/>
      <c r="AM3996" s="82"/>
      <c r="AN3996" s="82"/>
      <c r="AO3996" s="82"/>
      <c r="AP3996" s="82"/>
      <c r="AQ3996" s="82"/>
      <c r="AR3996" s="82"/>
      <c r="AS3996" s="82"/>
      <c r="AT3996" s="82"/>
      <c r="AU3996" s="82"/>
      <c r="AV3996" s="82"/>
      <c r="AW3996" s="82" t="str">
        <f t="shared" si="1"/>
        <v/>
      </c>
      <c r="AX3996" s="83" t="str">
        <f t="array" ref="AX3996">IFERROR(DGET('SBV Import'!A:G,"SBV",{"RSC ID","Tier";B3996,A3996}))</f>
        <v/>
      </c>
      <c r="AY3996" s="82" t="str">
        <f t="shared" si="2"/>
        <v/>
      </c>
      <c r="AZ3996" s="82"/>
      <c r="BA3996" s="84" t="s">
        <v>152</v>
      </c>
      <c r="BB3996" s="84" t="str">
        <f>IFERROR(__xludf.DUMMYFUNCTION("iferror(if(A3996="""",,E3996&gt;=FILTER(Constants!$F$2:$F$10,Constants!$A$2:$A$10=A3996)))"),"")</f>
        <v/>
      </c>
    </row>
    <row r="3997">
      <c r="A3997" s="89"/>
      <c r="B3997" s="87"/>
      <c r="C3997" s="73"/>
      <c r="D3997" s="73"/>
      <c r="E3997" s="82"/>
      <c r="F3997" s="82"/>
      <c r="G3997" s="86"/>
      <c r="H3997" s="86"/>
      <c r="I3997" s="86"/>
      <c r="J3997" s="82"/>
      <c r="K3997" s="82"/>
      <c r="L3997" s="82"/>
      <c r="M3997" s="82"/>
      <c r="N3997" s="82"/>
      <c r="O3997" s="82"/>
      <c r="P3997" s="82"/>
      <c r="Q3997" s="82"/>
      <c r="R3997" s="82"/>
      <c r="S3997" s="82"/>
      <c r="T3997" s="82"/>
      <c r="U3997" s="82"/>
      <c r="V3997" s="82"/>
      <c r="W3997" s="82"/>
      <c r="X3997" s="82"/>
      <c r="Y3997" s="82"/>
      <c r="Z3997" s="82"/>
      <c r="AA3997" s="82"/>
      <c r="AB3997" s="82"/>
      <c r="AC3997" s="82"/>
      <c r="AD3997" s="82"/>
      <c r="AE3997" s="82"/>
      <c r="AF3997" s="82"/>
      <c r="AG3997" s="82"/>
      <c r="AH3997" s="82"/>
      <c r="AI3997" s="82"/>
      <c r="AJ3997" s="82"/>
      <c r="AK3997" s="82"/>
      <c r="AL3997" s="82"/>
      <c r="AM3997" s="82"/>
      <c r="AN3997" s="82"/>
      <c r="AO3997" s="82"/>
      <c r="AP3997" s="82"/>
      <c r="AQ3997" s="82"/>
      <c r="AR3997" s="82"/>
      <c r="AS3997" s="82"/>
      <c r="AT3997" s="82"/>
      <c r="AU3997" s="82"/>
      <c r="AV3997" s="82"/>
      <c r="AW3997" s="82" t="str">
        <f t="shared" si="1"/>
        <v/>
      </c>
      <c r="AX3997" s="83" t="str">
        <f t="array" ref="AX3997">IFERROR(DGET('SBV Import'!A:G,"SBV",{"RSC ID","Tier";B3997,A3997}))</f>
        <v/>
      </c>
      <c r="AY3997" s="82" t="str">
        <f t="shared" si="2"/>
        <v/>
      </c>
      <c r="AZ3997" s="82"/>
      <c r="BA3997" s="84" t="s">
        <v>152</v>
      </c>
      <c r="BB3997" s="84" t="str">
        <f>IFERROR(__xludf.DUMMYFUNCTION("iferror(if(A3997="""",,E3997&gt;=FILTER(Constants!$F$2:$F$10,Constants!$A$2:$A$10=A3997)))"),"")</f>
        <v/>
      </c>
    </row>
    <row r="3998">
      <c r="A3998" s="89"/>
      <c r="B3998" s="87"/>
      <c r="C3998" s="73"/>
      <c r="D3998" s="73"/>
      <c r="E3998" s="82"/>
      <c r="F3998" s="82"/>
      <c r="G3998" s="86"/>
      <c r="H3998" s="86"/>
      <c r="I3998" s="86"/>
      <c r="J3998" s="82"/>
      <c r="K3998" s="82"/>
      <c r="L3998" s="82"/>
      <c r="M3998" s="82"/>
      <c r="N3998" s="82"/>
      <c r="O3998" s="82"/>
      <c r="P3998" s="82"/>
      <c r="Q3998" s="82"/>
      <c r="R3998" s="82"/>
      <c r="S3998" s="82"/>
      <c r="T3998" s="82"/>
      <c r="U3998" s="82"/>
      <c r="V3998" s="82"/>
      <c r="W3998" s="82"/>
      <c r="X3998" s="82"/>
      <c r="Y3998" s="82"/>
      <c r="Z3998" s="82"/>
      <c r="AA3998" s="82"/>
      <c r="AB3998" s="82"/>
      <c r="AC3998" s="82"/>
      <c r="AD3998" s="82"/>
      <c r="AE3998" s="82"/>
      <c r="AF3998" s="82"/>
      <c r="AG3998" s="82"/>
      <c r="AH3998" s="82"/>
      <c r="AI3998" s="82"/>
      <c r="AJ3998" s="82"/>
      <c r="AK3998" s="82"/>
      <c r="AL3998" s="82"/>
      <c r="AM3998" s="82"/>
      <c r="AN3998" s="82"/>
      <c r="AO3998" s="82"/>
      <c r="AP3998" s="82"/>
      <c r="AQ3998" s="82"/>
      <c r="AR3998" s="82"/>
      <c r="AS3998" s="82"/>
      <c r="AT3998" s="82"/>
      <c r="AU3998" s="82"/>
      <c r="AV3998" s="82"/>
      <c r="AW3998" s="82" t="str">
        <f t="shared" si="1"/>
        <v/>
      </c>
      <c r="AX3998" s="83" t="str">
        <f t="array" ref="AX3998">IFERROR(DGET('SBV Import'!A:G,"SBV",{"RSC ID","Tier";B3998,A3998}))</f>
        <v/>
      </c>
      <c r="AY3998" s="82" t="str">
        <f t="shared" si="2"/>
        <v/>
      </c>
      <c r="AZ3998" s="82"/>
      <c r="BA3998" s="84" t="s">
        <v>152</v>
      </c>
      <c r="BB3998" s="84" t="str">
        <f>IFERROR(__xludf.DUMMYFUNCTION("iferror(if(A3998="""",,E3998&gt;=FILTER(Constants!$F$2:$F$10,Constants!$A$2:$A$10=A3998)))"),"")</f>
        <v/>
      </c>
    </row>
    <row r="3999">
      <c r="A3999" s="89"/>
      <c r="B3999" s="87"/>
      <c r="C3999" s="73"/>
      <c r="D3999" s="73"/>
      <c r="E3999" s="82"/>
      <c r="F3999" s="82"/>
      <c r="G3999" s="86"/>
      <c r="H3999" s="86"/>
      <c r="I3999" s="86"/>
      <c r="J3999" s="82"/>
      <c r="K3999" s="82"/>
      <c r="L3999" s="82"/>
      <c r="M3999" s="82"/>
      <c r="N3999" s="82"/>
      <c r="O3999" s="82"/>
      <c r="P3999" s="82"/>
      <c r="Q3999" s="82"/>
      <c r="R3999" s="82"/>
      <c r="S3999" s="82"/>
      <c r="T3999" s="82"/>
      <c r="U3999" s="82"/>
      <c r="V3999" s="82"/>
      <c r="W3999" s="82"/>
      <c r="X3999" s="82"/>
      <c r="Y3999" s="82"/>
      <c r="Z3999" s="82"/>
      <c r="AA3999" s="82"/>
      <c r="AB3999" s="82"/>
      <c r="AC3999" s="82"/>
      <c r="AD3999" s="82"/>
      <c r="AE3999" s="82"/>
      <c r="AF3999" s="82"/>
      <c r="AG3999" s="82"/>
      <c r="AH3999" s="82"/>
      <c r="AI3999" s="82"/>
      <c r="AJ3999" s="82"/>
      <c r="AK3999" s="82"/>
      <c r="AL3999" s="82"/>
      <c r="AM3999" s="82"/>
      <c r="AN3999" s="82"/>
      <c r="AO3999" s="82"/>
      <c r="AP3999" s="82"/>
      <c r="AQ3999" s="82"/>
      <c r="AR3999" s="82"/>
      <c r="AS3999" s="82"/>
      <c r="AT3999" s="82"/>
      <c r="AU3999" s="82"/>
      <c r="AV3999" s="82"/>
      <c r="AW3999" s="82" t="str">
        <f t="shared" si="1"/>
        <v/>
      </c>
      <c r="AX3999" s="83" t="str">
        <f t="array" ref="AX3999">IFERROR(DGET('SBV Import'!A:G,"SBV",{"RSC ID","Tier";B3999,A3999}))</f>
        <v/>
      </c>
      <c r="AY3999" s="82" t="str">
        <f t="shared" si="2"/>
        <v/>
      </c>
      <c r="AZ3999" s="82"/>
      <c r="BA3999" s="84" t="s">
        <v>152</v>
      </c>
      <c r="BB3999" s="84" t="str">
        <f>IFERROR(__xludf.DUMMYFUNCTION("iferror(if(A3999="""",,E3999&gt;=FILTER(Constants!$F$2:$F$10,Constants!$A$2:$A$10=A3999)))"),"")</f>
        <v/>
      </c>
    </row>
    <row r="4000">
      <c r="A4000" s="90" t="str">
        <f>IFERROR(__xludf.DUMMYFUNCTION("QUERY(IMPORTRANGE(Constants!$B10, ""'Player Stats'!A2:AV""), ""Select * order by Col48 desc"")"),"Amateur")</f>
        <v>Amateur</v>
      </c>
      <c r="B4000" s="87" t="str">
        <f>IFERROR(__xludf.DUMMYFUNCTION("""COMPUTED_VALUE"""),"RSC007179")</f>
        <v>RSC007179</v>
      </c>
      <c r="C4000" s="73" t="str">
        <f>IFERROR(__xludf.DUMMYFUNCTION("""COMPUTED_VALUE"""),"B0A._.")</f>
        <v>B0A._.</v>
      </c>
      <c r="D4000" s="73" t="str">
        <f>IFERROR(__xludf.DUMMYFUNCTION("""COMPUTED_VALUE"""),"Aeon Ale")</f>
        <v>Aeon Ale</v>
      </c>
      <c r="E4000" s="82">
        <f>IFERROR(__xludf.DUMMYFUNCTION("""COMPUTED_VALUE"""),8.0)</f>
        <v>8</v>
      </c>
      <c r="F4000" s="82">
        <f>IFERROR(__xludf.DUMMYFUNCTION("""COMPUTED_VALUE"""),5.0)</f>
        <v>5</v>
      </c>
      <c r="G4000" s="86">
        <f>IFERROR(__xludf.DUMMYFUNCTION("""COMPUTED_VALUE"""),3.0)</f>
        <v>3</v>
      </c>
      <c r="H4000" s="86">
        <f>IFERROR(__xludf.DUMMYFUNCTION("""COMPUTED_VALUE"""),0.625)</f>
        <v>0.625</v>
      </c>
      <c r="I4000" s="86">
        <f>IFERROR(__xludf.DUMMYFUNCTION("""COMPUTED_VALUE"""),0.6470588235294118)</f>
        <v>0.6470588235</v>
      </c>
      <c r="J4000" s="82">
        <f>IFERROR(__xludf.DUMMYFUNCTION("""COMPUTED_VALUE"""),398.375)</f>
        <v>398.375</v>
      </c>
      <c r="K4000" s="82">
        <f>IFERROR(__xludf.DUMMYFUNCTION("""COMPUTED_VALUE"""),1.375)</f>
        <v>1.375</v>
      </c>
      <c r="L4000" s="82">
        <f>IFERROR(__xludf.DUMMYFUNCTION("""COMPUTED_VALUE"""),0.875)</f>
        <v>0.875</v>
      </c>
      <c r="M4000" s="82">
        <f>IFERROR(__xludf.DUMMYFUNCTION("""COMPUTED_VALUE"""),0.875)</f>
        <v>0.875</v>
      </c>
      <c r="N4000" s="82">
        <f>IFERROR(__xludf.DUMMYFUNCTION("""COMPUTED_VALUE"""),2.125)</f>
        <v>2.125</v>
      </c>
      <c r="O4000" s="82">
        <f>IFERROR(__xludf.DUMMYFUNCTION("""COMPUTED_VALUE"""),297.125)</f>
        <v>297.125</v>
      </c>
      <c r="P4000" s="82">
        <f>IFERROR(__xludf.DUMMYFUNCTION("""COMPUTED_VALUE"""),0.75)</f>
        <v>0.75</v>
      </c>
      <c r="Q4000" s="82">
        <f>IFERROR(__xludf.DUMMYFUNCTION("""COMPUTED_VALUE"""),0.41666666666666663)</f>
        <v>0.4166666667</v>
      </c>
      <c r="R4000" s="82">
        <f>IFERROR(__xludf.DUMMYFUNCTION("""COMPUTED_VALUE"""),0.9583333333333331)</f>
        <v>0.9583333333</v>
      </c>
      <c r="S4000" s="82">
        <f>IFERROR(__xludf.DUMMYFUNCTION("""COMPUTED_VALUE"""),2.0)</f>
        <v>2</v>
      </c>
      <c r="T4000" s="82">
        <f>IFERROR(__xludf.DUMMYFUNCTION("""COMPUTED_VALUE"""),297.2148365374171)</f>
        <v>297.2148365</v>
      </c>
      <c r="U4000" s="82">
        <f>IFERROR(__xludf.DUMMYFUNCTION("""COMPUTED_VALUE"""),0.8467832446327072)</f>
        <v>0.8467832446</v>
      </c>
      <c r="V4000" s="82">
        <f>IFERROR(__xludf.DUMMYFUNCTION("""COMPUTED_VALUE"""),0.4413127692697585)</f>
        <v>0.4413127693</v>
      </c>
      <c r="W4000" s="82">
        <f>IFERROR(__xludf.DUMMYFUNCTION("""COMPUTED_VALUE"""),0.7712428948988088)</f>
        <v>0.7712428949</v>
      </c>
      <c r="X4000" s="82">
        <f>IFERROR(__xludf.DUMMYFUNCTION("""COMPUTED_VALUE"""),2.1177546070019186)</f>
        <v>2.117754607</v>
      </c>
      <c r="Y4000" s="82">
        <f>IFERROR(__xludf.DUMMYFUNCTION("""COMPUTED_VALUE"""),301.33973923826073)</f>
        <v>301.3397392</v>
      </c>
      <c r="Z4000" s="82">
        <f>IFERROR(__xludf.DUMMYFUNCTION("""COMPUTED_VALUE"""),0.859392913604383)</f>
        <v>0.8593929136</v>
      </c>
      <c r="AA4000" s="82">
        <f>IFERROR(__xludf.DUMMYFUNCTION("""COMPUTED_VALUE"""),0.49692866538744673)</f>
        <v>0.4969286654</v>
      </c>
      <c r="AB4000" s="82">
        <f>IFERROR(__xludf.DUMMYFUNCTION("""COMPUTED_VALUE"""),0.8472410786478886)</f>
        <v>0.8472410786</v>
      </c>
      <c r="AC4000" s="82">
        <f>IFERROR(__xludf.DUMMYFUNCTION("""COMPUTED_VALUE"""),2.012851031220207)</f>
        <v>2.012851031</v>
      </c>
      <c r="AD4000" s="82">
        <f>IFERROR(__xludf.DUMMYFUNCTION("""COMPUTED_VALUE"""),1.3220128251488803)</f>
        <v>1.322012825</v>
      </c>
      <c r="AE4000" s="82">
        <f>IFERROR(__xludf.DUMMYFUNCTION("""COMPUTED_VALUE"""),1.5999666488208606)</f>
        <v>1.599966649</v>
      </c>
      <c r="AF4000" s="82">
        <f>IFERROR(__xludf.DUMMYFUNCTION("""COMPUTED_VALUE"""),1.7608161109357165)</f>
        <v>1.760816111</v>
      </c>
      <c r="AG4000" s="82">
        <f>IFERROR(__xludf.DUMMYFUNCTION("""COMPUTED_VALUE"""),1.0327638992627834)</f>
        <v>1.032763899</v>
      </c>
      <c r="AH4000" s="82">
        <f>IFERROR(__xludf.DUMMYFUNCTION("""COMPUTED_VALUE"""),1.0557164772952956)</f>
        <v>1.055716477</v>
      </c>
      <c r="AI4000" s="82">
        <f>IFERROR(__xludf.DUMMYFUNCTION("""COMPUTED_VALUE"""),0.9996977387183503)</f>
        <v>0.9996977387</v>
      </c>
      <c r="AJ4000" s="82">
        <f>IFERROR(__xludf.DUMMYFUNCTION("""COMPUTED_VALUE"""),0.885704818504425)</f>
        <v>0.8857048185</v>
      </c>
      <c r="AK4000" s="82">
        <f>IFERROR(__xludf.DUMMYFUNCTION("""COMPUTED_VALUE"""),0.9441527544197875)</f>
        <v>0.9441527544</v>
      </c>
      <c r="AL4000" s="82">
        <f>IFERROR(__xludf.DUMMYFUNCTION("""COMPUTED_VALUE"""),1.2425830301607792)</f>
        <v>1.24258303</v>
      </c>
      <c r="AM4000" s="82">
        <f>IFERROR(__xludf.DUMMYFUNCTION("""COMPUTED_VALUE"""),0.9443964817205037)</f>
        <v>0.9443964817</v>
      </c>
      <c r="AN4000" s="82">
        <f>IFERROR(__xludf.DUMMYFUNCTION("""COMPUTED_VALUE"""),1.43417884907954)</f>
        <v>1.434178849</v>
      </c>
      <c r="AO4000" s="82">
        <f>IFERROR(__xludf.DUMMYFUNCTION("""COMPUTED_VALUE"""),1.8507567626140717)</f>
        <v>1.850756763</v>
      </c>
      <c r="AP4000" s="82">
        <f>IFERROR(__xludf.DUMMYFUNCTION("""COMPUTED_VALUE"""),2.0820890414359856)</f>
        <v>2.082089041</v>
      </c>
      <c r="AQ4000" s="82">
        <f>IFERROR(__xludf.DUMMYFUNCTION("""COMPUTED_VALUE"""),1.1100595844090801)</f>
        <v>1.110059584</v>
      </c>
      <c r="AR4000" s="82">
        <f>IFERROR(__xludf.DUMMYFUNCTION("""COMPUTED_VALUE"""),1.1128091771541888)</f>
        <v>1.112809177</v>
      </c>
      <c r="AS4000" s="82">
        <f>IFERROR(__xludf.DUMMYFUNCTION("""COMPUTED_VALUE"""),24.0)</f>
        <v>24</v>
      </c>
      <c r="AT4000" s="82">
        <f>IFERROR(__xludf.DUMMYFUNCTION("""COMPUTED_VALUE"""),0.6137300477595808)</f>
        <v>0.6137300478</v>
      </c>
      <c r="AU4000" s="82">
        <f>IFERROR(__xludf.DUMMYFUNCTION("""COMPUTED_VALUE"""),3.6089807048602887)</f>
        <v>3.608980705</v>
      </c>
      <c r="AV4000" s="82">
        <f>IFERROR(__xludf.DUMMYFUNCTION("""COMPUTED_VALUE"""),89.98346048945834)</f>
        <v>89.98346049</v>
      </c>
      <c r="AW4000" s="82">
        <f t="shared" si="1"/>
        <v>18.22399394</v>
      </c>
      <c r="AX4000" s="83">
        <f t="array" ref="AX4000">IFERROR(DGET('SBV Import'!A:G,"SBV",{"RSC ID","Tier";B4000,A4000}))</f>
        <v>90.76411677</v>
      </c>
      <c r="AY4000" s="82">
        <f t="shared" si="2"/>
        <v>19.42083027</v>
      </c>
      <c r="AZ4000" s="82">
        <v>1.196836331422329</v>
      </c>
      <c r="BA4000" s="84">
        <v>4000.0</v>
      </c>
      <c r="BB4000" s="84" t="b">
        <f>IFERROR(__xludf.DUMMYFUNCTION("iferror(if(A4000="""",,E4000&gt;=FILTER(Constants!$F$2:$F$10,Constants!$A$2:$A$10=A4000)))"),TRUE)</f>
        <v>1</v>
      </c>
    </row>
    <row r="4001">
      <c r="A4001" s="89" t="str">
        <f>IFERROR(__xludf.DUMMYFUNCTION("""COMPUTED_VALUE"""),"Amateur")</f>
        <v>Amateur</v>
      </c>
      <c r="B4001" s="87" t="str">
        <f>IFERROR(__xludf.DUMMYFUNCTION("""COMPUTED_VALUE"""),"RSC007464")</f>
        <v>RSC007464</v>
      </c>
      <c r="C4001" s="73" t="str">
        <f>IFERROR(__xludf.DUMMYFUNCTION("""COMPUTED_VALUE"""),"MoonKnight2")</f>
        <v>MoonKnight2</v>
      </c>
      <c r="D4001" s="73" t="str">
        <f>IFERROR(__xludf.DUMMYFUNCTION("""COMPUTED_VALUE"""),"Hyenas")</f>
        <v>Hyenas</v>
      </c>
      <c r="E4001" s="82">
        <f>IFERROR(__xludf.DUMMYFUNCTION("""COMPUTED_VALUE"""),35.0)</f>
        <v>35</v>
      </c>
      <c r="F4001" s="82">
        <f>IFERROR(__xludf.DUMMYFUNCTION("""COMPUTED_VALUE"""),25.0)</f>
        <v>25</v>
      </c>
      <c r="G4001" s="86">
        <f>IFERROR(__xludf.DUMMYFUNCTION("""COMPUTED_VALUE"""),10.0)</f>
        <v>10</v>
      </c>
      <c r="H4001" s="86">
        <f>IFERROR(__xludf.DUMMYFUNCTION("""COMPUTED_VALUE"""),0.7142857142857143)</f>
        <v>0.7142857143</v>
      </c>
      <c r="I4001" s="86">
        <f>IFERROR(__xludf.DUMMYFUNCTION("""COMPUTED_VALUE"""),0.3939393939393939)</f>
        <v>0.3939393939</v>
      </c>
      <c r="J4001" s="82">
        <f>IFERROR(__xludf.DUMMYFUNCTION("""COMPUTED_VALUE"""),371.0571428571429)</f>
        <v>371.0571429</v>
      </c>
      <c r="K4001" s="82">
        <f>IFERROR(__xludf.DUMMYFUNCTION("""COMPUTED_VALUE"""),1.1142857142857143)</f>
        <v>1.114285714</v>
      </c>
      <c r="L4001" s="82">
        <f>IFERROR(__xludf.DUMMYFUNCTION("""COMPUTED_VALUE"""),0.5714285714285714)</f>
        <v>0.5714285714</v>
      </c>
      <c r="M4001" s="82">
        <f>IFERROR(__xludf.DUMMYFUNCTION("""COMPUTED_VALUE"""),1.2285714285714286)</f>
        <v>1.228571429</v>
      </c>
      <c r="N4001" s="82">
        <f>IFERROR(__xludf.DUMMYFUNCTION("""COMPUTED_VALUE"""),2.8285714285714287)</f>
        <v>2.828571429</v>
      </c>
      <c r="O4001" s="82">
        <f>IFERROR(__xludf.DUMMYFUNCTION("""COMPUTED_VALUE"""),266.7976190476191)</f>
        <v>266.797619</v>
      </c>
      <c r="P4001" s="82">
        <f>IFERROR(__xludf.DUMMYFUNCTION("""COMPUTED_VALUE"""),0.569047619047619)</f>
        <v>0.569047619</v>
      </c>
      <c r="Q4001" s="82">
        <f>IFERROR(__xludf.DUMMYFUNCTION("""COMPUTED_VALUE"""),0.3047619047619047)</f>
        <v>0.3047619048</v>
      </c>
      <c r="R4001" s="82">
        <f>IFERROR(__xludf.DUMMYFUNCTION("""COMPUTED_VALUE"""),0.9976190476190477)</f>
        <v>0.9976190476</v>
      </c>
      <c r="S4001" s="82">
        <f>IFERROR(__xludf.DUMMYFUNCTION("""COMPUTED_VALUE"""),1.7880952380952386)</f>
        <v>1.788095238</v>
      </c>
      <c r="T4001" s="82">
        <f>IFERROR(__xludf.DUMMYFUNCTION("""COMPUTED_VALUE"""),291.09881974198987)</f>
        <v>291.0988197</v>
      </c>
      <c r="U4001" s="82">
        <f>IFERROR(__xludf.DUMMYFUNCTION("""COMPUTED_VALUE"""),0.7250996311640054)</f>
        <v>0.7250996312</v>
      </c>
      <c r="V4001" s="82">
        <f>IFERROR(__xludf.DUMMYFUNCTION("""COMPUTED_VALUE"""),0.4301305801030482)</f>
        <v>0.4301305801</v>
      </c>
      <c r="W4001" s="82">
        <f>IFERROR(__xludf.DUMMYFUNCTION("""COMPUTED_VALUE"""),0.8636539690055076)</f>
        <v>0.863653969</v>
      </c>
      <c r="X4001" s="82">
        <f>IFERROR(__xludf.DUMMYFUNCTION("""COMPUTED_VALUE"""),2.05351818464341)</f>
        <v>2.053518185</v>
      </c>
      <c r="Y4001" s="82">
        <f>IFERROR(__xludf.DUMMYFUNCTION("""COMPUTED_VALUE"""),301.5850457930751)</f>
        <v>301.5850458</v>
      </c>
      <c r="Z4001" s="82">
        <f>IFERROR(__xludf.DUMMYFUNCTION("""COMPUTED_VALUE"""),0.8146887433763418)</f>
        <v>0.8146887434</v>
      </c>
      <c r="AA4001" s="82">
        <f>IFERROR(__xludf.DUMMYFUNCTION("""COMPUTED_VALUE"""),0.46158100129651264)</f>
        <v>0.4615810013</v>
      </c>
      <c r="AB4001" s="82">
        <f>IFERROR(__xludf.DUMMYFUNCTION("""COMPUTED_VALUE"""),0.8836818022535056)</f>
        <v>0.8836818023</v>
      </c>
      <c r="AC4001" s="82">
        <f>IFERROR(__xludf.DUMMYFUNCTION("""COMPUTED_VALUE"""),2.0839570380588515)</f>
        <v>2.083957038</v>
      </c>
      <c r="AD4001" s="82">
        <f>IFERROR(__xludf.DUMMYFUNCTION("""COMPUTED_VALUE"""),1.2303565711667757)</f>
        <v>1.230356571</v>
      </c>
      <c r="AE4001" s="82">
        <f>IFERROR(__xludf.DUMMYFUNCTION("""COMPUTED_VALUE"""),1.3677440904212605)</f>
        <v>1.36774409</v>
      </c>
      <c r="AF4001" s="82">
        <f>IFERROR(__xludf.DUMMYFUNCTION("""COMPUTED_VALUE"""),1.2379811340230928)</f>
        <v>1.237981134</v>
      </c>
      <c r="AG4001" s="82">
        <f>IFERROR(__xludf.DUMMYFUNCTION("""COMPUTED_VALUE"""),1.390287120814765)</f>
        <v>1.390287121</v>
      </c>
      <c r="AH4001" s="82">
        <f>IFERROR(__xludf.DUMMYFUNCTION("""COMPUTED_VALUE"""),1.3573079372145622)</f>
        <v>1.357307937</v>
      </c>
      <c r="AI4001" s="82">
        <f>IFERROR(__xludf.DUMMYFUNCTION("""COMPUTED_VALUE"""),0.9165190682809717)</f>
        <v>0.9165190683</v>
      </c>
      <c r="AJ4001" s="82">
        <f>IFERROR(__xludf.DUMMYFUNCTION("""COMPUTED_VALUE"""),0.7847854206381605)</f>
        <v>0.7847854206</v>
      </c>
      <c r="AK4001" s="82">
        <f>IFERROR(__xludf.DUMMYFUNCTION("""COMPUTED_VALUE"""),0.708533452071442)</f>
        <v>0.7085334521</v>
      </c>
      <c r="AL4001" s="82">
        <f>IFERROR(__xludf.DUMMYFUNCTION("""COMPUTED_VALUE"""),1.1551142974168231)</f>
        <v>1.155114297</v>
      </c>
      <c r="AM4001" s="82">
        <f>IFERROR(__xludf.DUMMYFUNCTION("""COMPUTED_VALUE"""),0.870747213960386)</f>
        <v>0.870747214</v>
      </c>
      <c r="AN4001" s="82">
        <f>IFERROR(__xludf.DUMMYFUNCTION("""COMPUTED_VALUE"""),1.335832585090931)</f>
        <v>1.335832585</v>
      </c>
      <c r="AO4001" s="82">
        <f>IFERROR(__xludf.DUMMYFUNCTION("""COMPUTED_VALUE"""),1.4998340517807542)</f>
        <v>1.499834052</v>
      </c>
      <c r="AP4001" s="82">
        <f>IFERROR(__xludf.DUMMYFUNCTION("""COMPUTED_VALUE"""),1.3597316188969701)</f>
        <v>1.359731619</v>
      </c>
      <c r="AQ4001" s="82">
        <f>IFERROR(__xludf.DUMMYFUNCTION("""COMPUTED_VALUE"""),1.55861427361928)</f>
        <v>1.558614274</v>
      </c>
      <c r="AR4001" s="82">
        <f>IFERROR(__xludf.DUMMYFUNCTION("""COMPUTED_VALUE"""),1.4812518795060798)</f>
        <v>1.48125188</v>
      </c>
      <c r="AS4001" s="82">
        <f>IFERROR(__xludf.DUMMYFUNCTION("""COMPUTED_VALUE"""),273.0)</f>
        <v>273</v>
      </c>
      <c r="AT4001" s="82">
        <f>IFERROR(__xludf.DUMMYFUNCTION("""COMPUTED_VALUE"""),0.9478288214857298)</f>
        <v>0.9478288215</v>
      </c>
      <c r="AU4001" s="82">
        <f>IFERROR(__xludf.DUMMYFUNCTION("""COMPUTED_VALUE"""),3.240207955806829)</f>
        <v>3.240207956</v>
      </c>
      <c r="AV4001" s="82">
        <f>IFERROR(__xludf.DUMMYFUNCTION("""COMPUTED_VALUE"""),82.4431171009231)</f>
        <v>82.4431171</v>
      </c>
      <c r="AW4001" s="82">
        <f t="shared" si="1"/>
        <v>10.28902073</v>
      </c>
      <c r="AX4001" s="83">
        <f t="array" ref="AX4001">IFERROR(DGET('SBV Import'!A:G,"SBV",{"RSC ID","Tier";B4001,A4001}))</f>
        <v>77.7993445</v>
      </c>
      <c r="AY4001" s="82">
        <f t="shared" si="2"/>
        <v>7.514575722</v>
      </c>
      <c r="AZ4001" s="82">
        <v>2.7744450124841613</v>
      </c>
      <c r="BA4001" s="84">
        <v>4000.0</v>
      </c>
      <c r="BB4001" s="84" t="b">
        <f>IFERROR(__xludf.DUMMYFUNCTION("iferror(if(A4001="""",,E4001&gt;=FILTER(Constants!$F$2:$F$10,Constants!$A$2:$A$10=A4001)))"),TRUE)</f>
        <v>1</v>
      </c>
    </row>
    <row r="4002">
      <c r="A4002" s="89" t="str">
        <f>IFERROR(__xludf.DUMMYFUNCTION("""COMPUTED_VALUE"""),"Amateur")</f>
        <v>Amateur</v>
      </c>
      <c r="B4002" s="87" t="str">
        <f>IFERROR(__xludf.DUMMYFUNCTION("""COMPUTED_VALUE"""),"RSC007899")</f>
        <v>RSC007899</v>
      </c>
      <c r="C4002" s="73" t="str">
        <f>IFERROR(__xludf.DUMMYFUNCTION("""COMPUTED_VALUE"""),"SeaSpay12")</f>
        <v>SeaSpay12</v>
      </c>
      <c r="D4002" s="73" t="str">
        <f>IFERROR(__xludf.DUMMYFUNCTION("""COMPUTED_VALUE"""),"Surprise")</f>
        <v>Surprise</v>
      </c>
      <c r="E4002" s="82">
        <f>IFERROR(__xludf.DUMMYFUNCTION("""COMPUTED_VALUE"""),31.0)</f>
        <v>31</v>
      </c>
      <c r="F4002" s="82">
        <f>IFERROR(__xludf.DUMMYFUNCTION("""COMPUTED_VALUE"""),18.0)</f>
        <v>18</v>
      </c>
      <c r="G4002" s="86">
        <f>IFERROR(__xludf.DUMMYFUNCTION("""COMPUTED_VALUE"""),13.0)</f>
        <v>13</v>
      </c>
      <c r="H4002" s="86">
        <f>IFERROR(__xludf.DUMMYFUNCTION("""COMPUTED_VALUE"""),0.5806451612903226)</f>
        <v>0.5806451613</v>
      </c>
      <c r="I4002" s="86">
        <f>IFERROR(__xludf.DUMMYFUNCTION("""COMPUTED_VALUE"""),0.367816091954023)</f>
        <v>0.367816092</v>
      </c>
      <c r="J4002" s="82">
        <f>IFERROR(__xludf.DUMMYFUNCTION("""COMPUTED_VALUE"""),405.8709677419355)</f>
        <v>405.8709677</v>
      </c>
      <c r="K4002" s="82">
        <f>IFERROR(__xludf.DUMMYFUNCTION("""COMPUTED_VALUE"""),1.032258064516129)</f>
        <v>1.032258065</v>
      </c>
      <c r="L4002" s="82">
        <f>IFERROR(__xludf.DUMMYFUNCTION("""COMPUTED_VALUE"""),0.45161290322580644)</f>
        <v>0.4516129032</v>
      </c>
      <c r="M4002" s="82">
        <f>IFERROR(__xludf.DUMMYFUNCTION("""COMPUTED_VALUE"""),1.3225806451612903)</f>
        <v>1.322580645</v>
      </c>
      <c r="N4002" s="82">
        <f>IFERROR(__xludf.DUMMYFUNCTION("""COMPUTED_VALUE"""),2.806451612903226)</f>
        <v>2.806451613</v>
      </c>
      <c r="O4002" s="82">
        <f>IFERROR(__xludf.DUMMYFUNCTION("""COMPUTED_VALUE"""),273.80645161290323)</f>
        <v>273.8064516</v>
      </c>
      <c r="P4002" s="82">
        <f>IFERROR(__xludf.DUMMYFUNCTION("""COMPUTED_VALUE"""),0.7096774193548389)</f>
        <v>0.7096774194</v>
      </c>
      <c r="Q4002" s="82">
        <f>IFERROR(__xludf.DUMMYFUNCTION("""COMPUTED_VALUE"""),0.27956989247311825)</f>
        <v>0.2795698925</v>
      </c>
      <c r="R4002" s="82">
        <f>IFERROR(__xludf.DUMMYFUNCTION("""COMPUTED_VALUE"""),0.8817204301075268)</f>
        <v>0.8817204301</v>
      </c>
      <c r="S4002" s="82">
        <f>IFERROR(__xludf.DUMMYFUNCTION("""COMPUTED_VALUE"""),1.7526881720430108)</f>
        <v>1.752688172</v>
      </c>
      <c r="T4002" s="82">
        <f>IFERROR(__xludf.DUMMYFUNCTION("""COMPUTED_VALUE"""),302.0507169430382)</f>
        <v>302.0507169</v>
      </c>
      <c r="U4002" s="82">
        <f>IFERROR(__xludf.DUMMYFUNCTION("""COMPUTED_VALUE"""),0.836384251931782)</f>
        <v>0.8363842519</v>
      </c>
      <c r="V4002" s="82">
        <f>IFERROR(__xludf.DUMMYFUNCTION("""COMPUTED_VALUE"""),0.4592557210188966)</f>
        <v>0.459255721</v>
      </c>
      <c r="W4002" s="82">
        <f>IFERROR(__xludf.DUMMYFUNCTION("""COMPUTED_VALUE"""),0.8634791088362737)</f>
        <v>0.8634791088</v>
      </c>
      <c r="X4002" s="82">
        <f>IFERROR(__xludf.DUMMYFUNCTION("""COMPUTED_VALUE"""),2.0482631288149444)</f>
        <v>2.048263129</v>
      </c>
      <c r="Y4002" s="82">
        <f>IFERROR(__xludf.DUMMYFUNCTION("""COMPUTED_VALUE"""),300.65287056482504)</f>
        <v>300.6528706</v>
      </c>
      <c r="Z4002" s="82">
        <f>IFERROR(__xludf.DUMMYFUNCTION("""COMPUTED_VALUE"""),0.8339402461373799)</f>
        <v>0.8339402461</v>
      </c>
      <c r="AA4002" s="82">
        <f>IFERROR(__xludf.DUMMYFUNCTION("""COMPUTED_VALUE"""),0.47439707345149473)</f>
        <v>0.4743970735</v>
      </c>
      <c r="AB4002" s="82">
        <f>IFERROR(__xludf.DUMMYFUNCTION("""COMPUTED_VALUE"""),0.832692469210292)</f>
        <v>0.8326924692</v>
      </c>
      <c r="AC4002" s="82">
        <f>IFERROR(__xludf.DUMMYFUNCTION("""COMPUTED_VALUE"""),2.1126371837323203)</f>
        <v>2.112637184</v>
      </c>
      <c r="AD4002" s="82">
        <f>IFERROR(__xludf.DUMMYFUNCTION("""COMPUTED_VALUE"""),1.3499653835981718)</f>
        <v>1.349965384</v>
      </c>
      <c r="AE4002" s="82">
        <f>IFERROR(__xludf.DUMMYFUNCTION("""COMPUTED_VALUE"""),1.2378081874538513)</f>
        <v>1.237808187</v>
      </c>
      <c r="AF4002" s="82">
        <f>IFERROR(__xludf.DUMMYFUNCTION("""COMPUTED_VALUE"""),0.9519723634466773)</f>
        <v>0.9519723634</v>
      </c>
      <c r="AG4002" s="82">
        <f>IFERROR(__xludf.DUMMYFUNCTION("""COMPUTED_VALUE"""),1.588318249612126)</f>
        <v>1.58831825</v>
      </c>
      <c r="AH4002" s="82">
        <f>IFERROR(__xludf.DUMMYFUNCTION("""COMPUTED_VALUE"""),1.3284115391480371)</f>
        <v>1.328411539</v>
      </c>
      <c r="AI4002" s="82">
        <f>IFERROR(__xludf.DUMMYFUNCTION("""COMPUTED_VALUE"""),0.9064916461182863)</f>
        <v>0.9064916461</v>
      </c>
      <c r="AJ4002" s="82">
        <f>IFERROR(__xludf.DUMMYFUNCTION("""COMPUTED_VALUE"""),0.848506434352045)</f>
        <v>0.8485064344</v>
      </c>
      <c r="AK4002" s="82">
        <f>IFERROR(__xludf.DUMMYFUNCTION("""COMPUTED_VALUE"""),0.6087455848189968)</f>
        <v>0.6087455848</v>
      </c>
      <c r="AL4002" s="82">
        <f>IFERROR(__xludf.DUMMYFUNCTION("""COMPUTED_VALUE"""),1.02112537649676)</f>
        <v>1.021125376</v>
      </c>
      <c r="AM4002" s="82">
        <f>IFERROR(__xludf.DUMMYFUNCTION("""COMPUTED_VALUE"""),0.8556948310918708)</f>
        <v>0.8556948311</v>
      </c>
      <c r="AN4002" s="82">
        <f>IFERROR(__xludf.DUMMYFUNCTION("""COMPUTED_VALUE"""),1.4611648757851976)</f>
        <v>1.461164876</v>
      </c>
      <c r="AO4002" s="82">
        <f>IFERROR(__xludf.DUMMYFUNCTION("""COMPUTED_VALUE"""),1.3894244317571915)</f>
        <v>1.389424432</v>
      </c>
      <c r="AP4002" s="82">
        <f>IFERROR(__xludf.DUMMYFUNCTION("""COMPUTED_VALUE"""),1.0746266020314763)</f>
        <v>1.074626602</v>
      </c>
      <c r="AQ4002" s="82">
        <f>IFERROR(__xludf.DUMMYFUNCTION("""COMPUTED_VALUE"""),1.6778780815031258)</f>
        <v>1.677878082</v>
      </c>
      <c r="AR4002" s="82">
        <f>IFERROR(__xludf.DUMMYFUNCTION("""COMPUTED_VALUE"""),1.4696682870954751)</f>
        <v>1.469668287</v>
      </c>
      <c r="AS4002" s="82">
        <f>IFERROR(__xludf.DUMMYFUNCTION("""COMPUTED_VALUE"""),212.0)</f>
        <v>212</v>
      </c>
      <c r="AT4002" s="82">
        <f>IFERROR(__xludf.DUMMYFUNCTION("""COMPUTED_VALUE"""),0.8993576340001779)</f>
        <v>0.899357634</v>
      </c>
      <c r="AU4002" s="82">
        <f>IFERROR(__xludf.DUMMYFUNCTION("""COMPUTED_VALUE"""),3.0551676871086855)</f>
        <v>3.055167687</v>
      </c>
      <c r="AV4002" s="82">
        <f>IFERROR(__xludf.DUMMYFUNCTION("""COMPUTED_VALUE"""),78.65957514921408)</f>
        <v>78.65957515</v>
      </c>
      <c r="AW4002" s="82">
        <f t="shared" si="1"/>
        <v>7.947965902</v>
      </c>
      <c r="AX4002" s="83">
        <f t="array" ref="AX4002">IFERROR(DGET('SBV Import'!A:G,"SBV",{"RSC ID","Tier";B4002,A4002}))</f>
        <v>85.76266783</v>
      </c>
      <c r="AY4002" s="82">
        <f t="shared" si="2"/>
        <v>13.10859603</v>
      </c>
      <c r="AZ4002" s="82">
        <v>5.160630126777137</v>
      </c>
      <c r="BA4002" s="84">
        <v>4000.0</v>
      </c>
      <c r="BB4002" s="84" t="b">
        <f>IFERROR(__xludf.DUMMYFUNCTION("iferror(if(A4002="""",,E4002&gt;=FILTER(Constants!$F$2:$F$10,Constants!$A$2:$A$10=A4002)))"),TRUE)</f>
        <v>1</v>
      </c>
    </row>
    <row r="4003">
      <c r="A4003" s="89" t="str">
        <f>IFERROR(__xludf.DUMMYFUNCTION("""COMPUTED_VALUE"""),"Amateur")</f>
        <v>Amateur</v>
      </c>
      <c r="B4003" s="87" t="str">
        <f>IFERROR(__xludf.DUMMYFUNCTION("""COMPUTED_VALUE"""),"RSC006375")</f>
        <v>RSC006375</v>
      </c>
      <c r="C4003" s="73" t="str">
        <f>IFERROR(__xludf.DUMMYFUNCTION("""COMPUTED_VALUE"""),"Rich-Rollin6060")</f>
        <v>Rich-Rollin6060</v>
      </c>
      <c r="D4003" s="73" t="str">
        <f>IFERROR(__xludf.DUMMYFUNCTION("""COMPUTED_VALUE"""),"Hyenas")</f>
        <v>Hyenas</v>
      </c>
      <c r="E4003" s="82">
        <f>IFERROR(__xludf.DUMMYFUNCTION("""COMPUTED_VALUE"""),28.0)</f>
        <v>28</v>
      </c>
      <c r="F4003" s="82">
        <f>IFERROR(__xludf.DUMMYFUNCTION("""COMPUTED_VALUE"""),23.0)</f>
        <v>23</v>
      </c>
      <c r="G4003" s="86">
        <f>IFERROR(__xludf.DUMMYFUNCTION("""COMPUTED_VALUE"""),5.0)</f>
        <v>5</v>
      </c>
      <c r="H4003" s="86">
        <f>IFERROR(__xludf.DUMMYFUNCTION("""COMPUTED_VALUE"""),0.8214285714285714)</f>
        <v>0.8214285714</v>
      </c>
      <c r="I4003" s="86">
        <f>IFERROR(__xludf.DUMMYFUNCTION("""COMPUTED_VALUE"""),0.49295774647887325)</f>
        <v>0.4929577465</v>
      </c>
      <c r="J4003" s="82">
        <f>IFERROR(__xludf.DUMMYFUNCTION("""COMPUTED_VALUE"""),322.89285714285717)</f>
        <v>322.8928571</v>
      </c>
      <c r="K4003" s="82">
        <f>IFERROR(__xludf.DUMMYFUNCTION("""COMPUTED_VALUE"""),1.25)</f>
        <v>1.25</v>
      </c>
      <c r="L4003" s="82">
        <f>IFERROR(__xludf.DUMMYFUNCTION("""COMPUTED_VALUE"""),0.4642857142857143)</f>
        <v>0.4642857143</v>
      </c>
      <c r="M4003" s="82">
        <f>IFERROR(__xludf.DUMMYFUNCTION("""COMPUTED_VALUE"""),0.5)</f>
        <v>0.5</v>
      </c>
      <c r="N4003" s="82">
        <f>IFERROR(__xludf.DUMMYFUNCTION("""COMPUTED_VALUE"""),2.5357142857142856)</f>
        <v>2.535714286</v>
      </c>
      <c r="O4003" s="82">
        <f>IFERROR(__xludf.DUMMYFUNCTION("""COMPUTED_VALUE"""),257.0238095238095)</f>
        <v>257.0238095</v>
      </c>
      <c r="P4003" s="82">
        <f>IFERROR(__xludf.DUMMYFUNCTION("""COMPUTED_VALUE"""),0.5357142857142856)</f>
        <v>0.5357142857</v>
      </c>
      <c r="Q4003" s="82">
        <f>IFERROR(__xludf.DUMMYFUNCTION("""COMPUTED_VALUE"""),0.2976190476190477)</f>
        <v>0.2976190476</v>
      </c>
      <c r="R4003" s="82">
        <f>IFERROR(__xludf.DUMMYFUNCTION("""COMPUTED_VALUE"""),0.9523809523809526)</f>
        <v>0.9523809524</v>
      </c>
      <c r="S4003" s="82">
        <f>IFERROR(__xludf.DUMMYFUNCTION("""COMPUTED_VALUE"""),1.7142857142857137)</f>
        <v>1.714285714</v>
      </c>
      <c r="T4003" s="82">
        <f>IFERROR(__xludf.DUMMYFUNCTION("""COMPUTED_VALUE"""),292.77540966292736)</f>
        <v>292.7754097</v>
      </c>
      <c r="U4003" s="82">
        <f>IFERROR(__xludf.DUMMYFUNCTION("""COMPUTED_VALUE"""),0.736886079461126)</f>
        <v>0.7368860795</v>
      </c>
      <c r="V4003" s="82">
        <f>IFERROR(__xludf.DUMMYFUNCTION("""COMPUTED_VALUE"""),0.45270583499928685)</f>
        <v>0.452705835</v>
      </c>
      <c r="W4003" s="82">
        <f>IFERROR(__xludf.DUMMYFUNCTION("""COMPUTED_VALUE"""),0.8694290291639933)</f>
        <v>0.8694290292</v>
      </c>
      <c r="X4003" s="82">
        <f>IFERROR(__xludf.DUMMYFUNCTION("""COMPUTED_VALUE"""),2.0311299425249527)</f>
        <v>2.031129943</v>
      </c>
      <c r="Y4003" s="82">
        <f>IFERROR(__xludf.DUMMYFUNCTION("""COMPUTED_VALUE"""),301.44866281533774)</f>
        <v>301.4486628</v>
      </c>
      <c r="Z4003" s="82">
        <f>IFERROR(__xludf.DUMMYFUNCTION("""COMPUTED_VALUE"""),0.8313641759235247)</f>
        <v>0.8313641759</v>
      </c>
      <c r="AA4003" s="82">
        <f>IFERROR(__xludf.DUMMYFUNCTION("""COMPUTED_VALUE"""),0.4738770988833747)</f>
        <v>0.4738770989</v>
      </c>
      <c r="AB4003" s="82">
        <f>IFERROR(__xludf.DUMMYFUNCTION("""COMPUTED_VALUE"""),0.8431554852234626)</f>
        <v>0.8431554852</v>
      </c>
      <c r="AC4003" s="82">
        <f>IFERROR(__xludf.DUMMYFUNCTION("""COMPUTED_VALUE"""),2.096743510982327)</f>
        <v>2.096743511</v>
      </c>
      <c r="AD4003" s="82">
        <f>IFERROR(__xludf.DUMMYFUNCTION("""COMPUTED_VALUE"""),1.0711371353491648)</f>
        <v>1.071137135</v>
      </c>
      <c r="AE4003" s="82">
        <f>IFERROR(__xludf.DUMMYFUNCTION("""COMPUTED_VALUE"""),1.5035528787506771)</f>
        <v>1.503552879</v>
      </c>
      <c r="AF4003" s="82">
        <f>IFERROR(__xludf.DUMMYFUNCTION("""COMPUTED_VALUE"""),0.9797597634064589)</f>
        <v>0.9797597634</v>
      </c>
      <c r="AG4003" s="82">
        <f>IFERROR(__xludf.DUMMYFUNCTION("""COMPUTED_VALUE"""),0.5930104337368858)</f>
        <v>0.5930104337</v>
      </c>
      <c r="AH4003" s="82">
        <f>IFERROR(__xludf.DUMMYFUNCTION("""COMPUTED_VALUE"""),1.2093583561521553)</f>
        <v>1.209358356</v>
      </c>
      <c r="AI4003" s="82">
        <f>IFERROR(__xludf.DUMMYFUNCTION("""COMPUTED_VALUE"""),0.8778872850685148)</f>
        <v>0.8778872851</v>
      </c>
      <c r="AJ4003" s="82">
        <f>IFERROR(__xludf.DUMMYFUNCTION("""COMPUTED_VALUE"""),0.7269974296516031)</f>
        <v>0.7269974297</v>
      </c>
      <c r="AK4003" s="82">
        <f>IFERROR(__xludf.DUMMYFUNCTION("""COMPUTED_VALUE"""),0.6574226011898358)</f>
        <v>0.6574226012</v>
      </c>
      <c r="AL4003" s="82">
        <f>IFERROR(__xludf.DUMMYFUNCTION("""COMPUTED_VALUE"""),1.0954096544219627)</f>
        <v>1.095409654</v>
      </c>
      <c r="AM4003" s="82">
        <f>IFERROR(__xludf.DUMMYFUNCTION("""COMPUTED_VALUE"""),0.8440059291108862)</f>
        <v>0.8440059291</v>
      </c>
      <c r="AN4003" s="82">
        <f>IFERROR(__xludf.DUMMYFUNCTION("""COMPUTED_VALUE"""),1.1624376686116025)</f>
        <v>1.162437669</v>
      </c>
      <c r="AO4003" s="82">
        <f>IFERROR(__xludf.DUMMYFUNCTION("""COMPUTED_VALUE"""),1.6825061478309742)</f>
        <v>1.682506148</v>
      </c>
      <c r="AP4003" s="82">
        <f>IFERROR(__xludf.DUMMYFUNCTION("""COMPUTED_VALUE"""),1.1047819403537882)</f>
        <v>1.10478194</v>
      </c>
      <c r="AQ4003" s="82">
        <f>IFERROR(__xludf.DUMMYFUNCTION("""COMPUTED_VALUE"""),0.6343197625194744)</f>
        <v>0.6343197625</v>
      </c>
      <c r="AR4003" s="82">
        <f>IFERROR(__xludf.DUMMYFUNCTION("""COMPUTED_VALUE"""),1.327889942486511)</f>
        <v>1.327889942</v>
      </c>
      <c r="AS4003" s="82">
        <f>IFERROR(__xludf.DUMMYFUNCTION("""COMPUTED_VALUE"""),278.0)</f>
        <v>278</v>
      </c>
      <c r="AT4003" s="82">
        <f>IFERROR(__xludf.DUMMYFUNCTION("""COMPUTED_VALUE"""),0.9752465808985018)</f>
        <v>0.9752465809</v>
      </c>
      <c r="AU4003" s="82">
        <f>IFERROR(__xludf.DUMMYFUNCTION("""COMPUTED_VALUE"""),2.9915725803295294)</f>
        <v>2.99157258</v>
      </c>
      <c r="AV4003" s="82">
        <f>IFERROR(__xludf.DUMMYFUNCTION("""COMPUTED_VALUE"""),77.35923789767848)</f>
        <v>77.3592379</v>
      </c>
      <c r="AW4003" s="82">
        <f t="shared" si="1"/>
        <v>7.304790039</v>
      </c>
      <c r="AX4003" s="83">
        <f t="array" ref="AX4003">IFERROR(DGET('SBV Import'!A:G,"SBV",{"RSC ID","Tier";B4003,A4003}))</f>
        <v>55.78080152</v>
      </c>
      <c r="AY4003" s="82">
        <f t="shared" si="2"/>
        <v>2.447577408</v>
      </c>
      <c r="AZ4003" s="82">
        <v>4.857212631159576</v>
      </c>
      <c r="BA4003" s="84">
        <v>4000.0</v>
      </c>
      <c r="BB4003" s="84" t="b">
        <f>IFERROR(__xludf.DUMMYFUNCTION("iferror(if(A4003="""",,E4003&gt;=FILTER(Constants!$F$2:$F$10,Constants!$A$2:$A$10=A4003)))"),TRUE)</f>
        <v>1</v>
      </c>
    </row>
    <row r="4004">
      <c r="A4004" s="89" t="str">
        <f>IFERROR(__xludf.DUMMYFUNCTION("""COMPUTED_VALUE"""),"Amateur")</f>
        <v>Amateur</v>
      </c>
      <c r="B4004" s="87" t="str">
        <f>IFERROR(__xludf.DUMMYFUNCTION("""COMPUTED_VALUE"""),"RSC007571")</f>
        <v>RSC007571</v>
      </c>
      <c r="C4004" s="73" t="str">
        <f>IFERROR(__xludf.DUMMYFUNCTION("""COMPUTED_VALUE"""),"StephMoney2")</f>
        <v>StephMoney2</v>
      </c>
      <c r="D4004" s="73" t="str">
        <f>IFERROR(__xludf.DUMMYFUNCTION("""COMPUTED_VALUE"""),"Garlic Knots")</f>
        <v>Garlic Knots</v>
      </c>
      <c r="E4004" s="82">
        <f>IFERROR(__xludf.DUMMYFUNCTION("""COMPUTED_VALUE"""),36.0)</f>
        <v>36</v>
      </c>
      <c r="F4004" s="82">
        <f>IFERROR(__xludf.DUMMYFUNCTION("""COMPUTED_VALUE"""),26.0)</f>
        <v>26</v>
      </c>
      <c r="G4004" s="86">
        <f>IFERROR(__xludf.DUMMYFUNCTION("""COMPUTED_VALUE"""),10.0)</f>
        <v>10</v>
      </c>
      <c r="H4004" s="86">
        <f>IFERROR(__xludf.DUMMYFUNCTION("""COMPUTED_VALUE"""),0.7222222222222222)</f>
        <v>0.7222222222</v>
      </c>
      <c r="I4004" s="86">
        <f>IFERROR(__xludf.DUMMYFUNCTION("""COMPUTED_VALUE"""),0.4125)</f>
        <v>0.4125</v>
      </c>
      <c r="J4004" s="82">
        <f>IFERROR(__xludf.DUMMYFUNCTION("""COMPUTED_VALUE"""),356.4166666666667)</f>
        <v>356.4166667</v>
      </c>
      <c r="K4004" s="82">
        <f>IFERROR(__xludf.DUMMYFUNCTION("""COMPUTED_VALUE"""),0.9166666666666666)</f>
        <v>0.9166666667</v>
      </c>
      <c r="L4004" s="82">
        <f>IFERROR(__xludf.DUMMYFUNCTION("""COMPUTED_VALUE"""),0.6111111111111112)</f>
        <v>0.6111111111</v>
      </c>
      <c r="M4004" s="82">
        <f>IFERROR(__xludf.DUMMYFUNCTION("""COMPUTED_VALUE"""),1.1111111111111112)</f>
        <v>1.111111111</v>
      </c>
      <c r="N4004" s="82">
        <f>IFERROR(__xludf.DUMMYFUNCTION("""COMPUTED_VALUE"""),2.2222222222222223)</f>
        <v>2.222222222</v>
      </c>
      <c r="O4004" s="82">
        <f>IFERROR(__xludf.DUMMYFUNCTION("""COMPUTED_VALUE"""),252.38888888888889)</f>
        <v>252.3888889</v>
      </c>
      <c r="P4004" s="82">
        <f>IFERROR(__xludf.DUMMYFUNCTION("""COMPUTED_VALUE"""),0.5277777777777777)</f>
        <v>0.5277777778</v>
      </c>
      <c r="Q4004" s="82">
        <f>IFERROR(__xludf.DUMMYFUNCTION("""COMPUTED_VALUE"""),0.29629629629629634)</f>
        <v>0.2962962963</v>
      </c>
      <c r="R4004" s="82">
        <f>IFERROR(__xludf.DUMMYFUNCTION("""COMPUTED_VALUE"""),0.6666666666666669)</f>
        <v>0.6666666667</v>
      </c>
      <c r="S4004" s="82">
        <f>IFERROR(__xludf.DUMMYFUNCTION("""COMPUTED_VALUE"""),2.1018518518518525)</f>
        <v>2.101851852</v>
      </c>
      <c r="T4004" s="82">
        <f>IFERROR(__xludf.DUMMYFUNCTION("""COMPUTED_VALUE"""),288.6990200172403)</f>
        <v>288.69902</v>
      </c>
      <c r="U4004" s="82">
        <f>IFERROR(__xludf.DUMMYFUNCTION("""COMPUTED_VALUE"""),0.7318517032665457)</f>
        <v>0.7318517033</v>
      </c>
      <c r="V4004" s="82">
        <f>IFERROR(__xludf.DUMMYFUNCTION("""COMPUTED_VALUE"""),0.42749468752616404)</f>
        <v>0.4274946875</v>
      </c>
      <c r="W4004" s="82">
        <f>IFERROR(__xludf.DUMMYFUNCTION("""COMPUTED_VALUE"""),0.8309324945161509)</f>
        <v>0.8309324945</v>
      </c>
      <c r="X4004" s="82">
        <f>IFERROR(__xludf.DUMMYFUNCTION("""COMPUTED_VALUE"""),2.0736409171039045)</f>
        <v>2.073640917</v>
      </c>
      <c r="Y4004" s="82">
        <f>IFERROR(__xludf.DUMMYFUNCTION("""COMPUTED_VALUE"""),302.138339389149)</f>
        <v>302.1383394</v>
      </c>
      <c r="Z4004" s="82">
        <f>IFERROR(__xludf.DUMMYFUNCTION("""COMPUTED_VALUE"""),0.8095603119096649)</f>
        <v>0.8095603119</v>
      </c>
      <c r="AA4004" s="82">
        <f>IFERROR(__xludf.DUMMYFUNCTION("""COMPUTED_VALUE"""),0.460410855105147)</f>
        <v>0.4604108551</v>
      </c>
      <c r="AB4004" s="82">
        <f>IFERROR(__xludf.DUMMYFUNCTION("""COMPUTED_VALUE"""),0.9250316101106559)</f>
        <v>0.9250316101</v>
      </c>
      <c r="AC4004" s="82">
        <f>IFERROR(__xludf.DUMMYFUNCTION("""COMPUTED_VALUE"""),2.0380019543666226)</f>
        <v>2.038001954</v>
      </c>
      <c r="AD4004" s="82">
        <f>IFERROR(__xludf.DUMMYFUNCTION("""COMPUTED_VALUE"""),1.1796472681595305)</f>
        <v>1.179647268</v>
      </c>
      <c r="AE4004" s="82">
        <f>IFERROR(__xludf.DUMMYFUNCTION("""COMPUTED_VALUE"""),1.1323018843455275)</f>
        <v>1.132301884</v>
      </c>
      <c r="AF4004" s="82">
        <f>IFERROR(__xludf.DUMMYFUNCTION("""COMPUTED_VALUE"""),1.3273169047492326)</f>
        <v>1.327316905</v>
      </c>
      <c r="AG4004" s="82">
        <f>IFERROR(__xludf.DUMMYFUNCTION("""COMPUTED_VALUE"""),1.2011601538440353)</f>
        <v>1.201160154</v>
      </c>
      <c r="AH4004" s="82">
        <f>IFERROR(__xludf.DUMMYFUNCTION("""COMPUTED_VALUE"""),1.0903925864550275)</f>
        <v>1.090392586</v>
      </c>
      <c r="AI4004" s="82">
        <f>IFERROR(__xludf.DUMMYFUNCTION("""COMPUTED_VALUE"""),0.8742284226452065)</f>
        <v>0.8742284226</v>
      </c>
      <c r="AJ4004" s="82">
        <f>IFERROR(__xludf.DUMMYFUNCTION("""COMPUTED_VALUE"""),0.7211539925672035)</f>
        <v>0.7211539926</v>
      </c>
      <c r="AK4004" s="82">
        <f>IFERROR(__xludf.DUMMYFUNCTION("""COMPUTED_VALUE"""),0.6930993646047637)</f>
        <v>0.6930993646</v>
      </c>
      <c r="AL4004" s="82">
        <f>IFERROR(__xludf.DUMMYFUNCTION("""COMPUTED_VALUE"""),0.8023114646092454)</f>
        <v>0.8023114646</v>
      </c>
      <c r="AM4004" s="82">
        <f>IFERROR(__xludf.DUMMYFUNCTION("""COMPUTED_VALUE"""),1.0136045419027264)</f>
        <v>1.013604542</v>
      </c>
      <c r="AN4004" s="82">
        <f>IFERROR(__xludf.DUMMYFUNCTION("""COMPUTED_VALUE"""),1.2831258105874266)</f>
        <v>1.283125811</v>
      </c>
      <c r="AO4004" s="82">
        <f>IFERROR(__xludf.DUMMYFUNCTION("""COMPUTED_VALUE"""),1.2338378417427145)</f>
        <v>1.233837842</v>
      </c>
      <c r="AP4004" s="82">
        <f>IFERROR(__xludf.DUMMYFUNCTION("""COMPUTED_VALUE"""),1.4541574257648153)</f>
        <v>1.454157426</v>
      </c>
      <c r="AQ4004" s="82">
        <f>IFERROR(__xludf.DUMMYFUNCTION("""COMPUTED_VALUE"""),1.4095994722654988)</f>
        <v>1.409599472</v>
      </c>
      <c r="AR4004" s="82">
        <f>IFERROR(__xludf.DUMMYFUNCTION("""COMPUTED_VALUE"""),1.163722015324642)</f>
        <v>1.163722015</v>
      </c>
      <c r="AS4004" s="82">
        <f>IFERROR(__xludf.DUMMYFUNCTION("""COMPUTED_VALUE"""),221.0)</f>
        <v>221</v>
      </c>
      <c r="AT4004" s="82">
        <f>IFERROR(__xludf.DUMMYFUNCTION("""COMPUTED_VALUE"""),0.9195647130121115)</f>
        <v>0.919564713</v>
      </c>
      <c r="AU4004" s="82">
        <f>IFERROR(__xludf.DUMMYFUNCTION("""COMPUTED_VALUE"""),2.824077081513932)</f>
        <v>2.824077082</v>
      </c>
      <c r="AV4004" s="82">
        <f>IFERROR(__xludf.DUMMYFUNCTION("""COMPUTED_VALUE"""),73.93443609129416)</f>
        <v>73.93443609</v>
      </c>
      <c r="AW4004" s="82">
        <f t="shared" si="1"/>
        <v>5.910571063</v>
      </c>
      <c r="AX4004" s="83">
        <f t="array" ref="AX4004">IFERROR(DGET('SBV Import'!A:G,"SBV",{"RSC ID","Tier";B4004,A4004}))</f>
        <v>73.24021877</v>
      </c>
      <c r="AY4004" s="82">
        <f t="shared" si="2"/>
        <v>5.672572935</v>
      </c>
      <c r="AZ4004" s="82">
        <v>0.2379981279325314</v>
      </c>
      <c r="BA4004" s="84">
        <v>4000.0</v>
      </c>
      <c r="BB4004" s="84" t="b">
        <f>IFERROR(__xludf.DUMMYFUNCTION("iferror(if(A4004="""",,E4004&gt;=FILTER(Constants!$F$2:$F$10,Constants!$A$2:$A$10=A4004)))"),TRUE)</f>
        <v>1</v>
      </c>
    </row>
    <row r="4005">
      <c r="A4005" s="89" t="str">
        <f>IFERROR(__xludf.DUMMYFUNCTION("""COMPUTED_VALUE"""),"Amateur")</f>
        <v>Amateur</v>
      </c>
      <c r="B4005" s="87" t="str">
        <f>IFERROR(__xludf.DUMMYFUNCTION("""COMPUTED_VALUE"""),"RSC006256")</f>
        <v>RSC006256</v>
      </c>
      <c r="C4005" s="73" t="str">
        <f>IFERROR(__xludf.DUMMYFUNCTION("""COMPUTED_VALUE"""),"CascaUnbroken")</f>
        <v>CascaUnbroken</v>
      </c>
      <c r="D4005" s="73" t="str">
        <f>IFERROR(__xludf.DUMMYFUNCTION("""COMPUTED_VALUE"""),"Aeon Ale")</f>
        <v>Aeon Ale</v>
      </c>
      <c r="E4005" s="82">
        <f>IFERROR(__xludf.DUMMYFUNCTION("""COMPUTED_VALUE"""),35.0)</f>
        <v>35</v>
      </c>
      <c r="F4005" s="82">
        <f>IFERROR(__xludf.DUMMYFUNCTION("""COMPUTED_VALUE"""),19.0)</f>
        <v>19</v>
      </c>
      <c r="G4005" s="86">
        <f>IFERROR(__xludf.DUMMYFUNCTION("""COMPUTED_VALUE"""),16.0)</f>
        <v>16</v>
      </c>
      <c r="H4005" s="86">
        <f>IFERROR(__xludf.DUMMYFUNCTION("""COMPUTED_VALUE"""),0.5428571428571428)</f>
        <v>0.5428571429</v>
      </c>
      <c r="I4005" s="86">
        <f>IFERROR(__xludf.DUMMYFUNCTION("""COMPUTED_VALUE"""),0.42391304347826086)</f>
        <v>0.4239130435</v>
      </c>
      <c r="J4005" s="82">
        <f>IFERROR(__xludf.DUMMYFUNCTION("""COMPUTED_VALUE"""),351.6857142857143)</f>
        <v>351.6857143</v>
      </c>
      <c r="K4005" s="82">
        <f>IFERROR(__xludf.DUMMYFUNCTION("""COMPUTED_VALUE"""),1.1142857142857143)</f>
        <v>1.114285714</v>
      </c>
      <c r="L4005" s="82">
        <f>IFERROR(__xludf.DUMMYFUNCTION("""COMPUTED_VALUE"""),0.42857142857142855)</f>
        <v>0.4285714286</v>
      </c>
      <c r="M4005" s="82">
        <f>IFERROR(__xludf.DUMMYFUNCTION("""COMPUTED_VALUE"""),0.8285714285714286)</f>
        <v>0.8285714286</v>
      </c>
      <c r="N4005" s="82">
        <f>IFERROR(__xludf.DUMMYFUNCTION("""COMPUTED_VALUE"""),2.6285714285714286)</f>
        <v>2.628571429</v>
      </c>
      <c r="O4005" s="82">
        <f>IFERROR(__xludf.DUMMYFUNCTION("""COMPUTED_VALUE"""),285.5714285714285)</f>
        <v>285.5714286</v>
      </c>
      <c r="P4005" s="82">
        <f>IFERROR(__xludf.DUMMYFUNCTION("""COMPUTED_VALUE"""),0.7142857142857142)</f>
        <v>0.7142857143</v>
      </c>
      <c r="Q4005" s="82">
        <f>IFERROR(__xludf.DUMMYFUNCTION("""COMPUTED_VALUE"""),0.38095238095238093)</f>
        <v>0.380952381</v>
      </c>
      <c r="R4005" s="82">
        <f>IFERROR(__xludf.DUMMYFUNCTION("""COMPUTED_VALUE"""),0.7904761904761903)</f>
        <v>0.7904761905</v>
      </c>
      <c r="S4005" s="82">
        <f>IFERROR(__xludf.DUMMYFUNCTION("""COMPUTED_VALUE"""),1.9619047619047612)</f>
        <v>1.961904762</v>
      </c>
      <c r="T4005" s="82">
        <f>IFERROR(__xludf.DUMMYFUNCTION("""COMPUTED_VALUE"""),301.4787912591225)</f>
        <v>301.4787913</v>
      </c>
      <c r="U4005" s="82">
        <f>IFERROR(__xludf.DUMMYFUNCTION("""COMPUTED_VALUE"""),0.8008949616162442)</f>
        <v>0.8008949616</v>
      </c>
      <c r="V4005" s="82">
        <f>IFERROR(__xludf.DUMMYFUNCTION("""COMPUTED_VALUE"""),0.4511074274644622)</f>
        <v>0.4511074275</v>
      </c>
      <c r="W4005" s="82">
        <f>IFERROR(__xludf.DUMMYFUNCTION("""COMPUTED_VALUE"""),0.8785143229255883)</f>
        <v>0.8785143229</v>
      </c>
      <c r="X4005" s="82">
        <f>IFERROR(__xludf.DUMMYFUNCTION("""COMPUTED_VALUE"""),2.1279217237432526)</f>
        <v>2.127921724</v>
      </c>
      <c r="Y4005" s="82">
        <f>IFERROR(__xludf.DUMMYFUNCTION("""COMPUTED_VALUE"""),297.390812153722)</f>
        <v>297.3908122</v>
      </c>
      <c r="Z4005" s="82">
        <f>IFERROR(__xludf.DUMMYFUNCTION("""COMPUTED_VALUE"""),0.8039675753498216)</f>
        <v>0.8039675753</v>
      </c>
      <c r="AA4005" s="82">
        <f>IFERROR(__xludf.DUMMYFUNCTION("""COMPUTED_VALUE"""),0.45667517822141734)</f>
        <v>0.4566751782</v>
      </c>
      <c r="AB4005" s="82">
        <f>IFERROR(__xludf.DUMMYFUNCTION("""COMPUTED_VALUE"""),0.8776213933904704)</f>
        <v>0.8776213934</v>
      </c>
      <c r="AC4005" s="82">
        <f>IFERROR(__xludf.DUMMYFUNCTION("""COMPUTED_VALUE"""),2.0451136449173957)</f>
        <v>2.045113645</v>
      </c>
      <c r="AD4005" s="82">
        <f>IFERROR(__xludf.DUMMYFUNCTION("""COMPUTED_VALUE"""),1.1825708795062813)</f>
        <v>1.18257088</v>
      </c>
      <c r="AE4005" s="82">
        <f>IFERROR(__xludf.DUMMYFUNCTION("""COMPUTED_VALUE"""),1.3859834008863696)</f>
        <v>1.385983401</v>
      </c>
      <c r="AF4005" s="82">
        <f>IFERROR(__xludf.DUMMYFUNCTION("""COMPUTED_VALUE"""),0.9384600893802842)</f>
        <v>0.9384600894</v>
      </c>
      <c r="AG4005" s="82">
        <f>IFERROR(__xludf.DUMMYFUNCTION("""COMPUTED_VALUE"""),0.9441103359735232)</f>
        <v>0.944110336</v>
      </c>
      <c r="AH4005" s="82">
        <f>IFERROR(__xludf.DUMMYFUNCTION("""COMPUTED_VALUE"""),1.2852935753003591)</f>
        <v>1.285293575</v>
      </c>
      <c r="AI4005" s="82">
        <f>IFERROR(__xludf.DUMMYFUNCTION("""COMPUTED_VALUE"""),0.94723554973384)</f>
        <v>0.9472355497</v>
      </c>
      <c r="AJ4005" s="82">
        <f>IFERROR(__xludf.DUMMYFUNCTION("""COMPUTED_VALUE"""),0.8918594179244824)</f>
        <v>0.8918594179</v>
      </c>
      <c r="AK4005" s="82">
        <f>IFERROR(__xludf.DUMMYFUNCTION("""COMPUTED_VALUE"""),0.8444826171309094)</f>
        <v>0.8444826171</v>
      </c>
      <c r="AL4005" s="82">
        <f>IFERROR(__xludf.DUMMYFUNCTION("""COMPUTED_VALUE"""),0.8997874819431317)</f>
        <v>0.8997874819</v>
      </c>
      <c r="AM4005" s="82">
        <f>IFERROR(__xludf.DUMMYFUNCTION("""COMPUTED_VALUE"""),0.9219816405904024)</f>
        <v>0.9219816406</v>
      </c>
      <c r="AN4005" s="82">
        <f>IFERROR(__xludf.DUMMYFUNCTION("""COMPUTED_VALUE"""),1.266094039415128)</f>
        <v>1.266094039</v>
      </c>
      <c r="AO4005" s="82">
        <f>IFERROR(__xludf.DUMMYFUNCTION("""COMPUTED_VALUE"""),1.4998340517807542)</f>
        <v>1.499834052</v>
      </c>
      <c r="AP4005" s="82">
        <f>IFERROR(__xludf.DUMMYFUNCTION("""COMPUTED_VALUE"""),1.0197987141727276)</f>
        <v>1.019798714</v>
      </c>
      <c r="AQ4005" s="82">
        <f>IFERROR(__xludf.DUMMYFUNCTION("""COMPUTED_VALUE"""),1.0511584636037004)</f>
        <v>1.051158464</v>
      </c>
      <c r="AR4005" s="82">
        <f>IFERROR(__xludf.DUMMYFUNCTION("""COMPUTED_VALUE"""),1.376516898126862)</f>
        <v>1.376516898</v>
      </c>
      <c r="AS4005" s="82">
        <f>IFERROR(__xludf.DUMMYFUNCTION("""COMPUTED_VALUE"""),169.0)</f>
        <v>169</v>
      </c>
      <c r="AT4005" s="82">
        <f>IFERROR(__xludf.DUMMYFUNCTION("""COMPUTED_VALUE"""),0.805092697446159)</f>
        <v>0.8050926974</v>
      </c>
      <c r="AU4005" s="82">
        <f>IFERROR(__xludf.DUMMYFUNCTION("""COMPUTED_VALUE"""),2.7718408520738924)</f>
        <v>2.771840852</v>
      </c>
      <c r="AV4005" s="82">
        <f>IFERROR(__xludf.DUMMYFUNCTION("""COMPUTED_VALUE"""),72.86635525204778)</f>
        <v>72.86635525</v>
      </c>
      <c r="AW4005" s="82">
        <f t="shared" si="1"/>
        <v>5.549802414</v>
      </c>
      <c r="AX4005" s="83">
        <f t="array" ref="AX4005">IFERROR(DGET('SBV Import'!A:G,"SBV",{"RSC ID","Tier";B4005,A4005}))</f>
        <v>70.28647512</v>
      </c>
      <c r="AY4005" s="82">
        <f t="shared" si="2"/>
        <v>4.794988745</v>
      </c>
      <c r="AZ4005" s="82">
        <v>0.7548136686480076</v>
      </c>
      <c r="BA4005" s="84">
        <v>4000.0</v>
      </c>
      <c r="BB4005" s="84" t="b">
        <f>IFERROR(__xludf.DUMMYFUNCTION("iferror(if(A4005="""",,E4005&gt;=FILTER(Constants!$F$2:$F$10,Constants!$A$2:$A$10=A4005)))"),TRUE)</f>
        <v>1</v>
      </c>
    </row>
    <row r="4006">
      <c r="A4006" s="89" t="str">
        <f>IFERROR(__xludf.DUMMYFUNCTION("""COMPUTED_VALUE"""),"Amateur")</f>
        <v>Amateur</v>
      </c>
      <c r="B4006" s="87" t="str">
        <f>IFERROR(__xludf.DUMMYFUNCTION("""COMPUTED_VALUE"""),"RSC007463")</f>
        <v>RSC007463</v>
      </c>
      <c r="C4006" s="73" t="str">
        <f>IFERROR(__xludf.DUMMYFUNCTION("""COMPUTED_VALUE"""),"xproteusx05")</f>
        <v>xproteusx05</v>
      </c>
      <c r="D4006" s="73" t="str">
        <f>IFERROR(__xludf.DUMMYFUNCTION("""COMPUTED_VALUE"""),"Surprise")</f>
        <v>Surprise</v>
      </c>
      <c r="E4006" s="82">
        <f>IFERROR(__xludf.DUMMYFUNCTION("""COMPUTED_VALUE"""),27.0)</f>
        <v>27</v>
      </c>
      <c r="F4006" s="82">
        <f>IFERROR(__xludf.DUMMYFUNCTION("""COMPUTED_VALUE"""),18.0)</f>
        <v>18</v>
      </c>
      <c r="G4006" s="86">
        <f>IFERROR(__xludf.DUMMYFUNCTION("""COMPUTED_VALUE"""),9.0)</f>
        <v>9</v>
      </c>
      <c r="H4006" s="86">
        <f>IFERROR(__xludf.DUMMYFUNCTION("""COMPUTED_VALUE"""),0.6666666666666666)</f>
        <v>0.6666666667</v>
      </c>
      <c r="I4006" s="86">
        <f>IFERROR(__xludf.DUMMYFUNCTION("""COMPUTED_VALUE"""),0.4769230769230769)</f>
        <v>0.4769230769</v>
      </c>
      <c r="J4006" s="82">
        <f>IFERROR(__xludf.DUMMYFUNCTION("""COMPUTED_VALUE"""),318.44444444444446)</f>
        <v>318.4444444</v>
      </c>
      <c r="K4006" s="82">
        <f>IFERROR(__xludf.DUMMYFUNCTION("""COMPUTED_VALUE"""),1.1481481481481481)</f>
        <v>1.148148148</v>
      </c>
      <c r="L4006" s="82">
        <f>IFERROR(__xludf.DUMMYFUNCTION("""COMPUTED_VALUE"""),0.4074074074074074)</f>
        <v>0.4074074074</v>
      </c>
      <c r="M4006" s="82">
        <f>IFERROR(__xludf.DUMMYFUNCTION("""COMPUTED_VALUE"""),0.7037037037037037)</f>
        <v>0.7037037037</v>
      </c>
      <c r="N4006" s="82">
        <f>IFERROR(__xludf.DUMMYFUNCTION("""COMPUTED_VALUE"""),2.4074074074074074)</f>
        <v>2.407407407</v>
      </c>
      <c r="O4006" s="82">
        <f>IFERROR(__xludf.DUMMYFUNCTION("""COMPUTED_VALUE"""),263.1851851851851)</f>
        <v>263.1851852</v>
      </c>
      <c r="P4006" s="82">
        <f>IFERROR(__xludf.DUMMYFUNCTION("""COMPUTED_VALUE"""),0.6265432098765431)</f>
        <v>0.6265432099</v>
      </c>
      <c r="Q4006" s="82">
        <f>IFERROR(__xludf.DUMMYFUNCTION("""COMPUTED_VALUE"""),0.22839506172839497)</f>
        <v>0.2283950617</v>
      </c>
      <c r="R4006" s="82">
        <f>IFERROR(__xludf.DUMMYFUNCTION("""COMPUTED_VALUE"""),0.8919753086419754)</f>
        <v>0.8919753086</v>
      </c>
      <c r="S4006" s="82">
        <f>IFERROR(__xludf.DUMMYFUNCTION("""COMPUTED_VALUE"""),1.6790123456790123)</f>
        <v>1.679012346</v>
      </c>
      <c r="T4006" s="82">
        <f>IFERROR(__xludf.DUMMYFUNCTION("""COMPUTED_VALUE"""),296.1229249565219)</f>
        <v>296.122925</v>
      </c>
      <c r="U4006" s="82">
        <f>IFERROR(__xludf.DUMMYFUNCTION("""COMPUTED_VALUE"""),0.8106623573364031)</f>
        <v>0.8106623573</v>
      </c>
      <c r="V4006" s="82">
        <f>IFERROR(__xludf.DUMMYFUNCTION("""COMPUTED_VALUE"""),0.446298081159983)</f>
        <v>0.4462980812</v>
      </c>
      <c r="W4006" s="82">
        <f>IFERROR(__xludf.DUMMYFUNCTION("""COMPUTED_VALUE"""),0.82941120693598)</f>
        <v>0.8294112069</v>
      </c>
      <c r="X4006" s="82">
        <f>IFERROR(__xludf.DUMMYFUNCTION("""COMPUTED_VALUE"""),2.0363742948394017)</f>
        <v>2.036374295</v>
      </c>
      <c r="Y4006" s="82">
        <f>IFERROR(__xludf.DUMMYFUNCTION("""COMPUTED_VALUE"""),310.54014562581966)</f>
        <v>310.5401456</v>
      </c>
      <c r="Z4006" s="82">
        <f>IFERROR(__xludf.DUMMYFUNCTION("""COMPUTED_VALUE"""),0.9003577884758039)</f>
        <v>0.9003577885</v>
      </c>
      <c r="AA4006" s="82">
        <f>IFERROR(__xludf.DUMMYFUNCTION("""COMPUTED_VALUE"""),0.5118296651595722)</f>
        <v>0.5118296652</v>
      </c>
      <c r="AB4006" s="82">
        <f>IFERROR(__xludf.DUMMYFUNCTION("""COMPUTED_VALUE"""),0.8519647049713293)</f>
        <v>0.851964705</v>
      </c>
      <c r="AC4006" s="82">
        <f>IFERROR(__xludf.DUMMYFUNCTION("""COMPUTED_VALUE"""),2.1372435350749885)</f>
        <v>2.137243535</v>
      </c>
      <c r="AD4006" s="82">
        <f>IFERROR(__xludf.DUMMYFUNCTION("""COMPUTED_VALUE"""),1.025453388007839)</f>
        <v>1.025453388</v>
      </c>
      <c r="AE4006" s="82">
        <f>IFERROR(__xludf.DUMMYFUNCTION("""COMPUTED_VALUE"""),1.2752132128404454)</f>
        <v>1.275213213</v>
      </c>
      <c r="AF4006" s="82">
        <f>IFERROR(__xludf.DUMMYFUNCTION("""COMPUTED_VALUE"""),0.7959824041859527)</f>
        <v>0.7959824042</v>
      </c>
      <c r="AG4006" s="82">
        <f>IFERROR(__xludf.DUMMYFUNCTION("""COMPUTED_VALUE"""),0.8259775312257626)</f>
        <v>0.8259775312</v>
      </c>
      <c r="AH4006" s="82">
        <f>IFERROR(__xludf.DUMMYFUNCTION("""COMPUTED_VALUE"""),1.1264076217327006)</f>
        <v>1.126407622</v>
      </c>
      <c r="AI4006" s="82">
        <f>IFERROR(__xludf.DUMMYFUNCTION("""COMPUTED_VALUE"""),0.8887700444800994)</f>
        <v>0.8887700445</v>
      </c>
      <c r="AJ4006" s="82">
        <f>IFERROR(__xludf.DUMMYFUNCTION("""COMPUTED_VALUE"""),0.7728781337956518)</f>
        <v>0.7728781338</v>
      </c>
      <c r="AK4006" s="82">
        <f>IFERROR(__xludf.DUMMYFUNCTION("""COMPUTED_VALUE"""),0.5117545231984157)</f>
        <v>0.5117545232</v>
      </c>
      <c r="AL4006" s="82">
        <f>IFERROR(__xludf.DUMMYFUNCTION("""COMPUTED_VALUE"""),1.0754319464010142)</f>
        <v>1.075431946</v>
      </c>
      <c r="AM4006" s="82">
        <f>IFERROR(__xludf.DUMMYFUNCTION("""COMPUTED_VALUE"""),0.8245106756326578)</f>
        <v>0.8245106756</v>
      </c>
      <c r="AN4006" s="82">
        <f>IFERROR(__xludf.DUMMYFUNCTION("""COMPUTED_VALUE"""),1.1464230607570927)</f>
        <v>1.146423061</v>
      </c>
      <c r="AO4006" s="82">
        <f>IFERROR(__xludf.DUMMYFUNCTION("""COMPUTED_VALUE"""),1.5454130543040059)</f>
        <v>1.545413054</v>
      </c>
      <c r="AP4006" s="82">
        <f>IFERROR(__xludf.DUMMYFUNCTION("""COMPUTED_VALUE"""),0.9694382838432102)</f>
        <v>0.9694382838</v>
      </c>
      <c r="AQ4006" s="82">
        <f>IFERROR(__xludf.DUMMYFUNCTION("""COMPUTED_VALUE"""),0.8927463324348158)</f>
        <v>0.8927463324</v>
      </c>
      <c r="AR4006" s="82">
        <f>IFERROR(__xludf.DUMMYFUNCTION("""COMPUTED_VALUE"""),1.2606988499350287)</f>
        <v>1.26069885</v>
      </c>
      <c r="AS4006" s="82">
        <f>IFERROR(__xludf.DUMMYFUNCTION("""COMPUTED_VALUE"""),200.0)</f>
        <v>200</v>
      </c>
      <c r="AT4006" s="82">
        <f>IFERROR(__xludf.DUMMYFUNCTION("""COMPUTED_VALUE"""),0.9308513179227831)</f>
        <v>0.9308513179</v>
      </c>
      <c r="AU4006" s="82">
        <f>IFERROR(__xludf.DUMMYFUNCTION("""COMPUTED_VALUE"""),2.683078533870878)</f>
        <v>2.683078534</v>
      </c>
      <c r="AV4006" s="82">
        <f>IFERROR(__xludf.DUMMYFUNCTION("""COMPUTED_VALUE"""),71.05142082174872)</f>
        <v>71.05142082</v>
      </c>
      <c r="AW4006" s="82">
        <f t="shared" si="1"/>
        <v>5.003050081</v>
      </c>
      <c r="AX4006" s="83">
        <f t="array" ref="AX4006">IFERROR(DGET('SBV Import'!A:G,"SBV",{"RSC ID","Tier";B4006,A4006}))</f>
        <v>59.7377347</v>
      </c>
      <c r="AY4006" s="82">
        <f t="shared" si="2"/>
        <v>2.869854808</v>
      </c>
      <c r="AZ4006" s="82">
        <v>2.133195272726995</v>
      </c>
      <c r="BA4006" s="84">
        <v>4000.0</v>
      </c>
      <c r="BB4006" s="84" t="b">
        <f>IFERROR(__xludf.DUMMYFUNCTION("iferror(if(A4006="""",,E4006&gt;=FILTER(Constants!$F$2:$F$10,Constants!$A$2:$A$10=A4006)))"),TRUE)</f>
        <v>1</v>
      </c>
    </row>
    <row r="4007">
      <c r="A4007" s="89" t="str">
        <f>IFERROR(__xludf.DUMMYFUNCTION("""COMPUTED_VALUE"""),"Amateur")</f>
        <v>Amateur</v>
      </c>
      <c r="B4007" s="87" t="str">
        <f>IFERROR(__xludf.DUMMYFUNCTION("""COMPUTED_VALUE"""),"RSC008012")</f>
        <v>RSC008012</v>
      </c>
      <c r="C4007" s="73" t="str">
        <f>IFERROR(__xludf.DUMMYFUNCTION("""COMPUTED_VALUE"""),"mushxie")</f>
        <v>mushxie</v>
      </c>
      <c r="D4007" s="73" t="str">
        <f>IFERROR(__xludf.DUMMYFUNCTION("""COMPUTED_VALUE"""),"Amaranth")</f>
        <v>Amaranth</v>
      </c>
      <c r="E4007" s="82">
        <f>IFERROR(__xludf.DUMMYFUNCTION("""COMPUTED_VALUE"""),23.0)</f>
        <v>23</v>
      </c>
      <c r="F4007" s="82">
        <f>IFERROR(__xludf.DUMMYFUNCTION("""COMPUTED_VALUE"""),14.0)</f>
        <v>14</v>
      </c>
      <c r="G4007" s="86">
        <f>IFERROR(__xludf.DUMMYFUNCTION("""COMPUTED_VALUE"""),9.0)</f>
        <v>9</v>
      </c>
      <c r="H4007" s="86">
        <f>IFERROR(__xludf.DUMMYFUNCTION("""COMPUTED_VALUE"""),0.6086956521739131)</f>
        <v>0.6086956522</v>
      </c>
      <c r="I4007" s="86">
        <f>IFERROR(__xludf.DUMMYFUNCTION("""COMPUTED_VALUE"""),0.27450980392156865)</f>
        <v>0.2745098039</v>
      </c>
      <c r="J4007" s="82">
        <f>IFERROR(__xludf.DUMMYFUNCTION("""COMPUTED_VALUE"""),322.82608695652175)</f>
        <v>322.826087</v>
      </c>
      <c r="K4007" s="82">
        <f>IFERROR(__xludf.DUMMYFUNCTION("""COMPUTED_VALUE"""),0.6086956521739131)</f>
        <v>0.6086956522</v>
      </c>
      <c r="L4007" s="82">
        <f>IFERROR(__xludf.DUMMYFUNCTION("""COMPUTED_VALUE"""),0.8260869565217391)</f>
        <v>0.8260869565</v>
      </c>
      <c r="M4007" s="82">
        <f>IFERROR(__xludf.DUMMYFUNCTION("""COMPUTED_VALUE"""),0.8695652173913043)</f>
        <v>0.8695652174</v>
      </c>
      <c r="N4007" s="82">
        <f>IFERROR(__xludf.DUMMYFUNCTION("""COMPUTED_VALUE"""),2.217391304347826)</f>
        <v>2.217391304</v>
      </c>
      <c r="O4007" s="82">
        <f>IFERROR(__xludf.DUMMYFUNCTION("""COMPUTED_VALUE"""),276.88405797101456)</f>
        <v>276.884058</v>
      </c>
      <c r="P4007" s="82">
        <f>IFERROR(__xludf.DUMMYFUNCTION("""COMPUTED_VALUE"""),0.5797101449275364)</f>
        <v>0.5797101449</v>
      </c>
      <c r="Q4007" s="82">
        <f>IFERROR(__xludf.DUMMYFUNCTION("""COMPUTED_VALUE"""),0.39130434782608686)</f>
        <v>0.3913043478</v>
      </c>
      <c r="R4007" s="82">
        <f>IFERROR(__xludf.DUMMYFUNCTION("""COMPUTED_VALUE"""),0.9275362318840581)</f>
        <v>0.9275362319</v>
      </c>
      <c r="S4007" s="82">
        <f>IFERROR(__xludf.DUMMYFUNCTION("""COMPUTED_VALUE"""),1.6956521739130435)</f>
        <v>1.695652174</v>
      </c>
      <c r="T4007" s="82">
        <f>IFERROR(__xludf.DUMMYFUNCTION("""COMPUTED_VALUE"""),286.066656552204)</f>
        <v>286.0666566</v>
      </c>
      <c r="U4007" s="82">
        <f>IFERROR(__xludf.DUMMYFUNCTION("""COMPUTED_VALUE"""),0.7832892736337173)</f>
        <v>0.7832892736</v>
      </c>
      <c r="V4007" s="82">
        <f>IFERROR(__xludf.DUMMYFUNCTION("""COMPUTED_VALUE"""),0.43715335613611334)</f>
        <v>0.4371533561</v>
      </c>
      <c r="W4007" s="82">
        <f>IFERROR(__xludf.DUMMYFUNCTION("""COMPUTED_VALUE"""),0.8307110164110413)</f>
        <v>0.8307110164</v>
      </c>
      <c r="X4007" s="82">
        <f>IFERROR(__xludf.DUMMYFUNCTION("""COMPUTED_VALUE"""),1.947809277932205)</f>
        <v>1.947809278</v>
      </c>
      <c r="Y4007" s="82">
        <f>IFERROR(__xludf.DUMMYFUNCTION("""COMPUTED_VALUE"""),297.0685024564154)</f>
        <v>297.0685025</v>
      </c>
      <c r="Z4007" s="82">
        <f>IFERROR(__xludf.DUMMYFUNCTION("""COMPUTED_VALUE"""),0.8105315192056866)</f>
        <v>0.8105315192</v>
      </c>
      <c r="AA4007" s="82">
        <f>IFERROR(__xludf.DUMMYFUNCTION("""COMPUTED_VALUE"""),0.48368018898994736)</f>
        <v>0.483680189</v>
      </c>
      <c r="AB4007" s="82">
        <f>IFERROR(__xludf.DUMMYFUNCTION("""COMPUTED_VALUE"""),0.8104816788824228)</f>
        <v>0.8104816789</v>
      </c>
      <c r="AC4007" s="82">
        <f>IFERROR(__xludf.DUMMYFUNCTION("""COMPUTED_VALUE"""),2.085051468311409)</f>
        <v>2.085051468</v>
      </c>
      <c r="AD4007" s="82">
        <f>IFERROR(__xludf.DUMMYFUNCTION("""COMPUTED_VALUE"""),1.0867058752009073)</f>
        <v>1.086705875</v>
      </c>
      <c r="AE4007" s="82">
        <f>IFERROR(__xludf.DUMMYFUNCTION("""COMPUTED_VALUE"""),0.7509833211303482)</f>
        <v>0.7509833211</v>
      </c>
      <c r="AF4007" s="82">
        <f>IFERROR(__xludf.DUMMYFUNCTION("""COMPUTED_VALUE"""),1.7079197687356764)</f>
        <v>1.707919769</v>
      </c>
      <c r="AG4007" s="82">
        <f>IFERROR(__xludf.DUMMYFUNCTION("""COMPUTED_VALUE"""),1.0728992894575384)</f>
        <v>1.072899289</v>
      </c>
      <c r="AH4007" s="82">
        <f>IFERROR(__xludf.DUMMYFUNCTION("""COMPUTED_VALUE"""),1.0634707766439901)</f>
        <v>1.063470777</v>
      </c>
      <c r="AI4007" s="82">
        <f>IFERROR(__xludf.DUMMYFUNCTION("""COMPUTED_VALUE"""),0.9679004932211884)</f>
        <v>0.9679004932</v>
      </c>
      <c r="AJ4007" s="82">
        <f>IFERROR(__xludf.DUMMYFUNCTION("""COMPUTED_VALUE"""),0.74009713198067)</f>
        <v>0.740097132</v>
      </c>
      <c r="AK4007" s="82">
        <f>IFERROR(__xludf.DUMMYFUNCTION("""COMPUTED_VALUE"""),0.895119166611749)</f>
        <v>0.8951191666</v>
      </c>
      <c r="AL4007" s="82">
        <f>IFERROR(__xludf.DUMMYFUNCTION("""COMPUTED_VALUE"""),1.1165570379592835)</f>
        <v>1.116557038</v>
      </c>
      <c r="AM4007" s="82">
        <f>IFERROR(__xludf.DUMMYFUNCTION("""COMPUTED_VALUE"""),0.8705432267542891)</f>
        <v>0.8705432268</v>
      </c>
      <c r="AN4007" s="82">
        <f>IFERROR(__xludf.DUMMYFUNCTION("""COMPUTED_VALUE"""),1.1621972911055056)</f>
        <v>1.162197291</v>
      </c>
      <c r="AO4007" s="82">
        <f>IFERROR(__xludf.DUMMYFUNCTION("""COMPUTED_VALUE"""),0.8193073415524744)</f>
        <v>0.8193073416</v>
      </c>
      <c r="AP4007" s="82">
        <f>IFERROR(__xludf.DUMMYFUNCTION("""COMPUTED_VALUE"""),1.9656989707967067)</f>
        <v>1.965698971</v>
      </c>
      <c r="AQ4007" s="82">
        <f>IFERROR(__xludf.DUMMYFUNCTION("""COMPUTED_VALUE"""),1.1031648043816946)</f>
        <v>1.103164804</v>
      </c>
      <c r="AR4007" s="82">
        <f>IFERROR(__xludf.DUMMYFUNCTION("""COMPUTED_VALUE"""),1.1611921848565447)</f>
        <v>1.161192185</v>
      </c>
      <c r="AS4007" s="82">
        <f>IFERROR(__xludf.DUMMYFUNCTION("""COMPUTED_VALUE"""),124.0)</f>
        <v>124</v>
      </c>
      <c r="AT4007" s="82">
        <f>IFERROR(__xludf.DUMMYFUNCTION("""COMPUTED_VALUE"""),0.8795531633371888)</f>
        <v>0.8795531633</v>
      </c>
      <c r="AU4007" s="82">
        <f>IFERROR(__xludf.DUMMYFUNCTION("""COMPUTED_VALUE"""),2.6226604797240247)</f>
        <v>2.62266048</v>
      </c>
      <c r="AV4007" s="82">
        <f>IFERROR(__xludf.DUMMYFUNCTION("""COMPUTED_VALUE"""),69.81604517020256)</f>
        <v>69.81604517</v>
      </c>
      <c r="AW4007" s="82">
        <f t="shared" si="1"/>
        <v>4.673044115</v>
      </c>
      <c r="AX4007" s="83">
        <f t="array" ref="AX4007">IFERROR(DGET('SBV Import'!A:G,"SBV",{"RSC ID","Tier";B4007,A4007}))</f>
        <v>79.13278841</v>
      </c>
      <c r="AY4007" s="82">
        <f t="shared" si="2"/>
        <v>8.200320343</v>
      </c>
      <c r="AZ4007" s="82">
        <v>3.527276227861237</v>
      </c>
      <c r="BA4007" s="84">
        <v>4000.0</v>
      </c>
      <c r="BB4007" s="84" t="b">
        <f>IFERROR(__xludf.DUMMYFUNCTION("iferror(if(A4007="""",,E4007&gt;=FILTER(Constants!$F$2:$F$10,Constants!$A$2:$A$10=A4007)))"),TRUE)</f>
        <v>1</v>
      </c>
    </row>
    <row r="4008">
      <c r="A4008" s="89" t="str">
        <f>IFERROR(__xludf.DUMMYFUNCTION("""COMPUTED_VALUE"""),"Amateur")</f>
        <v>Amateur</v>
      </c>
      <c r="B4008" s="87" t="str">
        <f>IFERROR(__xludf.DUMMYFUNCTION("""COMPUTED_VALUE"""),"RSC007306")</f>
        <v>RSC007306</v>
      </c>
      <c r="C4008" s="73" t="str">
        <f>IFERROR(__xludf.DUMMYFUNCTION("""COMPUTED_VALUE"""),"SAMCRO-8640")</f>
        <v>SAMCRO-8640</v>
      </c>
      <c r="D4008" s="73"/>
      <c r="E4008" s="82">
        <f>IFERROR(__xludf.DUMMYFUNCTION("""COMPUTED_VALUE"""),8.0)</f>
        <v>8</v>
      </c>
      <c r="F4008" s="82">
        <f>IFERROR(__xludf.DUMMYFUNCTION("""COMPUTED_VALUE"""),5.0)</f>
        <v>5</v>
      </c>
      <c r="G4008" s="86">
        <f>IFERROR(__xludf.DUMMYFUNCTION("""COMPUTED_VALUE"""),3.0)</f>
        <v>3</v>
      </c>
      <c r="H4008" s="86">
        <f>IFERROR(__xludf.DUMMYFUNCTION("""COMPUTED_VALUE"""),0.625)</f>
        <v>0.625</v>
      </c>
      <c r="I4008" s="86">
        <f>IFERROR(__xludf.DUMMYFUNCTION("""COMPUTED_VALUE"""),0.8125)</f>
        <v>0.8125</v>
      </c>
      <c r="J4008" s="82">
        <f>IFERROR(__xludf.DUMMYFUNCTION("""COMPUTED_VALUE"""),333.5)</f>
        <v>333.5</v>
      </c>
      <c r="K4008" s="82">
        <f>IFERROR(__xludf.DUMMYFUNCTION("""COMPUTED_VALUE"""),1.625)</f>
        <v>1.625</v>
      </c>
      <c r="L4008" s="82">
        <f>IFERROR(__xludf.DUMMYFUNCTION("""COMPUTED_VALUE"""),0.25)</f>
        <v>0.25</v>
      </c>
      <c r="M4008" s="82">
        <f>IFERROR(__xludf.DUMMYFUNCTION("""COMPUTED_VALUE"""),0.5)</f>
        <v>0.5</v>
      </c>
      <c r="N4008" s="82">
        <f>IFERROR(__xludf.DUMMYFUNCTION("""COMPUTED_VALUE"""),2.0)</f>
        <v>2</v>
      </c>
      <c r="O4008" s="82">
        <f>IFERROR(__xludf.DUMMYFUNCTION("""COMPUTED_VALUE"""),297.8229166666667)</f>
        <v>297.8229167</v>
      </c>
      <c r="P4008" s="82">
        <f>IFERROR(__xludf.DUMMYFUNCTION("""COMPUTED_VALUE"""),0.9062500000000001)</f>
        <v>0.90625</v>
      </c>
      <c r="Q4008" s="82">
        <f>IFERROR(__xludf.DUMMYFUNCTION("""COMPUTED_VALUE"""),0.53125)</f>
        <v>0.53125</v>
      </c>
      <c r="R4008" s="82">
        <f>IFERROR(__xludf.DUMMYFUNCTION("""COMPUTED_VALUE"""),0.8229166666666666)</f>
        <v>0.8229166667</v>
      </c>
      <c r="S4008" s="82">
        <f>IFERROR(__xludf.DUMMYFUNCTION("""COMPUTED_VALUE"""),1.9270833333333333)</f>
        <v>1.927083333</v>
      </c>
      <c r="T4008" s="82">
        <f>IFERROR(__xludf.DUMMYFUNCTION("""COMPUTED_VALUE"""),295.5121166631634)</f>
        <v>295.5121167</v>
      </c>
      <c r="U4008" s="82">
        <f>IFERROR(__xludf.DUMMYFUNCTION("""COMPUTED_VALUE"""),0.7939767645185927)</f>
        <v>0.7939767645</v>
      </c>
      <c r="V4008" s="82">
        <f>IFERROR(__xludf.DUMMYFUNCTION("""COMPUTED_VALUE"""),0.49691710456962906)</f>
        <v>0.4969171046</v>
      </c>
      <c r="W4008" s="82">
        <f>IFERROR(__xludf.DUMMYFUNCTION("""COMPUTED_VALUE"""),0.8202053276851148)</f>
        <v>0.8202053277</v>
      </c>
      <c r="X4008" s="82">
        <f>IFERROR(__xludf.DUMMYFUNCTION("""COMPUTED_VALUE"""),2.0667949464222466)</f>
        <v>2.066794946</v>
      </c>
      <c r="Y4008" s="82">
        <f>IFERROR(__xludf.DUMMYFUNCTION("""COMPUTED_VALUE"""),298.01212547922313)</f>
        <v>298.0121255</v>
      </c>
      <c r="Z4008" s="82">
        <f>IFERROR(__xludf.DUMMYFUNCTION("""COMPUTED_VALUE"""),0.8208481673491608)</f>
        <v>0.8208481673</v>
      </c>
      <c r="AA4008" s="82">
        <f>IFERROR(__xludf.DUMMYFUNCTION("""COMPUTED_VALUE"""),0.46570377356959863)</f>
        <v>0.4657037736</v>
      </c>
      <c r="AB4008" s="82">
        <f>IFERROR(__xludf.DUMMYFUNCTION("""COMPUTED_VALUE"""),0.86922270650064)</f>
        <v>0.8692227065</v>
      </c>
      <c r="AC4008" s="82">
        <f>IFERROR(__xludf.DUMMYFUNCTION("""COMPUTED_VALUE"""),1.9755183675561188)</f>
        <v>1.975518368</v>
      </c>
      <c r="AD4008" s="82">
        <f>IFERROR(__xludf.DUMMYFUNCTION("""COMPUTED_VALUE"""),1.1190819818613422)</f>
        <v>1.119081982</v>
      </c>
      <c r="AE4008" s="82">
        <f>IFERROR(__xludf.DUMMYFUNCTION("""COMPUTED_VALUE"""),1.979659655265796)</f>
        <v>1.979659655</v>
      </c>
      <c r="AF4008" s="82">
        <f>IFERROR(__xludf.DUMMYFUNCTION("""COMPUTED_VALUE"""),0.5368219331438119)</f>
        <v>0.5368219331</v>
      </c>
      <c r="AG4008" s="82">
        <f>IFERROR(__xludf.DUMMYFUNCTION("""COMPUTED_VALUE"""),0.5752265745713487)</f>
        <v>0.5752265746</v>
      </c>
      <c r="AH4008" s="82">
        <f>IFERROR(__xludf.DUMMYFUNCTION("""COMPUTED_VALUE"""),1.0123925106675506)</f>
        <v>1.012392511</v>
      </c>
      <c r="AI4008" s="82">
        <f>IFERROR(__xludf.DUMMYFUNCTION("""COMPUTED_VALUE"""),1.0078196455346609)</f>
        <v>1.007819646</v>
      </c>
      <c r="AJ4008" s="82">
        <f>IFERROR(__xludf.DUMMYFUNCTION("""COMPUTED_VALUE"""),1.141406197887266)</f>
        <v>1.141406198</v>
      </c>
      <c r="AK4008" s="82">
        <f>IFERROR(__xludf.DUMMYFUNCTION("""COMPUTED_VALUE"""),1.069091796427708)</f>
        <v>1.069091796</v>
      </c>
      <c r="AL4008" s="82">
        <f>IFERROR(__xludf.DUMMYFUNCTION("""COMPUTED_VALUE"""),1.0033056832113052)</f>
        <v>1.003305683</v>
      </c>
      <c r="AM4008" s="82">
        <f>IFERROR(__xludf.DUMMYFUNCTION("""COMPUTED_VALUE"""),0.9324018024474257)</f>
        <v>0.9324018024</v>
      </c>
      <c r="AN4008" s="82">
        <f>IFERROR(__xludf.DUMMYFUNCTION("""COMPUTED_VALUE"""),1.2006241510336406)</f>
        <v>1.200624151</v>
      </c>
      <c r="AO4008" s="82">
        <f>IFERROR(__xludf.DUMMYFUNCTION("""COMPUTED_VALUE"""),2.1872579921802666)</f>
        <v>2.187257992</v>
      </c>
      <c r="AP4008" s="82">
        <f>IFERROR(__xludf.DUMMYFUNCTION("""COMPUTED_VALUE"""),0.5948825832674244)</f>
        <v>0.5948825833</v>
      </c>
      <c r="AQ4008" s="82">
        <f>IFERROR(__xludf.DUMMYFUNCTION("""COMPUTED_VALUE"""),0.6343197625194744)</f>
        <v>0.6343197625</v>
      </c>
      <c r="AR4008" s="82">
        <f>IFERROR(__xludf.DUMMYFUNCTION("""COMPUTED_VALUE"""),1.0473498137921775)</f>
        <v>1.047349814</v>
      </c>
      <c r="AS4008" s="82">
        <f>IFERROR(__xludf.DUMMYFUNCTION("""COMPUTED_VALUE"""),35.0)</f>
        <v>35</v>
      </c>
      <c r="AT4008" s="82">
        <f>IFERROR(__xludf.DUMMYFUNCTION("""COMPUTED_VALUE"""),0.6973621750239064)</f>
        <v>0.697362175</v>
      </c>
      <c r="AU4008" s="82">
        <f>IFERROR(__xludf.DUMMYFUNCTION("""COMPUTED_VALUE"""),2.533026509449772)</f>
        <v>2.533026509</v>
      </c>
      <c r="AV4008" s="82">
        <f>IFERROR(__xludf.DUMMYFUNCTION("""COMPUTED_VALUE"""),67.9832879589379)</f>
        <v>67.98328796</v>
      </c>
      <c r="AW4008" s="82">
        <f t="shared" si="1"/>
        <v>4.237856651</v>
      </c>
      <c r="AX4008" s="83">
        <f t="array" ref="AX4008">IFERROR(DGET('SBV Import'!A:G,"SBV",{"RSC ID","Tier";B4008,A4008}))</f>
        <v>47.80902555</v>
      </c>
      <c r="AY4008" s="82">
        <f t="shared" si="2"/>
        <v>-2.150159342</v>
      </c>
      <c r="AZ4008" s="82">
        <v>6.388015993175374</v>
      </c>
      <c r="BA4008" s="84">
        <v>4000.0</v>
      </c>
      <c r="BB4008" s="84" t="b">
        <f>IFERROR(__xludf.DUMMYFUNCTION("iferror(if(A4008="""",,E4008&gt;=FILTER(Constants!$F$2:$F$10,Constants!$A$2:$A$10=A4008)))"),TRUE)</f>
        <v>1</v>
      </c>
    </row>
    <row r="4009">
      <c r="A4009" s="89" t="str">
        <f>IFERROR(__xludf.DUMMYFUNCTION("""COMPUTED_VALUE"""),"Amateur")</f>
        <v>Amateur</v>
      </c>
      <c r="B4009" s="87" t="str">
        <f>IFERROR(__xludf.DUMMYFUNCTION("""COMPUTED_VALUE"""),"RSC007955")</f>
        <v>RSC007955</v>
      </c>
      <c r="C4009" s="73" t="str">
        <f>IFERROR(__xludf.DUMMYFUNCTION("""COMPUTED_VALUE"""),"JonathanVanDyk")</f>
        <v>JonathanVanDyk</v>
      </c>
      <c r="D4009" s="73" t="str">
        <f>IFERROR(__xludf.DUMMYFUNCTION("""COMPUTED_VALUE"""),"Garlic Knots")</f>
        <v>Garlic Knots</v>
      </c>
      <c r="E4009" s="82">
        <f>IFERROR(__xludf.DUMMYFUNCTION("""COMPUTED_VALUE"""),36.0)</f>
        <v>36</v>
      </c>
      <c r="F4009" s="82">
        <f>IFERROR(__xludf.DUMMYFUNCTION("""COMPUTED_VALUE"""),26.0)</f>
        <v>26</v>
      </c>
      <c r="G4009" s="86">
        <f>IFERROR(__xludf.DUMMYFUNCTION("""COMPUTED_VALUE"""),10.0)</f>
        <v>10</v>
      </c>
      <c r="H4009" s="86">
        <f>IFERROR(__xludf.DUMMYFUNCTION("""COMPUTED_VALUE"""),0.7222222222222222)</f>
        <v>0.7222222222</v>
      </c>
      <c r="I4009" s="86">
        <f>IFERROR(__xludf.DUMMYFUNCTION("""COMPUTED_VALUE"""),0.4605263157894737)</f>
        <v>0.4605263158</v>
      </c>
      <c r="J4009" s="82">
        <f>IFERROR(__xludf.DUMMYFUNCTION("""COMPUTED_VALUE"""),359.19444444444446)</f>
        <v>359.1944444</v>
      </c>
      <c r="K4009" s="82">
        <f>IFERROR(__xludf.DUMMYFUNCTION("""COMPUTED_VALUE"""),0.9722222222222222)</f>
        <v>0.9722222222</v>
      </c>
      <c r="L4009" s="82">
        <f>IFERROR(__xludf.DUMMYFUNCTION("""COMPUTED_VALUE"""),0.4166666666666667)</f>
        <v>0.4166666667</v>
      </c>
      <c r="M4009" s="82">
        <f>IFERROR(__xludf.DUMMYFUNCTION("""COMPUTED_VALUE"""),1.3333333333333333)</f>
        <v>1.333333333</v>
      </c>
      <c r="N4009" s="82">
        <f>IFERROR(__xludf.DUMMYFUNCTION("""COMPUTED_VALUE"""),2.111111111111111)</f>
        <v>2.111111111</v>
      </c>
      <c r="O4009" s="82">
        <f>IFERROR(__xludf.DUMMYFUNCTION("""COMPUTED_VALUE"""),252.38888888888889)</f>
        <v>252.3888889</v>
      </c>
      <c r="P4009" s="82">
        <f>IFERROR(__xludf.DUMMYFUNCTION("""COMPUTED_VALUE"""),0.5277777777777777)</f>
        <v>0.5277777778</v>
      </c>
      <c r="Q4009" s="82">
        <f>IFERROR(__xludf.DUMMYFUNCTION("""COMPUTED_VALUE"""),0.29629629629629634)</f>
        <v>0.2962962963</v>
      </c>
      <c r="R4009" s="82">
        <f>IFERROR(__xludf.DUMMYFUNCTION("""COMPUTED_VALUE"""),0.6666666666666669)</f>
        <v>0.6666666667</v>
      </c>
      <c r="S4009" s="82">
        <f>IFERROR(__xludf.DUMMYFUNCTION("""COMPUTED_VALUE"""),2.1018518518518525)</f>
        <v>2.101851852</v>
      </c>
      <c r="T4009" s="82">
        <f>IFERROR(__xludf.DUMMYFUNCTION("""COMPUTED_VALUE"""),288.6990200172403)</f>
        <v>288.69902</v>
      </c>
      <c r="U4009" s="82">
        <f>IFERROR(__xludf.DUMMYFUNCTION("""COMPUTED_VALUE"""),0.7318517032665457)</f>
        <v>0.7318517033</v>
      </c>
      <c r="V4009" s="82">
        <f>IFERROR(__xludf.DUMMYFUNCTION("""COMPUTED_VALUE"""),0.42749468752616404)</f>
        <v>0.4274946875</v>
      </c>
      <c r="W4009" s="82">
        <f>IFERROR(__xludf.DUMMYFUNCTION("""COMPUTED_VALUE"""),0.8309324945161509)</f>
        <v>0.8309324945</v>
      </c>
      <c r="X4009" s="82">
        <f>IFERROR(__xludf.DUMMYFUNCTION("""COMPUTED_VALUE"""),2.0736409171039045)</f>
        <v>2.073640917</v>
      </c>
      <c r="Y4009" s="82">
        <f>IFERROR(__xludf.DUMMYFUNCTION("""COMPUTED_VALUE"""),302.138339389149)</f>
        <v>302.1383394</v>
      </c>
      <c r="Z4009" s="82">
        <f>IFERROR(__xludf.DUMMYFUNCTION("""COMPUTED_VALUE"""),0.8095603119096649)</f>
        <v>0.8095603119</v>
      </c>
      <c r="AA4009" s="82">
        <f>IFERROR(__xludf.DUMMYFUNCTION("""COMPUTED_VALUE"""),0.460410855105147)</f>
        <v>0.4604108551</v>
      </c>
      <c r="AB4009" s="82">
        <f>IFERROR(__xludf.DUMMYFUNCTION("""COMPUTED_VALUE"""),0.9250316101106559)</f>
        <v>0.9250316101</v>
      </c>
      <c r="AC4009" s="82">
        <f>IFERROR(__xludf.DUMMYFUNCTION("""COMPUTED_VALUE"""),2.0380019543666226)</f>
        <v>2.038001954</v>
      </c>
      <c r="AD4009" s="82">
        <f>IFERROR(__xludf.DUMMYFUNCTION("""COMPUTED_VALUE"""),1.1888409963814892)</f>
        <v>1.188840996</v>
      </c>
      <c r="AE4009" s="82">
        <f>IFERROR(__xludf.DUMMYFUNCTION("""COMPUTED_VALUE"""),1.2009262409725292)</f>
        <v>1.200926241</v>
      </c>
      <c r="AF4009" s="82">
        <f>IFERROR(__xludf.DUMMYFUNCTION("""COMPUTED_VALUE"""),0.9049887986926586)</f>
        <v>0.9049887987</v>
      </c>
      <c r="AG4009" s="82">
        <f>IFERROR(__xludf.DUMMYFUNCTION("""COMPUTED_VALUE"""),1.4413921846128421)</f>
        <v>1.441392185</v>
      </c>
      <c r="AH4009" s="82">
        <f>IFERROR(__xludf.DUMMYFUNCTION("""COMPUTED_VALUE"""),1.035872957132276)</f>
        <v>1.035872957</v>
      </c>
      <c r="AI4009" s="82">
        <f>IFERROR(__xludf.DUMMYFUNCTION("""COMPUTED_VALUE"""),0.8742284226452065)</f>
        <v>0.8742284226</v>
      </c>
      <c r="AJ4009" s="82">
        <f>IFERROR(__xludf.DUMMYFUNCTION("""COMPUTED_VALUE"""),0.7211539925672035)</f>
        <v>0.7211539926</v>
      </c>
      <c r="AK4009" s="82">
        <f>IFERROR(__xludf.DUMMYFUNCTION("""COMPUTED_VALUE"""),0.6930993646047637)</f>
        <v>0.6930993646</v>
      </c>
      <c r="AL4009" s="82">
        <f>IFERROR(__xludf.DUMMYFUNCTION("""COMPUTED_VALUE"""),0.8023114646092454)</f>
        <v>0.8023114646</v>
      </c>
      <c r="AM4009" s="82">
        <f>IFERROR(__xludf.DUMMYFUNCTION("""COMPUTED_VALUE"""),1.0136045419027264)</f>
        <v>1.013604542</v>
      </c>
      <c r="AN4009" s="82">
        <f>IFERROR(__xludf.DUMMYFUNCTION("""COMPUTED_VALUE"""),1.293126011745461)</f>
        <v>1.293126012</v>
      </c>
      <c r="AO4009" s="82">
        <f>IFERROR(__xludf.DUMMYFUNCTION("""COMPUTED_VALUE"""),1.3086158927574243)</f>
        <v>1.308615893</v>
      </c>
      <c r="AP4009" s="82">
        <f>IFERROR(__xludf.DUMMYFUNCTION("""COMPUTED_VALUE"""),0.9914709721123741)</f>
        <v>0.9914709721</v>
      </c>
      <c r="AQ4009" s="82">
        <f>IFERROR(__xludf.DUMMYFUNCTION("""COMPUTED_VALUE"""),1.6915193667185981)</f>
        <v>1.691519367</v>
      </c>
      <c r="AR4009" s="82">
        <f>IFERROR(__xludf.DUMMYFUNCTION("""COMPUTED_VALUE"""),1.1055359145584098)</f>
        <v>1.105535915</v>
      </c>
      <c r="AS4009" s="82">
        <f>IFERROR(__xludf.DUMMYFUNCTION("""COMPUTED_VALUE"""),221.0)</f>
        <v>221</v>
      </c>
      <c r="AT4009" s="82">
        <f>IFERROR(__xludf.DUMMYFUNCTION("""COMPUTED_VALUE"""),0.9195647130121115)</f>
        <v>0.919564713</v>
      </c>
      <c r="AU4009" s="82">
        <f>IFERROR(__xludf.DUMMYFUNCTION("""COMPUTED_VALUE"""),2.532397302804721)</f>
        <v>2.532397303</v>
      </c>
      <c r="AV4009" s="82">
        <f>IFERROR(__xludf.DUMMYFUNCTION("""COMPUTED_VALUE"""),67.97042249049368)</f>
        <v>67.97042249</v>
      </c>
      <c r="AW4009" s="82">
        <f t="shared" si="1"/>
        <v>4.235011426</v>
      </c>
      <c r="AX4009" s="83">
        <f t="array" ref="AX4009">IFERROR(DGET('SBV Import'!A:G,"SBV",{"RSC ID","Tier";B4009,A4009}))</f>
        <v>66.86181042</v>
      </c>
      <c r="AY4009" s="82">
        <f t="shared" si="2"/>
        <v>3.999911871</v>
      </c>
      <c r="AZ4009" s="82">
        <v>0.2350995545230834</v>
      </c>
      <c r="BA4009" s="84">
        <v>4000.0</v>
      </c>
      <c r="BB4009" s="84" t="b">
        <f>IFERROR(__xludf.DUMMYFUNCTION("iferror(if(A4009="""",,E4009&gt;=FILTER(Constants!$F$2:$F$10,Constants!$A$2:$A$10=A4009)))"),TRUE)</f>
        <v>1</v>
      </c>
    </row>
    <row r="4010">
      <c r="A4010" s="89" t="str">
        <f>IFERROR(__xludf.DUMMYFUNCTION("""COMPUTED_VALUE"""),"Amateur")</f>
        <v>Amateur</v>
      </c>
      <c r="B4010" s="87" t="str">
        <f>IFERROR(__xludf.DUMMYFUNCTION("""COMPUTED_VALUE"""),"RSC007808")</f>
        <v>RSC007808</v>
      </c>
      <c r="C4010" s="73" t="str">
        <f>IFERROR(__xludf.DUMMYFUNCTION("""COMPUTED_VALUE"""),"Navybrat44")</f>
        <v>Navybrat44</v>
      </c>
      <c r="D4010" s="73" t="str">
        <f>IFERROR(__xludf.DUMMYFUNCTION("""COMPUTED_VALUE"""),"Amaranth")</f>
        <v>Amaranth</v>
      </c>
      <c r="E4010" s="82">
        <f>IFERROR(__xludf.DUMMYFUNCTION("""COMPUTED_VALUE"""),22.0)</f>
        <v>22</v>
      </c>
      <c r="F4010" s="82">
        <f>IFERROR(__xludf.DUMMYFUNCTION("""COMPUTED_VALUE"""),11.0)</f>
        <v>11</v>
      </c>
      <c r="G4010" s="86">
        <f>IFERROR(__xludf.DUMMYFUNCTION("""COMPUTED_VALUE"""),11.0)</f>
        <v>11</v>
      </c>
      <c r="H4010" s="86">
        <f>IFERROR(__xludf.DUMMYFUNCTION("""COMPUTED_VALUE"""),0.5)</f>
        <v>0.5</v>
      </c>
      <c r="I4010" s="86">
        <f>IFERROR(__xludf.DUMMYFUNCTION("""COMPUTED_VALUE"""),0.33333333333333337)</f>
        <v>0.3333333333</v>
      </c>
      <c r="J4010" s="82">
        <f>IFERROR(__xludf.DUMMYFUNCTION("""COMPUTED_VALUE"""),342.77272727272725)</f>
        <v>342.7727273</v>
      </c>
      <c r="K4010" s="82">
        <f>IFERROR(__xludf.DUMMYFUNCTION("""COMPUTED_VALUE"""),0.8636363636363636)</f>
        <v>0.8636363636</v>
      </c>
      <c r="L4010" s="82">
        <f>IFERROR(__xludf.DUMMYFUNCTION("""COMPUTED_VALUE"""),0.4090909090909091)</f>
        <v>0.4090909091</v>
      </c>
      <c r="M4010" s="82">
        <f>IFERROR(__xludf.DUMMYFUNCTION("""COMPUTED_VALUE"""),1.1818181818181819)</f>
        <v>1.181818182</v>
      </c>
      <c r="N4010" s="82">
        <f>IFERROR(__xludf.DUMMYFUNCTION("""COMPUTED_VALUE"""),2.590909090909091)</f>
        <v>2.590909091</v>
      </c>
      <c r="O4010" s="82">
        <f>IFERROR(__xludf.DUMMYFUNCTION("""COMPUTED_VALUE"""),305.08333333333337)</f>
        <v>305.0833333</v>
      </c>
      <c r="P4010" s="82">
        <f>IFERROR(__xludf.DUMMYFUNCTION("""COMPUTED_VALUE"""),0.6865079365079366)</f>
        <v>0.6865079365</v>
      </c>
      <c r="Q4010" s="82">
        <f>IFERROR(__xludf.DUMMYFUNCTION("""COMPUTED_VALUE"""),0.4246031746031745)</f>
        <v>0.4246031746</v>
      </c>
      <c r="R4010" s="82">
        <f>IFERROR(__xludf.DUMMYFUNCTION("""COMPUTED_VALUE"""),1.1507936507936511)</f>
        <v>1.150793651</v>
      </c>
      <c r="S4010" s="82">
        <f>IFERROR(__xludf.DUMMYFUNCTION("""COMPUTED_VALUE"""),2.091269841269841)</f>
        <v>2.091269841</v>
      </c>
      <c r="T4010" s="82">
        <f>IFERROR(__xludf.DUMMYFUNCTION("""COMPUTED_VALUE"""),303.91319764464924)</f>
        <v>303.9131976</v>
      </c>
      <c r="U4010" s="82">
        <f>IFERROR(__xludf.DUMMYFUNCTION("""COMPUTED_VALUE"""),0.8298259088581671)</f>
        <v>0.8298259089</v>
      </c>
      <c r="V4010" s="82">
        <f>IFERROR(__xludf.DUMMYFUNCTION("""COMPUTED_VALUE"""),0.46393033916075377)</f>
        <v>0.4639303392</v>
      </c>
      <c r="W4010" s="82">
        <f>IFERROR(__xludf.DUMMYFUNCTION("""COMPUTED_VALUE"""),0.9635068961873878)</f>
        <v>0.9635068962</v>
      </c>
      <c r="X4010" s="82">
        <f>IFERROR(__xludf.DUMMYFUNCTION("""COMPUTED_VALUE"""),2.069471671583807)</f>
        <v>2.069471672</v>
      </c>
      <c r="Y4010" s="82">
        <f>IFERROR(__xludf.DUMMYFUNCTION("""COMPUTED_VALUE"""),279.4756687581445)</f>
        <v>279.4756688</v>
      </c>
      <c r="Z4010" s="82">
        <f>IFERROR(__xludf.DUMMYFUNCTION("""COMPUTED_VALUE"""),0.6845724390911282)</f>
        <v>0.6845724391</v>
      </c>
      <c r="AA4010" s="82">
        <f>IFERROR(__xludf.DUMMYFUNCTION("""COMPUTED_VALUE"""),0.37723452184537676)</f>
        <v>0.3772345218</v>
      </c>
      <c r="AB4010" s="82">
        <f>IFERROR(__xludf.DUMMYFUNCTION("""COMPUTED_VALUE"""),0.8218591090358884)</f>
        <v>0.821859109</v>
      </c>
      <c r="AC4010" s="82">
        <f>IFERROR(__xludf.DUMMYFUNCTION("""COMPUTED_VALUE"""),2.035068657092467)</f>
        <v>2.035068657</v>
      </c>
      <c r="AD4010" s="82">
        <f>IFERROR(__xludf.DUMMYFUNCTION("""COMPUTED_VALUE"""),1.2264850417778566)</f>
        <v>1.226485042</v>
      </c>
      <c r="AE4010" s="82">
        <f>IFERROR(__xludf.DUMMYFUNCTION("""COMPUTED_VALUE"""),1.2615704552508271)</f>
        <v>1.261570455</v>
      </c>
      <c r="AF4010" s="82">
        <f>IFERROR(__xludf.DUMMYFUNCTION("""COMPUTED_VALUE"""),1.0844471685403962)</f>
        <v>1.084447169</v>
      </c>
      <c r="AG4010" s="82">
        <f>IFERROR(__xludf.DUMMYFUNCTION("""COMPUTED_VALUE"""),1.437981484690918)</f>
        <v>1.437981485</v>
      </c>
      <c r="AH4010" s="82">
        <f>IFERROR(__xludf.DUMMYFUNCTION("""COMPUTED_VALUE"""),1.273131047387247)</f>
        <v>1.273131047</v>
      </c>
      <c r="AI4010" s="82">
        <f>IFERROR(__xludf.DUMMYFUNCTION("""COMPUTED_VALUE"""),1.003850229926679)</f>
        <v>1.00385023</v>
      </c>
      <c r="AJ4010" s="82">
        <f>IFERROR(__xludf.DUMMYFUNCTION("""COMPUTED_VALUE"""),0.8272915188350353)</f>
        <v>0.8272915188</v>
      </c>
      <c r="AK4010" s="82">
        <f>IFERROR(__xludf.DUMMYFUNCTION("""COMPUTED_VALUE"""),0.9152304532858925)</f>
        <v>0.9152304533</v>
      </c>
      <c r="AL4010" s="82">
        <f>IFERROR(__xludf.DUMMYFUNCTION("""COMPUTED_VALUE"""),1.1943802948866895)</f>
        <v>1.194380295</v>
      </c>
      <c r="AM4010" s="82">
        <f>IFERROR(__xludf.DUMMYFUNCTION("""COMPUTED_VALUE"""),1.0105332051582767)</f>
        <v>1.010533205</v>
      </c>
      <c r="AN4010" s="82">
        <f>IFERROR(__xludf.DUMMYFUNCTION("""COMPUTED_VALUE"""),1.2340066407175525)</f>
        <v>1.234006641</v>
      </c>
      <c r="AO4010" s="82">
        <f>IFERROR(__xludf.DUMMYFUNCTION("""COMPUTED_VALUE"""),1.1624587930468548)</f>
        <v>1.162458793</v>
      </c>
      <c r="AP4010" s="82">
        <f>IFERROR(__xludf.DUMMYFUNCTION("""COMPUTED_VALUE"""),0.9734442271648764)</f>
        <v>0.9734442272</v>
      </c>
      <c r="AQ4010" s="82">
        <f>IFERROR(__xludf.DUMMYFUNCTION("""COMPUTED_VALUE"""),1.4993012568642123)</f>
        <v>1.499301257</v>
      </c>
      <c r="AR4010" s="82">
        <f>IFERROR(__xludf.DUMMYFUNCTION("""COMPUTED_VALUE"""),1.3567940769580482)</f>
        <v>1.356794077</v>
      </c>
      <c r="AS4010" s="82">
        <f>IFERROR(__xludf.DUMMYFUNCTION("""COMPUTED_VALUE"""),114.0)</f>
        <v>114</v>
      </c>
      <c r="AT4010" s="82">
        <f>IFERROR(__xludf.DUMMYFUNCTION("""COMPUTED_VALUE"""),0.8359804933568313)</f>
        <v>0.8359804934</v>
      </c>
      <c r="AU4010" s="82">
        <f>IFERROR(__xludf.DUMMYFUNCTION("""COMPUTED_VALUE"""),2.5263965501872754)</f>
        <v>2.52639655</v>
      </c>
      <c r="AV4010" s="82">
        <f>IFERROR(__xludf.DUMMYFUNCTION("""COMPUTED_VALUE"""),67.84772433711512)</f>
        <v>67.84772434</v>
      </c>
      <c r="AW4010" s="82">
        <f t="shared" si="1"/>
        <v>4.208015077</v>
      </c>
      <c r="AX4010" s="83">
        <f t="array" ref="AX4010">IFERROR(DGET('SBV Import'!A:G,"SBV",{"RSC ID","Tier";B4010,A4010}))</f>
        <v>59.71515392</v>
      </c>
      <c r="AY4010" s="82">
        <f t="shared" si="2"/>
        <v>2.867106003</v>
      </c>
      <c r="AZ4010" s="82">
        <v>1.340909074570983</v>
      </c>
      <c r="BA4010" s="84">
        <v>4000.0</v>
      </c>
      <c r="BB4010" s="84" t="b">
        <f>IFERROR(__xludf.DUMMYFUNCTION("iferror(if(A4010="""",,E4010&gt;=FILTER(Constants!$F$2:$F$10,Constants!$A$2:$A$10=A4010)))"),TRUE)</f>
        <v>1</v>
      </c>
    </row>
    <row r="4011">
      <c r="A4011" s="89" t="str">
        <f>IFERROR(__xludf.DUMMYFUNCTION("""COMPUTED_VALUE"""),"Amateur")</f>
        <v>Amateur</v>
      </c>
      <c r="B4011" s="87" t="str">
        <f>IFERROR(__xludf.DUMMYFUNCTION("""COMPUTED_VALUE"""),"RSC007581")</f>
        <v>RSC007581</v>
      </c>
      <c r="C4011" s="73" t="str">
        <f>IFERROR(__xludf.DUMMYFUNCTION("""COMPUTED_VALUE"""),"Wrecklessjay02")</f>
        <v>Wrecklessjay02</v>
      </c>
      <c r="D4011" s="73" t="str">
        <f>IFERROR(__xludf.DUMMYFUNCTION("""COMPUTED_VALUE"""),"Hyenas")</f>
        <v>Hyenas</v>
      </c>
      <c r="E4011" s="82">
        <f>IFERROR(__xludf.DUMMYFUNCTION("""COMPUTED_VALUE"""),36.0)</f>
        <v>36</v>
      </c>
      <c r="F4011" s="82">
        <f>IFERROR(__xludf.DUMMYFUNCTION("""COMPUTED_VALUE"""),26.0)</f>
        <v>26</v>
      </c>
      <c r="G4011" s="86">
        <f>IFERROR(__xludf.DUMMYFUNCTION("""COMPUTED_VALUE"""),10.0)</f>
        <v>10</v>
      </c>
      <c r="H4011" s="86">
        <f>IFERROR(__xludf.DUMMYFUNCTION("""COMPUTED_VALUE"""),0.7222222222222222)</f>
        <v>0.7222222222</v>
      </c>
      <c r="I4011" s="86">
        <f>IFERROR(__xludf.DUMMYFUNCTION("""COMPUTED_VALUE"""),0.3875)</f>
        <v>0.3875</v>
      </c>
      <c r="J4011" s="82">
        <f>IFERROR(__xludf.DUMMYFUNCTION("""COMPUTED_VALUE"""),316.22222222222223)</f>
        <v>316.2222222</v>
      </c>
      <c r="K4011" s="82">
        <f>IFERROR(__xludf.DUMMYFUNCTION("""COMPUTED_VALUE"""),0.8611111111111112)</f>
        <v>0.8611111111</v>
      </c>
      <c r="L4011" s="82">
        <f>IFERROR(__xludf.DUMMYFUNCTION("""COMPUTED_VALUE"""),0.5555555555555556)</f>
        <v>0.5555555556</v>
      </c>
      <c r="M4011" s="82">
        <f>IFERROR(__xludf.DUMMYFUNCTION("""COMPUTED_VALUE"""),0.9166666666666666)</f>
        <v>0.9166666667</v>
      </c>
      <c r="N4011" s="82">
        <f>IFERROR(__xludf.DUMMYFUNCTION("""COMPUTED_VALUE"""),2.2222222222222223)</f>
        <v>2.222222222</v>
      </c>
      <c r="O4011" s="82">
        <f>IFERROR(__xludf.DUMMYFUNCTION("""COMPUTED_VALUE"""),265.3148148148149)</f>
        <v>265.3148148</v>
      </c>
      <c r="P4011" s="82">
        <f>IFERROR(__xludf.DUMMYFUNCTION("""COMPUTED_VALUE"""),0.5648148148148148)</f>
        <v>0.5648148148</v>
      </c>
      <c r="Q4011" s="82">
        <f>IFERROR(__xludf.DUMMYFUNCTION("""COMPUTED_VALUE"""),0.3055555555555554)</f>
        <v>0.3055555556</v>
      </c>
      <c r="R4011" s="82">
        <f>IFERROR(__xludf.DUMMYFUNCTION("""COMPUTED_VALUE"""),0.9907407407407409)</f>
        <v>0.9907407407</v>
      </c>
      <c r="S4011" s="82">
        <f>IFERROR(__xludf.DUMMYFUNCTION("""COMPUTED_VALUE"""),1.768518518518519)</f>
        <v>1.768518519</v>
      </c>
      <c r="T4011" s="82">
        <f>IFERROR(__xludf.DUMMYFUNCTION("""COMPUTED_VALUE"""),291.04111656516636)</f>
        <v>291.0411166</v>
      </c>
      <c r="U4011" s="82">
        <f>IFERROR(__xludf.DUMMYFUNCTION("""COMPUTED_VALUE"""),0.7267620368694259)</f>
        <v>0.7267620369</v>
      </c>
      <c r="V4011" s="82">
        <f>IFERROR(__xludf.DUMMYFUNCTION("""COMPUTED_VALUE"""),0.4322207402136864)</f>
        <v>0.4322207402</v>
      </c>
      <c r="W4011" s="82">
        <f>IFERROR(__xludf.DUMMYFUNCTION("""COMPUTED_VALUE"""),0.8620650146693332)</f>
        <v>0.8620650147</v>
      </c>
      <c r="X4011" s="82">
        <f>IFERROR(__xludf.DUMMYFUNCTION("""COMPUTED_VALUE"""),2.053226311533542)</f>
        <v>2.053226312</v>
      </c>
      <c r="Y4011" s="82">
        <f>IFERROR(__xludf.DUMMYFUNCTION("""COMPUTED_VALUE"""),302.34388412678)</f>
        <v>302.3438841</v>
      </c>
      <c r="Z4011" s="82">
        <f>IFERROR(__xludf.DUMMYFUNCTION("""COMPUTED_VALUE"""),0.8201349640651112)</f>
        <v>0.8201349641</v>
      </c>
      <c r="AA4011" s="82">
        <f>IFERROR(__xludf.DUMMYFUNCTION("""COMPUTED_VALUE"""),0.46787519689968604)</f>
        <v>0.4678751969</v>
      </c>
      <c r="AB4011" s="82">
        <f>IFERROR(__xludf.DUMMYFUNCTION("""COMPUTED_VALUE"""),0.8827312623462248)</f>
        <v>0.8827312623</v>
      </c>
      <c r="AC4011" s="82">
        <f>IFERROR(__xludf.DUMMYFUNCTION("""COMPUTED_VALUE"""),2.0887933568941346)</f>
        <v>2.088793357</v>
      </c>
      <c r="AD4011" s="82">
        <f>IFERROR(__xludf.DUMMYFUNCTION("""COMPUTED_VALUE"""),1.0459024932339056)</f>
        <v>1.045902493</v>
      </c>
      <c r="AE4011" s="82">
        <f>IFERROR(__xludf.DUMMYFUNCTION("""COMPUTED_VALUE"""),1.0499626876567925)</f>
        <v>1.049962688</v>
      </c>
      <c r="AF4011" s="82">
        <f>IFERROR(__xludf.DUMMYFUNCTION("""COMPUTED_VALUE"""),1.18740116859554)</f>
        <v>1.187401169</v>
      </c>
      <c r="AG4011" s="82">
        <f>IFERROR(__xludf.DUMMYFUNCTION("""COMPUTED_VALUE"""),1.0384436416472262)</f>
        <v>1.038443642</v>
      </c>
      <c r="AH4011" s="82">
        <f>IFERROR(__xludf.DUMMYFUNCTION("""COMPUTED_VALUE"""),1.0638784420142382)</f>
        <v>1.063878442</v>
      </c>
      <c r="AI4011" s="82">
        <f>IFERROR(__xludf.DUMMYFUNCTION("""COMPUTED_VALUE"""),0.9116059543271057)</f>
        <v>0.9116059543</v>
      </c>
      <c r="AJ4011" s="82">
        <f>IFERROR(__xludf.DUMMYFUNCTION("""COMPUTED_VALUE"""),0.7771660958623965)</f>
        <v>0.7771660959</v>
      </c>
      <c r="AK4011" s="82">
        <f>IFERROR(__xludf.DUMMYFUNCTION("""COMPUTED_VALUE"""),0.7069432980113154)</f>
        <v>0.706943298</v>
      </c>
      <c r="AL4011" s="82">
        <f>IFERROR(__xludf.DUMMYFUNCTION("""COMPUTED_VALUE"""),1.1492645263197052)</f>
        <v>1.149264526</v>
      </c>
      <c r="AM4011" s="82">
        <f>IFERROR(__xludf.DUMMYFUNCTION("""COMPUTED_VALUE"""),0.8613363800104546)</f>
        <v>0.86133638</v>
      </c>
      <c r="AN4011" s="82">
        <f>IFERROR(__xludf.DUMMYFUNCTION("""COMPUTED_VALUE"""),1.138422899830665)</f>
        <v>1.1384229</v>
      </c>
      <c r="AO4011" s="82">
        <f>IFERROR(__xludf.DUMMYFUNCTION("""COMPUTED_VALUE"""),1.1590597907280045)</f>
        <v>1.159059791</v>
      </c>
      <c r="AP4011" s="82">
        <f>IFERROR(__xludf.DUMMYFUNCTION("""COMPUTED_VALUE"""),1.3219612961498322)</f>
        <v>1.321961296</v>
      </c>
      <c r="AQ4011" s="82">
        <f>IFERROR(__xludf.DUMMYFUNCTION("""COMPUTED_VALUE"""),1.1629195646190362)</f>
        <v>1.162919565</v>
      </c>
      <c r="AR4011" s="82">
        <f>IFERROR(__xludf.DUMMYFUNCTION("""COMPUTED_VALUE"""),1.163722015324642)</f>
        <v>1.163722015</v>
      </c>
      <c r="AS4011" s="82">
        <f>IFERROR(__xludf.DUMMYFUNCTION("""COMPUTED_VALUE"""),290.0)</f>
        <v>290</v>
      </c>
      <c r="AT4011" s="82">
        <f>IFERROR(__xludf.DUMMYFUNCTION("""COMPUTED_VALUE"""),0.9524401830485362)</f>
        <v>0.952440183</v>
      </c>
      <c r="AU4011" s="82">
        <f>IFERROR(__xludf.DUMMYFUNCTION("""COMPUTED_VALUE"""),2.5263714571577407)</f>
        <v>2.526371457</v>
      </c>
      <c r="AV4011" s="82">
        <f>IFERROR(__xludf.DUMMYFUNCTION("""COMPUTED_VALUE"""),67.8472112567429)</f>
        <v>67.84721126</v>
      </c>
      <c r="AW4011" s="82">
        <f t="shared" si="1"/>
        <v>4.207902713</v>
      </c>
      <c r="AX4011" s="83">
        <f t="array" ref="AX4011">IFERROR(DGET('SBV Import'!A:G,"SBV",{"RSC ID","Tier";B4011,A4011}))</f>
        <v>58.42146639</v>
      </c>
      <c r="AY4011" s="82">
        <f t="shared" si="2"/>
        <v>2.71656654</v>
      </c>
      <c r="AZ4011" s="82">
        <v>1.4913361726058865</v>
      </c>
      <c r="BA4011" s="84">
        <v>4000.0</v>
      </c>
      <c r="BB4011" s="84" t="b">
        <f>IFERROR(__xludf.DUMMYFUNCTION("iferror(if(A4011="""",,E4011&gt;=FILTER(Constants!$F$2:$F$10,Constants!$A$2:$A$10=A4011)))"),TRUE)</f>
        <v>1</v>
      </c>
    </row>
    <row r="4012">
      <c r="A4012" s="89" t="str">
        <f>IFERROR(__xludf.DUMMYFUNCTION("""COMPUTED_VALUE"""),"Amateur")</f>
        <v>Amateur</v>
      </c>
      <c r="B4012" s="87" t="str">
        <f>IFERROR(__xludf.DUMMYFUNCTION("""COMPUTED_VALUE"""),"RSC007468")</f>
        <v>RSC007468</v>
      </c>
      <c r="C4012" s="73" t="str">
        <f>IFERROR(__xludf.DUMMYFUNCTION("""COMPUTED_VALUE"""),"im_link42")</f>
        <v>im_link42</v>
      </c>
      <c r="D4012" s="73" t="str">
        <f>IFERROR(__xludf.DUMMYFUNCTION("""COMPUTED_VALUE"""),"Amaranth")</f>
        <v>Amaranth</v>
      </c>
      <c r="E4012" s="82">
        <f>IFERROR(__xludf.DUMMYFUNCTION("""COMPUTED_VALUE"""),34.0)</f>
        <v>34</v>
      </c>
      <c r="F4012" s="82">
        <f>IFERROR(__xludf.DUMMYFUNCTION("""COMPUTED_VALUE"""),19.0)</f>
        <v>19</v>
      </c>
      <c r="G4012" s="86">
        <f>IFERROR(__xludf.DUMMYFUNCTION("""COMPUTED_VALUE"""),15.0)</f>
        <v>15</v>
      </c>
      <c r="H4012" s="86">
        <f>IFERROR(__xludf.DUMMYFUNCTION("""COMPUTED_VALUE"""),0.5588235294117647)</f>
        <v>0.5588235294</v>
      </c>
      <c r="I4012" s="86">
        <f>IFERROR(__xludf.DUMMYFUNCTION("""COMPUTED_VALUE"""),0.38271604938271603)</f>
        <v>0.3827160494</v>
      </c>
      <c r="J4012" s="82">
        <f>IFERROR(__xludf.DUMMYFUNCTION("""COMPUTED_VALUE"""),312.4117647058824)</f>
        <v>312.4117647</v>
      </c>
      <c r="K4012" s="82">
        <f>IFERROR(__xludf.DUMMYFUNCTION("""COMPUTED_VALUE"""),0.9117647058823529)</f>
        <v>0.9117647059</v>
      </c>
      <c r="L4012" s="82">
        <f>IFERROR(__xludf.DUMMYFUNCTION("""COMPUTED_VALUE"""),0.5)</f>
        <v>0.5</v>
      </c>
      <c r="M4012" s="82">
        <f>IFERROR(__xludf.DUMMYFUNCTION("""COMPUTED_VALUE"""),0.7941176470588235)</f>
        <v>0.7941176471</v>
      </c>
      <c r="N4012" s="82">
        <f>IFERROR(__xludf.DUMMYFUNCTION("""COMPUTED_VALUE"""),2.3823529411764706)</f>
        <v>2.382352941</v>
      </c>
      <c r="O4012" s="82">
        <f>IFERROR(__xludf.DUMMYFUNCTION("""COMPUTED_VALUE"""),289.6010101010101)</f>
        <v>289.6010101</v>
      </c>
      <c r="P4012" s="82">
        <f>IFERROR(__xludf.DUMMYFUNCTION("""COMPUTED_VALUE"""),0.6590909090909088)</f>
        <v>0.6590909091</v>
      </c>
      <c r="Q4012" s="82">
        <f>IFERROR(__xludf.DUMMYFUNCTION("""COMPUTED_VALUE"""),0.3914141414141414)</f>
        <v>0.3914141414</v>
      </c>
      <c r="R4012" s="82">
        <f>IFERROR(__xludf.DUMMYFUNCTION("""COMPUTED_VALUE"""),0.9898989898989901)</f>
        <v>0.9898989899</v>
      </c>
      <c r="S4012" s="82">
        <f>IFERROR(__xludf.DUMMYFUNCTION("""COMPUTED_VALUE"""),1.9873737373737372)</f>
        <v>1.987373737</v>
      </c>
      <c r="T4012" s="82">
        <f>IFERROR(__xludf.DUMMYFUNCTION("""COMPUTED_VALUE"""),288.0948785448202)</f>
        <v>288.0948785</v>
      </c>
      <c r="U4012" s="82">
        <f>IFERROR(__xludf.DUMMYFUNCTION("""COMPUTED_VALUE"""),0.7799707398980013)</f>
        <v>0.7799707399</v>
      </c>
      <c r="V4012" s="82">
        <f>IFERROR(__xludf.DUMMYFUNCTION("""COMPUTED_VALUE"""),0.4305672046260568)</f>
        <v>0.4305672046</v>
      </c>
      <c r="W4012" s="82">
        <f>IFERROR(__xludf.DUMMYFUNCTION("""COMPUTED_VALUE"""),0.8684771780193263)</f>
        <v>0.868477178</v>
      </c>
      <c r="X4012" s="82">
        <f>IFERROR(__xludf.DUMMYFUNCTION("""COMPUTED_VALUE"""),1.97997314344836)</f>
        <v>1.979973143</v>
      </c>
      <c r="Y4012" s="82">
        <f>IFERROR(__xludf.DUMMYFUNCTION("""COMPUTED_VALUE"""),296.2118225074737)</f>
        <v>296.2118225</v>
      </c>
      <c r="Z4012" s="82">
        <f>IFERROR(__xludf.DUMMYFUNCTION("""COMPUTED_VALUE"""),0.8041453863620024)</f>
        <v>0.8041453864</v>
      </c>
      <c r="AA4012" s="82">
        <f>IFERROR(__xludf.DUMMYFUNCTION("""COMPUTED_VALUE"""),0.47081642062053375)</f>
        <v>0.4708164206</v>
      </c>
      <c r="AB4012" s="82">
        <f>IFERROR(__xludf.DUMMYFUNCTION("""COMPUTED_VALUE"""),0.8271040022230773)</f>
        <v>0.8271040022</v>
      </c>
      <c r="AC4012" s="82">
        <f>IFERROR(__xludf.DUMMYFUNCTION("""COMPUTED_VALUE"""),2.0979564132461705)</f>
        <v>2.097956413</v>
      </c>
      <c r="AD4012" s="82">
        <f>IFERROR(__xludf.DUMMYFUNCTION("""COMPUTED_VALUE"""),1.0546903970991905)</f>
        <v>1.054690397</v>
      </c>
      <c r="AE4012" s="82">
        <f>IFERROR(__xludf.DUMMYFUNCTION("""COMPUTED_VALUE"""),1.133830674583891)</f>
        <v>1.133830675</v>
      </c>
      <c r="AF4012" s="82">
        <f>IFERROR(__xludf.DUMMYFUNCTION("""COMPUTED_VALUE"""),1.0619850500137664)</f>
        <v>1.06198505</v>
      </c>
      <c r="AG4012" s="82">
        <f>IFERROR(__xludf.DUMMYFUNCTION("""COMPUTED_VALUE"""),0.9601182498505706)</f>
        <v>0.9601182499</v>
      </c>
      <c r="AH4012" s="82">
        <f>IFERROR(__xludf.DUMMYFUNCTION("""COMPUTED_VALUE"""),1.1355588353192967)</f>
        <v>1.135558835</v>
      </c>
      <c r="AI4012" s="82">
        <f>IFERROR(__xludf.DUMMYFUNCTION("""COMPUTED_VALUE"""),1.0052279011824072)</f>
        <v>1.005227901</v>
      </c>
      <c r="AJ4012" s="82">
        <f>IFERROR(__xludf.DUMMYFUNCTION("""COMPUTED_VALUE"""),0.8450200441840932)</f>
        <v>0.8450200442</v>
      </c>
      <c r="AK4012" s="82">
        <f>IFERROR(__xludf.DUMMYFUNCTION("""COMPUTED_VALUE"""),0.9090663134784744)</f>
        <v>0.9090663135</v>
      </c>
      <c r="AL4012" s="82">
        <f>IFERROR(__xludf.DUMMYFUNCTION("""COMPUTED_VALUE"""),1.1398100202892858)</f>
        <v>1.13981002</v>
      </c>
      <c r="AM4012" s="82">
        <f>IFERROR(__xludf.DUMMYFUNCTION("""COMPUTED_VALUE"""),1.0037377243978614)</f>
        <v>1.003737724</v>
      </c>
      <c r="AN4012" s="82">
        <f>IFERROR(__xludf.DUMMYFUNCTION("""COMPUTED_VALUE"""),1.1247049768303492)</f>
        <v>1.124704977</v>
      </c>
      <c r="AO4012" s="82">
        <f>IFERROR(__xludf.DUMMYFUNCTION("""COMPUTED_VALUE"""),1.227239778417887)</f>
        <v>1.227239778</v>
      </c>
      <c r="AP4012" s="82">
        <f>IFERROR(__xludf.DUMMYFUNCTION("""COMPUTED_VALUE"""),1.1897651665348488)</f>
        <v>1.189765167</v>
      </c>
      <c r="AQ4012" s="82">
        <f>IFERROR(__xludf.DUMMYFUNCTION("""COMPUTED_VALUE"""),1.0074490345897533)</f>
        <v>1.007449035</v>
      </c>
      <c r="AR4012" s="82">
        <f>IFERROR(__xludf.DUMMYFUNCTION("""COMPUTED_VALUE"""),1.2475784546642115)</f>
        <v>1.247578455</v>
      </c>
      <c r="AS4012" s="82">
        <f>IFERROR(__xludf.DUMMYFUNCTION("""COMPUTED_VALUE"""),148.0)</f>
        <v>148</v>
      </c>
      <c r="AT4012" s="82">
        <f>IFERROR(__xludf.DUMMYFUNCTION("""COMPUTED_VALUE"""),0.7925166458703833)</f>
        <v>0.7925166459</v>
      </c>
      <c r="AU4012" s="82">
        <f>IFERROR(__xludf.DUMMYFUNCTION("""COMPUTED_VALUE"""),2.369213515363606)</f>
        <v>2.369213515</v>
      </c>
      <c r="AV4012" s="82">
        <f>IFERROR(__xludf.DUMMYFUNCTION("""COMPUTED_VALUE"""),64.63378279597717)</f>
        <v>64.6337828</v>
      </c>
      <c r="AW4012" s="82">
        <f t="shared" si="1"/>
        <v>3.582229509</v>
      </c>
      <c r="AX4012" s="83">
        <f t="array" ref="AX4012">IFERROR(DGET('SBV Import'!A:G,"SBV",{"RSC ID","Tier";B4012,A4012}))</f>
        <v>56.97834114</v>
      </c>
      <c r="AY4012" s="82">
        <f t="shared" si="2"/>
        <v>2.563634985</v>
      </c>
      <c r="AZ4012" s="82">
        <v>1.018594523772316</v>
      </c>
      <c r="BA4012" s="84">
        <v>4000.0</v>
      </c>
      <c r="BB4012" s="84" t="b">
        <f>IFERROR(__xludf.DUMMYFUNCTION("iferror(if(A4012="""",,E4012&gt;=FILTER(Constants!$F$2:$F$10,Constants!$A$2:$A$10=A4012)))"),TRUE)</f>
        <v>1</v>
      </c>
    </row>
    <row r="4013">
      <c r="A4013" s="89" t="str">
        <f>IFERROR(__xludf.DUMMYFUNCTION("""COMPUTED_VALUE"""),"Amateur")</f>
        <v>Amateur</v>
      </c>
      <c r="B4013" s="87" t="str">
        <f>IFERROR(__xludf.DUMMYFUNCTION("""COMPUTED_VALUE"""),"RSC007216")</f>
        <v>RSC007216</v>
      </c>
      <c r="C4013" s="73" t="str">
        <f>IFERROR(__xludf.DUMMYFUNCTION("""COMPUTED_VALUE"""),"ASAPxLEG")</f>
        <v>ASAPxLEG</v>
      </c>
      <c r="D4013" s="73" t="str">
        <f>IFERROR(__xludf.DUMMYFUNCTION("""COMPUTED_VALUE"""),"Aeon Ale")</f>
        <v>Aeon Ale</v>
      </c>
      <c r="E4013" s="82">
        <f>IFERROR(__xludf.DUMMYFUNCTION("""COMPUTED_VALUE"""),28.0)</f>
        <v>28</v>
      </c>
      <c r="F4013" s="82">
        <f>IFERROR(__xludf.DUMMYFUNCTION("""COMPUTED_VALUE"""),16.0)</f>
        <v>16</v>
      </c>
      <c r="G4013" s="86">
        <f>IFERROR(__xludf.DUMMYFUNCTION("""COMPUTED_VALUE"""),12.0)</f>
        <v>12</v>
      </c>
      <c r="H4013" s="86">
        <f>IFERROR(__xludf.DUMMYFUNCTION("""COMPUTED_VALUE"""),0.5714285714285714)</f>
        <v>0.5714285714</v>
      </c>
      <c r="I4013" s="86">
        <f>IFERROR(__xludf.DUMMYFUNCTION("""COMPUTED_VALUE"""),0.47058823529411764)</f>
        <v>0.4705882353</v>
      </c>
      <c r="J4013" s="82">
        <f>IFERROR(__xludf.DUMMYFUNCTION("""COMPUTED_VALUE"""),302.64285714285717)</f>
        <v>302.6428571</v>
      </c>
      <c r="K4013" s="82">
        <f>IFERROR(__xludf.DUMMYFUNCTION("""COMPUTED_VALUE"""),0.8571428571428571)</f>
        <v>0.8571428571</v>
      </c>
      <c r="L4013" s="82">
        <f>IFERROR(__xludf.DUMMYFUNCTION("""COMPUTED_VALUE"""),0.5714285714285714)</f>
        <v>0.5714285714</v>
      </c>
      <c r="M4013" s="82">
        <f>IFERROR(__xludf.DUMMYFUNCTION("""COMPUTED_VALUE"""),0.8571428571428571)</f>
        <v>0.8571428571</v>
      </c>
      <c r="N4013" s="82">
        <f>IFERROR(__xludf.DUMMYFUNCTION("""COMPUTED_VALUE"""),1.8214285714285714)</f>
        <v>1.821428571</v>
      </c>
      <c r="O4013" s="82">
        <f>IFERROR(__xludf.DUMMYFUNCTION("""COMPUTED_VALUE"""),285.8958333333333)</f>
        <v>285.8958333</v>
      </c>
      <c r="P4013" s="82">
        <f>IFERROR(__xludf.DUMMYFUNCTION("""COMPUTED_VALUE"""),0.7142857142857141)</f>
        <v>0.7142857143</v>
      </c>
      <c r="Q4013" s="82">
        <f>IFERROR(__xludf.DUMMYFUNCTION("""COMPUTED_VALUE"""),0.3988095238095239)</f>
        <v>0.3988095238</v>
      </c>
      <c r="R4013" s="82">
        <f>IFERROR(__xludf.DUMMYFUNCTION("""COMPUTED_VALUE"""),0.7708333333333336)</f>
        <v>0.7708333333</v>
      </c>
      <c r="S4013" s="82">
        <f>IFERROR(__xludf.DUMMYFUNCTION("""COMPUTED_VALUE"""),1.8988095238095237)</f>
        <v>1.898809524</v>
      </c>
      <c r="T4013" s="82">
        <f>IFERROR(__xludf.DUMMYFUNCTION("""COMPUTED_VALUE"""),300.3176879857405)</f>
        <v>300.317688</v>
      </c>
      <c r="U4013" s="82">
        <f>IFERROR(__xludf.DUMMYFUNCTION("""COMPUTED_VALUE"""),0.7936262035669988)</f>
        <v>0.7936262036</v>
      </c>
      <c r="V4013" s="82">
        <f>IFERROR(__xludf.DUMMYFUNCTION("""COMPUTED_VALUE"""),0.44579354627611584)</f>
        <v>0.4457935463</v>
      </c>
      <c r="W4013" s="82">
        <f>IFERROR(__xludf.DUMMYFUNCTION("""COMPUTED_VALUE"""),0.879323112970963)</f>
        <v>0.879323113</v>
      </c>
      <c r="X4013" s="82">
        <f>IFERROR(__xludf.DUMMYFUNCTION("""COMPUTED_VALUE"""),2.1164000641916574)</f>
        <v>2.116400064</v>
      </c>
      <c r="Y4013" s="82">
        <f>IFERROR(__xludf.DUMMYFUNCTION("""COMPUTED_VALUE"""),298.4399066087877)</f>
        <v>298.4399066</v>
      </c>
      <c r="Z4013" s="82">
        <f>IFERROR(__xludf.DUMMYFUNCTION("""COMPUTED_VALUE"""),0.8149849581786954)</f>
        <v>0.8149849582</v>
      </c>
      <c r="AA4013" s="82">
        <f>IFERROR(__xludf.DUMMYFUNCTION("""COMPUTED_VALUE"""),0.4577735875001964)</f>
        <v>0.4577735875</v>
      </c>
      <c r="AB4013" s="82">
        <f>IFERROR(__xludf.DUMMYFUNCTION("""COMPUTED_VALUE"""),0.8743309973774359)</f>
        <v>0.8743309974</v>
      </c>
      <c r="AC4013" s="82">
        <f>IFERROR(__xludf.DUMMYFUNCTION("""COMPUTED_VALUE"""),2.0516194720304073)</f>
        <v>2.051619472</v>
      </c>
      <c r="AD4013" s="82">
        <f>IFERROR(__xludf.DUMMYFUNCTION("""COMPUTED_VALUE"""),1.0140830714693225)</f>
        <v>1.014083071</v>
      </c>
      <c r="AE4013" s="82">
        <f>IFERROR(__xludf.DUMMYFUNCTION("""COMPUTED_VALUE"""),1.0517284381031706)</f>
        <v>1.051728438</v>
      </c>
      <c r="AF4013" s="82">
        <f>IFERROR(__xludf.DUMMYFUNCTION("""COMPUTED_VALUE"""),1.2482777229438258)</f>
        <v>1.248277723</v>
      </c>
      <c r="AG4013" s="82">
        <f>IFERROR(__xludf.DUMMYFUNCTION("""COMPUTED_VALUE"""),0.9803413806829052)</f>
        <v>0.9803413807</v>
      </c>
      <c r="AH4013" s="82">
        <f>IFERROR(__xludf.DUMMYFUNCTION("""COMPUTED_VALUE"""),0.8878003919635131)</f>
        <v>0.887800392</v>
      </c>
      <c r="AI4013" s="82">
        <f>IFERROR(__xludf.DUMMYFUNCTION("""COMPUTED_VALUE"""),0.9519780045286844)</f>
        <v>0.9519780045</v>
      </c>
      <c r="AJ4013" s="82">
        <f>IFERROR(__xludf.DUMMYFUNCTION("""COMPUTED_VALUE"""),0.9000278860190298)</f>
        <v>0.900027886</v>
      </c>
      <c r="AK4013" s="82">
        <f>IFERROR(__xludf.DUMMYFUNCTION("""COMPUTED_VALUE"""),0.8946058711278629)</f>
        <v>0.8946058711</v>
      </c>
      <c r="AL4013" s="82">
        <f>IFERROR(__xludf.DUMMYFUNCTION("""COMPUTED_VALUE"""),0.8766212578319752)</f>
        <v>0.8766212578</v>
      </c>
      <c r="AM4013" s="82">
        <f>IFERROR(__xludf.DUMMYFUNCTION("""COMPUTED_VALUE"""),0.8971883699761459)</f>
        <v>0.89718837</v>
      </c>
      <c r="AN4013" s="82">
        <f>IFERROR(__xludf.DUMMYFUNCTION("""COMPUTED_VALUE"""),1.0895362021695298)</f>
        <v>1.089536202</v>
      </c>
      <c r="AO4013" s="82">
        <f>IFERROR(__xludf.DUMMYFUNCTION("""COMPUTED_VALUE"""),1.1537185013698108)</f>
        <v>1.153718501</v>
      </c>
      <c r="AP4013" s="82">
        <f>IFERROR(__xludf.DUMMYFUNCTION("""COMPUTED_VALUE"""),1.3597316188969701)</f>
        <v>1.359731619</v>
      </c>
      <c r="AQ4013" s="82">
        <f>IFERROR(__xludf.DUMMYFUNCTION("""COMPUTED_VALUE"""),1.0874053071762417)</f>
        <v>1.087405307</v>
      </c>
      <c r="AR4013" s="82">
        <f>IFERROR(__xludf.DUMMYFUNCTION("""COMPUTED_VALUE"""),0.9538364375607331)</f>
        <v>0.9538364376</v>
      </c>
      <c r="AS4013" s="82">
        <f>IFERROR(__xludf.DUMMYFUNCTION("""COMPUTED_VALUE"""),145.0)</f>
        <v>145</v>
      </c>
      <c r="AT4013" s="82">
        <f>IFERROR(__xludf.DUMMYFUNCTION("""COMPUTED_VALUE"""),0.8267010482799774)</f>
        <v>0.8267010483</v>
      </c>
      <c r="AU4013" s="82">
        <f>IFERROR(__xludf.DUMMYFUNCTION("""COMPUTED_VALUE"""),2.229411995588192)</f>
        <v>2.229411996</v>
      </c>
      <c r="AV4013" s="82">
        <f>IFERROR(__xludf.DUMMYFUNCTION("""COMPUTED_VALUE"""),61.77524330776541)</f>
        <v>61.77524331</v>
      </c>
      <c r="AW4013" s="82">
        <f t="shared" si="1"/>
        <v>3.13659666</v>
      </c>
      <c r="AX4013" s="83">
        <f t="array" ref="AX4013">IFERROR(DGET('SBV Import'!A:G,"SBV",{"RSC ID","Tier";B4013,A4013}))</f>
        <v>60.25629291</v>
      </c>
      <c r="AY4013" s="82">
        <f t="shared" si="2"/>
        <v>2.934180577</v>
      </c>
      <c r="AZ4013" s="82">
        <v>0.20241608321579152</v>
      </c>
      <c r="BA4013" s="84">
        <v>4000.0</v>
      </c>
      <c r="BB4013" s="84" t="b">
        <f>IFERROR(__xludf.DUMMYFUNCTION("iferror(if(A4013="""",,E4013&gt;=FILTER(Constants!$F$2:$F$10,Constants!$A$2:$A$10=A4013)))"),TRUE)</f>
        <v>1</v>
      </c>
    </row>
    <row r="4014">
      <c r="A4014" s="89" t="str">
        <f>IFERROR(__xludf.DUMMYFUNCTION("""COMPUTED_VALUE"""),"Amateur")</f>
        <v>Amateur</v>
      </c>
      <c r="B4014" s="87" t="str">
        <f>IFERROR(__xludf.DUMMYFUNCTION("""COMPUTED_VALUE"""),"RSC007852")</f>
        <v>RSC007852</v>
      </c>
      <c r="C4014" s="73" t="str">
        <f>IFERROR(__xludf.DUMMYFUNCTION("""COMPUTED_VALUE"""),"Medicmac121")</f>
        <v>Medicmac121</v>
      </c>
      <c r="D4014" s="73"/>
      <c r="E4014" s="82">
        <f>IFERROR(__xludf.DUMMYFUNCTION("""COMPUTED_VALUE"""),6.0)</f>
        <v>6</v>
      </c>
      <c r="F4014" s="82">
        <f>IFERROR(__xludf.DUMMYFUNCTION("""COMPUTED_VALUE"""),2.0)</f>
        <v>2</v>
      </c>
      <c r="G4014" s="86">
        <f>IFERROR(__xludf.DUMMYFUNCTION("""COMPUTED_VALUE"""),4.0)</f>
        <v>4</v>
      </c>
      <c r="H4014" s="86">
        <f>IFERROR(__xludf.DUMMYFUNCTION("""COMPUTED_VALUE"""),0.3333333333333333)</f>
        <v>0.3333333333</v>
      </c>
      <c r="I4014" s="86">
        <f>IFERROR(__xludf.DUMMYFUNCTION("""COMPUTED_VALUE"""),0.3)</f>
        <v>0.3</v>
      </c>
      <c r="J4014" s="82">
        <f>IFERROR(__xludf.DUMMYFUNCTION("""COMPUTED_VALUE"""),252.16666666666666)</f>
        <v>252.1666667</v>
      </c>
      <c r="K4014" s="82">
        <f>IFERROR(__xludf.DUMMYFUNCTION("""COMPUTED_VALUE"""),0.5)</f>
        <v>0.5</v>
      </c>
      <c r="L4014" s="82">
        <f>IFERROR(__xludf.DUMMYFUNCTION("""COMPUTED_VALUE"""),0.6666666666666666)</f>
        <v>0.6666666667</v>
      </c>
      <c r="M4014" s="82">
        <f>IFERROR(__xludf.DUMMYFUNCTION("""COMPUTED_VALUE"""),0.6666666666666666)</f>
        <v>0.6666666667</v>
      </c>
      <c r="N4014" s="82">
        <f>IFERROR(__xludf.DUMMYFUNCTION("""COMPUTED_VALUE"""),1.6666666666666667)</f>
        <v>1.666666667</v>
      </c>
      <c r="O4014" s="82">
        <f>IFERROR(__xludf.DUMMYFUNCTION("""COMPUTED_VALUE"""),294.63888888888886)</f>
        <v>294.6388889</v>
      </c>
      <c r="P4014" s="82">
        <f>IFERROR(__xludf.DUMMYFUNCTION("""COMPUTED_VALUE"""),0.9166666666666666)</f>
        <v>0.9166666667</v>
      </c>
      <c r="Q4014" s="82">
        <f>IFERROR(__xludf.DUMMYFUNCTION("""COMPUTED_VALUE"""),0.47222222222222215)</f>
        <v>0.4722222222</v>
      </c>
      <c r="R4014" s="82">
        <f>IFERROR(__xludf.DUMMYFUNCTION("""COMPUTED_VALUE"""),0.5833333333333334)</f>
        <v>0.5833333333</v>
      </c>
      <c r="S4014" s="82">
        <f>IFERROR(__xludf.DUMMYFUNCTION("""COMPUTED_VALUE"""),1.9166666666666667)</f>
        <v>1.916666667</v>
      </c>
      <c r="T4014" s="82">
        <f>IFERROR(__xludf.DUMMYFUNCTION("""COMPUTED_VALUE"""),330.31069114079867)</f>
        <v>330.3106911</v>
      </c>
      <c r="U4014" s="82">
        <f>IFERROR(__xludf.DUMMYFUNCTION("""COMPUTED_VALUE"""),1.0095272575559313)</f>
        <v>1.009527258</v>
      </c>
      <c r="V4014" s="82">
        <f>IFERROR(__xludf.DUMMYFUNCTION("""COMPUTED_VALUE"""),0.5197692921707259)</f>
        <v>0.5197692922</v>
      </c>
      <c r="W4014" s="82">
        <f>IFERROR(__xludf.DUMMYFUNCTION("""COMPUTED_VALUE"""),0.8735794538661921)</f>
        <v>0.8735794539</v>
      </c>
      <c r="X4014" s="82">
        <f>IFERROR(__xludf.DUMMYFUNCTION("""COMPUTED_VALUE"""),2.43187498814739)</f>
        <v>2.431874988</v>
      </c>
      <c r="Y4014" s="82">
        <f>IFERROR(__xludf.DUMMYFUNCTION("""COMPUTED_VALUE"""),267.20906086811107)</f>
        <v>267.2090609</v>
      </c>
      <c r="Z4014" s="82">
        <f>IFERROR(__xludf.DUMMYFUNCTION("""COMPUTED_VALUE"""),0.6192334823457882)</f>
        <v>0.6192334823</v>
      </c>
      <c r="AA4014" s="82">
        <f>IFERROR(__xludf.DUMMYFUNCTION("""COMPUTED_VALUE"""),0.30281701350996443)</f>
        <v>0.3028170135</v>
      </c>
      <c r="AB4014" s="82">
        <f>IFERROR(__xludf.DUMMYFUNCTION("""COMPUTED_VALUE"""),0.9355920817091666)</f>
        <v>0.9355920817</v>
      </c>
      <c r="AC4014" s="82">
        <f>IFERROR(__xludf.DUMMYFUNCTION("""COMPUTED_VALUE"""),1.7470554955023294)</f>
        <v>1.747055496</v>
      </c>
      <c r="AD4014" s="82">
        <f>IFERROR(__xludf.DUMMYFUNCTION("""COMPUTED_VALUE"""),0.9437055234857136)</f>
        <v>0.9437055235</v>
      </c>
      <c r="AE4014" s="82">
        <f>IFERROR(__xludf.DUMMYFUNCTION("""COMPUTED_VALUE"""),0.807449878365578)</f>
        <v>0.8074498784</v>
      </c>
      <c r="AF4014" s="82">
        <f>IFERROR(__xludf.DUMMYFUNCTION("""COMPUTED_VALUE"""),2.2015495725927217)</f>
        <v>2.201549573</v>
      </c>
      <c r="AG4014" s="82">
        <f>IFERROR(__xludf.DUMMYFUNCTION("""COMPUTED_VALUE"""),0.7125612536702756)</f>
        <v>0.7125612537</v>
      </c>
      <c r="AH4014" s="82">
        <f>IFERROR(__xludf.DUMMYFUNCTION("""COMPUTED_VALUE"""),0.9539861045956365)</f>
        <v>0.9539861046</v>
      </c>
      <c r="AI4014" s="82">
        <f>IFERROR(__xludf.DUMMYFUNCTION("""COMPUTED_VALUE"""),0.8920053052817951)</f>
        <v>0.8920053053</v>
      </c>
      <c r="AJ4014" s="82">
        <f>IFERROR(__xludf.DUMMYFUNCTION("""COMPUTED_VALUE"""),0.908015766593484)</f>
        <v>0.9080157666</v>
      </c>
      <c r="AK4014" s="82">
        <f>IFERROR(__xludf.DUMMYFUNCTION("""COMPUTED_VALUE"""),0.9085227414071892)</f>
        <v>0.9085227414</v>
      </c>
      <c r="AL4014" s="82">
        <f>IFERROR(__xludf.DUMMYFUNCTION("""COMPUTED_VALUE"""),0.6677507475155016)</f>
        <v>0.6677507475</v>
      </c>
      <c r="AM4014" s="82">
        <f>IFERROR(__xludf.DUMMYFUNCTION("""COMPUTED_VALUE"""),0.7881435830411618)</f>
        <v>0.788143583</v>
      </c>
      <c r="AN4014" s="82">
        <f>IFERROR(__xludf.DUMMYFUNCTION("""COMPUTED_VALUE"""),0.9078182611263859)</f>
        <v>0.9078182611</v>
      </c>
      <c r="AO4014" s="82">
        <f>IFERROR(__xludf.DUMMYFUNCTION("""COMPUTED_VALUE"""),0.6730024591323897)</f>
        <v>0.6730024591</v>
      </c>
      <c r="AP4014" s="82">
        <f>IFERROR(__xludf.DUMMYFUNCTION("""COMPUTED_VALUE"""),1.5863535553797985)</f>
        <v>1.586353555</v>
      </c>
      <c r="AQ4014" s="82">
        <f>IFERROR(__xludf.DUMMYFUNCTION("""COMPUTED_VALUE"""),0.8457596833592991)</f>
        <v>0.8457596834</v>
      </c>
      <c r="AR4014" s="82">
        <f>IFERROR(__xludf.DUMMYFUNCTION("""COMPUTED_VALUE"""),0.8727915114934813)</f>
        <v>0.8727915115</v>
      </c>
      <c r="AS4014" s="82">
        <f>IFERROR(__xludf.DUMMYFUNCTION("""COMPUTED_VALUE"""),17.0)</f>
        <v>17</v>
      </c>
      <c r="AT4014" s="82">
        <f>IFERROR(__xludf.DUMMYFUNCTION("""COMPUTED_VALUE"""),0.5122236065029399)</f>
        <v>0.5122236065</v>
      </c>
      <c r="AU4014" s="82">
        <f>IFERROR(__xludf.DUMMYFUNCTION("""COMPUTED_VALUE"""),2.198833768222455)</f>
        <v>2.198833768</v>
      </c>
      <c r="AV4014" s="82">
        <f>IFERROR(__xludf.DUMMYFUNCTION("""COMPUTED_VALUE"""),61.15000639657234)</f>
        <v>61.1500064</v>
      </c>
      <c r="AW4014" s="82">
        <f t="shared" si="1"/>
        <v>3.05065431</v>
      </c>
      <c r="AX4014" s="83">
        <f t="array" ref="AX4014">IFERROR(DGET('SBV Import'!A:G,"SBV",{"RSC ID","Tier";B4014,A4014}))</f>
        <v>58.03854463</v>
      </c>
      <c r="AY4014" s="82">
        <f t="shared" si="2"/>
        <v>2.674512431</v>
      </c>
      <c r="AZ4014" s="82">
        <v>0.37614187892036055</v>
      </c>
      <c r="BA4014" s="84">
        <v>4000.0</v>
      </c>
      <c r="BB4014" s="84" t="b">
        <f>IFERROR(__xludf.DUMMYFUNCTION("iferror(if(A4014="""",,E4014&gt;=FILTER(Constants!$F$2:$F$10,Constants!$A$2:$A$10=A4014)))"),TRUE)</f>
        <v>1</v>
      </c>
    </row>
    <row r="4015">
      <c r="A4015" s="89" t="str">
        <f>IFERROR(__xludf.DUMMYFUNCTION("""COMPUTED_VALUE"""),"Amateur")</f>
        <v>Amateur</v>
      </c>
      <c r="B4015" s="87" t="str">
        <f>IFERROR(__xludf.DUMMYFUNCTION("""COMPUTED_VALUE"""),"RSC007621")</f>
        <v>RSC007621</v>
      </c>
      <c r="C4015" s="73" t="str">
        <f>IFERROR(__xludf.DUMMYFUNCTION("""COMPUTED_VALUE"""),"Classy-God57")</f>
        <v>Classy-God57</v>
      </c>
      <c r="D4015" s="73" t="str">
        <f>IFERROR(__xludf.DUMMYFUNCTION("""COMPUTED_VALUE"""),"Winter Fresh")</f>
        <v>Winter Fresh</v>
      </c>
      <c r="E4015" s="82">
        <f>IFERROR(__xludf.DUMMYFUNCTION("""COMPUTED_VALUE"""),31.0)</f>
        <v>31</v>
      </c>
      <c r="F4015" s="82">
        <f>IFERROR(__xludf.DUMMYFUNCTION("""COMPUTED_VALUE"""),12.0)</f>
        <v>12</v>
      </c>
      <c r="G4015" s="86">
        <f>IFERROR(__xludf.DUMMYFUNCTION("""COMPUTED_VALUE"""),19.0)</f>
        <v>19</v>
      </c>
      <c r="H4015" s="86">
        <f>IFERROR(__xludf.DUMMYFUNCTION("""COMPUTED_VALUE"""),0.3870967741935484)</f>
        <v>0.3870967742</v>
      </c>
      <c r="I4015" s="86">
        <f>IFERROR(__xludf.DUMMYFUNCTION("""COMPUTED_VALUE"""),0.41666666666666663)</f>
        <v>0.4166666667</v>
      </c>
      <c r="J4015" s="82">
        <f>IFERROR(__xludf.DUMMYFUNCTION("""COMPUTED_VALUE"""),340.83870967741933)</f>
        <v>340.8387097</v>
      </c>
      <c r="K4015" s="82">
        <f>IFERROR(__xludf.DUMMYFUNCTION("""COMPUTED_VALUE"""),0.967741935483871)</f>
        <v>0.9677419355</v>
      </c>
      <c r="L4015" s="82">
        <f>IFERROR(__xludf.DUMMYFUNCTION("""COMPUTED_VALUE"""),0.5161290322580645)</f>
        <v>0.5161290323</v>
      </c>
      <c r="M4015" s="82">
        <f>IFERROR(__xludf.DUMMYFUNCTION("""COMPUTED_VALUE"""),0.8387096774193549)</f>
        <v>0.8387096774</v>
      </c>
      <c r="N4015" s="82">
        <f>IFERROR(__xludf.DUMMYFUNCTION("""COMPUTED_VALUE"""),2.3225806451612905)</f>
        <v>2.322580645</v>
      </c>
      <c r="O4015" s="82">
        <f>IFERROR(__xludf.DUMMYFUNCTION("""COMPUTED_VALUE"""),328.9032258064516)</f>
        <v>328.9032258</v>
      </c>
      <c r="P4015" s="82">
        <f>IFERROR(__xludf.DUMMYFUNCTION("""COMPUTED_VALUE"""),1.010752688172043)</f>
        <v>1.010752688</v>
      </c>
      <c r="Q4015" s="82">
        <f>IFERROR(__xludf.DUMMYFUNCTION("""COMPUTED_VALUE"""),0.6881720430107525)</f>
        <v>0.688172043</v>
      </c>
      <c r="R4015" s="82">
        <f>IFERROR(__xludf.DUMMYFUNCTION("""COMPUTED_VALUE"""),0.8494623655913979)</f>
        <v>0.8494623656</v>
      </c>
      <c r="S4015" s="82">
        <f>IFERROR(__xludf.DUMMYFUNCTION("""COMPUTED_VALUE"""),2.258064516129033)</f>
        <v>2.258064516</v>
      </c>
      <c r="T4015" s="82">
        <f>IFERROR(__xludf.DUMMYFUNCTION("""COMPUTED_VALUE"""),301.0478192436625)</f>
        <v>301.0478192</v>
      </c>
      <c r="U4015" s="82">
        <f>IFERROR(__xludf.DUMMYFUNCTION("""COMPUTED_VALUE"""),0.8345179024958497)</f>
        <v>0.8345179025</v>
      </c>
      <c r="V4015" s="82">
        <f>IFERROR(__xludf.DUMMYFUNCTION("""COMPUTED_VALUE"""),0.4550801103288611)</f>
        <v>0.4550801103</v>
      </c>
      <c r="W4015" s="82">
        <f>IFERROR(__xludf.DUMMYFUNCTION("""COMPUTED_VALUE"""),0.8572527234926979)</f>
        <v>0.8572527235</v>
      </c>
      <c r="X4015" s="82">
        <f>IFERROR(__xludf.DUMMYFUNCTION("""COMPUTED_VALUE"""),2.047713478477477)</f>
        <v>2.047713478</v>
      </c>
      <c r="Y4015" s="82">
        <f>IFERROR(__xludf.DUMMYFUNCTION("""COMPUTED_VALUE"""),290.5865796995714)</f>
        <v>290.5865797</v>
      </c>
      <c r="Z4015" s="82">
        <f>IFERROR(__xludf.DUMMYFUNCTION("""COMPUTED_VALUE"""),0.7593163585479327)</f>
        <v>0.7593163585</v>
      </c>
      <c r="AA4015" s="82">
        <f>IFERROR(__xludf.DUMMYFUNCTION("""COMPUTED_VALUE"""),0.41225334937212366)</f>
        <v>0.4122533494</v>
      </c>
      <c r="AB4015" s="82">
        <f>IFERROR(__xludf.DUMMYFUNCTION("""COMPUTED_VALUE"""),0.85539741333374)</f>
        <v>0.8553974133</v>
      </c>
      <c r="AC4015" s="82">
        <f>IFERROR(__xludf.DUMMYFUNCTION("""COMPUTED_VALUE"""),2.0210295743597144)</f>
        <v>2.021029574</v>
      </c>
      <c r="AD4015" s="82">
        <f>IFERROR(__xludf.DUMMYFUNCTION("""COMPUTED_VALUE"""),1.1729334163669982)</f>
        <v>1.172933416</v>
      </c>
      <c r="AE4015" s="82">
        <f>IFERROR(__xludf.DUMMYFUNCTION("""COMPUTED_VALUE"""),1.2744910926646147)</f>
        <v>1.274491093</v>
      </c>
      <c r="AF4015" s="82">
        <f>IFERROR(__xludf.DUMMYFUNCTION("""COMPUTED_VALUE"""),1.251970500771303)</f>
        <v>1.251970501</v>
      </c>
      <c r="AG4015" s="82">
        <f>IFERROR(__xludf.DUMMYFUNCTION("""COMPUTED_VALUE"""),0.9804912480979479)</f>
        <v>0.9804912481</v>
      </c>
      <c r="AH4015" s="82">
        <f>IFERROR(__xludf.DUMMYFUNCTION("""COMPUTED_VALUE"""),1.1492066591341747)</f>
        <v>1.149206659</v>
      </c>
      <c r="AI4015" s="82">
        <f>IFERROR(__xludf.DUMMYFUNCTION("""COMPUTED_VALUE"""),1.0925281791868535)</f>
        <v>1.092528179</v>
      </c>
      <c r="AJ4015" s="82">
        <f>IFERROR(__xludf.DUMMYFUNCTION("""COMPUTED_VALUE"""),1.2111815518266487)</f>
        <v>1.211181552</v>
      </c>
      <c r="AK4015" s="82">
        <f>IFERROR(__xludf.DUMMYFUNCTION("""COMPUTED_VALUE"""),1.5121997806352137)</f>
        <v>1.512199781</v>
      </c>
      <c r="AL4015" s="82">
        <f>IFERROR(__xludf.DUMMYFUNCTION("""COMPUTED_VALUE"""),0.9909124139383777)</f>
        <v>0.9909124139</v>
      </c>
      <c r="AM4015" s="82">
        <f>IFERROR(__xludf.DUMMYFUNCTION("""COMPUTED_VALUE"""),1.1027248391254214)</f>
        <v>1.102724839</v>
      </c>
      <c r="AN4015" s="82">
        <f>IFERROR(__xludf.DUMMYFUNCTION("""COMPUTED_VALUE"""),1.2270440373188998)</f>
        <v>1.227044037</v>
      </c>
      <c r="AO4015" s="82">
        <f>IFERROR(__xludf.DUMMYFUNCTION("""COMPUTED_VALUE"""),1.3025854047723673)</f>
        <v>1.302585405</v>
      </c>
      <c r="AP4015" s="82">
        <f>IFERROR(__xludf.DUMMYFUNCTION("""COMPUTED_VALUE"""),1.228144688035973)</f>
        <v>1.228144688</v>
      </c>
      <c r="AQ4015" s="82">
        <f>IFERROR(__xludf.DUMMYFUNCTION("""COMPUTED_VALUE"""),1.0640202468068602)</f>
        <v>1.064020247</v>
      </c>
      <c r="AR4015" s="82">
        <f>IFERROR(__xludf.DUMMYFUNCTION("""COMPUTED_VALUE"""),1.2162772031134967)</f>
        <v>1.216277203</v>
      </c>
      <c r="AS4015" s="82">
        <f>IFERROR(__xludf.DUMMYFUNCTION("""COMPUTED_VALUE"""),194.0)</f>
        <v>194</v>
      </c>
      <c r="AT4015" s="82">
        <f>IFERROR(__xludf.DUMMYFUNCTION("""COMPUTED_VALUE"""),0.797982038107352)</f>
        <v>0.7979820381</v>
      </c>
      <c r="AU4015" s="82">
        <f>IFERROR(__xludf.DUMMYFUNCTION("""COMPUTED_VALUE"""),2.1900870391284193)</f>
        <v>2.190087039</v>
      </c>
      <c r="AV4015" s="82">
        <f>IFERROR(__xludf.DUMMYFUNCTION("""COMPUTED_VALUE"""),60.97116091228749)</f>
        <v>60.97116091</v>
      </c>
      <c r="AW4015" s="82">
        <f t="shared" si="1"/>
        <v>3.026758923</v>
      </c>
      <c r="AX4015" s="83">
        <f t="array" ref="AX4015">IFERROR(DGET('SBV Import'!A:G,"SBV",{"RSC ID","Tier";B4015,A4015}))</f>
        <v>58.78111137</v>
      </c>
      <c r="AY4015" s="82">
        <f t="shared" si="2"/>
        <v>2.757080672</v>
      </c>
      <c r="AZ4015" s="82">
        <v>0.2696782506942754</v>
      </c>
      <c r="BA4015" s="84">
        <v>4000.0</v>
      </c>
      <c r="BB4015" s="84" t="b">
        <f>IFERROR(__xludf.DUMMYFUNCTION("iferror(if(A4015="""",,E4015&gt;=FILTER(Constants!$F$2:$F$10,Constants!$A$2:$A$10=A4015)))"),TRUE)</f>
        <v>1</v>
      </c>
    </row>
    <row r="4016">
      <c r="A4016" s="89" t="str">
        <f>IFERROR(__xludf.DUMMYFUNCTION("""COMPUTED_VALUE"""),"Amateur")</f>
        <v>Amateur</v>
      </c>
      <c r="B4016" s="87" t="str">
        <f>IFERROR(__xludf.DUMMYFUNCTION("""COMPUTED_VALUE"""),"RSC007220")</f>
        <v>RSC007220</v>
      </c>
      <c r="C4016" s="73" t="str">
        <f>IFERROR(__xludf.DUMMYFUNCTION("""COMPUTED_VALUE"""),"maxf")</f>
        <v>maxf</v>
      </c>
      <c r="D4016" s="73" t="str">
        <f>IFERROR(__xludf.DUMMYFUNCTION("""COMPUTED_VALUE"""),"Garlic Knots")</f>
        <v>Garlic Knots</v>
      </c>
      <c r="E4016" s="82">
        <f>IFERROR(__xludf.DUMMYFUNCTION("""COMPUTED_VALUE"""),30.0)</f>
        <v>30</v>
      </c>
      <c r="F4016" s="82">
        <f>IFERROR(__xludf.DUMMYFUNCTION("""COMPUTED_VALUE"""),23.0)</f>
        <v>23</v>
      </c>
      <c r="G4016" s="86">
        <f>IFERROR(__xludf.DUMMYFUNCTION("""COMPUTED_VALUE"""),7.0)</f>
        <v>7</v>
      </c>
      <c r="H4016" s="86">
        <f>IFERROR(__xludf.DUMMYFUNCTION("""COMPUTED_VALUE"""),0.7666666666666667)</f>
        <v>0.7666666667</v>
      </c>
      <c r="I4016" s="86">
        <f>IFERROR(__xludf.DUMMYFUNCTION("""COMPUTED_VALUE"""),0.48)</f>
        <v>0.48</v>
      </c>
      <c r="J4016" s="82">
        <f>IFERROR(__xludf.DUMMYFUNCTION("""COMPUTED_VALUE"""),270.46666666666664)</f>
        <v>270.4666667</v>
      </c>
      <c r="K4016" s="82">
        <f>IFERROR(__xludf.DUMMYFUNCTION("""COMPUTED_VALUE"""),0.8)</f>
        <v>0.8</v>
      </c>
      <c r="L4016" s="82">
        <f>IFERROR(__xludf.DUMMYFUNCTION("""COMPUTED_VALUE"""),0.5333333333333333)</f>
        <v>0.5333333333</v>
      </c>
      <c r="M4016" s="82">
        <f>IFERROR(__xludf.DUMMYFUNCTION("""COMPUTED_VALUE"""),0.9333333333333333)</f>
        <v>0.9333333333</v>
      </c>
      <c r="N4016" s="82">
        <f>IFERROR(__xludf.DUMMYFUNCTION("""COMPUTED_VALUE"""),1.6666666666666667)</f>
        <v>1.666666667</v>
      </c>
      <c r="O4016" s="82">
        <f>IFERROR(__xludf.DUMMYFUNCTION("""COMPUTED_VALUE"""),249.3277777777779)</f>
        <v>249.3277778</v>
      </c>
      <c r="P4016" s="82">
        <f>IFERROR(__xludf.DUMMYFUNCTION("""COMPUTED_VALUE"""),0.5138888888888891)</f>
        <v>0.5138888889</v>
      </c>
      <c r="Q4016" s="82">
        <f>IFERROR(__xludf.DUMMYFUNCTION("""COMPUTED_VALUE"""),0.26944444444444443)</f>
        <v>0.2694444444</v>
      </c>
      <c r="R4016" s="82">
        <f>IFERROR(__xludf.DUMMYFUNCTION("""COMPUTED_VALUE"""),0.675)</f>
        <v>0.675</v>
      </c>
      <c r="S4016" s="82">
        <f>IFERROR(__xludf.DUMMYFUNCTION("""COMPUTED_VALUE"""),2.0277777777777777)</f>
        <v>2.027777778</v>
      </c>
      <c r="T4016" s="82">
        <f>IFERROR(__xludf.DUMMYFUNCTION("""COMPUTED_VALUE"""),288.01979902647236)</f>
        <v>288.019799</v>
      </c>
      <c r="U4016" s="82">
        <f>IFERROR(__xludf.DUMMYFUNCTION("""COMPUTED_VALUE"""),0.7337291591445952)</f>
        <v>0.7337291591</v>
      </c>
      <c r="V4016" s="82">
        <f>IFERROR(__xludf.DUMMYFUNCTION("""COMPUTED_VALUE"""),0.4298891362360135)</f>
        <v>0.4298891362</v>
      </c>
      <c r="W4016" s="82">
        <f>IFERROR(__xludf.DUMMYFUNCTION("""COMPUTED_VALUE"""),0.8328298347159413)</f>
        <v>0.8328298347</v>
      </c>
      <c r="X4016" s="82">
        <f>IFERROR(__xludf.DUMMYFUNCTION("""COMPUTED_VALUE"""),2.0597474856893645)</f>
        <v>2.059747486</v>
      </c>
      <c r="Y4016" s="82">
        <f>IFERROR(__xludf.DUMMYFUNCTION("""COMPUTED_VALUE"""),302.4733763229893)</f>
        <v>302.4733763</v>
      </c>
      <c r="Z4016" s="82">
        <f>IFERROR(__xludf.DUMMYFUNCTION("""COMPUTED_VALUE"""),0.809720410830124)</f>
        <v>0.8097204108</v>
      </c>
      <c r="AA4016" s="82">
        <f>IFERROR(__xludf.DUMMYFUNCTION("""COMPUTED_VALUE"""),0.46459965010341064)</f>
        <v>0.4645996501</v>
      </c>
      <c r="AB4016" s="82">
        <f>IFERROR(__xludf.DUMMYFUNCTION("""COMPUTED_VALUE"""),0.9209640304064753)</f>
        <v>0.9209640304</v>
      </c>
      <c r="AC4016" s="82">
        <f>IFERROR(__xludf.DUMMYFUNCTION("""COMPUTED_VALUE"""),2.044362547588732)</f>
        <v>2.044362548</v>
      </c>
      <c r="AD4016" s="82">
        <f>IFERROR(__xludf.DUMMYFUNCTION("""COMPUTED_VALUE"""),0.8941833822023892)</f>
        <v>0.8941833822</v>
      </c>
      <c r="AE4016" s="82">
        <f>IFERROR(__xludf.DUMMYFUNCTION("""COMPUTED_VALUE"""),0.9879953491351927)</f>
        <v>0.9879953491</v>
      </c>
      <c r="AF4016" s="82">
        <f>IFERROR(__xludf.DUMMYFUNCTION("""COMPUTED_VALUE"""),1.1479417455751935)</f>
        <v>1.147941746</v>
      </c>
      <c r="AG4016" s="82">
        <f>IFERROR(__xludf.DUMMYFUNCTION("""COMPUTED_VALUE"""),1.013430820877335)</f>
        <v>1.013430821</v>
      </c>
      <c r="AH4016" s="82">
        <f>IFERROR(__xludf.DUMMYFUNCTION("""COMPUTED_VALUE"""),0.8152500487902467)</f>
        <v>0.8152500488</v>
      </c>
      <c r="AI4016" s="82">
        <f>IFERROR(__xludf.DUMMYFUNCTION("""COMPUTED_VALUE"""),0.8656619392851593)</f>
        <v>0.8656619393</v>
      </c>
      <c r="AJ4016" s="82">
        <f>IFERROR(__xludf.DUMMYFUNCTION("""COMPUTED_VALUE"""),0.7003795371687246)</f>
        <v>0.7003795372</v>
      </c>
      <c r="AK4016" s="82">
        <f>IFERROR(__xludf.DUMMYFUNCTION("""COMPUTED_VALUE"""),0.6267765843157216)</f>
        <v>0.6267765843</v>
      </c>
      <c r="AL4016" s="82">
        <f>IFERROR(__xludf.DUMMYFUNCTION("""COMPUTED_VALUE"""),0.8104896965299361)</f>
        <v>0.8104896965</v>
      </c>
      <c r="AM4016" s="82">
        <f>IFERROR(__xludf.DUMMYFUNCTION("""COMPUTED_VALUE"""),0.9844788217324187)</f>
        <v>0.9844788217</v>
      </c>
      <c r="AN4016" s="82">
        <f>IFERROR(__xludf.DUMMYFUNCTION("""COMPUTED_VALUE"""),0.9736995863555181)</f>
        <v>0.9736995864</v>
      </c>
      <c r="AO4016" s="82">
        <f>IFERROR(__xludf.DUMMYFUNCTION("""COMPUTED_VALUE"""),1.0768039346118237)</f>
        <v>1.076803935</v>
      </c>
      <c r="AP4016" s="82">
        <f>IFERROR(__xludf.DUMMYFUNCTION("""COMPUTED_VALUE"""),1.2690828443038387)</f>
        <v>1.269082844</v>
      </c>
      <c r="AQ4016" s="82">
        <f>IFERROR(__xludf.DUMMYFUNCTION("""COMPUTED_VALUE"""),1.1840635567030189)</f>
        <v>1.184063557</v>
      </c>
      <c r="AR4016" s="82">
        <f>IFERROR(__xludf.DUMMYFUNCTION("""COMPUTED_VALUE"""),0.8727915114934813)</f>
        <v>0.8727915115</v>
      </c>
      <c r="AS4016" s="82">
        <f>IFERROR(__xludf.DUMMYFUNCTION("""COMPUTED_VALUE"""),191.0)</f>
        <v>191</v>
      </c>
      <c r="AT4016" s="82">
        <f>IFERROR(__xludf.DUMMYFUNCTION("""COMPUTED_VALUE"""),0.928733015379862)</f>
        <v>0.9287330154</v>
      </c>
      <c r="AU4016" s="82">
        <f>IFERROR(__xludf.DUMMYFUNCTION("""COMPUTED_VALUE"""),2.1182454193019984)</f>
        <v>2.118245419</v>
      </c>
      <c r="AV4016" s="82">
        <f>IFERROR(__xludf.DUMMYFUNCTION("""COMPUTED_VALUE"""),59.50220615771238)</f>
        <v>59.50220616</v>
      </c>
      <c r="AW4016" s="82">
        <f t="shared" si="1"/>
        <v>2.841393781</v>
      </c>
      <c r="AX4016" s="83">
        <f t="array" ref="AX4016">IFERROR(DGET('SBV Import'!A:G,"SBV",{"RSC ID","Tier";B4016,A4016}))</f>
        <v>48.33638578</v>
      </c>
      <c r="AY4016" s="82">
        <f t="shared" si="2"/>
        <v>-2.112056698</v>
      </c>
      <c r="AZ4016" s="82">
        <v>4.953450479746672</v>
      </c>
      <c r="BA4016" s="84">
        <v>4000.0</v>
      </c>
      <c r="BB4016" s="84" t="b">
        <f>IFERROR(__xludf.DUMMYFUNCTION("iferror(if(A4016="""",,E4016&gt;=FILTER(Constants!$F$2:$F$10,Constants!$A$2:$A$10=A4016)))"),TRUE)</f>
        <v>1</v>
      </c>
    </row>
    <row r="4017">
      <c r="A4017" s="89" t="str">
        <f>IFERROR(__xludf.DUMMYFUNCTION("""COMPUTED_VALUE"""),"Amateur")</f>
        <v>Amateur</v>
      </c>
      <c r="B4017" s="87" t="str">
        <f>IFERROR(__xludf.DUMMYFUNCTION("""COMPUTED_VALUE"""),"RSC006797")</f>
        <v>RSC006797</v>
      </c>
      <c r="C4017" s="73" t="str">
        <f>IFERROR(__xludf.DUMMYFUNCTION("""COMPUTED_VALUE"""),"The-Manimal")</f>
        <v>The-Manimal</v>
      </c>
      <c r="D4017" s="73" t="str">
        <f>IFERROR(__xludf.DUMMYFUNCTION("""COMPUTED_VALUE"""),"Aloof Goofs")</f>
        <v>Aloof Goofs</v>
      </c>
      <c r="E4017" s="82">
        <f>IFERROR(__xludf.DUMMYFUNCTION("""COMPUTED_VALUE"""),25.0)</f>
        <v>25</v>
      </c>
      <c r="F4017" s="82">
        <f>IFERROR(__xludf.DUMMYFUNCTION("""COMPUTED_VALUE"""),7.0)</f>
        <v>7</v>
      </c>
      <c r="G4017" s="86">
        <f>IFERROR(__xludf.DUMMYFUNCTION("""COMPUTED_VALUE"""),18.0)</f>
        <v>18</v>
      </c>
      <c r="H4017" s="86">
        <f>IFERROR(__xludf.DUMMYFUNCTION("""COMPUTED_VALUE"""),0.28)</f>
        <v>0.28</v>
      </c>
      <c r="I4017" s="86">
        <f>IFERROR(__xludf.DUMMYFUNCTION("""COMPUTED_VALUE"""),0.27868852459016397)</f>
        <v>0.2786885246</v>
      </c>
      <c r="J4017" s="82">
        <f>IFERROR(__xludf.DUMMYFUNCTION("""COMPUTED_VALUE"""),286.84)</f>
        <v>286.84</v>
      </c>
      <c r="K4017" s="82">
        <f>IFERROR(__xludf.DUMMYFUNCTION("""COMPUTED_VALUE"""),0.68)</f>
        <v>0.68</v>
      </c>
      <c r="L4017" s="82">
        <f>IFERROR(__xludf.DUMMYFUNCTION("""COMPUTED_VALUE"""),0.28)</f>
        <v>0.28</v>
      </c>
      <c r="M4017" s="82">
        <f>IFERROR(__xludf.DUMMYFUNCTION("""COMPUTED_VALUE"""),0.84)</f>
        <v>0.84</v>
      </c>
      <c r="N4017" s="82">
        <f>IFERROR(__xludf.DUMMYFUNCTION("""COMPUTED_VALUE"""),2.44)</f>
        <v>2.44</v>
      </c>
      <c r="O4017" s="82">
        <f>IFERROR(__xludf.DUMMYFUNCTION("""COMPUTED_VALUE"""),312.48)</f>
        <v>312.48</v>
      </c>
      <c r="P4017" s="82">
        <f>IFERROR(__xludf.DUMMYFUNCTION("""COMPUTED_VALUE"""),0.8000000000000002)</f>
        <v>0.8</v>
      </c>
      <c r="Q4017" s="82">
        <f>IFERROR(__xludf.DUMMYFUNCTION("""COMPUTED_VALUE"""),0.43999999999999984)</f>
        <v>0.44</v>
      </c>
      <c r="R4017" s="82">
        <f>IFERROR(__xludf.DUMMYFUNCTION("""COMPUTED_VALUE"""),1.133333333333333)</f>
        <v>1.133333333</v>
      </c>
      <c r="S4017" s="82">
        <f>IFERROR(__xludf.DUMMYFUNCTION("""COMPUTED_VALUE"""),1.9999999999999993)</f>
        <v>2</v>
      </c>
      <c r="T4017" s="82">
        <f>IFERROR(__xludf.DUMMYFUNCTION("""COMPUTED_VALUE"""),304.7150439648078)</f>
        <v>304.715044</v>
      </c>
      <c r="U4017" s="82">
        <f>IFERROR(__xludf.DUMMYFUNCTION("""COMPUTED_VALUE"""),0.824021478178066)</f>
        <v>0.8240214782</v>
      </c>
      <c r="V4017" s="82">
        <f>IFERROR(__xludf.DUMMYFUNCTION("""COMPUTED_VALUE"""),0.48343924020501844)</f>
        <v>0.4834392402</v>
      </c>
      <c r="W4017" s="82">
        <f>IFERROR(__xludf.DUMMYFUNCTION("""COMPUTED_VALUE"""),0.946512865507503)</f>
        <v>0.9465128655</v>
      </c>
      <c r="X4017" s="82">
        <f>IFERROR(__xludf.DUMMYFUNCTION("""COMPUTED_VALUE"""),2.02813587447182)</f>
        <v>2.028135874</v>
      </c>
      <c r="Y4017" s="82">
        <f>IFERROR(__xludf.DUMMYFUNCTION("""COMPUTED_VALUE"""),271.0340733740139)</f>
        <v>271.0340734</v>
      </c>
      <c r="Z4017" s="82">
        <f>IFERROR(__xludf.DUMMYFUNCTION("""COMPUTED_VALUE"""),0.606771113809917)</f>
        <v>0.6067711138</v>
      </c>
      <c r="AA4017" s="82">
        <f>IFERROR(__xludf.DUMMYFUNCTION("""COMPUTED_VALUE"""),0.3407157165034677)</f>
        <v>0.3407157165</v>
      </c>
      <c r="AB4017" s="82">
        <f>IFERROR(__xludf.DUMMYFUNCTION("""COMPUTED_VALUE"""),0.846579617065358)</f>
        <v>0.8465796171</v>
      </c>
      <c r="AC4017" s="82">
        <f>IFERROR(__xludf.DUMMYFUNCTION("""COMPUTED_VALUE"""),1.9522640337170492)</f>
        <v>1.952264034</v>
      </c>
      <c r="AD4017" s="82">
        <f>IFERROR(__xludf.DUMMYFUNCTION("""COMPUTED_VALUE"""),1.0583171201658277)</f>
        <v>1.05831712</v>
      </c>
      <c r="AE4017" s="82">
        <f>IFERROR(__xludf.DUMMYFUNCTION("""COMPUTED_VALUE"""),1.1206861772477579)</f>
        <v>1.120686177</v>
      </c>
      <c r="AF4017" s="82">
        <f>IFERROR(__xludf.DUMMYFUNCTION("""COMPUTED_VALUE"""),0.8217994839611406)</f>
        <v>0.821799484</v>
      </c>
      <c r="AG4017" s="82">
        <f>IFERROR(__xludf.DUMMYFUNCTION("""COMPUTED_VALUE"""),0.9922279996674547)</f>
        <v>0.9922279997</v>
      </c>
      <c r="AH4017" s="82">
        <f>IFERROR(__xludf.DUMMYFUNCTION("""COMPUTED_VALUE"""),1.2498309438986677)</f>
        <v>1.249830944</v>
      </c>
      <c r="AI4017" s="82">
        <f>IFERROR(__xludf.DUMMYFUNCTION("""COMPUTED_VALUE"""),1.0254826802581136)</f>
        <v>1.02548268</v>
      </c>
      <c r="AJ4017" s="82">
        <f>IFERROR(__xludf.DUMMYFUNCTION("""COMPUTED_VALUE"""),0.9708484805139084)</f>
        <v>0.9708484805</v>
      </c>
      <c r="AK4017" s="82">
        <f>IFERROR(__xludf.DUMMYFUNCTION("""COMPUTED_VALUE"""),0.9101453986511382)</f>
        <v>0.9101453987</v>
      </c>
      <c r="AL4017" s="82">
        <f>IFERROR(__xludf.DUMMYFUNCTION("""COMPUTED_VALUE"""),1.1973776317616776)</f>
        <v>1.197377632</v>
      </c>
      <c r="AM4017" s="82">
        <f>IFERROR(__xludf.DUMMYFUNCTION("""COMPUTED_VALUE"""),0.9861272241046729)</f>
        <v>0.9861272241</v>
      </c>
      <c r="AN4017" s="82">
        <f>IFERROR(__xludf.DUMMYFUNCTION("""COMPUTED_VALUE"""),1.0326447720614376)</f>
        <v>1.032644772</v>
      </c>
      <c r="AO4017" s="82">
        <f>IFERROR(__xludf.DUMMYFUNCTION("""COMPUTED_VALUE"""),0.9152833444200501)</f>
        <v>0.9152833444</v>
      </c>
      <c r="AP4017" s="82">
        <f>IFERROR(__xludf.DUMMYFUNCTION("""COMPUTED_VALUE"""),0.6662684932595154)</f>
        <v>0.6662684933</v>
      </c>
      <c r="AQ4017" s="82">
        <f>IFERROR(__xludf.DUMMYFUNCTION("""COMPUTED_VALUE"""),1.065657201032717)</f>
        <v>1.065657201</v>
      </c>
      <c r="AR4017" s="82">
        <f>IFERROR(__xludf.DUMMYFUNCTION("""COMPUTED_VALUE"""),1.2777667728264566)</f>
        <v>1.277766773</v>
      </c>
      <c r="AS4017" s="82">
        <f>IFERROR(__xludf.DUMMYFUNCTION("""COMPUTED_VALUE"""),80.0)</f>
        <v>80</v>
      </c>
      <c r="AT4017" s="82">
        <f>IFERROR(__xludf.DUMMYFUNCTION("""COMPUTED_VALUE"""),0.6157801051471309)</f>
        <v>0.6157801051</v>
      </c>
      <c r="AU4017" s="82">
        <f>IFERROR(__xludf.DUMMYFUNCTION("""COMPUTED_VALUE"""),1.8813427389009738)</f>
        <v>1.881342739</v>
      </c>
      <c r="AV4017" s="82">
        <f>IFERROR(__xludf.DUMMYFUNCTION("""COMPUTED_VALUE"""),54.658226865660126)</f>
        <v>54.65822687</v>
      </c>
      <c r="AW4017" s="82">
        <f t="shared" si="1"/>
        <v>2.346903537</v>
      </c>
      <c r="AX4017" s="83">
        <f t="array" ref="AX4017">IFERROR(DGET('SBV Import'!A:G,"SBV",{"RSC ID","Tier";B4017,A4017}))</f>
        <v>43.36201132</v>
      </c>
      <c r="AY4017" s="82">
        <f t="shared" si="2"/>
        <v>-2.529694651</v>
      </c>
      <c r="AZ4017" s="82">
        <v>4.876598187917346</v>
      </c>
      <c r="BA4017" s="84">
        <v>4000.0</v>
      </c>
      <c r="BB4017" s="84" t="b">
        <f>IFERROR(__xludf.DUMMYFUNCTION("iferror(if(A4017="""",,E4017&gt;=FILTER(Constants!$F$2:$F$10,Constants!$A$2:$A$10=A4017)))"),TRUE)</f>
        <v>1</v>
      </c>
    </row>
    <row r="4018">
      <c r="A4018" s="89" t="str">
        <f>IFERROR(__xludf.DUMMYFUNCTION("""COMPUTED_VALUE"""),"Amateur")</f>
        <v>Amateur</v>
      </c>
      <c r="B4018" s="87" t="str">
        <f>IFERROR(__xludf.DUMMYFUNCTION("""COMPUTED_VALUE"""),"RSC007921")</f>
        <v>RSC007921</v>
      </c>
      <c r="C4018" s="73" t="str">
        <f>IFERROR(__xludf.DUMMYFUNCTION("""COMPUTED_VALUE"""),"sXCyBeast")</f>
        <v>sXCyBeast</v>
      </c>
      <c r="D4018" s="73" t="str">
        <f>IFERROR(__xludf.DUMMYFUNCTION("""COMPUTED_VALUE"""),"Surprise")</f>
        <v>Surprise</v>
      </c>
      <c r="E4018" s="82">
        <f>IFERROR(__xludf.DUMMYFUNCTION("""COMPUTED_VALUE"""),22.0)</f>
        <v>22</v>
      </c>
      <c r="F4018" s="82">
        <f>IFERROR(__xludf.DUMMYFUNCTION("""COMPUTED_VALUE"""),10.0)</f>
        <v>10</v>
      </c>
      <c r="G4018" s="86">
        <f>IFERROR(__xludf.DUMMYFUNCTION("""COMPUTED_VALUE"""),12.0)</f>
        <v>12</v>
      </c>
      <c r="H4018" s="86">
        <f>IFERROR(__xludf.DUMMYFUNCTION("""COMPUTED_VALUE"""),0.45454545454545453)</f>
        <v>0.4545454545</v>
      </c>
      <c r="I4018" s="86">
        <f>IFERROR(__xludf.DUMMYFUNCTION("""COMPUTED_VALUE"""),0.30303030303030304)</f>
        <v>0.303030303</v>
      </c>
      <c r="J4018" s="82">
        <f>IFERROR(__xludf.DUMMYFUNCTION("""COMPUTED_VALUE"""),228.13636363636363)</f>
        <v>228.1363636</v>
      </c>
      <c r="K4018" s="82">
        <f>IFERROR(__xludf.DUMMYFUNCTION("""COMPUTED_VALUE"""),0.45454545454545453)</f>
        <v>0.4545454545</v>
      </c>
      <c r="L4018" s="82">
        <f>IFERROR(__xludf.DUMMYFUNCTION("""COMPUTED_VALUE"""),0.6363636363636364)</f>
        <v>0.6363636364</v>
      </c>
      <c r="M4018" s="82">
        <f>IFERROR(__xludf.DUMMYFUNCTION("""COMPUTED_VALUE"""),0.5454545454545454)</f>
        <v>0.5454545455</v>
      </c>
      <c r="N4018" s="82">
        <f>IFERROR(__xludf.DUMMYFUNCTION("""COMPUTED_VALUE"""),1.5)</f>
        <v>1.5</v>
      </c>
      <c r="O4018" s="82">
        <f>IFERROR(__xludf.DUMMYFUNCTION("""COMPUTED_VALUE"""),289.61742424242425)</f>
        <v>289.6174242</v>
      </c>
      <c r="P4018" s="82">
        <f>IFERROR(__xludf.DUMMYFUNCTION("""COMPUTED_VALUE"""),0.8977272727272727)</f>
        <v>0.8977272727</v>
      </c>
      <c r="Q4018" s="82">
        <f>IFERROR(__xludf.DUMMYFUNCTION("""COMPUTED_VALUE"""),0.40151515151515155)</f>
        <v>0.4015151515</v>
      </c>
      <c r="R4018" s="82">
        <f>IFERROR(__xludf.DUMMYFUNCTION("""COMPUTED_VALUE"""),0.7651515151515152)</f>
        <v>0.7651515152</v>
      </c>
      <c r="S4018" s="82">
        <f>IFERROR(__xludf.DUMMYFUNCTION("""COMPUTED_VALUE"""),1.75)</f>
        <v>1.75</v>
      </c>
      <c r="T4018" s="82">
        <f>IFERROR(__xludf.DUMMYFUNCTION("""COMPUTED_VALUE"""),299.07067453274453)</f>
        <v>299.0706745</v>
      </c>
      <c r="U4018" s="82">
        <f>IFERROR(__xludf.DUMMYFUNCTION("""COMPUTED_VALUE"""),0.8251738183653866)</f>
        <v>0.8251738184</v>
      </c>
      <c r="V4018" s="82">
        <f>IFERROR(__xludf.DUMMYFUNCTION("""COMPUTED_VALUE"""),0.47675192836173785)</f>
        <v>0.4767519284</v>
      </c>
      <c r="W4018" s="82">
        <f>IFERROR(__xludf.DUMMYFUNCTION("""COMPUTED_VALUE"""),0.8541199806771953)</f>
        <v>0.8541199807</v>
      </c>
      <c r="X4018" s="82">
        <f>IFERROR(__xludf.DUMMYFUNCTION("""COMPUTED_VALUE"""),2.0364676002938116)</f>
        <v>2.0364676</v>
      </c>
      <c r="Y4018" s="82">
        <f>IFERROR(__xludf.DUMMYFUNCTION("""COMPUTED_VALUE"""),290.99614299717643)</f>
        <v>290.996143</v>
      </c>
      <c r="Z4018" s="82">
        <f>IFERROR(__xludf.DUMMYFUNCTION("""COMPUTED_VALUE"""),0.7547378727019761)</f>
        <v>0.7547378727</v>
      </c>
      <c r="AA4018" s="82">
        <f>IFERROR(__xludf.DUMMYFUNCTION("""COMPUTED_VALUE"""),0.4463956162540809)</f>
        <v>0.4463956163</v>
      </c>
      <c r="AB4018" s="82">
        <f>IFERROR(__xludf.DUMMYFUNCTION("""COMPUTED_VALUE"""),0.8427308970858486)</f>
        <v>0.8427308971</v>
      </c>
      <c r="AC4018" s="82">
        <f>IFERROR(__xludf.DUMMYFUNCTION("""COMPUTED_VALUE"""),2.036758877616913)</f>
        <v>2.036758878</v>
      </c>
      <c r="AD4018" s="82">
        <f>IFERROR(__xludf.DUMMYFUNCTION("""COMPUTED_VALUE"""),0.7839841493657779)</f>
        <v>0.7839841494</v>
      </c>
      <c r="AE4018" s="82">
        <f>IFERROR(__xludf.DUMMYFUNCTION("""COMPUTED_VALUE"""),0.6022560560240247)</f>
        <v>0.602256056</v>
      </c>
      <c r="AF4018" s="82">
        <f>IFERROR(__xludf.DUMMYFUNCTION("""COMPUTED_VALUE"""),1.4255597796942272)</f>
        <v>1.42555978</v>
      </c>
      <c r="AG4018" s="82">
        <f>IFERROR(__xludf.DUMMYFUNCTION("""COMPUTED_VALUE"""),0.6472464072940952)</f>
        <v>0.6472464073</v>
      </c>
      <c r="AH4018" s="82">
        <f>IFERROR(__xludf.DUMMYFUNCTION("""COMPUTED_VALUE"""),0.7364642012779923)</f>
        <v>0.7364642013</v>
      </c>
      <c r="AI4018" s="82">
        <f>IFERROR(__xludf.DUMMYFUNCTION("""COMPUTED_VALUE"""),0.9683912496432837)</f>
        <v>0.9683912496</v>
      </c>
      <c r="AJ4018" s="82">
        <f>IFERROR(__xludf.DUMMYFUNCTION("""COMPUTED_VALUE"""),1.0879250562088962)</f>
        <v>1.087925056</v>
      </c>
      <c r="AK4018" s="82">
        <f>IFERROR(__xludf.DUMMYFUNCTION("""COMPUTED_VALUE"""),0.8421888358058197)</f>
        <v>0.8421888358</v>
      </c>
      <c r="AL4018" s="82">
        <f>IFERROR(__xludf.DUMMYFUNCTION("""COMPUTED_VALUE"""),0.895836103195782)</f>
        <v>0.8958361032</v>
      </c>
      <c r="AM4018" s="82">
        <f>IFERROR(__xludf.DUMMYFUNCTION("""COMPUTED_VALUE"""),0.8593311279528918)</f>
        <v>0.859331128</v>
      </c>
      <c r="AN4018" s="82">
        <f>IFERROR(__xludf.DUMMYFUNCTION("""COMPUTED_VALUE"""),0.8213074300174242)</f>
        <v>0.82130743</v>
      </c>
      <c r="AO4018" s="82">
        <f>IFERROR(__xludf.DUMMYFUNCTION("""COMPUTED_VALUE"""),0.6118204173930816)</f>
        <v>0.6118204174</v>
      </c>
      <c r="AP4018" s="82">
        <f>IFERROR(__xludf.DUMMYFUNCTION("""COMPUTED_VALUE"""),1.5142465755898076)</f>
        <v>1.514246576</v>
      </c>
      <c r="AQ4018" s="82">
        <f>IFERROR(__xludf.DUMMYFUNCTION("""COMPUTED_VALUE"""),0.6919851954757902)</f>
        <v>0.6919851955</v>
      </c>
      <c r="AR4018" s="82">
        <f>IFERROR(__xludf.DUMMYFUNCTION("""COMPUTED_VALUE"""),0.7855123603441332)</f>
        <v>0.7855123603</v>
      </c>
      <c r="AS4018" s="82">
        <f>IFERROR(__xludf.DUMMYFUNCTION("""COMPUTED_VALUE"""),141.0)</f>
        <v>141</v>
      </c>
      <c r="AT4018" s="82">
        <f>IFERROR(__xludf.DUMMYFUNCTION("""COMPUTED_VALUE"""),0.8367374747050543)</f>
        <v>0.8367374747</v>
      </c>
      <c r="AU4018" s="82">
        <f>IFERROR(__xludf.DUMMYFUNCTION("""COMPUTED_VALUE"""),1.5172868105068886)</f>
        <v>1.517286811</v>
      </c>
      <c r="AV4018" s="82">
        <f>IFERROR(__xludf.DUMMYFUNCTION("""COMPUTED_VALUE"""),47.214328910159495)</f>
        <v>47.21432891</v>
      </c>
      <c r="AW4018" s="82">
        <f t="shared" si="1"/>
        <v>-2.194720245</v>
      </c>
      <c r="AX4018" s="83">
        <f t="array" ref="AX4018">IFERROR(DGET('SBV Import'!A:G,"SBV",{"RSC ID","Tier";B4018,A4018}))</f>
        <v>44.03050616</v>
      </c>
      <c r="AY4018" s="82">
        <f t="shared" si="2"/>
        <v>-2.465251143</v>
      </c>
      <c r="AZ4018" s="82">
        <v>0.2705308982174195</v>
      </c>
      <c r="BA4018" s="84">
        <v>4000.0</v>
      </c>
      <c r="BB4018" s="84" t="b">
        <f>IFERROR(__xludf.DUMMYFUNCTION("iferror(if(A4018="""",,E4018&gt;=FILTER(Constants!$F$2:$F$10,Constants!$A$2:$A$10=A4018)))"),TRUE)</f>
        <v>1</v>
      </c>
    </row>
    <row r="4019">
      <c r="A4019" s="89" t="str">
        <f>IFERROR(__xludf.DUMMYFUNCTION("""COMPUTED_VALUE"""),"Amateur")</f>
        <v>Amateur</v>
      </c>
      <c r="B4019" s="87" t="str">
        <f>IFERROR(__xludf.DUMMYFUNCTION("""COMPUTED_VALUE"""),"RSC006137")</f>
        <v>RSC006137</v>
      </c>
      <c r="C4019" s="73" t="str">
        <f>IFERROR(__xludf.DUMMYFUNCTION("""COMPUTED_VALUE"""),"FULLBL00DN8V")</f>
        <v>FULLBL00DN8V</v>
      </c>
      <c r="D4019" s="73" t="str">
        <f>IFERROR(__xludf.DUMMYFUNCTION("""COMPUTED_VALUE"""),"Winter Fresh")</f>
        <v>Winter Fresh</v>
      </c>
      <c r="E4019" s="82">
        <f>IFERROR(__xludf.DUMMYFUNCTION("""COMPUTED_VALUE"""),31.0)</f>
        <v>31</v>
      </c>
      <c r="F4019" s="82">
        <f>IFERROR(__xludf.DUMMYFUNCTION("""COMPUTED_VALUE"""),12.0)</f>
        <v>12</v>
      </c>
      <c r="G4019" s="86">
        <f>IFERROR(__xludf.DUMMYFUNCTION("""COMPUTED_VALUE"""),19.0)</f>
        <v>19</v>
      </c>
      <c r="H4019" s="86">
        <f>IFERROR(__xludf.DUMMYFUNCTION("""COMPUTED_VALUE"""),0.3870967741935484)</f>
        <v>0.3870967742</v>
      </c>
      <c r="I4019" s="86">
        <f>IFERROR(__xludf.DUMMYFUNCTION("""COMPUTED_VALUE"""),0.39999999999999997)</f>
        <v>0.4</v>
      </c>
      <c r="J4019" s="82">
        <f>IFERROR(__xludf.DUMMYFUNCTION("""COMPUTED_VALUE"""),256.7741935483871)</f>
        <v>256.7741935</v>
      </c>
      <c r="K4019" s="82">
        <f>IFERROR(__xludf.DUMMYFUNCTION("""COMPUTED_VALUE"""),0.7741935483870968)</f>
        <v>0.7741935484</v>
      </c>
      <c r="L4019" s="82">
        <f>IFERROR(__xludf.DUMMYFUNCTION("""COMPUTED_VALUE"""),0.4838709677419355)</f>
        <v>0.4838709677</v>
      </c>
      <c r="M4019" s="82">
        <f>IFERROR(__xludf.DUMMYFUNCTION("""COMPUTED_VALUE"""),0.7096774193548387)</f>
        <v>0.7096774194</v>
      </c>
      <c r="N4019" s="82">
        <f>IFERROR(__xludf.DUMMYFUNCTION("""COMPUTED_VALUE"""),1.935483870967742)</f>
        <v>1.935483871</v>
      </c>
      <c r="O4019" s="82">
        <f>IFERROR(__xludf.DUMMYFUNCTION("""COMPUTED_VALUE"""),328.9032258064516)</f>
        <v>328.9032258</v>
      </c>
      <c r="P4019" s="82">
        <f>IFERROR(__xludf.DUMMYFUNCTION("""COMPUTED_VALUE"""),1.010752688172043)</f>
        <v>1.010752688</v>
      </c>
      <c r="Q4019" s="82">
        <f>IFERROR(__xludf.DUMMYFUNCTION("""COMPUTED_VALUE"""),0.6881720430107525)</f>
        <v>0.688172043</v>
      </c>
      <c r="R4019" s="82">
        <f>IFERROR(__xludf.DUMMYFUNCTION("""COMPUTED_VALUE"""),0.8494623655913979)</f>
        <v>0.8494623656</v>
      </c>
      <c r="S4019" s="82">
        <f>IFERROR(__xludf.DUMMYFUNCTION("""COMPUTED_VALUE"""),2.258064516129033)</f>
        <v>2.258064516</v>
      </c>
      <c r="T4019" s="82">
        <f>IFERROR(__xludf.DUMMYFUNCTION("""COMPUTED_VALUE"""),301.0478192436625)</f>
        <v>301.0478192</v>
      </c>
      <c r="U4019" s="82">
        <f>IFERROR(__xludf.DUMMYFUNCTION("""COMPUTED_VALUE"""),0.8345179024958497)</f>
        <v>0.8345179025</v>
      </c>
      <c r="V4019" s="82">
        <f>IFERROR(__xludf.DUMMYFUNCTION("""COMPUTED_VALUE"""),0.4550801103288611)</f>
        <v>0.4550801103</v>
      </c>
      <c r="W4019" s="82">
        <f>IFERROR(__xludf.DUMMYFUNCTION("""COMPUTED_VALUE"""),0.8572527234926979)</f>
        <v>0.8572527235</v>
      </c>
      <c r="X4019" s="82">
        <f>IFERROR(__xludf.DUMMYFUNCTION("""COMPUTED_VALUE"""),2.047713478477477)</f>
        <v>2.047713478</v>
      </c>
      <c r="Y4019" s="82">
        <f>IFERROR(__xludf.DUMMYFUNCTION("""COMPUTED_VALUE"""),290.5865796995714)</f>
        <v>290.5865797</v>
      </c>
      <c r="Z4019" s="82">
        <f>IFERROR(__xludf.DUMMYFUNCTION("""COMPUTED_VALUE"""),0.7593163585479327)</f>
        <v>0.7593163585</v>
      </c>
      <c r="AA4019" s="82">
        <f>IFERROR(__xludf.DUMMYFUNCTION("""COMPUTED_VALUE"""),0.41225334937212366)</f>
        <v>0.4122533494</v>
      </c>
      <c r="AB4019" s="82">
        <f>IFERROR(__xludf.DUMMYFUNCTION("""COMPUTED_VALUE"""),0.85539741333374)</f>
        <v>0.8553974133</v>
      </c>
      <c r="AC4019" s="82">
        <f>IFERROR(__xludf.DUMMYFUNCTION("""COMPUTED_VALUE"""),2.0210295743597144)</f>
        <v>2.021029574</v>
      </c>
      <c r="AD4019" s="82">
        <f>IFERROR(__xludf.DUMMYFUNCTION("""COMPUTED_VALUE"""),0.8836409231763492)</f>
        <v>0.8836409232</v>
      </c>
      <c r="AE4019" s="82">
        <f>IFERROR(__xludf.DUMMYFUNCTION("""COMPUTED_VALUE"""),1.0195928741316918)</f>
        <v>1.019592874</v>
      </c>
      <c r="AF4019" s="82">
        <f>IFERROR(__xludf.DUMMYFUNCTION("""COMPUTED_VALUE"""),1.1737223444730964)</f>
        <v>1.173722344</v>
      </c>
      <c r="AG4019" s="82">
        <f>IFERROR(__xludf.DUMMYFUNCTION("""COMPUTED_VALUE"""),0.8296464406982635)</f>
        <v>0.8296464407</v>
      </c>
      <c r="AH4019" s="82">
        <f>IFERROR(__xludf.DUMMYFUNCTION("""COMPUTED_VALUE"""),0.9576722159451455)</f>
        <v>0.9576722159</v>
      </c>
      <c r="AI4019" s="82">
        <f>IFERROR(__xludf.DUMMYFUNCTION("""COMPUTED_VALUE"""),1.0925281791868535)</f>
        <v>1.092528179</v>
      </c>
      <c r="AJ4019" s="82">
        <f>IFERROR(__xludf.DUMMYFUNCTION("""COMPUTED_VALUE"""),1.2111815518266487)</f>
        <v>1.211181552</v>
      </c>
      <c r="AK4019" s="82">
        <f>IFERROR(__xludf.DUMMYFUNCTION("""COMPUTED_VALUE"""),1.5121997806352137)</f>
        <v>1.512199781</v>
      </c>
      <c r="AL4019" s="82">
        <f>IFERROR(__xludf.DUMMYFUNCTION("""COMPUTED_VALUE"""),0.9909124139383777)</f>
        <v>0.9909124139</v>
      </c>
      <c r="AM4019" s="82">
        <f>IFERROR(__xludf.DUMMYFUNCTION("""COMPUTED_VALUE"""),1.1027248391254214)</f>
        <v>1.102724839</v>
      </c>
      <c r="AN4019" s="82">
        <f>IFERROR(__xludf.DUMMYFUNCTION("""COMPUTED_VALUE"""),0.9244056915633581)</f>
        <v>0.9244056916</v>
      </c>
      <c r="AO4019" s="82">
        <f>IFERROR(__xludf.DUMMYFUNCTION("""COMPUTED_VALUE"""),1.0420683238178936)</f>
        <v>1.042068324</v>
      </c>
      <c r="AP4019" s="82">
        <f>IFERROR(__xludf.DUMMYFUNCTION("""COMPUTED_VALUE"""),1.1513856450337248)</f>
        <v>1.151385645</v>
      </c>
      <c r="AQ4019" s="82">
        <f>IFERROR(__xludf.DUMMYFUNCTION("""COMPUTED_VALUE"""),0.9003248242211895)</f>
        <v>0.9003248242</v>
      </c>
      <c r="AR4019" s="82">
        <f>IFERROR(__xludf.DUMMYFUNCTION("""COMPUTED_VALUE"""),1.0135643359279138)</f>
        <v>1.013564336</v>
      </c>
      <c r="AS4019" s="82">
        <f>IFERROR(__xludf.DUMMYFUNCTION("""COMPUTED_VALUE"""),194.0)</f>
        <v>194</v>
      </c>
      <c r="AT4019" s="82">
        <f>IFERROR(__xludf.DUMMYFUNCTION("""COMPUTED_VALUE"""),0.797982038107352)</f>
        <v>0.7979820381</v>
      </c>
      <c r="AU4019" s="82">
        <f>IFERROR(__xludf.DUMMYFUNCTION("""COMPUTED_VALUE"""),1.4883615279748508)</f>
        <v>1.488361528</v>
      </c>
      <c r="AV4019" s="82">
        <f>IFERROR(__xludf.DUMMYFUNCTION("""COMPUTED_VALUE"""),46.62288997259758)</f>
        <v>46.62288997</v>
      </c>
      <c r="AW4019" s="82">
        <f t="shared" si="1"/>
        <v>-2.240783018</v>
      </c>
      <c r="AX4019" s="83">
        <f t="array" ref="AX4019">IFERROR(DGET('SBV Import'!A:G,"SBV",{"RSC ID","Tier";B4019,A4019}))</f>
        <v>38.0442564</v>
      </c>
      <c r="AY4019" s="82">
        <f t="shared" si="2"/>
        <v>-3.162121856</v>
      </c>
      <c r="AZ4019" s="82">
        <v>0.9213388374656151</v>
      </c>
      <c r="BA4019" s="84">
        <v>4000.0</v>
      </c>
      <c r="BB4019" s="84" t="b">
        <f>IFERROR(__xludf.DUMMYFUNCTION("iferror(if(A4019="""",,E4019&gt;=FILTER(Constants!$F$2:$F$10,Constants!$A$2:$A$10=A4019)))"),TRUE)</f>
        <v>1</v>
      </c>
    </row>
    <row r="4020">
      <c r="A4020" s="89" t="str">
        <f>IFERROR(__xludf.DUMMYFUNCTION("""COMPUTED_VALUE"""),"Amateur")</f>
        <v>Amateur</v>
      </c>
      <c r="B4020" s="87" t="str">
        <f>IFERROR(__xludf.DUMMYFUNCTION("""COMPUTED_VALUE"""),"RSC006147")</f>
        <v>RSC006147</v>
      </c>
      <c r="C4020" s="73" t="str">
        <f>IFERROR(__xludf.DUMMYFUNCTION("""COMPUTED_VALUE"""),"Stolris")</f>
        <v>Stolris</v>
      </c>
      <c r="D4020" s="73"/>
      <c r="E4020" s="82">
        <f>IFERROR(__xludf.DUMMYFUNCTION("""COMPUTED_VALUE"""),3.0)</f>
        <v>3</v>
      </c>
      <c r="F4020" s="82">
        <f>IFERROR(__xludf.DUMMYFUNCTION("""COMPUTED_VALUE"""),1.0)</f>
        <v>1</v>
      </c>
      <c r="G4020" s="86">
        <f>IFERROR(__xludf.DUMMYFUNCTION("""COMPUTED_VALUE"""),2.0)</f>
        <v>2</v>
      </c>
      <c r="H4020" s="86">
        <f>IFERROR(__xludf.DUMMYFUNCTION("""COMPUTED_VALUE"""),0.3333333333333333)</f>
        <v>0.3333333333</v>
      </c>
      <c r="I4020" s="86">
        <f>IFERROR(__xludf.DUMMYFUNCTION("""COMPUTED_VALUE"""),0.2857142857142857)</f>
        <v>0.2857142857</v>
      </c>
      <c r="J4020" s="82">
        <f>IFERROR(__xludf.DUMMYFUNCTION("""COMPUTED_VALUE"""),198.0)</f>
        <v>198</v>
      </c>
      <c r="K4020" s="82">
        <f>IFERROR(__xludf.DUMMYFUNCTION("""COMPUTED_VALUE"""),0.6666666666666666)</f>
        <v>0.6666666667</v>
      </c>
      <c r="L4020" s="82">
        <f>IFERROR(__xludf.DUMMYFUNCTION("""COMPUTED_VALUE"""),0.3333333333333333)</f>
        <v>0.3333333333</v>
      </c>
      <c r="M4020" s="82">
        <f>IFERROR(__xludf.DUMMYFUNCTION("""COMPUTED_VALUE"""),0.3333333333333333)</f>
        <v>0.3333333333</v>
      </c>
      <c r="N4020" s="82">
        <f>IFERROR(__xludf.DUMMYFUNCTION("""COMPUTED_VALUE"""),2.3333333333333335)</f>
        <v>2.333333333</v>
      </c>
      <c r="O4020" s="82">
        <f>IFERROR(__xludf.DUMMYFUNCTION("""COMPUTED_VALUE"""),293.5555555555556)</f>
        <v>293.5555556</v>
      </c>
      <c r="P4020" s="82">
        <f>IFERROR(__xludf.DUMMYFUNCTION("""COMPUTED_VALUE"""),0.7777777777777777)</f>
        <v>0.7777777778</v>
      </c>
      <c r="Q4020" s="82">
        <f>IFERROR(__xludf.DUMMYFUNCTION("""COMPUTED_VALUE"""),0.4444444444444444)</f>
        <v>0.4444444444</v>
      </c>
      <c r="R4020" s="82">
        <f>IFERROR(__xludf.DUMMYFUNCTION("""COMPUTED_VALUE"""),0.9999999999999999)</f>
        <v>1</v>
      </c>
      <c r="S4020" s="82">
        <f>IFERROR(__xludf.DUMMYFUNCTION("""COMPUTED_VALUE"""),1.888888888888889)</f>
        <v>1.888888889</v>
      </c>
      <c r="T4020" s="82">
        <f>IFERROR(__xludf.DUMMYFUNCTION("""COMPUTED_VALUE"""),295.0908013555072)</f>
        <v>295.0908014</v>
      </c>
      <c r="U4020" s="82">
        <f>IFERROR(__xludf.DUMMYFUNCTION("""COMPUTED_VALUE"""),0.7914340561399383)</f>
        <v>0.7914340561</v>
      </c>
      <c r="V4020" s="82">
        <f>IFERROR(__xludf.DUMMYFUNCTION("""COMPUTED_VALUE"""),0.419025419025419)</f>
        <v>0.419025419</v>
      </c>
      <c r="W4020" s="82">
        <f>IFERROR(__xludf.DUMMYFUNCTION("""COMPUTED_VALUE"""),0.8265329441800029)</f>
        <v>0.8265329442</v>
      </c>
      <c r="X4020" s="82">
        <f>IFERROR(__xludf.DUMMYFUNCTION("""COMPUTED_VALUE"""),2.1791215320627084)</f>
        <v>2.179121532</v>
      </c>
      <c r="Y4020" s="82">
        <f>IFERROR(__xludf.DUMMYFUNCTION("""COMPUTED_VALUE"""),295.22969160469165)</f>
        <v>295.2296916</v>
      </c>
      <c r="Z4020" s="82">
        <f>IFERROR(__xludf.DUMMYFUNCTION("""COMPUTED_VALUE"""),0.7017380767380766)</f>
        <v>0.7017380767</v>
      </c>
      <c r="AA4020" s="82">
        <f>IFERROR(__xludf.DUMMYFUNCTION("""COMPUTED_VALUE"""),0.40214415214415206)</f>
        <v>0.4021441521</v>
      </c>
      <c r="AB4020" s="82">
        <f>IFERROR(__xludf.DUMMYFUNCTION("""COMPUTED_VALUE"""),1.0166777666777669)</f>
        <v>1.016677767</v>
      </c>
      <c r="AC4020" s="82">
        <f>IFERROR(__xludf.DUMMYFUNCTION("""COMPUTED_VALUE"""),2.0339475339475332)</f>
        <v>2.033947534</v>
      </c>
      <c r="AD4020" s="82">
        <f>IFERROR(__xludf.DUMMYFUNCTION("""COMPUTED_VALUE"""),0.6706642510236375)</f>
        <v>0.670664251</v>
      </c>
      <c r="AE4020" s="82">
        <f>IFERROR(__xludf.DUMMYFUNCTION("""COMPUTED_VALUE"""),0.950022079128962)</f>
        <v>0.9500220791</v>
      </c>
      <c r="AF4020" s="82">
        <f>IFERROR(__xludf.DUMMYFUNCTION("""COMPUTED_VALUE"""),0.8288901667625074)</f>
        <v>0.8288901668</v>
      </c>
      <c r="AG4020" s="82">
        <f>IFERROR(__xludf.DUMMYFUNCTION("""COMPUTED_VALUE"""),0.3278652728116384)</f>
        <v>0.3278652728</v>
      </c>
      <c r="AH4020" s="82">
        <f>IFERROR(__xludf.DUMMYFUNCTION("""COMPUTED_VALUE"""),1.1471944553086604)</f>
        <v>1.147194455</v>
      </c>
      <c r="AI4020" s="82">
        <f>IFERROR(__xludf.DUMMYFUNCTION("""COMPUTED_VALUE"""),0.9947973783225387)</f>
        <v>0.9947973783</v>
      </c>
      <c r="AJ4020" s="82">
        <f>IFERROR(__xludf.DUMMYFUNCTION("""COMPUTED_VALUE"""),0.9827448942129602)</f>
        <v>0.9827448942</v>
      </c>
      <c r="AK4020" s="82">
        <f>IFERROR(__xludf.DUMMYFUNCTION("""COMPUTED_VALUE"""),1.0606622516556292)</f>
        <v>1.060662252</v>
      </c>
      <c r="AL4020" s="82">
        <f>IFERROR(__xludf.DUMMYFUNCTION("""COMPUTED_VALUE"""),1.209873129729986)</f>
        <v>1.20987313</v>
      </c>
      <c r="AM4020" s="82">
        <f>IFERROR(__xludf.DUMMYFUNCTION("""COMPUTED_VALUE"""),0.8668120896868512)</f>
        <v>0.8668120897</v>
      </c>
      <c r="AN4020" s="82">
        <f>IFERROR(__xludf.DUMMYFUNCTION("""COMPUTED_VALUE"""),0.7128143385447101)</f>
        <v>0.7128143385</v>
      </c>
      <c r="AO4020" s="82">
        <f>IFERROR(__xludf.DUMMYFUNCTION("""COMPUTED_VALUE"""),0.8973366121765195)</f>
        <v>0.8973366122</v>
      </c>
      <c r="AP4020" s="82">
        <f>IFERROR(__xludf.DUMMYFUNCTION("""COMPUTED_VALUE"""),0.7931767776898992)</f>
        <v>0.7931767777</v>
      </c>
      <c r="AQ4020" s="82">
        <f>IFERROR(__xludf.DUMMYFUNCTION("""COMPUTED_VALUE"""),0.42287984167964954)</f>
        <v>0.4228798417</v>
      </c>
      <c r="AR4020" s="82">
        <f>IFERROR(__xludf.DUMMYFUNCTION("""COMPUTED_VALUE"""),1.221908116090874)</f>
        <v>1.221908116</v>
      </c>
      <c r="AS4020" s="82">
        <f>IFERROR(__xludf.DUMMYFUNCTION("""COMPUTED_VALUE"""),6.0)</f>
        <v>6</v>
      </c>
      <c r="AT4020" s="82">
        <f>IFERROR(__xludf.DUMMYFUNCTION("""COMPUTED_VALUE"""),0.441566165189672)</f>
        <v>0.4415661652</v>
      </c>
      <c r="AU4020" s="82">
        <f>IFERROR(__xludf.DUMMYFUNCTION("""COMPUTED_VALUE"""),1.4631793492597918)</f>
        <v>1.463179349</v>
      </c>
      <c r="AV4020" s="82">
        <f>IFERROR(__xludf.DUMMYFUNCTION("""COMPUTED_VALUE"""),46.107986755723815)</f>
        <v>46.10798676</v>
      </c>
      <c r="AW4020" s="82">
        <f t="shared" si="1"/>
        <v>-2.282362877</v>
      </c>
      <c r="AX4020" s="83">
        <f t="array" ref="AX4020">IFERROR(DGET('SBV Import'!A:G,"SBV",{"RSC ID","Tier";B4020,A4020}))</f>
        <v>22.88958475</v>
      </c>
      <c r="AY4020" s="82">
        <f t="shared" si="2"/>
        <v>-7.189586311</v>
      </c>
      <c r="AZ4020" s="82">
        <v>4.9072234337797624</v>
      </c>
      <c r="BA4020" s="84">
        <v>4000.0</v>
      </c>
      <c r="BB4020" s="84" t="b">
        <f>IFERROR(__xludf.DUMMYFUNCTION("iferror(if(A4020="""",,E4020&gt;=FILTER(Constants!$F$2:$F$10,Constants!$A$2:$A$10=A4020)))"),TRUE)</f>
        <v>1</v>
      </c>
    </row>
    <row r="4021">
      <c r="A4021" s="89" t="str">
        <f>IFERROR(__xludf.DUMMYFUNCTION("""COMPUTED_VALUE"""),"Amateur")</f>
        <v>Amateur</v>
      </c>
      <c r="B4021" s="87" t="str">
        <f>IFERROR(__xludf.DUMMYFUNCTION("""COMPUTED_VALUE"""),"RSC000654")</f>
        <v>RSC000654</v>
      </c>
      <c r="C4021" s="73" t="str">
        <f>IFERROR(__xludf.DUMMYFUNCTION("""COMPUTED_VALUE"""),"Rocci")</f>
        <v>Rocci</v>
      </c>
      <c r="D4021" s="73" t="str">
        <f>IFERROR(__xludf.DUMMYFUNCTION("""COMPUTED_VALUE"""),"Aeon Ale")</f>
        <v>Aeon Ale</v>
      </c>
      <c r="E4021" s="82">
        <f>IFERROR(__xludf.DUMMYFUNCTION("""COMPUTED_VALUE"""),20.0)</f>
        <v>20</v>
      </c>
      <c r="F4021" s="82">
        <f>IFERROR(__xludf.DUMMYFUNCTION("""COMPUTED_VALUE"""),11.0)</f>
        <v>11</v>
      </c>
      <c r="G4021" s="86">
        <f>IFERROR(__xludf.DUMMYFUNCTION("""COMPUTED_VALUE"""),9.0)</f>
        <v>9</v>
      </c>
      <c r="H4021" s="86">
        <f>IFERROR(__xludf.DUMMYFUNCTION("""COMPUTED_VALUE"""),0.55)</f>
        <v>0.55</v>
      </c>
      <c r="I4021" s="86">
        <f>IFERROR(__xludf.DUMMYFUNCTION("""COMPUTED_VALUE"""),0.35714285714285715)</f>
        <v>0.3571428571</v>
      </c>
      <c r="J4021" s="82">
        <f>IFERROR(__xludf.DUMMYFUNCTION("""COMPUTED_VALUE"""),253.4)</f>
        <v>253.4</v>
      </c>
      <c r="K4021" s="82">
        <f>IFERROR(__xludf.DUMMYFUNCTION("""COMPUTED_VALUE"""),0.5)</f>
        <v>0.5</v>
      </c>
      <c r="L4021" s="82">
        <f>IFERROR(__xludf.DUMMYFUNCTION("""COMPUTED_VALUE"""),0.45)</f>
        <v>0.45</v>
      </c>
      <c r="M4021" s="82">
        <f>IFERROR(__xludf.DUMMYFUNCTION("""COMPUTED_VALUE"""),1.1)</f>
        <v>1.1</v>
      </c>
      <c r="N4021" s="82">
        <f>IFERROR(__xludf.DUMMYFUNCTION("""COMPUTED_VALUE"""),1.4)</f>
        <v>1.4</v>
      </c>
      <c r="O4021" s="82">
        <f>IFERROR(__xludf.DUMMYFUNCTION("""COMPUTED_VALUE"""),287.29999999999995)</f>
        <v>287.3</v>
      </c>
      <c r="P4021" s="82">
        <f>IFERROR(__xludf.DUMMYFUNCTION("""COMPUTED_VALUE"""),0.6833333333333333)</f>
        <v>0.6833333333</v>
      </c>
      <c r="Q4021" s="82">
        <f>IFERROR(__xludf.DUMMYFUNCTION("""COMPUTED_VALUE"""),0.35000000000000003)</f>
        <v>0.35</v>
      </c>
      <c r="R4021" s="82">
        <f>IFERROR(__xludf.DUMMYFUNCTION("""COMPUTED_VALUE"""),0.8333333333333336)</f>
        <v>0.8333333333</v>
      </c>
      <c r="S4021" s="82">
        <f>IFERROR(__xludf.DUMMYFUNCTION("""COMPUTED_VALUE"""),1.9000000000000004)</f>
        <v>1.9</v>
      </c>
      <c r="T4021" s="82">
        <f>IFERROR(__xludf.DUMMYFUNCTION("""COMPUTED_VALUE"""),301.47123554174715)</f>
        <v>301.4712355</v>
      </c>
      <c r="U4021" s="82">
        <f>IFERROR(__xludf.DUMMYFUNCTION("""COMPUTED_VALUE"""),0.757791559011267)</f>
        <v>0.757791559</v>
      </c>
      <c r="V4021" s="82">
        <f>IFERROR(__xludf.DUMMYFUNCTION("""COMPUTED_VALUE"""),0.4314309871993781)</f>
        <v>0.4314309872</v>
      </c>
      <c r="W4021" s="82">
        <f>IFERROR(__xludf.DUMMYFUNCTION("""COMPUTED_VALUE"""),0.9172068136690967)</f>
        <v>0.9172068137</v>
      </c>
      <c r="X4021" s="82">
        <f>IFERROR(__xludf.DUMMYFUNCTION("""COMPUTED_VALUE"""),2.1040564008013196)</f>
        <v>2.104056401</v>
      </c>
      <c r="Y4021" s="82">
        <f>IFERROR(__xludf.DUMMYFUNCTION("""COMPUTED_VALUE"""),293.5361997499807)</f>
        <v>293.5361997</v>
      </c>
      <c r="Z4021" s="82">
        <f>IFERROR(__xludf.DUMMYFUNCTION("""COMPUTED_VALUE"""),0.7637346012963085)</f>
        <v>0.7637346013</v>
      </c>
      <c r="AA4021" s="82">
        <f>IFERROR(__xludf.DUMMYFUNCTION("""COMPUTED_VALUE"""),0.4163982367774507)</f>
        <v>0.4163982368</v>
      </c>
      <c r="AB4021" s="82">
        <f>IFERROR(__xludf.DUMMYFUNCTION("""COMPUTED_VALUE"""),0.8927409881076009)</f>
        <v>0.8927409881</v>
      </c>
      <c r="AC4021" s="82">
        <f>IFERROR(__xludf.DUMMYFUNCTION("""COMPUTED_VALUE"""),2.030472239004055)</f>
        <v>2.030472239</v>
      </c>
      <c r="AD4021" s="82">
        <f>IFERROR(__xludf.DUMMYFUNCTION("""COMPUTED_VALUE"""),0.86326660976)</f>
        <v>0.8632666098</v>
      </c>
      <c r="AE4021" s="82">
        <f>IFERROR(__xludf.DUMMYFUNCTION("""COMPUTED_VALUE"""),0.6546776840427757)</f>
        <v>0.654677684</v>
      </c>
      <c r="AF4021" s="82">
        <f>IFERROR(__xludf.DUMMYFUNCTION("""COMPUTED_VALUE"""),1.080696218799092)</f>
        <v>1.080696219</v>
      </c>
      <c r="AG4021" s="82">
        <f>IFERROR(__xludf.DUMMYFUNCTION("""COMPUTED_VALUE"""),1.2321602958230238)</f>
        <v>1.232160296</v>
      </c>
      <c r="AH4021" s="82">
        <f>IFERROR(__xludf.DUMMYFUNCTION("""COMPUTED_VALUE"""),0.6894947752088937)</f>
        <v>0.6894947752</v>
      </c>
      <c r="AI4021" s="82">
        <f>IFERROR(__xludf.DUMMYFUNCTION("""COMPUTED_VALUE"""),0.9529930757198731)</f>
        <v>0.9529930757</v>
      </c>
      <c r="AJ4021" s="82">
        <f>IFERROR(__xludf.DUMMYFUNCTION("""COMPUTED_VALUE"""),0.9017431313498879)</f>
        <v>0.9017431313</v>
      </c>
      <c r="AK4021" s="82">
        <f>IFERROR(__xludf.DUMMYFUNCTION("""COMPUTED_VALUE"""),0.811253735555749)</f>
        <v>0.8112537356</v>
      </c>
      <c r="AL4021" s="82">
        <f>IFERROR(__xludf.DUMMYFUNCTION("""COMPUTED_VALUE"""),0.9085555415792818)</f>
        <v>0.9085555416</v>
      </c>
      <c r="AM4021" s="82">
        <f>IFERROR(__xludf.DUMMYFUNCTION("""COMPUTED_VALUE"""),0.9030176183853221)</f>
        <v>0.9030176184</v>
      </c>
      <c r="AN4021" s="82">
        <f>IFERROR(__xludf.DUMMYFUNCTION("""COMPUTED_VALUE"""),0.9122583504405533)</f>
        <v>0.9122583504</v>
      </c>
      <c r="AO4021" s="82">
        <f>IFERROR(__xludf.DUMMYFUNCTION("""COMPUTED_VALUE"""),0.6730024591323897)</f>
        <v>0.6730024591</v>
      </c>
      <c r="AP4021" s="82">
        <f>IFERROR(__xludf.DUMMYFUNCTION("""COMPUTED_VALUE"""),1.070788649881364)</f>
        <v>1.07078865</v>
      </c>
      <c r="AQ4021" s="82">
        <f>IFERROR(__xludf.DUMMYFUNCTION("""COMPUTED_VALUE"""),1.3955034775428437)</f>
        <v>1.395503478</v>
      </c>
      <c r="AR4021" s="82">
        <f>IFERROR(__xludf.DUMMYFUNCTION("""COMPUTED_VALUE"""),0.7331448696545243)</f>
        <v>0.7331448697</v>
      </c>
      <c r="AS4021" s="82">
        <f>IFERROR(__xludf.DUMMYFUNCTION("""COMPUTED_VALUE"""),120.0)</f>
        <v>120</v>
      </c>
      <c r="AT4021" s="82">
        <f>IFERROR(__xludf.DUMMYFUNCTION("""COMPUTED_VALUE"""),0.8758873594265086)</f>
        <v>0.8758873594</v>
      </c>
      <c r="AU4021" s="82">
        <f>IFERROR(__xludf.DUMMYFUNCTION("""COMPUTED_VALUE"""),1.394432590895022)</f>
        <v>1.394432591</v>
      </c>
      <c r="AV4021" s="82">
        <f>IFERROR(__xludf.DUMMYFUNCTION("""COMPUTED_VALUE"""),44.7023130277991)</f>
        <v>44.70231303</v>
      </c>
      <c r="AW4021" s="82">
        <f t="shared" si="1"/>
        <v>-2.403328468</v>
      </c>
      <c r="AX4021" s="83">
        <f t="array" ref="AX4021">IFERROR(DGET('SBV Import'!A:G,"SBV",{"RSC ID","Tier";B4021,A4021}))</f>
        <v>42.772402</v>
      </c>
      <c r="AY4021" s="82">
        <f t="shared" si="2"/>
        <v>-2.588990551</v>
      </c>
      <c r="AZ4021" s="82">
        <v>0.18566208244159155</v>
      </c>
      <c r="BA4021" s="84">
        <v>4000.0</v>
      </c>
      <c r="BB4021" s="84" t="b">
        <f>IFERROR(__xludf.DUMMYFUNCTION("iferror(if(A4021="""",,E4021&gt;=FILTER(Constants!$F$2:$F$10,Constants!$A$2:$A$10=A4021)))"),TRUE)</f>
        <v>1</v>
      </c>
    </row>
    <row r="4022">
      <c r="A4022" s="89" t="str">
        <f>IFERROR(__xludf.DUMMYFUNCTION("""COMPUTED_VALUE"""),"Amateur")</f>
        <v>Amateur</v>
      </c>
      <c r="B4022" s="87" t="str">
        <f>IFERROR(__xludf.DUMMYFUNCTION("""COMPUTED_VALUE"""),"RSC004190")</f>
        <v>RSC004190</v>
      </c>
      <c r="C4022" s="73" t="str">
        <f>IFERROR(__xludf.DUMMYFUNCTION("""COMPUTED_VALUE"""),"demonikgoat4061")</f>
        <v>demonikgoat4061</v>
      </c>
      <c r="D4022" s="73" t="str">
        <f>IFERROR(__xludf.DUMMYFUNCTION("""COMPUTED_VALUE"""),"Aloof Goofs")</f>
        <v>Aloof Goofs</v>
      </c>
      <c r="E4022" s="82">
        <f>IFERROR(__xludf.DUMMYFUNCTION("""COMPUTED_VALUE"""),35.0)</f>
        <v>35</v>
      </c>
      <c r="F4022" s="82">
        <f>IFERROR(__xludf.DUMMYFUNCTION("""COMPUTED_VALUE"""),11.0)</f>
        <v>11</v>
      </c>
      <c r="G4022" s="86">
        <f>IFERROR(__xludf.DUMMYFUNCTION("""COMPUTED_VALUE"""),24.0)</f>
        <v>24</v>
      </c>
      <c r="H4022" s="86">
        <f>IFERROR(__xludf.DUMMYFUNCTION("""COMPUTED_VALUE"""),0.3142857142857143)</f>
        <v>0.3142857143</v>
      </c>
      <c r="I4022" s="86">
        <f>IFERROR(__xludf.DUMMYFUNCTION("""COMPUTED_VALUE"""),0.36065573770491804)</f>
        <v>0.3606557377</v>
      </c>
      <c r="J4022" s="82">
        <f>IFERROR(__xludf.DUMMYFUNCTION("""COMPUTED_VALUE"""),276.9142857142857)</f>
        <v>276.9142857</v>
      </c>
      <c r="K4022" s="82">
        <f>IFERROR(__xludf.DUMMYFUNCTION("""COMPUTED_VALUE"""),0.6285714285714286)</f>
        <v>0.6285714286</v>
      </c>
      <c r="L4022" s="82">
        <f>IFERROR(__xludf.DUMMYFUNCTION("""COMPUTED_VALUE"""),0.37142857142857144)</f>
        <v>0.3714285714</v>
      </c>
      <c r="M4022" s="82">
        <f>IFERROR(__xludf.DUMMYFUNCTION("""COMPUTED_VALUE"""),0.8857142857142857)</f>
        <v>0.8857142857</v>
      </c>
      <c r="N4022" s="82">
        <f>IFERROR(__xludf.DUMMYFUNCTION("""COMPUTED_VALUE"""),1.7428571428571429)</f>
        <v>1.742857143</v>
      </c>
      <c r="O4022" s="82">
        <f>IFERROR(__xludf.DUMMYFUNCTION("""COMPUTED_VALUE"""),317.48333333333323)</f>
        <v>317.4833333</v>
      </c>
      <c r="P4022" s="82">
        <f>IFERROR(__xludf.DUMMYFUNCTION("""COMPUTED_VALUE"""),0.8928571428571432)</f>
        <v>0.8928571429</v>
      </c>
      <c r="Q4022" s="82">
        <f>IFERROR(__xludf.DUMMYFUNCTION("""COMPUTED_VALUE"""),0.5214285714285716)</f>
        <v>0.5214285714</v>
      </c>
      <c r="R4022" s="82">
        <f>IFERROR(__xludf.DUMMYFUNCTION("""COMPUTED_VALUE"""),0.9880952380952384)</f>
        <v>0.9880952381</v>
      </c>
      <c r="S4022" s="82">
        <f>IFERROR(__xludf.DUMMYFUNCTION("""COMPUTED_VALUE"""),2.1357142857142857)</f>
        <v>2.135714286</v>
      </c>
      <c r="T4022" s="82">
        <f>IFERROR(__xludf.DUMMYFUNCTION("""COMPUTED_VALUE"""),300.7559189490684)</f>
        <v>300.7559189</v>
      </c>
      <c r="U4022" s="82">
        <f>IFERROR(__xludf.DUMMYFUNCTION("""COMPUTED_VALUE"""),0.8020084014059642)</f>
        <v>0.8020084014</v>
      </c>
      <c r="V4022" s="82">
        <f>IFERROR(__xludf.DUMMYFUNCTION("""COMPUTED_VALUE"""),0.4711218016457447)</f>
        <v>0.4711218016</v>
      </c>
      <c r="W4022" s="82">
        <f>IFERROR(__xludf.DUMMYFUNCTION("""COMPUTED_VALUE"""),0.9091814310439601)</f>
        <v>0.909181431</v>
      </c>
      <c r="X4022" s="82">
        <f>IFERROR(__xludf.DUMMYFUNCTION("""COMPUTED_VALUE"""),2.041050775184746)</f>
        <v>2.041050775</v>
      </c>
      <c r="Y4022" s="82">
        <f>IFERROR(__xludf.DUMMYFUNCTION("""COMPUTED_VALUE"""),283.9099810357451)</f>
        <v>283.909981</v>
      </c>
      <c r="Z4022" s="82">
        <f>IFERROR(__xludf.DUMMYFUNCTION("""COMPUTED_VALUE"""),0.7124122212609824)</f>
        <v>0.7124122213</v>
      </c>
      <c r="AA4022" s="82">
        <f>IFERROR(__xludf.DUMMYFUNCTION("""COMPUTED_VALUE"""),0.39642633318332887)</f>
        <v>0.3964263332</v>
      </c>
      <c r="AB4022" s="82">
        <f>IFERROR(__xludf.DUMMYFUNCTION("""COMPUTED_VALUE"""),0.8459348826969711)</f>
        <v>0.8459348827</v>
      </c>
      <c r="AC4022" s="82">
        <f>IFERROR(__xludf.DUMMYFUNCTION("""COMPUTED_VALUE"""),2.010362666335251)</f>
        <v>2.010362666</v>
      </c>
      <c r="AD4022" s="82">
        <f>IFERROR(__xludf.DUMMYFUNCTION("""COMPUTED_VALUE"""),0.9753594597275586)</f>
        <v>0.9753594597</v>
      </c>
      <c r="AE4022" s="82">
        <f>IFERROR(__xludf.DUMMYFUNCTION("""COMPUTED_VALUE"""),0.8823142133340244)</f>
        <v>0.8823142133</v>
      </c>
      <c r="AF4022" s="82">
        <f>IFERROR(__xludf.DUMMYFUNCTION("""COMPUTED_VALUE"""),0.93694222693527)</f>
        <v>0.9369422269</v>
      </c>
      <c r="AG4022" s="82">
        <f>IFERROR(__xludf.DUMMYFUNCTION("""COMPUTED_VALUE"""),1.0470241904323554)</f>
        <v>1.04702419</v>
      </c>
      <c r="AH4022" s="82">
        <f>IFERROR(__xludf.DUMMYFUNCTION("""COMPUTED_VALUE"""),0.8669366836354199)</f>
        <v>0.8669366836</v>
      </c>
      <c r="AI4022" s="82">
        <f>IFERROR(__xludf.DUMMYFUNCTION("""COMPUTED_VALUE"""),1.0556179058510815)</f>
        <v>1.055617906</v>
      </c>
      <c r="AJ4022" s="82">
        <f>IFERROR(__xludf.DUMMYFUNCTION("""COMPUTED_VALUE"""),1.1132765458465477)</f>
        <v>1.113276546</v>
      </c>
      <c r="AK4022" s="82">
        <f>IFERROR(__xludf.DUMMYFUNCTION("""COMPUTED_VALUE"""),1.106780814657893)</f>
        <v>1.106780815</v>
      </c>
      <c r="AL4022" s="82">
        <f>IFERROR(__xludf.DUMMYFUNCTION("""COMPUTED_VALUE"""),1.086796545064351)</f>
        <v>1.086796545</v>
      </c>
      <c r="AM4022" s="82">
        <f>IFERROR(__xludf.DUMMYFUNCTION("""COMPUTED_VALUE"""),1.0463797920563593)</f>
        <v>1.046379792</v>
      </c>
      <c r="AN4022" s="82">
        <f>IFERROR(__xludf.DUMMYFUNCTION("""COMPUTED_VALUE"""),0.996911481843482)</f>
        <v>0.9969114818</v>
      </c>
      <c r="AO4022" s="82">
        <f>IFERROR(__xludf.DUMMYFUNCTION("""COMPUTED_VALUE"""),0.8460602343378613)</f>
        <v>0.8460602343</v>
      </c>
      <c r="AP4022" s="82">
        <f>IFERROR(__xludf.DUMMYFUNCTION("""COMPUTED_VALUE"""),0.8838255522830306)</f>
        <v>0.8838255523</v>
      </c>
      <c r="AQ4022" s="82">
        <f>IFERROR(__xludf.DUMMYFUNCTION("""COMPUTED_VALUE"""),1.123652150748783)</f>
        <v>1.123652151</v>
      </c>
      <c r="AR4022" s="82">
        <f>IFERROR(__xludf.DUMMYFUNCTION("""COMPUTED_VALUE"""),0.9126905520188976)</f>
        <v>0.912690552</v>
      </c>
      <c r="AS4022" s="82">
        <f>IFERROR(__xludf.DUMMYFUNCTION("""COMPUTED_VALUE"""),142.0)</f>
        <v>142</v>
      </c>
      <c r="AT4022" s="82">
        <f>IFERROR(__xludf.DUMMYFUNCTION("""COMPUTED_VALUE"""),0.6721206230938511)</f>
        <v>0.6721206231</v>
      </c>
      <c r="AU4022" s="82">
        <f>IFERROR(__xludf.DUMMYFUNCTION("""COMPUTED_VALUE"""),1.388647932622963)</f>
        <v>1.388647933</v>
      </c>
      <c r="AV4022" s="82">
        <f>IFERROR(__xludf.DUMMYFUNCTION("""COMPUTED_VALUE"""),44.584033383035184)</f>
        <v>44.58403338</v>
      </c>
      <c r="AW4022" s="82">
        <f t="shared" si="1"/>
        <v>-2.414030487</v>
      </c>
      <c r="AX4022" s="83">
        <f t="array" ref="AX4022">IFERROR(DGET('SBV Import'!A:G,"SBV",{"RSC ID","Tier";B4022,A4022}))</f>
        <v>39.07594676</v>
      </c>
      <c r="AY4022" s="82">
        <f t="shared" si="2"/>
        <v>-3.020514674</v>
      </c>
      <c r="AZ4022" s="82">
        <v>0.6064841872604334</v>
      </c>
      <c r="BA4022" s="84">
        <v>4000.0</v>
      </c>
      <c r="BB4022" s="84" t="b">
        <f>IFERROR(__xludf.DUMMYFUNCTION("iferror(if(A4022="""",,E4022&gt;=FILTER(Constants!$F$2:$F$10,Constants!$A$2:$A$10=A4022)))"),TRUE)</f>
        <v>1</v>
      </c>
    </row>
    <row r="4023">
      <c r="A4023" s="89" t="str">
        <f>IFERROR(__xludf.DUMMYFUNCTION("""COMPUTED_VALUE"""),"Amateur")</f>
        <v>Amateur</v>
      </c>
      <c r="B4023" s="87" t="str">
        <f>IFERROR(__xludf.DUMMYFUNCTION("""COMPUTED_VALUE"""),"RSC005925")</f>
        <v>RSC005925</v>
      </c>
      <c r="C4023" s="73" t="str">
        <f>IFERROR(__xludf.DUMMYFUNCTION("""COMPUTED_VALUE"""),"Emily26210")</f>
        <v>Emily26210</v>
      </c>
      <c r="D4023" s="73" t="str">
        <f>IFERROR(__xludf.DUMMYFUNCTION("""COMPUTED_VALUE"""),"Kiwis")</f>
        <v>Kiwis</v>
      </c>
      <c r="E4023" s="82">
        <f>IFERROR(__xludf.DUMMYFUNCTION("""COMPUTED_VALUE"""),31.0)</f>
        <v>31</v>
      </c>
      <c r="F4023" s="82">
        <f>IFERROR(__xludf.DUMMYFUNCTION("""COMPUTED_VALUE"""),7.0)</f>
        <v>7</v>
      </c>
      <c r="G4023" s="86">
        <f>IFERROR(__xludf.DUMMYFUNCTION("""COMPUTED_VALUE"""),24.0)</f>
        <v>24</v>
      </c>
      <c r="H4023" s="86">
        <f>IFERROR(__xludf.DUMMYFUNCTION("""COMPUTED_VALUE"""),0.22580645161290322)</f>
        <v>0.2258064516</v>
      </c>
      <c r="I4023" s="86">
        <f>IFERROR(__xludf.DUMMYFUNCTION("""COMPUTED_VALUE"""),0.29333333333333333)</f>
        <v>0.2933333333</v>
      </c>
      <c r="J4023" s="82">
        <f>IFERROR(__xludf.DUMMYFUNCTION("""COMPUTED_VALUE"""),306.93548387096774)</f>
        <v>306.9354839</v>
      </c>
      <c r="K4023" s="82">
        <f>IFERROR(__xludf.DUMMYFUNCTION("""COMPUTED_VALUE"""),0.7096774193548387)</f>
        <v>0.7096774194</v>
      </c>
      <c r="L4023" s="82">
        <f>IFERROR(__xludf.DUMMYFUNCTION("""COMPUTED_VALUE"""),0.3548387096774194)</f>
        <v>0.3548387097</v>
      </c>
      <c r="M4023" s="82">
        <f>IFERROR(__xludf.DUMMYFUNCTION("""COMPUTED_VALUE"""),1.1612903225806452)</f>
        <v>1.161290323</v>
      </c>
      <c r="N4023" s="82">
        <f>IFERROR(__xludf.DUMMYFUNCTION("""COMPUTED_VALUE"""),2.4193548387096775)</f>
        <v>2.419354839</v>
      </c>
      <c r="O4023" s="82">
        <f>IFERROR(__xludf.DUMMYFUNCTION("""COMPUTED_VALUE"""),346.7069892473119)</f>
        <v>346.7069892</v>
      </c>
      <c r="P4023" s="82">
        <f>IFERROR(__xludf.DUMMYFUNCTION("""COMPUTED_VALUE"""),1.1532258064516125)</f>
        <v>1.153225806</v>
      </c>
      <c r="Q4023" s="82">
        <f>IFERROR(__xludf.DUMMYFUNCTION("""COMPUTED_VALUE"""),0.6451612903225805)</f>
        <v>0.6451612903</v>
      </c>
      <c r="R4023" s="82">
        <f>IFERROR(__xludf.DUMMYFUNCTION("""COMPUTED_VALUE"""),0.8494623655913982)</f>
        <v>0.8494623656</v>
      </c>
      <c r="S4023" s="82">
        <f>IFERROR(__xludf.DUMMYFUNCTION("""COMPUTED_VALUE"""),2.4999999999999996)</f>
        <v>2.5</v>
      </c>
      <c r="T4023" s="82">
        <f>IFERROR(__xludf.DUMMYFUNCTION("""COMPUTED_VALUE"""),293.1427623197593)</f>
        <v>293.1427623</v>
      </c>
      <c r="U4023" s="82">
        <f>IFERROR(__xludf.DUMMYFUNCTION("""COMPUTED_VALUE"""),0.8146067934288945)</f>
        <v>0.8146067934</v>
      </c>
      <c r="V4023" s="82">
        <f>IFERROR(__xludf.DUMMYFUNCTION("""COMPUTED_VALUE"""),0.4216487194594151)</f>
        <v>0.4216487195</v>
      </c>
      <c r="W4023" s="82">
        <f>IFERROR(__xludf.DUMMYFUNCTION("""COMPUTED_VALUE"""),0.8231507495917525)</f>
        <v>0.8231507496</v>
      </c>
      <c r="X4023" s="82">
        <f>IFERROR(__xludf.DUMMYFUNCTION("""COMPUTED_VALUE"""),2.054609525698669)</f>
        <v>2.054609526</v>
      </c>
      <c r="Y4023" s="82">
        <f>IFERROR(__xludf.DUMMYFUNCTION("""COMPUTED_VALUE"""),291.0146477130986)</f>
        <v>291.0146477</v>
      </c>
      <c r="Z4023" s="82">
        <f>IFERROR(__xludf.DUMMYFUNCTION("""COMPUTED_VALUE"""),0.7637239021906919)</f>
        <v>0.7637239022</v>
      </c>
      <c r="AA4023" s="82">
        <f>IFERROR(__xludf.DUMMYFUNCTION("""COMPUTED_VALUE"""),0.428973158238442)</f>
        <v>0.4289731582</v>
      </c>
      <c r="AB4023" s="82">
        <f>IFERROR(__xludf.DUMMYFUNCTION("""COMPUTED_VALUE"""),0.8545688124214712)</f>
        <v>0.8545688124</v>
      </c>
      <c r="AC4023" s="82">
        <f>IFERROR(__xludf.DUMMYFUNCTION("""COMPUTED_VALUE"""),2.008188292187378)</f>
        <v>2.008188292</v>
      </c>
      <c r="AD4023" s="82">
        <f>IFERROR(__xludf.DUMMYFUNCTION("""COMPUTED_VALUE"""),1.0547080234035675)</f>
        <v>1.054708023</v>
      </c>
      <c r="AE4023" s="82">
        <f>IFERROR(__xludf.DUMMYFUNCTION("""COMPUTED_VALUE"""),0.929232956202072)</f>
        <v>0.9292329562</v>
      </c>
      <c r="AF4023" s="82">
        <f>IFERROR(__xludf.DUMMYFUNCTION("""COMPUTED_VALUE"""),0.8271816146598723)</f>
        <v>0.8271816147</v>
      </c>
      <c r="AG4023" s="82">
        <f>IFERROR(__xludf.DUMMYFUNCTION("""COMPUTED_VALUE"""),1.3589196161863906)</f>
        <v>1.358919616</v>
      </c>
      <c r="AH4023" s="82">
        <f>IFERROR(__xludf.DUMMYFUNCTION("""COMPUTED_VALUE"""),1.2047450172485792)</f>
        <v>1.204745017</v>
      </c>
      <c r="AI4023" s="82">
        <f>IFERROR(__xludf.DUMMYFUNCTION("""COMPUTED_VALUE"""),1.182724030106276)</f>
        <v>1.18272403</v>
      </c>
      <c r="AJ4023" s="82">
        <f>IFERROR(__xludf.DUMMYFUNCTION("""COMPUTED_VALUE"""),1.4156840033181917)</f>
        <v>1.415684003</v>
      </c>
      <c r="AK4023" s="82">
        <f>IFERROR(__xludf.DUMMYFUNCTION("""COMPUTED_VALUE"""),1.5300919000767395)</f>
        <v>1.5300919</v>
      </c>
      <c r="AL4023" s="82">
        <f>IFERROR(__xludf.DUMMYFUNCTION("""COMPUTED_VALUE"""),1.0319645168429903)</f>
        <v>1.031964517</v>
      </c>
      <c r="AM4023" s="82">
        <f>IFERROR(__xludf.DUMMYFUNCTION("""COMPUTED_VALUE"""),1.2167762140350613)</f>
        <v>1.216776214</v>
      </c>
      <c r="AN4023" s="82">
        <f>IFERROR(__xludf.DUMMYFUNCTION("""COMPUTED_VALUE"""),1.1049899692494163)</f>
        <v>1.104989969</v>
      </c>
      <c r="AO4023" s="82">
        <f>IFERROR(__xludf.DUMMYFUNCTION("""COMPUTED_VALUE"""),0.9552292968330693)</f>
        <v>0.9552292968</v>
      </c>
      <c r="AP4023" s="82">
        <f>IFERROR(__xludf.DUMMYFUNCTION("""COMPUTED_VALUE"""),0.8443494730247315)</f>
        <v>0.844349473</v>
      </c>
      <c r="AQ4023" s="82">
        <f>IFERROR(__xludf.DUMMYFUNCTION("""COMPUTED_VALUE"""),1.4732588032710374)</f>
        <v>1.473258803</v>
      </c>
      <c r="AR4023" s="82">
        <f>IFERROR(__xludf.DUMMYFUNCTION("""COMPUTED_VALUE"""),1.2669554199098922)</f>
        <v>1.26695542</v>
      </c>
      <c r="AS4023" s="82">
        <f>IFERROR(__xludf.DUMMYFUNCTION("""COMPUTED_VALUE"""),136.0)</f>
        <v>136</v>
      </c>
      <c r="AT4023" s="82">
        <f>IFERROR(__xludf.DUMMYFUNCTION("""COMPUTED_VALUE"""),0.6056274571601609)</f>
        <v>0.6056274572</v>
      </c>
      <c r="AU4023" s="82">
        <f>IFERROR(__xludf.DUMMYFUNCTION("""COMPUTED_VALUE"""),1.3764108473829115)</f>
        <v>1.376410847</v>
      </c>
      <c r="AV4023" s="82">
        <f>IFERROR(__xludf.DUMMYFUNCTION("""COMPUTED_VALUE"""),44.33382014189521)</f>
        <v>44.33382014</v>
      </c>
      <c r="AW4023" s="82">
        <f t="shared" si="1"/>
        <v>-2.43694974</v>
      </c>
      <c r="AX4023" s="83">
        <f t="array" ref="AX4023">IFERROR(DGET('SBV Import'!A:G,"SBV",{"RSC ID","Tier";B4023,A4023}))</f>
        <v>49.05084545</v>
      </c>
      <c r="AY4023" s="82">
        <f t="shared" si="2"/>
        <v>-2.062462405</v>
      </c>
      <c r="AZ4023" s="82">
        <v>0.37448733430464776</v>
      </c>
      <c r="BA4023" s="84">
        <v>4000.0</v>
      </c>
      <c r="BB4023" s="84" t="b">
        <f>IFERROR(__xludf.DUMMYFUNCTION("iferror(if(A4023="""",,E4023&gt;=FILTER(Constants!$F$2:$F$10,Constants!$A$2:$A$10=A4023)))"),TRUE)</f>
        <v>1</v>
      </c>
    </row>
    <row r="4024">
      <c r="A4024" s="89" t="str">
        <f>IFERROR(__xludf.DUMMYFUNCTION("""COMPUTED_VALUE"""),"Amateur")</f>
        <v>Amateur</v>
      </c>
      <c r="B4024" s="87" t="str">
        <f>IFERROR(__xludf.DUMMYFUNCTION("""COMPUTED_VALUE"""),"RSC007875")</f>
        <v>RSC007875</v>
      </c>
      <c r="C4024" s="73" t="str">
        <f>IFERROR(__xludf.DUMMYFUNCTION("""COMPUTED_VALUE"""),"Flying__ferret")</f>
        <v>Flying__ferret</v>
      </c>
      <c r="D4024" s="73" t="str">
        <f>IFERROR(__xludf.DUMMYFUNCTION("""COMPUTED_VALUE"""),"Winter Fresh")</f>
        <v>Winter Fresh</v>
      </c>
      <c r="E4024" s="82">
        <f>IFERROR(__xludf.DUMMYFUNCTION("""COMPUTED_VALUE"""),31.0)</f>
        <v>31</v>
      </c>
      <c r="F4024" s="82">
        <f>IFERROR(__xludf.DUMMYFUNCTION("""COMPUTED_VALUE"""),12.0)</f>
        <v>12</v>
      </c>
      <c r="G4024" s="86">
        <f>IFERROR(__xludf.DUMMYFUNCTION("""COMPUTED_VALUE"""),19.0)</f>
        <v>19</v>
      </c>
      <c r="H4024" s="86">
        <f>IFERROR(__xludf.DUMMYFUNCTION("""COMPUTED_VALUE"""),0.3870967741935484)</f>
        <v>0.3870967742</v>
      </c>
      <c r="I4024" s="86">
        <f>IFERROR(__xludf.DUMMYFUNCTION("""COMPUTED_VALUE"""),0.32758620689655177)</f>
        <v>0.3275862069</v>
      </c>
      <c r="J4024" s="82">
        <f>IFERROR(__xludf.DUMMYFUNCTION("""COMPUTED_VALUE"""),269.4516129032258)</f>
        <v>269.4516129</v>
      </c>
      <c r="K4024" s="82">
        <f>IFERROR(__xludf.DUMMYFUNCTION("""COMPUTED_VALUE"""),0.6129032258064516)</f>
        <v>0.6129032258</v>
      </c>
      <c r="L4024" s="82">
        <f>IFERROR(__xludf.DUMMYFUNCTION("""COMPUTED_VALUE"""),0.5161290322580645)</f>
        <v>0.5161290323</v>
      </c>
      <c r="M4024" s="82">
        <f>IFERROR(__xludf.DUMMYFUNCTION("""COMPUTED_VALUE"""),0.8709677419354839)</f>
        <v>0.8709677419</v>
      </c>
      <c r="N4024" s="82">
        <f>IFERROR(__xludf.DUMMYFUNCTION("""COMPUTED_VALUE"""),1.8709677419354838)</f>
        <v>1.870967742</v>
      </c>
      <c r="O4024" s="82">
        <f>IFERROR(__xludf.DUMMYFUNCTION("""COMPUTED_VALUE"""),328.9032258064516)</f>
        <v>328.9032258</v>
      </c>
      <c r="P4024" s="82">
        <f>IFERROR(__xludf.DUMMYFUNCTION("""COMPUTED_VALUE"""),1.010752688172043)</f>
        <v>1.010752688</v>
      </c>
      <c r="Q4024" s="82">
        <f>IFERROR(__xludf.DUMMYFUNCTION("""COMPUTED_VALUE"""),0.6881720430107525)</f>
        <v>0.688172043</v>
      </c>
      <c r="R4024" s="82">
        <f>IFERROR(__xludf.DUMMYFUNCTION("""COMPUTED_VALUE"""),0.8494623655913979)</f>
        <v>0.8494623656</v>
      </c>
      <c r="S4024" s="82">
        <f>IFERROR(__xludf.DUMMYFUNCTION("""COMPUTED_VALUE"""),2.258064516129033)</f>
        <v>2.258064516</v>
      </c>
      <c r="T4024" s="82">
        <f>IFERROR(__xludf.DUMMYFUNCTION("""COMPUTED_VALUE"""),301.0478192436625)</f>
        <v>301.0478192</v>
      </c>
      <c r="U4024" s="82">
        <f>IFERROR(__xludf.DUMMYFUNCTION("""COMPUTED_VALUE"""),0.8345179024958497)</f>
        <v>0.8345179025</v>
      </c>
      <c r="V4024" s="82">
        <f>IFERROR(__xludf.DUMMYFUNCTION("""COMPUTED_VALUE"""),0.4550801103288611)</f>
        <v>0.4550801103</v>
      </c>
      <c r="W4024" s="82">
        <f>IFERROR(__xludf.DUMMYFUNCTION("""COMPUTED_VALUE"""),0.8572527234926979)</f>
        <v>0.8572527235</v>
      </c>
      <c r="X4024" s="82">
        <f>IFERROR(__xludf.DUMMYFUNCTION("""COMPUTED_VALUE"""),2.047713478477477)</f>
        <v>2.047713478</v>
      </c>
      <c r="Y4024" s="82">
        <f>IFERROR(__xludf.DUMMYFUNCTION("""COMPUTED_VALUE"""),290.5865796995714)</f>
        <v>290.5865797</v>
      </c>
      <c r="Z4024" s="82">
        <f>IFERROR(__xludf.DUMMYFUNCTION("""COMPUTED_VALUE"""),0.7593163585479327)</f>
        <v>0.7593163585</v>
      </c>
      <c r="AA4024" s="82">
        <f>IFERROR(__xludf.DUMMYFUNCTION("""COMPUTED_VALUE"""),0.41225334937212366)</f>
        <v>0.4122533494</v>
      </c>
      <c r="AB4024" s="82">
        <f>IFERROR(__xludf.DUMMYFUNCTION("""COMPUTED_VALUE"""),0.85539741333374)</f>
        <v>0.8553974133</v>
      </c>
      <c r="AC4024" s="82">
        <f>IFERROR(__xludf.DUMMYFUNCTION("""COMPUTED_VALUE"""),2.0210295743597144)</f>
        <v>2.021029574</v>
      </c>
      <c r="AD4024" s="82">
        <f>IFERROR(__xludf.DUMMYFUNCTION("""COMPUTED_VALUE"""),0.9272679185040258)</f>
        <v>0.9272679185</v>
      </c>
      <c r="AE4024" s="82">
        <f>IFERROR(__xludf.DUMMYFUNCTION("""COMPUTED_VALUE"""),0.8071776920209226)</f>
        <v>0.807177692</v>
      </c>
      <c r="AF4024" s="82">
        <f>IFERROR(__xludf.DUMMYFUNCTION("""COMPUTED_VALUE"""),1.251970500771303)</f>
        <v>1.251970501</v>
      </c>
      <c r="AG4024" s="82">
        <f>IFERROR(__xludf.DUMMYFUNCTION("""COMPUTED_VALUE"""),1.0182024499478688)</f>
        <v>1.01820245</v>
      </c>
      <c r="AH4024" s="82">
        <f>IFERROR(__xludf.DUMMYFUNCTION("""COMPUTED_VALUE"""),0.925749808746974)</f>
        <v>0.9257498087</v>
      </c>
      <c r="AI4024" s="82">
        <f>IFERROR(__xludf.DUMMYFUNCTION("""COMPUTED_VALUE"""),1.0925281791868535)</f>
        <v>1.092528179</v>
      </c>
      <c r="AJ4024" s="82">
        <f>IFERROR(__xludf.DUMMYFUNCTION("""COMPUTED_VALUE"""),1.2111815518266487)</f>
        <v>1.211181552</v>
      </c>
      <c r="AK4024" s="82">
        <f>IFERROR(__xludf.DUMMYFUNCTION("""COMPUTED_VALUE"""),1.5121997806352137)</f>
        <v>1.512199781</v>
      </c>
      <c r="AL4024" s="82">
        <f>IFERROR(__xludf.DUMMYFUNCTION("""COMPUTED_VALUE"""),0.9909124139383777)</f>
        <v>0.9909124139</v>
      </c>
      <c r="AM4024" s="82">
        <f>IFERROR(__xludf.DUMMYFUNCTION("""COMPUTED_VALUE"""),1.1027248391254214)</f>
        <v>1.102724839</v>
      </c>
      <c r="AN4024" s="82">
        <f>IFERROR(__xludf.DUMMYFUNCTION("""COMPUTED_VALUE"""),0.9700453193000917)</f>
        <v>0.9700453193</v>
      </c>
      <c r="AO4024" s="82">
        <f>IFERROR(__xludf.DUMMYFUNCTION("""COMPUTED_VALUE"""),0.8249707563558325)</f>
        <v>0.8249707564</v>
      </c>
      <c r="AP4024" s="82">
        <f>IFERROR(__xludf.DUMMYFUNCTION("""COMPUTED_VALUE"""),1.228144688035973)</f>
        <v>1.228144688</v>
      </c>
      <c r="AQ4024" s="82">
        <f>IFERROR(__xludf.DUMMYFUNCTION("""COMPUTED_VALUE"""),1.104944102453278)</f>
        <v>1.104944102</v>
      </c>
      <c r="AR4024" s="82">
        <f>IFERROR(__xludf.DUMMYFUNCTION("""COMPUTED_VALUE"""),0.97977885806365)</f>
        <v>0.9797788581</v>
      </c>
      <c r="AS4024" s="82">
        <f>IFERROR(__xludf.DUMMYFUNCTION("""COMPUTED_VALUE"""),194.0)</f>
        <v>194</v>
      </c>
      <c r="AT4024" s="82">
        <f>IFERROR(__xludf.DUMMYFUNCTION("""COMPUTED_VALUE"""),0.797982038107352)</f>
        <v>0.7979820381</v>
      </c>
      <c r="AU4024" s="82">
        <f>IFERROR(__xludf.DUMMYFUNCTION("""COMPUTED_VALUE"""),1.3762252469170033)</f>
        <v>1.376225247</v>
      </c>
      <c r="AV4024" s="82">
        <f>IFERROR(__xludf.DUMMYFUNCTION("""COMPUTED_VALUE"""),44.33002514551977)</f>
        <v>44.33002515</v>
      </c>
      <c r="AW4024" s="82">
        <f t="shared" si="1"/>
        <v>-2.43730031</v>
      </c>
      <c r="AX4024" s="83">
        <f t="array" ref="AX4024">IFERROR(DGET('SBV Import'!A:G,"SBV",{"RSC ID","Tier";B4024,A4024}))</f>
        <v>41.51975856</v>
      </c>
      <c r="AY4024" s="82">
        <f t="shared" si="2"/>
        <v>-2.723119495</v>
      </c>
      <c r="AZ4024" s="82">
        <v>0.2858191853413814</v>
      </c>
      <c r="BA4024" s="84">
        <v>4000.0</v>
      </c>
      <c r="BB4024" s="84" t="b">
        <f>IFERROR(__xludf.DUMMYFUNCTION("iferror(if(A4024="""",,E4024&gt;=FILTER(Constants!$F$2:$F$10,Constants!$A$2:$A$10=A4024)))"),TRUE)</f>
        <v>1</v>
      </c>
    </row>
    <row r="4025">
      <c r="A4025" s="89" t="str">
        <f>IFERROR(__xludf.DUMMYFUNCTION("""COMPUTED_VALUE"""),"Amateur")</f>
        <v>Amateur</v>
      </c>
      <c r="B4025" s="87" t="str">
        <f>IFERROR(__xludf.DUMMYFUNCTION("""COMPUTED_VALUE"""),"RSC007948")</f>
        <v>RSC007948</v>
      </c>
      <c r="C4025" s="73" t="str">
        <f>IFERROR(__xludf.DUMMYFUNCTION("""COMPUTED_VALUE"""),"MasterOfDaTurtle")</f>
        <v>MasterOfDaTurtle</v>
      </c>
      <c r="D4025" s="73" t="str">
        <f>IFERROR(__xludf.DUMMYFUNCTION("""COMPUTED_VALUE"""),"Kiwis")</f>
        <v>Kiwis</v>
      </c>
      <c r="E4025" s="82">
        <f>IFERROR(__xludf.DUMMYFUNCTION("""COMPUTED_VALUE"""),14.0)</f>
        <v>14</v>
      </c>
      <c r="F4025" s="82">
        <f>IFERROR(__xludf.DUMMYFUNCTION("""COMPUTED_VALUE"""),3.0)</f>
        <v>3</v>
      </c>
      <c r="G4025" s="86">
        <f>IFERROR(__xludf.DUMMYFUNCTION("""COMPUTED_VALUE"""),11.0)</f>
        <v>11</v>
      </c>
      <c r="H4025" s="86">
        <f>IFERROR(__xludf.DUMMYFUNCTION("""COMPUTED_VALUE"""),0.21428571428571427)</f>
        <v>0.2142857143</v>
      </c>
      <c r="I4025" s="86">
        <f>IFERROR(__xludf.DUMMYFUNCTION("""COMPUTED_VALUE"""),0.32142857142857145)</f>
        <v>0.3214285714</v>
      </c>
      <c r="J4025" s="82">
        <f>IFERROR(__xludf.DUMMYFUNCTION("""COMPUTED_VALUE"""),257.57142857142856)</f>
        <v>257.5714286</v>
      </c>
      <c r="K4025" s="82">
        <f>IFERROR(__xludf.DUMMYFUNCTION("""COMPUTED_VALUE"""),0.6428571428571429)</f>
        <v>0.6428571429</v>
      </c>
      <c r="L4025" s="82">
        <f>IFERROR(__xludf.DUMMYFUNCTION("""COMPUTED_VALUE"""),0.42857142857142855)</f>
        <v>0.4285714286</v>
      </c>
      <c r="M4025" s="82">
        <f>IFERROR(__xludf.DUMMYFUNCTION("""COMPUTED_VALUE"""),0.35714285714285715)</f>
        <v>0.3571428571</v>
      </c>
      <c r="N4025" s="82">
        <f>IFERROR(__xludf.DUMMYFUNCTION("""COMPUTED_VALUE"""),2.0)</f>
        <v>2</v>
      </c>
      <c r="O4025" s="82">
        <f>IFERROR(__xludf.DUMMYFUNCTION("""COMPUTED_VALUE"""),304.0654761904762)</f>
        <v>304.0654762</v>
      </c>
      <c r="P4025" s="82">
        <f>IFERROR(__xludf.DUMMYFUNCTION("""COMPUTED_VALUE"""),0.9583333333333331)</f>
        <v>0.9583333333</v>
      </c>
      <c r="Q4025" s="82">
        <f>IFERROR(__xludf.DUMMYFUNCTION("""COMPUTED_VALUE"""),0.4404761904761905)</f>
        <v>0.4404761905</v>
      </c>
      <c r="R4025" s="82">
        <f>IFERROR(__xludf.DUMMYFUNCTION("""COMPUTED_VALUE"""),0.8690476190476188)</f>
        <v>0.869047619</v>
      </c>
      <c r="S4025" s="82">
        <f>IFERROR(__xludf.DUMMYFUNCTION("""COMPUTED_VALUE"""),2.0952380952380945)</f>
        <v>2.095238095</v>
      </c>
      <c r="T4025" s="82">
        <f>IFERROR(__xludf.DUMMYFUNCTION("""COMPUTED_VALUE"""),281.3077007668495)</f>
        <v>281.3077008</v>
      </c>
      <c r="U4025" s="82">
        <f>IFERROR(__xludf.DUMMYFUNCTION("""COMPUTED_VALUE"""),0.7460195417365385)</f>
        <v>0.7460195417</v>
      </c>
      <c r="V4025" s="82">
        <f>IFERROR(__xludf.DUMMYFUNCTION("""COMPUTED_VALUE"""),0.37412916290660947)</f>
        <v>0.3741291629</v>
      </c>
      <c r="W4025" s="82">
        <f>IFERROR(__xludf.DUMMYFUNCTION("""COMPUTED_VALUE"""),0.8103822597791154)</f>
        <v>0.8103822598</v>
      </c>
      <c r="X4025" s="82">
        <f>IFERROR(__xludf.DUMMYFUNCTION("""COMPUTED_VALUE"""),1.9420951860705185)</f>
        <v>1.942095186</v>
      </c>
      <c r="Y4025" s="82">
        <f>IFERROR(__xludf.DUMMYFUNCTION("""COMPUTED_VALUE"""),289.9221998205168)</f>
        <v>289.9221998</v>
      </c>
      <c r="Z4025" s="82">
        <f>IFERROR(__xludf.DUMMYFUNCTION("""COMPUTED_VALUE"""),0.789689062602341)</f>
        <v>0.7896890626</v>
      </c>
      <c r="AA4025" s="82">
        <f>IFERROR(__xludf.DUMMYFUNCTION("""COMPUTED_VALUE"""),0.4242756402550159)</f>
        <v>0.4242756403</v>
      </c>
      <c r="AB4025" s="82">
        <f>IFERROR(__xludf.DUMMYFUNCTION("""COMPUTED_VALUE"""),0.8030980074228017)</f>
        <v>0.8030980074</v>
      </c>
      <c r="AC4025" s="82">
        <f>IFERROR(__xludf.DUMMYFUNCTION("""COMPUTED_VALUE"""),2.0330211733330237)</f>
        <v>2.033021173</v>
      </c>
      <c r="AD4025" s="82">
        <f>IFERROR(__xludf.DUMMYFUNCTION("""COMPUTED_VALUE"""),0.888415680934003)</f>
        <v>0.8884156809</v>
      </c>
      <c r="AE4025" s="82">
        <f>IFERROR(__xludf.DUMMYFUNCTION("""COMPUTED_VALUE"""),0.8140636274468229)</f>
        <v>0.8140636274</v>
      </c>
      <c r="AF4025" s="82">
        <f>IFERROR(__xludf.DUMMYFUNCTION("""COMPUTED_VALUE"""),1.0101249940105697)</f>
        <v>1.010124994</v>
      </c>
      <c r="AG4025" s="82">
        <f>IFERROR(__xludf.DUMMYFUNCTION("""COMPUTED_VALUE"""),0.44470644160723777)</f>
        <v>0.4447064416</v>
      </c>
      <c r="AH4025" s="82">
        <f>IFERROR(__xludf.DUMMYFUNCTION("""COMPUTED_VALUE"""),0.9837575851318423)</f>
        <v>0.9837575851</v>
      </c>
      <c r="AI4025" s="82">
        <f>IFERROR(__xludf.DUMMYFUNCTION("""COMPUTED_VALUE"""),1.0808999375473498)</f>
        <v>1.080899938</v>
      </c>
      <c r="AJ4025" s="82">
        <f>IFERROR(__xludf.DUMMYFUNCTION("""COMPUTED_VALUE"""),1.284595482716959)</f>
        <v>1.284595483</v>
      </c>
      <c r="AK4025" s="82">
        <f>IFERROR(__xludf.DUMMYFUNCTION("""COMPUTED_VALUE"""),1.1773372250752414)</f>
        <v>1.177337225</v>
      </c>
      <c r="AL4025" s="82">
        <f>IFERROR(__xludf.DUMMYFUNCTION("""COMPUTED_VALUE"""),1.0723922057283113)</f>
        <v>1.072392206</v>
      </c>
      <c r="AM4025" s="82">
        <f>IFERROR(__xludf.DUMMYFUNCTION("""COMPUTED_VALUE"""),1.078854481626842)</f>
        <v>1.078854482</v>
      </c>
      <c r="AN4025" s="82">
        <f>IFERROR(__xludf.DUMMYFUNCTION("""COMPUTED_VALUE"""),0.9272757953795904)</f>
        <v>0.9272757954</v>
      </c>
      <c r="AO4025" s="82">
        <f>IFERROR(__xludf.DUMMYFUNCTION("""COMPUTED_VALUE"""),0.8652888760273583)</f>
        <v>0.865288876</v>
      </c>
      <c r="AP4025" s="82">
        <f>IFERROR(__xludf.DUMMYFUNCTION("""COMPUTED_VALUE"""),1.0197987141727276)</f>
        <v>1.019798714</v>
      </c>
      <c r="AQ4025" s="82">
        <f>IFERROR(__xludf.DUMMYFUNCTION("""COMPUTED_VALUE"""),0.4530855446567674)</f>
        <v>0.4530855447</v>
      </c>
      <c r="AR4025" s="82">
        <f>IFERROR(__xludf.DUMMYFUNCTION("""COMPUTED_VALUE"""),1.0473498137921775)</f>
        <v>1.047349814</v>
      </c>
      <c r="AS4025" s="82">
        <f>IFERROR(__xludf.DUMMYFUNCTION("""COMPUTED_VALUE"""),82.0)</f>
        <v>82</v>
      </c>
      <c r="AT4025" s="82">
        <f>IFERROR(__xludf.DUMMYFUNCTION("""COMPUTED_VALUE"""),0.790076846643886)</f>
        <v>0.7900768466</v>
      </c>
      <c r="AU4025" s="82">
        <f>IFERROR(__xludf.DUMMYFUNCTION("""COMPUTED_VALUE"""),1.3594944829382285)</f>
        <v>1.359494483</v>
      </c>
      <c r="AV4025" s="82">
        <f>IFERROR(__xludf.DUMMYFUNCTION("""COMPUTED_VALUE"""),43.98792908262926)</f>
        <v>43.98792908</v>
      </c>
      <c r="AW4025" s="82">
        <f t="shared" si="1"/>
        <v>-2.469270035</v>
      </c>
      <c r="AX4025" s="83">
        <f t="array" ref="AX4025">IFERROR(DGET('SBV Import'!A:G,"SBV",{"RSC ID","Tier";B4025,A4025}))</f>
        <v>38.58994435</v>
      </c>
      <c r="AY4025" s="82">
        <f t="shared" si="2"/>
        <v>-3.085939884</v>
      </c>
      <c r="AZ4025" s="82">
        <v>0.6166698480351545</v>
      </c>
      <c r="BA4025" s="84">
        <v>4000.0</v>
      </c>
      <c r="BB4025" s="84" t="b">
        <f>IFERROR(__xludf.DUMMYFUNCTION("iferror(if(A4025="""",,E4025&gt;=FILTER(Constants!$F$2:$F$10,Constants!$A$2:$A$10=A4025)))"),TRUE)</f>
        <v>1</v>
      </c>
    </row>
    <row r="4026">
      <c r="A4026" s="89" t="str">
        <f>IFERROR(__xludf.DUMMYFUNCTION("""COMPUTED_VALUE"""),"Amateur")</f>
        <v>Amateur</v>
      </c>
      <c r="B4026" s="87" t="str">
        <f>IFERROR(__xludf.DUMMYFUNCTION("""COMPUTED_VALUE"""),"RSC007161")</f>
        <v>RSC007161</v>
      </c>
      <c r="C4026" s="73" t="str">
        <f>IFERROR(__xludf.DUMMYFUNCTION("""COMPUTED_VALUE"""),"MrAnderpants")</f>
        <v>MrAnderpants</v>
      </c>
      <c r="D4026" s="73" t="str">
        <f>IFERROR(__xludf.DUMMYFUNCTION("""COMPUTED_VALUE"""),"Aloof Goofs")</f>
        <v>Aloof Goofs</v>
      </c>
      <c r="E4026" s="82">
        <f>IFERROR(__xludf.DUMMYFUNCTION("""COMPUTED_VALUE"""),34.0)</f>
        <v>34</v>
      </c>
      <c r="F4026" s="82">
        <f>IFERROR(__xludf.DUMMYFUNCTION("""COMPUTED_VALUE"""),9.0)</f>
        <v>9</v>
      </c>
      <c r="G4026" s="86">
        <f>IFERROR(__xludf.DUMMYFUNCTION("""COMPUTED_VALUE"""),25.0)</f>
        <v>25</v>
      </c>
      <c r="H4026" s="86">
        <f>IFERROR(__xludf.DUMMYFUNCTION("""COMPUTED_VALUE"""),0.2647058823529412)</f>
        <v>0.2647058824</v>
      </c>
      <c r="I4026" s="86">
        <f>IFERROR(__xludf.DUMMYFUNCTION("""COMPUTED_VALUE"""),0.2222222222222222)</f>
        <v>0.2222222222</v>
      </c>
      <c r="J4026" s="82">
        <f>IFERROR(__xludf.DUMMYFUNCTION("""COMPUTED_VALUE"""),264.2352941176471)</f>
        <v>264.2352941</v>
      </c>
      <c r="K4026" s="82">
        <f>IFERROR(__xludf.DUMMYFUNCTION("""COMPUTED_VALUE"""),0.47058823529411764)</f>
        <v>0.4705882353</v>
      </c>
      <c r="L4026" s="82">
        <f>IFERROR(__xludf.DUMMYFUNCTION("""COMPUTED_VALUE"""),0.2647058823529412)</f>
        <v>0.2647058824</v>
      </c>
      <c r="M4026" s="82">
        <f>IFERROR(__xludf.DUMMYFUNCTION("""COMPUTED_VALUE"""),0.7941176470588235)</f>
        <v>0.7941176471</v>
      </c>
      <c r="N4026" s="82">
        <f>IFERROR(__xludf.DUMMYFUNCTION("""COMPUTED_VALUE"""),2.1176470588235294)</f>
        <v>2.117647059</v>
      </c>
      <c r="O4026" s="82">
        <f>IFERROR(__xludf.DUMMYFUNCTION("""COMPUTED_VALUE"""),318.8431372549019)</f>
        <v>318.8431373</v>
      </c>
      <c r="P4026" s="82">
        <f>IFERROR(__xludf.DUMMYFUNCTION("""COMPUTED_VALUE"""),0.9117647058823533)</f>
        <v>0.9117647059</v>
      </c>
      <c r="Q4026" s="82">
        <f>IFERROR(__xludf.DUMMYFUNCTION("""COMPUTED_VALUE"""),0.519607843137255)</f>
        <v>0.5196078431</v>
      </c>
      <c r="R4026" s="82">
        <f>IFERROR(__xludf.DUMMYFUNCTION("""COMPUTED_VALUE"""),0.9509803921568626)</f>
        <v>0.9509803922</v>
      </c>
      <c r="S4026" s="82">
        <f>IFERROR(__xludf.DUMMYFUNCTION("""COMPUTED_VALUE"""),2.1372549019607843)</f>
        <v>2.137254902</v>
      </c>
      <c r="T4026" s="82">
        <f>IFERROR(__xludf.DUMMYFUNCTION("""COMPUTED_VALUE"""),302.92236609229735)</f>
        <v>302.9223661</v>
      </c>
      <c r="U4026" s="82">
        <f>IFERROR(__xludf.DUMMYFUNCTION("""COMPUTED_VALUE"""),0.8113702215397176)</f>
        <v>0.8113702215</v>
      </c>
      <c r="V4026" s="82">
        <f>IFERROR(__xludf.DUMMYFUNCTION("""COMPUTED_VALUE"""),0.47129119164601657)</f>
        <v>0.4712911916</v>
      </c>
      <c r="W4026" s="82">
        <f>IFERROR(__xludf.DUMMYFUNCTION("""COMPUTED_VALUE"""),0.9149425734174536)</f>
        <v>0.9149425734</v>
      </c>
      <c r="X4026" s="82">
        <f>IFERROR(__xludf.DUMMYFUNCTION("""COMPUTED_VALUE"""),2.0583312307421617)</f>
        <v>2.058331231</v>
      </c>
      <c r="Y4026" s="82">
        <f>IFERROR(__xludf.DUMMYFUNCTION("""COMPUTED_VALUE"""),283.5766889575685)</f>
        <v>283.576689</v>
      </c>
      <c r="Z4026" s="82">
        <f>IFERROR(__xludf.DUMMYFUNCTION("""COMPUTED_VALUE"""),0.7170146374255519)</f>
        <v>0.7170146374</v>
      </c>
      <c r="AA4026" s="82">
        <f>IFERROR(__xludf.DUMMYFUNCTION("""COMPUTED_VALUE"""),0.3948955218484569)</f>
        <v>0.3948955218</v>
      </c>
      <c r="AB4026" s="82">
        <f>IFERROR(__xludf.DUMMYFUNCTION("""COMPUTED_VALUE"""),0.8408075297362084)</f>
        <v>0.8408075297</v>
      </c>
      <c r="AC4026" s="82">
        <f>IFERROR(__xludf.DUMMYFUNCTION("""COMPUTED_VALUE"""),2.0071080574500377)</f>
        <v>2.007108057</v>
      </c>
      <c r="AD4026" s="82">
        <f>IFERROR(__xludf.DUMMYFUNCTION("""COMPUTED_VALUE"""),0.9317948350725843)</f>
        <v>0.9317948351</v>
      </c>
      <c r="AE4026" s="82">
        <f>IFERROR(__xludf.DUMMYFUNCTION("""COMPUTED_VALUE"""),0.6563160788233966)</f>
        <v>0.6563160788</v>
      </c>
      <c r="AF4026" s="82">
        <f>IFERROR(__xludf.DUMMYFUNCTION("""COMPUTED_VALUE"""),0.6703187747328352)</f>
        <v>0.6703187747</v>
      </c>
      <c r="AG4026" s="82">
        <f>IFERROR(__xludf.DUMMYFUNCTION("""COMPUTED_VALUE"""),0.9444701896377721)</f>
        <v>0.9444701896</v>
      </c>
      <c r="AH4026" s="82">
        <f>IFERROR(__xludf.DUMMYFUNCTION("""COMPUTED_VALUE"""),1.0550737669370565)</f>
        <v>1.055073767</v>
      </c>
      <c r="AI4026" s="82">
        <f>IFERROR(__xludf.DUMMYFUNCTION("""COMPUTED_VALUE"""),1.052557265308543)</f>
        <v>1.052557265</v>
      </c>
      <c r="AJ4026" s="82">
        <f>IFERROR(__xludf.DUMMYFUNCTION("""COMPUTED_VALUE"""),1.1237344946578387)</f>
        <v>1.123734495</v>
      </c>
      <c r="AK4026" s="82">
        <f>IFERROR(__xludf.DUMMYFUNCTION("""COMPUTED_VALUE"""),1.1025197422478643)</f>
        <v>1.102519742</v>
      </c>
      <c r="AL4026" s="82">
        <f>IFERROR(__xludf.DUMMYFUNCTION("""COMPUTED_VALUE"""),1.0393880662966661)</f>
        <v>1.039388066</v>
      </c>
      <c r="AM4026" s="82">
        <f>IFERROR(__xludf.DUMMYFUNCTION("""COMPUTED_VALUE"""),1.0383435231608305)</f>
        <v>1.038343523</v>
      </c>
      <c r="AN4026" s="82">
        <f>IFERROR(__xludf.DUMMYFUNCTION("""COMPUTED_VALUE"""),0.9512661939224117)</f>
        <v>0.9512661939</v>
      </c>
      <c r="AO4026" s="82">
        <f>IFERROR(__xludf.DUMMYFUNCTION("""COMPUTED_VALUE"""),0.6334140791834256)</f>
        <v>0.6334140792</v>
      </c>
      <c r="AP4026" s="82">
        <f>IFERROR(__xludf.DUMMYFUNCTION("""COMPUTED_VALUE"""),0.6298756764008023)</f>
        <v>0.6298756764</v>
      </c>
      <c r="AQ4026" s="82">
        <f>IFERROR(__xludf.DUMMYFUNCTION("""COMPUTED_VALUE"""),1.0074490345897533)</f>
        <v>1.007449035</v>
      </c>
      <c r="AR4026" s="82">
        <f>IFERROR(__xludf.DUMMYFUNCTION("""COMPUTED_VALUE"""),1.108958626368188)</f>
        <v>1.108958626</v>
      </c>
      <c r="AS4026" s="82">
        <f>IFERROR(__xludf.DUMMYFUNCTION("""COMPUTED_VALUE"""),137.0)</f>
        <v>137</v>
      </c>
      <c r="AT4026" s="82">
        <f>IFERROR(__xludf.DUMMYFUNCTION("""COMPUTED_VALUE"""),0.661622525721359)</f>
        <v>0.6616225257</v>
      </c>
      <c r="AU4026" s="82">
        <f>IFERROR(__xludf.DUMMYFUNCTION("""COMPUTED_VALUE"""),1.1181534913674787)</f>
        <v>1.118153491</v>
      </c>
      <c r="AV4026" s="82">
        <f>IFERROR(__xludf.DUMMYFUNCTION("""COMPUTED_VALUE"""),39.05319907656465)</f>
        <v>39.05319908</v>
      </c>
      <c r="AW4026" s="82">
        <f t="shared" si="1"/>
        <v>-3.023527364</v>
      </c>
      <c r="AX4026" s="83">
        <f t="array" ref="AX4026">IFERROR(DGET('SBV Import'!A:G,"SBV",{"RSC ID","Tier";B4026,A4026}))</f>
        <v>35.8870521</v>
      </c>
      <c r="AY4026" s="82">
        <f t="shared" si="2"/>
        <v>-3.494049656</v>
      </c>
      <c r="AZ4026" s="82">
        <v>0.47052229187481664</v>
      </c>
      <c r="BA4026" s="84">
        <v>4000.0</v>
      </c>
      <c r="BB4026" s="84" t="b">
        <f>IFERROR(__xludf.DUMMYFUNCTION("iferror(if(A4026="""",,E4026&gt;=FILTER(Constants!$F$2:$F$10,Constants!$A$2:$A$10=A4026)))"),TRUE)</f>
        <v>1</v>
      </c>
    </row>
    <row r="4027">
      <c r="A4027" s="89" t="str">
        <f>IFERROR(__xludf.DUMMYFUNCTION("""COMPUTED_VALUE"""),"Amateur")</f>
        <v>Amateur</v>
      </c>
      <c r="B4027" s="87" t="str">
        <f>IFERROR(__xludf.DUMMYFUNCTION("""COMPUTED_VALUE"""),"RSC007573")</f>
        <v>RSC007573</v>
      </c>
      <c r="C4027" s="73" t="str">
        <f>IFERROR(__xludf.DUMMYFUNCTION("""COMPUTED_VALUE"""),"zag_42")</f>
        <v>zag_42</v>
      </c>
      <c r="D4027" s="73" t="str">
        <f>IFERROR(__xludf.DUMMYFUNCTION("""COMPUTED_VALUE"""),"Amaranth")</f>
        <v>Amaranth</v>
      </c>
      <c r="E4027" s="82">
        <f>IFERROR(__xludf.DUMMYFUNCTION("""COMPUTED_VALUE"""),26.0)</f>
        <v>26</v>
      </c>
      <c r="F4027" s="82">
        <f>IFERROR(__xludf.DUMMYFUNCTION("""COMPUTED_VALUE"""),12.0)</f>
        <v>12</v>
      </c>
      <c r="G4027" s="86">
        <f>IFERROR(__xludf.DUMMYFUNCTION("""COMPUTED_VALUE"""),14.0)</f>
        <v>14</v>
      </c>
      <c r="H4027" s="86">
        <f>IFERROR(__xludf.DUMMYFUNCTION("""COMPUTED_VALUE"""),0.46153846153846156)</f>
        <v>0.4615384615</v>
      </c>
      <c r="I4027" s="86">
        <f>IFERROR(__xludf.DUMMYFUNCTION("""COMPUTED_VALUE"""),0.4285714285714285)</f>
        <v>0.4285714286</v>
      </c>
      <c r="J4027" s="82">
        <f>IFERROR(__xludf.DUMMYFUNCTION("""COMPUTED_VALUE"""),216.34615384615384)</f>
        <v>216.3461538</v>
      </c>
      <c r="K4027" s="82">
        <f>IFERROR(__xludf.DUMMYFUNCTION("""COMPUTED_VALUE"""),0.5769230769230769)</f>
        <v>0.5769230769</v>
      </c>
      <c r="L4027" s="82">
        <f>IFERROR(__xludf.DUMMYFUNCTION("""COMPUTED_VALUE"""),0.3076923076923077)</f>
        <v>0.3076923077</v>
      </c>
      <c r="M4027" s="82">
        <f>IFERROR(__xludf.DUMMYFUNCTION("""COMPUTED_VALUE"""),0.5769230769230769)</f>
        <v>0.5769230769</v>
      </c>
      <c r="N4027" s="82">
        <f>IFERROR(__xludf.DUMMYFUNCTION("""COMPUTED_VALUE"""),1.3461538461538463)</f>
        <v>1.346153846</v>
      </c>
      <c r="O4027" s="82">
        <f>IFERROR(__xludf.DUMMYFUNCTION("""COMPUTED_VALUE"""),284.474358974359)</f>
        <v>284.474359</v>
      </c>
      <c r="P4027" s="82">
        <f>IFERROR(__xludf.DUMMYFUNCTION("""COMPUTED_VALUE"""),0.6602564102564101)</f>
        <v>0.6602564103</v>
      </c>
      <c r="Q4027" s="82">
        <f>IFERROR(__xludf.DUMMYFUNCTION("""COMPUTED_VALUE"""),0.3653846153846153)</f>
        <v>0.3653846154</v>
      </c>
      <c r="R4027" s="82">
        <f>IFERROR(__xludf.DUMMYFUNCTION("""COMPUTED_VALUE"""),0.9294871794871796)</f>
        <v>0.9294871795</v>
      </c>
      <c r="S4027" s="82">
        <f>IFERROR(__xludf.DUMMYFUNCTION("""COMPUTED_VALUE"""),1.9871794871794868)</f>
        <v>1.987179487</v>
      </c>
      <c r="T4027" s="82">
        <f>IFERROR(__xludf.DUMMYFUNCTION("""COMPUTED_VALUE"""),279.7284746517099)</f>
        <v>279.7284747</v>
      </c>
      <c r="U4027" s="82">
        <f>IFERROR(__xludf.DUMMYFUNCTION("""COMPUTED_VALUE"""),0.73418805928768)</f>
        <v>0.7341880593</v>
      </c>
      <c r="V4027" s="82">
        <f>IFERROR(__xludf.DUMMYFUNCTION("""COMPUTED_VALUE"""),0.41182051757715893)</f>
        <v>0.4118205176</v>
      </c>
      <c r="W4027" s="82">
        <f>IFERROR(__xludf.DUMMYFUNCTION("""COMPUTED_VALUE"""),0.8619055836109916)</f>
        <v>0.8619055836</v>
      </c>
      <c r="X4027" s="82">
        <f>IFERROR(__xludf.DUMMYFUNCTION("""COMPUTED_VALUE"""),1.887908035372456)</f>
        <v>1.887908035</v>
      </c>
      <c r="Y4027" s="82">
        <f>IFERROR(__xludf.DUMMYFUNCTION("""COMPUTED_VALUE"""),304.7830685432034)</f>
        <v>304.7830685</v>
      </c>
      <c r="Z4027" s="82">
        <f>IFERROR(__xludf.DUMMYFUNCTION("""COMPUTED_VALUE"""),0.8708147111807771)</f>
        <v>0.8708147112</v>
      </c>
      <c r="AA4027" s="82">
        <f>IFERROR(__xludf.DUMMYFUNCTION("""COMPUTED_VALUE"""),0.5162573360296319)</f>
        <v>0.516257336</v>
      </c>
      <c r="AB4027" s="82">
        <f>IFERROR(__xludf.DUMMYFUNCTION("""COMPUTED_VALUE"""),0.8032364895248357)</f>
        <v>0.8032364895</v>
      </c>
      <c r="AC4027" s="82">
        <f>IFERROR(__xludf.DUMMYFUNCTION("""COMPUTED_VALUE"""),2.1780107021963446)</f>
        <v>2.178010702</v>
      </c>
      <c r="AD4027" s="82">
        <f>IFERROR(__xludf.DUMMYFUNCTION("""COMPUTED_VALUE"""),0.7098365236633428)</f>
        <v>0.7098365237</v>
      </c>
      <c r="AE4027" s="82">
        <f>IFERROR(__xludf.DUMMYFUNCTION("""COMPUTED_VALUE"""),0.6625095666342162)</f>
        <v>0.6625095666</v>
      </c>
      <c r="AF4027" s="82">
        <f>IFERROR(__xludf.DUMMYFUNCTION("""COMPUTED_VALUE"""),0.5960056859601641)</f>
        <v>0.596005686</v>
      </c>
      <c r="AG4027" s="82">
        <f>IFERROR(__xludf.DUMMYFUNCTION("""COMPUTED_VALUE"""),0.7182480931168387)</f>
        <v>0.7182480931</v>
      </c>
      <c r="AH4027" s="82">
        <f>IFERROR(__xludf.DUMMYFUNCTION("""COMPUTED_VALUE"""),0.6180657628524786)</f>
        <v>0.6180657629</v>
      </c>
      <c r="AI4027" s="82">
        <f>IFERROR(__xludf.DUMMYFUNCTION("""COMPUTED_VALUE"""),1.0169660394014524)</f>
        <v>1.016966039</v>
      </c>
      <c r="AJ4027" s="82">
        <f>IFERROR(__xludf.DUMMYFUNCTION("""COMPUTED_VALUE"""),0.8993014826432897)</f>
        <v>0.8993014826</v>
      </c>
      <c r="AK4027" s="82">
        <f>IFERROR(__xludf.DUMMYFUNCTION("""COMPUTED_VALUE"""),0.8872423781463405)</f>
        <v>0.8872423781</v>
      </c>
      <c r="AL4027" s="82">
        <f>IFERROR(__xludf.DUMMYFUNCTION("""COMPUTED_VALUE"""),1.0784095116231316)</f>
        <v>1.078409512</v>
      </c>
      <c r="AM4027" s="82">
        <f>IFERROR(__xludf.DUMMYFUNCTION("""COMPUTED_VALUE"""),1.052582779429426)</f>
        <v>1.052582779</v>
      </c>
      <c r="AN4027" s="82">
        <f>IFERROR(__xludf.DUMMYFUNCTION("""COMPUTED_VALUE"""),0.7788618209623144)</f>
        <v>0.778861821</v>
      </c>
      <c r="AO4027" s="82">
        <f>IFERROR(__xludf.DUMMYFUNCTION("""COMPUTED_VALUE"""),0.7765412989989111)</f>
        <v>0.776541299</v>
      </c>
      <c r="AP4027" s="82">
        <f>IFERROR(__xludf.DUMMYFUNCTION("""COMPUTED_VALUE"""),0.7321631794060609)</f>
        <v>0.7321631794</v>
      </c>
      <c r="AQ4027" s="82">
        <f>IFERROR(__xludf.DUMMYFUNCTION("""COMPUTED_VALUE"""),0.7319074182917011)</f>
        <v>0.7319074183</v>
      </c>
      <c r="AR4027" s="82">
        <f>IFERROR(__xludf.DUMMYFUNCTION("""COMPUTED_VALUE"""),0.7049469900524273)</f>
        <v>0.7049469901</v>
      </c>
      <c r="AS4027" s="82">
        <f>IFERROR(__xludf.DUMMYFUNCTION("""COMPUTED_VALUE"""),102.0)</f>
        <v>102</v>
      </c>
      <c r="AT4027" s="82">
        <f>IFERROR(__xludf.DUMMYFUNCTION("""COMPUTED_VALUE"""),0.757236522769635)</f>
        <v>0.7572365228</v>
      </c>
      <c r="AU4027" s="82">
        <f>IFERROR(__xludf.DUMMYFUNCTION("""COMPUTED_VALUE"""),0.8913778842406943)</f>
        <v>0.8913778842</v>
      </c>
      <c r="AV4027" s="82">
        <f>IFERROR(__xludf.DUMMYFUNCTION("""COMPUTED_VALUE"""),34.41628934213191)</f>
        <v>34.41628934</v>
      </c>
      <c r="AW4027" s="82">
        <f t="shared" si="1"/>
        <v>-3.751953962</v>
      </c>
      <c r="AX4027" s="83">
        <f t="array" ref="AX4027">IFERROR(DGET('SBV Import'!A:G,"SBV",{"RSC ID","Tier";B4027,A4027}))</f>
        <v>21.01114315</v>
      </c>
      <c r="AY4027" s="82">
        <f t="shared" si="2"/>
        <v>-8.122476317</v>
      </c>
      <c r="AZ4027" s="82">
        <v>4.37052235506934</v>
      </c>
      <c r="BA4027" s="84">
        <v>4000.0</v>
      </c>
      <c r="BB4027" s="84" t="b">
        <f>IFERROR(__xludf.DUMMYFUNCTION("iferror(if(A4027="""",,E4027&gt;=FILTER(Constants!$F$2:$F$10,Constants!$A$2:$A$10=A4027)))"),TRUE)</f>
        <v>1</v>
      </c>
    </row>
    <row r="4028">
      <c r="A4028" s="89" t="str">
        <f>IFERROR(__xludf.DUMMYFUNCTION("""COMPUTED_VALUE"""),"Amateur")</f>
        <v>Amateur</v>
      </c>
      <c r="B4028" s="87" t="str">
        <f>IFERROR(__xludf.DUMMYFUNCTION("""COMPUTED_VALUE"""),"RSC000146")</f>
        <v>RSC000146</v>
      </c>
      <c r="C4028" s="73" t="str">
        <f>IFERROR(__xludf.DUMMYFUNCTION("""COMPUTED_VALUE"""),"EtherealDoom989")</f>
        <v>EtherealDoom989</v>
      </c>
      <c r="D4028" s="73" t="str">
        <f>IFERROR(__xludf.DUMMYFUNCTION("""COMPUTED_VALUE"""),"Surprise")</f>
        <v>Surprise</v>
      </c>
      <c r="E4028" s="82">
        <f>IFERROR(__xludf.DUMMYFUNCTION("""COMPUTED_VALUE"""),22.0)</f>
        <v>22</v>
      </c>
      <c r="F4028" s="82">
        <f>IFERROR(__xludf.DUMMYFUNCTION("""COMPUTED_VALUE"""),11.0)</f>
        <v>11</v>
      </c>
      <c r="G4028" s="86">
        <f>IFERROR(__xludf.DUMMYFUNCTION("""COMPUTED_VALUE"""),11.0)</f>
        <v>11</v>
      </c>
      <c r="H4028" s="86">
        <f>IFERROR(__xludf.DUMMYFUNCTION("""COMPUTED_VALUE"""),0.5)</f>
        <v>0.5</v>
      </c>
      <c r="I4028" s="86">
        <f>IFERROR(__xludf.DUMMYFUNCTION("""COMPUTED_VALUE"""),0.4)</f>
        <v>0.4</v>
      </c>
      <c r="J4028" s="82">
        <f>IFERROR(__xludf.DUMMYFUNCTION("""COMPUTED_VALUE"""),191.9090909090909)</f>
        <v>191.9090909</v>
      </c>
      <c r="K4028" s="82">
        <f>IFERROR(__xludf.DUMMYFUNCTION("""COMPUTED_VALUE"""),0.5454545454545454)</f>
        <v>0.5454545455</v>
      </c>
      <c r="L4028" s="82">
        <f>IFERROR(__xludf.DUMMYFUNCTION("""COMPUTED_VALUE"""),0.2727272727272727)</f>
        <v>0.2727272727</v>
      </c>
      <c r="M4028" s="82">
        <f>IFERROR(__xludf.DUMMYFUNCTION("""COMPUTED_VALUE"""),0.18181818181818182)</f>
        <v>0.1818181818</v>
      </c>
      <c r="N4028" s="82">
        <f>IFERROR(__xludf.DUMMYFUNCTION("""COMPUTED_VALUE"""),1.3636363636363635)</f>
        <v>1.363636364</v>
      </c>
      <c r="O4028" s="82">
        <f>IFERROR(__xludf.DUMMYFUNCTION("""COMPUTED_VALUE"""),284.3371212121212)</f>
        <v>284.3371212</v>
      </c>
      <c r="P4028" s="82">
        <f>IFERROR(__xludf.DUMMYFUNCTION("""COMPUTED_VALUE"""),0.7878787878787878)</f>
        <v>0.7878787879</v>
      </c>
      <c r="Q4028" s="82">
        <f>IFERROR(__xludf.DUMMYFUNCTION("""COMPUTED_VALUE"""),0.40909090909090917)</f>
        <v>0.4090909091</v>
      </c>
      <c r="R4028" s="82">
        <f>IFERROR(__xludf.DUMMYFUNCTION("""COMPUTED_VALUE"""),0.7613636363636364)</f>
        <v>0.7613636364</v>
      </c>
      <c r="S4028" s="82">
        <f>IFERROR(__xludf.DUMMYFUNCTION("""COMPUTED_VALUE"""),1.8712121212121209)</f>
        <v>1.871212121</v>
      </c>
      <c r="T4028" s="82">
        <f>IFERROR(__xludf.DUMMYFUNCTION("""COMPUTED_VALUE"""),299.6755557749123)</f>
        <v>299.6755558</v>
      </c>
      <c r="U4028" s="82">
        <f>IFERROR(__xludf.DUMMYFUNCTION("""COMPUTED_VALUE"""),0.7986250333251406)</f>
        <v>0.7986250333</v>
      </c>
      <c r="V4028" s="82">
        <f>IFERROR(__xludf.DUMMYFUNCTION("""COMPUTED_VALUE"""),0.4671772464198831)</f>
        <v>0.4671772464</v>
      </c>
      <c r="W4028" s="82">
        <f>IFERROR(__xludf.DUMMYFUNCTION("""COMPUTED_VALUE"""),0.8682094385522319)</f>
        <v>0.8682094386</v>
      </c>
      <c r="X4028" s="82">
        <f>IFERROR(__xludf.DUMMYFUNCTION("""COMPUTED_VALUE"""),2.021700235218097)</f>
        <v>2.021700235</v>
      </c>
      <c r="Y4028" s="82">
        <f>IFERROR(__xludf.DUMMYFUNCTION("""COMPUTED_VALUE"""),298.76625985066823)</f>
        <v>298.7662599</v>
      </c>
      <c r="Z4028" s="82">
        <f>IFERROR(__xludf.DUMMYFUNCTION("""COMPUTED_VALUE"""),0.8178064776013051)</f>
        <v>0.8178064776</v>
      </c>
      <c r="AA4028" s="82">
        <f>IFERROR(__xludf.DUMMYFUNCTION("""COMPUTED_VALUE"""),0.4511450482034654)</f>
        <v>0.4511450482</v>
      </c>
      <c r="AB4028" s="82">
        <f>IFERROR(__xludf.DUMMYFUNCTION("""COMPUTED_VALUE"""),0.8304757574390265)</f>
        <v>0.8304757574</v>
      </c>
      <c r="AC4028" s="82">
        <f>IFERROR(__xludf.DUMMYFUNCTION("""COMPUTED_VALUE"""),2.140562887680806)</f>
        <v>2.140562888</v>
      </c>
      <c r="AD4028" s="82">
        <f>IFERROR(__xludf.DUMMYFUNCTION("""COMPUTED_VALUE"""),0.6423385659579246)</f>
        <v>0.642338566</v>
      </c>
      <c r="AE4028" s="82">
        <f>IFERROR(__xludf.DUMMYFUNCTION("""COMPUTED_VALUE"""),0.6669726400974584)</f>
        <v>0.6669726401</v>
      </c>
      <c r="AF4028" s="82">
        <f>IFERROR(__xludf.DUMMYFUNCTION("""COMPUTED_VALUE"""),0.6045223677247884)</f>
        <v>0.6045223677</v>
      </c>
      <c r="AG4028" s="82">
        <f>IFERROR(__xludf.DUMMYFUNCTION("""COMPUTED_VALUE"""),0.2189325578616073)</f>
        <v>0.2189325579</v>
      </c>
      <c r="AH4028" s="82">
        <f>IFERROR(__xludf.DUMMYFUNCTION("""COMPUTED_VALUE"""),0.6370456908714306)</f>
        <v>0.6370456909</v>
      </c>
      <c r="AI4028" s="82">
        <f>IFERROR(__xludf.DUMMYFUNCTION("""COMPUTED_VALUE"""),0.9488165308540818)</f>
        <v>0.9488165309</v>
      </c>
      <c r="AJ4028" s="82">
        <f>IFERROR(__xludf.DUMMYFUNCTION("""COMPUTED_VALUE"""),0.9865440663666529)</f>
        <v>0.9865440664</v>
      </c>
      <c r="AK4028" s="82">
        <f>IFERROR(__xludf.DUMMYFUNCTION("""COMPUTED_VALUE"""),0.8756653116689508)</f>
        <v>0.8756653117</v>
      </c>
      <c r="AL4028" s="82">
        <f>IFERROR(__xludf.DUMMYFUNCTION("""COMPUTED_VALUE"""),0.8769354519264794)</f>
        <v>0.8769354519</v>
      </c>
      <c r="AM4028" s="82">
        <f>IFERROR(__xludf.DUMMYFUNCTION("""COMPUTED_VALUE"""),0.925563586834256)</f>
        <v>0.9255635868</v>
      </c>
      <c r="AN4028" s="82">
        <f>IFERROR(__xludf.DUMMYFUNCTION("""COMPUTED_VALUE"""),0.6908866247327287)</f>
        <v>0.6908866247</v>
      </c>
      <c r="AO4028" s="82">
        <f>IFERROR(__xludf.DUMMYFUNCTION("""COMPUTED_VALUE"""),0.7341845008716978)</f>
        <v>0.7341845009</v>
      </c>
      <c r="AP4028" s="82">
        <f>IFERROR(__xludf.DUMMYFUNCTION("""COMPUTED_VALUE"""),0.6489628181099175)</f>
        <v>0.6489628181</v>
      </c>
      <c r="AQ4028" s="82">
        <f>IFERROR(__xludf.DUMMYFUNCTION("""COMPUTED_VALUE"""),0.23066173182526342)</f>
        <v>0.2306617318</v>
      </c>
      <c r="AR4028" s="82">
        <f>IFERROR(__xludf.DUMMYFUNCTION("""COMPUTED_VALUE"""),0.7141021457673937)</f>
        <v>0.7141021458</v>
      </c>
      <c r="AS4028" s="82">
        <f>IFERROR(__xludf.DUMMYFUNCTION("""COMPUTED_VALUE"""),94.0)</f>
        <v>94</v>
      </c>
      <c r="AT4028" s="82">
        <f>IFERROR(__xludf.DUMMYFUNCTION("""COMPUTED_VALUE"""),0.7348138639025179)</f>
        <v>0.7348138639</v>
      </c>
      <c r="AU4028" s="82">
        <f>IFERROR(__xludf.DUMMYFUNCTION("""COMPUTED_VALUE"""),0.8146652440292048)</f>
        <v>0.814665244</v>
      </c>
      <c r="AV4028" s="82">
        <f>IFERROR(__xludf.DUMMYFUNCTION("""COMPUTED_VALUE"""),32.84773621308296)</f>
        <v>32.84773621</v>
      </c>
      <c r="AW4028" s="82">
        <f t="shared" si="1"/>
        <v>-4.059627741</v>
      </c>
      <c r="AX4028" s="83">
        <f t="array" ref="AX4028">IFERROR(DGET('SBV Import'!A:G,"SBV",{"RSC ID","Tier";B4028,A4028}))</f>
        <v>16.8885635</v>
      </c>
      <c r="AY4028" s="82">
        <f t="shared" si="2"/>
        <v>-10.79032889</v>
      </c>
      <c r="AZ4028" s="82">
        <v>6.730701144584941</v>
      </c>
      <c r="BA4028" s="84">
        <v>4000.0</v>
      </c>
      <c r="BB4028" s="84" t="b">
        <f>IFERROR(__xludf.DUMMYFUNCTION("iferror(if(A4028="""",,E4028&gt;=FILTER(Constants!$F$2:$F$10,Constants!$A$2:$A$10=A4028)))"),TRUE)</f>
        <v>1</v>
      </c>
    </row>
    <row r="4029">
      <c r="A4029" s="89" t="str">
        <f>IFERROR(__xludf.DUMMYFUNCTION("""COMPUTED_VALUE"""),"Amateur")</f>
        <v>Amateur</v>
      </c>
      <c r="B4029" s="87" t="str">
        <f>IFERROR(__xludf.DUMMYFUNCTION("""COMPUTED_VALUE"""),"RSC007632")</f>
        <v>RSC007632</v>
      </c>
      <c r="C4029" s="73" t="str">
        <f>IFERROR(__xludf.DUMMYFUNCTION("""COMPUTED_VALUE"""),"yournewSTEPDADDI")</f>
        <v>yournewSTEPDADDI</v>
      </c>
      <c r="D4029" s="73" t="str">
        <f>IFERROR(__xludf.DUMMYFUNCTION("""COMPUTED_VALUE"""),"Kiwis")</f>
        <v>Kiwis</v>
      </c>
      <c r="E4029" s="82">
        <f>IFERROR(__xludf.DUMMYFUNCTION("""COMPUTED_VALUE"""),28.0)</f>
        <v>28</v>
      </c>
      <c r="F4029" s="82">
        <f>IFERROR(__xludf.DUMMYFUNCTION("""COMPUTED_VALUE"""),7.0)</f>
        <v>7</v>
      </c>
      <c r="G4029" s="86">
        <f>IFERROR(__xludf.DUMMYFUNCTION("""COMPUTED_VALUE"""),21.0)</f>
        <v>21</v>
      </c>
      <c r="H4029" s="86">
        <f>IFERROR(__xludf.DUMMYFUNCTION("""COMPUTED_VALUE"""),0.25)</f>
        <v>0.25</v>
      </c>
      <c r="I4029" s="86">
        <f>IFERROR(__xludf.DUMMYFUNCTION("""COMPUTED_VALUE"""),0.36170212765957444)</f>
        <v>0.3617021277</v>
      </c>
      <c r="J4029" s="82">
        <f>IFERROR(__xludf.DUMMYFUNCTION("""COMPUTED_VALUE"""),278.75)</f>
        <v>278.75</v>
      </c>
      <c r="K4029" s="82">
        <f>IFERROR(__xludf.DUMMYFUNCTION("""COMPUTED_VALUE"""),0.6071428571428571)</f>
        <v>0.6071428571</v>
      </c>
      <c r="L4029" s="82">
        <f>IFERROR(__xludf.DUMMYFUNCTION("""COMPUTED_VALUE"""),0.25)</f>
        <v>0.25</v>
      </c>
      <c r="M4029" s="82">
        <f>IFERROR(__xludf.DUMMYFUNCTION("""COMPUTED_VALUE"""),0.8928571428571429)</f>
        <v>0.8928571429</v>
      </c>
      <c r="N4029" s="82">
        <f>IFERROR(__xludf.DUMMYFUNCTION("""COMPUTED_VALUE"""),1.6785714285714286)</f>
        <v>1.678571429</v>
      </c>
      <c r="O4029" s="82">
        <f>IFERROR(__xludf.DUMMYFUNCTION("""COMPUTED_VALUE"""),357.91964285714295)</f>
        <v>357.9196429</v>
      </c>
      <c r="P4029" s="82">
        <f>IFERROR(__xludf.DUMMYFUNCTION("""COMPUTED_VALUE"""),1.25297619047619)</f>
        <v>1.25297619</v>
      </c>
      <c r="Q4029" s="82">
        <f>IFERROR(__xludf.DUMMYFUNCTION("""COMPUTED_VALUE"""),0.6785714285714286)</f>
        <v>0.6785714286</v>
      </c>
      <c r="R4029" s="82">
        <f>IFERROR(__xludf.DUMMYFUNCTION("""COMPUTED_VALUE"""),0.8065476190476193)</f>
        <v>0.806547619</v>
      </c>
      <c r="S4029" s="82">
        <f>IFERROR(__xludf.DUMMYFUNCTION("""COMPUTED_VALUE"""),2.577380952380952)</f>
        <v>2.577380952</v>
      </c>
      <c r="T4029" s="82">
        <f>IFERROR(__xludf.DUMMYFUNCTION("""COMPUTED_VALUE"""),296.62545135500375)</f>
        <v>296.6254514</v>
      </c>
      <c r="U4029" s="82">
        <f>IFERROR(__xludf.DUMMYFUNCTION("""COMPUTED_VALUE"""),0.8285448002232699)</f>
        <v>0.8285448002</v>
      </c>
      <c r="V4029" s="82">
        <f>IFERROR(__xludf.DUMMYFUNCTION("""COMPUTED_VALUE"""),0.42936250662006303)</f>
        <v>0.4293625066</v>
      </c>
      <c r="W4029" s="82">
        <f>IFERROR(__xludf.DUMMYFUNCTION("""COMPUTED_VALUE"""),0.8390965335428603)</f>
        <v>0.8390965335</v>
      </c>
      <c r="X4029" s="82">
        <f>IFERROR(__xludf.DUMMYFUNCTION("""COMPUTED_VALUE"""),2.078061220634581)</f>
        <v>2.078061221</v>
      </c>
      <c r="Y4029" s="82">
        <f>IFERROR(__xludf.DUMMYFUNCTION("""COMPUTED_VALUE"""),290.169575731111)</f>
        <v>290.1695757</v>
      </c>
      <c r="Z4029" s="82">
        <f>IFERROR(__xludf.DUMMYFUNCTION("""COMPUTED_VALUE"""),0.7524681829452629)</f>
        <v>0.7524681829</v>
      </c>
      <c r="AA4029" s="82">
        <f>IFERROR(__xludf.DUMMYFUNCTION("""COMPUTED_VALUE"""),0.42666807915852073)</f>
        <v>0.4266680792</v>
      </c>
      <c r="AB4029" s="82">
        <f>IFERROR(__xludf.DUMMYFUNCTION("""COMPUTED_VALUE"""),0.8583703264643784)</f>
        <v>0.8583703265</v>
      </c>
      <c r="AC4029" s="82">
        <f>IFERROR(__xludf.DUMMYFUNCTION("""COMPUTED_VALUE"""),2.0108505541261006)</f>
        <v>2.010850554</v>
      </c>
      <c r="AD4029" s="82">
        <f>IFERROR(__xludf.DUMMYFUNCTION("""COMPUTED_VALUE"""),0.9606451651509699)</f>
        <v>0.9606451652</v>
      </c>
      <c r="AE4029" s="82">
        <f>IFERROR(__xludf.DUMMYFUNCTION("""COMPUTED_VALUE"""),0.8068684775034837)</f>
        <v>0.8068684775</v>
      </c>
      <c r="AF4029" s="82">
        <f>IFERROR(__xludf.DUMMYFUNCTION("""COMPUTED_VALUE"""),0.5859355602440488)</f>
        <v>0.5859355602</v>
      </c>
      <c r="AG4029" s="82">
        <f>IFERROR(__xludf.DUMMYFUNCTION("""COMPUTED_VALUE"""),1.0401770836310424)</f>
        <v>1.040177084</v>
      </c>
      <c r="AH4029" s="82">
        <f>IFERROR(__xludf.DUMMYFUNCTION("""COMPUTED_VALUE"""),0.8347569266781848)</f>
        <v>0.8347569267</v>
      </c>
      <c r="AI4029" s="82">
        <f>IFERROR(__xludf.DUMMYFUNCTION("""COMPUTED_VALUE"""),1.2066383421319495)</f>
        <v>1.206638342</v>
      </c>
      <c r="AJ4029" s="82">
        <f>IFERROR(__xludf.DUMMYFUNCTION("""COMPUTED_VALUE"""),1.5122612442182337)</f>
        <v>1.512261244</v>
      </c>
      <c r="AK4029" s="82">
        <f>IFERROR(__xludf.DUMMYFUNCTION("""COMPUTED_VALUE"""),1.5804161241584307)</f>
        <v>1.580416124</v>
      </c>
      <c r="AL4029" s="82">
        <f>IFERROR(__xludf.DUMMYFUNCTION("""COMPUTED_VALUE"""),0.9612095710158497)</f>
        <v>0.961209571</v>
      </c>
      <c r="AM4029" s="82">
        <f>IFERROR(__xludf.DUMMYFUNCTION("""COMPUTED_VALUE"""),1.2402815310676423)</f>
        <v>1.240281531</v>
      </c>
      <c r="AN4029" s="82">
        <f>IFERROR(__xludf.DUMMYFUNCTION("""COMPUTED_VALUE"""),1.0035201862087775)</f>
        <v>1.003520186</v>
      </c>
      <c r="AO4029" s="82">
        <f>IFERROR(__xludf.DUMMYFUNCTION("""COMPUTED_VALUE"""),0.817217271803616)</f>
        <v>0.8172172718</v>
      </c>
      <c r="AP4029" s="82">
        <f>IFERROR(__xludf.DUMMYFUNCTION("""COMPUTED_VALUE"""),0.5948825832674244)</f>
        <v>0.5948825833</v>
      </c>
      <c r="AQ4029" s="82">
        <f>IFERROR(__xludf.DUMMYFUNCTION("""COMPUTED_VALUE"""),1.1327138616419186)</f>
        <v>1.132713862</v>
      </c>
      <c r="AR4029" s="82">
        <f>IFERROR(__xludf.DUMMYFUNCTION("""COMPUTED_VALUE"""),0.8790257365755777)</f>
        <v>0.8790257366</v>
      </c>
      <c r="AS4029" s="82">
        <f>IFERROR(__xludf.DUMMYFUNCTION("""COMPUTED_VALUE"""),118.0)</f>
        <v>118</v>
      </c>
      <c r="AT4029" s="82">
        <f>IFERROR(__xludf.DUMMYFUNCTION("""COMPUTED_VALUE"""),0.5516863901085332)</f>
        <v>0.5516863901</v>
      </c>
      <c r="AU4029" s="82">
        <f>IFERROR(__xludf.DUMMYFUNCTION("""COMPUTED_VALUE"""),0.6394075841897499)</f>
        <v>0.6394075842</v>
      </c>
      <c r="AV4029" s="82">
        <f>IFERROR(__xludf.DUMMYFUNCTION("""COMPUTED_VALUE"""),29.26422051119736)</f>
        <v>29.26422051</v>
      </c>
      <c r="AW4029" s="82">
        <f t="shared" si="1"/>
        <v>-4.915690206</v>
      </c>
      <c r="AX4029" s="83">
        <f t="array" ref="AX4029">IFERROR(DGET('SBV Import'!A:G,"SBV",{"RSC ID","Tier";B4029,A4029}))</f>
        <v>29.38379235</v>
      </c>
      <c r="AY4029" s="82">
        <f t="shared" si="2"/>
        <v>-4.883154798</v>
      </c>
      <c r="AZ4029" s="82">
        <v>0.03253540781734099</v>
      </c>
      <c r="BA4029" s="84">
        <v>4000.0</v>
      </c>
      <c r="BB4029" s="84" t="b">
        <f>IFERROR(__xludf.DUMMYFUNCTION("iferror(if(A4029="""",,E4029&gt;=FILTER(Constants!$F$2:$F$10,Constants!$A$2:$A$10=A4029)))"),TRUE)</f>
        <v>1</v>
      </c>
    </row>
    <row r="4030">
      <c r="A4030" s="89" t="str">
        <f>IFERROR(__xludf.DUMMYFUNCTION("""COMPUTED_VALUE"""),"Amateur")</f>
        <v>Amateur</v>
      </c>
      <c r="B4030" s="87" t="str">
        <f>IFERROR(__xludf.DUMMYFUNCTION("""COMPUTED_VALUE"""),"RSC007393")</f>
        <v>RSC007393</v>
      </c>
      <c r="C4030" s="73" t="str">
        <f>IFERROR(__xludf.DUMMYFUNCTION("""COMPUTED_VALUE"""),"Ubfghki9442")</f>
        <v>Ubfghki9442</v>
      </c>
      <c r="D4030" s="73" t="str">
        <f>IFERROR(__xludf.DUMMYFUNCTION("""COMPUTED_VALUE"""),"Garlic Knots")</f>
        <v>Garlic Knots</v>
      </c>
      <c r="E4030" s="82">
        <f>IFERROR(__xludf.DUMMYFUNCTION("""COMPUTED_VALUE"""),6.0)</f>
        <v>6</v>
      </c>
      <c r="F4030" s="82">
        <f>IFERROR(__xludf.DUMMYFUNCTION("""COMPUTED_VALUE"""),3.0)</f>
        <v>3</v>
      </c>
      <c r="G4030" s="86">
        <f>IFERROR(__xludf.DUMMYFUNCTION("""COMPUTED_VALUE"""),3.0)</f>
        <v>3</v>
      </c>
      <c r="H4030" s="86">
        <f>IFERROR(__xludf.DUMMYFUNCTION("""COMPUTED_VALUE"""),0.5)</f>
        <v>0.5</v>
      </c>
      <c r="I4030" s="86">
        <f>IFERROR(__xludf.DUMMYFUNCTION("""COMPUTED_VALUE"""),0.5)</f>
        <v>0.5</v>
      </c>
      <c r="J4030" s="82">
        <f>IFERROR(__xludf.DUMMYFUNCTION("""COMPUTED_VALUE"""),158.16666666666666)</f>
        <v>158.1666667</v>
      </c>
      <c r="K4030" s="82">
        <f>IFERROR(__xludf.DUMMYFUNCTION("""COMPUTED_VALUE"""),0.5)</f>
        <v>0.5</v>
      </c>
      <c r="L4030" s="82">
        <f>IFERROR(__xludf.DUMMYFUNCTION("""COMPUTED_VALUE"""),0.3333333333333333)</f>
        <v>0.3333333333</v>
      </c>
      <c r="M4030" s="82">
        <f>IFERROR(__xludf.DUMMYFUNCTION("""COMPUTED_VALUE"""),0.16666666666666666)</f>
        <v>0.1666666667</v>
      </c>
      <c r="N4030" s="82">
        <f>IFERROR(__xludf.DUMMYFUNCTION("""COMPUTED_VALUE"""),1.0)</f>
        <v>1</v>
      </c>
      <c r="O4030" s="82">
        <f>IFERROR(__xludf.DUMMYFUNCTION("""COMPUTED_VALUE"""),267.69444444444446)</f>
        <v>267.6944444</v>
      </c>
      <c r="P4030" s="82">
        <f>IFERROR(__xludf.DUMMYFUNCTION("""COMPUTED_VALUE"""),0.5972222222222222)</f>
        <v>0.5972222222</v>
      </c>
      <c r="Q4030" s="82">
        <f>IFERROR(__xludf.DUMMYFUNCTION("""COMPUTED_VALUE"""),0.4305555555555556)</f>
        <v>0.4305555556</v>
      </c>
      <c r="R4030" s="82">
        <f>IFERROR(__xludf.DUMMYFUNCTION("""COMPUTED_VALUE"""),0.6249999999999999)</f>
        <v>0.625</v>
      </c>
      <c r="S4030" s="82">
        <f>IFERROR(__xludf.DUMMYFUNCTION("""COMPUTED_VALUE"""),2.4722222222222223)</f>
        <v>2.472222222</v>
      </c>
      <c r="T4030" s="82">
        <f>IFERROR(__xludf.DUMMYFUNCTION("""COMPUTED_VALUE"""),292.09512497107943)</f>
        <v>292.095125</v>
      </c>
      <c r="U4030" s="82">
        <f>IFERROR(__xludf.DUMMYFUNCTION("""COMPUTED_VALUE"""),0.7224644238762986)</f>
        <v>0.7224644239</v>
      </c>
      <c r="V4030" s="82">
        <f>IFERROR(__xludf.DUMMYFUNCTION("""COMPUTED_VALUE"""),0.41552244397691696)</f>
        <v>0.415522444</v>
      </c>
      <c r="W4030" s="82">
        <f>IFERROR(__xludf.DUMMYFUNCTION("""COMPUTED_VALUE"""),0.8214457935171985)</f>
        <v>0.8214457935</v>
      </c>
      <c r="X4030" s="82">
        <f>IFERROR(__xludf.DUMMYFUNCTION("""COMPUTED_VALUE"""),2.1431080741766055)</f>
        <v>2.143108074</v>
      </c>
      <c r="Y4030" s="82">
        <f>IFERROR(__xludf.DUMMYFUNCTION("""COMPUTED_VALUE"""),300.46315471994694)</f>
        <v>300.4631547</v>
      </c>
      <c r="Z4030" s="82">
        <f>IFERROR(__xludf.DUMMYFUNCTION("""COMPUTED_VALUE"""),0.8087598173073679)</f>
        <v>0.8087598173</v>
      </c>
      <c r="AA4030" s="82">
        <f>IFERROR(__xludf.DUMMYFUNCTION("""COMPUTED_VALUE"""),0.4394668801138289)</f>
        <v>0.4394668801</v>
      </c>
      <c r="AB4030" s="82">
        <f>IFERROR(__xludf.DUMMYFUNCTION("""COMPUTED_VALUE"""),0.9453695086315586)</f>
        <v>0.9453695086</v>
      </c>
      <c r="AC4030" s="82">
        <f>IFERROR(__xludf.DUMMYFUNCTION("""COMPUTED_VALUE"""),2.00619898825607)</f>
        <v>2.006198988</v>
      </c>
      <c r="AD4030" s="82">
        <f>IFERROR(__xludf.DUMMYFUNCTION("""COMPUTED_VALUE"""),0.5264095253678917)</f>
        <v>0.5264095254</v>
      </c>
      <c r="AE4030" s="82">
        <f>IFERROR(__xludf.DUMMYFUNCTION("""COMPUTED_VALUE"""),0.618230517021317)</f>
        <v>0.618230517</v>
      </c>
      <c r="AF4030" s="82">
        <f>IFERROR(__xludf.DUMMYFUNCTION("""COMPUTED_VALUE"""),0.7584947772332574)</f>
        <v>0.7584947772</v>
      </c>
      <c r="AG4030" s="82">
        <f>IFERROR(__xludf.DUMMYFUNCTION("""COMPUTED_VALUE"""),0.17629790800839348)</f>
        <v>0.176297908</v>
      </c>
      <c r="AH4030" s="82">
        <f>IFERROR(__xludf.DUMMYFUNCTION("""COMPUTED_VALUE"""),0.4984550415257017)</f>
        <v>0.4984550415</v>
      </c>
      <c r="AI4030" s="82">
        <f>IFERROR(__xludf.DUMMYFUNCTION("""COMPUTED_VALUE"""),0.9164632394017158)</f>
        <v>0.9164632394</v>
      </c>
      <c r="AJ4030" s="82">
        <f>IFERROR(__xludf.DUMMYFUNCTION("""COMPUTED_VALUE"""),0.826645856162572)</f>
        <v>0.8266458562</v>
      </c>
      <c r="AK4030" s="82">
        <f>IFERROR(__xludf.DUMMYFUNCTION("""COMPUTED_VALUE"""),1.0361788196920447)</f>
        <v>1.03617882</v>
      </c>
      <c r="AL4030" s="82">
        <f>IFERROR(__xludf.DUMMYFUNCTION("""COMPUTED_VALUE"""),0.7608536131446078)</f>
        <v>0.7608536131</v>
      </c>
      <c r="AM4030" s="82">
        <f>IFERROR(__xludf.DUMMYFUNCTION("""COMPUTED_VALUE"""),1.1535686193390244)</f>
        <v>1.153568619</v>
      </c>
      <c r="AN4030" s="82">
        <f>IFERROR(__xludf.DUMMYFUNCTION("""COMPUTED_VALUE"""),0.5694114539384931)</f>
        <v>0.5694114539</v>
      </c>
      <c r="AO4030" s="82">
        <f>IFERROR(__xludf.DUMMYFUNCTION("""COMPUTED_VALUE"""),0.6730024591323897)</f>
        <v>0.6730024591</v>
      </c>
      <c r="AP4030" s="82">
        <f>IFERROR(__xludf.DUMMYFUNCTION("""COMPUTED_VALUE"""),0.7931767776898992)</f>
        <v>0.7931767777</v>
      </c>
      <c r="AQ4030" s="82">
        <f>IFERROR(__xludf.DUMMYFUNCTION("""COMPUTED_VALUE"""),0.21143992083982477)</f>
        <v>0.2114399208</v>
      </c>
      <c r="AR4030" s="82">
        <f>IFERROR(__xludf.DUMMYFUNCTION("""COMPUTED_VALUE"""),0.5236749068960888)</f>
        <v>0.5236749069</v>
      </c>
      <c r="AS4030" s="82">
        <f>IFERROR(__xludf.DUMMYFUNCTION("""COMPUTED_VALUE"""),30.0)</f>
        <v>30</v>
      </c>
      <c r="AT4030" s="82">
        <f>IFERROR(__xludf.DUMMYFUNCTION("""COMPUTED_VALUE"""),0.8555085771982943)</f>
        <v>0.8555085772</v>
      </c>
      <c r="AU4030" s="82">
        <f>IFERROR(__xludf.DUMMYFUNCTION("""COMPUTED_VALUE"""),0.5790590582412163)</f>
        <v>0.5790590582</v>
      </c>
      <c r="AV4030" s="82">
        <f>IFERROR(__xludf.DUMMYFUNCTION("""COMPUTED_VALUE"""),28.03026651158145)</f>
        <v>28.03026651</v>
      </c>
      <c r="AW4030" s="82">
        <f t="shared" si="1"/>
        <v>-5.269876884</v>
      </c>
      <c r="AX4030" s="83">
        <f t="array" ref="AX4030">IFERROR(DGET('SBV Import'!A:G,"SBV",{"RSC ID","Tier";B4030,A4030}))</f>
        <v>2.773333741</v>
      </c>
      <c r="AY4030" s="82">
        <f t="shared" si="2"/>
        <v>-33.9657193</v>
      </c>
      <c r="AZ4030" s="82">
        <v>28.695842414450134</v>
      </c>
      <c r="BA4030" s="84">
        <v>4000.0</v>
      </c>
      <c r="BB4030" s="84" t="b">
        <f>IFERROR(__xludf.DUMMYFUNCTION("iferror(if(A4030="""",,E4030&gt;=FILTER(Constants!$F$2:$F$10,Constants!$A$2:$A$10=A4030)))"),TRUE)</f>
        <v>1</v>
      </c>
    </row>
    <row r="4031">
      <c r="A4031" s="89" t="str">
        <f>IFERROR(__xludf.DUMMYFUNCTION("""COMPUTED_VALUE"""),"Amateur")</f>
        <v>Amateur</v>
      </c>
      <c r="B4031" s="87" t="str">
        <f>IFERROR(__xludf.DUMMYFUNCTION("""COMPUTED_VALUE"""),"RSC007993")</f>
        <v>RSC007993</v>
      </c>
      <c r="C4031" s="73" t="str">
        <f>IFERROR(__xludf.DUMMYFUNCTION("""COMPUTED_VALUE"""),"Origami Box")</f>
        <v>Origami Box</v>
      </c>
      <c r="D4031" s="73" t="str">
        <f>IFERROR(__xludf.DUMMYFUNCTION("""COMPUTED_VALUE"""),"Aeon Ale")</f>
        <v>Aeon Ale</v>
      </c>
      <c r="E4031" s="82">
        <f>IFERROR(__xludf.DUMMYFUNCTION("""COMPUTED_VALUE"""),12.0)</f>
        <v>12</v>
      </c>
      <c r="F4031" s="82">
        <f>IFERROR(__xludf.DUMMYFUNCTION("""COMPUTED_VALUE"""),5.0)</f>
        <v>5</v>
      </c>
      <c r="G4031" s="86">
        <f>IFERROR(__xludf.DUMMYFUNCTION("""COMPUTED_VALUE"""),7.0)</f>
        <v>7</v>
      </c>
      <c r="H4031" s="86">
        <f>IFERROR(__xludf.DUMMYFUNCTION("""COMPUTED_VALUE"""),0.4166666666666667)</f>
        <v>0.4166666667</v>
      </c>
      <c r="I4031" s="86">
        <f>IFERROR(__xludf.DUMMYFUNCTION("""COMPUTED_VALUE"""),0.3333333333333333)</f>
        <v>0.3333333333</v>
      </c>
      <c r="J4031" s="82">
        <f>IFERROR(__xludf.DUMMYFUNCTION("""COMPUTED_VALUE"""),190.5)</f>
        <v>190.5</v>
      </c>
      <c r="K4031" s="82">
        <f>IFERROR(__xludf.DUMMYFUNCTION("""COMPUTED_VALUE"""),0.5)</f>
        <v>0.5</v>
      </c>
      <c r="L4031" s="82">
        <f>IFERROR(__xludf.DUMMYFUNCTION("""COMPUTED_VALUE"""),0.25)</f>
        <v>0.25</v>
      </c>
      <c r="M4031" s="82">
        <f>IFERROR(__xludf.DUMMYFUNCTION("""COMPUTED_VALUE"""),0.5833333333333334)</f>
        <v>0.5833333333</v>
      </c>
      <c r="N4031" s="82">
        <f>IFERROR(__xludf.DUMMYFUNCTION("""COMPUTED_VALUE"""),1.5)</f>
        <v>1.5</v>
      </c>
      <c r="O4031" s="82">
        <f>IFERROR(__xludf.DUMMYFUNCTION("""COMPUTED_VALUE"""),295.0763888888889)</f>
        <v>295.0763889</v>
      </c>
      <c r="P4031" s="82">
        <f>IFERROR(__xludf.DUMMYFUNCTION("""COMPUTED_VALUE"""),0.8055555555555557)</f>
        <v>0.8055555556</v>
      </c>
      <c r="Q4031" s="82">
        <f>IFERROR(__xludf.DUMMYFUNCTION("""COMPUTED_VALUE"""),0.4305555555555555)</f>
        <v>0.4305555556</v>
      </c>
      <c r="R4031" s="82">
        <f>IFERROR(__xludf.DUMMYFUNCTION("""COMPUTED_VALUE"""),0.7569444444444443)</f>
        <v>0.7569444444</v>
      </c>
      <c r="S4031" s="82">
        <f>IFERROR(__xludf.DUMMYFUNCTION("""COMPUTED_VALUE"""),2.263888888888889)</f>
        <v>2.263888889</v>
      </c>
      <c r="T4031" s="82">
        <f>IFERROR(__xludf.DUMMYFUNCTION("""COMPUTED_VALUE"""),292.9718094685565)</f>
        <v>292.9718095</v>
      </c>
      <c r="U4031" s="82">
        <f>IFERROR(__xludf.DUMMYFUNCTION("""COMPUTED_VALUE"""),0.7651164782992237)</f>
        <v>0.7651164783</v>
      </c>
      <c r="V4031" s="82">
        <f>IFERROR(__xludf.DUMMYFUNCTION("""COMPUTED_VALUE"""),0.45169499572325494)</f>
        <v>0.4516949957</v>
      </c>
      <c r="W4031" s="82">
        <f>IFERROR(__xludf.DUMMYFUNCTION("""COMPUTED_VALUE"""),0.8679783851286249)</f>
        <v>0.8679783851</v>
      </c>
      <c r="X4031" s="82">
        <f>IFERROR(__xludf.DUMMYFUNCTION("""COMPUTED_VALUE"""),2.059827543787911)</f>
        <v>2.059827544</v>
      </c>
      <c r="Y4031" s="82">
        <f>IFERROR(__xludf.DUMMYFUNCTION("""COMPUTED_VALUE"""),312.74556715193404)</f>
        <v>312.7455672</v>
      </c>
      <c r="Z4031" s="82">
        <f>IFERROR(__xludf.DUMMYFUNCTION("""COMPUTED_VALUE"""),0.9013991790405047)</f>
        <v>0.901399179</v>
      </c>
      <c r="AA4031" s="82">
        <f>IFERROR(__xludf.DUMMYFUNCTION("""COMPUTED_VALUE"""),0.5522386904106608)</f>
        <v>0.5522386904</v>
      </c>
      <c r="AB4031" s="82">
        <f>IFERROR(__xludf.DUMMYFUNCTION("""COMPUTED_VALUE"""),0.8670065249168474)</f>
        <v>0.8670065249</v>
      </c>
      <c r="AC4031" s="82">
        <f>IFERROR(__xludf.DUMMYFUNCTION("""COMPUTED_VALUE"""),2.173701100435989)</f>
        <v>2.1737011</v>
      </c>
      <c r="AD4031" s="82">
        <f>IFERROR(__xludf.DUMMYFUNCTION("""COMPUTED_VALUE"""),0.6091213433808759)</f>
        <v>0.6091213434</v>
      </c>
      <c r="AE4031" s="82">
        <f>IFERROR(__xludf.DUMMYFUNCTION("""COMPUTED_VALUE"""),0.554693205436714)</f>
        <v>0.5546932054</v>
      </c>
      <c r="AF4031" s="82">
        <f>IFERROR(__xludf.DUMMYFUNCTION("""COMPUTED_VALUE"""),0.4527027974336473)</f>
        <v>0.4527027974</v>
      </c>
      <c r="AG4031" s="82">
        <f>IFERROR(__xludf.DUMMYFUNCTION("""COMPUTED_VALUE"""),0.6728130833724458)</f>
        <v>0.6728130834</v>
      </c>
      <c r="AH4031" s="82">
        <f>IFERROR(__xludf.DUMMYFUNCTION("""COMPUTED_VALUE"""),0.6900672772807347)</f>
        <v>0.6900672773</v>
      </c>
      <c r="AI4031" s="82">
        <f>IFERROR(__xludf.DUMMYFUNCTION("""COMPUTED_VALUE"""),1.0071835560702924)</f>
        <v>1.007183556</v>
      </c>
      <c r="AJ4031" s="82">
        <f>IFERROR(__xludf.DUMMYFUNCTION("""COMPUTED_VALUE"""),1.0528534914660628)</f>
        <v>1.052853491</v>
      </c>
      <c r="AK4031" s="82">
        <f>IFERROR(__xludf.DUMMYFUNCTION("""COMPUTED_VALUE"""),0.9531997468029264)</f>
        <v>0.9531997468</v>
      </c>
      <c r="AL4031" s="82">
        <f>IFERROR(__xludf.DUMMYFUNCTION("""COMPUTED_VALUE"""),0.8720775279816138)</f>
        <v>0.872077528</v>
      </c>
      <c r="AM4031" s="82">
        <f>IFERROR(__xludf.DUMMYFUNCTION("""COMPUTED_VALUE"""),1.0990671989586662)</f>
        <v>1.099067199</v>
      </c>
      <c r="AN4031" s="82">
        <f>IFERROR(__xludf.DUMMYFUNCTION("""COMPUTED_VALUE"""),0.6858137954180166)</f>
        <v>0.6858137954</v>
      </c>
      <c r="AO4031" s="82">
        <f>IFERROR(__xludf.DUMMYFUNCTION("""COMPUTED_VALUE"""),0.6730024591323897)</f>
        <v>0.6730024591</v>
      </c>
      <c r="AP4031" s="82">
        <f>IFERROR(__xludf.DUMMYFUNCTION("""COMPUTED_VALUE"""),0.5948825832674244)</f>
        <v>0.5948825833</v>
      </c>
      <c r="AQ4031" s="82">
        <f>IFERROR(__xludf.DUMMYFUNCTION("""COMPUTED_VALUE"""),0.7400397229393868)</f>
        <v>0.7400397229</v>
      </c>
      <c r="AR4031" s="82">
        <f>IFERROR(__xludf.DUMMYFUNCTION("""COMPUTED_VALUE"""),0.7855123603441332)</f>
        <v>0.7855123603</v>
      </c>
      <c r="AS4031" s="82">
        <f>IFERROR(__xludf.DUMMYFUNCTION("""COMPUTED_VALUE"""),47.0)</f>
        <v>47</v>
      </c>
      <c r="AT4031" s="82">
        <f>IFERROR(__xludf.DUMMYFUNCTION("""COMPUTED_VALUE"""),0.6942637801494581)</f>
        <v>0.6942637801</v>
      </c>
      <c r="AU4031" s="82">
        <f>IFERROR(__xludf.DUMMYFUNCTION("""COMPUTED_VALUE"""),0.5728661217943789)</f>
        <v>0.5728661218</v>
      </c>
      <c r="AV4031" s="82">
        <f>IFERROR(__xludf.DUMMYFUNCTION("""COMPUTED_VALUE"""),27.90363875095546)</f>
        <v>27.90363875</v>
      </c>
      <c r="AW4031" s="82">
        <f t="shared" si="1"/>
        <v>-5.308210793</v>
      </c>
      <c r="AX4031" s="83">
        <f t="array" ref="AX4031">IFERROR(DGET('SBV Import'!A:G,"SBV",{"RSC ID","Tier";B4031,A4031}))</f>
        <v>13.08413801</v>
      </c>
      <c r="AY4031" s="82">
        <f t="shared" si="2"/>
        <v>-14.30884924</v>
      </c>
      <c r="AZ4031" s="82">
        <v>9.000638448758803</v>
      </c>
      <c r="BA4031" s="84">
        <v>4000.0</v>
      </c>
      <c r="BB4031" s="84" t="b">
        <f>IFERROR(__xludf.DUMMYFUNCTION("iferror(if(A4031="""",,E4031&gt;=FILTER(Constants!$F$2:$F$10,Constants!$A$2:$A$10=A4031)))"),TRUE)</f>
        <v>1</v>
      </c>
    </row>
    <row r="4032">
      <c r="A4032" s="89" t="str">
        <f>IFERROR(__xludf.DUMMYFUNCTION("""COMPUTED_VALUE"""),"Amateur")</f>
        <v>Amateur</v>
      </c>
      <c r="B4032" s="87" t="str">
        <f>IFERROR(__xludf.DUMMYFUNCTION("""COMPUTED_VALUE"""),"RSC006022")</f>
        <v>RSC006022</v>
      </c>
      <c r="C4032" s="73" t="str">
        <f>IFERROR(__xludf.DUMMYFUNCTION("""COMPUTED_VALUE"""),"N0MrThomasMn")</f>
        <v>N0MrThomasMn</v>
      </c>
      <c r="D4032" s="73"/>
      <c r="E4032" s="82">
        <f>IFERROR(__xludf.DUMMYFUNCTION("""COMPUTED_VALUE"""),4.0)</f>
        <v>4</v>
      </c>
      <c r="F4032" s="82">
        <f>IFERROR(__xludf.DUMMYFUNCTION("""COMPUTED_VALUE"""),0.0)</f>
        <v>0</v>
      </c>
      <c r="G4032" s="86">
        <f>IFERROR(__xludf.DUMMYFUNCTION("""COMPUTED_VALUE"""),4.0)</f>
        <v>4</v>
      </c>
      <c r="H4032" s="86">
        <f>IFERROR(__xludf.DUMMYFUNCTION("""COMPUTED_VALUE"""),0.0)</f>
        <v>0</v>
      </c>
      <c r="I4032" s="86">
        <f>IFERROR(__xludf.DUMMYFUNCTION("""COMPUTED_VALUE"""),0.6)</f>
        <v>0.6</v>
      </c>
      <c r="J4032" s="82">
        <f>IFERROR(__xludf.DUMMYFUNCTION("""COMPUTED_VALUE"""),233.0)</f>
        <v>233</v>
      </c>
      <c r="K4032" s="82">
        <f>IFERROR(__xludf.DUMMYFUNCTION("""COMPUTED_VALUE"""),0.75)</f>
        <v>0.75</v>
      </c>
      <c r="L4032" s="82">
        <f>IFERROR(__xludf.DUMMYFUNCTION("""COMPUTED_VALUE"""),0.25)</f>
        <v>0.25</v>
      </c>
      <c r="M4032" s="82">
        <f>IFERROR(__xludf.DUMMYFUNCTION("""COMPUTED_VALUE"""),0.5)</f>
        <v>0.5</v>
      </c>
      <c r="N4032" s="82">
        <f>IFERROR(__xludf.DUMMYFUNCTION("""COMPUTED_VALUE"""),1.25)</f>
        <v>1.25</v>
      </c>
      <c r="O4032" s="82">
        <f>IFERROR(__xludf.DUMMYFUNCTION("""COMPUTED_VALUE"""),393.375)</f>
        <v>393.375</v>
      </c>
      <c r="P4032" s="82">
        <f>IFERROR(__xludf.DUMMYFUNCTION("""COMPUTED_VALUE"""),1.5208333333333333)</f>
        <v>1.520833333</v>
      </c>
      <c r="Q4032" s="82">
        <f>IFERROR(__xludf.DUMMYFUNCTION("""COMPUTED_VALUE"""),1.1041666666666665)</f>
        <v>1.104166667</v>
      </c>
      <c r="R4032" s="82">
        <f>IFERROR(__xludf.DUMMYFUNCTION("""COMPUTED_VALUE"""),0.41666666666666663)</f>
        <v>0.4166666667</v>
      </c>
      <c r="S4032" s="82">
        <f>IFERROR(__xludf.DUMMYFUNCTION("""COMPUTED_VALUE"""),2.770833333333333)</f>
        <v>2.770833333</v>
      </c>
      <c r="T4032" s="82">
        <f>IFERROR(__xludf.DUMMYFUNCTION("""COMPUTED_VALUE"""),280.96254963622806)</f>
        <v>280.9625496</v>
      </c>
      <c r="U4032" s="82">
        <f>IFERROR(__xludf.DUMMYFUNCTION("""COMPUTED_VALUE"""),0.6793437786117072)</f>
        <v>0.6793437786</v>
      </c>
      <c r="V4032" s="82">
        <f>IFERROR(__xludf.DUMMYFUNCTION("""COMPUTED_VALUE"""),0.4954303831298046)</f>
        <v>0.4954303831</v>
      </c>
      <c r="W4032" s="82">
        <f>IFERROR(__xludf.DUMMYFUNCTION("""COMPUTED_VALUE"""),0.7581161550821645)</f>
        <v>0.7581161551</v>
      </c>
      <c r="X4032" s="82">
        <f>IFERROR(__xludf.DUMMYFUNCTION("""COMPUTED_VALUE"""),1.9796300848755009)</f>
        <v>1.979630085</v>
      </c>
      <c r="Y4032" s="82">
        <f>IFERROR(__xludf.DUMMYFUNCTION("""COMPUTED_VALUE"""),296.9697794766497)</f>
        <v>296.9697795</v>
      </c>
      <c r="Z4032" s="82">
        <f>IFERROR(__xludf.DUMMYFUNCTION("""COMPUTED_VALUE"""),0.7559483618444434)</f>
        <v>0.7559483618</v>
      </c>
      <c r="AA4032" s="82">
        <f>IFERROR(__xludf.DUMMYFUNCTION("""COMPUTED_VALUE"""),0.43596530828626723)</f>
        <v>0.4359653083</v>
      </c>
      <c r="AB4032" s="82">
        <f>IFERROR(__xludf.DUMMYFUNCTION("""COMPUTED_VALUE"""),0.9214803576353586)</f>
        <v>0.9214803576</v>
      </c>
      <c r="AC4032" s="82">
        <f>IFERROR(__xludf.DUMMYFUNCTION("""COMPUTED_VALUE"""),2.0175637504102175)</f>
        <v>2.01756375</v>
      </c>
      <c r="AD4032" s="82">
        <f>IFERROR(__xludf.DUMMYFUNCTION("""COMPUTED_VALUE"""),0.7845916187519695)</f>
        <v>0.7845916188</v>
      </c>
      <c r="AE4032" s="82">
        <f>IFERROR(__xludf.DUMMYFUNCTION("""COMPUTED_VALUE"""),0.992131259032125)</f>
        <v>0.992131259</v>
      </c>
      <c r="AF4032" s="82">
        <f>IFERROR(__xludf.DUMMYFUNCTION("""COMPUTED_VALUE"""),0.5734401229830033)</f>
        <v>0.573440123</v>
      </c>
      <c r="AG4032" s="82">
        <f>IFERROR(__xludf.DUMMYFUNCTION("""COMPUTED_VALUE"""),0.5426051633732776)</f>
        <v>0.5426051634</v>
      </c>
      <c r="AH4032" s="82">
        <f>IFERROR(__xludf.DUMMYFUNCTION("""COMPUTED_VALUE"""),0.6195591092206361)</f>
        <v>0.6195591092</v>
      </c>
      <c r="AI4032" s="82">
        <f>IFERROR(__xludf.DUMMYFUNCTION("""COMPUTED_VALUE"""),1.4000976304824833)</f>
        <v>1.40009763</v>
      </c>
      <c r="AJ4032" s="82">
        <f>IFERROR(__xludf.DUMMYFUNCTION("""COMPUTED_VALUE"""),2.238680004461477)</f>
        <v>2.238680004</v>
      </c>
      <c r="AK4032" s="82">
        <f>IFERROR(__xludf.DUMMYFUNCTION("""COMPUTED_VALUE"""),2.228701961497123)</f>
        <v>2.228701961</v>
      </c>
      <c r="AL4032" s="82">
        <f>IFERROR(__xludf.DUMMYFUNCTION("""COMPUTED_VALUE"""),0.5496079510685383)</f>
        <v>0.5496079511</v>
      </c>
      <c r="AM4032" s="82">
        <f>IFERROR(__xludf.DUMMYFUNCTION("""COMPUTED_VALUE"""),1.399672269330859)</f>
        <v>1.399672269</v>
      </c>
      <c r="AN4032" s="82">
        <f>IFERROR(__xludf.DUMMYFUNCTION("""COMPUTED_VALUE"""),0.8388168731359468)</f>
        <v>0.8388168731</v>
      </c>
      <c r="AO4032" s="82">
        <f>IFERROR(__xludf.DUMMYFUNCTION("""COMPUTED_VALUE"""),1.0095036886985846)</f>
        <v>1.009503689</v>
      </c>
      <c r="AP4032" s="82">
        <f>IFERROR(__xludf.DUMMYFUNCTION("""COMPUTED_VALUE"""),0.5948825832674244)</f>
        <v>0.5948825833</v>
      </c>
      <c r="AQ4032" s="82">
        <f>IFERROR(__xludf.DUMMYFUNCTION("""COMPUTED_VALUE"""),0.6343197625194744)</f>
        <v>0.6343197625</v>
      </c>
      <c r="AR4032" s="82">
        <f>IFERROR(__xludf.DUMMYFUNCTION("""COMPUTED_VALUE"""),0.654593633620111)</f>
        <v>0.6545936336</v>
      </c>
      <c r="AS4032" s="82">
        <f>IFERROR(__xludf.DUMMYFUNCTION("""COMPUTED_VALUE"""),12.0)</f>
        <v>12</v>
      </c>
      <c r="AT4032" s="82">
        <f>IFERROR(__xludf.DUMMYFUNCTION("""COMPUTED_VALUE"""),0.3209727042004221)</f>
        <v>0.3209727042</v>
      </c>
      <c r="AU4032" s="82">
        <f>IFERROR(__xludf.DUMMYFUNCTION("""COMPUTED_VALUE"""),-0.17574718883429435)</f>
        <v>-0.1757471888</v>
      </c>
      <c r="AV4032" s="82">
        <f>IFERROR(__xludf.DUMMYFUNCTION("""COMPUTED_VALUE"""),12.59664700100356)</f>
        <v>12.596647</v>
      </c>
      <c r="AW4032" s="82">
        <f t="shared" si="1"/>
        <v>-14.85677606</v>
      </c>
      <c r="AX4032" s="83">
        <f t="array" ref="AX4032">IFERROR(DGET('SBV Import'!A:G,"SBV",{"RSC ID","Tier";B4032,A4032}))</f>
        <v>25.50640093</v>
      </c>
      <c r="AY4032" s="82">
        <f t="shared" si="2"/>
        <v>-6.112235571</v>
      </c>
      <c r="AZ4032" s="82">
        <v>8.744540491467887</v>
      </c>
      <c r="BA4032" s="84">
        <v>4000.0</v>
      </c>
      <c r="BB4032" s="84" t="b">
        <f>IFERROR(__xludf.DUMMYFUNCTION("iferror(if(A4032="""",,E4032&gt;=FILTER(Constants!$F$2:$F$10,Constants!$A$2:$A$10=A4032)))"),TRUE)</f>
        <v>1</v>
      </c>
    </row>
    <row r="4033">
      <c r="A4033" s="89" t="str">
        <f>IFERROR(__xludf.DUMMYFUNCTION("""COMPUTED_VALUE"""),"Amateur")</f>
        <v>Amateur</v>
      </c>
      <c r="B4033" s="87" t="str">
        <f>IFERROR(__xludf.DUMMYFUNCTION("""COMPUTED_VALUE"""),"RSC007678")</f>
        <v>RSC007678</v>
      </c>
      <c r="C4033" s="73" t="str">
        <f>IFERROR(__xludf.DUMMYFUNCTION("""COMPUTED_VALUE"""),"SavedHawk")</f>
        <v>SavedHawk</v>
      </c>
      <c r="D4033" s="73" t="str">
        <f>IFERROR(__xludf.DUMMYFUNCTION("""COMPUTED_VALUE"""),"Kiwis")</f>
        <v>Kiwis</v>
      </c>
      <c r="E4033" s="82">
        <f>IFERROR(__xludf.DUMMYFUNCTION("""COMPUTED_VALUE"""),24.0)</f>
        <v>24</v>
      </c>
      <c r="F4033" s="82">
        <f>IFERROR(__xludf.DUMMYFUNCTION("""COMPUTED_VALUE"""),4.0)</f>
        <v>4</v>
      </c>
      <c r="G4033" s="86">
        <f>IFERROR(__xludf.DUMMYFUNCTION("""COMPUTED_VALUE"""),20.0)</f>
        <v>20</v>
      </c>
      <c r="H4033" s="86">
        <f>IFERROR(__xludf.DUMMYFUNCTION("""COMPUTED_VALUE"""),0.16666666666666666)</f>
        <v>0.1666666667</v>
      </c>
      <c r="I4033" s="86">
        <f>IFERROR(__xludf.DUMMYFUNCTION("""COMPUTED_VALUE"""),0.21739130434782608)</f>
        <v>0.2173913043</v>
      </c>
      <c r="J4033" s="82">
        <f>IFERROR(__xludf.DUMMYFUNCTION("""COMPUTED_VALUE"""),172.91666666666666)</f>
        <v>172.9166667</v>
      </c>
      <c r="K4033" s="82">
        <f>IFERROR(__xludf.DUMMYFUNCTION("""COMPUTED_VALUE"""),0.20833333333333334)</f>
        <v>0.2083333333</v>
      </c>
      <c r="L4033" s="82">
        <f>IFERROR(__xludf.DUMMYFUNCTION("""COMPUTED_VALUE"""),0.2916666666666667)</f>
        <v>0.2916666667</v>
      </c>
      <c r="M4033" s="82">
        <f>IFERROR(__xludf.DUMMYFUNCTION("""COMPUTED_VALUE"""),0.75)</f>
        <v>0.75</v>
      </c>
      <c r="N4033" s="82">
        <f>IFERROR(__xludf.DUMMYFUNCTION("""COMPUTED_VALUE"""),0.9583333333333334)</f>
        <v>0.9583333333</v>
      </c>
      <c r="O4033" s="82">
        <f>IFERROR(__xludf.DUMMYFUNCTION("""COMPUTED_VALUE"""),366.1875)</f>
        <v>366.1875</v>
      </c>
      <c r="P4033" s="82">
        <f>IFERROR(__xludf.DUMMYFUNCTION("""COMPUTED_VALUE"""),1.2916666666666667)</f>
        <v>1.291666667</v>
      </c>
      <c r="Q4033" s="82">
        <f>IFERROR(__xludf.DUMMYFUNCTION("""COMPUTED_VALUE"""),0.7708333333333334)</f>
        <v>0.7708333333</v>
      </c>
      <c r="R4033" s="82">
        <f>IFERROR(__xludf.DUMMYFUNCTION("""COMPUTED_VALUE"""),0.7743055555555555)</f>
        <v>0.7743055556</v>
      </c>
      <c r="S4033" s="82">
        <f>IFERROR(__xludf.DUMMYFUNCTION("""COMPUTED_VALUE"""),2.6875000000000004)</f>
        <v>2.6875</v>
      </c>
      <c r="T4033" s="82">
        <f>IFERROR(__xludf.DUMMYFUNCTION("""COMPUTED_VALUE"""),300.50840477583245)</f>
        <v>300.5084048</v>
      </c>
      <c r="U4033" s="82">
        <f>IFERROR(__xludf.DUMMYFUNCTION("""COMPUTED_VALUE"""),0.8513195800668787)</f>
        <v>0.8513195801</v>
      </c>
      <c r="V4033" s="82">
        <f>IFERROR(__xludf.DUMMYFUNCTION("""COMPUTED_VALUE"""),0.45542273909637676)</f>
        <v>0.4554227391</v>
      </c>
      <c r="W4033" s="82">
        <f>IFERROR(__xludf.DUMMYFUNCTION("""COMPUTED_VALUE"""),0.8499691730228837)</f>
        <v>0.849969173</v>
      </c>
      <c r="X4033" s="82">
        <f>IFERROR(__xludf.DUMMYFUNCTION("""COMPUTED_VALUE"""),2.1030049779974016)</f>
        <v>2.103004978</v>
      </c>
      <c r="Y4033" s="82">
        <f>IFERROR(__xludf.DUMMYFUNCTION("""COMPUTED_VALUE"""),287.0240607895272)</f>
        <v>287.0240608</v>
      </c>
      <c r="Z4033" s="82">
        <f>IFERROR(__xludf.DUMMYFUNCTION("""COMPUTED_VALUE"""),0.7263659910519702)</f>
        <v>0.7263659911</v>
      </c>
      <c r="AA4033" s="82">
        <f>IFERROR(__xludf.DUMMYFUNCTION("""COMPUTED_VALUE"""),0.4134747903916227)</f>
        <v>0.4134747904</v>
      </c>
      <c r="AB4033" s="82">
        <f>IFERROR(__xludf.DUMMYFUNCTION("""COMPUTED_VALUE"""),0.8629157661664996)</f>
        <v>0.8629157662</v>
      </c>
      <c r="AC4033" s="82">
        <f>IFERROR(__xludf.DUMMYFUNCTION("""COMPUTED_VALUE"""),1.9911754668086095)</f>
        <v>1.991175467</v>
      </c>
      <c r="AD4033" s="82">
        <f>IFERROR(__xludf.DUMMYFUNCTION("""COMPUTED_VALUE"""),0.6024465899862844)</f>
        <v>0.60244659</v>
      </c>
      <c r="AE4033" s="82">
        <f>IFERROR(__xludf.DUMMYFUNCTION("""COMPUTED_VALUE"""),0.2868159246162001)</f>
        <v>0.2868159246</v>
      </c>
      <c r="AF4033" s="82">
        <f>IFERROR(__xludf.DUMMYFUNCTION("""COMPUTED_VALUE"""),0.7054037475668458)</f>
        <v>0.7054037476</v>
      </c>
      <c r="AG4033" s="82">
        <f>IFERROR(__xludf.DUMMYFUNCTION("""COMPUTED_VALUE"""),0.8691462474163295)</f>
        <v>0.8691462474</v>
      </c>
      <c r="AH4033" s="82">
        <f>IFERROR(__xludf.DUMMYFUNCTION("""COMPUTED_VALUE"""),0.48129024754876)</f>
        <v>0.4812902475</v>
      </c>
      <c r="AI4033" s="82">
        <f>IFERROR(__xludf.DUMMYFUNCTION("""COMPUTED_VALUE"""),1.21855992771038)</f>
        <v>1.218559928</v>
      </c>
      <c r="AJ4033" s="82">
        <f>IFERROR(__xludf.DUMMYFUNCTION("""COMPUTED_VALUE"""),1.5172523890090663)</f>
        <v>1.517252389</v>
      </c>
      <c r="AK4033" s="82">
        <f>IFERROR(__xludf.DUMMYFUNCTION("""COMPUTED_VALUE"""),1.6925666356993414)</f>
        <v>1.692566636</v>
      </c>
      <c r="AL4033" s="82">
        <f>IFERROR(__xludf.DUMMYFUNCTION("""COMPUTED_VALUE"""),0.9109807509862583)</f>
        <v>0.910980751</v>
      </c>
      <c r="AM4033" s="82">
        <f>IFERROR(__xludf.DUMMYFUNCTION("""COMPUTED_VALUE"""),1.2779332565152497)</f>
        <v>1.277933257</v>
      </c>
      <c r="AN4033" s="82">
        <f>IFERROR(__xludf.DUMMYFUNCTION("""COMPUTED_VALUE"""),0.6225125220876572)</f>
        <v>0.6225125221</v>
      </c>
      <c r="AO4033" s="82">
        <f>IFERROR(__xludf.DUMMYFUNCTION("""COMPUTED_VALUE"""),0.28041769130516236)</f>
        <v>0.2804176913</v>
      </c>
      <c r="AP4033" s="82">
        <f>IFERROR(__xludf.DUMMYFUNCTION("""COMPUTED_VALUE"""),0.6940296804786619)</f>
        <v>0.6940296805</v>
      </c>
      <c r="AQ4033" s="82">
        <f>IFERROR(__xludf.DUMMYFUNCTION("""COMPUTED_VALUE"""),0.9514796437792116)</f>
        <v>0.9514796438</v>
      </c>
      <c r="AR4033" s="82">
        <f>IFERROR(__xludf.DUMMYFUNCTION("""COMPUTED_VALUE"""),0.5018551191087518)</f>
        <v>0.5018551191</v>
      </c>
      <c r="AS4033" s="82">
        <f>IFERROR(__xludf.DUMMYFUNCTION("""COMPUTED_VALUE"""),78.0)</f>
        <v>78</v>
      </c>
      <c r="AT4033" s="82">
        <f>IFERROR(__xludf.DUMMYFUNCTION("""COMPUTED_VALUE"""),0.42335301468983083)</f>
        <v>0.4233530147</v>
      </c>
      <c r="AU4033" s="82">
        <f>IFERROR(__xludf.DUMMYFUNCTION("""COMPUTED_VALUE"""),-0.4193072291808238)</f>
        <v>-0.4193072292</v>
      </c>
      <c r="AV4033" s="82">
        <f>IFERROR(__xludf.DUMMYFUNCTION("""COMPUTED_VALUE"""),7.616543821871716)</f>
        <v>7.616543822</v>
      </c>
      <c r="AW4033" s="82">
        <f t="shared" si="1"/>
        <v>-22.21943906</v>
      </c>
      <c r="AX4033" s="83">
        <f t="array" ref="AX4033">IFERROR(DGET('SBV Import'!A:G,"SBV",{"RSC ID","Tier";B4033,A4033}))</f>
        <v>7.391317867</v>
      </c>
      <c r="AY4033" s="82">
        <f t="shared" si="2"/>
        <v>-22.64589524</v>
      </c>
      <c r="AZ4033" s="82">
        <v>0.4264561749042777</v>
      </c>
      <c r="BA4033" s="84">
        <v>4000.0</v>
      </c>
      <c r="BB4033" s="84" t="b">
        <f>IFERROR(__xludf.DUMMYFUNCTION("iferror(if(A4033="""",,E4033&gt;=FILTER(Constants!$F$2:$F$10,Constants!$A$2:$A$10=A4033)))"),TRUE)</f>
        <v>1</v>
      </c>
    </row>
    <row r="4034">
      <c r="A4034" s="89" t="str">
        <f>IFERROR(__xludf.DUMMYFUNCTION("""COMPUTED_VALUE"""),"Amateur")</f>
        <v>Amateur</v>
      </c>
      <c r="B4034" s="87" t="str">
        <f>IFERROR(__xludf.DUMMYFUNCTION("""COMPUTED_VALUE"""),"RSC000968")</f>
        <v>RSC000968</v>
      </c>
      <c r="C4034" s="73" t="str">
        <f>IFERROR(__xludf.DUMMYFUNCTION("""COMPUTED_VALUE"""),"Tsg_raven5336")</f>
        <v>Tsg_raven5336</v>
      </c>
      <c r="D4034" s="73"/>
      <c r="E4034" s="82">
        <f>IFERROR(__xludf.DUMMYFUNCTION("""COMPUTED_VALUE"""),6.0)</f>
        <v>6</v>
      </c>
      <c r="F4034" s="82">
        <f>IFERROR(__xludf.DUMMYFUNCTION("""COMPUTED_VALUE"""),3.0)</f>
        <v>3</v>
      </c>
      <c r="G4034" s="86">
        <f>IFERROR(__xludf.DUMMYFUNCTION("""COMPUTED_VALUE"""),3.0)</f>
        <v>3</v>
      </c>
      <c r="H4034" s="86">
        <f>IFERROR(__xludf.DUMMYFUNCTION("""COMPUTED_VALUE"""),0.5)</f>
        <v>0.5</v>
      </c>
      <c r="I4034" s="86">
        <f>IFERROR(__xludf.DUMMYFUNCTION("""COMPUTED_VALUE"""),0.0)</f>
        <v>0</v>
      </c>
      <c r="J4034" s="82">
        <f>IFERROR(__xludf.DUMMYFUNCTION("""COMPUTED_VALUE"""),160.0)</f>
        <v>160</v>
      </c>
      <c r="K4034" s="82">
        <f>IFERROR(__xludf.DUMMYFUNCTION("""COMPUTED_VALUE"""),0.0)</f>
        <v>0</v>
      </c>
      <c r="L4034" s="82">
        <f>IFERROR(__xludf.DUMMYFUNCTION("""COMPUTED_VALUE"""),0.0)</f>
        <v>0</v>
      </c>
      <c r="M4034" s="82">
        <f>IFERROR(__xludf.DUMMYFUNCTION("""COMPUTED_VALUE"""),0.8333333333333334)</f>
        <v>0.8333333333</v>
      </c>
      <c r="N4034" s="82">
        <f>IFERROR(__xludf.DUMMYFUNCTION("""COMPUTED_VALUE"""),0.6666666666666666)</f>
        <v>0.6666666667</v>
      </c>
      <c r="O4034" s="82">
        <f>IFERROR(__xludf.DUMMYFUNCTION("""COMPUTED_VALUE"""),281.23611111111114)</f>
        <v>281.2361111</v>
      </c>
      <c r="P4034" s="82">
        <f>IFERROR(__xludf.DUMMYFUNCTION("""COMPUTED_VALUE"""),0.5694444444444444)</f>
        <v>0.5694444444</v>
      </c>
      <c r="Q4034" s="82">
        <f>IFERROR(__xludf.DUMMYFUNCTION("""COMPUTED_VALUE"""),0.27777777777777773)</f>
        <v>0.2777777778</v>
      </c>
      <c r="R4034" s="82">
        <f>IFERROR(__xludf.DUMMYFUNCTION("""COMPUTED_VALUE"""),1.125)</f>
        <v>1.125</v>
      </c>
      <c r="S4034" s="82">
        <f>IFERROR(__xludf.DUMMYFUNCTION("""COMPUTED_VALUE"""),1.8472222222222223)</f>
        <v>1.847222222</v>
      </c>
      <c r="T4034" s="82">
        <f>IFERROR(__xludf.DUMMYFUNCTION("""COMPUTED_VALUE"""),280.5863045156404)</f>
        <v>280.5863045</v>
      </c>
      <c r="U4034" s="82">
        <f>IFERROR(__xludf.DUMMYFUNCTION("""COMPUTED_VALUE"""),0.6568778617545221)</f>
        <v>0.6568778618</v>
      </c>
      <c r="V4034" s="82">
        <f>IFERROR(__xludf.DUMMYFUNCTION("""COMPUTED_VALUE"""),0.35541389245374067)</f>
        <v>0.3554138925</v>
      </c>
      <c r="W4034" s="82">
        <f>IFERROR(__xludf.DUMMYFUNCTION("""COMPUTED_VALUE"""),0.8361967486445665)</f>
        <v>0.8361967486</v>
      </c>
      <c r="X4034" s="82">
        <f>IFERROR(__xludf.DUMMYFUNCTION("""COMPUTED_VALUE"""),2.091692496834812)</f>
        <v>2.091692497</v>
      </c>
      <c r="Y4034" s="82">
        <f>IFERROR(__xludf.DUMMYFUNCTION("""COMPUTED_VALUE"""),314.5052367878332)</f>
        <v>314.5052368</v>
      </c>
      <c r="Z4034" s="82">
        <f>IFERROR(__xludf.DUMMYFUNCTION("""COMPUTED_VALUE"""),0.8587000397405208)</f>
        <v>0.8587000397</v>
      </c>
      <c r="AA4034" s="82">
        <f>IFERROR(__xludf.DUMMYFUNCTION("""COMPUTED_VALUE"""),0.509447984372083)</f>
        <v>0.5094479844</v>
      </c>
      <c r="AB4034" s="82">
        <f>IFERROR(__xludf.DUMMYFUNCTION("""COMPUTED_VALUE"""),0.994900153960875)</f>
        <v>0.994900154</v>
      </c>
      <c r="AC4034" s="82">
        <f>IFERROR(__xludf.DUMMYFUNCTION("""COMPUTED_VALUE"""),2.1073274091616914)</f>
        <v>2.107327409</v>
      </c>
      <c r="AD4034" s="82">
        <f>IFERROR(__xludf.DUMMYFUNCTION("""COMPUTED_VALUE"""),0.5087355671216909)</f>
        <v>0.5087355671</v>
      </c>
      <c r="AE4034" s="82">
        <f>IFERROR(__xludf.DUMMYFUNCTION("""COMPUTED_VALUE"""),0.0)</f>
        <v>0</v>
      </c>
      <c r="AF4034" s="82">
        <f>IFERROR(__xludf.DUMMYFUNCTION("""COMPUTED_VALUE"""),0.0)</f>
        <v>0</v>
      </c>
      <c r="AG4034" s="82">
        <f>IFERROR(__xludf.DUMMYFUNCTION("""COMPUTED_VALUE"""),0.8376049898230337)</f>
        <v>0.8376049898</v>
      </c>
      <c r="AH4034" s="82">
        <f>IFERROR(__xludf.DUMMYFUNCTION("""COMPUTED_VALUE"""),0.3163564730227995)</f>
        <v>0.316356473</v>
      </c>
      <c r="AI4034" s="82">
        <f>IFERROR(__xludf.DUMMYFUNCTION("""COMPUTED_VALUE"""),1.0023158884985226)</f>
        <v>1.002315888</v>
      </c>
      <c r="AJ4034" s="82">
        <f>IFERROR(__xludf.DUMMYFUNCTION("""COMPUTED_VALUE"""),0.8668954726582765)</f>
        <v>0.8668954727</v>
      </c>
      <c r="AK4034" s="82">
        <f>IFERROR(__xludf.DUMMYFUNCTION("""COMPUTED_VALUE"""),0.7815613955324839)</f>
        <v>0.7815613955</v>
      </c>
      <c r="AL4034" s="82">
        <f>IFERROR(__xludf.DUMMYFUNCTION("""COMPUTED_VALUE"""),1.3453771517571305)</f>
        <v>1.345377152</v>
      </c>
      <c r="AM4034" s="82">
        <f>IFERROR(__xludf.DUMMYFUNCTION("""COMPUTED_VALUE"""),0.8831232243828734)</f>
        <v>0.8831232244</v>
      </c>
      <c r="AN4034" s="82">
        <f>IFERROR(__xludf.DUMMYFUNCTION("""COMPUTED_VALUE"""),0.5760115867027961)</f>
        <v>0.5760115867</v>
      </c>
      <c r="AO4034" s="82">
        <f>IFERROR(__xludf.DUMMYFUNCTION("""COMPUTED_VALUE"""),0.0)</f>
        <v>0</v>
      </c>
      <c r="AP4034" s="82">
        <f>IFERROR(__xludf.DUMMYFUNCTION("""COMPUTED_VALUE"""),0.0)</f>
        <v>0</v>
      </c>
      <c r="AQ4034" s="82">
        <f>IFERROR(__xludf.DUMMYFUNCTION("""COMPUTED_VALUE"""),1.057199604199124)</f>
        <v>1.057199604</v>
      </c>
      <c r="AR4034" s="82">
        <f>IFERROR(__xludf.DUMMYFUNCTION("""COMPUTED_VALUE"""),0.3491166045973925)</f>
        <v>0.3491166046</v>
      </c>
      <c r="AS4034" s="82">
        <f>IFERROR(__xludf.DUMMYFUNCTION("""COMPUTED_VALUE"""),23.0)</f>
        <v>23</v>
      </c>
      <c r="AT4034" s="82">
        <f>IFERROR(__xludf.DUMMYFUNCTION("""COMPUTED_VALUE"""),0.7893731668945888)</f>
        <v>0.7893731669</v>
      </c>
      <c r="AU4034" s="82">
        <f>IFERROR(__xludf.DUMMYFUNCTION("""COMPUTED_VALUE"""),-0.5416038125462908)</f>
        <v>-0.5416038125</v>
      </c>
      <c r="AV4034" s="82">
        <f>IFERROR(__xludf.DUMMYFUNCTION("""COMPUTED_VALUE"""),5.115929998894877)</f>
        <v>5.115929999</v>
      </c>
      <c r="AW4034" s="82">
        <f t="shared" si="1"/>
        <v>-27.54975939</v>
      </c>
      <c r="AX4034" s="83">
        <f t="array" ref="AX4034">IFERROR(DGET('SBV Import'!A:G,"SBV",{"RSC ID","Tier";B4034,A4034}))</f>
        <v>-7.76695347</v>
      </c>
      <c r="AY4034" s="82">
        <f t="shared" si="2"/>
        <v>-95.92031878</v>
      </c>
      <c r="AZ4034" s="82">
        <v>68.3705593951608</v>
      </c>
      <c r="BA4034" s="84">
        <v>4000.0</v>
      </c>
      <c r="BB4034" s="84" t="b">
        <f>IFERROR(__xludf.DUMMYFUNCTION("iferror(if(A4034="""",,E4034&gt;=FILTER(Constants!$F$2:$F$10,Constants!$A$2:$A$10=A4034)))"),TRUE)</f>
        <v>1</v>
      </c>
    </row>
    <row r="4035">
      <c r="A4035" s="89" t="str">
        <f>IFERROR(__xludf.DUMMYFUNCTION("""COMPUTED_VALUE"""),"Amateur")</f>
        <v>Amateur</v>
      </c>
      <c r="B4035" s="87" t="str">
        <f>IFERROR(__xludf.DUMMYFUNCTION("""COMPUTED_VALUE"""),"RSC007587")</f>
        <v>RSC007587</v>
      </c>
      <c r="C4035" s="73" t="str">
        <f>IFERROR(__xludf.DUMMYFUNCTION("""COMPUTED_VALUE"""),"ShortyoShire")</f>
        <v>ShortyoShire</v>
      </c>
      <c r="D4035" s="73" t="str">
        <f>IFERROR(__xludf.DUMMYFUNCTION("""COMPUTED_VALUE"""),"Aloof Goofs")</f>
        <v>Aloof Goofs</v>
      </c>
      <c r="E4035" s="82">
        <f>IFERROR(__xludf.DUMMYFUNCTION("""COMPUTED_VALUE"""),6.0)</f>
        <v>6</v>
      </c>
      <c r="F4035" s="82">
        <f>IFERROR(__xludf.DUMMYFUNCTION("""COMPUTED_VALUE"""),1.0)</f>
        <v>1</v>
      </c>
      <c r="G4035" s="86">
        <f>IFERROR(__xludf.DUMMYFUNCTION("""COMPUTED_VALUE"""),5.0)</f>
        <v>5</v>
      </c>
      <c r="H4035" s="86">
        <f>IFERROR(__xludf.DUMMYFUNCTION("""COMPUTED_VALUE"""),0.16666666666666666)</f>
        <v>0.1666666667</v>
      </c>
      <c r="I4035" s="86">
        <f>IFERROR(__xludf.DUMMYFUNCTION("""COMPUTED_VALUE"""),0.0)</f>
        <v>0</v>
      </c>
      <c r="J4035" s="82">
        <f>IFERROR(__xludf.DUMMYFUNCTION("""COMPUTED_VALUE"""),122.16666666666667)</f>
        <v>122.1666667</v>
      </c>
      <c r="K4035" s="82">
        <f>IFERROR(__xludf.DUMMYFUNCTION("""COMPUTED_VALUE"""),0.0)</f>
        <v>0</v>
      </c>
      <c r="L4035" s="82">
        <f>IFERROR(__xludf.DUMMYFUNCTION("""COMPUTED_VALUE"""),0.0)</f>
        <v>0</v>
      </c>
      <c r="M4035" s="82">
        <f>IFERROR(__xludf.DUMMYFUNCTION("""COMPUTED_VALUE"""),0.8333333333333334)</f>
        <v>0.8333333333</v>
      </c>
      <c r="N4035" s="82">
        <f>IFERROR(__xludf.DUMMYFUNCTION("""COMPUTED_VALUE"""),0.6666666666666666)</f>
        <v>0.6666666667</v>
      </c>
      <c r="O4035" s="82">
        <f>IFERROR(__xludf.DUMMYFUNCTION("""COMPUTED_VALUE"""),395.97222222222223)</f>
        <v>395.9722222</v>
      </c>
      <c r="P4035" s="82">
        <f>IFERROR(__xludf.DUMMYFUNCTION("""COMPUTED_VALUE"""),1.5972222222222223)</f>
        <v>1.597222222</v>
      </c>
      <c r="Q4035" s="82">
        <f>IFERROR(__xludf.DUMMYFUNCTION("""COMPUTED_VALUE"""),1.0416666666666665)</f>
        <v>1.041666667</v>
      </c>
      <c r="R4035" s="82">
        <f>IFERROR(__xludf.DUMMYFUNCTION("""COMPUTED_VALUE"""),0.49999999999999994)</f>
        <v>0.5</v>
      </c>
      <c r="S4035" s="82">
        <f>IFERROR(__xludf.DUMMYFUNCTION("""COMPUTED_VALUE"""),3.0416666666666665)</f>
        <v>3.041666667</v>
      </c>
      <c r="T4035" s="82">
        <f>IFERROR(__xludf.DUMMYFUNCTION("""COMPUTED_VALUE"""),278.0637641029368)</f>
        <v>278.0637641</v>
      </c>
      <c r="U4035" s="82">
        <f>IFERROR(__xludf.DUMMYFUNCTION("""COMPUTED_VALUE"""),0.6595597455636335)</f>
        <v>0.6595597456</v>
      </c>
      <c r="V4035" s="82">
        <f>IFERROR(__xludf.DUMMYFUNCTION("""COMPUTED_VALUE"""),0.44626767818826024)</f>
        <v>0.4462676782</v>
      </c>
      <c r="W4035" s="82">
        <f>IFERROR(__xludf.DUMMYFUNCTION("""COMPUTED_VALUE"""),0.7693636630399273)</f>
        <v>0.769363663</v>
      </c>
      <c r="X4035" s="82">
        <f>IFERROR(__xludf.DUMMYFUNCTION("""COMPUTED_VALUE"""),1.9772941391916206)</f>
        <v>1.977294139</v>
      </c>
      <c r="Y4035" s="82">
        <f>IFERROR(__xludf.DUMMYFUNCTION("""COMPUTED_VALUE"""),310.28641660450484)</f>
        <v>310.2864166</v>
      </c>
      <c r="Z4035" s="82">
        <f>IFERROR(__xludf.DUMMYFUNCTION("""COMPUTED_VALUE"""),0.8788775689306018)</f>
        <v>0.8788775689</v>
      </c>
      <c r="AA4035" s="82">
        <f>IFERROR(__xludf.DUMMYFUNCTION("""COMPUTED_VALUE"""),0.4892295816975866)</f>
        <v>0.4892295817</v>
      </c>
      <c r="AB4035" s="82">
        <f>IFERROR(__xludf.DUMMYFUNCTION("""COMPUTED_VALUE"""),0.8939865815139747)</f>
        <v>0.8939865815</v>
      </c>
      <c r="AC4035" s="82">
        <f>IFERROR(__xludf.DUMMYFUNCTION("""COMPUTED_VALUE"""),2.1450590346650125)</f>
        <v>2.145059035</v>
      </c>
      <c r="AD4035" s="82">
        <f>IFERROR(__xludf.DUMMYFUNCTION("""COMPUTED_VALUE"""),0.3937222518586172)</f>
        <v>0.3937222519</v>
      </c>
      <c r="AE4035" s="82">
        <f>IFERROR(__xludf.DUMMYFUNCTION("""COMPUTED_VALUE"""),0.0)</f>
        <v>0</v>
      </c>
      <c r="AF4035" s="82">
        <f>IFERROR(__xludf.DUMMYFUNCTION("""COMPUTED_VALUE"""),0.0)</f>
        <v>0</v>
      </c>
      <c r="AG4035" s="82">
        <f>IFERROR(__xludf.DUMMYFUNCTION("""COMPUTED_VALUE"""),0.9321541850461285)</f>
        <v>0.932154185</v>
      </c>
      <c r="AH4035" s="82">
        <f>IFERROR(__xludf.DUMMYFUNCTION("""COMPUTED_VALUE"""),0.3107917571931898)</f>
        <v>0.3107917572</v>
      </c>
      <c r="AI4035" s="82">
        <f>IFERROR(__xludf.DUMMYFUNCTION("""COMPUTED_VALUE"""),1.424033884816566)</f>
        <v>1.424033885</v>
      </c>
      <c r="AJ4035" s="82">
        <f>IFERROR(__xludf.DUMMYFUNCTION("""COMPUTED_VALUE"""),2.4216490362935956)</f>
        <v>2.421649036</v>
      </c>
      <c r="AK4035" s="82">
        <f>IFERROR(__xludf.DUMMYFUNCTION("""COMPUTED_VALUE"""),2.3341745718524436)</f>
        <v>2.334174572</v>
      </c>
      <c r="AL4035" s="82">
        <f>IFERROR(__xludf.DUMMYFUNCTION("""COMPUTED_VALUE"""),0.6498877241282601)</f>
        <v>0.6498877241</v>
      </c>
      <c r="AM4035" s="82">
        <f>IFERROR(__xludf.DUMMYFUNCTION("""COMPUTED_VALUE"""),1.5382975179960805)</f>
        <v>1.538297518</v>
      </c>
      <c r="AN4035" s="82">
        <f>IFERROR(__xludf.DUMMYFUNCTION("""COMPUTED_VALUE"""),0.4398088469303641)</f>
        <v>0.4398088469</v>
      </c>
      <c r="AO4035" s="82">
        <f>IFERROR(__xludf.DUMMYFUNCTION("""COMPUTED_VALUE"""),0.0)</f>
        <v>0</v>
      </c>
      <c r="AP4035" s="82">
        <f>IFERROR(__xludf.DUMMYFUNCTION("""COMPUTED_VALUE"""),0.0)</f>
        <v>0</v>
      </c>
      <c r="AQ4035" s="82">
        <f>IFERROR(__xludf.DUMMYFUNCTION("""COMPUTED_VALUE"""),1.057199604199124)</f>
        <v>1.057199604</v>
      </c>
      <c r="AR4035" s="82">
        <f>IFERROR(__xludf.DUMMYFUNCTION("""COMPUTED_VALUE"""),0.3491166045973925)</f>
        <v>0.3491166046</v>
      </c>
      <c r="AS4035" s="82">
        <f>IFERROR(__xludf.DUMMYFUNCTION("""COMPUTED_VALUE"""),28.0)</f>
        <v>28</v>
      </c>
      <c r="AT4035" s="82">
        <f>IFERROR(__xludf.DUMMYFUNCTION("""COMPUTED_VALUE"""),0.48740907437443864)</f>
        <v>0.4874090744</v>
      </c>
      <c r="AU4035" s="82">
        <f>IFERROR(__xludf.DUMMYFUNCTION("""COMPUTED_VALUE"""),-2.2189371315323374)</f>
        <v>-2.218937132</v>
      </c>
      <c r="AV4035" s="82">
        <f>IFERROR(__xludf.DUMMYFUNCTION("""COMPUTED_VALUE"""),-29.180718098475253)</f>
        <v>-29.1807181</v>
      </c>
      <c r="AW4035" s="82">
        <f t="shared" si="1"/>
        <v>-1299.55173</v>
      </c>
      <c r="AX4035" s="83">
        <f t="array" ref="AX4035">IFERROR(DGET('SBV Import'!A:G,"SBV",{"RSC ID","Tier";B4035,A4035}))</f>
        <v>-15.16227668</v>
      </c>
      <c r="AY4035" s="82">
        <f t="shared" si="2"/>
        <v>-218.6384707</v>
      </c>
      <c r="AZ4035" s="82">
        <v>1080.9132589676522</v>
      </c>
      <c r="BA4035" s="84">
        <v>4000.0</v>
      </c>
      <c r="BB4035" s="84" t="b">
        <f>IFERROR(__xludf.DUMMYFUNCTION("iferror(if(A4035="""",,E4035&gt;=FILTER(Constants!$F$2:$F$10,Constants!$A$2:$A$10=A4035)))"),TRUE)</f>
        <v>1</v>
      </c>
    </row>
    <row r="4036">
      <c r="A4036" s="89"/>
      <c r="B4036" s="87"/>
      <c r="C4036" s="73"/>
      <c r="D4036" s="73"/>
      <c r="E4036" s="82"/>
      <c r="F4036" s="82"/>
      <c r="G4036" s="86"/>
      <c r="H4036" s="86"/>
      <c r="I4036" s="86"/>
      <c r="J4036" s="82"/>
      <c r="K4036" s="82"/>
      <c r="L4036" s="82"/>
      <c r="M4036" s="82"/>
      <c r="N4036" s="82"/>
      <c r="O4036" s="82"/>
      <c r="P4036" s="82"/>
      <c r="Q4036" s="82"/>
      <c r="R4036" s="82"/>
      <c r="S4036" s="82"/>
      <c r="T4036" s="82"/>
      <c r="U4036" s="82"/>
      <c r="V4036" s="82"/>
      <c r="W4036" s="82"/>
      <c r="X4036" s="82"/>
      <c r="Y4036" s="82"/>
      <c r="Z4036" s="82"/>
      <c r="AA4036" s="82"/>
      <c r="AB4036" s="82"/>
      <c r="AC4036" s="82"/>
      <c r="AD4036" s="82"/>
      <c r="AE4036" s="82"/>
      <c r="AF4036" s="82"/>
      <c r="AG4036" s="82"/>
      <c r="AH4036" s="82"/>
      <c r="AI4036" s="82"/>
      <c r="AJ4036" s="82"/>
      <c r="AK4036" s="82"/>
      <c r="AL4036" s="82"/>
      <c r="AM4036" s="82"/>
      <c r="AN4036" s="82">
        <f>IFERROR(__xludf.DUMMYFUNCTION("""COMPUTED_VALUE"""),0.0)</f>
        <v>0</v>
      </c>
      <c r="AO4036" s="82">
        <f>IFERROR(__xludf.DUMMYFUNCTION("""COMPUTED_VALUE"""),0.0)</f>
        <v>0</v>
      </c>
      <c r="AP4036" s="82">
        <f>IFERROR(__xludf.DUMMYFUNCTION("""COMPUTED_VALUE"""),0.0)</f>
        <v>0</v>
      </c>
      <c r="AQ4036" s="82">
        <f>IFERROR(__xludf.DUMMYFUNCTION("""COMPUTED_VALUE"""),0.0)</f>
        <v>0</v>
      </c>
      <c r="AR4036" s="82">
        <f>IFERROR(__xludf.DUMMYFUNCTION("""COMPUTED_VALUE"""),0.0)</f>
        <v>0</v>
      </c>
      <c r="AS4036" s="82"/>
      <c r="AT4036" s="82">
        <f>IFERROR(__xludf.DUMMYFUNCTION("""COMPUTED_VALUE"""),0.0)</f>
        <v>0</v>
      </c>
      <c r="AU4036" s="82"/>
      <c r="AV4036" s="82"/>
      <c r="AW4036" s="82" t="str">
        <f t="shared" si="1"/>
        <v/>
      </c>
      <c r="AX4036" s="83" t="str">
        <f t="array" ref="AX4036">IFERROR(DGET('SBV Import'!A:G,"SBV",{"RSC ID","Tier";B4036,A4036}))</f>
        <v/>
      </c>
      <c r="AY4036" s="82" t="str">
        <f t="shared" si="2"/>
        <v/>
      </c>
      <c r="AZ4036" s="82"/>
      <c r="BA4036" s="84" t="s">
        <v>152</v>
      </c>
      <c r="BB4036" s="84" t="str">
        <f>IFERROR(__xludf.DUMMYFUNCTION("iferror(if(A4036="""",,E4036&gt;=FILTER(Constants!$F$2:$F$10,Constants!$A$2:$A$10=A4036)))"),"")</f>
        <v/>
      </c>
    </row>
    <row r="4037">
      <c r="A4037" s="89"/>
      <c r="B4037" s="87"/>
      <c r="C4037" s="73"/>
      <c r="D4037" s="73"/>
      <c r="E4037" s="82"/>
      <c r="F4037" s="82"/>
      <c r="G4037" s="86"/>
      <c r="H4037" s="86"/>
      <c r="I4037" s="86"/>
      <c r="J4037" s="82"/>
      <c r="K4037" s="82"/>
      <c r="L4037" s="82"/>
      <c r="M4037" s="82"/>
      <c r="N4037" s="82"/>
      <c r="O4037" s="82"/>
      <c r="P4037" s="82"/>
      <c r="Q4037" s="82"/>
      <c r="R4037" s="82"/>
      <c r="S4037" s="82"/>
      <c r="T4037" s="82"/>
      <c r="U4037" s="82"/>
      <c r="V4037" s="82"/>
      <c r="W4037" s="82"/>
      <c r="X4037" s="82"/>
      <c r="Y4037" s="82"/>
      <c r="Z4037" s="82"/>
      <c r="AA4037" s="82"/>
      <c r="AB4037" s="82"/>
      <c r="AC4037" s="82"/>
      <c r="AD4037" s="82"/>
      <c r="AE4037" s="82"/>
      <c r="AF4037" s="82"/>
      <c r="AG4037" s="82"/>
      <c r="AH4037" s="82"/>
      <c r="AI4037" s="82"/>
      <c r="AJ4037" s="82"/>
      <c r="AK4037" s="82"/>
      <c r="AL4037" s="82"/>
      <c r="AM4037" s="82"/>
      <c r="AN4037" s="82">
        <f>IFERROR(__xludf.DUMMYFUNCTION("""COMPUTED_VALUE"""),0.0)</f>
        <v>0</v>
      </c>
      <c r="AO4037" s="82">
        <f>IFERROR(__xludf.DUMMYFUNCTION("""COMPUTED_VALUE"""),0.0)</f>
        <v>0</v>
      </c>
      <c r="AP4037" s="82">
        <f>IFERROR(__xludf.DUMMYFUNCTION("""COMPUTED_VALUE"""),0.0)</f>
        <v>0</v>
      </c>
      <c r="AQ4037" s="82">
        <f>IFERROR(__xludf.DUMMYFUNCTION("""COMPUTED_VALUE"""),0.0)</f>
        <v>0</v>
      </c>
      <c r="AR4037" s="82">
        <f>IFERROR(__xludf.DUMMYFUNCTION("""COMPUTED_VALUE"""),0.0)</f>
        <v>0</v>
      </c>
      <c r="AS4037" s="82"/>
      <c r="AT4037" s="82">
        <f>IFERROR(__xludf.DUMMYFUNCTION("""COMPUTED_VALUE"""),0.0)</f>
        <v>0</v>
      </c>
      <c r="AU4037" s="82"/>
      <c r="AV4037" s="82"/>
      <c r="AW4037" s="82" t="str">
        <f t="shared" si="1"/>
        <v/>
      </c>
      <c r="AX4037" s="83" t="str">
        <f t="array" ref="AX4037">IFERROR(DGET('SBV Import'!A:G,"SBV",{"RSC ID","Tier";B4037,A4037}))</f>
        <v/>
      </c>
      <c r="AY4037" s="82" t="str">
        <f t="shared" si="2"/>
        <v/>
      </c>
      <c r="AZ4037" s="82"/>
      <c r="BA4037" s="84" t="s">
        <v>152</v>
      </c>
      <c r="BB4037" s="84" t="str">
        <f>IFERROR(__xludf.DUMMYFUNCTION("iferror(if(A4037="""",,E4037&gt;=FILTER(Constants!$F$2:$F$10,Constants!$A$2:$A$10=A4037)))"),"")</f>
        <v/>
      </c>
    </row>
    <row r="4038">
      <c r="A4038" s="89"/>
      <c r="B4038" s="87"/>
      <c r="C4038" s="73"/>
      <c r="D4038" s="73"/>
      <c r="E4038" s="82"/>
      <c r="F4038" s="82"/>
      <c r="G4038" s="86"/>
      <c r="H4038" s="86"/>
      <c r="I4038" s="86"/>
      <c r="J4038" s="82"/>
      <c r="K4038" s="82"/>
      <c r="L4038" s="82"/>
      <c r="M4038" s="82"/>
      <c r="N4038" s="82"/>
      <c r="O4038" s="82"/>
      <c r="P4038" s="82"/>
      <c r="Q4038" s="82"/>
      <c r="R4038" s="82"/>
      <c r="S4038" s="82"/>
      <c r="T4038" s="82"/>
      <c r="U4038" s="82"/>
      <c r="V4038" s="82"/>
      <c r="W4038" s="82"/>
      <c r="X4038" s="82"/>
      <c r="Y4038" s="82"/>
      <c r="Z4038" s="82"/>
      <c r="AA4038" s="82"/>
      <c r="AB4038" s="82"/>
      <c r="AC4038" s="82"/>
      <c r="AD4038" s="82"/>
      <c r="AE4038" s="82"/>
      <c r="AF4038" s="82"/>
      <c r="AG4038" s="82"/>
      <c r="AH4038" s="82"/>
      <c r="AI4038" s="82"/>
      <c r="AJ4038" s="82"/>
      <c r="AK4038" s="82"/>
      <c r="AL4038" s="82"/>
      <c r="AM4038" s="82"/>
      <c r="AN4038" s="82">
        <f>IFERROR(__xludf.DUMMYFUNCTION("""COMPUTED_VALUE"""),0.0)</f>
        <v>0</v>
      </c>
      <c r="AO4038" s="82">
        <f>IFERROR(__xludf.DUMMYFUNCTION("""COMPUTED_VALUE"""),0.0)</f>
        <v>0</v>
      </c>
      <c r="AP4038" s="82">
        <f>IFERROR(__xludf.DUMMYFUNCTION("""COMPUTED_VALUE"""),0.0)</f>
        <v>0</v>
      </c>
      <c r="AQ4038" s="82">
        <f>IFERROR(__xludf.DUMMYFUNCTION("""COMPUTED_VALUE"""),0.0)</f>
        <v>0</v>
      </c>
      <c r="AR4038" s="82">
        <f>IFERROR(__xludf.DUMMYFUNCTION("""COMPUTED_VALUE"""),0.0)</f>
        <v>0</v>
      </c>
      <c r="AS4038" s="82"/>
      <c r="AT4038" s="82">
        <f>IFERROR(__xludf.DUMMYFUNCTION("""COMPUTED_VALUE"""),0.0)</f>
        <v>0</v>
      </c>
      <c r="AU4038" s="82"/>
      <c r="AV4038" s="82"/>
      <c r="AW4038" s="82" t="str">
        <f t="shared" si="1"/>
        <v/>
      </c>
      <c r="AX4038" s="83" t="str">
        <f t="array" ref="AX4038">IFERROR(DGET('SBV Import'!A:G,"SBV",{"RSC ID","Tier";B4038,A4038}))</f>
        <v/>
      </c>
      <c r="AY4038" s="82" t="str">
        <f t="shared" si="2"/>
        <v/>
      </c>
      <c r="AZ4038" s="82"/>
      <c r="BA4038" s="84" t="s">
        <v>152</v>
      </c>
      <c r="BB4038" s="84" t="str">
        <f>IFERROR(__xludf.DUMMYFUNCTION("iferror(if(A4038="""",,E4038&gt;=FILTER(Constants!$F$2:$F$10,Constants!$A$2:$A$10=A4038)))"),"")</f>
        <v/>
      </c>
    </row>
    <row r="4039">
      <c r="A4039" s="89"/>
      <c r="B4039" s="87"/>
      <c r="C4039" s="73"/>
      <c r="D4039" s="73"/>
      <c r="E4039" s="82"/>
      <c r="F4039" s="82"/>
      <c r="G4039" s="86"/>
      <c r="H4039" s="86"/>
      <c r="I4039" s="86"/>
      <c r="J4039" s="82"/>
      <c r="K4039" s="82"/>
      <c r="L4039" s="82"/>
      <c r="M4039" s="82"/>
      <c r="N4039" s="82"/>
      <c r="O4039" s="82"/>
      <c r="P4039" s="82"/>
      <c r="Q4039" s="82"/>
      <c r="R4039" s="82"/>
      <c r="S4039" s="82"/>
      <c r="T4039" s="82"/>
      <c r="U4039" s="82"/>
      <c r="V4039" s="82"/>
      <c r="W4039" s="82"/>
      <c r="X4039" s="82"/>
      <c r="Y4039" s="82"/>
      <c r="Z4039" s="82"/>
      <c r="AA4039" s="82"/>
      <c r="AB4039" s="82"/>
      <c r="AC4039" s="82"/>
      <c r="AD4039" s="82"/>
      <c r="AE4039" s="82"/>
      <c r="AF4039" s="82"/>
      <c r="AG4039" s="82"/>
      <c r="AH4039" s="82"/>
      <c r="AI4039" s="82"/>
      <c r="AJ4039" s="82"/>
      <c r="AK4039" s="82"/>
      <c r="AL4039" s="82"/>
      <c r="AM4039" s="82"/>
      <c r="AN4039" s="82">
        <f>IFERROR(__xludf.DUMMYFUNCTION("""COMPUTED_VALUE"""),0.0)</f>
        <v>0</v>
      </c>
      <c r="AO4039" s="82">
        <f>IFERROR(__xludf.DUMMYFUNCTION("""COMPUTED_VALUE"""),0.0)</f>
        <v>0</v>
      </c>
      <c r="AP4039" s="82">
        <f>IFERROR(__xludf.DUMMYFUNCTION("""COMPUTED_VALUE"""),0.0)</f>
        <v>0</v>
      </c>
      <c r="AQ4039" s="82">
        <f>IFERROR(__xludf.DUMMYFUNCTION("""COMPUTED_VALUE"""),0.0)</f>
        <v>0</v>
      </c>
      <c r="AR4039" s="82">
        <f>IFERROR(__xludf.DUMMYFUNCTION("""COMPUTED_VALUE"""),0.0)</f>
        <v>0</v>
      </c>
      <c r="AS4039" s="82"/>
      <c r="AT4039" s="82">
        <f>IFERROR(__xludf.DUMMYFUNCTION("""COMPUTED_VALUE"""),0.0)</f>
        <v>0</v>
      </c>
      <c r="AU4039" s="82"/>
      <c r="AV4039" s="82"/>
      <c r="AW4039" s="82" t="str">
        <f t="shared" si="1"/>
        <v/>
      </c>
      <c r="AX4039" s="83" t="str">
        <f t="array" ref="AX4039">IFERROR(DGET('SBV Import'!A:G,"SBV",{"RSC ID","Tier";B4039,A4039}))</f>
        <v/>
      </c>
      <c r="AY4039" s="82" t="str">
        <f t="shared" si="2"/>
        <v/>
      </c>
      <c r="AZ4039" s="82"/>
      <c r="BA4039" s="84" t="s">
        <v>152</v>
      </c>
      <c r="BB4039" s="84" t="str">
        <f>IFERROR(__xludf.DUMMYFUNCTION("iferror(if(A4039="""",,E4039&gt;=FILTER(Constants!$F$2:$F$10,Constants!$A$2:$A$10=A4039)))"),"")</f>
        <v/>
      </c>
    </row>
    <row r="4040">
      <c r="A4040" s="89"/>
      <c r="B4040" s="87"/>
      <c r="C4040" s="73"/>
      <c r="D4040" s="73"/>
      <c r="E4040" s="82"/>
      <c r="F4040" s="82"/>
      <c r="G4040" s="86"/>
      <c r="H4040" s="86"/>
      <c r="I4040" s="86"/>
      <c r="J4040" s="82"/>
      <c r="K4040" s="82"/>
      <c r="L4040" s="82"/>
      <c r="M4040" s="82"/>
      <c r="N4040" s="82"/>
      <c r="O4040" s="82"/>
      <c r="P4040" s="82"/>
      <c r="Q4040" s="82"/>
      <c r="R4040" s="82"/>
      <c r="S4040" s="82"/>
      <c r="T4040" s="82"/>
      <c r="U4040" s="82"/>
      <c r="V4040" s="82"/>
      <c r="W4040" s="82"/>
      <c r="X4040" s="82"/>
      <c r="Y4040" s="82"/>
      <c r="Z4040" s="82"/>
      <c r="AA4040" s="82"/>
      <c r="AB4040" s="82"/>
      <c r="AC4040" s="82"/>
      <c r="AD4040" s="82"/>
      <c r="AE4040" s="82"/>
      <c r="AF4040" s="82"/>
      <c r="AG4040" s="82"/>
      <c r="AH4040" s="82"/>
      <c r="AI4040" s="82"/>
      <c r="AJ4040" s="82"/>
      <c r="AK4040" s="82"/>
      <c r="AL4040" s="82"/>
      <c r="AM4040" s="82"/>
      <c r="AN4040" s="82">
        <f>IFERROR(__xludf.DUMMYFUNCTION("""COMPUTED_VALUE"""),0.0)</f>
        <v>0</v>
      </c>
      <c r="AO4040" s="82">
        <f>IFERROR(__xludf.DUMMYFUNCTION("""COMPUTED_VALUE"""),0.0)</f>
        <v>0</v>
      </c>
      <c r="AP4040" s="82">
        <f>IFERROR(__xludf.DUMMYFUNCTION("""COMPUTED_VALUE"""),0.0)</f>
        <v>0</v>
      </c>
      <c r="AQ4040" s="82">
        <f>IFERROR(__xludf.DUMMYFUNCTION("""COMPUTED_VALUE"""),0.0)</f>
        <v>0</v>
      </c>
      <c r="AR4040" s="82">
        <f>IFERROR(__xludf.DUMMYFUNCTION("""COMPUTED_VALUE"""),0.0)</f>
        <v>0</v>
      </c>
      <c r="AS4040" s="82"/>
      <c r="AT4040" s="82">
        <f>IFERROR(__xludf.DUMMYFUNCTION("""COMPUTED_VALUE"""),0.0)</f>
        <v>0</v>
      </c>
      <c r="AU4040" s="82"/>
      <c r="AV4040" s="82"/>
      <c r="AW4040" s="82" t="str">
        <f t="shared" si="1"/>
        <v/>
      </c>
      <c r="AX4040" s="83" t="str">
        <f t="array" ref="AX4040">IFERROR(DGET('SBV Import'!A:G,"SBV",{"RSC ID","Tier";B4040,A4040}))</f>
        <v/>
      </c>
      <c r="AY4040" s="82" t="str">
        <f t="shared" si="2"/>
        <v/>
      </c>
      <c r="AZ4040" s="82"/>
      <c r="BA4040" s="84" t="s">
        <v>152</v>
      </c>
      <c r="BB4040" s="84" t="str">
        <f>IFERROR(__xludf.DUMMYFUNCTION("iferror(if(A4040="""",,E4040&gt;=FILTER(Constants!$F$2:$F$10,Constants!$A$2:$A$10=A4040)))"),"")</f>
        <v/>
      </c>
    </row>
    <row r="4041">
      <c r="A4041" s="89"/>
      <c r="B4041" s="87"/>
      <c r="C4041" s="73"/>
      <c r="D4041" s="73"/>
      <c r="E4041" s="82"/>
      <c r="F4041" s="82"/>
      <c r="G4041" s="86"/>
      <c r="H4041" s="86"/>
      <c r="I4041" s="86"/>
      <c r="J4041" s="82"/>
      <c r="K4041" s="82"/>
      <c r="L4041" s="82"/>
      <c r="M4041" s="82"/>
      <c r="N4041" s="82"/>
      <c r="O4041" s="82"/>
      <c r="P4041" s="82"/>
      <c r="Q4041" s="82"/>
      <c r="R4041" s="82"/>
      <c r="S4041" s="82"/>
      <c r="T4041" s="82"/>
      <c r="U4041" s="82"/>
      <c r="V4041" s="82"/>
      <c r="W4041" s="82"/>
      <c r="X4041" s="82"/>
      <c r="Y4041" s="82"/>
      <c r="Z4041" s="82"/>
      <c r="AA4041" s="82"/>
      <c r="AB4041" s="82"/>
      <c r="AC4041" s="82"/>
      <c r="AD4041" s="82"/>
      <c r="AE4041" s="82"/>
      <c r="AF4041" s="82"/>
      <c r="AG4041" s="82"/>
      <c r="AH4041" s="82"/>
      <c r="AI4041" s="82"/>
      <c r="AJ4041" s="82"/>
      <c r="AK4041" s="82"/>
      <c r="AL4041" s="82"/>
      <c r="AM4041" s="82"/>
      <c r="AN4041" s="82">
        <f>IFERROR(__xludf.DUMMYFUNCTION("""COMPUTED_VALUE"""),0.0)</f>
        <v>0</v>
      </c>
      <c r="AO4041" s="82">
        <f>IFERROR(__xludf.DUMMYFUNCTION("""COMPUTED_VALUE"""),0.0)</f>
        <v>0</v>
      </c>
      <c r="AP4041" s="82">
        <f>IFERROR(__xludf.DUMMYFUNCTION("""COMPUTED_VALUE"""),0.0)</f>
        <v>0</v>
      </c>
      <c r="AQ4041" s="82">
        <f>IFERROR(__xludf.DUMMYFUNCTION("""COMPUTED_VALUE"""),0.0)</f>
        <v>0</v>
      </c>
      <c r="AR4041" s="82">
        <f>IFERROR(__xludf.DUMMYFUNCTION("""COMPUTED_VALUE"""),0.0)</f>
        <v>0</v>
      </c>
      <c r="AS4041" s="82"/>
      <c r="AT4041" s="82">
        <f>IFERROR(__xludf.DUMMYFUNCTION("""COMPUTED_VALUE"""),0.0)</f>
        <v>0</v>
      </c>
      <c r="AU4041" s="82"/>
      <c r="AV4041" s="82"/>
      <c r="AW4041" s="82" t="str">
        <f t="shared" si="1"/>
        <v/>
      </c>
      <c r="AX4041" s="83" t="str">
        <f t="array" ref="AX4041">IFERROR(DGET('SBV Import'!A:G,"SBV",{"RSC ID","Tier";B4041,A4041}))</f>
        <v/>
      </c>
      <c r="AY4041" s="82" t="str">
        <f t="shared" si="2"/>
        <v/>
      </c>
      <c r="AZ4041" s="82"/>
      <c r="BA4041" s="84" t="s">
        <v>152</v>
      </c>
      <c r="BB4041" s="84" t="str">
        <f>IFERROR(__xludf.DUMMYFUNCTION("iferror(if(A4041="""",,E4041&gt;=FILTER(Constants!$F$2:$F$10,Constants!$A$2:$A$10=A4041)))"),"")</f>
        <v/>
      </c>
    </row>
    <row r="4042">
      <c r="A4042" s="89"/>
      <c r="B4042" s="87"/>
      <c r="C4042" s="73"/>
      <c r="D4042" s="73"/>
      <c r="E4042" s="82"/>
      <c r="F4042" s="82"/>
      <c r="G4042" s="86"/>
      <c r="H4042" s="86"/>
      <c r="I4042" s="86"/>
      <c r="J4042" s="82"/>
      <c r="K4042" s="82"/>
      <c r="L4042" s="82"/>
      <c r="M4042" s="82"/>
      <c r="N4042" s="82"/>
      <c r="O4042" s="82"/>
      <c r="P4042" s="82"/>
      <c r="Q4042" s="82"/>
      <c r="R4042" s="82"/>
      <c r="S4042" s="82"/>
      <c r="T4042" s="82"/>
      <c r="U4042" s="82"/>
      <c r="V4042" s="82"/>
      <c r="W4042" s="82"/>
      <c r="X4042" s="82"/>
      <c r="Y4042" s="82"/>
      <c r="Z4042" s="82"/>
      <c r="AA4042" s="82"/>
      <c r="AB4042" s="82"/>
      <c r="AC4042" s="82"/>
      <c r="AD4042" s="82"/>
      <c r="AE4042" s="82"/>
      <c r="AF4042" s="82"/>
      <c r="AG4042" s="82"/>
      <c r="AH4042" s="82"/>
      <c r="AI4042" s="82"/>
      <c r="AJ4042" s="82"/>
      <c r="AK4042" s="82"/>
      <c r="AL4042" s="82"/>
      <c r="AM4042" s="82"/>
      <c r="AN4042" s="82">
        <f>IFERROR(__xludf.DUMMYFUNCTION("""COMPUTED_VALUE"""),0.0)</f>
        <v>0</v>
      </c>
      <c r="AO4042" s="82">
        <f>IFERROR(__xludf.DUMMYFUNCTION("""COMPUTED_VALUE"""),0.0)</f>
        <v>0</v>
      </c>
      <c r="AP4042" s="82">
        <f>IFERROR(__xludf.DUMMYFUNCTION("""COMPUTED_VALUE"""),0.0)</f>
        <v>0</v>
      </c>
      <c r="AQ4042" s="82">
        <f>IFERROR(__xludf.DUMMYFUNCTION("""COMPUTED_VALUE"""),0.0)</f>
        <v>0</v>
      </c>
      <c r="AR4042" s="82">
        <f>IFERROR(__xludf.DUMMYFUNCTION("""COMPUTED_VALUE"""),0.0)</f>
        <v>0</v>
      </c>
      <c r="AS4042" s="82"/>
      <c r="AT4042" s="82">
        <f>IFERROR(__xludf.DUMMYFUNCTION("""COMPUTED_VALUE"""),0.0)</f>
        <v>0</v>
      </c>
      <c r="AU4042" s="82"/>
      <c r="AV4042" s="82"/>
      <c r="AW4042" s="82" t="str">
        <f t="shared" si="1"/>
        <v/>
      </c>
      <c r="AX4042" s="83" t="str">
        <f t="array" ref="AX4042">IFERROR(DGET('SBV Import'!A:G,"SBV",{"RSC ID","Tier";B4042,A4042}))</f>
        <v/>
      </c>
      <c r="AY4042" s="82" t="str">
        <f t="shared" si="2"/>
        <v/>
      </c>
      <c r="AZ4042" s="82"/>
      <c r="BA4042" s="84" t="s">
        <v>152</v>
      </c>
      <c r="BB4042" s="84" t="str">
        <f>IFERROR(__xludf.DUMMYFUNCTION("iferror(if(A4042="""",,E4042&gt;=FILTER(Constants!$F$2:$F$10,Constants!$A$2:$A$10=A4042)))"),"")</f>
        <v/>
      </c>
    </row>
    <row r="4043">
      <c r="A4043" s="89"/>
      <c r="B4043" s="87"/>
      <c r="C4043" s="73"/>
      <c r="D4043" s="73"/>
      <c r="E4043" s="82"/>
      <c r="F4043" s="82"/>
      <c r="G4043" s="86"/>
      <c r="H4043" s="86"/>
      <c r="I4043" s="86"/>
      <c r="J4043" s="82"/>
      <c r="K4043" s="82"/>
      <c r="L4043" s="82"/>
      <c r="M4043" s="82"/>
      <c r="N4043" s="82"/>
      <c r="O4043" s="82"/>
      <c r="P4043" s="82"/>
      <c r="Q4043" s="82"/>
      <c r="R4043" s="82"/>
      <c r="S4043" s="82"/>
      <c r="T4043" s="82"/>
      <c r="U4043" s="82"/>
      <c r="V4043" s="82"/>
      <c r="W4043" s="82"/>
      <c r="X4043" s="82"/>
      <c r="Y4043" s="82"/>
      <c r="Z4043" s="82"/>
      <c r="AA4043" s="82"/>
      <c r="AB4043" s="82"/>
      <c r="AC4043" s="82"/>
      <c r="AD4043" s="82"/>
      <c r="AE4043" s="82"/>
      <c r="AF4043" s="82"/>
      <c r="AG4043" s="82"/>
      <c r="AH4043" s="82"/>
      <c r="AI4043" s="82"/>
      <c r="AJ4043" s="82"/>
      <c r="AK4043" s="82"/>
      <c r="AL4043" s="82"/>
      <c r="AM4043" s="82"/>
      <c r="AN4043" s="82">
        <f>IFERROR(__xludf.DUMMYFUNCTION("""COMPUTED_VALUE"""),0.0)</f>
        <v>0</v>
      </c>
      <c r="AO4043" s="82">
        <f>IFERROR(__xludf.DUMMYFUNCTION("""COMPUTED_VALUE"""),0.0)</f>
        <v>0</v>
      </c>
      <c r="AP4043" s="82">
        <f>IFERROR(__xludf.DUMMYFUNCTION("""COMPUTED_VALUE"""),0.0)</f>
        <v>0</v>
      </c>
      <c r="AQ4043" s="82">
        <f>IFERROR(__xludf.DUMMYFUNCTION("""COMPUTED_VALUE"""),0.0)</f>
        <v>0</v>
      </c>
      <c r="AR4043" s="82">
        <f>IFERROR(__xludf.DUMMYFUNCTION("""COMPUTED_VALUE"""),0.0)</f>
        <v>0</v>
      </c>
      <c r="AS4043" s="82"/>
      <c r="AT4043" s="82">
        <f>IFERROR(__xludf.DUMMYFUNCTION("""COMPUTED_VALUE"""),0.0)</f>
        <v>0</v>
      </c>
      <c r="AU4043" s="82"/>
      <c r="AV4043" s="82"/>
      <c r="AW4043" s="82" t="str">
        <f t="shared" si="1"/>
        <v/>
      </c>
      <c r="AX4043" s="83" t="str">
        <f t="array" ref="AX4043">IFERROR(DGET('SBV Import'!A:G,"SBV",{"RSC ID","Tier";B4043,A4043}))</f>
        <v/>
      </c>
      <c r="AY4043" s="82" t="str">
        <f t="shared" si="2"/>
        <v/>
      </c>
      <c r="AZ4043" s="82"/>
      <c r="BA4043" s="84" t="s">
        <v>152</v>
      </c>
      <c r="BB4043" s="84" t="str">
        <f>IFERROR(__xludf.DUMMYFUNCTION("iferror(if(A4043="""",,E4043&gt;=FILTER(Constants!$F$2:$F$10,Constants!$A$2:$A$10=A4043)))"),"")</f>
        <v/>
      </c>
    </row>
    <row r="4044">
      <c r="A4044" s="89"/>
      <c r="B4044" s="87"/>
      <c r="C4044" s="73"/>
      <c r="D4044" s="73"/>
      <c r="E4044" s="82"/>
      <c r="F4044" s="82"/>
      <c r="G4044" s="86"/>
      <c r="H4044" s="86"/>
      <c r="I4044" s="86"/>
      <c r="J4044" s="82"/>
      <c r="K4044" s="82"/>
      <c r="L4044" s="82"/>
      <c r="M4044" s="82"/>
      <c r="N4044" s="82"/>
      <c r="O4044" s="82"/>
      <c r="P4044" s="82"/>
      <c r="Q4044" s="82"/>
      <c r="R4044" s="82"/>
      <c r="S4044" s="82"/>
      <c r="T4044" s="82"/>
      <c r="U4044" s="82"/>
      <c r="V4044" s="82"/>
      <c r="W4044" s="82"/>
      <c r="X4044" s="82"/>
      <c r="Y4044" s="82"/>
      <c r="Z4044" s="82"/>
      <c r="AA4044" s="82"/>
      <c r="AB4044" s="82"/>
      <c r="AC4044" s="82"/>
      <c r="AD4044" s="82"/>
      <c r="AE4044" s="82"/>
      <c r="AF4044" s="82"/>
      <c r="AG4044" s="82"/>
      <c r="AH4044" s="82"/>
      <c r="AI4044" s="82"/>
      <c r="AJ4044" s="82"/>
      <c r="AK4044" s="82"/>
      <c r="AL4044" s="82"/>
      <c r="AM4044" s="82"/>
      <c r="AN4044" s="82">
        <f>IFERROR(__xludf.DUMMYFUNCTION("""COMPUTED_VALUE"""),0.0)</f>
        <v>0</v>
      </c>
      <c r="AO4044" s="82">
        <f>IFERROR(__xludf.DUMMYFUNCTION("""COMPUTED_VALUE"""),0.0)</f>
        <v>0</v>
      </c>
      <c r="AP4044" s="82">
        <f>IFERROR(__xludf.DUMMYFUNCTION("""COMPUTED_VALUE"""),0.0)</f>
        <v>0</v>
      </c>
      <c r="AQ4044" s="82">
        <f>IFERROR(__xludf.DUMMYFUNCTION("""COMPUTED_VALUE"""),0.0)</f>
        <v>0</v>
      </c>
      <c r="AR4044" s="82">
        <f>IFERROR(__xludf.DUMMYFUNCTION("""COMPUTED_VALUE"""),0.0)</f>
        <v>0</v>
      </c>
      <c r="AS4044" s="82"/>
      <c r="AT4044" s="82">
        <f>IFERROR(__xludf.DUMMYFUNCTION("""COMPUTED_VALUE"""),0.0)</f>
        <v>0</v>
      </c>
      <c r="AU4044" s="82"/>
      <c r="AV4044" s="82"/>
      <c r="AW4044" s="82" t="str">
        <f t="shared" si="1"/>
        <v/>
      </c>
      <c r="AX4044" s="83" t="str">
        <f t="array" ref="AX4044">IFERROR(DGET('SBV Import'!A:G,"SBV",{"RSC ID","Tier";B4044,A4044}))</f>
        <v/>
      </c>
      <c r="AY4044" s="82" t="str">
        <f t="shared" si="2"/>
        <v/>
      </c>
      <c r="AZ4044" s="82"/>
      <c r="BA4044" s="84" t="s">
        <v>152</v>
      </c>
      <c r="BB4044" s="84" t="str">
        <f>IFERROR(__xludf.DUMMYFUNCTION("iferror(if(A4044="""",,E4044&gt;=FILTER(Constants!$F$2:$F$10,Constants!$A$2:$A$10=A4044)))"),"")</f>
        <v/>
      </c>
    </row>
    <row r="4045">
      <c r="A4045" s="89"/>
      <c r="B4045" s="87"/>
      <c r="C4045" s="73"/>
      <c r="D4045" s="73"/>
      <c r="E4045" s="82"/>
      <c r="F4045" s="82"/>
      <c r="G4045" s="86"/>
      <c r="H4045" s="86"/>
      <c r="I4045" s="86"/>
      <c r="J4045" s="82"/>
      <c r="K4045" s="82"/>
      <c r="L4045" s="82"/>
      <c r="M4045" s="82"/>
      <c r="N4045" s="82"/>
      <c r="O4045" s="82"/>
      <c r="P4045" s="82"/>
      <c r="Q4045" s="82"/>
      <c r="R4045" s="82"/>
      <c r="S4045" s="82"/>
      <c r="T4045" s="82"/>
      <c r="U4045" s="82"/>
      <c r="V4045" s="82"/>
      <c r="W4045" s="82"/>
      <c r="X4045" s="82"/>
      <c r="Y4045" s="82"/>
      <c r="Z4045" s="82"/>
      <c r="AA4045" s="82"/>
      <c r="AB4045" s="82"/>
      <c r="AC4045" s="82"/>
      <c r="AD4045" s="82"/>
      <c r="AE4045" s="82"/>
      <c r="AF4045" s="82"/>
      <c r="AG4045" s="82"/>
      <c r="AH4045" s="82"/>
      <c r="AI4045" s="82"/>
      <c r="AJ4045" s="82"/>
      <c r="AK4045" s="82"/>
      <c r="AL4045" s="82"/>
      <c r="AM4045" s="82"/>
      <c r="AN4045" s="82">
        <f>IFERROR(__xludf.DUMMYFUNCTION("""COMPUTED_VALUE"""),0.0)</f>
        <v>0</v>
      </c>
      <c r="AO4045" s="82">
        <f>IFERROR(__xludf.DUMMYFUNCTION("""COMPUTED_VALUE"""),0.0)</f>
        <v>0</v>
      </c>
      <c r="AP4045" s="82">
        <f>IFERROR(__xludf.DUMMYFUNCTION("""COMPUTED_VALUE"""),0.0)</f>
        <v>0</v>
      </c>
      <c r="AQ4045" s="82">
        <f>IFERROR(__xludf.DUMMYFUNCTION("""COMPUTED_VALUE"""),0.0)</f>
        <v>0</v>
      </c>
      <c r="AR4045" s="82">
        <f>IFERROR(__xludf.DUMMYFUNCTION("""COMPUTED_VALUE"""),0.0)</f>
        <v>0</v>
      </c>
      <c r="AS4045" s="82"/>
      <c r="AT4045" s="82">
        <f>IFERROR(__xludf.DUMMYFUNCTION("""COMPUTED_VALUE"""),0.0)</f>
        <v>0</v>
      </c>
      <c r="AU4045" s="82"/>
      <c r="AV4045" s="82"/>
      <c r="AW4045" s="82" t="str">
        <f t="shared" si="1"/>
        <v/>
      </c>
      <c r="AX4045" s="83" t="str">
        <f t="array" ref="AX4045">IFERROR(DGET('SBV Import'!A:G,"SBV",{"RSC ID","Tier";B4045,A4045}))</f>
        <v/>
      </c>
      <c r="AY4045" s="82" t="str">
        <f t="shared" si="2"/>
        <v/>
      </c>
      <c r="AZ4045" s="82"/>
      <c r="BA4045" s="84" t="s">
        <v>152</v>
      </c>
      <c r="BB4045" s="84" t="str">
        <f>IFERROR(__xludf.DUMMYFUNCTION("iferror(if(A4045="""",,E4045&gt;=FILTER(Constants!$F$2:$F$10,Constants!$A$2:$A$10=A4045)))"),"")</f>
        <v/>
      </c>
    </row>
    <row r="4046">
      <c r="A4046" s="89"/>
      <c r="B4046" s="87"/>
      <c r="C4046" s="73"/>
      <c r="D4046" s="73"/>
      <c r="E4046" s="82"/>
      <c r="F4046" s="82"/>
      <c r="G4046" s="86"/>
      <c r="H4046" s="86"/>
      <c r="I4046" s="86"/>
      <c r="J4046" s="82"/>
      <c r="K4046" s="82"/>
      <c r="L4046" s="82"/>
      <c r="M4046" s="82"/>
      <c r="N4046" s="82"/>
      <c r="O4046" s="82"/>
      <c r="P4046" s="82"/>
      <c r="Q4046" s="82"/>
      <c r="R4046" s="82"/>
      <c r="S4046" s="82"/>
      <c r="T4046" s="82"/>
      <c r="U4046" s="82"/>
      <c r="V4046" s="82"/>
      <c r="W4046" s="82"/>
      <c r="X4046" s="82"/>
      <c r="Y4046" s="82"/>
      <c r="Z4046" s="82"/>
      <c r="AA4046" s="82"/>
      <c r="AB4046" s="82"/>
      <c r="AC4046" s="82"/>
      <c r="AD4046" s="82"/>
      <c r="AE4046" s="82"/>
      <c r="AF4046" s="82"/>
      <c r="AG4046" s="82"/>
      <c r="AH4046" s="82"/>
      <c r="AI4046" s="82"/>
      <c r="AJ4046" s="82"/>
      <c r="AK4046" s="82"/>
      <c r="AL4046" s="82"/>
      <c r="AM4046" s="82"/>
      <c r="AN4046" s="82">
        <f>IFERROR(__xludf.DUMMYFUNCTION("""COMPUTED_VALUE"""),0.0)</f>
        <v>0</v>
      </c>
      <c r="AO4046" s="82">
        <f>IFERROR(__xludf.DUMMYFUNCTION("""COMPUTED_VALUE"""),0.0)</f>
        <v>0</v>
      </c>
      <c r="AP4046" s="82">
        <f>IFERROR(__xludf.DUMMYFUNCTION("""COMPUTED_VALUE"""),0.0)</f>
        <v>0</v>
      </c>
      <c r="AQ4046" s="82">
        <f>IFERROR(__xludf.DUMMYFUNCTION("""COMPUTED_VALUE"""),0.0)</f>
        <v>0</v>
      </c>
      <c r="AR4046" s="82">
        <f>IFERROR(__xludf.DUMMYFUNCTION("""COMPUTED_VALUE"""),0.0)</f>
        <v>0</v>
      </c>
      <c r="AS4046" s="82"/>
      <c r="AT4046" s="82">
        <f>IFERROR(__xludf.DUMMYFUNCTION("""COMPUTED_VALUE"""),0.0)</f>
        <v>0</v>
      </c>
      <c r="AU4046" s="82"/>
      <c r="AV4046" s="82"/>
      <c r="AW4046" s="82" t="str">
        <f t="shared" si="1"/>
        <v/>
      </c>
      <c r="AX4046" s="83" t="str">
        <f t="array" ref="AX4046">IFERROR(DGET('SBV Import'!A:G,"SBV",{"RSC ID","Tier";B4046,A4046}))</f>
        <v/>
      </c>
      <c r="AY4046" s="82" t="str">
        <f t="shared" si="2"/>
        <v/>
      </c>
      <c r="AZ4046" s="82"/>
      <c r="BA4046" s="84" t="s">
        <v>152</v>
      </c>
      <c r="BB4046" s="84" t="str">
        <f>IFERROR(__xludf.DUMMYFUNCTION("iferror(if(A4046="""",,E4046&gt;=FILTER(Constants!$F$2:$F$10,Constants!$A$2:$A$10=A4046)))"),"")</f>
        <v/>
      </c>
    </row>
    <row r="4047">
      <c r="A4047" s="89"/>
      <c r="B4047" s="87"/>
      <c r="C4047" s="73"/>
      <c r="D4047" s="73"/>
      <c r="E4047" s="82"/>
      <c r="F4047" s="82"/>
      <c r="G4047" s="86"/>
      <c r="H4047" s="86"/>
      <c r="I4047" s="86"/>
      <c r="J4047" s="82"/>
      <c r="K4047" s="82"/>
      <c r="L4047" s="82"/>
      <c r="M4047" s="82"/>
      <c r="N4047" s="82"/>
      <c r="O4047" s="82"/>
      <c r="P4047" s="82"/>
      <c r="Q4047" s="82"/>
      <c r="R4047" s="82"/>
      <c r="S4047" s="82"/>
      <c r="T4047" s="82"/>
      <c r="U4047" s="82"/>
      <c r="V4047" s="82"/>
      <c r="W4047" s="82"/>
      <c r="X4047" s="82"/>
      <c r="Y4047" s="82"/>
      <c r="Z4047" s="82"/>
      <c r="AA4047" s="82"/>
      <c r="AB4047" s="82"/>
      <c r="AC4047" s="82"/>
      <c r="AD4047" s="82"/>
      <c r="AE4047" s="82"/>
      <c r="AF4047" s="82"/>
      <c r="AG4047" s="82"/>
      <c r="AH4047" s="82"/>
      <c r="AI4047" s="82"/>
      <c r="AJ4047" s="82"/>
      <c r="AK4047" s="82"/>
      <c r="AL4047" s="82"/>
      <c r="AM4047" s="82"/>
      <c r="AN4047" s="82">
        <f>IFERROR(__xludf.DUMMYFUNCTION("""COMPUTED_VALUE"""),0.0)</f>
        <v>0</v>
      </c>
      <c r="AO4047" s="82">
        <f>IFERROR(__xludf.DUMMYFUNCTION("""COMPUTED_VALUE"""),0.0)</f>
        <v>0</v>
      </c>
      <c r="AP4047" s="82">
        <f>IFERROR(__xludf.DUMMYFUNCTION("""COMPUTED_VALUE"""),0.0)</f>
        <v>0</v>
      </c>
      <c r="AQ4047" s="82">
        <f>IFERROR(__xludf.DUMMYFUNCTION("""COMPUTED_VALUE"""),0.0)</f>
        <v>0</v>
      </c>
      <c r="AR4047" s="82">
        <f>IFERROR(__xludf.DUMMYFUNCTION("""COMPUTED_VALUE"""),0.0)</f>
        <v>0</v>
      </c>
      <c r="AS4047" s="82"/>
      <c r="AT4047" s="82">
        <f>IFERROR(__xludf.DUMMYFUNCTION("""COMPUTED_VALUE"""),0.0)</f>
        <v>0</v>
      </c>
      <c r="AU4047" s="82"/>
      <c r="AV4047" s="82"/>
      <c r="AW4047" s="82" t="str">
        <f t="shared" si="1"/>
        <v/>
      </c>
      <c r="AX4047" s="83" t="str">
        <f t="array" ref="AX4047">IFERROR(DGET('SBV Import'!A:G,"SBV",{"RSC ID","Tier";B4047,A4047}))</f>
        <v/>
      </c>
      <c r="AY4047" s="82" t="str">
        <f t="shared" si="2"/>
        <v/>
      </c>
      <c r="AZ4047" s="82"/>
      <c r="BA4047" s="84" t="s">
        <v>152</v>
      </c>
      <c r="BB4047" s="84" t="str">
        <f>IFERROR(__xludf.DUMMYFUNCTION("iferror(if(A4047="""",,E4047&gt;=FILTER(Constants!$F$2:$F$10,Constants!$A$2:$A$10=A4047)))"),"")</f>
        <v/>
      </c>
    </row>
    <row r="4048">
      <c r="A4048" s="89"/>
      <c r="B4048" s="87"/>
      <c r="C4048" s="73"/>
      <c r="D4048" s="73"/>
      <c r="E4048" s="82"/>
      <c r="F4048" s="82"/>
      <c r="G4048" s="86"/>
      <c r="H4048" s="86"/>
      <c r="I4048" s="86"/>
      <c r="J4048" s="82"/>
      <c r="K4048" s="82"/>
      <c r="L4048" s="82"/>
      <c r="M4048" s="82"/>
      <c r="N4048" s="82"/>
      <c r="O4048" s="82"/>
      <c r="P4048" s="82"/>
      <c r="Q4048" s="82"/>
      <c r="R4048" s="82"/>
      <c r="S4048" s="82"/>
      <c r="T4048" s="82"/>
      <c r="U4048" s="82"/>
      <c r="V4048" s="82"/>
      <c r="W4048" s="82"/>
      <c r="X4048" s="82"/>
      <c r="Y4048" s="82"/>
      <c r="Z4048" s="82"/>
      <c r="AA4048" s="82"/>
      <c r="AB4048" s="82"/>
      <c r="AC4048" s="82"/>
      <c r="AD4048" s="82"/>
      <c r="AE4048" s="82"/>
      <c r="AF4048" s="82"/>
      <c r="AG4048" s="82"/>
      <c r="AH4048" s="82"/>
      <c r="AI4048" s="82"/>
      <c r="AJ4048" s="82"/>
      <c r="AK4048" s="82"/>
      <c r="AL4048" s="82"/>
      <c r="AM4048" s="82"/>
      <c r="AN4048" s="82">
        <f>IFERROR(__xludf.DUMMYFUNCTION("""COMPUTED_VALUE"""),0.0)</f>
        <v>0</v>
      </c>
      <c r="AO4048" s="82">
        <f>IFERROR(__xludf.DUMMYFUNCTION("""COMPUTED_VALUE"""),0.0)</f>
        <v>0</v>
      </c>
      <c r="AP4048" s="82">
        <f>IFERROR(__xludf.DUMMYFUNCTION("""COMPUTED_VALUE"""),0.0)</f>
        <v>0</v>
      </c>
      <c r="AQ4048" s="82">
        <f>IFERROR(__xludf.DUMMYFUNCTION("""COMPUTED_VALUE"""),0.0)</f>
        <v>0</v>
      </c>
      <c r="AR4048" s="82">
        <f>IFERROR(__xludf.DUMMYFUNCTION("""COMPUTED_VALUE"""),0.0)</f>
        <v>0</v>
      </c>
      <c r="AS4048" s="82"/>
      <c r="AT4048" s="82">
        <f>IFERROR(__xludf.DUMMYFUNCTION("""COMPUTED_VALUE"""),0.0)</f>
        <v>0</v>
      </c>
      <c r="AU4048" s="82"/>
      <c r="AV4048" s="82"/>
      <c r="AW4048" s="82" t="str">
        <f t="shared" si="1"/>
        <v/>
      </c>
      <c r="AX4048" s="83" t="str">
        <f t="array" ref="AX4048">IFERROR(DGET('SBV Import'!A:G,"SBV",{"RSC ID","Tier";B4048,A4048}))</f>
        <v/>
      </c>
      <c r="AY4048" s="82" t="str">
        <f t="shared" si="2"/>
        <v/>
      </c>
      <c r="AZ4048" s="82"/>
      <c r="BA4048" s="84" t="s">
        <v>152</v>
      </c>
      <c r="BB4048" s="84" t="str">
        <f>IFERROR(__xludf.DUMMYFUNCTION("iferror(if(A4048="""",,E4048&gt;=FILTER(Constants!$F$2:$F$10,Constants!$A$2:$A$10=A4048)))"),"")</f>
        <v/>
      </c>
    </row>
    <row r="4049">
      <c r="A4049" s="89"/>
      <c r="B4049" s="87"/>
      <c r="C4049" s="73"/>
      <c r="D4049" s="73"/>
      <c r="E4049" s="82"/>
      <c r="F4049" s="82"/>
      <c r="G4049" s="86"/>
      <c r="H4049" s="86"/>
      <c r="I4049" s="86"/>
      <c r="J4049" s="82"/>
      <c r="K4049" s="82"/>
      <c r="L4049" s="82"/>
      <c r="M4049" s="82"/>
      <c r="N4049" s="82"/>
      <c r="O4049" s="82"/>
      <c r="P4049" s="82"/>
      <c r="Q4049" s="82"/>
      <c r="R4049" s="82"/>
      <c r="S4049" s="82"/>
      <c r="T4049" s="82"/>
      <c r="U4049" s="82"/>
      <c r="V4049" s="82"/>
      <c r="W4049" s="82"/>
      <c r="X4049" s="82"/>
      <c r="Y4049" s="82"/>
      <c r="Z4049" s="82"/>
      <c r="AA4049" s="82"/>
      <c r="AB4049" s="82"/>
      <c r="AC4049" s="82"/>
      <c r="AD4049" s="82"/>
      <c r="AE4049" s="82"/>
      <c r="AF4049" s="82"/>
      <c r="AG4049" s="82"/>
      <c r="AH4049" s="82"/>
      <c r="AI4049" s="82"/>
      <c r="AJ4049" s="82"/>
      <c r="AK4049" s="82"/>
      <c r="AL4049" s="82"/>
      <c r="AM4049" s="82"/>
      <c r="AN4049" s="82">
        <f>IFERROR(__xludf.DUMMYFUNCTION("""COMPUTED_VALUE"""),0.0)</f>
        <v>0</v>
      </c>
      <c r="AO4049" s="82">
        <f>IFERROR(__xludf.DUMMYFUNCTION("""COMPUTED_VALUE"""),0.0)</f>
        <v>0</v>
      </c>
      <c r="AP4049" s="82">
        <f>IFERROR(__xludf.DUMMYFUNCTION("""COMPUTED_VALUE"""),0.0)</f>
        <v>0</v>
      </c>
      <c r="AQ4049" s="82">
        <f>IFERROR(__xludf.DUMMYFUNCTION("""COMPUTED_VALUE"""),0.0)</f>
        <v>0</v>
      </c>
      <c r="AR4049" s="82">
        <f>IFERROR(__xludf.DUMMYFUNCTION("""COMPUTED_VALUE"""),0.0)</f>
        <v>0</v>
      </c>
      <c r="AS4049" s="82"/>
      <c r="AT4049" s="82">
        <f>IFERROR(__xludf.DUMMYFUNCTION("""COMPUTED_VALUE"""),0.0)</f>
        <v>0</v>
      </c>
      <c r="AU4049" s="82"/>
      <c r="AV4049" s="82"/>
      <c r="AW4049" s="82" t="str">
        <f t="shared" si="1"/>
        <v/>
      </c>
      <c r="AX4049" s="83" t="str">
        <f t="array" ref="AX4049">IFERROR(DGET('SBV Import'!A:G,"SBV",{"RSC ID","Tier";B4049,A4049}))</f>
        <v/>
      </c>
      <c r="AY4049" s="82" t="str">
        <f t="shared" si="2"/>
        <v/>
      </c>
      <c r="AZ4049" s="82"/>
      <c r="BA4049" s="84" t="s">
        <v>152</v>
      </c>
      <c r="BB4049" s="84" t="str">
        <f>IFERROR(__xludf.DUMMYFUNCTION("iferror(if(A4049="""",,E4049&gt;=FILTER(Constants!$F$2:$F$10,Constants!$A$2:$A$10=A4049)))"),"")</f>
        <v/>
      </c>
    </row>
    <row r="4050">
      <c r="A4050" s="89"/>
      <c r="B4050" s="87"/>
      <c r="C4050" s="73"/>
      <c r="D4050" s="73"/>
      <c r="E4050" s="82"/>
      <c r="F4050" s="82"/>
      <c r="G4050" s="86"/>
      <c r="H4050" s="86"/>
      <c r="I4050" s="86"/>
      <c r="J4050" s="82"/>
      <c r="K4050" s="82"/>
      <c r="L4050" s="82"/>
      <c r="M4050" s="82"/>
      <c r="N4050" s="82"/>
      <c r="O4050" s="82"/>
      <c r="P4050" s="82"/>
      <c r="Q4050" s="82"/>
      <c r="R4050" s="82"/>
      <c r="S4050" s="82"/>
      <c r="T4050" s="82"/>
      <c r="U4050" s="82"/>
      <c r="V4050" s="82"/>
      <c r="W4050" s="82"/>
      <c r="X4050" s="82"/>
      <c r="Y4050" s="82"/>
      <c r="Z4050" s="82"/>
      <c r="AA4050" s="82"/>
      <c r="AB4050" s="82"/>
      <c r="AC4050" s="82"/>
      <c r="AD4050" s="82"/>
      <c r="AE4050" s="82"/>
      <c r="AF4050" s="82"/>
      <c r="AG4050" s="82"/>
      <c r="AH4050" s="82"/>
      <c r="AI4050" s="82"/>
      <c r="AJ4050" s="82"/>
      <c r="AK4050" s="82"/>
      <c r="AL4050" s="82"/>
      <c r="AM4050" s="82"/>
      <c r="AN4050" s="82">
        <f>IFERROR(__xludf.DUMMYFUNCTION("""COMPUTED_VALUE"""),0.0)</f>
        <v>0</v>
      </c>
      <c r="AO4050" s="82">
        <f>IFERROR(__xludf.DUMMYFUNCTION("""COMPUTED_VALUE"""),0.0)</f>
        <v>0</v>
      </c>
      <c r="AP4050" s="82">
        <f>IFERROR(__xludf.DUMMYFUNCTION("""COMPUTED_VALUE"""),0.0)</f>
        <v>0</v>
      </c>
      <c r="AQ4050" s="82">
        <f>IFERROR(__xludf.DUMMYFUNCTION("""COMPUTED_VALUE"""),0.0)</f>
        <v>0</v>
      </c>
      <c r="AR4050" s="82">
        <f>IFERROR(__xludf.DUMMYFUNCTION("""COMPUTED_VALUE"""),0.0)</f>
        <v>0</v>
      </c>
      <c r="AS4050" s="82"/>
      <c r="AT4050" s="82">
        <f>IFERROR(__xludf.DUMMYFUNCTION("""COMPUTED_VALUE"""),0.0)</f>
        <v>0</v>
      </c>
      <c r="AU4050" s="82"/>
      <c r="AV4050" s="82"/>
      <c r="AW4050" s="82" t="str">
        <f t="shared" si="1"/>
        <v/>
      </c>
      <c r="AX4050" s="83" t="str">
        <f t="array" ref="AX4050">IFERROR(DGET('SBV Import'!A:G,"SBV",{"RSC ID","Tier";B4050,A4050}))</f>
        <v/>
      </c>
      <c r="AY4050" s="82" t="str">
        <f t="shared" si="2"/>
        <v/>
      </c>
      <c r="AZ4050" s="82"/>
      <c r="BA4050" s="84" t="s">
        <v>152</v>
      </c>
      <c r="BB4050" s="84" t="str">
        <f>IFERROR(__xludf.DUMMYFUNCTION("iferror(if(A4050="""",,E4050&gt;=FILTER(Constants!$F$2:$F$10,Constants!$A$2:$A$10=A4050)))"),"")</f>
        <v/>
      </c>
    </row>
    <row r="4051">
      <c r="A4051" s="89"/>
      <c r="B4051" s="87"/>
      <c r="C4051" s="73"/>
      <c r="D4051" s="73"/>
      <c r="E4051" s="82"/>
      <c r="F4051" s="82"/>
      <c r="G4051" s="86"/>
      <c r="H4051" s="86"/>
      <c r="I4051" s="86"/>
      <c r="J4051" s="82"/>
      <c r="K4051" s="82"/>
      <c r="L4051" s="82"/>
      <c r="M4051" s="82"/>
      <c r="N4051" s="82"/>
      <c r="O4051" s="82"/>
      <c r="P4051" s="82"/>
      <c r="Q4051" s="82"/>
      <c r="R4051" s="82"/>
      <c r="S4051" s="82"/>
      <c r="T4051" s="82"/>
      <c r="U4051" s="82"/>
      <c r="V4051" s="82"/>
      <c r="W4051" s="82"/>
      <c r="X4051" s="82"/>
      <c r="Y4051" s="82"/>
      <c r="Z4051" s="82"/>
      <c r="AA4051" s="82"/>
      <c r="AB4051" s="82"/>
      <c r="AC4051" s="82"/>
      <c r="AD4051" s="82"/>
      <c r="AE4051" s="82"/>
      <c r="AF4051" s="82"/>
      <c r="AG4051" s="82"/>
      <c r="AH4051" s="82"/>
      <c r="AI4051" s="82"/>
      <c r="AJ4051" s="82"/>
      <c r="AK4051" s="82"/>
      <c r="AL4051" s="82"/>
      <c r="AM4051" s="82"/>
      <c r="AN4051" s="82">
        <f>IFERROR(__xludf.DUMMYFUNCTION("""COMPUTED_VALUE"""),0.0)</f>
        <v>0</v>
      </c>
      <c r="AO4051" s="82">
        <f>IFERROR(__xludf.DUMMYFUNCTION("""COMPUTED_VALUE"""),0.0)</f>
        <v>0</v>
      </c>
      <c r="AP4051" s="82">
        <f>IFERROR(__xludf.DUMMYFUNCTION("""COMPUTED_VALUE"""),0.0)</f>
        <v>0</v>
      </c>
      <c r="AQ4051" s="82">
        <f>IFERROR(__xludf.DUMMYFUNCTION("""COMPUTED_VALUE"""),0.0)</f>
        <v>0</v>
      </c>
      <c r="AR4051" s="82">
        <f>IFERROR(__xludf.DUMMYFUNCTION("""COMPUTED_VALUE"""),0.0)</f>
        <v>0</v>
      </c>
      <c r="AS4051" s="82"/>
      <c r="AT4051" s="82">
        <f>IFERROR(__xludf.DUMMYFUNCTION("""COMPUTED_VALUE"""),0.0)</f>
        <v>0</v>
      </c>
      <c r="AU4051" s="82"/>
      <c r="AV4051" s="82"/>
      <c r="AW4051" s="82" t="str">
        <f t="shared" si="1"/>
        <v/>
      </c>
      <c r="AX4051" s="83" t="str">
        <f t="array" ref="AX4051">IFERROR(DGET('SBV Import'!A:G,"SBV",{"RSC ID","Tier";B4051,A4051}))</f>
        <v/>
      </c>
      <c r="AY4051" s="82" t="str">
        <f t="shared" si="2"/>
        <v/>
      </c>
      <c r="AZ4051" s="82"/>
      <c r="BA4051" s="84" t="s">
        <v>152</v>
      </c>
      <c r="BB4051" s="84" t="str">
        <f>IFERROR(__xludf.DUMMYFUNCTION("iferror(if(A4051="""",,E4051&gt;=FILTER(Constants!$F$2:$F$10,Constants!$A$2:$A$10=A4051)))"),"")</f>
        <v/>
      </c>
    </row>
    <row r="4052">
      <c r="A4052" s="89"/>
      <c r="B4052" s="87"/>
      <c r="C4052" s="73"/>
      <c r="D4052" s="73"/>
      <c r="E4052" s="82"/>
      <c r="F4052" s="82"/>
      <c r="G4052" s="86"/>
      <c r="H4052" s="86"/>
      <c r="I4052" s="86"/>
      <c r="J4052" s="82"/>
      <c r="K4052" s="82"/>
      <c r="L4052" s="82"/>
      <c r="M4052" s="82"/>
      <c r="N4052" s="82"/>
      <c r="O4052" s="82"/>
      <c r="P4052" s="82"/>
      <c r="Q4052" s="82"/>
      <c r="R4052" s="82"/>
      <c r="S4052" s="82"/>
      <c r="T4052" s="82"/>
      <c r="U4052" s="82"/>
      <c r="V4052" s="82"/>
      <c r="W4052" s="82"/>
      <c r="X4052" s="82"/>
      <c r="Y4052" s="82"/>
      <c r="Z4052" s="82"/>
      <c r="AA4052" s="82"/>
      <c r="AB4052" s="82"/>
      <c r="AC4052" s="82"/>
      <c r="AD4052" s="82"/>
      <c r="AE4052" s="82"/>
      <c r="AF4052" s="82"/>
      <c r="AG4052" s="82"/>
      <c r="AH4052" s="82"/>
      <c r="AI4052" s="82"/>
      <c r="AJ4052" s="82"/>
      <c r="AK4052" s="82"/>
      <c r="AL4052" s="82"/>
      <c r="AM4052" s="82"/>
      <c r="AN4052" s="82">
        <f>IFERROR(__xludf.DUMMYFUNCTION("""COMPUTED_VALUE"""),0.0)</f>
        <v>0</v>
      </c>
      <c r="AO4052" s="82">
        <f>IFERROR(__xludf.DUMMYFUNCTION("""COMPUTED_VALUE"""),0.0)</f>
        <v>0</v>
      </c>
      <c r="AP4052" s="82">
        <f>IFERROR(__xludf.DUMMYFUNCTION("""COMPUTED_VALUE"""),0.0)</f>
        <v>0</v>
      </c>
      <c r="AQ4052" s="82">
        <f>IFERROR(__xludf.DUMMYFUNCTION("""COMPUTED_VALUE"""),0.0)</f>
        <v>0</v>
      </c>
      <c r="AR4052" s="82">
        <f>IFERROR(__xludf.DUMMYFUNCTION("""COMPUTED_VALUE"""),0.0)</f>
        <v>0</v>
      </c>
      <c r="AS4052" s="82"/>
      <c r="AT4052" s="82">
        <f>IFERROR(__xludf.DUMMYFUNCTION("""COMPUTED_VALUE"""),0.0)</f>
        <v>0</v>
      </c>
      <c r="AU4052" s="82"/>
      <c r="AV4052" s="82"/>
      <c r="AW4052" s="82" t="str">
        <f t="shared" si="1"/>
        <v/>
      </c>
      <c r="AX4052" s="83" t="str">
        <f t="array" ref="AX4052">IFERROR(DGET('SBV Import'!A:G,"SBV",{"RSC ID","Tier";B4052,A4052}))</f>
        <v/>
      </c>
      <c r="AY4052" s="82" t="str">
        <f t="shared" si="2"/>
        <v/>
      </c>
      <c r="AZ4052" s="82"/>
      <c r="BA4052" s="84" t="s">
        <v>152</v>
      </c>
      <c r="BB4052" s="84" t="str">
        <f>IFERROR(__xludf.DUMMYFUNCTION("iferror(if(A4052="""",,E4052&gt;=FILTER(Constants!$F$2:$F$10,Constants!$A$2:$A$10=A4052)))"),"")</f>
        <v/>
      </c>
    </row>
    <row r="4053">
      <c r="A4053" s="89"/>
      <c r="B4053" s="87"/>
      <c r="C4053" s="73"/>
      <c r="D4053" s="73"/>
      <c r="E4053" s="82"/>
      <c r="F4053" s="82"/>
      <c r="G4053" s="86"/>
      <c r="H4053" s="86"/>
      <c r="I4053" s="86"/>
      <c r="J4053" s="82"/>
      <c r="K4053" s="82"/>
      <c r="L4053" s="82"/>
      <c r="M4053" s="82"/>
      <c r="N4053" s="82"/>
      <c r="O4053" s="82"/>
      <c r="P4053" s="82"/>
      <c r="Q4053" s="82"/>
      <c r="R4053" s="82"/>
      <c r="S4053" s="82"/>
      <c r="T4053" s="82"/>
      <c r="U4053" s="82"/>
      <c r="V4053" s="82"/>
      <c r="W4053" s="82"/>
      <c r="X4053" s="82"/>
      <c r="Y4053" s="82"/>
      <c r="Z4053" s="82"/>
      <c r="AA4053" s="82"/>
      <c r="AB4053" s="82"/>
      <c r="AC4053" s="82"/>
      <c r="AD4053" s="82"/>
      <c r="AE4053" s="82"/>
      <c r="AF4053" s="82"/>
      <c r="AG4053" s="82"/>
      <c r="AH4053" s="82"/>
      <c r="AI4053" s="82"/>
      <c r="AJ4053" s="82"/>
      <c r="AK4053" s="82"/>
      <c r="AL4053" s="82"/>
      <c r="AM4053" s="82"/>
      <c r="AN4053" s="82">
        <f>IFERROR(__xludf.DUMMYFUNCTION("""COMPUTED_VALUE"""),0.0)</f>
        <v>0</v>
      </c>
      <c r="AO4053" s="82">
        <f>IFERROR(__xludf.DUMMYFUNCTION("""COMPUTED_VALUE"""),0.0)</f>
        <v>0</v>
      </c>
      <c r="AP4053" s="82">
        <f>IFERROR(__xludf.DUMMYFUNCTION("""COMPUTED_VALUE"""),0.0)</f>
        <v>0</v>
      </c>
      <c r="AQ4053" s="82">
        <f>IFERROR(__xludf.DUMMYFUNCTION("""COMPUTED_VALUE"""),0.0)</f>
        <v>0</v>
      </c>
      <c r="AR4053" s="82">
        <f>IFERROR(__xludf.DUMMYFUNCTION("""COMPUTED_VALUE"""),0.0)</f>
        <v>0</v>
      </c>
      <c r="AS4053" s="82"/>
      <c r="AT4053" s="82">
        <f>IFERROR(__xludf.DUMMYFUNCTION("""COMPUTED_VALUE"""),0.0)</f>
        <v>0</v>
      </c>
      <c r="AU4053" s="82"/>
      <c r="AV4053" s="82"/>
      <c r="AW4053" s="82" t="str">
        <f t="shared" si="1"/>
        <v/>
      </c>
      <c r="AX4053" s="83" t="str">
        <f t="array" ref="AX4053">IFERROR(DGET('SBV Import'!A:G,"SBV",{"RSC ID","Tier";B4053,A4053}))</f>
        <v/>
      </c>
      <c r="AY4053" s="82" t="str">
        <f t="shared" si="2"/>
        <v/>
      </c>
      <c r="AZ4053" s="82"/>
      <c r="BA4053" s="84" t="s">
        <v>152</v>
      </c>
      <c r="BB4053" s="84" t="str">
        <f>IFERROR(__xludf.DUMMYFUNCTION("iferror(if(A4053="""",,E4053&gt;=FILTER(Constants!$F$2:$F$10,Constants!$A$2:$A$10=A4053)))"),"")</f>
        <v/>
      </c>
    </row>
    <row r="4054">
      <c r="A4054" s="89"/>
      <c r="B4054" s="87"/>
      <c r="C4054" s="73"/>
      <c r="D4054" s="73"/>
      <c r="E4054" s="82"/>
      <c r="F4054" s="82"/>
      <c r="G4054" s="86"/>
      <c r="H4054" s="86"/>
      <c r="I4054" s="86"/>
      <c r="J4054" s="82"/>
      <c r="K4054" s="82"/>
      <c r="L4054" s="82"/>
      <c r="M4054" s="82"/>
      <c r="N4054" s="82"/>
      <c r="O4054" s="82"/>
      <c r="P4054" s="82"/>
      <c r="Q4054" s="82"/>
      <c r="R4054" s="82"/>
      <c r="S4054" s="82"/>
      <c r="T4054" s="82"/>
      <c r="U4054" s="82"/>
      <c r="V4054" s="82"/>
      <c r="W4054" s="82"/>
      <c r="X4054" s="82"/>
      <c r="Y4054" s="82"/>
      <c r="Z4054" s="82"/>
      <c r="AA4054" s="82"/>
      <c r="AB4054" s="82"/>
      <c r="AC4054" s="82"/>
      <c r="AD4054" s="82"/>
      <c r="AE4054" s="82"/>
      <c r="AF4054" s="82"/>
      <c r="AG4054" s="82"/>
      <c r="AH4054" s="82"/>
      <c r="AI4054" s="82"/>
      <c r="AJ4054" s="82"/>
      <c r="AK4054" s="82"/>
      <c r="AL4054" s="82"/>
      <c r="AM4054" s="82"/>
      <c r="AN4054" s="82">
        <f>IFERROR(__xludf.DUMMYFUNCTION("""COMPUTED_VALUE"""),0.0)</f>
        <v>0</v>
      </c>
      <c r="AO4054" s="82">
        <f>IFERROR(__xludf.DUMMYFUNCTION("""COMPUTED_VALUE"""),0.0)</f>
        <v>0</v>
      </c>
      <c r="AP4054" s="82">
        <f>IFERROR(__xludf.DUMMYFUNCTION("""COMPUTED_VALUE"""),0.0)</f>
        <v>0</v>
      </c>
      <c r="AQ4054" s="82">
        <f>IFERROR(__xludf.DUMMYFUNCTION("""COMPUTED_VALUE"""),0.0)</f>
        <v>0</v>
      </c>
      <c r="AR4054" s="82">
        <f>IFERROR(__xludf.DUMMYFUNCTION("""COMPUTED_VALUE"""),0.0)</f>
        <v>0</v>
      </c>
      <c r="AS4054" s="82"/>
      <c r="AT4054" s="82">
        <f>IFERROR(__xludf.DUMMYFUNCTION("""COMPUTED_VALUE"""),0.0)</f>
        <v>0</v>
      </c>
      <c r="AU4054" s="82"/>
      <c r="AV4054" s="82"/>
      <c r="AW4054" s="82" t="str">
        <f t="shared" si="1"/>
        <v/>
      </c>
      <c r="AX4054" s="83" t="str">
        <f t="array" ref="AX4054">IFERROR(DGET('SBV Import'!A:G,"SBV",{"RSC ID","Tier";B4054,A4054}))</f>
        <v/>
      </c>
      <c r="AY4054" s="82" t="str">
        <f t="shared" si="2"/>
        <v/>
      </c>
      <c r="AZ4054" s="82"/>
      <c r="BA4054" s="84" t="s">
        <v>152</v>
      </c>
      <c r="BB4054" s="84" t="str">
        <f>IFERROR(__xludf.DUMMYFUNCTION("iferror(if(A4054="""",,E4054&gt;=FILTER(Constants!$F$2:$F$10,Constants!$A$2:$A$10=A4054)))"),"")</f>
        <v/>
      </c>
    </row>
    <row r="4055">
      <c r="A4055" s="89"/>
      <c r="B4055" s="87"/>
      <c r="C4055" s="73"/>
      <c r="D4055" s="73"/>
      <c r="E4055" s="82"/>
      <c r="F4055" s="82"/>
      <c r="G4055" s="86"/>
      <c r="H4055" s="86"/>
      <c r="I4055" s="86"/>
      <c r="J4055" s="82"/>
      <c r="K4055" s="82"/>
      <c r="L4055" s="82"/>
      <c r="M4055" s="82"/>
      <c r="N4055" s="82"/>
      <c r="O4055" s="82"/>
      <c r="P4055" s="82"/>
      <c r="Q4055" s="82"/>
      <c r="R4055" s="82"/>
      <c r="S4055" s="82"/>
      <c r="T4055" s="82"/>
      <c r="U4055" s="82"/>
      <c r="V4055" s="82"/>
      <c r="W4055" s="82"/>
      <c r="X4055" s="82"/>
      <c r="Y4055" s="82"/>
      <c r="Z4055" s="82"/>
      <c r="AA4055" s="82"/>
      <c r="AB4055" s="82"/>
      <c r="AC4055" s="82"/>
      <c r="AD4055" s="82"/>
      <c r="AE4055" s="82"/>
      <c r="AF4055" s="82"/>
      <c r="AG4055" s="82"/>
      <c r="AH4055" s="82"/>
      <c r="AI4055" s="82"/>
      <c r="AJ4055" s="82"/>
      <c r="AK4055" s="82"/>
      <c r="AL4055" s="82"/>
      <c r="AM4055" s="82"/>
      <c r="AN4055" s="82">
        <f>IFERROR(__xludf.DUMMYFUNCTION("""COMPUTED_VALUE"""),0.0)</f>
        <v>0</v>
      </c>
      <c r="AO4055" s="82">
        <f>IFERROR(__xludf.DUMMYFUNCTION("""COMPUTED_VALUE"""),0.0)</f>
        <v>0</v>
      </c>
      <c r="AP4055" s="82">
        <f>IFERROR(__xludf.DUMMYFUNCTION("""COMPUTED_VALUE"""),0.0)</f>
        <v>0</v>
      </c>
      <c r="AQ4055" s="82">
        <f>IFERROR(__xludf.DUMMYFUNCTION("""COMPUTED_VALUE"""),0.0)</f>
        <v>0</v>
      </c>
      <c r="AR4055" s="82">
        <f>IFERROR(__xludf.DUMMYFUNCTION("""COMPUTED_VALUE"""),0.0)</f>
        <v>0</v>
      </c>
      <c r="AS4055" s="82"/>
      <c r="AT4055" s="82">
        <f>IFERROR(__xludf.DUMMYFUNCTION("""COMPUTED_VALUE"""),0.0)</f>
        <v>0</v>
      </c>
      <c r="AU4055" s="82"/>
      <c r="AV4055" s="82"/>
      <c r="AW4055" s="82" t="str">
        <f t="shared" si="1"/>
        <v/>
      </c>
      <c r="AX4055" s="83" t="str">
        <f t="array" ref="AX4055">IFERROR(DGET('SBV Import'!A:G,"SBV",{"RSC ID","Tier";B4055,A4055}))</f>
        <v/>
      </c>
      <c r="AY4055" s="82" t="str">
        <f t="shared" si="2"/>
        <v/>
      </c>
      <c r="AZ4055" s="82"/>
      <c r="BA4055" s="84" t="s">
        <v>152</v>
      </c>
      <c r="BB4055" s="84" t="str">
        <f>IFERROR(__xludf.DUMMYFUNCTION("iferror(if(A4055="""",,E4055&gt;=FILTER(Constants!$F$2:$F$10,Constants!$A$2:$A$10=A4055)))"),"")</f>
        <v/>
      </c>
    </row>
    <row r="4056">
      <c r="A4056" s="89"/>
      <c r="B4056" s="87"/>
      <c r="C4056" s="73"/>
      <c r="D4056" s="73"/>
      <c r="E4056" s="82"/>
      <c r="F4056" s="82"/>
      <c r="G4056" s="86"/>
      <c r="H4056" s="86"/>
      <c r="I4056" s="86"/>
      <c r="J4056" s="82"/>
      <c r="K4056" s="82"/>
      <c r="L4056" s="82"/>
      <c r="M4056" s="82"/>
      <c r="N4056" s="82"/>
      <c r="O4056" s="82"/>
      <c r="P4056" s="82"/>
      <c r="Q4056" s="82"/>
      <c r="R4056" s="82"/>
      <c r="S4056" s="82"/>
      <c r="T4056" s="82"/>
      <c r="U4056" s="82"/>
      <c r="V4056" s="82"/>
      <c r="W4056" s="82"/>
      <c r="X4056" s="82"/>
      <c r="Y4056" s="82"/>
      <c r="Z4056" s="82"/>
      <c r="AA4056" s="82"/>
      <c r="AB4056" s="82"/>
      <c r="AC4056" s="82"/>
      <c r="AD4056" s="82"/>
      <c r="AE4056" s="82"/>
      <c r="AF4056" s="82"/>
      <c r="AG4056" s="82"/>
      <c r="AH4056" s="82"/>
      <c r="AI4056" s="82"/>
      <c r="AJ4056" s="82"/>
      <c r="AK4056" s="82"/>
      <c r="AL4056" s="82"/>
      <c r="AM4056" s="82"/>
      <c r="AN4056" s="82">
        <f>IFERROR(__xludf.DUMMYFUNCTION("""COMPUTED_VALUE"""),0.0)</f>
        <v>0</v>
      </c>
      <c r="AO4056" s="82">
        <f>IFERROR(__xludf.DUMMYFUNCTION("""COMPUTED_VALUE"""),0.0)</f>
        <v>0</v>
      </c>
      <c r="AP4056" s="82">
        <f>IFERROR(__xludf.DUMMYFUNCTION("""COMPUTED_VALUE"""),0.0)</f>
        <v>0</v>
      </c>
      <c r="AQ4056" s="82">
        <f>IFERROR(__xludf.DUMMYFUNCTION("""COMPUTED_VALUE"""),0.0)</f>
        <v>0</v>
      </c>
      <c r="AR4056" s="82">
        <f>IFERROR(__xludf.DUMMYFUNCTION("""COMPUTED_VALUE"""),0.0)</f>
        <v>0</v>
      </c>
      <c r="AS4056" s="82"/>
      <c r="AT4056" s="82">
        <f>IFERROR(__xludf.DUMMYFUNCTION("""COMPUTED_VALUE"""),0.0)</f>
        <v>0</v>
      </c>
      <c r="AU4056" s="82"/>
      <c r="AV4056" s="82"/>
      <c r="AW4056" s="82" t="str">
        <f t="shared" si="1"/>
        <v/>
      </c>
      <c r="AX4056" s="83" t="str">
        <f t="array" ref="AX4056">IFERROR(DGET('SBV Import'!A:G,"SBV",{"RSC ID","Tier";B4056,A4056}))</f>
        <v/>
      </c>
      <c r="AY4056" s="82" t="str">
        <f t="shared" si="2"/>
        <v/>
      </c>
      <c r="AZ4056" s="82"/>
      <c r="BA4056" s="84" t="s">
        <v>152</v>
      </c>
      <c r="BB4056" s="84" t="str">
        <f>IFERROR(__xludf.DUMMYFUNCTION("iferror(if(A4056="""",,E4056&gt;=FILTER(Constants!$F$2:$F$10,Constants!$A$2:$A$10=A4056)))"),"")</f>
        <v/>
      </c>
    </row>
    <row r="4057">
      <c r="A4057" s="89"/>
      <c r="B4057" s="87"/>
      <c r="C4057" s="73"/>
      <c r="D4057" s="73"/>
      <c r="E4057" s="82"/>
      <c r="F4057" s="82"/>
      <c r="G4057" s="86"/>
      <c r="H4057" s="86"/>
      <c r="I4057" s="86"/>
      <c r="J4057" s="82"/>
      <c r="K4057" s="82"/>
      <c r="L4057" s="82"/>
      <c r="M4057" s="82"/>
      <c r="N4057" s="82"/>
      <c r="O4057" s="82"/>
      <c r="P4057" s="82"/>
      <c r="Q4057" s="82"/>
      <c r="R4057" s="82"/>
      <c r="S4057" s="82"/>
      <c r="T4057" s="82"/>
      <c r="U4057" s="82"/>
      <c r="V4057" s="82"/>
      <c r="W4057" s="82"/>
      <c r="X4057" s="82"/>
      <c r="Y4057" s="82"/>
      <c r="Z4057" s="82"/>
      <c r="AA4057" s="82"/>
      <c r="AB4057" s="82"/>
      <c r="AC4057" s="82"/>
      <c r="AD4057" s="82"/>
      <c r="AE4057" s="82"/>
      <c r="AF4057" s="82"/>
      <c r="AG4057" s="82"/>
      <c r="AH4057" s="82"/>
      <c r="AI4057" s="82"/>
      <c r="AJ4057" s="82"/>
      <c r="AK4057" s="82"/>
      <c r="AL4057" s="82"/>
      <c r="AM4057" s="82"/>
      <c r="AN4057" s="82">
        <f>IFERROR(__xludf.DUMMYFUNCTION("""COMPUTED_VALUE"""),0.0)</f>
        <v>0</v>
      </c>
      <c r="AO4057" s="82">
        <f>IFERROR(__xludf.DUMMYFUNCTION("""COMPUTED_VALUE"""),0.0)</f>
        <v>0</v>
      </c>
      <c r="AP4057" s="82">
        <f>IFERROR(__xludf.DUMMYFUNCTION("""COMPUTED_VALUE"""),0.0)</f>
        <v>0</v>
      </c>
      <c r="AQ4057" s="82">
        <f>IFERROR(__xludf.DUMMYFUNCTION("""COMPUTED_VALUE"""),0.0)</f>
        <v>0</v>
      </c>
      <c r="AR4057" s="82">
        <f>IFERROR(__xludf.DUMMYFUNCTION("""COMPUTED_VALUE"""),0.0)</f>
        <v>0</v>
      </c>
      <c r="AS4057" s="82"/>
      <c r="AT4057" s="82">
        <f>IFERROR(__xludf.DUMMYFUNCTION("""COMPUTED_VALUE"""),0.0)</f>
        <v>0</v>
      </c>
      <c r="AU4057" s="82"/>
      <c r="AV4057" s="82"/>
      <c r="AW4057" s="82" t="str">
        <f t="shared" si="1"/>
        <v/>
      </c>
      <c r="AX4057" s="83" t="str">
        <f t="array" ref="AX4057">IFERROR(DGET('SBV Import'!A:G,"SBV",{"RSC ID","Tier";B4057,A4057}))</f>
        <v/>
      </c>
      <c r="AY4057" s="82" t="str">
        <f t="shared" si="2"/>
        <v/>
      </c>
      <c r="AZ4057" s="82"/>
      <c r="BA4057" s="84" t="s">
        <v>152</v>
      </c>
      <c r="BB4057" s="84" t="str">
        <f>IFERROR(__xludf.DUMMYFUNCTION("iferror(if(A4057="""",,E4057&gt;=FILTER(Constants!$F$2:$F$10,Constants!$A$2:$A$10=A4057)))"),"")</f>
        <v/>
      </c>
    </row>
    <row r="4058">
      <c r="A4058" s="89"/>
      <c r="B4058" s="87"/>
      <c r="C4058" s="73"/>
      <c r="D4058" s="73"/>
      <c r="E4058" s="82"/>
      <c r="F4058" s="82"/>
      <c r="G4058" s="86"/>
      <c r="H4058" s="86"/>
      <c r="I4058" s="86"/>
      <c r="J4058" s="82"/>
      <c r="K4058" s="82"/>
      <c r="L4058" s="82"/>
      <c r="M4058" s="82"/>
      <c r="N4058" s="82"/>
      <c r="O4058" s="82"/>
      <c r="P4058" s="82"/>
      <c r="Q4058" s="82"/>
      <c r="R4058" s="82"/>
      <c r="S4058" s="82"/>
      <c r="T4058" s="82"/>
      <c r="U4058" s="82"/>
      <c r="V4058" s="82"/>
      <c r="W4058" s="82"/>
      <c r="X4058" s="82"/>
      <c r="Y4058" s="82"/>
      <c r="Z4058" s="82"/>
      <c r="AA4058" s="82"/>
      <c r="AB4058" s="82"/>
      <c r="AC4058" s="82"/>
      <c r="AD4058" s="82"/>
      <c r="AE4058" s="82"/>
      <c r="AF4058" s="82"/>
      <c r="AG4058" s="82"/>
      <c r="AH4058" s="82"/>
      <c r="AI4058" s="82"/>
      <c r="AJ4058" s="82"/>
      <c r="AK4058" s="82"/>
      <c r="AL4058" s="82"/>
      <c r="AM4058" s="82"/>
      <c r="AN4058" s="82">
        <f>IFERROR(__xludf.DUMMYFUNCTION("""COMPUTED_VALUE"""),0.0)</f>
        <v>0</v>
      </c>
      <c r="AO4058" s="82">
        <f>IFERROR(__xludf.DUMMYFUNCTION("""COMPUTED_VALUE"""),0.0)</f>
        <v>0</v>
      </c>
      <c r="AP4058" s="82">
        <f>IFERROR(__xludf.DUMMYFUNCTION("""COMPUTED_VALUE"""),0.0)</f>
        <v>0</v>
      </c>
      <c r="AQ4058" s="82">
        <f>IFERROR(__xludf.DUMMYFUNCTION("""COMPUTED_VALUE"""),0.0)</f>
        <v>0</v>
      </c>
      <c r="AR4058" s="82">
        <f>IFERROR(__xludf.DUMMYFUNCTION("""COMPUTED_VALUE"""),0.0)</f>
        <v>0</v>
      </c>
      <c r="AS4058" s="82"/>
      <c r="AT4058" s="82">
        <f>IFERROR(__xludf.DUMMYFUNCTION("""COMPUTED_VALUE"""),0.0)</f>
        <v>0</v>
      </c>
      <c r="AU4058" s="82"/>
      <c r="AV4058" s="82"/>
      <c r="AW4058" s="82" t="str">
        <f t="shared" si="1"/>
        <v/>
      </c>
      <c r="AX4058" s="83" t="str">
        <f t="array" ref="AX4058">IFERROR(DGET('SBV Import'!A:G,"SBV",{"RSC ID","Tier";B4058,A4058}))</f>
        <v/>
      </c>
      <c r="AY4058" s="82" t="str">
        <f t="shared" si="2"/>
        <v/>
      </c>
      <c r="AZ4058" s="82"/>
      <c r="BA4058" s="84" t="s">
        <v>152</v>
      </c>
      <c r="BB4058" s="84" t="str">
        <f>IFERROR(__xludf.DUMMYFUNCTION("iferror(if(A4058="""",,E4058&gt;=FILTER(Constants!$F$2:$F$10,Constants!$A$2:$A$10=A4058)))"),"")</f>
        <v/>
      </c>
    </row>
    <row r="4059">
      <c r="A4059" s="89"/>
      <c r="B4059" s="87"/>
      <c r="C4059" s="73"/>
      <c r="D4059" s="73"/>
      <c r="E4059" s="82"/>
      <c r="F4059" s="82"/>
      <c r="G4059" s="86"/>
      <c r="H4059" s="86"/>
      <c r="I4059" s="86"/>
      <c r="J4059" s="82"/>
      <c r="K4059" s="82"/>
      <c r="L4059" s="82"/>
      <c r="M4059" s="82"/>
      <c r="N4059" s="82"/>
      <c r="O4059" s="82"/>
      <c r="P4059" s="82"/>
      <c r="Q4059" s="82"/>
      <c r="R4059" s="82"/>
      <c r="S4059" s="82"/>
      <c r="T4059" s="82"/>
      <c r="U4059" s="82"/>
      <c r="V4059" s="82"/>
      <c r="W4059" s="82"/>
      <c r="X4059" s="82"/>
      <c r="Y4059" s="82"/>
      <c r="Z4059" s="82"/>
      <c r="AA4059" s="82"/>
      <c r="AB4059" s="82"/>
      <c r="AC4059" s="82"/>
      <c r="AD4059" s="82"/>
      <c r="AE4059" s="82"/>
      <c r="AF4059" s="82"/>
      <c r="AG4059" s="82"/>
      <c r="AH4059" s="82"/>
      <c r="AI4059" s="82"/>
      <c r="AJ4059" s="82"/>
      <c r="AK4059" s="82"/>
      <c r="AL4059" s="82"/>
      <c r="AM4059" s="82"/>
      <c r="AN4059" s="82">
        <f>IFERROR(__xludf.DUMMYFUNCTION("""COMPUTED_VALUE"""),0.0)</f>
        <v>0</v>
      </c>
      <c r="AO4059" s="82">
        <f>IFERROR(__xludf.DUMMYFUNCTION("""COMPUTED_VALUE"""),0.0)</f>
        <v>0</v>
      </c>
      <c r="AP4059" s="82">
        <f>IFERROR(__xludf.DUMMYFUNCTION("""COMPUTED_VALUE"""),0.0)</f>
        <v>0</v>
      </c>
      <c r="AQ4059" s="82">
        <f>IFERROR(__xludf.DUMMYFUNCTION("""COMPUTED_VALUE"""),0.0)</f>
        <v>0</v>
      </c>
      <c r="AR4059" s="82">
        <f>IFERROR(__xludf.DUMMYFUNCTION("""COMPUTED_VALUE"""),0.0)</f>
        <v>0</v>
      </c>
      <c r="AS4059" s="82"/>
      <c r="AT4059" s="82">
        <f>IFERROR(__xludf.DUMMYFUNCTION("""COMPUTED_VALUE"""),0.0)</f>
        <v>0</v>
      </c>
      <c r="AU4059" s="82"/>
      <c r="AV4059" s="82"/>
      <c r="AW4059" s="82" t="str">
        <f t="shared" si="1"/>
        <v/>
      </c>
      <c r="AX4059" s="83" t="str">
        <f t="array" ref="AX4059">IFERROR(DGET('SBV Import'!A:G,"SBV",{"RSC ID","Tier";B4059,A4059}))</f>
        <v/>
      </c>
      <c r="AY4059" s="82" t="str">
        <f t="shared" si="2"/>
        <v/>
      </c>
      <c r="AZ4059" s="82"/>
      <c r="BA4059" s="84" t="s">
        <v>152</v>
      </c>
      <c r="BB4059" s="84" t="str">
        <f>IFERROR(__xludf.DUMMYFUNCTION("iferror(if(A4059="""",,E4059&gt;=FILTER(Constants!$F$2:$F$10,Constants!$A$2:$A$10=A4059)))"),"")</f>
        <v/>
      </c>
    </row>
    <row r="4060">
      <c r="A4060" s="89"/>
      <c r="B4060" s="87"/>
      <c r="C4060" s="73"/>
      <c r="D4060" s="73"/>
      <c r="E4060" s="82"/>
      <c r="F4060" s="82"/>
      <c r="G4060" s="86"/>
      <c r="H4060" s="86"/>
      <c r="I4060" s="86"/>
      <c r="J4060" s="82"/>
      <c r="K4060" s="82"/>
      <c r="L4060" s="82"/>
      <c r="M4060" s="82"/>
      <c r="N4060" s="82"/>
      <c r="O4060" s="82"/>
      <c r="P4060" s="82"/>
      <c r="Q4060" s="82"/>
      <c r="R4060" s="82"/>
      <c r="S4060" s="82"/>
      <c r="T4060" s="82"/>
      <c r="U4060" s="82"/>
      <c r="V4060" s="82"/>
      <c r="W4060" s="82"/>
      <c r="X4060" s="82"/>
      <c r="Y4060" s="82"/>
      <c r="Z4060" s="82"/>
      <c r="AA4060" s="82"/>
      <c r="AB4060" s="82"/>
      <c r="AC4060" s="82"/>
      <c r="AD4060" s="82"/>
      <c r="AE4060" s="82"/>
      <c r="AF4060" s="82"/>
      <c r="AG4060" s="82"/>
      <c r="AH4060" s="82"/>
      <c r="AI4060" s="82"/>
      <c r="AJ4060" s="82"/>
      <c r="AK4060" s="82"/>
      <c r="AL4060" s="82"/>
      <c r="AM4060" s="82"/>
      <c r="AN4060" s="82">
        <f>IFERROR(__xludf.DUMMYFUNCTION("""COMPUTED_VALUE"""),0.0)</f>
        <v>0</v>
      </c>
      <c r="AO4060" s="82">
        <f>IFERROR(__xludf.DUMMYFUNCTION("""COMPUTED_VALUE"""),0.0)</f>
        <v>0</v>
      </c>
      <c r="AP4060" s="82">
        <f>IFERROR(__xludf.DUMMYFUNCTION("""COMPUTED_VALUE"""),0.0)</f>
        <v>0</v>
      </c>
      <c r="AQ4060" s="82">
        <f>IFERROR(__xludf.DUMMYFUNCTION("""COMPUTED_VALUE"""),0.0)</f>
        <v>0</v>
      </c>
      <c r="AR4060" s="82">
        <f>IFERROR(__xludf.DUMMYFUNCTION("""COMPUTED_VALUE"""),0.0)</f>
        <v>0</v>
      </c>
      <c r="AS4060" s="82"/>
      <c r="AT4060" s="82">
        <f>IFERROR(__xludf.DUMMYFUNCTION("""COMPUTED_VALUE"""),0.0)</f>
        <v>0</v>
      </c>
      <c r="AU4060" s="82"/>
      <c r="AV4060" s="82"/>
      <c r="AW4060" s="82" t="str">
        <f t="shared" si="1"/>
        <v/>
      </c>
      <c r="AX4060" s="83" t="str">
        <f t="array" ref="AX4060">IFERROR(DGET('SBV Import'!A:G,"SBV",{"RSC ID","Tier";B4060,A4060}))</f>
        <v/>
      </c>
      <c r="AY4060" s="82" t="str">
        <f t="shared" si="2"/>
        <v/>
      </c>
      <c r="AZ4060" s="82"/>
      <c r="BA4060" s="84" t="s">
        <v>152</v>
      </c>
      <c r="BB4060" s="84" t="str">
        <f>IFERROR(__xludf.DUMMYFUNCTION("iferror(if(A4060="""",,E4060&gt;=FILTER(Constants!$F$2:$F$10,Constants!$A$2:$A$10=A4060)))"),"")</f>
        <v/>
      </c>
    </row>
    <row r="4061">
      <c r="A4061" s="89"/>
      <c r="B4061" s="87"/>
      <c r="C4061" s="73"/>
      <c r="D4061" s="73"/>
      <c r="E4061" s="82"/>
      <c r="F4061" s="82"/>
      <c r="G4061" s="86"/>
      <c r="H4061" s="86"/>
      <c r="I4061" s="86"/>
      <c r="J4061" s="82"/>
      <c r="K4061" s="82"/>
      <c r="L4061" s="82"/>
      <c r="M4061" s="82"/>
      <c r="N4061" s="82"/>
      <c r="O4061" s="82"/>
      <c r="P4061" s="82"/>
      <c r="Q4061" s="82"/>
      <c r="R4061" s="82"/>
      <c r="S4061" s="82"/>
      <c r="T4061" s="82"/>
      <c r="U4061" s="82"/>
      <c r="V4061" s="82"/>
      <c r="W4061" s="82"/>
      <c r="X4061" s="82"/>
      <c r="Y4061" s="82"/>
      <c r="Z4061" s="82"/>
      <c r="AA4061" s="82"/>
      <c r="AB4061" s="82"/>
      <c r="AC4061" s="82"/>
      <c r="AD4061" s="82"/>
      <c r="AE4061" s="82"/>
      <c r="AF4061" s="82"/>
      <c r="AG4061" s="82"/>
      <c r="AH4061" s="82"/>
      <c r="AI4061" s="82"/>
      <c r="AJ4061" s="82"/>
      <c r="AK4061" s="82"/>
      <c r="AL4061" s="82"/>
      <c r="AM4061" s="82"/>
      <c r="AN4061" s="82">
        <f>IFERROR(__xludf.DUMMYFUNCTION("""COMPUTED_VALUE"""),0.0)</f>
        <v>0</v>
      </c>
      <c r="AO4061" s="82">
        <f>IFERROR(__xludf.DUMMYFUNCTION("""COMPUTED_VALUE"""),0.0)</f>
        <v>0</v>
      </c>
      <c r="AP4061" s="82">
        <f>IFERROR(__xludf.DUMMYFUNCTION("""COMPUTED_VALUE"""),0.0)</f>
        <v>0</v>
      </c>
      <c r="AQ4061" s="82">
        <f>IFERROR(__xludf.DUMMYFUNCTION("""COMPUTED_VALUE"""),0.0)</f>
        <v>0</v>
      </c>
      <c r="AR4061" s="82">
        <f>IFERROR(__xludf.DUMMYFUNCTION("""COMPUTED_VALUE"""),0.0)</f>
        <v>0</v>
      </c>
      <c r="AS4061" s="82"/>
      <c r="AT4061" s="82">
        <f>IFERROR(__xludf.DUMMYFUNCTION("""COMPUTED_VALUE"""),0.0)</f>
        <v>0</v>
      </c>
      <c r="AU4061" s="82"/>
      <c r="AV4061" s="82"/>
      <c r="AW4061" s="82" t="str">
        <f t="shared" si="1"/>
        <v/>
      </c>
      <c r="AX4061" s="83" t="str">
        <f t="array" ref="AX4061">IFERROR(DGET('SBV Import'!A:G,"SBV",{"RSC ID","Tier";B4061,A4061}))</f>
        <v/>
      </c>
      <c r="AY4061" s="82" t="str">
        <f t="shared" si="2"/>
        <v/>
      </c>
      <c r="AZ4061" s="82"/>
      <c r="BA4061" s="84" t="s">
        <v>152</v>
      </c>
      <c r="BB4061" s="84" t="str">
        <f>IFERROR(__xludf.DUMMYFUNCTION("iferror(if(A4061="""",,E4061&gt;=FILTER(Constants!$F$2:$F$10,Constants!$A$2:$A$10=A4061)))"),"")</f>
        <v/>
      </c>
    </row>
    <row r="4062">
      <c r="A4062" s="89"/>
      <c r="B4062" s="87"/>
      <c r="C4062" s="73"/>
      <c r="D4062" s="73"/>
      <c r="E4062" s="82"/>
      <c r="F4062" s="82"/>
      <c r="G4062" s="86"/>
      <c r="H4062" s="86"/>
      <c r="I4062" s="86"/>
      <c r="J4062" s="82"/>
      <c r="K4062" s="82"/>
      <c r="L4062" s="82"/>
      <c r="M4062" s="82"/>
      <c r="N4062" s="82"/>
      <c r="O4062" s="82"/>
      <c r="P4062" s="82"/>
      <c r="Q4062" s="82"/>
      <c r="R4062" s="82"/>
      <c r="S4062" s="82"/>
      <c r="T4062" s="82"/>
      <c r="U4062" s="82"/>
      <c r="V4062" s="82"/>
      <c r="W4062" s="82"/>
      <c r="X4062" s="82"/>
      <c r="Y4062" s="82"/>
      <c r="Z4062" s="82"/>
      <c r="AA4062" s="82"/>
      <c r="AB4062" s="82"/>
      <c r="AC4062" s="82"/>
      <c r="AD4062" s="82"/>
      <c r="AE4062" s="82"/>
      <c r="AF4062" s="82"/>
      <c r="AG4062" s="82"/>
      <c r="AH4062" s="82"/>
      <c r="AI4062" s="82"/>
      <c r="AJ4062" s="82"/>
      <c r="AK4062" s="82"/>
      <c r="AL4062" s="82"/>
      <c r="AM4062" s="82"/>
      <c r="AN4062" s="82">
        <f>IFERROR(__xludf.DUMMYFUNCTION("""COMPUTED_VALUE"""),0.0)</f>
        <v>0</v>
      </c>
      <c r="AO4062" s="82">
        <f>IFERROR(__xludf.DUMMYFUNCTION("""COMPUTED_VALUE"""),0.0)</f>
        <v>0</v>
      </c>
      <c r="AP4062" s="82">
        <f>IFERROR(__xludf.DUMMYFUNCTION("""COMPUTED_VALUE"""),0.0)</f>
        <v>0</v>
      </c>
      <c r="AQ4062" s="82">
        <f>IFERROR(__xludf.DUMMYFUNCTION("""COMPUTED_VALUE"""),0.0)</f>
        <v>0</v>
      </c>
      <c r="AR4062" s="82">
        <f>IFERROR(__xludf.DUMMYFUNCTION("""COMPUTED_VALUE"""),0.0)</f>
        <v>0</v>
      </c>
      <c r="AS4062" s="82"/>
      <c r="AT4062" s="82">
        <f>IFERROR(__xludf.DUMMYFUNCTION("""COMPUTED_VALUE"""),0.0)</f>
        <v>0</v>
      </c>
      <c r="AU4062" s="82"/>
      <c r="AV4062" s="82"/>
      <c r="AW4062" s="82" t="str">
        <f t="shared" si="1"/>
        <v/>
      </c>
      <c r="AX4062" s="83" t="str">
        <f t="array" ref="AX4062">IFERROR(DGET('SBV Import'!A:G,"SBV",{"RSC ID","Tier";B4062,A4062}))</f>
        <v/>
      </c>
      <c r="AY4062" s="82" t="str">
        <f t="shared" si="2"/>
        <v/>
      </c>
      <c r="AZ4062" s="82"/>
      <c r="BA4062" s="84" t="s">
        <v>152</v>
      </c>
      <c r="BB4062" s="84" t="str">
        <f>IFERROR(__xludf.DUMMYFUNCTION("iferror(if(A4062="""",,E4062&gt;=FILTER(Constants!$F$2:$F$10,Constants!$A$2:$A$10=A4062)))"),"")</f>
        <v/>
      </c>
    </row>
    <row r="4063">
      <c r="A4063" s="89"/>
      <c r="B4063" s="87"/>
      <c r="C4063" s="73"/>
      <c r="D4063" s="73"/>
      <c r="E4063" s="82"/>
      <c r="F4063" s="82"/>
      <c r="G4063" s="86"/>
      <c r="H4063" s="86"/>
      <c r="I4063" s="86"/>
      <c r="J4063" s="82"/>
      <c r="K4063" s="82"/>
      <c r="L4063" s="82"/>
      <c r="M4063" s="82"/>
      <c r="N4063" s="82"/>
      <c r="O4063" s="82"/>
      <c r="P4063" s="82"/>
      <c r="Q4063" s="82"/>
      <c r="R4063" s="82"/>
      <c r="S4063" s="82"/>
      <c r="T4063" s="82"/>
      <c r="U4063" s="82"/>
      <c r="V4063" s="82"/>
      <c r="W4063" s="82"/>
      <c r="X4063" s="82"/>
      <c r="Y4063" s="82"/>
      <c r="Z4063" s="82"/>
      <c r="AA4063" s="82"/>
      <c r="AB4063" s="82"/>
      <c r="AC4063" s="82"/>
      <c r="AD4063" s="82"/>
      <c r="AE4063" s="82"/>
      <c r="AF4063" s="82"/>
      <c r="AG4063" s="82"/>
      <c r="AH4063" s="82"/>
      <c r="AI4063" s="82"/>
      <c r="AJ4063" s="82"/>
      <c r="AK4063" s="82"/>
      <c r="AL4063" s="82"/>
      <c r="AM4063" s="82"/>
      <c r="AN4063" s="82">
        <f>IFERROR(__xludf.DUMMYFUNCTION("""COMPUTED_VALUE"""),0.0)</f>
        <v>0</v>
      </c>
      <c r="AO4063" s="82">
        <f>IFERROR(__xludf.DUMMYFUNCTION("""COMPUTED_VALUE"""),0.0)</f>
        <v>0</v>
      </c>
      <c r="AP4063" s="82">
        <f>IFERROR(__xludf.DUMMYFUNCTION("""COMPUTED_VALUE"""),0.0)</f>
        <v>0</v>
      </c>
      <c r="AQ4063" s="82">
        <f>IFERROR(__xludf.DUMMYFUNCTION("""COMPUTED_VALUE"""),0.0)</f>
        <v>0</v>
      </c>
      <c r="AR4063" s="82">
        <f>IFERROR(__xludf.DUMMYFUNCTION("""COMPUTED_VALUE"""),0.0)</f>
        <v>0</v>
      </c>
      <c r="AS4063" s="82"/>
      <c r="AT4063" s="82">
        <f>IFERROR(__xludf.DUMMYFUNCTION("""COMPUTED_VALUE"""),0.0)</f>
        <v>0</v>
      </c>
      <c r="AU4063" s="82"/>
      <c r="AV4063" s="82"/>
      <c r="AW4063" s="82" t="str">
        <f t="shared" si="1"/>
        <v/>
      </c>
      <c r="AX4063" s="83" t="str">
        <f t="array" ref="AX4063">IFERROR(DGET('SBV Import'!A:G,"SBV",{"RSC ID","Tier";B4063,A4063}))</f>
        <v/>
      </c>
      <c r="AY4063" s="82" t="str">
        <f t="shared" si="2"/>
        <v/>
      </c>
      <c r="AZ4063" s="82"/>
      <c r="BA4063" s="84" t="s">
        <v>152</v>
      </c>
      <c r="BB4063" s="84" t="str">
        <f>IFERROR(__xludf.DUMMYFUNCTION("iferror(if(A4063="""",,E4063&gt;=FILTER(Constants!$F$2:$F$10,Constants!$A$2:$A$10=A4063)))"),"")</f>
        <v/>
      </c>
    </row>
    <row r="4064">
      <c r="A4064" s="89"/>
      <c r="B4064" s="87"/>
      <c r="C4064" s="73"/>
      <c r="D4064" s="73"/>
      <c r="E4064" s="82"/>
      <c r="F4064" s="82"/>
      <c r="G4064" s="86"/>
      <c r="H4064" s="86"/>
      <c r="I4064" s="86"/>
      <c r="J4064" s="82"/>
      <c r="K4064" s="82"/>
      <c r="L4064" s="82"/>
      <c r="M4064" s="82"/>
      <c r="N4064" s="82"/>
      <c r="O4064" s="82"/>
      <c r="P4064" s="82"/>
      <c r="Q4064" s="82"/>
      <c r="R4064" s="82"/>
      <c r="S4064" s="82"/>
      <c r="T4064" s="82"/>
      <c r="U4064" s="82"/>
      <c r="V4064" s="82"/>
      <c r="W4064" s="82"/>
      <c r="X4064" s="82"/>
      <c r="Y4064" s="82"/>
      <c r="Z4064" s="82"/>
      <c r="AA4064" s="82"/>
      <c r="AB4064" s="82"/>
      <c r="AC4064" s="82"/>
      <c r="AD4064" s="82"/>
      <c r="AE4064" s="82"/>
      <c r="AF4064" s="82"/>
      <c r="AG4064" s="82"/>
      <c r="AH4064" s="82"/>
      <c r="AI4064" s="82"/>
      <c r="AJ4064" s="82"/>
      <c r="AK4064" s="82"/>
      <c r="AL4064" s="82"/>
      <c r="AM4064" s="82"/>
      <c r="AN4064" s="82">
        <f>IFERROR(__xludf.DUMMYFUNCTION("""COMPUTED_VALUE"""),0.0)</f>
        <v>0</v>
      </c>
      <c r="AO4064" s="82">
        <f>IFERROR(__xludf.DUMMYFUNCTION("""COMPUTED_VALUE"""),0.0)</f>
        <v>0</v>
      </c>
      <c r="AP4064" s="82">
        <f>IFERROR(__xludf.DUMMYFUNCTION("""COMPUTED_VALUE"""),0.0)</f>
        <v>0</v>
      </c>
      <c r="AQ4064" s="82">
        <f>IFERROR(__xludf.DUMMYFUNCTION("""COMPUTED_VALUE"""),0.0)</f>
        <v>0</v>
      </c>
      <c r="AR4064" s="82">
        <f>IFERROR(__xludf.DUMMYFUNCTION("""COMPUTED_VALUE"""),0.0)</f>
        <v>0</v>
      </c>
      <c r="AS4064" s="82"/>
      <c r="AT4064" s="82">
        <f>IFERROR(__xludf.DUMMYFUNCTION("""COMPUTED_VALUE"""),0.0)</f>
        <v>0</v>
      </c>
      <c r="AU4064" s="82"/>
      <c r="AV4064" s="82"/>
      <c r="AW4064" s="82" t="str">
        <f t="shared" si="1"/>
        <v/>
      </c>
      <c r="AX4064" s="83" t="str">
        <f t="array" ref="AX4064">IFERROR(DGET('SBV Import'!A:G,"SBV",{"RSC ID","Tier";B4064,A4064}))</f>
        <v/>
      </c>
      <c r="AY4064" s="82" t="str">
        <f t="shared" si="2"/>
        <v/>
      </c>
      <c r="AZ4064" s="82"/>
      <c r="BA4064" s="84" t="s">
        <v>152</v>
      </c>
      <c r="BB4064" s="84" t="str">
        <f>IFERROR(__xludf.DUMMYFUNCTION("iferror(if(A4064="""",,E4064&gt;=FILTER(Constants!$F$2:$F$10,Constants!$A$2:$A$10=A4064)))"),"")</f>
        <v/>
      </c>
    </row>
    <row r="4065">
      <c r="A4065" s="89"/>
      <c r="B4065" s="87"/>
      <c r="C4065" s="73"/>
      <c r="D4065" s="73"/>
      <c r="E4065" s="82"/>
      <c r="F4065" s="82"/>
      <c r="G4065" s="86"/>
      <c r="H4065" s="86"/>
      <c r="I4065" s="86"/>
      <c r="J4065" s="82"/>
      <c r="K4065" s="82"/>
      <c r="L4065" s="82"/>
      <c r="M4065" s="82"/>
      <c r="N4065" s="82"/>
      <c r="O4065" s="82"/>
      <c r="P4065" s="82"/>
      <c r="Q4065" s="82"/>
      <c r="R4065" s="82"/>
      <c r="S4065" s="82"/>
      <c r="T4065" s="82"/>
      <c r="U4065" s="82"/>
      <c r="V4065" s="82"/>
      <c r="W4065" s="82"/>
      <c r="X4065" s="82"/>
      <c r="Y4065" s="82"/>
      <c r="Z4065" s="82"/>
      <c r="AA4065" s="82"/>
      <c r="AB4065" s="82"/>
      <c r="AC4065" s="82"/>
      <c r="AD4065" s="82"/>
      <c r="AE4065" s="82"/>
      <c r="AF4065" s="82"/>
      <c r="AG4065" s="82"/>
      <c r="AH4065" s="82"/>
      <c r="AI4065" s="82"/>
      <c r="AJ4065" s="82"/>
      <c r="AK4065" s="82"/>
      <c r="AL4065" s="82"/>
      <c r="AM4065" s="82"/>
      <c r="AN4065" s="82">
        <f>IFERROR(__xludf.DUMMYFUNCTION("""COMPUTED_VALUE"""),0.0)</f>
        <v>0</v>
      </c>
      <c r="AO4065" s="82">
        <f>IFERROR(__xludf.DUMMYFUNCTION("""COMPUTED_VALUE"""),0.0)</f>
        <v>0</v>
      </c>
      <c r="AP4065" s="82">
        <f>IFERROR(__xludf.DUMMYFUNCTION("""COMPUTED_VALUE"""),0.0)</f>
        <v>0</v>
      </c>
      <c r="AQ4065" s="82">
        <f>IFERROR(__xludf.DUMMYFUNCTION("""COMPUTED_VALUE"""),0.0)</f>
        <v>0</v>
      </c>
      <c r="AR4065" s="82">
        <f>IFERROR(__xludf.DUMMYFUNCTION("""COMPUTED_VALUE"""),0.0)</f>
        <v>0</v>
      </c>
      <c r="AS4065" s="82"/>
      <c r="AT4065" s="82">
        <f>IFERROR(__xludf.DUMMYFUNCTION("""COMPUTED_VALUE"""),0.0)</f>
        <v>0</v>
      </c>
      <c r="AU4065" s="82"/>
      <c r="AV4065" s="82"/>
      <c r="AW4065" s="82" t="str">
        <f t="shared" si="1"/>
        <v/>
      </c>
      <c r="AX4065" s="83" t="str">
        <f t="array" ref="AX4065">IFERROR(DGET('SBV Import'!A:G,"SBV",{"RSC ID","Tier";B4065,A4065}))</f>
        <v/>
      </c>
      <c r="AY4065" s="82" t="str">
        <f t="shared" si="2"/>
        <v/>
      </c>
      <c r="AZ4065" s="82"/>
      <c r="BA4065" s="84" t="s">
        <v>152</v>
      </c>
      <c r="BB4065" s="84" t="str">
        <f>IFERROR(__xludf.DUMMYFUNCTION("iferror(if(A4065="""",,E4065&gt;=FILTER(Constants!$F$2:$F$10,Constants!$A$2:$A$10=A4065)))"),"")</f>
        <v/>
      </c>
    </row>
    <row r="4066">
      <c r="A4066" s="89"/>
      <c r="B4066" s="87"/>
      <c r="C4066" s="73"/>
      <c r="D4066" s="73"/>
      <c r="E4066" s="82"/>
      <c r="F4066" s="82"/>
      <c r="G4066" s="86"/>
      <c r="H4066" s="86"/>
      <c r="I4066" s="86"/>
      <c r="J4066" s="82"/>
      <c r="K4066" s="82"/>
      <c r="L4066" s="82"/>
      <c r="M4066" s="82"/>
      <c r="N4066" s="82"/>
      <c r="O4066" s="82"/>
      <c r="P4066" s="82"/>
      <c r="Q4066" s="82"/>
      <c r="R4066" s="82"/>
      <c r="S4066" s="82"/>
      <c r="T4066" s="82"/>
      <c r="U4066" s="82"/>
      <c r="V4066" s="82"/>
      <c r="W4066" s="82"/>
      <c r="X4066" s="82"/>
      <c r="Y4066" s="82"/>
      <c r="Z4066" s="82"/>
      <c r="AA4066" s="82"/>
      <c r="AB4066" s="82"/>
      <c r="AC4066" s="82"/>
      <c r="AD4066" s="82"/>
      <c r="AE4066" s="82"/>
      <c r="AF4066" s="82"/>
      <c r="AG4066" s="82"/>
      <c r="AH4066" s="82"/>
      <c r="AI4066" s="82"/>
      <c r="AJ4066" s="82"/>
      <c r="AK4066" s="82"/>
      <c r="AL4066" s="82"/>
      <c r="AM4066" s="82"/>
      <c r="AN4066" s="82">
        <f>IFERROR(__xludf.DUMMYFUNCTION("""COMPUTED_VALUE"""),0.0)</f>
        <v>0</v>
      </c>
      <c r="AO4066" s="82">
        <f>IFERROR(__xludf.DUMMYFUNCTION("""COMPUTED_VALUE"""),0.0)</f>
        <v>0</v>
      </c>
      <c r="AP4066" s="82">
        <f>IFERROR(__xludf.DUMMYFUNCTION("""COMPUTED_VALUE"""),0.0)</f>
        <v>0</v>
      </c>
      <c r="AQ4066" s="82">
        <f>IFERROR(__xludf.DUMMYFUNCTION("""COMPUTED_VALUE"""),0.0)</f>
        <v>0</v>
      </c>
      <c r="AR4066" s="82">
        <f>IFERROR(__xludf.DUMMYFUNCTION("""COMPUTED_VALUE"""),0.0)</f>
        <v>0</v>
      </c>
      <c r="AS4066" s="82"/>
      <c r="AT4066" s="82">
        <f>IFERROR(__xludf.DUMMYFUNCTION("""COMPUTED_VALUE"""),0.0)</f>
        <v>0</v>
      </c>
      <c r="AU4066" s="82"/>
      <c r="AV4066" s="82"/>
      <c r="AW4066" s="82" t="str">
        <f t="shared" si="1"/>
        <v/>
      </c>
      <c r="AX4066" s="83" t="str">
        <f t="array" ref="AX4066">IFERROR(DGET('SBV Import'!A:G,"SBV",{"RSC ID","Tier";B4066,A4066}))</f>
        <v/>
      </c>
      <c r="AY4066" s="82" t="str">
        <f t="shared" si="2"/>
        <v/>
      </c>
      <c r="AZ4066" s="82"/>
      <c r="BA4066" s="84" t="s">
        <v>152</v>
      </c>
      <c r="BB4066" s="84" t="str">
        <f>IFERROR(__xludf.DUMMYFUNCTION("iferror(if(A4066="""",,E4066&gt;=FILTER(Constants!$F$2:$F$10,Constants!$A$2:$A$10=A4066)))"),"")</f>
        <v/>
      </c>
    </row>
    <row r="4067">
      <c r="A4067" s="89"/>
      <c r="B4067" s="87"/>
      <c r="C4067" s="73"/>
      <c r="D4067" s="73"/>
      <c r="E4067" s="82"/>
      <c r="F4067" s="82"/>
      <c r="G4067" s="86"/>
      <c r="H4067" s="86"/>
      <c r="I4067" s="86"/>
      <c r="J4067" s="82"/>
      <c r="K4067" s="82"/>
      <c r="L4067" s="82"/>
      <c r="M4067" s="82"/>
      <c r="N4067" s="82"/>
      <c r="O4067" s="82"/>
      <c r="P4067" s="82"/>
      <c r="Q4067" s="82"/>
      <c r="R4067" s="82"/>
      <c r="S4067" s="82"/>
      <c r="T4067" s="82"/>
      <c r="U4067" s="82"/>
      <c r="V4067" s="82"/>
      <c r="W4067" s="82"/>
      <c r="X4067" s="82"/>
      <c r="Y4067" s="82"/>
      <c r="Z4067" s="82"/>
      <c r="AA4067" s="82"/>
      <c r="AB4067" s="82"/>
      <c r="AC4067" s="82"/>
      <c r="AD4067" s="82"/>
      <c r="AE4067" s="82"/>
      <c r="AF4067" s="82"/>
      <c r="AG4067" s="82"/>
      <c r="AH4067" s="82"/>
      <c r="AI4067" s="82"/>
      <c r="AJ4067" s="82"/>
      <c r="AK4067" s="82"/>
      <c r="AL4067" s="82"/>
      <c r="AM4067" s="82"/>
      <c r="AN4067" s="82">
        <f>IFERROR(__xludf.DUMMYFUNCTION("""COMPUTED_VALUE"""),0.0)</f>
        <v>0</v>
      </c>
      <c r="AO4067" s="82">
        <f>IFERROR(__xludf.DUMMYFUNCTION("""COMPUTED_VALUE"""),0.0)</f>
        <v>0</v>
      </c>
      <c r="AP4067" s="82">
        <f>IFERROR(__xludf.DUMMYFUNCTION("""COMPUTED_VALUE"""),0.0)</f>
        <v>0</v>
      </c>
      <c r="AQ4067" s="82">
        <f>IFERROR(__xludf.DUMMYFUNCTION("""COMPUTED_VALUE"""),0.0)</f>
        <v>0</v>
      </c>
      <c r="AR4067" s="82">
        <f>IFERROR(__xludf.DUMMYFUNCTION("""COMPUTED_VALUE"""),0.0)</f>
        <v>0</v>
      </c>
      <c r="AS4067" s="82"/>
      <c r="AT4067" s="82">
        <f>IFERROR(__xludf.DUMMYFUNCTION("""COMPUTED_VALUE"""),0.0)</f>
        <v>0</v>
      </c>
      <c r="AU4067" s="82"/>
      <c r="AV4067" s="82"/>
      <c r="AW4067" s="82" t="str">
        <f t="shared" si="1"/>
        <v/>
      </c>
      <c r="AX4067" s="83" t="str">
        <f t="array" ref="AX4067">IFERROR(DGET('SBV Import'!A:G,"SBV",{"RSC ID","Tier";B4067,A4067}))</f>
        <v/>
      </c>
      <c r="AY4067" s="82" t="str">
        <f t="shared" si="2"/>
        <v/>
      </c>
      <c r="AZ4067" s="82"/>
      <c r="BA4067" s="84" t="s">
        <v>152</v>
      </c>
      <c r="BB4067" s="84" t="str">
        <f>IFERROR(__xludf.DUMMYFUNCTION("iferror(if(A4067="""",,E4067&gt;=FILTER(Constants!$F$2:$F$10,Constants!$A$2:$A$10=A4067)))"),"")</f>
        <v/>
      </c>
    </row>
    <row r="4068">
      <c r="A4068" s="89"/>
      <c r="B4068" s="87"/>
      <c r="C4068" s="73"/>
      <c r="D4068" s="73"/>
      <c r="E4068" s="82"/>
      <c r="F4068" s="82"/>
      <c r="G4068" s="86"/>
      <c r="H4068" s="86"/>
      <c r="I4068" s="86"/>
      <c r="J4068" s="82"/>
      <c r="K4068" s="82"/>
      <c r="L4068" s="82"/>
      <c r="M4068" s="82"/>
      <c r="N4068" s="82"/>
      <c r="O4068" s="82"/>
      <c r="P4068" s="82"/>
      <c r="Q4068" s="82"/>
      <c r="R4068" s="82"/>
      <c r="S4068" s="82"/>
      <c r="T4068" s="82"/>
      <c r="U4068" s="82"/>
      <c r="V4068" s="82"/>
      <c r="W4068" s="82"/>
      <c r="X4068" s="82"/>
      <c r="Y4068" s="82"/>
      <c r="Z4068" s="82"/>
      <c r="AA4068" s="82"/>
      <c r="AB4068" s="82"/>
      <c r="AC4068" s="82"/>
      <c r="AD4068" s="82"/>
      <c r="AE4068" s="82"/>
      <c r="AF4068" s="82"/>
      <c r="AG4068" s="82"/>
      <c r="AH4068" s="82"/>
      <c r="AI4068" s="82"/>
      <c r="AJ4068" s="82"/>
      <c r="AK4068" s="82"/>
      <c r="AL4068" s="82"/>
      <c r="AM4068" s="82"/>
      <c r="AN4068" s="82">
        <f>IFERROR(__xludf.DUMMYFUNCTION("""COMPUTED_VALUE"""),0.0)</f>
        <v>0</v>
      </c>
      <c r="AO4068" s="82">
        <f>IFERROR(__xludf.DUMMYFUNCTION("""COMPUTED_VALUE"""),0.0)</f>
        <v>0</v>
      </c>
      <c r="AP4068" s="82">
        <f>IFERROR(__xludf.DUMMYFUNCTION("""COMPUTED_VALUE"""),0.0)</f>
        <v>0</v>
      </c>
      <c r="AQ4068" s="82">
        <f>IFERROR(__xludf.DUMMYFUNCTION("""COMPUTED_VALUE"""),0.0)</f>
        <v>0</v>
      </c>
      <c r="AR4068" s="82">
        <f>IFERROR(__xludf.DUMMYFUNCTION("""COMPUTED_VALUE"""),0.0)</f>
        <v>0</v>
      </c>
      <c r="AS4068" s="82"/>
      <c r="AT4068" s="82">
        <f>IFERROR(__xludf.DUMMYFUNCTION("""COMPUTED_VALUE"""),0.0)</f>
        <v>0</v>
      </c>
      <c r="AU4068" s="82"/>
      <c r="AV4068" s="82"/>
      <c r="AW4068" s="82" t="str">
        <f t="shared" si="1"/>
        <v/>
      </c>
      <c r="AX4068" s="83" t="str">
        <f t="array" ref="AX4068">IFERROR(DGET('SBV Import'!A:G,"SBV",{"RSC ID","Tier";B4068,A4068}))</f>
        <v/>
      </c>
      <c r="AY4068" s="82" t="str">
        <f t="shared" si="2"/>
        <v/>
      </c>
      <c r="AZ4068" s="82"/>
      <c r="BA4068" s="84" t="s">
        <v>152</v>
      </c>
      <c r="BB4068" s="84" t="str">
        <f>IFERROR(__xludf.DUMMYFUNCTION("iferror(if(A4068="""",,E4068&gt;=FILTER(Constants!$F$2:$F$10,Constants!$A$2:$A$10=A4068)))"),"")</f>
        <v/>
      </c>
    </row>
    <row r="4069">
      <c r="A4069" s="89"/>
      <c r="B4069" s="87"/>
      <c r="C4069" s="73"/>
      <c r="D4069" s="73"/>
      <c r="E4069" s="82"/>
      <c r="F4069" s="82"/>
      <c r="G4069" s="86"/>
      <c r="H4069" s="86"/>
      <c r="I4069" s="86"/>
      <c r="J4069" s="82"/>
      <c r="K4069" s="82"/>
      <c r="L4069" s="82"/>
      <c r="M4069" s="82"/>
      <c r="N4069" s="82"/>
      <c r="O4069" s="82"/>
      <c r="P4069" s="82"/>
      <c r="Q4069" s="82"/>
      <c r="R4069" s="82"/>
      <c r="S4069" s="82"/>
      <c r="T4069" s="82"/>
      <c r="U4069" s="82"/>
      <c r="V4069" s="82"/>
      <c r="W4069" s="82"/>
      <c r="X4069" s="82"/>
      <c r="Y4069" s="82"/>
      <c r="Z4069" s="82"/>
      <c r="AA4069" s="82"/>
      <c r="AB4069" s="82"/>
      <c r="AC4069" s="82"/>
      <c r="AD4069" s="82"/>
      <c r="AE4069" s="82"/>
      <c r="AF4069" s="82"/>
      <c r="AG4069" s="82"/>
      <c r="AH4069" s="82"/>
      <c r="AI4069" s="82"/>
      <c r="AJ4069" s="82"/>
      <c r="AK4069" s="82"/>
      <c r="AL4069" s="82"/>
      <c r="AM4069" s="82"/>
      <c r="AN4069" s="82">
        <f>IFERROR(__xludf.DUMMYFUNCTION("""COMPUTED_VALUE"""),0.0)</f>
        <v>0</v>
      </c>
      <c r="AO4069" s="82">
        <f>IFERROR(__xludf.DUMMYFUNCTION("""COMPUTED_VALUE"""),0.0)</f>
        <v>0</v>
      </c>
      <c r="AP4069" s="82">
        <f>IFERROR(__xludf.DUMMYFUNCTION("""COMPUTED_VALUE"""),0.0)</f>
        <v>0</v>
      </c>
      <c r="AQ4069" s="82">
        <f>IFERROR(__xludf.DUMMYFUNCTION("""COMPUTED_VALUE"""),0.0)</f>
        <v>0</v>
      </c>
      <c r="AR4069" s="82">
        <f>IFERROR(__xludf.DUMMYFUNCTION("""COMPUTED_VALUE"""),0.0)</f>
        <v>0</v>
      </c>
      <c r="AS4069" s="82"/>
      <c r="AT4069" s="82">
        <f>IFERROR(__xludf.DUMMYFUNCTION("""COMPUTED_VALUE"""),0.0)</f>
        <v>0</v>
      </c>
      <c r="AU4069" s="82"/>
      <c r="AV4069" s="82"/>
      <c r="AW4069" s="82" t="str">
        <f t="shared" si="1"/>
        <v/>
      </c>
      <c r="AX4069" s="83" t="str">
        <f t="array" ref="AX4069">IFERROR(DGET('SBV Import'!A:G,"SBV",{"RSC ID","Tier";B4069,A4069}))</f>
        <v/>
      </c>
      <c r="AY4069" s="82" t="str">
        <f t="shared" si="2"/>
        <v/>
      </c>
      <c r="AZ4069" s="82"/>
      <c r="BA4069" s="84" t="s">
        <v>152</v>
      </c>
      <c r="BB4069" s="84" t="str">
        <f>IFERROR(__xludf.DUMMYFUNCTION("iferror(if(A4069="""",,E4069&gt;=FILTER(Constants!$F$2:$F$10,Constants!$A$2:$A$10=A4069)))"),"")</f>
        <v/>
      </c>
    </row>
    <row r="4070">
      <c r="A4070" s="89"/>
      <c r="B4070" s="87"/>
      <c r="C4070" s="73"/>
      <c r="D4070" s="73"/>
      <c r="E4070" s="82"/>
      <c r="F4070" s="82"/>
      <c r="G4070" s="86"/>
      <c r="H4070" s="86"/>
      <c r="I4070" s="86"/>
      <c r="J4070" s="82"/>
      <c r="K4070" s="82"/>
      <c r="L4070" s="82"/>
      <c r="M4070" s="82"/>
      <c r="N4070" s="82"/>
      <c r="O4070" s="82"/>
      <c r="P4070" s="82"/>
      <c r="Q4070" s="82"/>
      <c r="R4070" s="82"/>
      <c r="S4070" s="82"/>
      <c r="T4070" s="82"/>
      <c r="U4070" s="82"/>
      <c r="V4070" s="82"/>
      <c r="W4070" s="82"/>
      <c r="X4070" s="82"/>
      <c r="Y4070" s="82"/>
      <c r="Z4070" s="82"/>
      <c r="AA4070" s="82"/>
      <c r="AB4070" s="82"/>
      <c r="AC4070" s="82"/>
      <c r="AD4070" s="82"/>
      <c r="AE4070" s="82"/>
      <c r="AF4070" s="82"/>
      <c r="AG4070" s="82"/>
      <c r="AH4070" s="82"/>
      <c r="AI4070" s="82"/>
      <c r="AJ4070" s="82"/>
      <c r="AK4070" s="82"/>
      <c r="AL4070" s="82"/>
      <c r="AM4070" s="82"/>
      <c r="AN4070" s="82">
        <f>IFERROR(__xludf.DUMMYFUNCTION("""COMPUTED_VALUE"""),0.0)</f>
        <v>0</v>
      </c>
      <c r="AO4070" s="82">
        <f>IFERROR(__xludf.DUMMYFUNCTION("""COMPUTED_VALUE"""),0.0)</f>
        <v>0</v>
      </c>
      <c r="AP4070" s="82">
        <f>IFERROR(__xludf.DUMMYFUNCTION("""COMPUTED_VALUE"""),0.0)</f>
        <v>0</v>
      </c>
      <c r="AQ4070" s="82">
        <f>IFERROR(__xludf.DUMMYFUNCTION("""COMPUTED_VALUE"""),0.0)</f>
        <v>0</v>
      </c>
      <c r="AR4070" s="82">
        <f>IFERROR(__xludf.DUMMYFUNCTION("""COMPUTED_VALUE"""),0.0)</f>
        <v>0</v>
      </c>
      <c r="AS4070" s="82"/>
      <c r="AT4070" s="82">
        <f>IFERROR(__xludf.DUMMYFUNCTION("""COMPUTED_VALUE"""),0.0)</f>
        <v>0</v>
      </c>
      <c r="AU4070" s="82"/>
      <c r="AV4070" s="82"/>
      <c r="AW4070" s="82" t="str">
        <f t="shared" si="1"/>
        <v/>
      </c>
      <c r="AX4070" s="83" t="str">
        <f t="array" ref="AX4070">IFERROR(DGET('SBV Import'!A:G,"SBV",{"RSC ID","Tier";B4070,A4070}))</f>
        <v/>
      </c>
      <c r="AY4070" s="82" t="str">
        <f t="shared" si="2"/>
        <v/>
      </c>
      <c r="AZ4070" s="82"/>
      <c r="BA4070" s="84" t="s">
        <v>152</v>
      </c>
      <c r="BB4070" s="84" t="str">
        <f>IFERROR(__xludf.DUMMYFUNCTION("iferror(if(A4070="""",,E4070&gt;=FILTER(Constants!$F$2:$F$10,Constants!$A$2:$A$10=A4070)))"),"")</f>
        <v/>
      </c>
    </row>
    <row r="4071">
      <c r="A4071" s="89"/>
      <c r="B4071" s="87"/>
      <c r="C4071" s="73"/>
      <c r="D4071" s="73"/>
      <c r="E4071" s="82"/>
      <c r="F4071" s="82"/>
      <c r="G4071" s="86"/>
      <c r="H4071" s="86"/>
      <c r="I4071" s="86"/>
      <c r="J4071" s="82"/>
      <c r="K4071" s="82"/>
      <c r="L4071" s="82"/>
      <c r="M4071" s="82"/>
      <c r="N4071" s="82"/>
      <c r="O4071" s="82"/>
      <c r="P4071" s="82"/>
      <c r="Q4071" s="82"/>
      <c r="R4071" s="82"/>
      <c r="S4071" s="82"/>
      <c r="T4071" s="82"/>
      <c r="U4071" s="82"/>
      <c r="V4071" s="82"/>
      <c r="W4071" s="82"/>
      <c r="X4071" s="82"/>
      <c r="Y4071" s="82"/>
      <c r="Z4071" s="82"/>
      <c r="AA4071" s="82"/>
      <c r="AB4071" s="82"/>
      <c r="AC4071" s="82"/>
      <c r="AD4071" s="82"/>
      <c r="AE4071" s="82"/>
      <c r="AF4071" s="82"/>
      <c r="AG4071" s="82"/>
      <c r="AH4071" s="82"/>
      <c r="AI4071" s="82"/>
      <c r="AJ4071" s="82"/>
      <c r="AK4071" s="82"/>
      <c r="AL4071" s="82"/>
      <c r="AM4071" s="82"/>
      <c r="AN4071" s="82">
        <f>IFERROR(__xludf.DUMMYFUNCTION("""COMPUTED_VALUE"""),0.0)</f>
        <v>0</v>
      </c>
      <c r="AO4071" s="82">
        <f>IFERROR(__xludf.DUMMYFUNCTION("""COMPUTED_VALUE"""),0.0)</f>
        <v>0</v>
      </c>
      <c r="AP4071" s="82">
        <f>IFERROR(__xludf.DUMMYFUNCTION("""COMPUTED_VALUE"""),0.0)</f>
        <v>0</v>
      </c>
      <c r="AQ4071" s="82">
        <f>IFERROR(__xludf.DUMMYFUNCTION("""COMPUTED_VALUE"""),0.0)</f>
        <v>0</v>
      </c>
      <c r="AR4071" s="82">
        <f>IFERROR(__xludf.DUMMYFUNCTION("""COMPUTED_VALUE"""),0.0)</f>
        <v>0</v>
      </c>
      <c r="AS4071" s="82"/>
      <c r="AT4071" s="82">
        <f>IFERROR(__xludf.DUMMYFUNCTION("""COMPUTED_VALUE"""),0.0)</f>
        <v>0</v>
      </c>
      <c r="AU4071" s="82"/>
      <c r="AV4071" s="82"/>
      <c r="AW4071" s="82" t="str">
        <f t="shared" si="1"/>
        <v/>
      </c>
      <c r="AX4071" s="83" t="str">
        <f t="array" ref="AX4071">IFERROR(DGET('SBV Import'!A:G,"SBV",{"RSC ID","Tier";B4071,A4071}))</f>
        <v/>
      </c>
      <c r="AY4071" s="82" t="str">
        <f t="shared" si="2"/>
        <v/>
      </c>
      <c r="AZ4071" s="82"/>
      <c r="BA4071" s="84" t="s">
        <v>152</v>
      </c>
      <c r="BB4071" s="84" t="str">
        <f>IFERROR(__xludf.DUMMYFUNCTION("iferror(if(A4071="""",,E4071&gt;=FILTER(Constants!$F$2:$F$10,Constants!$A$2:$A$10=A4071)))"),"")</f>
        <v/>
      </c>
    </row>
    <row r="4072">
      <c r="A4072" s="89"/>
      <c r="B4072" s="87"/>
      <c r="C4072" s="73"/>
      <c r="D4072" s="73"/>
      <c r="E4072" s="82"/>
      <c r="F4072" s="82"/>
      <c r="G4072" s="86"/>
      <c r="H4072" s="86"/>
      <c r="I4072" s="86"/>
      <c r="J4072" s="82"/>
      <c r="K4072" s="82"/>
      <c r="L4072" s="82"/>
      <c r="M4072" s="82"/>
      <c r="N4072" s="82"/>
      <c r="O4072" s="82"/>
      <c r="P4072" s="82"/>
      <c r="Q4072" s="82"/>
      <c r="R4072" s="82"/>
      <c r="S4072" s="82"/>
      <c r="T4072" s="82"/>
      <c r="U4072" s="82"/>
      <c r="V4072" s="82"/>
      <c r="W4072" s="82"/>
      <c r="X4072" s="82"/>
      <c r="Y4072" s="82"/>
      <c r="Z4072" s="82"/>
      <c r="AA4072" s="82"/>
      <c r="AB4072" s="82"/>
      <c r="AC4072" s="82"/>
      <c r="AD4072" s="82"/>
      <c r="AE4072" s="82"/>
      <c r="AF4072" s="82"/>
      <c r="AG4072" s="82"/>
      <c r="AH4072" s="82"/>
      <c r="AI4072" s="82"/>
      <c r="AJ4072" s="82"/>
      <c r="AK4072" s="82"/>
      <c r="AL4072" s="82"/>
      <c r="AM4072" s="82"/>
      <c r="AN4072" s="82">
        <f>IFERROR(__xludf.DUMMYFUNCTION("""COMPUTED_VALUE"""),0.0)</f>
        <v>0</v>
      </c>
      <c r="AO4072" s="82">
        <f>IFERROR(__xludf.DUMMYFUNCTION("""COMPUTED_VALUE"""),0.0)</f>
        <v>0</v>
      </c>
      <c r="AP4072" s="82">
        <f>IFERROR(__xludf.DUMMYFUNCTION("""COMPUTED_VALUE"""),0.0)</f>
        <v>0</v>
      </c>
      <c r="AQ4072" s="82">
        <f>IFERROR(__xludf.DUMMYFUNCTION("""COMPUTED_VALUE"""),0.0)</f>
        <v>0</v>
      </c>
      <c r="AR4072" s="82">
        <f>IFERROR(__xludf.DUMMYFUNCTION("""COMPUTED_VALUE"""),0.0)</f>
        <v>0</v>
      </c>
      <c r="AS4072" s="82"/>
      <c r="AT4072" s="82">
        <f>IFERROR(__xludf.DUMMYFUNCTION("""COMPUTED_VALUE"""),0.0)</f>
        <v>0</v>
      </c>
      <c r="AU4072" s="82"/>
      <c r="AV4072" s="82"/>
      <c r="AW4072" s="82" t="str">
        <f t="shared" si="1"/>
        <v/>
      </c>
      <c r="AX4072" s="83" t="str">
        <f t="array" ref="AX4072">IFERROR(DGET('SBV Import'!A:G,"SBV",{"RSC ID","Tier";B4072,A4072}))</f>
        <v/>
      </c>
      <c r="AY4072" s="82" t="str">
        <f t="shared" si="2"/>
        <v/>
      </c>
      <c r="AZ4072" s="82"/>
      <c r="BA4072" s="84" t="s">
        <v>152</v>
      </c>
      <c r="BB4072" s="84" t="str">
        <f>IFERROR(__xludf.DUMMYFUNCTION("iferror(if(A4072="""",,E4072&gt;=FILTER(Constants!$F$2:$F$10,Constants!$A$2:$A$10=A4072)))"),"")</f>
        <v/>
      </c>
    </row>
    <row r="4073">
      <c r="A4073" s="89"/>
      <c r="B4073" s="87"/>
      <c r="C4073" s="73"/>
      <c r="D4073" s="73"/>
      <c r="E4073" s="82"/>
      <c r="F4073" s="82"/>
      <c r="G4073" s="86"/>
      <c r="H4073" s="86"/>
      <c r="I4073" s="86"/>
      <c r="J4073" s="82"/>
      <c r="K4073" s="82"/>
      <c r="L4073" s="82"/>
      <c r="M4073" s="82"/>
      <c r="N4073" s="82"/>
      <c r="O4073" s="82"/>
      <c r="P4073" s="82"/>
      <c r="Q4073" s="82"/>
      <c r="R4073" s="82"/>
      <c r="S4073" s="82"/>
      <c r="T4073" s="82"/>
      <c r="U4073" s="82"/>
      <c r="V4073" s="82"/>
      <c r="W4073" s="82"/>
      <c r="X4073" s="82"/>
      <c r="Y4073" s="82"/>
      <c r="Z4073" s="82"/>
      <c r="AA4073" s="82"/>
      <c r="AB4073" s="82"/>
      <c r="AC4073" s="82"/>
      <c r="AD4073" s="82"/>
      <c r="AE4073" s="82"/>
      <c r="AF4073" s="82"/>
      <c r="AG4073" s="82"/>
      <c r="AH4073" s="82"/>
      <c r="AI4073" s="82"/>
      <c r="AJ4073" s="82"/>
      <c r="AK4073" s="82"/>
      <c r="AL4073" s="82"/>
      <c r="AM4073" s="82"/>
      <c r="AN4073" s="82">
        <f>IFERROR(__xludf.DUMMYFUNCTION("""COMPUTED_VALUE"""),0.0)</f>
        <v>0</v>
      </c>
      <c r="AO4073" s="82">
        <f>IFERROR(__xludf.DUMMYFUNCTION("""COMPUTED_VALUE"""),0.0)</f>
        <v>0</v>
      </c>
      <c r="AP4073" s="82">
        <f>IFERROR(__xludf.DUMMYFUNCTION("""COMPUTED_VALUE"""),0.0)</f>
        <v>0</v>
      </c>
      <c r="AQ4073" s="82">
        <f>IFERROR(__xludf.DUMMYFUNCTION("""COMPUTED_VALUE"""),0.0)</f>
        <v>0</v>
      </c>
      <c r="AR4073" s="82">
        <f>IFERROR(__xludf.DUMMYFUNCTION("""COMPUTED_VALUE"""),0.0)</f>
        <v>0</v>
      </c>
      <c r="AS4073" s="82"/>
      <c r="AT4073" s="82">
        <f>IFERROR(__xludf.DUMMYFUNCTION("""COMPUTED_VALUE"""),0.0)</f>
        <v>0</v>
      </c>
      <c r="AU4073" s="82"/>
      <c r="AV4073" s="82"/>
      <c r="AW4073" s="82" t="str">
        <f t="shared" si="1"/>
        <v/>
      </c>
      <c r="AX4073" s="83" t="str">
        <f t="array" ref="AX4073">IFERROR(DGET('SBV Import'!A:G,"SBV",{"RSC ID","Tier";B4073,A4073}))</f>
        <v/>
      </c>
      <c r="AY4073" s="82" t="str">
        <f t="shared" si="2"/>
        <v/>
      </c>
      <c r="AZ4073" s="82"/>
      <c r="BA4073" s="84" t="s">
        <v>152</v>
      </c>
      <c r="BB4073" s="84" t="str">
        <f>IFERROR(__xludf.DUMMYFUNCTION("iferror(if(A4073="""",,E4073&gt;=FILTER(Constants!$F$2:$F$10,Constants!$A$2:$A$10=A4073)))"),"")</f>
        <v/>
      </c>
    </row>
    <row r="4074">
      <c r="A4074" s="89"/>
      <c r="B4074" s="87"/>
      <c r="C4074" s="73"/>
      <c r="D4074" s="73"/>
      <c r="E4074" s="82"/>
      <c r="F4074" s="82"/>
      <c r="G4074" s="86"/>
      <c r="H4074" s="86"/>
      <c r="I4074" s="86"/>
      <c r="J4074" s="82"/>
      <c r="K4074" s="82"/>
      <c r="L4074" s="82"/>
      <c r="M4074" s="82"/>
      <c r="N4074" s="82"/>
      <c r="O4074" s="82"/>
      <c r="P4074" s="82"/>
      <c r="Q4074" s="82"/>
      <c r="R4074" s="82"/>
      <c r="S4074" s="82"/>
      <c r="T4074" s="82"/>
      <c r="U4074" s="82"/>
      <c r="V4074" s="82"/>
      <c r="W4074" s="82"/>
      <c r="X4074" s="82"/>
      <c r="Y4074" s="82"/>
      <c r="Z4074" s="82"/>
      <c r="AA4074" s="82"/>
      <c r="AB4074" s="82"/>
      <c r="AC4074" s="82"/>
      <c r="AD4074" s="82"/>
      <c r="AE4074" s="82"/>
      <c r="AF4074" s="82"/>
      <c r="AG4074" s="82"/>
      <c r="AH4074" s="82"/>
      <c r="AI4074" s="82"/>
      <c r="AJ4074" s="82"/>
      <c r="AK4074" s="82"/>
      <c r="AL4074" s="82"/>
      <c r="AM4074" s="82"/>
      <c r="AN4074" s="82">
        <f>IFERROR(__xludf.DUMMYFUNCTION("""COMPUTED_VALUE"""),0.0)</f>
        <v>0</v>
      </c>
      <c r="AO4074" s="82">
        <f>IFERROR(__xludf.DUMMYFUNCTION("""COMPUTED_VALUE"""),0.0)</f>
        <v>0</v>
      </c>
      <c r="AP4074" s="82">
        <f>IFERROR(__xludf.DUMMYFUNCTION("""COMPUTED_VALUE"""),0.0)</f>
        <v>0</v>
      </c>
      <c r="AQ4074" s="82">
        <f>IFERROR(__xludf.DUMMYFUNCTION("""COMPUTED_VALUE"""),0.0)</f>
        <v>0</v>
      </c>
      <c r="AR4074" s="82">
        <f>IFERROR(__xludf.DUMMYFUNCTION("""COMPUTED_VALUE"""),0.0)</f>
        <v>0</v>
      </c>
      <c r="AS4074" s="82"/>
      <c r="AT4074" s="82">
        <f>IFERROR(__xludf.DUMMYFUNCTION("""COMPUTED_VALUE"""),0.0)</f>
        <v>0</v>
      </c>
      <c r="AU4074" s="82"/>
      <c r="AV4074" s="82"/>
      <c r="AW4074" s="82" t="str">
        <f t="shared" si="1"/>
        <v/>
      </c>
      <c r="AX4074" s="83" t="str">
        <f t="array" ref="AX4074">IFERROR(DGET('SBV Import'!A:G,"SBV",{"RSC ID","Tier";B4074,A4074}))</f>
        <v/>
      </c>
      <c r="AY4074" s="82" t="str">
        <f t="shared" si="2"/>
        <v/>
      </c>
      <c r="AZ4074" s="82"/>
      <c r="BA4074" s="84" t="s">
        <v>152</v>
      </c>
      <c r="BB4074" s="84" t="str">
        <f>IFERROR(__xludf.DUMMYFUNCTION("iferror(if(A4074="""",,E4074&gt;=FILTER(Constants!$F$2:$F$10,Constants!$A$2:$A$10=A4074)))"),"")</f>
        <v/>
      </c>
    </row>
    <row r="4075">
      <c r="A4075" s="89"/>
      <c r="B4075" s="87"/>
      <c r="C4075" s="73"/>
      <c r="D4075" s="73"/>
      <c r="E4075" s="82"/>
      <c r="F4075" s="82"/>
      <c r="G4075" s="86"/>
      <c r="H4075" s="86"/>
      <c r="I4075" s="86"/>
      <c r="J4075" s="82"/>
      <c r="K4075" s="82"/>
      <c r="L4075" s="82"/>
      <c r="M4075" s="82"/>
      <c r="N4075" s="82"/>
      <c r="O4075" s="82"/>
      <c r="P4075" s="82"/>
      <c r="Q4075" s="82"/>
      <c r="R4075" s="82"/>
      <c r="S4075" s="82"/>
      <c r="T4075" s="82"/>
      <c r="U4075" s="82"/>
      <c r="V4075" s="82"/>
      <c r="W4075" s="82"/>
      <c r="X4075" s="82"/>
      <c r="Y4075" s="82"/>
      <c r="Z4075" s="82"/>
      <c r="AA4075" s="82"/>
      <c r="AB4075" s="82"/>
      <c r="AC4075" s="82"/>
      <c r="AD4075" s="82"/>
      <c r="AE4075" s="82"/>
      <c r="AF4075" s="82"/>
      <c r="AG4075" s="82"/>
      <c r="AH4075" s="82"/>
      <c r="AI4075" s="82"/>
      <c r="AJ4075" s="82"/>
      <c r="AK4075" s="82"/>
      <c r="AL4075" s="82"/>
      <c r="AM4075" s="82"/>
      <c r="AN4075" s="82">
        <f>IFERROR(__xludf.DUMMYFUNCTION("""COMPUTED_VALUE"""),0.0)</f>
        <v>0</v>
      </c>
      <c r="AO4075" s="82">
        <f>IFERROR(__xludf.DUMMYFUNCTION("""COMPUTED_VALUE"""),0.0)</f>
        <v>0</v>
      </c>
      <c r="AP4075" s="82">
        <f>IFERROR(__xludf.DUMMYFUNCTION("""COMPUTED_VALUE"""),0.0)</f>
        <v>0</v>
      </c>
      <c r="AQ4075" s="82">
        <f>IFERROR(__xludf.DUMMYFUNCTION("""COMPUTED_VALUE"""),0.0)</f>
        <v>0</v>
      </c>
      <c r="AR4075" s="82">
        <f>IFERROR(__xludf.DUMMYFUNCTION("""COMPUTED_VALUE"""),0.0)</f>
        <v>0</v>
      </c>
      <c r="AS4075" s="82"/>
      <c r="AT4075" s="82">
        <f>IFERROR(__xludf.DUMMYFUNCTION("""COMPUTED_VALUE"""),0.0)</f>
        <v>0</v>
      </c>
      <c r="AU4075" s="82"/>
      <c r="AV4075" s="82"/>
      <c r="AW4075" s="82" t="str">
        <f t="shared" si="1"/>
        <v/>
      </c>
      <c r="AX4075" s="83" t="str">
        <f t="array" ref="AX4075">IFERROR(DGET('SBV Import'!A:G,"SBV",{"RSC ID","Tier";B4075,A4075}))</f>
        <v/>
      </c>
      <c r="AY4075" s="82" t="str">
        <f t="shared" si="2"/>
        <v/>
      </c>
      <c r="AZ4075" s="82"/>
      <c r="BA4075" s="84" t="s">
        <v>152</v>
      </c>
      <c r="BB4075" s="84" t="str">
        <f>IFERROR(__xludf.DUMMYFUNCTION("iferror(if(A4075="""",,E4075&gt;=FILTER(Constants!$F$2:$F$10,Constants!$A$2:$A$10=A4075)))"),"")</f>
        <v/>
      </c>
    </row>
    <row r="4076">
      <c r="A4076" s="89"/>
      <c r="B4076" s="87"/>
      <c r="C4076" s="73"/>
      <c r="D4076" s="73"/>
      <c r="E4076" s="82"/>
      <c r="F4076" s="82"/>
      <c r="G4076" s="86"/>
      <c r="H4076" s="86"/>
      <c r="I4076" s="86"/>
      <c r="J4076" s="82"/>
      <c r="K4076" s="82"/>
      <c r="L4076" s="82"/>
      <c r="M4076" s="82"/>
      <c r="N4076" s="82"/>
      <c r="O4076" s="82"/>
      <c r="P4076" s="82"/>
      <c r="Q4076" s="82"/>
      <c r="R4076" s="82"/>
      <c r="S4076" s="82"/>
      <c r="T4076" s="82"/>
      <c r="U4076" s="82"/>
      <c r="V4076" s="82"/>
      <c r="W4076" s="82"/>
      <c r="X4076" s="82"/>
      <c r="Y4076" s="82"/>
      <c r="Z4076" s="82"/>
      <c r="AA4076" s="82"/>
      <c r="AB4076" s="82"/>
      <c r="AC4076" s="82"/>
      <c r="AD4076" s="82"/>
      <c r="AE4076" s="82"/>
      <c r="AF4076" s="82"/>
      <c r="AG4076" s="82"/>
      <c r="AH4076" s="82"/>
      <c r="AI4076" s="82"/>
      <c r="AJ4076" s="82"/>
      <c r="AK4076" s="82"/>
      <c r="AL4076" s="82"/>
      <c r="AM4076" s="82"/>
      <c r="AN4076" s="82">
        <f>IFERROR(__xludf.DUMMYFUNCTION("""COMPUTED_VALUE"""),0.0)</f>
        <v>0</v>
      </c>
      <c r="AO4076" s="82">
        <f>IFERROR(__xludf.DUMMYFUNCTION("""COMPUTED_VALUE"""),0.0)</f>
        <v>0</v>
      </c>
      <c r="AP4076" s="82">
        <f>IFERROR(__xludf.DUMMYFUNCTION("""COMPUTED_VALUE"""),0.0)</f>
        <v>0</v>
      </c>
      <c r="AQ4076" s="82">
        <f>IFERROR(__xludf.DUMMYFUNCTION("""COMPUTED_VALUE"""),0.0)</f>
        <v>0</v>
      </c>
      <c r="AR4076" s="82">
        <f>IFERROR(__xludf.DUMMYFUNCTION("""COMPUTED_VALUE"""),0.0)</f>
        <v>0</v>
      </c>
      <c r="AS4076" s="82"/>
      <c r="AT4076" s="82">
        <f>IFERROR(__xludf.DUMMYFUNCTION("""COMPUTED_VALUE"""),0.0)</f>
        <v>0</v>
      </c>
      <c r="AU4076" s="82"/>
      <c r="AV4076" s="82"/>
      <c r="AW4076" s="82" t="str">
        <f t="shared" si="1"/>
        <v/>
      </c>
      <c r="AX4076" s="83" t="str">
        <f t="array" ref="AX4076">IFERROR(DGET('SBV Import'!A:G,"SBV",{"RSC ID","Tier";B4076,A4076}))</f>
        <v/>
      </c>
      <c r="AY4076" s="82" t="str">
        <f t="shared" si="2"/>
        <v/>
      </c>
      <c r="AZ4076" s="82"/>
      <c r="BA4076" s="84" t="s">
        <v>152</v>
      </c>
      <c r="BB4076" s="84" t="str">
        <f>IFERROR(__xludf.DUMMYFUNCTION("iferror(if(A4076="""",,E4076&gt;=FILTER(Constants!$F$2:$F$10,Constants!$A$2:$A$10=A4076)))"),"")</f>
        <v/>
      </c>
    </row>
    <row r="4077">
      <c r="A4077" s="89"/>
      <c r="B4077" s="87"/>
      <c r="C4077" s="73"/>
      <c r="D4077" s="73"/>
      <c r="E4077" s="82"/>
      <c r="F4077" s="82"/>
      <c r="G4077" s="86"/>
      <c r="H4077" s="86"/>
      <c r="I4077" s="86"/>
      <c r="J4077" s="82"/>
      <c r="K4077" s="82"/>
      <c r="L4077" s="82"/>
      <c r="M4077" s="82"/>
      <c r="N4077" s="82"/>
      <c r="O4077" s="82"/>
      <c r="P4077" s="82"/>
      <c r="Q4077" s="82"/>
      <c r="R4077" s="82"/>
      <c r="S4077" s="82"/>
      <c r="T4077" s="82"/>
      <c r="U4077" s="82"/>
      <c r="V4077" s="82"/>
      <c r="W4077" s="82"/>
      <c r="X4077" s="82"/>
      <c r="Y4077" s="82"/>
      <c r="Z4077" s="82"/>
      <c r="AA4077" s="82"/>
      <c r="AB4077" s="82"/>
      <c r="AC4077" s="82"/>
      <c r="AD4077" s="82"/>
      <c r="AE4077" s="82"/>
      <c r="AF4077" s="82"/>
      <c r="AG4077" s="82"/>
      <c r="AH4077" s="82"/>
      <c r="AI4077" s="82"/>
      <c r="AJ4077" s="82"/>
      <c r="AK4077" s="82"/>
      <c r="AL4077" s="82"/>
      <c r="AM4077" s="82"/>
      <c r="AN4077" s="82">
        <f>IFERROR(__xludf.DUMMYFUNCTION("""COMPUTED_VALUE"""),0.0)</f>
        <v>0</v>
      </c>
      <c r="AO4077" s="82">
        <f>IFERROR(__xludf.DUMMYFUNCTION("""COMPUTED_VALUE"""),0.0)</f>
        <v>0</v>
      </c>
      <c r="AP4077" s="82">
        <f>IFERROR(__xludf.DUMMYFUNCTION("""COMPUTED_VALUE"""),0.0)</f>
        <v>0</v>
      </c>
      <c r="AQ4077" s="82">
        <f>IFERROR(__xludf.DUMMYFUNCTION("""COMPUTED_VALUE"""),0.0)</f>
        <v>0</v>
      </c>
      <c r="AR4077" s="82">
        <f>IFERROR(__xludf.DUMMYFUNCTION("""COMPUTED_VALUE"""),0.0)</f>
        <v>0</v>
      </c>
      <c r="AS4077" s="82"/>
      <c r="AT4077" s="82">
        <f>IFERROR(__xludf.DUMMYFUNCTION("""COMPUTED_VALUE"""),0.0)</f>
        <v>0</v>
      </c>
      <c r="AU4077" s="82"/>
      <c r="AV4077" s="82"/>
      <c r="AW4077" s="82" t="str">
        <f t="shared" si="1"/>
        <v/>
      </c>
      <c r="AX4077" s="83" t="str">
        <f t="array" ref="AX4077">IFERROR(DGET('SBV Import'!A:G,"SBV",{"RSC ID","Tier";B4077,A4077}))</f>
        <v/>
      </c>
      <c r="AY4077" s="82" t="str">
        <f t="shared" si="2"/>
        <v/>
      </c>
      <c r="AZ4077" s="82"/>
      <c r="BA4077" s="84" t="s">
        <v>152</v>
      </c>
      <c r="BB4077" s="84" t="str">
        <f>IFERROR(__xludf.DUMMYFUNCTION("iferror(if(A4077="""",,E4077&gt;=FILTER(Constants!$F$2:$F$10,Constants!$A$2:$A$10=A4077)))"),"")</f>
        <v/>
      </c>
    </row>
    <row r="4078">
      <c r="A4078" s="89"/>
      <c r="B4078" s="87"/>
      <c r="C4078" s="73"/>
      <c r="D4078" s="73"/>
      <c r="E4078" s="82"/>
      <c r="F4078" s="82"/>
      <c r="G4078" s="86"/>
      <c r="H4078" s="86"/>
      <c r="I4078" s="86"/>
      <c r="J4078" s="82"/>
      <c r="K4078" s="82"/>
      <c r="L4078" s="82"/>
      <c r="M4078" s="82"/>
      <c r="N4078" s="82"/>
      <c r="O4078" s="82"/>
      <c r="P4078" s="82"/>
      <c r="Q4078" s="82"/>
      <c r="R4078" s="82"/>
      <c r="S4078" s="82"/>
      <c r="T4078" s="82"/>
      <c r="U4078" s="82"/>
      <c r="V4078" s="82"/>
      <c r="W4078" s="82"/>
      <c r="X4078" s="82"/>
      <c r="Y4078" s="82"/>
      <c r="Z4078" s="82"/>
      <c r="AA4078" s="82"/>
      <c r="AB4078" s="82"/>
      <c r="AC4078" s="82"/>
      <c r="AD4078" s="82"/>
      <c r="AE4078" s="82"/>
      <c r="AF4078" s="82"/>
      <c r="AG4078" s="82"/>
      <c r="AH4078" s="82"/>
      <c r="AI4078" s="82"/>
      <c r="AJ4078" s="82"/>
      <c r="AK4078" s="82"/>
      <c r="AL4078" s="82"/>
      <c r="AM4078" s="82"/>
      <c r="AN4078" s="82">
        <f>IFERROR(__xludf.DUMMYFUNCTION("""COMPUTED_VALUE"""),0.0)</f>
        <v>0</v>
      </c>
      <c r="AO4078" s="82">
        <f>IFERROR(__xludf.DUMMYFUNCTION("""COMPUTED_VALUE"""),0.0)</f>
        <v>0</v>
      </c>
      <c r="AP4078" s="82">
        <f>IFERROR(__xludf.DUMMYFUNCTION("""COMPUTED_VALUE"""),0.0)</f>
        <v>0</v>
      </c>
      <c r="AQ4078" s="82">
        <f>IFERROR(__xludf.DUMMYFUNCTION("""COMPUTED_VALUE"""),0.0)</f>
        <v>0</v>
      </c>
      <c r="AR4078" s="82">
        <f>IFERROR(__xludf.DUMMYFUNCTION("""COMPUTED_VALUE"""),0.0)</f>
        <v>0</v>
      </c>
      <c r="AS4078" s="82"/>
      <c r="AT4078" s="82">
        <f>IFERROR(__xludf.DUMMYFUNCTION("""COMPUTED_VALUE"""),0.0)</f>
        <v>0</v>
      </c>
      <c r="AU4078" s="82"/>
      <c r="AV4078" s="82"/>
      <c r="AW4078" s="82" t="str">
        <f t="shared" si="1"/>
        <v/>
      </c>
      <c r="AX4078" s="83" t="str">
        <f t="array" ref="AX4078">IFERROR(DGET('SBV Import'!A:G,"SBV",{"RSC ID","Tier";B4078,A4078}))</f>
        <v/>
      </c>
      <c r="AY4078" s="82" t="str">
        <f t="shared" si="2"/>
        <v/>
      </c>
      <c r="AZ4078" s="82"/>
      <c r="BA4078" s="84" t="s">
        <v>152</v>
      </c>
      <c r="BB4078" s="84" t="str">
        <f>IFERROR(__xludf.DUMMYFUNCTION("iferror(if(A4078="""",,E4078&gt;=FILTER(Constants!$F$2:$F$10,Constants!$A$2:$A$10=A4078)))"),"")</f>
        <v/>
      </c>
    </row>
    <row r="4079">
      <c r="A4079" s="89"/>
      <c r="B4079" s="87"/>
      <c r="C4079" s="73"/>
      <c r="D4079" s="73"/>
      <c r="E4079" s="82"/>
      <c r="F4079" s="82"/>
      <c r="G4079" s="86"/>
      <c r="H4079" s="86"/>
      <c r="I4079" s="86"/>
      <c r="J4079" s="82"/>
      <c r="K4079" s="82"/>
      <c r="L4079" s="82"/>
      <c r="M4079" s="82"/>
      <c r="N4079" s="82"/>
      <c r="O4079" s="82"/>
      <c r="P4079" s="82"/>
      <c r="Q4079" s="82"/>
      <c r="R4079" s="82"/>
      <c r="S4079" s="82"/>
      <c r="T4079" s="82"/>
      <c r="U4079" s="82"/>
      <c r="V4079" s="82"/>
      <c r="W4079" s="82"/>
      <c r="X4079" s="82"/>
      <c r="Y4079" s="82"/>
      <c r="Z4079" s="82"/>
      <c r="AA4079" s="82"/>
      <c r="AB4079" s="82"/>
      <c r="AC4079" s="82"/>
      <c r="AD4079" s="82"/>
      <c r="AE4079" s="82"/>
      <c r="AF4079" s="82"/>
      <c r="AG4079" s="82"/>
      <c r="AH4079" s="82"/>
      <c r="AI4079" s="82"/>
      <c r="AJ4079" s="82"/>
      <c r="AK4079" s="82"/>
      <c r="AL4079" s="82"/>
      <c r="AM4079" s="82"/>
      <c r="AN4079" s="82">
        <f>IFERROR(__xludf.DUMMYFUNCTION("""COMPUTED_VALUE"""),0.0)</f>
        <v>0</v>
      </c>
      <c r="AO4079" s="82">
        <f>IFERROR(__xludf.DUMMYFUNCTION("""COMPUTED_VALUE"""),0.0)</f>
        <v>0</v>
      </c>
      <c r="AP4079" s="82">
        <f>IFERROR(__xludf.DUMMYFUNCTION("""COMPUTED_VALUE"""),0.0)</f>
        <v>0</v>
      </c>
      <c r="AQ4079" s="82">
        <f>IFERROR(__xludf.DUMMYFUNCTION("""COMPUTED_VALUE"""),0.0)</f>
        <v>0</v>
      </c>
      <c r="AR4079" s="82">
        <f>IFERROR(__xludf.DUMMYFUNCTION("""COMPUTED_VALUE"""),0.0)</f>
        <v>0</v>
      </c>
      <c r="AS4079" s="82"/>
      <c r="AT4079" s="82">
        <f>IFERROR(__xludf.DUMMYFUNCTION("""COMPUTED_VALUE"""),0.0)</f>
        <v>0</v>
      </c>
      <c r="AU4079" s="82"/>
      <c r="AV4079" s="82"/>
      <c r="AW4079" s="82" t="str">
        <f t="shared" si="1"/>
        <v/>
      </c>
      <c r="AX4079" s="83" t="str">
        <f t="array" ref="AX4079">IFERROR(DGET('SBV Import'!A:G,"SBV",{"RSC ID","Tier";B4079,A4079}))</f>
        <v/>
      </c>
      <c r="AY4079" s="82" t="str">
        <f t="shared" si="2"/>
        <v/>
      </c>
      <c r="AZ4079" s="82"/>
      <c r="BA4079" s="84" t="s">
        <v>152</v>
      </c>
      <c r="BB4079" s="84" t="str">
        <f>IFERROR(__xludf.DUMMYFUNCTION("iferror(if(A4079="""",,E4079&gt;=FILTER(Constants!$F$2:$F$10,Constants!$A$2:$A$10=A4079)))"),"")</f>
        <v/>
      </c>
    </row>
    <row r="4080">
      <c r="A4080" s="89"/>
      <c r="B4080" s="87"/>
      <c r="C4080" s="73"/>
      <c r="D4080" s="73"/>
      <c r="E4080" s="82"/>
      <c r="F4080" s="82"/>
      <c r="G4080" s="86"/>
      <c r="H4080" s="86"/>
      <c r="I4080" s="86"/>
      <c r="J4080" s="82"/>
      <c r="K4080" s="82"/>
      <c r="L4080" s="82"/>
      <c r="M4080" s="82"/>
      <c r="N4080" s="82"/>
      <c r="O4080" s="82"/>
      <c r="P4080" s="82"/>
      <c r="Q4080" s="82"/>
      <c r="R4080" s="82"/>
      <c r="S4080" s="82"/>
      <c r="T4080" s="82"/>
      <c r="U4080" s="82"/>
      <c r="V4080" s="82"/>
      <c r="W4080" s="82"/>
      <c r="X4080" s="82"/>
      <c r="Y4080" s="82"/>
      <c r="Z4080" s="82"/>
      <c r="AA4080" s="82"/>
      <c r="AB4080" s="82"/>
      <c r="AC4080" s="82"/>
      <c r="AD4080" s="82"/>
      <c r="AE4080" s="82"/>
      <c r="AF4080" s="82"/>
      <c r="AG4080" s="82"/>
      <c r="AH4080" s="82"/>
      <c r="AI4080" s="82"/>
      <c r="AJ4080" s="82"/>
      <c r="AK4080" s="82"/>
      <c r="AL4080" s="82"/>
      <c r="AM4080" s="82"/>
      <c r="AN4080" s="82">
        <f>IFERROR(__xludf.DUMMYFUNCTION("""COMPUTED_VALUE"""),0.0)</f>
        <v>0</v>
      </c>
      <c r="AO4080" s="82">
        <f>IFERROR(__xludf.DUMMYFUNCTION("""COMPUTED_VALUE"""),0.0)</f>
        <v>0</v>
      </c>
      <c r="AP4080" s="82">
        <f>IFERROR(__xludf.DUMMYFUNCTION("""COMPUTED_VALUE"""),0.0)</f>
        <v>0</v>
      </c>
      <c r="AQ4080" s="82">
        <f>IFERROR(__xludf.DUMMYFUNCTION("""COMPUTED_VALUE"""),0.0)</f>
        <v>0</v>
      </c>
      <c r="AR4080" s="82">
        <f>IFERROR(__xludf.DUMMYFUNCTION("""COMPUTED_VALUE"""),0.0)</f>
        <v>0</v>
      </c>
      <c r="AS4080" s="82"/>
      <c r="AT4080" s="82">
        <f>IFERROR(__xludf.DUMMYFUNCTION("""COMPUTED_VALUE"""),0.0)</f>
        <v>0</v>
      </c>
      <c r="AU4080" s="82"/>
      <c r="AV4080" s="82"/>
      <c r="AW4080" s="82" t="str">
        <f t="shared" si="1"/>
        <v/>
      </c>
      <c r="AX4080" s="83" t="str">
        <f t="array" ref="AX4080">IFERROR(DGET('SBV Import'!A:G,"SBV",{"RSC ID","Tier";B4080,A4080}))</f>
        <v/>
      </c>
      <c r="AY4080" s="82" t="str">
        <f t="shared" si="2"/>
        <v/>
      </c>
      <c r="AZ4080" s="82"/>
      <c r="BA4080" s="84" t="s">
        <v>152</v>
      </c>
      <c r="BB4080" s="84" t="str">
        <f>IFERROR(__xludf.DUMMYFUNCTION("iferror(if(A4080="""",,E4080&gt;=FILTER(Constants!$F$2:$F$10,Constants!$A$2:$A$10=A4080)))"),"")</f>
        <v/>
      </c>
    </row>
    <row r="4081">
      <c r="A4081" s="89"/>
      <c r="B4081" s="87"/>
      <c r="C4081" s="73"/>
      <c r="D4081" s="73"/>
      <c r="E4081" s="82"/>
      <c r="F4081" s="82"/>
      <c r="G4081" s="86"/>
      <c r="H4081" s="86"/>
      <c r="I4081" s="86"/>
      <c r="J4081" s="82"/>
      <c r="K4081" s="82"/>
      <c r="L4081" s="82"/>
      <c r="M4081" s="82"/>
      <c r="N4081" s="82"/>
      <c r="O4081" s="82"/>
      <c r="P4081" s="82"/>
      <c r="Q4081" s="82"/>
      <c r="R4081" s="82"/>
      <c r="S4081" s="82"/>
      <c r="T4081" s="82"/>
      <c r="U4081" s="82"/>
      <c r="V4081" s="82"/>
      <c r="W4081" s="82"/>
      <c r="X4081" s="82"/>
      <c r="Y4081" s="82"/>
      <c r="Z4081" s="82"/>
      <c r="AA4081" s="82"/>
      <c r="AB4081" s="82"/>
      <c r="AC4081" s="82"/>
      <c r="AD4081" s="82"/>
      <c r="AE4081" s="82"/>
      <c r="AF4081" s="82"/>
      <c r="AG4081" s="82"/>
      <c r="AH4081" s="82"/>
      <c r="AI4081" s="82"/>
      <c r="AJ4081" s="82"/>
      <c r="AK4081" s="82"/>
      <c r="AL4081" s="82"/>
      <c r="AM4081" s="82"/>
      <c r="AN4081" s="82">
        <f>IFERROR(__xludf.DUMMYFUNCTION("""COMPUTED_VALUE"""),0.0)</f>
        <v>0</v>
      </c>
      <c r="AO4081" s="82">
        <f>IFERROR(__xludf.DUMMYFUNCTION("""COMPUTED_VALUE"""),0.0)</f>
        <v>0</v>
      </c>
      <c r="AP4081" s="82">
        <f>IFERROR(__xludf.DUMMYFUNCTION("""COMPUTED_VALUE"""),0.0)</f>
        <v>0</v>
      </c>
      <c r="AQ4081" s="82">
        <f>IFERROR(__xludf.DUMMYFUNCTION("""COMPUTED_VALUE"""),0.0)</f>
        <v>0</v>
      </c>
      <c r="AR4081" s="82">
        <f>IFERROR(__xludf.DUMMYFUNCTION("""COMPUTED_VALUE"""),0.0)</f>
        <v>0</v>
      </c>
      <c r="AS4081" s="82"/>
      <c r="AT4081" s="82">
        <f>IFERROR(__xludf.DUMMYFUNCTION("""COMPUTED_VALUE"""),0.0)</f>
        <v>0</v>
      </c>
      <c r="AU4081" s="82"/>
      <c r="AV4081" s="82"/>
      <c r="AW4081" s="82" t="str">
        <f t="shared" si="1"/>
        <v/>
      </c>
      <c r="AX4081" s="83" t="str">
        <f t="array" ref="AX4081">IFERROR(DGET('SBV Import'!A:G,"SBV",{"RSC ID","Tier";B4081,A4081}))</f>
        <v/>
      </c>
      <c r="AY4081" s="82" t="str">
        <f t="shared" si="2"/>
        <v/>
      </c>
      <c r="AZ4081" s="82"/>
      <c r="BA4081" s="84" t="s">
        <v>152</v>
      </c>
      <c r="BB4081" s="84" t="str">
        <f>IFERROR(__xludf.DUMMYFUNCTION("iferror(if(A4081="""",,E4081&gt;=FILTER(Constants!$F$2:$F$10,Constants!$A$2:$A$10=A4081)))"),"")</f>
        <v/>
      </c>
    </row>
    <row r="4082">
      <c r="A4082" s="89"/>
      <c r="B4082" s="87"/>
      <c r="C4082" s="73"/>
      <c r="D4082" s="73"/>
      <c r="E4082" s="82"/>
      <c r="F4082" s="82"/>
      <c r="G4082" s="86"/>
      <c r="H4082" s="86"/>
      <c r="I4082" s="86"/>
      <c r="J4082" s="82"/>
      <c r="K4082" s="82"/>
      <c r="L4082" s="82"/>
      <c r="M4082" s="82"/>
      <c r="N4082" s="82"/>
      <c r="O4082" s="82"/>
      <c r="P4082" s="82"/>
      <c r="Q4082" s="82"/>
      <c r="R4082" s="82"/>
      <c r="S4082" s="82"/>
      <c r="T4082" s="82"/>
      <c r="U4082" s="82"/>
      <c r="V4082" s="82"/>
      <c r="W4082" s="82"/>
      <c r="X4082" s="82"/>
      <c r="Y4082" s="82"/>
      <c r="Z4082" s="82"/>
      <c r="AA4082" s="82"/>
      <c r="AB4082" s="82"/>
      <c r="AC4082" s="82"/>
      <c r="AD4082" s="82"/>
      <c r="AE4082" s="82"/>
      <c r="AF4082" s="82"/>
      <c r="AG4082" s="82"/>
      <c r="AH4082" s="82"/>
      <c r="AI4082" s="82"/>
      <c r="AJ4082" s="82"/>
      <c r="AK4082" s="82"/>
      <c r="AL4082" s="82"/>
      <c r="AM4082" s="82"/>
      <c r="AN4082" s="82">
        <f>IFERROR(__xludf.DUMMYFUNCTION("""COMPUTED_VALUE"""),0.0)</f>
        <v>0</v>
      </c>
      <c r="AO4082" s="82">
        <f>IFERROR(__xludf.DUMMYFUNCTION("""COMPUTED_VALUE"""),0.0)</f>
        <v>0</v>
      </c>
      <c r="AP4082" s="82">
        <f>IFERROR(__xludf.DUMMYFUNCTION("""COMPUTED_VALUE"""),0.0)</f>
        <v>0</v>
      </c>
      <c r="AQ4082" s="82">
        <f>IFERROR(__xludf.DUMMYFUNCTION("""COMPUTED_VALUE"""),0.0)</f>
        <v>0</v>
      </c>
      <c r="AR4082" s="82">
        <f>IFERROR(__xludf.DUMMYFUNCTION("""COMPUTED_VALUE"""),0.0)</f>
        <v>0</v>
      </c>
      <c r="AS4082" s="82"/>
      <c r="AT4082" s="82">
        <f>IFERROR(__xludf.DUMMYFUNCTION("""COMPUTED_VALUE"""),0.0)</f>
        <v>0</v>
      </c>
      <c r="AU4082" s="82"/>
      <c r="AV4082" s="82"/>
      <c r="AW4082" s="82" t="str">
        <f t="shared" si="1"/>
        <v/>
      </c>
      <c r="AX4082" s="83" t="str">
        <f t="array" ref="AX4082">IFERROR(DGET('SBV Import'!A:G,"SBV",{"RSC ID","Tier";B4082,A4082}))</f>
        <v/>
      </c>
      <c r="AY4082" s="82" t="str">
        <f t="shared" si="2"/>
        <v/>
      </c>
      <c r="AZ4082" s="82"/>
      <c r="BA4082" s="84" t="s">
        <v>152</v>
      </c>
      <c r="BB4082" s="84" t="str">
        <f>IFERROR(__xludf.DUMMYFUNCTION("iferror(if(A4082="""",,E4082&gt;=FILTER(Constants!$F$2:$F$10,Constants!$A$2:$A$10=A4082)))"),"")</f>
        <v/>
      </c>
    </row>
    <row r="4083">
      <c r="A4083" s="89"/>
      <c r="B4083" s="87"/>
      <c r="C4083" s="73"/>
      <c r="D4083" s="73"/>
      <c r="E4083" s="82"/>
      <c r="F4083" s="82"/>
      <c r="G4083" s="86"/>
      <c r="H4083" s="86"/>
      <c r="I4083" s="86"/>
      <c r="J4083" s="82"/>
      <c r="K4083" s="82"/>
      <c r="L4083" s="82"/>
      <c r="M4083" s="82"/>
      <c r="N4083" s="82"/>
      <c r="O4083" s="82"/>
      <c r="P4083" s="82"/>
      <c r="Q4083" s="82"/>
      <c r="R4083" s="82"/>
      <c r="S4083" s="82"/>
      <c r="T4083" s="82"/>
      <c r="U4083" s="82"/>
      <c r="V4083" s="82"/>
      <c r="W4083" s="82"/>
      <c r="X4083" s="82"/>
      <c r="Y4083" s="82"/>
      <c r="Z4083" s="82"/>
      <c r="AA4083" s="82"/>
      <c r="AB4083" s="82"/>
      <c r="AC4083" s="82"/>
      <c r="AD4083" s="82"/>
      <c r="AE4083" s="82"/>
      <c r="AF4083" s="82"/>
      <c r="AG4083" s="82"/>
      <c r="AH4083" s="82"/>
      <c r="AI4083" s="82"/>
      <c r="AJ4083" s="82"/>
      <c r="AK4083" s="82"/>
      <c r="AL4083" s="82"/>
      <c r="AM4083" s="82"/>
      <c r="AN4083" s="82">
        <f>IFERROR(__xludf.DUMMYFUNCTION("""COMPUTED_VALUE"""),0.0)</f>
        <v>0</v>
      </c>
      <c r="AO4083" s="82">
        <f>IFERROR(__xludf.DUMMYFUNCTION("""COMPUTED_VALUE"""),0.0)</f>
        <v>0</v>
      </c>
      <c r="AP4083" s="82">
        <f>IFERROR(__xludf.DUMMYFUNCTION("""COMPUTED_VALUE"""),0.0)</f>
        <v>0</v>
      </c>
      <c r="AQ4083" s="82">
        <f>IFERROR(__xludf.DUMMYFUNCTION("""COMPUTED_VALUE"""),0.0)</f>
        <v>0</v>
      </c>
      <c r="AR4083" s="82">
        <f>IFERROR(__xludf.DUMMYFUNCTION("""COMPUTED_VALUE"""),0.0)</f>
        <v>0</v>
      </c>
      <c r="AS4083" s="82"/>
      <c r="AT4083" s="82">
        <f>IFERROR(__xludf.DUMMYFUNCTION("""COMPUTED_VALUE"""),0.0)</f>
        <v>0</v>
      </c>
      <c r="AU4083" s="82"/>
      <c r="AV4083" s="82"/>
      <c r="AW4083" s="82" t="str">
        <f t="shared" si="1"/>
        <v/>
      </c>
      <c r="AX4083" s="83" t="str">
        <f t="array" ref="AX4083">IFERROR(DGET('SBV Import'!A:G,"SBV",{"RSC ID","Tier";B4083,A4083}))</f>
        <v/>
      </c>
      <c r="AY4083" s="82" t="str">
        <f t="shared" si="2"/>
        <v/>
      </c>
      <c r="AZ4083" s="82"/>
      <c r="BA4083" s="84" t="s">
        <v>152</v>
      </c>
      <c r="BB4083" s="84" t="str">
        <f>IFERROR(__xludf.DUMMYFUNCTION("iferror(if(A4083="""",,E4083&gt;=FILTER(Constants!$F$2:$F$10,Constants!$A$2:$A$10=A4083)))"),"")</f>
        <v/>
      </c>
    </row>
    <row r="4084">
      <c r="A4084" s="89"/>
      <c r="B4084" s="87"/>
      <c r="C4084" s="73"/>
      <c r="D4084" s="73"/>
      <c r="E4084" s="82"/>
      <c r="F4084" s="82"/>
      <c r="G4084" s="86"/>
      <c r="H4084" s="86"/>
      <c r="I4084" s="86"/>
      <c r="J4084" s="82"/>
      <c r="K4084" s="82"/>
      <c r="L4084" s="82"/>
      <c r="M4084" s="82"/>
      <c r="N4084" s="82"/>
      <c r="O4084" s="82"/>
      <c r="P4084" s="82"/>
      <c r="Q4084" s="82"/>
      <c r="R4084" s="82"/>
      <c r="S4084" s="82"/>
      <c r="T4084" s="82"/>
      <c r="U4084" s="82"/>
      <c r="V4084" s="82"/>
      <c r="W4084" s="82"/>
      <c r="X4084" s="82"/>
      <c r="Y4084" s="82"/>
      <c r="Z4084" s="82"/>
      <c r="AA4084" s="82"/>
      <c r="AB4084" s="82"/>
      <c r="AC4084" s="82"/>
      <c r="AD4084" s="82"/>
      <c r="AE4084" s="82"/>
      <c r="AF4084" s="82"/>
      <c r="AG4084" s="82"/>
      <c r="AH4084" s="82"/>
      <c r="AI4084" s="82"/>
      <c r="AJ4084" s="82"/>
      <c r="AK4084" s="82"/>
      <c r="AL4084" s="82"/>
      <c r="AM4084" s="82"/>
      <c r="AN4084" s="82">
        <f>IFERROR(__xludf.DUMMYFUNCTION("""COMPUTED_VALUE"""),0.0)</f>
        <v>0</v>
      </c>
      <c r="AO4084" s="82">
        <f>IFERROR(__xludf.DUMMYFUNCTION("""COMPUTED_VALUE"""),0.0)</f>
        <v>0</v>
      </c>
      <c r="AP4084" s="82">
        <f>IFERROR(__xludf.DUMMYFUNCTION("""COMPUTED_VALUE"""),0.0)</f>
        <v>0</v>
      </c>
      <c r="AQ4084" s="82">
        <f>IFERROR(__xludf.DUMMYFUNCTION("""COMPUTED_VALUE"""),0.0)</f>
        <v>0</v>
      </c>
      <c r="AR4084" s="82">
        <f>IFERROR(__xludf.DUMMYFUNCTION("""COMPUTED_VALUE"""),0.0)</f>
        <v>0</v>
      </c>
      <c r="AS4084" s="82"/>
      <c r="AT4084" s="82">
        <f>IFERROR(__xludf.DUMMYFUNCTION("""COMPUTED_VALUE"""),0.0)</f>
        <v>0</v>
      </c>
      <c r="AU4084" s="82"/>
      <c r="AV4084" s="82"/>
      <c r="AW4084" s="82" t="str">
        <f t="shared" si="1"/>
        <v/>
      </c>
      <c r="AX4084" s="83" t="str">
        <f t="array" ref="AX4084">IFERROR(DGET('SBV Import'!A:G,"SBV",{"RSC ID","Tier";B4084,A4084}))</f>
        <v/>
      </c>
      <c r="AY4084" s="82" t="str">
        <f t="shared" si="2"/>
        <v/>
      </c>
      <c r="AZ4084" s="82"/>
      <c r="BA4084" s="84" t="s">
        <v>152</v>
      </c>
      <c r="BB4084" s="84" t="str">
        <f>IFERROR(__xludf.DUMMYFUNCTION("iferror(if(A4084="""",,E4084&gt;=FILTER(Constants!$F$2:$F$10,Constants!$A$2:$A$10=A4084)))"),"")</f>
        <v/>
      </c>
    </row>
    <row r="4085">
      <c r="A4085" s="89"/>
      <c r="B4085" s="87"/>
      <c r="C4085" s="73"/>
      <c r="D4085" s="73"/>
      <c r="E4085" s="82"/>
      <c r="F4085" s="82"/>
      <c r="G4085" s="86"/>
      <c r="H4085" s="86"/>
      <c r="I4085" s="86"/>
      <c r="J4085" s="82"/>
      <c r="K4085" s="82"/>
      <c r="L4085" s="82"/>
      <c r="M4085" s="82"/>
      <c r="N4085" s="82"/>
      <c r="O4085" s="82"/>
      <c r="P4085" s="82"/>
      <c r="Q4085" s="82"/>
      <c r="R4085" s="82"/>
      <c r="S4085" s="82"/>
      <c r="T4085" s="82"/>
      <c r="U4085" s="82"/>
      <c r="V4085" s="82"/>
      <c r="W4085" s="82"/>
      <c r="X4085" s="82"/>
      <c r="Y4085" s="82"/>
      <c r="Z4085" s="82"/>
      <c r="AA4085" s="82"/>
      <c r="AB4085" s="82"/>
      <c r="AC4085" s="82"/>
      <c r="AD4085" s="82"/>
      <c r="AE4085" s="82"/>
      <c r="AF4085" s="82"/>
      <c r="AG4085" s="82"/>
      <c r="AH4085" s="82"/>
      <c r="AI4085" s="82"/>
      <c r="AJ4085" s="82"/>
      <c r="AK4085" s="82"/>
      <c r="AL4085" s="82"/>
      <c r="AM4085" s="82"/>
      <c r="AN4085" s="82">
        <f>IFERROR(__xludf.DUMMYFUNCTION("""COMPUTED_VALUE"""),0.0)</f>
        <v>0</v>
      </c>
      <c r="AO4085" s="82">
        <f>IFERROR(__xludf.DUMMYFUNCTION("""COMPUTED_VALUE"""),0.0)</f>
        <v>0</v>
      </c>
      <c r="AP4085" s="82">
        <f>IFERROR(__xludf.DUMMYFUNCTION("""COMPUTED_VALUE"""),0.0)</f>
        <v>0</v>
      </c>
      <c r="AQ4085" s="82">
        <f>IFERROR(__xludf.DUMMYFUNCTION("""COMPUTED_VALUE"""),0.0)</f>
        <v>0</v>
      </c>
      <c r="AR4085" s="82">
        <f>IFERROR(__xludf.DUMMYFUNCTION("""COMPUTED_VALUE"""),0.0)</f>
        <v>0</v>
      </c>
      <c r="AS4085" s="82"/>
      <c r="AT4085" s="82">
        <f>IFERROR(__xludf.DUMMYFUNCTION("""COMPUTED_VALUE"""),0.0)</f>
        <v>0</v>
      </c>
      <c r="AU4085" s="82"/>
      <c r="AV4085" s="82"/>
      <c r="AW4085" s="82" t="str">
        <f t="shared" si="1"/>
        <v/>
      </c>
      <c r="AX4085" s="83" t="str">
        <f t="array" ref="AX4085">IFERROR(DGET('SBV Import'!A:G,"SBV",{"RSC ID","Tier";B4085,A4085}))</f>
        <v/>
      </c>
      <c r="AY4085" s="82" t="str">
        <f t="shared" si="2"/>
        <v/>
      </c>
      <c r="AZ4085" s="82"/>
      <c r="BA4085" s="84" t="s">
        <v>152</v>
      </c>
      <c r="BB4085" s="84" t="str">
        <f>IFERROR(__xludf.DUMMYFUNCTION("iferror(if(A4085="""",,E4085&gt;=FILTER(Constants!$F$2:$F$10,Constants!$A$2:$A$10=A4085)))"),"")</f>
        <v/>
      </c>
    </row>
    <row r="4086">
      <c r="A4086" s="89"/>
      <c r="B4086" s="87"/>
      <c r="C4086" s="73"/>
      <c r="D4086" s="73"/>
      <c r="E4086" s="82"/>
      <c r="F4086" s="82"/>
      <c r="G4086" s="86"/>
      <c r="H4086" s="86"/>
      <c r="I4086" s="86"/>
      <c r="J4086" s="82"/>
      <c r="K4086" s="82"/>
      <c r="L4086" s="82"/>
      <c r="M4086" s="82"/>
      <c r="N4086" s="82"/>
      <c r="O4086" s="82"/>
      <c r="P4086" s="82"/>
      <c r="Q4086" s="82"/>
      <c r="R4086" s="82"/>
      <c r="S4086" s="82"/>
      <c r="T4086" s="82"/>
      <c r="U4086" s="82"/>
      <c r="V4086" s="82"/>
      <c r="W4086" s="82"/>
      <c r="X4086" s="82"/>
      <c r="Y4086" s="82"/>
      <c r="Z4086" s="82"/>
      <c r="AA4086" s="82"/>
      <c r="AB4086" s="82"/>
      <c r="AC4086" s="82"/>
      <c r="AD4086" s="82"/>
      <c r="AE4086" s="82"/>
      <c r="AF4086" s="82"/>
      <c r="AG4086" s="82"/>
      <c r="AH4086" s="82"/>
      <c r="AI4086" s="82"/>
      <c r="AJ4086" s="82"/>
      <c r="AK4086" s="82"/>
      <c r="AL4086" s="82"/>
      <c r="AM4086" s="82"/>
      <c r="AN4086" s="82">
        <f>IFERROR(__xludf.DUMMYFUNCTION("""COMPUTED_VALUE"""),0.0)</f>
        <v>0</v>
      </c>
      <c r="AO4086" s="82">
        <f>IFERROR(__xludf.DUMMYFUNCTION("""COMPUTED_VALUE"""),0.0)</f>
        <v>0</v>
      </c>
      <c r="AP4086" s="82">
        <f>IFERROR(__xludf.DUMMYFUNCTION("""COMPUTED_VALUE"""),0.0)</f>
        <v>0</v>
      </c>
      <c r="AQ4086" s="82">
        <f>IFERROR(__xludf.DUMMYFUNCTION("""COMPUTED_VALUE"""),0.0)</f>
        <v>0</v>
      </c>
      <c r="AR4086" s="82">
        <f>IFERROR(__xludf.DUMMYFUNCTION("""COMPUTED_VALUE"""),0.0)</f>
        <v>0</v>
      </c>
      <c r="AS4086" s="82"/>
      <c r="AT4086" s="82">
        <f>IFERROR(__xludf.DUMMYFUNCTION("""COMPUTED_VALUE"""),0.0)</f>
        <v>0</v>
      </c>
      <c r="AU4086" s="82"/>
      <c r="AV4086" s="82"/>
      <c r="AW4086" s="82" t="str">
        <f t="shared" si="1"/>
        <v/>
      </c>
      <c r="AX4086" s="83" t="str">
        <f t="array" ref="AX4086">IFERROR(DGET('SBV Import'!A:G,"SBV",{"RSC ID","Tier";B4086,A4086}))</f>
        <v/>
      </c>
      <c r="AY4086" s="82" t="str">
        <f t="shared" si="2"/>
        <v/>
      </c>
      <c r="AZ4086" s="82"/>
      <c r="BA4086" s="84" t="s">
        <v>152</v>
      </c>
      <c r="BB4086" s="84" t="str">
        <f>IFERROR(__xludf.DUMMYFUNCTION("iferror(if(A4086="""",,E4086&gt;=FILTER(Constants!$F$2:$F$10,Constants!$A$2:$A$10=A4086)))"),"")</f>
        <v/>
      </c>
    </row>
    <row r="4087">
      <c r="A4087" s="89"/>
      <c r="B4087" s="87"/>
      <c r="C4087" s="73"/>
      <c r="D4087" s="73"/>
      <c r="E4087" s="82"/>
      <c r="F4087" s="82"/>
      <c r="G4087" s="86"/>
      <c r="H4087" s="86"/>
      <c r="I4087" s="86"/>
      <c r="J4087" s="82"/>
      <c r="K4087" s="82"/>
      <c r="L4087" s="82"/>
      <c r="M4087" s="82"/>
      <c r="N4087" s="82"/>
      <c r="O4087" s="82"/>
      <c r="P4087" s="82"/>
      <c r="Q4087" s="82"/>
      <c r="R4087" s="82"/>
      <c r="S4087" s="82"/>
      <c r="T4087" s="82"/>
      <c r="U4087" s="82"/>
      <c r="V4087" s="82"/>
      <c r="W4087" s="82"/>
      <c r="X4087" s="82"/>
      <c r="Y4087" s="82"/>
      <c r="Z4087" s="82"/>
      <c r="AA4087" s="82"/>
      <c r="AB4087" s="82"/>
      <c r="AC4087" s="82"/>
      <c r="AD4087" s="82"/>
      <c r="AE4087" s="82"/>
      <c r="AF4087" s="82"/>
      <c r="AG4087" s="82"/>
      <c r="AH4087" s="82"/>
      <c r="AI4087" s="82"/>
      <c r="AJ4087" s="82"/>
      <c r="AK4087" s="82"/>
      <c r="AL4087" s="82"/>
      <c r="AM4087" s="82"/>
      <c r="AN4087" s="82">
        <f>IFERROR(__xludf.DUMMYFUNCTION("""COMPUTED_VALUE"""),0.0)</f>
        <v>0</v>
      </c>
      <c r="AO4087" s="82">
        <f>IFERROR(__xludf.DUMMYFUNCTION("""COMPUTED_VALUE"""),0.0)</f>
        <v>0</v>
      </c>
      <c r="AP4087" s="82">
        <f>IFERROR(__xludf.DUMMYFUNCTION("""COMPUTED_VALUE"""),0.0)</f>
        <v>0</v>
      </c>
      <c r="AQ4087" s="82">
        <f>IFERROR(__xludf.DUMMYFUNCTION("""COMPUTED_VALUE"""),0.0)</f>
        <v>0</v>
      </c>
      <c r="AR4087" s="82">
        <f>IFERROR(__xludf.DUMMYFUNCTION("""COMPUTED_VALUE"""),0.0)</f>
        <v>0</v>
      </c>
      <c r="AS4087" s="82"/>
      <c r="AT4087" s="82">
        <f>IFERROR(__xludf.DUMMYFUNCTION("""COMPUTED_VALUE"""),0.0)</f>
        <v>0</v>
      </c>
      <c r="AU4087" s="82"/>
      <c r="AV4087" s="82"/>
      <c r="AW4087" s="82" t="str">
        <f t="shared" si="1"/>
        <v/>
      </c>
      <c r="AX4087" s="83" t="str">
        <f t="array" ref="AX4087">IFERROR(DGET('SBV Import'!A:G,"SBV",{"RSC ID","Tier";B4087,A4087}))</f>
        <v/>
      </c>
      <c r="AY4087" s="82" t="str">
        <f t="shared" si="2"/>
        <v/>
      </c>
      <c r="AZ4087" s="82"/>
      <c r="BA4087" s="84" t="s">
        <v>152</v>
      </c>
      <c r="BB4087" s="84" t="str">
        <f>IFERROR(__xludf.DUMMYFUNCTION("iferror(if(A4087="""",,E4087&gt;=FILTER(Constants!$F$2:$F$10,Constants!$A$2:$A$10=A4087)))"),"")</f>
        <v/>
      </c>
    </row>
    <row r="4088">
      <c r="A4088" s="89"/>
      <c r="B4088" s="87"/>
      <c r="C4088" s="73"/>
      <c r="D4088" s="73"/>
      <c r="E4088" s="82"/>
      <c r="F4088" s="82"/>
      <c r="G4088" s="86"/>
      <c r="H4088" s="86"/>
      <c r="I4088" s="86"/>
      <c r="J4088" s="82"/>
      <c r="K4088" s="82"/>
      <c r="L4088" s="82"/>
      <c r="M4088" s="82"/>
      <c r="N4088" s="82"/>
      <c r="O4088" s="82"/>
      <c r="P4088" s="82"/>
      <c r="Q4088" s="82"/>
      <c r="R4088" s="82"/>
      <c r="S4088" s="82"/>
      <c r="T4088" s="82"/>
      <c r="U4088" s="82"/>
      <c r="V4088" s="82"/>
      <c r="W4088" s="82"/>
      <c r="X4088" s="82"/>
      <c r="Y4088" s="82"/>
      <c r="Z4088" s="82"/>
      <c r="AA4088" s="82"/>
      <c r="AB4088" s="82"/>
      <c r="AC4088" s="82"/>
      <c r="AD4088" s="82"/>
      <c r="AE4088" s="82"/>
      <c r="AF4088" s="82"/>
      <c r="AG4088" s="82"/>
      <c r="AH4088" s="82"/>
      <c r="AI4088" s="82"/>
      <c r="AJ4088" s="82"/>
      <c r="AK4088" s="82"/>
      <c r="AL4088" s="82"/>
      <c r="AM4088" s="82"/>
      <c r="AN4088" s="82">
        <f>IFERROR(__xludf.DUMMYFUNCTION("""COMPUTED_VALUE"""),0.0)</f>
        <v>0</v>
      </c>
      <c r="AO4088" s="82">
        <f>IFERROR(__xludf.DUMMYFUNCTION("""COMPUTED_VALUE"""),0.0)</f>
        <v>0</v>
      </c>
      <c r="AP4088" s="82">
        <f>IFERROR(__xludf.DUMMYFUNCTION("""COMPUTED_VALUE"""),0.0)</f>
        <v>0</v>
      </c>
      <c r="AQ4088" s="82">
        <f>IFERROR(__xludf.DUMMYFUNCTION("""COMPUTED_VALUE"""),0.0)</f>
        <v>0</v>
      </c>
      <c r="AR4088" s="82">
        <f>IFERROR(__xludf.DUMMYFUNCTION("""COMPUTED_VALUE"""),0.0)</f>
        <v>0</v>
      </c>
      <c r="AS4088" s="82"/>
      <c r="AT4088" s="82">
        <f>IFERROR(__xludf.DUMMYFUNCTION("""COMPUTED_VALUE"""),0.0)</f>
        <v>0</v>
      </c>
      <c r="AU4088" s="82"/>
      <c r="AV4088" s="82"/>
      <c r="AW4088" s="82" t="str">
        <f t="shared" si="1"/>
        <v/>
      </c>
      <c r="AX4088" s="83" t="str">
        <f t="array" ref="AX4088">IFERROR(DGET('SBV Import'!A:G,"SBV",{"RSC ID","Tier";B4088,A4088}))</f>
        <v/>
      </c>
      <c r="AY4088" s="82" t="str">
        <f t="shared" si="2"/>
        <v/>
      </c>
      <c r="AZ4088" s="82"/>
      <c r="BA4088" s="84" t="s">
        <v>152</v>
      </c>
      <c r="BB4088" s="84" t="str">
        <f>IFERROR(__xludf.DUMMYFUNCTION("iferror(if(A4088="""",,E4088&gt;=FILTER(Constants!$F$2:$F$10,Constants!$A$2:$A$10=A4088)))"),"")</f>
        <v/>
      </c>
    </row>
    <row r="4089">
      <c r="A4089" s="89"/>
      <c r="B4089" s="87"/>
      <c r="C4089" s="73"/>
      <c r="D4089" s="73"/>
      <c r="E4089" s="82"/>
      <c r="F4089" s="82"/>
      <c r="G4089" s="86"/>
      <c r="H4089" s="86"/>
      <c r="I4089" s="86"/>
      <c r="J4089" s="82"/>
      <c r="K4089" s="82"/>
      <c r="L4089" s="82"/>
      <c r="M4089" s="82"/>
      <c r="N4089" s="82"/>
      <c r="O4089" s="82"/>
      <c r="P4089" s="82"/>
      <c r="Q4089" s="82"/>
      <c r="R4089" s="82"/>
      <c r="S4089" s="82"/>
      <c r="T4089" s="82"/>
      <c r="U4089" s="82"/>
      <c r="V4089" s="82"/>
      <c r="W4089" s="82"/>
      <c r="X4089" s="82"/>
      <c r="Y4089" s="82"/>
      <c r="Z4089" s="82"/>
      <c r="AA4089" s="82"/>
      <c r="AB4089" s="82"/>
      <c r="AC4089" s="82"/>
      <c r="AD4089" s="82"/>
      <c r="AE4089" s="82"/>
      <c r="AF4089" s="82"/>
      <c r="AG4089" s="82"/>
      <c r="AH4089" s="82"/>
      <c r="AI4089" s="82"/>
      <c r="AJ4089" s="82"/>
      <c r="AK4089" s="82"/>
      <c r="AL4089" s="82"/>
      <c r="AM4089" s="82"/>
      <c r="AN4089" s="82">
        <f>IFERROR(__xludf.DUMMYFUNCTION("""COMPUTED_VALUE"""),0.0)</f>
        <v>0</v>
      </c>
      <c r="AO4089" s="82">
        <f>IFERROR(__xludf.DUMMYFUNCTION("""COMPUTED_VALUE"""),0.0)</f>
        <v>0</v>
      </c>
      <c r="AP4089" s="82">
        <f>IFERROR(__xludf.DUMMYFUNCTION("""COMPUTED_VALUE"""),0.0)</f>
        <v>0</v>
      </c>
      <c r="AQ4089" s="82">
        <f>IFERROR(__xludf.DUMMYFUNCTION("""COMPUTED_VALUE"""),0.0)</f>
        <v>0</v>
      </c>
      <c r="AR4089" s="82">
        <f>IFERROR(__xludf.DUMMYFUNCTION("""COMPUTED_VALUE"""),0.0)</f>
        <v>0</v>
      </c>
      <c r="AS4089" s="82"/>
      <c r="AT4089" s="82">
        <f>IFERROR(__xludf.DUMMYFUNCTION("""COMPUTED_VALUE"""),0.0)</f>
        <v>0</v>
      </c>
      <c r="AU4089" s="82"/>
      <c r="AV4089" s="82"/>
      <c r="AW4089" s="82" t="str">
        <f t="shared" si="1"/>
        <v/>
      </c>
      <c r="AX4089" s="83" t="str">
        <f t="array" ref="AX4089">IFERROR(DGET('SBV Import'!A:G,"SBV",{"RSC ID","Tier";B4089,A4089}))</f>
        <v/>
      </c>
      <c r="AY4089" s="82" t="str">
        <f t="shared" si="2"/>
        <v/>
      </c>
      <c r="AZ4089" s="82"/>
      <c r="BA4089" s="84" t="s">
        <v>152</v>
      </c>
      <c r="BB4089" s="84" t="str">
        <f>IFERROR(__xludf.DUMMYFUNCTION("iferror(if(A4089="""",,E4089&gt;=FILTER(Constants!$F$2:$F$10,Constants!$A$2:$A$10=A4089)))"),"")</f>
        <v/>
      </c>
    </row>
    <row r="4090">
      <c r="A4090" s="89"/>
      <c r="B4090" s="87"/>
      <c r="C4090" s="73"/>
      <c r="D4090" s="73"/>
      <c r="E4090" s="82"/>
      <c r="F4090" s="82"/>
      <c r="G4090" s="86"/>
      <c r="H4090" s="86"/>
      <c r="I4090" s="86"/>
      <c r="J4090" s="82"/>
      <c r="K4090" s="82"/>
      <c r="L4090" s="82"/>
      <c r="M4090" s="82"/>
      <c r="N4090" s="82"/>
      <c r="O4090" s="82"/>
      <c r="P4090" s="82"/>
      <c r="Q4090" s="82"/>
      <c r="R4090" s="82"/>
      <c r="S4090" s="82"/>
      <c r="T4090" s="82"/>
      <c r="U4090" s="82"/>
      <c r="V4090" s="82"/>
      <c r="W4090" s="82"/>
      <c r="X4090" s="82"/>
      <c r="Y4090" s="82"/>
      <c r="Z4090" s="82"/>
      <c r="AA4090" s="82"/>
      <c r="AB4090" s="82"/>
      <c r="AC4090" s="82"/>
      <c r="AD4090" s="82"/>
      <c r="AE4090" s="82"/>
      <c r="AF4090" s="82"/>
      <c r="AG4090" s="82"/>
      <c r="AH4090" s="82"/>
      <c r="AI4090" s="82"/>
      <c r="AJ4090" s="82"/>
      <c r="AK4090" s="82"/>
      <c r="AL4090" s="82"/>
      <c r="AM4090" s="82"/>
      <c r="AN4090" s="82">
        <f>IFERROR(__xludf.DUMMYFUNCTION("""COMPUTED_VALUE"""),0.0)</f>
        <v>0</v>
      </c>
      <c r="AO4090" s="82">
        <f>IFERROR(__xludf.DUMMYFUNCTION("""COMPUTED_VALUE"""),0.0)</f>
        <v>0</v>
      </c>
      <c r="AP4090" s="82">
        <f>IFERROR(__xludf.DUMMYFUNCTION("""COMPUTED_VALUE"""),0.0)</f>
        <v>0</v>
      </c>
      <c r="AQ4090" s="82">
        <f>IFERROR(__xludf.DUMMYFUNCTION("""COMPUTED_VALUE"""),0.0)</f>
        <v>0</v>
      </c>
      <c r="AR4090" s="82">
        <f>IFERROR(__xludf.DUMMYFUNCTION("""COMPUTED_VALUE"""),0.0)</f>
        <v>0</v>
      </c>
      <c r="AS4090" s="82"/>
      <c r="AT4090" s="82">
        <f>IFERROR(__xludf.DUMMYFUNCTION("""COMPUTED_VALUE"""),0.0)</f>
        <v>0</v>
      </c>
      <c r="AU4090" s="82"/>
      <c r="AV4090" s="82"/>
      <c r="AW4090" s="82" t="str">
        <f t="shared" si="1"/>
        <v/>
      </c>
      <c r="AX4090" s="83" t="str">
        <f t="array" ref="AX4090">IFERROR(DGET('SBV Import'!A:G,"SBV",{"RSC ID","Tier";B4090,A4090}))</f>
        <v/>
      </c>
      <c r="AY4090" s="82" t="str">
        <f t="shared" si="2"/>
        <v/>
      </c>
      <c r="AZ4090" s="82"/>
      <c r="BA4090" s="84" t="s">
        <v>152</v>
      </c>
      <c r="BB4090" s="84" t="str">
        <f>IFERROR(__xludf.DUMMYFUNCTION("iferror(if(A4090="""",,E4090&gt;=FILTER(Constants!$F$2:$F$10,Constants!$A$2:$A$10=A4090)))"),"")</f>
        <v/>
      </c>
    </row>
    <row r="4091">
      <c r="A4091" s="89"/>
      <c r="B4091" s="87"/>
      <c r="C4091" s="73"/>
      <c r="D4091" s="73"/>
      <c r="E4091" s="82"/>
      <c r="F4091" s="82"/>
      <c r="G4091" s="86"/>
      <c r="H4091" s="86"/>
      <c r="I4091" s="86"/>
      <c r="J4091" s="82"/>
      <c r="K4091" s="82"/>
      <c r="L4091" s="82"/>
      <c r="M4091" s="82"/>
      <c r="N4091" s="82"/>
      <c r="O4091" s="82"/>
      <c r="P4091" s="82"/>
      <c r="Q4091" s="82"/>
      <c r="R4091" s="82"/>
      <c r="S4091" s="82"/>
      <c r="T4091" s="82"/>
      <c r="U4091" s="82"/>
      <c r="V4091" s="82"/>
      <c r="W4091" s="82"/>
      <c r="X4091" s="82"/>
      <c r="Y4091" s="82"/>
      <c r="Z4091" s="82"/>
      <c r="AA4091" s="82"/>
      <c r="AB4091" s="82"/>
      <c r="AC4091" s="82"/>
      <c r="AD4091" s="82"/>
      <c r="AE4091" s="82"/>
      <c r="AF4091" s="82"/>
      <c r="AG4091" s="82"/>
      <c r="AH4091" s="82"/>
      <c r="AI4091" s="82"/>
      <c r="AJ4091" s="82"/>
      <c r="AK4091" s="82"/>
      <c r="AL4091" s="82"/>
      <c r="AM4091" s="82"/>
      <c r="AN4091" s="82">
        <f>IFERROR(__xludf.DUMMYFUNCTION("""COMPUTED_VALUE"""),0.0)</f>
        <v>0</v>
      </c>
      <c r="AO4091" s="82">
        <f>IFERROR(__xludf.DUMMYFUNCTION("""COMPUTED_VALUE"""),0.0)</f>
        <v>0</v>
      </c>
      <c r="AP4091" s="82">
        <f>IFERROR(__xludf.DUMMYFUNCTION("""COMPUTED_VALUE"""),0.0)</f>
        <v>0</v>
      </c>
      <c r="AQ4091" s="82">
        <f>IFERROR(__xludf.DUMMYFUNCTION("""COMPUTED_VALUE"""),0.0)</f>
        <v>0</v>
      </c>
      <c r="AR4091" s="82">
        <f>IFERROR(__xludf.DUMMYFUNCTION("""COMPUTED_VALUE"""),0.0)</f>
        <v>0</v>
      </c>
      <c r="AS4091" s="82"/>
      <c r="AT4091" s="82">
        <f>IFERROR(__xludf.DUMMYFUNCTION("""COMPUTED_VALUE"""),0.0)</f>
        <v>0</v>
      </c>
      <c r="AU4091" s="82"/>
      <c r="AV4091" s="82"/>
      <c r="AW4091" s="82" t="str">
        <f t="shared" si="1"/>
        <v/>
      </c>
      <c r="AX4091" s="83" t="str">
        <f t="array" ref="AX4091">IFERROR(DGET('SBV Import'!A:G,"SBV",{"RSC ID","Tier";B4091,A4091}))</f>
        <v/>
      </c>
      <c r="AY4091" s="82" t="str">
        <f t="shared" si="2"/>
        <v/>
      </c>
      <c r="AZ4091" s="82"/>
      <c r="BA4091" s="84" t="s">
        <v>152</v>
      </c>
      <c r="BB4091" s="84" t="str">
        <f>IFERROR(__xludf.DUMMYFUNCTION("iferror(if(A4091="""",,E4091&gt;=FILTER(Constants!$F$2:$F$10,Constants!$A$2:$A$10=A4091)))"),"")</f>
        <v/>
      </c>
    </row>
    <row r="4092">
      <c r="A4092" s="89"/>
      <c r="B4092" s="87"/>
      <c r="C4092" s="73"/>
      <c r="D4092" s="73"/>
      <c r="E4092" s="82"/>
      <c r="F4092" s="82"/>
      <c r="G4092" s="86"/>
      <c r="H4092" s="86"/>
      <c r="I4092" s="86"/>
      <c r="J4092" s="82"/>
      <c r="K4092" s="82"/>
      <c r="L4092" s="82"/>
      <c r="M4092" s="82"/>
      <c r="N4092" s="82"/>
      <c r="O4092" s="82"/>
      <c r="P4092" s="82"/>
      <c r="Q4092" s="82"/>
      <c r="R4092" s="82"/>
      <c r="S4092" s="82"/>
      <c r="T4092" s="82"/>
      <c r="U4092" s="82"/>
      <c r="V4092" s="82"/>
      <c r="W4092" s="82"/>
      <c r="X4092" s="82"/>
      <c r="Y4092" s="82"/>
      <c r="Z4092" s="82"/>
      <c r="AA4092" s="82"/>
      <c r="AB4092" s="82"/>
      <c r="AC4092" s="82"/>
      <c r="AD4092" s="82"/>
      <c r="AE4092" s="82"/>
      <c r="AF4092" s="82"/>
      <c r="AG4092" s="82"/>
      <c r="AH4092" s="82"/>
      <c r="AI4092" s="82"/>
      <c r="AJ4092" s="82"/>
      <c r="AK4092" s="82"/>
      <c r="AL4092" s="82"/>
      <c r="AM4092" s="82"/>
      <c r="AN4092" s="82">
        <f>IFERROR(__xludf.DUMMYFUNCTION("""COMPUTED_VALUE"""),0.0)</f>
        <v>0</v>
      </c>
      <c r="AO4092" s="82">
        <f>IFERROR(__xludf.DUMMYFUNCTION("""COMPUTED_VALUE"""),0.0)</f>
        <v>0</v>
      </c>
      <c r="AP4092" s="82">
        <f>IFERROR(__xludf.DUMMYFUNCTION("""COMPUTED_VALUE"""),0.0)</f>
        <v>0</v>
      </c>
      <c r="AQ4092" s="82">
        <f>IFERROR(__xludf.DUMMYFUNCTION("""COMPUTED_VALUE"""),0.0)</f>
        <v>0</v>
      </c>
      <c r="AR4092" s="82">
        <f>IFERROR(__xludf.DUMMYFUNCTION("""COMPUTED_VALUE"""),0.0)</f>
        <v>0</v>
      </c>
      <c r="AS4092" s="82"/>
      <c r="AT4092" s="82">
        <f>IFERROR(__xludf.DUMMYFUNCTION("""COMPUTED_VALUE"""),0.0)</f>
        <v>0</v>
      </c>
      <c r="AU4092" s="82"/>
      <c r="AV4092" s="82"/>
      <c r="AW4092" s="82" t="str">
        <f t="shared" si="1"/>
        <v/>
      </c>
      <c r="AX4092" s="83" t="str">
        <f t="array" ref="AX4092">IFERROR(DGET('SBV Import'!A:G,"SBV",{"RSC ID","Tier";B4092,A4092}))</f>
        <v/>
      </c>
      <c r="AY4092" s="82" t="str">
        <f t="shared" si="2"/>
        <v/>
      </c>
      <c r="AZ4092" s="82"/>
      <c r="BA4092" s="84" t="s">
        <v>152</v>
      </c>
      <c r="BB4092" s="84" t="str">
        <f>IFERROR(__xludf.DUMMYFUNCTION("iferror(if(A4092="""",,E4092&gt;=FILTER(Constants!$F$2:$F$10,Constants!$A$2:$A$10=A4092)))"),"")</f>
        <v/>
      </c>
    </row>
    <row r="4093">
      <c r="A4093" s="89"/>
      <c r="B4093" s="87"/>
      <c r="C4093" s="73"/>
      <c r="D4093" s="73"/>
      <c r="E4093" s="82"/>
      <c r="F4093" s="82"/>
      <c r="G4093" s="86"/>
      <c r="H4093" s="86"/>
      <c r="I4093" s="86"/>
      <c r="J4093" s="82"/>
      <c r="K4093" s="82"/>
      <c r="L4093" s="82"/>
      <c r="M4093" s="82"/>
      <c r="N4093" s="82"/>
      <c r="O4093" s="82"/>
      <c r="P4093" s="82"/>
      <c r="Q4093" s="82"/>
      <c r="R4093" s="82"/>
      <c r="S4093" s="82"/>
      <c r="T4093" s="82"/>
      <c r="U4093" s="82"/>
      <c r="V4093" s="82"/>
      <c r="W4093" s="82"/>
      <c r="X4093" s="82"/>
      <c r="Y4093" s="82"/>
      <c r="Z4093" s="82"/>
      <c r="AA4093" s="82"/>
      <c r="AB4093" s="82"/>
      <c r="AC4093" s="82"/>
      <c r="AD4093" s="82"/>
      <c r="AE4093" s="82"/>
      <c r="AF4093" s="82"/>
      <c r="AG4093" s="82"/>
      <c r="AH4093" s="82"/>
      <c r="AI4093" s="82"/>
      <c r="AJ4093" s="82"/>
      <c r="AK4093" s="82"/>
      <c r="AL4093" s="82"/>
      <c r="AM4093" s="82"/>
      <c r="AN4093" s="82">
        <f>IFERROR(__xludf.DUMMYFUNCTION("""COMPUTED_VALUE"""),0.0)</f>
        <v>0</v>
      </c>
      <c r="AO4093" s="82">
        <f>IFERROR(__xludf.DUMMYFUNCTION("""COMPUTED_VALUE"""),0.0)</f>
        <v>0</v>
      </c>
      <c r="AP4093" s="82">
        <f>IFERROR(__xludf.DUMMYFUNCTION("""COMPUTED_VALUE"""),0.0)</f>
        <v>0</v>
      </c>
      <c r="AQ4093" s="82">
        <f>IFERROR(__xludf.DUMMYFUNCTION("""COMPUTED_VALUE"""),0.0)</f>
        <v>0</v>
      </c>
      <c r="AR4093" s="82">
        <f>IFERROR(__xludf.DUMMYFUNCTION("""COMPUTED_VALUE"""),0.0)</f>
        <v>0</v>
      </c>
      <c r="AS4093" s="82"/>
      <c r="AT4093" s="82">
        <f>IFERROR(__xludf.DUMMYFUNCTION("""COMPUTED_VALUE"""),0.0)</f>
        <v>0</v>
      </c>
      <c r="AU4093" s="82"/>
      <c r="AV4093" s="82"/>
      <c r="AW4093" s="82" t="str">
        <f t="shared" si="1"/>
        <v/>
      </c>
      <c r="AX4093" s="83" t="str">
        <f t="array" ref="AX4093">IFERROR(DGET('SBV Import'!A:G,"SBV",{"RSC ID","Tier";B4093,A4093}))</f>
        <v/>
      </c>
      <c r="AY4093" s="82" t="str">
        <f t="shared" si="2"/>
        <v/>
      </c>
      <c r="AZ4093" s="82"/>
      <c r="BA4093" s="84" t="s">
        <v>152</v>
      </c>
      <c r="BB4093" s="84" t="str">
        <f>IFERROR(__xludf.DUMMYFUNCTION("iferror(if(A4093="""",,E4093&gt;=FILTER(Constants!$F$2:$F$10,Constants!$A$2:$A$10=A4093)))"),"")</f>
        <v/>
      </c>
    </row>
    <row r="4094">
      <c r="A4094" s="89"/>
      <c r="B4094" s="87"/>
      <c r="C4094" s="73"/>
      <c r="D4094" s="73"/>
      <c r="E4094" s="82"/>
      <c r="F4094" s="82"/>
      <c r="G4094" s="86"/>
      <c r="H4094" s="86"/>
      <c r="I4094" s="86"/>
      <c r="J4094" s="82"/>
      <c r="K4094" s="82"/>
      <c r="L4094" s="82"/>
      <c r="M4094" s="82"/>
      <c r="N4094" s="82"/>
      <c r="O4094" s="82"/>
      <c r="P4094" s="82"/>
      <c r="Q4094" s="82"/>
      <c r="R4094" s="82"/>
      <c r="S4094" s="82"/>
      <c r="T4094" s="82"/>
      <c r="U4094" s="82"/>
      <c r="V4094" s="82"/>
      <c r="W4094" s="82"/>
      <c r="X4094" s="82"/>
      <c r="Y4094" s="82"/>
      <c r="Z4094" s="82"/>
      <c r="AA4094" s="82"/>
      <c r="AB4094" s="82"/>
      <c r="AC4094" s="82"/>
      <c r="AD4094" s="82"/>
      <c r="AE4094" s="82"/>
      <c r="AF4094" s="82"/>
      <c r="AG4094" s="82"/>
      <c r="AH4094" s="82"/>
      <c r="AI4094" s="82"/>
      <c r="AJ4094" s="82"/>
      <c r="AK4094" s="82"/>
      <c r="AL4094" s="82"/>
      <c r="AM4094" s="82"/>
      <c r="AN4094" s="82">
        <f>IFERROR(__xludf.DUMMYFUNCTION("""COMPUTED_VALUE"""),0.0)</f>
        <v>0</v>
      </c>
      <c r="AO4094" s="82">
        <f>IFERROR(__xludf.DUMMYFUNCTION("""COMPUTED_VALUE"""),0.0)</f>
        <v>0</v>
      </c>
      <c r="AP4094" s="82">
        <f>IFERROR(__xludf.DUMMYFUNCTION("""COMPUTED_VALUE"""),0.0)</f>
        <v>0</v>
      </c>
      <c r="AQ4094" s="82">
        <f>IFERROR(__xludf.DUMMYFUNCTION("""COMPUTED_VALUE"""),0.0)</f>
        <v>0</v>
      </c>
      <c r="AR4094" s="82">
        <f>IFERROR(__xludf.DUMMYFUNCTION("""COMPUTED_VALUE"""),0.0)</f>
        <v>0</v>
      </c>
      <c r="AS4094" s="82"/>
      <c r="AT4094" s="82">
        <f>IFERROR(__xludf.DUMMYFUNCTION("""COMPUTED_VALUE"""),0.0)</f>
        <v>0</v>
      </c>
      <c r="AU4094" s="82"/>
      <c r="AV4094" s="82"/>
      <c r="AW4094" s="82" t="str">
        <f t="shared" si="1"/>
        <v/>
      </c>
      <c r="AX4094" s="83" t="str">
        <f t="array" ref="AX4094">IFERROR(DGET('SBV Import'!A:G,"SBV",{"RSC ID","Tier";B4094,A4094}))</f>
        <v/>
      </c>
      <c r="AY4094" s="82" t="str">
        <f t="shared" si="2"/>
        <v/>
      </c>
      <c r="AZ4094" s="82"/>
      <c r="BA4094" s="84" t="s">
        <v>152</v>
      </c>
      <c r="BB4094" s="84" t="str">
        <f>IFERROR(__xludf.DUMMYFUNCTION("iferror(if(A4094="""",,E4094&gt;=FILTER(Constants!$F$2:$F$10,Constants!$A$2:$A$10=A4094)))"),"")</f>
        <v/>
      </c>
    </row>
    <row r="4095">
      <c r="A4095" s="89"/>
      <c r="B4095" s="87"/>
      <c r="C4095" s="73"/>
      <c r="D4095" s="73"/>
      <c r="E4095" s="82"/>
      <c r="F4095" s="82"/>
      <c r="G4095" s="86"/>
      <c r="H4095" s="86"/>
      <c r="I4095" s="86"/>
      <c r="J4095" s="82"/>
      <c r="K4095" s="82"/>
      <c r="L4095" s="82"/>
      <c r="M4095" s="82"/>
      <c r="N4095" s="82"/>
      <c r="O4095" s="82"/>
      <c r="P4095" s="82"/>
      <c r="Q4095" s="82"/>
      <c r="R4095" s="82"/>
      <c r="S4095" s="82"/>
      <c r="T4095" s="82"/>
      <c r="U4095" s="82"/>
      <c r="V4095" s="82"/>
      <c r="W4095" s="82"/>
      <c r="X4095" s="82"/>
      <c r="Y4095" s="82"/>
      <c r="Z4095" s="82"/>
      <c r="AA4095" s="82"/>
      <c r="AB4095" s="82"/>
      <c r="AC4095" s="82"/>
      <c r="AD4095" s="82"/>
      <c r="AE4095" s="82"/>
      <c r="AF4095" s="82"/>
      <c r="AG4095" s="82"/>
      <c r="AH4095" s="82"/>
      <c r="AI4095" s="82"/>
      <c r="AJ4095" s="82"/>
      <c r="AK4095" s="82"/>
      <c r="AL4095" s="82"/>
      <c r="AM4095" s="82"/>
      <c r="AN4095" s="82">
        <f>IFERROR(__xludf.DUMMYFUNCTION("""COMPUTED_VALUE"""),0.0)</f>
        <v>0</v>
      </c>
      <c r="AO4095" s="82">
        <f>IFERROR(__xludf.DUMMYFUNCTION("""COMPUTED_VALUE"""),0.0)</f>
        <v>0</v>
      </c>
      <c r="AP4095" s="82">
        <f>IFERROR(__xludf.DUMMYFUNCTION("""COMPUTED_VALUE"""),0.0)</f>
        <v>0</v>
      </c>
      <c r="AQ4095" s="82">
        <f>IFERROR(__xludf.DUMMYFUNCTION("""COMPUTED_VALUE"""),0.0)</f>
        <v>0</v>
      </c>
      <c r="AR4095" s="82">
        <f>IFERROR(__xludf.DUMMYFUNCTION("""COMPUTED_VALUE"""),0.0)</f>
        <v>0</v>
      </c>
      <c r="AS4095" s="82"/>
      <c r="AT4095" s="82">
        <f>IFERROR(__xludf.DUMMYFUNCTION("""COMPUTED_VALUE"""),0.0)</f>
        <v>0</v>
      </c>
      <c r="AU4095" s="82"/>
      <c r="AV4095" s="82"/>
      <c r="AW4095" s="82" t="str">
        <f t="shared" si="1"/>
        <v/>
      </c>
      <c r="AX4095" s="83" t="str">
        <f t="array" ref="AX4095">IFERROR(DGET('SBV Import'!A:G,"SBV",{"RSC ID","Tier";B4095,A4095}))</f>
        <v/>
      </c>
      <c r="AY4095" s="82" t="str">
        <f t="shared" si="2"/>
        <v/>
      </c>
      <c r="AZ4095" s="82"/>
      <c r="BA4095" s="84" t="s">
        <v>152</v>
      </c>
      <c r="BB4095" s="84" t="str">
        <f>IFERROR(__xludf.DUMMYFUNCTION("iferror(if(A4095="""",,E4095&gt;=FILTER(Constants!$F$2:$F$10,Constants!$A$2:$A$10=A4095)))"),"")</f>
        <v/>
      </c>
    </row>
    <row r="4096">
      <c r="A4096" s="89"/>
      <c r="B4096" s="87"/>
      <c r="C4096" s="73"/>
      <c r="D4096" s="73"/>
      <c r="E4096" s="82"/>
      <c r="F4096" s="82"/>
      <c r="G4096" s="86"/>
      <c r="H4096" s="86"/>
      <c r="I4096" s="86"/>
      <c r="J4096" s="82"/>
      <c r="K4096" s="82"/>
      <c r="L4096" s="82"/>
      <c r="M4096" s="82"/>
      <c r="N4096" s="82"/>
      <c r="O4096" s="82"/>
      <c r="P4096" s="82"/>
      <c r="Q4096" s="82"/>
      <c r="R4096" s="82"/>
      <c r="S4096" s="82"/>
      <c r="T4096" s="82"/>
      <c r="U4096" s="82"/>
      <c r="V4096" s="82"/>
      <c r="W4096" s="82"/>
      <c r="X4096" s="82"/>
      <c r="Y4096" s="82"/>
      <c r="Z4096" s="82"/>
      <c r="AA4096" s="82"/>
      <c r="AB4096" s="82"/>
      <c r="AC4096" s="82"/>
      <c r="AD4096" s="82"/>
      <c r="AE4096" s="82"/>
      <c r="AF4096" s="82"/>
      <c r="AG4096" s="82"/>
      <c r="AH4096" s="82"/>
      <c r="AI4096" s="82"/>
      <c r="AJ4096" s="82"/>
      <c r="AK4096" s="82"/>
      <c r="AL4096" s="82"/>
      <c r="AM4096" s="82"/>
      <c r="AN4096" s="82">
        <f>IFERROR(__xludf.DUMMYFUNCTION("""COMPUTED_VALUE"""),0.0)</f>
        <v>0</v>
      </c>
      <c r="AO4096" s="82">
        <f>IFERROR(__xludf.DUMMYFUNCTION("""COMPUTED_VALUE"""),0.0)</f>
        <v>0</v>
      </c>
      <c r="AP4096" s="82">
        <f>IFERROR(__xludf.DUMMYFUNCTION("""COMPUTED_VALUE"""),0.0)</f>
        <v>0</v>
      </c>
      <c r="AQ4096" s="82">
        <f>IFERROR(__xludf.DUMMYFUNCTION("""COMPUTED_VALUE"""),0.0)</f>
        <v>0</v>
      </c>
      <c r="AR4096" s="82">
        <f>IFERROR(__xludf.DUMMYFUNCTION("""COMPUTED_VALUE"""),0.0)</f>
        <v>0</v>
      </c>
      <c r="AS4096" s="82"/>
      <c r="AT4096" s="82">
        <f>IFERROR(__xludf.DUMMYFUNCTION("""COMPUTED_VALUE"""),0.0)</f>
        <v>0</v>
      </c>
      <c r="AU4096" s="82"/>
      <c r="AV4096" s="82"/>
      <c r="AW4096" s="82" t="str">
        <f t="shared" si="1"/>
        <v/>
      </c>
      <c r="AX4096" s="83" t="str">
        <f t="array" ref="AX4096">IFERROR(DGET('SBV Import'!A:G,"SBV",{"RSC ID","Tier";B4096,A4096}))</f>
        <v/>
      </c>
      <c r="AY4096" s="82" t="str">
        <f t="shared" si="2"/>
        <v/>
      </c>
      <c r="AZ4096" s="82"/>
      <c r="BA4096" s="84" t="s">
        <v>152</v>
      </c>
      <c r="BB4096" s="84" t="str">
        <f>IFERROR(__xludf.DUMMYFUNCTION("iferror(if(A4096="""",,E4096&gt;=FILTER(Constants!$F$2:$F$10,Constants!$A$2:$A$10=A4096)))"),"")</f>
        <v/>
      </c>
    </row>
    <row r="4097">
      <c r="A4097" s="89"/>
      <c r="B4097" s="87"/>
      <c r="C4097" s="73"/>
      <c r="D4097" s="73"/>
      <c r="E4097" s="82"/>
      <c r="F4097" s="82"/>
      <c r="G4097" s="86"/>
      <c r="H4097" s="86"/>
      <c r="I4097" s="86"/>
      <c r="J4097" s="82"/>
      <c r="K4097" s="82"/>
      <c r="L4097" s="82"/>
      <c r="M4097" s="82"/>
      <c r="N4097" s="82"/>
      <c r="O4097" s="82"/>
      <c r="P4097" s="82"/>
      <c r="Q4097" s="82"/>
      <c r="R4097" s="82"/>
      <c r="S4097" s="82"/>
      <c r="T4097" s="82"/>
      <c r="U4097" s="82"/>
      <c r="V4097" s="82"/>
      <c r="W4097" s="82"/>
      <c r="X4097" s="82"/>
      <c r="Y4097" s="82"/>
      <c r="Z4097" s="82"/>
      <c r="AA4097" s="82"/>
      <c r="AB4097" s="82"/>
      <c r="AC4097" s="82"/>
      <c r="AD4097" s="82"/>
      <c r="AE4097" s="82"/>
      <c r="AF4097" s="82"/>
      <c r="AG4097" s="82"/>
      <c r="AH4097" s="82"/>
      <c r="AI4097" s="82"/>
      <c r="AJ4097" s="82"/>
      <c r="AK4097" s="82"/>
      <c r="AL4097" s="82"/>
      <c r="AM4097" s="82"/>
      <c r="AN4097" s="82">
        <f>IFERROR(__xludf.DUMMYFUNCTION("""COMPUTED_VALUE"""),0.0)</f>
        <v>0</v>
      </c>
      <c r="AO4097" s="82">
        <f>IFERROR(__xludf.DUMMYFUNCTION("""COMPUTED_VALUE"""),0.0)</f>
        <v>0</v>
      </c>
      <c r="AP4097" s="82">
        <f>IFERROR(__xludf.DUMMYFUNCTION("""COMPUTED_VALUE"""),0.0)</f>
        <v>0</v>
      </c>
      <c r="AQ4097" s="82">
        <f>IFERROR(__xludf.DUMMYFUNCTION("""COMPUTED_VALUE"""),0.0)</f>
        <v>0</v>
      </c>
      <c r="AR4097" s="82">
        <f>IFERROR(__xludf.DUMMYFUNCTION("""COMPUTED_VALUE"""),0.0)</f>
        <v>0</v>
      </c>
      <c r="AS4097" s="82"/>
      <c r="AT4097" s="82">
        <f>IFERROR(__xludf.DUMMYFUNCTION("""COMPUTED_VALUE"""),0.0)</f>
        <v>0</v>
      </c>
      <c r="AU4097" s="82"/>
      <c r="AV4097" s="82"/>
      <c r="AW4097" s="82" t="str">
        <f t="shared" si="1"/>
        <v/>
      </c>
      <c r="AX4097" s="83" t="str">
        <f t="array" ref="AX4097">IFERROR(DGET('SBV Import'!A:G,"SBV",{"RSC ID","Tier";B4097,A4097}))</f>
        <v/>
      </c>
      <c r="AY4097" s="82" t="str">
        <f t="shared" si="2"/>
        <v/>
      </c>
      <c r="AZ4097" s="82"/>
      <c r="BA4097" s="84" t="s">
        <v>152</v>
      </c>
      <c r="BB4097" s="84" t="str">
        <f>IFERROR(__xludf.DUMMYFUNCTION("iferror(if(A4097="""",,E4097&gt;=FILTER(Constants!$F$2:$F$10,Constants!$A$2:$A$10=A4097)))"),"")</f>
        <v/>
      </c>
    </row>
    <row r="4098">
      <c r="A4098" s="89"/>
      <c r="B4098" s="87"/>
      <c r="C4098" s="73"/>
      <c r="D4098" s="73"/>
      <c r="E4098" s="82"/>
      <c r="F4098" s="82"/>
      <c r="G4098" s="86"/>
      <c r="H4098" s="86"/>
      <c r="I4098" s="86"/>
      <c r="J4098" s="82"/>
      <c r="K4098" s="82"/>
      <c r="L4098" s="82"/>
      <c r="M4098" s="82"/>
      <c r="N4098" s="82"/>
      <c r="O4098" s="82"/>
      <c r="P4098" s="82"/>
      <c r="Q4098" s="82"/>
      <c r="R4098" s="82"/>
      <c r="S4098" s="82"/>
      <c r="T4098" s="82"/>
      <c r="U4098" s="82"/>
      <c r="V4098" s="82"/>
      <c r="W4098" s="82"/>
      <c r="X4098" s="82"/>
      <c r="Y4098" s="82"/>
      <c r="Z4098" s="82"/>
      <c r="AA4098" s="82"/>
      <c r="AB4098" s="82"/>
      <c r="AC4098" s="82"/>
      <c r="AD4098" s="82"/>
      <c r="AE4098" s="82"/>
      <c r="AF4098" s="82"/>
      <c r="AG4098" s="82"/>
      <c r="AH4098" s="82"/>
      <c r="AI4098" s="82"/>
      <c r="AJ4098" s="82"/>
      <c r="AK4098" s="82"/>
      <c r="AL4098" s="82"/>
      <c r="AM4098" s="82"/>
      <c r="AN4098" s="82">
        <f>IFERROR(__xludf.DUMMYFUNCTION("""COMPUTED_VALUE"""),0.0)</f>
        <v>0</v>
      </c>
      <c r="AO4098" s="82">
        <f>IFERROR(__xludf.DUMMYFUNCTION("""COMPUTED_VALUE"""),0.0)</f>
        <v>0</v>
      </c>
      <c r="AP4098" s="82">
        <f>IFERROR(__xludf.DUMMYFUNCTION("""COMPUTED_VALUE"""),0.0)</f>
        <v>0</v>
      </c>
      <c r="AQ4098" s="82">
        <f>IFERROR(__xludf.DUMMYFUNCTION("""COMPUTED_VALUE"""),0.0)</f>
        <v>0</v>
      </c>
      <c r="AR4098" s="82">
        <f>IFERROR(__xludf.DUMMYFUNCTION("""COMPUTED_VALUE"""),0.0)</f>
        <v>0</v>
      </c>
      <c r="AS4098" s="82"/>
      <c r="AT4098" s="82">
        <f>IFERROR(__xludf.DUMMYFUNCTION("""COMPUTED_VALUE"""),0.0)</f>
        <v>0</v>
      </c>
      <c r="AU4098" s="82"/>
      <c r="AV4098" s="82"/>
      <c r="AW4098" s="82" t="str">
        <f t="shared" si="1"/>
        <v/>
      </c>
      <c r="AX4098" s="83" t="str">
        <f t="array" ref="AX4098">IFERROR(DGET('SBV Import'!A:G,"SBV",{"RSC ID","Tier";B4098,A4098}))</f>
        <v/>
      </c>
      <c r="AY4098" s="82" t="str">
        <f t="shared" si="2"/>
        <v/>
      </c>
      <c r="AZ4098" s="82"/>
      <c r="BA4098" s="84" t="s">
        <v>152</v>
      </c>
      <c r="BB4098" s="84" t="str">
        <f>IFERROR(__xludf.DUMMYFUNCTION("iferror(if(A4098="""",,E4098&gt;=FILTER(Constants!$F$2:$F$10,Constants!$A$2:$A$10=A4098)))"),"")</f>
        <v/>
      </c>
    </row>
    <row r="4099">
      <c r="A4099" s="89"/>
      <c r="B4099" s="87"/>
      <c r="C4099" s="73"/>
      <c r="D4099" s="73"/>
      <c r="E4099" s="82"/>
      <c r="F4099" s="82"/>
      <c r="G4099" s="86"/>
      <c r="H4099" s="86"/>
      <c r="I4099" s="86"/>
      <c r="J4099" s="82"/>
      <c r="K4099" s="82"/>
      <c r="L4099" s="82"/>
      <c r="M4099" s="82"/>
      <c r="N4099" s="82"/>
      <c r="O4099" s="82"/>
      <c r="P4099" s="82"/>
      <c r="Q4099" s="82"/>
      <c r="R4099" s="82"/>
      <c r="S4099" s="82"/>
      <c r="T4099" s="82"/>
      <c r="U4099" s="82"/>
      <c r="V4099" s="82"/>
      <c r="W4099" s="82"/>
      <c r="X4099" s="82"/>
      <c r="Y4099" s="82"/>
      <c r="Z4099" s="82"/>
      <c r="AA4099" s="82"/>
      <c r="AB4099" s="82"/>
      <c r="AC4099" s="82"/>
      <c r="AD4099" s="82"/>
      <c r="AE4099" s="82"/>
      <c r="AF4099" s="82"/>
      <c r="AG4099" s="82"/>
      <c r="AH4099" s="82"/>
      <c r="AI4099" s="82"/>
      <c r="AJ4099" s="82"/>
      <c r="AK4099" s="82"/>
      <c r="AL4099" s="82"/>
      <c r="AM4099" s="82"/>
      <c r="AN4099" s="82">
        <f>IFERROR(__xludf.DUMMYFUNCTION("""COMPUTED_VALUE"""),0.0)</f>
        <v>0</v>
      </c>
      <c r="AO4099" s="82">
        <f>IFERROR(__xludf.DUMMYFUNCTION("""COMPUTED_VALUE"""),0.0)</f>
        <v>0</v>
      </c>
      <c r="AP4099" s="82">
        <f>IFERROR(__xludf.DUMMYFUNCTION("""COMPUTED_VALUE"""),0.0)</f>
        <v>0</v>
      </c>
      <c r="AQ4099" s="82">
        <f>IFERROR(__xludf.DUMMYFUNCTION("""COMPUTED_VALUE"""),0.0)</f>
        <v>0</v>
      </c>
      <c r="AR4099" s="82">
        <f>IFERROR(__xludf.DUMMYFUNCTION("""COMPUTED_VALUE"""),0.0)</f>
        <v>0</v>
      </c>
      <c r="AS4099" s="82"/>
      <c r="AT4099" s="82">
        <f>IFERROR(__xludf.DUMMYFUNCTION("""COMPUTED_VALUE"""),0.0)</f>
        <v>0</v>
      </c>
      <c r="AU4099" s="82"/>
      <c r="AV4099" s="82"/>
      <c r="AW4099" s="82" t="str">
        <f t="shared" si="1"/>
        <v/>
      </c>
      <c r="AX4099" s="83" t="str">
        <f t="array" ref="AX4099">IFERROR(DGET('SBV Import'!A:G,"SBV",{"RSC ID","Tier";B4099,A4099}))</f>
        <v/>
      </c>
      <c r="AY4099" s="82" t="str">
        <f t="shared" si="2"/>
        <v/>
      </c>
      <c r="AZ4099" s="82"/>
      <c r="BA4099" s="84" t="s">
        <v>152</v>
      </c>
      <c r="BB4099" s="84" t="str">
        <f>IFERROR(__xludf.DUMMYFUNCTION("iferror(if(A4099="""",,E4099&gt;=FILTER(Constants!$F$2:$F$10,Constants!$A$2:$A$10=A4099)))"),"")</f>
        <v/>
      </c>
    </row>
    <row r="4100">
      <c r="A4100" s="89"/>
      <c r="B4100" s="87"/>
      <c r="C4100" s="73"/>
      <c r="D4100" s="73"/>
      <c r="E4100" s="82"/>
      <c r="F4100" s="82"/>
      <c r="G4100" s="86"/>
      <c r="H4100" s="86"/>
      <c r="I4100" s="86"/>
      <c r="J4100" s="82"/>
      <c r="K4100" s="82"/>
      <c r="L4100" s="82"/>
      <c r="M4100" s="82"/>
      <c r="N4100" s="82"/>
      <c r="O4100" s="82"/>
      <c r="P4100" s="82"/>
      <c r="Q4100" s="82"/>
      <c r="R4100" s="82"/>
      <c r="S4100" s="82"/>
      <c r="T4100" s="82"/>
      <c r="U4100" s="82"/>
      <c r="V4100" s="82"/>
      <c r="W4100" s="82"/>
      <c r="X4100" s="82"/>
      <c r="Y4100" s="82"/>
      <c r="Z4100" s="82"/>
      <c r="AA4100" s="82"/>
      <c r="AB4100" s="82"/>
      <c r="AC4100" s="82"/>
      <c r="AD4100" s="82"/>
      <c r="AE4100" s="82"/>
      <c r="AF4100" s="82"/>
      <c r="AG4100" s="82"/>
      <c r="AH4100" s="82"/>
      <c r="AI4100" s="82"/>
      <c r="AJ4100" s="82"/>
      <c r="AK4100" s="82"/>
      <c r="AL4100" s="82"/>
      <c r="AM4100" s="82"/>
      <c r="AN4100" s="82">
        <f>IFERROR(__xludf.DUMMYFUNCTION("""COMPUTED_VALUE"""),0.0)</f>
        <v>0</v>
      </c>
      <c r="AO4100" s="82">
        <f>IFERROR(__xludf.DUMMYFUNCTION("""COMPUTED_VALUE"""),0.0)</f>
        <v>0</v>
      </c>
      <c r="AP4100" s="82">
        <f>IFERROR(__xludf.DUMMYFUNCTION("""COMPUTED_VALUE"""),0.0)</f>
        <v>0</v>
      </c>
      <c r="AQ4100" s="82">
        <f>IFERROR(__xludf.DUMMYFUNCTION("""COMPUTED_VALUE"""),0.0)</f>
        <v>0</v>
      </c>
      <c r="AR4100" s="82">
        <f>IFERROR(__xludf.DUMMYFUNCTION("""COMPUTED_VALUE"""),0.0)</f>
        <v>0</v>
      </c>
      <c r="AS4100" s="82"/>
      <c r="AT4100" s="82">
        <f>IFERROR(__xludf.DUMMYFUNCTION("""COMPUTED_VALUE"""),0.0)</f>
        <v>0</v>
      </c>
      <c r="AU4100" s="82"/>
      <c r="AV4100" s="82"/>
      <c r="AW4100" s="82" t="str">
        <f t="shared" si="1"/>
        <v/>
      </c>
      <c r="AX4100" s="83" t="str">
        <f t="array" ref="AX4100">IFERROR(DGET('SBV Import'!A:G,"SBV",{"RSC ID","Tier";B4100,A4100}))</f>
        <v/>
      </c>
      <c r="AY4100" s="82" t="str">
        <f t="shared" si="2"/>
        <v/>
      </c>
      <c r="AZ4100" s="82"/>
      <c r="BA4100" s="84" t="s">
        <v>152</v>
      </c>
      <c r="BB4100" s="84" t="str">
        <f>IFERROR(__xludf.DUMMYFUNCTION("iferror(if(A4100="""",,E4100&gt;=FILTER(Constants!$F$2:$F$10,Constants!$A$2:$A$10=A4100)))"),"")</f>
        <v/>
      </c>
    </row>
    <row r="4101">
      <c r="A4101" s="89"/>
      <c r="B4101" s="87"/>
      <c r="C4101" s="73"/>
      <c r="D4101" s="73"/>
      <c r="E4101" s="82"/>
      <c r="F4101" s="82"/>
      <c r="G4101" s="86"/>
      <c r="H4101" s="86"/>
      <c r="I4101" s="86"/>
      <c r="J4101" s="82"/>
      <c r="K4101" s="82"/>
      <c r="L4101" s="82"/>
      <c r="M4101" s="82"/>
      <c r="N4101" s="82"/>
      <c r="O4101" s="82"/>
      <c r="P4101" s="82"/>
      <c r="Q4101" s="82"/>
      <c r="R4101" s="82"/>
      <c r="S4101" s="82"/>
      <c r="T4101" s="82"/>
      <c r="U4101" s="82"/>
      <c r="V4101" s="82"/>
      <c r="W4101" s="82"/>
      <c r="X4101" s="82"/>
      <c r="Y4101" s="82"/>
      <c r="Z4101" s="82"/>
      <c r="AA4101" s="82"/>
      <c r="AB4101" s="82"/>
      <c r="AC4101" s="82"/>
      <c r="AD4101" s="82"/>
      <c r="AE4101" s="82"/>
      <c r="AF4101" s="82"/>
      <c r="AG4101" s="82"/>
      <c r="AH4101" s="82"/>
      <c r="AI4101" s="82"/>
      <c r="AJ4101" s="82"/>
      <c r="AK4101" s="82"/>
      <c r="AL4101" s="82"/>
      <c r="AM4101" s="82"/>
      <c r="AN4101" s="82">
        <f>IFERROR(__xludf.DUMMYFUNCTION("""COMPUTED_VALUE"""),0.0)</f>
        <v>0</v>
      </c>
      <c r="AO4101" s="82">
        <f>IFERROR(__xludf.DUMMYFUNCTION("""COMPUTED_VALUE"""),0.0)</f>
        <v>0</v>
      </c>
      <c r="AP4101" s="82">
        <f>IFERROR(__xludf.DUMMYFUNCTION("""COMPUTED_VALUE"""),0.0)</f>
        <v>0</v>
      </c>
      <c r="AQ4101" s="82">
        <f>IFERROR(__xludf.DUMMYFUNCTION("""COMPUTED_VALUE"""),0.0)</f>
        <v>0</v>
      </c>
      <c r="AR4101" s="82">
        <f>IFERROR(__xludf.DUMMYFUNCTION("""COMPUTED_VALUE"""),0.0)</f>
        <v>0</v>
      </c>
      <c r="AS4101" s="82"/>
      <c r="AT4101" s="82">
        <f>IFERROR(__xludf.DUMMYFUNCTION("""COMPUTED_VALUE"""),0.0)</f>
        <v>0</v>
      </c>
      <c r="AU4101" s="82"/>
      <c r="AV4101" s="82"/>
      <c r="AW4101" s="82" t="str">
        <f t="shared" si="1"/>
        <v/>
      </c>
      <c r="AX4101" s="83" t="str">
        <f t="array" ref="AX4101">IFERROR(DGET('SBV Import'!A:G,"SBV",{"RSC ID","Tier";B4101,A4101}))</f>
        <v/>
      </c>
      <c r="AY4101" s="82" t="str">
        <f t="shared" si="2"/>
        <v/>
      </c>
      <c r="AZ4101" s="82"/>
      <c r="BA4101" s="84" t="s">
        <v>152</v>
      </c>
      <c r="BB4101" s="84" t="str">
        <f>IFERROR(__xludf.DUMMYFUNCTION("iferror(if(A4101="""",,E4101&gt;=FILTER(Constants!$F$2:$F$10,Constants!$A$2:$A$10=A4101)))"),"")</f>
        <v/>
      </c>
    </row>
    <row r="4102">
      <c r="A4102" s="89"/>
      <c r="B4102" s="87"/>
      <c r="C4102" s="73"/>
      <c r="D4102" s="73"/>
      <c r="E4102" s="82"/>
      <c r="F4102" s="82"/>
      <c r="G4102" s="86"/>
      <c r="H4102" s="86"/>
      <c r="I4102" s="86"/>
      <c r="J4102" s="82"/>
      <c r="K4102" s="82"/>
      <c r="L4102" s="82"/>
      <c r="M4102" s="82"/>
      <c r="N4102" s="82"/>
      <c r="O4102" s="82"/>
      <c r="P4102" s="82"/>
      <c r="Q4102" s="82"/>
      <c r="R4102" s="82"/>
      <c r="S4102" s="82"/>
      <c r="T4102" s="82"/>
      <c r="U4102" s="82"/>
      <c r="V4102" s="82"/>
      <c r="W4102" s="82"/>
      <c r="X4102" s="82"/>
      <c r="Y4102" s="82"/>
      <c r="Z4102" s="82"/>
      <c r="AA4102" s="82"/>
      <c r="AB4102" s="82"/>
      <c r="AC4102" s="82"/>
      <c r="AD4102" s="82"/>
      <c r="AE4102" s="82"/>
      <c r="AF4102" s="82"/>
      <c r="AG4102" s="82"/>
      <c r="AH4102" s="82"/>
      <c r="AI4102" s="82"/>
      <c r="AJ4102" s="82"/>
      <c r="AK4102" s="82"/>
      <c r="AL4102" s="82"/>
      <c r="AM4102" s="82"/>
      <c r="AN4102" s="82">
        <f>IFERROR(__xludf.DUMMYFUNCTION("""COMPUTED_VALUE"""),0.0)</f>
        <v>0</v>
      </c>
      <c r="AO4102" s="82">
        <f>IFERROR(__xludf.DUMMYFUNCTION("""COMPUTED_VALUE"""),0.0)</f>
        <v>0</v>
      </c>
      <c r="AP4102" s="82">
        <f>IFERROR(__xludf.DUMMYFUNCTION("""COMPUTED_VALUE"""),0.0)</f>
        <v>0</v>
      </c>
      <c r="AQ4102" s="82">
        <f>IFERROR(__xludf.DUMMYFUNCTION("""COMPUTED_VALUE"""),0.0)</f>
        <v>0</v>
      </c>
      <c r="AR4102" s="82">
        <f>IFERROR(__xludf.DUMMYFUNCTION("""COMPUTED_VALUE"""),0.0)</f>
        <v>0</v>
      </c>
      <c r="AS4102" s="82"/>
      <c r="AT4102" s="82">
        <f>IFERROR(__xludf.DUMMYFUNCTION("""COMPUTED_VALUE"""),0.0)</f>
        <v>0</v>
      </c>
      <c r="AU4102" s="82"/>
      <c r="AV4102" s="82"/>
      <c r="AW4102" s="82" t="str">
        <f t="shared" si="1"/>
        <v/>
      </c>
      <c r="AX4102" s="83" t="str">
        <f t="array" ref="AX4102">IFERROR(DGET('SBV Import'!A:G,"SBV",{"RSC ID","Tier";B4102,A4102}))</f>
        <v/>
      </c>
      <c r="AY4102" s="82" t="str">
        <f t="shared" si="2"/>
        <v/>
      </c>
      <c r="AZ4102" s="82"/>
      <c r="BA4102" s="84" t="s">
        <v>152</v>
      </c>
      <c r="BB4102" s="84" t="str">
        <f>IFERROR(__xludf.DUMMYFUNCTION("iferror(if(A4102="""",,E4102&gt;=FILTER(Constants!$F$2:$F$10,Constants!$A$2:$A$10=A4102)))"),"")</f>
        <v/>
      </c>
    </row>
    <row r="4103">
      <c r="A4103" s="89"/>
      <c r="B4103" s="87"/>
      <c r="C4103" s="73"/>
      <c r="D4103" s="73"/>
      <c r="E4103" s="82"/>
      <c r="F4103" s="82"/>
      <c r="G4103" s="86"/>
      <c r="H4103" s="86"/>
      <c r="I4103" s="86"/>
      <c r="J4103" s="82"/>
      <c r="K4103" s="82"/>
      <c r="L4103" s="82"/>
      <c r="M4103" s="82"/>
      <c r="N4103" s="82"/>
      <c r="O4103" s="82"/>
      <c r="P4103" s="82"/>
      <c r="Q4103" s="82"/>
      <c r="R4103" s="82"/>
      <c r="S4103" s="82"/>
      <c r="T4103" s="82"/>
      <c r="U4103" s="82"/>
      <c r="V4103" s="82"/>
      <c r="W4103" s="82"/>
      <c r="X4103" s="82"/>
      <c r="Y4103" s="82"/>
      <c r="Z4103" s="82"/>
      <c r="AA4103" s="82"/>
      <c r="AB4103" s="82"/>
      <c r="AC4103" s="82"/>
      <c r="AD4103" s="82"/>
      <c r="AE4103" s="82"/>
      <c r="AF4103" s="82"/>
      <c r="AG4103" s="82"/>
      <c r="AH4103" s="82"/>
      <c r="AI4103" s="82"/>
      <c r="AJ4103" s="82"/>
      <c r="AK4103" s="82"/>
      <c r="AL4103" s="82"/>
      <c r="AM4103" s="82"/>
      <c r="AN4103" s="82">
        <f>IFERROR(__xludf.DUMMYFUNCTION("""COMPUTED_VALUE"""),0.0)</f>
        <v>0</v>
      </c>
      <c r="AO4103" s="82">
        <f>IFERROR(__xludf.DUMMYFUNCTION("""COMPUTED_VALUE"""),0.0)</f>
        <v>0</v>
      </c>
      <c r="AP4103" s="82">
        <f>IFERROR(__xludf.DUMMYFUNCTION("""COMPUTED_VALUE"""),0.0)</f>
        <v>0</v>
      </c>
      <c r="AQ4103" s="82">
        <f>IFERROR(__xludf.DUMMYFUNCTION("""COMPUTED_VALUE"""),0.0)</f>
        <v>0</v>
      </c>
      <c r="AR4103" s="82">
        <f>IFERROR(__xludf.DUMMYFUNCTION("""COMPUTED_VALUE"""),0.0)</f>
        <v>0</v>
      </c>
      <c r="AS4103" s="82"/>
      <c r="AT4103" s="82">
        <f>IFERROR(__xludf.DUMMYFUNCTION("""COMPUTED_VALUE"""),0.0)</f>
        <v>0</v>
      </c>
      <c r="AU4103" s="82"/>
      <c r="AV4103" s="82"/>
      <c r="AW4103" s="82" t="str">
        <f t="shared" si="1"/>
        <v/>
      </c>
      <c r="AX4103" s="83" t="str">
        <f t="array" ref="AX4103">IFERROR(DGET('SBV Import'!A:G,"SBV",{"RSC ID","Tier";B4103,A4103}))</f>
        <v/>
      </c>
      <c r="AY4103" s="82" t="str">
        <f t="shared" si="2"/>
        <v/>
      </c>
      <c r="AZ4103" s="82"/>
      <c r="BA4103" s="84" t="s">
        <v>152</v>
      </c>
      <c r="BB4103" s="84" t="str">
        <f>IFERROR(__xludf.DUMMYFUNCTION("iferror(if(A4103="""",,E4103&gt;=FILTER(Constants!$F$2:$F$10,Constants!$A$2:$A$10=A4103)))"),"")</f>
        <v/>
      </c>
    </row>
    <row r="4104">
      <c r="A4104" s="89"/>
      <c r="B4104" s="87"/>
      <c r="C4104" s="73"/>
      <c r="D4104" s="73"/>
      <c r="E4104" s="82"/>
      <c r="F4104" s="82"/>
      <c r="G4104" s="86"/>
      <c r="H4104" s="86"/>
      <c r="I4104" s="86"/>
      <c r="J4104" s="82"/>
      <c r="K4104" s="82"/>
      <c r="L4104" s="82"/>
      <c r="M4104" s="82"/>
      <c r="N4104" s="82"/>
      <c r="O4104" s="82"/>
      <c r="P4104" s="82"/>
      <c r="Q4104" s="82"/>
      <c r="R4104" s="82"/>
      <c r="S4104" s="82"/>
      <c r="T4104" s="82"/>
      <c r="U4104" s="82"/>
      <c r="V4104" s="82"/>
      <c r="W4104" s="82"/>
      <c r="X4104" s="82"/>
      <c r="Y4104" s="82"/>
      <c r="Z4104" s="82"/>
      <c r="AA4104" s="82"/>
      <c r="AB4104" s="82"/>
      <c r="AC4104" s="82"/>
      <c r="AD4104" s="82"/>
      <c r="AE4104" s="82"/>
      <c r="AF4104" s="82"/>
      <c r="AG4104" s="82"/>
      <c r="AH4104" s="82"/>
      <c r="AI4104" s="82"/>
      <c r="AJ4104" s="82"/>
      <c r="AK4104" s="82"/>
      <c r="AL4104" s="82"/>
      <c r="AM4104" s="82"/>
      <c r="AN4104" s="82">
        <f>IFERROR(__xludf.DUMMYFUNCTION("""COMPUTED_VALUE"""),0.0)</f>
        <v>0</v>
      </c>
      <c r="AO4104" s="82">
        <f>IFERROR(__xludf.DUMMYFUNCTION("""COMPUTED_VALUE"""),0.0)</f>
        <v>0</v>
      </c>
      <c r="AP4104" s="82">
        <f>IFERROR(__xludf.DUMMYFUNCTION("""COMPUTED_VALUE"""),0.0)</f>
        <v>0</v>
      </c>
      <c r="AQ4104" s="82">
        <f>IFERROR(__xludf.DUMMYFUNCTION("""COMPUTED_VALUE"""),0.0)</f>
        <v>0</v>
      </c>
      <c r="AR4104" s="82">
        <f>IFERROR(__xludf.DUMMYFUNCTION("""COMPUTED_VALUE"""),0.0)</f>
        <v>0</v>
      </c>
      <c r="AS4104" s="82"/>
      <c r="AT4104" s="82">
        <f>IFERROR(__xludf.DUMMYFUNCTION("""COMPUTED_VALUE"""),0.0)</f>
        <v>0</v>
      </c>
      <c r="AU4104" s="82"/>
      <c r="AV4104" s="82"/>
      <c r="AW4104" s="82" t="str">
        <f t="shared" si="1"/>
        <v/>
      </c>
      <c r="AX4104" s="83" t="str">
        <f t="array" ref="AX4104">IFERROR(DGET('SBV Import'!A:G,"SBV",{"RSC ID","Tier";B4104,A4104}))</f>
        <v/>
      </c>
      <c r="AY4104" s="82" t="str">
        <f t="shared" si="2"/>
        <v/>
      </c>
      <c r="AZ4104" s="82"/>
      <c r="BA4104" s="84" t="s">
        <v>152</v>
      </c>
      <c r="BB4104" s="84" t="str">
        <f>IFERROR(__xludf.DUMMYFUNCTION("iferror(if(A4104="""",,E4104&gt;=FILTER(Constants!$F$2:$F$10,Constants!$A$2:$A$10=A4104)))"),"")</f>
        <v/>
      </c>
    </row>
    <row r="4105">
      <c r="A4105" s="89"/>
      <c r="B4105" s="87"/>
      <c r="C4105" s="73"/>
      <c r="D4105" s="73"/>
      <c r="E4105" s="82"/>
      <c r="F4105" s="82"/>
      <c r="G4105" s="86"/>
      <c r="H4105" s="86"/>
      <c r="I4105" s="86"/>
      <c r="J4105" s="82"/>
      <c r="K4105" s="82"/>
      <c r="L4105" s="82"/>
      <c r="M4105" s="82"/>
      <c r="N4105" s="82"/>
      <c r="O4105" s="82"/>
      <c r="P4105" s="82"/>
      <c r="Q4105" s="82"/>
      <c r="R4105" s="82"/>
      <c r="S4105" s="82"/>
      <c r="T4105" s="82"/>
      <c r="U4105" s="82"/>
      <c r="V4105" s="82"/>
      <c r="W4105" s="82"/>
      <c r="X4105" s="82"/>
      <c r="Y4105" s="82"/>
      <c r="Z4105" s="82"/>
      <c r="AA4105" s="82"/>
      <c r="AB4105" s="82"/>
      <c r="AC4105" s="82"/>
      <c r="AD4105" s="82"/>
      <c r="AE4105" s="82"/>
      <c r="AF4105" s="82"/>
      <c r="AG4105" s="82"/>
      <c r="AH4105" s="82"/>
      <c r="AI4105" s="82"/>
      <c r="AJ4105" s="82"/>
      <c r="AK4105" s="82"/>
      <c r="AL4105" s="82"/>
      <c r="AM4105" s="82"/>
      <c r="AN4105" s="82">
        <f>IFERROR(__xludf.DUMMYFUNCTION("""COMPUTED_VALUE"""),0.0)</f>
        <v>0</v>
      </c>
      <c r="AO4105" s="82">
        <f>IFERROR(__xludf.DUMMYFUNCTION("""COMPUTED_VALUE"""),0.0)</f>
        <v>0</v>
      </c>
      <c r="AP4105" s="82">
        <f>IFERROR(__xludf.DUMMYFUNCTION("""COMPUTED_VALUE"""),0.0)</f>
        <v>0</v>
      </c>
      <c r="AQ4105" s="82">
        <f>IFERROR(__xludf.DUMMYFUNCTION("""COMPUTED_VALUE"""),0.0)</f>
        <v>0</v>
      </c>
      <c r="AR4105" s="82">
        <f>IFERROR(__xludf.DUMMYFUNCTION("""COMPUTED_VALUE"""),0.0)</f>
        <v>0</v>
      </c>
      <c r="AS4105" s="82"/>
      <c r="AT4105" s="82">
        <f>IFERROR(__xludf.DUMMYFUNCTION("""COMPUTED_VALUE"""),0.0)</f>
        <v>0</v>
      </c>
      <c r="AU4105" s="82"/>
      <c r="AV4105" s="82"/>
      <c r="AW4105" s="82" t="str">
        <f t="shared" si="1"/>
        <v/>
      </c>
      <c r="AX4105" s="83" t="str">
        <f t="array" ref="AX4105">IFERROR(DGET('SBV Import'!A:G,"SBV",{"RSC ID","Tier";B4105,A4105}))</f>
        <v/>
      </c>
      <c r="AY4105" s="82" t="str">
        <f t="shared" si="2"/>
        <v/>
      </c>
      <c r="AZ4105" s="82"/>
      <c r="BA4105" s="84" t="s">
        <v>152</v>
      </c>
      <c r="BB4105" s="84" t="str">
        <f>IFERROR(__xludf.DUMMYFUNCTION("iferror(if(A4105="""",,E4105&gt;=FILTER(Constants!$F$2:$F$10,Constants!$A$2:$A$10=A4105)))"),"")</f>
        <v/>
      </c>
    </row>
    <row r="4106">
      <c r="A4106" s="89"/>
      <c r="B4106" s="87"/>
      <c r="C4106" s="73"/>
      <c r="D4106" s="73"/>
      <c r="E4106" s="82"/>
      <c r="F4106" s="82"/>
      <c r="G4106" s="86"/>
      <c r="H4106" s="86"/>
      <c r="I4106" s="86"/>
      <c r="J4106" s="82"/>
      <c r="K4106" s="82"/>
      <c r="L4106" s="82"/>
      <c r="M4106" s="82"/>
      <c r="N4106" s="82"/>
      <c r="O4106" s="82"/>
      <c r="P4106" s="82"/>
      <c r="Q4106" s="82"/>
      <c r="R4106" s="82"/>
      <c r="S4106" s="82"/>
      <c r="T4106" s="82"/>
      <c r="U4106" s="82"/>
      <c r="V4106" s="82"/>
      <c r="W4106" s="82"/>
      <c r="X4106" s="82"/>
      <c r="Y4106" s="82"/>
      <c r="Z4106" s="82"/>
      <c r="AA4106" s="82"/>
      <c r="AB4106" s="82"/>
      <c r="AC4106" s="82"/>
      <c r="AD4106" s="82"/>
      <c r="AE4106" s="82"/>
      <c r="AF4106" s="82"/>
      <c r="AG4106" s="82"/>
      <c r="AH4106" s="82"/>
      <c r="AI4106" s="82"/>
      <c r="AJ4106" s="82"/>
      <c r="AK4106" s="82"/>
      <c r="AL4106" s="82"/>
      <c r="AM4106" s="82"/>
      <c r="AN4106" s="82">
        <f>IFERROR(__xludf.DUMMYFUNCTION("""COMPUTED_VALUE"""),0.0)</f>
        <v>0</v>
      </c>
      <c r="AO4106" s="82">
        <f>IFERROR(__xludf.DUMMYFUNCTION("""COMPUTED_VALUE"""),0.0)</f>
        <v>0</v>
      </c>
      <c r="AP4106" s="82">
        <f>IFERROR(__xludf.DUMMYFUNCTION("""COMPUTED_VALUE"""),0.0)</f>
        <v>0</v>
      </c>
      <c r="AQ4106" s="82">
        <f>IFERROR(__xludf.DUMMYFUNCTION("""COMPUTED_VALUE"""),0.0)</f>
        <v>0</v>
      </c>
      <c r="AR4106" s="82">
        <f>IFERROR(__xludf.DUMMYFUNCTION("""COMPUTED_VALUE"""),0.0)</f>
        <v>0</v>
      </c>
      <c r="AS4106" s="82"/>
      <c r="AT4106" s="82">
        <f>IFERROR(__xludf.DUMMYFUNCTION("""COMPUTED_VALUE"""),0.0)</f>
        <v>0</v>
      </c>
      <c r="AU4106" s="82"/>
      <c r="AV4106" s="82"/>
      <c r="AW4106" s="82" t="str">
        <f t="shared" si="1"/>
        <v/>
      </c>
      <c r="AX4106" s="83" t="str">
        <f t="array" ref="AX4106">IFERROR(DGET('SBV Import'!A:G,"SBV",{"RSC ID","Tier";B4106,A4106}))</f>
        <v/>
      </c>
      <c r="AY4106" s="82" t="str">
        <f t="shared" si="2"/>
        <v/>
      </c>
      <c r="AZ4106" s="82"/>
      <c r="BA4106" s="84" t="s">
        <v>152</v>
      </c>
      <c r="BB4106" s="84" t="str">
        <f>IFERROR(__xludf.DUMMYFUNCTION("iferror(if(A4106="""",,E4106&gt;=FILTER(Constants!$F$2:$F$10,Constants!$A$2:$A$10=A4106)))"),"")</f>
        <v/>
      </c>
    </row>
    <row r="4107">
      <c r="A4107" s="89"/>
      <c r="B4107" s="87"/>
      <c r="C4107" s="73"/>
      <c r="D4107" s="73"/>
      <c r="E4107" s="82"/>
      <c r="F4107" s="82"/>
      <c r="G4107" s="86"/>
      <c r="H4107" s="86"/>
      <c r="I4107" s="86"/>
      <c r="J4107" s="82"/>
      <c r="K4107" s="82"/>
      <c r="L4107" s="82"/>
      <c r="M4107" s="82"/>
      <c r="N4107" s="82"/>
      <c r="O4107" s="82"/>
      <c r="P4107" s="82"/>
      <c r="Q4107" s="82"/>
      <c r="R4107" s="82"/>
      <c r="S4107" s="82"/>
      <c r="T4107" s="82"/>
      <c r="U4107" s="82"/>
      <c r="V4107" s="82"/>
      <c r="W4107" s="82"/>
      <c r="X4107" s="82"/>
      <c r="Y4107" s="82"/>
      <c r="Z4107" s="82"/>
      <c r="AA4107" s="82"/>
      <c r="AB4107" s="82"/>
      <c r="AC4107" s="82"/>
      <c r="AD4107" s="82"/>
      <c r="AE4107" s="82"/>
      <c r="AF4107" s="82"/>
      <c r="AG4107" s="82"/>
      <c r="AH4107" s="82"/>
      <c r="AI4107" s="82"/>
      <c r="AJ4107" s="82"/>
      <c r="AK4107" s="82"/>
      <c r="AL4107" s="82"/>
      <c r="AM4107" s="82"/>
      <c r="AN4107" s="82">
        <f>IFERROR(__xludf.DUMMYFUNCTION("""COMPUTED_VALUE"""),0.0)</f>
        <v>0</v>
      </c>
      <c r="AO4107" s="82">
        <f>IFERROR(__xludf.DUMMYFUNCTION("""COMPUTED_VALUE"""),0.0)</f>
        <v>0</v>
      </c>
      <c r="AP4107" s="82">
        <f>IFERROR(__xludf.DUMMYFUNCTION("""COMPUTED_VALUE"""),0.0)</f>
        <v>0</v>
      </c>
      <c r="AQ4107" s="82">
        <f>IFERROR(__xludf.DUMMYFUNCTION("""COMPUTED_VALUE"""),0.0)</f>
        <v>0</v>
      </c>
      <c r="AR4107" s="82">
        <f>IFERROR(__xludf.DUMMYFUNCTION("""COMPUTED_VALUE"""),0.0)</f>
        <v>0</v>
      </c>
      <c r="AS4107" s="82"/>
      <c r="AT4107" s="82">
        <f>IFERROR(__xludf.DUMMYFUNCTION("""COMPUTED_VALUE"""),0.0)</f>
        <v>0</v>
      </c>
      <c r="AU4107" s="82"/>
      <c r="AV4107" s="82"/>
      <c r="AW4107" s="82" t="str">
        <f t="shared" si="1"/>
        <v/>
      </c>
      <c r="AX4107" s="83" t="str">
        <f t="array" ref="AX4107">IFERROR(DGET('SBV Import'!A:G,"SBV",{"RSC ID","Tier";B4107,A4107}))</f>
        <v/>
      </c>
      <c r="AY4107" s="82" t="str">
        <f t="shared" si="2"/>
        <v/>
      </c>
      <c r="AZ4107" s="82"/>
      <c r="BA4107" s="84" t="s">
        <v>152</v>
      </c>
      <c r="BB4107" s="84" t="str">
        <f>IFERROR(__xludf.DUMMYFUNCTION("iferror(if(A4107="""",,E4107&gt;=FILTER(Constants!$F$2:$F$10,Constants!$A$2:$A$10=A4107)))"),"")</f>
        <v/>
      </c>
    </row>
    <row r="4108">
      <c r="A4108" s="89"/>
      <c r="B4108" s="87"/>
      <c r="C4108" s="73"/>
      <c r="D4108" s="73"/>
      <c r="E4108" s="82"/>
      <c r="F4108" s="82"/>
      <c r="G4108" s="86"/>
      <c r="H4108" s="86"/>
      <c r="I4108" s="86"/>
      <c r="J4108" s="82"/>
      <c r="K4108" s="82"/>
      <c r="L4108" s="82"/>
      <c r="M4108" s="82"/>
      <c r="N4108" s="82"/>
      <c r="O4108" s="82"/>
      <c r="P4108" s="82"/>
      <c r="Q4108" s="82"/>
      <c r="R4108" s="82"/>
      <c r="S4108" s="82"/>
      <c r="T4108" s="82"/>
      <c r="U4108" s="82"/>
      <c r="V4108" s="82"/>
      <c r="W4108" s="82"/>
      <c r="X4108" s="82"/>
      <c r="Y4108" s="82"/>
      <c r="Z4108" s="82"/>
      <c r="AA4108" s="82"/>
      <c r="AB4108" s="82"/>
      <c r="AC4108" s="82"/>
      <c r="AD4108" s="82"/>
      <c r="AE4108" s="82"/>
      <c r="AF4108" s="82"/>
      <c r="AG4108" s="82"/>
      <c r="AH4108" s="82"/>
      <c r="AI4108" s="82"/>
      <c r="AJ4108" s="82"/>
      <c r="AK4108" s="82"/>
      <c r="AL4108" s="82"/>
      <c r="AM4108" s="82"/>
      <c r="AN4108" s="82">
        <f>IFERROR(__xludf.DUMMYFUNCTION("""COMPUTED_VALUE"""),0.0)</f>
        <v>0</v>
      </c>
      <c r="AO4108" s="82">
        <f>IFERROR(__xludf.DUMMYFUNCTION("""COMPUTED_VALUE"""),0.0)</f>
        <v>0</v>
      </c>
      <c r="AP4108" s="82">
        <f>IFERROR(__xludf.DUMMYFUNCTION("""COMPUTED_VALUE"""),0.0)</f>
        <v>0</v>
      </c>
      <c r="AQ4108" s="82">
        <f>IFERROR(__xludf.DUMMYFUNCTION("""COMPUTED_VALUE"""),0.0)</f>
        <v>0</v>
      </c>
      <c r="AR4108" s="82">
        <f>IFERROR(__xludf.DUMMYFUNCTION("""COMPUTED_VALUE"""),0.0)</f>
        <v>0</v>
      </c>
      <c r="AS4108" s="82"/>
      <c r="AT4108" s="82">
        <f>IFERROR(__xludf.DUMMYFUNCTION("""COMPUTED_VALUE"""),0.0)</f>
        <v>0</v>
      </c>
      <c r="AU4108" s="82"/>
      <c r="AV4108" s="82"/>
      <c r="AW4108" s="82" t="str">
        <f t="shared" si="1"/>
        <v/>
      </c>
      <c r="AX4108" s="83" t="str">
        <f t="array" ref="AX4108">IFERROR(DGET('SBV Import'!A:G,"SBV",{"RSC ID","Tier";B4108,A4108}))</f>
        <v/>
      </c>
      <c r="AY4108" s="82" t="str">
        <f t="shared" si="2"/>
        <v/>
      </c>
      <c r="AZ4108" s="82"/>
      <c r="BA4108" s="84" t="s">
        <v>152</v>
      </c>
      <c r="BB4108" s="84" t="str">
        <f>IFERROR(__xludf.DUMMYFUNCTION("iferror(if(A4108="""",,E4108&gt;=FILTER(Constants!$F$2:$F$10,Constants!$A$2:$A$10=A4108)))"),"")</f>
        <v/>
      </c>
    </row>
    <row r="4109">
      <c r="A4109" s="89"/>
      <c r="B4109" s="87"/>
      <c r="C4109" s="73"/>
      <c r="D4109" s="73"/>
      <c r="E4109" s="82"/>
      <c r="F4109" s="82"/>
      <c r="G4109" s="86"/>
      <c r="H4109" s="86"/>
      <c r="I4109" s="86"/>
      <c r="J4109" s="82"/>
      <c r="K4109" s="82"/>
      <c r="L4109" s="82"/>
      <c r="M4109" s="82"/>
      <c r="N4109" s="82"/>
      <c r="O4109" s="82"/>
      <c r="P4109" s="82"/>
      <c r="Q4109" s="82"/>
      <c r="R4109" s="82"/>
      <c r="S4109" s="82"/>
      <c r="T4109" s="82"/>
      <c r="U4109" s="82"/>
      <c r="V4109" s="82"/>
      <c r="W4109" s="82"/>
      <c r="X4109" s="82"/>
      <c r="Y4109" s="82"/>
      <c r="Z4109" s="82"/>
      <c r="AA4109" s="82"/>
      <c r="AB4109" s="82"/>
      <c r="AC4109" s="82"/>
      <c r="AD4109" s="82"/>
      <c r="AE4109" s="82"/>
      <c r="AF4109" s="82"/>
      <c r="AG4109" s="82"/>
      <c r="AH4109" s="82"/>
      <c r="AI4109" s="82"/>
      <c r="AJ4109" s="82"/>
      <c r="AK4109" s="82"/>
      <c r="AL4109" s="82"/>
      <c r="AM4109" s="82"/>
      <c r="AN4109" s="82">
        <f>IFERROR(__xludf.DUMMYFUNCTION("""COMPUTED_VALUE"""),0.0)</f>
        <v>0</v>
      </c>
      <c r="AO4109" s="82">
        <f>IFERROR(__xludf.DUMMYFUNCTION("""COMPUTED_VALUE"""),0.0)</f>
        <v>0</v>
      </c>
      <c r="AP4109" s="82">
        <f>IFERROR(__xludf.DUMMYFUNCTION("""COMPUTED_VALUE"""),0.0)</f>
        <v>0</v>
      </c>
      <c r="AQ4109" s="82">
        <f>IFERROR(__xludf.DUMMYFUNCTION("""COMPUTED_VALUE"""),0.0)</f>
        <v>0</v>
      </c>
      <c r="AR4109" s="82">
        <f>IFERROR(__xludf.DUMMYFUNCTION("""COMPUTED_VALUE"""),0.0)</f>
        <v>0</v>
      </c>
      <c r="AS4109" s="82"/>
      <c r="AT4109" s="82">
        <f>IFERROR(__xludf.DUMMYFUNCTION("""COMPUTED_VALUE"""),0.0)</f>
        <v>0</v>
      </c>
      <c r="AU4109" s="82"/>
      <c r="AV4109" s="82"/>
      <c r="AW4109" s="82" t="str">
        <f t="shared" si="1"/>
        <v/>
      </c>
      <c r="AX4109" s="83" t="str">
        <f t="array" ref="AX4109">IFERROR(DGET('SBV Import'!A:G,"SBV",{"RSC ID","Tier";B4109,A4109}))</f>
        <v/>
      </c>
      <c r="AY4109" s="82" t="str">
        <f t="shared" si="2"/>
        <v/>
      </c>
      <c r="AZ4109" s="82"/>
      <c r="BA4109" s="84" t="s">
        <v>152</v>
      </c>
      <c r="BB4109" s="84" t="str">
        <f>IFERROR(__xludf.DUMMYFUNCTION("iferror(if(A4109="""",,E4109&gt;=FILTER(Constants!$F$2:$F$10,Constants!$A$2:$A$10=A4109)))"),"")</f>
        <v/>
      </c>
    </row>
    <row r="4110">
      <c r="A4110" s="89"/>
      <c r="B4110" s="87"/>
      <c r="C4110" s="73"/>
      <c r="D4110" s="73"/>
      <c r="E4110" s="82"/>
      <c r="F4110" s="82"/>
      <c r="G4110" s="86"/>
      <c r="H4110" s="86"/>
      <c r="I4110" s="86"/>
      <c r="J4110" s="82"/>
      <c r="K4110" s="82"/>
      <c r="L4110" s="82"/>
      <c r="M4110" s="82"/>
      <c r="N4110" s="82"/>
      <c r="O4110" s="82"/>
      <c r="P4110" s="82"/>
      <c r="Q4110" s="82"/>
      <c r="R4110" s="82"/>
      <c r="S4110" s="82"/>
      <c r="T4110" s="82"/>
      <c r="U4110" s="82"/>
      <c r="V4110" s="82"/>
      <c r="W4110" s="82"/>
      <c r="X4110" s="82"/>
      <c r="Y4110" s="82"/>
      <c r="Z4110" s="82"/>
      <c r="AA4110" s="82"/>
      <c r="AB4110" s="82"/>
      <c r="AC4110" s="82"/>
      <c r="AD4110" s="82"/>
      <c r="AE4110" s="82"/>
      <c r="AF4110" s="82"/>
      <c r="AG4110" s="82"/>
      <c r="AH4110" s="82"/>
      <c r="AI4110" s="82"/>
      <c r="AJ4110" s="82"/>
      <c r="AK4110" s="82"/>
      <c r="AL4110" s="82"/>
      <c r="AM4110" s="82"/>
      <c r="AN4110" s="82">
        <f>IFERROR(__xludf.DUMMYFUNCTION("""COMPUTED_VALUE"""),0.0)</f>
        <v>0</v>
      </c>
      <c r="AO4110" s="82">
        <f>IFERROR(__xludf.DUMMYFUNCTION("""COMPUTED_VALUE"""),0.0)</f>
        <v>0</v>
      </c>
      <c r="AP4110" s="82">
        <f>IFERROR(__xludf.DUMMYFUNCTION("""COMPUTED_VALUE"""),0.0)</f>
        <v>0</v>
      </c>
      <c r="AQ4110" s="82">
        <f>IFERROR(__xludf.DUMMYFUNCTION("""COMPUTED_VALUE"""),0.0)</f>
        <v>0</v>
      </c>
      <c r="AR4110" s="82">
        <f>IFERROR(__xludf.DUMMYFUNCTION("""COMPUTED_VALUE"""),0.0)</f>
        <v>0</v>
      </c>
      <c r="AS4110" s="82"/>
      <c r="AT4110" s="82">
        <f>IFERROR(__xludf.DUMMYFUNCTION("""COMPUTED_VALUE"""),0.0)</f>
        <v>0</v>
      </c>
      <c r="AU4110" s="82"/>
      <c r="AV4110" s="82"/>
      <c r="AW4110" s="82" t="str">
        <f t="shared" si="1"/>
        <v/>
      </c>
      <c r="AX4110" s="83" t="str">
        <f t="array" ref="AX4110">IFERROR(DGET('SBV Import'!A:G,"SBV",{"RSC ID","Tier";B4110,A4110}))</f>
        <v/>
      </c>
      <c r="AY4110" s="82" t="str">
        <f t="shared" si="2"/>
        <v/>
      </c>
      <c r="AZ4110" s="82"/>
      <c r="BA4110" s="84" t="s">
        <v>152</v>
      </c>
      <c r="BB4110" s="84" t="str">
        <f>IFERROR(__xludf.DUMMYFUNCTION("iferror(if(A4110="""",,E4110&gt;=FILTER(Constants!$F$2:$F$10,Constants!$A$2:$A$10=A4110)))"),"")</f>
        <v/>
      </c>
    </row>
    <row r="4111">
      <c r="A4111" s="89"/>
      <c r="B4111" s="87"/>
      <c r="C4111" s="73"/>
      <c r="D4111" s="73"/>
      <c r="E4111" s="82"/>
      <c r="F4111" s="82"/>
      <c r="G4111" s="86"/>
      <c r="H4111" s="86"/>
      <c r="I4111" s="86"/>
      <c r="J4111" s="82"/>
      <c r="K4111" s="82"/>
      <c r="L4111" s="82"/>
      <c r="M4111" s="82"/>
      <c r="N4111" s="82"/>
      <c r="O4111" s="82"/>
      <c r="P4111" s="82"/>
      <c r="Q4111" s="82"/>
      <c r="R4111" s="82"/>
      <c r="S4111" s="82"/>
      <c r="T4111" s="82"/>
      <c r="U4111" s="82"/>
      <c r="V4111" s="82"/>
      <c r="W4111" s="82"/>
      <c r="X4111" s="82"/>
      <c r="Y4111" s="82"/>
      <c r="Z4111" s="82"/>
      <c r="AA4111" s="82"/>
      <c r="AB4111" s="82"/>
      <c r="AC4111" s="82"/>
      <c r="AD4111" s="82"/>
      <c r="AE4111" s="82"/>
      <c r="AF4111" s="82"/>
      <c r="AG4111" s="82"/>
      <c r="AH4111" s="82"/>
      <c r="AI4111" s="82"/>
      <c r="AJ4111" s="82"/>
      <c r="AK4111" s="82"/>
      <c r="AL4111" s="82"/>
      <c r="AM4111" s="82"/>
      <c r="AN4111" s="82">
        <f>IFERROR(__xludf.DUMMYFUNCTION("""COMPUTED_VALUE"""),0.0)</f>
        <v>0</v>
      </c>
      <c r="AO4111" s="82">
        <f>IFERROR(__xludf.DUMMYFUNCTION("""COMPUTED_VALUE"""),0.0)</f>
        <v>0</v>
      </c>
      <c r="AP4111" s="82">
        <f>IFERROR(__xludf.DUMMYFUNCTION("""COMPUTED_VALUE"""),0.0)</f>
        <v>0</v>
      </c>
      <c r="AQ4111" s="82">
        <f>IFERROR(__xludf.DUMMYFUNCTION("""COMPUTED_VALUE"""),0.0)</f>
        <v>0</v>
      </c>
      <c r="AR4111" s="82">
        <f>IFERROR(__xludf.DUMMYFUNCTION("""COMPUTED_VALUE"""),0.0)</f>
        <v>0</v>
      </c>
      <c r="AS4111" s="82"/>
      <c r="AT4111" s="82">
        <f>IFERROR(__xludf.DUMMYFUNCTION("""COMPUTED_VALUE"""),0.0)</f>
        <v>0</v>
      </c>
      <c r="AU4111" s="82"/>
      <c r="AV4111" s="82"/>
      <c r="AW4111" s="82" t="str">
        <f t="shared" si="1"/>
        <v/>
      </c>
      <c r="AX4111" s="83" t="str">
        <f t="array" ref="AX4111">IFERROR(DGET('SBV Import'!A:G,"SBV",{"RSC ID","Tier";B4111,A4111}))</f>
        <v/>
      </c>
      <c r="AY4111" s="82" t="str">
        <f t="shared" si="2"/>
        <v/>
      </c>
      <c r="AZ4111" s="82"/>
      <c r="BA4111" s="84" t="s">
        <v>152</v>
      </c>
      <c r="BB4111" s="84" t="str">
        <f>IFERROR(__xludf.DUMMYFUNCTION("iferror(if(A4111="""",,E4111&gt;=FILTER(Constants!$F$2:$F$10,Constants!$A$2:$A$10=A4111)))"),"")</f>
        <v/>
      </c>
    </row>
    <row r="4112">
      <c r="A4112" s="89"/>
      <c r="B4112" s="87"/>
      <c r="C4112" s="73"/>
      <c r="D4112" s="73"/>
      <c r="E4112" s="82"/>
      <c r="F4112" s="82"/>
      <c r="G4112" s="86"/>
      <c r="H4112" s="86"/>
      <c r="I4112" s="86"/>
      <c r="J4112" s="82"/>
      <c r="K4112" s="82"/>
      <c r="L4112" s="82"/>
      <c r="M4112" s="82"/>
      <c r="N4112" s="82"/>
      <c r="O4112" s="82"/>
      <c r="P4112" s="82"/>
      <c r="Q4112" s="82"/>
      <c r="R4112" s="82"/>
      <c r="S4112" s="82"/>
      <c r="T4112" s="82"/>
      <c r="U4112" s="82"/>
      <c r="V4112" s="82"/>
      <c r="W4112" s="82"/>
      <c r="X4112" s="82"/>
      <c r="Y4112" s="82"/>
      <c r="Z4112" s="82"/>
      <c r="AA4112" s="82"/>
      <c r="AB4112" s="82"/>
      <c r="AC4112" s="82"/>
      <c r="AD4112" s="82"/>
      <c r="AE4112" s="82"/>
      <c r="AF4112" s="82"/>
      <c r="AG4112" s="82"/>
      <c r="AH4112" s="82"/>
      <c r="AI4112" s="82"/>
      <c r="AJ4112" s="82"/>
      <c r="AK4112" s="82"/>
      <c r="AL4112" s="82"/>
      <c r="AM4112" s="82"/>
      <c r="AN4112" s="82">
        <f>IFERROR(__xludf.DUMMYFUNCTION("""COMPUTED_VALUE"""),0.0)</f>
        <v>0</v>
      </c>
      <c r="AO4112" s="82">
        <f>IFERROR(__xludf.DUMMYFUNCTION("""COMPUTED_VALUE"""),0.0)</f>
        <v>0</v>
      </c>
      <c r="AP4112" s="82">
        <f>IFERROR(__xludf.DUMMYFUNCTION("""COMPUTED_VALUE"""),0.0)</f>
        <v>0</v>
      </c>
      <c r="AQ4112" s="82">
        <f>IFERROR(__xludf.DUMMYFUNCTION("""COMPUTED_VALUE"""),0.0)</f>
        <v>0</v>
      </c>
      <c r="AR4112" s="82">
        <f>IFERROR(__xludf.DUMMYFUNCTION("""COMPUTED_VALUE"""),0.0)</f>
        <v>0</v>
      </c>
      <c r="AS4112" s="82"/>
      <c r="AT4112" s="82">
        <f>IFERROR(__xludf.DUMMYFUNCTION("""COMPUTED_VALUE"""),0.0)</f>
        <v>0</v>
      </c>
      <c r="AU4112" s="82"/>
      <c r="AV4112" s="82"/>
      <c r="AW4112" s="82" t="str">
        <f t="shared" si="1"/>
        <v/>
      </c>
      <c r="AX4112" s="83" t="str">
        <f t="array" ref="AX4112">IFERROR(DGET('SBV Import'!A:G,"SBV",{"RSC ID","Tier";B4112,A4112}))</f>
        <v/>
      </c>
      <c r="AY4112" s="82" t="str">
        <f t="shared" si="2"/>
        <v/>
      </c>
      <c r="AZ4112" s="82"/>
      <c r="BA4112" s="84" t="s">
        <v>152</v>
      </c>
      <c r="BB4112" s="84" t="str">
        <f>IFERROR(__xludf.DUMMYFUNCTION("iferror(if(A4112="""",,E4112&gt;=FILTER(Constants!$F$2:$F$10,Constants!$A$2:$A$10=A4112)))"),"")</f>
        <v/>
      </c>
    </row>
    <row r="4113">
      <c r="A4113" s="89"/>
      <c r="B4113" s="87"/>
      <c r="C4113" s="73"/>
      <c r="D4113" s="73"/>
      <c r="E4113" s="82"/>
      <c r="F4113" s="82"/>
      <c r="G4113" s="86"/>
      <c r="H4113" s="86"/>
      <c r="I4113" s="86"/>
      <c r="J4113" s="82"/>
      <c r="K4113" s="82"/>
      <c r="L4113" s="82"/>
      <c r="M4113" s="82"/>
      <c r="N4113" s="82"/>
      <c r="O4113" s="82"/>
      <c r="P4113" s="82"/>
      <c r="Q4113" s="82"/>
      <c r="R4113" s="82"/>
      <c r="S4113" s="82"/>
      <c r="T4113" s="82"/>
      <c r="U4113" s="82"/>
      <c r="V4113" s="82"/>
      <c r="W4113" s="82"/>
      <c r="X4113" s="82"/>
      <c r="Y4113" s="82"/>
      <c r="Z4113" s="82"/>
      <c r="AA4113" s="82"/>
      <c r="AB4113" s="82"/>
      <c r="AC4113" s="82"/>
      <c r="AD4113" s="82"/>
      <c r="AE4113" s="82"/>
      <c r="AF4113" s="82"/>
      <c r="AG4113" s="82"/>
      <c r="AH4113" s="82"/>
      <c r="AI4113" s="82"/>
      <c r="AJ4113" s="82"/>
      <c r="AK4113" s="82"/>
      <c r="AL4113" s="82"/>
      <c r="AM4113" s="82"/>
      <c r="AN4113" s="82">
        <f>IFERROR(__xludf.DUMMYFUNCTION("""COMPUTED_VALUE"""),0.0)</f>
        <v>0</v>
      </c>
      <c r="AO4113" s="82">
        <f>IFERROR(__xludf.DUMMYFUNCTION("""COMPUTED_VALUE"""),0.0)</f>
        <v>0</v>
      </c>
      <c r="AP4113" s="82">
        <f>IFERROR(__xludf.DUMMYFUNCTION("""COMPUTED_VALUE"""),0.0)</f>
        <v>0</v>
      </c>
      <c r="AQ4113" s="82">
        <f>IFERROR(__xludf.DUMMYFUNCTION("""COMPUTED_VALUE"""),0.0)</f>
        <v>0</v>
      </c>
      <c r="AR4113" s="82">
        <f>IFERROR(__xludf.DUMMYFUNCTION("""COMPUTED_VALUE"""),0.0)</f>
        <v>0</v>
      </c>
      <c r="AS4113" s="82"/>
      <c r="AT4113" s="82">
        <f>IFERROR(__xludf.DUMMYFUNCTION("""COMPUTED_VALUE"""),0.0)</f>
        <v>0</v>
      </c>
      <c r="AU4113" s="82"/>
      <c r="AV4113" s="82"/>
      <c r="AW4113" s="82" t="str">
        <f t="shared" si="1"/>
        <v/>
      </c>
      <c r="AX4113" s="83" t="str">
        <f t="array" ref="AX4113">IFERROR(DGET('SBV Import'!A:G,"SBV",{"RSC ID","Tier";B4113,A4113}))</f>
        <v/>
      </c>
      <c r="AY4113" s="82" t="str">
        <f t="shared" si="2"/>
        <v/>
      </c>
      <c r="AZ4113" s="82"/>
      <c r="BA4113" s="84" t="s">
        <v>152</v>
      </c>
      <c r="BB4113" s="84" t="str">
        <f>IFERROR(__xludf.DUMMYFUNCTION("iferror(if(A4113="""",,E4113&gt;=FILTER(Constants!$F$2:$F$10,Constants!$A$2:$A$10=A4113)))"),"")</f>
        <v/>
      </c>
    </row>
    <row r="4114">
      <c r="A4114" s="89"/>
      <c r="B4114" s="87"/>
      <c r="C4114" s="73"/>
      <c r="D4114" s="73"/>
      <c r="E4114" s="82"/>
      <c r="F4114" s="82"/>
      <c r="G4114" s="86"/>
      <c r="H4114" s="86"/>
      <c r="I4114" s="86"/>
      <c r="J4114" s="82"/>
      <c r="K4114" s="82"/>
      <c r="L4114" s="82"/>
      <c r="M4114" s="82"/>
      <c r="N4114" s="82"/>
      <c r="O4114" s="82"/>
      <c r="P4114" s="82"/>
      <c r="Q4114" s="82"/>
      <c r="R4114" s="82"/>
      <c r="S4114" s="82"/>
      <c r="T4114" s="82"/>
      <c r="U4114" s="82"/>
      <c r="V4114" s="82"/>
      <c r="W4114" s="82"/>
      <c r="X4114" s="82"/>
      <c r="Y4114" s="82"/>
      <c r="Z4114" s="82"/>
      <c r="AA4114" s="82"/>
      <c r="AB4114" s="82"/>
      <c r="AC4114" s="82"/>
      <c r="AD4114" s="82"/>
      <c r="AE4114" s="82"/>
      <c r="AF4114" s="82"/>
      <c r="AG4114" s="82"/>
      <c r="AH4114" s="82"/>
      <c r="AI4114" s="82"/>
      <c r="AJ4114" s="82"/>
      <c r="AK4114" s="82"/>
      <c r="AL4114" s="82"/>
      <c r="AM4114" s="82"/>
      <c r="AN4114" s="82">
        <f>IFERROR(__xludf.DUMMYFUNCTION("""COMPUTED_VALUE"""),0.0)</f>
        <v>0</v>
      </c>
      <c r="AO4114" s="82">
        <f>IFERROR(__xludf.DUMMYFUNCTION("""COMPUTED_VALUE"""),0.0)</f>
        <v>0</v>
      </c>
      <c r="AP4114" s="82">
        <f>IFERROR(__xludf.DUMMYFUNCTION("""COMPUTED_VALUE"""),0.0)</f>
        <v>0</v>
      </c>
      <c r="AQ4114" s="82">
        <f>IFERROR(__xludf.DUMMYFUNCTION("""COMPUTED_VALUE"""),0.0)</f>
        <v>0</v>
      </c>
      <c r="AR4114" s="82">
        <f>IFERROR(__xludf.DUMMYFUNCTION("""COMPUTED_VALUE"""),0.0)</f>
        <v>0</v>
      </c>
      <c r="AS4114" s="82"/>
      <c r="AT4114" s="82">
        <f>IFERROR(__xludf.DUMMYFUNCTION("""COMPUTED_VALUE"""),0.0)</f>
        <v>0</v>
      </c>
      <c r="AU4114" s="82"/>
      <c r="AV4114" s="82"/>
      <c r="AW4114" s="82" t="str">
        <f t="shared" si="1"/>
        <v/>
      </c>
      <c r="AX4114" s="83" t="str">
        <f t="array" ref="AX4114">IFERROR(DGET('SBV Import'!A:G,"SBV",{"RSC ID","Tier";B4114,A4114}))</f>
        <v/>
      </c>
      <c r="AY4114" s="82" t="str">
        <f t="shared" si="2"/>
        <v/>
      </c>
      <c r="AZ4114" s="82"/>
      <c r="BA4114" s="84" t="s">
        <v>152</v>
      </c>
      <c r="BB4114" s="84" t="str">
        <f>IFERROR(__xludf.DUMMYFUNCTION("iferror(if(A4114="""",,E4114&gt;=FILTER(Constants!$F$2:$F$10,Constants!$A$2:$A$10=A4114)))"),"")</f>
        <v/>
      </c>
    </row>
    <row r="4115">
      <c r="A4115" s="89"/>
      <c r="B4115" s="87"/>
      <c r="C4115" s="73"/>
      <c r="D4115" s="73"/>
      <c r="E4115" s="82"/>
      <c r="F4115" s="82"/>
      <c r="G4115" s="86"/>
      <c r="H4115" s="86"/>
      <c r="I4115" s="86"/>
      <c r="J4115" s="82"/>
      <c r="K4115" s="82"/>
      <c r="L4115" s="82"/>
      <c r="M4115" s="82"/>
      <c r="N4115" s="82"/>
      <c r="O4115" s="82"/>
      <c r="P4115" s="82"/>
      <c r="Q4115" s="82"/>
      <c r="R4115" s="82"/>
      <c r="S4115" s="82"/>
      <c r="T4115" s="82"/>
      <c r="U4115" s="82"/>
      <c r="V4115" s="82"/>
      <c r="W4115" s="82"/>
      <c r="X4115" s="82"/>
      <c r="Y4115" s="82"/>
      <c r="Z4115" s="82"/>
      <c r="AA4115" s="82"/>
      <c r="AB4115" s="82"/>
      <c r="AC4115" s="82"/>
      <c r="AD4115" s="82"/>
      <c r="AE4115" s="82"/>
      <c r="AF4115" s="82"/>
      <c r="AG4115" s="82"/>
      <c r="AH4115" s="82"/>
      <c r="AI4115" s="82"/>
      <c r="AJ4115" s="82"/>
      <c r="AK4115" s="82"/>
      <c r="AL4115" s="82"/>
      <c r="AM4115" s="82"/>
      <c r="AN4115" s="82">
        <f>IFERROR(__xludf.DUMMYFUNCTION("""COMPUTED_VALUE"""),0.0)</f>
        <v>0</v>
      </c>
      <c r="AO4115" s="82">
        <f>IFERROR(__xludf.DUMMYFUNCTION("""COMPUTED_VALUE"""),0.0)</f>
        <v>0</v>
      </c>
      <c r="AP4115" s="82">
        <f>IFERROR(__xludf.DUMMYFUNCTION("""COMPUTED_VALUE"""),0.0)</f>
        <v>0</v>
      </c>
      <c r="AQ4115" s="82">
        <f>IFERROR(__xludf.DUMMYFUNCTION("""COMPUTED_VALUE"""),0.0)</f>
        <v>0</v>
      </c>
      <c r="AR4115" s="82">
        <f>IFERROR(__xludf.DUMMYFUNCTION("""COMPUTED_VALUE"""),0.0)</f>
        <v>0</v>
      </c>
      <c r="AS4115" s="82"/>
      <c r="AT4115" s="82">
        <f>IFERROR(__xludf.DUMMYFUNCTION("""COMPUTED_VALUE"""),0.0)</f>
        <v>0</v>
      </c>
      <c r="AU4115" s="82"/>
      <c r="AV4115" s="82"/>
      <c r="AW4115" s="82" t="str">
        <f t="shared" si="1"/>
        <v/>
      </c>
      <c r="AX4115" s="83" t="str">
        <f t="array" ref="AX4115">IFERROR(DGET('SBV Import'!A:G,"SBV",{"RSC ID","Tier";B4115,A4115}))</f>
        <v/>
      </c>
      <c r="AY4115" s="82" t="str">
        <f t="shared" si="2"/>
        <v/>
      </c>
      <c r="AZ4115" s="82"/>
      <c r="BA4115" s="84" t="s">
        <v>152</v>
      </c>
      <c r="BB4115" s="84" t="str">
        <f>IFERROR(__xludf.DUMMYFUNCTION("iferror(if(A4115="""",,E4115&gt;=FILTER(Constants!$F$2:$F$10,Constants!$A$2:$A$10=A4115)))"),"")</f>
        <v/>
      </c>
    </row>
    <row r="4116">
      <c r="A4116" s="89"/>
      <c r="B4116" s="87"/>
      <c r="C4116" s="73"/>
      <c r="D4116" s="73"/>
      <c r="E4116" s="82"/>
      <c r="F4116" s="82"/>
      <c r="G4116" s="86"/>
      <c r="H4116" s="86"/>
      <c r="I4116" s="86"/>
      <c r="J4116" s="82"/>
      <c r="K4116" s="82"/>
      <c r="L4116" s="82"/>
      <c r="M4116" s="82"/>
      <c r="N4116" s="82"/>
      <c r="O4116" s="82"/>
      <c r="P4116" s="82"/>
      <c r="Q4116" s="82"/>
      <c r="R4116" s="82"/>
      <c r="S4116" s="82"/>
      <c r="T4116" s="82"/>
      <c r="U4116" s="82"/>
      <c r="V4116" s="82"/>
      <c r="W4116" s="82"/>
      <c r="X4116" s="82"/>
      <c r="Y4116" s="82"/>
      <c r="Z4116" s="82"/>
      <c r="AA4116" s="82"/>
      <c r="AB4116" s="82"/>
      <c r="AC4116" s="82"/>
      <c r="AD4116" s="82"/>
      <c r="AE4116" s="82"/>
      <c r="AF4116" s="82"/>
      <c r="AG4116" s="82"/>
      <c r="AH4116" s="82"/>
      <c r="AI4116" s="82"/>
      <c r="AJ4116" s="82"/>
      <c r="AK4116" s="82"/>
      <c r="AL4116" s="82"/>
      <c r="AM4116" s="82"/>
      <c r="AN4116" s="82">
        <f>IFERROR(__xludf.DUMMYFUNCTION("""COMPUTED_VALUE"""),0.0)</f>
        <v>0</v>
      </c>
      <c r="AO4116" s="82">
        <f>IFERROR(__xludf.DUMMYFUNCTION("""COMPUTED_VALUE"""),0.0)</f>
        <v>0</v>
      </c>
      <c r="AP4116" s="82">
        <f>IFERROR(__xludf.DUMMYFUNCTION("""COMPUTED_VALUE"""),0.0)</f>
        <v>0</v>
      </c>
      <c r="AQ4116" s="82">
        <f>IFERROR(__xludf.DUMMYFUNCTION("""COMPUTED_VALUE"""),0.0)</f>
        <v>0</v>
      </c>
      <c r="AR4116" s="82">
        <f>IFERROR(__xludf.DUMMYFUNCTION("""COMPUTED_VALUE"""),0.0)</f>
        <v>0</v>
      </c>
      <c r="AS4116" s="82"/>
      <c r="AT4116" s="82">
        <f>IFERROR(__xludf.DUMMYFUNCTION("""COMPUTED_VALUE"""),0.0)</f>
        <v>0</v>
      </c>
      <c r="AU4116" s="82"/>
      <c r="AV4116" s="82"/>
      <c r="AW4116" s="82" t="str">
        <f t="shared" si="1"/>
        <v/>
      </c>
      <c r="AX4116" s="83" t="str">
        <f t="array" ref="AX4116">IFERROR(DGET('SBV Import'!A:G,"SBV",{"RSC ID","Tier";B4116,A4116}))</f>
        <v/>
      </c>
      <c r="AY4116" s="82" t="str">
        <f t="shared" si="2"/>
        <v/>
      </c>
      <c r="AZ4116" s="82"/>
      <c r="BA4116" s="84" t="s">
        <v>152</v>
      </c>
      <c r="BB4116" s="84" t="str">
        <f>IFERROR(__xludf.DUMMYFUNCTION("iferror(if(A4116="""",,E4116&gt;=FILTER(Constants!$F$2:$F$10,Constants!$A$2:$A$10=A4116)))"),"")</f>
        <v/>
      </c>
    </row>
    <row r="4117">
      <c r="A4117" s="89"/>
      <c r="B4117" s="87"/>
      <c r="C4117" s="73"/>
      <c r="D4117" s="73"/>
      <c r="E4117" s="82"/>
      <c r="F4117" s="82"/>
      <c r="G4117" s="86"/>
      <c r="H4117" s="86"/>
      <c r="I4117" s="86"/>
      <c r="J4117" s="82"/>
      <c r="K4117" s="82"/>
      <c r="L4117" s="82"/>
      <c r="M4117" s="82"/>
      <c r="N4117" s="82"/>
      <c r="O4117" s="82"/>
      <c r="P4117" s="82"/>
      <c r="Q4117" s="82"/>
      <c r="R4117" s="82"/>
      <c r="S4117" s="82"/>
      <c r="T4117" s="82"/>
      <c r="U4117" s="82"/>
      <c r="V4117" s="82"/>
      <c r="W4117" s="82"/>
      <c r="X4117" s="82"/>
      <c r="Y4117" s="82"/>
      <c r="Z4117" s="82"/>
      <c r="AA4117" s="82"/>
      <c r="AB4117" s="82"/>
      <c r="AC4117" s="82"/>
      <c r="AD4117" s="82"/>
      <c r="AE4117" s="82"/>
      <c r="AF4117" s="82"/>
      <c r="AG4117" s="82"/>
      <c r="AH4117" s="82"/>
      <c r="AI4117" s="82"/>
      <c r="AJ4117" s="82"/>
      <c r="AK4117" s="82"/>
      <c r="AL4117" s="82"/>
      <c r="AM4117" s="82"/>
      <c r="AN4117" s="82">
        <f>IFERROR(__xludf.DUMMYFUNCTION("""COMPUTED_VALUE"""),0.0)</f>
        <v>0</v>
      </c>
      <c r="AO4117" s="82">
        <f>IFERROR(__xludf.DUMMYFUNCTION("""COMPUTED_VALUE"""),0.0)</f>
        <v>0</v>
      </c>
      <c r="AP4117" s="82">
        <f>IFERROR(__xludf.DUMMYFUNCTION("""COMPUTED_VALUE"""),0.0)</f>
        <v>0</v>
      </c>
      <c r="AQ4117" s="82">
        <f>IFERROR(__xludf.DUMMYFUNCTION("""COMPUTED_VALUE"""),0.0)</f>
        <v>0</v>
      </c>
      <c r="AR4117" s="82">
        <f>IFERROR(__xludf.DUMMYFUNCTION("""COMPUTED_VALUE"""),0.0)</f>
        <v>0</v>
      </c>
      <c r="AS4117" s="82"/>
      <c r="AT4117" s="82">
        <f>IFERROR(__xludf.DUMMYFUNCTION("""COMPUTED_VALUE"""),0.0)</f>
        <v>0</v>
      </c>
      <c r="AU4117" s="82"/>
      <c r="AV4117" s="82"/>
      <c r="AW4117" s="82" t="str">
        <f t="shared" si="1"/>
        <v/>
      </c>
      <c r="AX4117" s="83" t="str">
        <f t="array" ref="AX4117">IFERROR(DGET('SBV Import'!A:G,"SBV",{"RSC ID","Tier";B4117,A4117}))</f>
        <v/>
      </c>
      <c r="AY4117" s="82" t="str">
        <f t="shared" si="2"/>
        <v/>
      </c>
      <c r="AZ4117" s="82"/>
      <c r="BA4117" s="84" t="s">
        <v>152</v>
      </c>
      <c r="BB4117" s="84" t="str">
        <f>IFERROR(__xludf.DUMMYFUNCTION("iferror(if(A4117="""",,E4117&gt;=FILTER(Constants!$F$2:$F$10,Constants!$A$2:$A$10=A4117)))"),"")</f>
        <v/>
      </c>
    </row>
    <row r="4118">
      <c r="A4118" s="89"/>
      <c r="B4118" s="87"/>
      <c r="C4118" s="73"/>
      <c r="D4118" s="73"/>
      <c r="E4118" s="82"/>
      <c r="F4118" s="82"/>
      <c r="G4118" s="86"/>
      <c r="H4118" s="86"/>
      <c r="I4118" s="86"/>
      <c r="J4118" s="82"/>
      <c r="K4118" s="82"/>
      <c r="L4118" s="82"/>
      <c r="M4118" s="82"/>
      <c r="N4118" s="82"/>
      <c r="O4118" s="82"/>
      <c r="P4118" s="82"/>
      <c r="Q4118" s="82"/>
      <c r="R4118" s="82"/>
      <c r="S4118" s="82"/>
      <c r="T4118" s="82"/>
      <c r="U4118" s="82"/>
      <c r="V4118" s="82"/>
      <c r="W4118" s="82"/>
      <c r="X4118" s="82"/>
      <c r="Y4118" s="82"/>
      <c r="Z4118" s="82"/>
      <c r="AA4118" s="82"/>
      <c r="AB4118" s="82"/>
      <c r="AC4118" s="82"/>
      <c r="AD4118" s="82"/>
      <c r="AE4118" s="82"/>
      <c r="AF4118" s="82"/>
      <c r="AG4118" s="82"/>
      <c r="AH4118" s="82"/>
      <c r="AI4118" s="82"/>
      <c r="AJ4118" s="82"/>
      <c r="AK4118" s="82"/>
      <c r="AL4118" s="82"/>
      <c r="AM4118" s="82"/>
      <c r="AN4118" s="82">
        <f>IFERROR(__xludf.DUMMYFUNCTION("""COMPUTED_VALUE"""),0.0)</f>
        <v>0</v>
      </c>
      <c r="AO4118" s="82">
        <f>IFERROR(__xludf.DUMMYFUNCTION("""COMPUTED_VALUE"""),0.0)</f>
        <v>0</v>
      </c>
      <c r="AP4118" s="82">
        <f>IFERROR(__xludf.DUMMYFUNCTION("""COMPUTED_VALUE"""),0.0)</f>
        <v>0</v>
      </c>
      <c r="AQ4118" s="82">
        <f>IFERROR(__xludf.DUMMYFUNCTION("""COMPUTED_VALUE"""),0.0)</f>
        <v>0</v>
      </c>
      <c r="AR4118" s="82">
        <f>IFERROR(__xludf.DUMMYFUNCTION("""COMPUTED_VALUE"""),0.0)</f>
        <v>0</v>
      </c>
      <c r="AS4118" s="82"/>
      <c r="AT4118" s="82">
        <f>IFERROR(__xludf.DUMMYFUNCTION("""COMPUTED_VALUE"""),0.0)</f>
        <v>0</v>
      </c>
      <c r="AU4118" s="82"/>
      <c r="AV4118" s="82"/>
      <c r="AW4118" s="82" t="str">
        <f t="shared" si="1"/>
        <v/>
      </c>
      <c r="AX4118" s="83" t="str">
        <f t="array" ref="AX4118">IFERROR(DGET('SBV Import'!A:G,"SBV",{"RSC ID","Tier";B4118,A4118}))</f>
        <v/>
      </c>
      <c r="AY4118" s="82" t="str">
        <f t="shared" si="2"/>
        <v/>
      </c>
      <c r="AZ4118" s="82"/>
      <c r="BA4118" s="84" t="s">
        <v>152</v>
      </c>
      <c r="BB4118" s="84" t="str">
        <f>IFERROR(__xludf.DUMMYFUNCTION("iferror(if(A4118="""",,E4118&gt;=FILTER(Constants!$F$2:$F$10,Constants!$A$2:$A$10=A4118)))"),"")</f>
        <v/>
      </c>
    </row>
    <row r="4119">
      <c r="A4119" s="89"/>
      <c r="B4119" s="87"/>
      <c r="C4119" s="73"/>
      <c r="D4119" s="73"/>
      <c r="E4119" s="82"/>
      <c r="F4119" s="82"/>
      <c r="G4119" s="86"/>
      <c r="H4119" s="86"/>
      <c r="I4119" s="86"/>
      <c r="J4119" s="82"/>
      <c r="K4119" s="82"/>
      <c r="L4119" s="82"/>
      <c r="M4119" s="82"/>
      <c r="N4119" s="82"/>
      <c r="O4119" s="82"/>
      <c r="P4119" s="82"/>
      <c r="Q4119" s="82"/>
      <c r="R4119" s="82"/>
      <c r="S4119" s="82"/>
      <c r="T4119" s="82"/>
      <c r="U4119" s="82"/>
      <c r="V4119" s="82"/>
      <c r="W4119" s="82"/>
      <c r="X4119" s="82"/>
      <c r="Y4119" s="82"/>
      <c r="Z4119" s="82"/>
      <c r="AA4119" s="82"/>
      <c r="AB4119" s="82"/>
      <c r="AC4119" s="82"/>
      <c r="AD4119" s="82"/>
      <c r="AE4119" s="82"/>
      <c r="AF4119" s="82"/>
      <c r="AG4119" s="82"/>
      <c r="AH4119" s="82"/>
      <c r="AI4119" s="82"/>
      <c r="AJ4119" s="82"/>
      <c r="AK4119" s="82"/>
      <c r="AL4119" s="82"/>
      <c r="AM4119" s="82"/>
      <c r="AN4119" s="82">
        <f>IFERROR(__xludf.DUMMYFUNCTION("""COMPUTED_VALUE"""),0.0)</f>
        <v>0</v>
      </c>
      <c r="AO4119" s="82">
        <f>IFERROR(__xludf.DUMMYFUNCTION("""COMPUTED_VALUE"""),0.0)</f>
        <v>0</v>
      </c>
      <c r="AP4119" s="82">
        <f>IFERROR(__xludf.DUMMYFUNCTION("""COMPUTED_VALUE"""),0.0)</f>
        <v>0</v>
      </c>
      <c r="AQ4119" s="82">
        <f>IFERROR(__xludf.DUMMYFUNCTION("""COMPUTED_VALUE"""),0.0)</f>
        <v>0</v>
      </c>
      <c r="AR4119" s="82">
        <f>IFERROR(__xludf.DUMMYFUNCTION("""COMPUTED_VALUE"""),0.0)</f>
        <v>0</v>
      </c>
      <c r="AS4119" s="82"/>
      <c r="AT4119" s="82">
        <f>IFERROR(__xludf.DUMMYFUNCTION("""COMPUTED_VALUE"""),0.0)</f>
        <v>0</v>
      </c>
      <c r="AU4119" s="82"/>
      <c r="AV4119" s="82"/>
      <c r="AW4119" s="82" t="str">
        <f t="shared" si="1"/>
        <v/>
      </c>
      <c r="AX4119" s="83" t="str">
        <f t="array" ref="AX4119">IFERROR(DGET('SBV Import'!A:G,"SBV",{"RSC ID","Tier";B4119,A4119}))</f>
        <v/>
      </c>
      <c r="AY4119" s="82" t="str">
        <f t="shared" si="2"/>
        <v/>
      </c>
      <c r="AZ4119" s="82"/>
      <c r="BA4119" s="84" t="s">
        <v>152</v>
      </c>
      <c r="BB4119" s="84" t="str">
        <f>IFERROR(__xludf.DUMMYFUNCTION("iferror(if(A4119="""",,E4119&gt;=FILTER(Constants!$F$2:$F$10,Constants!$A$2:$A$10=A4119)))"),"")</f>
        <v/>
      </c>
    </row>
    <row r="4120">
      <c r="A4120" s="89"/>
      <c r="B4120" s="87"/>
      <c r="C4120" s="73"/>
      <c r="D4120" s="73"/>
      <c r="E4120" s="82"/>
      <c r="F4120" s="82"/>
      <c r="G4120" s="86"/>
      <c r="H4120" s="86"/>
      <c r="I4120" s="86"/>
      <c r="J4120" s="82"/>
      <c r="K4120" s="82"/>
      <c r="L4120" s="82"/>
      <c r="M4120" s="82"/>
      <c r="N4120" s="82"/>
      <c r="O4120" s="82"/>
      <c r="P4120" s="82"/>
      <c r="Q4120" s="82"/>
      <c r="R4120" s="82"/>
      <c r="S4120" s="82"/>
      <c r="T4120" s="82"/>
      <c r="U4120" s="82"/>
      <c r="V4120" s="82"/>
      <c r="W4120" s="82"/>
      <c r="X4120" s="82"/>
      <c r="Y4120" s="82"/>
      <c r="Z4120" s="82"/>
      <c r="AA4120" s="82"/>
      <c r="AB4120" s="82"/>
      <c r="AC4120" s="82"/>
      <c r="AD4120" s="82"/>
      <c r="AE4120" s="82"/>
      <c r="AF4120" s="82"/>
      <c r="AG4120" s="82"/>
      <c r="AH4120" s="82"/>
      <c r="AI4120" s="82"/>
      <c r="AJ4120" s="82"/>
      <c r="AK4120" s="82"/>
      <c r="AL4120" s="82"/>
      <c r="AM4120" s="82"/>
      <c r="AN4120" s="82">
        <f>IFERROR(__xludf.DUMMYFUNCTION("""COMPUTED_VALUE"""),0.0)</f>
        <v>0</v>
      </c>
      <c r="AO4120" s="82">
        <f>IFERROR(__xludf.DUMMYFUNCTION("""COMPUTED_VALUE"""),0.0)</f>
        <v>0</v>
      </c>
      <c r="AP4120" s="82">
        <f>IFERROR(__xludf.DUMMYFUNCTION("""COMPUTED_VALUE"""),0.0)</f>
        <v>0</v>
      </c>
      <c r="AQ4120" s="82">
        <f>IFERROR(__xludf.DUMMYFUNCTION("""COMPUTED_VALUE"""),0.0)</f>
        <v>0</v>
      </c>
      <c r="AR4120" s="82">
        <f>IFERROR(__xludf.DUMMYFUNCTION("""COMPUTED_VALUE"""),0.0)</f>
        <v>0</v>
      </c>
      <c r="AS4120" s="82"/>
      <c r="AT4120" s="82">
        <f>IFERROR(__xludf.DUMMYFUNCTION("""COMPUTED_VALUE"""),0.0)</f>
        <v>0</v>
      </c>
      <c r="AU4120" s="82"/>
      <c r="AV4120" s="82"/>
      <c r="AW4120" s="82" t="str">
        <f t="shared" si="1"/>
        <v/>
      </c>
      <c r="AX4120" s="83" t="str">
        <f t="array" ref="AX4120">IFERROR(DGET('SBV Import'!A:G,"SBV",{"RSC ID","Tier";B4120,A4120}))</f>
        <v/>
      </c>
      <c r="AY4120" s="82" t="str">
        <f t="shared" si="2"/>
        <v/>
      </c>
      <c r="AZ4120" s="82"/>
      <c r="BA4120" s="84" t="s">
        <v>152</v>
      </c>
      <c r="BB4120" s="84" t="str">
        <f>IFERROR(__xludf.DUMMYFUNCTION("iferror(if(A4120="""",,E4120&gt;=FILTER(Constants!$F$2:$F$10,Constants!$A$2:$A$10=A4120)))"),"")</f>
        <v/>
      </c>
    </row>
    <row r="4121">
      <c r="A4121" s="89"/>
      <c r="B4121" s="87"/>
      <c r="C4121" s="73"/>
      <c r="D4121" s="73"/>
      <c r="E4121" s="82"/>
      <c r="F4121" s="82"/>
      <c r="G4121" s="86"/>
      <c r="H4121" s="86"/>
      <c r="I4121" s="86"/>
      <c r="J4121" s="82"/>
      <c r="K4121" s="82"/>
      <c r="L4121" s="82"/>
      <c r="M4121" s="82"/>
      <c r="N4121" s="82"/>
      <c r="O4121" s="82"/>
      <c r="P4121" s="82"/>
      <c r="Q4121" s="82"/>
      <c r="R4121" s="82"/>
      <c r="S4121" s="82"/>
      <c r="T4121" s="82"/>
      <c r="U4121" s="82"/>
      <c r="V4121" s="82"/>
      <c r="W4121" s="82"/>
      <c r="X4121" s="82"/>
      <c r="Y4121" s="82"/>
      <c r="Z4121" s="82"/>
      <c r="AA4121" s="82"/>
      <c r="AB4121" s="82"/>
      <c r="AC4121" s="82"/>
      <c r="AD4121" s="82"/>
      <c r="AE4121" s="82"/>
      <c r="AF4121" s="82"/>
      <c r="AG4121" s="82"/>
      <c r="AH4121" s="82"/>
      <c r="AI4121" s="82"/>
      <c r="AJ4121" s="82"/>
      <c r="AK4121" s="82"/>
      <c r="AL4121" s="82"/>
      <c r="AM4121" s="82"/>
      <c r="AN4121" s="82">
        <f>IFERROR(__xludf.DUMMYFUNCTION("""COMPUTED_VALUE"""),0.0)</f>
        <v>0</v>
      </c>
      <c r="AO4121" s="82">
        <f>IFERROR(__xludf.DUMMYFUNCTION("""COMPUTED_VALUE"""),0.0)</f>
        <v>0</v>
      </c>
      <c r="AP4121" s="82">
        <f>IFERROR(__xludf.DUMMYFUNCTION("""COMPUTED_VALUE"""),0.0)</f>
        <v>0</v>
      </c>
      <c r="AQ4121" s="82">
        <f>IFERROR(__xludf.DUMMYFUNCTION("""COMPUTED_VALUE"""),0.0)</f>
        <v>0</v>
      </c>
      <c r="AR4121" s="82">
        <f>IFERROR(__xludf.DUMMYFUNCTION("""COMPUTED_VALUE"""),0.0)</f>
        <v>0</v>
      </c>
      <c r="AS4121" s="82"/>
      <c r="AT4121" s="82">
        <f>IFERROR(__xludf.DUMMYFUNCTION("""COMPUTED_VALUE"""),0.0)</f>
        <v>0</v>
      </c>
      <c r="AU4121" s="82"/>
      <c r="AV4121" s="82"/>
      <c r="AW4121" s="82" t="str">
        <f t="shared" si="1"/>
        <v/>
      </c>
      <c r="AX4121" s="83" t="str">
        <f t="array" ref="AX4121">IFERROR(DGET('SBV Import'!A:G,"SBV",{"RSC ID","Tier";B4121,A4121}))</f>
        <v/>
      </c>
      <c r="AY4121" s="82" t="str">
        <f t="shared" si="2"/>
        <v/>
      </c>
      <c r="AZ4121" s="82"/>
      <c r="BA4121" s="84" t="s">
        <v>152</v>
      </c>
      <c r="BB4121" s="84" t="str">
        <f>IFERROR(__xludf.DUMMYFUNCTION("iferror(if(A4121="""",,E4121&gt;=FILTER(Constants!$F$2:$F$10,Constants!$A$2:$A$10=A4121)))"),"")</f>
        <v/>
      </c>
    </row>
    <row r="4122">
      <c r="A4122" s="89"/>
      <c r="B4122" s="87"/>
      <c r="C4122" s="73"/>
      <c r="D4122" s="73"/>
      <c r="E4122" s="82"/>
      <c r="F4122" s="82"/>
      <c r="G4122" s="86"/>
      <c r="H4122" s="86"/>
      <c r="I4122" s="86"/>
      <c r="J4122" s="82"/>
      <c r="K4122" s="82"/>
      <c r="L4122" s="82"/>
      <c r="M4122" s="82"/>
      <c r="N4122" s="82"/>
      <c r="O4122" s="82"/>
      <c r="P4122" s="82"/>
      <c r="Q4122" s="82"/>
      <c r="R4122" s="82"/>
      <c r="S4122" s="82"/>
      <c r="T4122" s="82"/>
      <c r="U4122" s="82"/>
      <c r="V4122" s="82"/>
      <c r="W4122" s="82"/>
      <c r="X4122" s="82"/>
      <c r="Y4122" s="82"/>
      <c r="Z4122" s="82"/>
      <c r="AA4122" s="82"/>
      <c r="AB4122" s="82"/>
      <c r="AC4122" s="82"/>
      <c r="AD4122" s="82"/>
      <c r="AE4122" s="82"/>
      <c r="AF4122" s="82"/>
      <c r="AG4122" s="82"/>
      <c r="AH4122" s="82"/>
      <c r="AI4122" s="82"/>
      <c r="AJ4122" s="82"/>
      <c r="AK4122" s="82"/>
      <c r="AL4122" s="82"/>
      <c r="AM4122" s="82"/>
      <c r="AN4122" s="82">
        <f>IFERROR(__xludf.DUMMYFUNCTION("""COMPUTED_VALUE"""),0.0)</f>
        <v>0</v>
      </c>
      <c r="AO4122" s="82">
        <f>IFERROR(__xludf.DUMMYFUNCTION("""COMPUTED_VALUE"""),0.0)</f>
        <v>0</v>
      </c>
      <c r="AP4122" s="82">
        <f>IFERROR(__xludf.DUMMYFUNCTION("""COMPUTED_VALUE"""),0.0)</f>
        <v>0</v>
      </c>
      <c r="AQ4122" s="82">
        <f>IFERROR(__xludf.DUMMYFUNCTION("""COMPUTED_VALUE"""),0.0)</f>
        <v>0</v>
      </c>
      <c r="AR4122" s="82">
        <f>IFERROR(__xludf.DUMMYFUNCTION("""COMPUTED_VALUE"""),0.0)</f>
        <v>0</v>
      </c>
      <c r="AS4122" s="82"/>
      <c r="AT4122" s="82">
        <f>IFERROR(__xludf.DUMMYFUNCTION("""COMPUTED_VALUE"""),0.0)</f>
        <v>0</v>
      </c>
      <c r="AU4122" s="82"/>
      <c r="AV4122" s="82"/>
      <c r="AW4122" s="82" t="str">
        <f t="shared" si="1"/>
        <v/>
      </c>
      <c r="AX4122" s="83" t="str">
        <f t="array" ref="AX4122">IFERROR(DGET('SBV Import'!A:G,"SBV",{"RSC ID","Tier";B4122,A4122}))</f>
        <v/>
      </c>
      <c r="AY4122" s="82" t="str">
        <f t="shared" si="2"/>
        <v/>
      </c>
      <c r="AZ4122" s="82"/>
      <c r="BA4122" s="84" t="s">
        <v>152</v>
      </c>
      <c r="BB4122" s="84" t="str">
        <f>IFERROR(__xludf.DUMMYFUNCTION("iferror(if(A4122="""",,E4122&gt;=FILTER(Constants!$F$2:$F$10,Constants!$A$2:$A$10=A4122)))"),"")</f>
        <v/>
      </c>
    </row>
    <row r="4123">
      <c r="A4123" s="89"/>
      <c r="B4123" s="87"/>
      <c r="C4123" s="73"/>
      <c r="D4123" s="73"/>
      <c r="E4123" s="82"/>
      <c r="F4123" s="82"/>
      <c r="G4123" s="86"/>
      <c r="H4123" s="86"/>
      <c r="I4123" s="86"/>
      <c r="J4123" s="82"/>
      <c r="K4123" s="82"/>
      <c r="L4123" s="82"/>
      <c r="M4123" s="82"/>
      <c r="N4123" s="82"/>
      <c r="O4123" s="82"/>
      <c r="P4123" s="82"/>
      <c r="Q4123" s="82"/>
      <c r="R4123" s="82"/>
      <c r="S4123" s="82"/>
      <c r="T4123" s="82"/>
      <c r="U4123" s="82"/>
      <c r="V4123" s="82"/>
      <c r="W4123" s="82"/>
      <c r="X4123" s="82"/>
      <c r="Y4123" s="82"/>
      <c r="Z4123" s="82"/>
      <c r="AA4123" s="82"/>
      <c r="AB4123" s="82"/>
      <c r="AC4123" s="82"/>
      <c r="AD4123" s="82"/>
      <c r="AE4123" s="82"/>
      <c r="AF4123" s="82"/>
      <c r="AG4123" s="82"/>
      <c r="AH4123" s="82"/>
      <c r="AI4123" s="82"/>
      <c r="AJ4123" s="82"/>
      <c r="AK4123" s="82"/>
      <c r="AL4123" s="82"/>
      <c r="AM4123" s="82"/>
      <c r="AN4123" s="82">
        <f>IFERROR(__xludf.DUMMYFUNCTION("""COMPUTED_VALUE"""),0.0)</f>
        <v>0</v>
      </c>
      <c r="AO4123" s="82">
        <f>IFERROR(__xludf.DUMMYFUNCTION("""COMPUTED_VALUE"""),0.0)</f>
        <v>0</v>
      </c>
      <c r="AP4123" s="82">
        <f>IFERROR(__xludf.DUMMYFUNCTION("""COMPUTED_VALUE"""),0.0)</f>
        <v>0</v>
      </c>
      <c r="AQ4123" s="82">
        <f>IFERROR(__xludf.DUMMYFUNCTION("""COMPUTED_VALUE"""),0.0)</f>
        <v>0</v>
      </c>
      <c r="AR4123" s="82">
        <f>IFERROR(__xludf.DUMMYFUNCTION("""COMPUTED_VALUE"""),0.0)</f>
        <v>0</v>
      </c>
      <c r="AS4123" s="82"/>
      <c r="AT4123" s="82">
        <f>IFERROR(__xludf.DUMMYFUNCTION("""COMPUTED_VALUE"""),0.0)</f>
        <v>0</v>
      </c>
      <c r="AU4123" s="82"/>
      <c r="AV4123" s="82"/>
      <c r="AW4123" s="82" t="str">
        <f t="shared" si="1"/>
        <v/>
      </c>
      <c r="AX4123" s="83" t="str">
        <f t="array" ref="AX4123">IFERROR(DGET('SBV Import'!A:G,"SBV",{"RSC ID","Tier";B4123,A4123}))</f>
        <v/>
      </c>
      <c r="AY4123" s="82" t="str">
        <f t="shared" si="2"/>
        <v/>
      </c>
      <c r="AZ4123" s="82"/>
      <c r="BA4123" s="84" t="s">
        <v>152</v>
      </c>
      <c r="BB4123" s="84" t="str">
        <f>IFERROR(__xludf.DUMMYFUNCTION("iferror(if(A4123="""",,E4123&gt;=FILTER(Constants!$F$2:$F$10,Constants!$A$2:$A$10=A4123)))"),"")</f>
        <v/>
      </c>
    </row>
    <row r="4124">
      <c r="A4124" s="89"/>
      <c r="B4124" s="87"/>
      <c r="C4124" s="73"/>
      <c r="D4124" s="73"/>
      <c r="E4124" s="82"/>
      <c r="F4124" s="82"/>
      <c r="G4124" s="86"/>
      <c r="H4124" s="86"/>
      <c r="I4124" s="86"/>
      <c r="J4124" s="82"/>
      <c r="K4124" s="82"/>
      <c r="L4124" s="82"/>
      <c r="M4124" s="82"/>
      <c r="N4124" s="82"/>
      <c r="O4124" s="82"/>
      <c r="P4124" s="82"/>
      <c r="Q4124" s="82"/>
      <c r="R4124" s="82"/>
      <c r="S4124" s="82"/>
      <c r="T4124" s="82"/>
      <c r="U4124" s="82"/>
      <c r="V4124" s="82"/>
      <c r="W4124" s="82"/>
      <c r="X4124" s="82"/>
      <c r="Y4124" s="82"/>
      <c r="Z4124" s="82"/>
      <c r="AA4124" s="82"/>
      <c r="AB4124" s="82"/>
      <c r="AC4124" s="82"/>
      <c r="AD4124" s="82"/>
      <c r="AE4124" s="82"/>
      <c r="AF4124" s="82"/>
      <c r="AG4124" s="82"/>
      <c r="AH4124" s="82"/>
      <c r="AI4124" s="82"/>
      <c r="AJ4124" s="82"/>
      <c r="AK4124" s="82"/>
      <c r="AL4124" s="82"/>
      <c r="AM4124" s="82"/>
      <c r="AN4124" s="82">
        <f>IFERROR(__xludf.DUMMYFUNCTION("""COMPUTED_VALUE"""),0.0)</f>
        <v>0</v>
      </c>
      <c r="AO4124" s="82">
        <f>IFERROR(__xludf.DUMMYFUNCTION("""COMPUTED_VALUE"""),0.0)</f>
        <v>0</v>
      </c>
      <c r="AP4124" s="82">
        <f>IFERROR(__xludf.DUMMYFUNCTION("""COMPUTED_VALUE"""),0.0)</f>
        <v>0</v>
      </c>
      <c r="AQ4124" s="82">
        <f>IFERROR(__xludf.DUMMYFUNCTION("""COMPUTED_VALUE"""),0.0)</f>
        <v>0</v>
      </c>
      <c r="AR4124" s="82">
        <f>IFERROR(__xludf.DUMMYFUNCTION("""COMPUTED_VALUE"""),0.0)</f>
        <v>0</v>
      </c>
      <c r="AS4124" s="82"/>
      <c r="AT4124" s="82">
        <f>IFERROR(__xludf.DUMMYFUNCTION("""COMPUTED_VALUE"""),0.0)</f>
        <v>0</v>
      </c>
      <c r="AU4124" s="82"/>
      <c r="AV4124" s="82"/>
      <c r="AW4124" s="82" t="str">
        <f t="shared" si="1"/>
        <v/>
      </c>
      <c r="AX4124" s="83" t="str">
        <f t="array" ref="AX4124">IFERROR(DGET('SBV Import'!A:G,"SBV",{"RSC ID","Tier";B4124,A4124}))</f>
        <v/>
      </c>
      <c r="AY4124" s="82" t="str">
        <f t="shared" si="2"/>
        <v/>
      </c>
      <c r="AZ4124" s="82"/>
      <c r="BA4124" s="84" t="s">
        <v>152</v>
      </c>
      <c r="BB4124" s="84" t="str">
        <f>IFERROR(__xludf.DUMMYFUNCTION("iferror(if(A4124="""",,E4124&gt;=FILTER(Constants!$F$2:$F$10,Constants!$A$2:$A$10=A4124)))"),"")</f>
        <v/>
      </c>
    </row>
    <row r="4125">
      <c r="A4125" s="89"/>
      <c r="B4125" s="87"/>
      <c r="C4125" s="73"/>
      <c r="D4125" s="73"/>
      <c r="E4125" s="82"/>
      <c r="F4125" s="82"/>
      <c r="G4125" s="86"/>
      <c r="H4125" s="86"/>
      <c r="I4125" s="86"/>
      <c r="J4125" s="82"/>
      <c r="K4125" s="82"/>
      <c r="L4125" s="82"/>
      <c r="M4125" s="82"/>
      <c r="N4125" s="82"/>
      <c r="O4125" s="82"/>
      <c r="P4125" s="82"/>
      <c r="Q4125" s="82"/>
      <c r="R4125" s="82"/>
      <c r="S4125" s="82"/>
      <c r="T4125" s="82"/>
      <c r="U4125" s="82"/>
      <c r="V4125" s="82"/>
      <c r="W4125" s="82"/>
      <c r="X4125" s="82"/>
      <c r="Y4125" s="82"/>
      <c r="Z4125" s="82"/>
      <c r="AA4125" s="82"/>
      <c r="AB4125" s="82"/>
      <c r="AC4125" s="82"/>
      <c r="AD4125" s="82"/>
      <c r="AE4125" s="82"/>
      <c r="AF4125" s="82"/>
      <c r="AG4125" s="82"/>
      <c r="AH4125" s="82"/>
      <c r="AI4125" s="82"/>
      <c r="AJ4125" s="82"/>
      <c r="AK4125" s="82"/>
      <c r="AL4125" s="82"/>
      <c r="AM4125" s="82"/>
      <c r="AN4125" s="82">
        <f>IFERROR(__xludf.DUMMYFUNCTION("""COMPUTED_VALUE"""),0.0)</f>
        <v>0</v>
      </c>
      <c r="AO4125" s="82">
        <f>IFERROR(__xludf.DUMMYFUNCTION("""COMPUTED_VALUE"""),0.0)</f>
        <v>0</v>
      </c>
      <c r="AP4125" s="82">
        <f>IFERROR(__xludf.DUMMYFUNCTION("""COMPUTED_VALUE"""),0.0)</f>
        <v>0</v>
      </c>
      <c r="AQ4125" s="82">
        <f>IFERROR(__xludf.DUMMYFUNCTION("""COMPUTED_VALUE"""),0.0)</f>
        <v>0</v>
      </c>
      <c r="AR4125" s="82">
        <f>IFERROR(__xludf.DUMMYFUNCTION("""COMPUTED_VALUE"""),0.0)</f>
        <v>0</v>
      </c>
      <c r="AS4125" s="82"/>
      <c r="AT4125" s="82">
        <f>IFERROR(__xludf.DUMMYFUNCTION("""COMPUTED_VALUE"""),0.0)</f>
        <v>0</v>
      </c>
      <c r="AU4125" s="82"/>
      <c r="AV4125" s="82"/>
      <c r="AW4125" s="82" t="str">
        <f t="shared" si="1"/>
        <v/>
      </c>
      <c r="AX4125" s="83" t="str">
        <f t="array" ref="AX4125">IFERROR(DGET('SBV Import'!A:G,"SBV",{"RSC ID","Tier";B4125,A4125}))</f>
        <v/>
      </c>
      <c r="AY4125" s="82" t="str">
        <f t="shared" si="2"/>
        <v/>
      </c>
      <c r="AZ4125" s="82"/>
      <c r="BA4125" s="84" t="s">
        <v>152</v>
      </c>
      <c r="BB4125" s="84" t="str">
        <f>IFERROR(__xludf.DUMMYFUNCTION("iferror(if(A4125="""",,E4125&gt;=FILTER(Constants!$F$2:$F$10,Constants!$A$2:$A$10=A4125)))"),"")</f>
        <v/>
      </c>
    </row>
    <row r="4126">
      <c r="A4126" s="89"/>
      <c r="B4126" s="87"/>
      <c r="C4126" s="73"/>
      <c r="D4126" s="73"/>
      <c r="E4126" s="82"/>
      <c r="F4126" s="82"/>
      <c r="G4126" s="86"/>
      <c r="H4126" s="86"/>
      <c r="I4126" s="86"/>
      <c r="J4126" s="82"/>
      <c r="K4126" s="82"/>
      <c r="L4126" s="82"/>
      <c r="M4126" s="82"/>
      <c r="N4126" s="82"/>
      <c r="O4126" s="82"/>
      <c r="P4126" s="82"/>
      <c r="Q4126" s="82"/>
      <c r="R4126" s="82"/>
      <c r="S4126" s="82"/>
      <c r="T4126" s="82"/>
      <c r="U4126" s="82"/>
      <c r="V4126" s="82"/>
      <c r="W4126" s="82"/>
      <c r="X4126" s="82"/>
      <c r="Y4126" s="82"/>
      <c r="Z4126" s="82"/>
      <c r="AA4126" s="82"/>
      <c r="AB4126" s="82"/>
      <c r="AC4126" s="82"/>
      <c r="AD4126" s="82"/>
      <c r="AE4126" s="82"/>
      <c r="AF4126" s="82"/>
      <c r="AG4126" s="82"/>
      <c r="AH4126" s="82"/>
      <c r="AI4126" s="82"/>
      <c r="AJ4126" s="82"/>
      <c r="AK4126" s="82"/>
      <c r="AL4126" s="82"/>
      <c r="AM4126" s="82"/>
      <c r="AN4126" s="82">
        <f>IFERROR(__xludf.DUMMYFUNCTION("""COMPUTED_VALUE"""),0.0)</f>
        <v>0</v>
      </c>
      <c r="AO4126" s="82">
        <f>IFERROR(__xludf.DUMMYFUNCTION("""COMPUTED_VALUE"""),0.0)</f>
        <v>0</v>
      </c>
      <c r="AP4126" s="82">
        <f>IFERROR(__xludf.DUMMYFUNCTION("""COMPUTED_VALUE"""),0.0)</f>
        <v>0</v>
      </c>
      <c r="AQ4126" s="82">
        <f>IFERROR(__xludf.DUMMYFUNCTION("""COMPUTED_VALUE"""),0.0)</f>
        <v>0</v>
      </c>
      <c r="AR4126" s="82">
        <f>IFERROR(__xludf.DUMMYFUNCTION("""COMPUTED_VALUE"""),0.0)</f>
        <v>0</v>
      </c>
      <c r="AS4126" s="82"/>
      <c r="AT4126" s="82">
        <f>IFERROR(__xludf.DUMMYFUNCTION("""COMPUTED_VALUE"""),0.0)</f>
        <v>0</v>
      </c>
      <c r="AU4126" s="82"/>
      <c r="AV4126" s="82"/>
      <c r="AW4126" s="82" t="str">
        <f t="shared" si="1"/>
        <v/>
      </c>
      <c r="AX4126" s="83" t="str">
        <f t="array" ref="AX4126">IFERROR(DGET('SBV Import'!A:G,"SBV",{"RSC ID","Tier";B4126,A4126}))</f>
        <v/>
      </c>
      <c r="AY4126" s="82" t="str">
        <f t="shared" si="2"/>
        <v/>
      </c>
      <c r="AZ4126" s="82"/>
      <c r="BA4126" s="84" t="s">
        <v>152</v>
      </c>
      <c r="BB4126" s="84" t="str">
        <f>IFERROR(__xludf.DUMMYFUNCTION("iferror(if(A4126="""",,E4126&gt;=FILTER(Constants!$F$2:$F$10,Constants!$A$2:$A$10=A4126)))"),"")</f>
        <v/>
      </c>
    </row>
    <row r="4127">
      <c r="A4127" s="89"/>
      <c r="B4127" s="87"/>
      <c r="C4127" s="73"/>
      <c r="D4127" s="73"/>
      <c r="E4127" s="82"/>
      <c r="F4127" s="82"/>
      <c r="G4127" s="86"/>
      <c r="H4127" s="86"/>
      <c r="I4127" s="86"/>
      <c r="J4127" s="82"/>
      <c r="K4127" s="82"/>
      <c r="L4127" s="82"/>
      <c r="M4127" s="82"/>
      <c r="N4127" s="82"/>
      <c r="O4127" s="82"/>
      <c r="P4127" s="82"/>
      <c r="Q4127" s="82"/>
      <c r="R4127" s="82"/>
      <c r="S4127" s="82"/>
      <c r="T4127" s="82"/>
      <c r="U4127" s="82"/>
      <c r="V4127" s="82"/>
      <c r="W4127" s="82"/>
      <c r="X4127" s="82"/>
      <c r="Y4127" s="82"/>
      <c r="Z4127" s="82"/>
      <c r="AA4127" s="82"/>
      <c r="AB4127" s="82"/>
      <c r="AC4127" s="82"/>
      <c r="AD4127" s="82"/>
      <c r="AE4127" s="82"/>
      <c r="AF4127" s="82"/>
      <c r="AG4127" s="82"/>
      <c r="AH4127" s="82"/>
      <c r="AI4127" s="82"/>
      <c r="AJ4127" s="82"/>
      <c r="AK4127" s="82"/>
      <c r="AL4127" s="82"/>
      <c r="AM4127" s="82"/>
      <c r="AN4127" s="82">
        <f>IFERROR(__xludf.DUMMYFUNCTION("""COMPUTED_VALUE"""),0.0)</f>
        <v>0</v>
      </c>
      <c r="AO4127" s="82">
        <f>IFERROR(__xludf.DUMMYFUNCTION("""COMPUTED_VALUE"""),0.0)</f>
        <v>0</v>
      </c>
      <c r="AP4127" s="82">
        <f>IFERROR(__xludf.DUMMYFUNCTION("""COMPUTED_VALUE"""),0.0)</f>
        <v>0</v>
      </c>
      <c r="AQ4127" s="82">
        <f>IFERROR(__xludf.DUMMYFUNCTION("""COMPUTED_VALUE"""),0.0)</f>
        <v>0</v>
      </c>
      <c r="AR4127" s="82">
        <f>IFERROR(__xludf.DUMMYFUNCTION("""COMPUTED_VALUE"""),0.0)</f>
        <v>0</v>
      </c>
      <c r="AS4127" s="82"/>
      <c r="AT4127" s="82">
        <f>IFERROR(__xludf.DUMMYFUNCTION("""COMPUTED_VALUE"""),0.0)</f>
        <v>0</v>
      </c>
      <c r="AU4127" s="82"/>
      <c r="AV4127" s="82"/>
      <c r="AW4127" s="82" t="str">
        <f t="shared" si="1"/>
        <v/>
      </c>
      <c r="AX4127" s="83" t="str">
        <f t="array" ref="AX4127">IFERROR(DGET('SBV Import'!A:G,"SBV",{"RSC ID","Tier";B4127,A4127}))</f>
        <v/>
      </c>
      <c r="AY4127" s="82" t="str">
        <f t="shared" si="2"/>
        <v/>
      </c>
      <c r="AZ4127" s="82"/>
      <c r="BA4127" s="84" t="s">
        <v>152</v>
      </c>
      <c r="BB4127" s="84" t="str">
        <f>IFERROR(__xludf.DUMMYFUNCTION("iferror(if(A4127="""",,E4127&gt;=FILTER(Constants!$F$2:$F$10,Constants!$A$2:$A$10=A4127)))"),"")</f>
        <v/>
      </c>
    </row>
    <row r="4128">
      <c r="A4128" s="89"/>
      <c r="B4128" s="87"/>
      <c r="C4128" s="73"/>
      <c r="D4128" s="73"/>
      <c r="E4128" s="82"/>
      <c r="F4128" s="82"/>
      <c r="G4128" s="86"/>
      <c r="H4128" s="86"/>
      <c r="I4128" s="86"/>
      <c r="J4128" s="82"/>
      <c r="K4128" s="82"/>
      <c r="L4128" s="82"/>
      <c r="M4128" s="82"/>
      <c r="N4128" s="82"/>
      <c r="O4128" s="82"/>
      <c r="P4128" s="82"/>
      <c r="Q4128" s="82"/>
      <c r="R4128" s="82"/>
      <c r="S4128" s="82"/>
      <c r="T4128" s="82"/>
      <c r="U4128" s="82"/>
      <c r="V4128" s="82"/>
      <c r="W4128" s="82"/>
      <c r="X4128" s="82"/>
      <c r="Y4128" s="82"/>
      <c r="Z4128" s="82"/>
      <c r="AA4128" s="82"/>
      <c r="AB4128" s="82"/>
      <c r="AC4128" s="82"/>
      <c r="AD4128" s="82"/>
      <c r="AE4128" s="82"/>
      <c r="AF4128" s="82"/>
      <c r="AG4128" s="82"/>
      <c r="AH4128" s="82"/>
      <c r="AI4128" s="82"/>
      <c r="AJ4128" s="82"/>
      <c r="AK4128" s="82"/>
      <c r="AL4128" s="82"/>
      <c r="AM4128" s="82"/>
      <c r="AN4128" s="82">
        <f>IFERROR(__xludf.DUMMYFUNCTION("""COMPUTED_VALUE"""),0.0)</f>
        <v>0</v>
      </c>
      <c r="AO4128" s="82">
        <f>IFERROR(__xludf.DUMMYFUNCTION("""COMPUTED_VALUE"""),0.0)</f>
        <v>0</v>
      </c>
      <c r="AP4128" s="82">
        <f>IFERROR(__xludf.DUMMYFUNCTION("""COMPUTED_VALUE"""),0.0)</f>
        <v>0</v>
      </c>
      <c r="AQ4128" s="82">
        <f>IFERROR(__xludf.DUMMYFUNCTION("""COMPUTED_VALUE"""),0.0)</f>
        <v>0</v>
      </c>
      <c r="AR4128" s="82">
        <f>IFERROR(__xludf.DUMMYFUNCTION("""COMPUTED_VALUE"""),0.0)</f>
        <v>0</v>
      </c>
      <c r="AS4128" s="82"/>
      <c r="AT4128" s="82">
        <f>IFERROR(__xludf.DUMMYFUNCTION("""COMPUTED_VALUE"""),0.0)</f>
        <v>0</v>
      </c>
      <c r="AU4128" s="82"/>
      <c r="AV4128" s="82"/>
      <c r="AW4128" s="82" t="str">
        <f t="shared" si="1"/>
        <v/>
      </c>
      <c r="AX4128" s="83" t="str">
        <f t="array" ref="AX4128">IFERROR(DGET('SBV Import'!A:G,"SBV",{"RSC ID","Tier";B4128,A4128}))</f>
        <v/>
      </c>
      <c r="AY4128" s="82" t="str">
        <f t="shared" si="2"/>
        <v/>
      </c>
      <c r="AZ4128" s="82"/>
      <c r="BA4128" s="84" t="s">
        <v>152</v>
      </c>
      <c r="BB4128" s="84" t="str">
        <f>IFERROR(__xludf.DUMMYFUNCTION("iferror(if(A4128="""",,E4128&gt;=FILTER(Constants!$F$2:$F$10,Constants!$A$2:$A$10=A4128)))"),"")</f>
        <v/>
      </c>
    </row>
    <row r="4129">
      <c r="A4129" s="89"/>
      <c r="B4129" s="87"/>
      <c r="C4129" s="73"/>
      <c r="D4129" s="73"/>
      <c r="E4129" s="82"/>
      <c r="F4129" s="82"/>
      <c r="G4129" s="86"/>
      <c r="H4129" s="86"/>
      <c r="I4129" s="86"/>
      <c r="J4129" s="82"/>
      <c r="K4129" s="82"/>
      <c r="L4129" s="82"/>
      <c r="M4129" s="82"/>
      <c r="N4129" s="82"/>
      <c r="O4129" s="82"/>
      <c r="P4129" s="82"/>
      <c r="Q4129" s="82"/>
      <c r="R4129" s="82"/>
      <c r="S4129" s="82"/>
      <c r="T4129" s="82"/>
      <c r="U4129" s="82"/>
      <c r="V4129" s="82"/>
      <c r="W4129" s="82"/>
      <c r="X4129" s="82"/>
      <c r="Y4129" s="82"/>
      <c r="Z4129" s="82"/>
      <c r="AA4129" s="82"/>
      <c r="AB4129" s="82"/>
      <c r="AC4129" s="82"/>
      <c r="AD4129" s="82"/>
      <c r="AE4129" s="82"/>
      <c r="AF4129" s="82"/>
      <c r="AG4129" s="82"/>
      <c r="AH4129" s="82"/>
      <c r="AI4129" s="82"/>
      <c r="AJ4129" s="82"/>
      <c r="AK4129" s="82"/>
      <c r="AL4129" s="82"/>
      <c r="AM4129" s="82"/>
      <c r="AN4129" s="82">
        <f>IFERROR(__xludf.DUMMYFUNCTION("""COMPUTED_VALUE"""),0.0)</f>
        <v>0</v>
      </c>
      <c r="AO4129" s="82">
        <f>IFERROR(__xludf.DUMMYFUNCTION("""COMPUTED_VALUE"""),0.0)</f>
        <v>0</v>
      </c>
      <c r="AP4129" s="82">
        <f>IFERROR(__xludf.DUMMYFUNCTION("""COMPUTED_VALUE"""),0.0)</f>
        <v>0</v>
      </c>
      <c r="AQ4129" s="82">
        <f>IFERROR(__xludf.DUMMYFUNCTION("""COMPUTED_VALUE"""),0.0)</f>
        <v>0</v>
      </c>
      <c r="AR4129" s="82">
        <f>IFERROR(__xludf.DUMMYFUNCTION("""COMPUTED_VALUE"""),0.0)</f>
        <v>0</v>
      </c>
      <c r="AS4129" s="82"/>
      <c r="AT4129" s="82">
        <f>IFERROR(__xludf.DUMMYFUNCTION("""COMPUTED_VALUE"""),0.0)</f>
        <v>0</v>
      </c>
      <c r="AU4129" s="82"/>
      <c r="AV4129" s="82"/>
      <c r="AW4129" s="82" t="str">
        <f t="shared" si="1"/>
        <v/>
      </c>
      <c r="AX4129" s="83" t="str">
        <f t="array" ref="AX4129">IFERROR(DGET('SBV Import'!A:G,"SBV",{"RSC ID","Tier";B4129,A4129}))</f>
        <v/>
      </c>
      <c r="AY4129" s="82" t="str">
        <f t="shared" si="2"/>
        <v/>
      </c>
      <c r="AZ4129" s="82"/>
      <c r="BA4129" s="84" t="s">
        <v>152</v>
      </c>
      <c r="BB4129" s="84" t="str">
        <f>IFERROR(__xludf.DUMMYFUNCTION("iferror(if(A4129="""",,E4129&gt;=FILTER(Constants!$F$2:$F$10,Constants!$A$2:$A$10=A4129)))"),"")</f>
        <v/>
      </c>
    </row>
    <row r="4130">
      <c r="A4130" s="89"/>
      <c r="B4130" s="87"/>
      <c r="C4130" s="73"/>
      <c r="D4130" s="73"/>
      <c r="E4130" s="82"/>
      <c r="F4130" s="82"/>
      <c r="G4130" s="86"/>
      <c r="H4130" s="86"/>
      <c r="I4130" s="86"/>
      <c r="J4130" s="82"/>
      <c r="K4130" s="82"/>
      <c r="L4130" s="82"/>
      <c r="M4130" s="82"/>
      <c r="N4130" s="82"/>
      <c r="O4130" s="82"/>
      <c r="P4130" s="82"/>
      <c r="Q4130" s="82"/>
      <c r="R4130" s="82"/>
      <c r="S4130" s="82"/>
      <c r="T4130" s="82"/>
      <c r="U4130" s="82"/>
      <c r="V4130" s="82"/>
      <c r="W4130" s="82"/>
      <c r="X4130" s="82"/>
      <c r="Y4130" s="82"/>
      <c r="Z4130" s="82"/>
      <c r="AA4130" s="82"/>
      <c r="AB4130" s="82"/>
      <c r="AC4130" s="82"/>
      <c r="AD4130" s="82"/>
      <c r="AE4130" s="82"/>
      <c r="AF4130" s="82"/>
      <c r="AG4130" s="82"/>
      <c r="AH4130" s="82"/>
      <c r="AI4130" s="82"/>
      <c r="AJ4130" s="82"/>
      <c r="AK4130" s="82"/>
      <c r="AL4130" s="82"/>
      <c r="AM4130" s="82"/>
      <c r="AN4130" s="82">
        <f>IFERROR(__xludf.DUMMYFUNCTION("""COMPUTED_VALUE"""),0.0)</f>
        <v>0</v>
      </c>
      <c r="AO4130" s="82">
        <f>IFERROR(__xludf.DUMMYFUNCTION("""COMPUTED_VALUE"""),0.0)</f>
        <v>0</v>
      </c>
      <c r="AP4130" s="82">
        <f>IFERROR(__xludf.DUMMYFUNCTION("""COMPUTED_VALUE"""),0.0)</f>
        <v>0</v>
      </c>
      <c r="AQ4130" s="82">
        <f>IFERROR(__xludf.DUMMYFUNCTION("""COMPUTED_VALUE"""),0.0)</f>
        <v>0</v>
      </c>
      <c r="AR4130" s="82">
        <f>IFERROR(__xludf.DUMMYFUNCTION("""COMPUTED_VALUE"""),0.0)</f>
        <v>0</v>
      </c>
      <c r="AS4130" s="82"/>
      <c r="AT4130" s="82">
        <f>IFERROR(__xludf.DUMMYFUNCTION("""COMPUTED_VALUE"""),0.0)</f>
        <v>0</v>
      </c>
      <c r="AU4130" s="82"/>
      <c r="AV4130" s="82"/>
      <c r="AW4130" s="82" t="str">
        <f t="shared" si="1"/>
        <v/>
      </c>
      <c r="AX4130" s="83" t="str">
        <f t="array" ref="AX4130">IFERROR(DGET('SBV Import'!A:G,"SBV",{"RSC ID","Tier";B4130,A4130}))</f>
        <v/>
      </c>
      <c r="AY4130" s="82" t="str">
        <f t="shared" si="2"/>
        <v/>
      </c>
      <c r="AZ4130" s="82"/>
      <c r="BA4130" s="84" t="s">
        <v>152</v>
      </c>
      <c r="BB4130" s="84" t="str">
        <f>IFERROR(__xludf.DUMMYFUNCTION("iferror(if(A4130="""",,E4130&gt;=FILTER(Constants!$F$2:$F$10,Constants!$A$2:$A$10=A4130)))"),"")</f>
        <v/>
      </c>
    </row>
    <row r="4131">
      <c r="A4131" s="89"/>
      <c r="B4131" s="87"/>
      <c r="C4131" s="73"/>
      <c r="D4131" s="73"/>
      <c r="E4131" s="82"/>
      <c r="F4131" s="82"/>
      <c r="G4131" s="86"/>
      <c r="H4131" s="86"/>
      <c r="I4131" s="86"/>
      <c r="J4131" s="82"/>
      <c r="K4131" s="82"/>
      <c r="L4131" s="82"/>
      <c r="M4131" s="82"/>
      <c r="N4131" s="82"/>
      <c r="O4131" s="82"/>
      <c r="P4131" s="82"/>
      <c r="Q4131" s="82"/>
      <c r="R4131" s="82"/>
      <c r="S4131" s="82"/>
      <c r="T4131" s="82"/>
      <c r="U4131" s="82"/>
      <c r="V4131" s="82"/>
      <c r="W4131" s="82"/>
      <c r="X4131" s="82"/>
      <c r="Y4131" s="82"/>
      <c r="Z4131" s="82"/>
      <c r="AA4131" s="82"/>
      <c r="AB4131" s="82"/>
      <c r="AC4131" s="82"/>
      <c r="AD4131" s="82"/>
      <c r="AE4131" s="82"/>
      <c r="AF4131" s="82"/>
      <c r="AG4131" s="82"/>
      <c r="AH4131" s="82"/>
      <c r="AI4131" s="82"/>
      <c r="AJ4131" s="82"/>
      <c r="AK4131" s="82"/>
      <c r="AL4131" s="82"/>
      <c r="AM4131" s="82"/>
      <c r="AN4131" s="82">
        <f>IFERROR(__xludf.DUMMYFUNCTION("""COMPUTED_VALUE"""),0.0)</f>
        <v>0</v>
      </c>
      <c r="AO4131" s="82">
        <f>IFERROR(__xludf.DUMMYFUNCTION("""COMPUTED_VALUE"""),0.0)</f>
        <v>0</v>
      </c>
      <c r="AP4131" s="82">
        <f>IFERROR(__xludf.DUMMYFUNCTION("""COMPUTED_VALUE"""),0.0)</f>
        <v>0</v>
      </c>
      <c r="AQ4131" s="82">
        <f>IFERROR(__xludf.DUMMYFUNCTION("""COMPUTED_VALUE"""),0.0)</f>
        <v>0</v>
      </c>
      <c r="AR4131" s="82">
        <f>IFERROR(__xludf.DUMMYFUNCTION("""COMPUTED_VALUE"""),0.0)</f>
        <v>0</v>
      </c>
      <c r="AS4131" s="82"/>
      <c r="AT4131" s="82">
        <f>IFERROR(__xludf.DUMMYFUNCTION("""COMPUTED_VALUE"""),0.0)</f>
        <v>0</v>
      </c>
      <c r="AU4131" s="82"/>
      <c r="AV4131" s="82"/>
      <c r="AW4131" s="82" t="str">
        <f t="shared" si="1"/>
        <v/>
      </c>
      <c r="AX4131" s="83" t="str">
        <f t="array" ref="AX4131">IFERROR(DGET('SBV Import'!A:G,"SBV",{"RSC ID","Tier";B4131,A4131}))</f>
        <v/>
      </c>
      <c r="AY4131" s="82" t="str">
        <f t="shared" si="2"/>
        <v/>
      </c>
      <c r="AZ4131" s="82"/>
      <c r="BA4131" s="84" t="s">
        <v>152</v>
      </c>
      <c r="BB4131" s="84" t="str">
        <f>IFERROR(__xludf.DUMMYFUNCTION("iferror(if(A4131="""",,E4131&gt;=FILTER(Constants!$F$2:$F$10,Constants!$A$2:$A$10=A4131)))"),"")</f>
        <v/>
      </c>
    </row>
    <row r="4132">
      <c r="A4132" s="89"/>
      <c r="B4132" s="87"/>
      <c r="C4132" s="73"/>
      <c r="D4132" s="73"/>
      <c r="E4132" s="82"/>
      <c r="F4132" s="82"/>
      <c r="G4132" s="86"/>
      <c r="H4132" s="86"/>
      <c r="I4132" s="86"/>
      <c r="J4132" s="82"/>
      <c r="K4132" s="82"/>
      <c r="L4132" s="82"/>
      <c r="M4132" s="82"/>
      <c r="N4132" s="82"/>
      <c r="O4132" s="82"/>
      <c r="P4132" s="82"/>
      <c r="Q4132" s="82"/>
      <c r="R4132" s="82"/>
      <c r="S4132" s="82"/>
      <c r="T4132" s="82"/>
      <c r="U4132" s="82"/>
      <c r="V4132" s="82"/>
      <c r="W4132" s="82"/>
      <c r="X4132" s="82"/>
      <c r="Y4132" s="82"/>
      <c r="Z4132" s="82"/>
      <c r="AA4132" s="82"/>
      <c r="AB4132" s="82"/>
      <c r="AC4132" s="82"/>
      <c r="AD4132" s="82"/>
      <c r="AE4132" s="82"/>
      <c r="AF4132" s="82"/>
      <c r="AG4132" s="82"/>
      <c r="AH4132" s="82"/>
      <c r="AI4132" s="82"/>
      <c r="AJ4132" s="82"/>
      <c r="AK4132" s="82"/>
      <c r="AL4132" s="82"/>
      <c r="AM4132" s="82"/>
      <c r="AN4132" s="82">
        <f>IFERROR(__xludf.DUMMYFUNCTION("""COMPUTED_VALUE"""),0.0)</f>
        <v>0</v>
      </c>
      <c r="AO4132" s="82">
        <f>IFERROR(__xludf.DUMMYFUNCTION("""COMPUTED_VALUE"""),0.0)</f>
        <v>0</v>
      </c>
      <c r="AP4132" s="82">
        <f>IFERROR(__xludf.DUMMYFUNCTION("""COMPUTED_VALUE"""),0.0)</f>
        <v>0</v>
      </c>
      <c r="AQ4132" s="82">
        <f>IFERROR(__xludf.DUMMYFUNCTION("""COMPUTED_VALUE"""),0.0)</f>
        <v>0</v>
      </c>
      <c r="AR4132" s="82">
        <f>IFERROR(__xludf.DUMMYFUNCTION("""COMPUTED_VALUE"""),0.0)</f>
        <v>0</v>
      </c>
      <c r="AS4132" s="82"/>
      <c r="AT4132" s="82">
        <f>IFERROR(__xludf.DUMMYFUNCTION("""COMPUTED_VALUE"""),0.0)</f>
        <v>0</v>
      </c>
      <c r="AU4132" s="82"/>
      <c r="AV4132" s="82"/>
      <c r="AW4132" s="82" t="str">
        <f t="shared" si="1"/>
        <v/>
      </c>
      <c r="AX4132" s="83" t="str">
        <f t="array" ref="AX4132">IFERROR(DGET('SBV Import'!A:G,"SBV",{"RSC ID","Tier";B4132,A4132}))</f>
        <v/>
      </c>
      <c r="AY4132" s="82" t="str">
        <f t="shared" si="2"/>
        <v/>
      </c>
      <c r="AZ4132" s="82"/>
      <c r="BA4132" s="84" t="s">
        <v>152</v>
      </c>
      <c r="BB4132" s="84" t="str">
        <f>IFERROR(__xludf.DUMMYFUNCTION("iferror(if(A4132="""",,E4132&gt;=FILTER(Constants!$F$2:$F$10,Constants!$A$2:$A$10=A4132)))"),"")</f>
        <v/>
      </c>
    </row>
    <row r="4133">
      <c r="A4133" s="89"/>
      <c r="B4133" s="87"/>
      <c r="C4133" s="73"/>
      <c r="D4133" s="73"/>
      <c r="E4133" s="82"/>
      <c r="F4133" s="82"/>
      <c r="G4133" s="86"/>
      <c r="H4133" s="86"/>
      <c r="I4133" s="86"/>
      <c r="J4133" s="82"/>
      <c r="K4133" s="82"/>
      <c r="L4133" s="82"/>
      <c r="M4133" s="82"/>
      <c r="N4133" s="82"/>
      <c r="O4133" s="82"/>
      <c r="P4133" s="82"/>
      <c r="Q4133" s="82"/>
      <c r="R4133" s="82"/>
      <c r="S4133" s="82"/>
      <c r="T4133" s="82"/>
      <c r="U4133" s="82"/>
      <c r="V4133" s="82"/>
      <c r="W4133" s="82"/>
      <c r="X4133" s="82"/>
      <c r="Y4133" s="82"/>
      <c r="Z4133" s="82"/>
      <c r="AA4133" s="82"/>
      <c r="AB4133" s="82"/>
      <c r="AC4133" s="82"/>
      <c r="AD4133" s="82"/>
      <c r="AE4133" s="82"/>
      <c r="AF4133" s="82"/>
      <c r="AG4133" s="82"/>
      <c r="AH4133" s="82"/>
      <c r="AI4133" s="82"/>
      <c r="AJ4133" s="82"/>
      <c r="AK4133" s="82"/>
      <c r="AL4133" s="82"/>
      <c r="AM4133" s="82"/>
      <c r="AN4133" s="82">
        <f>IFERROR(__xludf.DUMMYFUNCTION("""COMPUTED_VALUE"""),0.0)</f>
        <v>0</v>
      </c>
      <c r="AO4133" s="82">
        <f>IFERROR(__xludf.DUMMYFUNCTION("""COMPUTED_VALUE"""),0.0)</f>
        <v>0</v>
      </c>
      <c r="AP4133" s="82">
        <f>IFERROR(__xludf.DUMMYFUNCTION("""COMPUTED_VALUE"""),0.0)</f>
        <v>0</v>
      </c>
      <c r="AQ4133" s="82">
        <f>IFERROR(__xludf.DUMMYFUNCTION("""COMPUTED_VALUE"""),0.0)</f>
        <v>0</v>
      </c>
      <c r="AR4133" s="82">
        <f>IFERROR(__xludf.DUMMYFUNCTION("""COMPUTED_VALUE"""),0.0)</f>
        <v>0</v>
      </c>
      <c r="AS4133" s="82"/>
      <c r="AT4133" s="82">
        <f>IFERROR(__xludf.DUMMYFUNCTION("""COMPUTED_VALUE"""),0.0)</f>
        <v>0</v>
      </c>
      <c r="AU4133" s="82"/>
      <c r="AV4133" s="82"/>
      <c r="AW4133" s="82" t="str">
        <f t="shared" si="1"/>
        <v/>
      </c>
      <c r="AX4133" s="83" t="str">
        <f t="array" ref="AX4133">IFERROR(DGET('SBV Import'!A:G,"SBV",{"RSC ID","Tier";B4133,A4133}))</f>
        <v/>
      </c>
      <c r="AY4133" s="82" t="str">
        <f t="shared" si="2"/>
        <v/>
      </c>
      <c r="AZ4133" s="82"/>
      <c r="BA4133" s="84" t="s">
        <v>152</v>
      </c>
      <c r="BB4133" s="84" t="str">
        <f>IFERROR(__xludf.DUMMYFUNCTION("iferror(if(A4133="""",,E4133&gt;=FILTER(Constants!$F$2:$F$10,Constants!$A$2:$A$10=A4133)))"),"")</f>
        <v/>
      </c>
    </row>
    <row r="4134">
      <c r="A4134" s="89"/>
      <c r="B4134" s="87"/>
      <c r="C4134" s="73"/>
      <c r="D4134" s="73"/>
      <c r="E4134" s="82"/>
      <c r="F4134" s="82"/>
      <c r="G4134" s="86"/>
      <c r="H4134" s="86"/>
      <c r="I4134" s="86"/>
      <c r="J4134" s="82"/>
      <c r="K4134" s="82"/>
      <c r="L4134" s="82"/>
      <c r="M4134" s="82"/>
      <c r="N4134" s="82"/>
      <c r="O4134" s="82"/>
      <c r="P4134" s="82"/>
      <c r="Q4134" s="82"/>
      <c r="R4134" s="82"/>
      <c r="S4134" s="82"/>
      <c r="T4134" s="82"/>
      <c r="U4134" s="82"/>
      <c r="V4134" s="82"/>
      <c r="W4134" s="82"/>
      <c r="X4134" s="82"/>
      <c r="Y4134" s="82"/>
      <c r="Z4134" s="82"/>
      <c r="AA4134" s="82"/>
      <c r="AB4134" s="82"/>
      <c r="AC4134" s="82"/>
      <c r="AD4134" s="82"/>
      <c r="AE4134" s="82"/>
      <c r="AF4134" s="82"/>
      <c r="AG4134" s="82"/>
      <c r="AH4134" s="82"/>
      <c r="AI4134" s="82"/>
      <c r="AJ4134" s="82"/>
      <c r="AK4134" s="82"/>
      <c r="AL4134" s="82"/>
      <c r="AM4134" s="82"/>
      <c r="AN4134" s="82">
        <f>IFERROR(__xludf.DUMMYFUNCTION("""COMPUTED_VALUE"""),0.0)</f>
        <v>0</v>
      </c>
      <c r="AO4134" s="82">
        <f>IFERROR(__xludf.DUMMYFUNCTION("""COMPUTED_VALUE"""),0.0)</f>
        <v>0</v>
      </c>
      <c r="AP4134" s="82">
        <f>IFERROR(__xludf.DUMMYFUNCTION("""COMPUTED_VALUE"""),0.0)</f>
        <v>0</v>
      </c>
      <c r="AQ4134" s="82">
        <f>IFERROR(__xludf.DUMMYFUNCTION("""COMPUTED_VALUE"""),0.0)</f>
        <v>0</v>
      </c>
      <c r="AR4134" s="82">
        <f>IFERROR(__xludf.DUMMYFUNCTION("""COMPUTED_VALUE"""),0.0)</f>
        <v>0</v>
      </c>
      <c r="AS4134" s="82"/>
      <c r="AT4134" s="82">
        <f>IFERROR(__xludf.DUMMYFUNCTION("""COMPUTED_VALUE"""),0.0)</f>
        <v>0</v>
      </c>
      <c r="AU4134" s="82"/>
      <c r="AV4134" s="82"/>
      <c r="AW4134" s="82" t="str">
        <f t="shared" si="1"/>
        <v/>
      </c>
      <c r="AX4134" s="83" t="str">
        <f t="array" ref="AX4134">IFERROR(DGET('SBV Import'!A:G,"SBV",{"RSC ID","Tier";B4134,A4134}))</f>
        <v/>
      </c>
      <c r="AY4134" s="82" t="str">
        <f t="shared" si="2"/>
        <v/>
      </c>
      <c r="AZ4134" s="82"/>
      <c r="BA4134" s="84" t="s">
        <v>152</v>
      </c>
      <c r="BB4134" s="84" t="str">
        <f>IFERROR(__xludf.DUMMYFUNCTION("iferror(if(A4134="""",,E4134&gt;=FILTER(Constants!$F$2:$F$10,Constants!$A$2:$A$10=A4134)))"),"")</f>
        <v/>
      </c>
    </row>
    <row r="4135">
      <c r="A4135" s="89"/>
      <c r="B4135" s="87"/>
      <c r="C4135" s="73"/>
      <c r="D4135" s="73"/>
      <c r="E4135" s="82"/>
      <c r="F4135" s="82"/>
      <c r="G4135" s="86"/>
      <c r="H4135" s="86"/>
      <c r="I4135" s="86"/>
      <c r="J4135" s="82"/>
      <c r="K4135" s="82"/>
      <c r="L4135" s="82"/>
      <c r="M4135" s="82"/>
      <c r="N4135" s="82"/>
      <c r="O4135" s="82"/>
      <c r="P4135" s="82"/>
      <c r="Q4135" s="82"/>
      <c r="R4135" s="82"/>
      <c r="S4135" s="82"/>
      <c r="T4135" s="82"/>
      <c r="U4135" s="82"/>
      <c r="V4135" s="82"/>
      <c r="W4135" s="82"/>
      <c r="X4135" s="82"/>
      <c r="Y4135" s="82"/>
      <c r="Z4135" s="82"/>
      <c r="AA4135" s="82"/>
      <c r="AB4135" s="82"/>
      <c r="AC4135" s="82"/>
      <c r="AD4135" s="82"/>
      <c r="AE4135" s="82"/>
      <c r="AF4135" s="82"/>
      <c r="AG4135" s="82"/>
      <c r="AH4135" s="82"/>
      <c r="AI4135" s="82"/>
      <c r="AJ4135" s="82"/>
      <c r="AK4135" s="82"/>
      <c r="AL4135" s="82"/>
      <c r="AM4135" s="82"/>
      <c r="AN4135" s="82">
        <f>IFERROR(__xludf.DUMMYFUNCTION("""COMPUTED_VALUE"""),0.0)</f>
        <v>0</v>
      </c>
      <c r="AO4135" s="82">
        <f>IFERROR(__xludf.DUMMYFUNCTION("""COMPUTED_VALUE"""),0.0)</f>
        <v>0</v>
      </c>
      <c r="AP4135" s="82">
        <f>IFERROR(__xludf.DUMMYFUNCTION("""COMPUTED_VALUE"""),0.0)</f>
        <v>0</v>
      </c>
      <c r="AQ4135" s="82">
        <f>IFERROR(__xludf.DUMMYFUNCTION("""COMPUTED_VALUE"""),0.0)</f>
        <v>0</v>
      </c>
      <c r="AR4135" s="82">
        <f>IFERROR(__xludf.DUMMYFUNCTION("""COMPUTED_VALUE"""),0.0)</f>
        <v>0</v>
      </c>
      <c r="AS4135" s="82"/>
      <c r="AT4135" s="82">
        <f>IFERROR(__xludf.DUMMYFUNCTION("""COMPUTED_VALUE"""),0.0)</f>
        <v>0</v>
      </c>
      <c r="AU4135" s="82"/>
      <c r="AV4135" s="82"/>
      <c r="AW4135" s="82" t="str">
        <f t="shared" si="1"/>
        <v/>
      </c>
      <c r="AX4135" s="83" t="str">
        <f t="array" ref="AX4135">IFERROR(DGET('SBV Import'!A:G,"SBV",{"RSC ID","Tier";B4135,A4135}))</f>
        <v/>
      </c>
      <c r="AY4135" s="82" t="str">
        <f t="shared" si="2"/>
        <v/>
      </c>
      <c r="AZ4135" s="82"/>
      <c r="BA4135" s="84" t="s">
        <v>152</v>
      </c>
      <c r="BB4135" s="84" t="str">
        <f>IFERROR(__xludf.DUMMYFUNCTION("iferror(if(A4135="""",,E4135&gt;=FILTER(Constants!$F$2:$F$10,Constants!$A$2:$A$10=A4135)))"),"")</f>
        <v/>
      </c>
    </row>
    <row r="4136">
      <c r="A4136" s="89"/>
      <c r="B4136" s="87"/>
      <c r="C4136" s="73"/>
      <c r="D4136" s="73"/>
      <c r="E4136" s="82"/>
      <c r="F4136" s="82"/>
      <c r="G4136" s="86"/>
      <c r="H4136" s="86"/>
      <c r="I4136" s="86"/>
      <c r="J4136" s="82"/>
      <c r="K4136" s="82"/>
      <c r="L4136" s="82"/>
      <c r="M4136" s="82"/>
      <c r="N4136" s="82"/>
      <c r="O4136" s="82"/>
      <c r="P4136" s="82"/>
      <c r="Q4136" s="82"/>
      <c r="R4136" s="82"/>
      <c r="S4136" s="82"/>
      <c r="T4136" s="82"/>
      <c r="U4136" s="82"/>
      <c r="V4136" s="82"/>
      <c r="W4136" s="82"/>
      <c r="X4136" s="82"/>
      <c r="Y4136" s="82"/>
      <c r="Z4136" s="82"/>
      <c r="AA4136" s="82"/>
      <c r="AB4136" s="82"/>
      <c r="AC4136" s="82"/>
      <c r="AD4136" s="82"/>
      <c r="AE4136" s="82"/>
      <c r="AF4136" s="82"/>
      <c r="AG4136" s="82"/>
      <c r="AH4136" s="82"/>
      <c r="AI4136" s="82"/>
      <c r="AJ4136" s="82"/>
      <c r="AK4136" s="82"/>
      <c r="AL4136" s="82"/>
      <c r="AM4136" s="82"/>
      <c r="AN4136" s="82">
        <f>IFERROR(__xludf.DUMMYFUNCTION("""COMPUTED_VALUE"""),0.0)</f>
        <v>0</v>
      </c>
      <c r="AO4136" s="82">
        <f>IFERROR(__xludf.DUMMYFUNCTION("""COMPUTED_VALUE"""),0.0)</f>
        <v>0</v>
      </c>
      <c r="AP4136" s="82">
        <f>IFERROR(__xludf.DUMMYFUNCTION("""COMPUTED_VALUE"""),0.0)</f>
        <v>0</v>
      </c>
      <c r="AQ4136" s="82">
        <f>IFERROR(__xludf.DUMMYFUNCTION("""COMPUTED_VALUE"""),0.0)</f>
        <v>0</v>
      </c>
      <c r="AR4136" s="82">
        <f>IFERROR(__xludf.DUMMYFUNCTION("""COMPUTED_VALUE"""),0.0)</f>
        <v>0</v>
      </c>
      <c r="AS4136" s="82"/>
      <c r="AT4136" s="82">
        <f>IFERROR(__xludf.DUMMYFUNCTION("""COMPUTED_VALUE"""),0.0)</f>
        <v>0</v>
      </c>
      <c r="AU4136" s="82"/>
      <c r="AV4136" s="82"/>
      <c r="AW4136" s="82" t="str">
        <f t="shared" si="1"/>
        <v/>
      </c>
      <c r="AX4136" s="83" t="str">
        <f t="array" ref="AX4136">IFERROR(DGET('SBV Import'!A:G,"SBV",{"RSC ID","Tier";B4136,A4136}))</f>
        <v/>
      </c>
      <c r="AY4136" s="82" t="str">
        <f t="shared" si="2"/>
        <v/>
      </c>
      <c r="AZ4136" s="82"/>
      <c r="BA4136" s="84" t="s">
        <v>152</v>
      </c>
      <c r="BB4136" s="84" t="str">
        <f>IFERROR(__xludf.DUMMYFUNCTION("iferror(if(A4136="""",,E4136&gt;=FILTER(Constants!$F$2:$F$10,Constants!$A$2:$A$10=A4136)))"),"")</f>
        <v/>
      </c>
    </row>
    <row r="4137">
      <c r="A4137" s="89"/>
      <c r="B4137" s="87"/>
      <c r="C4137" s="73"/>
      <c r="D4137" s="73"/>
      <c r="E4137" s="82"/>
      <c r="F4137" s="82"/>
      <c r="G4137" s="86"/>
      <c r="H4137" s="86"/>
      <c r="I4137" s="86"/>
      <c r="J4137" s="82"/>
      <c r="K4137" s="82"/>
      <c r="L4137" s="82"/>
      <c r="M4137" s="82"/>
      <c r="N4137" s="82"/>
      <c r="O4137" s="82"/>
      <c r="P4137" s="82"/>
      <c r="Q4137" s="82"/>
      <c r="R4137" s="82"/>
      <c r="S4137" s="82"/>
      <c r="T4137" s="82"/>
      <c r="U4137" s="82"/>
      <c r="V4137" s="82"/>
      <c r="W4137" s="82"/>
      <c r="X4137" s="82"/>
      <c r="Y4137" s="82"/>
      <c r="Z4137" s="82"/>
      <c r="AA4137" s="82"/>
      <c r="AB4137" s="82"/>
      <c r="AC4137" s="82"/>
      <c r="AD4137" s="82"/>
      <c r="AE4137" s="82"/>
      <c r="AF4137" s="82"/>
      <c r="AG4137" s="82"/>
      <c r="AH4137" s="82"/>
      <c r="AI4137" s="82"/>
      <c r="AJ4137" s="82"/>
      <c r="AK4137" s="82"/>
      <c r="AL4137" s="82"/>
      <c r="AM4137" s="82"/>
      <c r="AN4137" s="82">
        <f>IFERROR(__xludf.DUMMYFUNCTION("""COMPUTED_VALUE"""),0.0)</f>
        <v>0</v>
      </c>
      <c r="AO4137" s="82">
        <f>IFERROR(__xludf.DUMMYFUNCTION("""COMPUTED_VALUE"""),0.0)</f>
        <v>0</v>
      </c>
      <c r="AP4137" s="82">
        <f>IFERROR(__xludf.DUMMYFUNCTION("""COMPUTED_VALUE"""),0.0)</f>
        <v>0</v>
      </c>
      <c r="AQ4137" s="82">
        <f>IFERROR(__xludf.DUMMYFUNCTION("""COMPUTED_VALUE"""),0.0)</f>
        <v>0</v>
      </c>
      <c r="AR4137" s="82">
        <f>IFERROR(__xludf.DUMMYFUNCTION("""COMPUTED_VALUE"""),0.0)</f>
        <v>0</v>
      </c>
      <c r="AS4137" s="82"/>
      <c r="AT4137" s="82">
        <f>IFERROR(__xludf.DUMMYFUNCTION("""COMPUTED_VALUE"""),0.0)</f>
        <v>0</v>
      </c>
      <c r="AU4137" s="82"/>
      <c r="AV4137" s="82"/>
      <c r="AW4137" s="82" t="str">
        <f t="shared" si="1"/>
        <v/>
      </c>
      <c r="AX4137" s="83" t="str">
        <f t="array" ref="AX4137">IFERROR(DGET('SBV Import'!A:G,"SBV",{"RSC ID","Tier";B4137,A4137}))</f>
        <v/>
      </c>
      <c r="AY4137" s="82" t="str">
        <f t="shared" si="2"/>
        <v/>
      </c>
      <c r="AZ4137" s="82"/>
      <c r="BA4137" s="84" t="s">
        <v>152</v>
      </c>
      <c r="BB4137" s="84" t="str">
        <f>IFERROR(__xludf.DUMMYFUNCTION("iferror(if(A4137="""",,E4137&gt;=FILTER(Constants!$F$2:$F$10,Constants!$A$2:$A$10=A4137)))"),"")</f>
        <v/>
      </c>
    </row>
    <row r="4138">
      <c r="A4138" s="89"/>
      <c r="B4138" s="87"/>
      <c r="C4138" s="73"/>
      <c r="D4138" s="73"/>
      <c r="E4138" s="82"/>
      <c r="F4138" s="82"/>
      <c r="G4138" s="86"/>
      <c r="H4138" s="86"/>
      <c r="I4138" s="86"/>
      <c r="J4138" s="82"/>
      <c r="K4138" s="82"/>
      <c r="L4138" s="82"/>
      <c r="M4138" s="82"/>
      <c r="N4138" s="82"/>
      <c r="O4138" s="82"/>
      <c r="P4138" s="82"/>
      <c r="Q4138" s="82"/>
      <c r="R4138" s="82"/>
      <c r="S4138" s="82"/>
      <c r="T4138" s="82"/>
      <c r="U4138" s="82"/>
      <c r="V4138" s="82"/>
      <c r="W4138" s="82"/>
      <c r="X4138" s="82"/>
      <c r="Y4138" s="82"/>
      <c r="Z4138" s="82"/>
      <c r="AA4138" s="82"/>
      <c r="AB4138" s="82"/>
      <c r="AC4138" s="82"/>
      <c r="AD4138" s="82"/>
      <c r="AE4138" s="82"/>
      <c r="AF4138" s="82"/>
      <c r="AG4138" s="82"/>
      <c r="AH4138" s="82"/>
      <c r="AI4138" s="82"/>
      <c r="AJ4138" s="82"/>
      <c r="AK4138" s="82"/>
      <c r="AL4138" s="82"/>
      <c r="AM4138" s="82"/>
      <c r="AN4138" s="82">
        <f>IFERROR(__xludf.DUMMYFUNCTION("""COMPUTED_VALUE"""),0.0)</f>
        <v>0</v>
      </c>
      <c r="AO4138" s="82">
        <f>IFERROR(__xludf.DUMMYFUNCTION("""COMPUTED_VALUE"""),0.0)</f>
        <v>0</v>
      </c>
      <c r="AP4138" s="82">
        <f>IFERROR(__xludf.DUMMYFUNCTION("""COMPUTED_VALUE"""),0.0)</f>
        <v>0</v>
      </c>
      <c r="AQ4138" s="82">
        <f>IFERROR(__xludf.DUMMYFUNCTION("""COMPUTED_VALUE"""),0.0)</f>
        <v>0</v>
      </c>
      <c r="AR4138" s="82">
        <f>IFERROR(__xludf.DUMMYFUNCTION("""COMPUTED_VALUE"""),0.0)</f>
        <v>0</v>
      </c>
      <c r="AS4138" s="82"/>
      <c r="AT4138" s="82">
        <f>IFERROR(__xludf.DUMMYFUNCTION("""COMPUTED_VALUE"""),0.0)</f>
        <v>0</v>
      </c>
      <c r="AU4138" s="82"/>
      <c r="AV4138" s="82"/>
      <c r="AW4138" s="82" t="str">
        <f t="shared" si="1"/>
        <v/>
      </c>
      <c r="AX4138" s="83" t="str">
        <f t="array" ref="AX4138">IFERROR(DGET('SBV Import'!A:G,"SBV",{"RSC ID","Tier";B4138,A4138}))</f>
        <v/>
      </c>
      <c r="AY4138" s="82" t="str">
        <f t="shared" si="2"/>
        <v/>
      </c>
      <c r="AZ4138" s="82"/>
      <c r="BA4138" s="84" t="s">
        <v>152</v>
      </c>
      <c r="BB4138" s="84" t="str">
        <f>IFERROR(__xludf.DUMMYFUNCTION("iferror(if(A4138="""",,E4138&gt;=FILTER(Constants!$F$2:$F$10,Constants!$A$2:$A$10=A4138)))"),"")</f>
        <v/>
      </c>
    </row>
    <row r="4139">
      <c r="A4139" s="89"/>
      <c r="B4139" s="87"/>
      <c r="C4139" s="73"/>
      <c r="D4139" s="73"/>
      <c r="E4139" s="82"/>
      <c r="F4139" s="82"/>
      <c r="G4139" s="86"/>
      <c r="H4139" s="86"/>
      <c r="I4139" s="86"/>
      <c r="J4139" s="82"/>
      <c r="K4139" s="82"/>
      <c r="L4139" s="82"/>
      <c r="M4139" s="82"/>
      <c r="N4139" s="82"/>
      <c r="O4139" s="82"/>
      <c r="P4139" s="82"/>
      <c r="Q4139" s="82"/>
      <c r="R4139" s="82"/>
      <c r="S4139" s="82"/>
      <c r="T4139" s="82"/>
      <c r="U4139" s="82"/>
      <c r="V4139" s="82"/>
      <c r="W4139" s="82"/>
      <c r="X4139" s="82"/>
      <c r="Y4139" s="82"/>
      <c r="Z4139" s="82"/>
      <c r="AA4139" s="82"/>
      <c r="AB4139" s="82"/>
      <c r="AC4139" s="82"/>
      <c r="AD4139" s="82"/>
      <c r="AE4139" s="82"/>
      <c r="AF4139" s="82"/>
      <c r="AG4139" s="82"/>
      <c r="AH4139" s="82"/>
      <c r="AI4139" s="82"/>
      <c r="AJ4139" s="82"/>
      <c r="AK4139" s="82"/>
      <c r="AL4139" s="82"/>
      <c r="AM4139" s="82"/>
      <c r="AN4139" s="82">
        <f>IFERROR(__xludf.DUMMYFUNCTION("""COMPUTED_VALUE"""),0.0)</f>
        <v>0</v>
      </c>
      <c r="AO4139" s="82">
        <f>IFERROR(__xludf.DUMMYFUNCTION("""COMPUTED_VALUE"""),0.0)</f>
        <v>0</v>
      </c>
      <c r="AP4139" s="82">
        <f>IFERROR(__xludf.DUMMYFUNCTION("""COMPUTED_VALUE"""),0.0)</f>
        <v>0</v>
      </c>
      <c r="AQ4139" s="82">
        <f>IFERROR(__xludf.DUMMYFUNCTION("""COMPUTED_VALUE"""),0.0)</f>
        <v>0</v>
      </c>
      <c r="AR4139" s="82">
        <f>IFERROR(__xludf.DUMMYFUNCTION("""COMPUTED_VALUE"""),0.0)</f>
        <v>0</v>
      </c>
      <c r="AS4139" s="82"/>
      <c r="AT4139" s="82">
        <f>IFERROR(__xludf.DUMMYFUNCTION("""COMPUTED_VALUE"""),0.0)</f>
        <v>0</v>
      </c>
      <c r="AU4139" s="82"/>
      <c r="AV4139" s="82"/>
      <c r="AW4139" s="82" t="str">
        <f t="shared" si="1"/>
        <v/>
      </c>
      <c r="AX4139" s="83" t="str">
        <f t="array" ref="AX4139">IFERROR(DGET('SBV Import'!A:G,"SBV",{"RSC ID","Tier";B4139,A4139}))</f>
        <v/>
      </c>
      <c r="AY4139" s="82" t="str">
        <f t="shared" si="2"/>
        <v/>
      </c>
      <c r="AZ4139" s="82"/>
      <c r="BA4139" s="84" t="s">
        <v>152</v>
      </c>
      <c r="BB4139" s="84" t="str">
        <f>IFERROR(__xludf.DUMMYFUNCTION("iferror(if(A4139="""",,E4139&gt;=FILTER(Constants!$F$2:$F$10,Constants!$A$2:$A$10=A4139)))"),"")</f>
        <v/>
      </c>
    </row>
    <row r="4140">
      <c r="A4140" s="89"/>
      <c r="B4140" s="87"/>
      <c r="C4140" s="73"/>
      <c r="D4140" s="73"/>
      <c r="E4140" s="82"/>
      <c r="F4140" s="82"/>
      <c r="G4140" s="86"/>
      <c r="H4140" s="86"/>
      <c r="I4140" s="86"/>
      <c r="J4140" s="82"/>
      <c r="K4140" s="82"/>
      <c r="L4140" s="82"/>
      <c r="M4140" s="82"/>
      <c r="N4140" s="82"/>
      <c r="O4140" s="82"/>
      <c r="P4140" s="82"/>
      <c r="Q4140" s="82"/>
      <c r="R4140" s="82"/>
      <c r="S4140" s="82"/>
      <c r="T4140" s="82"/>
      <c r="U4140" s="82"/>
      <c r="V4140" s="82"/>
      <c r="W4140" s="82"/>
      <c r="X4140" s="82"/>
      <c r="Y4140" s="82"/>
      <c r="Z4140" s="82"/>
      <c r="AA4140" s="82"/>
      <c r="AB4140" s="82"/>
      <c r="AC4140" s="82"/>
      <c r="AD4140" s="82"/>
      <c r="AE4140" s="82"/>
      <c r="AF4140" s="82"/>
      <c r="AG4140" s="82"/>
      <c r="AH4140" s="82"/>
      <c r="AI4140" s="82"/>
      <c r="AJ4140" s="82"/>
      <c r="AK4140" s="82"/>
      <c r="AL4140" s="82"/>
      <c r="AM4140" s="82"/>
      <c r="AN4140" s="82">
        <f>IFERROR(__xludf.DUMMYFUNCTION("""COMPUTED_VALUE"""),0.0)</f>
        <v>0</v>
      </c>
      <c r="AO4140" s="82">
        <f>IFERROR(__xludf.DUMMYFUNCTION("""COMPUTED_VALUE"""),0.0)</f>
        <v>0</v>
      </c>
      <c r="AP4140" s="82">
        <f>IFERROR(__xludf.DUMMYFUNCTION("""COMPUTED_VALUE"""),0.0)</f>
        <v>0</v>
      </c>
      <c r="AQ4140" s="82">
        <f>IFERROR(__xludf.DUMMYFUNCTION("""COMPUTED_VALUE"""),0.0)</f>
        <v>0</v>
      </c>
      <c r="AR4140" s="82">
        <f>IFERROR(__xludf.DUMMYFUNCTION("""COMPUTED_VALUE"""),0.0)</f>
        <v>0</v>
      </c>
      <c r="AS4140" s="82"/>
      <c r="AT4140" s="82">
        <f>IFERROR(__xludf.DUMMYFUNCTION("""COMPUTED_VALUE"""),0.0)</f>
        <v>0</v>
      </c>
      <c r="AU4140" s="82"/>
      <c r="AV4140" s="82"/>
      <c r="AW4140" s="82" t="str">
        <f t="shared" si="1"/>
        <v/>
      </c>
      <c r="AX4140" s="83" t="str">
        <f t="array" ref="AX4140">IFERROR(DGET('SBV Import'!A:G,"SBV",{"RSC ID","Tier";B4140,A4140}))</f>
        <v/>
      </c>
      <c r="AY4140" s="82" t="str">
        <f t="shared" si="2"/>
        <v/>
      </c>
      <c r="AZ4140" s="82"/>
      <c r="BA4140" s="84" t="s">
        <v>152</v>
      </c>
      <c r="BB4140" s="84" t="str">
        <f>IFERROR(__xludf.DUMMYFUNCTION("iferror(if(A4140="""",,E4140&gt;=FILTER(Constants!$F$2:$F$10,Constants!$A$2:$A$10=A4140)))"),"")</f>
        <v/>
      </c>
    </row>
    <row r="4141">
      <c r="A4141" s="89"/>
      <c r="B4141" s="87"/>
      <c r="C4141" s="73"/>
      <c r="D4141" s="73"/>
      <c r="E4141" s="82"/>
      <c r="F4141" s="82"/>
      <c r="G4141" s="86"/>
      <c r="H4141" s="86"/>
      <c r="I4141" s="86"/>
      <c r="J4141" s="82"/>
      <c r="K4141" s="82"/>
      <c r="L4141" s="82"/>
      <c r="M4141" s="82"/>
      <c r="N4141" s="82"/>
      <c r="O4141" s="82"/>
      <c r="P4141" s="82"/>
      <c r="Q4141" s="82"/>
      <c r="R4141" s="82"/>
      <c r="S4141" s="82"/>
      <c r="T4141" s="82"/>
      <c r="U4141" s="82"/>
      <c r="V4141" s="82"/>
      <c r="W4141" s="82"/>
      <c r="X4141" s="82"/>
      <c r="Y4141" s="82"/>
      <c r="Z4141" s="82"/>
      <c r="AA4141" s="82"/>
      <c r="AB4141" s="82"/>
      <c r="AC4141" s="82"/>
      <c r="AD4141" s="82"/>
      <c r="AE4141" s="82"/>
      <c r="AF4141" s="82"/>
      <c r="AG4141" s="82"/>
      <c r="AH4141" s="82"/>
      <c r="AI4141" s="82"/>
      <c r="AJ4141" s="82"/>
      <c r="AK4141" s="82"/>
      <c r="AL4141" s="82"/>
      <c r="AM4141" s="82"/>
      <c r="AN4141" s="82">
        <f>IFERROR(__xludf.DUMMYFUNCTION("""COMPUTED_VALUE"""),0.0)</f>
        <v>0</v>
      </c>
      <c r="AO4141" s="82">
        <f>IFERROR(__xludf.DUMMYFUNCTION("""COMPUTED_VALUE"""),0.0)</f>
        <v>0</v>
      </c>
      <c r="AP4141" s="82">
        <f>IFERROR(__xludf.DUMMYFUNCTION("""COMPUTED_VALUE"""),0.0)</f>
        <v>0</v>
      </c>
      <c r="AQ4141" s="82">
        <f>IFERROR(__xludf.DUMMYFUNCTION("""COMPUTED_VALUE"""),0.0)</f>
        <v>0</v>
      </c>
      <c r="AR4141" s="82">
        <f>IFERROR(__xludf.DUMMYFUNCTION("""COMPUTED_VALUE"""),0.0)</f>
        <v>0</v>
      </c>
      <c r="AS4141" s="82"/>
      <c r="AT4141" s="82">
        <f>IFERROR(__xludf.DUMMYFUNCTION("""COMPUTED_VALUE"""),0.0)</f>
        <v>0</v>
      </c>
      <c r="AU4141" s="82"/>
      <c r="AV4141" s="82"/>
      <c r="AW4141" s="82" t="str">
        <f t="shared" si="1"/>
        <v/>
      </c>
      <c r="AX4141" s="83" t="str">
        <f t="array" ref="AX4141">IFERROR(DGET('SBV Import'!A:G,"SBV",{"RSC ID","Tier";B4141,A4141}))</f>
        <v/>
      </c>
      <c r="AY4141" s="82" t="str">
        <f t="shared" si="2"/>
        <v/>
      </c>
      <c r="AZ4141" s="82"/>
      <c r="BA4141" s="84" t="s">
        <v>152</v>
      </c>
      <c r="BB4141" s="84" t="str">
        <f>IFERROR(__xludf.DUMMYFUNCTION("iferror(if(A4141="""",,E4141&gt;=FILTER(Constants!$F$2:$F$10,Constants!$A$2:$A$10=A4141)))"),"")</f>
        <v/>
      </c>
    </row>
    <row r="4142">
      <c r="A4142" s="89"/>
      <c r="B4142" s="87"/>
      <c r="C4142" s="73"/>
      <c r="D4142" s="73"/>
      <c r="E4142" s="82"/>
      <c r="F4142" s="82"/>
      <c r="G4142" s="86"/>
      <c r="H4142" s="86"/>
      <c r="I4142" s="86"/>
      <c r="J4142" s="82"/>
      <c r="K4142" s="82"/>
      <c r="L4142" s="82"/>
      <c r="M4142" s="82"/>
      <c r="N4142" s="82"/>
      <c r="O4142" s="82"/>
      <c r="P4142" s="82"/>
      <c r="Q4142" s="82"/>
      <c r="R4142" s="82"/>
      <c r="S4142" s="82"/>
      <c r="T4142" s="82"/>
      <c r="U4142" s="82"/>
      <c r="V4142" s="82"/>
      <c r="W4142" s="82"/>
      <c r="X4142" s="82"/>
      <c r="Y4142" s="82"/>
      <c r="Z4142" s="82"/>
      <c r="AA4142" s="82"/>
      <c r="AB4142" s="82"/>
      <c r="AC4142" s="82"/>
      <c r="AD4142" s="82"/>
      <c r="AE4142" s="82"/>
      <c r="AF4142" s="82"/>
      <c r="AG4142" s="82"/>
      <c r="AH4142" s="82"/>
      <c r="AI4142" s="82"/>
      <c r="AJ4142" s="82"/>
      <c r="AK4142" s="82"/>
      <c r="AL4142" s="82"/>
      <c r="AM4142" s="82"/>
      <c r="AN4142" s="82">
        <f>IFERROR(__xludf.DUMMYFUNCTION("""COMPUTED_VALUE"""),0.0)</f>
        <v>0</v>
      </c>
      <c r="AO4142" s="82">
        <f>IFERROR(__xludf.DUMMYFUNCTION("""COMPUTED_VALUE"""),0.0)</f>
        <v>0</v>
      </c>
      <c r="AP4142" s="82">
        <f>IFERROR(__xludf.DUMMYFUNCTION("""COMPUTED_VALUE"""),0.0)</f>
        <v>0</v>
      </c>
      <c r="AQ4142" s="82">
        <f>IFERROR(__xludf.DUMMYFUNCTION("""COMPUTED_VALUE"""),0.0)</f>
        <v>0</v>
      </c>
      <c r="AR4142" s="82">
        <f>IFERROR(__xludf.DUMMYFUNCTION("""COMPUTED_VALUE"""),0.0)</f>
        <v>0</v>
      </c>
      <c r="AS4142" s="82"/>
      <c r="AT4142" s="82">
        <f>IFERROR(__xludf.DUMMYFUNCTION("""COMPUTED_VALUE"""),0.0)</f>
        <v>0</v>
      </c>
      <c r="AU4142" s="82"/>
      <c r="AV4142" s="82"/>
      <c r="AW4142" s="82" t="str">
        <f t="shared" si="1"/>
        <v/>
      </c>
      <c r="AX4142" s="83" t="str">
        <f t="array" ref="AX4142">IFERROR(DGET('SBV Import'!A:G,"SBV",{"RSC ID","Tier";B4142,A4142}))</f>
        <v/>
      </c>
      <c r="AY4142" s="82" t="str">
        <f t="shared" si="2"/>
        <v/>
      </c>
      <c r="AZ4142" s="82"/>
      <c r="BA4142" s="84" t="s">
        <v>152</v>
      </c>
      <c r="BB4142" s="84" t="str">
        <f>IFERROR(__xludf.DUMMYFUNCTION("iferror(if(A4142="""",,E4142&gt;=FILTER(Constants!$F$2:$F$10,Constants!$A$2:$A$10=A4142)))"),"")</f>
        <v/>
      </c>
    </row>
    <row r="4143">
      <c r="A4143" s="89"/>
      <c r="B4143" s="87"/>
      <c r="C4143" s="73"/>
      <c r="D4143" s="73"/>
      <c r="E4143" s="82"/>
      <c r="F4143" s="82"/>
      <c r="G4143" s="86"/>
      <c r="H4143" s="86"/>
      <c r="I4143" s="86"/>
      <c r="J4143" s="82"/>
      <c r="K4143" s="82"/>
      <c r="L4143" s="82"/>
      <c r="M4143" s="82"/>
      <c r="N4143" s="82"/>
      <c r="O4143" s="82"/>
      <c r="P4143" s="82"/>
      <c r="Q4143" s="82"/>
      <c r="R4143" s="82"/>
      <c r="S4143" s="82"/>
      <c r="T4143" s="82"/>
      <c r="U4143" s="82"/>
      <c r="V4143" s="82"/>
      <c r="W4143" s="82"/>
      <c r="X4143" s="82"/>
      <c r="Y4143" s="82"/>
      <c r="Z4143" s="82"/>
      <c r="AA4143" s="82"/>
      <c r="AB4143" s="82"/>
      <c r="AC4143" s="82"/>
      <c r="AD4143" s="82"/>
      <c r="AE4143" s="82"/>
      <c r="AF4143" s="82"/>
      <c r="AG4143" s="82"/>
      <c r="AH4143" s="82"/>
      <c r="AI4143" s="82"/>
      <c r="AJ4143" s="82"/>
      <c r="AK4143" s="82"/>
      <c r="AL4143" s="82"/>
      <c r="AM4143" s="82"/>
      <c r="AN4143" s="82">
        <f>IFERROR(__xludf.DUMMYFUNCTION("""COMPUTED_VALUE"""),0.0)</f>
        <v>0</v>
      </c>
      <c r="AO4143" s="82">
        <f>IFERROR(__xludf.DUMMYFUNCTION("""COMPUTED_VALUE"""),0.0)</f>
        <v>0</v>
      </c>
      <c r="AP4143" s="82">
        <f>IFERROR(__xludf.DUMMYFUNCTION("""COMPUTED_VALUE"""),0.0)</f>
        <v>0</v>
      </c>
      <c r="AQ4143" s="82">
        <f>IFERROR(__xludf.DUMMYFUNCTION("""COMPUTED_VALUE"""),0.0)</f>
        <v>0</v>
      </c>
      <c r="AR4143" s="82">
        <f>IFERROR(__xludf.DUMMYFUNCTION("""COMPUTED_VALUE"""),0.0)</f>
        <v>0</v>
      </c>
      <c r="AS4143" s="82"/>
      <c r="AT4143" s="82">
        <f>IFERROR(__xludf.DUMMYFUNCTION("""COMPUTED_VALUE"""),0.0)</f>
        <v>0</v>
      </c>
      <c r="AU4143" s="82"/>
      <c r="AV4143" s="82"/>
      <c r="AW4143" s="82" t="str">
        <f t="shared" si="1"/>
        <v/>
      </c>
      <c r="AX4143" s="83" t="str">
        <f t="array" ref="AX4143">IFERROR(DGET('SBV Import'!A:G,"SBV",{"RSC ID","Tier";B4143,A4143}))</f>
        <v/>
      </c>
      <c r="AY4143" s="82" t="str">
        <f t="shared" si="2"/>
        <v/>
      </c>
      <c r="AZ4143" s="82"/>
      <c r="BA4143" s="84" t="s">
        <v>152</v>
      </c>
      <c r="BB4143" s="84" t="str">
        <f>IFERROR(__xludf.DUMMYFUNCTION("iferror(if(A4143="""",,E4143&gt;=FILTER(Constants!$F$2:$F$10,Constants!$A$2:$A$10=A4143)))"),"")</f>
        <v/>
      </c>
    </row>
    <row r="4144">
      <c r="A4144" s="89"/>
      <c r="B4144" s="87"/>
      <c r="C4144" s="73"/>
      <c r="D4144" s="73"/>
      <c r="E4144" s="82"/>
      <c r="F4144" s="82"/>
      <c r="G4144" s="86"/>
      <c r="H4144" s="86"/>
      <c r="I4144" s="86"/>
      <c r="J4144" s="82"/>
      <c r="K4144" s="82"/>
      <c r="L4144" s="82"/>
      <c r="M4144" s="82"/>
      <c r="N4144" s="82"/>
      <c r="O4144" s="82"/>
      <c r="P4144" s="82"/>
      <c r="Q4144" s="82"/>
      <c r="R4144" s="82"/>
      <c r="S4144" s="82"/>
      <c r="T4144" s="82"/>
      <c r="U4144" s="82"/>
      <c r="V4144" s="82"/>
      <c r="W4144" s="82"/>
      <c r="X4144" s="82"/>
      <c r="Y4144" s="82"/>
      <c r="Z4144" s="82"/>
      <c r="AA4144" s="82"/>
      <c r="AB4144" s="82"/>
      <c r="AC4144" s="82"/>
      <c r="AD4144" s="82"/>
      <c r="AE4144" s="82"/>
      <c r="AF4144" s="82"/>
      <c r="AG4144" s="82"/>
      <c r="AH4144" s="82"/>
      <c r="AI4144" s="82"/>
      <c r="AJ4144" s="82"/>
      <c r="AK4144" s="82"/>
      <c r="AL4144" s="82"/>
      <c r="AM4144" s="82"/>
      <c r="AN4144" s="82">
        <f>IFERROR(__xludf.DUMMYFUNCTION("""COMPUTED_VALUE"""),0.0)</f>
        <v>0</v>
      </c>
      <c r="AO4144" s="82">
        <f>IFERROR(__xludf.DUMMYFUNCTION("""COMPUTED_VALUE"""),0.0)</f>
        <v>0</v>
      </c>
      <c r="AP4144" s="82">
        <f>IFERROR(__xludf.DUMMYFUNCTION("""COMPUTED_VALUE"""),0.0)</f>
        <v>0</v>
      </c>
      <c r="AQ4144" s="82">
        <f>IFERROR(__xludf.DUMMYFUNCTION("""COMPUTED_VALUE"""),0.0)</f>
        <v>0</v>
      </c>
      <c r="AR4144" s="82">
        <f>IFERROR(__xludf.DUMMYFUNCTION("""COMPUTED_VALUE"""),0.0)</f>
        <v>0</v>
      </c>
      <c r="AS4144" s="82"/>
      <c r="AT4144" s="82">
        <f>IFERROR(__xludf.DUMMYFUNCTION("""COMPUTED_VALUE"""),0.0)</f>
        <v>0</v>
      </c>
      <c r="AU4144" s="82"/>
      <c r="AV4144" s="82"/>
      <c r="AW4144" s="82" t="str">
        <f t="shared" si="1"/>
        <v/>
      </c>
      <c r="AX4144" s="83" t="str">
        <f t="array" ref="AX4144">IFERROR(DGET('SBV Import'!A:G,"SBV",{"RSC ID","Tier";B4144,A4144}))</f>
        <v/>
      </c>
      <c r="AY4144" s="82" t="str">
        <f t="shared" si="2"/>
        <v/>
      </c>
      <c r="AZ4144" s="82"/>
      <c r="BA4144" s="84" t="s">
        <v>152</v>
      </c>
      <c r="BB4144" s="84" t="str">
        <f>IFERROR(__xludf.DUMMYFUNCTION("iferror(if(A4144="""",,E4144&gt;=FILTER(Constants!$F$2:$F$10,Constants!$A$2:$A$10=A4144)))"),"")</f>
        <v/>
      </c>
    </row>
    <row r="4145">
      <c r="A4145" s="89"/>
      <c r="B4145" s="87"/>
      <c r="C4145" s="73"/>
      <c r="D4145" s="73"/>
      <c r="E4145" s="82"/>
      <c r="F4145" s="82"/>
      <c r="G4145" s="86"/>
      <c r="H4145" s="86"/>
      <c r="I4145" s="86"/>
      <c r="J4145" s="82"/>
      <c r="K4145" s="82"/>
      <c r="L4145" s="82"/>
      <c r="M4145" s="82"/>
      <c r="N4145" s="82"/>
      <c r="O4145" s="82"/>
      <c r="P4145" s="82"/>
      <c r="Q4145" s="82"/>
      <c r="R4145" s="82"/>
      <c r="S4145" s="82"/>
      <c r="T4145" s="82"/>
      <c r="U4145" s="82"/>
      <c r="V4145" s="82"/>
      <c r="W4145" s="82"/>
      <c r="X4145" s="82"/>
      <c r="Y4145" s="82"/>
      <c r="Z4145" s="82"/>
      <c r="AA4145" s="82"/>
      <c r="AB4145" s="82"/>
      <c r="AC4145" s="82"/>
      <c r="AD4145" s="82"/>
      <c r="AE4145" s="82"/>
      <c r="AF4145" s="82"/>
      <c r="AG4145" s="82"/>
      <c r="AH4145" s="82"/>
      <c r="AI4145" s="82"/>
      <c r="AJ4145" s="82"/>
      <c r="AK4145" s="82"/>
      <c r="AL4145" s="82"/>
      <c r="AM4145" s="82"/>
      <c r="AN4145" s="82">
        <f>IFERROR(__xludf.DUMMYFUNCTION("""COMPUTED_VALUE"""),0.0)</f>
        <v>0</v>
      </c>
      <c r="AO4145" s="82">
        <f>IFERROR(__xludf.DUMMYFUNCTION("""COMPUTED_VALUE"""),0.0)</f>
        <v>0</v>
      </c>
      <c r="AP4145" s="82">
        <f>IFERROR(__xludf.DUMMYFUNCTION("""COMPUTED_VALUE"""),0.0)</f>
        <v>0</v>
      </c>
      <c r="AQ4145" s="82">
        <f>IFERROR(__xludf.DUMMYFUNCTION("""COMPUTED_VALUE"""),0.0)</f>
        <v>0</v>
      </c>
      <c r="AR4145" s="82">
        <f>IFERROR(__xludf.DUMMYFUNCTION("""COMPUTED_VALUE"""),0.0)</f>
        <v>0</v>
      </c>
      <c r="AS4145" s="82"/>
      <c r="AT4145" s="82">
        <f>IFERROR(__xludf.DUMMYFUNCTION("""COMPUTED_VALUE"""),0.0)</f>
        <v>0</v>
      </c>
      <c r="AU4145" s="82"/>
      <c r="AV4145" s="82"/>
      <c r="AW4145" s="82" t="str">
        <f t="shared" si="1"/>
        <v/>
      </c>
      <c r="AX4145" s="83" t="str">
        <f t="array" ref="AX4145">IFERROR(DGET('SBV Import'!A:G,"SBV",{"RSC ID","Tier";B4145,A4145}))</f>
        <v/>
      </c>
      <c r="AY4145" s="82" t="str">
        <f t="shared" si="2"/>
        <v/>
      </c>
      <c r="AZ4145" s="82"/>
      <c r="BA4145" s="84" t="s">
        <v>152</v>
      </c>
      <c r="BB4145" s="84" t="str">
        <f>IFERROR(__xludf.DUMMYFUNCTION("iferror(if(A4145="""",,E4145&gt;=FILTER(Constants!$F$2:$F$10,Constants!$A$2:$A$10=A4145)))"),"")</f>
        <v/>
      </c>
    </row>
    <row r="4146">
      <c r="A4146" s="89"/>
      <c r="B4146" s="87"/>
      <c r="C4146" s="73"/>
      <c r="D4146" s="73"/>
      <c r="E4146" s="82"/>
      <c r="F4146" s="82"/>
      <c r="G4146" s="86"/>
      <c r="H4146" s="86"/>
      <c r="I4146" s="86"/>
      <c r="J4146" s="82"/>
      <c r="K4146" s="82"/>
      <c r="L4146" s="82"/>
      <c r="M4146" s="82"/>
      <c r="N4146" s="82"/>
      <c r="O4146" s="82"/>
      <c r="P4146" s="82"/>
      <c r="Q4146" s="82"/>
      <c r="R4146" s="82"/>
      <c r="S4146" s="82"/>
      <c r="T4146" s="82"/>
      <c r="U4146" s="82"/>
      <c r="V4146" s="82"/>
      <c r="W4146" s="82"/>
      <c r="X4146" s="82"/>
      <c r="Y4146" s="82"/>
      <c r="Z4146" s="82"/>
      <c r="AA4146" s="82"/>
      <c r="AB4146" s="82"/>
      <c r="AC4146" s="82"/>
      <c r="AD4146" s="82"/>
      <c r="AE4146" s="82"/>
      <c r="AF4146" s="82"/>
      <c r="AG4146" s="82"/>
      <c r="AH4146" s="82"/>
      <c r="AI4146" s="82"/>
      <c r="AJ4146" s="82"/>
      <c r="AK4146" s="82"/>
      <c r="AL4146" s="82"/>
      <c r="AM4146" s="82"/>
      <c r="AN4146" s="82">
        <f>IFERROR(__xludf.DUMMYFUNCTION("""COMPUTED_VALUE"""),0.0)</f>
        <v>0</v>
      </c>
      <c r="AO4146" s="82">
        <f>IFERROR(__xludf.DUMMYFUNCTION("""COMPUTED_VALUE"""),0.0)</f>
        <v>0</v>
      </c>
      <c r="AP4146" s="82">
        <f>IFERROR(__xludf.DUMMYFUNCTION("""COMPUTED_VALUE"""),0.0)</f>
        <v>0</v>
      </c>
      <c r="AQ4146" s="82">
        <f>IFERROR(__xludf.DUMMYFUNCTION("""COMPUTED_VALUE"""),0.0)</f>
        <v>0</v>
      </c>
      <c r="AR4146" s="82">
        <f>IFERROR(__xludf.DUMMYFUNCTION("""COMPUTED_VALUE"""),0.0)</f>
        <v>0</v>
      </c>
      <c r="AS4146" s="82"/>
      <c r="AT4146" s="82">
        <f>IFERROR(__xludf.DUMMYFUNCTION("""COMPUTED_VALUE"""),0.0)</f>
        <v>0</v>
      </c>
      <c r="AU4146" s="82"/>
      <c r="AV4146" s="82"/>
      <c r="AW4146" s="82" t="str">
        <f t="shared" si="1"/>
        <v/>
      </c>
      <c r="AX4146" s="83" t="str">
        <f t="array" ref="AX4146">IFERROR(DGET('SBV Import'!A:G,"SBV",{"RSC ID","Tier";B4146,A4146}))</f>
        <v/>
      </c>
      <c r="AY4146" s="82" t="str">
        <f t="shared" si="2"/>
        <v/>
      </c>
      <c r="AZ4146" s="82"/>
      <c r="BA4146" s="84" t="s">
        <v>152</v>
      </c>
      <c r="BB4146" s="84" t="str">
        <f>IFERROR(__xludf.DUMMYFUNCTION("iferror(if(A4146="""",,E4146&gt;=FILTER(Constants!$F$2:$F$10,Constants!$A$2:$A$10=A4146)))"),"")</f>
        <v/>
      </c>
    </row>
    <row r="4147">
      <c r="A4147" s="89"/>
      <c r="B4147" s="87"/>
      <c r="C4147" s="73"/>
      <c r="D4147" s="73"/>
      <c r="E4147" s="82"/>
      <c r="F4147" s="82"/>
      <c r="G4147" s="86"/>
      <c r="H4147" s="86"/>
      <c r="I4147" s="86"/>
      <c r="J4147" s="82"/>
      <c r="K4147" s="82"/>
      <c r="L4147" s="82"/>
      <c r="M4147" s="82"/>
      <c r="N4147" s="82"/>
      <c r="O4147" s="82"/>
      <c r="P4147" s="82"/>
      <c r="Q4147" s="82"/>
      <c r="R4147" s="82"/>
      <c r="S4147" s="82"/>
      <c r="T4147" s="82"/>
      <c r="U4147" s="82"/>
      <c r="V4147" s="82"/>
      <c r="W4147" s="82"/>
      <c r="X4147" s="82"/>
      <c r="Y4147" s="82"/>
      <c r="Z4147" s="82"/>
      <c r="AA4147" s="82"/>
      <c r="AB4147" s="82"/>
      <c r="AC4147" s="82"/>
      <c r="AD4147" s="82"/>
      <c r="AE4147" s="82"/>
      <c r="AF4147" s="82"/>
      <c r="AG4147" s="82"/>
      <c r="AH4147" s="82"/>
      <c r="AI4147" s="82"/>
      <c r="AJ4147" s="82"/>
      <c r="AK4147" s="82"/>
      <c r="AL4147" s="82"/>
      <c r="AM4147" s="82"/>
      <c r="AN4147" s="82">
        <f>IFERROR(__xludf.DUMMYFUNCTION("""COMPUTED_VALUE"""),0.0)</f>
        <v>0</v>
      </c>
      <c r="AO4147" s="82">
        <f>IFERROR(__xludf.DUMMYFUNCTION("""COMPUTED_VALUE"""),0.0)</f>
        <v>0</v>
      </c>
      <c r="AP4147" s="82">
        <f>IFERROR(__xludf.DUMMYFUNCTION("""COMPUTED_VALUE"""),0.0)</f>
        <v>0</v>
      </c>
      <c r="AQ4147" s="82">
        <f>IFERROR(__xludf.DUMMYFUNCTION("""COMPUTED_VALUE"""),0.0)</f>
        <v>0</v>
      </c>
      <c r="AR4147" s="82">
        <f>IFERROR(__xludf.DUMMYFUNCTION("""COMPUTED_VALUE"""),0.0)</f>
        <v>0</v>
      </c>
      <c r="AS4147" s="82"/>
      <c r="AT4147" s="82">
        <f>IFERROR(__xludf.DUMMYFUNCTION("""COMPUTED_VALUE"""),0.0)</f>
        <v>0</v>
      </c>
      <c r="AU4147" s="82"/>
      <c r="AV4147" s="82"/>
      <c r="AW4147" s="82" t="str">
        <f t="shared" si="1"/>
        <v/>
      </c>
      <c r="AX4147" s="83" t="str">
        <f t="array" ref="AX4147">IFERROR(DGET('SBV Import'!A:G,"SBV",{"RSC ID","Tier";B4147,A4147}))</f>
        <v/>
      </c>
      <c r="AY4147" s="82" t="str">
        <f t="shared" si="2"/>
        <v/>
      </c>
      <c r="AZ4147" s="82"/>
      <c r="BA4147" s="84" t="s">
        <v>152</v>
      </c>
      <c r="BB4147" s="84" t="str">
        <f>IFERROR(__xludf.DUMMYFUNCTION("iferror(if(A4147="""",,E4147&gt;=FILTER(Constants!$F$2:$F$10,Constants!$A$2:$A$10=A4147)))"),"")</f>
        <v/>
      </c>
    </row>
    <row r="4148">
      <c r="A4148" s="89"/>
      <c r="B4148" s="87"/>
      <c r="C4148" s="73"/>
      <c r="D4148" s="73"/>
      <c r="E4148" s="82"/>
      <c r="F4148" s="82"/>
      <c r="G4148" s="86"/>
      <c r="H4148" s="86"/>
      <c r="I4148" s="86"/>
      <c r="J4148" s="82"/>
      <c r="K4148" s="82"/>
      <c r="L4148" s="82"/>
      <c r="M4148" s="82"/>
      <c r="N4148" s="82"/>
      <c r="O4148" s="82"/>
      <c r="P4148" s="82"/>
      <c r="Q4148" s="82"/>
      <c r="R4148" s="82"/>
      <c r="S4148" s="82"/>
      <c r="T4148" s="82"/>
      <c r="U4148" s="82"/>
      <c r="V4148" s="82"/>
      <c r="W4148" s="82"/>
      <c r="X4148" s="82"/>
      <c r="Y4148" s="82"/>
      <c r="Z4148" s="82"/>
      <c r="AA4148" s="82"/>
      <c r="AB4148" s="82"/>
      <c r="AC4148" s="82"/>
      <c r="AD4148" s="82"/>
      <c r="AE4148" s="82"/>
      <c r="AF4148" s="82"/>
      <c r="AG4148" s="82"/>
      <c r="AH4148" s="82"/>
      <c r="AI4148" s="82"/>
      <c r="AJ4148" s="82"/>
      <c r="AK4148" s="82"/>
      <c r="AL4148" s="82"/>
      <c r="AM4148" s="82"/>
      <c r="AN4148" s="82">
        <f>IFERROR(__xludf.DUMMYFUNCTION("""COMPUTED_VALUE"""),0.0)</f>
        <v>0</v>
      </c>
      <c r="AO4148" s="82">
        <f>IFERROR(__xludf.DUMMYFUNCTION("""COMPUTED_VALUE"""),0.0)</f>
        <v>0</v>
      </c>
      <c r="AP4148" s="82">
        <f>IFERROR(__xludf.DUMMYFUNCTION("""COMPUTED_VALUE"""),0.0)</f>
        <v>0</v>
      </c>
      <c r="AQ4148" s="82">
        <f>IFERROR(__xludf.DUMMYFUNCTION("""COMPUTED_VALUE"""),0.0)</f>
        <v>0</v>
      </c>
      <c r="AR4148" s="82">
        <f>IFERROR(__xludf.DUMMYFUNCTION("""COMPUTED_VALUE"""),0.0)</f>
        <v>0</v>
      </c>
      <c r="AS4148" s="82"/>
      <c r="AT4148" s="82">
        <f>IFERROR(__xludf.DUMMYFUNCTION("""COMPUTED_VALUE"""),0.0)</f>
        <v>0</v>
      </c>
      <c r="AU4148" s="82"/>
      <c r="AV4148" s="82"/>
      <c r="AW4148" s="82" t="str">
        <f t="shared" si="1"/>
        <v/>
      </c>
      <c r="AX4148" s="83" t="str">
        <f t="array" ref="AX4148">IFERROR(DGET('SBV Import'!A:G,"SBV",{"RSC ID","Tier";B4148,A4148}))</f>
        <v/>
      </c>
      <c r="AY4148" s="82" t="str">
        <f t="shared" si="2"/>
        <v/>
      </c>
      <c r="AZ4148" s="82"/>
      <c r="BA4148" s="84" t="s">
        <v>152</v>
      </c>
      <c r="BB4148" s="84" t="str">
        <f>IFERROR(__xludf.DUMMYFUNCTION("iferror(if(A4148="""",,E4148&gt;=FILTER(Constants!$F$2:$F$10,Constants!$A$2:$A$10=A4148)))"),"")</f>
        <v/>
      </c>
    </row>
    <row r="4149">
      <c r="A4149" s="89"/>
      <c r="B4149" s="87"/>
      <c r="C4149" s="73"/>
      <c r="D4149" s="73"/>
      <c r="E4149" s="82"/>
      <c r="F4149" s="82"/>
      <c r="G4149" s="86"/>
      <c r="H4149" s="86"/>
      <c r="I4149" s="86"/>
      <c r="J4149" s="82"/>
      <c r="K4149" s="82"/>
      <c r="L4149" s="82"/>
      <c r="M4149" s="82"/>
      <c r="N4149" s="82"/>
      <c r="O4149" s="82"/>
      <c r="P4149" s="82"/>
      <c r="Q4149" s="82"/>
      <c r="R4149" s="82"/>
      <c r="S4149" s="82"/>
      <c r="T4149" s="82"/>
      <c r="U4149" s="82"/>
      <c r="V4149" s="82"/>
      <c r="W4149" s="82"/>
      <c r="X4149" s="82"/>
      <c r="Y4149" s="82"/>
      <c r="Z4149" s="82"/>
      <c r="AA4149" s="82"/>
      <c r="AB4149" s="82"/>
      <c r="AC4149" s="82"/>
      <c r="AD4149" s="82"/>
      <c r="AE4149" s="82"/>
      <c r="AF4149" s="82"/>
      <c r="AG4149" s="82"/>
      <c r="AH4149" s="82"/>
      <c r="AI4149" s="82"/>
      <c r="AJ4149" s="82"/>
      <c r="AK4149" s="82"/>
      <c r="AL4149" s="82"/>
      <c r="AM4149" s="82"/>
      <c r="AN4149" s="82">
        <f>IFERROR(__xludf.DUMMYFUNCTION("""COMPUTED_VALUE"""),0.0)</f>
        <v>0</v>
      </c>
      <c r="AO4149" s="82">
        <f>IFERROR(__xludf.DUMMYFUNCTION("""COMPUTED_VALUE"""),0.0)</f>
        <v>0</v>
      </c>
      <c r="AP4149" s="82">
        <f>IFERROR(__xludf.DUMMYFUNCTION("""COMPUTED_VALUE"""),0.0)</f>
        <v>0</v>
      </c>
      <c r="AQ4149" s="82">
        <f>IFERROR(__xludf.DUMMYFUNCTION("""COMPUTED_VALUE"""),0.0)</f>
        <v>0</v>
      </c>
      <c r="AR4149" s="82">
        <f>IFERROR(__xludf.DUMMYFUNCTION("""COMPUTED_VALUE"""),0.0)</f>
        <v>0</v>
      </c>
      <c r="AS4149" s="82"/>
      <c r="AT4149" s="82">
        <f>IFERROR(__xludf.DUMMYFUNCTION("""COMPUTED_VALUE"""),0.0)</f>
        <v>0</v>
      </c>
      <c r="AU4149" s="82"/>
      <c r="AV4149" s="82"/>
      <c r="AW4149" s="82" t="str">
        <f t="shared" si="1"/>
        <v/>
      </c>
      <c r="AX4149" s="83" t="str">
        <f t="array" ref="AX4149">IFERROR(DGET('SBV Import'!A:G,"SBV",{"RSC ID","Tier";B4149,A4149}))</f>
        <v/>
      </c>
      <c r="AY4149" s="82" t="str">
        <f t="shared" si="2"/>
        <v/>
      </c>
      <c r="AZ4149" s="82"/>
      <c r="BA4149" s="84" t="s">
        <v>152</v>
      </c>
      <c r="BB4149" s="84" t="str">
        <f>IFERROR(__xludf.DUMMYFUNCTION("iferror(if(A4149="""",,E4149&gt;=FILTER(Constants!$F$2:$F$10,Constants!$A$2:$A$10=A4149)))"),"")</f>
        <v/>
      </c>
    </row>
    <row r="4150">
      <c r="A4150" s="89"/>
      <c r="B4150" s="87"/>
      <c r="C4150" s="73"/>
      <c r="D4150" s="73"/>
      <c r="E4150" s="82"/>
      <c r="F4150" s="82"/>
      <c r="G4150" s="86"/>
      <c r="H4150" s="86"/>
      <c r="I4150" s="86"/>
      <c r="J4150" s="82"/>
      <c r="K4150" s="82"/>
      <c r="L4150" s="82"/>
      <c r="M4150" s="82"/>
      <c r="N4150" s="82"/>
      <c r="O4150" s="82"/>
      <c r="P4150" s="82"/>
      <c r="Q4150" s="82"/>
      <c r="R4150" s="82"/>
      <c r="S4150" s="82"/>
      <c r="T4150" s="82"/>
      <c r="U4150" s="82"/>
      <c r="V4150" s="82"/>
      <c r="W4150" s="82"/>
      <c r="X4150" s="82"/>
      <c r="Y4150" s="82"/>
      <c r="Z4150" s="82"/>
      <c r="AA4150" s="82"/>
      <c r="AB4150" s="82"/>
      <c r="AC4150" s="82"/>
      <c r="AD4150" s="82"/>
      <c r="AE4150" s="82"/>
      <c r="AF4150" s="82"/>
      <c r="AG4150" s="82"/>
      <c r="AH4150" s="82"/>
      <c r="AI4150" s="82"/>
      <c r="AJ4150" s="82"/>
      <c r="AK4150" s="82"/>
      <c r="AL4150" s="82"/>
      <c r="AM4150" s="82"/>
      <c r="AN4150" s="82">
        <f>IFERROR(__xludf.DUMMYFUNCTION("""COMPUTED_VALUE"""),0.0)</f>
        <v>0</v>
      </c>
      <c r="AO4150" s="82">
        <f>IFERROR(__xludf.DUMMYFUNCTION("""COMPUTED_VALUE"""),0.0)</f>
        <v>0</v>
      </c>
      <c r="AP4150" s="82">
        <f>IFERROR(__xludf.DUMMYFUNCTION("""COMPUTED_VALUE"""),0.0)</f>
        <v>0</v>
      </c>
      <c r="AQ4150" s="82">
        <f>IFERROR(__xludf.DUMMYFUNCTION("""COMPUTED_VALUE"""),0.0)</f>
        <v>0</v>
      </c>
      <c r="AR4150" s="82">
        <f>IFERROR(__xludf.DUMMYFUNCTION("""COMPUTED_VALUE"""),0.0)</f>
        <v>0</v>
      </c>
      <c r="AS4150" s="82"/>
      <c r="AT4150" s="82">
        <f>IFERROR(__xludf.DUMMYFUNCTION("""COMPUTED_VALUE"""),0.0)</f>
        <v>0</v>
      </c>
      <c r="AU4150" s="82"/>
      <c r="AV4150" s="82"/>
      <c r="AW4150" s="82" t="str">
        <f t="shared" si="1"/>
        <v/>
      </c>
      <c r="AX4150" s="83" t="str">
        <f t="array" ref="AX4150">IFERROR(DGET('SBV Import'!A:G,"SBV",{"RSC ID","Tier";B4150,A4150}))</f>
        <v/>
      </c>
      <c r="AY4150" s="82" t="str">
        <f t="shared" si="2"/>
        <v/>
      </c>
      <c r="AZ4150" s="82"/>
      <c r="BA4150" s="84" t="s">
        <v>152</v>
      </c>
      <c r="BB4150" s="84" t="str">
        <f>IFERROR(__xludf.DUMMYFUNCTION("iferror(if(A4150="""",,E4150&gt;=FILTER(Constants!$F$2:$F$10,Constants!$A$2:$A$10=A4150)))"),"")</f>
        <v/>
      </c>
    </row>
    <row r="4151">
      <c r="A4151" s="89"/>
      <c r="B4151" s="87"/>
      <c r="C4151" s="73"/>
      <c r="D4151" s="73"/>
      <c r="E4151" s="82"/>
      <c r="F4151" s="82"/>
      <c r="G4151" s="86"/>
      <c r="H4151" s="86"/>
      <c r="I4151" s="86"/>
      <c r="J4151" s="82"/>
      <c r="K4151" s="82"/>
      <c r="L4151" s="82"/>
      <c r="M4151" s="82"/>
      <c r="N4151" s="82"/>
      <c r="O4151" s="82"/>
      <c r="P4151" s="82"/>
      <c r="Q4151" s="82"/>
      <c r="R4151" s="82"/>
      <c r="S4151" s="82"/>
      <c r="T4151" s="82"/>
      <c r="U4151" s="82"/>
      <c r="V4151" s="82"/>
      <c r="W4151" s="82"/>
      <c r="X4151" s="82"/>
      <c r="Y4151" s="82"/>
      <c r="Z4151" s="82"/>
      <c r="AA4151" s="82"/>
      <c r="AB4151" s="82"/>
      <c r="AC4151" s="82"/>
      <c r="AD4151" s="82"/>
      <c r="AE4151" s="82"/>
      <c r="AF4151" s="82"/>
      <c r="AG4151" s="82"/>
      <c r="AH4151" s="82"/>
      <c r="AI4151" s="82"/>
      <c r="AJ4151" s="82"/>
      <c r="AK4151" s="82"/>
      <c r="AL4151" s="82"/>
      <c r="AM4151" s="82"/>
      <c r="AN4151" s="82">
        <f>IFERROR(__xludf.DUMMYFUNCTION("""COMPUTED_VALUE"""),0.0)</f>
        <v>0</v>
      </c>
      <c r="AO4151" s="82">
        <f>IFERROR(__xludf.DUMMYFUNCTION("""COMPUTED_VALUE"""),0.0)</f>
        <v>0</v>
      </c>
      <c r="AP4151" s="82">
        <f>IFERROR(__xludf.DUMMYFUNCTION("""COMPUTED_VALUE"""),0.0)</f>
        <v>0</v>
      </c>
      <c r="AQ4151" s="82">
        <f>IFERROR(__xludf.DUMMYFUNCTION("""COMPUTED_VALUE"""),0.0)</f>
        <v>0</v>
      </c>
      <c r="AR4151" s="82">
        <f>IFERROR(__xludf.DUMMYFUNCTION("""COMPUTED_VALUE"""),0.0)</f>
        <v>0</v>
      </c>
      <c r="AS4151" s="82"/>
      <c r="AT4151" s="82">
        <f>IFERROR(__xludf.DUMMYFUNCTION("""COMPUTED_VALUE"""),0.0)</f>
        <v>0</v>
      </c>
      <c r="AU4151" s="82"/>
      <c r="AV4151" s="82"/>
      <c r="AW4151" s="82" t="str">
        <f t="shared" si="1"/>
        <v/>
      </c>
      <c r="AX4151" s="83" t="str">
        <f t="array" ref="AX4151">IFERROR(DGET('SBV Import'!A:G,"SBV",{"RSC ID","Tier";B4151,A4151}))</f>
        <v/>
      </c>
      <c r="AY4151" s="82" t="str">
        <f t="shared" si="2"/>
        <v/>
      </c>
      <c r="AZ4151" s="82"/>
      <c r="BA4151" s="84" t="s">
        <v>152</v>
      </c>
      <c r="BB4151" s="84" t="str">
        <f>IFERROR(__xludf.DUMMYFUNCTION("iferror(if(A4151="""",,E4151&gt;=FILTER(Constants!$F$2:$F$10,Constants!$A$2:$A$10=A4151)))"),"")</f>
        <v/>
      </c>
    </row>
    <row r="4152">
      <c r="A4152" s="89"/>
      <c r="B4152" s="87"/>
      <c r="C4152" s="73"/>
      <c r="D4152" s="73"/>
      <c r="E4152" s="82"/>
      <c r="F4152" s="82"/>
      <c r="G4152" s="86"/>
      <c r="H4152" s="86"/>
      <c r="I4152" s="86"/>
      <c r="J4152" s="82"/>
      <c r="K4152" s="82"/>
      <c r="L4152" s="82"/>
      <c r="M4152" s="82"/>
      <c r="N4152" s="82"/>
      <c r="O4152" s="82"/>
      <c r="P4152" s="82"/>
      <c r="Q4152" s="82"/>
      <c r="R4152" s="82"/>
      <c r="S4152" s="82"/>
      <c r="T4152" s="82"/>
      <c r="U4152" s="82"/>
      <c r="V4152" s="82"/>
      <c r="W4152" s="82"/>
      <c r="X4152" s="82"/>
      <c r="Y4152" s="82"/>
      <c r="Z4152" s="82"/>
      <c r="AA4152" s="82"/>
      <c r="AB4152" s="82"/>
      <c r="AC4152" s="82"/>
      <c r="AD4152" s="82"/>
      <c r="AE4152" s="82"/>
      <c r="AF4152" s="82"/>
      <c r="AG4152" s="82"/>
      <c r="AH4152" s="82"/>
      <c r="AI4152" s="82"/>
      <c r="AJ4152" s="82"/>
      <c r="AK4152" s="82"/>
      <c r="AL4152" s="82"/>
      <c r="AM4152" s="82"/>
      <c r="AN4152" s="82">
        <f>IFERROR(__xludf.DUMMYFUNCTION("""COMPUTED_VALUE"""),0.0)</f>
        <v>0</v>
      </c>
      <c r="AO4152" s="82">
        <f>IFERROR(__xludf.DUMMYFUNCTION("""COMPUTED_VALUE"""),0.0)</f>
        <v>0</v>
      </c>
      <c r="AP4152" s="82">
        <f>IFERROR(__xludf.DUMMYFUNCTION("""COMPUTED_VALUE"""),0.0)</f>
        <v>0</v>
      </c>
      <c r="AQ4152" s="82">
        <f>IFERROR(__xludf.DUMMYFUNCTION("""COMPUTED_VALUE"""),0.0)</f>
        <v>0</v>
      </c>
      <c r="AR4152" s="82">
        <f>IFERROR(__xludf.DUMMYFUNCTION("""COMPUTED_VALUE"""),0.0)</f>
        <v>0</v>
      </c>
      <c r="AS4152" s="82"/>
      <c r="AT4152" s="82">
        <f>IFERROR(__xludf.DUMMYFUNCTION("""COMPUTED_VALUE"""),0.0)</f>
        <v>0</v>
      </c>
      <c r="AU4152" s="82"/>
      <c r="AV4152" s="82"/>
      <c r="AW4152" s="82" t="str">
        <f t="shared" si="1"/>
        <v/>
      </c>
      <c r="AX4152" s="83" t="str">
        <f t="array" ref="AX4152">IFERROR(DGET('SBV Import'!A:G,"SBV",{"RSC ID","Tier";B4152,A4152}))</f>
        <v/>
      </c>
      <c r="AY4152" s="82" t="str">
        <f t="shared" si="2"/>
        <v/>
      </c>
      <c r="AZ4152" s="82"/>
      <c r="BA4152" s="84" t="s">
        <v>152</v>
      </c>
      <c r="BB4152" s="84" t="str">
        <f>IFERROR(__xludf.DUMMYFUNCTION("iferror(if(A4152="""",,E4152&gt;=FILTER(Constants!$F$2:$F$10,Constants!$A$2:$A$10=A4152)))"),"")</f>
        <v/>
      </c>
    </row>
    <row r="4153">
      <c r="A4153" s="89"/>
      <c r="B4153" s="87"/>
      <c r="C4153" s="73"/>
      <c r="D4153" s="73"/>
      <c r="E4153" s="82"/>
      <c r="F4153" s="82"/>
      <c r="G4153" s="86"/>
      <c r="H4153" s="86"/>
      <c r="I4153" s="86"/>
      <c r="J4153" s="82"/>
      <c r="K4153" s="82"/>
      <c r="L4153" s="82"/>
      <c r="M4153" s="82"/>
      <c r="N4153" s="82"/>
      <c r="O4153" s="82"/>
      <c r="P4153" s="82"/>
      <c r="Q4153" s="82"/>
      <c r="R4153" s="82"/>
      <c r="S4153" s="82"/>
      <c r="T4153" s="82"/>
      <c r="U4153" s="82"/>
      <c r="V4153" s="82"/>
      <c r="W4153" s="82"/>
      <c r="X4153" s="82"/>
      <c r="Y4153" s="82"/>
      <c r="Z4153" s="82"/>
      <c r="AA4153" s="82"/>
      <c r="AB4153" s="82"/>
      <c r="AC4153" s="82"/>
      <c r="AD4153" s="82"/>
      <c r="AE4153" s="82"/>
      <c r="AF4153" s="82"/>
      <c r="AG4153" s="82"/>
      <c r="AH4153" s="82"/>
      <c r="AI4153" s="82"/>
      <c r="AJ4153" s="82"/>
      <c r="AK4153" s="82"/>
      <c r="AL4153" s="82"/>
      <c r="AM4153" s="82"/>
      <c r="AN4153" s="82">
        <f>IFERROR(__xludf.DUMMYFUNCTION("""COMPUTED_VALUE"""),0.0)</f>
        <v>0</v>
      </c>
      <c r="AO4153" s="82">
        <f>IFERROR(__xludf.DUMMYFUNCTION("""COMPUTED_VALUE"""),0.0)</f>
        <v>0</v>
      </c>
      <c r="AP4153" s="82">
        <f>IFERROR(__xludf.DUMMYFUNCTION("""COMPUTED_VALUE"""),0.0)</f>
        <v>0</v>
      </c>
      <c r="AQ4153" s="82">
        <f>IFERROR(__xludf.DUMMYFUNCTION("""COMPUTED_VALUE"""),0.0)</f>
        <v>0</v>
      </c>
      <c r="AR4153" s="82">
        <f>IFERROR(__xludf.DUMMYFUNCTION("""COMPUTED_VALUE"""),0.0)</f>
        <v>0</v>
      </c>
      <c r="AS4153" s="82"/>
      <c r="AT4153" s="82">
        <f>IFERROR(__xludf.DUMMYFUNCTION("""COMPUTED_VALUE"""),0.0)</f>
        <v>0</v>
      </c>
      <c r="AU4153" s="82"/>
      <c r="AV4153" s="82"/>
      <c r="AW4153" s="82" t="str">
        <f t="shared" si="1"/>
        <v/>
      </c>
      <c r="AX4153" s="83" t="str">
        <f t="array" ref="AX4153">IFERROR(DGET('SBV Import'!A:G,"SBV",{"RSC ID","Tier";B4153,A4153}))</f>
        <v/>
      </c>
      <c r="AY4153" s="82" t="str">
        <f t="shared" si="2"/>
        <v/>
      </c>
      <c r="AZ4153" s="82"/>
      <c r="BA4153" s="84" t="s">
        <v>152</v>
      </c>
      <c r="BB4153" s="84" t="str">
        <f>IFERROR(__xludf.DUMMYFUNCTION("iferror(if(A4153="""",,E4153&gt;=FILTER(Constants!$F$2:$F$10,Constants!$A$2:$A$10=A4153)))"),"")</f>
        <v/>
      </c>
    </row>
    <row r="4154">
      <c r="A4154" s="89"/>
      <c r="B4154" s="87"/>
      <c r="C4154" s="73"/>
      <c r="D4154" s="73"/>
      <c r="E4154" s="82"/>
      <c r="F4154" s="82"/>
      <c r="G4154" s="86"/>
      <c r="H4154" s="86"/>
      <c r="I4154" s="86"/>
      <c r="J4154" s="82"/>
      <c r="K4154" s="82"/>
      <c r="L4154" s="82"/>
      <c r="M4154" s="82"/>
      <c r="N4154" s="82"/>
      <c r="O4154" s="82"/>
      <c r="P4154" s="82"/>
      <c r="Q4154" s="82"/>
      <c r="R4154" s="82"/>
      <c r="S4154" s="82"/>
      <c r="T4154" s="82"/>
      <c r="U4154" s="82"/>
      <c r="V4154" s="82"/>
      <c r="W4154" s="82"/>
      <c r="X4154" s="82"/>
      <c r="Y4154" s="82"/>
      <c r="Z4154" s="82"/>
      <c r="AA4154" s="82"/>
      <c r="AB4154" s="82"/>
      <c r="AC4154" s="82"/>
      <c r="AD4154" s="82"/>
      <c r="AE4154" s="82"/>
      <c r="AF4154" s="82"/>
      <c r="AG4154" s="82"/>
      <c r="AH4154" s="82"/>
      <c r="AI4154" s="82"/>
      <c r="AJ4154" s="82"/>
      <c r="AK4154" s="82"/>
      <c r="AL4154" s="82"/>
      <c r="AM4154" s="82"/>
      <c r="AN4154" s="82">
        <f>IFERROR(__xludf.DUMMYFUNCTION("""COMPUTED_VALUE"""),0.0)</f>
        <v>0</v>
      </c>
      <c r="AO4154" s="82">
        <f>IFERROR(__xludf.DUMMYFUNCTION("""COMPUTED_VALUE"""),0.0)</f>
        <v>0</v>
      </c>
      <c r="AP4154" s="82">
        <f>IFERROR(__xludf.DUMMYFUNCTION("""COMPUTED_VALUE"""),0.0)</f>
        <v>0</v>
      </c>
      <c r="AQ4154" s="82">
        <f>IFERROR(__xludf.DUMMYFUNCTION("""COMPUTED_VALUE"""),0.0)</f>
        <v>0</v>
      </c>
      <c r="AR4154" s="82">
        <f>IFERROR(__xludf.DUMMYFUNCTION("""COMPUTED_VALUE"""),0.0)</f>
        <v>0</v>
      </c>
      <c r="AS4154" s="82"/>
      <c r="AT4154" s="82">
        <f>IFERROR(__xludf.DUMMYFUNCTION("""COMPUTED_VALUE"""),0.0)</f>
        <v>0</v>
      </c>
      <c r="AU4154" s="82"/>
      <c r="AV4154" s="82"/>
      <c r="AW4154" s="82" t="str">
        <f t="shared" si="1"/>
        <v/>
      </c>
      <c r="AX4154" s="83" t="str">
        <f t="array" ref="AX4154">IFERROR(DGET('SBV Import'!A:G,"SBV",{"RSC ID","Tier";B4154,A4154}))</f>
        <v/>
      </c>
      <c r="AY4154" s="82" t="str">
        <f t="shared" si="2"/>
        <v/>
      </c>
      <c r="AZ4154" s="82"/>
      <c r="BA4154" s="84" t="s">
        <v>152</v>
      </c>
      <c r="BB4154" s="84" t="str">
        <f>IFERROR(__xludf.DUMMYFUNCTION("iferror(if(A4154="""",,E4154&gt;=FILTER(Constants!$F$2:$F$10,Constants!$A$2:$A$10=A4154)))"),"")</f>
        <v/>
      </c>
    </row>
    <row r="4155">
      <c r="A4155" s="89"/>
      <c r="B4155" s="87"/>
      <c r="C4155" s="73"/>
      <c r="D4155" s="73"/>
      <c r="E4155" s="82"/>
      <c r="F4155" s="82"/>
      <c r="G4155" s="86"/>
      <c r="H4155" s="86"/>
      <c r="I4155" s="86"/>
      <c r="J4155" s="82"/>
      <c r="K4155" s="82"/>
      <c r="L4155" s="82"/>
      <c r="M4155" s="82"/>
      <c r="N4155" s="82"/>
      <c r="O4155" s="82"/>
      <c r="P4155" s="82"/>
      <c r="Q4155" s="82"/>
      <c r="R4155" s="82"/>
      <c r="S4155" s="82"/>
      <c r="T4155" s="82"/>
      <c r="U4155" s="82"/>
      <c r="V4155" s="82"/>
      <c r="W4155" s="82"/>
      <c r="X4155" s="82"/>
      <c r="Y4155" s="82"/>
      <c r="Z4155" s="82"/>
      <c r="AA4155" s="82"/>
      <c r="AB4155" s="82"/>
      <c r="AC4155" s="82"/>
      <c r="AD4155" s="82"/>
      <c r="AE4155" s="82"/>
      <c r="AF4155" s="82"/>
      <c r="AG4155" s="82"/>
      <c r="AH4155" s="82"/>
      <c r="AI4155" s="82"/>
      <c r="AJ4155" s="82"/>
      <c r="AK4155" s="82"/>
      <c r="AL4155" s="82"/>
      <c r="AM4155" s="82"/>
      <c r="AN4155" s="82">
        <f>IFERROR(__xludf.DUMMYFUNCTION("""COMPUTED_VALUE"""),0.0)</f>
        <v>0</v>
      </c>
      <c r="AO4155" s="82">
        <f>IFERROR(__xludf.DUMMYFUNCTION("""COMPUTED_VALUE"""),0.0)</f>
        <v>0</v>
      </c>
      <c r="AP4155" s="82">
        <f>IFERROR(__xludf.DUMMYFUNCTION("""COMPUTED_VALUE"""),0.0)</f>
        <v>0</v>
      </c>
      <c r="AQ4155" s="82">
        <f>IFERROR(__xludf.DUMMYFUNCTION("""COMPUTED_VALUE"""),0.0)</f>
        <v>0</v>
      </c>
      <c r="AR4155" s="82">
        <f>IFERROR(__xludf.DUMMYFUNCTION("""COMPUTED_VALUE"""),0.0)</f>
        <v>0</v>
      </c>
      <c r="AS4155" s="82"/>
      <c r="AT4155" s="82">
        <f>IFERROR(__xludf.DUMMYFUNCTION("""COMPUTED_VALUE"""),0.0)</f>
        <v>0</v>
      </c>
      <c r="AU4155" s="82"/>
      <c r="AV4155" s="82"/>
      <c r="AW4155" s="82" t="str">
        <f t="shared" si="1"/>
        <v/>
      </c>
      <c r="AX4155" s="83" t="str">
        <f t="array" ref="AX4155">IFERROR(DGET('SBV Import'!A:G,"SBV",{"RSC ID","Tier";B4155,A4155}))</f>
        <v/>
      </c>
      <c r="AY4155" s="82" t="str">
        <f t="shared" si="2"/>
        <v/>
      </c>
      <c r="AZ4155" s="82"/>
      <c r="BA4155" s="84" t="s">
        <v>152</v>
      </c>
      <c r="BB4155" s="84" t="str">
        <f>IFERROR(__xludf.DUMMYFUNCTION("iferror(if(A4155="""",,E4155&gt;=FILTER(Constants!$F$2:$F$10,Constants!$A$2:$A$10=A4155)))"),"")</f>
        <v/>
      </c>
    </row>
    <row r="4156">
      <c r="A4156" s="89"/>
      <c r="B4156" s="87"/>
      <c r="C4156" s="73"/>
      <c r="D4156" s="73"/>
      <c r="E4156" s="82"/>
      <c r="F4156" s="82"/>
      <c r="G4156" s="86"/>
      <c r="H4156" s="86"/>
      <c r="I4156" s="86"/>
      <c r="J4156" s="82"/>
      <c r="K4156" s="82"/>
      <c r="L4156" s="82"/>
      <c r="M4156" s="82"/>
      <c r="N4156" s="82"/>
      <c r="O4156" s="82"/>
      <c r="P4156" s="82"/>
      <c r="Q4156" s="82"/>
      <c r="R4156" s="82"/>
      <c r="S4156" s="82"/>
      <c r="T4156" s="82"/>
      <c r="U4156" s="82"/>
      <c r="V4156" s="82"/>
      <c r="W4156" s="82"/>
      <c r="X4156" s="82"/>
      <c r="Y4156" s="82"/>
      <c r="Z4156" s="82"/>
      <c r="AA4156" s="82"/>
      <c r="AB4156" s="82"/>
      <c r="AC4156" s="82"/>
      <c r="AD4156" s="82"/>
      <c r="AE4156" s="82"/>
      <c r="AF4156" s="82"/>
      <c r="AG4156" s="82"/>
      <c r="AH4156" s="82"/>
      <c r="AI4156" s="82"/>
      <c r="AJ4156" s="82"/>
      <c r="AK4156" s="82"/>
      <c r="AL4156" s="82"/>
      <c r="AM4156" s="82"/>
      <c r="AN4156" s="82">
        <f>IFERROR(__xludf.DUMMYFUNCTION("""COMPUTED_VALUE"""),0.0)</f>
        <v>0</v>
      </c>
      <c r="AO4156" s="82">
        <f>IFERROR(__xludf.DUMMYFUNCTION("""COMPUTED_VALUE"""),0.0)</f>
        <v>0</v>
      </c>
      <c r="AP4156" s="82">
        <f>IFERROR(__xludf.DUMMYFUNCTION("""COMPUTED_VALUE"""),0.0)</f>
        <v>0</v>
      </c>
      <c r="AQ4156" s="82">
        <f>IFERROR(__xludf.DUMMYFUNCTION("""COMPUTED_VALUE"""),0.0)</f>
        <v>0</v>
      </c>
      <c r="AR4156" s="82">
        <f>IFERROR(__xludf.DUMMYFUNCTION("""COMPUTED_VALUE"""),0.0)</f>
        <v>0</v>
      </c>
      <c r="AS4156" s="82"/>
      <c r="AT4156" s="82">
        <f>IFERROR(__xludf.DUMMYFUNCTION("""COMPUTED_VALUE"""),0.0)</f>
        <v>0</v>
      </c>
      <c r="AU4156" s="82"/>
      <c r="AV4156" s="82"/>
      <c r="AW4156" s="82" t="str">
        <f t="shared" si="1"/>
        <v/>
      </c>
      <c r="AX4156" s="83" t="str">
        <f t="array" ref="AX4156">IFERROR(DGET('SBV Import'!A:G,"SBV",{"RSC ID","Tier";B4156,A4156}))</f>
        <v/>
      </c>
      <c r="AY4156" s="82" t="str">
        <f t="shared" si="2"/>
        <v/>
      </c>
      <c r="AZ4156" s="82"/>
      <c r="BA4156" s="84" t="s">
        <v>152</v>
      </c>
      <c r="BB4156" s="84" t="str">
        <f>IFERROR(__xludf.DUMMYFUNCTION("iferror(if(A4156="""",,E4156&gt;=FILTER(Constants!$F$2:$F$10,Constants!$A$2:$A$10=A4156)))"),"")</f>
        <v/>
      </c>
    </row>
    <row r="4157">
      <c r="A4157" s="89"/>
      <c r="B4157" s="87"/>
      <c r="C4157" s="73"/>
      <c r="D4157" s="73"/>
      <c r="E4157" s="82"/>
      <c r="F4157" s="82"/>
      <c r="G4157" s="86"/>
      <c r="H4157" s="86"/>
      <c r="I4157" s="86"/>
      <c r="J4157" s="82"/>
      <c r="K4157" s="82"/>
      <c r="L4157" s="82"/>
      <c r="M4157" s="82"/>
      <c r="N4157" s="82"/>
      <c r="O4157" s="82"/>
      <c r="P4157" s="82"/>
      <c r="Q4157" s="82"/>
      <c r="R4157" s="82"/>
      <c r="S4157" s="82"/>
      <c r="T4157" s="82"/>
      <c r="U4157" s="82"/>
      <c r="V4157" s="82"/>
      <c r="W4157" s="82"/>
      <c r="X4157" s="82"/>
      <c r="Y4157" s="82"/>
      <c r="Z4157" s="82"/>
      <c r="AA4157" s="82"/>
      <c r="AB4157" s="82"/>
      <c r="AC4157" s="82"/>
      <c r="AD4157" s="82"/>
      <c r="AE4157" s="82"/>
      <c r="AF4157" s="82"/>
      <c r="AG4157" s="82"/>
      <c r="AH4157" s="82"/>
      <c r="AI4157" s="82"/>
      <c r="AJ4157" s="82"/>
      <c r="AK4157" s="82"/>
      <c r="AL4157" s="82"/>
      <c r="AM4157" s="82"/>
      <c r="AN4157" s="82">
        <f>IFERROR(__xludf.DUMMYFUNCTION("""COMPUTED_VALUE"""),0.0)</f>
        <v>0</v>
      </c>
      <c r="AO4157" s="82">
        <f>IFERROR(__xludf.DUMMYFUNCTION("""COMPUTED_VALUE"""),0.0)</f>
        <v>0</v>
      </c>
      <c r="AP4157" s="82">
        <f>IFERROR(__xludf.DUMMYFUNCTION("""COMPUTED_VALUE"""),0.0)</f>
        <v>0</v>
      </c>
      <c r="AQ4157" s="82">
        <f>IFERROR(__xludf.DUMMYFUNCTION("""COMPUTED_VALUE"""),0.0)</f>
        <v>0</v>
      </c>
      <c r="AR4157" s="82">
        <f>IFERROR(__xludf.DUMMYFUNCTION("""COMPUTED_VALUE"""),0.0)</f>
        <v>0</v>
      </c>
      <c r="AS4157" s="82"/>
      <c r="AT4157" s="82">
        <f>IFERROR(__xludf.DUMMYFUNCTION("""COMPUTED_VALUE"""),0.0)</f>
        <v>0</v>
      </c>
      <c r="AU4157" s="82"/>
      <c r="AV4157" s="82"/>
      <c r="AW4157" s="82" t="str">
        <f t="shared" si="1"/>
        <v/>
      </c>
      <c r="AX4157" s="83" t="str">
        <f t="array" ref="AX4157">IFERROR(DGET('SBV Import'!A:G,"SBV",{"RSC ID","Tier";B4157,A4157}))</f>
        <v/>
      </c>
      <c r="AY4157" s="82" t="str">
        <f t="shared" si="2"/>
        <v/>
      </c>
      <c r="AZ4157" s="82"/>
      <c r="BA4157" s="84" t="s">
        <v>152</v>
      </c>
      <c r="BB4157" s="84" t="str">
        <f>IFERROR(__xludf.DUMMYFUNCTION("iferror(if(A4157="""",,E4157&gt;=FILTER(Constants!$F$2:$F$10,Constants!$A$2:$A$10=A4157)))"),"")</f>
        <v/>
      </c>
    </row>
    <row r="4158">
      <c r="A4158" s="89"/>
      <c r="B4158" s="87"/>
      <c r="C4158" s="73"/>
      <c r="D4158" s="73"/>
      <c r="E4158" s="82"/>
      <c r="F4158" s="82"/>
      <c r="G4158" s="86"/>
      <c r="H4158" s="86"/>
      <c r="I4158" s="86"/>
      <c r="J4158" s="82"/>
      <c r="K4158" s="82"/>
      <c r="L4158" s="82"/>
      <c r="M4158" s="82"/>
      <c r="N4158" s="82"/>
      <c r="O4158" s="82"/>
      <c r="P4158" s="82"/>
      <c r="Q4158" s="82"/>
      <c r="R4158" s="82"/>
      <c r="S4158" s="82"/>
      <c r="T4158" s="82"/>
      <c r="U4158" s="82"/>
      <c r="V4158" s="82"/>
      <c r="W4158" s="82"/>
      <c r="X4158" s="82"/>
      <c r="Y4158" s="82"/>
      <c r="Z4158" s="82"/>
      <c r="AA4158" s="82"/>
      <c r="AB4158" s="82"/>
      <c r="AC4158" s="82"/>
      <c r="AD4158" s="82"/>
      <c r="AE4158" s="82"/>
      <c r="AF4158" s="82"/>
      <c r="AG4158" s="82"/>
      <c r="AH4158" s="82"/>
      <c r="AI4158" s="82"/>
      <c r="AJ4158" s="82"/>
      <c r="AK4158" s="82"/>
      <c r="AL4158" s="82"/>
      <c r="AM4158" s="82"/>
      <c r="AN4158" s="82">
        <f>IFERROR(__xludf.DUMMYFUNCTION("""COMPUTED_VALUE"""),0.0)</f>
        <v>0</v>
      </c>
      <c r="AO4158" s="82">
        <f>IFERROR(__xludf.DUMMYFUNCTION("""COMPUTED_VALUE"""),0.0)</f>
        <v>0</v>
      </c>
      <c r="AP4158" s="82">
        <f>IFERROR(__xludf.DUMMYFUNCTION("""COMPUTED_VALUE"""),0.0)</f>
        <v>0</v>
      </c>
      <c r="AQ4158" s="82">
        <f>IFERROR(__xludf.DUMMYFUNCTION("""COMPUTED_VALUE"""),0.0)</f>
        <v>0</v>
      </c>
      <c r="AR4158" s="82">
        <f>IFERROR(__xludf.DUMMYFUNCTION("""COMPUTED_VALUE"""),0.0)</f>
        <v>0</v>
      </c>
      <c r="AS4158" s="82"/>
      <c r="AT4158" s="82">
        <f>IFERROR(__xludf.DUMMYFUNCTION("""COMPUTED_VALUE"""),0.0)</f>
        <v>0</v>
      </c>
      <c r="AU4158" s="82"/>
      <c r="AV4158" s="82"/>
      <c r="AW4158" s="82" t="str">
        <f t="shared" si="1"/>
        <v/>
      </c>
      <c r="AX4158" s="83" t="str">
        <f t="array" ref="AX4158">IFERROR(DGET('SBV Import'!A:G,"SBV",{"RSC ID","Tier";B4158,A4158}))</f>
        <v/>
      </c>
      <c r="AY4158" s="82" t="str">
        <f t="shared" si="2"/>
        <v/>
      </c>
      <c r="AZ4158" s="82"/>
      <c r="BA4158" s="84" t="s">
        <v>152</v>
      </c>
      <c r="BB4158" s="84" t="str">
        <f>IFERROR(__xludf.DUMMYFUNCTION("iferror(if(A4158="""",,E4158&gt;=FILTER(Constants!$F$2:$F$10,Constants!$A$2:$A$10=A4158)))"),"")</f>
        <v/>
      </c>
    </row>
    <row r="4159">
      <c r="A4159" s="89"/>
      <c r="B4159" s="87"/>
      <c r="C4159" s="73"/>
      <c r="D4159" s="73"/>
      <c r="E4159" s="82"/>
      <c r="F4159" s="82"/>
      <c r="G4159" s="86"/>
      <c r="H4159" s="86"/>
      <c r="I4159" s="86"/>
      <c r="J4159" s="82"/>
      <c r="K4159" s="82"/>
      <c r="L4159" s="82"/>
      <c r="M4159" s="82"/>
      <c r="N4159" s="82"/>
      <c r="O4159" s="82"/>
      <c r="P4159" s="82"/>
      <c r="Q4159" s="82"/>
      <c r="R4159" s="82"/>
      <c r="S4159" s="82"/>
      <c r="T4159" s="82"/>
      <c r="U4159" s="82"/>
      <c r="V4159" s="82"/>
      <c r="W4159" s="82"/>
      <c r="X4159" s="82"/>
      <c r="Y4159" s="82"/>
      <c r="Z4159" s="82"/>
      <c r="AA4159" s="82"/>
      <c r="AB4159" s="82"/>
      <c r="AC4159" s="82"/>
      <c r="AD4159" s="82"/>
      <c r="AE4159" s="82"/>
      <c r="AF4159" s="82"/>
      <c r="AG4159" s="82"/>
      <c r="AH4159" s="82"/>
      <c r="AI4159" s="82"/>
      <c r="AJ4159" s="82"/>
      <c r="AK4159" s="82"/>
      <c r="AL4159" s="82"/>
      <c r="AM4159" s="82"/>
      <c r="AN4159" s="82">
        <f>IFERROR(__xludf.DUMMYFUNCTION("""COMPUTED_VALUE"""),0.0)</f>
        <v>0</v>
      </c>
      <c r="AO4159" s="82">
        <f>IFERROR(__xludf.DUMMYFUNCTION("""COMPUTED_VALUE"""),0.0)</f>
        <v>0</v>
      </c>
      <c r="AP4159" s="82">
        <f>IFERROR(__xludf.DUMMYFUNCTION("""COMPUTED_VALUE"""),0.0)</f>
        <v>0</v>
      </c>
      <c r="AQ4159" s="82">
        <f>IFERROR(__xludf.DUMMYFUNCTION("""COMPUTED_VALUE"""),0.0)</f>
        <v>0</v>
      </c>
      <c r="AR4159" s="82">
        <f>IFERROR(__xludf.DUMMYFUNCTION("""COMPUTED_VALUE"""),0.0)</f>
        <v>0</v>
      </c>
      <c r="AS4159" s="82"/>
      <c r="AT4159" s="82">
        <f>IFERROR(__xludf.DUMMYFUNCTION("""COMPUTED_VALUE"""),0.0)</f>
        <v>0</v>
      </c>
      <c r="AU4159" s="82"/>
      <c r="AV4159" s="82"/>
      <c r="AW4159" s="82" t="str">
        <f t="shared" si="1"/>
        <v/>
      </c>
      <c r="AX4159" s="83" t="str">
        <f t="array" ref="AX4159">IFERROR(DGET('SBV Import'!A:G,"SBV",{"RSC ID","Tier";B4159,A4159}))</f>
        <v/>
      </c>
      <c r="AY4159" s="82" t="str">
        <f t="shared" si="2"/>
        <v/>
      </c>
      <c r="AZ4159" s="82"/>
      <c r="BA4159" s="84" t="s">
        <v>152</v>
      </c>
      <c r="BB4159" s="84" t="str">
        <f>IFERROR(__xludf.DUMMYFUNCTION("iferror(if(A4159="""",,E4159&gt;=FILTER(Constants!$F$2:$F$10,Constants!$A$2:$A$10=A4159)))"),"")</f>
        <v/>
      </c>
    </row>
    <row r="4160">
      <c r="A4160" s="89"/>
      <c r="B4160" s="87"/>
      <c r="C4160" s="73"/>
      <c r="D4160" s="73"/>
      <c r="E4160" s="82"/>
      <c r="F4160" s="82"/>
      <c r="G4160" s="86"/>
      <c r="H4160" s="86"/>
      <c r="I4160" s="86"/>
      <c r="J4160" s="82"/>
      <c r="K4160" s="82"/>
      <c r="L4160" s="82"/>
      <c r="M4160" s="82"/>
      <c r="N4160" s="82"/>
      <c r="O4160" s="82"/>
      <c r="P4160" s="82"/>
      <c r="Q4160" s="82"/>
      <c r="R4160" s="82"/>
      <c r="S4160" s="82"/>
      <c r="T4160" s="82"/>
      <c r="U4160" s="82"/>
      <c r="V4160" s="82"/>
      <c r="W4160" s="82"/>
      <c r="X4160" s="82"/>
      <c r="Y4160" s="82"/>
      <c r="Z4160" s="82"/>
      <c r="AA4160" s="82"/>
      <c r="AB4160" s="82"/>
      <c r="AC4160" s="82"/>
      <c r="AD4160" s="82"/>
      <c r="AE4160" s="82"/>
      <c r="AF4160" s="82"/>
      <c r="AG4160" s="82"/>
      <c r="AH4160" s="82"/>
      <c r="AI4160" s="82"/>
      <c r="AJ4160" s="82"/>
      <c r="AK4160" s="82"/>
      <c r="AL4160" s="82"/>
      <c r="AM4160" s="82"/>
      <c r="AN4160" s="82">
        <f>IFERROR(__xludf.DUMMYFUNCTION("""COMPUTED_VALUE"""),0.0)</f>
        <v>0</v>
      </c>
      <c r="AO4160" s="82">
        <f>IFERROR(__xludf.DUMMYFUNCTION("""COMPUTED_VALUE"""),0.0)</f>
        <v>0</v>
      </c>
      <c r="AP4160" s="82">
        <f>IFERROR(__xludf.DUMMYFUNCTION("""COMPUTED_VALUE"""),0.0)</f>
        <v>0</v>
      </c>
      <c r="AQ4160" s="82">
        <f>IFERROR(__xludf.DUMMYFUNCTION("""COMPUTED_VALUE"""),0.0)</f>
        <v>0</v>
      </c>
      <c r="AR4160" s="82">
        <f>IFERROR(__xludf.DUMMYFUNCTION("""COMPUTED_VALUE"""),0.0)</f>
        <v>0</v>
      </c>
      <c r="AS4160" s="82"/>
      <c r="AT4160" s="82">
        <f>IFERROR(__xludf.DUMMYFUNCTION("""COMPUTED_VALUE"""),0.0)</f>
        <v>0</v>
      </c>
      <c r="AU4160" s="82"/>
      <c r="AV4160" s="82"/>
      <c r="AW4160" s="82" t="str">
        <f t="shared" si="1"/>
        <v/>
      </c>
      <c r="AX4160" s="83" t="str">
        <f t="array" ref="AX4160">IFERROR(DGET('SBV Import'!A:G,"SBV",{"RSC ID","Tier";B4160,A4160}))</f>
        <v/>
      </c>
      <c r="AY4160" s="82" t="str">
        <f t="shared" si="2"/>
        <v/>
      </c>
      <c r="AZ4160" s="82"/>
      <c r="BA4160" s="84" t="s">
        <v>152</v>
      </c>
      <c r="BB4160" s="84" t="str">
        <f>IFERROR(__xludf.DUMMYFUNCTION("iferror(if(A4160="""",,E4160&gt;=FILTER(Constants!$F$2:$F$10,Constants!$A$2:$A$10=A4160)))"),"")</f>
        <v/>
      </c>
    </row>
    <row r="4161">
      <c r="A4161" s="89"/>
      <c r="B4161" s="87"/>
      <c r="C4161" s="73"/>
      <c r="D4161" s="73"/>
      <c r="E4161" s="82"/>
      <c r="F4161" s="82"/>
      <c r="G4161" s="86"/>
      <c r="H4161" s="86"/>
      <c r="I4161" s="86"/>
      <c r="J4161" s="82"/>
      <c r="K4161" s="82"/>
      <c r="L4161" s="82"/>
      <c r="M4161" s="82"/>
      <c r="N4161" s="82"/>
      <c r="O4161" s="82"/>
      <c r="P4161" s="82"/>
      <c r="Q4161" s="82"/>
      <c r="R4161" s="82"/>
      <c r="S4161" s="82"/>
      <c r="T4161" s="82"/>
      <c r="U4161" s="82"/>
      <c r="V4161" s="82"/>
      <c r="W4161" s="82"/>
      <c r="X4161" s="82"/>
      <c r="Y4161" s="82"/>
      <c r="Z4161" s="82"/>
      <c r="AA4161" s="82"/>
      <c r="AB4161" s="82"/>
      <c r="AC4161" s="82"/>
      <c r="AD4161" s="82"/>
      <c r="AE4161" s="82"/>
      <c r="AF4161" s="82"/>
      <c r="AG4161" s="82"/>
      <c r="AH4161" s="82"/>
      <c r="AI4161" s="82"/>
      <c r="AJ4161" s="82"/>
      <c r="AK4161" s="82"/>
      <c r="AL4161" s="82"/>
      <c r="AM4161" s="82"/>
      <c r="AN4161" s="82">
        <f>IFERROR(__xludf.DUMMYFUNCTION("""COMPUTED_VALUE"""),0.0)</f>
        <v>0</v>
      </c>
      <c r="AO4161" s="82">
        <f>IFERROR(__xludf.DUMMYFUNCTION("""COMPUTED_VALUE"""),0.0)</f>
        <v>0</v>
      </c>
      <c r="AP4161" s="82">
        <f>IFERROR(__xludf.DUMMYFUNCTION("""COMPUTED_VALUE"""),0.0)</f>
        <v>0</v>
      </c>
      <c r="AQ4161" s="82">
        <f>IFERROR(__xludf.DUMMYFUNCTION("""COMPUTED_VALUE"""),0.0)</f>
        <v>0</v>
      </c>
      <c r="AR4161" s="82">
        <f>IFERROR(__xludf.DUMMYFUNCTION("""COMPUTED_VALUE"""),0.0)</f>
        <v>0</v>
      </c>
      <c r="AS4161" s="82"/>
      <c r="AT4161" s="82">
        <f>IFERROR(__xludf.DUMMYFUNCTION("""COMPUTED_VALUE"""),0.0)</f>
        <v>0</v>
      </c>
      <c r="AU4161" s="82"/>
      <c r="AV4161" s="82"/>
      <c r="AW4161" s="82" t="str">
        <f t="shared" si="1"/>
        <v/>
      </c>
      <c r="AX4161" s="83" t="str">
        <f t="array" ref="AX4161">IFERROR(DGET('SBV Import'!A:G,"SBV",{"RSC ID","Tier";B4161,A4161}))</f>
        <v/>
      </c>
      <c r="AY4161" s="82" t="str">
        <f t="shared" si="2"/>
        <v/>
      </c>
      <c r="AZ4161" s="82"/>
      <c r="BA4161" s="84" t="s">
        <v>152</v>
      </c>
      <c r="BB4161" s="84" t="str">
        <f>IFERROR(__xludf.DUMMYFUNCTION("iferror(if(A4161="""",,E4161&gt;=FILTER(Constants!$F$2:$F$10,Constants!$A$2:$A$10=A4161)))"),"")</f>
        <v/>
      </c>
    </row>
    <row r="4162">
      <c r="A4162" s="89"/>
      <c r="B4162" s="87"/>
      <c r="C4162" s="73"/>
      <c r="D4162" s="73"/>
      <c r="E4162" s="82"/>
      <c r="F4162" s="82"/>
      <c r="G4162" s="86"/>
      <c r="H4162" s="86"/>
      <c r="I4162" s="86"/>
      <c r="J4162" s="82"/>
      <c r="K4162" s="82"/>
      <c r="L4162" s="82"/>
      <c r="M4162" s="82"/>
      <c r="N4162" s="82"/>
      <c r="O4162" s="82"/>
      <c r="P4162" s="82"/>
      <c r="Q4162" s="82"/>
      <c r="R4162" s="82"/>
      <c r="S4162" s="82"/>
      <c r="T4162" s="82"/>
      <c r="U4162" s="82"/>
      <c r="V4162" s="82"/>
      <c r="W4162" s="82"/>
      <c r="X4162" s="82"/>
      <c r="Y4162" s="82"/>
      <c r="Z4162" s="82"/>
      <c r="AA4162" s="82"/>
      <c r="AB4162" s="82"/>
      <c r="AC4162" s="82"/>
      <c r="AD4162" s="82"/>
      <c r="AE4162" s="82"/>
      <c r="AF4162" s="82"/>
      <c r="AG4162" s="82"/>
      <c r="AH4162" s="82"/>
      <c r="AI4162" s="82"/>
      <c r="AJ4162" s="82"/>
      <c r="AK4162" s="82"/>
      <c r="AL4162" s="82"/>
      <c r="AM4162" s="82"/>
      <c r="AN4162" s="82">
        <f>IFERROR(__xludf.DUMMYFUNCTION("""COMPUTED_VALUE"""),0.0)</f>
        <v>0</v>
      </c>
      <c r="AO4162" s="82">
        <f>IFERROR(__xludf.DUMMYFUNCTION("""COMPUTED_VALUE"""),0.0)</f>
        <v>0</v>
      </c>
      <c r="AP4162" s="82">
        <f>IFERROR(__xludf.DUMMYFUNCTION("""COMPUTED_VALUE"""),0.0)</f>
        <v>0</v>
      </c>
      <c r="AQ4162" s="82">
        <f>IFERROR(__xludf.DUMMYFUNCTION("""COMPUTED_VALUE"""),0.0)</f>
        <v>0</v>
      </c>
      <c r="AR4162" s="82">
        <f>IFERROR(__xludf.DUMMYFUNCTION("""COMPUTED_VALUE"""),0.0)</f>
        <v>0</v>
      </c>
      <c r="AS4162" s="82"/>
      <c r="AT4162" s="82">
        <f>IFERROR(__xludf.DUMMYFUNCTION("""COMPUTED_VALUE"""),0.0)</f>
        <v>0</v>
      </c>
      <c r="AU4162" s="82"/>
      <c r="AV4162" s="82"/>
      <c r="AW4162" s="82" t="str">
        <f t="shared" si="1"/>
        <v/>
      </c>
      <c r="AX4162" s="83" t="str">
        <f t="array" ref="AX4162">IFERROR(DGET('SBV Import'!A:G,"SBV",{"RSC ID","Tier";B4162,A4162}))</f>
        <v/>
      </c>
      <c r="AY4162" s="82" t="str">
        <f t="shared" si="2"/>
        <v/>
      </c>
      <c r="AZ4162" s="82"/>
      <c r="BA4162" s="84" t="s">
        <v>152</v>
      </c>
      <c r="BB4162" s="84" t="str">
        <f>IFERROR(__xludf.DUMMYFUNCTION("iferror(if(A4162="""",,E4162&gt;=FILTER(Constants!$F$2:$F$10,Constants!$A$2:$A$10=A4162)))"),"")</f>
        <v/>
      </c>
    </row>
    <row r="4163">
      <c r="A4163" s="89"/>
      <c r="B4163" s="87"/>
      <c r="C4163" s="73"/>
      <c r="D4163" s="73"/>
      <c r="E4163" s="82"/>
      <c r="F4163" s="82"/>
      <c r="G4163" s="86"/>
      <c r="H4163" s="86"/>
      <c r="I4163" s="86"/>
      <c r="J4163" s="82"/>
      <c r="K4163" s="82"/>
      <c r="L4163" s="82"/>
      <c r="M4163" s="82"/>
      <c r="N4163" s="82"/>
      <c r="O4163" s="82"/>
      <c r="P4163" s="82"/>
      <c r="Q4163" s="82"/>
      <c r="R4163" s="82"/>
      <c r="S4163" s="82"/>
      <c r="T4163" s="82"/>
      <c r="U4163" s="82"/>
      <c r="V4163" s="82"/>
      <c r="W4163" s="82"/>
      <c r="X4163" s="82"/>
      <c r="Y4163" s="82"/>
      <c r="Z4163" s="82"/>
      <c r="AA4163" s="82"/>
      <c r="AB4163" s="82"/>
      <c r="AC4163" s="82"/>
      <c r="AD4163" s="82"/>
      <c r="AE4163" s="82"/>
      <c r="AF4163" s="82"/>
      <c r="AG4163" s="82"/>
      <c r="AH4163" s="82"/>
      <c r="AI4163" s="82"/>
      <c r="AJ4163" s="82"/>
      <c r="AK4163" s="82"/>
      <c r="AL4163" s="82"/>
      <c r="AM4163" s="82"/>
      <c r="AN4163" s="82">
        <f>IFERROR(__xludf.DUMMYFUNCTION("""COMPUTED_VALUE"""),0.0)</f>
        <v>0</v>
      </c>
      <c r="AO4163" s="82">
        <f>IFERROR(__xludf.DUMMYFUNCTION("""COMPUTED_VALUE"""),0.0)</f>
        <v>0</v>
      </c>
      <c r="AP4163" s="82">
        <f>IFERROR(__xludf.DUMMYFUNCTION("""COMPUTED_VALUE"""),0.0)</f>
        <v>0</v>
      </c>
      <c r="AQ4163" s="82">
        <f>IFERROR(__xludf.DUMMYFUNCTION("""COMPUTED_VALUE"""),0.0)</f>
        <v>0</v>
      </c>
      <c r="AR4163" s="82">
        <f>IFERROR(__xludf.DUMMYFUNCTION("""COMPUTED_VALUE"""),0.0)</f>
        <v>0</v>
      </c>
      <c r="AS4163" s="82"/>
      <c r="AT4163" s="82">
        <f>IFERROR(__xludf.DUMMYFUNCTION("""COMPUTED_VALUE"""),0.0)</f>
        <v>0</v>
      </c>
      <c r="AU4163" s="82"/>
      <c r="AV4163" s="82"/>
      <c r="AW4163" s="82" t="str">
        <f t="shared" si="1"/>
        <v/>
      </c>
      <c r="AX4163" s="83" t="str">
        <f t="array" ref="AX4163">IFERROR(DGET('SBV Import'!A:G,"SBV",{"RSC ID","Tier";B4163,A4163}))</f>
        <v/>
      </c>
      <c r="AY4163" s="82" t="str">
        <f t="shared" si="2"/>
        <v/>
      </c>
      <c r="AZ4163" s="82"/>
      <c r="BA4163" s="84" t="s">
        <v>152</v>
      </c>
      <c r="BB4163" s="84" t="str">
        <f>IFERROR(__xludf.DUMMYFUNCTION("iferror(if(A4163="""",,E4163&gt;=FILTER(Constants!$F$2:$F$10,Constants!$A$2:$A$10=A4163)))"),"")</f>
        <v/>
      </c>
    </row>
    <row r="4164">
      <c r="A4164" s="89"/>
      <c r="B4164" s="87"/>
      <c r="C4164" s="73"/>
      <c r="D4164" s="73"/>
      <c r="E4164" s="82"/>
      <c r="F4164" s="82"/>
      <c r="G4164" s="86"/>
      <c r="H4164" s="86"/>
      <c r="I4164" s="86"/>
      <c r="J4164" s="82"/>
      <c r="K4164" s="82"/>
      <c r="L4164" s="82"/>
      <c r="M4164" s="82"/>
      <c r="N4164" s="82"/>
      <c r="O4164" s="82"/>
      <c r="P4164" s="82"/>
      <c r="Q4164" s="82"/>
      <c r="R4164" s="82"/>
      <c r="S4164" s="82"/>
      <c r="T4164" s="82"/>
      <c r="U4164" s="82"/>
      <c r="V4164" s="82"/>
      <c r="W4164" s="82"/>
      <c r="X4164" s="82"/>
      <c r="Y4164" s="82"/>
      <c r="Z4164" s="82"/>
      <c r="AA4164" s="82"/>
      <c r="AB4164" s="82"/>
      <c r="AC4164" s="82"/>
      <c r="AD4164" s="82"/>
      <c r="AE4164" s="82"/>
      <c r="AF4164" s="82"/>
      <c r="AG4164" s="82"/>
      <c r="AH4164" s="82"/>
      <c r="AI4164" s="82"/>
      <c r="AJ4164" s="82"/>
      <c r="AK4164" s="82"/>
      <c r="AL4164" s="82"/>
      <c r="AM4164" s="82"/>
      <c r="AN4164" s="82">
        <f>IFERROR(__xludf.DUMMYFUNCTION("""COMPUTED_VALUE"""),0.0)</f>
        <v>0</v>
      </c>
      <c r="AO4164" s="82">
        <f>IFERROR(__xludf.DUMMYFUNCTION("""COMPUTED_VALUE"""),0.0)</f>
        <v>0</v>
      </c>
      <c r="AP4164" s="82">
        <f>IFERROR(__xludf.DUMMYFUNCTION("""COMPUTED_VALUE"""),0.0)</f>
        <v>0</v>
      </c>
      <c r="AQ4164" s="82">
        <f>IFERROR(__xludf.DUMMYFUNCTION("""COMPUTED_VALUE"""),0.0)</f>
        <v>0</v>
      </c>
      <c r="AR4164" s="82">
        <f>IFERROR(__xludf.DUMMYFUNCTION("""COMPUTED_VALUE"""),0.0)</f>
        <v>0</v>
      </c>
      <c r="AS4164" s="82"/>
      <c r="AT4164" s="82">
        <f>IFERROR(__xludf.DUMMYFUNCTION("""COMPUTED_VALUE"""),0.0)</f>
        <v>0</v>
      </c>
      <c r="AU4164" s="82"/>
      <c r="AV4164" s="82"/>
      <c r="AW4164" s="82" t="str">
        <f t="shared" si="1"/>
        <v/>
      </c>
      <c r="AX4164" s="83" t="str">
        <f t="array" ref="AX4164">IFERROR(DGET('SBV Import'!A:G,"SBV",{"RSC ID","Tier";B4164,A4164}))</f>
        <v/>
      </c>
      <c r="AY4164" s="82" t="str">
        <f t="shared" si="2"/>
        <v/>
      </c>
      <c r="AZ4164" s="82"/>
      <c r="BA4164" s="84" t="s">
        <v>152</v>
      </c>
      <c r="BB4164" s="84" t="str">
        <f>IFERROR(__xludf.DUMMYFUNCTION("iferror(if(A4164="""",,E4164&gt;=FILTER(Constants!$F$2:$F$10,Constants!$A$2:$A$10=A4164)))"),"")</f>
        <v/>
      </c>
    </row>
    <row r="4165">
      <c r="A4165" s="89"/>
      <c r="B4165" s="87"/>
      <c r="C4165" s="73"/>
      <c r="D4165" s="73"/>
      <c r="E4165" s="82"/>
      <c r="F4165" s="82"/>
      <c r="G4165" s="86"/>
      <c r="H4165" s="86"/>
      <c r="I4165" s="86"/>
      <c r="J4165" s="82"/>
      <c r="K4165" s="82"/>
      <c r="L4165" s="82"/>
      <c r="M4165" s="82"/>
      <c r="N4165" s="82"/>
      <c r="O4165" s="82"/>
      <c r="P4165" s="82"/>
      <c r="Q4165" s="82"/>
      <c r="R4165" s="82"/>
      <c r="S4165" s="82"/>
      <c r="T4165" s="82"/>
      <c r="U4165" s="82"/>
      <c r="V4165" s="82"/>
      <c r="W4165" s="82"/>
      <c r="X4165" s="82"/>
      <c r="Y4165" s="82"/>
      <c r="Z4165" s="82"/>
      <c r="AA4165" s="82"/>
      <c r="AB4165" s="82"/>
      <c r="AC4165" s="82"/>
      <c r="AD4165" s="82"/>
      <c r="AE4165" s="82"/>
      <c r="AF4165" s="82"/>
      <c r="AG4165" s="82"/>
      <c r="AH4165" s="82"/>
      <c r="AI4165" s="82"/>
      <c r="AJ4165" s="82"/>
      <c r="AK4165" s="82"/>
      <c r="AL4165" s="82"/>
      <c r="AM4165" s="82"/>
      <c r="AN4165" s="82">
        <f>IFERROR(__xludf.DUMMYFUNCTION("""COMPUTED_VALUE"""),0.0)</f>
        <v>0</v>
      </c>
      <c r="AO4165" s="82">
        <f>IFERROR(__xludf.DUMMYFUNCTION("""COMPUTED_VALUE"""),0.0)</f>
        <v>0</v>
      </c>
      <c r="AP4165" s="82">
        <f>IFERROR(__xludf.DUMMYFUNCTION("""COMPUTED_VALUE"""),0.0)</f>
        <v>0</v>
      </c>
      <c r="AQ4165" s="82">
        <f>IFERROR(__xludf.DUMMYFUNCTION("""COMPUTED_VALUE"""),0.0)</f>
        <v>0</v>
      </c>
      <c r="AR4165" s="82">
        <f>IFERROR(__xludf.DUMMYFUNCTION("""COMPUTED_VALUE"""),0.0)</f>
        <v>0</v>
      </c>
      <c r="AS4165" s="82"/>
      <c r="AT4165" s="82">
        <f>IFERROR(__xludf.DUMMYFUNCTION("""COMPUTED_VALUE"""),0.0)</f>
        <v>0</v>
      </c>
      <c r="AU4165" s="82"/>
      <c r="AV4165" s="82"/>
      <c r="AW4165" s="82" t="str">
        <f t="shared" si="1"/>
        <v/>
      </c>
      <c r="AX4165" s="83" t="str">
        <f t="array" ref="AX4165">IFERROR(DGET('SBV Import'!A:G,"SBV",{"RSC ID","Tier";B4165,A4165}))</f>
        <v/>
      </c>
      <c r="AY4165" s="82" t="str">
        <f t="shared" si="2"/>
        <v/>
      </c>
      <c r="AZ4165" s="82"/>
      <c r="BA4165" s="84" t="s">
        <v>152</v>
      </c>
      <c r="BB4165" s="84" t="str">
        <f>IFERROR(__xludf.DUMMYFUNCTION("iferror(if(A4165="""",,E4165&gt;=FILTER(Constants!$F$2:$F$10,Constants!$A$2:$A$10=A4165)))"),"")</f>
        <v/>
      </c>
    </row>
    <row r="4166">
      <c r="A4166" s="89"/>
      <c r="B4166" s="87"/>
      <c r="C4166" s="73"/>
      <c r="D4166" s="73"/>
      <c r="E4166" s="82"/>
      <c r="F4166" s="82"/>
      <c r="G4166" s="86"/>
      <c r="H4166" s="86"/>
      <c r="I4166" s="86"/>
      <c r="J4166" s="82"/>
      <c r="K4166" s="82"/>
      <c r="L4166" s="82"/>
      <c r="M4166" s="82"/>
      <c r="N4166" s="82"/>
      <c r="O4166" s="82"/>
      <c r="P4166" s="82"/>
      <c r="Q4166" s="82"/>
      <c r="R4166" s="82"/>
      <c r="S4166" s="82"/>
      <c r="T4166" s="82"/>
      <c r="U4166" s="82"/>
      <c r="V4166" s="82"/>
      <c r="W4166" s="82"/>
      <c r="X4166" s="82"/>
      <c r="Y4166" s="82"/>
      <c r="Z4166" s="82"/>
      <c r="AA4166" s="82"/>
      <c r="AB4166" s="82"/>
      <c r="AC4166" s="82"/>
      <c r="AD4166" s="82"/>
      <c r="AE4166" s="82"/>
      <c r="AF4166" s="82"/>
      <c r="AG4166" s="82"/>
      <c r="AH4166" s="82"/>
      <c r="AI4166" s="82"/>
      <c r="AJ4166" s="82"/>
      <c r="AK4166" s="82"/>
      <c r="AL4166" s="82"/>
      <c r="AM4166" s="82"/>
      <c r="AN4166" s="82">
        <f>IFERROR(__xludf.DUMMYFUNCTION("""COMPUTED_VALUE"""),0.0)</f>
        <v>0</v>
      </c>
      <c r="AO4166" s="82">
        <f>IFERROR(__xludf.DUMMYFUNCTION("""COMPUTED_VALUE"""),0.0)</f>
        <v>0</v>
      </c>
      <c r="AP4166" s="82">
        <f>IFERROR(__xludf.DUMMYFUNCTION("""COMPUTED_VALUE"""),0.0)</f>
        <v>0</v>
      </c>
      <c r="AQ4166" s="82">
        <f>IFERROR(__xludf.DUMMYFUNCTION("""COMPUTED_VALUE"""),0.0)</f>
        <v>0</v>
      </c>
      <c r="AR4166" s="82">
        <f>IFERROR(__xludf.DUMMYFUNCTION("""COMPUTED_VALUE"""),0.0)</f>
        <v>0</v>
      </c>
      <c r="AS4166" s="82"/>
      <c r="AT4166" s="82">
        <f>IFERROR(__xludf.DUMMYFUNCTION("""COMPUTED_VALUE"""),0.0)</f>
        <v>0</v>
      </c>
      <c r="AU4166" s="82"/>
      <c r="AV4166" s="82"/>
      <c r="AW4166" s="82" t="str">
        <f t="shared" si="1"/>
        <v/>
      </c>
      <c r="AX4166" s="83" t="str">
        <f t="array" ref="AX4166">IFERROR(DGET('SBV Import'!A:G,"SBV",{"RSC ID","Tier";B4166,A4166}))</f>
        <v/>
      </c>
      <c r="AY4166" s="82" t="str">
        <f t="shared" si="2"/>
        <v/>
      </c>
      <c r="AZ4166" s="82"/>
      <c r="BA4166" s="84" t="s">
        <v>152</v>
      </c>
      <c r="BB4166" s="84" t="str">
        <f>IFERROR(__xludf.DUMMYFUNCTION("iferror(if(A4166="""",,E4166&gt;=FILTER(Constants!$F$2:$F$10,Constants!$A$2:$A$10=A4166)))"),"")</f>
        <v/>
      </c>
    </row>
    <row r="4167">
      <c r="A4167" s="89"/>
      <c r="B4167" s="87"/>
      <c r="C4167" s="73"/>
      <c r="D4167" s="73"/>
      <c r="E4167" s="82"/>
      <c r="F4167" s="82"/>
      <c r="G4167" s="86"/>
      <c r="H4167" s="86"/>
      <c r="I4167" s="86"/>
      <c r="J4167" s="82"/>
      <c r="K4167" s="82"/>
      <c r="L4167" s="82"/>
      <c r="M4167" s="82"/>
      <c r="N4167" s="82"/>
      <c r="O4167" s="82"/>
      <c r="P4167" s="82"/>
      <c r="Q4167" s="82"/>
      <c r="R4167" s="82"/>
      <c r="S4167" s="82"/>
      <c r="T4167" s="82"/>
      <c r="U4167" s="82"/>
      <c r="V4167" s="82"/>
      <c r="W4167" s="82"/>
      <c r="X4167" s="82"/>
      <c r="Y4167" s="82"/>
      <c r="Z4167" s="82"/>
      <c r="AA4167" s="82"/>
      <c r="AB4167" s="82"/>
      <c r="AC4167" s="82"/>
      <c r="AD4167" s="82"/>
      <c r="AE4167" s="82"/>
      <c r="AF4167" s="82"/>
      <c r="AG4167" s="82"/>
      <c r="AH4167" s="82"/>
      <c r="AI4167" s="82"/>
      <c r="AJ4167" s="82"/>
      <c r="AK4167" s="82"/>
      <c r="AL4167" s="82"/>
      <c r="AM4167" s="82"/>
      <c r="AN4167" s="82">
        <f>IFERROR(__xludf.DUMMYFUNCTION("""COMPUTED_VALUE"""),0.0)</f>
        <v>0</v>
      </c>
      <c r="AO4167" s="82">
        <f>IFERROR(__xludf.DUMMYFUNCTION("""COMPUTED_VALUE"""),0.0)</f>
        <v>0</v>
      </c>
      <c r="AP4167" s="82">
        <f>IFERROR(__xludf.DUMMYFUNCTION("""COMPUTED_VALUE"""),0.0)</f>
        <v>0</v>
      </c>
      <c r="AQ4167" s="82">
        <f>IFERROR(__xludf.DUMMYFUNCTION("""COMPUTED_VALUE"""),0.0)</f>
        <v>0</v>
      </c>
      <c r="AR4167" s="82">
        <f>IFERROR(__xludf.DUMMYFUNCTION("""COMPUTED_VALUE"""),0.0)</f>
        <v>0</v>
      </c>
      <c r="AS4167" s="82"/>
      <c r="AT4167" s="82">
        <f>IFERROR(__xludf.DUMMYFUNCTION("""COMPUTED_VALUE"""),0.0)</f>
        <v>0</v>
      </c>
      <c r="AU4167" s="82"/>
      <c r="AV4167" s="82"/>
      <c r="AW4167" s="82" t="str">
        <f t="shared" si="1"/>
        <v/>
      </c>
      <c r="AX4167" s="83" t="str">
        <f t="array" ref="AX4167">IFERROR(DGET('SBV Import'!A:G,"SBV",{"RSC ID","Tier";B4167,A4167}))</f>
        <v/>
      </c>
      <c r="AY4167" s="82" t="str">
        <f t="shared" si="2"/>
        <v/>
      </c>
      <c r="AZ4167" s="82"/>
      <c r="BA4167" s="84" t="s">
        <v>152</v>
      </c>
      <c r="BB4167" s="84" t="str">
        <f>IFERROR(__xludf.DUMMYFUNCTION("iferror(if(A4167="""",,E4167&gt;=FILTER(Constants!$F$2:$F$10,Constants!$A$2:$A$10=A4167)))"),"")</f>
        <v/>
      </c>
    </row>
    <row r="4168">
      <c r="A4168" s="89"/>
      <c r="B4168" s="87"/>
      <c r="C4168" s="73"/>
      <c r="D4168" s="73"/>
      <c r="E4168" s="82"/>
      <c r="F4168" s="82"/>
      <c r="G4168" s="86"/>
      <c r="H4168" s="86"/>
      <c r="I4168" s="86"/>
      <c r="J4168" s="82"/>
      <c r="K4168" s="82"/>
      <c r="L4168" s="82"/>
      <c r="M4168" s="82"/>
      <c r="N4168" s="82"/>
      <c r="O4168" s="82"/>
      <c r="P4168" s="82"/>
      <c r="Q4168" s="82"/>
      <c r="R4168" s="82"/>
      <c r="S4168" s="82"/>
      <c r="T4168" s="82"/>
      <c r="U4168" s="82"/>
      <c r="V4168" s="82"/>
      <c r="W4168" s="82"/>
      <c r="X4168" s="82"/>
      <c r="Y4168" s="82"/>
      <c r="Z4168" s="82"/>
      <c r="AA4168" s="82"/>
      <c r="AB4168" s="82"/>
      <c r="AC4168" s="82"/>
      <c r="AD4168" s="82"/>
      <c r="AE4168" s="82"/>
      <c r="AF4168" s="82"/>
      <c r="AG4168" s="82"/>
      <c r="AH4168" s="82"/>
      <c r="AI4168" s="82"/>
      <c r="AJ4168" s="82"/>
      <c r="AK4168" s="82"/>
      <c r="AL4168" s="82"/>
      <c r="AM4168" s="82"/>
      <c r="AN4168" s="82">
        <f>IFERROR(__xludf.DUMMYFUNCTION("""COMPUTED_VALUE"""),0.0)</f>
        <v>0</v>
      </c>
      <c r="AO4168" s="82">
        <f>IFERROR(__xludf.DUMMYFUNCTION("""COMPUTED_VALUE"""),0.0)</f>
        <v>0</v>
      </c>
      <c r="AP4168" s="82">
        <f>IFERROR(__xludf.DUMMYFUNCTION("""COMPUTED_VALUE"""),0.0)</f>
        <v>0</v>
      </c>
      <c r="AQ4168" s="82">
        <f>IFERROR(__xludf.DUMMYFUNCTION("""COMPUTED_VALUE"""),0.0)</f>
        <v>0</v>
      </c>
      <c r="AR4168" s="82">
        <f>IFERROR(__xludf.DUMMYFUNCTION("""COMPUTED_VALUE"""),0.0)</f>
        <v>0</v>
      </c>
      <c r="AS4168" s="82"/>
      <c r="AT4168" s="82">
        <f>IFERROR(__xludf.DUMMYFUNCTION("""COMPUTED_VALUE"""),0.0)</f>
        <v>0</v>
      </c>
      <c r="AU4168" s="82"/>
      <c r="AV4168" s="82"/>
      <c r="AW4168" s="82" t="str">
        <f t="shared" si="1"/>
        <v/>
      </c>
      <c r="AX4168" s="83" t="str">
        <f t="array" ref="AX4168">IFERROR(DGET('SBV Import'!A:G,"SBV",{"RSC ID","Tier";B4168,A4168}))</f>
        <v/>
      </c>
      <c r="AY4168" s="82" t="str">
        <f t="shared" si="2"/>
        <v/>
      </c>
      <c r="AZ4168" s="82"/>
      <c r="BA4168" s="84" t="s">
        <v>152</v>
      </c>
      <c r="BB4168" s="84" t="str">
        <f>IFERROR(__xludf.DUMMYFUNCTION("iferror(if(A4168="""",,E4168&gt;=FILTER(Constants!$F$2:$F$10,Constants!$A$2:$A$10=A4168)))"),"")</f>
        <v/>
      </c>
    </row>
    <row r="4169">
      <c r="A4169" s="89"/>
      <c r="B4169" s="87"/>
      <c r="C4169" s="73"/>
      <c r="D4169" s="73"/>
      <c r="E4169" s="82"/>
      <c r="F4169" s="82"/>
      <c r="G4169" s="86"/>
      <c r="H4169" s="86"/>
      <c r="I4169" s="86"/>
      <c r="J4169" s="82"/>
      <c r="K4169" s="82"/>
      <c r="L4169" s="82"/>
      <c r="M4169" s="82"/>
      <c r="N4169" s="82"/>
      <c r="O4169" s="82"/>
      <c r="P4169" s="82"/>
      <c r="Q4169" s="82"/>
      <c r="R4169" s="82"/>
      <c r="S4169" s="82"/>
      <c r="T4169" s="82"/>
      <c r="U4169" s="82"/>
      <c r="V4169" s="82"/>
      <c r="W4169" s="82"/>
      <c r="X4169" s="82"/>
      <c r="Y4169" s="82"/>
      <c r="Z4169" s="82"/>
      <c r="AA4169" s="82"/>
      <c r="AB4169" s="82"/>
      <c r="AC4169" s="82"/>
      <c r="AD4169" s="82"/>
      <c r="AE4169" s="82"/>
      <c r="AF4169" s="82"/>
      <c r="AG4169" s="82"/>
      <c r="AH4169" s="82"/>
      <c r="AI4169" s="82"/>
      <c r="AJ4169" s="82"/>
      <c r="AK4169" s="82"/>
      <c r="AL4169" s="82"/>
      <c r="AM4169" s="82"/>
      <c r="AN4169" s="82">
        <f>IFERROR(__xludf.DUMMYFUNCTION("""COMPUTED_VALUE"""),0.0)</f>
        <v>0</v>
      </c>
      <c r="AO4169" s="82">
        <f>IFERROR(__xludf.DUMMYFUNCTION("""COMPUTED_VALUE"""),0.0)</f>
        <v>0</v>
      </c>
      <c r="AP4169" s="82">
        <f>IFERROR(__xludf.DUMMYFUNCTION("""COMPUTED_VALUE"""),0.0)</f>
        <v>0</v>
      </c>
      <c r="AQ4169" s="82">
        <f>IFERROR(__xludf.DUMMYFUNCTION("""COMPUTED_VALUE"""),0.0)</f>
        <v>0</v>
      </c>
      <c r="AR4169" s="82">
        <f>IFERROR(__xludf.DUMMYFUNCTION("""COMPUTED_VALUE"""),0.0)</f>
        <v>0</v>
      </c>
      <c r="AS4169" s="82"/>
      <c r="AT4169" s="82">
        <f>IFERROR(__xludf.DUMMYFUNCTION("""COMPUTED_VALUE"""),0.0)</f>
        <v>0</v>
      </c>
      <c r="AU4169" s="82"/>
      <c r="AV4169" s="82"/>
      <c r="AW4169" s="82" t="str">
        <f t="shared" si="1"/>
        <v/>
      </c>
      <c r="AX4169" s="83" t="str">
        <f t="array" ref="AX4169">IFERROR(DGET('SBV Import'!A:G,"SBV",{"RSC ID","Tier";B4169,A4169}))</f>
        <v/>
      </c>
      <c r="AY4169" s="82" t="str">
        <f t="shared" si="2"/>
        <v/>
      </c>
      <c r="AZ4169" s="82"/>
      <c r="BA4169" s="84" t="s">
        <v>152</v>
      </c>
      <c r="BB4169" s="84" t="str">
        <f>IFERROR(__xludf.DUMMYFUNCTION("iferror(if(A4169="""",,E4169&gt;=FILTER(Constants!$F$2:$F$10,Constants!$A$2:$A$10=A4169)))"),"")</f>
        <v/>
      </c>
    </row>
    <row r="4170">
      <c r="A4170" s="89"/>
      <c r="B4170" s="87"/>
      <c r="C4170" s="73"/>
      <c r="D4170" s="73"/>
      <c r="E4170" s="82"/>
      <c r="F4170" s="82"/>
      <c r="G4170" s="86"/>
      <c r="H4170" s="86"/>
      <c r="I4170" s="86"/>
      <c r="J4170" s="82"/>
      <c r="K4170" s="82"/>
      <c r="L4170" s="82"/>
      <c r="M4170" s="82"/>
      <c r="N4170" s="82"/>
      <c r="O4170" s="82"/>
      <c r="P4170" s="82"/>
      <c r="Q4170" s="82"/>
      <c r="R4170" s="82"/>
      <c r="S4170" s="82"/>
      <c r="T4170" s="82"/>
      <c r="U4170" s="82"/>
      <c r="V4170" s="82"/>
      <c r="W4170" s="82"/>
      <c r="X4170" s="82"/>
      <c r="Y4170" s="82"/>
      <c r="Z4170" s="82"/>
      <c r="AA4170" s="82"/>
      <c r="AB4170" s="82"/>
      <c r="AC4170" s="82"/>
      <c r="AD4170" s="82"/>
      <c r="AE4170" s="82"/>
      <c r="AF4170" s="82"/>
      <c r="AG4170" s="82"/>
      <c r="AH4170" s="82"/>
      <c r="AI4170" s="82"/>
      <c r="AJ4170" s="82"/>
      <c r="AK4170" s="82"/>
      <c r="AL4170" s="82"/>
      <c r="AM4170" s="82"/>
      <c r="AN4170" s="82">
        <f>IFERROR(__xludf.DUMMYFUNCTION("""COMPUTED_VALUE"""),0.0)</f>
        <v>0</v>
      </c>
      <c r="AO4170" s="82">
        <f>IFERROR(__xludf.DUMMYFUNCTION("""COMPUTED_VALUE"""),0.0)</f>
        <v>0</v>
      </c>
      <c r="AP4170" s="82">
        <f>IFERROR(__xludf.DUMMYFUNCTION("""COMPUTED_VALUE"""),0.0)</f>
        <v>0</v>
      </c>
      <c r="AQ4170" s="82">
        <f>IFERROR(__xludf.DUMMYFUNCTION("""COMPUTED_VALUE"""),0.0)</f>
        <v>0</v>
      </c>
      <c r="AR4170" s="82">
        <f>IFERROR(__xludf.DUMMYFUNCTION("""COMPUTED_VALUE"""),0.0)</f>
        <v>0</v>
      </c>
      <c r="AS4170" s="82"/>
      <c r="AT4170" s="82">
        <f>IFERROR(__xludf.DUMMYFUNCTION("""COMPUTED_VALUE"""),0.0)</f>
        <v>0</v>
      </c>
      <c r="AU4170" s="82"/>
      <c r="AV4170" s="82"/>
      <c r="AW4170" s="82" t="str">
        <f t="shared" si="1"/>
        <v/>
      </c>
      <c r="AX4170" s="83" t="str">
        <f t="array" ref="AX4170">IFERROR(DGET('SBV Import'!A:G,"SBV",{"RSC ID","Tier";B4170,A4170}))</f>
        <v/>
      </c>
      <c r="AY4170" s="82" t="str">
        <f t="shared" si="2"/>
        <v/>
      </c>
      <c r="AZ4170" s="82"/>
      <c r="BA4170" s="84" t="s">
        <v>152</v>
      </c>
      <c r="BB4170" s="84" t="str">
        <f>IFERROR(__xludf.DUMMYFUNCTION("iferror(if(A4170="""",,E4170&gt;=FILTER(Constants!$F$2:$F$10,Constants!$A$2:$A$10=A4170)))"),"")</f>
        <v/>
      </c>
    </row>
    <row r="4171">
      <c r="A4171" s="89"/>
      <c r="B4171" s="87"/>
      <c r="C4171" s="73"/>
      <c r="D4171" s="73"/>
      <c r="E4171" s="82"/>
      <c r="F4171" s="82"/>
      <c r="G4171" s="86"/>
      <c r="H4171" s="86"/>
      <c r="I4171" s="86"/>
      <c r="J4171" s="82"/>
      <c r="K4171" s="82"/>
      <c r="L4171" s="82"/>
      <c r="M4171" s="82"/>
      <c r="N4171" s="82"/>
      <c r="O4171" s="82"/>
      <c r="P4171" s="82"/>
      <c r="Q4171" s="82"/>
      <c r="R4171" s="82"/>
      <c r="S4171" s="82"/>
      <c r="T4171" s="82"/>
      <c r="U4171" s="82"/>
      <c r="V4171" s="82"/>
      <c r="W4171" s="82"/>
      <c r="X4171" s="82"/>
      <c r="Y4171" s="82"/>
      <c r="Z4171" s="82"/>
      <c r="AA4171" s="82"/>
      <c r="AB4171" s="82"/>
      <c r="AC4171" s="82"/>
      <c r="AD4171" s="82"/>
      <c r="AE4171" s="82"/>
      <c r="AF4171" s="82"/>
      <c r="AG4171" s="82"/>
      <c r="AH4171" s="82"/>
      <c r="AI4171" s="82"/>
      <c r="AJ4171" s="82"/>
      <c r="AK4171" s="82"/>
      <c r="AL4171" s="82"/>
      <c r="AM4171" s="82"/>
      <c r="AN4171" s="82">
        <f>IFERROR(__xludf.DUMMYFUNCTION("""COMPUTED_VALUE"""),0.0)</f>
        <v>0</v>
      </c>
      <c r="AO4171" s="82">
        <f>IFERROR(__xludf.DUMMYFUNCTION("""COMPUTED_VALUE"""),0.0)</f>
        <v>0</v>
      </c>
      <c r="AP4171" s="82">
        <f>IFERROR(__xludf.DUMMYFUNCTION("""COMPUTED_VALUE"""),0.0)</f>
        <v>0</v>
      </c>
      <c r="AQ4171" s="82">
        <f>IFERROR(__xludf.DUMMYFUNCTION("""COMPUTED_VALUE"""),0.0)</f>
        <v>0</v>
      </c>
      <c r="AR4171" s="82">
        <f>IFERROR(__xludf.DUMMYFUNCTION("""COMPUTED_VALUE"""),0.0)</f>
        <v>0</v>
      </c>
      <c r="AS4171" s="82"/>
      <c r="AT4171" s="82">
        <f>IFERROR(__xludf.DUMMYFUNCTION("""COMPUTED_VALUE"""),0.0)</f>
        <v>0</v>
      </c>
      <c r="AU4171" s="82"/>
      <c r="AV4171" s="82"/>
      <c r="AW4171" s="82" t="str">
        <f t="shared" si="1"/>
        <v/>
      </c>
      <c r="AX4171" s="83" t="str">
        <f t="array" ref="AX4171">IFERROR(DGET('SBV Import'!A:G,"SBV",{"RSC ID","Tier";B4171,A4171}))</f>
        <v/>
      </c>
      <c r="AY4171" s="82" t="str">
        <f t="shared" si="2"/>
        <v/>
      </c>
      <c r="AZ4171" s="82"/>
      <c r="BA4171" s="84" t="s">
        <v>152</v>
      </c>
      <c r="BB4171" s="84" t="str">
        <f>IFERROR(__xludf.DUMMYFUNCTION("iferror(if(A4171="""",,E4171&gt;=FILTER(Constants!$F$2:$F$10,Constants!$A$2:$A$10=A4171)))"),"")</f>
        <v/>
      </c>
    </row>
    <row r="4172">
      <c r="A4172" s="89"/>
      <c r="B4172" s="87"/>
      <c r="C4172" s="73"/>
      <c r="D4172" s="73"/>
      <c r="E4172" s="82"/>
      <c r="F4172" s="82"/>
      <c r="G4172" s="86"/>
      <c r="H4172" s="86"/>
      <c r="I4172" s="86"/>
      <c r="J4172" s="82"/>
      <c r="K4172" s="82"/>
      <c r="L4172" s="82"/>
      <c r="M4172" s="82"/>
      <c r="N4172" s="82"/>
      <c r="O4172" s="82"/>
      <c r="P4172" s="82"/>
      <c r="Q4172" s="82"/>
      <c r="R4172" s="82"/>
      <c r="S4172" s="82"/>
      <c r="T4172" s="82"/>
      <c r="U4172" s="82"/>
      <c r="V4172" s="82"/>
      <c r="W4172" s="82"/>
      <c r="X4172" s="82"/>
      <c r="Y4172" s="82"/>
      <c r="Z4172" s="82"/>
      <c r="AA4172" s="82"/>
      <c r="AB4172" s="82"/>
      <c r="AC4172" s="82"/>
      <c r="AD4172" s="82"/>
      <c r="AE4172" s="82"/>
      <c r="AF4172" s="82"/>
      <c r="AG4172" s="82"/>
      <c r="AH4172" s="82"/>
      <c r="AI4172" s="82"/>
      <c r="AJ4172" s="82"/>
      <c r="AK4172" s="82"/>
      <c r="AL4172" s="82"/>
      <c r="AM4172" s="82"/>
      <c r="AN4172" s="82">
        <f>IFERROR(__xludf.DUMMYFUNCTION("""COMPUTED_VALUE"""),0.0)</f>
        <v>0</v>
      </c>
      <c r="AO4172" s="82">
        <f>IFERROR(__xludf.DUMMYFUNCTION("""COMPUTED_VALUE"""),0.0)</f>
        <v>0</v>
      </c>
      <c r="AP4172" s="82">
        <f>IFERROR(__xludf.DUMMYFUNCTION("""COMPUTED_VALUE"""),0.0)</f>
        <v>0</v>
      </c>
      <c r="AQ4172" s="82">
        <f>IFERROR(__xludf.DUMMYFUNCTION("""COMPUTED_VALUE"""),0.0)</f>
        <v>0</v>
      </c>
      <c r="AR4172" s="82">
        <f>IFERROR(__xludf.DUMMYFUNCTION("""COMPUTED_VALUE"""),0.0)</f>
        <v>0</v>
      </c>
      <c r="AS4172" s="82"/>
      <c r="AT4172" s="82">
        <f>IFERROR(__xludf.DUMMYFUNCTION("""COMPUTED_VALUE"""),0.0)</f>
        <v>0</v>
      </c>
      <c r="AU4172" s="82"/>
      <c r="AV4172" s="82"/>
      <c r="AW4172" s="82" t="str">
        <f t="shared" si="1"/>
        <v/>
      </c>
      <c r="AX4172" s="83" t="str">
        <f t="array" ref="AX4172">IFERROR(DGET('SBV Import'!A:G,"SBV",{"RSC ID","Tier";B4172,A4172}))</f>
        <v/>
      </c>
      <c r="AY4172" s="82" t="str">
        <f t="shared" si="2"/>
        <v/>
      </c>
      <c r="AZ4172" s="82"/>
      <c r="BA4172" s="84" t="s">
        <v>152</v>
      </c>
      <c r="BB4172" s="84" t="str">
        <f>IFERROR(__xludf.DUMMYFUNCTION("iferror(if(A4172="""",,E4172&gt;=FILTER(Constants!$F$2:$F$10,Constants!$A$2:$A$10=A4172)))"),"")</f>
        <v/>
      </c>
    </row>
    <row r="4173">
      <c r="A4173" s="89"/>
      <c r="B4173" s="87"/>
      <c r="C4173" s="73"/>
      <c r="D4173" s="73"/>
      <c r="E4173" s="82"/>
      <c r="F4173" s="82"/>
      <c r="G4173" s="86"/>
      <c r="H4173" s="86"/>
      <c r="I4173" s="86"/>
      <c r="J4173" s="82"/>
      <c r="K4173" s="82"/>
      <c r="L4173" s="82"/>
      <c r="M4173" s="82"/>
      <c r="N4173" s="82"/>
      <c r="O4173" s="82"/>
      <c r="P4173" s="82"/>
      <c r="Q4173" s="82"/>
      <c r="R4173" s="82"/>
      <c r="S4173" s="82"/>
      <c r="T4173" s="82"/>
      <c r="U4173" s="82"/>
      <c r="V4173" s="82"/>
      <c r="W4173" s="82"/>
      <c r="X4173" s="82"/>
      <c r="Y4173" s="82"/>
      <c r="Z4173" s="82"/>
      <c r="AA4173" s="82"/>
      <c r="AB4173" s="82"/>
      <c r="AC4173" s="82"/>
      <c r="AD4173" s="82"/>
      <c r="AE4173" s="82"/>
      <c r="AF4173" s="82"/>
      <c r="AG4173" s="82"/>
      <c r="AH4173" s="82"/>
      <c r="AI4173" s="82"/>
      <c r="AJ4173" s="82"/>
      <c r="AK4173" s="82"/>
      <c r="AL4173" s="82"/>
      <c r="AM4173" s="82"/>
      <c r="AN4173" s="82">
        <f>IFERROR(__xludf.DUMMYFUNCTION("""COMPUTED_VALUE"""),0.0)</f>
        <v>0</v>
      </c>
      <c r="AO4173" s="82">
        <f>IFERROR(__xludf.DUMMYFUNCTION("""COMPUTED_VALUE"""),0.0)</f>
        <v>0</v>
      </c>
      <c r="AP4173" s="82">
        <f>IFERROR(__xludf.DUMMYFUNCTION("""COMPUTED_VALUE"""),0.0)</f>
        <v>0</v>
      </c>
      <c r="AQ4173" s="82">
        <f>IFERROR(__xludf.DUMMYFUNCTION("""COMPUTED_VALUE"""),0.0)</f>
        <v>0</v>
      </c>
      <c r="AR4173" s="82">
        <f>IFERROR(__xludf.DUMMYFUNCTION("""COMPUTED_VALUE"""),0.0)</f>
        <v>0</v>
      </c>
      <c r="AS4173" s="82"/>
      <c r="AT4173" s="82">
        <f>IFERROR(__xludf.DUMMYFUNCTION("""COMPUTED_VALUE"""),0.0)</f>
        <v>0</v>
      </c>
      <c r="AU4173" s="82"/>
      <c r="AV4173" s="82"/>
      <c r="AW4173" s="82" t="str">
        <f t="shared" si="1"/>
        <v/>
      </c>
      <c r="AX4173" s="83" t="str">
        <f t="array" ref="AX4173">IFERROR(DGET('SBV Import'!A:G,"SBV",{"RSC ID","Tier";B4173,A4173}))</f>
        <v/>
      </c>
      <c r="AY4173" s="82" t="str">
        <f t="shared" si="2"/>
        <v/>
      </c>
      <c r="AZ4173" s="82"/>
      <c r="BA4173" s="84" t="s">
        <v>152</v>
      </c>
      <c r="BB4173" s="84" t="str">
        <f>IFERROR(__xludf.DUMMYFUNCTION("iferror(if(A4173="""",,E4173&gt;=FILTER(Constants!$F$2:$F$10,Constants!$A$2:$A$10=A4173)))"),"")</f>
        <v/>
      </c>
    </row>
    <row r="4174">
      <c r="A4174" s="89"/>
      <c r="B4174" s="87"/>
      <c r="C4174" s="73"/>
      <c r="D4174" s="73"/>
      <c r="E4174" s="82"/>
      <c r="F4174" s="82"/>
      <c r="G4174" s="86"/>
      <c r="H4174" s="86"/>
      <c r="I4174" s="86"/>
      <c r="J4174" s="82"/>
      <c r="K4174" s="82"/>
      <c r="L4174" s="82"/>
      <c r="M4174" s="82"/>
      <c r="N4174" s="82"/>
      <c r="O4174" s="82"/>
      <c r="P4174" s="82"/>
      <c r="Q4174" s="82"/>
      <c r="R4174" s="82"/>
      <c r="S4174" s="82"/>
      <c r="T4174" s="82"/>
      <c r="U4174" s="82"/>
      <c r="V4174" s="82"/>
      <c r="W4174" s="82"/>
      <c r="X4174" s="82"/>
      <c r="Y4174" s="82"/>
      <c r="Z4174" s="82"/>
      <c r="AA4174" s="82"/>
      <c r="AB4174" s="82"/>
      <c r="AC4174" s="82"/>
      <c r="AD4174" s="82"/>
      <c r="AE4174" s="82"/>
      <c r="AF4174" s="82"/>
      <c r="AG4174" s="82"/>
      <c r="AH4174" s="82"/>
      <c r="AI4174" s="82"/>
      <c r="AJ4174" s="82"/>
      <c r="AK4174" s="82"/>
      <c r="AL4174" s="82"/>
      <c r="AM4174" s="82"/>
      <c r="AN4174" s="82">
        <f>IFERROR(__xludf.DUMMYFUNCTION("""COMPUTED_VALUE"""),0.0)</f>
        <v>0</v>
      </c>
      <c r="AO4174" s="82">
        <f>IFERROR(__xludf.DUMMYFUNCTION("""COMPUTED_VALUE"""),0.0)</f>
        <v>0</v>
      </c>
      <c r="AP4174" s="82">
        <f>IFERROR(__xludf.DUMMYFUNCTION("""COMPUTED_VALUE"""),0.0)</f>
        <v>0</v>
      </c>
      <c r="AQ4174" s="82">
        <f>IFERROR(__xludf.DUMMYFUNCTION("""COMPUTED_VALUE"""),0.0)</f>
        <v>0</v>
      </c>
      <c r="AR4174" s="82">
        <f>IFERROR(__xludf.DUMMYFUNCTION("""COMPUTED_VALUE"""),0.0)</f>
        <v>0</v>
      </c>
      <c r="AS4174" s="82"/>
      <c r="AT4174" s="82">
        <f>IFERROR(__xludf.DUMMYFUNCTION("""COMPUTED_VALUE"""),0.0)</f>
        <v>0</v>
      </c>
      <c r="AU4174" s="82"/>
      <c r="AV4174" s="82"/>
      <c r="AW4174" s="82" t="str">
        <f t="shared" si="1"/>
        <v/>
      </c>
      <c r="AX4174" s="83" t="str">
        <f t="array" ref="AX4174">IFERROR(DGET('SBV Import'!A:G,"SBV",{"RSC ID","Tier";B4174,A4174}))</f>
        <v/>
      </c>
      <c r="AY4174" s="82" t="str">
        <f t="shared" si="2"/>
        <v/>
      </c>
      <c r="AZ4174" s="82"/>
      <c r="BA4174" s="84" t="s">
        <v>152</v>
      </c>
      <c r="BB4174" s="84" t="str">
        <f>IFERROR(__xludf.DUMMYFUNCTION("iferror(if(A4174="""",,E4174&gt;=FILTER(Constants!$F$2:$F$10,Constants!$A$2:$A$10=A4174)))"),"")</f>
        <v/>
      </c>
    </row>
    <row r="4175">
      <c r="A4175" s="89"/>
      <c r="B4175" s="87"/>
      <c r="C4175" s="73"/>
      <c r="D4175" s="73"/>
      <c r="E4175" s="82"/>
      <c r="F4175" s="82"/>
      <c r="G4175" s="86"/>
      <c r="H4175" s="86"/>
      <c r="I4175" s="86"/>
      <c r="J4175" s="82"/>
      <c r="K4175" s="82"/>
      <c r="L4175" s="82"/>
      <c r="M4175" s="82"/>
      <c r="N4175" s="82"/>
      <c r="O4175" s="82"/>
      <c r="P4175" s="82"/>
      <c r="Q4175" s="82"/>
      <c r="R4175" s="82"/>
      <c r="S4175" s="82"/>
      <c r="T4175" s="82"/>
      <c r="U4175" s="82"/>
      <c r="V4175" s="82"/>
      <c r="W4175" s="82"/>
      <c r="X4175" s="82"/>
      <c r="Y4175" s="82"/>
      <c r="Z4175" s="82"/>
      <c r="AA4175" s="82"/>
      <c r="AB4175" s="82"/>
      <c r="AC4175" s="82"/>
      <c r="AD4175" s="82"/>
      <c r="AE4175" s="82"/>
      <c r="AF4175" s="82"/>
      <c r="AG4175" s="82"/>
      <c r="AH4175" s="82"/>
      <c r="AI4175" s="82"/>
      <c r="AJ4175" s="82"/>
      <c r="AK4175" s="82"/>
      <c r="AL4175" s="82"/>
      <c r="AM4175" s="82"/>
      <c r="AN4175" s="82">
        <f>IFERROR(__xludf.DUMMYFUNCTION("""COMPUTED_VALUE"""),0.0)</f>
        <v>0</v>
      </c>
      <c r="AO4175" s="82">
        <f>IFERROR(__xludf.DUMMYFUNCTION("""COMPUTED_VALUE"""),0.0)</f>
        <v>0</v>
      </c>
      <c r="AP4175" s="82">
        <f>IFERROR(__xludf.DUMMYFUNCTION("""COMPUTED_VALUE"""),0.0)</f>
        <v>0</v>
      </c>
      <c r="AQ4175" s="82">
        <f>IFERROR(__xludf.DUMMYFUNCTION("""COMPUTED_VALUE"""),0.0)</f>
        <v>0</v>
      </c>
      <c r="AR4175" s="82">
        <f>IFERROR(__xludf.DUMMYFUNCTION("""COMPUTED_VALUE"""),0.0)</f>
        <v>0</v>
      </c>
      <c r="AS4175" s="82"/>
      <c r="AT4175" s="82">
        <f>IFERROR(__xludf.DUMMYFUNCTION("""COMPUTED_VALUE"""),0.0)</f>
        <v>0</v>
      </c>
      <c r="AU4175" s="82"/>
      <c r="AV4175" s="82"/>
      <c r="AW4175" s="82" t="str">
        <f t="shared" si="1"/>
        <v/>
      </c>
      <c r="AX4175" s="83" t="str">
        <f t="array" ref="AX4175">IFERROR(DGET('SBV Import'!A:G,"SBV",{"RSC ID","Tier";B4175,A4175}))</f>
        <v/>
      </c>
      <c r="AY4175" s="82" t="str">
        <f t="shared" si="2"/>
        <v/>
      </c>
      <c r="AZ4175" s="82"/>
      <c r="BA4175" s="84" t="s">
        <v>152</v>
      </c>
      <c r="BB4175" s="84" t="str">
        <f>IFERROR(__xludf.DUMMYFUNCTION("iferror(if(A4175="""",,E4175&gt;=FILTER(Constants!$F$2:$F$10,Constants!$A$2:$A$10=A4175)))"),"")</f>
        <v/>
      </c>
    </row>
    <row r="4176">
      <c r="A4176" s="89"/>
      <c r="B4176" s="87"/>
      <c r="C4176" s="73"/>
      <c r="D4176" s="73"/>
      <c r="E4176" s="82"/>
      <c r="F4176" s="82"/>
      <c r="G4176" s="86"/>
      <c r="H4176" s="86"/>
      <c r="I4176" s="86"/>
      <c r="J4176" s="82"/>
      <c r="K4176" s="82"/>
      <c r="L4176" s="82"/>
      <c r="M4176" s="82"/>
      <c r="N4176" s="82"/>
      <c r="O4176" s="82"/>
      <c r="P4176" s="82"/>
      <c r="Q4176" s="82"/>
      <c r="R4176" s="82"/>
      <c r="S4176" s="82"/>
      <c r="T4176" s="82"/>
      <c r="U4176" s="82"/>
      <c r="V4176" s="82"/>
      <c r="W4176" s="82"/>
      <c r="X4176" s="82"/>
      <c r="Y4176" s="82"/>
      <c r="Z4176" s="82"/>
      <c r="AA4176" s="82"/>
      <c r="AB4176" s="82"/>
      <c r="AC4176" s="82"/>
      <c r="AD4176" s="82"/>
      <c r="AE4176" s="82"/>
      <c r="AF4176" s="82"/>
      <c r="AG4176" s="82"/>
      <c r="AH4176" s="82"/>
      <c r="AI4176" s="82"/>
      <c r="AJ4176" s="82"/>
      <c r="AK4176" s="82"/>
      <c r="AL4176" s="82"/>
      <c r="AM4176" s="82"/>
      <c r="AN4176" s="82">
        <f>IFERROR(__xludf.DUMMYFUNCTION("""COMPUTED_VALUE"""),0.0)</f>
        <v>0</v>
      </c>
      <c r="AO4176" s="82">
        <f>IFERROR(__xludf.DUMMYFUNCTION("""COMPUTED_VALUE"""),0.0)</f>
        <v>0</v>
      </c>
      <c r="AP4176" s="82">
        <f>IFERROR(__xludf.DUMMYFUNCTION("""COMPUTED_VALUE"""),0.0)</f>
        <v>0</v>
      </c>
      <c r="AQ4176" s="82">
        <f>IFERROR(__xludf.DUMMYFUNCTION("""COMPUTED_VALUE"""),0.0)</f>
        <v>0</v>
      </c>
      <c r="AR4176" s="82">
        <f>IFERROR(__xludf.DUMMYFUNCTION("""COMPUTED_VALUE"""),0.0)</f>
        <v>0</v>
      </c>
      <c r="AS4176" s="82"/>
      <c r="AT4176" s="82">
        <f>IFERROR(__xludf.DUMMYFUNCTION("""COMPUTED_VALUE"""),0.0)</f>
        <v>0</v>
      </c>
      <c r="AU4176" s="82"/>
      <c r="AV4176" s="82"/>
      <c r="AW4176" s="82" t="str">
        <f t="shared" si="1"/>
        <v/>
      </c>
      <c r="AX4176" s="83" t="str">
        <f t="array" ref="AX4176">IFERROR(DGET('SBV Import'!A:G,"SBV",{"RSC ID","Tier";B4176,A4176}))</f>
        <v/>
      </c>
      <c r="AY4176" s="82" t="str">
        <f t="shared" si="2"/>
        <v/>
      </c>
      <c r="AZ4176" s="82"/>
      <c r="BA4176" s="84" t="s">
        <v>152</v>
      </c>
      <c r="BB4176" s="84" t="str">
        <f>IFERROR(__xludf.DUMMYFUNCTION("iferror(if(A4176="""",,E4176&gt;=FILTER(Constants!$F$2:$F$10,Constants!$A$2:$A$10=A4176)))"),"")</f>
        <v/>
      </c>
    </row>
    <row r="4177">
      <c r="A4177" s="89"/>
      <c r="B4177" s="87"/>
      <c r="C4177" s="73"/>
      <c r="D4177" s="73"/>
      <c r="E4177" s="82"/>
      <c r="F4177" s="82"/>
      <c r="G4177" s="86"/>
      <c r="H4177" s="86"/>
      <c r="I4177" s="86"/>
      <c r="J4177" s="82"/>
      <c r="K4177" s="82"/>
      <c r="L4177" s="82"/>
      <c r="M4177" s="82"/>
      <c r="N4177" s="82"/>
      <c r="O4177" s="82"/>
      <c r="P4177" s="82"/>
      <c r="Q4177" s="82"/>
      <c r="R4177" s="82"/>
      <c r="S4177" s="82"/>
      <c r="T4177" s="82"/>
      <c r="U4177" s="82"/>
      <c r="V4177" s="82"/>
      <c r="W4177" s="82"/>
      <c r="X4177" s="82"/>
      <c r="Y4177" s="82"/>
      <c r="Z4177" s="82"/>
      <c r="AA4177" s="82"/>
      <c r="AB4177" s="82"/>
      <c r="AC4177" s="82"/>
      <c r="AD4177" s="82"/>
      <c r="AE4177" s="82"/>
      <c r="AF4177" s="82"/>
      <c r="AG4177" s="82"/>
      <c r="AH4177" s="82"/>
      <c r="AI4177" s="82"/>
      <c r="AJ4177" s="82"/>
      <c r="AK4177" s="82"/>
      <c r="AL4177" s="82"/>
      <c r="AM4177" s="82"/>
      <c r="AN4177" s="82">
        <f>IFERROR(__xludf.DUMMYFUNCTION("""COMPUTED_VALUE"""),0.0)</f>
        <v>0</v>
      </c>
      <c r="AO4177" s="82">
        <f>IFERROR(__xludf.DUMMYFUNCTION("""COMPUTED_VALUE"""),0.0)</f>
        <v>0</v>
      </c>
      <c r="AP4177" s="82">
        <f>IFERROR(__xludf.DUMMYFUNCTION("""COMPUTED_VALUE"""),0.0)</f>
        <v>0</v>
      </c>
      <c r="AQ4177" s="82">
        <f>IFERROR(__xludf.DUMMYFUNCTION("""COMPUTED_VALUE"""),0.0)</f>
        <v>0</v>
      </c>
      <c r="AR4177" s="82">
        <f>IFERROR(__xludf.DUMMYFUNCTION("""COMPUTED_VALUE"""),0.0)</f>
        <v>0</v>
      </c>
      <c r="AS4177" s="82"/>
      <c r="AT4177" s="82">
        <f>IFERROR(__xludf.DUMMYFUNCTION("""COMPUTED_VALUE"""),0.0)</f>
        <v>0</v>
      </c>
      <c r="AU4177" s="82"/>
      <c r="AV4177" s="82"/>
      <c r="AW4177" s="82" t="str">
        <f t="shared" si="1"/>
        <v/>
      </c>
      <c r="AX4177" s="83" t="str">
        <f t="array" ref="AX4177">IFERROR(DGET('SBV Import'!A:G,"SBV",{"RSC ID","Tier";B4177,A4177}))</f>
        <v/>
      </c>
      <c r="AY4177" s="82" t="str">
        <f t="shared" si="2"/>
        <v/>
      </c>
      <c r="AZ4177" s="82"/>
      <c r="BA4177" s="84" t="s">
        <v>152</v>
      </c>
      <c r="BB4177" s="84" t="str">
        <f>IFERROR(__xludf.DUMMYFUNCTION("iferror(if(A4177="""",,E4177&gt;=FILTER(Constants!$F$2:$F$10,Constants!$A$2:$A$10=A4177)))"),"")</f>
        <v/>
      </c>
    </row>
    <row r="4178">
      <c r="A4178" s="89"/>
      <c r="B4178" s="87"/>
      <c r="C4178" s="73"/>
      <c r="D4178" s="73"/>
      <c r="E4178" s="82"/>
      <c r="F4178" s="82"/>
      <c r="G4178" s="86"/>
      <c r="H4178" s="86"/>
      <c r="I4178" s="86"/>
      <c r="J4178" s="82"/>
      <c r="K4178" s="82"/>
      <c r="L4178" s="82"/>
      <c r="M4178" s="82"/>
      <c r="N4178" s="82"/>
      <c r="O4178" s="82"/>
      <c r="P4178" s="82"/>
      <c r="Q4178" s="82"/>
      <c r="R4178" s="82"/>
      <c r="S4178" s="82"/>
      <c r="T4178" s="82"/>
      <c r="U4178" s="82"/>
      <c r="V4178" s="82"/>
      <c r="W4178" s="82"/>
      <c r="X4178" s="82"/>
      <c r="Y4178" s="82"/>
      <c r="Z4178" s="82"/>
      <c r="AA4178" s="82"/>
      <c r="AB4178" s="82"/>
      <c r="AC4178" s="82"/>
      <c r="AD4178" s="82"/>
      <c r="AE4178" s="82"/>
      <c r="AF4178" s="82"/>
      <c r="AG4178" s="82"/>
      <c r="AH4178" s="82"/>
      <c r="AI4178" s="82"/>
      <c r="AJ4178" s="82"/>
      <c r="AK4178" s="82"/>
      <c r="AL4178" s="82"/>
      <c r="AM4178" s="82"/>
      <c r="AN4178" s="82">
        <f>IFERROR(__xludf.DUMMYFUNCTION("""COMPUTED_VALUE"""),0.0)</f>
        <v>0</v>
      </c>
      <c r="AO4178" s="82">
        <f>IFERROR(__xludf.DUMMYFUNCTION("""COMPUTED_VALUE"""),0.0)</f>
        <v>0</v>
      </c>
      <c r="AP4178" s="82">
        <f>IFERROR(__xludf.DUMMYFUNCTION("""COMPUTED_VALUE"""),0.0)</f>
        <v>0</v>
      </c>
      <c r="AQ4178" s="82">
        <f>IFERROR(__xludf.DUMMYFUNCTION("""COMPUTED_VALUE"""),0.0)</f>
        <v>0</v>
      </c>
      <c r="AR4178" s="82">
        <f>IFERROR(__xludf.DUMMYFUNCTION("""COMPUTED_VALUE"""),0.0)</f>
        <v>0</v>
      </c>
      <c r="AS4178" s="82"/>
      <c r="AT4178" s="82">
        <f>IFERROR(__xludf.DUMMYFUNCTION("""COMPUTED_VALUE"""),0.0)</f>
        <v>0</v>
      </c>
      <c r="AU4178" s="82"/>
      <c r="AV4178" s="82"/>
      <c r="AW4178" s="82" t="str">
        <f t="shared" si="1"/>
        <v/>
      </c>
      <c r="AX4178" s="83" t="str">
        <f t="array" ref="AX4178">IFERROR(DGET('SBV Import'!A:G,"SBV",{"RSC ID","Tier";B4178,A4178}))</f>
        <v/>
      </c>
      <c r="AY4178" s="82" t="str">
        <f t="shared" si="2"/>
        <v/>
      </c>
      <c r="AZ4178" s="82"/>
      <c r="BA4178" s="84" t="s">
        <v>152</v>
      </c>
      <c r="BB4178" s="84" t="str">
        <f>IFERROR(__xludf.DUMMYFUNCTION("iferror(if(A4178="""",,E4178&gt;=FILTER(Constants!$F$2:$F$10,Constants!$A$2:$A$10=A4178)))"),"")</f>
        <v/>
      </c>
    </row>
    <row r="4179">
      <c r="A4179" s="89"/>
      <c r="B4179" s="87"/>
      <c r="C4179" s="73"/>
      <c r="D4179" s="73"/>
      <c r="E4179" s="82"/>
      <c r="F4179" s="82"/>
      <c r="G4179" s="86"/>
      <c r="H4179" s="86"/>
      <c r="I4179" s="86"/>
      <c r="J4179" s="82"/>
      <c r="K4179" s="82"/>
      <c r="L4179" s="82"/>
      <c r="M4179" s="82"/>
      <c r="N4179" s="82"/>
      <c r="O4179" s="82"/>
      <c r="P4179" s="82"/>
      <c r="Q4179" s="82"/>
      <c r="R4179" s="82"/>
      <c r="S4179" s="82"/>
      <c r="T4179" s="82"/>
      <c r="U4179" s="82"/>
      <c r="V4179" s="82"/>
      <c r="W4179" s="82"/>
      <c r="X4179" s="82"/>
      <c r="Y4179" s="82"/>
      <c r="Z4179" s="82"/>
      <c r="AA4179" s="82"/>
      <c r="AB4179" s="82"/>
      <c r="AC4179" s="82"/>
      <c r="AD4179" s="82"/>
      <c r="AE4179" s="82"/>
      <c r="AF4179" s="82"/>
      <c r="AG4179" s="82"/>
      <c r="AH4179" s="82"/>
      <c r="AI4179" s="82"/>
      <c r="AJ4179" s="82"/>
      <c r="AK4179" s="82"/>
      <c r="AL4179" s="82"/>
      <c r="AM4179" s="82"/>
      <c r="AN4179" s="82">
        <f>IFERROR(__xludf.DUMMYFUNCTION("""COMPUTED_VALUE"""),0.0)</f>
        <v>0</v>
      </c>
      <c r="AO4179" s="82">
        <f>IFERROR(__xludf.DUMMYFUNCTION("""COMPUTED_VALUE"""),0.0)</f>
        <v>0</v>
      </c>
      <c r="AP4179" s="82">
        <f>IFERROR(__xludf.DUMMYFUNCTION("""COMPUTED_VALUE"""),0.0)</f>
        <v>0</v>
      </c>
      <c r="AQ4179" s="82">
        <f>IFERROR(__xludf.DUMMYFUNCTION("""COMPUTED_VALUE"""),0.0)</f>
        <v>0</v>
      </c>
      <c r="AR4179" s="82">
        <f>IFERROR(__xludf.DUMMYFUNCTION("""COMPUTED_VALUE"""),0.0)</f>
        <v>0</v>
      </c>
      <c r="AS4179" s="82"/>
      <c r="AT4179" s="82">
        <f>IFERROR(__xludf.DUMMYFUNCTION("""COMPUTED_VALUE"""),0.0)</f>
        <v>0</v>
      </c>
      <c r="AU4179" s="82"/>
      <c r="AV4179" s="82"/>
      <c r="AW4179" s="82" t="str">
        <f t="shared" si="1"/>
        <v/>
      </c>
      <c r="AX4179" s="83" t="str">
        <f t="array" ref="AX4179">IFERROR(DGET('SBV Import'!A:G,"SBV",{"RSC ID","Tier";B4179,A4179}))</f>
        <v/>
      </c>
      <c r="AY4179" s="82" t="str">
        <f t="shared" si="2"/>
        <v/>
      </c>
      <c r="AZ4179" s="82"/>
      <c r="BA4179" s="84" t="s">
        <v>152</v>
      </c>
      <c r="BB4179" s="84" t="str">
        <f>IFERROR(__xludf.DUMMYFUNCTION("iferror(if(A4179="""",,E4179&gt;=FILTER(Constants!$F$2:$F$10,Constants!$A$2:$A$10=A4179)))"),"")</f>
        <v/>
      </c>
    </row>
    <row r="4180">
      <c r="A4180" s="89"/>
      <c r="B4180" s="87"/>
      <c r="C4180" s="73"/>
      <c r="D4180" s="73"/>
      <c r="E4180" s="82"/>
      <c r="F4180" s="82"/>
      <c r="G4180" s="86"/>
      <c r="H4180" s="86"/>
      <c r="I4180" s="86"/>
      <c r="J4180" s="82"/>
      <c r="K4180" s="82"/>
      <c r="L4180" s="82"/>
      <c r="M4180" s="82"/>
      <c r="N4180" s="82"/>
      <c r="O4180" s="82"/>
      <c r="P4180" s="82"/>
      <c r="Q4180" s="82"/>
      <c r="R4180" s="82"/>
      <c r="S4180" s="82"/>
      <c r="T4180" s="82"/>
      <c r="U4180" s="82"/>
      <c r="V4180" s="82"/>
      <c r="W4180" s="82"/>
      <c r="X4180" s="82"/>
      <c r="Y4180" s="82"/>
      <c r="Z4180" s="82"/>
      <c r="AA4180" s="82"/>
      <c r="AB4180" s="82"/>
      <c r="AC4180" s="82"/>
      <c r="AD4180" s="82"/>
      <c r="AE4180" s="82"/>
      <c r="AF4180" s="82"/>
      <c r="AG4180" s="82"/>
      <c r="AH4180" s="82"/>
      <c r="AI4180" s="82"/>
      <c r="AJ4180" s="82"/>
      <c r="AK4180" s="82"/>
      <c r="AL4180" s="82"/>
      <c r="AM4180" s="82"/>
      <c r="AN4180" s="82">
        <f>IFERROR(__xludf.DUMMYFUNCTION("""COMPUTED_VALUE"""),0.0)</f>
        <v>0</v>
      </c>
      <c r="AO4180" s="82">
        <f>IFERROR(__xludf.DUMMYFUNCTION("""COMPUTED_VALUE"""),0.0)</f>
        <v>0</v>
      </c>
      <c r="AP4180" s="82">
        <f>IFERROR(__xludf.DUMMYFUNCTION("""COMPUTED_VALUE"""),0.0)</f>
        <v>0</v>
      </c>
      <c r="AQ4180" s="82">
        <f>IFERROR(__xludf.DUMMYFUNCTION("""COMPUTED_VALUE"""),0.0)</f>
        <v>0</v>
      </c>
      <c r="AR4180" s="82">
        <f>IFERROR(__xludf.DUMMYFUNCTION("""COMPUTED_VALUE"""),0.0)</f>
        <v>0</v>
      </c>
      <c r="AS4180" s="82"/>
      <c r="AT4180" s="82">
        <f>IFERROR(__xludf.DUMMYFUNCTION("""COMPUTED_VALUE"""),0.0)</f>
        <v>0</v>
      </c>
      <c r="AU4180" s="82"/>
      <c r="AV4180" s="82"/>
      <c r="AW4180" s="82" t="str">
        <f t="shared" si="1"/>
        <v/>
      </c>
      <c r="AX4180" s="83" t="str">
        <f t="array" ref="AX4180">IFERROR(DGET('SBV Import'!A:G,"SBV",{"RSC ID","Tier";B4180,A4180}))</f>
        <v/>
      </c>
      <c r="AY4180" s="82" t="str">
        <f t="shared" si="2"/>
        <v/>
      </c>
      <c r="AZ4180" s="82"/>
      <c r="BA4180" s="84" t="s">
        <v>152</v>
      </c>
      <c r="BB4180" s="84" t="str">
        <f>IFERROR(__xludf.DUMMYFUNCTION("iferror(if(A4180="""",,E4180&gt;=FILTER(Constants!$F$2:$F$10,Constants!$A$2:$A$10=A4180)))"),"")</f>
        <v/>
      </c>
    </row>
    <row r="4181">
      <c r="A4181" s="89"/>
      <c r="B4181" s="87"/>
      <c r="C4181" s="73"/>
      <c r="D4181" s="73"/>
      <c r="E4181" s="82"/>
      <c r="F4181" s="82"/>
      <c r="G4181" s="86"/>
      <c r="H4181" s="86"/>
      <c r="I4181" s="86"/>
      <c r="J4181" s="82"/>
      <c r="K4181" s="82"/>
      <c r="L4181" s="82"/>
      <c r="M4181" s="82"/>
      <c r="N4181" s="82"/>
      <c r="O4181" s="82"/>
      <c r="P4181" s="82"/>
      <c r="Q4181" s="82"/>
      <c r="R4181" s="82"/>
      <c r="S4181" s="82"/>
      <c r="T4181" s="82"/>
      <c r="U4181" s="82"/>
      <c r="V4181" s="82"/>
      <c r="W4181" s="82"/>
      <c r="X4181" s="82"/>
      <c r="Y4181" s="82"/>
      <c r="Z4181" s="82"/>
      <c r="AA4181" s="82"/>
      <c r="AB4181" s="82"/>
      <c r="AC4181" s="82"/>
      <c r="AD4181" s="82"/>
      <c r="AE4181" s="82"/>
      <c r="AF4181" s="82"/>
      <c r="AG4181" s="82"/>
      <c r="AH4181" s="82"/>
      <c r="AI4181" s="82"/>
      <c r="AJ4181" s="82"/>
      <c r="AK4181" s="82"/>
      <c r="AL4181" s="82"/>
      <c r="AM4181" s="82"/>
      <c r="AN4181" s="82">
        <f>IFERROR(__xludf.DUMMYFUNCTION("""COMPUTED_VALUE"""),0.0)</f>
        <v>0</v>
      </c>
      <c r="AO4181" s="82">
        <f>IFERROR(__xludf.DUMMYFUNCTION("""COMPUTED_VALUE"""),0.0)</f>
        <v>0</v>
      </c>
      <c r="AP4181" s="82">
        <f>IFERROR(__xludf.DUMMYFUNCTION("""COMPUTED_VALUE"""),0.0)</f>
        <v>0</v>
      </c>
      <c r="AQ4181" s="82">
        <f>IFERROR(__xludf.DUMMYFUNCTION("""COMPUTED_VALUE"""),0.0)</f>
        <v>0</v>
      </c>
      <c r="AR4181" s="82">
        <f>IFERROR(__xludf.DUMMYFUNCTION("""COMPUTED_VALUE"""),0.0)</f>
        <v>0</v>
      </c>
      <c r="AS4181" s="82"/>
      <c r="AT4181" s="82">
        <f>IFERROR(__xludf.DUMMYFUNCTION("""COMPUTED_VALUE"""),0.0)</f>
        <v>0</v>
      </c>
      <c r="AU4181" s="82"/>
      <c r="AV4181" s="82"/>
      <c r="AW4181" s="82" t="str">
        <f t="shared" si="1"/>
        <v/>
      </c>
      <c r="AX4181" s="83" t="str">
        <f t="array" ref="AX4181">IFERROR(DGET('SBV Import'!A:G,"SBV",{"RSC ID","Tier";B4181,A4181}))</f>
        <v/>
      </c>
      <c r="AY4181" s="82" t="str">
        <f t="shared" si="2"/>
        <v/>
      </c>
      <c r="AZ4181" s="82"/>
      <c r="BA4181" s="84" t="s">
        <v>152</v>
      </c>
      <c r="BB4181" s="84" t="str">
        <f>IFERROR(__xludf.DUMMYFUNCTION("iferror(if(A4181="""",,E4181&gt;=FILTER(Constants!$F$2:$F$10,Constants!$A$2:$A$10=A4181)))"),"")</f>
        <v/>
      </c>
    </row>
    <row r="4182">
      <c r="A4182" s="89"/>
      <c r="B4182" s="87"/>
      <c r="C4182" s="73"/>
      <c r="D4182" s="73"/>
      <c r="E4182" s="82"/>
      <c r="F4182" s="82"/>
      <c r="G4182" s="86"/>
      <c r="H4182" s="86"/>
      <c r="I4182" s="86"/>
      <c r="J4182" s="82"/>
      <c r="K4182" s="82"/>
      <c r="L4182" s="82"/>
      <c r="M4182" s="82"/>
      <c r="N4182" s="82"/>
      <c r="O4182" s="82"/>
      <c r="P4182" s="82"/>
      <c r="Q4182" s="82"/>
      <c r="R4182" s="82"/>
      <c r="S4182" s="82"/>
      <c r="T4182" s="82"/>
      <c r="U4182" s="82"/>
      <c r="V4182" s="82"/>
      <c r="W4182" s="82"/>
      <c r="X4182" s="82"/>
      <c r="Y4182" s="82"/>
      <c r="Z4182" s="82"/>
      <c r="AA4182" s="82"/>
      <c r="AB4182" s="82"/>
      <c r="AC4182" s="82"/>
      <c r="AD4182" s="82"/>
      <c r="AE4182" s="82"/>
      <c r="AF4182" s="82"/>
      <c r="AG4182" s="82"/>
      <c r="AH4182" s="82"/>
      <c r="AI4182" s="82"/>
      <c r="AJ4182" s="82"/>
      <c r="AK4182" s="82"/>
      <c r="AL4182" s="82"/>
      <c r="AM4182" s="82"/>
      <c r="AN4182" s="82">
        <f>IFERROR(__xludf.DUMMYFUNCTION("""COMPUTED_VALUE"""),0.0)</f>
        <v>0</v>
      </c>
      <c r="AO4182" s="82">
        <f>IFERROR(__xludf.DUMMYFUNCTION("""COMPUTED_VALUE"""),0.0)</f>
        <v>0</v>
      </c>
      <c r="AP4182" s="82">
        <f>IFERROR(__xludf.DUMMYFUNCTION("""COMPUTED_VALUE"""),0.0)</f>
        <v>0</v>
      </c>
      <c r="AQ4182" s="82">
        <f>IFERROR(__xludf.DUMMYFUNCTION("""COMPUTED_VALUE"""),0.0)</f>
        <v>0</v>
      </c>
      <c r="AR4182" s="82">
        <f>IFERROR(__xludf.DUMMYFUNCTION("""COMPUTED_VALUE"""),0.0)</f>
        <v>0</v>
      </c>
      <c r="AS4182" s="82"/>
      <c r="AT4182" s="82">
        <f>IFERROR(__xludf.DUMMYFUNCTION("""COMPUTED_VALUE"""),0.0)</f>
        <v>0</v>
      </c>
      <c r="AU4182" s="82"/>
      <c r="AV4182" s="82"/>
      <c r="AW4182" s="82" t="str">
        <f t="shared" si="1"/>
        <v/>
      </c>
      <c r="AX4182" s="83" t="str">
        <f t="array" ref="AX4182">IFERROR(DGET('SBV Import'!A:G,"SBV",{"RSC ID","Tier";B4182,A4182}))</f>
        <v/>
      </c>
      <c r="AY4182" s="82" t="str">
        <f t="shared" si="2"/>
        <v/>
      </c>
      <c r="AZ4182" s="82"/>
      <c r="BA4182" s="84" t="s">
        <v>152</v>
      </c>
      <c r="BB4182" s="84" t="str">
        <f>IFERROR(__xludf.DUMMYFUNCTION("iferror(if(A4182="""",,E4182&gt;=FILTER(Constants!$F$2:$F$10,Constants!$A$2:$A$10=A4182)))"),"")</f>
        <v/>
      </c>
    </row>
    <row r="4183">
      <c r="A4183" s="89"/>
      <c r="B4183" s="87"/>
      <c r="C4183" s="73"/>
      <c r="D4183" s="73"/>
      <c r="E4183" s="82"/>
      <c r="F4183" s="82"/>
      <c r="G4183" s="86"/>
      <c r="H4183" s="86"/>
      <c r="I4183" s="86"/>
      <c r="J4183" s="82"/>
      <c r="K4183" s="82"/>
      <c r="L4183" s="82"/>
      <c r="M4183" s="82"/>
      <c r="N4183" s="82"/>
      <c r="O4183" s="82"/>
      <c r="P4183" s="82"/>
      <c r="Q4183" s="82"/>
      <c r="R4183" s="82"/>
      <c r="S4183" s="82"/>
      <c r="T4183" s="82"/>
      <c r="U4183" s="82"/>
      <c r="V4183" s="82"/>
      <c r="W4183" s="82"/>
      <c r="X4183" s="82"/>
      <c r="Y4183" s="82"/>
      <c r="Z4183" s="82"/>
      <c r="AA4183" s="82"/>
      <c r="AB4183" s="82"/>
      <c r="AC4183" s="82"/>
      <c r="AD4183" s="82"/>
      <c r="AE4183" s="82"/>
      <c r="AF4183" s="82"/>
      <c r="AG4183" s="82"/>
      <c r="AH4183" s="82"/>
      <c r="AI4183" s="82"/>
      <c r="AJ4183" s="82"/>
      <c r="AK4183" s="82"/>
      <c r="AL4183" s="82"/>
      <c r="AM4183" s="82"/>
      <c r="AN4183" s="82">
        <f>IFERROR(__xludf.DUMMYFUNCTION("""COMPUTED_VALUE"""),0.0)</f>
        <v>0</v>
      </c>
      <c r="AO4183" s="82">
        <f>IFERROR(__xludf.DUMMYFUNCTION("""COMPUTED_VALUE"""),0.0)</f>
        <v>0</v>
      </c>
      <c r="AP4183" s="82">
        <f>IFERROR(__xludf.DUMMYFUNCTION("""COMPUTED_VALUE"""),0.0)</f>
        <v>0</v>
      </c>
      <c r="AQ4183" s="82">
        <f>IFERROR(__xludf.DUMMYFUNCTION("""COMPUTED_VALUE"""),0.0)</f>
        <v>0</v>
      </c>
      <c r="AR4183" s="82">
        <f>IFERROR(__xludf.DUMMYFUNCTION("""COMPUTED_VALUE"""),0.0)</f>
        <v>0</v>
      </c>
      <c r="AS4183" s="82"/>
      <c r="AT4183" s="82">
        <f>IFERROR(__xludf.DUMMYFUNCTION("""COMPUTED_VALUE"""),0.0)</f>
        <v>0</v>
      </c>
      <c r="AU4183" s="82"/>
      <c r="AV4183" s="82"/>
      <c r="AW4183" s="82" t="str">
        <f t="shared" si="1"/>
        <v/>
      </c>
      <c r="AX4183" s="83" t="str">
        <f t="array" ref="AX4183">IFERROR(DGET('SBV Import'!A:G,"SBV",{"RSC ID","Tier";B4183,A4183}))</f>
        <v/>
      </c>
      <c r="AY4183" s="82" t="str">
        <f t="shared" si="2"/>
        <v/>
      </c>
      <c r="AZ4183" s="82"/>
      <c r="BA4183" s="84" t="s">
        <v>152</v>
      </c>
      <c r="BB4183" s="84" t="str">
        <f>IFERROR(__xludf.DUMMYFUNCTION("iferror(if(A4183="""",,E4183&gt;=FILTER(Constants!$F$2:$F$10,Constants!$A$2:$A$10=A4183)))"),"")</f>
        <v/>
      </c>
    </row>
    <row r="4184">
      <c r="A4184" s="89"/>
      <c r="B4184" s="87"/>
      <c r="C4184" s="73"/>
      <c r="D4184" s="73"/>
      <c r="E4184" s="82"/>
      <c r="F4184" s="82"/>
      <c r="G4184" s="86"/>
      <c r="H4184" s="86"/>
      <c r="I4184" s="86"/>
      <c r="J4184" s="82"/>
      <c r="K4184" s="82"/>
      <c r="L4184" s="82"/>
      <c r="M4184" s="82"/>
      <c r="N4184" s="82"/>
      <c r="O4184" s="82"/>
      <c r="P4184" s="82"/>
      <c r="Q4184" s="82"/>
      <c r="R4184" s="82"/>
      <c r="S4184" s="82"/>
      <c r="T4184" s="82"/>
      <c r="U4184" s="82"/>
      <c r="V4184" s="82"/>
      <c r="W4184" s="82"/>
      <c r="X4184" s="82"/>
      <c r="Y4184" s="82"/>
      <c r="Z4184" s="82"/>
      <c r="AA4184" s="82"/>
      <c r="AB4184" s="82"/>
      <c r="AC4184" s="82"/>
      <c r="AD4184" s="82"/>
      <c r="AE4184" s="82"/>
      <c r="AF4184" s="82"/>
      <c r="AG4184" s="82"/>
      <c r="AH4184" s="82"/>
      <c r="AI4184" s="82"/>
      <c r="AJ4184" s="82"/>
      <c r="AK4184" s="82"/>
      <c r="AL4184" s="82"/>
      <c r="AM4184" s="82"/>
      <c r="AN4184" s="82">
        <f>IFERROR(__xludf.DUMMYFUNCTION("""COMPUTED_VALUE"""),0.0)</f>
        <v>0</v>
      </c>
      <c r="AO4184" s="82">
        <f>IFERROR(__xludf.DUMMYFUNCTION("""COMPUTED_VALUE"""),0.0)</f>
        <v>0</v>
      </c>
      <c r="AP4184" s="82">
        <f>IFERROR(__xludf.DUMMYFUNCTION("""COMPUTED_VALUE"""),0.0)</f>
        <v>0</v>
      </c>
      <c r="AQ4184" s="82">
        <f>IFERROR(__xludf.DUMMYFUNCTION("""COMPUTED_VALUE"""),0.0)</f>
        <v>0</v>
      </c>
      <c r="AR4184" s="82">
        <f>IFERROR(__xludf.DUMMYFUNCTION("""COMPUTED_VALUE"""),0.0)</f>
        <v>0</v>
      </c>
      <c r="AS4184" s="82"/>
      <c r="AT4184" s="82">
        <f>IFERROR(__xludf.DUMMYFUNCTION("""COMPUTED_VALUE"""),0.0)</f>
        <v>0</v>
      </c>
      <c r="AU4184" s="82"/>
      <c r="AV4184" s="82"/>
      <c r="AW4184" s="82" t="str">
        <f t="shared" si="1"/>
        <v/>
      </c>
      <c r="AX4184" s="83" t="str">
        <f t="array" ref="AX4184">IFERROR(DGET('SBV Import'!A:G,"SBV",{"RSC ID","Tier";B4184,A4184}))</f>
        <v/>
      </c>
      <c r="AY4184" s="82" t="str">
        <f t="shared" si="2"/>
        <v/>
      </c>
      <c r="AZ4184" s="82"/>
      <c r="BA4184" s="84" t="s">
        <v>152</v>
      </c>
      <c r="BB4184" s="84" t="str">
        <f>IFERROR(__xludf.DUMMYFUNCTION("iferror(if(A4184="""",,E4184&gt;=FILTER(Constants!$F$2:$F$10,Constants!$A$2:$A$10=A4184)))"),"")</f>
        <v/>
      </c>
    </row>
    <row r="4185">
      <c r="A4185" s="89"/>
      <c r="B4185" s="87"/>
      <c r="C4185" s="73"/>
      <c r="D4185" s="73"/>
      <c r="E4185" s="82"/>
      <c r="F4185" s="82"/>
      <c r="G4185" s="86"/>
      <c r="H4185" s="86"/>
      <c r="I4185" s="86"/>
      <c r="J4185" s="82"/>
      <c r="K4185" s="82"/>
      <c r="L4185" s="82"/>
      <c r="M4185" s="82"/>
      <c r="N4185" s="82"/>
      <c r="O4185" s="82"/>
      <c r="P4185" s="82"/>
      <c r="Q4185" s="82"/>
      <c r="R4185" s="82"/>
      <c r="S4185" s="82"/>
      <c r="T4185" s="82"/>
      <c r="U4185" s="82"/>
      <c r="V4185" s="82"/>
      <c r="W4185" s="82"/>
      <c r="X4185" s="82"/>
      <c r="Y4185" s="82"/>
      <c r="Z4185" s="82"/>
      <c r="AA4185" s="82"/>
      <c r="AB4185" s="82"/>
      <c r="AC4185" s="82"/>
      <c r="AD4185" s="82"/>
      <c r="AE4185" s="82"/>
      <c r="AF4185" s="82"/>
      <c r="AG4185" s="82"/>
      <c r="AH4185" s="82"/>
      <c r="AI4185" s="82"/>
      <c r="AJ4185" s="82"/>
      <c r="AK4185" s="82"/>
      <c r="AL4185" s="82"/>
      <c r="AM4185" s="82"/>
      <c r="AN4185" s="82">
        <f>IFERROR(__xludf.DUMMYFUNCTION("""COMPUTED_VALUE"""),0.0)</f>
        <v>0</v>
      </c>
      <c r="AO4185" s="82">
        <f>IFERROR(__xludf.DUMMYFUNCTION("""COMPUTED_VALUE"""),0.0)</f>
        <v>0</v>
      </c>
      <c r="AP4185" s="82">
        <f>IFERROR(__xludf.DUMMYFUNCTION("""COMPUTED_VALUE"""),0.0)</f>
        <v>0</v>
      </c>
      <c r="AQ4185" s="82">
        <f>IFERROR(__xludf.DUMMYFUNCTION("""COMPUTED_VALUE"""),0.0)</f>
        <v>0</v>
      </c>
      <c r="AR4185" s="82">
        <f>IFERROR(__xludf.DUMMYFUNCTION("""COMPUTED_VALUE"""),0.0)</f>
        <v>0</v>
      </c>
      <c r="AS4185" s="82"/>
      <c r="AT4185" s="82">
        <f>IFERROR(__xludf.DUMMYFUNCTION("""COMPUTED_VALUE"""),0.0)</f>
        <v>0</v>
      </c>
      <c r="AU4185" s="82"/>
      <c r="AV4185" s="82"/>
      <c r="AW4185" s="82" t="str">
        <f t="shared" si="1"/>
        <v/>
      </c>
      <c r="AX4185" s="83" t="str">
        <f t="array" ref="AX4185">IFERROR(DGET('SBV Import'!A:G,"SBV",{"RSC ID","Tier";B4185,A4185}))</f>
        <v/>
      </c>
      <c r="AY4185" s="82" t="str">
        <f t="shared" si="2"/>
        <v/>
      </c>
      <c r="AZ4185" s="82"/>
      <c r="BA4185" s="84" t="s">
        <v>152</v>
      </c>
      <c r="BB4185" s="84" t="str">
        <f>IFERROR(__xludf.DUMMYFUNCTION("iferror(if(A4185="""",,E4185&gt;=FILTER(Constants!$F$2:$F$10,Constants!$A$2:$A$10=A4185)))"),"")</f>
        <v/>
      </c>
    </row>
    <row r="4186">
      <c r="A4186" s="89"/>
      <c r="B4186" s="87"/>
      <c r="C4186" s="73"/>
      <c r="D4186" s="73"/>
      <c r="E4186" s="82"/>
      <c r="F4186" s="82"/>
      <c r="G4186" s="86"/>
      <c r="H4186" s="86"/>
      <c r="I4186" s="86"/>
      <c r="J4186" s="82"/>
      <c r="K4186" s="82"/>
      <c r="L4186" s="82"/>
      <c r="M4186" s="82"/>
      <c r="N4186" s="82"/>
      <c r="O4186" s="82"/>
      <c r="P4186" s="82"/>
      <c r="Q4186" s="82"/>
      <c r="R4186" s="82"/>
      <c r="S4186" s="82"/>
      <c r="T4186" s="82"/>
      <c r="U4186" s="82"/>
      <c r="V4186" s="82"/>
      <c r="W4186" s="82"/>
      <c r="X4186" s="82"/>
      <c r="Y4186" s="82"/>
      <c r="Z4186" s="82"/>
      <c r="AA4186" s="82"/>
      <c r="AB4186" s="82"/>
      <c r="AC4186" s="82"/>
      <c r="AD4186" s="82"/>
      <c r="AE4186" s="82"/>
      <c r="AF4186" s="82"/>
      <c r="AG4186" s="82"/>
      <c r="AH4186" s="82"/>
      <c r="AI4186" s="82"/>
      <c r="AJ4186" s="82"/>
      <c r="AK4186" s="82"/>
      <c r="AL4186" s="82"/>
      <c r="AM4186" s="82"/>
      <c r="AN4186" s="82">
        <f>IFERROR(__xludf.DUMMYFUNCTION("""COMPUTED_VALUE"""),0.0)</f>
        <v>0</v>
      </c>
      <c r="AO4186" s="82">
        <f>IFERROR(__xludf.DUMMYFUNCTION("""COMPUTED_VALUE"""),0.0)</f>
        <v>0</v>
      </c>
      <c r="AP4186" s="82">
        <f>IFERROR(__xludf.DUMMYFUNCTION("""COMPUTED_VALUE"""),0.0)</f>
        <v>0</v>
      </c>
      <c r="AQ4186" s="82">
        <f>IFERROR(__xludf.DUMMYFUNCTION("""COMPUTED_VALUE"""),0.0)</f>
        <v>0</v>
      </c>
      <c r="AR4186" s="82">
        <f>IFERROR(__xludf.DUMMYFUNCTION("""COMPUTED_VALUE"""),0.0)</f>
        <v>0</v>
      </c>
      <c r="AS4186" s="82"/>
      <c r="AT4186" s="82">
        <f>IFERROR(__xludf.DUMMYFUNCTION("""COMPUTED_VALUE"""),0.0)</f>
        <v>0</v>
      </c>
      <c r="AU4186" s="82"/>
      <c r="AV4186" s="82"/>
      <c r="AW4186" s="82" t="str">
        <f t="shared" si="1"/>
        <v/>
      </c>
      <c r="AX4186" s="83" t="str">
        <f t="array" ref="AX4186">IFERROR(DGET('SBV Import'!A:G,"SBV",{"RSC ID","Tier";B4186,A4186}))</f>
        <v/>
      </c>
      <c r="AY4186" s="82" t="str">
        <f t="shared" si="2"/>
        <v/>
      </c>
      <c r="AZ4186" s="82"/>
      <c r="BA4186" s="84" t="s">
        <v>152</v>
      </c>
      <c r="BB4186" s="84" t="str">
        <f>IFERROR(__xludf.DUMMYFUNCTION("iferror(if(A4186="""",,E4186&gt;=FILTER(Constants!$F$2:$F$10,Constants!$A$2:$A$10=A4186)))"),"")</f>
        <v/>
      </c>
    </row>
    <row r="4187">
      <c r="A4187" s="89"/>
      <c r="B4187" s="87"/>
      <c r="C4187" s="73"/>
      <c r="D4187" s="73"/>
      <c r="E4187" s="82"/>
      <c r="F4187" s="82"/>
      <c r="G4187" s="86"/>
      <c r="H4187" s="86"/>
      <c r="I4187" s="86"/>
      <c r="J4187" s="82"/>
      <c r="K4187" s="82"/>
      <c r="L4187" s="82"/>
      <c r="M4187" s="82"/>
      <c r="N4187" s="82"/>
      <c r="O4187" s="82"/>
      <c r="P4187" s="82"/>
      <c r="Q4187" s="82"/>
      <c r="R4187" s="82"/>
      <c r="S4187" s="82"/>
      <c r="T4187" s="82"/>
      <c r="U4187" s="82"/>
      <c r="V4187" s="82"/>
      <c r="W4187" s="82"/>
      <c r="X4187" s="82"/>
      <c r="Y4187" s="82"/>
      <c r="Z4187" s="82"/>
      <c r="AA4187" s="82"/>
      <c r="AB4187" s="82"/>
      <c r="AC4187" s="82"/>
      <c r="AD4187" s="82"/>
      <c r="AE4187" s="82"/>
      <c r="AF4187" s="82"/>
      <c r="AG4187" s="82"/>
      <c r="AH4187" s="82"/>
      <c r="AI4187" s="82"/>
      <c r="AJ4187" s="82"/>
      <c r="AK4187" s="82"/>
      <c r="AL4187" s="82"/>
      <c r="AM4187" s="82"/>
      <c r="AN4187" s="82">
        <f>IFERROR(__xludf.DUMMYFUNCTION("""COMPUTED_VALUE"""),0.0)</f>
        <v>0</v>
      </c>
      <c r="AO4187" s="82">
        <f>IFERROR(__xludf.DUMMYFUNCTION("""COMPUTED_VALUE"""),0.0)</f>
        <v>0</v>
      </c>
      <c r="AP4187" s="82">
        <f>IFERROR(__xludf.DUMMYFUNCTION("""COMPUTED_VALUE"""),0.0)</f>
        <v>0</v>
      </c>
      <c r="AQ4187" s="82">
        <f>IFERROR(__xludf.DUMMYFUNCTION("""COMPUTED_VALUE"""),0.0)</f>
        <v>0</v>
      </c>
      <c r="AR4187" s="82">
        <f>IFERROR(__xludf.DUMMYFUNCTION("""COMPUTED_VALUE"""),0.0)</f>
        <v>0</v>
      </c>
      <c r="AS4187" s="82"/>
      <c r="AT4187" s="82">
        <f>IFERROR(__xludf.DUMMYFUNCTION("""COMPUTED_VALUE"""),0.0)</f>
        <v>0</v>
      </c>
      <c r="AU4187" s="82"/>
      <c r="AV4187" s="82"/>
      <c r="AW4187" s="82" t="str">
        <f t="shared" si="1"/>
        <v/>
      </c>
      <c r="AX4187" s="83" t="str">
        <f t="array" ref="AX4187">IFERROR(DGET('SBV Import'!A:G,"SBV",{"RSC ID","Tier";B4187,A4187}))</f>
        <v/>
      </c>
      <c r="AY4187" s="82" t="str">
        <f t="shared" si="2"/>
        <v/>
      </c>
      <c r="AZ4187" s="82"/>
      <c r="BA4187" s="84" t="s">
        <v>152</v>
      </c>
      <c r="BB4187" s="84" t="str">
        <f>IFERROR(__xludf.DUMMYFUNCTION("iferror(if(A4187="""",,E4187&gt;=FILTER(Constants!$F$2:$F$10,Constants!$A$2:$A$10=A4187)))"),"")</f>
        <v/>
      </c>
    </row>
    <row r="4188">
      <c r="A4188" s="89"/>
      <c r="B4188" s="87"/>
      <c r="C4188" s="73"/>
      <c r="D4188" s="73"/>
      <c r="E4188" s="82"/>
      <c r="F4188" s="82"/>
      <c r="G4188" s="86"/>
      <c r="H4188" s="86"/>
      <c r="I4188" s="86"/>
      <c r="J4188" s="82"/>
      <c r="K4188" s="82"/>
      <c r="L4188" s="82"/>
      <c r="M4188" s="82"/>
      <c r="N4188" s="82"/>
      <c r="O4188" s="82"/>
      <c r="P4188" s="82"/>
      <c r="Q4188" s="82"/>
      <c r="R4188" s="82"/>
      <c r="S4188" s="82"/>
      <c r="T4188" s="82"/>
      <c r="U4188" s="82"/>
      <c r="V4188" s="82"/>
      <c r="W4188" s="82"/>
      <c r="X4188" s="82"/>
      <c r="Y4188" s="82"/>
      <c r="Z4188" s="82"/>
      <c r="AA4188" s="82"/>
      <c r="AB4188" s="82"/>
      <c r="AC4188" s="82"/>
      <c r="AD4188" s="82"/>
      <c r="AE4188" s="82"/>
      <c r="AF4188" s="82"/>
      <c r="AG4188" s="82"/>
      <c r="AH4188" s="82"/>
      <c r="AI4188" s="82"/>
      <c r="AJ4188" s="82"/>
      <c r="AK4188" s="82"/>
      <c r="AL4188" s="82"/>
      <c r="AM4188" s="82"/>
      <c r="AN4188" s="82">
        <f>IFERROR(__xludf.DUMMYFUNCTION("""COMPUTED_VALUE"""),0.0)</f>
        <v>0</v>
      </c>
      <c r="AO4188" s="82">
        <f>IFERROR(__xludf.DUMMYFUNCTION("""COMPUTED_VALUE"""),0.0)</f>
        <v>0</v>
      </c>
      <c r="AP4188" s="82">
        <f>IFERROR(__xludf.DUMMYFUNCTION("""COMPUTED_VALUE"""),0.0)</f>
        <v>0</v>
      </c>
      <c r="AQ4188" s="82">
        <f>IFERROR(__xludf.DUMMYFUNCTION("""COMPUTED_VALUE"""),0.0)</f>
        <v>0</v>
      </c>
      <c r="AR4188" s="82">
        <f>IFERROR(__xludf.DUMMYFUNCTION("""COMPUTED_VALUE"""),0.0)</f>
        <v>0</v>
      </c>
      <c r="AS4188" s="82"/>
      <c r="AT4188" s="82">
        <f>IFERROR(__xludf.DUMMYFUNCTION("""COMPUTED_VALUE"""),0.0)</f>
        <v>0</v>
      </c>
      <c r="AU4188" s="82"/>
      <c r="AV4188" s="82"/>
      <c r="AW4188" s="82" t="str">
        <f t="shared" si="1"/>
        <v/>
      </c>
      <c r="AX4188" s="83" t="str">
        <f t="array" ref="AX4188">IFERROR(DGET('SBV Import'!A:G,"SBV",{"RSC ID","Tier";B4188,A4188}))</f>
        <v/>
      </c>
      <c r="AY4188" s="82" t="str">
        <f t="shared" si="2"/>
        <v/>
      </c>
      <c r="AZ4188" s="82"/>
      <c r="BA4188" s="84" t="s">
        <v>152</v>
      </c>
      <c r="BB4188" s="84" t="str">
        <f>IFERROR(__xludf.DUMMYFUNCTION("iferror(if(A4188="""",,E4188&gt;=FILTER(Constants!$F$2:$F$10,Constants!$A$2:$A$10=A4188)))"),"")</f>
        <v/>
      </c>
    </row>
    <row r="4189">
      <c r="A4189" s="89"/>
      <c r="B4189" s="87"/>
      <c r="C4189" s="73"/>
      <c r="D4189" s="73"/>
      <c r="E4189" s="82"/>
      <c r="F4189" s="82"/>
      <c r="G4189" s="86"/>
      <c r="H4189" s="86"/>
      <c r="I4189" s="86"/>
      <c r="J4189" s="82"/>
      <c r="K4189" s="82"/>
      <c r="L4189" s="82"/>
      <c r="M4189" s="82"/>
      <c r="N4189" s="82"/>
      <c r="O4189" s="82"/>
      <c r="P4189" s="82"/>
      <c r="Q4189" s="82"/>
      <c r="R4189" s="82"/>
      <c r="S4189" s="82"/>
      <c r="T4189" s="82"/>
      <c r="U4189" s="82"/>
      <c r="V4189" s="82"/>
      <c r="W4189" s="82"/>
      <c r="X4189" s="82"/>
      <c r="Y4189" s="82"/>
      <c r="Z4189" s="82"/>
      <c r="AA4189" s="82"/>
      <c r="AB4189" s="82"/>
      <c r="AC4189" s="82"/>
      <c r="AD4189" s="82"/>
      <c r="AE4189" s="82"/>
      <c r="AF4189" s="82"/>
      <c r="AG4189" s="82"/>
      <c r="AH4189" s="82"/>
      <c r="AI4189" s="82"/>
      <c r="AJ4189" s="82"/>
      <c r="AK4189" s="82"/>
      <c r="AL4189" s="82"/>
      <c r="AM4189" s="82"/>
      <c r="AN4189" s="82">
        <f>IFERROR(__xludf.DUMMYFUNCTION("""COMPUTED_VALUE"""),0.0)</f>
        <v>0</v>
      </c>
      <c r="AO4189" s="82">
        <f>IFERROR(__xludf.DUMMYFUNCTION("""COMPUTED_VALUE"""),0.0)</f>
        <v>0</v>
      </c>
      <c r="AP4189" s="82">
        <f>IFERROR(__xludf.DUMMYFUNCTION("""COMPUTED_VALUE"""),0.0)</f>
        <v>0</v>
      </c>
      <c r="AQ4189" s="82">
        <f>IFERROR(__xludf.DUMMYFUNCTION("""COMPUTED_VALUE"""),0.0)</f>
        <v>0</v>
      </c>
      <c r="AR4189" s="82">
        <f>IFERROR(__xludf.DUMMYFUNCTION("""COMPUTED_VALUE"""),0.0)</f>
        <v>0</v>
      </c>
      <c r="AS4189" s="82"/>
      <c r="AT4189" s="82">
        <f>IFERROR(__xludf.DUMMYFUNCTION("""COMPUTED_VALUE"""),0.0)</f>
        <v>0</v>
      </c>
      <c r="AU4189" s="82"/>
      <c r="AV4189" s="82"/>
      <c r="AW4189" s="82" t="str">
        <f t="shared" si="1"/>
        <v/>
      </c>
      <c r="AX4189" s="83" t="str">
        <f t="array" ref="AX4189">IFERROR(DGET('SBV Import'!A:G,"SBV",{"RSC ID","Tier";B4189,A4189}))</f>
        <v/>
      </c>
      <c r="AY4189" s="82" t="str">
        <f t="shared" si="2"/>
        <v/>
      </c>
      <c r="AZ4189" s="82"/>
      <c r="BA4189" s="84" t="s">
        <v>152</v>
      </c>
      <c r="BB4189" s="84" t="str">
        <f>IFERROR(__xludf.DUMMYFUNCTION("iferror(if(A4189="""",,E4189&gt;=FILTER(Constants!$F$2:$F$10,Constants!$A$2:$A$10=A4189)))"),"")</f>
        <v/>
      </c>
    </row>
    <row r="4190">
      <c r="A4190" s="89"/>
      <c r="B4190" s="87"/>
      <c r="C4190" s="73"/>
      <c r="D4190" s="73"/>
      <c r="E4190" s="82"/>
      <c r="F4190" s="82"/>
      <c r="G4190" s="86"/>
      <c r="H4190" s="86"/>
      <c r="I4190" s="86"/>
      <c r="J4190" s="82"/>
      <c r="K4190" s="82"/>
      <c r="L4190" s="82"/>
      <c r="M4190" s="82"/>
      <c r="N4190" s="82"/>
      <c r="O4190" s="82"/>
      <c r="P4190" s="82"/>
      <c r="Q4190" s="82"/>
      <c r="R4190" s="82"/>
      <c r="S4190" s="82"/>
      <c r="T4190" s="82"/>
      <c r="U4190" s="82"/>
      <c r="V4190" s="82"/>
      <c r="W4190" s="82"/>
      <c r="X4190" s="82"/>
      <c r="Y4190" s="82"/>
      <c r="Z4190" s="82"/>
      <c r="AA4190" s="82"/>
      <c r="AB4190" s="82"/>
      <c r="AC4190" s="82"/>
      <c r="AD4190" s="82"/>
      <c r="AE4190" s="82"/>
      <c r="AF4190" s="82"/>
      <c r="AG4190" s="82"/>
      <c r="AH4190" s="82"/>
      <c r="AI4190" s="82"/>
      <c r="AJ4190" s="82"/>
      <c r="AK4190" s="82"/>
      <c r="AL4190" s="82"/>
      <c r="AM4190" s="82"/>
      <c r="AN4190" s="82">
        <f>IFERROR(__xludf.DUMMYFUNCTION("""COMPUTED_VALUE"""),0.0)</f>
        <v>0</v>
      </c>
      <c r="AO4190" s="82">
        <f>IFERROR(__xludf.DUMMYFUNCTION("""COMPUTED_VALUE"""),0.0)</f>
        <v>0</v>
      </c>
      <c r="AP4190" s="82">
        <f>IFERROR(__xludf.DUMMYFUNCTION("""COMPUTED_VALUE"""),0.0)</f>
        <v>0</v>
      </c>
      <c r="AQ4190" s="82">
        <f>IFERROR(__xludf.DUMMYFUNCTION("""COMPUTED_VALUE"""),0.0)</f>
        <v>0</v>
      </c>
      <c r="AR4190" s="82">
        <f>IFERROR(__xludf.DUMMYFUNCTION("""COMPUTED_VALUE"""),0.0)</f>
        <v>0</v>
      </c>
      <c r="AS4190" s="82"/>
      <c r="AT4190" s="82">
        <f>IFERROR(__xludf.DUMMYFUNCTION("""COMPUTED_VALUE"""),0.0)</f>
        <v>0</v>
      </c>
      <c r="AU4190" s="82"/>
      <c r="AV4190" s="82"/>
      <c r="AW4190" s="82" t="str">
        <f t="shared" si="1"/>
        <v/>
      </c>
      <c r="AX4190" s="83" t="str">
        <f t="array" ref="AX4190">IFERROR(DGET('SBV Import'!A:G,"SBV",{"RSC ID","Tier";B4190,A4190}))</f>
        <v/>
      </c>
      <c r="AY4190" s="82" t="str">
        <f t="shared" si="2"/>
        <v/>
      </c>
      <c r="AZ4190" s="82"/>
      <c r="BA4190" s="84" t="s">
        <v>152</v>
      </c>
      <c r="BB4190" s="84" t="str">
        <f>IFERROR(__xludf.DUMMYFUNCTION("iferror(if(A4190="""",,E4190&gt;=FILTER(Constants!$F$2:$F$10,Constants!$A$2:$A$10=A4190)))"),"")</f>
        <v/>
      </c>
    </row>
    <row r="4191">
      <c r="A4191" s="89"/>
      <c r="B4191" s="87"/>
      <c r="C4191" s="73"/>
      <c r="D4191" s="73"/>
      <c r="E4191" s="82"/>
      <c r="F4191" s="82"/>
      <c r="G4191" s="86"/>
      <c r="H4191" s="86"/>
      <c r="I4191" s="86"/>
      <c r="J4191" s="82"/>
      <c r="K4191" s="82"/>
      <c r="L4191" s="82"/>
      <c r="M4191" s="82"/>
      <c r="N4191" s="82"/>
      <c r="O4191" s="82"/>
      <c r="P4191" s="82"/>
      <c r="Q4191" s="82"/>
      <c r="R4191" s="82"/>
      <c r="S4191" s="82"/>
      <c r="T4191" s="82"/>
      <c r="U4191" s="82"/>
      <c r="V4191" s="82"/>
      <c r="W4191" s="82"/>
      <c r="X4191" s="82"/>
      <c r="Y4191" s="82"/>
      <c r="Z4191" s="82"/>
      <c r="AA4191" s="82"/>
      <c r="AB4191" s="82"/>
      <c r="AC4191" s="82"/>
      <c r="AD4191" s="82"/>
      <c r="AE4191" s="82"/>
      <c r="AF4191" s="82"/>
      <c r="AG4191" s="82"/>
      <c r="AH4191" s="82"/>
      <c r="AI4191" s="82"/>
      <c r="AJ4191" s="82"/>
      <c r="AK4191" s="82"/>
      <c r="AL4191" s="82"/>
      <c r="AM4191" s="82"/>
      <c r="AN4191" s="82">
        <f>IFERROR(__xludf.DUMMYFUNCTION("""COMPUTED_VALUE"""),0.0)</f>
        <v>0</v>
      </c>
      <c r="AO4191" s="82">
        <f>IFERROR(__xludf.DUMMYFUNCTION("""COMPUTED_VALUE"""),0.0)</f>
        <v>0</v>
      </c>
      <c r="AP4191" s="82">
        <f>IFERROR(__xludf.DUMMYFUNCTION("""COMPUTED_VALUE"""),0.0)</f>
        <v>0</v>
      </c>
      <c r="AQ4191" s="82">
        <f>IFERROR(__xludf.DUMMYFUNCTION("""COMPUTED_VALUE"""),0.0)</f>
        <v>0</v>
      </c>
      <c r="AR4191" s="82">
        <f>IFERROR(__xludf.DUMMYFUNCTION("""COMPUTED_VALUE"""),0.0)</f>
        <v>0</v>
      </c>
      <c r="AS4191" s="82"/>
      <c r="AT4191" s="82">
        <f>IFERROR(__xludf.DUMMYFUNCTION("""COMPUTED_VALUE"""),0.0)</f>
        <v>0</v>
      </c>
      <c r="AU4191" s="82"/>
      <c r="AV4191" s="82"/>
      <c r="AW4191" s="82" t="str">
        <f t="shared" si="1"/>
        <v/>
      </c>
      <c r="AX4191" s="83" t="str">
        <f t="array" ref="AX4191">IFERROR(DGET('SBV Import'!A:G,"SBV",{"RSC ID","Tier";B4191,A4191}))</f>
        <v/>
      </c>
      <c r="AY4191" s="82" t="str">
        <f t="shared" si="2"/>
        <v/>
      </c>
      <c r="AZ4191" s="82"/>
      <c r="BA4191" s="84" t="s">
        <v>152</v>
      </c>
      <c r="BB4191" s="84" t="str">
        <f>IFERROR(__xludf.DUMMYFUNCTION("iferror(if(A4191="""",,E4191&gt;=FILTER(Constants!$F$2:$F$10,Constants!$A$2:$A$10=A4191)))"),"")</f>
        <v/>
      </c>
    </row>
    <row r="4192">
      <c r="A4192" s="89"/>
      <c r="B4192" s="87"/>
      <c r="C4192" s="73"/>
      <c r="D4192" s="73"/>
      <c r="E4192" s="82"/>
      <c r="F4192" s="82"/>
      <c r="G4192" s="86"/>
      <c r="H4192" s="86"/>
      <c r="I4192" s="86"/>
      <c r="J4192" s="82"/>
      <c r="K4192" s="82"/>
      <c r="L4192" s="82"/>
      <c r="M4192" s="82"/>
      <c r="N4192" s="82"/>
      <c r="O4192" s="82"/>
      <c r="P4192" s="82"/>
      <c r="Q4192" s="82"/>
      <c r="R4192" s="82"/>
      <c r="S4192" s="82"/>
      <c r="T4192" s="82"/>
      <c r="U4192" s="82"/>
      <c r="V4192" s="82"/>
      <c r="W4192" s="82"/>
      <c r="X4192" s="82"/>
      <c r="Y4192" s="82"/>
      <c r="Z4192" s="82"/>
      <c r="AA4192" s="82"/>
      <c r="AB4192" s="82"/>
      <c r="AC4192" s="82"/>
      <c r="AD4192" s="82"/>
      <c r="AE4192" s="82"/>
      <c r="AF4192" s="82"/>
      <c r="AG4192" s="82"/>
      <c r="AH4192" s="82"/>
      <c r="AI4192" s="82"/>
      <c r="AJ4192" s="82"/>
      <c r="AK4192" s="82"/>
      <c r="AL4192" s="82"/>
      <c r="AM4192" s="82"/>
      <c r="AN4192" s="82">
        <f>IFERROR(__xludf.DUMMYFUNCTION("""COMPUTED_VALUE"""),0.0)</f>
        <v>0</v>
      </c>
      <c r="AO4192" s="82">
        <f>IFERROR(__xludf.DUMMYFUNCTION("""COMPUTED_VALUE"""),0.0)</f>
        <v>0</v>
      </c>
      <c r="AP4192" s="82">
        <f>IFERROR(__xludf.DUMMYFUNCTION("""COMPUTED_VALUE"""),0.0)</f>
        <v>0</v>
      </c>
      <c r="AQ4192" s="82">
        <f>IFERROR(__xludf.DUMMYFUNCTION("""COMPUTED_VALUE"""),0.0)</f>
        <v>0</v>
      </c>
      <c r="AR4192" s="82">
        <f>IFERROR(__xludf.DUMMYFUNCTION("""COMPUTED_VALUE"""),0.0)</f>
        <v>0</v>
      </c>
      <c r="AS4192" s="82"/>
      <c r="AT4192" s="82">
        <f>IFERROR(__xludf.DUMMYFUNCTION("""COMPUTED_VALUE"""),0.0)</f>
        <v>0</v>
      </c>
      <c r="AU4192" s="82"/>
      <c r="AV4192" s="82"/>
      <c r="AW4192" s="82" t="str">
        <f t="shared" si="1"/>
        <v/>
      </c>
      <c r="AX4192" s="83" t="str">
        <f t="array" ref="AX4192">IFERROR(DGET('SBV Import'!A:G,"SBV",{"RSC ID","Tier";B4192,A4192}))</f>
        <v/>
      </c>
      <c r="AY4192" s="82" t="str">
        <f t="shared" si="2"/>
        <v/>
      </c>
      <c r="AZ4192" s="82"/>
      <c r="BA4192" s="84" t="s">
        <v>152</v>
      </c>
      <c r="BB4192" s="84" t="str">
        <f>IFERROR(__xludf.DUMMYFUNCTION("iferror(if(A4192="""",,E4192&gt;=FILTER(Constants!$F$2:$F$10,Constants!$A$2:$A$10=A4192)))"),"")</f>
        <v/>
      </c>
    </row>
    <row r="4193">
      <c r="A4193" s="89"/>
      <c r="B4193" s="87"/>
      <c r="C4193" s="73"/>
      <c r="D4193" s="73"/>
      <c r="E4193" s="82"/>
      <c r="F4193" s="82"/>
      <c r="G4193" s="86"/>
      <c r="H4193" s="86"/>
      <c r="I4193" s="86"/>
      <c r="J4193" s="82"/>
      <c r="K4193" s="82"/>
      <c r="L4193" s="82"/>
      <c r="M4193" s="82"/>
      <c r="N4193" s="82"/>
      <c r="O4193" s="82"/>
      <c r="P4193" s="82"/>
      <c r="Q4193" s="82"/>
      <c r="R4193" s="82"/>
      <c r="S4193" s="82"/>
      <c r="T4193" s="82"/>
      <c r="U4193" s="82"/>
      <c r="V4193" s="82"/>
      <c r="W4193" s="82"/>
      <c r="X4193" s="82"/>
      <c r="Y4193" s="82"/>
      <c r="Z4193" s="82"/>
      <c r="AA4193" s="82"/>
      <c r="AB4193" s="82"/>
      <c r="AC4193" s="82"/>
      <c r="AD4193" s="82"/>
      <c r="AE4193" s="82"/>
      <c r="AF4193" s="82"/>
      <c r="AG4193" s="82"/>
      <c r="AH4193" s="82"/>
      <c r="AI4193" s="82"/>
      <c r="AJ4193" s="82"/>
      <c r="AK4193" s="82"/>
      <c r="AL4193" s="82"/>
      <c r="AM4193" s="82"/>
      <c r="AN4193" s="82">
        <f>IFERROR(__xludf.DUMMYFUNCTION("""COMPUTED_VALUE"""),0.0)</f>
        <v>0</v>
      </c>
      <c r="AO4193" s="82">
        <f>IFERROR(__xludf.DUMMYFUNCTION("""COMPUTED_VALUE"""),0.0)</f>
        <v>0</v>
      </c>
      <c r="AP4193" s="82">
        <f>IFERROR(__xludf.DUMMYFUNCTION("""COMPUTED_VALUE"""),0.0)</f>
        <v>0</v>
      </c>
      <c r="AQ4193" s="82">
        <f>IFERROR(__xludf.DUMMYFUNCTION("""COMPUTED_VALUE"""),0.0)</f>
        <v>0</v>
      </c>
      <c r="AR4193" s="82">
        <f>IFERROR(__xludf.DUMMYFUNCTION("""COMPUTED_VALUE"""),0.0)</f>
        <v>0</v>
      </c>
      <c r="AS4193" s="82"/>
      <c r="AT4193" s="82">
        <f>IFERROR(__xludf.DUMMYFUNCTION("""COMPUTED_VALUE"""),0.0)</f>
        <v>0</v>
      </c>
      <c r="AU4193" s="82"/>
      <c r="AV4193" s="82"/>
      <c r="AW4193" s="82" t="str">
        <f t="shared" si="1"/>
        <v/>
      </c>
      <c r="AX4193" s="83" t="str">
        <f t="array" ref="AX4193">IFERROR(DGET('SBV Import'!A:G,"SBV",{"RSC ID","Tier";B4193,A4193}))</f>
        <v/>
      </c>
      <c r="AY4193" s="82" t="str">
        <f t="shared" si="2"/>
        <v/>
      </c>
      <c r="AZ4193" s="82"/>
      <c r="BA4193" s="84" t="s">
        <v>152</v>
      </c>
      <c r="BB4193" s="84" t="str">
        <f>IFERROR(__xludf.DUMMYFUNCTION("iferror(if(A4193="""",,E4193&gt;=FILTER(Constants!$F$2:$F$10,Constants!$A$2:$A$10=A4193)))"),"")</f>
        <v/>
      </c>
    </row>
    <row r="4194">
      <c r="A4194" s="89"/>
      <c r="B4194" s="87"/>
      <c r="C4194" s="73"/>
      <c r="D4194" s="73"/>
      <c r="E4194" s="82"/>
      <c r="F4194" s="82"/>
      <c r="G4194" s="86"/>
      <c r="H4194" s="86"/>
      <c r="I4194" s="86"/>
      <c r="J4194" s="82"/>
      <c r="K4194" s="82"/>
      <c r="L4194" s="82"/>
      <c r="M4194" s="82"/>
      <c r="N4194" s="82"/>
      <c r="O4194" s="82"/>
      <c r="P4194" s="82"/>
      <c r="Q4194" s="82"/>
      <c r="R4194" s="82"/>
      <c r="S4194" s="82"/>
      <c r="T4194" s="82"/>
      <c r="U4194" s="82"/>
      <c r="V4194" s="82"/>
      <c r="W4194" s="82"/>
      <c r="X4194" s="82"/>
      <c r="Y4194" s="82"/>
      <c r="Z4194" s="82"/>
      <c r="AA4194" s="82"/>
      <c r="AB4194" s="82"/>
      <c r="AC4194" s="82"/>
      <c r="AD4194" s="82"/>
      <c r="AE4194" s="82"/>
      <c r="AF4194" s="82"/>
      <c r="AG4194" s="82"/>
      <c r="AH4194" s="82"/>
      <c r="AI4194" s="82"/>
      <c r="AJ4194" s="82"/>
      <c r="AK4194" s="82"/>
      <c r="AL4194" s="82"/>
      <c r="AM4194" s="82"/>
      <c r="AN4194" s="82">
        <f>IFERROR(__xludf.DUMMYFUNCTION("""COMPUTED_VALUE"""),0.0)</f>
        <v>0</v>
      </c>
      <c r="AO4194" s="82">
        <f>IFERROR(__xludf.DUMMYFUNCTION("""COMPUTED_VALUE"""),0.0)</f>
        <v>0</v>
      </c>
      <c r="AP4194" s="82">
        <f>IFERROR(__xludf.DUMMYFUNCTION("""COMPUTED_VALUE"""),0.0)</f>
        <v>0</v>
      </c>
      <c r="AQ4194" s="82">
        <f>IFERROR(__xludf.DUMMYFUNCTION("""COMPUTED_VALUE"""),0.0)</f>
        <v>0</v>
      </c>
      <c r="AR4194" s="82">
        <f>IFERROR(__xludf.DUMMYFUNCTION("""COMPUTED_VALUE"""),0.0)</f>
        <v>0</v>
      </c>
      <c r="AS4194" s="82"/>
      <c r="AT4194" s="82">
        <f>IFERROR(__xludf.DUMMYFUNCTION("""COMPUTED_VALUE"""),0.0)</f>
        <v>0</v>
      </c>
      <c r="AU4194" s="82"/>
      <c r="AV4194" s="82"/>
      <c r="AW4194" s="82" t="str">
        <f t="shared" si="1"/>
        <v/>
      </c>
      <c r="AX4194" s="83" t="str">
        <f t="array" ref="AX4194">IFERROR(DGET('SBV Import'!A:G,"SBV",{"RSC ID","Tier";B4194,A4194}))</f>
        <v/>
      </c>
      <c r="AY4194" s="82" t="str">
        <f t="shared" si="2"/>
        <v/>
      </c>
      <c r="AZ4194" s="82"/>
      <c r="BA4194" s="84" t="s">
        <v>152</v>
      </c>
      <c r="BB4194" s="84" t="str">
        <f>IFERROR(__xludf.DUMMYFUNCTION("iferror(if(A4194="""",,E4194&gt;=FILTER(Constants!$F$2:$F$10,Constants!$A$2:$A$10=A4194)))"),"")</f>
        <v/>
      </c>
    </row>
    <row r="4195">
      <c r="A4195" s="89"/>
      <c r="B4195" s="87"/>
      <c r="C4195" s="73"/>
      <c r="D4195" s="73"/>
      <c r="E4195" s="82"/>
      <c r="F4195" s="82"/>
      <c r="G4195" s="86"/>
      <c r="H4195" s="86"/>
      <c r="I4195" s="86"/>
      <c r="J4195" s="82"/>
      <c r="K4195" s="82"/>
      <c r="L4195" s="82"/>
      <c r="M4195" s="82"/>
      <c r="N4195" s="82"/>
      <c r="O4195" s="82"/>
      <c r="P4195" s="82"/>
      <c r="Q4195" s="82"/>
      <c r="R4195" s="82"/>
      <c r="S4195" s="82"/>
      <c r="T4195" s="82"/>
      <c r="U4195" s="82"/>
      <c r="V4195" s="82"/>
      <c r="W4195" s="82"/>
      <c r="X4195" s="82"/>
      <c r="Y4195" s="82"/>
      <c r="Z4195" s="82"/>
      <c r="AA4195" s="82"/>
      <c r="AB4195" s="82"/>
      <c r="AC4195" s="82"/>
      <c r="AD4195" s="82"/>
      <c r="AE4195" s="82"/>
      <c r="AF4195" s="82"/>
      <c r="AG4195" s="82"/>
      <c r="AH4195" s="82"/>
      <c r="AI4195" s="82"/>
      <c r="AJ4195" s="82"/>
      <c r="AK4195" s="82"/>
      <c r="AL4195" s="82"/>
      <c r="AM4195" s="82"/>
      <c r="AN4195" s="82">
        <f>IFERROR(__xludf.DUMMYFUNCTION("""COMPUTED_VALUE"""),0.0)</f>
        <v>0</v>
      </c>
      <c r="AO4195" s="82">
        <f>IFERROR(__xludf.DUMMYFUNCTION("""COMPUTED_VALUE"""),0.0)</f>
        <v>0</v>
      </c>
      <c r="AP4195" s="82">
        <f>IFERROR(__xludf.DUMMYFUNCTION("""COMPUTED_VALUE"""),0.0)</f>
        <v>0</v>
      </c>
      <c r="AQ4195" s="82">
        <f>IFERROR(__xludf.DUMMYFUNCTION("""COMPUTED_VALUE"""),0.0)</f>
        <v>0</v>
      </c>
      <c r="AR4195" s="82">
        <f>IFERROR(__xludf.DUMMYFUNCTION("""COMPUTED_VALUE"""),0.0)</f>
        <v>0</v>
      </c>
      <c r="AS4195" s="82"/>
      <c r="AT4195" s="82">
        <f>IFERROR(__xludf.DUMMYFUNCTION("""COMPUTED_VALUE"""),0.0)</f>
        <v>0</v>
      </c>
      <c r="AU4195" s="82"/>
      <c r="AV4195" s="82"/>
      <c r="AW4195" s="82" t="str">
        <f t="shared" si="1"/>
        <v/>
      </c>
      <c r="AX4195" s="83" t="str">
        <f t="array" ref="AX4195">IFERROR(DGET('SBV Import'!A:G,"SBV",{"RSC ID","Tier";B4195,A4195}))</f>
        <v/>
      </c>
      <c r="AY4195" s="82" t="str">
        <f t="shared" si="2"/>
        <v/>
      </c>
      <c r="AZ4195" s="82"/>
      <c r="BA4195" s="84" t="s">
        <v>152</v>
      </c>
      <c r="BB4195" s="84" t="str">
        <f>IFERROR(__xludf.DUMMYFUNCTION("iferror(if(A4195="""",,E4195&gt;=FILTER(Constants!$F$2:$F$10,Constants!$A$2:$A$10=A4195)))"),"")</f>
        <v/>
      </c>
    </row>
    <row r="4196">
      <c r="A4196" s="89"/>
      <c r="B4196" s="87"/>
      <c r="C4196" s="73"/>
      <c r="D4196" s="73"/>
      <c r="E4196" s="82"/>
      <c r="F4196" s="82"/>
      <c r="G4196" s="86"/>
      <c r="H4196" s="86"/>
      <c r="I4196" s="86"/>
      <c r="J4196" s="82"/>
      <c r="K4196" s="82"/>
      <c r="L4196" s="82"/>
      <c r="M4196" s="82"/>
      <c r="N4196" s="82"/>
      <c r="O4196" s="82"/>
      <c r="P4196" s="82"/>
      <c r="Q4196" s="82"/>
      <c r="R4196" s="82"/>
      <c r="S4196" s="82"/>
      <c r="T4196" s="82"/>
      <c r="U4196" s="82"/>
      <c r="V4196" s="82"/>
      <c r="W4196" s="82"/>
      <c r="X4196" s="82"/>
      <c r="Y4196" s="82"/>
      <c r="Z4196" s="82"/>
      <c r="AA4196" s="82"/>
      <c r="AB4196" s="82"/>
      <c r="AC4196" s="82"/>
      <c r="AD4196" s="82"/>
      <c r="AE4196" s="82"/>
      <c r="AF4196" s="82"/>
      <c r="AG4196" s="82"/>
      <c r="AH4196" s="82"/>
      <c r="AI4196" s="82"/>
      <c r="AJ4196" s="82"/>
      <c r="AK4196" s="82"/>
      <c r="AL4196" s="82"/>
      <c r="AM4196" s="82"/>
      <c r="AN4196" s="82">
        <f>IFERROR(__xludf.DUMMYFUNCTION("""COMPUTED_VALUE"""),0.0)</f>
        <v>0</v>
      </c>
      <c r="AO4196" s="82">
        <f>IFERROR(__xludf.DUMMYFUNCTION("""COMPUTED_VALUE"""),0.0)</f>
        <v>0</v>
      </c>
      <c r="AP4196" s="82">
        <f>IFERROR(__xludf.DUMMYFUNCTION("""COMPUTED_VALUE"""),0.0)</f>
        <v>0</v>
      </c>
      <c r="AQ4196" s="82">
        <f>IFERROR(__xludf.DUMMYFUNCTION("""COMPUTED_VALUE"""),0.0)</f>
        <v>0</v>
      </c>
      <c r="AR4196" s="82">
        <f>IFERROR(__xludf.DUMMYFUNCTION("""COMPUTED_VALUE"""),0.0)</f>
        <v>0</v>
      </c>
      <c r="AS4196" s="82"/>
      <c r="AT4196" s="82">
        <f>IFERROR(__xludf.DUMMYFUNCTION("""COMPUTED_VALUE"""),0.0)</f>
        <v>0</v>
      </c>
      <c r="AU4196" s="82"/>
      <c r="AV4196" s="82"/>
      <c r="AW4196" s="82" t="str">
        <f t="shared" si="1"/>
        <v/>
      </c>
      <c r="AX4196" s="83" t="str">
        <f t="array" ref="AX4196">IFERROR(DGET('SBV Import'!A:G,"SBV",{"RSC ID","Tier";B4196,A4196}))</f>
        <v/>
      </c>
      <c r="AY4196" s="82" t="str">
        <f t="shared" si="2"/>
        <v/>
      </c>
      <c r="AZ4196" s="82"/>
      <c r="BA4196" s="84" t="s">
        <v>152</v>
      </c>
      <c r="BB4196" s="84" t="str">
        <f>IFERROR(__xludf.DUMMYFUNCTION("iferror(if(A4196="""",,E4196&gt;=FILTER(Constants!$F$2:$F$10,Constants!$A$2:$A$10=A4196)))"),"")</f>
        <v/>
      </c>
    </row>
    <row r="4197">
      <c r="A4197" s="89"/>
      <c r="B4197" s="87"/>
      <c r="C4197" s="73"/>
      <c r="D4197" s="73"/>
      <c r="E4197" s="82"/>
      <c r="F4197" s="82"/>
      <c r="G4197" s="86"/>
      <c r="H4197" s="86"/>
      <c r="I4197" s="86"/>
      <c r="J4197" s="82"/>
      <c r="K4197" s="82"/>
      <c r="L4197" s="82"/>
      <c r="M4197" s="82"/>
      <c r="N4197" s="82"/>
      <c r="O4197" s="82"/>
      <c r="P4197" s="82"/>
      <c r="Q4197" s="82"/>
      <c r="R4197" s="82"/>
      <c r="S4197" s="82"/>
      <c r="T4197" s="82"/>
      <c r="U4197" s="82"/>
      <c r="V4197" s="82"/>
      <c r="W4197" s="82"/>
      <c r="X4197" s="82"/>
      <c r="Y4197" s="82"/>
      <c r="Z4197" s="82"/>
      <c r="AA4197" s="82"/>
      <c r="AB4197" s="82"/>
      <c r="AC4197" s="82"/>
      <c r="AD4197" s="82"/>
      <c r="AE4197" s="82"/>
      <c r="AF4197" s="82"/>
      <c r="AG4197" s="82"/>
      <c r="AH4197" s="82"/>
      <c r="AI4197" s="82"/>
      <c r="AJ4197" s="82"/>
      <c r="AK4197" s="82"/>
      <c r="AL4197" s="82"/>
      <c r="AM4197" s="82"/>
      <c r="AN4197" s="82">
        <f>IFERROR(__xludf.DUMMYFUNCTION("""COMPUTED_VALUE"""),0.0)</f>
        <v>0</v>
      </c>
      <c r="AO4197" s="82">
        <f>IFERROR(__xludf.DUMMYFUNCTION("""COMPUTED_VALUE"""),0.0)</f>
        <v>0</v>
      </c>
      <c r="AP4197" s="82">
        <f>IFERROR(__xludf.DUMMYFUNCTION("""COMPUTED_VALUE"""),0.0)</f>
        <v>0</v>
      </c>
      <c r="AQ4197" s="82">
        <f>IFERROR(__xludf.DUMMYFUNCTION("""COMPUTED_VALUE"""),0.0)</f>
        <v>0</v>
      </c>
      <c r="AR4197" s="82">
        <f>IFERROR(__xludf.DUMMYFUNCTION("""COMPUTED_VALUE"""),0.0)</f>
        <v>0</v>
      </c>
      <c r="AS4197" s="82"/>
      <c r="AT4197" s="82">
        <f>IFERROR(__xludf.DUMMYFUNCTION("""COMPUTED_VALUE"""),0.0)</f>
        <v>0</v>
      </c>
      <c r="AU4197" s="82"/>
      <c r="AV4197" s="82"/>
      <c r="AW4197" s="82" t="str">
        <f t="shared" si="1"/>
        <v/>
      </c>
      <c r="AX4197" s="83" t="str">
        <f t="array" ref="AX4197">IFERROR(DGET('SBV Import'!A:G,"SBV",{"RSC ID","Tier";B4197,A4197}))</f>
        <v/>
      </c>
      <c r="AY4197" s="82" t="str">
        <f t="shared" si="2"/>
        <v/>
      </c>
      <c r="AZ4197" s="82"/>
      <c r="BA4197" s="84" t="s">
        <v>152</v>
      </c>
      <c r="BB4197" s="84" t="str">
        <f>IFERROR(__xludf.DUMMYFUNCTION("iferror(if(A4197="""",,E4197&gt;=FILTER(Constants!$F$2:$F$10,Constants!$A$2:$A$10=A4197)))"),"")</f>
        <v/>
      </c>
    </row>
    <row r="4198">
      <c r="A4198" s="89"/>
      <c r="B4198" s="87"/>
      <c r="C4198" s="73"/>
      <c r="D4198" s="73"/>
      <c r="E4198" s="82"/>
      <c r="F4198" s="82"/>
      <c r="G4198" s="86"/>
      <c r="H4198" s="86"/>
      <c r="I4198" s="86"/>
      <c r="J4198" s="82"/>
      <c r="K4198" s="82"/>
      <c r="L4198" s="82"/>
      <c r="M4198" s="82"/>
      <c r="N4198" s="82"/>
      <c r="O4198" s="82"/>
      <c r="P4198" s="82"/>
      <c r="Q4198" s="82"/>
      <c r="R4198" s="82"/>
      <c r="S4198" s="82"/>
      <c r="T4198" s="82"/>
      <c r="U4198" s="82"/>
      <c r="V4198" s="82"/>
      <c r="W4198" s="82"/>
      <c r="X4198" s="82"/>
      <c r="Y4198" s="82"/>
      <c r="Z4198" s="82"/>
      <c r="AA4198" s="82"/>
      <c r="AB4198" s="82"/>
      <c r="AC4198" s="82"/>
      <c r="AD4198" s="82"/>
      <c r="AE4198" s="82"/>
      <c r="AF4198" s="82"/>
      <c r="AG4198" s="82"/>
      <c r="AH4198" s="82"/>
      <c r="AI4198" s="82"/>
      <c r="AJ4198" s="82"/>
      <c r="AK4198" s="82"/>
      <c r="AL4198" s="82"/>
      <c r="AM4198" s="82"/>
      <c r="AN4198" s="82">
        <f>IFERROR(__xludf.DUMMYFUNCTION("""COMPUTED_VALUE"""),0.0)</f>
        <v>0</v>
      </c>
      <c r="AO4198" s="82">
        <f>IFERROR(__xludf.DUMMYFUNCTION("""COMPUTED_VALUE"""),0.0)</f>
        <v>0</v>
      </c>
      <c r="AP4198" s="82">
        <f>IFERROR(__xludf.DUMMYFUNCTION("""COMPUTED_VALUE"""),0.0)</f>
        <v>0</v>
      </c>
      <c r="AQ4198" s="82">
        <f>IFERROR(__xludf.DUMMYFUNCTION("""COMPUTED_VALUE"""),0.0)</f>
        <v>0</v>
      </c>
      <c r="AR4198" s="82">
        <f>IFERROR(__xludf.DUMMYFUNCTION("""COMPUTED_VALUE"""),0.0)</f>
        <v>0</v>
      </c>
      <c r="AS4198" s="82"/>
      <c r="AT4198" s="82">
        <f>IFERROR(__xludf.DUMMYFUNCTION("""COMPUTED_VALUE"""),0.0)</f>
        <v>0</v>
      </c>
      <c r="AU4198" s="82"/>
      <c r="AV4198" s="82"/>
      <c r="AW4198" s="82" t="str">
        <f t="shared" si="1"/>
        <v/>
      </c>
      <c r="AX4198" s="83" t="str">
        <f t="array" ref="AX4198">IFERROR(DGET('SBV Import'!A:G,"SBV",{"RSC ID","Tier";B4198,A4198}))</f>
        <v/>
      </c>
      <c r="AY4198" s="82" t="str">
        <f t="shared" si="2"/>
        <v/>
      </c>
      <c r="AZ4198" s="82"/>
      <c r="BA4198" s="84" t="s">
        <v>152</v>
      </c>
      <c r="BB4198" s="84" t="str">
        <f>IFERROR(__xludf.DUMMYFUNCTION("iferror(if(A4198="""",,E4198&gt;=FILTER(Constants!$F$2:$F$10,Constants!$A$2:$A$10=A4198)))"),"")</f>
        <v/>
      </c>
    </row>
    <row r="4199">
      <c r="A4199" s="89"/>
      <c r="B4199" s="87"/>
      <c r="C4199" s="73"/>
      <c r="D4199" s="73"/>
      <c r="E4199" s="82"/>
      <c r="F4199" s="82"/>
      <c r="G4199" s="86"/>
      <c r="H4199" s="86"/>
      <c r="I4199" s="86"/>
      <c r="J4199" s="82"/>
      <c r="K4199" s="82"/>
      <c r="L4199" s="82"/>
      <c r="M4199" s="82"/>
      <c r="N4199" s="82"/>
      <c r="O4199" s="82"/>
      <c r="P4199" s="82"/>
      <c r="Q4199" s="82"/>
      <c r="R4199" s="82"/>
      <c r="S4199" s="82"/>
      <c r="T4199" s="82"/>
      <c r="U4199" s="82"/>
      <c r="V4199" s="82"/>
      <c r="W4199" s="82"/>
      <c r="X4199" s="82"/>
      <c r="Y4199" s="82"/>
      <c r="Z4199" s="82"/>
      <c r="AA4199" s="82"/>
      <c r="AB4199" s="82"/>
      <c r="AC4199" s="82"/>
      <c r="AD4199" s="82"/>
      <c r="AE4199" s="82"/>
      <c r="AF4199" s="82"/>
      <c r="AG4199" s="82"/>
      <c r="AH4199" s="82"/>
      <c r="AI4199" s="82"/>
      <c r="AJ4199" s="82"/>
      <c r="AK4199" s="82"/>
      <c r="AL4199" s="82"/>
      <c r="AM4199" s="82"/>
      <c r="AN4199" s="82">
        <f>IFERROR(__xludf.DUMMYFUNCTION("""COMPUTED_VALUE"""),0.0)</f>
        <v>0</v>
      </c>
      <c r="AO4199" s="82">
        <f>IFERROR(__xludf.DUMMYFUNCTION("""COMPUTED_VALUE"""),0.0)</f>
        <v>0</v>
      </c>
      <c r="AP4199" s="82">
        <f>IFERROR(__xludf.DUMMYFUNCTION("""COMPUTED_VALUE"""),0.0)</f>
        <v>0</v>
      </c>
      <c r="AQ4199" s="82">
        <f>IFERROR(__xludf.DUMMYFUNCTION("""COMPUTED_VALUE"""),0.0)</f>
        <v>0</v>
      </c>
      <c r="AR4199" s="82">
        <f>IFERROR(__xludf.DUMMYFUNCTION("""COMPUTED_VALUE"""),0.0)</f>
        <v>0</v>
      </c>
      <c r="AS4199" s="82"/>
      <c r="AT4199" s="82">
        <f>IFERROR(__xludf.DUMMYFUNCTION("""COMPUTED_VALUE"""),0.0)</f>
        <v>0</v>
      </c>
      <c r="AU4199" s="82"/>
      <c r="AV4199" s="82"/>
      <c r="AW4199" s="82" t="str">
        <f t="shared" si="1"/>
        <v/>
      </c>
      <c r="AX4199" s="83" t="str">
        <f t="array" ref="AX4199">IFERROR(DGET('SBV Import'!A:G,"SBV",{"RSC ID","Tier";B4199,A4199}))</f>
        <v/>
      </c>
      <c r="AY4199" s="82" t="str">
        <f t="shared" si="2"/>
        <v/>
      </c>
      <c r="AZ4199" s="82"/>
      <c r="BA4199" s="84" t="s">
        <v>152</v>
      </c>
      <c r="BB4199" s="84" t="str">
        <f>IFERROR(__xludf.DUMMYFUNCTION("iferror(if(A4199="""",,E4199&gt;=FILTER(Constants!$F$2:$F$10,Constants!$A$2:$A$10=A4199)))"),"")</f>
        <v/>
      </c>
    </row>
    <row r="4200">
      <c r="A4200" s="89"/>
      <c r="B4200" s="87"/>
      <c r="C4200" s="73"/>
      <c r="D4200" s="73"/>
      <c r="E4200" s="82"/>
      <c r="F4200" s="82"/>
      <c r="G4200" s="86"/>
      <c r="H4200" s="86"/>
      <c r="I4200" s="86"/>
      <c r="J4200" s="82"/>
      <c r="K4200" s="82"/>
      <c r="L4200" s="82"/>
      <c r="M4200" s="82"/>
      <c r="N4200" s="82"/>
      <c r="O4200" s="82"/>
      <c r="P4200" s="82"/>
      <c r="Q4200" s="82"/>
      <c r="R4200" s="82"/>
      <c r="S4200" s="82"/>
      <c r="T4200" s="82"/>
      <c r="U4200" s="82"/>
      <c r="V4200" s="82"/>
      <c r="W4200" s="82"/>
      <c r="X4200" s="82"/>
      <c r="Y4200" s="82"/>
      <c r="Z4200" s="82"/>
      <c r="AA4200" s="82"/>
      <c r="AB4200" s="82"/>
      <c r="AC4200" s="82"/>
      <c r="AD4200" s="82"/>
      <c r="AE4200" s="82"/>
      <c r="AF4200" s="82"/>
      <c r="AG4200" s="82"/>
      <c r="AH4200" s="82"/>
      <c r="AI4200" s="82"/>
      <c r="AJ4200" s="82"/>
      <c r="AK4200" s="82"/>
      <c r="AL4200" s="82"/>
      <c r="AM4200" s="82"/>
      <c r="AN4200" s="82">
        <f>IFERROR(__xludf.DUMMYFUNCTION("""COMPUTED_VALUE"""),0.0)</f>
        <v>0</v>
      </c>
      <c r="AO4200" s="82">
        <f>IFERROR(__xludf.DUMMYFUNCTION("""COMPUTED_VALUE"""),0.0)</f>
        <v>0</v>
      </c>
      <c r="AP4200" s="82">
        <f>IFERROR(__xludf.DUMMYFUNCTION("""COMPUTED_VALUE"""),0.0)</f>
        <v>0</v>
      </c>
      <c r="AQ4200" s="82">
        <f>IFERROR(__xludf.DUMMYFUNCTION("""COMPUTED_VALUE"""),0.0)</f>
        <v>0</v>
      </c>
      <c r="AR4200" s="82">
        <f>IFERROR(__xludf.DUMMYFUNCTION("""COMPUTED_VALUE"""),0.0)</f>
        <v>0</v>
      </c>
      <c r="AS4200" s="82"/>
      <c r="AT4200" s="82">
        <f>IFERROR(__xludf.DUMMYFUNCTION("""COMPUTED_VALUE"""),0.0)</f>
        <v>0</v>
      </c>
      <c r="AU4200" s="82"/>
      <c r="AV4200" s="82"/>
      <c r="AW4200" s="82" t="str">
        <f t="shared" si="1"/>
        <v/>
      </c>
      <c r="AX4200" s="83" t="str">
        <f t="array" ref="AX4200">IFERROR(DGET('SBV Import'!A:G,"SBV",{"RSC ID","Tier";B4200,A4200}))</f>
        <v/>
      </c>
      <c r="AY4200" s="82" t="str">
        <f t="shared" si="2"/>
        <v/>
      </c>
      <c r="AZ4200" s="82"/>
      <c r="BA4200" s="84" t="s">
        <v>152</v>
      </c>
      <c r="BB4200" s="84" t="str">
        <f>IFERROR(__xludf.DUMMYFUNCTION("iferror(if(A4200="""",,E4200&gt;=FILTER(Constants!$F$2:$F$10,Constants!$A$2:$A$10=A4200)))"),"")</f>
        <v/>
      </c>
    </row>
    <row r="4201">
      <c r="A4201" s="89"/>
      <c r="B4201" s="87"/>
      <c r="C4201" s="73"/>
      <c r="D4201" s="73"/>
      <c r="E4201" s="82"/>
      <c r="F4201" s="82"/>
      <c r="G4201" s="86"/>
      <c r="H4201" s="86"/>
      <c r="I4201" s="86"/>
      <c r="J4201" s="82"/>
      <c r="K4201" s="82"/>
      <c r="L4201" s="82"/>
      <c r="M4201" s="82"/>
      <c r="N4201" s="82"/>
      <c r="O4201" s="82"/>
      <c r="P4201" s="82"/>
      <c r="Q4201" s="82"/>
      <c r="R4201" s="82"/>
      <c r="S4201" s="82"/>
      <c r="T4201" s="82"/>
      <c r="U4201" s="82"/>
      <c r="V4201" s="82"/>
      <c r="W4201" s="82"/>
      <c r="X4201" s="82"/>
      <c r="Y4201" s="82"/>
      <c r="Z4201" s="82"/>
      <c r="AA4201" s="82"/>
      <c r="AB4201" s="82"/>
      <c r="AC4201" s="82"/>
      <c r="AD4201" s="82"/>
      <c r="AE4201" s="82"/>
      <c r="AF4201" s="82"/>
      <c r="AG4201" s="82"/>
      <c r="AH4201" s="82"/>
      <c r="AI4201" s="82"/>
      <c r="AJ4201" s="82"/>
      <c r="AK4201" s="82"/>
      <c r="AL4201" s="82"/>
      <c r="AM4201" s="82"/>
      <c r="AN4201" s="82">
        <f>IFERROR(__xludf.DUMMYFUNCTION("""COMPUTED_VALUE"""),0.0)</f>
        <v>0</v>
      </c>
      <c r="AO4201" s="82">
        <f>IFERROR(__xludf.DUMMYFUNCTION("""COMPUTED_VALUE"""),0.0)</f>
        <v>0</v>
      </c>
      <c r="AP4201" s="82">
        <f>IFERROR(__xludf.DUMMYFUNCTION("""COMPUTED_VALUE"""),0.0)</f>
        <v>0</v>
      </c>
      <c r="AQ4201" s="82">
        <f>IFERROR(__xludf.DUMMYFUNCTION("""COMPUTED_VALUE"""),0.0)</f>
        <v>0</v>
      </c>
      <c r="AR4201" s="82">
        <f>IFERROR(__xludf.DUMMYFUNCTION("""COMPUTED_VALUE"""),0.0)</f>
        <v>0</v>
      </c>
      <c r="AS4201" s="82"/>
      <c r="AT4201" s="82">
        <f>IFERROR(__xludf.DUMMYFUNCTION("""COMPUTED_VALUE"""),0.0)</f>
        <v>0</v>
      </c>
      <c r="AU4201" s="82"/>
      <c r="AV4201" s="82"/>
      <c r="AW4201" s="82" t="str">
        <f t="shared" si="1"/>
        <v/>
      </c>
      <c r="AX4201" s="83" t="str">
        <f t="array" ref="AX4201">IFERROR(DGET('SBV Import'!A:G,"SBV",{"RSC ID","Tier";B4201,A4201}))</f>
        <v/>
      </c>
      <c r="AY4201" s="82" t="str">
        <f t="shared" si="2"/>
        <v/>
      </c>
      <c r="AZ4201" s="82"/>
      <c r="BA4201" s="84" t="s">
        <v>152</v>
      </c>
      <c r="BB4201" s="84" t="str">
        <f>IFERROR(__xludf.DUMMYFUNCTION("iferror(if(A4201="""",,E4201&gt;=FILTER(Constants!$F$2:$F$10,Constants!$A$2:$A$10=A4201)))"),"")</f>
        <v/>
      </c>
    </row>
    <row r="4202">
      <c r="A4202" s="89"/>
      <c r="B4202" s="87"/>
      <c r="C4202" s="73"/>
      <c r="D4202" s="73"/>
      <c r="E4202" s="82"/>
      <c r="F4202" s="82"/>
      <c r="G4202" s="86"/>
      <c r="H4202" s="86"/>
      <c r="I4202" s="86"/>
      <c r="J4202" s="82"/>
      <c r="K4202" s="82"/>
      <c r="L4202" s="82"/>
      <c r="M4202" s="82"/>
      <c r="N4202" s="82"/>
      <c r="O4202" s="82"/>
      <c r="P4202" s="82"/>
      <c r="Q4202" s="82"/>
      <c r="R4202" s="82"/>
      <c r="S4202" s="82"/>
      <c r="T4202" s="82"/>
      <c r="U4202" s="82"/>
      <c r="V4202" s="82"/>
      <c r="W4202" s="82"/>
      <c r="X4202" s="82"/>
      <c r="Y4202" s="82"/>
      <c r="Z4202" s="82"/>
      <c r="AA4202" s="82"/>
      <c r="AB4202" s="82"/>
      <c r="AC4202" s="82"/>
      <c r="AD4202" s="82"/>
      <c r="AE4202" s="82"/>
      <c r="AF4202" s="82"/>
      <c r="AG4202" s="82"/>
      <c r="AH4202" s="82"/>
      <c r="AI4202" s="82"/>
      <c r="AJ4202" s="82"/>
      <c r="AK4202" s="82"/>
      <c r="AL4202" s="82"/>
      <c r="AM4202" s="82"/>
      <c r="AN4202" s="82">
        <f>IFERROR(__xludf.DUMMYFUNCTION("""COMPUTED_VALUE"""),0.0)</f>
        <v>0</v>
      </c>
      <c r="AO4202" s="82">
        <f>IFERROR(__xludf.DUMMYFUNCTION("""COMPUTED_VALUE"""),0.0)</f>
        <v>0</v>
      </c>
      <c r="AP4202" s="82">
        <f>IFERROR(__xludf.DUMMYFUNCTION("""COMPUTED_VALUE"""),0.0)</f>
        <v>0</v>
      </c>
      <c r="AQ4202" s="82">
        <f>IFERROR(__xludf.DUMMYFUNCTION("""COMPUTED_VALUE"""),0.0)</f>
        <v>0</v>
      </c>
      <c r="AR4202" s="82">
        <f>IFERROR(__xludf.DUMMYFUNCTION("""COMPUTED_VALUE"""),0.0)</f>
        <v>0</v>
      </c>
      <c r="AS4202" s="82"/>
      <c r="AT4202" s="82">
        <f>IFERROR(__xludf.DUMMYFUNCTION("""COMPUTED_VALUE"""),0.0)</f>
        <v>0</v>
      </c>
      <c r="AU4202" s="82"/>
      <c r="AV4202" s="82"/>
      <c r="AW4202" s="82" t="str">
        <f t="shared" si="1"/>
        <v/>
      </c>
      <c r="AX4202" s="83" t="str">
        <f t="array" ref="AX4202">IFERROR(DGET('SBV Import'!A:G,"SBV",{"RSC ID","Tier";B4202,A4202}))</f>
        <v/>
      </c>
      <c r="AY4202" s="82" t="str">
        <f t="shared" si="2"/>
        <v/>
      </c>
      <c r="AZ4202" s="82"/>
      <c r="BA4202" s="84" t="s">
        <v>152</v>
      </c>
      <c r="BB4202" s="84" t="str">
        <f>IFERROR(__xludf.DUMMYFUNCTION("iferror(if(A4202="""",,E4202&gt;=FILTER(Constants!$F$2:$F$10,Constants!$A$2:$A$10=A4202)))"),"")</f>
        <v/>
      </c>
    </row>
    <row r="4203">
      <c r="A4203" s="89"/>
      <c r="B4203" s="87"/>
      <c r="C4203" s="73"/>
      <c r="D4203" s="73"/>
      <c r="E4203" s="82"/>
      <c r="F4203" s="82"/>
      <c r="G4203" s="86"/>
      <c r="H4203" s="86"/>
      <c r="I4203" s="86"/>
      <c r="J4203" s="82"/>
      <c r="K4203" s="82"/>
      <c r="L4203" s="82"/>
      <c r="M4203" s="82"/>
      <c r="N4203" s="82"/>
      <c r="O4203" s="82"/>
      <c r="P4203" s="82"/>
      <c r="Q4203" s="82"/>
      <c r="R4203" s="82"/>
      <c r="S4203" s="82"/>
      <c r="T4203" s="82"/>
      <c r="U4203" s="82"/>
      <c r="V4203" s="82"/>
      <c r="W4203" s="82"/>
      <c r="X4203" s="82"/>
      <c r="Y4203" s="82"/>
      <c r="Z4203" s="82"/>
      <c r="AA4203" s="82"/>
      <c r="AB4203" s="82"/>
      <c r="AC4203" s="82"/>
      <c r="AD4203" s="82"/>
      <c r="AE4203" s="82"/>
      <c r="AF4203" s="82"/>
      <c r="AG4203" s="82"/>
      <c r="AH4203" s="82"/>
      <c r="AI4203" s="82"/>
      <c r="AJ4203" s="82"/>
      <c r="AK4203" s="82"/>
      <c r="AL4203" s="82"/>
      <c r="AM4203" s="82"/>
      <c r="AN4203" s="82">
        <f>IFERROR(__xludf.DUMMYFUNCTION("""COMPUTED_VALUE"""),0.0)</f>
        <v>0</v>
      </c>
      <c r="AO4203" s="82">
        <f>IFERROR(__xludf.DUMMYFUNCTION("""COMPUTED_VALUE"""),0.0)</f>
        <v>0</v>
      </c>
      <c r="AP4203" s="82">
        <f>IFERROR(__xludf.DUMMYFUNCTION("""COMPUTED_VALUE"""),0.0)</f>
        <v>0</v>
      </c>
      <c r="AQ4203" s="82">
        <f>IFERROR(__xludf.DUMMYFUNCTION("""COMPUTED_VALUE"""),0.0)</f>
        <v>0</v>
      </c>
      <c r="AR4203" s="82">
        <f>IFERROR(__xludf.DUMMYFUNCTION("""COMPUTED_VALUE"""),0.0)</f>
        <v>0</v>
      </c>
      <c r="AS4203" s="82"/>
      <c r="AT4203" s="82">
        <f>IFERROR(__xludf.DUMMYFUNCTION("""COMPUTED_VALUE"""),0.0)</f>
        <v>0</v>
      </c>
      <c r="AU4203" s="82"/>
      <c r="AV4203" s="82"/>
      <c r="AW4203" s="82" t="str">
        <f t="shared" si="1"/>
        <v/>
      </c>
      <c r="AX4203" s="83" t="str">
        <f t="array" ref="AX4203">IFERROR(DGET('SBV Import'!A:G,"SBV",{"RSC ID","Tier";B4203,A4203}))</f>
        <v/>
      </c>
      <c r="AY4203" s="82" t="str">
        <f t="shared" si="2"/>
        <v/>
      </c>
      <c r="AZ4203" s="82"/>
      <c r="BA4203" s="84" t="s">
        <v>152</v>
      </c>
      <c r="BB4203" s="84" t="str">
        <f>IFERROR(__xludf.DUMMYFUNCTION("iferror(if(A4203="""",,E4203&gt;=FILTER(Constants!$F$2:$F$10,Constants!$A$2:$A$10=A4203)))"),"")</f>
        <v/>
      </c>
    </row>
    <row r="4204">
      <c r="A4204" s="89"/>
      <c r="B4204" s="87"/>
      <c r="C4204" s="73"/>
      <c r="D4204" s="73"/>
      <c r="E4204" s="82"/>
      <c r="F4204" s="82"/>
      <c r="G4204" s="86"/>
      <c r="H4204" s="86"/>
      <c r="I4204" s="86"/>
      <c r="J4204" s="82"/>
      <c r="K4204" s="82"/>
      <c r="L4204" s="82"/>
      <c r="M4204" s="82"/>
      <c r="N4204" s="82"/>
      <c r="O4204" s="82"/>
      <c r="P4204" s="82"/>
      <c r="Q4204" s="82"/>
      <c r="R4204" s="82"/>
      <c r="S4204" s="82"/>
      <c r="T4204" s="82"/>
      <c r="U4204" s="82"/>
      <c r="V4204" s="82"/>
      <c r="W4204" s="82"/>
      <c r="X4204" s="82"/>
      <c r="Y4204" s="82"/>
      <c r="Z4204" s="82"/>
      <c r="AA4204" s="82"/>
      <c r="AB4204" s="82"/>
      <c r="AC4204" s="82"/>
      <c r="AD4204" s="82"/>
      <c r="AE4204" s="82"/>
      <c r="AF4204" s="82"/>
      <c r="AG4204" s="82"/>
      <c r="AH4204" s="82"/>
      <c r="AI4204" s="82"/>
      <c r="AJ4204" s="82"/>
      <c r="AK4204" s="82"/>
      <c r="AL4204" s="82"/>
      <c r="AM4204" s="82"/>
      <c r="AN4204" s="82">
        <f>IFERROR(__xludf.DUMMYFUNCTION("""COMPUTED_VALUE"""),0.0)</f>
        <v>0</v>
      </c>
      <c r="AO4204" s="82">
        <f>IFERROR(__xludf.DUMMYFUNCTION("""COMPUTED_VALUE"""),0.0)</f>
        <v>0</v>
      </c>
      <c r="AP4204" s="82">
        <f>IFERROR(__xludf.DUMMYFUNCTION("""COMPUTED_VALUE"""),0.0)</f>
        <v>0</v>
      </c>
      <c r="AQ4204" s="82">
        <f>IFERROR(__xludf.DUMMYFUNCTION("""COMPUTED_VALUE"""),0.0)</f>
        <v>0</v>
      </c>
      <c r="AR4204" s="82">
        <f>IFERROR(__xludf.DUMMYFUNCTION("""COMPUTED_VALUE"""),0.0)</f>
        <v>0</v>
      </c>
      <c r="AS4204" s="82"/>
      <c r="AT4204" s="82">
        <f>IFERROR(__xludf.DUMMYFUNCTION("""COMPUTED_VALUE"""),0.0)</f>
        <v>0</v>
      </c>
      <c r="AU4204" s="82"/>
      <c r="AV4204" s="82"/>
      <c r="AW4204" s="82" t="str">
        <f t="shared" si="1"/>
        <v/>
      </c>
      <c r="AX4204" s="83" t="str">
        <f t="array" ref="AX4204">IFERROR(DGET('SBV Import'!A:G,"SBV",{"RSC ID","Tier";B4204,A4204}))</f>
        <v/>
      </c>
      <c r="AY4204" s="82" t="str">
        <f t="shared" si="2"/>
        <v/>
      </c>
      <c r="AZ4204" s="82"/>
      <c r="BA4204" s="84" t="s">
        <v>152</v>
      </c>
      <c r="BB4204" s="84" t="str">
        <f>IFERROR(__xludf.DUMMYFUNCTION("iferror(if(A4204="""",,E4204&gt;=FILTER(Constants!$F$2:$F$10,Constants!$A$2:$A$10=A4204)))"),"")</f>
        <v/>
      </c>
    </row>
    <row r="4205">
      <c r="A4205" s="89"/>
      <c r="B4205" s="87"/>
      <c r="C4205" s="73"/>
      <c r="D4205" s="73"/>
      <c r="E4205" s="82"/>
      <c r="F4205" s="82"/>
      <c r="G4205" s="86"/>
      <c r="H4205" s="86"/>
      <c r="I4205" s="86"/>
      <c r="J4205" s="82"/>
      <c r="K4205" s="82"/>
      <c r="L4205" s="82"/>
      <c r="M4205" s="82"/>
      <c r="N4205" s="82"/>
      <c r="O4205" s="82"/>
      <c r="P4205" s="82"/>
      <c r="Q4205" s="82"/>
      <c r="R4205" s="82"/>
      <c r="S4205" s="82"/>
      <c r="T4205" s="82"/>
      <c r="U4205" s="82"/>
      <c r="V4205" s="82"/>
      <c r="W4205" s="82"/>
      <c r="X4205" s="82"/>
      <c r="Y4205" s="82"/>
      <c r="Z4205" s="82"/>
      <c r="AA4205" s="82"/>
      <c r="AB4205" s="82"/>
      <c r="AC4205" s="82"/>
      <c r="AD4205" s="82"/>
      <c r="AE4205" s="82"/>
      <c r="AF4205" s="82"/>
      <c r="AG4205" s="82"/>
      <c r="AH4205" s="82"/>
      <c r="AI4205" s="82"/>
      <c r="AJ4205" s="82"/>
      <c r="AK4205" s="82"/>
      <c r="AL4205" s="82"/>
      <c r="AM4205" s="82"/>
      <c r="AN4205" s="82">
        <f>IFERROR(__xludf.DUMMYFUNCTION("""COMPUTED_VALUE"""),0.0)</f>
        <v>0</v>
      </c>
      <c r="AO4205" s="82">
        <f>IFERROR(__xludf.DUMMYFUNCTION("""COMPUTED_VALUE"""),0.0)</f>
        <v>0</v>
      </c>
      <c r="AP4205" s="82">
        <f>IFERROR(__xludf.DUMMYFUNCTION("""COMPUTED_VALUE"""),0.0)</f>
        <v>0</v>
      </c>
      <c r="AQ4205" s="82">
        <f>IFERROR(__xludf.DUMMYFUNCTION("""COMPUTED_VALUE"""),0.0)</f>
        <v>0</v>
      </c>
      <c r="AR4205" s="82">
        <f>IFERROR(__xludf.DUMMYFUNCTION("""COMPUTED_VALUE"""),0.0)</f>
        <v>0</v>
      </c>
      <c r="AS4205" s="82"/>
      <c r="AT4205" s="82">
        <f>IFERROR(__xludf.DUMMYFUNCTION("""COMPUTED_VALUE"""),0.0)</f>
        <v>0</v>
      </c>
      <c r="AU4205" s="82"/>
      <c r="AV4205" s="82"/>
      <c r="AW4205" s="82" t="str">
        <f t="shared" si="1"/>
        <v/>
      </c>
      <c r="AX4205" s="83" t="str">
        <f t="array" ref="AX4205">IFERROR(DGET('SBV Import'!A:G,"SBV",{"RSC ID","Tier";B4205,A4205}))</f>
        <v/>
      </c>
      <c r="AY4205" s="82" t="str">
        <f t="shared" si="2"/>
        <v/>
      </c>
      <c r="AZ4205" s="82"/>
      <c r="BA4205" s="84" t="s">
        <v>152</v>
      </c>
      <c r="BB4205" s="84" t="str">
        <f>IFERROR(__xludf.DUMMYFUNCTION("iferror(if(A4205="""",,E4205&gt;=FILTER(Constants!$F$2:$F$10,Constants!$A$2:$A$10=A4205)))"),"")</f>
        <v/>
      </c>
    </row>
    <row r="4206">
      <c r="A4206" s="89"/>
      <c r="B4206" s="87"/>
      <c r="C4206" s="73"/>
      <c r="D4206" s="73"/>
      <c r="E4206" s="82"/>
      <c r="F4206" s="82"/>
      <c r="G4206" s="86"/>
      <c r="H4206" s="86"/>
      <c r="I4206" s="86"/>
      <c r="J4206" s="82"/>
      <c r="K4206" s="82"/>
      <c r="L4206" s="82"/>
      <c r="M4206" s="82"/>
      <c r="N4206" s="82"/>
      <c r="O4206" s="82"/>
      <c r="P4206" s="82"/>
      <c r="Q4206" s="82"/>
      <c r="R4206" s="82"/>
      <c r="S4206" s="82"/>
      <c r="T4206" s="82"/>
      <c r="U4206" s="82"/>
      <c r="V4206" s="82"/>
      <c r="W4206" s="82"/>
      <c r="X4206" s="82"/>
      <c r="Y4206" s="82"/>
      <c r="Z4206" s="82"/>
      <c r="AA4206" s="82"/>
      <c r="AB4206" s="82"/>
      <c r="AC4206" s="82"/>
      <c r="AD4206" s="82"/>
      <c r="AE4206" s="82"/>
      <c r="AF4206" s="82"/>
      <c r="AG4206" s="82"/>
      <c r="AH4206" s="82"/>
      <c r="AI4206" s="82"/>
      <c r="AJ4206" s="82"/>
      <c r="AK4206" s="82"/>
      <c r="AL4206" s="82"/>
      <c r="AM4206" s="82"/>
      <c r="AN4206" s="82">
        <f>IFERROR(__xludf.DUMMYFUNCTION("""COMPUTED_VALUE"""),0.0)</f>
        <v>0</v>
      </c>
      <c r="AO4206" s="82">
        <f>IFERROR(__xludf.DUMMYFUNCTION("""COMPUTED_VALUE"""),0.0)</f>
        <v>0</v>
      </c>
      <c r="AP4206" s="82">
        <f>IFERROR(__xludf.DUMMYFUNCTION("""COMPUTED_VALUE"""),0.0)</f>
        <v>0</v>
      </c>
      <c r="AQ4206" s="82">
        <f>IFERROR(__xludf.DUMMYFUNCTION("""COMPUTED_VALUE"""),0.0)</f>
        <v>0</v>
      </c>
      <c r="AR4206" s="82">
        <f>IFERROR(__xludf.DUMMYFUNCTION("""COMPUTED_VALUE"""),0.0)</f>
        <v>0</v>
      </c>
      <c r="AS4206" s="82"/>
      <c r="AT4206" s="82">
        <f>IFERROR(__xludf.DUMMYFUNCTION("""COMPUTED_VALUE"""),0.0)</f>
        <v>0</v>
      </c>
      <c r="AU4206" s="82"/>
      <c r="AV4206" s="82"/>
      <c r="AW4206" s="82" t="str">
        <f t="shared" si="1"/>
        <v/>
      </c>
      <c r="AX4206" s="83" t="str">
        <f t="array" ref="AX4206">IFERROR(DGET('SBV Import'!A:G,"SBV",{"RSC ID","Tier";B4206,A4206}))</f>
        <v/>
      </c>
      <c r="AY4206" s="82" t="str">
        <f t="shared" si="2"/>
        <v/>
      </c>
      <c r="AZ4206" s="82"/>
      <c r="BA4206" s="84" t="s">
        <v>152</v>
      </c>
      <c r="BB4206" s="84" t="str">
        <f>IFERROR(__xludf.DUMMYFUNCTION("iferror(if(A4206="""",,E4206&gt;=FILTER(Constants!$F$2:$F$10,Constants!$A$2:$A$10=A4206)))"),"")</f>
        <v/>
      </c>
    </row>
    <row r="4207">
      <c r="A4207" s="89"/>
      <c r="B4207" s="87"/>
      <c r="C4207" s="73"/>
      <c r="D4207" s="73"/>
      <c r="E4207" s="82"/>
      <c r="F4207" s="82"/>
      <c r="G4207" s="86"/>
      <c r="H4207" s="86"/>
      <c r="I4207" s="86"/>
      <c r="J4207" s="82"/>
      <c r="K4207" s="82"/>
      <c r="L4207" s="82"/>
      <c r="M4207" s="82"/>
      <c r="N4207" s="82"/>
      <c r="O4207" s="82"/>
      <c r="P4207" s="82"/>
      <c r="Q4207" s="82"/>
      <c r="R4207" s="82"/>
      <c r="S4207" s="82"/>
      <c r="T4207" s="82"/>
      <c r="U4207" s="82"/>
      <c r="V4207" s="82"/>
      <c r="W4207" s="82"/>
      <c r="X4207" s="82"/>
      <c r="Y4207" s="82"/>
      <c r="Z4207" s="82"/>
      <c r="AA4207" s="82"/>
      <c r="AB4207" s="82"/>
      <c r="AC4207" s="82"/>
      <c r="AD4207" s="82"/>
      <c r="AE4207" s="82"/>
      <c r="AF4207" s="82"/>
      <c r="AG4207" s="82"/>
      <c r="AH4207" s="82"/>
      <c r="AI4207" s="82"/>
      <c r="AJ4207" s="82"/>
      <c r="AK4207" s="82"/>
      <c r="AL4207" s="82"/>
      <c r="AM4207" s="82"/>
      <c r="AN4207" s="82">
        <f>IFERROR(__xludf.DUMMYFUNCTION("""COMPUTED_VALUE"""),0.0)</f>
        <v>0</v>
      </c>
      <c r="AO4207" s="82">
        <f>IFERROR(__xludf.DUMMYFUNCTION("""COMPUTED_VALUE"""),0.0)</f>
        <v>0</v>
      </c>
      <c r="AP4207" s="82">
        <f>IFERROR(__xludf.DUMMYFUNCTION("""COMPUTED_VALUE"""),0.0)</f>
        <v>0</v>
      </c>
      <c r="AQ4207" s="82">
        <f>IFERROR(__xludf.DUMMYFUNCTION("""COMPUTED_VALUE"""),0.0)</f>
        <v>0</v>
      </c>
      <c r="AR4207" s="82">
        <f>IFERROR(__xludf.DUMMYFUNCTION("""COMPUTED_VALUE"""),0.0)</f>
        <v>0</v>
      </c>
      <c r="AS4207" s="82"/>
      <c r="AT4207" s="82">
        <f>IFERROR(__xludf.DUMMYFUNCTION("""COMPUTED_VALUE"""),0.0)</f>
        <v>0</v>
      </c>
      <c r="AU4207" s="82"/>
      <c r="AV4207" s="82"/>
      <c r="AW4207" s="82" t="str">
        <f t="shared" si="1"/>
        <v/>
      </c>
      <c r="AX4207" s="83" t="str">
        <f t="array" ref="AX4207">IFERROR(DGET('SBV Import'!A:G,"SBV",{"RSC ID","Tier";B4207,A4207}))</f>
        <v/>
      </c>
      <c r="AY4207" s="82" t="str">
        <f t="shared" si="2"/>
        <v/>
      </c>
      <c r="AZ4207" s="82"/>
      <c r="BA4207" s="84" t="s">
        <v>152</v>
      </c>
      <c r="BB4207" s="84" t="str">
        <f>IFERROR(__xludf.DUMMYFUNCTION("iferror(if(A4207="""",,E4207&gt;=FILTER(Constants!$F$2:$F$10,Constants!$A$2:$A$10=A4207)))"),"")</f>
        <v/>
      </c>
    </row>
    <row r="4208">
      <c r="A4208" s="89"/>
      <c r="B4208" s="87"/>
      <c r="C4208" s="73"/>
      <c r="D4208" s="73"/>
      <c r="E4208" s="82"/>
      <c r="F4208" s="82"/>
      <c r="G4208" s="86"/>
      <c r="H4208" s="86"/>
      <c r="I4208" s="86"/>
      <c r="J4208" s="82"/>
      <c r="K4208" s="82"/>
      <c r="L4208" s="82"/>
      <c r="M4208" s="82"/>
      <c r="N4208" s="82"/>
      <c r="O4208" s="82"/>
      <c r="P4208" s="82"/>
      <c r="Q4208" s="82"/>
      <c r="R4208" s="82"/>
      <c r="S4208" s="82"/>
      <c r="T4208" s="82"/>
      <c r="U4208" s="82"/>
      <c r="V4208" s="82"/>
      <c r="W4208" s="82"/>
      <c r="X4208" s="82"/>
      <c r="Y4208" s="82"/>
      <c r="Z4208" s="82"/>
      <c r="AA4208" s="82"/>
      <c r="AB4208" s="82"/>
      <c r="AC4208" s="82"/>
      <c r="AD4208" s="82"/>
      <c r="AE4208" s="82"/>
      <c r="AF4208" s="82"/>
      <c r="AG4208" s="82"/>
      <c r="AH4208" s="82"/>
      <c r="AI4208" s="82"/>
      <c r="AJ4208" s="82"/>
      <c r="AK4208" s="82"/>
      <c r="AL4208" s="82"/>
      <c r="AM4208" s="82"/>
      <c r="AN4208" s="82">
        <f>IFERROR(__xludf.DUMMYFUNCTION("""COMPUTED_VALUE"""),0.0)</f>
        <v>0</v>
      </c>
      <c r="AO4208" s="82">
        <f>IFERROR(__xludf.DUMMYFUNCTION("""COMPUTED_VALUE"""),0.0)</f>
        <v>0</v>
      </c>
      <c r="AP4208" s="82">
        <f>IFERROR(__xludf.DUMMYFUNCTION("""COMPUTED_VALUE"""),0.0)</f>
        <v>0</v>
      </c>
      <c r="AQ4208" s="82">
        <f>IFERROR(__xludf.DUMMYFUNCTION("""COMPUTED_VALUE"""),0.0)</f>
        <v>0</v>
      </c>
      <c r="AR4208" s="82">
        <f>IFERROR(__xludf.DUMMYFUNCTION("""COMPUTED_VALUE"""),0.0)</f>
        <v>0</v>
      </c>
      <c r="AS4208" s="82"/>
      <c r="AT4208" s="82">
        <f>IFERROR(__xludf.DUMMYFUNCTION("""COMPUTED_VALUE"""),0.0)</f>
        <v>0</v>
      </c>
      <c r="AU4208" s="82"/>
      <c r="AV4208" s="82"/>
      <c r="AW4208" s="82" t="str">
        <f t="shared" si="1"/>
        <v/>
      </c>
      <c r="AX4208" s="83" t="str">
        <f t="array" ref="AX4208">IFERROR(DGET('SBV Import'!A:G,"SBV",{"RSC ID","Tier";B4208,A4208}))</f>
        <v/>
      </c>
      <c r="AY4208" s="82" t="str">
        <f t="shared" si="2"/>
        <v/>
      </c>
      <c r="AZ4208" s="82"/>
      <c r="BA4208" s="84" t="s">
        <v>152</v>
      </c>
      <c r="BB4208" s="84" t="str">
        <f>IFERROR(__xludf.DUMMYFUNCTION("iferror(if(A4208="""",,E4208&gt;=FILTER(Constants!$F$2:$F$10,Constants!$A$2:$A$10=A4208)))"),"")</f>
        <v/>
      </c>
    </row>
    <row r="4209">
      <c r="A4209" s="89"/>
      <c r="B4209" s="87"/>
      <c r="C4209" s="73"/>
      <c r="D4209" s="73"/>
      <c r="E4209" s="82"/>
      <c r="F4209" s="82"/>
      <c r="G4209" s="86"/>
      <c r="H4209" s="86"/>
      <c r="I4209" s="86"/>
      <c r="J4209" s="82"/>
      <c r="K4209" s="82"/>
      <c r="L4209" s="82"/>
      <c r="M4209" s="82"/>
      <c r="N4209" s="82"/>
      <c r="O4209" s="82"/>
      <c r="P4209" s="82"/>
      <c r="Q4209" s="82"/>
      <c r="R4209" s="82"/>
      <c r="S4209" s="82"/>
      <c r="T4209" s="82"/>
      <c r="U4209" s="82"/>
      <c r="V4209" s="82"/>
      <c r="W4209" s="82"/>
      <c r="X4209" s="82"/>
      <c r="Y4209" s="82"/>
      <c r="Z4209" s="82"/>
      <c r="AA4209" s="82"/>
      <c r="AB4209" s="82"/>
      <c r="AC4209" s="82"/>
      <c r="AD4209" s="82"/>
      <c r="AE4209" s="82"/>
      <c r="AF4209" s="82"/>
      <c r="AG4209" s="82"/>
      <c r="AH4209" s="82"/>
      <c r="AI4209" s="82"/>
      <c r="AJ4209" s="82"/>
      <c r="AK4209" s="82"/>
      <c r="AL4209" s="82"/>
      <c r="AM4209" s="82"/>
      <c r="AN4209" s="82">
        <f>IFERROR(__xludf.DUMMYFUNCTION("""COMPUTED_VALUE"""),0.0)</f>
        <v>0</v>
      </c>
      <c r="AO4209" s="82">
        <f>IFERROR(__xludf.DUMMYFUNCTION("""COMPUTED_VALUE"""),0.0)</f>
        <v>0</v>
      </c>
      <c r="AP4209" s="82">
        <f>IFERROR(__xludf.DUMMYFUNCTION("""COMPUTED_VALUE"""),0.0)</f>
        <v>0</v>
      </c>
      <c r="AQ4209" s="82">
        <f>IFERROR(__xludf.DUMMYFUNCTION("""COMPUTED_VALUE"""),0.0)</f>
        <v>0</v>
      </c>
      <c r="AR4209" s="82">
        <f>IFERROR(__xludf.DUMMYFUNCTION("""COMPUTED_VALUE"""),0.0)</f>
        <v>0</v>
      </c>
      <c r="AS4209" s="82"/>
      <c r="AT4209" s="82">
        <f>IFERROR(__xludf.DUMMYFUNCTION("""COMPUTED_VALUE"""),0.0)</f>
        <v>0</v>
      </c>
      <c r="AU4209" s="82"/>
      <c r="AV4209" s="82"/>
      <c r="AW4209" s="82" t="str">
        <f t="shared" si="1"/>
        <v/>
      </c>
      <c r="AX4209" s="83" t="str">
        <f t="array" ref="AX4209">IFERROR(DGET('SBV Import'!A:G,"SBV",{"RSC ID","Tier";B4209,A4209}))</f>
        <v/>
      </c>
      <c r="AY4209" s="82" t="str">
        <f t="shared" si="2"/>
        <v/>
      </c>
      <c r="AZ4209" s="82"/>
      <c r="BA4209" s="84" t="s">
        <v>152</v>
      </c>
      <c r="BB4209" s="84" t="str">
        <f>IFERROR(__xludf.DUMMYFUNCTION("iferror(if(A4209="""",,E4209&gt;=FILTER(Constants!$F$2:$F$10,Constants!$A$2:$A$10=A4209)))"),"")</f>
        <v/>
      </c>
    </row>
    <row r="4210">
      <c r="A4210" s="89"/>
      <c r="B4210" s="87"/>
      <c r="C4210" s="73"/>
      <c r="D4210" s="73"/>
      <c r="E4210" s="82"/>
      <c r="F4210" s="82"/>
      <c r="G4210" s="86"/>
      <c r="H4210" s="86"/>
      <c r="I4210" s="86"/>
      <c r="J4210" s="82"/>
      <c r="K4210" s="82"/>
      <c r="L4210" s="82"/>
      <c r="M4210" s="82"/>
      <c r="N4210" s="82"/>
      <c r="O4210" s="82"/>
      <c r="P4210" s="82"/>
      <c r="Q4210" s="82"/>
      <c r="R4210" s="82"/>
      <c r="S4210" s="82"/>
      <c r="T4210" s="82"/>
      <c r="U4210" s="82"/>
      <c r="V4210" s="82"/>
      <c r="W4210" s="82"/>
      <c r="X4210" s="82"/>
      <c r="Y4210" s="82"/>
      <c r="Z4210" s="82"/>
      <c r="AA4210" s="82"/>
      <c r="AB4210" s="82"/>
      <c r="AC4210" s="82"/>
      <c r="AD4210" s="82"/>
      <c r="AE4210" s="82"/>
      <c r="AF4210" s="82"/>
      <c r="AG4210" s="82"/>
      <c r="AH4210" s="82"/>
      <c r="AI4210" s="82"/>
      <c r="AJ4210" s="82"/>
      <c r="AK4210" s="82"/>
      <c r="AL4210" s="82"/>
      <c r="AM4210" s="82"/>
      <c r="AN4210" s="82">
        <f>IFERROR(__xludf.DUMMYFUNCTION("""COMPUTED_VALUE"""),0.0)</f>
        <v>0</v>
      </c>
      <c r="AO4210" s="82">
        <f>IFERROR(__xludf.DUMMYFUNCTION("""COMPUTED_VALUE"""),0.0)</f>
        <v>0</v>
      </c>
      <c r="AP4210" s="82">
        <f>IFERROR(__xludf.DUMMYFUNCTION("""COMPUTED_VALUE"""),0.0)</f>
        <v>0</v>
      </c>
      <c r="AQ4210" s="82">
        <f>IFERROR(__xludf.DUMMYFUNCTION("""COMPUTED_VALUE"""),0.0)</f>
        <v>0</v>
      </c>
      <c r="AR4210" s="82">
        <f>IFERROR(__xludf.DUMMYFUNCTION("""COMPUTED_VALUE"""),0.0)</f>
        <v>0</v>
      </c>
      <c r="AS4210" s="82"/>
      <c r="AT4210" s="82">
        <f>IFERROR(__xludf.DUMMYFUNCTION("""COMPUTED_VALUE"""),0.0)</f>
        <v>0</v>
      </c>
      <c r="AU4210" s="82"/>
      <c r="AV4210" s="82"/>
      <c r="AW4210" s="82" t="str">
        <f t="shared" si="1"/>
        <v/>
      </c>
      <c r="AX4210" s="83" t="str">
        <f t="array" ref="AX4210">IFERROR(DGET('SBV Import'!A:G,"SBV",{"RSC ID","Tier";B4210,A4210}))</f>
        <v/>
      </c>
      <c r="AY4210" s="82" t="str">
        <f t="shared" si="2"/>
        <v/>
      </c>
      <c r="AZ4210" s="82"/>
      <c r="BA4210" s="84" t="s">
        <v>152</v>
      </c>
      <c r="BB4210" s="84" t="str">
        <f>IFERROR(__xludf.DUMMYFUNCTION("iferror(if(A4210="""",,E4210&gt;=FILTER(Constants!$F$2:$F$10,Constants!$A$2:$A$10=A4210)))"),"")</f>
        <v/>
      </c>
    </row>
    <row r="4211">
      <c r="A4211" s="89"/>
      <c r="B4211" s="87"/>
      <c r="C4211" s="73"/>
      <c r="D4211" s="73"/>
      <c r="E4211" s="82"/>
      <c r="F4211" s="82"/>
      <c r="G4211" s="86"/>
      <c r="H4211" s="86"/>
      <c r="I4211" s="86"/>
      <c r="J4211" s="82"/>
      <c r="K4211" s="82"/>
      <c r="L4211" s="82"/>
      <c r="M4211" s="82"/>
      <c r="N4211" s="82"/>
      <c r="O4211" s="82"/>
      <c r="P4211" s="82"/>
      <c r="Q4211" s="82"/>
      <c r="R4211" s="82"/>
      <c r="S4211" s="82"/>
      <c r="T4211" s="82"/>
      <c r="U4211" s="82"/>
      <c r="V4211" s="82"/>
      <c r="W4211" s="82"/>
      <c r="X4211" s="82"/>
      <c r="Y4211" s="82"/>
      <c r="Z4211" s="82"/>
      <c r="AA4211" s="82"/>
      <c r="AB4211" s="82"/>
      <c r="AC4211" s="82"/>
      <c r="AD4211" s="82"/>
      <c r="AE4211" s="82"/>
      <c r="AF4211" s="82"/>
      <c r="AG4211" s="82"/>
      <c r="AH4211" s="82"/>
      <c r="AI4211" s="82"/>
      <c r="AJ4211" s="82"/>
      <c r="AK4211" s="82"/>
      <c r="AL4211" s="82"/>
      <c r="AM4211" s="82"/>
      <c r="AN4211" s="82">
        <f>IFERROR(__xludf.DUMMYFUNCTION("""COMPUTED_VALUE"""),0.0)</f>
        <v>0</v>
      </c>
      <c r="AO4211" s="82">
        <f>IFERROR(__xludf.DUMMYFUNCTION("""COMPUTED_VALUE"""),0.0)</f>
        <v>0</v>
      </c>
      <c r="AP4211" s="82">
        <f>IFERROR(__xludf.DUMMYFUNCTION("""COMPUTED_VALUE"""),0.0)</f>
        <v>0</v>
      </c>
      <c r="AQ4211" s="82">
        <f>IFERROR(__xludf.DUMMYFUNCTION("""COMPUTED_VALUE"""),0.0)</f>
        <v>0</v>
      </c>
      <c r="AR4211" s="82">
        <f>IFERROR(__xludf.DUMMYFUNCTION("""COMPUTED_VALUE"""),0.0)</f>
        <v>0</v>
      </c>
      <c r="AS4211" s="82"/>
      <c r="AT4211" s="82">
        <f>IFERROR(__xludf.DUMMYFUNCTION("""COMPUTED_VALUE"""),0.0)</f>
        <v>0</v>
      </c>
      <c r="AU4211" s="82"/>
      <c r="AV4211" s="82"/>
      <c r="AW4211" s="82" t="str">
        <f t="shared" si="1"/>
        <v/>
      </c>
      <c r="AX4211" s="83" t="str">
        <f t="array" ref="AX4211">IFERROR(DGET('SBV Import'!A:G,"SBV",{"RSC ID","Tier";B4211,A4211}))</f>
        <v/>
      </c>
      <c r="AY4211" s="82" t="str">
        <f t="shared" si="2"/>
        <v/>
      </c>
      <c r="AZ4211" s="82"/>
      <c r="BA4211" s="84" t="s">
        <v>152</v>
      </c>
      <c r="BB4211" s="84" t="str">
        <f>IFERROR(__xludf.DUMMYFUNCTION("iferror(if(A4211="""",,E4211&gt;=FILTER(Constants!$F$2:$F$10,Constants!$A$2:$A$10=A4211)))"),"")</f>
        <v/>
      </c>
    </row>
    <row r="4212">
      <c r="A4212" s="89"/>
      <c r="B4212" s="87"/>
      <c r="C4212" s="73"/>
      <c r="D4212" s="73"/>
      <c r="E4212" s="82"/>
      <c r="F4212" s="82"/>
      <c r="G4212" s="86"/>
      <c r="H4212" s="86"/>
      <c r="I4212" s="86"/>
      <c r="J4212" s="82"/>
      <c r="K4212" s="82"/>
      <c r="L4212" s="82"/>
      <c r="M4212" s="82"/>
      <c r="N4212" s="82"/>
      <c r="O4212" s="82"/>
      <c r="P4212" s="82"/>
      <c r="Q4212" s="82"/>
      <c r="R4212" s="82"/>
      <c r="S4212" s="82"/>
      <c r="T4212" s="82"/>
      <c r="U4212" s="82"/>
      <c r="V4212" s="82"/>
      <c r="W4212" s="82"/>
      <c r="X4212" s="82"/>
      <c r="Y4212" s="82"/>
      <c r="Z4212" s="82"/>
      <c r="AA4212" s="82"/>
      <c r="AB4212" s="82"/>
      <c r="AC4212" s="82"/>
      <c r="AD4212" s="82"/>
      <c r="AE4212" s="82"/>
      <c r="AF4212" s="82"/>
      <c r="AG4212" s="82"/>
      <c r="AH4212" s="82"/>
      <c r="AI4212" s="82"/>
      <c r="AJ4212" s="82"/>
      <c r="AK4212" s="82"/>
      <c r="AL4212" s="82"/>
      <c r="AM4212" s="82"/>
      <c r="AN4212" s="82">
        <f>IFERROR(__xludf.DUMMYFUNCTION("""COMPUTED_VALUE"""),0.0)</f>
        <v>0</v>
      </c>
      <c r="AO4212" s="82">
        <f>IFERROR(__xludf.DUMMYFUNCTION("""COMPUTED_VALUE"""),0.0)</f>
        <v>0</v>
      </c>
      <c r="AP4212" s="82">
        <f>IFERROR(__xludf.DUMMYFUNCTION("""COMPUTED_VALUE"""),0.0)</f>
        <v>0</v>
      </c>
      <c r="AQ4212" s="82">
        <f>IFERROR(__xludf.DUMMYFUNCTION("""COMPUTED_VALUE"""),0.0)</f>
        <v>0</v>
      </c>
      <c r="AR4212" s="82">
        <f>IFERROR(__xludf.DUMMYFUNCTION("""COMPUTED_VALUE"""),0.0)</f>
        <v>0</v>
      </c>
      <c r="AS4212" s="82"/>
      <c r="AT4212" s="82">
        <f>IFERROR(__xludf.DUMMYFUNCTION("""COMPUTED_VALUE"""),0.0)</f>
        <v>0</v>
      </c>
      <c r="AU4212" s="82"/>
      <c r="AV4212" s="82"/>
      <c r="AW4212" s="82" t="str">
        <f t="shared" si="1"/>
        <v/>
      </c>
      <c r="AX4212" s="83" t="str">
        <f t="array" ref="AX4212">IFERROR(DGET('SBV Import'!A:G,"SBV",{"RSC ID","Tier";B4212,A4212}))</f>
        <v/>
      </c>
      <c r="AY4212" s="82" t="str">
        <f t="shared" si="2"/>
        <v/>
      </c>
      <c r="AZ4212" s="82"/>
      <c r="BA4212" s="84" t="s">
        <v>152</v>
      </c>
      <c r="BB4212" s="84" t="str">
        <f>IFERROR(__xludf.DUMMYFUNCTION("iferror(if(A4212="""",,E4212&gt;=FILTER(Constants!$F$2:$F$10,Constants!$A$2:$A$10=A4212)))"),"")</f>
        <v/>
      </c>
    </row>
    <row r="4213">
      <c r="A4213" s="89"/>
      <c r="B4213" s="87"/>
      <c r="C4213" s="73"/>
      <c r="D4213" s="73"/>
      <c r="E4213" s="82"/>
      <c r="F4213" s="82"/>
      <c r="G4213" s="86"/>
      <c r="H4213" s="86"/>
      <c r="I4213" s="86"/>
      <c r="J4213" s="82"/>
      <c r="K4213" s="82"/>
      <c r="L4213" s="82"/>
      <c r="M4213" s="82"/>
      <c r="N4213" s="82"/>
      <c r="O4213" s="82"/>
      <c r="P4213" s="82"/>
      <c r="Q4213" s="82"/>
      <c r="R4213" s="82"/>
      <c r="S4213" s="82"/>
      <c r="T4213" s="82"/>
      <c r="U4213" s="82"/>
      <c r="V4213" s="82"/>
      <c r="W4213" s="82"/>
      <c r="X4213" s="82"/>
      <c r="Y4213" s="82"/>
      <c r="Z4213" s="82"/>
      <c r="AA4213" s="82"/>
      <c r="AB4213" s="82"/>
      <c r="AC4213" s="82"/>
      <c r="AD4213" s="82"/>
      <c r="AE4213" s="82"/>
      <c r="AF4213" s="82"/>
      <c r="AG4213" s="82"/>
      <c r="AH4213" s="82"/>
      <c r="AI4213" s="82"/>
      <c r="AJ4213" s="82"/>
      <c r="AK4213" s="82"/>
      <c r="AL4213" s="82"/>
      <c r="AM4213" s="82"/>
      <c r="AN4213" s="82">
        <f>IFERROR(__xludf.DUMMYFUNCTION("""COMPUTED_VALUE"""),0.0)</f>
        <v>0</v>
      </c>
      <c r="AO4213" s="82">
        <f>IFERROR(__xludf.DUMMYFUNCTION("""COMPUTED_VALUE"""),0.0)</f>
        <v>0</v>
      </c>
      <c r="AP4213" s="82">
        <f>IFERROR(__xludf.DUMMYFUNCTION("""COMPUTED_VALUE"""),0.0)</f>
        <v>0</v>
      </c>
      <c r="AQ4213" s="82">
        <f>IFERROR(__xludf.DUMMYFUNCTION("""COMPUTED_VALUE"""),0.0)</f>
        <v>0</v>
      </c>
      <c r="AR4213" s="82">
        <f>IFERROR(__xludf.DUMMYFUNCTION("""COMPUTED_VALUE"""),0.0)</f>
        <v>0</v>
      </c>
      <c r="AS4213" s="82"/>
      <c r="AT4213" s="82">
        <f>IFERROR(__xludf.DUMMYFUNCTION("""COMPUTED_VALUE"""),0.0)</f>
        <v>0</v>
      </c>
      <c r="AU4213" s="82"/>
      <c r="AV4213" s="82"/>
      <c r="AW4213" s="82" t="str">
        <f t="shared" si="1"/>
        <v/>
      </c>
      <c r="AX4213" s="83" t="str">
        <f t="array" ref="AX4213">IFERROR(DGET('SBV Import'!A:G,"SBV",{"RSC ID","Tier";B4213,A4213}))</f>
        <v/>
      </c>
      <c r="AY4213" s="82" t="str">
        <f t="shared" si="2"/>
        <v/>
      </c>
      <c r="AZ4213" s="82"/>
      <c r="BA4213" s="84" t="s">
        <v>152</v>
      </c>
      <c r="BB4213" s="84" t="str">
        <f>IFERROR(__xludf.DUMMYFUNCTION("iferror(if(A4213="""",,E4213&gt;=FILTER(Constants!$F$2:$F$10,Constants!$A$2:$A$10=A4213)))"),"")</f>
        <v/>
      </c>
    </row>
    <row r="4214">
      <c r="A4214" s="89"/>
      <c r="B4214" s="87"/>
      <c r="C4214" s="73"/>
      <c r="D4214" s="73"/>
      <c r="E4214" s="82"/>
      <c r="F4214" s="82"/>
      <c r="G4214" s="86"/>
      <c r="H4214" s="86"/>
      <c r="I4214" s="86"/>
      <c r="J4214" s="82"/>
      <c r="K4214" s="82"/>
      <c r="L4214" s="82"/>
      <c r="M4214" s="82"/>
      <c r="N4214" s="82"/>
      <c r="O4214" s="82"/>
      <c r="P4214" s="82"/>
      <c r="Q4214" s="82"/>
      <c r="R4214" s="82"/>
      <c r="S4214" s="82"/>
      <c r="T4214" s="82"/>
      <c r="U4214" s="82"/>
      <c r="V4214" s="82"/>
      <c r="W4214" s="82"/>
      <c r="X4214" s="82"/>
      <c r="Y4214" s="82"/>
      <c r="Z4214" s="82"/>
      <c r="AA4214" s="82"/>
      <c r="AB4214" s="82"/>
      <c r="AC4214" s="82"/>
      <c r="AD4214" s="82"/>
      <c r="AE4214" s="82"/>
      <c r="AF4214" s="82"/>
      <c r="AG4214" s="82"/>
      <c r="AH4214" s="82"/>
      <c r="AI4214" s="82"/>
      <c r="AJ4214" s="82"/>
      <c r="AK4214" s="82"/>
      <c r="AL4214" s="82"/>
      <c r="AM4214" s="82"/>
      <c r="AN4214" s="82">
        <f>IFERROR(__xludf.DUMMYFUNCTION("""COMPUTED_VALUE"""),0.0)</f>
        <v>0</v>
      </c>
      <c r="AO4214" s="82">
        <f>IFERROR(__xludf.DUMMYFUNCTION("""COMPUTED_VALUE"""),0.0)</f>
        <v>0</v>
      </c>
      <c r="AP4214" s="82">
        <f>IFERROR(__xludf.DUMMYFUNCTION("""COMPUTED_VALUE"""),0.0)</f>
        <v>0</v>
      </c>
      <c r="AQ4214" s="82">
        <f>IFERROR(__xludf.DUMMYFUNCTION("""COMPUTED_VALUE"""),0.0)</f>
        <v>0</v>
      </c>
      <c r="AR4214" s="82">
        <f>IFERROR(__xludf.DUMMYFUNCTION("""COMPUTED_VALUE"""),0.0)</f>
        <v>0</v>
      </c>
      <c r="AS4214" s="82"/>
      <c r="AT4214" s="82">
        <f>IFERROR(__xludf.DUMMYFUNCTION("""COMPUTED_VALUE"""),0.0)</f>
        <v>0</v>
      </c>
      <c r="AU4214" s="82"/>
      <c r="AV4214" s="82"/>
      <c r="AW4214" s="82" t="str">
        <f t="shared" si="1"/>
        <v/>
      </c>
      <c r="AX4214" s="83" t="str">
        <f t="array" ref="AX4214">IFERROR(DGET('SBV Import'!A:G,"SBV",{"RSC ID","Tier";B4214,A4214}))</f>
        <v/>
      </c>
      <c r="AY4214" s="82" t="str">
        <f t="shared" si="2"/>
        <v/>
      </c>
      <c r="AZ4214" s="82"/>
      <c r="BA4214" s="84" t="s">
        <v>152</v>
      </c>
      <c r="BB4214" s="84" t="str">
        <f>IFERROR(__xludf.DUMMYFUNCTION("iferror(if(A4214="""",,E4214&gt;=FILTER(Constants!$F$2:$F$10,Constants!$A$2:$A$10=A4214)))"),"")</f>
        <v/>
      </c>
    </row>
    <row r="4215">
      <c r="A4215" s="89"/>
      <c r="B4215" s="87"/>
      <c r="C4215" s="73"/>
      <c r="D4215" s="73"/>
      <c r="E4215" s="82"/>
      <c r="F4215" s="82"/>
      <c r="G4215" s="86"/>
      <c r="H4215" s="86"/>
      <c r="I4215" s="86"/>
      <c r="J4215" s="82"/>
      <c r="K4215" s="82"/>
      <c r="L4215" s="82"/>
      <c r="M4215" s="82"/>
      <c r="N4215" s="82"/>
      <c r="O4215" s="82"/>
      <c r="P4215" s="82"/>
      <c r="Q4215" s="82"/>
      <c r="R4215" s="82"/>
      <c r="S4215" s="82"/>
      <c r="T4215" s="82"/>
      <c r="U4215" s="82"/>
      <c r="V4215" s="82"/>
      <c r="W4215" s="82"/>
      <c r="X4215" s="82"/>
      <c r="Y4215" s="82"/>
      <c r="Z4215" s="82"/>
      <c r="AA4215" s="82"/>
      <c r="AB4215" s="82"/>
      <c r="AC4215" s="82"/>
      <c r="AD4215" s="82"/>
      <c r="AE4215" s="82"/>
      <c r="AF4215" s="82"/>
      <c r="AG4215" s="82"/>
      <c r="AH4215" s="82"/>
      <c r="AI4215" s="82"/>
      <c r="AJ4215" s="82"/>
      <c r="AK4215" s="82"/>
      <c r="AL4215" s="82"/>
      <c r="AM4215" s="82"/>
      <c r="AN4215" s="82">
        <f>IFERROR(__xludf.DUMMYFUNCTION("""COMPUTED_VALUE"""),0.0)</f>
        <v>0</v>
      </c>
      <c r="AO4215" s="82">
        <f>IFERROR(__xludf.DUMMYFUNCTION("""COMPUTED_VALUE"""),0.0)</f>
        <v>0</v>
      </c>
      <c r="AP4215" s="82">
        <f>IFERROR(__xludf.DUMMYFUNCTION("""COMPUTED_VALUE"""),0.0)</f>
        <v>0</v>
      </c>
      <c r="AQ4215" s="82">
        <f>IFERROR(__xludf.DUMMYFUNCTION("""COMPUTED_VALUE"""),0.0)</f>
        <v>0</v>
      </c>
      <c r="AR4215" s="82">
        <f>IFERROR(__xludf.DUMMYFUNCTION("""COMPUTED_VALUE"""),0.0)</f>
        <v>0</v>
      </c>
      <c r="AS4215" s="82"/>
      <c r="AT4215" s="82">
        <f>IFERROR(__xludf.DUMMYFUNCTION("""COMPUTED_VALUE"""),0.0)</f>
        <v>0</v>
      </c>
      <c r="AU4215" s="82"/>
      <c r="AV4215" s="82"/>
      <c r="AW4215" s="82" t="str">
        <f t="shared" si="1"/>
        <v/>
      </c>
      <c r="AX4215" s="83" t="str">
        <f t="array" ref="AX4215">IFERROR(DGET('SBV Import'!A:G,"SBV",{"RSC ID","Tier";B4215,A4215}))</f>
        <v/>
      </c>
      <c r="AY4215" s="82" t="str">
        <f t="shared" si="2"/>
        <v/>
      </c>
      <c r="AZ4215" s="82"/>
      <c r="BA4215" s="84" t="s">
        <v>152</v>
      </c>
      <c r="BB4215" s="84" t="str">
        <f>IFERROR(__xludf.DUMMYFUNCTION("iferror(if(A4215="""",,E4215&gt;=FILTER(Constants!$F$2:$F$10,Constants!$A$2:$A$10=A4215)))"),"")</f>
        <v/>
      </c>
    </row>
    <row r="4216">
      <c r="A4216" s="89"/>
      <c r="B4216" s="87"/>
      <c r="C4216" s="73"/>
      <c r="D4216" s="73"/>
      <c r="E4216" s="82"/>
      <c r="F4216" s="82"/>
      <c r="G4216" s="86"/>
      <c r="H4216" s="86"/>
      <c r="I4216" s="86"/>
      <c r="J4216" s="82"/>
      <c r="K4216" s="82"/>
      <c r="L4216" s="82"/>
      <c r="M4216" s="82"/>
      <c r="N4216" s="82"/>
      <c r="O4216" s="82"/>
      <c r="P4216" s="82"/>
      <c r="Q4216" s="82"/>
      <c r="R4216" s="82"/>
      <c r="S4216" s="82"/>
      <c r="T4216" s="82"/>
      <c r="U4216" s="82"/>
      <c r="V4216" s="82"/>
      <c r="W4216" s="82"/>
      <c r="X4216" s="82"/>
      <c r="Y4216" s="82"/>
      <c r="Z4216" s="82"/>
      <c r="AA4216" s="82"/>
      <c r="AB4216" s="82"/>
      <c r="AC4216" s="82"/>
      <c r="AD4216" s="82"/>
      <c r="AE4216" s="82"/>
      <c r="AF4216" s="82"/>
      <c r="AG4216" s="82"/>
      <c r="AH4216" s="82"/>
      <c r="AI4216" s="82"/>
      <c r="AJ4216" s="82"/>
      <c r="AK4216" s="82"/>
      <c r="AL4216" s="82"/>
      <c r="AM4216" s="82"/>
      <c r="AN4216" s="82">
        <f>IFERROR(__xludf.DUMMYFUNCTION("""COMPUTED_VALUE"""),0.0)</f>
        <v>0</v>
      </c>
      <c r="AO4216" s="82">
        <f>IFERROR(__xludf.DUMMYFUNCTION("""COMPUTED_VALUE"""),0.0)</f>
        <v>0</v>
      </c>
      <c r="AP4216" s="82">
        <f>IFERROR(__xludf.DUMMYFUNCTION("""COMPUTED_VALUE"""),0.0)</f>
        <v>0</v>
      </c>
      <c r="AQ4216" s="82">
        <f>IFERROR(__xludf.DUMMYFUNCTION("""COMPUTED_VALUE"""),0.0)</f>
        <v>0</v>
      </c>
      <c r="AR4216" s="82">
        <f>IFERROR(__xludf.DUMMYFUNCTION("""COMPUTED_VALUE"""),0.0)</f>
        <v>0</v>
      </c>
      <c r="AS4216" s="82"/>
      <c r="AT4216" s="82">
        <f>IFERROR(__xludf.DUMMYFUNCTION("""COMPUTED_VALUE"""),0.0)</f>
        <v>0</v>
      </c>
      <c r="AU4216" s="82"/>
      <c r="AV4216" s="82"/>
      <c r="AW4216" s="82" t="str">
        <f t="shared" si="1"/>
        <v/>
      </c>
      <c r="AX4216" s="83" t="str">
        <f t="array" ref="AX4216">IFERROR(DGET('SBV Import'!A:G,"SBV",{"RSC ID","Tier";B4216,A4216}))</f>
        <v/>
      </c>
      <c r="AY4216" s="82" t="str">
        <f t="shared" si="2"/>
        <v/>
      </c>
      <c r="AZ4216" s="82"/>
      <c r="BA4216" s="84" t="s">
        <v>152</v>
      </c>
      <c r="BB4216" s="84" t="str">
        <f>IFERROR(__xludf.DUMMYFUNCTION("iferror(if(A4216="""",,E4216&gt;=FILTER(Constants!$F$2:$F$10,Constants!$A$2:$A$10=A4216)))"),"")</f>
        <v/>
      </c>
    </row>
    <row r="4217">
      <c r="A4217" s="89"/>
      <c r="B4217" s="87"/>
      <c r="C4217" s="73"/>
      <c r="D4217" s="73"/>
      <c r="E4217" s="82"/>
      <c r="F4217" s="82"/>
      <c r="G4217" s="86"/>
      <c r="H4217" s="86"/>
      <c r="I4217" s="86"/>
      <c r="J4217" s="82"/>
      <c r="K4217" s="82"/>
      <c r="L4217" s="82"/>
      <c r="M4217" s="82"/>
      <c r="N4217" s="82"/>
      <c r="O4217" s="82"/>
      <c r="P4217" s="82"/>
      <c r="Q4217" s="82"/>
      <c r="R4217" s="82"/>
      <c r="S4217" s="82"/>
      <c r="T4217" s="82"/>
      <c r="U4217" s="82"/>
      <c r="V4217" s="82"/>
      <c r="W4217" s="82"/>
      <c r="X4217" s="82"/>
      <c r="Y4217" s="82"/>
      <c r="Z4217" s="82"/>
      <c r="AA4217" s="82"/>
      <c r="AB4217" s="82"/>
      <c r="AC4217" s="82"/>
      <c r="AD4217" s="82"/>
      <c r="AE4217" s="82"/>
      <c r="AF4217" s="82"/>
      <c r="AG4217" s="82"/>
      <c r="AH4217" s="82"/>
      <c r="AI4217" s="82"/>
      <c r="AJ4217" s="82"/>
      <c r="AK4217" s="82"/>
      <c r="AL4217" s="82"/>
      <c r="AM4217" s="82"/>
      <c r="AN4217" s="82">
        <f>IFERROR(__xludf.DUMMYFUNCTION("""COMPUTED_VALUE"""),0.0)</f>
        <v>0</v>
      </c>
      <c r="AO4217" s="82">
        <f>IFERROR(__xludf.DUMMYFUNCTION("""COMPUTED_VALUE"""),0.0)</f>
        <v>0</v>
      </c>
      <c r="AP4217" s="82">
        <f>IFERROR(__xludf.DUMMYFUNCTION("""COMPUTED_VALUE"""),0.0)</f>
        <v>0</v>
      </c>
      <c r="AQ4217" s="82">
        <f>IFERROR(__xludf.DUMMYFUNCTION("""COMPUTED_VALUE"""),0.0)</f>
        <v>0</v>
      </c>
      <c r="AR4217" s="82">
        <f>IFERROR(__xludf.DUMMYFUNCTION("""COMPUTED_VALUE"""),0.0)</f>
        <v>0</v>
      </c>
      <c r="AS4217" s="82"/>
      <c r="AT4217" s="82">
        <f>IFERROR(__xludf.DUMMYFUNCTION("""COMPUTED_VALUE"""),0.0)</f>
        <v>0</v>
      </c>
      <c r="AU4217" s="82"/>
      <c r="AV4217" s="82"/>
      <c r="AW4217" s="82" t="str">
        <f t="shared" si="1"/>
        <v/>
      </c>
      <c r="AX4217" s="83" t="str">
        <f t="array" ref="AX4217">IFERROR(DGET('SBV Import'!A:G,"SBV",{"RSC ID","Tier";B4217,A4217}))</f>
        <v/>
      </c>
      <c r="AY4217" s="82" t="str">
        <f t="shared" si="2"/>
        <v/>
      </c>
      <c r="AZ4217" s="82"/>
      <c r="BA4217" s="84" t="s">
        <v>152</v>
      </c>
      <c r="BB4217" s="84" t="str">
        <f>IFERROR(__xludf.DUMMYFUNCTION("iferror(if(A4217="""",,E4217&gt;=FILTER(Constants!$F$2:$F$10,Constants!$A$2:$A$10=A4217)))"),"")</f>
        <v/>
      </c>
    </row>
    <row r="4218">
      <c r="A4218" s="89"/>
      <c r="B4218" s="87"/>
      <c r="C4218" s="73"/>
      <c r="D4218" s="73"/>
      <c r="E4218" s="82"/>
      <c r="F4218" s="82"/>
      <c r="G4218" s="86"/>
      <c r="H4218" s="86"/>
      <c r="I4218" s="86"/>
      <c r="J4218" s="82"/>
      <c r="K4218" s="82"/>
      <c r="L4218" s="82"/>
      <c r="M4218" s="82"/>
      <c r="N4218" s="82"/>
      <c r="O4218" s="82"/>
      <c r="P4218" s="82"/>
      <c r="Q4218" s="82"/>
      <c r="R4218" s="82"/>
      <c r="S4218" s="82"/>
      <c r="T4218" s="82"/>
      <c r="U4218" s="82"/>
      <c r="V4218" s="82"/>
      <c r="W4218" s="82"/>
      <c r="X4218" s="82"/>
      <c r="Y4218" s="82"/>
      <c r="Z4218" s="82"/>
      <c r="AA4218" s="82"/>
      <c r="AB4218" s="82"/>
      <c r="AC4218" s="82"/>
      <c r="AD4218" s="82"/>
      <c r="AE4218" s="82"/>
      <c r="AF4218" s="82"/>
      <c r="AG4218" s="82"/>
      <c r="AH4218" s="82"/>
      <c r="AI4218" s="82"/>
      <c r="AJ4218" s="82"/>
      <c r="AK4218" s="82"/>
      <c r="AL4218" s="82"/>
      <c r="AM4218" s="82"/>
      <c r="AN4218" s="82">
        <f>IFERROR(__xludf.DUMMYFUNCTION("""COMPUTED_VALUE"""),0.0)</f>
        <v>0</v>
      </c>
      <c r="AO4218" s="82">
        <f>IFERROR(__xludf.DUMMYFUNCTION("""COMPUTED_VALUE"""),0.0)</f>
        <v>0</v>
      </c>
      <c r="AP4218" s="82">
        <f>IFERROR(__xludf.DUMMYFUNCTION("""COMPUTED_VALUE"""),0.0)</f>
        <v>0</v>
      </c>
      <c r="AQ4218" s="82">
        <f>IFERROR(__xludf.DUMMYFUNCTION("""COMPUTED_VALUE"""),0.0)</f>
        <v>0</v>
      </c>
      <c r="AR4218" s="82">
        <f>IFERROR(__xludf.DUMMYFUNCTION("""COMPUTED_VALUE"""),0.0)</f>
        <v>0</v>
      </c>
      <c r="AS4218" s="82"/>
      <c r="AT4218" s="82">
        <f>IFERROR(__xludf.DUMMYFUNCTION("""COMPUTED_VALUE"""),0.0)</f>
        <v>0</v>
      </c>
      <c r="AU4218" s="82"/>
      <c r="AV4218" s="82"/>
      <c r="AW4218" s="82" t="str">
        <f t="shared" si="1"/>
        <v/>
      </c>
      <c r="AX4218" s="83" t="str">
        <f t="array" ref="AX4218">IFERROR(DGET('SBV Import'!A:G,"SBV",{"RSC ID","Tier";B4218,A4218}))</f>
        <v/>
      </c>
      <c r="AY4218" s="82" t="str">
        <f t="shared" si="2"/>
        <v/>
      </c>
      <c r="AZ4218" s="82"/>
      <c r="BA4218" s="84" t="s">
        <v>152</v>
      </c>
      <c r="BB4218" s="84" t="str">
        <f>IFERROR(__xludf.DUMMYFUNCTION("iferror(if(A4218="""",,E4218&gt;=FILTER(Constants!$F$2:$F$10,Constants!$A$2:$A$10=A4218)))"),"")</f>
        <v/>
      </c>
    </row>
    <row r="4219">
      <c r="A4219" s="89"/>
      <c r="B4219" s="87"/>
      <c r="C4219" s="73"/>
      <c r="D4219" s="73"/>
      <c r="E4219" s="82"/>
      <c r="F4219" s="82"/>
      <c r="G4219" s="86"/>
      <c r="H4219" s="86"/>
      <c r="I4219" s="86"/>
      <c r="J4219" s="82"/>
      <c r="K4219" s="82"/>
      <c r="L4219" s="82"/>
      <c r="M4219" s="82"/>
      <c r="N4219" s="82"/>
      <c r="O4219" s="82"/>
      <c r="P4219" s="82"/>
      <c r="Q4219" s="82"/>
      <c r="R4219" s="82"/>
      <c r="S4219" s="82"/>
      <c r="T4219" s="82"/>
      <c r="U4219" s="82"/>
      <c r="V4219" s="82"/>
      <c r="W4219" s="82"/>
      <c r="X4219" s="82"/>
      <c r="Y4219" s="82"/>
      <c r="Z4219" s="82"/>
      <c r="AA4219" s="82"/>
      <c r="AB4219" s="82"/>
      <c r="AC4219" s="82"/>
      <c r="AD4219" s="82"/>
      <c r="AE4219" s="82"/>
      <c r="AF4219" s="82"/>
      <c r="AG4219" s="82"/>
      <c r="AH4219" s="82"/>
      <c r="AI4219" s="82"/>
      <c r="AJ4219" s="82"/>
      <c r="AK4219" s="82"/>
      <c r="AL4219" s="82"/>
      <c r="AM4219" s="82"/>
      <c r="AN4219" s="82">
        <f>IFERROR(__xludf.DUMMYFUNCTION("""COMPUTED_VALUE"""),0.0)</f>
        <v>0</v>
      </c>
      <c r="AO4219" s="82">
        <f>IFERROR(__xludf.DUMMYFUNCTION("""COMPUTED_VALUE"""),0.0)</f>
        <v>0</v>
      </c>
      <c r="AP4219" s="82">
        <f>IFERROR(__xludf.DUMMYFUNCTION("""COMPUTED_VALUE"""),0.0)</f>
        <v>0</v>
      </c>
      <c r="AQ4219" s="82">
        <f>IFERROR(__xludf.DUMMYFUNCTION("""COMPUTED_VALUE"""),0.0)</f>
        <v>0</v>
      </c>
      <c r="AR4219" s="82">
        <f>IFERROR(__xludf.DUMMYFUNCTION("""COMPUTED_VALUE"""),0.0)</f>
        <v>0</v>
      </c>
      <c r="AS4219" s="82"/>
      <c r="AT4219" s="82">
        <f>IFERROR(__xludf.DUMMYFUNCTION("""COMPUTED_VALUE"""),0.0)</f>
        <v>0</v>
      </c>
      <c r="AU4219" s="82"/>
      <c r="AV4219" s="82"/>
      <c r="AW4219" s="82" t="str">
        <f t="shared" si="1"/>
        <v/>
      </c>
      <c r="AX4219" s="83" t="str">
        <f t="array" ref="AX4219">IFERROR(DGET('SBV Import'!A:G,"SBV",{"RSC ID","Tier";B4219,A4219}))</f>
        <v/>
      </c>
      <c r="AY4219" s="82" t="str">
        <f t="shared" si="2"/>
        <v/>
      </c>
      <c r="AZ4219" s="82"/>
      <c r="BA4219" s="84" t="s">
        <v>152</v>
      </c>
      <c r="BB4219" s="84" t="str">
        <f>IFERROR(__xludf.DUMMYFUNCTION("iferror(if(A4219="""",,E4219&gt;=FILTER(Constants!$F$2:$F$10,Constants!$A$2:$A$10=A4219)))"),"")</f>
        <v/>
      </c>
    </row>
    <row r="4220">
      <c r="A4220" s="89"/>
      <c r="B4220" s="87"/>
      <c r="C4220" s="73"/>
      <c r="D4220" s="73"/>
      <c r="E4220" s="82"/>
      <c r="F4220" s="82"/>
      <c r="G4220" s="86"/>
      <c r="H4220" s="86"/>
      <c r="I4220" s="86"/>
      <c r="J4220" s="82"/>
      <c r="K4220" s="82"/>
      <c r="L4220" s="82"/>
      <c r="M4220" s="82"/>
      <c r="N4220" s="82"/>
      <c r="O4220" s="82"/>
      <c r="P4220" s="82"/>
      <c r="Q4220" s="82"/>
      <c r="R4220" s="82"/>
      <c r="S4220" s="82"/>
      <c r="T4220" s="82"/>
      <c r="U4220" s="82"/>
      <c r="V4220" s="82"/>
      <c r="W4220" s="82"/>
      <c r="X4220" s="82"/>
      <c r="Y4220" s="82"/>
      <c r="Z4220" s="82"/>
      <c r="AA4220" s="82"/>
      <c r="AB4220" s="82"/>
      <c r="AC4220" s="82"/>
      <c r="AD4220" s="82"/>
      <c r="AE4220" s="82"/>
      <c r="AF4220" s="82"/>
      <c r="AG4220" s="82"/>
      <c r="AH4220" s="82"/>
      <c r="AI4220" s="82"/>
      <c r="AJ4220" s="82"/>
      <c r="AK4220" s="82"/>
      <c r="AL4220" s="82"/>
      <c r="AM4220" s="82"/>
      <c r="AN4220" s="82">
        <f>IFERROR(__xludf.DUMMYFUNCTION("""COMPUTED_VALUE"""),0.0)</f>
        <v>0</v>
      </c>
      <c r="AO4220" s="82">
        <f>IFERROR(__xludf.DUMMYFUNCTION("""COMPUTED_VALUE"""),0.0)</f>
        <v>0</v>
      </c>
      <c r="AP4220" s="82">
        <f>IFERROR(__xludf.DUMMYFUNCTION("""COMPUTED_VALUE"""),0.0)</f>
        <v>0</v>
      </c>
      <c r="AQ4220" s="82">
        <f>IFERROR(__xludf.DUMMYFUNCTION("""COMPUTED_VALUE"""),0.0)</f>
        <v>0</v>
      </c>
      <c r="AR4220" s="82">
        <f>IFERROR(__xludf.DUMMYFUNCTION("""COMPUTED_VALUE"""),0.0)</f>
        <v>0</v>
      </c>
      <c r="AS4220" s="82"/>
      <c r="AT4220" s="82">
        <f>IFERROR(__xludf.DUMMYFUNCTION("""COMPUTED_VALUE"""),0.0)</f>
        <v>0</v>
      </c>
      <c r="AU4220" s="82"/>
      <c r="AV4220" s="82"/>
      <c r="AW4220" s="82" t="str">
        <f t="shared" si="1"/>
        <v/>
      </c>
      <c r="AX4220" s="83" t="str">
        <f t="array" ref="AX4220">IFERROR(DGET('SBV Import'!A:G,"SBV",{"RSC ID","Tier";B4220,A4220}))</f>
        <v/>
      </c>
      <c r="AY4220" s="82" t="str">
        <f t="shared" si="2"/>
        <v/>
      </c>
      <c r="AZ4220" s="82"/>
      <c r="BA4220" s="84" t="s">
        <v>152</v>
      </c>
      <c r="BB4220" s="84" t="str">
        <f>IFERROR(__xludf.DUMMYFUNCTION("iferror(if(A4220="""",,E4220&gt;=FILTER(Constants!$F$2:$F$10,Constants!$A$2:$A$10=A4220)))"),"")</f>
        <v/>
      </c>
    </row>
    <row r="4221">
      <c r="A4221" s="89"/>
      <c r="B4221" s="87"/>
      <c r="C4221" s="73"/>
      <c r="D4221" s="73"/>
      <c r="E4221" s="82"/>
      <c r="F4221" s="82"/>
      <c r="G4221" s="86"/>
      <c r="H4221" s="86"/>
      <c r="I4221" s="86"/>
      <c r="J4221" s="82"/>
      <c r="K4221" s="82"/>
      <c r="L4221" s="82"/>
      <c r="M4221" s="82"/>
      <c r="N4221" s="82"/>
      <c r="O4221" s="82"/>
      <c r="P4221" s="82"/>
      <c r="Q4221" s="82"/>
      <c r="R4221" s="82"/>
      <c r="S4221" s="82"/>
      <c r="T4221" s="82"/>
      <c r="U4221" s="82"/>
      <c r="V4221" s="82"/>
      <c r="W4221" s="82"/>
      <c r="X4221" s="82"/>
      <c r="Y4221" s="82"/>
      <c r="Z4221" s="82"/>
      <c r="AA4221" s="82"/>
      <c r="AB4221" s="82"/>
      <c r="AC4221" s="82"/>
      <c r="AD4221" s="82"/>
      <c r="AE4221" s="82"/>
      <c r="AF4221" s="82"/>
      <c r="AG4221" s="82"/>
      <c r="AH4221" s="82"/>
      <c r="AI4221" s="82"/>
      <c r="AJ4221" s="82"/>
      <c r="AK4221" s="82"/>
      <c r="AL4221" s="82"/>
      <c r="AM4221" s="82"/>
      <c r="AN4221" s="82">
        <f>IFERROR(__xludf.DUMMYFUNCTION("""COMPUTED_VALUE"""),0.0)</f>
        <v>0</v>
      </c>
      <c r="AO4221" s="82">
        <f>IFERROR(__xludf.DUMMYFUNCTION("""COMPUTED_VALUE"""),0.0)</f>
        <v>0</v>
      </c>
      <c r="AP4221" s="82">
        <f>IFERROR(__xludf.DUMMYFUNCTION("""COMPUTED_VALUE"""),0.0)</f>
        <v>0</v>
      </c>
      <c r="AQ4221" s="82">
        <f>IFERROR(__xludf.DUMMYFUNCTION("""COMPUTED_VALUE"""),0.0)</f>
        <v>0</v>
      </c>
      <c r="AR4221" s="82">
        <f>IFERROR(__xludf.DUMMYFUNCTION("""COMPUTED_VALUE"""),0.0)</f>
        <v>0</v>
      </c>
      <c r="AS4221" s="82"/>
      <c r="AT4221" s="82">
        <f>IFERROR(__xludf.DUMMYFUNCTION("""COMPUTED_VALUE"""),0.0)</f>
        <v>0</v>
      </c>
      <c r="AU4221" s="82"/>
      <c r="AV4221" s="82"/>
      <c r="AW4221" s="82" t="str">
        <f t="shared" si="1"/>
        <v/>
      </c>
      <c r="AX4221" s="83" t="str">
        <f t="array" ref="AX4221">IFERROR(DGET('SBV Import'!A:G,"SBV",{"RSC ID","Tier";B4221,A4221}))</f>
        <v/>
      </c>
      <c r="AY4221" s="82" t="str">
        <f t="shared" si="2"/>
        <v/>
      </c>
      <c r="AZ4221" s="82"/>
      <c r="BA4221" s="84" t="s">
        <v>152</v>
      </c>
      <c r="BB4221" s="84" t="str">
        <f>IFERROR(__xludf.DUMMYFUNCTION("iferror(if(A4221="""",,E4221&gt;=FILTER(Constants!$F$2:$F$10,Constants!$A$2:$A$10=A4221)))"),"")</f>
        <v/>
      </c>
    </row>
    <row r="4222">
      <c r="A4222" s="89"/>
      <c r="B4222" s="87"/>
      <c r="C4222" s="73"/>
      <c r="D4222" s="73"/>
      <c r="E4222" s="82"/>
      <c r="F4222" s="82"/>
      <c r="G4222" s="86"/>
      <c r="H4222" s="86"/>
      <c r="I4222" s="86"/>
      <c r="J4222" s="82"/>
      <c r="K4222" s="82"/>
      <c r="L4222" s="82"/>
      <c r="M4222" s="82"/>
      <c r="N4222" s="82"/>
      <c r="O4222" s="82"/>
      <c r="P4222" s="82"/>
      <c r="Q4222" s="82"/>
      <c r="R4222" s="82"/>
      <c r="S4222" s="82"/>
      <c r="T4222" s="82"/>
      <c r="U4222" s="82"/>
      <c r="V4222" s="82"/>
      <c r="W4222" s="82"/>
      <c r="X4222" s="82"/>
      <c r="Y4222" s="82"/>
      <c r="Z4222" s="82"/>
      <c r="AA4222" s="82"/>
      <c r="AB4222" s="82"/>
      <c r="AC4222" s="82"/>
      <c r="AD4222" s="82"/>
      <c r="AE4222" s="82"/>
      <c r="AF4222" s="82"/>
      <c r="AG4222" s="82"/>
      <c r="AH4222" s="82"/>
      <c r="AI4222" s="82"/>
      <c r="AJ4222" s="82"/>
      <c r="AK4222" s="82"/>
      <c r="AL4222" s="82"/>
      <c r="AM4222" s="82"/>
      <c r="AN4222" s="82">
        <f>IFERROR(__xludf.DUMMYFUNCTION("""COMPUTED_VALUE"""),0.0)</f>
        <v>0</v>
      </c>
      <c r="AO4222" s="82">
        <f>IFERROR(__xludf.DUMMYFUNCTION("""COMPUTED_VALUE"""),0.0)</f>
        <v>0</v>
      </c>
      <c r="AP4222" s="82">
        <f>IFERROR(__xludf.DUMMYFUNCTION("""COMPUTED_VALUE"""),0.0)</f>
        <v>0</v>
      </c>
      <c r="AQ4222" s="82">
        <f>IFERROR(__xludf.DUMMYFUNCTION("""COMPUTED_VALUE"""),0.0)</f>
        <v>0</v>
      </c>
      <c r="AR4222" s="82">
        <f>IFERROR(__xludf.DUMMYFUNCTION("""COMPUTED_VALUE"""),0.0)</f>
        <v>0</v>
      </c>
      <c r="AS4222" s="82"/>
      <c r="AT4222" s="82">
        <f>IFERROR(__xludf.DUMMYFUNCTION("""COMPUTED_VALUE"""),0.0)</f>
        <v>0</v>
      </c>
      <c r="AU4222" s="82"/>
      <c r="AV4222" s="82"/>
      <c r="AW4222" s="82" t="str">
        <f t="shared" si="1"/>
        <v/>
      </c>
      <c r="AX4222" s="83" t="str">
        <f t="array" ref="AX4222">IFERROR(DGET('SBV Import'!A:G,"SBV",{"RSC ID","Tier";B4222,A4222}))</f>
        <v/>
      </c>
      <c r="AY4222" s="82" t="str">
        <f t="shared" si="2"/>
        <v/>
      </c>
      <c r="AZ4222" s="82"/>
      <c r="BA4222" s="84" t="s">
        <v>152</v>
      </c>
      <c r="BB4222" s="84" t="str">
        <f>IFERROR(__xludf.DUMMYFUNCTION("iferror(if(A4222="""",,E4222&gt;=FILTER(Constants!$F$2:$F$10,Constants!$A$2:$A$10=A4222)))"),"")</f>
        <v/>
      </c>
    </row>
    <row r="4223">
      <c r="A4223" s="89"/>
      <c r="B4223" s="87"/>
      <c r="C4223" s="73"/>
      <c r="D4223" s="73"/>
      <c r="E4223" s="82"/>
      <c r="F4223" s="82"/>
      <c r="G4223" s="86"/>
      <c r="H4223" s="86"/>
      <c r="I4223" s="86"/>
      <c r="J4223" s="82"/>
      <c r="K4223" s="82"/>
      <c r="L4223" s="82"/>
      <c r="M4223" s="82"/>
      <c r="N4223" s="82"/>
      <c r="O4223" s="82"/>
      <c r="P4223" s="82"/>
      <c r="Q4223" s="82"/>
      <c r="R4223" s="82"/>
      <c r="S4223" s="82"/>
      <c r="T4223" s="82"/>
      <c r="U4223" s="82"/>
      <c r="V4223" s="82"/>
      <c r="W4223" s="82"/>
      <c r="X4223" s="82"/>
      <c r="Y4223" s="82"/>
      <c r="Z4223" s="82"/>
      <c r="AA4223" s="82"/>
      <c r="AB4223" s="82"/>
      <c r="AC4223" s="82"/>
      <c r="AD4223" s="82"/>
      <c r="AE4223" s="82"/>
      <c r="AF4223" s="82"/>
      <c r="AG4223" s="82"/>
      <c r="AH4223" s="82"/>
      <c r="AI4223" s="82"/>
      <c r="AJ4223" s="82"/>
      <c r="AK4223" s="82"/>
      <c r="AL4223" s="82"/>
      <c r="AM4223" s="82"/>
      <c r="AN4223" s="82">
        <f>IFERROR(__xludf.DUMMYFUNCTION("""COMPUTED_VALUE"""),0.0)</f>
        <v>0</v>
      </c>
      <c r="AO4223" s="82">
        <f>IFERROR(__xludf.DUMMYFUNCTION("""COMPUTED_VALUE"""),0.0)</f>
        <v>0</v>
      </c>
      <c r="AP4223" s="82">
        <f>IFERROR(__xludf.DUMMYFUNCTION("""COMPUTED_VALUE"""),0.0)</f>
        <v>0</v>
      </c>
      <c r="AQ4223" s="82">
        <f>IFERROR(__xludf.DUMMYFUNCTION("""COMPUTED_VALUE"""),0.0)</f>
        <v>0</v>
      </c>
      <c r="AR4223" s="82">
        <f>IFERROR(__xludf.DUMMYFUNCTION("""COMPUTED_VALUE"""),0.0)</f>
        <v>0</v>
      </c>
      <c r="AS4223" s="82"/>
      <c r="AT4223" s="82">
        <f>IFERROR(__xludf.DUMMYFUNCTION("""COMPUTED_VALUE"""),0.0)</f>
        <v>0</v>
      </c>
      <c r="AU4223" s="82"/>
      <c r="AV4223" s="82"/>
      <c r="AW4223" s="82" t="str">
        <f t="shared" si="1"/>
        <v/>
      </c>
      <c r="AX4223" s="83" t="str">
        <f t="array" ref="AX4223">IFERROR(DGET('SBV Import'!A:G,"SBV",{"RSC ID","Tier";B4223,A4223}))</f>
        <v/>
      </c>
      <c r="AY4223" s="82" t="str">
        <f t="shared" si="2"/>
        <v/>
      </c>
      <c r="AZ4223" s="82"/>
      <c r="BA4223" s="84" t="s">
        <v>152</v>
      </c>
      <c r="BB4223" s="84" t="str">
        <f>IFERROR(__xludf.DUMMYFUNCTION("iferror(if(A4223="""",,E4223&gt;=FILTER(Constants!$F$2:$F$10,Constants!$A$2:$A$10=A4223)))"),"")</f>
        <v/>
      </c>
    </row>
    <row r="4224">
      <c r="A4224" s="89"/>
      <c r="B4224" s="87"/>
      <c r="C4224" s="73"/>
      <c r="D4224" s="73"/>
      <c r="E4224" s="82"/>
      <c r="F4224" s="82"/>
      <c r="G4224" s="86"/>
      <c r="H4224" s="86"/>
      <c r="I4224" s="86"/>
      <c r="J4224" s="82"/>
      <c r="K4224" s="82"/>
      <c r="L4224" s="82"/>
      <c r="M4224" s="82"/>
      <c r="N4224" s="82"/>
      <c r="O4224" s="82"/>
      <c r="P4224" s="82"/>
      <c r="Q4224" s="82"/>
      <c r="R4224" s="82"/>
      <c r="S4224" s="82"/>
      <c r="T4224" s="82"/>
      <c r="U4224" s="82"/>
      <c r="V4224" s="82"/>
      <c r="W4224" s="82"/>
      <c r="X4224" s="82"/>
      <c r="Y4224" s="82"/>
      <c r="Z4224" s="82"/>
      <c r="AA4224" s="82"/>
      <c r="AB4224" s="82"/>
      <c r="AC4224" s="82"/>
      <c r="AD4224" s="82"/>
      <c r="AE4224" s="82"/>
      <c r="AF4224" s="82"/>
      <c r="AG4224" s="82"/>
      <c r="AH4224" s="82"/>
      <c r="AI4224" s="82"/>
      <c r="AJ4224" s="82"/>
      <c r="AK4224" s="82"/>
      <c r="AL4224" s="82"/>
      <c r="AM4224" s="82"/>
      <c r="AN4224" s="82">
        <f>IFERROR(__xludf.DUMMYFUNCTION("""COMPUTED_VALUE"""),0.0)</f>
        <v>0</v>
      </c>
      <c r="AO4224" s="82">
        <f>IFERROR(__xludf.DUMMYFUNCTION("""COMPUTED_VALUE"""),0.0)</f>
        <v>0</v>
      </c>
      <c r="AP4224" s="82">
        <f>IFERROR(__xludf.DUMMYFUNCTION("""COMPUTED_VALUE"""),0.0)</f>
        <v>0</v>
      </c>
      <c r="AQ4224" s="82">
        <f>IFERROR(__xludf.DUMMYFUNCTION("""COMPUTED_VALUE"""),0.0)</f>
        <v>0</v>
      </c>
      <c r="AR4224" s="82">
        <f>IFERROR(__xludf.DUMMYFUNCTION("""COMPUTED_VALUE"""),0.0)</f>
        <v>0</v>
      </c>
      <c r="AS4224" s="82"/>
      <c r="AT4224" s="82">
        <f>IFERROR(__xludf.DUMMYFUNCTION("""COMPUTED_VALUE"""),0.0)</f>
        <v>0</v>
      </c>
      <c r="AU4224" s="82"/>
      <c r="AV4224" s="82"/>
      <c r="AW4224" s="82" t="str">
        <f t="shared" si="1"/>
        <v/>
      </c>
      <c r="AX4224" s="83" t="str">
        <f t="array" ref="AX4224">IFERROR(DGET('SBV Import'!A:G,"SBV",{"RSC ID","Tier";B4224,A4224}))</f>
        <v/>
      </c>
      <c r="AY4224" s="82" t="str">
        <f t="shared" si="2"/>
        <v/>
      </c>
      <c r="AZ4224" s="82"/>
      <c r="BA4224" s="84" t="s">
        <v>152</v>
      </c>
      <c r="BB4224" s="84" t="str">
        <f>IFERROR(__xludf.DUMMYFUNCTION("iferror(if(A4224="""",,E4224&gt;=FILTER(Constants!$F$2:$F$10,Constants!$A$2:$A$10=A4224)))"),"")</f>
        <v/>
      </c>
    </row>
    <row r="4225">
      <c r="A4225" s="89"/>
      <c r="B4225" s="87"/>
      <c r="C4225" s="73"/>
      <c r="D4225" s="73"/>
      <c r="E4225" s="82"/>
      <c r="F4225" s="82"/>
      <c r="G4225" s="86"/>
      <c r="H4225" s="86"/>
      <c r="I4225" s="86"/>
      <c r="J4225" s="82"/>
      <c r="K4225" s="82"/>
      <c r="L4225" s="82"/>
      <c r="M4225" s="82"/>
      <c r="N4225" s="82"/>
      <c r="O4225" s="82"/>
      <c r="P4225" s="82"/>
      <c r="Q4225" s="82"/>
      <c r="R4225" s="82"/>
      <c r="S4225" s="82"/>
      <c r="T4225" s="82"/>
      <c r="U4225" s="82"/>
      <c r="V4225" s="82"/>
      <c r="W4225" s="82"/>
      <c r="X4225" s="82"/>
      <c r="Y4225" s="82"/>
      <c r="Z4225" s="82"/>
      <c r="AA4225" s="82"/>
      <c r="AB4225" s="82"/>
      <c r="AC4225" s="82"/>
      <c r="AD4225" s="82"/>
      <c r="AE4225" s="82"/>
      <c r="AF4225" s="82"/>
      <c r="AG4225" s="82"/>
      <c r="AH4225" s="82"/>
      <c r="AI4225" s="82"/>
      <c r="AJ4225" s="82"/>
      <c r="AK4225" s="82"/>
      <c r="AL4225" s="82"/>
      <c r="AM4225" s="82"/>
      <c r="AN4225" s="82">
        <f>IFERROR(__xludf.DUMMYFUNCTION("""COMPUTED_VALUE"""),0.0)</f>
        <v>0</v>
      </c>
      <c r="AO4225" s="82">
        <f>IFERROR(__xludf.DUMMYFUNCTION("""COMPUTED_VALUE"""),0.0)</f>
        <v>0</v>
      </c>
      <c r="AP4225" s="82">
        <f>IFERROR(__xludf.DUMMYFUNCTION("""COMPUTED_VALUE"""),0.0)</f>
        <v>0</v>
      </c>
      <c r="AQ4225" s="82">
        <f>IFERROR(__xludf.DUMMYFUNCTION("""COMPUTED_VALUE"""),0.0)</f>
        <v>0</v>
      </c>
      <c r="AR4225" s="82">
        <f>IFERROR(__xludf.DUMMYFUNCTION("""COMPUTED_VALUE"""),0.0)</f>
        <v>0</v>
      </c>
      <c r="AS4225" s="82"/>
      <c r="AT4225" s="82">
        <f>IFERROR(__xludf.DUMMYFUNCTION("""COMPUTED_VALUE"""),0.0)</f>
        <v>0</v>
      </c>
      <c r="AU4225" s="82"/>
      <c r="AV4225" s="82"/>
      <c r="AW4225" s="82" t="str">
        <f t="shared" si="1"/>
        <v/>
      </c>
      <c r="AX4225" s="83" t="str">
        <f t="array" ref="AX4225">IFERROR(DGET('SBV Import'!A:G,"SBV",{"RSC ID","Tier";B4225,A4225}))</f>
        <v/>
      </c>
      <c r="AY4225" s="82" t="str">
        <f t="shared" si="2"/>
        <v/>
      </c>
      <c r="AZ4225" s="82"/>
      <c r="BA4225" s="84" t="s">
        <v>152</v>
      </c>
      <c r="BB4225" s="84" t="str">
        <f>IFERROR(__xludf.DUMMYFUNCTION("iferror(if(A4225="""",,E4225&gt;=FILTER(Constants!$F$2:$F$10,Constants!$A$2:$A$10=A4225)))"),"")</f>
        <v/>
      </c>
    </row>
    <row r="4226">
      <c r="A4226" s="89"/>
      <c r="B4226" s="87"/>
      <c r="C4226" s="73"/>
      <c r="D4226" s="73"/>
      <c r="E4226" s="82"/>
      <c r="F4226" s="82"/>
      <c r="G4226" s="86"/>
      <c r="H4226" s="86"/>
      <c r="I4226" s="86"/>
      <c r="J4226" s="82"/>
      <c r="K4226" s="82"/>
      <c r="L4226" s="82"/>
      <c r="M4226" s="82"/>
      <c r="N4226" s="82"/>
      <c r="O4226" s="82"/>
      <c r="P4226" s="82"/>
      <c r="Q4226" s="82"/>
      <c r="R4226" s="82"/>
      <c r="S4226" s="82"/>
      <c r="T4226" s="82"/>
      <c r="U4226" s="82"/>
      <c r="V4226" s="82"/>
      <c r="W4226" s="82"/>
      <c r="X4226" s="82"/>
      <c r="Y4226" s="82"/>
      <c r="Z4226" s="82"/>
      <c r="AA4226" s="82"/>
      <c r="AB4226" s="82"/>
      <c r="AC4226" s="82"/>
      <c r="AD4226" s="82"/>
      <c r="AE4226" s="82"/>
      <c r="AF4226" s="82"/>
      <c r="AG4226" s="82"/>
      <c r="AH4226" s="82"/>
      <c r="AI4226" s="82"/>
      <c r="AJ4226" s="82"/>
      <c r="AK4226" s="82"/>
      <c r="AL4226" s="82"/>
      <c r="AM4226" s="82"/>
      <c r="AN4226" s="82">
        <f>IFERROR(__xludf.DUMMYFUNCTION("""COMPUTED_VALUE"""),0.0)</f>
        <v>0</v>
      </c>
      <c r="AO4226" s="82">
        <f>IFERROR(__xludf.DUMMYFUNCTION("""COMPUTED_VALUE"""),0.0)</f>
        <v>0</v>
      </c>
      <c r="AP4226" s="82">
        <f>IFERROR(__xludf.DUMMYFUNCTION("""COMPUTED_VALUE"""),0.0)</f>
        <v>0</v>
      </c>
      <c r="AQ4226" s="82">
        <f>IFERROR(__xludf.DUMMYFUNCTION("""COMPUTED_VALUE"""),0.0)</f>
        <v>0</v>
      </c>
      <c r="AR4226" s="82">
        <f>IFERROR(__xludf.DUMMYFUNCTION("""COMPUTED_VALUE"""),0.0)</f>
        <v>0</v>
      </c>
      <c r="AS4226" s="82"/>
      <c r="AT4226" s="82">
        <f>IFERROR(__xludf.DUMMYFUNCTION("""COMPUTED_VALUE"""),0.0)</f>
        <v>0</v>
      </c>
      <c r="AU4226" s="82"/>
      <c r="AV4226" s="82"/>
      <c r="AW4226" s="82" t="str">
        <f t="shared" si="1"/>
        <v/>
      </c>
      <c r="AX4226" s="83" t="str">
        <f t="array" ref="AX4226">IFERROR(DGET('SBV Import'!A:G,"SBV",{"RSC ID","Tier";B4226,A4226}))</f>
        <v/>
      </c>
      <c r="AY4226" s="82" t="str">
        <f t="shared" si="2"/>
        <v/>
      </c>
      <c r="AZ4226" s="82"/>
      <c r="BA4226" s="84" t="s">
        <v>152</v>
      </c>
      <c r="BB4226" s="84" t="str">
        <f>IFERROR(__xludf.DUMMYFUNCTION("iferror(if(A4226="""",,E4226&gt;=FILTER(Constants!$F$2:$F$10,Constants!$A$2:$A$10=A4226)))"),"")</f>
        <v/>
      </c>
    </row>
    <row r="4227">
      <c r="A4227" s="89"/>
      <c r="B4227" s="87"/>
      <c r="C4227" s="73"/>
      <c r="D4227" s="73"/>
      <c r="E4227" s="82"/>
      <c r="F4227" s="82"/>
      <c r="G4227" s="86"/>
      <c r="H4227" s="86"/>
      <c r="I4227" s="86"/>
      <c r="J4227" s="82"/>
      <c r="K4227" s="82"/>
      <c r="L4227" s="82"/>
      <c r="M4227" s="82"/>
      <c r="N4227" s="82"/>
      <c r="O4227" s="82"/>
      <c r="P4227" s="82"/>
      <c r="Q4227" s="82"/>
      <c r="R4227" s="82"/>
      <c r="S4227" s="82"/>
      <c r="T4227" s="82"/>
      <c r="U4227" s="82"/>
      <c r="V4227" s="82"/>
      <c r="W4227" s="82"/>
      <c r="X4227" s="82"/>
      <c r="Y4227" s="82"/>
      <c r="Z4227" s="82"/>
      <c r="AA4227" s="82"/>
      <c r="AB4227" s="82"/>
      <c r="AC4227" s="82"/>
      <c r="AD4227" s="82"/>
      <c r="AE4227" s="82"/>
      <c r="AF4227" s="82"/>
      <c r="AG4227" s="82"/>
      <c r="AH4227" s="82"/>
      <c r="AI4227" s="82"/>
      <c r="AJ4227" s="82"/>
      <c r="AK4227" s="82"/>
      <c r="AL4227" s="82"/>
      <c r="AM4227" s="82"/>
      <c r="AN4227" s="82">
        <f>IFERROR(__xludf.DUMMYFUNCTION("""COMPUTED_VALUE"""),0.0)</f>
        <v>0</v>
      </c>
      <c r="AO4227" s="82">
        <f>IFERROR(__xludf.DUMMYFUNCTION("""COMPUTED_VALUE"""),0.0)</f>
        <v>0</v>
      </c>
      <c r="AP4227" s="82">
        <f>IFERROR(__xludf.DUMMYFUNCTION("""COMPUTED_VALUE"""),0.0)</f>
        <v>0</v>
      </c>
      <c r="AQ4227" s="82">
        <f>IFERROR(__xludf.DUMMYFUNCTION("""COMPUTED_VALUE"""),0.0)</f>
        <v>0</v>
      </c>
      <c r="AR4227" s="82">
        <f>IFERROR(__xludf.DUMMYFUNCTION("""COMPUTED_VALUE"""),0.0)</f>
        <v>0</v>
      </c>
      <c r="AS4227" s="82"/>
      <c r="AT4227" s="82">
        <f>IFERROR(__xludf.DUMMYFUNCTION("""COMPUTED_VALUE"""),0.0)</f>
        <v>0</v>
      </c>
      <c r="AU4227" s="82"/>
      <c r="AV4227" s="82"/>
      <c r="AW4227" s="82" t="str">
        <f t="shared" si="1"/>
        <v/>
      </c>
      <c r="AX4227" s="83" t="str">
        <f t="array" ref="AX4227">IFERROR(DGET('SBV Import'!A:G,"SBV",{"RSC ID","Tier";B4227,A4227}))</f>
        <v/>
      </c>
      <c r="AY4227" s="82" t="str">
        <f t="shared" si="2"/>
        <v/>
      </c>
      <c r="AZ4227" s="82"/>
      <c r="BA4227" s="84" t="s">
        <v>152</v>
      </c>
      <c r="BB4227" s="84" t="str">
        <f>IFERROR(__xludf.DUMMYFUNCTION("iferror(if(A4227="""",,E4227&gt;=FILTER(Constants!$F$2:$F$10,Constants!$A$2:$A$10=A4227)))"),"")</f>
        <v/>
      </c>
    </row>
    <row r="4228">
      <c r="A4228" s="89"/>
      <c r="B4228" s="87"/>
      <c r="C4228" s="73"/>
      <c r="D4228" s="73"/>
      <c r="E4228" s="82"/>
      <c r="F4228" s="82"/>
      <c r="G4228" s="86"/>
      <c r="H4228" s="86"/>
      <c r="I4228" s="86"/>
      <c r="J4228" s="82"/>
      <c r="K4228" s="82"/>
      <c r="L4228" s="82"/>
      <c r="M4228" s="82"/>
      <c r="N4228" s="82"/>
      <c r="O4228" s="82"/>
      <c r="P4228" s="82"/>
      <c r="Q4228" s="82"/>
      <c r="R4228" s="82"/>
      <c r="S4228" s="82"/>
      <c r="T4228" s="82"/>
      <c r="U4228" s="82"/>
      <c r="V4228" s="82"/>
      <c r="W4228" s="82"/>
      <c r="X4228" s="82"/>
      <c r="Y4228" s="82"/>
      <c r="Z4228" s="82"/>
      <c r="AA4228" s="82"/>
      <c r="AB4228" s="82"/>
      <c r="AC4228" s="82"/>
      <c r="AD4228" s="82"/>
      <c r="AE4228" s="82"/>
      <c r="AF4228" s="82"/>
      <c r="AG4228" s="82"/>
      <c r="AH4228" s="82"/>
      <c r="AI4228" s="82"/>
      <c r="AJ4228" s="82"/>
      <c r="AK4228" s="82"/>
      <c r="AL4228" s="82"/>
      <c r="AM4228" s="82"/>
      <c r="AN4228" s="82">
        <f>IFERROR(__xludf.DUMMYFUNCTION("""COMPUTED_VALUE"""),0.0)</f>
        <v>0</v>
      </c>
      <c r="AO4228" s="82">
        <f>IFERROR(__xludf.DUMMYFUNCTION("""COMPUTED_VALUE"""),0.0)</f>
        <v>0</v>
      </c>
      <c r="AP4228" s="82">
        <f>IFERROR(__xludf.DUMMYFUNCTION("""COMPUTED_VALUE"""),0.0)</f>
        <v>0</v>
      </c>
      <c r="AQ4228" s="82">
        <f>IFERROR(__xludf.DUMMYFUNCTION("""COMPUTED_VALUE"""),0.0)</f>
        <v>0</v>
      </c>
      <c r="AR4228" s="82">
        <f>IFERROR(__xludf.DUMMYFUNCTION("""COMPUTED_VALUE"""),0.0)</f>
        <v>0</v>
      </c>
      <c r="AS4228" s="82"/>
      <c r="AT4228" s="82">
        <f>IFERROR(__xludf.DUMMYFUNCTION("""COMPUTED_VALUE"""),0.0)</f>
        <v>0</v>
      </c>
      <c r="AU4228" s="82"/>
      <c r="AV4228" s="82"/>
      <c r="AW4228" s="82" t="str">
        <f t="shared" si="1"/>
        <v/>
      </c>
      <c r="AX4228" s="83" t="str">
        <f t="array" ref="AX4228">IFERROR(DGET('SBV Import'!A:G,"SBV",{"RSC ID","Tier";B4228,A4228}))</f>
        <v/>
      </c>
      <c r="AY4228" s="82" t="str">
        <f t="shared" si="2"/>
        <v/>
      </c>
      <c r="AZ4228" s="82"/>
      <c r="BA4228" s="84" t="s">
        <v>152</v>
      </c>
      <c r="BB4228" s="84" t="str">
        <f>IFERROR(__xludf.DUMMYFUNCTION("iferror(if(A4228="""",,E4228&gt;=FILTER(Constants!$F$2:$F$10,Constants!$A$2:$A$10=A4228)))"),"")</f>
        <v/>
      </c>
    </row>
    <row r="4229">
      <c r="A4229" s="89"/>
      <c r="B4229" s="87"/>
      <c r="C4229" s="73"/>
      <c r="D4229" s="73"/>
      <c r="E4229" s="82"/>
      <c r="F4229" s="82"/>
      <c r="G4229" s="86"/>
      <c r="H4229" s="86"/>
      <c r="I4229" s="86"/>
      <c r="J4229" s="82"/>
      <c r="K4229" s="82"/>
      <c r="L4229" s="82"/>
      <c r="M4229" s="82"/>
      <c r="N4229" s="82"/>
      <c r="O4229" s="82"/>
      <c r="P4229" s="82"/>
      <c r="Q4229" s="82"/>
      <c r="R4229" s="82"/>
      <c r="S4229" s="82"/>
      <c r="T4229" s="82"/>
      <c r="U4229" s="82"/>
      <c r="V4229" s="82"/>
      <c r="W4229" s="82"/>
      <c r="X4229" s="82"/>
      <c r="Y4229" s="82"/>
      <c r="Z4229" s="82"/>
      <c r="AA4229" s="82"/>
      <c r="AB4229" s="82"/>
      <c r="AC4229" s="82"/>
      <c r="AD4229" s="82"/>
      <c r="AE4229" s="82"/>
      <c r="AF4229" s="82"/>
      <c r="AG4229" s="82"/>
      <c r="AH4229" s="82"/>
      <c r="AI4229" s="82"/>
      <c r="AJ4229" s="82"/>
      <c r="AK4229" s="82"/>
      <c r="AL4229" s="82"/>
      <c r="AM4229" s="82"/>
      <c r="AN4229" s="82">
        <f>IFERROR(__xludf.DUMMYFUNCTION("""COMPUTED_VALUE"""),0.0)</f>
        <v>0</v>
      </c>
      <c r="AO4229" s="82">
        <f>IFERROR(__xludf.DUMMYFUNCTION("""COMPUTED_VALUE"""),0.0)</f>
        <v>0</v>
      </c>
      <c r="AP4229" s="82">
        <f>IFERROR(__xludf.DUMMYFUNCTION("""COMPUTED_VALUE"""),0.0)</f>
        <v>0</v>
      </c>
      <c r="AQ4229" s="82">
        <f>IFERROR(__xludf.DUMMYFUNCTION("""COMPUTED_VALUE"""),0.0)</f>
        <v>0</v>
      </c>
      <c r="AR4229" s="82">
        <f>IFERROR(__xludf.DUMMYFUNCTION("""COMPUTED_VALUE"""),0.0)</f>
        <v>0</v>
      </c>
      <c r="AS4229" s="82"/>
      <c r="AT4229" s="82">
        <f>IFERROR(__xludf.DUMMYFUNCTION("""COMPUTED_VALUE"""),0.0)</f>
        <v>0</v>
      </c>
      <c r="AU4229" s="82"/>
      <c r="AV4229" s="82"/>
      <c r="AW4229" s="82" t="str">
        <f t="shared" si="1"/>
        <v/>
      </c>
      <c r="AX4229" s="83" t="str">
        <f t="array" ref="AX4229">IFERROR(DGET('SBV Import'!A:G,"SBV",{"RSC ID","Tier";B4229,A4229}))</f>
        <v/>
      </c>
      <c r="AY4229" s="82" t="str">
        <f t="shared" si="2"/>
        <v/>
      </c>
      <c r="AZ4229" s="82"/>
      <c r="BA4229" s="84" t="s">
        <v>152</v>
      </c>
      <c r="BB4229" s="84" t="str">
        <f>IFERROR(__xludf.DUMMYFUNCTION("iferror(if(A4229="""",,E4229&gt;=FILTER(Constants!$F$2:$F$10,Constants!$A$2:$A$10=A4229)))"),"")</f>
        <v/>
      </c>
    </row>
    <row r="4230">
      <c r="A4230" s="89"/>
      <c r="B4230" s="87"/>
      <c r="C4230" s="73"/>
      <c r="D4230" s="73"/>
      <c r="E4230" s="82"/>
      <c r="F4230" s="82"/>
      <c r="G4230" s="86"/>
      <c r="H4230" s="86"/>
      <c r="I4230" s="86"/>
      <c r="J4230" s="82"/>
      <c r="K4230" s="82"/>
      <c r="L4230" s="82"/>
      <c r="M4230" s="82"/>
      <c r="N4230" s="82"/>
      <c r="O4230" s="82"/>
      <c r="P4230" s="82"/>
      <c r="Q4230" s="82"/>
      <c r="R4230" s="82"/>
      <c r="S4230" s="82"/>
      <c r="T4230" s="82"/>
      <c r="U4230" s="82"/>
      <c r="V4230" s="82"/>
      <c r="W4230" s="82"/>
      <c r="X4230" s="82"/>
      <c r="Y4230" s="82"/>
      <c r="Z4230" s="82"/>
      <c r="AA4230" s="82"/>
      <c r="AB4230" s="82"/>
      <c r="AC4230" s="82"/>
      <c r="AD4230" s="82"/>
      <c r="AE4230" s="82"/>
      <c r="AF4230" s="82"/>
      <c r="AG4230" s="82"/>
      <c r="AH4230" s="82"/>
      <c r="AI4230" s="82"/>
      <c r="AJ4230" s="82"/>
      <c r="AK4230" s="82"/>
      <c r="AL4230" s="82"/>
      <c r="AM4230" s="82"/>
      <c r="AN4230" s="82">
        <f>IFERROR(__xludf.DUMMYFUNCTION("""COMPUTED_VALUE"""),0.0)</f>
        <v>0</v>
      </c>
      <c r="AO4230" s="82">
        <f>IFERROR(__xludf.DUMMYFUNCTION("""COMPUTED_VALUE"""),0.0)</f>
        <v>0</v>
      </c>
      <c r="AP4230" s="82">
        <f>IFERROR(__xludf.DUMMYFUNCTION("""COMPUTED_VALUE"""),0.0)</f>
        <v>0</v>
      </c>
      <c r="AQ4230" s="82">
        <f>IFERROR(__xludf.DUMMYFUNCTION("""COMPUTED_VALUE"""),0.0)</f>
        <v>0</v>
      </c>
      <c r="AR4230" s="82">
        <f>IFERROR(__xludf.DUMMYFUNCTION("""COMPUTED_VALUE"""),0.0)</f>
        <v>0</v>
      </c>
      <c r="AS4230" s="82"/>
      <c r="AT4230" s="82">
        <f>IFERROR(__xludf.DUMMYFUNCTION("""COMPUTED_VALUE"""),0.0)</f>
        <v>0</v>
      </c>
      <c r="AU4230" s="82"/>
      <c r="AV4230" s="82"/>
      <c r="AW4230" s="82" t="str">
        <f t="shared" si="1"/>
        <v/>
      </c>
      <c r="AX4230" s="83" t="str">
        <f t="array" ref="AX4230">IFERROR(DGET('SBV Import'!A:G,"SBV",{"RSC ID","Tier";B4230,A4230}))</f>
        <v/>
      </c>
      <c r="AY4230" s="82" t="str">
        <f t="shared" si="2"/>
        <v/>
      </c>
      <c r="AZ4230" s="82"/>
      <c r="BA4230" s="84" t="s">
        <v>152</v>
      </c>
      <c r="BB4230" s="84" t="str">
        <f>IFERROR(__xludf.DUMMYFUNCTION("iferror(if(A4230="""",,E4230&gt;=FILTER(Constants!$F$2:$F$10,Constants!$A$2:$A$10=A4230)))"),"")</f>
        <v/>
      </c>
    </row>
    <row r="4231">
      <c r="A4231" s="89"/>
      <c r="B4231" s="87"/>
      <c r="C4231" s="73"/>
      <c r="D4231" s="73"/>
      <c r="E4231" s="82"/>
      <c r="F4231" s="82"/>
      <c r="G4231" s="86"/>
      <c r="H4231" s="86"/>
      <c r="I4231" s="86"/>
      <c r="J4231" s="82"/>
      <c r="K4231" s="82"/>
      <c r="L4231" s="82"/>
      <c r="M4231" s="82"/>
      <c r="N4231" s="82"/>
      <c r="O4231" s="82"/>
      <c r="P4231" s="82"/>
      <c r="Q4231" s="82"/>
      <c r="R4231" s="82"/>
      <c r="S4231" s="82"/>
      <c r="T4231" s="82"/>
      <c r="U4231" s="82"/>
      <c r="V4231" s="82"/>
      <c r="W4231" s="82"/>
      <c r="X4231" s="82"/>
      <c r="Y4231" s="82"/>
      <c r="Z4231" s="82"/>
      <c r="AA4231" s="82"/>
      <c r="AB4231" s="82"/>
      <c r="AC4231" s="82"/>
      <c r="AD4231" s="82"/>
      <c r="AE4231" s="82"/>
      <c r="AF4231" s="82"/>
      <c r="AG4231" s="82"/>
      <c r="AH4231" s="82"/>
      <c r="AI4231" s="82"/>
      <c r="AJ4231" s="82"/>
      <c r="AK4231" s="82"/>
      <c r="AL4231" s="82"/>
      <c r="AM4231" s="82"/>
      <c r="AN4231" s="82">
        <f>IFERROR(__xludf.DUMMYFUNCTION("""COMPUTED_VALUE"""),0.0)</f>
        <v>0</v>
      </c>
      <c r="AO4231" s="82">
        <f>IFERROR(__xludf.DUMMYFUNCTION("""COMPUTED_VALUE"""),0.0)</f>
        <v>0</v>
      </c>
      <c r="AP4231" s="82">
        <f>IFERROR(__xludf.DUMMYFUNCTION("""COMPUTED_VALUE"""),0.0)</f>
        <v>0</v>
      </c>
      <c r="AQ4231" s="82">
        <f>IFERROR(__xludf.DUMMYFUNCTION("""COMPUTED_VALUE"""),0.0)</f>
        <v>0</v>
      </c>
      <c r="AR4231" s="82">
        <f>IFERROR(__xludf.DUMMYFUNCTION("""COMPUTED_VALUE"""),0.0)</f>
        <v>0</v>
      </c>
      <c r="AS4231" s="82"/>
      <c r="AT4231" s="82">
        <f>IFERROR(__xludf.DUMMYFUNCTION("""COMPUTED_VALUE"""),0.0)</f>
        <v>0</v>
      </c>
      <c r="AU4231" s="82"/>
      <c r="AV4231" s="82"/>
      <c r="AW4231" s="82" t="str">
        <f t="shared" si="1"/>
        <v/>
      </c>
      <c r="AX4231" s="83" t="str">
        <f t="array" ref="AX4231">IFERROR(DGET('SBV Import'!A:G,"SBV",{"RSC ID","Tier";B4231,A4231}))</f>
        <v/>
      </c>
      <c r="AY4231" s="82" t="str">
        <f t="shared" si="2"/>
        <v/>
      </c>
      <c r="AZ4231" s="82"/>
      <c r="BA4231" s="84" t="s">
        <v>152</v>
      </c>
      <c r="BB4231" s="84" t="str">
        <f>IFERROR(__xludf.DUMMYFUNCTION("iferror(if(A4231="""",,E4231&gt;=FILTER(Constants!$F$2:$F$10,Constants!$A$2:$A$10=A4231)))"),"")</f>
        <v/>
      </c>
    </row>
    <row r="4232">
      <c r="A4232" s="89"/>
      <c r="B4232" s="87"/>
      <c r="C4232" s="73"/>
      <c r="D4232" s="73"/>
      <c r="E4232" s="82"/>
      <c r="F4232" s="82"/>
      <c r="G4232" s="86"/>
      <c r="H4232" s="86"/>
      <c r="I4232" s="86"/>
      <c r="J4232" s="82"/>
      <c r="K4232" s="82"/>
      <c r="L4232" s="82"/>
      <c r="M4232" s="82"/>
      <c r="N4232" s="82"/>
      <c r="O4232" s="82"/>
      <c r="P4232" s="82"/>
      <c r="Q4232" s="82"/>
      <c r="R4232" s="82"/>
      <c r="S4232" s="82"/>
      <c r="T4232" s="82"/>
      <c r="U4232" s="82"/>
      <c r="V4232" s="82"/>
      <c r="W4232" s="82"/>
      <c r="X4232" s="82"/>
      <c r="Y4232" s="82"/>
      <c r="Z4232" s="82"/>
      <c r="AA4232" s="82"/>
      <c r="AB4232" s="82"/>
      <c r="AC4232" s="82"/>
      <c r="AD4232" s="82"/>
      <c r="AE4232" s="82"/>
      <c r="AF4232" s="82"/>
      <c r="AG4232" s="82"/>
      <c r="AH4232" s="82"/>
      <c r="AI4232" s="82"/>
      <c r="AJ4232" s="82"/>
      <c r="AK4232" s="82"/>
      <c r="AL4232" s="82"/>
      <c r="AM4232" s="82"/>
      <c r="AN4232" s="82">
        <f>IFERROR(__xludf.DUMMYFUNCTION("""COMPUTED_VALUE"""),0.0)</f>
        <v>0</v>
      </c>
      <c r="AO4232" s="82">
        <f>IFERROR(__xludf.DUMMYFUNCTION("""COMPUTED_VALUE"""),0.0)</f>
        <v>0</v>
      </c>
      <c r="AP4232" s="82">
        <f>IFERROR(__xludf.DUMMYFUNCTION("""COMPUTED_VALUE"""),0.0)</f>
        <v>0</v>
      </c>
      <c r="AQ4232" s="82">
        <f>IFERROR(__xludf.DUMMYFUNCTION("""COMPUTED_VALUE"""),0.0)</f>
        <v>0</v>
      </c>
      <c r="AR4232" s="82">
        <f>IFERROR(__xludf.DUMMYFUNCTION("""COMPUTED_VALUE"""),0.0)</f>
        <v>0</v>
      </c>
      <c r="AS4232" s="82"/>
      <c r="AT4232" s="82">
        <f>IFERROR(__xludf.DUMMYFUNCTION("""COMPUTED_VALUE"""),0.0)</f>
        <v>0</v>
      </c>
      <c r="AU4232" s="82"/>
      <c r="AV4232" s="82"/>
      <c r="AW4232" s="82" t="str">
        <f t="shared" si="1"/>
        <v/>
      </c>
      <c r="AX4232" s="83" t="str">
        <f t="array" ref="AX4232">IFERROR(DGET('SBV Import'!A:G,"SBV",{"RSC ID","Tier";B4232,A4232}))</f>
        <v/>
      </c>
      <c r="AY4232" s="82" t="str">
        <f t="shared" si="2"/>
        <v/>
      </c>
      <c r="AZ4232" s="82"/>
      <c r="BA4232" s="84" t="s">
        <v>152</v>
      </c>
      <c r="BB4232" s="84" t="str">
        <f>IFERROR(__xludf.DUMMYFUNCTION("iferror(if(A4232="""",,E4232&gt;=FILTER(Constants!$F$2:$F$10,Constants!$A$2:$A$10=A4232)))"),"")</f>
        <v/>
      </c>
    </row>
    <row r="4233">
      <c r="A4233" s="89"/>
      <c r="B4233" s="87"/>
      <c r="C4233" s="73"/>
      <c r="D4233" s="73"/>
      <c r="E4233" s="82"/>
      <c r="F4233" s="82"/>
      <c r="G4233" s="86"/>
      <c r="H4233" s="86"/>
      <c r="I4233" s="86"/>
      <c r="J4233" s="82"/>
      <c r="K4233" s="82"/>
      <c r="L4233" s="82"/>
      <c r="M4233" s="82"/>
      <c r="N4233" s="82"/>
      <c r="O4233" s="82"/>
      <c r="P4233" s="82"/>
      <c r="Q4233" s="82"/>
      <c r="R4233" s="82"/>
      <c r="S4233" s="82"/>
      <c r="T4233" s="82"/>
      <c r="U4233" s="82"/>
      <c r="V4233" s="82"/>
      <c r="W4233" s="82"/>
      <c r="X4233" s="82"/>
      <c r="Y4233" s="82"/>
      <c r="Z4233" s="82"/>
      <c r="AA4233" s="82"/>
      <c r="AB4233" s="82"/>
      <c r="AC4233" s="82"/>
      <c r="AD4233" s="82"/>
      <c r="AE4233" s="82"/>
      <c r="AF4233" s="82"/>
      <c r="AG4233" s="82"/>
      <c r="AH4233" s="82"/>
      <c r="AI4233" s="82"/>
      <c r="AJ4233" s="82"/>
      <c r="AK4233" s="82"/>
      <c r="AL4233" s="82"/>
      <c r="AM4233" s="82"/>
      <c r="AN4233" s="82">
        <f>IFERROR(__xludf.DUMMYFUNCTION("""COMPUTED_VALUE"""),0.0)</f>
        <v>0</v>
      </c>
      <c r="AO4233" s="82">
        <f>IFERROR(__xludf.DUMMYFUNCTION("""COMPUTED_VALUE"""),0.0)</f>
        <v>0</v>
      </c>
      <c r="AP4233" s="82">
        <f>IFERROR(__xludf.DUMMYFUNCTION("""COMPUTED_VALUE"""),0.0)</f>
        <v>0</v>
      </c>
      <c r="AQ4233" s="82">
        <f>IFERROR(__xludf.DUMMYFUNCTION("""COMPUTED_VALUE"""),0.0)</f>
        <v>0</v>
      </c>
      <c r="AR4233" s="82">
        <f>IFERROR(__xludf.DUMMYFUNCTION("""COMPUTED_VALUE"""),0.0)</f>
        <v>0</v>
      </c>
      <c r="AS4233" s="82"/>
      <c r="AT4233" s="82">
        <f>IFERROR(__xludf.DUMMYFUNCTION("""COMPUTED_VALUE"""),0.0)</f>
        <v>0</v>
      </c>
      <c r="AU4233" s="82"/>
      <c r="AV4233" s="82"/>
      <c r="AW4233" s="82" t="str">
        <f t="shared" si="1"/>
        <v/>
      </c>
      <c r="AX4233" s="83" t="str">
        <f t="array" ref="AX4233">IFERROR(DGET('SBV Import'!A:G,"SBV",{"RSC ID","Tier";B4233,A4233}))</f>
        <v/>
      </c>
      <c r="AY4233" s="82" t="str">
        <f t="shared" si="2"/>
        <v/>
      </c>
      <c r="AZ4233" s="82"/>
      <c r="BA4233" s="84" t="s">
        <v>152</v>
      </c>
      <c r="BB4233" s="84" t="str">
        <f>IFERROR(__xludf.DUMMYFUNCTION("iferror(if(A4233="""",,E4233&gt;=FILTER(Constants!$F$2:$F$10,Constants!$A$2:$A$10=A4233)))"),"")</f>
        <v/>
      </c>
    </row>
    <row r="4234">
      <c r="A4234" s="89"/>
      <c r="B4234" s="87"/>
      <c r="C4234" s="73"/>
      <c r="D4234" s="73"/>
      <c r="E4234" s="82"/>
      <c r="F4234" s="82"/>
      <c r="G4234" s="86"/>
      <c r="H4234" s="86"/>
      <c r="I4234" s="86"/>
      <c r="J4234" s="82"/>
      <c r="K4234" s="82"/>
      <c r="L4234" s="82"/>
      <c r="M4234" s="82"/>
      <c r="N4234" s="82"/>
      <c r="O4234" s="82"/>
      <c r="P4234" s="82"/>
      <c r="Q4234" s="82"/>
      <c r="R4234" s="82"/>
      <c r="S4234" s="82"/>
      <c r="T4234" s="82"/>
      <c r="U4234" s="82"/>
      <c r="V4234" s="82"/>
      <c r="W4234" s="82"/>
      <c r="X4234" s="82"/>
      <c r="Y4234" s="82"/>
      <c r="Z4234" s="82"/>
      <c r="AA4234" s="82"/>
      <c r="AB4234" s="82"/>
      <c r="AC4234" s="82"/>
      <c r="AD4234" s="82"/>
      <c r="AE4234" s="82"/>
      <c r="AF4234" s="82"/>
      <c r="AG4234" s="82"/>
      <c r="AH4234" s="82"/>
      <c r="AI4234" s="82"/>
      <c r="AJ4234" s="82"/>
      <c r="AK4234" s="82"/>
      <c r="AL4234" s="82"/>
      <c r="AM4234" s="82"/>
      <c r="AN4234" s="82">
        <f>IFERROR(__xludf.DUMMYFUNCTION("""COMPUTED_VALUE"""),0.0)</f>
        <v>0</v>
      </c>
      <c r="AO4234" s="82">
        <f>IFERROR(__xludf.DUMMYFUNCTION("""COMPUTED_VALUE"""),0.0)</f>
        <v>0</v>
      </c>
      <c r="AP4234" s="82">
        <f>IFERROR(__xludf.DUMMYFUNCTION("""COMPUTED_VALUE"""),0.0)</f>
        <v>0</v>
      </c>
      <c r="AQ4234" s="82">
        <f>IFERROR(__xludf.DUMMYFUNCTION("""COMPUTED_VALUE"""),0.0)</f>
        <v>0</v>
      </c>
      <c r="AR4234" s="82">
        <f>IFERROR(__xludf.DUMMYFUNCTION("""COMPUTED_VALUE"""),0.0)</f>
        <v>0</v>
      </c>
      <c r="AS4234" s="82"/>
      <c r="AT4234" s="82">
        <f>IFERROR(__xludf.DUMMYFUNCTION("""COMPUTED_VALUE"""),0.0)</f>
        <v>0</v>
      </c>
      <c r="AU4234" s="82"/>
      <c r="AV4234" s="82"/>
      <c r="AW4234" s="82" t="str">
        <f t="shared" si="1"/>
        <v/>
      </c>
      <c r="AX4234" s="83" t="str">
        <f t="array" ref="AX4234">IFERROR(DGET('SBV Import'!A:G,"SBV",{"RSC ID","Tier";B4234,A4234}))</f>
        <v/>
      </c>
      <c r="AY4234" s="82" t="str">
        <f t="shared" si="2"/>
        <v/>
      </c>
      <c r="AZ4234" s="82"/>
      <c r="BA4234" s="84" t="s">
        <v>152</v>
      </c>
      <c r="BB4234" s="84" t="str">
        <f>IFERROR(__xludf.DUMMYFUNCTION("iferror(if(A4234="""",,E4234&gt;=FILTER(Constants!$F$2:$F$10,Constants!$A$2:$A$10=A4234)))"),"")</f>
        <v/>
      </c>
    </row>
    <row r="4235">
      <c r="A4235" s="89"/>
      <c r="B4235" s="87"/>
      <c r="C4235" s="73"/>
      <c r="D4235" s="73"/>
      <c r="E4235" s="82"/>
      <c r="F4235" s="82"/>
      <c r="G4235" s="86"/>
      <c r="H4235" s="86"/>
      <c r="I4235" s="86"/>
      <c r="J4235" s="82"/>
      <c r="K4235" s="82"/>
      <c r="L4235" s="82"/>
      <c r="M4235" s="82"/>
      <c r="N4235" s="82"/>
      <c r="O4235" s="82"/>
      <c r="P4235" s="82"/>
      <c r="Q4235" s="82"/>
      <c r="R4235" s="82"/>
      <c r="S4235" s="82"/>
      <c r="T4235" s="82"/>
      <c r="U4235" s="82"/>
      <c r="V4235" s="82"/>
      <c r="W4235" s="82"/>
      <c r="X4235" s="82"/>
      <c r="Y4235" s="82"/>
      <c r="Z4235" s="82"/>
      <c r="AA4235" s="82"/>
      <c r="AB4235" s="82"/>
      <c r="AC4235" s="82"/>
      <c r="AD4235" s="82"/>
      <c r="AE4235" s="82"/>
      <c r="AF4235" s="82"/>
      <c r="AG4235" s="82"/>
      <c r="AH4235" s="82"/>
      <c r="AI4235" s="82"/>
      <c r="AJ4235" s="82"/>
      <c r="AK4235" s="82"/>
      <c r="AL4235" s="82"/>
      <c r="AM4235" s="82"/>
      <c r="AN4235" s="82">
        <f>IFERROR(__xludf.DUMMYFUNCTION("""COMPUTED_VALUE"""),0.0)</f>
        <v>0</v>
      </c>
      <c r="AO4235" s="82">
        <f>IFERROR(__xludf.DUMMYFUNCTION("""COMPUTED_VALUE"""),0.0)</f>
        <v>0</v>
      </c>
      <c r="AP4235" s="82">
        <f>IFERROR(__xludf.DUMMYFUNCTION("""COMPUTED_VALUE"""),0.0)</f>
        <v>0</v>
      </c>
      <c r="AQ4235" s="82">
        <f>IFERROR(__xludf.DUMMYFUNCTION("""COMPUTED_VALUE"""),0.0)</f>
        <v>0</v>
      </c>
      <c r="AR4235" s="82">
        <f>IFERROR(__xludf.DUMMYFUNCTION("""COMPUTED_VALUE"""),0.0)</f>
        <v>0</v>
      </c>
      <c r="AS4235" s="82"/>
      <c r="AT4235" s="82">
        <f>IFERROR(__xludf.DUMMYFUNCTION("""COMPUTED_VALUE"""),0.0)</f>
        <v>0</v>
      </c>
      <c r="AU4235" s="82"/>
      <c r="AV4235" s="82"/>
      <c r="AW4235" s="82" t="str">
        <f t="shared" si="1"/>
        <v/>
      </c>
      <c r="AX4235" s="83" t="str">
        <f t="array" ref="AX4235">IFERROR(DGET('SBV Import'!A:G,"SBV",{"RSC ID","Tier";B4235,A4235}))</f>
        <v/>
      </c>
      <c r="AY4235" s="82" t="str">
        <f t="shared" si="2"/>
        <v/>
      </c>
      <c r="AZ4235" s="82"/>
      <c r="BA4235" s="84" t="s">
        <v>152</v>
      </c>
      <c r="BB4235" s="84" t="str">
        <f>IFERROR(__xludf.DUMMYFUNCTION("iferror(if(A4235="""",,E4235&gt;=FILTER(Constants!$F$2:$F$10,Constants!$A$2:$A$10=A4235)))"),"")</f>
        <v/>
      </c>
    </row>
    <row r="4236">
      <c r="A4236" s="89"/>
      <c r="B4236" s="87"/>
      <c r="C4236" s="73"/>
      <c r="D4236" s="73"/>
      <c r="E4236" s="82"/>
      <c r="F4236" s="82"/>
      <c r="G4236" s="86"/>
      <c r="H4236" s="86"/>
      <c r="I4236" s="86"/>
      <c r="J4236" s="82"/>
      <c r="K4236" s="82"/>
      <c r="L4236" s="82"/>
      <c r="M4236" s="82"/>
      <c r="N4236" s="82"/>
      <c r="O4236" s="82"/>
      <c r="P4236" s="82"/>
      <c r="Q4236" s="82"/>
      <c r="R4236" s="82"/>
      <c r="S4236" s="82"/>
      <c r="T4236" s="82"/>
      <c r="U4236" s="82"/>
      <c r="V4236" s="82"/>
      <c r="W4236" s="82"/>
      <c r="X4236" s="82"/>
      <c r="Y4236" s="82"/>
      <c r="Z4236" s="82"/>
      <c r="AA4236" s="82"/>
      <c r="AB4236" s="82"/>
      <c r="AC4236" s="82"/>
      <c r="AD4236" s="82"/>
      <c r="AE4236" s="82"/>
      <c r="AF4236" s="82"/>
      <c r="AG4236" s="82"/>
      <c r="AH4236" s="82"/>
      <c r="AI4236" s="82"/>
      <c r="AJ4236" s="82"/>
      <c r="AK4236" s="82"/>
      <c r="AL4236" s="82"/>
      <c r="AM4236" s="82"/>
      <c r="AN4236" s="82">
        <f>IFERROR(__xludf.DUMMYFUNCTION("""COMPUTED_VALUE"""),0.0)</f>
        <v>0</v>
      </c>
      <c r="AO4236" s="82">
        <f>IFERROR(__xludf.DUMMYFUNCTION("""COMPUTED_VALUE"""),0.0)</f>
        <v>0</v>
      </c>
      <c r="AP4236" s="82">
        <f>IFERROR(__xludf.DUMMYFUNCTION("""COMPUTED_VALUE"""),0.0)</f>
        <v>0</v>
      </c>
      <c r="AQ4236" s="82">
        <f>IFERROR(__xludf.DUMMYFUNCTION("""COMPUTED_VALUE"""),0.0)</f>
        <v>0</v>
      </c>
      <c r="AR4236" s="82">
        <f>IFERROR(__xludf.DUMMYFUNCTION("""COMPUTED_VALUE"""),0.0)</f>
        <v>0</v>
      </c>
      <c r="AS4236" s="82"/>
      <c r="AT4236" s="82">
        <f>IFERROR(__xludf.DUMMYFUNCTION("""COMPUTED_VALUE"""),0.0)</f>
        <v>0</v>
      </c>
      <c r="AU4236" s="82"/>
      <c r="AV4236" s="82"/>
      <c r="AW4236" s="82" t="str">
        <f t="shared" si="1"/>
        <v/>
      </c>
      <c r="AX4236" s="83" t="str">
        <f t="array" ref="AX4236">IFERROR(DGET('SBV Import'!A:G,"SBV",{"RSC ID","Tier";B4236,A4236}))</f>
        <v/>
      </c>
      <c r="AY4236" s="82" t="str">
        <f t="shared" si="2"/>
        <v/>
      </c>
      <c r="AZ4236" s="82"/>
      <c r="BA4236" s="84" t="s">
        <v>152</v>
      </c>
      <c r="BB4236" s="84" t="str">
        <f>IFERROR(__xludf.DUMMYFUNCTION("iferror(if(A4236="""",,E4236&gt;=FILTER(Constants!$F$2:$F$10,Constants!$A$2:$A$10=A4236)))"),"")</f>
        <v/>
      </c>
    </row>
    <row r="4237">
      <c r="A4237" s="89"/>
      <c r="B4237" s="87"/>
      <c r="C4237" s="73"/>
      <c r="D4237" s="73"/>
      <c r="E4237" s="82"/>
      <c r="F4237" s="82"/>
      <c r="G4237" s="86"/>
      <c r="H4237" s="86"/>
      <c r="I4237" s="86"/>
      <c r="J4237" s="82"/>
      <c r="K4237" s="82"/>
      <c r="L4237" s="82"/>
      <c r="M4237" s="82"/>
      <c r="N4237" s="82"/>
      <c r="O4237" s="82"/>
      <c r="P4237" s="82"/>
      <c r="Q4237" s="82"/>
      <c r="R4237" s="82"/>
      <c r="S4237" s="82"/>
      <c r="T4237" s="82"/>
      <c r="U4237" s="82"/>
      <c r="V4237" s="82"/>
      <c r="W4237" s="82"/>
      <c r="X4237" s="82"/>
      <c r="Y4237" s="82"/>
      <c r="Z4237" s="82"/>
      <c r="AA4237" s="82"/>
      <c r="AB4237" s="82"/>
      <c r="AC4237" s="82"/>
      <c r="AD4237" s="82"/>
      <c r="AE4237" s="82"/>
      <c r="AF4237" s="82"/>
      <c r="AG4237" s="82"/>
      <c r="AH4237" s="82"/>
      <c r="AI4237" s="82"/>
      <c r="AJ4237" s="82"/>
      <c r="AK4237" s="82"/>
      <c r="AL4237" s="82"/>
      <c r="AM4237" s="82"/>
      <c r="AN4237" s="82">
        <f>IFERROR(__xludf.DUMMYFUNCTION("""COMPUTED_VALUE"""),0.0)</f>
        <v>0</v>
      </c>
      <c r="AO4237" s="82">
        <f>IFERROR(__xludf.DUMMYFUNCTION("""COMPUTED_VALUE"""),0.0)</f>
        <v>0</v>
      </c>
      <c r="AP4237" s="82">
        <f>IFERROR(__xludf.DUMMYFUNCTION("""COMPUTED_VALUE"""),0.0)</f>
        <v>0</v>
      </c>
      <c r="AQ4237" s="82">
        <f>IFERROR(__xludf.DUMMYFUNCTION("""COMPUTED_VALUE"""),0.0)</f>
        <v>0</v>
      </c>
      <c r="AR4237" s="82">
        <f>IFERROR(__xludf.DUMMYFUNCTION("""COMPUTED_VALUE"""),0.0)</f>
        <v>0</v>
      </c>
      <c r="AS4237" s="82"/>
      <c r="AT4237" s="82">
        <f>IFERROR(__xludf.DUMMYFUNCTION("""COMPUTED_VALUE"""),0.0)</f>
        <v>0</v>
      </c>
      <c r="AU4237" s="82"/>
      <c r="AV4237" s="82"/>
      <c r="AW4237" s="82" t="str">
        <f t="shared" si="1"/>
        <v/>
      </c>
      <c r="AX4237" s="83" t="str">
        <f t="array" ref="AX4237">IFERROR(DGET('SBV Import'!A:G,"SBV",{"RSC ID","Tier";B4237,A4237}))</f>
        <v/>
      </c>
      <c r="AY4237" s="82" t="str">
        <f t="shared" si="2"/>
        <v/>
      </c>
      <c r="AZ4237" s="82"/>
      <c r="BA4237" s="84" t="s">
        <v>152</v>
      </c>
      <c r="BB4237" s="84" t="str">
        <f>IFERROR(__xludf.DUMMYFUNCTION("iferror(if(A4237="""",,E4237&gt;=FILTER(Constants!$F$2:$F$10,Constants!$A$2:$A$10=A4237)))"),"")</f>
        <v/>
      </c>
    </row>
    <row r="4238">
      <c r="A4238" s="89"/>
      <c r="B4238" s="87"/>
      <c r="C4238" s="73"/>
      <c r="D4238" s="73"/>
      <c r="E4238" s="82"/>
      <c r="F4238" s="82"/>
      <c r="G4238" s="86"/>
      <c r="H4238" s="86"/>
      <c r="I4238" s="86"/>
      <c r="J4238" s="82"/>
      <c r="K4238" s="82"/>
      <c r="L4238" s="82"/>
      <c r="M4238" s="82"/>
      <c r="N4238" s="82"/>
      <c r="O4238" s="82"/>
      <c r="P4238" s="82"/>
      <c r="Q4238" s="82"/>
      <c r="R4238" s="82"/>
      <c r="S4238" s="82"/>
      <c r="T4238" s="82"/>
      <c r="U4238" s="82"/>
      <c r="V4238" s="82"/>
      <c r="W4238" s="82"/>
      <c r="X4238" s="82"/>
      <c r="Y4238" s="82"/>
      <c r="Z4238" s="82"/>
      <c r="AA4238" s="82"/>
      <c r="AB4238" s="82"/>
      <c r="AC4238" s="82"/>
      <c r="AD4238" s="82"/>
      <c r="AE4238" s="82"/>
      <c r="AF4238" s="82"/>
      <c r="AG4238" s="82"/>
      <c r="AH4238" s="82"/>
      <c r="AI4238" s="82"/>
      <c r="AJ4238" s="82"/>
      <c r="AK4238" s="82"/>
      <c r="AL4238" s="82"/>
      <c r="AM4238" s="82"/>
      <c r="AN4238" s="82">
        <f>IFERROR(__xludf.DUMMYFUNCTION("""COMPUTED_VALUE"""),0.0)</f>
        <v>0</v>
      </c>
      <c r="AO4238" s="82">
        <f>IFERROR(__xludf.DUMMYFUNCTION("""COMPUTED_VALUE"""),0.0)</f>
        <v>0</v>
      </c>
      <c r="AP4238" s="82">
        <f>IFERROR(__xludf.DUMMYFUNCTION("""COMPUTED_VALUE"""),0.0)</f>
        <v>0</v>
      </c>
      <c r="AQ4238" s="82">
        <f>IFERROR(__xludf.DUMMYFUNCTION("""COMPUTED_VALUE"""),0.0)</f>
        <v>0</v>
      </c>
      <c r="AR4238" s="82">
        <f>IFERROR(__xludf.DUMMYFUNCTION("""COMPUTED_VALUE"""),0.0)</f>
        <v>0</v>
      </c>
      <c r="AS4238" s="82"/>
      <c r="AT4238" s="82">
        <f>IFERROR(__xludf.DUMMYFUNCTION("""COMPUTED_VALUE"""),0.0)</f>
        <v>0</v>
      </c>
      <c r="AU4238" s="82"/>
      <c r="AV4238" s="82"/>
      <c r="AW4238" s="82" t="str">
        <f t="shared" si="1"/>
        <v/>
      </c>
      <c r="AX4238" s="83" t="str">
        <f t="array" ref="AX4238">IFERROR(DGET('SBV Import'!A:G,"SBV",{"RSC ID","Tier";B4238,A4238}))</f>
        <v/>
      </c>
      <c r="AY4238" s="82" t="str">
        <f t="shared" si="2"/>
        <v/>
      </c>
      <c r="AZ4238" s="82"/>
      <c r="BA4238" s="84" t="s">
        <v>152</v>
      </c>
      <c r="BB4238" s="84" t="str">
        <f>IFERROR(__xludf.DUMMYFUNCTION("iferror(if(A4238="""",,E4238&gt;=FILTER(Constants!$F$2:$F$10,Constants!$A$2:$A$10=A4238)))"),"")</f>
        <v/>
      </c>
    </row>
    <row r="4239">
      <c r="A4239" s="89"/>
      <c r="B4239" s="87"/>
      <c r="C4239" s="73"/>
      <c r="D4239" s="73"/>
      <c r="E4239" s="82"/>
      <c r="F4239" s="82"/>
      <c r="G4239" s="86"/>
      <c r="H4239" s="86"/>
      <c r="I4239" s="86"/>
      <c r="J4239" s="82"/>
      <c r="K4239" s="82"/>
      <c r="L4239" s="82"/>
      <c r="M4239" s="82"/>
      <c r="N4239" s="82"/>
      <c r="O4239" s="82"/>
      <c r="P4239" s="82"/>
      <c r="Q4239" s="82"/>
      <c r="R4239" s="82"/>
      <c r="S4239" s="82"/>
      <c r="T4239" s="82"/>
      <c r="U4239" s="82"/>
      <c r="V4239" s="82"/>
      <c r="W4239" s="82"/>
      <c r="X4239" s="82"/>
      <c r="Y4239" s="82"/>
      <c r="Z4239" s="82"/>
      <c r="AA4239" s="82"/>
      <c r="AB4239" s="82"/>
      <c r="AC4239" s="82"/>
      <c r="AD4239" s="82"/>
      <c r="AE4239" s="82"/>
      <c r="AF4239" s="82"/>
      <c r="AG4239" s="82"/>
      <c r="AH4239" s="82"/>
      <c r="AI4239" s="82"/>
      <c r="AJ4239" s="82"/>
      <c r="AK4239" s="82"/>
      <c r="AL4239" s="82"/>
      <c r="AM4239" s="82"/>
      <c r="AN4239" s="82">
        <f>IFERROR(__xludf.DUMMYFUNCTION("""COMPUTED_VALUE"""),0.0)</f>
        <v>0</v>
      </c>
      <c r="AO4239" s="82">
        <f>IFERROR(__xludf.DUMMYFUNCTION("""COMPUTED_VALUE"""),0.0)</f>
        <v>0</v>
      </c>
      <c r="AP4239" s="82">
        <f>IFERROR(__xludf.DUMMYFUNCTION("""COMPUTED_VALUE"""),0.0)</f>
        <v>0</v>
      </c>
      <c r="AQ4239" s="82">
        <f>IFERROR(__xludf.DUMMYFUNCTION("""COMPUTED_VALUE"""),0.0)</f>
        <v>0</v>
      </c>
      <c r="AR4239" s="82">
        <f>IFERROR(__xludf.DUMMYFUNCTION("""COMPUTED_VALUE"""),0.0)</f>
        <v>0</v>
      </c>
      <c r="AS4239" s="82"/>
      <c r="AT4239" s="82">
        <f>IFERROR(__xludf.DUMMYFUNCTION("""COMPUTED_VALUE"""),0.0)</f>
        <v>0</v>
      </c>
      <c r="AU4239" s="82"/>
      <c r="AV4239" s="82"/>
      <c r="AW4239" s="82" t="str">
        <f t="shared" si="1"/>
        <v/>
      </c>
      <c r="AX4239" s="83" t="str">
        <f t="array" ref="AX4239">IFERROR(DGET('SBV Import'!A:G,"SBV",{"RSC ID","Tier";B4239,A4239}))</f>
        <v/>
      </c>
      <c r="AY4239" s="82" t="str">
        <f t="shared" si="2"/>
        <v/>
      </c>
      <c r="AZ4239" s="82"/>
      <c r="BA4239" s="84" t="s">
        <v>152</v>
      </c>
      <c r="BB4239" s="84" t="str">
        <f>IFERROR(__xludf.DUMMYFUNCTION("iferror(if(A4239="""",,E4239&gt;=FILTER(Constants!$F$2:$F$10,Constants!$A$2:$A$10=A4239)))"),"")</f>
        <v/>
      </c>
    </row>
    <row r="4240">
      <c r="A4240" s="89"/>
      <c r="B4240" s="87"/>
      <c r="C4240" s="73"/>
      <c r="D4240" s="73"/>
      <c r="E4240" s="82"/>
      <c r="F4240" s="82"/>
      <c r="G4240" s="86"/>
      <c r="H4240" s="86"/>
      <c r="I4240" s="86"/>
      <c r="J4240" s="82"/>
      <c r="K4240" s="82"/>
      <c r="L4240" s="82"/>
      <c r="M4240" s="82"/>
      <c r="N4240" s="82"/>
      <c r="O4240" s="82"/>
      <c r="P4240" s="82"/>
      <c r="Q4240" s="82"/>
      <c r="R4240" s="82"/>
      <c r="S4240" s="82"/>
      <c r="T4240" s="82"/>
      <c r="U4240" s="82"/>
      <c r="V4240" s="82"/>
      <c r="W4240" s="82"/>
      <c r="X4240" s="82"/>
      <c r="Y4240" s="82"/>
      <c r="Z4240" s="82"/>
      <c r="AA4240" s="82"/>
      <c r="AB4240" s="82"/>
      <c r="AC4240" s="82"/>
      <c r="AD4240" s="82"/>
      <c r="AE4240" s="82"/>
      <c r="AF4240" s="82"/>
      <c r="AG4240" s="82"/>
      <c r="AH4240" s="82"/>
      <c r="AI4240" s="82"/>
      <c r="AJ4240" s="82"/>
      <c r="AK4240" s="82"/>
      <c r="AL4240" s="82"/>
      <c r="AM4240" s="82"/>
      <c r="AN4240" s="82">
        <f>IFERROR(__xludf.DUMMYFUNCTION("""COMPUTED_VALUE"""),0.0)</f>
        <v>0</v>
      </c>
      <c r="AO4240" s="82">
        <f>IFERROR(__xludf.DUMMYFUNCTION("""COMPUTED_VALUE"""),0.0)</f>
        <v>0</v>
      </c>
      <c r="AP4240" s="82">
        <f>IFERROR(__xludf.DUMMYFUNCTION("""COMPUTED_VALUE"""),0.0)</f>
        <v>0</v>
      </c>
      <c r="AQ4240" s="82">
        <f>IFERROR(__xludf.DUMMYFUNCTION("""COMPUTED_VALUE"""),0.0)</f>
        <v>0</v>
      </c>
      <c r="AR4240" s="82">
        <f>IFERROR(__xludf.DUMMYFUNCTION("""COMPUTED_VALUE"""),0.0)</f>
        <v>0</v>
      </c>
      <c r="AS4240" s="82"/>
      <c r="AT4240" s="82">
        <f>IFERROR(__xludf.DUMMYFUNCTION("""COMPUTED_VALUE"""),0.0)</f>
        <v>0</v>
      </c>
      <c r="AU4240" s="82"/>
      <c r="AV4240" s="82"/>
      <c r="AW4240" s="82" t="str">
        <f t="shared" si="1"/>
        <v/>
      </c>
      <c r="AX4240" s="83" t="str">
        <f t="array" ref="AX4240">IFERROR(DGET('SBV Import'!A:G,"SBV",{"RSC ID","Tier";B4240,A4240}))</f>
        <v/>
      </c>
      <c r="AY4240" s="82" t="str">
        <f t="shared" si="2"/>
        <v/>
      </c>
      <c r="AZ4240" s="82"/>
      <c r="BA4240" s="84" t="s">
        <v>152</v>
      </c>
      <c r="BB4240" s="84" t="str">
        <f>IFERROR(__xludf.DUMMYFUNCTION("iferror(if(A4240="""",,E4240&gt;=FILTER(Constants!$F$2:$F$10,Constants!$A$2:$A$10=A4240)))"),"")</f>
        <v/>
      </c>
    </row>
    <row r="4241">
      <c r="A4241" s="89"/>
      <c r="B4241" s="87"/>
      <c r="C4241" s="73"/>
      <c r="D4241" s="73"/>
      <c r="E4241" s="82"/>
      <c r="F4241" s="82"/>
      <c r="G4241" s="86"/>
      <c r="H4241" s="86"/>
      <c r="I4241" s="86"/>
      <c r="J4241" s="82"/>
      <c r="K4241" s="82"/>
      <c r="L4241" s="82"/>
      <c r="M4241" s="82"/>
      <c r="N4241" s="82"/>
      <c r="O4241" s="82"/>
      <c r="P4241" s="82"/>
      <c r="Q4241" s="82"/>
      <c r="R4241" s="82"/>
      <c r="S4241" s="82"/>
      <c r="T4241" s="82"/>
      <c r="U4241" s="82"/>
      <c r="V4241" s="82"/>
      <c r="W4241" s="82"/>
      <c r="X4241" s="82"/>
      <c r="Y4241" s="82"/>
      <c r="Z4241" s="82"/>
      <c r="AA4241" s="82"/>
      <c r="AB4241" s="82"/>
      <c r="AC4241" s="82"/>
      <c r="AD4241" s="82"/>
      <c r="AE4241" s="82"/>
      <c r="AF4241" s="82"/>
      <c r="AG4241" s="82"/>
      <c r="AH4241" s="82"/>
      <c r="AI4241" s="82"/>
      <c r="AJ4241" s="82"/>
      <c r="AK4241" s="82"/>
      <c r="AL4241" s="82"/>
      <c r="AM4241" s="82"/>
      <c r="AN4241" s="82">
        <f>IFERROR(__xludf.DUMMYFUNCTION("""COMPUTED_VALUE"""),0.0)</f>
        <v>0</v>
      </c>
      <c r="AO4241" s="82">
        <f>IFERROR(__xludf.DUMMYFUNCTION("""COMPUTED_VALUE"""),0.0)</f>
        <v>0</v>
      </c>
      <c r="AP4241" s="82">
        <f>IFERROR(__xludf.DUMMYFUNCTION("""COMPUTED_VALUE"""),0.0)</f>
        <v>0</v>
      </c>
      <c r="AQ4241" s="82">
        <f>IFERROR(__xludf.DUMMYFUNCTION("""COMPUTED_VALUE"""),0.0)</f>
        <v>0</v>
      </c>
      <c r="AR4241" s="82">
        <f>IFERROR(__xludf.DUMMYFUNCTION("""COMPUTED_VALUE"""),0.0)</f>
        <v>0</v>
      </c>
      <c r="AS4241" s="82"/>
      <c r="AT4241" s="82">
        <f>IFERROR(__xludf.DUMMYFUNCTION("""COMPUTED_VALUE"""),0.0)</f>
        <v>0</v>
      </c>
      <c r="AU4241" s="82"/>
      <c r="AV4241" s="82"/>
      <c r="AW4241" s="82" t="str">
        <f t="shared" si="1"/>
        <v/>
      </c>
      <c r="AX4241" s="83" t="str">
        <f t="array" ref="AX4241">IFERROR(DGET('SBV Import'!A:G,"SBV",{"RSC ID","Tier";B4241,A4241}))</f>
        <v/>
      </c>
      <c r="AY4241" s="82" t="str">
        <f t="shared" si="2"/>
        <v/>
      </c>
      <c r="AZ4241" s="82"/>
      <c r="BA4241" s="84" t="s">
        <v>152</v>
      </c>
      <c r="BB4241" s="84" t="str">
        <f>IFERROR(__xludf.DUMMYFUNCTION("iferror(if(A4241="""",,E4241&gt;=FILTER(Constants!$F$2:$F$10,Constants!$A$2:$A$10=A4241)))"),"")</f>
        <v/>
      </c>
    </row>
    <row r="4242">
      <c r="A4242" s="89"/>
      <c r="B4242" s="87"/>
      <c r="C4242" s="73"/>
      <c r="D4242" s="73"/>
      <c r="E4242" s="82"/>
      <c r="F4242" s="82"/>
      <c r="G4242" s="86"/>
      <c r="H4242" s="86"/>
      <c r="I4242" s="86"/>
      <c r="J4242" s="82"/>
      <c r="K4242" s="82"/>
      <c r="L4242" s="82"/>
      <c r="M4242" s="82"/>
      <c r="N4242" s="82"/>
      <c r="O4242" s="82"/>
      <c r="P4242" s="82"/>
      <c r="Q4242" s="82"/>
      <c r="R4242" s="82"/>
      <c r="S4242" s="82"/>
      <c r="T4242" s="82"/>
      <c r="U4242" s="82"/>
      <c r="V4242" s="82"/>
      <c r="W4242" s="82"/>
      <c r="X4242" s="82"/>
      <c r="Y4242" s="82"/>
      <c r="Z4242" s="82"/>
      <c r="AA4242" s="82"/>
      <c r="AB4242" s="82"/>
      <c r="AC4242" s="82"/>
      <c r="AD4242" s="82"/>
      <c r="AE4242" s="82"/>
      <c r="AF4242" s="82"/>
      <c r="AG4242" s="82"/>
      <c r="AH4242" s="82"/>
      <c r="AI4242" s="82"/>
      <c r="AJ4242" s="82"/>
      <c r="AK4242" s="82"/>
      <c r="AL4242" s="82"/>
      <c r="AM4242" s="82"/>
      <c r="AN4242" s="82">
        <f>IFERROR(__xludf.DUMMYFUNCTION("""COMPUTED_VALUE"""),0.0)</f>
        <v>0</v>
      </c>
      <c r="AO4242" s="82">
        <f>IFERROR(__xludf.DUMMYFUNCTION("""COMPUTED_VALUE"""),0.0)</f>
        <v>0</v>
      </c>
      <c r="AP4242" s="82">
        <f>IFERROR(__xludf.DUMMYFUNCTION("""COMPUTED_VALUE"""),0.0)</f>
        <v>0</v>
      </c>
      <c r="AQ4242" s="82">
        <f>IFERROR(__xludf.DUMMYFUNCTION("""COMPUTED_VALUE"""),0.0)</f>
        <v>0</v>
      </c>
      <c r="AR4242" s="82">
        <f>IFERROR(__xludf.DUMMYFUNCTION("""COMPUTED_VALUE"""),0.0)</f>
        <v>0</v>
      </c>
      <c r="AS4242" s="82"/>
      <c r="AT4242" s="82">
        <f>IFERROR(__xludf.DUMMYFUNCTION("""COMPUTED_VALUE"""),0.0)</f>
        <v>0</v>
      </c>
      <c r="AU4242" s="82"/>
      <c r="AV4242" s="82"/>
      <c r="AW4242" s="82" t="str">
        <f t="shared" si="1"/>
        <v/>
      </c>
      <c r="AX4242" s="83" t="str">
        <f t="array" ref="AX4242">IFERROR(DGET('SBV Import'!A:G,"SBV",{"RSC ID","Tier";B4242,A4242}))</f>
        <v/>
      </c>
      <c r="AY4242" s="82" t="str">
        <f t="shared" si="2"/>
        <v/>
      </c>
      <c r="AZ4242" s="82"/>
      <c r="BA4242" s="84" t="s">
        <v>152</v>
      </c>
      <c r="BB4242" s="84" t="str">
        <f>IFERROR(__xludf.DUMMYFUNCTION("iferror(if(A4242="""",,E4242&gt;=FILTER(Constants!$F$2:$F$10,Constants!$A$2:$A$10=A4242)))"),"")</f>
        <v/>
      </c>
    </row>
    <row r="4243">
      <c r="A4243" s="89"/>
      <c r="B4243" s="87"/>
      <c r="C4243" s="73"/>
      <c r="D4243" s="73"/>
      <c r="E4243" s="82"/>
      <c r="F4243" s="82"/>
      <c r="G4243" s="86"/>
      <c r="H4243" s="86"/>
      <c r="I4243" s="86"/>
      <c r="J4243" s="82"/>
      <c r="K4243" s="82"/>
      <c r="L4243" s="82"/>
      <c r="M4243" s="82"/>
      <c r="N4243" s="82"/>
      <c r="O4243" s="82"/>
      <c r="P4243" s="82"/>
      <c r="Q4243" s="82"/>
      <c r="R4243" s="82"/>
      <c r="S4243" s="82"/>
      <c r="T4243" s="82"/>
      <c r="U4243" s="82"/>
      <c r="V4243" s="82"/>
      <c r="W4243" s="82"/>
      <c r="X4243" s="82"/>
      <c r="Y4243" s="82"/>
      <c r="Z4243" s="82"/>
      <c r="AA4243" s="82"/>
      <c r="AB4243" s="82"/>
      <c r="AC4243" s="82"/>
      <c r="AD4243" s="82"/>
      <c r="AE4243" s="82"/>
      <c r="AF4243" s="82"/>
      <c r="AG4243" s="82"/>
      <c r="AH4243" s="82"/>
      <c r="AI4243" s="82"/>
      <c r="AJ4243" s="82"/>
      <c r="AK4243" s="82"/>
      <c r="AL4243" s="82"/>
      <c r="AM4243" s="82"/>
      <c r="AN4243" s="82">
        <f>IFERROR(__xludf.DUMMYFUNCTION("""COMPUTED_VALUE"""),0.0)</f>
        <v>0</v>
      </c>
      <c r="AO4243" s="82">
        <f>IFERROR(__xludf.DUMMYFUNCTION("""COMPUTED_VALUE"""),0.0)</f>
        <v>0</v>
      </c>
      <c r="AP4243" s="82">
        <f>IFERROR(__xludf.DUMMYFUNCTION("""COMPUTED_VALUE"""),0.0)</f>
        <v>0</v>
      </c>
      <c r="AQ4243" s="82">
        <f>IFERROR(__xludf.DUMMYFUNCTION("""COMPUTED_VALUE"""),0.0)</f>
        <v>0</v>
      </c>
      <c r="AR4243" s="82">
        <f>IFERROR(__xludf.DUMMYFUNCTION("""COMPUTED_VALUE"""),0.0)</f>
        <v>0</v>
      </c>
      <c r="AS4243" s="82"/>
      <c r="AT4243" s="82">
        <f>IFERROR(__xludf.DUMMYFUNCTION("""COMPUTED_VALUE"""),0.0)</f>
        <v>0</v>
      </c>
      <c r="AU4243" s="82"/>
      <c r="AV4243" s="82"/>
      <c r="AW4243" s="82" t="str">
        <f t="shared" si="1"/>
        <v/>
      </c>
      <c r="AX4243" s="83" t="str">
        <f t="array" ref="AX4243">IFERROR(DGET('SBV Import'!A:G,"SBV",{"RSC ID","Tier";B4243,A4243}))</f>
        <v/>
      </c>
      <c r="AY4243" s="82" t="str">
        <f t="shared" si="2"/>
        <v/>
      </c>
      <c r="AZ4243" s="82"/>
      <c r="BA4243" s="84" t="s">
        <v>152</v>
      </c>
      <c r="BB4243" s="84" t="str">
        <f>IFERROR(__xludf.DUMMYFUNCTION("iferror(if(A4243="""",,E4243&gt;=FILTER(Constants!$F$2:$F$10,Constants!$A$2:$A$10=A4243)))"),"")</f>
        <v/>
      </c>
    </row>
    <row r="4244">
      <c r="A4244" s="89"/>
      <c r="B4244" s="87"/>
      <c r="C4244" s="73"/>
      <c r="D4244" s="73"/>
      <c r="E4244" s="82"/>
      <c r="F4244" s="82"/>
      <c r="G4244" s="86"/>
      <c r="H4244" s="86"/>
      <c r="I4244" s="86"/>
      <c r="J4244" s="82"/>
      <c r="K4244" s="82"/>
      <c r="L4244" s="82"/>
      <c r="M4244" s="82"/>
      <c r="N4244" s="82"/>
      <c r="O4244" s="82"/>
      <c r="P4244" s="82"/>
      <c r="Q4244" s="82"/>
      <c r="R4244" s="82"/>
      <c r="S4244" s="82"/>
      <c r="T4244" s="82"/>
      <c r="U4244" s="82"/>
      <c r="V4244" s="82"/>
      <c r="W4244" s="82"/>
      <c r="X4244" s="82"/>
      <c r="Y4244" s="82"/>
      <c r="Z4244" s="82"/>
      <c r="AA4244" s="82"/>
      <c r="AB4244" s="82"/>
      <c r="AC4244" s="82"/>
      <c r="AD4244" s="82"/>
      <c r="AE4244" s="82"/>
      <c r="AF4244" s="82"/>
      <c r="AG4244" s="82"/>
      <c r="AH4244" s="82"/>
      <c r="AI4244" s="82"/>
      <c r="AJ4244" s="82"/>
      <c r="AK4244" s="82"/>
      <c r="AL4244" s="82"/>
      <c r="AM4244" s="82"/>
      <c r="AN4244" s="82">
        <f>IFERROR(__xludf.DUMMYFUNCTION("""COMPUTED_VALUE"""),0.0)</f>
        <v>0</v>
      </c>
      <c r="AO4244" s="82">
        <f>IFERROR(__xludf.DUMMYFUNCTION("""COMPUTED_VALUE"""),0.0)</f>
        <v>0</v>
      </c>
      <c r="AP4244" s="82">
        <f>IFERROR(__xludf.DUMMYFUNCTION("""COMPUTED_VALUE"""),0.0)</f>
        <v>0</v>
      </c>
      <c r="AQ4244" s="82">
        <f>IFERROR(__xludf.DUMMYFUNCTION("""COMPUTED_VALUE"""),0.0)</f>
        <v>0</v>
      </c>
      <c r="AR4244" s="82">
        <f>IFERROR(__xludf.DUMMYFUNCTION("""COMPUTED_VALUE"""),0.0)</f>
        <v>0</v>
      </c>
      <c r="AS4244" s="82"/>
      <c r="AT4244" s="82">
        <f>IFERROR(__xludf.DUMMYFUNCTION("""COMPUTED_VALUE"""),0.0)</f>
        <v>0</v>
      </c>
      <c r="AU4244" s="82"/>
      <c r="AV4244" s="82"/>
      <c r="AW4244" s="82" t="str">
        <f t="shared" si="1"/>
        <v/>
      </c>
      <c r="AX4244" s="83" t="str">
        <f t="array" ref="AX4244">IFERROR(DGET('SBV Import'!A:G,"SBV",{"RSC ID","Tier";B4244,A4244}))</f>
        <v/>
      </c>
      <c r="AY4244" s="82" t="str">
        <f t="shared" si="2"/>
        <v/>
      </c>
      <c r="AZ4244" s="82"/>
      <c r="BA4244" s="84" t="s">
        <v>152</v>
      </c>
      <c r="BB4244" s="84" t="str">
        <f>IFERROR(__xludf.DUMMYFUNCTION("iferror(if(A4244="""",,E4244&gt;=FILTER(Constants!$F$2:$F$10,Constants!$A$2:$A$10=A4244)))"),"")</f>
        <v/>
      </c>
    </row>
    <row r="4245">
      <c r="A4245" s="89"/>
      <c r="B4245" s="87"/>
      <c r="C4245" s="73"/>
      <c r="D4245" s="73"/>
      <c r="E4245" s="82"/>
      <c r="F4245" s="82"/>
      <c r="G4245" s="86"/>
      <c r="H4245" s="86"/>
      <c r="I4245" s="86"/>
      <c r="J4245" s="82"/>
      <c r="K4245" s="82"/>
      <c r="L4245" s="82"/>
      <c r="M4245" s="82"/>
      <c r="N4245" s="82"/>
      <c r="O4245" s="82"/>
      <c r="P4245" s="82"/>
      <c r="Q4245" s="82"/>
      <c r="R4245" s="82"/>
      <c r="S4245" s="82"/>
      <c r="T4245" s="82"/>
      <c r="U4245" s="82"/>
      <c r="V4245" s="82"/>
      <c r="W4245" s="82"/>
      <c r="X4245" s="82"/>
      <c r="Y4245" s="82"/>
      <c r="Z4245" s="82"/>
      <c r="AA4245" s="82"/>
      <c r="AB4245" s="82"/>
      <c r="AC4245" s="82"/>
      <c r="AD4245" s="82"/>
      <c r="AE4245" s="82"/>
      <c r="AF4245" s="82"/>
      <c r="AG4245" s="82"/>
      <c r="AH4245" s="82"/>
      <c r="AI4245" s="82"/>
      <c r="AJ4245" s="82"/>
      <c r="AK4245" s="82"/>
      <c r="AL4245" s="82"/>
      <c r="AM4245" s="82"/>
      <c r="AN4245" s="82">
        <f>IFERROR(__xludf.DUMMYFUNCTION("""COMPUTED_VALUE"""),0.0)</f>
        <v>0</v>
      </c>
      <c r="AO4245" s="82">
        <f>IFERROR(__xludf.DUMMYFUNCTION("""COMPUTED_VALUE"""),0.0)</f>
        <v>0</v>
      </c>
      <c r="AP4245" s="82">
        <f>IFERROR(__xludf.DUMMYFUNCTION("""COMPUTED_VALUE"""),0.0)</f>
        <v>0</v>
      </c>
      <c r="AQ4245" s="82">
        <f>IFERROR(__xludf.DUMMYFUNCTION("""COMPUTED_VALUE"""),0.0)</f>
        <v>0</v>
      </c>
      <c r="AR4245" s="82">
        <f>IFERROR(__xludf.DUMMYFUNCTION("""COMPUTED_VALUE"""),0.0)</f>
        <v>0</v>
      </c>
      <c r="AS4245" s="82"/>
      <c r="AT4245" s="82">
        <f>IFERROR(__xludf.DUMMYFUNCTION("""COMPUTED_VALUE"""),0.0)</f>
        <v>0</v>
      </c>
      <c r="AU4245" s="82"/>
      <c r="AV4245" s="82"/>
      <c r="AW4245" s="82" t="str">
        <f t="shared" si="1"/>
        <v/>
      </c>
      <c r="AX4245" s="83" t="str">
        <f t="array" ref="AX4245">IFERROR(DGET('SBV Import'!A:G,"SBV",{"RSC ID","Tier";B4245,A4245}))</f>
        <v/>
      </c>
      <c r="AY4245" s="82" t="str">
        <f t="shared" si="2"/>
        <v/>
      </c>
      <c r="AZ4245" s="82"/>
      <c r="BA4245" s="84" t="s">
        <v>152</v>
      </c>
      <c r="BB4245" s="84" t="str">
        <f>IFERROR(__xludf.DUMMYFUNCTION("iferror(if(A4245="""",,E4245&gt;=FILTER(Constants!$F$2:$F$10,Constants!$A$2:$A$10=A4245)))"),"")</f>
        <v/>
      </c>
    </row>
    <row r="4246">
      <c r="A4246" s="89"/>
      <c r="B4246" s="87"/>
      <c r="C4246" s="73"/>
      <c r="D4246" s="73"/>
      <c r="E4246" s="82"/>
      <c r="F4246" s="82"/>
      <c r="G4246" s="86"/>
      <c r="H4246" s="86"/>
      <c r="I4246" s="86"/>
      <c r="J4246" s="82"/>
      <c r="K4246" s="82"/>
      <c r="L4246" s="82"/>
      <c r="M4246" s="82"/>
      <c r="N4246" s="82"/>
      <c r="O4246" s="82"/>
      <c r="P4246" s="82"/>
      <c r="Q4246" s="82"/>
      <c r="R4246" s="82"/>
      <c r="S4246" s="82"/>
      <c r="T4246" s="82"/>
      <c r="U4246" s="82"/>
      <c r="V4246" s="82"/>
      <c r="W4246" s="82"/>
      <c r="X4246" s="82"/>
      <c r="Y4246" s="82"/>
      <c r="Z4246" s="82"/>
      <c r="AA4246" s="82"/>
      <c r="AB4246" s="82"/>
      <c r="AC4246" s="82"/>
      <c r="AD4246" s="82"/>
      <c r="AE4246" s="82"/>
      <c r="AF4246" s="82"/>
      <c r="AG4246" s="82"/>
      <c r="AH4246" s="82"/>
      <c r="AI4246" s="82"/>
      <c r="AJ4246" s="82"/>
      <c r="AK4246" s="82"/>
      <c r="AL4246" s="82"/>
      <c r="AM4246" s="82"/>
      <c r="AN4246" s="82">
        <f>IFERROR(__xludf.DUMMYFUNCTION("""COMPUTED_VALUE"""),0.0)</f>
        <v>0</v>
      </c>
      <c r="AO4246" s="82">
        <f>IFERROR(__xludf.DUMMYFUNCTION("""COMPUTED_VALUE"""),0.0)</f>
        <v>0</v>
      </c>
      <c r="AP4246" s="82">
        <f>IFERROR(__xludf.DUMMYFUNCTION("""COMPUTED_VALUE"""),0.0)</f>
        <v>0</v>
      </c>
      <c r="AQ4246" s="82">
        <f>IFERROR(__xludf.DUMMYFUNCTION("""COMPUTED_VALUE"""),0.0)</f>
        <v>0</v>
      </c>
      <c r="AR4246" s="82">
        <f>IFERROR(__xludf.DUMMYFUNCTION("""COMPUTED_VALUE"""),0.0)</f>
        <v>0</v>
      </c>
      <c r="AS4246" s="82"/>
      <c r="AT4246" s="82">
        <f>IFERROR(__xludf.DUMMYFUNCTION("""COMPUTED_VALUE"""),0.0)</f>
        <v>0</v>
      </c>
      <c r="AU4246" s="82"/>
      <c r="AV4246" s="82"/>
      <c r="AW4246" s="82" t="str">
        <f t="shared" si="1"/>
        <v/>
      </c>
      <c r="AX4246" s="83" t="str">
        <f t="array" ref="AX4246">IFERROR(DGET('SBV Import'!A:G,"SBV",{"RSC ID","Tier";B4246,A4246}))</f>
        <v/>
      </c>
      <c r="AY4246" s="82" t="str">
        <f t="shared" si="2"/>
        <v/>
      </c>
      <c r="AZ4246" s="82"/>
      <c r="BA4246" s="84" t="s">
        <v>152</v>
      </c>
      <c r="BB4246" s="84" t="str">
        <f>IFERROR(__xludf.DUMMYFUNCTION("iferror(if(A4246="""",,E4246&gt;=FILTER(Constants!$F$2:$F$10,Constants!$A$2:$A$10=A4246)))"),"")</f>
        <v/>
      </c>
    </row>
    <row r="4247">
      <c r="A4247" s="89"/>
      <c r="B4247" s="87"/>
      <c r="C4247" s="73"/>
      <c r="D4247" s="73"/>
      <c r="E4247" s="82"/>
      <c r="F4247" s="82"/>
      <c r="G4247" s="86"/>
      <c r="H4247" s="86"/>
      <c r="I4247" s="86"/>
      <c r="J4247" s="82"/>
      <c r="K4247" s="82"/>
      <c r="L4247" s="82"/>
      <c r="M4247" s="82"/>
      <c r="N4247" s="82"/>
      <c r="O4247" s="82"/>
      <c r="P4247" s="82"/>
      <c r="Q4247" s="82"/>
      <c r="R4247" s="82"/>
      <c r="S4247" s="82"/>
      <c r="T4247" s="82"/>
      <c r="U4247" s="82"/>
      <c r="V4247" s="82"/>
      <c r="W4247" s="82"/>
      <c r="X4247" s="82"/>
      <c r="Y4247" s="82"/>
      <c r="Z4247" s="82"/>
      <c r="AA4247" s="82"/>
      <c r="AB4247" s="82"/>
      <c r="AC4247" s="82"/>
      <c r="AD4247" s="82"/>
      <c r="AE4247" s="82"/>
      <c r="AF4247" s="82"/>
      <c r="AG4247" s="82"/>
      <c r="AH4247" s="82"/>
      <c r="AI4247" s="82"/>
      <c r="AJ4247" s="82"/>
      <c r="AK4247" s="82"/>
      <c r="AL4247" s="82"/>
      <c r="AM4247" s="82"/>
      <c r="AN4247" s="82">
        <f>IFERROR(__xludf.DUMMYFUNCTION("""COMPUTED_VALUE"""),0.0)</f>
        <v>0</v>
      </c>
      <c r="AO4247" s="82">
        <f>IFERROR(__xludf.DUMMYFUNCTION("""COMPUTED_VALUE"""),0.0)</f>
        <v>0</v>
      </c>
      <c r="AP4247" s="82">
        <f>IFERROR(__xludf.DUMMYFUNCTION("""COMPUTED_VALUE"""),0.0)</f>
        <v>0</v>
      </c>
      <c r="AQ4247" s="82">
        <f>IFERROR(__xludf.DUMMYFUNCTION("""COMPUTED_VALUE"""),0.0)</f>
        <v>0</v>
      </c>
      <c r="AR4247" s="82">
        <f>IFERROR(__xludf.DUMMYFUNCTION("""COMPUTED_VALUE"""),0.0)</f>
        <v>0</v>
      </c>
      <c r="AS4247" s="82"/>
      <c r="AT4247" s="82">
        <f>IFERROR(__xludf.DUMMYFUNCTION("""COMPUTED_VALUE"""),0.0)</f>
        <v>0</v>
      </c>
      <c r="AU4247" s="82"/>
      <c r="AV4247" s="82"/>
      <c r="AW4247" s="82" t="str">
        <f t="shared" si="1"/>
        <v/>
      </c>
      <c r="AX4247" s="83" t="str">
        <f t="array" ref="AX4247">IFERROR(DGET('SBV Import'!A:G,"SBV",{"RSC ID","Tier";B4247,A4247}))</f>
        <v/>
      </c>
      <c r="AY4247" s="82" t="str">
        <f t="shared" si="2"/>
        <v/>
      </c>
      <c r="AZ4247" s="82"/>
      <c r="BA4247" s="84" t="s">
        <v>152</v>
      </c>
      <c r="BB4247" s="84" t="str">
        <f>IFERROR(__xludf.DUMMYFUNCTION("iferror(if(A4247="""",,E4247&gt;=FILTER(Constants!$F$2:$F$10,Constants!$A$2:$A$10=A4247)))"),"")</f>
        <v/>
      </c>
    </row>
    <row r="4248">
      <c r="A4248" s="89"/>
      <c r="B4248" s="87"/>
      <c r="C4248" s="73"/>
      <c r="D4248" s="73"/>
      <c r="E4248" s="82"/>
      <c r="F4248" s="82"/>
      <c r="G4248" s="86"/>
      <c r="H4248" s="86"/>
      <c r="I4248" s="86"/>
      <c r="J4248" s="82"/>
      <c r="K4248" s="82"/>
      <c r="L4248" s="82"/>
      <c r="M4248" s="82"/>
      <c r="N4248" s="82"/>
      <c r="O4248" s="82"/>
      <c r="P4248" s="82"/>
      <c r="Q4248" s="82"/>
      <c r="R4248" s="82"/>
      <c r="S4248" s="82"/>
      <c r="T4248" s="82"/>
      <c r="U4248" s="82"/>
      <c r="V4248" s="82"/>
      <c r="W4248" s="82"/>
      <c r="X4248" s="82"/>
      <c r="Y4248" s="82"/>
      <c r="Z4248" s="82"/>
      <c r="AA4248" s="82"/>
      <c r="AB4248" s="82"/>
      <c r="AC4248" s="82"/>
      <c r="AD4248" s="82"/>
      <c r="AE4248" s="82"/>
      <c r="AF4248" s="82"/>
      <c r="AG4248" s="82"/>
      <c r="AH4248" s="82"/>
      <c r="AI4248" s="82"/>
      <c r="AJ4248" s="82"/>
      <c r="AK4248" s="82"/>
      <c r="AL4248" s="82"/>
      <c r="AM4248" s="82"/>
      <c r="AN4248" s="82">
        <f>IFERROR(__xludf.DUMMYFUNCTION("""COMPUTED_VALUE"""),0.0)</f>
        <v>0</v>
      </c>
      <c r="AO4248" s="82">
        <f>IFERROR(__xludf.DUMMYFUNCTION("""COMPUTED_VALUE"""),0.0)</f>
        <v>0</v>
      </c>
      <c r="AP4248" s="82">
        <f>IFERROR(__xludf.DUMMYFUNCTION("""COMPUTED_VALUE"""),0.0)</f>
        <v>0</v>
      </c>
      <c r="AQ4248" s="82">
        <f>IFERROR(__xludf.DUMMYFUNCTION("""COMPUTED_VALUE"""),0.0)</f>
        <v>0</v>
      </c>
      <c r="AR4248" s="82">
        <f>IFERROR(__xludf.DUMMYFUNCTION("""COMPUTED_VALUE"""),0.0)</f>
        <v>0</v>
      </c>
      <c r="AS4248" s="82"/>
      <c r="AT4248" s="82">
        <f>IFERROR(__xludf.DUMMYFUNCTION("""COMPUTED_VALUE"""),0.0)</f>
        <v>0</v>
      </c>
      <c r="AU4248" s="82"/>
      <c r="AV4248" s="82"/>
      <c r="AW4248" s="82" t="str">
        <f t="shared" si="1"/>
        <v/>
      </c>
      <c r="AX4248" s="83" t="str">
        <f t="array" ref="AX4248">IFERROR(DGET('SBV Import'!A:G,"SBV",{"RSC ID","Tier";B4248,A4248}))</f>
        <v/>
      </c>
      <c r="AY4248" s="82" t="str">
        <f t="shared" si="2"/>
        <v/>
      </c>
      <c r="AZ4248" s="82"/>
      <c r="BA4248" s="84" t="s">
        <v>152</v>
      </c>
      <c r="BB4248" s="84" t="str">
        <f>IFERROR(__xludf.DUMMYFUNCTION("iferror(if(A4248="""",,E4248&gt;=FILTER(Constants!$F$2:$F$10,Constants!$A$2:$A$10=A4248)))"),"")</f>
        <v/>
      </c>
    </row>
    <row r="4249">
      <c r="A4249" s="89"/>
      <c r="B4249" s="87"/>
      <c r="C4249" s="73"/>
      <c r="D4249" s="73"/>
      <c r="E4249" s="82"/>
      <c r="F4249" s="82"/>
      <c r="G4249" s="86"/>
      <c r="H4249" s="86"/>
      <c r="I4249" s="86"/>
      <c r="J4249" s="82"/>
      <c r="K4249" s="82"/>
      <c r="L4249" s="82"/>
      <c r="M4249" s="82"/>
      <c r="N4249" s="82"/>
      <c r="O4249" s="82"/>
      <c r="P4249" s="82"/>
      <c r="Q4249" s="82"/>
      <c r="R4249" s="82"/>
      <c r="S4249" s="82"/>
      <c r="T4249" s="82"/>
      <c r="U4249" s="82"/>
      <c r="V4249" s="82"/>
      <c r="W4249" s="82"/>
      <c r="X4249" s="82"/>
      <c r="Y4249" s="82"/>
      <c r="Z4249" s="82"/>
      <c r="AA4249" s="82"/>
      <c r="AB4249" s="82"/>
      <c r="AC4249" s="82"/>
      <c r="AD4249" s="82"/>
      <c r="AE4249" s="82"/>
      <c r="AF4249" s="82"/>
      <c r="AG4249" s="82"/>
      <c r="AH4249" s="82"/>
      <c r="AI4249" s="82"/>
      <c r="AJ4249" s="82"/>
      <c r="AK4249" s="82"/>
      <c r="AL4249" s="82"/>
      <c r="AM4249" s="82"/>
      <c r="AN4249" s="82">
        <f>IFERROR(__xludf.DUMMYFUNCTION("""COMPUTED_VALUE"""),0.0)</f>
        <v>0</v>
      </c>
      <c r="AO4249" s="82">
        <f>IFERROR(__xludf.DUMMYFUNCTION("""COMPUTED_VALUE"""),0.0)</f>
        <v>0</v>
      </c>
      <c r="AP4249" s="82">
        <f>IFERROR(__xludf.DUMMYFUNCTION("""COMPUTED_VALUE"""),0.0)</f>
        <v>0</v>
      </c>
      <c r="AQ4249" s="82">
        <f>IFERROR(__xludf.DUMMYFUNCTION("""COMPUTED_VALUE"""),0.0)</f>
        <v>0</v>
      </c>
      <c r="AR4249" s="82">
        <f>IFERROR(__xludf.DUMMYFUNCTION("""COMPUTED_VALUE"""),0.0)</f>
        <v>0</v>
      </c>
      <c r="AS4249" s="82"/>
      <c r="AT4249" s="82">
        <f>IFERROR(__xludf.DUMMYFUNCTION("""COMPUTED_VALUE"""),0.0)</f>
        <v>0</v>
      </c>
      <c r="AU4249" s="82"/>
      <c r="AV4249" s="82"/>
      <c r="AW4249" s="82" t="str">
        <f t="shared" si="1"/>
        <v/>
      </c>
      <c r="AX4249" s="83" t="str">
        <f t="array" ref="AX4249">IFERROR(DGET('SBV Import'!A:G,"SBV",{"RSC ID","Tier";B4249,A4249}))</f>
        <v/>
      </c>
      <c r="AY4249" s="82" t="str">
        <f t="shared" si="2"/>
        <v/>
      </c>
      <c r="AZ4249" s="82"/>
      <c r="BA4249" s="84" t="s">
        <v>152</v>
      </c>
      <c r="BB4249" s="84" t="str">
        <f>IFERROR(__xludf.DUMMYFUNCTION("iferror(if(A4249="""",,E4249&gt;=FILTER(Constants!$F$2:$F$10,Constants!$A$2:$A$10=A4249)))"),"")</f>
        <v/>
      </c>
    </row>
    <row r="4250">
      <c r="A4250" s="89"/>
      <c r="B4250" s="87"/>
      <c r="C4250" s="73"/>
      <c r="D4250" s="73"/>
      <c r="E4250" s="82"/>
      <c r="F4250" s="82"/>
      <c r="G4250" s="86"/>
      <c r="H4250" s="86"/>
      <c r="I4250" s="86"/>
      <c r="J4250" s="82"/>
      <c r="K4250" s="82"/>
      <c r="L4250" s="82"/>
      <c r="M4250" s="82"/>
      <c r="N4250" s="82"/>
      <c r="O4250" s="82"/>
      <c r="P4250" s="82"/>
      <c r="Q4250" s="82"/>
      <c r="R4250" s="82"/>
      <c r="S4250" s="82"/>
      <c r="T4250" s="82"/>
      <c r="U4250" s="82"/>
      <c r="V4250" s="82"/>
      <c r="W4250" s="82"/>
      <c r="X4250" s="82"/>
      <c r="Y4250" s="82"/>
      <c r="Z4250" s="82"/>
      <c r="AA4250" s="82"/>
      <c r="AB4250" s="82"/>
      <c r="AC4250" s="82"/>
      <c r="AD4250" s="82"/>
      <c r="AE4250" s="82"/>
      <c r="AF4250" s="82"/>
      <c r="AG4250" s="82"/>
      <c r="AH4250" s="82"/>
      <c r="AI4250" s="82"/>
      <c r="AJ4250" s="82"/>
      <c r="AK4250" s="82"/>
      <c r="AL4250" s="82"/>
      <c r="AM4250" s="82"/>
      <c r="AN4250" s="82">
        <f>IFERROR(__xludf.DUMMYFUNCTION("""COMPUTED_VALUE"""),0.0)</f>
        <v>0</v>
      </c>
      <c r="AO4250" s="82">
        <f>IFERROR(__xludf.DUMMYFUNCTION("""COMPUTED_VALUE"""),0.0)</f>
        <v>0</v>
      </c>
      <c r="AP4250" s="82">
        <f>IFERROR(__xludf.DUMMYFUNCTION("""COMPUTED_VALUE"""),0.0)</f>
        <v>0</v>
      </c>
      <c r="AQ4250" s="82">
        <f>IFERROR(__xludf.DUMMYFUNCTION("""COMPUTED_VALUE"""),0.0)</f>
        <v>0</v>
      </c>
      <c r="AR4250" s="82">
        <f>IFERROR(__xludf.DUMMYFUNCTION("""COMPUTED_VALUE"""),0.0)</f>
        <v>0</v>
      </c>
      <c r="AS4250" s="82"/>
      <c r="AT4250" s="82">
        <f>IFERROR(__xludf.DUMMYFUNCTION("""COMPUTED_VALUE"""),0.0)</f>
        <v>0</v>
      </c>
      <c r="AU4250" s="82"/>
      <c r="AV4250" s="82"/>
      <c r="AW4250" s="82" t="str">
        <f t="shared" si="1"/>
        <v/>
      </c>
      <c r="AX4250" s="83" t="str">
        <f t="array" ref="AX4250">IFERROR(DGET('SBV Import'!A:G,"SBV",{"RSC ID","Tier";B4250,A4250}))</f>
        <v/>
      </c>
      <c r="AY4250" s="82" t="str">
        <f t="shared" si="2"/>
        <v/>
      </c>
      <c r="AZ4250" s="82"/>
      <c r="BA4250" s="84" t="s">
        <v>152</v>
      </c>
      <c r="BB4250" s="84" t="str">
        <f>IFERROR(__xludf.DUMMYFUNCTION("iferror(if(A4250="""",,E4250&gt;=FILTER(Constants!$F$2:$F$10,Constants!$A$2:$A$10=A4250)))"),"")</f>
        <v/>
      </c>
    </row>
    <row r="4251">
      <c r="A4251" s="89"/>
      <c r="B4251" s="87"/>
      <c r="C4251" s="73"/>
      <c r="D4251" s="73"/>
      <c r="E4251" s="82"/>
      <c r="F4251" s="82"/>
      <c r="G4251" s="86"/>
      <c r="H4251" s="86"/>
      <c r="I4251" s="86"/>
      <c r="J4251" s="82"/>
      <c r="K4251" s="82"/>
      <c r="L4251" s="82"/>
      <c r="M4251" s="82"/>
      <c r="N4251" s="82"/>
      <c r="O4251" s="82"/>
      <c r="P4251" s="82"/>
      <c r="Q4251" s="82"/>
      <c r="R4251" s="82"/>
      <c r="S4251" s="82"/>
      <c r="T4251" s="82"/>
      <c r="U4251" s="82"/>
      <c r="V4251" s="82"/>
      <c r="W4251" s="82"/>
      <c r="X4251" s="82"/>
      <c r="Y4251" s="82"/>
      <c r="Z4251" s="82"/>
      <c r="AA4251" s="82"/>
      <c r="AB4251" s="82"/>
      <c r="AC4251" s="82"/>
      <c r="AD4251" s="82"/>
      <c r="AE4251" s="82"/>
      <c r="AF4251" s="82"/>
      <c r="AG4251" s="82"/>
      <c r="AH4251" s="82"/>
      <c r="AI4251" s="82"/>
      <c r="AJ4251" s="82"/>
      <c r="AK4251" s="82"/>
      <c r="AL4251" s="82"/>
      <c r="AM4251" s="82"/>
      <c r="AN4251" s="82">
        <f>IFERROR(__xludf.DUMMYFUNCTION("""COMPUTED_VALUE"""),0.0)</f>
        <v>0</v>
      </c>
      <c r="AO4251" s="82">
        <f>IFERROR(__xludf.DUMMYFUNCTION("""COMPUTED_VALUE"""),0.0)</f>
        <v>0</v>
      </c>
      <c r="AP4251" s="82">
        <f>IFERROR(__xludf.DUMMYFUNCTION("""COMPUTED_VALUE"""),0.0)</f>
        <v>0</v>
      </c>
      <c r="AQ4251" s="82">
        <f>IFERROR(__xludf.DUMMYFUNCTION("""COMPUTED_VALUE"""),0.0)</f>
        <v>0</v>
      </c>
      <c r="AR4251" s="82">
        <f>IFERROR(__xludf.DUMMYFUNCTION("""COMPUTED_VALUE"""),0.0)</f>
        <v>0</v>
      </c>
      <c r="AS4251" s="82"/>
      <c r="AT4251" s="82">
        <f>IFERROR(__xludf.DUMMYFUNCTION("""COMPUTED_VALUE"""),0.0)</f>
        <v>0</v>
      </c>
      <c r="AU4251" s="82"/>
      <c r="AV4251" s="82"/>
      <c r="AW4251" s="82" t="str">
        <f t="shared" si="1"/>
        <v/>
      </c>
      <c r="AX4251" s="83" t="str">
        <f t="array" ref="AX4251">IFERROR(DGET('SBV Import'!A:G,"SBV",{"RSC ID","Tier";B4251,A4251}))</f>
        <v/>
      </c>
      <c r="AY4251" s="82" t="str">
        <f t="shared" si="2"/>
        <v/>
      </c>
      <c r="AZ4251" s="82"/>
      <c r="BA4251" s="84" t="s">
        <v>152</v>
      </c>
      <c r="BB4251" s="84" t="str">
        <f>IFERROR(__xludf.DUMMYFUNCTION("iferror(if(A4251="""",,E4251&gt;=FILTER(Constants!$F$2:$F$10,Constants!$A$2:$A$10=A4251)))"),"")</f>
        <v/>
      </c>
    </row>
    <row r="4252">
      <c r="A4252" s="89"/>
      <c r="B4252" s="87"/>
      <c r="C4252" s="73"/>
      <c r="D4252" s="73"/>
      <c r="E4252" s="82"/>
      <c r="F4252" s="82"/>
      <c r="G4252" s="86"/>
      <c r="H4252" s="86"/>
      <c r="I4252" s="86"/>
      <c r="J4252" s="82"/>
      <c r="K4252" s="82"/>
      <c r="L4252" s="82"/>
      <c r="M4252" s="82"/>
      <c r="N4252" s="82"/>
      <c r="O4252" s="82"/>
      <c r="P4252" s="82"/>
      <c r="Q4252" s="82"/>
      <c r="R4252" s="82"/>
      <c r="S4252" s="82"/>
      <c r="T4252" s="82"/>
      <c r="U4252" s="82"/>
      <c r="V4252" s="82"/>
      <c r="W4252" s="82"/>
      <c r="X4252" s="82"/>
      <c r="Y4252" s="82"/>
      <c r="Z4252" s="82"/>
      <c r="AA4252" s="82"/>
      <c r="AB4252" s="82"/>
      <c r="AC4252" s="82"/>
      <c r="AD4252" s="82"/>
      <c r="AE4252" s="82"/>
      <c r="AF4252" s="82"/>
      <c r="AG4252" s="82"/>
      <c r="AH4252" s="82"/>
      <c r="AI4252" s="82"/>
      <c r="AJ4252" s="82"/>
      <c r="AK4252" s="82"/>
      <c r="AL4252" s="82"/>
      <c r="AM4252" s="82"/>
      <c r="AN4252" s="82">
        <f>IFERROR(__xludf.DUMMYFUNCTION("""COMPUTED_VALUE"""),0.0)</f>
        <v>0</v>
      </c>
      <c r="AO4252" s="82">
        <f>IFERROR(__xludf.DUMMYFUNCTION("""COMPUTED_VALUE"""),0.0)</f>
        <v>0</v>
      </c>
      <c r="AP4252" s="82">
        <f>IFERROR(__xludf.DUMMYFUNCTION("""COMPUTED_VALUE"""),0.0)</f>
        <v>0</v>
      </c>
      <c r="AQ4252" s="82">
        <f>IFERROR(__xludf.DUMMYFUNCTION("""COMPUTED_VALUE"""),0.0)</f>
        <v>0</v>
      </c>
      <c r="AR4252" s="82">
        <f>IFERROR(__xludf.DUMMYFUNCTION("""COMPUTED_VALUE"""),0.0)</f>
        <v>0</v>
      </c>
      <c r="AS4252" s="82"/>
      <c r="AT4252" s="82">
        <f>IFERROR(__xludf.DUMMYFUNCTION("""COMPUTED_VALUE"""),0.0)</f>
        <v>0</v>
      </c>
      <c r="AU4252" s="82"/>
      <c r="AV4252" s="82"/>
      <c r="AW4252" s="82" t="str">
        <f t="shared" si="1"/>
        <v/>
      </c>
      <c r="AX4252" s="83" t="str">
        <f t="array" ref="AX4252">IFERROR(DGET('SBV Import'!A:G,"SBV",{"RSC ID","Tier";B4252,A4252}))</f>
        <v/>
      </c>
      <c r="AY4252" s="82" t="str">
        <f t="shared" si="2"/>
        <v/>
      </c>
      <c r="AZ4252" s="82"/>
      <c r="BA4252" s="84" t="s">
        <v>152</v>
      </c>
      <c r="BB4252" s="84" t="str">
        <f>IFERROR(__xludf.DUMMYFUNCTION("iferror(if(A4252="""",,E4252&gt;=FILTER(Constants!$F$2:$F$10,Constants!$A$2:$A$10=A4252)))"),"")</f>
        <v/>
      </c>
    </row>
    <row r="4253">
      <c r="A4253" s="89"/>
      <c r="B4253" s="87"/>
      <c r="C4253" s="73"/>
      <c r="D4253" s="73"/>
      <c r="E4253" s="82"/>
      <c r="F4253" s="82"/>
      <c r="G4253" s="86"/>
      <c r="H4253" s="86"/>
      <c r="I4253" s="86"/>
      <c r="J4253" s="82"/>
      <c r="K4253" s="82"/>
      <c r="L4253" s="82"/>
      <c r="M4253" s="82"/>
      <c r="N4253" s="82"/>
      <c r="O4253" s="82"/>
      <c r="P4253" s="82"/>
      <c r="Q4253" s="82"/>
      <c r="R4253" s="82"/>
      <c r="S4253" s="82"/>
      <c r="T4253" s="82"/>
      <c r="U4253" s="82"/>
      <c r="V4253" s="82"/>
      <c r="W4253" s="82"/>
      <c r="X4253" s="82"/>
      <c r="Y4253" s="82"/>
      <c r="Z4253" s="82"/>
      <c r="AA4253" s="82"/>
      <c r="AB4253" s="82"/>
      <c r="AC4253" s="82"/>
      <c r="AD4253" s="82"/>
      <c r="AE4253" s="82"/>
      <c r="AF4253" s="82"/>
      <c r="AG4253" s="82"/>
      <c r="AH4253" s="82"/>
      <c r="AI4253" s="82"/>
      <c r="AJ4253" s="82"/>
      <c r="AK4253" s="82"/>
      <c r="AL4253" s="82"/>
      <c r="AM4253" s="82"/>
      <c r="AN4253" s="82">
        <f>IFERROR(__xludf.DUMMYFUNCTION("""COMPUTED_VALUE"""),0.0)</f>
        <v>0</v>
      </c>
      <c r="AO4253" s="82">
        <f>IFERROR(__xludf.DUMMYFUNCTION("""COMPUTED_VALUE"""),0.0)</f>
        <v>0</v>
      </c>
      <c r="AP4253" s="82">
        <f>IFERROR(__xludf.DUMMYFUNCTION("""COMPUTED_VALUE"""),0.0)</f>
        <v>0</v>
      </c>
      <c r="AQ4253" s="82">
        <f>IFERROR(__xludf.DUMMYFUNCTION("""COMPUTED_VALUE"""),0.0)</f>
        <v>0</v>
      </c>
      <c r="AR4253" s="82">
        <f>IFERROR(__xludf.DUMMYFUNCTION("""COMPUTED_VALUE"""),0.0)</f>
        <v>0</v>
      </c>
      <c r="AS4253" s="82"/>
      <c r="AT4253" s="82">
        <f>IFERROR(__xludf.DUMMYFUNCTION("""COMPUTED_VALUE"""),0.0)</f>
        <v>0</v>
      </c>
      <c r="AU4253" s="82"/>
      <c r="AV4253" s="82"/>
      <c r="AW4253" s="82" t="str">
        <f t="shared" si="1"/>
        <v/>
      </c>
      <c r="AX4253" s="83" t="str">
        <f t="array" ref="AX4253">IFERROR(DGET('SBV Import'!A:G,"SBV",{"RSC ID","Tier";B4253,A4253}))</f>
        <v/>
      </c>
      <c r="AY4253" s="82" t="str">
        <f t="shared" si="2"/>
        <v/>
      </c>
      <c r="AZ4253" s="82"/>
      <c r="BA4253" s="84" t="s">
        <v>152</v>
      </c>
      <c r="BB4253" s="84" t="str">
        <f>IFERROR(__xludf.DUMMYFUNCTION("iferror(if(A4253="""",,E4253&gt;=FILTER(Constants!$F$2:$F$10,Constants!$A$2:$A$10=A4253)))"),"")</f>
        <v/>
      </c>
    </row>
    <row r="4254">
      <c r="A4254" s="89"/>
      <c r="B4254" s="87"/>
      <c r="C4254" s="73"/>
      <c r="D4254" s="73"/>
      <c r="E4254" s="82"/>
      <c r="F4254" s="82"/>
      <c r="G4254" s="86"/>
      <c r="H4254" s="86"/>
      <c r="I4254" s="86"/>
      <c r="J4254" s="82"/>
      <c r="K4254" s="82"/>
      <c r="L4254" s="82"/>
      <c r="M4254" s="82"/>
      <c r="N4254" s="82"/>
      <c r="O4254" s="82"/>
      <c r="P4254" s="82"/>
      <c r="Q4254" s="82"/>
      <c r="R4254" s="82"/>
      <c r="S4254" s="82"/>
      <c r="T4254" s="82"/>
      <c r="U4254" s="82"/>
      <c r="V4254" s="82"/>
      <c r="W4254" s="82"/>
      <c r="X4254" s="82"/>
      <c r="Y4254" s="82"/>
      <c r="Z4254" s="82"/>
      <c r="AA4254" s="82"/>
      <c r="AB4254" s="82"/>
      <c r="AC4254" s="82"/>
      <c r="AD4254" s="82"/>
      <c r="AE4254" s="82"/>
      <c r="AF4254" s="82"/>
      <c r="AG4254" s="82"/>
      <c r="AH4254" s="82"/>
      <c r="AI4254" s="82"/>
      <c r="AJ4254" s="82"/>
      <c r="AK4254" s="82"/>
      <c r="AL4254" s="82"/>
      <c r="AM4254" s="82"/>
      <c r="AN4254" s="82">
        <f>IFERROR(__xludf.DUMMYFUNCTION("""COMPUTED_VALUE"""),0.0)</f>
        <v>0</v>
      </c>
      <c r="AO4254" s="82">
        <f>IFERROR(__xludf.DUMMYFUNCTION("""COMPUTED_VALUE"""),0.0)</f>
        <v>0</v>
      </c>
      <c r="AP4254" s="82">
        <f>IFERROR(__xludf.DUMMYFUNCTION("""COMPUTED_VALUE"""),0.0)</f>
        <v>0</v>
      </c>
      <c r="AQ4254" s="82">
        <f>IFERROR(__xludf.DUMMYFUNCTION("""COMPUTED_VALUE"""),0.0)</f>
        <v>0</v>
      </c>
      <c r="AR4254" s="82">
        <f>IFERROR(__xludf.DUMMYFUNCTION("""COMPUTED_VALUE"""),0.0)</f>
        <v>0</v>
      </c>
      <c r="AS4254" s="82"/>
      <c r="AT4254" s="82">
        <f>IFERROR(__xludf.DUMMYFUNCTION("""COMPUTED_VALUE"""),0.0)</f>
        <v>0</v>
      </c>
      <c r="AU4254" s="82"/>
      <c r="AV4254" s="82"/>
      <c r="AW4254" s="82" t="str">
        <f t="shared" si="1"/>
        <v/>
      </c>
      <c r="AX4254" s="83" t="str">
        <f t="array" ref="AX4254">IFERROR(DGET('SBV Import'!A:G,"SBV",{"RSC ID","Tier";B4254,A4254}))</f>
        <v/>
      </c>
      <c r="AY4254" s="82" t="str">
        <f t="shared" si="2"/>
        <v/>
      </c>
      <c r="AZ4254" s="82"/>
      <c r="BA4254" s="84" t="s">
        <v>152</v>
      </c>
      <c r="BB4254" s="84" t="str">
        <f>IFERROR(__xludf.DUMMYFUNCTION("iferror(if(A4254="""",,E4254&gt;=FILTER(Constants!$F$2:$F$10,Constants!$A$2:$A$10=A4254)))"),"")</f>
        <v/>
      </c>
    </row>
    <row r="4255">
      <c r="A4255" s="89"/>
      <c r="B4255" s="87"/>
      <c r="C4255" s="73"/>
      <c r="D4255" s="73"/>
      <c r="E4255" s="82"/>
      <c r="F4255" s="82"/>
      <c r="G4255" s="86"/>
      <c r="H4255" s="86"/>
      <c r="I4255" s="86"/>
      <c r="J4255" s="82"/>
      <c r="K4255" s="82"/>
      <c r="L4255" s="82"/>
      <c r="M4255" s="82"/>
      <c r="N4255" s="82"/>
      <c r="O4255" s="82"/>
      <c r="P4255" s="82"/>
      <c r="Q4255" s="82"/>
      <c r="R4255" s="82"/>
      <c r="S4255" s="82"/>
      <c r="T4255" s="82"/>
      <c r="U4255" s="82"/>
      <c r="V4255" s="82"/>
      <c r="W4255" s="82"/>
      <c r="X4255" s="82"/>
      <c r="Y4255" s="82"/>
      <c r="Z4255" s="82"/>
      <c r="AA4255" s="82"/>
      <c r="AB4255" s="82"/>
      <c r="AC4255" s="82"/>
      <c r="AD4255" s="82"/>
      <c r="AE4255" s="82"/>
      <c r="AF4255" s="82"/>
      <c r="AG4255" s="82"/>
      <c r="AH4255" s="82"/>
      <c r="AI4255" s="82"/>
      <c r="AJ4255" s="82"/>
      <c r="AK4255" s="82"/>
      <c r="AL4255" s="82"/>
      <c r="AM4255" s="82"/>
      <c r="AN4255" s="82">
        <f>IFERROR(__xludf.DUMMYFUNCTION("""COMPUTED_VALUE"""),0.0)</f>
        <v>0</v>
      </c>
      <c r="AO4255" s="82">
        <f>IFERROR(__xludf.DUMMYFUNCTION("""COMPUTED_VALUE"""),0.0)</f>
        <v>0</v>
      </c>
      <c r="AP4255" s="82">
        <f>IFERROR(__xludf.DUMMYFUNCTION("""COMPUTED_VALUE"""),0.0)</f>
        <v>0</v>
      </c>
      <c r="AQ4255" s="82">
        <f>IFERROR(__xludf.DUMMYFUNCTION("""COMPUTED_VALUE"""),0.0)</f>
        <v>0</v>
      </c>
      <c r="AR4255" s="82">
        <f>IFERROR(__xludf.DUMMYFUNCTION("""COMPUTED_VALUE"""),0.0)</f>
        <v>0</v>
      </c>
      <c r="AS4255" s="82"/>
      <c r="AT4255" s="82">
        <f>IFERROR(__xludf.DUMMYFUNCTION("""COMPUTED_VALUE"""),0.0)</f>
        <v>0</v>
      </c>
      <c r="AU4255" s="82"/>
      <c r="AV4255" s="82"/>
      <c r="AW4255" s="82" t="str">
        <f t="shared" si="1"/>
        <v/>
      </c>
      <c r="AX4255" s="83" t="str">
        <f t="array" ref="AX4255">IFERROR(DGET('SBV Import'!A:G,"SBV",{"RSC ID","Tier";B4255,A4255}))</f>
        <v/>
      </c>
      <c r="AY4255" s="82" t="str">
        <f t="shared" si="2"/>
        <v/>
      </c>
      <c r="AZ4255" s="82"/>
      <c r="BA4255" s="84" t="s">
        <v>152</v>
      </c>
      <c r="BB4255" s="84" t="str">
        <f>IFERROR(__xludf.DUMMYFUNCTION("iferror(if(A4255="""",,E4255&gt;=FILTER(Constants!$F$2:$F$10,Constants!$A$2:$A$10=A4255)))"),"")</f>
        <v/>
      </c>
    </row>
    <row r="4256">
      <c r="A4256" s="89"/>
      <c r="B4256" s="87"/>
      <c r="C4256" s="73"/>
      <c r="D4256" s="73"/>
      <c r="E4256" s="82"/>
      <c r="F4256" s="82"/>
      <c r="G4256" s="86"/>
      <c r="H4256" s="86"/>
      <c r="I4256" s="86"/>
      <c r="J4256" s="82"/>
      <c r="K4256" s="82"/>
      <c r="L4256" s="82"/>
      <c r="M4256" s="82"/>
      <c r="N4256" s="82"/>
      <c r="O4256" s="82"/>
      <c r="P4256" s="82"/>
      <c r="Q4256" s="82"/>
      <c r="R4256" s="82"/>
      <c r="S4256" s="82"/>
      <c r="T4256" s="82"/>
      <c r="U4256" s="82"/>
      <c r="V4256" s="82"/>
      <c r="W4256" s="82"/>
      <c r="X4256" s="82"/>
      <c r="Y4256" s="82"/>
      <c r="Z4256" s="82"/>
      <c r="AA4256" s="82"/>
      <c r="AB4256" s="82"/>
      <c r="AC4256" s="82"/>
      <c r="AD4256" s="82"/>
      <c r="AE4256" s="82"/>
      <c r="AF4256" s="82"/>
      <c r="AG4256" s="82"/>
      <c r="AH4256" s="82"/>
      <c r="AI4256" s="82"/>
      <c r="AJ4256" s="82"/>
      <c r="AK4256" s="82"/>
      <c r="AL4256" s="82"/>
      <c r="AM4256" s="82"/>
      <c r="AN4256" s="82">
        <f>IFERROR(__xludf.DUMMYFUNCTION("""COMPUTED_VALUE"""),0.0)</f>
        <v>0</v>
      </c>
      <c r="AO4256" s="82">
        <f>IFERROR(__xludf.DUMMYFUNCTION("""COMPUTED_VALUE"""),0.0)</f>
        <v>0</v>
      </c>
      <c r="AP4256" s="82">
        <f>IFERROR(__xludf.DUMMYFUNCTION("""COMPUTED_VALUE"""),0.0)</f>
        <v>0</v>
      </c>
      <c r="AQ4256" s="82">
        <f>IFERROR(__xludf.DUMMYFUNCTION("""COMPUTED_VALUE"""),0.0)</f>
        <v>0</v>
      </c>
      <c r="AR4256" s="82">
        <f>IFERROR(__xludf.DUMMYFUNCTION("""COMPUTED_VALUE"""),0.0)</f>
        <v>0</v>
      </c>
      <c r="AS4256" s="82"/>
      <c r="AT4256" s="82">
        <f>IFERROR(__xludf.DUMMYFUNCTION("""COMPUTED_VALUE"""),0.0)</f>
        <v>0</v>
      </c>
      <c r="AU4256" s="82"/>
      <c r="AV4256" s="82"/>
      <c r="AW4256" s="82" t="str">
        <f t="shared" si="1"/>
        <v/>
      </c>
      <c r="AX4256" s="83" t="str">
        <f t="array" ref="AX4256">IFERROR(DGET('SBV Import'!A:G,"SBV",{"RSC ID","Tier";B4256,A4256}))</f>
        <v/>
      </c>
      <c r="AY4256" s="82" t="str">
        <f t="shared" si="2"/>
        <v/>
      </c>
      <c r="AZ4256" s="82"/>
      <c r="BA4256" s="84" t="s">
        <v>152</v>
      </c>
      <c r="BB4256" s="84" t="str">
        <f>IFERROR(__xludf.DUMMYFUNCTION("iferror(if(A4256="""",,E4256&gt;=FILTER(Constants!$F$2:$F$10,Constants!$A$2:$A$10=A4256)))"),"")</f>
        <v/>
      </c>
    </row>
    <row r="4257">
      <c r="A4257" s="89"/>
      <c r="B4257" s="87"/>
      <c r="C4257" s="73"/>
      <c r="D4257" s="73"/>
      <c r="E4257" s="82"/>
      <c r="F4257" s="82"/>
      <c r="G4257" s="86"/>
      <c r="H4257" s="86"/>
      <c r="I4257" s="86"/>
      <c r="J4257" s="82"/>
      <c r="K4257" s="82"/>
      <c r="L4257" s="82"/>
      <c r="M4257" s="82"/>
      <c r="N4257" s="82"/>
      <c r="O4257" s="82"/>
      <c r="P4257" s="82"/>
      <c r="Q4257" s="82"/>
      <c r="R4257" s="82"/>
      <c r="S4257" s="82"/>
      <c r="T4257" s="82"/>
      <c r="U4257" s="82"/>
      <c r="V4257" s="82"/>
      <c r="W4257" s="82"/>
      <c r="X4257" s="82"/>
      <c r="Y4257" s="82"/>
      <c r="Z4257" s="82"/>
      <c r="AA4257" s="82"/>
      <c r="AB4257" s="82"/>
      <c r="AC4257" s="82"/>
      <c r="AD4257" s="82"/>
      <c r="AE4257" s="82"/>
      <c r="AF4257" s="82"/>
      <c r="AG4257" s="82"/>
      <c r="AH4257" s="82"/>
      <c r="AI4257" s="82"/>
      <c r="AJ4257" s="82"/>
      <c r="AK4257" s="82"/>
      <c r="AL4257" s="82"/>
      <c r="AM4257" s="82"/>
      <c r="AN4257" s="82">
        <f>IFERROR(__xludf.DUMMYFUNCTION("""COMPUTED_VALUE"""),0.0)</f>
        <v>0</v>
      </c>
      <c r="AO4257" s="82">
        <f>IFERROR(__xludf.DUMMYFUNCTION("""COMPUTED_VALUE"""),0.0)</f>
        <v>0</v>
      </c>
      <c r="AP4257" s="82">
        <f>IFERROR(__xludf.DUMMYFUNCTION("""COMPUTED_VALUE"""),0.0)</f>
        <v>0</v>
      </c>
      <c r="AQ4257" s="82">
        <f>IFERROR(__xludf.DUMMYFUNCTION("""COMPUTED_VALUE"""),0.0)</f>
        <v>0</v>
      </c>
      <c r="AR4257" s="82">
        <f>IFERROR(__xludf.DUMMYFUNCTION("""COMPUTED_VALUE"""),0.0)</f>
        <v>0</v>
      </c>
      <c r="AS4257" s="82"/>
      <c r="AT4257" s="82">
        <f>IFERROR(__xludf.DUMMYFUNCTION("""COMPUTED_VALUE"""),0.0)</f>
        <v>0</v>
      </c>
      <c r="AU4257" s="82"/>
      <c r="AV4257" s="82"/>
      <c r="AW4257" s="82" t="str">
        <f t="shared" si="1"/>
        <v/>
      </c>
      <c r="AX4257" s="83" t="str">
        <f t="array" ref="AX4257">IFERROR(DGET('SBV Import'!A:G,"SBV",{"RSC ID","Tier";B4257,A4257}))</f>
        <v/>
      </c>
      <c r="AY4257" s="82" t="str">
        <f t="shared" si="2"/>
        <v/>
      </c>
      <c r="AZ4257" s="82"/>
      <c r="BA4257" s="84" t="s">
        <v>152</v>
      </c>
      <c r="BB4257" s="84" t="str">
        <f>IFERROR(__xludf.DUMMYFUNCTION("iferror(if(A4257="""",,E4257&gt;=FILTER(Constants!$F$2:$F$10,Constants!$A$2:$A$10=A4257)))"),"")</f>
        <v/>
      </c>
    </row>
    <row r="4258">
      <c r="A4258" s="89"/>
      <c r="B4258" s="87"/>
      <c r="C4258" s="73"/>
      <c r="D4258" s="73"/>
      <c r="E4258" s="82"/>
      <c r="F4258" s="82"/>
      <c r="G4258" s="86"/>
      <c r="H4258" s="86"/>
      <c r="I4258" s="86"/>
      <c r="J4258" s="82"/>
      <c r="K4258" s="82"/>
      <c r="L4258" s="82"/>
      <c r="M4258" s="82"/>
      <c r="N4258" s="82"/>
      <c r="O4258" s="82"/>
      <c r="P4258" s="82"/>
      <c r="Q4258" s="82"/>
      <c r="R4258" s="82"/>
      <c r="S4258" s="82"/>
      <c r="T4258" s="82"/>
      <c r="U4258" s="82"/>
      <c r="V4258" s="82"/>
      <c r="W4258" s="82"/>
      <c r="X4258" s="82"/>
      <c r="Y4258" s="82"/>
      <c r="Z4258" s="82"/>
      <c r="AA4258" s="82"/>
      <c r="AB4258" s="82"/>
      <c r="AC4258" s="82"/>
      <c r="AD4258" s="82"/>
      <c r="AE4258" s="82"/>
      <c r="AF4258" s="82"/>
      <c r="AG4258" s="82"/>
      <c r="AH4258" s="82"/>
      <c r="AI4258" s="82"/>
      <c r="AJ4258" s="82"/>
      <c r="AK4258" s="82"/>
      <c r="AL4258" s="82"/>
      <c r="AM4258" s="82"/>
      <c r="AN4258" s="82">
        <f>IFERROR(__xludf.DUMMYFUNCTION("""COMPUTED_VALUE"""),0.0)</f>
        <v>0</v>
      </c>
      <c r="AO4258" s="82">
        <f>IFERROR(__xludf.DUMMYFUNCTION("""COMPUTED_VALUE"""),0.0)</f>
        <v>0</v>
      </c>
      <c r="AP4258" s="82">
        <f>IFERROR(__xludf.DUMMYFUNCTION("""COMPUTED_VALUE"""),0.0)</f>
        <v>0</v>
      </c>
      <c r="AQ4258" s="82">
        <f>IFERROR(__xludf.DUMMYFUNCTION("""COMPUTED_VALUE"""),0.0)</f>
        <v>0</v>
      </c>
      <c r="AR4258" s="82">
        <f>IFERROR(__xludf.DUMMYFUNCTION("""COMPUTED_VALUE"""),0.0)</f>
        <v>0</v>
      </c>
      <c r="AS4258" s="82"/>
      <c r="AT4258" s="82">
        <f>IFERROR(__xludf.DUMMYFUNCTION("""COMPUTED_VALUE"""),0.0)</f>
        <v>0</v>
      </c>
      <c r="AU4258" s="82"/>
      <c r="AV4258" s="82"/>
      <c r="AW4258" s="82" t="str">
        <f t="shared" si="1"/>
        <v/>
      </c>
      <c r="AX4258" s="83" t="str">
        <f t="array" ref="AX4258">IFERROR(DGET('SBV Import'!A:G,"SBV",{"RSC ID","Tier";B4258,A4258}))</f>
        <v/>
      </c>
      <c r="AY4258" s="82" t="str">
        <f t="shared" si="2"/>
        <v/>
      </c>
      <c r="AZ4258" s="82"/>
      <c r="BA4258" s="84" t="s">
        <v>152</v>
      </c>
      <c r="BB4258" s="84" t="str">
        <f>IFERROR(__xludf.DUMMYFUNCTION("iferror(if(A4258="""",,E4258&gt;=FILTER(Constants!$F$2:$F$10,Constants!$A$2:$A$10=A4258)))"),"")</f>
        <v/>
      </c>
    </row>
    <row r="4259">
      <c r="A4259" s="89"/>
      <c r="B4259" s="87"/>
      <c r="C4259" s="73"/>
      <c r="D4259" s="73"/>
      <c r="E4259" s="82"/>
      <c r="F4259" s="82"/>
      <c r="G4259" s="86"/>
      <c r="H4259" s="86"/>
      <c r="I4259" s="86"/>
      <c r="J4259" s="82"/>
      <c r="K4259" s="82"/>
      <c r="L4259" s="82"/>
      <c r="M4259" s="82"/>
      <c r="N4259" s="82"/>
      <c r="O4259" s="82"/>
      <c r="P4259" s="82"/>
      <c r="Q4259" s="82"/>
      <c r="R4259" s="82"/>
      <c r="S4259" s="82"/>
      <c r="T4259" s="82"/>
      <c r="U4259" s="82"/>
      <c r="V4259" s="82"/>
      <c r="W4259" s="82"/>
      <c r="X4259" s="82"/>
      <c r="Y4259" s="82"/>
      <c r="Z4259" s="82"/>
      <c r="AA4259" s="82"/>
      <c r="AB4259" s="82"/>
      <c r="AC4259" s="82"/>
      <c r="AD4259" s="82"/>
      <c r="AE4259" s="82"/>
      <c r="AF4259" s="82"/>
      <c r="AG4259" s="82"/>
      <c r="AH4259" s="82"/>
      <c r="AI4259" s="82"/>
      <c r="AJ4259" s="82"/>
      <c r="AK4259" s="82"/>
      <c r="AL4259" s="82"/>
      <c r="AM4259" s="82"/>
      <c r="AN4259" s="82">
        <f>IFERROR(__xludf.DUMMYFUNCTION("""COMPUTED_VALUE"""),0.0)</f>
        <v>0</v>
      </c>
      <c r="AO4259" s="82">
        <f>IFERROR(__xludf.DUMMYFUNCTION("""COMPUTED_VALUE"""),0.0)</f>
        <v>0</v>
      </c>
      <c r="AP4259" s="82">
        <f>IFERROR(__xludf.DUMMYFUNCTION("""COMPUTED_VALUE"""),0.0)</f>
        <v>0</v>
      </c>
      <c r="AQ4259" s="82">
        <f>IFERROR(__xludf.DUMMYFUNCTION("""COMPUTED_VALUE"""),0.0)</f>
        <v>0</v>
      </c>
      <c r="AR4259" s="82">
        <f>IFERROR(__xludf.DUMMYFUNCTION("""COMPUTED_VALUE"""),0.0)</f>
        <v>0</v>
      </c>
      <c r="AS4259" s="82"/>
      <c r="AT4259" s="82">
        <f>IFERROR(__xludf.DUMMYFUNCTION("""COMPUTED_VALUE"""),0.0)</f>
        <v>0</v>
      </c>
      <c r="AU4259" s="82"/>
      <c r="AV4259" s="82"/>
      <c r="AW4259" s="82" t="str">
        <f t="shared" si="1"/>
        <v/>
      </c>
      <c r="AX4259" s="83" t="str">
        <f t="array" ref="AX4259">IFERROR(DGET('SBV Import'!A:G,"SBV",{"RSC ID","Tier";B4259,A4259}))</f>
        <v/>
      </c>
      <c r="AY4259" s="82" t="str">
        <f t="shared" si="2"/>
        <v/>
      </c>
      <c r="AZ4259" s="82"/>
      <c r="BA4259" s="84" t="s">
        <v>152</v>
      </c>
      <c r="BB4259" s="84" t="str">
        <f>IFERROR(__xludf.DUMMYFUNCTION("iferror(if(A4259="""",,E4259&gt;=FILTER(Constants!$F$2:$F$10,Constants!$A$2:$A$10=A4259)))"),"")</f>
        <v/>
      </c>
    </row>
    <row r="4260">
      <c r="A4260" s="89"/>
      <c r="B4260" s="87"/>
      <c r="C4260" s="73"/>
      <c r="D4260" s="73"/>
      <c r="E4260" s="82"/>
      <c r="F4260" s="82"/>
      <c r="G4260" s="86"/>
      <c r="H4260" s="86"/>
      <c r="I4260" s="86"/>
      <c r="J4260" s="82"/>
      <c r="K4260" s="82"/>
      <c r="L4260" s="82"/>
      <c r="M4260" s="82"/>
      <c r="N4260" s="82"/>
      <c r="O4260" s="82"/>
      <c r="P4260" s="82"/>
      <c r="Q4260" s="82"/>
      <c r="R4260" s="82"/>
      <c r="S4260" s="82"/>
      <c r="T4260" s="82"/>
      <c r="U4260" s="82"/>
      <c r="V4260" s="82"/>
      <c r="W4260" s="82"/>
      <c r="X4260" s="82"/>
      <c r="Y4260" s="82"/>
      <c r="Z4260" s="82"/>
      <c r="AA4260" s="82"/>
      <c r="AB4260" s="82"/>
      <c r="AC4260" s="82"/>
      <c r="AD4260" s="82"/>
      <c r="AE4260" s="82"/>
      <c r="AF4260" s="82"/>
      <c r="AG4260" s="82"/>
      <c r="AH4260" s="82"/>
      <c r="AI4260" s="82"/>
      <c r="AJ4260" s="82"/>
      <c r="AK4260" s="82"/>
      <c r="AL4260" s="82"/>
      <c r="AM4260" s="82"/>
      <c r="AN4260" s="82">
        <f>IFERROR(__xludf.DUMMYFUNCTION("""COMPUTED_VALUE"""),0.0)</f>
        <v>0</v>
      </c>
      <c r="AO4260" s="82">
        <f>IFERROR(__xludf.DUMMYFUNCTION("""COMPUTED_VALUE"""),0.0)</f>
        <v>0</v>
      </c>
      <c r="AP4260" s="82">
        <f>IFERROR(__xludf.DUMMYFUNCTION("""COMPUTED_VALUE"""),0.0)</f>
        <v>0</v>
      </c>
      <c r="AQ4260" s="82">
        <f>IFERROR(__xludf.DUMMYFUNCTION("""COMPUTED_VALUE"""),0.0)</f>
        <v>0</v>
      </c>
      <c r="AR4260" s="82">
        <f>IFERROR(__xludf.DUMMYFUNCTION("""COMPUTED_VALUE"""),0.0)</f>
        <v>0</v>
      </c>
      <c r="AS4260" s="82"/>
      <c r="AT4260" s="82">
        <f>IFERROR(__xludf.DUMMYFUNCTION("""COMPUTED_VALUE"""),0.0)</f>
        <v>0</v>
      </c>
      <c r="AU4260" s="82"/>
      <c r="AV4260" s="82"/>
      <c r="AW4260" s="82" t="str">
        <f t="shared" si="1"/>
        <v/>
      </c>
      <c r="AX4260" s="83" t="str">
        <f t="array" ref="AX4260">IFERROR(DGET('SBV Import'!A:G,"SBV",{"RSC ID","Tier";B4260,A4260}))</f>
        <v/>
      </c>
      <c r="AY4260" s="82" t="str">
        <f t="shared" si="2"/>
        <v/>
      </c>
      <c r="AZ4260" s="82"/>
      <c r="BA4260" s="84" t="s">
        <v>152</v>
      </c>
      <c r="BB4260" s="84" t="str">
        <f>IFERROR(__xludf.DUMMYFUNCTION("iferror(if(A4260="""",,E4260&gt;=FILTER(Constants!$F$2:$F$10,Constants!$A$2:$A$10=A4260)))"),"")</f>
        <v/>
      </c>
    </row>
    <row r="4261">
      <c r="A4261" s="89"/>
      <c r="B4261" s="87"/>
      <c r="C4261" s="73"/>
      <c r="D4261" s="73"/>
      <c r="E4261" s="82"/>
      <c r="F4261" s="82"/>
      <c r="G4261" s="86"/>
      <c r="H4261" s="86"/>
      <c r="I4261" s="86"/>
      <c r="J4261" s="82"/>
      <c r="K4261" s="82"/>
      <c r="L4261" s="82"/>
      <c r="M4261" s="82"/>
      <c r="N4261" s="82"/>
      <c r="O4261" s="82"/>
      <c r="P4261" s="82"/>
      <c r="Q4261" s="82"/>
      <c r="R4261" s="82"/>
      <c r="S4261" s="82"/>
      <c r="T4261" s="82"/>
      <c r="U4261" s="82"/>
      <c r="V4261" s="82"/>
      <c r="W4261" s="82"/>
      <c r="X4261" s="82"/>
      <c r="Y4261" s="82"/>
      <c r="Z4261" s="82"/>
      <c r="AA4261" s="82"/>
      <c r="AB4261" s="82"/>
      <c r="AC4261" s="82"/>
      <c r="AD4261" s="82"/>
      <c r="AE4261" s="82"/>
      <c r="AF4261" s="82"/>
      <c r="AG4261" s="82"/>
      <c r="AH4261" s="82"/>
      <c r="AI4261" s="82"/>
      <c r="AJ4261" s="82"/>
      <c r="AK4261" s="82"/>
      <c r="AL4261" s="82"/>
      <c r="AM4261" s="82"/>
      <c r="AN4261" s="82">
        <f>IFERROR(__xludf.DUMMYFUNCTION("""COMPUTED_VALUE"""),0.0)</f>
        <v>0</v>
      </c>
      <c r="AO4261" s="82">
        <f>IFERROR(__xludf.DUMMYFUNCTION("""COMPUTED_VALUE"""),0.0)</f>
        <v>0</v>
      </c>
      <c r="AP4261" s="82">
        <f>IFERROR(__xludf.DUMMYFUNCTION("""COMPUTED_VALUE"""),0.0)</f>
        <v>0</v>
      </c>
      <c r="AQ4261" s="82">
        <f>IFERROR(__xludf.DUMMYFUNCTION("""COMPUTED_VALUE"""),0.0)</f>
        <v>0</v>
      </c>
      <c r="AR4261" s="82">
        <f>IFERROR(__xludf.DUMMYFUNCTION("""COMPUTED_VALUE"""),0.0)</f>
        <v>0</v>
      </c>
      <c r="AS4261" s="82"/>
      <c r="AT4261" s="82">
        <f>IFERROR(__xludf.DUMMYFUNCTION("""COMPUTED_VALUE"""),0.0)</f>
        <v>0</v>
      </c>
      <c r="AU4261" s="82"/>
      <c r="AV4261" s="82"/>
      <c r="AW4261" s="82" t="str">
        <f t="shared" si="1"/>
        <v/>
      </c>
      <c r="AX4261" s="83" t="str">
        <f t="array" ref="AX4261">IFERROR(DGET('SBV Import'!A:G,"SBV",{"RSC ID","Tier";B4261,A4261}))</f>
        <v/>
      </c>
      <c r="AY4261" s="82" t="str">
        <f t="shared" si="2"/>
        <v/>
      </c>
      <c r="AZ4261" s="82"/>
      <c r="BA4261" s="84" t="s">
        <v>152</v>
      </c>
      <c r="BB4261" s="84" t="str">
        <f>IFERROR(__xludf.DUMMYFUNCTION("iferror(if(A4261="""",,E4261&gt;=FILTER(Constants!$F$2:$F$10,Constants!$A$2:$A$10=A4261)))"),"")</f>
        <v/>
      </c>
    </row>
    <row r="4262">
      <c r="A4262" s="89"/>
      <c r="B4262" s="87"/>
      <c r="C4262" s="73"/>
      <c r="D4262" s="73"/>
      <c r="E4262" s="82"/>
      <c r="F4262" s="82"/>
      <c r="G4262" s="86"/>
      <c r="H4262" s="86"/>
      <c r="I4262" s="86"/>
      <c r="J4262" s="82"/>
      <c r="K4262" s="82"/>
      <c r="L4262" s="82"/>
      <c r="M4262" s="82"/>
      <c r="N4262" s="82"/>
      <c r="O4262" s="82"/>
      <c r="P4262" s="82"/>
      <c r="Q4262" s="82"/>
      <c r="R4262" s="82"/>
      <c r="S4262" s="82"/>
      <c r="T4262" s="82"/>
      <c r="U4262" s="82"/>
      <c r="V4262" s="82"/>
      <c r="W4262" s="82"/>
      <c r="X4262" s="82"/>
      <c r="Y4262" s="82"/>
      <c r="Z4262" s="82"/>
      <c r="AA4262" s="82"/>
      <c r="AB4262" s="82"/>
      <c r="AC4262" s="82"/>
      <c r="AD4262" s="82"/>
      <c r="AE4262" s="82"/>
      <c r="AF4262" s="82"/>
      <c r="AG4262" s="82"/>
      <c r="AH4262" s="82"/>
      <c r="AI4262" s="82"/>
      <c r="AJ4262" s="82"/>
      <c r="AK4262" s="82"/>
      <c r="AL4262" s="82"/>
      <c r="AM4262" s="82"/>
      <c r="AN4262" s="82">
        <f>IFERROR(__xludf.DUMMYFUNCTION("""COMPUTED_VALUE"""),0.0)</f>
        <v>0</v>
      </c>
      <c r="AO4262" s="82">
        <f>IFERROR(__xludf.DUMMYFUNCTION("""COMPUTED_VALUE"""),0.0)</f>
        <v>0</v>
      </c>
      <c r="AP4262" s="82">
        <f>IFERROR(__xludf.DUMMYFUNCTION("""COMPUTED_VALUE"""),0.0)</f>
        <v>0</v>
      </c>
      <c r="AQ4262" s="82">
        <f>IFERROR(__xludf.DUMMYFUNCTION("""COMPUTED_VALUE"""),0.0)</f>
        <v>0</v>
      </c>
      <c r="AR4262" s="82">
        <f>IFERROR(__xludf.DUMMYFUNCTION("""COMPUTED_VALUE"""),0.0)</f>
        <v>0</v>
      </c>
      <c r="AS4262" s="82"/>
      <c r="AT4262" s="82">
        <f>IFERROR(__xludf.DUMMYFUNCTION("""COMPUTED_VALUE"""),0.0)</f>
        <v>0</v>
      </c>
      <c r="AU4262" s="82"/>
      <c r="AV4262" s="82"/>
      <c r="AW4262" s="82" t="str">
        <f t="shared" si="1"/>
        <v/>
      </c>
      <c r="AX4262" s="83" t="str">
        <f t="array" ref="AX4262">IFERROR(DGET('SBV Import'!A:G,"SBV",{"RSC ID","Tier";B4262,A4262}))</f>
        <v/>
      </c>
      <c r="AY4262" s="82" t="str">
        <f t="shared" si="2"/>
        <v/>
      </c>
      <c r="AZ4262" s="82"/>
      <c r="BA4262" s="84" t="s">
        <v>152</v>
      </c>
      <c r="BB4262" s="84" t="str">
        <f>IFERROR(__xludf.DUMMYFUNCTION("iferror(if(A4262="""",,E4262&gt;=FILTER(Constants!$F$2:$F$10,Constants!$A$2:$A$10=A4262)))"),"")</f>
        <v/>
      </c>
    </row>
    <row r="4263">
      <c r="A4263" s="89"/>
      <c r="B4263" s="87"/>
      <c r="C4263" s="73"/>
      <c r="D4263" s="73"/>
      <c r="E4263" s="82"/>
      <c r="F4263" s="82"/>
      <c r="G4263" s="86"/>
      <c r="H4263" s="86"/>
      <c r="I4263" s="86"/>
      <c r="J4263" s="82"/>
      <c r="K4263" s="82"/>
      <c r="L4263" s="82"/>
      <c r="M4263" s="82"/>
      <c r="N4263" s="82"/>
      <c r="O4263" s="82"/>
      <c r="P4263" s="82"/>
      <c r="Q4263" s="82"/>
      <c r="R4263" s="82"/>
      <c r="S4263" s="82"/>
      <c r="T4263" s="82"/>
      <c r="U4263" s="82"/>
      <c r="V4263" s="82"/>
      <c r="W4263" s="82"/>
      <c r="X4263" s="82"/>
      <c r="Y4263" s="82"/>
      <c r="Z4263" s="82"/>
      <c r="AA4263" s="82"/>
      <c r="AB4263" s="82"/>
      <c r="AC4263" s="82"/>
      <c r="AD4263" s="82"/>
      <c r="AE4263" s="82"/>
      <c r="AF4263" s="82"/>
      <c r="AG4263" s="82"/>
      <c r="AH4263" s="82"/>
      <c r="AI4263" s="82"/>
      <c r="AJ4263" s="82"/>
      <c r="AK4263" s="82"/>
      <c r="AL4263" s="82"/>
      <c r="AM4263" s="82"/>
      <c r="AN4263" s="82">
        <f>IFERROR(__xludf.DUMMYFUNCTION("""COMPUTED_VALUE"""),0.0)</f>
        <v>0</v>
      </c>
      <c r="AO4263" s="82">
        <f>IFERROR(__xludf.DUMMYFUNCTION("""COMPUTED_VALUE"""),0.0)</f>
        <v>0</v>
      </c>
      <c r="AP4263" s="82">
        <f>IFERROR(__xludf.DUMMYFUNCTION("""COMPUTED_VALUE"""),0.0)</f>
        <v>0</v>
      </c>
      <c r="AQ4263" s="82">
        <f>IFERROR(__xludf.DUMMYFUNCTION("""COMPUTED_VALUE"""),0.0)</f>
        <v>0</v>
      </c>
      <c r="AR4263" s="82">
        <f>IFERROR(__xludf.DUMMYFUNCTION("""COMPUTED_VALUE"""),0.0)</f>
        <v>0</v>
      </c>
      <c r="AS4263" s="82"/>
      <c r="AT4263" s="82">
        <f>IFERROR(__xludf.DUMMYFUNCTION("""COMPUTED_VALUE"""),0.0)</f>
        <v>0</v>
      </c>
      <c r="AU4263" s="82"/>
      <c r="AV4263" s="82"/>
      <c r="AW4263" s="82" t="str">
        <f t="shared" si="1"/>
        <v/>
      </c>
      <c r="AX4263" s="83" t="str">
        <f t="array" ref="AX4263">IFERROR(DGET('SBV Import'!A:G,"SBV",{"RSC ID","Tier";B4263,A4263}))</f>
        <v/>
      </c>
      <c r="AY4263" s="82" t="str">
        <f t="shared" si="2"/>
        <v/>
      </c>
      <c r="AZ4263" s="82"/>
      <c r="BA4263" s="84" t="s">
        <v>152</v>
      </c>
      <c r="BB4263" s="84" t="str">
        <f>IFERROR(__xludf.DUMMYFUNCTION("iferror(if(A4263="""",,E4263&gt;=FILTER(Constants!$F$2:$F$10,Constants!$A$2:$A$10=A4263)))"),"")</f>
        <v/>
      </c>
    </row>
    <row r="4264">
      <c r="A4264" s="89"/>
      <c r="B4264" s="87"/>
      <c r="C4264" s="73"/>
      <c r="D4264" s="73"/>
      <c r="E4264" s="82"/>
      <c r="F4264" s="82"/>
      <c r="G4264" s="86"/>
      <c r="H4264" s="86"/>
      <c r="I4264" s="86"/>
      <c r="J4264" s="82"/>
      <c r="K4264" s="82"/>
      <c r="L4264" s="82"/>
      <c r="M4264" s="82"/>
      <c r="N4264" s="82"/>
      <c r="O4264" s="82"/>
      <c r="P4264" s="82"/>
      <c r="Q4264" s="82"/>
      <c r="R4264" s="82"/>
      <c r="S4264" s="82"/>
      <c r="T4264" s="82"/>
      <c r="U4264" s="82"/>
      <c r="V4264" s="82"/>
      <c r="W4264" s="82"/>
      <c r="X4264" s="82"/>
      <c r="Y4264" s="82"/>
      <c r="Z4264" s="82"/>
      <c r="AA4264" s="82"/>
      <c r="AB4264" s="82"/>
      <c r="AC4264" s="82"/>
      <c r="AD4264" s="82"/>
      <c r="AE4264" s="82"/>
      <c r="AF4264" s="82"/>
      <c r="AG4264" s="82"/>
      <c r="AH4264" s="82"/>
      <c r="AI4264" s="82"/>
      <c r="AJ4264" s="82"/>
      <c r="AK4264" s="82"/>
      <c r="AL4264" s="82"/>
      <c r="AM4264" s="82"/>
      <c r="AN4264" s="82">
        <f>IFERROR(__xludf.DUMMYFUNCTION("""COMPUTED_VALUE"""),0.0)</f>
        <v>0</v>
      </c>
      <c r="AO4264" s="82">
        <f>IFERROR(__xludf.DUMMYFUNCTION("""COMPUTED_VALUE"""),0.0)</f>
        <v>0</v>
      </c>
      <c r="AP4264" s="82">
        <f>IFERROR(__xludf.DUMMYFUNCTION("""COMPUTED_VALUE"""),0.0)</f>
        <v>0</v>
      </c>
      <c r="AQ4264" s="82">
        <f>IFERROR(__xludf.DUMMYFUNCTION("""COMPUTED_VALUE"""),0.0)</f>
        <v>0</v>
      </c>
      <c r="AR4264" s="82">
        <f>IFERROR(__xludf.DUMMYFUNCTION("""COMPUTED_VALUE"""),0.0)</f>
        <v>0</v>
      </c>
      <c r="AS4264" s="82"/>
      <c r="AT4264" s="82">
        <f>IFERROR(__xludf.DUMMYFUNCTION("""COMPUTED_VALUE"""),0.0)</f>
        <v>0</v>
      </c>
      <c r="AU4264" s="82"/>
      <c r="AV4264" s="82"/>
      <c r="AW4264" s="82" t="str">
        <f t="shared" si="1"/>
        <v/>
      </c>
      <c r="AX4264" s="83" t="str">
        <f t="array" ref="AX4264">IFERROR(DGET('SBV Import'!A:G,"SBV",{"RSC ID","Tier";B4264,A4264}))</f>
        <v/>
      </c>
      <c r="AY4264" s="82" t="str">
        <f t="shared" si="2"/>
        <v/>
      </c>
      <c r="AZ4264" s="82"/>
      <c r="BA4264" s="84" t="s">
        <v>152</v>
      </c>
      <c r="BB4264" s="84" t="str">
        <f>IFERROR(__xludf.DUMMYFUNCTION("iferror(if(A4264="""",,E4264&gt;=FILTER(Constants!$F$2:$F$10,Constants!$A$2:$A$10=A4264)))"),"")</f>
        <v/>
      </c>
    </row>
    <row r="4265">
      <c r="A4265" s="89"/>
      <c r="B4265" s="87"/>
      <c r="C4265" s="73"/>
      <c r="D4265" s="73"/>
      <c r="E4265" s="82"/>
      <c r="F4265" s="82"/>
      <c r="G4265" s="86"/>
      <c r="H4265" s="86"/>
      <c r="I4265" s="86"/>
      <c r="J4265" s="82"/>
      <c r="K4265" s="82"/>
      <c r="L4265" s="82"/>
      <c r="M4265" s="82"/>
      <c r="N4265" s="82"/>
      <c r="O4265" s="82"/>
      <c r="P4265" s="82"/>
      <c r="Q4265" s="82"/>
      <c r="R4265" s="82"/>
      <c r="S4265" s="82"/>
      <c r="T4265" s="82"/>
      <c r="U4265" s="82"/>
      <c r="V4265" s="82"/>
      <c r="W4265" s="82"/>
      <c r="X4265" s="82"/>
      <c r="Y4265" s="82"/>
      <c r="Z4265" s="82"/>
      <c r="AA4265" s="82"/>
      <c r="AB4265" s="82"/>
      <c r="AC4265" s="82"/>
      <c r="AD4265" s="82"/>
      <c r="AE4265" s="82"/>
      <c r="AF4265" s="82"/>
      <c r="AG4265" s="82"/>
      <c r="AH4265" s="82"/>
      <c r="AI4265" s="82"/>
      <c r="AJ4265" s="82"/>
      <c r="AK4265" s="82"/>
      <c r="AL4265" s="82"/>
      <c r="AM4265" s="82"/>
      <c r="AN4265" s="82">
        <f>IFERROR(__xludf.DUMMYFUNCTION("""COMPUTED_VALUE"""),0.0)</f>
        <v>0</v>
      </c>
      <c r="AO4265" s="82">
        <f>IFERROR(__xludf.DUMMYFUNCTION("""COMPUTED_VALUE"""),0.0)</f>
        <v>0</v>
      </c>
      <c r="AP4265" s="82">
        <f>IFERROR(__xludf.DUMMYFUNCTION("""COMPUTED_VALUE"""),0.0)</f>
        <v>0</v>
      </c>
      <c r="AQ4265" s="82">
        <f>IFERROR(__xludf.DUMMYFUNCTION("""COMPUTED_VALUE"""),0.0)</f>
        <v>0</v>
      </c>
      <c r="AR4265" s="82">
        <f>IFERROR(__xludf.DUMMYFUNCTION("""COMPUTED_VALUE"""),0.0)</f>
        <v>0</v>
      </c>
      <c r="AS4265" s="82"/>
      <c r="AT4265" s="82">
        <f>IFERROR(__xludf.DUMMYFUNCTION("""COMPUTED_VALUE"""),0.0)</f>
        <v>0</v>
      </c>
      <c r="AU4265" s="82"/>
      <c r="AV4265" s="82"/>
      <c r="AW4265" s="82" t="str">
        <f t="shared" si="1"/>
        <v/>
      </c>
      <c r="AX4265" s="83" t="str">
        <f t="array" ref="AX4265">IFERROR(DGET('SBV Import'!A:G,"SBV",{"RSC ID","Tier";B4265,A4265}))</f>
        <v/>
      </c>
      <c r="AY4265" s="82" t="str">
        <f t="shared" si="2"/>
        <v/>
      </c>
      <c r="AZ4265" s="82"/>
      <c r="BA4265" s="84" t="s">
        <v>152</v>
      </c>
      <c r="BB4265" s="84" t="str">
        <f>IFERROR(__xludf.DUMMYFUNCTION("iferror(if(A4265="""",,E4265&gt;=FILTER(Constants!$F$2:$F$10,Constants!$A$2:$A$10=A4265)))"),"")</f>
        <v/>
      </c>
    </row>
    <row r="4266">
      <c r="A4266" s="89"/>
      <c r="B4266" s="87"/>
      <c r="C4266" s="73"/>
      <c r="D4266" s="73"/>
      <c r="E4266" s="82"/>
      <c r="F4266" s="82"/>
      <c r="G4266" s="86"/>
      <c r="H4266" s="86"/>
      <c r="I4266" s="86"/>
      <c r="J4266" s="82"/>
      <c r="K4266" s="82"/>
      <c r="L4266" s="82"/>
      <c r="M4266" s="82"/>
      <c r="N4266" s="82"/>
      <c r="O4266" s="82"/>
      <c r="P4266" s="82"/>
      <c r="Q4266" s="82"/>
      <c r="R4266" s="82"/>
      <c r="S4266" s="82"/>
      <c r="T4266" s="82"/>
      <c r="U4266" s="82"/>
      <c r="V4266" s="82"/>
      <c r="W4266" s="82"/>
      <c r="X4266" s="82"/>
      <c r="Y4266" s="82"/>
      <c r="Z4266" s="82"/>
      <c r="AA4266" s="82"/>
      <c r="AB4266" s="82"/>
      <c r="AC4266" s="82"/>
      <c r="AD4266" s="82"/>
      <c r="AE4266" s="82"/>
      <c r="AF4266" s="82"/>
      <c r="AG4266" s="82"/>
      <c r="AH4266" s="82"/>
      <c r="AI4266" s="82"/>
      <c r="AJ4266" s="82"/>
      <c r="AK4266" s="82"/>
      <c r="AL4266" s="82"/>
      <c r="AM4266" s="82"/>
      <c r="AN4266" s="82">
        <f>IFERROR(__xludf.DUMMYFUNCTION("""COMPUTED_VALUE"""),0.0)</f>
        <v>0</v>
      </c>
      <c r="AO4266" s="82">
        <f>IFERROR(__xludf.DUMMYFUNCTION("""COMPUTED_VALUE"""),0.0)</f>
        <v>0</v>
      </c>
      <c r="AP4266" s="82">
        <f>IFERROR(__xludf.DUMMYFUNCTION("""COMPUTED_VALUE"""),0.0)</f>
        <v>0</v>
      </c>
      <c r="AQ4266" s="82">
        <f>IFERROR(__xludf.DUMMYFUNCTION("""COMPUTED_VALUE"""),0.0)</f>
        <v>0</v>
      </c>
      <c r="AR4266" s="82">
        <f>IFERROR(__xludf.DUMMYFUNCTION("""COMPUTED_VALUE"""),0.0)</f>
        <v>0</v>
      </c>
      <c r="AS4266" s="82"/>
      <c r="AT4266" s="82">
        <f>IFERROR(__xludf.DUMMYFUNCTION("""COMPUTED_VALUE"""),0.0)</f>
        <v>0</v>
      </c>
      <c r="AU4266" s="82"/>
      <c r="AV4266" s="82"/>
      <c r="AW4266" s="82" t="str">
        <f t="shared" si="1"/>
        <v/>
      </c>
      <c r="AX4266" s="83" t="str">
        <f t="array" ref="AX4266">IFERROR(DGET('SBV Import'!A:G,"SBV",{"RSC ID","Tier";B4266,A4266}))</f>
        <v/>
      </c>
      <c r="AY4266" s="82" t="str">
        <f t="shared" si="2"/>
        <v/>
      </c>
      <c r="AZ4266" s="82"/>
      <c r="BA4266" s="84" t="s">
        <v>152</v>
      </c>
      <c r="BB4266" s="84" t="str">
        <f>IFERROR(__xludf.DUMMYFUNCTION("iferror(if(A4266="""",,E4266&gt;=FILTER(Constants!$F$2:$F$10,Constants!$A$2:$A$10=A4266)))"),"")</f>
        <v/>
      </c>
    </row>
    <row r="4267">
      <c r="A4267" s="89"/>
      <c r="B4267" s="87"/>
      <c r="C4267" s="73"/>
      <c r="D4267" s="73"/>
      <c r="E4267" s="82"/>
      <c r="F4267" s="82"/>
      <c r="G4267" s="86"/>
      <c r="H4267" s="86"/>
      <c r="I4267" s="86"/>
      <c r="J4267" s="82"/>
      <c r="K4267" s="82"/>
      <c r="L4267" s="82"/>
      <c r="M4267" s="82"/>
      <c r="N4267" s="82"/>
      <c r="O4267" s="82"/>
      <c r="P4267" s="82"/>
      <c r="Q4267" s="82"/>
      <c r="R4267" s="82"/>
      <c r="S4267" s="82"/>
      <c r="T4267" s="82"/>
      <c r="U4267" s="82"/>
      <c r="V4267" s="82"/>
      <c r="W4267" s="82"/>
      <c r="X4267" s="82"/>
      <c r="Y4267" s="82"/>
      <c r="Z4267" s="82"/>
      <c r="AA4267" s="82"/>
      <c r="AB4267" s="82"/>
      <c r="AC4267" s="82"/>
      <c r="AD4267" s="82"/>
      <c r="AE4267" s="82"/>
      <c r="AF4267" s="82"/>
      <c r="AG4267" s="82"/>
      <c r="AH4267" s="82"/>
      <c r="AI4267" s="82"/>
      <c r="AJ4267" s="82"/>
      <c r="AK4267" s="82"/>
      <c r="AL4267" s="82"/>
      <c r="AM4267" s="82"/>
      <c r="AN4267" s="82">
        <f>IFERROR(__xludf.DUMMYFUNCTION("""COMPUTED_VALUE"""),0.0)</f>
        <v>0</v>
      </c>
      <c r="AO4267" s="82">
        <f>IFERROR(__xludf.DUMMYFUNCTION("""COMPUTED_VALUE"""),0.0)</f>
        <v>0</v>
      </c>
      <c r="AP4267" s="82">
        <f>IFERROR(__xludf.DUMMYFUNCTION("""COMPUTED_VALUE"""),0.0)</f>
        <v>0</v>
      </c>
      <c r="AQ4267" s="82">
        <f>IFERROR(__xludf.DUMMYFUNCTION("""COMPUTED_VALUE"""),0.0)</f>
        <v>0</v>
      </c>
      <c r="AR4267" s="82">
        <f>IFERROR(__xludf.DUMMYFUNCTION("""COMPUTED_VALUE"""),0.0)</f>
        <v>0</v>
      </c>
      <c r="AS4267" s="82"/>
      <c r="AT4267" s="82">
        <f>IFERROR(__xludf.DUMMYFUNCTION("""COMPUTED_VALUE"""),0.0)</f>
        <v>0</v>
      </c>
      <c r="AU4267" s="82"/>
      <c r="AV4267" s="82"/>
      <c r="AW4267" s="82" t="str">
        <f t="shared" si="1"/>
        <v/>
      </c>
      <c r="AX4267" s="83" t="str">
        <f t="array" ref="AX4267">IFERROR(DGET('SBV Import'!A:G,"SBV",{"RSC ID","Tier";B4267,A4267}))</f>
        <v/>
      </c>
      <c r="AY4267" s="82" t="str">
        <f t="shared" si="2"/>
        <v/>
      </c>
      <c r="AZ4267" s="82"/>
      <c r="BA4267" s="84" t="s">
        <v>152</v>
      </c>
      <c r="BB4267" s="84" t="str">
        <f>IFERROR(__xludf.DUMMYFUNCTION("iferror(if(A4267="""",,E4267&gt;=FILTER(Constants!$F$2:$F$10,Constants!$A$2:$A$10=A4267)))"),"")</f>
        <v/>
      </c>
    </row>
    <row r="4268">
      <c r="A4268" s="89"/>
      <c r="B4268" s="87"/>
      <c r="C4268" s="73"/>
      <c r="D4268" s="73"/>
      <c r="E4268" s="82"/>
      <c r="F4268" s="82"/>
      <c r="G4268" s="86"/>
      <c r="H4268" s="86"/>
      <c r="I4268" s="86"/>
      <c r="J4268" s="82"/>
      <c r="K4268" s="82"/>
      <c r="L4268" s="82"/>
      <c r="M4268" s="82"/>
      <c r="N4268" s="82"/>
      <c r="O4268" s="82"/>
      <c r="P4268" s="82"/>
      <c r="Q4268" s="82"/>
      <c r="R4268" s="82"/>
      <c r="S4268" s="82"/>
      <c r="T4268" s="82"/>
      <c r="U4268" s="82"/>
      <c r="V4268" s="82"/>
      <c r="W4268" s="82"/>
      <c r="X4268" s="82"/>
      <c r="Y4268" s="82"/>
      <c r="Z4268" s="82"/>
      <c r="AA4268" s="82"/>
      <c r="AB4268" s="82"/>
      <c r="AC4268" s="82"/>
      <c r="AD4268" s="82"/>
      <c r="AE4268" s="82"/>
      <c r="AF4268" s="82"/>
      <c r="AG4268" s="82"/>
      <c r="AH4268" s="82"/>
      <c r="AI4268" s="82"/>
      <c r="AJ4268" s="82"/>
      <c r="AK4268" s="82"/>
      <c r="AL4268" s="82"/>
      <c r="AM4268" s="82"/>
      <c r="AN4268" s="82">
        <f>IFERROR(__xludf.DUMMYFUNCTION("""COMPUTED_VALUE"""),0.0)</f>
        <v>0</v>
      </c>
      <c r="AO4268" s="82">
        <f>IFERROR(__xludf.DUMMYFUNCTION("""COMPUTED_VALUE"""),0.0)</f>
        <v>0</v>
      </c>
      <c r="AP4268" s="82">
        <f>IFERROR(__xludf.DUMMYFUNCTION("""COMPUTED_VALUE"""),0.0)</f>
        <v>0</v>
      </c>
      <c r="AQ4268" s="82">
        <f>IFERROR(__xludf.DUMMYFUNCTION("""COMPUTED_VALUE"""),0.0)</f>
        <v>0</v>
      </c>
      <c r="AR4268" s="82">
        <f>IFERROR(__xludf.DUMMYFUNCTION("""COMPUTED_VALUE"""),0.0)</f>
        <v>0</v>
      </c>
      <c r="AS4268" s="82"/>
      <c r="AT4268" s="82">
        <f>IFERROR(__xludf.DUMMYFUNCTION("""COMPUTED_VALUE"""),0.0)</f>
        <v>0</v>
      </c>
      <c r="AU4268" s="82"/>
      <c r="AV4268" s="82"/>
      <c r="AW4268" s="82" t="str">
        <f t="shared" si="1"/>
        <v/>
      </c>
      <c r="AX4268" s="83" t="str">
        <f t="array" ref="AX4268">IFERROR(DGET('SBV Import'!A:G,"SBV",{"RSC ID","Tier";B4268,A4268}))</f>
        <v/>
      </c>
      <c r="AY4268" s="82" t="str">
        <f t="shared" si="2"/>
        <v/>
      </c>
      <c r="AZ4268" s="82"/>
      <c r="BA4268" s="84" t="s">
        <v>152</v>
      </c>
      <c r="BB4268" s="84" t="str">
        <f>IFERROR(__xludf.DUMMYFUNCTION("iferror(if(A4268="""",,E4268&gt;=FILTER(Constants!$F$2:$F$10,Constants!$A$2:$A$10=A4268)))"),"")</f>
        <v/>
      </c>
    </row>
    <row r="4269">
      <c r="A4269" s="89"/>
      <c r="B4269" s="87"/>
      <c r="C4269" s="73"/>
      <c r="D4269" s="73"/>
      <c r="E4269" s="82"/>
      <c r="F4269" s="82"/>
      <c r="G4269" s="86"/>
      <c r="H4269" s="86"/>
      <c r="I4269" s="86"/>
      <c r="J4269" s="82"/>
      <c r="K4269" s="82"/>
      <c r="L4269" s="82"/>
      <c r="M4269" s="82"/>
      <c r="N4269" s="82"/>
      <c r="O4269" s="82"/>
      <c r="P4269" s="82"/>
      <c r="Q4269" s="82"/>
      <c r="R4269" s="82"/>
      <c r="S4269" s="82"/>
      <c r="T4269" s="82"/>
      <c r="U4269" s="82"/>
      <c r="V4269" s="82"/>
      <c r="W4269" s="82"/>
      <c r="X4269" s="82"/>
      <c r="Y4269" s="82"/>
      <c r="Z4269" s="82"/>
      <c r="AA4269" s="82"/>
      <c r="AB4269" s="82"/>
      <c r="AC4269" s="82"/>
      <c r="AD4269" s="82"/>
      <c r="AE4269" s="82"/>
      <c r="AF4269" s="82"/>
      <c r="AG4269" s="82"/>
      <c r="AH4269" s="82"/>
      <c r="AI4269" s="82"/>
      <c r="AJ4269" s="82"/>
      <c r="AK4269" s="82"/>
      <c r="AL4269" s="82"/>
      <c r="AM4269" s="82"/>
      <c r="AN4269" s="82">
        <f>IFERROR(__xludf.DUMMYFUNCTION("""COMPUTED_VALUE"""),0.0)</f>
        <v>0</v>
      </c>
      <c r="AO4269" s="82">
        <f>IFERROR(__xludf.DUMMYFUNCTION("""COMPUTED_VALUE"""),0.0)</f>
        <v>0</v>
      </c>
      <c r="AP4269" s="82">
        <f>IFERROR(__xludf.DUMMYFUNCTION("""COMPUTED_VALUE"""),0.0)</f>
        <v>0</v>
      </c>
      <c r="AQ4269" s="82">
        <f>IFERROR(__xludf.DUMMYFUNCTION("""COMPUTED_VALUE"""),0.0)</f>
        <v>0</v>
      </c>
      <c r="AR4269" s="82">
        <f>IFERROR(__xludf.DUMMYFUNCTION("""COMPUTED_VALUE"""),0.0)</f>
        <v>0</v>
      </c>
      <c r="AS4269" s="82"/>
      <c r="AT4269" s="82">
        <f>IFERROR(__xludf.DUMMYFUNCTION("""COMPUTED_VALUE"""),0.0)</f>
        <v>0</v>
      </c>
      <c r="AU4269" s="82"/>
      <c r="AV4269" s="82"/>
      <c r="AW4269" s="82" t="str">
        <f t="shared" si="1"/>
        <v/>
      </c>
      <c r="AX4269" s="83" t="str">
        <f t="array" ref="AX4269">IFERROR(DGET('SBV Import'!A:G,"SBV",{"RSC ID","Tier";B4269,A4269}))</f>
        <v/>
      </c>
      <c r="AY4269" s="82" t="str">
        <f t="shared" si="2"/>
        <v/>
      </c>
      <c r="AZ4269" s="82"/>
      <c r="BA4269" s="84" t="s">
        <v>152</v>
      </c>
      <c r="BB4269" s="84" t="str">
        <f>IFERROR(__xludf.DUMMYFUNCTION("iferror(if(A4269="""",,E4269&gt;=FILTER(Constants!$F$2:$F$10,Constants!$A$2:$A$10=A4269)))"),"")</f>
        <v/>
      </c>
    </row>
    <row r="4270">
      <c r="A4270" s="89"/>
      <c r="B4270" s="87"/>
      <c r="C4270" s="73"/>
      <c r="D4270" s="73"/>
      <c r="E4270" s="82"/>
      <c r="F4270" s="82"/>
      <c r="G4270" s="86"/>
      <c r="H4270" s="86"/>
      <c r="I4270" s="86"/>
      <c r="J4270" s="82"/>
      <c r="K4270" s="82"/>
      <c r="L4270" s="82"/>
      <c r="M4270" s="82"/>
      <c r="N4270" s="82"/>
      <c r="O4270" s="82"/>
      <c r="P4270" s="82"/>
      <c r="Q4270" s="82"/>
      <c r="R4270" s="82"/>
      <c r="S4270" s="82"/>
      <c r="T4270" s="82"/>
      <c r="U4270" s="82"/>
      <c r="V4270" s="82"/>
      <c r="W4270" s="82"/>
      <c r="X4270" s="82"/>
      <c r="Y4270" s="82"/>
      <c r="Z4270" s="82"/>
      <c r="AA4270" s="82"/>
      <c r="AB4270" s="82"/>
      <c r="AC4270" s="82"/>
      <c r="AD4270" s="82"/>
      <c r="AE4270" s="82"/>
      <c r="AF4270" s="82"/>
      <c r="AG4270" s="82"/>
      <c r="AH4270" s="82"/>
      <c r="AI4270" s="82"/>
      <c r="AJ4270" s="82"/>
      <c r="AK4270" s="82"/>
      <c r="AL4270" s="82"/>
      <c r="AM4270" s="82"/>
      <c r="AN4270" s="82">
        <f>IFERROR(__xludf.DUMMYFUNCTION("""COMPUTED_VALUE"""),0.0)</f>
        <v>0</v>
      </c>
      <c r="AO4270" s="82">
        <f>IFERROR(__xludf.DUMMYFUNCTION("""COMPUTED_VALUE"""),0.0)</f>
        <v>0</v>
      </c>
      <c r="AP4270" s="82">
        <f>IFERROR(__xludf.DUMMYFUNCTION("""COMPUTED_VALUE"""),0.0)</f>
        <v>0</v>
      </c>
      <c r="AQ4270" s="82">
        <f>IFERROR(__xludf.DUMMYFUNCTION("""COMPUTED_VALUE"""),0.0)</f>
        <v>0</v>
      </c>
      <c r="AR4270" s="82">
        <f>IFERROR(__xludf.DUMMYFUNCTION("""COMPUTED_VALUE"""),0.0)</f>
        <v>0</v>
      </c>
      <c r="AS4270" s="82"/>
      <c r="AT4270" s="82">
        <f>IFERROR(__xludf.DUMMYFUNCTION("""COMPUTED_VALUE"""),0.0)</f>
        <v>0</v>
      </c>
      <c r="AU4270" s="82"/>
      <c r="AV4270" s="82"/>
      <c r="AW4270" s="82" t="str">
        <f t="shared" si="1"/>
        <v/>
      </c>
      <c r="AX4270" s="83" t="str">
        <f t="array" ref="AX4270">IFERROR(DGET('SBV Import'!A:G,"SBV",{"RSC ID","Tier";B4270,A4270}))</f>
        <v/>
      </c>
      <c r="AY4270" s="82" t="str">
        <f t="shared" si="2"/>
        <v/>
      </c>
      <c r="AZ4270" s="82"/>
      <c r="BA4270" s="84" t="s">
        <v>152</v>
      </c>
      <c r="BB4270" s="84" t="str">
        <f>IFERROR(__xludf.DUMMYFUNCTION("iferror(if(A4270="""",,E4270&gt;=FILTER(Constants!$F$2:$F$10,Constants!$A$2:$A$10=A4270)))"),"")</f>
        <v/>
      </c>
    </row>
    <row r="4271">
      <c r="A4271" s="89"/>
      <c r="B4271" s="87"/>
      <c r="C4271" s="73"/>
      <c r="D4271" s="73"/>
      <c r="E4271" s="82"/>
      <c r="F4271" s="82"/>
      <c r="G4271" s="86"/>
      <c r="H4271" s="86"/>
      <c r="I4271" s="86"/>
      <c r="J4271" s="82"/>
      <c r="K4271" s="82"/>
      <c r="L4271" s="82"/>
      <c r="M4271" s="82"/>
      <c r="N4271" s="82"/>
      <c r="O4271" s="82"/>
      <c r="P4271" s="82"/>
      <c r="Q4271" s="82"/>
      <c r="R4271" s="82"/>
      <c r="S4271" s="82"/>
      <c r="T4271" s="82"/>
      <c r="U4271" s="82"/>
      <c r="V4271" s="82"/>
      <c r="W4271" s="82"/>
      <c r="X4271" s="82"/>
      <c r="Y4271" s="82"/>
      <c r="Z4271" s="82"/>
      <c r="AA4271" s="82"/>
      <c r="AB4271" s="82"/>
      <c r="AC4271" s="82"/>
      <c r="AD4271" s="82"/>
      <c r="AE4271" s="82"/>
      <c r="AF4271" s="82"/>
      <c r="AG4271" s="82"/>
      <c r="AH4271" s="82"/>
      <c r="AI4271" s="82"/>
      <c r="AJ4271" s="82"/>
      <c r="AK4271" s="82"/>
      <c r="AL4271" s="82"/>
      <c r="AM4271" s="82"/>
      <c r="AN4271" s="82">
        <f>IFERROR(__xludf.DUMMYFUNCTION("""COMPUTED_VALUE"""),0.0)</f>
        <v>0</v>
      </c>
      <c r="AO4271" s="82">
        <f>IFERROR(__xludf.DUMMYFUNCTION("""COMPUTED_VALUE"""),0.0)</f>
        <v>0</v>
      </c>
      <c r="AP4271" s="82">
        <f>IFERROR(__xludf.DUMMYFUNCTION("""COMPUTED_VALUE"""),0.0)</f>
        <v>0</v>
      </c>
      <c r="AQ4271" s="82">
        <f>IFERROR(__xludf.DUMMYFUNCTION("""COMPUTED_VALUE"""),0.0)</f>
        <v>0</v>
      </c>
      <c r="AR4271" s="82">
        <f>IFERROR(__xludf.DUMMYFUNCTION("""COMPUTED_VALUE"""),0.0)</f>
        <v>0</v>
      </c>
      <c r="AS4271" s="82"/>
      <c r="AT4271" s="82">
        <f>IFERROR(__xludf.DUMMYFUNCTION("""COMPUTED_VALUE"""),0.0)</f>
        <v>0</v>
      </c>
      <c r="AU4271" s="82"/>
      <c r="AV4271" s="82"/>
      <c r="AW4271" s="82" t="str">
        <f t="shared" si="1"/>
        <v/>
      </c>
      <c r="AX4271" s="83" t="str">
        <f t="array" ref="AX4271">IFERROR(DGET('SBV Import'!A:G,"SBV",{"RSC ID","Tier";B4271,A4271}))</f>
        <v/>
      </c>
      <c r="AY4271" s="82" t="str">
        <f t="shared" si="2"/>
        <v/>
      </c>
      <c r="AZ4271" s="82"/>
      <c r="BA4271" s="84" t="s">
        <v>152</v>
      </c>
      <c r="BB4271" s="84" t="str">
        <f>IFERROR(__xludf.DUMMYFUNCTION("iferror(if(A4271="""",,E4271&gt;=FILTER(Constants!$F$2:$F$10,Constants!$A$2:$A$10=A4271)))"),"")</f>
        <v/>
      </c>
    </row>
    <row r="4272">
      <c r="A4272" s="89"/>
      <c r="B4272" s="87"/>
      <c r="C4272" s="73"/>
      <c r="D4272" s="73"/>
      <c r="E4272" s="82"/>
      <c r="F4272" s="82"/>
      <c r="G4272" s="86"/>
      <c r="H4272" s="86"/>
      <c r="I4272" s="86"/>
      <c r="J4272" s="82"/>
      <c r="K4272" s="82"/>
      <c r="L4272" s="82"/>
      <c r="M4272" s="82"/>
      <c r="N4272" s="82"/>
      <c r="O4272" s="82"/>
      <c r="P4272" s="82"/>
      <c r="Q4272" s="82"/>
      <c r="R4272" s="82"/>
      <c r="S4272" s="82"/>
      <c r="T4272" s="82"/>
      <c r="U4272" s="82"/>
      <c r="V4272" s="82"/>
      <c r="W4272" s="82"/>
      <c r="X4272" s="82"/>
      <c r="Y4272" s="82"/>
      <c r="Z4272" s="82"/>
      <c r="AA4272" s="82"/>
      <c r="AB4272" s="82"/>
      <c r="AC4272" s="82"/>
      <c r="AD4272" s="82"/>
      <c r="AE4272" s="82"/>
      <c r="AF4272" s="82"/>
      <c r="AG4272" s="82"/>
      <c r="AH4272" s="82"/>
      <c r="AI4272" s="82"/>
      <c r="AJ4272" s="82"/>
      <c r="AK4272" s="82"/>
      <c r="AL4272" s="82"/>
      <c r="AM4272" s="82"/>
      <c r="AN4272" s="82">
        <f>IFERROR(__xludf.DUMMYFUNCTION("""COMPUTED_VALUE"""),0.0)</f>
        <v>0</v>
      </c>
      <c r="AO4272" s="82">
        <f>IFERROR(__xludf.DUMMYFUNCTION("""COMPUTED_VALUE"""),0.0)</f>
        <v>0</v>
      </c>
      <c r="AP4272" s="82">
        <f>IFERROR(__xludf.DUMMYFUNCTION("""COMPUTED_VALUE"""),0.0)</f>
        <v>0</v>
      </c>
      <c r="AQ4272" s="82">
        <f>IFERROR(__xludf.DUMMYFUNCTION("""COMPUTED_VALUE"""),0.0)</f>
        <v>0</v>
      </c>
      <c r="AR4272" s="82">
        <f>IFERROR(__xludf.DUMMYFUNCTION("""COMPUTED_VALUE"""),0.0)</f>
        <v>0</v>
      </c>
      <c r="AS4272" s="82"/>
      <c r="AT4272" s="82">
        <f>IFERROR(__xludf.DUMMYFUNCTION("""COMPUTED_VALUE"""),0.0)</f>
        <v>0</v>
      </c>
      <c r="AU4272" s="82"/>
      <c r="AV4272" s="82"/>
      <c r="AW4272" s="82" t="str">
        <f t="shared" si="1"/>
        <v/>
      </c>
      <c r="AX4272" s="83" t="str">
        <f t="array" ref="AX4272">IFERROR(DGET('SBV Import'!A:G,"SBV",{"RSC ID","Tier";B4272,A4272}))</f>
        <v/>
      </c>
      <c r="AY4272" s="82" t="str">
        <f t="shared" si="2"/>
        <v/>
      </c>
      <c r="AZ4272" s="82"/>
      <c r="BA4272" s="84" t="s">
        <v>152</v>
      </c>
      <c r="BB4272" s="84" t="str">
        <f>IFERROR(__xludf.DUMMYFUNCTION("iferror(if(A4272="""",,E4272&gt;=FILTER(Constants!$F$2:$F$10,Constants!$A$2:$A$10=A4272)))"),"")</f>
        <v/>
      </c>
    </row>
    <row r="4273">
      <c r="A4273" s="89"/>
      <c r="B4273" s="87"/>
      <c r="C4273" s="73"/>
      <c r="D4273" s="73"/>
      <c r="E4273" s="82"/>
      <c r="F4273" s="82"/>
      <c r="G4273" s="86"/>
      <c r="H4273" s="86"/>
      <c r="I4273" s="86"/>
      <c r="J4273" s="82"/>
      <c r="K4273" s="82"/>
      <c r="L4273" s="82"/>
      <c r="M4273" s="82"/>
      <c r="N4273" s="82"/>
      <c r="O4273" s="82"/>
      <c r="P4273" s="82"/>
      <c r="Q4273" s="82"/>
      <c r="R4273" s="82"/>
      <c r="S4273" s="82"/>
      <c r="T4273" s="82"/>
      <c r="U4273" s="82"/>
      <c r="V4273" s="82"/>
      <c r="W4273" s="82"/>
      <c r="X4273" s="82"/>
      <c r="Y4273" s="82"/>
      <c r="Z4273" s="82"/>
      <c r="AA4273" s="82"/>
      <c r="AB4273" s="82"/>
      <c r="AC4273" s="82"/>
      <c r="AD4273" s="82"/>
      <c r="AE4273" s="82"/>
      <c r="AF4273" s="82"/>
      <c r="AG4273" s="82"/>
      <c r="AH4273" s="82"/>
      <c r="AI4273" s="82"/>
      <c r="AJ4273" s="82"/>
      <c r="AK4273" s="82"/>
      <c r="AL4273" s="82"/>
      <c r="AM4273" s="82"/>
      <c r="AN4273" s="82">
        <f>IFERROR(__xludf.DUMMYFUNCTION("""COMPUTED_VALUE"""),0.0)</f>
        <v>0</v>
      </c>
      <c r="AO4273" s="82">
        <f>IFERROR(__xludf.DUMMYFUNCTION("""COMPUTED_VALUE"""),0.0)</f>
        <v>0</v>
      </c>
      <c r="AP4273" s="82">
        <f>IFERROR(__xludf.DUMMYFUNCTION("""COMPUTED_VALUE"""),0.0)</f>
        <v>0</v>
      </c>
      <c r="AQ4273" s="82">
        <f>IFERROR(__xludf.DUMMYFUNCTION("""COMPUTED_VALUE"""),0.0)</f>
        <v>0</v>
      </c>
      <c r="AR4273" s="82">
        <f>IFERROR(__xludf.DUMMYFUNCTION("""COMPUTED_VALUE"""),0.0)</f>
        <v>0</v>
      </c>
      <c r="AS4273" s="82"/>
      <c r="AT4273" s="82">
        <f>IFERROR(__xludf.DUMMYFUNCTION("""COMPUTED_VALUE"""),0.0)</f>
        <v>0</v>
      </c>
      <c r="AU4273" s="82"/>
      <c r="AV4273" s="82"/>
      <c r="AW4273" s="82" t="str">
        <f t="shared" si="1"/>
        <v/>
      </c>
      <c r="AX4273" s="83" t="str">
        <f t="array" ref="AX4273">IFERROR(DGET('SBV Import'!A:G,"SBV",{"RSC ID","Tier";B4273,A4273}))</f>
        <v/>
      </c>
      <c r="AY4273" s="82" t="str">
        <f t="shared" si="2"/>
        <v/>
      </c>
      <c r="AZ4273" s="82"/>
      <c r="BA4273" s="84" t="s">
        <v>152</v>
      </c>
      <c r="BB4273" s="84" t="str">
        <f>IFERROR(__xludf.DUMMYFUNCTION("iferror(if(A4273="""",,E4273&gt;=FILTER(Constants!$F$2:$F$10,Constants!$A$2:$A$10=A4273)))"),"")</f>
        <v/>
      </c>
    </row>
    <row r="4274">
      <c r="A4274" s="89"/>
      <c r="B4274" s="87"/>
      <c r="C4274" s="73"/>
      <c r="D4274" s="73"/>
      <c r="E4274" s="82"/>
      <c r="F4274" s="82"/>
      <c r="G4274" s="86"/>
      <c r="H4274" s="86"/>
      <c r="I4274" s="86"/>
      <c r="J4274" s="82"/>
      <c r="K4274" s="82"/>
      <c r="L4274" s="82"/>
      <c r="M4274" s="82"/>
      <c r="N4274" s="82"/>
      <c r="O4274" s="82"/>
      <c r="P4274" s="82"/>
      <c r="Q4274" s="82"/>
      <c r="R4274" s="82"/>
      <c r="S4274" s="82"/>
      <c r="T4274" s="82"/>
      <c r="U4274" s="82"/>
      <c r="V4274" s="82"/>
      <c r="W4274" s="82"/>
      <c r="X4274" s="82"/>
      <c r="Y4274" s="82"/>
      <c r="Z4274" s="82"/>
      <c r="AA4274" s="82"/>
      <c r="AB4274" s="82"/>
      <c r="AC4274" s="82"/>
      <c r="AD4274" s="82"/>
      <c r="AE4274" s="82"/>
      <c r="AF4274" s="82"/>
      <c r="AG4274" s="82"/>
      <c r="AH4274" s="82"/>
      <c r="AI4274" s="82"/>
      <c r="AJ4274" s="82"/>
      <c r="AK4274" s="82"/>
      <c r="AL4274" s="82"/>
      <c r="AM4274" s="82"/>
      <c r="AN4274" s="82">
        <f>IFERROR(__xludf.DUMMYFUNCTION("""COMPUTED_VALUE"""),0.0)</f>
        <v>0</v>
      </c>
      <c r="AO4274" s="82">
        <f>IFERROR(__xludf.DUMMYFUNCTION("""COMPUTED_VALUE"""),0.0)</f>
        <v>0</v>
      </c>
      <c r="AP4274" s="82">
        <f>IFERROR(__xludf.DUMMYFUNCTION("""COMPUTED_VALUE"""),0.0)</f>
        <v>0</v>
      </c>
      <c r="AQ4274" s="82">
        <f>IFERROR(__xludf.DUMMYFUNCTION("""COMPUTED_VALUE"""),0.0)</f>
        <v>0</v>
      </c>
      <c r="AR4274" s="82">
        <f>IFERROR(__xludf.DUMMYFUNCTION("""COMPUTED_VALUE"""),0.0)</f>
        <v>0</v>
      </c>
      <c r="AS4274" s="82"/>
      <c r="AT4274" s="82">
        <f>IFERROR(__xludf.DUMMYFUNCTION("""COMPUTED_VALUE"""),0.0)</f>
        <v>0</v>
      </c>
      <c r="AU4274" s="82"/>
      <c r="AV4274" s="82"/>
      <c r="AW4274" s="82" t="str">
        <f t="shared" si="1"/>
        <v/>
      </c>
      <c r="AX4274" s="83" t="str">
        <f t="array" ref="AX4274">IFERROR(DGET('SBV Import'!A:G,"SBV",{"RSC ID","Tier";B4274,A4274}))</f>
        <v/>
      </c>
      <c r="AY4274" s="82" t="str">
        <f t="shared" si="2"/>
        <v/>
      </c>
      <c r="AZ4274" s="82"/>
      <c r="BA4274" s="84" t="s">
        <v>152</v>
      </c>
      <c r="BB4274" s="84" t="str">
        <f>IFERROR(__xludf.DUMMYFUNCTION("iferror(if(A4274="""",,E4274&gt;=FILTER(Constants!$F$2:$F$10,Constants!$A$2:$A$10=A4274)))"),"")</f>
        <v/>
      </c>
    </row>
    <row r="4275">
      <c r="A4275" s="89"/>
      <c r="B4275" s="87"/>
      <c r="C4275" s="73"/>
      <c r="D4275" s="73"/>
      <c r="E4275" s="82"/>
      <c r="F4275" s="82"/>
      <c r="G4275" s="86"/>
      <c r="H4275" s="86"/>
      <c r="I4275" s="86"/>
      <c r="J4275" s="82"/>
      <c r="K4275" s="82"/>
      <c r="L4275" s="82"/>
      <c r="M4275" s="82"/>
      <c r="N4275" s="82"/>
      <c r="O4275" s="82"/>
      <c r="P4275" s="82"/>
      <c r="Q4275" s="82"/>
      <c r="R4275" s="82"/>
      <c r="S4275" s="82"/>
      <c r="T4275" s="82"/>
      <c r="U4275" s="82"/>
      <c r="V4275" s="82"/>
      <c r="W4275" s="82"/>
      <c r="X4275" s="82"/>
      <c r="Y4275" s="82"/>
      <c r="Z4275" s="82"/>
      <c r="AA4275" s="82"/>
      <c r="AB4275" s="82"/>
      <c r="AC4275" s="82"/>
      <c r="AD4275" s="82"/>
      <c r="AE4275" s="82"/>
      <c r="AF4275" s="82"/>
      <c r="AG4275" s="82"/>
      <c r="AH4275" s="82"/>
      <c r="AI4275" s="82"/>
      <c r="AJ4275" s="82"/>
      <c r="AK4275" s="82"/>
      <c r="AL4275" s="82"/>
      <c r="AM4275" s="82"/>
      <c r="AN4275" s="82">
        <f>IFERROR(__xludf.DUMMYFUNCTION("""COMPUTED_VALUE"""),0.0)</f>
        <v>0</v>
      </c>
      <c r="AO4275" s="82">
        <f>IFERROR(__xludf.DUMMYFUNCTION("""COMPUTED_VALUE"""),0.0)</f>
        <v>0</v>
      </c>
      <c r="AP4275" s="82">
        <f>IFERROR(__xludf.DUMMYFUNCTION("""COMPUTED_VALUE"""),0.0)</f>
        <v>0</v>
      </c>
      <c r="AQ4275" s="82">
        <f>IFERROR(__xludf.DUMMYFUNCTION("""COMPUTED_VALUE"""),0.0)</f>
        <v>0</v>
      </c>
      <c r="AR4275" s="82">
        <f>IFERROR(__xludf.DUMMYFUNCTION("""COMPUTED_VALUE"""),0.0)</f>
        <v>0</v>
      </c>
      <c r="AS4275" s="82"/>
      <c r="AT4275" s="82">
        <f>IFERROR(__xludf.DUMMYFUNCTION("""COMPUTED_VALUE"""),0.0)</f>
        <v>0</v>
      </c>
      <c r="AU4275" s="82"/>
      <c r="AV4275" s="82"/>
      <c r="AW4275" s="82" t="str">
        <f t="shared" si="1"/>
        <v/>
      </c>
      <c r="AX4275" s="83" t="str">
        <f t="array" ref="AX4275">IFERROR(DGET('SBV Import'!A:G,"SBV",{"RSC ID","Tier";B4275,A4275}))</f>
        <v/>
      </c>
      <c r="AY4275" s="82" t="str">
        <f t="shared" si="2"/>
        <v/>
      </c>
      <c r="AZ4275" s="82"/>
      <c r="BA4275" s="84" t="s">
        <v>152</v>
      </c>
      <c r="BB4275" s="84" t="str">
        <f>IFERROR(__xludf.DUMMYFUNCTION("iferror(if(A4275="""",,E4275&gt;=FILTER(Constants!$F$2:$F$10,Constants!$A$2:$A$10=A4275)))"),"")</f>
        <v/>
      </c>
    </row>
    <row r="4276">
      <c r="A4276" s="89"/>
      <c r="B4276" s="87"/>
      <c r="C4276" s="73"/>
      <c r="D4276" s="73"/>
      <c r="E4276" s="82"/>
      <c r="F4276" s="82"/>
      <c r="G4276" s="86"/>
      <c r="H4276" s="86"/>
      <c r="I4276" s="86"/>
      <c r="J4276" s="82"/>
      <c r="K4276" s="82"/>
      <c r="L4276" s="82"/>
      <c r="M4276" s="82"/>
      <c r="N4276" s="82"/>
      <c r="O4276" s="82"/>
      <c r="P4276" s="82"/>
      <c r="Q4276" s="82"/>
      <c r="R4276" s="82"/>
      <c r="S4276" s="82"/>
      <c r="T4276" s="82"/>
      <c r="U4276" s="82"/>
      <c r="V4276" s="82"/>
      <c r="W4276" s="82"/>
      <c r="X4276" s="82"/>
      <c r="Y4276" s="82"/>
      <c r="Z4276" s="82"/>
      <c r="AA4276" s="82"/>
      <c r="AB4276" s="82"/>
      <c r="AC4276" s="82"/>
      <c r="AD4276" s="82"/>
      <c r="AE4276" s="82"/>
      <c r="AF4276" s="82"/>
      <c r="AG4276" s="82"/>
      <c r="AH4276" s="82"/>
      <c r="AI4276" s="82"/>
      <c r="AJ4276" s="82"/>
      <c r="AK4276" s="82"/>
      <c r="AL4276" s="82"/>
      <c r="AM4276" s="82"/>
      <c r="AN4276" s="82">
        <f>IFERROR(__xludf.DUMMYFUNCTION("""COMPUTED_VALUE"""),0.0)</f>
        <v>0</v>
      </c>
      <c r="AO4276" s="82">
        <f>IFERROR(__xludf.DUMMYFUNCTION("""COMPUTED_VALUE"""),0.0)</f>
        <v>0</v>
      </c>
      <c r="AP4276" s="82">
        <f>IFERROR(__xludf.DUMMYFUNCTION("""COMPUTED_VALUE"""),0.0)</f>
        <v>0</v>
      </c>
      <c r="AQ4276" s="82">
        <f>IFERROR(__xludf.DUMMYFUNCTION("""COMPUTED_VALUE"""),0.0)</f>
        <v>0</v>
      </c>
      <c r="AR4276" s="82">
        <f>IFERROR(__xludf.DUMMYFUNCTION("""COMPUTED_VALUE"""),0.0)</f>
        <v>0</v>
      </c>
      <c r="AS4276" s="82"/>
      <c r="AT4276" s="82">
        <f>IFERROR(__xludf.DUMMYFUNCTION("""COMPUTED_VALUE"""),0.0)</f>
        <v>0</v>
      </c>
      <c r="AU4276" s="82"/>
      <c r="AV4276" s="82"/>
      <c r="AW4276" s="82" t="str">
        <f t="shared" si="1"/>
        <v/>
      </c>
      <c r="AX4276" s="83" t="str">
        <f t="array" ref="AX4276">IFERROR(DGET('SBV Import'!A:G,"SBV",{"RSC ID","Tier";B4276,A4276}))</f>
        <v/>
      </c>
      <c r="AY4276" s="82" t="str">
        <f t="shared" si="2"/>
        <v/>
      </c>
      <c r="AZ4276" s="82"/>
      <c r="BA4276" s="84" t="s">
        <v>152</v>
      </c>
      <c r="BB4276" s="84" t="str">
        <f>IFERROR(__xludf.DUMMYFUNCTION("iferror(if(A4276="""",,E4276&gt;=FILTER(Constants!$F$2:$F$10,Constants!$A$2:$A$10=A4276)))"),"")</f>
        <v/>
      </c>
    </row>
    <row r="4277">
      <c r="A4277" s="89"/>
      <c r="B4277" s="87"/>
      <c r="C4277" s="73"/>
      <c r="D4277" s="73"/>
      <c r="E4277" s="82"/>
      <c r="F4277" s="82"/>
      <c r="G4277" s="86"/>
      <c r="H4277" s="86"/>
      <c r="I4277" s="86"/>
      <c r="J4277" s="82"/>
      <c r="K4277" s="82"/>
      <c r="L4277" s="82"/>
      <c r="M4277" s="82"/>
      <c r="N4277" s="82"/>
      <c r="O4277" s="82"/>
      <c r="P4277" s="82"/>
      <c r="Q4277" s="82"/>
      <c r="R4277" s="82"/>
      <c r="S4277" s="82"/>
      <c r="T4277" s="82"/>
      <c r="U4277" s="82"/>
      <c r="V4277" s="82"/>
      <c r="W4277" s="82"/>
      <c r="X4277" s="82"/>
      <c r="Y4277" s="82"/>
      <c r="Z4277" s="82"/>
      <c r="AA4277" s="82"/>
      <c r="AB4277" s="82"/>
      <c r="AC4277" s="82"/>
      <c r="AD4277" s="82"/>
      <c r="AE4277" s="82"/>
      <c r="AF4277" s="82"/>
      <c r="AG4277" s="82"/>
      <c r="AH4277" s="82"/>
      <c r="AI4277" s="82"/>
      <c r="AJ4277" s="82"/>
      <c r="AK4277" s="82"/>
      <c r="AL4277" s="82"/>
      <c r="AM4277" s="82"/>
      <c r="AN4277" s="82">
        <f>IFERROR(__xludf.DUMMYFUNCTION("""COMPUTED_VALUE"""),0.0)</f>
        <v>0</v>
      </c>
      <c r="AO4277" s="82">
        <f>IFERROR(__xludf.DUMMYFUNCTION("""COMPUTED_VALUE"""),0.0)</f>
        <v>0</v>
      </c>
      <c r="AP4277" s="82">
        <f>IFERROR(__xludf.DUMMYFUNCTION("""COMPUTED_VALUE"""),0.0)</f>
        <v>0</v>
      </c>
      <c r="AQ4277" s="82">
        <f>IFERROR(__xludf.DUMMYFUNCTION("""COMPUTED_VALUE"""),0.0)</f>
        <v>0</v>
      </c>
      <c r="AR4277" s="82">
        <f>IFERROR(__xludf.DUMMYFUNCTION("""COMPUTED_VALUE"""),0.0)</f>
        <v>0</v>
      </c>
      <c r="AS4277" s="82"/>
      <c r="AT4277" s="82">
        <f>IFERROR(__xludf.DUMMYFUNCTION("""COMPUTED_VALUE"""),0.0)</f>
        <v>0</v>
      </c>
      <c r="AU4277" s="82"/>
      <c r="AV4277" s="82"/>
      <c r="AW4277" s="82" t="str">
        <f t="shared" si="1"/>
        <v/>
      </c>
      <c r="AX4277" s="83" t="str">
        <f t="array" ref="AX4277">IFERROR(DGET('SBV Import'!A:G,"SBV",{"RSC ID","Tier";B4277,A4277}))</f>
        <v/>
      </c>
      <c r="AY4277" s="82" t="str">
        <f t="shared" si="2"/>
        <v/>
      </c>
      <c r="AZ4277" s="82"/>
      <c r="BA4277" s="84" t="s">
        <v>152</v>
      </c>
      <c r="BB4277" s="84" t="str">
        <f>IFERROR(__xludf.DUMMYFUNCTION("iferror(if(A4277="""",,E4277&gt;=FILTER(Constants!$F$2:$F$10,Constants!$A$2:$A$10=A4277)))"),"")</f>
        <v/>
      </c>
    </row>
    <row r="4278">
      <c r="A4278" s="89"/>
      <c r="B4278" s="87"/>
      <c r="C4278" s="73"/>
      <c r="D4278" s="73"/>
      <c r="E4278" s="82"/>
      <c r="F4278" s="82"/>
      <c r="G4278" s="86"/>
      <c r="H4278" s="86"/>
      <c r="I4278" s="86"/>
      <c r="J4278" s="82"/>
      <c r="K4278" s="82"/>
      <c r="L4278" s="82"/>
      <c r="M4278" s="82"/>
      <c r="N4278" s="82"/>
      <c r="O4278" s="82"/>
      <c r="P4278" s="82"/>
      <c r="Q4278" s="82"/>
      <c r="R4278" s="82"/>
      <c r="S4278" s="82"/>
      <c r="T4278" s="82"/>
      <c r="U4278" s="82"/>
      <c r="V4278" s="82"/>
      <c r="W4278" s="82"/>
      <c r="X4278" s="82"/>
      <c r="Y4278" s="82"/>
      <c r="Z4278" s="82"/>
      <c r="AA4278" s="82"/>
      <c r="AB4278" s="82"/>
      <c r="AC4278" s="82"/>
      <c r="AD4278" s="82"/>
      <c r="AE4278" s="82"/>
      <c r="AF4278" s="82"/>
      <c r="AG4278" s="82"/>
      <c r="AH4278" s="82"/>
      <c r="AI4278" s="82"/>
      <c r="AJ4278" s="82"/>
      <c r="AK4278" s="82"/>
      <c r="AL4278" s="82"/>
      <c r="AM4278" s="82"/>
      <c r="AN4278" s="82">
        <f>IFERROR(__xludf.DUMMYFUNCTION("""COMPUTED_VALUE"""),0.0)</f>
        <v>0</v>
      </c>
      <c r="AO4278" s="82">
        <f>IFERROR(__xludf.DUMMYFUNCTION("""COMPUTED_VALUE"""),0.0)</f>
        <v>0</v>
      </c>
      <c r="AP4278" s="82">
        <f>IFERROR(__xludf.DUMMYFUNCTION("""COMPUTED_VALUE"""),0.0)</f>
        <v>0</v>
      </c>
      <c r="AQ4278" s="82">
        <f>IFERROR(__xludf.DUMMYFUNCTION("""COMPUTED_VALUE"""),0.0)</f>
        <v>0</v>
      </c>
      <c r="AR4278" s="82">
        <f>IFERROR(__xludf.DUMMYFUNCTION("""COMPUTED_VALUE"""),0.0)</f>
        <v>0</v>
      </c>
      <c r="AS4278" s="82"/>
      <c r="AT4278" s="82">
        <f>IFERROR(__xludf.DUMMYFUNCTION("""COMPUTED_VALUE"""),0.0)</f>
        <v>0</v>
      </c>
      <c r="AU4278" s="82"/>
      <c r="AV4278" s="82"/>
      <c r="AW4278" s="82" t="str">
        <f t="shared" si="1"/>
        <v/>
      </c>
      <c r="AX4278" s="83" t="str">
        <f t="array" ref="AX4278">IFERROR(DGET('SBV Import'!A:G,"SBV",{"RSC ID","Tier";B4278,A4278}))</f>
        <v/>
      </c>
      <c r="AY4278" s="82" t="str">
        <f t="shared" si="2"/>
        <v/>
      </c>
      <c r="AZ4278" s="82"/>
      <c r="BA4278" s="84" t="s">
        <v>152</v>
      </c>
      <c r="BB4278" s="84" t="str">
        <f>IFERROR(__xludf.DUMMYFUNCTION("iferror(if(A4278="""",,E4278&gt;=FILTER(Constants!$F$2:$F$10,Constants!$A$2:$A$10=A4278)))"),"")</f>
        <v/>
      </c>
    </row>
    <row r="4279">
      <c r="A4279" s="89"/>
      <c r="B4279" s="87"/>
      <c r="C4279" s="73"/>
      <c r="D4279" s="73"/>
      <c r="E4279" s="82"/>
      <c r="F4279" s="82"/>
      <c r="G4279" s="86"/>
      <c r="H4279" s="86"/>
      <c r="I4279" s="86"/>
      <c r="J4279" s="82"/>
      <c r="K4279" s="82"/>
      <c r="L4279" s="82"/>
      <c r="M4279" s="82"/>
      <c r="N4279" s="82"/>
      <c r="O4279" s="82"/>
      <c r="P4279" s="82"/>
      <c r="Q4279" s="82"/>
      <c r="R4279" s="82"/>
      <c r="S4279" s="82"/>
      <c r="T4279" s="82"/>
      <c r="U4279" s="82"/>
      <c r="V4279" s="82"/>
      <c r="W4279" s="82"/>
      <c r="X4279" s="82"/>
      <c r="Y4279" s="82"/>
      <c r="Z4279" s="82"/>
      <c r="AA4279" s="82"/>
      <c r="AB4279" s="82"/>
      <c r="AC4279" s="82"/>
      <c r="AD4279" s="82"/>
      <c r="AE4279" s="82"/>
      <c r="AF4279" s="82"/>
      <c r="AG4279" s="82"/>
      <c r="AH4279" s="82"/>
      <c r="AI4279" s="82"/>
      <c r="AJ4279" s="82"/>
      <c r="AK4279" s="82"/>
      <c r="AL4279" s="82"/>
      <c r="AM4279" s="82"/>
      <c r="AN4279" s="82">
        <f>IFERROR(__xludf.DUMMYFUNCTION("""COMPUTED_VALUE"""),0.0)</f>
        <v>0</v>
      </c>
      <c r="AO4279" s="82">
        <f>IFERROR(__xludf.DUMMYFUNCTION("""COMPUTED_VALUE"""),0.0)</f>
        <v>0</v>
      </c>
      <c r="AP4279" s="82">
        <f>IFERROR(__xludf.DUMMYFUNCTION("""COMPUTED_VALUE"""),0.0)</f>
        <v>0</v>
      </c>
      <c r="AQ4279" s="82">
        <f>IFERROR(__xludf.DUMMYFUNCTION("""COMPUTED_VALUE"""),0.0)</f>
        <v>0</v>
      </c>
      <c r="AR4279" s="82">
        <f>IFERROR(__xludf.DUMMYFUNCTION("""COMPUTED_VALUE"""),0.0)</f>
        <v>0</v>
      </c>
      <c r="AS4279" s="82"/>
      <c r="AT4279" s="82">
        <f>IFERROR(__xludf.DUMMYFUNCTION("""COMPUTED_VALUE"""),0.0)</f>
        <v>0</v>
      </c>
      <c r="AU4279" s="82"/>
      <c r="AV4279" s="82"/>
      <c r="AW4279" s="82" t="str">
        <f t="shared" si="1"/>
        <v/>
      </c>
      <c r="AX4279" s="83" t="str">
        <f t="array" ref="AX4279">IFERROR(DGET('SBV Import'!A:G,"SBV",{"RSC ID","Tier";B4279,A4279}))</f>
        <v/>
      </c>
      <c r="AY4279" s="82" t="str">
        <f t="shared" si="2"/>
        <v/>
      </c>
      <c r="AZ4279" s="82"/>
      <c r="BA4279" s="84" t="s">
        <v>152</v>
      </c>
      <c r="BB4279" s="84" t="str">
        <f>IFERROR(__xludf.DUMMYFUNCTION("iferror(if(A4279="""",,E4279&gt;=FILTER(Constants!$F$2:$F$10,Constants!$A$2:$A$10=A4279)))"),"")</f>
        <v/>
      </c>
    </row>
    <row r="4280">
      <c r="A4280" s="89"/>
      <c r="B4280" s="87"/>
      <c r="C4280" s="73"/>
      <c r="D4280" s="73"/>
      <c r="E4280" s="82"/>
      <c r="F4280" s="82"/>
      <c r="G4280" s="86"/>
      <c r="H4280" s="86"/>
      <c r="I4280" s="86"/>
      <c r="J4280" s="82"/>
      <c r="K4280" s="82"/>
      <c r="L4280" s="82"/>
      <c r="M4280" s="82"/>
      <c r="N4280" s="82"/>
      <c r="O4280" s="82"/>
      <c r="P4280" s="82"/>
      <c r="Q4280" s="82"/>
      <c r="R4280" s="82"/>
      <c r="S4280" s="82"/>
      <c r="T4280" s="82"/>
      <c r="U4280" s="82"/>
      <c r="V4280" s="82"/>
      <c r="W4280" s="82"/>
      <c r="X4280" s="82"/>
      <c r="Y4280" s="82"/>
      <c r="Z4280" s="82"/>
      <c r="AA4280" s="82"/>
      <c r="AB4280" s="82"/>
      <c r="AC4280" s="82"/>
      <c r="AD4280" s="82"/>
      <c r="AE4280" s="82"/>
      <c r="AF4280" s="82"/>
      <c r="AG4280" s="82"/>
      <c r="AH4280" s="82"/>
      <c r="AI4280" s="82"/>
      <c r="AJ4280" s="82"/>
      <c r="AK4280" s="82"/>
      <c r="AL4280" s="82"/>
      <c r="AM4280" s="82"/>
      <c r="AN4280" s="82">
        <f>IFERROR(__xludf.DUMMYFUNCTION("""COMPUTED_VALUE"""),0.0)</f>
        <v>0</v>
      </c>
      <c r="AO4280" s="82">
        <f>IFERROR(__xludf.DUMMYFUNCTION("""COMPUTED_VALUE"""),0.0)</f>
        <v>0</v>
      </c>
      <c r="AP4280" s="82">
        <f>IFERROR(__xludf.DUMMYFUNCTION("""COMPUTED_VALUE"""),0.0)</f>
        <v>0</v>
      </c>
      <c r="AQ4280" s="82">
        <f>IFERROR(__xludf.DUMMYFUNCTION("""COMPUTED_VALUE"""),0.0)</f>
        <v>0</v>
      </c>
      <c r="AR4280" s="82">
        <f>IFERROR(__xludf.DUMMYFUNCTION("""COMPUTED_VALUE"""),0.0)</f>
        <v>0</v>
      </c>
      <c r="AS4280" s="82"/>
      <c r="AT4280" s="82">
        <f>IFERROR(__xludf.DUMMYFUNCTION("""COMPUTED_VALUE"""),0.0)</f>
        <v>0</v>
      </c>
      <c r="AU4280" s="82"/>
      <c r="AV4280" s="82"/>
      <c r="AW4280" s="82" t="str">
        <f t="shared" si="1"/>
        <v/>
      </c>
      <c r="AX4280" s="83" t="str">
        <f t="array" ref="AX4280">IFERROR(DGET('SBV Import'!A:G,"SBV",{"RSC ID","Tier";B4280,A4280}))</f>
        <v/>
      </c>
      <c r="AY4280" s="82" t="str">
        <f t="shared" si="2"/>
        <v/>
      </c>
      <c r="AZ4280" s="82"/>
      <c r="BA4280" s="84" t="s">
        <v>152</v>
      </c>
      <c r="BB4280" s="84" t="str">
        <f>IFERROR(__xludf.DUMMYFUNCTION("iferror(if(A4280="""",,E4280&gt;=FILTER(Constants!$F$2:$F$10,Constants!$A$2:$A$10=A4280)))"),"")</f>
        <v/>
      </c>
    </row>
    <row r="4281">
      <c r="A4281" s="89"/>
      <c r="B4281" s="87"/>
      <c r="C4281" s="73"/>
      <c r="D4281" s="73"/>
      <c r="E4281" s="82"/>
      <c r="F4281" s="82"/>
      <c r="G4281" s="86"/>
      <c r="H4281" s="86"/>
      <c r="I4281" s="86"/>
      <c r="J4281" s="82"/>
      <c r="K4281" s="82"/>
      <c r="L4281" s="82"/>
      <c r="M4281" s="82"/>
      <c r="N4281" s="82"/>
      <c r="O4281" s="82"/>
      <c r="P4281" s="82"/>
      <c r="Q4281" s="82"/>
      <c r="R4281" s="82"/>
      <c r="S4281" s="82"/>
      <c r="T4281" s="82"/>
      <c r="U4281" s="82"/>
      <c r="V4281" s="82"/>
      <c r="W4281" s="82"/>
      <c r="X4281" s="82"/>
      <c r="Y4281" s="82"/>
      <c r="Z4281" s="82"/>
      <c r="AA4281" s="82"/>
      <c r="AB4281" s="82"/>
      <c r="AC4281" s="82"/>
      <c r="AD4281" s="82"/>
      <c r="AE4281" s="82"/>
      <c r="AF4281" s="82"/>
      <c r="AG4281" s="82"/>
      <c r="AH4281" s="82"/>
      <c r="AI4281" s="82"/>
      <c r="AJ4281" s="82"/>
      <c r="AK4281" s="82"/>
      <c r="AL4281" s="82"/>
      <c r="AM4281" s="82"/>
      <c r="AN4281" s="82">
        <f>IFERROR(__xludf.DUMMYFUNCTION("""COMPUTED_VALUE"""),0.0)</f>
        <v>0</v>
      </c>
      <c r="AO4281" s="82">
        <f>IFERROR(__xludf.DUMMYFUNCTION("""COMPUTED_VALUE"""),0.0)</f>
        <v>0</v>
      </c>
      <c r="AP4281" s="82">
        <f>IFERROR(__xludf.DUMMYFUNCTION("""COMPUTED_VALUE"""),0.0)</f>
        <v>0</v>
      </c>
      <c r="AQ4281" s="82">
        <f>IFERROR(__xludf.DUMMYFUNCTION("""COMPUTED_VALUE"""),0.0)</f>
        <v>0</v>
      </c>
      <c r="AR4281" s="82">
        <f>IFERROR(__xludf.DUMMYFUNCTION("""COMPUTED_VALUE"""),0.0)</f>
        <v>0</v>
      </c>
      <c r="AS4281" s="82"/>
      <c r="AT4281" s="82">
        <f>IFERROR(__xludf.DUMMYFUNCTION("""COMPUTED_VALUE"""),0.0)</f>
        <v>0</v>
      </c>
      <c r="AU4281" s="82"/>
      <c r="AV4281" s="82"/>
      <c r="AW4281" s="82" t="str">
        <f t="shared" si="1"/>
        <v/>
      </c>
      <c r="AX4281" s="83" t="str">
        <f t="array" ref="AX4281">IFERROR(DGET('SBV Import'!A:G,"SBV",{"RSC ID","Tier";B4281,A4281}))</f>
        <v/>
      </c>
      <c r="AY4281" s="82" t="str">
        <f t="shared" si="2"/>
        <v/>
      </c>
      <c r="AZ4281" s="82"/>
      <c r="BA4281" s="84" t="s">
        <v>152</v>
      </c>
      <c r="BB4281" s="84" t="str">
        <f>IFERROR(__xludf.DUMMYFUNCTION("iferror(if(A4281="""",,E4281&gt;=FILTER(Constants!$F$2:$F$10,Constants!$A$2:$A$10=A4281)))"),"")</f>
        <v/>
      </c>
    </row>
    <row r="4282">
      <c r="A4282" s="89"/>
      <c r="B4282" s="87"/>
      <c r="C4282" s="73"/>
      <c r="D4282" s="73"/>
      <c r="E4282" s="82"/>
      <c r="F4282" s="82"/>
      <c r="G4282" s="86"/>
      <c r="H4282" s="86"/>
      <c r="I4282" s="86"/>
      <c r="J4282" s="82"/>
      <c r="K4282" s="82"/>
      <c r="L4282" s="82"/>
      <c r="M4282" s="82"/>
      <c r="N4282" s="82"/>
      <c r="O4282" s="82"/>
      <c r="P4282" s="82"/>
      <c r="Q4282" s="82"/>
      <c r="R4282" s="82"/>
      <c r="S4282" s="82"/>
      <c r="T4282" s="82"/>
      <c r="U4282" s="82"/>
      <c r="V4282" s="82"/>
      <c r="W4282" s="82"/>
      <c r="X4282" s="82"/>
      <c r="Y4282" s="82"/>
      <c r="Z4282" s="82"/>
      <c r="AA4282" s="82"/>
      <c r="AB4282" s="82"/>
      <c r="AC4282" s="82"/>
      <c r="AD4282" s="82"/>
      <c r="AE4282" s="82"/>
      <c r="AF4282" s="82"/>
      <c r="AG4282" s="82"/>
      <c r="AH4282" s="82"/>
      <c r="AI4282" s="82"/>
      <c r="AJ4282" s="82"/>
      <c r="AK4282" s="82"/>
      <c r="AL4282" s="82"/>
      <c r="AM4282" s="82"/>
      <c r="AN4282" s="82">
        <f>IFERROR(__xludf.DUMMYFUNCTION("""COMPUTED_VALUE"""),0.0)</f>
        <v>0</v>
      </c>
      <c r="AO4282" s="82">
        <f>IFERROR(__xludf.DUMMYFUNCTION("""COMPUTED_VALUE"""),0.0)</f>
        <v>0</v>
      </c>
      <c r="AP4282" s="82">
        <f>IFERROR(__xludf.DUMMYFUNCTION("""COMPUTED_VALUE"""),0.0)</f>
        <v>0</v>
      </c>
      <c r="AQ4282" s="82">
        <f>IFERROR(__xludf.DUMMYFUNCTION("""COMPUTED_VALUE"""),0.0)</f>
        <v>0</v>
      </c>
      <c r="AR4282" s="82">
        <f>IFERROR(__xludf.DUMMYFUNCTION("""COMPUTED_VALUE"""),0.0)</f>
        <v>0</v>
      </c>
      <c r="AS4282" s="82"/>
      <c r="AT4282" s="82">
        <f>IFERROR(__xludf.DUMMYFUNCTION("""COMPUTED_VALUE"""),0.0)</f>
        <v>0</v>
      </c>
      <c r="AU4282" s="82"/>
      <c r="AV4282" s="82"/>
      <c r="AW4282" s="82" t="str">
        <f t="shared" si="1"/>
        <v/>
      </c>
      <c r="AX4282" s="83" t="str">
        <f t="array" ref="AX4282">IFERROR(DGET('SBV Import'!A:G,"SBV",{"RSC ID","Tier";B4282,A4282}))</f>
        <v/>
      </c>
      <c r="AY4282" s="82" t="str">
        <f t="shared" si="2"/>
        <v/>
      </c>
      <c r="AZ4282" s="82"/>
      <c r="BA4282" s="84" t="s">
        <v>152</v>
      </c>
      <c r="BB4282" s="84" t="str">
        <f>IFERROR(__xludf.DUMMYFUNCTION("iferror(if(A4282="""",,E4282&gt;=FILTER(Constants!$F$2:$F$10,Constants!$A$2:$A$10=A4282)))"),"")</f>
        <v/>
      </c>
    </row>
    <row r="4283">
      <c r="A4283" s="89"/>
      <c r="B4283" s="87"/>
      <c r="C4283" s="73"/>
      <c r="D4283" s="73"/>
      <c r="E4283" s="82"/>
      <c r="F4283" s="82"/>
      <c r="G4283" s="86"/>
      <c r="H4283" s="86"/>
      <c r="I4283" s="86"/>
      <c r="J4283" s="82"/>
      <c r="K4283" s="82"/>
      <c r="L4283" s="82"/>
      <c r="M4283" s="82"/>
      <c r="N4283" s="82"/>
      <c r="O4283" s="82"/>
      <c r="P4283" s="82"/>
      <c r="Q4283" s="82"/>
      <c r="R4283" s="82"/>
      <c r="S4283" s="82"/>
      <c r="T4283" s="82"/>
      <c r="U4283" s="82"/>
      <c r="V4283" s="82"/>
      <c r="W4283" s="82"/>
      <c r="X4283" s="82"/>
      <c r="Y4283" s="82"/>
      <c r="Z4283" s="82"/>
      <c r="AA4283" s="82"/>
      <c r="AB4283" s="82"/>
      <c r="AC4283" s="82"/>
      <c r="AD4283" s="82"/>
      <c r="AE4283" s="82"/>
      <c r="AF4283" s="82"/>
      <c r="AG4283" s="82"/>
      <c r="AH4283" s="82"/>
      <c r="AI4283" s="82"/>
      <c r="AJ4283" s="82"/>
      <c r="AK4283" s="82"/>
      <c r="AL4283" s="82"/>
      <c r="AM4283" s="82"/>
      <c r="AN4283" s="82">
        <f>IFERROR(__xludf.DUMMYFUNCTION("""COMPUTED_VALUE"""),0.0)</f>
        <v>0</v>
      </c>
      <c r="AO4283" s="82">
        <f>IFERROR(__xludf.DUMMYFUNCTION("""COMPUTED_VALUE"""),0.0)</f>
        <v>0</v>
      </c>
      <c r="AP4283" s="82">
        <f>IFERROR(__xludf.DUMMYFUNCTION("""COMPUTED_VALUE"""),0.0)</f>
        <v>0</v>
      </c>
      <c r="AQ4283" s="82">
        <f>IFERROR(__xludf.DUMMYFUNCTION("""COMPUTED_VALUE"""),0.0)</f>
        <v>0</v>
      </c>
      <c r="AR4283" s="82">
        <f>IFERROR(__xludf.DUMMYFUNCTION("""COMPUTED_VALUE"""),0.0)</f>
        <v>0</v>
      </c>
      <c r="AS4283" s="82"/>
      <c r="AT4283" s="82">
        <f>IFERROR(__xludf.DUMMYFUNCTION("""COMPUTED_VALUE"""),0.0)</f>
        <v>0</v>
      </c>
      <c r="AU4283" s="82"/>
      <c r="AV4283" s="82"/>
      <c r="AW4283" s="82" t="str">
        <f t="shared" si="1"/>
        <v/>
      </c>
      <c r="AX4283" s="83" t="str">
        <f t="array" ref="AX4283">IFERROR(DGET('SBV Import'!A:G,"SBV",{"RSC ID","Tier";B4283,A4283}))</f>
        <v/>
      </c>
      <c r="AY4283" s="82" t="str">
        <f t="shared" si="2"/>
        <v/>
      </c>
      <c r="AZ4283" s="82"/>
      <c r="BA4283" s="84" t="s">
        <v>152</v>
      </c>
      <c r="BB4283" s="84" t="str">
        <f>IFERROR(__xludf.DUMMYFUNCTION("iferror(if(A4283="""",,E4283&gt;=FILTER(Constants!$F$2:$F$10,Constants!$A$2:$A$10=A4283)))"),"")</f>
        <v/>
      </c>
    </row>
    <row r="4284">
      <c r="A4284" s="89"/>
      <c r="B4284" s="87"/>
      <c r="C4284" s="73"/>
      <c r="D4284" s="73"/>
      <c r="E4284" s="82"/>
      <c r="F4284" s="82"/>
      <c r="G4284" s="86"/>
      <c r="H4284" s="86"/>
      <c r="I4284" s="86"/>
      <c r="J4284" s="82"/>
      <c r="K4284" s="82"/>
      <c r="L4284" s="82"/>
      <c r="M4284" s="82"/>
      <c r="N4284" s="82"/>
      <c r="O4284" s="82"/>
      <c r="P4284" s="82"/>
      <c r="Q4284" s="82"/>
      <c r="R4284" s="82"/>
      <c r="S4284" s="82"/>
      <c r="T4284" s="82"/>
      <c r="U4284" s="82"/>
      <c r="V4284" s="82"/>
      <c r="W4284" s="82"/>
      <c r="X4284" s="82"/>
      <c r="Y4284" s="82"/>
      <c r="Z4284" s="82"/>
      <c r="AA4284" s="82"/>
      <c r="AB4284" s="82"/>
      <c r="AC4284" s="82"/>
      <c r="AD4284" s="82"/>
      <c r="AE4284" s="82"/>
      <c r="AF4284" s="82"/>
      <c r="AG4284" s="82"/>
      <c r="AH4284" s="82"/>
      <c r="AI4284" s="82"/>
      <c r="AJ4284" s="82"/>
      <c r="AK4284" s="82"/>
      <c r="AL4284" s="82"/>
      <c r="AM4284" s="82"/>
      <c r="AN4284" s="82">
        <f>IFERROR(__xludf.DUMMYFUNCTION("""COMPUTED_VALUE"""),0.0)</f>
        <v>0</v>
      </c>
      <c r="AO4284" s="82">
        <f>IFERROR(__xludf.DUMMYFUNCTION("""COMPUTED_VALUE"""),0.0)</f>
        <v>0</v>
      </c>
      <c r="AP4284" s="82">
        <f>IFERROR(__xludf.DUMMYFUNCTION("""COMPUTED_VALUE"""),0.0)</f>
        <v>0</v>
      </c>
      <c r="AQ4284" s="82">
        <f>IFERROR(__xludf.DUMMYFUNCTION("""COMPUTED_VALUE"""),0.0)</f>
        <v>0</v>
      </c>
      <c r="AR4284" s="82">
        <f>IFERROR(__xludf.DUMMYFUNCTION("""COMPUTED_VALUE"""),0.0)</f>
        <v>0</v>
      </c>
      <c r="AS4284" s="82"/>
      <c r="AT4284" s="82">
        <f>IFERROR(__xludf.DUMMYFUNCTION("""COMPUTED_VALUE"""),0.0)</f>
        <v>0</v>
      </c>
      <c r="AU4284" s="82"/>
      <c r="AV4284" s="82"/>
      <c r="AW4284" s="82" t="str">
        <f t="shared" si="1"/>
        <v/>
      </c>
      <c r="AX4284" s="83" t="str">
        <f t="array" ref="AX4284">IFERROR(DGET('SBV Import'!A:G,"SBV",{"RSC ID","Tier";B4284,A4284}))</f>
        <v/>
      </c>
      <c r="AY4284" s="82" t="str">
        <f t="shared" si="2"/>
        <v/>
      </c>
      <c r="AZ4284" s="82"/>
      <c r="BA4284" s="84" t="s">
        <v>152</v>
      </c>
      <c r="BB4284" s="84" t="str">
        <f>IFERROR(__xludf.DUMMYFUNCTION("iferror(if(A4284="""",,E4284&gt;=FILTER(Constants!$F$2:$F$10,Constants!$A$2:$A$10=A4284)))"),"")</f>
        <v/>
      </c>
    </row>
    <row r="4285">
      <c r="A4285" s="89"/>
      <c r="B4285" s="87"/>
      <c r="C4285" s="73"/>
      <c r="D4285" s="73"/>
      <c r="E4285" s="82"/>
      <c r="F4285" s="82"/>
      <c r="G4285" s="86"/>
      <c r="H4285" s="86"/>
      <c r="I4285" s="86"/>
      <c r="J4285" s="82"/>
      <c r="K4285" s="82"/>
      <c r="L4285" s="82"/>
      <c r="M4285" s="82"/>
      <c r="N4285" s="82"/>
      <c r="O4285" s="82"/>
      <c r="P4285" s="82"/>
      <c r="Q4285" s="82"/>
      <c r="R4285" s="82"/>
      <c r="S4285" s="82"/>
      <c r="T4285" s="82"/>
      <c r="U4285" s="82"/>
      <c r="V4285" s="82"/>
      <c r="W4285" s="82"/>
      <c r="X4285" s="82"/>
      <c r="Y4285" s="82"/>
      <c r="Z4285" s="82"/>
      <c r="AA4285" s="82"/>
      <c r="AB4285" s="82"/>
      <c r="AC4285" s="82"/>
      <c r="AD4285" s="82"/>
      <c r="AE4285" s="82"/>
      <c r="AF4285" s="82"/>
      <c r="AG4285" s="82"/>
      <c r="AH4285" s="82"/>
      <c r="AI4285" s="82"/>
      <c r="AJ4285" s="82"/>
      <c r="AK4285" s="82"/>
      <c r="AL4285" s="82"/>
      <c r="AM4285" s="82"/>
      <c r="AN4285" s="82">
        <f>IFERROR(__xludf.DUMMYFUNCTION("""COMPUTED_VALUE"""),0.0)</f>
        <v>0</v>
      </c>
      <c r="AO4285" s="82">
        <f>IFERROR(__xludf.DUMMYFUNCTION("""COMPUTED_VALUE"""),0.0)</f>
        <v>0</v>
      </c>
      <c r="AP4285" s="82">
        <f>IFERROR(__xludf.DUMMYFUNCTION("""COMPUTED_VALUE"""),0.0)</f>
        <v>0</v>
      </c>
      <c r="AQ4285" s="82">
        <f>IFERROR(__xludf.DUMMYFUNCTION("""COMPUTED_VALUE"""),0.0)</f>
        <v>0</v>
      </c>
      <c r="AR4285" s="82">
        <f>IFERROR(__xludf.DUMMYFUNCTION("""COMPUTED_VALUE"""),0.0)</f>
        <v>0</v>
      </c>
      <c r="AS4285" s="82"/>
      <c r="AT4285" s="82">
        <f>IFERROR(__xludf.DUMMYFUNCTION("""COMPUTED_VALUE"""),0.0)</f>
        <v>0</v>
      </c>
      <c r="AU4285" s="82"/>
      <c r="AV4285" s="82"/>
      <c r="AW4285" s="82" t="str">
        <f t="shared" si="1"/>
        <v/>
      </c>
      <c r="AX4285" s="83" t="str">
        <f t="array" ref="AX4285">IFERROR(DGET('SBV Import'!A:G,"SBV",{"RSC ID","Tier";B4285,A4285}))</f>
        <v/>
      </c>
      <c r="AY4285" s="82" t="str">
        <f t="shared" si="2"/>
        <v/>
      </c>
      <c r="AZ4285" s="82"/>
      <c r="BA4285" s="84" t="s">
        <v>152</v>
      </c>
      <c r="BB4285" s="84" t="str">
        <f>IFERROR(__xludf.DUMMYFUNCTION("iferror(if(A4285="""",,E4285&gt;=FILTER(Constants!$F$2:$F$10,Constants!$A$2:$A$10=A4285)))"),"")</f>
        <v/>
      </c>
    </row>
    <row r="4286">
      <c r="A4286" s="89"/>
      <c r="B4286" s="87"/>
      <c r="C4286" s="73"/>
      <c r="D4286" s="73"/>
      <c r="E4286" s="82"/>
      <c r="F4286" s="82"/>
      <c r="G4286" s="86"/>
      <c r="H4286" s="86"/>
      <c r="I4286" s="86"/>
      <c r="J4286" s="82"/>
      <c r="K4286" s="82"/>
      <c r="L4286" s="82"/>
      <c r="M4286" s="82"/>
      <c r="N4286" s="82"/>
      <c r="O4286" s="82"/>
      <c r="P4286" s="82"/>
      <c r="Q4286" s="82"/>
      <c r="R4286" s="82"/>
      <c r="S4286" s="82"/>
      <c r="T4286" s="82"/>
      <c r="U4286" s="82"/>
      <c r="V4286" s="82"/>
      <c r="W4286" s="82"/>
      <c r="X4286" s="82"/>
      <c r="Y4286" s="82"/>
      <c r="Z4286" s="82"/>
      <c r="AA4286" s="82"/>
      <c r="AB4286" s="82"/>
      <c r="AC4286" s="82"/>
      <c r="AD4286" s="82"/>
      <c r="AE4286" s="82"/>
      <c r="AF4286" s="82"/>
      <c r="AG4286" s="82"/>
      <c r="AH4286" s="82"/>
      <c r="AI4286" s="82"/>
      <c r="AJ4286" s="82"/>
      <c r="AK4286" s="82"/>
      <c r="AL4286" s="82"/>
      <c r="AM4286" s="82"/>
      <c r="AN4286" s="82">
        <f>IFERROR(__xludf.DUMMYFUNCTION("""COMPUTED_VALUE"""),0.0)</f>
        <v>0</v>
      </c>
      <c r="AO4286" s="82">
        <f>IFERROR(__xludf.DUMMYFUNCTION("""COMPUTED_VALUE"""),0.0)</f>
        <v>0</v>
      </c>
      <c r="AP4286" s="82">
        <f>IFERROR(__xludf.DUMMYFUNCTION("""COMPUTED_VALUE"""),0.0)</f>
        <v>0</v>
      </c>
      <c r="AQ4286" s="82">
        <f>IFERROR(__xludf.DUMMYFUNCTION("""COMPUTED_VALUE"""),0.0)</f>
        <v>0</v>
      </c>
      <c r="AR4286" s="82">
        <f>IFERROR(__xludf.DUMMYFUNCTION("""COMPUTED_VALUE"""),0.0)</f>
        <v>0</v>
      </c>
      <c r="AS4286" s="82"/>
      <c r="AT4286" s="82">
        <f>IFERROR(__xludf.DUMMYFUNCTION("""COMPUTED_VALUE"""),0.0)</f>
        <v>0</v>
      </c>
      <c r="AU4286" s="82"/>
      <c r="AV4286" s="82"/>
      <c r="AW4286" s="82" t="str">
        <f t="shared" si="1"/>
        <v/>
      </c>
      <c r="AX4286" s="83" t="str">
        <f t="array" ref="AX4286">IFERROR(DGET('SBV Import'!A:G,"SBV",{"RSC ID","Tier";B4286,A4286}))</f>
        <v/>
      </c>
      <c r="AY4286" s="82" t="str">
        <f t="shared" si="2"/>
        <v/>
      </c>
      <c r="AZ4286" s="82"/>
      <c r="BA4286" s="84" t="s">
        <v>152</v>
      </c>
      <c r="BB4286" s="84" t="str">
        <f>IFERROR(__xludf.DUMMYFUNCTION("iferror(if(A4286="""",,E4286&gt;=FILTER(Constants!$F$2:$F$10,Constants!$A$2:$A$10=A4286)))"),"")</f>
        <v/>
      </c>
    </row>
    <row r="4287">
      <c r="A4287" s="89"/>
      <c r="B4287" s="87"/>
      <c r="C4287" s="73"/>
      <c r="D4287" s="73"/>
      <c r="E4287" s="82"/>
      <c r="F4287" s="82"/>
      <c r="G4287" s="86"/>
      <c r="H4287" s="86"/>
      <c r="I4287" s="86"/>
      <c r="J4287" s="82"/>
      <c r="K4287" s="82"/>
      <c r="L4287" s="82"/>
      <c r="M4287" s="82"/>
      <c r="N4287" s="82"/>
      <c r="O4287" s="82"/>
      <c r="P4287" s="82"/>
      <c r="Q4287" s="82"/>
      <c r="R4287" s="82"/>
      <c r="S4287" s="82"/>
      <c r="T4287" s="82"/>
      <c r="U4287" s="82"/>
      <c r="V4287" s="82"/>
      <c r="W4287" s="82"/>
      <c r="X4287" s="82"/>
      <c r="Y4287" s="82"/>
      <c r="Z4287" s="82"/>
      <c r="AA4287" s="82"/>
      <c r="AB4287" s="82"/>
      <c r="AC4287" s="82"/>
      <c r="AD4287" s="82"/>
      <c r="AE4287" s="82"/>
      <c r="AF4287" s="82"/>
      <c r="AG4287" s="82"/>
      <c r="AH4287" s="82"/>
      <c r="AI4287" s="82"/>
      <c r="AJ4287" s="82"/>
      <c r="AK4287" s="82"/>
      <c r="AL4287" s="82"/>
      <c r="AM4287" s="82"/>
      <c r="AN4287" s="82">
        <f>IFERROR(__xludf.DUMMYFUNCTION("""COMPUTED_VALUE"""),0.0)</f>
        <v>0</v>
      </c>
      <c r="AO4287" s="82">
        <f>IFERROR(__xludf.DUMMYFUNCTION("""COMPUTED_VALUE"""),0.0)</f>
        <v>0</v>
      </c>
      <c r="AP4287" s="82">
        <f>IFERROR(__xludf.DUMMYFUNCTION("""COMPUTED_VALUE"""),0.0)</f>
        <v>0</v>
      </c>
      <c r="AQ4287" s="82">
        <f>IFERROR(__xludf.DUMMYFUNCTION("""COMPUTED_VALUE"""),0.0)</f>
        <v>0</v>
      </c>
      <c r="AR4287" s="82">
        <f>IFERROR(__xludf.DUMMYFUNCTION("""COMPUTED_VALUE"""),0.0)</f>
        <v>0</v>
      </c>
      <c r="AS4287" s="82"/>
      <c r="AT4287" s="82">
        <f>IFERROR(__xludf.DUMMYFUNCTION("""COMPUTED_VALUE"""),0.0)</f>
        <v>0</v>
      </c>
      <c r="AU4287" s="82"/>
      <c r="AV4287" s="82"/>
      <c r="AW4287" s="82" t="str">
        <f t="shared" si="1"/>
        <v/>
      </c>
      <c r="AX4287" s="83" t="str">
        <f t="array" ref="AX4287">IFERROR(DGET('SBV Import'!A:G,"SBV",{"RSC ID","Tier";B4287,A4287}))</f>
        <v/>
      </c>
      <c r="AY4287" s="82" t="str">
        <f t="shared" si="2"/>
        <v/>
      </c>
      <c r="AZ4287" s="82"/>
      <c r="BA4287" s="84" t="s">
        <v>152</v>
      </c>
      <c r="BB4287" s="84" t="str">
        <f>IFERROR(__xludf.DUMMYFUNCTION("iferror(if(A4287="""",,E4287&gt;=FILTER(Constants!$F$2:$F$10,Constants!$A$2:$A$10=A4287)))"),"")</f>
        <v/>
      </c>
    </row>
    <row r="4288">
      <c r="A4288" s="89"/>
      <c r="B4288" s="87"/>
      <c r="C4288" s="73"/>
      <c r="D4288" s="73"/>
      <c r="E4288" s="82"/>
      <c r="F4288" s="82"/>
      <c r="G4288" s="86"/>
      <c r="H4288" s="86"/>
      <c r="I4288" s="86"/>
      <c r="J4288" s="82"/>
      <c r="K4288" s="82"/>
      <c r="L4288" s="82"/>
      <c r="M4288" s="82"/>
      <c r="N4288" s="82"/>
      <c r="O4288" s="82"/>
      <c r="P4288" s="82"/>
      <c r="Q4288" s="82"/>
      <c r="R4288" s="82"/>
      <c r="S4288" s="82"/>
      <c r="T4288" s="82"/>
      <c r="U4288" s="82"/>
      <c r="V4288" s="82"/>
      <c r="W4288" s="82"/>
      <c r="X4288" s="82"/>
      <c r="Y4288" s="82"/>
      <c r="Z4288" s="82"/>
      <c r="AA4288" s="82"/>
      <c r="AB4288" s="82"/>
      <c r="AC4288" s="82"/>
      <c r="AD4288" s="82"/>
      <c r="AE4288" s="82"/>
      <c r="AF4288" s="82"/>
      <c r="AG4288" s="82"/>
      <c r="AH4288" s="82"/>
      <c r="AI4288" s="82"/>
      <c r="AJ4288" s="82"/>
      <c r="AK4288" s="82"/>
      <c r="AL4288" s="82"/>
      <c r="AM4288" s="82"/>
      <c r="AN4288" s="82">
        <f>IFERROR(__xludf.DUMMYFUNCTION("""COMPUTED_VALUE"""),0.0)</f>
        <v>0</v>
      </c>
      <c r="AO4288" s="82">
        <f>IFERROR(__xludf.DUMMYFUNCTION("""COMPUTED_VALUE"""),0.0)</f>
        <v>0</v>
      </c>
      <c r="AP4288" s="82">
        <f>IFERROR(__xludf.DUMMYFUNCTION("""COMPUTED_VALUE"""),0.0)</f>
        <v>0</v>
      </c>
      <c r="AQ4288" s="82">
        <f>IFERROR(__xludf.DUMMYFUNCTION("""COMPUTED_VALUE"""),0.0)</f>
        <v>0</v>
      </c>
      <c r="AR4288" s="82">
        <f>IFERROR(__xludf.DUMMYFUNCTION("""COMPUTED_VALUE"""),0.0)</f>
        <v>0</v>
      </c>
      <c r="AS4288" s="82"/>
      <c r="AT4288" s="82">
        <f>IFERROR(__xludf.DUMMYFUNCTION("""COMPUTED_VALUE"""),0.0)</f>
        <v>0</v>
      </c>
      <c r="AU4288" s="82"/>
      <c r="AV4288" s="82"/>
      <c r="AW4288" s="82" t="str">
        <f t="shared" si="1"/>
        <v/>
      </c>
      <c r="AX4288" s="83" t="str">
        <f t="array" ref="AX4288">IFERROR(DGET('SBV Import'!A:G,"SBV",{"RSC ID","Tier";B4288,A4288}))</f>
        <v/>
      </c>
      <c r="AY4288" s="82" t="str">
        <f t="shared" si="2"/>
        <v/>
      </c>
      <c r="AZ4288" s="82"/>
      <c r="BA4288" s="84" t="s">
        <v>152</v>
      </c>
      <c r="BB4288" s="84" t="str">
        <f>IFERROR(__xludf.DUMMYFUNCTION("iferror(if(A4288="""",,E4288&gt;=FILTER(Constants!$F$2:$F$10,Constants!$A$2:$A$10=A4288)))"),"")</f>
        <v/>
      </c>
    </row>
    <row r="4289">
      <c r="A4289" s="89"/>
      <c r="B4289" s="87"/>
      <c r="C4289" s="73"/>
      <c r="D4289" s="73"/>
      <c r="E4289" s="82"/>
      <c r="F4289" s="82"/>
      <c r="G4289" s="86"/>
      <c r="H4289" s="86"/>
      <c r="I4289" s="86"/>
      <c r="J4289" s="82"/>
      <c r="K4289" s="82"/>
      <c r="L4289" s="82"/>
      <c r="M4289" s="82"/>
      <c r="N4289" s="82"/>
      <c r="O4289" s="82"/>
      <c r="P4289" s="82"/>
      <c r="Q4289" s="82"/>
      <c r="R4289" s="82"/>
      <c r="S4289" s="82"/>
      <c r="T4289" s="82"/>
      <c r="U4289" s="82"/>
      <c r="V4289" s="82"/>
      <c r="W4289" s="82"/>
      <c r="X4289" s="82"/>
      <c r="Y4289" s="82"/>
      <c r="Z4289" s="82"/>
      <c r="AA4289" s="82"/>
      <c r="AB4289" s="82"/>
      <c r="AC4289" s="82"/>
      <c r="AD4289" s="82"/>
      <c r="AE4289" s="82"/>
      <c r="AF4289" s="82"/>
      <c r="AG4289" s="82"/>
      <c r="AH4289" s="82"/>
      <c r="AI4289" s="82"/>
      <c r="AJ4289" s="82"/>
      <c r="AK4289" s="82"/>
      <c r="AL4289" s="82"/>
      <c r="AM4289" s="82"/>
      <c r="AN4289" s="82">
        <f>IFERROR(__xludf.DUMMYFUNCTION("""COMPUTED_VALUE"""),0.0)</f>
        <v>0</v>
      </c>
      <c r="AO4289" s="82">
        <f>IFERROR(__xludf.DUMMYFUNCTION("""COMPUTED_VALUE"""),0.0)</f>
        <v>0</v>
      </c>
      <c r="AP4289" s="82">
        <f>IFERROR(__xludf.DUMMYFUNCTION("""COMPUTED_VALUE"""),0.0)</f>
        <v>0</v>
      </c>
      <c r="AQ4289" s="82">
        <f>IFERROR(__xludf.DUMMYFUNCTION("""COMPUTED_VALUE"""),0.0)</f>
        <v>0</v>
      </c>
      <c r="AR4289" s="82">
        <f>IFERROR(__xludf.DUMMYFUNCTION("""COMPUTED_VALUE"""),0.0)</f>
        <v>0</v>
      </c>
      <c r="AS4289" s="82"/>
      <c r="AT4289" s="82">
        <f>IFERROR(__xludf.DUMMYFUNCTION("""COMPUTED_VALUE"""),0.0)</f>
        <v>0</v>
      </c>
      <c r="AU4289" s="82"/>
      <c r="AV4289" s="82"/>
      <c r="AW4289" s="82" t="str">
        <f t="shared" si="1"/>
        <v/>
      </c>
      <c r="AX4289" s="83" t="str">
        <f t="array" ref="AX4289">IFERROR(DGET('SBV Import'!A:G,"SBV",{"RSC ID","Tier";B4289,A4289}))</f>
        <v/>
      </c>
      <c r="AY4289" s="82" t="str">
        <f t="shared" si="2"/>
        <v/>
      </c>
      <c r="AZ4289" s="82"/>
      <c r="BA4289" s="84" t="s">
        <v>152</v>
      </c>
      <c r="BB4289" s="84" t="str">
        <f>IFERROR(__xludf.DUMMYFUNCTION("iferror(if(A4289="""",,E4289&gt;=FILTER(Constants!$F$2:$F$10,Constants!$A$2:$A$10=A4289)))"),"")</f>
        <v/>
      </c>
    </row>
    <row r="4290">
      <c r="A4290" s="89"/>
      <c r="B4290" s="87"/>
      <c r="C4290" s="73"/>
      <c r="D4290" s="73"/>
      <c r="E4290" s="82"/>
      <c r="F4290" s="82"/>
      <c r="G4290" s="86"/>
      <c r="H4290" s="86"/>
      <c r="I4290" s="86"/>
      <c r="J4290" s="82"/>
      <c r="K4290" s="82"/>
      <c r="L4290" s="82"/>
      <c r="M4290" s="82"/>
      <c r="N4290" s="82"/>
      <c r="O4290" s="82"/>
      <c r="P4290" s="82"/>
      <c r="Q4290" s="82"/>
      <c r="R4290" s="82"/>
      <c r="S4290" s="82"/>
      <c r="T4290" s="82"/>
      <c r="U4290" s="82"/>
      <c r="V4290" s="82"/>
      <c r="W4290" s="82"/>
      <c r="X4290" s="82"/>
      <c r="Y4290" s="82"/>
      <c r="Z4290" s="82"/>
      <c r="AA4290" s="82"/>
      <c r="AB4290" s="82"/>
      <c r="AC4290" s="82"/>
      <c r="AD4290" s="82"/>
      <c r="AE4290" s="82"/>
      <c r="AF4290" s="82"/>
      <c r="AG4290" s="82"/>
      <c r="AH4290" s="82"/>
      <c r="AI4290" s="82"/>
      <c r="AJ4290" s="82"/>
      <c r="AK4290" s="82"/>
      <c r="AL4290" s="82"/>
      <c r="AM4290" s="82"/>
      <c r="AN4290" s="82">
        <f>IFERROR(__xludf.DUMMYFUNCTION("""COMPUTED_VALUE"""),0.0)</f>
        <v>0</v>
      </c>
      <c r="AO4290" s="82">
        <f>IFERROR(__xludf.DUMMYFUNCTION("""COMPUTED_VALUE"""),0.0)</f>
        <v>0</v>
      </c>
      <c r="AP4290" s="82">
        <f>IFERROR(__xludf.DUMMYFUNCTION("""COMPUTED_VALUE"""),0.0)</f>
        <v>0</v>
      </c>
      <c r="AQ4290" s="82">
        <f>IFERROR(__xludf.DUMMYFUNCTION("""COMPUTED_VALUE"""),0.0)</f>
        <v>0</v>
      </c>
      <c r="AR4290" s="82">
        <f>IFERROR(__xludf.DUMMYFUNCTION("""COMPUTED_VALUE"""),0.0)</f>
        <v>0</v>
      </c>
      <c r="AS4290" s="82"/>
      <c r="AT4290" s="82">
        <f>IFERROR(__xludf.DUMMYFUNCTION("""COMPUTED_VALUE"""),0.0)</f>
        <v>0</v>
      </c>
      <c r="AU4290" s="82"/>
      <c r="AV4290" s="82"/>
      <c r="AW4290" s="82" t="str">
        <f t="shared" si="1"/>
        <v/>
      </c>
      <c r="AX4290" s="83" t="str">
        <f t="array" ref="AX4290">IFERROR(DGET('SBV Import'!A:G,"SBV",{"RSC ID","Tier";B4290,A4290}))</f>
        <v/>
      </c>
      <c r="AY4290" s="82" t="str">
        <f t="shared" si="2"/>
        <v/>
      </c>
      <c r="AZ4290" s="82"/>
      <c r="BA4290" s="84" t="s">
        <v>152</v>
      </c>
      <c r="BB4290" s="84" t="str">
        <f>IFERROR(__xludf.DUMMYFUNCTION("iferror(if(A4290="""",,E4290&gt;=FILTER(Constants!$F$2:$F$10,Constants!$A$2:$A$10=A4290)))"),"")</f>
        <v/>
      </c>
    </row>
    <row r="4291">
      <c r="A4291" s="89"/>
      <c r="B4291" s="87"/>
      <c r="C4291" s="73"/>
      <c r="D4291" s="73"/>
      <c r="E4291" s="82"/>
      <c r="F4291" s="82"/>
      <c r="G4291" s="86"/>
      <c r="H4291" s="86"/>
      <c r="I4291" s="86"/>
      <c r="J4291" s="82"/>
      <c r="K4291" s="82"/>
      <c r="L4291" s="82"/>
      <c r="M4291" s="82"/>
      <c r="N4291" s="82"/>
      <c r="O4291" s="82"/>
      <c r="P4291" s="82"/>
      <c r="Q4291" s="82"/>
      <c r="R4291" s="82"/>
      <c r="S4291" s="82"/>
      <c r="T4291" s="82"/>
      <c r="U4291" s="82"/>
      <c r="V4291" s="82"/>
      <c r="W4291" s="82"/>
      <c r="X4291" s="82"/>
      <c r="Y4291" s="82"/>
      <c r="Z4291" s="82"/>
      <c r="AA4291" s="82"/>
      <c r="AB4291" s="82"/>
      <c r="AC4291" s="82"/>
      <c r="AD4291" s="82"/>
      <c r="AE4291" s="82"/>
      <c r="AF4291" s="82"/>
      <c r="AG4291" s="82"/>
      <c r="AH4291" s="82"/>
      <c r="AI4291" s="82"/>
      <c r="AJ4291" s="82"/>
      <c r="AK4291" s="82"/>
      <c r="AL4291" s="82"/>
      <c r="AM4291" s="82"/>
      <c r="AN4291" s="82">
        <f>IFERROR(__xludf.DUMMYFUNCTION("""COMPUTED_VALUE"""),0.0)</f>
        <v>0</v>
      </c>
      <c r="AO4291" s="82">
        <f>IFERROR(__xludf.DUMMYFUNCTION("""COMPUTED_VALUE"""),0.0)</f>
        <v>0</v>
      </c>
      <c r="AP4291" s="82">
        <f>IFERROR(__xludf.DUMMYFUNCTION("""COMPUTED_VALUE"""),0.0)</f>
        <v>0</v>
      </c>
      <c r="AQ4291" s="82">
        <f>IFERROR(__xludf.DUMMYFUNCTION("""COMPUTED_VALUE"""),0.0)</f>
        <v>0</v>
      </c>
      <c r="AR4291" s="82">
        <f>IFERROR(__xludf.DUMMYFUNCTION("""COMPUTED_VALUE"""),0.0)</f>
        <v>0</v>
      </c>
      <c r="AS4291" s="82"/>
      <c r="AT4291" s="82">
        <f>IFERROR(__xludf.DUMMYFUNCTION("""COMPUTED_VALUE"""),0.0)</f>
        <v>0</v>
      </c>
      <c r="AU4291" s="82"/>
      <c r="AV4291" s="82"/>
      <c r="AW4291" s="82" t="str">
        <f t="shared" si="1"/>
        <v/>
      </c>
      <c r="AX4291" s="83" t="str">
        <f t="array" ref="AX4291">IFERROR(DGET('SBV Import'!A:G,"SBV",{"RSC ID","Tier";B4291,A4291}))</f>
        <v/>
      </c>
      <c r="AY4291" s="82" t="str">
        <f t="shared" si="2"/>
        <v/>
      </c>
      <c r="AZ4291" s="82"/>
      <c r="BA4291" s="84" t="s">
        <v>152</v>
      </c>
      <c r="BB4291" s="84" t="str">
        <f>IFERROR(__xludf.DUMMYFUNCTION("iferror(if(A4291="""",,E4291&gt;=FILTER(Constants!$F$2:$F$10,Constants!$A$2:$A$10=A4291)))"),"")</f>
        <v/>
      </c>
    </row>
    <row r="4292">
      <c r="A4292" s="89"/>
      <c r="B4292" s="87"/>
      <c r="C4292" s="73"/>
      <c r="D4292" s="73"/>
      <c r="E4292" s="82"/>
      <c r="F4292" s="82"/>
      <c r="G4292" s="86"/>
      <c r="H4292" s="86"/>
      <c r="I4292" s="86"/>
      <c r="J4292" s="82"/>
      <c r="K4292" s="82"/>
      <c r="L4292" s="82"/>
      <c r="M4292" s="82"/>
      <c r="N4292" s="82"/>
      <c r="O4292" s="82"/>
      <c r="P4292" s="82"/>
      <c r="Q4292" s="82"/>
      <c r="R4292" s="82"/>
      <c r="S4292" s="82"/>
      <c r="T4292" s="82"/>
      <c r="U4292" s="82"/>
      <c r="V4292" s="82"/>
      <c r="W4292" s="82"/>
      <c r="X4292" s="82"/>
      <c r="Y4292" s="82"/>
      <c r="Z4292" s="82"/>
      <c r="AA4292" s="82"/>
      <c r="AB4292" s="82"/>
      <c r="AC4292" s="82"/>
      <c r="AD4292" s="82"/>
      <c r="AE4292" s="82"/>
      <c r="AF4292" s="82"/>
      <c r="AG4292" s="82"/>
      <c r="AH4292" s="82"/>
      <c r="AI4292" s="82"/>
      <c r="AJ4292" s="82"/>
      <c r="AK4292" s="82"/>
      <c r="AL4292" s="82"/>
      <c r="AM4292" s="82"/>
      <c r="AN4292" s="82">
        <f>IFERROR(__xludf.DUMMYFUNCTION("""COMPUTED_VALUE"""),0.0)</f>
        <v>0</v>
      </c>
      <c r="AO4292" s="82">
        <f>IFERROR(__xludf.DUMMYFUNCTION("""COMPUTED_VALUE"""),0.0)</f>
        <v>0</v>
      </c>
      <c r="AP4292" s="82">
        <f>IFERROR(__xludf.DUMMYFUNCTION("""COMPUTED_VALUE"""),0.0)</f>
        <v>0</v>
      </c>
      <c r="AQ4292" s="82">
        <f>IFERROR(__xludf.DUMMYFUNCTION("""COMPUTED_VALUE"""),0.0)</f>
        <v>0</v>
      </c>
      <c r="AR4292" s="82">
        <f>IFERROR(__xludf.DUMMYFUNCTION("""COMPUTED_VALUE"""),0.0)</f>
        <v>0</v>
      </c>
      <c r="AS4292" s="82"/>
      <c r="AT4292" s="82">
        <f>IFERROR(__xludf.DUMMYFUNCTION("""COMPUTED_VALUE"""),0.0)</f>
        <v>0</v>
      </c>
      <c r="AU4292" s="82"/>
      <c r="AV4292" s="82"/>
      <c r="AW4292" s="82" t="str">
        <f t="shared" si="1"/>
        <v/>
      </c>
      <c r="AX4292" s="83" t="str">
        <f t="array" ref="AX4292">IFERROR(DGET('SBV Import'!A:G,"SBV",{"RSC ID","Tier";B4292,A4292}))</f>
        <v/>
      </c>
      <c r="AY4292" s="82" t="str">
        <f t="shared" si="2"/>
        <v/>
      </c>
      <c r="AZ4292" s="82"/>
      <c r="BA4292" s="84" t="s">
        <v>152</v>
      </c>
      <c r="BB4292" s="84" t="str">
        <f>IFERROR(__xludf.DUMMYFUNCTION("iferror(if(A4292="""",,E4292&gt;=FILTER(Constants!$F$2:$F$10,Constants!$A$2:$A$10=A4292)))"),"")</f>
        <v/>
      </c>
    </row>
    <row r="4293">
      <c r="A4293" s="89"/>
      <c r="B4293" s="87"/>
      <c r="C4293" s="73"/>
      <c r="D4293" s="73"/>
      <c r="E4293" s="82"/>
      <c r="F4293" s="82"/>
      <c r="G4293" s="86"/>
      <c r="H4293" s="86"/>
      <c r="I4293" s="86"/>
      <c r="J4293" s="82"/>
      <c r="K4293" s="82"/>
      <c r="L4293" s="82"/>
      <c r="M4293" s="82"/>
      <c r="N4293" s="82"/>
      <c r="O4293" s="82"/>
      <c r="P4293" s="82"/>
      <c r="Q4293" s="82"/>
      <c r="R4293" s="82"/>
      <c r="S4293" s="82"/>
      <c r="T4293" s="82"/>
      <c r="U4293" s="82"/>
      <c r="V4293" s="82"/>
      <c r="W4293" s="82"/>
      <c r="X4293" s="82"/>
      <c r="Y4293" s="82"/>
      <c r="Z4293" s="82"/>
      <c r="AA4293" s="82"/>
      <c r="AB4293" s="82"/>
      <c r="AC4293" s="82"/>
      <c r="AD4293" s="82"/>
      <c r="AE4293" s="82"/>
      <c r="AF4293" s="82"/>
      <c r="AG4293" s="82"/>
      <c r="AH4293" s="82"/>
      <c r="AI4293" s="82"/>
      <c r="AJ4293" s="82"/>
      <c r="AK4293" s="82"/>
      <c r="AL4293" s="82"/>
      <c r="AM4293" s="82"/>
      <c r="AN4293" s="82">
        <f>IFERROR(__xludf.DUMMYFUNCTION("""COMPUTED_VALUE"""),0.0)</f>
        <v>0</v>
      </c>
      <c r="AO4293" s="82">
        <f>IFERROR(__xludf.DUMMYFUNCTION("""COMPUTED_VALUE"""),0.0)</f>
        <v>0</v>
      </c>
      <c r="AP4293" s="82">
        <f>IFERROR(__xludf.DUMMYFUNCTION("""COMPUTED_VALUE"""),0.0)</f>
        <v>0</v>
      </c>
      <c r="AQ4293" s="82">
        <f>IFERROR(__xludf.DUMMYFUNCTION("""COMPUTED_VALUE"""),0.0)</f>
        <v>0</v>
      </c>
      <c r="AR4293" s="82">
        <f>IFERROR(__xludf.DUMMYFUNCTION("""COMPUTED_VALUE"""),0.0)</f>
        <v>0</v>
      </c>
      <c r="AS4293" s="82"/>
      <c r="AT4293" s="82">
        <f>IFERROR(__xludf.DUMMYFUNCTION("""COMPUTED_VALUE"""),0.0)</f>
        <v>0</v>
      </c>
      <c r="AU4293" s="82"/>
      <c r="AV4293" s="82"/>
      <c r="AW4293" s="82" t="str">
        <f t="shared" si="1"/>
        <v/>
      </c>
      <c r="AX4293" s="83" t="str">
        <f t="array" ref="AX4293">IFERROR(DGET('SBV Import'!A:G,"SBV",{"RSC ID","Tier";B4293,A4293}))</f>
        <v/>
      </c>
      <c r="AY4293" s="82" t="str">
        <f t="shared" si="2"/>
        <v/>
      </c>
      <c r="AZ4293" s="82"/>
      <c r="BA4293" s="84" t="s">
        <v>152</v>
      </c>
      <c r="BB4293" s="84" t="str">
        <f>IFERROR(__xludf.DUMMYFUNCTION("iferror(if(A4293="""",,E4293&gt;=FILTER(Constants!$F$2:$F$10,Constants!$A$2:$A$10=A4293)))"),"")</f>
        <v/>
      </c>
    </row>
    <row r="4294">
      <c r="A4294" s="89"/>
      <c r="B4294" s="87"/>
      <c r="C4294" s="73"/>
      <c r="D4294" s="73"/>
      <c r="E4294" s="82"/>
      <c r="F4294" s="82"/>
      <c r="G4294" s="86"/>
      <c r="H4294" s="86"/>
      <c r="I4294" s="86"/>
      <c r="J4294" s="82"/>
      <c r="K4294" s="82"/>
      <c r="L4294" s="82"/>
      <c r="M4294" s="82"/>
      <c r="N4294" s="82"/>
      <c r="O4294" s="82"/>
      <c r="P4294" s="82"/>
      <c r="Q4294" s="82"/>
      <c r="R4294" s="82"/>
      <c r="S4294" s="82"/>
      <c r="T4294" s="82"/>
      <c r="U4294" s="82"/>
      <c r="V4294" s="82"/>
      <c r="W4294" s="82"/>
      <c r="X4294" s="82"/>
      <c r="Y4294" s="82"/>
      <c r="Z4294" s="82"/>
      <c r="AA4294" s="82"/>
      <c r="AB4294" s="82"/>
      <c r="AC4294" s="82"/>
      <c r="AD4294" s="82"/>
      <c r="AE4294" s="82"/>
      <c r="AF4294" s="82"/>
      <c r="AG4294" s="82"/>
      <c r="AH4294" s="82"/>
      <c r="AI4294" s="82"/>
      <c r="AJ4294" s="82"/>
      <c r="AK4294" s="82"/>
      <c r="AL4294" s="82"/>
      <c r="AM4294" s="82"/>
      <c r="AN4294" s="82">
        <f>IFERROR(__xludf.DUMMYFUNCTION("""COMPUTED_VALUE"""),0.0)</f>
        <v>0</v>
      </c>
      <c r="AO4294" s="82">
        <f>IFERROR(__xludf.DUMMYFUNCTION("""COMPUTED_VALUE"""),0.0)</f>
        <v>0</v>
      </c>
      <c r="AP4294" s="82">
        <f>IFERROR(__xludf.DUMMYFUNCTION("""COMPUTED_VALUE"""),0.0)</f>
        <v>0</v>
      </c>
      <c r="AQ4294" s="82">
        <f>IFERROR(__xludf.DUMMYFUNCTION("""COMPUTED_VALUE"""),0.0)</f>
        <v>0</v>
      </c>
      <c r="AR4294" s="82">
        <f>IFERROR(__xludf.DUMMYFUNCTION("""COMPUTED_VALUE"""),0.0)</f>
        <v>0</v>
      </c>
      <c r="AS4294" s="82"/>
      <c r="AT4294" s="82">
        <f>IFERROR(__xludf.DUMMYFUNCTION("""COMPUTED_VALUE"""),0.0)</f>
        <v>0</v>
      </c>
      <c r="AU4294" s="82"/>
      <c r="AV4294" s="82"/>
      <c r="AW4294" s="82" t="str">
        <f t="shared" si="1"/>
        <v/>
      </c>
      <c r="AX4294" s="83" t="str">
        <f t="array" ref="AX4294">IFERROR(DGET('SBV Import'!A:G,"SBV",{"RSC ID","Tier";B4294,A4294}))</f>
        <v/>
      </c>
      <c r="AY4294" s="82" t="str">
        <f t="shared" si="2"/>
        <v/>
      </c>
      <c r="AZ4294" s="82"/>
      <c r="BA4294" s="84" t="s">
        <v>152</v>
      </c>
      <c r="BB4294" s="84" t="str">
        <f>IFERROR(__xludf.DUMMYFUNCTION("iferror(if(A4294="""",,E4294&gt;=FILTER(Constants!$F$2:$F$10,Constants!$A$2:$A$10=A4294)))"),"")</f>
        <v/>
      </c>
    </row>
    <row r="4295">
      <c r="A4295" s="89"/>
      <c r="B4295" s="87"/>
      <c r="C4295" s="73"/>
      <c r="D4295" s="73"/>
      <c r="E4295" s="82"/>
      <c r="F4295" s="82"/>
      <c r="G4295" s="86"/>
      <c r="H4295" s="86"/>
      <c r="I4295" s="86"/>
      <c r="J4295" s="82"/>
      <c r="K4295" s="82"/>
      <c r="L4295" s="82"/>
      <c r="M4295" s="82"/>
      <c r="N4295" s="82"/>
      <c r="O4295" s="82"/>
      <c r="P4295" s="82"/>
      <c r="Q4295" s="82"/>
      <c r="R4295" s="82"/>
      <c r="S4295" s="82"/>
      <c r="T4295" s="82"/>
      <c r="U4295" s="82"/>
      <c r="V4295" s="82"/>
      <c r="W4295" s="82"/>
      <c r="X4295" s="82"/>
      <c r="Y4295" s="82"/>
      <c r="Z4295" s="82"/>
      <c r="AA4295" s="82"/>
      <c r="AB4295" s="82"/>
      <c r="AC4295" s="82"/>
      <c r="AD4295" s="82"/>
      <c r="AE4295" s="82"/>
      <c r="AF4295" s="82"/>
      <c r="AG4295" s="82"/>
      <c r="AH4295" s="82"/>
      <c r="AI4295" s="82"/>
      <c r="AJ4295" s="82"/>
      <c r="AK4295" s="82"/>
      <c r="AL4295" s="82"/>
      <c r="AM4295" s="82"/>
      <c r="AN4295" s="82">
        <f>IFERROR(__xludf.DUMMYFUNCTION("""COMPUTED_VALUE"""),0.0)</f>
        <v>0</v>
      </c>
      <c r="AO4295" s="82">
        <f>IFERROR(__xludf.DUMMYFUNCTION("""COMPUTED_VALUE"""),0.0)</f>
        <v>0</v>
      </c>
      <c r="AP4295" s="82">
        <f>IFERROR(__xludf.DUMMYFUNCTION("""COMPUTED_VALUE"""),0.0)</f>
        <v>0</v>
      </c>
      <c r="AQ4295" s="82">
        <f>IFERROR(__xludf.DUMMYFUNCTION("""COMPUTED_VALUE"""),0.0)</f>
        <v>0</v>
      </c>
      <c r="AR4295" s="82">
        <f>IFERROR(__xludf.DUMMYFUNCTION("""COMPUTED_VALUE"""),0.0)</f>
        <v>0</v>
      </c>
      <c r="AS4295" s="82"/>
      <c r="AT4295" s="82">
        <f>IFERROR(__xludf.DUMMYFUNCTION("""COMPUTED_VALUE"""),0.0)</f>
        <v>0</v>
      </c>
      <c r="AU4295" s="82"/>
      <c r="AV4295" s="82"/>
      <c r="AW4295" s="82" t="str">
        <f t="shared" si="1"/>
        <v/>
      </c>
      <c r="AX4295" s="83" t="str">
        <f t="array" ref="AX4295">IFERROR(DGET('SBV Import'!A:G,"SBV",{"RSC ID","Tier";B4295,A4295}))</f>
        <v/>
      </c>
      <c r="AY4295" s="82" t="str">
        <f t="shared" si="2"/>
        <v/>
      </c>
      <c r="AZ4295" s="82"/>
      <c r="BA4295" s="84" t="s">
        <v>152</v>
      </c>
      <c r="BB4295" s="84" t="str">
        <f>IFERROR(__xludf.DUMMYFUNCTION("iferror(if(A4295="""",,E4295&gt;=FILTER(Constants!$F$2:$F$10,Constants!$A$2:$A$10=A4295)))"),"")</f>
        <v/>
      </c>
    </row>
    <row r="4296">
      <c r="A4296" s="89"/>
      <c r="B4296" s="87"/>
      <c r="C4296" s="73"/>
      <c r="D4296" s="73"/>
      <c r="E4296" s="82"/>
      <c r="F4296" s="82"/>
      <c r="G4296" s="86"/>
      <c r="H4296" s="86"/>
      <c r="I4296" s="86"/>
      <c r="J4296" s="82"/>
      <c r="K4296" s="82"/>
      <c r="L4296" s="82"/>
      <c r="M4296" s="82"/>
      <c r="N4296" s="82"/>
      <c r="O4296" s="82"/>
      <c r="P4296" s="82"/>
      <c r="Q4296" s="82"/>
      <c r="R4296" s="82"/>
      <c r="S4296" s="82"/>
      <c r="T4296" s="82"/>
      <c r="U4296" s="82"/>
      <c r="V4296" s="82"/>
      <c r="W4296" s="82"/>
      <c r="X4296" s="82"/>
      <c r="Y4296" s="82"/>
      <c r="Z4296" s="82"/>
      <c r="AA4296" s="82"/>
      <c r="AB4296" s="82"/>
      <c r="AC4296" s="82"/>
      <c r="AD4296" s="82"/>
      <c r="AE4296" s="82"/>
      <c r="AF4296" s="82"/>
      <c r="AG4296" s="82"/>
      <c r="AH4296" s="82"/>
      <c r="AI4296" s="82"/>
      <c r="AJ4296" s="82"/>
      <c r="AK4296" s="82"/>
      <c r="AL4296" s="82"/>
      <c r="AM4296" s="82"/>
      <c r="AN4296" s="82">
        <f>IFERROR(__xludf.DUMMYFUNCTION("""COMPUTED_VALUE"""),0.0)</f>
        <v>0</v>
      </c>
      <c r="AO4296" s="82">
        <f>IFERROR(__xludf.DUMMYFUNCTION("""COMPUTED_VALUE"""),0.0)</f>
        <v>0</v>
      </c>
      <c r="AP4296" s="82">
        <f>IFERROR(__xludf.DUMMYFUNCTION("""COMPUTED_VALUE"""),0.0)</f>
        <v>0</v>
      </c>
      <c r="AQ4296" s="82">
        <f>IFERROR(__xludf.DUMMYFUNCTION("""COMPUTED_VALUE"""),0.0)</f>
        <v>0</v>
      </c>
      <c r="AR4296" s="82">
        <f>IFERROR(__xludf.DUMMYFUNCTION("""COMPUTED_VALUE"""),0.0)</f>
        <v>0</v>
      </c>
      <c r="AS4296" s="82"/>
      <c r="AT4296" s="82">
        <f>IFERROR(__xludf.DUMMYFUNCTION("""COMPUTED_VALUE"""),0.0)</f>
        <v>0</v>
      </c>
      <c r="AU4296" s="82"/>
      <c r="AV4296" s="82"/>
      <c r="AW4296" s="82" t="str">
        <f t="shared" si="1"/>
        <v/>
      </c>
      <c r="AX4296" s="83" t="str">
        <f t="array" ref="AX4296">IFERROR(DGET('SBV Import'!A:G,"SBV",{"RSC ID","Tier";B4296,A4296}))</f>
        <v/>
      </c>
      <c r="AY4296" s="82" t="str">
        <f t="shared" si="2"/>
        <v/>
      </c>
      <c r="AZ4296" s="82"/>
      <c r="BA4296" s="84" t="s">
        <v>152</v>
      </c>
      <c r="BB4296" s="84" t="str">
        <f>IFERROR(__xludf.DUMMYFUNCTION("iferror(if(A4296="""",,E4296&gt;=FILTER(Constants!$F$2:$F$10,Constants!$A$2:$A$10=A4296)))"),"")</f>
        <v/>
      </c>
    </row>
    <row r="4297">
      <c r="A4297" s="89"/>
      <c r="B4297" s="87"/>
      <c r="C4297" s="73"/>
      <c r="D4297" s="73"/>
      <c r="E4297" s="82"/>
      <c r="F4297" s="82"/>
      <c r="G4297" s="86"/>
      <c r="H4297" s="86"/>
      <c r="I4297" s="86"/>
      <c r="J4297" s="82"/>
      <c r="K4297" s="82"/>
      <c r="L4297" s="82"/>
      <c r="M4297" s="82"/>
      <c r="N4297" s="82"/>
      <c r="O4297" s="82"/>
      <c r="P4297" s="82"/>
      <c r="Q4297" s="82"/>
      <c r="R4297" s="82"/>
      <c r="S4297" s="82"/>
      <c r="T4297" s="82"/>
      <c r="U4297" s="82"/>
      <c r="V4297" s="82"/>
      <c r="W4297" s="82"/>
      <c r="X4297" s="82"/>
      <c r="Y4297" s="82"/>
      <c r="Z4297" s="82"/>
      <c r="AA4297" s="82"/>
      <c r="AB4297" s="82"/>
      <c r="AC4297" s="82"/>
      <c r="AD4297" s="82"/>
      <c r="AE4297" s="82"/>
      <c r="AF4297" s="82"/>
      <c r="AG4297" s="82"/>
      <c r="AH4297" s="82"/>
      <c r="AI4297" s="82"/>
      <c r="AJ4297" s="82"/>
      <c r="AK4297" s="82"/>
      <c r="AL4297" s="82"/>
      <c r="AM4297" s="82"/>
      <c r="AN4297" s="82">
        <f>IFERROR(__xludf.DUMMYFUNCTION("""COMPUTED_VALUE"""),0.0)</f>
        <v>0</v>
      </c>
      <c r="AO4297" s="82">
        <f>IFERROR(__xludf.DUMMYFUNCTION("""COMPUTED_VALUE"""),0.0)</f>
        <v>0</v>
      </c>
      <c r="AP4297" s="82">
        <f>IFERROR(__xludf.DUMMYFUNCTION("""COMPUTED_VALUE"""),0.0)</f>
        <v>0</v>
      </c>
      <c r="AQ4297" s="82">
        <f>IFERROR(__xludf.DUMMYFUNCTION("""COMPUTED_VALUE"""),0.0)</f>
        <v>0</v>
      </c>
      <c r="AR4297" s="82">
        <f>IFERROR(__xludf.DUMMYFUNCTION("""COMPUTED_VALUE"""),0.0)</f>
        <v>0</v>
      </c>
      <c r="AS4297" s="82"/>
      <c r="AT4297" s="82">
        <f>IFERROR(__xludf.DUMMYFUNCTION("""COMPUTED_VALUE"""),0.0)</f>
        <v>0</v>
      </c>
      <c r="AU4297" s="82"/>
      <c r="AV4297" s="82"/>
      <c r="AW4297" s="82" t="str">
        <f t="shared" si="1"/>
        <v/>
      </c>
      <c r="AX4297" s="83" t="str">
        <f t="array" ref="AX4297">IFERROR(DGET('SBV Import'!A:G,"SBV",{"RSC ID","Tier";B4297,A4297}))</f>
        <v/>
      </c>
      <c r="AY4297" s="82" t="str">
        <f t="shared" si="2"/>
        <v/>
      </c>
      <c r="AZ4297" s="82"/>
      <c r="BA4297" s="84" t="s">
        <v>152</v>
      </c>
      <c r="BB4297" s="84" t="str">
        <f>IFERROR(__xludf.DUMMYFUNCTION("iferror(if(A4297="""",,E4297&gt;=FILTER(Constants!$F$2:$F$10,Constants!$A$2:$A$10=A4297)))"),"")</f>
        <v/>
      </c>
    </row>
    <row r="4298">
      <c r="A4298" s="89"/>
      <c r="B4298" s="87"/>
      <c r="C4298" s="73"/>
      <c r="D4298" s="73"/>
      <c r="E4298" s="82"/>
      <c r="F4298" s="82"/>
      <c r="G4298" s="86"/>
      <c r="H4298" s="86"/>
      <c r="I4298" s="86"/>
      <c r="J4298" s="82"/>
      <c r="K4298" s="82"/>
      <c r="L4298" s="82"/>
      <c r="M4298" s="82"/>
      <c r="N4298" s="82"/>
      <c r="O4298" s="82"/>
      <c r="P4298" s="82"/>
      <c r="Q4298" s="82"/>
      <c r="R4298" s="82"/>
      <c r="S4298" s="82"/>
      <c r="T4298" s="82"/>
      <c r="U4298" s="82"/>
      <c r="V4298" s="82"/>
      <c r="W4298" s="82"/>
      <c r="X4298" s="82"/>
      <c r="Y4298" s="82"/>
      <c r="Z4298" s="82"/>
      <c r="AA4298" s="82"/>
      <c r="AB4298" s="82"/>
      <c r="AC4298" s="82"/>
      <c r="AD4298" s="82"/>
      <c r="AE4298" s="82"/>
      <c r="AF4298" s="82"/>
      <c r="AG4298" s="82"/>
      <c r="AH4298" s="82"/>
      <c r="AI4298" s="82"/>
      <c r="AJ4298" s="82"/>
      <c r="AK4298" s="82"/>
      <c r="AL4298" s="82"/>
      <c r="AM4298" s="82"/>
      <c r="AN4298" s="82">
        <f>IFERROR(__xludf.DUMMYFUNCTION("""COMPUTED_VALUE"""),0.0)</f>
        <v>0</v>
      </c>
      <c r="AO4298" s="82">
        <f>IFERROR(__xludf.DUMMYFUNCTION("""COMPUTED_VALUE"""),0.0)</f>
        <v>0</v>
      </c>
      <c r="AP4298" s="82">
        <f>IFERROR(__xludf.DUMMYFUNCTION("""COMPUTED_VALUE"""),0.0)</f>
        <v>0</v>
      </c>
      <c r="AQ4298" s="82">
        <f>IFERROR(__xludf.DUMMYFUNCTION("""COMPUTED_VALUE"""),0.0)</f>
        <v>0</v>
      </c>
      <c r="AR4298" s="82">
        <f>IFERROR(__xludf.DUMMYFUNCTION("""COMPUTED_VALUE"""),0.0)</f>
        <v>0</v>
      </c>
      <c r="AS4298" s="82"/>
      <c r="AT4298" s="82">
        <f>IFERROR(__xludf.DUMMYFUNCTION("""COMPUTED_VALUE"""),0.0)</f>
        <v>0</v>
      </c>
      <c r="AU4298" s="82"/>
      <c r="AV4298" s="82"/>
      <c r="AW4298" s="82" t="str">
        <f t="shared" si="1"/>
        <v/>
      </c>
      <c r="AX4298" s="83" t="str">
        <f t="array" ref="AX4298">IFERROR(DGET('SBV Import'!A:G,"SBV",{"RSC ID","Tier";B4298,A4298}))</f>
        <v/>
      </c>
      <c r="AY4298" s="82" t="str">
        <f t="shared" si="2"/>
        <v/>
      </c>
      <c r="AZ4298" s="82"/>
      <c r="BA4298" s="84" t="s">
        <v>152</v>
      </c>
      <c r="BB4298" s="84" t="str">
        <f>IFERROR(__xludf.DUMMYFUNCTION("iferror(if(A4298="""",,E4298&gt;=FILTER(Constants!$F$2:$F$10,Constants!$A$2:$A$10=A4298)))"),"")</f>
        <v/>
      </c>
    </row>
    <row r="4299">
      <c r="A4299" s="89"/>
      <c r="B4299" s="87"/>
      <c r="C4299" s="73"/>
      <c r="D4299" s="73"/>
      <c r="E4299" s="82"/>
      <c r="F4299" s="82"/>
      <c r="G4299" s="86"/>
      <c r="H4299" s="86"/>
      <c r="I4299" s="86"/>
      <c r="J4299" s="82"/>
      <c r="K4299" s="82"/>
      <c r="L4299" s="82"/>
      <c r="M4299" s="82"/>
      <c r="N4299" s="82"/>
      <c r="O4299" s="82"/>
      <c r="P4299" s="82"/>
      <c r="Q4299" s="82"/>
      <c r="R4299" s="82"/>
      <c r="S4299" s="82"/>
      <c r="T4299" s="82"/>
      <c r="U4299" s="82"/>
      <c r="V4299" s="82"/>
      <c r="W4299" s="82"/>
      <c r="X4299" s="82"/>
      <c r="Y4299" s="82"/>
      <c r="Z4299" s="82"/>
      <c r="AA4299" s="82"/>
      <c r="AB4299" s="82"/>
      <c r="AC4299" s="82"/>
      <c r="AD4299" s="82"/>
      <c r="AE4299" s="82"/>
      <c r="AF4299" s="82"/>
      <c r="AG4299" s="82"/>
      <c r="AH4299" s="82"/>
      <c r="AI4299" s="82"/>
      <c r="AJ4299" s="82"/>
      <c r="AK4299" s="82"/>
      <c r="AL4299" s="82"/>
      <c r="AM4299" s="82"/>
      <c r="AN4299" s="82"/>
      <c r="AO4299" s="82"/>
      <c r="AP4299" s="82"/>
      <c r="AQ4299" s="82"/>
      <c r="AR4299" s="82"/>
      <c r="AS4299" s="82"/>
      <c r="AT4299" s="82"/>
      <c r="AU4299" s="82"/>
      <c r="AV4299" s="82"/>
      <c r="AW4299" s="82" t="str">
        <f t="shared" si="1"/>
        <v/>
      </c>
      <c r="AX4299" s="83" t="str">
        <f t="array" ref="AX4299">IFERROR(DGET('SBV Import'!A:G,"SBV",{"RSC ID","Tier";B4299,A4299}))</f>
        <v/>
      </c>
      <c r="AY4299" s="82" t="str">
        <f t="shared" si="2"/>
        <v/>
      </c>
      <c r="AZ4299" s="82"/>
      <c r="BA4299" s="84" t="s">
        <v>152</v>
      </c>
      <c r="BB4299" s="84" t="str">
        <f>IFERROR(__xludf.DUMMYFUNCTION("iferror(if(A4299="""",,E4299&gt;=FILTER(Constants!$F$2:$F$10,Constants!$A$2:$A$10=A4299)))"),"")</f>
        <v/>
      </c>
    </row>
    <row r="4300">
      <c r="A4300" s="89"/>
      <c r="B4300" s="87"/>
      <c r="C4300" s="73"/>
      <c r="D4300" s="73"/>
      <c r="E4300" s="82"/>
      <c r="F4300" s="82"/>
      <c r="G4300" s="86"/>
      <c r="H4300" s="86"/>
      <c r="I4300" s="86"/>
      <c r="J4300" s="82"/>
      <c r="K4300" s="82"/>
      <c r="L4300" s="82"/>
      <c r="M4300" s="82"/>
      <c r="N4300" s="82"/>
      <c r="O4300" s="82"/>
      <c r="P4300" s="82"/>
      <c r="Q4300" s="82"/>
      <c r="R4300" s="82"/>
      <c r="S4300" s="82"/>
      <c r="T4300" s="82"/>
      <c r="U4300" s="82"/>
      <c r="V4300" s="82"/>
      <c r="W4300" s="82"/>
      <c r="X4300" s="82"/>
      <c r="Y4300" s="82"/>
      <c r="Z4300" s="82"/>
      <c r="AA4300" s="82"/>
      <c r="AB4300" s="82"/>
      <c r="AC4300" s="82"/>
      <c r="AD4300" s="82"/>
      <c r="AE4300" s="82"/>
      <c r="AF4300" s="82"/>
      <c r="AG4300" s="82"/>
      <c r="AH4300" s="82"/>
      <c r="AI4300" s="82"/>
      <c r="AJ4300" s="82"/>
      <c r="AK4300" s="82"/>
      <c r="AL4300" s="82"/>
      <c r="AM4300" s="82"/>
      <c r="AN4300" s="82"/>
      <c r="AO4300" s="82"/>
      <c r="AP4300" s="82"/>
      <c r="AQ4300" s="82"/>
      <c r="AR4300" s="82"/>
      <c r="AS4300" s="82"/>
      <c r="AT4300" s="82"/>
      <c r="AU4300" s="82"/>
      <c r="AV4300" s="82"/>
      <c r="AW4300" s="82" t="str">
        <f t="shared" si="1"/>
        <v/>
      </c>
      <c r="AX4300" s="83" t="str">
        <f t="array" ref="AX4300">IFERROR(DGET('SBV Import'!A:G,"SBV",{"RSC ID","Tier";B4300,A4300}))</f>
        <v/>
      </c>
      <c r="AY4300" s="82" t="str">
        <f t="shared" si="2"/>
        <v/>
      </c>
      <c r="AZ4300" s="82"/>
      <c r="BA4300" s="84" t="s">
        <v>152</v>
      </c>
      <c r="BB4300" s="84" t="str">
        <f>IFERROR(__xludf.DUMMYFUNCTION("iferror(if(A4300="""",,E4300&gt;=FILTER(Constants!$F$2:$F$10,Constants!$A$2:$A$10=A4300)))"),"")</f>
        <v/>
      </c>
    </row>
    <row r="4301">
      <c r="A4301" s="89"/>
      <c r="B4301" s="87"/>
      <c r="C4301" s="73"/>
      <c r="D4301" s="73"/>
      <c r="E4301" s="82"/>
      <c r="F4301" s="82"/>
      <c r="G4301" s="86"/>
      <c r="H4301" s="86"/>
      <c r="I4301" s="86"/>
      <c r="J4301" s="82"/>
      <c r="K4301" s="82"/>
      <c r="L4301" s="82"/>
      <c r="M4301" s="82"/>
      <c r="N4301" s="82"/>
      <c r="O4301" s="82"/>
      <c r="P4301" s="82"/>
      <c r="Q4301" s="82"/>
      <c r="R4301" s="82"/>
      <c r="S4301" s="82"/>
      <c r="T4301" s="82"/>
      <c r="U4301" s="82"/>
      <c r="V4301" s="82"/>
      <c r="W4301" s="82"/>
      <c r="X4301" s="82"/>
      <c r="Y4301" s="82"/>
      <c r="Z4301" s="82"/>
      <c r="AA4301" s="82"/>
      <c r="AB4301" s="82"/>
      <c r="AC4301" s="82"/>
      <c r="AD4301" s="82"/>
      <c r="AE4301" s="82"/>
      <c r="AF4301" s="82"/>
      <c r="AG4301" s="82"/>
      <c r="AH4301" s="82"/>
      <c r="AI4301" s="82"/>
      <c r="AJ4301" s="82"/>
      <c r="AK4301" s="82"/>
      <c r="AL4301" s="82"/>
      <c r="AM4301" s="82"/>
      <c r="AN4301" s="82"/>
      <c r="AO4301" s="82"/>
      <c r="AP4301" s="82"/>
      <c r="AQ4301" s="82"/>
      <c r="AR4301" s="82"/>
      <c r="AS4301" s="82"/>
      <c r="AT4301" s="82"/>
      <c r="AU4301" s="82"/>
      <c r="AV4301" s="82"/>
      <c r="AW4301" s="82" t="str">
        <f t="shared" si="1"/>
        <v/>
      </c>
      <c r="AX4301" s="83" t="str">
        <f t="array" ref="AX4301">IFERROR(DGET('SBV Import'!A:G,"SBV",{"RSC ID","Tier";B4301,A4301}))</f>
        <v/>
      </c>
      <c r="AY4301" s="82" t="str">
        <f t="shared" si="2"/>
        <v/>
      </c>
      <c r="AZ4301" s="82"/>
      <c r="BA4301" s="84" t="s">
        <v>152</v>
      </c>
      <c r="BB4301" s="84" t="str">
        <f>IFERROR(__xludf.DUMMYFUNCTION("iferror(if(A4301="""",,E4301&gt;=FILTER(Constants!$F$2:$F$10,Constants!$A$2:$A$10=A4301)))"),"")</f>
        <v/>
      </c>
    </row>
    <row r="4302">
      <c r="A4302" s="89"/>
      <c r="B4302" s="87"/>
      <c r="C4302" s="73"/>
      <c r="D4302" s="73"/>
      <c r="E4302" s="82"/>
      <c r="F4302" s="82"/>
      <c r="G4302" s="86"/>
      <c r="H4302" s="86"/>
      <c r="I4302" s="86"/>
      <c r="J4302" s="82"/>
      <c r="K4302" s="82"/>
      <c r="L4302" s="82"/>
      <c r="M4302" s="82"/>
      <c r="N4302" s="82"/>
      <c r="O4302" s="82"/>
      <c r="P4302" s="82"/>
      <c r="Q4302" s="82"/>
      <c r="R4302" s="82"/>
      <c r="S4302" s="82"/>
      <c r="T4302" s="82"/>
      <c r="U4302" s="82"/>
      <c r="V4302" s="82"/>
      <c r="W4302" s="82"/>
      <c r="X4302" s="82"/>
      <c r="Y4302" s="82"/>
      <c r="Z4302" s="82"/>
      <c r="AA4302" s="82"/>
      <c r="AB4302" s="82"/>
      <c r="AC4302" s="82"/>
      <c r="AD4302" s="82"/>
      <c r="AE4302" s="82"/>
      <c r="AF4302" s="82"/>
      <c r="AG4302" s="82"/>
      <c r="AH4302" s="82"/>
      <c r="AI4302" s="82"/>
      <c r="AJ4302" s="82"/>
      <c r="AK4302" s="82"/>
      <c r="AL4302" s="82"/>
      <c r="AM4302" s="82"/>
      <c r="AN4302" s="82"/>
      <c r="AO4302" s="82"/>
      <c r="AP4302" s="82"/>
      <c r="AQ4302" s="82"/>
      <c r="AR4302" s="82"/>
      <c r="AS4302" s="82"/>
      <c r="AT4302" s="82"/>
      <c r="AU4302" s="82"/>
      <c r="AV4302" s="82"/>
      <c r="AW4302" s="82" t="str">
        <f t="shared" si="1"/>
        <v/>
      </c>
      <c r="AX4302" s="83" t="str">
        <f t="array" ref="AX4302">IFERROR(DGET('SBV Import'!A:G,"SBV",{"RSC ID","Tier";B4302,A4302}))</f>
        <v/>
      </c>
      <c r="AY4302" s="82" t="str">
        <f t="shared" si="2"/>
        <v/>
      </c>
      <c r="AZ4302" s="82"/>
      <c r="BA4302" s="84" t="s">
        <v>152</v>
      </c>
      <c r="BB4302" s="84" t="str">
        <f>IFERROR(__xludf.DUMMYFUNCTION("iferror(if(A4302="""",,E4302&gt;=FILTER(Constants!$F$2:$F$10,Constants!$A$2:$A$10=A4302)))"),"")</f>
        <v/>
      </c>
    </row>
    <row r="4303">
      <c r="A4303" s="89"/>
      <c r="B4303" s="87"/>
      <c r="C4303" s="73"/>
      <c r="D4303" s="73"/>
      <c r="E4303" s="82"/>
      <c r="F4303" s="82"/>
      <c r="G4303" s="86"/>
      <c r="H4303" s="86"/>
      <c r="I4303" s="86"/>
      <c r="J4303" s="82"/>
      <c r="K4303" s="82"/>
      <c r="L4303" s="82"/>
      <c r="M4303" s="82"/>
      <c r="N4303" s="82"/>
      <c r="O4303" s="82"/>
      <c r="P4303" s="82"/>
      <c r="Q4303" s="82"/>
      <c r="R4303" s="82"/>
      <c r="S4303" s="82"/>
      <c r="T4303" s="82"/>
      <c r="U4303" s="82"/>
      <c r="V4303" s="82"/>
      <c r="W4303" s="82"/>
      <c r="X4303" s="82"/>
      <c r="Y4303" s="82"/>
      <c r="Z4303" s="82"/>
      <c r="AA4303" s="82"/>
      <c r="AB4303" s="82"/>
      <c r="AC4303" s="82"/>
      <c r="AD4303" s="82"/>
      <c r="AE4303" s="82"/>
      <c r="AF4303" s="82"/>
      <c r="AG4303" s="82"/>
      <c r="AH4303" s="82"/>
      <c r="AI4303" s="82"/>
      <c r="AJ4303" s="82"/>
      <c r="AK4303" s="82"/>
      <c r="AL4303" s="82"/>
      <c r="AM4303" s="82"/>
      <c r="AN4303" s="82"/>
      <c r="AO4303" s="82"/>
      <c r="AP4303" s="82"/>
      <c r="AQ4303" s="82"/>
      <c r="AR4303" s="82"/>
      <c r="AS4303" s="82"/>
      <c r="AT4303" s="82"/>
      <c r="AU4303" s="82"/>
      <c r="AV4303" s="82"/>
      <c r="AW4303" s="82" t="str">
        <f t="shared" si="1"/>
        <v/>
      </c>
      <c r="AX4303" s="83" t="str">
        <f t="array" ref="AX4303">IFERROR(DGET('SBV Import'!A:G,"SBV",{"RSC ID","Tier";B4303,A4303}))</f>
        <v/>
      </c>
      <c r="AY4303" s="82" t="str">
        <f t="shared" si="2"/>
        <v/>
      </c>
      <c r="AZ4303" s="82"/>
      <c r="BA4303" s="84" t="s">
        <v>152</v>
      </c>
      <c r="BB4303" s="84" t="str">
        <f>IFERROR(__xludf.DUMMYFUNCTION("iferror(if(A4303="""",,E4303&gt;=FILTER(Constants!$F$2:$F$10,Constants!$A$2:$A$10=A4303)))"),"")</f>
        <v/>
      </c>
    </row>
    <row r="4304">
      <c r="A4304" s="89"/>
      <c r="B4304" s="87"/>
      <c r="C4304" s="73"/>
      <c r="D4304" s="73"/>
      <c r="E4304" s="82"/>
      <c r="F4304" s="82"/>
      <c r="G4304" s="86"/>
      <c r="H4304" s="86"/>
      <c r="I4304" s="86"/>
      <c r="J4304" s="82"/>
      <c r="K4304" s="82"/>
      <c r="L4304" s="82"/>
      <c r="M4304" s="82"/>
      <c r="N4304" s="82"/>
      <c r="O4304" s="82"/>
      <c r="P4304" s="82"/>
      <c r="Q4304" s="82"/>
      <c r="R4304" s="82"/>
      <c r="S4304" s="82"/>
      <c r="T4304" s="82"/>
      <c r="U4304" s="82"/>
      <c r="V4304" s="82"/>
      <c r="W4304" s="82"/>
      <c r="X4304" s="82"/>
      <c r="Y4304" s="82"/>
      <c r="Z4304" s="82"/>
      <c r="AA4304" s="82"/>
      <c r="AB4304" s="82"/>
      <c r="AC4304" s="82"/>
      <c r="AD4304" s="82"/>
      <c r="AE4304" s="82"/>
      <c r="AF4304" s="82"/>
      <c r="AG4304" s="82"/>
      <c r="AH4304" s="82"/>
      <c r="AI4304" s="82"/>
      <c r="AJ4304" s="82"/>
      <c r="AK4304" s="82"/>
      <c r="AL4304" s="82"/>
      <c r="AM4304" s="82"/>
      <c r="AN4304" s="82"/>
      <c r="AO4304" s="82"/>
      <c r="AP4304" s="82"/>
      <c r="AQ4304" s="82"/>
      <c r="AR4304" s="82"/>
      <c r="AS4304" s="82"/>
      <c r="AT4304" s="82"/>
      <c r="AU4304" s="82"/>
      <c r="AV4304" s="82"/>
      <c r="AW4304" s="82" t="str">
        <f t="shared" si="1"/>
        <v/>
      </c>
      <c r="AX4304" s="83" t="str">
        <f t="array" ref="AX4304">IFERROR(DGET('SBV Import'!A:G,"SBV",{"RSC ID","Tier";B4304,A4304}))</f>
        <v/>
      </c>
      <c r="AY4304" s="82" t="str">
        <f t="shared" si="2"/>
        <v/>
      </c>
      <c r="AZ4304" s="82"/>
      <c r="BA4304" s="84" t="s">
        <v>152</v>
      </c>
      <c r="BB4304" s="84" t="str">
        <f>IFERROR(__xludf.DUMMYFUNCTION("iferror(if(A4304="""",,E4304&gt;=FILTER(Constants!$F$2:$F$10,Constants!$A$2:$A$10=A4304)))"),"")</f>
        <v/>
      </c>
    </row>
    <row r="4305">
      <c r="A4305" s="89"/>
      <c r="B4305" s="87"/>
      <c r="C4305" s="73"/>
      <c r="D4305" s="73"/>
      <c r="E4305" s="82"/>
      <c r="F4305" s="82"/>
      <c r="G4305" s="86"/>
      <c r="H4305" s="86"/>
      <c r="I4305" s="86"/>
      <c r="J4305" s="82"/>
      <c r="K4305" s="82"/>
      <c r="L4305" s="82"/>
      <c r="M4305" s="82"/>
      <c r="N4305" s="82"/>
      <c r="O4305" s="82"/>
      <c r="P4305" s="82"/>
      <c r="Q4305" s="82"/>
      <c r="R4305" s="82"/>
      <c r="S4305" s="82"/>
      <c r="T4305" s="82"/>
      <c r="U4305" s="82"/>
      <c r="V4305" s="82"/>
      <c r="W4305" s="82"/>
      <c r="X4305" s="82"/>
      <c r="Y4305" s="82"/>
      <c r="Z4305" s="82"/>
      <c r="AA4305" s="82"/>
      <c r="AB4305" s="82"/>
      <c r="AC4305" s="82"/>
      <c r="AD4305" s="82"/>
      <c r="AE4305" s="82"/>
      <c r="AF4305" s="82"/>
      <c r="AG4305" s="82"/>
      <c r="AH4305" s="82"/>
      <c r="AI4305" s="82"/>
      <c r="AJ4305" s="82"/>
      <c r="AK4305" s="82"/>
      <c r="AL4305" s="82"/>
      <c r="AM4305" s="82"/>
      <c r="AN4305" s="82"/>
      <c r="AO4305" s="82"/>
      <c r="AP4305" s="82"/>
      <c r="AQ4305" s="82"/>
      <c r="AR4305" s="82"/>
      <c r="AS4305" s="82"/>
      <c r="AT4305" s="82"/>
      <c r="AU4305" s="82"/>
      <c r="AV4305" s="82"/>
      <c r="AW4305" s="82" t="str">
        <f t="shared" si="1"/>
        <v/>
      </c>
      <c r="AX4305" s="83" t="str">
        <f t="array" ref="AX4305">IFERROR(DGET('SBV Import'!A:G,"SBV",{"RSC ID","Tier";B4305,A4305}))</f>
        <v/>
      </c>
      <c r="AY4305" s="82" t="str">
        <f t="shared" si="2"/>
        <v/>
      </c>
      <c r="AZ4305" s="82"/>
      <c r="BA4305" s="84" t="s">
        <v>152</v>
      </c>
      <c r="BB4305" s="84" t="str">
        <f>IFERROR(__xludf.DUMMYFUNCTION("iferror(if(A4305="""",,E4305&gt;=FILTER(Constants!$F$2:$F$10,Constants!$A$2:$A$10=A4305)))"),"")</f>
        <v/>
      </c>
    </row>
    <row r="4306">
      <c r="A4306" s="89"/>
      <c r="B4306" s="87"/>
      <c r="C4306" s="73"/>
      <c r="D4306" s="73"/>
      <c r="E4306" s="82"/>
      <c r="F4306" s="82"/>
      <c r="G4306" s="86"/>
      <c r="H4306" s="86"/>
      <c r="I4306" s="86"/>
      <c r="J4306" s="82"/>
      <c r="K4306" s="82"/>
      <c r="L4306" s="82"/>
      <c r="M4306" s="82"/>
      <c r="N4306" s="82"/>
      <c r="O4306" s="82"/>
      <c r="P4306" s="82"/>
      <c r="Q4306" s="82"/>
      <c r="R4306" s="82"/>
      <c r="S4306" s="82"/>
      <c r="T4306" s="82"/>
      <c r="U4306" s="82"/>
      <c r="V4306" s="82"/>
      <c r="W4306" s="82"/>
      <c r="X4306" s="82"/>
      <c r="Y4306" s="82"/>
      <c r="Z4306" s="82"/>
      <c r="AA4306" s="82"/>
      <c r="AB4306" s="82"/>
      <c r="AC4306" s="82"/>
      <c r="AD4306" s="82"/>
      <c r="AE4306" s="82"/>
      <c r="AF4306" s="82"/>
      <c r="AG4306" s="82"/>
      <c r="AH4306" s="82"/>
      <c r="AI4306" s="82"/>
      <c r="AJ4306" s="82"/>
      <c r="AK4306" s="82"/>
      <c r="AL4306" s="82"/>
      <c r="AM4306" s="82"/>
      <c r="AN4306" s="82"/>
      <c r="AO4306" s="82"/>
      <c r="AP4306" s="82"/>
      <c r="AQ4306" s="82"/>
      <c r="AR4306" s="82"/>
      <c r="AS4306" s="82"/>
      <c r="AT4306" s="82"/>
      <c r="AU4306" s="82"/>
      <c r="AV4306" s="82"/>
      <c r="AW4306" s="82" t="str">
        <f t="shared" si="1"/>
        <v/>
      </c>
      <c r="AX4306" s="83" t="str">
        <f t="array" ref="AX4306">IFERROR(DGET('SBV Import'!A:G,"SBV",{"RSC ID","Tier";B4306,A4306}))</f>
        <v/>
      </c>
      <c r="AY4306" s="82" t="str">
        <f t="shared" si="2"/>
        <v/>
      </c>
      <c r="AZ4306" s="82"/>
      <c r="BA4306" s="84" t="s">
        <v>152</v>
      </c>
      <c r="BB4306" s="84" t="str">
        <f>IFERROR(__xludf.DUMMYFUNCTION("iferror(if(A4306="""",,E4306&gt;=FILTER(Constants!$F$2:$F$10,Constants!$A$2:$A$10=A4306)))"),"")</f>
        <v/>
      </c>
    </row>
    <row r="4307">
      <c r="A4307" s="89"/>
      <c r="B4307" s="87"/>
      <c r="C4307" s="73"/>
      <c r="D4307" s="73"/>
      <c r="E4307" s="82"/>
      <c r="F4307" s="82"/>
      <c r="G4307" s="86"/>
      <c r="H4307" s="86"/>
      <c r="I4307" s="86"/>
      <c r="J4307" s="82"/>
      <c r="K4307" s="82"/>
      <c r="L4307" s="82"/>
      <c r="M4307" s="82"/>
      <c r="N4307" s="82"/>
      <c r="O4307" s="82"/>
      <c r="P4307" s="82"/>
      <c r="Q4307" s="82"/>
      <c r="R4307" s="82"/>
      <c r="S4307" s="82"/>
      <c r="T4307" s="82"/>
      <c r="U4307" s="82"/>
      <c r="V4307" s="82"/>
      <c r="W4307" s="82"/>
      <c r="X4307" s="82"/>
      <c r="Y4307" s="82"/>
      <c r="Z4307" s="82"/>
      <c r="AA4307" s="82"/>
      <c r="AB4307" s="82"/>
      <c r="AC4307" s="82"/>
      <c r="AD4307" s="82"/>
      <c r="AE4307" s="82"/>
      <c r="AF4307" s="82"/>
      <c r="AG4307" s="82"/>
      <c r="AH4307" s="82"/>
      <c r="AI4307" s="82"/>
      <c r="AJ4307" s="82"/>
      <c r="AK4307" s="82"/>
      <c r="AL4307" s="82"/>
      <c r="AM4307" s="82"/>
      <c r="AN4307" s="82"/>
      <c r="AO4307" s="82"/>
      <c r="AP4307" s="82"/>
      <c r="AQ4307" s="82"/>
      <c r="AR4307" s="82"/>
      <c r="AS4307" s="82"/>
      <c r="AT4307" s="82"/>
      <c r="AU4307" s="82"/>
      <c r="AV4307" s="82"/>
      <c r="AW4307" s="82" t="str">
        <f t="shared" si="1"/>
        <v/>
      </c>
      <c r="AX4307" s="83" t="str">
        <f t="array" ref="AX4307">IFERROR(DGET('SBV Import'!A:G,"SBV",{"RSC ID","Tier";B4307,A4307}))</f>
        <v/>
      </c>
      <c r="AY4307" s="82" t="str">
        <f t="shared" si="2"/>
        <v/>
      </c>
      <c r="AZ4307" s="82"/>
      <c r="BA4307" s="84" t="s">
        <v>152</v>
      </c>
      <c r="BB4307" s="84" t="str">
        <f>IFERROR(__xludf.DUMMYFUNCTION("iferror(if(A4307="""",,E4307&gt;=FILTER(Constants!$F$2:$F$10,Constants!$A$2:$A$10=A4307)))"),"")</f>
        <v/>
      </c>
    </row>
    <row r="4308">
      <c r="A4308" s="89"/>
      <c r="B4308" s="87"/>
      <c r="C4308" s="73"/>
      <c r="D4308" s="73"/>
      <c r="E4308" s="82"/>
      <c r="F4308" s="82"/>
      <c r="G4308" s="86"/>
      <c r="H4308" s="86"/>
      <c r="I4308" s="86"/>
      <c r="J4308" s="82"/>
      <c r="K4308" s="82"/>
      <c r="L4308" s="82"/>
      <c r="M4308" s="82"/>
      <c r="N4308" s="82"/>
      <c r="O4308" s="82"/>
      <c r="P4308" s="82"/>
      <c r="Q4308" s="82"/>
      <c r="R4308" s="82"/>
      <c r="S4308" s="82"/>
      <c r="T4308" s="82"/>
      <c r="U4308" s="82"/>
      <c r="V4308" s="82"/>
      <c r="W4308" s="82"/>
      <c r="X4308" s="82"/>
      <c r="Y4308" s="82"/>
      <c r="Z4308" s="82"/>
      <c r="AA4308" s="82"/>
      <c r="AB4308" s="82"/>
      <c r="AC4308" s="82"/>
      <c r="AD4308" s="82"/>
      <c r="AE4308" s="82"/>
      <c r="AF4308" s="82"/>
      <c r="AG4308" s="82"/>
      <c r="AH4308" s="82"/>
      <c r="AI4308" s="82"/>
      <c r="AJ4308" s="82"/>
      <c r="AK4308" s="82"/>
      <c r="AL4308" s="82"/>
      <c r="AM4308" s="82"/>
      <c r="AN4308" s="82"/>
      <c r="AO4308" s="82"/>
      <c r="AP4308" s="82"/>
      <c r="AQ4308" s="82"/>
      <c r="AR4308" s="82"/>
      <c r="AS4308" s="82"/>
      <c r="AT4308" s="82"/>
      <c r="AU4308" s="82"/>
      <c r="AV4308" s="82"/>
      <c r="AW4308" s="82" t="str">
        <f t="shared" si="1"/>
        <v/>
      </c>
      <c r="AX4308" s="83" t="str">
        <f t="array" ref="AX4308">IFERROR(DGET('SBV Import'!A:G,"SBV",{"RSC ID","Tier";B4308,A4308}))</f>
        <v/>
      </c>
      <c r="AY4308" s="82" t="str">
        <f t="shared" si="2"/>
        <v/>
      </c>
      <c r="AZ4308" s="82"/>
      <c r="BA4308" s="84" t="s">
        <v>152</v>
      </c>
      <c r="BB4308" s="84" t="str">
        <f>IFERROR(__xludf.DUMMYFUNCTION("iferror(if(A4308="""",,E4308&gt;=FILTER(Constants!$F$2:$F$10,Constants!$A$2:$A$10=A4308)))"),"")</f>
        <v/>
      </c>
    </row>
    <row r="4309">
      <c r="A4309" s="89"/>
      <c r="B4309" s="87"/>
      <c r="C4309" s="73"/>
      <c r="D4309" s="73"/>
      <c r="E4309" s="82"/>
      <c r="F4309" s="82"/>
      <c r="G4309" s="86"/>
      <c r="H4309" s="86"/>
      <c r="I4309" s="86"/>
      <c r="J4309" s="82"/>
      <c r="K4309" s="82"/>
      <c r="L4309" s="82"/>
      <c r="M4309" s="82"/>
      <c r="N4309" s="82"/>
      <c r="O4309" s="82"/>
      <c r="P4309" s="82"/>
      <c r="Q4309" s="82"/>
      <c r="R4309" s="82"/>
      <c r="S4309" s="82"/>
      <c r="T4309" s="82"/>
      <c r="U4309" s="82"/>
      <c r="V4309" s="82"/>
      <c r="W4309" s="82"/>
      <c r="X4309" s="82"/>
      <c r="Y4309" s="82"/>
      <c r="Z4309" s="82"/>
      <c r="AA4309" s="82"/>
      <c r="AB4309" s="82"/>
      <c r="AC4309" s="82"/>
      <c r="AD4309" s="82"/>
      <c r="AE4309" s="82"/>
      <c r="AF4309" s="82"/>
      <c r="AG4309" s="82"/>
      <c r="AH4309" s="82"/>
      <c r="AI4309" s="82"/>
      <c r="AJ4309" s="82"/>
      <c r="AK4309" s="82"/>
      <c r="AL4309" s="82"/>
      <c r="AM4309" s="82"/>
      <c r="AN4309" s="82"/>
      <c r="AO4309" s="82"/>
      <c r="AP4309" s="82"/>
      <c r="AQ4309" s="82"/>
      <c r="AR4309" s="82"/>
      <c r="AS4309" s="82"/>
      <c r="AT4309" s="82"/>
      <c r="AU4309" s="82"/>
      <c r="AV4309" s="82"/>
      <c r="AW4309" s="82" t="str">
        <f t="shared" si="1"/>
        <v/>
      </c>
      <c r="AX4309" s="83" t="str">
        <f t="array" ref="AX4309">IFERROR(DGET('SBV Import'!A:G,"SBV",{"RSC ID","Tier";B4309,A4309}))</f>
        <v/>
      </c>
      <c r="AY4309" s="82" t="str">
        <f t="shared" si="2"/>
        <v/>
      </c>
      <c r="AZ4309" s="82"/>
      <c r="BA4309" s="84" t="s">
        <v>152</v>
      </c>
      <c r="BB4309" s="84" t="str">
        <f>IFERROR(__xludf.DUMMYFUNCTION("iferror(if(A4309="""",,E4309&gt;=FILTER(Constants!$F$2:$F$10,Constants!$A$2:$A$10=A4309)))"),"")</f>
        <v/>
      </c>
    </row>
    <row r="4310">
      <c r="A4310" s="89"/>
      <c r="B4310" s="87"/>
      <c r="C4310" s="73"/>
      <c r="D4310" s="73"/>
      <c r="E4310" s="82"/>
      <c r="F4310" s="82"/>
      <c r="G4310" s="86"/>
      <c r="H4310" s="86"/>
      <c r="I4310" s="86"/>
      <c r="J4310" s="82"/>
      <c r="K4310" s="82"/>
      <c r="L4310" s="82"/>
      <c r="M4310" s="82"/>
      <c r="N4310" s="82"/>
      <c r="O4310" s="82"/>
      <c r="P4310" s="82"/>
      <c r="Q4310" s="82"/>
      <c r="R4310" s="82"/>
      <c r="S4310" s="82"/>
      <c r="T4310" s="82"/>
      <c r="U4310" s="82"/>
      <c r="V4310" s="82"/>
      <c r="W4310" s="82"/>
      <c r="X4310" s="82"/>
      <c r="Y4310" s="82"/>
      <c r="Z4310" s="82"/>
      <c r="AA4310" s="82"/>
      <c r="AB4310" s="82"/>
      <c r="AC4310" s="82"/>
      <c r="AD4310" s="82"/>
      <c r="AE4310" s="82"/>
      <c r="AF4310" s="82"/>
      <c r="AG4310" s="82"/>
      <c r="AH4310" s="82"/>
      <c r="AI4310" s="82"/>
      <c r="AJ4310" s="82"/>
      <c r="AK4310" s="82"/>
      <c r="AL4310" s="82"/>
      <c r="AM4310" s="82"/>
      <c r="AN4310" s="82"/>
      <c r="AO4310" s="82"/>
      <c r="AP4310" s="82"/>
      <c r="AQ4310" s="82"/>
      <c r="AR4310" s="82"/>
      <c r="AS4310" s="82"/>
      <c r="AT4310" s="82"/>
      <c r="AU4310" s="82"/>
      <c r="AV4310" s="82"/>
      <c r="AW4310" s="82" t="str">
        <f t="shared" si="1"/>
        <v/>
      </c>
      <c r="AX4310" s="83" t="str">
        <f t="array" ref="AX4310">IFERROR(DGET('SBV Import'!A:G,"SBV",{"RSC ID","Tier";B4310,A4310}))</f>
        <v/>
      </c>
      <c r="AY4310" s="82" t="str">
        <f t="shared" si="2"/>
        <v/>
      </c>
      <c r="AZ4310" s="82"/>
      <c r="BA4310" s="84" t="s">
        <v>152</v>
      </c>
      <c r="BB4310" s="84" t="str">
        <f>IFERROR(__xludf.DUMMYFUNCTION("iferror(if(A4310="""",,E4310&gt;=FILTER(Constants!$F$2:$F$10,Constants!$A$2:$A$10=A4310)))"),"")</f>
        <v/>
      </c>
    </row>
    <row r="4311">
      <c r="A4311" s="89"/>
      <c r="B4311" s="87"/>
      <c r="C4311" s="73"/>
      <c r="D4311" s="73"/>
      <c r="E4311" s="82"/>
      <c r="F4311" s="82"/>
      <c r="G4311" s="86"/>
      <c r="H4311" s="86"/>
      <c r="I4311" s="86"/>
      <c r="J4311" s="82"/>
      <c r="K4311" s="82"/>
      <c r="L4311" s="82"/>
      <c r="M4311" s="82"/>
      <c r="N4311" s="82"/>
      <c r="O4311" s="82"/>
      <c r="P4311" s="82"/>
      <c r="Q4311" s="82"/>
      <c r="R4311" s="82"/>
      <c r="S4311" s="82"/>
      <c r="T4311" s="82"/>
      <c r="U4311" s="82"/>
      <c r="V4311" s="82"/>
      <c r="W4311" s="82"/>
      <c r="X4311" s="82"/>
      <c r="Y4311" s="82"/>
      <c r="Z4311" s="82"/>
      <c r="AA4311" s="82"/>
      <c r="AB4311" s="82"/>
      <c r="AC4311" s="82"/>
      <c r="AD4311" s="82"/>
      <c r="AE4311" s="82"/>
      <c r="AF4311" s="82"/>
      <c r="AG4311" s="82"/>
      <c r="AH4311" s="82"/>
      <c r="AI4311" s="82"/>
      <c r="AJ4311" s="82"/>
      <c r="AK4311" s="82"/>
      <c r="AL4311" s="82"/>
      <c r="AM4311" s="82"/>
      <c r="AN4311" s="82"/>
      <c r="AO4311" s="82"/>
      <c r="AP4311" s="82"/>
      <c r="AQ4311" s="82"/>
      <c r="AR4311" s="82"/>
      <c r="AS4311" s="82"/>
      <c r="AT4311" s="82"/>
      <c r="AU4311" s="82"/>
      <c r="AV4311" s="82"/>
      <c r="AW4311" s="82" t="str">
        <f t="shared" si="1"/>
        <v/>
      </c>
      <c r="AX4311" s="83" t="str">
        <f t="array" ref="AX4311">IFERROR(DGET('SBV Import'!A:G,"SBV",{"RSC ID","Tier";B4311,A4311}))</f>
        <v/>
      </c>
      <c r="AY4311" s="82" t="str">
        <f t="shared" si="2"/>
        <v/>
      </c>
      <c r="AZ4311" s="82"/>
      <c r="BA4311" s="84" t="s">
        <v>152</v>
      </c>
      <c r="BB4311" s="84" t="str">
        <f>IFERROR(__xludf.DUMMYFUNCTION("iferror(if(A4311="""",,E4311&gt;=FILTER(Constants!$F$2:$F$10,Constants!$A$2:$A$10=A4311)))"),"")</f>
        <v/>
      </c>
    </row>
    <row r="4312">
      <c r="A4312" s="89"/>
      <c r="B4312" s="87"/>
      <c r="C4312" s="73"/>
      <c r="D4312" s="73"/>
      <c r="E4312" s="82"/>
      <c r="F4312" s="82"/>
      <c r="G4312" s="86"/>
      <c r="H4312" s="86"/>
      <c r="I4312" s="86"/>
      <c r="J4312" s="82"/>
      <c r="K4312" s="82"/>
      <c r="L4312" s="82"/>
      <c r="M4312" s="82"/>
      <c r="N4312" s="82"/>
      <c r="O4312" s="82"/>
      <c r="P4312" s="82"/>
      <c r="Q4312" s="82"/>
      <c r="R4312" s="82"/>
      <c r="S4312" s="82"/>
      <c r="T4312" s="82"/>
      <c r="U4312" s="82"/>
      <c r="V4312" s="82"/>
      <c r="W4312" s="82"/>
      <c r="X4312" s="82"/>
      <c r="Y4312" s="82"/>
      <c r="Z4312" s="82"/>
      <c r="AA4312" s="82"/>
      <c r="AB4312" s="82"/>
      <c r="AC4312" s="82"/>
      <c r="AD4312" s="82"/>
      <c r="AE4312" s="82"/>
      <c r="AF4312" s="82"/>
      <c r="AG4312" s="82"/>
      <c r="AH4312" s="82"/>
      <c r="AI4312" s="82"/>
      <c r="AJ4312" s="82"/>
      <c r="AK4312" s="82"/>
      <c r="AL4312" s="82"/>
      <c r="AM4312" s="82"/>
      <c r="AN4312" s="82"/>
      <c r="AO4312" s="82"/>
      <c r="AP4312" s="82"/>
      <c r="AQ4312" s="82"/>
      <c r="AR4312" s="82"/>
      <c r="AS4312" s="82"/>
      <c r="AT4312" s="82"/>
      <c r="AU4312" s="82"/>
      <c r="AV4312" s="82"/>
      <c r="AW4312" s="82" t="str">
        <f t="shared" si="1"/>
        <v/>
      </c>
      <c r="AX4312" s="83" t="str">
        <f t="array" ref="AX4312">IFERROR(DGET('SBV Import'!A:G,"SBV",{"RSC ID","Tier";B4312,A4312}))</f>
        <v/>
      </c>
      <c r="AY4312" s="82" t="str">
        <f t="shared" si="2"/>
        <v/>
      </c>
      <c r="AZ4312" s="82"/>
      <c r="BA4312" s="84" t="s">
        <v>152</v>
      </c>
      <c r="BB4312" s="84" t="str">
        <f>IFERROR(__xludf.DUMMYFUNCTION("iferror(if(A4312="""",,E4312&gt;=FILTER(Constants!$F$2:$F$10,Constants!$A$2:$A$10=A4312)))"),"")</f>
        <v/>
      </c>
    </row>
    <row r="4313">
      <c r="A4313" s="89"/>
      <c r="B4313" s="87"/>
      <c r="C4313" s="73"/>
      <c r="D4313" s="73"/>
      <c r="E4313" s="82"/>
      <c r="F4313" s="82"/>
      <c r="G4313" s="86"/>
      <c r="H4313" s="86"/>
      <c r="I4313" s="86"/>
      <c r="J4313" s="82"/>
      <c r="K4313" s="82"/>
      <c r="L4313" s="82"/>
      <c r="M4313" s="82"/>
      <c r="N4313" s="82"/>
      <c r="O4313" s="82"/>
      <c r="P4313" s="82"/>
      <c r="Q4313" s="82"/>
      <c r="R4313" s="82"/>
      <c r="S4313" s="82"/>
      <c r="T4313" s="82"/>
      <c r="U4313" s="82"/>
      <c r="V4313" s="82"/>
      <c r="W4313" s="82"/>
      <c r="X4313" s="82"/>
      <c r="Y4313" s="82"/>
      <c r="Z4313" s="82"/>
      <c r="AA4313" s="82"/>
      <c r="AB4313" s="82"/>
      <c r="AC4313" s="82"/>
      <c r="AD4313" s="82"/>
      <c r="AE4313" s="82"/>
      <c r="AF4313" s="82"/>
      <c r="AG4313" s="82"/>
      <c r="AH4313" s="82"/>
      <c r="AI4313" s="82"/>
      <c r="AJ4313" s="82"/>
      <c r="AK4313" s="82"/>
      <c r="AL4313" s="82"/>
      <c r="AM4313" s="82"/>
      <c r="AN4313" s="82"/>
      <c r="AO4313" s="82"/>
      <c r="AP4313" s="82"/>
      <c r="AQ4313" s="82"/>
      <c r="AR4313" s="82"/>
      <c r="AS4313" s="82"/>
      <c r="AT4313" s="82"/>
      <c r="AU4313" s="82"/>
      <c r="AV4313" s="82"/>
      <c r="AW4313" s="82" t="str">
        <f t="shared" si="1"/>
        <v/>
      </c>
      <c r="AX4313" s="83" t="str">
        <f t="array" ref="AX4313">IFERROR(DGET('SBV Import'!A:G,"SBV",{"RSC ID","Tier";B4313,A4313}))</f>
        <v/>
      </c>
      <c r="AY4313" s="82" t="str">
        <f t="shared" si="2"/>
        <v/>
      </c>
      <c r="AZ4313" s="82"/>
      <c r="BA4313" s="84" t="s">
        <v>152</v>
      </c>
      <c r="BB4313" s="84" t="str">
        <f>IFERROR(__xludf.DUMMYFUNCTION("iferror(if(A4313="""",,E4313&gt;=FILTER(Constants!$F$2:$F$10,Constants!$A$2:$A$10=A4313)))"),"")</f>
        <v/>
      </c>
    </row>
    <row r="4314">
      <c r="A4314" s="89"/>
      <c r="B4314" s="87"/>
      <c r="C4314" s="73"/>
      <c r="D4314" s="73"/>
      <c r="E4314" s="82"/>
      <c r="F4314" s="82"/>
      <c r="G4314" s="86"/>
      <c r="H4314" s="86"/>
      <c r="I4314" s="86"/>
      <c r="J4314" s="82"/>
      <c r="K4314" s="82"/>
      <c r="L4314" s="82"/>
      <c r="M4314" s="82"/>
      <c r="N4314" s="82"/>
      <c r="O4314" s="82"/>
      <c r="P4314" s="82"/>
      <c r="Q4314" s="82"/>
      <c r="R4314" s="82"/>
      <c r="S4314" s="82"/>
      <c r="T4314" s="82"/>
      <c r="U4314" s="82"/>
      <c r="V4314" s="82"/>
      <c r="W4314" s="82"/>
      <c r="X4314" s="82"/>
      <c r="Y4314" s="82"/>
      <c r="Z4314" s="82"/>
      <c r="AA4314" s="82"/>
      <c r="AB4314" s="82"/>
      <c r="AC4314" s="82"/>
      <c r="AD4314" s="82"/>
      <c r="AE4314" s="82"/>
      <c r="AF4314" s="82"/>
      <c r="AG4314" s="82"/>
      <c r="AH4314" s="82"/>
      <c r="AI4314" s="82"/>
      <c r="AJ4314" s="82"/>
      <c r="AK4314" s="82"/>
      <c r="AL4314" s="82"/>
      <c r="AM4314" s="82"/>
      <c r="AN4314" s="82"/>
      <c r="AO4314" s="82"/>
      <c r="AP4314" s="82"/>
      <c r="AQ4314" s="82"/>
      <c r="AR4314" s="82"/>
      <c r="AS4314" s="82"/>
      <c r="AT4314" s="82"/>
      <c r="AU4314" s="82"/>
      <c r="AV4314" s="82"/>
      <c r="AW4314" s="82" t="str">
        <f t="shared" si="1"/>
        <v/>
      </c>
      <c r="AX4314" s="83" t="str">
        <f t="array" ref="AX4314">IFERROR(DGET('SBV Import'!A:G,"SBV",{"RSC ID","Tier";B4314,A4314}))</f>
        <v/>
      </c>
      <c r="AY4314" s="82" t="str">
        <f t="shared" si="2"/>
        <v/>
      </c>
      <c r="AZ4314" s="82"/>
      <c r="BA4314" s="84" t="s">
        <v>152</v>
      </c>
      <c r="BB4314" s="84" t="str">
        <f>IFERROR(__xludf.DUMMYFUNCTION("iferror(if(A4314="""",,E4314&gt;=FILTER(Constants!$F$2:$F$10,Constants!$A$2:$A$10=A4314)))"),"")</f>
        <v/>
      </c>
    </row>
    <row r="4315">
      <c r="A4315" s="89"/>
      <c r="B4315" s="87"/>
      <c r="C4315" s="73"/>
      <c r="D4315" s="73"/>
      <c r="E4315" s="82"/>
      <c r="F4315" s="82"/>
      <c r="G4315" s="86"/>
      <c r="H4315" s="86"/>
      <c r="I4315" s="86"/>
      <c r="J4315" s="82"/>
      <c r="K4315" s="82"/>
      <c r="L4315" s="82"/>
      <c r="M4315" s="82"/>
      <c r="N4315" s="82"/>
      <c r="O4315" s="82"/>
      <c r="P4315" s="82"/>
      <c r="Q4315" s="82"/>
      <c r="R4315" s="82"/>
      <c r="S4315" s="82"/>
      <c r="T4315" s="82"/>
      <c r="U4315" s="82"/>
      <c r="V4315" s="82"/>
      <c r="W4315" s="82"/>
      <c r="X4315" s="82"/>
      <c r="Y4315" s="82"/>
      <c r="Z4315" s="82"/>
      <c r="AA4315" s="82"/>
      <c r="AB4315" s="82"/>
      <c r="AC4315" s="82"/>
      <c r="AD4315" s="82"/>
      <c r="AE4315" s="82"/>
      <c r="AF4315" s="82"/>
      <c r="AG4315" s="82"/>
      <c r="AH4315" s="82"/>
      <c r="AI4315" s="82"/>
      <c r="AJ4315" s="82"/>
      <c r="AK4315" s="82"/>
      <c r="AL4315" s="82"/>
      <c r="AM4315" s="82"/>
      <c r="AN4315" s="82"/>
      <c r="AO4315" s="82"/>
      <c r="AP4315" s="82"/>
      <c r="AQ4315" s="82"/>
      <c r="AR4315" s="82"/>
      <c r="AS4315" s="82"/>
      <c r="AT4315" s="82"/>
      <c r="AU4315" s="82"/>
      <c r="AV4315" s="82"/>
      <c r="AW4315" s="82" t="str">
        <f t="shared" si="1"/>
        <v/>
      </c>
      <c r="AX4315" s="83" t="str">
        <f t="array" ref="AX4315">IFERROR(DGET('SBV Import'!A:G,"SBV",{"RSC ID","Tier";B4315,A4315}))</f>
        <v/>
      </c>
      <c r="AY4315" s="82" t="str">
        <f t="shared" si="2"/>
        <v/>
      </c>
      <c r="AZ4315" s="82"/>
      <c r="BA4315" s="84" t="s">
        <v>152</v>
      </c>
      <c r="BB4315" s="84" t="str">
        <f>IFERROR(__xludf.DUMMYFUNCTION("iferror(if(A4315="""",,E4315&gt;=FILTER(Constants!$F$2:$F$10,Constants!$A$2:$A$10=A4315)))"),"")</f>
        <v/>
      </c>
    </row>
    <row r="4316">
      <c r="A4316" s="89"/>
      <c r="B4316" s="87"/>
      <c r="C4316" s="73"/>
      <c r="D4316" s="73"/>
      <c r="E4316" s="82"/>
      <c r="F4316" s="82"/>
      <c r="G4316" s="86"/>
      <c r="H4316" s="86"/>
      <c r="I4316" s="86"/>
      <c r="J4316" s="82"/>
      <c r="K4316" s="82"/>
      <c r="L4316" s="82"/>
      <c r="M4316" s="82"/>
      <c r="N4316" s="82"/>
      <c r="O4316" s="82"/>
      <c r="P4316" s="82"/>
      <c r="Q4316" s="82"/>
      <c r="R4316" s="82"/>
      <c r="S4316" s="82"/>
      <c r="T4316" s="82"/>
      <c r="U4316" s="82"/>
      <c r="V4316" s="82"/>
      <c r="W4316" s="82"/>
      <c r="X4316" s="82"/>
      <c r="Y4316" s="82"/>
      <c r="Z4316" s="82"/>
      <c r="AA4316" s="82"/>
      <c r="AB4316" s="82"/>
      <c r="AC4316" s="82"/>
      <c r="AD4316" s="82"/>
      <c r="AE4316" s="82"/>
      <c r="AF4316" s="82"/>
      <c r="AG4316" s="82"/>
      <c r="AH4316" s="82"/>
      <c r="AI4316" s="82"/>
      <c r="AJ4316" s="82"/>
      <c r="AK4316" s="82"/>
      <c r="AL4316" s="82"/>
      <c r="AM4316" s="82"/>
      <c r="AN4316" s="82"/>
      <c r="AO4316" s="82"/>
      <c r="AP4316" s="82"/>
      <c r="AQ4316" s="82"/>
      <c r="AR4316" s="82"/>
      <c r="AS4316" s="82"/>
      <c r="AT4316" s="82"/>
      <c r="AU4316" s="82"/>
      <c r="AV4316" s="82"/>
      <c r="AW4316" s="82" t="str">
        <f t="shared" si="1"/>
        <v/>
      </c>
      <c r="AX4316" s="83" t="str">
        <f t="array" ref="AX4316">IFERROR(DGET('SBV Import'!A:G,"SBV",{"RSC ID","Tier";B4316,A4316}))</f>
        <v/>
      </c>
      <c r="AY4316" s="82" t="str">
        <f t="shared" si="2"/>
        <v/>
      </c>
      <c r="AZ4316" s="82"/>
      <c r="BA4316" s="84" t="s">
        <v>152</v>
      </c>
      <c r="BB4316" s="84" t="str">
        <f>IFERROR(__xludf.DUMMYFUNCTION("iferror(if(A4316="""",,E4316&gt;=FILTER(Constants!$F$2:$F$10,Constants!$A$2:$A$10=A4316)))"),"")</f>
        <v/>
      </c>
    </row>
    <row r="4317">
      <c r="A4317" s="89"/>
      <c r="B4317" s="87"/>
      <c r="C4317" s="73"/>
      <c r="D4317" s="73"/>
      <c r="E4317" s="82"/>
      <c r="F4317" s="82"/>
      <c r="G4317" s="86"/>
      <c r="H4317" s="86"/>
      <c r="I4317" s="86"/>
      <c r="J4317" s="82"/>
      <c r="K4317" s="82"/>
      <c r="L4317" s="82"/>
      <c r="M4317" s="82"/>
      <c r="N4317" s="82"/>
      <c r="O4317" s="82"/>
      <c r="P4317" s="82"/>
      <c r="Q4317" s="82"/>
      <c r="R4317" s="82"/>
      <c r="S4317" s="82"/>
      <c r="T4317" s="82"/>
      <c r="U4317" s="82"/>
      <c r="V4317" s="82"/>
      <c r="W4317" s="82"/>
      <c r="X4317" s="82"/>
      <c r="Y4317" s="82"/>
      <c r="Z4317" s="82"/>
      <c r="AA4317" s="82"/>
      <c r="AB4317" s="82"/>
      <c r="AC4317" s="82"/>
      <c r="AD4317" s="82"/>
      <c r="AE4317" s="82"/>
      <c r="AF4317" s="82"/>
      <c r="AG4317" s="82"/>
      <c r="AH4317" s="82"/>
      <c r="AI4317" s="82"/>
      <c r="AJ4317" s="82"/>
      <c r="AK4317" s="82"/>
      <c r="AL4317" s="82"/>
      <c r="AM4317" s="82"/>
      <c r="AN4317" s="82"/>
      <c r="AO4317" s="82"/>
      <c r="AP4317" s="82"/>
      <c r="AQ4317" s="82"/>
      <c r="AR4317" s="82"/>
      <c r="AS4317" s="82"/>
      <c r="AT4317" s="82"/>
      <c r="AU4317" s="82"/>
      <c r="AV4317" s="82"/>
      <c r="AW4317" s="82" t="str">
        <f t="shared" si="1"/>
        <v/>
      </c>
      <c r="AX4317" s="83" t="str">
        <f t="array" ref="AX4317">IFERROR(DGET('SBV Import'!A:G,"SBV",{"RSC ID","Tier";B4317,A4317}))</f>
        <v/>
      </c>
      <c r="AY4317" s="82" t="str">
        <f t="shared" si="2"/>
        <v/>
      </c>
      <c r="AZ4317" s="82"/>
      <c r="BA4317" s="84" t="s">
        <v>152</v>
      </c>
      <c r="BB4317" s="84" t="str">
        <f>IFERROR(__xludf.DUMMYFUNCTION("iferror(if(A4317="""",,E4317&gt;=FILTER(Constants!$F$2:$F$10,Constants!$A$2:$A$10=A4317)))"),"")</f>
        <v/>
      </c>
    </row>
    <row r="4318">
      <c r="A4318" s="89"/>
      <c r="B4318" s="87"/>
      <c r="C4318" s="73"/>
      <c r="D4318" s="73"/>
      <c r="E4318" s="82"/>
      <c r="F4318" s="82"/>
      <c r="G4318" s="86"/>
      <c r="H4318" s="86"/>
      <c r="I4318" s="86"/>
      <c r="J4318" s="82"/>
      <c r="K4318" s="82"/>
      <c r="L4318" s="82"/>
      <c r="M4318" s="82"/>
      <c r="N4318" s="82"/>
      <c r="O4318" s="82"/>
      <c r="P4318" s="82"/>
      <c r="Q4318" s="82"/>
      <c r="R4318" s="82"/>
      <c r="S4318" s="82"/>
      <c r="T4318" s="82"/>
      <c r="U4318" s="82"/>
      <c r="V4318" s="82"/>
      <c r="W4318" s="82"/>
      <c r="X4318" s="82"/>
      <c r="Y4318" s="82"/>
      <c r="Z4318" s="82"/>
      <c r="AA4318" s="82"/>
      <c r="AB4318" s="82"/>
      <c r="AC4318" s="82"/>
      <c r="AD4318" s="82"/>
      <c r="AE4318" s="82"/>
      <c r="AF4318" s="82"/>
      <c r="AG4318" s="82"/>
      <c r="AH4318" s="82"/>
      <c r="AI4318" s="82"/>
      <c r="AJ4318" s="82"/>
      <c r="AK4318" s="82"/>
      <c r="AL4318" s="82"/>
      <c r="AM4318" s="82"/>
      <c r="AN4318" s="82"/>
      <c r="AO4318" s="82"/>
      <c r="AP4318" s="82"/>
      <c r="AQ4318" s="82"/>
      <c r="AR4318" s="82"/>
      <c r="AS4318" s="82"/>
      <c r="AT4318" s="82"/>
      <c r="AU4318" s="82"/>
      <c r="AV4318" s="82"/>
      <c r="AW4318" s="82" t="str">
        <f t="shared" si="1"/>
        <v/>
      </c>
      <c r="AX4318" s="83" t="str">
        <f t="array" ref="AX4318">IFERROR(DGET('SBV Import'!A:G,"SBV",{"RSC ID","Tier";B4318,A4318}))</f>
        <v/>
      </c>
      <c r="AY4318" s="82" t="str">
        <f t="shared" si="2"/>
        <v/>
      </c>
      <c r="AZ4318" s="82"/>
      <c r="BA4318" s="84" t="s">
        <v>152</v>
      </c>
      <c r="BB4318" s="84" t="str">
        <f>IFERROR(__xludf.DUMMYFUNCTION("iferror(if(A4318="""",,E4318&gt;=FILTER(Constants!$F$2:$F$10,Constants!$A$2:$A$10=A4318)))"),"")</f>
        <v/>
      </c>
    </row>
    <row r="4319">
      <c r="A4319" s="89"/>
      <c r="B4319" s="87"/>
      <c r="C4319" s="73"/>
      <c r="D4319" s="73"/>
      <c r="E4319" s="82"/>
      <c r="F4319" s="82"/>
      <c r="G4319" s="86"/>
      <c r="H4319" s="86"/>
      <c r="I4319" s="86"/>
      <c r="J4319" s="82"/>
      <c r="K4319" s="82"/>
      <c r="L4319" s="82"/>
      <c r="M4319" s="82"/>
      <c r="N4319" s="82"/>
      <c r="O4319" s="82"/>
      <c r="P4319" s="82"/>
      <c r="Q4319" s="82"/>
      <c r="R4319" s="82"/>
      <c r="S4319" s="82"/>
      <c r="T4319" s="82"/>
      <c r="U4319" s="82"/>
      <c r="V4319" s="82"/>
      <c r="W4319" s="82"/>
      <c r="X4319" s="82"/>
      <c r="Y4319" s="82"/>
      <c r="Z4319" s="82"/>
      <c r="AA4319" s="82"/>
      <c r="AB4319" s="82"/>
      <c r="AC4319" s="82"/>
      <c r="AD4319" s="82"/>
      <c r="AE4319" s="82"/>
      <c r="AF4319" s="82"/>
      <c r="AG4319" s="82"/>
      <c r="AH4319" s="82"/>
      <c r="AI4319" s="82"/>
      <c r="AJ4319" s="82"/>
      <c r="AK4319" s="82"/>
      <c r="AL4319" s="82"/>
      <c r="AM4319" s="82"/>
      <c r="AN4319" s="82"/>
      <c r="AO4319" s="82"/>
      <c r="AP4319" s="82"/>
      <c r="AQ4319" s="82"/>
      <c r="AR4319" s="82"/>
      <c r="AS4319" s="82"/>
      <c r="AT4319" s="82"/>
      <c r="AU4319" s="82"/>
      <c r="AV4319" s="82"/>
      <c r="AW4319" s="82" t="str">
        <f t="shared" si="1"/>
        <v/>
      </c>
      <c r="AX4319" s="83" t="str">
        <f t="array" ref="AX4319">IFERROR(DGET('SBV Import'!A:G,"SBV",{"RSC ID","Tier";B4319,A4319}))</f>
        <v/>
      </c>
      <c r="AY4319" s="82" t="str">
        <f t="shared" si="2"/>
        <v/>
      </c>
      <c r="AZ4319" s="82"/>
      <c r="BA4319" s="84" t="s">
        <v>152</v>
      </c>
      <c r="BB4319" s="84" t="str">
        <f>IFERROR(__xludf.DUMMYFUNCTION("iferror(if(A4319="""",,E4319&gt;=FILTER(Constants!$F$2:$F$10,Constants!$A$2:$A$10=A4319)))"),"")</f>
        <v/>
      </c>
    </row>
    <row r="4320">
      <c r="A4320" s="89"/>
      <c r="B4320" s="87"/>
      <c r="C4320" s="73"/>
      <c r="D4320" s="73"/>
      <c r="E4320" s="82"/>
      <c r="F4320" s="82"/>
      <c r="G4320" s="86"/>
      <c r="H4320" s="86"/>
      <c r="I4320" s="86"/>
      <c r="J4320" s="82"/>
      <c r="K4320" s="82"/>
      <c r="L4320" s="82"/>
      <c r="M4320" s="82"/>
      <c r="N4320" s="82"/>
      <c r="O4320" s="82"/>
      <c r="P4320" s="82"/>
      <c r="Q4320" s="82"/>
      <c r="R4320" s="82"/>
      <c r="S4320" s="82"/>
      <c r="T4320" s="82"/>
      <c r="U4320" s="82"/>
      <c r="V4320" s="82"/>
      <c r="W4320" s="82"/>
      <c r="X4320" s="82"/>
      <c r="Y4320" s="82"/>
      <c r="Z4320" s="82"/>
      <c r="AA4320" s="82"/>
      <c r="AB4320" s="82"/>
      <c r="AC4320" s="82"/>
      <c r="AD4320" s="82"/>
      <c r="AE4320" s="82"/>
      <c r="AF4320" s="82"/>
      <c r="AG4320" s="82"/>
      <c r="AH4320" s="82"/>
      <c r="AI4320" s="82"/>
      <c r="AJ4320" s="82"/>
      <c r="AK4320" s="82"/>
      <c r="AL4320" s="82"/>
      <c r="AM4320" s="82"/>
      <c r="AN4320" s="82"/>
      <c r="AO4320" s="82"/>
      <c r="AP4320" s="82"/>
      <c r="AQ4320" s="82"/>
      <c r="AR4320" s="82"/>
      <c r="AS4320" s="82"/>
      <c r="AT4320" s="82"/>
      <c r="AU4320" s="82"/>
      <c r="AV4320" s="82"/>
      <c r="AW4320" s="82" t="str">
        <f t="shared" si="1"/>
        <v/>
      </c>
      <c r="AX4320" s="83" t="str">
        <f t="array" ref="AX4320">IFERROR(DGET('SBV Import'!A:G,"SBV",{"RSC ID","Tier";B4320,A4320}))</f>
        <v/>
      </c>
      <c r="AY4320" s="82" t="str">
        <f t="shared" si="2"/>
        <v/>
      </c>
      <c r="AZ4320" s="82"/>
      <c r="BA4320" s="84" t="s">
        <v>152</v>
      </c>
      <c r="BB4320" s="84" t="str">
        <f>IFERROR(__xludf.DUMMYFUNCTION("iferror(if(A4320="""",,E4320&gt;=FILTER(Constants!$F$2:$F$10,Constants!$A$2:$A$10=A4320)))"),"")</f>
        <v/>
      </c>
    </row>
    <row r="4321">
      <c r="A4321" s="89"/>
      <c r="B4321" s="87"/>
      <c r="C4321" s="73"/>
      <c r="D4321" s="73"/>
      <c r="E4321" s="82"/>
      <c r="F4321" s="82"/>
      <c r="G4321" s="86"/>
      <c r="H4321" s="86"/>
      <c r="I4321" s="86"/>
      <c r="J4321" s="82"/>
      <c r="K4321" s="82"/>
      <c r="L4321" s="82"/>
      <c r="M4321" s="82"/>
      <c r="N4321" s="82"/>
      <c r="O4321" s="82"/>
      <c r="P4321" s="82"/>
      <c r="Q4321" s="82"/>
      <c r="R4321" s="82"/>
      <c r="S4321" s="82"/>
      <c r="T4321" s="82"/>
      <c r="U4321" s="82"/>
      <c r="V4321" s="82"/>
      <c r="W4321" s="82"/>
      <c r="X4321" s="82"/>
      <c r="Y4321" s="82"/>
      <c r="Z4321" s="82"/>
      <c r="AA4321" s="82"/>
      <c r="AB4321" s="82"/>
      <c r="AC4321" s="82"/>
      <c r="AD4321" s="82"/>
      <c r="AE4321" s="82"/>
      <c r="AF4321" s="82"/>
      <c r="AG4321" s="82"/>
      <c r="AH4321" s="82"/>
      <c r="AI4321" s="82"/>
      <c r="AJ4321" s="82"/>
      <c r="AK4321" s="82"/>
      <c r="AL4321" s="82"/>
      <c r="AM4321" s="82"/>
      <c r="AN4321" s="82"/>
      <c r="AO4321" s="82"/>
      <c r="AP4321" s="82"/>
      <c r="AQ4321" s="82"/>
      <c r="AR4321" s="82"/>
      <c r="AS4321" s="82"/>
      <c r="AT4321" s="82"/>
      <c r="AU4321" s="82"/>
      <c r="AV4321" s="82"/>
      <c r="AW4321" s="82" t="str">
        <f t="shared" si="1"/>
        <v/>
      </c>
      <c r="AX4321" s="83" t="str">
        <f t="array" ref="AX4321">IFERROR(DGET('SBV Import'!A:G,"SBV",{"RSC ID","Tier";B4321,A4321}))</f>
        <v/>
      </c>
      <c r="AY4321" s="82" t="str">
        <f t="shared" si="2"/>
        <v/>
      </c>
      <c r="AZ4321" s="82"/>
      <c r="BA4321" s="84" t="s">
        <v>152</v>
      </c>
      <c r="BB4321" s="84" t="str">
        <f>IFERROR(__xludf.DUMMYFUNCTION("iferror(if(A4321="""",,E4321&gt;=FILTER(Constants!$F$2:$F$10,Constants!$A$2:$A$10=A4321)))"),"")</f>
        <v/>
      </c>
    </row>
    <row r="4322">
      <c r="A4322" s="89"/>
      <c r="B4322" s="87"/>
      <c r="C4322" s="73"/>
      <c r="D4322" s="73"/>
      <c r="E4322" s="82"/>
      <c r="F4322" s="82"/>
      <c r="G4322" s="86"/>
      <c r="H4322" s="86"/>
      <c r="I4322" s="86"/>
      <c r="J4322" s="82"/>
      <c r="K4322" s="82"/>
      <c r="L4322" s="82"/>
      <c r="M4322" s="82"/>
      <c r="N4322" s="82"/>
      <c r="O4322" s="82"/>
      <c r="P4322" s="82"/>
      <c r="Q4322" s="82"/>
      <c r="R4322" s="82"/>
      <c r="S4322" s="82"/>
      <c r="T4322" s="82"/>
      <c r="U4322" s="82"/>
      <c r="V4322" s="82"/>
      <c r="W4322" s="82"/>
      <c r="X4322" s="82"/>
      <c r="Y4322" s="82"/>
      <c r="Z4322" s="82"/>
      <c r="AA4322" s="82"/>
      <c r="AB4322" s="82"/>
      <c r="AC4322" s="82"/>
      <c r="AD4322" s="82"/>
      <c r="AE4322" s="82"/>
      <c r="AF4322" s="82"/>
      <c r="AG4322" s="82"/>
      <c r="AH4322" s="82"/>
      <c r="AI4322" s="82"/>
      <c r="AJ4322" s="82"/>
      <c r="AK4322" s="82"/>
      <c r="AL4322" s="82"/>
      <c r="AM4322" s="82"/>
      <c r="AN4322" s="82"/>
      <c r="AO4322" s="82"/>
      <c r="AP4322" s="82"/>
      <c r="AQ4322" s="82"/>
      <c r="AR4322" s="82"/>
      <c r="AS4322" s="82"/>
      <c r="AT4322" s="82"/>
      <c r="AU4322" s="82"/>
      <c r="AV4322" s="82"/>
      <c r="AW4322" s="82" t="str">
        <f t="shared" si="1"/>
        <v/>
      </c>
      <c r="AX4322" s="83" t="str">
        <f t="array" ref="AX4322">IFERROR(DGET('SBV Import'!A:G,"SBV",{"RSC ID","Tier";B4322,A4322}))</f>
        <v/>
      </c>
      <c r="AY4322" s="82" t="str">
        <f t="shared" si="2"/>
        <v/>
      </c>
      <c r="AZ4322" s="82"/>
      <c r="BA4322" s="84" t="s">
        <v>152</v>
      </c>
      <c r="BB4322" s="84" t="str">
        <f>IFERROR(__xludf.DUMMYFUNCTION("iferror(if(A4322="""",,E4322&gt;=FILTER(Constants!$F$2:$F$10,Constants!$A$2:$A$10=A4322)))"),"")</f>
        <v/>
      </c>
    </row>
    <row r="4323">
      <c r="A4323" s="89"/>
      <c r="B4323" s="87"/>
      <c r="C4323" s="73"/>
      <c r="D4323" s="73"/>
      <c r="E4323" s="82"/>
      <c r="F4323" s="82"/>
      <c r="G4323" s="86"/>
      <c r="H4323" s="86"/>
      <c r="I4323" s="86"/>
      <c r="J4323" s="82"/>
      <c r="K4323" s="82"/>
      <c r="L4323" s="82"/>
      <c r="M4323" s="82"/>
      <c r="N4323" s="82"/>
      <c r="O4323" s="82"/>
      <c r="P4323" s="82"/>
      <c r="Q4323" s="82"/>
      <c r="R4323" s="82"/>
      <c r="S4323" s="82"/>
      <c r="T4323" s="82"/>
      <c r="U4323" s="82"/>
      <c r="V4323" s="82"/>
      <c r="W4323" s="82"/>
      <c r="X4323" s="82"/>
      <c r="Y4323" s="82"/>
      <c r="Z4323" s="82"/>
      <c r="AA4323" s="82"/>
      <c r="AB4323" s="82"/>
      <c r="AC4323" s="82"/>
      <c r="AD4323" s="82"/>
      <c r="AE4323" s="82"/>
      <c r="AF4323" s="82"/>
      <c r="AG4323" s="82"/>
      <c r="AH4323" s="82"/>
      <c r="AI4323" s="82"/>
      <c r="AJ4323" s="82"/>
      <c r="AK4323" s="82"/>
      <c r="AL4323" s="82"/>
      <c r="AM4323" s="82"/>
      <c r="AN4323" s="82"/>
      <c r="AO4323" s="82"/>
      <c r="AP4323" s="82"/>
      <c r="AQ4323" s="82"/>
      <c r="AR4323" s="82"/>
      <c r="AS4323" s="82"/>
      <c r="AT4323" s="82"/>
      <c r="AU4323" s="82"/>
      <c r="AV4323" s="82"/>
      <c r="AW4323" s="82" t="str">
        <f t="shared" si="1"/>
        <v/>
      </c>
      <c r="AX4323" s="83" t="str">
        <f t="array" ref="AX4323">IFERROR(DGET('SBV Import'!A:G,"SBV",{"RSC ID","Tier";B4323,A4323}))</f>
        <v/>
      </c>
      <c r="AY4323" s="82" t="str">
        <f t="shared" si="2"/>
        <v/>
      </c>
      <c r="AZ4323" s="82"/>
      <c r="BA4323" s="84" t="s">
        <v>152</v>
      </c>
      <c r="BB4323" s="84" t="str">
        <f>IFERROR(__xludf.DUMMYFUNCTION("iferror(if(A4323="""",,E4323&gt;=FILTER(Constants!$F$2:$F$10,Constants!$A$2:$A$10=A4323)))"),"")</f>
        <v/>
      </c>
    </row>
    <row r="4324">
      <c r="A4324" s="89"/>
      <c r="B4324" s="87"/>
      <c r="C4324" s="73"/>
      <c r="D4324" s="73"/>
      <c r="E4324" s="82"/>
      <c r="F4324" s="82"/>
      <c r="G4324" s="86"/>
      <c r="H4324" s="86"/>
      <c r="I4324" s="86"/>
      <c r="J4324" s="82"/>
      <c r="K4324" s="82"/>
      <c r="L4324" s="82"/>
      <c r="M4324" s="82"/>
      <c r="N4324" s="82"/>
      <c r="O4324" s="82"/>
      <c r="P4324" s="82"/>
      <c r="Q4324" s="82"/>
      <c r="R4324" s="82"/>
      <c r="S4324" s="82"/>
      <c r="T4324" s="82"/>
      <c r="U4324" s="82"/>
      <c r="V4324" s="82"/>
      <c r="W4324" s="82"/>
      <c r="X4324" s="82"/>
      <c r="Y4324" s="82"/>
      <c r="Z4324" s="82"/>
      <c r="AA4324" s="82"/>
      <c r="AB4324" s="82"/>
      <c r="AC4324" s="82"/>
      <c r="AD4324" s="82"/>
      <c r="AE4324" s="82"/>
      <c r="AF4324" s="82"/>
      <c r="AG4324" s="82"/>
      <c r="AH4324" s="82"/>
      <c r="AI4324" s="82"/>
      <c r="AJ4324" s="82"/>
      <c r="AK4324" s="82"/>
      <c r="AL4324" s="82"/>
      <c r="AM4324" s="82"/>
      <c r="AN4324" s="82"/>
      <c r="AO4324" s="82"/>
      <c r="AP4324" s="82"/>
      <c r="AQ4324" s="82"/>
      <c r="AR4324" s="82"/>
      <c r="AS4324" s="82"/>
      <c r="AT4324" s="82"/>
      <c r="AU4324" s="82"/>
      <c r="AV4324" s="82"/>
      <c r="AW4324" s="82" t="str">
        <f t="shared" si="1"/>
        <v/>
      </c>
      <c r="AX4324" s="83" t="str">
        <f t="array" ref="AX4324">IFERROR(DGET('SBV Import'!A:G,"SBV",{"RSC ID","Tier";B4324,A4324}))</f>
        <v/>
      </c>
      <c r="AY4324" s="82" t="str">
        <f t="shared" si="2"/>
        <v/>
      </c>
      <c r="AZ4324" s="82"/>
      <c r="BA4324" s="84" t="s">
        <v>152</v>
      </c>
      <c r="BB4324" s="84" t="str">
        <f>IFERROR(__xludf.DUMMYFUNCTION("iferror(if(A4324="""",,E4324&gt;=FILTER(Constants!$F$2:$F$10,Constants!$A$2:$A$10=A4324)))"),"")</f>
        <v/>
      </c>
    </row>
    <row r="4325">
      <c r="A4325" s="89"/>
      <c r="B4325" s="87"/>
      <c r="C4325" s="73"/>
      <c r="D4325" s="73"/>
      <c r="E4325" s="82"/>
      <c r="F4325" s="82"/>
      <c r="G4325" s="86"/>
      <c r="H4325" s="86"/>
      <c r="I4325" s="86"/>
      <c r="J4325" s="82"/>
      <c r="K4325" s="82"/>
      <c r="L4325" s="82"/>
      <c r="M4325" s="82"/>
      <c r="N4325" s="82"/>
      <c r="O4325" s="82"/>
      <c r="P4325" s="82"/>
      <c r="Q4325" s="82"/>
      <c r="R4325" s="82"/>
      <c r="S4325" s="82"/>
      <c r="T4325" s="82"/>
      <c r="U4325" s="82"/>
      <c r="V4325" s="82"/>
      <c r="W4325" s="82"/>
      <c r="X4325" s="82"/>
      <c r="Y4325" s="82"/>
      <c r="Z4325" s="82"/>
      <c r="AA4325" s="82"/>
      <c r="AB4325" s="82"/>
      <c r="AC4325" s="82"/>
      <c r="AD4325" s="82"/>
      <c r="AE4325" s="82"/>
      <c r="AF4325" s="82"/>
      <c r="AG4325" s="82"/>
      <c r="AH4325" s="82"/>
      <c r="AI4325" s="82"/>
      <c r="AJ4325" s="82"/>
      <c r="AK4325" s="82"/>
      <c r="AL4325" s="82"/>
      <c r="AM4325" s="82"/>
      <c r="AN4325" s="82"/>
      <c r="AO4325" s="82"/>
      <c r="AP4325" s="82"/>
      <c r="AQ4325" s="82"/>
      <c r="AR4325" s="82"/>
      <c r="AS4325" s="82"/>
      <c r="AT4325" s="82"/>
      <c r="AU4325" s="82"/>
      <c r="AV4325" s="82"/>
      <c r="AW4325" s="82" t="str">
        <f t="shared" si="1"/>
        <v/>
      </c>
      <c r="AX4325" s="83" t="str">
        <f t="array" ref="AX4325">IFERROR(DGET('SBV Import'!A:G,"SBV",{"RSC ID","Tier";B4325,A4325}))</f>
        <v/>
      </c>
      <c r="AY4325" s="82" t="str">
        <f t="shared" si="2"/>
        <v/>
      </c>
      <c r="AZ4325" s="82"/>
      <c r="BA4325" s="84" t="s">
        <v>152</v>
      </c>
      <c r="BB4325" s="84" t="str">
        <f>IFERROR(__xludf.DUMMYFUNCTION("iferror(if(A4325="""",,E4325&gt;=FILTER(Constants!$F$2:$F$10,Constants!$A$2:$A$10=A4325)))"),"")</f>
        <v/>
      </c>
    </row>
    <row r="4326">
      <c r="A4326" s="89"/>
      <c r="B4326" s="87"/>
      <c r="C4326" s="73"/>
      <c r="D4326" s="73"/>
      <c r="E4326" s="82"/>
      <c r="F4326" s="82"/>
      <c r="G4326" s="86"/>
      <c r="H4326" s="86"/>
      <c r="I4326" s="86"/>
      <c r="J4326" s="82"/>
      <c r="K4326" s="82"/>
      <c r="L4326" s="82"/>
      <c r="M4326" s="82"/>
      <c r="N4326" s="82"/>
      <c r="O4326" s="82"/>
      <c r="P4326" s="82"/>
      <c r="Q4326" s="82"/>
      <c r="R4326" s="82"/>
      <c r="S4326" s="82"/>
      <c r="T4326" s="82"/>
      <c r="U4326" s="82"/>
      <c r="V4326" s="82"/>
      <c r="W4326" s="82"/>
      <c r="X4326" s="82"/>
      <c r="Y4326" s="82"/>
      <c r="Z4326" s="82"/>
      <c r="AA4326" s="82"/>
      <c r="AB4326" s="82"/>
      <c r="AC4326" s="82"/>
      <c r="AD4326" s="82"/>
      <c r="AE4326" s="82"/>
      <c r="AF4326" s="82"/>
      <c r="AG4326" s="82"/>
      <c r="AH4326" s="82"/>
      <c r="AI4326" s="82"/>
      <c r="AJ4326" s="82"/>
      <c r="AK4326" s="82"/>
      <c r="AL4326" s="82"/>
      <c r="AM4326" s="82"/>
      <c r="AN4326" s="82"/>
      <c r="AO4326" s="82"/>
      <c r="AP4326" s="82"/>
      <c r="AQ4326" s="82"/>
      <c r="AR4326" s="82"/>
      <c r="AS4326" s="82"/>
      <c r="AT4326" s="82"/>
      <c r="AU4326" s="82"/>
      <c r="AV4326" s="82"/>
      <c r="AW4326" s="82" t="str">
        <f t="shared" si="1"/>
        <v/>
      </c>
      <c r="AX4326" s="83" t="str">
        <f t="array" ref="AX4326">IFERROR(DGET('SBV Import'!A:G,"SBV",{"RSC ID","Tier";B4326,A4326}))</f>
        <v/>
      </c>
      <c r="AY4326" s="82" t="str">
        <f t="shared" si="2"/>
        <v/>
      </c>
      <c r="AZ4326" s="82"/>
      <c r="BA4326" s="84" t="s">
        <v>152</v>
      </c>
      <c r="BB4326" s="84" t="str">
        <f>IFERROR(__xludf.DUMMYFUNCTION("iferror(if(A4326="""",,E4326&gt;=FILTER(Constants!$F$2:$F$10,Constants!$A$2:$A$10=A4326)))"),"")</f>
        <v/>
      </c>
    </row>
    <row r="4327">
      <c r="A4327" s="89"/>
      <c r="B4327" s="87"/>
      <c r="C4327" s="73"/>
      <c r="D4327" s="73"/>
      <c r="E4327" s="82"/>
      <c r="F4327" s="82"/>
      <c r="G4327" s="86"/>
      <c r="H4327" s="86"/>
      <c r="I4327" s="86"/>
      <c r="J4327" s="82"/>
      <c r="K4327" s="82"/>
      <c r="L4327" s="82"/>
      <c r="M4327" s="82"/>
      <c r="N4327" s="82"/>
      <c r="O4327" s="82"/>
      <c r="P4327" s="82"/>
      <c r="Q4327" s="82"/>
      <c r="R4327" s="82"/>
      <c r="S4327" s="82"/>
      <c r="T4327" s="82"/>
      <c r="U4327" s="82"/>
      <c r="V4327" s="82"/>
      <c r="W4327" s="82"/>
      <c r="X4327" s="82"/>
      <c r="Y4327" s="82"/>
      <c r="Z4327" s="82"/>
      <c r="AA4327" s="82"/>
      <c r="AB4327" s="82"/>
      <c r="AC4327" s="82"/>
      <c r="AD4327" s="82"/>
      <c r="AE4327" s="82"/>
      <c r="AF4327" s="82"/>
      <c r="AG4327" s="82"/>
      <c r="AH4327" s="82"/>
      <c r="AI4327" s="82"/>
      <c r="AJ4327" s="82"/>
      <c r="AK4327" s="82"/>
      <c r="AL4327" s="82"/>
      <c r="AM4327" s="82"/>
      <c r="AN4327" s="82"/>
      <c r="AO4327" s="82"/>
      <c r="AP4327" s="82"/>
      <c r="AQ4327" s="82"/>
      <c r="AR4327" s="82"/>
      <c r="AS4327" s="82"/>
      <c r="AT4327" s="82"/>
      <c r="AU4327" s="82"/>
      <c r="AV4327" s="82"/>
      <c r="AW4327" s="82" t="str">
        <f t="shared" si="1"/>
        <v/>
      </c>
      <c r="AX4327" s="83" t="str">
        <f t="array" ref="AX4327">IFERROR(DGET('SBV Import'!A:G,"SBV",{"RSC ID","Tier";B4327,A4327}))</f>
        <v/>
      </c>
      <c r="AY4327" s="82" t="str">
        <f t="shared" si="2"/>
        <v/>
      </c>
      <c r="AZ4327" s="82"/>
      <c r="BA4327" s="84" t="s">
        <v>152</v>
      </c>
      <c r="BB4327" s="84" t="str">
        <f>IFERROR(__xludf.DUMMYFUNCTION("iferror(if(A4327="""",,E4327&gt;=FILTER(Constants!$F$2:$F$10,Constants!$A$2:$A$10=A4327)))"),"")</f>
        <v/>
      </c>
    </row>
    <row r="4328">
      <c r="A4328" s="89"/>
      <c r="B4328" s="87"/>
      <c r="C4328" s="73"/>
      <c r="D4328" s="73"/>
      <c r="E4328" s="82"/>
      <c r="F4328" s="82"/>
      <c r="G4328" s="86"/>
      <c r="H4328" s="86"/>
      <c r="I4328" s="86"/>
      <c r="J4328" s="82"/>
      <c r="K4328" s="82"/>
      <c r="L4328" s="82"/>
      <c r="M4328" s="82"/>
      <c r="N4328" s="82"/>
      <c r="O4328" s="82"/>
      <c r="P4328" s="82"/>
      <c r="Q4328" s="82"/>
      <c r="R4328" s="82"/>
      <c r="S4328" s="82"/>
      <c r="T4328" s="82"/>
      <c r="U4328" s="82"/>
      <c r="V4328" s="82"/>
      <c r="W4328" s="82"/>
      <c r="X4328" s="82"/>
      <c r="Y4328" s="82"/>
      <c r="Z4328" s="82"/>
      <c r="AA4328" s="82"/>
      <c r="AB4328" s="82"/>
      <c r="AC4328" s="82"/>
      <c r="AD4328" s="82"/>
      <c r="AE4328" s="82"/>
      <c r="AF4328" s="82"/>
      <c r="AG4328" s="82"/>
      <c r="AH4328" s="82"/>
      <c r="AI4328" s="82"/>
      <c r="AJ4328" s="82"/>
      <c r="AK4328" s="82"/>
      <c r="AL4328" s="82"/>
      <c r="AM4328" s="82"/>
      <c r="AN4328" s="82"/>
      <c r="AO4328" s="82"/>
      <c r="AP4328" s="82"/>
      <c r="AQ4328" s="82"/>
      <c r="AR4328" s="82"/>
      <c r="AS4328" s="82"/>
      <c r="AT4328" s="82"/>
      <c r="AU4328" s="82"/>
      <c r="AV4328" s="82"/>
      <c r="AW4328" s="82" t="str">
        <f t="shared" si="1"/>
        <v/>
      </c>
      <c r="AX4328" s="83" t="str">
        <f t="array" ref="AX4328">IFERROR(DGET('SBV Import'!A:G,"SBV",{"RSC ID","Tier";B4328,A4328}))</f>
        <v/>
      </c>
      <c r="AY4328" s="82" t="str">
        <f t="shared" si="2"/>
        <v/>
      </c>
      <c r="AZ4328" s="82"/>
      <c r="BA4328" s="84" t="s">
        <v>152</v>
      </c>
      <c r="BB4328" s="84" t="str">
        <f>IFERROR(__xludf.DUMMYFUNCTION("iferror(if(A4328="""",,E4328&gt;=FILTER(Constants!$F$2:$F$10,Constants!$A$2:$A$10=A4328)))"),"")</f>
        <v/>
      </c>
    </row>
    <row r="4329">
      <c r="A4329" s="89"/>
      <c r="B4329" s="87"/>
      <c r="C4329" s="73"/>
      <c r="D4329" s="73"/>
      <c r="E4329" s="82"/>
      <c r="F4329" s="82"/>
      <c r="G4329" s="86"/>
      <c r="H4329" s="86"/>
      <c r="I4329" s="86"/>
      <c r="J4329" s="82"/>
      <c r="K4329" s="82"/>
      <c r="L4329" s="82"/>
      <c r="M4329" s="82"/>
      <c r="N4329" s="82"/>
      <c r="O4329" s="82"/>
      <c r="P4329" s="82"/>
      <c r="Q4329" s="82"/>
      <c r="R4329" s="82"/>
      <c r="S4329" s="82"/>
      <c r="T4329" s="82"/>
      <c r="U4329" s="82"/>
      <c r="V4329" s="82"/>
      <c r="W4329" s="82"/>
      <c r="X4329" s="82"/>
      <c r="Y4329" s="82"/>
      <c r="Z4329" s="82"/>
      <c r="AA4329" s="82"/>
      <c r="AB4329" s="82"/>
      <c r="AC4329" s="82"/>
      <c r="AD4329" s="82"/>
      <c r="AE4329" s="82"/>
      <c r="AF4329" s="82"/>
      <c r="AG4329" s="82"/>
      <c r="AH4329" s="82"/>
      <c r="AI4329" s="82"/>
      <c r="AJ4329" s="82"/>
      <c r="AK4329" s="82"/>
      <c r="AL4329" s="82"/>
      <c r="AM4329" s="82"/>
      <c r="AN4329" s="82"/>
      <c r="AO4329" s="82"/>
      <c r="AP4329" s="82"/>
      <c r="AQ4329" s="82"/>
      <c r="AR4329" s="82"/>
      <c r="AS4329" s="82"/>
      <c r="AT4329" s="82"/>
      <c r="AU4329" s="82"/>
      <c r="AV4329" s="82"/>
      <c r="AW4329" s="82" t="str">
        <f t="shared" si="1"/>
        <v/>
      </c>
      <c r="AX4329" s="83" t="str">
        <f t="array" ref="AX4329">IFERROR(DGET('SBV Import'!A:G,"SBV",{"RSC ID","Tier";B4329,A4329}))</f>
        <v/>
      </c>
      <c r="AY4329" s="82" t="str">
        <f t="shared" si="2"/>
        <v/>
      </c>
      <c r="AZ4329" s="82"/>
      <c r="BA4329" s="84" t="s">
        <v>152</v>
      </c>
      <c r="BB4329" s="84" t="str">
        <f>IFERROR(__xludf.DUMMYFUNCTION("iferror(if(A4329="""",,E4329&gt;=FILTER(Constants!$F$2:$F$10,Constants!$A$2:$A$10=A4329)))"),"")</f>
        <v/>
      </c>
    </row>
    <row r="4330">
      <c r="A4330" s="89"/>
      <c r="B4330" s="87"/>
      <c r="C4330" s="73"/>
      <c r="D4330" s="73"/>
      <c r="E4330" s="82"/>
      <c r="F4330" s="82"/>
      <c r="G4330" s="86"/>
      <c r="H4330" s="86"/>
      <c r="I4330" s="86"/>
      <c r="J4330" s="82"/>
      <c r="K4330" s="82"/>
      <c r="L4330" s="82"/>
      <c r="M4330" s="82"/>
      <c r="N4330" s="82"/>
      <c r="O4330" s="82"/>
      <c r="P4330" s="82"/>
      <c r="Q4330" s="82"/>
      <c r="R4330" s="82"/>
      <c r="S4330" s="82"/>
      <c r="T4330" s="82"/>
      <c r="U4330" s="82"/>
      <c r="V4330" s="82"/>
      <c r="W4330" s="82"/>
      <c r="X4330" s="82"/>
      <c r="Y4330" s="82"/>
      <c r="Z4330" s="82"/>
      <c r="AA4330" s="82"/>
      <c r="AB4330" s="82"/>
      <c r="AC4330" s="82"/>
      <c r="AD4330" s="82"/>
      <c r="AE4330" s="82"/>
      <c r="AF4330" s="82"/>
      <c r="AG4330" s="82"/>
      <c r="AH4330" s="82"/>
      <c r="AI4330" s="82"/>
      <c r="AJ4330" s="82"/>
      <c r="AK4330" s="82"/>
      <c r="AL4330" s="82"/>
      <c r="AM4330" s="82"/>
      <c r="AN4330" s="82"/>
      <c r="AO4330" s="82"/>
      <c r="AP4330" s="82"/>
      <c r="AQ4330" s="82"/>
      <c r="AR4330" s="82"/>
      <c r="AS4330" s="82"/>
      <c r="AT4330" s="82"/>
      <c r="AU4330" s="82"/>
      <c r="AV4330" s="82"/>
      <c r="AW4330" s="82" t="str">
        <f t="shared" si="1"/>
        <v/>
      </c>
      <c r="AX4330" s="83" t="str">
        <f t="array" ref="AX4330">IFERROR(DGET('SBV Import'!A:G,"SBV",{"RSC ID","Tier";B4330,A4330}))</f>
        <v/>
      </c>
      <c r="AY4330" s="82" t="str">
        <f t="shared" si="2"/>
        <v/>
      </c>
      <c r="AZ4330" s="82"/>
      <c r="BA4330" s="84" t="s">
        <v>152</v>
      </c>
      <c r="BB4330" s="84" t="str">
        <f>IFERROR(__xludf.DUMMYFUNCTION("iferror(if(A4330="""",,E4330&gt;=FILTER(Constants!$F$2:$F$10,Constants!$A$2:$A$10=A4330)))"),"")</f>
        <v/>
      </c>
    </row>
    <row r="4331">
      <c r="A4331" s="89"/>
      <c r="B4331" s="87"/>
      <c r="C4331" s="73"/>
      <c r="D4331" s="73"/>
      <c r="E4331" s="82"/>
      <c r="F4331" s="82"/>
      <c r="G4331" s="86"/>
      <c r="H4331" s="86"/>
      <c r="I4331" s="86"/>
      <c r="J4331" s="82"/>
      <c r="K4331" s="82"/>
      <c r="L4331" s="82"/>
      <c r="M4331" s="82"/>
      <c r="N4331" s="82"/>
      <c r="O4331" s="82"/>
      <c r="P4331" s="82"/>
      <c r="Q4331" s="82"/>
      <c r="R4331" s="82"/>
      <c r="S4331" s="82"/>
      <c r="T4331" s="82"/>
      <c r="U4331" s="82"/>
      <c r="V4331" s="82"/>
      <c r="W4331" s="82"/>
      <c r="X4331" s="82"/>
      <c r="Y4331" s="82"/>
      <c r="Z4331" s="82"/>
      <c r="AA4331" s="82"/>
      <c r="AB4331" s="82"/>
      <c r="AC4331" s="82"/>
      <c r="AD4331" s="82"/>
      <c r="AE4331" s="82"/>
      <c r="AF4331" s="82"/>
      <c r="AG4331" s="82"/>
      <c r="AH4331" s="82"/>
      <c r="AI4331" s="82"/>
      <c r="AJ4331" s="82"/>
      <c r="AK4331" s="82"/>
      <c r="AL4331" s="82"/>
      <c r="AM4331" s="82"/>
      <c r="AN4331" s="82"/>
      <c r="AO4331" s="82"/>
      <c r="AP4331" s="82"/>
      <c r="AQ4331" s="82"/>
      <c r="AR4331" s="82"/>
      <c r="AS4331" s="82"/>
      <c r="AT4331" s="82"/>
      <c r="AU4331" s="82"/>
      <c r="AV4331" s="82"/>
      <c r="AW4331" s="82" t="str">
        <f t="shared" si="1"/>
        <v/>
      </c>
      <c r="AX4331" s="83" t="str">
        <f t="array" ref="AX4331">IFERROR(DGET('SBV Import'!A:G,"SBV",{"RSC ID","Tier";B4331,A4331}))</f>
        <v/>
      </c>
      <c r="AY4331" s="82" t="str">
        <f t="shared" si="2"/>
        <v/>
      </c>
      <c r="AZ4331" s="82"/>
      <c r="BA4331" s="84" t="s">
        <v>152</v>
      </c>
      <c r="BB4331" s="84" t="str">
        <f>IFERROR(__xludf.DUMMYFUNCTION("iferror(if(A4331="""",,E4331&gt;=FILTER(Constants!$F$2:$F$10,Constants!$A$2:$A$10=A4331)))"),"")</f>
        <v/>
      </c>
    </row>
    <row r="4332">
      <c r="A4332" s="89"/>
      <c r="B4332" s="87"/>
      <c r="C4332" s="73"/>
      <c r="D4332" s="73"/>
      <c r="E4332" s="82"/>
      <c r="F4332" s="82"/>
      <c r="G4332" s="86"/>
      <c r="H4332" s="86"/>
      <c r="I4332" s="86"/>
      <c r="J4332" s="82"/>
      <c r="K4332" s="82"/>
      <c r="L4332" s="82"/>
      <c r="M4332" s="82"/>
      <c r="N4332" s="82"/>
      <c r="O4332" s="82"/>
      <c r="P4332" s="82"/>
      <c r="Q4332" s="82"/>
      <c r="R4332" s="82"/>
      <c r="S4332" s="82"/>
      <c r="T4332" s="82"/>
      <c r="U4332" s="82"/>
      <c r="V4332" s="82"/>
      <c r="W4332" s="82"/>
      <c r="X4332" s="82"/>
      <c r="Y4332" s="82"/>
      <c r="Z4332" s="82"/>
      <c r="AA4332" s="82"/>
      <c r="AB4332" s="82"/>
      <c r="AC4332" s="82"/>
      <c r="AD4332" s="82"/>
      <c r="AE4332" s="82"/>
      <c r="AF4332" s="82"/>
      <c r="AG4332" s="82"/>
      <c r="AH4332" s="82"/>
      <c r="AI4332" s="82"/>
      <c r="AJ4332" s="82"/>
      <c r="AK4332" s="82"/>
      <c r="AL4332" s="82"/>
      <c r="AM4332" s="82"/>
      <c r="AN4332" s="82"/>
      <c r="AO4332" s="82"/>
      <c r="AP4332" s="82"/>
      <c r="AQ4332" s="82"/>
      <c r="AR4332" s="82"/>
      <c r="AS4332" s="82"/>
      <c r="AT4332" s="82"/>
      <c r="AU4332" s="82"/>
      <c r="AV4332" s="82"/>
      <c r="AW4332" s="82" t="str">
        <f t="shared" si="1"/>
        <v/>
      </c>
      <c r="AX4332" s="83" t="str">
        <f t="array" ref="AX4332">IFERROR(DGET('SBV Import'!A:G,"SBV",{"RSC ID","Tier";B4332,A4332}))</f>
        <v/>
      </c>
      <c r="AY4332" s="82" t="str">
        <f t="shared" si="2"/>
        <v/>
      </c>
      <c r="AZ4332" s="82"/>
      <c r="BA4332" s="84" t="s">
        <v>152</v>
      </c>
      <c r="BB4332" s="84" t="str">
        <f>IFERROR(__xludf.DUMMYFUNCTION("iferror(if(A4332="""",,E4332&gt;=FILTER(Constants!$F$2:$F$10,Constants!$A$2:$A$10=A4332)))"),"")</f>
        <v/>
      </c>
    </row>
    <row r="4333">
      <c r="A4333" s="89"/>
      <c r="B4333" s="87"/>
      <c r="C4333" s="73"/>
      <c r="D4333" s="73"/>
      <c r="E4333" s="82"/>
      <c r="F4333" s="82"/>
      <c r="G4333" s="86"/>
      <c r="H4333" s="86"/>
      <c r="I4333" s="86"/>
      <c r="J4333" s="82"/>
      <c r="K4333" s="82"/>
      <c r="L4333" s="82"/>
      <c r="M4333" s="82"/>
      <c r="N4333" s="82"/>
      <c r="O4333" s="82"/>
      <c r="P4333" s="82"/>
      <c r="Q4333" s="82"/>
      <c r="R4333" s="82"/>
      <c r="S4333" s="82"/>
      <c r="T4333" s="82"/>
      <c r="U4333" s="82"/>
      <c r="V4333" s="82"/>
      <c r="W4333" s="82"/>
      <c r="X4333" s="82"/>
      <c r="Y4333" s="82"/>
      <c r="Z4333" s="82"/>
      <c r="AA4333" s="82"/>
      <c r="AB4333" s="82"/>
      <c r="AC4333" s="82"/>
      <c r="AD4333" s="82"/>
      <c r="AE4333" s="82"/>
      <c r="AF4333" s="82"/>
      <c r="AG4333" s="82"/>
      <c r="AH4333" s="82"/>
      <c r="AI4333" s="82"/>
      <c r="AJ4333" s="82"/>
      <c r="AK4333" s="82"/>
      <c r="AL4333" s="82"/>
      <c r="AM4333" s="82"/>
      <c r="AN4333" s="82"/>
      <c r="AO4333" s="82"/>
      <c r="AP4333" s="82"/>
      <c r="AQ4333" s="82"/>
      <c r="AR4333" s="82"/>
      <c r="AS4333" s="82"/>
      <c r="AT4333" s="82"/>
      <c r="AU4333" s="82"/>
      <c r="AV4333" s="82"/>
      <c r="AW4333" s="82" t="str">
        <f t="shared" si="1"/>
        <v/>
      </c>
      <c r="AX4333" s="83" t="str">
        <f t="array" ref="AX4333">IFERROR(DGET('SBV Import'!A:G,"SBV",{"RSC ID","Tier";B4333,A4333}))</f>
        <v/>
      </c>
      <c r="AY4333" s="82" t="str">
        <f t="shared" si="2"/>
        <v/>
      </c>
      <c r="AZ4333" s="82"/>
      <c r="BA4333" s="84" t="s">
        <v>152</v>
      </c>
      <c r="BB4333" s="84" t="str">
        <f>IFERROR(__xludf.DUMMYFUNCTION("iferror(if(A4333="""",,E4333&gt;=FILTER(Constants!$F$2:$F$10,Constants!$A$2:$A$10=A4333)))"),"")</f>
        <v/>
      </c>
    </row>
    <row r="4334">
      <c r="A4334" s="89"/>
      <c r="B4334" s="87"/>
      <c r="C4334" s="73"/>
      <c r="D4334" s="73"/>
      <c r="E4334" s="82"/>
      <c r="F4334" s="82"/>
      <c r="G4334" s="86"/>
      <c r="H4334" s="86"/>
      <c r="I4334" s="86"/>
      <c r="J4334" s="82"/>
      <c r="K4334" s="82"/>
      <c r="L4334" s="82"/>
      <c r="M4334" s="82"/>
      <c r="N4334" s="82"/>
      <c r="O4334" s="82"/>
      <c r="P4334" s="82"/>
      <c r="Q4334" s="82"/>
      <c r="R4334" s="82"/>
      <c r="S4334" s="82"/>
      <c r="T4334" s="82"/>
      <c r="U4334" s="82"/>
      <c r="V4334" s="82"/>
      <c r="W4334" s="82"/>
      <c r="X4334" s="82"/>
      <c r="Y4334" s="82"/>
      <c r="Z4334" s="82"/>
      <c r="AA4334" s="82"/>
      <c r="AB4334" s="82"/>
      <c r="AC4334" s="82"/>
      <c r="AD4334" s="82"/>
      <c r="AE4334" s="82"/>
      <c r="AF4334" s="82"/>
      <c r="AG4334" s="82"/>
      <c r="AH4334" s="82"/>
      <c r="AI4334" s="82"/>
      <c r="AJ4334" s="82"/>
      <c r="AK4334" s="82"/>
      <c r="AL4334" s="82"/>
      <c r="AM4334" s="82"/>
      <c r="AN4334" s="82"/>
      <c r="AO4334" s="82"/>
      <c r="AP4334" s="82"/>
      <c r="AQ4334" s="82"/>
      <c r="AR4334" s="82"/>
      <c r="AS4334" s="82"/>
      <c r="AT4334" s="82"/>
      <c r="AU4334" s="82"/>
      <c r="AV4334" s="82"/>
      <c r="AW4334" s="82" t="str">
        <f t="shared" si="1"/>
        <v/>
      </c>
      <c r="AX4334" s="83" t="str">
        <f t="array" ref="AX4334">IFERROR(DGET('SBV Import'!A:G,"SBV",{"RSC ID","Tier";B4334,A4334}))</f>
        <v/>
      </c>
      <c r="AY4334" s="82" t="str">
        <f t="shared" si="2"/>
        <v/>
      </c>
      <c r="AZ4334" s="82"/>
      <c r="BA4334" s="84" t="s">
        <v>152</v>
      </c>
      <c r="BB4334" s="84" t="str">
        <f>IFERROR(__xludf.DUMMYFUNCTION("iferror(if(A4334="""",,E4334&gt;=FILTER(Constants!$F$2:$F$10,Constants!$A$2:$A$10=A4334)))"),"")</f>
        <v/>
      </c>
    </row>
    <row r="4335">
      <c r="A4335" s="89"/>
      <c r="B4335" s="87"/>
      <c r="C4335" s="73"/>
      <c r="D4335" s="73"/>
      <c r="E4335" s="82"/>
      <c r="F4335" s="82"/>
      <c r="G4335" s="86"/>
      <c r="H4335" s="86"/>
      <c r="I4335" s="86"/>
      <c r="J4335" s="82"/>
      <c r="K4335" s="82"/>
      <c r="L4335" s="82"/>
      <c r="M4335" s="82"/>
      <c r="N4335" s="82"/>
      <c r="O4335" s="82"/>
      <c r="P4335" s="82"/>
      <c r="Q4335" s="82"/>
      <c r="R4335" s="82"/>
      <c r="S4335" s="82"/>
      <c r="T4335" s="82"/>
      <c r="U4335" s="82"/>
      <c r="V4335" s="82"/>
      <c r="W4335" s="82"/>
      <c r="X4335" s="82"/>
      <c r="Y4335" s="82"/>
      <c r="Z4335" s="82"/>
      <c r="AA4335" s="82"/>
      <c r="AB4335" s="82"/>
      <c r="AC4335" s="82"/>
      <c r="AD4335" s="82"/>
      <c r="AE4335" s="82"/>
      <c r="AF4335" s="82"/>
      <c r="AG4335" s="82"/>
      <c r="AH4335" s="82"/>
      <c r="AI4335" s="82"/>
      <c r="AJ4335" s="82"/>
      <c r="AK4335" s="82"/>
      <c r="AL4335" s="82"/>
      <c r="AM4335" s="82"/>
      <c r="AN4335" s="82"/>
      <c r="AO4335" s="82"/>
      <c r="AP4335" s="82"/>
      <c r="AQ4335" s="82"/>
      <c r="AR4335" s="82"/>
      <c r="AS4335" s="82"/>
      <c r="AT4335" s="82"/>
      <c r="AU4335" s="82"/>
      <c r="AV4335" s="82"/>
      <c r="AW4335" s="82" t="str">
        <f t="shared" si="1"/>
        <v/>
      </c>
      <c r="AX4335" s="83" t="str">
        <f t="array" ref="AX4335">IFERROR(DGET('SBV Import'!A:G,"SBV",{"RSC ID","Tier";B4335,A4335}))</f>
        <v/>
      </c>
      <c r="AY4335" s="82" t="str">
        <f t="shared" si="2"/>
        <v/>
      </c>
      <c r="AZ4335" s="82"/>
      <c r="BA4335" s="84" t="s">
        <v>152</v>
      </c>
      <c r="BB4335" s="84" t="str">
        <f>IFERROR(__xludf.DUMMYFUNCTION("iferror(if(A4335="""",,E4335&gt;=FILTER(Constants!$F$2:$F$10,Constants!$A$2:$A$10=A4335)))"),"")</f>
        <v/>
      </c>
    </row>
    <row r="4336">
      <c r="A4336" s="89"/>
      <c r="B4336" s="87"/>
      <c r="C4336" s="73"/>
      <c r="D4336" s="73"/>
      <c r="E4336" s="82"/>
      <c r="F4336" s="82"/>
      <c r="G4336" s="86"/>
      <c r="H4336" s="86"/>
      <c r="I4336" s="86"/>
      <c r="J4336" s="82"/>
      <c r="K4336" s="82"/>
      <c r="L4336" s="82"/>
      <c r="M4336" s="82"/>
      <c r="N4336" s="82"/>
      <c r="O4336" s="82"/>
      <c r="P4336" s="82"/>
      <c r="Q4336" s="82"/>
      <c r="R4336" s="82"/>
      <c r="S4336" s="82"/>
      <c r="T4336" s="82"/>
      <c r="U4336" s="82"/>
      <c r="V4336" s="82"/>
      <c r="W4336" s="82"/>
      <c r="X4336" s="82"/>
      <c r="Y4336" s="82"/>
      <c r="Z4336" s="82"/>
      <c r="AA4336" s="82"/>
      <c r="AB4336" s="82"/>
      <c r="AC4336" s="82"/>
      <c r="AD4336" s="82"/>
      <c r="AE4336" s="82"/>
      <c r="AF4336" s="82"/>
      <c r="AG4336" s="82"/>
      <c r="AH4336" s="82"/>
      <c r="AI4336" s="82"/>
      <c r="AJ4336" s="82"/>
      <c r="AK4336" s="82"/>
      <c r="AL4336" s="82"/>
      <c r="AM4336" s="82"/>
      <c r="AN4336" s="82"/>
      <c r="AO4336" s="82"/>
      <c r="AP4336" s="82"/>
      <c r="AQ4336" s="82"/>
      <c r="AR4336" s="82"/>
      <c r="AS4336" s="82"/>
      <c r="AT4336" s="82"/>
      <c r="AU4336" s="82"/>
      <c r="AV4336" s="82"/>
      <c r="AW4336" s="82" t="str">
        <f t="shared" si="1"/>
        <v/>
      </c>
      <c r="AX4336" s="83" t="str">
        <f t="array" ref="AX4336">IFERROR(DGET('SBV Import'!A:G,"SBV",{"RSC ID","Tier";B4336,A4336}))</f>
        <v/>
      </c>
      <c r="AY4336" s="82" t="str">
        <f t="shared" si="2"/>
        <v/>
      </c>
      <c r="AZ4336" s="82"/>
      <c r="BA4336" s="84" t="s">
        <v>152</v>
      </c>
      <c r="BB4336" s="84" t="str">
        <f>IFERROR(__xludf.DUMMYFUNCTION("iferror(if(A4336="""",,E4336&gt;=FILTER(Constants!$F$2:$F$10,Constants!$A$2:$A$10=A4336)))"),"")</f>
        <v/>
      </c>
    </row>
    <row r="4337">
      <c r="A4337" s="89"/>
      <c r="B4337" s="87"/>
      <c r="C4337" s="73"/>
      <c r="D4337" s="73"/>
      <c r="E4337" s="82"/>
      <c r="F4337" s="82"/>
      <c r="G4337" s="86"/>
      <c r="H4337" s="86"/>
      <c r="I4337" s="86"/>
      <c r="J4337" s="82"/>
      <c r="K4337" s="82"/>
      <c r="L4337" s="82"/>
      <c r="M4337" s="82"/>
      <c r="N4337" s="82"/>
      <c r="O4337" s="82"/>
      <c r="P4337" s="82"/>
      <c r="Q4337" s="82"/>
      <c r="R4337" s="82"/>
      <c r="S4337" s="82"/>
      <c r="T4337" s="82"/>
      <c r="U4337" s="82"/>
      <c r="V4337" s="82"/>
      <c r="W4337" s="82"/>
      <c r="X4337" s="82"/>
      <c r="Y4337" s="82"/>
      <c r="Z4337" s="82"/>
      <c r="AA4337" s="82"/>
      <c r="AB4337" s="82"/>
      <c r="AC4337" s="82"/>
      <c r="AD4337" s="82"/>
      <c r="AE4337" s="82"/>
      <c r="AF4337" s="82"/>
      <c r="AG4337" s="82"/>
      <c r="AH4337" s="82"/>
      <c r="AI4337" s="82"/>
      <c r="AJ4337" s="82"/>
      <c r="AK4337" s="82"/>
      <c r="AL4337" s="82"/>
      <c r="AM4337" s="82"/>
      <c r="AN4337" s="82"/>
      <c r="AO4337" s="82"/>
      <c r="AP4337" s="82"/>
      <c r="AQ4337" s="82"/>
      <c r="AR4337" s="82"/>
      <c r="AS4337" s="82"/>
      <c r="AT4337" s="82"/>
      <c r="AU4337" s="82"/>
      <c r="AV4337" s="82"/>
      <c r="AW4337" s="82" t="str">
        <f t="shared" si="1"/>
        <v/>
      </c>
      <c r="AX4337" s="83" t="str">
        <f t="array" ref="AX4337">IFERROR(DGET('SBV Import'!A:G,"SBV",{"RSC ID","Tier";B4337,A4337}))</f>
        <v/>
      </c>
      <c r="AY4337" s="82" t="str">
        <f t="shared" si="2"/>
        <v/>
      </c>
      <c r="AZ4337" s="82"/>
      <c r="BA4337" s="84" t="s">
        <v>152</v>
      </c>
      <c r="BB4337" s="84" t="str">
        <f>IFERROR(__xludf.DUMMYFUNCTION("iferror(if(A4337="""",,E4337&gt;=FILTER(Constants!$F$2:$F$10,Constants!$A$2:$A$10=A4337)))"),"")</f>
        <v/>
      </c>
    </row>
    <row r="4338">
      <c r="A4338" s="89"/>
      <c r="B4338" s="87"/>
      <c r="C4338" s="73"/>
      <c r="D4338" s="73"/>
      <c r="E4338" s="82"/>
      <c r="F4338" s="82"/>
      <c r="G4338" s="86"/>
      <c r="H4338" s="86"/>
      <c r="I4338" s="86"/>
      <c r="J4338" s="82"/>
      <c r="K4338" s="82"/>
      <c r="L4338" s="82"/>
      <c r="M4338" s="82"/>
      <c r="N4338" s="82"/>
      <c r="O4338" s="82"/>
      <c r="P4338" s="82"/>
      <c r="Q4338" s="82"/>
      <c r="R4338" s="82"/>
      <c r="S4338" s="82"/>
      <c r="T4338" s="82"/>
      <c r="U4338" s="82"/>
      <c r="V4338" s="82"/>
      <c r="W4338" s="82"/>
      <c r="X4338" s="82"/>
      <c r="Y4338" s="82"/>
      <c r="Z4338" s="82"/>
      <c r="AA4338" s="82"/>
      <c r="AB4338" s="82"/>
      <c r="AC4338" s="82"/>
      <c r="AD4338" s="82"/>
      <c r="AE4338" s="82"/>
      <c r="AF4338" s="82"/>
      <c r="AG4338" s="82"/>
      <c r="AH4338" s="82"/>
      <c r="AI4338" s="82"/>
      <c r="AJ4338" s="82"/>
      <c r="AK4338" s="82"/>
      <c r="AL4338" s="82"/>
      <c r="AM4338" s="82"/>
      <c r="AN4338" s="82"/>
      <c r="AO4338" s="82"/>
      <c r="AP4338" s="82"/>
      <c r="AQ4338" s="82"/>
      <c r="AR4338" s="82"/>
      <c r="AS4338" s="82"/>
      <c r="AT4338" s="82"/>
      <c r="AU4338" s="82"/>
      <c r="AV4338" s="82"/>
      <c r="AW4338" s="82" t="str">
        <f t="shared" si="1"/>
        <v/>
      </c>
      <c r="AX4338" s="83" t="str">
        <f t="array" ref="AX4338">IFERROR(DGET('SBV Import'!A:G,"SBV",{"RSC ID","Tier";B4338,A4338}))</f>
        <v/>
      </c>
      <c r="AY4338" s="82" t="str">
        <f t="shared" si="2"/>
        <v/>
      </c>
      <c r="AZ4338" s="82"/>
      <c r="BA4338" s="84" t="s">
        <v>152</v>
      </c>
      <c r="BB4338" s="84" t="str">
        <f>IFERROR(__xludf.DUMMYFUNCTION("iferror(if(A4338="""",,E4338&gt;=FILTER(Constants!$F$2:$F$10,Constants!$A$2:$A$10=A4338)))"),"")</f>
        <v/>
      </c>
    </row>
    <row r="4339">
      <c r="A4339" s="89"/>
      <c r="B4339" s="87"/>
      <c r="C4339" s="73"/>
      <c r="D4339" s="73"/>
      <c r="E4339" s="82"/>
      <c r="F4339" s="82"/>
      <c r="G4339" s="86"/>
      <c r="H4339" s="86"/>
      <c r="I4339" s="86"/>
      <c r="J4339" s="82"/>
      <c r="K4339" s="82"/>
      <c r="L4339" s="82"/>
      <c r="M4339" s="82"/>
      <c r="N4339" s="82"/>
      <c r="O4339" s="82"/>
      <c r="P4339" s="82"/>
      <c r="Q4339" s="82"/>
      <c r="R4339" s="82"/>
      <c r="S4339" s="82"/>
      <c r="T4339" s="82"/>
      <c r="U4339" s="82"/>
      <c r="V4339" s="82"/>
      <c r="W4339" s="82"/>
      <c r="X4339" s="82"/>
      <c r="Y4339" s="82"/>
      <c r="Z4339" s="82"/>
      <c r="AA4339" s="82"/>
      <c r="AB4339" s="82"/>
      <c r="AC4339" s="82"/>
      <c r="AD4339" s="82"/>
      <c r="AE4339" s="82"/>
      <c r="AF4339" s="82"/>
      <c r="AG4339" s="82"/>
      <c r="AH4339" s="82"/>
      <c r="AI4339" s="82"/>
      <c r="AJ4339" s="82"/>
      <c r="AK4339" s="82"/>
      <c r="AL4339" s="82"/>
      <c r="AM4339" s="82"/>
      <c r="AN4339" s="82"/>
      <c r="AO4339" s="82"/>
      <c r="AP4339" s="82"/>
      <c r="AQ4339" s="82"/>
      <c r="AR4339" s="82"/>
      <c r="AS4339" s="82"/>
      <c r="AT4339" s="82"/>
      <c r="AU4339" s="82"/>
      <c r="AV4339" s="82"/>
      <c r="AW4339" s="82" t="str">
        <f t="shared" si="1"/>
        <v/>
      </c>
      <c r="AX4339" s="83" t="str">
        <f t="array" ref="AX4339">IFERROR(DGET('SBV Import'!A:G,"SBV",{"RSC ID","Tier";B4339,A4339}))</f>
        <v/>
      </c>
      <c r="AY4339" s="82" t="str">
        <f t="shared" si="2"/>
        <v/>
      </c>
      <c r="AZ4339" s="82"/>
      <c r="BA4339" s="84" t="s">
        <v>152</v>
      </c>
      <c r="BB4339" s="84" t="str">
        <f>IFERROR(__xludf.DUMMYFUNCTION("iferror(if(A4339="""",,E4339&gt;=FILTER(Constants!$F$2:$F$10,Constants!$A$2:$A$10=A4339)))"),"")</f>
        <v/>
      </c>
    </row>
    <row r="4340">
      <c r="A4340" s="89"/>
      <c r="B4340" s="87"/>
      <c r="C4340" s="73"/>
      <c r="D4340" s="73"/>
      <c r="E4340" s="82"/>
      <c r="F4340" s="82"/>
      <c r="G4340" s="86"/>
      <c r="H4340" s="86"/>
      <c r="I4340" s="86"/>
      <c r="J4340" s="82"/>
      <c r="K4340" s="82"/>
      <c r="L4340" s="82"/>
      <c r="M4340" s="82"/>
      <c r="N4340" s="82"/>
      <c r="O4340" s="82"/>
      <c r="P4340" s="82"/>
      <c r="Q4340" s="82"/>
      <c r="R4340" s="82"/>
      <c r="S4340" s="82"/>
      <c r="T4340" s="82"/>
      <c r="U4340" s="82"/>
      <c r="V4340" s="82"/>
      <c r="W4340" s="82"/>
      <c r="X4340" s="82"/>
      <c r="Y4340" s="82"/>
      <c r="Z4340" s="82"/>
      <c r="AA4340" s="82"/>
      <c r="AB4340" s="82"/>
      <c r="AC4340" s="82"/>
      <c r="AD4340" s="82"/>
      <c r="AE4340" s="82"/>
      <c r="AF4340" s="82"/>
      <c r="AG4340" s="82"/>
      <c r="AH4340" s="82"/>
      <c r="AI4340" s="82"/>
      <c r="AJ4340" s="82"/>
      <c r="AK4340" s="82"/>
      <c r="AL4340" s="82"/>
      <c r="AM4340" s="82"/>
      <c r="AN4340" s="82"/>
      <c r="AO4340" s="82"/>
      <c r="AP4340" s="82"/>
      <c r="AQ4340" s="82"/>
      <c r="AR4340" s="82"/>
      <c r="AS4340" s="82"/>
      <c r="AT4340" s="82"/>
      <c r="AU4340" s="82"/>
      <c r="AV4340" s="82"/>
      <c r="AW4340" s="82" t="str">
        <f t="shared" si="1"/>
        <v/>
      </c>
      <c r="AX4340" s="83" t="str">
        <f t="array" ref="AX4340">IFERROR(DGET('SBV Import'!A:G,"SBV",{"RSC ID","Tier";B4340,A4340}))</f>
        <v/>
      </c>
      <c r="AY4340" s="82" t="str">
        <f t="shared" si="2"/>
        <v/>
      </c>
      <c r="AZ4340" s="82"/>
      <c r="BA4340" s="84" t="s">
        <v>152</v>
      </c>
      <c r="BB4340" s="84" t="str">
        <f>IFERROR(__xludf.DUMMYFUNCTION("iferror(if(A4340="""",,E4340&gt;=FILTER(Constants!$F$2:$F$10,Constants!$A$2:$A$10=A4340)))"),"")</f>
        <v/>
      </c>
    </row>
    <row r="4341">
      <c r="A4341" s="89"/>
      <c r="B4341" s="87"/>
      <c r="C4341" s="73"/>
      <c r="D4341" s="73"/>
      <c r="E4341" s="82"/>
      <c r="F4341" s="82"/>
      <c r="G4341" s="86"/>
      <c r="H4341" s="86"/>
      <c r="I4341" s="86"/>
      <c r="J4341" s="82"/>
      <c r="K4341" s="82"/>
      <c r="L4341" s="82"/>
      <c r="M4341" s="82"/>
      <c r="N4341" s="82"/>
      <c r="O4341" s="82"/>
      <c r="P4341" s="82"/>
      <c r="Q4341" s="82"/>
      <c r="R4341" s="82"/>
      <c r="S4341" s="82"/>
      <c r="T4341" s="82"/>
      <c r="U4341" s="82"/>
      <c r="V4341" s="82"/>
      <c r="W4341" s="82"/>
      <c r="X4341" s="82"/>
      <c r="Y4341" s="82"/>
      <c r="Z4341" s="82"/>
      <c r="AA4341" s="82"/>
      <c r="AB4341" s="82"/>
      <c r="AC4341" s="82"/>
      <c r="AD4341" s="82"/>
      <c r="AE4341" s="82"/>
      <c r="AF4341" s="82"/>
      <c r="AG4341" s="82"/>
      <c r="AH4341" s="82"/>
      <c r="AI4341" s="82"/>
      <c r="AJ4341" s="82"/>
      <c r="AK4341" s="82"/>
      <c r="AL4341" s="82"/>
      <c r="AM4341" s="82"/>
      <c r="AN4341" s="82"/>
      <c r="AO4341" s="82"/>
      <c r="AP4341" s="82"/>
      <c r="AQ4341" s="82"/>
      <c r="AR4341" s="82"/>
      <c r="AS4341" s="82"/>
      <c r="AT4341" s="82"/>
      <c r="AU4341" s="82"/>
      <c r="AV4341" s="82"/>
      <c r="AW4341" s="82" t="str">
        <f t="shared" si="1"/>
        <v/>
      </c>
      <c r="AX4341" s="83" t="str">
        <f t="array" ref="AX4341">IFERROR(DGET('SBV Import'!A:G,"SBV",{"RSC ID","Tier";B4341,A4341}))</f>
        <v/>
      </c>
      <c r="AY4341" s="82" t="str">
        <f t="shared" si="2"/>
        <v/>
      </c>
      <c r="AZ4341" s="82"/>
      <c r="BA4341" s="84" t="s">
        <v>152</v>
      </c>
      <c r="BB4341" s="84" t="str">
        <f>IFERROR(__xludf.DUMMYFUNCTION("iferror(if(A4341="""",,E4341&gt;=FILTER(Constants!$F$2:$F$10,Constants!$A$2:$A$10=A4341)))"),"")</f>
        <v/>
      </c>
    </row>
    <row r="4342">
      <c r="A4342" s="89"/>
      <c r="B4342" s="87"/>
      <c r="C4342" s="73"/>
      <c r="D4342" s="73"/>
      <c r="E4342" s="82"/>
      <c r="F4342" s="82"/>
      <c r="G4342" s="86"/>
      <c r="H4342" s="86"/>
      <c r="I4342" s="86"/>
      <c r="J4342" s="82"/>
      <c r="K4342" s="82"/>
      <c r="L4342" s="82"/>
      <c r="M4342" s="82"/>
      <c r="N4342" s="82"/>
      <c r="O4342" s="82"/>
      <c r="P4342" s="82"/>
      <c r="Q4342" s="82"/>
      <c r="R4342" s="82"/>
      <c r="S4342" s="82"/>
      <c r="T4342" s="82"/>
      <c r="U4342" s="82"/>
      <c r="V4342" s="82"/>
      <c r="W4342" s="82"/>
      <c r="X4342" s="82"/>
      <c r="Y4342" s="82"/>
      <c r="Z4342" s="82"/>
      <c r="AA4342" s="82"/>
      <c r="AB4342" s="82"/>
      <c r="AC4342" s="82"/>
      <c r="AD4342" s="82"/>
      <c r="AE4342" s="82"/>
      <c r="AF4342" s="82"/>
      <c r="AG4342" s="82"/>
      <c r="AH4342" s="82"/>
      <c r="AI4342" s="82"/>
      <c r="AJ4342" s="82"/>
      <c r="AK4342" s="82"/>
      <c r="AL4342" s="82"/>
      <c r="AM4342" s="82"/>
      <c r="AN4342" s="82"/>
      <c r="AO4342" s="82"/>
      <c r="AP4342" s="82"/>
      <c r="AQ4342" s="82"/>
      <c r="AR4342" s="82"/>
      <c r="AS4342" s="82"/>
      <c r="AT4342" s="82"/>
      <c r="AU4342" s="82"/>
      <c r="AV4342" s="82"/>
      <c r="AW4342" s="82" t="str">
        <f t="shared" si="1"/>
        <v/>
      </c>
      <c r="AX4342" s="83" t="str">
        <f t="array" ref="AX4342">IFERROR(DGET('SBV Import'!A:G,"SBV",{"RSC ID","Tier";B4342,A4342}))</f>
        <v/>
      </c>
      <c r="AY4342" s="82" t="str">
        <f t="shared" si="2"/>
        <v/>
      </c>
      <c r="AZ4342" s="82"/>
      <c r="BA4342" s="84" t="s">
        <v>152</v>
      </c>
      <c r="BB4342" s="84" t="str">
        <f>IFERROR(__xludf.DUMMYFUNCTION("iferror(if(A4342="""",,E4342&gt;=FILTER(Constants!$F$2:$F$10,Constants!$A$2:$A$10=A4342)))"),"")</f>
        <v/>
      </c>
    </row>
    <row r="4343">
      <c r="A4343" s="89"/>
      <c r="B4343" s="87"/>
      <c r="C4343" s="73"/>
      <c r="D4343" s="73"/>
      <c r="E4343" s="82"/>
      <c r="F4343" s="82"/>
      <c r="G4343" s="86"/>
      <c r="H4343" s="86"/>
      <c r="I4343" s="86"/>
      <c r="J4343" s="82"/>
      <c r="K4343" s="82"/>
      <c r="L4343" s="82"/>
      <c r="M4343" s="82"/>
      <c r="N4343" s="82"/>
      <c r="O4343" s="82"/>
      <c r="P4343" s="82"/>
      <c r="Q4343" s="82"/>
      <c r="R4343" s="82"/>
      <c r="S4343" s="82"/>
      <c r="T4343" s="82"/>
      <c r="U4343" s="82"/>
      <c r="V4343" s="82"/>
      <c r="W4343" s="82"/>
      <c r="X4343" s="82"/>
      <c r="Y4343" s="82"/>
      <c r="Z4343" s="82"/>
      <c r="AA4343" s="82"/>
      <c r="AB4343" s="82"/>
      <c r="AC4343" s="82"/>
      <c r="AD4343" s="82"/>
      <c r="AE4343" s="82"/>
      <c r="AF4343" s="82"/>
      <c r="AG4343" s="82"/>
      <c r="AH4343" s="82"/>
      <c r="AI4343" s="82"/>
      <c r="AJ4343" s="82"/>
      <c r="AK4343" s="82"/>
      <c r="AL4343" s="82"/>
      <c r="AM4343" s="82"/>
      <c r="AN4343" s="82"/>
      <c r="AO4343" s="82"/>
      <c r="AP4343" s="82"/>
      <c r="AQ4343" s="82"/>
      <c r="AR4343" s="82"/>
      <c r="AS4343" s="82"/>
      <c r="AT4343" s="82"/>
      <c r="AU4343" s="82"/>
      <c r="AV4343" s="82"/>
      <c r="AW4343" s="82" t="str">
        <f t="shared" si="1"/>
        <v/>
      </c>
      <c r="AX4343" s="83" t="str">
        <f t="array" ref="AX4343">IFERROR(DGET('SBV Import'!A:G,"SBV",{"RSC ID","Tier";B4343,A4343}))</f>
        <v/>
      </c>
      <c r="AY4343" s="82" t="str">
        <f t="shared" si="2"/>
        <v/>
      </c>
      <c r="AZ4343" s="82"/>
      <c r="BA4343" s="84" t="s">
        <v>152</v>
      </c>
      <c r="BB4343" s="84" t="str">
        <f>IFERROR(__xludf.DUMMYFUNCTION("iferror(if(A4343="""",,E4343&gt;=FILTER(Constants!$F$2:$F$10,Constants!$A$2:$A$10=A4343)))"),"")</f>
        <v/>
      </c>
    </row>
    <row r="4344">
      <c r="A4344" s="89"/>
      <c r="B4344" s="87"/>
      <c r="C4344" s="73"/>
      <c r="D4344" s="73"/>
      <c r="E4344" s="82"/>
      <c r="F4344" s="82"/>
      <c r="G4344" s="86"/>
      <c r="H4344" s="86"/>
      <c r="I4344" s="86"/>
      <c r="J4344" s="82"/>
      <c r="K4344" s="82"/>
      <c r="L4344" s="82"/>
      <c r="M4344" s="82"/>
      <c r="N4344" s="82"/>
      <c r="O4344" s="82"/>
      <c r="P4344" s="82"/>
      <c r="Q4344" s="82"/>
      <c r="R4344" s="82"/>
      <c r="S4344" s="82"/>
      <c r="T4344" s="82"/>
      <c r="U4344" s="82"/>
      <c r="V4344" s="82"/>
      <c r="W4344" s="82"/>
      <c r="X4344" s="82"/>
      <c r="Y4344" s="82"/>
      <c r="Z4344" s="82"/>
      <c r="AA4344" s="82"/>
      <c r="AB4344" s="82"/>
      <c r="AC4344" s="82"/>
      <c r="AD4344" s="82"/>
      <c r="AE4344" s="82"/>
      <c r="AF4344" s="82"/>
      <c r="AG4344" s="82"/>
      <c r="AH4344" s="82"/>
      <c r="AI4344" s="82"/>
      <c r="AJ4344" s="82"/>
      <c r="AK4344" s="82"/>
      <c r="AL4344" s="82"/>
      <c r="AM4344" s="82"/>
      <c r="AN4344" s="82"/>
      <c r="AO4344" s="82"/>
      <c r="AP4344" s="82"/>
      <c r="AQ4344" s="82"/>
      <c r="AR4344" s="82"/>
      <c r="AS4344" s="82"/>
      <c r="AT4344" s="82"/>
      <c r="AU4344" s="82"/>
      <c r="AV4344" s="82"/>
      <c r="AW4344" s="82" t="str">
        <f t="shared" si="1"/>
        <v/>
      </c>
      <c r="AX4344" s="83" t="str">
        <f t="array" ref="AX4344">IFERROR(DGET('SBV Import'!A:G,"SBV",{"RSC ID","Tier";B4344,A4344}))</f>
        <v/>
      </c>
      <c r="AY4344" s="82" t="str">
        <f t="shared" si="2"/>
        <v/>
      </c>
      <c r="AZ4344" s="82"/>
      <c r="BA4344" s="84" t="s">
        <v>152</v>
      </c>
      <c r="BB4344" s="84" t="str">
        <f>IFERROR(__xludf.DUMMYFUNCTION("iferror(if(A4344="""",,E4344&gt;=FILTER(Constants!$F$2:$F$10,Constants!$A$2:$A$10=A4344)))"),"")</f>
        <v/>
      </c>
    </row>
    <row r="4345">
      <c r="A4345" s="89"/>
      <c r="B4345" s="87"/>
      <c r="C4345" s="73"/>
      <c r="D4345" s="73"/>
      <c r="E4345" s="82"/>
      <c r="F4345" s="82"/>
      <c r="G4345" s="86"/>
      <c r="H4345" s="86"/>
      <c r="I4345" s="86"/>
      <c r="J4345" s="82"/>
      <c r="K4345" s="82"/>
      <c r="L4345" s="82"/>
      <c r="M4345" s="82"/>
      <c r="N4345" s="82"/>
      <c r="O4345" s="82"/>
      <c r="P4345" s="82"/>
      <c r="Q4345" s="82"/>
      <c r="R4345" s="82"/>
      <c r="S4345" s="82"/>
      <c r="T4345" s="82"/>
      <c r="U4345" s="82"/>
      <c r="V4345" s="82"/>
      <c r="W4345" s="82"/>
      <c r="X4345" s="82"/>
      <c r="Y4345" s="82"/>
      <c r="Z4345" s="82"/>
      <c r="AA4345" s="82"/>
      <c r="AB4345" s="82"/>
      <c r="AC4345" s="82"/>
      <c r="AD4345" s="82"/>
      <c r="AE4345" s="82"/>
      <c r="AF4345" s="82"/>
      <c r="AG4345" s="82"/>
      <c r="AH4345" s="82"/>
      <c r="AI4345" s="82"/>
      <c r="AJ4345" s="82"/>
      <c r="AK4345" s="82"/>
      <c r="AL4345" s="82"/>
      <c r="AM4345" s="82"/>
      <c r="AN4345" s="82"/>
      <c r="AO4345" s="82"/>
      <c r="AP4345" s="82"/>
      <c r="AQ4345" s="82"/>
      <c r="AR4345" s="82"/>
      <c r="AS4345" s="82"/>
      <c r="AT4345" s="82"/>
      <c r="AU4345" s="82"/>
      <c r="AV4345" s="82"/>
      <c r="AW4345" s="82" t="str">
        <f t="shared" si="1"/>
        <v/>
      </c>
      <c r="AX4345" s="83" t="str">
        <f t="array" ref="AX4345">IFERROR(DGET('SBV Import'!A:G,"SBV",{"RSC ID","Tier";B4345,A4345}))</f>
        <v/>
      </c>
      <c r="AY4345" s="82" t="str">
        <f t="shared" si="2"/>
        <v/>
      </c>
      <c r="AZ4345" s="82"/>
      <c r="BA4345" s="84" t="s">
        <v>152</v>
      </c>
      <c r="BB4345" s="84" t="str">
        <f>IFERROR(__xludf.DUMMYFUNCTION("iferror(if(A4345="""",,E4345&gt;=FILTER(Constants!$F$2:$F$10,Constants!$A$2:$A$10=A4345)))"),"")</f>
        <v/>
      </c>
    </row>
    <row r="4346">
      <c r="A4346" s="89"/>
      <c r="B4346" s="87"/>
      <c r="C4346" s="73"/>
      <c r="D4346" s="73"/>
      <c r="E4346" s="82"/>
      <c r="F4346" s="82"/>
      <c r="G4346" s="86"/>
      <c r="H4346" s="86"/>
      <c r="I4346" s="86"/>
      <c r="J4346" s="82"/>
      <c r="K4346" s="82"/>
      <c r="L4346" s="82"/>
      <c r="M4346" s="82"/>
      <c r="N4346" s="82"/>
      <c r="O4346" s="82"/>
      <c r="P4346" s="82"/>
      <c r="Q4346" s="82"/>
      <c r="R4346" s="82"/>
      <c r="S4346" s="82"/>
      <c r="T4346" s="82"/>
      <c r="U4346" s="82"/>
      <c r="V4346" s="82"/>
      <c r="W4346" s="82"/>
      <c r="X4346" s="82"/>
      <c r="Y4346" s="82"/>
      <c r="Z4346" s="82"/>
      <c r="AA4346" s="82"/>
      <c r="AB4346" s="82"/>
      <c r="AC4346" s="82"/>
      <c r="AD4346" s="82"/>
      <c r="AE4346" s="82"/>
      <c r="AF4346" s="82"/>
      <c r="AG4346" s="82"/>
      <c r="AH4346" s="82"/>
      <c r="AI4346" s="82"/>
      <c r="AJ4346" s="82"/>
      <c r="AK4346" s="82"/>
      <c r="AL4346" s="82"/>
      <c r="AM4346" s="82"/>
      <c r="AN4346" s="82"/>
      <c r="AO4346" s="82"/>
      <c r="AP4346" s="82"/>
      <c r="AQ4346" s="82"/>
      <c r="AR4346" s="82"/>
      <c r="AS4346" s="82"/>
      <c r="AT4346" s="82"/>
      <c r="AU4346" s="82"/>
      <c r="AV4346" s="82"/>
      <c r="AW4346" s="82" t="str">
        <f t="shared" si="1"/>
        <v/>
      </c>
      <c r="AX4346" s="83" t="str">
        <f t="array" ref="AX4346">IFERROR(DGET('SBV Import'!A:G,"SBV",{"RSC ID","Tier";B4346,A4346}))</f>
        <v/>
      </c>
      <c r="AY4346" s="82" t="str">
        <f t="shared" si="2"/>
        <v/>
      </c>
      <c r="AZ4346" s="82"/>
      <c r="BA4346" s="84" t="s">
        <v>152</v>
      </c>
      <c r="BB4346" s="84" t="str">
        <f>IFERROR(__xludf.DUMMYFUNCTION("iferror(if(A4346="""",,E4346&gt;=FILTER(Constants!$F$2:$F$10,Constants!$A$2:$A$10=A4346)))"),"")</f>
        <v/>
      </c>
    </row>
    <row r="4347">
      <c r="A4347" s="89"/>
      <c r="B4347" s="87"/>
      <c r="C4347" s="73"/>
      <c r="D4347" s="73"/>
      <c r="E4347" s="82"/>
      <c r="F4347" s="82"/>
      <c r="G4347" s="86"/>
      <c r="H4347" s="86"/>
      <c r="I4347" s="86"/>
      <c r="J4347" s="82"/>
      <c r="K4347" s="82"/>
      <c r="L4347" s="82"/>
      <c r="M4347" s="82"/>
      <c r="N4347" s="82"/>
      <c r="O4347" s="82"/>
      <c r="P4347" s="82"/>
      <c r="Q4347" s="82"/>
      <c r="R4347" s="82"/>
      <c r="S4347" s="82"/>
      <c r="T4347" s="82"/>
      <c r="U4347" s="82"/>
      <c r="V4347" s="82"/>
      <c r="W4347" s="82"/>
      <c r="X4347" s="82"/>
      <c r="Y4347" s="82"/>
      <c r="Z4347" s="82"/>
      <c r="AA4347" s="82"/>
      <c r="AB4347" s="82"/>
      <c r="AC4347" s="82"/>
      <c r="AD4347" s="82"/>
      <c r="AE4347" s="82"/>
      <c r="AF4347" s="82"/>
      <c r="AG4347" s="82"/>
      <c r="AH4347" s="82"/>
      <c r="AI4347" s="82"/>
      <c r="AJ4347" s="82"/>
      <c r="AK4347" s="82"/>
      <c r="AL4347" s="82"/>
      <c r="AM4347" s="82"/>
      <c r="AN4347" s="82"/>
      <c r="AO4347" s="82"/>
      <c r="AP4347" s="82"/>
      <c r="AQ4347" s="82"/>
      <c r="AR4347" s="82"/>
      <c r="AS4347" s="82"/>
      <c r="AT4347" s="82"/>
      <c r="AU4347" s="82"/>
      <c r="AV4347" s="82"/>
      <c r="AW4347" s="82" t="str">
        <f t="shared" si="1"/>
        <v/>
      </c>
      <c r="AX4347" s="83" t="str">
        <f t="array" ref="AX4347">IFERROR(DGET('SBV Import'!A:G,"SBV",{"RSC ID","Tier";B4347,A4347}))</f>
        <v/>
      </c>
      <c r="AY4347" s="82" t="str">
        <f t="shared" si="2"/>
        <v/>
      </c>
      <c r="AZ4347" s="82"/>
      <c r="BA4347" s="84" t="s">
        <v>152</v>
      </c>
      <c r="BB4347" s="84" t="str">
        <f>IFERROR(__xludf.DUMMYFUNCTION("iferror(if(A4347="""",,E4347&gt;=FILTER(Constants!$F$2:$F$10,Constants!$A$2:$A$10=A4347)))"),"")</f>
        <v/>
      </c>
    </row>
    <row r="4348">
      <c r="A4348" s="89"/>
      <c r="B4348" s="87"/>
      <c r="C4348" s="73"/>
      <c r="D4348" s="73"/>
      <c r="E4348" s="82"/>
      <c r="F4348" s="82"/>
      <c r="G4348" s="86"/>
      <c r="H4348" s="86"/>
      <c r="I4348" s="86"/>
      <c r="J4348" s="82"/>
      <c r="K4348" s="82"/>
      <c r="L4348" s="82"/>
      <c r="M4348" s="82"/>
      <c r="N4348" s="82"/>
      <c r="O4348" s="82"/>
      <c r="P4348" s="82"/>
      <c r="Q4348" s="82"/>
      <c r="R4348" s="82"/>
      <c r="S4348" s="82"/>
      <c r="T4348" s="82"/>
      <c r="U4348" s="82"/>
      <c r="V4348" s="82"/>
      <c r="W4348" s="82"/>
      <c r="X4348" s="82"/>
      <c r="Y4348" s="82"/>
      <c r="Z4348" s="82"/>
      <c r="AA4348" s="82"/>
      <c r="AB4348" s="82"/>
      <c r="AC4348" s="82"/>
      <c r="AD4348" s="82"/>
      <c r="AE4348" s="82"/>
      <c r="AF4348" s="82"/>
      <c r="AG4348" s="82"/>
      <c r="AH4348" s="82"/>
      <c r="AI4348" s="82"/>
      <c r="AJ4348" s="82"/>
      <c r="AK4348" s="82"/>
      <c r="AL4348" s="82"/>
      <c r="AM4348" s="82"/>
      <c r="AN4348" s="82"/>
      <c r="AO4348" s="82"/>
      <c r="AP4348" s="82"/>
      <c r="AQ4348" s="82"/>
      <c r="AR4348" s="82"/>
      <c r="AS4348" s="82"/>
      <c r="AT4348" s="82"/>
      <c r="AU4348" s="82"/>
      <c r="AV4348" s="82"/>
      <c r="AW4348" s="82" t="str">
        <f t="shared" si="1"/>
        <v/>
      </c>
      <c r="AX4348" s="83" t="str">
        <f t="array" ref="AX4348">IFERROR(DGET('SBV Import'!A:G,"SBV",{"RSC ID","Tier";B4348,A4348}))</f>
        <v/>
      </c>
      <c r="AY4348" s="82" t="str">
        <f t="shared" si="2"/>
        <v/>
      </c>
      <c r="AZ4348" s="82"/>
      <c r="BA4348" s="84" t="s">
        <v>152</v>
      </c>
      <c r="BB4348" s="84" t="str">
        <f>IFERROR(__xludf.DUMMYFUNCTION("iferror(if(A4348="""",,E4348&gt;=FILTER(Constants!$F$2:$F$10,Constants!$A$2:$A$10=A4348)))"),"")</f>
        <v/>
      </c>
    </row>
    <row r="4349">
      <c r="A4349" s="89"/>
      <c r="B4349" s="87"/>
      <c r="C4349" s="73"/>
      <c r="D4349" s="73"/>
      <c r="E4349" s="82"/>
      <c r="F4349" s="82"/>
      <c r="G4349" s="86"/>
      <c r="H4349" s="86"/>
      <c r="I4349" s="86"/>
      <c r="J4349" s="82"/>
      <c r="K4349" s="82"/>
      <c r="L4349" s="82"/>
      <c r="M4349" s="82"/>
      <c r="N4349" s="82"/>
      <c r="O4349" s="82"/>
      <c r="P4349" s="82"/>
      <c r="Q4349" s="82"/>
      <c r="R4349" s="82"/>
      <c r="S4349" s="82"/>
      <c r="T4349" s="82"/>
      <c r="U4349" s="82"/>
      <c r="V4349" s="82"/>
      <c r="W4349" s="82"/>
      <c r="X4349" s="82"/>
      <c r="Y4349" s="82"/>
      <c r="Z4349" s="82"/>
      <c r="AA4349" s="82"/>
      <c r="AB4349" s="82"/>
      <c r="AC4349" s="82"/>
      <c r="AD4349" s="82"/>
      <c r="AE4349" s="82"/>
      <c r="AF4349" s="82"/>
      <c r="AG4349" s="82"/>
      <c r="AH4349" s="82"/>
      <c r="AI4349" s="82"/>
      <c r="AJ4349" s="82"/>
      <c r="AK4349" s="82"/>
      <c r="AL4349" s="82"/>
      <c r="AM4349" s="82"/>
      <c r="AN4349" s="82"/>
      <c r="AO4349" s="82"/>
      <c r="AP4349" s="82"/>
      <c r="AQ4349" s="82"/>
      <c r="AR4349" s="82"/>
      <c r="AS4349" s="82"/>
      <c r="AT4349" s="82"/>
      <c r="AU4349" s="82"/>
      <c r="AV4349" s="82"/>
      <c r="AW4349" s="82" t="str">
        <f t="shared" si="1"/>
        <v/>
      </c>
      <c r="AX4349" s="83" t="str">
        <f t="array" ref="AX4349">IFERROR(DGET('SBV Import'!A:G,"SBV",{"RSC ID","Tier";B4349,A4349}))</f>
        <v/>
      </c>
      <c r="AY4349" s="82" t="str">
        <f t="shared" si="2"/>
        <v/>
      </c>
      <c r="AZ4349" s="82"/>
      <c r="BA4349" s="84" t="s">
        <v>152</v>
      </c>
      <c r="BB4349" s="84" t="str">
        <f>IFERROR(__xludf.DUMMYFUNCTION("iferror(if(A4349="""",,E4349&gt;=FILTER(Constants!$F$2:$F$10,Constants!$A$2:$A$10=A4349)))"),"")</f>
        <v/>
      </c>
    </row>
    <row r="4350">
      <c r="A4350" s="89"/>
      <c r="B4350" s="87"/>
      <c r="C4350" s="73"/>
      <c r="D4350" s="73"/>
      <c r="E4350" s="82"/>
      <c r="F4350" s="82"/>
      <c r="G4350" s="86"/>
      <c r="H4350" s="86"/>
      <c r="I4350" s="86"/>
      <c r="J4350" s="82"/>
      <c r="K4350" s="82"/>
      <c r="L4350" s="82"/>
      <c r="M4350" s="82"/>
      <c r="N4350" s="82"/>
      <c r="O4350" s="82"/>
      <c r="P4350" s="82"/>
      <c r="Q4350" s="82"/>
      <c r="R4350" s="82"/>
      <c r="S4350" s="82"/>
      <c r="T4350" s="82"/>
      <c r="U4350" s="82"/>
      <c r="V4350" s="82"/>
      <c r="W4350" s="82"/>
      <c r="X4350" s="82"/>
      <c r="Y4350" s="82"/>
      <c r="Z4350" s="82"/>
      <c r="AA4350" s="82"/>
      <c r="AB4350" s="82"/>
      <c r="AC4350" s="82"/>
      <c r="AD4350" s="82"/>
      <c r="AE4350" s="82"/>
      <c r="AF4350" s="82"/>
      <c r="AG4350" s="82"/>
      <c r="AH4350" s="82"/>
      <c r="AI4350" s="82"/>
      <c r="AJ4350" s="82"/>
      <c r="AK4350" s="82"/>
      <c r="AL4350" s="82"/>
      <c r="AM4350" s="82"/>
      <c r="AN4350" s="82"/>
      <c r="AO4350" s="82"/>
      <c r="AP4350" s="82"/>
      <c r="AQ4350" s="82"/>
      <c r="AR4350" s="82"/>
      <c r="AS4350" s="82"/>
      <c r="AT4350" s="82"/>
      <c r="AU4350" s="82"/>
      <c r="AV4350" s="82"/>
      <c r="AW4350" s="82" t="str">
        <f t="shared" si="1"/>
        <v/>
      </c>
      <c r="AX4350" s="83" t="str">
        <f t="array" ref="AX4350">IFERROR(DGET('SBV Import'!A:G,"SBV",{"RSC ID","Tier";B4350,A4350}))</f>
        <v/>
      </c>
      <c r="AY4350" s="82" t="str">
        <f t="shared" si="2"/>
        <v/>
      </c>
      <c r="AZ4350" s="82"/>
      <c r="BA4350" s="84" t="s">
        <v>152</v>
      </c>
      <c r="BB4350" s="84" t="str">
        <f>IFERROR(__xludf.DUMMYFUNCTION("iferror(if(A4350="""",,E4350&gt;=FILTER(Constants!$F$2:$F$10,Constants!$A$2:$A$10=A4350)))"),"")</f>
        <v/>
      </c>
    </row>
    <row r="4351">
      <c r="A4351" s="89"/>
      <c r="B4351" s="87"/>
      <c r="C4351" s="73"/>
      <c r="D4351" s="73"/>
      <c r="E4351" s="82"/>
      <c r="F4351" s="82"/>
      <c r="G4351" s="86"/>
      <c r="H4351" s="86"/>
      <c r="I4351" s="86"/>
      <c r="J4351" s="82"/>
      <c r="K4351" s="82"/>
      <c r="L4351" s="82"/>
      <c r="M4351" s="82"/>
      <c r="N4351" s="82"/>
      <c r="O4351" s="82"/>
      <c r="P4351" s="82"/>
      <c r="Q4351" s="82"/>
      <c r="R4351" s="82"/>
      <c r="S4351" s="82"/>
      <c r="T4351" s="82"/>
      <c r="U4351" s="82"/>
      <c r="V4351" s="82"/>
      <c r="W4351" s="82"/>
      <c r="X4351" s="82"/>
      <c r="Y4351" s="82"/>
      <c r="Z4351" s="82"/>
      <c r="AA4351" s="82"/>
      <c r="AB4351" s="82"/>
      <c r="AC4351" s="82"/>
      <c r="AD4351" s="82"/>
      <c r="AE4351" s="82"/>
      <c r="AF4351" s="82"/>
      <c r="AG4351" s="82"/>
      <c r="AH4351" s="82"/>
      <c r="AI4351" s="82"/>
      <c r="AJ4351" s="82"/>
      <c r="AK4351" s="82"/>
      <c r="AL4351" s="82"/>
      <c r="AM4351" s="82"/>
      <c r="AN4351" s="82"/>
      <c r="AO4351" s="82"/>
      <c r="AP4351" s="82"/>
      <c r="AQ4351" s="82"/>
      <c r="AR4351" s="82"/>
      <c r="AS4351" s="82"/>
      <c r="AT4351" s="82"/>
      <c r="AU4351" s="82"/>
      <c r="AV4351" s="82"/>
      <c r="AW4351" s="82" t="str">
        <f t="shared" si="1"/>
        <v/>
      </c>
      <c r="AX4351" s="83" t="str">
        <f t="array" ref="AX4351">IFERROR(DGET('SBV Import'!A:G,"SBV",{"RSC ID","Tier";B4351,A4351}))</f>
        <v/>
      </c>
      <c r="AY4351" s="82" t="str">
        <f t="shared" si="2"/>
        <v/>
      </c>
      <c r="AZ4351" s="82"/>
      <c r="BA4351" s="84" t="s">
        <v>152</v>
      </c>
      <c r="BB4351" s="84" t="str">
        <f>IFERROR(__xludf.DUMMYFUNCTION("iferror(if(A4351="""",,E4351&gt;=FILTER(Constants!$F$2:$F$10,Constants!$A$2:$A$10=A4351)))"),"")</f>
        <v/>
      </c>
    </row>
    <row r="4352">
      <c r="A4352" s="89"/>
      <c r="B4352" s="87"/>
      <c r="C4352" s="73"/>
      <c r="D4352" s="73"/>
      <c r="E4352" s="82"/>
      <c r="F4352" s="82"/>
      <c r="G4352" s="86"/>
      <c r="H4352" s="86"/>
      <c r="I4352" s="86"/>
      <c r="J4352" s="82"/>
      <c r="K4352" s="82"/>
      <c r="L4352" s="82"/>
      <c r="M4352" s="82"/>
      <c r="N4352" s="82"/>
      <c r="O4352" s="82"/>
      <c r="P4352" s="82"/>
      <c r="Q4352" s="82"/>
      <c r="R4352" s="82"/>
      <c r="S4352" s="82"/>
      <c r="T4352" s="82"/>
      <c r="U4352" s="82"/>
      <c r="V4352" s="82"/>
      <c r="W4352" s="82"/>
      <c r="X4352" s="82"/>
      <c r="Y4352" s="82"/>
      <c r="Z4352" s="82"/>
      <c r="AA4352" s="82"/>
      <c r="AB4352" s="82"/>
      <c r="AC4352" s="82"/>
      <c r="AD4352" s="82"/>
      <c r="AE4352" s="82"/>
      <c r="AF4352" s="82"/>
      <c r="AG4352" s="82"/>
      <c r="AH4352" s="82"/>
      <c r="AI4352" s="82"/>
      <c r="AJ4352" s="82"/>
      <c r="AK4352" s="82"/>
      <c r="AL4352" s="82"/>
      <c r="AM4352" s="82"/>
      <c r="AN4352" s="82"/>
      <c r="AO4352" s="82"/>
      <c r="AP4352" s="82"/>
      <c r="AQ4352" s="82"/>
      <c r="AR4352" s="82"/>
      <c r="AS4352" s="82"/>
      <c r="AT4352" s="82"/>
      <c r="AU4352" s="82"/>
      <c r="AV4352" s="82"/>
      <c r="AW4352" s="82" t="str">
        <f t="shared" si="1"/>
        <v/>
      </c>
      <c r="AX4352" s="83" t="str">
        <f t="array" ref="AX4352">IFERROR(DGET('SBV Import'!A:G,"SBV",{"RSC ID","Tier";B4352,A4352}))</f>
        <v/>
      </c>
      <c r="AY4352" s="82" t="str">
        <f t="shared" si="2"/>
        <v/>
      </c>
      <c r="AZ4352" s="82"/>
      <c r="BA4352" s="84" t="s">
        <v>152</v>
      </c>
      <c r="BB4352" s="84" t="str">
        <f>IFERROR(__xludf.DUMMYFUNCTION("iferror(if(A4352="""",,E4352&gt;=FILTER(Constants!$F$2:$F$10,Constants!$A$2:$A$10=A4352)))"),"")</f>
        <v/>
      </c>
    </row>
    <row r="4353">
      <c r="A4353" s="89"/>
      <c r="B4353" s="87"/>
      <c r="C4353" s="73"/>
      <c r="D4353" s="73"/>
      <c r="E4353" s="82"/>
      <c r="F4353" s="82"/>
      <c r="G4353" s="86"/>
      <c r="H4353" s="86"/>
      <c r="I4353" s="86"/>
      <c r="J4353" s="82"/>
      <c r="K4353" s="82"/>
      <c r="L4353" s="82"/>
      <c r="M4353" s="82"/>
      <c r="N4353" s="82"/>
      <c r="O4353" s="82"/>
      <c r="P4353" s="82"/>
      <c r="Q4353" s="82"/>
      <c r="R4353" s="82"/>
      <c r="S4353" s="82"/>
      <c r="T4353" s="82"/>
      <c r="U4353" s="82"/>
      <c r="V4353" s="82"/>
      <c r="W4353" s="82"/>
      <c r="X4353" s="82"/>
      <c r="Y4353" s="82"/>
      <c r="Z4353" s="82"/>
      <c r="AA4353" s="82"/>
      <c r="AB4353" s="82"/>
      <c r="AC4353" s="82"/>
      <c r="AD4353" s="82"/>
      <c r="AE4353" s="82"/>
      <c r="AF4353" s="82"/>
      <c r="AG4353" s="82"/>
      <c r="AH4353" s="82"/>
      <c r="AI4353" s="82"/>
      <c r="AJ4353" s="82"/>
      <c r="AK4353" s="82"/>
      <c r="AL4353" s="82"/>
      <c r="AM4353" s="82"/>
      <c r="AN4353" s="82"/>
      <c r="AO4353" s="82"/>
      <c r="AP4353" s="82"/>
      <c r="AQ4353" s="82"/>
      <c r="AR4353" s="82"/>
      <c r="AS4353" s="82"/>
      <c r="AT4353" s="82"/>
      <c r="AU4353" s="82"/>
      <c r="AV4353" s="82"/>
      <c r="AW4353" s="82" t="str">
        <f t="shared" si="1"/>
        <v/>
      </c>
      <c r="AX4353" s="83" t="str">
        <f t="array" ref="AX4353">IFERROR(DGET('SBV Import'!A:G,"SBV",{"RSC ID","Tier";B4353,A4353}))</f>
        <v/>
      </c>
      <c r="AY4353" s="82" t="str">
        <f t="shared" si="2"/>
        <v/>
      </c>
      <c r="AZ4353" s="82"/>
      <c r="BA4353" s="84" t="s">
        <v>152</v>
      </c>
      <c r="BB4353" s="84" t="str">
        <f>IFERROR(__xludf.DUMMYFUNCTION("iferror(if(A4353="""",,E4353&gt;=FILTER(Constants!$F$2:$F$10,Constants!$A$2:$A$10=A4353)))"),"")</f>
        <v/>
      </c>
    </row>
    <row r="4354">
      <c r="A4354" s="89"/>
      <c r="B4354" s="87"/>
      <c r="C4354" s="73"/>
      <c r="D4354" s="73"/>
      <c r="E4354" s="82"/>
      <c r="F4354" s="82"/>
      <c r="G4354" s="86"/>
      <c r="H4354" s="86"/>
      <c r="I4354" s="86"/>
      <c r="J4354" s="82"/>
      <c r="K4354" s="82"/>
      <c r="L4354" s="82"/>
      <c r="M4354" s="82"/>
      <c r="N4354" s="82"/>
      <c r="O4354" s="82"/>
      <c r="P4354" s="82"/>
      <c r="Q4354" s="82"/>
      <c r="R4354" s="82"/>
      <c r="S4354" s="82"/>
      <c r="T4354" s="82"/>
      <c r="U4354" s="82"/>
      <c r="V4354" s="82"/>
      <c r="W4354" s="82"/>
      <c r="X4354" s="82"/>
      <c r="Y4354" s="82"/>
      <c r="Z4354" s="82"/>
      <c r="AA4354" s="82"/>
      <c r="AB4354" s="82"/>
      <c r="AC4354" s="82"/>
      <c r="AD4354" s="82"/>
      <c r="AE4354" s="82"/>
      <c r="AF4354" s="82"/>
      <c r="AG4354" s="82"/>
      <c r="AH4354" s="82"/>
      <c r="AI4354" s="82"/>
      <c r="AJ4354" s="82"/>
      <c r="AK4354" s="82"/>
      <c r="AL4354" s="82"/>
      <c r="AM4354" s="82"/>
      <c r="AN4354" s="82"/>
      <c r="AO4354" s="82"/>
      <c r="AP4354" s="82"/>
      <c r="AQ4354" s="82"/>
      <c r="AR4354" s="82"/>
      <c r="AS4354" s="82"/>
      <c r="AT4354" s="82"/>
      <c r="AU4354" s="82"/>
      <c r="AV4354" s="82"/>
      <c r="AW4354" s="82" t="str">
        <f t="shared" si="1"/>
        <v/>
      </c>
      <c r="AX4354" s="83" t="str">
        <f t="array" ref="AX4354">IFERROR(DGET('SBV Import'!A:G,"SBV",{"RSC ID","Tier";B4354,A4354}))</f>
        <v/>
      </c>
      <c r="AY4354" s="82" t="str">
        <f t="shared" si="2"/>
        <v/>
      </c>
      <c r="AZ4354" s="82"/>
      <c r="BA4354" s="84" t="s">
        <v>152</v>
      </c>
      <c r="BB4354" s="84" t="str">
        <f>IFERROR(__xludf.DUMMYFUNCTION("iferror(if(A4354="""",,E4354&gt;=FILTER(Constants!$F$2:$F$10,Constants!$A$2:$A$10=A4354)))"),"")</f>
        <v/>
      </c>
    </row>
    <row r="4355">
      <c r="A4355" s="89"/>
      <c r="B4355" s="87"/>
      <c r="C4355" s="73"/>
      <c r="D4355" s="73"/>
      <c r="E4355" s="82"/>
      <c r="F4355" s="82"/>
      <c r="G4355" s="86"/>
      <c r="H4355" s="86"/>
      <c r="I4355" s="86"/>
      <c r="J4355" s="82"/>
      <c r="K4355" s="82"/>
      <c r="L4355" s="82"/>
      <c r="M4355" s="82"/>
      <c r="N4355" s="82"/>
      <c r="O4355" s="82"/>
      <c r="P4355" s="82"/>
      <c r="Q4355" s="82"/>
      <c r="R4355" s="82"/>
      <c r="S4355" s="82"/>
      <c r="T4355" s="82"/>
      <c r="U4355" s="82"/>
      <c r="V4355" s="82"/>
      <c r="W4355" s="82"/>
      <c r="X4355" s="82"/>
      <c r="Y4355" s="82"/>
      <c r="Z4355" s="82"/>
      <c r="AA4355" s="82"/>
      <c r="AB4355" s="82"/>
      <c r="AC4355" s="82"/>
      <c r="AD4355" s="82"/>
      <c r="AE4355" s="82"/>
      <c r="AF4355" s="82"/>
      <c r="AG4355" s="82"/>
      <c r="AH4355" s="82"/>
      <c r="AI4355" s="82"/>
      <c r="AJ4355" s="82"/>
      <c r="AK4355" s="82"/>
      <c r="AL4355" s="82"/>
      <c r="AM4355" s="82"/>
      <c r="AN4355" s="82"/>
      <c r="AO4355" s="82"/>
      <c r="AP4355" s="82"/>
      <c r="AQ4355" s="82"/>
      <c r="AR4355" s="82"/>
      <c r="AS4355" s="82"/>
      <c r="AT4355" s="82"/>
      <c r="AU4355" s="82"/>
      <c r="AV4355" s="82"/>
      <c r="AW4355" s="82" t="str">
        <f t="shared" si="1"/>
        <v/>
      </c>
      <c r="AX4355" s="83" t="str">
        <f t="array" ref="AX4355">IFERROR(DGET('SBV Import'!A:G,"SBV",{"RSC ID","Tier";B4355,A4355}))</f>
        <v/>
      </c>
      <c r="AY4355" s="82" t="str">
        <f t="shared" si="2"/>
        <v/>
      </c>
      <c r="AZ4355" s="82"/>
      <c r="BA4355" s="84" t="s">
        <v>152</v>
      </c>
      <c r="BB4355" s="84" t="str">
        <f>IFERROR(__xludf.DUMMYFUNCTION("iferror(if(A4355="""",,E4355&gt;=FILTER(Constants!$F$2:$F$10,Constants!$A$2:$A$10=A4355)))"),"")</f>
        <v/>
      </c>
    </row>
    <row r="4356">
      <c r="A4356" s="89"/>
      <c r="B4356" s="87"/>
      <c r="C4356" s="73"/>
      <c r="D4356" s="73"/>
      <c r="E4356" s="82"/>
      <c r="F4356" s="82"/>
      <c r="G4356" s="86"/>
      <c r="H4356" s="86"/>
      <c r="I4356" s="86"/>
      <c r="J4356" s="82"/>
      <c r="K4356" s="82"/>
      <c r="L4356" s="82"/>
      <c r="M4356" s="82"/>
      <c r="N4356" s="82"/>
      <c r="O4356" s="82"/>
      <c r="P4356" s="82"/>
      <c r="Q4356" s="82"/>
      <c r="R4356" s="82"/>
      <c r="S4356" s="82"/>
      <c r="T4356" s="82"/>
      <c r="U4356" s="82"/>
      <c r="V4356" s="82"/>
      <c r="W4356" s="82"/>
      <c r="X4356" s="82"/>
      <c r="Y4356" s="82"/>
      <c r="Z4356" s="82"/>
      <c r="AA4356" s="82"/>
      <c r="AB4356" s="82"/>
      <c r="AC4356" s="82"/>
      <c r="AD4356" s="82"/>
      <c r="AE4356" s="82"/>
      <c r="AF4356" s="82"/>
      <c r="AG4356" s="82"/>
      <c r="AH4356" s="82"/>
      <c r="AI4356" s="82"/>
      <c r="AJ4356" s="82"/>
      <c r="AK4356" s="82"/>
      <c r="AL4356" s="82"/>
      <c r="AM4356" s="82"/>
      <c r="AN4356" s="82"/>
      <c r="AO4356" s="82"/>
      <c r="AP4356" s="82"/>
      <c r="AQ4356" s="82"/>
      <c r="AR4356" s="82"/>
      <c r="AS4356" s="82"/>
      <c r="AT4356" s="82"/>
      <c r="AU4356" s="82"/>
      <c r="AV4356" s="82"/>
      <c r="AW4356" s="82" t="str">
        <f t="shared" si="1"/>
        <v/>
      </c>
      <c r="AX4356" s="83" t="str">
        <f t="array" ref="AX4356">IFERROR(DGET('SBV Import'!A:G,"SBV",{"RSC ID","Tier";B4356,A4356}))</f>
        <v/>
      </c>
      <c r="AY4356" s="82" t="str">
        <f t="shared" si="2"/>
        <v/>
      </c>
      <c r="AZ4356" s="82"/>
      <c r="BA4356" s="84" t="s">
        <v>152</v>
      </c>
      <c r="BB4356" s="84" t="str">
        <f>IFERROR(__xludf.DUMMYFUNCTION("iferror(if(A4356="""",,E4356&gt;=FILTER(Constants!$F$2:$F$10,Constants!$A$2:$A$10=A4356)))"),"")</f>
        <v/>
      </c>
    </row>
    <row r="4357">
      <c r="A4357" s="89"/>
      <c r="B4357" s="87"/>
      <c r="C4357" s="73"/>
      <c r="D4357" s="73"/>
      <c r="E4357" s="82"/>
      <c r="F4357" s="82"/>
      <c r="G4357" s="86"/>
      <c r="H4357" s="86"/>
      <c r="I4357" s="86"/>
      <c r="J4357" s="82"/>
      <c r="K4357" s="82"/>
      <c r="L4357" s="82"/>
      <c r="M4357" s="82"/>
      <c r="N4357" s="82"/>
      <c r="O4357" s="82"/>
      <c r="P4357" s="82"/>
      <c r="Q4357" s="82"/>
      <c r="R4357" s="82"/>
      <c r="S4357" s="82"/>
      <c r="T4357" s="82"/>
      <c r="U4357" s="82"/>
      <c r="V4357" s="82"/>
      <c r="W4357" s="82"/>
      <c r="X4357" s="82"/>
      <c r="Y4357" s="82"/>
      <c r="Z4357" s="82"/>
      <c r="AA4357" s="82"/>
      <c r="AB4357" s="82"/>
      <c r="AC4357" s="82"/>
      <c r="AD4357" s="82"/>
      <c r="AE4357" s="82"/>
      <c r="AF4357" s="82"/>
      <c r="AG4357" s="82"/>
      <c r="AH4357" s="82"/>
      <c r="AI4357" s="82"/>
      <c r="AJ4357" s="82"/>
      <c r="AK4357" s="82"/>
      <c r="AL4357" s="82"/>
      <c r="AM4357" s="82"/>
      <c r="AN4357" s="82"/>
      <c r="AO4357" s="82"/>
      <c r="AP4357" s="82"/>
      <c r="AQ4357" s="82"/>
      <c r="AR4357" s="82"/>
      <c r="AS4357" s="82"/>
      <c r="AT4357" s="82"/>
      <c r="AU4357" s="82"/>
      <c r="AV4357" s="82"/>
      <c r="AW4357" s="82" t="str">
        <f t="shared" si="1"/>
        <v/>
      </c>
      <c r="AX4357" s="83" t="str">
        <f t="array" ref="AX4357">IFERROR(DGET('SBV Import'!A:G,"SBV",{"RSC ID","Tier";B4357,A4357}))</f>
        <v/>
      </c>
      <c r="AY4357" s="82" t="str">
        <f t="shared" si="2"/>
        <v/>
      </c>
      <c r="AZ4357" s="82"/>
      <c r="BA4357" s="84" t="s">
        <v>152</v>
      </c>
      <c r="BB4357" s="84" t="str">
        <f>IFERROR(__xludf.DUMMYFUNCTION("iferror(if(A4357="""",,E4357&gt;=FILTER(Constants!$F$2:$F$10,Constants!$A$2:$A$10=A4357)))"),"")</f>
        <v/>
      </c>
    </row>
    <row r="4358">
      <c r="A4358" s="89"/>
      <c r="B4358" s="87"/>
      <c r="C4358" s="73"/>
      <c r="D4358" s="73"/>
      <c r="E4358" s="82"/>
      <c r="F4358" s="82"/>
      <c r="G4358" s="86"/>
      <c r="H4358" s="86"/>
      <c r="I4358" s="86"/>
      <c r="J4358" s="82"/>
      <c r="K4358" s="82"/>
      <c r="L4358" s="82"/>
      <c r="M4358" s="82"/>
      <c r="N4358" s="82"/>
      <c r="O4358" s="82"/>
      <c r="P4358" s="82"/>
      <c r="Q4358" s="82"/>
      <c r="R4358" s="82"/>
      <c r="S4358" s="82"/>
      <c r="T4358" s="82"/>
      <c r="U4358" s="82"/>
      <c r="V4358" s="82"/>
      <c r="W4358" s="82"/>
      <c r="X4358" s="82"/>
      <c r="Y4358" s="82"/>
      <c r="Z4358" s="82"/>
      <c r="AA4358" s="82"/>
      <c r="AB4358" s="82"/>
      <c r="AC4358" s="82"/>
      <c r="AD4358" s="82"/>
      <c r="AE4358" s="82"/>
      <c r="AF4358" s="82"/>
      <c r="AG4358" s="82"/>
      <c r="AH4358" s="82"/>
      <c r="AI4358" s="82"/>
      <c r="AJ4358" s="82"/>
      <c r="AK4358" s="82"/>
      <c r="AL4358" s="82"/>
      <c r="AM4358" s="82"/>
      <c r="AN4358" s="82"/>
      <c r="AO4358" s="82"/>
      <c r="AP4358" s="82"/>
      <c r="AQ4358" s="82"/>
      <c r="AR4358" s="82"/>
      <c r="AS4358" s="82"/>
      <c r="AT4358" s="82"/>
      <c r="AU4358" s="82"/>
      <c r="AV4358" s="82"/>
      <c r="AW4358" s="82" t="str">
        <f t="shared" si="1"/>
        <v/>
      </c>
      <c r="AX4358" s="83" t="str">
        <f t="array" ref="AX4358">IFERROR(DGET('SBV Import'!A:G,"SBV",{"RSC ID","Tier";B4358,A4358}))</f>
        <v/>
      </c>
      <c r="AY4358" s="82" t="str">
        <f t="shared" si="2"/>
        <v/>
      </c>
      <c r="AZ4358" s="82"/>
      <c r="BA4358" s="84" t="s">
        <v>152</v>
      </c>
      <c r="BB4358" s="84" t="str">
        <f>IFERROR(__xludf.DUMMYFUNCTION("iferror(if(A4358="""",,E4358&gt;=FILTER(Constants!$F$2:$F$10,Constants!$A$2:$A$10=A4358)))"),"")</f>
        <v/>
      </c>
    </row>
    <row r="4359">
      <c r="A4359" s="89"/>
      <c r="B4359" s="87"/>
      <c r="C4359" s="73"/>
      <c r="D4359" s="73"/>
      <c r="E4359" s="82"/>
      <c r="F4359" s="82"/>
      <c r="G4359" s="86"/>
      <c r="H4359" s="86"/>
      <c r="I4359" s="86"/>
      <c r="J4359" s="82"/>
      <c r="K4359" s="82"/>
      <c r="L4359" s="82"/>
      <c r="M4359" s="82"/>
      <c r="N4359" s="82"/>
      <c r="O4359" s="82"/>
      <c r="P4359" s="82"/>
      <c r="Q4359" s="82"/>
      <c r="R4359" s="82"/>
      <c r="S4359" s="82"/>
      <c r="T4359" s="82"/>
      <c r="U4359" s="82"/>
      <c r="V4359" s="82"/>
      <c r="W4359" s="82"/>
      <c r="X4359" s="82"/>
      <c r="Y4359" s="82"/>
      <c r="Z4359" s="82"/>
      <c r="AA4359" s="82"/>
      <c r="AB4359" s="82"/>
      <c r="AC4359" s="82"/>
      <c r="AD4359" s="82"/>
      <c r="AE4359" s="82"/>
      <c r="AF4359" s="82"/>
      <c r="AG4359" s="82"/>
      <c r="AH4359" s="82"/>
      <c r="AI4359" s="82"/>
      <c r="AJ4359" s="82"/>
      <c r="AK4359" s="82"/>
      <c r="AL4359" s="82"/>
      <c r="AM4359" s="82"/>
      <c r="AN4359" s="82"/>
      <c r="AO4359" s="82"/>
      <c r="AP4359" s="82"/>
      <c r="AQ4359" s="82"/>
      <c r="AR4359" s="82"/>
      <c r="AS4359" s="82"/>
      <c r="AT4359" s="82"/>
      <c r="AU4359" s="82"/>
      <c r="AV4359" s="82"/>
      <c r="AW4359" s="82" t="str">
        <f t="shared" si="1"/>
        <v/>
      </c>
      <c r="AX4359" s="83" t="str">
        <f t="array" ref="AX4359">IFERROR(DGET('SBV Import'!A:G,"SBV",{"RSC ID","Tier";B4359,A4359}))</f>
        <v/>
      </c>
      <c r="AY4359" s="82" t="str">
        <f t="shared" si="2"/>
        <v/>
      </c>
      <c r="AZ4359" s="82"/>
      <c r="BA4359" s="84" t="s">
        <v>152</v>
      </c>
      <c r="BB4359" s="84" t="str">
        <f>IFERROR(__xludf.DUMMYFUNCTION("iferror(if(A4359="""",,E4359&gt;=FILTER(Constants!$F$2:$F$10,Constants!$A$2:$A$10=A4359)))"),"")</f>
        <v/>
      </c>
    </row>
    <row r="4360">
      <c r="A4360" s="89"/>
      <c r="B4360" s="87"/>
      <c r="C4360" s="73"/>
      <c r="D4360" s="73"/>
      <c r="E4360" s="82"/>
      <c r="F4360" s="82"/>
      <c r="G4360" s="86"/>
      <c r="H4360" s="86"/>
      <c r="I4360" s="86"/>
      <c r="J4360" s="82"/>
      <c r="K4360" s="82"/>
      <c r="L4360" s="82"/>
      <c r="M4360" s="82"/>
      <c r="N4360" s="82"/>
      <c r="O4360" s="82"/>
      <c r="P4360" s="82"/>
      <c r="Q4360" s="82"/>
      <c r="R4360" s="82"/>
      <c r="S4360" s="82"/>
      <c r="T4360" s="82"/>
      <c r="U4360" s="82"/>
      <c r="V4360" s="82"/>
      <c r="W4360" s="82"/>
      <c r="X4360" s="82"/>
      <c r="Y4360" s="82"/>
      <c r="Z4360" s="82"/>
      <c r="AA4360" s="82"/>
      <c r="AB4360" s="82"/>
      <c r="AC4360" s="82"/>
      <c r="AD4360" s="82"/>
      <c r="AE4360" s="82"/>
      <c r="AF4360" s="82"/>
      <c r="AG4360" s="82"/>
      <c r="AH4360" s="82"/>
      <c r="AI4360" s="82"/>
      <c r="AJ4360" s="82"/>
      <c r="AK4360" s="82"/>
      <c r="AL4360" s="82"/>
      <c r="AM4360" s="82"/>
      <c r="AN4360" s="82"/>
      <c r="AO4360" s="82"/>
      <c r="AP4360" s="82"/>
      <c r="AQ4360" s="82"/>
      <c r="AR4360" s="82"/>
      <c r="AS4360" s="82"/>
      <c r="AT4360" s="82"/>
      <c r="AU4360" s="82"/>
      <c r="AV4360" s="82"/>
      <c r="AW4360" s="82" t="str">
        <f t="shared" si="1"/>
        <v/>
      </c>
      <c r="AX4360" s="83" t="str">
        <f t="array" ref="AX4360">IFERROR(DGET('SBV Import'!A:G,"SBV",{"RSC ID","Tier";B4360,A4360}))</f>
        <v/>
      </c>
      <c r="AY4360" s="82" t="str">
        <f t="shared" si="2"/>
        <v/>
      </c>
      <c r="AZ4360" s="82"/>
      <c r="BA4360" s="84" t="s">
        <v>152</v>
      </c>
      <c r="BB4360" s="84" t="str">
        <f>IFERROR(__xludf.DUMMYFUNCTION("iferror(if(A4360="""",,E4360&gt;=FILTER(Constants!$F$2:$F$10,Constants!$A$2:$A$10=A4360)))"),"")</f>
        <v/>
      </c>
    </row>
    <row r="4361">
      <c r="A4361" s="89"/>
      <c r="B4361" s="87"/>
      <c r="C4361" s="73"/>
      <c r="D4361" s="73"/>
      <c r="E4361" s="82"/>
      <c r="F4361" s="82"/>
      <c r="G4361" s="86"/>
      <c r="H4361" s="86"/>
      <c r="I4361" s="86"/>
      <c r="J4361" s="82"/>
      <c r="K4361" s="82"/>
      <c r="L4361" s="82"/>
      <c r="M4361" s="82"/>
      <c r="N4361" s="82"/>
      <c r="O4361" s="82"/>
      <c r="P4361" s="82"/>
      <c r="Q4361" s="82"/>
      <c r="R4361" s="82"/>
      <c r="S4361" s="82"/>
      <c r="T4361" s="82"/>
      <c r="U4361" s="82"/>
      <c r="V4361" s="82"/>
      <c r="W4361" s="82"/>
      <c r="X4361" s="82"/>
      <c r="Y4361" s="82"/>
      <c r="Z4361" s="82"/>
      <c r="AA4361" s="82"/>
      <c r="AB4361" s="82"/>
      <c r="AC4361" s="82"/>
      <c r="AD4361" s="82"/>
      <c r="AE4361" s="82"/>
      <c r="AF4361" s="82"/>
      <c r="AG4361" s="82"/>
      <c r="AH4361" s="82"/>
      <c r="AI4361" s="82"/>
      <c r="AJ4361" s="82"/>
      <c r="AK4361" s="82"/>
      <c r="AL4361" s="82"/>
      <c r="AM4361" s="82"/>
      <c r="AN4361" s="82"/>
      <c r="AO4361" s="82"/>
      <c r="AP4361" s="82"/>
      <c r="AQ4361" s="82"/>
      <c r="AR4361" s="82"/>
      <c r="AS4361" s="82"/>
      <c r="AT4361" s="82"/>
      <c r="AU4361" s="82"/>
      <c r="AV4361" s="82"/>
      <c r="AW4361" s="82" t="str">
        <f t="shared" si="1"/>
        <v/>
      </c>
      <c r="AX4361" s="83" t="str">
        <f t="array" ref="AX4361">IFERROR(DGET('SBV Import'!A:G,"SBV",{"RSC ID","Tier";B4361,A4361}))</f>
        <v/>
      </c>
      <c r="AY4361" s="82" t="str">
        <f t="shared" si="2"/>
        <v/>
      </c>
      <c r="AZ4361" s="82"/>
      <c r="BA4361" s="84" t="s">
        <v>152</v>
      </c>
      <c r="BB4361" s="84" t="str">
        <f>IFERROR(__xludf.DUMMYFUNCTION("iferror(if(A4361="""",,E4361&gt;=FILTER(Constants!$F$2:$F$10,Constants!$A$2:$A$10=A4361)))"),"")</f>
        <v/>
      </c>
    </row>
    <row r="4362">
      <c r="A4362" s="89"/>
      <c r="B4362" s="87"/>
      <c r="C4362" s="73"/>
      <c r="D4362" s="73"/>
      <c r="E4362" s="82"/>
      <c r="F4362" s="82"/>
      <c r="G4362" s="86"/>
      <c r="H4362" s="86"/>
      <c r="I4362" s="86"/>
      <c r="J4362" s="82"/>
      <c r="K4362" s="82"/>
      <c r="L4362" s="82"/>
      <c r="M4362" s="82"/>
      <c r="N4362" s="82"/>
      <c r="O4362" s="82"/>
      <c r="P4362" s="82"/>
      <c r="Q4362" s="82"/>
      <c r="R4362" s="82"/>
      <c r="S4362" s="82"/>
      <c r="T4362" s="82"/>
      <c r="U4362" s="82"/>
      <c r="V4362" s="82"/>
      <c r="W4362" s="82"/>
      <c r="X4362" s="82"/>
      <c r="Y4362" s="82"/>
      <c r="Z4362" s="82"/>
      <c r="AA4362" s="82"/>
      <c r="AB4362" s="82"/>
      <c r="AC4362" s="82"/>
      <c r="AD4362" s="82"/>
      <c r="AE4362" s="82"/>
      <c r="AF4362" s="82"/>
      <c r="AG4362" s="82"/>
      <c r="AH4362" s="82"/>
      <c r="AI4362" s="82"/>
      <c r="AJ4362" s="82"/>
      <c r="AK4362" s="82"/>
      <c r="AL4362" s="82"/>
      <c r="AM4362" s="82"/>
      <c r="AN4362" s="82"/>
      <c r="AO4362" s="82"/>
      <c r="AP4362" s="82"/>
      <c r="AQ4362" s="82"/>
      <c r="AR4362" s="82"/>
      <c r="AS4362" s="82"/>
      <c r="AT4362" s="82"/>
      <c r="AU4362" s="82"/>
      <c r="AV4362" s="82"/>
      <c r="AW4362" s="82" t="str">
        <f t="shared" si="1"/>
        <v/>
      </c>
      <c r="AX4362" s="83" t="str">
        <f t="array" ref="AX4362">IFERROR(DGET('SBV Import'!A:G,"SBV",{"RSC ID","Tier";B4362,A4362}))</f>
        <v/>
      </c>
      <c r="AY4362" s="82" t="str">
        <f t="shared" si="2"/>
        <v/>
      </c>
      <c r="AZ4362" s="82"/>
      <c r="BA4362" s="84" t="s">
        <v>152</v>
      </c>
      <c r="BB4362" s="84" t="str">
        <f>IFERROR(__xludf.DUMMYFUNCTION("iferror(if(A4362="""",,E4362&gt;=FILTER(Constants!$F$2:$F$10,Constants!$A$2:$A$10=A4362)))"),"")</f>
        <v/>
      </c>
    </row>
    <row r="4363">
      <c r="A4363" s="89"/>
      <c r="B4363" s="87"/>
      <c r="C4363" s="73"/>
      <c r="D4363" s="73"/>
      <c r="E4363" s="82"/>
      <c r="F4363" s="82"/>
      <c r="G4363" s="86"/>
      <c r="H4363" s="86"/>
      <c r="I4363" s="86"/>
      <c r="J4363" s="82"/>
      <c r="K4363" s="82"/>
      <c r="L4363" s="82"/>
      <c r="M4363" s="82"/>
      <c r="N4363" s="82"/>
      <c r="O4363" s="82"/>
      <c r="P4363" s="82"/>
      <c r="Q4363" s="82"/>
      <c r="R4363" s="82"/>
      <c r="S4363" s="82"/>
      <c r="T4363" s="82"/>
      <c r="U4363" s="82"/>
      <c r="V4363" s="82"/>
      <c r="W4363" s="82"/>
      <c r="X4363" s="82"/>
      <c r="Y4363" s="82"/>
      <c r="Z4363" s="82"/>
      <c r="AA4363" s="82"/>
      <c r="AB4363" s="82"/>
      <c r="AC4363" s="82"/>
      <c r="AD4363" s="82"/>
      <c r="AE4363" s="82"/>
      <c r="AF4363" s="82"/>
      <c r="AG4363" s="82"/>
      <c r="AH4363" s="82"/>
      <c r="AI4363" s="82"/>
      <c r="AJ4363" s="82"/>
      <c r="AK4363" s="82"/>
      <c r="AL4363" s="82"/>
      <c r="AM4363" s="82"/>
      <c r="AN4363" s="82"/>
      <c r="AO4363" s="82"/>
      <c r="AP4363" s="82"/>
      <c r="AQ4363" s="82"/>
      <c r="AR4363" s="82"/>
      <c r="AS4363" s="82"/>
      <c r="AT4363" s="82"/>
      <c r="AU4363" s="82"/>
      <c r="AV4363" s="82"/>
      <c r="AW4363" s="82" t="str">
        <f t="shared" si="1"/>
        <v/>
      </c>
      <c r="AX4363" s="83" t="str">
        <f t="array" ref="AX4363">IFERROR(DGET('SBV Import'!A:G,"SBV",{"RSC ID","Tier";B4363,A4363}))</f>
        <v/>
      </c>
      <c r="AY4363" s="82" t="str">
        <f t="shared" si="2"/>
        <v/>
      </c>
      <c r="AZ4363" s="82"/>
      <c r="BA4363" s="84" t="s">
        <v>152</v>
      </c>
      <c r="BB4363" s="84" t="str">
        <f>IFERROR(__xludf.DUMMYFUNCTION("iferror(if(A4363="""",,E4363&gt;=FILTER(Constants!$F$2:$F$10,Constants!$A$2:$A$10=A4363)))"),"")</f>
        <v/>
      </c>
    </row>
    <row r="4364">
      <c r="A4364" s="89"/>
      <c r="B4364" s="87"/>
      <c r="C4364" s="73"/>
      <c r="D4364" s="73"/>
      <c r="E4364" s="82"/>
      <c r="F4364" s="82"/>
      <c r="G4364" s="86"/>
      <c r="H4364" s="86"/>
      <c r="I4364" s="86"/>
      <c r="J4364" s="82"/>
      <c r="K4364" s="82"/>
      <c r="L4364" s="82"/>
      <c r="M4364" s="82"/>
      <c r="N4364" s="82"/>
      <c r="O4364" s="82"/>
      <c r="P4364" s="82"/>
      <c r="Q4364" s="82"/>
      <c r="R4364" s="82"/>
      <c r="S4364" s="82"/>
      <c r="T4364" s="82"/>
      <c r="U4364" s="82"/>
      <c r="V4364" s="82"/>
      <c r="W4364" s="82"/>
      <c r="X4364" s="82"/>
      <c r="Y4364" s="82"/>
      <c r="Z4364" s="82"/>
      <c r="AA4364" s="82"/>
      <c r="AB4364" s="82"/>
      <c r="AC4364" s="82"/>
      <c r="AD4364" s="82"/>
      <c r="AE4364" s="82"/>
      <c r="AF4364" s="82"/>
      <c r="AG4364" s="82"/>
      <c r="AH4364" s="82"/>
      <c r="AI4364" s="82"/>
      <c r="AJ4364" s="82"/>
      <c r="AK4364" s="82"/>
      <c r="AL4364" s="82"/>
      <c r="AM4364" s="82"/>
      <c r="AN4364" s="82"/>
      <c r="AO4364" s="82"/>
      <c r="AP4364" s="82"/>
      <c r="AQ4364" s="82"/>
      <c r="AR4364" s="82"/>
      <c r="AS4364" s="82"/>
      <c r="AT4364" s="82"/>
      <c r="AU4364" s="82"/>
      <c r="AV4364" s="82"/>
      <c r="AW4364" s="82" t="str">
        <f t="shared" si="1"/>
        <v/>
      </c>
      <c r="AX4364" s="83" t="str">
        <f t="array" ref="AX4364">IFERROR(DGET('SBV Import'!A:G,"SBV",{"RSC ID","Tier";B4364,A4364}))</f>
        <v/>
      </c>
      <c r="AY4364" s="82" t="str">
        <f t="shared" si="2"/>
        <v/>
      </c>
      <c r="AZ4364" s="82"/>
      <c r="BA4364" s="84" t="s">
        <v>152</v>
      </c>
      <c r="BB4364" s="84" t="str">
        <f>IFERROR(__xludf.DUMMYFUNCTION("iferror(if(A4364="""",,E4364&gt;=FILTER(Constants!$F$2:$F$10,Constants!$A$2:$A$10=A4364)))"),"")</f>
        <v/>
      </c>
    </row>
    <row r="4365">
      <c r="A4365" s="89"/>
      <c r="B4365" s="87"/>
      <c r="C4365" s="73"/>
      <c r="D4365" s="73"/>
      <c r="E4365" s="82"/>
      <c r="F4365" s="82"/>
      <c r="G4365" s="86"/>
      <c r="H4365" s="86"/>
      <c r="I4365" s="86"/>
      <c r="J4365" s="82"/>
      <c r="K4365" s="82"/>
      <c r="L4365" s="82"/>
      <c r="M4365" s="82"/>
      <c r="N4365" s="82"/>
      <c r="O4365" s="82"/>
      <c r="P4365" s="82"/>
      <c r="Q4365" s="82"/>
      <c r="R4365" s="82"/>
      <c r="S4365" s="82"/>
      <c r="T4365" s="82"/>
      <c r="U4365" s="82"/>
      <c r="V4365" s="82"/>
      <c r="W4365" s="82"/>
      <c r="X4365" s="82"/>
      <c r="Y4365" s="82"/>
      <c r="Z4365" s="82"/>
      <c r="AA4365" s="82"/>
      <c r="AB4365" s="82"/>
      <c r="AC4365" s="82"/>
      <c r="AD4365" s="82"/>
      <c r="AE4365" s="82"/>
      <c r="AF4365" s="82"/>
      <c r="AG4365" s="82"/>
      <c r="AH4365" s="82"/>
      <c r="AI4365" s="82"/>
      <c r="AJ4365" s="82"/>
      <c r="AK4365" s="82"/>
      <c r="AL4365" s="82"/>
      <c r="AM4365" s="82"/>
      <c r="AN4365" s="82"/>
      <c r="AO4365" s="82"/>
      <c r="AP4365" s="82"/>
      <c r="AQ4365" s="82"/>
      <c r="AR4365" s="82"/>
      <c r="AS4365" s="82"/>
      <c r="AT4365" s="82"/>
      <c r="AU4365" s="82"/>
      <c r="AV4365" s="82"/>
      <c r="AW4365" s="82" t="str">
        <f t="shared" si="1"/>
        <v/>
      </c>
      <c r="AX4365" s="83" t="str">
        <f t="array" ref="AX4365">IFERROR(DGET('SBV Import'!A:G,"SBV",{"RSC ID","Tier";B4365,A4365}))</f>
        <v/>
      </c>
      <c r="AY4365" s="82" t="str">
        <f t="shared" si="2"/>
        <v/>
      </c>
      <c r="AZ4365" s="82"/>
      <c r="BA4365" s="84" t="s">
        <v>152</v>
      </c>
      <c r="BB4365" s="84" t="str">
        <f>IFERROR(__xludf.DUMMYFUNCTION("iferror(if(A4365="""",,E4365&gt;=FILTER(Constants!$F$2:$F$10,Constants!$A$2:$A$10=A4365)))"),"")</f>
        <v/>
      </c>
    </row>
    <row r="4366">
      <c r="A4366" s="89"/>
      <c r="B4366" s="87"/>
      <c r="C4366" s="73"/>
      <c r="D4366" s="73"/>
      <c r="E4366" s="82"/>
      <c r="F4366" s="82"/>
      <c r="G4366" s="86"/>
      <c r="H4366" s="86"/>
      <c r="I4366" s="86"/>
      <c r="J4366" s="82"/>
      <c r="K4366" s="82"/>
      <c r="L4366" s="82"/>
      <c r="M4366" s="82"/>
      <c r="N4366" s="82"/>
      <c r="O4366" s="82"/>
      <c r="P4366" s="82"/>
      <c r="Q4366" s="82"/>
      <c r="R4366" s="82"/>
      <c r="S4366" s="82"/>
      <c r="T4366" s="82"/>
      <c r="U4366" s="82"/>
      <c r="V4366" s="82"/>
      <c r="W4366" s="82"/>
      <c r="X4366" s="82"/>
      <c r="Y4366" s="82"/>
      <c r="Z4366" s="82"/>
      <c r="AA4366" s="82"/>
      <c r="AB4366" s="82"/>
      <c r="AC4366" s="82"/>
      <c r="AD4366" s="82"/>
      <c r="AE4366" s="82"/>
      <c r="AF4366" s="82"/>
      <c r="AG4366" s="82"/>
      <c r="AH4366" s="82"/>
      <c r="AI4366" s="82"/>
      <c r="AJ4366" s="82"/>
      <c r="AK4366" s="82"/>
      <c r="AL4366" s="82"/>
      <c r="AM4366" s="82"/>
      <c r="AN4366" s="82"/>
      <c r="AO4366" s="82"/>
      <c r="AP4366" s="82"/>
      <c r="AQ4366" s="82"/>
      <c r="AR4366" s="82"/>
      <c r="AS4366" s="82"/>
      <c r="AT4366" s="82"/>
      <c r="AU4366" s="82"/>
      <c r="AV4366" s="82"/>
      <c r="AW4366" s="82" t="str">
        <f t="shared" si="1"/>
        <v/>
      </c>
      <c r="AX4366" s="83" t="str">
        <f t="array" ref="AX4366">IFERROR(DGET('SBV Import'!A:G,"SBV",{"RSC ID","Tier";B4366,A4366}))</f>
        <v/>
      </c>
      <c r="AY4366" s="82" t="str">
        <f t="shared" si="2"/>
        <v/>
      </c>
      <c r="AZ4366" s="82"/>
      <c r="BA4366" s="84" t="s">
        <v>152</v>
      </c>
      <c r="BB4366" s="84" t="str">
        <f>IFERROR(__xludf.DUMMYFUNCTION("iferror(if(A4366="""",,E4366&gt;=FILTER(Constants!$F$2:$F$10,Constants!$A$2:$A$10=A4366)))"),"")</f>
        <v/>
      </c>
    </row>
    <row r="4367">
      <c r="A4367" s="89"/>
      <c r="B4367" s="87"/>
      <c r="C4367" s="73"/>
      <c r="D4367" s="73"/>
      <c r="E4367" s="82"/>
      <c r="F4367" s="82"/>
      <c r="G4367" s="86"/>
      <c r="H4367" s="86"/>
      <c r="I4367" s="86"/>
      <c r="J4367" s="82"/>
      <c r="K4367" s="82"/>
      <c r="L4367" s="82"/>
      <c r="M4367" s="82"/>
      <c r="N4367" s="82"/>
      <c r="O4367" s="82"/>
      <c r="P4367" s="82"/>
      <c r="Q4367" s="82"/>
      <c r="R4367" s="82"/>
      <c r="S4367" s="82"/>
      <c r="T4367" s="82"/>
      <c r="U4367" s="82"/>
      <c r="V4367" s="82"/>
      <c r="W4367" s="82"/>
      <c r="X4367" s="82"/>
      <c r="Y4367" s="82"/>
      <c r="Z4367" s="82"/>
      <c r="AA4367" s="82"/>
      <c r="AB4367" s="82"/>
      <c r="AC4367" s="82"/>
      <c r="AD4367" s="82"/>
      <c r="AE4367" s="82"/>
      <c r="AF4367" s="82"/>
      <c r="AG4367" s="82"/>
      <c r="AH4367" s="82"/>
      <c r="AI4367" s="82"/>
      <c r="AJ4367" s="82"/>
      <c r="AK4367" s="82"/>
      <c r="AL4367" s="82"/>
      <c r="AM4367" s="82"/>
      <c r="AN4367" s="82"/>
      <c r="AO4367" s="82"/>
      <c r="AP4367" s="82"/>
      <c r="AQ4367" s="82"/>
      <c r="AR4367" s="82"/>
      <c r="AS4367" s="82"/>
      <c r="AT4367" s="82"/>
      <c r="AU4367" s="82"/>
      <c r="AV4367" s="82"/>
      <c r="AW4367" s="82" t="str">
        <f t="shared" si="1"/>
        <v/>
      </c>
      <c r="AX4367" s="83" t="str">
        <f t="array" ref="AX4367">IFERROR(DGET('SBV Import'!A:G,"SBV",{"RSC ID","Tier";B4367,A4367}))</f>
        <v/>
      </c>
      <c r="AY4367" s="82" t="str">
        <f t="shared" si="2"/>
        <v/>
      </c>
      <c r="AZ4367" s="82"/>
      <c r="BA4367" s="84" t="s">
        <v>152</v>
      </c>
      <c r="BB4367" s="84" t="str">
        <f>IFERROR(__xludf.DUMMYFUNCTION("iferror(if(A4367="""",,E4367&gt;=FILTER(Constants!$F$2:$F$10,Constants!$A$2:$A$10=A4367)))"),"")</f>
        <v/>
      </c>
    </row>
    <row r="4368">
      <c r="A4368" s="89"/>
      <c r="B4368" s="87"/>
      <c r="C4368" s="73"/>
      <c r="D4368" s="73"/>
      <c r="E4368" s="82"/>
      <c r="F4368" s="82"/>
      <c r="G4368" s="86"/>
      <c r="H4368" s="86"/>
      <c r="I4368" s="86"/>
      <c r="J4368" s="82"/>
      <c r="K4368" s="82"/>
      <c r="L4368" s="82"/>
      <c r="M4368" s="82"/>
      <c r="N4368" s="82"/>
      <c r="O4368" s="82"/>
      <c r="P4368" s="82"/>
      <c r="Q4368" s="82"/>
      <c r="R4368" s="82"/>
      <c r="S4368" s="82"/>
      <c r="T4368" s="82"/>
      <c r="U4368" s="82"/>
      <c r="V4368" s="82"/>
      <c r="W4368" s="82"/>
      <c r="X4368" s="82"/>
      <c r="Y4368" s="82"/>
      <c r="Z4368" s="82"/>
      <c r="AA4368" s="82"/>
      <c r="AB4368" s="82"/>
      <c r="AC4368" s="82"/>
      <c r="AD4368" s="82"/>
      <c r="AE4368" s="82"/>
      <c r="AF4368" s="82"/>
      <c r="AG4368" s="82"/>
      <c r="AH4368" s="82"/>
      <c r="AI4368" s="82"/>
      <c r="AJ4368" s="82"/>
      <c r="AK4368" s="82"/>
      <c r="AL4368" s="82"/>
      <c r="AM4368" s="82"/>
      <c r="AN4368" s="82"/>
      <c r="AO4368" s="82"/>
      <c r="AP4368" s="82"/>
      <c r="AQ4368" s="82"/>
      <c r="AR4368" s="82"/>
      <c r="AS4368" s="82"/>
      <c r="AT4368" s="82"/>
      <c r="AU4368" s="82"/>
      <c r="AV4368" s="82"/>
      <c r="AW4368" s="82" t="str">
        <f t="shared" si="1"/>
        <v/>
      </c>
      <c r="AX4368" s="83" t="str">
        <f t="array" ref="AX4368">IFERROR(DGET('SBV Import'!A:G,"SBV",{"RSC ID","Tier";B4368,A4368}))</f>
        <v/>
      </c>
      <c r="AY4368" s="82" t="str">
        <f t="shared" si="2"/>
        <v/>
      </c>
      <c r="AZ4368" s="82"/>
      <c r="BA4368" s="84" t="s">
        <v>152</v>
      </c>
      <c r="BB4368" s="84" t="str">
        <f>IFERROR(__xludf.DUMMYFUNCTION("iferror(if(A4368="""",,E4368&gt;=FILTER(Constants!$F$2:$F$10,Constants!$A$2:$A$10=A4368)))"),"")</f>
        <v/>
      </c>
    </row>
    <row r="4369">
      <c r="A4369" s="89"/>
      <c r="B4369" s="87"/>
      <c r="C4369" s="73"/>
      <c r="D4369" s="73"/>
      <c r="E4369" s="82"/>
      <c r="F4369" s="82"/>
      <c r="G4369" s="86"/>
      <c r="H4369" s="86"/>
      <c r="I4369" s="86"/>
      <c r="J4369" s="82"/>
      <c r="K4369" s="82"/>
      <c r="L4369" s="82"/>
      <c r="M4369" s="82"/>
      <c r="N4369" s="82"/>
      <c r="O4369" s="82"/>
      <c r="P4369" s="82"/>
      <c r="Q4369" s="82"/>
      <c r="R4369" s="82"/>
      <c r="S4369" s="82"/>
      <c r="T4369" s="82"/>
      <c r="U4369" s="82"/>
      <c r="V4369" s="82"/>
      <c r="W4369" s="82"/>
      <c r="X4369" s="82"/>
      <c r="Y4369" s="82"/>
      <c r="Z4369" s="82"/>
      <c r="AA4369" s="82"/>
      <c r="AB4369" s="82"/>
      <c r="AC4369" s="82"/>
      <c r="AD4369" s="82"/>
      <c r="AE4369" s="82"/>
      <c r="AF4369" s="82"/>
      <c r="AG4369" s="82"/>
      <c r="AH4369" s="82"/>
      <c r="AI4369" s="82"/>
      <c r="AJ4369" s="82"/>
      <c r="AK4369" s="82"/>
      <c r="AL4369" s="82"/>
      <c r="AM4369" s="82"/>
      <c r="AN4369" s="82"/>
      <c r="AO4369" s="82"/>
      <c r="AP4369" s="82"/>
      <c r="AQ4369" s="82"/>
      <c r="AR4369" s="82"/>
      <c r="AS4369" s="82"/>
      <c r="AT4369" s="82"/>
      <c r="AU4369" s="82"/>
      <c r="AV4369" s="82"/>
      <c r="AW4369" s="82" t="str">
        <f t="shared" si="1"/>
        <v/>
      </c>
      <c r="AX4369" s="83" t="str">
        <f t="array" ref="AX4369">IFERROR(DGET('SBV Import'!A:G,"SBV",{"RSC ID","Tier";B4369,A4369}))</f>
        <v/>
      </c>
      <c r="AY4369" s="82" t="str">
        <f t="shared" si="2"/>
        <v/>
      </c>
      <c r="AZ4369" s="82"/>
      <c r="BA4369" s="84" t="s">
        <v>152</v>
      </c>
      <c r="BB4369" s="84" t="str">
        <f>IFERROR(__xludf.DUMMYFUNCTION("iferror(if(A4369="""",,E4369&gt;=FILTER(Constants!$F$2:$F$10,Constants!$A$2:$A$10=A4369)))"),"")</f>
        <v/>
      </c>
    </row>
    <row r="4370">
      <c r="A4370" s="89"/>
      <c r="B4370" s="87"/>
      <c r="C4370" s="73"/>
      <c r="D4370" s="73"/>
      <c r="E4370" s="82"/>
      <c r="F4370" s="82"/>
      <c r="G4370" s="86"/>
      <c r="H4370" s="86"/>
      <c r="I4370" s="86"/>
      <c r="J4370" s="82"/>
      <c r="K4370" s="82"/>
      <c r="L4370" s="82"/>
      <c r="M4370" s="82"/>
      <c r="N4370" s="82"/>
      <c r="O4370" s="82"/>
      <c r="P4370" s="82"/>
      <c r="Q4370" s="82"/>
      <c r="R4370" s="82"/>
      <c r="S4370" s="82"/>
      <c r="T4370" s="82"/>
      <c r="U4370" s="82"/>
      <c r="V4370" s="82"/>
      <c r="W4370" s="82"/>
      <c r="X4370" s="82"/>
      <c r="Y4370" s="82"/>
      <c r="Z4370" s="82"/>
      <c r="AA4370" s="82"/>
      <c r="AB4370" s="82"/>
      <c r="AC4370" s="82"/>
      <c r="AD4370" s="82"/>
      <c r="AE4370" s="82"/>
      <c r="AF4370" s="82"/>
      <c r="AG4370" s="82"/>
      <c r="AH4370" s="82"/>
      <c r="AI4370" s="82"/>
      <c r="AJ4370" s="82"/>
      <c r="AK4370" s="82"/>
      <c r="AL4370" s="82"/>
      <c r="AM4370" s="82"/>
      <c r="AN4370" s="82"/>
      <c r="AO4370" s="82"/>
      <c r="AP4370" s="82"/>
      <c r="AQ4370" s="82"/>
      <c r="AR4370" s="82"/>
      <c r="AS4370" s="82"/>
      <c r="AT4370" s="82"/>
      <c r="AU4370" s="82"/>
      <c r="AV4370" s="82"/>
      <c r="AW4370" s="82" t="str">
        <f t="shared" si="1"/>
        <v/>
      </c>
      <c r="AX4370" s="83" t="str">
        <f t="array" ref="AX4370">IFERROR(DGET('SBV Import'!A:G,"SBV",{"RSC ID","Tier";B4370,A4370}))</f>
        <v/>
      </c>
      <c r="AY4370" s="82" t="str">
        <f t="shared" si="2"/>
        <v/>
      </c>
      <c r="AZ4370" s="82"/>
      <c r="BA4370" s="84" t="s">
        <v>152</v>
      </c>
      <c r="BB4370" s="84" t="str">
        <f>IFERROR(__xludf.DUMMYFUNCTION("iferror(if(A4370="""",,E4370&gt;=FILTER(Constants!$F$2:$F$10,Constants!$A$2:$A$10=A4370)))"),"")</f>
        <v/>
      </c>
    </row>
    <row r="4371">
      <c r="A4371" s="89"/>
      <c r="B4371" s="87"/>
      <c r="C4371" s="73"/>
      <c r="D4371" s="73"/>
      <c r="E4371" s="82"/>
      <c r="F4371" s="82"/>
      <c r="G4371" s="86"/>
      <c r="H4371" s="86"/>
      <c r="I4371" s="86"/>
      <c r="J4371" s="82"/>
      <c r="K4371" s="82"/>
      <c r="L4371" s="82"/>
      <c r="M4371" s="82"/>
      <c r="N4371" s="82"/>
      <c r="O4371" s="82"/>
      <c r="P4371" s="82"/>
      <c r="Q4371" s="82"/>
      <c r="R4371" s="82"/>
      <c r="S4371" s="82"/>
      <c r="T4371" s="82"/>
      <c r="U4371" s="82"/>
      <c r="V4371" s="82"/>
      <c r="W4371" s="82"/>
      <c r="X4371" s="82"/>
      <c r="Y4371" s="82"/>
      <c r="Z4371" s="82"/>
      <c r="AA4371" s="82"/>
      <c r="AB4371" s="82"/>
      <c r="AC4371" s="82"/>
      <c r="AD4371" s="82"/>
      <c r="AE4371" s="82"/>
      <c r="AF4371" s="82"/>
      <c r="AG4371" s="82"/>
      <c r="AH4371" s="82"/>
      <c r="AI4371" s="82"/>
      <c r="AJ4371" s="82"/>
      <c r="AK4371" s="82"/>
      <c r="AL4371" s="82"/>
      <c r="AM4371" s="82"/>
      <c r="AN4371" s="82"/>
      <c r="AO4371" s="82"/>
      <c r="AP4371" s="82"/>
      <c r="AQ4371" s="82"/>
      <c r="AR4371" s="82"/>
      <c r="AS4371" s="82"/>
      <c r="AT4371" s="82"/>
      <c r="AU4371" s="82"/>
      <c r="AV4371" s="82"/>
      <c r="AW4371" s="82" t="str">
        <f t="shared" si="1"/>
        <v/>
      </c>
      <c r="AX4371" s="83" t="str">
        <f t="array" ref="AX4371">IFERROR(DGET('SBV Import'!A:G,"SBV",{"RSC ID","Tier";B4371,A4371}))</f>
        <v/>
      </c>
      <c r="AY4371" s="82" t="str">
        <f t="shared" si="2"/>
        <v/>
      </c>
      <c r="AZ4371" s="82"/>
      <c r="BA4371" s="84" t="s">
        <v>152</v>
      </c>
      <c r="BB4371" s="84" t="str">
        <f>IFERROR(__xludf.DUMMYFUNCTION("iferror(if(A4371="""",,E4371&gt;=FILTER(Constants!$F$2:$F$10,Constants!$A$2:$A$10=A4371)))"),"")</f>
        <v/>
      </c>
    </row>
    <row r="4372">
      <c r="A4372" s="89"/>
      <c r="B4372" s="87"/>
      <c r="C4372" s="73"/>
      <c r="D4372" s="73"/>
      <c r="E4372" s="82"/>
      <c r="F4372" s="82"/>
      <c r="G4372" s="86"/>
      <c r="H4372" s="86"/>
      <c r="I4372" s="86"/>
      <c r="J4372" s="82"/>
      <c r="K4372" s="82"/>
      <c r="L4372" s="82"/>
      <c r="M4372" s="82"/>
      <c r="N4372" s="82"/>
      <c r="O4372" s="82"/>
      <c r="P4372" s="82"/>
      <c r="Q4372" s="82"/>
      <c r="R4372" s="82"/>
      <c r="S4372" s="82"/>
      <c r="T4372" s="82"/>
      <c r="U4372" s="82"/>
      <c r="V4372" s="82"/>
      <c r="W4372" s="82"/>
      <c r="X4372" s="82"/>
      <c r="Y4372" s="82"/>
      <c r="Z4372" s="82"/>
      <c r="AA4372" s="82"/>
      <c r="AB4372" s="82"/>
      <c r="AC4372" s="82"/>
      <c r="AD4372" s="82"/>
      <c r="AE4372" s="82"/>
      <c r="AF4372" s="82"/>
      <c r="AG4372" s="82"/>
      <c r="AH4372" s="82"/>
      <c r="AI4372" s="82"/>
      <c r="AJ4372" s="82"/>
      <c r="AK4372" s="82"/>
      <c r="AL4372" s="82"/>
      <c r="AM4372" s="82"/>
      <c r="AN4372" s="82"/>
      <c r="AO4372" s="82"/>
      <c r="AP4372" s="82"/>
      <c r="AQ4372" s="82"/>
      <c r="AR4372" s="82"/>
      <c r="AS4372" s="82"/>
      <c r="AT4372" s="82"/>
      <c r="AU4372" s="82"/>
      <c r="AV4372" s="82"/>
      <c r="AW4372" s="82" t="str">
        <f t="shared" si="1"/>
        <v/>
      </c>
      <c r="AX4372" s="83" t="str">
        <f t="array" ref="AX4372">IFERROR(DGET('SBV Import'!A:G,"SBV",{"RSC ID","Tier";B4372,A4372}))</f>
        <v/>
      </c>
      <c r="AY4372" s="82" t="str">
        <f t="shared" si="2"/>
        <v/>
      </c>
      <c r="AZ4372" s="82"/>
      <c r="BA4372" s="84" t="s">
        <v>152</v>
      </c>
      <c r="BB4372" s="84" t="str">
        <f>IFERROR(__xludf.DUMMYFUNCTION("iferror(if(A4372="""",,E4372&gt;=FILTER(Constants!$F$2:$F$10,Constants!$A$2:$A$10=A4372)))"),"")</f>
        <v/>
      </c>
    </row>
    <row r="4373">
      <c r="A4373" s="89"/>
      <c r="B4373" s="87"/>
      <c r="C4373" s="73"/>
      <c r="D4373" s="73"/>
      <c r="E4373" s="82"/>
      <c r="F4373" s="82"/>
      <c r="G4373" s="86"/>
      <c r="H4373" s="86"/>
      <c r="I4373" s="86"/>
      <c r="J4373" s="82"/>
      <c r="K4373" s="82"/>
      <c r="L4373" s="82"/>
      <c r="M4373" s="82"/>
      <c r="N4373" s="82"/>
      <c r="O4373" s="82"/>
      <c r="P4373" s="82"/>
      <c r="Q4373" s="82"/>
      <c r="R4373" s="82"/>
      <c r="S4373" s="82"/>
      <c r="T4373" s="82"/>
      <c r="U4373" s="82"/>
      <c r="V4373" s="82"/>
      <c r="W4373" s="82"/>
      <c r="X4373" s="82"/>
      <c r="Y4373" s="82"/>
      <c r="Z4373" s="82"/>
      <c r="AA4373" s="82"/>
      <c r="AB4373" s="82"/>
      <c r="AC4373" s="82"/>
      <c r="AD4373" s="82"/>
      <c r="AE4373" s="82"/>
      <c r="AF4373" s="82"/>
      <c r="AG4373" s="82"/>
      <c r="AH4373" s="82"/>
      <c r="AI4373" s="82"/>
      <c r="AJ4373" s="82"/>
      <c r="AK4373" s="82"/>
      <c r="AL4373" s="82"/>
      <c r="AM4373" s="82"/>
      <c r="AN4373" s="82"/>
      <c r="AO4373" s="82"/>
      <c r="AP4373" s="82"/>
      <c r="AQ4373" s="82"/>
      <c r="AR4373" s="82"/>
      <c r="AS4373" s="82"/>
      <c r="AT4373" s="82"/>
      <c r="AU4373" s="82"/>
      <c r="AV4373" s="82"/>
      <c r="AW4373" s="82" t="str">
        <f t="shared" si="1"/>
        <v/>
      </c>
      <c r="AX4373" s="83" t="str">
        <f t="array" ref="AX4373">IFERROR(DGET('SBV Import'!A:G,"SBV",{"RSC ID","Tier";B4373,A4373}))</f>
        <v/>
      </c>
      <c r="AY4373" s="82" t="str">
        <f t="shared" si="2"/>
        <v/>
      </c>
      <c r="AZ4373" s="82"/>
      <c r="BA4373" s="84" t="s">
        <v>152</v>
      </c>
      <c r="BB4373" s="84" t="str">
        <f>IFERROR(__xludf.DUMMYFUNCTION("iferror(if(A4373="""",,E4373&gt;=FILTER(Constants!$F$2:$F$10,Constants!$A$2:$A$10=A4373)))"),"")</f>
        <v/>
      </c>
    </row>
    <row r="4374">
      <c r="A4374" s="89"/>
      <c r="B4374" s="87"/>
      <c r="C4374" s="73"/>
      <c r="D4374" s="73"/>
      <c r="E4374" s="82"/>
      <c r="F4374" s="82"/>
      <c r="G4374" s="86"/>
      <c r="H4374" s="86"/>
      <c r="I4374" s="86"/>
      <c r="J4374" s="82"/>
      <c r="K4374" s="82"/>
      <c r="L4374" s="82"/>
      <c r="M4374" s="82"/>
      <c r="N4374" s="82"/>
      <c r="O4374" s="82"/>
      <c r="P4374" s="82"/>
      <c r="Q4374" s="82"/>
      <c r="R4374" s="82"/>
      <c r="S4374" s="82"/>
      <c r="T4374" s="82"/>
      <c r="U4374" s="82"/>
      <c r="V4374" s="82"/>
      <c r="W4374" s="82"/>
      <c r="X4374" s="82"/>
      <c r="Y4374" s="82"/>
      <c r="Z4374" s="82"/>
      <c r="AA4374" s="82"/>
      <c r="AB4374" s="82"/>
      <c r="AC4374" s="82"/>
      <c r="AD4374" s="82"/>
      <c r="AE4374" s="82"/>
      <c r="AF4374" s="82"/>
      <c r="AG4374" s="82"/>
      <c r="AH4374" s="82"/>
      <c r="AI4374" s="82"/>
      <c r="AJ4374" s="82"/>
      <c r="AK4374" s="82"/>
      <c r="AL4374" s="82"/>
      <c r="AM4374" s="82"/>
      <c r="AN4374" s="82"/>
      <c r="AO4374" s="82"/>
      <c r="AP4374" s="82"/>
      <c r="AQ4374" s="82"/>
      <c r="AR4374" s="82"/>
      <c r="AS4374" s="82"/>
      <c r="AT4374" s="82"/>
      <c r="AU4374" s="82"/>
      <c r="AV4374" s="82"/>
      <c r="AW4374" s="82" t="str">
        <f t="shared" si="1"/>
        <v/>
      </c>
      <c r="AX4374" s="83" t="str">
        <f t="array" ref="AX4374">IFERROR(DGET('SBV Import'!A:G,"SBV",{"RSC ID","Tier";B4374,A4374}))</f>
        <v/>
      </c>
      <c r="AY4374" s="82" t="str">
        <f t="shared" si="2"/>
        <v/>
      </c>
      <c r="AZ4374" s="82"/>
      <c r="BA4374" s="84" t="s">
        <v>152</v>
      </c>
      <c r="BB4374" s="84" t="str">
        <f>IFERROR(__xludf.DUMMYFUNCTION("iferror(if(A4374="""",,E4374&gt;=FILTER(Constants!$F$2:$F$10,Constants!$A$2:$A$10=A4374)))"),"")</f>
        <v/>
      </c>
    </row>
    <row r="4375">
      <c r="A4375" s="89"/>
      <c r="B4375" s="87"/>
      <c r="C4375" s="73"/>
      <c r="D4375" s="73"/>
      <c r="E4375" s="82"/>
      <c r="F4375" s="82"/>
      <c r="G4375" s="86"/>
      <c r="H4375" s="86"/>
      <c r="I4375" s="86"/>
      <c r="J4375" s="82"/>
      <c r="K4375" s="82"/>
      <c r="L4375" s="82"/>
      <c r="M4375" s="82"/>
      <c r="N4375" s="82"/>
      <c r="O4375" s="82"/>
      <c r="P4375" s="82"/>
      <c r="Q4375" s="82"/>
      <c r="R4375" s="82"/>
      <c r="S4375" s="82"/>
      <c r="T4375" s="82"/>
      <c r="U4375" s="82"/>
      <c r="V4375" s="82"/>
      <c r="W4375" s="82"/>
      <c r="X4375" s="82"/>
      <c r="Y4375" s="82"/>
      <c r="Z4375" s="82"/>
      <c r="AA4375" s="82"/>
      <c r="AB4375" s="82"/>
      <c r="AC4375" s="82"/>
      <c r="AD4375" s="82"/>
      <c r="AE4375" s="82"/>
      <c r="AF4375" s="82"/>
      <c r="AG4375" s="82"/>
      <c r="AH4375" s="82"/>
      <c r="AI4375" s="82"/>
      <c r="AJ4375" s="82"/>
      <c r="AK4375" s="82"/>
      <c r="AL4375" s="82"/>
      <c r="AM4375" s="82"/>
      <c r="AN4375" s="82"/>
      <c r="AO4375" s="82"/>
      <c r="AP4375" s="82"/>
      <c r="AQ4375" s="82"/>
      <c r="AR4375" s="82"/>
      <c r="AS4375" s="82"/>
      <c r="AT4375" s="82"/>
      <c r="AU4375" s="82"/>
      <c r="AV4375" s="82"/>
      <c r="AW4375" s="82" t="str">
        <f t="shared" si="1"/>
        <v/>
      </c>
      <c r="AX4375" s="83" t="str">
        <f t="array" ref="AX4375">IFERROR(DGET('SBV Import'!A:G,"SBV",{"RSC ID","Tier";B4375,A4375}))</f>
        <v/>
      </c>
      <c r="AY4375" s="82" t="str">
        <f t="shared" si="2"/>
        <v/>
      </c>
      <c r="AZ4375" s="82"/>
      <c r="BA4375" s="84" t="s">
        <v>152</v>
      </c>
      <c r="BB4375" s="84" t="str">
        <f>IFERROR(__xludf.DUMMYFUNCTION("iferror(if(A4375="""",,E4375&gt;=FILTER(Constants!$F$2:$F$10,Constants!$A$2:$A$10=A4375)))"),"")</f>
        <v/>
      </c>
    </row>
    <row r="4376">
      <c r="A4376" s="89"/>
      <c r="B4376" s="87"/>
      <c r="C4376" s="73"/>
      <c r="D4376" s="73"/>
      <c r="E4376" s="82"/>
      <c r="F4376" s="82"/>
      <c r="G4376" s="86"/>
      <c r="H4376" s="86"/>
      <c r="I4376" s="86"/>
      <c r="J4376" s="82"/>
      <c r="K4376" s="82"/>
      <c r="L4376" s="82"/>
      <c r="M4376" s="82"/>
      <c r="N4376" s="82"/>
      <c r="O4376" s="82"/>
      <c r="P4376" s="82"/>
      <c r="Q4376" s="82"/>
      <c r="R4376" s="82"/>
      <c r="S4376" s="82"/>
      <c r="T4376" s="82"/>
      <c r="U4376" s="82"/>
      <c r="V4376" s="82"/>
      <c r="W4376" s="82"/>
      <c r="X4376" s="82"/>
      <c r="Y4376" s="82"/>
      <c r="Z4376" s="82"/>
      <c r="AA4376" s="82"/>
      <c r="AB4376" s="82"/>
      <c r="AC4376" s="82"/>
      <c r="AD4376" s="82"/>
      <c r="AE4376" s="82"/>
      <c r="AF4376" s="82"/>
      <c r="AG4376" s="82"/>
      <c r="AH4376" s="82"/>
      <c r="AI4376" s="82"/>
      <c r="AJ4376" s="82"/>
      <c r="AK4376" s="82"/>
      <c r="AL4376" s="82"/>
      <c r="AM4376" s="82"/>
      <c r="AN4376" s="82"/>
      <c r="AO4376" s="82"/>
      <c r="AP4376" s="82"/>
      <c r="AQ4376" s="82"/>
      <c r="AR4376" s="82"/>
      <c r="AS4376" s="82"/>
      <c r="AT4376" s="82"/>
      <c r="AU4376" s="82"/>
      <c r="AV4376" s="82"/>
      <c r="AW4376" s="82" t="str">
        <f t="shared" si="1"/>
        <v/>
      </c>
      <c r="AX4376" s="83" t="str">
        <f t="array" ref="AX4376">IFERROR(DGET('SBV Import'!A:G,"SBV",{"RSC ID","Tier";B4376,A4376}))</f>
        <v/>
      </c>
      <c r="AY4376" s="82" t="str">
        <f t="shared" si="2"/>
        <v/>
      </c>
      <c r="AZ4376" s="82"/>
      <c r="BA4376" s="84" t="s">
        <v>152</v>
      </c>
      <c r="BB4376" s="84" t="str">
        <f>IFERROR(__xludf.DUMMYFUNCTION("iferror(if(A4376="""",,E4376&gt;=FILTER(Constants!$F$2:$F$10,Constants!$A$2:$A$10=A4376)))"),"")</f>
        <v/>
      </c>
    </row>
    <row r="4377">
      <c r="A4377" s="89"/>
      <c r="B4377" s="87"/>
      <c r="C4377" s="73"/>
      <c r="D4377" s="73"/>
      <c r="E4377" s="82"/>
      <c r="F4377" s="82"/>
      <c r="G4377" s="86"/>
      <c r="H4377" s="86"/>
      <c r="I4377" s="86"/>
      <c r="J4377" s="82"/>
      <c r="K4377" s="82"/>
      <c r="L4377" s="82"/>
      <c r="M4377" s="82"/>
      <c r="N4377" s="82"/>
      <c r="O4377" s="82"/>
      <c r="P4377" s="82"/>
      <c r="Q4377" s="82"/>
      <c r="R4377" s="82"/>
      <c r="S4377" s="82"/>
      <c r="T4377" s="82"/>
      <c r="U4377" s="82"/>
      <c r="V4377" s="82"/>
      <c r="W4377" s="82"/>
      <c r="X4377" s="82"/>
      <c r="Y4377" s="82"/>
      <c r="Z4377" s="82"/>
      <c r="AA4377" s="82"/>
      <c r="AB4377" s="82"/>
      <c r="AC4377" s="82"/>
      <c r="AD4377" s="82"/>
      <c r="AE4377" s="82"/>
      <c r="AF4377" s="82"/>
      <c r="AG4377" s="82"/>
      <c r="AH4377" s="82"/>
      <c r="AI4377" s="82"/>
      <c r="AJ4377" s="82"/>
      <c r="AK4377" s="82"/>
      <c r="AL4377" s="82"/>
      <c r="AM4377" s="82"/>
      <c r="AN4377" s="82"/>
      <c r="AO4377" s="82"/>
      <c r="AP4377" s="82"/>
      <c r="AQ4377" s="82"/>
      <c r="AR4377" s="82"/>
      <c r="AS4377" s="82"/>
      <c r="AT4377" s="82"/>
      <c r="AU4377" s="82"/>
      <c r="AV4377" s="82"/>
      <c r="AW4377" s="82" t="str">
        <f t="shared" si="1"/>
        <v/>
      </c>
      <c r="AX4377" s="83" t="str">
        <f t="array" ref="AX4377">IFERROR(DGET('SBV Import'!A:G,"SBV",{"RSC ID","Tier";B4377,A4377}))</f>
        <v/>
      </c>
      <c r="AY4377" s="82" t="str">
        <f t="shared" si="2"/>
        <v/>
      </c>
      <c r="AZ4377" s="82"/>
      <c r="BA4377" s="84" t="s">
        <v>152</v>
      </c>
      <c r="BB4377" s="84" t="str">
        <f>IFERROR(__xludf.DUMMYFUNCTION("iferror(if(A4377="""",,E4377&gt;=FILTER(Constants!$F$2:$F$10,Constants!$A$2:$A$10=A4377)))"),"")</f>
        <v/>
      </c>
    </row>
    <row r="4378">
      <c r="A4378" s="89"/>
      <c r="B4378" s="87"/>
      <c r="C4378" s="73"/>
      <c r="D4378" s="73"/>
      <c r="E4378" s="82"/>
      <c r="F4378" s="82"/>
      <c r="G4378" s="86"/>
      <c r="H4378" s="86"/>
      <c r="I4378" s="86"/>
      <c r="J4378" s="82"/>
      <c r="K4378" s="82"/>
      <c r="L4378" s="82"/>
      <c r="M4378" s="82"/>
      <c r="N4378" s="82"/>
      <c r="O4378" s="82"/>
      <c r="P4378" s="82"/>
      <c r="Q4378" s="82"/>
      <c r="R4378" s="82"/>
      <c r="S4378" s="82"/>
      <c r="T4378" s="82"/>
      <c r="U4378" s="82"/>
      <c r="V4378" s="82"/>
      <c r="W4378" s="82"/>
      <c r="X4378" s="82"/>
      <c r="Y4378" s="82"/>
      <c r="Z4378" s="82"/>
      <c r="AA4378" s="82"/>
      <c r="AB4378" s="82"/>
      <c r="AC4378" s="82"/>
      <c r="AD4378" s="82"/>
      <c r="AE4378" s="82"/>
      <c r="AF4378" s="82"/>
      <c r="AG4378" s="82"/>
      <c r="AH4378" s="82"/>
      <c r="AI4378" s="82"/>
      <c r="AJ4378" s="82"/>
      <c r="AK4378" s="82"/>
      <c r="AL4378" s="82"/>
      <c r="AM4378" s="82"/>
      <c r="AN4378" s="82"/>
      <c r="AO4378" s="82"/>
      <c r="AP4378" s="82"/>
      <c r="AQ4378" s="82"/>
      <c r="AR4378" s="82"/>
      <c r="AS4378" s="82"/>
      <c r="AT4378" s="82"/>
      <c r="AU4378" s="82"/>
      <c r="AV4378" s="82"/>
      <c r="AW4378" s="82" t="str">
        <f t="shared" si="1"/>
        <v/>
      </c>
      <c r="AX4378" s="83" t="str">
        <f t="array" ref="AX4378">IFERROR(DGET('SBV Import'!A:G,"SBV",{"RSC ID","Tier";B4378,A4378}))</f>
        <v/>
      </c>
      <c r="AY4378" s="82" t="str">
        <f t="shared" si="2"/>
        <v/>
      </c>
      <c r="AZ4378" s="82"/>
      <c r="BA4378" s="84" t="s">
        <v>152</v>
      </c>
      <c r="BB4378" s="84" t="str">
        <f>IFERROR(__xludf.DUMMYFUNCTION("iferror(if(A4378="""",,E4378&gt;=FILTER(Constants!$F$2:$F$10,Constants!$A$2:$A$10=A4378)))"),"")</f>
        <v/>
      </c>
    </row>
    <row r="4379">
      <c r="A4379" s="89"/>
      <c r="B4379" s="87"/>
      <c r="C4379" s="73"/>
      <c r="D4379" s="73"/>
      <c r="E4379" s="82"/>
      <c r="F4379" s="82"/>
      <c r="G4379" s="86"/>
      <c r="H4379" s="86"/>
      <c r="I4379" s="86"/>
      <c r="J4379" s="82"/>
      <c r="K4379" s="82"/>
      <c r="L4379" s="82"/>
      <c r="M4379" s="82"/>
      <c r="N4379" s="82"/>
      <c r="O4379" s="82"/>
      <c r="P4379" s="82"/>
      <c r="Q4379" s="82"/>
      <c r="R4379" s="82"/>
      <c r="S4379" s="82"/>
      <c r="T4379" s="82"/>
      <c r="U4379" s="82"/>
      <c r="V4379" s="82"/>
      <c r="W4379" s="82"/>
      <c r="X4379" s="82"/>
      <c r="Y4379" s="82"/>
      <c r="Z4379" s="82"/>
      <c r="AA4379" s="82"/>
      <c r="AB4379" s="82"/>
      <c r="AC4379" s="82"/>
      <c r="AD4379" s="82"/>
      <c r="AE4379" s="82"/>
      <c r="AF4379" s="82"/>
      <c r="AG4379" s="82"/>
      <c r="AH4379" s="82"/>
      <c r="AI4379" s="82"/>
      <c r="AJ4379" s="82"/>
      <c r="AK4379" s="82"/>
      <c r="AL4379" s="82"/>
      <c r="AM4379" s="82"/>
      <c r="AN4379" s="82"/>
      <c r="AO4379" s="82"/>
      <c r="AP4379" s="82"/>
      <c r="AQ4379" s="82"/>
      <c r="AR4379" s="82"/>
      <c r="AS4379" s="82"/>
      <c r="AT4379" s="82"/>
      <c r="AU4379" s="82"/>
      <c r="AV4379" s="82"/>
      <c r="AW4379" s="82" t="str">
        <f t="shared" si="1"/>
        <v/>
      </c>
      <c r="AX4379" s="83" t="str">
        <f t="array" ref="AX4379">IFERROR(DGET('SBV Import'!A:G,"SBV",{"RSC ID","Tier";B4379,A4379}))</f>
        <v/>
      </c>
      <c r="AY4379" s="82" t="str">
        <f t="shared" si="2"/>
        <v/>
      </c>
      <c r="AZ4379" s="82"/>
      <c r="BA4379" s="84" t="s">
        <v>152</v>
      </c>
      <c r="BB4379" s="84" t="str">
        <f>IFERROR(__xludf.DUMMYFUNCTION("iferror(if(A4379="""",,E4379&gt;=FILTER(Constants!$F$2:$F$10,Constants!$A$2:$A$10=A4379)))"),"")</f>
        <v/>
      </c>
    </row>
    <row r="4380">
      <c r="A4380" s="89"/>
      <c r="B4380" s="87"/>
      <c r="C4380" s="73"/>
      <c r="D4380" s="73"/>
      <c r="E4380" s="82"/>
      <c r="F4380" s="82"/>
      <c r="G4380" s="86"/>
      <c r="H4380" s="86"/>
      <c r="I4380" s="86"/>
      <c r="J4380" s="82"/>
      <c r="K4380" s="82"/>
      <c r="L4380" s="82"/>
      <c r="M4380" s="82"/>
      <c r="N4380" s="82"/>
      <c r="O4380" s="82"/>
      <c r="P4380" s="82"/>
      <c r="Q4380" s="82"/>
      <c r="R4380" s="82"/>
      <c r="S4380" s="82"/>
      <c r="T4380" s="82"/>
      <c r="U4380" s="82"/>
      <c r="V4380" s="82"/>
      <c r="W4380" s="82"/>
      <c r="X4380" s="82"/>
      <c r="Y4380" s="82"/>
      <c r="Z4380" s="82"/>
      <c r="AA4380" s="82"/>
      <c r="AB4380" s="82"/>
      <c r="AC4380" s="82"/>
      <c r="AD4380" s="82"/>
      <c r="AE4380" s="82"/>
      <c r="AF4380" s="82"/>
      <c r="AG4380" s="82"/>
      <c r="AH4380" s="82"/>
      <c r="AI4380" s="82"/>
      <c r="AJ4380" s="82"/>
      <c r="AK4380" s="82"/>
      <c r="AL4380" s="82"/>
      <c r="AM4380" s="82"/>
      <c r="AN4380" s="82"/>
      <c r="AO4380" s="82"/>
      <c r="AP4380" s="82"/>
      <c r="AQ4380" s="82"/>
      <c r="AR4380" s="82"/>
      <c r="AS4380" s="82"/>
      <c r="AT4380" s="82"/>
      <c r="AU4380" s="82"/>
      <c r="AV4380" s="82"/>
      <c r="AW4380" s="82" t="str">
        <f t="shared" si="1"/>
        <v/>
      </c>
      <c r="AX4380" s="83" t="str">
        <f t="array" ref="AX4380">IFERROR(DGET('SBV Import'!A:G,"SBV",{"RSC ID","Tier";B4380,A4380}))</f>
        <v/>
      </c>
      <c r="AY4380" s="82" t="str">
        <f t="shared" si="2"/>
        <v/>
      </c>
      <c r="AZ4380" s="82"/>
      <c r="BA4380" s="84" t="s">
        <v>152</v>
      </c>
      <c r="BB4380" s="84" t="str">
        <f>IFERROR(__xludf.DUMMYFUNCTION("iferror(if(A4380="""",,E4380&gt;=FILTER(Constants!$F$2:$F$10,Constants!$A$2:$A$10=A4380)))"),"")</f>
        <v/>
      </c>
    </row>
    <row r="4381">
      <c r="A4381" s="89"/>
      <c r="B4381" s="87"/>
      <c r="C4381" s="73"/>
      <c r="D4381" s="73"/>
      <c r="E4381" s="82"/>
      <c r="F4381" s="82"/>
      <c r="G4381" s="86"/>
      <c r="H4381" s="86"/>
      <c r="I4381" s="86"/>
      <c r="J4381" s="82"/>
      <c r="K4381" s="82"/>
      <c r="L4381" s="82"/>
      <c r="M4381" s="82"/>
      <c r="N4381" s="82"/>
      <c r="O4381" s="82"/>
      <c r="P4381" s="82"/>
      <c r="Q4381" s="82"/>
      <c r="R4381" s="82"/>
      <c r="S4381" s="82"/>
      <c r="T4381" s="82"/>
      <c r="U4381" s="82"/>
      <c r="V4381" s="82"/>
      <c r="W4381" s="82"/>
      <c r="X4381" s="82"/>
      <c r="Y4381" s="82"/>
      <c r="Z4381" s="82"/>
      <c r="AA4381" s="82"/>
      <c r="AB4381" s="82"/>
      <c r="AC4381" s="82"/>
      <c r="AD4381" s="82"/>
      <c r="AE4381" s="82"/>
      <c r="AF4381" s="82"/>
      <c r="AG4381" s="82"/>
      <c r="AH4381" s="82"/>
      <c r="AI4381" s="82"/>
      <c r="AJ4381" s="82"/>
      <c r="AK4381" s="82"/>
      <c r="AL4381" s="82"/>
      <c r="AM4381" s="82"/>
      <c r="AN4381" s="82"/>
      <c r="AO4381" s="82"/>
      <c r="AP4381" s="82"/>
      <c r="AQ4381" s="82"/>
      <c r="AR4381" s="82"/>
      <c r="AS4381" s="82"/>
      <c r="AT4381" s="82"/>
      <c r="AU4381" s="82"/>
      <c r="AV4381" s="82"/>
      <c r="AW4381" s="82" t="str">
        <f t="shared" si="1"/>
        <v/>
      </c>
      <c r="AX4381" s="83" t="str">
        <f t="array" ref="AX4381">IFERROR(DGET('SBV Import'!A:G,"SBV",{"RSC ID","Tier";B4381,A4381}))</f>
        <v/>
      </c>
      <c r="AY4381" s="82" t="str">
        <f t="shared" si="2"/>
        <v/>
      </c>
      <c r="AZ4381" s="82"/>
      <c r="BA4381" s="84" t="s">
        <v>152</v>
      </c>
      <c r="BB4381" s="84" t="str">
        <f>IFERROR(__xludf.DUMMYFUNCTION("iferror(if(A4381="""",,E4381&gt;=FILTER(Constants!$F$2:$F$10,Constants!$A$2:$A$10=A4381)))"),"")</f>
        <v/>
      </c>
    </row>
    <row r="4382">
      <c r="A4382" s="89"/>
      <c r="B4382" s="87"/>
      <c r="C4382" s="73"/>
      <c r="D4382" s="73"/>
      <c r="E4382" s="82"/>
      <c r="F4382" s="82"/>
      <c r="G4382" s="86"/>
      <c r="H4382" s="86"/>
      <c r="I4382" s="86"/>
      <c r="J4382" s="82"/>
      <c r="K4382" s="82"/>
      <c r="L4382" s="82"/>
      <c r="M4382" s="82"/>
      <c r="N4382" s="82"/>
      <c r="O4382" s="82"/>
      <c r="P4382" s="82"/>
      <c r="Q4382" s="82"/>
      <c r="R4382" s="82"/>
      <c r="S4382" s="82"/>
      <c r="T4382" s="82"/>
      <c r="U4382" s="82"/>
      <c r="V4382" s="82"/>
      <c r="W4382" s="82"/>
      <c r="X4382" s="82"/>
      <c r="Y4382" s="82"/>
      <c r="Z4382" s="82"/>
      <c r="AA4382" s="82"/>
      <c r="AB4382" s="82"/>
      <c r="AC4382" s="82"/>
      <c r="AD4382" s="82"/>
      <c r="AE4382" s="82"/>
      <c r="AF4382" s="82"/>
      <c r="AG4382" s="82"/>
      <c r="AH4382" s="82"/>
      <c r="AI4382" s="82"/>
      <c r="AJ4382" s="82"/>
      <c r="AK4382" s="82"/>
      <c r="AL4382" s="82"/>
      <c r="AM4382" s="82"/>
      <c r="AN4382" s="82"/>
      <c r="AO4382" s="82"/>
      <c r="AP4382" s="82"/>
      <c r="AQ4382" s="82"/>
      <c r="AR4382" s="82"/>
      <c r="AS4382" s="82"/>
      <c r="AT4382" s="82"/>
      <c r="AU4382" s="82"/>
      <c r="AV4382" s="82"/>
      <c r="AW4382" s="82" t="str">
        <f t="shared" si="1"/>
        <v/>
      </c>
      <c r="AX4382" s="83" t="str">
        <f t="array" ref="AX4382">IFERROR(DGET('SBV Import'!A:G,"SBV",{"RSC ID","Tier";B4382,A4382}))</f>
        <v/>
      </c>
      <c r="AY4382" s="82" t="str">
        <f t="shared" si="2"/>
        <v/>
      </c>
      <c r="AZ4382" s="82"/>
      <c r="BA4382" s="84" t="s">
        <v>152</v>
      </c>
      <c r="BB4382" s="84" t="str">
        <f>IFERROR(__xludf.DUMMYFUNCTION("iferror(if(A4382="""",,E4382&gt;=FILTER(Constants!$F$2:$F$10,Constants!$A$2:$A$10=A4382)))"),"")</f>
        <v/>
      </c>
    </row>
    <row r="4383">
      <c r="A4383" s="89"/>
      <c r="B4383" s="87"/>
      <c r="C4383" s="73"/>
      <c r="D4383" s="73"/>
      <c r="E4383" s="82"/>
      <c r="F4383" s="82"/>
      <c r="G4383" s="86"/>
      <c r="H4383" s="86"/>
      <c r="I4383" s="86"/>
      <c r="J4383" s="82"/>
      <c r="K4383" s="82"/>
      <c r="L4383" s="82"/>
      <c r="M4383" s="82"/>
      <c r="N4383" s="82"/>
      <c r="O4383" s="82"/>
      <c r="P4383" s="82"/>
      <c r="Q4383" s="82"/>
      <c r="R4383" s="82"/>
      <c r="S4383" s="82"/>
      <c r="T4383" s="82"/>
      <c r="U4383" s="82"/>
      <c r="V4383" s="82"/>
      <c r="W4383" s="82"/>
      <c r="X4383" s="82"/>
      <c r="Y4383" s="82"/>
      <c r="Z4383" s="82"/>
      <c r="AA4383" s="82"/>
      <c r="AB4383" s="82"/>
      <c r="AC4383" s="82"/>
      <c r="AD4383" s="82"/>
      <c r="AE4383" s="82"/>
      <c r="AF4383" s="82"/>
      <c r="AG4383" s="82"/>
      <c r="AH4383" s="82"/>
      <c r="AI4383" s="82"/>
      <c r="AJ4383" s="82"/>
      <c r="AK4383" s="82"/>
      <c r="AL4383" s="82"/>
      <c r="AM4383" s="82"/>
      <c r="AN4383" s="82"/>
      <c r="AO4383" s="82"/>
      <c r="AP4383" s="82"/>
      <c r="AQ4383" s="82"/>
      <c r="AR4383" s="82"/>
      <c r="AS4383" s="82"/>
      <c r="AT4383" s="82"/>
      <c r="AU4383" s="82"/>
      <c r="AV4383" s="82"/>
      <c r="AW4383" s="82" t="str">
        <f t="shared" si="1"/>
        <v/>
      </c>
      <c r="AX4383" s="83" t="str">
        <f t="array" ref="AX4383">IFERROR(DGET('SBV Import'!A:G,"SBV",{"RSC ID","Tier";B4383,A4383}))</f>
        <v/>
      </c>
      <c r="AY4383" s="82" t="str">
        <f t="shared" si="2"/>
        <v/>
      </c>
      <c r="AZ4383" s="82"/>
      <c r="BA4383" s="84" t="s">
        <v>152</v>
      </c>
      <c r="BB4383" s="84" t="str">
        <f>IFERROR(__xludf.DUMMYFUNCTION("iferror(if(A4383="""",,E4383&gt;=FILTER(Constants!$F$2:$F$10,Constants!$A$2:$A$10=A4383)))"),"")</f>
        <v/>
      </c>
    </row>
    <row r="4384">
      <c r="A4384" s="89"/>
      <c r="B4384" s="87"/>
      <c r="C4384" s="73"/>
      <c r="D4384" s="73"/>
      <c r="E4384" s="82"/>
      <c r="F4384" s="82"/>
      <c r="G4384" s="86"/>
      <c r="H4384" s="86"/>
      <c r="I4384" s="86"/>
      <c r="J4384" s="82"/>
      <c r="K4384" s="82"/>
      <c r="L4384" s="82"/>
      <c r="M4384" s="82"/>
      <c r="N4384" s="82"/>
      <c r="O4384" s="82"/>
      <c r="P4384" s="82"/>
      <c r="Q4384" s="82"/>
      <c r="R4384" s="82"/>
      <c r="S4384" s="82"/>
      <c r="T4384" s="82"/>
      <c r="U4384" s="82"/>
      <c r="V4384" s="82"/>
      <c r="W4384" s="82"/>
      <c r="X4384" s="82"/>
      <c r="Y4384" s="82"/>
      <c r="Z4384" s="82"/>
      <c r="AA4384" s="82"/>
      <c r="AB4384" s="82"/>
      <c r="AC4384" s="82"/>
      <c r="AD4384" s="82"/>
      <c r="AE4384" s="82"/>
      <c r="AF4384" s="82"/>
      <c r="AG4384" s="82"/>
      <c r="AH4384" s="82"/>
      <c r="AI4384" s="82"/>
      <c r="AJ4384" s="82"/>
      <c r="AK4384" s="82"/>
      <c r="AL4384" s="82"/>
      <c r="AM4384" s="82"/>
      <c r="AN4384" s="82"/>
      <c r="AO4384" s="82"/>
      <c r="AP4384" s="82"/>
      <c r="AQ4384" s="82"/>
      <c r="AR4384" s="82"/>
      <c r="AS4384" s="82"/>
      <c r="AT4384" s="82"/>
      <c r="AU4384" s="82"/>
      <c r="AV4384" s="82"/>
      <c r="AW4384" s="82" t="str">
        <f t="shared" si="1"/>
        <v/>
      </c>
      <c r="AX4384" s="83" t="str">
        <f t="array" ref="AX4384">IFERROR(DGET('SBV Import'!A:G,"SBV",{"RSC ID","Tier";B4384,A4384}))</f>
        <v/>
      </c>
      <c r="AY4384" s="82" t="str">
        <f t="shared" si="2"/>
        <v/>
      </c>
      <c r="AZ4384" s="82"/>
      <c r="BA4384" s="84" t="s">
        <v>152</v>
      </c>
      <c r="BB4384" s="84" t="str">
        <f>IFERROR(__xludf.DUMMYFUNCTION("iferror(if(A4384="""",,E4384&gt;=FILTER(Constants!$F$2:$F$10,Constants!$A$2:$A$10=A4384)))"),"")</f>
        <v/>
      </c>
    </row>
    <row r="4385">
      <c r="A4385" s="89"/>
      <c r="B4385" s="87"/>
      <c r="C4385" s="73"/>
      <c r="D4385" s="73"/>
      <c r="E4385" s="82"/>
      <c r="F4385" s="82"/>
      <c r="G4385" s="86"/>
      <c r="H4385" s="86"/>
      <c r="I4385" s="86"/>
      <c r="J4385" s="82"/>
      <c r="K4385" s="82"/>
      <c r="L4385" s="82"/>
      <c r="M4385" s="82"/>
      <c r="N4385" s="82"/>
      <c r="O4385" s="82"/>
      <c r="P4385" s="82"/>
      <c r="Q4385" s="82"/>
      <c r="R4385" s="82"/>
      <c r="S4385" s="82"/>
      <c r="T4385" s="82"/>
      <c r="U4385" s="82"/>
      <c r="V4385" s="82"/>
      <c r="W4385" s="82"/>
      <c r="X4385" s="82"/>
      <c r="Y4385" s="82"/>
      <c r="Z4385" s="82"/>
      <c r="AA4385" s="82"/>
      <c r="AB4385" s="82"/>
      <c r="AC4385" s="82"/>
      <c r="AD4385" s="82"/>
      <c r="AE4385" s="82"/>
      <c r="AF4385" s="82"/>
      <c r="AG4385" s="82"/>
      <c r="AH4385" s="82"/>
      <c r="AI4385" s="82"/>
      <c r="AJ4385" s="82"/>
      <c r="AK4385" s="82"/>
      <c r="AL4385" s="82"/>
      <c r="AM4385" s="82"/>
      <c r="AN4385" s="82"/>
      <c r="AO4385" s="82"/>
      <c r="AP4385" s="82"/>
      <c r="AQ4385" s="82"/>
      <c r="AR4385" s="82"/>
      <c r="AS4385" s="82"/>
      <c r="AT4385" s="82"/>
      <c r="AU4385" s="82"/>
      <c r="AV4385" s="82"/>
      <c r="AW4385" s="82" t="str">
        <f t="shared" si="1"/>
        <v/>
      </c>
      <c r="AX4385" s="83" t="str">
        <f t="array" ref="AX4385">IFERROR(DGET('SBV Import'!A:G,"SBV",{"RSC ID","Tier";B4385,A4385}))</f>
        <v/>
      </c>
      <c r="AY4385" s="82" t="str">
        <f t="shared" si="2"/>
        <v/>
      </c>
      <c r="AZ4385" s="82"/>
      <c r="BA4385" s="84" t="s">
        <v>152</v>
      </c>
      <c r="BB4385" s="84" t="str">
        <f>IFERROR(__xludf.DUMMYFUNCTION("iferror(if(A4385="""",,E4385&gt;=FILTER(Constants!$F$2:$F$10,Constants!$A$2:$A$10=A4385)))"),"")</f>
        <v/>
      </c>
    </row>
    <row r="4386">
      <c r="A4386" s="89"/>
      <c r="B4386" s="87"/>
      <c r="C4386" s="73"/>
      <c r="D4386" s="73"/>
      <c r="E4386" s="82"/>
      <c r="F4386" s="82"/>
      <c r="G4386" s="86"/>
      <c r="H4386" s="86"/>
      <c r="I4386" s="86"/>
      <c r="J4386" s="82"/>
      <c r="K4386" s="82"/>
      <c r="L4386" s="82"/>
      <c r="M4386" s="82"/>
      <c r="N4386" s="82"/>
      <c r="O4386" s="82"/>
      <c r="P4386" s="82"/>
      <c r="Q4386" s="82"/>
      <c r="R4386" s="82"/>
      <c r="S4386" s="82"/>
      <c r="T4386" s="82"/>
      <c r="U4386" s="82"/>
      <c r="V4386" s="82"/>
      <c r="W4386" s="82"/>
      <c r="X4386" s="82"/>
      <c r="Y4386" s="82"/>
      <c r="Z4386" s="82"/>
      <c r="AA4386" s="82"/>
      <c r="AB4386" s="82"/>
      <c r="AC4386" s="82"/>
      <c r="AD4386" s="82"/>
      <c r="AE4386" s="82"/>
      <c r="AF4386" s="82"/>
      <c r="AG4386" s="82"/>
      <c r="AH4386" s="82"/>
      <c r="AI4386" s="82"/>
      <c r="AJ4386" s="82"/>
      <c r="AK4386" s="82"/>
      <c r="AL4386" s="82"/>
      <c r="AM4386" s="82"/>
      <c r="AN4386" s="82"/>
      <c r="AO4386" s="82"/>
      <c r="AP4386" s="82"/>
      <c r="AQ4386" s="82"/>
      <c r="AR4386" s="82"/>
      <c r="AS4386" s="82"/>
      <c r="AT4386" s="82"/>
      <c r="AU4386" s="82"/>
      <c r="AV4386" s="82"/>
      <c r="AW4386" s="82" t="str">
        <f t="shared" si="1"/>
        <v/>
      </c>
      <c r="AX4386" s="83" t="str">
        <f t="array" ref="AX4386">IFERROR(DGET('SBV Import'!A:G,"SBV",{"RSC ID","Tier";B4386,A4386}))</f>
        <v/>
      </c>
      <c r="AY4386" s="82" t="str">
        <f t="shared" si="2"/>
        <v/>
      </c>
      <c r="AZ4386" s="82"/>
      <c r="BA4386" s="84" t="s">
        <v>152</v>
      </c>
      <c r="BB4386" s="84" t="str">
        <f>IFERROR(__xludf.DUMMYFUNCTION("iferror(if(A4386="""",,E4386&gt;=FILTER(Constants!$F$2:$F$10,Constants!$A$2:$A$10=A4386)))"),"")</f>
        <v/>
      </c>
    </row>
    <row r="4387">
      <c r="A4387" s="89"/>
      <c r="B4387" s="87"/>
      <c r="C4387" s="73"/>
      <c r="D4387" s="73"/>
      <c r="E4387" s="82"/>
      <c r="F4387" s="82"/>
      <c r="G4387" s="86"/>
      <c r="H4387" s="86"/>
      <c r="I4387" s="86"/>
      <c r="J4387" s="82"/>
      <c r="K4387" s="82"/>
      <c r="L4387" s="82"/>
      <c r="M4387" s="82"/>
      <c r="N4387" s="82"/>
      <c r="O4387" s="82"/>
      <c r="P4387" s="82"/>
      <c r="Q4387" s="82"/>
      <c r="R4387" s="82"/>
      <c r="S4387" s="82"/>
      <c r="T4387" s="82"/>
      <c r="U4387" s="82"/>
      <c r="V4387" s="82"/>
      <c r="W4387" s="82"/>
      <c r="X4387" s="82"/>
      <c r="Y4387" s="82"/>
      <c r="Z4387" s="82"/>
      <c r="AA4387" s="82"/>
      <c r="AB4387" s="82"/>
      <c r="AC4387" s="82"/>
      <c r="AD4387" s="82"/>
      <c r="AE4387" s="82"/>
      <c r="AF4387" s="82"/>
      <c r="AG4387" s="82"/>
      <c r="AH4387" s="82"/>
      <c r="AI4387" s="82"/>
      <c r="AJ4387" s="82"/>
      <c r="AK4387" s="82"/>
      <c r="AL4387" s="82"/>
      <c r="AM4387" s="82"/>
      <c r="AN4387" s="82"/>
      <c r="AO4387" s="82"/>
      <c r="AP4387" s="82"/>
      <c r="AQ4387" s="82"/>
      <c r="AR4387" s="82"/>
      <c r="AS4387" s="82"/>
      <c r="AT4387" s="82"/>
      <c r="AU4387" s="82"/>
      <c r="AV4387" s="82"/>
      <c r="AW4387" s="82" t="str">
        <f t="shared" si="1"/>
        <v/>
      </c>
      <c r="AX4387" s="83" t="str">
        <f t="array" ref="AX4387">IFERROR(DGET('SBV Import'!A:G,"SBV",{"RSC ID","Tier";B4387,A4387}))</f>
        <v/>
      </c>
      <c r="AY4387" s="82" t="str">
        <f t="shared" si="2"/>
        <v/>
      </c>
      <c r="AZ4387" s="82"/>
      <c r="BA4387" s="84" t="s">
        <v>152</v>
      </c>
      <c r="BB4387" s="84" t="str">
        <f>IFERROR(__xludf.DUMMYFUNCTION("iferror(if(A4387="""",,E4387&gt;=FILTER(Constants!$F$2:$F$10,Constants!$A$2:$A$10=A4387)))"),"")</f>
        <v/>
      </c>
    </row>
    <row r="4388">
      <c r="A4388" s="89"/>
      <c r="B4388" s="87"/>
      <c r="C4388" s="73"/>
      <c r="D4388" s="73"/>
      <c r="E4388" s="82"/>
      <c r="F4388" s="82"/>
      <c r="G4388" s="86"/>
      <c r="H4388" s="86"/>
      <c r="I4388" s="86"/>
      <c r="J4388" s="82"/>
      <c r="K4388" s="82"/>
      <c r="L4388" s="82"/>
      <c r="M4388" s="82"/>
      <c r="N4388" s="82"/>
      <c r="O4388" s="82"/>
      <c r="P4388" s="82"/>
      <c r="Q4388" s="82"/>
      <c r="R4388" s="82"/>
      <c r="S4388" s="82"/>
      <c r="T4388" s="82"/>
      <c r="U4388" s="82"/>
      <c r="V4388" s="82"/>
      <c r="W4388" s="82"/>
      <c r="X4388" s="82"/>
      <c r="Y4388" s="82"/>
      <c r="Z4388" s="82"/>
      <c r="AA4388" s="82"/>
      <c r="AB4388" s="82"/>
      <c r="AC4388" s="82"/>
      <c r="AD4388" s="82"/>
      <c r="AE4388" s="82"/>
      <c r="AF4388" s="82"/>
      <c r="AG4388" s="82"/>
      <c r="AH4388" s="82"/>
      <c r="AI4388" s="82"/>
      <c r="AJ4388" s="82"/>
      <c r="AK4388" s="82"/>
      <c r="AL4388" s="82"/>
      <c r="AM4388" s="82"/>
      <c r="AN4388" s="82"/>
      <c r="AO4388" s="82"/>
      <c r="AP4388" s="82"/>
      <c r="AQ4388" s="82"/>
      <c r="AR4388" s="82"/>
      <c r="AS4388" s="82"/>
      <c r="AT4388" s="82"/>
      <c r="AU4388" s="82"/>
      <c r="AV4388" s="82"/>
      <c r="AW4388" s="82" t="str">
        <f t="shared" si="1"/>
        <v/>
      </c>
      <c r="AX4388" s="83" t="str">
        <f t="array" ref="AX4388">IFERROR(DGET('SBV Import'!A:G,"SBV",{"RSC ID","Tier";B4388,A4388}))</f>
        <v/>
      </c>
      <c r="AY4388" s="82" t="str">
        <f t="shared" si="2"/>
        <v/>
      </c>
      <c r="AZ4388" s="82"/>
      <c r="BA4388" s="84" t="s">
        <v>152</v>
      </c>
      <c r="BB4388" s="84" t="str">
        <f>IFERROR(__xludf.DUMMYFUNCTION("iferror(if(A4388="""",,E4388&gt;=FILTER(Constants!$F$2:$F$10,Constants!$A$2:$A$10=A4388)))"),"")</f>
        <v/>
      </c>
    </row>
    <row r="4389">
      <c r="A4389" s="89"/>
      <c r="B4389" s="87"/>
      <c r="C4389" s="73"/>
      <c r="D4389" s="73"/>
      <c r="E4389" s="82"/>
      <c r="F4389" s="82"/>
      <c r="G4389" s="86"/>
      <c r="H4389" s="86"/>
      <c r="I4389" s="86"/>
      <c r="J4389" s="82"/>
      <c r="K4389" s="82"/>
      <c r="L4389" s="82"/>
      <c r="M4389" s="82"/>
      <c r="N4389" s="82"/>
      <c r="O4389" s="82"/>
      <c r="P4389" s="82"/>
      <c r="Q4389" s="82"/>
      <c r="R4389" s="82"/>
      <c r="S4389" s="82"/>
      <c r="T4389" s="82"/>
      <c r="U4389" s="82"/>
      <c r="V4389" s="82"/>
      <c r="W4389" s="82"/>
      <c r="X4389" s="82"/>
      <c r="Y4389" s="82"/>
      <c r="Z4389" s="82"/>
      <c r="AA4389" s="82"/>
      <c r="AB4389" s="82"/>
      <c r="AC4389" s="82"/>
      <c r="AD4389" s="82"/>
      <c r="AE4389" s="82"/>
      <c r="AF4389" s="82"/>
      <c r="AG4389" s="82"/>
      <c r="AH4389" s="82"/>
      <c r="AI4389" s="82"/>
      <c r="AJ4389" s="82"/>
      <c r="AK4389" s="82"/>
      <c r="AL4389" s="82"/>
      <c r="AM4389" s="82"/>
      <c r="AN4389" s="82"/>
      <c r="AO4389" s="82"/>
      <c r="AP4389" s="82"/>
      <c r="AQ4389" s="82"/>
      <c r="AR4389" s="82"/>
      <c r="AS4389" s="82"/>
      <c r="AT4389" s="82"/>
      <c r="AU4389" s="82"/>
      <c r="AV4389" s="82"/>
      <c r="AW4389" s="82" t="str">
        <f t="shared" si="1"/>
        <v/>
      </c>
      <c r="AX4389" s="83" t="str">
        <f t="array" ref="AX4389">IFERROR(DGET('SBV Import'!A:G,"SBV",{"RSC ID","Tier";B4389,A4389}))</f>
        <v/>
      </c>
      <c r="AY4389" s="82" t="str">
        <f t="shared" si="2"/>
        <v/>
      </c>
      <c r="AZ4389" s="82"/>
      <c r="BA4389" s="84" t="s">
        <v>152</v>
      </c>
      <c r="BB4389" s="84" t="str">
        <f>IFERROR(__xludf.DUMMYFUNCTION("iferror(if(A4389="""",,E4389&gt;=FILTER(Constants!$F$2:$F$10,Constants!$A$2:$A$10=A4389)))"),"")</f>
        <v/>
      </c>
    </row>
    <row r="4390">
      <c r="A4390" s="89"/>
      <c r="B4390" s="87"/>
      <c r="C4390" s="73"/>
      <c r="D4390" s="73"/>
      <c r="E4390" s="82"/>
      <c r="F4390" s="82"/>
      <c r="G4390" s="86"/>
      <c r="H4390" s="86"/>
      <c r="I4390" s="86"/>
      <c r="J4390" s="82"/>
      <c r="K4390" s="82"/>
      <c r="L4390" s="82"/>
      <c r="M4390" s="82"/>
      <c r="N4390" s="82"/>
      <c r="O4390" s="82"/>
      <c r="P4390" s="82"/>
      <c r="Q4390" s="82"/>
      <c r="R4390" s="82"/>
      <c r="S4390" s="82"/>
      <c r="T4390" s="82"/>
      <c r="U4390" s="82"/>
      <c r="V4390" s="82"/>
      <c r="W4390" s="82"/>
      <c r="X4390" s="82"/>
      <c r="Y4390" s="82"/>
      <c r="Z4390" s="82"/>
      <c r="AA4390" s="82"/>
      <c r="AB4390" s="82"/>
      <c r="AC4390" s="82"/>
      <c r="AD4390" s="82"/>
      <c r="AE4390" s="82"/>
      <c r="AF4390" s="82"/>
      <c r="AG4390" s="82"/>
      <c r="AH4390" s="82"/>
      <c r="AI4390" s="82"/>
      <c r="AJ4390" s="82"/>
      <c r="AK4390" s="82"/>
      <c r="AL4390" s="82"/>
      <c r="AM4390" s="82"/>
      <c r="AN4390" s="82"/>
      <c r="AO4390" s="82"/>
      <c r="AP4390" s="82"/>
      <c r="AQ4390" s="82"/>
      <c r="AR4390" s="82"/>
      <c r="AS4390" s="82"/>
      <c r="AT4390" s="82"/>
      <c r="AU4390" s="82"/>
      <c r="AV4390" s="82"/>
      <c r="AW4390" s="82" t="str">
        <f t="shared" si="1"/>
        <v/>
      </c>
      <c r="AX4390" s="83" t="str">
        <f t="array" ref="AX4390">IFERROR(DGET('SBV Import'!A:G,"SBV",{"RSC ID","Tier";B4390,A4390}))</f>
        <v/>
      </c>
      <c r="AY4390" s="82" t="str">
        <f t="shared" si="2"/>
        <v/>
      </c>
      <c r="AZ4390" s="82"/>
      <c r="BA4390" s="84" t="s">
        <v>152</v>
      </c>
      <c r="BB4390" s="84" t="str">
        <f>IFERROR(__xludf.DUMMYFUNCTION("iferror(if(A4390="""",,E4390&gt;=FILTER(Constants!$F$2:$F$10,Constants!$A$2:$A$10=A4390)))"),"")</f>
        <v/>
      </c>
    </row>
    <row r="4391">
      <c r="A4391" s="89"/>
      <c r="B4391" s="87"/>
      <c r="C4391" s="73"/>
      <c r="D4391" s="73"/>
      <c r="E4391" s="82"/>
      <c r="F4391" s="82"/>
      <c r="G4391" s="86"/>
      <c r="H4391" s="86"/>
      <c r="I4391" s="86"/>
      <c r="J4391" s="82"/>
      <c r="K4391" s="82"/>
      <c r="L4391" s="82"/>
      <c r="M4391" s="82"/>
      <c r="N4391" s="82"/>
      <c r="O4391" s="82"/>
      <c r="P4391" s="82"/>
      <c r="Q4391" s="82"/>
      <c r="R4391" s="82"/>
      <c r="S4391" s="82"/>
      <c r="T4391" s="82"/>
      <c r="U4391" s="82"/>
      <c r="V4391" s="82"/>
      <c r="W4391" s="82"/>
      <c r="X4391" s="82"/>
      <c r="Y4391" s="82"/>
      <c r="Z4391" s="82"/>
      <c r="AA4391" s="82"/>
      <c r="AB4391" s="82"/>
      <c r="AC4391" s="82"/>
      <c r="AD4391" s="82"/>
      <c r="AE4391" s="82"/>
      <c r="AF4391" s="82"/>
      <c r="AG4391" s="82"/>
      <c r="AH4391" s="82"/>
      <c r="AI4391" s="82"/>
      <c r="AJ4391" s="82"/>
      <c r="AK4391" s="82"/>
      <c r="AL4391" s="82"/>
      <c r="AM4391" s="82"/>
      <c r="AN4391" s="82"/>
      <c r="AO4391" s="82"/>
      <c r="AP4391" s="82"/>
      <c r="AQ4391" s="82"/>
      <c r="AR4391" s="82"/>
      <c r="AS4391" s="82"/>
      <c r="AT4391" s="82"/>
      <c r="AU4391" s="82"/>
      <c r="AV4391" s="82"/>
      <c r="AW4391" s="82" t="str">
        <f t="shared" si="1"/>
        <v/>
      </c>
      <c r="AX4391" s="83" t="str">
        <f t="array" ref="AX4391">IFERROR(DGET('SBV Import'!A:G,"SBV",{"RSC ID","Tier";B4391,A4391}))</f>
        <v/>
      </c>
      <c r="AY4391" s="82" t="str">
        <f t="shared" si="2"/>
        <v/>
      </c>
      <c r="AZ4391" s="82"/>
      <c r="BA4391" s="84" t="s">
        <v>152</v>
      </c>
      <c r="BB4391" s="84" t="str">
        <f>IFERROR(__xludf.DUMMYFUNCTION("iferror(if(A4391="""",,E4391&gt;=FILTER(Constants!$F$2:$F$10,Constants!$A$2:$A$10=A4391)))"),"")</f>
        <v/>
      </c>
    </row>
    <row r="4392">
      <c r="A4392" s="89"/>
      <c r="B4392" s="87"/>
      <c r="C4392" s="73"/>
      <c r="D4392" s="73"/>
      <c r="E4392" s="82"/>
      <c r="F4392" s="82"/>
      <c r="G4392" s="86"/>
      <c r="H4392" s="86"/>
      <c r="I4392" s="86"/>
      <c r="J4392" s="82"/>
      <c r="K4392" s="82"/>
      <c r="L4392" s="82"/>
      <c r="M4392" s="82"/>
      <c r="N4392" s="82"/>
      <c r="O4392" s="82"/>
      <c r="P4392" s="82"/>
      <c r="Q4392" s="82"/>
      <c r="R4392" s="82"/>
      <c r="S4392" s="82"/>
      <c r="T4392" s="82"/>
      <c r="U4392" s="82"/>
      <c r="V4392" s="82"/>
      <c r="W4392" s="82"/>
      <c r="X4392" s="82"/>
      <c r="Y4392" s="82"/>
      <c r="Z4392" s="82"/>
      <c r="AA4392" s="82"/>
      <c r="AB4392" s="82"/>
      <c r="AC4392" s="82"/>
      <c r="AD4392" s="82"/>
      <c r="AE4392" s="82"/>
      <c r="AF4392" s="82"/>
      <c r="AG4392" s="82"/>
      <c r="AH4392" s="82"/>
      <c r="AI4392" s="82"/>
      <c r="AJ4392" s="82"/>
      <c r="AK4392" s="82"/>
      <c r="AL4392" s="82"/>
      <c r="AM4392" s="82"/>
      <c r="AN4392" s="82"/>
      <c r="AO4392" s="82"/>
      <c r="AP4392" s="82"/>
      <c r="AQ4392" s="82"/>
      <c r="AR4392" s="82"/>
      <c r="AS4392" s="82"/>
      <c r="AT4392" s="82"/>
      <c r="AU4392" s="82"/>
      <c r="AV4392" s="82"/>
      <c r="AW4392" s="82" t="str">
        <f t="shared" si="1"/>
        <v/>
      </c>
      <c r="AX4392" s="83" t="str">
        <f t="array" ref="AX4392">IFERROR(DGET('SBV Import'!A:G,"SBV",{"RSC ID","Tier";B4392,A4392}))</f>
        <v/>
      </c>
      <c r="AY4392" s="82" t="str">
        <f t="shared" si="2"/>
        <v/>
      </c>
      <c r="AZ4392" s="82"/>
      <c r="BA4392" s="84" t="s">
        <v>152</v>
      </c>
      <c r="BB4392" s="84" t="str">
        <f>IFERROR(__xludf.DUMMYFUNCTION("iferror(if(A4392="""",,E4392&gt;=FILTER(Constants!$F$2:$F$10,Constants!$A$2:$A$10=A4392)))"),"")</f>
        <v/>
      </c>
    </row>
    <row r="4393">
      <c r="A4393" s="89"/>
      <c r="B4393" s="87"/>
      <c r="C4393" s="73"/>
      <c r="D4393" s="73"/>
      <c r="E4393" s="82"/>
      <c r="F4393" s="82"/>
      <c r="G4393" s="86"/>
      <c r="H4393" s="86"/>
      <c r="I4393" s="86"/>
      <c r="J4393" s="82"/>
      <c r="K4393" s="82"/>
      <c r="L4393" s="82"/>
      <c r="M4393" s="82"/>
      <c r="N4393" s="82"/>
      <c r="O4393" s="82"/>
      <c r="P4393" s="82"/>
      <c r="Q4393" s="82"/>
      <c r="R4393" s="82"/>
      <c r="S4393" s="82"/>
      <c r="T4393" s="82"/>
      <c r="U4393" s="82"/>
      <c r="V4393" s="82"/>
      <c r="W4393" s="82"/>
      <c r="X4393" s="82"/>
      <c r="Y4393" s="82"/>
      <c r="Z4393" s="82"/>
      <c r="AA4393" s="82"/>
      <c r="AB4393" s="82"/>
      <c r="AC4393" s="82"/>
      <c r="AD4393" s="82"/>
      <c r="AE4393" s="82"/>
      <c r="AF4393" s="82"/>
      <c r="AG4393" s="82"/>
      <c r="AH4393" s="82"/>
      <c r="AI4393" s="82"/>
      <c r="AJ4393" s="82"/>
      <c r="AK4393" s="82"/>
      <c r="AL4393" s="82"/>
      <c r="AM4393" s="82"/>
      <c r="AN4393" s="82"/>
      <c r="AO4393" s="82"/>
      <c r="AP4393" s="82"/>
      <c r="AQ4393" s="82"/>
      <c r="AR4393" s="82"/>
      <c r="AS4393" s="82"/>
      <c r="AT4393" s="82"/>
      <c r="AU4393" s="82"/>
      <c r="AV4393" s="82"/>
      <c r="AW4393" s="82" t="str">
        <f t="shared" si="1"/>
        <v/>
      </c>
      <c r="AX4393" s="83" t="str">
        <f t="array" ref="AX4393">IFERROR(DGET('SBV Import'!A:G,"SBV",{"RSC ID","Tier";B4393,A4393}))</f>
        <v/>
      </c>
      <c r="AY4393" s="82" t="str">
        <f t="shared" si="2"/>
        <v/>
      </c>
      <c r="AZ4393" s="82"/>
      <c r="BA4393" s="84" t="s">
        <v>152</v>
      </c>
      <c r="BB4393" s="84" t="str">
        <f>IFERROR(__xludf.DUMMYFUNCTION("iferror(if(A4393="""",,E4393&gt;=FILTER(Constants!$F$2:$F$10,Constants!$A$2:$A$10=A4393)))"),"")</f>
        <v/>
      </c>
    </row>
    <row r="4394">
      <c r="A4394" s="89"/>
      <c r="B4394" s="87"/>
      <c r="C4394" s="73"/>
      <c r="D4394" s="73"/>
      <c r="E4394" s="82"/>
      <c r="F4394" s="82"/>
      <c r="G4394" s="86"/>
      <c r="H4394" s="86"/>
      <c r="I4394" s="86"/>
      <c r="J4394" s="82"/>
      <c r="K4394" s="82"/>
      <c r="L4394" s="82"/>
      <c r="M4394" s="82"/>
      <c r="N4394" s="82"/>
      <c r="O4394" s="82"/>
      <c r="P4394" s="82"/>
      <c r="Q4394" s="82"/>
      <c r="R4394" s="82"/>
      <c r="S4394" s="82"/>
      <c r="T4394" s="82"/>
      <c r="U4394" s="82"/>
      <c r="V4394" s="82"/>
      <c r="W4394" s="82"/>
      <c r="X4394" s="82"/>
      <c r="Y4394" s="82"/>
      <c r="Z4394" s="82"/>
      <c r="AA4394" s="82"/>
      <c r="AB4394" s="82"/>
      <c r="AC4394" s="82"/>
      <c r="AD4394" s="82"/>
      <c r="AE4394" s="82"/>
      <c r="AF4394" s="82"/>
      <c r="AG4394" s="82"/>
      <c r="AH4394" s="82"/>
      <c r="AI4394" s="82"/>
      <c r="AJ4394" s="82"/>
      <c r="AK4394" s="82"/>
      <c r="AL4394" s="82"/>
      <c r="AM4394" s="82"/>
      <c r="AN4394" s="82"/>
      <c r="AO4394" s="82"/>
      <c r="AP4394" s="82"/>
      <c r="AQ4394" s="82"/>
      <c r="AR4394" s="82"/>
      <c r="AS4394" s="82"/>
      <c r="AT4394" s="82"/>
      <c r="AU4394" s="82"/>
      <c r="AV4394" s="82"/>
      <c r="AW4394" s="82" t="str">
        <f t="shared" si="1"/>
        <v/>
      </c>
      <c r="AX4394" s="83" t="str">
        <f t="array" ref="AX4394">IFERROR(DGET('SBV Import'!A:G,"SBV",{"RSC ID","Tier";B4394,A4394}))</f>
        <v/>
      </c>
      <c r="AY4394" s="82" t="str">
        <f t="shared" si="2"/>
        <v/>
      </c>
      <c r="AZ4394" s="82"/>
      <c r="BA4394" s="84" t="s">
        <v>152</v>
      </c>
      <c r="BB4394" s="84" t="str">
        <f>IFERROR(__xludf.DUMMYFUNCTION("iferror(if(A4394="""",,E4394&gt;=FILTER(Constants!$F$2:$F$10,Constants!$A$2:$A$10=A4394)))"),"")</f>
        <v/>
      </c>
    </row>
    <row r="4395">
      <c r="A4395" s="89"/>
      <c r="B4395" s="87"/>
      <c r="C4395" s="73"/>
      <c r="D4395" s="73"/>
      <c r="E4395" s="82"/>
      <c r="F4395" s="82"/>
      <c r="G4395" s="86"/>
      <c r="H4395" s="86"/>
      <c r="I4395" s="86"/>
      <c r="J4395" s="82"/>
      <c r="K4395" s="82"/>
      <c r="L4395" s="82"/>
      <c r="M4395" s="82"/>
      <c r="N4395" s="82"/>
      <c r="O4395" s="82"/>
      <c r="P4395" s="82"/>
      <c r="Q4395" s="82"/>
      <c r="R4395" s="82"/>
      <c r="S4395" s="82"/>
      <c r="T4395" s="82"/>
      <c r="U4395" s="82"/>
      <c r="V4395" s="82"/>
      <c r="W4395" s="82"/>
      <c r="X4395" s="82"/>
      <c r="Y4395" s="82"/>
      <c r="Z4395" s="82"/>
      <c r="AA4395" s="82"/>
      <c r="AB4395" s="82"/>
      <c r="AC4395" s="82"/>
      <c r="AD4395" s="82"/>
      <c r="AE4395" s="82"/>
      <c r="AF4395" s="82"/>
      <c r="AG4395" s="82"/>
      <c r="AH4395" s="82"/>
      <c r="AI4395" s="82"/>
      <c r="AJ4395" s="82"/>
      <c r="AK4395" s="82"/>
      <c r="AL4395" s="82"/>
      <c r="AM4395" s="82"/>
      <c r="AN4395" s="82"/>
      <c r="AO4395" s="82"/>
      <c r="AP4395" s="82"/>
      <c r="AQ4395" s="82"/>
      <c r="AR4395" s="82"/>
      <c r="AS4395" s="82"/>
      <c r="AT4395" s="82"/>
      <c r="AU4395" s="82"/>
      <c r="AV4395" s="82"/>
      <c r="AW4395" s="82" t="str">
        <f t="shared" si="1"/>
        <v/>
      </c>
      <c r="AX4395" s="83" t="str">
        <f t="array" ref="AX4395">IFERROR(DGET('SBV Import'!A:G,"SBV",{"RSC ID","Tier";B4395,A4395}))</f>
        <v/>
      </c>
      <c r="AY4395" s="82" t="str">
        <f t="shared" si="2"/>
        <v/>
      </c>
      <c r="AZ4395" s="82"/>
      <c r="BA4395" s="84" t="s">
        <v>152</v>
      </c>
      <c r="BB4395" s="84" t="str">
        <f>IFERROR(__xludf.DUMMYFUNCTION("iferror(if(A4395="""",,E4395&gt;=FILTER(Constants!$F$2:$F$10,Constants!$A$2:$A$10=A4395)))"),"")</f>
        <v/>
      </c>
    </row>
    <row r="4396">
      <c r="A4396" s="89"/>
      <c r="B4396" s="87"/>
      <c r="C4396" s="73"/>
      <c r="D4396" s="73"/>
      <c r="E4396" s="82"/>
      <c r="F4396" s="82"/>
      <c r="G4396" s="86"/>
      <c r="H4396" s="86"/>
      <c r="I4396" s="86"/>
      <c r="J4396" s="82"/>
      <c r="K4396" s="82"/>
      <c r="L4396" s="82"/>
      <c r="M4396" s="82"/>
      <c r="N4396" s="82"/>
      <c r="O4396" s="82"/>
      <c r="P4396" s="82"/>
      <c r="Q4396" s="82"/>
      <c r="R4396" s="82"/>
      <c r="S4396" s="82"/>
      <c r="T4396" s="82"/>
      <c r="U4396" s="82"/>
      <c r="V4396" s="82"/>
      <c r="W4396" s="82"/>
      <c r="X4396" s="82"/>
      <c r="Y4396" s="82"/>
      <c r="Z4396" s="82"/>
      <c r="AA4396" s="82"/>
      <c r="AB4396" s="82"/>
      <c r="AC4396" s="82"/>
      <c r="AD4396" s="82"/>
      <c r="AE4396" s="82"/>
      <c r="AF4396" s="82"/>
      <c r="AG4396" s="82"/>
      <c r="AH4396" s="82"/>
      <c r="AI4396" s="82"/>
      <c r="AJ4396" s="82"/>
      <c r="AK4396" s="82"/>
      <c r="AL4396" s="82"/>
      <c r="AM4396" s="82"/>
      <c r="AN4396" s="82"/>
      <c r="AO4396" s="82"/>
      <c r="AP4396" s="82"/>
      <c r="AQ4396" s="82"/>
      <c r="AR4396" s="82"/>
      <c r="AS4396" s="82"/>
      <c r="AT4396" s="82"/>
      <c r="AU4396" s="82"/>
      <c r="AV4396" s="82"/>
      <c r="AW4396" s="82" t="str">
        <f t="shared" si="1"/>
        <v/>
      </c>
      <c r="AX4396" s="83" t="str">
        <f t="array" ref="AX4396">IFERROR(DGET('SBV Import'!A:G,"SBV",{"RSC ID","Tier";B4396,A4396}))</f>
        <v/>
      </c>
      <c r="AY4396" s="82" t="str">
        <f t="shared" si="2"/>
        <v/>
      </c>
      <c r="AZ4396" s="82"/>
      <c r="BA4396" s="84" t="s">
        <v>152</v>
      </c>
      <c r="BB4396" s="84" t="str">
        <f>IFERROR(__xludf.DUMMYFUNCTION("iferror(if(A4396="""",,E4396&gt;=FILTER(Constants!$F$2:$F$10,Constants!$A$2:$A$10=A4396)))"),"")</f>
        <v/>
      </c>
    </row>
    <row r="4397">
      <c r="A4397" s="89"/>
      <c r="B4397" s="87"/>
      <c r="C4397" s="73"/>
      <c r="D4397" s="73"/>
      <c r="E4397" s="82"/>
      <c r="F4397" s="82"/>
      <c r="G4397" s="86"/>
      <c r="H4397" s="86"/>
      <c r="I4397" s="86"/>
      <c r="J4397" s="82"/>
      <c r="K4397" s="82"/>
      <c r="L4397" s="82"/>
      <c r="M4397" s="82"/>
      <c r="N4397" s="82"/>
      <c r="O4397" s="82"/>
      <c r="P4397" s="82"/>
      <c r="Q4397" s="82"/>
      <c r="R4397" s="82"/>
      <c r="S4397" s="82"/>
      <c r="T4397" s="82"/>
      <c r="U4397" s="82"/>
      <c r="V4397" s="82"/>
      <c r="W4397" s="82"/>
      <c r="X4397" s="82"/>
      <c r="Y4397" s="82"/>
      <c r="Z4397" s="82"/>
      <c r="AA4397" s="82"/>
      <c r="AB4397" s="82"/>
      <c r="AC4397" s="82"/>
      <c r="AD4397" s="82"/>
      <c r="AE4397" s="82"/>
      <c r="AF4397" s="82"/>
      <c r="AG4397" s="82"/>
      <c r="AH4397" s="82"/>
      <c r="AI4397" s="82"/>
      <c r="AJ4397" s="82"/>
      <c r="AK4397" s="82"/>
      <c r="AL4397" s="82"/>
      <c r="AM4397" s="82"/>
      <c r="AN4397" s="82"/>
      <c r="AO4397" s="82"/>
      <c r="AP4397" s="82"/>
      <c r="AQ4397" s="82"/>
      <c r="AR4397" s="82"/>
      <c r="AS4397" s="82"/>
      <c r="AT4397" s="82"/>
      <c r="AU4397" s="82"/>
      <c r="AV4397" s="82"/>
      <c r="AW4397" s="82" t="str">
        <f t="shared" si="1"/>
        <v/>
      </c>
      <c r="AX4397" s="83" t="str">
        <f t="array" ref="AX4397">IFERROR(DGET('SBV Import'!A:G,"SBV",{"RSC ID","Tier";B4397,A4397}))</f>
        <v/>
      </c>
      <c r="AY4397" s="82" t="str">
        <f t="shared" si="2"/>
        <v/>
      </c>
      <c r="AZ4397" s="82"/>
      <c r="BA4397" s="84" t="s">
        <v>152</v>
      </c>
      <c r="BB4397" s="84" t="str">
        <f>IFERROR(__xludf.DUMMYFUNCTION("iferror(if(A4397="""",,E4397&gt;=FILTER(Constants!$F$2:$F$10,Constants!$A$2:$A$10=A4397)))"),"")</f>
        <v/>
      </c>
    </row>
    <row r="4398">
      <c r="A4398" s="89"/>
      <c r="B4398" s="87"/>
      <c r="C4398" s="73"/>
      <c r="D4398" s="73"/>
      <c r="E4398" s="82"/>
      <c r="F4398" s="82"/>
      <c r="G4398" s="86"/>
      <c r="H4398" s="86"/>
      <c r="I4398" s="86"/>
      <c r="J4398" s="82"/>
      <c r="K4398" s="82"/>
      <c r="L4398" s="82"/>
      <c r="M4398" s="82"/>
      <c r="N4398" s="82"/>
      <c r="O4398" s="82"/>
      <c r="P4398" s="82"/>
      <c r="Q4398" s="82"/>
      <c r="R4398" s="82"/>
      <c r="S4398" s="82"/>
      <c r="T4398" s="82"/>
      <c r="U4398" s="82"/>
      <c r="V4398" s="82"/>
      <c r="W4398" s="82"/>
      <c r="X4398" s="82"/>
      <c r="Y4398" s="82"/>
      <c r="Z4398" s="82"/>
      <c r="AA4398" s="82"/>
      <c r="AB4398" s="82"/>
      <c r="AC4398" s="82"/>
      <c r="AD4398" s="82"/>
      <c r="AE4398" s="82"/>
      <c r="AF4398" s="82"/>
      <c r="AG4398" s="82"/>
      <c r="AH4398" s="82"/>
      <c r="AI4398" s="82"/>
      <c r="AJ4398" s="82"/>
      <c r="AK4398" s="82"/>
      <c r="AL4398" s="82"/>
      <c r="AM4398" s="82"/>
      <c r="AN4398" s="82"/>
      <c r="AO4398" s="82"/>
      <c r="AP4398" s="82"/>
      <c r="AQ4398" s="82"/>
      <c r="AR4398" s="82"/>
      <c r="AS4398" s="82"/>
      <c r="AT4398" s="82"/>
      <c r="AU4398" s="82"/>
      <c r="AV4398" s="82"/>
      <c r="AW4398" s="82" t="str">
        <f t="shared" si="1"/>
        <v/>
      </c>
      <c r="AX4398" s="83" t="str">
        <f t="array" ref="AX4398">IFERROR(DGET('SBV Import'!A:G,"SBV",{"RSC ID","Tier";B4398,A4398}))</f>
        <v/>
      </c>
      <c r="AY4398" s="82" t="str">
        <f t="shared" si="2"/>
        <v/>
      </c>
      <c r="AZ4398" s="82"/>
      <c r="BA4398" s="84" t="s">
        <v>152</v>
      </c>
      <c r="BB4398" s="84" t="str">
        <f>IFERROR(__xludf.DUMMYFUNCTION("iferror(if(A4398="""",,E4398&gt;=FILTER(Constants!$F$2:$F$10,Constants!$A$2:$A$10=A4398)))"),"")</f>
        <v/>
      </c>
    </row>
    <row r="4399">
      <c r="A4399" s="89"/>
      <c r="B4399" s="87"/>
      <c r="C4399" s="73"/>
      <c r="D4399" s="73"/>
      <c r="E4399" s="82"/>
      <c r="F4399" s="82"/>
      <c r="G4399" s="86"/>
      <c r="H4399" s="86"/>
      <c r="I4399" s="86"/>
      <c r="J4399" s="82"/>
      <c r="K4399" s="82"/>
      <c r="L4399" s="82"/>
      <c r="M4399" s="82"/>
      <c r="N4399" s="82"/>
      <c r="O4399" s="82"/>
      <c r="P4399" s="82"/>
      <c r="Q4399" s="82"/>
      <c r="R4399" s="82"/>
      <c r="S4399" s="82"/>
      <c r="T4399" s="82"/>
      <c r="U4399" s="82"/>
      <c r="V4399" s="82"/>
      <c r="W4399" s="82"/>
      <c r="X4399" s="82"/>
      <c r="Y4399" s="82"/>
      <c r="Z4399" s="82"/>
      <c r="AA4399" s="82"/>
      <c r="AB4399" s="82"/>
      <c r="AC4399" s="82"/>
      <c r="AD4399" s="82"/>
      <c r="AE4399" s="82"/>
      <c r="AF4399" s="82"/>
      <c r="AG4399" s="82"/>
      <c r="AH4399" s="82"/>
      <c r="AI4399" s="82"/>
      <c r="AJ4399" s="82"/>
      <c r="AK4399" s="82"/>
      <c r="AL4399" s="82"/>
      <c r="AM4399" s="82"/>
      <c r="AN4399" s="82"/>
      <c r="AO4399" s="82"/>
      <c r="AP4399" s="82"/>
      <c r="AQ4399" s="82"/>
      <c r="AR4399" s="82"/>
      <c r="AS4399" s="82"/>
      <c r="AT4399" s="82"/>
      <c r="AU4399" s="82"/>
      <c r="AV4399" s="82"/>
      <c r="AW4399" s="82" t="str">
        <f t="shared" si="1"/>
        <v/>
      </c>
      <c r="AX4399" s="83" t="str">
        <f t="array" ref="AX4399">IFERROR(DGET('SBV Import'!A:G,"SBV",{"RSC ID","Tier";B4399,A4399}))</f>
        <v/>
      </c>
      <c r="AY4399" s="82" t="str">
        <f t="shared" si="2"/>
        <v/>
      </c>
      <c r="AZ4399" s="82"/>
      <c r="BA4399" s="84" t="s">
        <v>152</v>
      </c>
      <c r="BB4399" s="84" t="str">
        <f>IFERROR(__xludf.DUMMYFUNCTION("iferror(if(A4399="""",,E4399&gt;=FILTER(Constants!$F$2:$F$10,Constants!$A$2:$A$10=A4399)))"),"")</f>
        <v/>
      </c>
    </row>
    <row r="4400">
      <c r="A4400" s="89"/>
      <c r="B4400" s="87"/>
      <c r="C4400" s="73"/>
      <c r="D4400" s="73"/>
      <c r="E4400" s="82"/>
      <c r="F4400" s="82"/>
      <c r="G4400" s="86"/>
      <c r="H4400" s="86"/>
      <c r="I4400" s="86"/>
      <c r="J4400" s="82"/>
      <c r="K4400" s="82"/>
      <c r="L4400" s="82"/>
      <c r="M4400" s="82"/>
      <c r="N4400" s="82"/>
      <c r="O4400" s="82"/>
      <c r="P4400" s="82"/>
      <c r="Q4400" s="82"/>
      <c r="R4400" s="82"/>
      <c r="S4400" s="82"/>
      <c r="T4400" s="82"/>
      <c r="U4400" s="82"/>
      <c r="V4400" s="82"/>
      <c r="W4400" s="82"/>
      <c r="X4400" s="82"/>
      <c r="Y4400" s="82"/>
      <c r="Z4400" s="82"/>
      <c r="AA4400" s="82"/>
      <c r="AB4400" s="82"/>
      <c r="AC4400" s="82"/>
      <c r="AD4400" s="82"/>
      <c r="AE4400" s="82"/>
      <c r="AF4400" s="82"/>
      <c r="AG4400" s="82"/>
      <c r="AH4400" s="82"/>
      <c r="AI4400" s="82"/>
      <c r="AJ4400" s="82"/>
      <c r="AK4400" s="82"/>
      <c r="AL4400" s="82"/>
      <c r="AM4400" s="82"/>
      <c r="AN4400" s="82"/>
      <c r="AO4400" s="82"/>
      <c r="AP4400" s="82"/>
      <c r="AQ4400" s="82"/>
      <c r="AR4400" s="82"/>
      <c r="AS4400" s="82"/>
      <c r="AT4400" s="82"/>
      <c r="AU4400" s="82"/>
      <c r="AV4400" s="82"/>
      <c r="AW4400" s="82" t="str">
        <f t="shared" si="1"/>
        <v/>
      </c>
      <c r="AX4400" s="83" t="str">
        <f t="array" ref="AX4400">IFERROR(DGET('SBV Import'!A:G,"SBV",{"RSC ID","Tier";B4400,A4400}))</f>
        <v/>
      </c>
      <c r="AY4400" s="82" t="str">
        <f t="shared" si="2"/>
        <v/>
      </c>
      <c r="AZ4400" s="82"/>
      <c r="BA4400" s="84" t="s">
        <v>152</v>
      </c>
      <c r="BB4400" s="84" t="str">
        <f>IFERROR(__xludf.DUMMYFUNCTION("iferror(if(A4400="""",,E4400&gt;=FILTER(Constants!$F$2:$F$10,Constants!$A$2:$A$10=A4400)))"),"")</f>
        <v/>
      </c>
    </row>
    <row r="4401">
      <c r="A4401" s="89"/>
      <c r="B4401" s="87"/>
      <c r="C4401" s="73"/>
      <c r="D4401" s="73"/>
      <c r="E4401" s="82"/>
      <c r="F4401" s="82"/>
      <c r="G4401" s="86"/>
      <c r="H4401" s="86"/>
      <c r="I4401" s="86"/>
      <c r="J4401" s="82"/>
      <c r="K4401" s="82"/>
      <c r="L4401" s="82"/>
      <c r="M4401" s="82"/>
      <c r="N4401" s="82"/>
      <c r="O4401" s="82"/>
      <c r="P4401" s="82"/>
      <c r="Q4401" s="82"/>
      <c r="R4401" s="82"/>
      <c r="S4401" s="82"/>
      <c r="T4401" s="82"/>
      <c r="U4401" s="82"/>
      <c r="V4401" s="82"/>
      <c r="W4401" s="82"/>
      <c r="X4401" s="82"/>
      <c r="Y4401" s="82"/>
      <c r="Z4401" s="82"/>
      <c r="AA4401" s="82"/>
      <c r="AB4401" s="82"/>
      <c r="AC4401" s="82"/>
      <c r="AD4401" s="82"/>
      <c r="AE4401" s="82"/>
      <c r="AF4401" s="82"/>
      <c r="AG4401" s="82"/>
      <c r="AH4401" s="82"/>
      <c r="AI4401" s="82"/>
      <c r="AJ4401" s="82"/>
      <c r="AK4401" s="82"/>
      <c r="AL4401" s="82"/>
      <c r="AM4401" s="82"/>
      <c r="AN4401" s="82"/>
      <c r="AO4401" s="82"/>
      <c r="AP4401" s="82"/>
      <c r="AQ4401" s="82"/>
      <c r="AR4401" s="82"/>
      <c r="AS4401" s="82"/>
      <c r="AT4401" s="82"/>
      <c r="AU4401" s="82"/>
      <c r="AV4401" s="82"/>
      <c r="AW4401" s="82" t="str">
        <f t="shared" si="1"/>
        <v/>
      </c>
      <c r="AX4401" s="83" t="str">
        <f t="array" ref="AX4401">IFERROR(DGET('SBV Import'!A:G,"SBV",{"RSC ID","Tier";B4401,A4401}))</f>
        <v/>
      </c>
      <c r="AY4401" s="82" t="str">
        <f t="shared" si="2"/>
        <v/>
      </c>
      <c r="AZ4401" s="82"/>
      <c r="BA4401" s="84" t="s">
        <v>152</v>
      </c>
      <c r="BB4401" s="84" t="str">
        <f>IFERROR(__xludf.DUMMYFUNCTION("iferror(if(A4401="""",,E4401&gt;=FILTER(Constants!$F$2:$F$10,Constants!$A$2:$A$10=A4401)))"),"")</f>
        <v/>
      </c>
    </row>
    <row r="4402">
      <c r="A4402" s="89"/>
      <c r="B4402" s="87"/>
      <c r="C4402" s="73"/>
      <c r="D4402" s="73"/>
      <c r="E4402" s="82"/>
      <c r="F4402" s="82"/>
      <c r="G4402" s="86"/>
      <c r="H4402" s="86"/>
      <c r="I4402" s="86"/>
      <c r="J4402" s="82"/>
      <c r="K4402" s="82"/>
      <c r="L4402" s="82"/>
      <c r="M4402" s="82"/>
      <c r="N4402" s="82"/>
      <c r="O4402" s="82"/>
      <c r="P4402" s="82"/>
      <c r="Q4402" s="82"/>
      <c r="R4402" s="82"/>
      <c r="S4402" s="82"/>
      <c r="T4402" s="82"/>
      <c r="U4402" s="82"/>
      <c r="V4402" s="82"/>
      <c r="W4402" s="82"/>
      <c r="X4402" s="82"/>
      <c r="Y4402" s="82"/>
      <c r="Z4402" s="82"/>
      <c r="AA4402" s="82"/>
      <c r="AB4402" s="82"/>
      <c r="AC4402" s="82"/>
      <c r="AD4402" s="82"/>
      <c r="AE4402" s="82"/>
      <c r="AF4402" s="82"/>
      <c r="AG4402" s="82"/>
      <c r="AH4402" s="82"/>
      <c r="AI4402" s="82"/>
      <c r="AJ4402" s="82"/>
      <c r="AK4402" s="82"/>
      <c r="AL4402" s="82"/>
      <c r="AM4402" s="82"/>
      <c r="AN4402" s="82"/>
      <c r="AO4402" s="82"/>
      <c r="AP4402" s="82"/>
      <c r="AQ4402" s="82"/>
      <c r="AR4402" s="82"/>
      <c r="AS4402" s="82"/>
      <c r="AT4402" s="82"/>
      <c r="AU4402" s="82"/>
      <c r="AV4402" s="82"/>
      <c r="AW4402" s="82" t="str">
        <f t="shared" si="1"/>
        <v/>
      </c>
      <c r="AX4402" s="83" t="str">
        <f t="array" ref="AX4402">IFERROR(DGET('SBV Import'!A:G,"SBV",{"RSC ID","Tier";B4402,A4402}))</f>
        <v/>
      </c>
      <c r="AY4402" s="82" t="str">
        <f t="shared" si="2"/>
        <v/>
      </c>
      <c r="AZ4402" s="82"/>
      <c r="BA4402" s="84" t="s">
        <v>152</v>
      </c>
      <c r="BB4402" s="84" t="str">
        <f>IFERROR(__xludf.DUMMYFUNCTION("iferror(if(A4402="""",,E4402&gt;=FILTER(Constants!$F$2:$F$10,Constants!$A$2:$A$10=A4402)))"),"")</f>
        <v/>
      </c>
    </row>
    <row r="4403">
      <c r="A4403" s="89"/>
      <c r="B4403" s="87"/>
      <c r="C4403" s="73"/>
      <c r="D4403" s="73"/>
      <c r="E4403" s="82"/>
      <c r="F4403" s="82"/>
      <c r="G4403" s="86"/>
      <c r="H4403" s="86"/>
      <c r="I4403" s="86"/>
      <c r="J4403" s="82"/>
      <c r="K4403" s="82"/>
      <c r="L4403" s="82"/>
      <c r="M4403" s="82"/>
      <c r="N4403" s="82"/>
      <c r="O4403" s="82"/>
      <c r="P4403" s="82"/>
      <c r="Q4403" s="82"/>
      <c r="R4403" s="82"/>
      <c r="S4403" s="82"/>
      <c r="T4403" s="82"/>
      <c r="U4403" s="82"/>
      <c r="V4403" s="82"/>
      <c r="W4403" s="82"/>
      <c r="X4403" s="82"/>
      <c r="Y4403" s="82"/>
      <c r="Z4403" s="82"/>
      <c r="AA4403" s="82"/>
      <c r="AB4403" s="82"/>
      <c r="AC4403" s="82"/>
      <c r="AD4403" s="82"/>
      <c r="AE4403" s="82"/>
      <c r="AF4403" s="82"/>
      <c r="AG4403" s="82"/>
      <c r="AH4403" s="82"/>
      <c r="AI4403" s="82"/>
      <c r="AJ4403" s="82"/>
      <c r="AK4403" s="82"/>
      <c r="AL4403" s="82"/>
      <c r="AM4403" s="82"/>
      <c r="AN4403" s="82"/>
      <c r="AO4403" s="82"/>
      <c r="AP4403" s="82"/>
      <c r="AQ4403" s="82"/>
      <c r="AR4403" s="82"/>
      <c r="AS4403" s="82"/>
      <c r="AT4403" s="82"/>
      <c r="AU4403" s="82"/>
      <c r="AV4403" s="82"/>
      <c r="AW4403" s="82" t="str">
        <f t="shared" si="1"/>
        <v/>
      </c>
      <c r="AX4403" s="83" t="str">
        <f t="array" ref="AX4403">IFERROR(DGET('SBV Import'!A:G,"SBV",{"RSC ID","Tier";B4403,A4403}))</f>
        <v/>
      </c>
      <c r="AY4403" s="82" t="str">
        <f t="shared" si="2"/>
        <v/>
      </c>
      <c r="AZ4403" s="82"/>
      <c r="BA4403" s="84" t="s">
        <v>152</v>
      </c>
      <c r="BB4403" s="84" t="str">
        <f>IFERROR(__xludf.DUMMYFUNCTION("iferror(if(A4403="""",,E4403&gt;=FILTER(Constants!$F$2:$F$10,Constants!$A$2:$A$10=A4403)))"),"")</f>
        <v/>
      </c>
    </row>
    <row r="4404">
      <c r="A4404" s="89"/>
      <c r="B4404" s="87"/>
      <c r="C4404" s="73"/>
      <c r="D4404" s="73"/>
      <c r="E4404" s="82"/>
      <c r="F4404" s="82"/>
      <c r="G4404" s="86"/>
      <c r="H4404" s="86"/>
      <c r="I4404" s="86"/>
      <c r="J4404" s="82"/>
      <c r="K4404" s="82"/>
      <c r="L4404" s="82"/>
      <c r="M4404" s="82"/>
      <c r="N4404" s="82"/>
      <c r="O4404" s="82"/>
      <c r="P4404" s="82"/>
      <c r="Q4404" s="82"/>
      <c r="R4404" s="82"/>
      <c r="S4404" s="82"/>
      <c r="T4404" s="82"/>
      <c r="U4404" s="82"/>
      <c r="V4404" s="82"/>
      <c r="W4404" s="82"/>
      <c r="X4404" s="82"/>
      <c r="Y4404" s="82"/>
      <c r="Z4404" s="82"/>
      <c r="AA4404" s="82"/>
      <c r="AB4404" s="82"/>
      <c r="AC4404" s="82"/>
      <c r="AD4404" s="82"/>
      <c r="AE4404" s="82"/>
      <c r="AF4404" s="82"/>
      <c r="AG4404" s="82"/>
      <c r="AH4404" s="82"/>
      <c r="AI4404" s="82"/>
      <c r="AJ4404" s="82"/>
      <c r="AK4404" s="82"/>
      <c r="AL4404" s="82"/>
      <c r="AM4404" s="82"/>
      <c r="AN4404" s="82"/>
      <c r="AO4404" s="82"/>
      <c r="AP4404" s="82"/>
      <c r="AQ4404" s="82"/>
      <c r="AR4404" s="82"/>
      <c r="AS4404" s="82"/>
      <c r="AT4404" s="82"/>
      <c r="AU4404" s="82"/>
      <c r="AV4404" s="82"/>
      <c r="AW4404" s="82" t="str">
        <f t="shared" si="1"/>
        <v/>
      </c>
      <c r="AX4404" s="83" t="str">
        <f t="array" ref="AX4404">IFERROR(DGET('SBV Import'!A:G,"SBV",{"RSC ID","Tier";B4404,A4404}))</f>
        <v/>
      </c>
      <c r="AY4404" s="82" t="str">
        <f t="shared" si="2"/>
        <v/>
      </c>
      <c r="AZ4404" s="82"/>
      <c r="BA4404" s="84" t="s">
        <v>152</v>
      </c>
      <c r="BB4404" s="84" t="str">
        <f>IFERROR(__xludf.DUMMYFUNCTION("iferror(if(A4404="""",,E4404&gt;=FILTER(Constants!$F$2:$F$10,Constants!$A$2:$A$10=A4404)))"),"")</f>
        <v/>
      </c>
    </row>
    <row r="4405">
      <c r="A4405" s="89"/>
      <c r="B4405" s="87"/>
      <c r="C4405" s="73"/>
      <c r="D4405" s="73"/>
      <c r="E4405" s="82"/>
      <c r="F4405" s="82"/>
      <c r="G4405" s="86"/>
      <c r="H4405" s="86"/>
      <c r="I4405" s="86"/>
      <c r="J4405" s="82"/>
      <c r="K4405" s="82"/>
      <c r="L4405" s="82"/>
      <c r="M4405" s="82"/>
      <c r="N4405" s="82"/>
      <c r="O4405" s="82"/>
      <c r="P4405" s="82"/>
      <c r="Q4405" s="82"/>
      <c r="R4405" s="82"/>
      <c r="S4405" s="82"/>
      <c r="T4405" s="82"/>
      <c r="U4405" s="82"/>
      <c r="V4405" s="82"/>
      <c r="W4405" s="82"/>
      <c r="X4405" s="82"/>
      <c r="Y4405" s="82"/>
      <c r="Z4405" s="82"/>
      <c r="AA4405" s="82"/>
      <c r="AB4405" s="82"/>
      <c r="AC4405" s="82"/>
      <c r="AD4405" s="82"/>
      <c r="AE4405" s="82"/>
      <c r="AF4405" s="82"/>
      <c r="AG4405" s="82"/>
      <c r="AH4405" s="82"/>
      <c r="AI4405" s="82"/>
      <c r="AJ4405" s="82"/>
      <c r="AK4405" s="82"/>
      <c r="AL4405" s="82"/>
      <c r="AM4405" s="82"/>
      <c r="AN4405" s="82"/>
      <c r="AO4405" s="82"/>
      <c r="AP4405" s="82"/>
      <c r="AQ4405" s="82"/>
      <c r="AR4405" s="82"/>
      <c r="AS4405" s="82"/>
      <c r="AT4405" s="82"/>
      <c r="AU4405" s="82"/>
      <c r="AV4405" s="82"/>
      <c r="AW4405" s="82" t="str">
        <f t="shared" si="1"/>
        <v/>
      </c>
      <c r="AX4405" s="83" t="str">
        <f t="array" ref="AX4405">IFERROR(DGET('SBV Import'!A:G,"SBV",{"RSC ID","Tier";B4405,A4405}))</f>
        <v/>
      </c>
      <c r="AY4405" s="82" t="str">
        <f t="shared" si="2"/>
        <v/>
      </c>
      <c r="AZ4405" s="82"/>
      <c r="BA4405" s="84" t="s">
        <v>152</v>
      </c>
      <c r="BB4405" s="84" t="str">
        <f>IFERROR(__xludf.DUMMYFUNCTION("iferror(if(A4405="""",,E4405&gt;=FILTER(Constants!$F$2:$F$10,Constants!$A$2:$A$10=A4405)))"),"")</f>
        <v/>
      </c>
    </row>
    <row r="4406">
      <c r="A4406" s="89"/>
      <c r="B4406" s="87"/>
      <c r="C4406" s="73"/>
      <c r="D4406" s="73"/>
      <c r="E4406" s="82"/>
      <c r="F4406" s="82"/>
      <c r="G4406" s="86"/>
      <c r="H4406" s="86"/>
      <c r="I4406" s="86"/>
      <c r="J4406" s="82"/>
      <c r="K4406" s="82"/>
      <c r="L4406" s="82"/>
      <c r="M4406" s="82"/>
      <c r="N4406" s="82"/>
      <c r="O4406" s="82"/>
      <c r="P4406" s="82"/>
      <c r="Q4406" s="82"/>
      <c r="R4406" s="82"/>
      <c r="S4406" s="82"/>
      <c r="T4406" s="82"/>
      <c r="U4406" s="82"/>
      <c r="V4406" s="82"/>
      <c r="W4406" s="82"/>
      <c r="X4406" s="82"/>
      <c r="Y4406" s="82"/>
      <c r="Z4406" s="82"/>
      <c r="AA4406" s="82"/>
      <c r="AB4406" s="82"/>
      <c r="AC4406" s="82"/>
      <c r="AD4406" s="82"/>
      <c r="AE4406" s="82"/>
      <c r="AF4406" s="82"/>
      <c r="AG4406" s="82"/>
      <c r="AH4406" s="82"/>
      <c r="AI4406" s="82"/>
      <c r="AJ4406" s="82"/>
      <c r="AK4406" s="82"/>
      <c r="AL4406" s="82"/>
      <c r="AM4406" s="82"/>
      <c r="AN4406" s="82"/>
      <c r="AO4406" s="82"/>
      <c r="AP4406" s="82"/>
      <c r="AQ4406" s="82"/>
      <c r="AR4406" s="82"/>
      <c r="AS4406" s="82"/>
      <c r="AT4406" s="82"/>
      <c r="AU4406" s="82"/>
      <c r="AV4406" s="82"/>
      <c r="AW4406" s="82" t="str">
        <f t="shared" si="1"/>
        <v/>
      </c>
      <c r="AX4406" s="83" t="str">
        <f t="array" ref="AX4406">IFERROR(DGET('SBV Import'!A:G,"SBV",{"RSC ID","Tier";B4406,A4406}))</f>
        <v/>
      </c>
      <c r="AY4406" s="82" t="str">
        <f t="shared" si="2"/>
        <v/>
      </c>
      <c r="AZ4406" s="82"/>
      <c r="BA4406" s="84" t="s">
        <v>152</v>
      </c>
      <c r="BB4406" s="84" t="str">
        <f>IFERROR(__xludf.DUMMYFUNCTION("iferror(if(A4406="""",,E4406&gt;=FILTER(Constants!$F$2:$F$10,Constants!$A$2:$A$10=A4406)))"),"")</f>
        <v/>
      </c>
    </row>
    <row r="4407">
      <c r="A4407" s="89"/>
      <c r="B4407" s="87"/>
      <c r="C4407" s="73"/>
      <c r="D4407" s="73"/>
      <c r="E4407" s="82"/>
      <c r="F4407" s="82"/>
      <c r="G4407" s="86"/>
      <c r="H4407" s="86"/>
      <c r="I4407" s="86"/>
      <c r="J4407" s="82"/>
      <c r="K4407" s="82"/>
      <c r="L4407" s="82"/>
      <c r="M4407" s="82"/>
      <c r="N4407" s="82"/>
      <c r="O4407" s="82"/>
      <c r="P4407" s="82"/>
      <c r="Q4407" s="82"/>
      <c r="R4407" s="82"/>
      <c r="S4407" s="82"/>
      <c r="T4407" s="82"/>
      <c r="U4407" s="82"/>
      <c r="V4407" s="82"/>
      <c r="W4407" s="82"/>
      <c r="X4407" s="82"/>
      <c r="Y4407" s="82"/>
      <c r="Z4407" s="82"/>
      <c r="AA4407" s="82"/>
      <c r="AB4407" s="82"/>
      <c r="AC4407" s="82"/>
      <c r="AD4407" s="82"/>
      <c r="AE4407" s="82"/>
      <c r="AF4407" s="82"/>
      <c r="AG4407" s="82"/>
      <c r="AH4407" s="82"/>
      <c r="AI4407" s="82"/>
      <c r="AJ4407" s="82"/>
      <c r="AK4407" s="82"/>
      <c r="AL4407" s="82"/>
      <c r="AM4407" s="82"/>
      <c r="AN4407" s="82"/>
      <c r="AO4407" s="82"/>
      <c r="AP4407" s="82"/>
      <c r="AQ4407" s="82"/>
      <c r="AR4407" s="82"/>
      <c r="AS4407" s="82"/>
      <c r="AT4407" s="82"/>
      <c r="AU4407" s="82"/>
      <c r="AV4407" s="82"/>
      <c r="AW4407" s="82" t="str">
        <f t="shared" si="1"/>
        <v/>
      </c>
      <c r="AX4407" s="83" t="str">
        <f t="array" ref="AX4407">IFERROR(DGET('SBV Import'!A:G,"SBV",{"RSC ID","Tier";B4407,A4407}))</f>
        <v/>
      </c>
      <c r="AY4407" s="82" t="str">
        <f t="shared" si="2"/>
        <v/>
      </c>
      <c r="AZ4407" s="82"/>
      <c r="BA4407" s="84" t="s">
        <v>152</v>
      </c>
      <c r="BB4407" s="84" t="str">
        <f>IFERROR(__xludf.DUMMYFUNCTION("iferror(if(A4407="""",,E4407&gt;=FILTER(Constants!$F$2:$F$10,Constants!$A$2:$A$10=A4407)))"),"")</f>
        <v/>
      </c>
    </row>
    <row r="4408">
      <c r="A4408" s="89"/>
      <c r="B4408" s="87"/>
      <c r="C4408" s="73"/>
      <c r="D4408" s="73"/>
      <c r="E4408" s="82"/>
      <c r="F4408" s="82"/>
      <c r="G4408" s="86"/>
      <c r="H4408" s="86"/>
      <c r="I4408" s="86"/>
      <c r="J4408" s="82"/>
      <c r="K4408" s="82"/>
      <c r="L4408" s="82"/>
      <c r="M4408" s="82"/>
      <c r="N4408" s="82"/>
      <c r="O4408" s="82"/>
      <c r="P4408" s="82"/>
      <c r="Q4408" s="82"/>
      <c r="R4408" s="82"/>
      <c r="S4408" s="82"/>
      <c r="T4408" s="82"/>
      <c r="U4408" s="82"/>
      <c r="V4408" s="82"/>
      <c r="W4408" s="82"/>
      <c r="X4408" s="82"/>
      <c r="Y4408" s="82"/>
      <c r="Z4408" s="82"/>
      <c r="AA4408" s="82"/>
      <c r="AB4408" s="82"/>
      <c r="AC4408" s="82"/>
      <c r="AD4408" s="82"/>
      <c r="AE4408" s="82"/>
      <c r="AF4408" s="82"/>
      <c r="AG4408" s="82"/>
      <c r="AH4408" s="82"/>
      <c r="AI4408" s="82"/>
      <c r="AJ4408" s="82"/>
      <c r="AK4408" s="82"/>
      <c r="AL4408" s="82"/>
      <c r="AM4408" s="82"/>
      <c r="AN4408" s="82"/>
      <c r="AO4408" s="82"/>
      <c r="AP4408" s="82"/>
      <c r="AQ4408" s="82"/>
      <c r="AR4408" s="82"/>
      <c r="AS4408" s="82"/>
      <c r="AT4408" s="82"/>
      <c r="AU4408" s="82"/>
      <c r="AV4408" s="82"/>
      <c r="AW4408" s="82" t="str">
        <f t="shared" si="1"/>
        <v/>
      </c>
      <c r="AX4408" s="83" t="str">
        <f t="array" ref="AX4408">IFERROR(DGET('SBV Import'!A:G,"SBV",{"RSC ID","Tier";B4408,A4408}))</f>
        <v/>
      </c>
      <c r="AY4408" s="82" t="str">
        <f t="shared" si="2"/>
        <v/>
      </c>
      <c r="AZ4408" s="82"/>
      <c r="BA4408" s="84" t="s">
        <v>152</v>
      </c>
      <c r="BB4408" s="84" t="str">
        <f>IFERROR(__xludf.DUMMYFUNCTION("iferror(if(A4408="""",,E4408&gt;=FILTER(Constants!$F$2:$F$10,Constants!$A$2:$A$10=A4408)))"),"")</f>
        <v/>
      </c>
    </row>
    <row r="4409">
      <c r="A4409" s="89"/>
      <c r="B4409" s="87"/>
      <c r="C4409" s="73"/>
      <c r="D4409" s="73"/>
      <c r="E4409" s="82"/>
      <c r="F4409" s="82"/>
      <c r="G4409" s="86"/>
      <c r="H4409" s="86"/>
      <c r="I4409" s="86"/>
      <c r="J4409" s="82"/>
      <c r="K4409" s="82"/>
      <c r="L4409" s="82"/>
      <c r="M4409" s="82"/>
      <c r="N4409" s="82"/>
      <c r="O4409" s="82"/>
      <c r="P4409" s="82"/>
      <c r="Q4409" s="82"/>
      <c r="R4409" s="82"/>
      <c r="S4409" s="82"/>
      <c r="T4409" s="82"/>
      <c r="U4409" s="82"/>
      <c r="V4409" s="82"/>
      <c r="W4409" s="82"/>
      <c r="X4409" s="82"/>
      <c r="Y4409" s="82"/>
      <c r="Z4409" s="82"/>
      <c r="AA4409" s="82"/>
      <c r="AB4409" s="82"/>
      <c r="AC4409" s="82"/>
      <c r="AD4409" s="82"/>
      <c r="AE4409" s="82"/>
      <c r="AF4409" s="82"/>
      <c r="AG4409" s="82"/>
      <c r="AH4409" s="82"/>
      <c r="AI4409" s="82"/>
      <c r="AJ4409" s="82"/>
      <c r="AK4409" s="82"/>
      <c r="AL4409" s="82"/>
      <c r="AM4409" s="82"/>
      <c r="AN4409" s="82"/>
      <c r="AO4409" s="82"/>
      <c r="AP4409" s="82"/>
      <c r="AQ4409" s="82"/>
      <c r="AR4409" s="82"/>
      <c r="AS4409" s="82"/>
      <c r="AT4409" s="82"/>
      <c r="AU4409" s="82"/>
      <c r="AV4409" s="82"/>
      <c r="AW4409" s="82" t="str">
        <f t="shared" si="1"/>
        <v/>
      </c>
      <c r="AX4409" s="83" t="str">
        <f t="array" ref="AX4409">IFERROR(DGET('SBV Import'!A:G,"SBV",{"RSC ID","Tier";B4409,A4409}))</f>
        <v/>
      </c>
      <c r="AY4409" s="82" t="str">
        <f t="shared" si="2"/>
        <v/>
      </c>
      <c r="AZ4409" s="82"/>
      <c r="BA4409" s="84" t="s">
        <v>152</v>
      </c>
      <c r="BB4409" s="84" t="str">
        <f>IFERROR(__xludf.DUMMYFUNCTION("iferror(if(A4409="""",,E4409&gt;=FILTER(Constants!$F$2:$F$10,Constants!$A$2:$A$10=A4409)))"),"")</f>
        <v/>
      </c>
    </row>
    <row r="4410">
      <c r="A4410" s="89"/>
      <c r="B4410" s="87"/>
      <c r="C4410" s="73"/>
      <c r="D4410" s="73"/>
      <c r="E4410" s="82"/>
      <c r="F4410" s="82"/>
      <c r="G4410" s="86"/>
      <c r="H4410" s="86"/>
      <c r="I4410" s="86"/>
      <c r="J4410" s="82"/>
      <c r="K4410" s="82"/>
      <c r="L4410" s="82"/>
      <c r="M4410" s="82"/>
      <c r="N4410" s="82"/>
      <c r="O4410" s="82"/>
      <c r="P4410" s="82"/>
      <c r="Q4410" s="82"/>
      <c r="R4410" s="82"/>
      <c r="S4410" s="82"/>
      <c r="T4410" s="82"/>
      <c r="U4410" s="82"/>
      <c r="V4410" s="82"/>
      <c r="W4410" s="82"/>
      <c r="X4410" s="82"/>
      <c r="Y4410" s="82"/>
      <c r="Z4410" s="82"/>
      <c r="AA4410" s="82"/>
      <c r="AB4410" s="82"/>
      <c r="AC4410" s="82"/>
      <c r="AD4410" s="82"/>
      <c r="AE4410" s="82"/>
      <c r="AF4410" s="82"/>
      <c r="AG4410" s="82"/>
      <c r="AH4410" s="82"/>
      <c r="AI4410" s="82"/>
      <c r="AJ4410" s="82"/>
      <c r="AK4410" s="82"/>
      <c r="AL4410" s="82"/>
      <c r="AM4410" s="82"/>
      <c r="AN4410" s="82"/>
      <c r="AO4410" s="82"/>
      <c r="AP4410" s="82"/>
      <c r="AQ4410" s="82"/>
      <c r="AR4410" s="82"/>
      <c r="AS4410" s="82"/>
      <c r="AT4410" s="82"/>
      <c r="AU4410" s="82"/>
      <c r="AV4410" s="82"/>
      <c r="AW4410" s="82" t="str">
        <f t="shared" si="1"/>
        <v/>
      </c>
      <c r="AX4410" s="83" t="str">
        <f t="array" ref="AX4410">IFERROR(DGET('SBV Import'!A:G,"SBV",{"RSC ID","Tier";B4410,A4410}))</f>
        <v/>
      </c>
      <c r="AY4410" s="82" t="str">
        <f t="shared" si="2"/>
        <v/>
      </c>
      <c r="AZ4410" s="82"/>
      <c r="BA4410" s="84" t="s">
        <v>152</v>
      </c>
      <c r="BB4410" s="84" t="str">
        <f>IFERROR(__xludf.DUMMYFUNCTION("iferror(if(A4410="""",,E4410&gt;=FILTER(Constants!$F$2:$F$10,Constants!$A$2:$A$10=A4410)))"),"")</f>
        <v/>
      </c>
    </row>
    <row r="4411">
      <c r="A4411" s="89"/>
      <c r="B4411" s="87"/>
      <c r="C4411" s="73"/>
      <c r="D4411" s="73"/>
      <c r="E4411" s="82"/>
      <c r="F4411" s="82"/>
      <c r="G4411" s="86"/>
      <c r="H4411" s="86"/>
      <c r="I4411" s="86"/>
      <c r="J4411" s="82"/>
      <c r="K4411" s="82"/>
      <c r="L4411" s="82"/>
      <c r="M4411" s="82"/>
      <c r="N4411" s="82"/>
      <c r="O4411" s="82"/>
      <c r="P4411" s="82"/>
      <c r="Q4411" s="82"/>
      <c r="R4411" s="82"/>
      <c r="S4411" s="82"/>
      <c r="T4411" s="82"/>
      <c r="U4411" s="82"/>
      <c r="V4411" s="82"/>
      <c r="W4411" s="82"/>
      <c r="X4411" s="82"/>
      <c r="Y4411" s="82"/>
      <c r="Z4411" s="82"/>
      <c r="AA4411" s="82"/>
      <c r="AB4411" s="82"/>
      <c r="AC4411" s="82"/>
      <c r="AD4411" s="82"/>
      <c r="AE4411" s="82"/>
      <c r="AF4411" s="82"/>
      <c r="AG4411" s="82"/>
      <c r="AH4411" s="82"/>
      <c r="AI4411" s="82"/>
      <c r="AJ4411" s="82"/>
      <c r="AK4411" s="82"/>
      <c r="AL4411" s="82"/>
      <c r="AM4411" s="82"/>
      <c r="AN4411" s="82"/>
      <c r="AO4411" s="82"/>
      <c r="AP4411" s="82"/>
      <c r="AQ4411" s="82"/>
      <c r="AR4411" s="82"/>
      <c r="AS4411" s="82"/>
      <c r="AT4411" s="82"/>
      <c r="AU4411" s="82"/>
      <c r="AV4411" s="82"/>
      <c r="AW4411" s="82" t="str">
        <f t="shared" si="1"/>
        <v/>
      </c>
      <c r="AX4411" s="83" t="str">
        <f t="array" ref="AX4411">IFERROR(DGET('SBV Import'!A:G,"SBV",{"RSC ID","Tier";B4411,A4411}))</f>
        <v/>
      </c>
      <c r="AY4411" s="82" t="str">
        <f t="shared" si="2"/>
        <v/>
      </c>
      <c r="AZ4411" s="82"/>
      <c r="BA4411" s="84" t="s">
        <v>152</v>
      </c>
      <c r="BB4411" s="84" t="str">
        <f>IFERROR(__xludf.DUMMYFUNCTION("iferror(if(A4411="""",,E4411&gt;=FILTER(Constants!$F$2:$F$10,Constants!$A$2:$A$10=A4411)))"),"")</f>
        <v/>
      </c>
    </row>
    <row r="4412">
      <c r="A4412" s="89"/>
      <c r="B4412" s="87"/>
      <c r="C4412" s="73"/>
      <c r="D4412" s="73"/>
      <c r="E4412" s="82"/>
      <c r="F4412" s="82"/>
      <c r="G4412" s="86"/>
      <c r="H4412" s="86"/>
      <c r="I4412" s="86"/>
      <c r="J4412" s="82"/>
      <c r="K4412" s="82"/>
      <c r="L4412" s="82"/>
      <c r="M4412" s="82"/>
      <c r="N4412" s="82"/>
      <c r="O4412" s="82"/>
      <c r="P4412" s="82"/>
      <c r="Q4412" s="82"/>
      <c r="R4412" s="82"/>
      <c r="S4412" s="82"/>
      <c r="T4412" s="82"/>
      <c r="U4412" s="82"/>
      <c r="V4412" s="82"/>
      <c r="W4412" s="82"/>
      <c r="X4412" s="82"/>
      <c r="Y4412" s="82"/>
      <c r="Z4412" s="82"/>
      <c r="AA4412" s="82"/>
      <c r="AB4412" s="82"/>
      <c r="AC4412" s="82"/>
      <c r="AD4412" s="82"/>
      <c r="AE4412" s="82"/>
      <c r="AF4412" s="82"/>
      <c r="AG4412" s="82"/>
      <c r="AH4412" s="82"/>
      <c r="AI4412" s="82"/>
      <c r="AJ4412" s="82"/>
      <c r="AK4412" s="82"/>
      <c r="AL4412" s="82"/>
      <c r="AM4412" s="82"/>
      <c r="AN4412" s="82"/>
      <c r="AO4412" s="82"/>
      <c r="AP4412" s="82"/>
      <c r="AQ4412" s="82"/>
      <c r="AR4412" s="82"/>
      <c r="AS4412" s="82"/>
      <c r="AT4412" s="82"/>
      <c r="AU4412" s="82"/>
      <c r="AV4412" s="82"/>
      <c r="AW4412" s="82" t="str">
        <f t="shared" si="1"/>
        <v/>
      </c>
      <c r="AX4412" s="83" t="str">
        <f t="array" ref="AX4412">IFERROR(DGET('SBV Import'!A:G,"SBV",{"RSC ID","Tier";B4412,A4412}))</f>
        <v/>
      </c>
      <c r="AY4412" s="82" t="str">
        <f t="shared" si="2"/>
        <v/>
      </c>
      <c r="AZ4412" s="82"/>
      <c r="BA4412" s="84" t="s">
        <v>152</v>
      </c>
      <c r="BB4412" s="84" t="str">
        <f>IFERROR(__xludf.DUMMYFUNCTION("iferror(if(A4412="""",,E4412&gt;=FILTER(Constants!$F$2:$F$10,Constants!$A$2:$A$10=A4412)))"),"")</f>
        <v/>
      </c>
    </row>
    <row r="4413">
      <c r="A4413" s="89"/>
      <c r="B4413" s="87"/>
      <c r="C4413" s="73"/>
      <c r="D4413" s="73"/>
      <c r="E4413" s="82"/>
      <c r="F4413" s="82"/>
      <c r="G4413" s="86"/>
      <c r="H4413" s="86"/>
      <c r="I4413" s="86"/>
      <c r="J4413" s="82"/>
      <c r="K4413" s="82"/>
      <c r="L4413" s="82"/>
      <c r="M4413" s="82"/>
      <c r="N4413" s="82"/>
      <c r="O4413" s="82"/>
      <c r="P4413" s="82"/>
      <c r="Q4413" s="82"/>
      <c r="R4413" s="82"/>
      <c r="S4413" s="82"/>
      <c r="T4413" s="82"/>
      <c r="U4413" s="82"/>
      <c r="V4413" s="82"/>
      <c r="W4413" s="82"/>
      <c r="X4413" s="82"/>
      <c r="Y4413" s="82"/>
      <c r="Z4413" s="82"/>
      <c r="AA4413" s="82"/>
      <c r="AB4413" s="82"/>
      <c r="AC4413" s="82"/>
      <c r="AD4413" s="82"/>
      <c r="AE4413" s="82"/>
      <c r="AF4413" s="82"/>
      <c r="AG4413" s="82"/>
      <c r="AH4413" s="82"/>
      <c r="AI4413" s="82"/>
      <c r="AJ4413" s="82"/>
      <c r="AK4413" s="82"/>
      <c r="AL4413" s="82"/>
      <c r="AM4413" s="82"/>
      <c r="AN4413" s="82"/>
      <c r="AO4413" s="82"/>
      <c r="AP4413" s="82"/>
      <c r="AQ4413" s="82"/>
      <c r="AR4413" s="82"/>
      <c r="AS4413" s="82"/>
      <c r="AT4413" s="82"/>
      <c r="AU4413" s="82"/>
      <c r="AV4413" s="82"/>
      <c r="AW4413" s="82" t="str">
        <f t="shared" si="1"/>
        <v/>
      </c>
      <c r="AX4413" s="83" t="str">
        <f t="array" ref="AX4413">IFERROR(DGET('SBV Import'!A:G,"SBV",{"RSC ID","Tier";B4413,A4413}))</f>
        <v/>
      </c>
      <c r="AY4413" s="82" t="str">
        <f t="shared" si="2"/>
        <v/>
      </c>
      <c r="AZ4413" s="82"/>
      <c r="BA4413" s="84" t="s">
        <v>152</v>
      </c>
      <c r="BB4413" s="84" t="str">
        <f>IFERROR(__xludf.DUMMYFUNCTION("iferror(if(A4413="""",,E4413&gt;=FILTER(Constants!$F$2:$F$10,Constants!$A$2:$A$10=A4413)))"),"")</f>
        <v/>
      </c>
    </row>
    <row r="4414">
      <c r="A4414" s="89"/>
      <c r="B4414" s="87"/>
      <c r="C4414" s="73"/>
      <c r="D4414" s="73"/>
      <c r="E4414" s="82"/>
      <c r="F4414" s="82"/>
      <c r="G4414" s="86"/>
      <c r="H4414" s="86"/>
      <c r="I4414" s="86"/>
      <c r="J4414" s="82"/>
      <c r="K4414" s="82"/>
      <c r="L4414" s="82"/>
      <c r="M4414" s="82"/>
      <c r="N4414" s="82"/>
      <c r="O4414" s="82"/>
      <c r="P4414" s="82"/>
      <c r="Q4414" s="82"/>
      <c r="R4414" s="82"/>
      <c r="S4414" s="82"/>
      <c r="T4414" s="82"/>
      <c r="U4414" s="82"/>
      <c r="V4414" s="82"/>
      <c r="W4414" s="82"/>
      <c r="X4414" s="82"/>
      <c r="Y4414" s="82"/>
      <c r="Z4414" s="82"/>
      <c r="AA4414" s="82"/>
      <c r="AB4414" s="82"/>
      <c r="AC4414" s="82"/>
      <c r="AD4414" s="82"/>
      <c r="AE4414" s="82"/>
      <c r="AF4414" s="82"/>
      <c r="AG4414" s="82"/>
      <c r="AH4414" s="82"/>
      <c r="AI4414" s="82"/>
      <c r="AJ4414" s="82"/>
      <c r="AK4414" s="82"/>
      <c r="AL4414" s="82"/>
      <c r="AM4414" s="82"/>
      <c r="AN4414" s="82"/>
      <c r="AO4414" s="82"/>
      <c r="AP4414" s="82"/>
      <c r="AQ4414" s="82"/>
      <c r="AR4414" s="82"/>
      <c r="AS4414" s="82"/>
      <c r="AT4414" s="82"/>
      <c r="AU4414" s="82"/>
      <c r="AV4414" s="82"/>
      <c r="AW4414" s="82" t="str">
        <f t="shared" si="1"/>
        <v/>
      </c>
      <c r="AX4414" s="83" t="str">
        <f t="array" ref="AX4414">IFERROR(DGET('SBV Import'!A:G,"SBV",{"RSC ID","Tier";B4414,A4414}))</f>
        <v/>
      </c>
      <c r="AY4414" s="82" t="str">
        <f t="shared" si="2"/>
        <v/>
      </c>
      <c r="AZ4414" s="82"/>
      <c r="BA4414" s="84" t="s">
        <v>152</v>
      </c>
      <c r="BB4414" s="84" t="str">
        <f>IFERROR(__xludf.DUMMYFUNCTION("iferror(if(A4414="""",,E4414&gt;=FILTER(Constants!$F$2:$F$10,Constants!$A$2:$A$10=A4414)))"),"")</f>
        <v/>
      </c>
    </row>
    <row r="4415">
      <c r="A4415" s="89"/>
      <c r="B4415" s="87"/>
      <c r="C4415" s="73"/>
      <c r="D4415" s="73"/>
      <c r="E4415" s="82"/>
      <c r="F4415" s="82"/>
      <c r="G4415" s="86"/>
      <c r="H4415" s="86"/>
      <c r="I4415" s="86"/>
      <c r="J4415" s="82"/>
      <c r="K4415" s="82"/>
      <c r="L4415" s="82"/>
      <c r="M4415" s="82"/>
      <c r="N4415" s="82"/>
      <c r="O4415" s="82"/>
      <c r="P4415" s="82"/>
      <c r="Q4415" s="82"/>
      <c r="R4415" s="82"/>
      <c r="S4415" s="82"/>
      <c r="T4415" s="82"/>
      <c r="U4415" s="82"/>
      <c r="V4415" s="82"/>
      <c r="W4415" s="82"/>
      <c r="X4415" s="82"/>
      <c r="Y4415" s="82"/>
      <c r="Z4415" s="82"/>
      <c r="AA4415" s="82"/>
      <c r="AB4415" s="82"/>
      <c r="AC4415" s="82"/>
      <c r="AD4415" s="82"/>
      <c r="AE4415" s="82"/>
      <c r="AF4415" s="82"/>
      <c r="AG4415" s="82"/>
      <c r="AH4415" s="82"/>
      <c r="AI4415" s="82"/>
      <c r="AJ4415" s="82"/>
      <c r="AK4415" s="82"/>
      <c r="AL4415" s="82"/>
      <c r="AM4415" s="82"/>
      <c r="AN4415" s="82"/>
      <c r="AO4415" s="82"/>
      <c r="AP4415" s="82"/>
      <c r="AQ4415" s="82"/>
      <c r="AR4415" s="82"/>
      <c r="AS4415" s="82"/>
      <c r="AT4415" s="82"/>
      <c r="AU4415" s="82"/>
      <c r="AV4415" s="82"/>
      <c r="AW4415" s="82" t="str">
        <f t="shared" si="1"/>
        <v/>
      </c>
      <c r="AX4415" s="83" t="str">
        <f t="array" ref="AX4415">IFERROR(DGET('SBV Import'!A:G,"SBV",{"RSC ID","Tier";B4415,A4415}))</f>
        <v/>
      </c>
      <c r="AY4415" s="82" t="str">
        <f t="shared" si="2"/>
        <v/>
      </c>
      <c r="AZ4415" s="82"/>
      <c r="BA4415" s="84" t="s">
        <v>152</v>
      </c>
      <c r="BB4415" s="84" t="str">
        <f>IFERROR(__xludf.DUMMYFUNCTION("iferror(if(A4415="""",,E4415&gt;=FILTER(Constants!$F$2:$F$10,Constants!$A$2:$A$10=A4415)))"),"")</f>
        <v/>
      </c>
    </row>
    <row r="4416">
      <c r="A4416" s="89"/>
      <c r="B4416" s="87"/>
      <c r="C4416" s="73"/>
      <c r="D4416" s="73"/>
      <c r="E4416" s="82"/>
      <c r="F4416" s="82"/>
      <c r="G4416" s="86"/>
      <c r="H4416" s="86"/>
      <c r="I4416" s="86"/>
      <c r="J4416" s="82"/>
      <c r="K4416" s="82"/>
      <c r="L4416" s="82"/>
      <c r="M4416" s="82"/>
      <c r="N4416" s="82"/>
      <c r="O4416" s="82"/>
      <c r="P4416" s="82"/>
      <c r="Q4416" s="82"/>
      <c r="R4416" s="82"/>
      <c r="S4416" s="82"/>
      <c r="T4416" s="82"/>
      <c r="U4416" s="82"/>
      <c r="V4416" s="82"/>
      <c r="W4416" s="82"/>
      <c r="X4416" s="82"/>
      <c r="Y4416" s="82"/>
      <c r="Z4416" s="82"/>
      <c r="AA4416" s="82"/>
      <c r="AB4416" s="82"/>
      <c r="AC4416" s="82"/>
      <c r="AD4416" s="82"/>
      <c r="AE4416" s="82"/>
      <c r="AF4416" s="82"/>
      <c r="AG4416" s="82"/>
      <c r="AH4416" s="82"/>
      <c r="AI4416" s="82"/>
      <c r="AJ4416" s="82"/>
      <c r="AK4416" s="82"/>
      <c r="AL4416" s="82"/>
      <c r="AM4416" s="82"/>
      <c r="AN4416" s="82"/>
      <c r="AO4416" s="82"/>
      <c r="AP4416" s="82"/>
      <c r="AQ4416" s="82"/>
      <c r="AR4416" s="82"/>
      <c r="AS4416" s="82"/>
      <c r="AT4416" s="82"/>
      <c r="AU4416" s="82"/>
      <c r="AV4416" s="82"/>
      <c r="AW4416" s="82" t="str">
        <f t="shared" si="1"/>
        <v/>
      </c>
      <c r="AX4416" s="83" t="str">
        <f t="array" ref="AX4416">IFERROR(DGET('SBV Import'!A:G,"SBV",{"RSC ID","Tier";B4416,A4416}))</f>
        <v/>
      </c>
      <c r="AY4416" s="82" t="str">
        <f t="shared" si="2"/>
        <v/>
      </c>
      <c r="AZ4416" s="82"/>
      <c r="BA4416" s="84" t="s">
        <v>152</v>
      </c>
      <c r="BB4416" s="84" t="str">
        <f>IFERROR(__xludf.DUMMYFUNCTION("iferror(if(A4416="""",,E4416&gt;=FILTER(Constants!$F$2:$F$10,Constants!$A$2:$A$10=A4416)))"),"")</f>
        <v/>
      </c>
    </row>
    <row r="4417">
      <c r="A4417" s="89"/>
      <c r="B4417" s="87"/>
      <c r="C4417" s="73"/>
      <c r="D4417" s="73"/>
      <c r="E4417" s="82"/>
      <c r="F4417" s="82"/>
      <c r="G4417" s="86"/>
      <c r="H4417" s="86"/>
      <c r="I4417" s="86"/>
      <c r="J4417" s="82"/>
      <c r="K4417" s="82"/>
      <c r="L4417" s="82"/>
      <c r="M4417" s="82"/>
      <c r="N4417" s="82"/>
      <c r="O4417" s="82"/>
      <c r="P4417" s="82"/>
      <c r="Q4417" s="82"/>
      <c r="R4417" s="82"/>
      <c r="S4417" s="82"/>
      <c r="T4417" s="82"/>
      <c r="U4417" s="82"/>
      <c r="V4417" s="82"/>
      <c r="W4417" s="82"/>
      <c r="X4417" s="82"/>
      <c r="Y4417" s="82"/>
      <c r="Z4417" s="82"/>
      <c r="AA4417" s="82"/>
      <c r="AB4417" s="82"/>
      <c r="AC4417" s="82"/>
      <c r="AD4417" s="82"/>
      <c r="AE4417" s="82"/>
      <c r="AF4417" s="82"/>
      <c r="AG4417" s="82"/>
      <c r="AH4417" s="82"/>
      <c r="AI4417" s="82"/>
      <c r="AJ4417" s="82"/>
      <c r="AK4417" s="82"/>
      <c r="AL4417" s="82"/>
      <c r="AM4417" s="82"/>
      <c r="AN4417" s="82"/>
      <c r="AO4417" s="82"/>
      <c r="AP4417" s="82"/>
      <c r="AQ4417" s="82"/>
      <c r="AR4417" s="82"/>
      <c r="AS4417" s="82"/>
      <c r="AT4417" s="82"/>
      <c r="AU4417" s="82"/>
      <c r="AV4417" s="82"/>
      <c r="AW4417" s="82" t="str">
        <f t="shared" si="1"/>
        <v/>
      </c>
      <c r="AX4417" s="83" t="str">
        <f t="array" ref="AX4417">IFERROR(DGET('SBV Import'!A:G,"SBV",{"RSC ID","Tier";B4417,A4417}))</f>
        <v/>
      </c>
      <c r="AY4417" s="82" t="str">
        <f t="shared" si="2"/>
        <v/>
      </c>
      <c r="AZ4417" s="82"/>
      <c r="BA4417" s="84" t="s">
        <v>152</v>
      </c>
      <c r="BB4417" s="84" t="str">
        <f>IFERROR(__xludf.DUMMYFUNCTION("iferror(if(A4417="""",,E4417&gt;=FILTER(Constants!$F$2:$F$10,Constants!$A$2:$A$10=A4417)))"),"")</f>
        <v/>
      </c>
    </row>
    <row r="4418">
      <c r="A4418" s="89"/>
      <c r="B4418" s="87"/>
      <c r="C4418" s="73"/>
      <c r="D4418" s="73"/>
      <c r="E4418" s="82"/>
      <c r="F4418" s="82"/>
      <c r="G4418" s="86"/>
      <c r="H4418" s="86"/>
      <c r="I4418" s="86"/>
      <c r="J4418" s="82"/>
      <c r="K4418" s="82"/>
      <c r="L4418" s="82"/>
      <c r="M4418" s="82"/>
      <c r="N4418" s="82"/>
      <c r="O4418" s="82"/>
      <c r="P4418" s="82"/>
      <c r="Q4418" s="82"/>
      <c r="R4418" s="82"/>
      <c r="S4418" s="82"/>
      <c r="T4418" s="82"/>
      <c r="U4418" s="82"/>
      <c r="V4418" s="82"/>
      <c r="W4418" s="82"/>
      <c r="X4418" s="82"/>
      <c r="Y4418" s="82"/>
      <c r="Z4418" s="82"/>
      <c r="AA4418" s="82"/>
      <c r="AB4418" s="82"/>
      <c r="AC4418" s="82"/>
      <c r="AD4418" s="82"/>
      <c r="AE4418" s="82"/>
      <c r="AF4418" s="82"/>
      <c r="AG4418" s="82"/>
      <c r="AH4418" s="82"/>
      <c r="AI4418" s="82"/>
      <c r="AJ4418" s="82"/>
      <c r="AK4418" s="82"/>
      <c r="AL4418" s="82"/>
      <c r="AM4418" s="82"/>
      <c r="AN4418" s="82"/>
      <c r="AO4418" s="82"/>
      <c r="AP4418" s="82"/>
      <c r="AQ4418" s="82"/>
      <c r="AR4418" s="82"/>
      <c r="AS4418" s="82"/>
      <c r="AT4418" s="82"/>
      <c r="AU4418" s="82"/>
      <c r="AV4418" s="82"/>
      <c r="AW4418" s="82" t="str">
        <f t="shared" si="1"/>
        <v/>
      </c>
      <c r="AX4418" s="83" t="str">
        <f t="array" ref="AX4418">IFERROR(DGET('SBV Import'!A:G,"SBV",{"RSC ID","Tier";B4418,A4418}))</f>
        <v/>
      </c>
      <c r="AY4418" s="82" t="str">
        <f t="shared" si="2"/>
        <v/>
      </c>
      <c r="AZ4418" s="82"/>
      <c r="BA4418" s="84" t="s">
        <v>152</v>
      </c>
      <c r="BB4418" s="84" t="str">
        <f>IFERROR(__xludf.DUMMYFUNCTION("iferror(if(A4418="""",,E4418&gt;=FILTER(Constants!$F$2:$F$10,Constants!$A$2:$A$10=A4418)))"),"")</f>
        <v/>
      </c>
    </row>
    <row r="4419">
      <c r="A4419" s="89"/>
      <c r="B4419" s="87"/>
      <c r="C4419" s="73"/>
      <c r="D4419" s="73"/>
      <c r="E4419" s="82"/>
      <c r="F4419" s="82"/>
      <c r="G4419" s="86"/>
      <c r="H4419" s="86"/>
      <c r="I4419" s="86"/>
      <c r="J4419" s="82"/>
      <c r="K4419" s="82"/>
      <c r="L4419" s="82"/>
      <c r="M4419" s="82"/>
      <c r="N4419" s="82"/>
      <c r="O4419" s="82"/>
      <c r="P4419" s="82"/>
      <c r="Q4419" s="82"/>
      <c r="R4419" s="82"/>
      <c r="S4419" s="82"/>
      <c r="T4419" s="82"/>
      <c r="U4419" s="82"/>
      <c r="V4419" s="82"/>
      <c r="W4419" s="82"/>
      <c r="X4419" s="82"/>
      <c r="Y4419" s="82"/>
      <c r="Z4419" s="82"/>
      <c r="AA4419" s="82"/>
      <c r="AB4419" s="82"/>
      <c r="AC4419" s="82"/>
      <c r="AD4419" s="82"/>
      <c r="AE4419" s="82"/>
      <c r="AF4419" s="82"/>
      <c r="AG4419" s="82"/>
      <c r="AH4419" s="82"/>
      <c r="AI4419" s="82"/>
      <c r="AJ4419" s="82"/>
      <c r="AK4419" s="82"/>
      <c r="AL4419" s="82"/>
      <c r="AM4419" s="82"/>
      <c r="AN4419" s="82"/>
      <c r="AO4419" s="82"/>
      <c r="AP4419" s="82"/>
      <c r="AQ4419" s="82"/>
      <c r="AR4419" s="82"/>
      <c r="AS4419" s="82"/>
      <c r="AT4419" s="82"/>
      <c r="AU4419" s="82"/>
      <c r="AV4419" s="82"/>
      <c r="AW4419" s="82" t="str">
        <f t="shared" si="1"/>
        <v/>
      </c>
      <c r="AX4419" s="83" t="str">
        <f t="array" ref="AX4419">IFERROR(DGET('SBV Import'!A:G,"SBV",{"RSC ID","Tier";B4419,A4419}))</f>
        <v/>
      </c>
      <c r="AY4419" s="82" t="str">
        <f t="shared" si="2"/>
        <v/>
      </c>
      <c r="AZ4419" s="82"/>
      <c r="BA4419" s="84" t="s">
        <v>152</v>
      </c>
      <c r="BB4419" s="84" t="str">
        <f>IFERROR(__xludf.DUMMYFUNCTION("iferror(if(A4419="""",,E4419&gt;=FILTER(Constants!$F$2:$F$10,Constants!$A$2:$A$10=A4419)))"),"")</f>
        <v/>
      </c>
    </row>
    <row r="4420">
      <c r="A4420" s="89"/>
      <c r="B4420" s="87"/>
      <c r="C4420" s="73"/>
      <c r="D4420" s="73"/>
      <c r="E4420" s="82"/>
      <c r="F4420" s="82"/>
      <c r="G4420" s="86"/>
      <c r="H4420" s="86"/>
      <c r="I4420" s="86"/>
      <c r="J4420" s="82"/>
      <c r="K4420" s="82"/>
      <c r="L4420" s="82"/>
      <c r="M4420" s="82"/>
      <c r="N4420" s="82"/>
      <c r="O4420" s="82"/>
      <c r="P4420" s="82"/>
      <c r="Q4420" s="82"/>
      <c r="R4420" s="82"/>
      <c r="S4420" s="82"/>
      <c r="T4420" s="82"/>
      <c r="U4420" s="82"/>
      <c r="V4420" s="82"/>
      <c r="W4420" s="82"/>
      <c r="X4420" s="82"/>
      <c r="Y4420" s="82"/>
      <c r="Z4420" s="82"/>
      <c r="AA4420" s="82"/>
      <c r="AB4420" s="82"/>
      <c r="AC4420" s="82"/>
      <c r="AD4420" s="82"/>
      <c r="AE4420" s="82"/>
      <c r="AF4420" s="82"/>
      <c r="AG4420" s="82"/>
      <c r="AH4420" s="82"/>
      <c r="AI4420" s="82"/>
      <c r="AJ4420" s="82"/>
      <c r="AK4420" s="82"/>
      <c r="AL4420" s="82"/>
      <c r="AM4420" s="82"/>
      <c r="AN4420" s="82"/>
      <c r="AO4420" s="82"/>
      <c r="AP4420" s="82"/>
      <c r="AQ4420" s="82"/>
      <c r="AR4420" s="82"/>
      <c r="AS4420" s="82"/>
      <c r="AT4420" s="82"/>
      <c r="AU4420" s="82"/>
      <c r="AV4420" s="82"/>
      <c r="AW4420" s="82" t="str">
        <f t="shared" si="1"/>
        <v/>
      </c>
      <c r="AX4420" s="83" t="str">
        <f t="array" ref="AX4420">IFERROR(DGET('SBV Import'!A:G,"SBV",{"RSC ID","Tier";B4420,A4420}))</f>
        <v/>
      </c>
      <c r="AY4420" s="82" t="str">
        <f t="shared" si="2"/>
        <v/>
      </c>
      <c r="AZ4420" s="82"/>
      <c r="BA4420" s="84" t="s">
        <v>152</v>
      </c>
      <c r="BB4420" s="84" t="str">
        <f>IFERROR(__xludf.DUMMYFUNCTION("iferror(if(A4420="""",,E4420&gt;=FILTER(Constants!$F$2:$F$10,Constants!$A$2:$A$10=A4420)))"),"")</f>
        <v/>
      </c>
    </row>
    <row r="4421">
      <c r="A4421" s="89"/>
      <c r="B4421" s="87"/>
      <c r="C4421" s="73"/>
      <c r="D4421" s="73"/>
      <c r="E4421" s="82"/>
      <c r="F4421" s="82"/>
      <c r="G4421" s="86"/>
      <c r="H4421" s="86"/>
      <c r="I4421" s="86"/>
      <c r="J4421" s="82"/>
      <c r="K4421" s="82"/>
      <c r="L4421" s="82"/>
      <c r="M4421" s="82"/>
      <c r="N4421" s="82"/>
      <c r="O4421" s="82"/>
      <c r="P4421" s="82"/>
      <c r="Q4421" s="82"/>
      <c r="R4421" s="82"/>
      <c r="S4421" s="82"/>
      <c r="T4421" s="82"/>
      <c r="U4421" s="82"/>
      <c r="V4421" s="82"/>
      <c r="W4421" s="82"/>
      <c r="X4421" s="82"/>
      <c r="Y4421" s="82"/>
      <c r="Z4421" s="82"/>
      <c r="AA4421" s="82"/>
      <c r="AB4421" s="82"/>
      <c r="AC4421" s="82"/>
      <c r="AD4421" s="82"/>
      <c r="AE4421" s="82"/>
      <c r="AF4421" s="82"/>
      <c r="AG4421" s="82"/>
      <c r="AH4421" s="82"/>
      <c r="AI4421" s="82"/>
      <c r="AJ4421" s="82"/>
      <c r="AK4421" s="82"/>
      <c r="AL4421" s="82"/>
      <c r="AM4421" s="82"/>
      <c r="AN4421" s="82"/>
      <c r="AO4421" s="82"/>
      <c r="AP4421" s="82"/>
      <c r="AQ4421" s="82"/>
      <c r="AR4421" s="82"/>
      <c r="AS4421" s="82"/>
      <c r="AT4421" s="82"/>
      <c r="AU4421" s="82"/>
      <c r="AV4421" s="82"/>
      <c r="AW4421" s="82" t="str">
        <f t="shared" si="1"/>
        <v/>
      </c>
      <c r="AX4421" s="83" t="str">
        <f t="array" ref="AX4421">IFERROR(DGET('SBV Import'!A:G,"SBV",{"RSC ID","Tier";B4421,A4421}))</f>
        <v/>
      </c>
      <c r="AY4421" s="82" t="str">
        <f t="shared" si="2"/>
        <v/>
      </c>
      <c r="AZ4421" s="82"/>
      <c r="BA4421" s="84" t="s">
        <v>152</v>
      </c>
      <c r="BB4421" s="84" t="str">
        <f>IFERROR(__xludf.DUMMYFUNCTION("iferror(if(A4421="""",,E4421&gt;=FILTER(Constants!$F$2:$F$10,Constants!$A$2:$A$10=A4421)))"),"")</f>
        <v/>
      </c>
    </row>
    <row r="4422">
      <c r="A4422" s="89"/>
      <c r="B4422" s="87"/>
      <c r="C4422" s="73"/>
      <c r="D4422" s="73"/>
      <c r="E4422" s="82"/>
      <c r="F4422" s="82"/>
      <c r="G4422" s="86"/>
      <c r="H4422" s="86"/>
      <c r="I4422" s="86"/>
      <c r="J4422" s="82"/>
      <c r="K4422" s="82"/>
      <c r="L4422" s="82"/>
      <c r="M4422" s="82"/>
      <c r="N4422" s="82"/>
      <c r="O4422" s="82"/>
      <c r="P4422" s="82"/>
      <c r="Q4422" s="82"/>
      <c r="R4422" s="82"/>
      <c r="S4422" s="82"/>
      <c r="T4422" s="82"/>
      <c r="U4422" s="82"/>
      <c r="V4422" s="82"/>
      <c r="W4422" s="82"/>
      <c r="X4422" s="82"/>
      <c r="Y4422" s="82"/>
      <c r="Z4422" s="82"/>
      <c r="AA4422" s="82"/>
      <c r="AB4422" s="82"/>
      <c r="AC4422" s="82"/>
      <c r="AD4422" s="82"/>
      <c r="AE4422" s="82"/>
      <c r="AF4422" s="82"/>
      <c r="AG4422" s="82"/>
      <c r="AH4422" s="82"/>
      <c r="AI4422" s="82"/>
      <c r="AJ4422" s="82"/>
      <c r="AK4422" s="82"/>
      <c r="AL4422" s="82"/>
      <c r="AM4422" s="82"/>
      <c r="AN4422" s="82"/>
      <c r="AO4422" s="82"/>
      <c r="AP4422" s="82"/>
      <c r="AQ4422" s="82"/>
      <c r="AR4422" s="82"/>
      <c r="AS4422" s="82"/>
      <c r="AT4422" s="82"/>
      <c r="AU4422" s="82"/>
      <c r="AV4422" s="82"/>
      <c r="AW4422" s="82" t="str">
        <f t="shared" si="1"/>
        <v/>
      </c>
      <c r="AX4422" s="83" t="str">
        <f t="array" ref="AX4422">IFERROR(DGET('SBV Import'!A:G,"SBV",{"RSC ID","Tier";B4422,A4422}))</f>
        <v/>
      </c>
      <c r="AY4422" s="82" t="str">
        <f t="shared" si="2"/>
        <v/>
      </c>
      <c r="AZ4422" s="82"/>
      <c r="BA4422" s="84" t="s">
        <v>152</v>
      </c>
      <c r="BB4422" s="84" t="str">
        <f>IFERROR(__xludf.DUMMYFUNCTION("iferror(if(A4422="""",,E4422&gt;=FILTER(Constants!$F$2:$F$10,Constants!$A$2:$A$10=A4422)))"),"")</f>
        <v/>
      </c>
    </row>
    <row r="4423">
      <c r="A4423" s="89"/>
      <c r="B4423" s="87"/>
      <c r="C4423" s="73"/>
      <c r="D4423" s="73"/>
      <c r="E4423" s="82"/>
      <c r="F4423" s="82"/>
      <c r="G4423" s="86"/>
      <c r="H4423" s="86"/>
      <c r="I4423" s="86"/>
      <c r="J4423" s="82"/>
      <c r="K4423" s="82"/>
      <c r="L4423" s="82"/>
      <c r="M4423" s="82"/>
      <c r="N4423" s="82"/>
      <c r="O4423" s="82"/>
      <c r="P4423" s="82"/>
      <c r="Q4423" s="82"/>
      <c r="R4423" s="82"/>
      <c r="S4423" s="82"/>
      <c r="T4423" s="82"/>
      <c r="U4423" s="82"/>
      <c r="V4423" s="82"/>
      <c r="W4423" s="82"/>
      <c r="X4423" s="82"/>
      <c r="Y4423" s="82"/>
      <c r="Z4423" s="82"/>
      <c r="AA4423" s="82"/>
      <c r="AB4423" s="82"/>
      <c r="AC4423" s="82"/>
      <c r="AD4423" s="82"/>
      <c r="AE4423" s="82"/>
      <c r="AF4423" s="82"/>
      <c r="AG4423" s="82"/>
      <c r="AH4423" s="82"/>
      <c r="AI4423" s="82"/>
      <c r="AJ4423" s="82"/>
      <c r="AK4423" s="82"/>
      <c r="AL4423" s="82"/>
      <c r="AM4423" s="82"/>
      <c r="AN4423" s="82"/>
      <c r="AO4423" s="82"/>
      <c r="AP4423" s="82"/>
      <c r="AQ4423" s="82"/>
      <c r="AR4423" s="82"/>
      <c r="AS4423" s="82"/>
      <c r="AT4423" s="82"/>
      <c r="AU4423" s="82"/>
      <c r="AV4423" s="82"/>
      <c r="AW4423" s="82" t="str">
        <f t="shared" si="1"/>
        <v/>
      </c>
      <c r="AX4423" s="83" t="str">
        <f t="array" ref="AX4423">IFERROR(DGET('SBV Import'!A:G,"SBV",{"RSC ID","Tier";B4423,A4423}))</f>
        <v/>
      </c>
      <c r="AY4423" s="82" t="str">
        <f t="shared" si="2"/>
        <v/>
      </c>
      <c r="AZ4423" s="82"/>
      <c r="BA4423" s="84" t="s">
        <v>152</v>
      </c>
      <c r="BB4423" s="84" t="str">
        <f>IFERROR(__xludf.DUMMYFUNCTION("iferror(if(A4423="""",,E4423&gt;=FILTER(Constants!$F$2:$F$10,Constants!$A$2:$A$10=A4423)))"),"")</f>
        <v/>
      </c>
    </row>
    <row r="4424">
      <c r="A4424" s="89"/>
      <c r="B4424" s="87"/>
      <c r="C4424" s="73"/>
      <c r="D4424" s="73"/>
      <c r="E4424" s="82"/>
      <c r="F4424" s="82"/>
      <c r="G4424" s="86"/>
      <c r="H4424" s="86"/>
      <c r="I4424" s="86"/>
      <c r="J4424" s="82"/>
      <c r="K4424" s="82"/>
      <c r="L4424" s="82"/>
      <c r="M4424" s="82"/>
      <c r="N4424" s="82"/>
      <c r="O4424" s="82"/>
      <c r="P4424" s="82"/>
      <c r="Q4424" s="82"/>
      <c r="R4424" s="82"/>
      <c r="S4424" s="82"/>
      <c r="T4424" s="82"/>
      <c r="U4424" s="82"/>
      <c r="V4424" s="82"/>
      <c r="W4424" s="82"/>
      <c r="X4424" s="82"/>
      <c r="Y4424" s="82"/>
      <c r="Z4424" s="82"/>
      <c r="AA4424" s="82"/>
      <c r="AB4424" s="82"/>
      <c r="AC4424" s="82"/>
      <c r="AD4424" s="82"/>
      <c r="AE4424" s="82"/>
      <c r="AF4424" s="82"/>
      <c r="AG4424" s="82"/>
      <c r="AH4424" s="82"/>
      <c r="AI4424" s="82"/>
      <c r="AJ4424" s="82"/>
      <c r="AK4424" s="82"/>
      <c r="AL4424" s="82"/>
      <c r="AM4424" s="82"/>
      <c r="AN4424" s="82"/>
      <c r="AO4424" s="82"/>
      <c r="AP4424" s="82"/>
      <c r="AQ4424" s="82"/>
      <c r="AR4424" s="82"/>
      <c r="AS4424" s="82"/>
      <c r="AT4424" s="82"/>
      <c r="AU4424" s="82"/>
      <c r="AV4424" s="82"/>
      <c r="AW4424" s="82" t="str">
        <f t="shared" si="1"/>
        <v/>
      </c>
      <c r="AX4424" s="83" t="str">
        <f t="array" ref="AX4424">IFERROR(DGET('SBV Import'!A:G,"SBV",{"RSC ID","Tier";B4424,A4424}))</f>
        <v/>
      </c>
      <c r="AY4424" s="82" t="str">
        <f t="shared" si="2"/>
        <v/>
      </c>
      <c r="AZ4424" s="82"/>
      <c r="BA4424" s="84" t="s">
        <v>152</v>
      </c>
      <c r="BB4424" s="84" t="str">
        <f>IFERROR(__xludf.DUMMYFUNCTION("iferror(if(A4424="""",,E4424&gt;=FILTER(Constants!$F$2:$F$10,Constants!$A$2:$A$10=A4424)))"),"")</f>
        <v/>
      </c>
    </row>
    <row r="4425">
      <c r="A4425" s="89"/>
      <c r="B4425" s="87"/>
      <c r="C4425" s="73"/>
      <c r="D4425" s="73"/>
      <c r="E4425" s="82"/>
      <c r="F4425" s="82"/>
      <c r="G4425" s="86"/>
      <c r="H4425" s="86"/>
      <c r="I4425" s="86"/>
      <c r="J4425" s="82"/>
      <c r="K4425" s="82"/>
      <c r="L4425" s="82"/>
      <c r="M4425" s="82"/>
      <c r="N4425" s="82"/>
      <c r="O4425" s="82"/>
      <c r="P4425" s="82"/>
      <c r="Q4425" s="82"/>
      <c r="R4425" s="82"/>
      <c r="S4425" s="82"/>
      <c r="T4425" s="82"/>
      <c r="U4425" s="82"/>
      <c r="V4425" s="82"/>
      <c r="W4425" s="82"/>
      <c r="X4425" s="82"/>
      <c r="Y4425" s="82"/>
      <c r="Z4425" s="82"/>
      <c r="AA4425" s="82"/>
      <c r="AB4425" s="82"/>
      <c r="AC4425" s="82"/>
      <c r="AD4425" s="82"/>
      <c r="AE4425" s="82"/>
      <c r="AF4425" s="82"/>
      <c r="AG4425" s="82"/>
      <c r="AH4425" s="82"/>
      <c r="AI4425" s="82"/>
      <c r="AJ4425" s="82"/>
      <c r="AK4425" s="82"/>
      <c r="AL4425" s="82"/>
      <c r="AM4425" s="82"/>
      <c r="AN4425" s="82"/>
      <c r="AO4425" s="82"/>
      <c r="AP4425" s="82"/>
      <c r="AQ4425" s="82"/>
      <c r="AR4425" s="82"/>
      <c r="AS4425" s="82"/>
      <c r="AT4425" s="82"/>
      <c r="AU4425" s="82"/>
      <c r="AV4425" s="82"/>
      <c r="AW4425" s="82" t="str">
        <f t="shared" si="1"/>
        <v/>
      </c>
      <c r="AX4425" s="83" t="str">
        <f t="array" ref="AX4425">IFERROR(DGET('SBV Import'!A:G,"SBV",{"RSC ID","Tier";B4425,A4425}))</f>
        <v/>
      </c>
      <c r="AY4425" s="82" t="str">
        <f t="shared" si="2"/>
        <v/>
      </c>
      <c r="AZ4425" s="82"/>
      <c r="BA4425" s="84" t="s">
        <v>152</v>
      </c>
      <c r="BB4425" s="84" t="str">
        <f>IFERROR(__xludf.DUMMYFUNCTION("iferror(if(A4425="""",,E4425&gt;=FILTER(Constants!$F$2:$F$10,Constants!$A$2:$A$10=A4425)))"),"")</f>
        <v/>
      </c>
    </row>
    <row r="4426">
      <c r="A4426" s="89"/>
      <c r="B4426" s="87"/>
      <c r="C4426" s="73"/>
      <c r="D4426" s="73"/>
      <c r="E4426" s="82"/>
      <c r="F4426" s="82"/>
      <c r="G4426" s="86"/>
      <c r="H4426" s="86"/>
      <c r="I4426" s="86"/>
      <c r="J4426" s="82"/>
      <c r="K4426" s="82"/>
      <c r="L4426" s="82"/>
      <c r="M4426" s="82"/>
      <c r="N4426" s="82"/>
      <c r="O4426" s="82"/>
      <c r="P4426" s="82"/>
      <c r="Q4426" s="82"/>
      <c r="R4426" s="82"/>
      <c r="S4426" s="82"/>
      <c r="T4426" s="82"/>
      <c r="U4426" s="82"/>
      <c r="V4426" s="82"/>
      <c r="W4426" s="82"/>
      <c r="X4426" s="82"/>
      <c r="Y4426" s="82"/>
      <c r="Z4426" s="82"/>
      <c r="AA4426" s="82"/>
      <c r="AB4426" s="82"/>
      <c r="AC4426" s="82"/>
      <c r="AD4426" s="82"/>
      <c r="AE4426" s="82"/>
      <c r="AF4426" s="82"/>
      <c r="AG4426" s="82"/>
      <c r="AH4426" s="82"/>
      <c r="AI4426" s="82"/>
      <c r="AJ4426" s="82"/>
      <c r="AK4426" s="82"/>
      <c r="AL4426" s="82"/>
      <c r="AM4426" s="82"/>
      <c r="AN4426" s="82"/>
      <c r="AO4426" s="82"/>
      <c r="AP4426" s="82"/>
      <c r="AQ4426" s="82"/>
      <c r="AR4426" s="82"/>
      <c r="AS4426" s="82"/>
      <c r="AT4426" s="82"/>
      <c r="AU4426" s="82"/>
      <c r="AV4426" s="82"/>
      <c r="AW4426" s="82" t="str">
        <f t="shared" si="1"/>
        <v/>
      </c>
      <c r="AX4426" s="83" t="str">
        <f t="array" ref="AX4426">IFERROR(DGET('SBV Import'!A:G,"SBV",{"RSC ID","Tier";B4426,A4426}))</f>
        <v/>
      </c>
      <c r="AY4426" s="82" t="str">
        <f t="shared" si="2"/>
        <v/>
      </c>
      <c r="AZ4426" s="82"/>
      <c r="BA4426" s="84" t="s">
        <v>152</v>
      </c>
      <c r="BB4426" s="84" t="str">
        <f>IFERROR(__xludf.DUMMYFUNCTION("iferror(if(A4426="""",,E4426&gt;=FILTER(Constants!$F$2:$F$10,Constants!$A$2:$A$10=A4426)))"),"")</f>
        <v/>
      </c>
    </row>
    <row r="4427">
      <c r="A4427" s="89"/>
      <c r="B4427" s="87"/>
      <c r="C4427" s="73"/>
      <c r="D4427" s="73"/>
      <c r="E4427" s="82"/>
      <c r="F4427" s="82"/>
      <c r="G4427" s="86"/>
      <c r="H4427" s="86"/>
      <c r="I4427" s="86"/>
      <c r="J4427" s="82"/>
      <c r="K4427" s="82"/>
      <c r="L4427" s="82"/>
      <c r="M4427" s="82"/>
      <c r="N4427" s="82"/>
      <c r="O4427" s="82"/>
      <c r="P4427" s="82"/>
      <c r="Q4427" s="82"/>
      <c r="R4427" s="82"/>
      <c r="S4427" s="82"/>
      <c r="T4427" s="82"/>
      <c r="U4427" s="82"/>
      <c r="V4427" s="82"/>
      <c r="W4427" s="82"/>
      <c r="X4427" s="82"/>
      <c r="Y4427" s="82"/>
      <c r="Z4427" s="82"/>
      <c r="AA4427" s="82"/>
      <c r="AB4427" s="82"/>
      <c r="AC4427" s="82"/>
      <c r="AD4427" s="82"/>
      <c r="AE4427" s="82"/>
      <c r="AF4427" s="82"/>
      <c r="AG4427" s="82"/>
      <c r="AH4427" s="82"/>
      <c r="AI4427" s="82"/>
      <c r="AJ4427" s="82"/>
      <c r="AK4427" s="82"/>
      <c r="AL4427" s="82"/>
      <c r="AM4427" s="82"/>
      <c r="AN4427" s="82"/>
      <c r="AO4427" s="82"/>
      <c r="AP4427" s="82"/>
      <c r="AQ4427" s="82"/>
      <c r="AR4427" s="82"/>
      <c r="AS4427" s="82"/>
      <c r="AT4427" s="82"/>
      <c r="AU4427" s="82"/>
      <c r="AV4427" s="82"/>
      <c r="AW4427" s="82" t="str">
        <f t="shared" si="1"/>
        <v/>
      </c>
      <c r="AX4427" s="83" t="str">
        <f t="array" ref="AX4427">IFERROR(DGET('SBV Import'!A:G,"SBV",{"RSC ID","Tier";B4427,A4427}))</f>
        <v/>
      </c>
      <c r="AY4427" s="82" t="str">
        <f t="shared" si="2"/>
        <v/>
      </c>
      <c r="AZ4427" s="82"/>
      <c r="BA4427" s="84" t="s">
        <v>152</v>
      </c>
      <c r="BB4427" s="84" t="str">
        <f>IFERROR(__xludf.DUMMYFUNCTION("iferror(if(A4427="""",,E4427&gt;=FILTER(Constants!$F$2:$F$10,Constants!$A$2:$A$10=A4427)))"),"")</f>
        <v/>
      </c>
    </row>
    <row r="4428">
      <c r="A4428" s="89"/>
      <c r="B4428" s="87"/>
      <c r="C4428" s="73"/>
      <c r="D4428" s="73"/>
      <c r="E4428" s="82"/>
      <c r="F4428" s="82"/>
      <c r="G4428" s="86"/>
      <c r="H4428" s="86"/>
      <c r="I4428" s="86"/>
      <c r="J4428" s="82"/>
      <c r="K4428" s="82"/>
      <c r="L4428" s="82"/>
      <c r="M4428" s="82"/>
      <c r="N4428" s="82"/>
      <c r="O4428" s="82"/>
      <c r="P4428" s="82"/>
      <c r="Q4428" s="82"/>
      <c r="R4428" s="82"/>
      <c r="S4428" s="82"/>
      <c r="T4428" s="82"/>
      <c r="U4428" s="82"/>
      <c r="V4428" s="82"/>
      <c r="W4428" s="82"/>
      <c r="X4428" s="82"/>
      <c r="Y4428" s="82"/>
      <c r="Z4428" s="82"/>
      <c r="AA4428" s="82"/>
      <c r="AB4428" s="82"/>
      <c r="AC4428" s="82"/>
      <c r="AD4428" s="82"/>
      <c r="AE4428" s="82"/>
      <c r="AF4428" s="82"/>
      <c r="AG4428" s="82"/>
      <c r="AH4428" s="82"/>
      <c r="AI4428" s="82"/>
      <c r="AJ4428" s="82"/>
      <c r="AK4428" s="82"/>
      <c r="AL4428" s="82"/>
      <c r="AM4428" s="82"/>
      <c r="AN4428" s="82"/>
      <c r="AO4428" s="82"/>
      <c r="AP4428" s="82"/>
      <c r="AQ4428" s="82"/>
      <c r="AR4428" s="82"/>
      <c r="AS4428" s="82"/>
      <c r="AT4428" s="82"/>
      <c r="AU4428" s="82"/>
      <c r="AV4428" s="82"/>
      <c r="AW4428" s="82" t="str">
        <f t="shared" si="1"/>
        <v/>
      </c>
      <c r="AX4428" s="83" t="str">
        <f t="array" ref="AX4428">IFERROR(DGET('SBV Import'!A:G,"SBV",{"RSC ID","Tier";B4428,A4428}))</f>
        <v/>
      </c>
      <c r="AY4428" s="82" t="str">
        <f t="shared" si="2"/>
        <v/>
      </c>
      <c r="AZ4428" s="82"/>
      <c r="BA4428" s="84" t="s">
        <v>152</v>
      </c>
      <c r="BB4428" s="84" t="str">
        <f>IFERROR(__xludf.DUMMYFUNCTION("iferror(if(A4428="""",,E4428&gt;=FILTER(Constants!$F$2:$F$10,Constants!$A$2:$A$10=A4428)))"),"")</f>
        <v/>
      </c>
    </row>
    <row r="4429">
      <c r="A4429" s="89"/>
      <c r="B4429" s="87"/>
      <c r="C4429" s="73"/>
      <c r="D4429" s="73"/>
      <c r="E4429" s="82"/>
      <c r="F4429" s="82"/>
      <c r="G4429" s="86"/>
      <c r="H4429" s="86"/>
      <c r="I4429" s="86"/>
      <c r="J4429" s="82"/>
      <c r="K4429" s="82"/>
      <c r="L4429" s="82"/>
      <c r="M4429" s="82"/>
      <c r="N4429" s="82"/>
      <c r="O4429" s="82"/>
      <c r="P4429" s="82"/>
      <c r="Q4429" s="82"/>
      <c r="R4429" s="82"/>
      <c r="S4429" s="82"/>
      <c r="T4429" s="82"/>
      <c r="U4429" s="82"/>
      <c r="V4429" s="82"/>
      <c r="W4429" s="82"/>
      <c r="X4429" s="82"/>
      <c r="Y4429" s="82"/>
      <c r="Z4429" s="82"/>
      <c r="AA4429" s="82"/>
      <c r="AB4429" s="82"/>
      <c r="AC4429" s="82"/>
      <c r="AD4429" s="82"/>
      <c r="AE4429" s="82"/>
      <c r="AF4429" s="82"/>
      <c r="AG4429" s="82"/>
      <c r="AH4429" s="82"/>
      <c r="AI4429" s="82"/>
      <c r="AJ4429" s="82"/>
      <c r="AK4429" s="82"/>
      <c r="AL4429" s="82"/>
      <c r="AM4429" s="82"/>
      <c r="AN4429" s="82"/>
      <c r="AO4429" s="82"/>
      <c r="AP4429" s="82"/>
      <c r="AQ4429" s="82"/>
      <c r="AR4429" s="82"/>
      <c r="AS4429" s="82"/>
      <c r="AT4429" s="82"/>
      <c r="AU4429" s="82"/>
      <c r="AV4429" s="82"/>
      <c r="AW4429" s="82" t="str">
        <f t="shared" si="1"/>
        <v/>
      </c>
      <c r="AX4429" s="83" t="str">
        <f t="array" ref="AX4429">IFERROR(DGET('SBV Import'!A:G,"SBV",{"RSC ID","Tier";B4429,A4429}))</f>
        <v/>
      </c>
      <c r="AY4429" s="82" t="str">
        <f t="shared" si="2"/>
        <v/>
      </c>
      <c r="AZ4429" s="82"/>
      <c r="BA4429" s="84" t="s">
        <v>152</v>
      </c>
      <c r="BB4429" s="84" t="str">
        <f>IFERROR(__xludf.DUMMYFUNCTION("iferror(if(A4429="""",,E4429&gt;=FILTER(Constants!$F$2:$F$10,Constants!$A$2:$A$10=A4429)))"),"")</f>
        <v/>
      </c>
    </row>
    <row r="4430">
      <c r="A4430" s="89"/>
      <c r="B4430" s="87"/>
      <c r="C4430" s="73"/>
      <c r="D4430" s="73"/>
      <c r="E4430" s="82"/>
      <c r="F4430" s="82"/>
      <c r="G4430" s="86"/>
      <c r="H4430" s="86"/>
      <c r="I4430" s="86"/>
      <c r="J4430" s="82"/>
      <c r="K4430" s="82"/>
      <c r="L4430" s="82"/>
      <c r="M4430" s="82"/>
      <c r="N4430" s="82"/>
      <c r="O4430" s="82"/>
      <c r="P4430" s="82"/>
      <c r="Q4430" s="82"/>
      <c r="R4430" s="82"/>
      <c r="S4430" s="82"/>
      <c r="T4430" s="82"/>
      <c r="U4430" s="82"/>
      <c r="V4430" s="82"/>
      <c r="W4430" s="82"/>
      <c r="X4430" s="82"/>
      <c r="Y4430" s="82"/>
      <c r="Z4430" s="82"/>
      <c r="AA4430" s="82"/>
      <c r="AB4430" s="82"/>
      <c r="AC4430" s="82"/>
      <c r="AD4430" s="82"/>
      <c r="AE4430" s="82"/>
      <c r="AF4430" s="82"/>
      <c r="AG4430" s="82"/>
      <c r="AH4430" s="82"/>
      <c r="AI4430" s="82"/>
      <c r="AJ4430" s="82"/>
      <c r="AK4430" s="82"/>
      <c r="AL4430" s="82"/>
      <c r="AM4430" s="82"/>
      <c r="AN4430" s="82"/>
      <c r="AO4430" s="82"/>
      <c r="AP4430" s="82"/>
      <c r="AQ4430" s="82"/>
      <c r="AR4430" s="82"/>
      <c r="AS4430" s="82"/>
      <c r="AT4430" s="82"/>
      <c r="AU4430" s="82"/>
      <c r="AV4430" s="82"/>
      <c r="AW4430" s="82" t="str">
        <f t="shared" si="1"/>
        <v/>
      </c>
      <c r="AX4430" s="83" t="str">
        <f t="array" ref="AX4430">IFERROR(DGET('SBV Import'!A:G,"SBV",{"RSC ID","Tier";B4430,A4430}))</f>
        <v/>
      </c>
      <c r="AY4430" s="82" t="str">
        <f t="shared" si="2"/>
        <v/>
      </c>
      <c r="AZ4430" s="82"/>
      <c r="BA4430" s="84" t="s">
        <v>152</v>
      </c>
      <c r="BB4430" s="84" t="str">
        <f>IFERROR(__xludf.DUMMYFUNCTION("iferror(if(A4430="""",,E4430&gt;=FILTER(Constants!$F$2:$F$10,Constants!$A$2:$A$10=A4430)))"),"")</f>
        <v/>
      </c>
    </row>
    <row r="4431">
      <c r="A4431" s="89"/>
      <c r="B4431" s="87"/>
      <c r="C4431" s="73"/>
      <c r="D4431" s="73"/>
      <c r="E4431" s="82"/>
      <c r="F4431" s="82"/>
      <c r="G4431" s="86"/>
      <c r="H4431" s="86"/>
      <c r="I4431" s="86"/>
      <c r="J4431" s="82"/>
      <c r="K4431" s="82"/>
      <c r="L4431" s="82"/>
      <c r="M4431" s="82"/>
      <c r="N4431" s="82"/>
      <c r="O4431" s="82"/>
      <c r="P4431" s="82"/>
      <c r="Q4431" s="82"/>
      <c r="R4431" s="82"/>
      <c r="S4431" s="82"/>
      <c r="T4431" s="82"/>
      <c r="U4431" s="82"/>
      <c r="V4431" s="82"/>
      <c r="W4431" s="82"/>
      <c r="X4431" s="82"/>
      <c r="Y4431" s="82"/>
      <c r="Z4431" s="82"/>
      <c r="AA4431" s="82"/>
      <c r="AB4431" s="82"/>
      <c r="AC4431" s="82"/>
      <c r="AD4431" s="82"/>
      <c r="AE4431" s="82"/>
      <c r="AF4431" s="82"/>
      <c r="AG4431" s="82"/>
      <c r="AH4431" s="82"/>
      <c r="AI4431" s="82"/>
      <c r="AJ4431" s="82"/>
      <c r="AK4431" s="82"/>
      <c r="AL4431" s="82"/>
      <c r="AM4431" s="82"/>
      <c r="AN4431" s="82"/>
      <c r="AO4431" s="82"/>
      <c r="AP4431" s="82"/>
      <c r="AQ4431" s="82"/>
      <c r="AR4431" s="82"/>
      <c r="AS4431" s="82"/>
      <c r="AT4431" s="82"/>
      <c r="AU4431" s="82"/>
      <c r="AV4431" s="82"/>
      <c r="AW4431" s="82" t="str">
        <f t="shared" si="1"/>
        <v/>
      </c>
      <c r="AX4431" s="83" t="str">
        <f t="array" ref="AX4431">IFERROR(DGET('SBV Import'!A:G,"SBV",{"RSC ID","Tier";B4431,A4431}))</f>
        <v/>
      </c>
      <c r="AY4431" s="82" t="str">
        <f t="shared" si="2"/>
        <v/>
      </c>
      <c r="AZ4431" s="82"/>
      <c r="BA4431" s="84" t="s">
        <v>152</v>
      </c>
      <c r="BB4431" s="84" t="str">
        <f>IFERROR(__xludf.DUMMYFUNCTION("iferror(if(A4431="""",,E4431&gt;=FILTER(Constants!$F$2:$F$10,Constants!$A$2:$A$10=A4431)))"),"")</f>
        <v/>
      </c>
    </row>
    <row r="4432">
      <c r="A4432" s="89"/>
      <c r="B4432" s="87"/>
      <c r="C4432" s="73"/>
      <c r="D4432" s="73"/>
      <c r="E4432" s="82"/>
      <c r="F4432" s="82"/>
      <c r="G4432" s="86"/>
      <c r="H4432" s="86"/>
      <c r="I4432" s="86"/>
      <c r="J4432" s="82"/>
      <c r="K4432" s="82"/>
      <c r="L4432" s="82"/>
      <c r="M4432" s="82"/>
      <c r="N4432" s="82"/>
      <c r="O4432" s="82"/>
      <c r="P4432" s="82"/>
      <c r="Q4432" s="82"/>
      <c r="R4432" s="82"/>
      <c r="S4432" s="82"/>
      <c r="T4432" s="82"/>
      <c r="U4432" s="82"/>
      <c r="V4432" s="82"/>
      <c r="W4432" s="82"/>
      <c r="X4432" s="82"/>
      <c r="Y4432" s="82"/>
      <c r="Z4432" s="82"/>
      <c r="AA4432" s="82"/>
      <c r="AB4432" s="82"/>
      <c r="AC4432" s="82"/>
      <c r="AD4432" s="82"/>
      <c r="AE4432" s="82"/>
      <c r="AF4432" s="82"/>
      <c r="AG4432" s="82"/>
      <c r="AH4432" s="82"/>
      <c r="AI4432" s="82"/>
      <c r="AJ4432" s="82"/>
      <c r="AK4432" s="82"/>
      <c r="AL4432" s="82"/>
      <c r="AM4432" s="82"/>
      <c r="AN4432" s="82"/>
      <c r="AO4432" s="82"/>
      <c r="AP4432" s="82"/>
      <c r="AQ4432" s="82"/>
      <c r="AR4432" s="82"/>
      <c r="AS4432" s="82"/>
      <c r="AT4432" s="82"/>
      <c r="AU4432" s="82"/>
      <c r="AV4432" s="82"/>
      <c r="AW4432" s="82" t="str">
        <f t="shared" si="1"/>
        <v/>
      </c>
      <c r="AX4432" s="83" t="str">
        <f t="array" ref="AX4432">IFERROR(DGET('SBV Import'!A:G,"SBV",{"RSC ID","Tier";B4432,A4432}))</f>
        <v/>
      </c>
      <c r="AY4432" s="82" t="str">
        <f t="shared" si="2"/>
        <v/>
      </c>
      <c r="AZ4432" s="82"/>
      <c r="BA4432" s="84" t="s">
        <v>152</v>
      </c>
      <c r="BB4432" s="84" t="str">
        <f>IFERROR(__xludf.DUMMYFUNCTION("iferror(if(A4432="""",,E4432&gt;=FILTER(Constants!$F$2:$F$10,Constants!$A$2:$A$10=A4432)))"),"")</f>
        <v/>
      </c>
    </row>
    <row r="4433">
      <c r="A4433" s="89"/>
      <c r="B4433" s="87"/>
      <c r="C4433" s="73"/>
      <c r="D4433" s="73"/>
      <c r="E4433" s="82"/>
      <c r="F4433" s="82"/>
      <c r="G4433" s="86"/>
      <c r="H4433" s="86"/>
      <c r="I4433" s="86"/>
      <c r="J4433" s="82"/>
      <c r="K4433" s="82"/>
      <c r="L4433" s="82"/>
      <c r="M4433" s="82"/>
      <c r="N4433" s="82"/>
      <c r="O4433" s="82"/>
      <c r="P4433" s="82"/>
      <c r="Q4433" s="82"/>
      <c r="R4433" s="82"/>
      <c r="S4433" s="82"/>
      <c r="T4433" s="82"/>
      <c r="U4433" s="82"/>
      <c r="V4433" s="82"/>
      <c r="W4433" s="82"/>
      <c r="X4433" s="82"/>
      <c r="Y4433" s="82"/>
      <c r="Z4433" s="82"/>
      <c r="AA4433" s="82"/>
      <c r="AB4433" s="82"/>
      <c r="AC4433" s="82"/>
      <c r="AD4433" s="82"/>
      <c r="AE4433" s="82"/>
      <c r="AF4433" s="82"/>
      <c r="AG4433" s="82"/>
      <c r="AH4433" s="82"/>
      <c r="AI4433" s="82"/>
      <c r="AJ4433" s="82"/>
      <c r="AK4433" s="82"/>
      <c r="AL4433" s="82"/>
      <c r="AM4433" s="82"/>
      <c r="AN4433" s="82"/>
      <c r="AO4433" s="82"/>
      <c r="AP4433" s="82"/>
      <c r="AQ4433" s="82"/>
      <c r="AR4433" s="82"/>
      <c r="AS4433" s="82"/>
      <c r="AT4433" s="82"/>
      <c r="AU4433" s="82"/>
      <c r="AV4433" s="82"/>
      <c r="AW4433" s="82" t="str">
        <f t="shared" si="1"/>
        <v/>
      </c>
      <c r="AX4433" s="83" t="str">
        <f t="array" ref="AX4433">IFERROR(DGET('SBV Import'!A:G,"SBV",{"RSC ID","Tier";B4433,A4433}))</f>
        <v/>
      </c>
      <c r="AY4433" s="82" t="str">
        <f t="shared" si="2"/>
        <v/>
      </c>
      <c r="AZ4433" s="82"/>
      <c r="BA4433" s="84" t="s">
        <v>152</v>
      </c>
      <c r="BB4433" s="84" t="str">
        <f>IFERROR(__xludf.DUMMYFUNCTION("iferror(if(A4433="""",,E4433&gt;=FILTER(Constants!$F$2:$F$10,Constants!$A$2:$A$10=A4433)))"),"")</f>
        <v/>
      </c>
    </row>
    <row r="4434">
      <c r="A4434" s="89"/>
      <c r="B4434" s="87"/>
      <c r="C4434" s="73"/>
      <c r="D4434" s="73"/>
      <c r="E4434" s="82"/>
      <c r="F4434" s="82"/>
      <c r="G4434" s="86"/>
      <c r="H4434" s="86"/>
      <c r="I4434" s="86"/>
      <c r="J4434" s="82"/>
      <c r="K4434" s="82"/>
      <c r="L4434" s="82"/>
      <c r="M4434" s="82"/>
      <c r="N4434" s="82"/>
      <c r="O4434" s="82"/>
      <c r="P4434" s="82"/>
      <c r="Q4434" s="82"/>
      <c r="R4434" s="82"/>
      <c r="S4434" s="82"/>
      <c r="T4434" s="82"/>
      <c r="U4434" s="82"/>
      <c r="V4434" s="82"/>
      <c r="W4434" s="82"/>
      <c r="X4434" s="82"/>
      <c r="Y4434" s="82"/>
      <c r="Z4434" s="82"/>
      <c r="AA4434" s="82"/>
      <c r="AB4434" s="82"/>
      <c r="AC4434" s="82"/>
      <c r="AD4434" s="82"/>
      <c r="AE4434" s="82"/>
      <c r="AF4434" s="82"/>
      <c r="AG4434" s="82"/>
      <c r="AH4434" s="82"/>
      <c r="AI4434" s="82"/>
      <c r="AJ4434" s="82"/>
      <c r="AK4434" s="82"/>
      <c r="AL4434" s="82"/>
      <c r="AM4434" s="82"/>
      <c r="AN4434" s="82"/>
      <c r="AO4434" s="82"/>
      <c r="AP4434" s="82"/>
      <c r="AQ4434" s="82"/>
      <c r="AR4434" s="82"/>
      <c r="AS4434" s="82"/>
      <c r="AT4434" s="82"/>
      <c r="AU4434" s="82"/>
      <c r="AV4434" s="82"/>
      <c r="AW4434" s="82" t="str">
        <f t="shared" si="1"/>
        <v/>
      </c>
      <c r="AX4434" s="83" t="str">
        <f t="array" ref="AX4434">IFERROR(DGET('SBV Import'!A:G,"SBV",{"RSC ID","Tier";B4434,A4434}))</f>
        <v/>
      </c>
      <c r="AY4434" s="82" t="str">
        <f t="shared" si="2"/>
        <v/>
      </c>
      <c r="AZ4434" s="82"/>
      <c r="BA4434" s="84" t="s">
        <v>152</v>
      </c>
      <c r="BB4434" s="84" t="str">
        <f>IFERROR(__xludf.DUMMYFUNCTION("iferror(if(A4434="""",,E4434&gt;=FILTER(Constants!$F$2:$F$10,Constants!$A$2:$A$10=A4434)))"),"")</f>
        <v/>
      </c>
    </row>
    <row r="4435">
      <c r="A4435" s="89"/>
      <c r="B4435" s="87"/>
      <c r="C4435" s="73"/>
      <c r="D4435" s="73"/>
      <c r="E4435" s="82"/>
      <c r="F4435" s="82"/>
      <c r="G4435" s="86"/>
      <c r="H4435" s="86"/>
      <c r="I4435" s="86"/>
      <c r="J4435" s="82"/>
      <c r="K4435" s="82"/>
      <c r="L4435" s="82"/>
      <c r="M4435" s="82"/>
      <c r="N4435" s="82"/>
      <c r="O4435" s="82"/>
      <c r="P4435" s="82"/>
      <c r="Q4435" s="82"/>
      <c r="R4435" s="82"/>
      <c r="S4435" s="82"/>
      <c r="T4435" s="82"/>
      <c r="U4435" s="82"/>
      <c r="V4435" s="82"/>
      <c r="W4435" s="82"/>
      <c r="X4435" s="82"/>
      <c r="Y4435" s="82"/>
      <c r="Z4435" s="82"/>
      <c r="AA4435" s="82"/>
      <c r="AB4435" s="82"/>
      <c r="AC4435" s="82"/>
      <c r="AD4435" s="82"/>
      <c r="AE4435" s="82"/>
      <c r="AF4435" s="82"/>
      <c r="AG4435" s="82"/>
      <c r="AH4435" s="82"/>
      <c r="AI4435" s="82"/>
      <c r="AJ4435" s="82"/>
      <c r="AK4435" s="82"/>
      <c r="AL4435" s="82"/>
      <c r="AM4435" s="82"/>
      <c r="AN4435" s="82"/>
      <c r="AO4435" s="82"/>
      <c r="AP4435" s="82"/>
      <c r="AQ4435" s="82"/>
      <c r="AR4435" s="82"/>
      <c r="AS4435" s="82"/>
      <c r="AT4435" s="82"/>
      <c r="AU4435" s="82"/>
      <c r="AV4435" s="82"/>
      <c r="AW4435" s="82" t="str">
        <f t="shared" si="1"/>
        <v/>
      </c>
      <c r="AX4435" s="83" t="str">
        <f t="array" ref="AX4435">IFERROR(DGET('SBV Import'!A:G,"SBV",{"RSC ID","Tier";B4435,A4435}))</f>
        <v/>
      </c>
      <c r="AY4435" s="82" t="str">
        <f t="shared" si="2"/>
        <v/>
      </c>
      <c r="AZ4435" s="82"/>
      <c r="BA4435" s="84" t="s">
        <v>152</v>
      </c>
      <c r="BB4435" s="84" t="str">
        <f>IFERROR(__xludf.DUMMYFUNCTION("iferror(if(A4435="""",,E4435&gt;=FILTER(Constants!$F$2:$F$10,Constants!$A$2:$A$10=A4435)))"),"")</f>
        <v/>
      </c>
    </row>
    <row r="4436">
      <c r="A4436" s="89"/>
      <c r="B4436" s="87"/>
      <c r="C4436" s="73"/>
      <c r="D4436" s="73"/>
      <c r="E4436" s="82"/>
      <c r="F4436" s="82"/>
      <c r="G4436" s="86"/>
      <c r="H4436" s="86"/>
      <c r="I4436" s="86"/>
      <c r="J4436" s="82"/>
      <c r="K4436" s="82"/>
      <c r="L4436" s="82"/>
      <c r="M4436" s="82"/>
      <c r="N4436" s="82"/>
      <c r="O4436" s="82"/>
      <c r="P4436" s="82"/>
      <c r="Q4436" s="82"/>
      <c r="R4436" s="82"/>
      <c r="S4436" s="82"/>
      <c r="T4436" s="82"/>
      <c r="U4436" s="82"/>
      <c r="V4436" s="82"/>
      <c r="W4436" s="82"/>
      <c r="X4436" s="82"/>
      <c r="Y4436" s="82"/>
      <c r="Z4436" s="82"/>
      <c r="AA4436" s="82"/>
      <c r="AB4436" s="82"/>
      <c r="AC4436" s="82"/>
      <c r="AD4436" s="82"/>
      <c r="AE4436" s="82"/>
      <c r="AF4436" s="82"/>
      <c r="AG4436" s="82"/>
      <c r="AH4436" s="82"/>
      <c r="AI4436" s="82"/>
      <c r="AJ4436" s="82"/>
      <c r="AK4436" s="82"/>
      <c r="AL4436" s="82"/>
      <c r="AM4436" s="82"/>
      <c r="AN4436" s="82"/>
      <c r="AO4436" s="82"/>
      <c r="AP4436" s="82"/>
      <c r="AQ4436" s="82"/>
      <c r="AR4436" s="82"/>
      <c r="AS4436" s="82"/>
      <c r="AT4436" s="82"/>
      <c r="AU4436" s="82"/>
      <c r="AV4436" s="82"/>
      <c r="AW4436" s="82" t="str">
        <f t="shared" si="1"/>
        <v/>
      </c>
      <c r="AX4436" s="83" t="str">
        <f t="array" ref="AX4436">IFERROR(DGET('SBV Import'!A:G,"SBV",{"RSC ID","Tier";B4436,A4436}))</f>
        <v/>
      </c>
      <c r="AY4436" s="82" t="str">
        <f t="shared" si="2"/>
        <v/>
      </c>
      <c r="AZ4436" s="82"/>
      <c r="BA4436" s="84" t="s">
        <v>152</v>
      </c>
      <c r="BB4436" s="84" t="str">
        <f>IFERROR(__xludf.DUMMYFUNCTION("iferror(if(A4436="""",,E4436&gt;=FILTER(Constants!$F$2:$F$10,Constants!$A$2:$A$10=A4436)))"),"")</f>
        <v/>
      </c>
    </row>
    <row r="4437">
      <c r="A4437" s="89"/>
      <c r="B4437" s="87"/>
      <c r="C4437" s="73"/>
      <c r="D4437" s="73"/>
      <c r="E4437" s="82"/>
      <c r="F4437" s="82"/>
      <c r="G4437" s="86"/>
      <c r="H4437" s="86"/>
      <c r="I4437" s="86"/>
      <c r="J4437" s="82"/>
      <c r="K4437" s="82"/>
      <c r="L4437" s="82"/>
      <c r="M4437" s="82"/>
      <c r="N4437" s="82"/>
      <c r="O4437" s="82"/>
      <c r="P4437" s="82"/>
      <c r="Q4437" s="82"/>
      <c r="R4437" s="82"/>
      <c r="S4437" s="82"/>
      <c r="T4437" s="82"/>
      <c r="U4437" s="82"/>
      <c r="V4437" s="82"/>
      <c r="W4437" s="82"/>
      <c r="X4437" s="82"/>
      <c r="Y4437" s="82"/>
      <c r="Z4437" s="82"/>
      <c r="AA4437" s="82"/>
      <c r="AB4437" s="82"/>
      <c r="AC4437" s="82"/>
      <c r="AD4437" s="82"/>
      <c r="AE4437" s="82"/>
      <c r="AF4437" s="82"/>
      <c r="AG4437" s="82"/>
      <c r="AH4437" s="82"/>
      <c r="AI4437" s="82"/>
      <c r="AJ4437" s="82"/>
      <c r="AK4437" s="82"/>
      <c r="AL4437" s="82"/>
      <c r="AM4437" s="82"/>
      <c r="AN4437" s="82"/>
      <c r="AO4437" s="82"/>
      <c r="AP4437" s="82"/>
      <c r="AQ4437" s="82"/>
      <c r="AR4437" s="82"/>
      <c r="AS4437" s="82"/>
      <c r="AT4437" s="82"/>
      <c r="AU4437" s="82"/>
      <c r="AV4437" s="82"/>
      <c r="AW4437" s="82" t="str">
        <f t="shared" si="1"/>
        <v/>
      </c>
      <c r="AX4437" s="83" t="str">
        <f t="array" ref="AX4437">IFERROR(DGET('SBV Import'!A:G,"SBV",{"RSC ID","Tier";B4437,A4437}))</f>
        <v/>
      </c>
      <c r="AY4437" s="82" t="str">
        <f t="shared" si="2"/>
        <v/>
      </c>
      <c r="AZ4437" s="82"/>
      <c r="BA4437" s="84" t="s">
        <v>152</v>
      </c>
      <c r="BB4437" s="84" t="str">
        <f>IFERROR(__xludf.DUMMYFUNCTION("iferror(if(A4437="""",,E4437&gt;=FILTER(Constants!$F$2:$F$10,Constants!$A$2:$A$10=A4437)))"),"")</f>
        <v/>
      </c>
    </row>
    <row r="4438">
      <c r="A4438" s="89"/>
      <c r="B4438" s="87"/>
      <c r="C4438" s="73"/>
      <c r="D4438" s="73"/>
      <c r="E4438" s="82"/>
      <c r="F4438" s="82"/>
      <c r="G4438" s="86"/>
      <c r="H4438" s="86"/>
      <c r="I4438" s="86"/>
      <c r="J4438" s="82"/>
      <c r="K4438" s="82"/>
      <c r="L4438" s="82"/>
      <c r="M4438" s="82"/>
      <c r="N4438" s="82"/>
      <c r="O4438" s="82"/>
      <c r="P4438" s="82"/>
      <c r="Q4438" s="82"/>
      <c r="R4438" s="82"/>
      <c r="S4438" s="82"/>
      <c r="T4438" s="82"/>
      <c r="U4438" s="82"/>
      <c r="V4438" s="82"/>
      <c r="W4438" s="82"/>
      <c r="X4438" s="82"/>
      <c r="Y4438" s="82"/>
      <c r="Z4438" s="82"/>
      <c r="AA4438" s="82"/>
      <c r="AB4438" s="82"/>
      <c r="AC4438" s="82"/>
      <c r="AD4438" s="82"/>
      <c r="AE4438" s="82"/>
      <c r="AF4438" s="82"/>
      <c r="AG4438" s="82"/>
      <c r="AH4438" s="82"/>
      <c r="AI4438" s="82"/>
      <c r="AJ4438" s="82"/>
      <c r="AK4438" s="82"/>
      <c r="AL4438" s="82"/>
      <c r="AM4438" s="82"/>
      <c r="AN4438" s="82"/>
      <c r="AO4438" s="82"/>
      <c r="AP4438" s="82"/>
      <c r="AQ4438" s="82"/>
      <c r="AR4438" s="82"/>
      <c r="AS4438" s="82"/>
      <c r="AT4438" s="82"/>
      <c r="AU4438" s="82"/>
      <c r="AV4438" s="82"/>
      <c r="AW4438" s="82" t="str">
        <f t="shared" si="1"/>
        <v/>
      </c>
      <c r="AX4438" s="83" t="str">
        <f t="array" ref="AX4438">IFERROR(DGET('SBV Import'!A:G,"SBV",{"RSC ID","Tier";B4438,A4438}))</f>
        <v/>
      </c>
      <c r="AY4438" s="82" t="str">
        <f t="shared" si="2"/>
        <v/>
      </c>
      <c r="AZ4438" s="82"/>
      <c r="BA4438" s="84" t="s">
        <v>152</v>
      </c>
      <c r="BB4438" s="84" t="str">
        <f>IFERROR(__xludf.DUMMYFUNCTION("iferror(if(A4438="""",,E4438&gt;=FILTER(Constants!$F$2:$F$10,Constants!$A$2:$A$10=A4438)))"),"")</f>
        <v/>
      </c>
    </row>
    <row r="4439">
      <c r="A4439" s="89"/>
      <c r="B4439" s="87"/>
      <c r="C4439" s="73"/>
      <c r="D4439" s="73"/>
      <c r="E4439" s="82"/>
      <c r="F4439" s="82"/>
      <c r="G4439" s="86"/>
      <c r="H4439" s="86"/>
      <c r="I4439" s="86"/>
      <c r="J4439" s="82"/>
      <c r="K4439" s="82"/>
      <c r="L4439" s="82"/>
      <c r="M4439" s="82"/>
      <c r="N4439" s="82"/>
      <c r="O4439" s="82"/>
      <c r="P4439" s="82"/>
      <c r="Q4439" s="82"/>
      <c r="R4439" s="82"/>
      <c r="S4439" s="82"/>
      <c r="T4439" s="82"/>
      <c r="U4439" s="82"/>
      <c r="V4439" s="82"/>
      <c r="W4439" s="82"/>
      <c r="X4439" s="82"/>
      <c r="Y4439" s="82"/>
      <c r="Z4439" s="82"/>
      <c r="AA4439" s="82"/>
      <c r="AB4439" s="82"/>
      <c r="AC4439" s="82"/>
      <c r="AD4439" s="82"/>
      <c r="AE4439" s="82"/>
      <c r="AF4439" s="82"/>
      <c r="AG4439" s="82"/>
      <c r="AH4439" s="82"/>
      <c r="AI4439" s="82"/>
      <c r="AJ4439" s="82"/>
      <c r="AK4439" s="82"/>
      <c r="AL4439" s="82"/>
      <c r="AM4439" s="82"/>
      <c r="AN4439" s="82"/>
      <c r="AO4439" s="82"/>
      <c r="AP4439" s="82"/>
      <c r="AQ4439" s="82"/>
      <c r="AR4439" s="82"/>
      <c r="AS4439" s="82"/>
      <c r="AT4439" s="82"/>
      <c r="AU4439" s="82"/>
      <c r="AV4439" s="82"/>
      <c r="AW4439" s="82" t="str">
        <f t="shared" si="1"/>
        <v/>
      </c>
      <c r="AX4439" s="83" t="str">
        <f t="array" ref="AX4439">IFERROR(DGET('SBV Import'!A:G,"SBV",{"RSC ID","Tier";B4439,A4439}))</f>
        <v/>
      </c>
      <c r="AY4439" s="82" t="str">
        <f t="shared" si="2"/>
        <v/>
      </c>
      <c r="AZ4439" s="82"/>
      <c r="BA4439" s="84" t="s">
        <v>152</v>
      </c>
      <c r="BB4439" s="84" t="str">
        <f>IFERROR(__xludf.DUMMYFUNCTION("iferror(if(A4439="""",,E4439&gt;=FILTER(Constants!$F$2:$F$10,Constants!$A$2:$A$10=A4439)))"),"")</f>
        <v/>
      </c>
    </row>
    <row r="4440">
      <c r="A4440" s="89"/>
      <c r="B4440" s="87"/>
      <c r="C4440" s="73"/>
      <c r="D4440" s="73"/>
      <c r="E4440" s="82"/>
      <c r="F4440" s="82"/>
      <c r="G4440" s="86"/>
      <c r="H4440" s="86"/>
      <c r="I4440" s="86"/>
      <c r="J4440" s="82"/>
      <c r="K4440" s="82"/>
      <c r="L4440" s="82"/>
      <c r="M4440" s="82"/>
      <c r="N4440" s="82"/>
      <c r="O4440" s="82"/>
      <c r="P4440" s="82"/>
      <c r="Q4440" s="82"/>
      <c r="R4440" s="82"/>
      <c r="S4440" s="82"/>
      <c r="T4440" s="82"/>
      <c r="U4440" s="82"/>
      <c r="V4440" s="82"/>
      <c r="W4440" s="82"/>
      <c r="X4440" s="82"/>
      <c r="Y4440" s="82"/>
      <c r="Z4440" s="82"/>
      <c r="AA4440" s="82"/>
      <c r="AB4440" s="82"/>
      <c r="AC4440" s="82"/>
      <c r="AD4440" s="82"/>
      <c r="AE4440" s="82"/>
      <c r="AF4440" s="82"/>
      <c r="AG4440" s="82"/>
      <c r="AH4440" s="82"/>
      <c r="AI4440" s="82"/>
      <c r="AJ4440" s="82"/>
      <c r="AK4440" s="82"/>
      <c r="AL4440" s="82"/>
      <c r="AM4440" s="82"/>
      <c r="AN4440" s="82"/>
      <c r="AO4440" s="82"/>
      <c r="AP4440" s="82"/>
      <c r="AQ4440" s="82"/>
      <c r="AR4440" s="82"/>
      <c r="AS4440" s="82"/>
      <c r="AT4440" s="82"/>
      <c r="AU4440" s="82"/>
      <c r="AV4440" s="82"/>
      <c r="AW4440" s="82" t="str">
        <f t="shared" si="1"/>
        <v/>
      </c>
      <c r="AX4440" s="83" t="str">
        <f t="array" ref="AX4440">IFERROR(DGET('SBV Import'!A:G,"SBV",{"RSC ID","Tier";B4440,A4440}))</f>
        <v/>
      </c>
      <c r="AY4440" s="82" t="str">
        <f t="shared" si="2"/>
        <v/>
      </c>
      <c r="AZ4440" s="82"/>
      <c r="BA4440" s="84" t="s">
        <v>152</v>
      </c>
      <c r="BB4440" s="84" t="str">
        <f>IFERROR(__xludf.DUMMYFUNCTION("iferror(if(A4440="""",,E4440&gt;=FILTER(Constants!$F$2:$F$10,Constants!$A$2:$A$10=A4440)))"),"")</f>
        <v/>
      </c>
    </row>
    <row r="4441">
      <c r="A4441" s="89"/>
      <c r="B4441" s="87"/>
      <c r="C4441" s="73"/>
      <c r="D4441" s="73"/>
      <c r="E4441" s="82"/>
      <c r="F4441" s="82"/>
      <c r="G4441" s="86"/>
      <c r="H4441" s="86"/>
      <c r="I4441" s="86"/>
      <c r="J4441" s="82"/>
      <c r="K4441" s="82"/>
      <c r="L4441" s="82"/>
      <c r="M4441" s="82"/>
      <c r="N4441" s="82"/>
      <c r="O4441" s="82"/>
      <c r="P4441" s="82"/>
      <c r="Q4441" s="82"/>
      <c r="R4441" s="82"/>
      <c r="S4441" s="82"/>
      <c r="T4441" s="82"/>
      <c r="U4441" s="82"/>
      <c r="V4441" s="82"/>
      <c r="W4441" s="82"/>
      <c r="X4441" s="82"/>
      <c r="Y4441" s="82"/>
      <c r="Z4441" s="82"/>
      <c r="AA4441" s="82"/>
      <c r="AB4441" s="82"/>
      <c r="AC4441" s="82"/>
      <c r="AD4441" s="82"/>
      <c r="AE4441" s="82"/>
      <c r="AF4441" s="82"/>
      <c r="AG4441" s="82"/>
      <c r="AH4441" s="82"/>
      <c r="AI4441" s="82"/>
      <c r="AJ4441" s="82"/>
      <c r="AK4441" s="82"/>
      <c r="AL4441" s="82"/>
      <c r="AM4441" s="82"/>
      <c r="AN4441" s="82"/>
      <c r="AO4441" s="82"/>
      <c r="AP4441" s="82"/>
      <c r="AQ4441" s="82"/>
      <c r="AR4441" s="82"/>
      <c r="AS4441" s="82"/>
      <c r="AT4441" s="82"/>
      <c r="AU4441" s="82"/>
      <c r="AV4441" s="82"/>
      <c r="AW4441" s="82" t="str">
        <f t="shared" si="1"/>
        <v/>
      </c>
      <c r="AX4441" s="83" t="str">
        <f t="array" ref="AX4441">IFERROR(DGET('SBV Import'!A:G,"SBV",{"RSC ID","Tier";B4441,A4441}))</f>
        <v/>
      </c>
      <c r="AY4441" s="82" t="str">
        <f t="shared" si="2"/>
        <v/>
      </c>
      <c r="AZ4441" s="82"/>
      <c r="BA4441" s="84" t="s">
        <v>152</v>
      </c>
      <c r="BB4441" s="84" t="str">
        <f>IFERROR(__xludf.DUMMYFUNCTION("iferror(if(A4441="""",,E4441&gt;=FILTER(Constants!$F$2:$F$10,Constants!$A$2:$A$10=A4441)))"),"")</f>
        <v/>
      </c>
    </row>
    <row r="4442">
      <c r="A4442" s="89"/>
      <c r="B4442" s="87"/>
      <c r="C4442" s="73"/>
      <c r="D4442" s="73"/>
      <c r="E4442" s="82"/>
      <c r="F4442" s="82"/>
      <c r="G4442" s="86"/>
      <c r="H4442" s="86"/>
      <c r="I4442" s="86"/>
      <c r="J4442" s="82"/>
      <c r="K4442" s="82"/>
      <c r="L4442" s="82"/>
      <c r="M4442" s="82"/>
      <c r="N4442" s="82"/>
      <c r="O4442" s="82"/>
      <c r="P4442" s="82"/>
      <c r="Q4442" s="82"/>
      <c r="R4442" s="82"/>
      <c r="S4442" s="82"/>
      <c r="T4442" s="82"/>
      <c r="U4442" s="82"/>
      <c r="V4442" s="82"/>
      <c r="W4442" s="82"/>
      <c r="X4442" s="82"/>
      <c r="Y4442" s="82"/>
      <c r="Z4442" s="82"/>
      <c r="AA4442" s="82"/>
      <c r="AB4442" s="82"/>
      <c r="AC4442" s="82"/>
      <c r="AD4442" s="82"/>
      <c r="AE4442" s="82"/>
      <c r="AF4442" s="82"/>
      <c r="AG4442" s="82"/>
      <c r="AH4442" s="82"/>
      <c r="AI4442" s="82"/>
      <c r="AJ4442" s="82"/>
      <c r="AK4442" s="82"/>
      <c r="AL4442" s="82"/>
      <c r="AM4442" s="82"/>
      <c r="AN4442" s="82"/>
      <c r="AO4442" s="82"/>
      <c r="AP4442" s="82"/>
      <c r="AQ4442" s="82"/>
      <c r="AR4442" s="82"/>
      <c r="AS4442" s="82"/>
      <c r="AT4442" s="82"/>
      <c r="AU4442" s="82"/>
      <c r="AV4442" s="82"/>
      <c r="AW4442" s="82" t="str">
        <f t="shared" si="1"/>
        <v/>
      </c>
      <c r="AX4442" s="83" t="str">
        <f t="array" ref="AX4442">IFERROR(DGET('SBV Import'!A:G,"SBV",{"RSC ID","Tier";B4442,A4442}))</f>
        <v/>
      </c>
      <c r="AY4442" s="82" t="str">
        <f t="shared" si="2"/>
        <v/>
      </c>
      <c r="AZ4442" s="82"/>
      <c r="BA4442" s="84" t="s">
        <v>152</v>
      </c>
      <c r="BB4442" s="84" t="str">
        <f>IFERROR(__xludf.DUMMYFUNCTION("iferror(if(A4442="""",,E4442&gt;=FILTER(Constants!$F$2:$F$10,Constants!$A$2:$A$10=A4442)))"),"")</f>
        <v/>
      </c>
    </row>
    <row r="4443">
      <c r="A4443" s="89"/>
      <c r="B4443" s="87"/>
      <c r="C4443" s="73"/>
      <c r="D4443" s="73"/>
      <c r="E4443" s="82"/>
      <c r="F4443" s="82"/>
      <c r="G4443" s="86"/>
      <c r="H4443" s="86"/>
      <c r="I4443" s="86"/>
      <c r="J4443" s="82"/>
      <c r="K4443" s="82"/>
      <c r="L4443" s="82"/>
      <c r="M4443" s="82"/>
      <c r="N4443" s="82"/>
      <c r="O4443" s="82"/>
      <c r="P4443" s="82"/>
      <c r="Q4443" s="82"/>
      <c r="R4443" s="82"/>
      <c r="S4443" s="82"/>
      <c r="T4443" s="82"/>
      <c r="U4443" s="82"/>
      <c r="V4443" s="82"/>
      <c r="W4443" s="82"/>
      <c r="X4443" s="82"/>
      <c r="Y4443" s="82"/>
      <c r="Z4443" s="82"/>
      <c r="AA4443" s="82"/>
      <c r="AB4443" s="82"/>
      <c r="AC4443" s="82"/>
      <c r="AD4443" s="82"/>
      <c r="AE4443" s="82"/>
      <c r="AF4443" s="82"/>
      <c r="AG4443" s="82"/>
      <c r="AH4443" s="82"/>
      <c r="AI4443" s="82"/>
      <c r="AJ4443" s="82"/>
      <c r="AK4443" s="82"/>
      <c r="AL4443" s="82"/>
      <c r="AM4443" s="82"/>
      <c r="AN4443" s="82"/>
      <c r="AO4443" s="82"/>
      <c r="AP4443" s="82"/>
      <c r="AQ4443" s="82"/>
      <c r="AR4443" s="82"/>
      <c r="AS4443" s="82"/>
      <c r="AT4443" s="82"/>
      <c r="AU4443" s="82"/>
      <c r="AV4443" s="82"/>
      <c r="AW4443" s="82" t="str">
        <f t="shared" si="1"/>
        <v/>
      </c>
      <c r="AX4443" s="83" t="str">
        <f t="array" ref="AX4443">IFERROR(DGET('SBV Import'!A:G,"SBV",{"RSC ID","Tier";B4443,A4443}))</f>
        <v/>
      </c>
      <c r="AY4443" s="82" t="str">
        <f t="shared" si="2"/>
        <v/>
      </c>
      <c r="AZ4443" s="82"/>
      <c r="BA4443" s="84" t="s">
        <v>152</v>
      </c>
      <c r="BB4443" s="84" t="str">
        <f>IFERROR(__xludf.DUMMYFUNCTION("iferror(if(A4443="""",,E4443&gt;=FILTER(Constants!$F$2:$F$10,Constants!$A$2:$A$10=A4443)))"),"")</f>
        <v/>
      </c>
    </row>
    <row r="4444">
      <c r="A4444" s="89"/>
      <c r="B4444" s="87"/>
      <c r="C4444" s="73"/>
      <c r="D4444" s="73"/>
      <c r="E4444" s="82"/>
      <c r="F4444" s="82"/>
      <c r="G4444" s="86"/>
      <c r="H4444" s="86"/>
      <c r="I4444" s="86"/>
      <c r="J4444" s="82"/>
      <c r="K4444" s="82"/>
      <c r="L4444" s="82"/>
      <c r="M4444" s="82"/>
      <c r="N4444" s="82"/>
      <c r="O4444" s="82"/>
      <c r="P4444" s="82"/>
      <c r="Q4444" s="82"/>
      <c r="R4444" s="82"/>
      <c r="S4444" s="82"/>
      <c r="T4444" s="82"/>
      <c r="U4444" s="82"/>
      <c r="V4444" s="82"/>
      <c r="W4444" s="82"/>
      <c r="X4444" s="82"/>
      <c r="Y4444" s="82"/>
      <c r="Z4444" s="82"/>
      <c r="AA4444" s="82"/>
      <c r="AB4444" s="82"/>
      <c r="AC4444" s="82"/>
      <c r="AD4444" s="82"/>
      <c r="AE4444" s="82"/>
      <c r="AF4444" s="82"/>
      <c r="AG4444" s="82"/>
      <c r="AH4444" s="82"/>
      <c r="AI4444" s="82"/>
      <c r="AJ4444" s="82"/>
      <c r="AK4444" s="82"/>
      <c r="AL4444" s="82"/>
      <c r="AM4444" s="82"/>
      <c r="AN4444" s="82"/>
      <c r="AO4444" s="82"/>
      <c r="AP4444" s="82"/>
      <c r="AQ4444" s="82"/>
      <c r="AR4444" s="82"/>
      <c r="AS4444" s="82"/>
      <c r="AT4444" s="82"/>
      <c r="AU4444" s="82"/>
      <c r="AV4444" s="82"/>
      <c r="AW4444" s="82" t="str">
        <f t="shared" si="1"/>
        <v/>
      </c>
      <c r="AX4444" s="83" t="str">
        <f t="array" ref="AX4444">IFERROR(DGET('SBV Import'!A:G,"SBV",{"RSC ID","Tier";B4444,A4444}))</f>
        <v/>
      </c>
      <c r="AY4444" s="82" t="str">
        <f t="shared" si="2"/>
        <v/>
      </c>
      <c r="AZ4444" s="82"/>
      <c r="BA4444" s="84" t="s">
        <v>152</v>
      </c>
      <c r="BB4444" s="84" t="str">
        <f>IFERROR(__xludf.DUMMYFUNCTION("iferror(if(A4444="""",,E4444&gt;=FILTER(Constants!$F$2:$F$10,Constants!$A$2:$A$10=A4444)))"),"")</f>
        <v/>
      </c>
    </row>
    <row r="4445">
      <c r="A4445" s="89"/>
      <c r="B4445" s="87"/>
      <c r="C4445" s="73"/>
      <c r="D4445" s="73"/>
      <c r="E4445" s="82"/>
      <c r="F4445" s="82"/>
      <c r="G4445" s="86"/>
      <c r="H4445" s="86"/>
      <c r="I4445" s="86"/>
      <c r="J4445" s="82"/>
      <c r="K4445" s="82"/>
      <c r="L4445" s="82"/>
      <c r="M4445" s="82"/>
      <c r="N4445" s="82"/>
      <c r="O4445" s="82"/>
      <c r="P4445" s="82"/>
      <c r="Q4445" s="82"/>
      <c r="R4445" s="82"/>
      <c r="S4445" s="82"/>
      <c r="T4445" s="82"/>
      <c r="U4445" s="82"/>
      <c r="V4445" s="82"/>
      <c r="W4445" s="82"/>
      <c r="X4445" s="82"/>
      <c r="Y4445" s="82"/>
      <c r="Z4445" s="82"/>
      <c r="AA4445" s="82"/>
      <c r="AB4445" s="82"/>
      <c r="AC4445" s="82"/>
      <c r="AD4445" s="82"/>
      <c r="AE4445" s="82"/>
      <c r="AF4445" s="82"/>
      <c r="AG4445" s="82"/>
      <c r="AH4445" s="82"/>
      <c r="AI4445" s="82"/>
      <c r="AJ4445" s="82"/>
      <c r="AK4445" s="82"/>
      <c r="AL4445" s="82"/>
      <c r="AM4445" s="82"/>
      <c r="AN4445" s="82"/>
      <c r="AO4445" s="82"/>
      <c r="AP4445" s="82"/>
      <c r="AQ4445" s="82"/>
      <c r="AR4445" s="82"/>
      <c r="AS4445" s="82"/>
      <c r="AT4445" s="82"/>
      <c r="AU4445" s="82"/>
      <c r="AV4445" s="82"/>
      <c r="AW4445" s="82" t="str">
        <f t="shared" si="1"/>
        <v/>
      </c>
      <c r="AX4445" s="83" t="str">
        <f t="array" ref="AX4445">IFERROR(DGET('SBV Import'!A:G,"SBV",{"RSC ID","Tier";B4445,A4445}))</f>
        <v/>
      </c>
      <c r="AY4445" s="82" t="str">
        <f t="shared" si="2"/>
        <v/>
      </c>
      <c r="AZ4445" s="82"/>
      <c r="BA4445" s="84" t="s">
        <v>152</v>
      </c>
      <c r="BB4445" s="84" t="str">
        <f>IFERROR(__xludf.DUMMYFUNCTION("iferror(if(A4445="""",,E4445&gt;=FILTER(Constants!$F$2:$F$10,Constants!$A$2:$A$10=A4445)))"),"")</f>
        <v/>
      </c>
    </row>
    <row r="4446">
      <c r="A4446" s="89"/>
      <c r="B4446" s="87"/>
      <c r="C4446" s="73"/>
      <c r="D4446" s="73"/>
      <c r="E4446" s="82"/>
      <c r="F4446" s="82"/>
      <c r="G4446" s="86"/>
      <c r="H4446" s="86"/>
      <c r="I4446" s="86"/>
      <c r="J4446" s="82"/>
      <c r="K4446" s="82"/>
      <c r="L4446" s="82"/>
      <c r="M4446" s="82"/>
      <c r="N4446" s="82"/>
      <c r="O4446" s="82"/>
      <c r="P4446" s="82"/>
      <c r="Q4446" s="82"/>
      <c r="R4446" s="82"/>
      <c r="S4446" s="82"/>
      <c r="T4446" s="82"/>
      <c r="U4446" s="82"/>
      <c r="V4446" s="82"/>
      <c r="W4446" s="82"/>
      <c r="X4446" s="82"/>
      <c r="Y4446" s="82"/>
      <c r="Z4446" s="82"/>
      <c r="AA4446" s="82"/>
      <c r="AB4446" s="82"/>
      <c r="AC4446" s="82"/>
      <c r="AD4446" s="82"/>
      <c r="AE4446" s="82"/>
      <c r="AF4446" s="82"/>
      <c r="AG4446" s="82"/>
      <c r="AH4446" s="82"/>
      <c r="AI4446" s="82"/>
      <c r="AJ4446" s="82"/>
      <c r="AK4446" s="82"/>
      <c r="AL4446" s="82"/>
      <c r="AM4446" s="82"/>
      <c r="AN4446" s="82"/>
      <c r="AO4446" s="82"/>
      <c r="AP4446" s="82"/>
      <c r="AQ4446" s="82"/>
      <c r="AR4446" s="82"/>
      <c r="AS4446" s="82"/>
      <c r="AT4446" s="82"/>
      <c r="AU4446" s="82"/>
      <c r="AV4446" s="82"/>
      <c r="AW4446" s="82" t="str">
        <f t="shared" si="1"/>
        <v/>
      </c>
      <c r="AX4446" s="83" t="str">
        <f t="array" ref="AX4446">IFERROR(DGET('SBV Import'!A:G,"SBV",{"RSC ID","Tier";B4446,A4446}))</f>
        <v/>
      </c>
      <c r="AY4446" s="82" t="str">
        <f t="shared" si="2"/>
        <v/>
      </c>
      <c r="AZ4446" s="82"/>
      <c r="BA4446" s="84" t="s">
        <v>152</v>
      </c>
      <c r="BB4446" s="84" t="str">
        <f>IFERROR(__xludf.DUMMYFUNCTION("iferror(if(A4446="""",,E4446&gt;=FILTER(Constants!$F$2:$F$10,Constants!$A$2:$A$10=A4446)))"),"")</f>
        <v/>
      </c>
    </row>
    <row r="4447">
      <c r="A4447" s="89"/>
      <c r="B4447" s="87"/>
      <c r="C4447" s="73"/>
      <c r="D4447" s="73"/>
      <c r="E4447" s="82"/>
      <c r="F4447" s="82"/>
      <c r="G4447" s="86"/>
      <c r="H4447" s="86"/>
      <c r="I4447" s="86"/>
      <c r="J4447" s="82"/>
      <c r="K4447" s="82"/>
      <c r="L4447" s="82"/>
      <c r="M4447" s="82"/>
      <c r="N4447" s="82"/>
      <c r="O4447" s="82"/>
      <c r="P4447" s="82"/>
      <c r="Q4447" s="82"/>
      <c r="R4447" s="82"/>
      <c r="S4447" s="82"/>
      <c r="T4447" s="82"/>
      <c r="U4447" s="82"/>
      <c r="V4447" s="82"/>
      <c r="W4447" s="82"/>
      <c r="X4447" s="82"/>
      <c r="Y4447" s="82"/>
      <c r="Z4447" s="82"/>
      <c r="AA4447" s="82"/>
      <c r="AB4447" s="82"/>
      <c r="AC4447" s="82"/>
      <c r="AD4447" s="82"/>
      <c r="AE4447" s="82"/>
      <c r="AF4447" s="82"/>
      <c r="AG4447" s="82"/>
      <c r="AH4447" s="82"/>
      <c r="AI4447" s="82"/>
      <c r="AJ4447" s="82"/>
      <c r="AK4447" s="82"/>
      <c r="AL4447" s="82"/>
      <c r="AM4447" s="82"/>
      <c r="AN4447" s="82"/>
      <c r="AO4447" s="82"/>
      <c r="AP4447" s="82"/>
      <c r="AQ4447" s="82"/>
      <c r="AR4447" s="82"/>
      <c r="AS4447" s="82"/>
      <c r="AT4447" s="82"/>
      <c r="AU4447" s="82"/>
      <c r="AV4447" s="82"/>
      <c r="AW4447" s="82" t="str">
        <f t="shared" si="1"/>
        <v/>
      </c>
      <c r="AX4447" s="83" t="str">
        <f t="array" ref="AX4447">IFERROR(DGET('SBV Import'!A:G,"SBV",{"RSC ID","Tier";B4447,A4447}))</f>
        <v/>
      </c>
      <c r="AY4447" s="82" t="str">
        <f t="shared" si="2"/>
        <v/>
      </c>
      <c r="AZ4447" s="82"/>
      <c r="BA4447" s="84" t="s">
        <v>152</v>
      </c>
      <c r="BB4447" s="84" t="str">
        <f>IFERROR(__xludf.DUMMYFUNCTION("iferror(if(A4447="""",,E4447&gt;=FILTER(Constants!$F$2:$F$10,Constants!$A$2:$A$10=A4447)))"),"")</f>
        <v/>
      </c>
    </row>
    <row r="4448">
      <c r="A4448" s="89"/>
      <c r="B4448" s="87"/>
      <c r="C4448" s="73"/>
      <c r="D4448" s="73"/>
      <c r="E4448" s="82"/>
      <c r="F4448" s="82"/>
      <c r="G4448" s="86"/>
      <c r="H4448" s="86"/>
      <c r="I4448" s="86"/>
      <c r="J4448" s="82"/>
      <c r="K4448" s="82"/>
      <c r="L4448" s="82"/>
      <c r="M4448" s="82"/>
      <c r="N4448" s="82"/>
      <c r="O4448" s="82"/>
      <c r="P4448" s="82"/>
      <c r="Q4448" s="82"/>
      <c r="R4448" s="82"/>
      <c r="S4448" s="82"/>
      <c r="T4448" s="82"/>
      <c r="U4448" s="82"/>
      <c r="V4448" s="82"/>
      <c r="W4448" s="82"/>
      <c r="X4448" s="82"/>
      <c r="Y4448" s="82"/>
      <c r="Z4448" s="82"/>
      <c r="AA4448" s="82"/>
      <c r="AB4448" s="82"/>
      <c r="AC4448" s="82"/>
      <c r="AD4448" s="82"/>
      <c r="AE4448" s="82"/>
      <c r="AF4448" s="82"/>
      <c r="AG4448" s="82"/>
      <c r="AH4448" s="82"/>
      <c r="AI4448" s="82"/>
      <c r="AJ4448" s="82"/>
      <c r="AK4448" s="82"/>
      <c r="AL4448" s="82"/>
      <c r="AM4448" s="82"/>
      <c r="AN4448" s="82"/>
      <c r="AO4448" s="82"/>
      <c r="AP4448" s="82"/>
      <c r="AQ4448" s="82"/>
      <c r="AR4448" s="82"/>
      <c r="AS4448" s="82"/>
      <c r="AT4448" s="82"/>
      <c r="AU4448" s="82"/>
      <c r="AV4448" s="82"/>
      <c r="AW4448" s="82" t="str">
        <f t="shared" si="1"/>
        <v/>
      </c>
      <c r="AX4448" s="83" t="str">
        <f t="array" ref="AX4448">IFERROR(DGET('SBV Import'!A:G,"SBV",{"RSC ID","Tier";B4448,A4448}))</f>
        <v/>
      </c>
      <c r="AY4448" s="82" t="str">
        <f t="shared" si="2"/>
        <v/>
      </c>
      <c r="AZ4448" s="82"/>
      <c r="BA4448" s="84" t="s">
        <v>152</v>
      </c>
      <c r="BB4448" s="84" t="str">
        <f>IFERROR(__xludf.DUMMYFUNCTION("iferror(if(A4448="""",,E4448&gt;=FILTER(Constants!$F$2:$F$10,Constants!$A$2:$A$10=A4448)))"),"")</f>
        <v/>
      </c>
    </row>
    <row r="4449">
      <c r="A4449" s="89"/>
      <c r="B4449" s="87"/>
      <c r="C4449" s="73"/>
      <c r="D4449" s="73"/>
      <c r="E4449" s="82"/>
      <c r="F4449" s="82"/>
      <c r="G4449" s="86"/>
      <c r="H4449" s="86"/>
      <c r="I4449" s="86"/>
      <c r="J4449" s="82"/>
      <c r="K4449" s="82"/>
      <c r="L4449" s="82"/>
      <c r="M4449" s="82"/>
      <c r="N4449" s="82"/>
      <c r="O4449" s="82"/>
      <c r="P4449" s="82"/>
      <c r="Q4449" s="82"/>
      <c r="R4449" s="82"/>
      <c r="S4449" s="82"/>
      <c r="T4449" s="82"/>
      <c r="U4449" s="82"/>
      <c r="V4449" s="82"/>
      <c r="W4449" s="82"/>
      <c r="X4449" s="82"/>
      <c r="Y4449" s="82"/>
      <c r="Z4449" s="82"/>
      <c r="AA4449" s="82"/>
      <c r="AB4449" s="82"/>
      <c r="AC4449" s="82"/>
      <c r="AD4449" s="82"/>
      <c r="AE4449" s="82"/>
      <c r="AF4449" s="82"/>
      <c r="AG4449" s="82"/>
      <c r="AH4449" s="82"/>
      <c r="AI4449" s="82"/>
      <c r="AJ4449" s="82"/>
      <c r="AK4449" s="82"/>
      <c r="AL4449" s="82"/>
      <c r="AM4449" s="82"/>
      <c r="AN4449" s="82"/>
      <c r="AO4449" s="82"/>
      <c r="AP4449" s="82"/>
      <c r="AQ4449" s="82"/>
      <c r="AR4449" s="82"/>
      <c r="AS4449" s="82"/>
      <c r="AT4449" s="82"/>
      <c r="AU4449" s="82"/>
      <c r="AV4449" s="82"/>
      <c r="AW4449" s="82" t="str">
        <f t="shared" si="1"/>
        <v/>
      </c>
      <c r="AX4449" s="83" t="str">
        <f t="array" ref="AX4449">IFERROR(DGET('SBV Import'!A:G,"SBV",{"RSC ID","Tier";B4449,A4449}))</f>
        <v/>
      </c>
      <c r="AY4449" s="82" t="str">
        <f t="shared" si="2"/>
        <v/>
      </c>
      <c r="AZ4449" s="82"/>
      <c r="BA4449" s="84" t="s">
        <v>152</v>
      </c>
      <c r="BB4449" s="84" t="str">
        <f>IFERROR(__xludf.DUMMYFUNCTION("iferror(if(A4449="""",,E4449&gt;=FILTER(Constants!$F$2:$F$10,Constants!$A$2:$A$10=A4449)))"),"")</f>
        <v/>
      </c>
    </row>
    <row r="4450">
      <c r="A4450" s="89"/>
      <c r="B4450" s="87"/>
      <c r="C4450" s="73"/>
      <c r="D4450" s="73"/>
      <c r="E4450" s="82"/>
      <c r="F4450" s="82"/>
      <c r="G4450" s="86"/>
      <c r="H4450" s="86"/>
      <c r="I4450" s="86"/>
      <c r="J4450" s="82"/>
      <c r="K4450" s="82"/>
      <c r="L4450" s="82"/>
      <c r="M4450" s="82"/>
      <c r="N4450" s="82"/>
      <c r="O4450" s="82"/>
      <c r="P4450" s="82"/>
      <c r="Q4450" s="82"/>
      <c r="R4450" s="82"/>
      <c r="S4450" s="82"/>
      <c r="T4450" s="82"/>
      <c r="U4450" s="82"/>
      <c r="V4450" s="82"/>
      <c r="W4450" s="82"/>
      <c r="X4450" s="82"/>
      <c r="Y4450" s="82"/>
      <c r="Z4450" s="82"/>
      <c r="AA4450" s="82"/>
      <c r="AB4450" s="82"/>
      <c r="AC4450" s="82"/>
      <c r="AD4450" s="82"/>
      <c r="AE4450" s="82"/>
      <c r="AF4450" s="82"/>
      <c r="AG4450" s="82"/>
      <c r="AH4450" s="82"/>
      <c r="AI4450" s="82"/>
      <c r="AJ4450" s="82"/>
      <c r="AK4450" s="82"/>
      <c r="AL4450" s="82"/>
      <c r="AM4450" s="82"/>
      <c r="AN4450" s="82"/>
      <c r="AO4450" s="82"/>
      <c r="AP4450" s="82"/>
      <c r="AQ4450" s="82"/>
      <c r="AR4450" s="82"/>
      <c r="AS4450" s="82"/>
      <c r="AT4450" s="82"/>
      <c r="AU4450" s="82"/>
      <c r="AV4450" s="82"/>
      <c r="AW4450" s="82" t="str">
        <f t="shared" si="1"/>
        <v/>
      </c>
      <c r="AX4450" s="83" t="str">
        <f t="array" ref="AX4450">IFERROR(DGET('SBV Import'!A:G,"SBV",{"RSC ID","Tier";B4450,A4450}))</f>
        <v/>
      </c>
      <c r="AY4450" s="82" t="str">
        <f t="shared" si="2"/>
        <v/>
      </c>
      <c r="AZ4450" s="82"/>
      <c r="BA4450" s="84" t="s">
        <v>152</v>
      </c>
      <c r="BB4450" s="84" t="str">
        <f>IFERROR(__xludf.DUMMYFUNCTION("iferror(if(A4450="""",,E4450&gt;=FILTER(Constants!$F$2:$F$10,Constants!$A$2:$A$10=A4450)))"),"")</f>
        <v/>
      </c>
    </row>
    <row r="4451">
      <c r="A4451" s="89"/>
      <c r="B4451" s="87"/>
      <c r="C4451" s="73"/>
      <c r="D4451" s="73"/>
      <c r="E4451" s="82"/>
      <c r="F4451" s="82"/>
      <c r="G4451" s="86"/>
      <c r="H4451" s="86"/>
      <c r="I4451" s="86"/>
      <c r="J4451" s="82"/>
      <c r="K4451" s="82"/>
      <c r="L4451" s="82"/>
      <c r="M4451" s="82"/>
      <c r="N4451" s="82"/>
      <c r="O4451" s="82"/>
      <c r="P4451" s="82"/>
      <c r="Q4451" s="82"/>
      <c r="R4451" s="82"/>
      <c r="S4451" s="82"/>
      <c r="T4451" s="82"/>
      <c r="U4451" s="82"/>
      <c r="V4451" s="82"/>
      <c r="W4451" s="82"/>
      <c r="X4451" s="82"/>
      <c r="Y4451" s="82"/>
      <c r="Z4451" s="82"/>
      <c r="AA4451" s="82"/>
      <c r="AB4451" s="82"/>
      <c r="AC4451" s="82"/>
      <c r="AD4451" s="82"/>
      <c r="AE4451" s="82"/>
      <c r="AF4451" s="82"/>
      <c r="AG4451" s="82"/>
      <c r="AH4451" s="82"/>
      <c r="AI4451" s="82"/>
      <c r="AJ4451" s="82"/>
      <c r="AK4451" s="82"/>
      <c r="AL4451" s="82"/>
      <c r="AM4451" s="82"/>
      <c r="AN4451" s="82"/>
      <c r="AO4451" s="82"/>
      <c r="AP4451" s="82"/>
      <c r="AQ4451" s="82"/>
      <c r="AR4451" s="82"/>
      <c r="AS4451" s="82"/>
      <c r="AT4451" s="82"/>
      <c r="AU4451" s="82"/>
      <c r="AV4451" s="82"/>
      <c r="AW4451" s="82" t="str">
        <f t="shared" si="1"/>
        <v/>
      </c>
      <c r="AX4451" s="83" t="str">
        <f t="array" ref="AX4451">IFERROR(DGET('SBV Import'!A:G,"SBV",{"RSC ID","Tier";B4451,A4451}))</f>
        <v/>
      </c>
      <c r="AY4451" s="82" t="str">
        <f t="shared" si="2"/>
        <v/>
      </c>
      <c r="AZ4451" s="82"/>
      <c r="BA4451" s="84" t="s">
        <v>152</v>
      </c>
      <c r="BB4451" s="84" t="str">
        <f>IFERROR(__xludf.DUMMYFUNCTION("iferror(if(A4451="""",,E4451&gt;=FILTER(Constants!$F$2:$F$10,Constants!$A$2:$A$10=A4451)))"),"")</f>
        <v/>
      </c>
    </row>
    <row r="4452">
      <c r="A4452" s="89"/>
      <c r="B4452" s="87"/>
      <c r="C4452" s="73"/>
      <c r="D4452" s="73"/>
      <c r="E4452" s="82"/>
      <c r="F4452" s="82"/>
      <c r="G4452" s="86"/>
      <c r="H4452" s="86"/>
      <c r="I4452" s="86"/>
      <c r="J4452" s="82"/>
      <c r="K4452" s="82"/>
      <c r="L4452" s="82"/>
      <c r="M4452" s="82"/>
      <c r="N4452" s="82"/>
      <c r="O4452" s="82"/>
      <c r="P4452" s="82"/>
      <c r="Q4452" s="82"/>
      <c r="R4452" s="82"/>
      <c r="S4452" s="82"/>
      <c r="T4452" s="82"/>
      <c r="U4452" s="82"/>
      <c r="V4452" s="82"/>
      <c r="W4452" s="82"/>
      <c r="X4452" s="82"/>
      <c r="Y4452" s="82"/>
      <c r="Z4452" s="82"/>
      <c r="AA4452" s="82"/>
      <c r="AB4452" s="82"/>
      <c r="AC4452" s="82"/>
      <c r="AD4452" s="82"/>
      <c r="AE4452" s="82"/>
      <c r="AF4452" s="82"/>
      <c r="AG4452" s="82"/>
      <c r="AH4452" s="82"/>
      <c r="AI4452" s="82"/>
      <c r="AJ4452" s="82"/>
      <c r="AK4452" s="82"/>
      <c r="AL4452" s="82"/>
      <c r="AM4452" s="82"/>
      <c r="AN4452" s="82"/>
      <c r="AO4452" s="82"/>
      <c r="AP4452" s="82"/>
      <c r="AQ4452" s="82"/>
      <c r="AR4452" s="82"/>
      <c r="AS4452" s="82"/>
      <c r="AT4452" s="82"/>
      <c r="AU4452" s="82"/>
      <c r="AV4452" s="82"/>
      <c r="AW4452" s="82" t="str">
        <f t="shared" si="1"/>
        <v/>
      </c>
      <c r="AX4452" s="83" t="str">
        <f t="array" ref="AX4452">IFERROR(DGET('SBV Import'!A:G,"SBV",{"RSC ID","Tier";B4452,A4452}))</f>
        <v/>
      </c>
      <c r="AY4452" s="82" t="str">
        <f t="shared" si="2"/>
        <v/>
      </c>
      <c r="AZ4452" s="82"/>
      <c r="BA4452" s="84" t="s">
        <v>152</v>
      </c>
      <c r="BB4452" s="84" t="str">
        <f>IFERROR(__xludf.DUMMYFUNCTION("iferror(if(A4452="""",,E4452&gt;=FILTER(Constants!$F$2:$F$10,Constants!$A$2:$A$10=A4452)))"),"")</f>
        <v/>
      </c>
    </row>
    <row r="4453">
      <c r="A4453" s="89"/>
      <c r="B4453" s="87"/>
      <c r="C4453" s="73"/>
      <c r="D4453" s="73"/>
      <c r="E4453" s="82"/>
      <c r="F4453" s="82"/>
      <c r="G4453" s="86"/>
      <c r="H4453" s="86"/>
      <c r="I4453" s="86"/>
      <c r="J4453" s="82"/>
      <c r="K4453" s="82"/>
      <c r="L4453" s="82"/>
      <c r="M4453" s="82"/>
      <c r="N4453" s="82"/>
      <c r="O4453" s="82"/>
      <c r="P4453" s="82"/>
      <c r="Q4453" s="82"/>
      <c r="R4453" s="82"/>
      <c r="S4453" s="82"/>
      <c r="T4453" s="82"/>
      <c r="U4453" s="82"/>
      <c r="V4453" s="82"/>
      <c r="W4453" s="82"/>
      <c r="X4453" s="82"/>
      <c r="Y4453" s="82"/>
      <c r="Z4453" s="82"/>
      <c r="AA4453" s="82"/>
      <c r="AB4453" s="82"/>
      <c r="AC4453" s="82"/>
      <c r="AD4453" s="82"/>
      <c r="AE4453" s="82"/>
      <c r="AF4453" s="82"/>
      <c r="AG4453" s="82"/>
      <c r="AH4453" s="82"/>
      <c r="AI4453" s="82"/>
      <c r="AJ4453" s="82"/>
      <c r="AK4453" s="82"/>
      <c r="AL4453" s="82"/>
      <c r="AM4453" s="82"/>
      <c r="AN4453" s="82"/>
      <c r="AO4453" s="82"/>
      <c r="AP4453" s="82"/>
      <c r="AQ4453" s="82"/>
      <c r="AR4453" s="82"/>
      <c r="AS4453" s="82"/>
      <c r="AT4453" s="82"/>
      <c r="AU4453" s="82"/>
      <c r="AV4453" s="82"/>
      <c r="AW4453" s="82" t="str">
        <f t="shared" si="1"/>
        <v/>
      </c>
      <c r="AX4453" s="83" t="str">
        <f t="array" ref="AX4453">IFERROR(DGET('SBV Import'!A:G,"SBV",{"RSC ID","Tier";B4453,A4453}))</f>
        <v/>
      </c>
      <c r="AY4453" s="82" t="str">
        <f t="shared" si="2"/>
        <v/>
      </c>
      <c r="AZ4453" s="82"/>
      <c r="BA4453" s="84" t="s">
        <v>152</v>
      </c>
      <c r="BB4453" s="84" t="str">
        <f>IFERROR(__xludf.DUMMYFUNCTION("iferror(if(A4453="""",,E4453&gt;=FILTER(Constants!$F$2:$F$10,Constants!$A$2:$A$10=A4453)))"),"")</f>
        <v/>
      </c>
    </row>
    <row r="4454">
      <c r="A4454" s="89"/>
      <c r="B4454" s="87"/>
      <c r="C4454" s="73"/>
      <c r="D4454" s="73"/>
      <c r="E4454" s="82"/>
      <c r="F4454" s="82"/>
      <c r="G4454" s="86"/>
      <c r="H4454" s="86"/>
      <c r="I4454" s="86"/>
      <c r="J4454" s="82"/>
      <c r="K4454" s="82"/>
      <c r="L4454" s="82"/>
      <c r="M4454" s="82"/>
      <c r="N4454" s="82"/>
      <c r="O4454" s="82"/>
      <c r="P4454" s="82"/>
      <c r="Q4454" s="82"/>
      <c r="R4454" s="82"/>
      <c r="S4454" s="82"/>
      <c r="T4454" s="82"/>
      <c r="U4454" s="82"/>
      <c r="V4454" s="82"/>
      <c r="W4454" s="82"/>
      <c r="X4454" s="82"/>
      <c r="Y4454" s="82"/>
      <c r="Z4454" s="82"/>
      <c r="AA4454" s="82"/>
      <c r="AB4454" s="82"/>
      <c r="AC4454" s="82"/>
      <c r="AD4454" s="82"/>
      <c r="AE4454" s="82"/>
      <c r="AF4454" s="82"/>
      <c r="AG4454" s="82"/>
      <c r="AH4454" s="82"/>
      <c r="AI4454" s="82"/>
      <c r="AJ4454" s="82"/>
      <c r="AK4454" s="82"/>
      <c r="AL4454" s="82"/>
      <c r="AM4454" s="82"/>
      <c r="AN4454" s="82"/>
      <c r="AO4454" s="82"/>
      <c r="AP4454" s="82"/>
      <c r="AQ4454" s="82"/>
      <c r="AR4454" s="82"/>
      <c r="AS4454" s="82"/>
      <c r="AT4454" s="82"/>
      <c r="AU4454" s="82"/>
      <c r="AV4454" s="82"/>
      <c r="AW4454" s="82" t="str">
        <f t="shared" si="1"/>
        <v/>
      </c>
      <c r="AX4454" s="83" t="str">
        <f t="array" ref="AX4454">IFERROR(DGET('SBV Import'!A:G,"SBV",{"RSC ID","Tier";B4454,A4454}))</f>
        <v/>
      </c>
      <c r="AY4454" s="82" t="str">
        <f t="shared" si="2"/>
        <v/>
      </c>
      <c r="AZ4454" s="82"/>
      <c r="BA4454" s="84" t="s">
        <v>152</v>
      </c>
      <c r="BB4454" s="84" t="str">
        <f>IFERROR(__xludf.DUMMYFUNCTION("iferror(if(A4454="""",,E4454&gt;=FILTER(Constants!$F$2:$F$10,Constants!$A$2:$A$10=A4454)))"),"")</f>
        <v/>
      </c>
    </row>
    <row r="4455">
      <c r="A4455" s="89"/>
      <c r="B4455" s="87"/>
      <c r="C4455" s="73"/>
      <c r="D4455" s="73"/>
      <c r="E4455" s="82"/>
      <c r="F4455" s="82"/>
      <c r="G4455" s="86"/>
      <c r="H4455" s="86"/>
      <c r="I4455" s="86"/>
      <c r="J4455" s="82"/>
      <c r="K4455" s="82"/>
      <c r="L4455" s="82"/>
      <c r="M4455" s="82"/>
      <c r="N4455" s="82"/>
      <c r="O4455" s="82"/>
      <c r="P4455" s="82"/>
      <c r="Q4455" s="82"/>
      <c r="R4455" s="82"/>
      <c r="S4455" s="82"/>
      <c r="T4455" s="82"/>
      <c r="U4455" s="82"/>
      <c r="V4455" s="82"/>
      <c r="W4455" s="82"/>
      <c r="X4455" s="82"/>
      <c r="Y4455" s="82"/>
      <c r="Z4455" s="82"/>
      <c r="AA4455" s="82"/>
      <c r="AB4455" s="82"/>
      <c r="AC4455" s="82"/>
      <c r="AD4455" s="82"/>
      <c r="AE4455" s="82"/>
      <c r="AF4455" s="82"/>
      <c r="AG4455" s="82"/>
      <c r="AH4455" s="82"/>
      <c r="AI4455" s="82"/>
      <c r="AJ4455" s="82"/>
      <c r="AK4455" s="82"/>
      <c r="AL4455" s="82"/>
      <c r="AM4455" s="82"/>
      <c r="AN4455" s="82"/>
      <c r="AO4455" s="82"/>
      <c r="AP4455" s="82"/>
      <c r="AQ4455" s="82"/>
      <c r="AR4455" s="82"/>
      <c r="AS4455" s="82"/>
      <c r="AT4455" s="82"/>
      <c r="AU4455" s="82"/>
      <c r="AV4455" s="82"/>
      <c r="AW4455" s="82" t="str">
        <f t="shared" si="1"/>
        <v/>
      </c>
      <c r="AX4455" s="83" t="str">
        <f t="array" ref="AX4455">IFERROR(DGET('SBV Import'!A:G,"SBV",{"RSC ID","Tier";B4455,A4455}))</f>
        <v/>
      </c>
      <c r="AY4455" s="82" t="str">
        <f t="shared" si="2"/>
        <v/>
      </c>
      <c r="AZ4455" s="82"/>
      <c r="BA4455" s="84" t="s">
        <v>152</v>
      </c>
      <c r="BB4455" s="84" t="str">
        <f>IFERROR(__xludf.DUMMYFUNCTION("iferror(if(A4455="""",,E4455&gt;=FILTER(Constants!$F$2:$F$10,Constants!$A$2:$A$10=A4455)))"),"")</f>
        <v/>
      </c>
    </row>
    <row r="4456">
      <c r="A4456" s="89"/>
      <c r="B4456" s="87"/>
      <c r="C4456" s="73"/>
      <c r="D4456" s="73"/>
      <c r="E4456" s="82"/>
      <c r="F4456" s="82"/>
      <c r="G4456" s="86"/>
      <c r="H4456" s="86"/>
      <c r="I4456" s="86"/>
      <c r="J4456" s="82"/>
      <c r="K4456" s="82"/>
      <c r="L4456" s="82"/>
      <c r="M4456" s="82"/>
      <c r="N4456" s="82"/>
      <c r="O4456" s="82"/>
      <c r="P4456" s="82"/>
      <c r="Q4456" s="82"/>
      <c r="R4456" s="82"/>
      <c r="S4456" s="82"/>
      <c r="T4456" s="82"/>
      <c r="U4456" s="82"/>
      <c r="V4456" s="82"/>
      <c r="W4456" s="82"/>
      <c r="X4456" s="82"/>
      <c r="Y4456" s="82"/>
      <c r="Z4456" s="82"/>
      <c r="AA4456" s="82"/>
      <c r="AB4456" s="82"/>
      <c r="AC4456" s="82"/>
      <c r="AD4456" s="82"/>
      <c r="AE4456" s="82"/>
      <c r="AF4456" s="82"/>
      <c r="AG4456" s="82"/>
      <c r="AH4456" s="82"/>
      <c r="AI4456" s="82"/>
      <c r="AJ4456" s="82"/>
      <c r="AK4456" s="82"/>
      <c r="AL4456" s="82"/>
      <c r="AM4456" s="82"/>
      <c r="AN4456" s="82"/>
      <c r="AO4456" s="82"/>
      <c r="AP4456" s="82"/>
      <c r="AQ4456" s="82"/>
      <c r="AR4456" s="82"/>
      <c r="AS4456" s="82"/>
      <c r="AT4456" s="82"/>
      <c r="AU4456" s="82"/>
      <c r="AV4456" s="82"/>
      <c r="AW4456" s="82" t="str">
        <f t="shared" si="1"/>
        <v/>
      </c>
      <c r="AX4456" s="83" t="str">
        <f t="array" ref="AX4456">IFERROR(DGET('SBV Import'!A:G,"SBV",{"RSC ID","Tier";B4456,A4456}))</f>
        <v/>
      </c>
      <c r="AY4456" s="82" t="str">
        <f t="shared" si="2"/>
        <v/>
      </c>
      <c r="AZ4456" s="82"/>
      <c r="BA4456" s="84" t="s">
        <v>152</v>
      </c>
      <c r="BB4456" s="84" t="str">
        <f>IFERROR(__xludf.DUMMYFUNCTION("iferror(if(A4456="""",,E4456&gt;=FILTER(Constants!$F$2:$F$10,Constants!$A$2:$A$10=A4456)))"),"")</f>
        <v/>
      </c>
    </row>
    <row r="4457">
      <c r="A4457" s="89"/>
      <c r="B4457" s="87"/>
      <c r="C4457" s="73"/>
      <c r="D4457" s="73"/>
      <c r="E4457" s="82"/>
      <c r="F4457" s="82"/>
      <c r="G4457" s="86"/>
      <c r="H4457" s="86"/>
      <c r="I4457" s="86"/>
      <c r="J4457" s="82"/>
      <c r="K4457" s="82"/>
      <c r="L4457" s="82"/>
      <c r="M4457" s="82"/>
      <c r="N4457" s="82"/>
      <c r="O4457" s="82"/>
      <c r="P4457" s="82"/>
      <c r="Q4457" s="82"/>
      <c r="R4457" s="82"/>
      <c r="S4457" s="82"/>
      <c r="T4457" s="82"/>
      <c r="U4457" s="82"/>
      <c r="V4457" s="82"/>
      <c r="W4457" s="82"/>
      <c r="X4457" s="82"/>
      <c r="Y4457" s="82"/>
      <c r="Z4457" s="82"/>
      <c r="AA4457" s="82"/>
      <c r="AB4457" s="82"/>
      <c r="AC4457" s="82"/>
      <c r="AD4457" s="82"/>
      <c r="AE4457" s="82"/>
      <c r="AF4457" s="82"/>
      <c r="AG4457" s="82"/>
      <c r="AH4457" s="82"/>
      <c r="AI4457" s="82"/>
      <c r="AJ4457" s="82"/>
      <c r="AK4457" s="82"/>
      <c r="AL4457" s="82"/>
      <c r="AM4457" s="82"/>
      <c r="AN4457" s="82"/>
      <c r="AO4457" s="82"/>
      <c r="AP4457" s="82"/>
      <c r="AQ4457" s="82"/>
      <c r="AR4457" s="82"/>
      <c r="AS4457" s="82"/>
      <c r="AT4457" s="82"/>
      <c r="AU4457" s="82"/>
      <c r="AV4457" s="82"/>
      <c r="AW4457" s="82" t="str">
        <f t="shared" si="1"/>
        <v/>
      </c>
      <c r="AX4457" s="83" t="str">
        <f t="array" ref="AX4457">IFERROR(DGET('SBV Import'!A:G,"SBV",{"RSC ID","Tier";B4457,A4457}))</f>
        <v/>
      </c>
      <c r="AY4457" s="82" t="str">
        <f t="shared" si="2"/>
        <v/>
      </c>
      <c r="AZ4457" s="82"/>
      <c r="BA4457" s="84" t="s">
        <v>152</v>
      </c>
      <c r="BB4457" s="84" t="str">
        <f>IFERROR(__xludf.DUMMYFUNCTION("iferror(if(A4457="""",,E4457&gt;=FILTER(Constants!$F$2:$F$10,Constants!$A$2:$A$10=A4457)))"),"")</f>
        <v/>
      </c>
    </row>
    <row r="4458">
      <c r="A4458" s="89"/>
      <c r="B4458" s="87"/>
      <c r="C4458" s="73"/>
      <c r="D4458" s="73"/>
      <c r="E4458" s="82"/>
      <c r="F4458" s="82"/>
      <c r="G4458" s="86"/>
      <c r="H4458" s="86"/>
      <c r="I4458" s="86"/>
      <c r="J4458" s="82"/>
      <c r="K4458" s="82"/>
      <c r="L4458" s="82"/>
      <c r="M4458" s="82"/>
      <c r="N4458" s="82"/>
      <c r="O4458" s="82"/>
      <c r="P4458" s="82"/>
      <c r="Q4458" s="82"/>
      <c r="R4458" s="82"/>
      <c r="S4458" s="82"/>
      <c r="T4458" s="82"/>
      <c r="U4458" s="82"/>
      <c r="V4458" s="82"/>
      <c r="W4458" s="82"/>
      <c r="X4458" s="82"/>
      <c r="Y4458" s="82"/>
      <c r="Z4458" s="82"/>
      <c r="AA4458" s="82"/>
      <c r="AB4458" s="82"/>
      <c r="AC4458" s="82"/>
      <c r="AD4458" s="82"/>
      <c r="AE4458" s="82"/>
      <c r="AF4458" s="82"/>
      <c r="AG4458" s="82"/>
      <c r="AH4458" s="82"/>
      <c r="AI4458" s="82"/>
      <c r="AJ4458" s="82"/>
      <c r="AK4458" s="82"/>
      <c r="AL4458" s="82"/>
      <c r="AM4458" s="82"/>
      <c r="AN4458" s="82"/>
      <c r="AO4458" s="82"/>
      <c r="AP4458" s="82"/>
      <c r="AQ4458" s="82"/>
      <c r="AR4458" s="82"/>
      <c r="AS4458" s="82"/>
      <c r="AT4458" s="82"/>
      <c r="AU4458" s="82"/>
      <c r="AV4458" s="82"/>
      <c r="AW4458" s="82" t="str">
        <f t="shared" si="1"/>
        <v/>
      </c>
      <c r="AX4458" s="83" t="str">
        <f t="array" ref="AX4458">IFERROR(DGET('SBV Import'!A:G,"SBV",{"RSC ID","Tier";B4458,A4458}))</f>
        <v/>
      </c>
      <c r="AY4458" s="82" t="str">
        <f t="shared" si="2"/>
        <v/>
      </c>
      <c r="AZ4458" s="82"/>
      <c r="BA4458" s="84" t="s">
        <v>152</v>
      </c>
      <c r="BB4458" s="84" t="str">
        <f>IFERROR(__xludf.DUMMYFUNCTION("iferror(if(A4458="""",,E4458&gt;=FILTER(Constants!$F$2:$F$10,Constants!$A$2:$A$10=A4458)))"),"")</f>
        <v/>
      </c>
    </row>
    <row r="4459">
      <c r="A4459" s="89"/>
      <c r="B4459" s="87"/>
      <c r="C4459" s="73"/>
      <c r="D4459" s="73"/>
      <c r="E4459" s="82"/>
      <c r="F4459" s="82"/>
      <c r="G4459" s="86"/>
      <c r="H4459" s="86"/>
      <c r="I4459" s="86"/>
      <c r="J4459" s="82"/>
      <c r="K4459" s="82"/>
      <c r="L4459" s="82"/>
      <c r="M4459" s="82"/>
      <c r="N4459" s="82"/>
      <c r="O4459" s="82"/>
      <c r="P4459" s="82"/>
      <c r="Q4459" s="82"/>
      <c r="R4459" s="82"/>
      <c r="S4459" s="82"/>
      <c r="T4459" s="82"/>
      <c r="U4459" s="82"/>
      <c r="V4459" s="82"/>
      <c r="W4459" s="82"/>
      <c r="X4459" s="82"/>
      <c r="Y4459" s="82"/>
      <c r="Z4459" s="82"/>
      <c r="AA4459" s="82"/>
      <c r="AB4459" s="82"/>
      <c r="AC4459" s="82"/>
      <c r="AD4459" s="82"/>
      <c r="AE4459" s="82"/>
      <c r="AF4459" s="82"/>
      <c r="AG4459" s="82"/>
      <c r="AH4459" s="82"/>
      <c r="AI4459" s="82"/>
      <c r="AJ4459" s="82"/>
      <c r="AK4459" s="82"/>
      <c r="AL4459" s="82"/>
      <c r="AM4459" s="82"/>
      <c r="AN4459" s="82"/>
      <c r="AO4459" s="82"/>
      <c r="AP4459" s="82"/>
      <c r="AQ4459" s="82"/>
      <c r="AR4459" s="82"/>
      <c r="AS4459" s="82"/>
      <c r="AT4459" s="82"/>
      <c r="AU4459" s="82"/>
      <c r="AV4459" s="82"/>
      <c r="AW4459" s="82" t="str">
        <f t="shared" si="1"/>
        <v/>
      </c>
      <c r="AX4459" s="83" t="str">
        <f t="array" ref="AX4459">IFERROR(DGET('SBV Import'!A:G,"SBV",{"RSC ID","Tier";B4459,A4459}))</f>
        <v/>
      </c>
      <c r="AY4459" s="82" t="str">
        <f t="shared" si="2"/>
        <v/>
      </c>
      <c r="AZ4459" s="82"/>
      <c r="BA4459" s="84" t="s">
        <v>152</v>
      </c>
      <c r="BB4459" s="84" t="str">
        <f>IFERROR(__xludf.DUMMYFUNCTION("iferror(if(A4459="""",,E4459&gt;=FILTER(Constants!$F$2:$F$10,Constants!$A$2:$A$10=A4459)))"),"")</f>
        <v/>
      </c>
    </row>
    <row r="4460">
      <c r="A4460" s="89"/>
      <c r="B4460" s="87"/>
      <c r="C4460" s="73"/>
      <c r="D4460" s="73"/>
      <c r="E4460" s="82"/>
      <c r="F4460" s="82"/>
      <c r="G4460" s="86"/>
      <c r="H4460" s="86"/>
      <c r="I4460" s="86"/>
      <c r="J4460" s="82"/>
      <c r="K4460" s="82"/>
      <c r="L4460" s="82"/>
      <c r="M4460" s="82"/>
      <c r="N4460" s="82"/>
      <c r="O4460" s="82"/>
      <c r="P4460" s="82"/>
      <c r="Q4460" s="82"/>
      <c r="R4460" s="82"/>
      <c r="S4460" s="82"/>
      <c r="T4460" s="82"/>
      <c r="U4460" s="82"/>
      <c r="V4460" s="82"/>
      <c r="W4460" s="82"/>
      <c r="X4460" s="82"/>
      <c r="Y4460" s="82"/>
      <c r="Z4460" s="82"/>
      <c r="AA4460" s="82"/>
      <c r="AB4460" s="82"/>
      <c r="AC4460" s="82"/>
      <c r="AD4460" s="82"/>
      <c r="AE4460" s="82"/>
      <c r="AF4460" s="82"/>
      <c r="AG4460" s="82"/>
      <c r="AH4460" s="82"/>
      <c r="AI4460" s="82"/>
      <c r="AJ4460" s="82"/>
      <c r="AK4460" s="82"/>
      <c r="AL4460" s="82"/>
      <c r="AM4460" s="82"/>
      <c r="AN4460" s="82"/>
      <c r="AO4460" s="82"/>
      <c r="AP4460" s="82"/>
      <c r="AQ4460" s="82"/>
      <c r="AR4460" s="82"/>
      <c r="AS4460" s="82"/>
      <c r="AT4460" s="82"/>
      <c r="AU4460" s="82"/>
      <c r="AV4460" s="82"/>
      <c r="AW4460" s="82" t="str">
        <f t="shared" si="1"/>
        <v/>
      </c>
      <c r="AX4460" s="83" t="str">
        <f t="array" ref="AX4460">IFERROR(DGET('SBV Import'!A:G,"SBV",{"RSC ID","Tier";B4460,A4460}))</f>
        <v/>
      </c>
      <c r="AY4460" s="82" t="str">
        <f t="shared" si="2"/>
        <v/>
      </c>
      <c r="AZ4460" s="82"/>
      <c r="BA4460" s="84" t="s">
        <v>152</v>
      </c>
      <c r="BB4460" s="84" t="str">
        <f>IFERROR(__xludf.DUMMYFUNCTION("iferror(if(A4460="""",,E4460&gt;=FILTER(Constants!$F$2:$F$10,Constants!$A$2:$A$10=A4460)))"),"")</f>
        <v/>
      </c>
    </row>
    <row r="4461">
      <c r="A4461" s="89"/>
      <c r="B4461" s="87"/>
      <c r="C4461" s="73"/>
      <c r="D4461" s="73"/>
      <c r="E4461" s="82"/>
      <c r="F4461" s="82"/>
      <c r="G4461" s="86"/>
      <c r="H4461" s="86"/>
      <c r="I4461" s="86"/>
      <c r="J4461" s="82"/>
      <c r="K4461" s="82"/>
      <c r="L4461" s="82"/>
      <c r="M4461" s="82"/>
      <c r="N4461" s="82"/>
      <c r="O4461" s="82"/>
      <c r="P4461" s="82"/>
      <c r="Q4461" s="82"/>
      <c r="R4461" s="82"/>
      <c r="S4461" s="82"/>
      <c r="T4461" s="82"/>
      <c r="U4461" s="82"/>
      <c r="V4461" s="82"/>
      <c r="W4461" s="82"/>
      <c r="X4461" s="82"/>
      <c r="Y4461" s="82"/>
      <c r="Z4461" s="82"/>
      <c r="AA4461" s="82"/>
      <c r="AB4461" s="82"/>
      <c r="AC4461" s="82"/>
      <c r="AD4461" s="82"/>
      <c r="AE4461" s="82"/>
      <c r="AF4461" s="82"/>
      <c r="AG4461" s="82"/>
      <c r="AH4461" s="82"/>
      <c r="AI4461" s="82"/>
      <c r="AJ4461" s="82"/>
      <c r="AK4461" s="82"/>
      <c r="AL4461" s="82"/>
      <c r="AM4461" s="82"/>
      <c r="AN4461" s="82"/>
      <c r="AO4461" s="82"/>
      <c r="AP4461" s="82"/>
      <c r="AQ4461" s="82"/>
      <c r="AR4461" s="82"/>
      <c r="AS4461" s="82"/>
      <c r="AT4461" s="82"/>
      <c r="AU4461" s="82"/>
      <c r="AV4461" s="82"/>
      <c r="AW4461" s="82" t="str">
        <f t="shared" si="1"/>
        <v/>
      </c>
      <c r="AX4461" s="83" t="str">
        <f t="array" ref="AX4461">IFERROR(DGET('SBV Import'!A:G,"SBV",{"RSC ID","Tier";B4461,A4461}))</f>
        <v/>
      </c>
      <c r="AY4461" s="82" t="str">
        <f t="shared" si="2"/>
        <v/>
      </c>
      <c r="AZ4461" s="82"/>
      <c r="BA4461" s="84" t="s">
        <v>152</v>
      </c>
      <c r="BB4461" s="84" t="str">
        <f>IFERROR(__xludf.DUMMYFUNCTION("iferror(if(A4461="""",,E4461&gt;=FILTER(Constants!$F$2:$F$10,Constants!$A$2:$A$10=A4461)))"),"")</f>
        <v/>
      </c>
    </row>
    <row r="4462">
      <c r="A4462" s="89"/>
      <c r="B4462" s="87"/>
      <c r="C4462" s="73"/>
      <c r="D4462" s="73"/>
      <c r="E4462" s="82"/>
      <c r="F4462" s="82"/>
      <c r="G4462" s="86"/>
      <c r="H4462" s="86"/>
      <c r="I4462" s="86"/>
      <c r="J4462" s="82"/>
      <c r="K4462" s="82"/>
      <c r="L4462" s="82"/>
      <c r="M4462" s="82"/>
      <c r="N4462" s="82"/>
      <c r="O4462" s="82"/>
      <c r="P4462" s="82"/>
      <c r="Q4462" s="82"/>
      <c r="R4462" s="82"/>
      <c r="S4462" s="82"/>
      <c r="T4462" s="82"/>
      <c r="U4462" s="82"/>
      <c r="V4462" s="82"/>
      <c r="W4462" s="82"/>
      <c r="X4462" s="82"/>
      <c r="Y4462" s="82"/>
      <c r="Z4462" s="82"/>
      <c r="AA4462" s="82"/>
      <c r="AB4462" s="82"/>
      <c r="AC4462" s="82"/>
      <c r="AD4462" s="82"/>
      <c r="AE4462" s="82"/>
      <c r="AF4462" s="82"/>
      <c r="AG4462" s="82"/>
      <c r="AH4462" s="82"/>
      <c r="AI4462" s="82"/>
      <c r="AJ4462" s="82"/>
      <c r="AK4462" s="82"/>
      <c r="AL4462" s="82"/>
      <c r="AM4462" s="82"/>
      <c r="AN4462" s="82"/>
      <c r="AO4462" s="82"/>
      <c r="AP4462" s="82"/>
      <c r="AQ4462" s="82"/>
      <c r="AR4462" s="82"/>
      <c r="AS4462" s="82"/>
      <c r="AT4462" s="82"/>
      <c r="AU4462" s="82"/>
      <c r="AV4462" s="82"/>
      <c r="AW4462" s="82" t="str">
        <f t="shared" si="1"/>
        <v/>
      </c>
      <c r="AX4462" s="83" t="str">
        <f t="array" ref="AX4462">IFERROR(DGET('SBV Import'!A:G,"SBV",{"RSC ID","Tier";B4462,A4462}))</f>
        <v/>
      </c>
      <c r="AY4462" s="82" t="str">
        <f t="shared" si="2"/>
        <v/>
      </c>
      <c r="AZ4462" s="82"/>
      <c r="BA4462" s="84" t="s">
        <v>152</v>
      </c>
      <c r="BB4462" s="84" t="str">
        <f>IFERROR(__xludf.DUMMYFUNCTION("iferror(if(A4462="""",,E4462&gt;=FILTER(Constants!$F$2:$F$10,Constants!$A$2:$A$10=A4462)))"),"")</f>
        <v/>
      </c>
    </row>
    <row r="4463">
      <c r="A4463" s="89"/>
      <c r="B4463" s="87"/>
      <c r="C4463" s="73"/>
      <c r="D4463" s="73"/>
      <c r="E4463" s="82"/>
      <c r="F4463" s="82"/>
      <c r="G4463" s="86"/>
      <c r="H4463" s="86"/>
      <c r="I4463" s="86"/>
      <c r="J4463" s="82"/>
      <c r="K4463" s="82"/>
      <c r="L4463" s="82"/>
      <c r="M4463" s="82"/>
      <c r="N4463" s="82"/>
      <c r="O4463" s="82"/>
      <c r="P4463" s="82"/>
      <c r="Q4463" s="82"/>
      <c r="R4463" s="82"/>
      <c r="S4463" s="82"/>
      <c r="T4463" s="82"/>
      <c r="U4463" s="82"/>
      <c r="V4463" s="82"/>
      <c r="W4463" s="82"/>
      <c r="X4463" s="82"/>
      <c r="Y4463" s="82"/>
      <c r="Z4463" s="82"/>
      <c r="AA4463" s="82"/>
      <c r="AB4463" s="82"/>
      <c r="AC4463" s="82"/>
      <c r="AD4463" s="82"/>
      <c r="AE4463" s="82"/>
      <c r="AF4463" s="82"/>
      <c r="AG4463" s="82"/>
      <c r="AH4463" s="82"/>
      <c r="AI4463" s="82"/>
      <c r="AJ4463" s="82"/>
      <c r="AK4463" s="82"/>
      <c r="AL4463" s="82"/>
      <c r="AM4463" s="82"/>
      <c r="AN4463" s="82"/>
      <c r="AO4463" s="82"/>
      <c r="AP4463" s="82"/>
      <c r="AQ4463" s="82"/>
      <c r="AR4463" s="82"/>
      <c r="AS4463" s="82"/>
      <c r="AT4463" s="82"/>
      <c r="AU4463" s="82"/>
      <c r="AV4463" s="82"/>
      <c r="AW4463" s="82" t="str">
        <f t="shared" si="1"/>
        <v/>
      </c>
      <c r="AX4463" s="83" t="str">
        <f t="array" ref="AX4463">IFERROR(DGET('SBV Import'!A:G,"SBV",{"RSC ID","Tier";B4463,A4463}))</f>
        <v/>
      </c>
      <c r="AY4463" s="82" t="str">
        <f t="shared" si="2"/>
        <v/>
      </c>
      <c r="AZ4463" s="82"/>
      <c r="BA4463" s="84" t="s">
        <v>152</v>
      </c>
      <c r="BB4463" s="84" t="str">
        <f>IFERROR(__xludf.DUMMYFUNCTION("iferror(if(A4463="""",,E4463&gt;=FILTER(Constants!$F$2:$F$10,Constants!$A$2:$A$10=A4463)))"),"")</f>
        <v/>
      </c>
    </row>
    <row r="4464">
      <c r="A4464" s="89"/>
      <c r="B4464" s="87"/>
      <c r="C4464" s="73"/>
      <c r="D4464" s="73"/>
      <c r="E4464" s="82"/>
      <c r="F4464" s="82"/>
      <c r="G4464" s="86"/>
      <c r="H4464" s="86"/>
      <c r="I4464" s="86"/>
      <c r="J4464" s="82"/>
      <c r="K4464" s="82"/>
      <c r="L4464" s="82"/>
      <c r="M4464" s="82"/>
      <c r="N4464" s="82"/>
      <c r="O4464" s="82"/>
      <c r="P4464" s="82"/>
      <c r="Q4464" s="82"/>
      <c r="R4464" s="82"/>
      <c r="S4464" s="82"/>
      <c r="T4464" s="82"/>
      <c r="U4464" s="82"/>
      <c r="V4464" s="82"/>
      <c r="W4464" s="82"/>
      <c r="X4464" s="82"/>
      <c r="Y4464" s="82"/>
      <c r="Z4464" s="82"/>
      <c r="AA4464" s="82"/>
      <c r="AB4464" s="82"/>
      <c r="AC4464" s="82"/>
      <c r="AD4464" s="82"/>
      <c r="AE4464" s="82"/>
      <c r="AF4464" s="82"/>
      <c r="AG4464" s="82"/>
      <c r="AH4464" s="82"/>
      <c r="AI4464" s="82"/>
      <c r="AJ4464" s="82"/>
      <c r="AK4464" s="82"/>
      <c r="AL4464" s="82"/>
      <c r="AM4464" s="82"/>
      <c r="AN4464" s="82"/>
      <c r="AO4464" s="82"/>
      <c r="AP4464" s="82"/>
      <c r="AQ4464" s="82"/>
      <c r="AR4464" s="82"/>
      <c r="AS4464" s="82"/>
      <c r="AT4464" s="82"/>
      <c r="AU4464" s="82"/>
      <c r="AV4464" s="82"/>
      <c r="AW4464" s="82" t="str">
        <f t="shared" si="1"/>
        <v/>
      </c>
      <c r="AX4464" s="83" t="str">
        <f t="array" ref="AX4464">IFERROR(DGET('SBV Import'!A:G,"SBV",{"RSC ID","Tier";B4464,A4464}))</f>
        <v/>
      </c>
      <c r="AY4464" s="82" t="str">
        <f t="shared" si="2"/>
        <v/>
      </c>
      <c r="AZ4464" s="82"/>
      <c r="BA4464" s="84" t="s">
        <v>152</v>
      </c>
      <c r="BB4464" s="84" t="str">
        <f>IFERROR(__xludf.DUMMYFUNCTION("iferror(if(A4464="""",,E4464&gt;=FILTER(Constants!$F$2:$F$10,Constants!$A$2:$A$10=A4464)))"),"")</f>
        <v/>
      </c>
    </row>
    <row r="4465">
      <c r="A4465" s="89"/>
      <c r="B4465" s="87"/>
      <c r="C4465" s="73"/>
      <c r="D4465" s="73"/>
      <c r="E4465" s="82"/>
      <c r="F4465" s="82"/>
      <c r="G4465" s="86"/>
      <c r="H4465" s="86"/>
      <c r="I4465" s="86"/>
      <c r="J4465" s="82"/>
      <c r="K4465" s="82"/>
      <c r="L4465" s="82"/>
      <c r="M4465" s="82"/>
      <c r="N4465" s="82"/>
      <c r="O4465" s="82"/>
      <c r="P4465" s="82"/>
      <c r="Q4465" s="82"/>
      <c r="R4465" s="82"/>
      <c r="S4465" s="82"/>
      <c r="T4465" s="82"/>
      <c r="U4465" s="82"/>
      <c r="V4465" s="82"/>
      <c r="W4465" s="82"/>
      <c r="X4465" s="82"/>
      <c r="Y4465" s="82"/>
      <c r="Z4465" s="82"/>
      <c r="AA4465" s="82"/>
      <c r="AB4465" s="82"/>
      <c r="AC4465" s="82"/>
      <c r="AD4465" s="82"/>
      <c r="AE4465" s="82"/>
      <c r="AF4465" s="82"/>
      <c r="AG4465" s="82"/>
      <c r="AH4465" s="82"/>
      <c r="AI4465" s="82"/>
      <c r="AJ4465" s="82"/>
      <c r="AK4465" s="82"/>
      <c r="AL4465" s="82"/>
      <c r="AM4465" s="82"/>
      <c r="AN4465" s="82"/>
      <c r="AO4465" s="82"/>
      <c r="AP4465" s="82"/>
      <c r="AQ4465" s="82"/>
      <c r="AR4465" s="82"/>
      <c r="AS4465" s="82"/>
      <c r="AT4465" s="82"/>
      <c r="AU4465" s="82"/>
      <c r="AV4465" s="82"/>
      <c r="AW4465" s="82" t="str">
        <f t="shared" si="1"/>
        <v/>
      </c>
      <c r="AX4465" s="83" t="str">
        <f t="array" ref="AX4465">IFERROR(DGET('SBV Import'!A:G,"SBV",{"RSC ID","Tier";B4465,A4465}))</f>
        <v/>
      </c>
      <c r="AY4465" s="82" t="str">
        <f t="shared" si="2"/>
        <v/>
      </c>
      <c r="AZ4465" s="82"/>
      <c r="BA4465" s="84" t="s">
        <v>152</v>
      </c>
      <c r="BB4465" s="84" t="str">
        <f>IFERROR(__xludf.DUMMYFUNCTION("iferror(if(A4465="""",,E4465&gt;=FILTER(Constants!$F$2:$F$10,Constants!$A$2:$A$10=A4465)))"),"")</f>
        <v/>
      </c>
    </row>
    <row r="4466">
      <c r="A4466" s="89"/>
      <c r="B4466" s="87"/>
      <c r="C4466" s="73"/>
      <c r="D4466" s="73"/>
      <c r="E4466" s="82"/>
      <c r="F4466" s="82"/>
      <c r="G4466" s="86"/>
      <c r="H4466" s="86"/>
      <c r="I4466" s="86"/>
      <c r="J4466" s="82"/>
      <c r="K4466" s="82"/>
      <c r="L4466" s="82"/>
      <c r="M4466" s="82"/>
      <c r="N4466" s="82"/>
      <c r="O4466" s="82"/>
      <c r="P4466" s="82"/>
      <c r="Q4466" s="82"/>
      <c r="R4466" s="82"/>
      <c r="S4466" s="82"/>
      <c r="T4466" s="82"/>
      <c r="U4466" s="82"/>
      <c r="V4466" s="82"/>
      <c r="W4466" s="82"/>
      <c r="X4466" s="82"/>
      <c r="Y4466" s="82"/>
      <c r="Z4466" s="82"/>
      <c r="AA4466" s="82"/>
      <c r="AB4466" s="82"/>
      <c r="AC4466" s="82"/>
      <c r="AD4466" s="82"/>
      <c r="AE4466" s="82"/>
      <c r="AF4466" s="82"/>
      <c r="AG4466" s="82"/>
      <c r="AH4466" s="82"/>
      <c r="AI4466" s="82"/>
      <c r="AJ4466" s="82"/>
      <c r="AK4466" s="82"/>
      <c r="AL4466" s="82"/>
      <c r="AM4466" s="82"/>
      <c r="AN4466" s="82"/>
      <c r="AO4466" s="82"/>
      <c r="AP4466" s="82"/>
      <c r="AQ4466" s="82"/>
      <c r="AR4466" s="82"/>
      <c r="AS4466" s="82"/>
      <c r="AT4466" s="82"/>
      <c r="AU4466" s="82"/>
      <c r="AV4466" s="82"/>
      <c r="AW4466" s="82" t="str">
        <f t="shared" si="1"/>
        <v/>
      </c>
      <c r="AX4466" s="83" t="str">
        <f t="array" ref="AX4466">IFERROR(DGET('SBV Import'!A:G,"SBV",{"RSC ID","Tier";B4466,A4466}))</f>
        <v/>
      </c>
      <c r="AY4466" s="82" t="str">
        <f t="shared" si="2"/>
        <v/>
      </c>
      <c r="AZ4466" s="82"/>
      <c r="BA4466" s="84" t="s">
        <v>152</v>
      </c>
      <c r="BB4466" s="84" t="str">
        <f>IFERROR(__xludf.DUMMYFUNCTION("iferror(if(A4466="""",,E4466&gt;=FILTER(Constants!$F$2:$F$10,Constants!$A$2:$A$10=A4466)))"),"")</f>
        <v/>
      </c>
    </row>
    <row r="4467">
      <c r="A4467" s="89"/>
      <c r="B4467" s="87"/>
      <c r="C4467" s="73"/>
      <c r="D4467" s="73"/>
      <c r="E4467" s="82"/>
      <c r="F4467" s="82"/>
      <c r="G4467" s="86"/>
      <c r="H4467" s="86"/>
      <c r="I4467" s="86"/>
      <c r="J4467" s="82"/>
      <c r="K4467" s="82"/>
      <c r="L4467" s="82"/>
      <c r="M4467" s="82"/>
      <c r="N4467" s="82"/>
      <c r="O4467" s="82"/>
      <c r="P4467" s="82"/>
      <c r="Q4467" s="82"/>
      <c r="R4467" s="82"/>
      <c r="S4467" s="82"/>
      <c r="T4467" s="82"/>
      <c r="U4467" s="82"/>
      <c r="V4467" s="82"/>
      <c r="W4467" s="82"/>
      <c r="X4467" s="82"/>
      <c r="Y4467" s="82"/>
      <c r="Z4467" s="82"/>
      <c r="AA4467" s="82"/>
      <c r="AB4467" s="82"/>
      <c r="AC4467" s="82"/>
      <c r="AD4467" s="82"/>
      <c r="AE4467" s="82"/>
      <c r="AF4467" s="82"/>
      <c r="AG4467" s="82"/>
      <c r="AH4467" s="82"/>
      <c r="AI4467" s="82"/>
      <c r="AJ4467" s="82"/>
      <c r="AK4467" s="82"/>
      <c r="AL4467" s="82"/>
      <c r="AM4467" s="82"/>
      <c r="AN4467" s="82"/>
      <c r="AO4467" s="82"/>
      <c r="AP4467" s="82"/>
      <c r="AQ4467" s="82"/>
      <c r="AR4467" s="82"/>
      <c r="AS4467" s="82"/>
      <c r="AT4467" s="82"/>
      <c r="AU4467" s="82"/>
      <c r="AV4467" s="82"/>
      <c r="AW4467" s="82" t="str">
        <f t="shared" si="1"/>
        <v/>
      </c>
      <c r="AX4467" s="83" t="str">
        <f t="array" ref="AX4467">IFERROR(DGET('SBV Import'!A:G,"SBV",{"RSC ID","Tier";B4467,A4467}))</f>
        <v/>
      </c>
      <c r="AY4467" s="82" t="str">
        <f t="shared" si="2"/>
        <v/>
      </c>
      <c r="AZ4467" s="82"/>
      <c r="BA4467" s="84" t="s">
        <v>152</v>
      </c>
      <c r="BB4467" s="84" t="str">
        <f>IFERROR(__xludf.DUMMYFUNCTION("iferror(if(A4467="""",,E4467&gt;=FILTER(Constants!$F$2:$F$10,Constants!$A$2:$A$10=A4467)))"),"")</f>
        <v/>
      </c>
    </row>
    <row r="4468">
      <c r="A4468" s="89"/>
      <c r="B4468" s="87"/>
      <c r="C4468" s="73"/>
      <c r="D4468" s="73"/>
      <c r="E4468" s="82"/>
      <c r="F4468" s="82"/>
      <c r="G4468" s="86"/>
      <c r="H4468" s="86"/>
      <c r="I4468" s="86"/>
      <c r="J4468" s="82"/>
      <c r="K4468" s="82"/>
      <c r="L4468" s="82"/>
      <c r="M4468" s="82"/>
      <c r="N4468" s="82"/>
      <c r="O4468" s="82"/>
      <c r="P4468" s="82"/>
      <c r="Q4468" s="82"/>
      <c r="R4468" s="82"/>
      <c r="S4468" s="82"/>
      <c r="T4468" s="82"/>
      <c r="U4468" s="82"/>
      <c r="V4468" s="82"/>
      <c r="W4468" s="82"/>
      <c r="X4468" s="82"/>
      <c r="Y4468" s="82"/>
      <c r="Z4468" s="82"/>
      <c r="AA4468" s="82"/>
      <c r="AB4468" s="82"/>
      <c r="AC4468" s="82"/>
      <c r="AD4468" s="82"/>
      <c r="AE4468" s="82"/>
      <c r="AF4468" s="82"/>
      <c r="AG4468" s="82"/>
      <c r="AH4468" s="82"/>
      <c r="AI4468" s="82"/>
      <c r="AJ4468" s="82"/>
      <c r="AK4468" s="82"/>
      <c r="AL4468" s="82"/>
      <c r="AM4468" s="82"/>
      <c r="AN4468" s="82"/>
      <c r="AO4468" s="82"/>
      <c r="AP4468" s="82"/>
      <c r="AQ4468" s="82"/>
      <c r="AR4468" s="82"/>
      <c r="AS4468" s="82"/>
      <c r="AT4468" s="82"/>
      <c r="AU4468" s="82"/>
      <c r="AV4468" s="82"/>
      <c r="AW4468" s="82" t="str">
        <f t="shared" si="1"/>
        <v/>
      </c>
      <c r="AX4468" s="83" t="str">
        <f t="array" ref="AX4468">IFERROR(DGET('SBV Import'!A:G,"SBV",{"RSC ID","Tier";B4468,A4468}))</f>
        <v/>
      </c>
      <c r="AY4468" s="82" t="str">
        <f t="shared" si="2"/>
        <v/>
      </c>
      <c r="AZ4468" s="82"/>
      <c r="BA4468" s="84" t="s">
        <v>152</v>
      </c>
      <c r="BB4468" s="84" t="str">
        <f>IFERROR(__xludf.DUMMYFUNCTION("iferror(if(A4468="""",,E4468&gt;=FILTER(Constants!$F$2:$F$10,Constants!$A$2:$A$10=A4468)))"),"")</f>
        <v/>
      </c>
    </row>
    <row r="4469">
      <c r="A4469" s="89"/>
      <c r="B4469" s="87"/>
      <c r="C4469" s="73"/>
      <c r="D4469" s="73"/>
      <c r="E4469" s="82"/>
      <c r="F4469" s="82"/>
      <c r="G4469" s="86"/>
      <c r="H4469" s="86"/>
      <c r="I4469" s="86"/>
      <c r="J4469" s="82"/>
      <c r="K4469" s="82"/>
      <c r="L4469" s="82"/>
      <c r="M4469" s="82"/>
      <c r="N4469" s="82"/>
      <c r="O4469" s="82"/>
      <c r="P4469" s="82"/>
      <c r="Q4469" s="82"/>
      <c r="R4469" s="82"/>
      <c r="S4469" s="82"/>
      <c r="T4469" s="82"/>
      <c r="U4469" s="82"/>
      <c r="V4469" s="82"/>
      <c r="W4469" s="82"/>
      <c r="X4469" s="82"/>
      <c r="Y4469" s="82"/>
      <c r="Z4469" s="82"/>
      <c r="AA4469" s="82"/>
      <c r="AB4469" s="82"/>
      <c r="AC4469" s="82"/>
      <c r="AD4469" s="82"/>
      <c r="AE4469" s="82"/>
      <c r="AF4469" s="82"/>
      <c r="AG4469" s="82"/>
      <c r="AH4469" s="82"/>
      <c r="AI4469" s="82"/>
      <c r="AJ4469" s="82"/>
      <c r="AK4469" s="82"/>
      <c r="AL4469" s="82"/>
      <c r="AM4469" s="82"/>
      <c r="AN4469" s="82"/>
      <c r="AO4469" s="82"/>
      <c r="AP4469" s="82"/>
      <c r="AQ4469" s="82"/>
      <c r="AR4469" s="82"/>
      <c r="AS4469" s="82"/>
      <c r="AT4469" s="82"/>
      <c r="AU4469" s="82"/>
      <c r="AV4469" s="82"/>
      <c r="AW4469" s="82" t="str">
        <f t="shared" si="1"/>
        <v/>
      </c>
      <c r="AX4469" s="83" t="str">
        <f t="array" ref="AX4469">IFERROR(DGET('SBV Import'!A:G,"SBV",{"RSC ID","Tier";B4469,A4469}))</f>
        <v/>
      </c>
      <c r="AY4469" s="82" t="str">
        <f t="shared" si="2"/>
        <v/>
      </c>
      <c r="AZ4469" s="82"/>
      <c r="BA4469" s="84" t="s">
        <v>152</v>
      </c>
      <c r="BB4469" s="84" t="str">
        <f>IFERROR(__xludf.DUMMYFUNCTION("iferror(if(A4469="""",,E4469&gt;=FILTER(Constants!$F$2:$F$10,Constants!$A$2:$A$10=A4469)))"),"")</f>
        <v/>
      </c>
    </row>
    <row r="4470">
      <c r="A4470" s="89"/>
      <c r="B4470" s="87"/>
      <c r="C4470" s="73"/>
      <c r="D4470" s="73"/>
      <c r="E4470" s="82"/>
      <c r="F4470" s="82"/>
      <c r="G4470" s="86"/>
      <c r="H4470" s="86"/>
      <c r="I4470" s="86"/>
      <c r="J4470" s="82"/>
      <c r="K4470" s="82"/>
      <c r="L4470" s="82"/>
      <c r="M4470" s="82"/>
      <c r="N4470" s="82"/>
      <c r="O4470" s="82"/>
      <c r="P4470" s="82"/>
      <c r="Q4470" s="82"/>
      <c r="R4470" s="82"/>
      <c r="S4470" s="82"/>
      <c r="T4470" s="82"/>
      <c r="U4470" s="82"/>
      <c r="V4470" s="82"/>
      <c r="W4470" s="82"/>
      <c r="X4470" s="82"/>
      <c r="Y4470" s="82"/>
      <c r="Z4470" s="82"/>
      <c r="AA4470" s="82"/>
      <c r="AB4470" s="82"/>
      <c r="AC4470" s="82"/>
      <c r="AD4470" s="82"/>
      <c r="AE4470" s="82"/>
      <c r="AF4470" s="82"/>
      <c r="AG4470" s="82"/>
      <c r="AH4470" s="82"/>
      <c r="AI4470" s="82"/>
      <c r="AJ4470" s="82"/>
      <c r="AK4470" s="82"/>
      <c r="AL4470" s="82"/>
      <c r="AM4470" s="82"/>
      <c r="AN4470" s="82"/>
      <c r="AO4470" s="82"/>
      <c r="AP4470" s="82"/>
      <c r="AQ4470" s="82"/>
      <c r="AR4470" s="82"/>
      <c r="AS4470" s="82"/>
      <c r="AT4470" s="82"/>
      <c r="AU4470" s="82"/>
      <c r="AV4470" s="82"/>
      <c r="AW4470" s="82" t="str">
        <f t="shared" si="1"/>
        <v/>
      </c>
      <c r="AX4470" s="83" t="str">
        <f t="array" ref="AX4470">IFERROR(DGET('SBV Import'!A:G,"SBV",{"RSC ID","Tier";B4470,A4470}))</f>
        <v/>
      </c>
      <c r="AY4470" s="82" t="str">
        <f t="shared" si="2"/>
        <v/>
      </c>
      <c r="AZ4470" s="82"/>
      <c r="BA4470" s="84" t="s">
        <v>152</v>
      </c>
      <c r="BB4470" s="84" t="str">
        <f>IFERROR(__xludf.DUMMYFUNCTION("iferror(if(A4470="""",,E4470&gt;=FILTER(Constants!$F$2:$F$10,Constants!$A$2:$A$10=A4470)))"),"")</f>
        <v/>
      </c>
    </row>
    <row r="4471">
      <c r="A4471" s="89"/>
      <c r="B4471" s="87"/>
      <c r="C4471" s="73"/>
      <c r="D4471" s="73"/>
      <c r="E4471" s="82"/>
      <c r="F4471" s="82"/>
      <c r="G4471" s="86"/>
      <c r="H4471" s="86"/>
      <c r="I4471" s="86"/>
      <c r="J4471" s="82"/>
      <c r="K4471" s="82"/>
      <c r="L4471" s="82"/>
      <c r="M4471" s="82"/>
      <c r="N4471" s="82"/>
      <c r="O4471" s="82"/>
      <c r="P4471" s="82"/>
      <c r="Q4471" s="82"/>
      <c r="R4471" s="82"/>
      <c r="S4471" s="82"/>
      <c r="T4471" s="82"/>
      <c r="U4471" s="82"/>
      <c r="V4471" s="82"/>
      <c r="W4471" s="82"/>
      <c r="X4471" s="82"/>
      <c r="Y4471" s="82"/>
      <c r="Z4471" s="82"/>
      <c r="AA4471" s="82"/>
      <c r="AB4471" s="82"/>
      <c r="AC4471" s="82"/>
      <c r="AD4471" s="82"/>
      <c r="AE4471" s="82"/>
      <c r="AF4471" s="82"/>
      <c r="AG4471" s="82"/>
      <c r="AH4471" s="82"/>
      <c r="AI4471" s="82"/>
      <c r="AJ4471" s="82"/>
      <c r="AK4471" s="82"/>
      <c r="AL4471" s="82"/>
      <c r="AM4471" s="82"/>
      <c r="AN4471" s="82"/>
      <c r="AO4471" s="82"/>
      <c r="AP4471" s="82"/>
      <c r="AQ4471" s="82"/>
      <c r="AR4471" s="82"/>
      <c r="AS4471" s="82"/>
      <c r="AT4471" s="82"/>
      <c r="AU4471" s="82"/>
      <c r="AV4471" s="82"/>
      <c r="AW4471" s="82" t="str">
        <f t="shared" si="1"/>
        <v/>
      </c>
      <c r="AX4471" s="83" t="str">
        <f t="array" ref="AX4471">IFERROR(DGET('SBV Import'!A:G,"SBV",{"RSC ID","Tier";B4471,A4471}))</f>
        <v/>
      </c>
      <c r="AY4471" s="82" t="str">
        <f t="shared" si="2"/>
        <v/>
      </c>
      <c r="AZ4471" s="82"/>
      <c r="BA4471" s="84" t="s">
        <v>152</v>
      </c>
      <c r="BB4471" s="84" t="str">
        <f>IFERROR(__xludf.DUMMYFUNCTION("iferror(if(A4471="""",,E4471&gt;=FILTER(Constants!$F$2:$F$10,Constants!$A$2:$A$10=A4471)))"),"")</f>
        <v/>
      </c>
    </row>
    <row r="4472">
      <c r="A4472" s="89"/>
      <c r="B4472" s="87"/>
      <c r="C4472" s="73"/>
      <c r="D4472" s="73"/>
      <c r="E4472" s="82"/>
      <c r="F4472" s="82"/>
      <c r="G4472" s="86"/>
      <c r="H4472" s="86"/>
      <c r="I4472" s="86"/>
      <c r="J4472" s="82"/>
      <c r="K4472" s="82"/>
      <c r="L4472" s="82"/>
      <c r="M4472" s="82"/>
      <c r="N4472" s="82"/>
      <c r="O4472" s="82"/>
      <c r="P4472" s="82"/>
      <c r="Q4472" s="82"/>
      <c r="R4472" s="82"/>
      <c r="S4472" s="82"/>
      <c r="T4472" s="82"/>
      <c r="U4472" s="82"/>
      <c r="V4472" s="82"/>
      <c r="W4472" s="82"/>
      <c r="X4472" s="82"/>
      <c r="Y4472" s="82"/>
      <c r="Z4472" s="82"/>
      <c r="AA4472" s="82"/>
      <c r="AB4472" s="82"/>
      <c r="AC4472" s="82"/>
      <c r="AD4472" s="82"/>
      <c r="AE4472" s="82"/>
      <c r="AF4472" s="82"/>
      <c r="AG4472" s="82"/>
      <c r="AH4472" s="82"/>
      <c r="AI4472" s="82"/>
      <c r="AJ4472" s="82"/>
      <c r="AK4472" s="82"/>
      <c r="AL4472" s="82"/>
      <c r="AM4472" s="82"/>
      <c r="AN4472" s="82"/>
      <c r="AO4472" s="82"/>
      <c r="AP4472" s="82"/>
      <c r="AQ4472" s="82"/>
      <c r="AR4472" s="82"/>
      <c r="AS4472" s="82"/>
      <c r="AT4472" s="82"/>
      <c r="AU4472" s="82"/>
      <c r="AV4472" s="82"/>
      <c r="AW4472" s="82" t="str">
        <f t="shared" si="1"/>
        <v/>
      </c>
      <c r="AX4472" s="83" t="str">
        <f t="array" ref="AX4472">IFERROR(DGET('SBV Import'!A:G,"SBV",{"RSC ID","Tier";B4472,A4472}))</f>
        <v/>
      </c>
      <c r="AY4472" s="82" t="str">
        <f t="shared" si="2"/>
        <v/>
      </c>
      <c r="AZ4472" s="82"/>
      <c r="BA4472" s="84" t="s">
        <v>152</v>
      </c>
      <c r="BB4472" s="84" t="str">
        <f>IFERROR(__xludf.DUMMYFUNCTION("iferror(if(A4472="""",,E4472&gt;=FILTER(Constants!$F$2:$F$10,Constants!$A$2:$A$10=A4472)))"),"")</f>
        <v/>
      </c>
    </row>
    <row r="4473">
      <c r="A4473" s="89"/>
      <c r="B4473" s="87"/>
      <c r="C4473" s="73"/>
      <c r="D4473" s="73"/>
      <c r="E4473" s="82"/>
      <c r="F4473" s="82"/>
      <c r="G4473" s="86"/>
      <c r="H4473" s="86"/>
      <c r="I4473" s="86"/>
      <c r="J4473" s="82"/>
      <c r="K4473" s="82"/>
      <c r="L4473" s="82"/>
      <c r="M4473" s="82"/>
      <c r="N4473" s="82"/>
      <c r="O4473" s="82"/>
      <c r="P4473" s="82"/>
      <c r="Q4473" s="82"/>
      <c r="R4473" s="82"/>
      <c r="S4473" s="82"/>
      <c r="T4473" s="82"/>
      <c r="U4473" s="82"/>
      <c r="V4473" s="82"/>
      <c r="W4473" s="82"/>
      <c r="X4473" s="82"/>
      <c r="Y4473" s="82"/>
      <c r="Z4473" s="82"/>
      <c r="AA4473" s="82"/>
      <c r="AB4473" s="82"/>
      <c r="AC4473" s="82"/>
      <c r="AD4473" s="82"/>
      <c r="AE4473" s="82"/>
      <c r="AF4473" s="82"/>
      <c r="AG4473" s="82"/>
      <c r="AH4473" s="82"/>
      <c r="AI4473" s="82"/>
      <c r="AJ4473" s="82"/>
      <c r="AK4473" s="82"/>
      <c r="AL4473" s="82"/>
      <c r="AM4473" s="82"/>
      <c r="AN4473" s="82"/>
      <c r="AO4473" s="82"/>
      <c r="AP4473" s="82"/>
      <c r="AQ4473" s="82"/>
      <c r="AR4473" s="82"/>
      <c r="AS4473" s="82"/>
      <c r="AT4473" s="82"/>
      <c r="AU4473" s="82"/>
      <c r="AV4473" s="82"/>
      <c r="AW4473" s="82" t="str">
        <f t="shared" si="1"/>
        <v/>
      </c>
      <c r="AX4473" s="83" t="str">
        <f t="array" ref="AX4473">IFERROR(DGET('SBV Import'!A:G,"SBV",{"RSC ID","Tier";B4473,A4473}))</f>
        <v/>
      </c>
      <c r="AY4473" s="82" t="str">
        <f t="shared" si="2"/>
        <v/>
      </c>
      <c r="AZ4473" s="82"/>
      <c r="BA4473" s="84" t="s">
        <v>152</v>
      </c>
      <c r="BB4473" s="84" t="str">
        <f>IFERROR(__xludf.DUMMYFUNCTION("iferror(if(A4473="""",,E4473&gt;=FILTER(Constants!$F$2:$F$10,Constants!$A$2:$A$10=A4473)))"),"")</f>
        <v/>
      </c>
    </row>
    <row r="4474">
      <c r="A4474" s="89"/>
      <c r="B4474" s="87"/>
      <c r="C4474" s="73"/>
      <c r="D4474" s="73"/>
      <c r="E4474" s="82"/>
      <c r="F4474" s="82"/>
      <c r="G4474" s="86"/>
      <c r="H4474" s="86"/>
      <c r="I4474" s="86"/>
      <c r="J4474" s="82"/>
      <c r="K4474" s="82"/>
      <c r="L4474" s="82"/>
      <c r="M4474" s="82"/>
      <c r="N4474" s="82"/>
      <c r="O4474" s="82"/>
      <c r="P4474" s="82"/>
      <c r="Q4474" s="82"/>
      <c r="R4474" s="82"/>
      <c r="S4474" s="82"/>
      <c r="T4474" s="82"/>
      <c r="U4474" s="82"/>
      <c r="V4474" s="82"/>
      <c r="W4474" s="82"/>
      <c r="X4474" s="82"/>
      <c r="Y4474" s="82"/>
      <c r="Z4474" s="82"/>
      <c r="AA4474" s="82"/>
      <c r="AB4474" s="82"/>
      <c r="AC4474" s="82"/>
      <c r="AD4474" s="82"/>
      <c r="AE4474" s="82"/>
      <c r="AF4474" s="82"/>
      <c r="AG4474" s="82"/>
      <c r="AH4474" s="82"/>
      <c r="AI4474" s="82"/>
      <c r="AJ4474" s="82"/>
      <c r="AK4474" s="82"/>
      <c r="AL4474" s="82"/>
      <c r="AM4474" s="82"/>
      <c r="AN4474" s="82"/>
      <c r="AO4474" s="82"/>
      <c r="AP4474" s="82"/>
      <c r="AQ4474" s="82"/>
      <c r="AR4474" s="82"/>
      <c r="AS4474" s="82"/>
      <c r="AT4474" s="82"/>
      <c r="AU4474" s="82"/>
      <c r="AV4474" s="82"/>
      <c r="AW4474" s="82" t="str">
        <f t="shared" si="1"/>
        <v/>
      </c>
      <c r="AX4474" s="83" t="str">
        <f t="array" ref="AX4474">IFERROR(DGET('SBV Import'!A:G,"SBV",{"RSC ID","Tier";B4474,A4474}))</f>
        <v/>
      </c>
      <c r="AY4474" s="82" t="str">
        <f t="shared" si="2"/>
        <v/>
      </c>
      <c r="AZ4474" s="82"/>
      <c r="BA4474" s="84" t="s">
        <v>152</v>
      </c>
      <c r="BB4474" s="84" t="str">
        <f>IFERROR(__xludf.DUMMYFUNCTION("iferror(if(A4474="""",,E4474&gt;=FILTER(Constants!$F$2:$F$10,Constants!$A$2:$A$10=A4474)))"),"")</f>
        <v/>
      </c>
    </row>
    <row r="4475">
      <c r="A4475" s="89"/>
      <c r="B4475" s="87"/>
      <c r="C4475" s="73"/>
      <c r="D4475" s="73"/>
      <c r="E4475" s="82"/>
      <c r="F4475" s="82"/>
      <c r="G4475" s="86"/>
      <c r="H4475" s="86"/>
      <c r="I4475" s="86"/>
      <c r="J4475" s="82"/>
      <c r="K4475" s="82"/>
      <c r="L4475" s="82"/>
      <c r="M4475" s="82"/>
      <c r="N4475" s="82"/>
      <c r="O4475" s="82"/>
      <c r="P4475" s="82"/>
      <c r="Q4475" s="82"/>
      <c r="R4475" s="82"/>
      <c r="S4475" s="82"/>
      <c r="T4475" s="82"/>
      <c r="U4475" s="82"/>
      <c r="V4475" s="82"/>
      <c r="W4475" s="82"/>
      <c r="X4475" s="82"/>
      <c r="Y4475" s="82"/>
      <c r="Z4475" s="82"/>
      <c r="AA4475" s="82"/>
      <c r="AB4475" s="82"/>
      <c r="AC4475" s="82"/>
      <c r="AD4475" s="82"/>
      <c r="AE4475" s="82"/>
      <c r="AF4475" s="82"/>
      <c r="AG4475" s="82"/>
      <c r="AH4475" s="82"/>
      <c r="AI4475" s="82"/>
      <c r="AJ4475" s="82"/>
      <c r="AK4475" s="82"/>
      <c r="AL4475" s="82"/>
      <c r="AM4475" s="82"/>
      <c r="AN4475" s="82"/>
      <c r="AO4475" s="82"/>
      <c r="AP4475" s="82"/>
      <c r="AQ4475" s="82"/>
      <c r="AR4475" s="82"/>
      <c r="AS4475" s="82"/>
      <c r="AT4475" s="82"/>
      <c r="AU4475" s="82"/>
      <c r="AV4475" s="82"/>
      <c r="AW4475" s="82" t="str">
        <f t="shared" si="1"/>
        <v/>
      </c>
      <c r="AX4475" s="83" t="str">
        <f t="array" ref="AX4475">IFERROR(DGET('SBV Import'!A:G,"SBV",{"RSC ID","Tier";B4475,A4475}))</f>
        <v/>
      </c>
      <c r="AY4475" s="82" t="str">
        <f t="shared" si="2"/>
        <v/>
      </c>
      <c r="AZ4475" s="82"/>
      <c r="BA4475" s="84" t="s">
        <v>152</v>
      </c>
      <c r="BB4475" s="84" t="str">
        <f>IFERROR(__xludf.DUMMYFUNCTION("iferror(if(A4475="""",,E4475&gt;=FILTER(Constants!$F$2:$F$10,Constants!$A$2:$A$10=A4475)))"),"")</f>
        <v/>
      </c>
    </row>
    <row r="4476">
      <c r="A4476" s="89"/>
      <c r="B4476" s="87"/>
      <c r="C4476" s="73"/>
      <c r="D4476" s="73"/>
      <c r="E4476" s="82"/>
      <c r="F4476" s="82"/>
      <c r="G4476" s="86"/>
      <c r="H4476" s="86"/>
      <c r="I4476" s="86"/>
      <c r="J4476" s="82"/>
      <c r="K4476" s="82"/>
      <c r="L4476" s="82"/>
      <c r="M4476" s="82"/>
      <c r="N4476" s="82"/>
      <c r="O4476" s="82"/>
      <c r="P4476" s="82"/>
      <c r="Q4476" s="82"/>
      <c r="R4476" s="82"/>
      <c r="S4476" s="82"/>
      <c r="T4476" s="82"/>
      <c r="U4476" s="82"/>
      <c r="V4476" s="82"/>
      <c r="W4476" s="82"/>
      <c r="X4476" s="82"/>
      <c r="Y4476" s="82"/>
      <c r="Z4476" s="82"/>
      <c r="AA4476" s="82"/>
      <c r="AB4476" s="82"/>
      <c r="AC4476" s="82"/>
      <c r="AD4476" s="82"/>
      <c r="AE4476" s="82"/>
      <c r="AF4476" s="82"/>
      <c r="AG4476" s="82"/>
      <c r="AH4476" s="82"/>
      <c r="AI4476" s="82"/>
      <c r="AJ4476" s="82"/>
      <c r="AK4476" s="82"/>
      <c r="AL4476" s="82"/>
      <c r="AM4476" s="82"/>
      <c r="AN4476" s="82"/>
      <c r="AO4476" s="82"/>
      <c r="AP4476" s="82"/>
      <c r="AQ4476" s="82"/>
      <c r="AR4476" s="82"/>
      <c r="AS4476" s="82"/>
      <c r="AT4476" s="82"/>
      <c r="AU4476" s="82"/>
      <c r="AV4476" s="82"/>
      <c r="AW4476" s="82" t="str">
        <f t="shared" si="1"/>
        <v/>
      </c>
      <c r="AX4476" s="83" t="str">
        <f t="array" ref="AX4476">IFERROR(DGET('SBV Import'!A:G,"SBV",{"RSC ID","Tier";B4476,A4476}))</f>
        <v/>
      </c>
      <c r="AY4476" s="82" t="str">
        <f t="shared" si="2"/>
        <v/>
      </c>
      <c r="AZ4476" s="82"/>
      <c r="BA4476" s="84" t="s">
        <v>152</v>
      </c>
      <c r="BB4476" s="84" t="str">
        <f>IFERROR(__xludf.DUMMYFUNCTION("iferror(if(A4476="""",,E4476&gt;=FILTER(Constants!$F$2:$F$10,Constants!$A$2:$A$10=A4476)))"),"")</f>
        <v/>
      </c>
    </row>
    <row r="4477">
      <c r="A4477" s="89"/>
      <c r="B4477" s="87"/>
      <c r="C4477" s="73"/>
      <c r="D4477" s="73"/>
      <c r="E4477" s="82"/>
      <c r="F4477" s="82"/>
      <c r="G4477" s="86"/>
      <c r="H4477" s="86"/>
      <c r="I4477" s="86"/>
      <c r="J4477" s="82"/>
      <c r="K4477" s="82"/>
      <c r="L4477" s="82"/>
      <c r="M4477" s="82"/>
      <c r="N4477" s="82"/>
      <c r="O4477" s="82"/>
      <c r="P4477" s="82"/>
      <c r="Q4477" s="82"/>
      <c r="R4477" s="82"/>
      <c r="S4477" s="82"/>
      <c r="T4477" s="82"/>
      <c r="U4477" s="82"/>
      <c r="V4477" s="82"/>
      <c r="W4477" s="82"/>
      <c r="X4477" s="82"/>
      <c r="Y4477" s="82"/>
      <c r="Z4477" s="82"/>
      <c r="AA4477" s="82"/>
      <c r="AB4477" s="82"/>
      <c r="AC4477" s="82"/>
      <c r="AD4477" s="82"/>
      <c r="AE4477" s="82"/>
      <c r="AF4477" s="82"/>
      <c r="AG4477" s="82"/>
      <c r="AH4477" s="82"/>
      <c r="AI4477" s="82"/>
      <c r="AJ4477" s="82"/>
      <c r="AK4477" s="82"/>
      <c r="AL4477" s="82"/>
      <c r="AM4477" s="82"/>
      <c r="AN4477" s="82"/>
      <c r="AO4477" s="82"/>
      <c r="AP4477" s="82"/>
      <c r="AQ4477" s="82"/>
      <c r="AR4477" s="82"/>
      <c r="AS4477" s="82"/>
      <c r="AT4477" s="82"/>
      <c r="AU4477" s="82"/>
      <c r="AV4477" s="82"/>
      <c r="AW4477" s="82" t="str">
        <f t="shared" si="1"/>
        <v/>
      </c>
      <c r="AX4477" s="83" t="str">
        <f t="array" ref="AX4477">IFERROR(DGET('SBV Import'!A:G,"SBV",{"RSC ID","Tier";B4477,A4477}))</f>
        <v/>
      </c>
      <c r="AY4477" s="82" t="str">
        <f t="shared" si="2"/>
        <v/>
      </c>
      <c r="AZ4477" s="82"/>
      <c r="BA4477" s="84" t="s">
        <v>152</v>
      </c>
      <c r="BB4477" s="84" t="str">
        <f>IFERROR(__xludf.DUMMYFUNCTION("iferror(if(A4477="""",,E4477&gt;=FILTER(Constants!$F$2:$F$10,Constants!$A$2:$A$10=A4477)))"),"")</f>
        <v/>
      </c>
    </row>
    <row r="4478">
      <c r="A4478" s="89"/>
      <c r="B4478" s="87"/>
      <c r="C4478" s="73"/>
      <c r="D4478" s="73"/>
      <c r="E4478" s="82"/>
      <c r="F4478" s="82"/>
      <c r="G4478" s="86"/>
      <c r="H4478" s="86"/>
      <c r="I4478" s="86"/>
      <c r="J4478" s="82"/>
      <c r="K4478" s="82"/>
      <c r="L4478" s="82"/>
      <c r="M4478" s="82"/>
      <c r="N4478" s="82"/>
      <c r="O4478" s="82"/>
      <c r="P4478" s="82"/>
      <c r="Q4478" s="82"/>
      <c r="R4478" s="82"/>
      <c r="S4478" s="82"/>
      <c r="T4478" s="82"/>
      <c r="U4478" s="82"/>
      <c r="V4478" s="82"/>
      <c r="W4478" s="82"/>
      <c r="X4478" s="82"/>
      <c r="Y4478" s="82"/>
      <c r="Z4478" s="82"/>
      <c r="AA4478" s="82"/>
      <c r="AB4478" s="82"/>
      <c r="AC4478" s="82"/>
      <c r="AD4478" s="82"/>
      <c r="AE4478" s="82"/>
      <c r="AF4478" s="82"/>
      <c r="AG4478" s="82"/>
      <c r="AH4478" s="82"/>
      <c r="AI4478" s="82"/>
      <c r="AJ4478" s="82"/>
      <c r="AK4478" s="82"/>
      <c r="AL4478" s="82"/>
      <c r="AM4478" s="82"/>
      <c r="AN4478" s="82"/>
      <c r="AO4478" s="82"/>
      <c r="AP4478" s="82"/>
      <c r="AQ4478" s="82"/>
      <c r="AR4478" s="82"/>
      <c r="AS4478" s="82"/>
      <c r="AT4478" s="82"/>
      <c r="AU4478" s="82"/>
      <c r="AV4478" s="82"/>
      <c r="AW4478" s="82" t="str">
        <f t="shared" si="1"/>
        <v/>
      </c>
      <c r="AX4478" s="83" t="str">
        <f t="array" ref="AX4478">IFERROR(DGET('SBV Import'!A:G,"SBV",{"RSC ID","Tier";B4478,A4478}))</f>
        <v/>
      </c>
      <c r="AY4478" s="82" t="str">
        <f t="shared" si="2"/>
        <v/>
      </c>
      <c r="AZ4478" s="82"/>
      <c r="BA4478" s="84" t="s">
        <v>152</v>
      </c>
      <c r="BB4478" s="84" t="str">
        <f>IFERROR(__xludf.DUMMYFUNCTION("iferror(if(A4478="""",,E4478&gt;=FILTER(Constants!$F$2:$F$10,Constants!$A$2:$A$10=A4478)))"),"")</f>
        <v/>
      </c>
    </row>
    <row r="4479">
      <c r="A4479" s="89"/>
      <c r="B4479" s="87"/>
      <c r="C4479" s="73"/>
      <c r="D4479" s="73"/>
      <c r="E4479" s="82"/>
      <c r="F4479" s="82"/>
      <c r="G4479" s="86"/>
      <c r="H4479" s="86"/>
      <c r="I4479" s="86"/>
      <c r="J4479" s="82"/>
      <c r="K4479" s="82"/>
      <c r="L4479" s="82"/>
      <c r="M4479" s="82"/>
      <c r="N4479" s="82"/>
      <c r="O4479" s="82"/>
      <c r="P4479" s="82"/>
      <c r="Q4479" s="82"/>
      <c r="R4479" s="82"/>
      <c r="S4479" s="82"/>
      <c r="T4479" s="82"/>
      <c r="U4479" s="82"/>
      <c r="V4479" s="82"/>
      <c r="W4479" s="82"/>
      <c r="X4479" s="82"/>
      <c r="Y4479" s="82"/>
      <c r="Z4479" s="82"/>
      <c r="AA4479" s="82"/>
      <c r="AB4479" s="82"/>
      <c r="AC4479" s="82"/>
      <c r="AD4479" s="82"/>
      <c r="AE4479" s="82"/>
      <c r="AF4479" s="82"/>
      <c r="AG4479" s="82"/>
      <c r="AH4479" s="82"/>
      <c r="AI4479" s="82"/>
      <c r="AJ4479" s="82"/>
      <c r="AK4479" s="82"/>
      <c r="AL4479" s="82"/>
      <c r="AM4479" s="82"/>
      <c r="AN4479" s="82"/>
      <c r="AO4479" s="82"/>
      <c r="AP4479" s="82"/>
      <c r="AQ4479" s="82"/>
      <c r="AR4479" s="82"/>
      <c r="AS4479" s="82"/>
      <c r="AT4479" s="82"/>
      <c r="AU4479" s="82"/>
      <c r="AV4479" s="82"/>
      <c r="AW4479" s="82" t="str">
        <f t="shared" si="1"/>
        <v/>
      </c>
      <c r="AX4479" s="83" t="str">
        <f t="array" ref="AX4479">IFERROR(DGET('SBV Import'!A:G,"SBV",{"RSC ID","Tier";B4479,A4479}))</f>
        <v/>
      </c>
      <c r="AY4479" s="82" t="str">
        <f t="shared" si="2"/>
        <v/>
      </c>
      <c r="AZ4479" s="82"/>
      <c r="BA4479" s="84" t="s">
        <v>152</v>
      </c>
      <c r="BB4479" s="84" t="str">
        <f>IFERROR(__xludf.DUMMYFUNCTION("iferror(if(A4479="""",,E4479&gt;=FILTER(Constants!$F$2:$F$10,Constants!$A$2:$A$10=A4479)))"),"")</f>
        <v/>
      </c>
    </row>
    <row r="4480">
      <c r="A4480" s="89"/>
      <c r="B4480" s="87"/>
      <c r="C4480" s="73"/>
      <c r="D4480" s="73"/>
      <c r="E4480" s="82"/>
      <c r="F4480" s="82"/>
      <c r="G4480" s="86"/>
      <c r="H4480" s="86"/>
      <c r="I4480" s="86"/>
      <c r="J4480" s="82"/>
      <c r="K4480" s="82"/>
      <c r="L4480" s="82"/>
      <c r="M4480" s="82"/>
      <c r="N4480" s="82"/>
      <c r="O4480" s="82"/>
      <c r="P4480" s="82"/>
      <c r="Q4480" s="82"/>
      <c r="R4480" s="82"/>
      <c r="S4480" s="82"/>
      <c r="T4480" s="82"/>
      <c r="U4480" s="82"/>
      <c r="V4480" s="82"/>
      <c r="W4480" s="82"/>
      <c r="X4480" s="82"/>
      <c r="Y4480" s="82"/>
      <c r="Z4480" s="82"/>
      <c r="AA4480" s="82"/>
      <c r="AB4480" s="82"/>
      <c r="AC4480" s="82"/>
      <c r="AD4480" s="82"/>
      <c r="AE4480" s="82"/>
      <c r="AF4480" s="82"/>
      <c r="AG4480" s="82"/>
      <c r="AH4480" s="82"/>
      <c r="AI4480" s="82"/>
      <c r="AJ4480" s="82"/>
      <c r="AK4480" s="82"/>
      <c r="AL4480" s="82"/>
      <c r="AM4480" s="82"/>
      <c r="AN4480" s="82"/>
      <c r="AO4480" s="82"/>
      <c r="AP4480" s="82"/>
      <c r="AQ4480" s="82"/>
      <c r="AR4480" s="82"/>
      <c r="AS4480" s="82"/>
      <c r="AT4480" s="82"/>
      <c r="AU4480" s="82"/>
      <c r="AV4480" s="82"/>
      <c r="AW4480" s="82" t="str">
        <f t="shared" si="1"/>
        <v/>
      </c>
      <c r="AX4480" s="83" t="str">
        <f t="array" ref="AX4480">IFERROR(DGET('SBV Import'!A:G,"SBV",{"RSC ID","Tier";B4480,A4480}))</f>
        <v/>
      </c>
      <c r="AY4480" s="82" t="str">
        <f t="shared" si="2"/>
        <v/>
      </c>
      <c r="AZ4480" s="82"/>
      <c r="BA4480" s="84" t="s">
        <v>152</v>
      </c>
      <c r="BB4480" s="84" t="str">
        <f>IFERROR(__xludf.DUMMYFUNCTION("iferror(if(A4480="""",,E4480&gt;=FILTER(Constants!$F$2:$F$10,Constants!$A$2:$A$10=A4480)))"),"")</f>
        <v/>
      </c>
    </row>
    <row r="4481">
      <c r="A4481" s="89"/>
      <c r="B4481" s="87"/>
      <c r="C4481" s="73"/>
      <c r="D4481" s="73"/>
      <c r="E4481" s="82"/>
      <c r="F4481" s="82"/>
      <c r="G4481" s="86"/>
      <c r="H4481" s="86"/>
      <c r="I4481" s="86"/>
      <c r="J4481" s="82"/>
      <c r="K4481" s="82"/>
      <c r="L4481" s="82"/>
      <c r="M4481" s="82"/>
      <c r="N4481" s="82"/>
      <c r="O4481" s="82"/>
      <c r="P4481" s="82"/>
      <c r="Q4481" s="82"/>
      <c r="R4481" s="82"/>
      <c r="S4481" s="82"/>
      <c r="T4481" s="82"/>
      <c r="U4481" s="82"/>
      <c r="V4481" s="82"/>
      <c r="W4481" s="82"/>
      <c r="X4481" s="82"/>
      <c r="Y4481" s="82"/>
      <c r="Z4481" s="82"/>
      <c r="AA4481" s="82"/>
      <c r="AB4481" s="82"/>
      <c r="AC4481" s="82"/>
      <c r="AD4481" s="82"/>
      <c r="AE4481" s="82"/>
      <c r="AF4481" s="82"/>
      <c r="AG4481" s="82"/>
      <c r="AH4481" s="82"/>
      <c r="AI4481" s="82"/>
      <c r="AJ4481" s="82"/>
      <c r="AK4481" s="82"/>
      <c r="AL4481" s="82"/>
      <c r="AM4481" s="82"/>
      <c r="AN4481" s="82"/>
      <c r="AO4481" s="82"/>
      <c r="AP4481" s="82"/>
      <c r="AQ4481" s="82"/>
      <c r="AR4481" s="82"/>
      <c r="AS4481" s="82"/>
      <c r="AT4481" s="82"/>
      <c r="AU4481" s="82"/>
      <c r="AV4481" s="82"/>
      <c r="AW4481" s="82" t="str">
        <f t="shared" si="1"/>
        <v/>
      </c>
      <c r="AX4481" s="83" t="str">
        <f t="array" ref="AX4481">IFERROR(DGET('SBV Import'!A:G,"SBV",{"RSC ID","Tier";B4481,A4481}))</f>
        <v/>
      </c>
      <c r="AY4481" s="82" t="str">
        <f t="shared" si="2"/>
        <v/>
      </c>
      <c r="AZ4481" s="82"/>
      <c r="BA4481" s="84" t="s">
        <v>152</v>
      </c>
      <c r="BB4481" s="84" t="str">
        <f>IFERROR(__xludf.DUMMYFUNCTION("iferror(if(A4481="""",,E4481&gt;=FILTER(Constants!$F$2:$F$10,Constants!$A$2:$A$10=A4481)))"),"")</f>
        <v/>
      </c>
    </row>
    <row r="4482">
      <c r="A4482" s="89"/>
      <c r="B4482" s="87"/>
      <c r="C4482" s="73"/>
      <c r="D4482" s="73"/>
      <c r="E4482" s="82"/>
      <c r="F4482" s="82"/>
      <c r="G4482" s="86"/>
      <c r="H4482" s="86"/>
      <c r="I4482" s="86"/>
      <c r="J4482" s="82"/>
      <c r="K4482" s="82"/>
      <c r="L4482" s="82"/>
      <c r="M4482" s="82"/>
      <c r="N4482" s="82"/>
      <c r="O4482" s="82"/>
      <c r="P4482" s="82"/>
      <c r="Q4482" s="82"/>
      <c r="R4482" s="82"/>
      <c r="S4482" s="82"/>
      <c r="T4482" s="82"/>
      <c r="U4482" s="82"/>
      <c r="V4482" s="82"/>
      <c r="W4482" s="82"/>
      <c r="X4482" s="82"/>
      <c r="Y4482" s="82"/>
      <c r="Z4482" s="82"/>
      <c r="AA4482" s="82"/>
      <c r="AB4482" s="82"/>
      <c r="AC4482" s="82"/>
      <c r="AD4482" s="82"/>
      <c r="AE4482" s="82"/>
      <c r="AF4482" s="82"/>
      <c r="AG4482" s="82"/>
      <c r="AH4482" s="82"/>
      <c r="AI4482" s="82"/>
      <c r="AJ4482" s="82"/>
      <c r="AK4482" s="82"/>
      <c r="AL4482" s="82"/>
      <c r="AM4482" s="82"/>
      <c r="AN4482" s="82"/>
      <c r="AO4482" s="82"/>
      <c r="AP4482" s="82"/>
      <c r="AQ4482" s="82"/>
      <c r="AR4482" s="82"/>
      <c r="AS4482" s="82"/>
      <c r="AT4482" s="82"/>
      <c r="AU4482" s="82"/>
      <c r="AV4482" s="82"/>
      <c r="AW4482" s="82" t="str">
        <f t="shared" si="1"/>
        <v/>
      </c>
      <c r="AX4482" s="83" t="str">
        <f t="array" ref="AX4482">IFERROR(DGET('SBV Import'!A:G,"SBV",{"RSC ID","Tier";B4482,A4482}))</f>
        <v/>
      </c>
      <c r="AY4482" s="82" t="str">
        <f t="shared" si="2"/>
        <v/>
      </c>
      <c r="AZ4482" s="82"/>
      <c r="BA4482" s="84" t="s">
        <v>152</v>
      </c>
      <c r="BB4482" s="84" t="str">
        <f>IFERROR(__xludf.DUMMYFUNCTION("iferror(if(A4482="""",,E4482&gt;=FILTER(Constants!$F$2:$F$10,Constants!$A$2:$A$10=A4482)))"),"")</f>
        <v/>
      </c>
    </row>
    <row r="4483">
      <c r="A4483" s="89"/>
      <c r="B4483" s="87"/>
      <c r="C4483" s="73"/>
      <c r="D4483" s="73"/>
      <c r="E4483" s="82"/>
      <c r="F4483" s="82"/>
      <c r="G4483" s="86"/>
      <c r="H4483" s="86"/>
      <c r="I4483" s="86"/>
      <c r="J4483" s="82"/>
      <c r="K4483" s="82"/>
      <c r="L4483" s="82"/>
      <c r="M4483" s="82"/>
      <c r="N4483" s="82"/>
      <c r="O4483" s="82"/>
      <c r="P4483" s="82"/>
      <c r="Q4483" s="82"/>
      <c r="R4483" s="82"/>
      <c r="S4483" s="82"/>
      <c r="T4483" s="82"/>
      <c r="U4483" s="82"/>
      <c r="V4483" s="82"/>
      <c r="W4483" s="82"/>
      <c r="X4483" s="82"/>
      <c r="Y4483" s="82"/>
      <c r="Z4483" s="82"/>
      <c r="AA4483" s="82"/>
      <c r="AB4483" s="82"/>
      <c r="AC4483" s="82"/>
      <c r="AD4483" s="82"/>
      <c r="AE4483" s="82"/>
      <c r="AF4483" s="82"/>
      <c r="AG4483" s="82"/>
      <c r="AH4483" s="82"/>
      <c r="AI4483" s="82"/>
      <c r="AJ4483" s="82"/>
      <c r="AK4483" s="82"/>
      <c r="AL4483" s="82"/>
      <c r="AM4483" s="82"/>
      <c r="AN4483" s="82"/>
      <c r="AO4483" s="82"/>
      <c r="AP4483" s="82"/>
      <c r="AQ4483" s="82"/>
      <c r="AR4483" s="82"/>
      <c r="AS4483" s="82"/>
      <c r="AT4483" s="82"/>
      <c r="AU4483" s="82"/>
      <c r="AV4483" s="82"/>
      <c r="AW4483" s="82" t="str">
        <f t="shared" si="1"/>
        <v/>
      </c>
      <c r="AX4483" s="83" t="str">
        <f t="array" ref="AX4483">IFERROR(DGET('SBV Import'!A:G,"SBV",{"RSC ID","Tier";B4483,A4483}))</f>
        <v/>
      </c>
      <c r="AY4483" s="82" t="str">
        <f t="shared" si="2"/>
        <v/>
      </c>
      <c r="AZ4483" s="82"/>
      <c r="BA4483" s="84" t="s">
        <v>152</v>
      </c>
      <c r="BB4483" s="84" t="str">
        <f>IFERROR(__xludf.DUMMYFUNCTION("iferror(if(A4483="""",,E4483&gt;=FILTER(Constants!$F$2:$F$10,Constants!$A$2:$A$10=A4483)))"),"")</f>
        <v/>
      </c>
    </row>
    <row r="4484">
      <c r="A4484" s="89"/>
      <c r="B4484" s="87"/>
      <c r="C4484" s="73"/>
      <c r="D4484" s="73"/>
      <c r="E4484" s="82"/>
      <c r="F4484" s="82"/>
      <c r="G4484" s="86"/>
      <c r="H4484" s="86"/>
      <c r="I4484" s="86"/>
      <c r="J4484" s="82"/>
      <c r="K4484" s="82"/>
      <c r="L4484" s="82"/>
      <c r="M4484" s="82"/>
      <c r="N4484" s="82"/>
      <c r="O4484" s="82"/>
      <c r="P4484" s="82"/>
      <c r="Q4484" s="82"/>
      <c r="R4484" s="82"/>
      <c r="S4484" s="82"/>
      <c r="T4484" s="82"/>
      <c r="U4484" s="82"/>
      <c r="V4484" s="82"/>
      <c r="W4484" s="82"/>
      <c r="X4484" s="82"/>
      <c r="Y4484" s="82"/>
      <c r="Z4484" s="82"/>
      <c r="AA4484" s="82"/>
      <c r="AB4484" s="82"/>
      <c r="AC4484" s="82"/>
      <c r="AD4484" s="82"/>
      <c r="AE4484" s="82"/>
      <c r="AF4484" s="82"/>
      <c r="AG4484" s="82"/>
      <c r="AH4484" s="82"/>
      <c r="AI4484" s="82"/>
      <c r="AJ4484" s="82"/>
      <c r="AK4484" s="82"/>
      <c r="AL4484" s="82"/>
      <c r="AM4484" s="82"/>
      <c r="AN4484" s="82"/>
      <c r="AO4484" s="82"/>
      <c r="AP4484" s="82"/>
      <c r="AQ4484" s="82"/>
      <c r="AR4484" s="82"/>
      <c r="AS4484" s="82"/>
      <c r="AT4484" s="82"/>
      <c r="AU4484" s="82"/>
      <c r="AV4484" s="82"/>
      <c r="AW4484" s="82" t="str">
        <f t="shared" si="1"/>
        <v/>
      </c>
      <c r="AX4484" s="83" t="str">
        <f t="array" ref="AX4484">IFERROR(DGET('SBV Import'!A:G,"SBV",{"RSC ID","Tier";B4484,A4484}))</f>
        <v/>
      </c>
      <c r="AY4484" s="82" t="str">
        <f t="shared" si="2"/>
        <v/>
      </c>
      <c r="AZ4484" s="82"/>
      <c r="BA4484" s="84" t="s">
        <v>152</v>
      </c>
      <c r="BB4484" s="84" t="str">
        <f>IFERROR(__xludf.DUMMYFUNCTION("iferror(if(A4484="""",,E4484&gt;=FILTER(Constants!$F$2:$F$10,Constants!$A$2:$A$10=A4484)))"),"")</f>
        <v/>
      </c>
    </row>
    <row r="4485">
      <c r="A4485" s="89"/>
      <c r="B4485" s="87"/>
      <c r="C4485" s="73"/>
      <c r="D4485" s="73"/>
      <c r="E4485" s="82"/>
      <c r="F4485" s="82"/>
      <c r="G4485" s="86"/>
      <c r="H4485" s="86"/>
      <c r="I4485" s="86"/>
      <c r="J4485" s="82"/>
      <c r="K4485" s="82"/>
      <c r="L4485" s="82"/>
      <c r="M4485" s="82"/>
      <c r="N4485" s="82"/>
      <c r="O4485" s="82"/>
      <c r="P4485" s="82"/>
      <c r="Q4485" s="82"/>
      <c r="R4485" s="82"/>
      <c r="S4485" s="82"/>
      <c r="T4485" s="82"/>
      <c r="U4485" s="82"/>
      <c r="V4485" s="82"/>
      <c r="W4485" s="82"/>
      <c r="X4485" s="82"/>
      <c r="Y4485" s="82"/>
      <c r="Z4485" s="82"/>
      <c r="AA4485" s="82"/>
      <c r="AB4485" s="82"/>
      <c r="AC4485" s="82"/>
      <c r="AD4485" s="82"/>
      <c r="AE4485" s="82"/>
      <c r="AF4485" s="82"/>
      <c r="AG4485" s="82"/>
      <c r="AH4485" s="82"/>
      <c r="AI4485" s="82"/>
      <c r="AJ4485" s="82"/>
      <c r="AK4485" s="82"/>
      <c r="AL4485" s="82"/>
      <c r="AM4485" s="82"/>
      <c r="AN4485" s="82"/>
      <c r="AO4485" s="82"/>
      <c r="AP4485" s="82"/>
      <c r="AQ4485" s="82"/>
      <c r="AR4485" s="82"/>
      <c r="AS4485" s="82"/>
      <c r="AT4485" s="82"/>
      <c r="AU4485" s="82"/>
      <c r="AV4485" s="82"/>
      <c r="AW4485" s="82" t="str">
        <f t="shared" si="1"/>
        <v/>
      </c>
      <c r="AX4485" s="83" t="str">
        <f t="array" ref="AX4485">IFERROR(DGET('SBV Import'!A:G,"SBV",{"RSC ID","Tier";B4485,A4485}))</f>
        <v/>
      </c>
      <c r="AY4485" s="82" t="str">
        <f t="shared" si="2"/>
        <v/>
      </c>
      <c r="AZ4485" s="82"/>
      <c r="BA4485" s="84" t="s">
        <v>152</v>
      </c>
      <c r="BB4485" s="84" t="str">
        <f>IFERROR(__xludf.DUMMYFUNCTION("iferror(if(A4485="""",,E4485&gt;=FILTER(Constants!$F$2:$F$10,Constants!$A$2:$A$10=A4485)))"),"")</f>
        <v/>
      </c>
    </row>
    <row r="4486">
      <c r="A4486" s="89"/>
      <c r="B4486" s="87"/>
      <c r="C4486" s="73"/>
      <c r="D4486" s="73"/>
      <c r="E4486" s="82"/>
      <c r="F4486" s="82"/>
      <c r="G4486" s="86"/>
      <c r="H4486" s="86"/>
      <c r="I4486" s="86"/>
      <c r="J4486" s="82"/>
      <c r="K4486" s="82"/>
      <c r="L4486" s="82"/>
      <c r="M4486" s="82"/>
      <c r="N4486" s="82"/>
      <c r="O4486" s="82"/>
      <c r="P4486" s="82"/>
      <c r="Q4486" s="82"/>
      <c r="R4486" s="82"/>
      <c r="S4486" s="82"/>
      <c r="T4486" s="82"/>
      <c r="U4486" s="82"/>
      <c r="V4486" s="82"/>
      <c r="W4486" s="82"/>
      <c r="X4486" s="82"/>
      <c r="Y4486" s="82"/>
      <c r="Z4486" s="82"/>
      <c r="AA4486" s="82"/>
      <c r="AB4486" s="82"/>
      <c r="AC4486" s="82"/>
      <c r="AD4486" s="82"/>
      <c r="AE4486" s="82"/>
      <c r="AF4486" s="82"/>
      <c r="AG4486" s="82"/>
      <c r="AH4486" s="82"/>
      <c r="AI4486" s="82"/>
      <c r="AJ4486" s="82"/>
      <c r="AK4486" s="82"/>
      <c r="AL4486" s="82"/>
      <c r="AM4486" s="82"/>
      <c r="AN4486" s="82"/>
      <c r="AO4486" s="82"/>
      <c r="AP4486" s="82"/>
      <c r="AQ4486" s="82"/>
      <c r="AR4486" s="82"/>
      <c r="AS4486" s="82"/>
      <c r="AT4486" s="82"/>
      <c r="AU4486" s="82"/>
      <c r="AV4486" s="82"/>
      <c r="AW4486" s="82" t="str">
        <f t="shared" si="1"/>
        <v/>
      </c>
      <c r="AX4486" s="83" t="str">
        <f t="array" ref="AX4486">IFERROR(DGET('SBV Import'!A:G,"SBV",{"RSC ID","Tier";B4486,A4486}))</f>
        <v/>
      </c>
      <c r="AY4486" s="82" t="str">
        <f t="shared" si="2"/>
        <v/>
      </c>
      <c r="AZ4486" s="82"/>
      <c r="BA4486" s="84" t="s">
        <v>152</v>
      </c>
      <c r="BB4486" s="84" t="str">
        <f>IFERROR(__xludf.DUMMYFUNCTION("iferror(if(A4486="""",,E4486&gt;=FILTER(Constants!$F$2:$F$10,Constants!$A$2:$A$10=A4486)))"),"")</f>
        <v/>
      </c>
    </row>
    <row r="4487">
      <c r="A4487" s="89"/>
      <c r="B4487" s="87"/>
      <c r="C4487" s="73"/>
      <c r="D4487" s="73"/>
      <c r="E4487" s="82"/>
      <c r="F4487" s="82"/>
      <c r="G4487" s="86"/>
      <c r="H4487" s="86"/>
      <c r="I4487" s="86"/>
      <c r="J4487" s="82"/>
      <c r="K4487" s="82"/>
      <c r="L4487" s="82"/>
      <c r="M4487" s="82"/>
      <c r="N4487" s="82"/>
      <c r="O4487" s="82"/>
      <c r="P4487" s="82"/>
      <c r="Q4487" s="82"/>
      <c r="R4487" s="82"/>
      <c r="S4487" s="82"/>
      <c r="T4487" s="82"/>
      <c r="U4487" s="82"/>
      <c r="V4487" s="82"/>
      <c r="W4487" s="82"/>
      <c r="X4487" s="82"/>
      <c r="Y4487" s="82"/>
      <c r="Z4487" s="82"/>
      <c r="AA4487" s="82"/>
      <c r="AB4487" s="82"/>
      <c r="AC4487" s="82"/>
      <c r="AD4487" s="82"/>
      <c r="AE4487" s="82"/>
      <c r="AF4487" s="82"/>
      <c r="AG4487" s="82"/>
      <c r="AH4487" s="82"/>
      <c r="AI4487" s="82"/>
      <c r="AJ4487" s="82"/>
      <c r="AK4487" s="82"/>
      <c r="AL4487" s="82"/>
      <c r="AM4487" s="82"/>
      <c r="AN4487" s="82"/>
      <c r="AO4487" s="82"/>
      <c r="AP4487" s="82"/>
      <c r="AQ4487" s="82"/>
      <c r="AR4487" s="82"/>
      <c r="AS4487" s="82"/>
      <c r="AT4487" s="82"/>
      <c r="AU4487" s="82"/>
      <c r="AV4487" s="82"/>
      <c r="AW4487" s="82" t="str">
        <f t="shared" si="1"/>
        <v/>
      </c>
      <c r="AX4487" s="83" t="str">
        <f t="array" ref="AX4487">IFERROR(DGET('SBV Import'!A:G,"SBV",{"RSC ID","Tier";B4487,A4487}))</f>
        <v/>
      </c>
      <c r="AY4487" s="82" t="str">
        <f t="shared" si="2"/>
        <v/>
      </c>
      <c r="AZ4487" s="82"/>
      <c r="BA4487" s="84" t="s">
        <v>152</v>
      </c>
      <c r="BB4487" s="84" t="str">
        <f>IFERROR(__xludf.DUMMYFUNCTION("iferror(if(A4487="""",,E4487&gt;=FILTER(Constants!$F$2:$F$10,Constants!$A$2:$A$10=A4487)))"),"")</f>
        <v/>
      </c>
    </row>
    <row r="4488">
      <c r="A4488" s="89"/>
      <c r="B4488" s="87"/>
      <c r="C4488" s="73"/>
      <c r="D4488" s="73"/>
      <c r="E4488" s="82"/>
      <c r="F4488" s="82"/>
      <c r="G4488" s="86"/>
      <c r="H4488" s="86"/>
      <c r="I4488" s="86"/>
      <c r="J4488" s="82"/>
      <c r="K4488" s="82"/>
      <c r="L4488" s="82"/>
      <c r="M4488" s="82"/>
      <c r="N4488" s="82"/>
      <c r="O4488" s="82"/>
      <c r="P4488" s="82"/>
      <c r="Q4488" s="82"/>
      <c r="R4488" s="82"/>
      <c r="S4488" s="82"/>
      <c r="T4488" s="82"/>
      <c r="U4488" s="82"/>
      <c r="V4488" s="82"/>
      <c r="W4488" s="82"/>
      <c r="X4488" s="82"/>
      <c r="Y4488" s="82"/>
      <c r="Z4488" s="82"/>
      <c r="AA4488" s="82"/>
      <c r="AB4488" s="82"/>
      <c r="AC4488" s="82"/>
      <c r="AD4488" s="82"/>
      <c r="AE4488" s="82"/>
      <c r="AF4488" s="82"/>
      <c r="AG4488" s="82"/>
      <c r="AH4488" s="82"/>
      <c r="AI4488" s="82"/>
      <c r="AJ4488" s="82"/>
      <c r="AK4488" s="82"/>
      <c r="AL4488" s="82"/>
      <c r="AM4488" s="82"/>
      <c r="AN4488" s="82"/>
      <c r="AO4488" s="82"/>
      <c r="AP4488" s="82"/>
      <c r="AQ4488" s="82"/>
      <c r="AR4488" s="82"/>
      <c r="AS4488" s="82"/>
      <c r="AT4488" s="82"/>
      <c r="AU4488" s="82"/>
      <c r="AV4488" s="82"/>
      <c r="AW4488" s="80" t="str">
        <f t="shared" si="1"/>
        <v/>
      </c>
      <c r="AX4488" s="91" t="str">
        <f t="array" ref="AX4488">IFERROR(DGET('SBV Import'!A:G,"SBV",{"RSC ID","Tier";B4488,A4488}))</f>
        <v/>
      </c>
      <c r="AY4488" s="80" t="str">
        <f t="shared" si="2"/>
        <v/>
      </c>
      <c r="AZ4488" s="80"/>
      <c r="BA4488" s="80" t="s">
        <v>152</v>
      </c>
      <c r="BB4488" s="80" t="str">
        <f>IFERROR(__xludf.DUMMYFUNCTION("iferror(if(A4488="""",,E4488&gt;=FILTER(Constants!$F$2:$F$10,Constants!$A$2:$A$10=A4488)))"),"")</f>
        <v/>
      </c>
    </row>
    <row r="4489">
      <c r="A4489" s="89"/>
      <c r="B4489" s="87"/>
      <c r="C4489" s="73"/>
      <c r="D4489" s="73"/>
      <c r="E4489" s="82"/>
      <c r="F4489" s="82"/>
      <c r="G4489" s="86"/>
      <c r="H4489" s="86"/>
      <c r="I4489" s="86"/>
      <c r="J4489" s="82"/>
      <c r="K4489" s="82"/>
      <c r="L4489" s="82"/>
      <c r="M4489" s="82"/>
      <c r="N4489" s="82"/>
      <c r="O4489" s="82"/>
      <c r="P4489" s="82"/>
      <c r="Q4489" s="82"/>
      <c r="R4489" s="82"/>
      <c r="S4489" s="82"/>
      <c r="T4489" s="82"/>
      <c r="U4489" s="82"/>
      <c r="V4489" s="82"/>
      <c r="W4489" s="82"/>
      <c r="X4489" s="82"/>
      <c r="Y4489" s="82"/>
      <c r="Z4489" s="82"/>
      <c r="AA4489" s="82"/>
      <c r="AB4489" s="82"/>
      <c r="AC4489" s="82"/>
      <c r="AD4489" s="82"/>
      <c r="AE4489" s="82"/>
      <c r="AF4489" s="82"/>
      <c r="AG4489" s="82"/>
      <c r="AH4489" s="82"/>
      <c r="AI4489" s="82"/>
      <c r="AJ4489" s="82"/>
      <c r="AK4489" s="82"/>
      <c r="AL4489" s="82"/>
      <c r="AM4489" s="82"/>
      <c r="AN4489" s="82"/>
      <c r="AO4489" s="82"/>
      <c r="AP4489" s="82"/>
      <c r="AQ4489" s="82"/>
      <c r="AR4489" s="82"/>
      <c r="AS4489" s="82"/>
      <c r="AT4489" s="82"/>
      <c r="AU4489" s="82"/>
      <c r="AV4489" s="82"/>
      <c r="AW4489" s="80" t="str">
        <f t="shared" si="1"/>
        <v/>
      </c>
      <c r="AX4489" s="91" t="str">
        <f t="array" ref="AX4489">IFERROR(DGET('SBV Import'!A:G,"SBV",{"RSC ID","Tier";B4489,A4489}))</f>
        <v/>
      </c>
      <c r="AY4489" s="80" t="str">
        <f t="shared" si="2"/>
        <v/>
      </c>
      <c r="AZ4489" s="80"/>
      <c r="BA4489" s="80" t="s">
        <v>152</v>
      </c>
      <c r="BB4489" s="80" t="str">
        <f>IFERROR(__xludf.DUMMYFUNCTION("iferror(if(A4489="""",,E4489&gt;=FILTER(Constants!$F$2:$F$10,Constants!$A$2:$A$10=A4489)))"),"")</f>
        <v/>
      </c>
    </row>
    <row r="4490">
      <c r="A4490" s="89"/>
      <c r="B4490" s="87"/>
      <c r="C4490" s="73"/>
      <c r="D4490" s="73"/>
      <c r="E4490" s="82"/>
      <c r="F4490" s="82"/>
      <c r="G4490" s="86"/>
      <c r="H4490" s="86"/>
      <c r="I4490" s="86"/>
      <c r="J4490" s="82"/>
      <c r="K4490" s="82"/>
      <c r="L4490" s="82"/>
      <c r="M4490" s="82"/>
      <c r="N4490" s="82"/>
      <c r="O4490" s="82"/>
      <c r="P4490" s="82"/>
      <c r="Q4490" s="82"/>
      <c r="R4490" s="82"/>
      <c r="S4490" s="82"/>
      <c r="T4490" s="82"/>
      <c r="U4490" s="82"/>
      <c r="V4490" s="82"/>
      <c r="W4490" s="82"/>
      <c r="X4490" s="82"/>
      <c r="Y4490" s="82"/>
      <c r="Z4490" s="82"/>
      <c r="AA4490" s="82"/>
      <c r="AB4490" s="82"/>
      <c r="AC4490" s="82"/>
      <c r="AD4490" s="82"/>
      <c r="AE4490" s="82"/>
      <c r="AF4490" s="82"/>
      <c r="AG4490" s="82"/>
      <c r="AH4490" s="82"/>
      <c r="AI4490" s="82"/>
      <c r="AJ4490" s="82"/>
      <c r="AK4490" s="82"/>
      <c r="AL4490" s="82"/>
      <c r="AM4490" s="82"/>
      <c r="AN4490" s="82"/>
      <c r="AO4490" s="82"/>
      <c r="AP4490" s="82"/>
      <c r="AQ4490" s="82"/>
      <c r="AR4490" s="82"/>
      <c r="AS4490" s="82"/>
      <c r="AT4490" s="82"/>
      <c r="AU4490" s="82"/>
      <c r="AV4490" s="82"/>
      <c r="AW4490" s="80" t="str">
        <f t="shared" si="1"/>
        <v/>
      </c>
      <c r="AX4490" s="91" t="str">
        <f t="array" ref="AX4490">IFERROR(DGET('SBV Import'!A:G,"SBV",{"RSC ID","Tier";B4490,A4490}))</f>
        <v/>
      </c>
      <c r="AY4490" s="80" t="str">
        <f t="shared" si="2"/>
        <v/>
      </c>
      <c r="AZ4490" s="80"/>
      <c r="BA4490" s="80" t="s">
        <v>152</v>
      </c>
      <c r="BB4490" s="80" t="str">
        <f>IFERROR(__xludf.DUMMYFUNCTION("iferror(if(A4490="""",,E4490&gt;=FILTER(Constants!$F$2:$F$10,Constants!$A$2:$A$10=A4490)))"),"")</f>
        <v/>
      </c>
    </row>
    <row r="4491">
      <c r="A4491" s="89"/>
      <c r="B4491" s="87"/>
      <c r="C4491" s="73"/>
      <c r="D4491" s="73"/>
      <c r="E4491" s="82"/>
      <c r="F4491" s="82"/>
      <c r="G4491" s="86"/>
      <c r="H4491" s="86"/>
      <c r="I4491" s="86"/>
      <c r="J4491" s="82"/>
      <c r="K4491" s="82"/>
      <c r="L4491" s="82"/>
      <c r="M4491" s="82"/>
      <c r="N4491" s="82"/>
      <c r="O4491" s="82"/>
      <c r="P4491" s="82"/>
      <c r="Q4491" s="82"/>
      <c r="R4491" s="82"/>
      <c r="S4491" s="82"/>
      <c r="T4491" s="82"/>
      <c r="U4491" s="82"/>
      <c r="V4491" s="82"/>
      <c r="W4491" s="82"/>
      <c r="X4491" s="82"/>
      <c r="Y4491" s="82"/>
      <c r="Z4491" s="82"/>
      <c r="AA4491" s="82"/>
      <c r="AB4491" s="82"/>
      <c r="AC4491" s="82"/>
      <c r="AD4491" s="82"/>
      <c r="AE4491" s="82"/>
      <c r="AF4491" s="82"/>
      <c r="AG4491" s="82"/>
      <c r="AH4491" s="82"/>
      <c r="AI4491" s="82"/>
      <c r="AJ4491" s="82"/>
      <c r="AK4491" s="82"/>
      <c r="AL4491" s="82"/>
      <c r="AM4491" s="82"/>
      <c r="AN4491" s="82"/>
      <c r="AO4491" s="82"/>
      <c r="AP4491" s="82"/>
      <c r="AQ4491" s="82"/>
      <c r="AR4491" s="82"/>
      <c r="AS4491" s="82"/>
      <c r="AT4491" s="82"/>
      <c r="AU4491" s="82"/>
      <c r="AV4491" s="82"/>
      <c r="AW4491" s="80" t="str">
        <f t="shared" si="1"/>
        <v/>
      </c>
      <c r="AX4491" s="91" t="str">
        <f t="array" ref="AX4491">IFERROR(DGET('SBV Import'!A:G,"SBV",{"RSC ID","Tier";B4491,A4491}))</f>
        <v/>
      </c>
      <c r="AY4491" s="80" t="str">
        <f t="shared" si="2"/>
        <v/>
      </c>
      <c r="AZ4491" s="80"/>
      <c r="BA4491" s="80" t="s">
        <v>152</v>
      </c>
      <c r="BB4491" s="80" t="str">
        <f>IFERROR(__xludf.DUMMYFUNCTION("iferror(if(A4491="""",,E4491&gt;=FILTER(Constants!$F$2:$F$10,Constants!$A$2:$A$10=A4491)))"),"")</f>
        <v/>
      </c>
    </row>
    <row r="4492">
      <c r="A4492" s="89"/>
      <c r="B4492" s="87"/>
      <c r="C4492" s="73"/>
      <c r="D4492" s="73"/>
      <c r="E4492" s="82"/>
      <c r="F4492" s="82"/>
      <c r="G4492" s="86"/>
      <c r="H4492" s="86"/>
      <c r="I4492" s="86"/>
      <c r="J4492" s="82"/>
      <c r="K4492" s="82"/>
      <c r="L4492" s="82"/>
      <c r="M4492" s="82"/>
      <c r="N4492" s="82"/>
      <c r="O4492" s="82"/>
      <c r="P4492" s="82"/>
      <c r="Q4492" s="82"/>
      <c r="R4492" s="82"/>
      <c r="S4492" s="82"/>
      <c r="T4492" s="82"/>
      <c r="U4492" s="82"/>
      <c r="V4492" s="82"/>
      <c r="W4492" s="82"/>
      <c r="X4492" s="82"/>
      <c r="Y4492" s="82"/>
      <c r="Z4492" s="82"/>
      <c r="AA4492" s="82"/>
      <c r="AB4492" s="82"/>
      <c r="AC4492" s="82"/>
      <c r="AD4492" s="82"/>
      <c r="AE4492" s="82"/>
      <c r="AF4492" s="82"/>
      <c r="AG4492" s="82"/>
      <c r="AH4492" s="82"/>
      <c r="AI4492" s="82"/>
      <c r="AJ4492" s="82"/>
      <c r="AK4492" s="82"/>
      <c r="AL4492" s="82"/>
      <c r="AM4492" s="82"/>
      <c r="AN4492" s="82"/>
      <c r="AO4492" s="82"/>
      <c r="AP4492" s="82"/>
      <c r="AQ4492" s="82"/>
      <c r="AR4492" s="82"/>
      <c r="AS4492" s="82"/>
      <c r="AT4492" s="82"/>
      <c r="AU4492" s="82"/>
      <c r="AV4492" s="82"/>
      <c r="AW4492" s="80" t="str">
        <f t="shared" si="1"/>
        <v/>
      </c>
      <c r="AX4492" s="91" t="str">
        <f t="array" ref="AX4492">IFERROR(DGET('SBV Import'!A:G,"SBV",{"RSC ID","Tier";B4492,A4492}))</f>
        <v/>
      </c>
      <c r="AY4492" s="80" t="str">
        <f t="shared" si="2"/>
        <v/>
      </c>
      <c r="AZ4492" s="80"/>
      <c r="BA4492" s="80" t="s">
        <v>152</v>
      </c>
      <c r="BB4492" s="80" t="str">
        <f>IFERROR(__xludf.DUMMYFUNCTION("iferror(if(A4492="""",,E4492&gt;=FILTER(Constants!$F$2:$F$10,Constants!$A$2:$A$10=A4492)))"),"")</f>
        <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tr">
        <f>IFERROR(__xludf.DUMMYFUNCTION("IMPORTRANGE(Constants!B1, ""'Player Stats'!A:G"")"),"RSC ID")</f>
        <v>RSC ID</v>
      </c>
      <c r="B1" s="30" t="str">
        <f>IFERROR(__xludf.DUMMYFUNCTION("""COMPUTED_VALUE"""),"Name")</f>
        <v>Name</v>
      </c>
      <c r="C1" s="30" t="str">
        <f>IFERROR(__xludf.DUMMYFUNCTION("""COMPUTED_VALUE"""),"Tier")</f>
        <v>Tier</v>
      </c>
      <c r="D1" s="30" t="str">
        <f>IFERROR(__xludf.DUMMYFUNCTION("""COMPUTED_VALUE"""),"Team(s)")</f>
        <v>Team(s)</v>
      </c>
      <c r="E1" s="30" t="str">
        <f>IFERROR(__xludf.DUMMYFUNCTION("""COMPUTED_VALUE"""),"Franchise(s)")</f>
        <v>Franchise(s)</v>
      </c>
      <c r="F1" s="30" t="str">
        <f>IFERROR(__xludf.DUMMYFUNCTION("""COMPUTED_VALUE"""),"Conference")</f>
        <v>Conference</v>
      </c>
      <c r="G1" s="30" t="str">
        <f>IFERROR(__xludf.DUMMYFUNCTION("""COMPUTED_VALUE"""),"SBV")</f>
        <v>SBV</v>
      </c>
    </row>
    <row r="2">
      <c r="A2" s="30" t="str">
        <f>IFERROR(__xludf.DUMMYFUNCTION("""COMPUTED_VALUE"""),"RSC002596")</f>
        <v>RSC002596</v>
      </c>
      <c r="B2" s="30" t="str">
        <f>IFERROR(__xludf.DUMMYFUNCTION("""COMPUTED_VALUE"""),"Jeff Wadowski")</f>
        <v>Jeff Wadowski</v>
      </c>
      <c r="C2" s="30" t="str">
        <f>IFERROR(__xludf.DUMMYFUNCTION("""COMPUTED_VALUE"""),"Prospect")</f>
        <v>Prospect</v>
      </c>
      <c r="D2" s="30" t="str">
        <f>IFERROR(__xludf.DUMMYFUNCTION("""COMPUTED_VALUE"""),"Tic Tacs")</f>
        <v>Tic Tacs</v>
      </c>
      <c r="E2" s="30" t="str">
        <f>IFERROR(__xludf.DUMMYFUNCTION("""COMPUTED_VALUE"""),"Minty Fresh")</f>
        <v>Minty Fresh</v>
      </c>
      <c r="F2" s="30" t="str">
        <f>IFERROR(__xludf.DUMMYFUNCTION("""COMPUTED_VALUE"""),"N/A")</f>
        <v>N/A</v>
      </c>
      <c r="G2" s="92">
        <f>IFERROR(__xludf.DUMMYFUNCTION("""COMPUTED_VALUE"""),55.598016164830504)</f>
        <v>55.59801616</v>
      </c>
    </row>
    <row r="3">
      <c r="A3" s="30" t="str">
        <f>IFERROR(__xludf.DUMMYFUNCTION("""COMPUTED_VALUE"""),"RSC007297")</f>
        <v>RSC007297</v>
      </c>
      <c r="B3" s="30" t="str">
        <f>IFERROR(__xludf.DUMMYFUNCTION("""COMPUTED_VALUE"""),"Marc_Byy_8")</f>
        <v>Marc_Byy_8</v>
      </c>
      <c r="C3" s="30" t="str">
        <f>IFERROR(__xludf.DUMMYFUNCTION("""COMPUTED_VALUE"""),"Prospect")</f>
        <v>Prospect</v>
      </c>
      <c r="D3" s="30" t="str">
        <f>IFERROR(__xludf.DUMMYFUNCTION("""COMPUTED_VALUE"""),"Tic Tacs")</f>
        <v>Tic Tacs</v>
      </c>
      <c r="E3" s="30" t="str">
        <f>IFERROR(__xludf.DUMMYFUNCTION("""COMPUTED_VALUE"""),"Minty Fresh")</f>
        <v>Minty Fresh</v>
      </c>
      <c r="F3" s="30" t="str">
        <f>IFERROR(__xludf.DUMMYFUNCTION("""COMPUTED_VALUE"""),"N/A")</f>
        <v>N/A</v>
      </c>
      <c r="G3" s="92">
        <f>IFERROR(__xludf.DUMMYFUNCTION("""COMPUTED_VALUE"""),66.01716020923861)</f>
        <v>66.01716021</v>
      </c>
    </row>
    <row r="4">
      <c r="A4" s="30" t="str">
        <f>IFERROR(__xludf.DUMMYFUNCTION("""COMPUTED_VALUE"""),"RSC001820")</f>
        <v>RSC001820</v>
      </c>
      <c r="B4" s="30" t="str">
        <f>IFERROR(__xludf.DUMMYFUNCTION("""COMPUTED_VALUE"""),"YourEvilTwin")</f>
        <v>YourEvilTwin</v>
      </c>
      <c r="C4" s="30" t="str">
        <f>IFERROR(__xludf.DUMMYFUNCTION("""COMPUTED_VALUE"""),"Prospect")</f>
        <v>Prospect</v>
      </c>
      <c r="D4" s="30" t="str">
        <f>IFERROR(__xludf.DUMMYFUNCTION("""COMPUTED_VALUE"""),"Tic Tacs")</f>
        <v>Tic Tacs</v>
      </c>
      <c r="E4" s="30" t="str">
        <f>IFERROR(__xludf.DUMMYFUNCTION("""COMPUTED_VALUE"""),"Minty Fresh")</f>
        <v>Minty Fresh</v>
      </c>
      <c r="F4" s="30" t="str">
        <f>IFERROR(__xludf.DUMMYFUNCTION("""COMPUTED_VALUE"""),"N/A")</f>
        <v>N/A</v>
      </c>
      <c r="G4" s="92">
        <f>IFERROR(__xludf.DUMMYFUNCTION("""COMPUTED_VALUE"""),20.92859249381651)</f>
        <v>20.92859249</v>
      </c>
    </row>
    <row r="5">
      <c r="A5" s="30" t="str">
        <f>IFERROR(__xludf.DUMMYFUNCTION("""COMPUTED_VALUE"""),"RSC005915")</f>
        <v>RSC005915</v>
      </c>
      <c r="B5" s="30" t="str">
        <f>IFERROR(__xludf.DUMMYFUNCTION("""COMPUTED_VALUE"""),"BromzaTheOldMan")</f>
        <v>BromzaTheOldMan</v>
      </c>
      <c r="C5" s="30" t="str">
        <f>IFERROR(__xludf.DUMMYFUNCTION("""COMPUTED_VALUE"""),"Prospect")</f>
        <v>Prospect</v>
      </c>
      <c r="D5" s="30" t="str">
        <f>IFERROR(__xludf.DUMMYFUNCTION("""COMPUTED_VALUE"""),"Honey Badgers")</f>
        <v>Honey Badgers</v>
      </c>
      <c r="E5" s="30" t="str">
        <f>IFERROR(__xludf.DUMMYFUNCTION("""COMPUTED_VALUE"""),"Safari")</f>
        <v>Safari</v>
      </c>
      <c r="F5" s="30" t="str">
        <f>IFERROR(__xludf.DUMMYFUNCTION("""COMPUTED_VALUE"""),"N/A")</f>
        <v>N/A</v>
      </c>
      <c r="G5" s="92">
        <f>IFERROR(__xludf.DUMMYFUNCTION("""COMPUTED_VALUE"""),72.19986652866139)</f>
        <v>72.19986653</v>
      </c>
    </row>
    <row r="6">
      <c r="A6" s="30" t="str">
        <f>IFERROR(__xludf.DUMMYFUNCTION("""COMPUTED_VALUE"""),"RSC003737")</f>
        <v>RSC003737</v>
      </c>
      <c r="B6" s="30" t="str">
        <f>IFERROR(__xludf.DUMMYFUNCTION("""COMPUTED_VALUE"""),"MeOnDisplay")</f>
        <v>MeOnDisplay</v>
      </c>
      <c r="C6" s="30" t="str">
        <f>IFERROR(__xludf.DUMMYFUNCTION("""COMPUTED_VALUE"""),"Prospect")</f>
        <v>Prospect</v>
      </c>
      <c r="D6" s="30" t="str">
        <f>IFERROR(__xludf.DUMMYFUNCTION("""COMPUTED_VALUE"""),"Honey Badgers")</f>
        <v>Honey Badgers</v>
      </c>
      <c r="E6" s="30" t="str">
        <f>IFERROR(__xludf.DUMMYFUNCTION("""COMPUTED_VALUE"""),"Safari")</f>
        <v>Safari</v>
      </c>
      <c r="F6" s="30" t="str">
        <f>IFERROR(__xludf.DUMMYFUNCTION("""COMPUTED_VALUE"""),"N/A")</f>
        <v>N/A</v>
      </c>
      <c r="G6" s="92">
        <f>IFERROR(__xludf.DUMMYFUNCTION("""COMPUTED_VALUE"""),26.609278005673577)</f>
        <v>26.60927801</v>
      </c>
    </row>
    <row r="7">
      <c r="A7" s="30" t="str">
        <f>IFERROR(__xludf.DUMMYFUNCTION("""COMPUTED_VALUE"""),"RSC004303")</f>
        <v>RSC004303</v>
      </c>
      <c r="B7" s="30" t="str">
        <f>IFERROR(__xludf.DUMMYFUNCTION("""COMPUTED_VALUE"""),"Shogun")</f>
        <v>Shogun</v>
      </c>
      <c r="C7" s="30" t="str">
        <f>IFERROR(__xludf.DUMMYFUNCTION("""COMPUTED_VALUE"""),"Prospect")</f>
        <v>Prospect</v>
      </c>
      <c r="D7" s="30" t="str">
        <f>IFERROR(__xludf.DUMMYFUNCTION("""COMPUTED_VALUE"""),"Honey Badgers")</f>
        <v>Honey Badgers</v>
      </c>
      <c r="E7" s="30" t="str">
        <f>IFERROR(__xludf.DUMMYFUNCTION("""COMPUTED_VALUE"""),"Safari")</f>
        <v>Safari</v>
      </c>
      <c r="F7" s="30" t="str">
        <f>IFERROR(__xludf.DUMMYFUNCTION("""COMPUTED_VALUE"""),"N/A")</f>
        <v>N/A</v>
      </c>
      <c r="G7" s="92">
        <f>IFERROR(__xludf.DUMMYFUNCTION("""COMPUTED_VALUE"""),42.42835299004548)</f>
        <v>42.42835299</v>
      </c>
    </row>
    <row r="8">
      <c r="A8" s="30" t="str">
        <f>IFERROR(__xludf.DUMMYFUNCTION("""COMPUTED_VALUE"""),"RSC002796")</f>
        <v>RSC002796</v>
      </c>
      <c r="B8" s="30" t="str">
        <f>IFERROR(__xludf.DUMMYFUNCTION("""COMPUTED_VALUE"""),"Carno")</f>
        <v>Carno</v>
      </c>
      <c r="C8" s="30" t="str">
        <f>IFERROR(__xludf.DUMMYFUNCTION("""COMPUTED_VALUE"""),"Prospect")</f>
        <v>Prospect</v>
      </c>
      <c r="D8" s="30" t="str">
        <f>IFERROR(__xludf.DUMMYFUNCTION("""COMPUTED_VALUE"""),"Undead")</f>
        <v>Undead</v>
      </c>
      <c r="E8" s="30" t="str">
        <f>IFERROR(__xludf.DUMMYFUNCTION("""COMPUTED_VALUE"""),"Destined")</f>
        <v>Destined</v>
      </c>
      <c r="F8" s="30" t="str">
        <f>IFERROR(__xludf.DUMMYFUNCTION("""COMPUTED_VALUE"""),"N/A")</f>
        <v>N/A</v>
      </c>
      <c r="G8" s="92">
        <f>IFERROR(__xludf.DUMMYFUNCTION("""COMPUTED_VALUE"""),34.94050931346384)</f>
        <v>34.94050931</v>
      </c>
    </row>
    <row r="9">
      <c r="A9" s="30" t="str">
        <f>IFERROR(__xludf.DUMMYFUNCTION("""COMPUTED_VALUE"""),"RSC006755")</f>
        <v>RSC006755</v>
      </c>
      <c r="B9" s="30" t="str">
        <f>IFERROR(__xludf.DUMMYFUNCTION("""COMPUTED_VALUE"""),"Fox_gt_400")</f>
        <v>Fox_gt_400</v>
      </c>
      <c r="C9" s="30" t="str">
        <f>IFERROR(__xludf.DUMMYFUNCTION("""COMPUTED_VALUE"""),"Prospect")</f>
        <v>Prospect</v>
      </c>
      <c r="D9" s="30" t="str">
        <f>IFERROR(__xludf.DUMMYFUNCTION("""COMPUTED_VALUE"""),"Undead")</f>
        <v>Undead</v>
      </c>
      <c r="E9" s="30" t="str">
        <f>IFERROR(__xludf.DUMMYFUNCTION("""COMPUTED_VALUE"""),"Destined")</f>
        <v>Destined</v>
      </c>
      <c r="F9" s="30" t="str">
        <f>IFERROR(__xludf.DUMMYFUNCTION("""COMPUTED_VALUE"""),"N/A")</f>
        <v>N/A</v>
      </c>
      <c r="G9" s="92">
        <f>IFERROR(__xludf.DUMMYFUNCTION("""COMPUTED_VALUE"""),46.609775710400136)</f>
        <v>46.60977571</v>
      </c>
    </row>
    <row r="10">
      <c r="A10" s="30" t="str">
        <f>IFERROR(__xludf.DUMMYFUNCTION("""COMPUTED_VALUE"""),"RSC007851")</f>
        <v>RSC007851</v>
      </c>
      <c r="B10" s="30" t="str">
        <f>IFERROR(__xludf.DUMMYFUNCTION("""COMPUTED_VALUE"""),"Carridripdrip")</f>
        <v>Carridripdrip</v>
      </c>
      <c r="C10" s="30" t="str">
        <f>IFERROR(__xludf.DUMMYFUNCTION("""COMPUTED_VALUE"""),"Prospect")</f>
        <v>Prospect</v>
      </c>
      <c r="D10" s="30" t="str">
        <f>IFERROR(__xludf.DUMMYFUNCTION("""COMPUTED_VALUE"""),"Undead")</f>
        <v>Undead</v>
      </c>
      <c r="E10" s="30" t="str">
        <f>IFERROR(__xludf.DUMMYFUNCTION("""COMPUTED_VALUE"""),"Destined")</f>
        <v>Destined</v>
      </c>
      <c r="F10" s="30" t="str">
        <f>IFERROR(__xludf.DUMMYFUNCTION("""COMPUTED_VALUE"""),"N/A")</f>
        <v>N/A</v>
      </c>
      <c r="G10" s="92">
        <f>IFERROR(__xludf.DUMMYFUNCTION("""COMPUTED_VALUE"""),46.95802931097698)</f>
        <v>46.95802931</v>
      </c>
    </row>
    <row r="11">
      <c r="A11" s="30" t="str">
        <f>IFERROR(__xludf.DUMMYFUNCTION("""COMPUTED_VALUE"""),"RSC007502")</f>
        <v>RSC007502</v>
      </c>
      <c r="B11" s="30" t="str">
        <f>IFERROR(__xludf.DUMMYFUNCTION("""COMPUTED_VALUE"""),"Cr1m5on_RL")</f>
        <v>Cr1m5on_RL</v>
      </c>
      <c r="C11" s="30" t="str">
        <f>IFERROR(__xludf.DUMMYFUNCTION("""COMPUTED_VALUE"""),"Prospect")</f>
        <v>Prospect</v>
      </c>
      <c r="D11" s="30" t="str">
        <f>IFERROR(__xludf.DUMMYFUNCTION("""COMPUTED_VALUE"""),"Khans")</f>
        <v>Khans</v>
      </c>
      <c r="E11" s="30" t="str">
        <f>IFERROR(__xludf.DUMMYFUNCTION("""COMPUTED_VALUE"""),"Monarchy")</f>
        <v>Monarchy</v>
      </c>
      <c r="F11" s="30" t="str">
        <f>IFERROR(__xludf.DUMMYFUNCTION("""COMPUTED_VALUE"""),"N/A")</f>
        <v>N/A</v>
      </c>
      <c r="G11" s="92">
        <f>IFERROR(__xludf.DUMMYFUNCTION("""COMPUTED_VALUE"""),40.968545191858276)</f>
        <v>40.96854519</v>
      </c>
    </row>
    <row r="12">
      <c r="A12" s="30" t="str">
        <f>IFERROR(__xludf.DUMMYFUNCTION("""COMPUTED_VALUE"""),"RSC008010")</f>
        <v>RSC008010</v>
      </c>
      <c r="B12" s="30" t="str">
        <f>IFERROR(__xludf.DUMMYFUNCTION("""COMPUTED_VALUE"""),"WamBamTYMan-")</f>
        <v>WamBamTYMan-</v>
      </c>
      <c r="C12" s="30" t="str">
        <f>IFERROR(__xludf.DUMMYFUNCTION("""COMPUTED_VALUE"""),"Prospect")</f>
        <v>Prospect</v>
      </c>
      <c r="D12" s="30" t="str">
        <f>IFERROR(__xludf.DUMMYFUNCTION("""COMPUTED_VALUE"""),"Khans")</f>
        <v>Khans</v>
      </c>
      <c r="E12" s="30" t="str">
        <f>IFERROR(__xludf.DUMMYFUNCTION("""COMPUTED_VALUE"""),"Monarchy")</f>
        <v>Monarchy</v>
      </c>
      <c r="F12" s="30" t="str">
        <f>IFERROR(__xludf.DUMMYFUNCTION("""COMPUTED_VALUE"""),"N/A")</f>
        <v>N/A</v>
      </c>
      <c r="G12" s="92">
        <f>IFERROR(__xludf.DUMMYFUNCTION("""COMPUTED_VALUE"""),51.62276429165395)</f>
        <v>51.62276429</v>
      </c>
    </row>
    <row r="13">
      <c r="A13" s="30" t="str">
        <f>IFERROR(__xludf.DUMMYFUNCTION("""COMPUTED_VALUE"""),"RSC000253")</f>
        <v>RSC000253</v>
      </c>
      <c r="B13" s="30" t="str">
        <f>IFERROR(__xludf.DUMMYFUNCTION("""COMPUTED_VALUE"""),"musah")</f>
        <v>musah</v>
      </c>
      <c r="C13" s="30" t="str">
        <f>IFERROR(__xludf.DUMMYFUNCTION("""COMPUTED_VALUE"""),"Prospect")</f>
        <v>Prospect</v>
      </c>
      <c r="D13" s="30" t="str">
        <f>IFERROR(__xludf.DUMMYFUNCTION("""COMPUTED_VALUE"""),"Khans")</f>
        <v>Khans</v>
      </c>
      <c r="E13" s="30" t="str">
        <f>IFERROR(__xludf.DUMMYFUNCTION("""COMPUTED_VALUE"""),"Monarchy")</f>
        <v>Monarchy</v>
      </c>
      <c r="F13" s="30" t="str">
        <f>IFERROR(__xludf.DUMMYFUNCTION("""COMPUTED_VALUE"""),"N/A")</f>
        <v>N/A</v>
      </c>
      <c r="G13" s="92">
        <f>IFERROR(__xludf.DUMMYFUNCTION("""COMPUTED_VALUE"""),21.017462248310544)</f>
        <v>21.01746225</v>
      </c>
    </row>
    <row r="14">
      <c r="A14" s="30" t="str">
        <f>IFERROR(__xludf.DUMMYFUNCTION("""COMPUTED_VALUE"""),"RSC007102")</f>
        <v>RSC007102</v>
      </c>
      <c r="B14" s="30" t="str">
        <f>IFERROR(__xludf.DUMMYFUNCTION("""COMPUTED_VALUE"""),"tepochtli_13")</f>
        <v>tepochtli_13</v>
      </c>
      <c r="C14" s="30" t="str">
        <f>IFERROR(__xludf.DUMMYFUNCTION("""COMPUTED_VALUE"""),"Prospect")</f>
        <v>Prospect</v>
      </c>
      <c r="D14" s="30" t="str">
        <f>IFERROR(__xludf.DUMMYFUNCTION("""COMPUTED_VALUE"""),"Poppy")</f>
        <v>Poppy</v>
      </c>
      <c r="E14" s="30" t="str">
        <f>IFERROR(__xludf.DUMMYFUNCTION("""COMPUTED_VALUE"""),"Flower Road")</f>
        <v>Flower Road</v>
      </c>
      <c r="F14" s="30" t="str">
        <f>IFERROR(__xludf.DUMMYFUNCTION("""COMPUTED_VALUE"""),"N/A")</f>
        <v>N/A</v>
      </c>
      <c r="G14" s="92">
        <f>IFERROR(__xludf.DUMMYFUNCTION("""COMPUTED_VALUE"""),20.998438061286823)</f>
        <v>20.99843806</v>
      </c>
    </row>
    <row r="15">
      <c r="A15" s="30" t="str">
        <f>IFERROR(__xludf.DUMMYFUNCTION("""COMPUTED_VALUE"""),"RSC007262")</f>
        <v>RSC007262</v>
      </c>
      <c r="B15" s="30" t="str">
        <f>IFERROR(__xludf.DUMMYFUNCTION("""COMPUTED_VALUE"""),"Vvreze")</f>
        <v>Vvreze</v>
      </c>
      <c r="C15" s="30" t="str">
        <f>IFERROR(__xludf.DUMMYFUNCTION("""COMPUTED_VALUE"""),"Prospect")</f>
        <v>Prospect</v>
      </c>
      <c r="D15" s="30" t="str">
        <f>IFERROR(__xludf.DUMMYFUNCTION("""COMPUTED_VALUE"""),"Poppy")</f>
        <v>Poppy</v>
      </c>
      <c r="E15" s="30" t="str">
        <f>IFERROR(__xludf.DUMMYFUNCTION("""COMPUTED_VALUE"""),"Flower Road")</f>
        <v>Flower Road</v>
      </c>
      <c r="F15" s="30" t="str">
        <f>IFERROR(__xludf.DUMMYFUNCTION("""COMPUTED_VALUE"""),"N/A")</f>
        <v>N/A</v>
      </c>
      <c r="G15" s="92">
        <f>IFERROR(__xludf.DUMMYFUNCTION("""COMPUTED_VALUE"""),55.8279997029726)</f>
        <v>55.8279997</v>
      </c>
    </row>
    <row r="16">
      <c r="A16" s="30" t="str">
        <f>IFERROR(__xludf.DUMMYFUNCTION("""COMPUTED_VALUE"""),"RSC007897")</f>
        <v>RSC007897</v>
      </c>
      <c r="B16" s="30" t="str">
        <f>IFERROR(__xludf.DUMMYFUNCTION("""COMPUTED_VALUE"""),"Synnicall")</f>
        <v>Synnicall</v>
      </c>
      <c r="C16" s="30" t="str">
        <f>IFERROR(__xludf.DUMMYFUNCTION("""COMPUTED_VALUE"""),"Prospect")</f>
        <v>Prospect</v>
      </c>
      <c r="D16" s="30" t="str">
        <f>IFERROR(__xludf.DUMMYFUNCTION("""COMPUTED_VALUE"""),"Poppy")</f>
        <v>Poppy</v>
      </c>
      <c r="E16" s="30" t="str">
        <f>IFERROR(__xludf.DUMMYFUNCTION("""COMPUTED_VALUE"""),"Flower Road")</f>
        <v>Flower Road</v>
      </c>
      <c r="F16" s="30" t="str">
        <f>IFERROR(__xludf.DUMMYFUNCTION("""COMPUTED_VALUE"""),"N/A")</f>
        <v>N/A</v>
      </c>
      <c r="G16" s="92">
        <f>IFERROR(__xludf.DUMMYFUNCTION("""COMPUTED_VALUE"""),52.41844962268383)</f>
        <v>52.41844962</v>
      </c>
    </row>
    <row r="17">
      <c r="A17" s="30" t="str">
        <f>IFERROR(__xludf.DUMMYFUNCTION("""COMPUTED_VALUE"""),"RSC007202")</f>
        <v>RSC007202</v>
      </c>
      <c r="B17" s="30" t="str">
        <f>IFERROR(__xludf.DUMMYFUNCTION("""COMPUTED_VALUE"""),"GreatHonda")</f>
        <v>GreatHonda</v>
      </c>
      <c r="C17" s="30" t="str">
        <f>IFERROR(__xludf.DUMMYFUNCTION("""COMPUTED_VALUE"""),"Prospect")</f>
        <v>Prospect</v>
      </c>
      <c r="D17" s="30" t="str">
        <f>IFERROR(__xludf.DUMMYFUNCTION("""COMPUTED_VALUE"""),"Horizon Highball")</f>
        <v>Horizon Highball</v>
      </c>
      <c r="E17" s="30" t="str">
        <f>IFERROR(__xludf.DUMMYFUNCTION("""COMPUTED_VALUE"""),"5 O'clock Nowhere")</f>
        <v>5 O'clock Nowhere</v>
      </c>
      <c r="F17" s="30" t="str">
        <f>IFERROR(__xludf.DUMMYFUNCTION("""COMPUTED_VALUE"""),"N/A")</f>
        <v>N/A</v>
      </c>
      <c r="G17" s="92">
        <f>IFERROR(__xludf.DUMMYFUNCTION("""COMPUTED_VALUE"""),65.24401304840443)</f>
        <v>65.24401305</v>
      </c>
    </row>
    <row r="18">
      <c r="A18" s="30" t="str">
        <f>IFERROR(__xludf.DUMMYFUNCTION("""COMPUTED_VALUE"""),"RSC007572")</f>
        <v>RSC007572</v>
      </c>
      <c r="B18" s="30" t="str">
        <f>IFERROR(__xludf.DUMMYFUNCTION("""COMPUTED_VALUE"""),"Mexalato")</f>
        <v>Mexalato</v>
      </c>
      <c r="C18" s="30" t="str">
        <f>IFERROR(__xludf.DUMMYFUNCTION("""COMPUTED_VALUE"""),"Prospect")</f>
        <v>Prospect</v>
      </c>
      <c r="D18" s="30" t="str">
        <f>IFERROR(__xludf.DUMMYFUNCTION("""COMPUTED_VALUE"""),"Horizon Highball")</f>
        <v>Horizon Highball</v>
      </c>
      <c r="E18" s="30" t="str">
        <f>IFERROR(__xludf.DUMMYFUNCTION("""COMPUTED_VALUE"""),"5 O'clock Nowhere")</f>
        <v>5 O'clock Nowhere</v>
      </c>
      <c r="F18" s="30" t="str">
        <f>IFERROR(__xludf.DUMMYFUNCTION("""COMPUTED_VALUE"""),"N/A")</f>
        <v>N/A</v>
      </c>
      <c r="G18" s="92">
        <f>IFERROR(__xludf.DUMMYFUNCTION("""COMPUTED_VALUE"""),66.87923436069707)</f>
        <v>66.87923436</v>
      </c>
    </row>
    <row r="19">
      <c r="A19" s="30" t="str">
        <f>IFERROR(__xludf.DUMMYFUNCTION("""COMPUTED_VALUE"""),"RSC006832")</f>
        <v>RSC006832</v>
      </c>
      <c r="B19" s="30" t="str">
        <f>IFERROR(__xludf.DUMMYFUNCTION("""COMPUTED_VALUE"""),"Pandaliciously")</f>
        <v>Pandaliciously</v>
      </c>
      <c r="C19" s="30" t="str">
        <f>IFERROR(__xludf.DUMMYFUNCTION("""COMPUTED_VALUE"""),"Prospect")</f>
        <v>Prospect</v>
      </c>
      <c r="D19" s="30" t="str">
        <f>IFERROR(__xludf.DUMMYFUNCTION("""COMPUTED_VALUE"""),"Horizon Highball")</f>
        <v>Horizon Highball</v>
      </c>
      <c r="E19" s="30" t="str">
        <f>IFERROR(__xludf.DUMMYFUNCTION("""COMPUTED_VALUE"""),"5 O'clock Nowhere")</f>
        <v>5 O'clock Nowhere</v>
      </c>
      <c r="F19" s="30" t="str">
        <f>IFERROR(__xludf.DUMMYFUNCTION("""COMPUTED_VALUE"""),"N/A")</f>
        <v>N/A</v>
      </c>
      <c r="G19" s="92">
        <f>IFERROR(__xludf.DUMMYFUNCTION("""COMPUTED_VALUE"""),57.07582084864939)</f>
        <v>57.07582085</v>
      </c>
    </row>
    <row r="20">
      <c r="A20" s="30" t="str">
        <f>IFERROR(__xludf.DUMMYFUNCTION("""COMPUTED_VALUE"""),"RSC005561")</f>
        <v>RSC005561</v>
      </c>
      <c r="B20" s="30" t="str">
        <f>IFERROR(__xludf.DUMMYFUNCTION("""COMPUTED_VALUE"""),"Angelofthebronx")</f>
        <v>Angelofthebronx</v>
      </c>
      <c r="C20" s="30" t="str">
        <f>IFERROR(__xludf.DUMMYFUNCTION("""COMPUTED_VALUE"""),"Prospect")</f>
        <v>Prospect</v>
      </c>
      <c r="D20" s="30" t="str">
        <f>IFERROR(__xludf.DUMMYFUNCTION("""COMPUTED_VALUE"""),"Earth")</f>
        <v>Earth</v>
      </c>
      <c r="E20" s="30" t="str">
        <f>IFERROR(__xludf.DUMMYFUNCTION("""COMPUTED_VALUE"""),"The Elements")</f>
        <v>The Elements</v>
      </c>
      <c r="F20" s="30" t="str">
        <f>IFERROR(__xludf.DUMMYFUNCTION("""COMPUTED_VALUE"""),"N/A")</f>
        <v>N/A</v>
      </c>
      <c r="G20" s="92">
        <f>IFERROR(__xludf.DUMMYFUNCTION("""COMPUTED_VALUE"""),16.63682569052326)</f>
        <v>16.63682569</v>
      </c>
    </row>
    <row r="21">
      <c r="A21" s="30" t="str">
        <f>IFERROR(__xludf.DUMMYFUNCTION("""COMPUTED_VALUE"""),"RSC003335")</f>
        <v>RSC003335</v>
      </c>
      <c r="B21" s="30" t="str">
        <f>IFERROR(__xludf.DUMMYFUNCTION("""COMPUTED_VALUE"""),"xEaglex20x")</f>
        <v>xEaglex20x</v>
      </c>
      <c r="C21" s="30" t="str">
        <f>IFERROR(__xludf.DUMMYFUNCTION("""COMPUTED_VALUE"""),"Prospect")</f>
        <v>Prospect</v>
      </c>
      <c r="D21" s="30" t="str">
        <f>IFERROR(__xludf.DUMMYFUNCTION("""COMPUTED_VALUE"""),"Earth")</f>
        <v>Earth</v>
      </c>
      <c r="E21" s="30" t="str">
        <f>IFERROR(__xludf.DUMMYFUNCTION("""COMPUTED_VALUE"""),"The Elements")</f>
        <v>The Elements</v>
      </c>
      <c r="F21" s="30" t="str">
        <f>IFERROR(__xludf.DUMMYFUNCTION("""COMPUTED_VALUE"""),"N/A")</f>
        <v>N/A</v>
      </c>
      <c r="G21" s="92">
        <f>IFERROR(__xludf.DUMMYFUNCTION("""COMPUTED_VALUE"""),48.45906367259316)</f>
        <v>48.45906367</v>
      </c>
    </row>
    <row r="22">
      <c r="A22" s="30" t="str">
        <f>IFERROR(__xludf.DUMMYFUNCTION("""COMPUTED_VALUE"""),"RSC006793")</f>
        <v>RSC006793</v>
      </c>
      <c r="B22" s="30" t="str">
        <f>IFERROR(__xludf.DUMMYFUNCTION("""COMPUTED_VALUE"""),"Yogibear8003")</f>
        <v>Yogibear8003</v>
      </c>
      <c r="C22" s="30" t="str">
        <f>IFERROR(__xludf.DUMMYFUNCTION("""COMPUTED_VALUE"""),"Prospect")</f>
        <v>Prospect</v>
      </c>
      <c r="D22" s="30" t="str">
        <f>IFERROR(__xludf.DUMMYFUNCTION("""COMPUTED_VALUE"""),"Earth")</f>
        <v>Earth</v>
      </c>
      <c r="E22" s="30" t="str">
        <f>IFERROR(__xludf.DUMMYFUNCTION("""COMPUTED_VALUE"""),"The Elements")</f>
        <v>The Elements</v>
      </c>
      <c r="F22" s="30" t="str">
        <f>IFERROR(__xludf.DUMMYFUNCTION("""COMPUTED_VALUE"""),"N/A")</f>
        <v>N/A</v>
      </c>
      <c r="G22" s="92">
        <f>IFERROR(__xludf.DUMMYFUNCTION("""COMPUTED_VALUE"""),52.48754648876308)</f>
        <v>52.48754649</v>
      </c>
    </row>
    <row r="23">
      <c r="A23" s="30" t="str">
        <f>IFERROR(__xludf.DUMMYFUNCTION("""COMPUTED_VALUE"""),"RSC007431")</f>
        <v>RSC007431</v>
      </c>
      <c r="B23" s="30" t="str">
        <f>IFERROR(__xludf.DUMMYFUNCTION("""COMPUTED_VALUE"""),"xPotatodactylx")</f>
        <v>xPotatodactylx</v>
      </c>
      <c r="C23" s="30" t="str">
        <f>IFERROR(__xludf.DUMMYFUNCTION("""COMPUTED_VALUE"""),"Prospect")</f>
        <v>Prospect</v>
      </c>
      <c r="D23" s="30" t="str">
        <f>IFERROR(__xludf.DUMMYFUNCTION("""COMPUTED_VALUE"""),"Hawaiian Pizza")</f>
        <v>Hawaiian Pizza</v>
      </c>
      <c r="E23" s="30" t="str">
        <f>IFERROR(__xludf.DUMMYFUNCTION("""COMPUTED_VALUE"""),"Fifty-Fifty Pizzeria")</f>
        <v>Fifty-Fifty Pizzeria</v>
      </c>
      <c r="F23" s="30" t="str">
        <f>IFERROR(__xludf.DUMMYFUNCTION("""COMPUTED_VALUE"""),"N/A")</f>
        <v>N/A</v>
      </c>
      <c r="G23" s="92">
        <f>IFERROR(__xludf.DUMMYFUNCTION("""COMPUTED_VALUE"""),55.2681821986175)</f>
        <v>55.2681822</v>
      </c>
    </row>
    <row r="24">
      <c r="A24" s="30" t="str">
        <f>IFERROR(__xludf.DUMMYFUNCTION("""COMPUTED_VALUE"""),"RSC006308")</f>
        <v>RSC006308</v>
      </c>
      <c r="B24" s="30" t="str">
        <f>IFERROR(__xludf.DUMMYFUNCTION("""COMPUTED_VALUE"""),"SqueezySponge")</f>
        <v>SqueezySponge</v>
      </c>
      <c r="C24" s="30" t="str">
        <f>IFERROR(__xludf.DUMMYFUNCTION("""COMPUTED_VALUE"""),"Prospect")</f>
        <v>Prospect</v>
      </c>
      <c r="D24" s="30" t="str">
        <f>IFERROR(__xludf.DUMMYFUNCTION("""COMPUTED_VALUE"""),"Hawaiian Pizza")</f>
        <v>Hawaiian Pizza</v>
      </c>
      <c r="E24" s="30" t="str">
        <f>IFERROR(__xludf.DUMMYFUNCTION("""COMPUTED_VALUE"""),"Fifty-Fifty Pizzeria")</f>
        <v>Fifty-Fifty Pizzeria</v>
      </c>
      <c r="F24" s="30" t="str">
        <f>IFERROR(__xludf.DUMMYFUNCTION("""COMPUTED_VALUE"""),"N/A")</f>
        <v>N/A</v>
      </c>
      <c r="G24" s="92">
        <f>IFERROR(__xludf.DUMMYFUNCTION("""COMPUTED_VALUE"""),59.90725964718912)</f>
        <v>59.90725965</v>
      </c>
    </row>
    <row r="25">
      <c r="A25" s="30" t="str">
        <f>IFERROR(__xludf.DUMMYFUNCTION("""COMPUTED_VALUE"""),"RSC000962")</f>
        <v>RSC000962</v>
      </c>
      <c r="B25" s="30" t="str">
        <f>IFERROR(__xludf.DUMMYFUNCTION("""COMPUTED_VALUE"""),"pythagorjags")</f>
        <v>pythagorjags</v>
      </c>
      <c r="C25" s="30" t="str">
        <f>IFERROR(__xludf.DUMMYFUNCTION("""COMPUTED_VALUE"""),"Prospect")</f>
        <v>Prospect</v>
      </c>
      <c r="D25" s="30" t="str">
        <f>IFERROR(__xludf.DUMMYFUNCTION("""COMPUTED_VALUE"""),"Hawaiian Pizza")</f>
        <v>Hawaiian Pizza</v>
      </c>
      <c r="E25" s="30" t="str">
        <f>IFERROR(__xludf.DUMMYFUNCTION("""COMPUTED_VALUE"""),"Fifty-Fifty Pizzeria")</f>
        <v>Fifty-Fifty Pizzeria</v>
      </c>
      <c r="F25" s="30" t="str">
        <f>IFERROR(__xludf.DUMMYFUNCTION("""COMPUTED_VALUE"""),"N/A")</f>
        <v>N/A</v>
      </c>
      <c r="G25" s="92">
        <f>IFERROR(__xludf.DUMMYFUNCTION("""COMPUTED_VALUE"""),67.15807421364921)</f>
        <v>67.15807421</v>
      </c>
    </row>
    <row r="26">
      <c r="A26" s="30" t="str">
        <f>IFERROR(__xludf.DUMMYFUNCTION("""COMPUTED_VALUE"""),"RSC007423")</f>
        <v>RSC007423</v>
      </c>
      <c r="B26" s="30" t="str">
        <f>IFERROR(__xludf.DUMMYFUNCTION("""COMPUTED_VALUE"""),"Valuedsquash465")</f>
        <v>Valuedsquash465</v>
      </c>
      <c r="C26" s="30" t="str">
        <f>IFERROR(__xludf.DUMMYFUNCTION("""COMPUTED_VALUE"""),"Prospect")</f>
        <v>Prospect</v>
      </c>
      <c r="D26" s="30" t="str">
        <f>IFERROR(__xludf.DUMMYFUNCTION("""COMPUTED_VALUE"""),"Tic Tacs")</f>
        <v>Tic Tacs</v>
      </c>
      <c r="E26" s="30" t="str">
        <f>IFERROR(__xludf.DUMMYFUNCTION("""COMPUTED_VALUE"""),"Minty Fresh")</f>
        <v>Minty Fresh</v>
      </c>
      <c r="F26" s="30" t="str">
        <f>IFERROR(__xludf.DUMMYFUNCTION("""COMPUTED_VALUE"""),"N/A")</f>
        <v>N/A</v>
      </c>
      <c r="G26" s="92">
        <f>IFERROR(__xludf.DUMMYFUNCTION("""COMPUTED_VALUE"""),49.57942589640783)</f>
        <v>49.5794259</v>
      </c>
    </row>
    <row r="27">
      <c r="A27" s="30" t="str">
        <f>IFERROR(__xludf.DUMMYFUNCTION("""COMPUTED_VALUE"""),"RSC005139")</f>
        <v>RSC005139</v>
      </c>
      <c r="B27" s="30" t="str">
        <f>IFERROR(__xludf.DUMMYFUNCTION("""COMPUTED_VALUE"""),"brillo_padd")</f>
        <v>brillo_padd</v>
      </c>
      <c r="C27" s="30" t="str">
        <f>IFERROR(__xludf.DUMMYFUNCTION("""COMPUTED_VALUE"""),"Prospect")</f>
        <v>Prospect</v>
      </c>
      <c r="D27" s="30" t="str">
        <f>IFERROR(__xludf.DUMMYFUNCTION("""COMPUTED_VALUE"""),"Principales")</f>
        <v>Principales</v>
      </c>
      <c r="E27" s="30" t="str">
        <f>IFERROR(__xludf.DUMMYFUNCTION("""COMPUTED_VALUE"""),"The Sovereign")</f>
        <v>The Sovereign</v>
      </c>
      <c r="F27" s="30" t="str">
        <f>IFERROR(__xludf.DUMMYFUNCTION("""COMPUTED_VALUE"""),"N/A")</f>
        <v>N/A</v>
      </c>
      <c r="G27" s="92">
        <f>IFERROR(__xludf.DUMMYFUNCTION("""COMPUTED_VALUE"""),47.72453193617054)</f>
        <v>47.72453194</v>
      </c>
    </row>
    <row r="28">
      <c r="A28" s="30" t="str">
        <f>IFERROR(__xludf.DUMMYFUNCTION("""COMPUTED_VALUE"""),"RSC006416")</f>
        <v>RSC006416</v>
      </c>
      <c r="B28" s="30" t="str">
        <f>IFERROR(__xludf.DUMMYFUNCTION("""COMPUTED_VALUE"""),"StaRazor")</f>
        <v>StaRazor</v>
      </c>
      <c r="C28" s="30" t="str">
        <f>IFERROR(__xludf.DUMMYFUNCTION("""COMPUTED_VALUE"""),"Prospect")</f>
        <v>Prospect</v>
      </c>
      <c r="D28" s="30" t="str">
        <f>IFERROR(__xludf.DUMMYFUNCTION("""COMPUTED_VALUE"""),"Principales")</f>
        <v>Principales</v>
      </c>
      <c r="E28" s="30" t="str">
        <f>IFERROR(__xludf.DUMMYFUNCTION("""COMPUTED_VALUE"""),"The Sovereign")</f>
        <v>The Sovereign</v>
      </c>
      <c r="F28" s="30" t="str">
        <f>IFERROR(__xludf.DUMMYFUNCTION("""COMPUTED_VALUE"""),"N/A")</f>
        <v>N/A</v>
      </c>
      <c r="G28" s="92">
        <f>IFERROR(__xludf.DUMMYFUNCTION("""COMPUTED_VALUE"""),31.480871243542925)</f>
        <v>31.48087124</v>
      </c>
    </row>
    <row r="29">
      <c r="A29" s="30" t="str">
        <f>IFERROR(__xludf.DUMMYFUNCTION("""COMPUTED_VALUE"""),"RSC005136")</f>
        <v>RSC005136</v>
      </c>
      <c r="B29" s="30" t="str">
        <f>IFERROR(__xludf.DUMMYFUNCTION("""COMPUTED_VALUE"""),"tdogplayz")</f>
        <v>tdogplayz</v>
      </c>
      <c r="C29" s="30" t="str">
        <f>IFERROR(__xludf.DUMMYFUNCTION("""COMPUTED_VALUE"""),"Prospect")</f>
        <v>Prospect</v>
      </c>
      <c r="D29" s="30" t="str">
        <f>IFERROR(__xludf.DUMMYFUNCTION("""COMPUTED_VALUE"""),"Principales")</f>
        <v>Principales</v>
      </c>
      <c r="E29" s="30" t="str">
        <f>IFERROR(__xludf.DUMMYFUNCTION("""COMPUTED_VALUE"""),"The Sovereign")</f>
        <v>The Sovereign</v>
      </c>
      <c r="F29" s="30" t="str">
        <f>IFERROR(__xludf.DUMMYFUNCTION("""COMPUTED_VALUE"""),"N/A")</f>
        <v>N/A</v>
      </c>
      <c r="G29" s="92">
        <f>IFERROR(__xludf.DUMMYFUNCTION("""COMPUTED_VALUE"""),43.4679709388263)</f>
        <v>43.46797094</v>
      </c>
    </row>
    <row r="30">
      <c r="A30" s="30" t="str">
        <f>IFERROR(__xludf.DUMMYFUNCTION("""COMPUTED_VALUE"""),"RSC006495")</f>
        <v>RSC006495</v>
      </c>
      <c r="B30" s="30" t="str">
        <f>IFERROR(__xludf.DUMMYFUNCTION("""COMPUTED_VALUE"""),"Hype.56")</f>
        <v>Hype.56</v>
      </c>
      <c r="C30" s="30" t="str">
        <f>IFERROR(__xludf.DUMMYFUNCTION("""COMPUTED_VALUE"""),"Prospect")</f>
        <v>Prospect</v>
      </c>
      <c r="D30" s="30" t="str">
        <f>IFERROR(__xludf.DUMMYFUNCTION("""COMPUTED_VALUE"""),"Prism Proteges")</f>
        <v>Prism Proteges</v>
      </c>
      <c r="E30" s="30" t="str">
        <f>IFERROR(__xludf.DUMMYFUNCTION("""COMPUTED_VALUE"""),"Art Club")</f>
        <v>Art Club</v>
      </c>
      <c r="F30" s="30" t="str">
        <f>IFERROR(__xludf.DUMMYFUNCTION("""COMPUTED_VALUE"""),"N/A")</f>
        <v>N/A</v>
      </c>
      <c r="G30" s="92">
        <f>IFERROR(__xludf.DUMMYFUNCTION("""COMPUTED_VALUE"""),43.92030338208255)</f>
        <v>43.92030338</v>
      </c>
    </row>
    <row r="31">
      <c r="A31" s="30" t="str">
        <f>IFERROR(__xludf.DUMMYFUNCTION("""COMPUTED_VALUE"""),"RSC006586")</f>
        <v>RSC006586</v>
      </c>
      <c r="B31" s="30" t="str">
        <f>IFERROR(__xludf.DUMMYFUNCTION("""COMPUTED_VALUE"""),"dino_chick3n")</f>
        <v>dino_chick3n</v>
      </c>
      <c r="C31" s="30" t="str">
        <f>IFERROR(__xludf.DUMMYFUNCTION("""COMPUTED_VALUE"""),"Prospect")</f>
        <v>Prospect</v>
      </c>
      <c r="D31" s="30" t="str">
        <f>IFERROR(__xludf.DUMMYFUNCTION("""COMPUTED_VALUE"""),"Prism Proteges")</f>
        <v>Prism Proteges</v>
      </c>
      <c r="E31" s="30" t="str">
        <f>IFERROR(__xludf.DUMMYFUNCTION("""COMPUTED_VALUE"""),"Art Club")</f>
        <v>Art Club</v>
      </c>
      <c r="F31" s="30" t="str">
        <f>IFERROR(__xludf.DUMMYFUNCTION("""COMPUTED_VALUE"""),"N/A")</f>
        <v>N/A</v>
      </c>
      <c r="G31" s="92">
        <f>IFERROR(__xludf.DUMMYFUNCTION("""COMPUTED_VALUE"""),55.250005026947875)</f>
        <v>55.25000503</v>
      </c>
    </row>
    <row r="32">
      <c r="A32" s="30" t="str">
        <f>IFERROR(__xludf.DUMMYFUNCTION("""COMPUTED_VALUE"""),"RSC005608")</f>
        <v>RSC005608</v>
      </c>
      <c r="B32" s="30" t="str">
        <f>IFERROR(__xludf.DUMMYFUNCTION("""COMPUTED_VALUE"""),"wolverine36535")</f>
        <v>wolverine36535</v>
      </c>
      <c r="C32" s="30" t="str">
        <f>IFERROR(__xludf.DUMMYFUNCTION("""COMPUTED_VALUE"""),"Prospect")</f>
        <v>Prospect</v>
      </c>
      <c r="D32" s="30" t="str">
        <f>IFERROR(__xludf.DUMMYFUNCTION("""COMPUTED_VALUE"""),"Prism Proteges")</f>
        <v>Prism Proteges</v>
      </c>
      <c r="E32" s="30" t="str">
        <f>IFERROR(__xludf.DUMMYFUNCTION("""COMPUTED_VALUE"""),"Art Club")</f>
        <v>Art Club</v>
      </c>
      <c r="F32" s="30" t="str">
        <f>IFERROR(__xludf.DUMMYFUNCTION("""COMPUTED_VALUE"""),"N/A")</f>
        <v>N/A</v>
      </c>
      <c r="G32" s="92">
        <f>IFERROR(__xludf.DUMMYFUNCTION("""COMPUTED_VALUE"""),39.79417737224627)</f>
        <v>39.79417737</v>
      </c>
    </row>
    <row r="33">
      <c r="A33" s="30" t="str">
        <f>IFERROR(__xludf.DUMMYFUNCTION("""COMPUTED_VALUE"""),"RSC002736")</f>
        <v>RSC002736</v>
      </c>
      <c r="B33" s="30" t="str">
        <f>IFERROR(__xludf.DUMMYFUNCTION("""COMPUTED_VALUE"""),"chulainn")</f>
        <v>chulainn</v>
      </c>
      <c r="C33" s="30" t="str">
        <f>IFERROR(__xludf.DUMMYFUNCTION("""COMPUTED_VALUE"""),"Prospect")</f>
        <v>Prospect</v>
      </c>
      <c r="D33" s="30" t="str">
        <f>IFERROR(__xludf.DUMMYFUNCTION("""COMPUTED_VALUE"""),"Earth")</f>
        <v>Earth</v>
      </c>
      <c r="E33" s="30" t="str">
        <f>IFERROR(__xludf.DUMMYFUNCTION("""COMPUTED_VALUE"""),"The Elements")</f>
        <v>The Elements</v>
      </c>
      <c r="F33" s="30" t="str">
        <f>IFERROR(__xludf.DUMMYFUNCTION("""COMPUTED_VALUE"""),"N/A")</f>
        <v>N/A</v>
      </c>
      <c r="G33" s="92">
        <f>IFERROR(__xludf.DUMMYFUNCTION("""COMPUTED_VALUE"""),81.02909404184985)</f>
        <v>81.02909404</v>
      </c>
    </row>
    <row r="34">
      <c r="A34" s="30" t="str">
        <f>IFERROR(__xludf.DUMMYFUNCTION("""COMPUTED_VALUE"""),"RSC004012")</f>
        <v>RSC004012</v>
      </c>
      <c r="B34" s="30" t="str">
        <f>IFERROR(__xludf.DUMMYFUNCTION("""COMPUTED_VALUE"""),"kgfan3")</f>
        <v>kgfan3</v>
      </c>
      <c r="C34" s="30" t="str">
        <f>IFERROR(__xludf.DUMMYFUNCTION("""COMPUTED_VALUE"""),"Prospect")</f>
        <v>Prospect</v>
      </c>
      <c r="D34" s="30" t="str">
        <f>IFERROR(__xludf.DUMMYFUNCTION("""COMPUTED_VALUE"""),"Undead")</f>
        <v>Undead</v>
      </c>
      <c r="E34" s="30" t="str">
        <f>IFERROR(__xludf.DUMMYFUNCTION("""COMPUTED_VALUE"""),"Destined")</f>
        <v>Destined</v>
      </c>
      <c r="F34" s="30" t="str">
        <f>IFERROR(__xludf.DUMMYFUNCTION("""COMPUTED_VALUE"""),"N/A")</f>
        <v>N/A</v>
      </c>
      <c r="G34" s="92">
        <f>IFERROR(__xludf.DUMMYFUNCTION("""COMPUTED_VALUE"""),26.329540894106874)</f>
        <v>26.32954089</v>
      </c>
    </row>
    <row r="35">
      <c r="A35" s="30" t="str">
        <f>IFERROR(__xludf.DUMMYFUNCTION("""COMPUTED_VALUE"""),"RSC007189")</f>
        <v>RSC007189</v>
      </c>
      <c r="B35" s="30" t="str">
        <f>IFERROR(__xludf.DUMMYFUNCTION("""COMPUTED_VALUE"""),"RU_Fluffy")</f>
        <v>RU_Fluffy</v>
      </c>
      <c r="C35" s="30" t="str">
        <f>IFERROR(__xludf.DUMMYFUNCTION("""COMPUTED_VALUE"""),"Prospect")</f>
        <v>Prospect</v>
      </c>
      <c r="D35" s="30" t="str">
        <f>IFERROR(__xludf.DUMMYFUNCTION("""COMPUTED_VALUE"""),"Khans")</f>
        <v>Khans</v>
      </c>
      <c r="E35" s="30" t="str">
        <f>IFERROR(__xludf.DUMMYFUNCTION("""COMPUTED_VALUE"""),"Monarchy")</f>
        <v>Monarchy</v>
      </c>
      <c r="F35" s="30" t="str">
        <f>IFERROR(__xludf.DUMMYFUNCTION("""COMPUTED_VALUE"""),"N/A")</f>
        <v>N/A</v>
      </c>
      <c r="G35" s="92">
        <f>IFERROR(__xludf.DUMMYFUNCTION("""COMPUTED_VALUE"""),28.28678176924194)</f>
        <v>28.28678177</v>
      </c>
    </row>
    <row r="36">
      <c r="A36" s="30" t="str">
        <f>IFERROR(__xludf.DUMMYFUNCTION("""COMPUTED_VALUE"""),"RSC003295")</f>
        <v>RSC003295</v>
      </c>
      <c r="B36" s="30" t="str">
        <f>IFERROR(__xludf.DUMMYFUNCTION("""COMPUTED_VALUE"""),"ConfuciusDragon")</f>
        <v>ConfuciusDragon</v>
      </c>
      <c r="C36" s="30" t="str">
        <f>IFERROR(__xludf.DUMMYFUNCTION("""COMPUTED_VALUE"""),"Prospect")</f>
        <v>Prospect</v>
      </c>
      <c r="D36" s="30" t="str">
        <f>IFERROR(__xludf.DUMMYFUNCTION("""COMPUTED_VALUE"""),"Mop Tops")</f>
        <v>Mop Tops</v>
      </c>
      <c r="E36" s="30" t="str">
        <f>IFERROR(__xludf.DUMMYFUNCTION("""COMPUTED_VALUE"""),"Vibe Tribe")</f>
        <v>Vibe Tribe</v>
      </c>
      <c r="F36" s="30" t="str">
        <f>IFERROR(__xludf.DUMMYFUNCTION("""COMPUTED_VALUE"""),"N/A")</f>
        <v>N/A</v>
      </c>
      <c r="G36" s="92">
        <f>IFERROR(__xludf.DUMMYFUNCTION("""COMPUTED_VALUE"""),61.921925586531174)</f>
        <v>61.92192559</v>
      </c>
    </row>
    <row r="37">
      <c r="A37" s="30" t="str">
        <f>IFERROR(__xludf.DUMMYFUNCTION("""COMPUTED_VALUE"""),"RSC007138")</f>
        <v>RSC007138</v>
      </c>
      <c r="B37" s="30" t="str">
        <f>IFERROR(__xludf.DUMMYFUNCTION("""COMPUTED_VALUE"""),"GFC-RAIDER")</f>
        <v>GFC-RAIDER</v>
      </c>
      <c r="C37" s="30" t="str">
        <f>IFERROR(__xludf.DUMMYFUNCTION("""COMPUTED_VALUE"""),"Prospect")</f>
        <v>Prospect</v>
      </c>
      <c r="D37" s="30" t="str">
        <f>IFERROR(__xludf.DUMMYFUNCTION("""COMPUTED_VALUE"""),"Mop Tops")</f>
        <v>Mop Tops</v>
      </c>
      <c r="E37" s="30" t="str">
        <f>IFERROR(__xludf.DUMMYFUNCTION("""COMPUTED_VALUE"""),"Vibe Tribe")</f>
        <v>Vibe Tribe</v>
      </c>
      <c r="F37" s="30" t="str">
        <f>IFERROR(__xludf.DUMMYFUNCTION("""COMPUTED_VALUE"""),"N/A")</f>
        <v>N/A</v>
      </c>
      <c r="G37" s="92">
        <f>IFERROR(__xludf.DUMMYFUNCTION("""COMPUTED_VALUE"""),48.207368477857194)</f>
        <v>48.20736848</v>
      </c>
    </row>
    <row r="38">
      <c r="A38" s="30" t="str">
        <f>IFERROR(__xludf.DUMMYFUNCTION("""COMPUTED_VALUE"""),"RSC006966")</f>
        <v>RSC006966</v>
      </c>
      <c r="B38" s="30" t="str">
        <f>IFERROR(__xludf.DUMMYFUNCTION("""COMPUTED_VALUE"""),"Pivot97")</f>
        <v>Pivot97</v>
      </c>
      <c r="C38" s="30" t="str">
        <f>IFERROR(__xludf.DUMMYFUNCTION("""COMPUTED_VALUE"""),"Prospect")</f>
        <v>Prospect</v>
      </c>
      <c r="D38" s="30" t="str">
        <f>IFERROR(__xludf.DUMMYFUNCTION("""COMPUTED_VALUE"""),"Prism Proteges
Mop Tops")</f>
        <v>Prism Proteges
Mop Tops</v>
      </c>
      <c r="E38" s="30" t="str">
        <f>IFERROR(__xludf.DUMMYFUNCTION("""COMPUTED_VALUE"""),"Art Club
Vibe Tribe")</f>
        <v>Art Club
Vibe Tribe</v>
      </c>
      <c r="F38" s="30" t="str">
        <f>IFERROR(__xludf.DUMMYFUNCTION("""COMPUTED_VALUE"""),"N/A")</f>
        <v>N/A</v>
      </c>
      <c r="G38" s="92">
        <f>IFERROR(__xludf.DUMMYFUNCTION("""COMPUTED_VALUE"""),35.918169135273885)</f>
        <v>35.91816914</v>
      </c>
    </row>
    <row r="39">
      <c r="A39" s="30" t="str">
        <f>IFERROR(__xludf.DUMMYFUNCTION("""COMPUTED_VALUE"""),"RSC005603")</f>
        <v>RSC005603</v>
      </c>
      <c r="B39" s="30" t="str">
        <f>IFERROR(__xludf.DUMMYFUNCTION("""COMPUTED_VALUE"""),"Aiden_23-")</f>
        <v>Aiden_23-</v>
      </c>
      <c r="C39" s="30" t="str">
        <f>IFERROR(__xludf.DUMMYFUNCTION("""COMPUTED_VALUE"""),"Prospect")</f>
        <v>Prospect</v>
      </c>
      <c r="D39" s="30" t="str">
        <f>IFERROR(__xludf.DUMMYFUNCTION("""COMPUTED_VALUE"""),"Emus")</f>
        <v>Emus</v>
      </c>
      <c r="E39" s="30" t="str">
        <f>IFERROR(__xludf.DUMMYFUNCTION("""COMPUTED_VALUE"""),"Flightless Fowl")</f>
        <v>Flightless Fowl</v>
      </c>
      <c r="F39" s="30" t="str">
        <f>IFERROR(__xludf.DUMMYFUNCTION("""COMPUTED_VALUE"""),"N/A")</f>
        <v>N/A</v>
      </c>
      <c r="G39" s="92">
        <f>IFERROR(__xludf.DUMMYFUNCTION("""COMPUTED_VALUE"""),61.03859205272665)</f>
        <v>61.03859205</v>
      </c>
    </row>
    <row r="40">
      <c r="A40" s="30" t="str">
        <f>IFERROR(__xludf.DUMMYFUNCTION("""COMPUTED_VALUE"""),"RSC006369")</f>
        <v>RSC006369</v>
      </c>
      <c r="B40" s="30" t="str">
        <f>IFERROR(__xludf.DUMMYFUNCTION("""COMPUTED_VALUE"""),"nate")</f>
        <v>nate</v>
      </c>
      <c r="C40" s="30" t="str">
        <f>IFERROR(__xludf.DUMMYFUNCTION("""COMPUTED_VALUE"""),"Prospect")</f>
        <v>Prospect</v>
      </c>
      <c r="D40" s="30" t="str">
        <f>IFERROR(__xludf.DUMMYFUNCTION("""COMPUTED_VALUE"""),"Emus")</f>
        <v>Emus</v>
      </c>
      <c r="E40" s="30" t="str">
        <f>IFERROR(__xludf.DUMMYFUNCTION("""COMPUTED_VALUE"""),"Flightless Fowl")</f>
        <v>Flightless Fowl</v>
      </c>
      <c r="F40" s="30" t="str">
        <f>IFERROR(__xludf.DUMMYFUNCTION("""COMPUTED_VALUE"""),"N/A")</f>
        <v>N/A</v>
      </c>
      <c r="G40" s="92">
        <f>IFERROR(__xludf.DUMMYFUNCTION("""COMPUTED_VALUE"""),21.270492555361457)</f>
        <v>21.27049256</v>
      </c>
    </row>
    <row r="41">
      <c r="A41" s="30" t="str">
        <f>IFERROR(__xludf.DUMMYFUNCTION("""COMPUTED_VALUE"""),"RSC007865")</f>
        <v>RSC007865</v>
      </c>
      <c r="B41" s="30" t="str">
        <f>IFERROR(__xludf.DUMMYFUNCTION("""COMPUTED_VALUE"""),"StoveMessiah")</f>
        <v>StoveMessiah</v>
      </c>
      <c r="C41" s="30" t="str">
        <f>IFERROR(__xludf.DUMMYFUNCTION("""COMPUTED_VALUE"""),"Prospect")</f>
        <v>Prospect</v>
      </c>
      <c r="D41" s="30" t="str">
        <f>IFERROR(__xludf.DUMMYFUNCTION("""COMPUTED_VALUE"""),"Emus")</f>
        <v>Emus</v>
      </c>
      <c r="E41" s="30" t="str">
        <f>IFERROR(__xludf.DUMMYFUNCTION("""COMPUTED_VALUE"""),"Flightless Fowl")</f>
        <v>Flightless Fowl</v>
      </c>
      <c r="F41" s="30" t="str">
        <f>IFERROR(__xludf.DUMMYFUNCTION("""COMPUTED_VALUE"""),"N/A")</f>
        <v>N/A</v>
      </c>
      <c r="G41" s="92">
        <f>IFERROR(__xludf.DUMMYFUNCTION("""COMPUTED_VALUE"""),40.74061592148069)</f>
        <v>40.74061592</v>
      </c>
    </row>
    <row r="42">
      <c r="A42" s="30" t="str">
        <f>IFERROR(__xludf.DUMMYFUNCTION("""COMPUTED_VALUE"""),"RSC007442")</f>
        <v>RSC007442</v>
      </c>
      <c r="B42" s="30" t="str">
        <f>IFERROR(__xludf.DUMMYFUNCTION("""COMPUTED_VALUE"""),"willbong")</f>
        <v>willbong</v>
      </c>
      <c r="C42" s="30" t="str">
        <f>IFERROR(__xludf.DUMMYFUNCTION("""COMPUTED_VALUE"""),"Prospect")</f>
        <v>Prospect</v>
      </c>
      <c r="D42" s="30" t="str">
        <f>IFERROR(__xludf.DUMMYFUNCTION("""COMPUTED_VALUE"""),"Mop Tops")</f>
        <v>Mop Tops</v>
      </c>
      <c r="E42" s="30" t="str">
        <f>IFERROR(__xludf.DUMMYFUNCTION("""COMPUTED_VALUE"""),"Vibe Tribe")</f>
        <v>Vibe Tribe</v>
      </c>
      <c r="F42" s="30" t="str">
        <f>IFERROR(__xludf.DUMMYFUNCTION("""COMPUTED_VALUE"""),"N/A")</f>
        <v>N/A</v>
      </c>
      <c r="G42" s="92">
        <f>IFERROR(__xludf.DUMMYFUNCTION("""COMPUTED_VALUE"""),62.67537248297617)</f>
        <v>62.67537248</v>
      </c>
    </row>
    <row r="43">
      <c r="A43" s="30" t="str">
        <f>IFERROR(__xludf.DUMMYFUNCTION("""COMPUTED_VALUE"""),"RSC007453")</f>
        <v>RSC007453</v>
      </c>
      <c r="B43" s="30" t="str">
        <f>IFERROR(__xludf.DUMMYFUNCTION("""COMPUTED_VALUE"""),"TheDoy420")</f>
        <v>TheDoy420</v>
      </c>
      <c r="C43" s="30" t="str">
        <f>IFERROR(__xludf.DUMMYFUNCTION("""COMPUTED_VALUE"""),"Prospect")</f>
        <v>Prospect</v>
      </c>
      <c r="D43" s="30" t="str">
        <f>IFERROR(__xludf.DUMMYFUNCTION("""COMPUTED_VALUE"""),"Emus")</f>
        <v>Emus</v>
      </c>
      <c r="E43" s="30" t="str">
        <f>IFERROR(__xludf.DUMMYFUNCTION("""COMPUTED_VALUE"""),"Flightless Fowl")</f>
        <v>Flightless Fowl</v>
      </c>
      <c r="F43" s="30" t="str">
        <f>IFERROR(__xludf.DUMMYFUNCTION("""COMPUTED_VALUE"""),"N/A")</f>
        <v>N/A</v>
      </c>
      <c r="G43" s="92">
        <f>IFERROR(__xludf.DUMMYFUNCTION("""COMPUTED_VALUE"""),63.47406769776014)</f>
        <v>63.4740677</v>
      </c>
    </row>
    <row r="44">
      <c r="A44" s="30" t="str">
        <f>IFERROR(__xludf.DUMMYFUNCTION("""COMPUTED_VALUE"""),"RSC007834")</f>
        <v>RSC007834</v>
      </c>
      <c r="B44" s="30" t="str">
        <f>IFERROR(__xludf.DUMMYFUNCTION("""COMPUTED_VALUE"""),"Kyyrbes")</f>
        <v>Kyyrbes</v>
      </c>
      <c r="C44" s="30" t="str">
        <f>IFERROR(__xludf.DUMMYFUNCTION("""COMPUTED_VALUE"""),"Prospect")</f>
        <v>Prospect</v>
      </c>
      <c r="D44" s="30" t="str">
        <f>IFERROR(__xludf.DUMMYFUNCTION("""COMPUTED_VALUE"""),"Gloom")</f>
        <v>Gloom</v>
      </c>
      <c r="E44" s="30" t="str">
        <f>IFERROR(__xludf.DUMMYFUNCTION("""COMPUTED_VALUE"""),"The Shadows")</f>
        <v>The Shadows</v>
      </c>
      <c r="F44" s="30" t="str">
        <f>IFERROR(__xludf.DUMMYFUNCTION("""COMPUTED_VALUE"""),"N/A")</f>
        <v>N/A</v>
      </c>
      <c r="G44" s="92">
        <f>IFERROR(__xludf.DUMMYFUNCTION("""COMPUTED_VALUE"""),31.463625053197486)</f>
        <v>31.46362505</v>
      </c>
    </row>
    <row r="45">
      <c r="A45" s="30" t="str">
        <f>IFERROR(__xludf.DUMMYFUNCTION("""COMPUTED_VALUE"""),"RSC006115")</f>
        <v>RSC006115</v>
      </c>
      <c r="B45" s="30" t="str">
        <f>IFERROR(__xludf.DUMMYFUNCTION("""COMPUTED_VALUE"""),"Shame")</f>
        <v>Shame</v>
      </c>
      <c r="C45" s="30" t="str">
        <f>IFERROR(__xludf.DUMMYFUNCTION("""COMPUTED_VALUE"""),"Prospect")</f>
        <v>Prospect</v>
      </c>
      <c r="D45" s="30" t="str">
        <f>IFERROR(__xludf.DUMMYFUNCTION("""COMPUTED_VALUE"""),"Gloom")</f>
        <v>Gloom</v>
      </c>
      <c r="E45" s="30" t="str">
        <f>IFERROR(__xludf.DUMMYFUNCTION("""COMPUTED_VALUE"""),"The Shadows")</f>
        <v>The Shadows</v>
      </c>
      <c r="F45" s="30" t="str">
        <f>IFERROR(__xludf.DUMMYFUNCTION("""COMPUTED_VALUE"""),"N/A")</f>
        <v>N/A</v>
      </c>
      <c r="G45" s="92">
        <f>IFERROR(__xludf.DUMMYFUNCTION("""COMPUTED_VALUE"""),50.686392793679914)</f>
        <v>50.68639279</v>
      </c>
    </row>
    <row r="46">
      <c r="A46" s="30" t="str">
        <f>IFERROR(__xludf.DUMMYFUNCTION("""COMPUTED_VALUE"""),"RSC006569")</f>
        <v>RSC006569</v>
      </c>
      <c r="B46" s="30" t="str">
        <f>IFERROR(__xludf.DUMMYFUNCTION("""COMPUTED_VALUE"""),"mulliganisoup")</f>
        <v>mulliganisoup</v>
      </c>
      <c r="C46" s="30" t="str">
        <f>IFERROR(__xludf.DUMMYFUNCTION("""COMPUTED_VALUE"""),"Prospect")</f>
        <v>Prospect</v>
      </c>
      <c r="D46" s="30" t="str">
        <f>IFERROR(__xludf.DUMMYFUNCTION("""COMPUTED_VALUE"""),"Gloom")</f>
        <v>Gloom</v>
      </c>
      <c r="E46" s="30" t="str">
        <f>IFERROR(__xludf.DUMMYFUNCTION("""COMPUTED_VALUE"""),"The Shadows")</f>
        <v>The Shadows</v>
      </c>
      <c r="F46" s="30" t="str">
        <f>IFERROR(__xludf.DUMMYFUNCTION("""COMPUTED_VALUE"""),"N/A")</f>
        <v>N/A</v>
      </c>
      <c r="G46" s="92">
        <f>IFERROR(__xludf.DUMMYFUNCTION("""COMPUTED_VALUE"""),51.63409244123165)</f>
        <v>51.63409244</v>
      </c>
    </row>
    <row r="47">
      <c r="A47" s="30" t="str">
        <f>IFERROR(__xludf.DUMMYFUNCTION("""COMPUTED_VALUE"""),"RSC007886")</f>
        <v>RSC007886</v>
      </c>
      <c r="B47" s="30" t="str">
        <f>IFERROR(__xludf.DUMMYFUNCTION("""COMPUTED_VALUE"""),"BabyDino8453")</f>
        <v>BabyDino8453</v>
      </c>
      <c r="C47" s="30" t="str">
        <f>IFERROR(__xludf.DUMMYFUNCTION("""COMPUTED_VALUE"""),"Prospect")</f>
        <v>Prospect</v>
      </c>
      <c r="D47" s="30" t="str">
        <f>IFERROR(__xludf.DUMMYFUNCTION("""COMPUTED_VALUE"""),"Dime")</f>
        <v>Dime</v>
      </c>
      <c r="E47" s="30" t="str">
        <f>IFERROR(__xludf.DUMMYFUNCTION("""COMPUTED_VALUE"""),"Money Makers")</f>
        <v>Money Makers</v>
      </c>
      <c r="F47" s="30" t="str">
        <f>IFERROR(__xludf.DUMMYFUNCTION("""COMPUTED_VALUE"""),"N/A")</f>
        <v>N/A</v>
      </c>
      <c r="G47" s="92">
        <f>IFERROR(__xludf.DUMMYFUNCTION("""COMPUTED_VALUE"""),39.575670528528505)</f>
        <v>39.57567053</v>
      </c>
    </row>
    <row r="48">
      <c r="A48" s="30" t="str">
        <f>IFERROR(__xludf.DUMMYFUNCTION("""COMPUTED_VALUE"""),"RSC007904")</f>
        <v>RSC007904</v>
      </c>
      <c r="B48" s="30" t="str">
        <f>IFERROR(__xludf.DUMMYFUNCTION("""COMPUTED_VALUE"""),"Branthedan")</f>
        <v>Branthedan</v>
      </c>
      <c r="C48" s="30" t="str">
        <f>IFERROR(__xludf.DUMMYFUNCTION("""COMPUTED_VALUE"""),"Prospect")</f>
        <v>Prospect</v>
      </c>
      <c r="D48" s="30" t="str">
        <f>IFERROR(__xludf.DUMMYFUNCTION("""COMPUTED_VALUE"""),"Dime")</f>
        <v>Dime</v>
      </c>
      <c r="E48" s="30" t="str">
        <f>IFERROR(__xludf.DUMMYFUNCTION("""COMPUTED_VALUE"""),"Money Makers")</f>
        <v>Money Makers</v>
      </c>
      <c r="F48" s="30" t="str">
        <f>IFERROR(__xludf.DUMMYFUNCTION("""COMPUTED_VALUE"""),"N/A")</f>
        <v>N/A</v>
      </c>
      <c r="G48" s="92">
        <f>IFERROR(__xludf.DUMMYFUNCTION("""COMPUTED_VALUE"""),85.71276284883353)</f>
        <v>85.71276285</v>
      </c>
    </row>
    <row r="49">
      <c r="A49" s="30" t="str">
        <f>IFERROR(__xludf.DUMMYFUNCTION("""COMPUTED_VALUE"""),"RSC007487")</f>
        <v>RSC007487</v>
      </c>
      <c r="B49" s="30" t="str">
        <f>IFERROR(__xludf.DUMMYFUNCTION("""COMPUTED_VALUE"""),"YoloOnTinder")</f>
        <v>YoloOnTinder</v>
      </c>
      <c r="C49" s="30" t="str">
        <f>IFERROR(__xludf.DUMMYFUNCTION("""COMPUTED_VALUE"""),"Prospect")</f>
        <v>Prospect</v>
      </c>
      <c r="D49" s="30" t="str">
        <f>IFERROR(__xludf.DUMMYFUNCTION("""COMPUTED_VALUE"""),"Dime")</f>
        <v>Dime</v>
      </c>
      <c r="E49" s="30" t="str">
        <f>IFERROR(__xludf.DUMMYFUNCTION("""COMPUTED_VALUE"""),"Money Makers")</f>
        <v>Money Makers</v>
      </c>
      <c r="F49" s="30" t="str">
        <f>IFERROR(__xludf.DUMMYFUNCTION("""COMPUTED_VALUE"""),"N/A")</f>
        <v>N/A</v>
      </c>
      <c r="G49" s="92">
        <f>IFERROR(__xludf.DUMMYFUNCTION("""COMPUTED_VALUE"""),48.718841594077595)</f>
        <v>48.71884159</v>
      </c>
    </row>
    <row r="50">
      <c r="A50" s="30" t="str">
        <f>IFERROR(__xludf.DUMMYFUNCTION("""COMPUTED_VALUE"""),"RSC001619")</f>
        <v>RSC001619</v>
      </c>
      <c r="B50" s="30" t="str">
        <f>IFERROR(__xludf.DUMMYFUNCTION("""COMPUTED_VALUE"""),"Rob")</f>
        <v>Rob</v>
      </c>
      <c r="C50" s="30" t="str">
        <f>IFERROR(__xludf.DUMMYFUNCTION("""COMPUTED_VALUE"""),"Prospect")</f>
        <v>Prospect</v>
      </c>
      <c r="D50" s="30" t="str">
        <f>IFERROR(__xludf.DUMMYFUNCTION("""COMPUTED_VALUE"""),"Gloom")</f>
        <v>Gloom</v>
      </c>
      <c r="E50" s="30" t="str">
        <f>IFERROR(__xludf.DUMMYFUNCTION("""COMPUTED_VALUE"""),"The Shadows")</f>
        <v>The Shadows</v>
      </c>
      <c r="F50" s="30" t="str">
        <f>IFERROR(__xludf.DUMMYFUNCTION("""COMPUTED_VALUE"""),"N/A")</f>
        <v>N/A</v>
      </c>
      <c r="G50" s="92">
        <f>IFERROR(__xludf.DUMMYFUNCTION("""COMPUTED_VALUE"""),22.884243517288716)</f>
        <v>22.88424352</v>
      </c>
    </row>
    <row r="51">
      <c r="A51" s="30" t="str">
        <f>IFERROR(__xludf.DUMMYFUNCTION("""COMPUTED_VALUE"""),"RSC007045")</f>
        <v>RSC007045</v>
      </c>
      <c r="B51" s="30" t="str">
        <f>IFERROR(__xludf.DUMMYFUNCTION("""COMPUTED_VALUE"""),"fetty_steve98")</f>
        <v>fetty_steve98</v>
      </c>
      <c r="C51" s="30" t="str">
        <f>IFERROR(__xludf.DUMMYFUNCTION("""COMPUTED_VALUE"""),"Prospect")</f>
        <v>Prospect</v>
      </c>
      <c r="D51" s="30" t="str">
        <f>IFERROR(__xludf.DUMMYFUNCTION("""COMPUTED_VALUE"""),"Blacktips")</f>
        <v>Blacktips</v>
      </c>
      <c r="E51" s="30" t="str">
        <f>IFERROR(__xludf.DUMMYFUNCTION("""COMPUTED_VALUE"""),"Shark Attack")</f>
        <v>Shark Attack</v>
      </c>
      <c r="F51" s="30" t="str">
        <f>IFERROR(__xludf.DUMMYFUNCTION("""COMPUTED_VALUE"""),"N/A")</f>
        <v>N/A</v>
      </c>
      <c r="G51" s="92">
        <f>IFERROR(__xludf.DUMMYFUNCTION("""COMPUTED_VALUE"""),90.11583628623421)</f>
        <v>90.11583629</v>
      </c>
    </row>
    <row r="52">
      <c r="A52" s="30" t="str">
        <f>IFERROR(__xludf.DUMMYFUNCTION("""COMPUTED_VALUE"""),"RSC007518")</f>
        <v>RSC007518</v>
      </c>
      <c r="B52" s="30" t="str">
        <f>IFERROR(__xludf.DUMMYFUNCTION("""COMPUTED_VALUE"""),"LoneDrifter.")</f>
        <v>LoneDrifter.</v>
      </c>
      <c r="C52" s="30" t="str">
        <f>IFERROR(__xludf.DUMMYFUNCTION("""COMPUTED_VALUE"""),"Prospect")</f>
        <v>Prospect</v>
      </c>
      <c r="D52" s="30" t="str">
        <f>IFERROR(__xludf.DUMMYFUNCTION("""COMPUTED_VALUE"""),"Blacktips")</f>
        <v>Blacktips</v>
      </c>
      <c r="E52" s="30" t="str">
        <f>IFERROR(__xludf.DUMMYFUNCTION("""COMPUTED_VALUE"""),"Shark Attack")</f>
        <v>Shark Attack</v>
      </c>
      <c r="F52" s="30" t="str">
        <f>IFERROR(__xludf.DUMMYFUNCTION("""COMPUTED_VALUE"""),"N/A")</f>
        <v>N/A</v>
      </c>
      <c r="G52" s="92">
        <f>IFERROR(__xludf.DUMMYFUNCTION("""COMPUTED_VALUE"""),68.8651564193395)</f>
        <v>68.86515642</v>
      </c>
    </row>
    <row r="53">
      <c r="A53" s="30" t="str">
        <f>IFERROR(__xludf.DUMMYFUNCTION("""COMPUTED_VALUE"""),"RSC004106")</f>
        <v>RSC004106</v>
      </c>
      <c r="B53" s="30" t="str">
        <f>IFERROR(__xludf.DUMMYFUNCTION("""COMPUTED_VALUE"""),"K.Doughboy")</f>
        <v>K.Doughboy</v>
      </c>
      <c r="C53" s="30" t="str">
        <f>IFERROR(__xludf.DUMMYFUNCTION("""COMPUTED_VALUE"""),"Prospect")</f>
        <v>Prospect</v>
      </c>
      <c r="D53" s="30" t="str">
        <f>IFERROR(__xludf.DUMMYFUNCTION("""COMPUTED_VALUE"""),"Blacktips")</f>
        <v>Blacktips</v>
      </c>
      <c r="E53" s="30" t="str">
        <f>IFERROR(__xludf.DUMMYFUNCTION("""COMPUTED_VALUE"""),"Shark Attack")</f>
        <v>Shark Attack</v>
      </c>
      <c r="F53" s="30" t="str">
        <f>IFERROR(__xludf.DUMMYFUNCTION("""COMPUTED_VALUE"""),"N/A")</f>
        <v>N/A</v>
      </c>
      <c r="G53" s="92">
        <f>IFERROR(__xludf.DUMMYFUNCTION("""COMPUTED_VALUE"""),47.24118634352699)</f>
        <v>47.24118634</v>
      </c>
    </row>
    <row r="54">
      <c r="A54" s="30" t="str">
        <f>IFERROR(__xludf.DUMMYFUNCTION("""COMPUTED_VALUE"""),"RSC006587")</f>
        <v>RSC006587</v>
      </c>
      <c r="B54" s="30" t="str">
        <f>IFERROR(__xludf.DUMMYFUNCTION("""COMPUTED_VALUE"""),"Enterprise15")</f>
        <v>Enterprise15</v>
      </c>
      <c r="C54" s="30" t="str">
        <f>IFERROR(__xludf.DUMMYFUNCTION("""COMPUTED_VALUE"""),"Prospect")</f>
        <v>Prospect</v>
      </c>
      <c r="D54" s="30" t="str">
        <f>IFERROR(__xludf.DUMMYFUNCTION("""COMPUTED_VALUE"""),"Skeletons")</f>
        <v>Skeletons</v>
      </c>
      <c r="E54" s="30" t="str">
        <f>IFERROR(__xludf.DUMMYFUNCTION("""COMPUTED_VALUE"""),"The Monster Mash")</f>
        <v>The Monster Mash</v>
      </c>
      <c r="F54" s="30" t="str">
        <f>IFERROR(__xludf.DUMMYFUNCTION("""COMPUTED_VALUE"""),"N/A")</f>
        <v>N/A</v>
      </c>
      <c r="G54" s="92">
        <f>IFERROR(__xludf.DUMMYFUNCTION("""COMPUTED_VALUE"""),50.545816472413115)</f>
        <v>50.54581647</v>
      </c>
    </row>
    <row r="55">
      <c r="A55" s="30" t="str">
        <f>IFERROR(__xludf.DUMMYFUNCTION("""COMPUTED_VALUE"""),"RSC003127")</f>
        <v>RSC003127</v>
      </c>
      <c r="B55" s="30" t="str">
        <f>IFERROR(__xludf.DUMMYFUNCTION("""COMPUTED_VALUE"""),"Lim")</f>
        <v>Lim</v>
      </c>
      <c r="C55" s="30" t="str">
        <f>IFERROR(__xludf.DUMMYFUNCTION("""COMPUTED_VALUE"""),"Prospect")</f>
        <v>Prospect</v>
      </c>
      <c r="D55" s="30" t="str">
        <f>IFERROR(__xludf.DUMMYFUNCTION("""COMPUTED_VALUE"""),"Skeletons")</f>
        <v>Skeletons</v>
      </c>
      <c r="E55" s="30" t="str">
        <f>IFERROR(__xludf.DUMMYFUNCTION("""COMPUTED_VALUE"""),"The Monster Mash")</f>
        <v>The Monster Mash</v>
      </c>
      <c r="F55" s="30" t="str">
        <f>IFERROR(__xludf.DUMMYFUNCTION("""COMPUTED_VALUE"""),"N/A")</f>
        <v>N/A</v>
      </c>
      <c r="G55" s="92">
        <f>IFERROR(__xludf.DUMMYFUNCTION("""COMPUTED_VALUE"""),46.46307863235107)</f>
        <v>46.46307863</v>
      </c>
    </row>
    <row r="56">
      <c r="A56" s="30" t="str">
        <f>IFERROR(__xludf.DUMMYFUNCTION("""COMPUTED_VALUE"""),"RSC003374")</f>
        <v>RSC003374</v>
      </c>
      <c r="B56" s="30" t="str">
        <f>IFERROR(__xludf.DUMMYFUNCTION("""COMPUTED_VALUE"""),"Raisonbran")</f>
        <v>Raisonbran</v>
      </c>
      <c r="C56" s="30" t="str">
        <f>IFERROR(__xludf.DUMMYFUNCTION("""COMPUTED_VALUE"""),"Prospect")</f>
        <v>Prospect</v>
      </c>
      <c r="D56" s="30" t="str">
        <f>IFERROR(__xludf.DUMMYFUNCTION("""COMPUTED_VALUE"""),"Skeletons")</f>
        <v>Skeletons</v>
      </c>
      <c r="E56" s="30" t="str">
        <f>IFERROR(__xludf.DUMMYFUNCTION("""COMPUTED_VALUE"""),"The Monster Mash")</f>
        <v>The Monster Mash</v>
      </c>
      <c r="F56" s="30" t="str">
        <f>IFERROR(__xludf.DUMMYFUNCTION("""COMPUTED_VALUE"""),"N/A")</f>
        <v>N/A</v>
      </c>
      <c r="G56" s="92">
        <f>IFERROR(__xludf.DUMMYFUNCTION("""COMPUTED_VALUE"""),41.87540321236446)</f>
        <v>41.87540321</v>
      </c>
    </row>
    <row r="57">
      <c r="A57" s="30" t="str">
        <f>IFERROR(__xludf.DUMMYFUNCTION("""COMPUTED_VALUE"""),"RSC005018")</f>
        <v>RSC005018</v>
      </c>
      <c r="B57" s="30" t="str">
        <f>IFERROR(__xludf.DUMMYFUNCTION("""COMPUTED_VALUE"""),"Smitty")</f>
        <v>Smitty</v>
      </c>
      <c r="C57" s="30" t="str">
        <f>IFERROR(__xludf.DUMMYFUNCTION("""COMPUTED_VALUE"""),"Prospect")</f>
        <v>Prospect</v>
      </c>
      <c r="D57" s="30" t="str">
        <f>IFERROR(__xludf.DUMMYFUNCTION("""COMPUTED_VALUE"""),"Hawaiian Pizza")</f>
        <v>Hawaiian Pizza</v>
      </c>
      <c r="E57" s="30" t="str">
        <f>IFERROR(__xludf.DUMMYFUNCTION("""COMPUTED_VALUE"""),"Fifty-Fifty Pizzeria")</f>
        <v>Fifty-Fifty Pizzeria</v>
      </c>
      <c r="F57" s="30" t="str">
        <f>IFERROR(__xludf.DUMMYFUNCTION("""COMPUTED_VALUE"""),"N/A")</f>
        <v>N/A</v>
      </c>
      <c r="G57" s="92">
        <f>IFERROR(__xludf.DUMMYFUNCTION("""COMPUTED_VALUE"""),36.19162901693645)</f>
        <v>36.19162902</v>
      </c>
    </row>
    <row r="58">
      <c r="A58" s="30" t="str">
        <f>IFERROR(__xludf.DUMMYFUNCTION("""COMPUTED_VALUE"""),"RSC007092")</f>
        <v>RSC007092</v>
      </c>
      <c r="B58" s="30" t="str">
        <f>IFERROR(__xludf.DUMMYFUNCTION("""COMPUTED_VALUE"""),"Minjaaa")</f>
        <v>Minjaaa</v>
      </c>
      <c r="C58" s="30" t="str">
        <f>IFERROR(__xludf.DUMMYFUNCTION("""COMPUTED_VALUE"""),"Prospect")</f>
        <v>Prospect</v>
      </c>
      <c r="D58" s="30" t="str">
        <f>IFERROR(__xludf.DUMMYFUNCTION("""COMPUTED_VALUE"""),"Horizon Highball")</f>
        <v>Horizon Highball</v>
      </c>
      <c r="E58" s="30" t="str">
        <f>IFERROR(__xludf.DUMMYFUNCTION("""COMPUTED_VALUE"""),"5 O'clock Nowhere")</f>
        <v>5 O'clock Nowhere</v>
      </c>
      <c r="F58" s="30" t="str">
        <f>IFERROR(__xludf.DUMMYFUNCTION("""COMPUTED_VALUE"""),"N/A")</f>
        <v>N/A</v>
      </c>
      <c r="G58" s="92">
        <f>IFERROR(__xludf.DUMMYFUNCTION("""COMPUTED_VALUE"""),61.67317514767557)</f>
        <v>61.67317515</v>
      </c>
    </row>
    <row r="59">
      <c r="A59" s="30" t="str">
        <f>IFERROR(__xludf.DUMMYFUNCTION("""COMPUTED_VALUE"""),"RSC000221")</f>
        <v>RSC000221</v>
      </c>
      <c r="B59" s="30" t="str">
        <f>IFERROR(__xludf.DUMMYFUNCTION("""COMPUTED_VALUE"""),"Treefrog")</f>
        <v>Treefrog</v>
      </c>
      <c r="C59" s="30" t="str">
        <f>IFERROR(__xludf.DUMMYFUNCTION("""COMPUTED_VALUE"""),"Prospect")</f>
        <v>Prospect</v>
      </c>
      <c r="D59" s="30" t="str">
        <f>IFERROR(__xludf.DUMMYFUNCTION("""COMPUTED_VALUE"""),"Dime")</f>
        <v>Dime</v>
      </c>
      <c r="E59" s="30" t="str">
        <f>IFERROR(__xludf.DUMMYFUNCTION("""COMPUTED_VALUE"""),"Money Makers")</f>
        <v>Money Makers</v>
      </c>
      <c r="F59" s="30" t="str">
        <f>IFERROR(__xludf.DUMMYFUNCTION("""COMPUTED_VALUE"""),"N/A")</f>
        <v>N/A</v>
      </c>
      <c r="G59" s="92">
        <f>IFERROR(__xludf.DUMMYFUNCTION("""COMPUTED_VALUE"""),63.46337311155496)</f>
        <v>63.46337311</v>
      </c>
    </row>
    <row r="60">
      <c r="A60" s="30" t="str">
        <f>IFERROR(__xludf.DUMMYFUNCTION("""COMPUTED_VALUE"""),"RSC007141")</f>
        <v>RSC007141</v>
      </c>
      <c r="B60" s="30" t="str">
        <f>IFERROR(__xludf.DUMMYFUNCTION("""COMPUTED_VALUE"""),"Cuddlingus")</f>
        <v>Cuddlingus</v>
      </c>
      <c r="C60" s="30" t="str">
        <f>IFERROR(__xludf.DUMMYFUNCTION("""COMPUTED_VALUE"""),"Prospect")</f>
        <v>Prospect</v>
      </c>
      <c r="D60" s="30" t="str">
        <f>IFERROR(__xludf.DUMMYFUNCTION("""COMPUTED_VALUE"""),"Skeletons")</f>
        <v>Skeletons</v>
      </c>
      <c r="E60" s="30" t="str">
        <f>IFERROR(__xludf.DUMMYFUNCTION("""COMPUTED_VALUE"""),"The Monster Mash")</f>
        <v>The Monster Mash</v>
      </c>
      <c r="F60" s="30" t="str">
        <f>IFERROR(__xludf.DUMMYFUNCTION("""COMPUTED_VALUE"""),"N/A")</f>
        <v>N/A</v>
      </c>
      <c r="G60" s="92">
        <f>IFERROR(__xludf.DUMMYFUNCTION("""COMPUTED_VALUE"""),45.138529560125235)</f>
        <v>45.13852956</v>
      </c>
    </row>
    <row r="61">
      <c r="A61" s="30" t="str">
        <f>IFERROR(__xludf.DUMMYFUNCTION("""COMPUTED_VALUE"""),"RSC006667")</f>
        <v>RSC006667</v>
      </c>
      <c r="B61" s="30" t="str">
        <f>IFERROR(__xludf.DUMMYFUNCTION("""COMPUTED_VALUE"""),"GET2DACHOPPA5")</f>
        <v>GET2DACHOPPA5</v>
      </c>
      <c r="C61" s="30" t="str">
        <f>IFERROR(__xludf.DUMMYFUNCTION("""COMPUTED_VALUE"""),"Prospect")</f>
        <v>Prospect</v>
      </c>
      <c r="D61" s="30" t="str">
        <f>IFERROR(__xludf.DUMMYFUNCTION("""COMPUTED_VALUE"""),"Honey Badgers")</f>
        <v>Honey Badgers</v>
      </c>
      <c r="E61" s="30" t="str">
        <f>IFERROR(__xludf.DUMMYFUNCTION("""COMPUTED_VALUE"""),"Safari")</f>
        <v>Safari</v>
      </c>
      <c r="F61" s="30" t="str">
        <f>IFERROR(__xludf.DUMMYFUNCTION("""COMPUTED_VALUE"""),"N/A")</f>
        <v>N/A</v>
      </c>
      <c r="G61" s="92">
        <f>IFERROR(__xludf.DUMMYFUNCTION("""COMPUTED_VALUE"""),57.32822809431036)</f>
        <v>57.32822809</v>
      </c>
    </row>
    <row r="62">
      <c r="A62" s="30" t="str">
        <f>IFERROR(__xludf.DUMMYFUNCTION("""COMPUTED_VALUE"""),"RSC006758")</f>
        <v>RSC006758</v>
      </c>
      <c r="B62" s="30" t="str">
        <f>IFERROR(__xludf.DUMMYFUNCTION("""COMPUTED_VALUE"""),"El Booger Sugar")</f>
        <v>El Booger Sugar</v>
      </c>
      <c r="C62" s="30" t="str">
        <f>IFERROR(__xludf.DUMMYFUNCTION("""COMPUTED_VALUE"""),"Prospect")</f>
        <v>Prospect</v>
      </c>
      <c r="D62" s="30" t="str">
        <f>IFERROR(__xludf.DUMMYFUNCTION("""COMPUTED_VALUE"""),"Principales")</f>
        <v>Principales</v>
      </c>
      <c r="E62" s="30" t="str">
        <f>IFERROR(__xludf.DUMMYFUNCTION("""COMPUTED_VALUE"""),"The Sovereign")</f>
        <v>The Sovereign</v>
      </c>
      <c r="F62" s="30" t="str">
        <f>IFERROR(__xludf.DUMMYFUNCTION("""COMPUTED_VALUE"""),"N/A")</f>
        <v>N/A</v>
      </c>
      <c r="G62" s="92">
        <f>IFERROR(__xludf.DUMMYFUNCTION("""COMPUTED_VALUE"""),49.53862613281692)</f>
        <v>49.53862613</v>
      </c>
    </row>
    <row r="63">
      <c r="A63" s="30" t="str">
        <f>IFERROR(__xludf.DUMMYFUNCTION("""COMPUTED_VALUE"""),"RSC007600")</f>
        <v>RSC007600</v>
      </c>
      <c r="B63" s="30" t="str">
        <f>IFERROR(__xludf.DUMMYFUNCTION("""COMPUTED_VALUE"""),"CN Tyson")</f>
        <v>CN Tyson</v>
      </c>
      <c r="C63" s="30" t="str">
        <f>IFERROR(__xludf.DUMMYFUNCTION("""COMPUTED_VALUE"""),"Prospect")</f>
        <v>Prospect</v>
      </c>
      <c r="D63" s="30" t="str">
        <f>IFERROR(__xludf.DUMMYFUNCTION("""COMPUTED_VALUE"""),"Mop Tops
Prism Proteges")</f>
        <v>Mop Tops
Prism Proteges</v>
      </c>
      <c r="E63" s="30" t="str">
        <f>IFERROR(__xludf.DUMMYFUNCTION("""COMPUTED_VALUE"""),"Vibe Tribe
Art Club")</f>
        <v>Vibe Tribe
Art Club</v>
      </c>
      <c r="F63" s="30" t="str">
        <f>IFERROR(__xludf.DUMMYFUNCTION("""COMPUTED_VALUE"""),"N/A")</f>
        <v>N/A</v>
      </c>
      <c r="G63" s="92">
        <f>IFERROR(__xludf.DUMMYFUNCTION("""COMPUTED_VALUE"""),45.277398457627385)</f>
        <v>45.27739846</v>
      </c>
    </row>
    <row r="64">
      <c r="A64" s="30" t="str">
        <f>IFERROR(__xludf.DUMMYFUNCTION("""COMPUTED_VALUE"""),"RSC006402")</f>
        <v>RSC006402</v>
      </c>
      <c r="B64" s="30" t="str">
        <f>IFERROR(__xludf.DUMMYFUNCTION("""COMPUTED_VALUE"""),"DEADLYFEET1001")</f>
        <v>DEADLYFEET1001</v>
      </c>
      <c r="C64" s="30" t="str">
        <f>IFERROR(__xludf.DUMMYFUNCTION("""COMPUTED_VALUE"""),"Prospect")</f>
        <v>Prospect</v>
      </c>
      <c r="D64" s="30" t="str">
        <f>IFERROR(__xludf.DUMMYFUNCTION("""COMPUTED_VALUE"""),"Principales")</f>
        <v>Principales</v>
      </c>
      <c r="E64" s="30" t="str">
        <f>IFERROR(__xludf.DUMMYFUNCTION("""COMPUTED_VALUE"""),"The Sovereign")</f>
        <v>The Sovereign</v>
      </c>
      <c r="F64" s="30" t="str">
        <f>IFERROR(__xludf.DUMMYFUNCTION("""COMPUTED_VALUE"""),"N/A")</f>
        <v>N/A</v>
      </c>
      <c r="G64" s="92">
        <f>IFERROR(__xludf.DUMMYFUNCTION("""COMPUTED_VALUE"""),49.67767142473395)</f>
        <v>49.67767142</v>
      </c>
    </row>
    <row r="65">
      <c r="A65" s="30" t="str">
        <f>IFERROR(__xludf.DUMMYFUNCTION("""COMPUTED_VALUE"""),"RSC005884")</f>
        <v>RSC005884</v>
      </c>
      <c r="B65" s="30" t="str">
        <f>IFERROR(__xludf.DUMMYFUNCTION("""COMPUTED_VALUE"""),"Zachthebull36")</f>
        <v>Zachthebull36</v>
      </c>
      <c r="C65" s="30" t="str">
        <f>IFERROR(__xludf.DUMMYFUNCTION("""COMPUTED_VALUE"""),"Prospect")</f>
        <v>Prospect</v>
      </c>
      <c r="D65" s="30" t="str">
        <f>IFERROR(__xludf.DUMMYFUNCTION("""COMPUTED_VALUE"""),"Earth")</f>
        <v>Earth</v>
      </c>
      <c r="E65" s="30" t="str">
        <f>IFERROR(__xludf.DUMMYFUNCTION("""COMPUTED_VALUE"""),"The Elements")</f>
        <v>The Elements</v>
      </c>
      <c r="F65" s="30" t="str">
        <f>IFERROR(__xludf.DUMMYFUNCTION("""COMPUTED_VALUE"""),"N/A")</f>
        <v>N/A</v>
      </c>
      <c r="G65" s="92">
        <f>IFERROR(__xludf.DUMMYFUNCTION("""COMPUTED_VALUE"""),56.51609688948992)</f>
        <v>56.51609689</v>
      </c>
    </row>
    <row r="66">
      <c r="A66" s="30" t="str">
        <f>IFERROR(__xludf.DUMMYFUNCTION("""COMPUTED_VALUE"""),"RSC000989")</f>
        <v>RSC000989</v>
      </c>
      <c r="B66" s="30" t="str">
        <f>IFERROR(__xludf.DUMMYFUNCTION("""COMPUTED_VALUE"""),"Piky Life88")</f>
        <v>Piky Life88</v>
      </c>
      <c r="C66" s="30" t="str">
        <f>IFERROR(__xludf.DUMMYFUNCTION("""COMPUTED_VALUE"""),"Prospect")</f>
        <v>Prospect</v>
      </c>
      <c r="D66" s="30" t="str">
        <f>IFERROR(__xludf.DUMMYFUNCTION("""COMPUTED_VALUE"""),"Prism Proteges")</f>
        <v>Prism Proteges</v>
      </c>
      <c r="E66" s="30" t="str">
        <f>IFERROR(__xludf.DUMMYFUNCTION("""COMPUTED_VALUE"""),"Art Club")</f>
        <v>Art Club</v>
      </c>
      <c r="F66" s="30" t="str">
        <f>IFERROR(__xludf.DUMMYFUNCTION("""COMPUTED_VALUE"""),"N/A")</f>
        <v>N/A</v>
      </c>
      <c r="G66" s="92">
        <f>IFERROR(__xludf.DUMMYFUNCTION("""COMPUTED_VALUE"""),23.722909256540582)</f>
        <v>23.72290926</v>
      </c>
    </row>
    <row r="67">
      <c r="A67" s="30" t="str">
        <f>IFERROR(__xludf.DUMMYFUNCTION("""COMPUTED_VALUE"""),"RSC007929")</f>
        <v>RSC007929</v>
      </c>
      <c r="B67" s="30" t="str">
        <f>IFERROR(__xludf.DUMMYFUNCTION("""COMPUTED_VALUE"""),"Leaux Mane")</f>
        <v>Leaux Mane</v>
      </c>
      <c r="C67" s="30" t="str">
        <f>IFERROR(__xludf.DUMMYFUNCTION("""COMPUTED_VALUE"""),"Prospect")</f>
        <v>Prospect</v>
      </c>
      <c r="D67" s="30" t="str">
        <f>IFERROR(__xludf.DUMMYFUNCTION("""COMPUTED_VALUE"""),"Blacktips")</f>
        <v>Blacktips</v>
      </c>
      <c r="E67" s="30" t="str">
        <f>IFERROR(__xludf.DUMMYFUNCTION("""COMPUTED_VALUE"""),"Shark Attack")</f>
        <v>Shark Attack</v>
      </c>
      <c r="F67" s="30" t="str">
        <f>IFERROR(__xludf.DUMMYFUNCTION("""COMPUTED_VALUE"""),"N/A")</f>
        <v>N/A</v>
      </c>
      <c r="G67" s="92">
        <f>IFERROR(__xludf.DUMMYFUNCTION("""COMPUTED_VALUE"""),20.0916568429606)</f>
        <v>20.09165684</v>
      </c>
    </row>
    <row r="68">
      <c r="A68" s="30" t="str">
        <f>IFERROR(__xludf.DUMMYFUNCTION("""COMPUTED_VALUE"""),"RSC008002")</f>
        <v>RSC008002</v>
      </c>
      <c r="B68" s="30" t="str">
        <f>IFERROR(__xludf.DUMMYFUNCTION("""COMPUTED_VALUE"""),"majorpilots")</f>
        <v>majorpilots</v>
      </c>
      <c r="C68" s="30" t="str">
        <f>IFERROR(__xludf.DUMMYFUNCTION("""COMPUTED_VALUE"""),"Prospect")</f>
        <v>Prospect</v>
      </c>
      <c r="D68" s="30" t="str">
        <f>IFERROR(__xludf.DUMMYFUNCTION("""COMPUTED_VALUE"""),"Gloom")</f>
        <v>Gloom</v>
      </c>
      <c r="E68" s="30" t="str">
        <f>IFERROR(__xludf.DUMMYFUNCTION("""COMPUTED_VALUE"""),"The Shadows")</f>
        <v>The Shadows</v>
      </c>
      <c r="F68" s="30" t="str">
        <f>IFERROR(__xludf.DUMMYFUNCTION("""COMPUTED_VALUE"""),"N/A")</f>
        <v>N/A</v>
      </c>
      <c r="G68" s="92">
        <f>IFERROR(__xludf.DUMMYFUNCTION("""COMPUTED_VALUE"""),-43.494167655150804)</f>
        <v>-43.49416766</v>
      </c>
    </row>
    <row r="69">
      <c r="A69" s="30" t="str">
        <f>IFERROR(__xludf.DUMMYFUNCTION("""COMPUTED_VALUE"""),"RSC004879")</f>
        <v>RSC004879</v>
      </c>
      <c r="B69" s="30" t="str">
        <f>IFERROR(__xludf.DUMMYFUNCTION("""COMPUTED_VALUE"""),"DefNotMongo.")</f>
        <v>DefNotMongo.</v>
      </c>
      <c r="C69" s="30" t="str">
        <f>IFERROR(__xludf.DUMMYFUNCTION("""COMPUTED_VALUE"""),"Prospect")</f>
        <v>Prospect</v>
      </c>
      <c r="D69" s="30" t="str">
        <f>IFERROR(__xludf.DUMMYFUNCTION("""COMPUTED_VALUE"""),"Khans")</f>
        <v>Khans</v>
      </c>
      <c r="E69" s="30" t="str">
        <f>IFERROR(__xludf.DUMMYFUNCTION("""COMPUTED_VALUE"""),"Monarchy")</f>
        <v>Monarchy</v>
      </c>
      <c r="F69" s="30" t="str">
        <f>IFERROR(__xludf.DUMMYFUNCTION("""COMPUTED_VALUE"""),"N/A")</f>
        <v>N/A</v>
      </c>
      <c r="G69" s="92">
        <f>IFERROR(__xludf.DUMMYFUNCTION("""COMPUTED_VALUE"""),25.1497437244071)</f>
        <v>25.14974372</v>
      </c>
    </row>
    <row r="70">
      <c r="A70" s="30" t="str">
        <f>IFERROR(__xludf.DUMMYFUNCTION("""COMPUTED_VALUE"""),"RSC005252")</f>
        <v>RSC005252</v>
      </c>
      <c r="B70" s="30" t="str">
        <f>IFERROR(__xludf.DUMMYFUNCTION("""COMPUTED_VALUE"""),"MysticMax07")</f>
        <v>MysticMax07</v>
      </c>
      <c r="C70" s="30" t="str">
        <f>IFERROR(__xludf.DUMMYFUNCTION("""COMPUTED_VALUE"""),"Prospect")</f>
        <v>Prospect</v>
      </c>
      <c r="D70" s="30" t="str">
        <f>IFERROR(__xludf.DUMMYFUNCTION("""COMPUTED_VALUE"""),"Gloom")</f>
        <v>Gloom</v>
      </c>
      <c r="E70" s="30" t="str">
        <f>IFERROR(__xludf.DUMMYFUNCTION("""COMPUTED_VALUE"""),"The Shadows")</f>
        <v>The Shadows</v>
      </c>
      <c r="F70" s="30" t="str">
        <f>IFERROR(__xludf.DUMMYFUNCTION("""COMPUTED_VALUE"""),"N/A")</f>
        <v>N/A</v>
      </c>
      <c r="G70" s="92">
        <f>IFERROR(__xludf.DUMMYFUNCTION("""COMPUTED_VALUE"""),-7.801763444499954)</f>
        <v>-7.801763444</v>
      </c>
    </row>
    <row r="71">
      <c r="A71" s="30" t="str">
        <f>IFERROR(__xludf.DUMMYFUNCTION("""COMPUTED_VALUE"""),"RSC006934")</f>
        <v>RSC006934</v>
      </c>
      <c r="B71" s="30" t="str">
        <f>IFERROR(__xludf.DUMMYFUNCTION("""COMPUTED_VALUE"""),"TPM_CheezeTV")</f>
        <v>TPM_CheezeTV</v>
      </c>
      <c r="C71" s="30" t="str">
        <f>IFERROR(__xludf.DUMMYFUNCTION("""COMPUTED_VALUE"""),"Prospect")</f>
        <v>Prospect</v>
      </c>
      <c r="D71" s="30" t="str">
        <f>IFERROR(__xludf.DUMMYFUNCTION("""COMPUTED_VALUE"""),"Gloom")</f>
        <v>Gloom</v>
      </c>
      <c r="E71" s="30" t="str">
        <f>IFERROR(__xludf.DUMMYFUNCTION("""COMPUTED_VALUE"""),"The Shadows")</f>
        <v>The Shadows</v>
      </c>
      <c r="F71" s="30" t="str">
        <f>IFERROR(__xludf.DUMMYFUNCTION("""COMPUTED_VALUE"""),"N/A")</f>
        <v>N/A</v>
      </c>
      <c r="G71" s="92">
        <f>IFERROR(__xludf.DUMMYFUNCTION("""COMPUTED_VALUE"""),43.85999376227423)</f>
        <v>43.85999376</v>
      </c>
    </row>
    <row r="72">
      <c r="A72" s="30" t="str">
        <f>IFERROR(__xludf.DUMMYFUNCTION("""COMPUTED_VALUE"""),"RSC007864")</f>
        <v>RSC007864</v>
      </c>
      <c r="B72" s="30" t="str">
        <f>IFERROR(__xludf.DUMMYFUNCTION("""COMPUTED_VALUE"""),"z . a . c")</f>
        <v>z . a . c</v>
      </c>
      <c r="C72" s="30" t="str">
        <f>IFERROR(__xludf.DUMMYFUNCTION("""COMPUTED_VALUE"""),"Prospect")</f>
        <v>Prospect</v>
      </c>
      <c r="D72" s="30" t="str">
        <f>IFERROR(__xludf.DUMMYFUNCTION("""COMPUTED_VALUE"""),"Khans")</f>
        <v>Khans</v>
      </c>
      <c r="E72" s="30" t="str">
        <f>IFERROR(__xludf.DUMMYFUNCTION("""COMPUTED_VALUE"""),"Monarchy")</f>
        <v>Monarchy</v>
      </c>
      <c r="F72" s="30" t="str">
        <f>IFERROR(__xludf.DUMMYFUNCTION("""COMPUTED_VALUE"""),"N/A")</f>
        <v>N/A</v>
      </c>
      <c r="G72" s="92">
        <f>IFERROR(__xludf.DUMMYFUNCTION("""COMPUTED_VALUE"""),30.673948100506202)</f>
        <v>30.6739481</v>
      </c>
    </row>
    <row r="73">
      <c r="A73" s="30" t="str">
        <f>IFERROR(__xludf.DUMMYFUNCTION("""COMPUTED_VALUE"""),"RSC006344")</f>
        <v>RSC006344</v>
      </c>
      <c r="B73" s="30" t="str">
        <f>IFERROR(__xludf.DUMMYFUNCTION("""COMPUTED_VALUE"""),"FerrisCrueller")</f>
        <v>FerrisCrueller</v>
      </c>
      <c r="C73" s="30" t="str">
        <f>IFERROR(__xludf.DUMMYFUNCTION("""COMPUTED_VALUE"""),"Prospect")</f>
        <v>Prospect</v>
      </c>
      <c r="D73" s="30" t="str">
        <f>IFERROR(__xludf.DUMMYFUNCTION("""COMPUTED_VALUE"""),"Poppy")</f>
        <v>Poppy</v>
      </c>
      <c r="E73" s="30" t="str">
        <f>IFERROR(__xludf.DUMMYFUNCTION("""COMPUTED_VALUE"""),"Flower Road")</f>
        <v>Flower Road</v>
      </c>
      <c r="F73" s="30" t="str">
        <f>IFERROR(__xludf.DUMMYFUNCTION("""COMPUTED_VALUE"""),"N/A")</f>
        <v>N/A</v>
      </c>
      <c r="G73" s="92">
        <f>IFERROR(__xludf.DUMMYFUNCTION("""COMPUTED_VALUE"""),39.16673035933756)</f>
        <v>39.16673036</v>
      </c>
    </row>
    <row r="74">
      <c r="A74" s="30" t="str">
        <f>IFERROR(__xludf.DUMMYFUNCTION("""COMPUTED_VALUE"""),"RSC005909")</f>
        <v>RSC005909</v>
      </c>
      <c r="B74" s="30" t="str">
        <f>IFERROR(__xludf.DUMMYFUNCTION("""COMPUTED_VALUE"""),"YadiCraft")</f>
        <v>YadiCraft</v>
      </c>
      <c r="C74" s="30" t="str">
        <f>IFERROR(__xludf.DUMMYFUNCTION("""COMPUTED_VALUE"""),"Prospect")</f>
        <v>Prospect</v>
      </c>
      <c r="D74" s="30" t="str">
        <f>IFERROR(__xludf.DUMMYFUNCTION("""COMPUTED_VALUE"""),"Hawaiian Pizza")</f>
        <v>Hawaiian Pizza</v>
      </c>
      <c r="E74" s="30" t="str">
        <f>IFERROR(__xludf.DUMMYFUNCTION("""COMPUTED_VALUE"""),"Fifty-Fifty Pizzeria")</f>
        <v>Fifty-Fifty Pizzeria</v>
      </c>
      <c r="F74" s="30" t="str">
        <f>IFERROR(__xludf.DUMMYFUNCTION("""COMPUTED_VALUE"""),"N/A")</f>
        <v>N/A</v>
      </c>
      <c r="G74" s="92">
        <f>IFERROR(__xludf.DUMMYFUNCTION("""COMPUTED_VALUE"""),47.140875968954546)</f>
        <v>47.14087597</v>
      </c>
    </row>
    <row r="75">
      <c r="A75" s="30" t="str">
        <f>IFERROR(__xludf.DUMMYFUNCTION("""COMPUTED_VALUE"""),"RSC007866")</f>
        <v>RSC007866</v>
      </c>
      <c r="B75" s="30" t="str">
        <f>IFERROR(__xludf.DUMMYFUNCTION("""COMPUTED_VALUE"""),"Swzyy GN")</f>
        <v>Swzyy GN</v>
      </c>
      <c r="C75" s="30" t="str">
        <f>IFERROR(__xludf.DUMMYFUNCTION("""COMPUTED_VALUE"""),"Prospect")</f>
        <v>Prospect</v>
      </c>
      <c r="D75" s="30" t="str">
        <f>IFERROR(__xludf.DUMMYFUNCTION("""COMPUTED_VALUE"""),"Prism Proteges")</f>
        <v>Prism Proteges</v>
      </c>
      <c r="E75" s="30" t="str">
        <f>IFERROR(__xludf.DUMMYFUNCTION("""COMPUTED_VALUE"""),"Art Club")</f>
        <v>Art Club</v>
      </c>
      <c r="F75" s="30" t="str">
        <f>IFERROR(__xludf.DUMMYFUNCTION("""COMPUTED_VALUE"""),"N/A")</f>
        <v>N/A</v>
      </c>
      <c r="G75" s="92">
        <f>IFERROR(__xludf.DUMMYFUNCTION("""COMPUTED_VALUE"""),36.6227205372467)</f>
        <v>36.62272054</v>
      </c>
    </row>
    <row r="76">
      <c r="A76" s="30" t="str">
        <f>IFERROR(__xludf.DUMMYFUNCTION("""COMPUTED_VALUE"""),"RSC007515")</f>
        <v>RSC007515</v>
      </c>
      <c r="B76" s="30" t="str">
        <f>IFERROR(__xludf.DUMMYFUNCTION("""COMPUTED_VALUE"""),"superstrikzz")</f>
        <v>superstrikzz</v>
      </c>
      <c r="C76" s="30" t="str">
        <f>IFERROR(__xludf.DUMMYFUNCTION("""COMPUTED_VALUE"""),"Contender")</f>
        <v>Contender</v>
      </c>
      <c r="D76" s="30" t="str">
        <f>IFERROR(__xludf.DUMMYFUNCTION("""COMPUTED_VALUE"""),"Clover")</f>
        <v>Clover</v>
      </c>
      <c r="E76" s="30" t="str">
        <f>IFERROR(__xludf.DUMMYFUNCTION("""COMPUTED_VALUE"""),"Flower Road")</f>
        <v>Flower Road</v>
      </c>
      <c r="F76" s="30" t="str">
        <f>IFERROR(__xludf.DUMMYFUNCTION("""COMPUTED_VALUE"""),"Lunar")</f>
        <v>Lunar</v>
      </c>
      <c r="G76" s="92">
        <f>IFERROR(__xludf.DUMMYFUNCTION("""COMPUTED_VALUE"""),70.22610515618805)</f>
        <v>70.22610516</v>
      </c>
    </row>
    <row r="77">
      <c r="A77" s="30" t="str">
        <f>IFERROR(__xludf.DUMMYFUNCTION("""COMPUTED_VALUE"""),"RSC003153")</f>
        <v>RSC003153</v>
      </c>
      <c r="B77" s="30" t="str">
        <f>IFERROR(__xludf.DUMMYFUNCTION("""COMPUTED_VALUE"""),"Theman")</f>
        <v>Theman</v>
      </c>
      <c r="C77" s="30" t="str">
        <f>IFERROR(__xludf.DUMMYFUNCTION("""COMPUTED_VALUE"""),"Contender")</f>
        <v>Contender</v>
      </c>
      <c r="D77" s="30" t="str">
        <f>IFERROR(__xludf.DUMMYFUNCTION("""COMPUTED_VALUE"""),"Clover")</f>
        <v>Clover</v>
      </c>
      <c r="E77" s="30" t="str">
        <f>IFERROR(__xludf.DUMMYFUNCTION("""COMPUTED_VALUE"""),"Flower Road")</f>
        <v>Flower Road</v>
      </c>
      <c r="F77" s="30" t="str">
        <f>IFERROR(__xludf.DUMMYFUNCTION("""COMPUTED_VALUE"""),"Lunar")</f>
        <v>Lunar</v>
      </c>
      <c r="G77" s="92">
        <f>IFERROR(__xludf.DUMMYFUNCTION("""COMPUTED_VALUE"""),35.861135835060196)</f>
        <v>35.86113584</v>
      </c>
    </row>
    <row r="78">
      <c r="A78" s="30" t="str">
        <f>IFERROR(__xludf.DUMMYFUNCTION("""COMPUTED_VALUE"""),"RSC007918")</f>
        <v>RSC007918</v>
      </c>
      <c r="B78" s="30" t="str">
        <f>IFERROR(__xludf.DUMMYFUNCTION("""COMPUTED_VALUE"""),"TheBLKBoy")</f>
        <v>TheBLKBoy</v>
      </c>
      <c r="C78" s="30" t="str">
        <f>IFERROR(__xludf.DUMMYFUNCTION("""COMPUTED_VALUE"""),"Contender")</f>
        <v>Contender</v>
      </c>
      <c r="D78" s="30" t="str">
        <f>IFERROR(__xludf.DUMMYFUNCTION("""COMPUTED_VALUE"""),"Clover")</f>
        <v>Clover</v>
      </c>
      <c r="E78" s="30" t="str">
        <f>IFERROR(__xludf.DUMMYFUNCTION("""COMPUTED_VALUE"""),"Flower Road")</f>
        <v>Flower Road</v>
      </c>
      <c r="F78" s="30" t="str">
        <f>IFERROR(__xludf.DUMMYFUNCTION("""COMPUTED_VALUE"""),"Lunar")</f>
        <v>Lunar</v>
      </c>
      <c r="G78" s="92">
        <f>IFERROR(__xludf.DUMMYFUNCTION("""COMPUTED_VALUE"""),53.15181148454002)</f>
        <v>53.15181148</v>
      </c>
    </row>
    <row r="79">
      <c r="A79" s="30" t="str">
        <f>IFERROR(__xludf.DUMMYFUNCTION("""COMPUTED_VALUE"""),"RSC001262")</f>
        <v>RSC001262</v>
      </c>
      <c r="B79" s="30" t="str">
        <f>IFERROR(__xludf.DUMMYFUNCTION("""COMPUTED_VALUE"""),"droogin01")</f>
        <v>droogin01</v>
      </c>
      <c r="C79" s="30" t="str">
        <f>IFERROR(__xludf.DUMMYFUNCTION("""COMPUTED_VALUE"""),"Contender")</f>
        <v>Contender</v>
      </c>
      <c r="D79" s="30" t="str">
        <f>IFERROR(__xludf.DUMMYFUNCTION("""COMPUTED_VALUE"""),"Zebras")</f>
        <v>Zebras</v>
      </c>
      <c r="E79" s="30" t="str">
        <f>IFERROR(__xludf.DUMMYFUNCTION("""COMPUTED_VALUE"""),"Safari")</f>
        <v>Safari</v>
      </c>
      <c r="F79" s="30" t="str">
        <f>IFERROR(__xludf.DUMMYFUNCTION("""COMPUTED_VALUE"""),"Lunar")</f>
        <v>Lunar</v>
      </c>
      <c r="G79" s="92">
        <f>IFERROR(__xludf.DUMMYFUNCTION("""COMPUTED_VALUE"""),61.0653548817009)</f>
        <v>61.06535488</v>
      </c>
    </row>
    <row r="80">
      <c r="A80" s="30" t="str">
        <f>IFERROR(__xludf.DUMMYFUNCTION("""COMPUTED_VALUE"""),"RSC006919")</f>
        <v>RSC006919</v>
      </c>
      <c r="B80" s="30" t="str">
        <f>IFERROR(__xludf.DUMMYFUNCTION("""COMPUTED_VALUE"""),"rinny_b0y")</f>
        <v>rinny_b0y</v>
      </c>
      <c r="C80" s="30" t="str">
        <f>IFERROR(__xludf.DUMMYFUNCTION("""COMPUTED_VALUE"""),"Contender")</f>
        <v>Contender</v>
      </c>
      <c r="D80" s="30" t="str">
        <f>IFERROR(__xludf.DUMMYFUNCTION("""COMPUTED_VALUE"""),"Zebras")</f>
        <v>Zebras</v>
      </c>
      <c r="E80" s="30" t="str">
        <f>IFERROR(__xludf.DUMMYFUNCTION("""COMPUTED_VALUE"""),"Safari")</f>
        <v>Safari</v>
      </c>
      <c r="F80" s="30" t="str">
        <f>IFERROR(__xludf.DUMMYFUNCTION("""COMPUTED_VALUE"""),"Lunar")</f>
        <v>Lunar</v>
      </c>
      <c r="G80" s="92">
        <f>IFERROR(__xludf.DUMMYFUNCTION("""COMPUTED_VALUE"""),26.035577436433247)</f>
        <v>26.03557744</v>
      </c>
    </row>
    <row r="81">
      <c r="A81" s="30" t="str">
        <f>IFERROR(__xludf.DUMMYFUNCTION("""COMPUTED_VALUE"""),"RSC007910")</f>
        <v>RSC007910</v>
      </c>
      <c r="B81" s="30" t="str">
        <f>IFERROR(__xludf.DUMMYFUNCTION("""COMPUTED_VALUE"""),"TTVCAPTAINDRC")</f>
        <v>TTVCAPTAINDRC</v>
      </c>
      <c r="C81" s="30" t="str">
        <f>IFERROR(__xludf.DUMMYFUNCTION("""COMPUTED_VALUE"""),"Contender")</f>
        <v>Contender</v>
      </c>
      <c r="D81" s="30" t="str">
        <f>IFERROR(__xludf.DUMMYFUNCTION("""COMPUTED_VALUE"""),"Zebras")</f>
        <v>Zebras</v>
      </c>
      <c r="E81" s="30" t="str">
        <f>IFERROR(__xludf.DUMMYFUNCTION("""COMPUTED_VALUE"""),"Safari")</f>
        <v>Safari</v>
      </c>
      <c r="F81" s="30" t="str">
        <f>IFERROR(__xludf.DUMMYFUNCTION("""COMPUTED_VALUE"""),"Lunar")</f>
        <v>Lunar</v>
      </c>
      <c r="G81" s="92">
        <f>IFERROR(__xludf.DUMMYFUNCTION("""COMPUTED_VALUE"""),18.360159532905058)</f>
        <v>18.36015953</v>
      </c>
    </row>
    <row r="82">
      <c r="A82" s="30" t="str">
        <f>IFERROR(__xludf.DUMMYFUNCTION("""COMPUTED_VALUE"""),"RSC007894")</f>
        <v>RSC007894</v>
      </c>
      <c r="B82" s="30" t="str">
        <f>IFERROR(__xludf.DUMMYFUNCTION("""COMPUTED_VALUE"""),"BlackCoop03")</f>
        <v>BlackCoop03</v>
      </c>
      <c r="C82" s="30" t="str">
        <f>IFERROR(__xludf.DUMMYFUNCTION("""COMPUTED_VALUE"""),"Contender")</f>
        <v>Contender</v>
      </c>
      <c r="D82" s="30" t="str">
        <f>IFERROR(__xludf.DUMMYFUNCTION("""COMPUTED_VALUE"""),"Clover")</f>
        <v>Clover</v>
      </c>
      <c r="E82" s="30" t="str">
        <f>IFERROR(__xludf.DUMMYFUNCTION("""COMPUTED_VALUE"""),"Flower Road")</f>
        <v>Flower Road</v>
      </c>
      <c r="F82" s="30" t="str">
        <f>IFERROR(__xludf.DUMMYFUNCTION("""COMPUTED_VALUE"""),"Lunar")</f>
        <v>Lunar</v>
      </c>
      <c r="G82" s="92">
        <f>IFERROR(__xludf.DUMMYFUNCTION("""COMPUTED_VALUE"""),58.1673439541212)</f>
        <v>58.16734395</v>
      </c>
    </row>
    <row r="83">
      <c r="A83" s="30" t="str">
        <f>IFERROR(__xludf.DUMMYFUNCTION("""COMPUTED_VALUE"""),"RSC007465")</f>
        <v>RSC007465</v>
      </c>
      <c r="B83" s="30" t="str">
        <f>IFERROR(__xludf.DUMMYFUNCTION("""COMPUTED_VALUE"""),"xReaperDenTTV")</f>
        <v>xReaperDenTTV</v>
      </c>
      <c r="C83" s="30" t="str">
        <f>IFERROR(__xludf.DUMMYFUNCTION("""COMPUTED_VALUE"""),"Contender")</f>
        <v>Contender</v>
      </c>
      <c r="D83" s="30" t="str">
        <f>IFERROR(__xludf.DUMMYFUNCTION("""COMPUTED_VALUE"""),"Zebras")</f>
        <v>Zebras</v>
      </c>
      <c r="E83" s="30" t="str">
        <f>IFERROR(__xludf.DUMMYFUNCTION("""COMPUTED_VALUE"""),"Safari")</f>
        <v>Safari</v>
      </c>
      <c r="F83" s="30" t="str">
        <f>IFERROR(__xludf.DUMMYFUNCTION("""COMPUTED_VALUE"""),"Lunar")</f>
        <v>Lunar</v>
      </c>
      <c r="G83" s="92">
        <f>IFERROR(__xludf.DUMMYFUNCTION("""COMPUTED_VALUE"""),61.77696303317568)</f>
        <v>61.77696303</v>
      </c>
    </row>
    <row r="84">
      <c r="A84" s="30" t="str">
        <f>IFERROR(__xludf.DUMMYFUNCTION("""COMPUTED_VALUE"""),"RSC007630")</f>
        <v>RSC007630</v>
      </c>
      <c r="B84" s="30" t="str">
        <f>IFERROR(__xludf.DUMMYFUNCTION("""COMPUTED_VALUE"""),"Grey")</f>
        <v>Grey</v>
      </c>
      <c r="C84" s="30" t="str">
        <f>IFERROR(__xludf.DUMMYFUNCTION("""COMPUTED_VALUE"""),"Contender")</f>
        <v>Contender</v>
      </c>
      <c r="D84" s="30" t="str">
        <f>IFERROR(__xludf.DUMMYFUNCTION("""COMPUTED_VALUE"""),"Rad Lads")</f>
        <v>Rad Lads</v>
      </c>
      <c r="E84" s="30" t="str">
        <f>IFERROR(__xludf.DUMMYFUNCTION("""COMPUTED_VALUE"""),"Vibe Tribe")</f>
        <v>Vibe Tribe</v>
      </c>
      <c r="F84" s="30" t="str">
        <f>IFERROR(__xludf.DUMMYFUNCTION("""COMPUTED_VALUE"""),"Lunar")</f>
        <v>Lunar</v>
      </c>
      <c r="G84" s="92">
        <f>IFERROR(__xludf.DUMMYFUNCTION("""COMPUTED_VALUE"""),59.07058281304424)</f>
        <v>59.07058281</v>
      </c>
    </row>
    <row r="85">
      <c r="A85" s="30" t="str">
        <f>IFERROR(__xludf.DUMMYFUNCTION("""COMPUTED_VALUE"""),"RSC006251")</f>
        <v>RSC006251</v>
      </c>
      <c r="B85" s="30" t="str">
        <f>IFERROR(__xludf.DUMMYFUNCTION("""COMPUTED_VALUE"""),"MiniTechniks")</f>
        <v>MiniTechniks</v>
      </c>
      <c r="C85" s="30" t="str">
        <f>IFERROR(__xludf.DUMMYFUNCTION("""COMPUTED_VALUE"""),"Contender")</f>
        <v>Contender</v>
      </c>
      <c r="D85" s="30" t="str">
        <f>IFERROR(__xludf.DUMMYFUNCTION("""COMPUTED_VALUE"""),"Rad Lads")</f>
        <v>Rad Lads</v>
      </c>
      <c r="E85" s="30" t="str">
        <f>IFERROR(__xludf.DUMMYFUNCTION("""COMPUTED_VALUE"""),"Vibe Tribe")</f>
        <v>Vibe Tribe</v>
      </c>
      <c r="F85" s="30" t="str">
        <f>IFERROR(__xludf.DUMMYFUNCTION("""COMPUTED_VALUE"""),"Lunar")</f>
        <v>Lunar</v>
      </c>
      <c r="G85" s="92">
        <f>IFERROR(__xludf.DUMMYFUNCTION("""COMPUTED_VALUE"""),64.93541340168481)</f>
        <v>64.9354134</v>
      </c>
    </row>
    <row r="86">
      <c r="A86" s="30" t="str">
        <f>IFERROR(__xludf.DUMMYFUNCTION("""COMPUTED_VALUE"""),"RSC006900")</f>
        <v>RSC006900</v>
      </c>
      <c r="B86" s="30" t="str">
        <f>IFERROR(__xludf.DUMMYFUNCTION("""COMPUTED_VALUE"""),"VeloxcityX")</f>
        <v>VeloxcityX</v>
      </c>
      <c r="C86" s="30" t="str">
        <f>IFERROR(__xludf.DUMMYFUNCTION("""COMPUTED_VALUE"""),"Contender")</f>
        <v>Contender</v>
      </c>
      <c r="D86" s="30" t="str">
        <f>IFERROR(__xludf.DUMMYFUNCTION("""COMPUTED_VALUE"""),"Rad Lads")</f>
        <v>Rad Lads</v>
      </c>
      <c r="E86" s="30" t="str">
        <f>IFERROR(__xludf.DUMMYFUNCTION("""COMPUTED_VALUE"""),"Vibe Tribe")</f>
        <v>Vibe Tribe</v>
      </c>
      <c r="F86" s="30" t="str">
        <f>IFERROR(__xludf.DUMMYFUNCTION("""COMPUTED_VALUE"""),"Lunar")</f>
        <v>Lunar</v>
      </c>
      <c r="G86" s="92">
        <f>IFERROR(__xludf.DUMMYFUNCTION("""COMPUTED_VALUE"""),47.39454503314186)</f>
        <v>47.39454503</v>
      </c>
    </row>
    <row r="87">
      <c r="A87" s="30" t="str">
        <f>IFERROR(__xludf.DUMMYFUNCTION("""COMPUTED_VALUE"""),"RSC007119")</f>
        <v>RSC007119</v>
      </c>
      <c r="B87" s="30" t="str">
        <f>IFERROR(__xludf.DUMMYFUNCTION("""COMPUTED_VALUE"""),"EvilSuperman_")</f>
        <v>EvilSuperman_</v>
      </c>
      <c r="C87" s="30" t="str">
        <f>IFERROR(__xludf.DUMMYFUNCTION("""COMPUTED_VALUE"""),"Contender")</f>
        <v>Contender</v>
      </c>
      <c r="D87" s="30" t="str">
        <f>IFERROR(__xludf.DUMMYFUNCTION("""COMPUTED_VALUE"""),"Celestial Cider")</f>
        <v>Celestial Cider</v>
      </c>
      <c r="E87" s="30" t="str">
        <f>IFERROR(__xludf.DUMMYFUNCTION("""COMPUTED_VALUE"""),"5 O'clock Nowhere")</f>
        <v>5 O'clock Nowhere</v>
      </c>
      <c r="F87" s="30" t="str">
        <f>IFERROR(__xludf.DUMMYFUNCTION("""COMPUTED_VALUE"""),"Solar")</f>
        <v>Solar</v>
      </c>
      <c r="G87" s="92">
        <f>IFERROR(__xludf.DUMMYFUNCTION("""COMPUTED_VALUE"""),12.397565578013086)</f>
        <v>12.39756558</v>
      </c>
    </row>
    <row r="88">
      <c r="A88" s="30" t="str">
        <f>IFERROR(__xludf.DUMMYFUNCTION("""COMPUTED_VALUE"""),"RSC005937")</f>
        <v>RSC005937</v>
      </c>
      <c r="B88" s="30" t="str">
        <f>IFERROR(__xludf.DUMMYFUNCTION("""COMPUTED_VALUE"""),"SlashFabo420")</f>
        <v>SlashFabo420</v>
      </c>
      <c r="C88" s="30" t="str">
        <f>IFERROR(__xludf.DUMMYFUNCTION("""COMPUTED_VALUE"""),"Contender")</f>
        <v>Contender</v>
      </c>
      <c r="D88" s="30" t="str">
        <f>IFERROR(__xludf.DUMMYFUNCTION("""COMPUTED_VALUE"""),"Celestial Cider")</f>
        <v>Celestial Cider</v>
      </c>
      <c r="E88" s="30" t="str">
        <f>IFERROR(__xludf.DUMMYFUNCTION("""COMPUTED_VALUE"""),"5 O'clock Nowhere")</f>
        <v>5 O'clock Nowhere</v>
      </c>
      <c r="F88" s="30" t="str">
        <f>IFERROR(__xludf.DUMMYFUNCTION("""COMPUTED_VALUE"""),"Solar")</f>
        <v>Solar</v>
      </c>
      <c r="G88" s="92">
        <f>IFERROR(__xludf.DUMMYFUNCTION("""COMPUTED_VALUE"""),29.49171459437834)</f>
        <v>29.49171459</v>
      </c>
    </row>
    <row r="89">
      <c r="A89" s="30" t="str">
        <f>IFERROR(__xludf.DUMMYFUNCTION("""COMPUTED_VALUE"""),"RSC000086")</f>
        <v>RSC000086</v>
      </c>
      <c r="B89" s="30" t="str">
        <f>IFERROR(__xludf.DUMMYFUNCTION("""COMPUTED_VALUE"""),"Stale Popcorn")</f>
        <v>Stale Popcorn</v>
      </c>
      <c r="C89" s="30" t="str">
        <f>IFERROR(__xludf.DUMMYFUNCTION("""COMPUTED_VALUE"""),"Contender")</f>
        <v>Contender</v>
      </c>
      <c r="D89" s="30" t="str">
        <f>IFERROR(__xludf.DUMMYFUNCTION("""COMPUTED_VALUE"""),"Toothpaste
Celestial Cider")</f>
        <v>Toothpaste
Celestial Cider</v>
      </c>
      <c r="E89" s="30" t="str">
        <f>IFERROR(__xludf.DUMMYFUNCTION("""COMPUTED_VALUE"""),"Minty Fresh
5 O'clock Nowhere")</f>
        <v>Minty Fresh
5 O'clock Nowhere</v>
      </c>
      <c r="F89" s="30" t="str">
        <f>IFERROR(__xludf.DUMMYFUNCTION("""COMPUTED_VALUE"""),"Solar")</f>
        <v>Solar</v>
      </c>
      <c r="G89" s="92">
        <f>IFERROR(__xludf.DUMMYFUNCTION("""COMPUTED_VALUE"""),46.0916975438361)</f>
        <v>46.09169754</v>
      </c>
    </row>
    <row r="90">
      <c r="A90" s="30" t="str">
        <f>IFERROR(__xludf.DUMMYFUNCTION("""COMPUTED_VALUE"""),"RSC006880")</f>
        <v>RSC006880</v>
      </c>
      <c r="B90" s="30" t="str">
        <f>IFERROR(__xludf.DUMMYFUNCTION("""COMPUTED_VALUE"""),"Kenjicat17")</f>
        <v>Kenjicat17</v>
      </c>
      <c r="C90" s="30" t="str">
        <f>IFERROR(__xludf.DUMMYFUNCTION("""COMPUTED_VALUE"""),"Contender")</f>
        <v>Contender</v>
      </c>
      <c r="D90" s="30" t="str">
        <f>IFERROR(__xludf.DUMMYFUNCTION("""COMPUTED_VALUE"""),"Ice")</f>
        <v>Ice</v>
      </c>
      <c r="E90" s="30" t="str">
        <f>IFERROR(__xludf.DUMMYFUNCTION("""COMPUTED_VALUE"""),"The Elements")</f>
        <v>The Elements</v>
      </c>
      <c r="F90" s="30" t="str">
        <f>IFERROR(__xludf.DUMMYFUNCTION("""COMPUTED_VALUE"""),"Solar")</f>
        <v>Solar</v>
      </c>
      <c r="G90" s="92">
        <f>IFERROR(__xludf.DUMMYFUNCTION("""COMPUTED_VALUE"""),38.629898523506796)</f>
        <v>38.62989852</v>
      </c>
    </row>
    <row r="91">
      <c r="A91" s="30" t="str">
        <f>IFERROR(__xludf.DUMMYFUNCTION("""COMPUTED_VALUE"""),"RSC005550")</f>
        <v>RSC005550</v>
      </c>
      <c r="B91" s="30" t="str">
        <f>IFERROR(__xludf.DUMMYFUNCTION("""COMPUTED_VALUE"""),"Shraggaholic")</f>
        <v>Shraggaholic</v>
      </c>
      <c r="C91" s="30" t="str">
        <f>IFERROR(__xludf.DUMMYFUNCTION("""COMPUTED_VALUE"""),"Contender")</f>
        <v>Contender</v>
      </c>
      <c r="D91" s="30" t="str">
        <f>IFERROR(__xludf.DUMMYFUNCTION("""COMPUTED_VALUE"""),"Ice")</f>
        <v>Ice</v>
      </c>
      <c r="E91" s="30" t="str">
        <f>IFERROR(__xludf.DUMMYFUNCTION("""COMPUTED_VALUE"""),"The Elements")</f>
        <v>The Elements</v>
      </c>
      <c r="F91" s="30" t="str">
        <f>IFERROR(__xludf.DUMMYFUNCTION("""COMPUTED_VALUE"""),"Solar")</f>
        <v>Solar</v>
      </c>
      <c r="G91" s="92">
        <f>IFERROR(__xludf.DUMMYFUNCTION("""COMPUTED_VALUE"""),42.69154574618104)</f>
        <v>42.69154575</v>
      </c>
    </row>
    <row r="92">
      <c r="A92" s="30" t="str">
        <f>IFERROR(__xludf.DUMMYFUNCTION("""COMPUTED_VALUE"""),"RSC007153")</f>
        <v>RSC007153</v>
      </c>
      <c r="B92" s="30" t="str">
        <f>IFERROR(__xludf.DUMMYFUNCTION("""COMPUTED_VALUE"""),"Washyman111670")</f>
        <v>Washyman111670</v>
      </c>
      <c r="C92" s="30" t="str">
        <f>IFERROR(__xludf.DUMMYFUNCTION("""COMPUTED_VALUE"""),"Contender")</f>
        <v>Contender</v>
      </c>
      <c r="D92" s="30" t="str">
        <f>IFERROR(__xludf.DUMMYFUNCTION("""COMPUTED_VALUE"""),"Ice")</f>
        <v>Ice</v>
      </c>
      <c r="E92" s="30" t="str">
        <f>IFERROR(__xludf.DUMMYFUNCTION("""COMPUTED_VALUE"""),"The Elements")</f>
        <v>The Elements</v>
      </c>
      <c r="F92" s="30" t="str">
        <f>IFERROR(__xludf.DUMMYFUNCTION("""COMPUTED_VALUE"""),"Solar")</f>
        <v>Solar</v>
      </c>
      <c r="G92" s="92">
        <f>IFERROR(__xludf.DUMMYFUNCTION("""COMPUTED_VALUE"""),73.34723587492547)</f>
        <v>73.34723587</v>
      </c>
    </row>
    <row r="93">
      <c r="A93" s="30" t="str">
        <f>IFERROR(__xludf.DUMMYFUNCTION("""COMPUTED_VALUE"""),"RSC007885")</f>
        <v>RSC007885</v>
      </c>
      <c r="B93" s="30" t="str">
        <f>IFERROR(__xludf.DUMMYFUNCTION("""COMPUTED_VALUE"""),"Larkspur")</f>
        <v>Larkspur</v>
      </c>
      <c r="C93" s="30" t="str">
        <f>IFERROR(__xludf.DUMMYFUNCTION("""COMPUTED_VALUE"""),"Contender")</f>
        <v>Contender</v>
      </c>
      <c r="D93" s="30" t="str">
        <f>IFERROR(__xludf.DUMMYFUNCTION("""COMPUTED_VALUE"""),"Rheas")</f>
        <v>Rheas</v>
      </c>
      <c r="E93" s="30" t="str">
        <f>IFERROR(__xludf.DUMMYFUNCTION("""COMPUTED_VALUE"""),"Flightless Fowl")</f>
        <v>Flightless Fowl</v>
      </c>
      <c r="F93" s="30" t="str">
        <f>IFERROR(__xludf.DUMMYFUNCTION("""COMPUTED_VALUE"""),"Solar")</f>
        <v>Solar</v>
      </c>
      <c r="G93" s="92">
        <f>IFERROR(__xludf.DUMMYFUNCTION("""COMPUTED_VALUE"""),83.8413270806391)</f>
        <v>83.84132708</v>
      </c>
    </row>
    <row r="94">
      <c r="A94" s="30" t="str">
        <f>IFERROR(__xludf.DUMMYFUNCTION("""COMPUTED_VALUE"""),"RSC007165")</f>
        <v>RSC007165</v>
      </c>
      <c r="B94" s="30" t="str">
        <f>IFERROR(__xludf.DUMMYFUNCTION("""COMPUTED_VALUE"""),"BRG")</f>
        <v>BRG</v>
      </c>
      <c r="C94" s="30" t="str">
        <f>IFERROR(__xludf.DUMMYFUNCTION("""COMPUTED_VALUE"""),"Contender")</f>
        <v>Contender</v>
      </c>
      <c r="D94" s="30" t="str">
        <f>IFERROR(__xludf.DUMMYFUNCTION("""COMPUTED_VALUE"""),"Rheas")</f>
        <v>Rheas</v>
      </c>
      <c r="E94" s="30" t="str">
        <f>IFERROR(__xludf.DUMMYFUNCTION("""COMPUTED_VALUE"""),"Flightless Fowl")</f>
        <v>Flightless Fowl</v>
      </c>
      <c r="F94" s="30" t="str">
        <f>IFERROR(__xludf.DUMMYFUNCTION("""COMPUTED_VALUE"""),"Solar")</f>
        <v>Solar</v>
      </c>
      <c r="G94" s="92">
        <f>IFERROR(__xludf.DUMMYFUNCTION("""COMPUTED_VALUE"""),47.491321037706086)</f>
        <v>47.49132104</v>
      </c>
    </row>
    <row r="95">
      <c r="A95" s="30" t="str">
        <f>IFERROR(__xludf.DUMMYFUNCTION("""COMPUTED_VALUE"""),"RSC007537")</f>
        <v>RSC007537</v>
      </c>
      <c r="B95" s="30" t="str">
        <f>IFERROR(__xludf.DUMMYFUNCTION("""COMPUTED_VALUE"""),"yoshawatt")</f>
        <v>yoshawatt</v>
      </c>
      <c r="C95" s="30" t="str">
        <f>IFERROR(__xludf.DUMMYFUNCTION("""COMPUTED_VALUE"""),"Contender")</f>
        <v>Contender</v>
      </c>
      <c r="D95" s="30" t="str">
        <f>IFERROR(__xludf.DUMMYFUNCTION("""COMPUTED_VALUE"""),"Rheas")</f>
        <v>Rheas</v>
      </c>
      <c r="E95" s="30" t="str">
        <f>IFERROR(__xludf.DUMMYFUNCTION("""COMPUTED_VALUE"""),"Flightless Fowl")</f>
        <v>Flightless Fowl</v>
      </c>
      <c r="F95" s="30" t="str">
        <f>IFERROR(__xludf.DUMMYFUNCTION("""COMPUTED_VALUE"""),"Solar")</f>
        <v>Solar</v>
      </c>
      <c r="G95" s="92">
        <f>IFERROR(__xludf.DUMMYFUNCTION("""COMPUTED_VALUE"""),81.14585136299755)</f>
        <v>81.14585136</v>
      </c>
    </row>
    <row r="96">
      <c r="A96" s="30" t="str">
        <f>IFERROR(__xludf.DUMMYFUNCTION("""COMPUTED_VALUE"""),"RSC007284")</f>
        <v>RSC007284</v>
      </c>
      <c r="B96" s="30" t="str">
        <f>IFERROR(__xludf.DUMMYFUNCTION("""COMPUTED_VALUE"""),"7aco104")</f>
        <v>7aco104</v>
      </c>
      <c r="C96" s="30" t="str">
        <f>IFERROR(__xludf.DUMMYFUNCTION("""COMPUTED_VALUE"""),"Contender")</f>
        <v>Contender</v>
      </c>
      <c r="D96" s="30" t="str">
        <f>IFERROR(__xludf.DUMMYFUNCTION("""COMPUTED_VALUE"""),"Cheese Pizza")</f>
        <v>Cheese Pizza</v>
      </c>
      <c r="E96" s="30" t="str">
        <f>IFERROR(__xludf.DUMMYFUNCTION("""COMPUTED_VALUE"""),"Fifty-Fifty Pizzeria")</f>
        <v>Fifty-Fifty Pizzeria</v>
      </c>
      <c r="F96" s="30" t="str">
        <f>IFERROR(__xludf.DUMMYFUNCTION("""COMPUTED_VALUE"""),"Lunar")</f>
        <v>Lunar</v>
      </c>
      <c r="G96" s="92">
        <f>IFERROR(__xludf.DUMMYFUNCTION("""COMPUTED_VALUE"""),81.16429048384819)</f>
        <v>81.16429048</v>
      </c>
    </row>
    <row r="97">
      <c r="A97" s="30" t="str">
        <f>IFERROR(__xludf.DUMMYFUNCTION("""COMPUTED_VALUE"""),"RSC003223")</f>
        <v>RSC003223</v>
      </c>
      <c r="B97" s="30" t="str">
        <f>IFERROR(__xludf.DUMMYFUNCTION("""COMPUTED_VALUE"""),"AZoroARK")</f>
        <v>AZoroARK</v>
      </c>
      <c r="C97" s="30" t="str">
        <f>IFERROR(__xludf.DUMMYFUNCTION("""COMPUTED_VALUE"""),"Contender")</f>
        <v>Contender</v>
      </c>
      <c r="D97" s="30" t="str">
        <f>IFERROR(__xludf.DUMMYFUNCTION("""COMPUTED_VALUE"""),"Cheese Pizza")</f>
        <v>Cheese Pizza</v>
      </c>
      <c r="E97" s="30" t="str">
        <f>IFERROR(__xludf.DUMMYFUNCTION("""COMPUTED_VALUE"""),"Fifty-Fifty Pizzeria")</f>
        <v>Fifty-Fifty Pizzeria</v>
      </c>
      <c r="F97" s="30" t="str">
        <f>IFERROR(__xludf.DUMMYFUNCTION("""COMPUTED_VALUE"""),"Lunar")</f>
        <v>Lunar</v>
      </c>
      <c r="G97" s="92">
        <f>IFERROR(__xludf.DUMMYFUNCTION("""COMPUTED_VALUE"""),55.02766956626269)</f>
        <v>55.02766957</v>
      </c>
    </row>
    <row r="98">
      <c r="A98" s="30" t="str">
        <f>IFERROR(__xludf.DUMMYFUNCTION("""COMPUTED_VALUE"""),"RSC006640")</f>
        <v>RSC006640</v>
      </c>
      <c r="B98" s="30" t="str">
        <f>IFERROR(__xludf.DUMMYFUNCTION("""COMPUTED_VALUE"""),"VeryBadKittyCat")</f>
        <v>VeryBadKittyCat</v>
      </c>
      <c r="C98" s="30" t="str">
        <f>IFERROR(__xludf.DUMMYFUNCTION("""COMPUTED_VALUE"""),"Contender")</f>
        <v>Contender</v>
      </c>
      <c r="D98" s="30" t="str">
        <f>IFERROR(__xludf.DUMMYFUNCTION("""COMPUTED_VALUE"""),"Cheese Pizza")</f>
        <v>Cheese Pizza</v>
      </c>
      <c r="E98" s="30" t="str">
        <f>IFERROR(__xludf.DUMMYFUNCTION("""COMPUTED_VALUE"""),"Fifty-Fifty Pizzeria")</f>
        <v>Fifty-Fifty Pizzeria</v>
      </c>
      <c r="F98" s="30" t="str">
        <f>IFERROR(__xludf.DUMMYFUNCTION("""COMPUTED_VALUE"""),"Lunar")</f>
        <v>Lunar</v>
      </c>
      <c r="G98" s="92">
        <f>IFERROR(__xludf.DUMMYFUNCTION("""COMPUTED_VALUE"""),63.12822612926782)</f>
        <v>63.12822613</v>
      </c>
    </row>
    <row r="99">
      <c r="A99" s="30" t="str">
        <f>IFERROR(__xludf.DUMMYFUNCTION("""COMPUTED_VALUE"""),"RSC006784")</f>
        <v>RSC006784</v>
      </c>
      <c r="B99" s="30" t="str">
        <f>IFERROR(__xludf.DUMMYFUNCTION("""COMPUTED_VALUE"""),"KittyMeowMeow360")</f>
        <v>KittyMeowMeow360</v>
      </c>
      <c r="C99" s="30" t="str">
        <f>IFERROR(__xludf.DUMMYFUNCTION("""COMPUTED_VALUE"""),"Contender")</f>
        <v>Contender</v>
      </c>
      <c r="D99" s="30" t="str">
        <f>IFERROR(__xludf.DUMMYFUNCTION("""COMPUTED_VALUE"""),"Legionaries")</f>
        <v>Legionaries</v>
      </c>
      <c r="E99" s="30" t="str">
        <f>IFERROR(__xludf.DUMMYFUNCTION("""COMPUTED_VALUE"""),"The Sovereign")</f>
        <v>The Sovereign</v>
      </c>
      <c r="F99" s="30" t="str">
        <f>IFERROR(__xludf.DUMMYFUNCTION("""COMPUTED_VALUE"""),"Lunar")</f>
        <v>Lunar</v>
      </c>
      <c r="G99" s="92">
        <f>IFERROR(__xludf.DUMMYFUNCTION("""COMPUTED_VALUE"""),43.40555203774414)</f>
        <v>43.40555204</v>
      </c>
    </row>
    <row r="100">
      <c r="A100" s="30" t="str">
        <f>IFERROR(__xludf.DUMMYFUNCTION("""COMPUTED_VALUE"""),"RSC006441")</f>
        <v>RSC006441</v>
      </c>
      <c r="B100" s="30" t="str">
        <f>IFERROR(__xludf.DUMMYFUNCTION("""COMPUTED_VALUE"""),"tvitchyramrod420")</f>
        <v>tvitchyramrod420</v>
      </c>
      <c r="C100" s="30" t="str">
        <f>IFERROR(__xludf.DUMMYFUNCTION("""COMPUTED_VALUE"""),"Contender")</f>
        <v>Contender</v>
      </c>
      <c r="D100" s="30" t="str">
        <f>IFERROR(__xludf.DUMMYFUNCTION("""COMPUTED_VALUE"""),"Legionaries")</f>
        <v>Legionaries</v>
      </c>
      <c r="E100" s="30" t="str">
        <f>IFERROR(__xludf.DUMMYFUNCTION("""COMPUTED_VALUE"""),"The Sovereign")</f>
        <v>The Sovereign</v>
      </c>
      <c r="F100" s="30" t="str">
        <f>IFERROR(__xludf.DUMMYFUNCTION("""COMPUTED_VALUE"""),"Lunar")</f>
        <v>Lunar</v>
      </c>
      <c r="G100" s="92">
        <f>IFERROR(__xludf.DUMMYFUNCTION("""COMPUTED_VALUE"""),29.417324301937818)</f>
        <v>29.4173243</v>
      </c>
    </row>
    <row r="101">
      <c r="A101" s="30" t="str">
        <f>IFERROR(__xludf.DUMMYFUNCTION("""COMPUTED_VALUE"""),"RSC004509")</f>
        <v>RSC004509</v>
      </c>
      <c r="B101" s="30" t="str">
        <f>IFERROR(__xludf.DUMMYFUNCTION("""COMPUTED_VALUE"""),"tazlien")</f>
        <v>tazlien</v>
      </c>
      <c r="C101" s="30" t="str">
        <f>IFERROR(__xludf.DUMMYFUNCTION("""COMPUTED_VALUE"""),"Contender")</f>
        <v>Contender</v>
      </c>
      <c r="D101" s="30" t="str">
        <f>IFERROR(__xludf.DUMMYFUNCTION("""COMPUTED_VALUE"""),"Zebras
Rad Lads
Legionaries")</f>
        <v>Zebras
Rad Lads
Legionaries</v>
      </c>
      <c r="E101" s="30" t="str">
        <f>IFERROR(__xludf.DUMMYFUNCTION("""COMPUTED_VALUE"""),"Safari
Vibe Tribe
The Sovereign")</f>
        <v>Safari
Vibe Tribe
The Sovereign</v>
      </c>
      <c r="F101" s="30" t="str">
        <f>IFERROR(__xludf.DUMMYFUNCTION("""COMPUTED_VALUE"""),"Lunar")</f>
        <v>Lunar</v>
      </c>
      <c r="G101" s="92">
        <f>IFERROR(__xludf.DUMMYFUNCTION("""COMPUTED_VALUE"""),42.508314870873946)</f>
        <v>42.50831487</v>
      </c>
    </row>
    <row r="102">
      <c r="A102" s="30" t="str">
        <f>IFERROR(__xludf.DUMMYFUNCTION("""COMPUTED_VALUE"""),"RSC007635")</f>
        <v>RSC007635</v>
      </c>
      <c r="B102" s="30" t="str">
        <f>IFERROR(__xludf.DUMMYFUNCTION("""COMPUTED_VALUE"""),"MungsApprentice")</f>
        <v>MungsApprentice</v>
      </c>
      <c r="C102" s="30" t="str">
        <f>IFERROR(__xludf.DUMMYFUNCTION("""COMPUTED_VALUE"""),"Contender")</f>
        <v>Contender</v>
      </c>
      <c r="D102" s="30" t="str">
        <f>IFERROR(__xludf.DUMMYFUNCTION("""COMPUTED_VALUE"""),"Ice")</f>
        <v>Ice</v>
      </c>
      <c r="E102" s="30" t="str">
        <f>IFERROR(__xludf.DUMMYFUNCTION("""COMPUTED_VALUE"""),"The Elements")</f>
        <v>The Elements</v>
      </c>
      <c r="F102" s="30" t="str">
        <f>IFERROR(__xludf.DUMMYFUNCTION("""COMPUTED_VALUE"""),"Solar")</f>
        <v>Solar</v>
      </c>
      <c r="G102" s="92">
        <f>IFERROR(__xludf.DUMMYFUNCTION("""COMPUTED_VALUE"""),32.004635456626175)</f>
        <v>32.00463546</v>
      </c>
    </row>
    <row r="103">
      <c r="A103" s="30" t="str">
        <f>IFERROR(__xludf.DUMMYFUNCTION("""COMPUTED_VALUE"""),"RSC006381")</f>
        <v>RSC006381</v>
      </c>
      <c r="B103" s="30" t="str">
        <f>IFERROR(__xludf.DUMMYFUNCTION("""COMPUTED_VALUE"""),"YERP_YERP02")</f>
        <v>YERP_YERP02</v>
      </c>
      <c r="C103" s="30" t="str">
        <f>IFERROR(__xludf.DUMMYFUNCTION("""COMPUTED_VALUE"""),"Contender")</f>
        <v>Contender</v>
      </c>
      <c r="D103" s="30" t="str">
        <f>IFERROR(__xludf.DUMMYFUNCTION("""COMPUTED_VALUE"""),"Rad Lads")</f>
        <v>Rad Lads</v>
      </c>
      <c r="E103" s="30" t="str">
        <f>IFERROR(__xludf.DUMMYFUNCTION("""COMPUTED_VALUE"""),"Vibe Tribe")</f>
        <v>Vibe Tribe</v>
      </c>
      <c r="F103" s="30" t="str">
        <f>IFERROR(__xludf.DUMMYFUNCTION("""COMPUTED_VALUE"""),"Lunar")</f>
        <v>Lunar</v>
      </c>
      <c r="G103" s="92">
        <f>IFERROR(__xludf.DUMMYFUNCTION("""COMPUTED_VALUE"""),57.00497459887541)</f>
        <v>57.0049746</v>
      </c>
    </row>
    <row r="104">
      <c r="A104" s="30" t="str">
        <f>IFERROR(__xludf.DUMMYFUNCTION("""COMPUTED_VALUE"""),"RSC005974")</f>
        <v>RSC005974</v>
      </c>
      <c r="B104" s="30" t="str">
        <f>IFERROR(__xludf.DUMMYFUNCTION("""COMPUTED_VALUE"""),"Angry-Hermit")</f>
        <v>Angry-Hermit</v>
      </c>
      <c r="C104" s="30" t="str">
        <f>IFERROR(__xludf.DUMMYFUNCTION("""COMPUTED_VALUE"""),"Contender")</f>
        <v>Contender</v>
      </c>
      <c r="D104" s="30" t="str">
        <f>IFERROR(__xludf.DUMMYFUNCTION("""COMPUTED_VALUE"""),"Devoured")</f>
        <v>Devoured</v>
      </c>
      <c r="E104" s="30" t="str">
        <f>IFERROR(__xludf.DUMMYFUNCTION("""COMPUTED_VALUE"""),"Destined")</f>
        <v>Destined</v>
      </c>
      <c r="F104" s="30" t="str">
        <f>IFERROR(__xludf.DUMMYFUNCTION("""COMPUTED_VALUE"""),"Solar")</f>
        <v>Solar</v>
      </c>
      <c r="G104" s="92">
        <f>IFERROR(__xludf.DUMMYFUNCTION("""COMPUTED_VALUE"""),34.48263632910054)</f>
        <v>34.48263633</v>
      </c>
    </row>
    <row r="105">
      <c r="A105" s="30" t="str">
        <f>IFERROR(__xludf.DUMMYFUNCTION("""COMPUTED_VALUE"""),"RSC007520")</f>
        <v>RSC007520</v>
      </c>
      <c r="B105" s="30" t="str">
        <f>IFERROR(__xludf.DUMMYFUNCTION("""COMPUTED_VALUE"""),"Blitzzzzz.")</f>
        <v>Blitzzzzz.</v>
      </c>
      <c r="C105" s="30" t="str">
        <f>IFERROR(__xludf.DUMMYFUNCTION("""COMPUTED_VALUE"""),"Contender")</f>
        <v>Contender</v>
      </c>
      <c r="D105" s="30" t="str">
        <f>IFERROR(__xludf.DUMMYFUNCTION("""COMPUTED_VALUE"""),"Devoured")</f>
        <v>Devoured</v>
      </c>
      <c r="E105" s="30" t="str">
        <f>IFERROR(__xludf.DUMMYFUNCTION("""COMPUTED_VALUE"""),"Destined")</f>
        <v>Destined</v>
      </c>
      <c r="F105" s="30" t="str">
        <f>IFERROR(__xludf.DUMMYFUNCTION("""COMPUTED_VALUE"""),"Solar")</f>
        <v>Solar</v>
      </c>
      <c r="G105" s="92">
        <f>IFERROR(__xludf.DUMMYFUNCTION("""COMPUTED_VALUE"""),51.07357817321217)</f>
        <v>51.07357817</v>
      </c>
    </row>
    <row r="106">
      <c r="A106" s="30" t="str">
        <f>IFERROR(__xludf.DUMMYFUNCTION("""COMPUTED_VALUE"""),"RSC005759")</f>
        <v>RSC005759</v>
      </c>
      <c r="B106" s="30" t="str">
        <f>IFERROR(__xludf.DUMMYFUNCTION("""COMPUTED_VALUE"""),"XerNaut")</f>
        <v>XerNaut</v>
      </c>
      <c r="C106" s="30" t="str">
        <f>IFERROR(__xludf.DUMMYFUNCTION("""COMPUTED_VALUE"""),"Contender")</f>
        <v>Contender</v>
      </c>
      <c r="D106" s="30" t="str">
        <f>IFERROR(__xludf.DUMMYFUNCTION("""COMPUTED_VALUE"""),"Devoured")</f>
        <v>Devoured</v>
      </c>
      <c r="E106" s="30" t="str">
        <f>IFERROR(__xludf.DUMMYFUNCTION("""COMPUTED_VALUE"""),"Destined")</f>
        <v>Destined</v>
      </c>
      <c r="F106" s="30" t="str">
        <f>IFERROR(__xludf.DUMMYFUNCTION("""COMPUTED_VALUE"""),"Solar")</f>
        <v>Solar</v>
      </c>
      <c r="G106" s="92">
        <f>IFERROR(__xludf.DUMMYFUNCTION("""COMPUTED_VALUE"""),51.98205042749776)</f>
        <v>51.98205043</v>
      </c>
    </row>
    <row r="107">
      <c r="A107" s="30" t="str">
        <f>IFERROR(__xludf.DUMMYFUNCTION("""COMPUTED_VALUE"""),"RSC006817")</f>
        <v>RSC006817</v>
      </c>
      <c r="B107" s="30" t="str">
        <f>IFERROR(__xludf.DUMMYFUNCTION("""COMPUTED_VALUE"""),"Froz3nSlack5r")</f>
        <v>Froz3nSlack5r</v>
      </c>
      <c r="C107" s="30" t="str">
        <f>IFERROR(__xludf.DUMMYFUNCTION("""COMPUTED_VALUE"""),"Contender")</f>
        <v>Contender</v>
      </c>
      <c r="D107" s="30" t="str">
        <f>IFERROR(__xludf.DUMMYFUNCTION("""COMPUTED_VALUE"""),"Celestial Cider
Toothpaste")</f>
        <v>Celestial Cider
Toothpaste</v>
      </c>
      <c r="E107" s="30" t="str">
        <f>IFERROR(__xludf.DUMMYFUNCTION("""COMPUTED_VALUE"""),"5 O'clock Nowhere
Minty Fresh")</f>
        <v>5 O'clock Nowhere
Minty Fresh</v>
      </c>
      <c r="F107" s="30" t="str">
        <f>IFERROR(__xludf.DUMMYFUNCTION("""COMPUTED_VALUE"""),"Solar")</f>
        <v>Solar</v>
      </c>
      <c r="G107" s="92">
        <f>IFERROR(__xludf.DUMMYFUNCTION("""COMPUTED_VALUE"""),48.26591560456107)</f>
        <v>48.2659156</v>
      </c>
    </row>
    <row r="108">
      <c r="A108" s="30" t="str">
        <f>IFERROR(__xludf.DUMMYFUNCTION("""COMPUTED_VALUE"""),"RSC000323")</f>
        <v>RSC000323</v>
      </c>
      <c r="B108" s="30" t="str">
        <f>IFERROR(__xludf.DUMMYFUNCTION("""COMPUTED_VALUE"""),"Styk75")</f>
        <v>Styk75</v>
      </c>
      <c r="C108" s="30" t="str">
        <f>IFERROR(__xludf.DUMMYFUNCTION("""COMPUTED_VALUE"""),"Contender")</f>
        <v>Contender</v>
      </c>
      <c r="D108" s="30" t="str">
        <f>IFERROR(__xludf.DUMMYFUNCTION("""COMPUTED_VALUE"""),"Toothpaste")</f>
        <v>Toothpaste</v>
      </c>
      <c r="E108" s="30" t="str">
        <f>IFERROR(__xludf.DUMMYFUNCTION("""COMPUTED_VALUE"""),"Minty Fresh")</f>
        <v>Minty Fresh</v>
      </c>
      <c r="F108" s="30" t="str">
        <f>IFERROR(__xludf.DUMMYFUNCTION("""COMPUTED_VALUE"""),"Solar")</f>
        <v>Solar</v>
      </c>
      <c r="G108" s="92">
        <f>IFERROR(__xludf.DUMMYFUNCTION("""COMPUTED_VALUE"""),11.53543170803222)</f>
        <v>11.53543171</v>
      </c>
    </row>
    <row r="109">
      <c r="A109" s="30" t="str">
        <f>IFERROR(__xludf.DUMMYFUNCTION("""COMPUTED_VALUE"""),"RSC005870")</f>
        <v>RSC005870</v>
      </c>
      <c r="B109" s="30" t="str">
        <f>IFERROR(__xludf.DUMMYFUNCTION("""COMPUTED_VALUE"""),"Evil twin")</f>
        <v>Evil twin</v>
      </c>
      <c r="C109" s="30" t="str">
        <f>IFERROR(__xludf.DUMMYFUNCTION("""COMPUTED_VALUE"""),"Contender")</f>
        <v>Contender</v>
      </c>
      <c r="D109" s="30" t="str">
        <f>IFERROR(__xludf.DUMMYFUNCTION("""COMPUTED_VALUE"""),"Toothpaste")</f>
        <v>Toothpaste</v>
      </c>
      <c r="E109" s="30" t="str">
        <f>IFERROR(__xludf.DUMMYFUNCTION("""COMPUTED_VALUE"""),"Minty Fresh")</f>
        <v>Minty Fresh</v>
      </c>
      <c r="F109" s="30" t="str">
        <f>IFERROR(__xludf.DUMMYFUNCTION("""COMPUTED_VALUE"""),"Solar")</f>
        <v>Solar</v>
      </c>
      <c r="G109" s="92">
        <f>IFERROR(__xludf.DUMMYFUNCTION("""COMPUTED_VALUE"""),46.48554611041989)</f>
        <v>46.48554611</v>
      </c>
    </row>
    <row r="110">
      <c r="A110" s="30" t="str">
        <f>IFERROR(__xludf.DUMMYFUNCTION("""COMPUTED_VALUE"""),"RSC004708")</f>
        <v>RSC004708</v>
      </c>
      <c r="B110" s="30" t="str">
        <f>IFERROR(__xludf.DUMMYFUNCTION("""COMPUTED_VALUE"""),"loganskito")</f>
        <v>loganskito</v>
      </c>
      <c r="C110" s="30" t="str">
        <f>IFERROR(__xludf.DUMMYFUNCTION("""COMPUTED_VALUE"""),"Contender")</f>
        <v>Contender</v>
      </c>
      <c r="D110" s="30" t="str">
        <f>IFERROR(__xludf.DUMMYFUNCTION("""COMPUTED_VALUE"""),"Legionaries")</f>
        <v>Legionaries</v>
      </c>
      <c r="E110" s="30" t="str">
        <f>IFERROR(__xludf.DUMMYFUNCTION("""COMPUTED_VALUE"""),"The Sovereign")</f>
        <v>The Sovereign</v>
      </c>
      <c r="F110" s="30" t="str">
        <f>IFERROR(__xludf.DUMMYFUNCTION("""COMPUTED_VALUE"""),"Lunar")</f>
        <v>Lunar</v>
      </c>
      <c r="G110" s="92">
        <f>IFERROR(__xludf.DUMMYFUNCTION("""COMPUTED_VALUE"""),48.712461314360475)</f>
        <v>48.71246131</v>
      </c>
    </row>
    <row r="111">
      <c r="A111" s="30" t="str">
        <f>IFERROR(__xludf.DUMMYFUNCTION("""COMPUTED_VALUE"""),"RSC007271")</f>
        <v>RSC007271</v>
      </c>
      <c r="B111" s="30" t="str">
        <f>IFERROR(__xludf.DUMMYFUNCTION("""COMPUTED_VALUE"""),"Darth. -.-")</f>
        <v>Darth. -.-</v>
      </c>
      <c r="C111" s="30" t="str">
        <f>IFERROR(__xludf.DUMMYFUNCTION("""COMPUTED_VALUE"""),"Contender")</f>
        <v>Contender</v>
      </c>
      <c r="D111" s="30" t="str">
        <f>IFERROR(__xludf.DUMMYFUNCTION("""COMPUTED_VALUE"""),"Toothpaste")</f>
        <v>Toothpaste</v>
      </c>
      <c r="E111" s="30" t="str">
        <f>IFERROR(__xludf.DUMMYFUNCTION("""COMPUTED_VALUE"""),"Minty Fresh")</f>
        <v>Minty Fresh</v>
      </c>
      <c r="F111" s="30" t="str">
        <f>IFERROR(__xludf.DUMMYFUNCTION("""COMPUTED_VALUE"""),"Solar")</f>
        <v>Solar</v>
      </c>
      <c r="G111" s="92">
        <f>IFERROR(__xludf.DUMMYFUNCTION("""COMPUTED_VALUE"""),39.5611764860798)</f>
        <v>39.56117649</v>
      </c>
    </row>
    <row r="112">
      <c r="A112" s="30" t="str">
        <f>IFERROR(__xludf.DUMMYFUNCTION("""COMPUTED_VALUE"""),"RSC006024")</f>
        <v>RSC006024</v>
      </c>
      <c r="B112" s="30" t="str">
        <f>IFERROR(__xludf.DUMMYFUNCTION("""COMPUTED_VALUE"""),"DrizzyDaDizzy")</f>
        <v>DrizzyDaDizzy</v>
      </c>
      <c r="C112" s="30" t="str">
        <f>IFERROR(__xludf.DUMMYFUNCTION("""COMPUTED_VALUE"""),"Contender")</f>
        <v>Contender</v>
      </c>
      <c r="D112" s="30" t="str">
        <f>IFERROR(__xludf.DUMMYFUNCTION("""COMPUTED_VALUE"""),"Devoured")</f>
        <v>Devoured</v>
      </c>
      <c r="E112" s="30" t="str">
        <f>IFERROR(__xludf.DUMMYFUNCTION("""COMPUTED_VALUE"""),"Destined")</f>
        <v>Destined</v>
      </c>
      <c r="F112" s="30" t="str">
        <f>IFERROR(__xludf.DUMMYFUNCTION("""COMPUTED_VALUE"""),"Solar")</f>
        <v>Solar</v>
      </c>
      <c r="G112" s="92">
        <f>IFERROR(__xludf.DUMMYFUNCTION("""COMPUTED_VALUE"""),25.245379163909043)</f>
        <v>25.24537916</v>
      </c>
    </row>
    <row r="113">
      <c r="A113" s="30" t="str">
        <f>IFERROR(__xludf.DUMMYFUNCTION("""COMPUTED_VALUE"""),"RSC000963")</f>
        <v>RSC000963</v>
      </c>
      <c r="B113" s="30" t="str">
        <f>IFERROR(__xludf.DUMMYFUNCTION("""COMPUTED_VALUE"""),"Sup3rm4n")</f>
        <v>Sup3rm4n</v>
      </c>
      <c r="C113" s="30" t="str">
        <f>IFERROR(__xludf.DUMMYFUNCTION("""COMPUTED_VALUE"""),"Contender")</f>
        <v>Contender</v>
      </c>
      <c r="D113" s="30" t="str">
        <f>IFERROR(__xludf.DUMMYFUNCTION("""COMPUTED_VALUE"""),"Rheas")</f>
        <v>Rheas</v>
      </c>
      <c r="E113" s="30" t="str">
        <f>IFERROR(__xludf.DUMMYFUNCTION("""COMPUTED_VALUE"""),"Flightless Fowl")</f>
        <v>Flightless Fowl</v>
      </c>
      <c r="F113" s="30" t="str">
        <f>IFERROR(__xludf.DUMMYFUNCTION("""COMPUTED_VALUE"""),"Solar")</f>
        <v>Solar</v>
      </c>
      <c r="G113" s="92">
        <f>IFERROR(__xludf.DUMMYFUNCTION("""COMPUTED_VALUE"""),39.7789690907854)</f>
        <v>39.77896909</v>
      </c>
    </row>
    <row r="114">
      <c r="A114" s="30" t="str">
        <f>IFERROR(__xludf.DUMMYFUNCTION("""COMPUTED_VALUE"""),"RSC007203")</f>
        <v>RSC007203</v>
      </c>
      <c r="B114" s="30" t="str">
        <f>IFERROR(__xludf.DUMMYFUNCTION("""COMPUTED_VALUE"""),"CoachJimmy_TECT")</f>
        <v>CoachJimmy_TECT</v>
      </c>
      <c r="C114" s="30" t="str">
        <f>IFERROR(__xludf.DUMMYFUNCTION("""COMPUTED_VALUE"""),"Contender")</f>
        <v>Contender</v>
      </c>
      <c r="D114" s="30" t="str">
        <f>IFERROR(__xludf.DUMMYFUNCTION("""COMPUTED_VALUE"""),"Celestial Cider")</f>
        <v>Celestial Cider</v>
      </c>
      <c r="E114" s="30" t="str">
        <f>IFERROR(__xludf.DUMMYFUNCTION("""COMPUTED_VALUE"""),"5 O'clock Nowhere")</f>
        <v>5 O'clock Nowhere</v>
      </c>
      <c r="F114" s="30" t="str">
        <f>IFERROR(__xludf.DUMMYFUNCTION("""COMPUTED_VALUE"""),"Solar")</f>
        <v>Solar</v>
      </c>
      <c r="G114" s="92">
        <f>IFERROR(__xludf.DUMMYFUNCTION("""COMPUTED_VALUE"""),67.84502490892515)</f>
        <v>67.84502491</v>
      </c>
    </row>
    <row r="115">
      <c r="A115" s="30" t="str">
        <f>IFERROR(__xludf.DUMMYFUNCTION("""COMPUTED_VALUE"""),"RSC007538")</f>
        <v>RSC007538</v>
      </c>
      <c r="B115" s="30" t="str">
        <f>IFERROR(__xludf.DUMMYFUNCTION("""COMPUTED_VALUE"""),"FattyMcChef04")</f>
        <v>FattyMcChef04</v>
      </c>
      <c r="C115" s="30" t="str">
        <f>IFERROR(__xludf.DUMMYFUNCTION("""COMPUTED_VALUE"""),"Contender")</f>
        <v>Contender</v>
      </c>
      <c r="D115" s="30" t="str">
        <f>IFERROR(__xludf.DUMMYFUNCTION("""COMPUTED_VALUE"""),"Cheese Pizza")</f>
        <v>Cheese Pizza</v>
      </c>
      <c r="E115" s="30" t="str">
        <f>IFERROR(__xludf.DUMMYFUNCTION("""COMPUTED_VALUE"""),"Fifty-Fifty Pizzeria")</f>
        <v>Fifty-Fifty Pizzeria</v>
      </c>
      <c r="F115" s="30" t="str">
        <f>IFERROR(__xludf.DUMMYFUNCTION("""COMPUTED_VALUE"""),"Lunar")</f>
        <v>Lunar</v>
      </c>
      <c r="G115" s="92">
        <f>IFERROR(__xludf.DUMMYFUNCTION("""COMPUTED_VALUE"""),19.070995167619344)</f>
        <v>19.07099517</v>
      </c>
    </row>
    <row r="116">
      <c r="A116" s="30" t="str">
        <f>IFERROR(__xludf.DUMMYFUNCTION("""COMPUTED_VALUE"""),"RSC006439")</f>
        <v>RSC006439</v>
      </c>
      <c r="B116" s="30" t="str">
        <f>IFERROR(__xludf.DUMMYFUNCTION("""COMPUTED_VALUE"""),"sel_en_ium")</f>
        <v>sel_en_ium</v>
      </c>
      <c r="C116" s="30" t="str">
        <f>IFERROR(__xludf.DUMMYFUNCTION("""COMPUTED_VALUE"""),"Contender")</f>
        <v>Contender</v>
      </c>
      <c r="D116" s="30" t="str">
        <f>IFERROR(__xludf.DUMMYFUNCTION("""COMPUTED_VALUE"""),"Cheese Pizza")</f>
        <v>Cheese Pizza</v>
      </c>
      <c r="E116" s="30" t="str">
        <f>IFERROR(__xludf.DUMMYFUNCTION("""COMPUTED_VALUE"""),"Fifty-Fifty Pizzeria")</f>
        <v>Fifty-Fifty Pizzeria</v>
      </c>
      <c r="F116" s="30" t="str">
        <f>IFERROR(__xludf.DUMMYFUNCTION("""COMPUTED_VALUE"""),"Lunar")</f>
        <v>Lunar</v>
      </c>
      <c r="G116" s="92">
        <f>IFERROR(__xludf.DUMMYFUNCTION("""COMPUTED_VALUE"""),102.25150687520923)</f>
        <v>102.2515069</v>
      </c>
    </row>
    <row r="117">
      <c r="A117" s="30" t="str">
        <f>IFERROR(__xludf.DUMMYFUNCTION("""COMPUTED_VALUE"""),"RSC005527")</f>
        <v>RSC005527</v>
      </c>
      <c r="B117" s="30" t="str">
        <f>IFERROR(__xludf.DUMMYFUNCTION("""COMPUTED_VALUE"""),"Colossus4203316")</f>
        <v>Colossus4203316</v>
      </c>
      <c r="C117" s="30" t="str">
        <f>IFERROR(__xludf.DUMMYFUNCTION("""COMPUTED_VALUE"""),"Contender")</f>
        <v>Contender</v>
      </c>
      <c r="D117" s="30" t="str">
        <f>IFERROR(__xludf.DUMMYFUNCTION("""COMPUTED_VALUE"""),"Zebras")</f>
        <v>Zebras</v>
      </c>
      <c r="E117" s="30" t="str">
        <f>IFERROR(__xludf.DUMMYFUNCTION("""COMPUTED_VALUE"""),"Safari")</f>
        <v>Safari</v>
      </c>
      <c r="F117" s="30" t="str">
        <f>IFERROR(__xludf.DUMMYFUNCTION("""COMPUTED_VALUE"""),"Lunar")</f>
        <v>Lunar</v>
      </c>
      <c r="G117" s="92">
        <f>IFERROR(__xludf.DUMMYFUNCTION("""COMPUTED_VALUE"""),-1.1414604160703732)</f>
        <v>-1.141460416</v>
      </c>
    </row>
    <row r="118">
      <c r="A118" s="30" t="str">
        <f>IFERROR(__xludf.DUMMYFUNCTION("""COMPUTED_VALUE"""),"RSC007513")</f>
        <v>RSC007513</v>
      </c>
      <c r="B118" s="30" t="str">
        <f>IFERROR(__xludf.DUMMYFUNCTION("""COMPUTED_VALUE"""),"Russ")</f>
        <v>Russ</v>
      </c>
      <c r="C118" s="30" t="str">
        <f>IFERROR(__xludf.DUMMYFUNCTION("""COMPUTED_VALUE"""),"Contender")</f>
        <v>Contender</v>
      </c>
      <c r="D118" s="30" t="str">
        <f>IFERROR(__xludf.DUMMYFUNCTION("""COMPUTED_VALUE"""),"Toothpaste
Cheese Pizza")</f>
        <v>Toothpaste
Cheese Pizza</v>
      </c>
      <c r="E118" s="30" t="str">
        <f>IFERROR(__xludf.DUMMYFUNCTION("""COMPUTED_VALUE"""),"Minty Fresh
Fifty-Fifty Pizzeria")</f>
        <v>Minty Fresh
Fifty-Fifty Pizzeria</v>
      </c>
      <c r="F118" s="30" t="str">
        <f>IFERROR(__xludf.DUMMYFUNCTION("""COMPUTED_VALUE"""),"Solar")</f>
        <v>Solar</v>
      </c>
      <c r="G118" s="92">
        <f>IFERROR(__xludf.DUMMYFUNCTION("""COMPUTED_VALUE"""),68.97738418314812)</f>
        <v>68.97738418</v>
      </c>
    </row>
    <row r="119">
      <c r="A119" s="30" t="str">
        <f>IFERROR(__xludf.DUMMYFUNCTION("""COMPUTED_VALUE"""),"RSC005714")</f>
        <v>RSC005714</v>
      </c>
      <c r="B119" s="30" t="str">
        <f>IFERROR(__xludf.DUMMYFUNCTION("""COMPUTED_VALUE"""),"T_i_m_o_g")</f>
        <v>T_i_m_o_g</v>
      </c>
      <c r="C119" s="30" t="str">
        <f>IFERROR(__xludf.DUMMYFUNCTION("""COMPUTED_VALUE"""),"Contender")</f>
        <v>Contender</v>
      </c>
      <c r="D119" s="30" t="str">
        <f>IFERROR(__xludf.DUMMYFUNCTION("""COMPUTED_VALUE"""),"Legionaries")</f>
        <v>Legionaries</v>
      </c>
      <c r="E119" s="30" t="str">
        <f>IFERROR(__xludf.DUMMYFUNCTION("""COMPUTED_VALUE"""),"The Sovereign")</f>
        <v>The Sovereign</v>
      </c>
      <c r="F119" s="30" t="str">
        <f>IFERROR(__xludf.DUMMYFUNCTION("""COMPUTED_VALUE"""),"Lunar")</f>
        <v>Lunar</v>
      </c>
      <c r="G119" s="92">
        <f>IFERROR(__xludf.DUMMYFUNCTION("""COMPUTED_VALUE"""),30.29437822060917)</f>
        <v>30.29437822</v>
      </c>
    </row>
    <row r="120">
      <c r="A120" s="30" t="str">
        <f>IFERROR(__xludf.DUMMYFUNCTION("""COMPUTED_VALUE"""),"RSC000989")</f>
        <v>RSC000989</v>
      </c>
      <c r="B120" s="30" t="str">
        <f>IFERROR(__xludf.DUMMYFUNCTION("""COMPUTED_VALUE"""),"Piky Life88")</f>
        <v>Piky Life88</v>
      </c>
      <c r="C120" s="30" t="str">
        <f>IFERROR(__xludf.DUMMYFUNCTION("""COMPUTED_VALUE"""),"Contender")</f>
        <v>Contender</v>
      </c>
      <c r="D120" s="30" t="str">
        <f>IFERROR(__xludf.DUMMYFUNCTION("""COMPUTED_VALUE"""),"Devoured
Clover")</f>
        <v>Devoured
Clover</v>
      </c>
      <c r="E120" s="30" t="str">
        <f>IFERROR(__xludf.DUMMYFUNCTION("""COMPUTED_VALUE"""),"Destined
Flower Road")</f>
        <v>Destined
Flower Road</v>
      </c>
      <c r="F120" s="30" t="str">
        <f>IFERROR(__xludf.DUMMYFUNCTION("""COMPUTED_VALUE"""),"Solar")</f>
        <v>Solar</v>
      </c>
      <c r="G120" s="92">
        <f>IFERROR(__xludf.DUMMYFUNCTION("""COMPUTED_VALUE"""),41.25996181426)</f>
        <v>41.25996181</v>
      </c>
    </row>
    <row r="121">
      <c r="A121" s="30" t="str">
        <f>IFERROR(__xludf.DUMMYFUNCTION("""COMPUTED_VALUE"""),"RSC006779")</f>
        <v>RSC006779</v>
      </c>
      <c r="B121" s="30" t="str">
        <f>IFERROR(__xludf.DUMMYFUNCTION("""COMPUTED_VALUE"""),"I am CANDYMAN")</f>
        <v>I am CANDYMAN</v>
      </c>
      <c r="C121" s="30" t="str">
        <f>IFERROR(__xludf.DUMMYFUNCTION("""COMPUTED_VALUE"""),"Contender")</f>
        <v>Contender</v>
      </c>
      <c r="D121" s="30" t="str">
        <f>IFERROR(__xludf.DUMMYFUNCTION("""COMPUTED_VALUE"""),"Legionaries")</f>
        <v>Legionaries</v>
      </c>
      <c r="E121" s="30" t="str">
        <f>IFERROR(__xludf.DUMMYFUNCTION("""COMPUTED_VALUE"""),"The Sovereign")</f>
        <v>The Sovereign</v>
      </c>
      <c r="F121" s="30" t="str">
        <f>IFERROR(__xludf.DUMMYFUNCTION("""COMPUTED_VALUE"""),"Lunar")</f>
        <v>Lunar</v>
      </c>
      <c r="G121" s="92">
        <f>IFERROR(__xludf.DUMMYFUNCTION("""COMPUTED_VALUE"""),35.763390688088386)</f>
        <v>35.76339069</v>
      </c>
    </row>
    <row r="122">
      <c r="A122" s="30" t="str">
        <f>IFERROR(__xludf.DUMMYFUNCTION("""COMPUTED_VALUE"""),"RSC001765")</f>
        <v>RSC001765</v>
      </c>
      <c r="B122" s="30" t="str">
        <f>IFERROR(__xludf.DUMMYFUNCTION("""COMPUTED_VALUE"""),"Trios")</f>
        <v>Trios</v>
      </c>
      <c r="C122" s="30" t="str">
        <f>IFERROR(__xludf.DUMMYFUNCTION("""COMPUTED_VALUE"""),"Contender")</f>
        <v>Contender</v>
      </c>
      <c r="D122" s="30" t="str">
        <f>IFERROR(__xludf.DUMMYFUNCTION("""COMPUTED_VALUE"""),"Toothpaste")</f>
        <v>Toothpaste</v>
      </c>
      <c r="E122" s="30" t="str">
        <f>IFERROR(__xludf.DUMMYFUNCTION("""COMPUTED_VALUE"""),"Minty Fresh")</f>
        <v>Minty Fresh</v>
      </c>
      <c r="F122" s="30" t="str">
        <f>IFERROR(__xludf.DUMMYFUNCTION("""COMPUTED_VALUE"""),"Solar")</f>
        <v>Solar</v>
      </c>
      <c r="G122" s="92">
        <f>IFERROR(__xludf.DUMMYFUNCTION("""COMPUTED_VALUE"""),-0.9567060663569151)</f>
        <v>-0.9567060664</v>
      </c>
    </row>
    <row r="123">
      <c r="A123" s="30" t="str">
        <f>IFERROR(__xludf.DUMMYFUNCTION("""COMPUTED_VALUE"""),"RSC007621")</f>
        <v>RSC007621</v>
      </c>
      <c r="B123" s="30" t="str">
        <f>IFERROR(__xludf.DUMMYFUNCTION("""COMPUTED_VALUE"""),"Classy-God57")</f>
        <v>Classy-God57</v>
      </c>
      <c r="C123" s="30" t="str">
        <f>IFERROR(__xludf.DUMMYFUNCTION("""COMPUTED_VALUE"""),"Amateur")</f>
        <v>Amateur</v>
      </c>
      <c r="D123" s="30" t="str">
        <f>IFERROR(__xludf.DUMMYFUNCTION("""COMPUTED_VALUE"""),"Winter Fresh")</f>
        <v>Winter Fresh</v>
      </c>
      <c r="E123" s="30" t="str">
        <f>IFERROR(__xludf.DUMMYFUNCTION("""COMPUTED_VALUE"""),"Minty Fresh")</f>
        <v>Minty Fresh</v>
      </c>
      <c r="F123" s="30" t="str">
        <f>IFERROR(__xludf.DUMMYFUNCTION("""COMPUTED_VALUE"""),"N/A")</f>
        <v>N/A</v>
      </c>
      <c r="G123" s="92">
        <f>IFERROR(__xludf.DUMMYFUNCTION("""COMPUTED_VALUE"""),58.78111137384204)</f>
        <v>58.78111137</v>
      </c>
    </row>
    <row r="124">
      <c r="A124" s="30" t="str">
        <f>IFERROR(__xludf.DUMMYFUNCTION("""COMPUTED_VALUE"""),"RSC007875")</f>
        <v>RSC007875</v>
      </c>
      <c r="B124" s="30" t="str">
        <f>IFERROR(__xludf.DUMMYFUNCTION("""COMPUTED_VALUE"""),"Flying__ferret")</f>
        <v>Flying__ferret</v>
      </c>
      <c r="C124" s="30" t="str">
        <f>IFERROR(__xludf.DUMMYFUNCTION("""COMPUTED_VALUE"""),"Amateur")</f>
        <v>Amateur</v>
      </c>
      <c r="D124" s="30" t="str">
        <f>IFERROR(__xludf.DUMMYFUNCTION("""COMPUTED_VALUE"""),"Winter Fresh")</f>
        <v>Winter Fresh</v>
      </c>
      <c r="E124" s="30" t="str">
        <f>IFERROR(__xludf.DUMMYFUNCTION("""COMPUTED_VALUE"""),"Minty Fresh")</f>
        <v>Minty Fresh</v>
      </c>
      <c r="F124" s="30" t="str">
        <f>IFERROR(__xludf.DUMMYFUNCTION("""COMPUTED_VALUE"""),"N/A")</f>
        <v>N/A</v>
      </c>
      <c r="G124" s="92">
        <f>IFERROR(__xludf.DUMMYFUNCTION("""COMPUTED_VALUE"""),41.51975856464725)</f>
        <v>41.51975856</v>
      </c>
    </row>
    <row r="125">
      <c r="A125" s="30" t="str">
        <f>IFERROR(__xludf.DUMMYFUNCTION("""COMPUTED_VALUE"""),"RSC006137")</f>
        <v>RSC006137</v>
      </c>
      <c r="B125" s="30" t="str">
        <f>IFERROR(__xludf.DUMMYFUNCTION("""COMPUTED_VALUE"""),"FULLBL00DN8V")</f>
        <v>FULLBL00DN8V</v>
      </c>
      <c r="C125" s="30" t="str">
        <f>IFERROR(__xludf.DUMMYFUNCTION("""COMPUTED_VALUE"""),"Amateur")</f>
        <v>Amateur</v>
      </c>
      <c r="D125" s="30" t="str">
        <f>IFERROR(__xludf.DUMMYFUNCTION("""COMPUTED_VALUE"""),"Winter Fresh")</f>
        <v>Winter Fresh</v>
      </c>
      <c r="E125" s="30" t="str">
        <f>IFERROR(__xludf.DUMMYFUNCTION("""COMPUTED_VALUE"""),"Minty Fresh")</f>
        <v>Minty Fresh</v>
      </c>
      <c r="F125" s="30" t="str">
        <f>IFERROR(__xludf.DUMMYFUNCTION("""COMPUTED_VALUE"""),"N/A")</f>
        <v>N/A</v>
      </c>
      <c r="G125" s="92">
        <f>IFERROR(__xludf.DUMMYFUNCTION("""COMPUTED_VALUE"""),38.04425639830199)</f>
        <v>38.0442564</v>
      </c>
    </row>
    <row r="126">
      <c r="A126" s="30" t="str">
        <f>IFERROR(__xludf.DUMMYFUNCTION("""COMPUTED_VALUE"""),"RSC007179")</f>
        <v>RSC007179</v>
      </c>
      <c r="B126" s="30" t="str">
        <f>IFERROR(__xludf.DUMMYFUNCTION("""COMPUTED_VALUE"""),"B0A._.")</f>
        <v>B0A._.</v>
      </c>
      <c r="C126" s="30" t="str">
        <f>IFERROR(__xludf.DUMMYFUNCTION("""COMPUTED_VALUE"""),"Amateur")</f>
        <v>Amateur</v>
      </c>
      <c r="D126" s="30" t="str">
        <f>IFERROR(__xludf.DUMMYFUNCTION("""COMPUTED_VALUE"""),"Aeon Ale")</f>
        <v>Aeon Ale</v>
      </c>
      <c r="E126" s="30" t="str">
        <f>IFERROR(__xludf.DUMMYFUNCTION("""COMPUTED_VALUE"""),"5 O'clock Nowhere")</f>
        <v>5 O'clock Nowhere</v>
      </c>
      <c r="F126" s="30" t="str">
        <f>IFERROR(__xludf.DUMMYFUNCTION("""COMPUTED_VALUE"""),"N/A")</f>
        <v>N/A</v>
      </c>
      <c r="G126" s="92">
        <f>IFERROR(__xludf.DUMMYFUNCTION("""COMPUTED_VALUE"""),90.76411677002521)</f>
        <v>90.76411677</v>
      </c>
    </row>
    <row r="127">
      <c r="A127" s="30" t="str">
        <f>IFERROR(__xludf.DUMMYFUNCTION("""COMPUTED_VALUE"""),"RSC006256")</f>
        <v>RSC006256</v>
      </c>
      <c r="B127" s="30" t="str">
        <f>IFERROR(__xludf.DUMMYFUNCTION("""COMPUTED_VALUE"""),"CascaUnbroken")</f>
        <v>CascaUnbroken</v>
      </c>
      <c r="C127" s="30" t="str">
        <f>IFERROR(__xludf.DUMMYFUNCTION("""COMPUTED_VALUE"""),"Amateur")</f>
        <v>Amateur</v>
      </c>
      <c r="D127" s="30" t="str">
        <f>IFERROR(__xludf.DUMMYFUNCTION("""COMPUTED_VALUE"""),"Aeon Ale")</f>
        <v>Aeon Ale</v>
      </c>
      <c r="E127" s="30" t="str">
        <f>IFERROR(__xludf.DUMMYFUNCTION("""COMPUTED_VALUE"""),"5 O'clock Nowhere")</f>
        <v>5 O'clock Nowhere</v>
      </c>
      <c r="F127" s="30" t="str">
        <f>IFERROR(__xludf.DUMMYFUNCTION("""COMPUTED_VALUE"""),"N/A")</f>
        <v>N/A</v>
      </c>
      <c r="G127" s="92">
        <f>IFERROR(__xludf.DUMMYFUNCTION("""COMPUTED_VALUE"""),70.28647512374434)</f>
        <v>70.28647512</v>
      </c>
    </row>
    <row r="128">
      <c r="A128" s="30" t="str">
        <f>IFERROR(__xludf.DUMMYFUNCTION("""COMPUTED_VALUE"""),"RSC007216")</f>
        <v>RSC007216</v>
      </c>
      <c r="B128" s="30" t="str">
        <f>IFERROR(__xludf.DUMMYFUNCTION("""COMPUTED_VALUE"""),"ASAPxLEG")</f>
        <v>ASAPxLEG</v>
      </c>
      <c r="C128" s="30" t="str">
        <f>IFERROR(__xludf.DUMMYFUNCTION("""COMPUTED_VALUE"""),"Amateur")</f>
        <v>Amateur</v>
      </c>
      <c r="D128" s="30" t="str">
        <f>IFERROR(__xludf.DUMMYFUNCTION("""COMPUTED_VALUE"""),"Aeon Ale")</f>
        <v>Aeon Ale</v>
      </c>
      <c r="E128" s="30" t="str">
        <f>IFERROR(__xludf.DUMMYFUNCTION("""COMPUTED_VALUE"""),"5 O'clock Nowhere")</f>
        <v>5 O'clock Nowhere</v>
      </c>
      <c r="F128" s="30" t="str">
        <f>IFERROR(__xludf.DUMMYFUNCTION("""COMPUTED_VALUE"""),"N/A")</f>
        <v>N/A</v>
      </c>
      <c r="G128" s="92">
        <f>IFERROR(__xludf.DUMMYFUNCTION("""COMPUTED_VALUE"""),60.25629291046699)</f>
        <v>60.25629291</v>
      </c>
    </row>
    <row r="129">
      <c r="A129" s="30" t="str">
        <f>IFERROR(__xludf.DUMMYFUNCTION("""COMPUTED_VALUE"""),"RSC007468")</f>
        <v>RSC007468</v>
      </c>
      <c r="B129" s="30" t="str">
        <f>IFERROR(__xludf.DUMMYFUNCTION("""COMPUTED_VALUE"""),"im_link42")</f>
        <v>im_link42</v>
      </c>
      <c r="C129" s="30" t="str">
        <f>IFERROR(__xludf.DUMMYFUNCTION("""COMPUTED_VALUE"""),"Amateur")</f>
        <v>Amateur</v>
      </c>
      <c r="D129" s="30" t="str">
        <f>IFERROR(__xludf.DUMMYFUNCTION("""COMPUTED_VALUE"""),"Amaranth")</f>
        <v>Amaranth</v>
      </c>
      <c r="E129" s="30" t="str">
        <f>IFERROR(__xludf.DUMMYFUNCTION("""COMPUTED_VALUE"""),"Flower Road")</f>
        <v>Flower Road</v>
      </c>
      <c r="F129" s="30" t="str">
        <f>IFERROR(__xludf.DUMMYFUNCTION("""COMPUTED_VALUE"""),"N/A")</f>
        <v>N/A</v>
      </c>
      <c r="G129" s="92">
        <f>IFERROR(__xludf.DUMMYFUNCTION("""COMPUTED_VALUE"""),56.97834113786346)</f>
        <v>56.97834114</v>
      </c>
    </row>
    <row r="130">
      <c r="A130" s="30" t="str">
        <f>IFERROR(__xludf.DUMMYFUNCTION("""COMPUTED_VALUE"""),"RSC007808")</f>
        <v>RSC007808</v>
      </c>
      <c r="B130" s="30" t="str">
        <f>IFERROR(__xludf.DUMMYFUNCTION("""COMPUTED_VALUE"""),"Navybrat44")</f>
        <v>Navybrat44</v>
      </c>
      <c r="C130" s="30" t="str">
        <f>IFERROR(__xludf.DUMMYFUNCTION("""COMPUTED_VALUE"""),"Amateur")</f>
        <v>Amateur</v>
      </c>
      <c r="D130" s="30" t="str">
        <f>IFERROR(__xludf.DUMMYFUNCTION("""COMPUTED_VALUE"""),"Amaranth")</f>
        <v>Amaranth</v>
      </c>
      <c r="E130" s="30" t="str">
        <f>IFERROR(__xludf.DUMMYFUNCTION("""COMPUTED_VALUE"""),"Flower Road")</f>
        <v>Flower Road</v>
      </c>
      <c r="F130" s="30" t="str">
        <f>IFERROR(__xludf.DUMMYFUNCTION("""COMPUTED_VALUE"""),"N/A")</f>
        <v>N/A</v>
      </c>
      <c r="G130" s="92">
        <f>IFERROR(__xludf.DUMMYFUNCTION("""COMPUTED_VALUE"""),59.715153918063706)</f>
        <v>59.71515392</v>
      </c>
    </row>
    <row r="131">
      <c r="A131" s="30" t="str">
        <f>IFERROR(__xludf.DUMMYFUNCTION("""COMPUTED_VALUE"""),"RSC007573")</f>
        <v>RSC007573</v>
      </c>
      <c r="B131" s="30" t="str">
        <f>IFERROR(__xludf.DUMMYFUNCTION("""COMPUTED_VALUE"""),"zag_42")</f>
        <v>zag_42</v>
      </c>
      <c r="C131" s="30" t="str">
        <f>IFERROR(__xludf.DUMMYFUNCTION("""COMPUTED_VALUE"""),"Amateur")</f>
        <v>Amateur</v>
      </c>
      <c r="D131" s="30" t="str">
        <f>IFERROR(__xludf.DUMMYFUNCTION("""COMPUTED_VALUE"""),"Amaranth")</f>
        <v>Amaranth</v>
      </c>
      <c r="E131" s="30" t="str">
        <f>IFERROR(__xludf.DUMMYFUNCTION("""COMPUTED_VALUE"""),"Flower Road")</f>
        <v>Flower Road</v>
      </c>
      <c r="F131" s="30" t="str">
        <f>IFERROR(__xludf.DUMMYFUNCTION("""COMPUTED_VALUE"""),"N/A")</f>
        <v>N/A</v>
      </c>
      <c r="G131" s="92">
        <f>IFERROR(__xludf.DUMMYFUNCTION("""COMPUTED_VALUE"""),21.011143145005807)</f>
        <v>21.01114315</v>
      </c>
    </row>
    <row r="132">
      <c r="A132" s="30" t="str">
        <f>IFERROR(__xludf.DUMMYFUNCTION("""COMPUTED_VALUE"""),"RSC007220")</f>
        <v>RSC007220</v>
      </c>
      <c r="B132" s="30" t="str">
        <f>IFERROR(__xludf.DUMMYFUNCTION("""COMPUTED_VALUE"""),"maxf")</f>
        <v>maxf</v>
      </c>
      <c r="C132" s="30" t="str">
        <f>IFERROR(__xludf.DUMMYFUNCTION("""COMPUTED_VALUE"""),"Amateur")</f>
        <v>Amateur</v>
      </c>
      <c r="D132" s="30" t="str">
        <f>IFERROR(__xludf.DUMMYFUNCTION("""COMPUTED_VALUE"""),"Garlic Knots")</f>
        <v>Garlic Knots</v>
      </c>
      <c r="E132" s="30" t="str">
        <f>IFERROR(__xludf.DUMMYFUNCTION("""COMPUTED_VALUE"""),"Fifty-Fifty Pizzeria")</f>
        <v>Fifty-Fifty Pizzeria</v>
      </c>
      <c r="F132" s="30" t="str">
        <f>IFERROR(__xludf.DUMMYFUNCTION("""COMPUTED_VALUE"""),"N/A")</f>
        <v>N/A</v>
      </c>
      <c r="G132" s="92">
        <f>IFERROR(__xludf.DUMMYFUNCTION("""COMPUTED_VALUE"""),48.336385776693305)</f>
        <v>48.33638578</v>
      </c>
    </row>
    <row r="133">
      <c r="A133" s="30" t="str">
        <f>IFERROR(__xludf.DUMMYFUNCTION("""COMPUTED_VALUE"""),"RSC007955")</f>
        <v>RSC007955</v>
      </c>
      <c r="B133" s="30" t="str">
        <f>IFERROR(__xludf.DUMMYFUNCTION("""COMPUTED_VALUE"""),"JonathanVanDyk")</f>
        <v>JonathanVanDyk</v>
      </c>
      <c r="C133" s="30" t="str">
        <f>IFERROR(__xludf.DUMMYFUNCTION("""COMPUTED_VALUE"""),"Amateur")</f>
        <v>Amateur</v>
      </c>
      <c r="D133" s="30" t="str">
        <f>IFERROR(__xludf.DUMMYFUNCTION("""COMPUTED_VALUE"""),"Garlic Knots")</f>
        <v>Garlic Knots</v>
      </c>
      <c r="E133" s="30" t="str">
        <f>IFERROR(__xludf.DUMMYFUNCTION("""COMPUTED_VALUE"""),"Fifty-Fifty Pizzeria")</f>
        <v>Fifty-Fifty Pizzeria</v>
      </c>
      <c r="F133" s="30" t="str">
        <f>IFERROR(__xludf.DUMMYFUNCTION("""COMPUTED_VALUE"""),"N/A")</f>
        <v>N/A</v>
      </c>
      <c r="G133" s="92">
        <f>IFERROR(__xludf.DUMMYFUNCTION("""COMPUTED_VALUE"""),66.86181042003815)</f>
        <v>66.86181042</v>
      </c>
    </row>
    <row r="134">
      <c r="A134" s="30" t="str">
        <f>IFERROR(__xludf.DUMMYFUNCTION("""COMPUTED_VALUE"""),"RSC007571")</f>
        <v>RSC007571</v>
      </c>
      <c r="B134" s="30" t="str">
        <f>IFERROR(__xludf.DUMMYFUNCTION("""COMPUTED_VALUE"""),"StephMoney2")</f>
        <v>StephMoney2</v>
      </c>
      <c r="C134" s="30" t="str">
        <f>IFERROR(__xludf.DUMMYFUNCTION("""COMPUTED_VALUE"""),"Amateur")</f>
        <v>Amateur</v>
      </c>
      <c r="D134" s="30" t="str">
        <f>IFERROR(__xludf.DUMMYFUNCTION("""COMPUTED_VALUE"""),"Garlic Knots")</f>
        <v>Garlic Knots</v>
      </c>
      <c r="E134" s="30" t="str">
        <f>IFERROR(__xludf.DUMMYFUNCTION("""COMPUTED_VALUE"""),"Fifty-Fifty Pizzeria")</f>
        <v>Fifty-Fifty Pizzeria</v>
      </c>
      <c r="F134" s="30" t="str">
        <f>IFERROR(__xludf.DUMMYFUNCTION("""COMPUTED_VALUE"""),"N/A")</f>
        <v>N/A</v>
      </c>
      <c r="G134" s="92">
        <f>IFERROR(__xludf.DUMMYFUNCTION("""COMPUTED_VALUE"""),73.24021876732658)</f>
        <v>73.24021877</v>
      </c>
    </row>
    <row r="135">
      <c r="A135" s="30" t="str">
        <f>IFERROR(__xludf.DUMMYFUNCTION("""COMPUTED_VALUE"""),"RSC000968")</f>
        <v>RSC000968</v>
      </c>
      <c r="B135" s="30" t="str">
        <f>IFERROR(__xludf.DUMMYFUNCTION("""COMPUTED_VALUE"""),"Tsg_raven5336")</f>
        <v>Tsg_raven5336</v>
      </c>
      <c r="C135" s="30" t="str">
        <f>IFERROR(__xludf.DUMMYFUNCTION("""COMPUTED_VALUE"""),"Amateur")</f>
        <v>Amateur</v>
      </c>
      <c r="D135" s="30" t="str">
        <f>IFERROR(__xludf.DUMMYFUNCTION("""COMPUTED_VALUE"""),"Hyenas")</f>
        <v>Hyenas</v>
      </c>
      <c r="E135" s="30" t="str">
        <f>IFERROR(__xludf.DUMMYFUNCTION("""COMPUTED_VALUE"""),"Safari")</f>
        <v>Safari</v>
      </c>
      <c r="F135" s="30" t="str">
        <f>IFERROR(__xludf.DUMMYFUNCTION("""COMPUTED_VALUE"""),"N/A")</f>
        <v>N/A</v>
      </c>
      <c r="G135" s="92">
        <f>IFERROR(__xludf.DUMMYFUNCTION("""COMPUTED_VALUE"""),-7.766953469920409)</f>
        <v>-7.76695347</v>
      </c>
    </row>
    <row r="136">
      <c r="A136" s="30" t="str">
        <f>IFERROR(__xludf.DUMMYFUNCTION("""COMPUTED_VALUE"""),"RSC007581")</f>
        <v>RSC007581</v>
      </c>
      <c r="B136" s="30" t="str">
        <f>IFERROR(__xludf.DUMMYFUNCTION("""COMPUTED_VALUE"""),"Wrecklessjay02")</f>
        <v>Wrecklessjay02</v>
      </c>
      <c r="C136" s="30" t="str">
        <f>IFERROR(__xludf.DUMMYFUNCTION("""COMPUTED_VALUE"""),"Amateur")</f>
        <v>Amateur</v>
      </c>
      <c r="D136" s="30" t="str">
        <f>IFERROR(__xludf.DUMMYFUNCTION("""COMPUTED_VALUE"""),"Hyenas")</f>
        <v>Hyenas</v>
      </c>
      <c r="E136" s="30" t="str">
        <f>IFERROR(__xludf.DUMMYFUNCTION("""COMPUTED_VALUE"""),"Safari")</f>
        <v>Safari</v>
      </c>
      <c r="F136" s="30" t="str">
        <f>IFERROR(__xludf.DUMMYFUNCTION("""COMPUTED_VALUE"""),"N/A")</f>
        <v>N/A</v>
      </c>
      <c r="G136" s="92">
        <f>IFERROR(__xludf.DUMMYFUNCTION("""COMPUTED_VALUE"""),58.421466392417514)</f>
        <v>58.42146639</v>
      </c>
    </row>
    <row r="137">
      <c r="A137" s="30" t="str">
        <f>IFERROR(__xludf.DUMMYFUNCTION("""COMPUTED_VALUE"""),"RSC007464")</f>
        <v>RSC007464</v>
      </c>
      <c r="B137" s="30" t="str">
        <f>IFERROR(__xludf.DUMMYFUNCTION("""COMPUTED_VALUE"""),"MoonKnight2")</f>
        <v>MoonKnight2</v>
      </c>
      <c r="C137" s="30" t="str">
        <f>IFERROR(__xludf.DUMMYFUNCTION("""COMPUTED_VALUE"""),"Amateur")</f>
        <v>Amateur</v>
      </c>
      <c r="D137" s="30" t="str">
        <f>IFERROR(__xludf.DUMMYFUNCTION("""COMPUTED_VALUE"""),"Hyenas")</f>
        <v>Hyenas</v>
      </c>
      <c r="E137" s="30" t="str">
        <f>IFERROR(__xludf.DUMMYFUNCTION("""COMPUTED_VALUE"""),"Safari")</f>
        <v>Safari</v>
      </c>
      <c r="F137" s="30" t="str">
        <f>IFERROR(__xludf.DUMMYFUNCTION("""COMPUTED_VALUE"""),"N/A")</f>
        <v>N/A</v>
      </c>
      <c r="G137" s="92">
        <f>IFERROR(__xludf.DUMMYFUNCTION("""COMPUTED_VALUE"""),77.79934450306605)</f>
        <v>77.7993445</v>
      </c>
    </row>
    <row r="138">
      <c r="A138" s="30" t="str">
        <f>IFERROR(__xludf.DUMMYFUNCTION("""COMPUTED_VALUE"""),"RSC007161")</f>
        <v>RSC007161</v>
      </c>
      <c r="B138" s="30" t="str">
        <f>IFERROR(__xludf.DUMMYFUNCTION("""COMPUTED_VALUE"""),"MrAnderpants")</f>
        <v>MrAnderpants</v>
      </c>
      <c r="C138" s="30" t="str">
        <f>IFERROR(__xludf.DUMMYFUNCTION("""COMPUTED_VALUE"""),"Amateur")</f>
        <v>Amateur</v>
      </c>
      <c r="D138" s="30" t="str">
        <f>IFERROR(__xludf.DUMMYFUNCTION("""COMPUTED_VALUE"""),"Aloof Goofs")</f>
        <v>Aloof Goofs</v>
      </c>
      <c r="E138" s="30" t="str">
        <f>IFERROR(__xludf.DUMMYFUNCTION("""COMPUTED_VALUE"""),"Vibe Tribe")</f>
        <v>Vibe Tribe</v>
      </c>
      <c r="F138" s="30" t="str">
        <f>IFERROR(__xludf.DUMMYFUNCTION("""COMPUTED_VALUE"""),"N/A")</f>
        <v>N/A</v>
      </c>
      <c r="G138" s="92">
        <f>IFERROR(__xludf.DUMMYFUNCTION("""COMPUTED_VALUE"""),35.887052095061826)</f>
        <v>35.8870521</v>
      </c>
    </row>
    <row r="139">
      <c r="A139" s="30" t="str">
        <f>IFERROR(__xludf.DUMMYFUNCTION("""COMPUTED_VALUE"""),"RSC006797")</f>
        <v>RSC006797</v>
      </c>
      <c r="B139" s="30" t="str">
        <f>IFERROR(__xludf.DUMMYFUNCTION("""COMPUTED_VALUE"""),"The-Manimal")</f>
        <v>The-Manimal</v>
      </c>
      <c r="C139" s="30" t="str">
        <f>IFERROR(__xludf.DUMMYFUNCTION("""COMPUTED_VALUE"""),"Amateur")</f>
        <v>Amateur</v>
      </c>
      <c r="D139" s="30" t="str">
        <f>IFERROR(__xludf.DUMMYFUNCTION("""COMPUTED_VALUE"""),"Aloof Goofs")</f>
        <v>Aloof Goofs</v>
      </c>
      <c r="E139" s="30" t="str">
        <f>IFERROR(__xludf.DUMMYFUNCTION("""COMPUTED_VALUE"""),"Vibe Tribe")</f>
        <v>Vibe Tribe</v>
      </c>
      <c r="F139" s="30" t="str">
        <f>IFERROR(__xludf.DUMMYFUNCTION("""COMPUTED_VALUE"""),"N/A")</f>
        <v>N/A</v>
      </c>
      <c r="G139" s="92">
        <f>IFERROR(__xludf.DUMMYFUNCTION("""COMPUTED_VALUE"""),43.362011319801375)</f>
        <v>43.36201132</v>
      </c>
    </row>
    <row r="140">
      <c r="A140" s="30" t="str">
        <f>IFERROR(__xludf.DUMMYFUNCTION("""COMPUTED_VALUE"""),"RSC004190")</f>
        <v>RSC004190</v>
      </c>
      <c r="B140" s="30" t="str">
        <f>IFERROR(__xludf.DUMMYFUNCTION("""COMPUTED_VALUE"""),"demonikgoat4061")</f>
        <v>demonikgoat4061</v>
      </c>
      <c r="C140" s="30" t="str">
        <f>IFERROR(__xludf.DUMMYFUNCTION("""COMPUTED_VALUE"""),"Amateur")</f>
        <v>Amateur</v>
      </c>
      <c r="D140" s="30" t="str">
        <f>IFERROR(__xludf.DUMMYFUNCTION("""COMPUTED_VALUE"""),"Aloof Goofs")</f>
        <v>Aloof Goofs</v>
      </c>
      <c r="E140" s="30" t="str">
        <f>IFERROR(__xludf.DUMMYFUNCTION("""COMPUTED_VALUE"""),"Vibe Tribe")</f>
        <v>Vibe Tribe</v>
      </c>
      <c r="F140" s="30" t="str">
        <f>IFERROR(__xludf.DUMMYFUNCTION("""COMPUTED_VALUE"""),"N/A")</f>
        <v>N/A</v>
      </c>
      <c r="G140" s="92">
        <f>IFERROR(__xludf.DUMMYFUNCTION("""COMPUTED_VALUE"""),39.07594675878976)</f>
        <v>39.07594676</v>
      </c>
    </row>
    <row r="141">
      <c r="A141" s="30" t="str">
        <f>IFERROR(__xludf.DUMMYFUNCTION("""COMPUTED_VALUE"""),"RSC007993")</f>
        <v>RSC007993</v>
      </c>
      <c r="B141" s="30" t="str">
        <f>IFERROR(__xludf.DUMMYFUNCTION("""COMPUTED_VALUE"""),"Origami Box")</f>
        <v>Origami Box</v>
      </c>
      <c r="C141" s="30" t="str">
        <f>IFERROR(__xludf.DUMMYFUNCTION("""COMPUTED_VALUE"""),"Amateur")</f>
        <v>Amateur</v>
      </c>
      <c r="D141" s="30" t="str">
        <f>IFERROR(__xludf.DUMMYFUNCTION("""COMPUTED_VALUE"""),"Aeon Ale")</f>
        <v>Aeon Ale</v>
      </c>
      <c r="E141" s="30" t="str">
        <f>IFERROR(__xludf.DUMMYFUNCTION("""COMPUTED_VALUE"""),"5 O'clock Nowhere")</f>
        <v>5 O'clock Nowhere</v>
      </c>
      <c r="F141" s="30" t="str">
        <f>IFERROR(__xludf.DUMMYFUNCTION("""COMPUTED_VALUE"""),"N/A")</f>
        <v>N/A</v>
      </c>
      <c r="G141" s="92">
        <f>IFERROR(__xludf.DUMMYFUNCTION("""COMPUTED_VALUE"""),13.084138009518036)</f>
        <v>13.08413801</v>
      </c>
    </row>
    <row r="142">
      <c r="A142" s="30" t="str">
        <f>IFERROR(__xludf.DUMMYFUNCTION("""COMPUTED_VALUE"""),"RSC005925")</f>
        <v>RSC005925</v>
      </c>
      <c r="B142" s="30" t="str">
        <f>IFERROR(__xludf.DUMMYFUNCTION("""COMPUTED_VALUE"""),"Emily26210")</f>
        <v>Emily26210</v>
      </c>
      <c r="C142" s="30" t="str">
        <f>IFERROR(__xludf.DUMMYFUNCTION("""COMPUTED_VALUE"""),"Amateur")</f>
        <v>Amateur</v>
      </c>
      <c r="D142" s="30" t="str">
        <f>IFERROR(__xludf.DUMMYFUNCTION("""COMPUTED_VALUE"""),"Kiwis")</f>
        <v>Kiwis</v>
      </c>
      <c r="E142" s="30" t="str">
        <f>IFERROR(__xludf.DUMMYFUNCTION("""COMPUTED_VALUE"""),"Flightless Fowl")</f>
        <v>Flightless Fowl</v>
      </c>
      <c r="F142" s="30" t="str">
        <f>IFERROR(__xludf.DUMMYFUNCTION("""COMPUTED_VALUE"""),"N/A")</f>
        <v>N/A</v>
      </c>
      <c r="G142" s="92">
        <f>IFERROR(__xludf.DUMMYFUNCTION("""COMPUTED_VALUE"""),49.050845447884235)</f>
        <v>49.05084545</v>
      </c>
    </row>
    <row r="143">
      <c r="A143" s="30" t="str">
        <f>IFERROR(__xludf.DUMMYFUNCTION("""COMPUTED_VALUE"""),"RSC007678")</f>
        <v>RSC007678</v>
      </c>
      <c r="B143" s="30" t="str">
        <f>IFERROR(__xludf.DUMMYFUNCTION("""COMPUTED_VALUE"""),"SavedHawk")</f>
        <v>SavedHawk</v>
      </c>
      <c r="C143" s="30" t="str">
        <f>IFERROR(__xludf.DUMMYFUNCTION("""COMPUTED_VALUE"""),"Amateur")</f>
        <v>Amateur</v>
      </c>
      <c r="D143" s="30" t="str">
        <f>IFERROR(__xludf.DUMMYFUNCTION("""COMPUTED_VALUE"""),"Kiwis")</f>
        <v>Kiwis</v>
      </c>
      <c r="E143" s="30" t="str">
        <f>IFERROR(__xludf.DUMMYFUNCTION("""COMPUTED_VALUE"""),"Flightless Fowl")</f>
        <v>Flightless Fowl</v>
      </c>
      <c r="F143" s="30" t="str">
        <f>IFERROR(__xludf.DUMMYFUNCTION("""COMPUTED_VALUE"""),"N/A")</f>
        <v>N/A</v>
      </c>
      <c r="G143" s="92">
        <f>IFERROR(__xludf.DUMMYFUNCTION("""COMPUTED_VALUE"""),7.391317867310043)</f>
        <v>7.391317867</v>
      </c>
    </row>
    <row r="144">
      <c r="A144" s="30" t="str">
        <f>IFERROR(__xludf.DUMMYFUNCTION("""COMPUTED_VALUE"""),"RSC007632")</f>
        <v>RSC007632</v>
      </c>
      <c r="B144" s="30" t="str">
        <f>IFERROR(__xludf.DUMMYFUNCTION("""COMPUTED_VALUE"""),"yournewSTEPDADDI")</f>
        <v>yournewSTEPDADDI</v>
      </c>
      <c r="C144" s="30" t="str">
        <f>IFERROR(__xludf.DUMMYFUNCTION("""COMPUTED_VALUE"""),"Amateur")</f>
        <v>Amateur</v>
      </c>
      <c r="D144" s="30" t="str">
        <f>IFERROR(__xludf.DUMMYFUNCTION("""COMPUTED_VALUE"""),"Kiwis")</f>
        <v>Kiwis</v>
      </c>
      <c r="E144" s="30" t="str">
        <f>IFERROR(__xludf.DUMMYFUNCTION("""COMPUTED_VALUE"""),"Flightless Fowl")</f>
        <v>Flightless Fowl</v>
      </c>
      <c r="F144" s="30" t="str">
        <f>IFERROR(__xludf.DUMMYFUNCTION("""COMPUTED_VALUE"""),"N/A")</f>
        <v>N/A</v>
      </c>
      <c r="G144" s="92">
        <f>IFERROR(__xludf.DUMMYFUNCTION("""COMPUTED_VALUE"""),29.383792348130854)</f>
        <v>29.38379235</v>
      </c>
    </row>
    <row r="145">
      <c r="A145" s="30" t="str">
        <f>IFERROR(__xludf.DUMMYFUNCTION("""COMPUTED_VALUE"""),"RSC000146")</f>
        <v>RSC000146</v>
      </c>
      <c r="B145" s="30" t="str">
        <f>IFERROR(__xludf.DUMMYFUNCTION("""COMPUTED_VALUE"""),"EtherealDoom989")</f>
        <v>EtherealDoom989</v>
      </c>
      <c r="C145" s="30" t="str">
        <f>IFERROR(__xludf.DUMMYFUNCTION("""COMPUTED_VALUE"""),"Amateur")</f>
        <v>Amateur</v>
      </c>
      <c r="D145" s="30" t="str">
        <f>IFERROR(__xludf.DUMMYFUNCTION("""COMPUTED_VALUE"""),"Surprise")</f>
        <v>Surprise</v>
      </c>
      <c r="E145" s="30" t="str">
        <f>IFERROR(__xludf.DUMMYFUNCTION("""COMPUTED_VALUE"""),"The Elements")</f>
        <v>The Elements</v>
      </c>
      <c r="F145" s="30" t="str">
        <f>IFERROR(__xludf.DUMMYFUNCTION("""COMPUTED_VALUE"""),"N/A")</f>
        <v>N/A</v>
      </c>
      <c r="G145" s="92">
        <f>IFERROR(__xludf.DUMMYFUNCTION("""COMPUTED_VALUE"""),16.8885635029255)</f>
        <v>16.8885635</v>
      </c>
    </row>
    <row r="146">
      <c r="A146" s="30" t="str">
        <f>IFERROR(__xludf.DUMMYFUNCTION("""COMPUTED_VALUE"""),"RSC007899")</f>
        <v>RSC007899</v>
      </c>
      <c r="B146" s="30" t="str">
        <f>IFERROR(__xludf.DUMMYFUNCTION("""COMPUTED_VALUE"""),"SeaSpay12")</f>
        <v>SeaSpay12</v>
      </c>
      <c r="C146" s="30" t="str">
        <f>IFERROR(__xludf.DUMMYFUNCTION("""COMPUTED_VALUE"""),"Amateur")</f>
        <v>Amateur</v>
      </c>
      <c r="D146" s="30" t="str">
        <f>IFERROR(__xludf.DUMMYFUNCTION("""COMPUTED_VALUE"""),"Surprise")</f>
        <v>Surprise</v>
      </c>
      <c r="E146" s="30" t="str">
        <f>IFERROR(__xludf.DUMMYFUNCTION("""COMPUTED_VALUE"""),"The Elements")</f>
        <v>The Elements</v>
      </c>
      <c r="F146" s="30" t="str">
        <f>IFERROR(__xludf.DUMMYFUNCTION("""COMPUTED_VALUE"""),"N/A")</f>
        <v>N/A</v>
      </c>
      <c r="G146" s="92">
        <f>IFERROR(__xludf.DUMMYFUNCTION("""COMPUTED_VALUE"""),85.76266783178494)</f>
        <v>85.76266783</v>
      </c>
    </row>
    <row r="147">
      <c r="A147" s="30" t="str">
        <f>IFERROR(__xludf.DUMMYFUNCTION("""COMPUTED_VALUE"""),"RSC007463")</f>
        <v>RSC007463</v>
      </c>
      <c r="B147" s="30" t="str">
        <f>IFERROR(__xludf.DUMMYFUNCTION("""COMPUTED_VALUE"""),"xproteusx05")</f>
        <v>xproteusx05</v>
      </c>
      <c r="C147" s="30" t="str">
        <f>IFERROR(__xludf.DUMMYFUNCTION("""COMPUTED_VALUE"""),"Amateur")</f>
        <v>Amateur</v>
      </c>
      <c r="D147" s="30" t="str">
        <f>IFERROR(__xludf.DUMMYFUNCTION("""COMPUTED_VALUE"""),"Surprise")</f>
        <v>Surprise</v>
      </c>
      <c r="E147" s="30" t="str">
        <f>IFERROR(__xludf.DUMMYFUNCTION("""COMPUTED_VALUE"""),"The Elements")</f>
        <v>The Elements</v>
      </c>
      <c r="F147" s="30" t="str">
        <f>IFERROR(__xludf.DUMMYFUNCTION("""COMPUTED_VALUE"""),"N/A")</f>
        <v>N/A</v>
      </c>
      <c r="G147" s="92">
        <f>IFERROR(__xludf.DUMMYFUNCTION("""COMPUTED_VALUE"""),59.73773470130255)</f>
        <v>59.7377347</v>
      </c>
    </row>
    <row r="148">
      <c r="A148" s="30" t="str">
        <f>IFERROR(__xludf.DUMMYFUNCTION("""COMPUTED_VALUE"""),"RSC007948")</f>
        <v>RSC007948</v>
      </c>
      <c r="B148" s="30" t="str">
        <f>IFERROR(__xludf.DUMMYFUNCTION("""COMPUTED_VALUE"""),"MasterOfDaTurtle")</f>
        <v>MasterOfDaTurtle</v>
      </c>
      <c r="C148" s="30" t="str">
        <f>IFERROR(__xludf.DUMMYFUNCTION("""COMPUTED_VALUE"""),"Amateur")</f>
        <v>Amateur</v>
      </c>
      <c r="D148" s="30" t="str">
        <f>IFERROR(__xludf.DUMMYFUNCTION("""COMPUTED_VALUE"""),"Kiwis
Amaranth")</f>
        <v>Kiwis
Amaranth</v>
      </c>
      <c r="E148" s="30" t="str">
        <f>IFERROR(__xludf.DUMMYFUNCTION("""COMPUTED_VALUE"""),"Flightless Fowl
Flower Road")</f>
        <v>Flightless Fowl
Flower Road</v>
      </c>
      <c r="F148" s="30" t="str">
        <f>IFERROR(__xludf.DUMMYFUNCTION("""COMPUTED_VALUE"""),"N/A")</f>
        <v>N/A</v>
      </c>
      <c r="G148" s="92">
        <f>IFERROR(__xludf.DUMMYFUNCTION("""COMPUTED_VALUE"""),38.58994434687939)</f>
        <v>38.58994435</v>
      </c>
    </row>
    <row r="149">
      <c r="A149" s="30" t="str">
        <f>IFERROR(__xludf.DUMMYFUNCTION("""COMPUTED_VALUE"""),"RSC007921")</f>
        <v>RSC007921</v>
      </c>
      <c r="B149" s="30" t="str">
        <f>IFERROR(__xludf.DUMMYFUNCTION("""COMPUTED_VALUE"""),"sXCyBeast")</f>
        <v>sXCyBeast</v>
      </c>
      <c r="C149" s="30" t="str">
        <f>IFERROR(__xludf.DUMMYFUNCTION("""COMPUTED_VALUE"""),"Amateur")</f>
        <v>Amateur</v>
      </c>
      <c r="D149" s="30" t="str">
        <f>IFERROR(__xludf.DUMMYFUNCTION("""COMPUTED_VALUE"""),"Surprise")</f>
        <v>Surprise</v>
      </c>
      <c r="E149" s="30" t="str">
        <f>IFERROR(__xludf.DUMMYFUNCTION("""COMPUTED_VALUE"""),"The Elements")</f>
        <v>The Elements</v>
      </c>
      <c r="F149" s="30" t="str">
        <f>IFERROR(__xludf.DUMMYFUNCTION("""COMPUTED_VALUE"""),"N/A")</f>
        <v>N/A</v>
      </c>
      <c r="G149" s="92">
        <f>IFERROR(__xludf.DUMMYFUNCTION("""COMPUTED_VALUE"""),44.03050616300011)</f>
        <v>44.03050616</v>
      </c>
    </row>
    <row r="150">
      <c r="A150" s="30" t="str">
        <f>IFERROR(__xludf.DUMMYFUNCTION("""COMPUTED_VALUE"""),"RSC006147")</f>
        <v>RSC006147</v>
      </c>
      <c r="B150" s="30" t="str">
        <f>IFERROR(__xludf.DUMMYFUNCTION("""COMPUTED_VALUE"""),"Stolris")</f>
        <v>Stolris</v>
      </c>
      <c r="C150" s="30" t="str">
        <f>IFERROR(__xludf.DUMMYFUNCTION("""COMPUTED_VALUE"""),"Amateur")</f>
        <v>Amateur</v>
      </c>
      <c r="D150" s="30" t="str">
        <f>IFERROR(__xludf.DUMMYFUNCTION("""COMPUTED_VALUE"""),"Hyenas")</f>
        <v>Hyenas</v>
      </c>
      <c r="E150" s="30" t="str">
        <f>IFERROR(__xludf.DUMMYFUNCTION("""COMPUTED_VALUE"""),"Safari")</f>
        <v>Safari</v>
      </c>
      <c r="F150" s="30" t="str">
        <f>IFERROR(__xludf.DUMMYFUNCTION("""COMPUTED_VALUE"""),"N/A")</f>
        <v>N/A</v>
      </c>
      <c r="G150" s="92">
        <f>IFERROR(__xludf.DUMMYFUNCTION("""COMPUTED_VALUE"""),22.8895847507368)</f>
        <v>22.88958475</v>
      </c>
    </row>
    <row r="151">
      <c r="A151" s="30" t="str">
        <f>IFERROR(__xludf.DUMMYFUNCTION("""COMPUTED_VALUE"""),"RSC007393")</f>
        <v>RSC007393</v>
      </c>
      <c r="B151" s="30" t="str">
        <f>IFERROR(__xludf.DUMMYFUNCTION("""COMPUTED_VALUE"""),"Ubfghki9442")</f>
        <v>Ubfghki9442</v>
      </c>
      <c r="C151" s="30" t="str">
        <f>IFERROR(__xludf.DUMMYFUNCTION("""COMPUTED_VALUE"""),"Amateur")</f>
        <v>Amateur</v>
      </c>
      <c r="D151" s="30" t="str">
        <f>IFERROR(__xludf.DUMMYFUNCTION("""COMPUTED_VALUE"""),"Garlic Knots")</f>
        <v>Garlic Knots</v>
      </c>
      <c r="E151" s="30" t="str">
        <f>IFERROR(__xludf.DUMMYFUNCTION("""COMPUTED_VALUE"""),"Fifty-Fifty Pizzeria")</f>
        <v>Fifty-Fifty Pizzeria</v>
      </c>
      <c r="F151" s="30" t="str">
        <f>IFERROR(__xludf.DUMMYFUNCTION("""COMPUTED_VALUE"""),"N/A")</f>
        <v>N/A</v>
      </c>
      <c r="G151" s="92">
        <f>IFERROR(__xludf.DUMMYFUNCTION("""COMPUTED_VALUE"""),2.773333740745386)</f>
        <v>2.773333741</v>
      </c>
    </row>
    <row r="152">
      <c r="A152" s="30" t="str">
        <f>IFERROR(__xludf.DUMMYFUNCTION("""COMPUTED_VALUE"""),"RSC007852")</f>
        <v>RSC007852</v>
      </c>
      <c r="B152" s="30" t="str">
        <f>IFERROR(__xludf.DUMMYFUNCTION("""COMPUTED_VALUE"""),"Medicmac121")</f>
        <v>Medicmac121</v>
      </c>
      <c r="C152" s="30" t="str">
        <f>IFERROR(__xludf.DUMMYFUNCTION("""COMPUTED_VALUE"""),"Amateur")</f>
        <v>Amateur</v>
      </c>
      <c r="D152" s="30" t="str">
        <f>IFERROR(__xludf.DUMMYFUNCTION("""COMPUTED_VALUE"""),"Aloof Goofs
Aeon Ale")</f>
        <v>Aloof Goofs
Aeon Ale</v>
      </c>
      <c r="E152" s="30" t="str">
        <f>IFERROR(__xludf.DUMMYFUNCTION("""COMPUTED_VALUE"""),"Vibe Tribe
5 O'clock Nowhere")</f>
        <v>Vibe Tribe
5 O'clock Nowhere</v>
      </c>
      <c r="F152" s="30" t="str">
        <f>IFERROR(__xludf.DUMMYFUNCTION("""COMPUTED_VALUE"""),"N/A")</f>
        <v>N/A</v>
      </c>
      <c r="G152" s="92">
        <f>IFERROR(__xludf.DUMMYFUNCTION("""COMPUTED_VALUE"""),58.03854462970224)</f>
        <v>58.03854463</v>
      </c>
    </row>
    <row r="153">
      <c r="A153" s="30" t="str">
        <f>IFERROR(__xludf.DUMMYFUNCTION("""COMPUTED_VALUE"""),"RSC006375")</f>
        <v>RSC006375</v>
      </c>
      <c r="B153" s="30" t="str">
        <f>IFERROR(__xludf.DUMMYFUNCTION("""COMPUTED_VALUE"""),"Rich-Rollin6060")</f>
        <v>Rich-Rollin6060</v>
      </c>
      <c r="C153" s="30" t="str">
        <f>IFERROR(__xludf.DUMMYFUNCTION("""COMPUTED_VALUE"""),"Amateur")</f>
        <v>Amateur</v>
      </c>
      <c r="D153" s="30" t="str">
        <f>IFERROR(__xludf.DUMMYFUNCTION("""COMPUTED_VALUE"""),"Hyenas")</f>
        <v>Hyenas</v>
      </c>
      <c r="E153" s="30" t="str">
        <f>IFERROR(__xludf.DUMMYFUNCTION("""COMPUTED_VALUE"""),"Safari")</f>
        <v>Safari</v>
      </c>
      <c r="F153" s="30" t="str">
        <f>IFERROR(__xludf.DUMMYFUNCTION("""COMPUTED_VALUE"""),"N/A")</f>
        <v>N/A</v>
      </c>
      <c r="G153" s="92">
        <f>IFERROR(__xludf.DUMMYFUNCTION("""COMPUTED_VALUE"""),55.780801522570016)</f>
        <v>55.78080152</v>
      </c>
    </row>
    <row r="154">
      <c r="A154" s="30" t="str">
        <f>IFERROR(__xludf.DUMMYFUNCTION("""COMPUTED_VALUE"""),"RSC008012")</f>
        <v>RSC008012</v>
      </c>
      <c r="B154" s="30" t="str">
        <f>IFERROR(__xludf.DUMMYFUNCTION("""COMPUTED_VALUE"""),"mushxie")</f>
        <v>mushxie</v>
      </c>
      <c r="C154" s="30" t="str">
        <f>IFERROR(__xludf.DUMMYFUNCTION("""COMPUTED_VALUE"""),"Amateur")</f>
        <v>Amateur</v>
      </c>
      <c r="D154" s="30" t="str">
        <f>IFERROR(__xludf.DUMMYFUNCTION("""COMPUTED_VALUE"""),"Amaranth")</f>
        <v>Amaranth</v>
      </c>
      <c r="E154" s="30" t="str">
        <f>IFERROR(__xludf.DUMMYFUNCTION("""COMPUTED_VALUE"""),"Flower Road")</f>
        <v>Flower Road</v>
      </c>
      <c r="F154" s="30" t="str">
        <f>IFERROR(__xludf.DUMMYFUNCTION("""COMPUTED_VALUE"""),"N/A")</f>
        <v>N/A</v>
      </c>
      <c r="G154" s="92">
        <f>IFERROR(__xludf.DUMMYFUNCTION("""COMPUTED_VALUE"""),79.13278840975846)</f>
        <v>79.13278841</v>
      </c>
    </row>
    <row r="155">
      <c r="A155" s="30" t="str">
        <f>IFERROR(__xludf.DUMMYFUNCTION("""COMPUTED_VALUE"""),"RSC007306")</f>
        <v>RSC007306</v>
      </c>
      <c r="B155" s="30" t="str">
        <f>IFERROR(__xludf.DUMMYFUNCTION("""COMPUTED_VALUE"""),"SAMCRO-8640")</f>
        <v>SAMCRO-8640</v>
      </c>
      <c r="C155" s="30" t="str">
        <f>IFERROR(__xludf.DUMMYFUNCTION("""COMPUTED_VALUE"""),"Amateur")</f>
        <v>Amateur</v>
      </c>
      <c r="D155" s="30" t="str">
        <f>IFERROR(__xludf.DUMMYFUNCTION("""COMPUTED_VALUE"""),"Aloof Goofs")</f>
        <v>Aloof Goofs</v>
      </c>
      <c r="E155" s="30" t="str">
        <f>IFERROR(__xludf.DUMMYFUNCTION("""COMPUTED_VALUE"""),"Vibe Tribe")</f>
        <v>Vibe Tribe</v>
      </c>
      <c r="F155" s="30" t="str">
        <f>IFERROR(__xludf.DUMMYFUNCTION("""COMPUTED_VALUE"""),"N/A")</f>
        <v>N/A</v>
      </c>
      <c r="G155" s="92">
        <f>IFERROR(__xludf.DUMMYFUNCTION("""COMPUTED_VALUE"""),47.80902554614019)</f>
        <v>47.80902555</v>
      </c>
    </row>
    <row r="156">
      <c r="A156" s="30" t="str">
        <f>IFERROR(__xludf.DUMMYFUNCTION("""COMPUTED_VALUE"""),"RSC000654")</f>
        <v>RSC000654</v>
      </c>
      <c r="B156" s="30" t="str">
        <f>IFERROR(__xludf.DUMMYFUNCTION("""COMPUTED_VALUE"""),"Rocci")</f>
        <v>Rocci</v>
      </c>
      <c r="C156" s="30" t="str">
        <f>IFERROR(__xludf.DUMMYFUNCTION("""COMPUTED_VALUE"""),"Amateur")</f>
        <v>Amateur</v>
      </c>
      <c r="D156" s="30" t="str">
        <f>IFERROR(__xludf.DUMMYFUNCTION("""COMPUTED_VALUE"""),"Aeon Ale
Amaranth")</f>
        <v>Aeon Ale
Amaranth</v>
      </c>
      <c r="E156" s="30" t="str">
        <f>IFERROR(__xludf.DUMMYFUNCTION("""COMPUTED_VALUE"""),"5 O'clock Nowhere
Flower Road")</f>
        <v>5 O'clock Nowhere
Flower Road</v>
      </c>
      <c r="F156" s="30" t="str">
        <f>IFERROR(__xludf.DUMMYFUNCTION("""COMPUTED_VALUE"""),"N/A")</f>
        <v>N/A</v>
      </c>
      <c r="G156" s="92">
        <f>IFERROR(__xludf.DUMMYFUNCTION("""COMPUTED_VALUE"""),42.77240199804201)</f>
        <v>42.772402</v>
      </c>
    </row>
    <row r="157">
      <c r="A157" s="30" t="str">
        <f>IFERROR(__xludf.DUMMYFUNCTION("""COMPUTED_VALUE"""),"RSC007587")</f>
        <v>RSC007587</v>
      </c>
      <c r="B157" s="30" t="str">
        <f>IFERROR(__xludf.DUMMYFUNCTION("""COMPUTED_VALUE"""),"ShortyoShire")</f>
        <v>ShortyoShire</v>
      </c>
      <c r="C157" s="30" t="str">
        <f>IFERROR(__xludf.DUMMYFUNCTION("""COMPUTED_VALUE"""),"Amateur")</f>
        <v>Amateur</v>
      </c>
      <c r="D157" s="30" t="str">
        <f>IFERROR(__xludf.DUMMYFUNCTION("""COMPUTED_VALUE"""),"Aloof Goofs
Surprise")</f>
        <v>Aloof Goofs
Surprise</v>
      </c>
      <c r="E157" s="30" t="str">
        <f>IFERROR(__xludf.DUMMYFUNCTION("""COMPUTED_VALUE"""),"Vibe Tribe
The Elements")</f>
        <v>Vibe Tribe
The Elements</v>
      </c>
      <c r="F157" s="30" t="str">
        <f>IFERROR(__xludf.DUMMYFUNCTION("""COMPUTED_VALUE"""),"N/A")</f>
        <v>N/A</v>
      </c>
      <c r="G157" s="92">
        <f>IFERROR(__xludf.DUMMYFUNCTION("""COMPUTED_VALUE"""),-15.162276683420245)</f>
        <v>-15.16227668</v>
      </c>
    </row>
    <row r="158">
      <c r="A158" s="30" t="str">
        <f>IFERROR(__xludf.DUMMYFUNCTION("""COMPUTED_VALUE"""),"RSC006022")</f>
        <v>RSC006022</v>
      </c>
      <c r="B158" s="30" t="str">
        <f>IFERROR(__xludf.DUMMYFUNCTION("""COMPUTED_VALUE"""),"N0MrThomasMn")</f>
        <v>N0MrThomasMn</v>
      </c>
      <c r="C158" s="30" t="str">
        <f>IFERROR(__xludf.DUMMYFUNCTION("""COMPUTED_VALUE"""),"Amateur")</f>
        <v>Amateur</v>
      </c>
      <c r="D158" s="30" t="str">
        <f>IFERROR(__xludf.DUMMYFUNCTION("""COMPUTED_VALUE"""),"Aloof Goofs
Surprise")</f>
        <v>Aloof Goofs
Surprise</v>
      </c>
      <c r="E158" s="30" t="str">
        <f>IFERROR(__xludf.DUMMYFUNCTION("""COMPUTED_VALUE"""),"Vibe Tribe
The Elements")</f>
        <v>Vibe Tribe
The Elements</v>
      </c>
      <c r="F158" s="30" t="str">
        <f>IFERROR(__xludf.DUMMYFUNCTION("""COMPUTED_VALUE"""),"N/A")</f>
        <v>N/A</v>
      </c>
      <c r="G158" s="92">
        <f>IFERROR(__xludf.DUMMYFUNCTION("""COMPUTED_VALUE"""),25.506400930179215)</f>
        <v>25.50640093</v>
      </c>
    </row>
    <row r="159">
      <c r="A159" s="30" t="str">
        <f>IFERROR(__xludf.DUMMYFUNCTION("""COMPUTED_VALUE"""),"RSC004872")</f>
        <v>RSC004872</v>
      </c>
      <c r="B159" s="30" t="str">
        <f>IFERROR(__xludf.DUMMYFUNCTION("""COMPUTED_VALUE"""),"JustLaben")</f>
        <v>JustLaben</v>
      </c>
      <c r="C159" s="30" t="str">
        <f>IFERROR(__xludf.DUMMYFUNCTION("""COMPUTED_VALUE"""),"Veteran")</f>
        <v>Veteran</v>
      </c>
      <c r="D159" s="30" t="str">
        <f>IFERROR(__xludf.DUMMYFUNCTION("""COMPUTED_VALUE"""),"Cannoli")</f>
        <v>Cannoli</v>
      </c>
      <c r="E159" s="30" t="str">
        <f>IFERROR(__xludf.DUMMYFUNCTION("""COMPUTED_VALUE"""),"Fifty-Fifty Pizzeria")</f>
        <v>Fifty-Fifty Pizzeria</v>
      </c>
      <c r="F159" s="30" t="str">
        <f>IFERROR(__xludf.DUMMYFUNCTION("""COMPUTED_VALUE"""),"Lunar")</f>
        <v>Lunar</v>
      </c>
      <c r="G159" s="92">
        <f>IFERROR(__xludf.DUMMYFUNCTION("""COMPUTED_VALUE"""),76.74906518782862)</f>
        <v>76.74906519</v>
      </c>
    </row>
    <row r="160">
      <c r="A160" s="30" t="str">
        <f>IFERROR(__xludf.DUMMYFUNCTION("""COMPUTED_VALUE"""),"RSC007995")</f>
        <v>RSC007995</v>
      </c>
      <c r="B160" s="30" t="str">
        <f>IFERROR(__xludf.DUMMYFUNCTION("""COMPUTED_VALUE"""),"Tylanz")</f>
        <v>Tylanz</v>
      </c>
      <c r="C160" s="30" t="str">
        <f>IFERROR(__xludf.DUMMYFUNCTION("""COMPUTED_VALUE"""),"Veteran")</f>
        <v>Veteran</v>
      </c>
      <c r="D160" s="30" t="str">
        <f>IFERROR(__xludf.DUMMYFUNCTION("""COMPUTED_VALUE"""),"Cannoli")</f>
        <v>Cannoli</v>
      </c>
      <c r="E160" s="30" t="str">
        <f>IFERROR(__xludf.DUMMYFUNCTION("""COMPUTED_VALUE"""),"Fifty-Fifty Pizzeria")</f>
        <v>Fifty-Fifty Pizzeria</v>
      </c>
      <c r="F160" s="30" t="str">
        <f>IFERROR(__xludf.DUMMYFUNCTION("""COMPUTED_VALUE"""),"Lunar")</f>
        <v>Lunar</v>
      </c>
      <c r="G160" s="92">
        <f>IFERROR(__xludf.DUMMYFUNCTION("""COMPUTED_VALUE"""),32.7835609514691)</f>
        <v>32.78356095</v>
      </c>
    </row>
    <row r="161">
      <c r="A161" s="30" t="str">
        <f>IFERROR(__xludf.DUMMYFUNCTION("""COMPUTED_VALUE"""),"RSC006417")</f>
        <v>RSC006417</v>
      </c>
      <c r="B161" s="30" t="str">
        <f>IFERROR(__xludf.DUMMYFUNCTION("""COMPUTED_VALUE"""),"TangentOgive")</f>
        <v>TangentOgive</v>
      </c>
      <c r="C161" s="30" t="str">
        <f>IFERROR(__xludf.DUMMYFUNCTION("""COMPUTED_VALUE"""),"Veteran")</f>
        <v>Veteran</v>
      </c>
      <c r="D161" s="30" t="str">
        <f>IFERROR(__xludf.DUMMYFUNCTION("""COMPUTED_VALUE"""),"Cannoli")</f>
        <v>Cannoli</v>
      </c>
      <c r="E161" s="30" t="str">
        <f>IFERROR(__xludf.DUMMYFUNCTION("""COMPUTED_VALUE"""),"Fifty-Fifty Pizzeria")</f>
        <v>Fifty-Fifty Pizzeria</v>
      </c>
      <c r="F161" s="30" t="str">
        <f>IFERROR(__xludf.DUMMYFUNCTION("""COMPUTED_VALUE"""),"Lunar")</f>
        <v>Lunar</v>
      </c>
      <c r="G161" s="92">
        <f>IFERROR(__xludf.DUMMYFUNCTION("""COMPUTED_VALUE"""),65.40639102287288)</f>
        <v>65.40639102</v>
      </c>
    </row>
    <row r="162">
      <c r="A162" s="30" t="str">
        <f>IFERROR(__xludf.DUMMYFUNCTION("""COMPUTED_VALUE"""),"RSC007504")</f>
        <v>RSC007504</v>
      </c>
      <c r="B162" s="30" t="str">
        <f>IFERROR(__xludf.DUMMYFUNCTION("""COMPUTED_VALUE"""),"Percussive3260")</f>
        <v>Percussive3260</v>
      </c>
      <c r="C162" s="30" t="str">
        <f>IFERROR(__xludf.DUMMYFUNCTION("""COMPUTED_VALUE"""),"Veteran")</f>
        <v>Veteran</v>
      </c>
      <c r="D162" s="30" t="str">
        <f>IFERROR(__xludf.DUMMYFUNCTION("""COMPUTED_VALUE"""),"Dread")</f>
        <v>Dread</v>
      </c>
      <c r="E162" s="30" t="str">
        <f>IFERROR(__xludf.DUMMYFUNCTION("""COMPUTED_VALUE"""),"The Shadows")</f>
        <v>The Shadows</v>
      </c>
      <c r="F162" s="30" t="str">
        <f>IFERROR(__xludf.DUMMYFUNCTION("""COMPUTED_VALUE"""),"Lunar")</f>
        <v>Lunar</v>
      </c>
      <c r="G162" s="92">
        <f>IFERROR(__xludf.DUMMYFUNCTION("""COMPUTED_VALUE"""),57.433903252132154)</f>
        <v>57.43390325</v>
      </c>
    </row>
    <row r="163">
      <c r="A163" s="30" t="str">
        <f>IFERROR(__xludf.DUMMYFUNCTION("""COMPUTED_VALUE"""),"RSC007510")</f>
        <v>RSC007510</v>
      </c>
      <c r="B163" s="30" t="str">
        <f>IFERROR(__xludf.DUMMYFUNCTION("""COMPUTED_VALUE"""),"Faolaen")</f>
        <v>Faolaen</v>
      </c>
      <c r="C163" s="30" t="str">
        <f>IFERROR(__xludf.DUMMYFUNCTION("""COMPUTED_VALUE"""),"Veteran")</f>
        <v>Veteran</v>
      </c>
      <c r="D163" s="30" t="str">
        <f>IFERROR(__xludf.DUMMYFUNCTION("""COMPUTED_VALUE"""),"Dread")</f>
        <v>Dread</v>
      </c>
      <c r="E163" s="30" t="str">
        <f>IFERROR(__xludf.DUMMYFUNCTION("""COMPUTED_VALUE"""),"The Shadows")</f>
        <v>The Shadows</v>
      </c>
      <c r="F163" s="30" t="str">
        <f>IFERROR(__xludf.DUMMYFUNCTION("""COMPUTED_VALUE"""),"Lunar")</f>
        <v>Lunar</v>
      </c>
      <c r="G163" s="92">
        <f>IFERROR(__xludf.DUMMYFUNCTION("""COMPUTED_VALUE"""),36.620315508205216)</f>
        <v>36.62031551</v>
      </c>
    </row>
    <row r="164">
      <c r="A164" s="30" t="str">
        <f>IFERROR(__xludf.DUMMYFUNCTION("""COMPUTED_VALUE"""),"RSC007062")</f>
        <v>RSC007062</v>
      </c>
      <c r="B164" s="30" t="str">
        <f>IFERROR(__xludf.DUMMYFUNCTION("""COMPUTED_VALUE"""),"Ice Phoenix")</f>
        <v>Ice Phoenix</v>
      </c>
      <c r="C164" s="30" t="str">
        <f>IFERROR(__xludf.DUMMYFUNCTION("""COMPUTED_VALUE"""),"Veteran")</f>
        <v>Veteran</v>
      </c>
      <c r="D164" s="30" t="str">
        <f>IFERROR(__xludf.DUMMYFUNCTION("""COMPUTED_VALUE"""),"Dread")</f>
        <v>Dread</v>
      </c>
      <c r="E164" s="30" t="str">
        <f>IFERROR(__xludf.DUMMYFUNCTION("""COMPUTED_VALUE"""),"The Shadows")</f>
        <v>The Shadows</v>
      </c>
      <c r="F164" s="30" t="str">
        <f>IFERROR(__xludf.DUMMYFUNCTION("""COMPUTED_VALUE"""),"Lunar")</f>
        <v>Lunar</v>
      </c>
      <c r="G164" s="92">
        <f>IFERROR(__xludf.DUMMYFUNCTION("""COMPUTED_VALUE"""),-16.322547989252143)</f>
        <v>-16.32254799</v>
      </c>
    </row>
    <row r="165">
      <c r="A165" s="30" t="str">
        <f>IFERROR(__xludf.DUMMYFUNCTION("""COMPUTED_VALUE"""),"RSC006290")</f>
        <v>RSC006290</v>
      </c>
      <c r="B165" s="30" t="str">
        <f>IFERROR(__xludf.DUMMYFUNCTION("""COMPUTED_VALUE"""),"Dirt D Dan")</f>
        <v>Dirt D Dan</v>
      </c>
      <c r="C165" s="30" t="str">
        <f>IFERROR(__xludf.DUMMYFUNCTION("""COMPUTED_VALUE"""),"Veteran")</f>
        <v>Veteran</v>
      </c>
      <c r="D165" s="30" t="str">
        <f>IFERROR(__xludf.DUMMYFUNCTION("""COMPUTED_VALUE"""),"Blacksmiths")</f>
        <v>Blacksmiths</v>
      </c>
      <c r="E165" s="30" t="str">
        <f>IFERROR(__xludf.DUMMYFUNCTION("""COMPUTED_VALUE"""),"Dwarf Haven")</f>
        <v>Dwarf Haven</v>
      </c>
      <c r="F165" s="30" t="str">
        <f>IFERROR(__xludf.DUMMYFUNCTION("""COMPUTED_VALUE"""),"Solar")</f>
        <v>Solar</v>
      </c>
      <c r="G165" s="92">
        <f>IFERROR(__xludf.DUMMYFUNCTION("""COMPUTED_VALUE"""),48.30064672797672)</f>
        <v>48.30064673</v>
      </c>
    </row>
    <row r="166">
      <c r="A166" s="30" t="str">
        <f>IFERROR(__xludf.DUMMYFUNCTION("""COMPUTED_VALUE"""),"RSC006140")</f>
        <v>RSC006140</v>
      </c>
      <c r="B166" s="30" t="str">
        <f>IFERROR(__xludf.DUMMYFUNCTION("""COMPUTED_VALUE"""),"Jay_Kay99")</f>
        <v>Jay_Kay99</v>
      </c>
      <c r="C166" s="30" t="str">
        <f>IFERROR(__xludf.DUMMYFUNCTION("""COMPUTED_VALUE"""),"Veteran")</f>
        <v>Veteran</v>
      </c>
      <c r="D166" s="30" t="str">
        <f>IFERROR(__xludf.DUMMYFUNCTION("""COMPUTED_VALUE"""),"Blacksmiths")</f>
        <v>Blacksmiths</v>
      </c>
      <c r="E166" s="30" t="str">
        <f>IFERROR(__xludf.DUMMYFUNCTION("""COMPUTED_VALUE"""),"Dwarf Haven")</f>
        <v>Dwarf Haven</v>
      </c>
      <c r="F166" s="30" t="str">
        <f>IFERROR(__xludf.DUMMYFUNCTION("""COMPUTED_VALUE"""),"Solar")</f>
        <v>Solar</v>
      </c>
      <c r="G166" s="92">
        <f>IFERROR(__xludf.DUMMYFUNCTION("""COMPUTED_VALUE"""),60.76047383833814)</f>
        <v>60.76047384</v>
      </c>
    </row>
    <row r="167">
      <c r="A167" s="30" t="str">
        <f>IFERROR(__xludf.DUMMYFUNCTION("""COMPUTED_VALUE"""),"RSC007760")</f>
        <v>RSC007760</v>
      </c>
      <c r="B167" s="30" t="str">
        <f>IFERROR(__xludf.DUMMYFUNCTION("""COMPUTED_VALUE"""),"BossMan")</f>
        <v>BossMan</v>
      </c>
      <c r="C167" s="30" t="str">
        <f>IFERROR(__xludf.DUMMYFUNCTION("""COMPUTED_VALUE"""),"Veteran")</f>
        <v>Veteran</v>
      </c>
      <c r="D167" s="30" t="str">
        <f>IFERROR(__xludf.DUMMYFUNCTION("""COMPUTED_VALUE"""),"Blacksmiths")</f>
        <v>Blacksmiths</v>
      </c>
      <c r="E167" s="30" t="str">
        <f>IFERROR(__xludf.DUMMYFUNCTION("""COMPUTED_VALUE"""),"Dwarf Haven")</f>
        <v>Dwarf Haven</v>
      </c>
      <c r="F167" s="30" t="str">
        <f>IFERROR(__xludf.DUMMYFUNCTION("""COMPUTED_VALUE"""),"Solar")</f>
        <v>Solar</v>
      </c>
      <c r="G167" s="92">
        <f>IFERROR(__xludf.DUMMYFUNCTION("""COMPUTED_VALUE"""),50.27606702289749)</f>
        <v>50.27606702</v>
      </c>
    </row>
    <row r="168">
      <c r="A168" s="30" t="str">
        <f>IFERROR(__xludf.DUMMYFUNCTION("""COMPUTED_VALUE"""),"RSC004220")</f>
        <v>RSC004220</v>
      </c>
      <c r="B168" s="30" t="str">
        <f>IFERROR(__xludf.DUMMYFUNCTION("""COMPUTED_VALUE"""),"Logixaal")</f>
        <v>Logixaal</v>
      </c>
      <c r="C168" s="30" t="str">
        <f>IFERROR(__xludf.DUMMYFUNCTION("""COMPUTED_VALUE"""),"Veteran")</f>
        <v>Veteran</v>
      </c>
      <c r="D168" s="30" t="str">
        <f>IFERROR(__xludf.DUMMYFUNCTION("""COMPUTED_VALUE"""),"Typhoons")</f>
        <v>Typhoons</v>
      </c>
      <c r="E168" s="30" t="str">
        <f>IFERROR(__xludf.DUMMYFUNCTION("""COMPUTED_VALUE"""),"Storm")</f>
        <v>Storm</v>
      </c>
      <c r="F168" s="30" t="str">
        <f>IFERROR(__xludf.DUMMYFUNCTION("""COMPUTED_VALUE"""),"Solar")</f>
        <v>Solar</v>
      </c>
      <c r="G168" s="92">
        <f>IFERROR(__xludf.DUMMYFUNCTION("""COMPUTED_VALUE"""),46.84111404551002)</f>
        <v>46.84111405</v>
      </c>
    </row>
    <row r="169">
      <c r="A169" s="30" t="str">
        <f>IFERROR(__xludf.DUMMYFUNCTION("""COMPUTED_VALUE"""),"RSC007688")</f>
        <v>RSC007688</v>
      </c>
      <c r="B169" s="30" t="str">
        <f>IFERROR(__xludf.DUMMYFUNCTION("""COMPUTED_VALUE"""),"Yami ^^")</f>
        <v>Yami ^^</v>
      </c>
      <c r="C169" s="30" t="str">
        <f>IFERROR(__xludf.DUMMYFUNCTION("""COMPUTED_VALUE"""),"Veteran")</f>
        <v>Veteran</v>
      </c>
      <c r="D169" s="30" t="str">
        <f>IFERROR(__xludf.DUMMYFUNCTION("""COMPUTED_VALUE"""),"Typhoons")</f>
        <v>Typhoons</v>
      </c>
      <c r="E169" s="30" t="str">
        <f>IFERROR(__xludf.DUMMYFUNCTION("""COMPUTED_VALUE"""),"Storm")</f>
        <v>Storm</v>
      </c>
      <c r="F169" s="30" t="str">
        <f>IFERROR(__xludf.DUMMYFUNCTION("""COMPUTED_VALUE"""),"Solar")</f>
        <v>Solar</v>
      </c>
      <c r="G169" s="92">
        <f>IFERROR(__xludf.DUMMYFUNCTION("""COMPUTED_VALUE"""),38.503615542098174)</f>
        <v>38.50361554</v>
      </c>
    </row>
    <row r="170">
      <c r="A170" s="30" t="str">
        <f>IFERROR(__xludf.DUMMYFUNCTION("""COMPUTED_VALUE"""),"RSC005758")</f>
        <v>RSC005758</v>
      </c>
      <c r="B170" s="30" t="str">
        <f>IFERROR(__xludf.DUMMYFUNCTION("""COMPUTED_VALUE"""),"ghostsynn.")</f>
        <v>ghostsynn.</v>
      </c>
      <c r="C170" s="30" t="str">
        <f>IFERROR(__xludf.DUMMYFUNCTION("""COMPUTED_VALUE"""),"Veteran")</f>
        <v>Veteran</v>
      </c>
      <c r="D170" s="30" t="str">
        <f>IFERROR(__xludf.DUMMYFUNCTION("""COMPUTED_VALUE"""),"Typhoons")</f>
        <v>Typhoons</v>
      </c>
      <c r="E170" s="30" t="str">
        <f>IFERROR(__xludf.DUMMYFUNCTION("""COMPUTED_VALUE"""),"Storm")</f>
        <v>Storm</v>
      </c>
      <c r="F170" s="30" t="str">
        <f>IFERROR(__xludf.DUMMYFUNCTION("""COMPUTED_VALUE"""),"Solar")</f>
        <v>Solar</v>
      </c>
      <c r="G170" s="92">
        <f>IFERROR(__xludf.DUMMYFUNCTION("""COMPUTED_VALUE"""),76.79877654278762)</f>
        <v>76.79877654</v>
      </c>
    </row>
    <row r="171">
      <c r="A171" s="30" t="str">
        <f>IFERROR(__xludf.DUMMYFUNCTION("""COMPUTED_VALUE"""),"RSC006278")</f>
        <v>RSC006278</v>
      </c>
      <c r="B171" s="30" t="str">
        <f>IFERROR(__xludf.DUMMYFUNCTION("""COMPUTED_VALUE"""),"DribblingPenguin")</f>
        <v>DribblingPenguin</v>
      </c>
      <c r="C171" s="30" t="str">
        <f>IFERROR(__xludf.DUMMYFUNCTION("""COMPUTED_VALUE"""),"Veteran")</f>
        <v>Veteran</v>
      </c>
      <c r="D171" s="30" t="str">
        <f>IFERROR(__xludf.DUMMYFUNCTION("""COMPUTED_VALUE"""),"Azalea")</f>
        <v>Azalea</v>
      </c>
      <c r="E171" s="30" t="str">
        <f>IFERROR(__xludf.DUMMYFUNCTION("""COMPUTED_VALUE"""),"Flower Road")</f>
        <v>Flower Road</v>
      </c>
      <c r="F171" s="30" t="str">
        <f>IFERROR(__xludf.DUMMYFUNCTION("""COMPUTED_VALUE"""),"Lunar")</f>
        <v>Lunar</v>
      </c>
      <c r="G171" s="92">
        <f>IFERROR(__xludf.DUMMYFUNCTION("""COMPUTED_VALUE"""),67.95594787210493)</f>
        <v>67.95594787</v>
      </c>
    </row>
    <row r="172">
      <c r="A172" s="30" t="str">
        <f>IFERROR(__xludf.DUMMYFUNCTION("""COMPUTED_VALUE"""),"RSC006128")</f>
        <v>RSC006128</v>
      </c>
      <c r="B172" s="30" t="str">
        <f>IFERROR(__xludf.DUMMYFUNCTION("""COMPUTED_VALUE"""),"anth0tex")</f>
        <v>anth0tex</v>
      </c>
      <c r="C172" s="30" t="str">
        <f>IFERROR(__xludf.DUMMYFUNCTION("""COMPUTED_VALUE"""),"Veteran")</f>
        <v>Veteran</v>
      </c>
      <c r="D172" s="30" t="str">
        <f>IFERROR(__xludf.DUMMYFUNCTION("""COMPUTED_VALUE"""),"Azalea")</f>
        <v>Azalea</v>
      </c>
      <c r="E172" s="30" t="str">
        <f>IFERROR(__xludf.DUMMYFUNCTION("""COMPUTED_VALUE"""),"Flower Road")</f>
        <v>Flower Road</v>
      </c>
      <c r="F172" s="30" t="str">
        <f>IFERROR(__xludf.DUMMYFUNCTION("""COMPUTED_VALUE"""),"Lunar")</f>
        <v>Lunar</v>
      </c>
      <c r="G172" s="92">
        <f>IFERROR(__xludf.DUMMYFUNCTION("""COMPUTED_VALUE"""),44.383578537393646)</f>
        <v>44.38357854</v>
      </c>
    </row>
    <row r="173">
      <c r="A173" s="30" t="str">
        <f>IFERROR(__xludf.DUMMYFUNCTION("""COMPUTED_VALUE"""),"RSC007301")</f>
        <v>RSC007301</v>
      </c>
      <c r="B173" s="30" t="str">
        <f>IFERROR(__xludf.DUMMYFUNCTION("""COMPUTED_VALUE"""),"DeathFletch")</f>
        <v>DeathFletch</v>
      </c>
      <c r="C173" s="30" t="str">
        <f>IFERROR(__xludf.DUMMYFUNCTION("""COMPUTED_VALUE"""),"Veteran")</f>
        <v>Veteran</v>
      </c>
      <c r="D173" s="30" t="str">
        <f>IFERROR(__xludf.DUMMYFUNCTION("""COMPUTED_VALUE"""),"Azalea")</f>
        <v>Azalea</v>
      </c>
      <c r="E173" s="30" t="str">
        <f>IFERROR(__xludf.DUMMYFUNCTION("""COMPUTED_VALUE"""),"Flower Road")</f>
        <v>Flower Road</v>
      </c>
      <c r="F173" s="30" t="str">
        <f>IFERROR(__xludf.DUMMYFUNCTION("""COMPUTED_VALUE"""),"Lunar")</f>
        <v>Lunar</v>
      </c>
      <c r="G173" s="92">
        <f>IFERROR(__xludf.DUMMYFUNCTION("""COMPUTED_VALUE"""),54.54984829944721)</f>
        <v>54.5498483</v>
      </c>
    </row>
    <row r="174">
      <c r="A174" s="30" t="str">
        <f>IFERROR(__xludf.DUMMYFUNCTION("""COMPUTED_VALUE"""),"RSC007187")</f>
        <v>RSC007187</v>
      </c>
      <c r="B174" s="30" t="str">
        <f>IFERROR(__xludf.DUMMYFUNCTION("""COMPUTED_VALUE"""),"Evil Gooby")</f>
        <v>Evil Gooby</v>
      </c>
      <c r="C174" s="30" t="str">
        <f>IFERROR(__xludf.DUMMYFUNCTION("""COMPUTED_VALUE"""),"Veteran")</f>
        <v>Veteran</v>
      </c>
      <c r="D174" s="30" t="str">
        <f>IFERROR(__xludf.DUMMYFUNCTION("""COMPUTED_VALUE"""),"Mellow Fellows")</f>
        <v>Mellow Fellows</v>
      </c>
      <c r="E174" s="30" t="str">
        <f>IFERROR(__xludf.DUMMYFUNCTION("""COMPUTED_VALUE"""),"Vibe Tribe")</f>
        <v>Vibe Tribe</v>
      </c>
      <c r="F174" s="30" t="str">
        <f>IFERROR(__xludf.DUMMYFUNCTION("""COMPUTED_VALUE"""),"Lunar")</f>
        <v>Lunar</v>
      </c>
      <c r="G174" s="92">
        <f>IFERROR(__xludf.DUMMYFUNCTION("""COMPUTED_VALUE"""),23.581451095554428)</f>
        <v>23.5814511</v>
      </c>
    </row>
    <row r="175">
      <c r="A175" s="30" t="str">
        <f>IFERROR(__xludf.DUMMYFUNCTION("""COMPUTED_VALUE"""),"RSC007437")</f>
        <v>RSC007437</v>
      </c>
      <c r="B175" s="30" t="str">
        <f>IFERROR(__xludf.DUMMYFUNCTION("""COMPUTED_VALUE"""),"luckyy.12")</f>
        <v>luckyy.12</v>
      </c>
      <c r="C175" s="30" t="str">
        <f>IFERROR(__xludf.DUMMYFUNCTION("""COMPUTED_VALUE"""),"Veteran")</f>
        <v>Veteran</v>
      </c>
      <c r="D175" s="30" t="str">
        <f>IFERROR(__xludf.DUMMYFUNCTION("""COMPUTED_VALUE"""),"Mellow Fellows")</f>
        <v>Mellow Fellows</v>
      </c>
      <c r="E175" s="30" t="str">
        <f>IFERROR(__xludf.DUMMYFUNCTION("""COMPUTED_VALUE"""),"Vibe Tribe")</f>
        <v>Vibe Tribe</v>
      </c>
      <c r="F175" s="30" t="str">
        <f>IFERROR(__xludf.DUMMYFUNCTION("""COMPUTED_VALUE"""),"Lunar")</f>
        <v>Lunar</v>
      </c>
      <c r="G175" s="92">
        <f>IFERROR(__xludf.DUMMYFUNCTION("""COMPUTED_VALUE"""),55.96164641306558)</f>
        <v>55.96164641</v>
      </c>
    </row>
    <row r="176">
      <c r="A176" s="30" t="str">
        <f>IFERROR(__xludf.DUMMYFUNCTION("""COMPUTED_VALUE"""),"RSC001612")</f>
        <v>RSC001612</v>
      </c>
      <c r="B176" s="30" t="str">
        <f>IFERROR(__xludf.DUMMYFUNCTION("""COMPUTED_VALUE"""),"Reverse Fridge")</f>
        <v>Reverse Fridge</v>
      </c>
      <c r="C176" s="30" t="str">
        <f>IFERROR(__xludf.DUMMYFUNCTION("""COMPUTED_VALUE"""),"Veteran")</f>
        <v>Veteran</v>
      </c>
      <c r="D176" s="30" t="str">
        <f>IFERROR(__xludf.DUMMYFUNCTION("""COMPUTED_VALUE"""),"Mellow Fellows")</f>
        <v>Mellow Fellows</v>
      </c>
      <c r="E176" s="30" t="str">
        <f>IFERROR(__xludf.DUMMYFUNCTION("""COMPUTED_VALUE"""),"Vibe Tribe")</f>
        <v>Vibe Tribe</v>
      </c>
      <c r="F176" s="30" t="str">
        <f>IFERROR(__xludf.DUMMYFUNCTION("""COMPUTED_VALUE"""),"Lunar")</f>
        <v>Lunar</v>
      </c>
      <c r="G176" s="92">
        <f>IFERROR(__xludf.DUMMYFUNCTION("""COMPUTED_VALUE"""),41.212112994542245)</f>
        <v>41.21211299</v>
      </c>
    </row>
    <row r="177">
      <c r="A177" s="30" t="str">
        <f>IFERROR(__xludf.DUMMYFUNCTION("""COMPUTED_VALUE"""),"RSC004662")</f>
        <v>RSC004662</v>
      </c>
      <c r="B177" s="30" t="str">
        <f>IFERROR(__xludf.DUMMYFUNCTION("""COMPUTED_VALUE"""),"D_MATT_")</f>
        <v>D_MATT_</v>
      </c>
      <c r="C177" s="30" t="str">
        <f>IFERROR(__xludf.DUMMYFUNCTION("""COMPUTED_VALUE"""),"Veteran")</f>
        <v>Veteran</v>
      </c>
      <c r="D177" s="30" t="str">
        <f>IFERROR(__xludf.DUMMYFUNCTION("""COMPUTED_VALUE"""),"Penguins")</f>
        <v>Penguins</v>
      </c>
      <c r="E177" s="30" t="str">
        <f>IFERROR(__xludf.DUMMYFUNCTION("""COMPUTED_VALUE"""),"Flightless Fowl")</f>
        <v>Flightless Fowl</v>
      </c>
      <c r="F177" s="30" t="str">
        <f>IFERROR(__xludf.DUMMYFUNCTION("""COMPUTED_VALUE"""),"Solar")</f>
        <v>Solar</v>
      </c>
      <c r="G177" s="92">
        <f>IFERROR(__xludf.DUMMYFUNCTION("""COMPUTED_VALUE"""),92.1255306820335)</f>
        <v>92.12553068</v>
      </c>
    </row>
    <row r="178">
      <c r="A178" s="30" t="str">
        <f>IFERROR(__xludf.DUMMYFUNCTION("""COMPUTED_VALUE"""),"RSC006700")</f>
        <v>RSC006700</v>
      </c>
      <c r="B178" s="30" t="str">
        <f>IFERROR(__xludf.DUMMYFUNCTION("""COMPUTED_VALUE"""),"Terx")</f>
        <v>Terx</v>
      </c>
      <c r="C178" s="30" t="str">
        <f>IFERROR(__xludf.DUMMYFUNCTION("""COMPUTED_VALUE"""),"Veteran")</f>
        <v>Veteran</v>
      </c>
      <c r="D178" s="30" t="str">
        <f>IFERROR(__xludf.DUMMYFUNCTION("""COMPUTED_VALUE"""),"Penguins")</f>
        <v>Penguins</v>
      </c>
      <c r="E178" s="30" t="str">
        <f>IFERROR(__xludf.DUMMYFUNCTION("""COMPUTED_VALUE"""),"Flightless Fowl")</f>
        <v>Flightless Fowl</v>
      </c>
      <c r="F178" s="30" t="str">
        <f>IFERROR(__xludf.DUMMYFUNCTION("""COMPUTED_VALUE"""),"Solar")</f>
        <v>Solar</v>
      </c>
      <c r="G178" s="92">
        <f>IFERROR(__xludf.DUMMYFUNCTION("""COMPUTED_VALUE"""),32.033121597074796)</f>
        <v>32.0331216</v>
      </c>
    </row>
    <row r="179">
      <c r="A179" s="30" t="str">
        <f>IFERROR(__xludf.DUMMYFUNCTION("""COMPUTED_VALUE"""),"RSC005505")</f>
        <v>RSC005505</v>
      </c>
      <c r="B179" s="30" t="str">
        <f>IFERROR(__xludf.DUMMYFUNCTION("""COMPUTED_VALUE"""),"The_Wheelman_95")</f>
        <v>The_Wheelman_95</v>
      </c>
      <c r="C179" s="30" t="str">
        <f>IFERROR(__xludf.DUMMYFUNCTION("""COMPUTED_VALUE"""),"Veteran")</f>
        <v>Veteran</v>
      </c>
      <c r="D179" s="30" t="str">
        <f>IFERROR(__xludf.DUMMYFUNCTION("""COMPUTED_VALUE"""),"Penguins")</f>
        <v>Penguins</v>
      </c>
      <c r="E179" s="30" t="str">
        <f>IFERROR(__xludf.DUMMYFUNCTION("""COMPUTED_VALUE"""),"Flightless Fowl")</f>
        <v>Flightless Fowl</v>
      </c>
      <c r="F179" s="30" t="str">
        <f>IFERROR(__xludf.DUMMYFUNCTION("""COMPUTED_VALUE"""),"Solar")</f>
        <v>Solar</v>
      </c>
      <c r="G179" s="92">
        <f>IFERROR(__xludf.DUMMYFUNCTION("""COMPUTED_VALUE"""),35.30621804060773)</f>
        <v>35.30621804</v>
      </c>
    </row>
    <row r="180">
      <c r="A180" s="30" t="str">
        <f>IFERROR(__xludf.DUMMYFUNCTION("""COMPUTED_VALUE"""),"RSC006320")</f>
        <v>RSC006320</v>
      </c>
      <c r="B180" s="30" t="str">
        <f>IFERROR(__xludf.DUMMYFUNCTION("""COMPUTED_VALUE"""),"Escape_Plan")</f>
        <v>Escape_Plan</v>
      </c>
      <c r="C180" s="30" t="str">
        <f>IFERROR(__xludf.DUMMYFUNCTION("""COMPUTED_VALUE"""),"Veteran")</f>
        <v>Veteran</v>
      </c>
      <c r="D180" s="30" t="str">
        <f>IFERROR(__xludf.DUMMYFUNCTION("""COMPUTED_VALUE"""),"Singularity")</f>
        <v>Singularity</v>
      </c>
      <c r="E180" s="30" t="str">
        <f>IFERROR(__xludf.DUMMYFUNCTION("""COMPUTED_VALUE"""),"Event Horizon")</f>
        <v>Event Horizon</v>
      </c>
      <c r="F180" s="30" t="str">
        <f>IFERROR(__xludf.DUMMYFUNCTION("""COMPUTED_VALUE"""),"Solar")</f>
        <v>Solar</v>
      </c>
      <c r="G180" s="92">
        <f>IFERROR(__xludf.DUMMYFUNCTION("""COMPUTED_VALUE"""),43.129538766419586)</f>
        <v>43.12953877</v>
      </c>
    </row>
    <row r="181">
      <c r="A181" s="30" t="str">
        <f>IFERROR(__xludf.DUMMYFUNCTION("""COMPUTED_VALUE"""),"RSC006315")</f>
        <v>RSC006315</v>
      </c>
      <c r="B181" s="30" t="str">
        <f>IFERROR(__xludf.DUMMYFUNCTION("""COMPUTED_VALUE"""),"BIGbadBULLMAN13")</f>
        <v>BIGbadBULLMAN13</v>
      </c>
      <c r="C181" s="30" t="str">
        <f>IFERROR(__xludf.DUMMYFUNCTION("""COMPUTED_VALUE"""),"Veteran")</f>
        <v>Veteran</v>
      </c>
      <c r="D181" s="30" t="str">
        <f>IFERROR(__xludf.DUMMYFUNCTION("""COMPUTED_VALUE"""),"Singularity")</f>
        <v>Singularity</v>
      </c>
      <c r="E181" s="30" t="str">
        <f>IFERROR(__xludf.DUMMYFUNCTION("""COMPUTED_VALUE"""),"Event Horizon")</f>
        <v>Event Horizon</v>
      </c>
      <c r="F181" s="30" t="str">
        <f>IFERROR(__xludf.DUMMYFUNCTION("""COMPUTED_VALUE"""),"Solar")</f>
        <v>Solar</v>
      </c>
      <c r="G181" s="92">
        <f>IFERROR(__xludf.DUMMYFUNCTION("""COMPUTED_VALUE"""),48.563155379657616)</f>
        <v>48.56315538</v>
      </c>
    </row>
    <row r="182">
      <c r="A182" s="30" t="str">
        <f>IFERROR(__xludf.DUMMYFUNCTION("""COMPUTED_VALUE"""),"RSC003272")</f>
        <v>RSC003272</v>
      </c>
      <c r="B182" s="30" t="str">
        <f>IFERROR(__xludf.DUMMYFUNCTION("""COMPUTED_VALUE"""),"jknop2")</f>
        <v>jknop2</v>
      </c>
      <c r="C182" s="30" t="str">
        <f>IFERROR(__xludf.DUMMYFUNCTION("""COMPUTED_VALUE"""),"Veteran")</f>
        <v>Veteran</v>
      </c>
      <c r="D182" s="30" t="str">
        <f>IFERROR(__xludf.DUMMYFUNCTION("""COMPUTED_VALUE"""),"Singularity")</f>
        <v>Singularity</v>
      </c>
      <c r="E182" s="30" t="str">
        <f>IFERROR(__xludf.DUMMYFUNCTION("""COMPUTED_VALUE"""),"Event Horizon")</f>
        <v>Event Horizon</v>
      </c>
      <c r="F182" s="30" t="str">
        <f>IFERROR(__xludf.DUMMYFUNCTION("""COMPUTED_VALUE"""),"Solar")</f>
        <v>Solar</v>
      </c>
      <c r="G182" s="92">
        <f>IFERROR(__xludf.DUMMYFUNCTION("""COMPUTED_VALUE"""),53.52969455966069)</f>
        <v>53.52969456</v>
      </c>
    </row>
    <row r="183">
      <c r="A183" s="30" t="str">
        <f>IFERROR(__xludf.DUMMYFUNCTION("""COMPUTED_VALUE"""),"RSC006836")</f>
        <v>RSC006836</v>
      </c>
      <c r="B183" s="30" t="str">
        <f>IFERROR(__xludf.DUMMYFUNCTION("""COMPUTED_VALUE"""),"BawaRL")</f>
        <v>BawaRL</v>
      </c>
      <c r="C183" s="30" t="str">
        <f>IFERROR(__xludf.DUMMYFUNCTION("""COMPUTED_VALUE"""),"Veteran")</f>
        <v>Veteran</v>
      </c>
      <c r="D183" s="30" t="str">
        <f>IFERROR(__xludf.DUMMYFUNCTION("""COMPUTED_VALUE"""),"Silver Dollar")</f>
        <v>Silver Dollar</v>
      </c>
      <c r="E183" s="30" t="str">
        <f>IFERROR(__xludf.DUMMYFUNCTION("""COMPUTED_VALUE"""),"Money Makers")</f>
        <v>Money Makers</v>
      </c>
      <c r="F183" s="30" t="str">
        <f>IFERROR(__xludf.DUMMYFUNCTION("""COMPUTED_VALUE"""),"Solar")</f>
        <v>Solar</v>
      </c>
      <c r="G183" s="92">
        <f>IFERROR(__xludf.DUMMYFUNCTION("""COMPUTED_VALUE"""),58.224542699923965)</f>
        <v>58.2245427</v>
      </c>
    </row>
    <row r="184">
      <c r="A184" s="30" t="str">
        <f>IFERROR(__xludf.DUMMYFUNCTION("""COMPUTED_VALUE"""),"RSC007231")</f>
        <v>RSC007231</v>
      </c>
      <c r="B184" s="30" t="str">
        <f>IFERROR(__xludf.DUMMYFUNCTION("""COMPUTED_VALUE"""),"BlitzzyG")</f>
        <v>BlitzzyG</v>
      </c>
      <c r="C184" s="30" t="str">
        <f>IFERROR(__xludf.DUMMYFUNCTION("""COMPUTED_VALUE"""),"Veteran")</f>
        <v>Veteran</v>
      </c>
      <c r="D184" s="30" t="str">
        <f>IFERROR(__xludf.DUMMYFUNCTION("""COMPUTED_VALUE"""),"Silver Dollar")</f>
        <v>Silver Dollar</v>
      </c>
      <c r="E184" s="30" t="str">
        <f>IFERROR(__xludf.DUMMYFUNCTION("""COMPUTED_VALUE"""),"Money Makers")</f>
        <v>Money Makers</v>
      </c>
      <c r="F184" s="30" t="str">
        <f>IFERROR(__xludf.DUMMYFUNCTION("""COMPUTED_VALUE"""),"Solar")</f>
        <v>Solar</v>
      </c>
      <c r="G184" s="92">
        <f>IFERROR(__xludf.DUMMYFUNCTION("""COMPUTED_VALUE"""),39.808047097817166)</f>
        <v>39.8080471</v>
      </c>
    </row>
    <row r="185">
      <c r="A185" s="30" t="str">
        <f>IFERROR(__xludf.DUMMYFUNCTION("""COMPUTED_VALUE"""),"RSC001098")</f>
        <v>RSC001098</v>
      </c>
      <c r="B185" s="30" t="str">
        <f>IFERROR(__xludf.DUMMYFUNCTION("""COMPUTED_VALUE"""),"Wafe")</f>
        <v>Wafe</v>
      </c>
      <c r="C185" s="30" t="str">
        <f>IFERROR(__xludf.DUMMYFUNCTION("""COMPUTED_VALUE"""),"Veteran")</f>
        <v>Veteran</v>
      </c>
      <c r="D185" s="30" t="str">
        <f>IFERROR(__xludf.DUMMYFUNCTION("""COMPUTED_VALUE"""),"Silver Dollar")</f>
        <v>Silver Dollar</v>
      </c>
      <c r="E185" s="30" t="str">
        <f>IFERROR(__xludf.DUMMYFUNCTION("""COMPUTED_VALUE"""),"Money Makers")</f>
        <v>Money Makers</v>
      </c>
      <c r="F185" s="30" t="str">
        <f>IFERROR(__xludf.DUMMYFUNCTION("""COMPUTED_VALUE"""),"Solar")</f>
        <v>Solar</v>
      </c>
      <c r="G185" s="92">
        <f>IFERROR(__xludf.DUMMYFUNCTION("""COMPUTED_VALUE"""),63.31331177738188)</f>
        <v>63.31331178</v>
      </c>
    </row>
    <row r="186">
      <c r="A186" s="30" t="str">
        <f>IFERROR(__xludf.DUMMYFUNCTION("""COMPUTED_VALUE"""),"RSC000367")</f>
        <v>RSC000367</v>
      </c>
      <c r="B186" s="30" t="str">
        <f>IFERROR(__xludf.DUMMYFUNCTION("""COMPUTED_VALUE"""),"Pana")</f>
        <v>Pana</v>
      </c>
      <c r="C186" s="30" t="str">
        <f>IFERROR(__xludf.DUMMYFUNCTION("""COMPUTED_VALUE"""),"Veteran")</f>
        <v>Veteran</v>
      </c>
      <c r="D186" s="30" t="str">
        <f>IFERROR(__xludf.DUMMYFUNCTION("""COMPUTED_VALUE"""),"Supernova")</f>
        <v>Supernova</v>
      </c>
      <c r="E186" s="30" t="str">
        <f>IFERROR(__xludf.DUMMYFUNCTION("""COMPUTED_VALUE"""),"The Cosmos")</f>
        <v>The Cosmos</v>
      </c>
      <c r="F186" s="30" t="str">
        <f>IFERROR(__xludf.DUMMYFUNCTION("""COMPUTED_VALUE"""),"Solar")</f>
        <v>Solar</v>
      </c>
      <c r="G186" s="92">
        <f>IFERROR(__xludf.DUMMYFUNCTION("""COMPUTED_VALUE"""),19.59498704387792)</f>
        <v>19.59498704</v>
      </c>
    </row>
    <row r="187">
      <c r="A187" s="30" t="str">
        <f>IFERROR(__xludf.DUMMYFUNCTION("""COMPUTED_VALUE"""),"RSC007888")</f>
        <v>RSC007888</v>
      </c>
      <c r="B187" s="30" t="str">
        <f>IFERROR(__xludf.DUMMYFUNCTION("""COMPUTED_VALUE"""),"SejRL")</f>
        <v>SejRL</v>
      </c>
      <c r="C187" s="30" t="str">
        <f>IFERROR(__xludf.DUMMYFUNCTION("""COMPUTED_VALUE"""),"Veteran")</f>
        <v>Veteran</v>
      </c>
      <c r="D187" s="30" t="str">
        <f>IFERROR(__xludf.DUMMYFUNCTION("""COMPUTED_VALUE"""),"Supernova")</f>
        <v>Supernova</v>
      </c>
      <c r="E187" s="30" t="str">
        <f>IFERROR(__xludf.DUMMYFUNCTION("""COMPUTED_VALUE"""),"The Cosmos")</f>
        <v>The Cosmos</v>
      </c>
      <c r="F187" s="30" t="str">
        <f>IFERROR(__xludf.DUMMYFUNCTION("""COMPUTED_VALUE"""),"Solar")</f>
        <v>Solar</v>
      </c>
      <c r="G187" s="92">
        <f>IFERROR(__xludf.DUMMYFUNCTION("""COMPUTED_VALUE"""),51.84942256300251)</f>
        <v>51.84942256</v>
      </c>
    </row>
    <row r="188">
      <c r="A188" s="30" t="str">
        <f>IFERROR(__xludf.DUMMYFUNCTION("""COMPUTED_VALUE"""),"RSC001007")</f>
        <v>RSC001007</v>
      </c>
      <c r="B188" s="30" t="str">
        <f>IFERROR(__xludf.DUMMYFUNCTION("""COMPUTED_VALUE"""),"Tdeez")</f>
        <v>Tdeez</v>
      </c>
      <c r="C188" s="30" t="str">
        <f>IFERROR(__xludf.DUMMYFUNCTION("""COMPUTED_VALUE"""),"Veteran")</f>
        <v>Veteran</v>
      </c>
      <c r="D188" s="30" t="str">
        <f>IFERROR(__xludf.DUMMYFUNCTION("""COMPUTED_VALUE"""),"Supernova")</f>
        <v>Supernova</v>
      </c>
      <c r="E188" s="30" t="str">
        <f>IFERROR(__xludf.DUMMYFUNCTION("""COMPUTED_VALUE"""),"The Cosmos")</f>
        <v>The Cosmos</v>
      </c>
      <c r="F188" s="30" t="str">
        <f>IFERROR(__xludf.DUMMYFUNCTION("""COMPUTED_VALUE"""),"Solar")</f>
        <v>Solar</v>
      </c>
      <c r="G188" s="92">
        <f>IFERROR(__xludf.DUMMYFUNCTION("""COMPUTED_VALUE"""),25.16101576625413)</f>
        <v>25.16101577</v>
      </c>
    </row>
    <row r="189">
      <c r="A189" s="30" t="str">
        <f>IFERROR(__xludf.DUMMYFUNCTION("""COMPUTED_VALUE"""),"RSC007855")</f>
        <v>RSC007855</v>
      </c>
      <c r="B189" s="30" t="str">
        <f>IFERROR(__xludf.DUMMYFUNCTION("""COMPUTED_VALUE"""),"Dub_Dill")</f>
        <v>Dub_Dill</v>
      </c>
      <c r="C189" s="30" t="str">
        <f>IFERROR(__xludf.DUMMYFUNCTION("""COMPUTED_VALUE"""),"Veteran")</f>
        <v>Veteran</v>
      </c>
      <c r="D189" s="30" t="str">
        <f>IFERROR(__xludf.DUMMYFUNCTION("""COMPUTED_VALUE"""),"Legati")</f>
        <v>Legati</v>
      </c>
      <c r="E189" s="30" t="str">
        <f>IFERROR(__xludf.DUMMYFUNCTION("""COMPUTED_VALUE"""),"The Sovereign")</f>
        <v>The Sovereign</v>
      </c>
      <c r="F189" s="30" t="str">
        <f>IFERROR(__xludf.DUMMYFUNCTION("""COMPUTED_VALUE"""),"Lunar")</f>
        <v>Lunar</v>
      </c>
      <c r="G189" s="92">
        <f>IFERROR(__xludf.DUMMYFUNCTION("""COMPUTED_VALUE"""),51.033581568721864)</f>
        <v>51.03358157</v>
      </c>
    </row>
    <row r="190">
      <c r="A190" s="30" t="str">
        <f>IFERROR(__xludf.DUMMYFUNCTION("""COMPUTED_VALUE"""),"RSC000923")</f>
        <v>RSC000923</v>
      </c>
      <c r="B190" s="30" t="str">
        <f>IFERROR(__xludf.DUMMYFUNCTION("""COMPUTED_VALUE"""),"Stemantics")</f>
        <v>Stemantics</v>
      </c>
      <c r="C190" s="30" t="str">
        <f>IFERROR(__xludf.DUMMYFUNCTION("""COMPUTED_VALUE"""),"Veteran")</f>
        <v>Veteran</v>
      </c>
      <c r="D190" s="30" t="str">
        <f>IFERROR(__xludf.DUMMYFUNCTION("""COMPUTED_VALUE"""),"Legati")</f>
        <v>Legati</v>
      </c>
      <c r="E190" s="30" t="str">
        <f>IFERROR(__xludf.DUMMYFUNCTION("""COMPUTED_VALUE"""),"The Sovereign")</f>
        <v>The Sovereign</v>
      </c>
      <c r="F190" s="30" t="str">
        <f>IFERROR(__xludf.DUMMYFUNCTION("""COMPUTED_VALUE"""),"Lunar")</f>
        <v>Lunar</v>
      </c>
      <c r="G190" s="92">
        <f>IFERROR(__xludf.DUMMYFUNCTION("""COMPUTED_VALUE"""),67.07236101047299)</f>
        <v>67.07236101</v>
      </c>
    </row>
    <row r="191">
      <c r="A191" s="30" t="str">
        <f>IFERROR(__xludf.DUMMYFUNCTION("""COMPUTED_VALUE"""),"RSC002906")</f>
        <v>RSC002906</v>
      </c>
      <c r="B191" s="30" t="str">
        <f>IFERROR(__xludf.DUMMYFUNCTION("""COMPUTED_VALUE"""),"PackRL")</f>
        <v>PackRL</v>
      </c>
      <c r="C191" s="30" t="str">
        <f>IFERROR(__xludf.DUMMYFUNCTION("""COMPUTED_VALUE"""),"Veteran")</f>
        <v>Veteran</v>
      </c>
      <c r="D191" s="30" t="str">
        <f>IFERROR(__xludf.DUMMYFUNCTION("""COMPUTED_VALUE"""),"Legati")</f>
        <v>Legati</v>
      </c>
      <c r="E191" s="30" t="str">
        <f>IFERROR(__xludf.DUMMYFUNCTION("""COMPUTED_VALUE"""),"The Sovereign")</f>
        <v>The Sovereign</v>
      </c>
      <c r="F191" s="30" t="str">
        <f>IFERROR(__xludf.DUMMYFUNCTION("""COMPUTED_VALUE"""),"Lunar")</f>
        <v>Lunar</v>
      </c>
      <c r="G191" s="92">
        <f>IFERROR(__xludf.DUMMYFUNCTION("""COMPUTED_VALUE"""),73.17185462394431)</f>
        <v>73.17185462</v>
      </c>
    </row>
    <row r="192">
      <c r="A192" s="30" t="str">
        <f>IFERROR(__xludf.DUMMYFUNCTION("""COMPUTED_VALUE"""),"RSC001118")</f>
        <v>RSC001118</v>
      </c>
      <c r="B192" s="30" t="str">
        <f>IFERROR(__xludf.DUMMYFUNCTION("""COMPUTED_VALUE"""),"azurified")</f>
        <v>azurified</v>
      </c>
      <c r="C192" s="30" t="str">
        <f>IFERROR(__xludf.DUMMYFUNCTION("""COMPUTED_VALUE"""),"Veteran")</f>
        <v>Veteran</v>
      </c>
      <c r="D192" s="30" t="str">
        <f>IFERROR(__xludf.DUMMYFUNCTION("""COMPUTED_VALUE"""),"Banshees")</f>
        <v>Banshees</v>
      </c>
      <c r="E192" s="30" t="str">
        <f>IFERROR(__xludf.DUMMYFUNCTION("""COMPUTED_VALUE"""),"The Monster Mash")</f>
        <v>The Monster Mash</v>
      </c>
      <c r="F192" s="30" t="str">
        <f>IFERROR(__xludf.DUMMYFUNCTION("""COMPUTED_VALUE"""),"Lunar")</f>
        <v>Lunar</v>
      </c>
      <c r="G192" s="92">
        <f>IFERROR(__xludf.DUMMYFUNCTION("""COMPUTED_VALUE"""),63.11451760213447)</f>
        <v>63.1145176</v>
      </c>
    </row>
    <row r="193">
      <c r="A193" s="30" t="str">
        <f>IFERROR(__xludf.DUMMYFUNCTION("""COMPUTED_VALUE"""),"RSC007512")</f>
        <v>RSC007512</v>
      </c>
      <c r="B193" s="30" t="str">
        <f>IFERROR(__xludf.DUMMYFUNCTION("""COMPUTED_VALUE"""),"BigGreenRL")</f>
        <v>BigGreenRL</v>
      </c>
      <c r="C193" s="30" t="str">
        <f>IFERROR(__xludf.DUMMYFUNCTION("""COMPUTED_VALUE"""),"Veteran")</f>
        <v>Veteran</v>
      </c>
      <c r="D193" s="30" t="str">
        <f>IFERROR(__xludf.DUMMYFUNCTION("""COMPUTED_VALUE"""),"Banshees")</f>
        <v>Banshees</v>
      </c>
      <c r="E193" s="30" t="str">
        <f>IFERROR(__xludf.DUMMYFUNCTION("""COMPUTED_VALUE"""),"The Monster Mash")</f>
        <v>The Monster Mash</v>
      </c>
      <c r="F193" s="30" t="str">
        <f>IFERROR(__xludf.DUMMYFUNCTION("""COMPUTED_VALUE"""),"Lunar")</f>
        <v>Lunar</v>
      </c>
      <c r="G193" s="92">
        <f>IFERROR(__xludf.DUMMYFUNCTION("""COMPUTED_VALUE"""),53.11318333647796)</f>
        <v>53.11318334</v>
      </c>
    </row>
    <row r="194">
      <c r="A194" s="30" t="str">
        <f>IFERROR(__xludf.DUMMYFUNCTION("""COMPUTED_VALUE"""),"RSC005267")</f>
        <v>RSC005267</v>
      </c>
      <c r="B194" s="30" t="str">
        <f>IFERROR(__xludf.DUMMYFUNCTION("""COMPUTED_VALUE"""),"jj.dunbar")</f>
        <v>jj.dunbar</v>
      </c>
      <c r="C194" s="30" t="str">
        <f>IFERROR(__xludf.DUMMYFUNCTION("""COMPUTED_VALUE"""),"Veteran")</f>
        <v>Veteran</v>
      </c>
      <c r="D194" s="30" t="str">
        <f>IFERROR(__xludf.DUMMYFUNCTION("""COMPUTED_VALUE"""),"Banshees")</f>
        <v>Banshees</v>
      </c>
      <c r="E194" s="30" t="str">
        <f>IFERROR(__xludf.DUMMYFUNCTION("""COMPUTED_VALUE"""),"The Monster Mash")</f>
        <v>The Monster Mash</v>
      </c>
      <c r="F194" s="30" t="str">
        <f>IFERROR(__xludf.DUMMYFUNCTION("""COMPUTED_VALUE"""),"Lunar")</f>
        <v>Lunar</v>
      </c>
      <c r="G194" s="92">
        <f>IFERROR(__xludf.DUMMYFUNCTION("""COMPUTED_VALUE"""),15.046820373617763)</f>
        <v>15.04682037</v>
      </c>
    </row>
    <row r="195">
      <c r="A195" s="30" t="str">
        <f>IFERROR(__xludf.DUMMYFUNCTION("""COMPUTED_VALUE"""),"RSC001921")</f>
        <v>RSC001921</v>
      </c>
      <c r="B195" s="30" t="str">
        <f>IFERROR(__xludf.DUMMYFUNCTION("""COMPUTED_VALUE"""),"Dom")</f>
        <v>Dom</v>
      </c>
      <c r="C195" s="30" t="str">
        <f>IFERROR(__xludf.DUMMYFUNCTION("""COMPUTED_VALUE"""),"Veteran")</f>
        <v>Veteran</v>
      </c>
      <c r="D195" s="30" t="str">
        <f>IFERROR(__xludf.DUMMYFUNCTION("""COMPUTED_VALUE"""),"Kirin")</f>
        <v>Kirin</v>
      </c>
      <c r="E195" s="30" t="str">
        <f>IFERROR(__xludf.DUMMYFUNCTION("""COMPUTED_VALUE"""),"The Shrine")</f>
        <v>The Shrine</v>
      </c>
      <c r="F195" s="30" t="str">
        <f>IFERROR(__xludf.DUMMYFUNCTION("""COMPUTED_VALUE"""),"Solar")</f>
        <v>Solar</v>
      </c>
      <c r="G195" s="92">
        <f>IFERROR(__xludf.DUMMYFUNCTION("""COMPUTED_VALUE"""),63.18132921364263)</f>
        <v>63.18132921</v>
      </c>
    </row>
    <row r="196">
      <c r="A196" s="30" t="str">
        <f>IFERROR(__xludf.DUMMYFUNCTION("""COMPUTED_VALUE"""),"RSC002937")</f>
        <v>RSC002937</v>
      </c>
      <c r="B196" s="30" t="str">
        <f>IFERROR(__xludf.DUMMYFUNCTION("""COMPUTED_VALUE"""),"SirTommyNoble")</f>
        <v>SirTommyNoble</v>
      </c>
      <c r="C196" s="30" t="str">
        <f>IFERROR(__xludf.DUMMYFUNCTION("""COMPUTED_VALUE"""),"Veteran")</f>
        <v>Veteran</v>
      </c>
      <c r="D196" s="30" t="str">
        <f>IFERROR(__xludf.DUMMYFUNCTION("""COMPUTED_VALUE"""),"Kirin")</f>
        <v>Kirin</v>
      </c>
      <c r="E196" s="30" t="str">
        <f>IFERROR(__xludf.DUMMYFUNCTION("""COMPUTED_VALUE"""),"The Shrine")</f>
        <v>The Shrine</v>
      </c>
      <c r="F196" s="30" t="str">
        <f>IFERROR(__xludf.DUMMYFUNCTION("""COMPUTED_VALUE"""),"Solar")</f>
        <v>Solar</v>
      </c>
      <c r="G196" s="92">
        <f>IFERROR(__xludf.DUMMYFUNCTION("""COMPUTED_VALUE"""),51.9424946384603)</f>
        <v>51.94249464</v>
      </c>
    </row>
    <row r="197">
      <c r="A197" s="30" t="str">
        <f>IFERROR(__xludf.DUMMYFUNCTION("""COMPUTED_VALUE"""),"RSC002760")</f>
        <v>RSC002760</v>
      </c>
      <c r="B197" s="30" t="str">
        <f>IFERROR(__xludf.DUMMYFUNCTION("""COMPUTED_VALUE"""),"gcol")</f>
        <v>gcol</v>
      </c>
      <c r="C197" s="30" t="str">
        <f>IFERROR(__xludf.DUMMYFUNCTION("""COMPUTED_VALUE"""),"Veteran")</f>
        <v>Veteran</v>
      </c>
      <c r="D197" s="30" t="str">
        <f>IFERROR(__xludf.DUMMYFUNCTION("""COMPUTED_VALUE"""),"Kirin")</f>
        <v>Kirin</v>
      </c>
      <c r="E197" s="30" t="str">
        <f>IFERROR(__xludf.DUMMYFUNCTION("""COMPUTED_VALUE"""),"The Shrine")</f>
        <v>The Shrine</v>
      </c>
      <c r="F197" s="30" t="str">
        <f>IFERROR(__xludf.DUMMYFUNCTION("""COMPUTED_VALUE"""),"Solar")</f>
        <v>Solar</v>
      </c>
      <c r="G197" s="92">
        <f>IFERROR(__xludf.DUMMYFUNCTION("""COMPUTED_VALUE"""),52.333111046620076)</f>
        <v>52.33311105</v>
      </c>
    </row>
    <row r="198">
      <c r="A198" s="30" t="str">
        <f>IFERROR(__xludf.DUMMYFUNCTION("""COMPUTED_VALUE"""),"RSC000960")</f>
        <v>RSC000960</v>
      </c>
      <c r="B198" s="30" t="str">
        <f>IFERROR(__xludf.DUMMYFUNCTION("""COMPUTED_VALUE"""),"Catlas")</f>
        <v>Catlas</v>
      </c>
      <c r="C198" s="30" t="str">
        <f>IFERROR(__xludf.DUMMYFUNCTION("""COMPUTED_VALUE"""),"Veteran")</f>
        <v>Veteran</v>
      </c>
      <c r="D198" s="30" t="str">
        <f>IFERROR(__xludf.DUMMYFUNCTION("""COMPUTED_VALUE"""),"Paradox Paloma")</f>
        <v>Paradox Paloma</v>
      </c>
      <c r="E198" s="30" t="str">
        <f>IFERROR(__xludf.DUMMYFUNCTION("""COMPUTED_VALUE"""),"5 O'clock Nowhere")</f>
        <v>5 O'clock Nowhere</v>
      </c>
      <c r="F198" s="30" t="str">
        <f>IFERROR(__xludf.DUMMYFUNCTION("""COMPUTED_VALUE"""),"Solar")</f>
        <v>Solar</v>
      </c>
      <c r="G198" s="92">
        <f>IFERROR(__xludf.DUMMYFUNCTION("""COMPUTED_VALUE"""),57.60081139247841)</f>
        <v>57.60081139</v>
      </c>
    </row>
    <row r="199">
      <c r="A199" s="30" t="str">
        <f>IFERROR(__xludf.DUMMYFUNCTION("""COMPUTED_VALUE"""),"RSC004094")</f>
        <v>RSC004094</v>
      </c>
      <c r="B199" s="30" t="str">
        <f>IFERROR(__xludf.DUMMYFUNCTION("""COMPUTED_VALUE"""),"Moxen")</f>
        <v>Moxen</v>
      </c>
      <c r="C199" s="30" t="str">
        <f>IFERROR(__xludf.DUMMYFUNCTION("""COMPUTED_VALUE"""),"Veteran")</f>
        <v>Veteran</v>
      </c>
      <c r="D199" s="30" t="str">
        <f>IFERROR(__xludf.DUMMYFUNCTION("""COMPUTED_VALUE"""),"Paradox Paloma")</f>
        <v>Paradox Paloma</v>
      </c>
      <c r="E199" s="30" t="str">
        <f>IFERROR(__xludf.DUMMYFUNCTION("""COMPUTED_VALUE"""),"5 O'clock Nowhere")</f>
        <v>5 O'clock Nowhere</v>
      </c>
      <c r="F199" s="30" t="str">
        <f>IFERROR(__xludf.DUMMYFUNCTION("""COMPUTED_VALUE"""),"Solar")</f>
        <v>Solar</v>
      </c>
      <c r="G199" s="92">
        <f>IFERROR(__xludf.DUMMYFUNCTION("""COMPUTED_VALUE"""),25.67212301769427)</f>
        <v>25.67212302</v>
      </c>
    </row>
    <row r="200">
      <c r="A200" s="30" t="str">
        <f>IFERROR(__xludf.DUMMYFUNCTION("""COMPUTED_VALUE"""),"RSC006945")</f>
        <v>RSC006945</v>
      </c>
      <c r="B200" s="30" t="str">
        <f>IFERROR(__xludf.DUMMYFUNCTION("""COMPUTED_VALUE"""),"nuummite")</f>
        <v>nuummite</v>
      </c>
      <c r="C200" s="30" t="str">
        <f>IFERROR(__xludf.DUMMYFUNCTION("""COMPUTED_VALUE"""),"Veteran")</f>
        <v>Veteran</v>
      </c>
      <c r="D200" s="30" t="str">
        <f>IFERROR(__xludf.DUMMYFUNCTION("""COMPUTED_VALUE"""),"Paradox Paloma")</f>
        <v>Paradox Paloma</v>
      </c>
      <c r="E200" s="30" t="str">
        <f>IFERROR(__xludf.DUMMYFUNCTION("""COMPUTED_VALUE"""),"5 O'clock Nowhere")</f>
        <v>5 O'clock Nowhere</v>
      </c>
      <c r="F200" s="30" t="str">
        <f>IFERROR(__xludf.DUMMYFUNCTION("""COMPUTED_VALUE"""),"Solar")</f>
        <v>Solar</v>
      </c>
      <c r="G200" s="92">
        <f>IFERROR(__xludf.DUMMYFUNCTION("""COMPUTED_VALUE"""),79.9088831049529)</f>
        <v>79.9088831</v>
      </c>
    </row>
    <row r="201">
      <c r="A201" s="30" t="str">
        <f>IFERROR(__xludf.DUMMYFUNCTION("""COMPUTED_VALUE"""),"RSC002917")</f>
        <v>RSC002917</v>
      </c>
      <c r="B201" s="30" t="str">
        <f>IFERROR(__xludf.DUMMYFUNCTION("""COMPUTED_VALUE"""),"Arbartenn")</f>
        <v>Arbartenn</v>
      </c>
      <c r="C201" s="30" t="str">
        <f>IFERROR(__xludf.DUMMYFUNCTION("""COMPUTED_VALUE"""),"Veteran")</f>
        <v>Veteran</v>
      </c>
      <c r="D201" s="30" t="str">
        <f>IFERROR(__xludf.DUMMYFUNCTION("""COMPUTED_VALUE"""),"Grizzly Bears")</f>
        <v>Grizzly Bears</v>
      </c>
      <c r="E201" s="30" t="str">
        <f>IFERROR(__xludf.DUMMYFUNCTION("""COMPUTED_VALUE"""),"The Bear Den")</f>
        <v>The Bear Den</v>
      </c>
      <c r="F201" s="30" t="str">
        <f>IFERROR(__xludf.DUMMYFUNCTION("""COMPUTED_VALUE"""),"Lunar")</f>
        <v>Lunar</v>
      </c>
      <c r="G201" s="92">
        <f>IFERROR(__xludf.DUMMYFUNCTION("""COMPUTED_VALUE"""),51.075577368392416)</f>
        <v>51.07557737</v>
      </c>
    </row>
    <row r="202">
      <c r="A202" s="30" t="str">
        <f>IFERROR(__xludf.DUMMYFUNCTION("""COMPUTED_VALUE"""),"RSC006000")</f>
        <v>RSC006000</v>
      </c>
      <c r="B202" s="30" t="str">
        <f>IFERROR(__xludf.DUMMYFUNCTION("""COMPUTED_VALUE"""),"janixity.")</f>
        <v>janixity.</v>
      </c>
      <c r="C202" s="30" t="str">
        <f>IFERROR(__xludf.DUMMYFUNCTION("""COMPUTED_VALUE"""),"Veteran")</f>
        <v>Veteran</v>
      </c>
      <c r="D202" s="30" t="str">
        <f>IFERROR(__xludf.DUMMYFUNCTION("""COMPUTED_VALUE"""),"Grizzly Bears")</f>
        <v>Grizzly Bears</v>
      </c>
      <c r="E202" s="30" t="str">
        <f>IFERROR(__xludf.DUMMYFUNCTION("""COMPUTED_VALUE"""),"The Bear Den")</f>
        <v>The Bear Den</v>
      </c>
      <c r="F202" s="30" t="str">
        <f>IFERROR(__xludf.DUMMYFUNCTION("""COMPUTED_VALUE"""),"Lunar")</f>
        <v>Lunar</v>
      </c>
      <c r="G202" s="92">
        <f>IFERROR(__xludf.DUMMYFUNCTION("""COMPUTED_VALUE"""),51.02832396587029)</f>
        <v>51.02832397</v>
      </c>
    </row>
    <row r="203">
      <c r="A203" s="30" t="str">
        <f>IFERROR(__xludf.DUMMYFUNCTION("""COMPUTED_VALUE"""),"RSC005212")</f>
        <v>RSC005212</v>
      </c>
      <c r="B203" s="30" t="str">
        <f>IFERROR(__xludf.DUMMYFUNCTION("""COMPUTED_VALUE"""),"crackdragon")</f>
        <v>crackdragon</v>
      </c>
      <c r="C203" s="30" t="str">
        <f>IFERROR(__xludf.DUMMYFUNCTION("""COMPUTED_VALUE"""),"Veteran")</f>
        <v>Veteran</v>
      </c>
      <c r="D203" s="30" t="str">
        <f>IFERROR(__xludf.DUMMYFUNCTION("""COMPUTED_VALUE"""),"Grizzly Bears")</f>
        <v>Grizzly Bears</v>
      </c>
      <c r="E203" s="30" t="str">
        <f>IFERROR(__xludf.DUMMYFUNCTION("""COMPUTED_VALUE"""),"The Bear Den")</f>
        <v>The Bear Den</v>
      </c>
      <c r="F203" s="30" t="str">
        <f>IFERROR(__xludf.DUMMYFUNCTION("""COMPUTED_VALUE"""),"Lunar")</f>
        <v>Lunar</v>
      </c>
      <c r="G203" s="92">
        <f>IFERROR(__xludf.DUMMYFUNCTION("""COMPUTED_VALUE"""),63.70417785817392)</f>
        <v>63.70417786</v>
      </c>
    </row>
    <row r="204">
      <c r="A204" s="30" t="str">
        <f>IFERROR(__xludf.DUMMYFUNCTION("""COMPUTED_VALUE"""),"RSC001487")</f>
        <v>RSC001487</v>
      </c>
      <c r="B204" s="30" t="str">
        <f>IFERROR(__xludf.DUMMYFUNCTION("""COMPUTED_VALUE"""),"M1ke1sMy1ke")</f>
        <v>M1ke1sMy1ke</v>
      </c>
      <c r="C204" s="30" t="str">
        <f>IFERROR(__xludf.DUMMYFUNCTION("""COMPUTED_VALUE"""),"Veteran")</f>
        <v>Veteran</v>
      </c>
      <c r="D204" s="30" t="str">
        <f>IFERROR(__xludf.DUMMYFUNCTION("""COMPUTED_VALUE"""),"Dump Trucks")</f>
        <v>Dump Trucks</v>
      </c>
      <c r="E204" s="30" t="str">
        <f>IFERROR(__xludf.DUMMYFUNCTION("""COMPUTED_VALUE"""),"Road Work Ahead")</f>
        <v>Road Work Ahead</v>
      </c>
      <c r="F204" s="30" t="str">
        <f>IFERROR(__xludf.DUMMYFUNCTION("""COMPUTED_VALUE"""),"Lunar")</f>
        <v>Lunar</v>
      </c>
      <c r="G204" s="92">
        <f>IFERROR(__xludf.DUMMYFUNCTION("""COMPUTED_VALUE"""),39.269766078426485)</f>
        <v>39.26976608</v>
      </c>
    </row>
    <row r="205">
      <c r="A205" s="30" t="str">
        <f>IFERROR(__xludf.DUMMYFUNCTION("""COMPUTED_VALUE"""),"RSC006174")</f>
        <v>RSC006174</v>
      </c>
      <c r="B205" s="30" t="str">
        <f>IFERROR(__xludf.DUMMYFUNCTION("""COMPUTED_VALUE"""),"I like bananas")</f>
        <v>I like bananas</v>
      </c>
      <c r="C205" s="30" t="str">
        <f>IFERROR(__xludf.DUMMYFUNCTION("""COMPUTED_VALUE"""),"Veteran")</f>
        <v>Veteran</v>
      </c>
      <c r="D205" s="30" t="str">
        <f>IFERROR(__xludf.DUMMYFUNCTION("""COMPUTED_VALUE"""),"Legati
Dump Trucks")</f>
        <v>Legati
Dump Trucks</v>
      </c>
      <c r="E205" s="30" t="str">
        <f>IFERROR(__xludf.DUMMYFUNCTION("""COMPUTED_VALUE"""),"The Sovereign
Road Work Ahead")</f>
        <v>The Sovereign
Road Work Ahead</v>
      </c>
      <c r="F205" s="30" t="str">
        <f>IFERROR(__xludf.DUMMYFUNCTION("""COMPUTED_VALUE"""),"Lunar")</f>
        <v>Lunar</v>
      </c>
      <c r="G205" s="92">
        <f>IFERROR(__xludf.DUMMYFUNCTION("""COMPUTED_VALUE"""),19.18340175385603)</f>
        <v>19.18340175</v>
      </c>
    </row>
    <row r="206">
      <c r="A206" s="30" t="str">
        <f>IFERROR(__xludf.DUMMYFUNCTION("""COMPUTED_VALUE"""),"RSC007610")</f>
        <v>RSC007610</v>
      </c>
      <c r="B206" s="30" t="str">
        <f>IFERROR(__xludf.DUMMYFUNCTION("""COMPUTED_VALUE"""),"Halibut907")</f>
        <v>Halibut907</v>
      </c>
      <c r="C206" s="30" t="str">
        <f>IFERROR(__xludf.DUMMYFUNCTION("""COMPUTED_VALUE"""),"Veteran")</f>
        <v>Veteran</v>
      </c>
      <c r="D206" s="30" t="str">
        <f>IFERROR(__xludf.DUMMYFUNCTION("""COMPUTED_VALUE"""),"Dump Trucks")</f>
        <v>Dump Trucks</v>
      </c>
      <c r="E206" s="30" t="str">
        <f>IFERROR(__xludf.DUMMYFUNCTION("""COMPUTED_VALUE"""),"Road Work Ahead")</f>
        <v>Road Work Ahead</v>
      </c>
      <c r="F206" s="30" t="str">
        <f>IFERROR(__xludf.DUMMYFUNCTION("""COMPUTED_VALUE"""),"Lunar")</f>
        <v>Lunar</v>
      </c>
      <c r="G206" s="92">
        <f>IFERROR(__xludf.DUMMYFUNCTION("""COMPUTED_VALUE"""),40.4385392161131)</f>
        <v>40.43853922</v>
      </c>
    </row>
    <row r="207">
      <c r="A207" s="30" t="str">
        <f>IFERROR(__xludf.DUMMYFUNCTION("""COMPUTED_VALUE"""),"RSC002747")</f>
        <v>RSC002747</v>
      </c>
      <c r="B207" s="30" t="str">
        <f>IFERROR(__xludf.DUMMYFUNCTION("""COMPUTED_VALUE"""),"derrrrrrrrp")</f>
        <v>derrrrrrrrp</v>
      </c>
      <c r="C207" s="30" t="str">
        <f>IFERROR(__xludf.DUMMYFUNCTION("""COMPUTED_VALUE"""),"Veteran")</f>
        <v>Veteran</v>
      </c>
      <c r="D207" s="30" t="str">
        <f>IFERROR(__xludf.DUMMYFUNCTION("""COMPUTED_VALUE"""),"Folks")</f>
        <v>Folks</v>
      </c>
      <c r="E207" s="30" t="str">
        <f>IFERROR(__xludf.DUMMYFUNCTION("""COMPUTED_VALUE"""),"The Pit")</f>
        <v>The Pit</v>
      </c>
      <c r="F207" s="30" t="str">
        <f>IFERROR(__xludf.DUMMYFUNCTION("""COMPUTED_VALUE"""),"Lunar")</f>
        <v>Lunar</v>
      </c>
      <c r="G207" s="92">
        <f>IFERROR(__xludf.DUMMYFUNCTION("""COMPUTED_VALUE"""),30.39291469580196)</f>
        <v>30.3929147</v>
      </c>
    </row>
    <row r="208">
      <c r="A208" s="30" t="str">
        <f>IFERROR(__xludf.DUMMYFUNCTION("""COMPUTED_VALUE"""),"RSC008007")</f>
        <v>RSC008007</v>
      </c>
      <c r="B208" s="30" t="str">
        <f>IFERROR(__xludf.DUMMYFUNCTION("""COMPUTED_VALUE"""),"Frog_Boot")</f>
        <v>Frog_Boot</v>
      </c>
      <c r="C208" s="30" t="str">
        <f>IFERROR(__xludf.DUMMYFUNCTION("""COMPUTED_VALUE"""),"Veteran")</f>
        <v>Veteran</v>
      </c>
      <c r="D208" s="30" t="str">
        <f>IFERROR(__xludf.DUMMYFUNCTION("""COMPUTED_VALUE"""),"Folks")</f>
        <v>Folks</v>
      </c>
      <c r="E208" s="30" t="str">
        <f>IFERROR(__xludf.DUMMYFUNCTION("""COMPUTED_VALUE"""),"The Pit")</f>
        <v>The Pit</v>
      </c>
      <c r="F208" s="30" t="str">
        <f>IFERROR(__xludf.DUMMYFUNCTION("""COMPUTED_VALUE"""),"Lunar")</f>
        <v>Lunar</v>
      </c>
      <c r="G208" s="92">
        <f>IFERROR(__xludf.DUMMYFUNCTION("""COMPUTED_VALUE"""),66.58536303725563)</f>
        <v>66.58536304</v>
      </c>
    </row>
    <row r="209">
      <c r="A209" s="30" t="str">
        <f>IFERROR(__xludf.DUMMYFUNCTION("""COMPUTED_VALUE"""),"RSC007479")</f>
        <v>RSC007479</v>
      </c>
      <c r="B209" s="30" t="str">
        <f>IFERROR(__xludf.DUMMYFUNCTION("""COMPUTED_VALUE"""),"Metatonixz")</f>
        <v>Metatonixz</v>
      </c>
      <c r="C209" s="30" t="str">
        <f>IFERROR(__xludf.DUMMYFUNCTION("""COMPUTED_VALUE"""),"Veteran")</f>
        <v>Veteran</v>
      </c>
      <c r="D209" s="30" t="str">
        <f>IFERROR(__xludf.DUMMYFUNCTION("""COMPUTED_VALUE"""),"Folks")</f>
        <v>Folks</v>
      </c>
      <c r="E209" s="30" t="str">
        <f>IFERROR(__xludf.DUMMYFUNCTION("""COMPUTED_VALUE"""),"The Pit")</f>
        <v>The Pit</v>
      </c>
      <c r="F209" s="30" t="str">
        <f>IFERROR(__xludf.DUMMYFUNCTION("""COMPUTED_VALUE"""),"Lunar")</f>
        <v>Lunar</v>
      </c>
      <c r="G209" s="92">
        <f>IFERROR(__xludf.DUMMYFUNCTION("""COMPUTED_VALUE"""),42.06469060002888)</f>
        <v>42.0646906</v>
      </c>
    </row>
    <row r="210">
      <c r="A210" s="30" t="str">
        <f>IFERROR(__xludf.DUMMYFUNCTION("""COMPUTED_VALUE"""),"RSC000550")</f>
        <v>RSC000550</v>
      </c>
      <c r="B210" s="30" t="str">
        <f>IFERROR(__xludf.DUMMYFUNCTION("""COMPUTED_VALUE"""),"ARJ")</f>
        <v>ARJ</v>
      </c>
      <c r="C210" s="30" t="str">
        <f>IFERROR(__xludf.DUMMYFUNCTION("""COMPUTED_VALUE"""),"Veteran")</f>
        <v>Veteran</v>
      </c>
      <c r="D210" s="30" t="str">
        <f>IFERROR(__xludf.DUMMYFUNCTION("""COMPUTED_VALUE"""),"Giraffes")</f>
        <v>Giraffes</v>
      </c>
      <c r="E210" s="30" t="str">
        <f>IFERROR(__xludf.DUMMYFUNCTION("""COMPUTED_VALUE"""),"Safari")</f>
        <v>Safari</v>
      </c>
      <c r="F210" s="30" t="str">
        <f>IFERROR(__xludf.DUMMYFUNCTION("""COMPUTED_VALUE"""),"Lunar")</f>
        <v>Lunar</v>
      </c>
      <c r="G210" s="92">
        <f>IFERROR(__xludf.DUMMYFUNCTION("""COMPUTED_VALUE"""),51.314032996739144)</f>
        <v>51.314033</v>
      </c>
    </row>
    <row r="211">
      <c r="A211" s="30" t="str">
        <f>IFERROR(__xludf.DUMMYFUNCTION("""COMPUTED_VALUE"""),"RSC007024")</f>
        <v>RSC007024</v>
      </c>
      <c r="B211" s="30" t="str">
        <f>IFERROR(__xludf.DUMMYFUNCTION("""COMPUTED_VALUE"""),"zSmyte.")</f>
        <v>zSmyte.</v>
      </c>
      <c r="C211" s="30" t="str">
        <f>IFERROR(__xludf.DUMMYFUNCTION("""COMPUTED_VALUE"""),"Veteran")</f>
        <v>Veteran</v>
      </c>
      <c r="D211" s="30" t="str">
        <f>IFERROR(__xludf.DUMMYFUNCTION("""COMPUTED_VALUE"""),"Giraffes")</f>
        <v>Giraffes</v>
      </c>
      <c r="E211" s="30" t="str">
        <f>IFERROR(__xludf.DUMMYFUNCTION("""COMPUTED_VALUE"""),"Safari")</f>
        <v>Safari</v>
      </c>
      <c r="F211" s="30" t="str">
        <f>IFERROR(__xludf.DUMMYFUNCTION("""COMPUTED_VALUE"""),"Lunar")</f>
        <v>Lunar</v>
      </c>
      <c r="G211" s="92">
        <f>IFERROR(__xludf.DUMMYFUNCTION("""COMPUTED_VALUE"""),49.451544629897434)</f>
        <v>49.45154463</v>
      </c>
    </row>
    <row r="212">
      <c r="A212" s="30" t="str">
        <f>IFERROR(__xludf.DUMMYFUNCTION("""COMPUTED_VALUE"""),"RSC003904")</f>
        <v>RSC003904</v>
      </c>
      <c r="B212" s="30" t="str">
        <f>IFERROR(__xludf.DUMMYFUNCTION("""COMPUTED_VALUE"""),"Tyyphoon454")</f>
        <v>Tyyphoon454</v>
      </c>
      <c r="C212" s="30" t="str">
        <f>IFERROR(__xludf.DUMMYFUNCTION("""COMPUTED_VALUE"""),"Veteran")</f>
        <v>Veteran</v>
      </c>
      <c r="D212" s="30" t="str">
        <f>IFERROR(__xludf.DUMMYFUNCTION("""COMPUTED_VALUE"""),"Giraffes")</f>
        <v>Giraffes</v>
      </c>
      <c r="E212" s="30" t="str">
        <f>IFERROR(__xludf.DUMMYFUNCTION("""COMPUTED_VALUE"""),"Safari")</f>
        <v>Safari</v>
      </c>
      <c r="F212" s="30" t="str">
        <f>IFERROR(__xludf.DUMMYFUNCTION("""COMPUTED_VALUE"""),"Lunar")</f>
        <v>Lunar</v>
      </c>
      <c r="G212" s="92">
        <f>IFERROR(__xludf.DUMMYFUNCTION("""COMPUTED_VALUE"""),48.673190290620475)</f>
        <v>48.67319029</v>
      </c>
    </row>
    <row r="213">
      <c r="A213" s="30" t="str">
        <f>IFERROR(__xludf.DUMMYFUNCTION("""COMPUTED_VALUE"""),"RSC007655")</f>
        <v>RSC007655</v>
      </c>
      <c r="B213" s="30" t="str">
        <f>IFERROR(__xludf.DUMMYFUNCTION("""COMPUTED_VALUE"""),"Dx Geo xD")</f>
        <v>Dx Geo xD</v>
      </c>
      <c r="C213" s="30" t="str">
        <f>IFERROR(__xludf.DUMMYFUNCTION("""COMPUTED_VALUE"""),"Veteran")</f>
        <v>Veteran</v>
      </c>
      <c r="D213" s="30" t="str">
        <f>IFERROR(__xludf.DUMMYFUNCTION("""COMPUTED_VALUE"""),"Water")</f>
        <v>Water</v>
      </c>
      <c r="E213" s="30" t="str">
        <f>IFERROR(__xludf.DUMMYFUNCTION("""COMPUTED_VALUE"""),"The Elements")</f>
        <v>The Elements</v>
      </c>
      <c r="F213" s="30" t="str">
        <f>IFERROR(__xludf.DUMMYFUNCTION("""COMPUTED_VALUE"""),"Solar")</f>
        <v>Solar</v>
      </c>
      <c r="G213" s="92">
        <f>IFERROR(__xludf.DUMMYFUNCTION("""COMPUTED_VALUE"""),62.75176994165329)</f>
        <v>62.75176994</v>
      </c>
    </row>
    <row r="214">
      <c r="A214" s="30" t="str">
        <f>IFERROR(__xludf.DUMMYFUNCTION("""COMPUTED_VALUE"""),"RSC002780")</f>
        <v>RSC002780</v>
      </c>
      <c r="B214" s="30" t="str">
        <f>IFERROR(__xludf.DUMMYFUNCTION("""COMPUTED_VALUE"""),"Lickadoss77")</f>
        <v>Lickadoss77</v>
      </c>
      <c r="C214" s="30" t="str">
        <f>IFERROR(__xludf.DUMMYFUNCTION("""COMPUTED_VALUE"""),"Veteran")</f>
        <v>Veteran</v>
      </c>
      <c r="D214" s="30" t="str">
        <f>IFERROR(__xludf.DUMMYFUNCTION("""COMPUTED_VALUE"""),"Water")</f>
        <v>Water</v>
      </c>
      <c r="E214" s="30" t="str">
        <f>IFERROR(__xludf.DUMMYFUNCTION("""COMPUTED_VALUE"""),"The Elements")</f>
        <v>The Elements</v>
      </c>
      <c r="F214" s="30" t="str">
        <f>IFERROR(__xludf.DUMMYFUNCTION("""COMPUTED_VALUE"""),"Solar")</f>
        <v>Solar</v>
      </c>
      <c r="G214" s="92">
        <f>IFERROR(__xludf.DUMMYFUNCTION("""COMPUTED_VALUE"""),52.11616517678592)</f>
        <v>52.11616518</v>
      </c>
    </row>
    <row r="215">
      <c r="A215" s="30" t="str">
        <f>IFERROR(__xludf.DUMMYFUNCTION("""COMPUTED_VALUE"""),"RSC007846")</f>
        <v>RSC007846</v>
      </c>
      <c r="B215" s="30" t="str">
        <f>IFERROR(__xludf.DUMMYFUNCTION("""COMPUTED_VALUE"""),"Lovegreyhounds")</f>
        <v>Lovegreyhounds</v>
      </c>
      <c r="C215" s="30" t="str">
        <f>IFERROR(__xludf.DUMMYFUNCTION("""COMPUTED_VALUE"""),"Veteran")</f>
        <v>Veteran</v>
      </c>
      <c r="D215" s="30" t="str">
        <f>IFERROR(__xludf.DUMMYFUNCTION("""COMPUTED_VALUE"""),"Water")</f>
        <v>Water</v>
      </c>
      <c r="E215" s="30" t="str">
        <f>IFERROR(__xludf.DUMMYFUNCTION("""COMPUTED_VALUE"""),"The Elements")</f>
        <v>The Elements</v>
      </c>
      <c r="F215" s="30" t="str">
        <f>IFERROR(__xludf.DUMMYFUNCTION("""COMPUTED_VALUE"""),"Solar")</f>
        <v>Solar</v>
      </c>
      <c r="G215" s="92">
        <f>IFERROR(__xludf.DUMMYFUNCTION("""COMPUTED_VALUE"""),57.92807260102541)</f>
        <v>57.9280726</v>
      </c>
    </row>
    <row r="216">
      <c r="A216" s="30" t="str">
        <f>IFERROR(__xludf.DUMMYFUNCTION("""COMPUTED_VALUE"""),"RSC002668")</f>
        <v>RSC002668</v>
      </c>
      <c r="B216" s="30" t="str">
        <f>IFERROR(__xludf.DUMMYFUNCTION("""COMPUTED_VALUE"""),"Azorh &lt;3")</f>
        <v>Azorh &lt;3</v>
      </c>
      <c r="C216" s="30" t="str">
        <f>IFERROR(__xludf.DUMMYFUNCTION("""COMPUTED_VALUE"""),"Veteran")</f>
        <v>Veteran</v>
      </c>
      <c r="D216" s="30" t="str">
        <f>IFERROR(__xludf.DUMMYFUNCTION("""COMPUTED_VALUE"""),"Peppermint")</f>
        <v>Peppermint</v>
      </c>
      <c r="E216" s="30" t="str">
        <f>IFERROR(__xludf.DUMMYFUNCTION("""COMPUTED_VALUE"""),"Minty Fresh")</f>
        <v>Minty Fresh</v>
      </c>
      <c r="F216" s="30" t="str">
        <f>IFERROR(__xludf.DUMMYFUNCTION("""COMPUTED_VALUE"""),"Solar")</f>
        <v>Solar</v>
      </c>
      <c r="G216" s="92">
        <f>IFERROR(__xludf.DUMMYFUNCTION("""COMPUTED_VALUE"""),40.72230276409498)</f>
        <v>40.72230276</v>
      </c>
    </row>
    <row r="217">
      <c r="A217" s="30" t="str">
        <f>IFERROR(__xludf.DUMMYFUNCTION("""COMPUTED_VALUE"""),"RSC004385")</f>
        <v>RSC004385</v>
      </c>
      <c r="B217" s="30" t="str">
        <f>IFERROR(__xludf.DUMMYFUNCTION("""COMPUTED_VALUE"""),"Braybaum02")</f>
        <v>Braybaum02</v>
      </c>
      <c r="C217" s="30" t="str">
        <f>IFERROR(__xludf.DUMMYFUNCTION("""COMPUTED_VALUE"""),"Veteran")</f>
        <v>Veteran</v>
      </c>
      <c r="D217" s="30" t="str">
        <f>IFERROR(__xludf.DUMMYFUNCTION("""COMPUTED_VALUE"""),"Peppermint")</f>
        <v>Peppermint</v>
      </c>
      <c r="E217" s="30" t="str">
        <f>IFERROR(__xludf.DUMMYFUNCTION("""COMPUTED_VALUE"""),"Minty Fresh")</f>
        <v>Minty Fresh</v>
      </c>
      <c r="F217" s="30" t="str">
        <f>IFERROR(__xludf.DUMMYFUNCTION("""COMPUTED_VALUE"""),"Solar")</f>
        <v>Solar</v>
      </c>
      <c r="G217" s="92">
        <f>IFERROR(__xludf.DUMMYFUNCTION("""COMPUTED_VALUE"""),37.00277278851229)</f>
        <v>37.00277279</v>
      </c>
    </row>
    <row r="218">
      <c r="A218" s="30" t="str">
        <f>IFERROR(__xludf.DUMMYFUNCTION("""COMPUTED_VALUE"""),"RSC000278")</f>
        <v>RSC000278</v>
      </c>
      <c r="B218" s="30" t="str">
        <f>IFERROR(__xludf.DUMMYFUNCTION("""COMPUTED_VALUE"""),"Tinsel")</f>
        <v>Tinsel</v>
      </c>
      <c r="C218" s="30" t="str">
        <f>IFERROR(__xludf.DUMMYFUNCTION("""COMPUTED_VALUE"""),"Veteran")</f>
        <v>Veteran</v>
      </c>
      <c r="D218" s="30" t="str">
        <f>IFERROR(__xludf.DUMMYFUNCTION("""COMPUTED_VALUE"""),"Peppermint")</f>
        <v>Peppermint</v>
      </c>
      <c r="E218" s="30" t="str">
        <f>IFERROR(__xludf.DUMMYFUNCTION("""COMPUTED_VALUE"""),"Minty Fresh")</f>
        <v>Minty Fresh</v>
      </c>
      <c r="F218" s="30" t="str">
        <f>IFERROR(__xludf.DUMMYFUNCTION("""COMPUTED_VALUE"""),"Solar")</f>
        <v>Solar</v>
      </c>
      <c r="G218" s="92">
        <f>IFERROR(__xludf.DUMMYFUNCTION("""COMPUTED_VALUE"""),53.91698199339383)</f>
        <v>53.91698199</v>
      </c>
    </row>
    <row r="219">
      <c r="A219" s="30" t="str">
        <f>IFERROR(__xludf.DUMMYFUNCTION("""COMPUTED_VALUE"""),"RSC004165")</f>
        <v>RSC004165</v>
      </c>
      <c r="B219" s="30" t="str">
        <f>IFERROR(__xludf.DUMMYFUNCTION("""COMPUTED_VALUE"""),"Absolutely TOR")</f>
        <v>Absolutely TOR</v>
      </c>
      <c r="C219" s="30" t="str">
        <f>IFERROR(__xludf.DUMMYFUNCTION("""COMPUTED_VALUE"""),"Veteran")</f>
        <v>Veteran</v>
      </c>
      <c r="D219" s="30" t="str">
        <f>IFERROR(__xludf.DUMMYFUNCTION("""COMPUTED_VALUE"""),"Rulers")</f>
        <v>Rulers</v>
      </c>
      <c r="E219" s="30" t="str">
        <f>IFERROR(__xludf.DUMMYFUNCTION("""COMPUTED_VALUE"""),"Monarchy")</f>
        <v>Monarchy</v>
      </c>
      <c r="F219" s="30" t="str">
        <f>IFERROR(__xludf.DUMMYFUNCTION("""COMPUTED_VALUE"""),"Lunar")</f>
        <v>Lunar</v>
      </c>
      <c r="G219" s="92">
        <f>IFERROR(__xludf.DUMMYFUNCTION("""COMPUTED_VALUE"""),44.70050453960963)</f>
        <v>44.70050454</v>
      </c>
    </row>
    <row r="220">
      <c r="A220" s="30" t="str">
        <f>IFERROR(__xludf.DUMMYFUNCTION("""COMPUTED_VALUE"""),"RSC003238")</f>
        <v>RSC003238</v>
      </c>
      <c r="B220" s="30" t="str">
        <f>IFERROR(__xludf.DUMMYFUNCTION("""COMPUTED_VALUE"""),"BanThisOne2")</f>
        <v>BanThisOne2</v>
      </c>
      <c r="C220" s="30" t="str">
        <f>IFERROR(__xludf.DUMMYFUNCTION("""COMPUTED_VALUE"""),"Veteran")</f>
        <v>Veteran</v>
      </c>
      <c r="D220" s="30" t="str">
        <f>IFERROR(__xludf.DUMMYFUNCTION("""COMPUTED_VALUE"""),"Rulers")</f>
        <v>Rulers</v>
      </c>
      <c r="E220" s="30" t="str">
        <f>IFERROR(__xludf.DUMMYFUNCTION("""COMPUTED_VALUE"""),"Monarchy")</f>
        <v>Monarchy</v>
      </c>
      <c r="F220" s="30" t="str">
        <f>IFERROR(__xludf.DUMMYFUNCTION("""COMPUTED_VALUE"""),"Lunar")</f>
        <v>Lunar</v>
      </c>
      <c r="G220" s="92">
        <f>IFERROR(__xludf.DUMMYFUNCTION("""COMPUTED_VALUE"""),63.635858671215416)</f>
        <v>63.63585867</v>
      </c>
    </row>
    <row r="221">
      <c r="A221" s="30" t="str">
        <f>IFERROR(__xludf.DUMMYFUNCTION("""COMPUTED_VALUE"""),"RSC000625")</f>
        <v>RSC000625</v>
      </c>
      <c r="B221" s="30" t="str">
        <f>IFERROR(__xludf.DUMMYFUNCTION("""COMPUTED_VALUE"""),"Sly")</f>
        <v>Sly</v>
      </c>
      <c r="C221" s="30" t="str">
        <f>IFERROR(__xludf.DUMMYFUNCTION("""COMPUTED_VALUE"""),"Veteran")</f>
        <v>Veteran</v>
      </c>
      <c r="D221" s="30" t="str">
        <f>IFERROR(__xludf.DUMMYFUNCTION("""COMPUTED_VALUE"""),"Rulers")</f>
        <v>Rulers</v>
      </c>
      <c r="E221" s="30" t="str">
        <f>IFERROR(__xludf.DUMMYFUNCTION("""COMPUTED_VALUE"""),"Monarchy")</f>
        <v>Monarchy</v>
      </c>
      <c r="F221" s="30" t="str">
        <f>IFERROR(__xludf.DUMMYFUNCTION("""COMPUTED_VALUE"""),"Lunar")</f>
        <v>Lunar</v>
      </c>
      <c r="G221" s="92">
        <f>IFERROR(__xludf.DUMMYFUNCTION("""COMPUTED_VALUE"""),9.777666202292977)</f>
        <v>9.777666202</v>
      </c>
    </row>
    <row r="222">
      <c r="A222" s="30" t="str">
        <f>IFERROR(__xludf.DUMMYFUNCTION("""COMPUTED_VALUE"""),"RSC004917")</f>
        <v>RSC004917</v>
      </c>
      <c r="B222" s="30" t="str">
        <f>IFERROR(__xludf.DUMMYFUNCTION("""COMPUTED_VALUE"""),"Nahzey")</f>
        <v>Nahzey</v>
      </c>
      <c r="C222" s="30" t="str">
        <f>IFERROR(__xludf.DUMMYFUNCTION("""COMPUTED_VALUE"""),"Veteran")</f>
        <v>Veteran</v>
      </c>
      <c r="D222" s="30" t="str">
        <f>IFERROR(__xludf.DUMMYFUNCTION("""COMPUTED_VALUE"""),"Dog Fighters")</f>
        <v>Dog Fighters</v>
      </c>
      <c r="E222" s="30" t="str">
        <f>IFERROR(__xludf.DUMMYFUNCTION("""COMPUTED_VALUE"""),"Remove Before Flight")</f>
        <v>Remove Before Flight</v>
      </c>
      <c r="F222" s="30" t="str">
        <f>IFERROR(__xludf.DUMMYFUNCTION("""COMPUTED_VALUE"""),"Lunar")</f>
        <v>Lunar</v>
      </c>
      <c r="G222" s="92">
        <f>IFERROR(__xludf.DUMMYFUNCTION("""COMPUTED_VALUE"""),67.9502272135094)</f>
        <v>67.95022721</v>
      </c>
    </row>
    <row r="223">
      <c r="A223" s="30" t="str">
        <f>IFERROR(__xludf.DUMMYFUNCTION("""COMPUTED_VALUE"""),"RSC006613")</f>
        <v>RSC006613</v>
      </c>
      <c r="B223" s="30" t="str">
        <f>IFERROR(__xludf.DUMMYFUNCTION("""COMPUTED_VALUE"""),"steel.reserve")</f>
        <v>steel.reserve</v>
      </c>
      <c r="C223" s="30" t="str">
        <f>IFERROR(__xludf.DUMMYFUNCTION("""COMPUTED_VALUE"""),"Veteran")</f>
        <v>Veteran</v>
      </c>
      <c r="D223" s="30" t="str">
        <f>IFERROR(__xludf.DUMMYFUNCTION("""COMPUTED_VALUE"""),"Dog Fighters")</f>
        <v>Dog Fighters</v>
      </c>
      <c r="E223" s="30" t="str">
        <f>IFERROR(__xludf.DUMMYFUNCTION("""COMPUTED_VALUE"""),"Remove Before Flight")</f>
        <v>Remove Before Flight</v>
      </c>
      <c r="F223" s="30" t="str">
        <f>IFERROR(__xludf.DUMMYFUNCTION("""COMPUTED_VALUE"""),"Lunar")</f>
        <v>Lunar</v>
      </c>
      <c r="G223" s="92">
        <f>IFERROR(__xludf.DUMMYFUNCTION("""COMPUTED_VALUE"""),39.371766942765085)</f>
        <v>39.37176694</v>
      </c>
    </row>
    <row r="224">
      <c r="A224" s="30" t="str">
        <f>IFERROR(__xludf.DUMMYFUNCTION("""COMPUTED_VALUE"""),"RSC007817")</f>
        <v>RSC007817</v>
      </c>
      <c r="B224" s="30" t="str">
        <f>IFERROR(__xludf.DUMMYFUNCTION("""COMPUTED_VALUE"""),"HiChew.RL")</f>
        <v>HiChew.RL</v>
      </c>
      <c r="C224" s="30" t="str">
        <f>IFERROR(__xludf.DUMMYFUNCTION("""COMPUTED_VALUE"""),"Veteran")</f>
        <v>Veteran</v>
      </c>
      <c r="D224" s="30" t="str">
        <f>IFERROR(__xludf.DUMMYFUNCTION("""COMPUTED_VALUE"""),"Dog Fighters")</f>
        <v>Dog Fighters</v>
      </c>
      <c r="E224" s="30" t="str">
        <f>IFERROR(__xludf.DUMMYFUNCTION("""COMPUTED_VALUE"""),"Remove Before Flight")</f>
        <v>Remove Before Flight</v>
      </c>
      <c r="F224" s="30" t="str">
        <f>IFERROR(__xludf.DUMMYFUNCTION("""COMPUTED_VALUE"""),"Lunar")</f>
        <v>Lunar</v>
      </c>
      <c r="G224" s="92">
        <f>IFERROR(__xludf.DUMMYFUNCTION("""COMPUTED_VALUE"""),57.62389008410341)</f>
        <v>57.62389008</v>
      </c>
    </row>
    <row r="225">
      <c r="A225" s="30" t="str">
        <f>IFERROR(__xludf.DUMMYFUNCTION("""COMPUTED_VALUE"""),"RSC003416")</f>
        <v>RSC003416</v>
      </c>
      <c r="B225" s="30" t="str">
        <f>IFERROR(__xludf.DUMMYFUNCTION("""COMPUTED_VALUE"""),"DrSkimMilk")</f>
        <v>DrSkimMilk</v>
      </c>
      <c r="C225" s="30" t="str">
        <f>IFERROR(__xludf.DUMMYFUNCTION("""COMPUTED_VALUE"""),"Veteran")</f>
        <v>Veteran</v>
      </c>
      <c r="D225" s="30" t="str">
        <f>IFERROR(__xludf.DUMMYFUNCTION("""COMPUTED_VALUE"""),"Merciless Mob")</f>
        <v>Merciless Mob</v>
      </c>
      <c r="E225" s="30" t="str">
        <f>IFERROR(__xludf.DUMMYFUNCTION("""COMPUTED_VALUE"""),"The Syndicate")</f>
        <v>The Syndicate</v>
      </c>
      <c r="F225" s="30" t="str">
        <f>IFERROR(__xludf.DUMMYFUNCTION("""COMPUTED_VALUE"""),"Lunar")</f>
        <v>Lunar</v>
      </c>
      <c r="G225" s="92">
        <f>IFERROR(__xludf.DUMMYFUNCTION("""COMPUTED_VALUE"""),27.933295130147993)</f>
        <v>27.93329513</v>
      </c>
    </row>
    <row r="226">
      <c r="A226" s="30" t="str">
        <f>IFERROR(__xludf.DUMMYFUNCTION("""COMPUTED_VALUE"""),"RSC005210")</f>
        <v>RSC005210</v>
      </c>
      <c r="B226" s="30" t="str">
        <f>IFERROR(__xludf.DUMMYFUNCTION("""COMPUTED_VALUE"""),"baldmanstreamer")</f>
        <v>baldmanstreamer</v>
      </c>
      <c r="C226" s="30" t="str">
        <f>IFERROR(__xludf.DUMMYFUNCTION("""COMPUTED_VALUE"""),"Veteran")</f>
        <v>Veteran</v>
      </c>
      <c r="D226" s="30" t="str">
        <f>IFERROR(__xludf.DUMMYFUNCTION("""COMPUTED_VALUE"""),"Merciless Mob")</f>
        <v>Merciless Mob</v>
      </c>
      <c r="E226" s="30" t="str">
        <f>IFERROR(__xludf.DUMMYFUNCTION("""COMPUTED_VALUE"""),"The Syndicate")</f>
        <v>The Syndicate</v>
      </c>
      <c r="F226" s="30" t="str">
        <f>IFERROR(__xludf.DUMMYFUNCTION("""COMPUTED_VALUE"""),"Lunar")</f>
        <v>Lunar</v>
      </c>
      <c r="G226" s="92">
        <f>IFERROR(__xludf.DUMMYFUNCTION("""COMPUTED_VALUE"""),53.60050654833975)</f>
        <v>53.60050655</v>
      </c>
    </row>
    <row r="227">
      <c r="A227" s="30" t="str">
        <f>IFERROR(__xludf.DUMMYFUNCTION("""COMPUTED_VALUE"""),"RSC003789")</f>
        <v>RSC003789</v>
      </c>
      <c r="B227" s="30" t="str">
        <f>IFERROR(__xludf.DUMMYFUNCTION("""COMPUTED_VALUE"""),"monterszn")</f>
        <v>monterszn</v>
      </c>
      <c r="C227" s="30" t="str">
        <f>IFERROR(__xludf.DUMMYFUNCTION("""COMPUTED_VALUE"""),"Veteran")</f>
        <v>Veteran</v>
      </c>
      <c r="D227" s="30" t="str">
        <f>IFERROR(__xludf.DUMMYFUNCTION("""COMPUTED_VALUE"""),"Merciless Mob")</f>
        <v>Merciless Mob</v>
      </c>
      <c r="E227" s="30" t="str">
        <f>IFERROR(__xludf.DUMMYFUNCTION("""COMPUTED_VALUE"""),"The Syndicate")</f>
        <v>The Syndicate</v>
      </c>
      <c r="F227" s="30" t="str">
        <f>IFERROR(__xludf.DUMMYFUNCTION("""COMPUTED_VALUE"""),"Lunar")</f>
        <v>Lunar</v>
      </c>
      <c r="G227" s="92">
        <f>IFERROR(__xludf.DUMMYFUNCTION("""COMPUTED_VALUE"""),65.83364571719906)</f>
        <v>65.83364572</v>
      </c>
    </row>
    <row r="228">
      <c r="A228" s="30" t="str">
        <f>IFERROR(__xludf.DUMMYFUNCTION("""COMPUTED_VALUE"""),"RSC002209")</f>
        <v>RSC002209</v>
      </c>
      <c r="B228" s="30" t="str">
        <f>IFERROR(__xludf.DUMMYFUNCTION("""COMPUTED_VALUE"""),"Panick")</f>
        <v>Panick</v>
      </c>
      <c r="C228" s="30" t="str">
        <f>IFERROR(__xludf.DUMMYFUNCTION("""COMPUTED_VALUE"""),"Veteran")</f>
        <v>Veteran</v>
      </c>
      <c r="D228" s="30" t="str">
        <f>IFERROR(__xludf.DUMMYFUNCTION("""COMPUTED_VALUE"""),"Repossessed")</f>
        <v>Repossessed</v>
      </c>
      <c r="E228" s="30" t="str">
        <f>IFERROR(__xludf.DUMMYFUNCTION("""COMPUTED_VALUE"""),"The Hood")</f>
        <v>The Hood</v>
      </c>
      <c r="F228" s="30" t="str">
        <f>IFERROR(__xludf.DUMMYFUNCTION("""COMPUTED_VALUE"""),"Lunar")</f>
        <v>Lunar</v>
      </c>
      <c r="G228" s="92">
        <f>IFERROR(__xludf.DUMMYFUNCTION("""COMPUTED_VALUE"""),40.92266728337092)</f>
        <v>40.92266728</v>
      </c>
    </row>
    <row r="229">
      <c r="A229" s="30" t="str">
        <f>IFERROR(__xludf.DUMMYFUNCTION("""COMPUTED_VALUE"""),"RSC007856")</f>
        <v>RSC007856</v>
      </c>
      <c r="B229" s="30" t="str">
        <f>IFERROR(__xludf.DUMMYFUNCTION("""COMPUTED_VALUE"""),"Captain Daddy")</f>
        <v>Captain Daddy</v>
      </c>
      <c r="C229" s="30" t="str">
        <f>IFERROR(__xludf.DUMMYFUNCTION("""COMPUTED_VALUE"""),"Veteran")</f>
        <v>Veteran</v>
      </c>
      <c r="D229" s="30" t="str">
        <f>IFERROR(__xludf.DUMMYFUNCTION("""COMPUTED_VALUE"""),"Repossessed")</f>
        <v>Repossessed</v>
      </c>
      <c r="E229" s="30" t="str">
        <f>IFERROR(__xludf.DUMMYFUNCTION("""COMPUTED_VALUE"""),"The Hood")</f>
        <v>The Hood</v>
      </c>
      <c r="F229" s="30" t="str">
        <f>IFERROR(__xludf.DUMMYFUNCTION("""COMPUTED_VALUE"""),"Lunar")</f>
        <v>Lunar</v>
      </c>
      <c r="G229" s="92">
        <f>IFERROR(__xludf.DUMMYFUNCTION("""COMPUTED_VALUE"""),62.615289022813634)</f>
        <v>62.61528902</v>
      </c>
    </row>
    <row r="230">
      <c r="A230" s="30" t="str">
        <f>IFERROR(__xludf.DUMMYFUNCTION("""COMPUTED_VALUE"""),"RSC005490")</f>
        <v>RSC005490</v>
      </c>
      <c r="B230" s="30" t="str">
        <f>IFERROR(__xludf.DUMMYFUNCTION("""COMPUTED_VALUE"""),"iProfessorEx")</f>
        <v>iProfessorEx</v>
      </c>
      <c r="C230" s="30" t="str">
        <f>IFERROR(__xludf.DUMMYFUNCTION("""COMPUTED_VALUE"""),"Veteran")</f>
        <v>Veteran</v>
      </c>
      <c r="D230" s="30" t="str">
        <f>IFERROR(__xludf.DUMMYFUNCTION("""COMPUTED_VALUE"""),"Repossessed")</f>
        <v>Repossessed</v>
      </c>
      <c r="E230" s="30" t="str">
        <f>IFERROR(__xludf.DUMMYFUNCTION("""COMPUTED_VALUE"""),"The Hood")</f>
        <v>The Hood</v>
      </c>
      <c r="F230" s="30" t="str">
        <f>IFERROR(__xludf.DUMMYFUNCTION("""COMPUTED_VALUE"""),"Lunar")</f>
        <v>Lunar</v>
      </c>
      <c r="G230" s="92">
        <f>IFERROR(__xludf.DUMMYFUNCTION("""COMPUTED_VALUE"""),63.24505820147135)</f>
        <v>63.2450582</v>
      </c>
    </row>
    <row r="231">
      <c r="A231" s="30" t="str">
        <f>IFERROR(__xludf.DUMMYFUNCTION("""COMPUTED_VALUE"""),"RSC005246")</f>
        <v>RSC005246</v>
      </c>
      <c r="B231" s="30" t="str">
        <f>IFERROR(__xludf.DUMMYFUNCTION("""COMPUTED_VALUE"""),"Irishhhh")</f>
        <v>Irishhhh</v>
      </c>
      <c r="C231" s="30" t="str">
        <f>IFERROR(__xludf.DUMMYFUNCTION("""COMPUTED_VALUE"""),"Veteran")</f>
        <v>Veteran</v>
      </c>
      <c r="D231" s="30" t="str">
        <f>IFERROR(__xludf.DUMMYFUNCTION("""COMPUTED_VALUE"""),"Mosaic Maestros")</f>
        <v>Mosaic Maestros</v>
      </c>
      <c r="E231" s="30" t="str">
        <f>IFERROR(__xludf.DUMMYFUNCTION("""COMPUTED_VALUE"""),"Art Club")</f>
        <v>Art Club</v>
      </c>
      <c r="F231" s="30" t="str">
        <f>IFERROR(__xludf.DUMMYFUNCTION("""COMPUTED_VALUE"""),"Solar")</f>
        <v>Solar</v>
      </c>
      <c r="G231" s="92">
        <f>IFERROR(__xludf.DUMMYFUNCTION("""COMPUTED_VALUE"""),42.525290407976314)</f>
        <v>42.52529041</v>
      </c>
    </row>
    <row r="232">
      <c r="A232" s="30" t="str">
        <f>IFERROR(__xludf.DUMMYFUNCTION("""COMPUTED_VALUE"""),"RSC005257")</f>
        <v>RSC005257</v>
      </c>
      <c r="B232" s="30" t="str">
        <f>IFERROR(__xludf.DUMMYFUNCTION("""COMPUTED_VALUE"""),"P0pfgf")</f>
        <v>P0pfgf</v>
      </c>
      <c r="C232" s="30" t="str">
        <f>IFERROR(__xludf.DUMMYFUNCTION("""COMPUTED_VALUE"""),"Veteran")</f>
        <v>Veteran</v>
      </c>
      <c r="D232" s="30" t="str">
        <f>IFERROR(__xludf.DUMMYFUNCTION("""COMPUTED_VALUE"""),"Mosaic Maestros")</f>
        <v>Mosaic Maestros</v>
      </c>
      <c r="E232" s="30" t="str">
        <f>IFERROR(__xludf.DUMMYFUNCTION("""COMPUTED_VALUE"""),"Art Club")</f>
        <v>Art Club</v>
      </c>
      <c r="F232" s="30" t="str">
        <f>IFERROR(__xludf.DUMMYFUNCTION("""COMPUTED_VALUE"""),"Solar")</f>
        <v>Solar</v>
      </c>
      <c r="G232" s="92">
        <f>IFERROR(__xludf.DUMMYFUNCTION("""COMPUTED_VALUE"""),63.79837928629904)</f>
        <v>63.79837929</v>
      </c>
    </row>
    <row r="233">
      <c r="A233" s="30" t="str">
        <f>IFERROR(__xludf.DUMMYFUNCTION("""COMPUTED_VALUE"""),"RSC006427")</f>
        <v>RSC006427</v>
      </c>
      <c r="B233" s="30" t="str">
        <f>IFERROR(__xludf.DUMMYFUNCTION("""COMPUTED_VALUE"""),"NukeTech96")</f>
        <v>NukeTech96</v>
      </c>
      <c r="C233" s="30" t="str">
        <f>IFERROR(__xludf.DUMMYFUNCTION("""COMPUTED_VALUE"""),"Veteran")</f>
        <v>Veteran</v>
      </c>
      <c r="D233" s="30" t="str">
        <f>IFERROR(__xludf.DUMMYFUNCTION("""COMPUTED_VALUE"""),"Mosaic Maestros")</f>
        <v>Mosaic Maestros</v>
      </c>
      <c r="E233" s="30" t="str">
        <f>IFERROR(__xludf.DUMMYFUNCTION("""COMPUTED_VALUE"""),"Art Club")</f>
        <v>Art Club</v>
      </c>
      <c r="F233" s="30" t="str">
        <f>IFERROR(__xludf.DUMMYFUNCTION("""COMPUTED_VALUE"""),"Solar")</f>
        <v>Solar</v>
      </c>
      <c r="G233" s="92">
        <f>IFERROR(__xludf.DUMMYFUNCTION("""COMPUTED_VALUE"""),50.15420801438729)</f>
        <v>50.15420801</v>
      </c>
    </row>
    <row r="234">
      <c r="A234" s="30" t="str">
        <f>IFERROR(__xludf.DUMMYFUNCTION("""COMPUTED_VALUE"""),"RSC003887")</f>
        <v>RSC003887</v>
      </c>
      <c r="B234" s="30" t="str">
        <f>IFERROR(__xludf.DUMMYFUNCTION("""COMPUTED_VALUE"""),"Cundy")</f>
        <v>Cundy</v>
      </c>
      <c r="C234" s="30" t="str">
        <f>IFERROR(__xludf.DUMMYFUNCTION("""COMPUTED_VALUE"""),"Veteran")</f>
        <v>Veteran</v>
      </c>
      <c r="D234" s="30" t="str">
        <f>IFERROR(__xludf.DUMMYFUNCTION("""COMPUTED_VALUE"""),"Possessed")</f>
        <v>Possessed</v>
      </c>
      <c r="E234" s="30" t="str">
        <f>IFERROR(__xludf.DUMMYFUNCTION("""COMPUTED_VALUE"""),"Destined")</f>
        <v>Destined</v>
      </c>
      <c r="F234" s="30" t="str">
        <f>IFERROR(__xludf.DUMMYFUNCTION("""COMPUTED_VALUE"""),"Solar")</f>
        <v>Solar</v>
      </c>
      <c r="G234" s="92">
        <f>IFERROR(__xludf.DUMMYFUNCTION("""COMPUTED_VALUE"""),27.097179368784126)</f>
        <v>27.09717937</v>
      </c>
    </row>
    <row r="235">
      <c r="A235" s="30" t="str">
        <f>IFERROR(__xludf.DUMMYFUNCTION("""COMPUTED_VALUE"""),"RSC005960")</f>
        <v>RSC005960</v>
      </c>
      <c r="B235" s="30" t="str">
        <f>IFERROR(__xludf.DUMMYFUNCTION("""COMPUTED_VALUE"""),"Hyper")</f>
        <v>Hyper</v>
      </c>
      <c r="C235" s="30" t="str">
        <f>IFERROR(__xludf.DUMMYFUNCTION("""COMPUTED_VALUE"""),"Veteran")</f>
        <v>Veteran</v>
      </c>
      <c r="D235" s="30" t="str">
        <f>IFERROR(__xludf.DUMMYFUNCTION("""COMPUTED_VALUE"""),"Possessed")</f>
        <v>Possessed</v>
      </c>
      <c r="E235" s="30" t="str">
        <f>IFERROR(__xludf.DUMMYFUNCTION("""COMPUTED_VALUE"""),"Destined")</f>
        <v>Destined</v>
      </c>
      <c r="F235" s="30" t="str">
        <f>IFERROR(__xludf.DUMMYFUNCTION("""COMPUTED_VALUE"""),"Solar")</f>
        <v>Solar</v>
      </c>
      <c r="G235" s="92">
        <f>IFERROR(__xludf.DUMMYFUNCTION("""COMPUTED_VALUE"""),27.660948480404876)</f>
        <v>27.66094848</v>
      </c>
    </row>
    <row r="236">
      <c r="A236" s="30" t="str">
        <f>IFERROR(__xludf.DUMMYFUNCTION("""COMPUTED_VALUE"""),"RSC003405")</f>
        <v>RSC003405</v>
      </c>
      <c r="B236" s="30" t="str">
        <f>IFERROR(__xludf.DUMMYFUNCTION("""COMPUTED_VALUE"""),"Shai")</f>
        <v>Shai</v>
      </c>
      <c r="C236" s="30" t="str">
        <f>IFERROR(__xludf.DUMMYFUNCTION("""COMPUTED_VALUE"""),"Veteran")</f>
        <v>Veteran</v>
      </c>
      <c r="D236" s="30" t="str">
        <f>IFERROR(__xludf.DUMMYFUNCTION("""COMPUTED_VALUE"""),"Werewolves
Possessed")</f>
        <v>Werewolves
Possessed</v>
      </c>
      <c r="E236" s="30" t="str">
        <f>IFERROR(__xludf.DUMMYFUNCTION("""COMPUTED_VALUE"""),"The Forest
Destined")</f>
        <v>The Forest
Destined</v>
      </c>
      <c r="F236" s="30" t="str">
        <f>IFERROR(__xludf.DUMMYFUNCTION("""COMPUTED_VALUE"""),"Solar")</f>
        <v>Solar</v>
      </c>
      <c r="G236" s="92">
        <f>IFERROR(__xludf.DUMMYFUNCTION("""COMPUTED_VALUE"""),44.92205607096124)</f>
        <v>44.92205607</v>
      </c>
    </row>
    <row r="237">
      <c r="A237" s="30" t="str">
        <f>IFERROR(__xludf.DUMMYFUNCTION("""COMPUTED_VALUE"""),"RSC007625")</f>
        <v>RSC007625</v>
      </c>
      <c r="B237" s="30" t="str">
        <f>IFERROR(__xludf.DUMMYFUNCTION("""COMPUTED_VALUE"""),"assassin_funny.")</f>
        <v>assassin_funny.</v>
      </c>
      <c r="C237" s="30" t="str">
        <f>IFERROR(__xludf.DUMMYFUNCTION("""COMPUTED_VALUE"""),"Veteran")</f>
        <v>Veteran</v>
      </c>
      <c r="D237" s="30" t="str">
        <f>IFERROR(__xludf.DUMMYFUNCTION("""COMPUTED_VALUE"""),"Mellow Fellows")</f>
        <v>Mellow Fellows</v>
      </c>
      <c r="E237" s="30" t="str">
        <f>IFERROR(__xludf.DUMMYFUNCTION("""COMPUTED_VALUE"""),"Vibe Tribe")</f>
        <v>Vibe Tribe</v>
      </c>
      <c r="F237" s="30" t="str">
        <f>IFERROR(__xludf.DUMMYFUNCTION("""COMPUTED_VALUE"""),"Lunar")</f>
        <v>Lunar</v>
      </c>
      <c r="G237" s="92">
        <f>IFERROR(__xludf.DUMMYFUNCTION("""COMPUTED_VALUE"""),35.355913901000555)</f>
        <v>35.3559139</v>
      </c>
    </row>
    <row r="238">
      <c r="A238" s="30" t="str">
        <f>IFERROR(__xludf.DUMMYFUNCTION("""COMPUTED_VALUE"""),"RSC005048")</f>
        <v>RSC005048</v>
      </c>
      <c r="B238" s="30" t="str">
        <f>IFERROR(__xludf.DUMMYFUNCTION("""COMPUTED_VALUE"""),"heyzisthename11")</f>
        <v>heyzisthename11</v>
      </c>
      <c r="C238" s="30" t="str">
        <f>IFERROR(__xludf.DUMMYFUNCTION("""COMPUTED_VALUE"""),"Veteran")</f>
        <v>Veteran</v>
      </c>
      <c r="D238" s="30" t="str">
        <f>IFERROR(__xludf.DUMMYFUNCTION("""COMPUTED_VALUE"""),"Gorillas")</f>
        <v>Gorillas</v>
      </c>
      <c r="E238" s="30" t="str">
        <f>IFERROR(__xludf.DUMMYFUNCTION("""COMPUTED_VALUE"""),"The Jungle")</f>
        <v>The Jungle</v>
      </c>
      <c r="F238" s="30" t="str">
        <f>IFERROR(__xludf.DUMMYFUNCTION("""COMPUTED_VALUE"""),"Solar")</f>
        <v>Solar</v>
      </c>
      <c r="G238" s="92">
        <f>IFERROR(__xludf.DUMMYFUNCTION("""COMPUTED_VALUE"""),52.427665767434725)</f>
        <v>52.42766577</v>
      </c>
    </row>
    <row r="239">
      <c r="A239" s="30" t="str">
        <f>IFERROR(__xludf.DUMMYFUNCTION("""COMPUTED_VALUE"""),"RSC005491")</f>
        <v>RSC005491</v>
      </c>
      <c r="B239" s="30" t="str">
        <f>IFERROR(__xludf.DUMMYFUNCTION("""COMPUTED_VALUE"""),"Jackowanou")</f>
        <v>Jackowanou</v>
      </c>
      <c r="C239" s="30" t="str">
        <f>IFERROR(__xludf.DUMMYFUNCTION("""COMPUTED_VALUE"""),"Veteran")</f>
        <v>Veteran</v>
      </c>
      <c r="D239" s="30" t="str">
        <f>IFERROR(__xludf.DUMMYFUNCTION("""COMPUTED_VALUE"""),"Gorillas")</f>
        <v>Gorillas</v>
      </c>
      <c r="E239" s="30" t="str">
        <f>IFERROR(__xludf.DUMMYFUNCTION("""COMPUTED_VALUE"""),"The Jungle")</f>
        <v>The Jungle</v>
      </c>
      <c r="F239" s="30" t="str">
        <f>IFERROR(__xludf.DUMMYFUNCTION("""COMPUTED_VALUE"""),"Solar")</f>
        <v>Solar</v>
      </c>
      <c r="G239" s="92">
        <f>IFERROR(__xludf.DUMMYFUNCTION("""COMPUTED_VALUE"""),69.43809568334272)</f>
        <v>69.43809568</v>
      </c>
    </row>
    <row r="240">
      <c r="A240" s="30" t="str">
        <f>IFERROR(__xludf.DUMMYFUNCTION("""COMPUTED_VALUE"""),"RSC007811")</f>
        <v>RSC007811</v>
      </c>
      <c r="B240" s="30" t="str">
        <f>IFERROR(__xludf.DUMMYFUNCTION("""COMPUTED_VALUE"""),"Gray")</f>
        <v>Gray</v>
      </c>
      <c r="C240" s="30" t="str">
        <f>IFERROR(__xludf.DUMMYFUNCTION("""COMPUTED_VALUE"""),"Veteran")</f>
        <v>Veteran</v>
      </c>
      <c r="D240" s="30" t="str">
        <f>IFERROR(__xludf.DUMMYFUNCTION("""COMPUTED_VALUE"""),"Gorillas")</f>
        <v>Gorillas</v>
      </c>
      <c r="E240" s="30" t="str">
        <f>IFERROR(__xludf.DUMMYFUNCTION("""COMPUTED_VALUE"""),"The Jungle")</f>
        <v>The Jungle</v>
      </c>
      <c r="F240" s="30" t="str">
        <f>IFERROR(__xludf.DUMMYFUNCTION("""COMPUTED_VALUE"""),"Solar")</f>
        <v>Solar</v>
      </c>
      <c r="G240" s="92">
        <f>IFERROR(__xludf.DUMMYFUNCTION("""COMPUTED_VALUE"""),76.05242330998031)</f>
        <v>76.05242331</v>
      </c>
    </row>
    <row r="241">
      <c r="A241" s="30" t="str">
        <f>IFERROR(__xludf.DUMMYFUNCTION("""COMPUTED_VALUE"""),"RSC002544")</f>
        <v>RSC002544</v>
      </c>
      <c r="B241" s="30" t="str">
        <f>IFERROR(__xludf.DUMMYFUNCTION("""COMPUTED_VALUE"""),"J.")</f>
        <v>J.</v>
      </c>
      <c r="C241" s="30" t="str">
        <f>IFERROR(__xludf.DUMMYFUNCTION("""COMPUTED_VALUE"""),"Veteran")</f>
        <v>Veteran</v>
      </c>
      <c r="D241" s="30" t="str">
        <f>IFERROR(__xludf.DUMMYFUNCTION("""COMPUTED_VALUE"""),"Makos")</f>
        <v>Makos</v>
      </c>
      <c r="E241" s="30" t="str">
        <f>IFERROR(__xludf.DUMMYFUNCTION("""COMPUTED_VALUE"""),"Shark Attack")</f>
        <v>Shark Attack</v>
      </c>
      <c r="F241" s="30" t="str">
        <f>IFERROR(__xludf.DUMMYFUNCTION("""COMPUTED_VALUE"""),"Solar")</f>
        <v>Solar</v>
      </c>
      <c r="G241" s="92">
        <f>IFERROR(__xludf.DUMMYFUNCTION("""COMPUTED_VALUE"""),60.90816602770775)</f>
        <v>60.90816603</v>
      </c>
    </row>
    <row r="242">
      <c r="A242" s="30" t="str">
        <f>IFERROR(__xludf.DUMMYFUNCTION("""COMPUTED_VALUE"""),"RSC007954")</f>
        <v>RSC007954</v>
      </c>
      <c r="B242" s="30" t="str">
        <f>IFERROR(__xludf.DUMMYFUNCTION("""COMPUTED_VALUE"""),"Killer")</f>
        <v>Killer</v>
      </c>
      <c r="C242" s="30" t="str">
        <f>IFERROR(__xludf.DUMMYFUNCTION("""COMPUTED_VALUE"""),"Veteran")</f>
        <v>Veteran</v>
      </c>
      <c r="D242" s="30" t="str">
        <f>IFERROR(__xludf.DUMMYFUNCTION("""COMPUTED_VALUE"""),"Makos")</f>
        <v>Makos</v>
      </c>
      <c r="E242" s="30" t="str">
        <f>IFERROR(__xludf.DUMMYFUNCTION("""COMPUTED_VALUE"""),"Shark Attack")</f>
        <v>Shark Attack</v>
      </c>
      <c r="F242" s="30" t="str">
        <f>IFERROR(__xludf.DUMMYFUNCTION("""COMPUTED_VALUE"""),"Solar")</f>
        <v>Solar</v>
      </c>
      <c r="G242" s="92">
        <f>IFERROR(__xludf.DUMMYFUNCTION("""COMPUTED_VALUE"""),59.725445882037384)</f>
        <v>59.72544588</v>
      </c>
    </row>
    <row r="243">
      <c r="A243" s="30" t="str">
        <f>IFERROR(__xludf.DUMMYFUNCTION("""COMPUTED_VALUE"""),"RSC003830")</f>
        <v>RSC003830</v>
      </c>
      <c r="B243" s="30" t="str">
        <f>IFERROR(__xludf.DUMMYFUNCTION("""COMPUTED_VALUE"""),"bradyK-")</f>
        <v>bradyK-</v>
      </c>
      <c r="C243" s="30" t="str">
        <f>IFERROR(__xludf.DUMMYFUNCTION("""COMPUTED_VALUE"""),"Veteran")</f>
        <v>Veteran</v>
      </c>
      <c r="D243" s="30" t="str">
        <f>IFERROR(__xludf.DUMMYFUNCTION("""COMPUTED_VALUE"""),"Makos")</f>
        <v>Makos</v>
      </c>
      <c r="E243" s="30" t="str">
        <f>IFERROR(__xludf.DUMMYFUNCTION("""COMPUTED_VALUE"""),"Shark Attack")</f>
        <v>Shark Attack</v>
      </c>
      <c r="F243" s="30" t="str">
        <f>IFERROR(__xludf.DUMMYFUNCTION("""COMPUTED_VALUE"""),"Solar")</f>
        <v>Solar</v>
      </c>
      <c r="G243" s="92">
        <f>IFERROR(__xludf.DUMMYFUNCTION("""COMPUTED_VALUE"""),42.1773433373875)</f>
        <v>42.17734334</v>
      </c>
    </row>
    <row r="244">
      <c r="A244" s="30" t="str">
        <f>IFERROR(__xludf.DUMMYFUNCTION("""COMPUTED_VALUE"""),"RSC006378")</f>
        <v>RSC006378</v>
      </c>
      <c r="B244" s="30" t="str">
        <f>IFERROR(__xludf.DUMMYFUNCTION("""COMPUTED_VALUE"""),"depressed vibez")</f>
        <v>depressed vibez</v>
      </c>
      <c r="C244" s="30" t="str">
        <f>IFERROR(__xludf.DUMMYFUNCTION("""COMPUTED_VALUE"""),"Veteran")</f>
        <v>Veteran</v>
      </c>
      <c r="D244" s="30" t="str">
        <f>IFERROR(__xludf.DUMMYFUNCTION("""COMPUTED_VALUE"""),"Penguins")</f>
        <v>Penguins</v>
      </c>
      <c r="E244" s="30" t="str">
        <f>IFERROR(__xludf.DUMMYFUNCTION("""COMPUTED_VALUE"""),"Flightless Fowl")</f>
        <v>Flightless Fowl</v>
      </c>
      <c r="F244" s="30" t="str">
        <f>IFERROR(__xludf.DUMMYFUNCTION("""COMPUTED_VALUE"""),"Solar")</f>
        <v>Solar</v>
      </c>
      <c r="G244" s="92">
        <f>IFERROR(__xludf.DUMMYFUNCTION("""COMPUTED_VALUE"""),70.78259668523003)</f>
        <v>70.78259669</v>
      </c>
    </row>
    <row r="245">
      <c r="A245" s="30" t="str">
        <f>IFERROR(__xludf.DUMMYFUNCTION("""COMPUTED_VALUE"""),"RSC005734")</f>
        <v>RSC005734</v>
      </c>
      <c r="B245" s="30" t="str">
        <f>IFERROR(__xludf.DUMMYFUNCTION("""COMPUTED_VALUE"""),"Bas Radala")</f>
        <v>Bas Radala</v>
      </c>
      <c r="C245" s="30" t="str">
        <f>IFERROR(__xludf.DUMMYFUNCTION("""COMPUTED_VALUE"""),"Veteran")</f>
        <v>Veteran</v>
      </c>
      <c r="D245" s="30" t="str">
        <f>IFERROR(__xludf.DUMMYFUNCTION("""COMPUTED_VALUE"""),"Possessed
Slots")</f>
        <v>Possessed
Slots</v>
      </c>
      <c r="E245" s="30" t="str">
        <f>IFERROR(__xludf.DUMMYFUNCTION("""COMPUTED_VALUE"""),"Destined
Never Lucky")</f>
        <v>Destined
Never Lucky</v>
      </c>
      <c r="F245" s="30" t="str">
        <f>IFERROR(__xludf.DUMMYFUNCTION("""COMPUTED_VALUE"""),"Lunar")</f>
        <v>Lunar</v>
      </c>
      <c r="G245" s="92">
        <f>IFERROR(__xludf.DUMMYFUNCTION("""COMPUTED_VALUE"""),67.3141121265131)</f>
        <v>67.31411213</v>
      </c>
    </row>
    <row r="246">
      <c r="A246" s="30" t="str">
        <f>IFERROR(__xludf.DUMMYFUNCTION("""COMPUTED_VALUE"""),"RSC007207")</f>
        <v>RSC007207</v>
      </c>
      <c r="B246" s="30" t="str">
        <f>IFERROR(__xludf.DUMMYFUNCTION("""COMPUTED_VALUE"""),".S")</f>
        <v>.S</v>
      </c>
      <c r="C246" s="30" t="str">
        <f>IFERROR(__xludf.DUMMYFUNCTION("""COMPUTED_VALUE"""),"Veteran")</f>
        <v>Veteran</v>
      </c>
      <c r="D246" s="30" t="str">
        <f>IFERROR(__xludf.DUMMYFUNCTION("""COMPUTED_VALUE"""),"Slots")</f>
        <v>Slots</v>
      </c>
      <c r="E246" s="30" t="str">
        <f>IFERROR(__xludf.DUMMYFUNCTION("""COMPUTED_VALUE"""),"Never Lucky")</f>
        <v>Never Lucky</v>
      </c>
      <c r="F246" s="30" t="str">
        <f>IFERROR(__xludf.DUMMYFUNCTION("""COMPUTED_VALUE"""),"Lunar")</f>
        <v>Lunar</v>
      </c>
      <c r="G246" s="92">
        <f>IFERROR(__xludf.DUMMYFUNCTION("""COMPUTED_VALUE"""),49.213755056431545)</f>
        <v>49.21375506</v>
      </c>
    </row>
    <row r="247">
      <c r="A247" s="30" t="str">
        <f>IFERROR(__xludf.DUMMYFUNCTION("""COMPUTED_VALUE"""),"RSC004239")</f>
        <v>RSC004239</v>
      </c>
      <c r="B247" s="30" t="str">
        <f>IFERROR(__xludf.DUMMYFUNCTION("""COMPUTED_VALUE"""),"Nitro")</f>
        <v>Nitro</v>
      </c>
      <c r="C247" s="30" t="str">
        <f>IFERROR(__xludf.DUMMYFUNCTION("""COMPUTED_VALUE"""),"Veteran")</f>
        <v>Veteran</v>
      </c>
      <c r="D247" s="30" t="str">
        <f>IFERROR(__xludf.DUMMYFUNCTION("""COMPUTED_VALUE"""),"Slots")</f>
        <v>Slots</v>
      </c>
      <c r="E247" s="30" t="str">
        <f>IFERROR(__xludf.DUMMYFUNCTION("""COMPUTED_VALUE"""),"Never Lucky")</f>
        <v>Never Lucky</v>
      </c>
      <c r="F247" s="30" t="str">
        <f>IFERROR(__xludf.DUMMYFUNCTION("""COMPUTED_VALUE"""),"Lunar")</f>
        <v>Lunar</v>
      </c>
      <c r="G247" s="92">
        <f>IFERROR(__xludf.DUMMYFUNCTION("""COMPUTED_VALUE"""),33.22926620911801)</f>
        <v>33.22926621</v>
      </c>
    </row>
    <row r="248">
      <c r="A248" s="30" t="str">
        <f>IFERROR(__xludf.DUMMYFUNCTION("""COMPUTED_VALUE"""),"RSC007795")</f>
        <v>RSC007795</v>
      </c>
      <c r="B248" s="30" t="str">
        <f>IFERROR(__xludf.DUMMYFUNCTION("""COMPUTED_VALUE"""),"Gizmeaux")</f>
        <v>Gizmeaux</v>
      </c>
      <c r="C248" s="30" t="str">
        <f>IFERROR(__xludf.DUMMYFUNCTION("""COMPUTED_VALUE"""),"Veteran")</f>
        <v>Veteran</v>
      </c>
      <c r="D248" s="30" t="str">
        <f>IFERROR(__xludf.DUMMYFUNCTION("""COMPUTED_VALUE"""),"Gouda Gangsters")</f>
        <v>Gouda Gangsters</v>
      </c>
      <c r="E248" s="30" t="str">
        <f>IFERROR(__xludf.DUMMYFUNCTION("""COMPUTED_VALUE"""),"Cheese Guild")</f>
        <v>Cheese Guild</v>
      </c>
      <c r="F248" s="30" t="str">
        <f>IFERROR(__xludf.DUMMYFUNCTION("""COMPUTED_VALUE"""),"Lunar")</f>
        <v>Lunar</v>
      </c>
      <c r="G248" s="92">
        <f>IFERROR(__xludf.DUMMYFUNCTION("""COMPUTED_VALUE"""),38.04857284717335)</f>
        <v>38.04857285</v>
      </c>
    </row>
    <row r="249">
      <c r="A249" s="30" t="str">
        <f>IFERROR(__xludf.DUMMYFUNCTION("""COMPUTED_VALUE"""),"RSC000767")</f>
        <v>RSC000767</v>
      </c>
      <c r="B249" s="30" t="str">
        <f>IFERROR(__xludf.DUMMYFUNCTION("""COMPUTED_VALUE"""),"Tragic")</f>
        <v>Tragic</v>
      </c>
      <c r="C249" s="30" t="str">
        <f>IFERROR(__xludf.DUMMYFUNCTION("""COMPUTED_VALUE"""),"Veteran")</f>
        <v>Veteran</v>
      </c>
      <c r="D249" s="30" t="str">
        <f>IFERROR(__xludf.DUMMYFUNCTION("""COMPUTED_VALUE"""),"Gouda Gangsters")</f>
        <v>Gouda Gangsters</v>
      </c>
      <c r="E249" s="30" t="str">
        <f>IFERROR(__xludf.DUMMYFUNCTION("""COMPUTED_VALUE"""),"Cheese Guild")</f>
        <v>Cheese Guild</v>
      </c>
      <c r="F249" s="30" t="str">
        <f>IFERROR(__xludf.DUMMYFUNCTION("""COMPUTED_VALUE"""),"Lunar")</f>
        <v>Lunar</v>
      </c>
      <c r="G249" s="92">
        <f>IFERROR(__xludf.DUMMYFUNCTION("""COMPUTED_VALUE"""),50.8142886976208)</f>
        <v>50.8142887</v>
      </c>
    </row>
    <row r="250">
      <c r="A250" s="30" t="str">
        <f>IFERROR(__xludf.DUMMYFUNCTION("""COMPUTED_VALUE"""),"RSC007383")</f>
        <v>RSC007383</v>
      </c>
      <c r="B250" s="30" t="str">
        <f>IFERROR(__xludf.DUMMYFUNCTION("""COMPUTED_VALUE"""),"ttv. blestbb")</f>
        <v>ttv. blestbb</v>
      </c>
      <c r="C250" s="30" t="str">
        <f>IFERROR(__xludf.DUMMYFUNCTION("""COMPUTED_VALUE"""),"Veteran")</f>
        <v>Veteran</v>
      </c>
      <c r="D250" s="30" t="str">
        <f>IFERROR(__xludf.DUMMYFUNCTION("""COMPUTED_VALUE"""),"Gouda Gangsters")</f>
        <v>Gouda Gangsters</v>
      </c>
      <c r="E250" s="30" t="str">
        <f>IFERROR(__xludf.DUMMYFUNCTION("""COMPUTED_VALUE"""),"Cheese Guild")</f>
        <v>Cheese Guild</v>
      </c>
      <c r="F250" s="30" t="str">
        <f>IFERROR(__xludf.DUMMYFUNCTION("""COMPUTED_VALUE"""),"Lunar")</f>
        <v>Lunar</v>
      </c>
      <c r="G250" s="92">
        <f>IFERROR(__xludf.DUMMYFUNCTION("""COMPUTED_VALUE"""),56.1824173467233)</f>
        <v>56.18241735</v>
      </c>
    </row>
    <row r="251">
      <c r="A251" s="30" t="str">
        <f>IFERROR(__xludf.DUMMYFUNCTION("""COMPUTED_VALUE"""),"RSC000926")</f>
        <v>RSC000926</v>
      </c>
      <c r="B251" s="30" t="str">
        <f>IFERROR(__xludf.DUMMYFUNCTION("""COMPUTED_VALUE"""),"SlmRnchr")</f>
        <v>SlmRnchr</v>
      </c>
      <c r="C251" s="30" t="str">
        <f>IFERROR(__xludf.DUMMYFUNCTION("""COMPUTED_VALUE"""),"Veteran")</f>
        <v>Veteran</v>
      </c>
      <c r="D251" s="30" t="str">
        <f>IFERROR(__xludf.DUMMYFUNCTION("""COMPUTED_VALUE"""),"Silver Dollar")</f>
        <v>Silver Dollar</v>
      </c>
      <c r="E251" s="30" t="str">
        <f>IFERROR(__xludf.DUMMYFUNCTION("""COMPUTED_VALUE"""),"Money Makers")</f>
        <v>Money Makers</v>
      </c>
      <c r="F251" s="30" t="str">
        <f>IFERROR(__xludf.DUMMYFUNCTION("""COMPUTED_VALUE"""),"Solar")</f>
        <v>Solar</v>
      </c>
      <c r="G251" s="92">
        <f>IFERROR(__xludf.DUMMYFUNCTION("""COMPUTED_VALUE"""),55.727316656168824)</f>
        <v>55.72731666</v>
      </c>
    </row>
    <row r="252">
      <c r="A252" s="30" t="str">
        <f>IFERROR(__xludf.DUMMYFUNCTION("""COMPUTED_VALUE"""),"RSC001203")</f>
        <v>RSC001203</v>
      </c>
      <c r="B252" s="30" t="str">
        <f>IFERROR(__xludf.DUMMYFUNCTION("""COMPUTED_VALUE"""),"Clyde")</f>
        <v>Clyde</v>
      </c>
      <c r="C252" s="30" t="str">
        <f>IFERROR(__xludf.DUMMYFUNCTION("""COMPUTED_VALUE"""),"Veteran")</f>
        <v>Veteran</v>
      </c>
      <c r="D252" s="30" t="str">
        <f>IFERROR(__xludf.DUMMYFUNCTION("""COMPUTED_VALUE"""),"Banshees")</f>
        <v>Banshees</v>
      </c>
      <c r="E252" s="30" t="str">
        <f>IFERROR(__xludf.DUMMYFUNCTION("""COMPUTED_VALUE"""),"The Monster Mash")</f>
        <v>The Monster Mash</v>
      </c>
      <c r="F252" s="30" t="str">
        <f>IFERROR(__xludf.DUMMYFUNCTION("""COMPUTED_VALUE"""),"Lunar")</f>
        <v>Lunar</v>
      </c>
      <c r="G252" s="92">
        <f>IFERROR(__xludf.DUMMYFUNCTION("""COMPUTED_VALUE"""),64.3943201209445)</f>
        <v>64.39432012</v>
      </c>
    </row>
    <row r="253">
      <c r="A253" s="30" t="str">
        <f>IFERROR(__xludf.DUMMYFUNCTION("""COMPUTED_VALUE"""),"RSC000156")</f>
        <v>RSC000156</v>
      </c>
      <c r="B253" s="30" t="str">
        <f>IFERROR(__xludf.DUMMYFUNCTION("""COMPUTED_VALUE"""),"Drupenson")</f>
        <v>Drupenson</v>
      </c>
      <c r="C253" s="30" t="str">
        <f>IFERROR(__xludf.DUMMYFUNCTION("""COMPUTED_VALUE"""),"Veteran")</f>
        <v>Veteran</v>
      </c>
      <c r="D253" s="30" t="str">
        <f>IFERROR(__xludf.DUMMYFUNCTION("""COMPUTED_VALUE"""),"Water")</f>
        <v>Water</v>
      </c>
      <c r="E253" s="30" t="str">
        <f>IFERROR(__xludf.DUMMYFUNCTION("""COMPUTED_VALUE"""),"The Elements")</f>
        <v>The Elements</v>
      </c>
      <c r="F253" s="30" t="str">
        <f>IFERROR(__xludf.DUMMYFUNCTION("""COMPUTED_VALUE"""),"Solar")</f>
        <v>Solar</v>
      </c>
      <c r="G253" s="92">
        <f>IFERROR(__xludf.DUMMYFUNCTION("""COMPUTED_VALUE"""),47.947603537383785)</f>
        <v>47.94760354</v>
      </c>
    </row>
    <row r="254">
      <c r="A254" s="30" t="str">
        <f>IFERROR(__xludf.DUMMYFUNCTION("""COMPUTED_VALUE"""),"RSC007237")</f>
        <v>RSC007237</v>
      </c>
      <c r="B254" s="30" t="str">
        <f>IFERROR(__xludf.DUMMYFUNCTION("""COMPUTED_VALUE"""),"FuDaah")</f>
        <v>FuDaah</v>
      </c>
      <c r="C254" s="30" t="str">
        <f>IFERROR(__xludf.DUMMYFUNCTION("""COMPUTED_VALUE"""),"Veteran")</f>
        <v>Veteran</v>
      </c>
      <c r="D254" s="30" t="str">
        <f>IFERROR(__xludf.DUMMYFUNCTION("""COMPUTED_VALUE"""),"Typhoons")</f>
        <v>Typhoons</v>
      </c>
      <c r="E254" s="30" t="str">
        <f>IFERROR(__xludf.DUMMYFUNCTION("""COMPUTED_VALUE"""),"Storm")</f>
        <v>Storm</v>
      </c>
      <c r="F254" s="30" t="str">
        <f>IFERROR(__xludf.DUMMYFUNCTION("""COMPUTED_VALUE"""),"Solar")</f>
        <v>Solar</v>
      </c>
      <c r="G254" s="92">
        <f>IFERROR(__xludf.DUMMYFUNCTION("""COMPUTED_VALUE"""),52.76936354230581)</f>
        <v>52.76936354</v>
      </c>
    </row>
    <row r="255">
      <c r="A255" s="30" t="str">
        <f>IFERROR(__xludf.DUMMYFUNCTION("""COMPUTED_VALUE"""),"RSC007936")</f>
        <v>RSC007936</v>
      </c>
      <c r="B255" s="30" t="str">
        <f>IFERROR(__xludf.DUMMYFUNCTION("""COMPUTED_VALUE"""),"Crazics")</f>
        <v>Crazics</v>
      </c>
      <c r="C255" s="30" t="str">
        <f>IFERROR(__xludf.DUMMYFUNCTION("""COMPUTED_VALUE"""),"Veteran")</f>
        <v>Veteran</v>
      </c>
      <c r="D255" s="30" t="str">
        <f>IFERROR(__xludf.DUMMYFUNCTION("""COMPUTED_VALUE"""),"Gouda Gangsters")</f>
        <v>Gouda Gangsters</v>
      </c>
      <c r="E255" s="30" t="str">
        <f>IFERROR(__xludf.DUMMYFUNCTION("""COMPUTED_VALUE"""),"Cheese Guild")</f>
        <v>Cheese Guild</v>
      </c>
      <c r="F255" s="30" t="str">
        <f>IFERROR(__xludf.DUMMYFUNCTION("""COMPUTED_VALUE"""),"Lunar")</f>
        <v>Lunar</v>
      </c>
      <c r="G255" s="92">
        <f>IFERROR(__xludf.DUMMYFUNCTION("""COMPUTED_VALUE"""),56.37460659035254)</f>
        <v>56.37460659</v>
      </c>
    </row>
    <row r="256">
      <c r="A256" s="30" t="str">
        <f>IFERROR(__xludf.DUMMYFUNCTION("""COMPUTED_VALUE"""),"RSC001893")</f>
        <v>RSC001893</v>
      </c>
      <c r="B256" s="30" t="str">
        <f>IFERROR(__xludf.DUMMYFUNCTION("""COMPUTED_VALUE"""),"cjax")</f>
        <v>cjax</v>
      </c>
      <c r="C256" s="30" t="str">
        <f>IFERROR(__xludf.DUMMYFUNCTION("""COMPUTED_VALUE"""),"Veteran")</f>
        <v>Veteran</v>
      </c>
      <c r="D256" s="30" t="str">
        <f>IFERROR(__xludf.DUMMYFUNCTION("""COMPUTED_VALUE"""),"Peppermint")</f>
        <v>Peppermint</v>
      </c>
      <c r="E256" s="30" t="str">
        <f>IFERROR(__xludf.DUMMYFUNCTION("""COMPUTED_VALUE"""),"Minty Fresh")</f>
        <v>Minty Fresh</v>
      </c>
      <c r="F256" s="30" t="str">
        <f>IFERROR(__xludf.DUMMYFUNCTION("""COMPUTED_VALUE"""),"Solar")</f>
        <v>Solar</v>
      </c>
      <c r="G256" s="92">
        <f>IFERROR(__xludf.DUMMYFUNCTION("""COMPUTED_VALUE"""),16.70369858957922)</f>
        <v>16.70369859</v>
      </c>
    </row>
    <row r="257">
      <c r="A257" s="30" t="str">
        <f>IFERROR(__xludf.DUMMYFUNCTION("""COMPUTED_VALUE"""),"RSC003104")</f>
        <v>RSC003104</v>
      </c>
      <c r="B257" s="30" t="str">
        <f>IFERROR(__xludf.DUMMYFUNCTION("""COMPUTED_VALUE"""),"nizz")</f>
        <v>nizz</v>
      </c>
      <c r="C257" s="30" t="str">
        <f>IFERROR(__xludf.DUMMYFUNCTION("""COMPUTED_VALUE"""),"Veteran")</f>
        <v>Veteran</v>
      </c>
      <c r="D257" s="30" t="str">
        <f>IFERROR(__xludf.DUMMYFUNCTION("""COMPUTED_VALUE"""),"Folks")</f>
        <v>Folks</v>
      </c>
      <c r="E257" s="30" t="str">
        <f>IFERROR(__xludf.DUMMYFUNCTION("""COMPUTED_VALUE"""),"The Pit")</f>
        <v>The Pit</v>
      </c>
      <c r="F257" s="30" t="str">
        <f>IFERROR(__xludf.DUMMYFUNCTION("""COMPUTED_VALUE"""),"Lunar")</f>
        <v>Lunar</v>
      </c>
      <c r="G257" s="92">
        <f>IFERROR(__xludf.DUMMYFUNCTION("""COMPUTED_VALUE"""),23.245933487325697)</f>
        <v>23.24593349</v>
      </c>
    </row>
    <row r="258">
      <c r="A258" s="30" t="str">
        <f>IFERROR(__xludf.DUMMYFUNCTION("""COMPUTED_VALUE"""),"RSC006060")</f>
        <v>RSC006060</v>
      </c>
      <c r="B258" s="30" t="str">
        <f>IFERROR(__xludf.DUMMYFUNCTION("""COMPUTED_VALUE"""),"WP_Merciless")</f>
        <v>WP_Merciless</v>
      </c>
      <c r="C258" s="30" t="str">
        <f>IFERROR(__xludf.DUMMYFUNCTION("""COMPUTED_VALUE"""),"Veteran")</f>
        <v>Veteran</v>
      </c>
      <c r="D258" s="30" t="str">
        <f>IFERROR(__xludf.DUMMYFUNCTION("""COMPUTED_VALUE"""),"Rulers")</f>
        <v>Rulers</v>
      </c>
      <c r="E258" s="30" t="str">
        <f>IFERROR(__xludf.DUMMYFUNCTION("""COMPUTED_VALUE"""),"Monarchy")</f>
        <v>Monarchy</v>
      </c>
      <c r="F258" s="30" t="str">
        <f>IFERROR(__xludf.DUMMYFUNCTION("""COMPUTED_VALUE"""),"Lunar")</f>
        <v>Lunar</v>
      </c>
      <c r="G258" s="92">
        <f>IFERROR(__xludf.DUMMYFUNCTION("""COMPUTED_VALUE"""),60.990671014266155)</f>
        <v>60.99067101</v>
      </c>
    </row>
    <row r="259">
      <c r="A259" s="30" t="str">
        <f>IFERROR(__xludf.DUMMYFUNCTION("""COMPUTED_VALUE"""),"RSC007908")</f>
        <v>RSC007908</v>
      </c>
      <c r="B259" s="30" t="str">
        <f>IFERROR(__xludf.DUMMYFUNCTION("""COMPUTED_VALUE"""),"C01E01")</f>
        <v>C01E01</v>
      </c>
      <c r="C259" s="30" t="str">
        <f>IFERROR(__xludf.DUMMYFUNCTION("""COMPUTED_VALUE"""),"Veteran")</f>
        <v>Veteran</v>
      </c>
      <c r="D259" s="30" t="str">
        <f>IFERROR(__xludf.DUMMYFUNCTION("""COMPUTED_VALUE"""),"Rockin Revenants")</f>
        <v>Rockin Revenants</v>
      </c>
      <c r="E259" s="30" t="str">
        <f>IFERROR(__xludf.DUMMYFUNCTION("""COMPUTED_VALUE"""),"Ghoul School")</f>
        <v>Ghoul School</v>
      </c>
      <c r="F259" s="30" t="str">
        <f>IFERROR(__xludf.DUMMYFUNCTION("""COMPUTED_VALUE"""),"Solar")</f>
        <v>Solar</v>
      </c>
      <c r="G259" s="92">
        <f>IFERROR(__xludf.DUMMYFUNCTION("""COMPUTED_VALUE"""),66.45475256749734)</f>
        <v>66.45475257</v>
      </c>
    </row>
    <row r="260">
      <c r="A260" s="30" t="str">
        <f>IFERROR(__xludf.DUMMYFUNCTION("""COMPUTED_VALUE"""),"RSC007607")</f>
        <v>RSC007607</v>
      </c>
      <c r="B260" s="30" t="str">
        <f>IFERROR(__xludf.DUMMYFUNCTION("""COMPUTED_VALUE"""),"GameGang")</f>
        <v>GameGang</v>
      </c>
      <c r="C260" s="30" t="str">
        <f>IFERROR(__xludf.DUMMYFUNCTION("""COMPUTED_VALUE"""),"Veteran")</f>
        <v>Veteran</v>
      </c>
      <c r="D260" s="30" t="str">
        <f>IFERROR(__xludf.DUMMYFUNCTION("""COMPUTED_VALUE"""),"Rockin Revenants")</f>
        <v>Rockin Revenants</v>
      </c>
      <c r="E260" s="30" t="str">
        <f>IFERROR(__xludf.DUMMYFUNCTION("""COMPUTED_VALUE"""),"Ghoul School")</f>
        <v>Ghoul School</v>
      </c>
      <c r="F260" s="30" t="str">
        <f>IFERROR(__xludf.DUMMYFUNCTION("""COMPUTED_VALUE"""),"Solar")</f>
        <v>Solar</v>
      </c>
      <c r="G260" s="92">
        <f>IFERROR(__xludf.DUMMYFUNCTION("""COMPUTED_VALUE"""),31.495314532212802)</f>
        <v>31.49531453</v>
      </c>
    </row>
    <row r="261">
      <c r="A261" s="30" t="str">
        <f>IFERROR(__xludf.DUMMYFUNCTION("""COMPUTED_VALUE"""),"RSC007341")</f>
        <v>RSC007341</v>
      </c>
      <c r="B261" s="30" t="str">
        <f>IFERROR(__xludf.DUMMYFUNCTION("""COMPUTED_VALUE"""),"Squashy")</f>
        <v>Squashy</v>
      </c>
      <c r="C261" s="30" t="str">
        <f>IFERROR(__xludf.DUMMYFUNCTION("""COMPUTED_VALUE"""),"Veteran")</f>
        <v>Veteran</v>
      </c>
      <c r="D261" s="30" t="str">
        <f>IFERROR(__xludf.DUMMYFUNCTION("""COMPUTED_VALUE"""),"Rockin Revenants")</f>
        <v>Rockin Revenants</v>
      </c>
      <c r="E261" s="30" t="str">
        <f>IFERROR(__xludf.DUMMYFUNCTION("""COMPUTED_VALUE"""),"Ghoul School")</f>
        <v>Ghoul School</v>
      </c>
      <c r="F261" s="30" t="str">
        <f>IFERROR(__xludf.DUMMYFUNCTION("""COMPUTED_VALUE"""),"Solar")</f>
        <v>Solar</v>
      </c>
      <c r="G261" s="92">
        <f>IFERROR(__xludf.DUMMYFUNCTION("""COMPUTED_VALUE"""),65.75868466049995)</f>
        <v>65.75868466</v>
      </c>
    </row>
    <row r="262">
      <c r="A262" s="30" t="str">
        <f>IFERROR(__xludf.DUMMYFUNCTION("""COMPUTED_VALUE"""),"RSC000698")</f>
        <v>RSC000698</v>
      </c>
      <c r="B262" s="30" t="str">
        <f>IFERROR(__xludf.DUMMYFUNCTION("""COMPUTED_VALUE"""),"Inedibledeer")</f>
        <v>Inedibledeer</v>
      </c>
      <c r="C262" s="30" t="str">
        <f>IFERROR(__xludf.DUMMYFUNCTION("""COMPUTED_VALUE"""),"Veteran")</f>
        <v>Veteran</v>
      </c>
      <c r="D262" s="30" t="str">
        <f>IFERROR(__xludf.DUMMYFUNCTION("""COMPUTED_VALUE"""),"Werewolves")</f>
        <v>Werewolves</v>
      </c>
      <c r="E262" s="30" t="str">
        <f>IFERROR(__xludf.DUMMYFUNCTION("""COMPUTED_VALUE"""),"The Forest")</f>
        <v>The Forest</v>
      </c>
      <c r="F262" s="30" t="str">
        <f>IFERROR(__xludf.DUMMYFUNCTION("""COMPUTED_VALUE"""),"Solar")</f>
        <v>Solar</v>
      </c>
      <c r="G262" s="92">
        <f>IFERROR(__xludf.DUMMYFUNCTION("""COMPUTED_VALUE"""),36.57088509890025)</f>
        <v>36.5708851</v>
      </c>
    </row>
    <row r="263">
      <c r="A263" s="30" t="str">
        <f>IFERROR(__xludf.DUMMYFUNCTION("""COMPUTED_VALUE"""),"RSC004109")</f>
        <v>RSC004109</v>
      </c>
      <c r="B263" s="30" t="str">
        <f>IFERROR(__xludf.DUMMYFUNCTION("""COMPUTED_VALUE"""),"Hawkish")</f>
        <v>Hawkish</v>
      </c>
      <c r="C263" s="30" t="str">
        <f>IFERROR(__xludf.DUMMYFUNCTION("""COMPUTED_VALUE"""),"Veteran")</f>
        <v>Veteran</v>
      </c>
      <c r="D263" s="30" t="str">
        <f>IFERROR(__xludf.DUMMYFUNCTION("""COMPUTED_VALUE"""),"Werewolves")</f>
        <v>Werewolves</v>
      </c>
      <c r="E263" s="30" t="str">
        <f>IFERROR(__xludf.DUMMYFUNCTION("""COMPUTED_VALUE"""),"The Forest")</f>
        <v>The Forest</v>
      </c>
      <c r="F263" s="30" t="str">
        <f>IFERROR(__xludf.DUMMYFUNCTION("""COMPUTED_VALUE"""),"Solar")</f>
        <v>Solar</v>
      </c>
      <c r="G263" s="92">
        <f>IFERROR(__xludf.DUMMYFUNCTION("""COMPUTED_VALUE"""),62.665624604563554)</f>
        <v>62.6656246</v>
      </c>
    </row>
    <row r="264">
      <c r="A264" s="30" t="str">
        <f>IFERROR(__xludf.DUMMYFUNCTION("""COMPUTED_VALUE"""),"RSC003250")</f>
        <v>RSC003250</v>
      </c>
      <c r="B264" s="30" t="str">
        <f>IFERROR(__xludf.DUMMYFUNCTION("""COMPUTED_VALUE"""),"Chefty")</f>
        <v>Chefty</v>
      </c>
      <c r="C264" s="30" t="str">
        <f>IFERROR(__xludf.DUMMYFUNCTION("""COMPUTED_VALUE"""),"Veteran")</f>
        <v>Veteran</v>
      </c>
      <c r="D264" s="30" t="str">
        <f>IFERROR(__xludf.DUMMYFUNCTION("""COMPUTED_VALUE"""),"Werewolves")</f>
        <v>Werewolves</v>
      </c>
      <c r="E264" s="30" t="str">
        <f>IFERROR(__xludf.DUMMYFUNCTION("""COMPUTED_VALUE"""),"The Forest")</f>
        <v>The Forest</v>
      </c>
      <c r="F264" s="30" t="str">
        <f>IFERROR(__xludf.DUMMYFUNCTION("""COMPUTED_VALUE"""),"Solar")</f>
        <v>Solar</v>
      </c>
      <c r="G264" s="92">
        <f>IFERROR(__xludf.DUMMYFUNCTION("""COMPUTED_VALUE"""),19.925779904097602)</f>
        <v>19.9257799</v>
      </c>
    </row>
    <row r="265">
      <c r="A265" s="30" t="str">
        <f>IFERROR(__xludf.DUMMYFUNCTION("""COMPUTED_VALUE"""),"RSC004229")</f>
        <v>RSC004229</v>
      </c>
      <c r="B265" s="30" t="str">
        <f>IFERROR(__xludf.DUMMYFUNCTION("""COMPUTED_VALUE"""),"ImNotDotey")</f>
        <v>ImNotDotey</v>
      </c>
      <c r="C265" s="30" t="str">
        <f>IFERROR(__xludf.DUMMYFUNCTION("""COMPUTED_VALUE"""),"Veteran")</f>
        <v>Veteran</v>
      </c>
      <c r="D265" s="30" t="str">
        <f>IFERROR(__xludf.DUMMYFUNCTION("""COMPUTED_VALUE"""),"Werewolves")</f>
        <v>Werewolves</v>
      </c>
      <c r="E265" s="30" t="str">
        <f>IFERROR(__xludf.DUMMYFUNCTION("""COMPUTED_VALUE"""),"The Forest")</f>
        <v>The Forest</v>
      </c>
      <c r="F265" s="30" t="str">
        <f>IFERROR(__xludf.DUMMYFUNCTION("""COMPUTED_VALUE"""),"Solar")</f>
        <v>Solar</v>
      </c>
      <c r="G265" s="92">
        <f>IFERROR(__xludf.DUMMYFUNCTION("""COMPUTED_VALUE"""),39.213377301585)</f>
        <v>39.2133773</v>
      </c>
    </row>
    <row r="266">
      <c r="A266" s="30" t="str">
        <f>IFERROR(__xludf.DUMMYFUNCTION("""COMPUTED_VALUE"""),"RSC006909")</f>
        <v>RSC006909</v>
      </c>
      <c r="B266" s="30" t="str">
        <f>IFERROR(__xludf.DUMMYFUNCTION("""COMPUTED_VALUE"""),"Dewby")</f>
        <v>Dewby</v>
      </c>
      <c r="C266" s="30" t="str">
        <f>IFERROR(__xludf.DUMMYFUNCTION("""COMPUTED_VALUE"""),"Veteran")</f>
        <v>Veteran</v>
      </c>
      <c r="D266" s="30" t="str">
        <f>IFERROR(__xludf.DUMMYFUNCTION("""COMPUTED_VALUE"""),"Singularity")</f>
        <v>Singularity</v>
      </c>
      <c r="E266" s="30" t="str">
        <f>IFERROR(__xludf.DUMMYFUNCTION("""COMPUTED_VALUE"""),"Event Horizon")</f>
        <v>Event Horizon</v>
      </c>
      <c r="F266" s="30" t="str">
        <f>IFERROR(__xludf.DUMMYFUNCTION("""COMPUTED_VALUE"""),"Solar")</f>
        <v>Solar</v>
      </c>
      <c r="G266" s="92">
        <f>IFERROR(__xludf.DUMMYFUNCTION("""COMPUTED_VALUE"""),48.848347528456905)</f>
        <v>48.84834753</v>
      </c>
    </row>
    <row r="267">
      <c r="A267" s="30" t="str">
        <f>IFERROR(__xludf.DUMMYFUNCTION("""COMPUTED_VALUE"""),"RSC004313")</f>
        <v>RSC004313</v>
      </c>
      <c r="B267" s="30" t="str">
        <f>IFERROR(__xludf.DUMMYFUNCTION("""COMPUTED_VALUE"""),"Causing .")</f>
        <v>Causing .</v>
      </c>
      <c r="C267" s="30" t="str">
        <f>IFERROR(__xludf.DUMMYFUNCTION("""COMPUTED_VALUE"""),"Veteran")</f>
        <v>Veteran</v>
      </c>
      <c r="D267" s="30" t="str">
        <f>IFERROR(__xludf.DUMMYFUNCTION("""COMPUTED_VALUE"""),"Mellow Fellows
Kirin")</f>
        <v>Mellow Fellows
Kirin</v>
      </c>
      <c r="E267" s="30" t="str">
        <f>IFERROR(__xludf.DUMMYFUNCTION("""COMPUTED_VALUE"""),"Vibe Tribe
The Shrine")</f>
        <v>Vibe Tribe
The Shrine</v>
      </c>
      <c r="F267" s="30" t="str">
        <f>IFERROR(__xludf.DUMMYFUNCTION("""COMPUTED_VALUE"""),"Lunar")</f>
        <v>Lunar</v>
      </c>
      <c r="G267" s="92">
        <f>IFERROR(__xludf.DUMMYFUNCTION("""COMPUTED_VALUE"""),79.2399945432154)</f>
        <v>79.23999454</v>
      </c>
    </row>
    <row r="268">
      <c r="A268" s="30" t="str">
        <f>IFERROR(__xludf.DUMMYFUNCTION("""COMPUTED_VALUE"""),"RSC000645")</f>
        <v>RSC000645</v>
      </c>
      <c r="B268" s="30" t="str">
        <f>IFERROR(__xludf.DUMMYFUNCTION("""COMPUTED_VALUE"""),"DenZ")</f>
        <v>DenZ</v>
      </c>
      <c r="C268" s="30" t="str">
        <f>IFERROR(__xludf.DUMMYFUNCTION("""COMPUTED_VALUE"""),"Veteran")</f>
        <v>Veteran</v>
      </c>
      <c r="D268" s="30" t="str">
        <f>IFERROR(__xludf.DUMMYFUNCTION("""COMPUTED_VALUE"""),"Grizzly Bears")</f>
        <v>Grizzly Bears</v>
      </c>
      <c r="E268" s="30" t="str">
        <f>IFERROR(__xludf.DUMMYFUNCTION("""COMPUTED_VALUE"""),"The Bear Den")</f>
        <v>The Bear Den</v>
      </c>
      <c r="F268" s="30" t="str">
        <f>IFERROR(__xludf.DUMMYFUNCTION("""COMPUTED_VALUE"""),"Lunar")</f>
        <v>Lunar</v>
      </c>
      <c r="G268" s="92">
        <f>IFERROR(__xludf.DUMMYFUNCTION("""COMPUTED_VALUE"""),67.55950535940332)</f>
        <v>67.55950536</v>
      </c>
    </row>
    <row r="269">
      <c r="A269" s="30" t="str">
        <f>IFERROR(__xludf.DUMMYFUNCTION("""COMPUTED_VALUE"""),"RSC006885")</f>
        <v>RSC006885</v>
      </c>
      <c r="B269" s="30" t="str">
        <f>IFERROR(__xludf.DUMMYFUNCTION("""COMPUTED_VALUE"""),"ski")</f>
        <v>ski</v>
      </c>
      <c r="C269" s="30" t="str">
        <f>IFERROR(__xludf.DUMMYFUNCTION("""COMPUTED_VALUE"""),"Veteran")</f>
        <v>Veteran</v>
      </c>
      <c r="D269" s="30" t="str">
        <f>IFERROR(__xludf.DUMMYFUNCTION("""COMPUTED_VALUE"""),"Dread")</f>
        <v>Dread</v>
      </c>
      <c r="E269" s="30" t="str">
        <f>IFERROR(__xludf.DUMMYFUNCTION("""COMPUTED_VALUE"""),"The Shadows")</f>
        <v>The Shadows</v>
      </c>
      <c r="F269" s="30" t="str">
        <f>IFERROR(__xludf.DUMMYFUNCTION("""COMPUTED_VALUE"""),"Lunar")</f>
        <v>Lunar</v>
      </c>
      <c r="G269" s="92">
        <f>IFERROR(__xludf.DUMMYFUNCTION("""COMPUTED_VALUE"""),46.13193036946239)</f>
        <v>46.13193037</v>
      </c>
    </row>
    <row r="270">
      <c r="A270" s="30" t="str">
        <f>IFERROR(__xludf.DUMMYFUNCTION("""COMPUTED_VALUE"""),"RSC002730")</f>
        <v>RSC002730</v>
      </c>
      <c r="B270" s="30" t="str">
        <f>IFERROR(__xludf.DUMMYFUNCTION("""COMPUTED_VALUE"""),"AquaP")</f>
        <v>AquaP</v>
      </c>
      <c r="C270" s="30" t="str">
        <f>IFERROR(__xludf.DUMMYFUNCTION("""COMPUTED_VALUE"""),"Veteran")</f>
        <v>Veteran</v>
      </c>
      <c r="D270" s="30" t="str">
        <f>IFERROR(__xludf.DUMMYFUNCTION("""COMPUTED_VALUE"""),"Merciless Mob")</f>
        <v>Merciless Mob</v>
      </c>
      <c r="E270" s="30" t="str">
        <f>IFERROR(__xludf.DUMMYFUNCTION("""COMPUTED_VALUE"""),"The Syndicate")</f>
        <v>The Syndicate</v>
      </c>
      <c r="F270" s="30" t="str">
        <f>IFERROR(__xludf.DUMMYFUNCTION("""COMPUTED_VALUE"""),"Lunar")</f>
        <v>Lunar</v>
      </c>
      <c r="G270" s="92">
        <f>IFERROR(__xludf.DUMMYFUNCTION("""COMPUTED_VALUE"""),31.199047531423467)</f>
        <v>31.19904753</v>
      </c>
    </row>
    <row r="271">
      <c r="A271" s="30" t="str">
        <f>IFERROR(__xludf.DUMMYFUNCTION("""COMPUTED_VALUE"""),"RSC007115")</f>
        <v>RSC007115</v>
      </c>
      <c r="B271" s="30" t="str">
        <f>IFERROR(__xludf.DUMMYFUNCTION("""COMPUTED_VALUE"""),"Zoomin")</f>
        <v>Zoomin</v>
      </c>
      <c r="C271" s="30" t="str">
        <f>IFERROR(__xludf.DUMMYFUNCTION("""COMPUTED_VALUE"""),"Veteran")</f>
        <v>Veteran</v>
      </c>
      <c r="D271" s="30" t="str">
        <f>IFERROR(__xludf.DUMMYFUNCTION("""COMPUTED_VALUE"""),"Legati")</f>
        <v>Legati</v>
      </c>
      <c r="E271" s="30" t="str">
        <f>IFERROR(__xludf.DUMMYFUNCTION("""COMPUTED_VALUE"""),"The Sovereign")</f>
        <v>The Sovereign</v>
      </c>
      <c r="F271" s="30" t="str">
        <f>IFERROR(__xludf.DUMMYFUNCTION("""COMPUTED_VALUE"""),"Lunar")</f>
        <v>Lunar</v>
      </c>
      <c r="G271" s="92">
        <f>IFERROR(__xludf.DUMMYFUNCTION("""COMPUTED_VALUE"""),37.81062417264495)</f>
        <v>37.81062417</v>
      </c>
    </row>
    <row r="272">
      <c r="A272" s="30" t="str">
        <f>IFERROR(__xludf.DUMMYFUNCTION("""COMPUTED_VALUE"""),"RSC007991")</f>
        <v>RSC007991</v>
      </c>
      <c r="B272" s="30" t="str">
        <f>IFERROR(__xludf.DUMMYFUNCTION("""COMPUTED_VALUE"""),"TTV 50D Drew")</f>
        <v>TTV 50D Drew</v>
      </c>
      <c r="C272" s="30" t="str">
        <f>IFERROR(__xludf.DUMMYFUNCTION("""COMPUTED_VALUE"""),"Veteran")</f>
        <v>Veteran</v>
      </c>
      <c r="D272" s="30" t="str">
        <f>IFERROR(__xludf.DUMMYFUNCTION("""COMPUTED_VALUE"""),"Dump Trucks")</f>
        <v>Dump Trucks</v>
      </c>
      <c r="E272" s="30" t="str">
        <f>IFERROR(__xludf.DUMMYFUNCTION("""COMPUTED_VALUE"""),"Road Work Ahead")</f>
        <v>Road Work Ahead</v>
      </c>
      <c r="F272" s="30" t="str">
        <f>IFERROR(__xludf.DUMMYFUNCTION("""COMPUTED_VALUE"""),"Lunar")</f>
        <v>Lunar</v>
      </c>
      <c r="G272" s="92">
        <f>IFERROR(__xludf.DUMMYFUNCTION("""COMPUTED_VALUE"""),22.338462481397265)</f>
        <v>22.33846248</v>
      </c>
    </row>
    <row r="273">
      <c r="A273" s="30" t="str">
        <f>IFERROR(__xludf.DUMMYFUNCTION("""COMPUTED_VALUE"""),"RSC007443")</f>
        <v>RSC007443</v>
      </c>
      <c r="B273" s="30" t="str">
        <f>IFERROR(__xludf.DUMMYFUNCTION("""COMPUTED_VALUE"""),"Allusion.-.")</f>
        <v>Allusion.-.</v>
      </c>
      <c r="C273" s="30" t="str">
        <f>IFERROR(__xludf.DUMMYFUNCTION("""COMPUTED_VALUE"""),"Veteran")</f>
        <v>Veteran</v>
      </c>
      <c r="D273" s="30" t="str">
        <f>IFERROR(__xludf.DUMMYFUNCTION("""COMPUTED_VALUE"""),"Possessed
Kirin
Giraffes")</f>
        <v>Possessed
Kirin
Giraffes</v>
      </c>
      <c r="E273" s="30" t="str">
        <f>IFERROR(__xludf.DUMMYFUNCTION("""COMPUTED_VALUE"""),"Destined
The Shrine
Safari")</f>
        <v>Destined
The Shrine
Safari</v>
      </c>
      <c r="F273" s="30" t="str">
        <f>IFERROR(__xludf.DUMMYFUNCTION("""COMPUTED_VALUE"""),"Solar")</f>
        <v>Solar</v>
      </c>
      <c r="G273" s="92">
        <f>IFERROR(__xludf.DUMMYFUNCTION("""COMPUTED_VALUE"""),32.32340878794871)</f>
        <v>32.32340879</v>
      </c>
    </row>
    <row r="274">
      <c r="A274" s="30" t="str">
        <f>IFERROR(__xludf.DUMMYFUNCTION("""COMPUTED_VALUE"""),"RSC007486")</f>
        <v>RSC007486</v>
      </c>
      <c r="B274" s="30" t="str">
        <f>IFERROR(__xludf.DUMMYFUNCTION("""COMPUTED_VALUE"""),"risfox")</f>
        <v>risfox</v>
      </c>
      <c r="C274" s="30" t="str">
        <f>IFERROR(__xludf.DUMMYFUNCTION("""COMPUTED_VALUE"""),"Veteran")</f>
        <v>Veteran</v>
      </c>
      <c r="D274" s="30" t="str">
        <f>IFERROR(__xludf.DUMMYFUNCTION("""COMPUTED_VALUE"""),"Giraffes")</f>
        <v>Giraffes</v>
      </c>
      <c r="E274" s="30" t="str">
        <f>IFERROR(__xludf.DUMMYFUNCTION("""COMPUTED_VALUE"""),"Safari")</f>
        <v>Safari</v>
      </c>
      <c r="F274" s="30" t="str">
        <f>IFERROR(__xludf.DUMMYFUNCTION("""COMPUTED_VALUE"""),"Lunar")</f>
        <v>Lunar</v>
      </c>
      <c r="G274" s="92">
        <f>IFERROR(__xludf.DUMMYFUNCTION("""COMPUTED_VALUE"""),28.729079781107046)</f>
        <v>28.72907978</v>
      </c>
    </row>
    <row r="275">
      <c r="A275" s="30" t="str">
        <f>IFERROR(__xludf.DUMMYFUNCTION("""COMPUTED_VALUE"""),"RSC007900")</f>
        <v>RSC007900</v>
      </c>
      <c r="B275" s="30" t="str">
        <f>IFERROR(__xludf.DUMMYFUNCTION("""COMPUTED_VALUE"""),"Car.")</f>
        <v>Car.</v>
      </c>
      <c r="C275" s="30" t="str">
        <f>IFERROR(__xludf.DUMMYFUNCTION("""COMPUTED_VALUE"""),"Veteran")</f>
        <v>Veteran</v>
      </c>
      <c r="D275" s="30" t="str">
        <f>IFERROR(__xludf.DUMMYFUNCTION("""COMPUTED_VALUE"""),"Supernova")</f>
        <v>Supernova</v>
      </c>
      <c r="E275" s="30" t="str">
        <f>IFERROR(__xludf.DUMMYFUNCTION("""COMPUTED_VALUE"""),"The Cosmos")</f>
        <v>The Cosmos</v>
      </c>
      <c r="F275" s="30" t="str">
        <f>IFERROR(__xludf.DUMMYFUNCTION("""COMPUTED_VALUE"""),"Solar")</f>
        <v>Solar</v>
      </c>
      <c r="G275" s="92">
        <f>IFERROR(__xludf.DUMMYFUNCTION("""COMPUTED_VALUE"""),60.2652131777223)</f>
        <v>60.26521318</v>
      </c>
    </row>
    <row r="276">
      <c r="A276" s="30" t="str">
        <f>IFERROR(__xludf.DUMMYFUNCTION("""COMPUTED_VALUE"""),"RSC000023")</f>
        <v>RSC000023</v>
      </c>
      <c r="B276" s="30" t="str">
        <f>IFERROR(__xludf.DUMMYFUNCTION("""COMPUTED_VALUE"""),"n0maa")</f>
        <v>n0maa</v>
      </c>
      <c r="C276" s="30" t="str">
        <f>IFERROR(__xludf.DUMMYFUNCTION("""COMPUTED_VALUE"""),"Veteran")</f>
        <v>Veteran</v>
      </c>
      <c r="D276" s="30" t="str">
        <f>IFERROR(__xludf.DUMMYFUNCTION("""COMPUTED_VALUE"""),"Water")</f>
        <v>Water</v>
      </c>
      <c r="E276" s="30" t="str">
        <f>IFERROR(__xludf.DUMMYFUNCTION("""COMPUTED_VALUE"""),"The Elements")</f>
        <v>The Elements</v>
      </c>
      <c r="F276" s="30" t="str">
        <f>IFERROR(__xludf.DUMMYFUNCTION("""COMPUTED_VALUE"""),"Solar")</f>
        <v>Solar</v>
      </c>
      <c r="G276" s="92">
        <f>IFERROR(__xludf.DUMMYFUNCTION("""COMPUTED_VALUE"""),40.501985441536505)</f>
        <v>40.50198544</v>
      </c>
    </row>
    <row r="277">
      <c r="A277" s="30" t="str">
        <f>IFERROR(__xludf.DUMMYFUNCTION("""COMPUTED_VALUE"""),"RSC004332")</f>
        <v>RSC004332</v>
      </c>
      <c r="B277" s="30" t="str">
        <f>IFERROR(__xludf.DUMMYFUNCTION("""COMPUTED_VALUE"""),"FriendBrady")</f>
        <v>FriendBrady</v>
      </c>
      <c r="C277" s="30" t="str">
        <f>IFERROR(__xludf.DUMMYFUNCTION("""COMPUTED_VALUE"""),"Veteran")</f>
        <v>Veteran</v>
      </c>
      <c r="D277" s="30" t="str">
        <f>IFERROR(__xludf.DUMMYFUNCTION("""COMPUTED_VALUE"""),"Makos")</f>
        <v>Makos</v>
      </c>
      <c r="E277" s="30" t="str">
        <f>IFERROR(__xludf.DUMMYFUNCTION("""COMPUTED_VALUE"""),"Shark Attack")</f>
        <v>Shark Attack</v>
      </c>
      <c r="F277" s="30" t="str">
        <f>IFERROR(__xludf.DUMMYFUNCTION("""COMPUTED_VALUE"""),"Solar")</f>
        <v>Solar</v>
      </c>
      <c r="G277" s="92">
        <f>IFERROR(__xludf.DUMMYFUNCTION("""COMPUTED_VALUE"""),16.788314279644844)</f>
        <v>16.78831428</v>
      </c>
    </row>
    <row r="278">
      <c r="A278" s="30" t="str">
        <f>IFERROR(__xludf.DUMMYFUNCTION("""COMPUTED_VALUE"""),"RSC006978")</f>
        <v>RSC006978</v>
      </c>
      <c r="B278" s="30" t="str">
        <f>IFERROR(__xludf.DUMMYFUNCTION("""COMPUTED_VALUE"""),"Tuhlur.")</f>
        <v>Tuhlur.</v>
      </c>
      <c r="C278" s="30" t="str">
        <f>IFERROR(__xludf.DUMMYFUNCTION("""COMPUTED_VALUE"""),"Veteran")</f>
        <v>Veteran</v>
      </c>
      <c r="D278" s="30" t="str">
        <f>IFERROR(__xludf.DUMMYFUNCTION("""COMPUTED_VALUE"""),"Dog Fighters")</f>
        <v>Dog Fighters</v>
      </c>
      <c r="E278" s="30" t="str">
        <f>IFERROR(__xludf.DUMMYFUNCTION("""COMPUTED_VALUE"""),"Remove Before Flight")</f>
        <v>Remove Before Flight</v>
      </c>
      <c r="F278" s="30" t="str">
        <f>IFERROR(__xludf.DUMMYFUNCTION("""COMPUTED_VALUE"""),"Lunar")</f>
        <v>Lunar</v>
      </c>
      <c r="G278" s="92">
        <f>IFERROR(__xludf.DUMMYFUNCTION("""COMPUTED_VALUE"""),76.21962161930644)</f>
        <v>76.21962162</v>
      </c>
    </row>
    <row r="279">
      <c r="A279" s="30" t="str">
        <f>IFERROR(__xludf.DUMMYFUNCTION("""COMPUTED_VALUE"""),"RSC008028")</f>
        <v>RSC008028</v>
      </c>
      <c r="B279" s="30" t="str">
        <f>IFERROR(__xludf.DUMMYFUNCTION("""COMPUTED_VALUE"""),"krozex.")</f>
        <v>krozex.</v>
      </c>
      <c r="C279" s="30" t="str">
        <f>IFERROR(__xludf.DUMMYFUNCTION("""COMPUTED_VALUE"""),"Veteran")</f>
        <v>Veteran</v>
      </c>
      <c r="D279" s="30" t="str">
        <f>IFERROR(__xludf.DUMMYFUNCTION("""COMPUTED_VALUE"""),"Gouda Gangsters")</f>
        <v>Gouda Gangsters</v>
      </c>
      <c r="E279" s="30" t="str">
        <f>IFERROR(__xludf.DUMMYFUNCTION("""COMPUTED_VALUE"""),"Cheese Guild")</f>
        <v>Cheese Guild</v>
      </c>
      <c r="F279" s="30" t="str">
        <f>IFERROR(__xludf.DUMMYFUNCTION("""COMPUTED_VALUE"""),"Lunar")</f>
        <v>Lunar</v>
      </c>
      <c r="G279" s="92">
        <f>IFERROR(__xludf.DUMMYFUNCTION("""COMPUTED_VALUE"""),18.353155097720286)</f>
        <v>18.3531551</v>
      </c>
    </row>
    <row r="280">
      <c r="A280" s="30" t="str">
        <f>IFERROR(__xludf.DUMMYFUNCTION("""COMPUTED_VALUE"""),"RSC006869")</f>
        <v>RSC006869</v>
      </c>
      <c r="B280" s="30" t="str">
        <f>IFERROR(__xludf.DUMMYFUNCTION("""COMPUTED_VALUE"""),"Flurry ^-^")</f>
        <v>Flurry ^-^</v>
      </c>
      <c r="C280" s="30" t="str">
        <f>IFERROR(__xludf.DUMMYFUNCTION("""COMPUTED_VALUE"""),"Veteran")</f>
        <v>Veteran</v>
      </c>
      <c r="D280" s="30" t="str">
        <f>IFERROR(__xludf.DUMMYFUNCTION("""COMPUTED_VALUE"""),"Dump Trucks")</f>
        <v>Dump Trucks</v>
      </c>
      <c r="E280" s="30" t="str">
        <f>IFERROR(__xludf.DUMMYFUNCTION("""COMPUTED_VALUE"""),"Road Work Ahead")</f>
        <v>Road Work Ahead</v>
      </c>
      <c r="F280" s="30" t="str">
        <f>IFERROR(__xludf.DUMMYFUNCTION("""COMPUTED_VALUE"""),"Lunar")</f>
        <v>Lunar</v>
      </c>
      <c r="G280" s="92">
        <f>IFERROR(__xludf.DUMMYFUNCTION("""COMPUTED_VALUE"""),62.4634569224323)</f>
        <v>62.46345692</v>
      </c>
    </row>
    <row r="281">
      <c r="A281" s="30" t="str">
        <f>IFERROR(__xludf.DUMMYFUNCTION("""COMPUTED_VALUE"""),"RSC006992")</f>
        <v>RSC006992</v>
      </c>
      <c r="B281" s="30" t="str">
        <f>IFERROR(__xludf.DUMMYFUNCTION("""COMPUTED_VALUE"""),"Dxso.")</f>
        <v>Dxso.</v>
      </c>
      <c r="C281" s="30" t="str">
        <f>IFERROR(__xludf.DUMMYFUNCTION("""COMPUTED_VALUE"""),"Veteran")</f>
        <v>Veteran</v>
      </c>
      <c r="D281" s="30" t="str">
        <f>IFERROR(__xludf.DUMMYFUNCTION("""COMPUTED_VALUE"""),"Kirin
Possessed")</f>
        <v>Kirin
Possessed</v>
      </c>
      <c r="E281" s="30" t="str">
        <f>IFERROR(__xludf.DUMMYFUNCTION("""COMPUTED_VALUE"""),"The Shrine
Destined")</f>
        <v>The Shrine
Destined</v>
      </c>
      <c r="F281" s="30" t="str">
        <f>IFERROR(__xludf.DUMMYFUNCTION("""COMPUTED_VALUE"""),"Solar")</f>
        <v>Solar</v>
      </c>
      <c r="G281" s="92">
        <f>IFERROR(__xludf.DUMMYFUNCTION("""COMPUTED_VALUE"""),61.34395220403276)</f>
        <v>61.3439522</v>
      </c>
    </row>
    <row r="282">
      <c r="A282" s="30" t="str">
        <f>IFERROR(__xludf.DUMMYFUNCTION("""COMPUTED_VALUE"""),"RSC000290")</f>
        <v>RSC000290</v>
      </c>
      <c r="B282" s="30" t="str">
        <f>IFERROR(__xludf.DUMMYFUNCTION("""COMPUTED_VALUE"""),"JimJam")</f>
        <v>JimJam</v>
      </c>
      <c r="C282" s="30" t="str">
        <f>IFERROR(__xludf.DUMMYFUNCTION("""COMPUTED_VALUE"""),"Veteran")</f>
        <v>Veteran</v>
      </c>
      <c r="D282" s="30" t="str">
        <f>IFERROR(__xludf.DUMMYFUNCTION("""COMPUTED_VALUE"""),"Cannoli")</f>
        <v>Cannoli</v>
      </c>
      <c r="E282" s="30" t="str">
        <f>IFERROR(__xludf.DUMMYFUNCTION("""COMPUTED_VALUE"""),"Fifty-Fifty Pizzeria")</f>
        <v>Fifty-Fifty Pizzeria</v>
      </c>
      <c r="F282" s="30" t="str">
        <f>IFERROR(__xludf.DUMMYFUNCTION("""COMPUTED_VALUE"""),"Lunar")</f>
        <v>Lunar</v>
      </c>
      <c r="G282" s="92">
        <f>IFERROR(__xludf.DUMMYFUNCTION("""COMPUTED_VALUE"""),12.967463607917566)</f>
        <v>12.96746361</v>
      </c>
    </row>
    <row r="283">
      <c r="A283" s="30" t="str">
        <f>IFERROR(__xludf.DUMMYFUNCTION("""COMPUTED_VALUE"""),"RSC000796")</f>
        <v>RSC000796</v>
      </c>
      <c r="B283" s="30" t="str">
        <f>IFERROR(__xludf.DUMMYFUNCTION("""COMPUTED_VALUE"""),"hoyci")</f>
        <v>hoyci</v>
      </c>
      <c r="C283" s="30" t="str">
        <f>IFERROR(__xludf.DUMMYFUNCTION("""COMPUTED_VALUE"""),"Veteran")</f>
        <v>Veteran</v>
      </c>
      <c r="D283" s="30" t="str">
        <f>IFERROR(__xludf.DUMMYFUNCTION("""COMPUTED_VALUE"""),"Dread")</f>
        <v>Dread</v>
      </c>
      <c r="E283" s="30" t="str">
        <f>IFERROR(__xludf.DUMMYFUNCTION("""COMPUTED_VALUE"""),"The Shadows")</f>
        <v>The Shadows</v>
      </c>
      <c r="F283" s="30" t="str">
        <f>IFERROR(__xludf.DUMMYFUNCTION("""COMPUTED_VALUE"""),"Lunar")</f>
        <v>Lunar</v>
      </c>
      <c r="G283" s="92">
        <f>IFERROR(__xludf.DUMMYFUNCTION("""COMPUTED_VALUE"""),28.399443070417714)</f>
        <v>28.39944307</v>
      </c>
    </row>
    <row r="284">
      <c r="A284" s="30" t="str">
        <f>IFERROR(__xludf.DUMMYFUNCTION("""COMPUTED_VALUE"""),"RSC005088")</f>
        <v>RSC005088</v>
      </c>
      <c r="B284" s="30" t="str">
        <f>IFERROR(__xludf.DUMMYFUNCTION("""COMPUTED_VALUE"""),"Thirteen")</f>
        <v>Thirteen</v>
      </c>
      <c r="C284" s="30" t="str">
        <f>IFERROR(__xludf.DUMMYFUNCTION("""COMPUTED_VALUE"""),"Veteran")</f>
        <v>Veteran</v>
      </c>
      <c r="D284" s="30" t="str">
        <f>IFERROR(__xludf.DUMMYFUNCTION("""COMPUTED_VALUE"""),"Repossessed")</f>
        <v>Repossessed</v>
      </c>
      <c r="E284" s="30" t="str">
        <f>IFERROR(__xludf.DUMMYFUNCTION("""COMPUTED_VALUE"""),"The Hood")</f>
        <v>The Hood</v>
      </c>
      <c r="F284" s="30" t="str">
        <f>IFERROR(__xludf.DUMMYFUNCTION("""COMPUTED_VALUE"""),"Lunar")</f>
        <v>Lunar</v>
      </c>
      <c r="G284" s="92">
        <f>IFERROR(__xludf.DUMMYFUNCTION("""COMPUTED_VALUE"""),44.82089119438677)</f>
        <v>44.82089119</v>
      </c>
    </row>
    <row r="285">
      <c r="A285" s="30" t="str">
        <f>IFERROR(__xludf.DUMMYFUNCTION("""COMPUTED_VALUE"""),"RSC007505")</f>
        <v>RSC007505</v>
      </c>
      <c r="B285" s="30" t="str">
        <f>IFERROR(__xludf.DUMMYFUNCTION("""COMPUTED_VALUE"""),"Detroeux_RL")</f>
        <v>Detroeux_RL</v>
      </c>
      <c r="C285" s="30" t="str">
        <f>IFERROR(__xludf.DUMMYFUNCTION("""COMPUTED_VALUE"""),"Veteran")</f>
        <v>Veteran</v>
      </c>
      <c r="D285" s="30" t="str">
        <f>IFERROR(__xludf.DUMMYFUNCTION("""COMPUTED_VALUE"""),"Slots")</f>
        <v>Slots</v>
      </c>
      <c r="E285" s="30" t="str">
        <f>IFERROR(__xludf.DUMMYFUNCTION("""COMPUTED_VALUE"""),"Never Lucky")</f>
        <v>Never Lucky</v>
      </c>
      <c r="F285" s="30" t="str">
        <f>IFERROR(__xludf.DUMMYFUNCTION("""COMPUTED_VALUE"""),"Lunar")</f>
        <v>Lunar</v>
      </c>
      <c r="G285" s="92">
        <f>IFERROR(__xludf.DUMMYFUNCTION("""COMPUTED_VALUE"""),-38.85610369911531)</f>
        <v>-38.8561037</v>
      </c>
    </row>
    <row r="286">
      <c r="A286" s="30" t="str">
        <f>IFERROR(__xludf.DUMMYFUNCTION("""COMPUTED_VALUE"""),"RSC004188")</f>
        <v>RSC004188</v>
      </c>
      <c r="B286" s="30" t="str">
        <f>IFERROR(__xludf.DUMMYFUNCTION("""COMPUTED_VALUE"""),"wntr")</f>
        <v>wntr</v>
      </c>
      <c r="C286" s="30" t="str">
        <f>IFERROR(__xludf.DUMMYFUNCTION("""COMPUTED_VALUE"""),"Veteran")</f>
        <v>Veteran</v>
      </c>
      <c r="D286" s="30" t="str">
        <f>IFERROR(__xludf.DUMMYFUNCTION("""COMPUTED_VALUE"""),"Azalea")</f>
        <v>Azalea</v>
      </c>
      <c r="E286" s="30" t="str">
        <f>IFERROR(__xludf.DUMMYFUNCTION("""COMPUTED_VALUE"""),"Flower Road")</f>
        <v>Flower Road</v>
      </c>
      <c r="F286" s="30" t="str">
        <f>IFERROR(__xludf.DUMMYFUNCTION("""COMPUTED_VALUE"""),"Lunar")</f>
        <v>Lunar</v>
      </c>
      <c r="G286" s="92">
        <f>IFERROR(__xludf.DUMMYFUNCTION("""COMPUTED_VALUE"""),6.362832855768467)</f>
        <v>6.362832856</v>
      </c>
    </row>
    <row r="287">
      <c r="A287" s="30" t="str">
        <f>IFERROR(__xludf.DUMMYFUNCTION("""COMPUTED_VALUE"""),"RSC004198")</f>
        <v>RSC004198</v>
      </c>
      <c r="B287" s="30" t="str">
        <f>IFERROR(__xludf.DUMMYFUNCTION("""COMPUTED_VALUE"""),"Dr. Cereal")</f>
        <v>Dr. Cereal</v>
      </c>
      <c r="C287" s="30" t="str">
        <f>IFERROR(__xludf.DUMMYFUNCTION("""COMPUTED_VALUE"""),"Veteran")</f>
        <v>Veteran</v>
      </c>
      <c r="D287" s="30" t="str">
        <f>IFERROR(__xludf.DUMMYFUNCTION("""COMPUTED_VALUE"""),"Giraffes")</f>
        <v>Giraffes</v>
      </c>
      <c r="E287" s="30" t="str">
        <f>IFERROR(__xludf.DUMMYFUNCTION("""COMPUTED_VALUE"""),"Safari")</f>
        <v>Safari</v>
      </c>
      <c r="F287" s="30" t="str">
        <f>IFERROR(__xludf.DUMMYFUNCTION("""COMPUTED_VALUE"""),"Lunar")</f>
        <v>Lunar</v>
      </c>
      <c r="G287" s="92">
        <f>IFERROR(__xludf.DUMMYFUNCTION("""COMPUTED_VALUE"""),-0.02553420055934197)</f>
        <v>-0.02553420056</v>
      </c>
    </row>
    <row r="288">
      <c r="A288" s="30" t="str">
        <f>IFERROR(__xludf.DUMMYFUNCTION("""COMPUTED_VALUE"""),"RSC000601")</f>
        <v>RSC000601</v>
      </c>
      <c r="B288" s="30" t="str">
        <f>IFERROR(__xludf.DUMMYFUNCTION("""COMPUTED_VALUE"""),"Bxffledd")</f>
        <v>Bxffledd</v>
      </c>
      <c r="C288" s="30" t="str">
        <f>IFERROR(__xludf.DUMMYFUNCTION("""COMPUTED_VALUE"""),"Veteran")</f>
        <v>Veteran</v>
      </c>
      <c r="D288" s="30" t="str">
        <f>IFERROR(__xludf.DUMMYFUNCTION("""COMPUTED_VALUE"""),"Folks
Supernova")</f>
        <v>Folks
Supernova</v>
      </c>
      <c r="E288" s="30" t="str">
        <f>IFERROR(__xludf.DUMMYFUNCTION("""COMPUTED_VALUE"""),"The Pit
The Cosmos")</f>
        <v>The Pit
The Cosmos</v>
      </c>
      <c r="F288" s="30" t="str">
        <f>IFERROR(__xludf.DUMMYFUNCTION("""COMPUTED_VALUE"""),"Solar")</f>
        <v>Solar</v>
      </c>
      <c r="G288" s="92">
        <f>IFERROR(__xludf.DUMMYFUNCTION("""COMPUTED_VALUE"""),41.61323684030001)</f>
        <v>41.61323684</v>
      </c>
    </row>
    <row r="289">
      <c r="A289" s="30" t="str">
        <f>IFERROR(__xludf.DUMMYFUNCTION("""COMPUTED_VALUE"""),"RSC007143")</f>
        <v>RSC007143</v>
      </c>
      <c r="B289" s="30" t="str">
        <f>IFERROR(__xludf.DUMMYFUNCTION("""COMPUTED_VALUE"""),"OmniMurders")</f>
        <v>OmniMurders</v>
      </c>
      <c r="C289" s="30" t="str">
        <f>IFERROR(__xludf.DUMMYFUNCTION("""COMPUTED_VALUE"""),"Veteran")</f>
        <v>Veteran</v>
      </c>
      <c r="D289" s="30" t="str">
        <f>IFERROR(__xludf.DUMMYFUNCTION("""COMPUTED_VALUE"""),"Peppermint")</f>
        <v>Peppermint</v>
      </c>
      <c r="E289" s="30" t="str">
        <f>IFERROR(__xludf.DUMMYFUNCTION("""COMPUTED_VALUE"""),"Minty Fresh")</f>
        <v>Minty Fresh</v>
      </c>
      <c r="F289" s="30" t="str">
        <f>IFERROR(__xludf.DUMMYFUNCTION("""COMPUTED_VALUE"""),"Solar")</f>
        <v>Solar</v>
      </c>
      <c r="G289" s="92">
        <f>IFERROR(__xludf.DUMMYFUNCTION("""COMPUTED_VALUE"""),58.78581874229281)</f>
        <v>58.78581874</v>
      </c>
    </row>
    <row r="290">
      <c r="A290" s="30" t="str">
        <f>IFERROR(__xludf.DUMMYFUNCTION("""COMPUTED_VALUE"""),"RSC005655")</f>
        <v>RSC005655</v>
      </c>
      <c r="B290" s="30" t="str">
        <f>IFERROR(__xludf.DUMMYFUNCTION("""COMPUTED_VALUE"""),"oneplayamaker")</f>
        <v>oneplayamaker</v>
      </c>
      <c r="C290" s="30" t="str">
        <f>IFERROR(__xludf.DUMMYFUNCTION("""COMPUTED_VALUE"""),"Veteran")</f>
        <v>Veteran</v>
      </c>
      <c r="D290" s="30" t="str">
        <f>IFERROR(__xludf.DUMMYFUNCTION("""COMPUTED_VALUE"""),"Paradox Paloma")</f>
        <v>Paradox Paloma</v>
      </c>
      <c r="E290" s="30" t="str">
        <f>IFERROR(__xludf.DUMMYFUNCTION("""COMPUTED_VALUE"""),"5 O'clock Nowhere")</f>
        <v>5 O'clock Nowhere</v>
      </c>
      <c r="F290" s="30" t="str">
        <f>IFERROR(__xludf.DUMMYFUNCTION("""COMPUTED_VALUE"""),"Solar")</f>
        <v>Solar</v>
      </c>
      <c r="G290" s="92">
        <f>IFERROR(__xludf.DUMMYFUNCTION("""COMPUTED_VALUE"""),48.923508412436206)</f>
        <v>48.92350841</v>
      </c>
    </row>
    <row r="291">
      <c r="A291" s="30" t="str">
        <f>IFERROR(__xludf.DUMMYFUNCTION("""COMPUTED_VALUE"""),"RSC006531")</f>
        <v>RSC006531</v>
      </c>
      <c r="B291" s="30" t="str">
        <f>IFERROR(__xludf.DUMMYFUNCTION("""COMPUTED_VALUE"""),"Corners-")</f>
        <v>Corners-</v>
      </c>
      <c r="C291" s="30" t="str">
        <f>IFERROR(__xludf.DUMMYFUNCTION("""COMPUTED_VALUE"""),"Veteran")</f>
        <v>Veteran</v>
      </c>
      <c r="D291" s="30" t="str">
        <f>IFERROR(__xludf.DUMMYFUNCTION("""COMPUTED_VALUE"""),"Dog Fighters")</f>
        <v>Dog Fighters</v>
      </c>
      <c r="E291" s="30" t="str">
        <f>IFERROR(__xludf.DUMMYFUNCTION("""COMPUTED_VALUE"""),"Remove Before Flight")</f>
        <v>Remove Before Flight</v>
      </c>
      <c r="F291" s="30" t="str">
        <f>IFERROR(__xludf.DUMMYFUNCTION("""COMPUTED_VALUE"""),"Lunar")</f>
        <v>Lunar</v>
      </c>
      <c r="G291" s="92">
        <f>IFERROR(__xludf.DUMMYFUNCTION("""COMPUTED_VALUE"""),32.76152082660842)</f>
        <v>32.76152083</v>
      </c>
    </row>
    <row r="292">
      <c r="A292" s="30" t="str">
        <f>IFERROR(__xludf.DUMMYFUNCTION("""COMPUTED_VALUE"""),"RSC007327")</f>
        <v>RSC007327</v>
      </c>
      <c r="B292" s="30" t="str">
        <f>IFERROR(__xludf.DUMMYFUNCTION("""COMPUTED_VALUE"""),"JustAChillGuyONG")</f>
        <v>JustAChillGuyONG</v>
      </c>
      <c r="C292" s="30" t="str">
        <f>IFERROR(__xludf.DUMMYFUNCTION("""COMPUTED_VALUE"""),"Veteran")</f>
        <v>Veteran</v>
      </c>
      <c r="D292" s="30" t="str">
        <f>IFERROR(__xludf.DUMMYFUNCTION("""COMPUTED_VALUE"""),"Slots")</f>
        <v>Slots</v>
      </c>
      <c r="E292" s="30" t="str">
        <f>IFERROR(__xludf.DUMMYFUNCTION("""COMPUTED_VALUE"""),"Never Lucky")</f>
        <v>Never Lucky</v>
      </c>
      <c r="F292" s="30" t="str">
        <f>IFERROR(__xludf.DUMMYFUNCTION("""COMPUTED_VALUE"""),"Lunar")</f>
        <v>Lunar</v>
      </c>
      <c r="G292" s="92">
        <f>IFERROR(__xludf.DUMMYFUNCTION("""COMPUTED_VALUE"""),23.381462447750188)</f>
        <v>23.38146245</v>
      </c>
    </row>
    <row r="293">
      <c r="A293" s="30" t="str">
        <f>IFERROR(__xludf.DUMMYFUNCTION("""COMPUTED_VALUE"""),"RSC006424")</f>
        <v>RSC006424</v>
      </c>
      <c r="B293" s="30" t="str">
        <f>IFERROR(__xludf.DUMMYFUNCTION("""COMPUTED_VALUE"""),"TTV Ravenshunter")</f>
        <v>TTV Ravenshunter</v>
      </c>
      <c r="C293" s="30" t="str">
        <f>IFERROR(__xludf.DUMMYFUNCTION("""COMPUTED_VALUE"""),"Veteran")</f>
        <v>Veteran</v>
      </c>
      <c r="D293" s="30" t="str">
        <f>IFERROR(__xludf.DUMMYFUNCTION("""COMPUTED_VALUE"""),"Azalea
Slots")</f>
        <v>Azalea
Slots</v>
      </c>
      <c r="E293" s="30" t="str">
        <f>IFERROR(__xludf.DUMMYFUNCTION("""COMPUTED_VALUE"""),"Flower Road
Never Lucky")</f>
        <v>Flower Road
Never Lucky</v>
      </c>
      <c r="F293" s="30" t="str">
        <f>IFERROR(__xludf.DUMMYFUNCTION("""COMPUTED_VALUE"""),"Lunar")</f>
        <v>Lunar</v>
      </c>
      <c r="G293" s="92">
        <f>IFERROR(__xludf.DUMMYFUNCTION("""COMPUTED_VALUE"""),55.179785363432565)</f>
        <v>55.17978536</v>
      </c>
    </row>
    <row r="294">
      <c r="A294" s="30" t="str">
        <f>IFERROR(__xludf.DUMMYFUNCTION("""COMPUTED_VALUE"""),"RSC007825")</f>
        <v>RSC007825</v>
      </c>
      <c r="B294" s="30" t="str">
        <f>IFERROR(__xludf.DUMMYFUNCTION("""COMPUTED_VALUE"""),"Acryonix")</f>
        <v>Acryonix</v>
      </c>
      <c r="C294" s="30" t="str">
        <f>IFERROR(__xludf.DUMMYFUNCTION("""COMPUTED_VALUE"""),"Veteran")</f>
        <v>Veteran</v>
      </c>
      <c r="D294" s="30" t="str">
        <f>IFERROR(__xludf.DUMMYFUNCTION("""COMPUTED_VALUE"""),"Slots")</f>
        <v>Slots</v>
      </c>
      <c r="E294" s="30" t="str">
        <f>IFERROR(__xludf.DUMMYFUNCTION("""COMPUTED_VALUE"""),"Never Lucky")</f>
        <v>Never Lucky</v>
      </c>
      <c r="F294" s="30" t="str">
        <f>IFERROR(__xludf.DUMMYFUNCTION("""COMPUTED_VALUE"""),"Lunar")</f>
        <v>Lunar</v>
      </c>
      <c r="G294" s="92">
        <f>IFERROR(__xludf.DUMMYFUNCTION("""COMPUTED_VALUE"""),12.924345632644638)</f>
        <v>12.92434563</v>
      </c>
    </row>
    <row r="295">
      <c r="A295" s="30" t="str">
        <f>IFERROR(__xludf.DUMMYFUNCTION("""COMPUTED_VALUE"""),"RSC006860")</f>
        <v>RSC006860</v>
      </c>
      <c r="B295" s="30" t="str">
        <f>IFERROR(__xludf.DUMMYFUNCTION("""COMPUTED_VALUE"""),"RyAndGav")</f>
        <v>RyAndGav</v>
      </c>
      <c r="C295" s="30" t="str">
        <f>IFERROR(__xludf.DUMMYFUNCTION("""COMPUTED_VALUE"""),"Veteran")</f>
        <v>Veteran</v>
      </c>
      <c r="D295" s="30" t="str">
        <f>IFERROR(__xludf.DUMMYFUNCTION("""COMPUTED_VALUE"""),"Water")</f>
        <v>Water</v>
      </c>
      <c r="E295" s="30" t="str">
        <f>IFERROR(__xludf.DUMMYFUNCTION("""COMPUTED_VALUE"""),"The Elements")</f>
        <v>The Elements</v>
      </c>
      <c r="F295" s="30" t="str">
        <f>IFERROR(__xludf.DUMMYFUNCTION("""COMPUTED_VALUE"""),"Solar")</f>
        <v>Solar</v>
      </c>
      <c r="G295" s="92">
        <f>IFERROR(__xludf.DUMMYFUNCTION("""COMPUTED_VALUE"""),86.98651889757949)</f>
        <v>86.9865189</v>
      </c>
    </row>
    <row r="296">
      <c r="A296" s="30" t="str">
        <f>IFERROR(__xludf.DUMMYFUNCTION("""COMPUTED_VALUE"""),"RSC003746")</f>
        <v>RSC003746</v>
      </c>
      <c r="B296" s="30" t="str">
        <f>IFERROR(__xludf.DUMMYFUNCTION("""COMPUTED_VALUE"""),"archhie.")</f>
        <v>archhie.</v>
      </c>
      <c r="C296" s="30" t="str">
        <f>IFERROR(__xludf.DUMMYFUNCTION("""COMPUTED_VALUE"""),"Veteran")</f>
        <v>Veteran</v>
      </c>
      <c r="D296" s="30" t="str">
        <f>IFERROR(__xludf.DUMMYFUNCTION("""COMPUTED_VALUE"""),"Giraffes")</f>
        <v>Giraffes</v>
      </c>
      <c r="E296" s="30" t="str">
        <f>IFERROR(__xludf.DUMMYFUNCTION("""COMPUTED_VALUE"""),"Safari")</f>
        <v>Safari</v>
      </c>
      <c r="F296" s="30" t="str">
        <f>IFERROR(__xludf.DUMMYFUNCTION("""COMPUTED_VALUE"""),"Lunar")</f>
        <v>Lunar</v>
      </c>
      <c r="G296" s="92">
        <f>IFERROR(__xludf.DUMMYFUNCTION("""COMPUTED_VALUE"""),48.52990750631687)</f>
        <v>48.52990751</v>
      </c>
    </row>
    <row r="297">
      <c r="A297" s="30" t="str">
        <f>IFERROR(__xludf.DUMMYFUNCTION("""COMPUTED_VALUE"""),"RSC007720")</f>
        <v>RSC007720</v>
      </c>
      <c r="B297" s="30" t="str">
        <f>IFERROR(__xludf.DUMMYFUNCTION("""COMPUTED_VALUE"""),"trock")</f>
        <v>trock</v>
      </c>
      <c r="C297" s="30" t="str">
        <f>IFERROR(__xludf.DUMMYFUNCTION("""COMPUTED_VALUE"""),"Veteran")</f>
        <v>Veteran</v>
      </c>
      <c r="D297" s="30" t="str">
        <f>IFERROR(__xludf.DUMMYFUNCTION("""COMPUTED_VALUE"""),"Dread")</f>
        <v>Dread</v>
      </c>
      <c r="E297" s="30" t="str">
        <f>IFERROR(__xludf.DUMMYFUNCTION("""COMPUTED_VALUE"""),"The Shadows")</f>
        <v>The Shadows</v>
      </c>
      <c r="F297" s="30" t="str">
        <f>IFERROR(__xludf.DUMMYFUNCTION("""COMPUTED_VALUE"""),"Lunar")</f>
        <v>Lunar</v>
      </c>
      <c r="G297" s="92">
        <f>IFERROR(__xludf.DUMMYFUNCTION("""COMPUTED_VALUE"""),15.661950088523213)</f>
        <v>15.66195009</v>
      </c>
    </row>
    <row r="298">
      <c r="A298" s="30" t="str">
        <f>IFERROR(__xludf.DUMMYFUNCTION("""COMPUTED_VALUE"""),"RSC006319")</f>
        <v>RSC006319</v>
      </c>
      <c r="B298" s="30" t="str">
        <f>IFERROR(__xludf.DUMMYFUNCTION("""COMPUTED_VALUE"""),"red crayon chewer 14")</f>
        <v>red crayon chewer 14</v>
      </c>
      <c r="C298" s="30" t="str">
        <f>IFERROR(__xludf.DUMMYFUNCTION("""COMPUTED_VALUE"""),"Veteran")</f>
        <v>Veteran</v>
      </c>
      <c r="D298" s="30" t="str">
        <f>IFERROR(__xludf.DUMMYFUNCTION("""COMPUTED_VALUE"""),"Mosaic Maestros")</f>
        <v>Mosaic Maestros</v>
      </c>
      <c r="E298" s="30" t="str">
        <f>IFERROR(__xludf.DUMMYFUNCTION("""COMPUTED_VALUE"""),"Art Club")</f>
        <v>Art Club</v>
      </c>
      <c r="F298" s="30" t="str">
        <f>IFERROR(__xludf.DUMMYFUNCTION("""COMPUTED_VALUE"""),"Solar")</f>
        <v>Solar</v>
      </c>
      <c r="G298" s="92">
        <f>IFERROR(__xludf.DUMMYFUNCTION("""COMPUTED_VALUE"""),2.10237066864039)</f>
        <v>2.102370669</v>
      </c>
    </row>
    <row r="299">
      <c r="A299" s="30" t="str">
        <f>IFERROR(__xludf.DUMMYFUNCTION("""COMPUTED_VALUE"""),"RSC007036")</f>
        <v>RSC007036</v>
      </c>
      <c r="B299" s="30" t="str">
        <f>IFERROR(__xludf.DUMMYFUNCTION("""COMPUTED_VALUE"""),"PoiisonDeath")</f>
        <v>PoiisonDeath</v>
      </c>
      <c r="C299" s="30" t="str">
        <f>IFERROR(__xludf.DUMMYFUNCTION("""COMPUTED_VALUE"""),"Veteran")</f>
        <v>Veteran</v>
      </c>
      <c r="D299" s="30" t="str">
        <f>IFERROR(__xludf.DUMMYFUNCTION("""COMPUTED_VALUE"""),"Silver Dollar
Azalea")</f>
        <v>Silver Dollar
Azalea</v>
      </c>
      <c r="E299" s="30" t="str">
        <f>IFERROR(__xludf.DUMMYFUNCTION("""COMPUTED_VALUE"""),"Money Makers
Flower Road")</f>
        <v>Money Makers
Flower Road</v>
      </c>
      <c r="F299" s="30" t="str">
        <f>IFERROR(__xludf.DUMMYFUNCTION("""COMPUTED_VALUE"""),"Lunar")</f>
        <v>Lunar</v>
      </c>
      <c r="G299" s="92">
        <f>IFERROR(__xludf.DUMMYFUNCTION("""COMPUTED_VALUE"""),12.032394514571926)</f>
        <v>12.03239451</v>
      </c>
    </row>
    <row r="300">
      <c r="A300" s="30" t="str">
        <f>IFERROR(__xludf.DUMMYFUNCTION("""COMPUTED_VALUE"""),"RSC001954")</f>
        <v>RSC001954</v>
      </c>
      <c r="B300" s="30" t="str">
        <f>IFERROR(__xludf.DUMMYFUNCTION("""COMPUTED_VALUE"""),"Kiwi")</f>
        <v>Kiwi</v>
      </c>
      <c r="C300" s="30" t="str">
        <f>IFERROR(__xludf.DUMMYFUNCTION("""COMPUTED_VALUE"""),"Veteran")</f>
        <v>Veteran</v>
      </c>
      <c r="D300" s="30" t="str">
        <f>IFERROR(__xludf.DUMMYFUNCTION("""COMPUTED_VALUE"""),"Supernova
Dump Trucks")</f>
        <v>Supernova
Dump Trucks</v>
      </c>
      <c r="E300" s="30" t="str">
        <f>IFERROR(__xludf.DUMMYFUNCTION("""COMPUTED_VALUE"""),"The Cosmos
Road Work Ahead")</f>
        <v>The Cosmos
Road Work Ahead</v>
      </c>
      <c r="F300" s="30" t="str">
        <f>IFERROR(__xludf.DUMMYFUNCTION("""COMPUTED_VALUE"""),"Solar")</f>
        <v>Solar</v>
      </c>
      <c r="G300" s="92">
        <f>IFERROR(__xludf.DUMMYFUNCTION("""COMPUTED_VALUE"""),52.44426441799745)</f>
        <v>52.44426442</v>
      </c>
    </row>
    <row r="301">
      <c r="A301" s="30" t="str">
        <f>IFERROR(__xludf.DUMMYFUNCTION("""COMPUTED_VALUE"""),"RSC003358")</f>
        <v>RSC003358</v>
      </c>
      <c r="B301" s="30" t="str">
        <f>IFERROR(__xludf.DUMMYFUNCTION("""COMPUTED_VALUE"""),"galacticcccc")</f>
        <v>galacticcccc</v>
      </c>
      <c r="C301" s="30" t="str">
        <f>IFERROR(__xludf.DUMMYFUNCTION("""COMPUTED_VALUE"""),"Veteran")</f>
        <v>Veteran</v>
      </c>
      <c r="D301" s="30" t="str">
        <f>IFERROR(__xludf.DUMMYFUNCTION("""COMPUTED_VALUE"""),"Rockin Revenants")</f>
        <v>Rockin Revenants</v>
      </c>
      <c r="E301" s="30" t="str">
        <f>IFERROR(__xludf.DUMMYFUNCTION("""COMPUTED_VALUE"""),"Ghoul School")</f>
        <v>Ghoul School</v>
      </c>
      <c r="F301" s="30" t="str">
        <f>IFERROR(__xludf.DUMMYFUNCTION("""COMPUTED_VALUE"""),"Solar")</f>
        <v>Solar</v>
      </c>
      <c r="G301" s="92">
        <f>IFERROR(__xludf.DUMMYFUNCTION("""COMPUTED_VALUE"""),55.51083863860155)</f>
        <v>55.51083864</v>
      </c>
    </row>
    <row r="302">
      <c r="A302" s="30" t="str">
        <f>IFERROR(__xludf.DUMMYFUNCTION("""COMPUTED_VALUE"""),"RSC004859")</f>
        <v>RSC004859</v>
      </c>
      <c r="B302" s="30" t="str">
        <f>IFERROR(__xludf.DUMMYFUNCTION("""COMPUTED_VALUE"""),"LowFadeEnthusiast")</f>
        <v>LowFadeEnthusiast</v>
      </c>
      <c r="C302" s="30" t="str">
        <f>IFERROR(__xludf.DUMMYFUNCTION("""COMPUTED_VALUE"""),"Veteran")</f>
        <v>Veteran</v>
      </c>
      <c r="D302" s="30" t="str">
        <f>IFERROR(__xludf.DUMMYFUNCTION("""COMPUTED_VALUE"""),"Dog Fighters")</f>
        <v>Dog Fighters</v>
      </c>
      <c r="E302" s="30" t="str">
        <f>IFERROR(__xludf.DUMMYFUNCTION("""COMPUTED_VALUE"""),"Remove Before Flight")</f>
        <v>Remove Before Flight</v>
      </c>
      <c r="F302" s="30" t="str">
        <f>IFERROR(__xludf.DUMMYFUNCTION("""COMPUTED_VALUE"""),"Lunar")</f>
        <v>Lunar</v>
      </c>
      <c r="G302" s="92">
        <f>IFERROR(__xludf.DUMMYFUNCTION("""COMPUTED_VALUE"""),26.19561099691122)</f>
        <v>26.195611</v>
      </c>
    </row>
    <row r="303">
      <c r="A303" s="30" t="str">
        <f>IFERROR(__xludf.DUMMYFUNCTION("""COMPUTED_VALUE"""),"RSC003027")</f>
        <v>RSC003027</v>
      </c>
      <c r="B303" s="30" t="str">
        <f>IFERROR(__xludf.DUMMYFUNCTION("""COMPUTED_VALUE"""),"Defiance")</f>
        <v>Defiance</v>
      </c>
      <c r="C303" s="30" t="str">
        <f>IFERROR(__xludf.DUMMYFUNCTION("""COMPUTED_VALUE"""),"Veteran")</f>
        <v>Veteran</v>
      </c>
      <c r="D303" s="30" t="str">
        <f>IFERROR(__xludf.DUMMYFUNCTION("""COMPUTED_VALUE"""),"Silver Dollar")</f>
        <v>Silver Dollar</v>
      </c>
      <c r="E303" s="30" t="str">
        <f>IFERROR(__xludf.DUMMYFUNCTION("""COMPUTED_VALUE"""),"Money Makers")</f>
        <v>Money Makers</v>
      </c>
      <c r="F303" s="30" t="str">
        <f>IFERROR(__xludf.DUMMYFUNCTION("""COMPUTED_VALUE"""),"Solar")</f>
        <v>Solar</v>
      </c>
      <c r="G303" s="92">
        <f>IFERROR(__xludf.DUMMYFUNCTION("""COMPUTED_VALUE"""),6.362930687640009)</f>
        <v>6.362930688</v>
      </c>
    </row>
    <row r="304">
      <c r="A304" s="30" t="str">
        <f>IFERROR(__xludf.DUMMYFUNCTION("""COMPUTED_VALUE"""),"RSC003694")</f>
        <v>RSC003694</v>
      </c>
      <c r="B304" s="30" t="str">
        <f>IFERROR(__xludf.DUMMYFUNCTION("""COMPUTED_VALUE"""),"TheCroctopusTV")</f>
        <v>TheCroctopusTV</v>
      </c>
      <c r="C304" s="30" t="str">
        <f>IFERROR(__xludf.DUMMYFUNCTION("""COMPUTED_VALUE"""),"Veteran")</f>
        <v>Veteran</v>
      </c>
      <c r="D304" s="30" t="str">
        <f>IFERROR(__xludf.DUMMYFUNCTION("""COMPUTED_VALUE"""),"Legati")</f>
        <v>Legati</v>
      </c>
      <c r="E304" s="30" t="str">
        <f>IFERROR(__xludf.DUMMYFUNCTION("""COMPUTED_VALUE"""),"The Sovereign")</f>
        <v>The Sovereign</v>
      </c>
      <c r="F304" s="30" t="str">
        <f>IFERROR(__xludf.DUMMYFUNCTION("""COMPUTED_VALUE"""),"Lunar")</f>
        <v>Lunar</v>
      </c>
      <c r="G304" s="92">
        <f>IFERROR(__xludf.DUMMYFUNCTION("""COMPUTED_VALUE"""),-25.65005813151329)</f>
        <v>-25.65005813</v>
      </c>
    </row>
    <row r="305">
      <c r="A305" s="30" t="str">
        <f>IFERROR(__xludf.DUMMYFUNCTION("""COMPUTED_VALUE"""),"RSC001074")</f>
        <v>RSC001074</v>
      </c>
      <c r="B305" s="30" t="str">
        <f>IFERROR(__xludf.DUMMYFUNCTION("""COMPUTED_VALUE"""),"Sabre")</f>
        <v>Sabre</v>
      </c>
      <c r="C305" s="30" t="str">
        <f>IFERROR(__xludf.DUMMYFUNCTION("""COMPUTED_VALUE"""),"Veteran")</f>
        <v>Veteran</v>
      </c>
      <c r="D305" s="30" t="str">
        <f>IFERROR(__xludf.DUMMYFUNCTION("""COMPUTED_VALUE"""),"Giraffes")</f>
        <v>Giraffes</v>
      </c>
      <c r="E305" s="30" t="str">
        <f>IFERROR(__xludf.DUMMYFUNCTION("""COMPUTED_VALUE"""),"Safari")</f>
        <v>Safari</v>
      </c>
      <c r="F305" s="30" t="str">
        <f>IFERROR(__xludf.DUMMYFUNCTION("""COMPUTED_VALUE"""),"Lunar")</f>
        <v>Lunar</v>
      </c>
      <c r="G305" s="92">
        <f>IFERROR(__xludf.DUMMYFUNCTION("""COMPUTED_VALUE"""),43.05015386847421)</f>
        <v>43.05015387</v>
      </c>
    </row>
    <row r="306">
      <c r="A306" s="30" t="str">
        <f>IFERROR(__xludf.DUMMYFUNCTION("""COMPUTED_VALUE"""),"RSC006212")</f>
        <v>RSC006212</v>
      </c>
      <c r="B306" s="30" t="str">
        <f>IFERROR(__xludf.DUMMYFUNCTION("""COMPUTED_VALUE"""),"Kingtutt97")</f>
        <v>Kingtutt97</v>
      </c>
      <c r="C306" s="30" t="str">
        <f>IFERROR(__xludf.DUMMYFUNCTION("""COMPUTED_VALUE"""),"Rival")</f>
        <v>Rival</v>
      </c>
      <c r="D306" s="30" t="str">
        <f>IFERROR(__xludf.DUMMYFUNCTION("""COMPUTED_VALUE"""),"Dice")</f>
        <v>Dice</v>
      </c>
      <c r="E306" s="30" t="str">
        <f>IFERROR(__xludf.DUMMYFUNCTION("""COMPUTED_VALUE"""),"Never Lucky")</f>
        <v>Never Lucky</v>
      </c>
      <c r="F306" s="30" t="str">
        <f>IFERROR(__xludf.DUMMYFUNCTION("""COMPUTED_VALUE"""),"Lunar")</f>
        <v>Lunar</v>
      </c>
      <c r="G306" s="92">
        <f>IFERROR(__xludf.DUMMYFUNCTION("""COMPUTED_VALUE"""),25.844130249724113)</f>
        <v>25.84413025</v>
      </c>
    </row>
    <row r="307">
      <c r="A307" s="30" t="str">
        <f>IFERROR(__xludf.DUMMYFUNCTION("""COMPUTED_VALUE"""),"RSC005934")</f>
        <v>RSC005934</v>
      </c>
      <c r="B307" s="30" t="str">
        <f>IFERROR(__xludf.DUMMYFUNCTION("""COMPUTED_VALUE"""),"TheodoreThe2")</f>
        <v>TheodoreThe2</v>
      </c>
      <c r="C307" s="30" t="str">
        <f>IFERROR(__xludf.DUMMYFUNCTION("""COMPUTED_VALUE"""),"Rival")</f>
        <v>Rival</v>
      </c>
      <c r="D307" s="30" t="str">
        <f>IFERROR(__xludf.DUMMYFUNCTION("""COMPUTED_VALUE"""),"Ruthless Racket
Dice")</f>
        <v>Ruthless Racket
Dice</v>
      </c>
      <c r="E307" s="30" t="str">
        <f>IFERROR(__xludf.DUMMYFUNCTION("""COMPUTED_VALUE"""),"The Syndicate
Never Lucky")</f>
        <v>The Syndicate
Never Lucky</v>
      </c>
      <c r="F307" s="30" t="str">
        <f>IFERROR(__xludf.DUMMYFUNCTION("""COMPUTED_VALUE"""),"Lunar")</f>
        <v>Lunar</v>
      </c>
      <c r="G307" s="92">
        <f>IFERROR(__xludf.DUMMYFUNCTION("""COMPUTED_VALUE"""),40.29082389512096)</f>
        <v>40.2908239</v>
      </c>
    </row>
    <row r="308">
      <c r="A308" s="30" t="str">
        <f>IFERROR(__xludf.DUMMYFUNCTION("""COMPUTED_VALUE"""),"RSC000331")</f>
        <v>RSC000331</v>
      </c>
      <c r="B308" s="30" t="str">
        <f>IFERROR(__xludf.DUMMYFUNCTION("""COMPUTED_VALUE"""),"Turtle_Supreme")</f>
        <v>Turtle_Supreme</v>
      </c>
      <c r="C308" s="30" t="str">
        <f>IFERROR(__xludf.DUMMYFUNCTION("""COMPUTED_VALUE"""),"Rival")</f>
        <v>Rival</v>
      </c>
      <c r="D308" s="30" t="str">
        <f>IFERROR(__xludf.DUMMYFUNCTION("""COMPUTED_VALUE"""),"Dice")</f>
        <v>Dice</v>
      </c>
      <c r="E308" s="30" t="str">
        <f>IFERROR(__xludf.DUMMYFUNCTION("""COMPUTED_VALUE"""),"Never Lucky")</f>
        <v>Never Lucky</v>
      </c>
      <c r="F308" s="30" t="str">
        <f>IFERROR(__xludf.DUMMYFUNCTION("""COMPUTED_VALUE"""),"Lunar")</f>
        <v>Lunar</v>
      </c>
      <c r="G308" s="92">
        <f>IFERROR(__xludf.DUMMYFUNCTION("""COMPUTED_VALUE"""),21.172946128703746)</f>
        <v>21.17294613</v>
      </c>
    </row>
    <row r="309">
      <c r="A309" s="30" t="str">
        <f>IFERROR(__xludf.DUMMYFUNCTION("""COMPUTED_VALUE"""),"RSC005287")</f>
        <v>RSC005287</v>
      </c>
      <c r="B309" s="30" t="str">
        <f>IFERROR(__xludf.DUMMYFUNCTION("""COMPUTED_VALUE"""),"the chosen one")</f>
        <v>the chosen one</v>
      </c>
      <c r="C309" s="30" t="str">
        <f>IFERROR(__xludf.DUMMYFUNCTION("""COMPUTED_VALUE"""),"Rival")</f>
        <v>Rival</v>
      </c>
      <c r="D309" s="30" t="str">
        <f>IFERROR(__xludf.DUMMYFUNCTION("""COMPUTED_VALUE"""),"Asiago Arsonists")</f>
        <v>Asiago Arsonists</v>
      </c>
      <c r="E309" s="30" t="str">
        <f>IFERROR(__xludf.DUMMYFUNCTION("""COMPUTED_VALUE"""),"Cheese Guild")</f>
        <v>Cheese Guild</v>
      </c>
      <c r="F309" s="30" t="str">
        <f>IFERROR(__xludf.DUMMYFUNCTION("""COMPUTED_VALUE"""),"Lunar")</f>
        <v>Lunar</v>
      </c>
      <c r="G309" s="92">
        <f>IFERROR(__xludf.DUMMYFUNCTION("""COMPUTED_VALUE"""),87.141733216794)</f>
        <v>87.14173322</v>
      </c>
    </row>
    <row r="310">
      <c r="A310" s="30" t="str">
        <f>IFERROR(__xludf.DUMMYFUNCTION("""COMPUTED_VALUE"""),"RSC007129")</f>
        <v>RSC007129</v>
      </c>
      <c r="B310" s="30" t="str">
        <f>IFERROR(__xludf.DUMMYFUNCTION("""COMPUTED_VALUE"""),"EKA Luminous")</f>
        <v>EKA Luminous</v>
      </c>
      <c r="C310" s="30" t="str">
        <f>IFERROR(__xludf.DUMMYFUNCTION("""COMPUTED_VALUE"""),"Rival")</f>
        <v>Rival</v>
      </c>
      <c r="D310" s="30" t="str">
        <f>IFERROR(__xludf.DUMMYFUNCTION("""COMPUTED_VALUE"""),"Asiago Arsonists")</f>
        <v>Asiago Arsonists</v>
      </c>
      <c r="E310" s="30" t="str">
        <f>IFERROR(__xludf.DUMMYFUNCTION("""COMPUTED_VALUE"""),"Cheese Guild")</f>
        <v>Cheese Guild</v>
      </c>
      <c r="F310" s="30" t="str">
        <f>IFERROR(__xludf.DUMMYFUNCTION("""COMPUTED_VALUE"""),"Lunar")</f>
        <v>Lunar</v>
      </c>
      <c r="G310" s="92">
        <f>IFERROR(__xludf.DUMMYFUNCTION("""COMPUTED_VALUE"""),30.043586887755943)</f>
        <v>30.04358689</v>
      </c>
    </row>
    <row r="311">
      <c r="A311" s="30" t="str">
        <f>IFERROR(__xludf.DUMMYFUNCTION("""COMPUTED_VALUE"""),"RSC001082")</f>
        <v>RSC001082</v>
      </c>
      <c r="B311" s="30" t="str">
        <f>IFERROR(__xludf.DUMMYFUNCTION("""COMPUTED_VALUE"""),"Tuxedo Marx")</f>
        <v>Tuxedo Marx</v>
      </c>
      <c r="C311" s="30" t="str">
        <f>IFERROR(__xludf.DUMMYFUNCTION("""COMPUTED_VALUE"""),"Rival")</f>
        <v>Rival</v>
      </c>
      <c r="D311" s="30" t="str">
        <f>IFERROR(__xludf.DUMMYFUNCTION("""COMPUTED_VALUE"""),"Asiago Arsonists")</f>
        <v>Asiago Arsonists</v>
      </c>
      <c r="E311" s="30" t="str">
        <f>IFERROR(__xludf.DUMMYFUNCTION("""COMPUTED_VALUE"""),"Cheese Guild")</f>
        <v>Cheese Guild</v>
      </c>
      <c r="F311" s="30" t="str">
        <f>IFERROR(__xludf.DUMMYFUNCTION("""COMPUTED_VALUE"""),"Lunar")</f>
        <v>Lunar</v>
      </c>
      <c r="G311" s="92">
        <f>IFERROR(__xludf.DUMMYFUNCTION("""COMPUTED_VALUE"""),64.38262235374914)</f>
        <v>64.38262235</v>
      </c>
    </row>
    <row r="312">
      <c r="A312" s="30" t="str">
        <f>IFERROR(__xludf.DUMMYFUNCTION("""COMPUTED_VALUE"""),"RSC001358")</f>
        <v>RSC001358</v>
      </c>
      <c r="B312" s="30" t="str">
        <f>IFERROR(__xludf.DUMMYFUNCTION("""COMPUTED_VALUE"""),"Cob")</f>
        <v>Cob</v>
      </c>
      <c r="C312" s="30" t="str">
        <f>IFERROR(__xludf.DUMMYFUNCTION("""COMPUTED_VALUE"""),"Rival")</f>
        <v>Rival</v>
      </c>
      <c r="D312" s="30" t="str">
        <f>IFERROR(__xludf.DUMMYFUNCTION("""COMPUTED_VALUE"""),"Heavy Metal")</f>
        <v>Heavy Metal</v>
      </c>
      <c r="E312" s="30" t="str">
        <f>IFERROR(__xludf.DUMMYFUNCTION("""COMPUTED_VALUE"""),"The Pit")</f>
        <v>The Pit</v>
      </c>
      <c r="F312" s="30" t="str">
        <f>IFERROR(__xludf.DUMMYFUNCTION("""COMPUTED_VALUE"""),"Lunar")</f>
        <v>Lunar</v>
      </c>
      <c r="G312" s="92">
        <f>IFERROR(__xludf.DUMMYFUNCTION("""COMPUTED_VALUE"""),56.07864569621274)</f>
        <v>56.0786457</v>
      </c>
    </row>
    <row r="313">
      <c r="A313" s="30" t="str">
        <f>IFERROR(__xludf.DUMMYFUNCTION("""COMPUTED_VALUE"""),"RSC001015")</f>
        <v>RSC001015</v>
      </c>
      <c r="B313" s="30" t="str">
        <f>IFERROR(__xludf.DUMMYFUNCTION("""COMPUTED_VALUE"""),"LatFips")</f>
        <v>LatFips</v>
      </c>
      <c r="C313" s="30" t="str">
        <f>IFERROR(__xludf.DUMMYFUNCTION("""COMPUTED_VALUE"""),"Rival")</f>
        <v>Rival</v>
      </c>
      <c r="D313" s="30" t="str">
        <f>IFERROR(__xludf.DUMMYFUNCTION("""COMPUTED_VALUE"""),"Heavy Metal")</f>
        <v>Heavy Metal</v>
      </c>
      <c r="E313" s="30" t="str">
        <f>IFERROR(__xludf.DUMMYFUNCTION("""COMPUTED_VALUE"""),"The Pit")</f>
        <v>The Pit</v>
      </c>
      <c r="F313" s="30" t="str">
        <f>IFERROR(__xludf.DUMMYFUNCTION("""COMPUTED_VALUE"""),"Lunar")</f>
        <v>Lunar</v>
      </c>
      <c r="G313" s="92">
        <f>IFERROR(__xludf.DUMMYFUNCTION("""COMPUTED_VALUE"""),39.224208531844106)</f>
        <v>39.22420853</v>
      </c>
    </row>
    <row r="314">
      <c r="A314" s="30" t="str">
        <f>IFERROR(__xludf.DUMMYFUNCTION("""COMPUTED_VALUE"""),"RSC007767")</f>
        <v>RSC007767</v>
      </c>
      <c r="B314" s="30" t="str">
        <f>IFERROR(__xludf.DUMMYFUNCTION("""COMPUTED_VALUE"""),"SNOWIS")</f>
        <v>SNOWIS</v>
      </c>
      <c r="C314" s="30" t="str">
        <f>IFERROR(__xludf.DUMMYFUNCTION("""COMPUTED_VALUE"""),"Rival")</f>
        <v>Rival</v>
      </c>
      <c r="D314" s="30" t="str">
        <f>IFERROR(__xludf.DUMMYFUNCTION("""COMPUTED_VALUE"""),"Centuriones
Heavy Metal")</f>
        <v>Centuriones
Heavy Metal</v>
      </c>
      <c r="E314" s="30" t="str">
        <f>IFERROR(__xludf.DUMMYFUNCTION("""COMPUTED_VALUE"""),"The Sovereign
The Pit")</f>
        <v>The Sovereign
The Pit</v>
      </c>
      <c r="F314" s="30" t="str">
        <f>IFERROR(__xludf.DUMMYFUNCTION("""COMPUTED_VALUE"""),"Lunar")</f>
        <v>Lunar</v>
      </c>
      <c r="G314" s="92">
        <f>IFERROR(__xludf.DUMMYFUNCTION("""COMPUTED_VALUE"""),39.78918207041504)</f>
        <v>39.78918207</v>
      </c>
    </row>
    <row r="315">
      <c r="A315" s="30" t="str">
        <f>IFERROR(__xludf.DUMMYFUNCTION("""COMPUTED_VALUE"""),"RSC005276")</f>
        <v>RSC005276</v>
      </c>
      <c r="B315" s="30" t="str">
        <f>IFERROR(__xludf.DUMMYFUNCTION("""COMPUTED_VALUE"""),"Dc")</f>
        <v>Dc</v>
      </c>
      <c r="C315" s="30" t="str">
        <f>IFERROR(__xludf.DUMMYFUNCTION("""COMPUTED_VALUE"""),"Rival")</f>
        <v>Rival</v>
      </c>
      <c r="D315" s="30" t="str">
        <f>IFERROR(__xludf.DUMMYFUNCTION("""COMPUTED_VALUE"""),"Hippos")</f>
        <v>Hippos</v>
      </c>
      <c r="E315" s="30" t="str">
        <f>IFERROR(__xludf.DUMMYFUNCTION("""COMPUTED_VALUE"""),"Safari")</f>
        <v>Safari</v>
      </c>
      <c r="F315" s="30" t="str">
        <f>IFERROR(__xludf.DUMMYFUNCTION("""COMPUTED_VALUE"""),"Lunar")</f>
        <v>Lunar</v>
      </c>
      <c r="G315" s="92">
        <f>IFERROR(__xludf.DUMMYFUNCTION("""COMPUTED_VALUE"""),38.18365763992888)</f>
        <v>38.18365764</v>
      </c>
    </row>
    <row r="316">
      <c r="A316" s="30" t="str">
        <f>IFERROR(__xludf.DUMMYFUNCTION("""COMPUTED_VALUE"""),"RSC006312")</f>
        <v>RSC006312</v>
      </c>
      <c r="B316" s="30" t="str">
        <f>IFERROR(__xludf.DUMMYFUNCTION("""COMPUTED_VALUE"""),"Cognitixn")</f>
        <v>Cognitixn</v>
      </c>
      <c r="C316" s="30" t="str">
        <f>IFERROR(__xludf.DUMMYFUNCTION("""COMPUTED_VALUE"""),"Rival")</f>
        <v>Rival</v>
      </c>
      <c r="D316" s="30" t="str">
        <f>IFERROR(__xludf.DUMMYFUNCTION("""COMPUTED_VALUE"""),"Hippos")</f>
        <v>Hippos</v>
      </c>
      <c r="E316" s="30" t="str">
        <f>IFERROR(__xludf.DUMMYFUNCTION("""COMPUTED_VALUE"""),"Safari")</f>
        <v>Safari</v>
      </c>
      <c r="F316" s="30" t="str">
        <f>IFERROR(__xludf.DUMMYFUNCTION("""COMPUTED_VALUE"""),"Lunar")</f>
        <v>Lunar</v>
      </c>
      <c r="G316" s="92">
        <f>IFERROR(__xludf.DUMMYFUNCTION("""COMPUTED_VALUE"""),40.90054096263382)</f>
        <v>40.90054096</v>
      </c>
    </row>
    <row r="317">
      <c r="A317" s="30" t="str">
        <f>IFERROR(__xludf.DUMMYFUNCTION("""COMPUTED_VALUE"""),"RSC002930")</f>
        <v>RSC002930</v>
      </c>
      <c r="B317" s="30" t="str">
        <f>IFERROR(__xludf.DUMMYFUNCTION("""COMPUTED_VALUE"""),"voakes")</f>
        <v>voakes</v>
      </c>
      <c r="C317" s="30" t="str">
        <f>IFERROR(__xludf.DUMMYFUNCTION("""COMPUTED_VALUE"""),"Rival")</f>
        <v>Rival</v>
      </c>
      <c r="D317" s="30" t="str">
        <f>IFERROR(__xludf.DUMMYFUNCTION("""COMPUTED_VALUE"""),"Hippos")</f>
        <v>Hippos</v>
      </c>
      <c r="E317" s="30" t="str">
        <f>IFERROR(__xludf.DUMMYFUNCTION("""COMPUTED_VALUE"""),"Safari")</f>
        <v>Safari</v>
      </c>
      <c r="F317" s="30" t="str">
        <f>IFERROR(__xludf.DUMMYFUNCTION("""COMPUTED_VALUE"""),"Lunar")</f>
        <v>Lunar</v>
      </c>
      <c r="G317" s="92">
        <f>IFERROR(__xludf.DUMMYFUNCTION("""COMPUTED_VALUE"""),64.88740166764083)</f>
        <v>64.88740167</v>
      </c>
    </row>
    <row r="318">
      <c r="A318" s="30" t="str">
        <f>IFERROR(__xludf.DUMMYFUNCTION("""COMPUTED_VALUE"""),"RSC006448")</f>
        <v>RSC006448</v>
      </c>
      <c r="B318" s="30" t="str">
        <f>IFERROR(__xludf.DUMMYFUNCTION("""COMPUTED_VALUE"""),"Burger.101")</f>
        <v>Burger.101</v>
      </c>
      <c r="C318" s="30" t="str">
        <f>IFERROR(__xludf.DUMMYFUNCTION("""COMPUTED_VALUE"""),"Rival")</f>
        <v>Rival</v>
      </c>
      <c r="D318" s="30" t="str">
        <f>IFERROR(__xludf.DUMMYFUNCTION("""COMPUTED_VALUE"""),"Iris")</f>
        <v>Iris</v>
      </c>
      <c r="E318" s="30" t="str">
        <f>IFERROR(__xludf.DUMMYFUNCTION("""COMPUTED_VALUE"""),"Flower Road")</f>
        <v>Flower Road</v>
      </c>
      <c r="F318" s="30" t="str">
        <f>IFERROR(__xludf.DUMMYFUNCTION("""COMPUTED_VALUE"""),"Lunar")</f>
        <v>Lunar</v>
      </c>
      <c r="G318" s="92">
        <f>IFERROR(__xludf.DUMMYFUNCTION("""COMPUTED_VALUE"""),82.52163391181415)</f>
        <v>82.52163391</v>
      </c>
    </row>
    <row r="319">
      <c r="A319" s="30" t="str">
        <f>IFERROR(__xludf.DUMMYFUNCTION("""COMPUTED_VALUE"""),"RSC005702")</f>
        <v>RSC005702</v>
      </c>
      <c r="B319" s="30" t="str">
        <f>IFERROR(__xludf.DUMMYFUNCTION("""COMPUTED_VALUE"""),"Jaegie")</f>
        <v>Jaegie</v>
      </c>
      <c r="C319" s="30" t="str">
        <f>IFERROR(__xludf.DUMMYFUNCTION("""COMPUTED_VALUE"""),"Rival")</f>
        <v>Rival</v>
      </c>
      <c r="D319" s="30" t="str">
        <f>IFERROR(__xludf.DUMMYFUNCTION("""COMPUTED_VALUE"""),"Iris")</f>
        <v>Iris</v>
      </c>
      <c r="E319" s="30" t="str">
        <f>IFERROR(__xludf.DUMMYFUNCTION("""COMPUTED_VALUE"""),"Flower Road")</f>
        <v>Flower Road</v>
      </c>
      <c r="F319" s="30" t="str">
        <f>IFERROR(__xludf.DUMMYFUNCTION("""COMPUTED_VALUE"""),"Lunar")</f>
        <v>Lunar</v>
      </c>
      <c r="G319" s="92">
        <f>IFERROR(__xludf.DUMMYFUNCTION("""COMPUTED_VALUE"""),84.2332053261054)</f>
        <v>84.23320533</v>
      </c>
    </row>
    <row r="320">
      <c r="A320" s="30" t="str">
        <f>IFERROR(__xludf.DUMMYFUNCTION("""COMPUTED_VALUE"""),"RSC002480")</f>
        <v>RSC002480</v>
      </c>
      <c r="B320" s="30" t="str">
        <f>IFERROR(__xludf.DUMMYFUNCTION("""COMPUTED_VALUE"""),"blizzyy")</f>
        <v>blizzyy</v>
      </c>
      <c r="C320" s="30" t="str">
        <f>IFERROR(__xludf.DUMMYFUNCTION("""COMPUTED_VALUE"""),"Rival")</f>
        <v>Rival</v>
      </c>
      <c r="D320" s="30" t="str">
        <f>IFERROR(__xludf.DUMMYFUNCTION("""COMPUTED_VALUE"""),"Iris")</f>
        <v>Iris</v>
      </c>
      <c r="E320" s="30" t="str">
        <f>IFERROR(__xludf.DUMMYFUNCTION("""COMPUTED_VALUE"""),"Flower Road")</f>
        <v>Flower Road</v>
      </c>
      <c r="F320" s="30" t="str">
        <f>IFERROR(__xludf.DUMMYFUNCTION("""COMPUTED_VALUE"""),"Lunar")</f>
        <v>Lunar</v>
      </c>
      <c r="G320" s="92">
        <f>IFERROR(__xludf.DUMMYFUNCTION("""COMPUTED_VALUE"""),90.69127471223875)</f>
        <v>90.69127471</v>
      </c>
    </row>
    <row r="321">
      <c r="A321" s="30" t="str">
        <f>IFERROR(__xludf.DUMMYFUNCTION("""COMPUTED_VALUE"""),"RSC005475")</f>
        <v>RSC005475</v>
      </c>
      <c r="B321" s="30" t="str">
        <f>IFERROR(__xludf.DUMMYFUNCTION("""COMPUTED_VALUE"""),"Envy")</f>
        <v>Envy</v>
      </c>
      <c r="C321" s="30" t="str">
        <f>IFERROR(__xludf.DUMMYFUNCTION("""COMPUTED_VALUE"""),"Rival")</f>
        <v>Rival</v>
      </c>
      <c r="D321" s="30" t="str">
        <f>IFERROR(__xludf.DUMMYFUNCTION("""COMPUTED_VALUE"""),"Funk Hunks")</f>
        <v>Funk Hunks</v>
      </c>
      <c r="E321" s="30" t="str">
        <f>IFERROR(__xludf.DUMMYFUNCTION("""COMPUTED_VALUE"""),"Vibe Tribe")</f>
        <v>Vibe Tribe</v>
      </c>
      <c r="F321" s="30" t="str">
        <f>IFERROR(__xludf.DUMMYFUNCTION("""COMPUTED_VALUE"""),"Lunar")</f>
        <v>Lunar</v>
      </c>
      <c r="G321" s="92">
        <f>IFERROR(__xludf.DUMMYFUNCTION("""COMPUTED_VALUE"""),34.30450548343508)</f>
        <v>34.30450548</v>
      </c>
    </row>
    <row r="322">
      <c r="A322" s="30" t="str">
        <f>IFERROR(__xludf.DUMMYFUNCTION("""COMPUTED_VALUE"""),"RSC002453")</f>
        <v>RSC002453</v>
      </c>
      <c r="B322" s="30" t="str">
        <f>IFERROR(__xludf.DUMMYFUNCTION("""COMPUTED_VALUE"""),"Ghostie")</f>
        <v>Ghostie</v>
      </c>
      <c r="C322" s="30" t="str">
        <f>IFERROR(__xludf.DUMMYFUNCTION("""COMPUTED_VALUE"""),"Rival")</f>
        <v>Rival</v>
      </c>
      <c r="D322" s="30" t="str">
        <f>IFERROR(__xludf.DUMMYFUNCTION("""COMPUTED_VALUE"""),"Necrotic Nerds
Funk Hunks")</f>
        <v>Necrotic Nerds
Funk Hunks</v>
      </c>
      <c r="E322" s="30" t="str">
        <f>IFERROR(__xludf.DUMMYFUNCTION("""COMPUTED_VALUE"""),"Ghoul School
Vibe Tribe")</f>
        <v>Ghoul School
Vibe Tribe</v>
      </c>
      <c r="F322" s="30" t="str">
        <f>IFERROR(__xludf.DUMMYFUNCTION("""COMPUTED_VALUE"""),"Lunar")</f>
        <v>Lunar</v>
      </c>
      <c r="G322" s="92">
        <f>IFERROR(__xludf.DUMMYFUNCTION("""COMPUTED_VALUE"""),40.325096472306356)</f>
        <v>40.32509647</v>
      </c>
    </row>
    <row r="323">
      <c r="A323" s="30" t="str">
        <f>IFERROR(__xludf.DUMMYFUNCTION("""COMPUTED_VALUE"""),"RSC003255")</f>
        <v>RSC003255</v>
      </c>
      <c r="B323" s="30" t="str">
        <f>IFERROR(__xludf.DUMMYFUNCTION("""COMPUTED_VALUE"""),"cozyboy")</f>
        <v>cozyboy</v>
      </c>
      <c r="C323" s="30" t="str">
        <f>IFERROR(__xludf.DUMMYFUNCTION("""COMPUTED_VALUE"""),"Rival")</f>
        <v>Rival</v>
      </c>
      <c r="D323" s="30" t="str">
        <f>IFERROR(__xludf.DUMMYFUNCTION("""COMPUTED_VALUE"""),"Funk Hunks")</f>
        <v>Funk Hunks</v>
      </c>
      <c r="E323" s="30" t="str">
        <f>IFERROR(__xludf.DUMMYFUNCTION("""COMPUTED_VALUE"""),"Vibe Tribe")</f>
        <v>Vibe Tribe</v>
      </c>
      <c r="F323" s="30" t="str">
        <f>IFERROR(__xludf.DUMMYFUNCTION("""COMPUTED_VALUE"""),"Lunar")</f>
        <v>Lunar</v>
      </c>
      <c r="G323" s="92">
        <f>IFERROR(__xludf.DUMMYFUNCTION("""COMPUTED_VALUE"""),43.254968171633124)</f>
        <v>43.25496817</v>
      </c>
    </row>
    <row r="324">
      <c r="A324" s="30" t="str">
        <f>IFERROR(__xludf.DUMMYFUNCTION("""COMPUTED_VALUE"""),"RSC003118")</f>
        <v>RSC003118</v>
      </c>
      <c r="B324" s="30" t="str">
        <f>IFERROR(__xludf.DUMMYFUNCTION("""COMPUTED_VALUE"""),"Mysty")</f>
        <v>Mysty</v>
      </c>
      <c r="C324" s="30" t="str">
        <f>IFERROR(__xludf.DUMMYFUNCTION("""COMPUTED_VALUE"""),"Rival")</f>
        <v>Rival</v>
      </c>
      <c r="D324" s="30" t="str">
        <f>IFERROR(__xludf.DUMMYFUNCTION("""COMPUTED_VALUE"""),"Necrotic Nerds")</f>
        <v>Necrotic Nerds</v>
      </c>
      <c r="E324" s="30" t="str">
        <f>IFERROR(__xludf.DUMMYFUNCTION("""COMPUTED_VALUE"""),"Ghoul School")</f>
        <v>Ghoul School</v>
      </c>
      <c r="F324" s="30" t="str">
        <f>IFERROR(__xludf.DUMMYFUNCTION("""COMPUTED_VALUE"""),"Solar")</f>
        <v>Solar</v>
      </c>
      <c r="G324" s="92">
        <f>IFERROR(__xludf.DUMMYFUNCTION("""COMPUTED_VALUE"""),38.59077971478378)</f>
        <v>38.59077971</v>
      </c>
    </row>
    <row r="325">
      <c r="A325" s="30" t="str">
        <f>IFERROR(__xludf.DUMMYFUNCTION("""COMPUTED_VALUE"""),"RSC007346")</f>
        <v>RSC007346</v>
      </c>
      <c r="B325" s="30" t="str">
        <f>IFERROR(__xludf.DUMMYFUNCTION("""COMPUTED_VALUE"""),"Mai")</f>
        <v>Mai</v>
      </c>
      <c r="C325" s="30" t="str">
        <f>IFERROR(__xludf.DUMMYFUNCTION("""COMPUTED_VALUE"""),"Rival")</f>
        <v>Rival</v>
      </c>
      <c r="D325" s="30" t="str">
        <f>IFERROR(__xludf.DUMMYFUNCTION("""COMPUTED_VALUE"""),"Funk Hunks
Necrotic Nerds")</f>
        <v>Funk Hunks
Necrotic Nerds</v>
      </c>
      <c r="E325" s="30" t="str">
        <f>IFERROR(__xludf.DUMMYFUNCTION("""COMPUTED_VALUE"""),"Vibe Tribe
Ghoul School")</f>
        <v>Vibe Tribe
Ghoul School</v>
      </c>
      <c r="F325" s="30" t="str">
        <f>IFERROR(__xludf.DUMMYFUNCTION("""COMPUTED_VALUE"""),"Solar")</f>
        <v>Solar</v>
      </c>
      <c r="G325" s="92">
        <f>IFERROR(__xludf.DUMMYFUNCTION("""COMPUTED_VALUE"""),68.91340644175747)</f>
        <v>68.91340644</v>
      </c>
    </row>
    <row r="326">
      <c r="A326" s="30" t="str">
        <f>IFERROR(__xludf.DUMMYFUNCTION("""COMPUTED_VALUE"""),"RSC007660")</f>
        <v>RSC007660</v>
      </c>
      <c r="B326" s="30" t="str">
        <f>IFERROR(__xludf.DUMMYFUNCTION("""COMPUTED_VALUE"""),"Shraxl")</f>
        <v>Shraxl</v>
      </c>
      <c r="C326" s="30" t="str">
        <f>IFERROR(__xludf.DUMMYFUNCTION("""COMPUTED_VALUE"""),"Rival")</f>
        <v>Rival</v>
      </c>
      <c r="D326" s="30" t="str">
        <f>IFERROR(__xludf.DUMMYFUNCTION("""COMPUTED_VALUE"""),"Necrotic Nerds")</f>
        <v>Necrotic Nerds</v>
      </c>
      <c r="E326" s="30" t="str">
        <f>IFERROR(__xludf.DUMMYFUNCTION("""COMPUTED_VALUE"""),"Ghoul School")</f>
        <v>Ghoul School</v>
      </c>
      <c r="F326" s="30" t="str">
        <f>IFERROR(__xludf.DUMMYFUNCTION("""COMPUTED_VALUE"""),"Solar")</f>
        <v>Solar</v>
      </c>
      <c r="G326" s="92">
        <f>IFERROR(__xludf.DUMMYFUNCTION("""COMPUTED_VALUE"""),60.27347040595086)</f>
        <v>60.27347041</v>
      </c>
    </row>
    <row r="327">
      <c r="A327" s="30" t="str">
        <f>IFERROR(__xludf.DUMMYFUNCTION("""COMPUTED_VALUE"""),"RSC002204")</f>
        <v>RSC002204</v>
      </c>
      <c r="B327" s="30" t="str">
        <f>IFERROR(__xludf.DUMMYFUNCTION("""COMPUTED_VALUE"""),"Mr.Numb3rz")</f>
        <v>Mr.Numb3rz</v>
      </c>
      <c r="C327" s="30" t="str">
        <f>IFERROR(__xludf.DUMMYFUNCTION("""COMPUTED_VALUE"""),"Rival")</f>
        <v>Rival</v>
      </c>
      <c r="D327" s="30" t="str">
        <f>IFERROR(__xludf.DUMMYFUNCTION("""COMPUTED_VALUE"""),"Dracos")</f>
        <v>Dracos</v>
      </c>
      <c r="E327" s="30" t="str">
        <f>IFERROR(__xludf.DUMMYFUNCTION("""COMPUTED_VALUE"""),"The Forest")</f>
        <v>The Forest</v>
      </c>
      <c r="F327" s="30" t="str">
        <f>IFERROR(__xludf.DUMMYFUNCTION("""COMPUTED_VALUE"""),"Solar")</f>
        <v>Solar</v>
      </c>
      <c r="G327" s="92">
        <f>IFERROR(__xludf.DUMMYFUNCTION("""COMPUTED_VALUE"""),14.758273250837924)</f>
        <v>14.75827325</v>
      </c>
    </row>
    <row r="328">
      <c r="A328" s="30" t="str">
        <f>IFERROR(__xludf.DUMMYFUNCTION("""COMPUTED_VALUE"""),"RSC002267")</f>
        <v>RSC002267</v>
      </c>
      <c r="B328" s="30" t="str">
        <f>IFERROR(__xludf.DUMMYFUNCTION("""COMPUTED_VALUE"""),"Dooqal")</f>
        <v>Dooqal</v>
      </c>
      <c r="C328" s="30" t="str">
        <f>IFERROR(__xludf.DUMMYFUNCTION("""COMPUTED_VALUE"""),"Rival")</f>
        <v>Rival</v>
      </c>
      <c r="D328" s="30" t="str">
        <f>IFERROR(__xludf.DUMMYFUNCTION("""COMPUTED_VALUE"""),"Dracos")</f>
        <v>Dracos</v>
      </c>
      <c r="E328" s="30" t="str">
        <f>IFERROR(__xludf.DUMMYFUNCTION("""COMPUTED_VALUE"""),"The Forest")</f>
        <v>The Forest</v>
      </c>
      <c r="F328" s="30" t="str">
        <f>IFERROR(__xludf.DUMMYFUNCTION("""COMPUTED_VALUE"""),"Solar")</f>
        <v>Solar</v>
      </c>
      <c r="G328" s="92">
        <f>IFERROR(__xludf.DUMMYFUNCTION("""COMPUTED_VALUE"""),56.084587883827666)</f>
        <v>56.08458788</v>
      </c>
    </row>
    <row r="329">
      <c r="A329" s="30" t="str">
        <f>IFERROR(__xludf.DUMMYFUNCTION("""COMPUTED_VALUE"""),"RSC003186")</f>
        <v>RSC003186</v>
      </c>
      <c r="B329" s="30" t="str">
        <f>IFERROR(__xludf.DUMMYFUNCTION("""COMPUTED_VALUE"""),"xBlaniac")</f>
        <v>xBlaniac</v>
      </c>
      <c r="C329" s="30" t="str">
        <f>IFERROR(__xludf.DUMMYFUNCTION("""COMPUTED_VALUE"""),"Rival")</f>
        <v>Rival</v>
      </c>
      <c r="D329" s="30" t="str">
        <f>IFERROR(__xludf.DUMMYFUNCTION("""COMPUTED_VALUE"""),"Dracos")</f>
        <v>Dracos</v>
      </c>
      <c r="E329" s="30" t="str">
        <f>IFERROR(__xludf.DUMMYFUNCTION("""COMPUTED_VALUE"""),"The Forest")</f>
        <v>The Forest</v>
      </c>
      <c r="F329" s="30" t="str">
        <f>IFERROR(__xludf.DUMMYFUNCTION("""COMPUTED_VALUE"""),"Solar")</f>
        <v>Solar</v>
      </c>
      <c r="G329" s="92">
        <f>IFERROR(__xludf.DUMMYFUNCTION("""COMPUTED_VALUE"""),26.80729460127111)</f>
        <v>26.8072946</v>
      </c>
    </row>
    <row r="330">
      <c r="A330" s="30" t="str">
        <f>IFERROR(__xludf.DUMMYFUNCTION("""COMPUTED_VALUE"""),"RSC007144")</f>
        <v>RSC007144</v>
      </c>
      <c r="B330" s="30" t="str">
        <f>IFERROR(__xludf.DUMMYFUNCTION("""COMPUTED_VALUE"""),"The_Killerwon")</f>
        <v>The_Killerwon</v>
      </c>
      <c r="C330" s="30" t="str">
        <f>IFERROR(__xludf.DUMMYFUNCTION("""COMPUTED_VALUE"""),"Rival")</f>
        <v>Rival</v>
      </c>
      <c r="D330" s="30" t="str">
        <f>IFERROR(__xludf.DUMMYFUNCTION("""COMPUTED_VALUE"""),"Wind")</f>
        <v>Wind</v>
      </c>
      <c r="E330" s="30" t="str">
        <f>IFERROR(__xludf.DUMMYFUNCTION("""COMPUTED_VALUE"""),"The Elements")</f>
        <v>The Elements</v>
      </c>
      <c r="F330" s="30" t="str">
        <f>IFERROR(__xludf.DUMMYFUNCTION("""COMPUTED_VALUE"""),"Solar")</f>
        <v>Solar</v>
      </c>
      <c r="G330" s="92">
        <f>IFERROR(__xludf.DUMMYFUNCTION("""COMPUTED_VALUE"""),36.20776927892857)</f>
        <v>36.20776928</v>
      </c>
    </row>
    <row r="331">
      <c r="A331" s="30" t="str">
        <f>IFERROR(__xludf.DUMMYFUNCTION("""COMPUTED_VALUE"""),"RSC007318")</f>
        <v>RSC007318</v>
      </c>
      <c r="B331" s="30" t="str">
        <f>IFERROR(__xludf.DUMMYFUNCTION("""COMPUTED_VALUE"""),"xd Dylan591")</f>
        <v>xd Dylan591</v>
      </c>
      <c r="C331" s="30" t="str">
        <f>IFERROR(__xludf.DUMMYFUNCTION("""COMPUTED_VALUE"""),"Rival")</f>
        <v>Rival</v>
      </c>
      <c r="D331" s="30" t="str">
        <f>IFERROR(__xludf.DUMMYFUNCTION("""COMPUTED_VALUE"""),"Wind")</f>
        <v>Wind</v>
      </c>
      <c r="E331" s="30" t="str">
        <f>IFERROR(__xludf.DUMMYFUNCTION("""COMPUTED_VALUE"""),"The Elements")</f>
        <v>The Elements</v>
      </c>
      <c r="F331" s="30" t="str">
        <f>IFERROR(__xludf.DUMMYFUNCTION("""COMPUTED_VALUE"""),"Solar")</f>
        <v>Solar</v>
      </c>
      <c r="G331" s="92">
        <f>IFERROR(__xludf.DUMMYFUNCTION("""COMPUTED_VALUE"""),33.54086492595681)</f>
        <v>33.54086493</v>
      </c>
    </row>
    <row r="332">
      <c r="A332" s="30" t="str">
        <f>IFERROR(__xludf.DUMMYFUNCTION("""COMPUTED_VALUE"""),"RSC006089")</f>
        <v>RSC006089</v>
      </c>
      <c r="B332" s="30" t="str">
        <f>IFERROR(__xludf.DUMMYFUNCTION("""COMPUTED_VALUE"""),"ZeroPop11")</f>
        <v>ZeroPop11</v>
      </c>
      <c r="C332" s="30" t="str">
        <f>IFERROR(__xludf.DUMMYFUNCTION("""COMPUTED_VALUE"""),"Rival")</f>
        <v>Rival</v>
      </c>
      <c r="D332" s="30" t="str">
        <f>IFERROR(__xludf.DUMMYFUNCTION("""COMPUTED_VALUE"""),"Wind")</f>
        <v>Wind</v>
      </c>
      <c r="E332" s="30" t="str">
        <f>IFERROR(__xludf.DUMMYFUNCTION("""COMPUTED_VALUE"""),"The Elements")</f>
        <v>The Elements</v>
      </c>
      <c r="F332" s="30" t="str">
        <f>IFERROR(__xludf.DUMMYFUNCTION("""COMPUTED_VALUE"""),"Solar")</f>
        <v>Solar</v>
      </c>
      <c r="G332" s="92">
        <f>IFERROR(__xludf.DUMMYFUNCTION("""COMPUTED_VALUE"""),60.83022767123396)</f>
        <v>60.83022767</v>
      </c>
    </row>
    <row r="333">
      <c r="A333" s="30" t="str">
        <f>IFERROR(__xludf.DUMMYFUNCTION("""COMPUTED_VALUE"""),"RSC005523")</f>
        <v>RSC005523</v>
      </c>
      <c r="B333" s="30" t="str">
        <f>IFERROR(__xludf.DUMMYFUNCTION("""COMPUTED_VALUE"""),"Laguna")</f>
        <v>Laguna</v>
      </c>
      <c r="C333" s="30" t="str">
        <f>IFERROR(__xludf.DUMMYFUNCTION("""COMPUTED_VALUE"""),"Rival")</f>
        <v>Rival</v>
      </c>
      <c r="D333" s="30" t="str">
        <f>IFERROR(__xludf.DUMMYFUNCTION("""COMPUTED_VALUE"""),"Polar Ice")</f>
        <v>Polar Ice</v>
      </c>
      <c r="E333" s="30" t="str">
        <f>IFERROR(__xludf.DUMMYFUNCTION("""COMPUTED_VALUE"""),"Minty Fresh")</f>
        <v>Minty Fresh</v>
      </c>
      <c r="F333" s="30" t="str">
        <f>IFERROR(__xludf.DUMMYFUNCTION("""COMPUTED_VALUE"""),"Solar")</f>
        <v>Solar</v>
      </c>
      <c r="G333" s="92">
        <f>IFERROR(__xludf.DUMMYFUNCTION("""COMPUTED_VALUE"""),41.29563939674502)</f>
        <v>41.2956394</v>
      </c>
    </row>
    <row r="334">
      <c r="A334" s="30" t="str">
        <f>IFERROR(__xludf.DUMMYFUNCTION("""COMPUTED_VALUE"""),"RSC004665")</f>
        <v>RSC004665</v>
      </c>
      <c r="B334" s="30" t="str">
        <f>IFERROR(__xludf.DUMMYFUNCTION("""COMPUTED_VALUE"""),"xPrism")</f>
        <v>xPrism</v>
      </c>
      <c r="C334" s="30" t="str">
        <f>IFERROR(__xludf.DUMMYFUNCTION("""COMPUTED_VALUE"""),"Rival")</f>
        <v>Rival</v>
      </c>
      <c r="D334" s="30" t="str">
        <f>IFERROR(__xludf.DUMMYFUNCTION("""COMPUTED_VALUE"""),"Polar Ice")</f>
        <v>Polar Ice</v>
      </c>
      <c r="E334" s="30" t="str">
        <f>IFERROR(__xludf.DUMMYFUNCTION("""COMPUTED_VALUE"""),"Minty Fresh")</f>
        <v>Minty Fresh</v>
      </c>
      <c r="F334" s="30" t="str">
        <f>IFERROR(__xludf.DUMMYFUNCTION("""COMPUTED_VALUE"""),"Solar")</f>
        <v>Solar</v>
      </c>
      <c r="G334" s="92">
        <f>IFERROR(__xludf.DUMMYFUNCTION("""COMPUTED_VALUE"""),55.59967699240525)</f>
        <v>55.59967699</v>
      </c>
    </row>
    <row r="335">
      <c r="A335" s="30" t="str">
        <f>IFERROR(__xludf.DUMMYFUNCTION("""COMPUTED_VALUE"""),"RSC002036")</f>
        <v>RSC002036</v>
      </c>
      <c r="B335" s="30" t="str">
        <f>IFERROR(__xludf.DUMMYFUNCTION("""COMPUTED_VALUE"""),"Reno")</f>
        <v>Reno</v>
      </c>
      <c r="C335" s="30" t="str">
        <f>IFERROR(__xludf.DUMMYFUNCTION("""COMPUTED_VALUE"""),"Rival")</f>
        <v>Rival</v>
      </c>
      <c r="D335" s="30" t="str">
        <f>IFERROR(__xludf.DUMMYFUNCTION("""COMPUTED_VALUE"""),"Polar Ice")</f>
        <v>Polar Ice</v>
      </c>
      <c r="E335" s="30" t="str">
        <f>IFERROR(__xludf.DUMMYFUNCTION("""COMPUTED_VALUE"""),"Minty Fresh")</f>
        <v>Minty Fresh</v>
      </c>
      <c r="F335" s="30" t="str">
        <f>IFERROR(__xludf.DUMMYFUNCTION("""COMPUTED_VALUE"""),"Solar")</f>
        <v>Solar</v>
      </c>
      <c r="G335" s="92">
        <f>IFERROR(__xludf.DUMMYFUNCTION("""COMPUTED_VALUE"""),55.667495444445095)</f>
        <v>55.66749544</v>
      </c>
    </row>
    <row r="336">
      <c r="A336" s="30" t="str">
        <f>IFERROR(__xludf.DUMMYFUNCTION("""COMPUTED_VALUE"""),"RSC000291")</f>
        <v>RSC000291</v>
      </c>
      <c r="B336" s="30" t="str">
        <f>IFERROR(__xludf.DUMMYFUNCTION("""COMPUTED_VALUE"""),"Suckiest Sucker")</f>
        <v>Suckiest Sucker</v>
      </c>
      <c r="C336" s="30" t="str">
        <f>IFERROR(__xludf.DUMMYFUNCTION("""COMPUTED_VALUE"""),"Rival")</f>
        <v>Rival</v>
      </c>
      <c r="D336" s="30" t="str">
        <f>IFERROR(__xludf.DUMMYFUNCTION("""COMPUTED_VALUE"""),"Hue Heroes")</f>
        <v>Hue Heroes</v>
      </c>
      <c r="E336" s="30" t="str">
        <f>IFERROR(__xludf.DUMMYFUNCTION("""COMPUTED_VALUE"""),"Art Club")</f>
        <v>Art Club</v>
      </c>
      <c r="F336" s="30" t="str">
        <f>IFERROR(__xludf.DUMMYFUNCTION("""COMPUTED_VALUE"""),"Solar")</f>
        <v>Solar</v>
      </c>
      <c r="G336" s="92">
        <f>IFERROR(__xludf.DUMMYFUNCTION("""COMPUTED_VALUE"""),49.140683786908845)</f>
        <v>49.14068379</v>
      </c>
    </row>
    <row r="337">
      <c r="A337" s="30" t="str">
        <f>IFERROR(__xludf.DUMMYFUNCTION("""COMPUTED_VALUE"""),"RSC006401")</f>
        <v>RSC006401</v>
      </c>
      <c r="B337" s="30" t="str">
        <f>IFERROR(__xludf.DUMMYFUNCTION("""COMPUTED_VALUE"""),"Shadohkamii")</f>
        <v>Shadohkamii</v>
      </c>
      <c r="C337" s="30" t="str">
        <f>IFERROR(__xludf.DUMMYFUNCTION("""COMPUTED_VALUE"""),"Rival")</f>
        <v>Rival</v>
      </c>
      <c r="D337" s="30" t="str">
        <f>IFERROR(__xludf.DUMMYFUNCTION("""COMPUTED_VALUE"""),"Hue Heroes")</f>
        <v>Hue Heroes</v>
      </c>
      <c r="E337" s="30" t="str">
        <f>IFERROR(__xludf.DUMMYFUNCTION("""COMPUTED_VALUE"""),"Art Club")</f>
        <v>Art Club</v>
      </c>
      <c r="F337" s="30" t="str">
        <f>IFERROR(__xludf.DUMMYFUNCTION("""COMPUTED_VALUE"""),"Solar")</f>
        <v>Solar</v>
      </c>
      <c r="G337" s="92">
        <f>IFERROR(__xludf.DUMMYFUNCTION("""COMPUTED_VALUE"""),63.694501956339444)</f>
        <v>63.69450196</v>
      </c>
    </row>
    <row r="338">
      <c r="A338" s="30" t="str">
        <f>IFERROR(__xludf.DUMMYFUNCTION("""COMPUTED_VALUE"""),"RSC000190")</f>
        <v>RSC000190</v>
      </c>
      <c r="B338" s="30" t="str">
        <f>IFERROR(__xludf.DUMMYFUNCTION("""COMPUTED_VALUE"""),"leaf.")</f>
        <v>leaf.</v>
      </c>
      <c r="C338" s="30" t="str">
        <f>IFERROR(__xludf.DUMMYFUNCTION("""COMPUTED_VALUE"""),"Rival")</f>
        <v>Rival</v>
      </c>
      <c r="D338" s="30" t="str">
        <f>IFERROR(__xludf.DUMMYFUNCTION("""COMPUTED_VALUE"""),"Hue Heroes")</f>
        <v>Hue Heroes</v>
      </c>
      <c r="E338" s="30" t="str">
        <f>IFERROR(__xludf.DUMMYFUNCTION("""COMPUTED_VALUE"""),"Art Club")</f>
        <v>Art Club</v>
      </c>
      <c r="F338" s="30" t="str">
        <f>IFERROR(__xludf.DUMMYFUNCTION("""COMPUTED_VALUE"""),"Solar")</f>
        <v>Solar</v>
      </c>
      <c r="G338" s="92">
        <f>IFERROR(__xludf.DUMMYFUNCTION("""COMPUTED_VALUE"""),58.363182582497984)</f>
        <v>58.36318258</v>
      </c>
    </row>
    <row r="339">
      <c r="A339" s="30" t="str">
        <f>IFERROR(__xludf.DUMMYFUNCTION("""COMPUTED_VALUE"""),"RSC003945")</f>
        <v>RSC003945</v>
      </c>
      <c r="B339" s="30" t="str">
        <f>IFERROR(__xludf.DUMMYFUNCTION("""COMPUTED_VALUE"""),"Gaw1f3d")</f>
        <v>Gaw1f3d</v>
      </c>
      <c r="C339" s="30" t="str">
        <f>IFERROR(__xludf.DUMMYFUNCTION("""COMPUTED_VALUE"""),"Rival")</f>
        <v>Rival</v>
      </c>
      <c r="D339" s="30" t="str">
        <f>IFERROR(__xludf.DUMMYFUNCTION("""COMPUTED_VALUE"""),"Cursed")</f>
        <v>Cursed</v>
      </c>
      <c r="E339" s="30" t="str">
        <f>IFERROR(__xludf.DUMMYFUNCTION("""COMPUTED_VALUE"""),"Destined")</f>
        <v>Destined</v>
      </c>
      <c r="F339" s="30" t="str">
        <f>IFERROR(__xludf.DUMMYFUNCTION("""COMPUTED_VALUE"""),"Solar")</f>
        <v>Solar</v>
      </c>
      <c r="G339" s="92">
        <f>IFERROR(__xludf.DUMMYFUNCTION("""COMPUTED_VALUE"""),52.821439680683156)</f>
        <v>52.82143968</v>
      </c>
    </row>
    <row r="340">
      <c r="A340" s="30" t="str">
        <f>IFERROR(__xludf.DUMMYFUNCTION("""COMPUTED_VALUE"""),"RSC006938")</f>
        <v>RSC006938</v>
      </c>
      <c r="B340" s="30" t="str">
        <f>IFERROR(__xludf.DUMMYFUNCTION("""COMPUTED_VALUE"""),"Soda. .")</f>
        <v>Soda. .</v>
      </c>
      <c r="C340" s="30" t="str">
        <f>IFERROR(__xludf.DUMMYFUNCTION("""COMPUTED_VALUE"""),"Rival")</f>
        <v>Rival</v>
      </c>
      <c r="D340" s="30" t="str">
        <f>IFERROR(__xludf.DUMMYFUNCTION("""COMPUTED_VALUE"""),"Cursed")</f>
        <v>Cursed</v>
      </c>
      <c r="E340" s="30" t="str">
        <f>IFERROR(__xludf.DUMMYFUNCTION("""COMPUTED_VALUE"""),"Destined")</f>
        <v>Destined</v>
      </c>
      <c r="F340" s="30" t="str">
        <f>IFERROR(__xludf.DUMMYFUNCTION("""COMPUTED_VALUE"""),"Solar")</f>
        <v>Solar</v>
      </c>
      <c r="G340" s="92">
        <f>IFERROR(__xludf.DUMMYFUNCTION("""COMPUTED_VALUE"""),47.46357991904699)</f>
        <v>47.46357992</v>
      </c>
    </row>
    <row r="341">
      <c r="A341" s="30" t="str">
        <f>IFERROR(__xludf.DUMMYFUNCTION("""COMPUTED_VALUE"""),"RSC000731")</f>
        <v>RSC000731</v>
      </c>
      <c r="B341" s="30" t="str">
        <f>IFERROR(__xludf.DUMMYFUNCTION("""COMPUTED_VALUE"""),"mm2")</f>
        <v>mm2</v>
      </c>
      <c r="C341" s="30" t="str">
        <f>IFERROR(__xludf.DUMMYFUNCTION("""COMPUTED_VALUE"""),"Rival")</f>
        <v>Rival</v>
      </c>
      <c r="D341" s="30" t="str">
        <f>IFERROR(__xludf.DUMMYFUNCTION("""COMPUTED_VALUE"""),"Cursed")</f>
        <v>Cursed</v>
      </c>
      <c r="E341" s="30" t="str">
        <f>IFERROR(__xludf.DUMMYFUNCTION("""COMPUTED_VALUE"""),"Destined")</f>
        <v>Destined</v>
      </c>
      <c r="F341" s="30" t="str">
        <f>IFERROR(__xludf.DUMMYFUNCTION("""COMPUTED_VALUE"""),"Solar")</f>
        <v>Solar</v>
      </c>
      <c r="G341" s="92">
        <f>IFERROR(__xludf.DUMMYFUNCTION("""COMPUTED_VALUE"""),65.4270802208897)</f>
        <v>65.42708022</v>
      </c>
    </row>
    <row r="342">
      <c r="A342" s="30" t="str">
        <f>IFERROR(__xludf.DUMMYFUNCTION("""COMPUTED_VALUE"""),"RSC006678")</f>
        <v>RSC006678</v>
      </c>
      <c r="B342" s="30" t="str">
        <f>IFERROR(__xludf.DUMMYFUNCTION("""COMPUTED_VALUE"""),"EyeSucka")</f>
        <v>EyeSucka</v>
      </c>
      <c r="C342" s="30" t="str">
        <f>IFERROR(__xludf.DUMMYFUNCTION("""COMPUTED_VALUE"""),"Rival")</f>
        <v>Rival</v>
      </c>
      <c r="D342" s="30" t="str">
        <f>IFERROR(__xludf.DUMMYFUNCTION("""COMPUTED_VALUE"""),"Mining Legion")</f>
        <v>Mining Legion</v>
      </c>
      <c r="E342" s="30" t="str">
        <f>IFERROR(__xludf.DUMMYFUNCTION("""COMPUTED_VALUE"""),"Dwarf Haven")</f>
        <v>Dwarf Haven</v>
      </c>
      <c r="F342" s="30" t="str">
        <f>IFERROR(__xludf.DUMMYFUNCTION("""COMPUTED_VALUE"""),"Solar")</f>
        <v>Solar</v>
      </c>
      <c r="G342" s="92">
        <f>IFERROR(__xludf.DUMMYFUNCTION("""COMPUTED_VALUE"""),67.92962012312765)</f>
        <v>67.92962012</v>
      </c>
    </row>
    <row r="343">
      <c r="A343" s="30" t="str">
        <f>IFERROR(__xludf.DUMMYFUNCTION("""COMPUTED_VALUE"""),"RSC006581")</f>
        <v>RSC006581</v>
      </c>
      <c r="B343" s="30" t="str">
        <f>IFERROR(__xludf.DUMMYFUNCTION("""COMPUTED_VALUE"""),"Light_Wigglebean")</f>
        <v>Light_Wigglebean</v>
      </c>
      <c r="C343" s="30" t="str">
        <f>IFERROR(__xludf.DUMMYFUNCTION("""COMPUTED_VALUE"""),"Rival")</f>
        <v>Rival</v>
      </c>
      <c r="D343" s="30" t="str">
        <f>IFERROR(__xludf.DUMMYFUNCTION("""COMPUTED_VALUE"""),"Mining Legion")</f>
        <v>Mining Legion</v>
      </c>
      <c r="E343" s="30" t="str">
        <f>IFERROR(__xludf.DUMMYFUNCTION("""COMPUTED_VALUE"""),"Dwarf Haven")</f>
        <v>Dwarf Haven</v>
      </c>
      <c r="F343" s="30" t="str">
        <f>IFERROR(__xludf.DUMMYFUNCTION("""COMPUTED_VALUE"""),"Solar")</f>
        <v>Solar</v>
      </c>
      <c r="G343" s="92">
        <f>IFERROR(__xludf.DUMMYFUNCTION("""COMPUTED_VALUE"""),85.66479716394007)</f>
        <v>85.66479716</v>
      </c>
    </row>
    <row r="344">
      <c r="A344" s="30" t="str">
        <f>IFERROR(__xludf.DUMMYFUNCTION("""COMPUTED_VALUE"""),"RSC007618")</f>
        <v>RSC007618</v>
      </c>
      <c r="B344" s="30" t="str">
        <f>IFERROR(__xludf.DUMMYFUNCTION("""COMPUTED_VALUE"""),"Robbie")</f>
        <v>Robbie</v>
      </c>
      <c r="C344" s="30" t="str">
        <f>IFERROR(__xludf.DUMMYFUNCTION("""COMPUTED_VALUE"""),"Rival")</f>
        <v>Rival</v>
      </c>
      <c r="D344" s="30" t="str">
        <f>IFERROR(__xludf.DUMMYFUNCTION("""COMPUTED_VALUE"""),"Mining Legion")</f>
        <v>Mining Legion</v>
      </c>
      <c r="E344" s="30" t="str">
        <f>IFERROR(__xludf.DUMMYFUNCTION("""COMPUTED_VALUE"""),"Dwarf Haven")</f>
        <v>Dwarf Haven</v>
      </c>
      <c r="F344" s="30" t="str">
        <f>IFERROR(__xludf.DUMMYFUNCTION("""COMPUTED_VALUE"""),"Solar")</f>
        <v>Solar</v>
      </c>
      <c r="G344" s="92">
        <f>IFERROR(__xludf.DUMMYFUNCTION("""COMPUTED_VALUE"""),41.273924519900646)</f>
        <v>41.27392452</v>
      </c>
    </row>
    <row r="345">
      <c r="A345" s="30" t="str">
        <f>IFERROR(__xludf.DUMMYFUNCTION("""COMPUTED_VALUE"""),"RSC004639")</f>
        <v>RSC004639</v>
      </c>
      <c r="B345" s="30" t="str">
        <f>IFERROR(__xludf.DUMMYFUNCTION("""COMPUTED_VALUE"""),"Tydizzle")</f>
        <v>Tydizzle</v>
      </c>
      <c r="C345" s="30" t="str">
        <f>IFERROR(__xludf.DUMMYFUNCTION("""COMPUTED_VALUE"""),"Rival")</f>
        <v>Rival</v>
      </c>
      <c r="D345" s="30" t="str">
        <f>IFERROR(__xludf.DUMMYFUNCTION("""COMPUTED_VALUE"""),"Blizzards")</f>
        <v>Blizzards</v>
      </c>
      <c r="E345" s="30" t="str">
        <f>IFERROR(__xludf.DUMMYFUNCTION("""COMPUTED_VALUE"""),"Storm")</f>
        <v>Storm</v>
      </c>
      <c r="F345" s="30" t="str">
        <f>IFERROR(__xludf.DUMMYFUNCTION("""COMPUTED_VALUE"""),"Solar")</f>
        <v>Solar</v>
      </c>
      <c r="G345" s="92">
        <f>IFERROR(__xludf.DUMMYFUNCTION("""COMPUTED_VALUE"""),43.76372333606109)</f>
        <v>43.76372334</v>
      </c>
    </row>
    <row r="346">
      <c r="A346" s="30" t="str">
        <f>IFERROR(__xludf.DUMMYFUNCTION("""COMPUTED_VALUE"""),"RSC000182")</f>
        <v>RSC000182</v>
      </c>
      <c r="B346" s="30" t="str">
        <f>IFERROR(__xludf.DUMMYFUNCTION("""COMPUTED_VALUE"""),"Goose")</f>
        <v>Goose</v>
      </c>
      <c r="C346" s="30" t="str">
        <f>IFERROR(__xludf.DUMMYFUNCTION("""COMPUTED_VALUE"""),"Rival")</f>
        <v>Rival</v>
      </c>
      <c r="D346" s="30" t="str">
        <f>IFERROR(__xludf.DUMMYFUNCTION("""COMPUTED_VALUE"""),"Blizzards")</f>
        <v>Blizzards</v>
      </c>
      <c r="E346" s="30" t="str">
        <f>IFERROR(__xludf.DUMMYFUNCTION("""COMPUTED_VALUE"""),"Storm")</f>
        <v>Storm</v>
      </c>
      <c r="F346" s="30" t="str">
        <f>IFERROR(__xludf.DUMMYFUNCTION("""COMPUTED_VALUE"""),"Solar")</f>
        <v>Solar</v>
      </c>
      <c r="G346" s="92">
        <f>IFERROR(__xludf.DUMMYFUNCTION("""COMPUTED_VALUE"""),47.29300231007005)</f>
        <v>47.29300231</v>
      </c>
    </row>
    <row r="347">
      <c r="A347" s="30" t="str">
        <f>IFERROR(__xludf.DUMMYFUNCTION("""COMPUTED_VALUE"""),"RSC006069")</f>
        <v>RSC006069</v>
      </c>
      <c r="B347" s="30" t="str">
        <f>IFERROR(__xludf.DUMMYFUNCTION("""COMPUTED_VALUE"""),"PoupSoup")</f>
        <v>PoupSoup</v>
      </c>
      <c r="C347" s="30" t="str">
        <f>IFERROR(__xludf.DUMMYFUNCTION("""COMPUTED_VALUE"""),"Rival")</f>
        <v>Rival</v>
      </c>
      <c r="D347" s="30" t="str">
        <f>IFERROR(__xludf.DUMMYFUNCTION("""COMPUTED_VALUE"""),"Blizzards")</f>
        <v>Blizzards</v>
      </c>
      <c r="E347" s="30" t="str">
        <f>IFERROR(__xludf.DUMMYFUNCTION("""COMPUTED_VALUE"""),"Storm")</f>
        <v>Storm</v>
      </c>
      <c r="F347" s="30" t="str">
        <f>IFERROR(__xludf.DUMMYFUNCTION("""COMPUTED_VALUE"""),"Solar")</f>
        <v>Solar</v>
      </c>
      <c r="G347" s="92">
        <f>IFERROR(__xludf.DUMMYFUNCTION("""COMPUTED_VALUE"""),40.53800834278174)</f>
        <v>40.53800834</v>
      </c>
    </row>
    <row r="348">
      <c r="A348" s="30" t="str">
        <f>IFERROR(__xludf.DUMMYFUNCTION("""COMPUTED_VALUE"""),"RSC005253")</f>
        <v>RSC005253</v>
      </c>
      <c r="B348" s="30" t="str">
        <f>IFERROR(__xludf.DUMMYFUNCTION("""COMPUTED_VALUE"""),"dinnindu")</f>
        <v>dinnindu</v>
      </c>
      <c r="C348" s="30" t="str">
        <f>IFERROR(__xludf.DUMMYFUNCTION("""COMPUTED_VALUE"""),"Rival")</f>
        <v>Rival</v>
      </c>
      <c r="D348" s="30" t="str">
        <f>IFERROR(__xludf.DUMMYFUNCTION("""COMPUTED_VALUE"""),"Tyrants")</f>
        <v>Tyrants</v>
      </c>
      <c r="E348" s="30" t="str">
        <f>IFERROR(__xludf.DUMMYFUNCTION("""COMPUTED_VALUE"""),"Monarchy")</f>
        <v>Monarchy</v>
      </c>
      <c r="F348" s="30" t="str">
        <f>IFERROR(__xludf.DUMMYFUNCTION("""COMPUTED_VALUE"""),"Lunar")</f>
        <v>Lunar</v>
      </c>
      <c r="G348" s="92">
        <f>IFERROR(__xludf.DUMMYFUNCTION("""COMPUTED_VALUE"""),19.86414675095291)</f>
        <v>19.86414675</v>
      </c>
    </row>
    <row r="349">
      <c r="A349" s="30" t="str">
        <f>IFERROR(__xludf.DUMMYFUNCTION("""COMPUTED_VALUE"""),"RSC003720")</f>
        <v>RSC003720</v>
      </c>
      <c r="B349" s="30" t="str">
        <f>IFERROR(__xludf.DUMMYFUNCTION("""COMPUTED_VALUE"""),"AriseDaft")</f>
        <v>AriseDaft</v>
      </c>
      <c r="C349" s="30" t="str">
        <f>IFERROR(__xludf.DUMMYFUNCTION("""COMPUTED_VALUE"""),"Rival")</f>
        <v>Rival</v>
      </c>
      <c r="D349" s="30" t="str">
        <f>IFERROR(__xludf.DUMMYFUNCTION("""COMPUTED_VALUE"""),"Tyrants")</f>
        <v>Tyrants</v>
      </c>
      <c r="E349" s="30" t="str">
        <f>IFERROR(__xludf.DUMMYFUNCTION("""COMPUTED_VALUE"""),"Monarchy")</f>
        <v>Monarchy</v>
      </c>
      <c r="F349" s="30" t="str">
        <f>IFERROR(__xludf.DUMMYFUNCTION("""COMPUTED_VALUE"""),"Lunar")</f>
        <v>Lunar</v>
      </c>
      <c r="G349" s="92">
        <f>IFERROR(__xludf.DUMMYFUNCTION("""COMPUTED_VALUE"""),54.5539219512495)</f>
        <v>54.55392195</v>
      </c>
    </row>
    <row r="350">
      <c r="A350" s="30" t="str">
        <f>IFERROR(__xludf.DUMMYFUNCTION("""COMPUTED_VALUE"""),"RSC000136")</f>
        <v>RSC000136</v>
      </c>
      <c r="B350" s="30" t="str">
        <f>IFERROR(__xludf.DUMMYFUNCTION("""COMPUTED_VALUE"""),"Blun")</f>
        <v>Blun</v>
      </c>
      <c r="C350" s="30" t="str">
        <f>IFERROR(__xludf.DUMMYFUNCTION("""COMPUTED_VALUE"""),"Rival")</f>
        <v>Rival</v>
      </c>
      <c r="D350" s="30" t="str">
        <f>IFERROR(__xludf.DUMMYFUNCTION("""COMPUTED_VALUE"""),"Tyrants")</f>
        <v>Tyrants</v>
      </c>
      <c r="E350" s="30" t="str">
        <f>IFERROR(__xludf.DUMMYFUNCTION("""COMPUTED_VALUE"""),"Monarchy")</f>
        <v>Monarchy</v>
      </c>
      <c r="F350" s="30" t="str">
        <f>IFERROR(__xludf.DUMMYFUNCTION("""COMPUTED_VALUE"""),"Lunar")</f>
        <v>Lunar</v>
      </c>
      <c r="G350" s="92">
        <f>IFERROR(__xludf.DUMMYFUNCTION("""COMPUTED_VALUE"""),54.16188464231385)</f>
        <v>54.16188464</v>
      </c>
    </row>
    <row r="351">
      <c r="A351" s="30" t="str">
        <f>IFERROR(__xludf.DUMMYFUNCTION("""COMPUTED_VALUE"""),"RSC005518")</f>
        <v>RSC005518</v>
      </c>
      <c r="B351" s="30" t="str">
        <f>IFERROR(__xludf.DUMMYFUNCTION("""COMPUTED_VALUE"""),"BigDaddyDeVito")</f>
        <v>BigDaddyDeVito</v>
      </c>
      <c r="C351" s="30" t="str">
        <f>IFERROR(__xludf.DUMMYFUNCTION("""COMPUTED_VALUE"""),"Rival")</f>
        <v>Rival</v>
      </c>
      <c r="D351" s="30" t="str">
        <f>IFERROR(__xludf.DUMMYFUNCTION("""COMPUTED_VALUE"""),"Jetstream")</f>
        <v>Jetstream</v>
      </c>
      <c r="E351" s="30" t="str">
        <f>IFERROR(__xludf.DUMMYFUNCTION("""COMPUTED_VALUE"""),"Remove Before Flight")</f>
        <v>Remove Before Flight</v>
      </c>
      <c r="F351" s="30" t="str">
        <f>IFERROR(__xludf.DUMMYFUNCTION("""COMPUTED_VALUE"""),"Lunar")</f>
        <v>Lunar</v>
      </c>
      <c r="G351" s="92">
        <f>IFERROR(__xludf.DUMMYFUNCTION("""COMPUTED_VALUE"""),70.35387423763612)</f>
        <v>70.35387424</v>
      </c>
    </row>
    <row r="352">
      <c r="A352" s="30" t="str">
        <f>IFERROR(__xludf.DUMMYFUNCTION("""COMPUTED_VALUE"""),"RSC005703")</f>
        <v>RSC005703</v>
      </c>
      <c r="B352" s="30" t="str">
        <f>IFERROR(__xludf.DUMMYFUNCTION("""COMPUTED_VALUE"""),"Shoddy-")</f>
        <v>Shoddy-</v>
      </c>
      <c r="C352" s="30" t="str">
        <f>IFERROR(__xludf.DUMMYFUNCTION("""COMPUTED_VALUE"""),"Rival")</f>
        <v>Rival</v>
      </c>
      <c r="D352" s="30" t="str">
        <f>IFERROR(__xludf.DUMMYFUNCTION("""COMPUTED_VALUE"""),"Jetstream")</f>
        <v>Jetstream</v>
      </c>
      <c r="E352" s="30" t="str">
        <f>IFERROR(__xludf.DUMMYFUNCTION("""COMPUTED_VALUE"""),"Remove Before Flight")</f>
        <v>Remove Before Flight</v>
      </c>
      <c r="F352" s="30" t="str">
        <f>IFERROR(__xludf.DUMMYFUNCTION("""COMPUTED_VALUE"""),"Lunar")</f>
        <v>Lunar</v>
      </c>
      <c r="G352" s="92">
        <f>IFERROR(__xludf.DUMMYFUNCTION("""COMPUTED_VALUE"""),45.13711020548098)</f>
        <v>45.13711021</v>
      </c>
    </row>
    <row r="353">
      <c r="A353" s="30" t="str">
        <f>IFERROR(__xludf.DUMMYFUNCTION("""COMPUTED_VALUE"""),"RSC006209")</f>
        <v>RSC006209</v>
      </c>
      <c r="B353" s="30" t="str">
        <f>IFERROR(__xludf.DUMMYFUNCTION("""COMPUTED_VALUE"""),"Celiscy")</f>
        <v>Celiscy</v>
      </c>
      <c r="C353" s="30" t="str">
        <f>IFERROR(__xludf.DUMMYFUNCTION("""COMPUTED_VALUE"""),"Rival")</f>
        <v>Rival</v>
      </c>
      <c r="D353" s="30" t="str">
        <f>IFERROR(__xludf.DUMMYFUNCTION("""COMPUTED_VALUE"""),"Jetstream")</f>
        <v>Jetstream</v>
      </c>
      <c r="E353" s="30" t="str">
        <f>IFERROR(__xludf.DUMMYFUNCTION("""COMPUTED_VALUE"""),"Remove Before Flight")</f>
        <v>Remove Before Flight</v>
      </c>
      <c r="F353" s="30" t="str">
        <f>IFERROR(__xludf.DUMMYFUNCTION("""COMPUTED_VALUE"""),"Lunar")</f>
        <v>Lunar</v>
      </c>
      <c r="G353" s="92">
        <f>IFERROR(__xludf.DUMMYFUNCTION("""COMPUTED_VALUE"""),44.27366090398345)</f>
        <v>44.2736609</v>
      </c>
    </row>
    <row r="354">
      <c r="A354" s="30" t="str">
        <f>IFERROR(__xludf.DUMMYFUNCTION("""COMPUTED_VALUE"""),"RSC002424")</f>
        <v>RSC002424</v>
      </c>
      <c r="B354" s="30" t="str">
        <f>IFERROR(__xludf.DUMMYFUNCTION("""COMPUTED_VALUE"""),"HufflePuffler")</f>
        <v>HufflePuffler</v>
      </c>
      <c r="C354" s="30" t="str">
        <f>IFERROR(__xludf.DUMMYFUNCTION("""COMPUTED_VALUE"""),"Rival")</f>
        <v>Rival</v>
      </c>
      <c r="D354" s="30" t="str">
        <f>IFERROR(__xludf.DUMMYFUNCTION("""COMPUTED_VALUE"""),"Centuriones")</f>
        <v>Centuriones</v>
      </c>
      <c r="E354" s="30" t="str">
        <f>IFERROR(__xludf.DUMMYFUNCTION("""COMPUTED_VALUE"""),"The Sovereign")</f>
        <v>The Sovereign</v>
      </c>
      <c r="F354" s="30" t="str">
        <f>IFERROR(__xludf.DUMMYFUNCTION("""COMPUTED_VALUE"""),"Lunar")</f>
        <v>Lunar</v>
      </c>
      <c r="G354" s="92">
        <f>IFERROR(__xludf.DUMMYFUNCTION("""COMPUTED_VALUE"""),48.53176462297437)</f>
        <v>48.53176462</v>
      </c>
    </row>
    <row r="355">
      <c r="A355" s="30" t="str">
        <f>IFERROR(__xludf.DUMMYFUNCTION("""COMPUTED_VALUE"""),"RSC004456")</f>
        <v>RSC004456</v>
      </c>
      <c r="B355" s="30" t="str">
        <f>IFERROR(__xludf.DUMMYFUNCTION("""COMPUTED_VALUE"""),"ShazamPoof")</f>
        <v>ShazamPoof</v>
      </c>
      <c r="C355" s="30" t="str">
        <f>IFERROR(__xludf.DUMMYFUNCTION("""COMPUTED_VALUE"""),"Rival")</f>
        <v>Rival</v>
      </c>
      <c r="D355" s="30" t="str">
        <f>IFERROR(__xludf.DUMMYFUNCTION("""COMPUTED_VALUE"""),"Centuriones")</f>
        <v>Centuriones</v>
      </c>
      <c r="E355" s="30" t="str">
        <f>IFERROR(__xludf.DUMMYFUNCTION("""COMPUTED_VALUE"""),"The Sovereign")</f>
        <v>The Sovereign</v>
      </c>
      <c r="F355" s="30" t="str">
        <f>IFERROR(__xludf.DUMMYFUNCTION("""COMPUTED_VALUE"""),"Lunar")</f>
        <v>Lunar</v>
      </c>
      <c r="G355" s="92">
        <f>IFERROR(__xludf.DUMMYFUNCTION("""COMPUTED_VALUE"""),34.627751661896454)</f>
        <v>34.62775166</v>
      </c>
    </row>
    <row r="356">
      <c r="A356" s="30" t="str">
        <f>IFERROR(__xludf.DUMMYFUNCTION("""COMPUTED_VALUE"""),"RSC002960")</f>
        <v>RSC002960</v>
      </c>
      <c r="B356" s="30" t="str">
        <f>IFERROR(__xludf.DUMMYFUNCTION("""COMPUTED_VALUE"""),"Shrek is The Best Anime")</f>
        <v>Shrek is The Best Anime</v>
      </c>
      <c r="C356" s="30" t="str">
        <f>IFERROR(__xludf.DUMMYFUNCTION("""COMPUTED_VALUE"""),"Rival")</f>
        <v>Rival</v>
      </c>
      <c r="D356" s="30" t="str">
        <f>IFERROR(__xludf.DUMMYFUNCTION("""COMPUTED_VALUE"""),"Centuriones")</f>
        <v>Centuriones</v>
      </c>
      <c r="E356" s="30" t="str">
        <f>IFERROR(__xludf.DUMMYFUNCTION("""COMPUTED_VALUE"""),"The Sovereign")</f>
        <v>The Sovereign</v>
      </c>
      <c r="F356" s="30" t="str">
        <f>IFERROR(__xludf.DUMMYFUNCTION("""COMPUTED_VALUE"""),"Lunar")</f>
        <v>Lunar</v>
      </c>
      <c r="G356" s="92">
        <f>IFERROR(__xludf.DUMMYFUNCTION("""COMPUTED_VALUE"""),47.168167539640876)</f>
        <v>47.16816754</v>
      </c>
    </row>
    <row r="357">
      <c r="A357" s="30" t="str">
        <f>IFERROR(__xludf.DUMMYFUNCTION("""COMPUTED_VALUE"""),"RSC005386")</f>
        <v>RSC005386</v>
      </c>
      <c r="B357" s="30" t="str">
        <f>IFERROR(__xludf.DUMMYFUNCTION("""COMPUTED_VALUE"""),"danub")</f>
        <v>danub</v>
      </c>
      <c r="C357" s="30" t="str">
        <f>IFERROR(__xludf.DUMMYFUNCTION("""COMPUTED_VALUE"""),"Rival")</f>
        <v>Rival</v>
      </c>
      <c r="D357" s="30" t="str">
        <f>IFERROR(__xludf.DUMMYFUNCTION("""COMPUTED_VALUE"""),"Phantoms")</f>
        <v>Phantoms</v>
      </c>
      <c r="E357" s="30" t="str">
        <f>IFERROR(__xludf.DUMMYFUNCTION("""COMPUTED_VALUE"""),"The Monster Mash")</f>
        <v>The Monster Mash</v>
      </c>
      <c r="F357" s="30" t="str">
        <f>IFERROR(__xludf.DUMMYFUNCTION("""COMPUTED_VALUE"""),"Lunar")</f>
        <v>Lunar</v>
      </c>
      <c r="G357" s="92">
        <f>IFERROR(__xludf.DUMMYFUNCTION("""COMPUTED_VALUE"""),34.26480806160758)</f>
        <v>34.26480806</v>
      </c>
    </row>
    <row r="358">
      <c r="A358" s="30" t="str">
        <f>IFERROR(__xludf.DUMMYFUNCTION("""COMPUTED_VALUE"""),"RSC004888")</f>
        <v>RSC004888</v>
      </c>
      <c r="B358" s="30" t="str">
        <f>IFERROR(__xludf.DUMMYFUNCTION("""COMPUTED_VALUE"""),"AgentAnime07")</f>
        <v>AgentAnime07</v>
      </c>
      <c r="C358" s="30" t="str">
        <f>IFERROR(__xludf.DUMMYFUNCTION("""COMPUTED_VALUE"""),"Rival")</f>
        <v>Rival</v>
      </c>
      <c r="D358" s="30" t="str">
        <f>IFERROR(__xludf.DUMMYFUNCTION("""COMPUTED_VALUE"""),"Phantoms")</f>
        <v>Phantoms</v>
      </c>
      <c r="E358" s="30" t="str">
        <f>IFERROR(__xludf.DUMMYFUNCTION("""COMPUTED_VALUE"""),"The Monster Mash")</f>
        <v>The Monster Mash</v>
      </c>
      <c r="F358" s="30" t="str">
        <f>IFERROR(__xludf.DUMMYFUNCTION("""COMPUTED_VALUE"""),"Lunar")</f>
        <v>Lunar</v>
      </c>
      <c r="G358" s="92">
        <f>IFERROR(__xludf.DUMMYFUNCTION("""COMPUTED_VALUE"""),34.44090279021582)</f>
        <v>34.44090279</v>
      </c>
    </row>
    <row r="359">
      <c r="A359" s="30" t="str">
        <f>IFERROR(__xludf.DUMMYFUNCTION("""COMPUTED_VALUE"""),"RSC007697")</f>
        <v>RSC007697</v>
      </c>
      <c r="B359" s="30" t="str">
        <f>IFERROR(__xludf.DUMMYFUNCTION("""COMPUTED_VALUE"""),"Commander Lucas")</f>
        <v>Commander Lucas</v>
      </c>
      <c r="C359" s="30" t="str">
        <f>IFERROR(__xludf.DUMMYFUNCTION("""COMPUTED_VALUE"""),"Rival")</f>
        <v>Rival</v>
      </c>
      <c r="D359" s="30" t="str">
        <f>IFERROR(__xludf.DUMMYFUNCTION("""COMPUTED_VALUE"""),"Blizzards
Phantoms")</f>
        <v>Blizzards
Phantoms</v>
      </c>
      <c r="E359" s="30" t="str">
        <f>IFERROR(__xludf.DUMMYFUNCTION("""COMPUTED_VALUE"""),"Storm
The Monster Mash")</f>
        <v>Storm
The Monster Mash</v>
      </c>
      <c r="F359" s="30" t="str">
        <f>IFERROR(__xludf.DUMMYFUNCTION("""COMPUTED_VALUE"""),"Lunar")</f>
        <v>Lunar</v>
      </c>
      <c r="G359" s="92">
        <f>IFERROR(__xludf.DUMMYFUNCTION("""COMPUTED_VALUE"""),70.29390965623726)</f>
        <v>70.29390966</v>
      </c>
    </row>
    <row r="360">
      <c r="A360" s="30" t="str">
        <f>IFERROR(__xludf.DUMMYFUNCTION("""COMPUTED_VALUE"""),"RSC003094")</f>
        <v>RSC003094</v>
      </c>
      <c r="B360" s="30" t="str">
        <f>IFERROR(__xludf.DUMMYFUNCTION("""COMPUTED_VALUE"""),"Galvarino")</f>
        <v>Galvarino</v>
      </c>
      <c r="C360" s="30" t="str">
        <f>IFERROR(__xludf.DUMMYFUNCTION("""COMPUTED_VALUE"""),"Rival")</f>
        <v>Rival</v>
      </c>
      <c r="D360" s="30" t="str">
        <f>IFERROR(__xludf.DUMMYFUNCTION("""COMPUTED_VALUE"""),"Polar Bears")</f>
        <v>Polar Bears</v>
      </c>
      <c r="E360" s="30" t="str">
        <f>IFERROR(__xludf.DUMMYFUNCTION("""COMPUTED_VALUE"""),"The Bear Den")</f>
        <v>The Bear Den</v>
      </c>
      <c r="F360" s="30" t="str">
        <f>IFERROR(__xludf.DUMMYFUNCTION("""COMPUTED_VALUE"""),"Lunar")</f>
        <v>Lunar</v>
      </c>
      <c r="G360" s="92">
        <f>IFERROR(__xludf.DUMMYFUNCTION("""COMPUTED_VALUE"""),31.822177789522318)</f>
        <v>31.82217779</v>
      </c>
    </row>
    <row r="361">
      <c r="A361" s="30" t="str">
        <f>IFERROR(__xludf.DUMMYFUNCTION("""COMPUTED_VALUE"""),"RSC005752")</f>
        <v>RSC005752</v>
      </c>
      <c r="B361" s="30" t="str">
        <f>IFERROR(__xludf.DUMMYFUNCTION("""COMPUTED_VALUE"""),"surge85")</f>
        <v>surge85</v>
      </c>
      <c r="C361" s="30" t="str">
        <f>IFERROR(__xludf.DUMMYFUNCTION("""COMPUTED_VALUE"""),"Rival")</f>
        <v>Rival</v>
      </c>
      <c r="D361" s="30" t="str">
        <f>IFERROR(__xludf.DUMMYFUNCTION("""COMPUTED_VALUE"""),"Polar Bears")</f>
        <v>Polar Bears</v>
      </c>
      <c r="E361" s="30" t="str">
        <f>IFERROR(__xludf.DUMMYFUNCTION("""COMPUTED_VALUE"""),"The Bear Den")</f>
        <v>The Bear Den</v>
      </c>
      <c r="F361" s="30" t="str">
        <f>IFERROR(__xludf.DUMMYFUNCTION("""COMPUTED_VALUE"""),"Lunar")</f>
        <v>Lunar</v>
      </c>
      <c r="G361" s="92">
        <f>IFERROR(__xludf.DUMMYFUNCTION("""COMPUTED_VALUE"""),51.66590590025233)</f>
        <v>51.6659059</v>
      </c>
    </row>
    <row r="362">
      <c r="A362" s="30" t="str">
        <f>IFERROR(__xludf.DUMMYFUNCTION("""COMPUTED_VALUE"""),"RSC003239")</f>
        <v>RSC003239</v>
      </c>
      <c r="B362" s="30" t="str">
        <f>IFERROR(__xludf.DUMMYFUNCTION("""COMPUTED_VALUE"""),"Wallaby Gangsta")</f>
        <v>Wallaby Gangsta</v>
      </c>
      <c r="C362" s="30" t="str">
        <f>IFERROR(__xludf.DUMMYFUNCTION("""COMPUTED_VALUE"""),"Rival")</f>
        <v>Rival</v>
      </c>
      <c r="D362" s="30" t="str">
        <f>IFERROR(__xludf.DUMMYFUNCTION("""COMPUTED_VALUE"""),"Polar Bears")</f>
        <v>Polar Bears</v>
      </c>
      <c r="E362" s="30" t="str">
        <f>IFERROR(__xludf.DUMMYFUNCTION("""COMPUTED_VALUE"""),"The Bear Den")</f>
        <v>The Bear Den</v>
      </c>
      <c r="F362" s="30" t="str">
        <f>IFERROR(__xludf.DUMMYFUNCTION("""COMPUTED_VALUE"""),"Lunar")</f>
        <v>Lunar</v>
      </c>
      <c r="G362" s="92">
        <f>IFERROR(__xludf.DUMMYFUNCTION("""COMPUTED_VALUE"""),57.86303845172192)</f>
        <v>57.86303845</v>
      </c>
    </row>
    <row r="363">
      <c r="A363" s="30" t="str">
        <f>IFERROR(__xludf.DUMMYFUNCTION("""COMPUTED_VALUE"""),"RSC004347")</f>
        <v>RSC004347</v>
      </c>
      <c r="B363" s="30" t="str">
        <f>IFERROR(__xludf.DUMMYFUNCTION("""COMPUTED_VALUE"""),"Good job you")</f>
        <v>Good job you</v>
      </c>
      <c r="C363" s="30" t="str">
        <f>IFERROR(__xludf.DUMMYFUNCTION("""COMPUTED_VALUE"""),"Rival")</f>
        <v>Rival</v>
      </c>
      <c r="D363" s="30" t="str">
        <f>IFERROR(__xludf.DUMMYFUNCTION("""COMPUTED_VALUE"""),"Bulldozers")</f>
        <v>Bulldozers</v>
      </c>
      <c r="E363" s="30" t="str">
        <f>IFERROR(__xludf.DUMMYFUNCTION("""COMPUTED_VALUE"""),"Road Work Ahead")</f>
        <v>Road Work Ahead</v>
      </c>
      <c r="F363" s="30" t="str">
        <f>IFERROR(__xludf.DUMMYFUNCTION("""COMPUTED_VALUE"""),"Lunar")</f>
        <v>Lunar</v>
      </c>
      <c r="G363" s="92">
        <f>IFERROR(__xludf.DUMMYFUNCTION("""COMPUTED_VALUE"""),56.04168046878956)</f>
        <v>56.04168047</v>
      </c>
    </row>
    <row r="364">
      <c r="A364" s="30" t="str">
        <f>IFERROR(__xludf.DUMMYFUNCTION("""COMPUTED_VALUE"""),"RSC005828")</f>
        <v>RSC005828</v>
      </c>
      <c r="B364" s="30" t="str">
        <f>IFERROR(__xludf.DUMMYFUNCTION("""COMPUTED_VALUE"""),"Creme")</f>
        <v>Creme</v>
      </c>
      <c r="C364" s="30" t="str">
        <f>IFERROR(__xludf.DUMMYFUNCTION("""COMPUTED_VALUE"""),"Rival")</f>
        <v>Rival</v>
      </c>
      <c r="D364" s="30" t="str">
        <f>IFERROR(__xludf.DUMMYFUNCTION("""COMPUTED_VALUE"""),"Bulldozers")</f>
        <v>Bulldozers</v>
      </c>
      <c r="E364" s="30" t="str">
        <f>IFERROR(__xludf.DUMMYFUNCTION("""COMPUTED_VALUE"""),"Road Work Ahead")</f>
        <v>Road Work Ahead</v>
      </c>
      <c r="F364" s="30" t="str">
        <f>IFERROR(__xludf.DUMMYFUNCTION("""COMPUTED_VALUE"""),"Lunar")</f>
        <v>Lunar</v>
      </c>
      <c r="G364" s="92">
        <f>IFERROR(__xludf.DUMMYFUNCTION("""COMPUTED_VALUE"""),47.233670194290305)</f>
        <v>47.23367019</v>
      </c>
    </row>
    <row r="365">
      <c r="A365" s="30" t="str">
        <f>IFERROR(__xludf.DUMMYFUNCTION("""COMPUTED_VALUE"""),"RSC007920")</f>
        <v>RSC007920</v>
      </c>
      <c r="B365" s="30" t="str">
        <f>IFERROR(__xludf.DUMMYFUNCTION("""COMPUTED_VALUE"""),"EKA Luminousity")</f>
        <v>EKA Luminousity</v>
      </c>
      <c r="C365" s="30" t="str">
        <f>IFERROR(__xludf.DUMMYFUNCTION("""COMPUTED_VALUE"""),"Rival")</f>
        <v>Rival</v>
      </c>
      <c r="D365" s="30" t="str">
        <f>IFERROR(__xludf.DUMMYFUNCTION("""COMPUTED_VALUE"""),"Bulldozers")</f>
        <v>Bulldozers</v>
      </c>
      <c r="E365" s="30" t="str">
        <f>IFERROR(__xludf.DUMMYFUNCTION("""COMPUTED_VALUE"""),"Road Work Ahead")</f>
        <v>Road Work Ahead</v>
      </c>
      <c r="F365" s="30" t="str">
        <f>IFERROR(__xludf.DUMMYFUNCTION("""COMPUTED_VALUE"""),"Lunar")</f>
        <v>Lunar</v>
      </c>
      <c r="G365" s="92">
        <f>IFERROR(__xludf.DUMMYFUNCTION("""COMPUTED_VALUE"""),77.10351993304921)</f>
        <v>77.10351993</v>
      </c>
    </row>
    <row r="366">
      <c r="A366" s="30" t="str">
        <f>IFERROR(__xludf.DUMMYFUNCTION("""COMPUTED_VALUE"""),"RSC007999")</f>
        <v>RSC007999</v>
      </c>
      <c r="B366" s="30" t="str">
        <f>IFERROR(__xludf.DUMMYFUNCTION("""COMPUTED_VALUE"""),"MerzR")</f>
        <v>MerzR</v>
      </c>
      <c r="C366" s="30" t="str">
        <f>IFERROR(__xludf.DUMMYFUNCTION("""COMPUTED_VALUE"""),"Rival")</f>
        <v>Rival</v>
      </c>
      <c r="D366" s="30" t="str">
        <f>IFERROR(__xludf.DUMMYFUNCTION("""COMPUTED_VALUE"""),"Ruthless Racket")</f>
        <v>Ruthless Racket</v>
      </c>
      <c r="E366" s="30" t="str">
        <f>IFERROR(__xludf.DUMMYFUNCTION("""COMPUTED_VALUE"""),"The Syndicate")</f>
        <v>The Syndicate</v>
      </c>
      <c r="F366" s="30" t="str">
        <f>IFERROR(__xludf.DUMMYFUNCTION("""COMPUTED_VALUE"""),"Lunar")</f>
        <v>Lunar</v>
      </c>
      <c r="G366" s="92">
        <f>IFERROR(__xludf.DUMMYFUNCTION("""COMPUTED_VALUE"""),58.48949244216449)</f>
        <v>58.48949244</v>
      </c>
    </row>
    <row r="367">
      <c r="A367" s="30" t="str">
        <f>IFERROR(__xludf.DUMMYFUNCTION("""COMPUTED_VALUE"""),"RSC002177")</f>
        <v>RSC002177</v>
      </c>
      <c r="B367" s="30" t="str">
        <f>IFERROR(__xludf.DUMMYFUNCTION("""COMPUTED_VALUE"""),"Slygo21")</f>
        <v>Slygo21</v>
      </c>
      <c r="C367" s="30" t="str">
        <f>IFERROR(__xludf.DUMMYFUNCTION("""COMPUTED_VALUE"""),"Rival")</f>
        <v>Rival</v>
      </c>
      <c r="D367" s="30" t="str">
        <f>IFERROR(__xludf.DUMMYFUNCTION("""COMPUTED_VALUE"""),"Ruthless Racket")</f>
        <v>Ruthless Racket</v>
      </c>
      <c r="E367" s="30" t="str">
        <f>IFERROR(__xludf.DUMMYFUNCTION("""COMPUTED_VALUE"""),"The Syndicate")</f>
        <v>The Syndicate</v>
      </c>
      <c r="F367" s="30" t="str">
        <f>IFERROR(__xludf.DUMMYFUNCTION("""COMPUTED_VALUE"""),"Lunar")</f>
        <v>Lunar</v>
      </c>
      <c r="G367" s="92">
        <f>IFERROR(__xludf.DUMMYFUNCTION("""COMPUTED_VALUE"""),32.69293038950164)</f>
        <v>32.69293039</v>
      </c>
    </row>
    <row r="368">
      <c r="A368" s="30" t="str">
        <f>IFERROR(__xludf.DUMMYFUNCTION("""COMPUTED_VALUE"""),"RSC000848")</f>
        <v>RSC000848</v>
      </c>
      <c r="B368" s="30" t="str">
        <f>IFERROR(__xludf.DUMMYFUNCTION("""COMPUTED_VALUE"""),"WittingHalo64")</f>
        <v>WittingHalo64</v>
      </c>
      <c r="C368" s="30" t="str">
        <f>IFERROR(__xludf.DUMMYFUNCTION("""COMPUTED_VALUE"""),"Rival")</f>
        <v>Rival</v>
      </c>
      <c r="D368" s="30" t="str">
        <f>IFERROR(__xludf.DUMMYFUNCTION("""COMPUTED_VALUE"""),"Ruthless Racket")</f>
        <v>Ruthless Racket</v>
      </c>
      <c r="E368" s="30" t="str">
        <f>IFERROR(__xludf.DUMMYFUNCTION("""COMPUTED_VALUE"""),"The Syndicate")</f>
        <v>The Syndicate</v>
      </c>
      <c r="F368" s="30" t="str">
        <f>IFERROR(__xludf.DUMMYFUNCTION("""COMPUTED_VALUE"""),"Lunar")</f>
        <v>Lunar</v>
      </c>
      <c r="G368" s="92">
        <f>IFERROR(__xludf.DUMMYFUNCTION("""COMPUTED_VALUE"""),48.2767012599904)</f>
        <v>48.27670126</v>
      </c>
    </row>
    <row r="369">
      <c r="A369" s="30" t="str">
        <f>IFERROR(__xludf.DUMMYFUNCTION("""COMPUTED_VALUE"""),"RSC002762")</f>
        <v>RSC002762</v>
      </c>
      <c r="B369" s="30" t="str">
        <f>IFERROR(__xludf.DUMMYFUNCTION("""COMPUTED_VALUE"""),"OnwardFlame")</f>
        <v>OnwardFlame</v>
      </c>
      <c r="C369" s="30" t="str">
        <f>IFERROR(__xludf.DUMMYFUNCTION("""COMPUTED_VALUE"""),"Rival")</f>
        <v>Rival</v>
      </c>
      <c r="D369" s="30" t="str">
        <f>IFERROR(__xludf.DUMMYFUNCTION("""COMPUTED_VALUE"""),"Stolen")</f>
        <v>Stolen</v>
      </c>
      <c r="E369" s="30" t="str">
        <f>IFERROR(__xludf.DUMMYFUNCTION("""COMPUTED_VALUE"""),"The Hood")</f>
        <v>The Hood</v>
      </c>
      <c r="F369" s="30" t="str">
        <f>IFERROR(__xludf.DUMMYFUNCTION("""COMPUTED_VALUE"""),"Lunar")</f>
        <v>Lunar</v>
      </c>
      <c r="G369" s="92">
        <f>IFERROR(__xludf.DUMMYFUNCTION("""COMPUTED_VALUE"""),41.456581251097056)</f>
        <v>41.45658125</v>
      </c>
    </row>
    <row r="370">
      <c r="A370" s="30" t="str">
        <f>IFERROR(__xludf.DUMMYFUNCTION("""COMPUTED_VALUE"""),"RSC006490")</f>
        <v>RSC006490</v>
      </c>
      <c r="B370" s="30" t="str">
        <f>IFERROR(__xludf.DUMMYFUNCTION("""COMPUTED_VALUE"""),"Dayz")</f>
        <v>Dayz</v>
      </c>
      <c r="C370" s="30" t="str">
        <f>IFERROR(__xludf.DUMMYFUNCTION("""COMPUTED_VALUE"""),"Rival")</f>
        <v>Rival</v>
      </c>
      <c r="D370" s="30" t="str">
        <f>IFERROR(__xludf.DUMMYFUNCTION("""COMPUTED_VALUE"""),"Stolen")</f>
        <v>Stolen</v>
      </c>
      <c r="E370" s="30" t="str">
        <f>IFERROR(__xludf.DUMMYFUNCTION("""COMPUTED_VALUE"""),"The Hood")</f>
        <v>The Hood</v>
      </c>
      <c r="F370" s="30" t="str">
        <f>IFERROR(__xludf.DUMMYFUNCTION("""COMPUTED_VALUE"""),"Lunar")</f>
        <v>Lunar</v>
      </c>
      <c r="G370" s="92">
        <f>IFERROR(__xludf.DUMMYFUNCTION("""COMPUTED_VALUE"""),51.407738386203874)</f>
        <v>51.40773839</v>
      </c>
    </row>
    <row r="371">
      <c r="A371" s="30" t="str">
        <f>IFERROR(__xludf.DUMMYFUNCTION("""COMPUTED_VALUE"""),"RSC005165")</f>
        <v>RSC005165</v>
      </c>
      <c r="B371" s="30" t="str">
        <f>IFERROR(__xludf.DUMMYFUNCTION("""COMPUTED_VALUE"""),"Lucas")</f>
        <v>Lucas</v>
      </c>
      <c r="C371" s="30" t="str">
        <f>IFERROR(__xludf.DUMMYFUNCTION("""COMPUTED_VALUE"""),"Rival")</f>
        <v>Rival</v>
      </c>
      <c r="D371" s="30" t="str">
        <f>IFERROR(__xludf.DUMMYFUNCTION("""COMPUTED_VALUE"""),"Stolen")</f>
        <v>Stolen</v>
      </c>
      <c r="E371" s="30" t="str">
        <f>IFERROR(__xludf.DUMMYFUNCTION("""COMPUTED_VALUE"""),"The Hood")</f>
        <v>The Hood</v>
      </c>
      <c r="F371" s="30" t="str">
        <f>IFERROR(__xludf.DUMMYFUNCTION("""COMPUTED_VALUE"""),"Lunar")</f>
        <v>Lunar</v>
      </c>
      <c r="G371" s="92">
        <f>IFERROR(__xludf.DUMMYFUNCTION("""COMPUTED_VALUE"""),49.05704096027175)</f>
        <v>49.05704096</v>
      </c>
    </row>
    <row r="372">
      <c r="A372" s="30" t="str">
        <f>IFERROR(__xludf.DUMMYFUNCTION("""COMPUTED_VALUE"""),"RSC002330")</f>
        <v>RSC002330</v>
      </c>
      <c r="B372" s="30" t="str">
        <f>IFERROR(__xludf.DUMMYFUNCTION("""COMPUTED_VALUE"""),"JesterGG")</f>
        <v>JesterGG</v>
      </c>
      <c r="C372" s="30" t="str">
        <f>IFERROR(__xludf.DUMMYFUNCTION("""COMPUTED_VALUE"""),"Rival")</f>
        <v>Rival</v>
      </c>
      <c r="D372" s="30" t="str">
        <f>IFERROR(__xludf.DUMMYFUNCTION("""COMPUTED_VALUE"""),"Ostriches")</f>
        <v>Ostriches</v>
      </c>
      <c r="E372" s="30" t="str">
        <f>IFERROR(__xludf.DUMMYFUNCTION("""COMPUTED_VALUE"""),"Flightless Fowl")</f>
        <v>Flightless Fowl</v>
      </c>
      <c r="F372" s="30" t="str">
        <f>IFERROR(__xludf.DUMMYFUNCTION("""COMPUTED_VALUE"""),"Solar")</f>
        <v>Solar</v>
      </c>
      <c r="G372" s="92">
        <f>IFERROR(__xludf.DUMMYFUNCTION("""COMPUTED_VALUE"""),48.19630489042363)</f>
        <v>48.19630489</v>
      </c>
    </row>
    <row r="373">
      <c r="A373" s="30" t="str">
        <f>IFERROR(__xludf.DUMMYFUNCTION("""COMPUTED_VALUE"""),"RSC006199")</f>
        <v>RSC006199</v>
      </c>
      <c r="B373" s="30" t="str">
        <f>IFERROR(__xludf.DUMMYFUNCTION("""COMPUTED_VALUE"""),"Irozuh-")</f>
        <v>Irozuh-</v>
      </c>
      <c r="C373" s="30" t="str">
        <f>IFERROR(__xludf.DUMMYFUNCTION("""COMPUTED_VALUE"""),"Rival")</f>
        <v>Rival</v>
      </c>
      <c r="D373" s="30" t="str">
        <f>IFERROR(__xludf.DUMMYFUNCTION("""COMPUTED_VALUE"""),"Ostriches")</f>
        <v>Ostriches</v>
      </c>
      <c r="E373" s="30" t="str">
        <f>IFERROR(__xludf.DUMMYFUNCTION("""COMPUTED_VALUE"""),"Flightless Fowl")</f>
        <v>Flightless Fowl</v>
      </c>
      <c r="F373" s="30" t="str">
        <f>IFERROR(__xludf.DUMMYFUNCTION("""COMPUTED_VALUE"""),"Solar")</f>
        <v>Solar</v>
      </c>
      <c r="G373" s="92">
        <f>IFERROR(__xludf.DUMMYFUNCTION("""COMPUTED_VALUE"""),27.014620158879183)</f>
        <v>27.01462016</v>
      </c>
    </row>
    <row r="374">
      <c r="A374" s="30" t="str">
        <f>IFERROR(__xludf.DUMMYFUNCTION("""COMPUTED_VALUE"""),"RSC000763")</f>
        <v>RSC000763</v>
      </c>
      <c r="B374" s="30" t="str">
        <f>IFERROR(__xludf.DUMMYFUNCTION("""COMPUTED_VALUE"""),"Tenched")</f>
        <v>Tenched</v>
      </c>
      <c r="C374" s="30" t="str">
        <f>IFERROR(__xludf.DUMMYFUNCTION("""COMPUTED_VALUE"""),"Rival")</f>
        <v>Rival</v>
      </c>
      <c r="D374" s="30" t="str">
        <f>IFERROR(__xludf.DUMMYFUNCTION("""COMPUTED_VALUE"""),"Ostriches")</f>
        <v>Ostriches</v>
      </c>
      <c r="E374" s="30" t="str">
        <f>IFERROR(__xludf.DUMMYFUNCTION("""COMPUTED_VALUE"""),"Flightless Fowl")</f>
        <v>Flightless Fowl</v>
      </c>
      <c r="F374" s="30" t="str">
        <f>IFERROR(__xludf.DUMMYFUNCTION("""COMPUTED_VALUE"""),"Solar")</f>
        <v>Solar</v>
      </c>
      <c r="G374" s="92">
        <f>IFERROR(__xludf.DUMMYFUNCTION("""COMPUTED_VALUE"""),47.40928106178758)</f>
        <v>47.40928106</v>
      </c>
    </row>
    <row r="375">
      <c r="A375" s="30" t="str">
        <f>IFERROR(__xludf.DUMMYFUNCTION("""COMPUTED_VALUE"""),"RSC006935")</f>
        <v>RSC006935</v>
      </c>
      <c r="B375" s="30" t="str">
        <f>IFERROR(__xludf.DUMMYFUNCTION("""COMPUTED_VALUE"""),"Bazzinga")</f>
        <v>Bazzinga</v>
      </c>
      <c r="C375" s="30" t="str">
        <f>IFERROR(__xludf.DUMMYFUNCTION("""COMPUTED_VALUE"""),"Rival")</f>
        <v>Rival</v>
      </c>
      <c r="D375" s="30" t="str">
        <f>IFERROR(__xludf.DUMMYFUNCTION("""COMPUTED_VALUE"""),"Lacuna")</f>
        <v>Lacuna</v>
      </c>
      <c r="E375" s="30" t="str">
        <f>IFERROR(__xludf.DUMMYFUNCTION("""COMPUTED_VALUE"""),"Event Horizon")</f>
        <v>Event Horizon</v>
      </c>
      <c r="F375" s="30" t="str">
        <f>IFERROR(__xludf.DUMMYFUNCTION("""COMPUTED_VALUE"""),"Solar")</f>
        <v>Solar</v>
      </c>
      <c r="G375" s="92">
        <f>IFERROR(__xludf.DUMMYFUNCTION("""COMPUTED_VALUE"""),53.36162785853495)</f>
        <v>53.36162786</v>
      </c>
    </row>
    <row r="376">
      <c r="A376" s="30" t="str">
        <f>IFERROR(__xludf.DUMMYFUNCTION("""COMPUTED_VALUE"""),"RSC004845")</f>
        <v>RSC004845</v>
      </c>
      <c r="B376" s="30" t="str">
        <f>IFERROR(__xludf.DUMMYFUNCTION("""COMPUTED_VALUE"""),"BinBoiz_")</f>
        <v>BinBoiz_</v>
      </c>
      <c r="C376" s="30" t="str">
        <f>IFERROR(__xludf.DUMMYFUNCTION("""COMPUTED_VALUE"""),"Rival")</f>
        <v>Rival</v>
      </c>
      <c r="D376" s="30" t="str">
        <f>IFERROR(__xludf.DUMMYFUNCTION("""COMPUTED_VALUE"""),"Lacuna")</f>
        <v>Lacuna</v>
      </c>
      <c r="E376" s="30" t="str">
        <f>IFERROR(__xludf.DUMMYFUNCTION("""COMPUTED_VALUE"""),"Event Horizon")</f>
        <v>Event Horizon</v>
      </c>
      <c r="F376" s="30" t="str">
        <f>IFERROR(__xludf.DUMMYFUNCTION("""COMPUTED_VALUE"""),"Solar")</f>
        <v>Solar</v>
      </c>
      <c r="G376" s="92">
        <f>IFERROR(__xludf.DUMMYFUNCTION("""COMPUTED_VALUE"""),20.9461800537063)</f>
        <v>20.94618005</v>
      </c>
    </row>
    <row r="377">
      <c r="A377" s="30" t="str">
        <f>IFERROR(__xludf.DUMMYFUNCTION("""COMPUTED_VALUE"""),"RSC006528")</f>
        <v>RSC006528</v>
      </c>
      <c r="B377" s="30" t="str">
        <f>IFERROR(__xludf.DUMMYFUNCTION("""COMPUTED_VALUE"""),"mxWEBBY")</f>
        <v>mxWEBBY</v>
      </c>
      <c r="C377" s="30" t="str">
        <f>IFERROR(__xludf.DUMMYFUNCTION("""COMPUTED_VALUE"""),"Rival")</f>
        <v>Rival</v>
      </c>
      <c r="D377" s="30" t="str">
        <f>IFERROR(__xludf.DUMMYFUNCTION("""COMPUTED_VALUE"""),"Lacuna")</f>
        <v>Lacuna</v>
      </c>
      <c r="E377" s="30" t="str">
        <f>IFERROR(__xludf.DUMMYFUNCTION("""COMPUTED_VALUE"""),"Event Horizon")</f>
        <v>Event Horizon</v>
      </c>
      <c r="F377" s="30" t="str">
        <f>IFERROR(__xludf.DUMMYFUNCTION("""COMPUTED_VALUE"""),"Solar")</f>
        <v>Solar</v>
      </c>
      <c r="G377" s="92">
        <f>IFERROR(__xludf.DUMMYFUNCTION("""COMPUTED_VALUE"""),64.93315261870481)</f>
        <v>64.93315262</v>
      </c>
    </row>
    <row r="378">
      <c r="A378" s="30" t="str">
        <f>IFERROR(__xludf.DUMMYFUNCTION("""COMPUTED_VALUE"""),"RSC007227")</f>
        <v>RSC007227</v>
      </c>
      <c r="B378" s="30" t="str">
        <f>IFERROR(__xludf.DUMMYFUNCTION("""COMPUTED_VALUE"""),"Trickyzekie")</f>
        <v>Trickyzekie</v>
      </c>
      <c r="C378" s="30" t="str">
        <f>IFERROR(__xludf.DUMMYFUNCTION("""COMPUTED_VALUE"""),"Rival")</f>
        <v>Rival</v>
      </c>
      <c r="D378" s="30" t="str">
        <f>IFERROR(__xludf.DUMMYFUNCTION("""COMPUTED_VALUE"""),"Ostriches")</f>
        <v>Ostriches</v>
      </c>
      <c r="E378" s="30" t="str">
        <f>IFERROR(__xludf.DUMMYFUNCTION("""COMPUTED_VALUE"""),"Flightless Fowl")</f>
        <v>Flightless Fowl</v>
      </c>
      <c r="F378" s="30" t="str">
        <f>IFERROR(__xludf.DUMMYFUNCTION("""COMPUTED_VALUE"""),"Solar")</f>
        <v>Solar</v>
      </c>
      <c r="G378" s="92">
        <f>IFERROR(__xludf.DUMMYFUNCTION("""COMPUTED_VALUE"""),30.757472700264437)</f>
        <v>30.7574727</v>
      </c>
    </row>
    <row r="379">
      <c r="A379" s="30" t="str">
        <f>IFERROR(__xludf.DUMMYFUNCTION("""COMPUTED_VALUE"""),"RSC004283")</f>
        <v>RSC004283</v>
      </c>
      <c r="B379" s="30" t="str">
        <f>IFERROR(__xludf.DUMMYFUNCTION("""COMPUTED_VALUE"""),"Tragic Event")</f>
        <v>Tragic Event</v>
      </c>
      <c r="C379" s="30" t="str">
        <f>IFERROR(__xludf.DUMMYFUNCTION("""COMPUTED_VALUE"""),"Rival")</f>
        <v>Rival</v>
      </c>
      <c r="D379" s="30" t="str">
        <f>IFERROR(__xludf.DUMMYFUNCTION("""COMPUTED_VALUE"""),"Quasars")</f>
        <v>Quasars</v>
      </c>
      <c r="E379" s="30" t="str">
        <f>IFERROR(__xludf.DUMMYFUNCTION("""COMPUTED_VALUE"""),"The Cosmos")</f>
        <v>The Cosmos</v>
      </c>
      <c r="F379" s="30" t="str">
        <f>IFERROR(__xludf.DUMMYFUNCTION("""COMPUTED_VALUE"""),"Solar")</f>
        <v>Solar</v>
      </c>
      <c r="G379" s="92">
        <f>IFERROR(__xludf.DUMMYFUNCTION("""COMPUTED_VALUE"""),46.34024530989702)</f>
        <v>46.34024531</v>
      </c>
    </row>
    <row r="380">
      <c r="A380" s="30" t="str">
        <f>IFERROR(__xludf.DUMMYFUNCTION("""COMPUTED_VALUE"""),"RSC005885")</f>
        <v>RSC005885</v>
      </c>
      <c r="B380" s="30" t="str">
        <f>IFERROR(__xludf.DUMMYFUNCTION("""COMPUTED_VALUE"""),"noot")</f>
        <v>noot</v>
      </c>
      <c r="C380" s="30" t="str">
        <f>IFERROR(__xludf.DUMMYFUNCTION("""COMPUTED_VALUE"""),"Rival")</f>
        <v>Rival</v>
      </c>
      <c r="D380" s="30" t="str">
        <f>IFERROR(__xludf.DUMMYFUNCTION("""COMPUTED_VALUE"""),"Quasars")</f>
        <v>Quasars</v>
      </c>
      <c r="E380" s="30" t="str">
        <f>IFERROR(__xludf.DUMMYFUNCTION("""COMPUTED_VALUE"""),"The Cosmos")</f>
        <v>The Cosmos</v>
      </c>
      <c r="F380" s="30" t="str">
        <f>IFERROR(__xludf.DUMMYFUNCTION("""COMPUTED_VALUE"""),"Solar")</f>
        <v>Solar</v>
      </c>
      <c r="G380" s="92">
        <f>IFERROR(__xludf.DUMMYFUNCTION("""COMPUTED_VALUE"""),48.06904551387463)</f>
        <v>48.06904551</v>
      </c>
    </row>
    <row r="381">
      <c r="A381" s="30" t="str">
        <f>IFERROR(__xludf.DUMMYFUNCTION("""COMPUTED_VALUE"""),"RSC005507")</f>
        <v>RSC005507</v>
      </c>
      <c r="B381" s="30" t="str">
        <f>IFERROR(__xludf.DUMMYFUNCTION("""COMPUTED_VALUE"""),"T Sant")</f>
        <v>T Sant</v>
      </c>
      <c r="C381" s="30" t="str">
        <f>IFERROR(__xludf.DUMMYFUNCTION("""COMPUTED_VALUE"""),"Rival")</f>
        <v>Rival</v>
      </c>
      <c r="D381" s="30" t="str">
        <f>IFERROR(__xludf.DUMMYFUNCTION("""COMPUTED_VALUE"""),"Quasars")</f>
        <v>Quasars</v>
      </c>
      <c r="E381" s="30" t="str">
        <f>IFERROR(__xludf.DUMMYFUNCTION("""COMPUTED_VALUE"""),"The Cosmos")</f>
        <v>The Cosmos</v>
      </c>
      <c r="F381" s="30" t="str">
        <f>IFERROR(__xludf.DUMMYFUNCTION("""COMPUTED_VALUE"""),"Solar")</f>
        <v>Solar</v>
      </c>
      <c r="G381" s="92">
        <f>IFERROR(__xludf.DUMMYFUNCTION("""COMPUTED_VALUE"""),31.577282777856713)</f>
        <v>31.57728278</v>
      </c>
    </row>
    <row r="382">
      <c r="A382" s="30" t="str">
        <f>IFERROR(__xludf.DUMMYFUNCTION("""COMPUTED_VALUE"""),"RSC007482")</f>
        <v>RSC007482</v>
      </c>
      <c r="B382" s="30" t="str">
        <f>IFERROR(__xludf.DUMMYFUNCTION("""COMPUTED_VALUE"""),"MyTyranosaur")</f>
        <v>MyTyranosaur</v>
      </c>
      <c r="C382" s="30" t="str">
        <f>IFERROR(__xludf.DUMMYFUNCTION("""COMPUTED_VALUE"""),"Rival")</f>
        <v>Rival</v>
      </c>
      <c r="D382" s="30" t="str">
        <f>IFERROR(__xludf.DUMMYFUNCTION("""COMPUTED_VALUE"""),"50 Cent")</f>
        <v>50 Cent</v>
      </c>
      <c r="E382" s="30" t="str">
        <f>IFERROR(__xludf.DUMMYFUNCTION("""COMPUTED_VALUE"""),"Money Makers")</f>
        <v>Money Makers</v>
      </c>
      <c r="F382" s="30" t="str">
        <f>IFERROR(__xludf.DUMMYFUNCTION("""COMPUTED_VALUE"""),"Solar")</f>
        <v>Solar</v>
      </c>
      <c r="G382" s="92">
        <f>IFERROR(__xludf.DUMMYFUNCTION("""COMPUTED_VALUE"""),96.12081801678106)</f>
        <v>96.12081802</v>
      </c>
    </row>
    <row r="383">
      <c r="A383" s="30" t="str">
        <f>IFERROR(__xludf.DUMMYFUNCTION("""COMPUTED_VALUE"""),"RSC002616")</f>
        <v>RSC002616</v>
      </c>
      <c r="B383" s="30" t="str">
        <f>IFERROR(__xludf.DUMMYFUNCTION("""COMPUTED_VALUE"""),"Ruthle")</f>
        <v>Ruthle</v>
      </c>
      <c r="C383" s="30" t="str">
        <f>IFERROR(__xludf.DUMMYFUNCTION("""COMPUTED_VALUE"""),"Rival")</f>
        <v>Rival</v>
      </c>
      <c r="D383" s="30" t="str">
        <f>IFERROR(__xludf.DUMMYFUNCTION("""COMPUTED_VALUE"""),"50 Cent")</f>
        <v>50 Cent</v>
      </c>
      <c r="E383" s="30" t="str">
        <f>IFERROR(__xludf.DUMMYFUNCTION("""COMPUTED_VALUE"""),"Money Makers")</f>
        <v>Money Makers</v>
      </c>
      <c r="F383" s="30" t="str">
        <f>IFERROR(__xludf.DUMMYFUNCTION("""COMPUTED_VALUE"""),"Solar")</f>
        <v>Solar</v>
      </c>
      <c r="G383" s="92">
        <f>IFERROR(__xludf.DUMMYFUNCTION("""COMPUTED_VALUE"""),40.797257061003506)</f>
        <v>40.79725706</v>
      </c>
    </row>
    <row r="384">
      <c r="A384" s="30" t="str">
        <f>IFERROR(__xludf.DUMMYFUNCTION("""COMPUTED_VALUE"""),"RSC004670")</f>
        <v>RSC004670</v>
      </c>
      <c r="B384" s="30" t="str">
        <f>IFERROR(__xludf.DUMMYFUNCTION("""COMPUTED_VALUE"""),"CarnageWolfBite")</f>
        <v>CarnageWolfBite</v>
      </c>
      <c r="C384" s="30" t="str">
        <f>IFERROR(__xludf.DUMMYFUNCTION("""COMPUTED_VALUE"""),"Rival")</f>
        <v>Rival</v>
      </c>
      <c r="D384" s="30" t="str">
        <f>IFERROR(__xludf.DUMMYFUNCTION("""COMPUTED_VALUE"""),"50 Cent")</f>
        <v>50 Cent</v>
      </c>
      <c r="E384" s="30" t="str">
        <f>IFERROR(__xludf.DUMMYFUNCTION("""COMPUTED_VALUE"""),"Money Makers")</f>
        <v>Money Makers</v>
      </c>
      <c r="F384" s="30" t="str">
        <f>IFERROR(__xludf.DUMMYFUNCTION("""COMPUTED_VALUE"""),"Solar")</f>
        <v>Solar</v>
      </c>
      <c r="G384" s="92">
        <f>IFERROR(__xludf.DUMMYFUNCTION("""COMPUTED_VALUE"""),25.189605479431858)</f>
        <v>25.18960548</v>
      </c>
    </row>
    <row r="385">
      <c r="A385" s="30" t="str">
        <f>IFERROR(__xludf.DUMMYFUNCTION("""COMPUTED_VALUE"""),"RSC007601")</f>
        <v>RSC007601</v>
      </c>
      <c r="B385" s="30" t="str">
        <f>IFERROR(__xludf.DUMMYFUNCTION("""COMPUTED_VALUE"""),"Bricked Up Barry")</f>
        <v>Bricked Up Barry</v>
      </c>
      <c r="C385" s="30" t="str">
        <f>IFERROR(__xludf.DUMMYFUNCTION("""COMPUTED_VALUE"""),"Rival")</f>
        <v>Rival</v>
      </c>
      <c r="D385" s="30" t="str">
        <f>IFERROR(__xludf.DUMMYFUNCTION("""COMPUTED_VALUE"""),"Kitsune")</f>
        <v>Kitsune</v>
      </c>
      <c r="E385" s="30" t="str">
        <f>IFERROR(__xludf.DUMMYFUNCTION("""COMPUTED_VALUE"""),"The Shrine")</f>
        <v>The Shrine</v>
      </c>
      <c r="F385" s="30" t="str">
        <f>IFERROR(__xludf.DUMMYFUNCTION("""COMPUTED_VALUE"""),"Solar")</f>
        <v>Solar</v>
      </c>
      <c r="G385" s="92">
        <f>IFERROR(__xludf.DUMMYFUNCTION("""COMPUTED_VALUE"""),43.170830222293475)</f>
        <v>43.17083022</v>
      </c>
    </row>
    <row r="386">
      <c r="A386" s="30" t="str">
        <f>IFERROR(__xludf.DUMMYFUNCTION("""COMPUTED_VALUE"""),"RSC006086")</f>
        <v>RSC006086</v>
      </c>
      <c r="B386" s="30" t="str">
        <f>IFERROR(__xludf.DUMMYFUNCTION("""COMPUTED_VALUE"""),"13o0k")</f>
        <v>13o0k</v>
      </c>
      <c r="C386" s="30" t="str">
        <f>IFERROR(__xludf.DUMMYFUNCTION("""COMPUTED_VALUE"""),"Rival")</f>
        <v>Rival</v>
      </c>
      <c r="D386" s="30" t="str">
        <f>IFERROR(__xludf.DUMMYFUNCTION("""COMPUTED_VALUE"""),"Kitsune")</f>
        <v>Kitsune</v>
      </c>
      <c r="E386" s="30" t="str">
        <f>IFERROR(__xludf.DUMMYFUNCTION("""COMPUTED_VALUE"""),"The Shrine")</f>
        <v>The Shrine</v>
      </c>
      <c r="F386" s="30" t="str">
        <f>IFERROR(__xludf.DUMMYFUNCTION("""COMPUTED_VALUE"""),"Solar")</f>
        <v>Solar</v>
      </c>
      <c r="G386" s="92">
        <f>IFERROR(__xludf.DUMMYFUNCTION("""COMPUTED_VALUE"""),66.98692737618886)</f>
        <v>66.98692738</v>
      </c>
    </row>
    <row r="387">
      <c r="A387" s="30" t="str">
        <f>IFERROR(__xludf.DUMMYFUNCTION("""COMPUTED_VALUE"""),"RSC004399")</f>
        <v>RSC004399</v>
      </c>
      <c r="B387" s="30" t="str">
        <f>IFERROR(__xludf.DUMMYFUNCTION("""COMPUTED_VALUE"""),"zippythegnome")</f>
        <v>zippythegnome</v>
      </c>
      <c r="C387" s="30" t="str">
        <f>IFERROR(__xludf.DUMMYFUNCTION("""COMPUTED_VALUE"""),"Rival")</f>
        <v>Rival</v>
      </c>
      <c r="D387" s="30" t="str">
        <f>IFERROR(__xludf.DUMMYFUNCTION("""COMPUTED_VALUE"""),"Kitsune")</f>
        <v>Kitsune</v>
      </c>
      <c r="E387" s="30" t="str">
        <f>IFERROR(__xludf.DUMMYFUNCTION("""COMPUTED_VALUE"""),"The Shrine")</f>
        <v>The Shrine</v>
      </c>
      <c r="F387" s="30" t="str">
        <f>IFERROR(__xludf.DUMMYFUNCTION("""COMPUTED_VALUE"""),"Solar")</f>
        <v>Solar</v>
      </c>
      <c r="G387" s="92">
        <f>IFERROR(__xludf.DUMMYFUNCTION("""COMPUTED_VALUE"""),43.65922078922022)</f>
        <v>43.65922079</v>
      </c>
    </row>
    <row r="388">
      <c r="A388" s="30" t="str">
        <f>IFERROR(__xludf.DUMMYFUNCTION("""COMPUTED_VALUE"""),"RSC006211")</f>
        <v>RSC006211</v>
      </c>
      <c r="B388" s="30" t="str">
        <f>IFERROR(__xludf.DUMMYFUNCTION("""COMPUTED_VALUE"""),"Chase")</f>
        <v>Chase</v>
      </c>
      <c r="C388" s="30" t="str">
        <f>IFERROR(__xludf.DUMMYFUNCTION("""COMPUTED_VALUE"""),"Rival")</f>
        <v>Rival</v>
      </c>
      <c r="D388" s="30" t="str">
        <f>IFERROR(__xludf.DUMMYFUNCTION("""COMPUTED_VALUE"""),"Ion Imperial")</f>
        <v>Ion Imperial</v>
      </c>
      <c r="E388" s="30" t="str">
        <f>IFERROR(__xludf.DUMMYFUNCTION("""COMPUTED_VALUE"""),"5 O'clock Nowhere")</f>
        <v>5 O'clock Nowhere</v>
      </c>
      <c r="F388" s="30" t="str">
        <f>IFERROR(__xludf.DUMMYFUNCTION("""COMPUTED_VALUE"""),"Solar")</f>
        <v>Solar</v>
      </c>
      <c r="G388" s="92">
        <f>IFERROR(__xludf.DUMMYFUNCTION("""COMPUTED_VALUE"""),58.69368849878335)</f>
        <v>58.6936885</v>
      </c>
    </row>
    <row r="389">
      <c r="A389" s="30" t="str">
        <f>IFERROR(__xludf.DUMMYFUNCTION("""COMPUTED_VALUE"""),"RSC000724")</f>
        <v>RSC000724</v>
      </c>
      <c r="B389" s="30" t="str">
        <f>IFERROR(__xludf.DUMMYFUNCTION("""COMPUTED_VALUE"""),"dunnie14")</f>
        <v>dunnie14</v>
      </c>
      <c r="C389" s="30" t="str">
        <f>IFERROR(__xludf.DUMMYFUNCTION("""COMPUTED_VALUE"""),"Rival")</f>
        <v>Rival</v>
      </c>
      <c r="D389" s="30" t="str">
        <f>IFERROR(__xludf.DUMMYFUNCTION("""COMPUTED_VALUE"""),"Ion Imperial")</f>
        <v>Ion Imperial</v>
      </c>
      <c r="E389" s="30" t="str">
        <f>IFERROR(__xludf.DUMMYFUNCTION("""COMPUTED_VALUE"""),"5 O'clock Nowhere")</f>
        <v>5 O'clock Nowhere</v>
      </c>
      <c r="F389" s="30" t="str">
        <f>IFERROR(__xludf.DUMMYFUNCTION("""COMPUTED_VALUE"""),"Solar")</f>
        <v>Solar</v>
      </c>
      <c r="G389" s="92">
        <f>IFERROR(__xludf.DUMMYFUNCTION("""COMPUTED_VALUE"""),57.7571041201816)</f>
        <v>57.75710412</v>
      </c>
    </row>
    <row r="390">
      <c r="A390" s="30" t="str">
        <f>IFERROR(__xludf.DUMMYFUNCTION("""COMPUTED_VALUE"""),"RSC007293")</f>
        <v>RSC007293</v>
      </c>
      <c r="B390" s="30" t="str">
        <f>IFERROR(__xludf.DUMMYFUNCTION("""COMPUTED_VALUE"""),"YtExplixiit")</f>
        <v>YtExplixiit</v>
      </c>
      <c r="C390" s="30" t="str">
        <f>IFERROR(__xludf.DUMMYFUNCTION("""COMPUTED_VALUE"""),"Rival")</f>
        <v>Rival</v>
      </c>
      <c r="D390" s="30" t="str">
        <f>IFERROR(__xludf.DUMMYFUNCTION("""COMPUTED_VALUE"""),"Ion Imperial")</f>
        <v>Ion Imperial</v>
      </c>
      <c r="E390" s="30" t="str">
        <f>IFERROR(__xludf.DUMMYFUNCTION("""COMPUTED_VALUE"""),"5 O'clock Nowhere")</f>
        <v>5 O'clock Nowhere</v>
      </c>
      <c r="F390" s="30" t="str">
        <f>IFERROR(__xludf.DUMMYFUNCTION("""COMPUTED_VALUE"""),"Solar")</f>
        <v>Solar</v>
      </c>
      <c r="G390" s="92">
        <f>IFERROR(__xludf.DUMMYFUNCTION("""COMPUTED_VALUE"""),45.34797758691402)</f>
        <v>45.34797759</v>
      </c>
    </row>
    <row r="391">
      <c r="A391" s="30" t="str">
        <f>IFERROR(__xludf.DUMMYFUNCTION("""COMPUTED_VALUE"""),"RSC006910")</f>
        <v>RSC006910</v>
      </c>
      <c r="B391" s="30" t="str">
        <f>IFERROR(__xludf.DUMMYFUNCTION("""COMPUTED_VALUE"""),"Swanny2.0")</f>
        <v>Swanny2.0</v>
      </c>
      <c r="C391" s="30" t="str">
        <f>IFERROR(__xludf.DUMMYFUNCTION("""COMPUTED_VALUE"""),"Rival")</f>
        <v>Rival</v>
      </c>
      <c r="D391" s="30" t="str">
        <f>IFERROR(__xludf.DUMMYFUNCTION("""COMPUTED_VALUE"""),"Hue Heroes
Funk Hunks")</f>
        <v>Hue Heroes
Funk Hunks</v>
      </c>
      <c r="E391" s="30" t="str">
        <f>IFERROR(__xludf.DUMMYFUNCTION("""COMPUTED_VALUE"""),"Art Club
Vibe Tribe")</f>
        <v>Art Club
Vibe Tribe</v>
      </c>
      <c r="F391" s="30" t="str">
        <f>IFERROR(__xludf.DUMMYFUNCTION("""COMPUTED_VALUE"""),"Lunar")</f>
        <v>Lunar</v>
      </c>
      <c r="G391" s="92">
        <f>IFERROR(__xludf.DUMMYFUNCTION("""COMPUTED_VALUE"""),34.74944269786425)</f>
        <v>34.7494427</v>
      </c>
    </row>
    <row r="392">
      <c r="A392" s="30" t="str">
        <f>IFERROR(__xludf.DUMMYFUNCTION("""COMPUTED_VALUE"""),"RSC006748")</f>
        <v>RSC006748</v>
      </c>
      <c r="B392" s="30" t="str">
        <f>IFERROR(__xludf.DUMMYFUNCTION("""COMPUTED_VALUE"""),"Llamaboy101")</f>
        <v>Llamaboy101</v>
      </c>
      <c r="C392" s="30" t="str">
        <f>IFERROR(__xludf.DUMMYFUNCTION("""COMPUTED_VALUE"""),"Rival")</f>
        <v>Rival</v>
      </c>
      <c r="D392" s="30" t="str">
        <f>IFERROR(__xludf.DUMMYFUNCTION("""COMPUTED_VALUE"""),"Wind")</f>
        <v>Wind</v>
      </c>
      <c r="E392" s="30" t="str">
        <f>IFERROR(__xludf.DUMMYFUNCTION("""COMPUTED_VALUE"""),"The Elements")</f>
        <v>The Elements</v>
      </c>
      <c r="F392" s="30" t="str">
        <f>IFERROR(__xludf.DUMMYFUNCTION("""COMPUTED_VALUE"""),"Solar")</f>
        <v>Solar</v>
      </c>
      <c r="G392" s="92">
        <f>IFERROR(__xludf.DUMMYFUNCTION("""COMPUTED_VALUE"""),41.34169195743818)</f>
        <v>41.34169196</v>
      </c>
    </row>
    <row r="393">
      <c r="A393" s="30" t="str">
        <f>IFERROR(__xludf.DUMMYFUNCTION("""COMPUTED_VALUE"""),"RSC006881")</f>
        <v>RSC006881</v>
      </c>
      <c r="B393" s="30" t="str">
        <f>IFERROR(__xludf.DUMMYFUNCTION("""COMPUTED_VALUE"""),"Cyroic")</f>
        <v>Cyroic</v>
      </c>
      <c r="C393" s="30" t="str">
        <f>IFERROR(__xludf.DUMMYFUNCTION("""COMPUTED_VALUE"""),"Rival")</f>
        <v>Rival</v>
      </c>
      <c r="D393" s="30" t="str">
        <f>IFERROR(__xludf.DUMMYFUNCTION("""COMPUTED_VALUE"""),"Hammerheads")</f>
        <v>Hammerheads</v>
      </c>
      <c r="E393" s="30" t="str">
        <f>IFERROR(__xludf.DUMMYFUNCTION("""COMPUTED_VALUE"""),"Shark Attack")</f>
        <v>Shark Attack</v>
      </c>
      <c r="F393" s="30" t="str">
        <f>IFERROR(__xludf.DUMMYFUNCTION("""COMPUTED_VALUE"""),"Solar")</f>
        <v>Solar</v>
      </c>
      <c r="G393" s="92">
        <f>IFERROR(__xludf.DUMMYFUNCTION("""COMPUTED_VALUE"""),27.83781473783537)</f>
        <v>27.83781474</v>
      </c>
    </row>
    <row r="394">
      <c r="A394" s="30" t="str">
        <f>IFERROR(__xludf.DUMMYFUNCTION("""COMPUTED_VALUE"""),"RSC007131")</f>
        <v>RSC007131</v>
      </c>
      <c r="B394" s="30" t="str">
        <f>IFERROR(__xludf.DUMMYFUNCTION("""COMPUTED_VALUE"""),"BankShark")</f>
        <v>BankShark</v>
      </c>
      <c r="C394" s="30" t="str">
        <f>IFERROR(__xludf.DUMMYFUNCTION("""COMPUTED_VALUE"""),"Rival")</f>
        <v>Rival</v>
      </c>
      <c r="D394" s="30" t="str">
        <f>IFERROR(__xludf.DUMMYFUNCTION("""COMPUTED_VALUE"""),"Hammerheads")</f>
        <v>Hammerheads</v>
      </c>
      <c r="E394" s="30" t="str">
        <f>IFERROR(__xludf.DUMMYFUNCTION("""COMPUTED_VALUE"""),"Shark Attack")</f>
        <v>Shark Attack</v>
      </c>
      <c r="F394" s="30" t="str">
        <f>IFERROR(__xludf.DUMMYFUNCTION("""COMPUTED_VALUE"""),"Solar")</f>
        <v>Solar</v>
      </c>
      <c r="G394" s="92">
        <f>IFERROR(__xludf.DUMMYFUNCTION("""COMPUTED_VALUE"""),40.132407913425276)</f>
        <v>40.13240791</v>
      </c>
    </row>
    <row r="395">
      <c r="A395" s="30" t="str">
        <f>IFERROR(__xludf.DUMMYFUNCTION("""COMPUTED_VALUE"""),"RSC005677")</f>
        <v>RSC005677</v>
      </c>
      <c r="B395" s="30" t="str">
        <f>IFERROR(__xludf.DUMMYFUNCTION("""COMPUTED_VALUE"""),"z2kay")</f>
        <v>z2kay</v>
      </c>
      <c r="C395" s="30" t="str">
        <f>IFERROR(__xludf.DUMMYFUNCTION("""COMPUTED_VALUE"""),"Rival")</f>
        <v>Rival</v>
      </c>
      <c r="D395" s="30" t="str">
        <f>IFERROR(__xludf.DUMMYFUNCTION("""COMPUTED_VALUE"""),"Hammerheads")</f>
        <v>Hammerheads</v>
      </c>
      <c r="E395" s="30" t="str">
        <f>IFERROR(__xludf.DUMMYFUNCTION("""COMPUTED_VALUE"""),"Shark Attack")</f>
        <v>Shark Attack</v>
      </c>
      <c r="F395" s="30" t="str">
        <f>IFERROR(__xludf.DUMMYFUNCTION("""COMPUTED_VALUE"""),"Solar")</f>
        <v>Solar</v>
      </c>
      <c r="G395" s="92">
        <f>IFERROR(__xludf.DUMMYFUNCTION("""COMPUTED_VALUE"""),70.57216489795124)</f>
        <v>70.5721649</v>
      </c>
    </row>
    <row r="396">
      <c r="A396" s="30" t="str">
        <f>IFERROR(__xludf.DUMMYFUNCTION("""COMPUTED_VALUE"""),"RSC005482")</f>
        <v>RSC005482</v>
      </c>
      <c r="B396" s="30" t="str">
        <f>IFERROR(__xludf.DUMMYFUNCTION("""COMPUTED_VALUE"""),"Benny!")</f>
        <v>Benny!</v>
      </c>
      <c r="C396" s="30" t="str">
        <f>IFERROR(__xludf.DUMMYFUNCTION("""COMPUTED_VALUE"""),"Rival")</f>
        <v>Rival</v>
      </c>
      <c r="D396" s="30" t="str">
        <f>IFERROR(__xludf.DUMMYFUNCTION("""COMPUTED_VALUE"""),"Ocelots")</f>
        <v>Ocelots</v>
      </c>
      <c r="E396" s="30" t="str">
        <f>IFERROR(__xludf.DUMMYFUNCTION("""COMPUTED_VALUE"""),"The Jungle")</f>
        <v>The Jungle</v>
      </c>
      <c r="F396" s="30" t="str">
        <f>IFERROR(__xludf.DUMMYFUNCTION("""COMPUTED_VALUE"""),"Solar")</f>
        <v>Solar</v>
      </c>
      <c r="G396" s="92">
        <f>IFERROR(__xludf.DUMMYFUNCTION("""COMPUTED_VALUE"""),74.88838642925847)</f>
        <v>74.88838643</v>
      </c>
    </row>
    <row r="397">
      <c r="A397" s="30" t="str">
        <f>IFERROR(__xludf.DUMMYFUNCTION("""COMPUTED_VALUE"""),"RSC006654")</f>
        <v>RSC006654</v>
      </c>
      <c r="B397" s="30" t="str">
        <f>IFERROR(__xludf.DUMMYFUNCTION("""COMPUTED_VALUE"""),"Chicken")</f>
        <v>Chicken</v>
      </c>
      <c r="C397" s="30" t="str">
        <f>IFERROR(__xludf.DUMMYFUNCTION("""COMPUTED_VALUE"""),"Rival")</f>
        <v>Rival</v>
      </c>
      <c r="D397" s="30" t="str">
        <f>IFERROR(__xludf.DUMMYFUNCTION("""COMPUTED_VALUE"""),"Ocelots")</f>
        <v>Ocelots</v>
      </c>
      <c r="E397" s="30" t="str">
        <f>IFERROR(__xludf.DUMMYFUNCTION("""COMPUTED_VALUE"""),"The Jungle")</f>
        <v>The Jungle</v>
      </c>
      <c r="F397" s="30" t="str">
        <f>IFERROR(__xludf.DUMMYFUNCTION("""COMPUTED_VALUE"""),"Solar")</f>
        <v>Solar</v>
      </c>
      <c r="G397" s="92">
        <f>IFERROR(__xludf.DUMMYFUNCTION("""COMPUTED_VALUE"""),43.17852364642538)</f>
        <v>43.17852365</v>
      </c>
    </row>
    <row r="398">
      <c r="A398" s="30" t="str">
        <f>IFERROR(__xludf.DUMMYFUNCTION("""COMPUTED_VALUE"""),"RSC007937")</f>
        <v>RSC007937</v>
      </c>
      <c r="B398" s="30" t="str">
        <f>IFERROR(__xludf.DUMMYFUNCTION("""COMPUTED_VALUE"""),"Spidey")</f>
        <v>Spidey</v>
      </c>
      <c r="C398" s="30" t="str">
        <f>IFERROR(__xludf.DUMMYFUNCTION("""COMPUTED_VALUE"""),"Rival")</f>
        <v>Rival</v>
      </c>
      <c r="D398" s="30" t="str">
        <f>IFERROR(__xludf.DUMMYFUNCTION("""COMPUTED_VALUE"""),"Ocelots")</f>
        <v>Ocelots</v>
      </c>
      <c r="E398" s="30" t="str">
        <f>IFERROR(__xludf.DUMMYFUNCTION("""COMPUTED_VALUE"""),"The Jungle")</f>
        <v>The Jungle</v>
      </c>
      <c r="F398" s="30" t="str">
        <f>IFERROR(__xludf.DUMMYFUNCTION("""COMPUTED_VALUE"""),"Solar")</f>
        <v>Solar</v>
      </c>
      <c r="G398" s="92">
        <f>IFERROR(__xludf.DUMMYFUNCTION("""COMPUTED_VALUE"""),75.18202959739916)</f>
        <v>75.1820296</v>
      </c>
    </row>
    <row r="399">
      <c r="A399" s="30" t="str">
        <f>IFERROR(__xludf.DUMMYFUNCTION("""COMPUTED_VALUE"""),"RSC007799")</f>
        <v>RSC007799</v>
      </c>
      <c r="B399" s="30" t="str">
        <f>IFERROR(__xludf.DUMMYFUNCTION("""COMPUTED_VALUE"""),"DJstriker211")</f>
        <v>DJstriker211</v>
      </c>
      <c r="C399" s="30" t="str">
        <f>IFERROR(__xludf.DUMMYFUNCTION("""COMPUTED_VALUE"""),"Rival")</f>
        <v>Rival</v>
      </c>
      <c r="D399" s="30" t="str">
        <f>IFERROR(__xludf.DUMMYFUNCTION("""COMPUTED_VALUE"""),"Asiago Arsonists
50 Cent")</f>
        <v>Asiago Arsonists
50 Cent</v>
      </c>
      <c r="E399" s="30" t="str">
        <f>IFERROR(__xludf.DUMMYFUNCTION("""COMPUTED_VALUE"""),"Cheese Guild
Money Makers")</f>
        <v>Cheese Guild
Money Makers</v>
      </c>
      <c r="F399" s="30" t="str">
        <f>IFERROR(__xludf.DUMMYFUNCTION("""COMPUTED_VALUE"""),"Solar")</f>
        <v>Solar</v>
      </c>
      <c r="G399" s="92">
        <f>IFERROR(__xludf.DUMMYFUNCTION("""COMPUTED_VALUE"""),44.7319868877676)</f>
        <v>44.73198689</v>
      </c>
    </row>
    <row r="400">
      <c r="A400" s="30" t="str">
        <f>IFERROR(__xludf.DUMMYFUNCTION("""COMPUTED_VALUE"""),"RSC006944")</f>
        <v>RSC006944</v>
      </c>
      <c r="B400" s="30" t="str">
        <f>IFERROR(__xludf.DUMMYFUNCTION("""COMPUTED_VALUE"""),"Pr9xk")</f>
        <v>Pr9xk</v>
      </c>
      <c r="C400" s="30" t="str">
        <f>IFERROR(__xludf.DUMMYFUNCTION("""COMPUTED_VALUE"""),"Rival")</f>
        <v>Rival</v>
      </c>
      <c r="D400" s="30" t="str">
        <f>IFERROR(__xludf.DUMMYFUNCTION("""COMPUTED_VALUE"""),"Kitsune")</f>
        <v>Kitsune</v>
      </c>
      <c r="E400" s="30" t="str">
        <f>IFERROR(__xludf.DUMMYFUNCTION("""COMPUTED_VALUE"""),"The Shrine")</f>
        <v>The Shrine</v>
      </c>
      <c r="F400" s="30" t="str">
        <f>IFERROR(__xludf.DUMMYFUNCTION("""COMPUTED_VALUE"""),"Solar")</f>
        <v>Solar</v>
      </c>
      <c r="G400" s="92">
        <f>IFERROR(__xludf.DUMMYFUNCTION("""COMPUTED_VALUE"""),59.25633208823662)</f>
        <v>59.25633209</v>
      </c>
    </row>
    <row r="401">
      <c r="A401" s="30" t="str">
        <f>IFERROR(__xludf.DUMMYFUNCTION("""COMPUTED_VALUE"""),"RSC007186")</f>
        <v>RSC007186</v>
      </c>
      <c r="B401" s="30" t="str">
        <f>IFERROR(__xludf.DUMMYFUNCTION("""COMPUTED_VALUE"""),"Bushier Brow")</f>
        <v>Bushier Brow</v>
      </c>
      <c r="C401" s="30" t="str">
        <f>IFERROR(__xludf.DUMMYFUNCTION("""COMPUTED_VALUE"""),"Rival")</f>
        <v>Rival</v>
      </c>
      <c r="D401" s="30" t="str">
        <f>IFERROR(__xludf.DUMMYFUNCTION("""COMPUTED_VALUE"""),"Hot Wings")</f>
        <v>Hot Wings</v>
      </c>
      <c r="E401" s="30" t="str">
        <f>IFERROR(__xludf.DUMMYFUNCTION("""COMPUTED_VALUE"""),"Fifty-Fifty Pizzeria")</f>
        <v>Fifty-Fifty Pizzeria</v>
      </c>
      <c r="F401" s="30" t="str">
        <f>IFERROR(__xludf.DUMMYFUNCTION("""COMPUTED_VALUE"""),"Lunar")</f>
        <v>Lunar</v>
      </c>
      <c r="G401" s="92">
        <f>IFERROR(__xludf.DUMMYFUNCTION("""COMPUTED_VALUE"""),47.68946604795916)</f>
        <v>47.68946605</v>
      </c>
    </row>
    <row r="402">
      <c r="A402" s="30" t="str">
        <f>IFERROR(__xludf.DUMMYFUNCTION("""COMPUTED_VALUE"""),"RSC005691")</f>
        <v>RSC005691</v>
      </c>
      <c r="B402" s="30" t="str">
        <f>IFERROR(__xludf.DUMMYFUNCTION("""COMPUTED_VALUE"""),"Dr.Ukulele")</f>
        <v>Dr.Ukulele</v>
      </c>
      <c r="C402" s="30" t="str">
        <f>IFERROR(__xludf.DUMMYFUNCTION("""COMPUTED_VALUE"""),"Rival")</f>
        <v>Rival</v>
      </c>
      <c r="D402" s="30" t="str">
        <f>IFERROR(__xludf.DUMMYFUNCTION("""COMPUTED_VALUE"""),"Hot Wings")</f>
        <v>Hot Wings</v>
      </c>
      <c r="E402" s="30" t="str">
        <f>IFERROR(__xludf.DUMMYFUNCTION("""COMPUTED_VALUE"""),"Fifty-Fifty Pizzeria")</f>
        <v>Fifty-Fifty Pizzeria</v>
      </c>
      <c r="F402" s="30" t="str">
        <f>IFERROR(__xludf.DUMMYFUNCTION("""COMPUTED_VALUE"""),"Lunar")</f>
        <v>Lunar</v>
      </c>
      <c r="G402" s="92">
        <f>IFERROR(__xludf.DUMMYFUNCTION("""COMPUTED_VALUE"""),62.63780384035386)</f>
        <v>62.63780384</v>
      </c>
    </row>
    <row r="403">
      <c r="A403" s="30" t="str">
        <f>IFERROR(__xludf.DUMMYFUNCTION("""COMPUTED_VALUE"""),"RSC005834")</f>
        <v>RSC005834</v>
      </c>
      <c r="B403" s="30" t="str">
        <f>IFERROR(__xludf.DUMMYFUNCTION("""COMPUTED_VALUE"""),"IIIYummyIII")</f>
        <v>IIIYummyIII</v>
      </c>
      <c r="C403" s="30" t="str">
        <f>IFERROR(__xludf.DUMMYFUNCTION("""COMPUTED_VALUE"""),"Rival")</f>
        <v>Rival</v>
      </c>
      <c r="D403" s="30" t="str">
        <f>IFERROR(__xludf.DUMMYFUNCTION("""COMPUTED_VALUE"""),"Hot Wings")</f>
        <v>Hot Wings</v>
      </c>
      <c r="E403" s="30" t="str">
        <f>IFERROR(__xludf.DUMMYFUNCTION("""COMPUTED_VALUE"""),"Fifty-Fifty Pizzeria")</f>
        <v>Fifty-Fifty Pizzeria</v>
      </c>
      <c r="F403" s="30" t="str">
        <f>IFERROR(__xludf.DUMMYFUNCTION("""COMPUTED_VALUE"""),"Lunar")</f>
        <v>Lunar</v>
      </c>
      <c r="G403" s="92">
        <f>IFERROR(__xludf.DUMMYFUNCTION("""COMPUTED_VALUE"""),60.80669846061544)</f>
        <v>60.80669846</v>
      </c>
    </row>
    <row r="404">
      <c r="A404" s="30" t="str">
        <f>IFERROR(__xludf.DUMMYFUNCTION("""COMPUTED_VALUE"""),"RSC007057")</f>
        <v>RSC007057</v>
      </c>
      <c r="B404" s="30" t="str">
        <f>IFERROR(__xludf.DUMMYFUNCTION("""COMPUTED_VALUE"""),"sinoda_20")</f>
        <v>sinoda_20</v>
      </c>
      <c r="C404" s="30" t="str">
        <f>IFERROR(__xludf.DUMMYFUNCTION("""COMPUTED_VALUE"""),"Rival")</f>
        <v>Rival</v>
      </c>
      <c r="D404" s="30" t="str">
        <f>IFERROR(__xludf.DUMMYFUNCTION("""COMPUTED_VALUE"""),"Nightfall")</f>
        <v>Nightfall</v>
      </c>
      <c r="E404" s="30" t="str">
        <f>IFERROR(__xludf.DUMMYFUNCTION("""COMPUTED_VALUE"""),"The Shadows")</f>
        <v>The Shadows</v>
      </c>
      <c r="F404" s="30" t="str">
        <f>IFERROR(__xludf.DUMMYFUNCTION("""COMPUTED_VALUE"""),"Lunar")</f>
        <v>Lunar</v>
      </c>
      <c r="G404" s="92">
        <f>IFERROR(__xludf.DUMMYFUNCTION("""COMPUTED_VALUE"""),48.531098819812584)</f>
        <v>48.53109882</v>
      </c>
    </row>
    <row r="405">
      <c r="A405" s="30" t="str">
        <f>IFERROR(__xludf.DUMMYFUNCTION("""COMPUTED_VALUE"""),"RSC004545")</f>
        <v>RSC004545</v>
      </c>
      <c r="B405" s="30" t="str">
        <f>IFERROR(__xludf.DUMMYFUNCTION("""COMPUTED_VALUE"""),"Vires")</f>
        <v>Vires</v>
      </c>
      <c r="C405" s="30" t="str">
        <f>IFERROR(__xludf.DUMMYFUNCTION("""COMPUTED_VALUE"""),"Rival")</f>
        <v>Rival</v>
      </c>
      <c r="D405" s="30" t="str">
        <f>IFERROR(__xludf.DUMMYFUNCTION("""COMPUTED_VALUE"""),"Nightfall")</f>
        <v>Nightfall</v>
      </c>
      <c r="E405" s="30" t="str">
        <f>IFERROR(__xludf.DUMMYFUNCTION("""COMPUTED_VALUE"""),"The Shadows")</f>
        <v>The Shadows</v>
      </c>
      <c r="F405" s="30" t="str">
        <f>IFERROR(__xludf.DUMMYFUNCTION("""COMPUTED_VALUE"""),"Lunar")</f>
        <v>Lunar</v>
      </c>
      <c r="G405" s="92">
        <f>IFERROR(__xludf.DUMMYFUNCTION("""COMPUTED_VALUE"""),47.11333690152299)</f>
        <v>47.1133369</v>
      </c>
    </row>
    <row r="406">
      <c r="A406" s="30" t="str">
        <f>IFERROR(__xludf.DUMMYFUNCTION("""COMPUTED_VALUE"""),"RSC005959")</f>
        <v>RSC005959</v>
      </c>
      <c r="B406" s="30" t="str">
        <f>IFERROR(__xludf.DUMMYFUNCTION("""COMPUTED_VALUE"""),"Yurrbo?")</f>
        <v>Yurrbo?</v>
      </c>
      <c r="C406" s="30" t="str">
        <f>IFERROR(__xludf.DUMMYFUNCTION("""COMPUTED_VALUE"""),"Rival")</f>
        <v>Rival</v>
      </c>
      <c r="D406" s="30" t="str">
        <f>IFERROR(__xludf.DUMMYFUNCTION("""COMPUTED_VALUE"""),"Nightfall")</f>
        <v>Nightfall</v>
      </c>
      <c r="E406" s="30" t="str">
        <f>IFERROR(__xludf.DUMMYFUNCTION("""COMPUTED_VALUE"""),"The Shadows")</f>
        <v>The Shadows</v>
      </c>
      <c r="F406" s="30" t="str">
        <f>IFERROR(__xludf.DUMMYFUNCTION("""COMPUTED_VALUE"""),"Lunar")</f>
        <v>Lunar</v>
      </c>
      <c r="G406" s="92">
        <f>IFERROR(__xludf.DUMMYFUNCTION("""COMPUTED_VALUE"""),47.82094051024725)</f>
        <v>47.82094051</v>
      </c>
    </row>
    <row r="407">
      <c r="A407" s="30" t="str">
        <f>IFERROR(__xludf.DUMMYFUNCTION("""COMPUTED_VALUE"""),"RSC007861")</f>
        <v>RSC007861</v>
      </c>
      <c r="B407" s="30" t="str">
        <f>IFERROR(__xludf.DUMMYFUNCTION("""COMPUTED_VALUE"""),"xmanyaknow")</f>
        <v>xmanyaknow</v>
      </c>
      <c r="C407" s="30" t="str">
        <f>IFERROR(__xludf.DUMMYFUNCTION("""COMPUTED_VALUE"""),"Rival")</f>
        <v>Rival</v>
      </c>
      <c r="D407" s="30" t="str">
        <f>IFERROR(__xludf.DUMMYFUNCTION("""COMPUTED_VALUE"""),"Phantoms")</f>
        <v>Phantoms</v>
      </c>
      <c r="E407" s="30" t="str">
        <f>IFERROR(__xludf.DUMMYFUNCTION("""COMPUTED_VALUE"""),"The Monster Mash")</f>
        <v>The Monster Mash</v>
      </c>
      <c r="F407" s="30" t="str">
        <f>IFERROR(__xludf.DUMMYFUNCTION("""COMPUTED_VALUE"""),"Lunar")</f>
        <v>Lunar</v>
      </c>
      <c r="G407" s="92">
        <f>IFERROR(__xludf.DUMMYFUNCTION("""COMPUTED_VALUE"""),33.291445567218176)</f>
        <v>33.29144557</v>
      </c>
    </row>
    <row r="408">
      <c r="A408" s="30" t="str">
        <f>IFERROR(__xludf.DUMMYFUNCTION("""COMPUTED_VALUE"""),"RSC007555")</f>
        <v>RSC007555</v>
      </c>
      <c r="B408" s="30" t="str">
        <f>IFERROR(__xludf.DUMMYFUNCTION("""COMPUTED_VALUE"""),"cjAstr0-")</f>
        <v>cjAstr0-</v>
      </c>
      <c r="C408" s="30" t="str">
        <f>IFERROR(__xludf.DUMMYFUNCTION("""COMPUTED_VALUE"""),"Rival")</f>
        <v>Rival</v>
      </c>
      <c r="D408" s="30" t="str">
        <f>IFERROR(__xludf.DUMMYFUNCTION("""COMPUTED_VALUE"""),"Stolen")</f>
        <v>Stolen</v>
      </c>
      <c r="E408" s="30" t="str">
        <f>IFERROR(__xludf.DUMMYFUNCTION("""COMPUTED_VALUE"""),"The Hood")</f>
        <v>The Hood</v>
      </c>
      <c r="F408" s="30" t="str">
        <f>IFERROR(__xludf.DUMMYFUNCTION("""COMPUTED_VALUE"""),"Lunar")</f>
        <v>Lunar</v>
      </c>
      <c r="G408" s="92">
        <f>IFERROR(__xludf.DUMMYFUNCTION("""COMPUTED_VALUE"""),55.46918147032261)</f>
        <v>55.46918147</v>
      </c>
    </row>
    <row r="409">
      <c r="A409" s="30" t="str">
        <f>IFERROR(__xludf.DUMMYFUNCTION("""COMPUTED_VALUE"""),"RSC005628")</f>
        <v>RSC005628</v>
      </c>
      <c r="B409" s="30" t="str">
        <f>IFERROR(__xludf.DUMMYFUNCTION("""COMPUTED_VALUE"""),"I love sand")</f>
        <v>I love sand</v>
      </c>
      <c r="C409" s="30" t="str">
        <f>IFERROR(__xludf.DUMMYFUNCTION("""COMPUTED_VALUE"""),"Rival")</f>
        <v>Rival</v>
      </c>
      <c r="D409" s="30" t="str">
        <f>IFERROR(__xludf.DUMMYFUNCTION("""COMPUTED_VALUE"""),"Tyrants")</f>
        <v>Tyrants</v>
      </c>
      <c r="E409" s="30" t="str">
        <f>IFERROR(__xludf.DUMMYFUNCTION("""COMPUTED_VALUE"""),"Monarchy")</f>
        <v>Monarchy</v>
      </c>
      <c r="F409" s="30" t="str">
        <f>IFERROR(__xludf.DUMMYFUNCTION("""COMPUTED_VALUE"""),"Lunar")</f>
        <v>Lunar</v>
      </c>
      <c r="G409" s="92">
        <f>IFERROR(__xludf.DUMMYFUNCTION("""COMPUTED_VALUE"""),44.224005516896995)</f>
        <v>44.22400552</v>
      </c>
    </row>
    <row r="410">
      <c r="A410" s="30" t="str">
        <f>IFERROR(__xludf.DUMMYFUNCTION("""COMPUTED_VALUE"""),"RSC007132")</f>
        <v>RSC007132</v>
      </c>
      <c r="B410" s="30" t="str">
        <f>IFERROR(__xludf.DUMMYFUNCTION("""COMPUTED_VALUE"""),"yoyo")</f>
        <v>yoyo</v>
      </c>
      <c r="C410" s="30" t="str">
        <f>IFERROR(__xludf.DUMMYFUNCTION("""COMPUTED_VALUE"""),"Rival")</f>
        <v>Rival</v>
      </c>
      <c r="D410" s="30" t="str">
        <f>IFERROR(__xludf.DUMMYFUNCTION("""COMPUTED_VALUE"""),"Centuriones")</f>
        <v>Centuriones</v>
      </c>
      <c r="E410" s="30" t="str">
        <f>IFERROR(__xludf.DUMMYFUNCTION("""COMPUTED_VALUE"""),"The Sovereign")</f>
        <v>The Sovereign</v>
      </c>
      <c r="F410" s="30" t="str">
        <f>IFERROR(__xludf.DUMMYFUNCTION("""COMPUTED_VALUE"""),"Lunar")</f>
        <v>Lunar</v>
      </c>
      <c r="G410" s="92">
        <f>IFERROR(__xludf.DUMMYFUNCTION("""COMPUTED_VALUE"""),53.605087797869594)</f>
        <v>53.6050878</v>
      </c>
    </row>
    <row r="411">
      <c r="A411" s="30" t="str">
        <f>IFERROR(__xludf.DUMMYFUNCTION("""COMPUTED_VALUE"""),"RSC000737")</f>
        <v>RSC000737</v>
      </c>
      <c r="B411" s="30" t="str">
        <f>IFERROR(__xludf.DUMMYFUNCTION("""COMPUTED_VALUE"""),"AlienHealer")</f>
        <v>AlienHealer</v>
      </c>
      <c r="C411" s="30" t="str">
        <f>IFERROR(__xludf.DUMMYFUNCTION("""COMPUTED_VALUE"""),"Rival")</f>
        <v>Rival</v>
      </c>
      <c r="D411" s="30" t="str">
        <f>IFERROR(__xludf.DUMMYFUNCTION("""COMPUTED_VALUE"""),"Necrotic Nerds")</f>
        <v>Necrotic Nerds</v>
      </c>
      <c r="E411" s="30" t="str">
        <f>IFERROR(__xludf.DUMMYFUNCTION("""COMPUTED_VALUE"""),"Ghoul School")</f>
        <v>Ghoul School</v>
      </c>
      <c r="F411" s="30" t="str">
        <f>IFERROR(__xludf.DUMMYFUNCTION("""COMPUTED_VALUE"""),"Solar")</f>
        <v>Solar</v>
      </c>
      <c r="G411" s="92">
        <f>IFERROR(__xludf.DUMMYFUNCTION("""COMPUTED_VALUE"""),27.52526730961387)</f>
        <v>27.52526731</v>
      </c>
    </row>
    <row r="412">
      <c r="A412" s="30" t="str">
        <f>IFERROR(__xludf.DUMMYFUNCTION("""COMPUTED_VALUE"""),"RSC007930")</f>
        <v>RSC007930</v>
      </c>
      <c r="B412" s="30" t="str">
        <f>IFERROR(__xludf.DUMMYFUNCTION("""COMPUTED_VALUE"""),"Ziffy")</f>
        <v>Ziffy</v>
      </c>
      <c r="C412" s="30" t="str">
        <f>IFERROR(__xludf.DUMMYFUNCTION("""COMPUTED_VALUE"""),"Rival")</f>
        <v>Rival</v>
      </c>
      <c r="D412" s="30" t="str">
        <f>IFERROR(__xludf.DUMMYFUNCTION("""COMPUTED_VALUE"""),"50 Cent
Hot Wings")</f>
        <v>50 Cent
Hot Wings</v>
      </c>
      <c r="E412" s="30" t="str">
        <f>IFERROR(__xludf.DUMMYFUNCTION("""COMPUTED_VALUE"""),"Money Makers
Fifty-Fifty Pizzeria")</f>
        <v>Money Makers
Fifty-Fifty Pizzeria</v>
      </c>
      <c r="F412" s="30" t="str">
        <f>IFERROR(__xludf.DUMMYFUNCTION("""COMPUTED_VALUE"""),"Lunar")</f>
        <v>Lunar</v>
      </c>
      <c r="G412" s="92">
        <f>IFERROR(__xludf.DUMMYFUNCTION("""COMPUTED_VALUE"""),56.12801723204621)</f>
        <v>56.12801723</v>
      </c>
    </row>
    <row r="413">
      <c r="A413" s="30" t="str">
        <f>IFERROR(__xludf.DUMMYFUNCTION("""COMPUTED_VALUE"""),"RSC005832")</f>
        <v>RSC005832</v>
      </c>
      <c r="B413" s="30" t="str">
        <f>IFERROR(__xludf.DUMMYFUNCTION("""COMPUTED_VALUE"""),"TH4NA70S")</f>
        <v>TH4NA70S</v>
      </c>
      <c r="C413" s="30" t="str">
        <f>IFERROR(__xludf.DUMMYFUNCTION("""COMPUTED_VALUE"""),"Rival")</f>
        <v>Rival</v>
      </c>
      <c r="D413" s="30" t="str">
        <f>IFERROR(__xludf.DUMMYFUNCTION("""COMPUTED_VALUE"""),"Quasars")</f>
        <v>Quasars</v>
      </c>
      <c r="E413" s="30" t="str">
        <f>IFERROR(__xludf.DUMMYFUNCTION("""COMPUTED_VALUE"""),"The Cosmos")</f>
        <v>The Cosmos</v>
      </c>
      <c r="F413" s="30" t="str">
        <f>IFERROR(__xludf.DUMMYFUNCTION("""COMPUTED_VALUE"""),"Solar")</f>
        <v>Solar</v>
      </c>
      <c r="G413" s="92">
        <f>IFERROR(__xludf.DUMMYFUNCTION("""COMPUTED_VALUE"""),45.76917224382818)</f>
        <v>45.76917224</v>
      </c>
    </row>
    <row r="414">
      <c r="A414" s="30" t="str">
        <f>IFERROR(__xludf.DUMMYFUNCTION("""COMPUTED_VALUE"""),"RSC003718")</f>
        <v>RSC003718</v>
      </c>
      <c r="B414" s="30" t="str">
        <f>IFERROR(__xludf.DUMMYFUNCTION("""COMPUTED_VALUE"""),"Tbonelul")</f>
        <v>Tbonelul</v>
      </c>
      <c r="C414" s="30" t="str">
        <f>IFERROR(__xludf.DUMMYFUNCTION("""COMPUTED_VALUE"""),"Rival")</f>
        <v>Rival</v>
      </c>
      <c r="D414" s="30" t="str">
        <f>IFERROR(__xludf.DUMMYFUNCTION("""COMPUTED_VALUE"""),"Heavy Metal")</f>
        <v>Heavy Metal</v>
      </c>
      <c r="E414" s="30" t="str">
        <f>IFERROR(__xludf.DUMMYFUNCTION("""COMPUTED_VALUE"""),"The Pit")</f>
        <v>The Pit</v>
      </c>
      <c r="F414" s="30" t="str">
        <f>IFERROR(__xludf.DUMMYFUNCTION("""COMPUTED_VALUE"""),"Lunar")</f>
        <v>Lunar</v>
      </c>
      <c r="G414" s="92">
        <f>IFERROR(__xludf.DUMMYFUNCTION("""COMPUTED_VALUE"""),53.31873664507626)</f>
        <v>53.31873665</v>
      </c>
    </row>
    <row r="415">
      <c r="A415" s="30" t="str">
        <f>IFERROR(__xludf.DUMMYFUNCTION("""COMPUTED_VALUE"""),"RSC004586")</f>
        <v>RSC004586</v>
      </c>
      <c r="B415" s="30" t="str">
        <f>IFERROR(__xludf.DUMMYFUNCTION("""COMPUTED_VALUE"""),"Jaybeauh")</f>
        <v>Jaybeauh</v>
      </c>
      <c r="C415" s="30" t="str">
        <f>IFERROR(__xludf.DUMMYFUNCTION("""COMPUTED_VALUE"""),"Rival")</f>
        <v>Rival</v>
      </c>
      <c r="D415" s="30" t="str">
        <f>IFERROR(__xludf.DUMMYFUNCTION("""COMPUTED_VALUE"""),"Ion Imperial")</f>
        <v>Ion Imperial</v>
      </c>
      <c r="E415" s="30" t="str">
        <f>IFERROR(__xludf.DUMMYFUNCTION("""COMPUTED_VALUE"""),"5 O'clock Nowhere")</f>
        <v>5 O'clock Nowhere</v>
      </c>
      <c r="F415" s="30" t="str">
        <f>IFERROR(__xludf.DUMMYFUNCTION("""COMPUTED_VALUE"""),"Solar")</f>
        <v>Solar</v>
      </c>
      <c r="G415" s="92">
        <f>IFERROR(__xludf.DUMMYFUNCTION("""COMPUTED_VALUE"""),68.0529270475817)</f>
        <v>68.05292705</v>
      </c>
    </row>
    <row r="416">
      <c r="A416" s="30" t="str">
        <f>IFERROR(__xludf.DUMMYFUNCTION("""COMPUTED_VALUE"""),"RSC007582")</f>
        <v>RSC007582</v>
      </c>
      <c r="B416" s="30" t="str">
        <f>IFERROR(__xludf.DUMMYFUNCTION("""COMPUTED_VALUE"""),"Wavy")</f>
        <v>Wavy</v>
      </c>
      <c r="C416" s="30" t="str">
        <f>IFERROR(__xludf.DUMMYFUNCTION("""COMPUTED_VALUE"""),"Rival")</f>
        <v>Rival</v>
      </c>
      <c r="D416" s="30" t="str">
        <f>IFERROR(__xludf.DUMMYFUNCTION("""COMPUTED_VALUE"""),"Ocelots")</f>
        <v>Ocelots</v>
      </c>
      <c r="E416" s="30" t="str">
        <f>IFERROR(__xludf.DUMMYFUNCTION("""COMPUTED_VALUE"""),"The Jungle")</f>
        <v>The Jungle</v>
      </c>
      <c r="F416" s="30" t="str">
        <f>IFERROR(__xludf.DUMMYFUNCTION("""COMPUTED_VALUE"""),"Solar")</f>
        <v>Solar</v>
      </c>
      <c r="G416" s="92">
        <f>IFERROR(__xludf.DUMMYFUNCTION("""COMPUTED_VALUE"""),37.86068289568419)</f>
        <v>37.8606829</v>
      </c>
    </row>
    <row r="417">
      <c r="A417" s="30" t="str">
        <f>IFERROR(__xludf.DUMMYFUNCTION("""COMPUTED_VALUE"""),"RSC007959")</f>
        <v>RSC007959</v>
      </c>
      <c r="B417" s="30" t="str">
        <f>IFERROR(__xludf.DUMMYFUNCTION("""COMPUTED_VALUE"""),"Cam")</f>
        <v>Cam</v>
      </c>
      <c r="C417" s="30" t="str">
        <f>IFERROR(__xludf.DUMMYFUNCTION("""COMPUTED_VALUE"""),"Rival")</f>
        <v>Rival</v>
      </c>
      <c r="D417" s="30" t="str">
        <f>IFERROR(__xludf.DUMMYFUNCTION("""COMPUTED_VALUE"""),"Mining Legion")</f>
        <v>Mining Legion</v>
      </c>
      <c r="E417" s="30" t="str">
        <f>IFERROR(__xludf.DUMMYFUNCTION("""COMPUTED_VALUE"""),"Dwarf Haven")</f>
        <v>Dwarf Haven</v>
      </c>
      <c r="F417" s="30" t="str">
        <f>IFERROR(__xludf.DUMMYFUNCTION("""COMPUTED_VALUE"""),"Solar")</f>
        <v>Solar</v>
      </c>
      <c r="G417" s="92">
        <f>IFERROR(__xludf.DUMMYFUNCTION("""COMPUTED_VALUE"""),60.12751743259737)</f>
        <v>60.12751743</v>
      </c>
    </row>
    <row r="418">
      <c r="A418" s="30" t="str">
        <f>IFERROR(__xludf.DUMMYFUNCTION("""COMPUTED_VALUE"""),"RSC003320")</f>
        <v>RSC003320</v>
      </c>
      <c r="B418" s="30" t="str">
        <f>IFERROR(__xludf.DUMMYFUNCTION("""COMPUTED_VALUE"""),"jojomojo13")</f>
        <v>jojomojo13</v>
      </c>
      <c r="C418" s="30" t="str">
        <f>IFERROR(__xludf.DUMMYFUNCTION("""COMPUTED_VALUE"""),"Rival")</f>
        <v>Rival</v>
      </c>
      <c r="D418" s="30" t="str">
        <f>IFERROR(__xludf.DUMMYFUNCTION("""COMPUTED_VALUE"""),"Dice")</f>
        <v>Dice</v>
      </c>
      <c r="E418" s="30" t="str">
        <f>IFERROR(__xludf.DUMMYFUNCTION("""COMPUTED_VALUE"""),"Never Lucky")</f>
        <v>Never Lucky</v>
      </c>
      <c r="F418" s="30" t="str">
        <f>IFERROR(__xludf.DUMMYFUNCTION("""COMPUTED_VALUE"""),"Lunar")</f>
        <v>Lunar</v>
      </c>
      <c r="G418" s="92">
        <f>IFERROR(__xludf.DUMMYFUNCTION("""COMPUTED_VALUE"""),46.34580122995752)</f>
        <v>46.34580123</v>
      </c>
    </row>
    <row r="419">
      <c r="A419" s="30" t="str">
        <f>IFERROR(__xludf.DUMMYFUNCTION("""COMPUTED_VALUE"""),"RSC006138")</f>
        <v>RSC006138</v>
      </c>
      <c r="B419" s="30" t="str">
        <f>IFERROR(__xludf.DUMMYFUNCTION("""COMPUTED_VALUE"""),"NekomancerKoral")</f>
        <v>NekomancerKoral</v>
      </c>
      <c r="C419" s="30" t="str">
        <f>IFERROR(__xludf.DUMMYFUNCTION("""COMPUTED_VALUE"""),"Rival")</f>
        <v>Rival</v>
      </c>
      <c r="D419" s="30" t="str">
        <f>IFERROR(__xludf.DUMMYFUNCTION("""COMPUTED_VALUE"""),"Jetstream")</f>
        <v>Jetstream</v>
      </c>
      <c r="E419" s="30" t="str">
        <f>IFERROR(__xludf.DUMMYFUNCTION("""COMPUTED_VALUE"""),"Remove Before Flight")</f>
        <v>Remove Before Flight</v>
      </c>
      <c r="F419" s="30" t="str">
        <f>IFERROR(__xludf.DUMMYFUNCTION("""COMPUTED_VALUE"""),"Lunar")</f>
        <v>Lunar</v>
      </c>
      <c r="G419" s="92">
        <f>IFERROR(__xludf.DUMMYFUNCTION("""COMPUTED_VALUE"""),40.898182162510295)</f>
        <v>40.89818216</v>
      </c>
    </row>
    <row r="420">
      <c r="A420" s="30" t="str">
        <f>IFERROR(__xludf.DUMMYFUNCTION("""COMPUTED_VALUE"""),"RSC006044")</f>
        <v>RSC006044</v>
      </c>
      <c r="B420" s="30" t="str">
        <f>IFERROR(__xludf.DUMMYFUNCTION("""COMPUTED_VALUE"""),"HybridParagon")</f>
        <v>HybridParagon</v>
      </c>
      <c r="C420" s="30" t="str">
        <f>IFERROR(__xludf.DUMMYFUNCTION("""COMPUTED_VALUE"""),"Rival")</f>
        <v>Rival</v>
      </c>
      <c r="D420" s="30" t="str">
        <f>IFERROR(__xludf.DUMMYFUNCTION("""COMPUTED_VALUE"""),"Necrotic Nerds")</f>
        <v>Necrotic Nerds</v>
      </c>
      <c r="E420" s="30" t="str">
        <f>IFERROR(__xludf.DUMMYFUNCTION("""COMPUTED_VALUE"""),"Ghoul School")</f>
        <v>Ghoul School</v>
      </c>
      <c r="F420" s="30" t="str">
        <f>IFERROR(__xludf.DUMMYFUNCTION("""COMPUTED_VALUE"""),"Solar")</f>
        <v>Solar</v>
      </c>
      <c r="G420" s="92">
        <f>IFERROR(__xludf.DUMMYFUNCTION("""COMPUTED_VALUE"""),15.70319960580747)</f>
        <v>15.70319961</v>
      </c>
    </row>
    <row r="421">
      <c r="A421" s="30" t="str">
        <f>IFERROR(__xludf.DUMMYFUNCTION("""COMPUTED_VALUE"""),"RSC007561")</f>
        <v>RSC007561</v>
      </c>
      <c r="B421" s="30" t="str">
        <f>IFERROR(__xludf.DUMMYFUNCTION("""COMPUTED_VALUE"""),"Grabbitzz")</f>
        <v>Grabbitzz</v>
      </c>
      <c r="C421" s="30" t="str">
        <f>IFERROR(__xludf.DUMMYFUNCTION("""COMPUTED_VALUE"""),"Rival")</f>
        <v>Rival</v>
      </c>
      <c r="D421" s="30" t="str">
        <f>IFERROR(__xludf.DUMMYFUNCTION("""COMPUTED_VALUE"""),"Polar Bears")</f>
        <v>Polar Bears</v>
      </c>
      <c r="E421" s="30" t="str">
        <f>IFERROR(__xludf.DUMMYFUNCTION("""COMPUTED_VALUE"""),"The Bear Den")</f>
        <v>The Bear Den</v>
      </c>
      <c r="F421" s="30" t="str">
        <f>IFERROR(__xludf.DUMMYFUNCTION("""COMPUTED_VALUE"""),"Lunar")</f>
        <v>Lunar</v>
      </c>
      <c r="G421" s="92">
        <f>IFERROR(__xludf.DUMMYFUNCTION("""COMPUTED_VALUE"""),41.99268769378738)</f>
        <v>41.99268769</v>
      </c>
    </row>
    <row r="422">
      <c r="A422" s="30" t="str">
        <f>IFERROR(__xludf.DUMMYFUNCTION("""COMPUTED_VALUE"""),"RSC007847")</f>
        <v>RSC007847</v>
      </c>
      <c r="B422" s="30" t="str">
        <f>IFERROR(__xludf.DUMMYFUNCTION("""COMPUTED_VALUE"""),"GoodGuyGlaz")</f>
        <v>GoodGuyGlaz</v>
      </c>
      <c r="C422" s="30" t="str">
        <f>IFERROR(__xludf.DUMMYFUNCTION("""COMPUTED_VALUE"""),"Rival")</f>
        <v>Rival</v>
      </c>
      <c r="D422" s="30" t="str">
        <f>IFERROR(__xludf.DUMMYFUNCTION("""COMPUTED_VALUE"""),"Ruthless Racket")</f>
        <v>Ruthless Racket</v>
      </c>
      <c r="E422" s="30" t="str">
        <f>IFERROR(__xludf.DUMMYFUNCTION("""COMPUTED_VALUE"""),"The Syndicate")</f>
        <v>The Syndicate</v>
      </c>
      <c r="F422" s="30" t="str">
        <f>IFERROR(__xludf.DUMMYFUNCTION("""COMPUTED_VALUE"""),"Lunar")</f>
        <v>Lunar</v>
      </c>
      <c r="G422" s="92">
        <f>IFERROR(__xludf.DUMMYFUNCTION("""COMPUTED_VALUE"""),20.286785738556247)</f>
        <v>20.28678574</v>
      </c>
    </row>
    <row r="423">
      <c r="A423" s="30" t="str">
        <f>IFERROR(__xludf.DUMMYFUNCTION("""COMPUTED_VALUE"""),"RSC007527")</f>
        <v>RSC007527</v>
      </c>
      <c r="B423" s="30" t="str">
        <f>IFERROR(__xludf.DUMMYFUNCTION("""COMPUTED_VALUE"""),"Yort")</f>
        <v>Yort</v>
      </c>
      <c r="C423" s="30" t="str">
        <f>IFERROR(__xludf.DUMMYFUNCTION("""COMPUTED_VALUE"""),"Rival")</f>
        <v>Rival</v>
      </c>
      <c r="D423" s="30" t="str">
        <f>IFERROR(__xludf.DUMMYFUNCTION("""COMPUTED_VALUE"""),"Dracos")</f>
        <v>Dracos</v>
      </c>
      <c r="E423" s="30" t="str">
        <f>IFERROR(__xludf.DUMMYFUNCTION("""COMPUTED_VALUE"""),"The Forest")</f>
        <v>The Forest</v>
      </c>
      <c r="F423" s="30" t="str">
        <f>IFERROR(__xludf.DUMMYFUNCTION("""COMPUTED_VALUE"""),"Solar")</f>
        <v>Solar</v>
      </c>
      <c r="G423" s="92">
        <f>IFERROR(__xludf.DUMMYFUNCTION("""COMPUTED_VALUE"""),52.118931100596605)</f>
        <v>52.1189311</v>
      </c>
    </row>
    <row r="424">
      <c r="A424" s="30" t="str">
        <f>IFERROR(__xludf.DUMMYFUNCTION("""COMPUTED_VALUE"""),"RSC006338")</f>
        <v>RSC006338</v>
      </c>
      <c r="B424" s="30" t="str">
        <f>IFERROR(__xludf.DUMMYFUNCTION("""COMPUTED_VALUE"""),"mykul.457")</f>
        <v>mykul.457</v>
      </c>
      <c r="C424" s="30" t="str">
        <f>IFERROR(__xludf.DUMMYFUNCTION("""COMPUTED_VALUE"""),"Rival")</f>
        <v>Rival</v>
      </c>
      <c r="D424" s="30" t="str">
        <f>IFERROR(__xludf.DUMMYFUNCTION("""COMPUTED_VALUE"""),"Hue Heroes")</f>
        <v>Hue Heroes</v>
      </c>
      <c r="E424" s="30" t="str">
        <f>IFERROR(__xludf.DUMMYFUNCTION("""COMPUTED_VALUE"""),"Art Club")</f>
        <v>Art Club</v>
      </c>
      <c r="F424" s="30" t="str">
        <f>IFERROR(__xludf.DUMMYFUNCTION("""COMPUTED_VALUE"""),"Solar")</f>
        <v>Solar</v>
      </c>
      <c r="G424" s="92">
        <f>IFERROR(__xludf.DUMMYFUNCTION("""COMPUTED_VALUE"""),65.60491407171332)</f>
        <v>65.60491407</v>
      </c>
    </row>
    <row r="425">
      <c r="A425" s="30" t="str">
        <f>IFERROR(__xludf.DUMMYFUNCTION("""COMPUTED_VALUE"""),"RSC006480")</f>
        <v>RSC006480</v>
      </c>
      <c r="B425" s="30" t="str">
        <f>IFERROR(__xludf.DUMMYFUNCTION("""COMPUTED_VALUE"""),"Lazyz.")</f>
        <v>Lazyz.</v>
      </c>
      <c r="C425" s="30" t="str">
        <f>IFERROR(__xludf.DUMMYFUNCTION("""COMPUTED_VALUE"""),"Rival")</f>
        <v>Rival</v>
      </c>
      <c r="D425" s="30" t="str">
        <f>IFERROR(__xludf.DUMMYFUNCTION("""COMPUTED_VALUE"""),"Dracos")</f>
        <v>Dracos</v>
      </c>
      <c r="E425" s="30" t="str">
        <f>IFERROR(__xludf.DUMMYFUNCTION("""COMPUTED_VALUE"""),"The Forest")</f>
        <v>The Forest</v>
      </c>
      <c r="F425" s="30" t="str">
        <f>IFERROR(__xludf.DUMMYFUNCTION("""COMPUTED_VALUE"""),"Solar")</f>
        <v>Solar</v>
      </c>
      <c r="G425" s="92">
        <f>IFERROR(__xludf.DUMMYFUNCTION("""COMPUTED_VALUE"""),65.59346874357817)</f>
        <v>65.59346874</v>
      </c>
    </row>
    <row r="426">
      <c r="A426" s="30" t="str">
        <f>IFERROR(__xludf.DUMMYFUNCTION("""COMPUTED_VALUE"""),"RSC005455")</f>
        <v>RSC005455</v>
      </c>
      <c r="B426" s="30" t="str">
        <f>IFERROR(__xludf.DUMMYFUNCTION("""COMPUTED_VALUE"""),"Covi")</f>
        <v>Covi</v>
      </c>
      <c r="C426" s="30" t="str">
        <f>IFERROR(__xludf.DUMMYFUNCTION("""COMPUTED_VALUE"""),"Rival")</f>
        <v>Rival</v>
      </c>
      <c r="D426" s="30" t="str">
        <f>IFERROR(__xludf.DUMMYFUNCTION("""COMPUTED_VALUE"""),"Hammerheads")</f>
        <v>Hammerheads</v>
      </c>
      <c r="E426" s="30" t="str">
        <f>IFERROR(__xludf.DUMMYFUNCTION("""COMPUTED_VALUE"""),"Shark Attack")</f>
        <v>Shark Attack</v>
      </c>
      <c r="F426" s="30" t="str">
        <f>IFERROR(__xludf.DUMMYFUNCTION("""COMPUTED_VALUE"""),"Solar")</f>
        <v>Solar</v>
      </c>
      <c r="G426" s="92">
        <f>IFERROR(__xludf.DUMMYFUNCTION("""COMPUTED_VALUE"""),41.808441985875895)</f>
        <v>41.80844199</v>
      </c>
    </row>
    <row r="427">
      <c r="A427" s="30" t="str">
        <f>IFERROR(__xludf.DUMMYFUNCTION("""COMPUTED_VALUE"""),"RSC000828")</f>
        <v>RSC000828</v>
      </c>
      <c r="B427" s="30" t="str">
        <f>IFERROR(__xludf.DUMMYFUNCTION("""COMPUTED_VALUE"""),"MattViaAirwaves")</f>
        <v>MattViaAirwaves</v>
      </c>
      <c r="C427" s="30" t="str">
        <f>IFERROR(__xludf.DUMMYFUNCTION("""COMPUTED_VALUE"""),"Rival")</f>
        <v>Rival</v>
      </c>
      <c r="D427" s="30" t="str">
        <f>IFERROR(__xludf.DUMMYFUNCTION("""COMPUTED_VALUE"""),"Polar Ice")</f>
        <v>Polar Ice</v>
      </c>
      <c r="E427" s="30" t="str">
        <f>IFERROR(__xludf.DUMMYFUNCTION("""COMPUTED_VALUE"""),"Minty Fresh")</f>
        <v>Minty Fresh</v>
      </c>
      <c r="F427" s="30" t="str">
        <f>IFERROR(__xludf.DUMMYFUNCTION("""COMPUTED_VALUE"""),"Solar")</f>
        <v>Solar</v>
      </c>
      <c r="G427" s="92">
        <f>IFERROR(__xludf.DUMMYFUNCTION("""COMPUTED_VALUE"""),49.27624778604311)</f>
        <v>49.27624779</v>
      </c>
    </row>
    <row r="428">
      <c r="A428" s="30" t="str">
        <f>IFERROR(__xludf.DUMMYFUNCTION("""COMPUTED_VALUE"""),"RSC000726")</f>
        <v>RSC000726</v>
      </c>
      <c r="B428" s="30" t="str">
        <f>IFERROR(__xludf.DUMMYFUNCTION("""COMPUTED_VALUE"""),"Way2Luckee")</f>
        <v>Way2Luckee</v>
      </c>
      <c r="C428" s="30" t="str">
        <f>IFERROR(__xludf.DUMMYFUNCTION("""COMPUTED_VALUE"""),"Rival")</f>
        <v>Rival</v>
      </c>
      <c r="D428" s="30" t="str">
        <f>IFERROR(__xludf.DUMMYFUNCTION("""COMPUTED_VALUE"""),"Blizzards")</f>
        <v>Blizzards</v>
      </c>
      <c r="E428" s="30" t="str">
        <f>IFERROR(__xludf.DUMMYFUNCTION("""COMPUTED_VALUE"""),"Storm")</f>
        <v>Storm</v>
      </c>
      <c r="F428" s="30" t="str">
        <f>IFERROR(__xludf.DUMMYFUNCTION("""COMPUTED_VALUE"""),"Solar")</f>
        <v>Solar</v>
      </c>
      <c r="G428" s="92">
        <f>IFERROR(__xludf.DUMMYFUNCTION("""COMPUTED_VALUE"""),7.907277900669442)</f>
        <v>7.907277901</v>
      </c>
    </row>
    <row r="429">
      <c r="A429" s="30" t="str">
        <f>IFERROR(__xludf.DUMMYFUNCTION("""COMPUTED_VALUE"""),"RSC006372")</f>
        <v>RSC006372</v>
      </c>
      <c r="B429" s="30" t="str">
        <f>IFERROR(__xludf.DUMMYFUNCTION("""COMPUTED_VALUE"""),"x ARC Fives x")</f>
        <v>x ARC Fives x</v>
      </c>
      <c r="C429" s="30" t="str">
        <f>IFERROR(__xludf.DUMMYFUNCTION("""COMPUTED_VALUE"""),"Rival")</f>
        <v>Rival</v>
      </c>
      <c r="D429" s="30" t="str">
        <f>IFERROR(__xludf.DUMMYFUNCTION("""COMPUTED_VALUE"""),"Heavy Metal")</f>
        <v>Heavy Metal</v>
      </c>
      <c r="E429" s="30" t="str">
        <f>IFERROR(__xludf.DUMMYFUNCTION("""COMPUTED_VALUE"""),"The Pit")</f>
        <v>The Pit</v>
      </c>
      <c r="F429" s="30" t="str">
        <f>IFERROR(__xludf.DUMMYFUNCTION("""COMPUTED_VALUE"""),"Lunar")</f>
        <v>Lunar</v>
      </c>
      <c r="G429" s="92">
        <f>IFERROR(__xludf.DUMMYFUNCTION("""COMPUTED_VALUE"""),35.73392541793009)</f>
        <v>35.73392542</v>
      </c>
    </row>
    <row r="430">
      <c r="A430" s="30" t="str">
        <f>IFERROR(__xludf.DUMMYFUNCTION("""COMPUTED_VALUE"""),"RSC000111")</f>
        <v>RSC000111</v>
      </c>
      <c r="B430" s="30" t="str">
        <f>IFERROR(__xludf.DUMMYFUNCTION("""COMPUTED_VALUE"""),"Wheelchair {LFLegs}")</f>
        <v>Wheelchair {LFLegs}</v>
      </c>
      <c r="C430" s="30" t="str">
        <f>IFERROR(__xludf.DUMMYFUNCTION("""COMPUTED_VALUE"""),"Rival")</f>
        <v>Rival</v>
      </c>
      <c r="D430" s="30" t="str">
        <f>IFERROR(__xludf.DUMMYFUNCTION("""COMPUTED_VALUE"""),"Dice")</f>
        <v>Dice</v>
      </c>
      <c r="E430" s="30" t="str">
        <f>IFERROR(__xludf.DUMMYFUNCTION("""COMPUTED_VALUE"""),"Never Lucky")</f>
        <v>Never Lucky</v>
      </c>
      <c r="F430" s="30" t="str">
        <f>IFERROR(__xludf.DUMMYFUNCTION("""COMPUTED_VALUE"""),"Lunar")</f>
        <v>Lunar</v>
      </c>
      <c r="G430" s="92">
        <f>IFERROR(__xludf.DUMMYFUNCTION("""COMPUTED_VALUE"""),-24.86469518464088)</f>
        <v>-24.86469518</v>
      </c>
    </row>
    <row r="431">
      <c r="A431" s="30" t="str">
        <f>IFERROR(__xludf.DUMMYFUNCTION("""COMPUTED_VALUE"""),"RSC005699")</f>
        <v>RSC005699</v>
      </c>
      <c r="B431" s="30" t="str">
        <f>IFERROR(__xludf.DUMMYFUNCTION("""COMPUTED_VALUE"""),"masdhapotatoes")</f>
        <v>masdhapotatoes</v>
      </c>
      <c r="C431" s="30" t="str">
        <f>IFERROR(__xludf.DUMMYFUNCTION("""COMPUTED_VALUE"""),"Rival")</f>
        <v>Rival</v>
      </c>
      <c r="D431" s="30" t="str">
        <f>IFERROR(__xludf.DUMMYFUNCTION("""COMPUTED_VALUE"""),"Bulldozers")</f>
        <v>Bulldozers</v>
      </c>
      <c r="E431" s="30" t="str">
        <f>IFERROR(__xludf.DUMMYFUNCTION("""COMPUTED_VALUE"""),"Road Work Ahead")</f>
        <v>Road Work Ahead</v>
      </c>
      <c r="F431" s="30" t="str">
        <f>IFERROR(__xludf.DUMMYFUNCTION("""COMPUTED_VALUE"""),"Lunar")</f>
        <v>Lunar</v>
      </c>
      <c r="G431" s="92">
        <f>IFERROR(__xludf.DUMMYFUNCTION("""COMPUTED_VALUE"""),10.94069026879749)</f>
        <v>10.94069027</v>
      </c>
    </row>
    <row r="432">
      <c r="A432" s="30" t="str">
        <f>IFERROR(__xludf.DUMMYFUNCTION("""COMPUTED_VALUE"""),"RSC004790")</f>
        <v>RSC004790</v>
      </c>
      <c r="B432" s="30" t="str">
        <f>IFERROR(__xludf.DUMMYFUNCTION("""COMPUTED_VALUE"""),"TheFrostNL")</f>
        <v>TheFrostNL</v>
      </c>
      <c r="C432" s="30" t="str">
        <f>IFERROR(__xludf.DUMMYFUNCTION("""COMPUTED_VALUE"""),"Rival")</f>
        <v>Rival</v>
      </c>
      <c r="D432" s="30" t="str">
        <f>IFERROR(__xludf.DUMMYFUNCTION("""COMPUTED_VALUE"""),"Nightfall")</f>
        <v>Nightfall</v>
      </c>
      <c r="E432" s="30" t="str">
        <f>IFERROR(__xludf.DUMMYFUNCTION("""COMPUTED_VALUE"""),"The Shadows")</f>
        <v>The Shadows</v>
      </c>
      <c r="F432" s="30" t="str">
        <f>IFERROR(__xludf.DUMMYFUNCTION("""COMPUTED_VALUE"""),"Lunar")</f>
        <v>Lunar</v>
      </c>
      <c r="G432" s="92">
        <f>IFERROR(__xludf.DUMMYFUNCTION("""COMPUTED_VALUE"""),24.515526181916385)</f>
        <v>24.51552618</v>
      </c>
    </row>
    <row r="433">
      <c r="A433" s="30" t="str">
        <f>IFERROR(__xludf.DUMMYFUNCTION("""COMPUTED_VALUE"""),"RSC006774")</f>
        <v>RSC006774</v>
      </c>
      <c r="B433" s="30" t="str">
        <f>IFERROR(__xludf.DUMMYFUNCTION("""COMPUTED_VALUE"""),"JazzMagic.")</f>
        <v>JazzMagic.</v>
      </c>
      <c r="C433" s="30" t="str">
        <f>IFERROR(__xludf.DUMMYFUNCTION("""COMPUTED_VALUE"""),"Rival")</f>
        <v>Rival</v>
      </c>
      <c r="D433" s="30" t="str">
        <f>IFERROR(__xludf.DUMMYFUNCTION("""COMPUTED_VALUE"""),"Hippos")</f>
        <v>Hippos</v>
      </c>
      <c r="E433" s="30" t="str">
        <f>IFERROR(__xludf.DUMMYFUNCTION("""COMPUTED_VALUE"""),"Safari")</f>
        <v>Safari</v>
      </c>
      <c r="F433" s="30" t="str">
        <f>IFERROR(__xludf.DUMMYFUNCTION("""COMPUTED_VALUE"""),"Lunar")</f>
        <v>Lunar</v>
      </c>
      <c r="G433" s="92">
        <f>IFERROR(__xludf.DUMMYFUNCTION("""COMPUTED_VALUE"""),63.138787739100636)</f>
        <v>63.13878774</v>
      </c>
    </row>
    <row r="434">
      <c r="A434" s="30" t="str">
        <f>IFERROR(__xludf.DUMMYFUNCTION("""COMPUTED_VALUE"""),"RSC006664")</f>
        <v>RSC006664</v>
      </c>
      <c r="B434" s="30" t="str">
        <f>IFERROR(__xludf.DUMMYFUNCTION("""COMPUTED_VALUE"""),"Godless")</f>
        <v>Godless</v>
      </c>
      <c r="C434" s="30" t="str">
        <f>IFERROR(__xludf.DUMMYFUNCTION("""COMPUTED_VALUE"""),"Rival")</f>
        <v>Rival</v>
      </c>
      <c r="D434" s="30" t="str">
        <f>IFERROR(__xludf.DUMMYFUNCTION("""COMPUTED_VALUE"""),"Iris")</f>
        <v>Iris</v>
      </c>
      <c r="E434" s="30" t="str">
        <f>IFERROR(__xludf.DUMMYFUNCTION("""COMPUTED_VALUE"""),"Flower Road")</f>
        <v>Flower Road</v>
      </c>
      <c r="F434" s="30" t="str">
        <f>IFERROR(__xludf.DUMMYFUNCTION("""COMPUTED_VALUE"""),"Lunar")</f>
        <v>Lunar</v>
      </c>
      <c r="G434" s="92">
        <f>IFERROR(__xludf.DUMMYFUNCTION("""COMPUTED_VALUE"""),70.13091079319129)</f>
        <v>70.13091079</v>
      </c>
    </row>
    <row r="435">
      <c r="A435" s="30" t="str">
        <f>IFERROR(__xludf.DUMMYFUNCTION("""COMPUTED_VALUE"""),"RSC003900")</f>
        <v>RSC003900</v>
      </c>
      <c r="B435" s="30" t="str">
        <f>IFERROR(__xludf.DUMMYFUNCTION("""COMPUTED_VALUE"""),"Tryhard goblin")</f>
        <v>Tryhard goblin</v>
      </c>
      <c r="C435" s="30" t="str">
        <f>IFERROR(__xludf.DUMMYFUNCTION("""COMPUTED_VALUE"""),"Rival")</f>
        <v>Rival</v>
      </c>
      <c r="D435" s="30" t="str">
        <f>IFERROR(__xludf.DUMMYFUNCTION("""COMPUTED_VALUE"""),"Phantoms")</f>
        <v>Phantoms</v>
      </c>
      <c r="E435" s="30" t="str">
        <f>IFERROR(__xludf.DUMMYFUNCTION("""COMPUTED_VALUE"""),"The Monster Mash")</f>
        <v>The Monster Mash</v>
      </c>
      <c r="F435" s="30" t="str">
        <f>IFERROR(__xludf.DUMMYFUNCTION("""COMPUTED_VALUE"""),"Lunar")</f>
        <v>Lunar</v>
      </c>
      <c r="G435" s="92">
        <f>IFERROR(__xludf.DUMMYFUNCTION("""COMPUTED_VALUE"""),18.00070859326365)</f>
        <v>18.00070859</v>
      </c>
    </row>
    <row r="436">
      <c r="A436" s="30" t="str">
        <f>IFERROR(__xludf.DUMMYFUNCTION("""COMPUTED_VALUE"""),"RSC000813")</f>
        <v>RSC000813</v>
      </c>
      <c r="B436" s="30" t="str">
        <f>IFERROR(__xludf.DUMMYFUNCTION("""COMPUTED_VALUE"""),"Ziggy.")</f>
        <v>Ziggy.</v>
      </c>
      <c r="C436" s="30" t="str">
        <f>IFERROR(__xludf.DUMMYFUNCTION("""COMPUTED_VALUE"""),"Rival")</f>
        <v>Rival</v>
      </c>
      <c r="D436" s="30" t="str">
        <f>IFERROR(__xludf.DUMMYFUNCTION("""COMPUTED_VALUE"""),"Dice")</f>
        <v>Dice</v>
      </c>
      <c r="E436" s="30" t="str">
        <f>IFERROR(__xludf.DUMMYFUNCTION("""COMPUTED_VALUE"""),"Never Lucky")</f>
        <v>Never Lucky</v>
      </c>
      <c r="F436" s="30" t="str">
        <f>IFERROR(__xludf.DUMMYFUNCTION("""COMPUTED_VALUE"""),"Lunar")</f>
        <v>Lunar</v>
      </c>
      <c r="G436" s="92">
        <f>IFERROR(__xludf.DUMMYFUNCTION("""COMPUTED_VALUE"""),26.75778856951606)</f>
        <v>26.75778857</v>
      </c>
    </row>
    <row r="437">
      <c r="A437" s="30" t="str">
        <f>IFERROR(__xludf.DUMMYFUNCTION("""COMPUTED_VALUE"""),"RSC005314")</f>
        <v>RSC005314</v>
      </c>
      <c r="B437" s="30" t="str">
        <f>IFERROR(__xludf.DUMMYFUNCTION("""COMPUTED_VALUE"""),"daggumbigfeet")</f>
        <v>daggumbigfeet</v>
      </c>
      <c r="C437" s="30" t="str">
        <f>IFERROR(__xludf.DUMMYFUNCTION("""COMPUTED_VALUE"""),"Rival")</f>
        <v>Rival</v>
      </c>
      <c r="D437" s="30" t="str">
        <f>IFERROR(__xludf.DUMMYFUNCTION("""COMPUTED_VALUE"""),"Dice")</f>
        <v>Dice</v>
      </c>
      <c r="E437" s="30" t="str">
        <f>IFERROR(__xludf.DUMMYFUNCTION("""COMPUTED_VALUE"""),"Never Lucky")</f>
        <v>Never Lucky</v>
      </c>
      <c r="F437" s="30" t="str">
        <f>IFERROR(__xludf.DUMMYFUNCTION("""COMPUTED_VALUE"""),"Lunar")</f>
        <v>Lunar</v>
      </c>
      <c r="G437" s="92">
        <f>IFERROR(__xludf.DUMMYFUNCTION("""COMPUTED_VALUE"""),62.86221072325834)</f>
        <v>62.86221072</v>
      </c>
    </row>
    <row r="438">
      <c r="A438" s="30" t="str">
        <f>IFERROR(__xludf.DUMMYFUNCTION("""COMPUTED_VALUE"""),"RSC007173")</f>
        <v>RSC007173</v>
      </c>
      <c r="B438" s="30" t="str">
        <f>IFERROR(__xludf.DUMMYFUNCTION("""COMPUTED_VALUE"""),"mr_marino_")</f>
        <v>mr_marino_</v>
      </c>
      <c r="C438" s="30" t="str">
        <f>IFERROR(__xludf.DUMMYFUNCTION("""COMPUTED_VALUE"""),"Rival")</f>
        <v>Rival</v>
      </c>
      <c r="D438" s="30" t="str">
        <f>IFERROR(__xludf.DUMMYFUNCTION("""COMPUTED_VALUE"""),"Lacuna")</f>
        <v>Lacuna</v>
      </c>
      <c r="E438" s="30" t="str">
        <f>IFERROR(__xludf.DUMMYFUNCTION("""COMPUTED_VALUE"""),"Event Horizon")</f>
        <v>Event Horizon</v>
      </c>
      <c r="F438" s="30" t="str">
        <f>IFERROR(__xludf.DUMMYFUNCTION("""COMPUTED_VALUE"""),"Solar")</f>
        <v>Solar</v>
      </c>
      <c r="G438" s="92">
        <f>IFERROR(__xludf.DUMMYFUNCTION("""COMPUTED_VALUE"""),13.451915392810093)</f>
        <v>13.45191539</v>
      </c>
    </row>
    <row r="439">
      <c r="A439" s="30" t="str">
        <f>IFERROR(__xludf.DUMMYFUNCTION("""COMPUTED_VALUE"""),"RSC007906")</f>
        <v>RSC007906</v>
      </c>
      <c r="B439" s="30" t="str">
        <f>IFERROR(__xludf.DUMMYFUNCTION("""COMPUTED_VALUE"""),"Vaz1fy-")</f>
        <v>Vaz1fy-</v>
      </c>
      <c r="C439" s="30" t="str">
        <f>IFERROR(__xludf.DUMMYFUNCTION("""COMPUTED_VALUE"""),"Rival")</f>
        <v>Rival</v>
      </c>
      <c r="D439" s="30" t="str">
        <f>IFERROR(__xludf.DUMMYFUNCTION("""COMPUTED_VALUE"""),"Funk Hunks
Hue Heroes")</f>
        <v>Funk Hunks
Hue Heroes</v>
      </c>
      <c r="E439" s="30" t="str">
        <f>IFERROR(__xludf.DUMMYFUNCTION("""COMPUTED_VALUE"""),"Vibe Tribe
Art Club")</f>
        <v>Vibe Tribe
Art Club</v>
      </c>
      <c r="F439" s="30" t="str">
        <f>IFERROR(__xludf.DUMMYFUNCTION("""COMPUTED_VALUE"""),"Lunar")</f>
        <v>Lunar</v>
      </c>
      <c r="G439" s="92">
        <f>IFERROR(__xludf.DUMMYFUNCTION("""COMPUTED_VALUE"""),-10.717919635437056)</f>
        <v>-10.71791964</v>
      </c>
    </row>
    <row r="440">
      <c r="A440" s="30" t="str">
        <f>IFERROR(__xludf.DUMMYFUNCTION("""COMPUTED_VALUE"""),"RSC007213")</f>
        <v>RSC007213</v>
      </c>
      <c r="B440" s="30" t="str">
        <f>IFERROR(__xludf.DUMMYFUNCTION("""COMPUTED_VALUE"""),"Pythronex")</f>
        <v>Pythronex</v>
      </c>
      <c r="C440" s="30" t="str">
        <f>IFERROR(__xludf.DUMMYFUNCTION("""COMPUTED_VALUE"""),"Rival")</f>
        <v>Rival</v>
      </c>
      <c r="D440" s="30" t="str">
        <f>IFERROR(__xludf.DUMMYFUNCTION("""COMPUTED_VALUE"""),"Hue Heroes")</f>
        <v>Hue Heroes</v>
      </c>
      <c r="E440" s="30" t="str">
        <f>IFERROR(__xludf.DUMMYFUNCTION("""COMPUTED_VALUE"""),"Art Club")</f>
        <v>Art Club</v>
      </c>
      <c r="F440" s="30" t="str">
        <f>IFERROR(__xludf.DUMMYFUNCTION("""COMPUTED_VALUE"""),"Solar")</f>
        <v>Solar</v>
      </c>
      <c r="G440" s="92">
        <f>IFERROR(__xludf.DUMMYFUNCTION("""COMPUTED_VALUE"""),27.9402704872351)</f>
        <v>27.94027049</v>
      </c>
    </row>
    <row r="441">
      <c r="A441" s="30" t="str">
        <f>IFERROR(__xludf.DUMMYFUNCTION("""COMPUTED_VALUE"""),"RSC005513")</f>
        <v>RSC005513</v>
      </c>
      <c r="B441" s="30" t="str">
        <f>IFERROR(__xludf.DUMMYFUNCTION("""COMPUTED_VALUE"""),"TV_ImpactReapz")</f>
        <v>TV_ImpactReapz</v>
      </c>
      <c r="C441" s="30" t="str">
        <f>IFERROR(__xludf.DUMMYFUNCTION("""COMPUTED_VALUE"""),"Rival")</f>
        <v>Rival</v>
      </c>
      <c r="D441" s="30" t="str">
        <f>IFERROR(__xludf.DUMMYFUNCTION("""COMPUTED_VALUE"""),"Asiago Arsonists")</f>
        <v>Asiago Arsonists</v>
      </c>
      <c r="E441" s="30" t="str">
        <f>IFERROR(__xludf.DUMMYFUNCTION("""COMPUTED_VALUE"""),"Cheese Guild")</f>
        <v>Cheese Guild</v>
      </c>
      <c r="F441" s="30" t="str">
        <f>IFERROR(__xludf.DUMMYFUNCTION("""COMPUTED_VALUE"""),"Lunar")</f>
        <v>Lunar</v>
      </c>
      <c r="G441" s="92">
        <f>IFERROR(__xludf.DUMMYFUNCTION("""COMPUTED_VALUE"""),34.294626720217224)</f>
        <v>34.29462672</v>
      </c>
    </row>
    <row r="442">
      <c r="A442" s="30" t="str">
        <f>IFERROR(__xludf.DUMMYFUNCTION("""COMPUTED_VALUE"""),"RSC004365")</f>
        <v>RSC004365</v>
      </c>
      <c r="B442" s="30" t="str">
        <f>IFERROR(__xludf.DUMMYFUNCTION("""COMPUTED_VALUE"""),"Mattixbigs")</f>
        <v>Mattixbigs</v>
      </c>
      <c r="C442" s="30" t="str">
        <f>IFERROR(__xludf.DUMMYFUNCTION("""COMPUTED_VALUE"""),"Rival")</f>
        <v>Rival</v>
      </c>
      <c r="D442" s="30" t="str">
        <f>IFERROR(__xludf.DUMMYFUNCTION("""COMPUTED_VALUE"""),"Ostriches")</f>
        <v>Ostriches</v>
      </c>
      <c r="E442" s="30" t="str">
        <f>IFERROR(__xludf.DUMMYFUNCTION("""COMPUTED_VALUE"""),"Flightless Fowl")</f>
        <v>Flightless Fowl</v>
      </c>
      <c r="F442" s="30" t="str">
        <f>IFERROR(__xludf.DUMMYFUNCTION("""COMPUTED_VALUE"""),"Solar")</f>
        <v>Solar</v>
      </c>
      <c r="G442" s="92">
        <f>IFERROR(__xludf.DUMMYFUNCTION("""COMPUTED_VALUE"""),63.20076004967311)</f>
        <v>63.20076005</v>
      </c>
    </row>
    <row r="443">
      <c r="A443" s="30" t="str">
        <f>IFERROR(__xludf.DUMMYFUNCTION("""COMPUTED_VALUE"""),"RSC001032")</f>
        <v>RSC001032</v>
      </c>
      <c r="B443" s="30" t="str">
        <f>IFERROR(__xludf.DUMMYFUNCTION("""COMPUTED_VALUE"""),"JmE")</f>
        <v>JmE</v>
      </c>
      <c r="C443" s="30" t="str">
        <f>IFERROR(__xludf.DUMMYFUNCTION("""COMPUTED_VALUE"""),"Rival")</f>
        <v>Rival</v>
      </c>
      <c r="D443" s="30" t="str">
        <f>IFERROR(__xludf.DUMMYFUNCTION("""COMPUTED_VALUE"""),"Blizzards")</f>
        <v>Blizzards</v>
      </c>
      <c r="E443" s="30" t="str">
        <f>IFERROR(__xludf.DUMMYFUNCTION("""COMPUTED_VALUE"""),"Storm")</f>
        <v>Storm</v>
      </c>
      <c r="F443" s="30" t="str">
        <f>IFERROR(__xludf.DUMMYFUNCTION("""COMPUTED_VALUE"""),"Solar")</f>
        <v>Solar</v>
      </c>
      <c r="G443" s="92">
        <f>IFERROR(__xludf.DUMMYFUNCTION("""COMPUTED_VALUE"""),53.28476916901747)</f>
        <v>53.28476917</v>
      </c>
    </row>
    <row r="444">
      <c r="A444" s="30" t="str">
        <f>IFERROR(__xludf.DUMMYFUNCTION("""COMPUTED_VALUE"""),"RSC005493")</f>
        <v>RSC005493</v>
      </c>
      <c r="B444" s="30" t="str">
        <f>IFERROR(__xludf.DUMMYFUNCTION("""COMPUTED_VALUE"""),"NJ111_")</f>
        <v>NJ111_</v>
      </c>
      <c r="C444" s="30" t="str">
        <f>IFERROR(__xludf.DUMMYFUNCTION("""COMPUTED_VALUE"""),"Rival")</f>
        <v>Rival</v>
      </c>
      <c r="D444" s="30" t="str">
        <f>IFERROR(__xludf.DUMMYFUNCTION("""COMPUTED_VALUE"""),"Hammerheads")</f>
        <v>Hammerheads</v>
      </c>
      <c r="E444" s="30" t="str">
        <f>IFERROR(__xludf.DUMMYFUNCTION("""COMPUTED_VALUE"""),"Shark Attack")</f>
        <v>Shark Attack</v>
      </c>
      <c r="F444" s="30" t="str">
        <f>IFERROR(__xludf.DUMMYFUNCTION("""COMPUTED_VALUE"""),"Solar")</f>
        <v>Solar</v>
      </c>
      <c r="G444" s="92">
        <f>IFERROR(__xludf.DUMMYFUNCTION("""COMPUTED_VALUE"""),59.40890410581836)</f>
        <v>59.40890411</v>
      </c>
    </row>
    <row r="445">
      <c r="A445" s="30" t="str">
        <f>IFERROR(__xludf.DUMMYFUNCTION("""COMPUTED_VALUE"""),"RSC007222")</f>
        <v>RSC007222</v>
      </c>
      <c r="B445" s="30" t="str">
        <f>IFERROR(__xludf.DUMMYFUNCTION("""COMPUTED_VALUE"""),"S3EZ")</f>
        <v>S3EZ</v>
      </c>
      <c r="C445" s="30" t="str">
        <f>IFERROR(__xludf.DUMMYFUNCTION("""COMPUTED_VALUE"""),"Rival")</f>
        <v>Rival</v>
      </c>
      <c r="D445" s="30" t="str">
        <f>IFERROR(__xludf.DUMMYFUNCTION("""COMPUTED_VALUE"""),"Ostriches")</f>
        <v>Ostriches</v>
      </c>
      <c r="E445" s="30" t="str">
        <f>IFERROR(__xludf.DUMMYFUNCTION("""COMPUTED_VALUE"""),"Flightless Fowl")</f>
        <v>Flightless Fowl</v>
      </c>
      <c r="F445" s="30" t="str">
        <f>IFERROR(__xludf.DUMMYFUNCTION("""COMPUTED_VALUE"""),"Solar")</f>
        <v>Solar</v>
      </c>
      <c r="G445" s="92">
        <f>IFERROR(__xludf.DUMMYFUNCTION("""COMPUTED_VALUE"""),46.16537084772127)</f>
        <v>46.16537085</v>
      </c>
    </row>
    <row r="446">
      <c r="A446" s="30" t="str">
        <f>IFERROR(__xludf.DUMMYFUNCTION("""COMPUTED_VALUE"""),"RSC006177")</f>
        <v>RSC006177</v>
      </c>
      <c r="B446" s="30" t="str">
        <f>IFERROR(__xludf.DUMMYFUNCTION("""COMPUTED_VALUE"""),"Flyerrr85")</f>
        <v>Flyerrr85</v>
      </c>
      <c r="C446" s="30" t="str">
        <f>IFERROR(__xludf.DUMMYFUNCTION("""COMPUTED_VALUE"""),"Rival")</f>
        <v>Rival</v>
      </c>
      <c r="D446" s="30" t="str">
        <f>IFERROR(__xludf.DUMMYFUNCTION("""COMPUTED_VALUE"""),"Hue Heroes")</f>
        <v>Hue Heroes</v>
      </c>
      <c r="E446" s="30" t="str">
        <f>IFERROR(__xludf.DUMMYFUNCTION("""COMPUTED_VALUE"""),"Art Club")</f>
        <v>Art Club</v>
      </c>
      <c r="F446" s="30" t="str">
        <f>IFERROR(__xludf.DUMMYFUNCTION("""COMPUTED_VALUE"""),"Solar")</f>
        <v>Solar</v>
      </c>
      <c r="G446" s="92">
        <f>IFERROR(__xludf.DUMMYFUNCTION("""COMPUTED_VALUE"""),39.495121719638476)</f>
        <v>39.49512172</v>
      </c>
    </row>
    <row r="447">
      <c r="A447" s="30" t="str">
        <f>IFERROR(__xludf.DUMMYFUNCTION("""COMPUTED_VALUE"""),"RSC005978")</f>
        <v>RSC005978</v>
      </c>
      <c r="B447" s="30" t="str">
        <f>IFERROR(__xludf.DUMMYFUNCTION("""COMPUTED_VALUE"""),"xDraco0")</f>
        <v>xDraco0</v>
      </c>
      <c r="C447" s="30" t="str">
        <f>IFERROR(__xludf.DUMMYFUNCTION("""COMPUTED_VALUE"""),"Rival")</f>
        <v>Rival</v>
      </c>
      <c r="D447" s="30" t="str">
        <f>IFERROR(__xludf.DUMMYFUNCTION("""COMPUTED_VALUE"""),"Funk Hunks")</f>
        <v>Funk Hunks</v>
      </c>
      <c r="E447" s="30" t="str">
        <f>IFERROR(__xludf.DUMMYFUNCTION("""COMPUTED_VALUE"""),"Vibe Tribe")</f>
        <v>Vibe Tribe</v>
      </c>
      <c r="F447" s="30" t="str">
        <f>IFERROR(__xludf.DUMMYFUNCTION("""COMPUTED_VALUE"""),"Lunar")</f>
        <v>Lunar</v>
      </c>
      <c r="G447" s="92">
        <f>IFERROR(__xludf.DUMMYFUNCTION("""COMPUTED_VALUE"""),46.860879455622715)</f>
        <v>46.86087946</v>
      </c>
    </row>
    <row r="448">
      <c r="A448" s="30" t="str">
        <f>IFERROR(__xludf.DUMMYFUNCTION("""COMPUTED_VALUE"""),"RSC007774")</f>
        <v>RSC007774</v>
      </c>
      <c r="B448" s="30" t="str">
        <f>IFERROR(__xludf.DUMMYFUNCTION("""COMPUTED_VALUE"""),"Il Rogue lI")</f>
        <v>Il Rogue lI</v>
      </c>
      <c r="C448" s="30" t="str">
        <f>IFERROR(__xludf.DUMMYFUNCTION("""COMPUTED_VALUE"""),"Rival")</f>
        <v>Rival</v>
      </c>
      <c r="D448" s="30" t="str">
        <f>IFERROR(__xludf.DUMMYFUNCTION("""COMPUTED_VALUE"""),"Ruthless Racket")</f>
        <v>Ruthless Racket</v>
      </c>
      <c r="E448" s="30" t="str">
        <f>IFERROR(__xludf.DUMMYFUNCTION("""COMPUTED_VALUE"""),"The Syndicate")</f>
        <v>The Syndicate</v>
      </c>
      <c r="F448" s="30" t="str">
        <f>IFERROR(__xludf.DUMMYFUNCTION("""COMPUTED_VALUE"""),"Lunar")</f>
        <v>Lunar</v>
      </c>
      <c r="G448" s="92">
        <f>IFERROR(__xludf.DUMMYFUNCTION("""COMPUTED_VALUE"""),34.88943639471101)</f>
        <v>34.88943639</v>
      </c>
    </row>
    <row r="449">
      <c r="A449" s="30" t="str">
        <f>IFERROR(__xludf.DUMMYFUNCTION("""COMPUTED_VALUE"""),"RSC005077")</f>
        <v>RSC005077</v>
      </c>
      <c r="B449" s="30" t="str">
        <f>IFERROR(__xludf.DUMMYFUNCTION("""COMPUTED_VALUE"""),"kbm grifter")</f>
        <v>kbm grifter</v>
      </c>
      <c r="C449" s="30" t="str">
        <f>IFERROR(__xludf.DUMMYFUNCTION("""COMPUTED_VALUE"""),"Rival")</f>
        <v>Rival</v>
      </c>
      <c r="D449" s="30" t="str">
        <f>IFERROR(__xludf.DUMMYFUNCTION("""COMPUTED_VALUE"""),"Blizzards")</f>
        <v>Blizzards</v>
      </c>
      <c r="E449" s="30" t="str">
        <f>IFERROR(__xludf.DUMMYFUNCTION("""COMPUTED_VALUE"""),"Storm")</f>
        <v>Storm</v>
      </c>
      <c r="F449" s="30" t="str">
        <f>IFERROR(__xludf.DUMMYFUNCTION("""COMPUTED_VALUE"""),"Solar")</f>
        <v>Solar</v>
      </c>
      <c r="G449" s="92">
        <f>IFERROR(__xludf.DUMMYFUNCTION("""COMPUTED_VALUE"""),56.869469630892596)</f>
        <v>56.86946963</v>
      </c>
    </row>
    <row r="450">
      <c r="A450" s="30" t="str">
        <f>IFERROR(__xludf.DUMMYFUNCTION("""COMPUTED_VALUE"""),"RSC005328")</f>
        <v>RSC005328</v>
      </c>
      <c r="B450" s="30" t="str">
        <f>IFERROR(__xludf.DUMMYFUNCTION("""COMPUTED_VALUE"""),"Razor")</f>
        <v>Razor</v>
      </c>
      <c r="C450" s="30" t="str">
        <f>IFERROR(__xludf.DUMMYFUNCTION("""COMPUTED_VALUE"""),"Rival")</f>
        <v>Rival</v>
      </c>
      <c r="D450" s="30" t="str">
        <f>IFERROR(__xludf.DUMMYFUNCTION("""COMPUTED_VALUE"""),"Dice")</f>
        <v>Dice</v>
      </c>
      <c r="E450" s="30" t="str">
        <f>IFERROR(__xludf.DUMMYFUNCTION("""COMPUTED_VALUE"""),"Never Lucky")</f>
        <v>Never Lucky</v>
      </c>
      <c r="F450" s="30" t="str">
        <f>IFERROR(__xludf.DUMMYFUNCTION("""COMPUTED_VALUE"""),"Lunar")</f>
        <v>Lunar</v>
      </c>
      <c r="G450" s="92">
        <f>IFERROR(__xludf.DUMMYFUNCTION("""COMPUTED_VALUE"""),43.67921195726604)</f>
        <v>43.67921196</v>
      </c>
    </row>
    <row r="451">
      <c r="A451" s="30" t="str">
        <f>IFERROR(__xludf.DUMMYFUNCTION("""COMPUTED_VALUE"""),"RSC007823")</f>
        <v>RSC007823</v>
      </c>
      <c r="B451" s="30" t="str">
        <f>IFERROR(__xludf.DUMMYFUNCTION("""COMPUTED_VALUE"""),"watz")</f>
        <v>watz</v>
      </c>
      <c r="C451" s="30" t="str">
        <f>IFERROR(__xludf.DUMMYFUNCTION("""COMPUTED_VALUE"""),"Rival")</f>
        <v>Rival</v>
      </c>
      <c r="D451" s="30" t="str">
        <f>IFERROR(__xludf.DUMMYFUNCTION("""COMPUTED_VALUE"""),"Hue Heroes")</f>
        <v>Hue Heroes</v>
      </c>
      <c r="E451" s="30" t="str">
        <f>IFERROR(__xludf.DUMMYFUNCTION("""COMPUTED_VALUE"""),"Art Club")</f>
        <v>Art Club</v>
      </c>
      <c r="F451" s="30" t="str">
        <f>IFERROR(__xludf.DUMMYFUNCTION("""COMPUTED_VALUE"""),"Solar")</f>
        <v>Solar</v>
      </c>
      <c r="G451" s="92">
        <f>IFERROR(__xludf.DUMMYFUNCTION("""COMPUTED_VALUE"""),23.64952381959073)</f>
        <v>23.64952382</v>
      </c>
    </row>
    <row r="452">
      <c r="A452" s="30" t="str">
        <f>IFERROR(__xludf.DUMMYFUNCTION("""COMPUTED_VALUE"""),"RSC007549")</f>
        <v>RSC007549</v>
      </c>
      <c r="B452" s="30" t="str">
        <f>IFERROR(__xludf.DUMMYFUNCTION("""COMPUTED_VALUE"""),"Whiffy_RL")</f>
        <v>Whiffy_RL</v>
      </c>
      <c r="C452" s="30" t="str">
        <f>IFERROR(__xludf.DUMMYFUNCTION("""COMPUTED_VALUE"""),"Rival")</f>
        <v>Rival</v>
      </c>
      <c r="D452" s="30" t="str">
        <f>IFERROR(__xludf.DUMMYFUNCTION("""COMPUTED_VALUE"""),"Ruthless Racket")</f>
        <v>Ruthless Racket</v>
      </c>
      <c r="E452" s="30" t="str">
        <f>IFERROR(__xludf.DUMMYFUNCTION("""COMPUTED_VALUE"""),"The Syndicate")</f>
        <v>The Syndicate</v>
      </c>
      <c r="F452" s="30" t="str">
        <f>IFERROR(__xludf.DUMMYFUNCTION("""COMPUTED_VALUE"""),"Lunar")</f>
        <v>Lunar</v>
      </c>
      <c r="G452" s="92">
        <f>IFERROR(__xludf.DUMMYFUNCTION("""COMPUTED_VALUE"""),34.18144686844833)</f>
        <v>34.18144687</v>
      </c>
    </row>
    <row r="453">
      <c r="A453" s="30" t="str">
        <f>IFERROR(__xludf.DUMMYFUNCTION("""COMPUTED_VALUE"""),"RSC007035")</f>
        <v>RSC007035</v>
      </c>
      <c r="B453" s="30" t="str">
        <f>IFERROR(__xludf.DUMMYFUNCTION("""COMPUTED_VALUE"""),"itzsmurfyy")</f>
        <v>itzsmurfyy</v>
      </c>
      <c r="C453" s="30" t="str">
        <f>IFERROR(__xludf.DUMMYFUNCTION("""COMPUTED_VALUE"""),"Rival")</f>
        <v>Rival</v>
      </c>
      <c r="D453" s="30" t="str">
        <f>IFERROR(__xludf.DUMMYFUNCTION("""COMPUTED_VALUE"""),"Hue Heroes")</f>
        <v>Hue Heroes</v>
      </c>
      <c r="E453" s="30" t="str">
        <f>IFERROR(__xludf.DUMMYFUNCTION("""COMPUTED_VALUE"""),"Art Club")</f>
        <v>Art Club</v>
      </c>
      <c r="F453" s="30" t="str">
        <f>IFERROR(__xludf.DUMMYFUNCTION("""COMPUTED_VALUE"""),"Solar")</f>
        <v>Solar</v>
      </c>
      <c r="G453" s="92">
        <f>IFERROR(__xludf.DUMMYFUNCTION("""COMPUTED_VALUE"""),6.8714594557627535)</f>
        <v>6.871459456</v>
      </c>
    </row>
    <row r="454">
      <c r="A454" s="30" t="str">
        <f>IFERROR(__xludf.DUMMYFUNCTION("""COMPUTED_VALUE"""),"RSC007568")</f>
        <v>RSC007568</v>
      </c>
      <c r="B454" s="30" t="str">
        <f>IFERROR(__xludf.DUMMYFUNCTION("""COMPUTED_VALUE"""),"Chills1912")</f>
        <v>Chills1912</v>
      </c>
      <c r="C454" s="30" t="str">
        <f>IFERROR(__xludf.DUMMYFUNCTION("""COMPUTED_VALUE"""),"Challenger")</f>
        <v>Challenger</v>
      </c>
      <c r="D454" s="30" t="str">
        <f>IFERROR(__xludf.DUMMYFUNCTION("""COMPUTED_VALUE"""),"Threshers")</f>
        <v>Threshers</v>
      </c>
      <c r="E454" s="30" t="str">
        <f>IFERROR(__xludf.DUMMYFUNCTION("""COMPUTED_VALUE"""),"Shark Attack")</f>
        <v>Shark Attack</v>
      </c>
      <c r="F454" s="30" t="str">
        <f>IFERROR(__xludf.DUMMYFUNCTION("""COMPUTED_VALUE"""),"Solar")</f>
        <v>Solar</v>
      </c>
      <c r="G454" s="92">
        <f>IFERROR(__xludf.DUMMYFUNCTION("""COMPUTED_VALUE"""),10.547720577309562)</f>
        <v>10.54772058</v>
      </c>
    </row>
    <row r="455">
      <c r="A455" s="30" t="str">
        <f>IFERROR(__xludf.DUMMYFUNCTION("""COMPUTED_VALUE"""),"RSC004844")</f>
        <v>RSC004844</v>
      </c>
      <c r="B455" s="30" t="str">
        <f>IFERROR(__xludf.DUMMYFUNCTION("""COMPUTED_VALUE"""),"Calicat01")</f>
        <v>Calicat01</v>
      </c>
      <c r="C455" s="30" t="str">
        <f>IFERROR(__xludf.DUMMYFUNCTION("""COMPUTED_VALUE"""),"Challenger")</f>
        <v>Challenger</v>
      </c>
      <c r="D455" s="30" t="str">
        <f>IFERROR(__xludf.DUMMYFUNCTION("""COMPUTED_VALUE"""),"Threshers")</f>
        <v>Threshers</v>
      </c>
      <c r="E455" s="30" t="str">
        <f>IFERROR(__xludf.DUMMYFUNCTION("""COMPUTED_VALUE"""),"Shark Attack")</f>
        <v>Shark Attack</v>
      </c>
      <c r="F455" s="30" t="str">
        <f>IFERROR(__xludf.DUMMYFUNCTION("""COMPUTED_VALUE"""),"Solar")</f>
        <v>Solar</v>
      </c>
      <c r="G455" s="92">
        <f>IFERROR(__xludf.DUMMYFUNCTION("""COMPUTED_VALUE"""),41.52770616848383)</f>
        <v>41.52770617</v>
      </c>
    </row>
    <row r="456">
      <c r="A456" s="30" t="str">
        <f>IFERROR(__xludf.DUMMYFUNCTION("""COMPUTED_VALUE"""),"RSC007457")</f>
        <v>RSC007457</v>
      </c>
      <c r="B456" s="30" t="str">
        <f>IFERROR(__xludf.DUMMYFUNCTION("""COMPUTED_VALUE"""),"Fyooze")</f>
        <v>Fyooze</v>
      </c>
      <c r="C456" s="30" t="str">
        <f>IFERROR(__xludf.DUMMYFUNCTION("""COMPUTED_VALUE"""),"Challenger")</f>
        <v>Challenger</v>
      </c>
      <c r="D456" s="30" t="str">
        <f>IFERROR(__xludf.DUMMYFUNCTION("""COMPUTED_VALUE"""),"Threshers")</f>
        <v>Threshers</v>
      </c>
      <c r="E456" s="30" t="str">
        <f>IFERROR(__xludf.DUMMYFUNCTION("""COMPUTED_VALUE"""),"Shark Attack")</f>
        <v>Shark Attack</v>
      </c>
      <c r="F456" s="30" t="str">
        <f>IFERROR(__xludf.DUMMYFUNCTION("""COMPUTED_VALUE"""),"Solar")</f>
        <v>Solar</v>
      </c>
      <c r="G456" s="92">
        <f>IFERROR(__xludf.DUMMYFUNCTION("""COMPUTED_VALUE"""),22.652457418824646)</f>
        <v>22.65245742</v>
      </c>
    </row>
    <row r="457">
      <c r="A457" s="30" t="str">
        <f>IFERROR(__xludf.DUMMYFUNCTION("""COMPUTED_VALUE"""),"RSC002427")</f>
        <v>RSC002427</v>
      </c>
      <c r="B457" s="30" t="str">
        <f>IFERROR(__xludf.DUMMYFUNCTION("""COMPUTED_VALUE"""),"Free.")</f>
        <v>Free.</v>
      </c>
      <c r="C457" s="30" t="str">
        <f>IFERROR(__xludf.DUMMYFUNCTION("""COMPUTED_VALUE"""),"Challenger")</f>
        <v>Challenger</v>
      </c>
      <c r="D457" s="30" t="str">
        <f>IFERROR(__xludf.DUMMYFUNCTION("""COMPUTED_VALUE"""),"Ryujin")</f>
        <v>Ryujin</v>
      </c>
      <c r="E457" s="30" t="str">
        <f>IFERROR(__xludf.DUMMYFUNCTION("""COMPUTED_VALUE"""),"The Shrine")</f>
        <v>The Shrine</v>
      </c>
      <c r="F457" s="30" t="str">
        <f>IFERROR(__xludf.DUMMYFUNCTION("""COMPUTED_VALUE"""),"Solar")</f>
        <v>Solar</v>
      </c>
      <c r="G457" s="92">
        <f>IFERROR(__xludf.DUMMYFUNCTION("""COMPUTED_VALUE"""),48.645939170656554)</f>
        <v>48.64593917</v>
      </c>
    </row>
    <row r="458">
      <c r="A458" s="30" t="str">
        <f>IFERROR(__xludf.DUMMYFUNCTION("""COMPUTED_VALUE"""),"RSC008000")</f>
        <v>RSC008000</v>
      </c>
      <c r="B458" s="30" t="str">
        <f>IFERROR(__xludf.DUMMYFUNCTION("""COMPUTED_VALUE"""),"ChefHoffy")</f>
        <v>ChefHoffy</v>
      </c>
      <c r="C458" s="30" t="str">
        <f>IFERROR(__xludf.DUMMYFUNCTION("""COMPUTED_VALUE"""),"Challenger")</f>
        <v>Challenger</v>
      </c>
      <c r="D458" s="30" t="str">
        <f>IFERROR(__xludf.DUMMYFUNCTION("""COMPUTED_VALUE"""),"Ryujin")</f>
        <v>Ryujin</v>
      </c>
      <c r="E458" s="30" t="str">
        <f>IFERROR(__xludf.DUMMYFUNCTION("""COMPUTED_VALUE"""),"The Shrine")</f>
        <v>The Shrine</v>
      </c>
      <c r="F458" s="30" t="str">
        <f>IFERROR(__xludf.DUMMYFUNCTION("""COMPUTED_VALUE"""),"Solar")</f>
        <v>Solar</v>
      </c>
      <c r="G458" s="92">
        <f>IFERROR(__xludf.DUMMYFUNCTION("""COMPUTED_VALUE"""),69.06893631404662)</f>
        <v>69.06893631</v>
      </c>
    </row>
    <row r="459">
      <c r="A459" s="30" t="str">
        <f>IFERROR(__xludf.DUMMYFUNCTION("""COMPUTED_VALUE"""),"RSC006017")</f>
        <v>RSC006017</v>
      </c>
      <c r="B459" s="30" t="str">
        <f>IFERROR(__xludf.DUMMYFUNCTION("""COMPUTED_VALUE"""),"Dondo RF")</f>
        <v>Dondo RF</v>
      </c>
      <c r="C459" s="30" t="str">
        <f>IFERROR(__xludf.DUMMYFUNCTION("""COMPUTED_VALUE"""),"Challenger")</f>
        <v>Challenger</v>
      </c>
      <c r="D459" s="30" t="str">
        <f>IFERROR(__xludf.DUMMYFUNCTION("""COMPUTED_VALUE"""),"Ryujin")</f>
        <v>Ryujin</v>
      </c>
      <c r="E459" s="30" t="str">
        <f>IFERROR(__xludf.DUMMYFUNCTION("""COMPUTED_VALUE"""),"The Shrine")</f>
        <v>The Shrine</v>
      </c>
      <c r="F459" s="30" t="str">
        <f>IFERROR(__xludf.DUMMYFUNCTION("""COMPUTED_VALUE"""),"Solar")</f>
        <v>Solar</v>
      </c>
      <c r="G459" s="92">
        <f>IFERROR(__xludf.DUMMYFUNCTION("""COMPUTED_VALUE"""),67.116130372885)</f>
        <v>67.11613037</v>
      </c>
    </row>
    <row r="460">
      <c r="A460" s="30" t="str">
        <f>IFERROR(__xludf.DUMMYFUNCTION("""COMPUTED_VALUE"""),"RSC002834")</f>
        <v>RSC002834</v>
      </c>
      <c r="B460" s="30" t="str">
        <f>IFERROR(__xludf.DUMMYFUNCTION("""COMPUTED_VALUE"""),"Clockwork7678")</f>
        <v>Clockwork7678</v>
      </c>
      <c r="C460" s="30" t="str">
        <f>IFERROR(__xludf.DUMMYFUNCTION("""COMPUTED_VALUE"""),"Challenger")</f>
        <v>Challenger</v>
      </c>
      <c r="D460" s="30" t="str">
        <f>IFERROR(__xludf.DUMMYFUNCTION("""COMPUTED_VALUE"""),"Pharaohs")</f>
        <v>Pharaohs</v>
      </c>
      <c r="E460" s="30" t="str">
        <f>IFERROR(__xludf.DUMMYFUNCTION("""COMPUTED_VALUE"""),"Monarchy")</f>
        <v>Monarchy</v>
      </c>
      <c r="F460" s="30" t="str">
        <f>IFERROR(__xludf.DUMMYFUNCTION("""COMPUTED_VALUE"""),"Lunar")</f>
        <v>Lunar</v>
      </c>
      <c r="G460" s="92">
        <f>IFERROR(__xludf.DUMMYFUNCTION("""COMPUTED_VALUE"""),31.553318204617593)</f>
        <v>31.5533182</v>
      </c>
    </row>
    <row r="461">
      <c r="A461" s="30" t="str">
        <f>IFERROR(__xludf.DUMMYFUNCTION("""COMPUTED_VALUE"""),"RSC004614")</f>
        <v>RSC004614</v>
      </c>
      <c r="B461" s="30" t="str">
        <f>IFERROR(__xludf.DUMMYFUNCTION("""COMPUTED_VALUE"""),"Ex ample")</f>
        <v>Ex ample</v>
      </c>
      <c r="C461" s="30" t="str">
        <f>IFERROR(__xludf.DUMMYFUNCTION("""COMPUTED_VALUE"""),"Challenger")</f>
        <v>Challenger</v>
      </c>
      <c r="D461" s="30" t="str">
        <f>IFERROR(__xludf.DUMMYFUNCTION("""COMPUTED_VALUE"""),"Pharaohs")</f>
        <v>Pharaohs</v>
      </c>
      <c r="E461" s="30" t="str">
        <f>IFERROR(__xludf.DUMMYFUNCTION("""COMPUTED_VALUE"""),"Monarchy")</f>
        <v>Monarchy</v>
      </c>
      <c r="F461" s="30" t="str">
        <f>IFERROR(__xludf.DUMMYFUNCTION("""COMPUTED_VALUE"""),"Lunar")</f>
        <v>Lunar</v>
      </c>
      <c r="G461" s="92">
        <f>IFERROR(__xludf.DUMMYFUNCTION("""COMPUTED_VALUE"""),57.18331948021618)</f>
        <v>57.18331948</v>
      </c>
    </row>
    <row r="462">
      <c r="A462" s="30" t="str">
        <f>IFERROR(__xludf.DUMMYFUNCTION("""COMPUTED_VALUE"""),"RSC006642")</f>
        <v>RSC006642</v>
      </c>
      <c r="B462" s="30" t="str">
        <f>IFERROR(__xludf.DUMMYFUNCTION("""COMPUTED_VALUE"""),"Zonekiller.")</f>
        <v>Zonekiller.</v>
      </c>
      <c r="C462" s="30" t="str">
        <f>IFERROR(__xludf.DUMMYFUNCTION("""COMPUTED_VALUE"""),"Challenger")</f>
        <v>Challenger</v>
      </c>
      <c r="D462" s="30" t="str">
        <f>IFERROR(__xludf.DUMMYFUNCTION("""COMPUTED_VALUE"""),"Pharaohs")</f>
        <v>Pharaohs</v>
      </c>
      <c r="E462" s="30" t="str">
        <f>IFERROR(__xludf.DUMMYFUNCTION("""COMPUTED_VALUE"""),"Monarchy")</f>
        <v>Monarchy</v>
      </c>
      <c r="F462" s="30" t="str">
        <f>IFERROR(__xludf.DUMMYFUNCTION("""COMPUTED_VALUE"""),"Lunar")</f>
        <v>Lunar</v>
      </c>
      <c r="G462" s="92">
        <f>IFERROR(__xludf.DUMMYFUNCTION("""COMPUTED_VALUE"""),31.602732069520467)</f>
        <v>31.60273207</v>
      </c>
    </row>
    <row r="463">
      <c r="A463" s="30" t="str">
        <f>IFERROR(__xludf.DUMMYFUNCTION("""COMPUTED_VALUE"""),"RSC004333")</f>
        <v>RSC004333</v>
      </c>
      <c r="B463" s="30" t="str">
        <f>IFERROR(__xludf.DUMMYFUNCTION("""COMPUTED_VALUE"""),"Penguin")</f>
        <v>Penguin</v>
      </c>
      <c r="C463" s="30" t="str">
        <f>IFERROR(__xludf.DUMMYFUNCTION("""COMPUTED_VALUE"""),"Challenger")</f>
        <v>Challenger</v>
      </c>
      <c r="D463" s="30" t="str">
        <f>IFERROR(__xludf.DUMMYFUNCTION("""COMPUTED_VALUE"""),"Mugged")</f>
        <v>Mugged</v>
      </c>
      <c r="E463" s="30" t="str">
        <f>IFERROR(__xludf.DUMMYFUNCTION("""COMPUTED_VALUE"""),"The Hood")</f>
        <v>The Hood</v>
      </c>
      <c r="F463" s="30" t="str">
        <f>IFERROR(__xludf.DUMMYFUNCTION("""COMPUTED_VALUE"""),"Lunar")</f>
        <v>Lunar</v>
      </c>
      <c r="G463" s="92">
        <f>IFERROR(__xludf.DUMMYFUNCTION("""COMPUTED_VALUE"""),59.90401853238165)</f>
        <v>59.90401853</v>
      </c>
    </row>
    <row r="464">
      <c r="A464" s="30" t="str">
        <f>IFERROR(__xludf.DUMMYFUNCTION("""COMPUTED_VALUE"""),"RSC007197")</f>
        <v>RSC007197</v>
      </c>
      <c r="B464" s="30" t="str">
        <f>IFERROR(__xludf.DUMMYFUNCTION("""COMPUTED_VALUE"""),"xMaster P")</f>
        <v>xMaster P</v>
      </c>
      <c r="C464" s="30" t="str">
        <f>IFERROR(__xludf.DUMMYFUNCTION("""COMPUTED_VALUE"""),"Challenger")</f>
        <v>Challenger</v>
      </c>
      <c r="D464" s="30" t="str">
        <f>IFERROR(__xludf.DUMMYFUNCTION("""COMPUTED_VALUE"""),"Mugged")</f>
        <v>Mugged</v>
      </c>
      <c r="E464" s="30" t="str">
        <f>IFERROR(__xludf.DUMMYFUNCTION("""COMPUTED_VALUE"""),"The Hood")</f>
        <v>The Hood</v>
      </c>
      <c r="F464" s="30" t="str">
        <f>IFERROR(__xludf.DUMMYFUNCTION("""COMPUTED_VALUE"""),"Lunar")</f>
        <v>Lunar</v>
      </c>
      <c r="G464" s="92">
        <f>IFERROR(__xludf.DUMMYFUNCTION("""COMPUTED_VALUE"""),44.31301795328465)</f>
        <v>44.31301795</v>
      </c>
    </row>
    <row r="465">
      <c r="A465" s="30" t="str">
        <f>IFERROR(__xludf.DUMMYFUNCTION("""COMPUTED_VALUE"""),"RSC004618")</f>
        <v>RSC004618</v>
      </c>
      <c r="B465" s="30" t="str">
        <f>IFERROR(__xludf.DUMMYFUNCTION("""COMPUTED_VALUE"""),"Squirrel")</f>
        <v>Squirrel</v>
      </c>
      <c r="C465" s="30" t="str">
        <f>IFERROR(__xludf.DUMMYFUNCTION("""COMPUTED_VALUE"""),"Challenger")</f>
        <v>Challenger</v>
      </c>
      <c r="D465" s="30" t="str">
        <f>IFERROR(__xludf.DUMMYFUNCTION("""COMPUTED_VALUE"""),"Mugged")</f>
        <v>Mugged</v>
      </c>
      <c r="E465" s="30" t="str">
        <f>IFERROR(__xludf.DUMMYFUNCTION("""COMPUTED_VALUE"""),"The Hood")</f>
        <v>The Hood</v>
      </c>
      <c r="F465" s="30" t="str">
        <f>IFERROR(__xludf.DUMMYFUNCTION("""COMPUTED_VALUE"""),"Lunar")</f>
        <v>Lunar</v>
      </c>
      <c r="G465" s="92">
        <f>IFERROR(__xludf.DUMMYFUNCTION("""COMPUTED_VALUE"""),60.44681367903303)</f>
        <v>60.44681368</v>
      </c>
    </row>
    <row r="466">
      <c r="A466" s="30" t="str">
        <f>IFERROR(__xludf.DUMMYFUNCTION("""COMPUTED_VALUE"""),"RSC007604")</f>
        <v>RSC007604</v>
      </c>
      <c r="B466" s="30" t="str">
        <f>IFERROR(__xludf.DUMMYFUNCTION("""COMPUTED_VALUE"""),"RiisenJT")</f>
        <v>RiisenJT</v>
      </c>
      <c r="C466" s="30" t="str">
        <f>IFERROR(__xludf.DUMMYFUNCTION("""COMPUTED_VALUE"""),"Challenger")</f>
        <v>Challenger</v>
      </c>
      <c r="D466" s="30" t="str">
        <f>IFERROR(__xludf.DUMMYFUNCTION("""COMPUTED_VALUE"""),"Threshers")</f>
        <v>Threshers</v>
      </c>
      <c r="E466" s="30" t="str">
        <f>IFERROR(__xludf.DUMMYFUNCTION("""COMPUTED_VALUE"""),"Shark Attack")</f>
        <v>Shark Attack</v>
      </c>
      <c r="F466" s="30" t="str">
        <f>IFERROR(__xludf.DUMMYFUNCTION("""COMPUTED_VALUE"""),"Solar")</f>
        <v>Solar</v>
      </c>
      <c r="G466" s="92">
        <f>IFERROR(__xludf.DUMMYFUNCTION("""COMPUTED_VALUE"""),38.753402058657656)</f>
        <v>38.75340206</v>
      </c>
    </row>
    <row r="467">
      <c r="A467" s="30" t="str">
        <f>IFERROR(__xludf.DUMMYFUNCTION("""COMPUTED_VALUE"""),"RSC007946")</f>
        <v>RSC007946</v>
      </c>
      <c r="B467" s="30" t="str">
        <f>IFERROR(__xludf.DUMMYFUNCTION("""COMPUTED_VALUE"""),"hagerity_tv")</f>
        <v>hagerity_tv</v>
      </c>
      <c r="C467" s="30" t="str">
        <f>IFERROR(__xludf.DUMMYFUNCTION("""COMPUTED_VALUE"""),"Challenger")</f>
        <v>Challenger</v>
      </c>
      <c r="D467" s="30" t="str">
        <f>IFERROR(__xludf.DUMMYFUNCTION("""COMPUTED_VALUE"""),"Bingo")</f>
        <v>Bingo</v>
      </c>
      <c r="E467" s="30" t="str">
        <f>IFERROR(__xludf.DUMMYFUNCTION("""COMPUTED_VALUE"""),"Never Lucky")</f>
        <v>Never Lucky</v>
      </c>
      <c r="F467" s="30" t="str">
        <f>IFERROR(__xludf.DUMMYFUNCTION("""COMPUTED_VALUE"""),"Lunar")</f>
        <v>Lunar</v>
      </c>
      <c r="G467" s="92">
        <f>IFERROR(__xludf.DUMMYFUNCTION("""COMPUTED_VALUE"""),0.4118700947246907)</f>
        <v>0.4118700947</v>
      </c>
    </row>
    <row r="468">
      <c r="A468" s="30" t="str">
        <f>IFERROR(__xludf.DUMMYFUNCTION("""COMPUTED_VALUE"""),"RSC000967")</f>
        <v>RSC000967</v>
      </c>
      <c r="B468" s="30" t="str">
        <f>IFERROR(__xludf.DUMMYFUNCTION("""COMPUTED_VALUE"""),"tr1ppn")</f>
        <v>tr1ppn</v>
      </c>
      <c r="C468" s="30" t="str">
        <f>IFERROR(__xludf.DUMMYFUNCTION("""COMPUTED_VALUE"""),"Challenger")</f>
        <v>Challenger</v>
      </c>
      <c r="D468" s="30" t="str">
        <f>IFERROR(__xludf.DUMMYFUNCTION("""COMPUTED_VALUE"""),"Bingo")</f>
        <v>Bingo</v>
      </c>
      <c r="E468" s="30" t="str">
        <f>IFERROR(__xludf.DUMMYFUNCTION("""COMPUTED_VALUE"""),"Never Lucky")</f>
        <v>Never Lucky</v>
      </c>
      <c r="F468" s="30" t="str">
        <f>IFERROR(__xludf.DUMMYFUNCTION("""COMPUTED_VALUE"""),"Lunar")</f>
        <v>Lunar</v>
      </c>
      <c r="G468" s="92">
        <f>IFERROR(__xludf.DUMMYFUNCTION("""COMPUTED_VALUE"""),48.30144085734485)</f>
        <v>48.30144086</v>
      </c>
    </row>
    <row r="469">
      <c r="A469" s="30" t="str">
        <f>IFERROR(__xludf.DUMMYFUNCTION("""COMPUTED_VALUE"""),"RSC005844")</f>
        <v>RSC005844</v>
      </c>
      <c r="B469" s="30" t="str">
        <f>IFERROR(__xludf.DUMMYFUNCTION("""COMPUTED_VALUE"""),"xr.")</f>
        <v>xr.</v>
      </c>
      <c r="C469" s="30" t="str">
        <f>IFERROR(__xludf.DUMMYFUNCTION("""COMPUTED_VALUE"""),"Challenger")</f>
        <v>Challenger</v>
      </c>
      <c r="D469" s="30" t="str">
        <f>IFERROR(__xludf.DUMMYFUNCTION("""COMPUTED_VALUE"""),"Bingo")</f>
        <v>Bingo</v>
      </c>
      <c r="E469" s="30" t="str">
        <f>IFERROR(__xludf.DUMMYFUNCTION("""COMPUTED_VALUE"""),"Never Lucky")</f>
        <v>Never Lucky</v>
      </c>
      <c r="F469" s="30" t="str">
        <f>IFERROR(__xludf.DUMMYFUNCTION("""COMPUTED_VALUE"""),"Lunar")</f>
        <v>Lunar</v>
      </c>
      <c r="G469" s="92">
        <f>IFERROR(__xludf.DUMMYFUNCTION("""COMPUTED_VALUE"""),32.70535567923854)</f>
        <v>32.70535568</v>
      </c>
    </row>
    <row r="470">
      <c r="A470" s="30" t="str">
        <f>IFERROR(__xludf.DUMMYFUNCTION("""COMPUTED_VALUE"""),"RSC006355")</f>
        <v>RSC006355</v>
      </c>
      <c r="B470" s="30" t="str">
        <f>IFERROR(__xludf.DUMMYFUNCTION("""COMPUTED_VALUE"""),"Heartlesswins")</f>
        <v>Heartlesswins</v>
      </c>
      <c r="C470" s="30" t="str">
        <f>IFERROR(__xludf.DUMMYFUNCTION("""COMPUTED_VALUE"""),"Challenger")</f>
        <v>Challenger</v>
      </c>
      <c r="D470" s="30" t="str">
        <f>IFERROR(__xludf.DUMMYFUNCTION("""COMPUTED_VALUE"""),"Lilac")</f>
        <v>Lilac</v>
      </c>
      <c r="E470" s="30" t="str">
        <f>IFERROR(__xludf.DUMMYFUNCTION("""COMPUTED_VALUE"""),"Flower Road")</f>
        <v>Flower Road</v>
      </c>
      <c r="F470" s="30" t="str">
        <f>IFERROR(__xludf.DUMMYFUNCTION("""COMPUTED_VALUE"""),"Lunar")</f>
        <v>Lunar</v>
      </c>
      <c r="G470" s="92">
        <f>IFERROR(__xludf.DUMMYFUNCTION("""COMPUTED_VALUE"""),73.15414493868553)</f>
        <v>73.15414494</v>
      </c>
    </row>
    <row r="471">
      <c r="A471" s="30" t="str">
        <f>IFERROR(__xludf.DUMMYFUNCTION("""COMPUTED_VALUE"""),"RSC004901")</f>
        <v>RSC004901</v>
      </c>
      <c r="B471" s="30" t="str">
        <f>IFERROR(__xludf.DUMMYFUNCTION("""COMPUTED_VALUE"""),"Dofri9976")</f>
        <v>Dofri9976</v>
      </c>
      <c r="C471" s="30" t="str">
        <f>IFERROR(__xludf.DUMMYFUNCTION("""COMPUTED_VALUE"""),"Challenger")</f>
        <v>Challenger</v>
      </c>
      <c r="D471" s="30" t="str">
        <f>IFERROR(__xludf.DUMMYFUNCTION("""COMPUTED_VALUE"""),"Lilac")</f>
        <v>Lilac</v>
      </c>
      <c r="E471" s="30" t="str">
        <f>IFERROR(__xludf.DUMMYFUNCTION("""COMPUTED_VALUE"""),"Flower Road")</f>
        <v>Flower Road</v>
      </c>
      <c r="F471" s="30" t="str">
        <f>IFERROR(__xludf.DUMMYFUNCTION("""COMPUTED_VALUE"""),"Lunar")</f>
        <v>Lunar</v>
      </c>
      <c r="G471" s="92">
        <f>IFERROR(__xludf.DUMMYFUNCTION("""COMPUTED_VALUE"""),62.71217530004003)</f>
        <v>62.7121753</v>
      </c>
    </row>
    <row r="472">
      <c r="A472" s="30" t="str">
        <f>IFERROR(__xludf.DUMMYFUNCTION("""COMPUTED_VALUE"""),"RSC004890")</f>
        <v>RSC004890</v>
      </c>
      <c r="B472" s="30" t="str">
        <f>IFERROR(__xludf.DUMMYFUNCTION("""COMPUTED_VALUE"""),"kamikaze7200")</f>
        <v>kamikaze7200</v>
      </c>
      <c r="C472" s="30" t="str">
        <f>IFERROR(__xludf.DUMMYFUNCTION("""COMPUTED_VALUE"""),"Challenger")</f>
        <v>Challenger</v>
      </c>
      <c r="D472" s="30" t="str">
        <f>IFERROR(__xludf.DUMMYFUNCTION("""COMPUTED_VALUE"""),"Lilac")</f>
        <v>Lilac</v>
      </c>
      <c r="E472" s="30" t="str">
        <f>IFERROR(__xludf.DUMMYFUNCTION("""COMPUTED_VALUE"""),"Flower Road")</f>
        <v>Flower Road</v>
      </c>
      <c r="F472" s="30" t="str">
        <f>IFERROR(__xludf.DUMMYFUNCTION("""COMPUTED_VALUE"""),"Lunar")</f>
        <v>Lunar</v>
      </c>
      <c r="G472" s="92">
        <f>IFERROR(__xludf.DUMMYFUNCTION("""COMPUTED_VALUE"""),67.49344489121395)</f>
        <v>67.49344489</v>
      </c>
    </row>
    <row r="473">
      <c r="A473" s="30" t="str">
        <f>IFERROR(__xludf.DUMMYFUNCTION("""COMPUTED_VALUE"""),"RSC007447")</f>
        <v>RSC007447</v>
      </c>
      <c r="B473" s="30" t="str">
        <f>IFERROR(__xludf.DUMMYFUNCTION("""COMPUTED_VALUE"""),"1R3IGN")</f>
        <v>1R3IGN</v>
      </c>
      <c r="C473" s="30" t="str">
        <f>IFERROR(__xludf.DUMMYFUNCTION("""COMPUTED_VALUE"""),"Challenger")</f>
        <v>Challenger</v>
      </c>
      <c r="D473" s="30" t="str">
        <f>IFERROR(__xludf.DUMMYFUNCTION("""COMPUTED_VALUE"""),"Hydras")</f>
        <v>Hydras</v>
      </c>
      <c r="E473" s="30" t="str">
        <f>IFERROR(__xludf.DUMMYFUNCTION("""COMPUTED_VALUE"""),"The Forest")</f>
        <v>The Forest</v>
      </c>
      <c r="F473" s="30" t="str">
        <f>IFERROR(__xludf.DUMMYFUNCTION("""COMPUTED_VALUE"""),"Solar")</f>
        <v>Solar</v>
      </c>
      <c r="G473" s="92">
        <f>IFERROR(__xludf.DUMMYFUNCTION("""COMPUTED_VALUE"""),24.202354990671438)</f>
        <v>24.20235499</v>
      </c>
    </row>
    <row r="474">
      <c r="A474" s="30" t="str">
        <f>IFERROR(__xludf.DUMMYFUNCTION("""COMPUTED_VALUE"""),"RSC002877")</f>
        <v>RSC002877</v>
      </c>
      <c r="B474" s="30" t="str">
        <f>IFERROR(__xludf.DUMMYFUNCTION("""COMPUTED_VALUE"""),"robophant")</f>
        <v>robophant</v>
      </c>
      <c r="C474" s="30" t="str">
        <f>IFERROR(__xludf.DUMMYFUNCTION("""COMPUTED_VALUE"""),"Challenger")</f>
        <v>Challenger</v>
      </c>
      <c r="D474" s="30" t="str">
        <f>IFERROR(__xludf.DUMMYFUNCTION("""COMPUTED_VALUE"""),"Hydras")</f>
        <v>Hydras</v>
      </c>
      <c r="E474" s="30" t="str">
        <f>IFERROR(__xludf.DUMMYFUNCTION("""COMPUTED_VALUE"""),"The Forest")</f>
        <v>The Forest</v>
      </c>
      <c r="F474" s="30" t="str">
        <f>IFERROR(__xludf.DUMMYFUNCTION("""COMPUTED_VALUE"""),"Solar")</f>
        <v>Solar</v>
      </c>
      <c r="G474" s="92">
        <f>IFERROR(__xludf.DUMMYFUNCTION("""COMPUTED_VALUE"""),47.49026846642873)</f>
        <v>47.49026847</v>
      </c>
    </row>
    <row r="475">
      <c r="A475" s="30" t="str">
        <f>IFERROR(__xludf.DUMMYFUNCTION("""COMPUTED_VALUE"""),"RSC007589")</f>
        <v>RSC007589</v>
      </c>
      <c r="B475" s="30" t="str">
        <f>IFERROR(__xludf.DUMMYFUNCTION("""COMPUTED_VALUE"""),"LilBoneSamaTTV")</f>
        <v>LilBoneSamaTTV</v>
      </c>
      <c r="C475" s="30" t="str">
        <f>IFERROR(__xludf.DUMMYFUNCTION("""COMPUTED_VALUE"""),"Challenger")</f>
        <v>Challenger</v>
      </c>
      <c r="D475" s="30" t="str">
        <f>IFERROR(__xludf.DUMMYFUNCTION("""COMPUTED_VALUE"""),"Hydras")</f>
        <v>Hydras</v>
      </c>
      <c r="E475" s="30" t="str">
        <f>IFERROR(__xludf.DUMMYFUNCTION("""COMPUTED_VALUE"""),"The Forest")</f>
        <v>The Forest</v>
      </c>
      <c r="F475" s="30" t="str">
        <f>IFERROR(__xludf.DUMMYFUNCTION("""COMPUTED_VALUE"""),"Solar")</f>
        <v>Solar</v>
      </c>
      <c r="G475" s="92">
        <f>IFERROR(__xludf.DUMMYFUNCTION("""COMPUTED_VALUE"""),48.32440165840151)</f>
        <v>48.32440166</v>
      </c>
    </row>
    <row r="476">
      <c r="A476" s="30" t="str">
        <f>IFERROR(__xludf.DUMMYFUNCTION("""COMPUTED_VALUE"""),"RSC001933")</f>
        <v>RSC001933</v>
      </c>
      <c r="B476" s="30" t="str">
        <f>IFERROR(__xludf.DUMMYFUNCTION("""COMPUTED_VALUE"""),"Ducky")</f>
        <v>Ducky</v>
      </c>
      <c r="C476" s="30" t="str">
        <f>IFERROR(__xludf.DUMMYFUNCTION("""COMPUTED_VALUE"""),"Challenger")</f>
        <v>Challenger</v>
      </c>
      <c r="D476" s="30" t="str">
        <f>IFERROR(__xludf.DUMMYFUNCTION("""COMPUTED_VALUE"""),"Spearmint")</f>
        <v>Spearmint</v>
      </c>
      <c r="E476" s="30" t="str">
        <f>IFERROR(__xludf.DUMMYFUNCTION("""COMPUTED_VALUE"""),"Minty Fresh")</f>
        <v>Minty Fresh</v>
      </c>
      <c r="F476" s="30" t="str">
        <f>IFERROR(__xludf.DUMMYFUNCTION("""COMPUTED_VALUE"""),"Solar")</f>
        <v>Solar</v>
      </c>
      <c r="G476" s="92">
        <f>IFERROR(__xludf.DUMMYFUNCTION("""COMPUTED_VALUE"""),46.91570378290961)</f>
        <v>46.91570378</v>
      </c>
    </row>
    <row r="477">
      <c r="A477" s="30" t="str">
        <f>IFERROR(__xludf.DUMMYFUNCTION("""COMPUTED_VALUE"""),"RSC004073")</f>
        <v>RSC004073</v>
      </c>
      <c r="B477" s="30" t="str">
        <f>IFERROR(__xludf.DUMMYFUNCTION("""COMPUTED_VALUE"""),"BusterChugs")</f>
        <v>BusterChugs</v>
      </c>
      <c r="C477" s="30" t="str">
        <f>IFERROR(__xludf.DUMMYFUNCTION("""COMPUTED_VALUE"""),"Challenger")</f>
        <v>Challenger</v>
      </c>
      <c r="D477" s="30" t="str">
        <f>IFERROR(__xludf.DUMMYFUNCTION("""COMPUTED_VALUE"""),"Spearmint")</f>
        <v>Spearmint</v>
      </c>
      <c r="E477" s="30" t="str">
        <f>IFERROR(__xludf.DUMMYFUNCTION("""COMPUTED_VALUE"""),"Minty Fresh")</f>
        <v>Minty Fresh</v>
      </c>
      <c r="F477" s="30" t="str">
        <f>IFERROR(__xludf.DUMMYFUNCTION("""COMPUTED_VALUE"""),"Solar")</f>
        <v>Solar</v>
      </c>
      <c r="G477" s="92">
        <f>IFERROR(__xludf.DUMMYFUNCTION("""COMPUTED_VALUE"""),47.99229510674045)</f>
        <v>47.99229511</v>
      </c>
    </row>
    <row r="478">
      <c r="A478" s="30" t="str">
        <f>IFERROR(__xludf.DUMMYFUNCTION("""COMPUTED_VALUE"""),"RSC005154")</f>
        <v>RSC005154</v>
      </c>
      <c r="B478" s="30" t="str">
        <f>IFERROR(__xludf.DUMMYFUNCTION("""COMPUTED_VALUE"""),"TacoBae")</f>
        <v>TacoBae</v>
      </c>
      <c r="C478" s="30" t="str">
        <f>IFERROR(__xludf.DUMMYFUNCTION("""COMPUTED_VALUE"""),"Challenger")</f>
        <v>Challenger</v>
      </c>
      <c r="D478" s="30" t="str">
        <f>IFERROR(__xludf.DUMMYFUNCTION("""COMPUTED_VALUE"""),"Spearmint")</f>
        <v>Spearmint</v>
      </c>
      <c r="E478" s="30" t="str">
        <f>IFERROR(__xludf.DUMMYFUNCTION("""COMPUTED_VALUE"""),"Minty Fresh")</f>
        <v>Minty Fresh</v>
      </c>
      <c r="F478" s="30" t="str">
        <f>IFERROR(__xludf.DUMMYFUNCTION("""COMPUTED_VALUE"""),"Solar")</f>
        <v>Solar</v>
      </c>
      <c r="G478" s="92">
        <f>IFERROR(__xludf.DUMMYFUNCTION("""COMPUTED_VALUE"""),18.33750189848357)</f>
        <v>18.3375019</v>
      </c>
    </row>
    <row r="479">
      <c r="A479" s="30" t="str">
        <f>IFERROR(__xludf.DUMMYFUNCTION("""COMPUTED_VALUE"""),"RSC007256")</f>
        <v>RSC007256</v>
      </c>
      <c r="B479" s="30" t="str">
        <f>IFERROR(__xludf.DUMMYFUNCTION("""COMPUTED_VALUE"""),"Dark Odst RW7")</f>
        <v>Dark Odst RW7</v>
      </c>
      <c r="C479" s="30" t="str">
        <f>IFERROR(__xludf.DUMMYFUNCTION("""COMPUTED_VALUE"""),"Challenger")</f>
        <v>Challenger</v>
      </c>
      <c r="D479" s="30" t="str">
        <f>IFERROR(__xludf.DUMMYFUNCTION("""COMPUTED_VALUE"""),"Deceased")</f>
        <v>Deceased</v>
      </c>
      <c r="E479" s="30" t="str">
        <f>IFERROR(__xludf.DUMMYFUNCTION("""COMPUTED_VALUE"""),"Destined")</f>
        <v>Destined</v>
      </c>
      <c r="F479" s="30" t="str">
        <f>IFERROR(__xludf.DUMMYFUNCTION("""COMPUTED_VALUE"""),"Solar")</f>
        <v>Solar</v>
      </c>
      <c r="G479" s="92">
        <f>IFERROR(__xludf.DUMMYFUNCTION("""COMPUTED_VALUE"""),61.250661334169685)</f>
        <v>61.25066133</v>
      </c>
    </row>
    <row r="480">
      <c r="A480" s="30" t="str">
        <f>IFERROR(__xludf.DUMMYFUNCTION("""COMPUTED_VALUE"""),"RSC006535")</f>
        <v>RSC006535</v>
      </c>
      <c r="B480" s="30" t="str">
        <f>IFERROR(__xludf.DUMMYFUNCTION("""COMPUTED_VALUE"""),"Westandalone0")</f>
        <v>Westandalone0</v>
      </c>
      <c r="C480" s="30" t="str">
        <f>IFERROR(__xludf.DUMMYFUNCTION("""COMPUTED_VALUE"""),"Challenger")</f>
        <v>Challenger</v>
      </c>
      <c r="D480" s="30" t="str">
        <f>IFERROR(__xludf.DUMMYFUNCTION("""COMPUTED_VALUE"""),"Deceased")</f>
        <v>Deceased</v>
      </c>
      <c r="E480" s="30" t="str">
        <f>IFERROR(__xludf.DUMMYFUNCTION("""COMPUTED_VALUE"""),"Destined")</f>
        <v>Destined</v>
      </c>
      <c r="F480" s="30" t="str">
        <f>IFERROR(__xludf.DUMMYFUNCTION("""COMPUTED_VALUE"""),"Solar")</f>
        <v>Solar</v>
      </c>
      <c r="G480" s="92">
        <f>IFERROR(__xludf.DUMMYFUNCTION("""COMPUTED_VALUE"""),53.26861103672651)</f>
        <v>53.26861104</v>
      </c>
    </row>
    <row r="481">
      <c r="A481" s="30" t="str">
        <f>IFERROR(__xludf.DUMMYFUNCTION("""COMPUTED_VALUE"""),"RSC006322")</f>
        <v>RSC006322</v>
      </c>
      <c r="B481" s="30" t="str">
        <f>IFERROR(__xludf.DUMMYFUNCTION("""COMPUTED_VALUE"""),"Lorak")</f>
        <v>Lorak</v>
      </c>
      <c r="C481" s="30" t="str">
        <f>IFERROR(__xludf.DUMMYFUNCTION("""COMPUTED_VALUE"""),"Challenger")</f>
        <v>Challenger</v>
      </c>
      <c r="D481" s="30" t="str">
        <f>IFERROR(__xludf.DUMMYFUNCTION("""COMPUTED_VALUE"""),"Deceased")</f>
        <v>Deceased</v>
      </c>
      <c r="E481" s="30" t="str">
        <f>IFERROR(__xludf.DUMMYFUNCTION("""COMPUTED_VALUE"""),"Destined")</f>
        <v>Destined</v>
      </c>
      <c r="F481" s="30" t="str">
        <f>IFERROR(__xludf.DUMMYFUNCTION("""COMPUTED_VALUE"""),"Solar")</f>
        <v>Solar</v>
      </c>
      <c r="G481" s="92">
        <f>IFERROR(__xludf.DUMMYFUNCTION("""COMPUTED_VALUE"""),64.09724208179063)</f>
        <v>64.09724208</v>
      </c>
    </row>
    <row r="482">
      <c r="A482" s="30" t="str">
        <f>IFERROR(__xludf.DUMMYFUNCTION("""COMPUTED_VALUE"""),"RSC006187")</f>
        <v>RSC006187</v>
      </c>
      <c r="B482" s="30" t="str">
        <f>IFERROR(__xludf.DUMMYFUNCTION("""COMPUTED_VALUE"""),"1985 Fiat Panda")</f>
        <v>1985 Fiat Panda</v>
      </c>
      <c r="C482" s="30" t="str">
        <f>IFERROR(__xludf.DUMMYFUNCTION("""COMPUTED_VALUE"""),"Challenger")</f>
        <v>Challenger</v>
      </c>
      <c r="D482" s="30" t="str">
        <f>IFERROR(__xludf.DUMMYFUNCTION("""COMPUTED_VALUE"""),"Quarter")</f>
        <v>Quarter</v>
      </c>
      <c r="E482" s="30" t="str">
        <f>IFERROR(__xludf.DUMMYFUNCTION("""COMPUTED_VALUE"""),"Money Makers")</f>
        <v>Money Makers</v>
      </c>
      <c r="F482" s="30" t="str">
        <f>IFERROR(__xludf.DUMMYFUNCTION("""COMPUTED_VALUE"""),"Solar")</f>
        <v>Solar</v>
      </c>
      <c r="G482" s="92">
        <f>IFERROR(__xludf.DUMMYFUNCTION("""COMPUTED_VALUE"""),31.884982358521597)</f>
        <v>31.88498236</v>
      </c>
    </row>
    <row r="483">
      <c r="A483" s="30" t="str">
        <f>IFERROR(__xludf.DUMMYFUNCTION("""COMPUTED_VALUE"""),"RSC003978")</f>
        <v>RSC003978</v>
      </c>
      <c r="B483" s="30" t="str">
        <f>IFERROR(__xludf.DUMMYFUNCTION("""COMPUTED_VALUE"""),"thenio")</f>
        <v>thenio</v>
      </c>
      <c r="C483" s="30" t="str">
        <f>IFERROR(__xludf.DUMMYFUNCTION("""COMPUTED_VALUE"""),"Challenger")</f>
        <v>Challenger</v>
      </c>
      <c r="D483" s="30" t="str">
        <f>IFERROR(__xludf.DUMMYFUNCTION("""COMPUTED_VALUE"""),"Quarter")</f>
        <v>Quarter</v>
      </c>
      <c r="E483" s="30" t="str">
        <f>IFERROR(__xludf.DUMMYFUNCTION("""COMPUTED_VALUE"""),"Money Makers")</f>
        <v>Money Makers</v>
      </c>
      <c r="F483" s="30" t="str">
        <f>IFERROR(__xludf.DUMMYFUNCTION("""COMPUTED_VALUE"""),"Solar")</f>
        <v>Solar</v>
      </c>
      <c r="G483" s="92">
        <f>IFERROR(__xludf.DUMMYFUNCTION("""COMPUTED_VALUE"""),45.81360063833557)</f>
        <v>45.81360064</v>
      </c>
    </row>
    <row r="484">
      <c r="A484" s="30" t="str">
        <f>IFERROR(__xludf.DUMMYFUNCTION("""COMPUTED_VALUE"""),"RSC006225")</f>
        <v>RSC006225</v>
      </c>
      <c r="B484" s="30" t="str">
        <f>IFERROR(__xludf.DUMMYFUNCTION("""COMPUTED_VALUE"""),"renightly")</f>
        <v>renightly</v>
      </c>
      <c r="C484" s="30" t="str">
        <f>IFERROR(__xludf.DUMMYFUNCTION("""COMPUTED_VALUE"""),"Challenger")</f>
        <v>Challenger</v>
      </c>
      <c r="D484" s="30" t="str">
        <f>IFERROR(__xludf.DUMMYFUNCTION("""COMPUTED_VALUE"""),"Quarter")</f>
        <v>Quarter</v>
      </c>
      <c r="E484" s="30" t="str">
        <f>IFERROR(__xludf.DUMMYFUNCTION("""COMPUTED_VALUE"""),"Money Makers")</f>
        <v>Money Makers</v>
      </c>
      <c r="F484" s="30" t="str">
        <f>IFERROR(__xludf.DUMMYFUNCTION("""COMPUTED_VALUE"""),"Solar")</f>
        <v>Solar</v>
      </c>
      <c r="G484" s="92">
        <f>IFERROR(__xludf.DUMMYFUNCTION("""COMPUTED_VALUE"""),31.887125347957884)</f>
        <v>31.88712535</v>
      </c>
    </row>
    <row r="485">
      <c r="A485" s="30" t="str">
        <f>IFERROR(__xludf.DUMMYFUNCTION("""COMPUTED_VALUE"""),"RSC007824")</f>
        <v>RSC007824</v>
      </c>
      <c r="B485" s="30" t="str">
        <f>IFERROR(__xludf.DUMMYFUNCTION("""COMPUTED_VALUE"""),"Akki404")</f>
        <v>Akki404</v>
      </c>
      <c r="C485" s="30" t="str">
        <f>IFERROR(__xludf.DUMMYFUNCTION("""COMPUTED_VALUE"""),"Challenger")</f>
        <v>Challenger</v>
      </c>
      <c r="D485" s="30" t="str">
        <f>IFERROR(__xludf.DUMMYFUNCTION("""COMPUTED_VALUE"""),"Bingo")</f>
        <v>Bingo</v>
      </c>
      <c r="E485" s="30" t="str">
        <f>IFERROR(__xludf.DUMMYFUNCTION("""COMPUTED_VALUE"""),"Never Lucky")</f>
        <v>Never Lucky</v>
      </c>
      <c r="F485" s="30" t="str">
        <f>IFERROR(__xludf.DUMMYFUNCTION("""COMPUTED_VALUE"""),"Lunar")</f>
        <v>Lunar</v>
      </c>
      <c r="G485" s="92">
        <f>IFERROR(__xludf.DUMMYFUNCTION("""COMPUTED_VALUE"""),54.14887861113938)</f>
        <v>54.14887861</v>
      </c>
    </row>
    <row r="486">
      <c r="A486" s="30" t="str">
        <f>IFERROR(__xludf.DUMMYFUNCTION("""COMPUTED_VALUE"""),"RSC004817")</f>
        <v>RSC004817</v>
      </c>
      <c r="B486" s="30" t="str">
        <f>IFERROR(__xludf.DUMMYFUNCTION("""COMPUTED_VALUE"""),"crybound")</f>
        <v>crybound</v>
      </c>
      <c r="C486" s="30" t="str">
        <f>IFERROR(__xludf.DUMMYFUNCTION("""COMPUTED_VALUE"""),"Challenger")</f>
        <v>Challenger</v>
      </c>
      <c r="D486" s="30" t="str">
        <f>IFERROR(__xludf.DUMMYFUNCTION("""COMPUTED_VALUE"""),"Chromatic Chaos")</f>
        <v>Chromatic Chaos</v>
      </c>
      <c r="E486" s="30" t="str">
        <f>IFERROR(__xludf.DUMMYFUNCTION("""COMPUTED_VALUE"""),"Art Club")</f>
        <v>Art Club</v>
      </c>
      <c r="F486" s="30" t="str">
        <f>IFERROR(__xludf.DUMMYFUNCTION("""COMPUTED_VALUE"""),"Solar")</f>
        <v>Solar</v>
      </c>
      <c r="G486" s="92">
        <f>IFERROR(__xludf.DUMMYFUNCTION("""COMPUTED_VALUE"""),29.046489307851157)</f>
        <v>29.04648931</v>
      </c>
    </row>
    <row r="487">
      <c r="A487" s="30" t="str">
        <f>IFERROR(__xludf.DUMMYFUNCTION("""COMPUTED_VALUE"""),"RSC005663")</f>
        <v>RSC005663</v>
      </c>
      <c r="B487" s="30" t="str">
        <f>IFERROR(__xludf.DUMMYFUNCTION("""COMPUTED_VALUE"""),"Pure_Pusher")</f>
        <v>Pure_Pusher</v>
      </c>
      <c r="C487" s="30" t="str">
        <f>IFERROR(__xludf.DUMMYFUNCTION("""COMPUTED_VALUE"""),"Challenger")</f>
        <v>Challenger</v>
      </c>
      <c r="D487" s="30" t="str">
        <f>IFERROR(__xludf.DUMMYFUNCTION("""COMPUTED_VALUE"""),"Chromatic Chaos")</f>
        <v>Chromatic Chaos</v>
      </c>
      <c r="E487" s="30" t="str">
        <f>IFERROR(__xludf.DUMMYFUNCTION("""COMPUTED_VALUE"""),"Art Club")</f>
        <v>Art Club</v>
      </c>
      <c r="F487" s="30" t="str">
        <f>IFERROR(__xludf.DUMMYFUNCTION("""COMPUTED_VALUE"""),"Solar")</f>
        <v>Solar</v>
      </c>
      <c r="G487" s="92">
        <f>IFERROR(__xludf.DUMMYFUNCTION("""COMPUTED_VALUE"""),29.614396997271335)</f>
        <v>29.614397</v>
      </c>
    </row>
    <row r="488">
      <c r="A488" s="30" t="str">
        <f>IFERROR(__xludf.DUMMYFUNCTION("""COMPUTED_VALUE"""),"RSC007934")</f>
        <v>RSC007934</v>
      </c>
      <c r="B488" s="30" t="str">
        <f>IFERROR(__xludf.DUMMYFUNCTION("""COMPUTED_VALUE"""),"Chicknn.")</f>
        <v>Chicknn.</v>
      </c>
      <c r="C488" s="30" t="str">
        <f>IFERROR(__xludf.DUMMYFUNCTION("""COMPUTED_VALUE"""),"Challenger")</f>
        <v>Challenger</v>
      </c>
      <c r="D488" s="30" t="str">
        <f>IFERROR(__xludf.DUMMYFUNCTION("""COMPUTED_VALUE"""),"Chromatic Chaos")</f>
        <v>Chromatic Chaos</v>
      </c>
      <c r="E488" s="30" t="str">
        <f>IFERROR(__xludf.DUMMYFUNCTION("""COMPUTED_VALUE"""),"Art Club")</f>
        <v>Art Club</v>
      </c>
      <c r="F488" s="30" t="str">
        <f>IFERROR(__xludf.DUMMYFUNCTION("""COMPUTED_VALUE"""),"Solar")</f>
        <v>Solar</v>
      </c>
      <c r="G488" s="92">
        <f>IFERROR(__xludf.DUMMYFUNCTION("""COMPUTED_VALUE"""),54.47943173541511)</f>
        <v>54.47943174</v>
      </c>
    </row>
    <row r="489">
      <c r="A489" s="30" t="str">
        <f>IFERROR(__xludf.DUMMYFUNCTION("""COMPUTED_VALUE"""),"RSC003109")</f>
        <v>RSC003109</v>
      </c>
      <c r="B489" s="30" t="str">
        <f>IFERROR(__xludf.DUMMYFUNCTION("""COMPUTED_VALUE"""),"Kflip11")</f>
        <v>Kflip11</v>
      </c>
      <c r="C489" s="30" t="str">
        <f>IFERROR(__xludf.DUMMYFUNCTION("""COMPUTED_VALUE"""),"Challenger")</f>
        <v>Challenger</v>
      </c>
      <c r="D489" s="30" t="str">
        <f>IFERROR(__xludf.DUMMYFUNCTION("""COMPUTED_VALUE"""),"Cassowaries")</f>
        <v>Cassowaries</v>
      </c>
      <c r="E489" s="30" t="str">
        <f>IFERROR(__xludf.DUMMYFUNCTION("""COMPUTED_VALUE"""),"Flightless Fowl")</f>
        <v>Flightless Fowl</v>
      </c>
      <c r="F489" s="30" t="str">
        <f>IFERROR(__xludf.DUMMYFUNCTION("""COMPUTED_VALUE"""),"Solar")</f>
        <v>Solar</v>
      </c>
      <c r="G489" s="92">
        <f>IFERROR(__xludf.DUMMYFUNCTION("""COMPUTED_VALUE"""),45.98767359689114)</f>
        <v>45.9876736</v>
      </c>
    </row>
    <row r="490">
      <c r="A490" s="30" t="str">
        <f>IFERROR(__xludf.DUMMYFUNCTION("""COMPUTED_VALUE"""),"RSC002841")</f>
        <v>RSC002841</v>
      </c>
      <c r="B490" s="30" t="str">
        <f>IFERROR(__xludf.DUMMYFUNCTION("""COMPUTED_VALUE"""),"dyl")</f>
        <v>dyl</v>
      </c>
      <c r="C490" s="30" t="str">
        <f>IFERROR(__xludf.DUMMYFUNCTION("""COMPUTED_VALUE"""),"Challenger")</f>
        <v>Challenger</v>
      </c>
      <c r="D490" s="30" t="str">
        <f>IFERROR(__xludf.DUMMYFUNCTION("""COMPUTED_VALUE"""),"Cassowaries")</f>
        <v>Cassowaries</v>
      </c>
      <c r="E490" s="30" t="str">
        <f>IFERROR(__xludf.DUMMYFUNCTION("""COMPUTED_VALUE"""),"Flightless Fowl")</f>
        <v>Flightless Fowl</v>
      </c>
      <c r="F490" s="30" t="str">
        <f>IFERROR(__xludf.DUMMYFUNCTION("""COMPUTED_VALUE"""),"Solar")</f>
        <v>Solar</v>
      </c>
      <c r="G490" s="92">
        <f>IFERROR(__xludf.DUMMYFUNCTION("""COMPUTED_VALUE"""),61.90396281930105)</f>
        <v>61.90396282</v>
      </c>
    </row>
    <row r="491">
      <c r="A491" s="30" t="str">
        <f>IFERROR(__xludf.DUMMYFUNCTION("""COMPUTED_VALUE"""),"RSC007647")</f>
        <v>RSC007647</v>
      </c>
      <c r="B491" s="30" t="str">
        <f>IFERROR(__xludf.DUMMYFUNCTION("""COMPUTED_VALUE"""),"I'm Pale")</f>
        <v>I'm Pale</v>
      </c>
      <c r="C491" s="30" t="str">
        <f>IFERROR(__xludf.DUMMYFUNCTION("""COMPUTED_VALUE"""),"Challenger")</f>
        <v>Challenger</v>
      </c>
      <c r="D491" s="30" t="str">
        <f>IFERROR(__xludf.DUMMYFUNCTION("""COMPUTED_VALUE"""),"Cassowaries")</f>
        <v>Cassowaries</v>
      </c>
      <c r="E491" s="30" t="str">
        <f>IFERROR(__xludf.DUMMYFUNCTION("""COMPUTED_VALUE"""),"Flightless Fowl")</f>
        <v>Flightless Fowl</v>
      </c>
      <c r="F491" s="30" t="str">
        <f>IFERROR(__xludf.DUMMYFUNCTION("""COMPUTED_VALUE"""),"Solar")</f>
        <v>Solar</v>
      </c>
      <c r="G491" s="92">
        <f>IFERROR(__xludf.DUMMYFUNCTION("""COMPUTED_VALUE"""),83.22348421753212)</f>
        <v>83.22348422</v>
      </c>
    </row>
    <row r="492">
      <c r="A492" s="30" t="str">
        <f>IFERROR(__xludf.DUMMYFUNCTION("""COMPUTED_VALUE"""),"RSC003424")</f>
        <v>RSC003424</v>
      </c>
      <c r="B492" s="30" t="str">
        <f>IFERROR(__xludf.DUMMYFUNCTION("""COMPUTED_VALUE"""),"Fryder")</f>
        <v>Fryder</v>
      </c>
      <c r="C492" s="30" t="str">
        <f>IFERROR(__xludf.DUMMYFUNCTION("""COMPUTED_VALUE"""),"Challenger")</f>
        <v>Challenger</v>
      </c>
      <c r="D492" s="30" t="str">
        <f>IFERROR(__xludf.DUMMYFUNCTION("""COMPUTED_VALUE"""),"Metal")</f>
        <v>Metal</v>
      </c>
      <c r="E492" s="30" t="str">
        <f>IFERROR(__xludf.DUMMYFUNCTION("""COMPUTED_VALUE"""),"The Elements")</f>
        <v>The Elements</v>
      </c>
      <c r="F492" s="30" t="str">
        <f>IFERROR(__xludf.DUMMYFUNCTION("""COMPUTED_VALUE"""),"Solar")</f>
        <v>Solar</v>
      </c>
      <c r="G492" s="92">
        <f>IFERROR(__xludf.DUMMYFUNCTION("""COMPUTED_VALUE"""),56.23724648133328)</f>
        <v>56.23724648</v>
      </c>
    </row>
    <row r="493">
      <c r="A493" s="30" t="str">
        <f>IFERROR(__xludf.DUMMYFUNCTION("""COMPUTED_VALUE"""),"RSC007939")</f>
        <v>RSC007939</v>
      </c>
      <c r="B493" s="30" t="str">
        <f>IFERROR(__xludf.DUMMYFUNCTION("""COMPUTED_VALUE"""),"bryan_rown_")</f>
        <v>bryan_rown_</v>
      </c>
      <c r="C493" s="30" t="str">
        <f>IFERROR(__xludf.DUMMYFUNCTION("""COMPUTED_VALUE"""),"Challenger")</f>
        <v>Challenger</v>
      </c>
      <c r="D493" s="30" t="str">
        <f>IFERROR(__xludf.DUMMYFUNCTION("""COMPUTED_VALUE"""),"Metal")</f>
        <v>Metal</v>
      </c>
      <c r="E493" s="30" t="str">
        <f>IFERROR(__xludf.DUMMYFUNCTION("""COMPUTED_VALUE"""),"The Elements")</f>
        <v>The Elements</v>
      </c>
      <c r="F493" s="30" t="str">
        <f>IFERROR(__xludf.DUMMYFUNCTION("""COMPUTED_VALUE"""),"Solar")</f>
        <v>Solar</v>
      </c>
      <c r="G493" s="92">
        <f>IFERROR(__xludf.DUMMYFUNCTION("""COMPUTED_VALUE"""),47.4267567750079)</f>
        <v>47.42675678</v>
      </c>
    </row>
    <row r="494">
      <c r="A494" s="30" t="str">
        <f>IFERROR(__xludf.DUMMYFUNCTION("""COMPUTED_VALUE"""),"RSC007546")</f>
        <v>RSC007546</v>
      </c>
      <c r="B494" s="30" t="str">
        <f>IFERROR(__xludf.DUMMYFUNCTION("""COMPUTED_VALUE"""),"N0TTopmarx")</f>
        <v>N0TTopmarx</v>
      </c>
      <c r="C494" s="30" t="str">
        <f>IFERROR(__xludf.DUMMYFUNCTION("""COMPUTED_VALUE"""),"Challenger")</f>
        <v>Challenger</v>
      </c>
      <c r="D494" s="30" t="str">
        <f>IFERROR(__xludf.DUMMYFUNCTION("""COMPUTED_VALUE"""),"Metal")</f>
        <v>Metal</v>
      </c>
      <c r="E494" s="30" t="str">
        <f>IFERROR(__xludf.DUMMYFUNCTION("""COMPUTED_VALUE"""),"The Elements")</f>
        <v>The Elements</v>
      </c>
      <c r="F494" s="30" t="str">
        <f>IFERROR(__xludf.DUMMYFUNCTION("""COMPUTED_VALUE"""),"Solar")</f>
        <v>Solar</v>
      </c>
      <c r="G494" s="92">
        <f>IFERROR(__xludf.DUMMYFUNCTION("""COMPUTED_VALUE"""),41.67266264468354)</f>
        <v>41.67266264</v>
      </c>
    </row>
    <row r="495">
      <c r="A495" s="30" t="str">
        <f>IFERROR(__xludf.DUMMYFUNCTION("""COMPUTED_VALUE"""),"RSC006346")</f>
        <v>RSC006346</v>
      </c>
      <c r="B495" s="30" t="str">
        <f>IFERROR(__xludf.DUMMYFUNCTION("""COMPUTED_VALUE"""),"MobBossCitrus")</f>
        <v>MobBossCitrus</v>
      </c>
      <c r="C495" s="30" t="str">
        <f>IFERROR(__xludf.DUMMYFUNCTION("""COMPUTED_VALUE"""),"Challenger")</f>
        <v>Challenger</v>
      </c>
      <c r="D495" s="30" t="str">
        <f>IFERROR(__xludf.DUMMYFUNCTION("""COMPUTED_VALUE"""),"Jock O Lanterns")</f>
        <v>Jock O Lanterns</v>
      </c>
      <c r="E495" s="30" t="str">
        <f>IFERROR(__xludf.DUMMYFUNCTION("""COMPUTED_VALUE"""),"Ghoul School")</f>
        <v>Ghoul School</v>
      </c>
      <c r="F495" s="30" t="str">
        <f>IFERROR(__xludf.DUMMYFUNCTION("""COMPUTED_VALUE"""),"Solar")</f>
        <v>Solar</v>
      </c>
      <c r="G495" s="92">
        <f>IFERROR(__xludf.DUMMYFUNCTION("""COMPUTED_VALUE"""),44.517873412796604)</f>
        <v>44.51787341</v>
      </c>
    </row>
    <row r="496">
      <c r="A496" s="30" t="str">
        <f>IFERROR(__xludf.DUMMYFUNCTION("""COMPUTED_VALUE"""),"RSC005859")</f>
        <v>RSC005859</v>
      </c>
      <c r="B496" s="30" t="str">
        <f>IFERROR(__xludf.DUMMYFUNCTION("""COMPUTED_VALUE"""),"LedTasso")</f>
        <v>LedTasso</v>
      </c>
      <c r="C496" s="30" t="str">
        <f>IFERROR(__xludf.DUMMYFUNCTION("""COMPUTED_VALUE"""),"Challenger")</f>
        <v>Challenger</v>
      </c>
      <c r="D496" s="30" t="str">
        <f>IFERROR(__xludf.DUMMYFUNCTION("""COMPUTED_VALUE"""),"Jock O Lanterns")</f>
        <v>Jock O Lanterns</v>
      </c>
      <c r="E496" s="30" t="str">
        <f>IFERROR(__xludf.DUMMYFUNCTION("""COMPUTED_VALUE"""),"Ghoul School")</f>
        <v>Ghoul School</v>
      </c>
      <c r="F496" s="30" t="str">
        <f>IFERROR(__xludf.DUMMYFUNCTION("""COMPUTED_VALUE"""),"Solar")</f>
        <v>Solar</v>
      </c>
      <c r="G496" s="92">
        <f>IFERROR(__xludf.DUMMYFUNCTION("""COMPUTED_VALUE"""),50.92852217066237)</f>
        <v>50.92852217</v>
      </c>
    </row>
    <row r="497">
      <c r="A497" s="30" t="str">
        <f>IFERROR(__xludf.DUMMYFUNCTION("""COMPUTED_VALUE"""),"RSC002128")</f>
        <v>RSC002128</v>
      </c>
      <c r="B497" s="30" t="str">
        <f>IFERROR(__xludf.DUMMYFUNCTION("""COMPUTED_VALUE"""),"Velo")</f>
        <v>Velo</v>
      </c>
      <c r="C497" s="30" t="str">
        <f>IFERROR(__xludf.DUMMYFUNCTION("""COMPUTED_VALUE"""),"Challenger")</f>
        <v>Challenger</v>
      </c>
      <c r="D497" s="30" t="str">
        <f>IFERROR(__xludf.DUMMYFUNCTION("""COMPUTED_VALUE"""),"Jock O Lanterns")</f>
        <v>Jock O Lanterns</v>
      </c>
      <c r="E497" s="30" t="str">
        <f>IFERROR(__xludf.DUMMYFUNCTION("""COMPUTED_VALUE"""),"Ghoul School")</f>
        <v>Ghoul School</v>
      </c>
      <c r="F497" s="30" t="str">
        <f>IFERROR(__xludf.DUMMYFUNCTION("""COMPUTED_VALUE"""),"Solar")</f>
        <v>Solar</v>
      </c>
      <c r="G497" s="92">
        <f>IFERROR(__xludf.DUMMYFUNCTION("""COMPUTED_VALUE"""),45.63327712294735)</f>
        <v>45.63327712</v>
      </c>
    </row>
    <row r="498">
      <c r="A498" s="30" t="str">
        <f>IFERROR(__xludf.DUMMYFUNCTION("""COMPUTED_VALUE"""),"RSC000663")</f>
        <v>RSC000663</v>
      </c>
      <c r="B498" s="30" t="str">
        <f>IFERROR(__xludf.DUMMYFUNCTION("""COMPUTED_VALUE"""),"DrProfessorNoah")</f>
        <v>DrProfessorNoah</v>
      </c>
      <c r="C498" s="30" t="str">
        <f>IFERROR(__xludf.DUMMYFUNCTION("""COMPUTED_VALUE"""),"Challenger")</f>
        <v>Challenger</v>
      </c>
      <c r="D498" s="30" t="str">
        <f>IFERROR(__xludf.DUMMYFUNCTION("""COMPUTED_VALUE"""),"Apple Associates")</f>
        <v>Apple Associates</v>
      </c>
      <c r="E498" s="30" t="str">
        <f>IFERROR(__xludf.DUMMYFUNCTION("""COMPUTED_VALUE"""),"The Syndicate")</f>
        <v>The Syndicate</v>
      </c>
      <c r="F498" s="30" t="str">
        <f>IFERROR(__xludf.DUMMYFUNCTION("""COMPUTED_VALUE"""),"Lunar")</f>
        <v>Lunar</v>
      </c>
      <c r="G498" s="92">
        <f>IFERROR(__xludf.DUMMYFUNCTION("""COMPUTED_VALUE"""),35.40891717223845)</f>
        <v>35.40891717</v>
      </c>
    </row>
    <row r="499">
      <c r="A499" s="30" t="str">
        <f>IFERROR(__xludf.DUMMYFUNCTION("""COMPUTED_VALUE"""),"RSC000025")</f>
        <v>RSC000025</v>
      </c>
      <c r="B499" s="30" t="str">
        <f>IFERROR(__xludf.DUMMYFUNCTION("""COMPUTED_VALUE"""),"Slayerof666")</f>
        <v>Slayerof666</v>
      </c>
      <c r="C499" s="30" t="str">
        <f>IFERROR(__xludf.DUMMYFUNCTION("""COMPUTED_VALUE"""),"Challenger")</f>
        <v>Challenger</v>
      </c>
      <c r="D499" s="30" t="str">
        <f>IFERROR(__xludf.DUMMYFUNCTION("""COMPUTED_VALUE"""),"Apple Associates")</f>
        <v>Apple Associates</v>
      </c>
      <c r="E499" s="30" t="str">
        <f>IFERROR(__xludf.DUMMYFUNCTION("""COMPUTED_VALUE"""),"The Syndicate")</f>
        <v>The Syndicate</v>
      </c>
      <c r="F499" s="30" t="str">
        <f>IFERROR(__xludf.DUMMYFUNCTION("""COMPUTED_VALUE"""),"Lunar")</f>
        <v>Lunar</v>
      </c>
      <c r="G499" s="92">
        <f>IFERROR(__xludf.DUMMYFUNCTION("""COMPUTED_VALUE"""),43.60018458874471)</f>
        <v>43.60018459</v>
      </c>
    </row>
    <row r="500">
      <c r="A500" s="30" t="str">
        <f>IFERROR(__xludf.DUMMYFUNCTION("""COMPUTED_VALUE"""),"RSC007549")</f>
        <v>RSC007549</v>
      </c>
      <c r="B500" s="30" t="str">
        <f>IFERROR(__xludf.DUMMYFUNCTION("""COMPUTED_VALUE"""),"Whiffy_RL")</f>
        <v>Whiffy_RL</v>
      </c>
      <c r="C500" s="30" t="str">
        <f>IFERROR(__xludf.DUMMYFUNCTION("""COMPUTED_VALUE"""),"Challenger")</f>
        <v>Challenger</v>
      </c>
      <c r="D500" s="30" t="str">
        <f>IFERROR(__xludf.DUMMYFUNCTION("""COMPUTED_VALUE"""),"Apple Associates")</f>
        <v>Apple Associates</v>
      </c>
      <c r="E500" s="30" t="str">
        <f>IFERROR(__xludf.DUMMYFUNCTION("""COMPUTED_VALUE"""),"The Syndicate")</f>
        <v>The Syndicate</v>
      </c>
      <c r="F500" s="30" t="str">
        <f>IFERROR(__xludf.DUMMYFUNCTION("""COMPUTED_VALUE"""),"Lunar")</f>
        <v>Lunar</v>
      </c>
      <c r="G500" s="92">
        <f>IFERROR(__xludf.DUMMYFUNCTION("""COMPUTED_VALUE"""),41.733950784044346)</f>
        <v>41.73395078</v>
      </c>
    </row>
    <row r="501">
      <c r="A501" s="30" t="str">
        <f>IFERROR(__xludf.DUMMYFUNCTION("""COMPUTED_VALUE"""),"RSC007613")</f>
        <v>RSC007613</v>
      </c>
      <c r="B501" s="30" t="str">
        <f>IFERROR(__xludf.DUMMYFUNCTION("""COMPUTED_VALUE"""),"Squatch70")</f>
        <v>Squatch70</v>
      </c>
      <c r="C501" s="30" t="str">
        <f>IFERROR(__xludf.DUMMYFUNCTION("""COMPUTED_VALUE"""),"Challenger")</f>
        <v>Challenger</v>
      </c>
      <c r="D501" s="30" t="str">
        <f>IFERROR(__xludf.DUMMYFUNCTION("""COMPUTED_VALUE"""),"Panda Bears")</f>
        <v>Panda Bears</v>
      </c>
      <c r="E501" s="30" t="str">
        <f>IFERROR(__xludf.DUMMYFUNCTION("""COMPUTED_VALUE"""),"The Bear Den")</f>
        <v>The Bear Den</v>
      </c>
      <c r="F501" s="30" t="str">
        <f>IFERROR(__xludf.DUMMYFUNCTION("""COMPUTED_VALUE"""),"Lunar")</f>
        <v>Lunar</v>
      </c>
      <c r="G501" s="92">
        <f>IFERROR(__xludf.DUMMYFUNCTION("""COMPUTED_VALUE"""),52.906372092683426)</f>
        <v>52.90637209</v>
      </c>
    </row>
    <row r="502">
      <c r="A502" s="30" t="str">
        <f>IFERROR(__xludf.DUMMYFUNCTION("""COMPUTED_VALUE"""),"RSC002897")</f>
        <v>RSC002897</v>
      </c>
      <c r="B502" s="30" t="str">
        <f>IFERROR(__xludf.DUMMYFUNCTION("""COMPUTED_VALUE"""),"VickyViksta")</f>
        <v>VickyViksta</v>
      </c>
      <c r="C502" s="30" t="str">
        <f>IFERROR(__xludf.DUMMYFUNCTION("""COMPUTED_VALUE"""),"Challenger")</f>
        <v>Challenger</v>
      </c>
      <c r="D502" s="30" t="str">
        <f>IFERROR(__xludf.DUMMYFUNCTION("""COMPUTED_VALUE"""),"Panda Bears")</f>
        <v>Panda Bears</v>
      </c>
      <c r="E502" s="30" t="str">
        <f>IFERROR(__xludf.DUMMYFUNCTION("""COMPUTED_VALUE"""),"The Bear Den")</f>
        <v>The Bear Den</v>
      </c>
      <c r="F502" s="30" t="str">
        <f>IFERROR(__xludf.DUMMYFUNCTION("""COMPUTED_VALUE"""),"Lunar")</f>
        <v>Lunar</v>
      </c>
      <c r="G502" s="92">
        <f>IFERROR(__xludf.DUMMYFUNCTION("""COMPUTED_VALUE"""),36.00289433693979)</f>
        <v>36.00289434</v>
      </c>
    </row>
    <row r="503">
      <c r="A503" s="30" t="str">
        <f>IFERROR(__xludf.DUMMYFUNCTION("""COMPUTED_VALUE"""),"RSC006244")</f>
        <v>RSC006244</v>
      </c>
      <c r="B503" s="30" t="str">
        <f>IFERROR(__xludf.DUMMYFUNCTION("""COMPUTED_VALUE"""),"Whiite Bear")</f>
        <v>Whiite Bear</v>
      </c>
      <c r="C503" s="30" t="str">
        <f>IFERROR(__xludf.DUMMYFUNCTION("""COMPUTED_VALUE"""),"Challenger")</f>
        <v>Challenger</v>
      </c>
      <c r="D503" s="30" t="str">
        <f>IFERROR(__xludf.DUMMYFUNCTION("""COMPUTED_VALUE"""),"Panda Bears")</f>
        <v>Panda Bears</v>
      </c>
      <c r="E503" s="30" t="str">
        <f>IFERROR(__xludf.DUMMYFUNCTION("""COMPUTED_VALUE"""),"The Bear Den")</f>
        <v>The Bear Den</v>
      </c>
      <c r="F503" s="30" t="str">
        <f>IFERROR(__xludf.DUMMYFUNCTION("""COMPUTED_VALUE"""),"Lunar")</f>
        <v>Lunar</v>
      </c>
      <c r="G503" s="92">
        <f>IFERROR(__xludf.DUMMYFUNCTION("""COMPUTED_VALUE"""),49.33818655971776)</f>
        <v>49.33818656</v>
      </c>
    </row>
    <row r="504">
      <c r="A504" s="30" t="str">
        <f>IFERROR(__xludf.DUMMYFUNCTION("""COMPUTED_VALUE"""),"RSC006240")</f>
        <v>RSC006240</v>
      </c>
      <c r="B504" s="30" t="str">
        <f>IFERROR(__xludf.DUMMYFUNCTION("""COMPUTED_VALUE"""),"Canadian Gamer")</f>
        <v>Canadian Gamer</v>
      </c>
      <c r="C504" s="30" t="str">
        <f>IFERROR(__xludf.DUMMYFUNCTION("""COMPUTED_VALUE"""),"Challenger")</f>
        <v>Challenger</v>
      </c>
      <c r="D504" s="30" t="str">
        <f>IFERROR(__xludf.DUMMYFUNCTION("""COMPUTED_VALUE"""),"Meat Lovers")</f>
        <v>Meat Lovers</v>
      </c>
      <c r="E504" s="30" t="str">
        <f>IFERROR(__xludf.DUMMYFUNCTION("""COMPUTED_VALUE"""),"Fifty-Fifty Pizzeria")</f>
        <v>Fifty-Fifty Pizzeria</v>
      </c>
      <c r="F504" s="30" t="str">
        <f>IFERROR(__xludf.DUMMYFUNCTION("""COMPUTED_VALUE"""),"Lunar")</f>
        <v>Lunar</v>
      </c>
      <c r="G504" s="92">
        <f>IFERROR(__xludf.DUMMYFUNCTION("""COMPUTED_VALUE"""),59.75631132207429)</f>
        <v>59.75631132</v>
      </c>
    </row>
    <row r="505">
      <c r="A505" s="30" t="str">
        <f>IFERROR(__xludf.DUMMYFUNCTION("""COMPUTED_VALUE"""),"RSC006976")</f>
        <v>RSC006976</v>
      </c>
      <c r="B505" s="30" t="str">
        <f>IFERROR(__xludf.DUMMYFUNCTION("""COMPUTED_VALUE"""),"Slendda")</f>
        <v>Slendda</v>
      </c>
      <c r="C505" s="30" t="str">
        <f>IFERROR(__xludf.DUMMYFUNCTION("""COMPUTED_VALUE"""),"Challenger")</f>
        <v>Challenger</v>
      </c>
      <c r="D505" s="30" t="str">
        <f>IFERROR(__xludf.DUMMYFUNCTION("""COMPUTED_VALUE"""),"Meat Lovers")</f>
        <v>Meat Lovers</v>
      </c>
      <c r="E505" s="30" t="str">
        <f>IFERROR(__xludf.DUMMYFUNCTION("""COMPUTED_VALUE"""),"Fifty-Fifty Pizzeria")</f>
        <v>Fifty-Fifty Pizzeria</v>
      </c>
      <c r="F505" s="30" t="str">
        <f>IFERROR(__xludf.DUMMYFUNCTION("""COMPUTED_VALUE"""),"Lunar")</f>
        <v>Lunar</v>
      </c>
      <c r="G505" s="92">
        <f>IFERROR(__xludf.DUMMYFUNCTION("""COMPUTED_VALUE"""),82.09380408368878)</f>
        <v>82.09380408</v>
      </c>
    </row>
    <row r="506">
      <c r="A506" s="30" t="str">
        <f>IFERROR(__xludf.DUMMYFUNCTION("""COMPUTED_VALUE"""),"RSC007093")</f>
        <v>RSC007093</v>
      </c>
      <c r="B506" s="30" t="str">
        <f>IFERROR(__xludf.DUMMYFUNCTION("""COMPUTED_VALUE"""),"Mangy")</f>
        <v>Mangy</v>
      </c>
      <c r="C506" s="30" t="str">
        <f>IFERROR(__xludf.DUMMYFUNCTION("""COMPUTED_VALUE"""),"Challenger")</f>
        <v>Challenger</v>
      </c>
      <c r="D506" s="30" t="str">
        <f>IFERROR(__xludf.DUMMYFUNCTION("""COMPUTED_VALUE"""),"Meat Lovers")</f>
        <v>Meat Lovers</v>
      </c>
      <c r="E506" s="30" t="str">
        <f>IFERROR(__xludf.DUMMYFUNCTION("""COMPUTED_VALUE"""),"Fifty-Fifty Pizzeria")</f>
        <v>Fifty-Fifty Pizzeria</v>
      </c>
      <c r="F506" s="30" t="str">
        <f>IFERROR(__xludf.DUMMYFUNCTION("""COMPUTED_VALUE"""),"Lunar")</f>
        <v>Lunar</v>
      </c>
      <c r="G506" s="92">
        <f>IFERROR(__xludf.DUMMYFUNCTION("""COMPUTED_VALUE"""),71.79744657768883)</f>
        <v>71.79744658</v>
      </c>
    </row>
    <row r="507">
      <c r="A507" s="30" t="str">
        <f>IFERROR(__xludf.DUMMYFUNCTION("""COMPUTED_VALUE"""),"RSC000357")</f>
        <v>RSC000357</v>
      </c>
      <c r="B507" s="30" t="str">
        <f>IFERROR(__xludf.DUMMYFUNCTION("""COMPUTED_VALUE"""),"Primed")</f>
        <v>Primed</v>
      </c>
      <c r="C507" s="30" t="str">
        <f>IFERROR(__xludf.DUMMYFUNCTION("""COMPUTED_VALUE"""),"Challenger")</f>
        <v>Challenger</v>
      </c>
      <c r="D507" s="30" t="str">
        <f>IFERROR(__xludf.DUMMYFUNCTION("""COMPUTED_VALUE"""),"Decuriones")</f>
        <v>Decuriones</v>
      </c>
      <c r="E507" s="30" t="str">
        <f>IFERROR(__xludf.DUMMYFUNCTION("""COMPUTED_VALUE"""),"The Sovereign")</f>
        <v>The Sovereign</v>
      </c>
      <c r="F507" s="30" t="str">
        <f>IFERROR(__xludf.DUMMYFUNCTION("""COMPUTED_VALUE"""),"Lunar")</f>
        <v>Lunar</v>
      </c>
      <c r="G507" s="92">
        <f>IFERROR(__xludf.DUMMYFUNCTION("""COMPUTED_VALUE"""),44.072848701558556)</f>
        <v>44.0728487</v>
      </c>
    </row>
    <row r="508">
      <c r="A508" s="30" t="str">
        <f>IFERROR(__xludf.DUMMYFUNCTION("""COMPUTED_VALUE"""),"RSC004059")</f>
        <v>RSC004059</v>
      </c>
      <c r="B508" s="30" t="str">
        <f>IFERROR(__xludf.DUMMYFUNCTION("""COMPUTED_VALUE"""),"turboalpaca")</f>
        <v>turboalpaca</v>
      </c>
      <c r="C508" s="30" t="str">
        <f>IFERROR(__xludf.DUMMYFUNCTION("""COMPUTED_VALUE"""),"Challenger")</f>
        <v>Challenger</v>
      </c>
      <c r="D508" s="30" t="str">
        <f>IFERROR(__xludf.DUMMYFUNCTION("""COMPUTED_VALUE"""),"Decuriones")</f>
        <v>Decuriones</v>
      </c>
      <c r="E508" s="30" t="str">
        <f>IFERROR(__xludf.DUMMYFUNCTION("""COMPUTED_VALUE"""),"The Sovereign")</f>
        <v>The Sovereign</v>
      </c>
      <c r="F508" s="30" t="str">
        <f>IFERROR(__xludf.DUMMYFUNCTION("""COMPUTED_VALUE"""),"Lunar")</f>
        <v>Lunar</v>
      </c>
      <c r="G508" s="92">
        <f>IFERROR(__xludf.DUMMYFUNCTION("""COMPUTED_VALUE"""),64.94332062322053)</f>
        <v>64.94332062</v>
      </c>
    </row>
    <row r="509">
      <c r="A509" s="30" t="str">
        <f>IFERROR(__xludf.DUMMYFUNCTION("""COMPUTED_VALUE"""),"RSC005265")</f>
        <v>RSC005265</v>
      </c>
      <c r="B509" s="30" t="str">
        <f>IFERROR(__xludf.DUMMYFUNCTION("""COMPUTED_VALUE"""),"doctorprofessor_")</f>
        <v>doctorprofessor_</v>
      </c>
      <c r="C509" s="30" t="str">
        <f>IFERROR(__xludf.DUMMYFUNCTION("""COMPUTED_VALUE"""),"Challenger")</f>
        <v>Challenger</v>
      </c>
      <c r="D509" s="30" t="str">
        <f>IFERROR(__xludf.DUMMYFUNCTION("""COMPUTED_VALUE"""),"Decuriones")</f>
        <v>Decuriones</v>
      </c>
      <c r="E509" s="30" t="str">
        <f>IFERROR(__xludf.DUMMYFUNCTION("""COMPUTED_VALUE"""),"The Sovereign")</f>
        <v>The Sovereign</v>
      </c>
      <c r="F509" s="30" t="str">
        <f>IFERROR(__xludf.DUMMYFUNCTION("""COMPUTED_VALUE"""),"Lunar")</f>
        <v>Lunar</v>
      </c>
      <c r="G509" s="92">
        <f>IFERROR(__xludf.DUMMYFUNCTION("""COMPUTED_VALUE"""),75.42329386305232)</f>
        <v>75.42329386</v>
      </c>
    </row>
    <row r="510">
      <c r="A510" s="30" t="str">
        <f>IFERROR(__xludf.DUMMYFUNCTION("""COMPUTED_VALUE"""),"RSC006159")</f>
        <v>RSC006159</v>
      </c>
      <c r="B510" s="30" t="str">
        <f>IFERROR(__xludf.DUMMYFUNCTION("""COMPUTED_VALUE"""),"Peter Potamus")</f>
        <v>Peter Potamus</v>
      </c>
      <c r="C510" s="30" t="str">
        <f>IFERROR(__xludf.DUMMYFUNCTION("""COMPUTED_VALUE"""),"Challenger")</f>
        <v>Challenger</v>
      </c>
      <c r="D510" s="30" t="str">
        <f>IFERROR(__xludf.DUMMYFUNCTION("""COMPUTED_VALUE"""),"Lions")</f>
        <v>Lions</v>
      </c>
      <c r="E510" s="30" t="str">
        <f>IFERROR(__xludf.DUMMYFUNCTION("""COMPUTED_VALUE"""),"Safari")</f>
        <v>Safari</v>
      </c>
      <c r="F510" s="30" t="str">
        <f>IFERROR(__xludf.DUMMYFUNCTION("""COMPUTED_VALUE"""),"Lunar")</f>
        <v>Lunar</v>
      </c>
      <c r="G510" s="92">
        <f>IFERROR(__xludf.DUMMYFUNCTION("""COMPUTED_VALUE"""),52.61329457543195)</f>
        <v>52.61329458</v>
      </c>
    </row>
    <row r="511">
      <c r="A511" s="30" t="str">
        <f>IFERROR(__xludf.DUMMYFUNCTION("""COMPUTED_VALUE"""),"RSC007590")</f>
        <v>RSC007590</v>
      </c>
      <c r="B511" s="30" t="str">
        <f>IFERROR(__xludf.DUMMYFUNCTION("""COMPUTED_VALUE"""),"DonkeyPancakes2")</f>
        <v>DonkeyPancakes2</v>
      </c>
      <c r="C511" s="30" t="str">
        <f>IFERROR(__xludf.DUMMYFUNCTION("""COMPUTED_VALUE"""),"Challenger")</f>
        <v>Challenger</v>
      </c>
      <c r="D511" s="30" t="str">
        <f>IFERROR(__xludf.DUMMYFUNCTION("""COMPUTED_VALUE"""),"Lions")</f>
        <v>Lions</v>
      </c>
      <c r="E511" s="30" t="str">
        <f>IFERROR(__xludf.DUMMYFUNCTION("""COMPUTED_VALUE"""),"Safari")</f>
        <v>Safari</v>
      </c>
      <c r="F511" s="30" t="str">
        <f>IFERROR(__xludf.DUMMYFUNCTION("""COMPUTED_VALUE"""),"Lunar")</f>
        <v>Lunar</v>
      </c>
      <c r="G511" s="92">
        <f>IFERROR(__xludf.DUMMYFUNCTION("""COMPUTED_VALUE"""),44.53890902889711)</f>
        <v>44.53890903</v>
      </c>
    </row>
    <row r="512">
      <c r="A512" s="30" t="str">
        <f>IFERROR(__xludf.DUMMYFUNCTION("""COMPUTED_VALUE"""),"RSC005150")</f>
        <v>RSC005150</v>
      </c>
      <c r="B512" s="30" t="str">
        <f>IFERROR(__xludf.DUMMYFUNCTION("""COMPUTED_VALUE"""),"Galatiq")</f>
        <v>Galatiq</v>
      </c>
      <c r="C512" s="30" t="str">
        <f>IFERROR(__xludf.DUMMYFUNCTION("""COMPUTED_VALUE"""),"Challenger")</f>
        <v>Challenger</v>
      </c>
      <c r="D512" s="30" t="str">
        <f>IFERROR(__xludf.DUMMYFUNCTION("""COMPUTED_VALUE"""),"Lions")</f>
        <v>Lions</v>
      </c>
      <c r="E512" s="30" t="str">
        <f>IFERROR(__xludf.DUMMYFUNCTION("""COMPUTED_VALUE"""),"Safari")</f>
        <v>Safari</v>
      </c>
      <c r="F512" s="30" t="str">
        <f>IFERROR(__xludf.DUMMYFUNCTION("""COMPUTED_VALUE"""),"Lunar")</f>
        <v>Lunar</v>
      </c>
      <c r="G512" s="92">
        <f>IFERROR(__xludf.DUMMYFUNCTION("""COMPUTED_VALUE"""),59.718694153453804)</f>
        <v>59.71869415</v>
      </c>
    </row>
    <row r="513">
      <c r="A513" s="30" t="str">
        <f>IFERROR(__xludf.DUMMYFUNCTION("""COMPUTED_VALUE"""),"RSC007560")</f>
        <v>RSC007560</v>
      </c>
      <c r="B513" s="30" t="str">
        <f>IFERROR(__xludf.DUMMYFUNCTION("""COMPUTED_VALUE"""),"ObiWan_Can_O_Bee")</f>
        <v>ObiWan_Can_O_Bee</v>
      </c>
      <c r="C513" s="30" t="str">
        <f>IFERROR(__xludf.DUMMYFUNCTION("""COMPUTED_VALUE"""),"Challenger")</f>
        <v>Challenger</v>
      </c>
      <c r="D513" s="30" t="str">
        <f>IFERROR(__xludf.DUMMYFUNCTION("""COMPUTED_VALUE"""),"Shade")</f>
        <v>Shade</v>
      </c>
      <c r="E513" s="30" t="str">
        <f>IFERROR(__xludf.DUMMYFUNCTION("""COMPUTED_VALUE"""),"The Shadows")</f>
        <v>The Shadows</v>
      </c>
      <c r="F513" s="30" t="str">
        <f>IFERROR(__xludf.DUMMYFUNCTION("""COMPUTED_VALUE"""),"Lunar")</f>
        <v>Lunar</v>
      </c>
      <c r="G513" s="92">
        <f>IFERROR(__xludf.DUMMYFUNCTION("""COMPUTED_VALUE"""),35.11713241893153)</f>
        <v>35.11713242</v>
      </c>
    </row>
    <row r="514">
      <c r="A514" s="30" t="str">
        <f>IFERROR(__xludf.DUMMYFUNCTION("""COMPUTED_VALUE"""),"RSC000938")</f>
        <v>RSC000938</v>
      </c>
      <c r="B514" s="30" t="str">
        <f>IFERROR(__xludf.DUMMYFUNCTION("""COMPUTED_VALUE"""),"Nukem_IV")</f>
        <v>Nukem_IV</v>
      </c>
      <c r="C514" s="30" t="str">
        <f>IFERROR(__xludf.DUMMYFUNCTION("""COMPUTED_VALUE"""),"Challenger")</f>
        <v>Challenger</v>
      </c>
      <c r="D514" s="30" t="str">
        <f>IFERROR(__xludf.DUMMYFUNCTION("""COMPUTED_VALUE"""),"Mugged
Solstice Sake
Shade")</f>
        <v>Mugged
Solstice Sake
Shade</v>
      </c>
      <c r="E514" s="30" t="str">
        <f>IFERROR(__xludf.DUMMYFUNCTION("""COMPUTED_VALUE"""),"The Hood
5 O'clock Nowhere
The Shadows")</f>
        <v>The Hood
5 O'clock Nowhere
The Shadows</v>
      </c>
      <c r="F514" s="30" t="str">
        <f>IFERROR(__xludf.DUMMYFUNCTION("""COMPUTED_VALUE"""),"Lunar")</f>
        <v>Lunar</v>
      </c>
      <c r="G514" s="92">
        <f>IFERROR(__xludf.DUMMYFUNCTION("""COMPUTED_VALUE"""),45.35909197315088)</f>
        <v>45.35909197</v>
      </c>
    </row>
    <row r="515">
      <c r="A515" s="30" t="str">
        <f>IFERROR(__xludf.DUMMYFUNCTION("""COMPUTED_VALUE"""),"RSC005219")</f>
        <v>RSC005219</v>
      </c>
      <c r="B515" s="30" t="str">
        <f>IFERROR(__xludf.DUMMYFUNCTION("""COMPUTED_VALUE"""),"iargue")</f>
        <v>iargue</v>
      </c>
      <c r="C515" s="30" t="str">
        <f>IFERROR(__xludf.DUMMYFUNCTION("""COMPUTED_VALUE"""),"Challenger")</f>
        <v>Challenger</v>
      </c>
      <c r="D515" s="30" t="str">
        <f>IFERROR(__xludf.DUMMYFUNCTION("""COMPUTED_VALUE"""),"Shade")</f>
        <v>Shade</v>
      </c>
      <c r="E515" s="30" t="str">
        <f>IFERROR(__xludf.DUMMYFUNCTION("""COMPUTED_VALUE"""),"The Shadows")</f>
        <v>The Shadows</v>
      </c>
      <c r="F515" s="30" t="str">
        <f>IFERROR(__xludf.DUMMYFUNCTION("""COMPUTED_VALUE"""),"Lunar")</f>
        <v>Lunar</v>
      </c>
      <c r="G515" s="92">
        <f>IFERROR(__xludf.DUMMYFUNCTION("""COMPUTED_VALUE"""),5.803955843707882)</f>
        <v>5.803955844</v>
      </c>
    </row>
    <row r="516">
      <c r="A516" s="30" t="str">
        <f>IFERROR(__xludf.DUMMYFUNCTION("""COMPUTED_VALUE"""),"RSC007370")</f>
        <v>RSC007370</v>
      </c>
      <c r="B516" s="30" t="str">
        <f>IFERROR(__xludf.DUMMYFUNCTION("""COMPUTED_VALUE"""),"Jarrod81535")</f>
        <v>Jarrod81535</v>
      </c>
      <c r="C516" s="30" t="str">
        <f>IFERROR(__xludf.DUMMYFUNCTION("""COMPUTED_VALUE"""),"Challenger")</f>
        <v>Challenger</v>
      </c>
      <c r="D516" s="30" t="str">
        <f>IFERROR(__xludf.DUMMYFUNCTION("""COMPUTED_VALUE"""),"Trippy Hippies")</f>
        <v>Trippy Hippies</v>
      </c>
      <c r="E516" s="30" t="str">
        <f>IFERROR(__xludf.DUMMYFUNCTION("""COMPUTED_VALUE"""),"Vibe Tribe")</f>
        <v>Vibe Tribe</v>
      </c>
      <c r="F516" s="30" t="str">
        <f>IFERROR(__xludf.DUMMYFUNCTION("""COMPUTED_VALUE"""),"Lunar")</f>
        <v>Lunar</v>
      </c>
      <c r="G516" s="92">
        <f>IFERROR(__xludf.DUMMYFUNCTION("""COMPUTED_VALUE"""),30.6736046314078)</f>
        <v>30.67360463</v>
      </c>
    </row>
    <row r="517">
      <c r="A517" s="30" t="str">
        <f>IFERROR(__xludf.DUMMYFUNCTION("""COMPUTED_VALUE"""),"RSC006299")</f>
        <v>RSC006299</v>
      </c>
      <c r="B517" s="30" t="str">
        <f>IFERROR(__xludf.DUMMYFUNCTION("""COMPUTED_VALUE"""),"dr_zachattack")</f>
        <v>dr_zachattack</v>
      </c>
      <c r="C517" s="30" t="str">
        <f>IFERROR(__xludf.DUMMYFUNCTION("""COMPUTED_VALUE"""),"Challenger")</f>
        <v>Challenger</v>
      </c>
      <c r="D517" s="30" t="str">
        <f>IFERROR(__xludf.DUMMYFUNCTION("""COMPUTED_VALUE"""),"Trippy Hippies")</f>
        <v>Trippy Hippies</v>
      </c>
      <c r="E517" s="30" t="str">
        <f>IFERROR(__xludf.DUMMYFUNCTION("""COMPUTED_VALUE"""),"Vibe Tribe")</f>
        <v>Vibe Tribe</v>
      </c>
      <c r="F517" s="30" t="str">
        <f>IFERROR(__xludf.DUMMYFUNCTION("""COMPUTED_VALUE"""),"Lunar")</f>
        <v>Lunar</v>
      </c>
      <c r="G517" s="92">
        <f>IFERROR(__xludf.DUMMYFUNCTION("""COMPUTED_VALUE"""),60.74754543512881)</f>
        <v>60.74754544</v>
      </c>
    </row>
    <row r="518">
      <c r="A518" s="30" t="str">
        <f>IFERROR(__xludf.DUMMYFUNCTION("""COMPUTED_VALUE"""),"RSC001066")</f>
        <v>RSC001066</v>
      </c>
      <c r="B518" s="30" t="str">
        <f>IFERROR(__xludf.DUMMYFUNCTION("""COMPUTED_VALUE"""),"risu")</f>
        <v>risu</v>
      </c>
      <c r="C518" s="30" t="str">
        <f>IFERROR(__xludf.DUMMYFUNCTION("""COMPUTED_VALUE"""),"Challenger")</f>
        <v>Challenger</v>
      </c>
      <c r="D518" s="30" t="str">
        <f>IFERROR(__xludf.DUMMYFUNCTION("""COMPUTED_VALUE"""),"Trippy Hippies")</f>
        <v>Trippy Hippies</v>
      </c>
      <c r="E518" s="30" t="str">
        <f>IFERROR(__xludf.DUMMYFUNCTION("""COMPUTED_VALUE"""),"Vibe Tribe")</f>
        <v>Vibe Tribe</v>
      </c>
      <c r="F518" s="30" t="str">
        <f>IFERROR(__xludf.DUMMYFUNCTION("""COMPUTED_VALUE"""),"Lunar")</f>
        <v>Lunar</v>
      </c>
      <c r="G518" s="92">
        <f>IFERROR(__xludf.DUMMYFUNCTION("""COMPUTED_VALUE"""),55.499715756983)</f>
        <v>55.49971576</v>
      </c>
    </row>
    <row r="519">
      <c r="A519" s="30" t="str">
        <f>IFERROR(__xludf.DUMMYFUNCTION("""COMPUTED_VALUE"""),"RSC004763")</f>
        <v>RSC004763</v>
      </c>
      <c r="B519" s="30" t="str">
        <f>IFERROR(__xludf.DUMMYFUNCTION("""COMPUTED_VALUE"""),"Rmuru-")</f>
        <v>Rmuru-</v>
      </c>
      <c r="C519" s="30" t="str">
        <f>IFERROR(__xludf.DUMMYFUNCTION("""COMPUTED_VALUE"""),"Challenger")</f>
        <v>Challenger</v>
      </c>
      <c r="D519" s="30" t="str">
        <f>IFERROR(__xludf.DUMMYFUNCTION("""COMPUTED_VALUE"""),"Warbirds")</f>
        <v>Warbirds</v>
      </c>
      <c r="E519" s="30" t="str">
        <f>IFERROR(__xludf.DUMMYFUNCTION("""COMPUTED_VALUE"""),"Remove Before Flight")</f>
        <v>Remove Before Flight</v>
      </c>
      <c r="F519" s="30" t="str">
        <f>IFERROR(__xludf.DUMMYFUNCTION("""COMPUTED_VALUE"""),"Lunar")</f>
        <v>Lunar</v>
      </c>
      <c r="G519" s="92">
        <f>IFERROR(__xludf.DUMMYFUNCTION("""COMPUTED_VALUE"""),54.288915524578364)</f>
        <v>54.28891552</v>
      </c>
    </row>
    <row r="520">
      <c r="A520" s="30" t="str">
        <f>IFERROR(__xludf.DUMMYFUNCTION("""COMPUTED_VALUE"""),"RSC007960")</f>
        <v>RSC007960</v>
      </c>
      <c r="B520" s="30" t="str">
        <f>IFERROR(__xludf.DUMMYFUNCTION("""COMPUTED_VALUE"""),"Kayo")</f>
        <v>Kayo</v>
      </c>
      <c r="C520" s="30" t="str">
        <f>IFERROR(__xludf.DUMMYFUNCTION("""COMPUTED_VALUE"""),"Challenger")</f>
        <v>Challenger</v>
      </c>
      <c r="D520" s="30" t="str">
        <f>IFERROR(__xludf.DUMMYFUNCTION("""COMPUTED_VALUE"""),"Warbirds")</f>
        <v>Warbirds</v>
      </c>
      <c r="E520" s="30" t="str">
        <f>IFERROR(__xludf.DUMMYFUNCTION("""COMPUTED_VALUE"""),"Remove Before Flight")</f>
        <v>Remove Before Flight</v>
      </c>
      <c r="F520" s="30" t="str">
        <f>IFERROR(__xludf.DUMMYFUNCTION("""COMPUTED_VALUE"""),"Lunar")</f>
        <v>Lunar</v>
      </c>
      <c r="G520" s="92">
        <f>IFERROR(__xludf.DUMMYFUNCTION("""COMPUTED_VALUE"""),61.27466685230008)</f>
        <v>61.27466685</v>
      </c>
    </row>
    <row r="521">
      <c r="A521" s="30" t="str">
        <f>IFERROR(__xludf.DUMMYFUNCTION("""COMPUTED_VALUE"""),"RSC004597")</f>
        <v>RSC004597</v>
      </c>
      <c r="B521" s="30" t="str">
        <f>IFERROR(__xludf.DUMMYFUNCTION("""COMPUTED_VALUE"""),"xXBlindBeastXx")</f>
        <v>xXBlindBeastXx</v>
      </c>
      <c r="C521" s="30" t="str">
        <f>IFERROR(__xludf.DUMMYFUNCTION("""COMPUTED_VALUE"""),"Challenger")</f>
        <v>Challenger</v>
      </c>
      <c r="D521" s="30" t="str">
        <f>IFERROR(__xludf.DUMMYFUNCTION("""COMPUTED_VALUE"""),"Warbirds")</f>
        <v>Warbirds</v>
      </c>
      <c r="E521" s="30" t="str">
        <f>IFERROR(__xludf.DUMMYFUNCTION("""COMPUTED_VALUE"""),"Remove Before Flight")</f>
        <v>Remove Before Flight</v>
      </c>
      <c r="F521" s="30" t="str">
        <f>IFERROR(__xludf.DUMMYFUNCTION("""COMPUTED_VALUE"""),"Lunar")</f>
        <v>Lunar</v>
      </c>
      <c r="G521" s="92">
        <f>IFERROR(__xludf.DUMMYFUNCTION("""COMPUTED_VALUE"""),24.77996157318832)</f>
        <v>24.77996157</v>
      </c>
    </row>
    <row r="522">
      <c r="A522" s="30" t="str">
        <f>IFERROR(__xludf.DUMMYFUNCTION("""COMPUTED_VALUE"""),"RSC007294")</f>
        <v>RSC007294</v>
      </c>
      <c r="B522" s="30" t="str">
        <f>IFERROR(__xludf.DUMMYFUNCTION("""COMPUTED_VALUE"""),"CF0UR_")</f>
        <v>CF0UR_</v>
      </c>
      <c r="C522" s="30" t="str">
        <f>IFERROR(__xludf.DUMMYFUNCTION("""COMPUTED_VALUE"""),"Challenger")</f>
        <v>Challenger</v>
      </c>
      <c r="D522" s="30" t="str">
        <f>IFERROR(__xludf.DUMMYFUNCTION("""COMPUTED_VALUE"""),"Havarti Hustlers")</f>
        <v>Havarti Hustlers</v>
      </c>
      <c r="E522" s="30" t="str">
        <f>IFERROR(__xludf.DUMMYFUNCTION("""COMPUTED_VALUE"""),"Cheese Guild")</f>
        <v>Cheese Guild</v>
      </c>
      <c r="F522" s="30" t="str">
        <f>IFERROR(__xludf.DUMMYFUNCTION("""COMPUTED_VALUE"""),"Lunar")</f>
        <v>Lunar</v>
      </c>
      <c r="G522" s="92">
        <f>IFERROR(__xludf.DUMMYFUNCTION("""COMPUTED_VALUE"""),50.813532332295196)</f>
        <v>50.81353233</v>
      </c>
    </row>
    <row r="523">
      <c r="A523" s="30" t="str">
        <f>IFERROR(__xludf.DUMMYFUNCTION("""COMPUTED_VALUE"""),"RSC007065")</f>
        <v>RSC007065</v>
      </c>
      <c r="B523" s="30" t="str">
        <f>IFERROR(__xludf.DUMMYFUNCTION("""COMPUTED_VALUE"""),"Rampage")</f>
        <v>Rampage</v>
      </c>
      <c r="C523" s="30" t="str">
        <f>IFERROR(__xludf.DUMMYFUNCTION("""COMPUTED_VALUE"""),"Challenger")</f>
        <v>Challenger</v>
      </c>
      <c r="D523" s="30" t="str">
        <f>IFERROR(__xludf.DUMMYFUNCTION("""COMPUTED_VALUE"""),"Havarti Hustlers")</f>
        <v>Havarti Hustlers</v>
      </c>
      <c r="E523" s="30" t="str">
        <f>IFERROR(__xludf.DUMMYFUNCTION("""COMPUTED_VALUE"""),"Cheese Guild")</f>
        <v>Cheese Guild</v>
      </c>
      <c r="F523" s="30" t="str">
        <f>IFERROR(__xludf.DUMMYFUNCTION("""COMPUTED_VALUE"""),"Lunar")</f>
        <v>Lunar</v>
      </c>
      <c r="G523" s="92">
        <f>IFERROR(__xludf.DUMMYFUNCTION("""COMPUTED_VALUE"""),40.031071866642314)</f>
        <v>40.03107187</v>
      </c>
    </row>
    <row r="524">
      <c r="A524" s="30" t="str">
        <f>IFERROR(__xludf.DUMMYFUNCTION("""COMPUTED_VALUE"""),"RSC003387")</f>
        <v>RSC003387</v>
      </c>
      <c r="B524" s="30" t="str">
        <f>IFERROR(__xludf.DUMMYFUNCTION("""COMPUTED_VALUE"""),"Redline")</f>
        <v>Redline</v>
      </c>
      <c r="C524" s="30" t="str">
        <f>IFERROR(__xludf.DUMMYFUNCTION("""COMPUTED_VALUE"""),"Challenger")</f>
        <v>Challenger</v>
      </c>
      <c r="D524" s="30" t="str">
        <f>IFERROR(__xludf.DUMMYFUNCTION("""COMPUTED_VALUE"""),"Havarti Hustlers")</f>
        <v>Havarti Hustlers</v>
      </c>
      <c r="E524" s="30" t="str">
        <f>IFERROR(__xludf.DUMMYFUNCTION("""COMPUTED_VALUE"""),"Cheese Guild")</f>
        <v>Cheese Guild</v>
      </c>
      <c r="F524" s="30" t="str">
        <f>IFERROR(__xludf.DUMMYFUNCTION("""COMPUTED_VALUE"""),"Lunar")</f>
        <v>Lunar</v>
      </c>
      <c r="G524" s="92">
        <f>IFERROR(__xludf.DUMMYFUNCTION("""COMPUTED_VALUE"""),46.59774702523052)</f>
        <v>46.59774703</v>
      </c>
    </row>
    <row r="525">
      <c r="A525" s="30" t="str">
        <f>IFERROR(__xludf.DUMMYFUNCTION("""COMPUTED_VALUE"""),"RSC000347")</f>
        <v>RSC000347</v>
      </c>
      <c r="B525" s="30" t="str">
        <f>IFERROR(__xludf.DUMMYFUNCTION("""COMPUTED_VALUE"""),"Chris.")</f>
        <v>Chris.</v>
      </c>
      <c r="C525" s="30" t="str">
        <f>IFERROR(__xludf.DUMMYFUNCTION("""COMPUTED_VALUE"""),"Challenger")</f>
        <v>Challenger</v>
      </c>
      <c r="D525" s="30" t="str">
        <f>IFERROR(__xludf.DUMMYFUNCTION("""COMPUTED_VALUE"""),"Zombies")</f>
        <v>Zombies</v>
      </c>
      <c r="E525" s="30" t="str">
        <f>IFERROR(__xludf.DUMMYFUNCTION("""COMPUTED_VALUE"""),"The Monster Mash")</f>
        <v>The Monster Mash</v>
      </c>
      <c r="F525" s="30" t="str">
        <f>IFERROR(__xludf.DUMMYFUNCTION("""COMPUTED_VALUE"""),"Lunar")</f>
        <v>Lunar</v>
      </c>
      <c r="G525" s="92">
        <f>IFERROR(__xludf.DUMMYFUNCTION("""COMPUTED_VALUE"""),29.352787799954513)</f>
        <v>29.3527878</v>
      </c>
    </row>
    <row r="526">
      <c r="A526" s="30" t="str">
        <f>IFERROR(__xludf.DUMMYFUNCTION("""COMPUTED_VALUE"""),"RSC006923")</f>
        <v>RSC006923</v>
      </c>
      <c r="B526" s="30" t="str">
        <f>IFERROR(__xludf.DUMMYFUNCTION("""COMPUTED_VALUE"""),"LostZealous")</f>
        <v>LostZealous</v>
      </c>
      <c r="C526" s="30" t="str">
        <f>IFERROR(__xludf.DUMMYFUNCTION("""COMPUTED_VALUE"""),"Challenger")</f>
        <v>Challenger</v>
      </c>
      <c r="D526" s="30" t="str">
        <f>IFERROR(__xludf.DUMMYFUNCTION("""COMPUTED_VALUE"""),"Zombies")</f>
        <v>Zombies</v>
      </c>
      <c r="E526" s="30" t="str">
        <f>IFERROR(__xludf.DUMMYFUNCTION("""COMPUTED_VALUE"""),"The Monster Mash")</f>
        <v>The Monster Mash</v>
      </c>
      <c r="F526" s="30" t="str">
        <f>IFERROR(__xludf.DUMMYFUNCTION("""COMPUTED_VALUE"""),"Lunar")</f>
        <v>Lunar</v>
      </c>
      <c r="G526" s="92">
        <f>IFERROR(__xludf.DUMMYFUNCTION("""COMPUTED_VALUE"""),46.13682074907566)</f>
        <v>46.13682075</v>
      </c>
    </row>
    <row r="527">
      <c r="A527" s="30" t="str">
        <f>IFERROR(__xludf.DUMMYFUNCTION("""COMPUTED_VALUE"""),"RSC005526")</f>
        <v>RSC005526</v>
      </c>
      <c r="B527" s="30" t="str">
        <f>IFERROR(__xludf.DUMMYFUNCTION("""COMPUTED_VALUE"""),"Vortex3524")</f>
        <v>Vortex3524</v>
      </c>
      <c r="C527" s="30" t="str">
        <f>IFERROR(__xludf.DUMMYFUNCTION("""COMPUTED_VALUE"""),"Challenger")</f>
        <v>Challenger</v>
      </c>
      <c r="D527" s="30" t="str">
        <f>IFERROR(__xludf.DUMMYFUNCTION("""COMPUTED_VALUE"""),"Zombies")</f>
        <v>Zombies</v>
      </c>
      <c r="E527" s="30" t="str">
        <f>IFERROR(__xludf.DUMMYFUNCTION("""COMPUTED_VALUE"""),"The Monster Mash")</f>
        <v>The Monster Mash</v>
      </c>
      <c r="F527" s="30" t="str">
        <f>IFERROR(__xludf.DUMMYFUNCTION("""COMPUTED_VALUE"""),"Lunar")</f>
        <v>Lunar</v>
      </c>
      <c r="G527" s="92">
        <f>IFERROR(__xludf.DUMMYFUNCTION("""COMPUTED_VALUE"""),56.55822713564793)</f>
        <v>56.55822714</v>
      </c>
    </row>
    <row r="528">
      <c r="A528" s="30" t="str">
        <f>IFERROR(__xludf.DUMMYFUNCTION("""COMPUTED_VALUE"""),"RSC007525")</f>
        <v>RSC007525</v>
      </c>
      <c r="B528" s="30" t="str">
        <f>IFERROR(__xludf.DUMMYFUNCTION("""COMPUTED_VALUE"""),"BulletNote")</f>
        <v>BulletNote</v>
      </c>
      <c r="C528" s="30" t="str">
        <f>IFERROR(__xludf.DUMMYFUNCTION("""COMPUTED_VALUE"""),"Challenger")</f>
        <v>Challenger</v>
      </c>
      <c r="D528" s="30" t="str">
        <f>IFERROR(__xludf.DUMMYFUNCTION("""COMPUTED_VALUE"""),"Quarter
Zombies")</f>
        <v>Quarter
Zombies</v>
      </c>
      <c r="E528" s="30" t="str">
        <f>IFERROR(__xludf.DUMMYFUNCTION("""COMPUTED_VALUE"""),"Money Makers
The Monster Mash")</f>
        <v>Money Makers
The Monster Mash</v>
      </c>
      <c r="F528" s="30" t="str">
        <f>IFERROR(__xludf.DUMMYFUNCTION("""COMPUTED_VALUE"""),"Lunar")</f>
        <v>Lunar</v>
      </c>
      <c r="G528" s="92">
        <f>IFERROR(__xludf.DUMMYFUNCTION("""COMPUTED_VALUE"""),37.55853592976562)</f>
        <v>37.55853593</v>
      </c>
    </row>
    <row r="529">
      <c r="A529" s="30" t="str">
        <f>IFERROR(__xludf.DUMMYFUNCTION("""COMPUTED_VALUE"""),"RSC003331")</f>
        <v>RSC003331</v>
      </c>
      <c r="B529" s="30" t="str">
        <f>IFERROR(__xludf.DUMMYFUNCTION("""COMPUTED_VALUE"""),"Frostii")</f>
        <v>Frostii</v>
      </c>
      <c r="C529" s="30" t="str">
        <f>IFERROR(__xludf.DUMMYFUNCTION("""COMPUTED_VALUE"""),"Challenger")</f>
        <v>Challenger</v>
      </c>
      <c r="D529" s="30" t="str">
        <f>IFERROR(__xludf.DUMMYFUNCTION("""COMPUTED_VALUE"""),"Spearmint")</f>
        <v>Spearmint</v>
      </c>
      <c r="E529" s="30" t="str">
        <f>IFERROR(__xludf.DUMMYFUNCTION("""COMPUTED_VALUE"""),"Minty Fresh")</f>
        <v>Minty Fresh</v>
      </c>
      <c r="F529" s="30" t="str">
        <f>IFERROR(__xludf.DUMMYFUNCTION("""COMPUTED_VALUE"""),"Solar")</f>
        <v>Solar</v>
      </c>
      <c r="G529" s="92">
        <f>IFERROR(__xludf.DUMMYFUNCTION("""COMPUTED_VALUE"""),43.1539497804841)</f>
        <v>43.15394978</v>
      </c>
    </row>
    <row r="530">
      <c r="A530" s="30" t="str">
        <f>IFERROR(__xludf.DUMMYFUNCTION("""COMPUTED_VALUE"""),"RSC007870")</f>
        <v>RSC007870</v>
      </c>
      <c r="B530" s="30" t="str">
        <f>IFERROR(__xludf.DUMMYFUNCTION("""COMPUTED_VALUE"""),"King_OaF")</f>
        <v>King_OaF</v>
      </c>
      <c r="C530" s="30" t="str">
        <f>IFERROR(__xludf.DUMMYFUNCTION("""COMPUTED_VALUE"""),"Challenger")</f>
        <v>Challenger</v>
      </c>
      <c r="D530" s="30" t="str">
        <f>IFERROR(__xludf.DUMMYFUNCTION("""COMPUTED_VALUE"""),"Metal")</f>
        <v>Metal</v>
      </c>
      <c r="E530" s="30" t="str">
        <f>IFERROR(__xludf.DUMMYFUNCTION("""COMPUTED_VALUE"""),"The Elements")</f>
        <v>The Elements</v>
      </c>
      <c r="F530" s="30" t="str">
        <f>IFERROR(__xludf.DUMMYFUNCTION("""COMPUTED_VALUE"""),"Solar")</f>
        <v>Solar</v>
      </c>
      <c r="G530" s="92">
        <f>IFERROR(__xludf.DUMMYFUNCTION("""COMPUTED_VALUE"""),76.13409261498508)</f>
        <v>76.13409261</v>
      </c>
    </row>
    <row r="531">
      <c r="A531" s="30" t="str">
        <f>IFERROR(__xludf.DUMMYFUNCTION("""COMPUTED_VALUE"""),"RSC004997")</f>
        <v>RSC004997</v>
      </c>
      <c r="B531" s="30" t="str">
        <f>IFERROR(__xludf.DUMMYFUNCTION("""COMPUTED_VALUE"""),"evelynnx")</f>
        <v>evelynnx</v>
      </c>
      <c r="C531" s="30" t="str">
        <f>IFERROR(__xludf.DUMMYFUNCTION("""COMPUTED_VALUE"""),"Challenger")</f>
        <v>Challenger</v>
      </c>
      <c r="D531" s="30" t="str">
        <f>IFERROR(__xludf.DUMMYFUNCTION("""COMPUTED_VALUE"""),"Deceased")</f>
        <v>Deceased</v>
      </c>
      <c r="E531" s="30" t="str">
        <f>IFERROR(__xludf.DUMMYFUNCTION("""COMPUTED_VALUE"""),"Destined")</f>
        <v>Destined</v>
      </c>
      <c r="F531" s="30" t="str">
        <f>IFERROR(__xludf.DUMMYFUNCTION("""COMPUTED_VALUE"""),"Solar")</f>
        <v>Solar</v>
      </c>
      <c r="G531" s="92">
        <f>IFERROR(__xludf.DUMMYFUNCTION("""COMPUTED_VALUE"""),76.71195015278248)</f>
        <v>76.71195015</v>
      </c>
    </row>
    <row r="532">
      <c r="A532" s="30" t="str">
        <f>IFERROR(__xludf.DUMMYFUNCTION("""COMPUTED_VALUE"""),"RSC007626")</f>
        <v>RSC007626</v>
      </c>
      <c r="B532" s="30" t="str">
        <f>IFERROR(__xludf.DUMMYFUNCTION("""COMPUTED_VALUE"""),"ACDye2")</f>
        <v>ACDye2</v>
      </c>
      <c r="C532" s="30" t="str">
        <f>IFERROR(__xludf.DUMMYFUNCTION("""COMPUTED_VALUE"""),"Challenger")</f>
        <v>Challenger</v>
      </c>
      <c r="D532" s="30" t="str">
        <f>IFERROR(__xludf.DUMMYFUNCTION("""COMPUTED_VALUE"""),"Squalls")</f>
        <v>Squalls</v>
      </c>
      <c r="E532" s="30" t="str">
        <f>IFERROR(__xludf.DUMMYFUNCTION("""COMPUTED_VALUE"""),"Storm")</f>
        <v>Storm</v>
      </c>
      <c r="F532" s="30" t="str">
        <f>IFERROR(__xludf.DUMMYFUNCTION("""COMPUTED_VALUE"""),"Solar")</f>
        <v>Solar</v>
      </c>
      <c r="G532" s="92">
        <f>IFERROR(__xludf.DUMMYFUNCTION("""COMPUTED_VALUE"""),65.83780783345539)</f>
        <v>65.83780783</v>
      </c>
    </row>
    <row r="533">
      <c r="A533" s="30" t="str">
        <f>IFERROR(__xludf.DUMMYFUNCTION("""COMPUTED_VALUE"""),"RSC004679")</f>
        <v>RSC004679</v>
      </c>
      <c r="B533" s="30" t="str">
        <f>IFERROR(__xludf.DUMMYFUNCTION("""COMPUTED_VALUE"""),"master_ibk810")</f>
        <v>master_ibk810</v>
      </c>
      <c r="C533" s="30" t="str">
        <f>IFERROR(__xludf.DUMMYFUNCTION("""COMPUTED_VALUE"""),"Challenger")</f>
        <v>Challenger</v>
      </c>
      <c r="D533" s="30" t="str">
        <f>IFERROR(__xludf.DUMMYFUNCTION("""COMPUTED_VALUE"""),"Squalls")</f>
        <v>Squalls</v>
      </c>
      <c r="E533" s="30" t="str">
        <f>IFERROR(__xludf.DUMMYFUNCTION("""COMPUTED_VALUE"""),"Storm")</f>
        <v>Storm</v>
      </c>
      <c r="F533" s="30" t="str">
        <f>IFERROR(__xludf.DUMMYFUNCTION("""COMPUTED_VALUE"""),"Solar")</f>
        <v>Solar</v>
      </c>
      <c r="G533" s="92">
        <f>IFERROR(__xludf.DUMMYFUNCTION("""COMPUTED_VALUE"""),57.85795860258267)</f>
        <v>57.8579586</v>
      </c>
    </row>
    <row r="534">
      <c r="A534" s="30" t="str">
        <f>IFERROR(__xludf.DUMMYFUNCTION("""COMPUTED_VALUE"""),"RSC007001")</f>
        <v>RSC007001</v>
      </c>
      <c r="B534" s="30" t="str">
        <f>IFERROR(__xludf.DUMMYFUNCTION("""COMPUTED_VALUE"""),"tankersrul")</f>
        <v>tankersrul</v>
      </c>
      <c r="C534" s="30" t="str">
        <f>IFERROR(__xludf.DUMMYFUNCTION("""COMPUTED_VALUE"""),"Challenger")</f>
        <v>Challenger</v>
      </c>
      <c r="D534" s="30" t="str">
        <f>IFERROR(__xludf.DUMMYFUNCTION("""COMPUTED_VALUE"""),"Squalls")</f>
        <v>Squalls</v>
      </c>
      <c r="E534" s="30" t="str">
        <f>IFERROR(__xludf.DUMMYFUNCTION("""COMPUTED_VALUE"""),"Storm")</f>
        <v>Storm</v>
      </c>
      <c r="F534" s="30" t="str">
        <f>IFERROR(__xludf.DUMMYFUNCTION("""COMPUTED_VALUE"""),"Solar")</f>
        <v>Solar</v>
      </c>
      <c r="G534" s="92">
        <f>IFERROR(__xludf.DUMMYFUNCTION("""COMPUTED_VALUE"""),50.924978324533974)</f>
        <v>50.92497832</v>
      </c>
    </row>
    <row r="535">
      <c r="A535" s="30" t="str">
        <f>IFERROR(__xludf.DUMMYFUNCTION("""COMPUTED_VALUE"""),"RSC006643")</f>
        <v>RSC006643</v>
      </c>
      <c r="B535" s="30" t="str">
        <f>IFERROR(__xludf.DUMMYFUNCTION("""COMPUTED_VALUE"""),"Napkhan")</f>
        <v>Napkhan</v>
      </c>
      <c r="C535" s="30" t="str">
        <f>IFERROR(__xludf.DUMMYFUNCTION("""COMPUTED_VALUE"""),"Challenger")</f>
        <v>Challenger</v>
      </c>
      <c r="D535" s="30" t="str">
        <f>IFERROR(__xludf.DUMMYFUNCTION("""COMPUTED_VALUE"""),"Void")</f>
        <v>Void</v>
      </c>
      <c r="E535" s="30" t="str">
        <f>IFERROR(__xludf.DUMMYFUNCTION("""COMPUTED_VALUE"""),"Event Horizon")</f>
        <v>Event Horizon</v>
      </c>
      <c r="F535" s="30" t="str">
        <f>IFERROR(__xludf.DUMMYFUNCTION("""COMPUTED_VALUE"""),"Solar")</f>
        <v>Solar</v>
      </c>
      <c r="G535" s="92">
        <f>IFERROR(__xludf.DUMMYFUNCTION("""COMPUTED_VALUE"""),50.35672585327983)</f>
        <v>50.35672585</v>
      </c>
    </row>
    <row r="536">
      <c r="A536" s="30" t="str">
        <f>IFERROR(__xludf.DUMMYFUNCTION("""COMPUTED_VALUE"""),"RSC005696")</f>
        <v>RSC005696</v>
      </c>
      <c r="B536" s="30" t="str">
        <f>IFERROR(__xludf.DUMMYFUNCTION("""COMPUTED_VALUE"""),"Jack.flv")</f>
        <v>Jack.flv</v>
      </c>
      <c r="C536" s="30" t="str">
        <f>IFERROR(__xludf.DUMMYFUNCTION("""COMPUTED_VALUE"""),"Challenger")</f>
        <v>Challenger</v>
      </c>
      <c r="D536" s="30" t="str">
        <f>IFERROR(__xludf.DUMMYFUNCTION("""COMPUTED_VALUE"""),"Void")</f>
        <v>Void</v>
      </c>
      <c r="E536" s="30" t="str">
        <f>IFERROR(__xludf.DUMMYFUNCTION("""COMPUTED_VALUE"""),"Event Horizon")</f>
        <v>Event Horizon</v>
      </c>
      <c r="F536" s="30" t="str">
        <f>IFERROR(__xludf.DUMMYFUNCTION("""COMPUTED_VALUE"""),"Solar")</f>
        <v>Solar</v>
      </c>
      <c r="G536" s="92">
        <f>IFERROR(__xludf.DUMMYFUNCTION("""COMPUTED_VALUE"""),80.45514990006762)</f>
        <v>80.4551499</v>
      </c>
    </row>
    <row r="537">
      <c r="A537" s="30" t="str">
        <f>IFERROR(__xludf.DUMMYFUNCTION("""COMPUTED_VALUE"""),"RSC000426")</f>
        <v>RSC000426</v>
      </c>
      <c r="B537" s="30" t="str">
        <f>IFERROR(__xludf.DUMMYFUNCTION("""COMPUTED_VALUE"""),"struttrl")</f>
        <v>struttrl</v>
      </c>
      <c r="C537" s="30" t="str">
        <f>IFERROR(__xludf.DUMMYFUNCTION("""COMPUTED_VALUE"""),"Challenger")</f>
        <v>Challenger</v>
      </c>
      <c r="D537" s="30" t="str">
        <f>IFERROR(__xludf.DUMMYFUNCTION("""COMPUTED_VALUE"""),"Void")</f>
        <v>Void</v>
      </c>
      <c r="E537" s="30" t="str">
        <f>IFERROR(__xludf.DUMMYFUNCTION("""COMPUTED_VALUE"""),"Event Horizon")</f>
        <v>Event Horizon</v>
      </c>
      <c r="F537" s="30" t="str">
        <f>IFERROR(__xludf.DUMMYFUNCTION("""COMPUTED_VALUE"""),"Solar")</f>
        <v>Solar</v>
      </c>
      <c r="G537" s="92">
        <f>IFERROR(__xludf.DUMMYFUNCTION("""COMPUTED_VALUE"""),59.21070690262819)</f>
        <v>59.2107069</v>
      </c>
    </row>
    <row r="538">
      <c r="A538" s="30" t="str">
        <f>IFERROR(__xludf.DUMMYFUNCTION("""COMPUTED_VALUE"""),"RSC006092")</f>
        <v>RSC006092</v>
      </c>
      <c r="B538" s="30" t="str">
        <f>IFERROR(__xludf.DUMMYFUNCTION("""COMPUTED_VALUE"""),"Mickstery")</f>
        <v>Mickstery</v>
      </c>
      <c r="C538" s="30" t="str">
        <f>IFERROR(__xludf.DUMMYFUNCTION("""COMPUTED_VALUE"""),"Challenger")</f>
        <v>Challenger</v>
      </c>
      <c r="D538" s="30" t="str">
        <f>IFERROR(__xludf.DUMMYFUNCTION("""COMPUTED_VALUE"""),"Void")</f>
        <v>Void</v>
      </c>
      <c r="E538" s="30" t="str">
        <f>IFERROR(__xludf.DUMMYFUNCTION("""COMPUTED_VALUE"""),"Event Horizon")</f>
        <v>Event Horizon</v>
      </c>
      <c r="F538" s="30" t="str">
        <f>IFERROR(__xludf.DUMMYFUNCTION("""COMPUTED_VALUE"""),"Solar")</f>
        <v>Solar</v>
      </c>
      <c r="G538" s="92">
        <f>IFERROR(__xludf.DUMMYFUNCTION("""COMPUTED_VALUE"""),56.54276770125147)</f>
        <v>56.5427677</v>
      </c>
    </row>
    <row r="539">
      <c r="A539" s="30" t="str">
        <f>IFERROR(__xludf.DUMMYFUNCTION("""COMPUTED_VALUE"""),"RSC007291")</f>
        <v>RSC007291</v>
      </c>
      <c r="B539" s="30" t="str">
        <f>IFERROR(__xludf.DUMMYFUNCTION("""COMPUTED_VALUE"""),"brdtrd999")</f>
        <v>brdtrd999</v>
      </c>
      <c r="C539" s="30" t="str">
        <f>IFERROR(__xludf.DUMMYFUNCTION("""COMPUTED_VALUE"""),"Challenger")</f>
        <v>Challenger</v>
      </c>
      <c r="D539" s="30" t="str">
        <f>IFERROR(__xludf.DUMMYFUNCTION("""COMPUTED_VALUE"""),"Hydras
Cassowaries")</f>
        <v>Hydras
Cassowaries</v>
      </c>
      <c r="E539" s="30" t="str">
        <f>IFERROR(__xludf.DUMMYFUNCTION("""COMPUTED_VALUE"""),"The Forest
Flightless Fowl")</f>
        <v>The Forest
Flightless Fowl</v>
      </c>
      <c r="F539" s="30" t="str">
        <f>IFERROR(__xludf.DUMMYFUNCTION("""COMPUTED_VALUE"""),"Solar")</f>
        <v>Solar</v>
      </c>
      <c r="G539" s="92">
        <f>IFERROR(__xludf.DUMMYFUNCTION("""COMPUTED_VALUE"""),35.2110352577525)</f>
        <v>35.21103526</v>
      </c>
    </row>
    <row r="540">
      <c r="A540" s="30" t="str">
        <f>IFERROR(__xludf.DUMMYFUNCTION("""COMPUTED_VALUE"""),"RSC005059")</f>
        <v>RSC005059</v>
      </c>
      <c r="B540" s="30" t="str">
        <f>IFERROR(__xludf.DUMMYFUNCTION("""COMPUTED_VALUE"""),"Jacobim Mugatu")</f>
        <v>Jacobim Mugatu</v>
      </c>
      <c r="C540" s="30" t="str">
        <f>IFERROR(__xludf.DUMMYFUNCTION("""COMPUTED_VALUE"""),"Challenger")</f>
        <v>Challenger</v>
      </c>
      <c r="D540" s="30" t="str">
        <f>IFERROR(__xludf.DUMMYFUNCTION("""COMPUTED_VALUE"""),"Lilac")</f>
        <v>Lilac</v>
      </c>
      <c r="E540" s="30" t="str">
        <f>IFERROR(__xludf.DUMMYFUNCTION("""COMPUTED_VALUE"""),"Flower Road")</f>
        <v>Flower Road</v>
      </c>
      <c r="F540" s="30" t="str">
        <f>IFERROR(__xludf.DUMMYFUNCTION("""COMPUTED_VALUE"""),"Lunar")</f>
        <v>Lunar</v>
      </c>
      <c r="G540" s="92">
        <f>IFERROR(__xludf.DUMMYFUNCTION("""COMPUTED_VALUE"""),65.55991092062486)</f>
        <v>65.55991092</v>
      </c>
    </row>
    <row r="541">
      <c r="A541" s="30" t="str">
        <f>IFERROR(__xludf.DUMMYFUNCTION("""COMPUTED_VALUE"""),"RSC007848")</f>
        <v>RSC007848</v>
      </c>
      <c r="B541" s="30" t="str">
        <f>IFERROR(__xludf.DUMMYFUNCTION("""COMPUTED_VALUE"""),"Ninji &lt;3")</f>
        <v>Ninji &lt;3</v>
      </c>
      <c r="C541" s="30" t="str">
        <f>IFERROR(__xludf.DUMMYFUNCTION("""COMPUTED_VALUE"""),"Challenger")</f>
        <v>Challenger</v>
      </c>
      <c r="D541" s="30" t="str">
        <f>IFERROR(__xludf.DUMMYFUNCTION("""COMPUTED_VALUE"""),"Squalls")</f>
        <v>Squalls</v>
      </c>
      <c r="E541" s="30" t="str">
        <f>IFERROR(__xludf.DUMMYFUNCTION("""COMPUTED_VALUE"""),"Storm")</f>
        <v>Storm</v>
      </c>
      <c r="F541" s="30" t="str">
        <f>IFERROR(__xludf.DUMMYFUNCTION("""COMPUTED_VALUE"""),"Solar")</f>
        <v>Solar</v>
      </c>
      <c r="G541" s="92">
        <f>IFERROR(__xludf.DUMMYFUNCTION("""COMPUTED_VALUE"""),37.82014453957893)</f>
        <v>37.82014454</v>
      </c>
    </row>
    <row r="542">
      <c r="A542" s="30" t="str">
        <f>IFERROR(__xludf.DUMMYFUNCTION("""COMPUTED_VALUE"""),"RSC002911")</f>
        <v>RSC002911</v>
      </c>
      <c r="B542" s="30" t="str">
        <f>IFERROR(__xludf.DUMMYFUNCTION("""COMPUTED_VALUE"""),"Alextross")</f>
        <v>Alextross</v>
      </c>
      <c r="C542" s="30" t="str">
        <f>IFERROR(__xludf.DUMMYFUNCTION("""COMPUTED_VALUE"""),"Challenger")</f>
        <v>Challenger</v>
      </c>
      <c r="D542" s="30" t="str">
        <f>IFERROR(__xludf.DUMMYFUNCTION("""COMPUTED_VALUE"""),"Meat Lovers")</f>
        <v>Meat Lovers</v>
      </c>
      <c r="E542" s="30" t="str">
        <f>IFERROR(__xludf.DUMMYFUNCTION("""COMPUTED_VALUE"""),"Fifty-Fifty Pizzeria")</f>
        <v>Fifty-Fifty Pizzeria</v>
      </c>
      <c r="F542" s="30" t="str">
        <f>IFERROR(__xludf.DUMMYFUNCTION("""COMPUTED_VALUE"""),"Lunar")</f>
        <v>Lunar</v>
      </c>
      <c r="G542" s="92">
        <f>IFERROR(__xludf.DUMMYFUNCTION("""COMPUTED_VALUE"""),18.884916000782496)</f>
        <v>18.884916</v>
      </c>
    </row>
    <row r="543">
      <c r="A543" s="30" t="str">
        <f>IFERROR(__xludf.DUMMYFUNCTION("""COMPUTED_VALUE"""),"RSC006769")</f>
        <v>RSC006769</v>
      </c>
      <c r="B543" s="30" t="str">
        <f>IFERROR(__xludf.DUMMYFUNCTION("""COMPUTED_VALUE"""),"baltostorm")</f>
        <v>baltostorm</v>
      </c>
      <c r="C543" s="30" t="str">
        <f>IFERROR(__xludf.DUMMYFUNCTION("""COMPUTED_VALUE"""),"Challenger")</f>
        <v>Challenger</v>
      </c>
      <c r="D543" s="30" t="str">
        <f>IFERROR(__xludf.DUMMYFUNCTION("""COMPUTED_VALUE"""),"Decuriones")</f>
        <v>Decuriones</v>
      </c>
      <c r="E543" s="30" t="str">
        <f>IFERROR(__xludf.DUMMYFUNCTION("""COMPUTED_VALUE"""),"The Sovereign")</f>
        <v>The Sovereign</v>
      </c>
      <c r="F543" s="30" t="str">
        <f>IFERROR(__xludf.DUMMYFUNCTION("""COMPUTED_VALUE"""),"Lunar")</f>
        <v>Lunar</v>
      </c>
      <c r="G543" s="92">
        <f>IFERROR(__xludf.DUMMYFUNCTION("""COMPUTED_VALUE"""),87.24212015792884)</f>
        <v>87.24212016</v>
      </c>
    </row>
    <row r="544">
      <c r="A544" s="30" t="str">
        <f>IFERROR(__xludf.DUMMYFUNCTION("""COMPUTED_VALUE"""),"RSC003450")</f>
        <v>RSC003450</v>
      </c>
      <c r="B544" s="30" t="str">
        <f>IFERROR(__xludf.DUMMYFUNCTION("""COMPUTED_VALUE"""),"ChronoElevated")</f>
        <v>ChronoElevated</v>
      </c>
      <c r="C544" s="30" t="str">
        <f>IFERROR(__xludf.DUMMYFUNCTION("""COMPUTED_VALUE"""),"Challenger")</f>
        <v>Challenger</v>
      </c>
      <c r="D544" s="30" t="str">
        <f>IFERROR(__xludf.DUMMYFUNCTION("""COMPUTED_VALUE"""),"Mugged")</f>
        <v>Mugged</v>
      </c>
      <c r="E544" s="30" t="str">
        <f>IFERROR(__xludf.DUMMYFUNCTION("""COMPUTED_VALUE"""),"The Hood")</f>
        <v>The Hood</v>
      </c>
      <c r="F544" s="30" t="str">
        <f>IFERROR(__xludf.DUMMYFUNCTION("""COMPUTED_VALUE"""),"Lunar")</f>
        <v>Lunar</v>
      </c>
      <c r="G544" s="92">
        <f>IFERROR(__xludf.DUMMYFUNCTION("""COMPUTED_VALUE"""),54.13763663810145)</f>
        <v>54.13763664</v>
      </c>
    </row>
    <row r="545">
      <c r="A545" s="30" t="str">
        <f>IFERROR(__xludf.DUMMYFUNCTION("""COMPUTED_VALUE"""),"RSC007967")</f>
        <v>RSC007967</v>
      </c>
      <c r="B545" s="30" t="str">
        <f>IFERROR(__xludf.DUMMYFUNCTION("""COMPUTED_VALUE"""),"davisino1605")</f>
        <v>davisino1605</v>
      </c>
      <c r="C545" s="30" t="str">
        <f>IFERROR(__xludf.DUMMYFUNCTION("""COMPUTED_VALUE"""),"Challenger")</f>
        <v>Challenger</v>
      </c>
      <c r="D545" s="30" t="str">
        <f>IFERROR(__xludf.DUMMYFUNCTION("""COMPUTED_VALUE"""),"Quarter
Mugged")</f>
        <v>Quarter
Mugged</v>
      </c>
      <c r="E545" s="30" t="str">
        <f>IFERROR(__xludf.DUMMYFUNCTION("""COMPUTED_VALUE"""),"Money Makers
The Hood")</f>
        <v>Money Makers
The Hood</v>
      </c>
      <c r="F545" s="30" t="str">
        <f>IFERROR(__xludf.DUMMYFUNCTION("""COMPUTED_VALUE"""),"Lunar")</f>
        <v>Lunar</v>
      </c>
      <c r="G545" s="92">
        <f>IFERROR(__xludf.DUMMYFUNCTION("""COMPUTED_VALUE"""),-5.765118569657076)</f>
        <v>-5.76511857</v>
      </c>
    </row>
    <row r="546">
      <c r="A546" s="30" t="str">
        <f>IFERROR(__xludf.DUMMYFUNCTION("""COMPUTED_VALUE"""),"RSC006883")</f>
        <v>RSC006883</v>
      </c>
      <c r="B546" s="30" t="str">
        <f>IFERROR(__xludf.DUMMYFUNCTION("""COMPUTED_VALUE"""),"Kit")</f>
        <v>Kit</v>
      </c>
      <c r="C546" s="30" t="str">
        <f>IFERROR(__xludf.DUMMYFUNCTION("""COMPUTED_VALUE"""),"Challenger")</f>
        <v>Challenger</v>
      </c>
      <c r="D546" s="30" t="str">
        <f>IFERROR(__xludf.DUMMYFUNCTION("""COMPUTED_VALUE"""),"Trippy Hippies")</f>
        <v>Trippy Hippies</v>
      </c>
      <c r="E546" s="30" t="str">
        <f>IFERROR(__xludf.DUMMYFUNCTION("""COMPUTED_VALUE"""),"Vibe Tribe")</f>
        <v>Vibe Tribe</v>
      </c>
      <c r="F546" s="30" t="str">
        <f>IFERROR(__xludf.DUMMYFUNCTION("""COMPUTED_VALUE"""),"Lunar")</f>
        <v>Lunar</v>
      </c>
      <c r="G546" s="92">
        <f>IFERROR(__xludf.DUMMYFUNCTION("""COMPUTED_VALUE"""),60.271675425453196)</f>
        <v>60.27167543</v>
      </c>
    </row>
    <row r="547">
      <c r="A547" s="30" t="str">
        <f>IFERROR(__xludf.DUMMYFUNCTION("""COMPUTED_VALUE"""),"RSC006908")</f>
        <v>RSC006908</v>
      </c>
      <c r="B547" s="30" t="str">
        <f>IFERROR(__xludf.DUMMYFUNCTION("""COMPUTED_VALUE"""),"OvrSizedFrog")</f>
        <v>OvrSizedFrog</v>
      </c>
      <c r="C547" s="30" t="str">
        <f>IFERROR(__xludf.DUMMYFUNCTION("""COMPUTED_VALUE"""),"Challenger")</f>
        <v>Challenger</v>
      </c>
      <c r="D547" s="30" t="str">
        <f>IFERROR(__xludf.DUMMYFUNCTION("""COMPUTED_VALUE"""),"Toucans")</f>
        <v>Toucans</v>
      </c>
      <c r="E547" s="30" t="str">
        <f>IFERROR(__xludf.DUMMYFUNCTION("""COMPUTED_VALUE"""),"The Jungle")</f>
        <v>The Jungle</v>
      </c>
      <c r="F547" s="30" t="str">
        <f>IFERROR(__xludf.DUMMYFUNCTION("""COMPUTED_VALUE"""),"Solar")</f>
        <v>Solar</v>
      </c>
      <c r="G547" s="92">
        <f>IFERROR(__xludf.DUMMYFUNCTION("""COMPUTED_VALUE"""),40.00432429877597)</f>
        <v>40.0043243</v>
      </c>
    </row>
    <row r="548">
      <c r="A548" s="30" t="str">
        <f>IFERROR(__xludf.DUMMYFUNCTION("""COMPUTED_VALUE"""),"RSC006747")</f>
        <v>RSC006747</v>
      </c>
      <c r="B548" s="30" t="str">
        <f>IFERROR(__xludf.DUMMYFUNCTION("""COMPUTED_VALUE"""),"Panda")</f>
        <v>Panda</v>
      </c>
      <c r="C548" s="30" t="str">
        <f>IFERROR(__xludf.DUMMYFUNCTION("""COMPUTED_VALUE"""),"Challenger")</f>
        <v>Challenger</v>
      </c>
      <c r="D548" s="30" t="str">
        <f>IFERROR(__xludf.DUMMYFUNCTION("""COMPUTED_VALUE"""),"Toucans")</f>
        <v>Toucans</v>
      </c>
      <c r="E548" s="30" t="str">
        <f>IFERROR(__xludf.DUMMYFUNCTION("""COMPUTED_VALUE"""),"The Jungle")</f>
        <v>The Jungle</v>
      </c>
      <c r="F548" s="30" t="str">
        <f>IFERROR(__xludf.DUMMYFUNCTION("""COMPUTED_VALUE"""),"Solar")</f>
        <v>Solar</v>
      </c>
      <c r="G548" s="92">
        <f>IFERROR(__xludf.DUMMYFUNCTION("""COMPUTED_VALUE"""),62.09488896486499)</f>
        <v>62.09488896</v>
      </c>
    </row>
    <row r="549">
      <c r="A549" s="30" t="str">
        <f>IFERROR(__xludf.DUMMYFUNCTION("""COMPUTED_VALUE"""),"RSC008009")</f>
        <v>RSC008009</v>
      </c>
      <c r="B549" s="30" t="str">
        <f>IFERROR(__xludf.DUMMYFUNCTION("""COMPUTED_VALUE"""),"Daddy Driz")</f>
        <v>Daddy Driz</v>
      </c>
      <c r="C549" s="30" t="str">
        <f>IFERROR(__xludf.DUMMYFUNCTION("""COMPUTED_VALUE"""),"Challenger")</f>
        <v>Challenger</v>
      </c>
      <c r="D549" s="30" t="str">
        <f>IFERROR(__xludf.DUMMYFUNCTION("""COMPUTED_VALUE"""),"Toucans")</f>
        <v>Toucans</v>
      </c>
      <c r="E549" s="30" t="str">
        <f>IFERROR(__xludf.DUMMYFUNCTION("""COMPUTED_VALUE"""),"The Jungle")</f>
        <v>The Jungle</v>
      </c>
      <c r="F549" s="30" t="str">
        <f>IFERROR(__xludf.DUMMYFUNCTION("""COMPUTED_VALUE"""),"Solar")</f>
        <v>Solar</v>
      </c>
      <c r="G549" s="92">
        <f>IFERROR(__xludf.DUMMYFUNCTION("""COMPUTED_VALUE"""),57.14476371430108)</f>
        <v>57.14476371</v>
      </c>
    </row>
    <row r="550">
      <c r="A550" s="30" t="str">
        <f>IFERROR(__xludf.DUMMYFUNCTION("""COMPUTED_VALUE"""),"RSC006777")</f>
        <v>RSC006777</v>
      </c>
      <c r="B550" s="30" t="str">
        <f>IFERROR(__xludf.DUMMYFUNCTION("""COMPUTED_VALUE"""),"AlteredSp4rky")</f>
        <v>AlteredSp4rky</v>
      </c>
      <c r="C550" s="30" t="str">
        <f>IFERROR(__xludf.DUMMYFUNCTION("""COMPUTED_VALUE"""),"Challenger")</f>
        <v>Challenger</v>
      </c>
      <c r="D550" s="30" t="str">
        <f>IFERROR(__xludf.DUMMYFUNCTION("""COMPUTED_VALUE"""),"Toucans")</f>
        <v>Toucans</v>
      </c>
      <c r="E550" s="30" t="str">
        <f>IFERROR(__xludf.DUMMYFUNCTION("""COMPUTED_VALUE"""),"The Jungle")</f>
        <v>The Jungle</v>
      </c>
      <c r="F550" s="30" t="str">
        <f>IFERROR(__xludf.DUMMYFUNCTION("""COMPUTED_VALUE"""),"Solar")</f>
        <v>Solar</v>
      </c>
      <c r="G550" s="92">
        <f>IFERROR(__xludf.DUMMYFUNCTION("""COMPUTED_VALUE"""),55.97152827459723)</f>
        <v>55.97152827</v>
      </c>
    </row>
    <row r="551">
      <c r="A551" s="30" t="str">
        <f>IFERROR(__xludf.DUMMYFUNCTION("""COMPUTED_VALUE"""),"RSC006067")</f>
        <v>RSC006067</v>
      </c>
      <c r="B551" s="30" t="str">
        <f>IFERROR(__xludf.DUMMYFUNCTION("""COMPUTED_VALUE"""),"ShinxX403")</f>
        <v>ShinxX403</v>
      </c>
      <c r="C551" s="30" t="str">
        <f>IFERROR(__xludf.DUMMYFUNCTION("""COMPUTED_VALUE"""),"Challenger")</f>
        <v>Challenger</v>
      </c>
      <c r="D551" s="30" t="str">
        <f>IFERROR(__xludf.DUMMYFUNCTION("""COMPUTED_VALUE"""),"Panda Bears")</f>
        <v>Panda Bears</v>
      </c>
      <c r="E551" s="30" t="str">
        <f>IFERROR(__xludf.DUMMYFUNCTION("""COMPUTED_VALUE"""),"The Bear Den")</f>
        <v>The Bear Den</v>
      </c>
      <c r="F551" s="30" t="str">
        <f>IFERROR(__xludf.DUMMYFUNCTION("""COMPUTED_VALUE"""),"Lunar")</f>
        <v>Lunar</v>
      </c>
      <c r="G551" s="92">
        <f>IFERROR(__xludf.DUMMYFUNCTION("""COMPUTED_VALUE"""),46.395664709524596)</f>
        <v>46.39566471</v>
      </c>
    </row>
    <row r="552">
      <c r="A552" s="30" t="str">
        <f>IFERROR(__xludf.DUMMYFUNCTION("""COMPUTED_VALUE"""),"RSC007307")</f>
        <v>RSC007307</v>
      </c>
      <c r="B552" s="30" t="str">
        <f>IFERROR(__xludf.DUMMYFUNCTION("""COMPUTED_VALUE"""),"Jmh187-")</f>
        <v>Jmh187-</v>
      </c>
      <c r="C552" s="30" t="str">
        <f>IFERROR(__xludf.DUMMYFUNCTION("""COMPUTED_VALUE"""),"Challenger")</f>
        <v>Challenger</v>
      </c>
      <c r="D552" s="30" t="str">
        <f>IFERROR(__xludf.DUMMYFUNCTION("""COMPUTED_VALUE"""),"Chromatic Chaos")</f>
        <v>Chromatic Chaos</v>
      </c>
      <c r="E552" s="30" t="str">
        <f>IFERROR(__xludf.DUMMYFUNCTION("""COMPUTED_VALUE"""),"Art Club")</f>
        <v>Art Club</v>
      </c>
      <c r="F552" s="30" t="str">
        <f>IFERROR(__xludf.DUMMYFUNCTION("""COMPUTED_VALUE"""),"Solar")</f>
        <v>Solar</v>
      </c>
      <c r="G552" s="92">
        <f>IFERROR(__xludf.DUMMYFUNCTION("""COMPUTED_VALUE"""),73.29975709913921)</f>
        <v>73.2997571</v>
      </c>
    </row>
    <row r="553">
      <c r="A553" s="30" t="str">
        <f>IFERROR(__xludf.DUMMYFUNCTION("""COMPUTED_VALUE"""),"RSC006413")</f>
        <v>RSC006413</v>
      </c>
      <c r="B553" s="30" t="str">
        <f>IFERROR(__xludf.DUMMYFUNCTION("""COMPUTED_VALUE"""),"BlueFlre")</f>
        <v>BlueFlre</v>
      </c>
      <c r="C553" s="30" t="str">
        <f>IFERROR(__xludf.DUMMYFUNCTION("""COMPUTED_VALUE"""),"Challenger")</f>
        <v>Challenger</v>
      </c>
      <c r="D553" s="30" t="str">
        <f>IFERROR(__xludf.DUMMYFUNCTION("""COMPUTED_VALUE"""),"Shade")</f>
        <v>Shade</v>
      </c>
      <c r="E553" s="30" t="str">
        <f>IFERROR(__xludf.DUMMYFUNCTION("""COMPUTED_VALUE"""),"The Shadows")</f>
        <v>The Shadows</v>
      </c>
      <c r="F553" s="30" t="str">
        <f>IFERROR(__xludf.DUMMYFUNCTION("""COMPUTED_VALUE"""),"Lunar")</f>
        <v>Lunar</v>
      </c>
      <c r="G553" s="92">
        <f>IFERROR(__xludf.DUMMYFUNCTION("""COMPUTED_VALUE"""),32.04441652097671)</f>
        <v>32.04441652</v>
      </c>
    </row>
    <row r="554">
      <c r="A554" s="30" t="str">
        <f>IFERROR(__xludf.DUMMYFUNCTION("""COMPUTED_VALUE"""),"RSC006928")</f>
        <v>RSC006928</v>
      </c>
      <c r="B554" s="30" t="str">
        <f>IFERROR(__xludf.DUMMYFUNCTION("""COMPUTED_VALUE"""),"Thunderbolt")</f>
        <v>Thunderbolt</v>
      </c>
      <c r="C554" s="30" t="str">
        <f>IFERROR(__xludf.DUMMYFUNCTION("""COMPUTED_VALUE"""),"Challenger")</f>
        <v>Challenger</v>
      </c>
      <c r="D554" s="30" t="str">
        <f>IFERROR(__xludf.DUMMYFUNCTION("""COMPUTED_VALUE"""),"Havarti Hustlers")</f>
        <v>Havarti Hustlers</v>
      </c>
      <c r="E554" s="30" t="str">
        <f>IFERROR(__xludf.DUMMYFUNCTION("""COMPUTED_VALUE"""),"Cheese Guild")</f>
        <v>Cheese Guild</v>
      </c>
      <c r="F554" s="30" t="str">
        <f>IFERROR(__xludf.DUMMYFUNCTION("""COMPUTED_VALUE"""),"Lunar")</f>
        <v>Lunar</v>
      </c>
      <c r="G554" s="92">
        <f>IFERROR(__xludf.DUMMYFUNCTION("""COMPUTED_VALUE"""),71.26862827867332)</f>
        <v>71.26862828</v>
      </c>
    </row>
    <row r="555">
      <c r="A555" s="30" t="str">
        <f>IFERROR(__xludf.DUMMYFUNCTION("""COMPUTED_VALUE"""),"RSC003912")</f>
        <v>RSC003912</v>
      </c>
      <c r="B555" s="30" t="str">
        <f>IFERROR(__xludf.DUMMYFUNCTION("""COMPUTED_VALUE"""),"ItsJustSticky.")</f>
        <v>ItsJustSticky.</v>
      </c>
      <c r="C555" s="30" t="str">
        <f>IFERROR(__xludf.DUMMYFUNCTION("""COMPUTED_VALUE"""),"Challenger")</f>
        <v>Challenger</v>
      </c>
      <c r="D555" s="30" t="str">
        <f>IFERROR(__xludf.DUMMYFUNCTION("""COMPUTED_VALUE"""),"Pharaohs")</f>
        <v>Pharaohs</v>
      </c>
      <c r="E555" s="30" t="str">
        <f>IFERROR(__xludf.DUMMYFUNCTION("""COMPUTED_VALUE"""),"Monarchy")</f>
        <v>Monarchy</v>
      </c>
      <c r="F555" s="30" t="str">
        <f>IFERROR(__xludf.DUMMYFUNCTION("""COMPUTED_VALUE"""),"Lunar")</f>
        <v>Lunar</v>
      </c>
      <c r="G555" s="92">
        <f>IFERROR(__xludf.DUMMYFUNCTION("""COMPUTED_VALUE"""),38.903032335088405)</f>
        <v>38.90303234</v>
      </c>
    </row>
    <row r="556">
      <c r="A556" s="30" t="str">
        <f>IFERROR(__xludf.DUMMYFUNCTION("""COMPUTED_VALUE"""),"RSC002412")</f>
        <v>RSC002412</v>
      </c>
      <c r="B556" s="30" t="str">
        <f>IFERROR(__xludf.DUMMYFUNCTION("""COMPUTED_VALUE"""),"Rosefanatic3615")</f>
        <v>Rosefanatic3615</v>
      </c>
      <c r="C556" s="30" t="str">
        <f>IFERROR(__xludf.DUMMYFUNCTION("""COMPUTED_VALUE"""),"Challenger")</f>
        <v>Challenger</v>
      </c>
      <c r="D556" s="30" t="str">
        <f>IFERROR(__xludf.DUMMYFUNCTION("""COMPUTED_VALUE"""),"Solstice Sake")</f>
        <v>Solstice Sake</v>
      </c>
      <c r="E556" s="30" t="str">
        <f>IFERROR(__xludf.DUMMYFUNCTION("""COMPUTED_VALUE"""),"5 O'clock Nowhere")</f>
        <v>5 O'clock Nowhere</v>
      </c>
      <c r="F556" s="30" t="str">
        <f>IFERROR(__xludf.DUMMYFUNCTION("""COMPUTED_VALUE"""),"Solar")</f>
        <v>Solar</v>
      </c>
      <c r="G556" s="92">
        <f>IFERROR(__xludf.DUMMYFUNCTION("""COMPUTED_VALUE"""),75.18399331378372)</f>
        <v>75.18399331</v>
      </c>
    </row>
    <row r="557">
      <c r="A557" s="30" t="str">
        <f>IFERROR(__xludf.DUMMYFUNCTION("""COMPUTED_VALUE"""),"RSC004028")</f>
        <v>RSC004028</v>
      </c>
      <c r="B557" s="30" t="str">
        <f>IFERROR(__xludf.DUMMYFUNCTION("""COMPUTED_VALUE"""),"parker on 3 legs")</f>
        <v>parker on 3 legs</v>
      </c>
      <c r="C557" s="30" t="str">
        <f>IFERROR(__xludf.DUMMYFUNCTION("""COMPUTED_VALUE"""),"Challenger")</f>
        <v>Challenger</v>
      </c>
      <c r="D557" s="30" t="str">
        <f>IFERROR(__xludf.DUMMYFUNCTION("""COMPUTED_VALUE"""),"Solstice Sake")</f>
        <v>Solstice Sake</v>
      </c>
      <c r="E557" s="30" t="str">
        <f>IFERROR(__xludf.DUMMYFUNCTION("""COMPUTED_VALUE"""),"5 O'clock Nowhere")</f>
        <v>5 O'clock Nowhere</v>
      </c>
      <c r="F557" s="30" t="str">
        <f>IFERROR(__xludf.DUMMYFUNCTION("""COMPUTED_VALUE"""),"Solar")</f>
        <v>Solar</v>
      </c>
      <c r="G557" s="92">
        <f>IFERROR(__xludf.DUMMYFUNCTION("""COMPUTED_VALUE"""),65.89451938609639)</f>
        <v>65.89451939</v>
      </c>
    </row>
    <row r="558">
      <c r="A558" s="30" t="str">
        <f>IFERROR(__xludf.DUMMYFUNCTION("""COMPUTED_VALUE"""),"RSC006659")</f>
        <v>RSC006659</v>
      </c>
      <c r="B558" s="30" t="str">
        <f>IFERROR(__xludf.DUMMYFUNCTION("""COMPUTED_VALUE"""),"Zalama")</f>
        <v>Zalama</v>
      </c>
      <c r="C558" s="30" t="str">
        <f>IFERROR(__xludf.DUMMYFUNCTION("""COMPUTED_VALUE"""),"Challenger")</f>
        <v>Challenger</v>
      </c>
      <c r="D558" s="30" t="str">
        <f>IFERROR(__xludf.DUMMYFUNCTION("""COMPUTED_VALUE"""),"Solstice Sake")</f>
        <v>Solstice Sake</v>
      </c>
      <c r="E558" s="30" t="str">
        <f>IFERROR(__xludf.DUMMYFUNCTION("""COMPUTED_VALUE"""),"5 O'clock Nowhere")</f>
        <v>5 O'clock Nowhere</v>
      </c>
      <c r="F558" s="30" t="str">
        <f>IFERROR(__xludf.DUMMYFUNCTION("""COMPUTED_VALUE"""),"Solar")</f>
        <v>Solar</v>
      </c>
      <c r="G558" s="92">
        <f>IFERROR(__xludf.DUMMYFUNCTION("""COMPUTED_VALUE"""),43.48422141156195)</f>
        <v>43.48422141</v>
      </c>
    </row>
    <row r="559">
      <c r="A559" s="30" t="str">
        <f>IFERROR(__xludf.DUMMYFUNCTION("""COMPUTED_VALUE"""),"RSC007406")</f>
        <v>RSC007406</v>
      </c>
      <c r="B559" s="30" t="str">
        <f>IFERROR(__xludf.DUMMYFUNCTION("""COMPUTED_VALUE"""),"junior1000gsxr")</f>
        <v>junior1000gsxr</v>
      </c>
      <c r="C559" s="30" t="str">
        <f>IFERROR(__xludf.DUMMYFUNCTION("""COMPUTED_VALUE"""),"Challenger")</f>
        <v>Challenger</v>
      </c>
      <c r="D559" s="30" t="str">
        <f>IFERROR(__xludf.DUMMYFUNCTION("""COMPUTED_VALUE"""),"Quarter")</f>
        <v>Quarter</v>
      </c>
      <c r="E559" s="30" t="str">
        <f>IFERROR(__xludf.DUMMYFUNCTION("""COMPUTED_VALUE"""),"Money Makers")</f>
        <v>Money Makers</v>
      </c>
      <c r="F559" s="30" t="str">
        <f>IFERROR(__xludf.DUMMYFUNCTION("""COMPUTED_VALUE"""),"Solar")</f>
        <v>Solar</v>
      </c>
      <c r="G559" s="92">
        <f>IFERROR(__xludf.DUMMYFUNCTION("""COMPUTED_VALUE"""),38.770174548453404)</f>
        <v>38.77017455</v>
      </c>
    </row>
    <row r="560">
      <c r="A560" s="30" t="str">
        <f>IFERROR(__xludf.DUMMYFUNCTION("""COMPUTED_VALUE"""),"RSC007890")</f>
        <v>RSC007890</v>
      </c>
      <c r="B560" s="30" t="str">
        <f>IFERROR(__xludf.DUMMYFUNCTION("""COMPUTED_VALUE"""),"Ghost-Bacon")</f>
        <v>Ghost-Bacon</v>
      </c>
      <c r="C560" s="30" t="str">
        <f>IFERROR(__xludf.DUMMYFUNCTION("""COMPUTED_VALUE"""),"Challenger")</f>
        <v>Challenger</v>
      </c>
      <c r="D560" s="30" t="str">
        <f>IFERROR(__xludf.DUMMYFUNCTION("""COMPUTED_VALUE"""),"Void")</f>
        <v>Void</v>
      </c>
      <c r="E560" s="30" t="str">
        <f>IFERROR(__xludf.DUMMYFUNCTION("""COMPUTED_VALUE"""),"Event Horizon")</f>
        <v>Event Horizon</v>
      </c>
      <c r="F560" s="30" t="str">
        <f>IFERROR(__xludf.DUMMYFUNCTION("""COMPUTED_VALUE"""),"Solar")</f>
        <v>Solar</v>
      </c>
      <c r="G560" s="92">
        <f>IFERROR(__xludf.DUMMYFUNCTION("""COMPUTED_VALUE"""),67.89199394687554)</f>
        <v>67.89199395</v>
      </c>
    </row>
    <row r="561">
      <c r="A561" s="30" t="str">
        <f>IFERROR(__xludf.DUMMYFUNCTION("""COMPUTED_VALUE"""),"RSC006072")</f>
        <v>RSC006072</v>
      </c>
      <c r="B561" s="30" t="str">
        <f>IFERROR(__xludf.DUMMYFUNCTION("""COMPUTED_VALUE"""),"AveX InceptionZ")</f>
        <v>AveX InceptionZ</v>
      </c>
      <c r="C561" s="30" t="str">
        <f>IFERROR(__xludf.DUMMYFUNCTION("""COMPUTED_VALUE"""),"Challenger")</f>
        <v>Challenger</v>
      </c>
      <c r="D561" s="30" t="str">
        <f>IFERROR(__xludf.DUMMYFUNCTION("""COMPUTED_VALUE"""),"Ryujin")</f>
        <v>Ryujin</v>
      </c>
      <c r="E561" s="30" t="str">
        <f>IFERROR(__xludf.DUMMYFUNCTION("""COMPUTED_VALUE"""),"The Shrine")</f>
        <v>The Shrine</v>
      </c>
      <c r="F561" s="30" t="str">
        <f>IFERROR(__xludf.DUMMYFUNCTION("""COMPUTED_VALUE"""),"Solar")</f>
        <v>Solar</v>
      </c>
      <c r="G561" s="92">
        <f>IFERROR(__xludf.DUMMYFUNCTION("""COMPUTED_VALUE"""),58.32852715741127)</f>
        <v>58.32852716</v>
      </c>
    </row>
    <row r="562">
      <c r="A562" s="30" t="str">
        <f>IFERROR(__xludf.DUMMYFUNCTION("""COMPUTED_VALUE"""),"RSC004902")</f>
        <v>RSC004902</v>
      </c>
      <c r="B562" s="30" t="str">
        <f>IFERROR(__xludf.DUMMYFUNCTION("""COMPUTED_VALUE"""),"cuse42")</f>
        <v>cuse42</v>
      </c>
      <c r="C562" s="30" t="str">
        <f>IFERROR(__xludf.DUMMYFUNCTION("""COMPUTED_VALUE"""),"Challenger")</f>
        <v>Challenger</v>
      </c>
      <c r="D562" s="30" t="str">
        <f>IFERROR(__xludf.DUMMYFUNCTION("""COMPUTED_VALUE"""),"Hydras")</f>
        <v>Hydras</v>
      </c>
      <c r="E562" s="30" t="str">
        <f>IFERROR(__xludf.DUMMYFUNCTION("""COMPUTED_VALUE"""),"The Forest")</f>
        <v>The Forest</v>
      </c>
      <c r="F562" s="30" t="str">
        <f>IFERROR(__xludf.DUMMYFUNCTION("""COMPUTED_VALUE"""),"Solar")</f>
        <v>Solar</v>
      </c>
      <c r="G562" s="92">
        <f>IFERROR(__xludf.DUMMYFUNCTION("""COMPUTED_VALUE"""),-4.844882670544813)</f>
        <v>-4.844882671</v>
      </c>
    </row>
    <row r="563">
      <c r="A563" s="30" t="str">
        <f>IFERROR(__xludf.DUMMYFUNCTION("""COMPUTED_VALUE"""),"RSC003193")</f>
        <v>RSC003193</v>
      </c>
      <c r="B563" s="30" t="str">
        <f>IFERROR(__xludf.DUMMYFUNCTION("""COMPUTED_VALUE"""),"ShiftDrink")</f>
        <v>ShiftDrink</v>
      </c>
      <c r="C563" s="30" t="str">
        <f>IFERROR(__xludf.DUMMYFUNCTION("""COMPUTED_VALUE"""),"Challenger")</f>
        <v>Challenger</v>
      </c>
      <c r="D563" s="30" t="str">
        <f>IFERROR(__xludf.DUMMYFUNCTION("""COMPUTED_VALUE"""),"Lions
Meat Lovers")</f>
        <v>Lions
Meat Lovers</v>
      </c>
      <c r="E563" s="30" t="str">
        <f>IFERROR(__xludf.DUMMYFUNCTION("""COMPUTED_VALUE"""),"Safari
Fifty-Fifty Pizzeria")</f>
        <v>Safari
Fifty-Fifty Pizzeria</v>
      </c>
      <c r="F563" s="30" t="str">
        <f>IFERROR(__xludf.DUMMYFUNCTION("""COMPUTED_VALUE"""),"Lunar")</f>
        <v>Lunar</v>
      </c>
      <c r="G563" s="92">
        <f>IFERROR(__xludf.DUMMYFUNCTION("""COMPUTED_VALUE"""),44.381116176732434)</f>
        <v>44.38111618</v>
      </c>
    </row>
    <row r="564">
      <c r="A564" s="30" t="str">
        <f>IFERROR(__xludf.DUMMYFUNCTION("""COMPUTED_VALUE"""),"RSC006353")</f>
        <v>RSC006353</v>
      </c>
      <c r="B564" s="30" t="str">
        <f>IFERROR(__xludf.DUMMYFUNCTION("""COMPUTED_VALUE"""),"Novarchite")</f>
        <v>Novarchite</v>
      </c>
      <c r="C564" s="30" t="str">
        <f>IFERROR(__xludf.DUMMYFUNCTION("""COMPUTED_VALUE"""),"Challenger")</f>
        <v>Challenger</v>
      </c>
      <c r="D564" s="30" t="str">
        <f>IFERROR(__xludf.DUMMYFUNCTION("""COMPUTED_VALUE"""),"Apple Associates")</f>
        <v>Apple Associates</v>
      </c>
      <c r="E564" s="30" t="str">
        <f>IFERROR(__xludf.DUMMYFUNCTION("""COMPUTED_VALUE"""),"The Syndicate")</f>
        <v>The Syndicate</v>
      </c>
      <c r="F564" s="30" t="str">
        <f>IFERROR(__xludf.DUMMYFUNCTION("""COMPUTED_VALUE"""),"Lunar")</f>
        <v>Lunar</v>
      </c>
      <c r="G564" s="92">
        <f>IFERROR(__xludf.DUMMYFUNCTION("""COMPUTED_VALUE"""),39.16340607223939)</f>
        <v>39.16340607</v>
      </c>
    </row>
    <row r="565">
      <c r="A565" s="30" t="str">
        <f>IFERROR(__xludf.DUMMYFUNCTION("""COMPUTED_VALUE"""),"RSC007118")</f>
        <v>RSC007118</v>
      </c>
      <c r="B565" s="30" t="str">
        <f>IFERROR(__xludf.DUMMYFUNCTION("""COMPUTED_VALUE"""),"Vampress Maru")</f>
        <v>Vampress Maru</v>
      </c>
      <c r="C565" s="30" t="str">
        <f>IFERROR(__xludf.DUMMYFUNCTION("""COMPUTED_VALUE"""),"Challenger")</f>
        <v>Challenger</v>
      </c>
      <c r="D565" s="30" t="str">
        <f>IFERROR(__xludf.DUMMYFUNCTION("""COMPUTED_VALUE"""),"Bingo
Solstice Sake")</f>
        <v>Bingo
Solstice Sake</v>
      </c>
      <c r="E565" s="30" t="str">
        <f>IFERROR(__xludf.DUMMYFUNCTION("""COMPUTED_VALUE"""),"Never Lucky
5 O'clock Nowhere")</f>
        <v>Never Lucky
5 O'clock Nowhere</v>
      </c>
      <c r="F565" s="30" t="str">
        <f>IFERROR(__xludf.DUMMYFUNCTION("""COMPUTED_VALUE"""),"Lunar")</f>
        <v>Lunar</v>
      </c>
      <c r="G565" s="92">
        <f>IFERROR(__xludf.DUMMYFUNCTION("""COMPUTED_VALUE"""),13.085091432917814)</f>
        <v>13.08509143</v>
      </c>
    </row>
    <row r="566">
      <c r="A566" s="30" t="str">
        <f>IFERROR(__xludf.DUMMYFUNCTION("""COMPUTED_VALUE"""),"RSC006868")</f>
        <v>RSC006868</v>
      </c>
      <c r="B566" s="30" t="str">
        <f>IFERROR(__xludf.DUMMYFUNCTION("""COMPUTED_VALUE"""),"TraxStar_19")</f>
        <v>TraxStar_19</v>
      </c>
      <c r="C566" s="30" t="str">
        <f>IFERROR(__xludf.DUMMYFUNCTION("""COMPUTED_VALUE"""),"Challenger")</f>
        <v>Challenger</v>
      </c>
      <c r="D566" s="30" t="str">
        <f>IFERROR(__xludf.DUMMYFUNCTION("""COMPUTED_VALUE"""),"Warbirds")</f>
        <v>Warbirds</v>
      </c>
      <c r="E566" s="30" t="str">
        <f>IFERROR(__xludf.DUMMYFUNCTION("""COMPUTED_VALUE"""),"Remove Before Flight")</f>
        <v>Remove Before Flight</v>
      </c>
      <c r="F566" s="30" t="str">
        <f>IFERROR(__xludf.DUMMYFUNCTION("""COMPUTED_VALUE"""),"Lunar")</f>
        <v>Lunar</v>
      </c>
      <c r="G566" s="92">
        <f>IFERROR(__xludf.DUMMYFUNCTION("""COMPUTED_VALUE"""),-27.936999620311568)</f>
        <v>-27.93699962</v>
      </c>
    </row>
    <row r="567">
      <c r="A567" s="30" t="str">
        <f>IFERROR(__xludf.DUMMYFUNCTION("""COMPUTED_VALUE"""),"RSC004681")</f>
        <v>RSC004681</v>
      </c>
      <c r="B567" s="30" t="str">
        <f>IFERROR(__xludf.DUMMYFUNCTION("""COMPUTED_VALUE"""),"Speciial_Eddy")</f>
        <v>Speciial_Eddy</v>
      </c>
      <c r="C567" s="30" t="str">
        <f>IFERROR(__xludf.DUMMYFUNCTION("""COMPUTED_VALUE"""),"Challenger")</f>
        <v>Challenger</v>
      </c>
      <c r="D567" s="30" t="str">
        <f>IFERROR(__xludf.DUMMYFUNCTION("""COMPUTED_VALUE"""),"Jock O Lanterns")</f>
        <v>Jock O Lanterns</v>
      </c>
      <c r="E567" s="30" t="str">
        <f>IFERROR(__xludf.DUMMYFUNCTION("""COMPUTED_VALUE"""),"Ghoul School")</f>
        <v>Ghoul School</v>
      </c>
      <c r="F567" s="30" t="str">
        <f>IFERROR(__xludf.DUMMYFUNCTION("""COMPUTED_VALUE"""),"Solar")</f>
        <v>Solar</v>
      </c>
      <c r="G567" s="92">
        <f>IFERROR(__xludf.DUMMYFUNCTION("""COMPUTED_VALUE"""),45.43728313106222)</f>
        <v>45.43728313</v>
      </c>
    </row>
    <row r="568">
      <c r="A568" s="30" t="str">
        <f>IFERROR(__xludf.DUMMYFUNCTION("""COMPUTED_VALUE"""),"RSC001995")</f>
        <v>RSC001995</v>
      </c>
      <c r="B568" s="30" t="str">
        <f>IFERROR(__xludf.DUMMYFUNCTION("""COMPUTED_VALUE"""),"Tvveedle")</f>
        <v>Tvveedle</v>
      </c>
      <c r="C568" s="30" t="str">
        <f>IFERROR(__xludf.DUMMYFUNCTION("""COMPUTED_VALUE"""),"Challenger")</f>
        <v>Challenger</v>
      </c>
      <c r="D568" s="30" t="str">
        <f>IFERROR(__xludf.DUMMYFUNCTION("""COMPUTED_VALUE"""),"Mugged
Decuriones")</f>
        <v>Mugged
Decuriones</v>
      </c>
      <c r="E568" s="30" t="str">
        <f>IFERROR(__xludf.DUMMYFUNCTION("""COMPUTED_VALUE"""),"The Hood
The Sovereign")</f>
        <v>The Hood
The Sovereign</v>
      </c>
      <c r="F568" s="30" t="str">
        <f>IFERROR(__xludf.DUMMYFUNCTION("""COMPUTED_VALUE"""),"Lunar")</f>
        <v>Lunar</v>
      </c>
      <c r="G568" s="92">
        <f>IFERROR(__xludf.DUMMYFUNCTION("""COMPUTED_VALUE"""),73.90778602219028)</f>
        <v>73.90778602</v>
      </c>
    </row>
    <row r="569">
      <c r="A569" s="30" t="str">
        <f>IFERROR(__xludf.DUMMYFUNCTION("""COMPUTED_VALUE"""),"RSC007911")</f>
        <v>RSC007911</v>
      </c>
      <c r="B569" s="30" t="str">
        <f>IFERROR(__xludf.DUMMYFUNCTION("""COMPUTED_VALUE"""),"Redhood913011")</f>
        <v>Redhood913011</v>
      </c>
      <c r="C569" s="30" t="str">
        <f>IFERROR(__xludf.DUMMYFUNCTION("""COMPUTED_VALUE"""),"Challenger")</f>
        <v>Challenger</v>
      </c>
      <c r="D569" s="30" t="str">
        <f>IFERROR(__xludf.DUMMYFUNCTION("""COMPUTED_VALUE"""),"Lions")</f>
        <v>Lions</v>
      </c>
      <c r="E569" s="30" t="str">
        <f>IFERROR(__xludf.DUMMYFUNCTION("""COMPUTED_VALUE"""),"Safari")</f>
        <v>Safari</v>
      </c>
      <c r="F569" s="30" t="str">
        <f>IFERROR(__xludf.DUMMYFUNCTION("""COMPUTED_VALUE"""),"Lunar")</f>
        <v>Lunar</v>
      </c>
      <c r="G569" s="92">
        <f>IFERROR(__xludf.DUMMYFUNCTION("""COMPUTED_VALUE"""),28.173387037567313)</f>
        <v>28.17338704</v>
      </c>
    </row>
    <row r="570">
      <c r="A570" s="30" t="str">
        <f>IFERROR(__xludf.DUMMYFUNCTION("""COMPUTED_VALUE"""),"RSC007313")</f>
        <v>RSC007313</v>
      </c>
      <c r="B570" s="30" t="str">
        <f>IFERROR(__xludf.DUMMYFUNCTION("""COMPUTED_VALUE"""),"xNunYaBidn3ss")</f>
        <v>xNunYaBidn3ss</v>
      </c>
      <c r="C570" s="30" t="str">
        <f>IFERROR(__xludf.DUMMYFUNCTION("""COMPUTED_VALUE"""),"Challenger")</f>
        <v>Challenger</v>
      </c>
      <c r="D570" s="30" t="str">
        <f>IFERROR(__xludf.DUMMYFUNCTION("""COMPUTED_VALUE"""),"Zombies")</f>
        <v>Zombies</v>
      </c>
      <c r="E570" s="30" t="str">
        <f>IFERROR(__xludf.DUMMYFUNCTION("""COMPUTED_VALUE"""),"The Monster Mash")</f>
        <v>The Monster Mash</v>
      </c>
      <c r="F570" s="30" t="str">
        <f>IFERROR(__xludf.DUMMYFUNCTION("""COMPUTED_VALUE"""),"Lunar")</f>
        <v>Lunar</v>
      </c>
      <c r="G570" s="92">
        <f>IFERROR(__xludf.DUMMYFUNCTION("""COMPUTED_VALUE"""),67.02301318525555)</f>
        <v>67.02301319</v>
      </c>
    </row>
    <row r="571">
      <c r="A571" s="30" t="str">
        <f>IFERROR(__xludf.DUMMYFUNCTION("""COMPUTED_VALUE"""),"RSC007969")</f>
        <v>RSC007969</v>
      </c>
      <c r="B571" s="30" t="str">
        <f>IFERROR(__xludf.DUMMYFUNCTION("""COMPUTED_VALUE"""),"EcHo.rll")</f>
        <v>EcHo.rll</v>
      </c>
      <c r="C571" s="30" t="str">
        <f>IFERROR(__xludf.DUMMYFUNCTION("""COMPUTED_VALUE"""),"Challenger")</f>
        <v>Challenger</v>
      </c>
      <c r="D571" s="30" t="str">
        <f>IFERROR(__xludf.DUMMYFUNCTION("""COMPUTED_VALUE"""),"Shade
Quarter")</f>
        <v>Shade
Quarter</v>
      </c>
      <c r="E571" s="30" t="str">
        <f>IFERROR(__xludf.DUMMYFUNCTION("""COMPUTED_VALUE"""),"The Shadows
Money Makers")</f>
        <v>The Shadows
Money Makers</v>
      </c>
      <c r="F571" s="30" t="str">
        <f>IFERROR(__xludf.DUMMYFUNCTION("""COMPUTED_VALUE"""),"Lunar")</f>
        <v>Lunar</v>
      </c>
      <c r="G571" s="92">
        <f>IFERROR(__xludf.DUMMYFUNCTION("""COMPUTED_VALUE"""),44.97677670372977)</f>
        <v>44.9767767</v>
      </c>
    </row>
    <row r="572">
      <c r="A572" s="30" t="str">
        <f>IFERROR(__xludf.DUMMYFUNCTION("""COMPUTED_VALUE"""),"RSC006583")</f>
        <v>RSC006583</v>
      </c>
      <c r="B572" s="30" t="str">
        <f>IFERROR(__xludf.DUMMYFUNCTION("""COMPUTED_VALUE"""),"DaScrappyDoo15")</f>
        <v>DaScrappyDoo15</v>
      </c>
      <c r="C572" s="30" t="str">
        <f>IFERROR(__xludf.DUMMYFUNCTION("""COMPUTED_VALUE"""),"Challenger")</f>
        <v>Challenger</v>
      </c>
      <c r="D572" s="30" t="str">
        <f>IFERROR(__xludf.DUMMYFUNCTION("""COMPUTED_VALUE"""),"Solstice Sake")</f>
        <v>Solstice Sake</v>
      </c>
      <c r="E572" s="30" t="str">
        <f>IFERROR(__xludf.DUMMYFUNCTION("""COMPUTED_VALUE"""),"5 O'clock Nowhere")</f>
        <v>5 O'clock Nowhere</v>
      </c>
      <c r="F572" s="30" t="str">
        <f>IFERROR(__xludf.DUMMYFUNCTION("""COMPUTED_VALUE"""),"Solar")</f>
        <v>Solar</v>
      </c>
      <c r="G572" s="92">
        <f>IFERROR(__xludf.DUMMYFUNCTION("""COMPUTED_VALUE"""),25.078838717859924)</f>
        <v>25.07883872</v>
      </c>
    </row>
    <row r="573">
      <c r="A573" s="30" t="str">
        <f>IFERROR(__xludf.DUMMYFUNCTION("""COMPUTED_VALUE"""),"RSC007874")</f>
        <v>RSC007874</v>
      </c>
      <c r="B573" s="30" t="str">
        <f>IFERROR(__xludf.DUMMYFUNCTION("""COMPUTED_VALUE"""),"SALTY NUM NUM")</f>
        <v>SALTY NUM NUM</v>
      </c>
      <c r="C573" s="30" t="str">
        <f>IFERROR(__xludf.DUMMYFUNCTION("""COMPUTED_VALUE"""),"Challenger")</f>
        <v>Challenger</v>
      </c>
      <c r="D573" s="30" t="str">
        <f>IFERROR(__xludf.DUMMYFUNCTION("""COMPUTED_VALUE"""),"Apple Associates")</f>
        <v>Apple Associates</v>
      </c>
      <c r="E573" s="30" t="str">
        <f>IFERROR(__xludf.DUMMYFUNCTION("""COMPUTED_VALUE"""),"The Syndicate")</f>
        <v>The Syndicate</v>
      </c>
      <c r="F573" s="30" t="str">
        <f>IFERROR(__xludf.DUMMYFUNCTION("""COMPUTED_VALUE"""),"Lunar")</f>
        <v>Lunar</v>
      </c>
      <c r="G573" s="92">
        <f>IFERROR(__xludf.DUMMYFUNCTION("""COMPUTED_VALUE"""),-20.260610616304092)</f>
        <v>-20.26061062</v>
      </c>
    </row>
    <row r="574">
      <c r="A574" s="30" t="str">
        <f>IFERROR(__xludf.DUMMYFUNCTION("""COMPUTED_VALUE"""),"RSC007961")</f>
        <v>RSC007961</v>
      </c>
      <c r="B574" s="30" t="str">
        <f>IFERROR(__xludf.DUMMYFUNCTION("""COMPUTED_VALUE"""),"Skrilpp")</f>
        <v>Skrilpp</v>
      </c>
      <c r="C574" s="30" t="str">
        <f>IFERROR(__xludf.DUMMYFUNCTION("""COMPUTED_VALUE"""),"Challenger")</f>
        <v>Challenger</v>
      </c>
      <c r="D574" s="30" t="str">
        <f>IFERROR(__xludf.DUMMYFUNCTION("""COMPUTED_VALUE"""),"Lions")</f>
        <v>Lions</v>
      </c>
      <c r="E574" s="30" t="str">
        <f>IFERROR(__xludf.DUMMYFUNCTION("""COMPUTED_VALUE"""),"Safari")</f>
        <v>Safari</v>
      </c>
      <c r="F574" s="30" t="str">
        <f>IFERROR(__xludf.DUMMYFUNCTION("""COMPUTED_VALUE"""),"Lunar")</f>
        <v>Lunar</v>
      </c>
      <c r="G574" s="92">
        <f>IFERROR(__xludf.DUMMYFUNCTION("""COMPUTED_VALUE"""),70.24683687904277)</f>
        <v>70.24683688</v>
      </c>
    </row>
    <row r="575">
      <c r="A575" s="30" t="str">
        <f>IFERROR(__xludf.DUMMYFUNCTION("""COMPUTED_VALUE"""),"RSC006066")</f>
        <v>RSC006066</v>
      </c>
      <c r="B575" s="30" t="str">
        <f>IFERROR(__xludf.DUMMYFUNCTION("""COMPUTED_VALUE"""),"GoldenTiger5")</f>
        <v>GoldenTiger5</v>
      </c>
      <c r="C575" s="30" t="str">
        <f>IFERROR(__xludf.DUMMYFUNCTION("""COMPUTED_VALUE"""),"Challenger")</f>
        <v>Challenger</v>
      </c>
      <c r="D575" s="30" t="str">
        <f>IFERROR(__xludf.DUMMYFUNCTION("""COMPUTED_VALUE"""),"Panda Bears")</f>
        <v>Panda Bears</v>
      </c>
      <c r="E575" s="30" t="str">
        <f>IFERROR(__xludf.DUMMYFUNCTION("""COMPUTED_VALUE"""),"The Bear Den")</f>
        <v>The Bear Den</v>
      </c>
      <c r="F575" s="30" t="str">
        <f>IFERROR(__xludf.DUMMYFUNCTION("""COMPUTED_VALUE"""),"Lunar")</f>
        <v>Lunar</v>
      </c>
      <c r="G575" s="92">
        <f>IFERROR(__xludf.DUMMYFUNCTION("""COMPUTED_VALUE"""),5.608848702583295)</f>
        <v>5.608848703</v>
      </c>
    </row>
    <row r="576">
      <c r="A576" s="30" t="str">
        <f>IFERROR(__xludf.DUMMYFUNCTION("""COMPUTED_VALUE"""),"RSC004216")</f>
        <v>RSC004216</v>
      </c>
      <c r="B576" s="30" t="str">
        <f>IFERROR(__xludf.DUMMYFUNCTION("""COMPUTED_VALUE"""),"GrEh")</f>
        <v>GrEh</v>
      </c>
      <c r="C576" s="30" t="str">
        <f>IFERROR(__xludf.DUMMYFUNCTION("""COMPUTED_VALUE"""),"Premier")</f>
        <v>Premier</v>
      </c>
      <c r="D576" s="30" t="str">
        <f>IFERROR(__xludf.DUMMYFUNCTION("""COMPUTED_VALUE"""),"Long Beards")</f>
        <v>Long Beards</v>
      </c>
      <c r="E576" s="30" t="str">
        <f>IFERROR(__xludf.DUMMYFUNCTION("""COMPUTED_VALUE"""),"Dwarf Haven")</f>
        <v>Dwarf Haven</v>
      </c>
      <c r="F576" s="30" t="str">
        <f>IFERROR(__xludf.DUMMYFUNCTION("""COMPUTED_VALUE"""),"N/A")</f>
        <v>N/A</v>
      </c>
      <c r="G576" s="92">
        <f>IFERROR(__xludf.DUMMYFUNCTION("""COMPUTED_VALUE"""),66.69891775953036)</f>
        <v>66.69891776</v>
      </c>
    </row>
    <row r="577">
      <c r="A577" s="30" t="str">
        <f>IFERROR(__xludf.DUMMYFUNCTION("""COMPUTED_VALUE"""),"RSC004923")</f>
        <v>RSC004923</v>
      </c>
      <c r="B577" s="30" t="str">
        <f>IFERROR(__xludf.DUMMYFUNCTION("""COMPUTED_VALUE"""),"Monster.")</f>
        <v>Monster.</v>
      </c>
      <c r="C577" s="30" t="str">
        <f>IFERROR(__xludf.DUMMYFUNCTION("""COMPUTED_VALUE"""),"Premier")</f>
        <v>Premier</v>
      </c>
      <c r="D577" s="30" t="str">
        <f>IFERROR(__xludf.DUMMYFUNCTION("""COMPUTED_VALUE"""),"Long Beards")</f>
        <v>Long Beards</v>
      </c>
      <c r="E577" s="30" t="str">
        <f>IFERROR(__xludf.DUMMYFUNCTION("""COMPUTED_VALUE"""),"Dwarf Haven")</f>
        <v>Dwarf Haven</v>
      </c>
      <c r="F577" s="30" t="str">
        <f>IFERROR(__xludf.DUMMYFUNCTION("""COMPUTED_VALUE"""),"N/A")</f>
        <v>N/A</v>
      </c>
      <c r="G577" s="92">
        <f>IFERROR(__xludf.DUMMYFUNCTION("""COMPUTED_VALUE"""),57.4435654048477)</f>
        <v>57.4435654</v>
      </c>
    </row>
    <row r="578">
      <c r="A578" s="30" t="str">
        <f>IFERROR(__xludf.DUMMYFUNCTION("""COMPUTED_VALUE"""),"RSC004459")</f>
        <v>RSC004459</v>
      </c>
      <c r="B578" s="30" t="str">
        <f>IFERROR(__xludf.DUMMYFUNCTION("""COMPUTED_VALUE"""),"phoenix")</f>
        <v>phoenix</v>
      </c>
      <c r="C578" s="30" t="str">
        <f>IFERROR(__xludf.DUMMYFUNCTION("""COMPUTED_VALUE"""),"Premier")</f>
        <v>Premier</v>
      </c>
      <c r="D578" s="30" t="str">
        <f>IFERROR(__xludf.DUMMYFUNCTION("""COMPUTED_VALUE"""),"Long Beards")</f>
        <v>Long Beards</v>
      </c>
      <c r="E578" s="30" t="str">
        <f>IFERROR(__xludf.DUMMYFUNCTION("""COMPUTED_VALUE"""),"Dwarf Haven")</f>
        <v>Dwarf Haven</v>
      </c>
      <c r="F578" s="30" t="str">
        <f>IFERROR(__xludf.DUMMYFUNCTION("""COMPUTED_VALUE"""),"N/A")</f>
        <v>N/A</v>
      </c>
      <c r="G578" s="92">
        <f>IFERROR(__xludf.DUMMYFUNCTION("""COMPUTED_VALUE"""),68.47694789629274)</f>
        <v>68.4769479</v>
      </c>
    </row>
    <row r="579">
      <c r="A579" s="30" t="str">
        <f>IFERROR(__xludf.DUMMYFUNCTION("""COMPUTED_VALUE"""),"RSC007830")</f>
        <v>RSC007830</v>
      </c>
      <c r="B579" s="30" t="str">
        <f>IFERROR(__xludf.DUMMYFUNCTION("""COMPUTED_VALUE"""),"ghosty rl")</f>
        <v>ghosty rl</v>
      </c>
      <c r="C579" s="30" t="str">
        <f>IFERROR(__xludf.DUMMYFUNCTION("""COMPUTED_VALUE"""),"Premier")</f>
        <v>Premier</v>
      </c>
      <c r="D579" s="30" t="str">
        <f>IFERROR(__xludf.DUMMYFUNCTION("""COMPUTED_VALUE"""),"Feta Forgers")</f>
        <v>Feta Forgers</v>
      </c>
      <c r="E579" s="30" t="str">
        <f>IFERROR(__xludf.DUMMYFUNCTION("""COMPUTED_VALUE"""),"Cheese Guild")</f>
        <v>Cheese Guild</v>
      </c>
      <c r="F579" s="30" t="str">
        <f>IFERROR(__xludf.DUMMYFUNCTION("""COMPUTED_VALUE"""),"N/A")</f>
        <v>N/A</v>
      </c>
      <c r="G579" s="92">
        <f>IFERROR(__xludf.DUMMYFUNCTION("""COMPUTED_VALUE"""),21.928600927865062)</f>
        <v>21.92860093</v>
      </c>
    </row>
    <row r="580">
      <c r="A580" s="30" t="str">
        <f>IFERROR(__xludf.DUMMYFUNCTION("""COMPUTED_VALUE"""),"RSC002714")</f>
        <v>RSC002714</v>
      </c>
      <c r="B580" s="30" t="str">
        <f>IFERROR(__xludf.DUMMYFUNCTION("""COMPUTED_VALUE"""),"Yujin")</f>
        <v>Yujin</v>
      </c>
      <c r="C580" s="30" t="str">
        <f>IFERROR(__xludf.DUMMYFUNCTION("""COMPUTED_VALUE"""),"Premier")</f>
        <v>Premier</v>
      </c>
      <c r="D580" s="30" t="str">
        <f>IFERROR(__xludf.DUMMYFUNCTION("""COMPUTED_VALUE"""),"Feta Forgers")</f>
        <v>Feta Forgers</v>
      </c>
      <c r="E580" s="30" t="str">
        <f>IFERROR(__xludf.DUMMYFUNCTION("""COMPUTED_VALUE"""),"Cheese Guild")</f>
        <v>Cheese Guild</v>
      </c>
      <c r="F580" s="30" t="str">
        <f>IFERROR(__xludf.DUMMYFUNCTION("""COMPUTED_VALUE"""),"N/A")</f>
        <v>N/A</v>
      </c>
      <c r="G580" s="92">
        <f>IFERROR(__xludf.DUMMYFUNCTION("""COMPUTED_VALUE"""),27.657420432842763)</f>
        <v>27.65742043</v>
      </c>
    </row>
    <row r="581">
      <c r="A581" s="30" t="str">
        <f>IFERROR(__xludf.DUMMYFUNCTION("""COMPUTED_VALUE"""),"RSC005481")</f>
        <v>RSC005481</v>
      </c>
      <c r="B581" s="30" t="str">
        <f>IFERROR(__xludf.DUMMYFUNCTION("""COMPUTED_VALUE"""),"Leonis")</f>
        <v>Leonis</v>
      </c>
      <c r="C581" s="30" t="str">
        <f>IFERROR(__xludf.DUMMYFUNCTION("""COMPUTED_VALUE"""),"Premier")</f>
        <v>Premier</v>
      </c>
      <c r="D581" s="30" t="str">
        <f>IFERROR(__xludf.DUMMYFUNCTION("""COMPUTED_VALUE"""),"Feta Forgers")</f>
        <v>Feta Forgers</v>
      </c>
      <c r="E581" s="30" t="str">
        <f>IFERROR(__xludf.DUMMYFUNCTION("""COMPUTED_VALUE"""),"Cheese Guild")</f>
        <v>Cheese Guild</v>
      </c>
      <c r="F581" s="30" t="str">
        <f>IFERROR(__xludf.DUMMYFUNCTION("""COMPUTED_VALUE"""),"N/A")</f>
        <v>N/A</v>
      </c>
      <c r="G581" s="92">
        <f>IFERROR(__xludf.DUMMYFUNCTION("""COMPUTED_VALUE"""),34.60241334174896)</f>
        <v>34.60241334</v>
      </c>
    </row>
    <row r="582">
      <c r="A582" s="30" t="str">
        <f>IFERROR(__xludf.DUMMYFUNCTION("""COMPUTED_VALUE"""),"RSC004580")</f>
        <v>RSC004580</v>
      </c>
      <c r="B582" s="30" t="str">
        <f>IFERROR(__xludf.DUMMYFUNCTION("""COMPUTED_VALUE"""),"Stati_c")</f>
        <v>Stati_c</v>
      </c>
      <c r="C582" s="30" t="str">
        <f>IFERROR(__xludf.DUMMYFUNCTION("""COMPUTED_VALUE"""),"Premier")</f>
        <v>Premier</v>
      </c>
      <c r="D582" s="30" t="str">
        <f>IFERROR(__xludf.DUMMYFUNCTION("""COMPUTED_VALUE"""),"Capybaras")</f>
        <v>Capybaras</v>
      </c>
      <c r="E582" s="30" t="str">
        <f>IFERROR(__xludf.DUMMYFUNCTION("""COMPUTED_VALUE"""),"The Jungle")</f>
        <v>The Jungle</v>
      </c>
      <c r="F582" s="30" t="str">
        <f>IFERROR(__xludf.DUMMYFUNCTION("""COMPUTED_VALUE"""),"N/A")</f>
        <v>N/A</v>
      </c>
      <c r="G582" s="92">
        <f>IFERROR(__xludf.DUMMYFUNCTION("""COMPUTED_VALUE"""),24.21410185316978)</f>
        <v>24.21410185</v>
      </c>
    </row>
    <row r="583">
      <c r="A583" s="30" t="str">
        <f>IFERROR(__xludf.DUMMYFUNCTION("""COMPUTED_VALUE"""),"RSC006203")</f>
        <v>RSC006203</v>
      </c>
      <c r="B583" s="30" t="str">
        <f>IFERROR(__xludf.DUMMYFUNCTION("""COMPUTED_VALUE"""),"Lonzo Ball")</f>
        <v>Lonzo Ball</v>
      </c>
      <c r="C583" s="30" t="str">
        <f>IFERROR(__xludf.DUMMYFUNCTION("""COMPUTED_VALUE"""),"Premier")</f>
        <v>Premier</v>
      </c>
      <c r="D583" s="30" t="str">
        <f>IFERROR(__xludf.DUMMYFUNCTION("""COMPUTED_VALUE"""),"Capybaras")</f>
        <v>Capybaras</v>
      </c>
      <c r="E583" s="30" t="str">
        <f>IFERROR(__xludf.DUMMYFUNCTION("""COMPUTED_VALUE"""),"The Jungle")</f>
        <v>The Jungle</v>
      </c>
      <c r="F583" s="30" t="str">
        <f>IFERROR(__xludf.DUMMYFUNCTION("""COMPUTED_VALUE"""),"N/A")</f>
        <v>N/A</v>
      </c>
      <c r="G583" s="92">
        <f>IFERROR(__xludf.DUMMYFUNCTION("""COMPUTED_VALUE"""),54.98975860304694)</f>
        <v>54.9897586</v>
      </c>
    </row>
    <row r="584">
      <c r="A584" s="30" t="str">
        <f>IFERROR(__xludf.DUMMYFUNCTION("""COMPUTED_VALUE"""),"RSC007188")</f>
        <v>RSC007188</v>
      </c>
      <c r="B584" s="30" t="str">
        <f>IFERROR(__xludf.DUMMYFUNCTION("""COMPUTED_VALUE"""),"spoody")</f>
        <v>spoody</v>
      </c>
      <c r="C584" s="30" t="str">
        <f>IFERROR(__xludf.DUMMYFUNCTION("""COMPUTED_VALUE"""),"Premier")</f>
        <v>Premier</v>
      </c>
      <c r="D584" s="30" t="str">
        <f>IFERROR(__xludf.DUMMYFUNCTION("""COMPUTED_VALUE"""),"Capybaras")</f>
        <v>Capybaras</v>
      </c>
      <c r="E584" s="30" t="str">
        <f>IFERROR(__xludf.DUMMYFUNCTION("""COMPUTED_VALUE"""),"The Jungle")</f>
        <v>The Jungle</v>
      </c>
      <c r="F584" s="30" t="str">
        <f>IFERROR(__xludf.DUMMYFUNCTION("""COMPUTED_VALUE"""),"N/A")</f>
        <v>N/A</v>
      </c>
      <c r="G584" s="92">
        <f>IFERROR(__xludf.DUMMYFUNCTION("""COMPUTED_VALUE"""),57.13621878568335)</f>
        <v>57.13621879</v>
      </c>
    </row>
    <row r="585">
      <c r="A585" s="30" t="str">
        <f>IFERROR(__xludf.DUMMYFUNCTION("""COMPUTED_VALUE"""),"RSC005917")</f>
        <v>RSC005917</v>
      </c>
      <c r="B585" s="30" t="str">
        <f>IFERROR(__xludf.DUMMYFUNCTION("""COMPUTED_VALUE"""),"GAVALANCHE")</f>
        <v>GAVALANCHE</v>
      </c>
      <c r="C585" s="30" t="str">
        <f>IFERROR(__xludf.DUMMYFUNCTION("""COMPUTED_VALUE"""),"Premier")</f>
        <v>Premier</v>
      </c>
      <c r="D585" s="30" t="str">
        <f>IFERROR(__xludf.DUMMYFUNCTION("""COMPUTED_VALUE"""),"Crooked Capos")</f>
        <v>Crooked Capos</v>
      </c>
      <c r="E585" s="30" t="str">
        <f>IFERROR(__xludf.DUMMYFUNCTION("""COMPUTED_VALUE"""),"The Syndicate")</f>
        <v>The Syndicate</v>
      </c>
      <c r="F585" s="30" t="str">
        <f>IFERROR(__xludf.DUMMYFUNCTION("""COMPUTED_VALUE"""),"N/A")</f>
        <v>N/A</v>
      </c>
      <c r="G585" s="92">
        <f>IFERROR(__xludf.DUMMYFUNCTION("""COMPUTED_VALUE"""),39.4034939616507)</f>
        <v>39.40349396</v>
      </c>
    </row>
    <row r="586">
      <c r="A586" s="30" t="str">
        <f>IFERROR(__xludf.DUMMYFUNCTION("""COMPUTED_VALUE"""),"RSC001177")</f>
        <v>RSC001177</v>
      </c>
      <c r="B586" s="30" t="str">
        <f>IFERROR(__xludf.DUMMYFUNCTION("""COMPUTED_VALUE"""),"Calster")</f>
        <v>Calster</v>
      </c>
      <c r="C586" s="30" t="str">
        <f>IFERROR(__xludf.DUMMYFUNCTION("""COMPUTED_VALUE"""),"Premier")</f>
        <v>Premier</v>
      </c>
      <c r="D586" s="30" t="str">
        <f>IFERROR(__xludf.DUMMYFUNCTION("""COMPUTED_VALUE"""),"Crooked Capos")</f>
        <v>Crooked Capos</v>
      </c>
      <c r="E586" s="30" t="str">
        <f>IFERROR(__xludf.DUMMYFUNCTION("""COMPUTED_VALUE"""),"The Syndicate")</f>
        <v>The Syndicate</v>
      </c>
      <c r="F586" s="30" t="str">
        <f>IFERROR(__xludf.DUMMYFUNCTION("""COMPUTED_VALUE"""),"N/A")</f>
        <v>N/A</v>
      </c>
      <c r="G586" s="92">
        <f>IFERROR(__xludf.DUMMYFUNCTION("""COMPUTED_VALUE"""),43.90185770297345)</f>
        <v>43.9018577</v>
      </c>
    </row>
    <row r="587">
      <c r="A587" s="30" t="str">
        <f>IFERROR(__xludf.DUMMYFUNCTION("""COMPUTED_VALUE"""),"RSC006029")</f>
        <v>RSC006029</v>
      </c>
      <c r="B587" s="30" t="str">
        <f>IFERROR(__xludf.DUMMYFUNCTION("""COMPUTED_VALUE"""),"bman.")</f>
        <v>bman.</v>
      </c>
      <c r="C587" s="30" t="str">
        <f>IFERROR(__xludf.DUMMYFUNCTION("""COMPUTED_VALUE"""),"Premier")</f>
        <v>Premier</v>
      </c>
      <c r="D587" s="30" t="str">
        <f>IFERROR(__xludf.DUMMYFUNCTION("""COMPUTED_VALUE"""),"Crooked Capos")</f>
        <v>Crooked Capos</v>
      </c>
      <c r="E587" s="30" t="str">
        <f>IFERROR(__xludf.DUMMYFUNCTION("""COMPUTED_VALUE"""),"The Syndicate")</f>
        <v>The Syndicate</v>
      </c>
      <c r="F587" s="30" t="str">
        <f>IFERROR(__xludf.DUMMYFUNCTION("""COMPUTED_VALUE"""),"N/A")</f>
        <v>N/A</v>
      </c>
      <c r="G587" s="92">
        <f>IFERROR(__xludf.DUMMYFUNCTION("""COMPUTED_VALUE"""),56.58139293574354)</f>
        <v>56.58139294</v>
      </c>
    </row>
    <row r="588">
      <c r="A588" s="30" t="str">
        <f>IFERROR(__xludf.DUMMYFUNCTION("""COMPUTED_VALUE"""),"RSC000462")</f>
        <v>RSC000462</v>
      </c>
      <c r="B588" s="30" t="str">
        <f>IFERROR(__xludf.DUMMYFUNCTION("""COMPUTED_VALUE"""),"Kruncho")</f>
        <v>Kruncho</v>
      </c>
      <c r="C588" s="30" t="str">
        <f>IFERROR(__xludf.DUMMYFUNCTION("""COMPUTED_VALUE"""),"Premier")</f>
        <v>Premier</v>
      </c>
      <c r="D588" s="30" t="str">
        <f>IFERROR(__xludf.DUMMYFUNCTION("""COMPUTED_VALUE"""),"Super Clusters")</f>
        <v>Super Clusters</v>
      </c>
      <c r="E588" s="30" t="str">
        <f>IFERROR(__xludf.DUMMYFUNCTION("""COMPUTED_VALUE"""),"The Cosmos")</f>
        <v>The Cosmos</v>
      </c>
      <c r="F588" s="30" t="str">
        <f>IFERROR(__xludf.DUMMYFUNCTION("""COMPUTED_VALUE"""),"N/A")</f>
        <v>N/A</v>
      </c>
      <c r="G588" s="92">
        <f>IFERROR(__xludf.DUMMYFUNCTION("""COMPUTED_VALUE"""),59.65875978128236)</f>
        <v>59.65875978</v>
      </c>
    </row>
    <row r="589">
      <c r="A589" s="30" t="str">
        <f>IFERROR(__xludf.DUMMYFUNCTION("""COMPUTED_VALUE"""),"RSC004090")</f>
        <v>RSC004090</v>
      </c>
      <c r="B589" s="30" t="str">
        <f>IFERROR(__xludf.DUMMYFUNCTION("""COMPUTED_VALUE"""),"LikeWisse")</f>
        <v>LikeWisse</v>
      </c>
      <c r="C589" s="30" t="str">
        <f>IFERROR(__xludf.DUMMYFUNCTION("""COMPUTED_VALUE"""),"Premier")</f>
        <v>Premier</v>
      </c>
      <c r="D589" s="30" t="str">
        <f>IFERROR(__xludf.DUMMYFUNCTION("""COMPUTED_VALUE"""),"Super Clusters")</f>
        <v>Super Clusters</v>
      </c>
      <c r="E589" s="30" t="str">
        <f>IFERROR(__xludf.DUMMYFUNCTION("""COMPUTED_VALUE"""),"The Cosmos")</f>
        <v>The Cosmos</v>
      </c>
      <c r="F589" s="30" t="str">
        <f>IFERROR(__xludf.DUMMYFUNCTION("""COMPUTED_VALUE"""),"N/A")</f>
        <v>N/A</v>
      </c>
      <c r="G589" s="92">
        <f>IFERROR(__xludf.DUMMYFUNCTION("""COMPUTED_VALUE"""),62.582923820491054)</f>
        <v>62.58292382</v>
      </c>
    </row>
    <row r="590">
      <c r="A590" s="30" t="str">
        <f>IFERROR(__xludf.DUMMYFUNCTION("""COMPUTED_VALUE"""),"RSC004079")</f>
        <v>RSC004079</v>
      </c>
      <c r="B590" s="30" t="str">
        <f>IFERROR(__xludf.DUMMYFUNCTION("""COMPUTED_VALUE"""),"tox")</f>
        <v>tox</v>
      </c>
      <c r="C590" s="30" t="str">
        <f>IFERROR(__xludf.DUMMYFUNCTION("""COMPUTED_VALUE"""),"Premier")</f>
        <v>Premier</v>
      </c>
      <c r="D590" s="30" t="str">
        <f>IFERROR(__xludf.DUMMYFUNCTION("""COMPUTED_VALUE"""),"Super Clusters")</f>
        <v>Super Clusters</v>
      </c>
      <c r="E590" s="30" t="str">
        <f>IFERROR(__xludf.DUMMYFUNCTION("""COMPUTED_VALUE"""),"The Cosmos")</f>
        <v>The Cosmos</v>
      </c>
      <c r="F590" s="30" t="str">
        <f>IFERROR(__xludf.DUMMYFUNCTION("""COMPUTED_VALUE"""),"N/A")</f>
        <v>N/A</v>
      </c>
      <c r="G590" s="92">
        <f>IFERROR(__xludf.DUMMYFUNCTION("""COMPUTED_VALUE"""),66.895095837718)</f>
        <v>66.89509584</v>
      </c>
    </row>
    <row r="591">
      <c r="A591" s="30" t="str">
        <f>IFERROR(__xludf.DUMMYFUNCTION("""COMPUTED_VALUE"""),"RSC007409")</f>
        <v>RSC007409</v>
      </c>
      <c r="B591" s="30" t="str">
        <f>IFERROR(__xludf.DUMMYFUNCTION("""COMPUTED_VALUE"""),"Averded")</f>
        <v>Averded</v>
      </c>
      <c r="C591" s="30" t="str">
        <f>IFERROR(__xludf.DUMMYFUNCTION("""COMPUTED_VALUE"""),"Premier")</f>
        <v>Premier</v>
      </c>
      <c r="D591" s="30" t="str">
        <f>IFERROR(__xludf.DUMMYFUNCTION("""COMPUTED_VALUE"""),"Excavators")</f>
        <v>Excavators</v>
      </c>
      <c r="E591" s="30" t="str">
        <f>IFERROR(__xludf.DUMMYFUNCTION("""COMPUTED_VALUE"""),"Road Work Ahead")</f>
        <v>Road Work Ahead</v>
      </c>
      <c r="F591" s="30" t="str">
        <f>IFERROR(__xludf.DUMMYFUNCTION("""COMPUTED_VALUE"""),"N/A")</f>
        <v>N/A</v>
      </c>
      <c r="G591" s="92">
        <f>IFERROR(__xludf.DUMMYFUNCTION("""COMPUTED_VALUE"""),37.825265492824265)</f>
        <v>37.82526549</v>
      </c>
    </row>
    <row r="592">
      <c r="A592" s="30" t="str">
        <f>IFERROR(__xludf.DUMMYFUNCTION("""COMPUTED_VALUE"""),"RSC005157")</f>
        <v>RSC005157</v>
      </c>
      <c r="B592" s="30" t="str">
        <f>IFERROR(__xludf.DUMMYFUNCTION("""COMPUTED_VALUE"""),"ScuLa")</f>
        <v>ScuLa</v>
      </c>
      <c r="C592" s="30" t="str">
        <f>IFERROR(__xludf.DUMMYFUNCTION("""COMPUTED_VALUE"""),"Premier")</f>
        <v>Premier</v>
      </c>
      <c r="D592" s="30" t="str">
        <f>IFERROR(__xludf.DUMMYFUNCTION("""COMPUTED_VALUE"""),"Excavators")</f>
        <v>Excavators</v>
      </c>
      <c r="E592" s="30" t="str">
        <f>IFERROR(__xludf.DUMMYFUNCTION("""COMPUTED_VALUE"""),"Road Work Ahead")</f>
        <v>Road Work Ahead</v>
      </c>
      <c r="F592" s="30" t="str">
        <f>IFERROR(__xludf.DUMMYFUNCTION("""COMPUTED_VALUE"""),"N/A")</f>
        <v>N/A</v>
      </c>
      <c r="G592" s="92">
        <f>IFERROR(__xludf.DUMMYFUNCTION("""COMPUTED_VALUE"""),82.42728676511939)</f>
        <v>82.42728677</v>
      </c>
    </row>
    <row r="593">
      <c r="A593" s="30" t="str">
        <f>IFERROR(__xludf.DUMMYFUNCTION("""COMPUTED_VALUE"""),"RSC002062")</f>
        <v>RSC002062</v>
      </c>
      <c r="B593" s="30" t="str">
        <f>IFERROR(__xludf.DUMMYFUNCTION("""COMPUTED_VALUE"""),"Gromit")</f>
        <v>Gromit</v>
      </c>
      <c r="C593" s="30" t="str">
        <f>IFERROR(__xludf.DUMMYFUNCTION("""COMPUTED_VALUE"""),"Premier")</f>
        <v>Premier</v>
      </c>
      <c r="D593" s="30" t="str">
        <f>IFERROR(__xludf.DUMMYFUNCTION("""COMPUTED_VALUE"""),"Excavators")</f>
        <v>Excavators</v>
      </c>
      <c r="E593" s="30" t="str">
        <f>IFERROR(__xludf.DUMMYFUNCTION("""COMPUTED_VALUE"""),"Road Work Ahead")</f>
        <v>Road Work Ahead</v>
      </c>
      <c r="F593" s="30" t="str">
        <f>IFERROR(__xludf.DUMMYFUNCTION("""COMPUTED_VALUE"""),"N/A")</f>
        <v>N/A</v>
      </c>
      <c r="G593" s="92">
        <f>IFERROR(__xludf.DUMMYFUNCTION("""COMPUTED_VALUE"""),65.50039516663448)</f>
        <v>65.50039517</v>
      </c>
    </row>
    <row r="594">
      <c r="A594" s="30" t="str">
        <f>IFERROR(__xludf.DUMMYFUNCTION("""COMPUTED_VALUE"""),"RSC001945")</f>
        <v>RSC001945</v>
      </c>
      <c r="B594" s="30" t="str">
        <f>IFERROR(__xludf.DUMMYFUNCTION("""COMPUTED_VALUE"""),"Brody")</f>
        <v>Brody</v>
      </c>
      <c r="C594" s="30" t="str">
        <f>IFERROR(__xludf.DUMMYFUNCTION("""COMPUTED_VALUE"""),"Premier")</f>
        <v>Premier</v>
      </c>
      <c r="D594" s="30" t="str">
        <f>IFERROR(__xludf.DUMMYFUNCTION("""COMPUTED_VALUE"""),"Fairies")</f>
        <v>Fairies</v>
      </c>
      <c r="E594" s="30" t="str">
        <f>IFERROR(__xludf.DUMMYFUNCTION("""COMPUTED_VALUE"""),"The Forest")</f>
        <v>The Forest</v>
      </c>
      <c r="F594" s="30" t="str">
        <f>IFERROR(__xludf.DUMMYFUNCTION("""COMPUTED_VALUE"""),"N/A")</f>
        <v>N/A</v>
      </c>
      <c r="G594" s="92">
        <f>IFERROR(__xludf.DUMMYFUNCTION("""COMPUTED_VALUE"""),39.20973666988346)</f>
        <v>39.20973667</v>
      </c>
    </row>
    <row r="595">
      <c r="A595" s="30" t="str">
        <f>IFERROR(__xludf.DUMMYFUNCTION("""COMPUTED_VALUE"""),"RSC007150")</f>
        <v>RSC007150</v>
      </c>
      <c r="B595" s="30" t="str">
        <f>IFERROR(__xludf.DUMMYFUNCTION("""COMPUTED_VALUE"""),"peach")</f>
        <v>peach</v>
      </c>
      <c r="C595" s="30" t="str">
        <f>IFERROR(__xludf.DUMMYFUNCTION("""COMPUTED_VALUE"""),"Premier")</f>
        <v>Premier</v>
      </c>
      <c r="D595" s="30" t="str">
        <f>IFERROR(__xludf.DUMMYFUNCTION("""COMPUTED_VALUE"""),"Fairies")</f>
        <v>Fairies</v>
      </c>
      <c r="E595" s="30" t="str">
        <f>IFERROR(__xludf.DUMMYFUNCTION("""COMPUTED_VALUE"""),"The Forest")</f>
        <v>The Forest</v>
      </c>
      <c r="F595" s="30" t="str">
        <f>IFERROR(__xludf.DUMMYFUNCTION("""COMPUTED_VALUE"""),"N/A")</f>
        <v>N/A</v>
      </c>
      <c r="G595" s="92">
        <f>IFERROR(__xludf.DUMMYFUNCTION("""COMPUTED_VALUE"""),15.841014229657866)</f>
        <v>15.84101423</v>
      </c>
    </row>
    <row r="596">
      <c r="A596" s="30" t="str">
        <f>IFERROR(__xludf.DUMMYFUNCTION("""COMPUTED_VALUE"""),"RSC007962")</f>
        <v>RSC007962</v>
      </c>
      <c r="B596" s="30" t="str">
        <f>IFERROR(__xludf.DUMMYFUNCTION("""COMPUTED_VALUE"""),"Kamikazi")</f>
        <v>Kamikazi</v>
      </c>
      <c r="C596" s="30" t="str">
        <f>IFERROR(__xludf.DUMMYFUNCTION("""COMPUTED_VALUE"""),"Premier")</f>
        <v>Premier</v>
      </c>
      <c r="D596" s="30" t="str">
        <f>IFERROR(__xludf.DUMMYFUNCTION("""COMPUTED_VALUE"""),"Fairies
Old Heads
Capybaras
Crooked Capos")</f>
        <v>Fairies
Old Heads
Capybaras
Crooked Capos</v>
      </c>
      <c r="E596" s="30" t="str">
        <f>IFERROR(__xludf.DUMMYFUNCTION("""COMPUTED_VALUE"""),"The Forest
The Hood
The Jungle
The Syndicate")</f>
        <v>The Forest
The Hood
The Jungle
The Syndicate</v>
      </c>
      <c r="F596" s="30" t="str">
        <f>IFERROR(__xludf.DUMMYFUNCTION("""COMPUTED_VALUE"""),"N/A")</f>
        <v>N/A</v>
      </c>
      <c r="G596" s="92">
        <f>IFERROR(__xludf.DUMMYFUNCTION("""COMPUTED_VALUE"""),33.34584011054908)</f>
        <v>33.34584011</v>
      </c>
    </row>
    <row r="597">
      <c r="A597" s="30" t="str">
        <f>IFERROR(__xludf.DUMMYFUNCTION("""COMPUTED_VALUE"""),"RSC006677")</f>
        <v>RSC006677</v>
      </c>
      <c r="B597" s="30" t="str">
        <f>IFERROR(__xludf.DUMMYFUNCTION("""COMPUTED_VALUE"""),"luigi")</f>
        <v>luigi</v>
      </c>
      <c r="C597" s="30" t="str">
        <f>IFERROR(__xludf.DUMMYFUNCTION("""COMPUTED_VALUE"""),"Premier")</f>
        <v>Premier</v>
      </c>
      <c r="D597" s="30" t="str">
        <f>IFERROR(__xludf.DUMMYFUNCTION("""COMPUTED_VALUE"""),"Punks")</f>
        <v>Punks</v>
      </c>
      <c r="E597" s="30" t="str">
        <f>IFERROR(__xludf.DUMMYFUNCTION("""COMPUTED_VALUE"""),"The Pit")</f>
        <v>The Pit</v>
      </c>
      <c r="F597" s="30" t="str">
        <f>IFERROR(__xludf.DUMMYFUNCTION("""COMPUTED_VALUE"""),"N/A")</f>
        <v>N/A</v>
      </c>
      <c r="G597" s="92">
        <f>IFERROR(__xludf.DUMMYFUNCTION("""COMPUTED_VALUE"""),70.20757247365404)</f>
        <v>70.20757247</v>
      </c>
    </row>
    <row r="598">
      <c r="A598" s="30" t="str">
        <f>IFERROR(__xludf.DUMMYFUNCTION("""COMPUTED_VALUE"""),"RSC007596")</f>
        <v>RSC007596</v>
      </c>
      <c r="B598" s="30" t="str">
        <f>IFERROR(__xludf.DUMMYFUNCTION("""COMPUTED_VALUE"""),"Sean")</f>
        <v>Sean</v>
      </c>
      <c r="C598" s="30" t="str">
        <f>IFERROR(__xludf.DUMMYFUNCTION("""COMPUTED_VALUE"""),"Premier")</f>
        <v>Premier</v>
      </c>
      <c r="D598" s="30" t="str">
        <f>IFERROR(__xludf.DUMMYFUNCTION("""COMPUTED_VALUE"""),"Punks")</f>
        <v>Punks</v>
      </c>
      <c r="E598" s="30" t="str">
        <f>IFERROR(__xludf.DUMMYFUNCTION("""COMPUTED_VALUE"""),"The Pit")</f>
        <v>The Pit</v>
      </c>
      <c r="F598" s="30" t="str">
        <f>IFERROR(__xludf.DUMMYFUNCTION("""COMPUTED_VALUE"""),"N/A")</f>
        <v>N/A</v>
      </c>
      <c r="G598" s="92">
        <f>IFERROR(__xludf.DUMMYFUNCTION("""COMPUTED_VALUE"""),37.00249361086473)</f>
        <v>37.00249361</v>
      </c>
    </row>
    <row r="599">
      <c r="A599" s="30" t="str">
        <f>IFERROR(__xludf.DUMMYFUNCTION("""COMPUTED_VALUE"""),"RSC001114")</f>
        <v>RSC001114</v>
      </c>
      <c r="B599" s="30" t="str">
        <f>IFERROR(__xludf.DUMMYFUNCTION("""COMPUTED_VALUE"""),"ashes.")</f>
        <v>ashes.</v>
      </c>
      <c r="C599" s="30" t="str">
        <f>IFERROR(__xludf.DUMMYFUNCTION("""COMPUTED_VALUE"""),"Premier")</f>
        <v>Premier</v>
      </c>
      <c r="D599" s="30" t="str">
        <f>IFERROR(__xludf.DUMMYFUNCTION("""COMPUTED_VALUE"""),"Punks")</f>
        <v>Punks</v>
      </c>
      <c r="E599" s="30" t="str">
        <f>IFERROR(__xludf.DUMMYFUNCTION("""COMPUTED_VALUE"""),"The Pit")</f>
        <v>The Pit</v>
      </c>
      <c r="F599" s="30" t="str">
        <f>IFERROR(__xludf.DUMMYFUNCTION("""COMPUTED_VALUE"""),"N/A")</f>
        <v>N/A</v>
      </c>
      <c r="G599" s="92">
        <f>IFERROR(__xludf.DUMMYFUNCTION("""COMPUTED_VALUE"""),46.07183688287794)</f>
        <v>46.07183688</v>
      </c>
    </row>
    <row r="600">
      <c r="A600" s="30" t="str">
        <f>IFERROR(__xludf.DUMMYFUNCTION("""COMPUTED_VALUE"""),"RSC007982")</f>
        <v>RSC007982</v>
      </c>
      <c r="B600" s="30" t="str">
        <f>IFERROR(__xludf.DUMMYFUNCTION("""COMPUTED_VALUE"""),"Cadomac")</f>
        <v>Cadomac</v>
      </c>
      <c r="C600" s="30" t="str">
        <f>IFERROR(__xludf.DUMMYFUNCTION("""COMPUTED_VALUE"""),"Premier")</f>
        <v>Premier</v>
      </c>
      <c r="D600" s="30" t="str">
        <f>IFERROR(__xludf.DUMMYFUNCTION("""COMPUTED_VALUE"""),"Hurricanes")</f>
        <v>Hurricanes</v>
      </c>
      <c r="E600" s="30" t="str">
        <f>IFERROR(__xludf.DUMMYFUNCTION("""COMPUTED_VALUE"""),"Storm")</f>
        <v>Storm</v>
      </c>
      <c r="F600" s="30" t="str">
        <f>IFERROR(__xludf.DUMMYFUNCTION("""COMPUTED_VALUE"""),"N/A")</f>
        <v>N/A</v>
      </c>
      <c r="G600" s="92">
        <f>IFERROR(__xludf.DUMMYFUNCTION("""COMPUTED_VALUE"""),72.94521285136305)</f>
        <v>72.94521285</v>
      </c>
    </row>
    <row r="601">
      <c r="A601" s="30" t="str">
        <f>IFERROR(__xludf.DUMMYFUNCTION("""COMPUTED_VALUE"""),"RSC003804")</f>
        <v>RSC003804</v>
      </c>
      <c r="B601" s="30" t="str">
        <f>IFERROR(__xludf.DUMMYFUNCTION("""COMPUTED_VALUE"""),"ayylo")</f>
        <v>ayylo</v>
      </c>
      <c r="C601" s="30" t="str">
        <f>IFERROR(__xludf.DUMMYFUNCTION("""COMPUTED_VALUE"""),"Premier")</f>
        <v>Premier</v>
      </c>
      <c r="D601" s="30" t="str">
        <f>IFERROR(__xludf.DUMMYFUNCTION("""COMPUTED_VALUE"""),"Hurricanes")</f>
        <v>Hurricanes</v>
      </c>
      <c r="E601" s="30" t="str">
        <f>IFERROR(__xludf.DUMMYFUNCTION("""COMPUTED_VALUE"""),"Storm")</f>
        <v>Storm</v>
      </c>
      <c r="F601" s="30" t="str">
        <f>IFERROR(__xludf.DUMMYFUNCTION("""COMPUTED_VALUE"""),"N/A")</f>
        <v>N/A</v>
      </c>
      <c r="G601" s="92">
        <f>IFERROR(__xludf.DUMMYFUNCTION("""COMPUTED_VALUE"""),31.53628996256092)</f>
        <v>31.53628996</v>
      </c>
    </row>
    <row r="602">
      <c r="A602" s="30" t="str">
        <f>IFERROR(__xludf.DUMMYFUNCTION("""COMPUTED_VALUE"""),"RSC007896")</f>
        <v>RSC007896</v>
      </c>
      <c r="B602" s="30" t="str">
        <f>IFERROR(__xludf.DUMMYFUNCTION("""COMPUTED_VALUE"""),"Notice")</f>
        <v>Notice</v>
      </c>
      <c r="C602" s="30" t="str">
        <f>IFERROR(__xludf.DUMMYFUNCTION("""COMPUTED_VALUE"""),"Premier")</f>
        <v>Premier</v>
      </c>
      <c r="D602" s="30" t="str">
        <f>IFERROR(__xludf.DUMMYFUNCTION("""COMPUTED_VALUE"""),"Hurricanes")</f>
        <v>Hurricanes</v>
      </c>
      <c r="E602" s="30" t="str">
        <f>IFERROR(__xludf.DUMMYFUNCTION("""COMPUTED_VALUE"""),"Storm")</f>
        <v>Storm</v>
      </c>
      <c r="F602" s="30" t="str">
        <f>IFERROR(__xludf.DUMMYFUNCTION("""COMPUTED_VALUE"""),"N/A")</f>
        <v>N/A</v>
      </c>
      <c r="G602" s="92">
        <f>IFERROR(__xludf.DUMMYFUNCTION("""COMPUTED_VALUE"""),58.99060978039206)</f>
        <v>58.99060978</v>
      </c>
    </row>
    <row r="603">
      <c r="A603" s="30" t="str">
        <f>IFERROR(__xludf.DUMMYFUNCTION("""COMPUTED_VALUE"""),"RSC007845")</f>
        <v>RSC007845</v>
      </c>
      <c r="B603" s="30" t="str">
        <f>IFERROR(__xludf.DUMMYFUNCTION("""COMPUTED_VALUE"""),"Enchanted")</f>
        <v>Enchanted</v>
      </c>
      <c r="C603" s="30" t="str">
        <f>IFERROR(__xludf.DUMMYFUNCTION("""COMPUTED_VALUE"""),"Premier")</f>
        <v>Premier</v>
      </c>
      <c r="D603" s="30" t="str">
        <f>IFERROR(__xludf.DUMMYFUNCTION("""COMPUTED_VALUE"""),"Old Heads")</f>
        <v>Old Heads</v>
      </c>
      <c r="E603" s="30" t="str">
        <f>IFERROR(__xludf.DUMMYFUNCTION("""COMPUTED_VALUE"""),"The Hood")</f>
        <v>The Hood</v>
      </c>
      <c r="F603" s="30" t="str">
        <f>IFERROR(__xludf.DUMMYFUNCTION("""COMPUTED_VALUE"""),"N/A")</f>
        <v>N/A</v>
      </c>
      <c r="G603" s="92">
        <f>IFERROR(__xludf.DUMMYFUNCTION("""COMPUTED_VALUE"""),43.93685317867472)</f>
        <v>43.93685318</v>
      </c>
    </row>
    <row r="604">
      <c r="A604" s="30" t="str">
        <f>IFERROR(__xludf.DUMMYFUNCTION("""COMPUTED_VALUE"""),"RSC005670")</f>
        <v>RSC005670</v>
      </c>
      <c r="B604" s="30" t="str">
        <f>IFERROR(__xludf.DUMMYFUNCTION("""COMPUTED_VALUE"""),"mesi")</f>
        <v>mesi</v>
      </c>
      <c r="C604" s="30" t="str">
        <f>IFERROR(__xludf.DUMMYFUNCTION("""COMPUTED_VALUE"""),"Premier")</f>
        <v>Premier</v>
      </c>
      <c r="D604" s="30" t="str">
        <f>IFERROR(__xludf.DUMMYFUNCTION("""COMPUTED_VALUE"""),"Old Heads")</f>
        <v>Old Heads</v>
      </c>
      <c r="E604" s="30" t="str">
        <f>IFERROR(__xludf.DUMMYFUNCTION("""COMPUTED_VALUE"""),"The Hood")</f>
        <v>The Hood</v>
      </c>
      <c r="F604" s="30" t="str">
        <f>IFERROR(__xludf.DUMMYFUNCTION("""COMPUTED_VALUE"""),"N/A")</f>
        <v>N/A</v>
      </c>
      <c r="G604" s="92">
        <f>IFERROR(__xludf.DUMMYFUNCTION("""COMPUTED_VALUE"""),50.596590754292556)</f>
        <v>50.59659075</v>
      </c>
    </row>
    <row r="605">
      <c r="A605" s="30" t="str">
        <f>IFERROR(__xludf.DUMMYFUNCTION("""COMPUTED_VALUE"""),"RSC004370")</f>
        <v>RSC004370</v>
      </c>
      <c r="B605" s="30" t="str">
        <f>IFERROR(__xludf.DUMMYFUNCTION("""COMPUTED_VALUE"""),"Nightfang")</f>
        <v>Nightfang</v>
      </c>
      <c r="C605" s="30" t="str">
        <f>IFERROR(__xludf.DUMMYFUNCTION("""COMPUTED_VALUE"""),"Premier")</f>
        <v>Premier</v>
      </c>
      <c r="D605" s="30" t="str">
        <f>IFERROR(__xludf.DUMMYFUNCTION("""COMPUTED_VALUE"""),"Old Heads")</f>
        <v>Old Heads</v>
      </c>
      <c r="E605" s="30" t="str">
        <f>IFERROR(__xludf.DUMMYFUNCTION("""COMPUTED_VALUE"""),"The Hood")</f>
        <v>The Hood</v>
      </c>
      <c r="F605" s="30" t="str">
        <f>IFERROR(__xludf.DUMMYFUNCTION("""COMPUTED_VALUE"""),"N/A")</f>
        <v>N/A</v>
      </c>
      <c r="G605" s="92">
        <f>IFERROR(__xludf.DUMMYFUNCTION("""COMPUTED_VALUE"""),53.782199616461796)</f>
        <v>53.78219962</v>
      </c>
    </row>
    <row r="606">
      <c r="A606" s="30" t="str">
        <f>IFERROR(__xludf.DUMMYFUNCTION("""COMPUTED_VALUE"""),"RSC001214")</f>
        <v>RSC001214</v>
      </c>
      <c r="B606" s="30" t="str">
        <f>IFERROR(__xludf.DUMMYFUNCTION("""COMPUTED_VALUE"""),"Corrupt")</f>
        <v>Corrupt</v>
      </c>
      <c r="C606" s="30" t="str">
        <f>IFERROR(__xludf.DUMMYFUNCTION("""COMPUTED_VALUE"""),"Premier")</f>
        <v>Premier</v>
      </c>
      <c r="D606" s="30" t="str">
        <f>IFERROR(__xludf.DUMMYFUNCTION("""COMPUTED_VALUE"""),"Interstellar")</f>
        <v>Interstellar</v>
      </c>
      <c r="E606" s="30" t="str">
        <f>IFERROR(__xludf.DUMMYFUNCTION("""COMPUTED_VALUE"""),"Event Horizon")</f>
        <v>Event Horizon</v>
      </c>
      <c r="F606" s="30" t="str">
        <f>IFERROR(__xludf.DUMMYFUNCTION("""COMPUTED_VALUE"""),"N/A")</f>
        <v>N/A</v>
      </c>
      <c r="G606" s="92">
        <f>IFERROR(__xludf.DUMMYFUNCTION("""COMPUTED_VALUE"""),37.50867365275697)</f>
        <v>37.50867365</v>
      </c>
    </row>
    <row r="607">
      <c r="A607" s="30" t="str">
        <f>IFERROR(__xludf.DUMMYFUNCTION("""COMPUTED_VALUE"""),"RSC007819")</f>
        <v>RSC007819</v>
      </c>
      <c r="B607" s="30" t="str">
        <f>IFERROR(__xludf.DUMMYFUNCTION("""COMPUTED_VALUE"""),"DivineRL_ TTV")</f>
        <v>DivineRL_ TTV</v>
      </c>
      <c r="C607" s="30" t="str">
        <f>IFERROR(__xludf.DUMMYFUNCTION("""COMPUTED_VALUE"""),"Premier")</f>
        <v>Premier</v>
      </c>
      <c r="D607" s="30" t="str">
        <f>IFERROR(__xludf.DUMMYFUNCTION("""COMPUTED_VALUE"""),"Interstellar")</f>
        <v>Interstellar</v>
      </c>
      <c r="E607" s="30" t="str">
        <f>IFERROR(__xludf.DUMMYFUNCTION("""COMPUTED_VALUE"""),"Event Horizon")</f>
        <v>Event Horizon</v>
      </c>
      <c r="F607" s="30" t="str">
        <f>IFERROR(__xludf.DUMMYFUNCTION("""COMPUTED_VALUE"""),"N/A")</f>
        <v>N/A</v>
      </c>
      <c r="G607" s="92">
        <f>IFERROR(__xludf.DUMMYFUNCTION("""COMPUTED_VALUE"""),55.72241036557527)</f>
        <v>55.72241037</v>
      </c>
    </row>
    <row r="608">
      <c r="A608" s="30" t="str">
        <f>IFERROR(__xludf.DUMMYFUNCTION("""COMPUTED_VALUE"""),"RSC003334")</f>
        <v>RSC003334</v>
      </c>
      <c r="B608" s="30" t="str">
        <f>IFERROR(__xludf.DUMMYFUNCTION("""COMPUTED_VALUE"""),"hawk rl")</f>
        <v>hawk rl</v>
      </c>
      <c r="C608" s="30" t="str">
        <f>IFERROR(__xludf.DUMMYFUNCTION("""COMPUTED_VALUE"""),"Premier")</f>
        <v>Premier</v>
      </c>
      <c r="D608" s="30" t="str">
        <f>IFERROR(__xludf.DUMMYFUNCTION("""COMPUTED_VALUE"""),"Interstellar")</f>
        <v>Interstellar</v>
      </c>
      <c r="E608" s="30" t="str">
        <f>IFERROR(__xludf.DUMMYFUNCTION("""COMPUTED_VALUE"""),"Event Horizon")</f>
        <v>Event Horizon</v>
      </c>
      <c r="F608" s="30" t="str">
        <f>IFERROR(__xludf.DUMMYFUNCTION("""COMPUTED_VALUE"""),"N/A")</f>
        <v>N/A</v>
      </c>
      <c r="G608" s="92">
        <f>IFERROR(__xludf.DUMMYFUNCTION("""COMPUTED_VALUE"""),37.68091514082372)</f>
        <v>37.68091514</v>
      </c>
    </row>
    <row r="609">
      <c r="A609" s="30" t="str">
        <f>IFERROR(__xludf.DUMMYFUNCTION("""COMPUTED_VALUE"""),"RSC007460")</f>
        <v>RSC007460</v>
      </c>
      <c r="B609" s="30" t="str">
        <f>IFERROR(__xludf.DUMMYFUNCTION("""COMPUTED_VALUE"""),"mogii")</f>
        <v>mogii</v>
      </c>
      <c r="C609" s="30" t="str">
        <f>IFERROR(__xludf.DUMMYFUNCTION("""COMPUTED_VALUE"""),"Premier")</f>
        <v>Premier</v>
      </c>
      <c r="D609" s="30" t="str">
        <f>IFERROR(__xludf.DUMMYFUNCTION("""COMPUTED_VALUE"""),"Gummy Bears")</f>
        <v>Gummy Bears</v>
      </c>
      <c r="E609" s="30" t="str">
        <f>IFERROR(__xludf.DUMMYFUNCTION("""COMPUTED_VALUE"""),"The Bear Den")</f>
        <v>The Bear Den</v>
      </c>
      <c r="F609" s="30" t="str">
        <f>IFERROR(__xludf.DUMMYFUNCTION("""COMPUTED_VALUE"""),"N/A")</f>
        <v>N/A</v>
      </c>
      <c r="G609" s="92">
        <f>IFERROR(__xludf.DUMMYFUNCTION("""COMPUTED_VALUE"""),75.61339930523934)</f>
        <v>75.61339931</v>
      </c>
    </row>
    <row r="610">
      <c r="A610" s="30" t="str">
        <f>IFERROR(__xludf.DUMMYFUNCTION("""COMPUTED_VALUE"""),"RSC007450")</f>
        <v>RSC007450</v>
      </c>
      <c r="B610" s="30" t="str">
        <f>IFERROR(__xludf.DUMMYFUNCTION("""COMPUTED_VALUE"""),"kev")</f>
        <v>kev</v>
      </c>
      <c r="C610" s="30" t="str">
        <f>IFERROR(__xludf.DUMMYFUNCTION("""COMPUTED_VALUE"""),"Premier")</f>
        <v>Premier</v>
      </c>
      <c r="D610" s="30" t="str">
        <f>IFERROR(__xludf.DUMMYFUNCTION("""COMPUTED_VALUE"""),"Gummy Bears")</f>
        <v>Gummy Bears</v>
      </c>
      <c r="E610" s="30" t="str">
        <f>IFERROR(__xludf.DUMMYFUNCTION("""COMPUTED_VALUE"""),"The Bear Den")</f>
        <v>The Bear Den</v>
      </c>
      <c r="F610" s="30" t="str">
        <f>IFERROR(__xludf.DUMMYFUNCTION("""COMPUTED_VALUE"""),"N/A")</f>
        <v>N/A</v>
      </c>
      <c r="G610" s="92">
        <f>IFERROR(__xludf.DUMMYFUNCTION("""COMPUTED_VALUE"""),53.835902357169836)</f>
        <v>53.83590236</v>
      </c>
    </row>
    <row r="611">
      <c r="A611" s="30" t="str">
        <f>IFERROR(__xludf.DUMMYFUNCTION("""COMPUTED_VALUE"""),"RSC007569")</f>
        <v>RSC007569</v>
      </c>
      <c r="B611" s="30" t="str">
        <f>IFERROR(__xludf.DUMMYFUNCTION("""COMPUTED_VALUE"""),"newo")</f>
        <v>newo</v>
      </c>
      <c r="C611" s="30" t="str">
        <f>IFERROR(__xludf.DUMMYFUNCTION("""COMPUTED_VALUE"""),"Premier")</f>
        <v>Premier</v>
      </c>
      <c r="D611" s="30" t="str">
        <f>IFERROR(__xludf.DUMMYFUNCTION("""COMPUTED_VALUE"""),"Gummy Bears")</f>
        <v>Gummy Bears</v>
      </c>
      <c r="E611" s="30" t="str">
        <f>IFERROR(__xludf.DUMMYFUNCTION("""COMPUTED_VALUE"""),"The Bear Den")</f>
        <v>The Bear Den</v>
      </c>
      <c r="F611" s="30" t="str">
        <f>IFERROR(__xludf.DUMMYFUNCTION("""COMPUTED_VALUE"""),"N/A")</f>
        <v>N/A</v>
      </c>
      <c r="G611" s="92">
        <f>IFERROR(__xludf.DUMMYFUNCTION("""COMPUTED_VALUE"""),39.77186799801907)</f>
        <v>39.771868</v>
      </c>
    </row>
    <row r="612">
      <c r="A612" s="30" t="str">
        <f>IFERROR(__xludf.DUMMYFUNCTION("""COMPUTED_VALUE"""),"RSC000750")</f>
        <v>RSC000750</v>
      </c>
      <c r="B612" s="30" t="str">
        <f>IFERROR(__xludf.DUMMYFUNCTION("""COMPUTED_VALUE"""),"Jatt")</f>
        <v>Jatt</v>
      </c>
      <c r="C612" s="30" t="str">
        <f>IFERROR(__xludf.DUMMYFUNCTION("""COMPUTED_VALUE"""),"Premier")</f>
        <v>Premier</v>
      </c>
      <c r="D612" s="30" t="str">
        <f>IFERROR(__xludf.DUMMYFUNCTION("""COMPUTED_VALUE"""),"Crooked Capos")</f>
        <v>Crooked Capos</v>
      </c>
      <c r="E612" s="30" t="str">
        <f>IFERROR(__xludf.DUMMYFUNCTION("""COMPUTED_VALUE"""),"The Syndicate")</f>
        <v>The Syndicate</v>
      </c>
      <c r="F612" s="30" t="str">
        <f>IFERROR(__xludf.DUMMYFUNCTION("""COMPUTED_VALUE"""),"N/A")</f>
        <v>N/A</v>
      </c>
      <c r="G612" s="92">
        <f>IFERROR(__xludf.DUMMYFUNCTION("""COMPUTED_VALUE"""),32.5238340279746)</f>
        <v>32.52383403</v>
      </c>
    </row>
    <row r="613">
      <c r="A613" s="30" t="str">
        <f>IFERROR(__xludf.DUMMYFUNCTION("""COMPUTED_VALUE"""),"RSC001977")</f>
        <v>RSC001977</v>
      </c>
      <c r="B613" s="30" t="str">
        <f>IFERROR(__xludf.DUMMYFUNCTION("""COMPUTED_VALUE"""),"LaMelo Ball")</f>
        <v>LaMelo Ball</v>
      </c>
      <c r="C613" s="30" t="str">
        <f>IFERROR(__xludf.DUMMYFUNCTION("""COMPUTED_VALUE"""),"Premier")</f>
        <v>Premier</v>
      </c>
      <c r="D613" s="30" t="str">
        <f>IFERROR(__xludf.DUMMYFUNCTION("""COMPUTED_VALUE"""),"Capybaras
Interstellar
Gummy Bears")</f>
        <v>Capybaras
Interstellar
Gummy Bears</v>
      </c>
      <c r="E613" s="30" t="str">
        <f>IFERROR(__xludf.DUMMYFUNCTION("""COMPUTED_VALUE"""),"The Jungle
Event Horizon
The Bear Den")</f>
        <v>The Jungle
Event Horizon
The Bear Den</v>
      </c>
      <c r="F613" s="30" t="str">
        <f>IFERROR(__xludf.DUMMYFUNCTION("""COMPUTED_VALUE"""),"N/A")</f>
        <v>N/A</v>
      </c>
      <c r="G613" s="92">
        <f>IFERROR(__xludf.DUMMYFUNCTION("""COMPUTED_VALUE"""),40.03020331026519)</f>
        <v>40.03020331</v>
      </c>
    </row>
    <row r="614">
      <c r="A614" s="30" t="str">
        <f>IFERROR(__xludf.DUMMYFUNCTION("""COMPUTED_VALUE"""),"RSC000672")</f>
        <v>RSC000672</v>
      </c>
      <c r="B614" s="30" t="str">
        <f>IFERROR(__xludf.DUMMYFUNCTION("""COMPUTED_VALUE"""),"Feathers McGraw")</f>
        <v>Feathers McGraw</v>
      </c>
      <c r="C614" s="30" t="str">
        <f>IFERROR(__xludf.DUMMYFUNCTION("""COMPUTED_VALUE"""),"Premier")</f>
        <v>Premier</v>
      </c>
      <c r="D614" s="30" t="str">
        <f>IFERROR(__xludf.DUMMYFUNCTION("""COMPUTED_VALUE"""),"Hurricanes")</f>
        <v>Hurricanes</v>
      </c>
      <c r="E614" s="30" t="str">
        <f>IFERROR(__xludf.DUMMYFUNCTION("""COMPUTED_VALUE"""),"Storm")</f>
        <v>Storm</v>
      </c>
      <c r="F614" s="30" t="str">
        <f>IFERROR(__xludf.DUMMYFUNCTION("""COMPUTED_VALUE"""),"N/A")</f>
        <v>N/A</v>
      </c>
      <c r="G614" s="92">
        <f>IFERROR(__xludf.DUMMYFUNCTION("""COMPUTED_VALUE"""),54.64413503313505)</f>
        <v>54.64413503</v>
      </c>
    </row>
    <row r="615">
      <c r="A615" s="30" t="str">
        <f>IFERROR(__xludf.DUMMYFUNCTION("""COMPUTED_VALUE"""),"RSC003749")</f>
        <v>RSC003749</v>
      </c>
      <c r="B615" s="30" t="str">
        <f>IFERROR(__xludf.DUMMYFUNCTION("""COMPUTED_VALUE"""),"Rule")</f>
        <v>Rule</v>
      </c>
      <c r="C615" s="30" t="str">
        <f>IFERROR(__xludf.DUMMYFUNCTION("""COMPUTED_VALUE"""),"Premier")</f>
        <v>Premier</v>
      </c>
      <c r="D615" s="30" t="str">
        <f>IFERROR(__xludf.DUMMYFUNCTION("""COMPUTED_VALUE"""),"Fairies")</f>
        <v>Fairies</v>
      </c>
      <c r="E615" s="30" t="str">
        <f>IFERROR(__xludf.DUMMYFUNCTION("""COMPUTED_VALUE"""),"The Forest")</f>
        <v>The Forest</v>
      </c>
      <c r="F615" s="30" t="str">
        <f>IFERROR(__xludf.DUMMYFUNCTION("""COMPUTED_VALUE"""),"N/A")</f>
        <v>N/A</v>
      </c>
      <c r="G615" s="92">
        <f>IFERROR(__xludf.DUMMYFUNCTION("""COMPUTED_VALUE"""),25.190626133755732)</f>
        <v>25.19062613</v>
      </c>
    </row>
    <row r="616">
      <c r="A616" s="30" t="str">
        <f>IFERROR(__xludf.DUMMYFUNCTION("""COMPUTED_VALUE"""),"RSC004924")</f>
        <v>RSC004924</v>
      </c>
      <c r="B616" s="30" t="str">
        <f>IFERROR(__xludf.DUMMYFUNCTION("""COMPUTED_VALUE"""),"comet")</f>
        <v>comet</v>
      </c>
      <c r="C616" s="30" t="str">
        <f>IFERROR(__xludf.DUMMYFUNCTION("""COMPUTED_VALUE"""),"Premier")</f>
        <v>Premier</v>
      </c>
      <c r="D616" s="30" t="str">
        <f>IFERROR(__xludf.DUMMYFUNCTION("""COMPUTED_VALUE"""),"Excavators")</f>
        <v>Excavators</v>
      </c>
      <c r="E616" s="30" t="str">
        <f>IFERROR(__xludf.DUMMYFUNCTION("""COMPUTED_VALUE"""),"Road Work Ahead")</f>
        <v>Road Work Ahead</v>
      </c>
      <c r="F616" s="30" t="str">
        <f>IFERROR(__xludf.DUMMYFUNCTION("""COMPUTED_VALUE"""),"N/A")</f>
        <v>N/A</v>
      </c>
      <c r="G616" s="92">
        <f>IFERROR(__xludf.DUMMYFUNCTION("""COMPUTED_VALUE"""),57.45508678172544)</f>
        <v>57.45508678</v>
      </c>
    </row>
    <row r="617">
      <c r="A617" s="30" t="str">
        <f>IFERROR(__xludf.DUMMYFUNCTION("""COMPUTED_VALUE"""),"RSC007541")</f>
        <v>RSC007541</v>
      </c>
      <c r="B617" s="30" t="str">
        <f>IFERROR(__xludf.DUMMYFUNCTION("""COMPUTED_VALUE"""),"Water RL")</f>
        <v>Water RL</v>
      </c>
      <c r="C617" s="30" t="str">
        <f>IFERROR(__xludf.DUMMYFUNCTION("""COMPUTED_VALUE"""),"Premier")</f>
        <v>Premier</v>
      </c>
      <c r="D617" s="30" t="str">
        <f>IFERROR(__xludf.DUMMYFUNCTION("""COMPUTED_VALUE"""),"Interstellar")</f>
        <v>Interstellar</v>
      </c>
      <c r="E617" s="30" t="str">
        <f>IFERROR(__xludf.DUMMYFUNCTION("""COMPUTED_VALUE"""),"Event Horizon")</f>
        <v>Event Horizon</v>
      </c>
      <c r="F617" s="30" t="str">
        <f>IFERROR(__xludf.DUMMYFUNCTION("""COMPUTED_VALUE"""),"N/A")</f>
        <v>N/A</v>
      </c>
      <c r="G617" s="92">
        <f>IFERROR(__xludf.DUMMYFUNCTION("""COMPUTED_VALUE"""),66.31781538285337)</f>
        <v>66.31781538</v>
      </c>
    </row>
    <row r="618">
      <c r="A618" s="30" t="str">
        <f>IFERROR(__xludf.DUMMYFUNCTION("""COMPUTED_VALUE"""),"RSC007721")</f>
        <v>RSC007721</v>
      </c>
      <c r="B618" s="30" t="str">
        <f>IFERROR(__xludf.DUMMYFUNCTION("""COMPUTED_VALUE"""),"Ace!")</f>
        <v>Ace!</v>
      </c>
      <c r="C618" s="30" t="str">
        <f>IFERROR(__xludf.DUMMYFUNCTION("""COMPUTED_VALUE"""),"Premier")</f>
        <v>Premier</v>
      </c>
      <c r="D618" s="30" t="str">
        <f>IFERROR(__xludf.DUMMYFUNCTION("""COMPUTED_VALUE"""),"Gummy Bears")</f>
        <v>Gummy Bears</v>
      </c>
      <c r="E618" s="30" t="str">
        <f>IFERROR(__xludf.DUMMYFUNCTION("""COMPUTED_VALUE"""),"The Bear Den")</f>
        <v>The Bear Den</v>
      </c>
      <c r="F618" s="30" t="str">
        <f>IFERROR(__xludf.DUMMYFUNCTION("""COMPUTED_VALUE"""),"N/A")</f>
        <v>N/A</v>
      </c>
      <c r="G618" s="92">
        <f>IFERROR(__xludf.DUMMYFUNCTION("""COMPUTED_VALUE"""),50.540081771498684)</f>
        <v>50.54008177</v>
      </c>
    </row>
    <row r="619">
      <c r="A619" s="30" t="str">
        <f>IFERROR(__xludf.DUMMYFUNCTION("""COMPUTED_VALUE"""),"RSC004810")</f>
        <v>RSC004810</v>
      </c>
      <c r="B619" s="30" t="str">
        <f>IFERROR(__xludf.DUMMYFUNCTION("""COMPUTED_VALUE"""),"feed.")</f>
        <v>feed.</v>
      </c>
      <c r="C619" s="30" t="str">
        <f>IFERROR(__xludf.DUMMYFUNCTION("""COMPUTED_VALUE"""),"Premier")</f>
        <v>Premier</v>
      </c>
      <c r="D619" s="30" t="str">
        <f>IFERROR(__xludf.DUMMYFUNCTION("""COMPUTED_VALUE"""),"Feta Forgers")</f>
        <v>Feta Forgers</v>
      </c>
      <c r="E619" s="30" t="str">
        <f>IFERROR(__xludf.DUMMYFUNCTION("""COMPUTED_VALUE"""),"Cheese Guild")</f>
        <v>Cheese Guild</v>
      </c>
      <c r="F619" s="30" t="str">
        <f>IFERROR(__xludf.DUMMYFUNCTION("""COMPUTED_VALUE"""),"N/A")</f>
        <v>N/A</v>
      </c>
      <c r="G619" s="92">
        <f>IFERROR(__xludf.DUMMYFUNCTION("""COMPUTED_VALUE"""),4.608608224444453)</f>
        <v>4.608608224</v>
      </c>
    </row>
    <row r="620">
      <c r="A620" s="30" t="str">
        <f>IFERROR(__xludf.DUMMYFUNCTION("""COMPUTED_VALUE"""),"RSC005170")</f>
        <v>RSC005170</v>
      </c>
      <c r="B620" s="30" t="str">
        <f>IFERROR(__xludf.DUMMYFUNCTION("""COMPUTED_VALUE"""),"FrenchyNF")</f>
        <v>FrenchyNF</v>
      </c>
      <c r="C620" s="30" t="str">
        <f>IFERROR(__xludf.DUMMYFUNCTION("""COMPUTED_VALUE"""),"Premier")</f>
        <v>Premier</v>
      </c>
      <c r="D620" s="30" t="str">
        <f>IFERROR(__xludf.DUMMYFUNCTION("""COMPUTED_VALUE"""),"Super Clusters")</f>
        <v>Super Clusters</v>
      </c>
      <c r="E620" s="30" t="str">
        <f>IFERROR(__xludf.DUMMYFUNCTION("""COMPUTED_VALUE"""),"The Cosmos")</f>
        <v>The Cosmos</v>
      </c>
      <c r="F620" s="30" t="str">
        <f>IFERROR(__xludf.DUMMYFUNCTION("""COMPUTED_VALUE"""),"N/A")</f>
        <v>N/A</v>
      </c>
      <c r="G620" s="92">
        <f>IFERROR(__xludf.DUMMYFUNCTION("""COMPUTED_VALUE"""),49.98172768837443)</f>
        <v>49.98172769</v>
      </c>
    </row>
    <row r="621">
      <c r="A621" s="30" t="str">
        <f>IFERROR(__xludf.DUMMYFUNCTION("""COMPUTED_VALUE"""),"RSC007471")</f>
        <v>RSC007471</v>
      </c>
      <c r="B621" s="30" t="str">
        <f>IFERROR(__xludf.DUMMYFUNCTION("""COMPUTED_VALUE"""),"ha ha boo.")</f>
        <v>ha ha boo.</v>
      </c>
      <c r="C621" s="30" t="str">
        <f>IFERROR(__xludf.DUMMYFUNCTION("""COMPUTED_VALUE"""),"Premier")</f>
        <v>Premier</v>
      </c>
      <c r="D621" s="30" t="str">
        <f>IFERROR(__xludf.DUMMYFUNCTION("""COMPUTED_VALUE"""),"Feta Forgers")</f>
        <v>Feta Forgers</v>
      </c>
      <c r="E621" s="30" t="str">
        <f>IFERROR(__xludf.DUMMYFUNCTION("""COMPUTED_VALUE"""),"Cheese Guild")</f>
        <v>Cheese Guild</v>
      </c>
      <c r="F621" s="30" t="str">
        <f>IFERROR(__xludf.DUMMYFUNCTION("""COMPUTED_VALUE"""),"N/A")</f>
        <v>N/A</v>
      </c>
      <c r="G621" s="92">
        <f>IFERROR(__xludf.DUMMYFUNCTION("""COMPUTED_VALUE"""),28.52327178301902)</f>
        <v>28.52327178</v>
      </c>
    </row>
    <row r="622">
      <c r="A622" s="30" t="str">
        <f>IFERROR(__xludf.DUMMYFUNCTION("""COMPUTED_VALUE"""),"RSC001605")</f>
        <v>RSC001605</v>
      </c>
      <c r="B622" s="30" t="str">
        <f>IFERROR(__xludf.DUMMYFUNCTION("""COMPUTED_VALUE"""),"Reeves")</f>
        <v>Reeves</v>
      </c>
      <c r="C622" s="30" t="str">
        <f>IFERROR(__xludf.DUMMYFUNCTION("""COMPUTED_VALUE"""),"Premier")</f>
        <v>Premier</v>
      </c>
      <c r="D622" s="30" t="str">
        <f>IFERROR(__xludf.DUMMYFUNCTION("""COMPUTED_VALUE"""),"Crooked Capos")</f>
        <v>Crooked Capos</v>
      </c>
      <c r="E622" s="30" t="str">
        <f>IFERROR(__xludf.DUMMYFUNCTION("""COMPUTED_VALUE"""),"The Syndicate")</f>
        <v>The Syndicate</v>
      </c>
      <c r="F622" s="30" t="str">
        <f>IFERROR(__xludf.DUMMYFUNCTION("""COMPUTED_VALUE"""),"N/A")</f>
        <v>N/A</v>
      </c>
      <c r="G622" s="92">
        <f>IFERROR(__xludf.DUMMYFUNCTION("""COMPUTED_VALUE"""),61.971213924115375)</f>
        <v>61.97121392</v>
      </c>
    </row>
    <row r="623">
      <c r="A623" s="30" t="str">
        <f>IFERROR(__xludf.DUMMYFUNCTION("""COMPUTED_VALUE"""),"RSC000330")</f>
        <v>RSC000330</v>
      </c>
      <c r="B623" s="30" t="str">
        <f>IFERROR(__xludf.DUMMYFUNCTION("""COMPUTED_VALUE"""),"Infinite")</f>
        <v>Infinite</v>
      </c>
      <c r="C623" s="30" t="str">
        <f>IFERROR(__xludf.DUMMYFUNCTION("""COMPUTED_VALUE"""),"Premier")</f>
        <v>Premier</v>
      </c>
      <c r="D623" s="30" t="str">
        <f>IFERROR(__xludf.DUMMYFUNCTION("""COMPUTED_VALUE"""),"Interstellar")</f>
        <v>Interstellar</v>
      </c>
      <c r="E623" s="30" t="str">
        <f>IFERROR(__xludf.DUMMYFUNCTION("""COMPUTED_VALUE"""),"Event Horizon")</f>
        <v>Event Horizon</v>
      </c>
      <c r="F623" s="30" t="str">
        <f>IFERROR(__xludf.DUMMYFUNCTION("""COMPUTED_VALUE"""),"N/A")</f>
        <v>N/A</v>
      </c>
      <c r="G623" s="92">
        <f>IFERROR(__xludf.DUMMYFUNCTION("""COMPUTED_VALUE"""),5.997171123614713)</f>
        <v>5.997171124</v>
      </c>
    </row>
    <row r="624">
      <c r="A624" s="30" t="str">
        <f>IFERROR(__xludf.DUMMYFUNCTION("""COMPUTED_VALUE"""),"RSC005340")</f>
        <v>RSC005340</v>
      </c>
      <c r="B624" s="30" t="str">
        <f>IFERROR(__xludf.DUMMYFUNCTION("""COMPUTED_VALUE"""),"Mystikal")</f>
        <v>Mystikal</v>
      </c>
      <c r="C624" s="30" t="str">
        <f>IFERROR(__xludf.DUMMYFUNCTION("""COMPUTED_VALUE"""),"Premier")</f>
        <v>Premier</v>
      </c>
      <c r="D624" s="30" t="str">
        <f>IFERROR(__xludf.DUMMYFUNCTION("""COMPUTED_VALUE"""),"Capybaras")</f>
        <v>Capybaras</v>
      </c>
      <c r="E624" s="30" t="str">
        <f>IFERROR(__xludf.DUMMYFUNCTION("""COMPUTED_VALUE"""),"The Jungle")</f>
        <v>The Jungle</v>
      </c>
      <c r="F624" s="30" t="str">
        <f>IFERROR(__xludf.DUMMYFUNCTION("""COMPUTED_VALUE"""),"N/A")</f>
        <v>N/A</v>
      </c>
      <c r="G624" s="92">
        <f>IFERROR(__xludf.DUMMYFUNCTION("""COMPUTED_VALUE"""),13.146822767188922)</f>
        <v>13.14682277</v>
      </c>
    </row>
    <row r="625">
      <c r="A625" s="30" t="str">
        <f>IFERROR(__xludf.DUMMYFUNCTION("""COMPUTED_VALUE"""),"RSC005187")</f>
        <v>RSC005187</v>
      </c>
      <c r="B625" s="30" t="str">
        <f>IFERROR(__xludf.DUMMYFUNCTION("""COMPUTED_VALUE"""),"Wallace")</f>
        <v>Wallace</v>
      </c>
      <c r="C625" s="30" t="str">
        <f>IFERROR(__xludf.DUMMYFUNCTION("""COMPUTED_VALUE"""),"Premier")</f>
        <v>Premier</v>
      </c>
      <c r="D625" s="30" t="str">
        <f>IFERROR(__xludf.DUMMYFUNCTION("""COMPUTED_VALUE"""),"Old Heads")</f>
        <v>Old Heads</v>
      </c>
      <c r="E625" s="30" t="str">
        <f>IFERROR(__xludf.DUMMYFUNCTION("""COMPUTED_VALUE"""),"The Hood")</f>
        <v>The Hood</v>
      </c>
      <c r="F625" s="30" t="str">
        <f>IFERROR(__xludf.DUMMYFUNCTION("""COMPUTED_VALUE"""),"N/A")</f>
        <v>N/A</v>
      </c>
      <c r="G625" s="92">
        <f>IFERROR(__xludf.DUMMYFUNCTION("""COMPUTED_VALUE"""),35.88761955390778)</f>
        <v>35.88761955</v>
      </c>
    </row>
    <row r="626">
      <c r="A626" s="30" t="str">
        <f>IFERROR(__xludf.DUMMYFUNCTION("""COMPUTED_VALUE"""),"RSC007691")</f>
        <v>RSC007691</v>
      </c>
      <c r="B626" s="30" t="str">
        <f>IFERROR(__xludf.DUMMYFUNCTION("""COMPUTED_VALUE"""),"exy")</f>
        <v>exy</v>
      </c>
      <c r="C626" s="30" t="str">
        <f>IFERROR(__xludf.DUMMYFUNCTION("""COMPUTED_VALUE"""),"Premier")</f>
        <v>Premier</v>
      </c>
      <c r="D626" s="30" t="str">
        <f>IFERROR(__xludf.DUMMYFUNCTION("""COMPUTED_VALUE"""),"Fairies")</f>
        <v>Fairies</v>
      </c>
      <c r="E626" s="30" t="str">
        <f>IFERROR(__xludf.DUMMYFUNCTION("""COMPUTED_VALUE"""),"The Forest")</f>
        <v>The Forest</v>
      </c>
      <c r="F626" s="30" t="str">
        <f>IFERROR(__xludf.DUMMYFUNCTION("""COMPUTED_VALUE"""),"N/A")</f>
        <v>N/A</v>
      </c>
      <c r="G626" s="92">
        <f>IFERROR(__xludf.DUMMYFUNCTION("""COMPUTED_VALUE"""),25.630037858378344)</f>
        <v>25.63003786</v>
      </c>
    </row>
    <row r="627">
      <c r="A627" s="30" t="str">
        <f>IFERROR(__xludf.DUMMYFUNCTION("""COMPUTED_VALUE"""),"RSC002542")</f>
        <v>RSC002542</v>
      </c>
      <c r="B627" s="30" t="str">
        <f>IFERROR(__xludf.DUMMYFUNCTION("""COMPUTED_VALUE"""),"wicked.")</f>
        <v>wicked.</v>
      </c>
      <c r="C627" s="30" t="str">
        <f>IFERROR(__xludf.DUMMYFUNCTION("""COMPUTED_VALUE"""),"Premier")</f>
        <v>Premier</v>
      </c>
      <c r="D627" s="30" t="str">
        <f>IFERROR(__xludf.DUMMYFUNCTION("""COMPUTED_VALUE"""),"Fairies")</f>
        <v>Fairies</v>
      </c>
      <c r="E627" s="30" t="str">
        <f>IFERROR(__xludf.DUMMYFUNCTION("""COMPUTED_VALUE"""),"The Forest")</f>
        <v>The Forest</v>
      </c>
      <c r="F627" s="30" t="str">
        <f>IFERROR(__xludf.DUMMYFUNCTION("""COMPUTED_VALUE"""),"N/A")</f>
        <v>N/A</v>
      </c>
      <c r="G627" s="92">
        <f>IFERROR(__xludf.DUMMYFUNCTION("""COMPUTED_VALUE"""),29.10385017726203)</f>
        <v>29.10385018</v>
      </c>
    </row>
    <row r="628">
      <c r="A628" s="30" t="str">
        <f>IFERROR(__xludf.DUMMYFUNCTION("""COMPUTED_VALUE"""),"RSC005920")</f>
        <v>RSC005920</v>
      </c>
      <c r="B628" s="30" t="str">
        <f>IFERROR(__xludf.DUMMYFUNCTION("""COMPUTED_VALUE"""),"Lavar Ball")</f>
        <v>Lavar Ball</v>
      </c>
      <c r="C628" s="30" t="str">
        <f>IFERROR(__xludf.DUMMYFUNCTION("""COMPUTED_VALUE"""),"Premier")</f>
        <v>Premier</v>
      </c>
      <c r="D628" s="30" t="str">
        <f>IFERROR(__xludf.DUMMYFUNCTION("""COMPUTED_VALUE"""),"Capybaras
Crooked Capos")</f>
        <v>Capybaras
Crooked Capos</v>
      </c>
      <c r="E628" s="30" t="str">
        <f>IFERROR(__xludf.DUMMYFUNCTION("""COMPUTED_VALUE"""),"The Jungle
The Syndicate")</f>
        <v>The Jungle
The Syndicate</v>
      </c>
      <c r="F628" s="30" t="str">
        <f>IFERROR(__xludf.DUMMYFUNCTION("""COMPUTED_VALUE"""),"N/A")</f>
        <v>N/A</v>
      </c>
      <c r="G628" s="92">
        <f>IFERROR(__xludf.DUMMYFUNCTION("""COMPUTED_VALUE"""),49.22600648865721)</f>
        <v>49.22600649</v>
      </c>
    </row>
    <row r="629">
      <c r="A629" s="30" t="str">
        <f>IFERROR(__xludf.DUMMYFUNCTION("""COMPUTED_VALUE"""),"RSC006259")</f>
        <v>RSC006259</v>
      </c>
      <c r="B629" s="30" t="str">
        <f>IFERROR(__xludf.DUMMYFUNCTION("""COMPUTED_VALUE"""),"mojomo")</f>
        <v>mojomo</v>
      </c>
      <c r="C629" s="30" t="str">
        <f>IFERROR(__xludf.DUMMYFUNCTION("""COMPUTED_VALUE"""),"Master")</f>
        <v>Master</v>
      </c>
      <c r="D629" s="30" t="str">
        <f>IFERROR(__xludf.DUMMYFUNCTION("""COMPUTED_VALUE"""),"Plinko")</f>
        <v>Plinko</v>
      </c>
      <c r="E629" s="30" t="str">
        <f>IFERROR(__xludf.DUMMYFUNCTION("""COMPUTED_VALUE"""),"Never Lucky")</f>
        <v>Never Lucky</v>
      </c>
      <c r="F629" s="30" t="str">
        <f>IFERROR(__xludf.DUMMYFUNCTION("""COMPUTED_VALUE"""),"N/A")</f>
        <v>N/A</v>
      </c>
      <c r="G629" s="92">
        <f>IFERROR(__xludf.DUMMYFUNCTION("""COMPUTED_VALUE"""),36.580760850656915)</f>
        <v>36.58076085</v>
      </c>
    </row>
    <row r="630">
      <c r="A630" s="30" t="str">
        <f>IFERROR(__xludf.DUMMYFUNCTION("""COMPUTED_VALUE"""),"RSC005109")</f>
        <v>RSC005109</v>
      </c>
      <c r="B630" s="30" t="str">
        <f>IFERROR(__xludf.DUMMYFUNCTION("""COMPUTED_VALUE"""),"delta ^_^")</f>
        <v>delta ^_^</v>
      </c>
      <c r="C630" s="30" t="str">
        <f>IFERROR(__xludf.DUMMYFUNCTION("""COMPUTED_VALUE"""),"Master")</f>
        <v>Master</v>
      </c>
      <c r="D630" s="30" t="str">
        <f>IFERROR(__xludf.DUMMYFUNCTION("""COMPUTED_VALUE"""),"Plinko")</f>
        <v>Plinko</v>
      </c>
      <c r="E630" s="30" t="str">
        <f>IFERROR(__xludf.DUMMYFUNCTION("""COMPUTED_VALUE"""),"Never Lucky")</f>
        <v>Never Lucky</v>
      </c>
      <c r="F630" s="30" t="str">
        <f>IFERROR(__xludf.DUMMYFUNCTION("""COMPUTED_VALUE"""),"N/A")</f>
        <v>N/A</v>
      </c>
      <c r="G630" s="92">
        <f>IFERROR(__xludf.DUMMYFUNCTION("""COMPUTED_VALUE"""),24.80226008214733)</f>
        <v>24.80226008</v>
      </c>
    </row>
    <row r="631">
      <c r="A631" s="30" t="str">
        <f>IFERROR(__xludf.DUMMYFUNCTION("""COMPUTED_VALUE"""),"RSC003412")</f>
        <v>RSC003412</v>
      </c>
      <c r="B631" s="30" t="str">
        <f>IFERROR(__xludf.DUMMYFUNCTION("""COMPUTED_VALUE"""),"Python")</f>
        <v>Python</v>
      </c>
      <c r="C631" s="30" t="str">
        <f>IFERROR(__xludf.DUMMYFUNCTION("""COMPUTED_VALUE"""),"Master")</f>
        <v>Master</v>
      </c>
      <c r="D631" s="30" t="str">
        <f>IFERROR(__xludf.DUMMYFUNCTION("""COMPUTED_VALUE"""),"Plinko")</f>
        <v>Plinko</v>
      </c>
      <c r="E631" s="30" t="str">
        <f>IFERROR(__xludf.DUMMYFUNCTION("""COMPUTED_VALUE"""),"Never Lucky")</f>
        <v>Never Lucky</v>
      </c>
      <c r="F631" s="30" t="str">
        <f>IFERROR(__xludf.DUMMYFUNCTION("""COMPUTED_VALUE"""),"N/A")</f>
        <v>N/A</v>
      </c>
      <c r="G631" s="92">
        <f>IFERROR(__xludf.DUMMYFUNCTION("""COMPUTED_VALUE"""),-43.153371560752745)</f>
        <v>-43.15337156</v>
      </c>
    </row>
    <row r="632">
      <c r="A632" s="30" t="str">
        <f>IFERROR(__xludf.DUMMYFUNCTION("""COMPUTED_VALUE"""),"RSC002959")</f>
        <v>RSC002959</v>
      </c>
      <c r="B632" s="30" t="str">
        <f>IFERROR(__xludf.DUMMYFUNCTION("""COMPUTED_VALUE"""),"JACKS0NTHEBOSS")</f>
        <v>JACKS0NTHEBOSS</v>
      </c>
      <c r="C632" s="30" t="str">
        <f>IFERROR(__xludf.DUMMYFUNCTION("""COMPUTED_VALUE"""),"Master")</f>
        <v>Master</v>
      </c>
      <c r="D632" s="30" t="str">
        <f>IFERROR(__xludf.DUMMYFUNCTION("""COMPUTED_VALUE"""),"Andromeda")</f>
        <v>Andromeda</v>
      </c>
      <c r="E632" s="30" t="str">
        <f>IFERROR(__xludf.DUMMYFUNCTION("""COMPUTED_VALUE"""),"The Cosmos")</f>
        <v>The Cosmos</v>
      </c>
      <c r="F632" s="30" t="str">
        <f>IFERROR(__xludf.DUMMYFUNCTION("""COMPUTED_VALUE"""),"Solar")</f>
        <v>Solar</v>
      </c>
      <c r="G632" s="92">
        <f>IFERROR(__xludf.DUMMYFUNCTION("""COMPUTED_VALUE"""),62.350983974117305)</f>
        <v>62.35098397</v>
      </c>
    </row>
    <row r="633">
      <c r="A633" s="30" t="str">
        <f>IFERROR(__xludf.DUMMYFUNCTION("""COMPUTED_VALUE"""),"RSC000381")</f>
        <v>RSC000381</v>
      </c>
      <c r="B633" s="30" t="str">
        <f>IFERROR(__xludf.DUMMYFUNCTION("""COMPUTED_VALUE"""),"Noriko")</f>
        <v>Noriko</v>
      </c>
      <c r="C633" s="30" t="str">
        <f>IFERROR(__xludf.DUMMYFUNCTION("""COMPUTED_VALUE"""),"Master")</f>
        <v>Master</v>
      </c>
      <c r="D633" s="30" t="str">
        <f>IFERROR(__xludf.DUMMYFUNCTION("""COMPUTED_VALUE"""),"Andromeda")</f>
        <v>Andromeda</v>
      </c>
      <c r="E633" s="30" t="str">
        <f>IFERROR(__xludf.DUMMYFUNCTION("""COMPUTED_VALUE"""),"The Cosmos")</f>
        <v>The Cosmos</v>
      </c>
      <c r="F633" s="30" t="str">
        <f>IFERROR(__xludf.DUMMYFUNCTION("""COMPUTED_VALUE"""),"Solar")</f>
        <v>Solar</v>
      </c>
      <c r="G633" s="92">
        <f>IFERROR(__xludf.DUMMYFUNCTION("""COMPUTED_VALUE"""),67.49587909315025)</f>
        <v>67.49587909</v>
      </c>
    </row>
    <row r="634">
      <c r="A634" s="30" t="str">
        <f>IFERROR(__xludf.DUMMYFUNCTION("""COMPUTED_VALUE"""),"RSC005220")</f>
        <v>RSC005220</v>
      </c>
      <c r="B634" s="30" t="str">
        <f>IFERROR(__xludf.DUMMYFUNCTION("""COMPUTED_VALUE"""),"Swax")</f>
        <v>Swax</v>
      </c>
      <c r="C634" s="30" t="str">
        <f>IFERROR(__xludf.DUMMYFUNCTION("""COMPUTED_VALUE"""),"Master")</f>
        <v>Master</v>
      </c>
      <c r="D634" s="30" t="str">
        <f>IFERROR(__xludf.DUMMYFUNCTION("""COMPUTED_VALUE"""),"Andromeda")</f>
        <v>Andromeda</v>
      </c>
      <c r="E634" s="30" t="str">
        <f>IFERROR(__xludf.DUMMYFUNCTION("""COMPUTED_VALUE"""),"The Cosmos")</f>
        <v>The Cosmos</v>
      </c>
      <c r="F634" s="30" t="str">
        <f>IFERROR(__xludf.DUMMYFUNCTION("""COMPUTED_VALUE"""),"Solar")</f>
        <v>Solar</v>
      </c>
      <c r="G634" s="92">
        <f>IFERROR(__xludf.DUMMYFUNCTION("""COMPUTED_VALUE"""),54.60369603818687)</f>
        <v>54.60369604</v>
      </c>
    </row>
    <row r="635">
      <c r="A635" s="30" t="str">
        <f>IFERROR(__xludf.DUMMYFUNCTION("""COMPUTED_VALUE"""),"RSC003721")</f>
        <v>RSC003721</v>
      </c>
      <c r="B635" s="30" t="str">
        <f>IFERROR(__xludf.DUMMYFUNCTION("""COMPUTED_VALUE"""),"Kyurmex.")</f>
        <v>Kyurmex.</v>
      </c>
      <c r="C635" s="30" t="str">
        <f>IFERROR(__xludf.DUMMYFUNCTION("""COMPUTED_VALUE"""),"Master")</f>
        <v>Master</v>
      </c>
      <c r="D635" s="30" t="str">
        <f>IFERROR(__xludf.DUMMYFUNCTION("""COMPUTED_VALUE"""),"Spectres")</f>
        <v>Spectres</v>
      </c>
      <c r="E635" s="30" t="str">
        <f>IFERROR(__xludf.DUMMYFUNCTION("""COMPUTED_VALUE"""),"The Monster Mash")</f>
        <v>The Monster Mash</v>
      </c>
      <c r="F635" s="30" t="str">
        <f>IFERROR(__xludf.DUMMYFUNCTION("""COMPUTED_VALUE"""),"N/A")</f>
        <v>N/A</v>
      </c>
      <c r="G635" s="92">
        <f>IFERROR(__xludf.DUMMYFUNCTION("""COMPUTED_VALUE"""),35.18710040697958)</f>
        <v>35.18710041</v>
      </c>
    </row>
    <row r="636">
      <c r="A636" s="30" t="str">
        <f>IFERROR(__xludf.DUMMYFUNCTION("""COMPUTED_VALUE"""),"RSC005625")</f>
        <v>RSC005625</v>
      </c>
      <c r="B636" s="30" t="str">
        <f>IFERROR(__xludf.DUMMYFUNCTION("""COMPUTED_VALUE"""),"aspect of hope")</f>
        <v>aspect of hope</v>
      </c>
      <c r="C636" s="30" t="str">
        <f>IFERROR(__xludf.DUMMYFUNCTION("""COMPUTED_VALUE"""),"Master")</f>
        <v>Master</v>
      </c>
      <c r="D636" s="30" t="str">
        <f>IFERROR(__xludf.DUMMYFUNCTION("""COMPUTED_VALUE"""),"Spectres")</f>
        <v>Spectres</v>
      </c>
      <c r="E636" s="30" t="str">
        <f>IFERROR(__xludf.DUMMYFUNCTION("""COMPUTED_VALUE"""),"The Monster Mash")</f>
        <v>The Monster Mash</v>
      </c>
      <c r="F636" s="30" t="str">
        <f>IFERROR(__xludf.DUMMYFUNCTION("""COMPUTED_VALUE"""),"N/A")</f>
        <v>N/A</v>
      </c>
      <c r="G636" s="92">
        <f>IFERROR(__xludf.DUMMYFUNCTION("""COMPUTED_VALUE"""),53.57945552757843)</f>
        <v>53.57945553</v>
      </c>
    </row>
    <row r="637">
      <c r="A637" s="30" t="str">
        <f>IFERROR(__xludf.DUMMYFUNCTION("""COMPUTED_VALUE"""),"RSC003031")</f>
        <v>RSC003031</v>
      </c>
      <c r="B637" s="30" t="str">
        <f>IFERROR(__xludf.DUMMYFUNCTION("""COMPUTED_VALUE"""),"Yesper")</f>
        <v>Yesper</v>
      </c>
      <c r="C637" s="30" t="str">
        <f>IFERROR(__xludf.DUMMYFUNCTION("""COMPUTED_VALUE"""),"Master")</f>
        <v>Master</v>
      </c>
      <c r="D637" s="30" t="str">
        <f>IFERROR(__xludf.DUMMYFUNCTION("""COMPUTED_VALUE"""),"Spectres")</f>
        <v>Spectres</v>
      </c>
      <c r="E637" s="30" t="str">
        <f>IFERROR(__xludf.DUMMYFUNCTION("""COMPUTED_VALUE"""),"The Monster Mash")</f>
        <v>The Monster Mash</v>
      </c>
      <c r="F637" s="30" t="str">
        <f>IFERROR(__xludf.DUMMYFUNCTION("""COMPUTED_VALUE"""),"N/A")</f>
        <v>N/A</v>
      </c>
      <c r="G637" s="92">
        <f>IFERROR(__xludf.DUMMYFUNCTION("""COMPUTED_VALUE"""),35.650173318459835)</f>
        <v>35.65017332</v>
      </c>
    </row>
    <row r="638">
      <c r="A638" s="30" t="str">
        <f>IFERROR(__xludf.DUMMYFUNCTION("""COMPUTED_VALUE"""),"RSC002476")</f>
        <v>RSC002476</v>
      </c>
      <c r="B638" s="30" t="str">
        <f>IFERROR(__xludf.DUMMYFUNCTION("""COMPUTED_VALUE"""),"Argnor")</f>
        <v>Argnor</v>
      </c>
      <c r="C638" s="30" t="str">
        <f>IFERROR(__xludf.DUMMYFUNCTION("""COMPUTED_VALUE"""),"Master")</f>
        <v>Master</v>
      </c>
      <c r="D638" s="30" t="str">
        <f>IFERROR(__xludf.DUMMYFUNCTION("""COMPUTED_VALUE"""),"Helicoprions")</f>
        <v>Helicoprions</v>
      </c>
      <c r="E638" s="30" t="str">
        <f>IFERROR(__xludf.DUMMYFUNCTION("""COMPUTED_VALUE"""),"Shark Attack")</f>
        <v>Shark Attack</v>
      </c>
      <c r="F638" s="30" t="str">
        <f>IFERROR(__xludf.DUMMYFUNCTION("""COMPUTED_VALUE"""),"N/A")</f>
        <v>N/A</v>
      </c>
      <c r="G638" s="92">
        <f>IFERROR(__xludf.DUMMYFUNCTION("""COMPUTED_VALUE"""),42.96471287372244)</f>
        <v>42.96471287</v>
      </c>
    </row>
    <row r="639">
      <c r="A639" s="30" t="str">
        <f>IFERROR(__xludf.DUMMYFUNCTION("""COMPUTED_VALUE"""),"RSC006534")</f>
        <v>RSC006534</v>
      </c>
      <c r="B639" s="30" t="str">
        <f>IFERROR(__xludf.DUMMYFUNCTION("""COMPUTED_VALUE"""),"FIN0oo")</f>
        <v>FIN0oo</v>
      </c>
      <c r="C639" s="30" t="str">
        <f>IFERROR(__xludf.DUMMYFUNCTION("""COMPUTED_VALUE"""),"Master")</f>
        <v>Master</v>
      </c>
      <c r="D639" s="30" t="str">
        <f>IFERROR(__xludf.DUMMYFUNCTION("""COMPUTED_VALUE"""),"Helicoprions")</f>
        <v>Helicoprions</v>
      </c>
      <c r="E639" s="30" t="str">
        <f>IFERROR(__xludf.DUMMYFUNCTION("""COMPUTED_VALUE"""),"Shark Attack")</f>
        <v>Shark Attack</v>
      </c>
      <c r="F639" s="30" t="str">
        <f>IFERROR(__xludf.DUMMYFUNCTION("""COMPUTED_VALUE"""),"N/A")</f>
        <v>N/A</v>
      </c>
      <c r="G639" s="92">
        <f>IFERROR(__xludf.DUMMYFUNCTION("""COMPUTED_VALUE"""),73.87718463273588)</f>
        <v>73.87718463</v>
      </c>
    </row>
    <row r="640">
      <c r="A640" s="30" t="str">
        <f>IFERROR(__xludf.DUMMYFUNCTION("""COMPUTED_VALUE"""),"RSC006405")</f>
        <v>RSC006405</v>
      </c>
      <c r="B640" s="30" t="str">
        <f>IFERROR(__xludf.DUMMYFUNCTION("""COMPUTED_VALUE"""),"Lil Panda")</f>
        <v>Lil Panda</v>
      </c>
      <c r="C640" s="30" t="str">
        <f>IFERROR(__xludf.DUMMYFUNCTION("""COMPUTED_VALUE"""),"Master")</f>
        <v>Master</v>
      </c>
      <c r="D640" s="30" t="str">
        <f>IFERROR(__xludf.DUMMYFUNCTION("""COMPUTED_VALUE"""),"Helicoprions")</f>
        <v>Helicoprions</v>
      </c>
      <c r="E640" s="30" t="str">
        <f>IFERROR(__xludf.DUMMYFUNCTION("""COMPUTED_VALUE"""),"Shark Attack")</f>
        <v>Shark Attack</v>
      </c>
      <c r="F640" s="30" t="str">
        <f>IFERROR(__xludf.DUMMYFUNCTION("""COMPUTED_VALUE"""),"N/A")</f>
        <v>N/A</v>
      </c>
      <c r="G640" s="92">
        <f>IFERROR(__xludf.DUMMYFUNCTION("""COMPUTED_VALUE"""),54.09269803530307)</f>
        <v>54.09269804</v>
      </c>
    </row>
    <row r="641">
      <c r="A641" s="30" t="str">
        <f>IFERROR(__xludf.DUMMYFUNCTION("""COMPUTED_VALUE"""),"RSC000330")</f>
        <v>RSC000330</v>
      </c>
      <c r="B641" s="30" t="str">
        <f>IFERROR(__xludf.DUMMYFUNCTION("""COMPUTED_VALUE"""),"Infinite")</f>
        <v>Infinite</v>
      </c>
      <c r="C641" s="30" t="str">
        <f>IFERROR(__xludf.DUMMYFUNCTION("""COMPUTED_VALUE"""),"Master")</f>
        <v>Master</v>
      </c>
      <c r="D641" s="30" t="str">
        <f>IFERROR(__xludf.DUMMYFUNCTION("""COMPUTED_VALUE"""),"Oblivion")</f>
        <v>Oblivion</v>
      </c>
      <c r="E641" s="30" t="str">
        <f>IFERROR(__xludf.DUMMYFUNCTION("""COMPUTED_VALUE"""),"Event Horizon")</f>
        <v>Event Horizon</v>
      </c>
      <c r="F641" s="30" t="str">
        <f>IFERROR(__xludf.DUMMYFUNCTION("""COMPUTED_VALUE"""),"N/A")</f>
        <v>N/A</v>
      </c>
      <c r="G641" s="92">
        <f>IFERROR(__xludf.DUMMYFUNCTION("""COMPUTED_VALUE"""),57.18745760076784)</f>
        <v>57.1874576</v>
      </c>
    </row>
    <row r="642">
      <c r="A642" s="30" t="str">
        <f>IFERROR(__xludf.DUMMYFUNCTION("""COMPUTED_VALUE"""),"RSC007605")</f>
        <v>RSC007605</v>
      </c>
      <c r="B642" s="30" t="str">
        <f>IFERROR(__xludf.DUMMYFUNCTION("""COMPUTED_VALUE"""),"Afterburner3375")</f>
        <v>Afterburner3375</v>
      </c>
      <c r="C642" s="30" t="str">
        <f>IFERROR(__xludf.DUMMYFUNCTION("""COMPUTED_VALUE"""),"Master")</f>
        <v>Master</v>
      </c>
      <c r="D642" s="30" t="str">
        <f>IFERROR(__xludf.DUMMYFUNCTION("""COMPUTED_VALUE"""),"Oblivion")</f>
        <v>Oblivion</v>
      </c>
      <c r="E642" s="30" t="str">
        <f>IFERROR(__xludf.DUMMYFUNCTION("""COMPUTED_VALUE"""),"Event Horizon")</f>
        <v>Event Horizon</v>
      </c>
      <c r="F642" s="30" t="str">
        <f>IFERROR(__xludf.DUMMYFUNCTION("""COMPUTED_VALUE"""),"N/A")</f>
        <v>N/A</v>
      </c>
      <c r="G642" s="92">
        <f>IFERROR(__xludf.DUMMYFUNCTION("""COMPUTED_VALUE"""),80.71110598509418)</f>
        <v>80.71110599</v>
      </c>
    </row>
    <row r="643">
      <c r="A643" s="30" t="str">
        <f>IFERROR(__xludf.DUMMYFUNCTION("""COMPUTED_VALUE"""),"RSC000618")</f>
        <v>RSC000618</v>
      </c>
      <c r="B643" s="30" t="str">
        <f>IFERROR(__xludf.DUMMYFUNCTION("""COMPUTED_VALUE"""),"Taelo")</f>
        <v>Taelo</v>
      </c>
      <c r="C643" s="30" t="str">
        <f>IFERROR(__xludf.DUMMYFUNCTION("""COMPUTED_VALUE"""),"Master")</f>
        <v>Master</v>
      </c>
      <c r="D643" s="30" t="str">
        <f>IFERROR(__xludf.DUMMYFUNCTION("""COMPUTED_VALUE"""),"Oblivion")</f>
        <v>Oblivion</v>
      </c>
      <c r="E643" s="30" t="str">
        <f>IFERROR(__xludf.DUMMYFUNCTION("""COMPUTED_VALUE"""),"Event Horizon")</f>
        <v>Event Horizon</v>
      </c>
      <c r="F643" s="30" t="str">
        <f>IFERROR(__xludf.DUMMYFUNCTION("""COMPUTED_VALUE"""),"N/A")</f>
        <v>N/A</v>
      </c>
      <c r="G643" s="92">
        <f>IFERROR(__xludf.DUMMYFUNCTION("""COMPUTED_VALUE"""),75.34533895833218)</f>
        <v>75.34533896</v>
      </c>
    </row>
    <row r="644">
      <c r="A644" s="30" t="str">
        <f>IFERROR(__xludf.DUMMYFUNCTION("""COMPUTED_VALUE"""),"RSC007565")</f>
        <v>RSC007565</v>
      </c>
      <c r="B644" s="30" t="str">
        <f>IFERROR(__xludf.DUMMYFUNCTION("""COMPUTED_VALUE"""),"AcX")</f>
        <v>AcX</v>
      </c>
      <c r="C644" s="30" t="str">
        <f>IFERROR(__xludf.DUMMYFUNCTION("""COMPUTED_VALUE"""),"Master")</f>
        <v>Master</v>
      </c>
      <c r="D644" s="30" t="str">
        <f>IFERROR(__xludf.DUMMYFUNCTION("""COMPUTED_VALUE"""),"Care Bears")</f>
        <v>Care Bears</v>
      </c>
      <c r="E644" s="30" t="str">
        <f>IFERROR(__xludf.DUMMYFUNCTION("""COMPUTED_VALUE"""),"The Bear Den")</f>
        <v>The Bear Den</v>
      </c>
      <c r="F644" s="30" t="str">
        <f>IFERROR(__xludf.DUMMYFUNCTION("""COMPUTED_VALUE"""),"N/A")</f>
        <v>N/A</v>
      </c>
      <c r="G644" s="92">
        <f>IFERROR(__xludf.DUMMYFUNCTION("""COMPUTED_VALUE"""),46.03692614749885)</f>
        <v>46.03692615</v>
      </c>
    </row>
    <row r="645">
      <c r="A645" s="30" t="str">
        <f>IFERROR(__xludf.DUMMYFUNCTION("""COMPUTED_VALUE"""),"RSC002059")</f>
        <v>RSC002059</v>
      </c>
      <c r="B645" s="30" t="str">
        <f>IFERROR(__xludf.DUMMYFUNCTION("""COMPUTED_VALUE"""),"Thermal")</f>
        <v>Thermal</v>
      </c>
      <c r="C645" s="30" t="str">
        <f>IFERROR(__xludf.DUMMYFUNCTION("""COMPUTED_VALUE"""),"Master")</f>
        <v>Master</v>
      </c>
      <c r="D645" s="30" t="str">
        <f>IFERROR(__xludf.DUMMYFUNCTION("""COMPUTED_VALUE"""),"Care Bears")</f>
        <v>Care Bears</v>
      </c>
      <c r="E645" s="30" t="str">
        <f>IFERROR(__xludf.DUMMYFUNCTION("""COMPUTED_VALUE"""),"The Bear Den")</f>
        <v>The Bear Den</v>
      </c>
      <c r="F645" s="30" t="str">
        <f>IFERROR(__xludf.DUMMYFUNCTION("""COMPUTED_VALUE"""),"N/A")</f>
        <v>N/A</v>
      </c>
      <c r="G645" s="92">
        <f>IFERROR(__xludf.DUMMYFUNCTION("""COMPUTED_VALUE"""),30.356158443084457)</f>
        <v>30.35615844</v>
      </c>
    </row>
    <row r="646">
      <c r="A646" s="30" t="str">
        <f>IFERROR(__xludf.DUMMYFUNCTION("""COMPUTED_VALUE"""),"RSC003308")</f>
        <v>RSC003308</v>
      </c>
      <c r="B646" s="30" t="str">
        <f>IFERROR(__xludf.DUMMYFUNCTION("""COMPUTED_VALUE"""),"Tman")</f>
        <v>Tman</v>
      </c>
      <c r="C646" s="30" t="str">
        <f>IFERROR(__xludf.DUMMYFUNCTION("""COMPUTED_VALUE"""),"Master")</f>
        <v>Master</v>
      </c>
      <c r="D646" s="30" t="str">
        <f>IFERROR(__xludf.DUMMYFUNCTION("""COMPUTED_VALUE"""),"Care Bears")</f>
        <v>Care Bears</v>
      </c>
      <c r="E646" s="30" t="str">
        <f>IFERROR(__xludf.DUMMYFUNCTION("""COMPUTED_VALUE"""),"The Bear Den")</f>
        <v>The Bear Den</v>
      </c>
      <c r="F646" s="30" t="str">
        <f>IFERROR(__xludf.DUMMYFUNCTION("""COMPUTED_VALUE"""),"N/A")</f>
        <v>N/A</v>
      </c>
      <c r="G646" s="92">
        <f>IFERROR(__xludf.DUMMYFUNCTION("""COMPUTED_VALUE"""),40.371636352791455)</f>
        <v>40.37163635</v>
      </c>
    </row>
    <row r="647">
      <c r="A647" s="30" t="str">
        <f>IFERROR(__xludf.DUMMYFUNCTION("""COMPUTED_VALUE"""),"RSC002944")</f>
        <v>RSC002944</v>
      </c>
      <c r="B647" s="30" t="str">
        <f>IFERROR(__xludf.DUMMYFUNCTION("""COMPUTED_VALUE"""),"PayloSoul")</f>
        <v>PayloSoul</v>
      </c>
      <c r="C647" s="30" t="str">
        <f>IFERROR(__xludf.DUMMYFUNCTION("""COMPUTED_VALUE"""),"Master")</f>
        <v>Master</v>
      </c>
      <c r="D647" s="30" t="str">
        <f>IFERROR(__xludf.DUMMYFUNCTION("""COMPUTED_VALUE"""),"The OG")</f>
        <v>The OG</v>
      </c>
      <c r="E647" s="30" t="str">
        <f>IFERROR(__xludf.DUMMYFUNCTION("""COMPUTED_VALUE"""),"The Hood")</f>
        <v>The Hood</v>
      </c>
      <c r="F647" s="30" t="str">
        <f>IFERROR(__xludf.DUMMYFUNCTION("""COMPUTED_VALUE"""),"N/A")</f>
        <v>N/A</v>
      </c>
      <c r="G647" s="92">
        <f>IFERROR(__xludf.DUMMYFUNCTION("""COMPUTED_VALUE"""),51.40628667492193)</f>
        <v>51.40628667</v>
      </c>
    </row>
    <row r="648">
      <c r="A648" s="30" t="str">
        <f>IFERROR(__xludf.DUMMYFUNCTION("""COMPUTED_VALUE"""),"RSC007067")</f>
        <v>RSC007067</v>
      </c>
      <c r="B648" s="30" t="str">
        <f>IFERROR(__xludf.DUMMYFUNCTION("""COMPUTED_VALUE"""),"ThyChad_")</f>
        <v>ThyChad_</v>
      </c>
      <c r="C648" s="30" t="str">
        <f>IFERROR(__xludf.DUMMYFUNCTION("""COMPUTED_VALUE"""),"Master")</f>
        <v>Master</v>
      </c>
      <c r="D648" s="30" t="str">
        <f>IFERROR(__xludf.DUMMYFUNCTION("""COMPUTED_VALUE"""),"The OG")</f>
        <v>The OG</v>
      </c>
      <c r="E648" s="30" t="str">
        <f>IFERROR(__xludf.DUMMYFUNCTION("""COMPUTED_VALUE"""),"The Hood")</f>
        <v>The Hood</v>
      </c>
      <c r="F648" s="30" t="str">
        <f>IFERROR(__xludf.DUMMYFUNCTION("""COMPUTED_VALUE"""),"N/A")</f>
        <v>N/A</v>
      </c>
      <c r="G648" s="92">
        <f>IFERROR(__xludf.DUMMYFUNCTION("""COMPUTED_VALUE"""),9.697594944247598)</f>
        <v>9.697594944</v>
      </c>
    </row>
    <row r="649">
      <c r="A649" s="30" t="str">
        <f>IFERROR(__xludf.DUMMYFUNCTION("""COMPUTED_VALUE"""),"RSC007412")</f>
        <v>RSC007412</v>
      </c>
      <c r="B649" s="30" t="str">
        <f>IFERROR(__xludf.DUMMYFUNCTION("""COMPUTED_VALUE"""),"spuf.")</f>
        <v>spuf.</v>
      </c>
      <c r="C649" s="30" t="str">
        <f>IFERROR(__xludf.DUMMYFUNCTION("""COMPUTED_VALUE"""),"Master")</f>
        <v>Master</v>
      </c>
      <c r="D649" s="30" t="str">
        <f>IFERROR(__xludf.DUMMYFUNCTION("""COMPUTED_VALUE"""),"Care Bears
The OG")</f>
        <v>Care Bears
The OG</v>
      </c>
      <c r="E649" s="30" t="str">
        <f>IFERROR(__xludf.DUMMYFUNCTION("""COMPUTED_VALUE"""),"The Bear Den
The Hood")</f>
        <v>The Bear Den
The Hood</v>
      </c>
      <c r="F649" s="30" t="str">
        <f>IFERROR(__xludf.DUMMYFUNCTION("""COMPUTED_VALUE"""),"N/A")</f>
        <v>N/A</v>
      </c>
      <c r="G649" s="92">
        <f>IFERROR(__xludf.DUMMYFUNCTION("""COMPUTED_VALUE"""),54.39447822856072)</f>
        <v>54.39447823</v>
      </c>
    </row>
    <row r="650">
      <c r="A650" s="30" t="str">
        <f>IFERROR(__xludf.DUMMYFUNCTION("""COMPUTED_VALUE"""),"RSC007976")</f>
        <v>RSC007976</v>
      </c>
      <c r="B650" s="30" t="str">
        <f>IFERROR(__xludf.DUMMYFUNCTION("""COMPUTED_VALUE"""),"Just Kraze")</f>
        <v>Just Kraze</v>
      </c>
      <c r="C650" s="30" t="str">
        <f>IFERROR(__xludf.DUMMYFUNCTION("""COMPUTED_VALUE"""),"Master")</f>
        <v>Master</v>
      </c>
      <c r="D650" s="30" t="str">
        <f>IFERROR(__xludf.DUMMYFUNCTION("""COMPUTED_VALUE"""),"Battle Masters")</f>
        <v>Battle Masters</v>
      </c>
      <c r="E650" s="30" t="str">
        <f>IFERROR(__xludf.DUMMYFUNCTION("""COMPUTED_VALUE"""),"Dwarf Haven")</f>
        <v>Dwarf Haven</v>
      </c>
      <c r="F650" s="30" t="str">
        <f>IFERROR(__xludf.DUMMYFUNCTION("""COMPUTED_VALUE"""),"N/A")</f>
        <v>N/A</v>
      </c>
      <c r="G650" s="92">
        <f>IFERROR(__xludf.DUMMYFUNCTION("""COMPUTED_VALUE"""),75.86434972549577)</f>
        <v>75.86434973</v>
      </c>
    </row>
    <row r="651">
      <c r="A651" s="30" t="str">
        <f>IFERROR(__xludf.DUMMYFUNCTION("""COMPUTED_VALUE"""),"RSC004717")</f>
        <v>RSC004717</v>
      </c>
      <c r="B651" s="30" t="str">
        <f>IFERROR(__xludf.DUMMYFUNCTION("""COMPUTED_VALUE"""),"slain.")</f>
        <v>slain.</v>
      </c>
      <c r="C651" s="30" t="str">
        <f>IFERROR(__xludf.DUMMYFUNCTION("""COMPUTED_VALUE"""),"Master")</f>
        <v>Master</v>
      </c>
      <c r="D651" s="30" t="str">
        <f>IFERROR(__xludf.DUMMYFUNCTION("""COMPUTED_VALUE"""),"Battle Masters")</f>
        <v>Battle Masters</v>
      </c>
      <c r="E651" s="30" t="str">
        <f>IFERROR(__xludf.DUMMYFUNCTION("""COMPUTED_VALUE"""),"Dwarf Haven")</f>
        <v>Dwarf Haven</v>
      </c>
      <c r="F651" s="30" t="str">
        <f>IFERROR(__xludf.DUMMYFUNCTION("""COMPUTED_VALUE"""),"N/A")</f>
        <v>N/A</v>
      </c>
      <c r="G651" s="92">
        <f>IFERROR(__xludf.DUMMYFUNCTION("""COMPUTED_VALUE"""),68.62505360539612)</f>
        <v>68.62505361</v>
      </c>
    </row>
    <row r="652">
      <c r="A652" s="30" t="str">
        <f>IFERROR(__xludf.DUMMYFUNCTION("""COMPUTED_VALUE"""),"RSC006408")</f>
        <v>RSC006408</v>
      </c>
      <c r="B652" s="30" t="str">
        <f>IFERROR(__xludf.DUMMYFUNCTION("""COMPUTED_VALUE"""),"Met.")</f>
        <v>Met.</v>
      </c>
      <c r="C652" s="30" t="str">
        <f>IFERROR(__xludf.DUMMYFUNCTION("""COMPUTED_VALUE"""),"Master")</f>
        <v>Master</v>
      </c>
      <c r="D652" s="30" t="str">
        <f>IFERROR(__xludf.DUMMYFUNCTION("""COMPUTED_VALUE"""),"Battle Masters")</f>
        <v>Battle Masters</v>
      </c>
      <c r="E652" s="30" t="str">
        <f>IFERROR(__xludf.DUMMYFUNCTION("""COMPUTED_VALUE"""),"Dwarf Haven")</f>
        <v>Dwarf Haven</v>
      </c>
      <c r="F652" s="30" t="str">
        <f>IFERROR(__xludf.DUMMYFUNCTION("""COMPUTED_VALUE"""),"N/A")</f>
        <v>N/A</v>
      </c>
      <c r="G652" s="92">
        <f>IFERROR(__xludf.DUMMYFUNCTION("""COMPUTED_VALUE"""),95.91171668831944)</f>
        <v>95.91171669</v>
      </c>
    </row>
    <row r="653">
      <c r="A653" s="30" t="str">
        <f>IFERROR(__xludf.DUMMYFUNCTION("""COMPUTED_VALUE"""),"RSC007252")</f>
        <v>RSC007252</v>
      </c>
      <c r="B653" s="30" t="str">
        <f>IFERROR(__xludf.DUMMYFUNCTION("""COMPUTED_VALUE"""),"mario.")</f>
        <v>mario.</v>
      </c>
      <c r="C653" s="30" t="str">
        <f>IFERROR(__xludf.DUMMYFUNCTION("""COMPUTED_VALUE"""),"Master")</f>
        <v>Master</v>
      </c>
      <c r="D653" s="30" t="str">
        <f>IFERROR(__xludf.DUMMYFUNCTION("""COMPUTED_VALUE"""),"Kawaii")</f>
        <v>Kawaii</v>
      </c>
      <c r="E653" s="30" t="str">
        <f>IFERROR(__xludf.DUMMYFUNCTION("""COMPUTED_VALUE"""),"The Pit")</f>
        <v>The Pit</v>
      </c>
      <c r="F653" s="30" t="str">
        <f>IFERROR(__xludf.DUMMYFUNCTION("""COMPUTED_VALUE"""),"N/A")</f>
        <v>N/A</v>
      </c>
      <c r="G653" s="92">
        <f>IFERROR(__xludf.DUMMYFUNCTION("""COMPUTED_VALUE"""),12.384973307287453)</f>
        <v>12.38497331</v>
      </c>
    </row>
    <row r="654">
      <c r="A654" s="30" t="str">
        <f>IFERROR(__xludf.DUMMYFUNCTION("""COMPUTED_VALUE"""),"RSC007878")</f>
        <v>RSC007878</v>
      </c>
      <c r="B654" s="30" t="str">
        <f>IFERROR(__xludf.DUMMYFUNCTION("""COMPUTED_VALUE"""),"oneam")</f>
        <v>oneam</v>
      </c>
      <c r="C654" s="30" t="str">
        <f>IFERROR(__xludf.DUMMYFUNCTION("""COMPUTED_VALUE"""),"Master")</f>
        <v>Master</v>
      </c>
      <c r="D654" s="30" t="str">
        <f>IFERROR(__xludf.DUMMYFUNCTION("""COMPUTED_VALUE"""),"Hard Hats
Kawaii")</f>
        <v>Hard Hats
Kawaii</v>
      </c>
      <c r="E654" s="30" t="str">
        <f>IFERROR(__xludf.DUMMYFUNCTION("""COMPUTED_VALUE"""),"Road Work Ahead
The Pit")</f>
        <v>Road Work Ahead
The Pit</v>
      </c>
      <c r="F654" s="30" t="str">
        <f>IFERROR(__xludf.DUMMYFUNCTION("""COMPUTED_VALUE"""),"N/A")</f>
        <v>N/A</v>
      </c>
      <c r="G654" s="92">
        <f>IFERROR(__xludf.DUMMYFUNCTION("""COMPUTED_VALUE"""),26.539998660585574)</f>
        <v>26.53999866</v>
      </c>
    </row>
    <row r="655">
      <c r="A655" s="30" t="str">
        <f>IFERROR(__xludf.DUMMYFUNCTION("""COMPUTED_VALUE"""),"RSC006952")</f>
        <v>RSC006952</v>
      </c>
      <c r="B655" s="30" t="str">
        <f>IFERROR(__xludf.DUMMYFUNCTION("""COMPUTED_VALUE"""),"nave")</f>
        <v>nave</v>
      </c>
      <c r="C655" s="30" t="str">
        <f>IFERROR(__xludf.DUMMYFUNCTION("""COMPUTED_VALUE"""),"Master")</f>
        <v>Master</v>
      </c>
      <c r="D655" s="30" t="str">
        <f>IFERROR(__xludf.DUMMYFUNCTION("""COMPUTED_VALUE"""),"Kawaii")</f>
        <v>Kawaii</v>
      </c>
      <c r="E655" s="30" t="str">
        <f>IFERROR(__xludf.DUMMYFUNCTION("""COMPUTED_VALUE"""),"The Pit")</f>
        <v>The Pit</v>
      </c>
      <c r="F655" s="30" t="str">
        <f>IFERROR(__xludf.DUMMYFUNCTION("""COMPUTED_VALUE"""),"N/A")</f>
        <v>N/A</v>
      </c>
      <c r="G655" s="92">
        <f>IFERROR(__xludf.DUMMYFUNCTION("""COMPUTED_VALUE"""),64.58549634776506)</f>
        <v>64.58549635</v>
      </c>
    </row>
    <row r="656">
      <c r="A656" s="30" t="str">
        <f>IFERROR(__xludf.DUMMYFUNCTION("""COMPUTED_VALUE"""),"RSC006481")</f>
        <v>RSC006481</v>
      </c>
      <c r="B656" s="30" t="str">
        <f>IFERROR(__xludf.DUMMYFUNCTION("""COMPUTED_VALUE"""),"Mixsta.")</f>
        <v>Mixsta.</v>
      </c>
      <c r="C656" s="30" t="str">
        <f>IFERROR(__xludf.DUMMYFUNCTION("""COMPUTED_VALUE"""),"Master")</f>
        <v>Master</v>
      </c>
      <c r="D656" s="30" t="str">
        <f>IFERROR(__xludf.DUMMYFUNCTION("""COMPUTED_VALUE"""),"Phantom Phreaks")</f>
        <v>Phantom Phreaks</v>
      </c>
      <c r="E656" s="30" t="str">
        <f>IFERROR(__xludf.DUMMYFUNCTION("""COMPUTED_VALUE"""),"Ghoul School")</f>
        <v>Ghoul School</v>
      </c>
      <c r="F656" s="30" t="str">
        <f>IFERROR(__xludf.DUMMYFUNCTION("""COMPUTED_VALUE"""),"N/A")</f>
        <v>N/A</v>
      </c>
      <c r="G656" s="92">
        <f>IFERROR(__xludf.DUMMYFUNCTION("""COMPUTED_VALUE"""),50.432590304419826)</f>
        <v>50.4325903</v>
      </c>
    </row>
    <row r="657">
      <c r="A657" s="30" t="str">
        <f>IFERROR(__xludf.DUMMYFUNCTION("""COMPUTED_VALUE"""),"RSC007858")</f>
        <v>RSC007858</v>
      </c>
      <c r="B657" s="30" t="str">
        <f>IFERROR(__xludf.DUMMYFUNCTION("""COMPUTED_VALUE"""),"Patty")</f>
        <v>Patty</v>
      </c>
      <c r="C657" s="30" t="str">
        <f>IFERROR(__xludf.DUMMYFUNCTION("""COMPUTED_VALUE"""),"Master")</f>
        <v>Master</v>
      </c>
      <c r="D657" s="30" t="str">
        <f>IFERROR(__xludf.DUMMYFUNCTION("""COMPUTED_VALUE"""),"Phantom Phreaks")</f>
        <v>Phantom Phreaks</v>
      </c>
      <c r="E657" s="30" t="str">
        <f>IFERROR(__xludf.DUMMYFUNCTION("""COMPUTED_VALUE"""),"Ghoul School")</f>
        <v>Ghoul School</v>
      </c>
      <c r="F657" s="30" t="str">
        <f>IFERROR(__xludf.DUMMYFUNCTION("""COMPUTED_VALUE"""),"N/A")</f>
        <v>N/A</v>
      </c>
      <c r="G657" s="92">
        <f>IFERROR(__xludf.DUMMYFUNCTION("""COMPUTED_VALUE"""),66.29233319537423)</f>
        <v>66.2923332</v>
      </c>
    </row>
    <row r="658">
      <c r="A658" s="30" t="str">
        <f>IFERROR(__xludf.DUMMYFUNCTION("""COMPUTED_VALUE"""),"RSC007893")</f>
        <v>RSC007893</v>
      </c>
      <c r="B658" s="30" t="str">
        <f>IFERROR(__xludf.DUMMYFUNCTION("""COMPUTED_VALUE"""),"solar722")</f>
        <v>solar722</v>
      </c>
      <c r="C658" s="30" t="str">
        <f>IFERROR(__xludf.DUMMYFUNCTION("""COMPUTED_VALUE"""),"Master")</f>
        <v>Master</v>
      </c>
      <c r="D658" s="30" t="str">
        <f>IFERROR(__xludf.DUMMYFUNCTION("""COMPUTED_VALUE"""),"Fromunda Frauds
Plinko
Phantom Phreaks")</f>
        <v>Fromunda Frauds
Plinko
Phantom Phreaks</v>
      </c>
      <c r="E658" s="30" t="str">
        <f>IFERROR(__xludf.DUMMYFUNCTION("""COMPUTED_VALUE"""),"Cheese Guild
Never Lucky
Ghoul School")</f>
        <v>Cheese Guild
Never Lucky
Ghoul School</v>
      </c>
      <c r="F658" s="30" t="str">
        <f>IFERROR(__xludf.DUMMYFUNCTION("""COMPUTED_VALUE"""),"Solar")</f>
        <v>Solar</v>
      </c>
      <c r="G658" s="92">
        <f>IFERROR(__xludf.DUMMYFUNCTION("""COMPUTED_VALUE"""),78.81870735930397)</f>
        <v>78.81870736</v>
      </c>
    </row>
    <row r="659">
      <c r="A659" s="30" t="str">
        <f>IFERROR(__xludf.DUMMYFUNCTION("""COMPUTED_VALUE"""),"RSC007106")</f>
        <v>RSC007106</v>
      </c>
      <c r="B659" s="30" t="str">
        <f>IFERROR(__xludf.DUMMYFUNCTION("""COMPUTED_VALUE"""),"Sim")</f>
        <v>Sim</v>
      </c>
      <c r="C659" s="30" t="str">
        <f>IFERROR(__xludf.DUMMYFUNCTION("""COMPUTED_VALUE"""),"Master")</f>
        <v>Master</v>
      </c>
      <c r="D659" s="30" t="str">
        <f>IFERROR(__xludf.DUMMYFUNCTION("""COMPUTED_VALUE"""),"Tempests")</f>
        <v>Tempests</v>
      </c>
      <c r="E659" s="30" t="str">
        <f>IFERROR(__xludf.DUMMYFUNCTION("""COMPUTED_VALUE"""),"Storm")</f>
        <v>Storm</v>
      </c>
      <c r="F659" s="30" t="str">
        <f>IFERROR(__xludf.DUMMYFUNCTION("""COMPUTED_VALUE"""),"Solar")</f>
        <v>Solar</v>
      </c>
      <c r="G659" s="92">
        <f>IFERROR(__xludf.DUMMYFUNCTION("""COMPUTED_VALUE"""),59.169592621368636)</f>
        <v>59.16959262</v>
      </c>
    </row>
    <row r="660">
      <c r="A660" s="30" t="str">
        <f>IFERROR(__xludf.DUMMYFUNCTION("""COMPUTED_VALUE"""),"RSC005690")</f>
        <v>RSC005690</v>
      </c>
      <c r="B660" s="30" t="str">
        <f>IFERROR(__xludf.DUMMYFUNCTION("""COMPUTED_VALUE"""),"DQ.")</f>
        <v>DQ.</v>
      </c>
      <c r="C660" s="30" t="str">
        <f>IFERROR(__xludf.DUMMYFUNCTION("""COMPUTED_VALUE"""),"Master")</f>
        <v>Master</v>
      </c>
      <c r="D660" s="30" t="str">
        <f>IFERROR(__xludf.DUMMYFUNCTION("""COMPUTED_VALUE"""),"Kawaii
Tempests")</f>
        <v>Kawaii
Tempests</v>
      </c>
      <c r="E660" s="30" t="str">
        <f>IFERROR(__xludf.DUMMYFUNCTION("""COMPUTED_VALUE"""),"The Pit
Storm")</f>
        <v>The Pit
Storm</v>
      </c>
      <c r="F660" s="30" t="str">
        <f>IFERROR(__xludf.DUMMYFUNCTION("""COMPUTED_VALUE"""),"Solar")</f>
        <v>Solar</v>
      </c>
      <c r="G660" s="92">
        <f>IFERROR(__xludf.DUMMYFUNCTION("""COMPUTED_VALUE"""),43.436052179937)</f>
        <v>43.43605218</v>
      </c>
    </row>
    <row r="661">
      <c r="A661" s="30" t="str">
        <f>IFERROR(__xludf.DUMMYFUNCTION("""COMPUTED_VALUE"""),"RSC002490")</f>
        <v>RSC002490</v>
      </c>
      <c r="B661" s="30" t="str">
        <f>IFERROR(__xludf.DUMMYFUNCTION("""COMPUTED_VALUE"""),"alexis bexas")</f>
        <v>alexis bexas</v>
      </c>
      <c r="C661" s="30" t="str">
        <f>IFERROR(__xludf.DUMMYFUNCTION("""COMPUTED_VALUE"""),"Master")</f>
        <v>Master</v>
      </c>
      <c r="D661" s="30" t="str">
        <f>IFERROR(__xludf.DUMMYFUNCTION("""COMPUTED_VALUE"""),"Tempests")</f>
        <v>Tempests</v>
      </c>
      <c r="E661" s="30" t="str">
        <f>IFERROR(__xludf.DUMMYFUNCTION("""COMPUTED_VALUE"""),"Storm")</f>
        <v>Storm</v>
      </c>
      <c r="F661" s="30" t="str">
        <f>IFERROR(__xludf.DUMMYFUNCTION("""COMPUTED_VALUE"""),"Solar")</f>
        <v>Solar</v>
      </c>
      <c r="G661" s="92">
        <f>IFERROR(__xludf.DUMMYFUNCTION("""COMPUTED_VALUE"""),42.39463498293255)</f>
        <v>42.39463498</v>
      </c>
    </row>
    <row r="662">
      <c r="A662" s="30" t="str">
        <f>IFERROR(__xludf.DUMMYFUNCTION("""COMPUTED_VALUE"""),"RSC007558")</f>
        <v>RSC007558</v>
      </c>
      <c r="B662" s="30" t="str">
        <f>IFERROR(__xludf.DUMMYFUNCTION("""COMPUTED_VALUE"""),"Frijole")</f>
        <v>Frijole</v>
      </c>
      <c r="C662" s="30" t="str">
        <f>IFERROR(__xludf.DUMMYFUNCTION("""COMPUTED_VALUE"""),"Master")</f>
        <v>Master</v>
      </c>
      <c r="D662" s="30" t="str">
        <f>IFERROR(__xludf.DUMMYFUNCTION("""COMPUTED_VALUE"""),"Fromunda Frauds")</f>
        <v>Fromunda Frauds</v>
      </c>
      <c r="E662" s="30" t="str">
        <f>IFERROR(__xludf.DUMMYFUNCTION("""COMPUTED_VALUE"""),"Cheese Guild")</f>
        <v>Cheese Guild</v>
      </c>
      <c r="F662" s="30" t="str">
        <f>IFERROR(__xludf.DUMMYFUNCTION("""COMPUTED_VALUE"""),"Solar")</f>
        <v>Solar</v>
      </c>
      <c r="G662" s="92">
        <f>IFERROR(__xludf.DUMMYFUNCTION("""COMPUTED_VALUE"""),37.41192033150891)</f>
        <v>37.41192033</v>
      </c>
    </row>
    <row r="663">
      <c r="A663" s="30" t="str">
        <f>IFERROR(__xludf.DUMMYFUNCTION("""COMPUTED_VALUE"""),"RSC007244")</f>
        <v>RSC007244</v>
      </c>
      <c r="B663" s="30" t="str">
        <f>IFERROR(__xludf.DUMMYFUNCTION("""COMPUTED_VALUE"""),"Joxtrot")</f>
        <v>Joxtrot</v>
      </c>
      <c r="C663" s="30" t="str">
        <f>IFERROR(__xludf.DUMMYFUNCTION("""COMPUTED_VALUE"""),"Master")</f>
        <v>Master</v>
      </c>
      <c r="D663" s="30" t="str">
        <f>IFERROR(__xludf.DUMMYFUNCTION("""COMPUTED_VALUE"""),"Fromunda Frauds")</f>
        <v>Fromunda Frauds</v>
      </c>
      <c r="E663" s="30" t="str">
        <f>IFERROR(__xludf.DUMMYFUNCTION("""COMPUTED_VALUE"""),"Cheese Guild")</f>
        <v>Cheese Guild</v>
      </c>
      <c r="F663" s="30" t="str">
        <f>IFERROR(__xludf.DUMMYFUNCTION("""COMPUTED_VALUE"""),"Solar")</f>
        <v>Solar</v>
      </c>
      <c r="G663" s="92">
        <f>IFERROR(__xludf.DUMMYFUNCTION("""COMPUTED_VALUE"""),50.921487822020225)</f>
        <v>50.92148782</v>
      </c>
    </row>
    <row r="664">
      <c r="A664" s="30" t="str">
        <f>IFERROR(__xludf.DUMMYFUNCTION("""COMPUTED_VALUE"""),"RSC000241")</f>
        <v>RSC000241</v>
      </c>
      <c r="B664" s="30" t="str">
        <f>IFERROR(__xludf.DUMMYFUNCTION("""COMPUTED_VALUE"""),"Geherpaderp")</f>
        <v>Geherpaderp</v>
      </c>
      <c r="C664" s="30" t="str">
        <f>IFERROR(__xludf.DUMMYFUNCTION("""COMPUTED_VALUE"""),"Master")</f>
        <v>Master</v>
      </c>
      <c r="D664" s="30" t="str">
        <f>IFERROR(__xludf.DUMMYFUNCTION("""COMPUTED_VALUE"""),"Fromunda Frauds")</f>
        <v>Fromunda Frauds</v>
      </c>
      <c r="E664" s="30" t="str">
        <f>IFERROR(__xludf.DUMMYFUNCTION("""COMPUTED_VALUE"""),"Cheese Guild")</f>
        <v>Cheese Guild</v>
      </c>
      <c r="F664" s="30" t="str">
        <f>IFERROR(__xludf.DUMMYFUNCTION("""COMPUTED_VALUE"""),"Solar")</f>
        <v>Solar</v>
      </c>
      <c r="G664" s="92">
        <f>IFERROR(__xludf.DUMMYFUNCTION("""COMPUTED_VALUE"""),50.74629072139062)</f>
        <v>50.74629072</v>
      </c>
    </row>
    <row r="665">
      <c r="A665" s="30" t="str">
        <f>IFERROR(__xludf.DUMMYFUNCTION("""COMPUTED_VALUE"""),"RSC002500")</f>
        <v>RSC002500</v>
      </c>
      <c r="B665" s="30" t="str">
        <f>IFERROR(__xludf.DUMMYFUNCTION("""COMPUTED_VALUE"""),"kalten")</f>
        <v>kalten</v>
      </c>
      <c r="C665" s="30" t="str">
        <f>IFERROR(__xludf.DUMMYFUNCTION("""COMPUTED_VALUE"""),"Master")</f>
        <v>Master</v>
      </c>
      <c r="D665" s="30" t="str">
        <f>IFERROR(__xludf.DUMMYFUNCTION("""COMPUTED_VALUE"""),"Heinous Henchmen")</f>
        <v>Heinous Henchmen</v>
      </c>
      <c r="E665" s="30" t="str">
        <f>IFERROR(__xludf.DUMMYFUNCTION("""COMPUTED_VALUE"""),"The Syndicate")</f>
        <v>The Syndicate</v>
      </c>
      <c r="F665" s="30" t="str">
        <f>IFERROR(__xludf.DUMMYFUNCTION("""COMPUTED_VALUE"""),"Lunar")</f>
        <v>Lunar</v>
      </c>
      <c r="G665" s="92">
        <f>IFERROR(__xludf.DUMMYFUNCTION("""COMPUTED_VALUE"""),29.95884208114517)</f>
        <v>29.95884208</v>
      </c>
    </row>
    <row r="666">
      <c r="A666" s="30" t="str">
        <f>IFERROR(__xludf.DUMMYFUNCTION("""COMPUTED_VALUE"""),"RSC005349")</f>
        <v>RSC005349</v>
      </c>
      <c r="B666" s="30" t="str">
        <f>IFERROR(__xludf.DUMMYFUNCTION("""COMPUTED_VALUE"""),"Rzemb1e")</f>
        <v>Rzemb1e</v>
      </c>
      <c r="C666" s="30" t="str">
        <f>IFERROR(__xludf.DUMMYFUNCTION("""COMPUTED_VALUE"""),"Master")</f>
        <v>Master</v>
      </c>
      <c r="D666" s="30" t="str">
        <f>IFERROR(__xludf.DUMMYFUNCTION("""COMPUTED_VALUE"""),"Heinous Henchmen")</f>
        <v>Heinous Henchmen</v>
      </c>
      <c r="E666" s="30" t="str">
        <f>IFERROR(__xludf.DUMMYFUNCTION("""COMPUTED_VALUE"""),"The Syndicate")</f>
        <v>The Syndicate</v>
      </c>
      <c r="F666" s="30" t="str">
        <f>IFERROR(__xludf.DUMMYFUNCTION("""COMPUTED_VALUE"""),"Lunar")</f>
        <v>Lunar</v>
      </c>
      <c r="G666" s="92">
        <f>IFERROR(__xludf.DUMMYFUNCTION("""COMPUTED_VALUE"""),46.73407761298402)</f>
        <v>46.73407761</v>
      </c>
    </row>
    <row r="667">
      <c r="A667" s="30" t="str">
        <f>IFERROR(__xludf.DUMMYFUNCTION("""COMPUTED_VALUE"""),"RSC000839")</f>
        <v>RSC000839</v>
      </c>
      <c r="B667" s="30" t="str">
        <f>IFERROR(__xludf.DUMMYFUNCTION("""COMPUTED_VALUE"""),"p0larbear")</f>
        <v>p0larbear</v>
      </c>
      <c r="C667" s="30" t="str">
        <f>IFERROR(__xludf.DUMMYFUNCTION("""COMPUTED_VALUE"""),"Master")</f>
        <v>Master</v>
      </c>
      <c r="D667" s="30" t="str">
        <f>IFERROR(__xludf.DUMMYFUNCTION("""COMPUTED_VALUE"""),"Heinous Henchmen")</f>
        <v>Heinous Henchmen</v>
      </c>
      <c r="E667" s="30" t="str">
        <f>IFERROR(__xludf.DUMMYFUNCTION("""COMPUTED_VALUE"""),"The Syndicate")</f>
        <v>The Syndicate</v>
      </c>
      <c r="F667" s="30" t="str">
        <f>IFERROR(__xludf.DUMMYFUNCTION("""COMPUTED_VALUE"""),"Lunar")</f>
        <v>Lunar</v>
      </c>
      <c r="G667" s="92">
        <f>IFERROR(__xludf.DUMMYFUNCTION("""COMPUTED_VALUE"""),48.17427140633802)</f>
        <v>48.17427141</v>
      </c>
    </row>
    <row r="668">
      <c r="A668" s="30" t="str">
        <f>IFERROR(__xludf.DUMMYFUNCTION("""COMPUTED_VALUE"""),"RSC006087")</f>
        <v>RSC006087</v>
      </c>
      <c r="B668" s="30" t="str">
        <f>IFERROR(__xludf.DUMMYFUNCTION("""COMPUTED_VALUE"""),"DoorTK")</f>
        <v>DoorTK</v>
      </c>
      <c r="C668" s="30" t="str">
        <f>IFERROR(__xludf.DUMMYFUNCTION("""COMPUTED_VALUE"""),"Master")</f>
        <v>Master</v>
      </c>
      <c r="D668" s="30" t="str">
        <f>IFERROR(__xludf.DUMMYFUNCTION("""COMPUTED_VALUE"""),"Lemurs")</f>
        <v>Lemurs</v>
      </c>
      <c r="E668" s="30" t="str">
        <f>IFERROR(__xludf.DUMMYFUNCTION("""COMPUTED_VALUE"""),"The Jungle")</f>
        <v>The Jungle</v>
      </c>
      <c r="F668" s="30" t="str">
        <f>IFERROR(__xludf.DUMMYFUNCTION("""COMPUTED_VALUE"""),"N/A")</f>
        <v>N/A</v>
      </c>
      <c r="G668" s="92">
        <f>IFERROR(__xludf.DUMMYFUNCTION("""COMPUTED_VALUE"""),17.10587418621114)</f>
        <v>17.10587419</v>
      </c>
    </row>
    <row r="669">
      <c r="A669" s="30" t="str">
        <f>IFERROR(__xludf.DUMMYFUNCTION("""COMPUTED_VALUE"""),"RSC004575")</f>
        <v>RSC004575</v>
      </c>
      <c r="B669" s="30" t="str">
        <f>IFERROR(__xludf.DUMMYFUNCTION("""COMPUTED_VALUE"""),"Diamond ^.^")</f>
        <v>Diamond ^.^</v>
      </c>
      <c r="C669" s="30" t="str">
        <f>IFERROR(__xludf.DUMMYFUNCTION("""COMPUTED_VALUE"""),"Master")</f>
        <v>Master</v>
      </c>
      <c r="D669" s="30" t="str">
        <f>IFERROR(__xludf.DUMMYFUNCTION("""COMPUTED_VALUE"""),"Lemurs")</f>
        <v>Lemurs</v>
      </c>
      <c r="E669" s="30" t="str">
        <f>IFERROR(__xludf.DUMMYFUNCTION("""COMPUTED_VALUE"""),"The Jungle")</f>
        <v>The Jungle</v>
      </c>
      <c r="F669" s="30" t="str">
        <f>IFERROR(__xludf.DUMMYFUNCTION("""COMPUTED_VALUE"""),"N/A")</f>
        <v>N/A</v>
      </c>
      <c r="G669" s="92">
        <f>IFERROR(__xludf.DUMMYFUNCTION("""COMPUTED_VALUE"""),65.03208534955803)</f>
        <v>65.03208535</v>
      </c>
    </row>
    <row r="670">
      <c r="A670" s="30" t="str">
        <f>IFERROR(__xludf.DUMMYFUNCTION("""COMPUTED_VALUE"""),"RSC000232")</f>
        <v>RSC000232</v>
      </c>
      <c r="B670" s="30" t="str">
        <f>IFERROR(__xludf.DUMMYFUNCTION("""COMPUTED_VALUE"""),"Unexpected")</f>
        <v>Unexpected</v>
      </c>
      <c r="C670" s="30" t="str">
        <f>IFERROR(__xludf.DUMMYFUNCTION("""COMPUTED_VALUE"""),"Master")</f>
        <v>Master</v>
      </c>
      <c r="D670" s="30" t="str">
        <f>IFERROR(__xludf.DUMMYFUNCTION("""COMPUTED_VALUE"""),"Lemurs")</f>
        <v>Lemurs</v>
      </c>
      <c r="E670" s="30" t="str">
        <f>IFERROR(__xludf.DUMMYFUNCTION("""COMPUTED_VALUE"""),"The Jungle")</f>
        <v>The Jungle</v>
      </c>
      <c r="F670" s="30" t="str">
        <f>IFERROR(__xludf.DUMMYFUNCTION("""COMPUTED_VALUE"""),"N/A")</f>
        <v>N/A</v>
      </c>
      <c r="G670" s="92">
        <f>IFERROR(__xludf.DUMMYFUNCTION("""COMPUTED_VALUE"""),33.52287511364125)</f>
        <v>33.52287511</v>
      </c>
    </row>
    <row r="671">
      <c r="A671" s="30" t="str">
        <f>IFERROR(__xludf.DUMMYFUNCTION("""COMPUTED_VALUE"""),"RSC007853")</f>
        <v>RSC007853</v>
      </c>
      <c r="B671" s="30" t="str">
        <f>IFERROR(__xludf.DUMMYFUNCTION("""COMPUTED_VALUE"""),"jun1o4.")</f>
        <v>jun1o4.</v>
      </c>
      <c r="C671" s="30" t="str">
        <f>IFERROR(__xludf.DUMMYFUNCTION("""COMPUTED_VALUE"""),"Master")</f>
        <v>Master</v>
      </c>
      <c r="D671" s="30" t="str">
        <f>IFERROR(__xludf.DUMMYFUNCTION("""COMPUTED_VALUE"""),"Kawaii")</f>
        <v>Kawaii</v>
      </c>
      <c r="E671" s="30" t="str">
        <f>IFERROR(__xludf.DUMMYFUNCTION("""COMPUTED_VALUE"""),"The Pit")</f>
        <v>The Pit</v>
      </c>
      <c r="F671" s="30" t="str">
        <f>IFERROR(__xludf.DUMMYFUNCTION("""COMPUTED_VALUE"""),"N/A")</f>
        <v>N/A</v>
      </c>
      <c r="G671" s="92">
        <f>IFERROR(__xludf.DUMMYFUNCTION("""COMPUTED_VALUE"""),1.09628539841718)</f>
        <v>1.096285398</v>
      </c>
    </row>
    <row r="672">
      <c r="A672" s="30" t="str">
        <f>IFERROR(__xludf.DUMMYFUNCTION("""COMPUTED_VALUE"""),"RSC007809")</f>
        <v>RSC007809</v>
      </c>
      <c r="B672" s="30" t="str">
        <f>IFERROR(__xludf.DUMMYFUNCTION("""COMPUTED_VALUE"""),"wndr")</f>
        <v>wndr</v>
      </c>
      <c r="C672" s="30" t="str">
        <f>IFERROR(__xludf.DUMMYFUNCTION("""COMPUTED_VALUE"""),"Master")</f>
        <v>Master</v>
      </c>
      <c r="D672" s="30" t="str">
        <f>IFERROR(__xludf.DUMMYFUNCTION("""COMPUTED_VALUE"""),"Basilisks")</f>
        <v>Basilisks</v>
      </c>
      <c r="E672" s="30" t="str">
        <f>IFERROR(__xludf.DUMMYFUNCTION("""COMPUTED_VALUE"""),"The Forest")</f>
        <v>The Forest</v>
      </c>
      <c r="F672" s="30" t="str">
        <f>IFERROR(__xludf.DUMMYFUNCTION("""COMPUTED_VALUE"""),"Solar")</f>
        <v>Solar</v>
      </c>
      <c r="G672" s="92">
        <f>IFERROR(__xludf.DUMMYFUNCTION("""COMPUTED_VALUE"""),40.375585247366)</f>
        <v>40.37558525</v>
      </c>
    </row>
    <row r="673">
      <c r="A673" s="30" t="str">
        <f>IFERROR(__xludf.DUMMYFUNCTION("""COMPUTED_VALUE"""),"RSC003801")</f>
        <v>RSC003801</v>
      </c>
      <c r="B673" s="30" t="str">
        <f>IFERROR(__xludf.DUMMYFUNCTION("""COMPUTED_VALUE"""),"veil._")</f>
        <v>veil._</v>
      </c>
      <c r="C673" s="30" t="str">
        <f>IFERROR(__xludf.DUMMYFUNCTION("""COMPUTED_VALUE"""),"Master")</f>
        <v>Master</v>
      </c>
      <c r="D673" s="30" t="str">
        <f>IFERROR(__xludf.DUMMYFUNCTION("""COMPUTED_VALUE"""),"Basilisks")</f>
        <v>Basilisks</v>
      </c>
      <c r="E673" s="30" t="str">
        <f>IFERROR(__xludf.DUMMYFUNCTION("""COMPUTED_VALUE"""),"The Forest")</f>
        <v>The Forest</v>
      </c>
      <c r="F673" s="30" t="str">
        <f>IFERROR(__xludf.DUMMYFUNCTION("""COMPUTED_VALUE"""),"Solar")</f>
        <v>Solar</v>
      </c>
      <c r="G673" s="92">
        <f>IFERROR(__xludf.DUMMYFUNCTION("""COMPUTED_VALUE"""),19.523199229431633)</f>
        <v>19.52319923</v>
      </c>
    </row>
    <row r="674">
      <c r="A674" s="30" t="str">
        <f>IFERROR(__xludf.DUMMYFUNCTION("""COMPUTED_VALUE"""),"RSC006889")</f>
        <v>RSC006889</v>
      </c>
      <c r="B674" s="30" t="str">
        <f>IFERROR(__xludf.DUMMYFUNCTION("""COMPUTED_VALUE"""),"Jay")</f>
        <v>Jay</v>
      </c>
      <c r="C674" s="30" t="str">
        <f>IFERROR(__xludf.DUMMYFUNCTION("""COMPUTED_VALUE"""),"Master")</f>
        <v>Master</v>
      </c>
      <c r="D674" s="30" t="str">
        <f>IFERROR(__xludf.DUMMYFUNCTION("""COMPUTED_VALUE"""),"Basilisks")</f>
        <v>Basilisks</v>
      </c>
      <c r="E674" s="30" t="str">
        <f>IFERROR(__xludf.DUMMYFUNCTION("""COMPUTED_VALUE"""),"The Forest")</f>
        <v>The Forest</v>
      </c>
      <c r="F674" s="30" t="str">
        <f>IFERROR(__xludf.DUMMYFUNCTION("""COMPUTED_VALUE"""),"Solar")</f>
        <v>Solar</v>
      </c>
      <c r="G674" s="92">
        <f>IFERROR(__xludf.DUMMYFUNCTION("""COMPUTED_VALUE"""),82.84975716552962)</f>
        <v>82.84975717</v>
      </c>
    </row>
    <row r="675">
      <c r="A675" s="30" t="str">
        <f>IFERROR(__xludf.DUMMYFUNCTION("""COMPUTED_VALUE"""),"RSC003323")</f>
        <v>RSC003323</v>
      </c>
      <c r="B675" s="30" t="str">
        <f>IFERROR(__xludf.DUMMYFUNCTION("""COMPUTED_VALUE"""),"Boog McCroog")</f>
        <v>Boog McCroog</v>
      </c>
      <c r="C675" s="30" t="str">
        <f>IFERROR(__xludf.DUMMYFUNCTION("""COMPUTED_VALUE"""),"Master")</f>
        <v>Master</v>
      </c>
      <c r="D675" s="30" t="str">
        <f>IFERROR(__xludf.DUMMYFUNCTION("""COMPUTED_VALUE"""),"Hard Hats")</f>
        <v>Hard Hats</v>
      </c>
      <c r="E675" s="30" t="str">
        <f>IFERROR(__xludf.DUMMYFUNCTION("""COMPUTED_VALUE"""),"Road Work Ahead")</f>
        <v>Road Work Ahead</v>
      </c>
      <c r="F675" s="30" t="str">
        <f>IFERROR(__xludf.DUMMYFUNCTION("""COMPUTED_VALUE"""),"N/A")</f>
        <v>N/A</v>
      </c>
      <c r="G675" s="92">
        <f>IFERROR(__xludf.DUMMYFUNCTION("""COMPUTED_VALUE"""),16.78718592302664)</f>
        <v>16.78718592</v>
      </c>
    </row>
    <row r="676">
      <c r="A676" s="30" t="str">
        <f>IFERROR(__xludf.DUMMYFUNCTION("""COMPUTED_VALUE"""),"RSC005183")</f>
        <v>RSC005183</v>
      </c>
      <c r="B676" s="30" t="str">
        <f>IFERROR(__xludf.DUMMYFUNCTION("""COMPUTED_VALUE"""),"Kagura.")</f>
        <v>Kagura.</v>
      </c>
      <c r="C676" s="30" t="str">
        <f>IFERROR(__xludf.DUMMYFUNCTION("""COMPUTED_VALUE"""),"Master")</f>
        <v>Master</v>
      </c>
      <c r="D676" s="30" t="str">
        <f>IFERROR(__xludf.DUMMYFUNCTION("""COMPUTED_VALUE"""),"Hard Hats")</f>
        <v>Hard Hats</v>
      </c>
      <c r="E676" s="30" t="str">
        <f>IFERROR(__xludf.DUMMYFUNCTION("""COMPUTED_VALUE"""),"Road Work Ahead")</f>
        <v>Road Work Ahead</v>
      </c>
      <c r="F676" s="30" t="str">
        <f>IFERROR(__xludf.DUMMYFUNCTION("""COMPUTED_VALUE"""),"N/A")</f>
        <v>N/A</v>
      </c>
      <c r="G676" s="92">
        <f>IFERROR(__xludf.DUMMYFUNCTION("""COMPUTED_VALUE"""),63.375681655013764)</f>
        <v>63.37568166</v>
      </c>
    </row>
    <row r="677">
      <c r="A677" s="30" t="str">
        <f>IFERROR(__xludf.DUMMYFUNCTION("""COMPUTED_VALUE"""),"RSC003728")</f>
        <v>RSC003728</v>
      </c>
      <c r="B677" s="30" t="str">
        <f>IFERROR(__xludf.DUMMYFUNCTION("""COMPUTED_VALUE"""),"yy")</f>
        <v>yy</v>
      </c>
      <c r="C677" s="30" t="str">
        <f>IFERROR(__xludf.DUMMYFUNCTION("""COMPUTED_VALUE"""),"Master")</f>
        <v>Master</v>
      </c>
      <c r="D677" s="30" t="str">
        <f>IFERROR(__xludf.DUMMYFUNCTION("""COMPUTED_VALUE"""),"Kawaii
Hard Hats")</f>
        <v>Kawaii
Hard Hats</v>
      </c>
      <c r="E677" s="30" t="str">
        <f>IFERROR(__xludf.DUMMYFUNCTION("""COMPUTED_VALUE"""),"The Pit
Road Work Ahead")</f>
        <v>The Pit
Road Work Ahead</v>
      </c>
      <c r="F677" s="30" t="str">
        <f>IFERROR(__xludf.DUMMYFUNCTION("""COMPUTED_VALUE"""),"N/A")</f>
        <v>N/A</v>
      </c>
      <c r="G677" s="92">
        <f>IFERROR(__xludf.DUMMYFUNCTION("""COMPUTED_VALUE"""),49.31052140555112)</f>
        <v>49.31052141</v>
      </c>
    </row>
    <row r="678">
      <c r="A678" s="30" t="str">
        <f>IFERROR(__xludf.DUMMYFUNCTION("""COMPUTED_VALUE"""),"RSC002888")</f>
        <v>RSC002888</v>
      </c>
      <c r="B678" s="30" t="str">
        <f>IFERROR(__xludf.DUMMYFUNCTION("""COMPUTED_VALUE"""),"kri0s")</f>
        <v>kri0s</v>
      </c>
      <c r="C678" s="30" t="str">
        <f>IFERROR(__xludf.DUMMYFUNCTION("""COMPUTED_VALUE"""),"Master")</f>
        <v>Master</v>
      </c>
      <c r="D678" s="30" t="str">
        <f>IFERROR(__xludf.DUMMYFUNCTION("""COMPUTED_VALUE"""),"Basilisks")</f>
        <v>Basilisks</v>
      </c>
      <c r="E678" s="30" t="str">
        <f>IFERROR(__xludf.DUMMYFUNCTION("""COMPUTED_VALUE"""),"The Forest")</f>
        <v>The Forest</v>
      </c>
      <c r="F678" s="30" t="str">
        <f>IFERROR(__xludf.DUMMYFUNCTION("""COMPUTED_VALUE"""),"Solar")</f>
        <v>Solar</v>
      </c>
      <c r="G678" s="92">
        <f>IFERROR(__xludf.DUMMYFUNCTION("""COMPUTED_VALUE"""),54.008299796510244)</f>
        <v>54.0082998</v>
      </c>
    </row>
    <row r="679">
      <c r="A679" s="30" t="str">
        <f>IFERROR(__xludf.DUMMYFUNCTION("""COMPUTED_VALUE"""),"RSC000777")</f>
        <v>RSC000777</v>
      </c>
      <c r="B679" s="30" t="str">
        <f>IFERROR(__xludf.DUMMYFUNCTION("""COMPUTED_VALUE"""),"Marcus.")</f>
        <v>Marcus.</v>
      </c>
      <c r="C679" s="30" t="str">
        <f>IFERROR(__xludf.DUMMYFUNCTION("""COMPUTED_VALUE"""),"Master")</f>
        <v>Master</v>
      </c>
      <c r="D679" s="30" t="str">
        <f>IFERROR(__xludf.DUMMYFUNCTION("""COMPUTED_VALUE"""),"Care Bears")</f>
        <v>Care Bears</v>
      </c>
      <c r="E679" s="30" t="str">
        <f>IFERROR(__xludf.DUMMYFUNCTION("""COMPUTED_VALUE"""),"The Bear Den")</f>
        <v>The Bear Den</v>
      </c>
      <c r="F679" s="30" t="str">
        <f>IFERROR(__xludf.DUMMYFUNCTION("""COMPUTED_VALUE"""),"N/A")</f>
        <v>N/A</v>
      </c>
      <c r="G679" s="92">
        <f>IFERROR(__xludf.DUMMYFUNCTION("""COMPUTED_VALUE"""),6.187300135132759)</f>
        <v>6.187300135</v>
      </c>
    </row>
    <row r="680">
      <c r="A680" s="30" t="str">
        <f>IFERROR(__xludf.DUMMYFUNCTION("""COMPUTED_VALUE"""),"RSC002050")</f>
        <v>RSC002050</v>
      </c>
      <c r="B680" s="30" t="str">
        <f>IFERROR(__xludf.DUMMYFUNCTION("""COMPUTED_VALUE"""),"Goobz")</f>
        <v>Goobz</v>
      </c>
      <c r="C680" s="30" t="str">
        <f>IFERROR(__xludf.DUMMYFUNCTION("""COMPUTED_VALUE"""),"Master")</f>
        <v>Master</v>
      </c>
      <c r="D680" s="30" t="str">
        <f>IFERROR(__xludf.DUMMYFUNCTION("""COMPUTED_VALUE"""),"Plinko")</f>
        <v>Plinko</v>
      </c>
      <c r="E680" s="30" t="str">
        <f>IFERROR(__xludf.DUMMYFUNCTION("""COMPUTED_VALUE"""),"Never Lucky")</f>
        <v>Never Lucky</v>
      </c>
      <c r="F680" s="30" t="str">
        <f>IFERROR(__xludf.DUMMYFUNCTION("""COMPUTED_VALUE"""),"N/A")</f>
        <v>N/A</v>
      </c>
      <c r="G680" s="92">
        <f>IFERROR(__xludf.DUMMYFUNCTION("""COMPUTED_VALUE"""),39.27384493283203)</f>
        <v>39.27384493</v>
      </c>
    </row>
    <row r="681">
      <c r="A681" s="30" t="str">
        <f>IFERROR(__xludf.DUMMYFUNCTION("""COMPUTED_VALUE"""),"RSC001903")</f>
        <v>RSC001903</v>
      </c>
      <c r="B681" s="30" t="str">
        <f>IFERROR(__xludf.DUMMYFUNCTION("""COMPUTED_VALUE"""),"Plasma")</f>
        <v>Plasma</v>
      </c>
      <c r="C681" s="30" t="str">
        <f>IFERROR(__xludf.DUMMYFUNCTION("""COMPUTED_VALUE"""),"Master")</f>
        <v>Master</v>
      </c>
      <c r="D681" s="30" t="str">
        <f>IFERROR(__xludf.DUMMYFUNCTION("""COMPUTED_VALUE"""),"Spectres")</f>
        <v>Spectres</v>
      </c>
      <c r="E681" s="30" t="str">
        <f>IFERROR(__xludf.DUMMYFUNCTION("""COMPUTED_VALUE"""),"The Monster Mash")</f>
        <v>The Monster Mash</v>
      </c>
      <c r="F681" s="30" t="str">
        <f>IFERROR(__xludf.DUMMYFUNCTION("""COMPUTED_VALUE"""),"N/A")</f>
        <v>N/A</v>
      </c>
      <c r="G681" s="92">
        <f>IFERROR(__xludf.DUMMYFUNCTION("""COMPUTED_VALUE"""),21.61866935294937)</f>
        <v>21.61866935</v>
      </c>
    </row>
    <row r="682">
      <c r="A682" s="30" t="str">
        <f>IFERROR(__xludf.DUMMYFUNCTION("""COMPUTED_VALUE"""),"RSC004730")</f>
        <v>RSC004730</v>
      </c>
      <c r="B682" s="30" t="str">
        <f>IFERROR(__xludf.DUMMYFUNCTION("""COMPUTED_VALUE"""),"SgtPickle")</f>
        <v>SgtPickle</v>
      </c>
      <c r="C682" s="30" t="str">
        <f>IFERROR(__xludf.DUMMYFUNCTION("""COMPUTED_VALUE"""),"Master")</f>
        <v>Master</v>
      </c>
      <c r="D682" s="30" t="str">
        <f>IFERROR(__xludf.DUMMYFUNCTION("""COMPUTED_VALUE"""),"Lemurs")</f>
        <v>Lemurs</v>
      </c>
      <c r="E682" s="30" t="str">
        <f>IFERROR(__xludf.DUMMYFUNCTION("""COMPUTED_VALUE"""),"The Jungle")</f>
        <v>The Jungle</v>
      </c>
      <c r="F682" s="30" t="str">
        <f>IFERROR(__xludf.DUMMYFUNCTION("""COMPUTED_VALUE"""),"N/A")</f>
        <v>N/A</v>
      </c>
      <c r="G682" s="92">
        <f>IFERROR(__xludf.DUMMYFUNCTION("""COMPUTED_VALUE"""),47.91513710370814)</f>
        <v>47.9151371</v>
      </c>
    </row>
    <row r="683">
      <c r="A683" s="30" t="str">
        <f>IFERROR(__xludf.DUMMYFUNCTION("""COMPUTED_VALUE"""),"RSC007466")</f>
        <v>RSC007466</v>
      </c>
      <c r="B683" s="30" t="str">
        <f>IFERROR(__xludf.DUMMYFUNCTION("""COMPUTED_VALUE"""),"Viiper :)")</f>
        <v>Viiper :)</v>
      </c>
      <c r="C683" s="30" t="str">
        <f>IFERROR(__xludf.DUMMYFUNCTION("""COMPUTED_VALUE"""),"Master")</f>
        <v>Master</v>
      </c>
      <c r="D683" s="30" t="str">
        <f>IFERROR(__xludf.DUMMYFUNCTION("""COMPUTED_VALUE"""),"Phantom Phreaks")</f>
        <v>Phantom Phreaks</v>
      </c>
      <c r="E683" s="30" t="str">
        <f>IFERROR(__xludf.DUMMYFUNCTION("""COMPUTED_VALUE"""),"Ghoul School")</f>
        <v>Ghoul School</v>
      </c>
      <c r="F683" s="30" t="str">
        <f>IFERROR(__xludf.DUMMYFUNCTION("""COMPUTED_VALUE"""),"N/A")</f>
        <v>N/A</v>
      </c>
      <c r="G683" s="92">
        <f>IFERROR(__xludf.DUMMYFUNCTION("""COMPUTED_VALUE"""),66.0645244508267)</f>
        <v>66.06452445</v>
      </c>
    </row>
    <row r="684">
      <c r="A684" s="30" t="str">
        <f>IFERROR(__xludf.DUMMYFUNCTION("""COMPUTED_VALUE"""),"RSC005499")</f>
        <v>RSC005499</v>
      </c>
      <c r="B684" s="30" t="str">
        <f>IFERROR(__xludf.DUMMYFUNCTION("""COMPUTED_VALUE"""),"R0cket")</f>
        <v>R0cket</v>
      </c>
      <c r="C684" s="30" t="str">
        <f>IFERROR(__xludf.DUMMYFUNCTION("""COMPUTED_VALUE"""),"Master")</f>
        <v>Master</v>
      </c>
      <c r="D684" s="30" t="str">
        <f>IFERROR(__xludf.DUMMYFUNCTION("""COMPUTED_VALUE"""),"Tempests
Helicoprions")</f>
        <v>Tempests
Helicoprions</v>
      </c>
      <c r="E684" s="30" t="str">
        <f>IFERROR(__xludf.DUMMYFUNCTION("""COMPUTED_VALUE"""),"Storm
Shark Attack")</f>
        <v>Storm
Shark Attack</v>
      </c>
      <c r="F684" s="30" t="str">
        <f>IFERROR(__xludf.DUMMYFUNCTION("""COMPUTED_VALUE"""),"Solar")</f>
        <v>Solar</v>
      </c>
      <c r="G684" s="92">
        <f>IFERROR(__xludf.DUMMYFUNCTION("""COMPUTED_VALUE"""),48.98903947314865)</f>
        <v>48.98903947</v>
      </c>
    </row>
    <row r="685">
      <c r="A685" s="30" t="str">
        <f>IFERROR(__xludf.DUMMYFUNCTION("""COMPUTED_VALUE"""),"RSC002862")</f>
        <v>RSC002862</v>
      </c>
      <c r="B685" s="30" t="str">
        <f>IFERROR(__xludf.DUMMYFUNCTION("""COMPUTED_VALUE"""),"Doodle!")</f>
        <v>Doodle!</v>
      </c>
      <c r="C685" s="30" t="str">
        <f>IFERROR(__xludf.DUMMYFUNCTION("""COMPUTED_VALUE"""),"Master")</f>
        <v>Master</v>
      </c>
      <c r="D685" s="30" t="str">
        <f>IFERROR(__xludf.DUMMYFUNCTION("""COMPUTED_VALUE"""),"The OG")</f>
        <v>The OG</v>
      </c>
      <c r="E685" s="30" t="str">
        <f>IFERROR(__xludf.DUMMYFUNCTION("""COMPUTED_VALUE"""),"The Hood")</f>
        <v>The Hood</v>
      </c>
      <c r="F685" s="30" t="str">
        <f>IFERROR(__xludf.DUMMYFUNCTION("""COMPUTED_VALUE"""),"N/A")</f>
        <v>N/A</v>
      </c>
      <c r="G685" s="92">
        <f>IFERROR(__xludf.DUMMYFUNCTION("""COMPUTED_VALUE"""),37.41019966623908)</f>
        <v>37.41019967</v>
      </c>
    </row>
    <row r="686">
      <c r="A686" s="30" t="str">
        <f>IFERROR(__xludf.DUMMYFUNCTION("""COMPUTED_VALUE"""),"RSC005234")</f>
        <v>RSC005234</v>
      </c>
      <c r="B686" s="30" t="str">
        <f>IFERROR(__xludf.DUMMYFUNCTION("""COMPUTED_VALUE"""),"Hirsch")</f>
        <v>Hirsch</v>
      </c>
      <c r="C686" s="30" t="str">
        <f>IFERROR(__xludf.DUMMYFUNCTION("""COMPUTED_VALUE"""),"Master")</f>
        <v>Master</v>
      </c>
      <c r="D686" s="30" t="str">
        <f>IFERROR(__xludf.DUMMYFUNCTION("""COMPUTED_VALUE"""),"The OG")</f>
        <v>The OG</v>
      </c>
      <c r="E686" s="30" t="str">
        <f>IFERROR(__xludf.DUMMYFUNCTION("""COMPUTED_VALUE"""),"The Hood")</f>
        <v>The Hood</v>
      </c>
      <c r="F686" s="30" t="str">
        <f>IFERROR(__xludf.DUMMYFUNCTION("""COMPUTED_VALUE"""),"N/A")</f>
        <v>N/A</v>
      </c>
      <c r="G686" s="92">
        <f>IFERROR(__xludf.DUMMYFUNCTION("""COMPUTED_VALUE"""),56.67696623324323)</f>
        <v>56.67696623</v>
      </c>
    </row>
    <row r="687">
      <c r="A687" s="30" t="str">
        <f>IFERROR(__xludf.DUMMYFUNCTION("""COMPUTED_VALUE"""),"RSC007997")</f>
        <v>RSC007997</v>
      </c>
      <c r="B687" s="30" t="str">
        <f>IFERROR(__xludf.DUMMYFUNCTION("""COMPUTED_VALUE"""),"dreamyrll")</f>
        <v>dreamyrll</v>
      </c>
      <c r="C687" s="30" t="str">
        <f>IFERROR(__xludf.DUMMYFUNCTION("""COMPUTED_VALUE"""),"Master")</f>
        <v>Master</v>
      </c>
      <c r="D687" s="30" t="str">
        <f>IFERROR(__xludf.DUMMYFUNCTION("""COMPUTED_VALUE"""),"The OG")</f>
        <v>The OG</v>
      </c>
      <c r="E687" s="30" t="str">
        <f>IFERROR(__xludf.DUMMYFUNCTION("""COMPUTED_VALUE"""),"The Hood")</f>
        <v>The Hood</v>
      </c>
      <c r="F687" s="30" t="str">
        <f>IFERROR(__xludf.DUMMYFUNCTION("""COMPUTED_VALUE"""),"N/A")</f>
        <v>N/A</v>
      </c>
      <c r="G687" s="92">
        <f>IFERROR(__xludf.DUMMYFUNCTION("""COMPUTED_VALUE"""),61.30623389592079)</f>
        <v>61.3062339</v>
      </c>
    </row>
    <row r="688">
      <c r="A688" s="30" t="str">
        <f>IFERROR(__xludf.DUMMYFUNCTION("""COMPUTED_VALUE"""),"RSC006985")</f>
        <v>RSC006985</v>
      </c>
      <c r="B688" s="30" t="str">
        <f>IFERROR(__xludf.DUMMYFUNCTION("""COMPUTED_VALUE"""),"not so jucy skep")</f>
        <v>not so jucy skep</v>
      </c>
      <c r="C688" s="30" t="str">
        <f>IFERROR(__xludf.DUMMYFUNCTION("""COMPUTED_VALUE"""),"Master")</f>
        <v>Master</v>
      </c>
      <c r="D688" s="30" t="str">
        <f>IFERROR(__xludf.DUMMYFUNCTION("""COMPUTED_VALUE"""),"Kawaii")</f>
        <v>Kawaii</v>
      </c>
      <c r="E688" s="30" t="str">
        <f>IFERROR(__xludf.DUMMYFUNCTION("""COMPUTED_VALUE"""),"The Pit")</f>
        <v>The Pit</v>
      </c>
      <c r="F688" s="30" t="str">
        <f>IFERROR(__xludf.DUMMYFUNCTION("""COMPUTED_VALUE"""),"N/A")</f>
        <v>N/A</v>
      </c>
      <c r="G688" s="92">
        <f>IFERROR(__xludf.DUMMYFUNCTION("""COMPUTED_VALUE"""),58.305691369132234)</f>
        <v>58.30569137</v>
      </c>
    </row>
    <row r="689">
      <c r="A689" s="30" t="str">
        <f>IFERROR(__xludf.DUMMYFUNCTION("""COMPUTED_VALUE"""),"RSC000021")</f>
        <v>RSC000021</v>
      </c>
      <c r="B689" s="30" t="str">
        <f>IFERROR(__xludf.DUMMYFUNCTION("""COMPUTED_VALUE"""),"TyTy")</f>
        <v>TyTy</v>
      </c>
      <c r="C689" s="30" t="str">
        <f>IFERROR(__xludf.DUMMYFUNCTION("""COMPUTED_VALUE"""),"Master")</f>
        <v>Master</v>
      </c>
      <c r="D689" s="30" t="str">
        <f>IFERROR(__xludf.DUMMYFUNCTION("""COMPUTED_VALUE"""),"Andromeda")</f>
        <v>Andromeda</v>
      </c>
      <c r="E689" s="30" t="str">
        <f>IFERROR(__xludf.DUMMYFUNCTION("""COMPUTED_VALUE"""),"The Cosmos")</f>
        <v>The Cosmos</v>
      </c>
      <c r="F689" s="30" t="str">
        <f>IFERROR(__xludf.DUMMYFUNCTION("""COMPUTED_VALUE"""),"Solar")</f>
        <v>Solar</v>
      </c>
      <c r="G689" s="92">
        <f>IFERROR(__xludf.DUMMYFUNCTION("""COMPUTED_VALUE"""),32.61010049400984)</f>
        <v>32.61010049</v>
      </c>
    </row>
    <row r="690">
      <c r="A690" s="30" t="str">
        <f>IFERROR(__xludf.DUMMYFUNCTION("""COMPUTED_VALUE"""),"RSC005385")</f>
        <v>RSC005385</v>
      </c>
      <c r="B690" s="30" t="str">
        <f>IFERROR(__xludf.DUMMYFUNCTION("""COMPUTED_VALUE"""),"Girth")</f>
        <v>Girth</v>
      </c>
      <c r="C690" s="30" t="str">
        <f>IFERROR(__xludf.DUMMYFUNCTION("""COMPUTED_VALUE"""),"Master")</f>
        <v>Master</v>
      </c>
      <c r="D690" s="30" t="str">
        <f>IFERROR(__xludf.DUMMYFUNCTION("""COMPUTED_VALUE"""),"Plinko")</f>
        <v>Plinko</v>
      </c>
      <c r="E690" s="30" t="str">
        <f>IFERROR(__xludf.DUMMYFUNCTION("""COMPUTED_VALUE"""),"Never Lucky")</f>
        <v>Never Lucky</v>
      </c>
      <c r="F690" s="30" t="str">
        <f>IFERROR(__xludf.DUMMYFUNCTION("""COMPUTED_VALUE"""),"N/A")</f>
        <v>N/A</v>
      </c>
      <c r="G690" s="92">
        <f>IFERROR(__xludf.DUMMYFUNCTION("""COMPUTED_VALUE"""),31.776276837068853)</f>
        <v>31.77627684</v>
      </c>
    </row>
    <row r="691">
      <c r="A691" s="30" t="str">
        <f>IFERROR(__xludf.DUMMYFUNCTION("""COMPUTED_VALUE"""),"RSC000824")</f>
        <v>RSC000824</v>
      </c>
      <c r="B691" s="30" t="str">
        <f>IFERROR(__xludf.DUMMYFUNCTION("""COMPUTED_VALUE"""),"Cart")</f>
        <v>Cart</v>
      </c>
      <c r="C691" s="30" t="str">
        <f>IFERROR(__xludf.DUMMYFUNCTION("""COMPUTED_VALUE"""),"Master")</f>
        <v>Master</v>
      </c>
      <c r="D691" s="30" t="str">
        <f>IFERROR(__xludf.DUMMYFUNCTION("""COMPUTED_VALUE"""),"Hard Hats")</f>
        <v>Hard Hats</v>
      </c>
      <c r="E691" s="30" t="str">
        <f>IFERROR(__xludf.DUMMYFUNCTION("""COMPUTED_VALUE"""),"Road Work Ahead")</f>
        <v>Road Work Ahead</v>
      </c>
      <c r="F691" s="30" t="str">
        <f>IFERROR(__xludf.DUMMYFUNCTION("""COMPUTED_VALUE"""),"N/A")</f>
        <v>N/A</v>
      </c>
      <c r="G691" s="92">
        <f>IFERROR(__xludf.DUMMYFUNCTION("""COMPUTED_VALUE"""),20.632706207886347)</f>
        <v>20.63270621</v>
      </c>
    </row>
    <row r="692">
      <c r="A692" s="30" t="str">
        <f>IFERROR(__xludf.DUMMYFUNCTION("""COMPUTED_VALUE"""),"RSC003178")</f>
        <v>RSC003178</v>
      </c>
      <c r="B692" s="30" t="str">
        <f>IFERROR(__xludf.DUMMYFUNCTION("""COMPUTED_VALUE"""),"Snack Time!")</f>
        <v>Snack Time!</v>
      </c>
      <c r="C692" s="30" t="str">
        <f>IFERROR(__xludf.DUMMYFUNCTION("""COMPUTED_VALUE"""),"Master")</f>
        <v>Master</v>
      </c>
      <c r="D692" s="30" t="str">
        <f>IFERROR(__xludf.DUMMYFUNCTION("""COMPUTED_VALUE"""),"The OG")</f>
        <v>The OG</v>
      </c>
      <c r="E692" s="30" t="str">
        <f>IFERROR(__xludf.DUMMYFUNCTION("""COMPUTED_VALUE"""),"The Hood")</f>
        <v>The Hood</v>
      </c>
      <c r="F692" s="30" t="str">
        <f>IFERROR(__xludf.DUMMYFUNCTION("""COMPUTED_VALUE"""),"N/A")</f>
        <v>N/A</v>
      </c>
      <c r="G692" s="92">
        <f>IFERROR(__xludf.DUMMYFUNCTION("""COMPUTED_VALUE"""),17.115639905686855)</f>
        <v>17.11563991</v>
      </c>
    </row>
    <row r="693">
      <c r="A693" s="30" t="str">
        <f>IFERROR(__xludf.DUMMYFUNCTION("""COMPUTED_VALUE"""),"RSC002620")</f>
        <v>RSC002620</v>
      </c>
      <c r="B693" s="30" t="str">
        <f>IFERROR(__xludf.DUMMYFUNCTION("""COMPUTED_VALUE"""),"Instnt")</f>
        <v>Instnt</v>
      </c>
      <c r="C693" s="30" t="str">
        <f>IFERROR(__xludf.DUMMYFUNCTION("""COMPUTED_VALUE"""),"Master")</f>
        <v>Master</v>
      </c>
      <c r="D693" s="30" t="str">
        <f>IFERROR(__xludf.DUMMYFUNCTION("""COMPUTED_VALUE"""),"Tempests")</f>
        <v>Tempests</v>
      </c>
      <c r="E693" s="30" t="str">
        <f>IFERROR(__xludf.DUMMYFUNCTION("""COMPUTED_VALUE"""),"Storm")</f>
        <v>Storm</v>
      </c>
      <c r="F693" s="30" t="str">
        <f>IFERROR(__xludf.DUMMYFUNCTION("""COMPUTED_VALUE"""),"Solar")</f>
        <v>Solar</v>
      </c>
      <c r="G693" s="92">
        <f>IFERROR(__xludf.DUMMYFUNCTION("""COMPUTED_VALUE"""),73.36584884099975)</f>
        <v>73.36584884</v>
      </c>
    </row>
    <row r="694">
      <c r="A694" s="30" t="str">
        <f>IFERROR(__xludf.DUMMYFUNCTION("""COMPUTED_VALUE"""),"RSC007354")</f>
        <v>RSC007354</v>
      </c>
      <c r="B694" s="30" t="str">
        <f>IFERROR(__xludf.DUMMYFUNCTION("""COMPUTED_VALUE"""),"Fanatic")</f>
        <v>Fanatic</v>
      </c>
      <c r="C694" s="30" t="str">
        <f>IFERROR(__xludf.DUMMYFUNCTION("""COMPUTED_VALUE"""),"Master")</f>
        <v>Master</v>
      </c>
      <c r="D694" s="30" t="str">
        <f>IFERROR(__xludf.DUMMYFUNCTION("""COMPUTED_VALUE"""),"Oblivion")</f>
        <v>Oblivion</v>
      </c>
      <c r="E694" s="30" t="str">
        <f>IFERROR(__xludf.DUMMYFUNCTION("""COMPUTED_VALUE"""),"Event Horizon")</f>
        <v>Event Horizon</v>
      </c>
      <c r="F694" s="30" t="str">
        <f>IFERROR(__xludf.DUMMYFUNCTION("""COMPUTED_VALUE"""),"N/A")</f>
        <v>N/A</v>
      </c>
      <c r="G694" s="92">
        <f>IFERROR(__xludf.DUMMYFUNCTION("""COMPUTED_VALUE"""),37.23304471060662)</f>
        <v>37.23304471</v>
      </c>
    </row>
    <row r="695">
      <c r="A695" s="30" t="str">
        <f>IFERROR(__xludf.DUMMYFUNCTION("""COMPUTED_VALUE"""),"RSC006704")</f>
        <v>RSC006704</v>
      </c>
      <c r="B695" s="30" t="str">
        <f>IFERROR(__xludf.DUMMYFUNCTION("""COMPUTED_VALUE"""),"noah")</f>
        <v>noah</v>
      </c>
      <c r="C695" s="30" t="str">
        <f>IFERROR(__xludf.DUMMYFUNCTION("""COMPUTED_VALUE"""),"Master")</f>
        <v>Master</v>
      </c>
      <c r="D695" s="30" t="str">
        <f>IFERROR(__xludf.DUMMYFUNCTION("""COMPUTED_VALUE"""),"Andromeda")</f>
        <v>Andromeda</v>
      </c>
      <c r="E695" s="30" t="str">
        <f>IFERROR(__xludf.DUMMYFUNCTION("""COMPUTED_VALUE"""),"The Cosmos")</f>
        <v>The Cosmos</v>
      </c>
      <c r="F695" s="30" t="str">
        <f>IFERROR(__xludf.DUMMYFUNCTION("""COMPUTED_VALUE"""),"Solar")</f>
        <v>Solar</v>
      </c>
      <c r="G695" s="92">
        <f>IFERROR(__xludf.DUMMYFUNCTION("""COMPUTED_VALUE"""),-24.03480456940524)</f>
        <v>-24.03480457</v>
      </c>
    </row>
    <row r="696">
      <c r="A696" s="30" t="str">
        <f>IFERROR(__xludf.DUMMYFUNCTION("""COMPUTED_VALUE"""),"RSC007455")</f>
        <v>RSC007455</v>
      </c>
      <c r="B696" s="30" t="str">
        <f>IFERROR(__xludf.DUMMYFUNCTION("""COMPUTED_VALUE"""),"Shlumpy")</f>
        <v>Shlumpy</v>
      </c>
      <c r="C696" s="30" t="str">
        <f>IFERROR(__xludf.DUMMYFUNCTION("""COMPUTED_VALUE"""),"Master")</f>
        <v>Master</v>
      </c>
      <c r="D696" s="30" t="str">
        <f>IFERROR(__xludf.DUMMYFUNCTION("""COMPUTED_VALUE"""),"Phantom Phreaks")</f>
        <v>Phantom Phreaks</v>
      </c>
      <c r="E696" s="30" t="str">
        <f>IFERROR(__xludf.DUMMYFUNCTION("""COMPUTED_VALUE"""),"Ghoul School")</f>
        <v>Ghoul School</v>
      </c>
      <c r="F696" s="30" t="str">
        <f>IFERROR(__xludf.DUMMYFUNCTION("""COMPUTED_VALUE"""),"N/A")</f>
        <v>N/A</v>
      </c>
      <c r="G696" s="92">
        <f>IFERROR(__xludf.DUMMYFUNCTION("""COMPUTED_VALUE"""),73.38170113454305)</f>
        <v>73.38170113</v>
      </c>
    </row>
    <row r="697">
      <c r="A697" s="30" t="str">
        <f>IFERROR(__xludf.DUMMYFUNCTION("""COMPUTED_VALUE"""),"RSC007282")</f>
        <v>RSC007282</v>
      </c>
      <c r="B697" s="30" t="str">
        <f>IFERROR(__xludf.DUMMYFUNCTION("""COMPUTED_VALUE"""),"kRs^^")</f>
        <v>kRs^^</v>
      </c>
      <c r="C697" s="30" t="str">
        <f>IFERROR(__xludf.DUMMYFUNCTION("""COMPUTED_VALUE"""),"Master")</f>
        <v>Master</v>
      </c>
      <c r="D697" s="30" t="str">
        <f>IFERROR(__xludf.DUMMYFUNCTION("""COMPUTED_VALUE"""),"Helicoprions")</f>
        <v>Helicoprions</v>
      </c>
      <c r="E697" s="30" t="str">
        <f>IFERROR(__xludf.DUMMYFUNCTION("""COMPUTED_VALUE"""),"Shark Attack")</f>
        <v>Shark Attack</v>
      </c>
      <c r="F697" s="30" t="str">
        <f>IFERROR(__xludf.DUMMYFUNCTION("""COMPUTED_VALUE"""),"N/A")</f>
        <v>N/A</v>
      </c>
      <c r="G697" s="92">
        <f>IFERROR(__xludf.DUMMYFUNCTION("""COMPUTED_VALUE"""),54.486178876069424)</f>
        <v>54.48617888</v>
      </c>
    </row>
    <row r="698">
      <c r="A698" s="30" t="str">
        <f>IFERROR(__xludf.DUMMYFUNCTION("""COMPUTED_VALUE"""),"RSC004132")</f>
        <v>RSC004132</v>
      </c>
      <c r="B698" s="30" t="str">
        <f>IFERROR(__xludf.DUMMYFUNCTION("""COMPUTED_VALUE"""),"Rob Belichick")</f>
        <v>Rob Belichick</v>
      </c>
      <c r="C698" s="30" t="str">
        <f>IFERROR(__xludf.DUMMYFUNCTION("""COMPUTED_VALUE"""),"Master")</f>
        <v>Master</v>
      </c>
      <c r="D698" s="30" t="str">
        <f>IFERROR(__xludf.DUMMYFUNCTION("""COMPUTED_VALUE"""),"Battle Masters")</f>
        <v>Battle Masters</v>
      </c>
      <c r="E698" s="30" t="str">
        <f>IFERROR(__xludf.DUMMYFUNCTION("""COMPUTED_VALUE"""),"Dwarf Haven")</f>
        <v>Dwarf Haven</v>
      </c>
      <c r="F698" s="30" t="str">
        <f>IFERROR(__xludf.DUMMYFUNCTION("""COMPUTED_VALUE"""),"N/A")</f>
        <v>N/A</v>
      </c>
      <c r="G698" s="92">
        <f>IFERROR(__xludf.DUMMYFUNCTION("""COMPUTED_VALUE"""),38.08013816921977)</f>
        <v>38.08013817</v>
      </c>
    </row>
    <row r="699">
      <c r="A699" s="30" t="str">
        <f>IFERROR(__xludf.DUMMYFUNCTION("""COMPUTED_VALUE"""),"RSC007924")</f>
        <v>RSC007924</v>
      </c>
      <c r="B699" s="30" t="str">
        <f>IFERROR(__xludf.DUMMYFUNCTION("""COMPUTED_VALUE"""),"Kaorix")</f>
        <v>Kaorix</v>
      </c>
      <c r="C699" s="30" t="str">
        <f>IFERROR(__xludf.DUMMYFUNCTION("""COMPUTED_VALUE"""),"Master")</f>
        <v>Master</v>
      </c>
      <c r="D699" s="30" t="str">
        <f>IFERROR(__xludf.DUMMYFUNCTION("""COMPUTED_VALUE"""),"Fromunda Frauds")</f>
        <v>Fromunda Frauds</v>
      </c>
      <c r="E699" s="30" t="str">
        <f>IFERROR(__xludf.DUMMYFUNCTION("""COMPUTED_VALUE"""),"Cheese Guild")</f>
        <v>Cheese Guild</v>
      </c>
      <c r="F699" s="30" t="str">
        <f>IFERROR(__xludf.DUMMYFUNCTION("""COMPUTED_VALUE"""),"Solar")</f>
        <v>Solar</v>
      </c>
      <c r="G699" s="92">
        <f>IFERROR(__xludf.DUMMYFUNCTION("""COMPUTED_VALUE"""),-8.61848070359217)</f>
        <v>-8.618480704</v>
      </c>
    </row>
    <row r="700">
      <c r="A700" s="30" t="str">
        <f>IFERROR(__xludf.DUMMYFUNCTION("""COMPUTED_VALUE"""),"RSC007099")</f>
        <v>RSC007099</v>
      </c>
      <c r="B700" s="30" t="str">
        <f>IFERROR(__xludf.DUMMYFUNCTION("""COMPUTED_VALUE"""),"gumwee wigglebean")</f>
        <v>gumwee wigglebean</v>
      </c>
      <c r="C700" s="30" t="str">
        <f>IFERROR(__xludf.DUMMYFUNCTION("""COMPUTED_VALUE"""),"Master")</f>
        <v>Master</v>
      </c>
      <c r="D700" s="30" t="str">
        <f>IFERROR(__xludf.DUMMYFUNCTION("""COMPUTED_VALUE"""),"Plinko")</f>
        <v>Plinko</v>
      </c>
      <c r="E700" s="30" t="str">
        <f>IFERROR(__xludf.DUMMYFUNCTION("""COMPUTED_VALUE"""),"Never Lucky")</f>
        <v>Never Lucky</v>
      </c>
      <c r="F700" s="30" t="str">
        <f>IFERROR(__xludf.DUMMYFUNCTION("""COMPUTED_VALUE"""),"N/A")</f>
        <v>N/A</v>
      </c>
      <c r="G700" s="92">
        <f>IFERROR(__xludf.DUMMYFUNCTION("""COMPUTED_VALUE"""),81.97433317095613)</f>
        <v>81.97433317</v>
      </c>
    </row>
    <row r="701">
      <c r="A701" s="30" t="str">
        <f>IFERROR(__xludf.DUMMYFUNCTION("""COMPUTED_VALUE"""),"RSC007174")</f>
        <v>RSC007174</v>
      </c>
      <c r="B701" s="30" t="str">
        <f>IFERROR(__xludf.DUMMYFUNCTION("""COMPUTED_VALUE"""),"LMNS")</f>
        <v>LMNS</v>
      </c>
      <c r="C701" s="30" t="str">
        <f>IFERROR(__xludf.DUMMYFUNCTION("""COMPUTED_VALUE"""),"Master")</f>
        <v>Master</v>
      </c>
      <c r="D701" s="30" t="str">
        <f>IFERROR(__xludf.DUMMYFUNCTION("""COMPUTED_VALUE"""),"Care Bears
Spectres")</f>
        <v>Care Bears
Spectres</v>
      </c>
      <c r="E701" s="30" t="str">
        <f>IFERROR(__xludf.DUMMYFUNCTION("""COMPUTED_VALUE"""),"The Bear Den
The Monster Mash")</f>
        <v>The Bear Den
The Monster Mash</v>
      </c>
      <c r="F701" s="30" t="str">
        <f>IFERROR(__xludf.DUMMYFUNCTION("""COMPUTED_VALUE"""),"N/A")</f>
        <v>N/A</v>
      </c>
      <c r="G701" s="92">
        <f>IFERROR(__xludf.DUMMYFUNCTION("""COMPUTED_VALUE"""),29.08631993751419)</f>
        <v>29.08631994</v>
      </c>
    </row>
    <row r="702">
      <c r="A702" s="30" t="str">
        <f>IFERROR(__xludf.DUMMYFUNCTION("""COMPUTED_VALUE"""),"RSC005524")</f>
        <v>RSC005524</v>
      </c>
      <c r="B702" s="30" t="str">
        <f>IFERROR(__xludf.DUMMYFUNCTION("""COMPUTED_VALUE"""),"RaunchyRomanian")</f>
        <v>RaunchyRomanian</v>
      </c>
      <c r="C702" s="30" t="str">
        <f>IFERROR(__xludf.DUMMYFUNCTION("""COMPUTED_VALUE"""),"Master")</f>
        <v>Master</v>
      </c>
      <c r="D702" s="30" t="str">
        <f>IFERROR(__xludf.DUMMYFUNCTION("""COMPUTED_VALUE"""),"Heinous Henchmen")</f>
        <v>Heinous Henchmen</v>
      </c>
      <c r="E702" s="30" t="str">
        <f>IFERROR(__xludf.DUMMYFUNCTION("""COMPUTED_VALUE"""),"The Syndicate")</f>
        <v>The Syndicate</v>
      </c>
      <c r="F702" s="30" t="str">
        <f>IFERROR(__xludf.DUMMYFUNCTION("""COMPUTED_VALUE"""),"Lunar")</f>
        <v>Lunar</v>
      </c>
      <c r="G702" s="92">
        <f>IFERROR(__xludf.DUMMYFUNCTION("""COMPUTED_VALUE"""),17.686086358528073)</f>
        <v>17.68608636</v>
      </c>
    </row>
    <row r="703">
      <c r="A703" s="30" t="str">
        <f>IFERROR(__xludf.DUMMYFUNCTION("""COMPUTED_VALUE"""),"RSC000203")</f>
        <v>RSC000203</v>
      </c>
      <c r="B703" s="30" t="str">
        <f>IFERROR(__xludf.DUMMYFUNCTION("""COMPUTED_VALUE"""),"FrostyBrew")</f>
        <v>FrostyBrew</v>
      </c>
      <c r="C703" s="30" t="str">
        <f>IFERROR(__xludf.DUMMYFUNCTION("""COMPUTED_VALUE"""),"Master")</f>
        <v>Master</v>
      </c>
      <c r="D703" s="30" t="str">
        <f>IFERROR(__xludf.DUMMYFUNCTION("""COMPUTED_VALUE"""),"Spectres")</f>
        <v>Spectres</v>
      </c>
      <c r="E703" s="30" t="str">
        <f>IFERROR(__xludf.DUMMYFUNCTION("""COMPUTED_VALUE"""),"The Monster Mash")</f>
        <v>The Monster Mash</v>
      </c>
      <c r="F703" s="30" t="str">
        <f>IFERROR(__xludf.DUMMYFUNCTION("""COMPUTED_VALUE"""),"N/A")</f>
        <v>N/A</v>
      </c>
      <c r="G703" s="92">
        <f>IFERROR(__xludf.DUMMYFUNCTION("""COMPUTED_VALUE"""),24.42651376258877)</f>
        <v>24.42651376</v>
      </c>
    </row>
    <row r="704">
      <c r="A704" s="30" t="str">
        <f>IFERROR(__xludf.DUMMYFUNCTION("""COMPUTED_VALUE"""),"RSC005301")</f>
        <v>RSC005301</v>
      </c>
      <c r="B704" s="30" t="str">
        <f>IFERROR(__xludf.DUMMYFUNCTION("""COMPUTED_VALUE"""),"Nehtaro")</f>
        <v>Nehtaro</v>
      </c>
      <c r="C704" s="30" t="str">
        <f>IFERROR(__xludf.DUMMYFUNCTION("""COMPUTED_VALUE"""),"Master")</f>
        <v>Master</v>
      </c>
      <c r="D704" s="30" t="str">
        <f>IFERROR(__xludf.DUMMYFUNCTION("""COMPUTED_VALUE"""),"Care Bears")</f>
        <v>Care Bears</v>
      </c>
      <c r="E704" s="30" t="str">
        <f>IFERROR(__xludf.DUMMYFUNCTION("""COMPUTED_VALUE"""),"The Bear Den")</f>
        <v>The Bear Den</v>
      </c>
      <c r="F704" s="30" t="str">
        <f>IFERROR(__xludf.DUMMYFUNCTION("""COMPUTED_VALUE"""),"N/A")</f>
        <v>N/A</v>
      </c>
      <c r="G704" s="92">
        <f>IFERROR(__xludf.DUMMYFUNCTION("""COMPUTED_VALUE"""),-20.868938721090572)</f>
        <v>-20.86893872</v>
      </c>
    </row>
    <row r="705">
      <c r="A705" s="30" t="str">
        <f>IFERROR(__xludf.DUMMYFUNCTION("""COMPUTED_VALUE"""),"RSC007836")</f>
        <v>RSC007836</v>
      </c>
      <c r="B705" s="30" t="str">
        <f>IFERROR(__xludf.DUMMYFUNCTION("""COMPUTED_VALUE"""),"Eclipse")</f>
        <v>Eclipse</v>
      </c>
      <c r="C705" s="30" t="str">
        <f>IFERROR(__xludf.DUMMYFUNCTION("""COMPUTED_VALUE"""),"Elite")</f>
        <v>Elite</v>
      </c>
      <c r="D705" s="30" t="str">
        <f>IFERROR(__xludf.DUMMYFUNCTION("""COMPUTED_VALUE"""),"Great Whites")</f>
        <v>Great Whites</v>
      </c>
      <c r="E705" s="30" t="str">
        <f>IFERROR(__xludf.DUMMYFUNCTION("""COMPUTED_VALUE"""),"Shark Attack")</f>
        <v>Shark Attack</v>
      </c>
      <c r="F705" s="30" t="str">
        <f>IFERROR(__xludf.DUMMYFUNCTION("""COMPUTED_VALUE"""),"Solar")</f>
        <v>Solar</v>
      </c>
      <c r="G705" s="92">
        <f>IFERROR(__xludf.DUMMYFUNCTION("""COMPUTED_VALUE"""),56.05936453270581)</f>
        <v>56.05936453</v>
      </c>
    </row>
    <row r="706">
      <c r="A706" s="30" t="str">
        <f>IFERROR(__xludf.DUMMYFUNCTION("""COMPUTED_VALUE"""),"RSC007876")</f>
        <v>RSC007876</v>
      </c>
      <c r="B706" s="30" t="str">
        <f>IFERROR(__xludf.DUMMYFUNCTION("""COMPUTED_VALUE"""),"dwsn.")</f>
        <v>dwsn.</v>
      </c>
      <c r="C706" s="30" t="str">
        <f>IFERROR(__xludf.DUMMYFUNCTION("""COMPUTED_VALUE"""),"Elite")</f>
        <v>Elite</v>
      </c>
      <c r="D706" s="30" t="str">
        <f>IFERROR(__xludf.DUMMYFUNCTION("""COMPUTED_VALUE"""),"Great Whites")</f>
        <v>Great Whites</v>
      </c>
      <c r="E706" s="30" t="str">
        <f>IFERROR(__xludf.DUMMYFUNCTION("""COMPUTED_VALUE"""),"Shark Attack")</f>
        <v>Shark Attack</v>
      </c>
      <c r="F706" s="30" t="str">
        <f>IFERROR(__xludf.DUMMYFUNCTION("""COMPUTED_VALUE"""),"Solar")</f>
        <v>Solar</v>
      </c>
      <c r="G706" s="92">
        <f>IFERROR(__xludf.DUMMYFUNCTION("""COMPUTED_VALUE"""),90.65367769913456)</f>
        <v>90.6536777</v>
      </c>
    </row>
    <row r="707">
      <c r="A707" s="30" t="str">
        <f>IFERROR(__xludf.DUMMYFUNCTION("""COMPUTED_VALUE"""),"RSC006056")</f>
        <v>RSC006056</v>
      </c>
      <c r="B707" s="30" t="str">
        <f>IFERROR(__xludf.DUMMYFUNCTION("""COMPUTED_VALUE"""),"redsteel43br")</f>
        <v>redsteel43br</v>
      </c>
      <c r="C707" s="30" t="str">
        <f>IFERROR(__xludf.DUMMYFUNCTION("""COMPUTED_VALUE"""),"Elite")</f>
        <v>Elite</v>
      </c>
      <c r="D707" s="30" t="str">
        <f>IFERROR(__xludf.DUMMYFUNCTION("""COMPUTED_VALUE"""),"Great Whites")</f>
        <v>Great Whites</v>
      </c>
      <c r="E707" s="30" t="str">
        <f>IFERROR(__xludf.DUMMYFUNCTION("""COMPUTED_VALUE"""),"Shark Attack")</f>
        <v>Shark Attack</v>
      </c>
      <c r="F707" s="30" t="str">
        <f>IFERROR(__xludf.DUMMYFUNCTION("""COMPUTED_VALUE"""),"Solar")</f>
        <v>Solar</v>
      </c>
      <c r="G707" s="92">
        <f>IFERROR(__xludf.DUMMYFUNCTION("""COMPUTED_VALUE"""),25.53222979959317)</f>
        <v>25.5322298</v>
      </c>
    </row>
    <row r="708">
      <c r="A708" s="30" t="str">
        <f>IFERROR(__xludf.DUMMYFUNCTION("""COMPUTED_VALUE"""),"RSC003427")</f>
        <v>RSC003427</v>
      </c>
      <c r="B708" s="30" t="str">
        <f>IFERROR(__xludf.DUMMYFUNCTION("""COMPUTED_VALUE"""),"(P|F)ineapple")</f>
        <v>(P|F)ineapple</v>
      </c>
      <c r="C708" s="30" t="str">
        <f>IFERROR(__xludf.DUMMYFUNCTION("""COMPUTED_VALUE"""),"Elite")</f>
        <v>Elite</v>
      </c>
      <c r="D708" s="30" t="str">
        <f>IFERROR(__xludf.DUMMYFUNCTION("""COMPUTED_VALUE"""),"Orochi")</f>
        <v>Orochi</v>
      </c>
      <c r="E708" s="30" t="str">
        <f>IFERROR(__xludf.DUMMYFUNCTION("""COMPUTED_VALUE"""),"The Shrine")</f>
        <v>The Shrine</v>
      </c>
      <c r="F708" s="30" t="str">
        <f>IFERROR(__xludf.DUMMYFUNCTION("""COMPUTED_VALUE"""),"Solar")</f>
        <v>Solar</v>
      </c>
      <c r="G708" s="92">
        <f>IFERROR(__xludf.DUMMYFUNCTION("""COMPUTED_VALUE"""),40.010924203752545)</f>
        <v>40.0109242</v>
      </c>
    </row>
    <row r="709">
      <c r="A709" s="30" t="str">
        <f>IFERROR(__xludf.DUMMYFUNCTION("""COMPUTED_VALUE"""),"RSC003360")</f>
        <v>RSC003360</v>
      </c>
      <c r="B709" s="30" t="str">
        <f>IFERROR(__xludf.DUMMYFUNCTION("""COMPUTED_VALUE"""),"flossy")</f>
        <v>flossy</v>
      </c>
      <c r="C709" s="30" t="str">
        <f>IFERROR(__xludf.DUMMYFUNCTION("""COMPUTED_VALUE"""),"Elite")</f>
        <v>Elite</v>
      </c>
      <c r="D709" s="30" t="str">
        <f>IFERROR(__xludf.DUMMYFUNCTION("""COMPUTED_VALUE"""),"Geeky Ghouls
Orochi")</f>
        <v>Geeky Ghouls
Orochi</v>
      </c>
      <c r="E709" s="30" t="str">
        <f>IFERROR(__xludf.DUMMYFUNCTION("""COMPUTED_VALUE"""),"Ghoul School
The Shrine")</f>
        <v>Ghoul School
The Shrine</v>
      </c>
      <c r="F709" s="30" t="str">
        <f>IFERROR(__xludf.DUMMYFUNCTION("""COMPUTED_VALUE"""),"Solar")</f>
        <v>Solar</v>
      </c>
      <c r="G709" s="92">
        <f>IFERROR(__xludf.DUMMYFUNCTION("""COMPUTED_VALUE"""),37.21307492934123)</f>
        <v>37.21307493</v>
      </c>
    </row>
    <row r="710">
      <c r="A710" s="30" t="str">
        <f>IFERROR(__xludf.DUMMYFUNCTION("""COMPUTED_VALUE"""),"RSC007049")</f>
        <v>RSC007049</v>
      </c>
      <c r="B710" s="30" t="str">
        <f>IFERROR(__xludf.DUMMYFUNCTION("""COMPUTED_VALUE"""),"dillyn.")</f>
        <v>dillyn.</v>
      </c>
      <c r="C710" s="30" t="str">
        <f>IFERROR(__xludf.DUMMYFUNCTION("""COMPUTED_VALUE"""),"Elite")</f>
        <v>Elite</v>
      </c>
      <c r="D710" s="30" t="str">
        <f>IFERROR(__xludf.DUMMYFUNCTION("""COMPUTED_VALUE"""),"Orochi")</f>
        <v>Orochi</v>
      </c>
      <c r="E710" s="30" t="str">
        <f>IFERROR(__xludf.DUMMYFUNCTION("""COMPUTED_VALUE"""),"The Shrine")</f>
        <v>The Shrine</v>
      </c>
      <c r="F710" s="30" t="str">
        <f>IFERROR(__xludf.DUMMYFUNCTION("""COMPUTED_VALUE"""),"Solar")</f>
        <v>Solar</v>
      </c>
      <c r="G710" s="92">
        <f>IFERROR(__xludf.DUMMYFUNCTION("""COMPUTED_VALUE"""),64.85227386001885)</f>
        <v>64.85227386</v>
      </c>
    </row>
    <row r="711">
      <c r="A711" s="30" t="str">
        <f>IFERROR(__xludf.DUMMYFUNCTION("""COMPUTED_VALUE"""),"RSC002097")</f>
        <v>RSC002097</v>
      </c>
      <c r="B711" s="30" t="str">
        <f>IFERROR(__xludf.DUMMYFUNCTION("""COMPUTED_VALUE"""),"NoobZ")</f>
        <v>NoobZ</v>
      </c>
      <c r="C711" s="30" t="str">
        <f>IFERROR(__xludf.DUMMYFUNCTION("""COMPUTED_VALUE"""),"Elite")</f>
        <v>Elite</v>
      </c>
      <c r="D711" s="30" t="str">
        <f>IFERROR(__xludf.DUMMYFUNCTION("""COMPUTED_VALUE"""),"Thrashers")</f>
        <v>Thrashers</v>
      </c>
      <c r="E711" s="30" t="str">
        <f>IFERROR(__xludf.DUMMYFUNCTION("""COMPUTED_VALUE"""),"The Pit")</f>
        <v>The Pit</v>
      </c>
      <c r="F711" s="30" t="str">
        <f>IFERROR(__xludf.DUMMYFUNCTION("""COMPUTED_VALUE"""),"Lunar")</f>
        <v>Lunar</v>
      </c>
      <c r="G711" s="92">
        <f>IFERROR(__xludf.DUMMYFUNCTION("""COMPUTED_VALUE"""),46.57500919395238)</f>
        <v>46.57500919</v>
      </c>
    </row>
    <row r="712">
      <c r="A712" s="30" t="str">
        <f>IFERROR(__xludf.DUMMYFUNCTION("""COMPUTED_VALUE"""),"RSC004794")</f>
        <v>RSC004794</v>
      </c>
      <c r="B712" s="30" t="str">
        <f>IFERROR(__xludf.DUMMYFUNCTION("""COMPUTED_VALUE"""),"Buddha")</f>
        <v>Buddha</v>
      </c>
      <c r="C712" s="30" t="str">
        <f>IFERROR(__xludf.DUMMYFUNCTION("""COMPUTED_VALUE"""),"Elite")</f>
        <v>Elite</v>
      </c>
      <c r="D712" s="30" t="str">
        <f>IFERROR(__xludf.DUMMYFUNCTION("""COMPUTED_VALUE"""),"Thrashers")</f>
        <v>Thrashers</v>
      </c>
      <c r="E712" s="30" t="str">
        <f>IFERROR(__xludf.DUMMYFUNCTION("""COMPUTED_VALUE"""),"The Pit")</f>
        <v>The Pit</v>
      </c>
      <c r="F712" s="30" t="str">
        <f>IFERROR(__xludf.DUMMYFUNCTION("""COMPUTED_VALUE"""),"Lunar")</f>
        <v>Lunar</v>
      </c>
      <c r="G712" s="92">
        <f>IFERROR(__xludf.DUMMYFUNCTION("""COMPUTED_VALUE"""),-9.272049876886825)</f>
        <v>-9.272049877</v>
      </c>
    </row>
    <row r="713">
      <c r="A713" s="30" t="str">
        <f>IFERROR(__xludf.DUMMYFUNCTION("""COMPUTED_VALUE"""),"RSC000714")</f>
        <v>RSC000714</v>
      </c>
      <c r="B713" s="30" t="str">
        <f>IFERROR(__xludf.DUMMYFUNCTION("""COMPUTED_VALUE"""),"duffy")</f>
        <v>duffy</v>
      </c>
      <c r="C713" s="30" t="str">
        <f>IFERROR(__xludf.DUMMYFUNCTION("""COMPUTED_VALUE"""),"Elite")</f>
        <v>Elite</v>
      </c>
      <c r="D713" s="30" t="str">
        <f>IFERROR(__xludf.DUMMYFUNCTION("""COMPUTED_VALUE"""),"Thrashers")</f>
        <v>Thrashers</v>
      </c>
      <c r="E713" s="30" t="str">
        <f>IFERROR(__xludf.DUMMYFUNCTION("""COMPUTED_VALUE"""),"The Pit")</f>
        <v>The Pit</v>
      </c>
      <c r="F713" s="30" t="str">
        <f>IFERROR(__xludf.DUMMYFUNCTION("""COMPUTED_VALUE"""),"Lunar")</f>
        <v>Lunar</v>
      </c>
      <c r="G713" s="92">
        <f>IFERROR(__xludf.DUMMYFUNCTION("""COMPUTED_VALUE"""),78.61389533735712)</f>
        <v>78.61389534</v>
      </c>
    </row>
    <row r="714">
      <c r="A714" s="30" t="str">
        <f>IFERROR(__xludf.DUMMYFUNCTION("""COMPUTED_VALUE"""),"RSC007843")</f>
        <v>RSC007843</v>
      </c>
      <c r="B714" s="30" t="str">
        <f>IFERROR(__xludf.DUMMYFUNCTION("""COMPUTED_VALUE"""),"BLOO")</f>
        <v>BLOO</v>
      </c>
      <c r="C714" s="30" t="str">
        <f>IFERROR(__xludf.DUMMYFUNCTION("""COMPUTED_VALUE"""),"Elite")</f>
        <v>Elite</v>
      </c>
      <c r="D714" s="30" t="str">
        <f>IFERROR(__xludf.DUMMYFUNCTION("""COMPUTED_VALUE"""),"Praetorian Guard")</f>
        <v>Praetorian Guard</v>
      </c>
      <c r="E714" s="30" t="str">
        <f>IFERROR(__xludf.DUMMYFUNCTION("""COMPUTED_VALUE"""),"The Sovereign")</f>
        <v>The Sovereign</v>
      </c>
      <c r="F714" s="30" t="str">
        <f>IFERROR(__xludf.DUMMYFUNCTION("""COMPUTED_VALUE"""),"Lunar")</f>
        <v>Lunar</v>
      </c>
      <c r="G714" s="92">
        <f>IFERROR(__xludf.DUMMYFUNCTION("""COMPUTED_VALUE"""),60.99373761572494)</f>
        <v>60.99373762</v>
      </c>
    </row>
    <row r="715">
      <c r="A715" s="30" t="str">
        <f>IFERROR(__xludf.DUMMYFUNCTION("""COMPUTED_VALUE"""),"RSC005236")</f>
        <v>RSC005236</v>
      </c>
      <c r="B715" s="30" t="str">
        <f>IFERROR(__xludf.DUMMYFUNCTION("""COMPUTED_VALUE"""),"Rozi-")</f>
        <v>Rozi-</v>
      </c>
      <c r="C715" s="30" t="str">
        <f>IFERROR(__xludf.DUMMYFUNCTION("""COMPUTED_VALUE"""),"Elite")</f>
        <v>Elite</v>
      </c>
      <c r="D715" s="30" t="str">
        <f>IFERROR(__xludf.DUMMYFUNCTION("""COMPUTED_VALUE"""),"Praetorian Guard")</f>
        <v>Praetorian Guard</v>
      </c>
      <c r="E715" s="30" t="str">
        <f>IFERROR(__xludf.DUMMYFUNCTION("""COMPUTED_VALUE"""),"The Sovereign")</f>
        <v>The Sovereign</v>
      </c>
      <c r="F715" s="30" t="str">
        <f>IFERROR(__xludf.DUMMYFUNCTION("""COMPUTED_VALUE"""),"Lunar")</f>
        <v>Lunar</v>
      </c>
      <c r="G715" s="92">
        <f>IFERROR(__xludf.DUMMYFUNCTION("""COMPUTED_VALUE"""),51.71443434576381)</f>
        <v>51.71443435</v>
      </c>
    </row>
    <row r="716">
      <c r="A716" s="30" t="str">
        <f>IFERROR(__xludf.DUMMYFUNCTION("""COMPUTED_VALUE"""),"RSC000787")</f>
        <v>RSC000787</v>
      </c>
      <c r="B716" s="30" t="str">
        <f>IFERROR(__xludf.DUMMYFUNCTION("""COMPUTED_VALUE"""),"buckle")</f>
        <v>buckle</v>
      </c>
      <c r="C716" s="30" t="str">
        <f>IFERROR(__xludf.DUMMYFUNCTION("""COMPUTED_VALUE"""),"Elite")</f>
        <v>Elite</v>
      </c>
      <c r="D716" s="30" t="str">
        <f>IFERROR(__xludf.DUMMYFUNCTION("""COMPUTED_VALUE"""),"Praetorian Guard")</f>
        <v>Praetorian Guard</v>
      </c>
      <c r="E716" s="30" t="str">
        <f>IFERROR(__xludf.DUMMYFUNCTION("""COMPUTED_VALUE"""),"The Sovereign")</f>
        <v>The Sovereign</v>
      </c>
      <c r="F716" s="30" t="str">
        <f>IFERROR(__xludf.DUMMYFUNCTION("""COMPUTED_VALUE"""),"Lunar")</f>
        <v>Lunar</v>
      </c>
      <c r="G716" s="92">
        <f>IFERROR(__xludf.DUMMYFUNCTION("""COMPUTED_VALUE"""),66.76343051211845)</f>
        <v>66.76343051</v>
      </c>
    </row>
    <row r="717">
      <c r="A717" s="30" t="str">
        <f>IFERROR(__xludf.DUMMYFUNCTION("""COMPUTED_VALUE"""),"RSC006877")</f>
        <v>RSC006877</v>
      </c>
      <c r="B717" s="30" t="str">
        <f>IFERROR(__xludf.DUMMYFUNCTION("""COMPUTED_VALUE"""),"Jolt")</f>
        <v>Jolt</v>
      </c>
      <c r="C717" s="30" t="str">
        <f>IFERROR(__xludf.DUMMYFUNCTION("""COMPUTED_VALUE"""),"Elite")</f>
        <v>Elite</v>
      </c>
      <c r="D717" s="30" t="str">
        <f>IFERROR(__xludf.DUMMYFUNCTION("""COMPUTED_VALUE"""),"Wyverns")</f>
        <v>Wyverns</v>
      </c>
      <c r="E717" s="30" t="str">
        <f>IFERROR(__xludf.DUMMYFUNCTION("""COMPUTED_VALUE"""),"The Forest")</f>
        <v>The Forest</v>
      </c>
      <c r="F717" s="30" t="str">
        <f>IFERROR(__xludf.DUMMYFUNCTION("""COMPUTED_VALUE"""),"Solar")</f>
        <v>Solar</v>
      </c>
      <c r="G717" s="92">
        <f>IFERROR(__xludf.DUMMYFUNCTION("""COMPUTED_VALUE"""),33.31295590921844)</f>
        <v>33.31295591</v>
      </c>
    </row>
    <row r="718">
      <c r="A718" s="30" t="str">
        <f>IFERROR(__xludf.DUMMYFUNCTION("""COMPUTED_VALUE"""),"RSC007895")</f>
        <v>RSC007895</v>
      </c>
      <c r="B718" s="30" t="str">
        <f>IFERROR(__xludf.DUMMYFUNCTION("""COMPUTED_VALUE"""),"Lup")</f>
        <v>Lup</v>
      </c>
      <c r="C718" s="30" t="str">
        <f>IFERROR(__xludf.DUMMYFUNCTION("""COMPUTED_VALUE"""),"Elite")</f>
        <v>Elite</v>
      </c>
      <c r="D718" s="30" t="str">
        <f>IFERROR(__xludf.DUMMYFUNCTION("""COMPUTED_VALUE"""),"Wyverns")</f>
        <v>Wyverns</v>
      </c>
      <c r="E718" s="30" t="str">
        <f>IFERROR(__xludf.DUMMYFUNCTION("""COMPUTED_VALUE"""),"The Forest")</f>
        <v>The Forest</v>
      </c>
      <c r="F718" s="30" t="str">
        <f>IFERROR(__xludf.DUMMYFUNCTION("""COMPUTED_VALUE"""),"Solar")</f>
        <v>Solar</v>
      </c>
      <c r="G718" s="92">
        <f>IFERROR(__xludf.DUMMYFUNCTION("""COMPUTED_VALUE"""),62.90535570486708)</f>
        <v>62.9053557</v>
      </c>
    </row>
    <row r="719">
      <c r="A719" s="30" t="str">
        <f>IFERROR(__xludf.DUMMYFUNCTION("""COMPUTED_VALUE"""),"RSC005024")</f>
        <v>RSC005024</v>
      </c>
      <c r="B719" s="30" t="str">
        <f>IFERROR(__xludf.DUMMYFUNCTION("""COMPUTED_VALUE"""),"SSpekky")</f>
        <v>SSpekky</v>
      </c>
      <c r="C719" s="30" t="str">
        <f>IFERROR(__xludf.DUMMYFUNCTION("""COMPUTED_VALUE"""),"Elite")</f>
        <v>Elite</v>
      </c>
      <c r="D719" s="30" t="str">
        <f>IFERROR(__xludf.DUMMYFUNCTION("""COMPUTED_VALUE"""),"Wyverns")</f>
        <v>Wyverns</v>
      </c>
      <c r="E719" s="30" t="str">
        <f>IFERROR(__xludf.DUMMYFUNCTION("""COMPUTED_VALUE"""),"The Forest")</f>
        <v>The Forest</v>
      </c>
      <c r="F719" s="30" t="str">
        <f>IFERROR(__xludf.DUMMYFUNCTION("""COMPUTED_VALUE"""),"Solar")</f>
        <v>Solar</v>
      </c>
      <c r="G719" s="92">
        <f>IFERROR(__xludf.DUMMYFUNCTION("""COMPUTED_VALUE"""),66.72553213932484)</f>
        <v>66.72553214</v>
      </c>
    </row>
    <row r="720">
      <c r="A720" s="30" t="str">
        <f>IFERROR(__xludf.DUMMYFUNCTION("""COMPUTED_VALUE"""),"RSC000438")</f>
        <v>RSC000438</v>
      </c>
      <c r="B720" s="30" t="str">
        <f>IFERROR(__xludf.DUMMYFUNCTION("""COMPUTED_VALUE"""),"Limon")</f>
        <v>Limon</v>
      </c>
      <c r="C720" s="30" t="str">
        <f>IFERROR(__xludf.DUMMYFUNCTION("""COMPUTED_VALUE"""),"Elite")</f>
        <v>Elite</v>
      </c>
      <c r="D720" s="30" t="str">
        <f>IFERROR(__xludf.DUMMYFUNCTION("""COMPUTED_VALUE"""),"Menthol")</f>
        <v>Menthol</v>
      </c>
      <c r="E720" s="30" t="str">
        <f>IFERROR(__xludf.DUMMYFUNCTION("""COMPUTED_VALUE"""),"Minty Fresh")</f>
        <v>Minty Fresh</v>
      </c>
      <c r="F720" s="30" t="str">
        <f>IFERROR(__xludf.DUMMYFUNCTION("""COMPUTED_VALUE"""),"Solar")</f>
        <v>Solar</v>
      </c>
      <c r="G720" s="92">
        <f>IFERROR(__xludf.DUMMYFUNCTION("""COMPUTED_VALUE"""),39.34799525564256)</f>
        <v>39.34799526</v>
      </c>
    </row>
    <row r="721">
      <c r="A721" s="30" t="str">
        <f>IFERROR(__xludf.DUMMYFUNCTION("""COMPUTED_VALUE"""),"RSC000009")</f>
        <v>RSC000009</v>
      </c>
      <c r="B721" s="30" t="str">
        <f>IFERROR(__xludf.DUMMYFUNCTION("""COMPUTED_VALUE"""),"Timbo")</f>
        <v>Timbo</v>
      </c>
      <c r="C721" s="30" t="str">
        <f>IFERROR(__xludf.DUMMYFUNCTION("""COMPUTED_VALUE"""),"Elite")</f>
        <v>Elite</v>
      </c>
      <c r="D721" s="30" t="str">
        <f>IFERROR(__xludf.DUMMYFUNCTION("""COMPUTED_VALUE"""),"Menthol")</f>
        <v>Menthol</v>
      </c>
      <c r="E721" s="30" t="str">
        <f>IFERROR(__xludf.DUMMYFUNCTION("""COMPUTED_VALUE"""),"Minty Fresh")</f>
        <v>Minty Fresh</v>
      </c>
      <c r="F721" s="30" t="str">
        <f>IFERROR(__xludf.DUMMYFUNCTION("""COMPUTED_VALUE"""),"Solar")</f>
        <v>Solar</v>
      </c>
      <c r="G721" s="92">
        <f>IFERROR(__xludf.DUMMYFUNCTION("""COMPUTED_VALUE"""),80.2869032815318)</f>
        <v>80.28690328</v>
      </c>
    </row>
    <row r="722">
      <c r="A722" s="30" t="str">
        <f>IFERROR(__xludf.DUMMYFUNCTION("""COMPUTED_VALUE"""),"RSC001055")</f>
        <v>RSC001055</v>
      </c>
      <c r="B722" s="30" t="str">
        <f>IFERROR(__xludf.DUMMYFUNCTION("""COMPUTED_VALUE"""),"Scotti")</f>
        <v>Scotti</v>
      </c>
      <c r="C722" s="30" t="str">
        <f>IFERROR(__xludf.DUMMYFUNCTION("""COMPUTED_VALUE"""),"Elite")</f>
        <v>Elite</v>
      </c>
      <c r="D722" s="30" t="str">
        <f>IFERROR(__xludf.DUMMYFUNCTION("""COMPUTED_VALUE"""),"Menthol")</f>
        <v>Menthol</v>
      </c>
      <c r="E722" s="30" t="str">
        <f>IFERROR(__xludf.DUMMYFUNCTION("""COMPUTED_VALUE"""),"Minty Fresh")</f>
        <v>Minty Fresh</v>
      </c>
      <c r="F722" s="30" t="str">
        <f>IFERROR(__xludf.DUMMYFUNCTION("""COMPUTED_VALUE"""),"Solar")</f>
        <v>Solar</v>
      </c>
      <c r="G722" s="92">
        <f>IFERROR(__xludf.DUMMYFUNCTION("""COMPUTED_VALUE"""),78.37133895854777)</f>
        <v>78.37133896</v>
      </c>
    </row>
    <row r="723">
      <c r="A723" s="30" t="str">
        <f>IFERROR(__xludf.DUMMYFUNCTION("""COMPUTED_VALUE"""),"RSC004990")</f>
        <v>RSC004990</v>
      </c>
      <c r="B723" s="30" t="str">
        <f>IFERROR(__xludf.DUMMYFUNCTION("""COMPUTED_VALUE"""),"Legend")</f>
        <v>Legend</v>
      </c>
      <c r="C723" s="30" t="str">
        <f>IFERROR(__xludf.DUMMYFUNCTION("""COMPUTED_VALUE"""),"Elite")</f>
        <v>Elite</v>
      </c>
      <c r="D723" s="30" t="str">
        <f>IFERROR(__xludf.DUMMYFUNCTION("""COMPUTED_VALUE"""),"Majesties")</f>
        <v>Majesties</v>
      </c>
      <c r="E723" s="30" t="str">
        <f>IFERROR(__xludf.DUMMYFUNCTION("""COMPUTED_VALUE"""),"Monarchy")</f>
        <v>Monarchy</v>
      </c>
      <c r="F723" s="30" t="str">
        <f>IFERROR(__xludf.DUMMYFUNCTION("""COMPUTED_VALUE"""),"Lunar")</f>
        <v>Lunar</v>
      </c>
      <c r="G723" s="92">
        <f>IFERROR(__xludf.DUMMYFUNCTION("""COMPUTED_VALUE"""),37.152807848194826)</f>
        <v>37.15280785</v>
      </c>
    </row>
    <row r="724">
      <c r="A724" s="30" t="str">
        <f>IFERROR(__xludf.DUMMYFUNCTION("""COMPUTED_VALUE"""),"RSC006745")</f>
        <v>RSC006745</v>
      </c>
      <c r="B724" s="30" t="str">
        <f>IFERROR(__xludf.DUMMYFUNCTION("""COMPUTED_VALUE"""),"Angel &lt;3")</f>
        <v>Angel &lt;3</v>
      </c>
      <c r="C724" s="30" t="str">
        <f>IFERROR(__xludf.DUMMYFUNCTION("""COMPUTED_VALUE"""),"Elite")</f>
        <v>Elite</v>
      </c>
      <c r="D724" s="30" t="str">
        <f>IFERROR(__xludf.DUMMYFUNCTION("""COMPUTED_VALUE"""),"Majesties")</f>
        <v>Majesties</v>
      </c>
      <c r="E724" s="30" t="str">
        <f>IFERROR(__xludf.DUMMYFUNCTION("""COMPUTED_VALUE"""),"Monarchy")</f>
        <v>Monarchy</v>
      </c>
      <c r="F724" s="30" t="str">
        <f>IFERROR(__xludf.DUMMYFUNCTION("""COMPUTED_VALUE"""),"Lunar")</f>
        <v>Lunar</v>
      </c>
      <c r="G724" s="92">
        <f>IFERROR(__xludf.DUMMYFUNCTION("""COMPUTED_VALUE"""),34.02666027943197)</f>
        <v>34.02666028</v>
      </c>
    </row>
    <row r="725">
      <c r="A725" s="30" t="str">
        <f>IFERROR(__xludf.DUMMYFUNCTION("""COMPUTED_VALUE"""),"RSC007514")</f>
        <v>RSC007514</v>
      </c>
      <c r="B725" s="30" t="str">
        <f>IFERROR(__xludf.DUMMYFUNCTION("""COMPUTED_VALUE"""),"Sauce_Boss_36")</f>
        <v>Sauce_Boss_36</v>
      </c>
      <c r="C725" s="30" t="str">
        <f>IFERROR(__xludf.DUMMYFUNCTION("""COMPUTED_VALUE"""),"Elite")</f>
        <v>Elite</v>
      </c>
      <c r="D725" s="30" t="str">
        <f>IFERROR(__xludf.DUMMYFUNCTION("""COMPUTED_VALUE"""),"Majesties")</f>
        <v>Majesties</v>
      </c>
      <c r="E725" s="30" t="str">
        <f>IFERROR(__xludf.DUMMYFUNCTION("""COMPUTED_VALUE"""),"Monarchy")</f>
        <v>Monarchy</v>
      </c>
      <c r="F725" s="30" t="str">
        <f>IFERROR(__xludf.DUMMYFUNCTION("""COMPUTED_VALUE"""),"Lunar")</f>
        <v>Lunar</v>
      </c>
      <c r="G725" s="92">
        <f>IFERROR(__xludf.DUMMYFUNCTION("""COMPUTED_VALUE"""),32.58964384690032)</f>
        <v>32.58964385</v>
      </c>
    </row>
    <row r="726">
      <c r="A726" s="30" t="str">
        <f>IFERROR(__xludf.DUMMYFUNCTION("""COMPUTED_VALUE"""),"RSC000030")</f>
        <v>RSC000030</v>
      </c>
      <c r="B726" s="30" t="str">
        <f>IFERROR(__xludf.DUMMYFUNCTION("""COMPUTED_VALUE"""),"ADeadM0053")</f>
        <v>ADeadM0053</v>
      </c>
      <c r="C726" s="30" t="str">
        <f>IFERROR(__xludf.DUMMYFUNCTION("""COMPUTED_VALUE"""),"Elite")</f>
        <v>Elite</v>
      </c>
      <c r="D726" s="30" t="str">
        <f>IFERROR(__xludf.DUMMYFUNCTION("""COMPUTED_VALUE"""),"Drive Bye")</f>
        <v>Drive Bye</v>
      </c>
      <c r="E726" s="30" t="str">
        <f>IFERROR(__xludf.DUMMYFUNCTION("""COMPUTED_VALUE"""),"The Hood")</f>
        <v>The Hood</v>
      </c>
      <c r="F726" s="30" t="str">
        <f>IFERROR(__xludf.DUMMYFUNCTION("""COMPUTED_VALUE"""),"Lunar")</f>
        <v>Lunar</v>
      </c>
      <c r="G726" s="92">
        <f>IFERROR(__xludf.DUMMYFUNCTION("""COMPUTED_VALUE"""),28.057711614904335)</f>
        <v>28.05771161</v>
      </c>
    </row>
    <row r="727">
      <c r="A727" s="30" t="str">
        <f>IFERROR(__xludf.DUMMYFUNCTION("""COMPUTED_VALUE"""),"RSC003082")</f>
        <v>RSC003082</v>
      </c>
      <c r="B727" s="30" t="str">
        <f>IFERROR(__xludf.DUMMYFUNCTION("""COMPUTED_VALUE"""),"Skulzy9")</f>
        <v>Skulzy9</v>
      </c>
      <c r="C727" s="30" t="str">
        <f>IFERROR(__xludf.DUMMYFUNCTION("""COMPUTED_VALUE"""),"Elite")</f>
        <v>Elite</v>
      </c>
      <c r="D727" s="30" t="str">
        <f>IFERROR(__xludf.DUMMYFUNCTION("""COMPUTED_VALUE"""),"Drive Bye")</f>
        <v>Drive Bye</v>
      </c>
      <c r="E727" s="30" t="str">
        <f>IFERROR(__xludf.DUMMYFUNCTION("""COMPUTED_VALUE"""),"The Hood")</f>
        <v>The Hood</v>
      </c>
      <c r="F727" s="30" t="str">
        <f>IFERROR(__xludf.DUMMYFUNCTION("""COMPUTED_VALUE"""),"Lunar")</f>
        <v>Lunar</v>
      </c>
      <c r="G727" s="92">
        <f>IFERROR(__xludf.DUMMYFUNCTION("""COMPUTED_VALUE"""),43.897789325893754)</f>
        <v>43.89778933</v>
      </c>
    </row>
    <row r="728">
      <c r="A728" s="30" t="str">
        <f>IFERROR(__xludf.DUMMYFUNCTION("""COMPUTED_VALUE"""),"RSC000690")</f>
        <v>RSC000690</v>
      </c>
      <c r="B728" s="30" t="str">
        <f>IFERROR(__xludf.DUMMYFUNCTION("""COMPUTED_VALUE"""),"paco")</f>
        <v>paco</v>
      </c>
      <c r="C728" s="30" t="str">
        <f>IFERROR(__xludf.DUMMYFUNCTION("""COMPUTED_VALUE"""),"Elite")</f>
        <v>Elite</v>
      </c>
      <c r="D728" s="30" t="str">
        <f>IFERROR(__xludf.DUMMYFUNCTION("""COMPUTED_VALUE"""),"Drive Bye")</f>
        <v>Drive Bye</v>
      </c>
      <c r="E728" s="30" t="str">
        <f>IFERROR(__xludf.DUMMYFUNCTION("""COMPUTED_VALUE"""),"The Hood")</f>
        <v>The Hood</v>
      </c>
      <c r="F728" s="30" t="str">
        <f>IFERROR(__xludf.DUMMYFUNCTION("""COMPUTED_VALUE"""),"Lunar")</f>
        <v>Lunar</v>
      </c>
      <c r="G728" s="92">
        <f>IFERROR(__xludf.DUMMYFUNCTION("""COMPUTED_VALUE"""),22.50011430550114)</f>
        <v>22.50011431</v>
      </c>
    </row>
    <row r="729">
      <c r="A729" s="30" t="str">
        <f>IFERROR(__xludf.DUMMYFUNCTION("""COMPUTED_VALUE"""),"RSC002890")</f>
        <v>RSC002890</v>
      </c>
      <c r="B729" s="30" t="str">
        <f>IFERROR(__xludf.DUMMYFUNCTION("""COMPUTED_VALUE"""),"Myth1ck")</f>
        <v>Myth1ck</v>
      </c>
      <c r="C729" s="30" t="str">
        <f>IFERROR(__xludf.DUMMYFUNCTION("""COMPUTED_VALUE"""),"Elite")</f>
        <v>Elite</v>
      </c>
      <c r="D729" s="30" t="str">
        <f>IFERROR(__xludf.DUMMYFUNCTION("""COMPUTED_VALUE"""),"Black-Holes")</f>
        <v>Black-Holes</v>
      </c>
      <c r="E729" s="30" t="str">
        <f>IFERROR(__xludf.DUMMYFUNCTION("""COMPUTED_VALUE"""),"The Cosmos")</f>
        <v>The Cosmos</v>
      </c>
      <c r="F729" s="30" t="str">
        <f>IFERROR(__xludf.DUMMYFUNCTION("""COMPUTED_VALUE"""),"Solar")</f>
        <v>Solar</v>
      </c>
      <c r="G729" s="92">
        <f>IFERROR(__xludf.DUMMYFUNCTION("""COMPUTED_VALUE"""),63.62506194807355)</f>
        <v>63.62506195</v>
      </c>
    </row>
    <row r="730">
      <c r="A730" s="30" t="str">
        <f>IFERROR(__xludf.DUMMYFUNCTION("""COMPUTED_VALUE"""),"RSC007869")</f>
        <v>RSC007869</v>
      </c>
      <c r="B730" s="30" t="str">
        <f>IFERROR(__xludf.DUMMYFUNCTION("""COMPUTED_VALUE"""),"Swishira")</f>
        <v>Swishira</v>
      </c>
      <c r="C730" s="30" t="str">
        <f>IFERROR(__xludf.DUMMYFUNCTION("""COMPUTED_VALUE"""),"Elite")</f>
        <v>Elite</v>
      </c>
      <c r="D730" s="30" t="str">
        <f>IFERROR(__xludf.DUMMYFUNCTION("""COMPUTED_VALUE"""),"Black-Holes")</f>
        <v>Black-Holes</v>
      </c>
      <c r="E730" s="30" t="str">
        <f>IFERROR(__xludf.DUMMYFUNCTION("""COMPUTED_VALUE"""),"The Cosmos")</f>
        <v>The Cosmos</v>
      </c>
      <c r="F730" s="30" t="str">
        <f>IFERROR(__xludf.DUMMYFUNCTION("""COMPUTED_VALUE"""),"Solar")</f>
        <v>Solar</v>
      </c>
      <c r="G730" s="92">
        <f>IFERROR(__xludf.DUMMYFUNCTION("""COMPUTED_VALUE"""),102.840765417136)</f>
        <v>102.8407654</v>
      </c>
    </row>
    <row r="731">
      <c r="A731" s="30" t="str">
        <f>IFERROR(__xludf.DUMMYFUNCTION("""COMPUTED_VALUE"""),"RSC001292")</f>
        <v>RSC001292</v>
      </c>
      <c r="B731" s="30" t="str">
        <f>IFERROR(__xludf.DUMMYFUNCTION("""COMPUTED_VALUE"""),"flamethrowr")</f>
        <v>flamethrowr</v>
      </c>
      <c r="C731" s="30" t="str">
        <f>IFERROR(__xludf.DUMMYFUNCTION("""COMPUTED_VALUE"""),"Elite")</f>
        <v>Elite</v>
      </c>
      <c r="D731" s="30" t="str">
        <f>IFERROR(__xludf.DUMMYFUNCTION("""COMPUTED_VALUE"""),"Black-Holes")</f>
        <v>Black-Holes</v>
      </c>
      <c r="E731" s="30" t="str">
        <f>IFERROR(__xludf.DUMMYFUNCTION("""COMPUTED_VALUE"""),"The Cosmos")</f>
        <v>The Cosmos</v>
      </c>
      <c r="F731" s="30" t="str">
        <f>IFERROR(__xludf.DUMMYFUNCTION("""COMPUTED_VALUE"""),"Solar")</f>
        <v>Solar</v>
      </c>
      <c r="G731" s="92">
        <f>IFERROR(__xludf.DUMMYFUNCTION("""COMPUTED_VALUE"""),56.80546284247575)</f>
        <v>56.80546284</v>
      </c>
    </row>
    <row r="732">
      <c r="A732" s="30" t="str">
        <f>IFERROR(__xludf.DUMMYFUNCTION("""COMPUTED_VALUE"""),"RSC007580")</f>
        <v>RSC007580</v>
      </c>
      <c r="B732" s="30" t="str">
        <f>IFERROR(__xludf.DUMMYFUNCTION("""COMPUTED_VALUE"""),"M4ttiusM4ximu5")</f>
        <v>M4ttiusM4ximu5</v>
      </c>
      <c r="C732" s="30" t="str">
        <f>IFERROR(__xludf.DUMMYFUNCTION("""COMPUTED_VALUE"""),"Elite")</f>
        <v>Elite</v>
      </c>
      <c r="D732" s="30" t="str">
        <f>IFERROR(__xludf.DUMMYFUNCTION("""COMPUTED_VALUE"""),"Cyclones")</f>
        <v>Cyclones</v>
      </c>
      <c r="E732" s="30" t="str">
        <f>IFERROR(__xludf.DUMMYFUNCTION("""COMPUTED_VALUE"""),"Storm")</f>
        <v>Storm</v>
      </c>
      <c r="F732" s="30" t="str">
        <f>IFERROR(__xludf.DUMMYFUNCTION("""COMPUTED_VALUE"""),"Solar")</f>
        <v>Solar</v>
      </c>
      <c r="G732" s="92">
        <f>IFERROR(__xludf.DUMMYFUNCTION("""COMPUTED_VALUE"""),55.277603015482214)</f>
        <v>55.27760302</v>
      </c>
    </row>
    <row r="733">
      <c r="A733" s="30" t="str">
        <f>IFERROR(__xludf.DUMMYFUNCTION("""COMPUTED_VALUE"""),"RSC000623")</f>
        <v>RSC000623</v>
      </c>
      <c r="B733" s="30" t="str">
        <f>IFERROR(__xludf.DUMMYFUNCTION("""COMPUTED_VALUE"""),"wall2wall3")</f>
        <v>wall2wall3</v>
      </c>
      <c r="C733" s="30" t="str">
        <f>IFERROR(__xludf.DUMMYFUNCTION("""COMPUTED_VALUE"""),"Elite")</f>
        <v>Elite</v>
      </c>
      <c r="D733" s="30" t="str">
        <f>IFERROR(__xludf.DUMMYFUNCTION("""COMPUTED_VALUE"""),"Cyclones")</f>
        <v>Cyclones</v>
      </c>
      <c r="E733" s="30" t="str">
        <f>IFERROR(__xludf.DUMMYFUNCTION("""COMPUTED_VALUE"""),"Storm")</f>
        <v>Storm</v>
      </c>
      <c r="F733" s="30" t="str">
        <f>IFERROR(__xludf.DUMMYFUNCTION("""COMPUTED_VALUE"""),"Solar")</f>
        <v>Solar</v>
      </c>
      <c r="G733" s="92">
        <f>IFERROR(__xludf.DUMMYFUNCTION("""COMPUTED_VALUE"""),58.05461929498648)</f>
        <v>58.05461929</v>
      </c>
    </row>
    <row r="734">
      <c r="A734" s="30" t="str">
        <f>IFERROR(__xludf.DUMMYFUNCTION("""COMPUTED_VALUE"""),"RSC002892")</f>
        <v>RSC002892</v>
      </c>
      <c r="B734" s="30" t="str">
        <f>IFERROR(__xludf.DUMMYFUNCTION("""COMPUTED_VALUE"""),"nickm")</f>
        <v>nickm</v>
      </c>
      <c r="C734" s="30" t="str">
        <f>IFERROR(__xludf.DUMMYFUNCTION("""COMPUTED_VALUE"""),"Elite")</f>
        <v>Elite</v>
      </c>
      <c r="D734" s="30" t="str">
        <f>IFERROR(__xludf.DUMMYFUNCTION("""COMPUTED_VALUE"""),"Cyclones")</f>
        <v>Cyclones</v>
      </c>
      <c r="E734" s="30" t="str">
        <f>IFERROR(__xludf.DUMMYFUNCTION("""COMPUTED_VALUE"""),"Storm")</f>
        <v>Storm</v>
      </c>
      <c r="F734" s="30" t="str">
        <f>IFERROR(__xludf.DUMMYFUNCTION("""COMPUTED_VALUE"""),"Solar")</f>
        <v>Solar</v>
      </c>
      <c r="G734" s="92">
        <f>IFERROR(__xludf.DUMMYFUNCTION("""COMPUTED_VALUE"""),32.406620975871405)</f>
        <v>32.40662098</v>
      </c>
    </row>
    <row r="735">
      <c r="A735" s="30" t="str">
        <f>IFERROR(__xludf.DUMMYFUNCTION("""COMPUTED_VALUE"""),"RSC002164")</f>
        <v>RSC002164</v>
      </c>
      <c r="B735" s="30" t="str">
        <f>IFERROR(__xludf.DUMMYFUNCTION("""COMPUTED_VALUE"""),"Dosia")</f>
        <v>Dosia</v>
      </c>
      <c r="C735" s="30" t="str">
        <f>IFERROR(__xludf.DUMMYFUNCTION("""COMPUTED_VALUE"""),"Elite")</f>
        <v>Elite</v>
      </c>
      <c r="D735" s="30" t="str">
        <f>IFERROR(__xludf.DUMMYFUNCTION("""COMPUTED_VALUE"""),"Wyverns")</f>
        <v>Wyverns</v>
      </c>
      <c r="E735" s="30" t="str">
        <f>IFERROR(__xludf.DUMMYFUNCTION("""COMPUTED_VALUE"""),"The Forest")</f>
        <v>The Forest</v>
      </c>
      <c r="F735" s="30" t="str">
        <f>IFERROR(__xludf.DUMMYFUNCTION("""COMPUTED_VALUE"""),"Solar")</f>
        <v>Solar</v>
      </c>
      <c r="G735" s="92">
        <f>IFERROR(__xludf.DUMMYFUNCTION("""COMPUTED_VALUE"""),50.27418143372623)</f>
        <v>50.27418143</v>
      </c>
    </row>
    <row r="736">
      <c r="A736" s="30" t="str">
        <f>IFERROR(__xludf.DUMMYFUNCTION("""COMPUTED_VALUE"""),"RSC000626")</f>
        <v>RSC000626</v>
      </c>
      <c r="B736" s="30" t="str">
        <f>IFERROR(__xludf.DUMMYFUNCTION("""COMPUTED_VALUE"""),"Canadian Things")</f>
        <v>Canadian Things</v>
      </c>
      <c r="C736" s="30" t="str">
        <f>IFERROR(__xludf.DUMMYFUNCTION("""COMPUTED_VALUE"""),"Elite")</f>
        <v>Elite</v>
      </c>
      <c r="D736" s="30" t="str">
        <f>IFERROR(__xludf.DUMMYFUNCTION("""COMPUTED_VALUE"""),"Menthol")</f>
        <v>Menthol</v>
      </c>
      <c r="E736" s="30" t="str">
        <f>IFERROR(__xludf.DUMMYFUNCTION("""COMPUTED_VALUE"""),"Minty Fresh")</f>
        <v>Minty Fresh</v>
      </c>
      <c r="F736" s="30" t="str">
        <f>IFERROR(__xludf.DUMMYFUNCTION("""COMPUTED_VALUE"""),"Solar")</f>
        <v>Solar</v>
      </c>
      <c r="G736" s="92">
        <f>IFERROR(__xludf.DUMMYFUNCTION("""COMPUTED_VALUE"""),52.90977550326427)</f>
        <v>52.9097755</v>
      </c>
    </row>
    <row r="737">
      <c r="A737" s="30" t="str">
        <f>IFERROR(__xludf.DUMMYFUNCTION("""COMPUTED_VALUE"""),"RSC006188")</f>
        <v>RSC006188</v>
      </c>
      <c r="B737" s="30" t="str">
        <f>IFERROR(__xludf.DUMMYFUNCTION("""COMPUTED_VALUE"""),"Billy_Man_Fi3h")</f>
        <v>Billy_Man_Fi3h</v>
      </c>
      <c r="C737" s="30" t="str">
        <f>IFERROR(__xludf.DUMMYFUNCTION("""COMPUTED_VALUE"""),"Elite")</f>
        <v>Elite</v>
      </c>
      <c r="D737" s="30" t="str">
        <f>IFERROR(__xludf.DUMMYFUNCTION("""COMPUTED_VALUE"""),"Pixel Picassos")</f>
        <v>Pixel Picassos</v>
      </c>
      <c r="E737" s="30" t="str">
        <f>IFERROR(__xludf.DUMMYFUNCTION("""COMPUTED_VALUE"""),"Art Club")</f>
        <v>Art Club</v>
      </c>
      <c r="F737" s="30" t="str">
        <f>IFERROR(__xludf.DUMMYFUNCTION("""COMPUTED_VALUE"""),"Solar")</f>
        <v>Solar</v>
      </c>
      <c r="G737" s="92">
        <f>IFERROR(__xludf.DUMMYFUNCTION("""COMPUTED_VALUE"""),24.389251825725506)</f>
        <v>24.38925183</v>
      </c>
    </row>
    <row r="738">
      <c r="A738" s="30" t="str">
        <f>IFERROR(__xludf.DUMMYFUNCTION("""COMPUTED_VALUE"""),"RSC005872")</f>
        <v>RSC005872</v>
      </c>
      <c r="B738" s="30" t="str">
        <f>IFERROR(__xludf.DUMMYFUNCTION("""COMPUTED_VALUE"""),"Ditto")</f>
        <v>Ditto</v>
      </c>
      <c r="C738" s="30" t="str">
        <f>IFERROR(__xludf.DUMMYFUNCTION("""COMPUTED_VALUE"""),"Elite")</f>
        <v>Elite</v>
      </c>
      <c r="D738" s="30" t="str">
        <f>IFERROR(__xludf.DUMMYFUNCTION("""COMPUTED_VALUE"""),"Pixel Picassos")</f>
        <v>Pixel Picassos</v>
      </c>
      <c r="E738" s="30" t="str">
        <f>IFERROR(__xludf.DUMMYFUNCTION("""COMPUTED_VALUE"""),"Art Club")</f>
        <v>Art Club</v>
      </c>
      <c r="F738" s="30" t="str">
        <f>IFERROR(__xludf.DUMMYFUNCTION("""COMPUTED_VALUE"""),"Solar")</f>
        <v>Solar</v>
      </c>
      <c r="G738" s="92">
        <f>IFERROR(__xludf.DUMMYFUNCTION("""COMPUTED_VALUE"""),37.40918882694653)</f>
        <v>37.40918883</v>
      </c>
    </row>
    <row r="739">
      <c r="A739" s="30" t="str">
        <f>IFERROR(__xludf.DUMMYFUNCTION("""COMPUTED_VALUE"""),"RSC005308")</f>
        <v>RSC005308</v>
      </c>
      <c r="B739" s="30" t="str">
        <f>IFERROR(__xludf.DUMMYFUNCTION("""COMPUTED_VALUE"""),"6 lbs of Yeet")</f>
        <v>6 lbs of Yeet</v>
      </c>
      <c r="C739" s="30" t="str">
        <f>IFERROR(__xludf.DUMMYFUNCTION("""COMPUTED_VALUE"""),"Elite")</f>
        <v>Elite</v>
      </c>
      <c r="D739" s="30" t="str">
        <f>IFERROR(__xludf.DUMMYFUNCTION("""COMPUTED_VALUE"""),"Pixel Picassos")</f>
        <v>Pixel Picassos</v>
      </c>
      <c r="E739" s="30" t="str">
        <f>IFERROR(__xludf.DUMMYFUNCTION("""COMPUTED_VALUE"""),"Art Club")</f>
        <v>Art Club</v>
      </c>
      <c r="F739" s="30" t="str">
        <f>IFERROR(__xludf.DUMMYFUNCTION("""COMPUTED_VALUE"""),"Solar")</f>
        <v>Solar</v>
      </c>
      <c r="G739" s="92">
        <f>IFERROR(__xludf.DUMMYFUNCTION("""COMPUTED_VALUE"""),26.82342029745093)</f>
        <v>26.8234203</v>
      </c>
    </row>
    <row r="740">
      <c r="A740" s="30" t="str">
        <f>IFERROR(__xludf.DUMMYFUNCTION("""COMPUTED_VALUE"""),"RSC006395")</f>
        <v>RSC006395</v>
      </c>
      <c r="B740" s="30" t="str">
        <f>IFERROR(__xludf.DUMMYFUNCTION("""COMPUTED_VALUE"""),"Gizmo")</f>
        <v>Gizmo</v>
      </c>
      <c r="C740" s="30" t="str">
        <f>IFERROR(__xludf.DUMMYFUNCTION("""COMPUTED_VALUE"""),"Elite")</f>
        <v>Elite</v>
      </c>
      <c r="D740" s="30" t="str">
        <f>IFERROR(__xludf.DUMMYFUNCTION("""COMPUTED_VALUE"""),"Forge Defenders")</f>
        <v>Forge Defenders</v>
      </c>
      <c r="E740" s="30" t="str">
        <f>IFERROR(__xludf.DUMMYFUNCTION("""COMPUTED_VALUE"""),"Dwarf Haven")</f>
        <v>Dwarf Haven</v>
      </c>
      <c r="F740" s="30" t="str">
        <f>IFERROR(__xludf.DUMMYFUNCTION("""COMPUTED_VALUE"""),"Solar")</f>
        <v>Solar</v>
      </c>
      <c r="G740" s="92">
        <f>IFERROR(__xludf.DUMMYFUNCTION("""COMPUTED_VALUE"""),55.765526120896524)</f>
        <v>55.76552612</v>
      </c>
    </row>
    <row r="741">
      <c r="A741" s="30" t="str">
        <f>IFERROR(__xludf.DUMMYFUNCTION("""COMPUTED_VALUE"""),"RSC004863")</f>
        <v>RSC004863</v>
      </c>
      <c r="B741" s="30" t="str">
        <f>IFERROR(__xludf.DUMMYFUNCTION("""COMPUTED_VALUE"""),"wicked")</f>
        <v>wicked</v>
      </c>
      <c r="C741" s="30" t="str">
        <f>IFERROR(__xludf.DUMMYFUNCTION("""COMPUTED_VALUE"""),"Elite")</f>
        <v>Elite</v>
      </c>
      <c r="D741" s="30" t="str">
        <f>IFERROR(__xludf.DUMMYFUNCTION("""COMPUTED_VALUE"""),"Forge Defenders")</f>
        <v>Forge Defenders</v>
      </c>
      <c r="E741" s="30" t="str">
        <f>IFERROR(__xludf.DUMMYFUNCTION("""COMPUTED_VALUE"""),"Dwarf Haven")</f>
        <v>Dwarf Haven</v>
      </c>
      <c r="F741" s="30" t="str">
        <f>IFERROR(__xludf.DUMMYFUNCTION("""COMPUTED_VALUE"""),"Solar")</f>
        <v>Solar</v>
      </c>
      <c r="G741" s="92">
        <f>IFERROR(__xludf.DUMMYFUNCTION("""COMPUTED_VALUE"""),47.7910680872997)</f>
        <v>47.79106809</v>
      </c>
    </row>
    <row r="742">
      <c r="A742" s="30" t="str">
        <f>IFERROR(__xludf.DUMMYFUNCTION("""COMPUTED_VALUE"""),"RSC001889")</f>
        <v>RSC001889</v>
      </c>
      <c r="B742" s="30" t="str">
        <f>IFERROR(__xludf.DUMMYFUNCTION("""COMPUTED_VALUE"""),"Phelpsy")</f>
        <v>Phelpsy</v>
      </c>
      <c r="C742" s="30" t="str">
        <f>IFERROR(__xludf.DUMMYFUNCTION("""COMPUTED_VALUE"""),"Elite")</f>
        <v>Elite</v>
      </c>
      <c r="D742" s="30" t="str">
        <f>IFERROR(__xludf.DUMMYFUNCTION("""COMPUTED_VALUE"""),"Forge Defenders")</f>
        <v>Forge Defenders</v>
      </c>
      <c r="E742" s="30" t="str">
        <f>IFERROR(__xludf.DUMMYFUNCTION("""COMPUTED_VALUE"""),"Dwarf Haven")</f>
        <v>Dwarf Haven</v>
      </c>
      <c r="F742" s="30" t="str">
        <f>IFERROR(__xludf.DUMMYFUNCTION("""COMPUTED_VALUE"""),"Solar")</f>
        <v>Solar</v>
      </c>
      <c r="G742" s="92">
        <f>IFERROR(__xludf.DUMMYFUNCTION("""COMPUTED_VALUE"""),35.26763704189133)</f>
        <v>35.26763704</v>
      </c>
    </row>
    <row r="743">
      <c r="A743" s="30" t="str">
        <f>IFERROR(__xludf.DUMMYFUNCTION("""COMPUTED_VALUE"""),"RSC005845")</f>
        <v>RSC005845</v>
      </c>
      <c r="B743" s="30" t="str">
        <f>IFERROR(__xludf.DUMMYFUNCTION("""COMPUTED_VALUE"""),"Milk_shakes.")</f>
        <v>Milk_shakes.</v>
      </c>
      <c r="C743" s="30" t="str">
        <f>IFERROR(__xludf.DUMMYFUNCTION("""COMPUTED_VALUE"""),"Elite")</f>
        <v>Elite</v>
      </c>
      <c r="D743" s="30" t="str">
        <f>IFERROR(__xludf.DUMMYFUNCTION("""COMPUTED_VALUE"""),"Keno")</f>
        <v>Keno</v>
      </c>
      <c r="E743" s="30" t="str">
        <f>IFERROR(__xludf.DUMMYFUNCTION("""COMPUTED_VALUE"""),"Never Lucky")</f>
        <v>Never Lucky</v>
      </c>
      <c r="F743" s="30" t="str">
        <f>IFERROR(__xludf.DUMMYFUNCTION("""COMPUTED_VALUE"""),"Lunar")</f>
        <v>Lunar</v>
      </c>
      <c r="G743" s="92">
        <f>IFERROR(__xludf.DUMMYFUNCTION("""COMPUTED_VALUE"""),50.32380617955794)</f>
        <v>50.32380618</v>
      </c>
    </row>
    <row r="744">
      <c r="A744" s="30" t="str">
        <f>IFERROR(__xludf.DUMMYFUNCTION("""COMPUTED_VALUE"""),"RSC006193")</f>
        <v>RSC006193</v>
      </c>
      <c r="B744" s="30" t="str">
        <f>IFERROR(__xludf.DUMMYFUNCTION("""COMPUTED_VALUE"""),"Saucy Rexy")</f>
        <v>Saucy Rexy</v>
      </c>
      <c r="C744" s="30" t="str">
        <f>IFERROR(__xludf.DUMMYFUNCTION("""COMPUTED_VALUE"""),"Elite")</f>
        <v>Elite</v>
      </c>
      <c r="D744" s="30" t="str">
        <f>IFERROR(__xludf.DUMMYFUNCTION("""COMPUTED_VALUE"""),"Keno")</f>
        <v>Keno</v>
      </c>
      <c r="E744" s="30" t="str">
        <f>IFERROR(__xludf.DUMMYFUNCTION("""COMPUTED_VALUE"""),"Never Lucky")</f>
        <v>Never Lucky</v>
      </c>
      <c r="F744" s="30" t="str">
        <f>IFERROR(__xludf.DUMMYFUNCTION("""COMPUTED_VALUE"""),"Lunar")</f>
        <v>Lunar</v>
      </c>
      <c r="G744" s="92">
        <f>IFERROR(__xludf.DUMMYFUNCTION("""COMPUTED_VALUE"""),42.45142779932048)</f>
        <v>42.4514278</v>
      </c>
    </row>
    <row r="745">
      <c r="A745" s="30" t="str">
        <f>IFERROR(__xludf.DUMMYFUNCTION("""COMPUTED_VALUE"""),"RSC006668")</f>
        <v>RSC006668</v>
      </c>
      <c r="B745" s="30" t="str">
        <f>IFERROR(__xludf.DUMMYFUNCTION("""COMPUTED_VALUE"""),"anubis")</f>
        <v>anubis</v>
      </c>
      <c r="C745" s="30" t="str">
        <f>IFERROR(__xludf.DUMMYFUNCTION("""COMPUTED_VALUE"""),"Elite")</f>
        <v>Elite</v>
      </c>
      <c r="D745" s="30" t="str">
        <f>IFERROR(__xludf.DUMMYFUNCTION("""COMPUTED_VALUE"""),"Keno")</f>
        <v>Keno</v>
      </c>
      <c r="E745" s="30" t="str">
        <f>IFERROR(__xludf.DUMMYFUNCTION("""COMPUTED_VALUE"""),"Never Lucky")</f>
        <v>Never Lucky</v>
      </c>
      <c r="F745" s="30" t="str">
        <f>IFERROR(__xludf.DUMMYFUNCTION("""COMPUTED_VALUE"""),"Lunar")</f>
        <v>Lunar</v>
      </c>
      <c r="G745" s="92">
        <f>IFERROR(__xludf.DUMMYFUNCTION("""COMPUTED_VALUE"""),57.66430919551539)</f>
        <v>57.6643092</v>
      </c>
    </row>
    <row r="746">
      <c r="A746" s="30" t="str">
        <f>IFERROR(__xludf.DUMMYFUNCTION("""COMPUTED_VALUE"""),"RSC002498")</f>
        <v>RSC002498</v>
      </c>
      <c r="B746" s="30" t="str">
        <f>IFERROR(__xludf.DUMMYFUNCTION("""COMPUTED_VALUE"""),"Justin")</f>
        <v>Justin</v>
      </c>
      <c r="C746" s="30" t="str">
        <f>IFERROR(__xludf.DUMMYFUNCTION("""COMPUTED_VALUE"""),"Elite")</f>
        <v>Elite</v>
      </c>
      <c r="D746" s="30" t="str">
        <f>IFERROR(__xludf.DUMMYFUNCTION("""COMPUTED_VALUE"""),"Nightshade")</f>
        <v>Nightshade</v>
      </c>
      <c r="E746" s="30" t="str">
        <f>IFERROR(__xludf.DUMMYFUNCTION("""COMPUTED_VALUE"""),"Flower Road")</f>
        <v>Flower Road</v>
      </c>
      <c r="F746" s="30" t="str">
        <f>IFERROR(__xludf.DUMMYFUNCTION("""COMPUTED_VALUE"""),"Lunar")</f>
        <v>Lunar</v>
      </c>
      <c r="G746" s="92">
        <f>IFERROR(__xludf.DUMMYFUNCTION("""COMPUTED_VALUE"""),63.392602328133385)</f>
        <v>63.39260233</v>
      </c>
    </row>
    <row r="747">
      <c r="A747" s="30" t="str">
        <f>IFERROR(__xludf.DUMMYFUNCTION("""COMPUTED_VALUE"""),"RSC005298")</f>
        <v>RSC005298</v>
      </c>
      <c r="B747" s="30" t="str">
        <f>IFERROR(__xludf.DUMMYFUNCTION("""COMPUTED_VALUE"""),"Kaisaroh")</f>
        <v>Kaisaroh</v>
      </c>
      <c r="C747" s="30" t="str">
        <f>IFERROR(__xludf.DUMMYFUNCTION("""COMPUTED_VALUE"""),"Elite")</f>
        <v>Elite</v>
      </c>
      <c r="D747" s="30" t="str">
        <f>IFERROR(__xludf.DUMMYFUNCTION("""COMPUTED_VALUE"""),"Nightshade")</f>
        <v>Nightshade</v>
      </c>
      <c r="E747" s="30" t="str">
        <f>IFERROR(__xludf.DUMMYFUNCTION("""COMPUTED_VALUE"""),"Flower Road")</f>
        <v>Flower Road</v>
      </c>
      <c r="F747" s="30" t="str">
        <f>IFERROR(__xludf.DUMMYFUNCTION("""COMPUTED_VALUE"""),"Lunar")</f>
        <v>Lunar</v>
      </c>
      <c r="G747" s="92">
        <f>IFERROR(__xludf.DUMMYFUNCTION("""COMPUTED_VALUE"""),62.1051759388665)</f>
        <v>62.10517594</v>
      </c>
    </row>
    <row r="748">
      <c r="A748" s="30" t="str">
        <f>IFERROR(__xludf.DUMMYFUNCTION("""COMPUTED_VALUE"""),"RSC005709")</f>
        <v>RSC005709</v>
      </c>
      <c r="B748" s="30" t="str">
        <f>IFERROR(__xludf.DUMMYFUNCTION("""COMPUTED_VALUE"""),"ZavaRL")</f>
        <v>ZavaRL</v>
      </c>
      <c r="C748" s="30" t="str">
        <f>IFERROR(__xludf.DUMMYFUNCTION("""COMPUTED_VALUE"""),"Elite")</f>
        <v>Elite</v>
      </c>
      <c r="D748" s="30" t="str">
        <f>IFERROR(__xludf.DUMMYFUNCTION("""COMPUTED_VALUE"""),"Nightshade")</f>
        <v>Nightshade</v>
      </c>
      <c r="E748" s="30" t="str">
        <f>IFERROR(__xludf.DUMMYFUNCTION("""COMPUTED_VALUE"""),"Flower Road")</f>
        <v>Flower Road</v>
      </c>
      <c r="F748" s="30" t="str">
        <f>IFERROR(__xludf.DUMMYFUNCTION("""COMPUTED_VALUE"""),"Lunar")</f>
        <v>Lunar</v>
      </c>
      <c r="G748" s="92">
        <f>IFERROR(__xludf.DUMMYFUNCTION("""COMPUTED_VALUE"""),51.408354549383475)</f>
        <v>51.40835455</v>
      </c>
    </row>
    <row r="749">
      <c r="A749" s="30" t="str">
        <f>IFERROR(__xludf.DUMMYFUNCTION("""COMPUTED_VALUE"""),"RSC003561")</f>
        <v>RSC003561</v>
      </c>
      <c r="B749" s="30" t="str">
        <f>IFERROR(__xludf.DUMMYFUNCTION("""COMPUTED_VALUE"""),"Dooober")</f>
        <v>Dooober</v>
      </c>
      <c r="C749" s="30" t="str">
        <f>IFERROR(__xludf.DUMMYFUNCTION("""COMPUTED_VALUE"""),"Elite")</f>
        <v>Elite</v>
      </c>
      <c r="D749" s="30" t="str">
        <f>IFERROR(__xludf.DUMMYFUNCTION("""COMPUTED_VALUE"""),"Drive Bye")</f>
        <v>Drive Bye</v>
      </c>
      <c r="E749" s="30" t="str">
        <f>IFERROR(__xludf.DUMMYFUNCTION("""COMPUTED_VALUE"""),"The Hood")</f>
        <v>The Hood</v>
      </c>
      <c r="F749" s="30" t="str">
        <f>IFERROR(__xludf.DUMMYFUNCTION("""COMPUTED_VALUE"""),"Lunar")</f>
        <v>Lunar</v>
      </c>
      <c r="G749" s="92">
        <f>IFERROR(__xludf.DUMMYFUNCTION("""COMPUTED_VALUE"""),39.163974437250246)</f>
        <v>39.16397444</v>
      </c>
    </row>
    <row r="750">
      <c r="A750" s="30" t="str">
        <f>IFERROR(__xludf.DUMMYFUNCTION("""COMPUTED_VALUE"""),"RSC007470")</f>
        <v>RSC007470</v>
      </c>
      <c r="B750" s="30" t="str">
        <f>IFERROR(__xludf.DUMMYFUNCTION("""COMPUTED_VALUE"""),"Fused Gavin")</f>
        <v>Fused Gavin</v>
      </c>
      <c r="C750" s="30" t="str">
        <f>IFERROR(__xludf.DUMMYFUNCTION("""COMPUTED_VALUE"""),"Elite")</f>
        <v>Elite</v>
      </c>
      <c r="D750" s="30" t="str">
        <f>IFERROR(__xludf.DUMMYFUNCTION("""COMPUTED_VALUE"""),"Loonie")</f>
        <v>Loonie</v>
      </c>
      <c r="E750" s="30" t="str">
        <f>IFERROR(__xludf.DUMMYFUNCTION("""COMPUTED_VALUE"""),"Money Makers")</f>
        <v>Money Makers</v>
      </c>
      <c r="F750" s="30" t="str">
        <f>IFERROR(__xludf.DUMMYFUNCTION("""COMPUTED_VALUE"""),"Solar")</f>
        <v>Solar</v>
      </c>
      <c r="G750" s="92">
        <f>IFERROR(__xludf.DUMMYFUNCTION("""COMPUTED_VALUE"""),10.685966918323402)</f>
        <v>10.68596692</v>
      </c>
    </row>
    <row r="751">
      <c r="A751" s="30" t="str">
        <f>IFERROR(__xludf.DUMMYFUNCTION("""COMPUTED_VALUE"""),"RSC002161")</f>
        <v>RSC002161</v>
      </c>
      <c r="B751" s="30" t="str">
        <f>IFERROR(__xludf.DUMMYFUNCTION("""COMPUTED_VALUE"""),"TheAngryTryhard")</f>
        <v>TheAngryTryhard</v>
      </c>
      <c r="C751" s="30" t="str">
        <f>IFERROR(__xludf.DUMMYFUNCTION("""COMPUTED_VALUE"""),"Elite")</f>
        <v>Elite</v>
      </c>
      <c r="D751" s="30" t="str">
        <f>IFERROR(__xludf.DUMMYFUNCTION("""COMPUTED_VALUE"""),"Loonie")</f>
        <v>Loonie</v>
      </c>
      <c r="E751" s="30" t="str">
        <f>IFERROR(__xludf.DUMMYFUNCTION("""COMPUTED_VALUE"""),"Money Makers")</f>
        <v>Money Makers</v>
      </c>
      <c r="F751" s="30" t="str">
        <f>IFERROR(__xludf.DUMMYFUNCTION("""COMPUTED_VALUE"""),"Solar")</f>
        <v>Solar</v>
      </c>
      <c r="G751" s="92">
        <f>IFERROR(__xludf.DUMMYFUNCTION("""COMPUTED_VALUE"""),41.528138236676185)</f>
        <v>41.52813824</v>
      </c>
    </row>
    <row r="752">
      <c r="A752" s="30" t="str">
        <f>IFERROR(__xludf.DUMMYFUNCTION("""COMPUTED_VALUE"""),"RSC007877")</f>
        <v>RSC007877</v>
      </c>
      <c r="B752" s="30" t="str">
        <f>IFERROR(__xludf.DUMMYFUNCTION("""COMPUTED_VALUE"""),"Torro")</f>
        <v>Torro</v>
      </c>
      <c r="C752" s="30" t="str">
        <f>IFERROR(__xludf.DUMMYFUNCTION("""COMPUTED_VALUE"""),"Elite")</f>
        <v>Elite</v>
      </c>
      <c r="D752" s="30" t="str">
        <f>IFERROR(__xludf.DUMMYFUNCTION("""COMPUTED_VALUE"""),"Wyverns
Loonie")</f>
        <v>Wyverns
Loonie</v>
      </c>
      <c r="E752" s="30" t="str">
        <f>IFERROR(__xludf.DUMMYFUNCTION("""COMPUTED_VALUE"""),"The Forest
Money Makers")</f>
        <v>The Forest
Money Makers</v>
      </c>
      <c r="F752" s="30" t="str">
        <f>IFERROR(__xludf.DUMMYFUNCTION("""COMPUTED_VALUE"""),"Solar")</f>
        <v>Solar</v>
      </c>
      <c r="G752" s="92">
        <f>IFERROR(__xludf.DUMMYFUNCTION("""COMPUTED_VALUE"""),33.35838436625781)</f>
        <v>33.35838437</v>
      </c>
    </row>
    <row r="753">
      <c r="A753" s="30" t="str">
        <f>IFERROR(__xludf.DUMMYFUNCTION("""COMPUTED_VALUE"""),"RSC001986")</f>
        <v>RSC001986</v>
      </c>
      <c r="B753" s="30" t="str">
        <f>IFERROR(__xludf.DUMMYFUNCTION("""COMPUTED_VALUE"""),"Colinn")</f>
        <v>Colinn</v>
      </c>
      <c r="C753" s="30" t="str">
        <f>IFERROR(__xludf.DUMMYFUNCTION("""COMPUTED_VALUE"""),"Elite")</f>
        <v>Elite</v>
      </c>
      <c r="D753" s="30" t="str">
        <f>IFERROR(__xludf.DUMMYFUNCTION("""COMPUTED_VALUE"""),"Desolation")</f>
        <v>Desolation</v>
      </c>
      <c r="E753" s="30" t="str">
        <f>IFERROR(__xludf.DUMMYFUNCTION("""COMPUTED_VALUE"""),"Event Horizon")</f>
        <v>Event Horizon</v>
      </c>
      <c r="F753" s="30" t="str">
        <f>IFERROR(__xludf.DUMMYFUNCTION("""COMPUTED_VALUE"""),"Solar")</f>
        <v>Solar</v>
      </c>
      <c r="G753" s="92">
        <f>IFERROR(__xludf.DUMMYFUNCTION("""COMPUTED_VALUE"""),63.91431266794935)</f>
        <v>63.91431267</v>
      </c>
    </row>
    <row r="754">
      <c r="A754" s="30" t="str">
        <f>IFERROR(__xludf.DUMMYFUNCTION("""COMPUTED_VALUE"""),"RSC007354")</f>
        <v>RSC007354</v>
      </c>
      <c r="B754" s="30" t="str">
        <f>IFERROR(__xludf.DUMMYFUNCTION("""COMPUTED_VALUE"""),"Fanatic")</f>
        <v>Fanatic</v>
      </c>
      <c r="C754" s="30" t="str">
        <f>IFERROR(__xludf.DUMMYFUNCTION("""COMPUTED_VALUE"""),"Elite")</f>
        <v>Elite</v>
      </c>
      <c r="D754" s="30" t="str">
        <f>IFERROR(__xludf.DUMMYFUNCTION("""COMPUTED_VALUE"""),"Desolation")</f>
        <v>Desolation</v>
      </c>
      <c r="E754" s="30" t="str">
        <f>IFERROR(__xludf.DUMMYFUNCTION("""COMPUTED_VALUE"""),"Event Horizon")</f>
        <v>Event Horizon</v>
      </c>
      <c r="F754" s="30" t="str">
        <f>IFERROR(__xludf.DUMMYFUNCTION("""COMPUTED_VALUE"""),"Solar")</f>
        <v>Solar</v>
      </c>
      <c r="G754" s="92">
        <f>IFERROR(__xludf.DUMMYFUNCTION("""COMPUTED_VALUE"""),58.61536739614877)</f>
        <v>58.6153674</v>
      </c>
    </row>
    <row r="755">
      <c r="A755" s="30" t="str">
        <f>IFERROR(__xludf.DUMMYFUNCTION("""COMPUTED_VALUE"""),"RSC006494")</f>
        <v>RSC006494</v>
      </c>
      <c r="B755" s="30" t="str">
        <f>IFERROR(__xludf.DUMMYFUNCTION("""COMPUTED_VALUE"""),"Jimbo")</f>
        <v>Jimbo</v>
      </c>
      <c r="C755" s="30" t="str">
        <f>IFERROR(__xludf.DUMMYFUNCTION("""COMPUTED_VALUE"""),"Elite")</f>
        <v>Elite</v>
      </c>
      <c r="D755" s="30" t="str">
        <f>IFERROR(__xludf.DUMMYFUNCTION("""COMPUTED_VALUE"""),"Desolation")</f>
        <v>Desolation</v>
      </c>
      <c r="E755" s="30" t="str">
        <f>IFERROR(__xludf.DUMMYFUNCTION("""COMPUTED_VALUE"""),"Event Horizon")</f>
        <v>Event Horizon</v>
      </c>
      <c r="F755" s="30" t="str">
        <f>IFERROR(__xludf.DUMMYFUNCTION("""COMPUTED_VALUE"""),"Solar")</f>
        <v>Solar</v>
      </c>
      <c r="G755" s="92">
        <f>IFERROR(__xludf.DUMMYFUNCTION("""COMPUTED_VALUE"""),68.37069031884725)</f>
        <v>68.37069032</v>
      </c>
    </row>
    <row r="756">
      <c r="A756" s="30" t="str">
        <f>IFERROR(__xludf.DUMMYFUNCTION("""COMPUTED_VALUE"""),"RSC003399")</f>
        <v>RSC003399</v>
      </c>
      <c r="B756" s="30" t="str">
        <f>IFERROR(__xludf.DUMMYFUNCTION("""COMPUTED_VALUE"""),"josan")</f>
        <v>josan</v>
      </c>
      <c r="C756" s="30" t="str">
        <f>IFERROR(__xludf.DUMMYFUNCTION("""COMPUTED_VALUE"""),"Elite")</f>
        <v>Elite</v>
      </c>
      <c r="D756" s="30" t="str">
        <f>IFERROR(__xludf.DUMMYFUNCTION("""COMPUTED_VALUE"""),"Black-Holes")</f>
        <v>Black-Holes</v>
      </c>
      <c r="E756" s="30" t="str">
        <f>IFERROR(__xludf.DUMMYFUNCTION("""COMPUTED_VALUE"""),"The Cosmos")</f>
        <v>The Cosmos</v>
      </c>
      <c r="F756" s="30" t="str">
        <f>IFERROR(__xludf.DUMMYFUNCTION("""COMPUTED_VALUE"""),"Solar")</f>
        <v>Solar</v>
      </c>
      <c r="G756" s="92">
        <f>IFERROR(__xludf.DUMMYFUNCTION("""COMPUTED_VALUE"""),43.83837594001865)</f>
        <v>43.83837594</v>
      </c>
    </row>
    <row r="757">
      <c r="A757" s="30" t="str">
        <f>IFERROR(__xludf.DUMMYFUNCTION("""COMPUTED_VALUE"""),"RSC005374")</f>
        <v>RSC005374</v>
      </c>
      <c r="B757" s="30" t="str">
        <f>IFERROR(__xludf.DUMMYFUNCTION("""COMPUTED_VALUE"""),"A Yapping Panda")</f>
        <v>A Yapping Panda</v>
      </c>
      <c r="C757" s="30" t="str">
        <f>IFERROR(__xludf.DUMMYFUNCTION("""COMPUTED_VALUE"""),"Elite")</f>
        <v>Elite</v>
      </c>
      <c r="D757" s="30" t="str">
        <f>IFERROR(__xludf.DUMMYFUNCTION("""COMPUTED_VALUE"""),"Loonie")</f>
        <v>Loonie</v>
      </c>
      <c r="E757" s="30" t="str">
        <f>IFERROR(__xludf.DUMMYFUNCTION("""COMPUTED_VALUE"""),"Money Makers")</f>
        <v>Money Makers</v>
      </c>
      <c r="F757" s="30" t="str">
        <f>IFERROR(__xludf.DUMMYFUNCTION("""COMPUTED_VALUE"""),"Solar")</f>
        <v>Solar</v>
      </c>
      <c r="G757" s="92">
        <f>IFERROR(__xludf.DUMMYFUNCTION("""COMPUTED_VALUE"""),46.67317552615924)</f>
        <v>46.67317553</v>
      </c>
    </row>
    <row r="758">
      <c r="A758" s="30" t="str">
        <f>IFERROR(__xludf.DUMMYFUNCTION("""COMPUTED_VALUE"""),"RSC007964")</f>
        <v>RSC007964</v>
      </c>
      <c r="B758" s="30" t="str">
        <f>IFERROR(__xludf.DUMMYFUNCTION("""COMPUTED_VALUE"""),"Buxter")</f>
        <v>Buxter</v>
      </c>
      <c r="C758" s="30" t="str">
        <f>IFERROR(__xludf.DUMMYFUNCTION("""COMPUTED_VALUE"""),"Elite")</f>
        <v>Elite</v>
      </c>
      <c r="D758" s="30" t="str">
        <f>IFERROR(__xludf.DUMMYFUNCTION("""COMPUTED_VALUE"""),"Afterburners")</f>
        <v>Afterburners</v>
      </c>
      <c r="E758" s="30" t="str">
        <f>IFERROR(__xludf.DUMMYFUNCTION("""COMPUTED_VALUE"""),"Remove Before Flight")</f>
        <v>Remove Before Flight</v>
      </c>
      <c r="F758" s="30" t="str">
        <f>IFERROR(__xludf.DUMMYFUNCTION("""COMPUTED_VALUE"""),"Lunar")</f>
        <v>Lunar</v>
      </c>
      <c r="G758" s="92">
        <f>IFERROR(__xludf.DUMMYFUNCTION("""COMPUTED_VALUE"""),32.68160786852986)</f>
        <v>32.68160787</v>
      </c>
    </row>
    <row r="759">
      <c r="A759" s="30" t="str">
        <f>IFERROR(__xludf.DUMMYFUNCTION("""COMPUTED_VALUE"""),"RSC007382")</f>
        <v>RSC007382</v>
      </c>
      <c r="B759" s="30" t="str">
        <f>IFERROR(__xludf.DUMMYFUNCTION("""COMPUTED_VALUE"""),"takeeover")</f>
        <v>takeeover</v>
      </c>
      <c r="C759" s="30" t="str">
        <f>IFERROR(__xludf.DUMMYFUNCTION("""COMPUTED_VALUE"""),"Elite")</f>
        <v>Elite</v>
      </c>
      <c r="D759" s="30" t="str">
        <f>IFERROR(__xludf.DUMMYFUNCTION("""COMPUTED_VALUE"""),"Afterburners")</f>
        <v>Afterburners</v>
      </c>
      <c r="E759" s="30" t="str">
        <f>IFERROR(__xludf.DUMMYFUNCTION("""COMPUTED_VALUE"""),"Remove Before Flight")</f>
        <v>Remove Before Flight</v>
      </c>
      <c r="F759" s="30" t="str">
        <f>IFERROR(__xludf.DUMMYFUNCTION("""COMPUTED_VALUE"""),"Lunar")</f>
        <v>Lunar</v>
      </c>
      <c r="G759" s="92">
        <f>IFERROR(__xludf.DUMMYFUNCTION("""COMPUTED_VALUE"""),63.33203293232782)</f>
        <v>63.33203293</v>
      </c>
    </row>
    <row r="760">
      <c r="A760" s="30" t="str">
        <f>IFERROR(__xludf.DUMMYFUNCTION("""COMPUTED_VALUE"""),"RSC007868")</f>
        <v>RSC007868</v>
      </c>
      <c r="B760" s="30" t="str">
        <f>IFERROR(__xludf.DUMMYFUNCTION("""COMPUTED_VALUE"""),"JayX")</f>
        <v>JayX</v>
      </c>
      <c r="C760" s="30" t="str">
        <f>IFERROR(__xludf.DUMMYFUNCTION("""COMPUTED_VALUE"""),"Elite")</f>
        <v>Elite</v>
      </c>
      <c r="D760" s="30" t="str">
        <f>IFERROR(__xludf.DUMMYFUNCTION("""COMPUTED_VALUE"""),"Afterburners")</f>
        <v>Afterburners</v>
      </c>
      <c r="E760" s="30" t="str">
        <f>IFERROR(__xludf.DUMMYFUNCTION("""COMPUTED_VALUE"""),"Remove Before Flight")</f>
        <v>Remove Before Flight</v>
      </c>
      <c r="F760" s="30" t="str">
        <f>IFERROR(__xludf.DUMMYFUNCTION("""COMPUTED_VALUE"""),"Lunar")</f>
        <v>Lunar</v>
      </c>
      <c r="G760" s="92">
        <f>IFERROR(__xludf.DUMMYFUNCTION("""COMPUTED_VALUE"""),50.4598933382193)</f>
        <v>50.45989334</v>
      </c>
    </row>
    <row r="761">
      <c r="A761" s="30" t="str">
        <f>IFERROR(__xludf.DUMMYFUNCTION("""COMPUTED_VALUE"""),"RSC007269")</f>
        <v>RSC007269</v>
      </c>
      <c r="B761" s="30" t="str">
        <f>IFERROR(__xludf.DUMMYFUNCTION("""COMPUTED_VALUE"""),"Navik")</f>
        <v>Navik</v>
      </c>
      <c r="C761" s="30" t="str">
        <f>IFERROR(__xludf.DUMMYFUNCTION("""COMPUTED_VALUE"""),"Elite")</f>
        <v>Elite</v>
      </c>
      <c r="D761" s="30" t="str">
        <f>IFERROR(__xludf.DUMMYFUNCTION("""COMPUTED_VALUE"""),"Stoked Blokes")</f>
        <v>Stoked Blokes</v>
      </c>
      <c r="E761" s="30" t="str">
        <f>IFERROR(__xludf.DUMMYFUNCTION("""COMPUTED_VALUE"""),"Vibe Tribe")</f>
        <v>Vibe Tribe</v>
      </c>
      <c r="F761" s="30" t="str">
        <f>IFERROR(__xludf.DUMMYFUNCTION("""COMPUTED_VALUE"""),"Lunar")</f>
        <v>Lunar</v>
      </c>
      <c r="G761" s="92">
        <f>IFERROR(__xludf.DUMMYFUNCTION("""COMPUTED_VALUE"""),42.56641809722177)</f>
        <v>42.5664181</v>
      </c>
    </row>
    <row r="762">
      <c r="A762" s="30" t="str">
        <f>IFERROR(__xludf.DUMMYFUNCTION("""COMPUTED_VALUE"""),"RSC003709")</f>
        <v>RSC003709</v>
      </c>
      <c r="B762" s="30" t="str">
        <f>IFERROR(__xludf.DUMMYFUNCTION("""COMPUTED_VALUE"""),"donald.")</f>
        <v>donald.</v>
      </c>
      <c r="C762" s="30" t="str">
        <f>IFERROR(__xludf.DUMMYFUNCTION("""COMPUTED_VALUE"""),"Elite")</f>
        <v>Elite</v>
      </c>
      <c r="D762" s="30" t="str">
        <f>IFERROR(__xludf.DUMMYFUNCTION("""COMPUTED_VALUE"""),"Pixel Picassos
Orochi
Drive Bye
Stoked Blokes")</f>
        <v>Pixel Picassos
Orochi
Drive Bye
Stoked Blokes</v>
      </c>
      <c r="E762" s="30" t="str">
        <f>IFERROR(__xludf.DUMMYFUNCTION("""COMPUTED_VALUE"""),"Art Club
The Shrine
The Hood
Vibe Tribe")</f>
        <v>Art Club
The Shrine
The Hood
Vibe Tribe</v>
      </c>
      <c r="F762" s="30" t="str">
        <f>IFERROR(__xludf.DUMMYFUNCTION("""COMPUTED_VALUE"""),"Solar")</f>
        <v>Solar</v>
      </c>
      <c r="G762" s="92">
        <f>IFERROR(__xludf.DUMMYFUNCTION("""COMPUTED_VALUE"""),34.51153228020042)</f>
        <v>34.51153228</v>
      </c>
    </row>
    <row r="763">
      <c r="A763" s="30" t="str">
        <f>IFERROR(__xludf.DUMMYFUNCTION("""COMPUTED_VALUE"""),"RSC007077")</f>
        <v>RSC007077</v>
      </c>
      <c r="B763" s="30" t="str">
        <f>IFERROR(__xludf.DUMMYFUNCTION("""COMPUTED_VALUE"""),"higsn")</f>
        <v>higsn</v>
      </c>
      <c r="C763" s="30" t="str">
        <f>IFERROR(__xludf.DUMMYFUNCTION("""COMPUTED_VALUE"""),"Elite")</f>
        <v>Elite</v>
      </c>
      <c r="D763" s="30" t="str">
        <f>IFERROR(__xludf.DUMMYFUNCTION("""COMPUTED_VALUE"""),"Stoked Blokes")</f>
        <v>Stoked Blokes</v>
      </c>
      <c r="E763" s="30" t="str">
        <f>IFERROR(__xludf.DUMMYFUNCTION("""COMPUTED_VALUE"""),"Vibe Tribe")</f>
        <v>Vibe Tribe</v>
      </c>
      <c r="F763" s="30" t="str">
        <f>IFERROR(__xludf.DUMMYFUNCTION("""COMPUTED_VALUE"""),"Lunar")</f>
        <v>Lunar</v>
      </c>
      <c r="G763" s="92">
        <f>IFERROR(__xludf.DUMMYFUNCTION("""COMPUTED_VALUE"""),52.39678789040629)</f>
        <v>52.39678789</v>
      </c>
    </row>
    <row r="764">
      <c r="A764" s="30" t="str">
        <f>IFERROR(__xludf.DUMMYFUNCTION("""COMPUTED_VALUE"""),"RSC007839")</f>
        <v>RSC007839</v>
      </c>
      <c r="B764" s="30" t="str">
        <f>IFERROR(__xludf.DUMMYFUNCTION("""COMPUTED_VALUE"""),"DoxxyWoxxyy")</f>
        <v>DoxxyWoxxyy</v>
      </c>
      <c r="C764" s="30" t="str">
        <f>IFERROR(__xludf.DUMMYFUNCTION("""COMPUTED_VALUE"""),"Elite")</f>
        <v>Elite</v>
      </c>
      <c r="D764" s="30" t="str">
        <f>IFERROR(__xludf.DUMMYFUNCTION("""COMPUTED_VALUE"""),"Pylons")</f>
        <v>Pylons</v>
      </c>
      <c r="E764" s="30" t="str">
        <f>IFERROR(__xludf.DUMMYFUNCTION("""COMPUTED_VALUE"""),"Road Work Ahead")</f>
        <v>Road Work Ahead</v>
      </c>
      <c r="F764" s="30" t="str">
        <f>IFERROR(__xludf.DUMMYFUNCTION("""COMPUTED_VALUE"""),"Lunar")</f>
        <v>Lunar</v>
      </c>
      <c r="G764" s="92">
        <f>IFERROR(__xludf.DUMMYFUNCTION("""COMPUTED_VALUE"""),49.91307194210584)</f>
        <v>49.91307194</v>
      </c>
    </row>
    <row r="765">
      <c r="A765" s="30" t="str">
        <f>IFERROR(__xludf.DUMMYFUNCTION("""COMPUTED_VALUE"""),"RSC007494")</f>
        <v>RSC007494</v>
      </c>
      <c r="B765" s="30" t="str">
        <f>IFERROR(__xludf.DUMMYFUNCTION("""COMPUTED_VALUE"""),"CantaloupeLover-")</f>
        <v>CantaloupeLover-</v>
      </c>
      <c r="C765" s="30" t="str">
        <f>IFERROR(__xludf.DUMMYFUNCTION("""COMPUTED_VALUE"""),"Elite")</f>
        <v>Elite</v>
      </c>
      <c r="D765" s="30" t="str">
        <f>IFERROR(__xludf.DUMMYFUNCTION("""COMPUTED_VALUE"""),"Pylons")</f>
        <v>Pylons</v>
      </c>
      <c r="E765" s="30" t="str">
        <f>IFERROR(__xludf.DUMMYFUNCTION("""COMPUTED_VALUE"""),"Road Work Ahead")</f>
        <v>Road Work Ahead</v>
      </c>
      <c r="F765" s="30" t="str">
        <f>IFERROR(__xludf.DUMMYFUNCTION("""COMPUTED_VALUE"""),"Lunar")</f>
        <v>Lunar</v>
      </c>
      <c r="G765" s="92">
        <f>IFERROR(__xludf.DUMMYFUNCTION("""COMPUTED_VALUE"""),13.405657185159761)</f>
        <v>13.40565719</v>
      </c>
    </row>
    <row r="766">
      <c r="A766" s="30" t="str">
        <f>IFERROR(__xludf.DUMMYFUNCTION("""COMPUTED_VALUE"""),"RSC003113")</f>
        <v>RSC003113</v>
      </c>
      <c r="B766" s="30" t="str">
        <f>IFERROR(__xludf.DUMMYFUNCTION("""COMPUTED_VALUE"""),"Nebulade")</f>
        <v>Nebulade</v>
      </c>
      <c r="C766" s="30" t="str">
        <f>IFERROR(__xludf.DUMMYFUNCTION("""COMPUTED_VALUE"""),"Elite")</f>
        <v>Elite</v>
      </c>
      <c r="D766" s="30" t="str">
        <f>IFERROR(__xludf.DUMMYFUNCTION("""COMPUTED_VALUE"""),"Pylons")</f>
        <v>Pylons</v>
      </c>
      <c r="E766" s="30" t="str">
        <f>IFERROR(__xludf.DUMMYFUNCTION("""COMPUTED_VALUE"""),"Road Work Ahead")</f>
        <v>Road Work Ahead</v>
      </c>
      <c r="F766" s="30" t="str">
        <f>IFERROR(__xludf.DUMMYFUNCTION("""COMPUTED_VALUE"""),"Lunar")</f>
        <v>Lunar</v>
      </c>
      <c r="G766" s="92">
        <f>IFERROR(__xludf.DUMMYFUNCTION("""COMPUTED_VALUE"""),44.366904503622706)</f>
        <v>44.3669045</v>
      </c>
    </row>
    <row r="767">
      <c r="A767" s="30" t="str">
        <f>IFERROR(__xludf.DUMMYFUNCTION("""COMPUTED_VALUE"""),"RSC005373")</f>
        <v>RSC005373</v>
      </c>
      <c r="B767" s="30" t="str">
        <f>IFERROR(__xludf.DUMMYFUNCTION("""COMPUTED_VALUE"""),"dvorl.ttv")</f>
        <v>dvorl.ttv</v>
      </c>
      <c r="C767" s="30" t="str">
        <f>IFERROR(__xludf.DUMMYFUNCTION("""COMPUTED_VALUE"""),"Elite")</f>
        <v>Elite</v>
      </c>
      <c r="D767" s="30" t="str">
        <f>IFERROR(__xludf.DUMMYFUNCTION("""COMPUTED_VALUE"""),"Despair")</f>
        <v>Despair</v>
      </c>
      <c r="E767" s="30" t="str">
        <f>IFERROR(__xludf.DUMMYFUNCTION("""COMPUTED_VALUE"""),"The Shadows")</f>
        <v>The Shadows</v>
      </c>
      <c r="F767" s="30" t="str">
        <f>IFERROR(__xludf.DUMMYFUNCTION("""COMPUTED_VALUE"""),"Lunar")</f>
        <v>Lunar</v>
      </c>
      <c r="G767" s="92">
        <f>IFERROR(__xludf.DUMMYFUNCTION("""COMPUTED_VALUE"""),40.06951442595976)</f>
        <v>40.06951443</v>
      </c>
    </row>
    <row r="768">
      <c r="A768" s="30" t="str">
        <f>IFERROR(__xludf.DUMMYFUNCTION("""COMPUTED_VALUE"""),"RSC007901")</f>
        <v>RSC007901</v>
      </c>
      <c r="B768" s="30" t="str">
        <f>IFERROR(__xludf.DUMMYFUNCTION("""COMPUTED_VALUE"""),"JUICY")</f>
        <v>JUICY</v>
      </c>
      <c r="C768" s="30" t="str">
        <f>IFERROR(__xludf.DUMMYFUNCTION("""COMPUTED_VALUE"""),"Elite")</f>
        <v>Elite</v>
      </c>
      <c r="D768" s="30" t="str">
        <f>IFERROR(__xludf.DUMMYFUNCTION("""COMPUTED_VALUE"""),"Despair")</f>
        <v>Despair</v>
      </c>
      <c r="E768" s="30" t="str">
        <f>IFERROR(__xludf.DUMMYFUNCTION("""COMPUTED_VALUE"""),"The Shadows")</f>
        <v>The Shadows</v>
      </c>
      <c r="F768" s="30" t="str">
        <f>IFERROR(__xludf.DUMMYFUNCTION("""COMPUTED_VALUE"""),"Lunar")</f>
        <v>Lunar</v>
      </c>
      <c r="G768" s="92">
        <f>IFERROR(__xludf.DUMMYFUNCTION("""COMPUTED_VALUE"""),64.63364151399581)</f>
        <v>64.63364151</v>
      </c>
    </row>
    <row r="769">
      <c r="A769" s="30" t="str">
        <f>IFERROR(__xludf.DUMMYFUNCTION("""COMPUTED_VALUE"""),"RSC003125")</f>
        <v>RSC003125</v>
      </c>
      <c r="B769" s="30" t="str">
        <f>IFERROR(__xludf.DUMMYFUNCTION("""COMPUTED_VALUE"""),"GrandPlat")</f>
        <v>GrandPlat</v>
      </c>
      <c r="C769" s="30" t="str">
        <f>IFERROR(__xludf.DUMMYFUNCTION("""COMPUTED_VALUE"""),"Elite")</f>
        <v>Elite</v>
      </c>
      <c r="D769" s="30" t="str">
        <f>IFERROR(__xludf.DUMMYFUNCTION("""COMPUTED_VALUE"""),"Despair")</f>
        <v>Despair</v>
      </c>
      <c r="E769" s="30" t="str">
        <f>IFERROR(__xludf.DUMMYFUNCTION("""COMPUTED_VALUE"""),"The Shadows")</f>
        <v>The Shadows</v>
      </c>
      <c r="F769" s="30" t="str">
        <f>IFERROR(__xludf.DUMMYFUNCTION("""COMPUTED_VALUE"""),"Lunar")</f>
        <v>Lunar</v>
      </c>
      <c r="G769" s="92">
        <f>IFERROR(__xludf.DUMMYFUNCTION("""COMPUTED_VALUE"""),62.876754397761815)</f>
        <v>62.8767544</v>
      </c>
    </row>
    <row r="770">
      <c r="A770" s="30" t="str">
        <f>IFERROR(__xludf.DUMMYFUNCTION("""COMPUTED_VALUE"""),"RSC006197")</f>
        <v>RSC006197</v>
      </c>
      <c r="B770" s="30" t="str">
        <f>IFERROR(__xludf.DUMMYFUNCTION("""COMPUTED_VALUE"""),"Bullet")</f>
        <v>Bullet</v>
      </c>
      <c r="C770" s="30" t="str">
        <f>IFERROR(__xludf.DUMMYFUNCTION("""COMPUTED_VALUE"""),"Elite")</f>
        <v>Elite</v>
      </c>
      <c r="D770" s="30" t="str">
        <f>IFERROR(__xludf.DUMMYFUNCTION("""COMPUTED_VALUE"""),"Summoned")</f>
        <v>Summoned</v>
      </c>
      <c r="E770" s="30" t="str">
        <f>IFERROR(__xludf.DUMMYFUNCTION("""COMPUTED_VALUE"""),"Destined")</f>
        <v>Destined</v>
      </c>
      <c r="F770" s="30" t="str">
        <f>IFERROR(__xludf.DUMMYFUNCTION("""COMPUTED_VALUE"""),"Solar")</f>
        <v>Solar</v>
      </c>
      <c r="G770" s="92">
        <f>IFERROR(__xludf.DUMMYFUNCTION("""COMPUTED_VALUE"""),57.32959432939934)</f>
        <v>57.32959433</v>
      </c>
    </row>
    <row r="771">
      <c r="A771" s="30" t="str">
        <f>IFERROR(__xludf.DUMMYFUNCTION("""COMPUTED_VALUE"""),"RSC004214")</f>
        <v>RSC004214</v>
      </c>
      <c r="B771" s="30" t="str">
        <f>IFERROR(__xludf.DUMMYFUNCTION("""COMPUTED_VALUE"""),"Miserable")</f>
        <v>Miserable</v>
      </c>
      <c r="C771" s="30" t="str">
        <f>IFERROR(__xludf.DUMMYFUNCTION("""COMPUTED_VALUE"""),"Elite")</f>
        <v>Elite</v>
      </c>
      <c r="D771" s="30" t="str">
        <f>IFERROR(__xludf.DUMMYFUNCTION("""COMPUTED_VALUE"""),"Summoned")</f>
        <v>Summoned</v>
      </c>
      <c r="E771" s="30" t="str">
        <f>IFERROR(__xludf.DUMMYFUNCTION("""COMPUTED_VALUE"""),"Destined")</f>
        <v>Destined</v>
      </c>
      <c r="F771" s="30" t="str">
        <f>IFERROR(__xludf.DUMMYFUNCTION("""COMPUTED_VALUE"""),"Solar")</f>
        <v>Solar</v>
      </c>
      <c r="G771" s="92">
        <f>IFERROR(__xludf.DUMMYFUNCTION("""COMPUTED_VALUE"""),25.36638628818143)</f>
        <v>25.36638629</v>
      </c>
    </row>
    <row r="772">
      <c r="A772" s="30" t="str">
        <f>IFERROR(__xludf.DUMMYFUNCTION("""COMPUTED_VALUE"""),"RSC004820")</f>
        <v>RSC004820</v>
      </c>
      <c r="B772" s="30" t="str">
        <f>IFERROR(__xludf.DUMMYFUNCTION("""COMPUTED_VALUE"""),"AoS Arctic")</f>
        <v>AoS Arctic</v>
      </c>
      <c r="C772" s="30" t="str">
        <f>IFERROR(__xludf.DUMMYFUNCTION("""COMPUTED_VALUE"""),"Elite")</f>
        <v>Elite</v>
      </c>
      <c r="D772" s="30" t="str">
        <f>IFERROR(__xludf.DUMMYFUNCTION("""COMPUTED_VALUE"""),"Summoned")</f>
        <v>Summoned</v>
      </c>
      <c r="E772" s="30" t="str">
        <f>IFERROR(__xludf.DUMMYFUNCTION("""COMPUTED_VALUE"""),"Destined")</f>
        <v>Destined</v>
      </c>
      <c r="F772" s="30" t="str">
        <f>IFERROR(__xludf.DUMMYFUNCTION("""COMPUTED_VALUE"""),"Solar")</f>
        <v>Solar</v>
      </c>
      <c r="G772" s="92">
        <f>IFERROR(__xludf.DUMMYFUNCTION("""COMPUTED_VALUE"""),29.09981212404066)</f>
        <v>29.09981212</v>
      </c>
    </row>
    <row r="773">
      <c r="A773" s="30" t="str">
        <f>IFERROR(__xludf.DUMMYFUNCTION("""COMPUTED_VALUE"""),"RSC005193")</f>
        <v>RSC005193</v>
      </c>
      <c r="B773" s="30" t="str">
        <f>IFERROR(__xludf.DUMMYFUNCTION("""COMPUTED_VALUE"""),"RegularlyJones")</f>
        <v>RegularlyJones</v>
      </c>
      <c r="C773" s="30" t="str">
        <f>IFERROR(__xludf.DUMMYFUNCTION("""COMPUTED_VALUE"""),"Elite")</f>
        <v>Elite</v>
      </c>
      <c r="D773" s="30" t="str">
        <f>IFERROR(__xludf.DUMMYFUNCTION("""COMPUTED_VALUE"""),"Sloths")</f>
        <v>Sloths</v>
      </c>
      <c r="E773" s="30" t="str">
        <f>IFERROR(__xludf.DUMMYFUNCTION("""COMPUTED_VALUE"""),"The Jungle")</f>
        <v>The Jungle</v>
      </c>
      <c r="F773" s="30" t="str">
        <f>IFERROR(__xludf.DUMMYFUNCTION("""COMPUTED_VALUE"""),"Solar")</f>
        <v>Solar</v>
      </c>
      <c r="G773" s="92">
        <f>IFERROR(__xludf.DUMMYFUNCTION("""COMPUTED_VALUE"""),47.67505875350116)</f>
        <v>47.67505875</v>
      </c>
    </row>
    <row r="774">
      <c r="A774" s="30" t="str">
        <f>IFERROR(__xludf.DUMMYFUNCTION("""COMPUTED_VALUE"""),"RSC006783")</f>
        <v>RSC006783</v>
      </c>
      <c r="B774" s="30" t="str">
        <f>IFERROR(__xludf.DUMMYFUNCTION("""COMPUTED_VALUE"""),"ImSouperGreat")</f>
        <v>ImSouperGreat</v>
      </c>
      <c r="C774" s="30" t="str">
        <f>IFERROR(__xludf.DUMMYFUNCTION("""COMPUTED_VALUE"""),"Elite")</f>
        <v>Elite</v>
      </c>
      <c r="D774" s="30" t="str">
        <f>IFERROR(__xludf.DUMMYFUNCTION("""COMPUTED_VALUE"""),"Sloths")</f>
        <v>Sloths</v>
      </c>
      <c r="E774" s="30" t="str">
        <f>IFERROR(__xludf.DUMMYFUNCTION("""COMPUTED_VALUE"""),"The Jungle")</f>
        <v>The Jungle</v>
      </c>
      <c r="F774" s="30" t="str">
        <f>IFERROR(__xludf.DUMMYFUNCTION("""COMPUTED_VALUE"""),"Solar")</f>
        <v>Solar</v>
      </c>
      <c r="G774" s="92">
        <f>IFERROR(__xludf.DUMMYFUNCTION("""COMPUTED_VALUE"""),59.64036296654259)</f>
        <v>59.64036297</v>
      </c>
    </row>
    <row r="775">
      <c r="A775" s="30" t="str">
        <f>IFERROR(__xludf.DUMMYFUNCTION("""COMPUTED_VALUE"""),"RSC005464")</f>
        <v>RSC005464</v>
      </c>
      <c r="B775" s="30" t="str">
        <f>IFERROR(__xludf.DUMMYFUNCTION("""COMPUTED_VALUE"""),"taz.rm")</f>
        <v>taz.rm</v>
      </c>
      <c r="C775" s="30" t="str">
        <f>IFERROR(__xludf.DUMMYFUNCTION("""COMPUTED_VALUE"""),"Elite")</f>
        <v>Elite</v>
      </c>
      <c r="D775" s="30" t="str">
        <f>IFERROR(__xludf.DUMMYFUNCTION("""COMPUTED_VALUE"""),"Sloths")</f>
        <v>Sloths</v>
      </c>
      <c r="E775" s="30" t="str">
        <f>IFERROR(__xludf.DUMMYFUNCTION("""COMPUTED_VALUE"""),"The Jungle")</f>
        <v>The Jungle</v>
      </c>
      <c r="F775" s="30" t="str">
        <f>IFERROR(__xludf.DUMMYFUNCTION("""COMPUTED_VALUE"""),"Solar")</f>
        <v>Solar</v>
      </c>
      <c r="G775" s="92">
        <f>IFERROR(__xludf.DUMMYFUNCTION("""COMPUTED_VALUE"""),43.2312648701505)</f>
        <v>43.23126487</v>
      </c>
    </row>
    <row r="776">
      <c r="A776" s="30" t="str">
        <f>IFERROR(__xludf.DUMMYFUNCTION("""COMPUTED_VALUE"""),"RSC006972")</f>
        <v>RSC006972</v>
      </c>
      <c r="B776" s="30" t="str">
        <f>IFERROR(__xludf.DUMMYFUNCTION("""COMPUTED_VALUE"""),"galaxiezz.")</f>
        <v>galaxiezz.</v>
      </c>
      <c r="C776" s="30" t="str">
        <f>IFERROR(__xludf.DUMMYFUNCTION("""COMPUTED_VALUE"""),"Elite")</f>
        <v>Elite</v>
      </c>
      <c r="D776" s="30" t="str">
        <f>IFERROR(__xludf.DUMMYFUNCTION("""COMPUTED_VALUE"""),"Cotija Cartel")</f>
        <v>Cotija Cartel</v>
      </c>
      <c r="E776" s="30" t="str">
        <f>IFERROR(__xludf.DUMMYFUNCTION("""COMPUTED_VALUE"""),"Cheese Guild")</f>
        <v>Cheese Guild</v>
      </c>
      <c r="F776" s="30" t="str">
        <f>IFERROR(__xludf.DUMMYFUNCTION("""COMPUTED_VALUE"""),"Lunar")</f>
        <v>Lunar</v>
      </c>
      <c r="G776" s="92">
        <f>IFERROR(__xludf.DUMMYFUNCTION("""COMPUTED_VALUE"""),62.40350327448823)</f>
        <v>62.40350327</v>
      </c>
    </row>
    <row r="777">
      <c r="A777" s="30" t="str">
        <f>IFERROR(__xludf.DUMMYFUNCTION("""COMPUTED_VALUE"""),"RSC006751")</f>
        <v>RSC006751</v>
      </c>
      <c r="B777" s="30" t="str">
        <f>IFERROR(__xludf.DUMMYFUNCTION("""COMPUTED_VALUE"""),"cl0wdy.")</f>
        <v>cl0wdy.</v>
      </c>
      <c r="C777" s="30" t="str">
        <f>IFERROR(__xludf.DUMMYFUNCTION("""COMPUTED_VALUE"""),"Elite")</f>
        <v>Elite</v>
      </c>
      <c r="D777" s="30" t="str">
        <f>IFERROR(__xludf.DUMMYFUNCTION("""COMPUTED_VALUE"""),"Cotija Cartel")</f>
        <v>Cotija Cartel</v>
      </c>
      <c r="E777" s="30" t="str">
        <f>IFERROR(__xludf.DUMMYFUNCTION("""COMPUTED_VALUE"""),"Cheese Guild")</f>
        <v>Cheese Guild</v>
      </c>
      <c r="F777" s="30" t="str">
        <f>IFERROR(__xludf.DUMMYFUNCTION("""COMPUTED_VALUE"""),"Lunar")</f>
        <v>Lunar</v>
      </c>
      <c r="G777" s="92">
        <f>IFERROR(__xludf.DUMMYFUNCTION("""COMPUTED_VALUE"""),53.72464288402713)</f>
        <v>53.72464288</v>
      </c>
    </row>
    <row r="778">
      <c r="A778" s="30" t="str">
        <f>IFERROR(__xludf.DUMMYFUNCTION("""COMPUTED_VALUE"""),"RSC005274")</f>
        <v>RSC005274</v>
      </c>
      <c r="B778" s="30" t="str">
        <f>IFERROR(__xludf.DUMMYFUNCTION("""COMPUTED_VALUE"""),"KING.")</f>
        <v>KING.</v>
      </c>
      <c r="C778" s="30" t="str">
        <f>IFERROR(__xludf.DUMMYFUNCTION("""COMPUTED_VALUE"""),"Elite")</f>
        <v>Elite</v>
      </c>
      <c r="D778" s="30" t="str">
        <f>IFERROR(__xludf.DUMMYFUNCTION("""COMPUTED_VALUE"""),"Cotija Cartel")</f>
        <v>Cotija Cartel</v>
      </c>
      <c r="E778" s="30" t="str">
        <f>IFERROR(__xludf.DUMMYFUNCTION("""COMPUTED_VALUE"""),"Cheese Guild")</f>
        <v>Cheese Guild</v>
      </c>
      <c r="F778" s="30" t="str">
        <f>IFERROR(__xludf.DUMMYFUNCTION("""COMPUTED_VALUE"""),"Lunar")</f>
        <v>Lunar</v>
      </c>
      <c r="G778" s="92">
        <f>IFERROR(__xludf.DUMMYFUNCTION("""COMPUTED_VALUE"""),49.40313662201046)</f>
        <v>49.40313662</v>
      </c>
    </row>
    <row r="779">
      <c r="A779" s="30" t="str">
        <f>IFERROR(__xludf.DUMMYFUNCTION("""COMPUTED_VALUE"""),"RSC000508")</f>
        <v>RSC000508</v>
      </c>
      <c r="B779" s="30" t="str">
        <f>IFERROR(__xludf.DUMMYFUNCTION("""COMPUTED_VALUE"""),"Bender_Escobar")</f>
        <v>Bender_Escobar</v>
      </c>
      <c r="C779" s="30" t="str">
        <f>IFERROR(__xludf.DUMMYFUNCTION("""COMPUTED_VALUE"""),"Elite")</f>
        <v>Elite</v>
      </c>
      <c r="D779" s="30" t="str">
        <f>IFERROR(__xludf.DUMMYFUNCTION("""COMPUTED_VALUE"""),"Demons")</f>
        <v>Demons</v>
      </c>
      <c r="E779" s="30" t="str">
        <f>IFERROR(__xludf.DUMMYFUNCTION("""COMPUTED_VALUE"""),"The Monster Mash")</f>
        <v>The Monster Mash</v>
      </c>
      <c r="F779" s="30" t="str">
        <f>IFERROR(__xludf.DUMMYFUNCTION("""COMPUTED_VALUE"""),"Lunar")</f>
        <v>Lunar</v>
      </c>
      <c r="G779" s="92">
        <f>IFERROR(__xludf.DUMMYFUNCTION("""COMPUTED_VALUE"""),36.52619534471858)</f>
        <v>36.52619534</v>
      </c>
    </row>
    <row r="780">
      <c r="A780" s="30" t="str">
        <f>IFERROR(__xludf.DUMMYFUNCTION("""COMPUTED_VALUE"""),"RSC004797")</f>
        <v>RSC004797</v>
      </c>
      <c r="B780" s="30" t="str">
        <f>IFERROR(__xludf.DUMMYFUNCTION("""COMPUTED_VALUE"""),"Tempest")</f>
        <v>Tempest</v>
      </c>
      <c r="C780" s="30" t="str">
        <f>IFERROR(__xludf.DUMMYFUNCTION("""COMPUTED_VALUE"""),"Elite")</f>
        <v>Elite</v>
      </c>
      <c r="D780" s="30" t="str">
        <f>IFERROR(__xludf.DUMMYFUNCTION("""COMPUTED_VALUE"""),"Demons")</f>
        <v>Demons</v>
      </c>
      <c r="E780" s="30" t="str">
        <f>IFERROR(__xludf.DUMMYFUNCTION("""COMPUTED_VALUE"""),"The Monster Mash")</f>
        <v>The Monster Mash</v>
      </c>
      <c r="F780" s="30" t="str">
        <f>IFERROR(__xludf.DUMMYFUNCTION("""COMPUTED_VALUE"""),"Lunar")</f>
        <v>Lunar</v>
      </c>
      <c r="G780" s="92">
        <f>IFERROR(__xludf.DUMMYFUNCTION("""COMPUTED_VALUE"""),60.19761715947194)</f>
        <v>60.19761716</v>
      </c>
    </row>
    <row r="781">
      <c r="A781" s="30" t="str">
        <f>IFERROR(__xludf.DUMMYFUNCTION("""COMPUTED_VALUE"""),"RSC000344")</f>
        <v>RSC000344</v>
      </c>
      <c r="B781" s="30" t="str">
        <f>IFERROR(__xludf.DUMMYFUNCTION("""COMPUTED_VALUE"""),"Mezmer")</f>
        <v>Mezmer</v>
      </c>
      <c r="C781" s="30" t="str">
        <f>IFERROR(__xludf.DUMMYFUNCTION("""COMPUTED_VALUE"""),"Elite")</f>
        <v>Elite</v>
      </c>
      <c r="D781" s="30" t="str">
        <f>IFERROR(__xludf.DUMMYFUNCTION("""COMPUTED_VALUE"""),"Demons")</f>
        <v>Demons</v>
      </c>
      <c r="E781" s="30" t="str">
        <f>IFERROR(__xludf.DUMMYFUNCTION("""COMPUTED_VALUE"""),"The Monster Mash")</f>
        <v>The Monster Mash</v>
      </c>
      <c r="F781" s="30" t="str">
        <f>IFERROR(__xludf.DUMMYFUNCTION("""COMPUTED_VALUE"""),"Lunar")</f>
        <v>Lunar</v>
      </c>
      <c r="G781" s="92">
        <f>IFERROR(__xludf.DUMMYFUNCTION("""COMPUTED_VALUE"""),30.33060737409049)</f>
        <v>30.33060737</v>
      </c>
    </row>
    <row r="782">
      <c r="A782" s="30" t="str">
        <f>IFERROR(__xludf.DUMMYFUNCTION("""COMPUTED_VALUE"""),"RSC000579")</f>
        <v>RSC000579</v>
      </c>
      <c r="B782" s="30" t="str">
        <f>IFERROR(__xludf.DUMMYFUNCTION("""COMPUTED_VALUE"""),"Cryptt.")</f>
        <v>Cryptt.</v>
      </c>
      <c r="C782" s="30" t="str">
        <f>IFERROR(__xludf.DUMMYFUNCTION("""COMPUTED_VALUE"""),"Elite")</f>
        <v>Elite</v>
      </c>
      <c r="D782" s="30" t="str">
        <f>IFERROR(__xludf.DUMMYFUNCTION("""COMPUTED_VALUE"""),"Cotija Cartel")</f>
        <v>Cotija Cartel</v>
      </c>
      <c r="E782" s="30" t="str">
        <f>IFERROR(__xludf.DUMMYFUNCTION("""COMPUTED_VALUE"""),"Cheese Guild")</f>
        <v>Cheese Guild</v>
      </c>
      <c r="F782" s="30" t="str">
        <f>IFERROR(__xludf.DUMMYFUNCTION("""COMPUTED_VALUE"""),"Lunar")</f>
        <v>Lunar</v>
      </c>
      <c r="G782" s="92">
        <f>IFERROR(__xludf.DUMMYFUNCTION("""COMPUTED_VALUE"""),92.78440972292199)</f>
        <v>92.78440972</v>
      </c>
    </row>
    <row r="783">
      <c r="A783" s="30" t="str">
        <f>IFERROR(__xludf.DUMMYFUNCTION("""COMPUTED_VALUE"""),"RSC007263")</f>
        <v>RSC007263</v>
      </c>
      <c r="B783" s="30" t="str">
        <f>IFERROR(__xludf.DUMMYFUNCTION("""COMPUTED_VALUE"""),"HardPointy")</f>
        <v>HardPointy</v>
      </c>
      <c r="C783" s="30" t="str">
        <f>IFERROR(__xludf.DUMMYFUNCTION("""COMPUTED_VALUE"""),"Elite")</f>
        <v>Elite</v>
      </c>
      <c r="D783" s="30" t="str">
        <f>IFERROR(__xludf.DUMMYFUNCTION("""COMPUTED_VALUE"""),"Majesties")</f>
        <v>Majesties</v>
      </c>
      <c r="E783" s="30" t="str">
        <f>IFERROR(__xludf.DUMMYFUNCTION("""COMPUTED_VALUE"""),"Monarchy")</f>
        <v>Monarchy</v>
      </c>
      <c r="F783" s="30" t="str">
        <f>IFERROR(__xludf.DUMMYFUNCTION("""COMPUTED_VALUE"""),"Lunar")</f>
        <v>Lunar</v>
      </c>
      <c r="G783" s="92">
        <f>IFERROR(__xludf.DUMMYFUNCTION("""COMPUTED_VALUE"""),54.99199766062543)</f>
        <v>54.99199766</v>
      </c>
    </row>
    <row r="784">
      <c r="A784" s="30" t="str">
        <f>IFERROR(__xludf.DUMMYFUNCTION("""COMPUTED_VALUE"""),"RSC007975")</f>
        <v>RSC007975</v>
      </c>
      <c r="B784" s="30" t="str">
        <f>IFERROR(__xludf.DUMMYFUNCTION("""COMPUTED_VALUE"""),"egor")</f>
        <v>egor</v>
      </c>
      <c r="C784" s="30" t="str">
        <f>IFERROR(__xludf.DUMMYFUNCTION("""COMPUTED_VALUE"""),"Elite")</f>
        <v>Elite</v>
      </c>
      <c r="D784" s="30" t="str">
        <f>IFERROR(__xludf.DUMMYFUNCTION("""COMPUTED_VALUE"""),"Summoned")</f>
        <v>Summoned</v>
      </c>
      <c r="E784" s="30" t="str">
        <f>IFERROR(__xludf.DUMMYFUNCTION("""COMPUTED_VALUE"""),"Destined")</f>
        <v>Destined</v>
      </c>
      <c r="F784" s="30" t="str">
        <f>IFERROR(__xludf.DUMMYFUNCTION("""COMPUTED_VALUE"""),"Solar")</f>
        <v>Solar</v>
      </c>
      <c r="G784" s="92">
        <f>IFERROR(__xludf.DUMMYFUNCTION("""COMPUTED_VALUE"""),25.823839700970634)</f>
        <v>25.8238397</v>
      </c>
    </row>
    <row r="785">
      <c r="A785" s="30" t="str">
        <f>IFERROR(__xludf.DUMMYFUNCTION("""COMPUTED_VALUE"""),"RSC002102")</f>
        <v>RSC002102</v>
      </c>
      <c r="B785" s="30" t="str">
        <f>IFERROR(__xludf.DUMMYFUNCTION("""COMPUTED_VALUE"""),"Cable")</f>
        <v>Cable</v>
      </c>
      <c r="C785" s="30" t="str">
        <f>IFERROR(__xludf.DUMMYFUNCTION("""COMPUTED_VALUE"""),"Elite")</f>
        <v>Elite</v>
      </c>
      <c r="D785" s="30" t="str">
        <f>IFERROR(__xludf.DUMMYFUNCTION("""COMPUTED_VALUE"""),"Teddy Bears")</f>
        <v>Teddy Bears</v>
      </c>
      <c r="E785" s="30" t="str">
        <f>IFERROR(__xludf.DUMMYFUNCTION("""COMPUTED_VALUE"""),"The Bear Den")</f>
        <v>The Bear Den</v>
      </c>
      <c r="F785" s="30" t="str">
        <f>IFERROR(__xludf.DUMMYFUNCTION("""COMPUTED_VALUE"""),"Lunar")</f>
        <v>Lunar</v>
      </c>
      <c r="G785" s="92">
        <f>IFERROR(__xludf.DUMMYFUNCTION("""COMPUTED_VALUE"""),45.98888863280782)</f>
        <v>45.98888863</v>
      </c>
    </row>
    <row r="786">
      <c r="A786" s="30" t="str">
        <f>IFERROR(__xludf.DUMMYFUNCTION("""COMPUTED_VALUE"""),"RSC000666")</f>
        <v>RSC000666</v>
      </c>
      <c r="B786" s="30" t="str">
        <f>IFERROR(__xludf.DUMMYFUNCTION("""COMPUTED_VALUE"""),"AEB311")</f>
        <v>AEB311</v>
      </c>
      <c r="C786" s="30" t="str">
        <f>IFERROR(__xludf.DUMMYFUNCTION("""COMPUTED_VALUE"""),"Elite")</f>
        <v>Elite</v>
      </c>
      <c r="D786" s="30" t="str">
        <f>IFERROR(__xludf.DUMMYFUNCTION("""COMPUTED_VALUE"""),"Teddy Bears")</f>
        <v>Teddy Bears</v>
      </c>
      <c r="E786" s="30" t="str">
        <f>IFERROR(__xludf.DUMMYFUNCTION("""COMPUTED_VALUE"""),"The Bear Den")</f>
        <v>The Bear Den</v>
      </c>
      <c r="F786" s="30" t="str">
        <f>IFERROR(__xludf.DUMMYFUNCTION("""COMPUTED_VALUE"""),"Lunar")</f>
        <v>Lunar</v>
      </c>
      <c r="G786" s="92">
        <f>IFERROR(__xludf.DUMMYFUNCTION("""COMPUTED_VALUE"""),52.36831852681541)</f>
        <v>52.36831853</v>
      </c>
    </row>
    <row r="787">
      <c r="A787" s="30" t="str">
        <f>IFERROR(__xludf.DUMMYFUNCTION("""COMPUTED_VALUE"""),"RSC000371")</f>
        <v>RSC000371</v>
      </c>
      <c r="B787" s="30" t="str">
        <f>IFERROR(__xludf.DUMMYFUNCTION("""COMPUTED_VALUE"""),"Capn' Clutch")</f>
        <v>Capn' Clutch</v>
      </c>
      <c r="C787" s="30" t="str">
        <f>IFERROR(__xludf.DUMMYFUNCTION("""COMPUTED_VALUE"""),"Elite")</f>
        <v>Elite</v>
      </c>
      <c r="D787" s="30" t="str">
        <f>IFERROR(__xludf.DUMMYFUNCTION("""COMPUTED_VALUE"""),"Teddy Bears")</f>
        <v>Teddy Bears</v>
      </c>
      <c r="E787" s="30" t="str">
        <f>IFERROR(__xludf.DUMMYFUNCTION("""COMPUTED_VALUE"""),"The Bear Den")</f>
        <v>The Bear Den</v>
      </c>
      <c r="F787" s="30" t="str">
        <f>IFERROR(__xludf.DUMMYFUNCTION("""COMPUTED_VALUE"""),"Lunar")</f>
        <v>Lunar</v>
      </c>
      <c r="G787" s="92">
        <f>IFERROR(__xludf.DUMMYFUNCTION("""COMPUTED_VALUE"""),54.19276641386365)</f>
        <v>54.19276641</v>
      </c>
    </row>
    <row r="788">
      <c r="A788" s="30" t="str">
        <f>IFERROR(__xludf.DUMMYFUNCTION("""COMPUTED_VALUE"""),"RSC005522")</f>
        <v>RSC005522</v>
      </c>
      <c r="B788" s="30" t="str">
        <f>IFERROR(__xludf.DUMMYFUNCTION("""COMPUTED_VALUE"""),"Diviniation")</f>
        <v>Diviniation</v>
      </c>
      <c r="C788" s="30" t="str">
        <f>IFERROR(__xludf.DUMMYFUNCTION("""COMPUTED_VALUE"""),"Elite")</f>
        <v>Elite</v>
      </c>
      <c r="D788" s="30" t="str">
        <f>IFERROR(__xludf.DUMMYFUNCTION("""COMPUTED_VALUE"""),"Ghastly Goombahs")</f>
        <v>Ghastly Goombahs</v>
      </c>
      <c r="E788" s="30" t="str">
        <f>IFERROR(__xludf.DUMMYFUNCTION("""COMPUTED_VALUE"""),"The Syndicate")</f>
        <v>The Syndicate</v>
      </c>
      <c r="F788" s="30" t="str">
        <f>IFERROR(__xludf.DUMMYFUNCTION("""COMPUTED_VALUE"""),"Lunar")</f>
        <v>Lunar</v>
      </c>
      <c r="G788" s="92">
        <f>IFERROR(__xludf.DUMMYFUNCTION("""COMPUTED_VALUE"""),8.868735324744485)</f>
        <v>8.868735325</v>
      </c>
    </row>
    <row r="789">
      <c r="A789" s="30" t="str">
        <f>IFERROR(__xludf.DUMMYFUNCTION("""COMPUTED_VALUE"""),"RSC007166")</f>
        <v>RSC007166</v>
      </c>
      <c r="B789" s="30" t="str">
        <f>IFERROR(__xludf.DUMMYFUNCTION("""COMPUTED_VALUE"""),"nelz")</f>
        <v>nelz</v>
      </c>
      <c r="C789" s="30" t="str">
        <f>IFERROR(__xludf.DUMMYFUNCTION("""COMPUTED_VALUE"""),"Elite")</f>
        <v>Elite</v>
      </c>
      <c r="D789" s="30" t="str">
        <f>IFERROR(__xludf.DUMMYFUNCTION("""COMPUTED_VALUE"""),"Ghastly Goombahs")</f>
        <v>Ghastly Goombahs</v>
      </c>
      <c r="E789" s="30" t="str">
        <f>IFERROR(__xludf.DUMMYFUNCTION("""COMPUTED_VALUE"""),"The Syndicate")</f>
        <v>The Syndicate</v>
      </c>
      <c r="F789" s="30" t="str">
        <f>IFERROR(__xludf.DUMMYFUNCTION("""COMPUTED_VALUE"""),"Lunar")</f>
        <v>Lunar</v>
      </c>
      <c r="G789" s="92">
        <f>IFERROR(__xludf.DUMMYFUNCTION("""COMPUTED_VALUE"""),57.16099102025201)</f>
        <v>57.16099102</v>
      </c>
    </row>
    <row r="790">
      <c r="A790" s="30" t="str">
        <f>IFERROR(__xludf.DUMMYFUNCTION("""COMPUTED_VALUE"""),"RSC005705")</f>
        <v>RSC005705</v>
      </c>
      <c r="B790" s="30" t="str">
        <f>IFERROR(__xludf.DUMMYFUNCTION("""COMPUTED_VALUE"""),"Rapidz (Goofy and Silly)")</f>
        <v>Rapidz (Goofy and Silly)</v>
      </c>
      <c r="C790" s="30" t="str">
        <f>IFERROR(__xludf.DUMMYFUNCTION("""COMPUTED_VALUE"""),"Elite")</f>
        <v>Elite</v>
      </c>
      <c r="D790" s="30" t="str">
        <f>IFERROR(__xludf.DUMMYFUNCTION("""COMPUTED_VALUE"""),"Keno
Ghastly Goombahs")</f>
        <v>Keno
Ghastly Goombahs</v>
      </c>
      <c r="E790" s="30" t="str">
        <f>IFERROR(__xludf.DUMMYFUNCTION("""COMPUTED_VALUE"""),"Never Lucky
The Syndicate")</f>
        <v>Never Lucky
The Syndicate</v>
      </c>
      <c r="F790" s="30" t="str">
        <f>IFERROR(__xludf.DUMMYFUNCTION("""COMPUTED_VALUE"""),"Lunar")</f>
        <v>Lunar</v>
      </c>
      <c r="G790" s="92">
        <f>IFERROR(__xludf.DUMMYFUNCTION("""COMPUTED_VALUE"""),48.630921866528006)</f>
        <v>48.63092187</v>
      </c>
    </row>
    <row r="791">
      <c r="A791" s="30" t="str">
        <f>IFERROR(__xludf.DUMMYFUNCTION("""COMPUTED_VALUE"""),"RSC005008")</f>
        <v>RSC005008</v>
      </c>
      <c r="B791" s="30" t="str">
        <f>IFERROR(__xludf.DUMMYFUNCTION("""COMPUTED_VALUE"""),"W0NDER")</f>
        <v>W0NDER</v>
      </c>
      <c r="C791" s="30" t="str">
        <f>IFERROR(__xludf.DUMMYFUNCTION("""COMPUTED_VALUE"""),"Elite")</f>
        <v>Elite</v>
      </c>
      <c r="D791" s="30" t="str">
        <f>IFERROR(__xludf.DUMMYFUNCTION("""COMPUTED_VALUE"""),"Ghastly Goombahs")</f>
        <v>Ghastly Goombahs</v>
      </c>
      <c r="E791" s="30" t="str">
        <f>IFERROR(__xludf.DUMMYFUNCTION("""COMPUTED_VALUE"""),"The Syndicate")</f>
        <v>The Syndicate</v>
      </c>
      <c r="F791" s="30" t="str">
        <f>IFERROR(__xludf.DUMMYFUNCTION("""COMPUTED_VALUE"""),"Lunar")</f>
        <v>Lunar</v>
      </c>
      <c r="G791" s="92">
        <f>IFERROR(__xludf.DUMMYFUNCTION("""COMPUTED_VALUE"""),39.51502157301857)</f>
        <v>39.51502157</v>
      </c>
    </row>
    <row r="792">
      <c r="A792" s="30" t="str">
        <f>IFERROR(__xludf.DUMMYFUNCTION("""COMPUTED_VALUE"""),"RSC003831")</f>
        <v>RSC003831</v>
      </c>
      <c r="B792" s="30" t="str">
        <f>IFERROR(__xludf.DUMMYFUNCTION("""COMPUTED_VALUE"""),"Aki")</f>
        <v>Aki</v>
      </c>
      <c r="C792" s="30" t="str">
        <f>IFERROR(__xludf.DUMMYFUNCTION("""COMPUTED_VALUE"""),"Elite")</f>
        <v>Elite</v>
      </c>
      <c r="D792" s="30" t="str">
        <f>IFERROR(__xludf.DUMMYFUNCTION("""COMPUTED_VALUE"""),"Stoked Blokes
Geeky Ghouls")</f>
        <v>Stoked Blokes
Geeky Ghouls</v>
      </c>
      <c r="E792" s="30" t="str">
        <f>IFERROR(__xludf.DUMMYFUNCTION("""COMPUTED_VALUE"""),"Vibe Tribe
Ghoul School")</f>
        <v>Vibe Tribe
Ghoul School</v>
      </c>
      <c r="F792" s="30" t="str">
        <f>IFERROR(__xludf.DUMMYFUNCTION("""COMPUTED_VALUE"""),"Lunar")</f>
        <v>Lunar</v>
      </c>
      <c r="G792" s="92">
        <f>IFERROR(__xludf.DUMMYFUNCTION("""COMPUTED_VALUE"""),55.205435234809634)</f>
        <v>55.20543523</v>
      </c>
    </row>
    <row r="793">
      <c r="A793" s="30" t="str">
        <f>IFERROR(__xludf.DUMMYFUNCTION("""COMPUTED_VALUE"""),"RSC003815")</f>
        <v>RSC003815</v>
      </c>
      <c r="B793" s="30" t="str">
        <f>IFERROR(__xludf.DUMMYFUNCTION("""COMPUTED_VALUE"""),"WashedDonk")</f>
        <v>WashedDonk</v>
      </c>
      <c r="C793" s="30" t="str">
        <f>IFERROR(__xludf.DUMMYFUNCTION("""COMPUTED_VALUE"""),"Elite")</f>
        <v>Elite</v>
      </c>
      <c r="D793" s="30" t="str">
        <f>IFERROR(__xludf.DUMMYFUNCTION("""COMPUTED_VALUE"""),"Geeky Ghouls")</f>
        <v>Geeky Ghouls</v>
      </c>
      <c r="E793" s="30" t="str">
        <f>IFERROR(__xludf.DUMMYFUNCTION("""COMPUTED_VALUE"""),"Ghoul School")</f>
        <v>Ghoul School</v>
      </c>
      <c r="F793" s="30" t="str">
        <f>IFERROR(__xludf.DUMMYFUNCTION("""COMPUTED_VALUE"""),"Solar")</f>
        <v>Solar</v>
      </c>
      <c r="G793" s="92">
        <f>IFERROR(__xludf.DUMMYFUNCTION("""COMPUTED_VALUE"""),33.720280321032504)</f>
        <v>33.72028032</v>
      </c>
    </row>
    <row r="794">
      <c r="A794" s="30" t="str">
        <f>IFERROR(__xludf.DUMMYFUNCTION("""COMPUTED_VALUE"""),"RSC005290")</f>
        <v>RSC005290</v>
      </c>
      <c r="B794" s="30" t="str">
        <f>IFERROR(__xludf.DUMMYFUNCTION("""COMPUTED_VALUE"""),"IMWASHEDGREG")</f>
        <v>IMWASHEDGREG</v>
      </c>
      <c r="C794" s="30" t="str">
        <f>IFERROR(__xludf.DUMMYFUNCTION("""COMPUTED_VALUE"""),"Elite")</f>
        <v>Elite</v>
      </c>
      <c r="D794" s="30" t="str">
        <f>IFERROR(__xludf.DUMMYFUNCTION("""COMPUTED_VALUE"""),"Geeky Ghouls")</f>
        <v>Geeky Ghouls</v>
      </c>
      <c r="E794" s="30" t="str">
        <f>IFERROR(__xludf.DUMMYFUNCTION("""COMPUTED_VALUE"""),"Ghoul School")</f>
        <v>Ghoul School</v>
      </c>
      <c r="F794" s="30" t="str">
        <f>IFERROR(__xludf.DUMMYFUNCTION("""COMPUTED_VALUE"""),"Solar")</f>
        <v>Solar</v>
      </c>
      <c r="G794" s="92">
        <f>IFERROR(__xludf.DUMMYFUNCTION("""COMPUTED_VALUE"""),62.425799580896054)</f>
        <v>62.42579958</v>
      </c>
    </row>
    <row r="795">
      <c r="A795" s="30" t="str">
        <f>IFERROR(__xludf.DUMMYFUNCTION("""COMPUTED_VALUE"""),"RSC007884")</f>
        <v>RSC007884</v>
      </c>
      <c r="B795" s="30" t="str">
        <f>IFERROR(__xludf.DUMMYFUNCTION("""COMPUTED_VALUE"""),"Luis.")</f>
        <v>Luis.</v>
      </c>
      <c r="C795" s="30" t="str">
        <f>IFERROR(__xludf.DUMMYFUNCTION("""COMPUTED_VALUE"""),"Elite")</f>
        <v>Elite</v>
      </c>
      <c r="D795" s="30" t="str">
        <f>IFERROR(__xludf.DUMMYFUNCTION("""COMPUTED_VALUE"""),"Fire")</f>
        <v>Fire</v>
      </c>
      <c r="E795" s="30" t="str">
        <f>IFERROR(__xludf.DUMMYFUNCTION("""COMPUTED_VALUE"""),"The Elements")</f>
        <v>The Elements</v>
      </c>
      <c r="F795" s="30" t="str">
        <f>IFERROR(__xludf.DUMMYFUNCTION("""COMPUTED_VALUE"""),"Solar")</f>
        <v>Solar</v>
      </c>
      <c r="G795" s="92">
        <f>IFERROR(__xludf.DUMMYFUNCTION("""COMPUTED_VALUE"""),43.37901522762196)</f>
        <v>43.37901523</v>
      </c>
    </row>
    <row r="796">
      <c r="A796" s="30" t="str">
        <f>IFERROR(__xludf.DUMMYFUNCTION("""COMPUTED_VALUE"""),"RSC005030")</f>
        <v>RSC005030</v>
      </c>
      <c r="B796" s="30" t="str">
        <f>IFERROR(__xludf.DUMMYFUNCTION("""COMPUTED_VALUE"""),"Joe")</f>
        <v>Joe</v>
      </c>
      <c r="C796" s="30" t="str">
        <f>IFERROR(__xludf.DUMMYFUNCTION("""COMPUTED_VALUE"""),"Elite")</f>
        <v>Elite</v>
      </c>
      <c r="D796" s="30" t="str">
        <f>IFERROR(__xludf.DUMMYFUNCTION("""COMPUTED_VALUE"""),"Fire")</f>
        <v>Fire</v>
      </c>
      <c r="E796" s="30" t="str">
        <f>IFERROR(__xludf.DUMMYFUNCTION("""COMPUTED_VALUE"""),"The Elements")</f>
        <v>The Elements</v>
      </c>
      <c r="F796" s="30" t="str">
        <f>IFERROR(__xludf.DUMMYFUNCTION("""COMPUTED_VALUE"""),"Solar")</f>
        <v>Solar</v>
      </c>
      <c r="G796" s="92">
        <f>IFERROR(__xludf.DUMMYFUNCTION("""COMPUTED_VALUE"""),53.88681021281221)</f>
        <v>53.88681021</v>
      </c>
    </row>
    <row r="797">
      <c r="A797" s="30" t="str">
        <f>IFERROR(__xludf.DUMMYFUNCTION("""COMPUTED_VALUE"""),"RSC005754")</f>
        <v>RSC005754</v>
      </c>
      <c r="B797" s="30" t="str">
        <f>IFERROR(__xludf.DUMMYFUNCTION("""COMPUTED_VALUE"""),"Monty.")</f>
        <v>Monty.</v>
      </c>
      <c r="C797" s="30" t="str">
        <f>IFERROR(__xludf.DUMMYFUNCTION("""COMPUTED_VALUE"""),"Elite")</f>
        <v>Elite</v>
      </c>
      <c r="D797" s="30" t="str">
        <f>IFERROR(__xludf.DUMMYFUNCTION("""COMPUTED_VALUE"""),"Fire")</f>
        <v>Fire</v>
      </c>
      <c r="E797" s="30" t="str">
        <f>IFERROR(__xludf.DUMMYFUNCTION("""COMPUTED_VALUE"""),"The Elements")</f>
        <v>The Elements</v>
      </c>
      <c r="F797" s="30" t="str">
        <f>IFERROR(__xludf.DUMMYFUNCTION("""COMPUTED_VALUE"""),"Solar")</f>
        <v>Solar</v>
      </c>
      <c r="G797" s="92">
        <f>IFERROR(__xludf.DUMMYFUNCTION("""COMPUTED_VALUE"""),22.966724772368174)</f>
        <v>22.96672477</v>
      </c>
    </row>
    <row r="798">
      <c r="A798" s="30" t="str">
        <f>IFERROR(__xludf.DUMMYFUNCTION("""COMPUTED_VALUE"""),"RSC007295")</f>
        <v>RSC007295</v>
      </c>
      <c r="B798" s="30" t="str">
        <f>IFERROR(__xludf.DUMMYFUNCTION("""COMPUTED_VALUE"""),"TheLegendaryChance")</f>
        <v>TheLegendaryChance</v>
      </c>
      <c r="C798" s="30" t="str">
        <f>IFERROR(__xludf.DUMMYFUNCTION("""COMPUTED_VALUE"""),"Elite")</f>
        <v>Elite</v>
      </c>
      <c r="D798" s="30" t="str">
        <f>IFERROR(__xludf.DUMMYFUNCTION("""COMPUTED_VALUE"""),"Geeky Ghouls")</f>
        <v>Geeky Ghouls</v>
      </c>
      <c r="E798" s="30" t="str">
        <f>IFERROR(__xludf.DUMMYFUNCTION("""COMPUTED_VALUE"""),"Ghoul School")</f>
        <v>Ghoul School</v>
      </c>
      <c r="F798" s="30" t="str">
        <f>IFERROR(__xludf.DUMMYFUNCTION("""COMPUTED_VALUE"""),"Solar")</f>
        <v>Solar</v>
      </c>
      <c r="G798" s="92">
        <f>IFERROR(__xludf.DUMMYFUNCTION("""COMPUTED_VALUE"""),37.841084931455015)</f>
        <v>37.84108493</v>
      </c>
    </row>
    <row r="799">
      <c r="A799" s="30" t="str">
        <f>IFERROR(__xludf.DUMMYFUNCTION("""COMPUTED_VALUE"""),"RSC007925")</f>
        <v>RSC007925</v>
      </c>
      <c r="B799" s="30" t="str">
        <f>IFERROR(__xludf.DUMMYFUNCTION("""COMPUTED_VALUE"""),"Monkey")</f>
        <v>Monkey</v>
      </c>
      <c r="C799" s="30" t="str">
        <f>IFERROR(__xludf.DUMMYFUNCTION("""COMPUTED_VALUE"""),"Elite")</f>
        <v>Elite</v>
      </c>
      <c r="D799" s="30" t="str">
        <f>IFERROR(__xludf.DUMMYFUNCTION("""COMPUTED_VALUE"""),"Fire")</f>
        <v>Fire</v>
      </c>
      <c r="E799" s="30" t="str">
        <f>IFERROR(__xludf.DUMMYFUNCTION("""COMPUTED_VALUE"""),"The Elements")</f>
        <v>The Elements</v>
      </c>
      <c r="F799" s="30" t="str">
        <f>IFERROR(__xludf.DUMMYFUNCTION("""COMPUTED_VALUE"""),"Solar")</f>
        <v>Solar</v>
      </c>
      <c r="G799" s="92">
        <f>IFERROR(__xludf.DUMMYFUNCTION("""COMPUTED_VALUE"""),41.291288106818996)</f>
        <v>41.29128811</v>
      </c>
    </row>
    <row r="800">
      <c r="A800" s="30" t="str">
        <f>IFERROR(__xludf.DUMMYFUNCTION("""COMPUTED_VALUE"""),"RSC006838")</f>
        <v>RSC006838</v>
      </c>
      <c r="B800" s="30" t="str">
        <f>IFERROR(__xludf.DUMMYFUNCTION("""COMPUTED_VALUE"""),"ZachOff")</f>
        <v>ZachOff</v>
      </c>
      <c r="C800" s="30" t="str">
        <f>IFERROR(__xludf.DUMMYFUNCTION("""COMPUTED_VALUE"""),"Elite")</f>
        <v>Elite</v>
      </c>
      <c r="D800" s="30" t="str">
        <f>IFERROR(__xludf.DUMMYFUNCTION("""COMPUTED_VALUE"""),"Great Whites")</f>
        <v>Great Whites</v>
      </c>
      <c r="E800" s="30" t="str">
        <f>IFERROR(__xludf.DUMMYFUNCTION("""COMPUTED_VALUE"""),"Shark Attack")</f>
        <v>Shark Attack</v>
      </c>
      <c r="F800" s="30" t="str">
        <f>IFERROR(__xludf.DUMMYFUNCTION("""COMPUTED_VALUE"""),"Solar")</f>
        <v>Solar</v>
      </c>
      <c r="G800" s="92">
        <f>IFERROR(__xludf.DUMMYFUNCTION("""COMPUTED_VALUE"""),84.29593222873837)</f>
        <v>84.29593223</v>
      </c>
    </row>
    <row r="801">
      <c r="A801" s="30" t="str">
        <f>IFERROR(__xludf.DUMMYFUNCTION("""COMPUTED_VALUE"""),"RSC007642")</f>
        <v>RSC007642</v>
      </c>
      <c r="B801" s="30" t="str">
        <f>IFERROR(__xludf.DUMMYFUNCTION("""COMPUTED_VALUE"""),"Luminati7")</f>
        <v>Luminati7</v>
      </c>
      <c r="C801" s="30" t="str">
        <f>IFERROR(__xludf.DUMMYFUNCTION("""COMPUTED_VALUE"""),"Elite")</f>
        <v>Elite</v>
      </c>
      <c r="D801" s="30" t="str">
        <f>IFERROR(__xludf.DUMMYFUNCTION("""COMPUTED_VALUE"""),"Pixel Picassos")</f>
        <v>Pixel Picassos</v>
      </c>
      <c r="E801" s="30" t="str">
        <f>IFERROR(__xludf.DUMMYFUNCTION("""COMPUTED_VALUE"""),"Art Club")</f>
        <v>Art Club</v>
      </c>
      <c r="F801" s="30" t="str">
        <f>IFERROR(__xludf.DUMMYFUNCTION("""COMPUTED_VALUE"""),"Solar")</f>
        <v>Solar</v>
      </c>
      <c r="G801" s="92">
        <f>IFERROR(__xludf.DUMMYFUNCTION("""COMPUTED_VALUE"""),38.65822490672755)</f>
        <v>38.65822491</v>
      </c>
    </row>
    <row r="802">
      <c r="A802" s="30" t="str">
        <f>IFERROR(__xludf.DUMMYFUNCTION("""COMPUTED_VALUE"""),"RSC004630")</f>
        <v>RSC004630</v>
      </c>
      <c r="B802" s="30" t="str">
        <f>IFERROR(__xludf.DUMMYFUNCTION("""COMPUTED_VALUE"""),"Supe")</f>
        <v>Supe</v>
      </c>
      <c r="C802" s="30" t="str">
        <f>IFERROR(__xludf.DUMMYFUNCTION("""COMPUTED_VALUE"""),"Elite")</f>
        <v>Elite</v>
      </c>
      <c r="D802" s="30" t="str">
        <f>IFERROR(__xludf.DUMMYFUNCTION("""COMPUTED_VALUE"""),"Pylons")</f>
        <v>Pylons</v>
      </c>
      <c r="E802" s="30" t="str">
        <f>IFERROR(__xludf.DUMMYFUNCTION("""COMPUTED_VALUE"""),"Road Work Ahead")</f>
        <v>Road Work Ahead</v>
      </c>
      <c r="F802" s="30" t="str">
        <f>IFERROR(__xludf.DUMMYFUNCTION("""COMPUTED_VALUE"""),"Lunar")</f>
        <v>Lunar</v>
      </c>
      <c r="G802" s="92">
        <f>IFERROR(__xludf.DUMMYFUNCTION("""COMPUTED_VALUE"""),77.53545533763443)</f>
        <v>77.53545534</v>
      </c>
    </row>
    <row r="803">
      <c r="A803" s="30" t="str">
        <f>IFERROR(__xludf.DUMMYFUNCTION("""COMPUTED_VALUE"""),"RSC006218")</f>
        <v>RSC006218</v>
      </c>
      <c r="B803" s="30" t="str">
        <f>IFERROR(__xludf.DUMMYFUNCTION("""COMPUTED_VALUE"""),"Stingray")</f>
        <v>Stingray</v>
      </c>
      <c r="C803" s="30" t="str">
        <f>IFERROR(__xludf.DUMMYFUNCTION("""COMPUTED_VALUE"""),"Elite")</f>
        <v>Elite</v>
      </c>
      <c r="D803" s="30" t="str">
        <f>IFERROR(__xludf.DUMMYFUNCTION("""COMPUTED_VALUE"""),"Keno")</f>
        <v>Keno</v>
      </c>
      <c r="E803" s="30" t="str">
        <f>IFERROR(__xludf.DUMMYFUNCTION("""COMPUTED_VALUE"""),"Never Lucky")</f>
        <v>Never Lucky</v>
      </c>
      <c r="F803" s="30" t="str">
        <f>IFERROR(__xludf.DUMMYFUNCTION("""COMPUTED_VALUE"""),"Lunar")</f>
        <v>Lunar</v>
      </c>
      <c r="G803" s="92">
        <f>IFERROR(__xludf.DUMMYFUNCTION("""COMPUTED_VALUE"""),63.637624987071575)</f>
        <v>63.63762499</v>
      </c>
    </row>
    <row r="804">
      <c r="A804" s="30" t="str">
        <f>IFERROR(__xludf.DUMMYFUNCTION("""COMPUTED_VALUE"""),"RSC005469")</f>
        <v>RSC005469</v>
      </c>
      <c r="B804" s="30" t="str">
        <f>IFERROR(__xludf.DUMMYFUNCTION("""COMPUTED_VALUE"""),"Axlos (Goofy and Silly)")</f>
        <v>Axlos (Goofy and Silly)</v>
      </c>
      <c r="C804" s="30" t="str">
        <f>IFERROR(__xludf.DUMMYFUNCTION("""COMPUTED_VALUE"""),"Elite")</f>
        <v>Elite</v>
      </c>
      <c r="D804" s="30" t="str">
        <f>IFERROR(__xludf.DUMMYFUNCTION("""COMPUTED_VALUE"""),"Keno
Ghastly Goombahs")</f>
        <v>Keno
Ghastly Goombahs</v>
      </c>
      <c r="E804" s="30" t="str">
        <f>IFERROR(__xludf.DUMMYFUNCTION("""COMPUTED_VALUE"""),"Never Lucky
The Syndicate")</f>
        <v>Never Lucky
The Syndicate</v>
      </c>
      <c r="F804" s="30" t="str">
        <f>IFERROR(__xludf.DUMMYFUNCTION("""COMPUTED_VALUE"""),"Lunar")</f>
        <v>Lunar</v>
      </c>
      <c r="G804" s="92">
        <f>IFERROR(__xludf.DUMMYFUNCTION("""COMPUTED_VALUE"""),16.57197778092852)</f>
        <v>16.57197778</v>
      </c>
    </row>
    <row r="805">
      <c r="A805" s="30" t="str">
        <f>IFERROR(__xludf.DUMMYFUNCTION("""COMPUTED_VALUE"""),"RSC007907")</f>
        <v>RSC007907</v>
      </c>
      <c r="B805" s="30" t="str">
        <f>IFERROR(__xludf.DUMMYFUNCTION("""COMPUTED_VALUE"""),"Chazie.")</f>
        <v>Chazie.</v>
      </c>
      <c r="C805" s="30" t="str">
        <f>IFERROR(__xludf.DUMMYFUNCTION("""COMPUTED_VALUE"""),"Elite")</f>
        <v>Elite</v>
      </c>
      <c r="D805" s="30" t="str">
        <f>IFERROR(__xludf.DUMMYFUNCTION("""COMPUTED_VALUE"""),"Orochi")</f>
        <v>Orochi</v>
      </c>
      <c r="E805" s="30" t="str">
        <f>IFERROR(__xludf.DUMMYFUNCTION("""COMPUTED_VALUE"""),"The Shrine")</f>
        <v>The Shrine</v>
      </c>
      <c r="F805" s="30" t="str">
        <f>IFERROR(__xludf.DUMMYFUNCTION("""COMPUTED_VALUE"""),"Solar")</f>
        <v>Solar</v>
      </c>
      <c r="G805" s="92">
        <f>IFERROR(__xludf.DUMMYFUNCTION("""COMPUTED_VALUE"""),14.370666092974787)</f>
        <v>14.37066609</v>
      </c>
    </row>
    <row r="806">
      <c r="A806" s="30" t="str">
        <f>IFERROR(__xludf.DUMMYFUNCTION("""COMPUTED_VALUE"""),"RSC000016")</f>
        <v>RSC000016</v>
      </c>
      <c r="B806" s="30" t="str">
        <f>IFERROR(__xludf.DUMMYFUNCTION("""COMPUTED_VALUE"""),"Beans")</f>
        <v>Beans</v>
      </c>
      <c r="C806" s="30" t="str">
        <f>IFERROR(__xludf.DUMMYFUNCTION("""COMPUTED_VALUE"""),"Elite")</f>
        <v>Elite</v>
      </c>
      <c r="D806" s="30" t="str">
        <f>IFERROR(__xludf.DUMMYFUNCTION("""COMPUTED_VALUE"""),"Nightshade")</f>
        <v>Nightshade</v>
      </c>
      <c r="E806" s="30" t="str">
        <f>IFERROR(__xludf.DUMMYFUNCTION("""COMPUTED_VALUE"""),"Flower Road")</f>
        <v>Flower Road</v>
      </c>
      <c r="F806" s="30" t="str">
        <f>IFERROR(__xludf.DUMMYFUNCTION("""COMPUTED_VALUE"""),"Lunar")</f>
        <v>Lunar</v>
      </c>
      <c r="G806" s="92">
        <f>IFERROR(__xludf.DUMMYFUNCTION("""COMPUTED_VALUE"""),44.01428955328286)</f>
        <v>44.01428955</v>
      </c>
    </row>
    <row r="807">
      <c r="A807" s="30" t="str">
        <f>IFERROR(__xludf.DUMMYFUNCTION("""COMPUTED_VALUE"""),"RSC004966")</f>
        <v>RSC004966</v>
      </c>
      <c r="B807" s="30" t="str">
        <f>IFERROR(__xludf.DUMMYFUNCTION("""COMPUTED_VALUE"""),"Buck")</f>
        <v>Buck</v>
      </c>
      <c r="C807" s="30" t="str">
        <f>IFERROR(__xludf.DUMMYFUNCTION("""COMPUTED_VALUE"""),"Elite")</f>
        <v>Elite</v>
      </c>
      <c r="D807" s="30" t="str">
        <f>IFERROR(__xludf.DUMMYFUNCTION("""COMPUTED_VALUE"""),"Thrashers")</f>
        <v>Thrashers</v>
      </c>
      <c r="E807" s="30" t="str">
        <f>IFERROR(__xludf.DUMMYFUNCTION("""COMPUTED_VALUE"""),"The Pit")</f>
        <v>The Pit</v>
      </c>
      <c r="F807" s="30" t="str">
        <f>IFERROR(__xludf.DUMMYFUNCTION("""COMPUTED_VALUE"""),"Lunar")</f>
        <v>Lunar</v>
      </c>
      <c r="G807" s="92">
        <f>IFERROR(__xludf.DUMMYFUNCTION("""COMPUTED_VALUE"""),29.878499716916743)</f>
        <v>29.87849972</v>
      </c>
    </row>
    <row r="808">
      <c r="A808" s="30" t="str">
        <f>IFERROR(__xludf.DUMMYFUNCTION("""COMPUTED_VALUE"""),"RSC006468")</f>
        <v>RSC006468</v>
      </c>
      <c r="B808" s="30" t="str">
        <f>IFERROR(__xludf.DUMMYFUNCTION("""COMPUTED_VALUE"""),"AlphaChuck")</f>
        <v>AlphaChuck</v>
      </c>
      <c r="C808" s="30" t="str">
        <f>IFERROR(__xludf.DUMMYFUNCTION("""COMPUTED_VALUE"""),"Elite")</f>
        <v>Elite</v>
      </c>
      <c r="D808" s="30" t="str">
        <f>IFERROR(__xludf.DUMMYFUNCTION("""COMPUTED_VALUE"""),"Teddy Bears")</f>
        <v>Teddy Bears</v>
      </c>
      <c r="E808" s="30" t="str">
        <f>IFERROR(__xludf.DUMMYFUNCTION("""COMPUTED_VALUE"""),"The Bear Den")</f>
        <v>The Bear Den</v>
      </c>
      <c r="F808" s="30" t="str">
        <f>IFERROR(__xludf.DUMMYFUNCTION("""COMPUTED_VALUE"""),"Lunar")</f>
        <v>Lunar</v>
      </c>
      <c r="G808" s="92">
        <f>IFERROR(__xludf.DUMMYFUNCTION("""COMPUTED_VALUE"""),46.443127786407416)</f>
        <v>46.44312779</v>
      </c>
    </row>
    <row r="809">
      <c r="A809" s="30" t="str">
        <f>IFERROR(__xludf.DUMMYFUNCTION("""COMPUTED_VALUE"""),"RSC004889")</f>
        <v>RSC004889</v>
      </c>
      <c r="B809" s="30" t="str">
        <f>IFERROR(__xludf.DUMMYFUNCTION("""COMPUTED_VALUE"""),"Steeltoehammer")</f>
        <v>Steeltoehammer</v>
      </c>
      <c r="C809" s="30" t="str">
        <f>IFERROR(__xludf.DUMMYFUNCTION("""COMPUTED_VALUE"""),"Elite")</f>
        <v>Elite</v>
      </c>
      <c r="D809" s="30" t="str">
        <f>IFERROR(__xludf.DUMMYFUNCTION("""COMPUTED_VALUE"""),"Despair")</f>
        <v>Despair</v>
      </c>
      <c r="E809" s="30" t="str">
        <f>IFERROR(__xludf.DUMMYFUNCTION("""COMPUTED_VALUE"""),"The Shadows")</f>
        <v>The Shadows</v>
      </c>
      <c r="F809" s="30" t="str">
        <f>IFERROR(__xludf.DUMMYFUNCTION("""COMPUTED_VALUE"""),"Lunar")</f>
        <v>Lunar</v>
      </c>
      <c r="G809" s="92">
        <f>IFERROR(__xludf.DUMMYFUNCTION("""COMPUTED_VALUE"""),12.628108808213526)</f>
        <v>12.62810881</v>
      </c>
    </row>
    <row r="810">
      <c r="A810" s="30" t="str">
        <f>IFERROR(__xludf.DUMMYFUNCTION("""COMPUTED_VALUE"""),"RSC006703")</f>
        <v>RSC006703</v>
      </c>
      <c r="B810" s="30" t="str">
        <f>IFERROR(__xludf.DUMMYFUNCTION("""COMPUTED_VALUE"""),"cav")</f>
        <v>cav</v>
      </c>
      <c r="C810" s="30" t="str">
        <f>IFERROR(__xludf.DUMMYFUNCTION("""COMPUTED_VALUE"""),"Elite")</f>
        <v>Elite</v>
      </c>
      <c r="D810" s="30" t="str">
        <f>IFERROR(__xludf.DUMMYFUNCTION("""COMPUTED_VALUE"""),"Praetorian Guard")</f>
        <v>Praetorian Guard</v>
      </c>
      <c r="E810" s="30" t="str">
        <f>IFERROR(__xludf.DUMMYFUNCTION("""COMPUTED_VALUE"""),"The Sovereign")</f>
        <v>The Sovereign</v>
      </c>
      <c r="F810" s="30" t="str">
        <f>IFERROR(__xludf.DUMMYFUNCTION("""COMPUTED_VALUE"""),"Lunar")</f>
        <v>Lunar</v>
      </c>
      <c r="G810" s="92">
        <f>IFERROR(__xludf.DUMMYFUNCTION("""COMPUTED_VALUE"""),58.0226766170405)</f>
        <v>58.02267662</v>
      </c>
    </row>
    <row r="811">
      <c r="A811" s="30" t="str">
        <f>IFERROR(__xludf.DUMMYFUNCTION("""COMPUTED_VALUE"""),"RSC007941")</f>
        <v>RSC007941</v>
      </c>
      <c r="B811" s="30" t="str">
        <f>IFERROR(__xludf.DUMMYFUNCTION("""COMPUTED_VALUE"""),"Shepherd")</f>
        <v>Shepherd</v>
      </c>
      <c r="C811" s="30" t="str">
        <f>IFERROR(__xludf.DUMMYFUNCTION("""COMPUTED_VALUE"""),"Elite")</f>
        <v>Elite</v>
      </c>
      <c r="D811" s="30" t="str">
        <f>IFERROR(__xludf.DUMMYFUNCTION("""COMPUTED_VALUE"""),"Demons")</f>
        <v>Demons</v>
      </c>
      <c r="E811" s="30" t="str">
        <f>IFERROR(__xludf.DUMMYFUNCTION("""COMPUTED_VALUE"""),"The Monster Mash")</f>
        <v>The Monster Mash</v>
      </c>
      <c r="F811" s="30" t="str">
        <f>IFERROR(__xludf.DUMMYFUNCTION("""COMPUTED_VALUE"""),"Lunar")</f>
        <v>Lunar</v>
      </c>
      <c r="G811" s="92">
        <f>IFERROR(__xludf.DUMMYFUNCTION("""COMPUTED_VALUE"""),53.57083672305354)</f>
        <v>53.57083672</v>
      </c>
    </row>
    <row r="812">
      <c r="A812" s="30" t="str">
        <f>IFERROR(__xludf.DUMMYFUNCTION("""COMPUTED_VALUE"""),"RSC006409")</f>
        <v>RSC006409</v>
      </c>
      <c r="B812" s="30" t="str">
        <f>IFERROR(__xludf.DUMMYFUNCTION("""COMPUTED_VALUE"""),"Reported.")</f>
        <v>Reported.</v>
      </c>
      <c r="C812" s="30" t="str">
        <f>IFERROR(__xludf.DUMMYFUNCTION("""COMPUTED_VALUE"""),"Elite")</f>
        <v>Elite</v>
      </c>
      <c r="D812" s="30" t="str">
        <f>IFERROR(__xludf.DUMMYFUNCTION("""COMPUTED_VALUE"""),"Forge Defenders")</f>
        <v>Forge Defenders</v>
      </c>
      <c r="E812" s="30" t="str">
        <f>IFERROR(__xludf.DUMMYFUNCTION("""COMPUTED_VALUE"""),"Dwarf Haven")</f>
        <v>Dwarf Haven</v>
      </c>
      <c r="F812" s="30" t="str">
        <f>IFERROR(__xludf.DUMMYFUNCTION("""COMPUTED_VALUE"""),"Solar")</f>
        <v>Solar</v>
      </c>
      <c r="G812" s="92">
        <f>IFERROR(__xludf.DUMMYFUNCTION("""COMPUTED_VALUE"""),57.05406612630219)</f>
        <v>57.05406613</v>
      </c>
    </row>
    <row r="813">
      <c r="A813" s="30" t="str">
        <f>IFERROR(__xludf.DUMMYFUNCTION("""COMPUTED_VALUE"""),"RSC006484")</f>
        <v>RSC006484</v>
      </c>
      <c r="B813" s="30" t="str">
        <f>IFERROR(__xludf.DUMMYFUNCTION("""COMPUTED_VALUE"""),"Sunny.-._")</f>
        <v>Sunny.-._</v>
      </c>
      <c r="C813" s="30" t="str">
        <f>IFERROR(__xludf.DUMMYFUNCTION("""COMPUTED_VALUE"""),"Elite")</f>
        <v>Elite</v>
      </c>
      <c r="D813" s="30" t="str">
        <f>IFERROR(__xludf.DUMMYFUNCTION("""COMPUTED_VALUE"""),"Ghastly Goombahs
Summoned
Orochi")</f>
        <v>Ghastly Goombahs
Summoned
Orochi</v>
      </c>
      <c r="E813" s="30" t="str">
        <f>IFERROR(__xludf.DUMMYFUNCTION("""COMPUTED_VALUE"""),"The Syndicate
Destined
The Shrine")</f>
        <v>The Syndicate
Destined
The Shrine</v>
      </c>
      <c r="F813" s="30" t="str">
        <f>IFERROR(__xludf.DUMMYFUNCTION("""COMPUTED_VALUE"""),"Solar")</f>
        <v>Solar</v>
      </c>
      <c r="G813" s="92">
        <f>IFERROR(__xludf.DUMMYFUNCTION("""COMPUTED_VALUE"""),18.827802352309387)</f>
        <v>18.82780235</v>
      </c>
    </row>
    <row r="814">
      <c r="A814" s="30" t="str">
        <f>IFERROR(__xludf.DUMMYFUNCTION("""COMPUTED_VALUE"""),"RSC007629")</f>
        <v>RSC007629</v>
      </c>
      <c r="B814" s="30" t="str">
        <f>IFERROR(__xludf.DUMMYFUNCTION("""COMPUTED_VALUE"""),"Mochi")</f>
        <v>Mochi</v>
      </c>
      <c r="C814" s="30" t="str">
        <f>IFERROR(__xludf.DUMMYFUNCTION("""COMPUTED_VALUE"""),"Elite")</f>
        <v>Elite</v>
      </c>
      <c r="D814" s="30" t="str">
        <f>IFERROR(__xludf.DUMMYFUNCTION("""COMPUTED_VALUE"""),"Desolation")</f>
        <v>Desolation</v>
      </c>
      <c r="E814" s="30" t="str">
        <f>IFERROR(__xludf.DUMMYFUNCTION("""COMPUTED_VALUE"""),"Event Horizon")</f>
        <v>Event Horizon</v>
      </c>
      <c r="F814" s="30" t="str">
        <f>IFERROR(__xludf.DUMMYFUNCTION("""COMPUTED_VALUE"""),"Solar")</f>
        <v>Solar</v>
      </c>
      <c r="G814" s="92">
        <f>IFERROR(__xludf.DUMMYFUNCTION("""COMPUTED_VALUE"""),28.619920189021254)</f>
        <v>28.61992019</v>
      </c>
    </row>
    <row r="815">
      <c r="A815" s="30" t="str">
        <f>IFERROR(__xludf.DUMMYFUNCTION("""COMPUTED_VALUE"""),"RSC005899")</f>
        <v>RSC005899</v>
      </c>
      <c r="B815" s="30" t="str">
        <f>IFERROR(__xludf.DUMMYFUNCTION("""COMPUTED_VALUE"""),"DJDancingDuckGif")</f>
        <v>DJDancingDuckGif</v>
      </c>
      <c r="C815" s="30" t="str">
        <f>IFERROR(__xludf.DUMMYFUNCTION("""COMPUTED_VALUE"""),"Elite")</f>
        <v>Elite</v>
      </c>
      <c r="D815" s="30" t="str">
        <f>IFERROR(__xludf.DUMMYFUNCTION("""COMPUTED_VALUE"""),"Black-Holes")</f>
        <v>Black-Holes</v>
      </c>
      <c r="E815" s="30" t="str">
        <f>IFERROR(__xludf.DUMMYFUNCTION("""COMPUTED_VALUE"""),"The Cosmos")</f>
        <v>The Cosmos</v>
      </c>
      <c r="F815" s="30" t="str">
        <f>IFERROR(__xludf.DUMMYFUNCTION("""COMPUTED_VALUE"""),"Solar")</f>
        <v>Solar</v>
      </c>
      <c r="G815" s="92">
        <f>IFERROR(__xludf.DUMMYFUNCTION("""COMPUTED_VALUE"""),40.841921373090585)</f>
        <v>40.84192137</v>
      </c>
    </row>
    <row r="816">
      <c r="A816" s="30" t="str">
        <f>IFERROR(__xludf.DUMMYFUNCTION("""COMPUTED_VALUE"""),"RSC006185")</f>
        <v>RSC006185</v>
      </c>
      <c r="B816" s="30" t="str">
        <f>IFERROR(__xludf.DUMMYFUNCTION("""COMPUTED_VALUE"""),"sandro")</f>
        <v>sandro</v>
      </c>
      <c r="C816" s="30" t="str">
        <f>IFERROR(__xludf.DUMMYFUNCTION("""COMPUTED_VALUE"""),"Elite")</f>
        <v>Elite</v>
      </c>
      <c r="D816" s="30" t="str">
        <f>IFERROR(__xludf.DUMMYFUNCTION("""COMPUTED_VALUE"""),"Summoned
Pylons")</f>
        <v>Summoned
Pylons</v>
      </c>
      <c r="E816" s="30" t="str">
        <f>IFERROR(__xludf.DUMMYFUNCTION("""COMPUTED_VALUE"""),"Destined
Road Work Ahead")</f>
        <v>Destined
Road Work Ahead</v>
      </c>
      <c r="F816" s="30" t="str">
        <f>IFERROR(__xludf.DUMMYFUNCTION("""COMPUTED_VALUE"""),"Solar")</f>
        <v>Solar</v>
      </c>
      <c r="G816" s="92">
        <f>IFERROR(__xludf.DUMMYFUNCTION("""COMPUTED_VALUE"""),57.30800501419863)</f>
        <v>57.30800501</v>
      </c>
    </row>
    <row r="817">
      <c r="A817" s="30" t="str">
        <f>IFERROR(__xludf.DUMMYFUNCTION("""COMPUTED_VALUE"""),"RSC007260")</f>
        <v>RSC007260</v>
      </c>
      <c r="B817" s="30" t="str">
        <f>IFERROR(__xludf.DUMMYFUNCTION("""COMPUTED_VALUE"""),"Veoloux")</f>
        <v>Veoloux</v>
      </c>
      <c r="C817" s="30" t="str">
        <f>IFERROR(__xludf.DUMMYFUNCTION("""COMPUTED_VALUE"""),"Elite")</f>
        <v>Elite</v>
      </c>
      <c r="D817" s="30" t="str">
        <f>IFERROR(__xludf.DUMMYFUNCTION("""COMPUTED_VALUE"""),"Ghastly Goombahs
Loonie")</f>
        <v>Ghastly Goombahs
Loonie</v>
      </c>
      <c r="E817" s="30" t="str">
        <f>IFERROR(__xludf.DUMMYFUNCTION("""COMPUTED_VALUE"""),"The Syndicate
Money Makers")</f>
        <v>The Syndicate
Money Makers</v>
      </c>
      <c r="F817" s="30" t="str">
        <f>IFERROR(__xludf.DUMMYFUNCTION("""COMPUTED_VALUE"""),"Solar")</f>
        <v>Solar</v>
      </c>
      <c r="G817" s="92">
        <f>IFERROR(__xludf.DUMMYFUNCTION("""COMPUTED_VALUE"""),8.646205847232288)</f>
        <v>8.646205847</v>
      </c>
    </row>
    <row r="818">
      <c r="A818" s="30" t="str">
        <f>IFERROR(__xludf.DUMMYFUNCTION("""COMPUTED_VALUE"""),"RSC006637")</f>
        <v>RSC006637</v>
      </c>
      <c r="B818" s="30" t="str">
        <f>IFERROR(__xludf.DUMMYFUNCTION("""COMPUTED_VALUE"""),"nekodah")</f>
        <v>nekodah</v>
      </c>
      <c r="C818" s="30" t="str">
        <f>IFERROR(__xludf.DUMMYFUNCTION("""COMPUTED_VALUE"""),"Elite")</f>
        <v>Elite</v>
      </c>
      <c r="D818" s="30" t="str">
        <f>IFERROR(__xludf.DUMMYFUNCTION("""COMPUTED_VALUE"""),"Stoked Blokes")</f>
        <v>Stoked Blokes</v>
      </c>
      <c r="E818" s="30" t="str">
        <f>IFERROR(__xludf.DUMMYFUNCTION("""COMPUTED_VALUE"""),"Vibe Tribe")</f>
        <v>Vibe Tribe</v>
      </c>
      <c r="F818" s="30" t="str">
        <f>IFERROR(__xludf.DUMMYFUNCTION("""COMPUTED_VALUE"""),"Lunar")</f>
        <v>Lunar</v>
      </c>
      <c r="G818" s="92">
        <f>IFERROR(__xludf.DUMMYFUNCTION("""COMPUTED_VALUE"""),49.208780208458414)</f>
        <v>49.20878021</v>
      </c>
    </row>
    <row r="819">
      <c r="A819" s="30" t="str">
        <f>IFERROR(__xludf.DUMMYFUNCTION("""COMPUTED_VALUE"""),"RSC005508")</f>
        <v>RSC005508</v>
      </c>
      <c r="B819" s="30" t="str">
        <f>IFERROR(__xludf.DUMMYFUNCTION("""COMPUTED_VALUE"""),"Lil Windex")</f>
        <v>Lil Windex</v>
      </c>
      <c r="C819" s="30" t="str">
        <f>IFERROR(__xludf.DUMMYFUNCTION("""COMPUTED_VALUE"""),"Elite")</f>
        <v>Elite</v>
      </c>
      <c r="D819" s="30" t="str">
        <f>IFERROR(__xludf.DUMMYFUNCTION("""COMPUTED_VALUE"""),"Cyclones")</f>
        <v>Cyclones</v>
      </c>
      <c r="E819" s="30" t="str">
        <f>IFERROR(__xludf.DUMMYFUNCTION("""COMPUTED_VALUE"""),"Storm")</f>
        <v>Storm</v>
      </c>
      <c r="F819" s="30" t="str">
        <f>IFERROR(__xludf.DUMMYFUNCTION("""COMPUTED_VALUE"""),"Solar")</f>
        <v>Solar</v>
      </c>
      <c r="G819" s="92">
        <f>IFERROR(__xludf.DUMMYFUNCTION("""COMPUTED_VALUE"""),49.11435474577822)</f>
        <v>49.11435475</v>
      </c>
    </row>
    <row r="820">
      <c r="A820" s="30" t="str">
        <f>IFERROR(__xludf.DUMMYFUNCTION("""COMPUTED_VALUE"""),"RSC003277")</f>
        <v>RSC003277</v>
      </c>
      <c r="B820" s="30" t="str">
        <f>IFERROR(__xludf.DUMMYFUNCTION("""COMPUTED_VALUE"""),"Miikey.RL")</f>
        <v>Miikey.RL</v>
      </c>
      <c r="C820" s="30" t="str">
        <f>IFERROR(__xludf.DUMMYFUNCTION("""COMPUTED_VALUE"""),"Elite")</f>
        <v>Elite</v>
      </c>
      <c r="D820" s="30" t="str">
        <f>IFERROR(__xludf.DUMMYFUNCTION("""COMPUTED_VALUE"""),"Orochi")</f>
        <v>Orochi</v>
      </c>
      <c r="E820" s="30" t="str">
        <f>IFERROR(__xludf.DUMMYFUNCTION("""COMPUTED_VALUE"""),"The Shrine")</f>
        <v>The Shrine</v>
      </c>
      <c r="F820" s="30" t="str">
        <f>IFERROR(__xludf.DUMMYFUNCTION("""COMPUTED_VALUE"""),"Solar")</f>
        <v>Solar</v>
      </c>
      <c r="G820" s="92">
        <f>IFERROR(__xludf.DUMMYFUNCTION("""COMPUTED_VALUE"""),21.31106208152662)</f>
        <v>21.31106208</v>
      </c>
    </row>
    <row r="821">
      <c r="A821" s="30" t="str">
        <f>IFERROR(__xludf.DUMMYFUNCTION("""COMPUTED_VALUE"""),"RSC003110")</f>
        <v>RSC003110</v>
      </c>
      <c r="B821" s="30" t="str">
        <f>IFERROR(__xludf.DUMMYFUNCTION("""COMPUTED_VALUE"""),"Rev")</f>
        <v>Rev</v>
      </c>
      <c r="C821" s="30" t="str">
        <f>IFERROR(__xludf.DUMMYFUNCTION("""COMPUTED_VALUE"""),"Elite")</f>
        <v>Elite</v>
      </c>
      <c r="D821" s="30" t="str">
        <f>IFERROR(__xludf.DUMMYFUNCTION("""COMPUTED_VALUE"""),"Orochi")</f>
        <v>Orochi</v>
      </c>
      <c r="E821" s="30" t="str">
        <f>IFERROR(__xludf.DUMMYFUNCTION("""COMPUTED_VALUE"""),"The Shrine")</f>
        <v>The Shrine</v>
      </c>
      <c r="F821" s="30" t="str">
        <f>IFERROR(__xludf.DUMMYFUNCTION("""COMPUTED_VALUE"""),"Solar")</f>
        <v>Solar</v>
      </c>
      <c r="G821" s="92">
        <f>IFERROR(__xludf.DUMMYFUNCTION("""COMPUTED_VALUE"""),8.633263161967626)</f>
        <v>8.633263162</v>
      </c>
    </row>
    <row r="822">
      <c r="A822" s="30" t="str">
        <f>IFERROR(__xludf.DUMMYFUNCTION("""COMPUTED_VALUE"""),"RSC000488")</f>
        <v>RSC000488</v>
      </c>
      <c r="B822" s="30" t="str">
        <f>IFERROR(__xludf.DUMMYFUNCTION("""COMPUTED_VALUE"""),"theblobofglob22")</f>
        <v>theblobofglob22</v>
      </c>
      <c r="C822" s="30" t="str">
        <f>IFERROR(__xludf.DUMMYFUNCTION("""COMPUTED_VALUE"""),"Elite")</f>
        <v>Elite</v>
      </c>
      <c r="D822" s="30" t="str">
        <f>IFERROR(__xludf.DUMMYFUNCTION("""COMPUTED_VALUE"""),"Summoned")</f>
        <v>Summoned</v>
      </c>
      <c r="E822" s="30" t="str">
        <f>IFERROR(__xludf.DUMMYFUNCTION("""COMPUTED_VALUE"""),"Destined")</f>
        <v>Destined</v>
      </c>
      <c r="F822" s="30" t="str">
        <f>IFERROR(__xludf.DUMMYFUNCTION("""COMPUTED_VALUE"""),"Solar")</f>
        <v>Solar</v>
      </c>
      <c r="G822" s="92">
        <f>IFERROR(__xludf.DUMMYFUNCTION("""COMPUTED_VALUE"""),46.03386059625161)</f>
        <v>46.0338606</v>
      </c>
    </row>
    <row r="823">
      <c r="A823" s="30" t="str">
        <f>IFERROR(__xludf.DUMMYFUNCTION("""COMPUTED_VALUE"""),"RSC000867")</f>
        <v>RSC000867</v>
      </c>
      <c r="B823" s="30" t="str">
        <f>IFERROR(__xludf.DUMMYFUNCTION("""COMPUTED_VALUE"""),"Ritter")</f>
        <v>Ritter</v>
      </c>
      <c r="C823" s="30" t="str">
        <f>IFERROR(__xludf.DUMMYFUNCTION("""COMPUTED_VALUE"""),"Elite")</f>
        <v>Elite</v>
      </c>
      <c r="D823" s="30" t="str">
        <f>IFERROR(__xludf.DUMMYFUNCTION("""COMPUTED_VALUE"""),"Pylons")</f>
        <v>Pylons</v>
      </c>
      <c r="E823" s="30" t="str">
        <f>IFERROR(__xludf.DUMMYFUNCTION("""COMPUTED_VALUE"""),"Road Work Ahead")</f>
        <v>Road Work Ahead</v>
      </c>
      <c r="F823" s="30" t="str">
        <f>IFERROR(__xludf.DUMMYFUNCTION("""COMPUTED_VALUE"""),"Lunar")</f>
        <v>Lunar</v>
      </c>
      <c r="G823" s="92">
        <f>IFERROR(__xludf.DUMMYFUNCTION("""COMPUTED_VALUE"""),34.946039919402835)</f>
        <v>34.94603992</v>
      </c>
    </row>
    <row r="824">
      <c r="A824" s="30" t="str">
        <f>IFERROR(__xludf.DUMMYFUNCTION("""COMPUTED_VALUE"""),"RSC004650")</f>
        <v>RSC004650</v>
      </c>
      <c r="B824" s="30" t="str">
        <f>IFERROR(__xludf.DUMMYFUNCTION("""COMPUTED_VALUE"""),"xolzkii")</f>
        <v>xolzkii</v>
      </c>
      <c r="C824" s="30" t="str">
        <f>IFERROR(__xludf.DUMMYFUNCTION("""COMPUTED_VALUE"""),"Elite")</f>
        <v>Elite</v>
      </c>
      <c r="D824" s="30" t="str">
        <f>IFERROR(__xludf.DUMMYFUNCTION("""COMPUTED_VALUE"""),"Summoned")</f>
        <v>Summoned</v>
      </c>
      <c r="E824" s="30" t="str">
        <f>IFERROR(__xludf.DUMMYFUNCTION("""COMPUTED_VALUE"""),"Destined")</f>
        <v>Destined</v>
      </c>
      <c r="F824" s="30" t="str">
        <f>IFERROR(__xludf.DUMMYFUNCTION("""COMPUTED_VALUE"""),"Solar")</f>
        <v>Solar</v>
      </c>
      <c r="G824" s="92">
        <f>IFERROR(__xludf.DUMMYFUNCTION("""COMPUTED_VALUE"""),6.990553475322834)</f>
        <v>6.990553475</v>
      </c>
    </row>
    <row r="825">
      <c r="A825" s="30" t="str">
        <f>IFERROR(__xludf.DUMMYFUNCTION("""COMPUTED_VALUE"""),"RSC002178")</f>
        <v>RSC002178</v>
      </c>
      <c r="B825" s="30" t="str">
        <f>IFERROR(__xludf.DUMMYFUNCTION("""COMPUTED_VALUE"""),"bird")</f>
        <v>bird</v>
      </c>
      <c r="C825" s="30" t="str">
        <f>IFERROR(__xludf.DUMMYFUNCTION("""COMPUTED_VALUE"""),"Elite")</f>
        <v>Elite</v>
      </c>
      <c r="D825" s="30" t="str">
        <f>IFERROR(__xludf.DUMMYFUNCTION("""COMPUTED_VALUE"""),"Afterburners")</f>
        <v>Afterburners</v>
      </c>
      <c r="E825" s="30" t="str">
        <f>IFERROR(__xludf.DUMMYFUNCTION("""COMPUTED_VALUE"""),"Remove Before Flight")</f>
        <v>Remove Before Flight</v>
      </c>
      <c r="F825" s="30" t="str">
        <f>IFERROR(__xludf.DUMMYFUNCTION("""COMPUTED_VALUE"""),"Lunar")</f>
        <v>Lunar</v>
      </c>
      <c r="G825" s="92">
        <f>IFERROR(__xludf.DUMMYFUNCTION("""COMPUTED_VALUE"""),42.085095793039535)</f>
        <v>42.08509579</v>
      </c>
    </row>
    <row r="826">
      <c r="A826" s="30" t="str">
        <f>IFERROR(__xludf.DUMMYFUNCTION("""COMPUTED_VALUE"""),"RSC001056")</f>
        <v>RSC001056</v>
      </c>
      <c r="B826" s="30" t="str">
        <f>IFERROR(__xludf.DUMMYFUNCTION("""COMPUTED_VALUE"""),"mysandislost")</f>
        <v>mysandislost</v>
      </c>
      <c r="C826" s="30" t="str">
        <f>IFERROR(__xludf.DUMMYFUNCTION("""COMPUTED_VALUE"""),"Elite")</f>
        <v>Elite</v>
      </c>
      <c r="D826" s="30" t="str">
        <f>IFERROR(__xludf.DUMMYFUNCTION("""COMPUTED_VALUE"""),"Orochi")</f>
        <v>Orochi</v>
      </c>
      <c r="E826" s="30" t="str">
        <f>IFERROR(__xludf.DUMMYFUNCTION("""COMPUTED_VALUE"""),"The Shrine")</f>
        <v>The Shrine</v>
      </c>
      <c r="F826" s="30" t="str">
        <f>IFERROR(__xludf.DUMMYFUNCTION("""COMPUTED_VALUE"""),"Solar")</f>
        <v>Solar</v>
      </c>
      <c r="G826" s="92">
        <f>IFERROR(__xludf.DUMMYFUNCTION("""COMPUTED_VALUE"""),76.59872584992317)</f>
        <v>76.59872585</v>
      </c>
    </row>
    <row r="827">
      <c r="A827" s="30" t="str">
        <f>IFERROR(__xludf.DUMMYFUNCTION("""COMPUTED_VALUE"""),"RSC007882")</f>
        <v>RSC007882</v>
      </c>
      <c r="B827" s="30" t="str">
        <f>IFERROR(__xludf.DUMMYFUNCTION("""COMPUTED_VALUE"""),"mirage")</f>
        <v>mirage</v>
      </c>
      <c r="C827" s="30" t="str">
        <f>IFERROR(__xludf.DUMMYFUNCTION("""COMPUTED_VALUE"""),"Elite")</f>
        <v>Elite</v>
      </c>
      <c r="D827" s="30" t="str">
        <f>IFERROR(__xludf.DUMMYFUNCTION("""COMPUTED_VALUE"""),"Keno
Summoned")</f>
        <v>Keno
Summoned</v>
      </c>
      <c r="E827" s="30" t="str">
        <f>IFERROR(__xludf.DUMMYFUNCTION("""COMPUTED_VALUE"""),"Never Lucky
Destined")</f>
        <v>Never Lucky
Destined</v>
      </c>
      <c r="F827" s="30" t="str">
        <f>IFERROR(__xludf.DUMMYFUNCTION("""COMPUTED_VALUE"""),"Lunar")</f>
        <v>Lunar</v>
      </c>
      <c r="G827" s="92">
        <f>IFERROR(__xludf.DUMMYFUNCTION("""COMPUTED_VALUE"""),92.8223266032814)</f>
        <v>92.8223266</v>
      </c>
    </row>
    <row r="828">
      <c r="A828" s="30" t="str">
        <f>IFERROR(__xludf.DUMMYFUNCTION("""COMPUTED_VALUE"""),"RSC005009")</f>
        <v>RSC005009</v>
      </c>
      <c r="B828" s="30" t="str">
        <f>IFERROR(__xludf.DUMMYFUNCTION("""COMPUTED_VALUE"""),"Qeetz")</f>
        <v>Qeetz</v>
      </c>
      <c r="C828" s="30" t="str">
        <f>IFERROR(__xludf.DUMMYFUNCTION("""COMPUTED_VALUE"""),"Elite")</f>
        <v>Elite</v>
      </c>
      <c r="D828" s="30" t="str">
        <f>IFERROR(__xludf.DUMMYFUNCTION("""COMPUTED_VALUE"""),"Black-Holes")</f>
        <v>Black-Holes</v>
      </c>
      <c r="E828" s="30" t="str">
        <f>IFERROR(__xludf.DUMMYFUNCTION("""COMPUTED_VALUE"""),"The Cosmos")</f>
        <v>The Cosmos</v>
      </c>
      <c r="F828" s="30" t="str">
        <f>IFERROR(__xludf.DUMMYFUNCTION("""COMPUTED_VALUE"""),"Solar")</f>
        <v>Solar</v>
      </c>
      <c r="G828" s="92">
        <f>IFERROR(__xludf.DUMMYFUNCTION("""COMPUTED_VALUE"""),7.3098430607740426)</f>
        <v>7.309843061</v>
      </c>
    </row>
    <row r="829">
      <c r="A829" s="30" t="str">
        <f>IFERROR(__xludf.DUMMYFUNCTION("""COMPUTED_VALUE"""),"RSC001019")</f>
        <v>RSC001019</v>
      </c>
      <c r="B829" s="30" t="str">
        <f>IFERROR(__xludf.DUMMYFUNCTION("""COMPUTED_VALUE"""),"Surge")</f>
        <v>Surge</v>
      </c>
      <c r="C829" s="30" t="str">
        <f>IFERROR(__xludf.DUMMYFUNCTION("""COMPUTED_VALUE"""),"Elite")</f>
        <v>Elite</v>
      </c>
      <c r="D829" s="30" t="str">
        <f>IFERROR(__xludf.DUMMYFUNCTION("""COMPUTED_VALUE"""),"Majesties
Teddy Bears")</f>
        <v>Majesties
Teddy Bears</v>
      </c>
      <c r="E829" s="30" t="str">
        <f>IFERROR(__xludf.DUMMYFUNCTION("""COMPUTED_VALUE"""),"Monarchy
The Bear Den")</f>
        <v>Monarchy
The Bear Den</v>
      </c>
      <c r="F829" s="30" t="str">
        <f>IFERROR(__xludf.DUMMYFUNCTION("""COMPUTED_VALUE"""),"Lunar")</f>
        <v>Lunar</v>
      </c>
      <c r="G829" s="92">
        <f>IFERROR(__xludf.DUMMYFUNCTION("""COMPUTED_VALUE"""),32.170473158667264)</f>
        <v>32.17047316</v>
      </c>
    </row>
    <row r="830">
      <c r="A830" s="30" t="str">
        <f>IFERROR(__xludf.DUMMYFUNCTION("""COMPUTED_VALUE"""),"RSC000197")</f>
        <v>RSC000197</v>
      </c>
      <c r="B830" s="30" t="str">
        <f>IFERROR(__xludf.DUMMYFUNCTION("""COMPUTED_VALUE"""),"kareemostyle")</f>
        <v>kareemostyle</v>
      </c>
      <c r="C830" s="30" t="str">
        <f>IFERROR(__xludf.DUMMYFUNCTION("""COMPUTED_VALUE"""),"Elite")</f>
        <v>Elite</v>
      </c>
      <c r="D830" s="30" t="str">
        <f>IFERROR(__xludf.DUMMYFUNCTION("""COMPUTED_VALUE"""),"Summoned")</f>
        <v>Summoned</v>
      </c>
      <c r="E830" s="30" t="str">
        <f>IFERROR(__xludf.DUMMYFUNCTION("""COMPUTED_VALUE"""),"Destined")</f>
        <v>Destined</v>
      </c>
      <c r="F830" s="30" t="str">
        <f>IFERROR(__xludf.DUMMYFUNCTION("""COMPUTED_VALUE"""),"Solar")</f>
        <v>Solar</v>
      </c>
      <c r="G830" s="92">
        <f>IFERROR(__xludf.DUMMYFUNCTION("""COMPUTED_VALUE"""),109.33569203030532)</f>
        <v>109.335692</v>
      </c>
    </row>
    <row r="831">
      <c r="A831" s="30" t="str">
        <f>IFERROR(__xludf.DUMMYFUNCTION("""COMPUTED_VALUE"""),"RSC005490")</f>
        <v>RSC005490</v>
      </c>
      <c r="B831" s="30" t="str">
        <f>IFERROR(__xludf.DUMMYFUNCTION("""COMPUTED_VALUE"""),"iProfessorEx")</f>
        <v>iProfessorEx</v>
      </c>
      <c r="C831" s="30" t="str">
        <f>IFERROR(__xludf.DUMMYFUNCTION("""COMPUTED_VALUE"""),"Elite")</f>
        <v>Elite</v>
      </c>
      <c r="D831" s="30" t="str">
        <f>IFERROR(__xludf.DUMMYFUNCTION("""COMPUTED_VALUE"""),"Drive Bye")</f>
        <v>Drive Bye</v>
      </c>
      <c r="E831" s="30" t="str">
        <f>IFERROR(__xludf.DUMMYFUNCTION("""COMPUTED_VALUE"""),"The Hood")</f>
        <v>The Hood</v>
      </c>
      <c r="F831" s="30" t="str">
        <f>IFERROR(__xludf.DUMMYFUNCTION("""COMPUTED_VALUE"""),"Lunar")</f>
        <v>Lunar</v>
      </c>
      <c r="G831" s="92">
        <f>IFERROR(__xludf.DUMMYFUNCTION("""COMPUTED_VALUE"""),-4.0023512452184065)</f>
        <v>-4.002351245</v>
      </c>
    </row>
    <row r="832">
      <c r="A832" s="30" t="str">
        <f>IFERROR(__xludf.DUMMYFUNCTION("""COMPUTED_VALUE"""),"RSC006446")</f>
        <v>RSC006446</v>
      </c>
      <c r="B832" s="30" t="str">
        <f>IFERROR(__xludf.DUMMYFUNCTION("""COMPUTED_VALUE"""),"ACE_Cosplays.TTV")</f>
        <v>ACE_Cosplays.TTV</v>
      </c>
      <c r="C832" s="30" t="str">
        <f>IFERROR(__xludf.DUMMYFUNCTION("""COMPUTED_VALUE"""),"Elite")</f>
        <v>Elite</v>
      </c>
      <c r="D832" s="30" t="str">
        <f>IFERROR(__xludf.DUMMYFUNCTION("""COMPUTED_VALUE"""),"Majesties")</f>
        <v>Majesties</v>
      </c>
      <c r="E832" s="30" t="str">
        <f>IFERROR(__xludf.DUMMYFUNCTION("""COMPUTED_VALUE"""),"Monarchy")</f>
        <v>Monarchy</v>
      </c>
      <c r="F832" s="30" t="str">
        <f>IFERROR(__xludf.DUMMYFUNCTION("""COMPUTED_VALUE"""),"Lunar")</f>
        <v>Lunar</v>
      </c>
      <c r="G832" s="92">
        <f>IFERROR(__xludf.DUMMYFUNCTION("""COMPUTED_VALUE"""),43.04331999249343)</f>
        <v>43.04331999</v>
      </c>
    </row>
    <row r="833">
      <c r="A833" s="30" t="str">
        <f>IFERROR(__xludf.DUMMYFUNCTION("""COMPUTED_VALUE"""),"RSC005515")</f>
        <v>RSC005515</v>
      </c>
      <c r="B833" s="30" t="str">
        <f>IFERROR(__xludf.DUMMYFUNCTION("""COMPUTED_VALUE"""),"BaronTac0")</f>
        <v>BaronTac0</v>
      </c>
      <c r="C833" s="30" t="str">
        <f>IFERROR(__xludf.DUMMYFUNCTION("""COMPUTED_VALUE"""),"Elite")</f>
        <v>Elite</v>
      </c>
      <c r="D833" s="30" t="str">
        <f>IFERROR(__xludf.DUMMYFUNCTION("""COMPUTED_VALUE"""),"Nightshade
Loonie")</f>
        <v>Nightshade
Loonie</v>
      </c>
      <c r="E833" s="30" t="str">
        <f>IFERROR(__xludf.DUMMYFUNCTION("""COMPUTED_VALUE"""),"Flower Road
Money Makers")</f>
        <v>Flower Road
Money Makers</v>
      </c>
      <c r="F833" s="30" t="str">
        <f>IFERROR(__xludf.DUMMYFUNCTION("""COMPUTED_VALUE"""),"Solar")</f>
        <v>Solar</v>
      </c>
      <c r="G833" s="92">
        <f>IFERROR(__xludf.DUMMYFUNCTION("""COMPUTED_VALUE"""),45.09657300845011)</f>
        <v>45.09657301</v>
      </c>
    </row>
    <row r="834">
      <c r="A834" s="30" t="str">
        <f>IFERROR(__xludf.DUMMYFUNCTION("""COMPUTED_VALUE"""),"RSC007386")</f>
        <v>RSC007386</v>
      </c>
      <c r="B834" s="30" t="str">
        <f>IFERROR(__xludf.DUMMYFUNCTION("""COMPUTED_VALUE"""),"oddtrip")</f>
        <v>oddtrip</v>
      </c>
      <c r="C834" s="30" t="str">
        <f>IFERROR(__xludf.DUMMYFUNCTION("""COMPUTED_VALUE"""),"Elite")</f>
        <v>Elite</v>
      </c>
      <c r="D834" s="30" t="str">
        <f>IFERROR(__xludf.DUMMYFUNCTION("""COMPUTED_VALUE"""),"Loonie")</f>
        <v>Loonie</v>
      </c>
      <c r="E834" s="30" t="str">
        <f>IFERROR(__xludf.DUMMYFUNCTION("""COMPUTED_VALUE"""),"Money Makers")</f>
        <v>Money Makers</v>
      </c>
      <c r="F834" s="30" t="str">
        <f>IFERROR(__xludf.DUMMYFUNCTION("""COMPUTED_VALUE"""),"Solar")</f>
        <v>Solar</v>
      </c>
      <c r="G834" s="92">
        <f>IFERROR(__xludf.DUMMYFUNCTION("""COMPUTED_VALUE"""),9.20918595142004)</f>
        <v>9.209185951</v>
      </c>
    </row>
    <row r="835">
      <c r="A835" s="30" t="str">
        <f>IFERROR(__xludf.DUMMYFUNCTION("""COMPUTED_VALUE"""),"RSC003986")</f>
        <v>RSC003986</v>
      </c>
      <c r="B835" s="30" t="str">
        <f>IFERROR(__xludf.DUMMYFUNCTION("""COMPUTED_VALUE"""),"Reprise")</f>
        <v>Reprise</v>
      </c>
      <c r="C835" s="30" t="str">
        <f>IFERROR(__xludf.DUMMYFUNCTION("""COMPUTED_VALUE"""),"Elite")</f>
        <v>Elite</v>
      </c>
      <c r="D835" s="30" t="str">
        <f>IFERROR(__xludf.DUMMYFUNCTION("""COMPUTED_VALUE"""),"Ghastly Goombahs")</f>
        <v>Ghastly Goombahs</v>
      </c>
      <c r="E835" s="30" t="str">
        <f>IFERROR(__xludf.DUMMYFUNCTION("""COMPUTED_VALUE"""),"The Syndicate")</f>
        <v>The Syndicate</v>
      </c>
      <c r="F835" s="30" t="str">
        <f>IFERROR(__xludf.DUMMYFUNCTION("""COMPUTED_VALUE"""),"Lunar")</f>
        <v>Lunar</v>
      </c>
      <c r="G835" s="92">
        <f>IFERROR(__xludf.DUMMYFUNCTION("""COMPUTED_VALUE"""),49.24658963815844)</f>
        <v>49.24658964</v>
      </c>
    </row>
    <row r="836">
      <c r="A836" s="30" t="str">
        <f>IFERROR(__xludf.DUMMYFUNCTION("""COMPUTED_VALUE"""),"RSC004239")</f>
        <v>RSC004239</v>
      </c>
      <c r="B836" s="30" t="str">
        <f>IFERROR(__xludf.DUMMYFUNCTION("""COMPUTED_VALUE"""),"Nitro")</f>
        <v>Nitro</v>
      </c>
      <c r="C836" s="30" t="str">
        <f>IFERROR(__xludf.DUMMYFUNCTION("""COMPUTED_VALUE"""),"Elite")</f>
        <v>Elite</v>
      </c>
      <c r="D836" s="30" t="str">
        <f>IFERROR(__xludf.DUMMYFUNCTION("""COMPUTED_VALUE"""),"Keno")</f>
        <v>Keno</v>
      </c>
      <c r="E836" s="30" t="str">
        <f>IFERROR(__xludf.DUMMYFUNCTION("""COMPUTED_VALUE"""),"Never Lucky")</f>
        <v>Never Lucky</v>
      </c>
      <c r="F836" s="30" t="str">
        <f>IFERROR(__xludf.DUMMYFUNCTION("""COMPUTED_VALUE"""),"Lunar")</f>
        <v>Lunar</v>
      </c>
      <c r="G836" s="92">
        <f>IFERROR(__xludf.DUMMYFUNCTION("""COMPUTED_VALUE"""),44.589912631013554)</f>
        <v>44.58991263</v>
      </c>
    </row>
    <row r="837">
      <c r="A837" s="30" t="str">
        <f>IFERROR(__xludf.DUMMYFUNCTION("""COMPUTED_VALUE"""),"RSC003305")</f>
        <v>RSC003305</v>
      </c>
      <c r="B837" s="30" t="str">
        <f>IFERROR(__xludf.DUMMYFUNCTION("""COMPUTED_VALUE"""),"Sobes")</f>
        <v>Sobes</v>
      </c>
      <c r="C837" s="30" t="str">
        <f>IFERROR(__xludf.DUMMYFUNCTION("""COMPUTED_VALUE"""),"Elite")</f>
        <v>Elite</v>
      </c>
      <c r="D837" s="30" t="str">
        <f>IFERROR(__xludf.DUMMYFUNCTION("""COMPUTED_VALUE"""),"Cyclones")</f>
        <v>Cyclones</v>
      </c>
      <c r="E837" s="30" t="str">
        <f>IFERROR(__xludf.DUMMYFUNCTION("""COMPUTED_VALUE"""),"Storm")</f>
        <v>Storm</v>
      </c>
      <c r="F837" s="30" t="str">
        <f>IFERROR(__xludf.DUMMYFUNCTION("""COMPUTED_VALUE"""),"Solar")</f>
        <v>Solar</v>
      </c>
      <c r="G837" s="92">
        <f>IFERROR(__xludf.DUMMYFUNCTION("""COMPUTED_VALUE"""),21.20810085884615)</f>
        <v>21.20810086</v>
      </c>
    </row>
    <row r="838">
      <c r="A838" s="30" t="str">
        <f>IFERROR(__xludf.DUMMYFUNCTION("""COMPUTED_VALUE"""),"RSC006438")</f>
        <v>RSC006438</v>
      </c>
      <c r="B838" s="30" t="str">
        <f>IFERROR(__xludf.DUMMYFUNCTION("""COMPUTED_VALUE"""),"WestyzWorld")</f>
        <v>WestyzWorld</v>
      </c>
      <c r="C838" s="30" t="str">
        <f>IFERROR(__xludf.DUMMYFUNCTION("""COMPUTED_VALUE"""),"Elite")</f>
        <v>Elite</v>
      </c>
      <c r="D838" s="30" t="str">
        <f>IFERROR(__xludf.DUMMYFUNCTION("""COMPUTED_VALUE"""),"Summoned")</f>
        <v>Summoned</v>
      </c>
      <c r="E838" s="30" t="str">
        <f>IFERROR(__xludf.DUMMYFUNCTION("""COMPUTED_VALUE"""),"Destined")</f>
        <v>Destined</v>
      </c>
      <c r="F838" s="30" t="str">
        <f>IFERROR(__xludf.DUMMYFUNCTION("""COMPUTED_VALUE"""),"Solar")</f>
        <v>Solar</v>
      </c>
      <c r="G838" s="92">
        <f>IFERROR(__xludf.DUMMYFUNCTION("""COMPUTED_VALUE"""),36.75508832012406)</f>
        <v>36.75508832</v>
      </c>
    </row>
    <row r="839">
      <c r="A839" s="30" t="str">
        <f>IFERROR(__xludf.DUMMYFUNCTION("""COMPUTED_VALUE"""),"RSC003445")</f>
        <v>RSC003445</v>
      </c>
      <c r="B839" s="30" t="str">
        <f>IFERROR(__xludf.DUMMYFUNCTION("""COMPUTED_VALUE"""),"bosco")</f>
        <v>bosco</v>
      </c>
      <c r="C839" s="30" t="str">
        <f>IFERROR(__xludf.DUMMYFUNCTION("""COMPUTED_VALUE"""),"Elite")</f>
        <v>Elite</v>
      </c>
      <c r="D839" s="30" t="str">
        <f>IFERROR(__xludf.DUMMYFUNCTION("""COMPUTED_VALUE"""),"Desolation")</f>
        <v>Desolation</v>
      </c>
      <c r="E839" s="30" t="str">
        <f>IFERROR(__xludf.DUMMYFUNCTION("""COMPUTED_VALUE"""),"Event Horizon")</f>
        <v>Event Horizon</v>
      </c>
      <c r="F839" s="30" t="str">
        <f>IFERROR(__xludf.DUMMYFUNCTION("""COMPUTED_VALUE"""),"Solar")</f>
        <v>Solar</v>
      </c>
      <c r="G839" s="92">
        <f>IFERROR(__xludf.DUMMYFUNCTION("""COMPUTED_VALUE"""),12.217924731114906)</f>
        <v>12.21792473</v>
      </c>
    </row>
    <row r="840">
      <c r="A840" s="30"/>
      <c r="B840" s="30"/>
      <c r="C840" s="30"/>
      <c r="D840" s="30"/>
      <c r="E840" s="30"/>
      <c r="F840" s="30"/>
      <c r="G840" s="30"/>
    </row>
    <row r="841">
      <c r="A841" s="30"/>
      <c r="B841" s="30"/>
      <c r="C841" s="30"/>
      <c r="D841" s="30"/>
      <c r="E841" s="30"/>
      <c r="F841" s="30"/>
      <c r="G841" s="30"/>
    </row>
    <row r="842">
      <c r="A842" s="30"/>
      <c r="B842" s="30"/>
      <c r="C842" s="30"/>
      <c r="D842" s="30"/>
      <c r="E842" s="30"/>
      <c r="F842" s="30"/>
      <c r="G842" s="30"/>
    </row>
    <row r="843">
      <c r="A843" s="30"/>
      <c r="B843" s="30"/>
      <c r="C843" s="30"/>
      <c r="D843" s="30"/>
      <c r="E843" s="30"/>
      <c r="F843" s="30"/>
      <c r="G843" s="30"/>
    </row>
    <row r="844">
      <c r="A844" s="30"/>
      <c r="B844" s="30"/>
      <c r="C844" s="30"/>
      <c r="D844" s="30"/>
      <c r="E844" s="30"/>
      <c r="F844" s="30"/>
      <c r="G844" s="30"/>
    </row>
    <row r="845">
      <c r="A845" s="30"/>
      <c r="B845" s="30"/>
      <c r="C845" s="30"/>
      <c r="D845" s="30"/>
      <c r="E845" s="30"/>
      <c r="F845" s="30"/>
      <c r="G845" s="30"/>
    </row>
    <row r="846">
      <c r="A846" s="30"/>
      <c r="B846" s="30"/>
      <c r="C846" s="30"/>
      <c r="D846" s="30"/>
      <c r="E846" s="30"/>
      <c r="F846" s="30"/>
      <c r="G846" s="30"/>
    </row>
    <row r="847">
      <c r="A847" s="30"/>
      <c r="B847" s="30"/>
      <c r="C847" s="30"/>
      <c r="D847" s="30"/>
      <c r="E847" s="30"/>
      <c r="F847" s="30"/>
      <c r="G847" s="30"/>
    </row>
    <row r="848">
      <c r="A848" s="30"/>
      <c r="B848" s="30"/>
      <c r="C848" s="30"/>
      <c r="D848" s="30"/>
      <c r="E848" s="30"/>
      <c r="F848" s="30"/>
      <c r="G848" s="30"/>
    </row>
    <row r="849">
      <c r="A849" s="30"/>
      <c r="B849" s="30"/>
      <c r="C849" s="30"/>
      <c r="D849" s="30"/>
      <c r="E849" s="30"/>
      <c r="F849" s="30"/>
      <c r="G849" s="30"/>
    </row>
    <row r="850">
      <c r="A850" s="30"/>
      <c r="B850" s="30"/>
      <c r="C850" s="30"/>
      <c r="D850" s="30"/>
      <c r="E850" s="30"/>
      <c r="F850" s="30"/>
      <c r="G850" s="30"/>
    </row>
    <row r="851">
      <c r="A851" s="30"/>
      <c r="B851" s="30"/>
      <c r="C851" s="30"/>
      <c r="D851" s="30"/>
      <c r="E851" s="30"/>
      <c r="F851" s="30"/>
      <c r="G851" s="30"/>
    </row>
    <row r="852">
      <c r="A852" s="30"/>
      <c r="B852" s="30"/>
      <c r="C852" s="30"/>
      <c r="D852" s="30"/>
      <c r="E852" s="30"/>
      <c r="F852" s="30"/>
      <c r="G852" s="30"/>
    </row>
    <row r="853">
      <c r="A853" s="30"/>
      <c r="B853" s="30"/>
      <c r="C853" s="30"/>
      <c r="D853" s="30"/>
      <c r="E853" s="30"/>
      <c r="F853" s="30"/>
      <c r="G853" s="30"/>
    </row>
    <row r="854">
      <c r="A854" s="30"/>
      <c r="B854" s="30"/>
      <c r="C854" s="30"/>
      <c r="D854" s="30"/>
      <c r="E854" s="30"/>
      <c r="F854" s="30"/>
      <c r="G854" s="30"/>
    </row>
    <row r="855">
      <c r="A855" s="30"/>
      <c r="B855" s="30"/>
      <c r="C855" s="30"/>
      <c r="D855" s="30"/>
      <c r="E855" s="30"/>
      <c r="F855" s="30"/>
      <c r="G855" s="30"/>
    </row>
    <row r="856">
      <c r="A856" s="30"/>
      <c r="B856" s="30"/>
      <c r="C856" s="30"/>
      <c r="D856" s="30"/>
      <c r="E856" s="30"/>
      <c r="F856" s="30"/>
      <c r="G856" s="30"/>
    </row>
    <row r="857">
      <c r="A857" s="30"/>
      <c r="B857" s="30"/>
      <c r="C857" s="30"/>
      <c r="D857" s="30"/>
      <c r="E857" s="30"/>
      <c r="F857" s="30"/>
      <c r="G857" s="30"/>
    </row>
    <row r="858">
      <c r="A858" s="30"/>
      <c r="B858" s="30"/>
      <c r="C858" s="30"/>
      <c r="D858" s="30"/>
      <c r="E858" s="30"/>
      <c r="F858" s="30"/>
      <c r="G858" s="30"/>
    </row>
    <row r="859">
      <c r="A859" s="30"/>
      <c r="B859" s="30"/>
      <c r="C859" s="30"/>
      <c r="D859" s="30"/>
      <c r="E859" s="30"/>
      <c r="F859" s="30"/>
      <c r="G859" s="30"/>
    </row>
    <row r="860">
      <c r="A860" s="30"/>
      <c r="B860" s="30"/>
      <c r="C860" s="30"/>
      <c r="D860" s="30"/>
      <c r="E860" s="30"/>
      <c r="F860" s="30"/>
      <c r="G860" s="30"/>
    </row>
    <row r="861">
      <c r="A861" s="30"/>
      <c r="B861" s="30"/>
      <c r="C861" s="30"/>
      <c r="D861" s="30"/>
      <c r="E861" s="30"/>
      <c r="F861" s="30"/>
      <c r="G861" s="30"/>
    </row>
    <row r="862">
      <c r="A862" s="30"/>
      <c r="B862" s="30"/>
      <c r="C862" s="30"/>
      <c r="D862" s="30"/>
      <c r="E862" s="30"/>
      <c r="F862" s="30"/>
      <c r="G862" s="30"/>
    </row>
    <row r="863">
      <c r="A863" s="30"/>
      <c r="B863" s="30"/>
      <c r="C863" s="30"/>
      <c r="D863" s="30"/>
      <c r="E863" s="30"/>
      <c r="F863" s="30"/>
      <c r="G863" s="30"/>
    </row>
    <row r="864">
      <c r="A864" s="30"/>
      <c r="B864" s="30"/>
      <c r="C864" s="30"/>
      <c r="D864" s="30"/>
      <c r="E864" s="30"/>
      <c r="F864" s="30"/>
      <c r="G864" s="30"/>
    </row>
    <row r="865">
      <c r="A865" s="30"/>
      <c r="B865" s="30"/>
      <c r="C865" s="30"/>
      <c r="D865" s="30"/>
      <c r="E865" s="30"/>
      <c r="F865" s="30"/>
      <c r="G865" s="30"/>
    </row>
    <row r="866">
      <c r="A866" s="30"/>
      <c r="B866" s="30"/>
      <c r="C866" s="30"/>
      <c r="D866" s="30"/>
      <c r="E866" s="30"/>
      <c r="F866" s="30"/>
      <c r="G866" s="30"/>
    </row>
    <row r="867">
      <c r="A867" s="30"/>
      <c r="B867" s="30"/>
      <c r="C867" s="30"/>
      <c r="D867" s="30"/>
      <c r="E867" s="30"/>
      <c r="F867" s="30"/>
      <c r="G867" s="30"/>
    </row>
    <row r="868">
      <c r="A868" s="30"/>
      <c r="B868" s="30"/>
      <c r="C868" s="30"/>
      <c r="D868" s="30"/>
      <c r="E868" s="30"/>
      <c r="F868" s="30"/>
      <c r="G868" s="30"/>
    </row>
    <row r="869">
      <c r="A869" s="30"/>
      <c r="B869" s="30"/>
      <c r="C869" s="30"/>
      <c r="D869" s="30"/>
      <c r="E869" s="30"/>
      <c r="F869" s="30"/>
      <c r="G869" s="30"/>
    </row>
    <row r="870">
      <c r="A870" s="30"/>
      <c r="B870" s="30"/>
      <c r="C870" s="30"/>
      <c r="D870" s="30"/>
      <c r="E870" s="30"/>
      <c r="F870" s="30"/>
      <c r="G870" s="30"/>
    </row>
    <row r="871">
      <c r="A871" s="30"/>
      <c r="B871" s="30"/>
      <c r="C871" s="30"/>
      <c r="D871" s="30"/>
      <c r="E871" s="30"/>
      <c r="F871" s="30"/>
      <c r="G871" s="30"/>
    </row>
    <row r="872">
      <c r="A872" s="30"/>
      <c r="B872" s="30"/>
      <c r="C872" s="30"/>
      <c r="D872" s="30"/>
      <c r="E872" s="30"/>
      <c r="F872" s="30"/>
      <c r="G872" s="30"/>
    </row>
    <row r="873">
      <c r="A873" s="30"/>
      <c r="B873" s="30"/>
      <c r="C873" s="30"/>
      <c r="D873" s="30"/>
      <c r="E873" s="30"/>
      <c r="F873" s="30"/>
      <c r="G873" s="30"/>
    </row>
    <row r="874">
      <c r="A874" s="30"/>
      <c r="B874" s="30"/>
      <c r="C874" s="30"/>
      <c r="D874" s="30"/>
      <c r="E874" s="30"/>
      <c r="F874" s="30"/>
      <c r="G874" s="30"/>
    </row>
    <row r="875">
      <c r="A875" s="30"/>
      <c r="B875" s="30"/>
      <c r="C875" s="30"/>
      <c r="D875" s="30"/>
      <c r="E875" s="30"/>
      <c r="F875" s="30"/>
      <c r="G875" s="30"/>
    </row>
    <row r="876">
      <c r="A876" s="30"/>
      <c r="B876" s="30"/>
      <c r="C876" s="30"/>
      <c r="D876" s="30"/>
      <c r="E876" s="30"/>
      <c r="F876" s="30"/>
      <c r="G876" s="30"/>
    </row>
    <row r="877">
      <c r="A877" s="30"/>
      <c r="B877" s="30"/>
      <c r="C877" s="30"/>
      <c r="D877" s="30"/>
      <c r="E877" s="30"/>
      <c r="F877" s="30"/>
      <c r="G877" s="30"/>
    </row>
    <row r="878">
      <c r="A878" s="30"/>
      <c r="B878" s="30"/>
      <c r="C878" s="30"/>
      <c r="D878" s="30"/>
      <c r="E878" s="30"/>
      <c r="F878" s="30"/>
      <c r="G878" s="30"/>
    </row>
    <row r="879">
      <c r="A879" s="30"/>
      <c r="B879" s="30"/>
      <c r="C879" s="30"/>
      <c r="D879" s="30"/>
      <c r="E879" s="30"/>
      <c r="F879" s="30"/>
      <c r="G879" s="30"/>
    </row>
    <row r="880">
      <c r="A880" s="30"/>
      <c r="B880" s="30"/>
      <c r="C880" s="30"/>
      <c r="D880" s="30"/>
      <c r="E880" s="30"/>
      <c r="F880" s="30"/>
      <c r="G880" s="30"/>
    </row>
    <row r="881">
      <c r="A881" s="30"/>
      <c r="B881" s="30"/>
      <c r="C881" s="30"/>
      <c r="D881" s="30"/>
      <c r="E881" s="30"/>
      <c r="F881" s="30"/>
      <c r="G881" s="30"/>
    </row>
    <row r="882">
      <c r="A882" s="30"/>
      <c r="B882" s="30"/>
      <c r="C882" s="30"/>
      <c r="D882" s="30"/>
      <c r="E882" s="30"/>
      <c r="F882" s="30"/>
      <c r="G882" s="30"/>
    </row>
    <row r="883">
      <c r="A883" s="30"/>
      <c r="B883" s="30"/>
      <c r="C883" s="30"/>
      <c r="D883" s="30"/>
      <c r="E883" s="30"/>
      <c r="F883" s="30"/>
      <c r="G883" s="30"/>
    </row>
    <row r="884">
      <c r="A884" s="30"/>
      <c r="B884" s="30"/>
      <c r="C884" s="30"/>
      <c r="D884" s="30"/>
      <c r="E884" s="30"/>
      <c r="F884" s="30"/>
      <c r="G884" s="30"/>
    </row>
    <row r="885">
      <c r="A885" s="30"/>
      <c r="B885" s="30"/>
      <c r="C885" s="30"/>
      <c r="D885" s="30"/>
      <c r="E885" s="30"/>
      <c r="F885" s="30"/>
      <c r="G885" s="30"/>
    </row>
    <row r="886">
      <c r="A886" s="30"/>
      <c r="B886" s="30"/>
      <c r="C886" s="30"/>
      <c r="D886" s="30"/>
      <c r="E886" s="30"/>
      <c r="F886" s="30"/>
      <c r="G886" s="30"/>
    </row>
    <row r="887">
      <c r="A887" s="30"/>
      <c r="B887" s="30"/>
      <c r="C887" s="30"/>
      <c r="D887" s="30"/>
      <c r="E887" s="30"/>
      <c r="F887" s="30"/>
      <c r="G887" s="30"/>
    </row>
    <row r="888">
      <c r="A888" s="30"/>
      <c r="B888" s="30"/>
      <c r="C888" s="30"/>
      <c r="D888" s="30"/>
      <c r="E888" s="30"/>
      <c r="F888" s="30"/>
      <c r="G888" s="30"/>
    </row>
    <row r="889">
      <c r="A889" s="30"/>
      <c r="B889" s="30"/>
      <c r="C889" s="30"/>
      <c r="D889" s="30"/>
      <c r="E889" s="30"/>
      <c r="F889" s="30"/>
      <c r="G889" s="30"/>
    </row>
    <row r="890">
      <c r="A890" s="30"/>
      <c r="B890" s="30"/>
      <c r="C890" s="30"/>
      <c r="D890" s="30"/>
      <c r="E890" s="30"/>
      <c r="F890" s="30"/>
      <c r="G890" s="30"/>
    </row>
    <row r="891">
      <c r="A891" s="30"/>
      <c r="B891" s="30"/>
      <c r="C891" s="30"/>
      <c r="D891" s="30"/>
      <c r="E891" s="30"/>
      <c r="F891" s="30"/>
      <c r="G891" s="30"/>
    </row>
    <row r="892">
      <c r="A892" s="30"/>
      <c r="B892" s="30"/>
      <c r="C892" s="30"/>
      <c r="D892" s="30"/>
      <c r="E892" s="30"/>
      <c r="F892" s="30"/>
      <c r="G892" s="30"/>
    </row>
    <row r="893">
      <c r="A893" s="30"/>
      <c r="B893" s="30"/>
      <c r="C893" s="30"/>
      <c r="D893" s="30"/>
      <c r="E893" s="30"/>
      <c r="F893" s="30"/>
      <c r="G893" s="30"/>
    </row>
    <row r="894">
      <c r="A894" s="30"/>
      <c r="B894" s="30"/>
      <c r="C894" s="30"/>
      <c r="D894" s="30"/>
      <c r="E894" s="30"/>
      <c r="F894" s="30"/>
      <c r="G894" s="30"/>
    </row>
    <row r="895">
      <c r="A895" s="30"/>
      <c r="B895" s="30"/>
      <c r="C895" s="30"/>
      <c r="D895" s="30"/>
      <c r="E895" s="30"/>
      <c r="F895" s="30"/>
      <c r="G895" s="30"/>
    </row>
    <row r="896">
      <c r="A896" s="30"/>
      <c r="B896" s="30"/>
      <c r="C896" s="30"/>
      <c r="D896" s="30"/>
      <c r="E896" s="30"/>
      <c r="F896" s="30"/>
      <c r="G896" s="30"/>
    </row>
    <row r="897">
      <c r="A897" s="30"/>
      <c r="B897" s="30"/>
      <c r="C897" s="30"/>
      <c r="D897" s="30"/>
      <c r="E897" s="30"/>
      <c r="F897" s="30"/>
      <c r="G897" s="30"/>
    </row>
    <row r="898">
      <c r="A898" s="30"/>
      <c r="B898" s="30"/>
      <c r="C898" s="30"/>
      <c r="D898" s="30"/>
      <c r="E898" s="30"/>
      <c r="F898" s="30"/>
      <c r="G898" s="30"/>
    </row>
    <row r="899">
      <c r="A899" s="30"/>
      <c r="B899" s="30"/>
      <c r="C899" s="30"/>
      <c r="D899" s="30"/>
      <c r="E899" s="30"/>
      <c r="F899" s="30"/>
      <c r="G899" s="30"/>
    </row>
    <row r="900">
      <c r="A900" s="30"/>
      <c r="B900" s="30"/>
      <c r="C900" s="30"/>
      <c r="D900" s="30"/>
      <c r="E900" s="30"/>
      <c r="F900" s="30"/>
      <c r="G900" s="30"/>
    </row>
    <row r="901">
      <c r="A901" s="30"/>
      <c r="B901" s="30"/>
      <c r="C901" s="30"/>
      <c r="D901" s="30"/>
      <c r="E901" s="30"/>
      <c r="F901" s="30"/>
      <c r="G901" s="30"/>
    </row>
    <row r="902">
      <c r="A902" s="30"/>
      <c r="B902" s="30"/>
      <c r="C902" s="30"/>
      <c r="D902" s="30"/>
      <c r="E902" s="30"/>
      <c r="F902" s="30"/>
      <c r="G902" s="30"/>
    </row>
    <row r="903">
      <c r="A903" s="30"/>
      <c r="B903" s="30"/>
      <c r="C903" s="30"/>
      <c r="D903" s="30"/>
      <c r="E903" s="30"/>
      <c r="F903" s="30"/>
      <c r="G903" s="30"/>
    </row>
    <row r="904">
      <c r="A904" s="30"/>
      <c r="B904" s="30"/>
      <c r="C904" s="30"/>
      <c r="D904" s="30"/>
      <c r="E904" s="30"/>
      <c r="F904" s="30"/>
      <c r="G904" s="30"/>
    </row>
    <row r="905">
      <c r="A905" s="30"/>
      <c r="B905" s="30"/>
      <c r="C905" s="30"/>
      <c r="D905" s="30"/>
      <c r="E905" s="30"/>
      <c r="F905" s="30"/>
      <c r="G905" s="30"/>
    </row>
    <row r="906">
      <c r="A906" s="30"/>
      <c r="B906" s="30"/>
      <c r="C906" s="30"/>
      <c r="D906" s="30"/>
      <c r="E906" s="30"/>
      <c r="F906" s="30"/>
      <c r="G906" s="30"/>
    </row>
    <row r="907">
      <c r="A907" s="30"/>
      <c r="B907" s="30"/>
      <c r="C907" s="30"/>
      <c r="D907" s="30"/>
      <c r="E907" s="30"/>
      <c r="F907" s="30"/>
      <c r="G907" s="30"/>
    </row>
    <row r="908">
      <c r="A908" s="30"/>
      <c r="B908" s="30"/>
      <c r="C908" s="30"/>
      <c r="D908" s="30"/>
      <c r="E908" s="30"/>
      <c r="F908" s="30"/>
      <c r="G908" s="30"/>
    </row>
    <row r="909">
      <c r="A909" s="30"/>
      <c r="B909" s="30"/>
      <c r="C909" s="30"/>
      <c r="D909" s="30"/>
      <c r="E909" s="30"/>
      <c r="F909" s="30"/>
      <c r="G909" s="30"/>
    </row>
    <row r="910">
      <c r="A910" s="30"/>
      <c r="B910" s="30"/>
      <c r="C910" s="30"/>
      <c r="D910" s="30"/>
      <c r="E910" s="30"/>
      <c r="F910" s="30"/>
      <c r="G910" s="30"/>
    </row>
    <row r="911">
      <c r="A911" s="30"/>
      <c r="B911" s="30"/>
      <c r="C911" s="30"/>
      <c r="D911" s="30"/>
      <c r="E911" s="30"/>
      <c r="F911" s="30"/>
      <c r="G911" s="30"/>
    </row>
    <row r="912">
      <c r="A912" s="30"/>
      <c r="B912" s="30"/>
      <c r="C912" s="30"/>
      <c r="D912" s="30"/>
      <c r="E912" s="30"/>
      <c r="F912" s="30"/>
      <c r="G912" s="30"/>
    </row>
    <row r="913">
      <c r="A913" s="30"/>
      <c r="B913" s="30"/>
      <c r="C913" s="30"/>
      <c r="D913" s="30"/>
      <c r="E913" s="30"/>
      <c r="F913" s="30"/>
      <c r="G913" s="30"/>
    </row>
    <row r="914">
      <c r="A914" s="30"/>
      <c r="B914" s="30"/>
      <c r="C914" s="30"/>
      <c r="D914" s="30"/>
      <c r="E914" s="30"/>
      <c r="F914" s="30"/>
      <c r="G914" s="30"/>
    </row>
    <row r="915">
      <c r="A915" s="30"/>
      <c r="B915" s="30"/>
      <c r="C915" s="30"/>
      <c r="D915" s="30"/>
      <c r="E915" s="30"/>
      <c r="F915" s="30"/>
      <c r="G915" s="30"/>
    </row>
    <row r="916">
      <c r="A916" s="30"/>
      <c r="B916" s="30"/>
      <c r="C916" s="30"/>
      <c r="D916" s="30"/>
      <c r="E916" s="30"/>
      <c r="F916" s="30"/>
      <c r="G916" s="30"/>
    </row>
    <row r="917">
      <c r="A917" s="30"/>
      <c r="B917" s="30"/>
      <c r="C917" s="30"/>
      <c r="D917" s="30"/>
      <c r="E917" s="30"/>
      <c r="F917" s="30"/>
      <c r="G917" s="30"/>
    </row>
    <row r="918">
      <c r="A918" s="30"/>
      <c r="B918" s="30"/>
      <c r="C918" s="30"/>
      <c r="D918" s="30"/>
      <c r="E918" s="30"/>
      <c r="F918" s="30"/>
      <c r="G918" s="30"/>
    </row>
    <row r="919">
      <c r="A919" s="30"/>
      <c r="B919" s="30"/>
      <c r="C919" s="30"/>
      <c r="D919" s="30"/>
      <c r="E919" s="30"/>
      <c r="F919" s="30"/>
      <c r="G919" s="30"/>
    </row>
    <row r="920">
      <c r="A920" s="30"/>
      <c r="B920" s="30"/>
      <c r="C920" s="30"/>
      <c r="D920" s="30"/>
      <c r="E920" s="30"/>
      <c r="F920" s="30"/>
      <c r="G920" s="30"/>
    </row>
    <row r="921">
      <c r="A921" s="30"/>
      <c r="B921" s="30"/>
      <c r="C921" s="30"/>
      <c r="D921" s="30"/>
      <c r="E921" s="30"/>
      <c r="F921" s="30"/>
      <c r="G921" s="30"/>
    </row>
    <row r="922">
      <c r="A922" s="30"/>
      <c r="B922" s="30"/>
      <c r="C922" s="30"/>
      <c r="D922" s="30"/>
      <c r="E922" s="30"/>
      <c r="F922" s="30"/>
      <c r="G922" s="30"/>
    </row>
    <row r="923">
      <c r="A923" s="30"/>
      <c r="B923" s="30"/>
      <c r="C923" s="30"/>
      <c r="D923" s="30"/>
      <c r="E923" s="30"/>
      <c r="F923" s="30"/>
      <c r="G923" s="30"/>
    </row>
    <row r="924">
      <c r="A924" s="30"/>
      <c r="B924" s="30"/>
      <c r="C924" s="30"/>
      <c r="D924" s="30"/>
      <c r="E924" s="30"/>
      <c r="F924" s="30"/>
      <c r="G924" s="30"/>
    </row>
    <row r="925">
      <c r="A925" s="30"/>
      <c r="B925" s="30"/>
      <c r="C925" s="30"/>
      <c r="D925" s="30"/>
      <c r="E925" s="30"/>
      <c r="F925" s="30"/>
      <c r="G925" s="30"/>
    </row>
    <row r="926">
      <c r="A926" s="30"/>
      <c r="B926" s="30"/>
      <c r="C926" s="30"/>
      <c r="D926" s="30"/>
      <c r="E926" s="30"/>
      <c r="F926" s="30"/>
      <c r="G926" s="30"/>
    </row>
    <row r="927">
      <c r="A927" s="30"/>
      <c r="B927" s="30"/>
      <c r="C927" s="30"/>
      <c r="D927" s="30"/>
      <c r="E927" s="30"/>
      <c r="F927" s="30"/>
      <c r="G927" s="30"/>
    </row>
    <row r="928">
      <c r="A928" s="30"/>
      <c r="B928" s="30"/>
      <c r="C928" s="30"/>
      <c r="D928" s="30"/>
      <c r="E928" s="30"/>
      <c r="F928" s="30"/>
      <c r="G928" s="30"/>
    </row>
    <row r="929">
      <c r="A929" s="30"/>
      <c r="B929" s="30"/>
      <c r="C929" s="30"/>
      <c r="D929" s="30"/>
      <c r="E929" s="30"/>
      <c r="F929" s="30"/>
      <c r="G929" s="30"/>
    </row>
    <row r="930">
      <c r="A930" s="30"/>
      <c r="B930" s="30"/>
      <c r="C930" s="30"/>
      <c r="D930" s="30"/>
      <c r="E930" s="30"/>
      <c r="F930" s="30"/>
      <c r="G930" s="30"/>
    </row>
    <row r="931">
      <c r="A931" s="30"/>
      <c r="B931" s="30"/>
      <c r="C931" s="30"/>
      <c r="D931" s="30"/>
      <c r="E931" s="30"/>
      <c r="F931" s="30"/>
      <c r="G931" s="30"/>
    </row>
    <row r="932">
      <c r="A932" s="30"/>
      <c r="B932" s="30"/>
      <c r="C932" s="30"/>
      <c r="D932" s="30"/>
      <c r="E932" s="30"/>
      <c r="F932" s="30"/>
      <c r="G932" s="30"/>
    </row>
    <row r="933">
      <c r="A933" s="30"/>
      <c r="B933" s="30"/>
      <c r="C933" s="30"/>
      <c r="D933" s="30"/>
      <c r="E933" s="30"/>
      <c r="F933" s="30"/>
      <c r="G933" s="30"/>
    </row>
    <row r="934">
      <c r="A934" s="30"/>
      <c r="B934" s="30"/>
      <c r="C934" s="30"/>
      <c r="D934" s="30"/>
      <c r="E934" s="30"/>
      <c r="F934" s="30"/>
      <c r="G934" s="30"/>
    </row>
    <row r="935">
      <c r="A935" s="30"/>
      <c r="B935" s="30"/>
      <c r="C935" s="30"/>
      <c r="D935" s="30"/>
      <c r="E935" s="30"/>
      <c r="F935" s="30"/>
      <c r="G935" s="30"/>
    </row>
    <row r="936">
      <c r="A936" s="30"/>
      <c r="B936" s="30"/>
      <c r="C936" s="30"/>
      <c r="D936" s="30"/>
      <c r="E936" s="30"/>
      <c r="F936" s="30"/>
      <c r="G936" s="30"/>
    </row>
    <row r="937">
      <c r="A937" s="30"/>
      <c r="B937" s="30"/>
      <c r="C937" s="30"/>
      <c r="D937" s="30"/>
      <c r="E937" s="30"/>
      <c r="F937" s="30"/>
      <c r="G937" s="30"/>
    </row>
    <row r="938">
      <c r="A938" s="30"/>
      <c r="B938" s="30"/>
      <c r="C938" s="30"/>
      <c r="D938" s="30"/>
      <c r="E938" s="30"/>
      <c r="F938" s="30"/>
      <c r="G938" s="30"/>
    </row>
    <row r="939">
      <c r="A939" s="30"/>
      <c r="B939" s="30"/>
      <c r="C939" s="30"/>
      <c r="D939" s="30"/>
      <c r="E939" s="30"/>
      <c r="F939" s="30"/>
      <c r="G939" s="30"/>
    </row>
    <row r="940">
      <c r="A940" s="30"/>
      <c r="B940" s="30"/>
      <c r="C940" s="30"/>
      <c r="D940" s="30"/>
      <c r="E940" s="30"/>
      <c r="F940" s="30"/>
      <c r="G940" s="30"/>
    </row>
    <row r="941">
      <c r="A941" s="30"/>
      <c r="B941" s="30"/>
      <c r="C941" s="30"/>
      <c r="D941" s="30"/>
      <c r="E941" s="30"/>
      <c r="F941" s="30"/>
      <c r="G941" s="30"/>
    </row>
    <row r="942">
      <c r="A942" s="30"/>
      <c r="B942" s="30"/>
      <c r="C942" s="30"/>
      <c r="D942" s="30"/>
      <c r="E942" s="30"/>
      <c r="F942" s="30"/>
      <c r="G942" s="30"/>
    </row>
    <row r="943">
      <c r="A943" s="30"/>
      <c r="B943" s="30"/>
      <c r="C943" s="30"/>
      <c r="D943" s="30"/>
      <c r="E943" s="30"/>
      <c r="F943" s="30"/>
      <c r="G943" s="30"/>
    </row>
    <row r="944">
      <c r="A944" s="30"/>
      <c r="B944" s="30"/>
      <c r="C944" s="30"/>
      <c r="D944" s="30"/>
      <c r="E944" s="30"/>
      <c r="F944" s="30"/>
      <c r="G944" s="30"/>
    </row>
    <row r="945">
      <c r="A945" s="30"/>
      <c r="B945" s="30"/>
      <c r="C945" s="30"/>
      <c r="D945" s="30"/>
      <c r="E945" s="30"/>
      <c r="F945" s="30"/>
      <c r="G945" s="30"/>
    </row>
    <row r="946">
      <c r="A946" s="30"/>
      <c r="B946" s="30"/>
      <c r="C946" s="30"/>
      <c r="D946" s="30"/>
      <c r="E946" s="30"/>
      <c r="F946" s="30"/>
      <c r="G946" s="30"/>
    </row>
    <row r="947">
      <c r="A947" s="30"/>
      <c r="B947" s="30"/>
      <c r="C947" s="30"/>
      <c r="D947" s="30"/>
      <c r="E947" s="30"/>
      <c r="F947" s="30"/>
      <c r="G947" s="30"/>
    </row>
    <row r="948">
      <c r="A948" s="30"/>
      <c r="B948" s="30"/>
      <c r="C948" s="30"/>
      <c r="D948" s="30"/>
      <c r="E948" s="30"/>
      <c r="F948" s="30"/>
      <c r="G948" s="30"/>
    </row>
    <row r="949">
      <c r="A949" s="30"/>
      <c r="B949" s="30"/>
      <c r="C949" s="30"/>
      <c r="D949" s="30"/>
      <c r="E949" s="30"/>
      <c r="F949" s="30"/>
      <c r="G949" s="30"/>
    </row>
    <row r="950">
      <c r="A950" s="30"/>
      <c r="B950" s="30"/>
      <c r="C950" s="30"/>
      <c r="D950" s="30"/>
      <c r="E950" s="30"/>
      <c r="F950" s="30"/>
      <c r="G950" s="30"/>
    </row>
    <row r="951">
      <c r="A951" s="30"/>
      <c r="B951" s="30"/>
      <c r="C951" s="30"/>
      <c r="D951" s="30"/>
      <c r="E951" s="30"/>
      <c r="F951" s="30"/>
      <c r="G951" s="30"/>
    </row>
    <row r="952">
      <c r="A952" s="30"/>
      <c r="B952" s="30"/>
      <c r="C952" s="30"/>
      <c r="D952" s="30"/>
      <c r="E952" s="30"/>
      <c r="F952" s="30"/>
      <c r="G952" s="30"/>
    </row>
    <row r="953">
      <c r="A953" s="30"/>
      <c r="B953" s="30"/>
      <c r="C953" s="30"/>
      <c r="D953" s="30"/>
      <c r="E953" s="30"/>
      <c r="F953" s="30"/>
      <c r="G953" s="30"/>
    </row>
    <row r="954">
      <c r="A954" s="30"/>
      <c r="B954" s="30"/>
      <c r="C954" s="30"/>
      <c r="D954" s="30"/>
      <c r="E954" s="30"/>
      <c r="F954" s="30"/>
      <c r="G954" s="30"/>
    </row>
    <row r="955">
      <c r="A955" s="30"/>
      <c r="B955" s="30"/>
      <c r="C955" s="30"/>
      <c r="D955" s="30"/>
      <c r="E955" s="30"/>
      <c r="F955" s="30"/>
      <c r="G955" s="30"/>
    </row>
    <row r="956">
      <c r="A956" s="30"/>
      <c r="B956" s="30"/>
      <c r="C956" s="30"/>
      <c r="D956" s="30"/>
      <c r="E956" s="30"/>
      <c r="F956" s="30"/>
      <c r="G956" s="30"/>
    </row>
    <row r="957">
      <c r="A957" s="30"/>
      <c r="B957" s="30"/>
      <c r="C957" s="30"/>
      <c r="D957" s="30"/>
      <c r="E957" s="30"/>
      <c r="F957" s="30"/>
      <c r="G957" s="30"/>
    </row>
    <row r="958">
      <c r="A958" s="30"/>
      <c r="B958" s="30"/>
      <c r="C958" s="30"/>
      <c r="D958" s="30"/>
      <c r="E958" s="30"/>
      <c r="F958" s="30"/>
      <c r="G958" s="30"/>
    </row>
    <row r="959">
      <c r="A959" s="30"/>
      <c r="B959" s="30"/>
      <c r="C959" s="30"/>
      <c r="D959" s="30"/>
      <c r="E959" s="30"/>
      <c r="F959" s="30"/>
      <c r="G959" s="30"/>
    </row>
    <row r="960">
      <c r="A960" s="30"/>
      <c r="B960" s="30"/>
      <c r="C960" s="30"/>
      <c r="D960" s="30"/>
      <c r="E960" s="30"/>
      <c r="F960" s="30"/>
      <c r="G960" s="30"/>
    </row>
    <row r="961">
      <c r="A961" s="30"/>
      <c r="B961" s="30"/>
      <c r="C961" s="30"/>
      <c r="D961" s="30"/>
      <c r="E961" s="30"/>
      <c r="F961" s="30"/>
      <c r="G961" s="30"/>
    </row>
    <row r="962">
      <c r="A962" s="30"/>
      <c r="B962" s="30"/>
      <c r="C962" s="30"/>
      <c r="D962" s="30"/>
      <c r="E962" s="30"/>
      <c r="F962" s="30"/>
      <c r="G962" s="30"/>
    </row>
    <row r="963">
      <c r="A963" s="30"/>
      <c r="B963" s="30"/>
      <c r="C963" s="30"/>
      <c r="D963" s="30"/>
      <c r="E963" s="30"/>
      <c r="F963" s="30"/>
      <c r="G963" s="30"/>
    </row>
    <row r="964">
      <c r="A964" s="30"/>
      <c r="B964" s="30"/>
      <c r="C964" s="30"/>
      <c r="D964" s="30"/>
      <c r="E964" s="30"/>
      <c r="F964" s="30"/>
      <c r="G964" s="30"/>
    </row>
    <row r="965">
      <c r="A965" s="30"/>
      <c r="B965" s="30"/>
      <c r="C965" s="30"/>
      <c r="D965" s="30"/>
      <c r="E965" s="30"/>
      <c r="F965" s="30"/>
      <c r="G965" s="30"/>
    </row>
    <row r="966">
      <c r="A966" s="30"/>
      <c r="B966" s="30"/>
      <c r="C966" s="30"/>
      <c r="D966" s="30"/>
      <c r="E966" s="30"/>
      <c r="F966" s="30"/>
      <c r="G966" s="30"/>
    </row>
    <row r="967">
      <c r="A967" s="30"/>
      <c r="B967" s="30"/>
      <c r="C967" s="30"/>
      <c r="D967" s="30"/>
      <c r="E967" s="30"/>
      <c r="F967" s="30"/>
      <c r="G967" s="30"/>
    </row>
    <row r="968">
      <c r="A968" s="30"/>
      <c r="B968" s="30"/>
      <c r="C968" s="30"/>
      <c r="D968" s="30"/>
      <c r="E968" s="30"/>
      <c r="F968" s="30"/>
      <c r="G968" s="30"/>
    </row>
    <row r="969">
      <c r="A969" s="30"/>
      <c r="B969" s="30"/>
      <c r="C969" s="30"/>
      <c r="D969" s="30"/>
      <c r="E969" s="30"/>
      <c r="F969" s="30"/>
      <c r="G969" s="30"/>
    </row>
    <row r="970">
      <c r="A970" s="30"/>
      <c r="B970" s="30"/>
      <c r="C970" s="30"/>
      <c r="D970" s="30"/>
      <c r="E970" s="30"/>
      <c r="F970" s="30"/>
      <c r="G970" s="30"/>
    </row>
    <row r="971">
      <c r="A971" s="30"/>
      <c r="B971" s="30"/>
      <c r="C971" s="30"/>
      <c r="D971" s="30"/>
      <c r="E971" s="30"/>
      <c r="F971" s="30"/>
      <c r="G971" s="30"/>
    </row>
    <row r="972">
      <c r="A972" s="30"/>
      <c r="B972" s="30"/>
      <c r="C972" s="30"/>
      <c r="D972" s="30"/>
      <c r="E972" s="30"/>
      <c r="F972" s="30"/>
      <c r="G972" s="30"/>
    </row>
    <row r="973">
      <c r="A973" s="30"/>
      <c r="B973" s="30"/>
      <c r="C973" s="30"/>
      <c r="D973" s="30"/>
      <c r="E973" s="30"/>
      <c r="F973" s="30"/>
      <c r="G973" s="30"/>
    </row>
    <row r="974">
      <c r="A974" s="30"/>
      <c r="B974" s="30"/>
      <c r="C974" s="30"/>
      <c r="D974" s="30"/>
      <c r="E974" s="30"/>
      <c r="F974" s="30"/>
      <c r="G974" s="30"/>
    </row>
    <row r="975">
      <c r="A975" s="30"/>
      <c r="B975" s="30"/>
      <c r="C975" s="30"/>
      <c r="D975" s="30"/>
      <c r="E975" s="30"/>
      <c r="F975" s="30"/>
      <c r="G975" s="30"/>
    </row>
    <row r="976">
      <c r="A976" s="30"/>
      <c r="B976" s="30"/>
      <c r="C976" s="30"/>
      <c r="D976" s="30"/>
      <c r="E976" s="30"/>
      <c r="F976" s="30"/>
      <c r="G976" s="30"/>
    </row>
    <row r="977">
      <c r="A977" s="30"/>
      <c r="B977" s="30"/>
      <c r="C977" s="30"/>
      <c r="D977" s="30"/>
      <c r="E977" s="30"/>
      <c r="F977" s="30"/>
      <c r="G977" s="30"/>
    </row>
    <row r="978">
      <c r="A978" s="30"/>
      <c r="B978" s="30"/>
      <c r="C978" s="30"/>
      <c r="D978" s="30"/>
      <c r="E978" s="30"/>
      <c r="F978" s="30"/>
      <c r="G978" s="30"/>
    </row>
    <row r="979">
      <c r="A979" s="30"/>
      <c r="B979" s="30"/>
      <c r="C979" s="30"/>
      <c r="D979" s="30"/>
      <c r="E979" s="30"/>
      <c r="F979" s="30"/>
      <c r="G979" s="30"/>
    </row>
    <row r="980">
      <c r="A980" s="30"/>
      <c r="B980" s="30"/>
      <c r="C980" s="30"/>
      <c r="D980" s="30"/>
      <c r="E980" s="30"/>
      <c r="F980" s="30"/>
      <c r="G980" s="30"/>
    </row>
    <row r="981">
      <c r="A981" s="30"/>
      <c r="B981" s="30"/>
      <c r="C981" s="30"/>
      <c r="D981" s="30"/>
      <c r="E981" s="30"/>
      <c r="F981" s="30"/>
      <c r="G981" s="30"/>
    </row>
    <row r="982">
      <c r="A982" s="30"/>
      <c r="B982" s="30"/>
      <c r="C982" s="30"/>
      <c r="D982" s="30"/>
      <c r="E982" s="30"/>
      <c r="F982" s="30"/>
      <c r="G982" s="30"/>
    </row>
    <row r="983">
      <c r="A983" s="30"/>
      <c r="B983" s="30"/>
      <c r="C983" s="30"/>
      <c r="D983" s="30"/>
      <c r="E983" s="30"/>
      <c r="F983" s="30"/>
      <c r="G983" s="30"/>
    </row>
    <row r="984">
      <c r="A984" s="30"/>
      <c r="B984" s="30"/>
      <c r="C984" s="30"/>
      <c r="D984" s="30"/>
      <c r="E984" s="30"/>
      <c r="F984" s="30"/>
      <c r="G984" s="30"/>
    </row>
    <row r="985">
      <c r="A985" s="30"/>
      <c r="B985" s="30"/>
      <c r="C985" s="30"/>
      <c r="D985" s="30"/>
      <c r="E985" s="30"/>
      <c r="F985" s="30"/>
      <c r="G985" s="30"/>
    </row>
    <row r="986">
      <c r="A986" s="30"/>
      <c r="B986" s="30"/>
      <c r="C986" s="30"/>
      <c r="D986" s="30"/>
      <c r="E986" s="30"/>
      <c r="F986" s="30"/>
      <c r="G986" s="30"/>
    </row>
    <row r="987">
      <c r="A987" s="30"/>
      <c r="B987" s="30"/>
      <c r="C987" s="30"/>
      <c r="D987" s="30"/>
      <c r="E987" s="30"/>
      <c r="F987" s="30"/>
      <c r="G987" s="30"/>
    </row>
    <row r="988">
      <c r="A988" s="30"/>
      <c r="B988" s="30"/>
      <c r="C988" s="30"/>
      <c r="D988" s="30"/>
      <c r="E988" s="30"/>
      <c r="F988" s="30"/>
      <c r="G988" s="30"/>
    </row>
    <row r="989">
      <c r="A989" s="30"/>
      <c r="B989" s="30"/>
      <c r="C989" s="30"/>
      <c r="D989" s="30"/>
      <c r="E989" s="30"/>
      <c r="F989" s="30"/>
      <c r="G989" s="30"/>
    </row>
    <row r="990">
      <c r="A990" s="30"/>
      <c r="B990" s="30"/>
      <c r="C990" s="30"/>
      <c r="D990" s="30"/>
      <c r="E990" s="30"/>
      <c r="F990" s="30"/>
      <c r="G990" s="30"/>
    </row>
    <row r="991">
      <c r="A991" s="30"/>
      <c r="B991" s="30"/>
      <c r="C991" s="30"/>
      <c r="D991" s="30"/>
      <c r="E991" s="30"/>
      <c r="F991" s="30"/>
      <c r="G991" s="30"/>
    </row>
    <row r="992">
      <c r="A992" s="30"/>
      <c r="B992" s="30"/>
      <c r="C992" s="30"/>
      <c r="D992" s="30"/>
      <c r="E992" s="30"/>
      <c r="F992" s="30"/>
      <c r="G992" s="30"/>
    </row>
    <row r="993">
      <c r="A993" s="30"/>
      <c r="B993" s="30"/>
      <c r="C993" s="30"/>
      <c r="D993" s="30"/>
      <c r="E993" s="30"/>
      <c r="F993" s="30"/>
      <c r="G993" s="30"/>
    </row>
    <row r="994">
      <c r="A994" s="30"/>
      <c r="B994" s="30"/>
      <c r="C994" s="30"/>
      <c r="D994" s="30"/>
      <c r="E994" s="30"/>
      <c r="F994" s="30"/>
      <c r="G994" s="30"/>
    </row>
    <row r="995">
      <c r="A995" s="30"/>
      <c r="B995" s="30"/>
      <c r="C995" s="30"/>
      <c r="D995" s="30"/>
      <c r="E995" s="30"/>
      <c r="F995" s="30"/>
      <c r="G995" s="30"/>
    </row>
    <row r="996">
      <c r="A996" s="30"/>
      <c r="B996" s="30"/>
      <c r="C996" s="30"/>
      <c r="D996" s="30"/>
      <c r="E996" s="30"/>
      <c r="F996" s="30"/>
      <c r="G996" s="30"/>
    </row>
    <row r="997">
      <c r="A997" s="30"/>
      <c r="B997" s="30"/>
      <c r="C997" s="30"/>
      <c r="D997" s="30"/>
      <c r="E997" s="30"/>
      <c r="F997" s="30"/>
      <c r="G997" s="30"/>
    </row>
    <row r="998">
      <c r="A998" s="30"/>
      <c r="B998" s="30"/>
      <c r="C998" s="30"/>
      <c r="D998" s="30"/>
      <c r="E998" s="30"/>
      <c r="F998" s="30"/>
      <c r="G998" s="30"/>
    </row>
    <row r="999">
      <c r="A999" s="30"/>
      <c r="B999" s="30"/>
      <c r="C999" s="30"/>
      <c r="D999" s="30"/>
      <c r="E999" s="30"/>
      <c r="F999" s="30"/>
      <c r="G999" s="30"/>
    </row>
    <row r="1000">
      <c r="A1000" s="30"/>
      <c r="B1000" s="30"/>
      <c r="C1000" s="30"/>
      <c r="D1000" s="30"/>
      <c r="E1000" s="30"/>
      <c r="F1000" s="30"/>
      <c r="G1000" s="30"/>
    </row>
    <row r="1001">
      <c r="A1001" s="30"/>
      <c r="B1001" s="30"/>
      <c r="C1001" s="30"/>
      <c r="D1001" s="30"/>
      <c r="E1001" s="30"/>
      <c r="F1001" s="30"/>
      <c r="G1001" s="30"/>
    </row>
    <row r="1002">
      <c r="A1002" s="30"/>
      <c r="B1002" s="30"/>
      <c r="C1002" s="30"/>
      <c r="D1002" s="30"/>
      <c r="E1002" s="30"/>
      <c r="F1002" s="30"/>
      <c r="G1002" s="30"/>
    </row>
    <row r="1003">
      <c r="A1003" s="30"/>
      <c r="B1003" s="30"/>
      <c r="C1003" s="30"/>
      <c r="D1003" s="30"/>
      <c r="E1003" s="30"/>
      <c r="F1003" s="30"/>
      <c r="G1003" s="30"/>
    </row>
    <row r="1004">
      <c r="A1004" s="30"/>
      <c r="B1004" s="30"/>
      <c r="C1004" s="30"/>
      <c r="D1004" s="30"/>
      <c r="E1004" s="30"/>
      <c r="F1004" s="30"/>
      <c r="G1004" s="30"/>
    </row>
    <row r="1005">
      <c r="A1005" s="30"/>
      <c r="B1005" s="30"/>
      <c r="C1005" s="30"/>
      <c r="D1005" s="30"/>
      <c r="E1005" s="30"/>
      <c r="F1005" s="30"/>
      <c r="G1005" s="30"/>
    </row>
    <row r="1006">
      <c r="A1006" s="30"/>
      <c r="B1006" s="30"/>
      <c r="C1006" s="30"/>
      <c r="D1006" s="30"/>
      <c r="E1006" s="30"/>
      <c r="F1006" s="30"/>
      <c r="G1006" s="30"/>
    </row>
    <row r="1007">
      <c r="A1007" s="30"/>
      <c r="B1007" s="30"/>
      <c r="C1007" s="30"/>
      <c r="D1007" s="30"/>
      <c r="E1007" s="30"/>
      <c r="F1007" s="30"/>
      <c r="G1007" s="30"/>
    </row>
    <row r="1008">
      <c r="A1008" s="30"/>
      <c r="B1008" s="30"/>
      <c r="C1008" s="30"/>
      <c r="D1008" s="30"/>
      <c r="E1008" s="30"/>
      <c r="F1008" s="30"/>
      <c r="G1008" s="30"/>
    </row>
    <row r="1009">
      <c r="A1009" s="30"/>
      <c r="B1009" s="30"/>
      <c r="C1009" s="30"/>
      <c r="D1009" s="30"/>
      <c r="E1009" s="30"/>
      <c r="F1009" s="30"/>
      <c r="G1009" s="30"/>
    </row>
    <row r="1010">
      <c r="A1010" s="30"/>
      <c r="B1010" s="30"/>
      <c r="C1010" s="30"/>
      <c r="D1010" s="30"/>
      <c r="E1010" s="30"/>
      <c r="F1010" s="30"/>
      <c r="G1010" s="30"/>
    </row>
    <row r="1011">
      <c r="A1011" s="30"/>
      <c r="B1011" s="30"/>
      <c r="C1011" s="30"/>
      <c r="D1011" s="30"/>
      <c r="E1011" s="30"/>
      <c r="F1011" s="30"/>
      <c r="G1011" s="30"/>
    </row>
    <row r="1012">
      <c r="A1012" s="30"/>
      <c r="B1012" s="30"/>
      <c r="C1012" s="30"/>
      <c r="D1012" s="30"/>
      <c r="E1012" s="30"/>
      <c r="F1012" s="30"/>
      <c r="G1012" s="30"/>
    </row>
    <row r="1013">
      <c r="A1013" s="30"/>
      <c r="B1013" s="30"/>
      <c r="C1013" s="30"/>
      <c r="D1013" s="30"/>
      <c r="E1013" s="30"/>
      <c r="F1013" s="30"/>
      <c r="G1013" s="30"/>
    </row>
    <row r="1014">
      <c r="A1014" s="30"/>
      <c r="B1014" s="30"/>
      <c r="C1014" s="30"/>
      <c r="D1014" s="30"/>
      <c r="E1014" s="30"/>
      <c r="F1014" s="30"/>
      <c r="G1014" s="30"/>
    </row>
    <row r="1015">
      <c r="A1015" s="30"/>
      <c r="B1015" s="30"/>
      <c r="C1015" s="30"/>
      <c r="D1015" s="30"/>
      <c r="E1015" s="30"/>
      <c r="F1015" s="30"/>
      <c r="G1015" s="30"/>
    </row>
    <row r="1016">
      <c r="A1016" s="30"/>
      <c r="B1016" s="30"/>
      <c r="C1016" s="30"/>
      <c r="D1016" s="30"/>
      <c r="E1016" s="30"/>
      <c r="F1016" s="30"/>
      <c r="G1016" s="30"/>
    </row>
    <row r="1017">
      <c r="A1017" s="30"/>
      <c r="B1017" s="30"/>
      <c r="C1017" s="30"/>
      <c r="D1017" s="30"/>
      <c r="E1017" s="30"/>
      <c r="F1017" s="30"/>
      <c r="G1017" s="30"/>
    </row>
    <row r="1018">
      <c r="A1018" s="30"/>
      <c r="B1018" s="30"/>
      <c r="C1018" s="30"/>
      <c r="D1018" s="30"/>
      <c r="E1018" s="30"/>
      <c r="F1018" s="30"/>
      <c r="G1018" s="30"/>
    </row>
    <row r="1019">
      <c r="A1019" s="30"/>
      <c r="B1019" s="30"/>
      <c r="C1019" s="30"/>
      <c r="D1019" s="30"/>
      <c r="E1019" s="30"/>
      <c r="F1019" s="30"/>
      <c r="G1019" s="30"/>
    </row>
    <row r="1020">
      <c r="A1020" s="30"/>
      <c r="B1020" s="30"/>
      <c r="C1020" s="30"/>
      <c r="D1020" s="30"/>
      <c r="E1020" s="30"/>
      <c r="F1020" s="30"/>
      <c r="G1020" s="30"/>
    </row>
    <row r="1021">
      <c r="A1021" s="30"/>
      <c r="B1021" s="30"/>
      <c r="C1021" s="30"/>
      <c r="D1021" s="30"/>
      <c r="E1021" s="30"/>
      <c r="F1021" s="30"/>
      <c r="G1021" s="30"/>
    </row>
    <row r="1022">
      <c r="A1022" s="30"/>
      <c r="B1022" s="30"/>
      <c r="C1022" s="30"/>
      <c r="D1022" s="30"/>
      <c r="E1022" s="30"/>
      <c r="F1022" s="30"/>
      <c r="G1022" s="30"/>
    </row>
    <row r="1023">
      <c r="A1023" s="30"/>
      <c r="B1023" s="30"/>
      <c r="C1023" s="30"/>
      <c r="D1023" s="30"/>
      <c r="E1023" s="30"/>
      <c r="F1023" s="30"/>
      <c r="G1023" s="30"/>
    </row>
    <row r="1024">
      <c r="A1024" s="30"/>
      <c r="B1024" s="30"/>
      <c r="C1024" s="30"/>
      <c r="D1024" s="30"/>
      <c r="E1024" s="30"/>
      <c r="F1024" s="30"/>
      <c r="G1024" s="30"/>
    </row>
    <row r="1025">
      <c r="A1025" s="30"/>
      <c r="B1025" s="30"/>
      <c r="C1025" s="30"/>
      <c r="D1025" s="30"/>
      <c r="E1025" s="30"/>
      <c r="F1025" s="30"/>
      <c r="G1025" s="30"/>
    </row>
    <row r="1026">
      <c r="A1026" s="30"/>
      <c r="B1026" s="30"/>
      <c r="C1026" s="30"/>
      <c r="D1026" s="30"/>
      <c r="E1026" s="30"/>
      <c r="F1026" s="30"/>
      <c r="G1026" s="30"/>
    </row>
    <row r="1027">
      <c r="A1027" s="30"/>
      <c r="B1027" s="30"/>
      <c r="C1027" s="30"/>
      <c r="D1027" s="30"/>
      <c r="E1027" s="30"/>
      <c r="F1027" s="30"/>
      <c r="G1027" s="30"/>
    </row>
    <row r="1028">
      <c r="A1028" s="30"/>
      <c r="B1028" s="30"/>
      <c r="C1028" s="30"/>
      <c r="D1028" s="30"/>
      <c r="E1028" s="30"/>
      <c r="F1028" s="30"/>
      <c r="G1028" s="30"/>
    </row>
    <row r="1029">
      <c r="A1029" s="30"/>
      <c r="B1029" s="30"/>
      <c r="C1029" s="30"/>
      <c r="D1029" s="30"/>
      <c r="E1029" s="30"/>
      <c r="F1029" s="30"/>
      <c r="G1029" s="30"/>
    </row>
    <row r="1030">
      <c r="A1030" s="30"/>
      <c r="B1030" s="30"/>
      <c r="C1030" s="30"/>
      <c r="D1030" s="30"/>
      <c r="E1030" s="30"/>
      <c r="F1030" s="30"/>
      <c r="G1030" s="30"/>
    </row>
    <row r="1031">
      <c r="A1031" s="30"/>
      <c r="B1031" s="30"/>
      <c r="C1031" s="30"/>
      <c r="D1031" s="30"/>
      <c r="E1031" s="30"/>
      <c r="F1031" s="30"/>
      <c r="G1031" s="30"/>
    </row>
    <row r="1032">
      <c r="A1032" s="30"/>
      <c r="B1032" s="30"/>
      <c r="C1032" s="30"/>
      <c r="D1032" s="30"/>
      <c r="E1032" s="30"/>
      <c r="F1032" s="30"/>
      <c r="G1032" s="30"/>
    </row>
    <row r="1033">
      <c r="A1033" s="30"/>
      <c r="B1033" s="30"/>
      <c r="C1033" s="30"/>
      <c r="D1033" s="30"/>
      <c r="E1033" s="30"/>
      <c r="F1033" s="30"/>
      <c r="G1033" s="30"/>
    </row>
    <row r="1034">
      <c r="A1034" s="30"/>
      <c r="B1034" s="30"/>
      <c r="C1034" s="30"/>
      <c r="D1034" s="30"/>
      <c r="E1034" s="30"/>
      <c r="F1034" s="30"/>
      <c r="G1034" s="30"/>
    </row>
    <row r="1035">
      <c r="A1035" s="30"/>
      <c r="B1035" s="30"/>
      <c r="C1035" s="30"/>
      <c r="D1035" s="30"/>
      <c r="E1035" s="30"/>
      <c r="F1035" s="30"/>
      <c r="G1035" s="30"/>
    </row>
    <row r="1036">
      <c r="A1036" s="30"/>
      <c r="B1036" s="30"/>
      <c r="C1036" s="30"/>
      <c r="D1036" s="30"/>
      <c r="E1036" s="30"/>
      <c r="F1036" s="30"/>
      <c r="G1036" s="30"/>
    </row>
    <row r="1037">
      <c r="A1037" s="30"/>
      <c r="B1037" s="30"/>
      <c r="C1037" s="30"/>
      <c r="D1037" s="30"/>
      <c r="E1037" s="30"/>
      <c r="F1037" s="30"/>
      <c r="G1037" s="30"/>
    </row>
    <row r="1038">
      <c r="A1038" s="30"/>
      <c r="B1038" s="30"/>
      <c r="C1038" s="30"/>
      <c r="D1038" s="30"/>
      <c r="E1038" s="30"/>
      <c r="F1038" s="30"/>
      <c r="G1038" s="30"/>
    </row>
    <row r="1039">
      <c r="A1039" s="30"/>
      <c r="B1039" s="30"/>
      <c r="C1039" s="30"/>
      <c r="D1039" s="30"/>
      <c r="E1039" s="30"/>
      <c r="F1039" s="30"/>
      <c r="G1039" s="30"/>
    </row>
    <row r="1040">
      <c r="A1040" s="30"/>
      <c r="B1040" s="30"/>
      <c r="C1040" s="30"/>
      <c r="D1040" s="30"/>
      <c r="E1040" s="30"/>
      <c r="F1040" s="30"/>
      <c r="G1040" s="30"/>
    </row>
    <row r="1041">
      <c r="A1041" s="30"/>
      <c r="B1041" s="30"/>
      <c r="C1041" s="30"/>
      <c r="D1041" s="30"/>
      <c r="E1041" s="30"/>
      <c r="F1041" s="30"/>
      <c r="G1041" s="30"/>
    </row>
    <row r="1042">
      <c r="A1042" s="30"/>
      <c r="B1042" s="30"/>
      <c r="C1042" s="30"/>
      <c r="D1042" s="30"/>
      <c r="E1042" s="30"/>
      <c r="F1042" s="30"/>
      <c r="G1042" s="30"/>
    </row>
    <row r="1043">
      <c r="A1043" s="30"/>
      <c r="B1043" s="30"/>
      <c r="C1043" s="30"/>
      <c r="D1043" s="30"/>
      <c r="E1043" s="30"/>
      <c r="F1043" s="30"/>
      <c r="G1043" s="30"/>
    </row>
    <row r="1044">
      <c r="A1044" s="30"/>
      <c r="B1044" s="30"/>
      <c r="C1044" s="30"/>
      <c r="D1044" s="30"/>
      <c r="E1044" s="30"/>
      <c r="F1044" s="30"/>
      <c r="G1044" s="30"/>
    </row>
    <row r="1045">
      <c r="A1045" s="30"/>
      <c r="B1045" s="30"/>
      <c r="C1045" s="30"/>
      <c r="D1045" s="30"/>
      <c r="E1045" s="30"/>
      <c r="F1045" s="30"/>
      <c r="G1045" s="30"/>
    </row>
    <row r="1046">
      <c r="A1046" s="30"/>
      <c r="B1046" s="30"/>
      <c r="C1046" s="30"/>
      <c r="D1046" s="30"/>
      <c r="E1046" s="30"/>
      <c r="F1046" s="30"/>
      <c r="G1046" s="30"/>
    </row>
    <row r="1047">
      <c r="A1047" s="30"/>
      <c r="B1047" s="30"/>
      <c r="C1047" s="30"/>
      <c r="D1047" s="30"/>
      <c r="E1047" s="30"/>
      <c r="F1047" s="30"/>
      <c r="G1047" s="30"/>
    </row>
    <row r="1048">
      <c r="A1048" s="30"/>
      <c r="B1048" s="30"/>
      <c r="C1048" s="30"/>
      <c r="D1048" s="30"/>
      <c r="E1048" s="30"/>
      <c r="F1048" s="30"/>
      <c r="G1048" s="30"/>
    </row>
    <row r="1049">
      <c r="A1049" s="30"/>
      <c r="B1049" s="30"/>
      <c r="C1049" s="30"/>
      <c r="D1049" s="30"/>
      <c r="E1049" s="30"/>
      <c r="F1049" s="30"/>
      <c r="G1049" s="30"/>
    </row>
    <row r="1050">
      <c r="A1050" s="30"/>
      <c r="B1050" s="30"/>
      <c r="C1050" s="30"/>
      <c r="D1050" s="30"/>
      <c r="E1050" s="30"/>
      <c r="F1050" s="30"/>
      <c r="G1050" s="30"/>
    </row>
    <row r="1051">
      <c r="A1051" s="30"/>
      <c r="B1051" s="30"/>
      <c r="C1051" s="30"/>
      <c r="D1051" s="30"/>
      <c r="E1051" s="30"/>
      <c r="F1051" s="30"/>
      <c r="G1051" s="30"/>
    </row>
    <row r="1052">
      <c r="A1052" s="30"/>
      <c r="B1052" s="30"/>
      <c r="C1052" s="30"/>
      <c r="D1052" s="30"/>
      <c r="E1052" s="30"/>
      <c r="F1052" s="30"/>
      <c r="G1052" s="30"/>
    </row>
    <row r="1053">
      <c r="A1053" s="30"/>
      <c r="B1053" s="30"/>
      <c r="C1053" s="30"/>
      <c r="D1053" s="30"/>
      <c r="E1053" s="30"/>
      <c r="F1053" s="30"/>
      <c r="G1053" s="30"/>
    </row>
    <row r="1054">
      <c r="A1054" s="30"/>
      <c r="B1054" s="30"/>
      <c r="C1054" s="30"/>
      <c r="D1054" s="30"/>
      <c r="E1054" s="30"/>
      <c r="F1054" s="30"/>
      <c r="G1054" s="30"/>
    </row>
    <row r="1055">
      <c r="A1055" s="30"/>
      <c r="B1055" s="30"/>
      <c r="C1055" s="30"/>
      <c r="D1055" s="30"/>
      <c r="E1055" s="30"/>
      <c r="F1055" s="30"/>
      <c r="G1055" s="30"/>
    </row>
    <row r="1056">
      <c r="A1056" s="30"/>
      <c r="B1056" s="30"/>
      <c r="C1056" s="30"/>
      <c r="D1056" s="30"/>
      <c r="E1056" s="30"/>
      <c r="F1056" s="30"/>
      <c r="G1056" s="30"/>
    </row>
    <row r="1057">
      <c r="A1057" s="30"/>
      <c r="B1057" s="30"/>
      <c r="C1057" s="30"/>
      <c r="D1057" s="30"/>
      <c r="E1057" s="30"/>
      <c r="F1057" s="30"/>
      <c r="G1057" s="30"/>
    </row>
    <row r="1058">
      <c r="A1058" s="30"/>
      <c r="B1058" s="30"/>
      <c r="C1058" s="30"/>
      <c r="D1058" s="30"/>
      <c r="E1058" s="30"/>
      <c r="F1058" s="30"/>
      <c r="G1058" s="30"/>
    </row>
    <row r="1059">
      <c r="A1059" s="30"/>
      <c r="B1059" s="30"/>
      <c r="C1059" s="30"/>
      <c r="D1059" s="30"/>
      <c r="E1059" s="30"/>
      <c r="F1059" s="30"/>
      <c r="G1059" s="30"/>
    </row>
    <row r="1060">
      <c r="A1060" s="30"/>
      <c r="B1060" s="30"/>
      <c r="C1060" s="30"/>
      <c r="D1060" s="30"/>
      <c r="E1060" s="30"/>
      <c r="F1060" s="30"/>
      <c r="G1060" s="30"/>
    </row>
    <row r="1061">
      <c r="A1061" s="30"/>
      <c r="B1061" s="30"/>
      <c r="C1061" s="30"/>
      <c r="D1061" s="30"/>
      <c r="E1061" s="30"/>
      <c r="F1061" s="30"/>
      <c r="G1061" s="30"/>
    </row>
    <row r="1062">
      <c r="A1062" s="30"/>
      <c r="B1062" s="30"/>
      <c r="C1062" s="30"/>
      <c r="D1062" s="30"/>
      <c r="E1062" s="30"/>
      <c r="F1062" s="30"/>
      <c r="G1062" s="30"/>
    </row>
    <row r="1063">
      <c r="A1063" s="30"/>
      <c r="B1063" s="30"/>
      <c r="C1063" s="30"/>
      <c r="D1063" s="30"/>
      <c r="E1063" s="30"/>
      <c r="F1063" s="30"/>
      <c r="G1063" s="30"/>
    </row>
    <row r="1064">
      <c r="A1064" s="30"/>
      <c r="B1064" s="30"/>
      <c r="C1064" s="30"/>
      <c r="D1064" s="30"/>
      <c r="E1064" s="30"/>
      <c r="F1064" s="30"/>
      <c r="G1064" s="30"/>
    </row>
    <row r="1065">
      <c r="A1065" s="30"/>
      <c r="B1065" s="30"/>
      <c r="C1065" s="30"/>
      <c r="D1065" s="30"/>
      <c r="E1065" s="30"/>
      <c r="F1065" s="30"/>
      <c r="G1065" s="30"/>
    </row>
    <row r="1066">
      <c r="A1066" s="30"/>
      <c r="B1066" s="30"/>
      <c r="C1066" s="30"/>
      <c r="D1066" s="30"/>
      <c r="E1066" s="30"/>
      <c r="F1066" s="30"/>
      <c r="G1066" s="30"/>
    </row>
    <row r="1067">
      <c r="A1067" s="30"/>
      <c r="B1067" s="30"/>
      <c r="C1067" s="30"/>
      <c r="D1067" s="30"/>
      <c r="E1067" s="30"/>
      <c r="F1067" s="30"/>
      <c r="G1067" s="30"/>
    </row>
    <row r="1068">
      <c r="A1068" s="30"/>
      <c r="B1068" s="30"/>
      <c r="C1068" s="30"/>
      <c r="D1068" s="30"/>
      <c r="E1068" s="30"/>
      <c r="F1068" s="30"/>
      <c r="G1068" s="30"/>
    </row>
    <row r="1069">
      <c r="A1069" s="30"/>
      <c r="B1069" s="30"/>
      <c r="C1069" s="30"/>
      <c r="D1069" s="30"/>
      <c r="E1069" s="30"/>
      <c r="F1069" s="30"/>
      <c r="G1069" s="30"/>
    </row>
    <row r="1070">
      <c r="A1070" s="30"/>
      <c r="B1070" s="30"/>
      <c r="C1070" s="30"/>
      <c r="D1070" s="30"/>
      <c r="E1070" s="30"/>
      <c r="F1070" s="30"/>
      <c r="G1070" s="30"/>
    </row>
    <row r="1071">
      <c r="A1071" s="30"/>
      <c r="B1071" s="30"/>
      <c r="C1071" s="30"/>
      <c r="D1071" s="30"/>
      <c r="E1071" s="30"/>
      <c r="F1071" s="30"/>
      <c r="G1071" s="30"/>
    </row>
    <row r="1072">
      <c r="A1072" s="30"/>
      <c r="B1072" s="30"/>
      <c r="C1072" s="30"/>
      <c r="D1072" s="30"/>
      <c r="E1072" s="30"/>
      <c r="F1072" s="30"/>
      <c r="G1072" s="30"/>
    </row>
    <row r="1073">
      <c r="A1073" s="30"/>
      <c r="B1073" s="30"/>
      <c r="C1073" s="30"/>
      <c r="D1073" s="30"/>
      <c r="E1073" s="30"/>
      <c r="F1073" s="30"/>
      <c r="G1073" s="30"/>
    </row>
    <row r="1074">
      <c r="A1074" s="30"/>
      <c r="B1074" s="30"/>
      <c r="C1074" s="30"/>
      <c r="D1074" s="30"/>
      <c r="E1074" s="30"/>
      <c r="F1074" s="30"/>
      <c r="G1074" s="30"/>
    </row>
    <row r="1075">
      <c r="A1075" s="30"/>
      <c r="B1075" s="30"/>
      <c r="C1075" s="30"/>
      <c r="D1075" s="30"/>
      <c r="E1075" s="30"/>
      <c r="F1075" s="30"/>
      <c r="G1075" s="30"/>
    </row>
    <row r="1076">
      <c r="A1076" s="30"/>
      <c r="B1076" s="30"/>
      <c r="C1076" s="30"/>
      <c r="D1076" s="30"/>
      <c r="E1076" s="30"/>
      <c r="F1076" s="30"/>
      <c r="G1076" s="30"/>
    </row>
    <row r="1077">
      <c r="A1077" s="30"/>
      <c r="B1077" s="30"/>
      <c r="C1077" s="30"/>
      <c r="D1077" s="30"/>
      <c r="E1077" s="30"/>
      <c r="F1077" s="30"/>
      <c r="G1077" s="30"/>
    </row>
    <row r="1078">
      <c r="A1078" s="30"/>
      <c r="B1078" s="30"/>
      <c r="C1078" s="30"/>
      <c r="D1078" s="30"/>
      <c r="E1078" s="30"/>
      <c r="F1078" s="30"/>
      <c r="G1078" s="30"/>
    </row>
    <row r="1079">
      <c r="A1079" s="30"/>
      <c r="B1079" s="30"/>
      <c r="C1079" s="30"/>
      <c r="D1079" s="30"/>
      <c r="E1079" s="30"/>
      <c r="F1079" s="30"/>
      <c r="G1079" s="30"/>
    </row>
    <row r="1080">
      <c r="A1080" s="30"/>
      <c r="B1080" s="30"/>
      <c r="C1080" s="30"/>
      <c r="D1080" s="30"/>
      <c r="E1080" s="30"/>
      <c r="F1080" s="30"/>
      <c r="G1080" s="30"/>
    </row>
    <row r="1081">
      <c r="A1081" s="30"/>
      <c r="B1081" s="30"/>
      <c r="C1081" s="30"/>
      <c r="D1081" s="30"/>
      <c r="E1081" s="30"/>
      <c r="F1081" s="30"/>
      <c r="G1081" s="30"/>
    </row>
    <row r="1082">
      <c r="A1082" s="30"/>
      <c r="B1082" s="30"/>
      <c r="C1082" s="30"/>
      <c r="D1082" s="30"/>
      <c r="E1082" s="30"/>
      <c r="F1082" s="30"/>
      <c r="G1082" s="30"/>
    </row>
    <row r="1083">
      <c r="A1083" s="30"/>
      <c r="B1083" s="30"/>
      <c r="C1083" s="30"/>
      <c r="D1083" s="30"/>
      <c r="E1083" s="30"/>
      <c r="F1083" s="30"/>
      <c r="G1083" s="30"/>
    </row>
    <row r="1084">
      <c r="A1084" s="30"/>
      <c r="B1084" s="30"/>
      <c r="C1084" s="30"/>
      <c r="D1084" s="30"/>
      <c r="E1084" s="30"/>
      <c r="F1084" s="30"/>
      <c r="G1084" s="30"/>
    </row>
    <row r="1085">
      <c r="A1085" s="30"/>
      <c r="B1085" s="30"/>
      <c r="C1085" s="30"/>
      <c r="D1085" s="30"/>
      <c r="E1085" s="30"/>
      <c r="F1085" s="30"/>
      <c r="G1085" s="30"/>
    </row>
    <row r="1086">
      <c r="A1086" s="30"/>
      <c r="B1086" s="30"/>
      <c r="C1086" s="30"/>
      <c r="D1086" s="30"/>
      <c r="E1086" s="30"/>
      <c r="F1086" s="30"/>
      <c r="G1086" s="30"/>
    </row>
    <row r="1087">
      <c r="A1087" s="30"/>
      <c r="B1087" s="30"/>
      <c r="C1087" s="30"/>
      <c r="D1087" s="30"/>
      <c r="E1087" s="30"/>
      <c r="F1087" s="30"/>
      <c r="G1087" s="30"/>
    </row>
    <row r="1088">
      <c r="A1088" s="30"/>
      <c r="B1088" s="30"/>
      <c r="C1088" s="30"/>
      <c r="D1088" s="30"/>
      <c r="E1088" s="30"/>
      <c r="F1088" s="30"/>
      <c r="G1088" s="30"/>
    </row>
    <row r="1089">
      <c r="A1089" s="30"/>
      <c r="B1089" s="30"/>
      <c r="C1089" s="30"/>
      <c r="D1089" s="30"/>
      <c r="E1089" s="30"/>
      <c r="F1089" s="30"/>
      <c r="G1089" s="30"/>
    </row>
    <row r="1090">
      <c r="A1090" s="30"/>
      <c r="B1090" s="30"/>
      <c r="C1090" s="30"/>
      <c r="D1090" s="30"/>
      <c r="E1090" s="30"/>
      <c r="F1090" s="30"/>
      <c r="G1090" s="30"/>
    </row>
    <row r="1091">
      <c r="A1091" s="30"/>
      <c r="B1091" s="30"/>
      <c r="C1091" s="30"/>
      <c r="D1091" s="30"/>
      <c r="E1091" s="30"/>
      <c r="F1091" s="30"/>
      <c r="G1091" s="30"/>
    </row>
    <row r="1092">
      <c r="A1092" s="30"/>
      <c r="B1092" s="30"/>
      <c r="C1092" s="30"/>
      <c r="D1092" s="30"/>
      <c r="E1092" s="30"/>
      <c r="F1092" s="30"/>
      <c r="G1092" s="30"/>
    </row>
    <row r="1093">
      <c r="A1093" s="30"/>
      <c r="B1093" s="30"/>
      <c r="C1093" s="30"/>
      <c r="D1093" s="30"/>
      <c r="E1093" s="30"/>
      <c r="F1093" s="30"/>
      <c r="G1093" s="30"/>
    </row>
    <row r="1094">
      <c r="A1094" s="30"/>
      <c r="B1094" s="30"/>
      <c r="C1094" s="30"/>
      <c r="D1094" s="30"/>
      <c r="E1094" s="30"/>
      <c r="F1094" s="30"/>
      <c r="G1094" s="30"/>
    </row>
    <row r="1095">
      <c r="A1095" s="30"/>
      <c r="B1095" s="30"/>
      <c r="C1095" s="30"/>
      <c r="D1095" s="30"/>
      <c r="E1095" s="30"/>
      <c r="F1095" s="30"/>
      <c r="G1095" s="30"/>
    </row>
    <row r="1096">
      <c r="A1096" s="30"/>
      <c r="B1096" s="30"/>
      <c r="C1096" s="30"/>
      <c r="D1096" s="30"/>
      <c r="E1096" s="30"/>
      <c r="F1096" s="30"/>
      <c r="G1096" s="30"/>
    </row>
    <row r="1097">
      <c r="A1097" s="30"/>
      <c r="B1097" s="30"/>
      <c r="C1097" s="30"/>
      <c r="D1097" s="30"/>
      <c r="E1097" s="30"/>
      <c r="F1097" s="30"/>
      <c r="G1097" s="30"/>
    </row>
    <row r="1098">
      <c r="A1098" s="30"/>
      <c r="B1098" s="30"/>
      <c r="C1098" s="30"/>
      <c r="D1098" s="30"/>
      <c r="E1098" s="30"/>
      <c r="F1098" s="30"/>
      <c r="G1098" s="30"/>
    </row>
    <row r="1099">
      <c r="A1099" s="30"/>
      <c r="B1099" s="30"/>
      <c r="C1099" s="30"/>
      <c r="D1099" s="30"/>
      <c r="E1099" s="30"/>
      <c r="F1099" s="30"/>
      <c r="G1099" s="30"/>
    </row>
    <row r="1100">
      <c r="A1100" s="30"/>
      <c r="B1100" s="30"/>
      <c r="C1100" s="30"/>
      <c r="D1100" s="30"/>
      <c r="E1100" s="30"/>
      <c r="F1100" s="30"/>
      <c r="G1100" s="30"/>
    </row>
    <row r="1101">
      <c r="A1101" s="30"/>
      <c r="B1101" s="30"/>
      <c r="C1101" s="30"/>
      <c r="D1101" s="30"/>
      <c r="E1101" s="30"/>
      <c r="F1101" s="30"/>
      <c r="G1101" s="30"/>
    </row>
    <row r="1102">
      <c r="A1102" s="30"/>
      <c r="B1102" s="30"/>
      <c r="C1102" s="30"/>
      <c r="D1102" s="30"/>
      <c r="E1102" s="30"/>
      <c r="F1102" s="30"/>
      <c r="G1102" s="30"/>
    </row>
    <row r="1103">
      <c r="A1103" s="30"/>
      <c r="B1103" s="30"/>
      <c r="C1103" s="30"/>
      <c r="D1103" s="30"/>
      <c r="E1103" s="30"/>
      <c r="F1103" s="30"/>
      <c r="G1103" s="30"/>
    </row>
    <row r="1104">
      <c r="A1104" s="30"/>
      <c r="B1104" s="30"/>
      <c r="C1104" s="30"/>
      <c r="D1104" s="30"/>
      <c r="E1104" s="30"/>
      <c r="F1104" s="30"/>
      <c r="G1104" s="30"/>
    </row>
    <row r="1105">
      <c r="A1105" s="30"/>
      <c r="B1105" s="30"/>
      <c r="C1105" s="30"/>
      <c r="D1105" s="30"/>
      <c r="E1105" s="30"/>
      <c r="F1105" s="30"/>
      <c r="G1105" s="30"/>
    </row>
    <row r="1106">
      <c r="A1106" s="30"/>
      <c r="B1106" s="30"/>
      <c r="C1106" s="30"/>
      <c r="D1106" s="30"/>
      <c r="E1106" s="30"/>
      <c r="F1106" s="30"/>
      <c r="G1106" s="30"/>
    </row>
    <row r="1107">
      <c r="A1107" s="30"/>
      <c r="B1107" s="30"/>
      <c r="C1107" s="30"/>
      <c r="D1107" s="30"/>
      <c r="E1107" s="30"/>
      <c r="F1107" s="30"/>
      <c r="G1107" s="30"/>
    </row>
    <row r="1108">
      <c r="A1108" s="30"/>
      <c r="B1108" s="30"/>
      <c r="C1108" s="30"/>
      <c r="D1108" s="30"/>
      <c r="E1108" s="30"/>
      <c r="F1108" s="30"/>
      <c r="G1108" s="30"/>
    </row>
    <row r="1109">
      <c r="A1109" s="30"/>
      <c r="B1109" s="30"/>
      <c r="C1109" s="30"/>
      <c r="D1109" s="30"/>
      <c r="E1109" s="30"/>
      <c r="F1109" s="30"/>
      <c r="G1109" s="30"/>
    </row>
    <row r="1110">
      <c r="A1110" s="30"/>
      <c r="B1110" s="30"/>
      <c r="C1110" s="30"/>
      <c r="D1110" s="30"/>
      <c r="E1110" s="30"/>
      <c r="F1110" s="30"/>
      <c r="G1110" s="30"/>
    </row>
    <row r="1111">
      <c r="A1111" s="30"/>
      <c r="B1111" s="30"/>
      <c r="C1111" s="30"/>
      <c r="D1111" s="30"/>
      <c r="E1111" s="30"/>
      <c r="F1111" s="30"/>
      <c r="G1111" s="30"/>
    </row>
    <row r="1112">
      <c r="A1112" s="30"/>
      <c r="B1112" s="30"/>
      <c r="C1112" s="30"/>
      <c r="D1112" s="30"/>
      <c r="E1112" s="30"/>
      <c r="F1112" s="30"/>
      <c r="G1112" s="30"/>
    </row>
    <row r="1113">
      <c r="A1113" s="30"/>
      <c r="B1113" s="30"/>
      <c r="C1113" s="30"/>
      <c r="D1113" s="30"/>
      <c r="E1113" s="30"/>
      <c r="F1113" s="30"/>
      <c r="G1113" s="30"/>
    </row>
    <row r="1114">
      <c r="A1114" s="30"/>
      <c r="B1114" s="30"/>
      <c r="C1114" s="30"/>
      <c r="D1114" s="30"/>
      <c r="E1114" s="30"/>
      <c r="F1114" s="30"/>
      <c r="G1114" s="30"/>
    </row>
    <row r="1115">
      <c r="A1115" s="30"/>
      <c r="B1115" s="30"/>
      <c r="C1115" s="30"/>
      <c r="D1115" s="30"/>
      <c r="E1115" s="30"/>
      <c r="F1115" s="30"/>
      <c r="G1115" s="30"/>
    </row>
    <row r="1116">
      <c r="A1116" s="30"/>
      <c r="B1116" s="30"/>
      <c r="C1116" s="30"/>
      <c r="D1116" s="30"/>
      <c r="E1116" s="30"/>
      <c r="F1116" s="30"/>
      <c r="G1116" s="30"/>
    </row>
    <row r="1117">
      <c r="A1117" s="30"/>
      <c r="B1117" s="30"/>
      <c r="C1117" s="30"/>
      <c r="D1117" s="30"/>
      <c r="E1117" s="30"/>
      <c r="F1117" s="30"/>
      <c r="G1117" s="30"/>
    </row>
    <row r="1118">
      <c r="A1118" s="30"/>
      <c r="B1118" s="30"/>
      <c r="C1118" s="30"/>
      <c r="D1118" s="30"/>
      <c r="E1118" s="30"/>
      <c r="F1118" s="30"/>
      <c r="G1118" s="30"/>
    </row>
    <row r="1119">
      <c r="A1119" s="30"/>
      <c r="B1119" s="30"/>
      <c r="C1119" s="30"/>
      <c r="D1119" s="30"/>
      <c r="E1119" s="30"/>
      <c r="F1119" s="30"/>
      <c r="G1119" s="30"/>
    </row>
    <row r="1120">
      <c r="A1120" s="30"/>
      <c r="B1120" s="30"/>
      <c r="C1120" s="30"/>
      <c r="D1120" s="30"/>
      <c r="E1120" s="30"/>
      <c r="F1120" s="30"/>
      <c r="G1120" s="30"/>
    </row>
    <row r="1121">
      <c r="A1121" s="30"/>
      <c r="B1121" s="30"/>
      <c r="C1121" s="30"/>
      <c r="D1121" s="30"/>
      <c r="E1121" s="30"/>
      <c r="F1121" s="30"/>
      <c r="G1121" s="30"/>
    </row>
    <row r="1122">
      <c r="A1122" s="30"/>
      <c r="B1122" s="30"/>
      <c r="C1122" s="30"/>
      <c r="D1122" s="30"/>
      <c r="E1122" s="30"/>
      <c r="F1122" s="30"/>
      <c r="G1122" s="30"/>
    </row>
    <row r="1123">
      <c r="A1123" s="30"/>
      <c r="B1123" s="30"/>
      <c r="C1123" s="30"/>
      <c r="D1123" s="30"/>
      <c r="E1123" s="30"/>
      <c r="F1123" s="30"/>
      <c r="G1123" s="30"/>
    </row>
    <row r="1124">
      <c r="A1124" s="30"/>
      <c r="B1124" s="30"/>
      <c r="C1124" s="30"/>
      <c r="D1124" s="30"/>
      <c r="E1124" s="30"/>
      <c r="F1124" s="30"/>
      <c r="G1124" s="30"/>
    </row>
    <row r="1125">
      <c r="A1125" s="30"/>
      <c r="B1125" s="30"/>
      <c r="C1125" s="30"/>
      <c r="D1125" s="30"/>
      <c r="E1125" s="30"/>
      <c r="F1125" s="30"/>
      <c r="G1125" s="30"/>
    </row>
    <row r="1126">
      <c r="A1126" s="30"/>
      <c r="B1126" s="30"/>
      <c r="C1126" s="30"/>
      <c r="D1126" s="30"/>
      <c r="E1126" s="30"/>
      <c r="F1126" s="30"/>
      <c r="G1126" s="30"/>
    </row>
    <row r="1127">
      <c r="A1127" s="30"/>
      <c r="B1127" s="30"/>
      <c r="C1127" s="30"/>
      <c r="D1127" s="30"/>
      <c r="E1127" s="30"/>
      <c r="F1127" s="30"/>
      <c r="G1127" s="30"/>
    </row>
    <row r="1128">
      <c r="A1128" s="30"/>
      <c r="B1128" s="30"/>
      <c r="C1128" s="30"/>
      <c r="D1128" s="30"/>
      <c r="E1128" s="30"/>
      <c r="F1128" s="30"/>
      <c r="G1128" s="30"/>
    </row>
    <row r="1129">
      <c r="A1129" s="30"/>
      <c r="B1129" s="30"/>
      <c r="C1129" s="30"/>
      <c r="D1129" s="30"/>
      <c r="E1129" s="30"/>
      <c r="F1129" s="30"/>
      <c r="G1129" s="30"/>
    </row>
    <row r="1130">
      <c r="A1130" s="30"/>
      <c r="B1130" s="30"/>
      <c r="C1130" s="30"/>
      <c r="D1130" s="30"/>
      <c r="E1130" s="30"/>
      <c r="F1130" s="30"/>
      <c r="G1130" s="30"/>
    </row>
    <row r="1131">
      <c r="A1131" s="30"/>
      <c r="B1131" s="30"/>
      <c r="C1131" s="30"/>
      <c r="D1131" s="30"/>
      <c r="E1131" s="30"/>
      <c r="F1131" s="30"/>
      <c r="G1131" s="30"/>
    </row>
    <row r="1132">
      <c r="A1132" s="30"/>
      <c r="B1132" s="30"/>
      <c r="C1132" s="30"/>
      <c r="D1132" s="30"/>
      <c r="E1132" s="30"/>
      <c r="F1132" s="30"/>
      <c r="G1132" s="30"/>
    </row>
    <row r="1133">
      <c r="A1133" s="30"/>
      <c r="B1133" s="30"/>
      <c r="C1133" s="30"/>
      <c r="D1133" s="30"/>
      <c r="E1133" s="30"/>
      <c r="F1133" s="30"/>
      <c r="G1133" s="30"/>
    </row>
    <row r="1134">
      <c r="A1134" s="30"/>
      <c r="B1134" s="30"/>
      <c r="C1134" s="30"/>
      <c r="D1134" s="30"/>
      <c r="E1134" s="30"/>
      <c r="F1134" s="30"/>
      <c r="G1134" s="30"/>
    </row>
    <row r="1135">
      <c r="A1135" s="30"/>
      <c r="B1135" s="30"/>
      <c r="C1135" s="30"/>
      <c r="D1135" s="30"/>
      <c r="E1135" s="30"/>
      <c r="F1135" s="30"/>
      <c r="G1135" s="30"/>
    </row>
    <row r="1136">
      <c r="A1136" s="30"/>
      <c r="B1136" s="30"/>
      <c r="C1136" s="30"/>
      <c r="D1136" s="30"/>
      <c r="E1136" s="30"/>
      <c r="F1136" s="30"/>
      <c r="G1136" s="30"/>
    </row>
    <row r="1137">
      <c r="A1137" s="30"/>
      <c r="B1137" s="30"/>
      <c r="C1137" s="30"/>
      <c r="D1137" s="30"/>
      <c r="E1137" s="30"/>
      <c r="F1137" s="30"/>
      <c r="G1137" s="30"/>
    </row>
    <row r="1138">
      <c r="A1138" s="30"/>
      <c r="B1138" s="30"/>
      <c r="C1138" s="30"/>
      <c r="D1138" s="30"/>
      <c r="E1138" s="30"/>
      <c r="F1138" s="30"/>
      <c r="G1138" s="30"/>
    </row>
    <row r="1139">
      <c r="A1139" s="30"/>
      <c r="B1139" s="30"/>
      <c r="C1139" s="30"/>
      <c r="D1139" s="30"/>
      <c r="E1139" s="30"/>
      <c r="F1139" s="30"/>
      <c r="G1139" s="30"/>
    </row>
    <row r="1140">
      <c r="A1140" s="30"/>
      <c r="B1140" s="30"/>
      <c r="C1140" s="30"/>
      <c r="D1140" s="30"/>
      <c r="E1140" s="30"/>
      <c r="F1140" s="30"/>
      <c r="G1140" s="30"/>
    </row>
    <row r="1141">
      <c r="A1141" s="30"/>
      <c r="B1141" s="30"/>
      <c r="C1141" s="30"/>
      <c r="D1141" s="30"/>
      <c r="E1141" s="30"/>
      <c r="F1141" s="30"/>
      <c r="G1141" s="30"/>
    </row>
    <row r="1142">
      <c r="A1142" s="30"/>
      <c r="B1142" s="30"/>
      <c r="C1142" s="30"/>
      <c r="D1142" s="30"/>
      <c r="E1142" s="30"/>
      <c r="F1142" s="30"/>
      <c r="G1142" s="30"/>
    </row>
    <row r="1143">
      <c r="A1143" s="30"/>
      <c r="B1143" s="30"/>
      <c r="C1143" s="30"/>
      <c r="D1143" s="30"/>
      <c r="E1143" s="30"/>
      <c r="F1143" s="30"/>
      <c r="G1143" s="30"/>
    </row>
    <row r="1144">
      <c r="A1144" s="30"/>
      <c r="B1144" s="30"/>
      <c r="C1144" s="30"/>
      <c r="D1144" s="30"/>
      <c r="E1144" s="30"/>
      <c r="F1144" s="30"/>
      <c r="G1144" s="30"/>
    </row>
    <row r="1145">
      <c r="A1145" s="30"/>
      <c r="B1145" s="30"/>
      <c r="C1145" s="30"/>
      <c r="D1145" s="30"/>
      <c r="E1145" s="30"/>
      <c r="F1145" s="30"/>
      <c r="G1145" s="30"/>
    </row>
    <row r="1146">
      <c r="A1146" s="30"/>
      <c r="B1146" s="30"/>
      <c r="C1146" s="30"/>
      <c r="D1146" s="30"/>
      <c r="E1146" s="30"/>
      <c r="F1146" s="30"/>
      <c r="G1146" s="30"/>
    </row>
    <row r="1147">
      <c r="A1147" s="30"/>
      <c r="B1147" s="30"/>
      <c r="C1147" s="30"/>
      <c r="D1147" s="30"/>
      <c r="E1147" s="30"/>
      <c r="F1147" s="30"/>
      <c r="G1147" s="30"/>
    </row>
    <row r="1148">
      <c r="A1148" s="30"/>
      <c r="B1148" s="30"/>
      <c r="C1148" s="30"/>
      <c r="D1148" s="30"/>
      <c r="E1148" s="30"/>
      <c r="F1148" s="30"/>
      <c r="G1148" s="30"/>
    </row>
    <row r="1149">
      <c r="A1149" s="30"/>
      <c r="B1149" s="30"/>
      <c r="C1149" s="30"/>
      <c r="D1149" s="30"/>
      <c r="E1149" s="30"/>
      <c r="F1149" s="30"/>
      <c r="G1149" s="30"/>
    </row>
    <row r="1150">
      <c r="A1150" s="30"/>
      <c r="B1150" s="30"/>
      <c r="C1150" s="30"/>
      <c r="D1150" s="30"/>
      <c r="E1150" s="30"/>
      <c r="F1150" s="30"/>
      <c r="G1150" s="30"/>
    </row>
    <row r="1151">
      <c r="A1151" s="30"/>
      <c r="B1151" s="30"/>
      <c r="C1151" s="30"/>
      <c r="D1151" s="30"/>
      <c r="E1151" s="30"/>
      <c r="F1151" s="30"/>
      <c r="G1151" s="30"/>
    </row>
    <row r="1152">
      <c r="A1152" s="30"/>
      <c r="B1152" s="30"/>
      <c r="C1152" s="30"/>
      <c r="D1152" s="30"/>
      <c r="E1152" s="30"/>
      <c r="F1152" s="30"/>
      <c r="G1152" s="30"/>
    </row>
    <row r="1153">
      <c r="A1153" s="30"/>
      <c r="B1153" s="30"/>
      <c r="C1153" s="30"/>
      <c r="D1153" s="30"/>
      <c r="E1153" s="30"/>
      <c r="F1153" s="30"/>
      <c r="G1153" s="30"/>
    </row>
    <row r="1154">
      <c r="A1154" s="30"/>
      <c r="B1154" s="30"/>
      <c r="C1154" s="30"/>
      <c r="D1154" s="30"/>
      <c r="E1154" s="30"/>
      <c r="F1154" s="30"/>
      <c r="G1154" s="30"/>
    </row>
    <row r="1155">
      <c r="A1155" s="30"/>
      <c r="B1155" s="30"/>
      <c r="C1155" s="30"/>
      <c r="D1155" s="30"/>
      <c r="E1155" s="30"/>
      <c r="F1155" s="30"/>
      <c r="G1155" s="30"/>
    </row>
    <row r="1156">
      <c r="A1156" s="30"/>
      <c r="B1156" s="30"/>
      <c r="C1156" s="30"/>
      <c r="D1156" s="30"/>
      <c r="E1156" s="30"/>
      <c r="F1156" s="30"/>
      <c r="G1156" s="30"/>
    </row>
    <row r="1157">
      <c r="A1157" s="30"/>
      <c r="B1157" s="30"/>
      <c r="C1157" s="30"/>
      <c r="D1157" s="30"/>
      <c r="E1157" s="30"/>
      <c r="F1157" s="30"/>
      <c r="G1157" s="30"/>
    </row>
    <row r="1158">
      <c r="A1158" s="30"/>
      <c r="B1158" s="30"/>
      <c r="C1158" s="30"/>
      <c r="D1158" s="30"/>
      <c r="E1158" s="30"/>
      <c r="F1158" s="30"/>
      <c r="G1158" s="30"/>
    </row>
    <row r="1159">
      <c r="A1159" s="30"/>
      <c r="B1159" s="30"/>
      <c r="C1159" s="30"/>
      <c r="D1159" s="30"/>
      <c r="E1159" s="30"/>
      <c r="F1159" s="30"/>
      <c r="G1159" s="30"/>
    </row>
    <row r="1160">
      <c r="A1160" s="30"/>
      <c r="B1160" s="30"/>
      <c r="C1160" s="30"/>
      <c r="D1160" s="30"/>
      <c r="E1160" s="30"/>
      <c r="F1160" s="30"/>
      <c r="G1160" s="30"/>
    </row>
    <row r="1161">
      <c r="A1161" s="30"/>
      <c r="B1161" s="30"/>
      <c r="C1161" s="30"/>
      <c r="D1161" s="30"/>
      <c r="E1161" s="30"/>
      <c r="F1161" s="30"/>
      <c r="G1161" s="30"/>
    </row>
    <row r="1162">
      <c r="A1162" s="30"/>
      <c r="B1162" s="30"/>
      <c r="C1162" s="30"/>
      <c r="D1162" s="30"/>
      <c r="E1162" s="30"/>
      <c r="F1162" s="30"/>
      <c r="G1162" s="30"/>
    </row>
    <row r="1163">
      <c r="A1163" s="30"/>
      <c r="B1163" s="30"/>
      <c r="C1163" s="30"/>
      <c r="D1163" s="30"/>
      <c r="E1163" s="30"/>
      <c r="F1163" s="30"/>
      <c r="G1163" s="30"/>
    </row>
    <row r="1164">
      <c r="A1164" s="30"/>
      <c r="B1164" s="30"/>
      <c r="C1164" s="30"/>
      <c r="D1164" s="30"/>
      <c r="E1164" s="30"/>
      <c r="F1164" s="30"/>
      <c r="G1164" s="30"/>
    </row>
    <row r="1165">
      <c r="A1165" s="30"/>
      <c r="B1165" s="30"/>
      <c r="C1165" s="30"/>
      <c r="D1165" s="30"/>
      <c r="E1165" s="30"/>
      <c r="F1165" s="30"/>
      <c r="G1165" s="30"/>
    </row>
    <row r="1166">
      <c r="A1166" s="30"/>
      <c r="B1166" s="30"/>
      <c r="C1166" s="30"/>
      <c r="D1166" s="30"/>
      <c r="E1166" s="30"/>
      <c r="F1166" s="30"/>
      <c r="G1166" s="30"/>
    </row>
    <row r="1167">
      <c r="A1167" s="30"/>
      <c r="B1167" s="30"/>
      <c r="C1167" s="30"/>
      <c r="D1167" s="30"/>
      <c r="E1167" s="30"/>
      <c r="F1167" s="30"/>
      <c r="G1167" s="30"/>
    </row>
    <row r="1168">
      <c r="A1168" s="30"/>
      <c r="B1168" s="30"/>
      <c r="C1168" s="30"/>
      <c r="D1168" s="30"/>
      <c r="E1168" s="30"/>
      <c r="F1168" s="30"/>
      <c r="G1168" s="30"/>
    </row>
    <row r="1169">
      <c r="A1169" s="30"/>
      <c r="B1169" s="30"/>
      <c r="C1169" s="30"/>
      <c r="D1169" s="30"/>
      <c r="E1169" s="30"/>
      <c r="F1169" s="30"/>
      <c r="G1169" s="30"/>
    </row>
    <row r="1170">
      <c r="A1170" s="30"/>
      <c r="B1170" s="30"/>
      <c r="C1170" s="30"/>
      <c r="D1170" s="30"/>
      <c r="E1170" s="30"/>
      <c r="F1170" s="30"/>
      <c r="G1170" s="30"/>
    </row>
    <row r="1171">
      <c r="A1171" s="30"/>
      <c r="B1171" s="30"/>
      <c r="C1171" s="30"/>
      <c r="D1171" s="30"/>
      <c r="E1171" s="30"/>
      <c r="F1171" s="30"/>
      <c r="G1171" s="30"/>
    </row>
    <row r="1172">
      <c r="A1172" s="30"/>
      <c r="B1172" s="30"/>
      <c r="C1172" s="30"/>
      <c r="D1172" s="30"/>
      <c r="E1172" s="30"/>
      <c r="F1172" s="30"/>
      <c r="G1172" s="30"/>
    </row>
    <row r="1173">
      <c r="A1173" s="30"/>
      <c r="B1173" s="30"/>
      <c r="C1173" s="30"/>
      <c r="D1173" s="30"/>
      <c r="E1173" s="30"/>
      <c r="F1173" s="30"/>
      <c r="G1173" s="30"/>
    </row>
    <row r="1174">
      <c r="A1174" s="30"/>
      <c r="B1174" s="30"/>
      <c r="C1174" s="30"/>
      <c r="D1174" s="30"/>
      <c r="E1174" s="30"/>
      <c r="F1174" s="30"/>
      <c r="G1174" s="30"/>
    </row>
    <row r="1175">
      <c r="A1175" s="30"/>
      <c r="B1175" s="30"/>
      <c r="C1175" s="30"/>
      <c r="D1175" s="30"/>
      <c r="E1175" s="30"/>
      <c r="F1175" s="30"/>
      <c r="G1175" s="30"/>
    </row>
    <row r="1176">
      <c r="A1176" s="30"/>
      <c r="B1176" s="30"/>
      <c r="C1176" s="30"/>
      <c r="D1176" s="30"/>
      <c r="E1176" s="30"/>
      <c r="F1176" s="30"/>
      <c r="G1176" s="30"/>
    </row>
    <row r="1177">
      <c r="A1177" s="30"/>
      <c r="B1177" s="30"/>
      <c r="C1177" s="30"/>
      <c r="D1177" s="30"/>
      <c r="E1177" s="30"/>
      <c r="F1177" s="30"/>
      <c r="G1177" s="30"/>
    </row>
    <row r="1178">
      <c r="A1178" s="30"/>
      <c r="B1178" s="30"/>
      <c r="C1178" s="30"/>
      <c r="D1178" s="30"/>
      <c r="E1178" s="30"/>
      <c r="F1178" s="30"/>
      <c r="G1178" s="30"/>
    </row>
    <row r="1179">
      <c r="A1179" s="30"/>
      <c r="B1179" s="30"/>
      <c r="C1179" s="30"/>
      <c r="D1179" s="30"/>
      <c r="E1179" s="30"/>
      <c r="F1179" s="30"/>
      <c r="G1179" s="30"/>
    </row>
    <row r="1180">
      <c r="A1180" s="30"/>
      <c r="B1180" s="30"/>
      <c r="C1180" s="30"/>
      <c r="D1180" s="30"/>
      <c r="E1180" s="30"/>
      <c r="F1180" s="30"/>
      <c r="G1180" s="30"/>
    </row>
    <row r="1181">
      <c r="A1181" s="30"/>
      <c r="B1181" s="30"/>
      <c r="C1181" s="30"/>
      <c r="D1181" s="30"/>
      <c r="E1181" s="30"/>
      <c r="F1181" s="30"/>
      <c r="G1181" s="30"/>
    </row>
    <row r="1182">
      <c r="A1182" s="30"/>
      <c r="B1182" s="30"/>
      <c r="C1182" s="30"/>
      <c r="D1182" s="30"/>
      <c r="E1182" s="30"/>
      <c r="F1182" s="30"/>
      <c r="G1182" s="30"/>
    </row>
    <row r="1183">
      <c r="A1183" s="30"/>
      <c r="B1183" s="30"/>
      <c r="C1183" s="30"/>
      <c r="D1183" s="30"/>
      <c r="E1183" s="30"/>
      <c r="F1183" s="30"/>
      <c r="G1183" s="30"/>
    </row>
    <row r="1184">
      <c r="A1184" s="30"/>
      <c r="B1184" s="30"/>
      <c r="C1184" s="30"/>
      <c r="D1184" s="30"/>
      <c r="E1184" s="30"/>
      <c r="F1184" s="30"/>
      <c r="G1184" s="30"/>
    </row>
    <row r="1185">
      <c r="A1185" s="30"/>
      <c r="B1185" s="30"/>
      <c r="C1185" s="30"/>
      <c r="D1185" s="30"/>
      <c r="E1185" s="30"/>
      <c r="F1185" s="30"/>
      <c r="G1185" s="30"/>
    </row>
    <row r="1186">
      <c r="A1186" s="30"/>
      <c r="B1186" s="30"/>
      <c r="C1186" s="30"/>
      <c r="D1186" s="30"/>
      <c r="E1186" s="30"/>
      <c r="F1186" s="30"/>
      <c r="G1186" s="30"/>
    </row>
    <row r="1187">
      <c r="A1187" s="30"/>
      <c r="B1187" s="30"/>
      <c r="C1187" s="30"/>
      <c r="D1187" s="30"/>
      <c r="E1187" s="30"/>
      <c r="F1187" s="30"/>
      <c r="G1187" s="30"/>
    </row>
    <row r="1188">
      <c r="A1188" s="30"/>
      <c r="B1188" s="30"/>
      <c r="C1188" s="30"/>
      <c r="D1188" s="30"/>
      <c r="E1188" s="30"/>
      <c r="F1188" s="30"/>
      <c r="G1188" s="30"/>
    </row>
    <row r="1189">
      <c r="A1189" s="30"/>
      <c r="B1189" s="30"/>
      <c r="C1189" s="30"/>
      <c r="D1189" s="30"/>
      <c r="E1189" s="30"/>
      <c r="F1189" s="30"/>
      <c r="G1189" s="30"/>
    </row>
    <row r="1190">
      <c r="A1190" s="30"/>
      <c r="B1190" s="30"/>
      <c r="C1190" s="30"/>
      <c r="D1190" s="30"/>
      <c r="E1190" s="30"/>
      <c r="F1190" s="30"/>
      <c r="G1190" s="30"/>
    </row>
    <row r="1191">
      <c r="A1191" s="30"/>
      <c r="B1191" s="30"/>
      <c r="C1191" s="30"/>
      <c r="D1191" s="30"/>
      <c r="E1191" s="30"/>
      <c r="F1191" s="30"/>
      <c r="G1191" s="30"/>
    </row>
    <row r="1192">
      <c r="A1192" s="30"/>
      <c r="B1192" s="30"/>
      <c r="C1192" s="30"/>
      <c r="D1192" s="30"/>
      <c r="E1192" s="30"/>
      <c r="F1192" s="30"/>
      <c r="G1192" s="30"/>
    </row>
    <row r="1193">
      <c r="A1193" s="30"/>
      <c r="B1193" s="30"/>
      <c r="C1193" s="30"/>
      <c r="D1193" s="30"/>
      <c r="E1193" s="30"/>
      <c r="F1193" s="30"/>
      <c r="G1193" s="30"/>
    </row>
    <row r="1194">
      <c r="A1194" s="30"/>
      <c r="B1194" s="30"/>
      <c r="C1194" s="30"/>
      <c r="D1194" s="30"/>
      <c r="E1194" s="30"/>
      <c r="F1194" s="30"/>
      <c r="G1194" s="30"/>
    </row>
    <row r="1195">
      <c r="A1195" s="30"/>
      <c r="B1195" s="30"/>
      <c r="C1195" s="30"/>
      <c r="D1195" s="30"/>
      <c r="E1195" s="30"/>
      <c r="F1195" s="30"/>
      <c r="G1195" s="30"/>
    </row>
    <row r="1196">
      <c r="A1196" s="30"/>
      <c r="B1196" s="30"/>
      <c r="C1196" s="30"/>
      <c r="D1196" s="30"/>
      <c r="E1196" s="30"/>
      <c r="F1196" s="30"/>
      <c r="G1196" s="30"/>
    </row>
    <row r="1197">
      <c r="A1197" s="30"/>
      <c r="B1197" s="30"/>
      <c r="C1197" s="30"/>
      <c r="D1197" s="30"/>
      <c r="E1197" s="30"/>
      <c r="F1197" s="30"/>
      <c r="G1197" s="30"/>
    </row>
    <row r="1198">
      <c r="A1198" s="30"/>
      <c r="B1198" s="30"/>
      <c r="C1198" s="30"/>
      <c r="D1198" s="30"/>
      <c r="E1198" s="30"/>
      <c r="F1198" s="30"/>
      <c r="G1198" s="30"/>
    </row>
    <row r="1199">
      <c r="A1199" s="30"/>
      <c r="B1199" s="30"/>
      <c r="C1199" s="30"/>
      <c r="D1199" s="30"/>
      <c r="E1199" s="30"/>
      <c r="F1199" s="30"/>
      <c r="G1199" s="30"/>
    </row>
    <row r="1200">
      <c r="A1200" s="30"/>
      <c r="B1200" s="30"/>
      <c r="C1200" s="30"/>
      <c r="D1200" s="30"/>
      <c r="E1200" s="30"/>
      <c r="F1200" s="30"/>
      <c r="G1200" s="30"/>
    </row>
    <row r="1201">
      <c r="A1201" s="30"/>
      <c r="B1201" s="30"/>
      <c r="C1201" s="30"/>
      <c r="D1201" s="30"/>
      <c r="E1201" s="30"/>
      <c r="F1201" s="30"/>
      <c r="G1201" s="30"/>
    </row>
    <row r="1202">
      <c r="A1202" s="30"/>
      <c r="B1202" s="30"/>
      <c r="C1202" s="30"/>
      <c r="D1202" s="30"/>
      <c r="E1202" s="30"/>
      <c r="F1202" s="30"/>
      <c r="G1202" s="30"/>
    </row>
    <row r="1203">
      <c r="A1203" s="30"/>
      <c r="B1203" s="30"/>
      <c r="C1203" s="30"/>
      <c r="D1203" s="30"/>
      <c r="E1203" s="30"/>
      <c r="F1203" s="30"/>
      <c r="G1203" s="30"/>
    </row>
    <row r="1204">
      <c r="A1204" s="30"/>
      <c r="B1204" s="30"/>
      <c r="C1204" s="30"/>
      <c r="D1204" s="30"/>
      <c r="E1204" s="30"/>
      <c r="F1204" s="30"/>
      <c r="G1204" s="30"/>
    </row>
    <row r="1205">
      <c r="A1205" s="30"/>
      <c r="B1205" s="30"/>
      <c r="C1205" s="30"/>
      <c r="D1205" s="30"/>
      <c r="E1205" s="30"/>
      <c r="F1205" s="30"/>
      <c r="G1205" s="30"/>
    </row>
    <row r="1206">
      <c r="A1206" s="30"/>
      <c r="B1206" s="30"/>
      <c r="C1206" s="30"/>
      <c r="D1206" s="30"/>
      <c r="E1206" s="30"/>
      <c r="F1206" s="30"/>
      <c r="G1206" s="30"/>
    </row>
    <row r="1207">
      <c r="A1207" s="30"/>
      <c r="B1207" s="30"/>
      <c r="C1207" s="30"/>
      <c r="D1207" s="30"/>
      <c r="E1207" s="30"/>
      <c r="F1207" s="30"/>
      <c r="G1207" s="30"/>
    </row>
    <row r="1208">
      <c r="A1208" s="30"/>
      <c r="B1208" s="30"/>
      <c r="C1208" s="30"/>
      <c r="D1208" s="30"/>
      <c r="E1208" s="30"/>
      <c r="F1208" s="30"/>
      <c r="G1208" s="30"/>
    </row>
    <row r="1209">
      <c r="A1209" s="30"/>
      <c r="B1209" s="30"/>
      <c r="C1209" s="30"/>
      <c r="D1209" s="30"/>
      <c r="E1209" s="30"/>
      <c r="F1209" s="30"/>
      <c r="G1209" s="30"/>
    </row>
    <row r="1210">
      <c r="A1210" s="30"/>
      <c r="B1210" s="30"/>
      <c r="C1210" s="30"/>
      <c r="D1210" s="30"/>
      <c r="E1210" s="30"/>
      <c r="F1210" s="30"/>
      <c r="G1210" s="30"/>
    </row>
    <row r="1211">
      <c r="A1211" s="30"/>
      <c r="B1211" s="30"/>
      <c r="C1211" s="30"/>
      <c r="D1211" s="30"/>
      <c r="E1211" s="30"/>
      <c r="F1211" s="30"/>
      <c r="G1211" s="30"/>
    </row>
    <row r="1212">
      <c r="A1212" s="30"/>
      <c r="B1212" s="30"/>
      <c r="C1212" s="30"/>
      <c r="D1212" s="30"/>
      <c r="E1212" s="30"/>
      <c r="F1212" s="30"/>
      <c r="G1212" s="30"/>
    </row>
    <row r="1213">
      <c r="A1213" s="30"/>
      <c r="B1213" s="30"/>
      <c r="C1213" s="30"/>
      <c r="D1213" s="30"/>
      <c r="E1213" s="30"/>
      <c r="F1213" s="30"/>
      <c r="G1213" s="30"/>
    </row>
    <row r="1214">
      <c r="A1214" s="30"/>
      <c r="B1214" s="30"/>
      <c r="C1214" s="30"/>
      <c r="D1214" s="30"/>
      <c r="E1214" s="30"/>
      <c r="F1214" s="30"/>
      <c r="G1214" s="30"/>
    </row>
    <row r="1215">
      <c r="A1215" s="30"/>
      <c r="B1215" s="30"/>
      <c r="C1215" s="30"/>
      <c r="D1215" s="30"/>
      <c r="E1215" s="30"/>
      <c r="F1215" s="30"/>
      <c r="G1215" s="30"/>
    </row>
    <row r="1216">
      <c r="A1216" s="30"/>
      <c r="B1216" s="30"/>
      <c r="C1216" s="30"/>
      <c r="D1216" s="30"/>
      <c r="E1216" s="30"/>
      <c r="F1216" s="30"/>
      <c r="G1216" s="30"/>
    </row>
    <row r="1217">
      <c r="A1217" s="30"/>
      <c r="B1217" s="30"/>
      <c r="C1217" s="30"/>
      <c r="D1217" s="30"/>
      <c r="E1217" s="30"/>
      <c r="F1217" s="30"/>
      <c r="G1217" s="30"/>
    </row>
    <row r="1218">
      <c r="A1218" s="30"/>
      <c r="B1218" s="30"/>
      <c r="C1218" s="30"/>
      <c r="D1218" s="30"/>
      <c r="E1218" s="30"/>
      <c r="F1218" s="30"/>
      <c r="G1218" s="30"/>
    </row>
    <row r="1219">
      <c r="A1219" s="30"/>
      <c r="B1219" s="30"/>
      <c r="C1219" s="30"/>
      <c r="D1219" s="30"/>
      <c r="E1219" s="30"/>
      <c r="F1219" s="30"/>
      <c r="G1219" s="30"/>
    </row>
    <row r="1220">
      <c r="A1220" s="30"/>
      <c r="B1220" s="30"/>
      <c r="C1220" s="30"/>
      <c r="D1220" s="30"/>
      <c r="E1220" s="30"/>
      <c r="F1220" s="30"/>
      <c r="G1220" s="30"/>
    </row>
    <row r="1221">
      <c r="A1221" s="30"/>
      <c r="B1221" s="30"/>
      <c r="C1221" s="30"/>
      <c r="D1221" s="30"/>
      <c r="E1221" s="30"/>
      <c r="F1221" s="30"/>
      <c r="G1221" s="30"/>
    </row>
    <row r="1222">
      <c r="A1222" s="30"/>
      <c r="B1222" s="30"/>
      <c r="C1222" s="30"/>
      <c r="D1222" s="30"/>
      <c r="E1222" s="30"/>
      <c r="F1222" s="30"/>
      <c r="G1222" s="30"/>
    </row>
    <row r="1223">
      <c r="A1223" s="30"/>
      <c r="B1223" s="30"/>
      <c r="C1223" s="30"/>
      <c r="D1223" s="30"/>
      <c r="E1223" s="30"/>
      <c r="F1223" s="30"/>
      <c r="G1223" s="30"/>
    </row>
    <row r="1224">
      <c r="A1224" s="30"/>
      <c r="B1224" s="30"/>
      <c r="C1224" s="30"/>
      <c r="D1224" s="30"/>
      <c r="E1224" s="30"/>
      <c r="F1224" s="30"/>
      <c r="G1224" s="30"/>
    </row>
    <row r="1225">
      <c r="A1225" s="30"/>
      <c r="B1225" s="30"/>
      <c r="C1225" s="30"/>
      <c r="D1225" s="30"/>
      <c r="E1225" s="30"/>
      <c r="F1225" s="30"/>
      <c r="G1225" s="30"/>
    </row>
    <row r="1226">
      <c r="A1226" s="30"/>
      <c r="B1226" s="30"/>
      <c r="C1226" s="30"/>
      <c r="D1226" s="30"/>
      <c r="E1226" s="30"/>
      <c r="F1226" s="30"/>
      <c r="G1226" s="30"/>
    </row>
    <row r="1227">
      <c r="A1227" s="30"/>
      <c r="B1227" s="30"/>
      <c r="C1227" s="30"/>
      <c r="D1227" s="30"/>
      <c r="E1227" s="30"/>
      <c r="F1227" s="30"/>
      <c r="G1227" s="30"/>
    </row>
    <row r="1228">
      <c r="A1228" s="30"/>
      <c r="B1228" s="30"/>
      <c r="C1228" s="30"/>
      <c r="D1228" s="30"/>
      <c r="E1228" s="30"/>
      <c r="F1228" s="30"/>
      <c r="G1228" s="30"/>
    </row>
    <row r="1229">
      <c r="A1229" s="30"/>
      <c r="B1229" s="30"/>
      <c r="C1229" s="30"/>
      <c r="D1229" s="30"/>
      <c r="E1229" s="30"/>
      <c r="F1229" s="30"/>
      <c r="G1229" s="30"/>
    </row>
    <row r="1230">
      <c r="A1230" s="30"/>
      <c r="B1230" s="30"/>
      <c r="C1230" s="30"/>
      <c r="D1230" s="30"/>
      <c r="E1230" s="30"/>
      <c r="F1230" s="30"/>
      <c r="G1230" s="30"/>
    </row>
    <row r="1231">
      <c r="A1231" s="30"/>
      <c r="B1231" s="30"/>
      <c r="C1231" s="30"/>
      <c r="D1231" s="30"/>
      <c r="E1231" s="30"/>
      <c r="F1231" s="30"/>
      <c r="G1231" s="30"/>
    </row>
    <row r="1232">
      <c r="A1232" s="30"/>
      <c r="B1232" s="30"/>
      <c r="C1232" s="30"/>
      <c r="D1232" s="30"/>
      <c r="E1232" s="30"/>
      <c r="F1232" s="30"/>
      <c r="G1232" s="30"/>
    </row>
    <row r="1233">
      <c r="A1233" s="30"/>
      <c r="B1233" s="30"/>
      <c r="C1233" s="30"/>
      <c r="D1233" s="30"/>
      <c r="E1233" s="30"/>
      <c r="F1233" s="30"/>
      <c r="G1233" s="30"/>
    </row>
    <row r="1234">
      <c r="A1234" s="30"/>
      <c r="B1234" s="30"/>
      <c r="C1234" s="30"/>
      <c r="D1234" s="30"/>
      <c r="E1234" s="30"/>
      <c r="F1234" s="30"/>
      <c r="G1234" s="30"/>
    </row>
    <row r="1235">
      <c r="A1235" s="30"/>
      <c r="B1235" s="30"/>
      <c r="C1235" s="30"/>
      <c r="D1235" s="30"/>
      <c r="E1235" s="30"/>
      <c r="F1235" s="30"/>
      <c r="G1235" s="30"/>
    </row>
    <row r="1236">
      <c r="A1236" s="30"/>
      <c r="B1236" s="30"/>
      <c r="C1236" s="30"/>
      <c r="D1236" s="30"/>
      <c r="E1236" s="30"/>
      <c r="F1236" s="30"/>
      <c r="G1236" s="30"/>
    </row>
    <row r="1237">
      <c r="A1237" s="30"/>
      <c r="B1237" s="30"/>
      <c r="C1237" s="30"/>
      <c r="D1237" s="30"/>
      <c r="E1237" s="30"/>
      <c r="F1237" s="30"/>
      <c r="G1237" s="30"/>
    </row>
    <row r="1238">
      <c r="A1238" s="30"/>
      <c r="B1238" s="30"/>
      <c r="C1238" s="30"/>
      <c r="D1238" s="30"/>
      <c r="E1238" s="30"/>
      <c r="F1238" s="30"/>
      <c r="G1238" s="30"/>
    </row>
    <row r="1239">
      <c r="A1239" s="30"/>
      <c r="B1239" s="30"/>
      <c r="C1239" s="30"/>
      <c r="D1239" s="30"/>
      <c r="E1239" s="30"/>
      <c r="F1239" s="30"/>
      <c r="G1239" s="30"/>
    </row>
    <row r="1240">
      <c r="A1240" s="30"/>
      <c r="B1240" s="30"/>
      <c r="C1240" s="30"/>
      <c r="D1240" s="30"/>
      <c r="E1240" s="30"/>
      <c r="F1240" s="30"/>
      <c r="G1240" s="30"/>
    </row>
    <row r="1241">
      <c r="A1241" s="30"/>
      <c r="B1241" s="30"/>
      <c r="C1241" s="30"/>
      <c r="D1241" s="30"/>
      <c r="E1241" s="30"/>
      <c r="F1241" s="30"/>
      <c r="G1241" s="30"/>
    </row>
    <row r="1242">
      <c r="A1242" s="30"/>
      <c r="B1242" s="30"/>
      <c r="C1242" s="30"/>
      <c r="D1242" s="30"/>
      <c r="E1242" s="30"/>
      <c r="F1242" s="30"/>
      <c r="G1242" s="30"/>
    </row>
    <row r="1243">
      <c r="A1243" s="30"/>
      <c r="B1243" s="30"/>
      <c r="C1243" s="30"/>
      <c r="D1243" s="30"/>
      <c r="E1243" s="30"/>
      <c r="F1243" s="30"/>
      <c r="G1243" s="30"/>
    </row>
    <row r="1244">
      <c r="A1244" s="30"/>
      <c r="B1244" s="30"/>
      <c r="C1244" s="30"/>
      <c r="D1244" s="30"/>
      <c r="E1244" s="30"/>
      <c r="F1244" s="30"/>
      <c r="G1244" s="30"/>
    </row>
    <row r="1245">
      <c r="A1245" s="30"/>
      <c r="B1245" s="30"/>
      <c r="C1245" s="30"/>
      <c r="D1245" s="30"/>
      <c r="E1245" s="30"/>
      <c r="F1245" s="30"/>
      <c r="G1245" s="30"/>
    </row>
    <row r="1246">
      <c r="A1246" s="30"/>
      <c r="B1246" s="30"/>
      <c r="C1246" s="30"/>
      <c r="D1246" s="30"/>
      <c r="E1246" s="30"/>
      <c r="F1246" s="30"/>
      <c r="G1246" s="30"/>
    </row>
    <row r="1247">
      <c r="A1247" s="30"/>
      <c r="B1247" s="30"/>
      <c r="C1247" s="30"/>
      <c r="D1247" s="30"/>
      <c r="E1247" s="30"/>
      <c r="F1247" s="30"/>
      <c r="G1247" s="30"/>
    </row>
    <row r="1248">
      <c r="A1248" s="30"/>
      <c r="B1248" s="30"/>
      <c r="C1248" s="30"/>
      <c r="D1248" s="30"/>
      <c r="E1248" s="30"/>
      <c r="F1248" s="30"/>
      <c r="G1248" s="30"/>
    </row>
    <row r="1249">
      <c r="A1249" s="30"/>
      <c r="B1249" s="30"/>
      <c r="C1249" s="30"/>
      <c r="D1249" s="30"/>
      <c r="E1249" s="30"/>
      <c r="F1249" s="30"/>
      <c r="G1249" s="30"/>
    </row>
    <row r="1250">
      <c r="A1250" s="30"/>
      <c r="B1250" s="30"/>
      <c r="C1250" s="30"/>
      <c r="D1250" s="30"/>
      <c r="E1250" s="30"/>
      <c r="F1250" s="30"/>
      <c r="G1250" s="30"/>
    </row>
    <row r="1251">
      <c r="A1251" s="30"/>
      <c r="B1251" s="30"/>
      <c r="C1251" s="30"/>
      <c r="D1251" s="30"/>
      <c r="E1251" s="30"/>
      <c r="F1251" s="30"/>
      <c r="G1251" s="30"/>
    </row>
    <row r="1252">
      <c r="A1252" s="30"/>
      <c r="B1252" s="30"/>
      <c r="C1252" s="30"/>
      <c r="D1252" s="30"/>
      <c r="E1252" s="30"/>
      <c r="F1252" s="30"/>
      <c r="G1252" s="30"/>
    </row>
    <row r="1253">
      <c r="A1253" s="30"/>
      <c r="B1253" s="30"/>
      <c r="C1253" s="30"/>
      <c r="D1253" s="30"/>
      <c r="E1253" s="30"/>
      <c r="F1253" s="30"/>
      <c r="G1253" s="30"/>
    </row>
    <row r="1254">
      <c r="A1254" s="30"/>
      <c r="B1254" s="30"/>
      <c r="C1254" s="30"/>
      <c r="D1254" s="30"/>
      <c r="E1254" s="30"/>
      <c r="F1254" s="30"/>
      <c r="G1254" s="30"/>
    </row>
    <row r="1255">
      <c r="A1255" s="30"/>
      <c r="B1255" s="30"/>
      <c r="C1255" s="30"/>
      <c r="D1255" s="30"/>
      <c r="E1255" s="30"/>
      <c r="F1255" s="30"/>
      <c r="G1255" s="30"/>
    </row>
    <row r="1256">
      <c r="A1256" s="30"/>
      <c r="B1256" s="30"/>
      <c r="C1256" s="30"/>
      <c r="D1256" s="30"/>
      <c r="E1256" s="30"/>
      <c r="F1256" s="30"/>
      <c r="G1256" s="30"/>
    </row>
    <row r="1257">
      <c r="A1257" s="30"/>
      <c r="B1257" s="30"/>
      <c r="C1257" s="30"/>
      <c r="D1257" s="30"/>
      <c r="E1257" s="30"/>
      <c r="F1257" s="30"/>
      <c r="G1257" s="30"/>
    </row>
    <row r="1258">
      <c r="A1258" s="30"/>
      <c r="B1258" s="30"/>
      <c r="C1258" s="30"/>
      <c r="D1258" s="30"/>
      <c r="E1258" s="30"/>
      <c r="F1258" s="30"/>
      <c r="G1258" s="30"/>
    </row>
    <row r="1259">
      <c r="A1259" s="30"/>
      <c r="B1259" s="30"/>
      <c r="C1259" s="30"/>
      <c r="D1259" s="30"/>
      <c r="E1259" s="30"/>
      <c r="F1259" s="30"/>
      <c r="G1259" s="30"/>
    </row>
    <row r="1260">
      <c r="A1260" s="30"/>
      <c r="B1260" s="30"/>
      <c r="C1260" s="30"/>
      <c r="D1260" s="30"/>
      <c r="E1260" s="30"/>
      <c r="F1260" s="30"/>
      <c r="G1260" s="30"/>
    </row>
    <row r="1261">
      <c r="A1261" s="30"/>
      <c r="B1261" s="30"/>
      <c r="C1261" s="30"/>
      <c r="D1261" s="30"/>
      <c r="E1261" s="30"/>
      <c r="F1261" s="30"/>
      <c r="G1261" s="30"/>
    </row>
    <row r="1262">
      <c r="A1262" s="30"/>
      <c r="B1262" s="30"/>
      <c r="C1262" s="30"/>
      <c r="D1262" s="30"/>
      <c r="E1262" s="30"/>
      <c r="F1262" s="30"/>
      <c r="G1262" s="30"/>
    </row>
    <row r="1263">
      <c r="A1263" s="30"/>
      <c r="B1263" s="30"/>
      <c r="C1263" s="30"/>
      <c r="D1263" s="30"/>
      <c r="E1263" s="30"/>
      <c r="F1263" s="30"/>
      <c r="G1263" s="30"/>
    </row>
    <row r="1264">
      <c r="A1264" s="30"/>
      <c r="B1264" s="30"/>
      <c r="C1264" s="30"/>
      <c r="D1264" s="30"/>
      <c r="E1264" s="30"/>
      <c r="F1264" s="30"/>
      <c r="G1264" s="30"/>
    </row>
    <row r="1265">
      <c r="A1265" s="30"/>
      <c r="B1265" s="30"/>
      <c r="C1265" s="30"/>
      <c r="D1265" s="30"/>
      <c r="E1265" s="30"/>
      <c r="F1265" s="30"/>
      <c r="G1265" s="30"/>
    </row>
    <row r="1266">
      <c r="A1266" s="30"/>
      <c r="B1266" s="30"/>
      <c r="C1266" s="30"/>
      <c r="D1266" s="30"/>
      <c r="E1266" s="30"/>
      <c r="F1266" s="30"/>
      <c r="G1266" s="30"/>
    </row>
    <row r="1267">
      <c r="A1267" s="30"/>
      <c r="B1267" s="30"/>
      <c r="C1267" s="30"/>
      <c r="D1267" s="30"/>
      <c r="E1267" s="30"/>
      <c r="F1267" s="30"/>
      <c r="G1267" s="30"/>
    </row>
    <row r="1268">
      <c r="A1268" s="30"/>
      <c r="B1268" s="30"/>
      <c r="C1268" s="30"/>
      <c r="D1268" s="30"/>
      <c r="E1268" s="30"/>
      <c r="F1268" s="30"/>
      <c r="G1268" s="30"/>
    </row>
    <row r="1269">
      <c r="A1269" s="30"/>
      <c r="B1269" s="30"/>
      <c r="C1269" s="30"/>
      <c r="D1269" s="30"/>
      <c r="E1269" s="30"/>
      <c r="F1269" s="30"/>
      <c r="G1269" s="30"/>
    </row>
    <row r="1270">
      <c r="A1270" s="30"/>
      <c r="B1270" s="30"/>
      <c r="C1270" s="30"/>
      <c r="D1270" s="30"/>
      <c r="E1270" s="30"/>
      <c r="F1270" s="30"/>
      <c r="G1270" s="30"/>
    </row>
    <row r="1271">
      <c r="A1271" s="30"/>
      <c r="B1271" s="30"/>
      <c r="C1271" s="30"/>
      <c r="D1271" s="30"/>
      <c r="E1271" s="30"/>
      <c r="F1271" s="30"/>
      <c r="G1271" s="30"/>
    </row>
    <row r="1272">
      <c r="A1272" s="30"/>
      <c r="B1272" s="30"/>
      <c r="C1272" s="30"/>
      <c r="D1272" s="30"/>
      <c r="E1272" s="30"/>
      <c r="F1272" s="30"/>
      <c r="G1272" s="30"/>
    </row>
    <row r="1273">
      <c r="A1273" s="30"/>
      <c r="B1273" s="30"/>
      <c r="C1273" s="30"/>
      <c r="D1273" s="30"/>
      <c r="E1273" s="30"/>
      <c r="F1273" s="30"/>
      <c r="G1273" s="30"/>
    </row>
    <row r="1274">
      <c r="A1274" s="30"/>
      <c r="B1274" s="30"/>
      <c r="C1274" s="30"/>
      <c r="D1274" s="30"/>
      <c r="E1274" s="30"/>
      <c r="F1274" s="30"/>
      <c r="G1274" s="30"/>
    </row>
    <row r="1275">
      <c r="A1275" s="30"/>
      <c r="B1275" s="30"/>
      <c r="C1275" s="30"/>
      <c r="D1275" s="30"/>
      <c r="E1275" s="30"/>
      <c r="F1275" s="30"/>
      <c r="G1275" s="30"/>
    </row>
    <row r="1276">
      <c r="A1276" s="30"/>
      <c r="B1276" s="30"/>
      <c r="C1276" s="30"/>
      <c r="D1276" s="30"/>
      <c r="E1276" s="30"/>
      <c r="F1276" s="30"/>
      <c r="G1276" s="30"/>
    </row>
    <row r="1277">
      <c r="A1277" s="30"/>
      <c r="B1277" s="30"/>
      <c r="C1277" s="30"/>
      <c r="D1277" s="30"/>
      <c r="E1277" s="30"/>
      <c r="F1277" s="30"/>
      <c r="G1277" s="30"/>
    </row>
    <row r="1278">
      <c r="A1278" s="30"/>
      <c r="B1278" s="30"/>
      <c r="C1278" s="30"/>
      <c r="D1278" s="30"/>
      <c r="E1278" s="30"/>
      <c r="F1278" s="30"/>
      <c r="G1278" s="30"/>
    </row>
    <row r="1279">
      <c r="A1279" s="30"/>
      <c r="B1279" s="30"/>
      <c r="C1279" s="30"/>
      <c r="D1279" s="30"/>
      <c r="E1279" s="30"/>
      <c r="F1279" s="30"/>
      <c r="G1279" s="30"/>
    </row>
    <row r="1280">
      <c r="A1280" s="30"/>
      <c r="B1280" s="30"/>
      <c r="C1280" s="30"/>
      <c r="D1280" s="30"/>
      <c r="E1280" s="30"/>
      <c r="F1280" s="30"/>
      <c r="G1280" s="30"/>
    </row>
    <row r="1281">
      <c r="A1281" s="30"/>
      <c r="B1281" s="30"/>
      <c r="C1281" s="30"/>
      <c r="D1281" s="30"/>
      <c r="E1281" s="30"/>
      <c r="F1281" s="30"/>
      <c r="G1281" s="30"/>
    </row>
    <row r="1282">
      <c r="A1282" s="30"/>
      <c r="B1282" s="30"/>
      <c r="C1282" s="30"/>
      <c r="D1282" s="30"/>
      <c r="E1282" s="30"/>
      <c r="F1282" s="30"/>
      <c r="G1282" s="30"/>
    </row>
    <row r="1283">
      <c r="A1283" s="30"/>
      <c r="B1283" s="30"/>
      <c r="C1283" s="30"/>
      <c r="D1283" s="30"/>
      <c r="E1283" s="30"/>
      <c r="F1283" s="30"/>
      <c r="G1283" s="30"/>
    </row>
    <row r="1284">
      <c r="A1284" s="30"/>
      <c r="B1284" s="30"/>
      <c r="C1284" s="30"/>
      <c r="D1284" s="30"/>
      <c r="E1284" s="30"/>
      <c r="F1284" s="30"/>
      <c r="G1284" s="30"/>
    </row>
    <row r="1285">
      <c r="A1285" s="30"/>
      <c r="B1285" s="30"/>
      <c r="C1285" s="30"/>
      <c r="D1285" s="30"/>
      <c r="E1285" s="30"/>
      <c r="F1285" s="30"/>
      <c r="G1285" s="30"/>
    </row>
    <row r="1286">
      <c r="A1286" s="30"/>
      <c r="B1286" s="30"/>
      <c r="C1286" s="30"/>
      <c r="D1286" s="30"/>
      <c r="E1286" s="30"/>
      <c r="F1286" s="30"/>
      <c r="G1286" s="30"/>
    </row>
    <row r="1287">
      <c r="A1287" s="30"/>
      <c r="B1287" s="30"/>
      <c r="C1287" s="30"/>
      <c r="D1287" s="30"/>
      <c r="E1287" s="30"/>
      <c r="F1287" s="30"/>
      <c r="G1287" s="30"/>
    </row>
    <row r="1288">
      <c r="A1288" s="30"/>
      <c r="B1288" s="30"/>
      <c r="C1288" s="30"/>
      <c r="D1288" s="30"/>
      <c r="E1288" s="30"/>
      <c r="F1288" s="30"/>
      <c r="G1288" s="30"/>
    </row>
    <row r="1289">
      <c r="A1289" s="30"/>
      <c r="B1289" s="30"/>
      <c r="C1289" s="30"/>
      <c r="D1289" s="30"/>
      <c r="E1289" s="30"/>
      <c r="F1289" s="30"/>
      <c r="G1289" s="30"/>
    </row>
    <row r="1290">
      <c r="A1290" s="30"/>
      <c r="B1290" s="30"/>
      <c r="C1290" s="30"/>
      <c r="D1290" s="30"/>
      <c r="E1290" s="30"/>
      <c r="F1290" s="30"/>
      <c r="G1290" s="30"/>
    </row>
    <row r="1291">
      <c r="A1291" s="30"/>
      <c r="B1291" s="30"/>
      <c r="C1291" s="30"/>
      <c r="D1291" s="30"/>
      <c r="E1291" s="30"/>
      <c r="F1291" s="30"/>
      <c r="G1291" s="30"/>
    </row>
    <row r="1292">
      <c r="A1292" s="30"/>
      <c r="B1292" s="30"/>
      <c r="C1292" s="30"/>
      <c r="D1292" s="30"/>
      <c r="E1292" s="30"/>
      <c r="F1292" s="30"/>
      <c r="G1292" s="30"/>
    </row>
    <row r="1293">
      <c r="A1293" s="30"/>
      <c r="B1293" s="30"/>
      <c r="C1293" s="30"/>
      <c r="D1293" s="30"/>
      <c r="E1293" s="30"/>
      <c r="F1293" s="30"/>
      <c r="G1293" s="30"/>
    </row>
    <row r="1294">
      <c r="A1294" s="30"/>
      <c r="B1294" s="30"/>
      <c r="C1294" s="30"/>
      <c r="D1294" s="30"/>
      <c r="E1294" s="30"/>
      <c r="F1294" s="30"/>
      <c r="G1294" s="30"/>
    </row>
    <row r="1295">
      <c r="A1295" s="30"/>
      <c r="B1295" s="30"/>
      <c r="C1295" s="30"/>
      <c r="D1295" s="30"/>
      <c r="E1295" s="30"/>
      <c r="F1295" s="30"/>
      <c r="G1295" s="30"/>
    </row>
    <row r="1296">
      <c r="A1296" s="30"/>
      <c r="B1296" s="30"/>
      <c r="C1296" s="30"/>
      <c r="D1296" s="30"/>
      <c r="E1296" s="30"/>
      <c r="F1296" s="30"/>
      <c r="G1296" s="30"/>
    </row>
    <row r="1297">
      <c r="A1297" s="30"/>
      <c r="B1297" s="30"/>
      <c r="C1297" s="30"/>
      <c r="D1297" s="30"/>
      <c r="E1297" s="30"/>
      <c r="F1297" s="30"/>
      <c r="G1297" s="30"/>
    </row>
    <row r="1298">
      <c r="A1298" s="30"/>
      <c r="B1298" s="30"/>
      <c r="C1298" s="30"/>
      <c r="D1298" s="30"/>
      <c r="E1298" s="30"/>
      <c r="F1298" s="30"/>
      <c r="G1298" s="30"/>
    </row>
    <row r="1299">
      <c r="A1299" s="30"/>
      <c r="B1299" s="30"/>
      <c r="C1299" s="30"/>
      <c r="D1299" s="30"/>
      <c r="E1299" s="30"/>
      <c r="F1299" s="30"/>
      <c r="G1299" s="30"/>
    </row>
    <row r="1300">
      <c r="A1300" s="30"/>
      <c r="B1300" s="30"/>
      <c r="C1300" s="30"/>
      <c r="D1300" s="30"/>
      <c r="E1300" s="30"/>
      <c r="F1300" s="30"/>
      <c r="G1300" s="30"/>
    </row>
    <row r="1301">
      <c r="A1301" s="30"/>
      <c r="B1301" s="30"/>
      <c r="C1301" s="30"/>
      <c r="D1301" s="30"/>
      <c r="E1301" s="30"/>
      <c r="F1301" s="30"/>
      <c r="G1301" s="30"/>
    </row>
    <row r="1302">
      <c r="A1302" s="30"/>
      <c r="B1302" s="30"/>
      <c r="C1302" s="30"/>
      <c r="D1302" s="30"/>
      <c r="E1302" s="30"/>
      <c r="F1302" s="30"/>
      <c r="G1302" s="30"/>
    </row>
    <row r="1303">
      <c r="A1303" s="30"/>
      <c r="B1303" s="30"/>
      <c r="C1303" s="30"/>
      <c r="D1303" s="30"/>
      <c r="E1303" s="30"/>
      <c r="F1303" s="30"/>
      <c r="G1303" s="30"/>
    </row>
    <row r="1304">
      <c r="A1304" s="30"/>
      <c r="B1304" s="30"/>
      <c r="C1304" s="30"/>
      <c r="D1304" s="30"/>
      <c r="E1304" s="30"/>
      <c r="F1304" s="30"/>
      <c r="G1304" s="30"/>
    </row>
    <row r="1305">
      <c r="A1305" s="30"/>
      <c r="B1305" s="30"/>
      <c r="C1305" s="30"/>
      <c r="D1305" s="30"/>
      <c r="E1305" s="30"/>
      <c r="F1305" s="30"/>
      <c r="G1305" s="30"/>
    </row>
    <row r="1306">
      <c r="A1306" s="30"/>
      <c r="B1306" s="30"/>
      <c r="C1306" s="30"/>
      <c r="D1306" s="30"/>
      <c r="E1306" s="30"/>
      <c r="F1306" s="30"/>
      <c r="G1306" s="30"/>
    </row>
    <row r="1307">
      <c r="A1307" s="30"/>
      <c r="B1307" s="30"/>
      <c r="C1307" s="30"/>
      <c r="D1307" s="30"/>
      <c r="E1307" s="30"/>
      <c r="F1307" s="30"/>
      <c r="G1307" s="30"/>
    </row>
    <row r="1308">
      <c r="A1308" s="30"/>
      <c r="B1308" s="30"/>
      <c r="C1308" s="30"/>
      <c r="D1308" s="30"/>
      <c r="E1308" s="30"/>
      <c r="F1308" s="30"/>
      <c r="G1308" s="30"/>
    </row>
    <row r="1309">
      <c r="A1309" s="30"/>
      <c r="B1309" s="30"/>
      <c r="C1309" s="30"/>
      <c r="D1309" s="30"/>
      <c r="E1309" s="30"/>
      <c r="F1309" s="30"/>
      <c r="G1309" s="30"/>
    </row>
    <row r="1310">
      <c r="A1310" s="30"/>
      <c r="B1310" s="30"/>
      <c r="C1310" s="30"/>
      <c r="D1310" s="30"/>
      <c r="E1310" s="30"/>
      <c r="F1310" s="30"/>
      <c r="G1310" s="30"/>
    </row>
    <row r="1311">
      <c r="A1311" s="30"/>
      <c r="B1311" s="30"/>
      <c r="C1311" s="30"/>
      <c r="D1311" s="30"/>
      <c r="E1311" s="30"/>
      <c r="F1311" s="30"/>
      <c r="G1311" s="30"/>
    </row>
    <row r="1312">
      <c r="A1312" s="30"/>
      <c r="B1312" s="30"/>
      <c r="C1312" s="30"/>
      <c r="D1312" s="30"/>
      <c r="E1312" s="30"/>
      <c r="F1312" s="30"/>
      <c r="G1312" s="30"/>
    </row>
    <row r="1313">
      <c r="A1313" s="30"/>
      <c r="B1313" s="30"/>
      <c r="C1313" s="30"/>
      <c r="D1313" s="30"/>
      <c r="E1313" s="30"/>
      <c r="F1313" s="30"/>
      <c r="G1313" s="30"/>
    </row>
    <row r="1314">
      <c r="A1314" s="30"/>
      <c r="B1314" s="30"/>
      <c r="C1314" s="30"/>
      <c r="D1314" s="30"/>
      <c r="E1314" s="30"/>
      <c r="F1314" s="30"/>
      <c r="G1314" s="30"/>
    </row>
    <row r="1315">
      <c r="A1315" s="30"/>
      <c r="B1315" s="30"/>
      <c r="C1315" s="30"/>
      <c r="D1315" s="30"/>
      <c r="E1315" s="30"/>
      <c r="F1315" s="30"/>
      <c r="G1315" s="30"/>
    </row>
    <row r="1316">
      <c r="A1316" s="30"/>
      <c r="B1316" s="30"/>
      <c r="C1316" s="30"/>
      <c r="D1316" s="30"/>
      <c r="E1316" s="30"/>
      <c r="F1316" s="30"/>
      <c r="G1316" s="30"/>
    </row>
    <row r="1317">
      <c r="A1317" s="30"/>
      <c r="B1317" s="30"/>
      <c r="C1317" s="30"/>
      <c r="D1317" s="30"/>
      <c r="E1317" s="30"/>
      <c r="F1317" s="30"/>
      <c r="G1317" s="30"/>
    </row>
    <row r="1318">
      <c r="A1318" s="30"/>
      <c r="B1318" s="30"/>
      <c r="C1318" s="30"/>
      <c r="D1318" s="30"/>
      <c r="E1318" s="30"/>
      <c r="F1318" s="30"/>
      <c r="G1318" s="30"/>
    </row>
    <row r="1319">
      <c r="A1319" s="30"/>
      <c r="B1319" s="30"/>
      <c r="C1319" s="30"/>
      <c r="D1319" s="30"/>
      <c r="E1319" s="30"/>
      <c r="F1319" s="30"/>
      <c r="G1319" s="30"/>
    </row>
    <row r="1320">
      <c r="A1320" s="30"/>
      <c r="B1320" s="30"/>
      <c r="C1320" s="30"/>
      <c r="D1320" s="30"/>
      <c r="E1320" s="30"/>
      <c r="F1320" s="30"/>
      <c r="G1320" s="30"/>
    </row>
    <row r="1321">
      <c r="A1321" s="30"/>
      <c r="B1321" s="30"/>
      <c r="C1321" s="30"/>
      <c r="D1321" s="30"/>
      <c r="E1321" s="30"/>
      <c r="F1321" s="30"/>
      <c r="G1321" s="30"/>
    </row>
    <row r="1322">
      <c r="A1322" s="30"/>
      <c r="B1322" s="30"/>
      <c r="C1322" s="30"/>
      <c r="D1322" s="30"/>
      <c r="E1322" s="30"/>
      <c r="F1322" s="30"/>
      <c r="G1322" s="30"/>
    </row>
    <row r="1323">
      <c r="A1323" s="30"/>
      <c r="B1323" s="30"/>
      <c r="C1323" s="30"/>
      <c r="D1323" s="30"/>
      <c r="E1323" s="30"/>
      <c r="F1323" s="30"/>
      <c r="G1323" s="30"/>
    </row>
    <row r="1324">
      <c r="A1324" s="30"/>
      <c r="B1324" s="30"/>
      <c r="C1324" s="30"/>
      <c r="D1324" s="30"/>
      <c r="E1324" s="30"/>
      <c r="F1324" s="30"/>
      <c r="G1324" s="30"/>
    </row>
    <row r="1325">
      <c r="A1325" s="30"/>
      <c r="B1325" s="30"/>
      <c r="C1325" s="30"/>
      <c r="D1325" s="30"/>
      <c r="E1325" s="30"/>
      <c r="F1325" s="30"/>
      <c r="G1325" s="30"/>
    </row>
    <row r="1326">
      <c r="A1326" s="30"/>
      <c r="B1326" s="30"/>
      <c r="C1326" s="30"/>
      <c r="D1326" s="30"/>
      <c r="E1326" s="30"/>
      <c r="F1326" s="30"/>
      <c r="G1326" s="30"/>
    </row>
    <row r="1327">
      <c r="A1327" s="30"/>
      <c r="B1327" s="30"/>
      <c r="C1327" s="30"/>
      <c r="D1327" s="30"/>
      <c r="E1327" s="30"/>
      <c r="F1327" s="30"/>
      <c r="G1327" s="30"/>
    </row>
    <row r="1328">
      <c r="A1328" s="30"/>
      <c r="B1328" s="30"/>
      <c r="C1328" s="30"/>
      <c r="D1328" s="30"/>
      <c r="E1328" s="30"/>
      <c r="F1328" s="30"/>
      <c r="G1328" s="30"/>
    </row>
    <row r="1329">
      <c r="A1329" s="30"/>
      <c r="B1329" s="30"/>
      <c r="C1329" s="30"/>
      <c r="D1329" s="30"/>
      <c r="E1329" s="30"/>
      <c r="F1329" s="30"/>
      <c r="G1329" s="30"/>
    </row>
    <row r="1330">
      <c r="A1330" s="30"/>
      <c r="B1330" s="30"/>
      <c r="C1330" s="30"/>
      <c r="D1330" s="30"/>
      <c r="E1330" s="30"/>
      <c r="F1330" s="30"/>
      <c r="G1330" s="30"/>
    </row>
    <row r="1331">
      <c r="A1331" s="30"/>
      <c r="B1331" s="30"/>
      <c r="C1331" s="30"/>
      <c r="D1331" s="30"/>
      <c r="E1331" s="30"/>
      <c r="F1331" s="30"/>
      <c r="G1331" s="30"/>
    </row>
    <row r="1332">
      <c r="A1332" s="30"/>
      <c r="B1332" s="30"/>
      <c r="C1332" s="30"/>
      <c r="D1332" s="30"/>
      <c r="E1332" s="30"/>
      <c r="F1332" s="30"/>
      <c r="G1332" s="30"/>
    </row>
    <row r="1333">
      <c r="A1333" s="30"/>
      <c r="B1333" s="30"/>
      <c r="C1333" s="30"/>
      <c r="D1333" s="30"/>
      <c r="E1333" s="30"/>
      <c r="F1333" s="30"/>
      <c r="G1333" s="30"/>
    </row>
    <row r="1334">
      <c r="A1334" s="30"/>
      <c r="B1334" s="30"/>
      <c r="C1334" s="30"/>
      <c r="D1334" s="30"/>
      <c r="E1334" s="30"/>
      <c r="F1334" s="30"/>
      <c r="G1334" s="30"/>
    </row>
    <row r="1335">
      <c r="A1335" s="30"/>
      <c r="B1335" s="30"/>
      <c r="C1335" s="30"/>
      <c r="D1335" s="30"/>
      <c r="E1335" s="30"/>
      <c r="F1335" s="30"/>
      <c r="G1335" s="30"/>
    </row>
    <row r="1336">
      <c r="A1336" s="30"/>
      <c r="B1336" s="30"/>
      <c r="C1336" s="30"/>
      <c r="D1336" s="30"/>
      <c r="E1336" s="30"/>
      <c r="F1336" s="30"/>
      <c r="G1336" s="30"/>
    </row>
    <row r="1337">
      <c r="A1337" s="30"/>
      <c r="B1337" s="30"/>
      <c r="C1337" s="30"/>
      <c r="D1337" s="30"/>
      <c r="E1337" s="30"/>
      <c r="F1337" s="30"/>
      <c r="G1337" s="30"/>
    </row>
    <row r="1338">
      <c r="A1338" s="30"/>
      <c r="B1338" s="30"/>
      <c r="C1338" s="30"/>
      <c r="D1338" s="30"/>
      <c r="E1338" s="30"/>
      <c r="F1338" s="30"/>
      <c r="G1338" s="30"/>
    </row>
    <row r="1339">
      <c r="A1339" s="30"/>
      <c r="B1339" s="30"/>
      <c r="C1339" s="30"/>
      <c r="D1339" s="30"/>
      <c r="E1339" s="30"/>
      <c r="F1339" s="30"/>
      <c r="G1339" s="30"/>
    </row>
    <row r="1340">
      <c r="A1340" s="30"/>
      <c r="B1340" s="30"/>
      <c r="C1340" s="30"/>
      <c r="D1340" s="30"/>
      <c r="E1340" s="30"/>
      <c r="F1340" s="30"/>
      <c r="G1340" s="30"/>
    </row>
    <row r="1341">
      <c r="A1341" s="30"/>
      <c r="B1341" s="30"/>
      <c r="C1341" s="30"/>
      <c r="D1341" s="30"/>
      <c r="E1341" s="30"/>
      <c r="F1341" s="30"/>
      <c r="G1341" s="30"/>
    </row>
    <row r="1342">
      <c r="A1342" s="30"/>
      <c r="B1342" s="30"/>
      <c r="C1342" s="30"/>
      <c r="D1342" s="30"/>
      <c r="E1342" s="30"/>
      <c r="F1342" s="30"/>
      <c r="G1342" s="30"/>
    </row>
    <row r="1343">
      <c r="A1343" s="30"/>
      <c r="B1343" s="30"/>
      <c r="C1343" s="30"/>
      <c r="D1343" s="30"/>
      <c r="E1343" s="30"/>
      <c r="F1343" s="30"/>
      <c r="G1343" s="30"/>
    </row>
    <row r="1344">
      <c r="A1344" s="30"/>
      <c r="B1344" s="30"/>
      <c r="C1344" s="30"/>
      <c r="D1344" s="30"/>
      <c r="E1344" s="30"/>
      <c r="F1344" s="30"/>
      <c r="G1344" s="30"/>
    </row>
    <row r="1345">
      <c r="A1345" s="30"/>
      <c r="B1345" s="30"/>
      <c r="C1345" s="30"/>
      <c r="D1345" s="30"/>
      <c r="E1345" s="30"/>
      <c r="F1345" s="30"/>
      <c r="G1345" s="30"/>
    </row>
    <row r="1346">
      <c r="A1346" s="30"/>
      <c r="B1346" s="30"/>
      <c r="C1346" s="30"/>
      <c r="D1346" s="30"/>
      <c r="E1346" s="30"/>
      <c r="F1346" s="30"/>
      <c r="G1346" s="30"/>
    </row>
    <row r="1347">
      <c r="A1347" s="30"/>
      <c r="B1347" s="30"/>
      <c r="C1347" s="30"/>
      <c r="D1347" s="30"/>
      <c r="E1347" s="30"/>
      <c r="F1347" s="30"/>
      <c r="G1347" s="30"/>
    </row>
    <row r="1348">
      <c r="A1348" s="30"/>
      <c r="B1348" s="30"/>
      <c r="C1348" s="30"/>
      <c r="D1348" s="30"/>
      <c r="E1348" s="30"/>
      <c r="F1348" s="30"/>
      <c r="G1348" s="30"/>
    </row>
    <row r="1349">
      <c r="A1349" s="30"/>
      <c r="B1349" s="30"/>
      <c r="C1349" s="30"/>
      <c r="D1349" s="30"/>
      <c r="E1349" s="30"/>
      <c r="F1349" s="30"/>
      <c r="G1349" s="30"/>
    </row>
    <row r="1350">
      <c r="A1350" s="30"/>
      <c r="B1350" s="30"/>
      <c r="C1350" s="30"/>
      <c r="D1350" s="30"/>
      <c r="E1350" s="30"/>
      <c r="F1350" s="30"/>
      <c r="G1350" s="30"/>
    </row>
    <row r="1351">
      <c r="A1351" s="30"/>
      <c r="B1351" s="30"/>
      <c r="C1351" s="30"/>
      <c r="D1351" s="30"/>
      <c r="E1351" s="30"/>
      <c r="F1351" s="30"/>
      <c r="G1351" s="30"/>
    </row>
    <row r="1352">
      <c r="A1352" s="30"/>
      <c r="B1352" s="30"/>
      <c r="C1352" s="30"/>
      <c r="D1352" s="30"/>
      <c r="E1352" s="30"/>
      <c r="F1352" s="30"/>
      <c r="G1352" s="30"/>
    </row>
    <row r="1353">
      <c r="A1353" s="30"/>
      <c r="B1353" s="30"/>
      <c r="C1353" s="30"/>
      <c r="D1353" s="30"/>
      <c r="E1353" s="30"/>
      <c r="F1353" s="30"/>
      <c r="G1353" s="30"/>
    </row>
    <row r="1354">
      <c r="A1354" s="30"/>
      <c r="B1354" s="30"/>
      <c r="C1354" s="30"/>
      <c r="D1354" s="30"/>
      <c r="E1354" s="30"/>
      <c r="F1354" s="30"/>
      <c r="G1354" s="30"/>
    </row>
    <row r="1355">
      <c r="A1355" s="30"/>
      <c r="B1355" s="30"/>
      <c r="C1355" s="30"/>
      <c r="D1355" s="30"/>
      <c r="E1355" s="30"/>
      <c r="F1355" s="30"/>
      <c r="G1355" s="30"/>
    </row>
    <row r="1356">
      <c r="A1356" s="30"/>
      <c r="B1356" s="30"/>
      <c r="C1356" s="30"/>
      <c r="D1356" s="30"/>
      <c r="E1356" s="30"/>
      <c r="F1356" s="30"/>
      <c r="G1356" s="30"/>
    </row>
    <row r="1357">
      <c r="A1357" s="30"/>
      <c r="B1357" s="30"/>
      <c r="C1357" s="30"/>
      <c r="D1357" s="30"/>
      <c r="E1357" s="30"/>
      <c r="F1357" s="30"/>
      <c r="G1357" s="30"/>
    </row>
    <row r="1358">
      <c r="A1358" s="30"/>
      <c r="B1358" s="30"/>
      <c r="C1358" s="30"/>
      <c r="D1358" s="30"/>
      <c r="E1358" s="30"/>
      <c r="F1358" s="30"/>
      <c r="G1358" s="30"/>
    </row>
    <row r="1359">
      <c r="A1359" s="30"/>
      <c r="B1359" s="30"/>
      <c r="C1359" s="30"/>
      <c r="D1359" s="30"/>
      <c r="E1359" s="30"/>
      <c r="F1359" s="30"/>
      <c r="G1359" s="30"/>
    </row>
    <row r="1360">
      <c r="A1360" s="30"/>
      <c r="B1360" s="30"/>
      <c r="C1360" s="30"/>
      <c r="D1360" s="30"/>
      <c r="E1360" s="30"/>
      <c r="F1360" s="30"/>
      <c r="G1360" s="30"/>
    </row>
    <row r="1361">
      <c r="A1361" s="30"/>
      <c r="B1361" s="30"/>
      <c r="C1361" s="30"/>
      <c r="D1361" s="30"/>
      <c r="E1361" s="30"/>
      <c r="F1361" s="30"/>
      <c r="G1361" s="30"/>
    </row>
    <row r="1362">
      <c r="A1362" s="30"/>
      <c r="B1362" s="30"/>
      <c r="C1362" s="30"/>
      <c r="D1362" s="30"/>
      <c r="E1362" s="30"/>
      <c r="F1362" s="30"/>
      <c r="G1362" s="30"/>
    </row>
    <row r="1363">
      <c r="A1363" s="30"/>
      <c r="B1363" s="30"/>
      <c r="C1363" s="30"/>
      <c r="D1363" s="30"/>
      <c r="E1363" s="30"/>
      <c r="F1363" s="30"/>
      <c r="G1363" s="30"/>
    </row>
    <row r="1364">
      <c r="A1364" s="30"/>
      <c r="B1364" s="30"/>
      <c r="C1364" s="30"/>
      <c r="D1364" s="30"/>
      <c r="E1364" s="30"/>
      <c r="F1364" s="30"/>
      <c r="G1364" s="30"/>
    </row>
    <row r="1365">
      <c r="A1365" s="30"/>
      <c r="B1365" s="30"/>
      <c r="C1365" s="30"/>
      <c r="D1365" s="30"/>
      <c r="E1365" s="30"/>
      <c r="F1365" s="30"/>
      <c r="G1365" s="30"/>
    </row>
    <row r="1366">
      <c r="A1366" s="30"/>
      <c r="B1366" s="30"/>
      <c r="C1366" s="30"/>
      <c r="D1366" s="30"/>
      <c r="E1366" s="30"/>
      <c r="F1366" s="30"/>
      <c r="G1366" s="30"/>
    </row>
    <row r="1367">
      <c r="A1367" s="30"/>
      <c r="B1367" s="30"/>
      <c r="C1367" s="30"/>
      <c r="D1367" s="30"/>
      <c r="E1367" s="30"/>
      <c r="F1367" s="30"/>
      <c r="G1367" s="30"/>
    </row>
    <row r="1368">
      <c r="A1368" s="30"/>
      <c r="B1368" s="30"/>
      <c r="C1368" s="30"/>
      <c r="D1368" s="30"/>
      <c r="E1368" s="30"/>
      <c r="F1368" s="30"/>
      <c r="G1368" s="30"/>
    </row>
    <row r="1369">
      <c r="A1369" s="30"/>
      <c r="B1369" s="30"/>
      <c r="C1369" s="30"/>
      <c r="D1369" s="30"/>
      <c r="E1369" s="30"/>
      <c r="F1369" s="30"/>
      <c r="G1369" s="30"/>
    </row>
    <row r="1370">
      <c r="A1370" s="30"/>
      <c r="B1370" s="30"/>
      <c r="C1370" s="30"/>
      <c r="D1370" s="30"/>
      <c r="E1370" s="30"/>
      <c r="F1370" s="30"/>
      <c r="G1370" s="30"/>
    </row>
    <row r="1371">
      <c r="A1371" s="30"/>
      <c r="B1371" s="30"/>
      <c r="C1371" s="30"/>
      <c r="D1371" s="30"/>
      <c r="E1371" s="30"/>
      <c r="F1371" s="30"/>
      <c r="G1371" s="30"/>
    </row>
    <row r="1372">
      <c r="A1372" s="30"/>
      <c r="B1372" s="30"/>
      <c r="C1372" s="30"/>
      <c r="D1372" s="30"/>
      <c r="E1372" s="30"/>
      <c r="F1372" s="30"/>
      <c r="G1372" s="30"/>
    </row>
    <row r="1373">
      <c r="A1373" s="30"/>
      <c r="B1373" s="30"/>
      <c r="C1373" s="30"/>
      <c r="D1373" s="30"/>
      <c r="E1373" s="30"/>
      <c r="F1373" s="30"/>
      <c r="G1373" s="30"/>
    </row>
    <row r="1374">
      <c r="A1374" s="30"/>
      <c r="B1374" s="30"/>
      <c r="C1374" s="30"/>
      <c r="D1374" s="30"/>
      <c r="E1374" s="30"/>
      <c r="F1374" s="30"/>
      <c r="G1374" s="30"/>
    </row>
    <row r="1375">
      <c r="A1375" s="30"/>
      <c r="B1375" s="30"/>
      <c r="C1375" s="30"/>
      <c r="D1375" s="30"/>
      <c r="E1375" s="30"/>
      <c r="F1375" s="30"/>
      <c r="G1375" s="30"/>
    </row>
    <row r="1376">
      <c r="A1376" s="30"/>
      <c r="B1376" s="30"/>
      <c r="C1376" s="30"/>
      <c r="D1376" s="30"/>
      <c r="E1376" s="30"/>
      <c r="F1376" s="30"/>
      <c r="G1376" s="30"/>
    </row>
    <row r="1377">
      <c r="A1377" s="30"/>
      <c r="B1377" s="30"/>
      <c r="C1377" s="30"/>
      <c r="D1377" s="30"/>
      <c r="E1377" s="30"/>
      <c r="F1377" s="30"/>
      <c r="G1377" s="30"/>
    </row>
    <row r="1378">
      <c r="A1378" s="30"/>
      <c r="B1378" s="30"/>
      <c r="C1378" s="30"/>
      <c r="D1378" s="30"/>
      <c r="E1378" s="30"/>
      <c r="F1378" s="30"/>
      <c r="G1378" s="30"/>
    </row>
    <row r="1379">
      <c r="A1379" s="30"/>
      <c r="B1379" s="30"/>
      <c r="C1379" s="30"/>
      <c r="D1379" s="30"/>
      <c r="E1379" s="30"/>
      <c r="F1379" s="30"/>
      <c r="G1379" s="30"/>
    </row>
    <row r="1380">
      <c r="A1380" s="30"/>
      <c r="B1380" s="30"/>
      <c r="C1380" s="30"/>
      <c r="D1380" s="30"/>
      <c r="E1380" s="30"/>
      <c r="F1380" s="30"/>
      <c r="G1380" s="30"/>
    </row>
    <row r="1381">
      <c r="A1381" s="30"/>
      <c r="B1381" s="30"/>
      <c r="C1381" s="30"/>
      <c r="D1381" s="30"/>
      <c r="E1381" s="30"/>
      <c r="F1381" s="30"/>
      <c r="G1381" s="30"/>
    </row>
    <row r="1382">
      <c r="A1382" s="30"/>
      <c r="B1382" s="30"/>
      <c r="C1382" s="30"/>
      <c r="D1382" s="30"/>
      <c r="E1382" s="30"/>
      <c r="F1382" s="30"/>
      <c r="G1382" s="30"/>
    </row>
    <row r="1383">
      <c r="A1383" s="30"/>
      <c r="B1383" s="30"/>
      <c r="C1383" s="30"/>
      <c r="D1383" s="30"/>
      <c r="E1383" s="30"/>
      <c r="F1383" s="30"/>
      <c r="G1383" s="30"/>
    </row>
    <row r="1384">
      <c r="A1384" s="30"/>
      <c r="B1384" s="30"/>
      <c r="C1384" s="30"/>
      <c r="D1384" s="30"/>
      <c r="E1384" s="30"/>
      <c r="F1384" s="30"/>
      <c r="G1384" s="30"/>
    </row>
    <row r="1385">
      <c r="A1385" s="30"/>
      <c r="B1385" s="30"/>
      <c r="C1385" s="30"/>
      <c r="D1385" s="30"/>
      <c r="E1385" s="30"/>
      <c r="F1385" s="30"/>
      <c r="G1385" s="30"/>
    </row>
    <row r="1386">
      <c r="A1386" s="30"/>
      <c r="B1386" s="30"/>
      <c r="C1386" s="30"/>
      <c r="D1386" s="30"/>
      <c r="E1386" s="30"/>
      <c r="F1386" s="30"/>
      <c r="G1386" s="30"/>
    </row>
    <row r="1387">
      <c r="A1387" s="30"/>
      <c r="B1387" s="30"/>
      <c r="C1387" s="30"/>
      <c r="D1387" s="30"/>
      <c r="E1387" s="30"/>
      <c r="F1387" s="30"/>
      <c r="G1387" s="30"/>
    </row>
    <row r="1388">
      <c r="A1388" s="30"/>
      <c r="B1388" s="30"/>
      <c r="C1388" s="30"/>
      <c r="D1388" s="30"/>
      <c r="E1388" s="30"/>
      <c r="F1388" s="30"/>
      <c r="G1388" s="30"/>
    </row>
    <row r="1389">
      <c r="A1389" s="30"/>
      <c r="B1389" s="30"/>
      <c r="C1389" s="30"/>
      <c r="D1389" s="30"/>
      <c r="E1389" s="30"/>
      <c r="F1389" s="30"/>
      <c r="G1389" s="30"/>
    </row>
    <row r="1390">
      <c r="A1390" s="30"/>
      <c r="B1390" s="30"/>
      <c r="C1390" s="30"/>
      <c r="D1390" s="30"/>
      <c r="E1390" s="30"/>
      <c r="F1390" s="30"/>
      <c r="G1390" s="30"/>
    </row>
    <row r="1391">
      <c r="A1391" s="30"/>
      <c r="B1391" s="30"/>
      <c r="C1391" s="30"/>
      <c r="D1391" s="30"/>
      <c r="E1391" s="30"/>
      <c r="F1391" s="30"/>
      <c r="G1391" s="30"/>
    </row>
    <row r="1392">
      <c r="A1392" s="30"/>
      <c r="B1392" s="30"/>
      <c r="C1392" s="30"/>
      <c r="D1392" s="30"/>
      <c r="E1392" s="30"/>
      <c r="F1392" s="30"/>
      <c r="G1392" s="30"/>
    </row>
    <row r="1393">
      <c r="A1393" s="30"/>
      <c r="B1393" s="30"/>
      <c r="C1393" s="30"/>
      <c r="D1393" s="30"/>
      <c r="E1393" s="30"/>
      <c r="F1393" s="30"/>
      <c r="G1393" s="30"/>
    </row>
    <row r="1394">
      <c r="A1394" s="30"/>
      <c r="B1394" s="30"/>
      <c r="C1394" s="30"/>
      <c r="D1394" s="30"/>
      <c r="E1394" s="30"/>
      <c r="F1394" s="30"/>
      <c r="G1394" s="30"/>
    </row>
    <row r="1395">
      <c r="A1395" s="30"/>
      <c r="B1395" s="30"/>
      <c r="C1395" s="30"/>
      <c r="D1395" s="30"/>
      <c r="E1395" s="30"/>
      <c r="F1395" s="30"/>
      <c r="G1395" s="30"/>
    </row>
    <row r="1396">
      <c r="A1396" s="30"/>
      <c r="B1396" s="30"/>
      <c r="C1396" s="30"/>
      <c r="D1396" s="30"/>
      <c r="E1396" s="30"/>
      <c r="F1396" s="30"/>
      <c r="G1396" s="30"/>
    </row>
    <row r="1397">
      <c r="A1397" s="30"/>
      <c r="B1397" s="30"/>
      <c r="C1397" s="30"/>
      <c r="D1397" s="30"/>
      <c r="E1397" s="30"/>
      <c r="F1397" s="30"/>
      <c r="G1397" s="30"/>
    </row>
    <row r="1398">
      <c r="A1398" s="30"/>
      <c r="B1398" s="30"/>
      <c r="C1398" s="30"/>
      <c r="D1398" s="30"/>
      <c r="E1398" s="30"/>
      <c r="F1398" s="30"/>
      <c r="G1398" s="30"/>
    </row>
    <row r="1399">
      <c r="A1399" s="30"/>
      <c r="B1399" s="30"/>
      <c r="C1399" s="30"/>
      <c r="D1399" s="30"/>
      <c r="E1399" s="30"/>
      <c r="F1399" s="30"/>
      <c r="G1399" s="30"/>
    </row>
    <row r="1400">
      <c r="A1400" s="30"/>
      <c r="B1400" s="30"/>
      <c r="C1400" s="30"/>
      <c r="D1400" s="30"/>
      <c r="E1400" s="30"/>
      <c r="F1400" s="30"/>
      <c r="G1400" s="30"/>
    </row>
    <row r="1401">
      <c r="A1401" s="30"/>
      <c r="B1401" s="30"/>
      <c r="C1401" s="30"/>
      <c r="D1401" s="30"/>
      <c r="E1401" s="30"/>
      <c r="F1401" s="30"/>
      <c r="G1401" s="30"/>
    </row>
    <row r="1402">
      <c r="A1402" s="30"/>
      <c r="B1402" s="30"/>
      <c r="C1402" s="30"/>
      <c r="D1402" s="30"/>
      <c r="E1402" s="30"/>
      <c r="F1402" s="30"/>
      <c r="G1402" s="30"/>
    </row>
    <row r="1403">
      <c r="A1403" s="30"/>
      <c r="B1403" s="30"/>
      <c r="C1403" s="30"/>
      <c r="D1403" s="30"/>
      <c r="E1403" s="30"/>
      <c r="F1403" s="30"/>
      <c r="G1403" s="30"/>
    </row>
    <row r="1404">
      <c r="A1404" s="30"/>
      <c r="B1404" s="30"/>
      <c r="C1404" s="30"/>
      <c r="D1404" s="30"/>
      <c r="E1404" s="30"/>
      <c r="F1404" s="30"/>
      <c r="G1404" s="30"/>
    </row>
    <row r="1405">
      <c r="A1405" s="30"/>
      <c r="B1405" s="30"/>
      <c r="C1405" s="30"/>
      <c r="D1405" s="30"/>
      <c r="E1405" s="30"/>
      <c r="F1405" s="30"/>
      <c r="G1405" s="30"/>
    </row>
    <row r="1406">
      <c r="A1406" s="30"/>
      <c r="B1406" s="30"/>
      <c r="C1406" s="30"/>
      <c r="D1406" s="30"/>
      <c r="E1406" s="30"/>
      <c r="F1406" s="30"/>
      <c r="G1406" s="30"/>
    </row>
    <row r="1407">
      <c r="A1407" s="30"/>
      <c r="B1407" s="30"/>
      <c r="C1407" s="30"/>
      <c r="D1407" s="30"/>
      <c r="E1407" s="30"/>
      <c r="F1407" s="30"/>
      <c r="G1407" s="30"/>
    </row>
    <row r="1408">
      <c r="A1408" s="30"/>
      <c r="B1408" s="30"/>
      <c r="C1408" s="30"/>
      <c r="D1408" s="30"/>
      <c r="E1408" s="30"/>
      <c r="F1408" s="30"/>
      <c r="G1408" s="30"/>
    </row>
    <row r="1409">
      <c r="A1409" s="30"/>
      <c r="B1409" s="30"/>
      <c r="C1409" s="30"/>
      <c r="D1409" s="30"/>
      <c r="E1409" s="30"/>
      <c r="F1409" s="30"/>
      <c r="G1409" s="30"/>
    </row>
    <row r="1410">
      <c r="A1410" s="30"/>
      <c r="B1410" s="30"/>
      <c r="C1410" s="30"/>
      <c r="D1410" s="30"/>
      <c r="E1410" s="30"/>
      <c r="F1410" s="30"/>
      <c r="G1410" s="30"/>
    </row>
    <row r="1411">
      <c r="A1411" s="30"/>
      <c r="B1411" s="30"/>
      <c r="C1411" s="30"/>
      <c r="D1411" s="30"/>
      <c r="E1411" s="30"/>
      <c r="F1411" s="30"/>
      <c r="G1411" s="30"/>
    </row>
    <row r="1412">
      <c r="A1412" s="30"/>
      <c r="B1412" s="30"/>
      <c r="C1412" s="30"/>
      <c r="D1412" s="30"/>
      <c r="E1412" s="30"/>
      <c r="F1412" s="30"/>
      <c r="G1412" s="30"/>
    </row>
    <row r="1413">
      <c r="A1413" s="30"/>
      <c r="B1413" s="30"/>
      <c r="C1413" s="30"/>
      <c r="D1413" s="30"/>
      <c r="E1413" s="30"/>
      <c r="F1413" s="30"/>
      <c r="G1413" s="30"/>
    </row>
    <row r="1414">
      <c r="A1414" s="30"/>
      <c r="B1414" s="30"/>
      <c r="C1414" s="30"/>
      <c r="D1414" s="30"/>
      <c r="E1414" s="30"/>
      <c r="F1414" s="30"/>
      <c r="G1414" s="30"/>
    </row>
    <row r="1415">
      <c r="A1415" s="30"/>
      <c r="B1415" s="30"/>
      <c r="C1415" s="30"/>
      <c r="D1415" s="30"/>
      <c r="E1415" s="30"/>
      <c r="F1415" s="30"/>
      <c r="G1415" s="30"/>
    </row>
    <row r="1416">
      <c r="A1416" s="30"/>
      <c r="B1416" s="30"/>
      <c r="C1416" s="30"/>
      <c r="D1416" s="30"/>
      <c r="E1416" s="30"/>
      <c r="F1416" s="30"/>
      <c r="G1416" s="30"/>
    </row>
    <row r="1417">
      <c r="A1417" s="30"/>
      <c r="B1417" s="30"/>
      <c r="C1417" s="30"/>
      <c r="D1417" s="30"/>
      <c r="E1417" s="30"/>
      <c r="F1417" s="30"/>
      <c r="G1417" s="30"/>
    </row>
    <row r="1418">
      <c r="A1418" s="30"/>
      <c r="B1418" s="30"/>
      <c r="C1418" s="30"/>
      <c r="D1418" s="30"/>
      <c r="E1418" s="30"/>
      <c r="F1418" s="30"/>
      <c r="G1418" s="30"/>
    </row>
    <row r="1419">
      <c r="A1419" s="30"/>
      <c r="B1419" s="30"/>
      <c r="C1419" s="30"/>
      <c r="D1419" s="30"/>
      <c r="E1419" s="30"/>
      <c r="F1419" s="30"/>
      <c r="G1419" s="30"/>
    </row>
    <row r="1420">
      <c r="A1420" s="30"/>
      <c r="B1420" s="30"/>
      <c r="C1420" s="30"/>
      <c r="D1420" s="30"/>
      <c r="E1420" s="30"/>
      <c r="F1420" s="30"/>
      <c r="G1420" s="30"/>
    </row>
    <row r="1421">
      <c r="A1421" s="30"/>
      <c r="B1421" s="30"/>
      <c r="C1421" s="30"/>
      <c r="D1421" s="30"/>
      <c r="E1421" s="30"/>
      <c r="F1421" s="30"/>
      <c r="G1421" s="30"/>
    </row>
    <row r="1422">
      <c r="A1422" s="30"/>
      <c r="B1422" s="30"/>
      <c r="C1422" s="30"/>
      <c r="D1422" s="30"/>
      <c r="E1422" s="30"/>
      <c r="F1422" s="30"/>
      <c r="G1422" s="30"/>
    </row>
    <row r="1423">
      <c r="A1423" s="30"/>
      <c r="B1423" s="30"/>
      <c r="C1423" s="30"/>
      <c r="D1423" s="30"/>
      <c r="E1423" s="30"/>
      <c r="F1423" s="30"/>
      <c r="G1423" s="30"/>
    </row>
    <row r="1424">
      <c r="A1424" s="30"/>
      <c r="B1424" s="30"/>
      <c r="C1424" s="30"/>
      <c r="D1424" s="30"/>
      <c r="E1424" s="30"/>
      <c r="F1424" s="30"/>
      <c r="G1424" s="30"/>
    </row>
    <row r="1425">
      <c r="A1425" s="30"/>
      <c r="B1425" s="30"/>
      <c r="C1425" s="30"/>
      <c r="D1425" s="30"/>
      <c r="E1425" s="30"/>
      <c r="F1425" s="30"/>
      <c r="G1425" s="30"/>
    </row>
    <row r="1426">
      <c r="A1426" s="30"/>
      <c r="B1426" s="30"/>
      <c r="C1426" s="30"/>
      <c r="D1426" s="30"/>
      <c r="E1426" s="30"/>
      <c r="F1426" s="30"/>
      <c r="G1426" s="30"/>
    </row>
    <row r="1427">
      <c r="A1427" s="30"/>
      <c r="B1427" s="30"/>
      <c r="C1427" s="30"/>
      <c r="D1427" s="30"/>
      <c r="E1427" s="30"/>
      <c r="F1427" s="30"/>
      <c r="G1427" s="30"/>
    </row>
    <row r="1428">
      <c r="A1428" s="30"/>
      <c r="B1428" s="30"/>
      <c r="C1428" s="30"/>
      <c r="D1428" s="30"/>
      <c r="E1428" s="30"/>
      <c r="F1428" s="30"/>
      <c r="G1428" s="30"/>
    </row>
    <row r="1429">
      <c r="A1429" s="30"/>
      <c r="B1429" s="30"/>
      <c r="C1429" s="30"/>
      <c r="D1429" s="30"/>
      <c r="E1429" s="30"/>
      <c r="F1429" s="30"/>
      <c r="G1429" s="30"/>
    </row>
    <row r="1430">
      <c r="A1430" s="30"/>
      <c r="B1430" s="30"/>
      <c r="C1430" s="30"/>
      <c r="D1430" s="30"/>
      <c r="E1430" s="30"/>
      <c r="F1430" s="30"/>
      <c r="G1430" s="30"/>
    </row>
    <row r="1431">
      <c r="A1431" s="30"/>
      <c r="B1431" s="30"/>
      <c r="C1431" s="30"/>
      <c r="D1431" s="30"/>
      <c r="E1431" s="30"/>
      <c r="F1431" s="30"/>
      <c r="G1431" s="30"/>
    </row>
    <row r="1432">
      <c r="A1432" s="30"/>
      <c r="B1432" s="30"/>
      <c r="C1432" s="30"/>
      <c r="D1432" s="30"/>
      <c r="E1432" s="30"/>
      <c r="F1432" s="30"/>
      <c r="G1432" s="30"/>
    </row>
    <row r="1433">
      <c r="A1433" s="30"/>
      <c r="B1433" s="30"/>
      <c r="C1433" s="30"/>
      <c r="D1433" s="30"/>
      <c r="E1433" s="30"/>
      <c r="F1433" s="30"/>
      <c r="G1433" s="30"/>
    </row>
    <row r="1434">
      <c r="A1434" s="30"/>
      <c r="B1434" s="30"/>
      <c r="C1434" s="30"/>
      <c r="D1434" s="30"/>
      <c r="E1434" s="30"/>
      <c r="F1434" s="30"/>
      <c r="G1434" s="30"/>
    </row>
    <row r="1435">
      <c r="A1435" s="30"/>
      <c r="B1435" s="30"/>
      <c r="C1435" s="30"/>
      <c r="D1435" s="30"/>
      <c r="E1435" s="30"/>
      <c r="F1435" s="30"/>
      <c r="G1435" s="30"/>
    </row>
    <row r="1436">
      <c r="A1436" s="30"/>
      <c r="B1436" s="30"/>
      <c r="C1436" s="30"/>
      <c r="D1436" s="30"/>
      <c r="E1436" s="30"/>
      <c r="F1436" s="30"/>
      <c r="G1436" s="30"/>
    </row>
    <row r="1437">
      <c r="A1437" s="30"/>
      <c r="B1437" s="30"/>
      <c r="C1437" s="30"/>
      <c r="D1437" s="30"/>
      <c r="E1437" s="30"/>
      <c r="F1437" s="30"/>
      <c r="G1437" s="30"/>
    </row>
    <row r="1438">
      <c r="A1438" s="30"/>
      <c r="B1438" s="30"/>
      <c r="C1438" s="30"/>
      <c r="D1438" s="30"/>
      <c r="E1438" s="30"/>
      <c r="F1438" s="30"/>
      <c r="G1438" s="30"/>
    </row>
    <row r="1439">
      <c r="A1439" s="30"/>
      <c r="B1439" s="30"/>
      <c r="C1439" s="30"/>
      <c r="D1439" s="30"/>
      <c r="E1439" s="30"/>
      <c r="F1439" s="30"/>
      <c r="G1439" s="30"/>
    </row>
    <row r="1440">
      <c r="A1440" s="30"/>
      <c r="B1440" s="30"/>
      <c r="C1440" s="30"/>
      <c r="D1440" s="30"/>
      <c r="E1440" s="30"/>
      <c r="F1440" s="30"/>
      <c r="G1440" s="30"/>
    </row>
    <row r="1441">
      <c r="A1441" s="30"/>
      <c r="B1441" s="30"/>
      <c r="C1441" s="30"/>
      <c r="D1441" s="30"/>
      <c r="E1441" s="30"/>
      <c r="F1441" s="30"/>
      <c r="G1441" s="30"/>
    </row>
    <row r="1442">
      <c r="A1442" s="30"/>
      <c r="B1442" s="30"/>
      <c r="C1442" s="30"/>
      <c r="D1442" s="30"/>
      <c r="E1442" s="30"/>
      <c r="F1442" s="30"/>
      <c r="G1442" s="30"/>
    </row>
    <row r="1443">
      <c r="A1443" s="30"/>
      <c r="B1443" s="30"/>
      <c r="C1443" s="30"/>
      <c r="D1443" s="30"/>
      <c r="E1443" s="30"/>
      <c r="F1443" s="30"/>
      <c r="G1443" s="30"/>
    </row>
    <row r="1444">
      <c r="A1444" s="30"/>
      <c r="B1444" s="30"/>
      <c r="C1444" s="30"/>
      <c r="D1444" s="30"/>
      <c r="E1444" s="30"/>
      <c r="F1444" s="30"/>
      <c r="G1444" s="30"/>
    </row>
    <row r="1445">
      <c r="A1445" s="30"/>
      <c r="B1445" s="30"/>
      <c r="C1445" s="30"/>
      <c r="D1445" s="30"/>
      <c r="E1445" s="30"/>
      <c r="F1445" s="30"/>
      <c r="G1445" s="30"/>
    </row>
    <row r="1446">
      <c r="A1446" s="30"/>
      <c r="B1446" s="30"/>
      <c r="C1446" s="30"/>
      <c r="D1446" s="30"/>
      <c r="E1446" s="30"/>
      <c r="F1446" s="30"/>
      <c r="G1446" s="30"/>
    </row>
    <row r="1447">
      <c r="A1447" s="30"/>
      <c r="B1447" s="30"/>
      <c r="C1447" s="30"/>
      <c r="D1447" s="30"/>
      <c r="E1447" s="30"/>
      <c r="F1447" s="30"/>
      <c r="G1447" s="30"/>
    </row>
    <row r="1448">
      <c r="A1448" s="30"/>
      <c r="B1448" s="30"/>
      <c r="C1448" s="30"/>
      <c r="D1448" s="30"/>
      <c r="E1448" s="30"/>
      <c r="F1448" s="30"/>
      <c r="G1448" s="30"/>
    </row>
    <row r="1449">
      <c r="A1449" s="30"/>
      <c r="B1449" s="30"/>
      <c r="C1449" s="30"/>
      <c r="D1449" s="30"/>
      <c r="E1449" s="30"/>
      <c r="F1449" s="30"/>
      <c r="G1449" s="30"/>
    </row>
    <row r="1450">
      <c r="A1450" s="30"/>
      <c r="B1450" s="30"/>
      <c r="C1450" s="30"/>
      <c r="D1450" s="30"/>
      <c r="E1450" s="30"/>
      <c r="F1450" s="30"/>
      <c r="G1450" s="30"/>
    </row>
    <row r="1451">
      <c r="A1451" s="30"/>
      <c r="B1451" s="30"/>
      <c r="C1451" s="30"/>
      <c r="D1451" s="30"/>
      <c r="E1451" s="30"/>
      <c r="F1451" s="30"/>
      <c r="G1451" s="30"/>
    </row>
    <row r="1452">
      <c r="A1452" s="30"/>
      <c r="B1452" s="30"/>
      <c r="C1452" s="30"/>
      <c r="D1452" s="30"/>
      <c r="E1452" s="30"/>
      <c r="F1452" s="30"/>
      <c r="G1452" s="30"/>
    </row>
    <row r="1453">
      <c r="A1453" s="30"/>
      <c r="B1453" s="30"/>
      <c r="C1453" s="30"/>
      <c r="D1453" s="30"/>
      <c r="E1453" s="30"/>
      <c r="F1453" s="30"/>
      <c r="G1453" s="30"/>
    </row>
    <row r="1454">
      <c r="A1454" s="30"/>
      <c r="B1454" s="30"/>
      <c r="C1454" s="30"/>
      <c r="D1454" s="30"/>
      <c r="E1454" s="30"/>
      <c r="F1454" s="30"/>
      <c r="G1454" s="30"/>
    </row>
    <row r="1455">
      <c r="A1455" s="30"/>
      <c r="B1455" s="30"/>
      <c r="C1455" s="30"/>
      <c r="D1455" s="30"/>
      <c r="E1455" s="30"/>
      <c r="F1455" s="30"/>
      <c r="G1455" s="30"/>
    </row>
    <row r="1456">
      <c r="A1456" s="30"/>
      <c r="B1456" s="30"/>
      <c r="C1456" s="30"/>
      <c r="D1456" s="30"/>
      <c r="E1456" s="30"/>
      <c r="F1456" s="30"/>
      <c r="G1456" s="30"/>
    </row>
    <row r="1457">
      <c r="A1457" s="30"/>
      <c r="B1457" s="30"/>
      <c r="C1457" s="30"/>
      <c r="D1457" s="30"/>
      <c r="E1457" s="30"/>
      <c r="F1457" s="30"/>
      <c r="G1457" s="30"/>
    </row>
    <row r="1458">
      <c r="A1458" s="30"/>
      <c r="B1458" s="30"/>
      <c r="C1458" s="30"/>
      <c r="D1458" s="30"/>
      <c r="E1458" s="30"/>
      <c r="F1458" s="30"/>
      <c r="G1458" s="30"/>
    </row>
    <row r="1459">
      <c r="A1459" s="30"/>
      <c r="B1459" s="30"/>
      <c r="C1459" s="30"/>
      <c r="D1459" s="30"/>
      <c r="E1459" s="30"/>
      <c r="F1459" s="30"/>
      <c r="G1459" s="30"/>
    </row>
    <row r="1460">
      <c r="A1460" s="30"/>
      <c r="B1460" s="30"/>
      <c r="C1460" s="30"/>
      <c r="D1460" s="30"/>
      <c r="E1460" s="30"/>
      <c r="F1460" s="30"/>
      <c r="G1460" s="30"/>
    </row>
    <row r="1461">
      <c r="A1461" s="30"/>
      <c r="B1461" s="30"/>
      <c r="C1461" s="30"/>
      <c r="D1461" s="30"/>
      <c r="E1461" s="30"/>
      <c r="F1461" s="30"/>
      <c r="G1461" s="30"/>
    </row>
    <row r="1462">
      <c r="A1462" s="30"/>
      <c r="B1462" s="30"/>
      <c r="C1462" s="30"/>
      <c r="D1462" s="30"/>
      <c r="E1462" s="30"/>
      <c r="F1462" s="30"/>
      <c r="G1462" s="30"/>
    </row>
    <row r="1463">
      <c r="A1463" s="30"/>
      <c r="B1463" s="30"/>
      <c r="C1463" s="30"/>
      <c r="D1463" s="30"/>
      <c r="E1463" s="30"/>
      <c r="F1463" s="30"/>
      <c r="G1463" s="30"/>
    </row>
    <row r="1464">
      <c r="A1464" s="30"/>
      <c r="B1464" s="30"/>
      <c r="C1464" s="30"/>
      <c r="D1464" s="30"/>
      <c r="E1464" s="30"/>
      <c r="F1464" s="30"/>
      <c r="G1464" s="30"/>
    </row>
    <row r="1465">
      <c r="A1465" s="30"/>
      <c r="B1465" s="30"/>
      <c r="C1465" s="30"/>
      <c r="D1465" s="30"/>
      <c r="E1465" s="30"/>
      <c r="F1465" s="30"/>
      <c r="G1465" s="30"/>
    </row>
    <row r="1466">
      <c r="A1466" s="30"/>
      <c r="B1466" s="30"/>
      <c r="C1466" s="30"/>
      <c r="D1466" s="30"/>
      <c r="E1466" s="30"/>
      <c r="F1466" s="30"/>
      <c r="G1466" s="30"/>
    </row>
    <row r="1467">
      <c r="A1467" s="30"/>
      <c r="B1467" s="30"/>
      <c r="C1467" s="30"/>
      <c r="D1467" s="30"/>
      <c r="E1467" s="30"/>
      <c r="F1467" s="30"/>
      <c r="G1467" s="30"/>
    </row>
    <row r="1468">
      <c r="A1468" s="30"/>
      <c r="B1468" s="30"/>
      <c r="C1468" s="30"/>
      <c r="D1468" s="30"/>
      <c r="E1468" s="30"/>
      <c r="F1468" s="30"/>
      <c r="G1468" s="30"/>
    </row>
    <row r="1469">
      <c r="A1469" s="30"/>
      <c r="B1469" s="30"/>
      <c r="C1469" s="30"/>
      <c r="D1469" s="30"/>
      <c r="E1469" s="30"/>
      <c r="F1469" s="30"/>
      <c r="G1469" s="30"/>
    </row>
    <row r="1470">
      <c r="A1470" s="30"/>
      <c r="B1470" s="30"/>
      <c r="C1470" s="30"/>
      <c r="D1470" s="30"/>
      <c r="E1470" s="30"/>
      <c r="F1470" s="30"/>
      <c r="G1470" s="30"/>
    </row>
    <row r="1471">
      <c r="A1471" s="30"/>
      <c r="B1471" s="30"/>
      <c r="C1471" s="30"/>
      <c r="D1471" s="30"/>
      <c r="E1471" s="30"/>
      <c r="F1471" s="30"/>
      <c r="G1471" s="30"/>
    </row>
    <row r="1472">
      <c r="A1472" s="30"/>
      <c r="B1472" s="30"/>
      <c r="C1472" s="30"/>
      <c r="D1472" s="30"/>
      <c r="E1472" s="30"/>
      <c r="F1472" s="30"/>
      <c r="G1472" s="30"/>
    </row>
    <row r="1473">
      <c r="A1473" s="30"/>
      <c r="B1473" s="30"/>
      <c r="C1473" s="30"/>
      <c r="D1473" s="30"/>
      <c r="E1473" s="30"/>
      <c r="F1473" s="30"/>
      <c r="G1473" s="30"/>
    </row>
    <row r="1474">
      <c r="A1474" s="30"/>
      <c r="B1474" s="30"/>
      <c r="C1474" s="30"/>
      <c r="D1474" s="30"/>
      <c r="E1474" s="30"/>
      <c r="F1474" s="30"/>
      <c r="G1474" s="30"/>
    </row>
    <row r="1475">
      <c r="A1475" s="30"/>
      <c r="B1475" s="30"/>
      <c r="C1475" s="30"/>
      <c r="D1475" s="30"/>
      <c r="E1475" s="30"/>
      <c r="F1475" s="30"/>
      <c r="G1475" s="30"/>
    </row>
    <row r="1476">
      <c r="A1476" s="30"/>
      <c r="B1476" s="30"/>
      <c r="C1476" s="30"/>
      <c r="D1476" s="30"/>
      <c r="E1476" s="30"/>
      <c r="F1476" s="30"/>
      <c r="G1476" s="30"/>
    </row>
    <row r="1477">
      <c r="A1477" s="30"/>
      <c r="B1477" s="30"/>
      <c r="C1477" s="30"/>
      <c r="D1477" s="30"/>
      <c r="E1477" s="30"/>
      <c r="F1477" s="30"/>
      <c r="G1477" s="30"/>
    </row>
    <row r="1478">
      <c r="A1478" s="30"/>
      <c r="B1478" s="30"/>
      <c r="C1478" s="30"/>
      <c r="D1478" s="30"/>
      <c r="E1478" s="30"/>
      <c r="F1478" s="30"/>
      <c r="G1478" s="30"/>
    </row>
    <row r="1479">
      <c r="A1479" s="30"/>
      <c r="B1479" s="30"/>
      <c r="C1479" s="30"/>
      <c r="D1479" s="30"/>
      <c r="E1479" s="30"/>
      <c r="F1479" s="30"/>
      <c r="G1479" s="30"/>
    </row>
    <row r="1480">
      <c r="A1480" s="30"/>
      <c r="B1480" s="30"/>
      <c r="C1480" s="30"/>
      <c r="D1480" s="30"/>
      <c r="E1480" s="30"/>
      <c r="F1480" s="30"/>
      <c r="G1480" s="30"/>
    </row>
    <row r="1481">
      <c r="A1481" s="30"/>
      <c r="B1481" s="30"/>
      <c r="C1481" s="30"/>
      <c r="D1481" s="30"/>
      <c r="E1481" s="30"/>
      <c r="F1481" s="30"/>
      <c r="G1481" s="30"/>
    </row>
    <row r="1482">
      <c r="A1482" s="30"/>
      <c r="B1482" s="30"/>
      <c r="C1482" s="30"/>
      <c r="D1482" s="30"/>
      <c r="E1482" s="30"/>
      <c r="F1482" s="30"/>
      <c r="G1482" s="30"/>
    </row>
    <row r="1483">
      <c r="A1483" s="30"/>
      <c r="B1483" s="30"/>
      <c r="C1483" s="30"/>
      <c r="D1483" s="30"/>
      <c r="E1483" s="30"/>
      <c r="F1483" s="30"/>
      <c r="G1483" s="30"/>
    </row>
    <row r="1484">
      <c r="A1484" s="30"/>
      <c r="B1484" s="30"/>
      <c r="C1484" s="30"/>
      <c r="D1484" s="30"/>
      <c r="E1484" s="30"/>
      <c r="F1484" s="30"/>
      <c r="G1484" s="30"/>
    </row>
    <row r="1485">
      <c r="A1485" s="30"/>
      <c r="B1485" s="30"/>
      <c r="C1485" s="30"/>
      <c r="D1485" s="30"/>
      <c r="E1485" s="30"/>
      <c r="F1485" s="30"/>
      <c r="G1485" s="30"/>
    </row>
    <row r="1486">
      <c r="A1486" s="30"/>
      <c r="B1486" s="30"/>
      <c r="C1486" s="30"/>
      <c r="D1486" s="30"/>
      <c r="E1486" s="30"/>
      <c r="F1486" s="30"/>
      <c r="G1486" s="30"/>
    </row>
    <row r="1487">
      <c r="A1487" s="30"/>
      <c r="B1487" s="30"/>
      <c r="C1487" s="30"/>
      <c r="D1487" s="30"/>
      <c r="E1487" s="30"/>
      <c r="F1487" s="30"/>
      <c r="G1487" s="30"/>
    </row>
    <row r="1488">
      <c r="A1488" s="30"/>
      <c r="B1488" s="30"/>
      <c r="C1488" s="30"/>
      <c r="D1488" s="30"/>
      <c r="E1488" s="30"/>
      <c r="F1488" s="30"/>
      <c r="G1488" s="30"/>
    </row>
    <row r="1489">
      <c r="A1489" s="30"/>
      <c r="B1489" s="30"/>
      <c r="C1489" s="30"/>
      <c r="D1489" s="30"/>
      <c r="E1489" s="30"/>
      <c r="F1489" s="30"/>
      <c r="G1489" s="30"/>
    </row>
    <row r="1490">
      <c r="A1490" s="30"/>
      <c r="B1490" s="30"/>
      <c r="C1490" s="30"/>
      <c r="D1490" s="30"/>
      <c r="E1490" s="30"/>
      <c r="F1490" s="30"/>
      <c r="G1490" s="30"/>
    </row>
    <row r="1491">
      <c r="A1491" s="30"/>
      <c r="B1491" s="30"/>
      <c r="C1491" s="30"/>
      <c r="D1491" s="30"/>
      <c r="E1491" s="30"/>
      <c r="F1491" s="30"/>
      <c r="G1491" s="30"/>
    </row>
    <row r="1492">
      <c r="A1492" s="30"/>
      <c r="B1492" s="30"/>
      <c r="C1492" s="30"/>
      <c r="D1492" s="30"/>
      <c r="E1492" s="30"/>
      <c r="F1492" s="30"/>
      <c r="G1492" s="30"/>
    </row>
    <row r="1493">
      <c r="A1493" s="30"/>
      <c r="B1493" s="30"/>
      <c r="C1493" s="30"/>
      <c r="D1493" s="30"/>
      <c r="E1493" s="30"/>
      <c r="F1493" s="30"/>
      <c r="G1493" s="30"/>
    </row>
    <row r="1494">
      <c r="A1494" s="30"/>
      <c r="B1494" s="30"/>
      <c r="C1494" s="30"/>
      <c r="D1494" s="30"/>
      <c r="E1494" s="30"/>
      <c r="F1494" s="30"/>
      <c r="G1494" s="30"/>
    </row>
    <row r="1495">
      <c r="A1495" s="30"/>
      <c r="B1495" s="30"/>
      <c r="C1495" s="30"/>
      <c r="D1495" s="30"/>
      <c r="E1495" s="30"/>
      <c r="F1495" s="30"/>
      <c r="G1495" s="30"/>
    </row>
    <row r="1496">
      <c r="A1496" s="30"/>
      <c r="B1496" s="30"/>
      <c r="C1496" s="30"/>
      <c r="D1496" s="30"/>
      <c r="E1496" s="30"/>
      <c r="F1496" s="30"/>
      <c r="G1496" s="30"/>
    </row>
    <row r="1497">
      <c r="A1497" s="30"/>
      <c r="B1497" s="30"/>
      <c r="C1497" s="30"/>
      <c r="D1497" s="30"/>
      <c r="E1497" s="30"/>
      <c r="F1497" s="30"/>
      <c r="G1497" s="30"/>
    </row>
    <row r="1498">
      <c r="A1498" s="30"/>
      <c r="B1498" s="30"/>
      <c r="C1498" s="30"/>
      <c r="D1498" s="30"/>
      <c r="E1498" s="30"/>
      <c r="F1498" s="30"/>
      <c r="G1498" s="30"/>
    </row>
    <row r="1499">
      <c r="A1499" s="30"/>
      <c r="B1499" s="30"/>
      <c r="C1499" s="30"/>
      <c r="D1499" s="30"/>
      <c r="E1499" s="30"/>
      <c r="F1499" s="30"/>
      <c r="G1499" s="30"/>
    </row>
    <row r="1500">
      <c r="A1500" s="30"/>
      <c r="B1500" s="30"/>
      <c r="C1500" s="30"/>
      <c r="D1500" s="30"/>
      <c r="E1500" s="30"/>
      <c r="F1500" s="30"/>
      <c r="G1500" s="30"/>
    </row>
    <row r="1501">
      <c r="A1501" s="30"/>
      <c r="B1501" s="30"/>
      <c r="C1501" s="30"/>
      <c r="D1501" s="30"/>
      <c r="E1501" s="30"/>
      <c r="F1501" s="30"/>
      <c r="G1501" s="30"/>
    </row>
    <row r="1502">
      <c r="A1502" s="30"/>
      <c r="B1502" s="30"/>
      <c r="C1502" s="30"/>
      <c r="D1502" s="30"/>
      <c r="E1502" s="30"/>
      <c r="F1502" s="30"/>
      <c r="G1502" s="30"/>
    </row>
    <row r="1503">
      <c r="A1503" s="30"/>
      <c r="B1503" s="30"/>
      <c r="C1503" s="30"/>
      <c r="D1503" s="30"/>
      <c r="E1503" s="30"/>
      <c r="F1503" s="30"/>
      <c r="G1503" s="30"/>
    </row>
    <row r="1504">
      <c r="A1504" s="30"/>
      <c r="B1504" s="30"/>
      <c r="C1504" s="30"/>
      <c r="D1504" s="30"/>
      <c r="E1504" s="30"/>
      <c r="F1504" s="30"/>
      <c r="G1504" s="30"/>
    </row>
    <row r="1505">
      <c r="A1505" s="30"/>
      <c r="B1505" s="30"/>
      <c r="C1505" s="30"/>
      <c r="D1505" s="30"/>
      <c r="E1505" s="30"/>
      <c r="F1505" s="30"/>
      <c r="G1505" s="30"/>
    </row>
    <row r="1506">
      <c r="A1506" s="30"/>
      <c r="B1506" s="30"/>
      <c r="C1506" s="30"/>
      <c r="D1506" s="30"/>
      <c r="E1506" s="30"/>
      <c r="F1506" s="30"/>
      <c r="G1506" s="30"/>
    </row>
    <row r="1507">
      <c r="A1507" s="30"/>
      <c r="B1507" s="30"/>
      <c r="C1507" s="30"/>
      <c r="D1507" s="30"/>
      <c r="E1507" s="30"/>
      <c r="F1507" s="30"/>
      <c r="G1507" s="30"/>
    </row>
    <row r="1508">
      <c r="A1508" s="30"/>
      <c r="B1508" s="30"/>
      <c r="C1508" s="30"/>
      <c r="D1508" s="30"/>
      <c r="E1508" s="30"/>
      <c r="F1508" s="30"/>
      <c r="G1508" s="30"/>
    </row>
    <row r="1509">
      <c r="A1509" s="30"/>
      <c r="B1509" s="30"/>
      <c r="C1509" s="30"/>
      <c r="D1509" s="30"/>
      <c r="E1509" s="30"/>
      <c r="F1509" s="30"/>
      <c r="G1509" s="30"/>
    </row>
    <row r="1510">
      <c r="A1510" s="30"/>
      <c r="B1510" s="30"/>
      <c r="C1510" s="30"/>
      <c r="D1510" s="30"/>
      <c r="E1510" s="30"/>
      <c r="F1510" s="30"/>
      <c r="G1510" s="30"/>
    </row>
    <row r="1511">
      <c r="A1511" s="30"/>
      <c r="B1511" s="30"/>
      <c r="C1511" s="30"/>
      <c r="D1511" s="30"/>
      <c r="E1511" s="30"/>
      <c r="F1511" s="30"/>
      <c r="G1511" s="30"/>
    </row>
    <row r="1512">
      <c r="A1512" s="30"/>
      <c r="B1512" s="30"/>
      <c r="C1512" s="30"/>
      <c r="D1512" s="30"/>
      <c r="E1512" s="30"/>
      <c r="F1512" s="30"/>
      <c r="G1512" s="30"/>
    </row>
    <row r="1513">
      <c r="A1513" s="30"/>
      <c r="B1513" s="30"/>
      <c r="C1513" s="30"/>
      <c r="D1513" s="30"/>
      <c r="E1513" s="30"/>
      <c r="F1513" s="30"/>
      <c r="G1513" s="30"/>
    </row>
    <row r="1514">
      <c r="A1514" s="30"/>
      <c r="B1514" s="30"/>
      <c r="C1514" s="30"/>
      <c r="D1514" s="30"/>
      <c r="E1514" s="30"/>
      <c r="F1514" s="30"/>
      <c r="G1514" s="30"/>
    </row>
    <row r="1515">
      <c r="A1515" s="30"/>
      <c r="B1515" s="30"/>
      <c r="C1515" s="30"/>
      <c r="D1515" s="30"/>
      <c r="E1515" s="30"/>
      <c r="F1515" s="30"/>
      <c r="G1515" s="30"/>
    </row>
    <row r="1516">
      <c r="A1516" s="30"/>
      <c r="B1516" s="30"/>
      <c r="C1516" s="30"/>
      <c r="D1516" s="30"/>
      <c r="E1516" s="30"/>
      <c r="F1516" s="30"/>
      <c r="G1516" s="30"/>
    </row>
    <row r="1517">
      <c r="A1517" s="30"/>
      <c r="B1517" s="30"/>
      <c r="C1517" s="30"/>
      <c r="D1517" s="30"/>
      <c r="E1517" s="30"/>
      <c r="F1517" s="30"/>
      <c r="G1517" s="30"/>
    </row>
    <row r="1518">
      <c r="A1518" s="30"/>
      <c r="B1518" s="30"/>
      <c r="C1518" s="30"/>
      <c r="D1518" s="30"/>
      <c r="E1518" s="30"/>
      <c r="F1518" s="30"/>
      <c r="G1518" s="30"/>
    </row>
    <row r="1519">
      <c r="A1519" s="30"/>
      <c r="B1519" s="30"/>
      <c r="C1519" s="30"/>
      <c r="D1519" s="30"/>
      <c r="E1519" s="30"/>
      <c r="F1519" s="30"/>
      <c r="G1519" s="30"/>
    </row>
    <row r="1520">
      <c r="A1520" s="30"/>
      <c r="B1520" s="30"/>
      <c r="C1520" s="30"/>
      <c r="D1520" s="30"/>
      <c r="E1520" s="30"/>
      <c r="F1520" s="30"/>
      <c r="G1520" s="30"/>
    </row>
    <row r="1521">
      <c r="A1521" s="30"/>
      <c r="B1521" s="30"/>
      <c r="C1521" s="30"/>
      <c r="D1521" s="30"/>
      <c r="E1521" s="30"/>
      <c r="F1521" s="30"/>
      <c r="G1521" s="30"/>
    </row>
    <row r="1522">
      <c r="A1522" s="30"/>
      <c r="B1522" s="30"/>
      <c r="C1522" s="30"/>
      <c r="D1522" s="30"/>
      <c r="E1522" s="30"/>
      <c r="F1522" s="30"/>
      <c r="G1522" s="30"/>
    </row>
    <row r="1523">
      <c r="A1523" s="30"/>
      <c r="B1523" s="30"/>
      <c r="C1523" s="30"/>
      <c r="D1523" s="30"/>
      <c r="E1523" s="30"/>
      <c r="F1523" s="30"/>
      <c r="G1523" s="30"/>
    </row>
    <row r="1524">
      <c r="A1524" s="30"/>
      <c r="B1524" s="30"/>
      <c r="C1524" s="30"/>
      <c r="D1524" s="30"/>
      <c r="E1524" s="30"/>
      <c r="F1524" s="30"/>
      <c r="G1524" s="30"/>
    </row>
    <row r="1525">
      <c r="A1525" s="30"/>
      <c r="B1525" s="30"/>
      <c r="C1525" s="30"/>
      <c r="D1525" s="30"/>
      <c r="E1525" s="30"/>
      <c r="F1525" s="30"/>
      <c r="G1525" s="30"/>
    </row>
    <row r="1526">
      <c r="A1526" s="30"/>
      <c r="B1526" s="30"/>
      <c r="C1526" s="30"/>
      <c r="D1526" s="30"/>
      <c r="E1526" s="30"/>
      <c r="F1526" s="30"/>
      <c r="G1526" s="30"/>
    </row>
    <row r="1527">
      <c r="A1527" s="30"/>
      <c r="B1527" s="30"/>
      <c r="C1527" s="30"/>
      <c r="D1527" s="30"/>
      <c r="E1527" s="30"/>
      <c r="F1527" s="30"/>
      <c r="G1527" s="30"/>
    </row>
    <row r="1528">
      <c r="A1528" s="30"/>
      <c r="B1528" s="30"/>
      <c r="C1528" s="30"/>
      <c r="D1528" s="30"/>
      <c r="E1528" s="30"/>
      <c r="F1528" s="30"/>
      <c r="G1528" s="30"/>
    </row>
    <row r="1529">
      <c r="A1529" s="30"/>
      <c r="B1529" s="30"/>
      <c r="C1529" s="30"/>
      <c r="D1529" s="30"/>
      <c r="E1529" s="30"/>
      <c r="F1529" s="30"/>
      <c r="G1529" s="30"/>
    </row>
    <row r="1530">
      <c r="A1530" s="30"/>
      <c r="B1530" s="30"/>
      <c r="C1530" s="30"/>
      <c r="D1530" s="30"/>
      <c r="E1530" s="30"/>
      <c r="F1530" s="30"/>
      <c r="G1530" s="30"/>
    </row>
    <row r="1531">
      <c r="A1531" s="30"/>
      <c r="B1531" s="30"/>
      <c r="C1531" s="30"/>
      <c r="D1531" s="30"/>
      <c r="E1531" s="30"/>
      <c r="F1531" s="30"/>
      <c r="G1531" s="30"/>
    </row>
    <row r="1532">
      <c r="A1532" s="30"/>
      <c r="B1532" s="30"/>
      <c r="C1532" s="30"/>
      <c r="D1532" s="30"/>
      <c r="E1532" s="30"/>
      <c r="F1532" s="30"/>
      <c r="G1532" s="30"/>
    </row>
    <row r="1533">
      <c r="A1533" s="30"/>
      <c r="B1533" s="30"/>
      <c r="C1533" s="30"/>
      <c r="D1533" s="30"/>
      <c r="E1533" s="30"/>
      <c r="F1533" s="30"/>
      <c r="G1533" s="30"/>
    </row>
    <row r="1534">
      <c r="A1534" s="30"/>
      <c r="B1534" s="30"/>
      <c r="C1534" s="30"/>
      <c r="D1534" s="30"/>
      <c r="E1534" s="30"/>
      <c r="F1534" s="30"/>
      <c r="G1534" s="30"/>
    </row>
    <row r="1535">
      <c r="A1535" s="30"/>
      <c r="B1535" s="30"/>
      <c r="C1535" s="30"/>
      <c r="D1535" s="30"/>
      <c r="E1535" s="30"/>
      <c r="F1535" s="30"/>
      <c r="G1535" s="30"/>
    </row>
    <row r="1536">
      <c r="A1536" s="30"/>
      <c r="B1536" s="30"/>
      <c r="C1536" s="30"/>
      <c r="D1536" s="30"/>
      <c r="E1536" s="30"/>
      <c r="F1536" s="30"/>
      <c r="G1536" s="30"/>
    </row>
    <row r="1537">
      <c r="A1537" s="30"/>
      <c r="B1537" s="30"/>
      <c r="C1537" s="30"/>
      <c r="D1537" s="30"/>
      <c r="E1537" s="30"/>
      <c r="F1537" s="30"/>
      <c r="G1537" s="30"/>
    </row>
    <row r="1538">
      <c r="A1538" s="30"/>
      <c r="B1538" s="30"/>
      <c r="C1538" s="30"/>
      <c r="D1538" s="30"/>
      <c r="E1538" s="30"/>
      <c r="F1538" s="30"/>
      <c r="G1538" s="30"/>
    </row>
    <row r="1539">
      <c r="A1539" s="30"/>
      <c r="B1539" s="30"/>
      <c r="C1539" s="30"/>
      <c r="D1539" s="30"/>
      <c r="E1539" s="30"/>
      <c r="F1539" s="30"/>
      <c r="G1539" s="30"/>
    </row>
    <row r="1540">
      <c r="A1540" s="30"/>
      <c r="B1540" s="30"/>
      <c r="C1540" s="30"/>
      <c r="D1540" s="30"/>
      <c r="E1540" s="30"/>
      <c r="F1540" s="30"/>
      <c r="G1540" s="30"/>
    </row>
    <row r="1541">
      <c r="A1541" s="30"/>
      <c r="B1541" s="30"/>
      <c r="C1541" s="30"/>
      <c r="D1541" s="30"/>
      <c r="E1541" s="30"/>
      <c r="F1541" s="30"/>
      <c r="G1541" s="30"/>
    </row>
    <row r="1542">
      <c r="A1542" s="30"/>
      <c r="B1542" s="30"/>
      <c r="C1542" s="30"/>
      <c r="D1542" s="30"/>
      <c r="E1542" s="30"/>
      <c r="F1542" s="30"/>
      <c r="G1542" s="30"/>
    </row>
    <row r="1543">
      <c r="A1543" s="30"/>
      <c r="B1543" s="30"/>
      <c r="C1543" s="30"/>
      <c r="D1543" s="30"/>
      <c r="E1543" s="30"/>
      <c r="F1543" s="30"/>
      <c r="G1543" s="30"/>
    </row>
    <row r="1544">
      <c r="A1544" s="30"/>
      <c r="B1544" s="30"/>
      <c r="C1544" s="30"/>
      <c r="D1544" s="30"/>
      <c r="E1544" s="30"/>
      <c r="F1544" s="30"/>
      <c r="G1544" s="30"/>
    </row>
    <row r="1545">
      <c r="A1545" s="30"/>
      <c r="B1545" s="30"/>
      <c r="C1545" s="30"/>
      <c r="D1545" s="30"/>
      <c r="E1545" s="30"/>
      <c r="F1545" s="30"/>
      <c r="G1545" s="30"/>
    </row>
    <row r="1546">
      <c r="A1546" s="30"/>
      <c r="B1546" s="30"/>
      <c r="C1546" s="30"/>
      <c r="D1546" s="30"/>
      <c r="E1546" s="30"/>
      <c r="F1546" s="30"/>
      <c r="G1546" s="30"/>
    </row>
    <row r="1547">
      <c r="A1547" s="30"/>
      <c r="B1547" s="30"/>
      <c r="C1547" s="30"/>
      <c r="D1547" s="30"/>
      <c r="E1547" s="30"/>
      <c r="F1547" s="30"/>
      <c r="G1547" s="30"/>
    </row>
    <row r="1548">
      <c r="A1548" s="30"/>
      <c r="B1548" s="30"/>
      <c r="C1548" s="30"/>
      <c r="D1548" s="30"/>
      <c r="E1548" s="30"/>
      <c r="F1548" s="30"/>
      <c r="G1548" s="30"/>
    </row>
    <row r="1549">
      <c r="A1549" s="30"/>
      <c r="B1549" s="30"/>
      <c r="C1549" s="30"/>
      <c r="D1549" s="30"/>
      <c r="E1549" s="30"/>
      <c r="F1549" s="30"/>
      <c r="G1549" s="30"/>
    </row>
    <row r="1550">
      <c r="A1550" s="30"/>
      <c r="B1550" s="30"/>
      <c r="C1550" s="30"/>
      <c r="D1550" s="30"/>
      <c r="E1550" s="30"/>
      <c r="F1550" s="30"/>
      <c r="G1550" s="30"/>
    </row>
    <row r="1551">
      <c r="A1551" s="30"/>
      <c r="B1551" s="30"/>
      <c r="C1551" s="30"/>
      <c r="D1551" s="30"/>
      <c r="E1551" s="30"/>
      <c r="F1551" s="30"/>
      <c r="G1551" s="30"/>
    </row>
    <row r="1552">
      <c r="A1552" s="30"/>
      <c r="B1552" s="30"/>
      <c r="C1552" s="30"/>
      <c r="D1552" s="30"/>
      <c r="E1552" s="30"/>
      <c r="F1552" s="30"/>
      <c r="G1552" s="30"/>
    </row>
    <row r="1553">
      <c r="A1553" s="30"/>
      <c r="B1553" s="30"/>
      <c r="C1553" s="30"/>
      <c r="D1553" s="30"/>
      <c r="E1553" s="30"/>
      <c r="F1553" s="30"/>
      <c r="G1553" s="30"/>
    </row>
    <row r="1554">
      <c r="A1554" s="30"/>
      <c r="B1554" s="30"/>
      <c r="C1554" s="30"/>
      <c r="D1554" s="30"/>
      <c r="E1554" s="30"/>
      <c r="F1554" s="30"/>
      <c r="G1554" s="30"/>
    </row>
    <row r="1555">
      <c r="A1555" s="30"/>
      <c r="B1555" s="30"/>
      <c r="C1555" s="30"/>
      <c r="D1555" s="30"/>
      <c r="E1555" s="30"/>
      <c r="F1555" s="30"/>
      <c r="G1555" s="30"/>
    </row>
    <row r="1556">
      <c r="A1556" s="30"/>
      <c r="B1556" s="30"/>
      <c r="C1556" s="30"/>
      <c r="D1556" s="30"/>
      <c r="E1556" s="30"/>
      <c r="F1556" s="30"/>
      <c r="G1556" s="30"/>
    </row>
    <row r="1557">
      <c r="A1557" s="30"/>
      <c r="B1557" s="30"/>
      <c r="C1557" s="30"/>
      <c r="D1557" s="30"/>
      <c r="E1557" s="30"/>
      <c r="F1557" s="30"/>
      <c r="G1557" s="30"/>
    </row>
    <row r="1558">
      <c r="A1558" s="30"/>
      <c r="B1558" s="30"/>
      <c r="C1558" s="30"/>
      <c r="D1558" s="30"/>
      <c r="E1558" s="30"/>
      <c r="F1558" s="30"/>
      <c r="G1558" s="30"/>
    </row>
    <row r="1559">
      <c r="A1559" s="30"/>
      <c r="B1559" s="30"/>
      <c r="C1559" s="30"/>
      <c r="D1559" s="30"/>
      <c r="E1559" s="30"/>
      <c r="F1559" s="30"/>
      <c r="G1559" s="30"/>
    </row>
    <row r="1560">
      <c r="A1560" s="30"/>
      <c r="B1560" s="30"/>
      <c r="C1560" s="30"/>
      <c r="D1560" s="30"/>
      <c r="E1560" s="30"/>
      <c r="F1560" s="30"/>
      <c r="G1560" s="30"/>
    </row>
    <row r="1561">
      <c r="A1561" s="30"/>
      <c r="B1561" s="30"/>
      <c r="C1561" s="30"/>
      <c r="D1561" s="30"/>
      <c r="E1561" s="30"/>
      <c r="F1561" s="30"/>
      <c r="G1561" s="30"/>
    </row>
    <row r="1562">
      <c r="A1562" s="30"/>
      <c r="B1562" s="30"/>
      <c r="C1562" s="30"/>
      <c r="D1562" s="30"/>
      <c r="E1562" s="30"/>
      <c r="F1562" s="30"/>
      <c r="G1562" s="30"/>
    </row>
    <row r="1563">
      <c r="A1563" s="30"/>
      <c r="B1563" s="30"/>
      <c r="C1563" s="30"/>
      <c r="D1563" s="30"/>
      <c r="E1563" s="30"/>
      <c r="F1563" s="30"/>
      <c r="G1563" s="30"/>
    </row>
    <row r="1564">
      <c r="A1564" s="30"/>
      <c r="B1564" s="30"/>
      <c r="C1564" s="30"/>
      <c r="D1564" s="30"/>
      <c r="E1564" s="30"/>
      <c r="F1564" s="30"/>
      <c r="G1564" s="30"/>
    </row>
    <row r="1565">
      <c r="A1565" s="30"/>
      <c r="B1565" s="30"/>
      <c r="C1565" s="30"/>
      <c r="D1565" s="30"/>
      <c r="E1565" s="30"/>
      <c r="F1565" s="30"/>
      <c r="G1565" s="30"/>
    </row>
    <row r="1566">
      <c r="A1566" s="30"/>
      <c r="B1566" s="30"/>
      <c r="C1566" s="30"/>
      <c r="D1566" s="30"/>
      <c r="E1566" s="30"/>
      <c r="F1566" s="30"/>
      <c r="G1566" s="30"/>
    </row>
    <row r="1567">
      <c r="A1567" s="30"/>
      <c r="B1567" s="30"/>
      <c r="C1567" s="30"/>
      <c r="D1567" s="30"/>
      <c r="E1567" s="30"/>
      <c r="F1567" s="30"/>
      <c r="G1567" s="30"/>
    </row>
    <row r="1568">
      <c r="A1568" s="30"/>
      <c r="B1568" s="30"/>
      <c r="C1568" s="30"/>
      <c r="D1568" s="30"/>
      <c r="E1568" s="30"/>
      <c r="F1568" s="30"/>
      <c r="G1568" s="30"/>
    </row>
    <row r="1569">
      <c r="A1569" s="30"/>
      <c r="B1569" s="30"/>
      <c r="C1569" s="30"/>
      <c r="D1569" s="30"/>
      <c r="E1569" s="30"/>
      <c r="F1569" s="30"/>
      <c r="G1569" s="30"/>
    </row>
    <row r="1570">
      <c r="A1570" s="30"/>
      <c r="B1570" s="30"/>
      <c r="C1570" s="30"/>
      <c r="D1570" s="30"/>
      <c r="E1570" s="30"/>
      <c r="F1570" s="30"/>
      <c r="G1570" s="30"/>
    </row>
    <row r="1571">
      <c r="A1571" s="30"/>
      <c r="B1571" s="30"/>
      <c r="C1571" s="30"/>
      <c r="D1571" s="30"/>
      <c r="E1571" s="30"/>
      <c r="F1571" s="30"/>
      <c r="G1571" s="30"/>
    </row>
    <row r="1572">
      <c r="A1572" s="30"/>
      <c r="B1572" s="30"/>
      <c r="C1572" s="30"/>
      <c r="D1572" s="30"/>
      <c r="E1572" s="30"/>
      <c r="F1572" s="30"/>
      <c r="G1572" s="30"/>
    </row>
    <row r="1573">
      <c r="A1573" s="30"/>
      <c r="B1573" s="30"/>
      <c r="C1573" s="30"/>
      <c r="D1573" s="30"/>
      <c r="E1573" s="30"/>
      <c r="F1573" s="30"/>
      <c r="G1573" s="30"/>
    </row>
    <row r="1574">
      <c r="A1574" s="30"/>
      <c r="B1574" s="30"/>
      <c r="C1574" s="30"/>
      <c r="D1574" s="30"/>
      <c r="E1574" s="30"/>
      <c r="F1574" s="30"/>
      <c r="G1574" s="30"/>
    </row>
    <row r="1575">
      <c r="A1575" s="30"/>
      <c r="B1575" s="30"/>
      <c r="C1575" s="30"/>
      <c r="D1575" s="30"/>
      <c r="E1575" s="30"/>
      <c r="F1575" s="30"/>
      <c r="G1575" s="30"/>
    </row>
    <row r="1576">
      <c r="A1576" s="30"/>
      <c r="B1576" s="30"/>
      <c r="C1576" s="30"/>
      <c r="D1576" s="30"/>
      <c r="E1576" s="30"/>
      <c r="F1576" s="30"/>
      <c r="G1576" s="30"/>
    </row>
    <row r="1577">
      <c r="A1577" s="30"/>
      <c r="B1577" s="30"/>
      <c r="C1577" s="30"/>
      <c r="D1577" s="30"/>
      <c r="E1577" s="30"/>
      <c r="F1577" s="30"/>
      <c r="G1577" s="30"/>
    </row>
    <row r="1578">
      <c r="A1578" s="30"/>
      <c r="B1578" s="30"/>
      <c r="C1578" s="30"/>
      <c r="D1578" s="30"/>
      <c r="E1578" s="30"/>
      <c r="F1578" s="30"/>
      <c r="G1578" s="30"/>
    </row>
    <row r="1579">
      <c r="A1579" s="30"/>
      <c r="B1579" s="30"/>
      <c r="C1579" s="30"/>
      <c r="D1579" s="30"/>
      <c r="E1579" s="30"/>
      <c r="F1579" s="30"/>
      <c r="G1579" s="30"/>
    </row>
    <row r="1580">
      <c r="A1580" s="30"/>
      <c r="B1580" s="30"/>
      <c r="C1580" s="30"/>
      <c r="D1580" s="30"/>
      <c r="E1580" s="30"/>
      <c r="F1580" s="30"/>
      <c r="G1580" s="30"/>
    </row>
    <row r="1581">
      <c r="A1581" s="30"/>
      <c r="B1581" s="30"/>
      <c r="C1581" s="30"/>
      <c r="D1581" s="30"/>
      <c r="E1581" s="30"/>
      <c r="F1581" s="30"/>
      <c r="G1581" s="30"/>
    </row>
    <row r="1582">
      <c r="A1582" s="30"/>
      <c r="B1582" s="30"/>
      <c r="C1582" s="30"/>
      <c r="D1582" s="30"/>
      <c r="E1582" s="30"/>
      <c r="F1582" s="30"/>
      <c r="G1582" s="30"/>
    </row>
    <row r="1583">
      <c r="A1583" s="30"/>
      <c r="B1583" s="30"/>
      <c r="C1583" s="30"/>
      <c r="D1583" s="30"/>
      <c r="E1583" s="30"/>
      <c r="F1583" s="30"/>
      <c r="G1583" s="30"/>
    </row>
    <row r="1584">
      <c r="A1584" s="30"/>
      <c r="B1584" s="30"/>
      <c r="C1584" s="30"/>
      <c r="D1584" s="30"/>
      <c r="E1584" s="30"/>
      <c r="F1584" s="30"/>
      <c r="G1584" s="30"/>
    </row>
    <row r="1585">
      <c r="A1585" s="30"/>
      <c r="B1585" s="30"/>
      <c r="C1585" s="30"/>
      <c r="D1585" s="30"/>
      <c r="E1585" s="30"/>
      <c r="F1585" s="30"/>
      <c r="G1585" s="30"/>
    </row>
    <row r="1586">
      <c r="A1586" s="30"/>
      <c r="B1586" s="30"/>
      <c r="C1586" s="30"/>
      <c r="D1586" s="30"/>
      <c r="E1586" s="30"/>
      <c r="F1586" s="30"/>
      <c r="G1586" s="3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Right="0"/>
  </sheetPr>
  <sheetViews>
    <sheetView workbookViewId="0"/>
  </sheetViews>
  <sheetFormatPr customHeight="1" defaultColWidth="12.63" defaultRowHeight="15.75" outlineLevelRow="1"/>
  <cols>
    <col customWidth="1" min="1" max="1" width="16.25"/>
  </cols>
  <sheetData>
    <row r="1" outlineLevel="1">
      <c r="A1" s="93" t="s">
        <v>153</v>
      </c>
      <c r="B1" s="93" t="s">
        <v>154</v>
      </c>
      <c r="F1" s="93" t="s">
        <v>155</v>
      </c>
    </row>
    <row r="2" outlineLevel="1">
      <c r="A2" s="94" t="s">
        <v>156</v>
      </c>
      <c r="B2" s="95" t="s">
        <v>157</v>
      </c>
      <c r="C2" s="96"/>
      <c r="D2" s="96"/>
      <c r="E2" s="96"/>
      <c r="F2" s="93">
        <v>1.0</v>
      </c>
    </row>
    <row r="3" outlineLevel="1">
      <c r="A3" s="94" t="s">
        <v>158</v>
      </c>
      <c r="B3" s="95" t="s">
        <v>159</v>
      </c>
      <c r="C3" s="96"/>
      <c r="D3" s="96"/>
      <c r="E3" s="96"/>
    </row>
    <row r="4" outlineLevel="1">
      <c r="A4" s="94" t="s">
        <v>160</v>
      </c>
      <c r="B4" s="95" t="s">
        <v>161</v>
      </c>
      <c r="C4" s="96"/>
      <c r="D4" s="96"/>
      <c r="E4" s="96"/>
    </row>
    <row r="5" outlineLevel="1">
      <c r="A5" s="96" t="s">
        <v>162</v>
      </c>
      <c r="B5" s="95" t="s">
        <v>163</v>
      </c>
      <c r="C5" s="96"/>
      <c r="D5" s="96"/>
      <c r="E5" s="96"/>
    </row>
    <row r="6" outlineLevel="1">
      <c r="A6" s="96" t="s">
        <v>164</v>
      </c>
      <c r="B6" s="95" t="s">
        <v>165</v>
      </c>
      <c r="C6" s="96"/>
      <c r="D6" s="96"/>
      <c r="E6" s="96"/>
    </row>
    <row r="7" outlineLevel="1">
      <c r="A7" s="94" t="s">
        <v>166</v>
      </c>
      <c r="B7" s="95" t="s">
        <v>167</v>
      </c>
      <c r="C7" s="96"/>
      <c r="D7" s="96"/>
      <c r="E7" s="96"/>
    </row>
    <row r="8" outlineLevel="1">
      <c r="A8" s="94" t="s">
        <v>168</v>
      </c>
      <c r="B8" s="95" t="s">
        <v>169</v>
      </c>
      <c r="C8" s="96"/>
      <c r="D8" s="96"/>
      <c r="E8" s="96"/>
    </row>
    <row r="9" outlineLevel="1">
      <c r="A9" s="94" t="s">
        <v>170</v>
      </c>
      <c r="B9" s="95" t="s">
        <v>171</v>
      </c>
      <c r="C9" s="96"/>
      <c r="D9" s="96"/>
      <c r="E9" s="96"/>
    </row>
    <row r="10" outlineLevel="1">
      <c r="A10" s="94" t="s">
        <v>172</v>
      </c>
      <c r="B10" s="95" t="s">
        <v>173</v>
      </c>
      <c r="C10" s="96"/>
      <c r="D10" s="96"/>
      <c r="E10" s="96"/>
    </row>
    <row r="11">
      <c r="A11" s="93" t="s">
        <v>174</v>
      </c>
      <c r="B11" s="97" t="s">
        <v>175</v>
      </c>
    </row>
    <row r="12">
      <c r="A12" s="93" t="s">
        <v>176</v>
      </c>
      <c r="B12" s="93" t="b">
        <v>1</v>
      </c>
      <c r="C12" s="41"/>
      <c r="D12" s="41"/>
      <c r="E12" s="41"/>
      <c r="F12" s="41"/>
      <c r="G12" s="41"/>
      <c r="H12" s="41"/>
      <c r="I12" s="41"/>
      <c r="J12" s="41"/>
      <c r="K12" s="41"/>
      <c r="L12" s="41"/>
      <c r="M12" s="41"/>
      <c r="N12" s="41"/>
      <c r="O12" s="41"/>
      <c r="P12" s="41"/>
      <c r="Q12" s="41"/>
      <c r="R12" s="41"/>
      <c r="S12" s="41"/>
      <c r="T12" s="41"/>
      <c r="U12" s="41"/>
    </row>
    <row r="13">
      <c r="B13" s="41"/>
      <c r="C13" s="41"/>
      <c r="D13" s="41"/>
      <c r="E13" s="41"/>
      <c r="F13" s="41"/>
      <c r="G13" s="41"/>
      <c r="H13" s="41"/>
      <c r="I13" s="41"/>
      <c r="J13" s="41"/>
      <c r="K13" s="41"/>
      <c r="L13" s="41"/>
      <c r="M13" s="41"/>
      <c r="N13" s="41"/>
      <c r="O13" s="41"/>
      <c r="P13" s="41"/>
      <c r="Q13" s="41"/>
      <c r="R13" s="41"/>
      <c r="S13" s="41"/>
      <c r="T13" s="41"/>
      <c r="U13" s="41"/>
    </row>
    <row r="14">
      <c r="A14" s="98"/>
      <c r="B14" s="99" t="s">
        <v>177</v>
      </c>
      <c r="D14" s="100" t="s">
        <v>156</v>
      </c>
      <c r="F14" s="101" t="s">
        <v>158</v>
      </c>
      <c r="H14" s="102" t="s">
        <v>160</v>
      </c>
      <c r="J14" s="103" t="s">
        <v>162</v>
      </c>
      <c r="L14" s="104" t="s">
        <v>164</v>
      </c>
      <c r="N14" s="105" t="s">
        <v>166</v>
      </c>
      <c r="P14" s="106" t="s">
        <v>168</v>
      </c>
      <c r="R14" s="107" t="s">
        <v>170</v>
      </c>
      <c r="T14" s="108" t="s">
        <v>172</v>
      </c>
    </row>
    <row r="15">
      <c r="A15" s="93"/>
      <c r="B15" s="99" t="s">
        <v>136</v>
      </c>
      <c r="C15" s="99" t="s">
        <v>4</v>
      </c>
      <c r="D15" s="100" t="s">
        <v>136</v>
      </c>
      <c r="E15" s="100" t="s">
        <v>4</v>
      </c>
      <c r="F15" s="101" t="s">
        <v>136</v>
      </c>
      <c r="G15" s="101" t="s">
        <v>4</v>
      </c>
      <c r="H15" s="102" t="s">
        <v>136</v>
      </c>
      <c r="I15" s="102" t="s">
        <v>4</v>
      </c>
      <c r="J15" s="103" t="s">
        <v>136</v>
      </c>
      <c r="K15" s="103" t="s">
        <v>4</v>
      </c>
      <c r="L15" s="104" t="s">
        <v>136</v>
      </c>
      <c r="M15" s="104" t="s">
        <v>4</v>
      </c>
      <c r="N15" s="105" t="s">
        <v>136</v>
      </c>
      <c r="O15" s="105" t="s">
        <v>4</v>
      </c>
      <c r="P15" s="106" t="s">
        <v>136</v>
      </c>
      <c r="Q15" s="106" t="s">
        <v>4</v>
      </c>
      <c r="R15" s="107" t="s">
        <v>136</v>
      </c>
      <c r="S15" s="107" t="s">
        <v>4</v>
      </c>
      <c r="T15" s="108" t="s">
        <v>136</v>
      </c>
      <c r="U15" s="108" t="s">
        <v>4</v>
      </c>
    </row>
    <row r="16">
      <c r="A16" s="93" t="s">
        <v>178</v>
      </c>
      <c r="B16" s="109">
        <f>AVERAGEA('Raw Stats Imports'!AX:AX)</f>
        <v>45.44760906</v>
      </c>
      <c r="C16" s="109">
        <f>AVERAGE('Raw Stats Imports'!AV:AV)</f>
        <v>50</v>
      </c>
      <c r="D16" s="110">
        <f>AVERAGEIF('Raw Stats Imports'!$A:$A,D$14,'Raw Stats Imports'!$AX:$AX)</f>
        <v>45.51513108</v>
      </c>
      <c r="E16" s="110">
        <f>AVERAGEIF('Raw Stats Imports'!$A:$A,D$14,'Raw Stats Imports'!$AV:$AV)</f>
        <v>50</v>
      </c>
      <c r="F16" s="111">
        <f>AVERAGEIF('Raw Stats Imports'!$A:$A,F$14,'Raw Stats Imports'!$AX:$AX)</f>
        <v>42.85537536</v>
      </c>
      <c r="G16" s="111">
        <f>AVERAGEIF('Raw Stats Imports'!$A:$A,F$14,'Raw Stats Imports'!$AV:$AV)</f>
        <v>50</v>
      </c>
      <c r="H16" s="112">
        <f>AVERAGEIF('Raw Stats Imports'!$A:$A,H$14,'Raw Stats Imports'!$AX:$AX)</f>
        <v>45.36335658</v>
      </c>
      <c r="I16" s="112">
        <f>AVERAGEIF('Raw Stats Imports'!$A:$A,H$14,'Raw Stats Imports'!$AV:$AV)</f>
        <v>50</v>
      </c>
      <c r="J16" s="113">
        <f>AVERAGEIF('Raw Stats Imports'!$A:$A,J$14,'Raw Stats Imports'!$AX:$AX)</f>
        <v>45.10954623</v>
      </c>
      <c r="K16" s="113">
        <f>AVERAGEIF('Raw Stats Imports'!$A:$A,J$14,'Raw Stats Imports'!$AV:$AV)</f>
        <v>50</v>
      </c>
      <c r="L16" s="114">
        <f>AVERAGEIF('Raw Stats Imports'!$A:$A,L$14,'Raw Stats Imports'!$AX:$AX)</f>
        <v>46.36786095</v>
      </c>
      <c r="M16" s="114">
        <f>AVERAGEIF('Raw Stats Imports'!$A:$A,L$14,'Raw Stats Imports'!$AV:$AV)</f>
        <v>50</v>
      </c>
      <c r="N16" s="115">
        <f>AVERAGEIF('Raw Stats Imports'!$A:$A,N$14,'Raw Stats Imports'!$AX:$AX)</f>
        <v>46.96876904</v>
      </c>
      <c r="O16" s="115">
        <f>AVERAGEIF('Raw Stats Imports'!$A:$A,N$14,'Raw Stats Imports'!$AV:$AV)</f>
        <v>50</v>
      </c>
      <c r="P16" s="116">
        <f>AVERAGEIF('Raw Stats Imports'!$A:$A,P$14,'Raw Stats Imports'!$AX:$AX)</f>
        <v>45.163352</v>
      </c>
      <c r="Q16" s="116">
        <f>AVERAGEIF('Raw Stats Imports'!$A:$A,P$14,'Raw Stats Imports'!$AV:$AV)</f>
        <v>50</v>
      </c>
      <c r="R16" s="117">
        <f>AVERAGEIF('Raw Stats Imports'!$A:$A,R$14,'Raw Stats Imports'!$AX:$AX)</f>
        <v>46.28344164</v>
      </c>
      <c r="S16" s="117">
        <f>AVERAGEIF('Raw Stats Imports'!$A:$A,R$14,'Raw Stats Imports'!$AV:$AV)</f>
        <v>50</v>
      </c>
      <c r="T16" s="118">
        <f>AVERAGEIF('Raw Stats Imports'!$A:$A,T$14,'Raw Stats Imports'!$AX:$AX)</f>
        <v>44.33427908</v>
      </c>
      <c r="U16" s="118">
        <f>AVERAGEIF('Raw Stats Imports'!$A:$A,T$14,'Raw Stats Imports'!$AV:$AV)</f>
        <v>50</v>
      </c>
    </row>
    <row r="17">
      <c r="A17" s="93" t="s">
        <v>179</v>
      </c>
      <c r="B17" s="109">
        <f>STDEVA('Raw Stats Imports'!AX:AX)</f>
        <v>20.96449575</v>
      </c>
      <c r="C17" s="109">
        <f>STDEV('Raw Stats Imports'!AV:AV)</f>
        <v>24.88023883</v>
      </c>
      <c r="D17" s="119">
        <f>IFERROR(__xludf.DUMMYFUNCTION("STDEV(FILTER('Raw Stats Imports'!$AX:$AX,'Raw Stats Imports'!$A:$A=D$14))"),18.010184434864314)</f>
        <v>18.01018443</v>
      </c>
      <c r="E17" s="119">
        <f>IFERROR(__xludf.DUMMYFUNCTION("STDEV(FILTER('Raw Stats Imports'!$AV:$AV,'Raw Stats Imports'!$A:$A=D$14))"),24.999999999999996)</f>
        <v>25</v>
      </c>
      <c r="F17" s="120">
        <f>IFERROR(__xludf.DUMMYFUNCTION("STDEV(FILTER('Raw Stats Imports'!$AX:$AX,'Raw Stats Imports'!$A:$A=F$14))"),25.83805140727417)</f>
        <v>25.83805141</v>
      </c>
      <c r="G17" s="120">
        <f>IFERROR(__xludf.DUMMYFUNCTION("STDEV(FILTER('Raw Stats Imports'!$AV:$AV,'Raw Stats Imports'!$A:$A=F$14))"),24.999999999999996)</f>
        <v>25</v>
      </c>
      <c r="H17" s="121">
        <f>IFERROR(__xludf.DUMMYFUNCTION("STDEV(FILTER('Raw Stats Imports'!$AX:$AX,'Raw Stats Imports'!$A:$A=H$14))"),20.755991247224102)</f>
        <v>20.75599125</v>
      </c>
      <c r="I17" s="121">
        <f>IFERROR(__xludf.DUMMYFUNCTION("STDEV(FILTER('Raw Stats Imports'!$AV:$AV,'Raw Stats Imports'!$A:$A=H$14))"),24.999999999999975)</f>
        <v>25</v>
      </c>
      <c r="J17" s="122">
        <f>IFERROR(__xludf.DUMMYFUNCTION("STDEV(FILTER('Raw Stats Imports'!$AX:$AX,'Raw Stats Imports'!$A:$A=J$14))"),21.115810651703857)</f>
        <v>21.11581065</v>
      </c>
      <c r="K17" s="122">
        <f>IFERROR(__xludf.DUMMYFUNCTION("STDEV(FILTER('Raw Stats Imports'!$AV:$AV,'Raw Stats Imports'!$A:$A=J$14))"),24.99999999999999)</f>
        <v>25</v>
      </c>
      <c r="L17" s="123">
        <f>IFERROR(__xludf.DUMMYFUNCTION("STDEV(FILTER('Raw Stats Imports'!$AX:$AX,'Raw Stats Imports'!$A:$A=L$14))"),18.53620264563401)</f>
        <v>18.53620265</v>
      </c>
      <c r="M17" s="123">
        <f>IFERROR(__xludf.DUMMYFUNCTION("STDEV(FILTER('Raw Stats Imports'!$AV:$AV,'Raw Stats Imports'!$A:$A=L$14))"),24.999999999999968)</f>
        <v>25</v>
      </c>
      <c r="N17" s="124">
        <f>IFERROR(__xludf.DUMMYFUNCTION("STDEV(FILTER('Raw Stats Imports'!$AX:$AX,'Raw Stats Imports'!$A:$A=N$14))"),20.602628677180196)</f>
        <v>20.60262868</v>
      </c>
      <c r="O17" s="124">
        <f>IFERROR(__xludf.DUMMYFUNCTION("STDEV(FILTER('Raw Stats Imports'!$AV:$AV,'Raw Stats Imports'!$A:$A=N$14))"),25.000000000000004)</f>
        <v>25</v>
      </c>
      <c r="P17" s="125">
        <f>IFERROR(__xludf.DUMMYFUNCTION("STDEV(FILTER('Raw Stats Imports'!$AX:$AX,'Raw Stats Imports'!$A:$A=P$14))"),19.967295468769215)</f>
        <v>19.96729547</v>
      </c>
      <c r="Q17" s="125">
        <f>IFERROR(__xludf.DUMMYFUNCTION("STDEV(FILTER('Raw Stats Imports'!$AV:$AV,'Raw Stats Imports'!$A:$A=P$14))"),25.000000000000014)</f>
        <v>25</v>
      </c>
      <c r="R17" s="126">
        <f>IFERROR(__xludf.DUMMYFUNCTION("STDEV(FILTER('Raw Stats Imports'!$AX:$AX,'Raw Stats Imports'!$A:$A=R$14))"),21.75092973542252)</f>
        <v>21.75092974</v>
      </c>
      <c r="S17" s="126">
        <f>IFERROR(__xludf.DUMMYFUNCTION("STDEV(FILTER('Raw Stats Imports'!$AV:$AV,'Raw Stats Imports'!$A:$A=R$14))"),24.999999999999993)</f>
        <v>25</v>
      </c>
      <c r="T17" s="127">
        <f>IFERROR(__xludf.DUMMYFUNCTION("STDEV(FILTER('Raw Stats Imports'!$AX:$AX,'Raw Stats Imports'!$A:$A=T$14))"),25.48059311563521)</f>
        <v>25.48059312</v>
      </c>
      <c r="U17" s="127">
        <f>IFERROR(__xludf.DUMMYFUNCTION("STDEV(FILTER('Raw Stats Imports'!$AV:$AV,'Raw Stats Imports'!$A:$A=T$14))"),24.999999999999996)</f>
        <v>25</v>
      </c>
    </row>
    <row r="18">
      <c r="A18" s="93" t="s">
        <v>180</v>
      </c>
      <c r="B18" s="109">
        <f>MEDIAN('Raw Stats Imports'!AX:AX)</f>
        <v>47.12710644</v>
      </c>
      <c r="C18" s="109">
        <f>MEDIAN('Raw Stats Imports'!AV:AV)</f>
        <v>51.87161669</v>
      </c>
      <c r="D18" s="119">
        <f>IFERROR(__xludf.DUMMYFUNCTION("MEDIAN(FILTER('Raw Stats Imports'!$AX:$AX,'Raw Stats Imports'!$A:$A=D$14))"),46.07183688287794)</f>
        <v>46.07183688</v>
      </c>
      <c r="E18" s="119">
        <f>IFERROR(__xludf.DUMMYFUNCTION("MEDIAN(FILTER('Raw Stats Imports'!$AV:$AV,'Raw Stats Imports'!$A:$A=D$14))"),49.59115616672777)</f>
        <v>49.59115617</v>
      </c>
      <c r="F18" s="120">
        <f>IFERROR(__xludf.DUMMYFUNCTION("MEDIAN(FILTER('Raw Stats Imports'!$AX:$AX,'Raw Stats Imports'!$A:$A=F$14))"),46.385501880241435)</f>
        <v>46.38550188</v>
      </c>
      <c r="G18" s="120">
        <f>IFERROR(__xludf.DUMMYFUNCTION("MEDIAN(FILTER('Raw Stats Imports'!$AV:$AV,'Raw Stats Imports'!$A:$A=F$14))"),53.72852051315573)</f>
        <v>53.72852051</v>
      </c>
      <c r="H18" s="121">
        <f>IFERROR(__xludf.DUMMYFUNCTION("MEDIAN(FILTER('Raw Stats Imports'!$AX:$AX,'Raw Stats Imports'!$A:$A=H$14))"),45.98888863280782)</f>
        <v>45.98888863</v>
      </c>
      <c r="I18" s="121">
        <f>IFERROR(__xludf.DUMMYFUNCTION("MEDIAN(FILTER('Raw Stats Imports'!$AV:$AV,'Raw Stats Imports'!$A:$A=H$14))"),51.65090102325611)</f>
        <v>51.65090102</v>
      </c>
      <c r="J18" s="122">
        <f>IFERROR(__xludf.DUMMYFUNCTION("MEDIAN(FILTER('Raw Stats Imports'!$AX:$AX,'Raw Stats Imports'!$A:$A=J$14))"),48.848347528456905)</f>
        <v>48.84834753</v>
      </c>
      <c r="K18" s="122">
        <f>IFERROR(__xludf.DUMMYFUNCTION("MEDIAN(FILTER('Raw Stats Imports'!$AV:$AV,'Raw Stats Imports'!$A:$A=J$14))"),54.1147537054065)</f>
        <v>54.11475371</v>
      </c>
      <c r="L18" s="123">
        <f>IFERROR(__xludf.DUMMYFUNCTION("MEDIAN(FILTER('Raw Stats Imports'!$AX:$AX,'Raw Stats Imports'!$A:$A=L$14))"),46.60334034279012)</f>
        <v>46.60334034</v>
      </c>
      <c r="M18" s="123">
        <f>IFERROR(__xludf.DUMMYFUNCTION("MEDIAN(FILTER('Raw Stats Imports'!$AV:$AV,'Raw Stats Imports'!$A:$A=L$14))"),50.28195718899484)</f>
        <v>50.28195719</v>
      </c>
      <c r="N18" s="124">
        <f>IFERROR(__xludf.DUMMYFUNCTION("MEDIAN(FILTER('Raw Stats Imports'!$AX:$AX,'Raw Stats Imports'!$A:$A=N$14))"),47.741281786584594)</f>
        <v>47.74128179</v>
      </c>
      <c r="O18" s="124">
        <f>IFERROR(__xludf.DUMMYFUNCTION("MEDIAN(FILTER('Raw Stats Imports'!$AV:$AV,'Raw Stats Imports'!$A:$A=N$14))"),52.107343321243164)</f>
        <v>52.10734332</v>
      </c>
      <c r="P18" s="125">
        <f>IFERROR(__xludf.DUMMYFUNCTION("MEDIAN(FILTER('Raw Stats Imports'!$AX:$AX,'Raw Stats Imports'!$A:$A=P$14))"),47.19103115624077)</f>
        <v>47.19103116</v>
      </c>
      <c r="Q18" s="125">
        <f>IFERROR(__xludf.DUMMYFUNCTION("MEDIAN(FILTER('Raw Stats Imports'!$AV:$AV,'Raw Stats Imports'!$A:$A=P$14))"),51.4745126793823)</f>
        <v>51.47451268</v>
      </c>
      <c r="R18" s="126">
        <f>IFERROR(__xludf.DUMMYFUNCTION("MEDIAN(FILTER('Raw Stats Imports'!$AX:$AX,'Raw Stats Imports'!$A:$A=R$14))"),46.48554611041989)</f>
        <v>46.48554611</v>
      </c>
      <c r="S18" s="126">
        <f>IFERROR(__xludf.DUMMYFUNCTION("MEDIAN(FILTER('Raw Stats Imports'!$AV:$AV,'Raw Stats Imports'!$A:$A=R$14))"),48.33590799694529)</f>
        <v>48.335908</v>
      </c>
      <c r="T18" s="127">
        <f>IFERROR(__xludf.DUMMYFUNCTION("MEDIAN(FILTER('Raw Stats Imports'!$AX:$AX,'Raw Stats Imports'!$A:$A=T$14))"),45.91976585457015)</f>
        <v>45.91976585</v>
      </c>
      <c r="U18" s="127">
        <f>IFERROR(__xludf.DUMMYFUNCTION("MEDIAN(FILTER('Raw Stats Imports'!$AV:$AV,'Raw Stats Imports'!$A:$A=T$14))"),50.93627788790981)</f>
        <v>50.93627789</v>
      </c>
    </row>
    <row r="19">
      <c r="A19" s="93" t="s">
        <v>181</v>
      </c>
      <c r="B19" s="109">
        <f>MAX('Raw Stats Imports'!AX:AX)</f>
        <v>109.335692</v>
      </c>
      <c r="C19" s="109">
        <f>MAXA('Raw Stats Imports'!AV:AV)</f>
        <v>137.0203816</v>
      </c>
      <c r="D19" s="119">
        <f>IFERROR(__xludf.DUMMYFUNCTION("MAX(FILTER('Raw Stats Imports'!$AX:$AX,'Raw Stats Imports'!$A:$A=D$14))"),82.42728676511939)</f>
        <v>82.42728677</v>
      </c>
      <c r="E19" s="119">
        <f>IFERROR(__xludf.DUMMYFUNCTION("MAX(FILTER('Raw Stats Imports'!$AV:$AV,'Raw Stats Imports'!$A:$A=D$14))"),94.98862403153811)</f>
        <v>94.98862403</v>
      </c>
      <c r="F19" s="120">
        <f>IFERROR(__xludf.DUMMYFUNCTION("MAX(FILTER('Raw Stats Imports'!$AX:$AX,'Raw Stats Imports'!$A:$A=F$14))"),95.91171668831944)</f>
        <v>95.91171669</v>
      </c>
      <c r="G19" s="120">
        <f>IFERROR(__xludf.DUMMYFUNCTION("MAX(FILTER('Raw Stats Imports'!$AV:$AV,'Raw Stats Imports'!$A:$A=F$14))"),100.25460501988178)</f>
        <v>100.254605</v>
      </c>
      <c r="H19" s="121">
        <f>IFERROR(__xludf.DUMMYFUNCTION("MAX(FILTER('Raw Stats Imports'!$AX:$AX,'Raw Stats Imports'!$A:$A=H$14))"),109.33569203030532)</f>
        <v>109.335692</v>
      </c>
      <c r="I19" s="121">
        <f>IFERROR(__xludf.DUMMYFUNCTION("MAX(FILTER('Raw Stats Imports'!$AV:$AV,'Raw Stats Imports'!$A:$A=H$14))"),126.15790455603492)</f>
        <v>126.1579046</v>
      </c>
      <c r="J19" s="122">
        <f>IFERROR(__xludf.DUMMYFUNCTION("MAX(FILTER('Raw Stats Imports'!$AX:$AX,'Raw Stats Imports'!$A:$A=J$14))"),92.1255306820335)</f>
        <v>92.12553068</v>
      </c>
      <c r="K19" s="122">
        <f>IFERROR(__xludf.DUMMYFUNCTION("MAX(FILTER('Raw Stats Imports'!$AV:$AV,'Raw Stats Imports'!$A:$A=J$14))"),98.95273995662478)</f>
        <v>98.95273996</v>
      </c>
      <c r="L19" s="123">
        <f>IFERROR(__xludf.DUMMYFUNCTION("MAX(FILTER('Raw Stats Imports'!$AX:$AX,'Raw Stats Imports'!$A:$A=L$14))"),96.12081801678106)</f>
        <v>96.12081802</v>
      </c>
      <c r="M19" s="123">
        <f>IFERROR(__xludf.DUMMYFUNCTION("MAX(FILTER('Raw Stats Imports'!$AV:$AV,'Raw Stats Imports'!$A:$A=L$14))"),115.05333847972621)</f>
        <v>115.0533385</v>
      </c>
      <c r="N19" s="124">
        <f>IFERROR(__xludf.DUMMYFUNCTION("MAX(FILTER('Raw Stats Imports'!$AX:$AX,'Raw Stats Imports'!$A:$A=N$14))"),87.24212015792884)</f>
        <v>87.24212016</v>
      </c>
      <c r="O19" s="124">
        <f>IFERROR(__xludf.DUMMYFUNCTION("MAX(FILTER('Raw Stats Imports'!$AV:$AV,'Raw Stats Imports'!$A:$A=N$14))"),108.88234453161247)</f>
        <v>108.8823445</v>
      </c>
      <c r="P19" s="125">
        <f>IFERROR(__xludf.DUMMYFUNCTION("MAX(FILTER('Raw Stats Imports'!$AX:$AX,'Raw Stats Imports'!$A:$A=P$14))"),90.11583628623421)</f>
        <v>90.11583629</v>
      </c>
      <c r="Q19" s="125">
        <f>IFERROR(__xludf.DUMMYFUNCTION("MAX(FILTER('Raw Stats Imports'!$AV:$AV,'Raw Stats Imports'!$A:$A=P$14))"),107.23707802533815)</f>
        <v>107.237078</v>
      </c>
      <c r="R19" s="126">
        <f>IFERROR(__xludf.DUMMYFUNCTION("MAX(FILTER('Raw Stats Imports'!$AX:$AX,'Raw Stats Imports'!$A:$A=R$14))"),102.25150687520923)</f>
        <v>102.2515069</v>
      </c>
      <c r="S19" s="126">
        <f>IFERROR(__xludf.DUMMYFUNCTION("MAX(FILTER('Raw Stats Imports'!$AV:$AV,'Raw Stats Imports'!$A:$A=R$14))"),137.02038164764957)</f>
        <v>137.0203816</v>
      </c>
      <c r="T19" s="127">
        <f>IFERROR(__xludf.DUMMYFUNCTION("MAX(FILTER('Raw Stats Imports'!$AX:$AX,'Raw Stats Imports'!$A:$A=T$14))"),90.76411677002521)</f>
        <v>90.76411677</v>
      </c>
      <c r="U19" s="127">
        <f>IFERROR(__xludf.DUMMYFUNCTION("MAX(FILTER('Raw Stats Imports'!$AV:$AV,'Raw Stats Imports'!$A:$A=T$14))"),89.98346048945834)</f>
        <v>89.98346049</v>
      </c>
    </row>
    <row r="20">
      <c r="A20" s="93" t="s">
        <v>182</v>
      </c>
      <c r="B20" s="109">
        <f>MIN('Raw Stats Imports'!AX:AX)</f>
        <v>-43.49416766</v>
      </c>
      <c r="C20" s="109">
        <f>MINA('Raw Stats Imports'!AV:AV)</f>
        <v>-39.89128919</v>
      </c>
      <c r="D20" s="119">
        <f>IFERROR(__xludf.DUMMYFUNCTION("MIN(FILTER('Raw Stats Imports'!$AX:$AX,'Raw Stats Imports'!$A:$A=D$14))"),4.608608224444453)</f>
        <v>4.608608224</v>
      </c>
      <c r="E20" s="119">
        <f>IFERROR(__xludf.DUMMYFUNCTION("MIN(FILTER('Raw Stats Imports'!$AV:$AV,'Raw Stats Imports'!$A:$A=D$14))"),-19.688043957117657)</f>
        <v>-19.68804396</v>
      </c>
      <c r="F20" s="120">
        <f>IFERROR(__xludf.DUMMYFUNCTION("MIN(FILTER('Raw Stats Imports'!$AX:$AX,'Raw Stats Imports'!$A:$A=F$14))"),-43.153371560752745)</f>
        <v>-43.15337156</v>
      </c>
      <c r="G20" s="120">
        <f>IFERROR(__xludf.DUMMYFUNCTION("MIN(FILTER('Raw Stats Imports'!$AV:$AV,'Raw Stats Imports'!$A:$A=F$14))"),-34.09750615760821)</f>
        <v>-34.09750616</v>
      </c>
      <c r="H20" s="121">
        <f>IFERROR(__xludf.DUMMYFUNCTION("MIN(FILTER('Raw Stats Imports'!$AX:$AX,'Raw Stats Imports'!$A:$A=H$14))"),-9.272049876886825)</f>
        <v>-9.272049877</v>
      </c>
      <c r="I20" s="121">
        <f>IFERROR(__xludf.DUMMYFUNCTION("MIN(FILTER('Raw Stats Imports'!$AV:$AV,'Raw Stats Imports'!$A:$A=H$14))"),-24.161337952339963)</f>
        <v>-24.16133795</v>
      </c>
      <c r="J20" s="122">
        <f>IFERROR(__xludf.DUMMYFUNCTION("MIN(FILTER('Raw Stats Imports'!$AX:$AX,'Raw Stats Imports'!$A:$A=J$14))"),-38.85610369911531)</f>
        <v>-38.8561037</v>
      </c>
      <c r="K20" s="122">
        <f>IFERROR(__xludf.DUMMYFUNCTION("MIN(FILTER('Raw Stats Imports'!$AV:$AV,'Raw Stats Imports'!$A:$A=J$14))"),-39.89128919466863)</f>
        <v>-39.89128919</v>
      </c>
      <c r="L20" s="123">
        <f>IFERROR(__xludf.DUMMYFUNCTION("MIN(FILTER('Raw Stats Imports'!$AX:$AX,'Raw Stats Imports'!$A:$A=L$14))"),-24.86469518464088)</f>
        <v>-24.86469518</v>
      </c>
      <c r="M20" s="123">
        <f>IFERROR(__xludf.DUMMYFUNCTION("MIN(FILTER('Raw Stats Imports'!$AV:$AV,'Raw Stats Imports'!$A:$A=L$14))"),-34.47214091923779)</f>
        <v>-34.47214092</v>
      </c>
      <c r="N20" s="124">
        <f>IFERROR(__xludf.DUMMYFUNCTION("MIN(FILTER('Raw Stats Imports'!$AX:$AX,'Raw Stats Imports'!$A:$A=N$14))"),-27.936999620311568)</f>
        <v>-27.93699962</v>
      </c>
      <c r="O20" s="124">
        <f>IFERROR(__xludf.DUMMYFUNCTION("MIN(FILTER('Raw Stats Imports'!$AV:$AV,'Raw Stats Imports'!$A:$A=N$14))"),-38.89197075772786)</f>
        <v>-38.89197076</v>
      </c>
      <c r="P20" s="125">
        <f>IFERROR(__xludf.DUMMYFUNCTION("MIN(FILTER('Raw Stats Imports'!$AX:$AX,'Raw Stats Imports'!$A:$A=P$14))"),-43.494167655150804)</f>
        <v>-43.49416766</v>
      </c>
      <c r="Q20" s="125">
        <f>IFERROR(__xludf.DUMMYFUNCTION("MIN(FILTER('Raw Stats Imports'!$AV:$AV,'Raw Stats Imports'!$A:$A=P$14))"),-36.550467935717506)</f>
        <v>-36.55046794</v>
      </c>
      <c r="R20" s="126">
        <f>IFERROR(__xludf.DUMMYFUNCTION("MIN(FILTER('Raw Stats Imports'!$AX:$AX,'Raw Stats Imports'!$A:$A=R$14))"),-1.1414604160703732)</f>
        <v>-1.141460416</v>
      </c>
      <c r="S20" s="126">
        <f>IFERROR(__xludf.DUMMYFUNCTION("MIN(FILTER('Raw Stats Imports'!$AV:$AV,'Raw Stats Imports'!$A:$A=R$14))"),-2.981464768239576)</f>
        <v>-2.981464768</v>
      </c>
      <c r="T20" s="127">
        <f>IFERROR(__xludf.DUMMYFUNCTION("MIN(FILTER('Raw Stats Imports'!$AX:$AX,'Raw Stats Imports'!$A:$A=T$14))"),-15.162276683420245)</f>
        <v>-15.16227668</v>
      </c>
      <c r="U20" s="127">
        <f>IFERROR(__xludf.DUMMYFUNCTION("MIN(FILTER('Raw Stats Imports'!$AV:$AV,'Raw Stats Imports'!$A:$A=T$14))"),-29.180718098475253)</f>
        <v>-29.1807181</v>
      </c>
    </row>
    <row r="21">
      <c r="B21" s="128"/>
      <c r="C21" s="128"/>
      <c r="D21" s="128"/>
      <c r="E21" s="128"/>
      <c r="F21" s="128"/>
      <c r="G21" s="128"/>
      <c r="H21" s="128"/>
      <c r="I21" s="128"/>
      <c r="J21" s="128"/>
      <c r="K21" s="128"/>
      <c r="L21" s="128"/>
      <c r="M21" s="128"/>
      <c r="N21" s="128"/>
      <c r="O21" s="128"/>
      <c r="P21" s="128"/>
      <c r="Q21" s="128"/>
      <c r="R21" s="128"/>
      <c r="S21" s="128"/>
      <c r="T21" s="128"/>
      <c r="U21" s="128"/>
    </row>
    <row r="22">
      <c r="B22" s="128"/>
      <c r="C22" s="128"/>
      <c r="D22" s="128"/>
      <c r="E22" s="128"/>
      <c r="F22" s="128"/>
      <c r="G22" s="128"/>
      <c r="H22" s="128"/>
      <c r="I22" s="128"/>
      <c r="J22" s="128"/>
      <c r="K22" s="128"/>
      <c r="L22" s="128"/>
      <c r="M22" s="128"/>
      <c r="N22" s="128"/>
      <c r="O22" s="128"/>
      <c r="P22" s="128"/>
      <c r="Q22" s="128"/>
      <c r="R22" s="128"/>
      <c r="S22" s="128"/>
      <c r="T22" s="128"/>
      <c r="U22" s="128"/>
    </row>
    <row r="23">
      <c r="B23" s="128"/>
      <c r="C23" s="128"/>
      <c r="D23" s="128"/>
      <c r="E23" s="128"/>
      <c r="F23" s="128"/>
      <c r="G23" s="128"/>
      <c r="H23" s="128"/>
      <c r="I23" s="128"/>
      <c r="J23" s="128"/>
      <c r="K23" s="128"/>
      <c r="L23" s="128"/>
      <c r="M23" s="128"/>
      <c r="N23" s="128"/>
      <c r="O23" s="128"/>
      <c r="P23" s="128"/>
      <c r="Q23" s="128"/>
      <c r="R23" s="128"/>
      <c r="S23" s="128"/>
      <c r="T23" s="128"/>
      <c r="U23" s="128"/>
    </row>
    <row r="24">
      <c r="A24" s="129" t="s">
        <v>177</v>
      </c>
      <c r="B24" s="130" t="s">
        <v>183</v>
      </c>
      <c r="C24" s="131" t="s">
        <v>4</v>
      </c>
      <c r="D24" s="131" t="s">
        <v>136</v>
      </c>
      <c r="E24" s="131" t="s">
        <v>18</v>
      </c>
      <c r="F24" s="131" t="s">
        <v>22</v>
      </c>
      <c r="G24" s="132"/>
      <c r="H24" s="129" t="s">
        <v>177</v>
      </c>
      <c r="I24" s="132"/>
      <c r="J24" s="132"/>
      <c r="K24" s="132"/>
      <c r="L24" s="132"/>
      <c r="M24" s="132"/>
      <c r="N24" s="132"/>
      <c r="O24" s="132"/>
      <c r="P24" s="132"/>
      <c r="Q24" s="132"/>
      <c r="R24" s="132"/>
      <c r="S24" s="132"/>
      <c r="T24" s="132"/>
      <c r="U24" s="132"/>
    </row>
    <row r="25">
      <c r="B25" s="133" t="str">
        <f t="array" ref="B25:B28">TRANSPOSE(C24:F24)</f>
        <v>IDR</v>
      </c>
      <c r="C25" s="133"/>
      <c r="D25" s="133">
        <f>CORREL('Raw Stats Imports'!AV:AV,'Raw Stats Imports'!AX:AX)</f>
        <v>0.9005896297</v>
      </c>
      <c r="E25" s="133">
        <f>CORREL('Raw Stats Imports'!$H:$H,'Raw Stats Imports'!AV:AV)</f>
        <v>0.7098256616</v>
      </c>
      <c r="F25" s="133">
        <f>CORREL('Raw Stats Imports'!$AT:$AT,'Raw Stats Imports'!AV:AV)</f>
        <v>0.7162821833</v>
      </c>
      <c r="G25" s="128"/>
      <c r="I25" s="128"/>
      <c r="J25" s="128"/>
      <c r="K25" s="128"/>
      <c r="L25" s="128"/>
      <c r="M25" s="128"/>
      <c r="N25" s="128"/>
      <c r="O25" s="128"/>
      <c r="P25" s="128"/>
      <c r="Q25" s="128"/>
      <c r="R25" s="128"/>
      <c r="S25" s="128"/>
      <c r="T25" s="128"/>
      <c r="U25" s="128"/>
    </row>
    <row r="26">
      <c r="B26" s="133" t="s">
        <v>136</v>
      </c>
      <c r="C26" s="133">
        <f>CORREL('Raw Stats Imports'!AV:AV,'Raw Stats Imports'!AX:AX)</f>
        <v>0.9005896297</v>
      </c>
      <c r="D26" s="133"/>
      <c r="E26" s="133">
        <f>CORREL('Raw Stats Imports'!$H:$H,'Raw Stats Imports'!$AX:$AX)</f>
        <v>0.6083695585</v>
      </c>
      <c r="F26" s="133">
        <f>CORREL('Raw Stats Imports'!$AT:$AT
,'Raw Stats Imports'!$AX:$AX)</f>
        <v>0.6167751735</v>
      </c>
      <c r="G26" s="128"/>
      <c r="I26" s="128"/>
      <c r="J26" s="128"/>
      <c r="K26" s="128"/>
      <c r="L26" s="128"/>
      <c r="M26" s="128"/>
      <c r="N26" s="128"/>
      <c r="O26" s="128"/>
      <c r="P26" s="128"/>
      <c r="Q26" s="128"/>
      <c r="R26" s="128"/>
      <c r="S26" s="128"/>
      <c r="T26" s="128"/>
      <c r="U26" s="128"/>
    </row>
    <row r="27">
      <c r="B27" s="133" t="s">
        <v>18</v>
      </c>
      <c r="C27" s="133">
        <f>CORREL('Raw Stats Imports'!$H:$H,'Raw Stats Imports'!AV:AV)</f>
        <v>0.7098256616</v>
      </c>
      <c r="D27" s="133">
        <f>CORREL('Raw Stats Imports'!$H:$H,'Raw Stats Imports'!$AX:$AX)</f>
        <v>0.6083695585</v>
      </c>
      <c r="E27" s="133"/>
      <c r="F27" s="133">
        <f>CORREL('Raw Stats Imports'!$H:$H,'Raw Stats Imports'!$AT:$AT)</f>
        <v>0.8391773966</v>
      </c>
      <c r="G27" s="128"/>
      <c r="I27" s="128"/>
      <c r="J27" s="128"/>
      <c r="K27" s="128"/>
      <c r="L27" s="128"/>
      <c r="M27" s="128"/>
      <c r="N27" s="128"/>
      <c r="O27" s="128"/>
      <c r="P27" s="128"/>
      <c r="Q27" s="128"/>
      <c r="R27" s="128"/>
      <c r="S27" s="128"/>
      <c r="T27" s="128"/>
      <c r="U27" s="128"/>
    </row>
    <row r="28">
      <c r="B28" s="133" t="s">
        <v>22</v>
      </c>
      <c r="C28" s="133">
        <f>CORREL('Raw Stats Imports'!$AT:$AT,'Raw Stats Imports'!AV:AV)</f>
        <v>0.7162821833</v>
      </c>
      <c r="D28" s="133">
        <f>CORREL('Raw Stats Imports'!$AT:$AT,'Raw Stats Imports'!$AX:$AX)</f>
        <v>0.6167751735</v>
      </c>
      <c r="E28" s="133">
        <f>CORREL('Raw Stats Imports'!$H:$H,'Raw Stats Imports'!$AT:$AT)</f>
        <v>0.8391773966</v>
      </c>
      <c r="F28" s="134"/>
    </row>
    <row r="29">
      <c r="A29" s="135" t="s">
        <v>156</v>
      </c>
      <c r="B29" s="136" t="s">
        <v>183</v>
      </c>
      <c r="C29" s="137" t="s">
        <v>4</v>
      </c>
      <c r="D29" s="137" t="s">
        <v>136</v>
      </c>
      <c r="E29" s="137" t="s">
        <v>18</v>
      </c>
      <c r="F29" s="137" t="s">
        <v>22</v>
      </c>
      <c r="H29" s="135" t="s">
        <v>156</v>
      </c>
    </row>
    <row r="30">
      <c r="B30" s="138" t="str">
        <f t="array" ref="B30:B33">TRANSPOSE(C29:F29)</f>
        <v>IDR</v>
      </c>
      <c r="C30" s="138"/>
      <c r="D30" s="138">
        <f>IFERROR(__xludf.DUMMYFUNCTION("CORREL(FILTER('Raw Stats Imports'!AV:AV,'Raw Stats Imports'!$A:$A=$A29),FILTER('Raw Stats Imports'!AX:AX,'Raw Stats Imports'!$A:$A=$A29))"),0.9193452525033237)</f>
        <v>0.9193452525</v>
      </c>
      <c r="E30" s="138">
        <f>IFERROR(__xludf.DUMMYFUNCTION("CORREL(FILTER('Raw Stats Imports'!$H:$H,'Raw Stats Imports'!$A:$A=$A29),FILTER('Raw Stats Imports'!AV:AV,'Raw Stats Imports'!$A:$A=$A29))"),0.8187216781543754)</f>
        <v>0.8187216782</v>
      </c>
      <c r="F30" s="138">
        <f>IFERROR(__xludf.DUMMYFUNCTION("CORREL(FILTER('Raw Stats Imports'!$AT:$AT,'Raw Stats Imports'!$A:$A=$A29),FILTER('Raw Stats Imports'!AV:AV,'Raw Stats Imports'!$A:$A=$A29))"),0.8629343043846119)</f>
        <v>0.8629343044</v>
      </c>
    </row>
    <row r="31">
      <c r="B31" s="138" t="s">
        <v>136</v>
      </c>
      <c r="C31" s="138">
        <f>IFERROR(__xludf.DUMMYFUNCTION("CORREL(FILTER('Raw Stats Imports'!$AV:$AV,'Raw Stats Imports'!$A:$A=$A29),FILTER('Raw Stats Imports'!$AX:$AX,'Raw Stats Imports'!$A:$A=$A29))"),0.9193452525033237)</f>
        <v>0.9193452525</v>
      </c>
      <c r="D31" s="138"/>
      <c r="E31" s="138">
        <f>IFERROR(__xludf.DUMMYFUNCTION("CORREL(FILTER('Raw Stats Imports'!$H:$H,'Raw Stats Imports'!$A:$A=$A29),FILTER('Raw Stats Imports'!$AX:$AX,'Raw Stats Imports'!$A:$A=$A29))"),0.7283524439214022)</f>
        <v>0.7283524439</v>
      </c>
      <c r="F31" s="138">
        <f>IFERROR(__xludf.DUMMYFUNCTION("CORREL(FILTER('Raw Stats Imports'!$AT:$AT,'Raw Stats Imports'!$A:$A=$A29),FILTER('Raw Stats Imports'!$AX:$AX,'Raw Stats Imports'!$A:$A=$A29))"),0.7335627076212572)</f>
        <v>0.7335627076</v>
      </c>
    </row>
    <row r="32">
      <c r="B32" s="138" t="s">
        <v>18</v>
      </c>
      <c r="C32" s="138">
        <f>IFERROR(__xludf.DUMMYFUNCTION("CORREL(FILTER('Raw Stats Imports'!$H:$H,'Raw Stats Imports'!$A:$A=$A29),FILTER('Raw Stats Imports'!AV:AV,'Raw Stats Imports'!$A:$A=$A29))"),0.8187216781543754)</f>
        <v>0.8187216782</v>
      </c>
      <c r="D32" s="138">
        <f>IFERROR(__xludf.DUMMYFUNCTION("CORREL(FILTER('Raw Stats Imports'!$H:$H,'Raw Stats Imports'!$A:$A=$A29),FILTER('Raw Stats Imports'!$AX:$AX,'Raw Stats Imports'!$A:$A=$A29))"),0.7283524439214022)</f>
        <v>0.7283524439</v>
      </c>
      <c r="E32" s="138"/>
      <c r="F32" s="138">
        <f>IFERROR(__xludf.DUMMYFUNCTION("CORREL(FILTER('Raw Stats Imports'!$H:$H,'Raw Stats Imports'!$A:$A=$A29),FILTER('Raw Stats Imports'!$AT:$AT,'Raw Stats Imports'!$A:$A=$A29))"),0.9038360373091252)</f>
        <v>0.9038360373</v>
      </c>
    </row>
    <row r="33">
      <c r="B33" s="138" t="s">
        <v>22</v>
      </c>
      <c r="C33" s="138">
        <f>IFERROR(__xludf.DUMMYFUNCTION("CORREL(FILTER('Raw Stats Imports'!$AT:$AT,'Raw Stats Imports'!$A:$A=$A29),FILTER('Raw Stats Imports'!AV:AV,'Raw Stats Imports'!$A:$A=$A29))"),0.8629343043846119)</f>
        <v>0.8629343044</v>
      </c>
      <c r="D33" s="138">
        <f>IFERROR(__xludf.DUMMYFUNCTION("CORREL(FILTER('Raw Stats Imports'!$AT:$AT,'Raw Stats Imports'!$A:$A=$A29),FILTER('Raw Stats Imports'!$AX:$AX,'Raw Stats Imports'!$A:$A=$A29))"),0.7335627076212572)</f>
        <v>0.7335627076</v>
      </c>
      <c r="E33" s="138">
        <f>IFERROR(__xludf.DUMMYFUNCTION("CORREL(FILTER('Raw Stats Imports'!$H:$H,'Raw Stats Imports'!$A:$A=$A29),FILTER('Raw Stats Imports'!$AT:$AT,'Raw Stats Imports'!$A:$A=$A29))"),0.9038360373091252)</f>
        <v>0.9038360373</v>
      </c>
      <c r="F33" s="139"/>
    </row>
    <row r="34">
      <c r="A34" s="140" t="s">
        <v>158</v>
      </c>
      <c r="B34" s="141" t="s">
        <v>183</v>
      </c>
      <c r="C34" s="142" t="s">
        <v>4</v>
      </c>
      <c r="D34" s="142" t="s">
        <v>136</v>
      </c>
      <c r="E34" s="142" t="s">
        <v>18</v>
      </c>
      <c r="F34" s="142" t="s">
        <v>22</v>
      </c>
      <c r="H34" s="140" t="s">
        <v>158</v>
      </c>
    </row>
    <row r="35">
      <c r="B35" s="143" t="str">
        <f t="array" ref="B35:B38">TRANSPOSE(C34:F34)</f>
        <v>IDR</v>
      </c>
      <c r="C35" s="143"/>
      <c r="D35" s="143">
        <f>IFERROR(__xludf.DUMMYFUNCTION("CORREL(FILTER('Raw Stats Imports'!AV:AV,'Raw Stats Imports'!$A:$A=$A34),FILTER('Raw Stats Imports'!AX:AX,'Raw Stats Imports'!$A:$A=$A34))"),0.9499416045362327)</f>
        <v>0.9499416045</v>
      </c>
      <c r="E35" s="143">
        <f>IFERROR(__xludf.DUMMYFUNCTION("CORREL(FILTER('Raw Stats Imports'!$H:$H,'Raw Stats Imports'!$A:$A=$A34),FILTER('Raw Stats Imports'!AV:AV,'Raw Stats Imports'!$A:$A=$A34))"),0.6641827780774298)</f>
        <v>0.6641827781</v>
      </c>
      <c r="F35" s="143">
        <f>IFERROR(__xludf.DUMMYFUNCTION("CORREL(FILTER('Raw Stats Imports'!$AT:$AT,'Raw Stats Imports'!$A:$A=$A34),FILTER('Raw Stats Imports'!AV:AV,'Raw Stats Imports'!$A:$A=$A34))"),0.80236913055802)</f>
        <v>0.8023691306</v>
      </c>
    </row>
    <row r="36">
      <c r="B36" s="143" t="s">
        <v>136</v>
      </c>
      <c r="C36" s="143">
        <f>IFERROR(__xludf.DUMMYFUNCTION("CORREL(FILTER('Raw Stats Imports'!$AV:$AV,'Raw Stats Imports'!$A:$A=$A34),FILTER('Raw Stats Imports'!$AX:$AX,'Raw Stats Imports'!$A:$A=$A34))"),0.9499416045362327)</f>
        <v>0.9499416045</v>
      </c>
      <c r="D36" s="143"/>
      <c r="E36" s="143">
        <f>IFERROR(__xludf.DUMMYFUNCTION("CORREL(FILTER('Raw Stats Imports'!$H:$H,'Raw Stats Imports'!$A:$A=$A34),FILTER('Raw Stats Imports'!$AX:$AX,'Raw Stats Imports'!$A:$A=$A34))"),0.6948831088325065)</f>
        <v>0.6948831088</v>
      </c>
      <c r="F36" s="143">
        <f>IFERROR(__xludf.DUMMYFUNCTION("CORREL(FILTER('Raw Stats Imports'!$AT:$AT,'Raw Stats Imports'!$A:$A=$A34),FILTER('Raw Stats Imports'!$AX:$AX,'Raw Stats Imports'!$A:$A=$A34))"),0.784959897461631)</f>
        <v>0.7849598975</v>
      </c>
    </row>
    <row r="37">
      <c r="B37" s="143" t="s">
        <v>18</v>
      </c>
      <c r="C37" s="143">
        <f>IFERROR(__xludf.DUMMYFUNCTION("CORREL(FILTER('Raw Stats Imports'!$H:$H,'Raw Stats Imports'!$A:$A=$A34),FILTER('Raw Stats Imports'!AV:AV,'Raw Stats Imports'!$A:$A=$A34))"),0.6641827780774298)</f>
        <v>0.6641827781</v>
      </c>
      <c r="D37" s="143">
        <f>IFERROR(__xludf.DUMMYFUNCTION("CORREL(FILTER('Raw Stats Imports'!$H:$H,'Raw Stats Imports'!$A:$A=$A34),FILTER('Raw Stats Imports'!$AX:$AX,'Raw Stats Imports'!$A:$A=$A34))"),0.6948831088325065)</f>
        <v>0.6948831088</v>
      </c>
      <c r="E37" s="143"/>
      <c r="F37" s="143">
        <f>IFERROR(__xludf.DUMMYFUNCTION("CORREL(FILTER('Raw Stats Imports'!$H:$H,'Raw Stats Imports'!$A:$A=$A34),FILTER('Raw Stats Imports'!$AT:$AT,'Raw Stats Imports'!$A:$A=$A34))"),0.8781746488625097)</f>
        <v>0.8781746489</v>
      </c>
    </row>
    <row r="38">
      <c r="B38" s="143" t="s">
        <v>22</v>
      </c>
      <c r="C38" s="143">
        <f>IFERROR(__xludf.DUMMYFUNCTION("CORREL(FILTER('Raw Stats Imports'!$AT:$AT,'Raw Stats Imports'!$A:$A=$A34),FILTER('Raw Stats Imports'!AV:AV,'Raw Stats Imports'!$A:$A=$A34))"),0.80236913055802)</f>
        <v>0.8023691306</v>
      </c>
      <c r="D38" s="143">
        <f>IFERROR(__xludf.DUMMYFUNCTION("CORREL(FILTER('Raw Stats Imports'!$AT:$AT,'Raw Stats Imports'!$A:$A=$A34),FILTER('Raw Stats Imports'!$AX:$AX,'Raw Stats Imports'!$A:$A=$A34))"),0.784959897461631)</f>
        <v>0.7849598975</v>
      </c>
      <c r="E38" s="143">
        <f>IFERROR(__xludf.DUMMYFUNCTION("CORREL(FILTER('Raw Stats Imports'!$H:$H,'Raw Stats Imports'!$A:$A=$A34),FILTER('Raw Stats Imports'!$AT:$AT,'Raw Stats Imports'!$A:$A=$A34))"),0.8781746488625097)</f>
        <v>0.8781746489</v>
      </c>
      <c r="F38" s="144"/>
    </row>
    <row r="39">
      <c r="A39" s="145" t="s">
        <v>160</v>
      </c>
      <c r="B39" s="146" t="s">
        <v>183</v>
      </c>
      <c r="C39" s="147" t="s">
        <v>4</v>
      </c>
      <c r="D39" s="147" t="s">
        <v>136</v>
      </c>
      <c r="E39" s="147" t="s">
        <v>18</v>
      </c>
      <c r="F39" s="147" t="s">
        <v>22</v>
      </c>
      <c r="H39" s="145" t="s">
        <v>160</v>
      </c>
    </row>
    <row r="40">
      <c r="B40" s="148" t="str">
        <f t="array" ref="B40:B43">TRANSPOSE(C39:F39)</f>
        <v>IDR</v>
      </c>
      <c r="C40" s="148"/>
      <c r="D40" s="148">
        <f>IFERROR(__xludf.DUMMYFUNCTION("CORREL(FILTER('Raw Stats Imports'!AV:AV,'Raw Stats Imports'!$A:$A=$A39),FILTER('Raw Stats Imports'!AX:AX,'Raw Stats Imports'!$A:$A=$A39))"),0.8868909910266323)</f>
        <v>0.886890991</v>
      </c>
      <c r="E40" s="148">
        <f>IFERROR(__xludf.DUMMYFUNCTION("CORREL(FILTER('Raw Stats Imports'!$H:$H,'Raw Stats Imports'!$A:$A=$A39),FILTER('Raw Stats Imports'!AV:AV,'Raw Stats Imports'!$A:$A=$A39))"),0.7322495060370706)</f>
        <v>0.732249506</v>
      </c>
      <c r="F40" s="148">
        <f>IFERROR(__xludf.DUMMYFUNCTION("CORREL(FILTER('Raw Stats Imports'!$AT:$AT,'Raw Stats Imports'!$A:$A=$A39),FILTER('Raw Stats Imports'!AV:AV,'Raw Stats Imports'!$A:$A=$A39))"),0.7623561972293592)</f>
        <v>0.7623561972</v>
      </c>
    </row>
    <row r="41">
      <c r="B41" s="148" t="s">
        <v>136</v>
      </c>
      <c r="C41" s="148">
        <f>IFERROR(__xludf.DUMMYFUNCTION("CORREL(FILTER('Raw Stats Imports'!$AV:$AV,'Raw Stats Imports'!$A:$A=$A39),FILTER('Raw Stats Imports'!$AX:$AX,'Raw Stats Imports'!$A:$A=$A39))"),0.8868909910266323)</f>
        <v>0.886890991</v>
      </c>
      <c r="D41" s="148"/>
      <c r="E41" s="148">
        <f>IFERROR(__xludf.DUMMYFUNCTION("CORREL(FILTER('Raw Stats Imports'!$H:$H,'Raw Stats Imports'!$A:$A=$A39),FILTER('Raw Stats Imports'!$AX:$AX,'Raw Stats Imports'!$A:$A=$A39))"),0.66458701127235)</f>
        <v>0.6645870113</v>
      </c>
      <c r="F41" s="148">
        <f>IFERROR(__xludf.DUMMYFUNCTION("CORREL(FILTER('Raw Stats Imports'!$AT:$AT,'Raw Stats Imports'!$A:$A=$A39),FILTER('Raw Stats Imports'!$AX:$AX,'Raw Stats Imports'!$A:$A=$A39))"),0.6795175432566053)</f>
        <v>0.6795175433</v>
      </c>
    </row>
    <row r="42">
      <c r="B42" s="148" t="s">
        <v>18</v>
      </c>
      <c r="C42" s="148">
        <f>IFERROR(__xludf.DUMMYFUNCTION("CORREL(FILTER('Raw Stats Imports'!$H:$H,'Raw Stats Imports'!$A:$A=$A39),FILTER('Raw Stats Imports'!AV:AV,'Raw Stats Imports'!$A:$A=$A39))"),0.7322495060370706)</f>
        <v>0.732249506</v>
      </c>
      <c r="D42" s="148">
        <f>IFERROR(__xludf.DUMMYFUNCTION("CORREL(FILTER('Raw Stats Imports'!$H:$H,'Raw Stats Imports'!$A:$A=$A39),FILTER('Raw Stats Imports'!$AX:$AX,'Raw Stats Imports'!$A:$A=$A39))"),0.66458701127235)</f>
        <v>0.6645870113</v>
      </c>
      <c r="E42" s="148"/>
      <c r="F42" s="148">
        <f>IFERROR(__xludf.DUMMYFUNCTION("CORREL(FILTER('Raw Stats Imports'!$H:$H,'Raw Stats Imports'!$A:$A=$A39),FILTER('Raw Stats Imports'!$AT:$AT,'Raw Stats Imports'!$A:$A=$A39))"),0.9221991203200174)</f>
        <v>0.9221991203</v>
      </c>
    </row>
    <row r="43">
      <c r="B43" s="148" t="s">
        <v>22</v>
      </c>
      <c r="C43" s="148">
        <f>IFERROR(__xludf.DUMMYFUNCTION("CORREL(FILTER('Raw Stats Imports'!$AT:$AT,'Raw Stats Imports'!$A:$A=$A39),FILTER('Raw Stats Imports'!AV:AV,'Raw Stats Imports'!$A:$A=$A39))"),0.7623561972293592)</f>
        <v>0.7623561972</v>
      </c>
      <c r="D43" s="148">
        <f>IFERROR(__xludf.DUMMYFUNCTION("CORREL(FILTER('Raw Stats Imports'!$AT:$AT,'Raw Stats Imports'!$A:$A=$A39),FILTER('Raw Stats Imports'!$AX:$AX,'Raw Stats Imports'!$A:$A=$A39))"),0.6795175432566053)</f>
        <v>0.6795175433</v>
      </c>
      <c r="E43" s="148">
        <f>IFERROR(__xludf.DUMMYFUNCTION("CORREL(FILTER('Raw Stats Imports'!$H:$H,'Raw Stats Imports'!$A:$A=$A39),FILTER('Raw Stats Imports'!$AT:$AT,'Raw Stats Imports'!$A:$A=$A39))"),0.9221991203200174)</f>
        <v>0.9221991203</v>
      </c>
      <c r="F43" s="149"/>
    </row>
    <row r="44">
      <c r="A44" s="150" t="s">
        <v>162</v>
      </c>
      <c r="B44" s="151" t="s">
        <v>183</v>
      </c>
      <c r="C44" s="152" t="s">
        <v>4</v>
      </c>
      <c r="D44" s="152" t="s">
        <v>136</v>
      </c>
      <c r="E44" s="152" t="s">
        <v>18</v>
      </c>
      <c r="F44" s="152" t="s">
        <v>22</v>
      </c>
      <c r="H44" s="153" t="s">
        <v>162</v>
      </c>
    </row>
    <row r="45">
      <c r="B45" s="154" t="str">
        <f t="array" ref="B45:B48">TRANSPOSE(C44:F44)</f>
        <v>IDR</v>
      </c>
      <c r="C45" s="154"/>
      <c r="D45" s="154">
        <f>IFERROR(__xludf.DUMMYFUNCTION("CORREL(FILTER('Raw Stats Imports'!AV:AV,'Raw Stats Imports'!$A:$A=$A44),FILTER('Raw Stats Imports'!AX:AX,'Raw Stats Imports'!$A:$A=$A44))"),0.9033151279021846)</f>
        <v>0.9033151279</v>
      </c>
      <c r="E45" s="154">
        <f>IFERROR(__xludf.DUMMYFUNCTION("CORREL(FILTER('Raw Stats Imports'!$H:$H,'Raw Stats Imports'!$A:$A=$A44),FILTER('Raw Stats Imports'!AV:AV,'Raw Stats Imports'!$A:$A=$A44))"),0.7062389484576934)</f>
        <v>0.7062389485</v>
      </c>
      <c r="F45" s="154">
        <f>IFERROR(__xludf.DUMMYFUNCTION("CORREL(FILTER('Raw Stats Imports'!$AT:$AT,'Raw Stats Imports'!$A:$A=$A44),FILTER('Raw Stats Imports'!AV:AV,'Raw Stats Imports'!$A:$A=$A44))"),0.7901017662808871)</f>
        <v>0.7901017663</v>
      </c>
    </row>
    <row r="46">
      <c r="B46" s="154" t="s">
        <v>136</v>
      </c>
      <c r="C46" s="154">
        <f>IFERROR(__xludf.DUMMYFUNCTION("CORREL(FILTER('Raw Stats Imports'!$AV:$AV,'Raw Stats Imports'!$A:$A=$A44),FILTER('Raw Stats Imports'!$AX:$AX,'Raw Stats Imports'!$A:$A=$A44))"),0.9033151279021846)</f>
        <v>0.9033151279</v>
      </c>
      <c r="D46" s="154"/>
      <c r="E46" s="154">
        <f>IFERROR(__xludf.DUMMYFUNCTION("CORREL(FILTER('Raw Stats Imports'!$H:$H,'Raw Stats Imports'!$A:$A=$A44),FILTER('Raw Stats Imports'!$AX:$AX,'Raw Stats Imports'!$A:$A=$A44))"),0.5496396163259537)</f>
        <v>0.5496396163</v>
      </c>
      <c r="F46" s="154">
        <f>IFERROR(__xludf.DUMMYFUNCTION("CORREL(FILTER('Raw Stats Imports'!$AT:$AT,'Raw Stats Imports'!$A:$A=$A44),FILTER('Raw Stats Imports'!$AX:$AX,'Raw Stats Imports'!$A:$A=$A44))"),0.6545412074994548)</f>
        <v>0.6545412075</v>
      </c>
    </row>
    <row r="47">
      <c r="B47" s="154" t="s">
        <v>18</v>
      </c>
      <c r="C47" s="154">
        <f>IFERROR(__xludf.DUMMYFUNCTION("CORREL(FILTER('Raw Stats Imports'!$H:$H,'Raw Stats Imports'!$A:$A=$A44),FILTER('Raw Stats Imports'!AV:AV,'Raw Stats Imports'!$A:$A=$A44))"),0.7062389484576934)</f>
        <v>0.7062389485</v>
      </c>
      <c r="D47" s="154">
        <f>IFERROR(__xludf.DUMMYFUNCTION("CORREL(FILTER('Raw Stats Imports'!$H:$H,'Raw Stats Imports'!$A:$A=$A44),FILTER('Raw Stats Imports'!$AX:$AX,'Raw Stats Imports'!$A:$A=$A44))"),0.5496396163259537)</f>
        <v>0.5496396163</v>
      </c>
      <c r="E47" s="154"/>
      <c r="F47" s="154">
        <f>IFERROR(__xludf.DUMMYFUNCTION("CORREL(FILTER('Raw Stats Imports'!$H:$H,'Raw Stats Imports'!$A:$A=$A44),FILTER('Raw Stats Imports'!$AT:$AT,'Raw Stats Imports'!$A:$A=$A44))"),0.8929477504024588)</f>
        <v>0.8929477504</v>
      </c>
    </row>
    <row r="48">
      <c r="B48" s="154" t="s">
        <v>22</v>
      </c>
      <c r="C48" s="154">
        <f>IFERROR(__xludf.DUMMYFUNCTION("CORREL(FILTER('Raw Stats Imports'!$AT:$AT,'Raw Stats Imports'!$A:$A=$A44),FILTER('Raw Stats Imports'!AV:AV,'Raw Stats Imports'!$A:$A=$A44))"),0.7901017662808871)</f>
        <v>0.7901017663</v>
      </c>
      <c r="D48" s="154">
        <f>IFERROR(__xludf.DUMMYFUNCTION("CORREL(FILTER('Raw Stats Imports'!$AT:$AT,'Raw Stats Imports'!$A:$A=$A44),FILTER('Raw Stats Imports'!$AX:$AX,'Raw Stats Imports'!$A:$A=$A44))"),0.6545412074994548)</f>
        <v>0.6545412075</v>
      </c>
      <c r="E48" s="154">
        <f>IFERROR(__xludf.DUMMYFUNCTION("CORREL(FILTER('Raw Stats Imports'!$H:$H,'Raw Stats Imports'!$A:$A=$A44),FILTER('Raw Stats Imports'!$AT:$AT,'Raw Stats Imports'!$A:$A=$A44))"),0.8929477504024588)</f>
        <v>0.8929477504</v>
      </c>
      <c r="F48" s="155"/>
    </row>
    <row r="49">
      <c r="A49" s="156" t="s">
        <v>164</v>
      </c>
      <c r="B49" s="157" t="s">
        <v>183</v>
      </c>
      <c r="C49" s="158" t="s">
        <v>4</v>
      </c>
      <c r="D49" s="158" t="s">
        <v>136</v>
      </c>
      <c r="E49" s="158" t="s">
        <v>18</v>
      </c>
      <c r="F49" s="158" t="s">
        <v>22</v>
      </c>
      <c r="H49" s="156" t="s">
        <v>164</v>
      </c>
    </row>
    <row r="50">
      <c r="B50" s="159" t="str">
        <f t="array" ref="B50:B53">TRANSPOSE(C49:F49)</f>
        <v>IDR</v>
      </c>
      <c r="C50" s="159"/>
      <c r="D50" s="159">
        <f>IFERROR(__xludf.DUMMYFUNCTION("CORREL(FILTER('Raw Stats Imports'!AV:AV,'Raw Stats Imports'!$A:$A=$A49),FILTER('Raw Stats Imports'!AX:AX,'Raw Stats Imports'!$A:$A=$A49))"),0.9174381510299263)</f>
        <v>0.917438151</v>
      </c>
      <c r="E50" s="159">
        <f>IFERROR(__xludf.DUMMYFUNCTION("CORREL(FILTER('Raw Stats Imports'!$H:$H,'Raw Stats Imports'!$A:$A=$A49),FILTER('Raw Stats Imports'!AV:AV,'Raw Stats Imports'!$A:$A=$A49))"),0.638900715455773)</f>
        <v>0.6389007155</v>
      </c>
      <c r="F50" s="159">
        <f>IFERROR(__xludf.DUMMYFUNCTION("CORREL(FILTER('Raw Stats Imports'!$AT:$AT,'Raw Stats Imports'!$A:$A=$A49),FILTER('Raw Stats Imports'!AV:AV,'Raw Stats Imports'!$A:$A=$A49))"),0.7402278801579749)</f>
        <v>0.7402278802</v>
      </c>
    </row>
    <row r="51">
      <c r="B51" s="159" t="s">
        <v>136</v>
      </c>
      <c r="C51" s="159">
        <f>IFERROR(__xludf.DUMMYFUNCTION("CORREL(FILTER('Raw Stats Imports'!$AV:$AV,'Raw Stats Imports'!$A:$A=$A49),FILTER('Raw Stats Imports'!$AX:$AX,'Raw Stats Imports'!$A:$A=$A49))"),0.9174381510299263)</f>
        <v>0.917438151</v>
      </c>
      <c r="D51" s="159"/>
      <c r="E51" s="159">
        <f>IFERROR(__xludf.DUMMYFUNCTION("CORREL(FILTER('Raw Stats Imports'!$H:$H,'Raw Stats Imports'!$A:$A=$A49),FILTER('Raw Stats Imports'!$AX:$AX,'Raw Stats Imports'!$A:$A=$A49))"),0.5780060421662293)</f>
        <v>0.5780060422</v>
      </c>
      <c r="F51" s="159">
        <f>IFERROR(__xludf.DUMMYFUNCTION("CORREL(FILTER('Raw Stats Imports'!$AT:$AT,'Raw Stats Imports'!$A:$A=$A49),FILTER('Raw Stats Imports'!$AX:$AX,'Raw Stats Imports'!$A:$A=$A49))"),0.6708063459266711)</f>
        <v>0.6708063459</v>
      </c>
    </row>
    <row r="52">
      <c r="B52" s="159" t="s">
        <v>18</v>
      </c>
      <c r="C52" s="159">
        <f>IFERROR(__xludf.DUMMYFUNCTION("CORREL(FILTER('Raw Stats Imports'!$H:$H,'Raw Stats Imports'!$A:$A=$A49),FILTER('Raw Stats Imports'!AV:AV,'Raw Stats Imports'!$A:$A=$A49))"),0.638900715455773)</f>
        <v>0.6389007155</v>
      </c>
      <c r="D52" s="159">
        <f>IFERROR(__xludf.DUMMYFUNCTION("CORREL(FILTER('Raw Stats Imports'!$H:$H,'Raw Stats Imports'!$A:$A=$A49),FILTER('Raw Stats Imports'!$AX:$AX,'Raw Stats Imports'!$A:$A=$A49))"),0.5780060421662293)</f>
        <v>0.5780060422</v>
      </c>
      <c r="E52" s="159"/>
      <c r="F52" s="159">
        <f>IFERROR(__xludf.DUMMYFUNCTION("CORREL(FILTER('Raw Stats Imports'!$H:$H,'Raw Stats Imports'!$A:$A=$A49),FILTER('Raw Stats Imports'!$AT:$AT,'Raw Stats Imports'!$A:$A=$A49))"),0.876407038483337)</f>
        <v>0.8764070385</v>
      </c>
    </row>
    <row r="53">
      <c r="B53" s="159" t="s">
        <v>22</v>
      </c>
      <c r="C53" s="159">
        <f>IFERROR(__xludf.DUMMYFUNCTION("CORREL(FILTER('Raw Stats Imports'!$AT:$AT,'Raw Stats Imports'!$A:$A=$A49),FILTER('Raw Stats Imports'!AV:AV,'Raw Stats Imports'!$A:$A=$A49))"),0.7402278801579749)</f>
        <v>0.7402278802</v>
      </c>
      <c r="D53" s="159">
        <f>IFERROR(__xludf.DUMMYFUNCTION("CORREL(FILTER('Raw Stats Imports'!$AT:$AT,'Raw Stats Imports'!$A:$A=$A49),FILTER('Raw Stats Imports'!$AX:$AX,'Raw Stats Imports'!$A:$A=$A49))"),0.6708063459266711)</f>
        <v>0.6708063459</v>
      </c>
      <c r="E53" s="159">
        <f>IFERROR(__xludf.DUMMYFUNCTION("CORREL(FILTER('Raw Stats Imports'!$H:$H,'Raw Stats Imports'!$A:$A=$A49),FILTER('Raw Stats Imports'!$AT:$AT,'Raw Stats Imports'!$A:$A=$A49))"),0.876407038483337)</f>
        <v>0.8764070385</v>
      </c>
      <c r="F53" s="160"/>
    </row>
    <row r="54">
      <c r="A54" s="161" t="s">
        <v>166</v>
      </c>
      <c r="B54" s="162" t="s">
        <v>183</v>
      </c>
      <c r="C54" s="163" t="s">
        <v>4</v>
      </c>
      <c r="D54" s="163" t="s">
        <v>136</v>
      </c>
      <c r="E54" s="163" t="s">
        <v>18</v>
      </c>
      <c r="F54" s="163" t="s">
        <v>22</v>
      </c>
      <c r="H54" s="161" t="s">
        <v>166</v>
      </c>
    </row>
    <row r="55">
      <c r="B55" s="164" t="str">
        <f t="array" ref="B55:B58">TRANSPOSE(C54:F54)</f>
        <v>IDR</v>
      </c>
      <c r="C55" s="164"/>
      <c r="D55" s="164">
        <f>IFERROR(__xludf.DUMMYFUNCTION("CORREL(FILTER('Raw Stats Imports'!AV:AV,'Raw Stats Imports'!$A:$A=$A54),FILTER('Raw Stats Imports'!AX:AX,'Raw Stats Imports'!$A:$A=$A54))"),0.883908540416324)</f>
        <v>0.8839085404</v>
      </c>
      <c r="E55" s="164">
        <f>IFERROR(__xludf.DUMMYFUNCTION("CORREL(FILTER('Raw Stats Imports'!$H:$H,'Raw Stats Imports'!$A:$A=$A54),FILTER('Raw Stats Imports'!AV:AV,'Raw Stats Imports'!$A:$A=$A54))"),0.7887577832001508)</f>
        <v>0.7887577832</v>
      </c>
      <c r="F55" s="164">
        <f>IFERROR(__xludf.DUMMYFUNCTION("CORREL(FILTER('Raw Stats Imports'!$AT:$AT,'Raw Stats Imports'!$A:$A=$A54),FILTER('Raw Stats Imports'!AV:AV,'Raw Stats Imports'!$A:$A=$A54))"),0.8205512929559257)</f>
        <v>0.820551293</v>
      </c>
    </row>
    <row r="56">
      <c r="B56" s="164" t="s">
        <v>136</v>
      </c>
      <c r="C56" s="164">
        <f>IFERROR(__xludf.DUMMYFUNCTION("CORREL(FILTER('Raw Stats Imports'!$AV:$AV,'Raw Stats Imports'!$A:$A=$A54),FILTER('Raw Stats Imports'!$AX:$AX,'Raw Stats Imports'!$A:$A=$A54))"),0.883908540416324)</f>
        <v>0.8839085404</v>
      </c>
      <c r="D56" s="164"/>
      <c r="E56" s="164">
        <f>IFERROR(__xludf.DUMMYFUNCTION("CORREL(FILTER('Raw Stats Imports'!$H:$H,'Raw Stats Imports'!$A:$A=$A54),FILTER('Raw Stats Imports'!$AX:$AX,'Raw Stats Imports'!$A:$A=$A54))"),0.6566892896433112)</f>
        <v>0.6566892896</v>
      </c>
      <c r="F56" s="164">
        <f>IFERROR(__xludf.DUMMYFUNCTION("CORREL(FILTER('Raw Stats Imports'!$AT:$AT,'Raw Stats Imports'!$A:$A=$A54),FILTER('Raw Stats Imports'!$AX:$AX,'Raw Stats Imports'!$A:$A=$A54))"),0.7187506967932409)</f>
        <v>0.7187506968</v>
      </c>
    </row>
    <row r="57">
      <c r="B57" s="164" t="s">
        <v>18</v>
      </c>
      <c r="C57" s="164">
        <f>IFERROR(__xludf.DUMMYFUNCTION("CORREL(FILTER('Raw Stats Imports'!$H:$H,'Raw Stats Imports'!$A:$A=$A54),FILTER('Raw Stats Imports'!AV:AV,'Raw Stats Imports'!$A:$A=$A54))"),0.7887577832001508)</f>
        <v>0.7887577832</v>
      </c>
      <c r="D57" s="164">
        <f>IFERROR(__xludf.DUMMYFUNCTION("CORREL(FILTER('Raw Stats Imports'!$H:$H,'Raw Stats Imports'!$A:$A=$A54),FILTER('Raw Stats Imports'!$AX:$AX,'Raw Stats Imports'!$A:$A=$A54))"),0.6566892896433112)</f>
        <v>0.6566892896</v>
      </c>
      <c r="E57" s="164"/>
      <c r="F57" s="164">
        <f>IFERROR(__xludf.DUMMYFUNCTION("CORREL(FILTER('Raw Stats Imports'!$H:$H,'Raw Stats Imports'!$A:$A=$A54),FILTER('Raw Stats Imports'!$AT:$AT,'Raw Stats Imports'!$A:$A=$A54))"),0.9367817990511278)</f>
        <v>0.9367817991</v>
      </c>
    </row>
    <row r="58">
      <c r="B58" s="164" t="s">
        <v>22</v>
      </c>
      <c r="C58" s="164">
        <f>IFERROR(__xludf.DUMMYFUNCTION("CORREL(FILTER('Raw Stats Imports'!$AT:$AT,'Raw Stats Imports'!$A:$A=$A54),FILTER('Raw Stats Imports'!AV:AV,'Raw Stats Imports'!$A:$A=$A54))"),0.8205512929559257)</f>
        <v>0.820551293</v>
      </c>
      <c r="D58" s="164">
        <f>IFERROR(__xludf.DUMMYFUNCTION("CORREL(FILTER('Raw Stats Imports'!$AT:$AT,'Raw Stats Imports'!$A:$A=$A54),FILTER('Raw Stats Imports'!$AX:$AX,'Raw Stats Imports'!$A:$A=$A54))"),0.7187506967932409)</f>
        <v>0.7187506968</v>
      </c>
      <c r="E58" s="164">
        <f>IFERROR(__xludf.DUMMYFUNCTION("CORREL(FILTER('Raw Stats Imports'!$H:$H,'Raw Stats Imports'!$A:$A=$A54),FILTER('Raw Stats Imports'!$AT:$AT,'Raw Stats Imports'!$A:$A=$A54))"),0.9367817990511278)</f>
        <v>0.9367817991</v>
      </c>
      <c r="F58" s="165"/>
    </row>
    <row r="59">
      <c r="A59" s="166" t="s">
        <v>168</v>
      </c>
      <c r="B59" s="167" t="s">
        <v>183</v>
      </c>
      <c r="C59" s="168" t="s">
        <v>4</v>
      </c>
      <c r="D59" s="168" t="s">
        <v>136</v>
      </c>
      <c r="E59" s="168" t="s">
        <v>18</v>
      </c>
      <c r="F59" s="168" t="s">
        <v>22</v>
      </c>
      <c r="H59" s="166" t="s">
        <v>168</v>
      </c>
    </row>
    <row r="60">
      <c r="B60" s="169" t="str">
        <f t="array" ref="B60:B63">TRANSPOSE(C59:F59)</f>
        <v>IDR</v>
      </c>
      <c r="C60" s="169"/>
      <c r="D60" s="169">
        <f>IFERROR(__xludf.DUMMYFUNCTION("CORREL(FILTER('Raw Stats Imports'!AV:AV,'Raw Stats Imports'!$A:$A=$A59),FILTER('Raw Stats Imports'!AX:AX,'Raw Stats Imports'!$A:$A=$A59))"),0.8820122513243656)</f>
        <v>0.8820122513</v>
      </c>
      <c r="E60" s="169">
        <f>IFERROR(__xludf.DUMMYFUNCTION("CORREL(FILTER('Raw Stats Imports'!$H:$H,'Raw Stats Imports'!$A:$A=$A59),FILTER('Raw Stats Imports'!AV:AV,'Raw Stats Imports'!$A:$A=$A59))"),0.6823938410855518)</f>
        <v>0.6823938411</v>
      </c>
      <c r="F60" s="169">
        <f>IFERROR(__xludf.DUMMYFUNCTION("CORREL(FILTER('Raw Stats Imports'!$AT:$AT,'Raw Stats Imports'!$A:$A=$A59),FILTER('Raw Stats Imports'!AV:AV,'Raw Stats Imports'!$A:$A=$A59))"),0.7142925447707084)</f>
        <v>0.7142925448</v>
      </c>
    </row>
    <row r="61">
      <c r="B61" s="169" t="s">
        <v>136</v>
      </c>
      <c r="C61" s="169">
        <f>IFERROR(__xludf.DUMMYFUNCTION("CORREL(FILTER('Raw Stats Imports'!$AV:$AV,'Raw Stats Imports'!$A:$A=$A59),FILTER('Raw Stats Imports'!$AX:$AX,'Raw Stats Imports'!$A:$A=$A59))"),0.8820122513243656)</f>
        <v>0.8820122513</v>
      </c>
      <c r="D61" s="169"/>
      <c r="E61" s="169">
        <f>IFERROR(__xludf.DUMMYFUNCTION("CORREL(FILTER('Raw Stats Imports'!$H:$H,'Raw Stats Imports'!$A:$A=$A59),FILTER('Raw Stats Imports'!$AX:$AX,'Raw Stats Imports'!$A:$A=$A59))"),0.48406803578451946)</f>
        <v>0.4840680358</v>
      </c>
      <c r="F61" s="169">
        <f>IFERROR(__xludf.DUMMYFUNCTION("CORREL(FILTER('Raw Stats Imports'!$AT:$AT,'Raw Stats Imports'!$A:$A=$A59),FILTER('Raw Stats Imports'!$AX:$AX,'Raw Stats Imports'!$A:$A=$A59))"),0.5153408443528602)</f>
        <v>0.5153408444</v>
      </c>
    </row>
    <row r="62">
      <c r="B62" s="169" t="s">
        <v>18</v>
      </c>
      <c r="C62" s="169">
        <f>IFERROR(__xludf.DUMMYFUNCTION("CORREL(FILTER('Raw Stats Imports'!$H:$H,'Raw Stats Imports'!$A:$A=$A59),FILTER('Raw Stats Imports'!AV:AV,'Raw Stats Imports'!$A:$A=$A59))"),0.6823938410855518)</f>
        <v>0.6823938411</v>
      </c>
      <c r="D62" s="169">
        <f>IFERROR(__xludf.DUMMYFUNCTION("CORREL(FILTER('Raw Stats Imports'!$H:$H,'Raw Stats Imports'!$A:$A=$A59),FILTER('Raw Stats Imports'!$AX:$AX,'Raw Stats Imports'!$A:$A=$A59))"),0.48406803578451946)</f>
        <v>0.4840680358</v>
      </c>
      <c r="E62" s="169"/>
      <c r="F62" s="169">
        <f>IFERROR(__xludf.DUMMYFUNCTION("CORREL(FILTER('Raw Stats Imports'!$H:$H,'Raw Stats Imports'!$A:$A=$A59),FILTER('Raw Stats Imports'!$AT:$AT,'Raw Stats Imports'!$A:$A=$A59))"),0.9032899532257042)</f>
        <v>0.9032899532</v>
      </c>
    </row>
    <row r="63">
      <c r="B63" s="169" t="s">
        <v>22</v>
      </c>
      <c r="C63" s="169">
        <f>IFERROR(__xludf.DUMMYFUNCTION("CORREL(FILTER('Raw Stats Imports'!$AT:$AT,'Raw Stats Imports'!$A:$A=$A59),FILTER('Raw Stats Imports'!AV:AV,'Raw Stats Imports'!$A:$A=$A59))"),0.7142925447707084)</f>
        <v>0.7142925448</v>
      </c>
      <c r="D63" s="169">
        <f>IFERROR(__xludf.DUMMYFUNCTION("CORREL(FILTER('Raw Stats Imports'!$AT:$AT,'Raw Stats Imports'!$A:$A=$A59),FILTER('Raw Stats Imports'!$AX:$AX,'Raw Stats Imports'!$A:$A=$A59))"),0.5153408443528602)</f>
        <v>0.5153408444</v>
      </c>
      <c r="E63" s="169">
        <f>IFERROR(__xludf.DUMMYFUNCTION("CORREL(FILTER('Raw Stats Imports'!$H:$H,'Raw Stats Imports'!$A:$A=$A59),FILTER('Raw Stats Imports'!$AT:$AT,'Raw Stats Imports'!$A:$A=$A59))"),0.9032899532257042)</f>
        <v>0.9032899532</v>
      </c>
      <c r="F63" s="170"/>
    </row>
    <row r="64">
      <c r="A64" s="171" t="s">
        <v>170</v>
      </c>
      <c r="B64" s="172" t="s">
        <v>183</v>
      </c>
      <c r="C64" s="173" t="s">
        <v>4</v>
      </c>
      <c r="D64" s="173" t="s">
        <v>136</v>
      </c>
      <c r="E64" s="173" t="s">
        <v>18</v>
      </c>
      <c r="F64" s="173" t="s">
        <v>22</v>
      </c>
      <c r="H64" s="171" t="s">
        <v>170</v>
      </c>
    </row>
    <row r="65">
      <c r="B65" s="174" t="str">
        <f t="array" ref="B65:B68">TRANSPOSE(C64:F64)</f>
        <v>IDR</v>
      </c>
      <c r="C65" s="174"/>
      <c r="D65" s="174">
        <f>IFERROR(__xludf.DUMMYFUNCTION("CORREL(FILTER('Raw Stats Imports'!AV:AV,'Raw Stats Imports'!$A:$A=$A64),FILTER('Raw Stats Imports'!AX:AX,'Raw Stats Imports'!$A:$A=$A64))"),0.9183336162425443)</f>
        <v>0.9183336162</v>
      </c>
      <c r="E65" s="174">
        <f>IFERROR(__xludf.DUMMYFUNCTION("CORREL(FILTER('Raw Stats Imports'!$H:$H,'Raw Stats Imports'!$A:$A=$A64),FILTER('Raw Stats Imports'!AV:AV,'Raw Stats Imports'!$A:$A=$A64))"),0.7286899973244455)</f>
        <v>0.7286899973</v>
      </c>
      <c r="F65" s="174">
        <f>IFERROR(__xludf.DUMMYFUNCTION("CORREL(FILTER('Raw Stats Imports'!$AT:$AT,'Raw Stats Imports'!$A:$A=$A64),FILTER('Raw Stats Imports'!AV:AV,'Raw Stats Imports'!$A:$A=$A64))"),0.81722073136212)</f>
        <v>0.8172207314</v>
      </c>
    </row>
    <row r="66">
      <c r="B66" s="174" t="s">
        <v>136</v>
      </c>
      <c r="C66" s="174">
        <f>IFERROR(__xludf.DUMMYFUNCTION("CORREL(FILTER('Raw Stats Imports'!$AV:$AV,'Raw Stats Imports'!$A:$A=$A64),FILTER('Raw Stats Imports'!$AX:$AX,'Raw Stats Imports'!$A:$A=$A64))"),0.9183336162425443)</f>
        <v>0.9183336162</v>
      </c>
      <c r="D66" s="174"/>
      <c r="E66" s="174">
        <f>IFERROR(__xludf.DUMMYFUNCTION("CORREL(FILTER('Raw Stats Imports'!$H:$H,'Raw Stats Imports'!$A:$A=$A64),FILTER('Raw Stats Imports'!$AX:$AX,'Raw Stats Imports'!$A:$A=$A64))"),0.6057354790858399)</f>
        <v>0.6057354791</v>
      </c>
      <c r="F66" s="174">
        <f>IFERROR(__xludf.DUMMYFUNCTION("CORREL(FILTER('Raw Stats Imports'!$AT:$AT,'Raw Stats Imports'!$A:$A=$A64),FILTER('Raw Stats Imports'!$AX:$AX,'Raw Stats Imports'!$A:$A=$A64))"),0.6857657937255556)</f>
        <v>0.6857657937</v>
      </c>
    </row>
    <row r="67">
      <c r="B67" s="174" t="s">
        <v>18</v>
      </c>
      <c r="C67" s="174">
        <f>IFERROR(__xludf.DUMMYFUNCTION("CORREL(FILTER('Raw Stats Imports'!$H:$H,'Raw Stats Imports'!$A:$A=$A64),FILTER('Raw Stats Imports'!AV:AV,'Raw Stats Imports'!$A:$A=$A64))"),0.7286899973244455)</f>
        <v>0.7286899973</v>
      </c>
      <c r="D67" s="174">
        <f>IFERROR(__xludf.DUMMYFUNCTION("CORREL(FILTER('Raw Stats Imports'!$H:$H,'Raw Stats Imports'!$A:$A=$A64),FILTER('Raw Stats Imports'!$AX:$AX,'Raw Stats Imports'!$A:$A=$A64))"),0.6057354790858399)</f>
        <v>0.6057354791</v>
      </c>
      <c r="E67" s="174"/>
      <c r="F67" s="174">
        <f>IFERROR(__xludf.DUMMYFUNCTION("CORREL(FILTER('Raw Stats Imports'!$H:$H,'Raw Stats Imports'!$A:$A=$A64),FILTER('Raw Stats Imports'!$AT:$AT,'Raw Stats Imports'!$A:$A=$A64))"),0.9242628351606004)</f>
        <v>0.9242628352</v>
      </c>
    </row>
    <row r="68">
      <c r="B68" s="174" t="s">
        <v>22</v>
      </c>
      <c r="C68" s="174">
        <f>IFERROR(__xludf.DUMMYFUNCTION("CORREL(FILTER('Raw Stats Imports'!$AT:$AT,'Raw Stats Imports'!$A:$A=$A64),FILTER('Raw Stats Imports'!AV:AV,'Raw Stats Imports'!$A:$A=$A64))"),0.81722073136212)</f>
        <v>0.8172207314</v>
      </c>
      <c r="D68" s="174">
        <f>IFERROR(__xludf.DUMMYFUNCTION("CORREL(FILTER('Raw Stats Imports'!$AT:$AT,'Raw Stats Imports'!$A:$A=$A64),FILTER('Raw Stats Imports'!$AX:$AX,'Raw Stats Imports'!$A:$A=$A64))"),0.6857657937255556)</f>
        <v>0.6857657937</v>
      </c>
      <c r="E68" s="174">
        <f>IFERROR(__xludf.DUMMYFUNCTION("CORREL(FILTER('Raw Stats Imports'!$H:$H,'Raw Stats Imports'!$A:$A=$A64),FILTER('Raw Stats Imports'!$AT:$AT,'Raw Stats Imports'!$A:$A=$A64))"),0.9242628351606004)</f>
        <v>0.9242628352</v>
      </c>
      <c r="F68" s="175"/>
    </row>
    <row r="69">
      <c r="A69" s="176" t="s">
        <v>172</v>
      </c>
      <c r="B69" s="177" t="s">
        <v>183</v>
      </c>
      <c r="C69" s="178" t="s">
        <v>4</v>
      </c>
      <c r="D69" s="178" t="s">
        <v>136</v>
      </c>
      <c r="E69" s="178" t="s">
        <v>18</v>
      </c>
      <c r="F69" s="178" t="s">
        <v>22</v>
      </c>
      <c r="H69" s="176" t="s">
        <v>172</v>
      </c>
    </row>
    <row r="70">
      <c r="B70" s="179" t="str">
        <f t="array" ref="B70:B73">TRANSPOSE(C69:F69)</f>
        <v>IDR</v>
      </c>
      <c r="C70" s="179"/>
      <c r="D70" s="179">
        <f>IFERROR(__xludf.DUMMYFUNCTION("CORREL(FILTER('Raw Stats Imports'!AV:AV,'Raw Stats Imports'!$A:$A=$A69),FILTER('Raw Stats Imports'!AX:AX,'Raw Stats Imports'!$A:$A=$A69))"),0.9319433841223084)</f>
        <v>0.9319433841</v>
      </c>
      <c r="E70" s="179">
        <f>IFERROR(__xludf.DUMMYFUNCTION("CORREL(FILTER('Raw Stats Imports'!$H:$H,'Raw Stats Imports'!$A:$A=$A69),FILTER('Raw Stats Imports'!AV:AV,'Raw Stats Imports'!$A:$A=$A69))"),0.7001864339520721)</f>
        <v>0.700186434</v>
      </c>
      <c r="F70" s="179">
        <f>IFERROR(__xludf.DUMMYFUNCTION("CORREL(FILTER('Raw Stats Imports'!$AT:$AT,'Raw Stats Imports'!$A:$A=$A69),FILTER('Raw Stats Imports'!AV:AV,'Raw Stats Imports'!$A:$A=$A69))"),0.5779227753465718)</f>
        <v>0.5779227753</v>
      </c>
    </row>
    <row r="71">
      <c r="B71" s="179" t="s">
        <v>136</v>
      </c>
      <c r="C71" s="179">
        <f>IFERROR(__xludf.DUMMYFUNCTION("CORREL(FILTER('Raw Stats Imports'!$AV:$AV,'Raw Stats Imports'!$A:$A=$A69),FILTER('Raw Stats Imports'!$AX:$AX,'Raw Stats Imports'!$A:$A=$A69))"),0.9319433841223084)</f>
        <v>0.9319433841</v>
      </c>
      <c r="D71" s="179"/>
      <c r="E71" s="179">
        <f>IFERROR(__xludf.DUMMYFUNCTION("CORREL(FILTER('Raw Stats Imports'!$H:$H,'Raw Stats Imports'!$A:$A=$A69),FILTER('Raw Stats Imports'!$AX:$AX,'Raw Stats Imports'!$A:$A=$A69))"),0.5603603542489308)</f>
        <v>0.5603603542</v>
      </c>
      <c r="F71" s="179">
        <f>IFERROR(__xludf.DUMMYFUNCTION("CORREL(FILTER('Raw Stats Imports'!$AT:$AT,'Raw Stats Imports'!$A:$A=$A69),FILTER('Raw Stats Imports'!$AX:$AX,'Raw Stats Imports'!$A:$A=$A69))"),0.4752166491165694)</f>
        <v>0.4752166491</v>
      </c>
    </row>
    <row r="72">
      <c r="B72" s="179" t="s">
        <v>18</v>
      </c>
      <c r="C72" s="179">
        <f>IFERROR(__xludf.DUMMYFUNCTION("CORREL(FILTER('Raw Stats Imports'!$H:$H,'Raw Stats Imports'!$A:$A=$A69),FILTER('Raw Stats Imports'!AV:AV,'Raw Stats Imports'!$A:$A=$A69))"),0.7001864339520721)</f>
        <v>0.700186434</v>
      </c>
      <c r="D72" s="179">
        <f>IFERROR(__xludf.DUMMYFUNCTION("CORREL(FILTER('Raw Stats Imports'!$H:$H,'Raw Stats Imports'!$A:$A=$A69),FILTER('Raw Stats Imports'!$AX:$AX,'Raw Stats Imports'!$A:$A=$A69))"),0.5603603542489308)</f>
        <v>0.5603603542</v>
      </c>
      <c r="E72" s="179"/>
      <c r="F72" s="179">
        <f>IFERROR(__xludf.DUMMYFUNCTION("CORREL(FILTER('Raw Stats Imports'!$H:$H,'Raw Stats Imports'!$A:$A=$A69),FILTER('Raw Stats Imports'!$AT:$AT,'Raw Stats Imports'!$A:$A=$A69))"),0.8307905136258051)</f>
        <v>0.8307905136</v>
      </c>
    </row>
    <row r="73">
      <c r="B73" s="179" t="s">
        <v>22</v>
      </c>
      <c r="C73" s="179">
        <f>IFERROR(__xludf.DUMMYFUNCTION("CORREL(FILTER('Raw Stats Imports'!$AT:$AT,'Raw Stats Imports'!$A:$A=$A69),FILTER('Raw Stats Imports'!AV:AV,'Raw Stats Imports'!$A:$A=$A69))"),0.5779227753465718)</f>
        <v>0.5779227753</v>
      </c>
      <c r="D73" s="179">
        <f>IFERROR(__xludf.DUMMYFUNCTION("CORREL(FILTER('Raw Stats Imports'!$AT:$AT,'Raw Stats Imports'!$A:$A=$A69),FILTER('Raw Stats Imports'!$AX:$AX,'Raw Stats Imports'!$A:$A=$A69))"),0.4752166491165694)</f>
        <v>0.4752166491</v>
      </c>
      <c r="E73" s="179">
        <f>IFERROR(__xludf.DUMMYFUNCTION("CORREL(FILTER('Raw Stats Imports'!$H:$H,'Raw Stats Imports'!$A:$A=$A69),FILTER('Raw Stats Imports'!$AT:$AT,'Raw Stats Imports'!$A:$A=$A69))"),0.8307905136258051)</f>
        <v>0.8307905136</v>
      </c>
      <c r="F73" s="180"/>
    </row>
  </sheetData>
  <mergeCells count="32">
    <mergeCell ref="L14:M14"/>
    <mergeCell ref="N14:O14"/>
    <mergeCell ref="P14:Q14"/>
    <mergeCell ref="R14:S14"/>
    <mergeCell ref="T14:U14"/>
    <mergeCell ref="H14:I14"/>
    <mergeCell ref="H24:H28"/>
    <mergeCell ref="B1:E1"/>
    <mergeCell ref="B11:E11"/>
    <mergeCell ref="B14:C14"/>
    <mergeCell ref="D14:E14"/>
    <mergeCell ref="F14:G14"/>
    <mergeCell ref="J14:K14"/>
    <mergeCell ref="A24:A28"/>
    <mergeCell ref="A44:A48"/>
    <mergeCell ref="A49:A53"/>
    <mergeCell ref="A54:A58"/>
    <mergeCell ref="A59:A63"/>
    <mergeCell ref="A64:A68"/>
    <mergeCell ref="A69:A73"/>
    <mergeCell ref="H49:H53"/>
    <mergeCell ref="H54:H58"/>
    <mergeCell ref="H59:H63"/>
    <mergeCell ref="H64:H68"/>
    <mergeCell ref="H69:H73"/>
    <mergeCell ref="A29:A33"/>
    <mergeCell ref="H29:H33"/>
    <mergeCell ref="A34:A38"/>
    <mergeCell ref="H34:H38"/>
    <mergeCell ref="A39:A43"/>
    <mergeCell ref="H39:H43"/>
    <mergeCell ref="H44:H48"/>
  </mergeCells>
  <drawing r:id="rId1"/>
</worksheet>
</file>